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pivotTables/pivotTable56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S:\Apportionment_NEW\Apportionment Funding\Monthly Apport Data\2425\Compliance Calculator\"/>
    </mc:Choice>
  </mc:AlternateContent>
  <xr:revisionPtr revIDLastSave="0" documentId="13_ncr:1_{551BB678-17CA-4D0A-B9FB-AA9D3C74A8C7}" xr6:coauthVersionLast="47" xr6:coauthVersionMax="47" xr10:uidLastSave="{00000000-0000-0000-0000-000000000000}"/>
  <bookViews>
    <workbookView xWindow="14370" yWindow="-18120" windowWidth="29040" windowHeight="17640" tabRatio="945" xr2:uid="{D784A8F5-FF50-4575-B369-924211659D5F}"/>
  </bookViews>
  <sheets>
    <sheet name="Instructions" sheetId="10" r:id="rId1"/>
    <sheet name="2024-25 K3Class Size Compliance" sheetId="58" r:id="rId2"/>
    <sheet name="2024-25 PSES Compliance" sheetId="29" r:id="rId3"/>
    <sheet name="2024-25 Elementary Calculator" sheetId="21" r:id="rId4"/>
    <sheet name="2024-25 Middle Calculator" sheetId="27" r:id="rId5"/>
    <sheet name="2024-25 High Calculator" sheetId="28" r:id="rId6"/>
    <sheet name="K3 District Data as of Jan 2025" sheetId="16" state="hidden" r:id="rId7"/>
    <sheet name="District Summary" sheetId="37" state="hidden" r:id="rId8"/>
    <sheet name="PSES Enroll Snapshot 25-01-17" sheetId="59" state="hidden" r:id="rId9"/>
    <sheet name="Enroll Data as of January 2025" sheetId="22" state="hidden" r:id="rId10"/>
    <sheet name="ApportionmentUpload" sheetId="57" state="hidden" r:id="rId11"/>
    <sheet name="PSES Staff Snapshot 25-01-16" sheetId="60" state="hidden" r:id="rId12"/>
    <sheet name="Elem" sheetId="61" state="hidden" r:id="rId13"/>
    <sheet name="Middle" sheetId="62" state="hidden" r:id="rId14"/>
    <sheet name="High" sheetId="63" state="hidden" r:id="rId15"/>
    <sheet name="S275Staff" sheetId="71" state="hidden" r:id="rId16"/>
    <sheet name="Elem Supp Staff" sheetId="38" state="hidden" r:id="rId17"/>
    <sheet name="Mid Supp Staff" sheetId="39" state="hidden" r:id="rId18"/>
    <sheet name="High Supp Staff" sheetId="40" state="hidden" r:id="rId19"/>
    <sheet name="Supp Staff Data" sheetId="41" state="hidden" r:id="rId20"/>
    <sheet name="Qualifying Staff" sheetId="30" state="hidden" r:id="rId21"/>
    <sheet name="PSES District Calcs" sheetId="42" state="hidden" r:id="rId22"/>
    <sheet name="3121% SY" sheetId="9" state="hidden" r:id="rId23"/>
    <sheet name="Orient &amp; Mob Sp 39" sheetId="47" state="hidden" r:id="rId24"/>
    <sheet name="Counselor 42" sheetId="46" state="hidden" r:id="rId25"/>
    <sheet name="Occup Therapist 43" sheetId="48" state="hidden" r:id="rId26"/>
    <sheet name="Social Worker 44" sheetId="44" state="hidden" r:id="rId27"/>
    <sheet name="Speech Lang Path 45" sheetId="49" state="hidden" r:id="rId28"/>
    <sheet name="Psycologist 46" sheetId="45" state="hidden" r:id="rId29"/>
    <sheet name="Nurses 47" sheetId="43" state="hidden" r:id="rId30"/>
    <sheet name="Pysical Therapist 48" sheetId="50" state="hidden" r:id="rId31"/>
    <sheet name="Behavior Analyst 49" sheetId="51" state="hidden" r:id="rId32"/>
    <sheet name="Contractor ESA 64" sheetId="52" state="hidden" r:id="rId33"/>
    <sheet name="Family Engag 24" sheetId="54" state="hidden" r:id="rId34"/>
    <sheet name="Pupil Mgt 25" sheetId="55" state="hidden" r:id="rId35"/>
    <sheet name="Health Svcs 26" sheetId="56" state="hidden" r:id="rId36"/>
    <sheet name="Pupil Safety 35" sheetId="70" state="hidden" r:id="rId37"/>
  </sheets>
  <definedNames>
    <definedName name="_xlnm._FilterDatabase" localSheetId="22" hidden="1">'3121% SY'!$A$1:$M$1</definedName>
    <definedName name="_xlnm._FilterDatabase" localSheetId="10" hidden="1">ApportionmentUpload!$A$1:$K$322</definedName>
    <definedName name="_xlnm._FilterDatabase" localSheetId="7" hidden="1">'District Summary'!$A$5:$AK$332</definedName>
    <definedName name="_xlnm._FilterDatabase" localSheetId="9" hidden="1">'Enroll Data as of January 2025'!$A$2:$T$323</definedName>
    <definedName name="_xlnm._FilterDatabase" localSheetId="6" hidden="1">'K3 District Data as of Jan 2025'!$A$2:$AM$323</definedName>
    <definedName name="_xlnm._FilterDatabase" localSheetId="21" hidden="1">'PSES District Calcs'!$A$2:$P$2</definedName>
    <definedName name="_xlnm._FilterDatabase" localSheetId="8" hidden="1">'PSES Enroll Snapshot 25-01-17'!$A$1:$E$5137</definedName>
    <definedName name="_xlnm._FilterDatabase" localSheetId="11" hidden="1">'PSES Staff Snapshot 25-01-16'!$A$1:$W$3580</definedName>
    <definedName name="_xlnm._FilterDatabase" localSheetId="19" hidden="1">'Supp Staff Data'!$A$7:$FE$36</definedName>
    <definedName name="CIS_Base">'K3 District Data as of Jan 2025'!$N$2</definedName>
    <definedName name="CIS_Ben_Base">'K3 District Data as of Jan 2025'!$U$2</definedName>
    <definedName name="CIS_Ben_Inc">'K3 District Data as of Jan 2025'!$V$2</definedName>
    <definedName name="CIS_Inc">'K3 District Data as of Jan 2025'!$O$2</definedName>
    <definedName name="CIS_Ins_Inc">'K3 District Data as of Jan 2025'!$S$2</definedName>
    <definedName name="CLS_Base">'K3 District Data as of Jan 2025'!$P$2</definedName>
    <definedName name="CLS_Ben_Base">'K3 District Data as of Jan 2025'!$W$2</definedName>
    <definedName name="CLS_Ben_Inc">'K3 District Data as of Jan 2025'!$X$2</definedName>
    <definedName name="CLS_Inc">'K3 District Data as of Jan 2025'!$Q$2</definedName>
    <definedName name="CLS_Ins_Inc">'K3 District Data as of Jan 2025'!$T$2</definedName>
    <definedName name="Elem_Prog01_Supp">'Elem Supp Staff'!$A$2:$Q$350</definedName>
    <definedName name="Elem_Prog09_Supp">'Elem Supp Staff'!$BB$2:$BR$350</definedName>
    <definedName name="Elem_Prog21_Supp">'Elem Supp Staff'!$AK$2:$BA$350</definedName>
    <definedName name="Elem_Prog97_Supp">'Elem Supp Staff'!$S$2:$AI$350</definedName>
    <definedName name="ElemStaff01">Elem!$A$5:$Q$500</definedName>
    <definedName name="ElemStaff09">Elem!$S$5:$AI$500</definedName>
    <definedName name="ElemStaff21">Elem!$BC$5:$BU$500</definedName>
    <definedName name="ElemStaff97">Elem!$AK$5:$BA$500</definedName>
    <definedName name="High_Prog01_Supp">'High Supp Staff'!$A$2:$Q$350</definedName>
    <definedName name="High_Prog21_Supp">'High Supp Staff'!$AK$2:$BA$350</definedName>
    <definedName name="High_Prog97_Supp">'High Supp Staff'!$S$2:$AI$350</definedName>
    <definedName name="HighStaff01">High!$A$5:$Q$500</definedName>
    <definedName name="HighStaff21">High!$AK$5:$BC$500</definedName>
    <definedName name="HighStaff97">High!$S$5:$AI$500</definedName>
    <definedName name="Ins_Base">'K3 District Data as of Jan 2025'!$R$2</definedName>
    <definedName name="Mid_Prog01_Supp">'Mid Supp Staff'!$A$2:$Q$350</definedName>
    <definedName name="Mid_Prog21_Supp">'Mid Supp Staff'!$AK$2:$BB$350</definedName>
    <definedName name="Mid_Prog97_Supp">'Mid Supp Staff'!$S$2:$AI$350</definedName>
    <definedName name="MidStaff01">Middle!$A$5:$Q$500</definedName>
    <definedName name="MidStaff21">Middle!$AK$5:$BC$500</definedName>
    <definedName name="MidStaff97">Middle!$S$5:$AI$500</definedName>
    <definedName name="_xlnm.Print_Area" localSheetId="3">'2024-25 Elementary Calculator'!$C$1:$R$40</definedName>
    <definedName name="_xlnm.Print_Area" localSheetId="5">'2024-25 High Calculator'!$C$1:$P$40</definedName>
    <definedName name="_xlnm.Print_Area" localSheetId="1">'2024-25 K3Class Size Compliance'!$A$1:$J$40</definedName>
    <definedName name="_xlnm.Print_Area" localSheetId="4">'2024-25 Middle Calculator'!$C$1:$P$40</definedName>
    <definedName name="_xlnm.Print_Area" localSheetId="2">'2024-25 PSES Compliance'!$B$1:$L$17</definedName>
    <definedName name="_xlnm.Print_Titles" localSheetId="0">Instructions!$2:$2</definedName>
    <definedName name="PSESEnroll">'Enroll Data as of January 2025'!$A$2:$E$322</definedName>
    <definedName name="S275_01">S275Staff!$A$5:$AS$500</definedName>
    <definedName name="S275_09">S275Staff!$CO$5:$DE$500</definedName>
    <definedName name="S275_21">S275Staff!$DG$5:$FA$500</definedName>
    <definedName name="S275_97">S275Staff!$AU$5:$CM$500</definedName>
    <definedName name="Supp_24">'Family Engag 24'!$A$3:$S$350</definedName>
    <definedName name="Supp_25">'Pupil Mgt 25'!$A$3:$S$350</definedName>
    <definedName name="Supp_26">'Health Svcs 26'!$A$3:$S$350</definedName>
    <definedName name="Supp_35">'Pupil Safety 35'!$A$3:$S$500</definedName>
    <definedName name="Supp_39">'Orient &amp; Mob Sp 39'!$A$3:$T$350</definedName>
    <definedName name="Supp_42">'Counselor 42'!$A$3:$S$350</definedName>
    <definedName name="Supp_43">'Occup Therapist 43'!$A$3:$S$350</definedName>
    <definedName name="Supp_44">'Social Worker 44'!$A$3:$S$350</definedName>
    <definedName name="Supp_45">'Speech Lang Path 45'!$A$3:$S$350</definedName>
    <definedName name="Supp_46">'Psycologist 46'!$A$3:$S$350</definedName>
    <definedName name="Supp_47">'Nurses 47'!$A$3:$S$350</definedName>
    <definedName name="Supp_48">'Pysical Therapist 48'!$A$3:$S$350</definedName>
    <definedName name="Supp_49">'Behavior Analyst 49'!$A$3:$S$350</definedName>
    <definedName name="Supp_64">'Contractor ESA 64'!$A$3:$S$350</definedName>
    <definedName name="SuppStaffData">'Supp Staff Data'!$A$7:$FF$297</definedName>
  </definedNames>
  <calcPr calcId="191029"/>
  <pivotCaches>
    <pivotCache cacheId="4" r:id="rId38"/>
    <pivotCache cacheId="5" r:id="rId39"/>
    <pivotCache cacheId="6" r:id="rId40"/>
    <pivotCache cacheId="7" r:id="rId41"/>
    <pivotCache cacheId="8" r:id="rId42"/>
    <pivotCache cacheId="9" r:id="rId43"/>
    <pivotCache cacheId="10" r:id="rId44"/>
    <pivotCache cacheId="11" r:id="rId4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53" i="60" l="1"/>
  <c r="AW23" i="60"/>
  <c r="AU53" i="60"/>
  <c r="AQ53" i="60"/>
  <c r="BK2" i="60" l="1"/>
  <c r="AM6" i="60" l="1"/>
  <c r="AM7" i="60"/>
  <c r="AM8" i="60"/>
  <c r="AM9" i="60"/>
  <c r="AM10" i="60"/>
  <c r="AM11" i="60"/>
  <c r="AM12" i="60"/>
  <c r="AM13" i="60"/>
  <c r="AM14" i="60"/>
  <c r="AM15" i="60"/>
  <c r="AM16" i="60"/>
  <c r="AM17" i="60"/>
  <c r="AM18" i="60"/>
  <c r="AM19" i="60"/>
  <c r="AM20" i="60"/>
  <c r="AM21" i="60"/>
  <c r="AM22" i="60"/>
  <c r="AM23" i="60"/>
  <c r="AM24" i="60"/>
  <c r="AM25" i="60"/>
  <c r="AM26" i="60"/>
  <c r="AM27" i="60"/>
  <c r="AM28" i="60"/>
  <c r="AM29" i="60"/>
  <c r="AM30" i="60"/>
  <c r="AM31" i="60"/>
  <c r="AM32" i="60"/>
  <c r="AM33" i="60"/>
  <c r="AM34" i="60"/>
  <c r="AM35" i="60"/>
  <c r="AM36" i="60"/>
  <c r="AM37" i="60"/>
  <c r="AM38" i="60"/>
  <c r="AM39" i="60"/>
  <c r="AM40" i="60"/>
  <c r="AM41" i="60"/>
  <c r="AM42" i="60"/>
  <c r="AM43" i="60"/>
  <c r="AM44" i="60"/>
  <c r="AM45" i="60"/>
  <c r="AM46" i="60"/>
  <c r="AM47" i="60"/>
  <c r="AM48" i="60"/>
  <c r="AM49" i="60"/>
  <c r="AM50" i="60"/>
  <c r="AM51" i="60"/>
  <c r="AM52" i="60"/>
  <c r="AM53" i="60"/>
  <c r="AM54" i="60"/>
  <c r="AM55" i="60"/>
  <c r="AM56" i="60"/>
  <c r="AM57" i="60"/>
  <c r="AM58" i="60"/>
  <c r="AM59" i="60"/>
  <c r="AM60" i="60"/>
  <c r="AM61" i="60"/>
  <c r="AM62" i="60"/>
  <c r="AM63" i="60"/>
  <c r="AM64" i="60"/>
  <c r="AM65" i="60"/>
  <c r="AM66" i="60"/>
  <c r="AM67" i="60"/>
  <c r="AM68" i="60"/>
  <c r="AM69" i="60"/>
  <c r="AM70" i="60"/>
  <c r="AM71" i="60"/>
  <c r="AM72" i="60"/>
  <c r="AM73" i="60"/>
  <c r="AM74" i="60"/>
  <c r="AM75" i="60"/>
  <c r="AM76" i="60"/>
  <c r="AM77" i="60"/>
  <c r="AM78" i="60"/>
  <c r="AM79" i="60"/>
  <c r="AM80" i="60"/>
  <c r="AM81" i="60"/>
  <c r="AM82" i="60"/>
  <c r="AM83" i="60"/>
  <c r="AM84" i="60"/>
  <c r="AM85" i="60"/>
  <c r="AM86" i="60"/>
  <c r="AM87" i="60"/>
  <c r="AM88" i="60"/>
  <c r="AM89" i="60"/>
  <c r="AM90" i="60"/>
  <c r="AM91" i="60"/>
  <c r="AM92" i="60"/>
  <c r="AM93" i="60"/>
  <c r="AM94" i="60"/>
  <c r="AM95" i="60"/>
  <c r="AM96" i="60"/>
  <c r="AM97" i="60"/>
  <c r="AM98" i="60"/>
  <c r="AM99" i="60"/>
  <c r="AM100" i="60"/>
  <c r="AM101" i="60"/>
  <c r="AM102" i="60"/>
  <c r="AM103" i="60"/>
  <c r="AM104" i="60"/>
  <c r="AM105" i="60"/>
  <c r="AM106" i="60"/>
  <c r="AM107" i="60"/>
  <c r="AM108" i="60"/>
  <c r="AM109" i="60"/>
  <c r="AM110" i="60"/>
  <c r="AM111" i="60"/>
  <c r="AM112" i="60"/>
  <c r="AM113" i="60"/>
  <c r="AM114" i="60"/>
  <c r="AM115" i="60"/>
  <c r="AM116" i="60"/>
  <c r="AM117" i="60"/>
  <c r="AM118" i="60"/>
  <c r="AM119" i="60"/>
  <c r="AM120" i="60"/>
  <c r="AM121" i="60"/>
  <c r="AM122" i="60"/>
  <c r="AM123" i="60"/>
  <c r="AM124" i="60"/>
  <c r="AM125" i="60"/>
  <c r="AM126" i="60"/>
  <c r="AM127" i="60"/>
  <c r="AM128" i="60"/>
  <c r="AM129" i="60"/>
  <c r="AM130" i="60"/>
  <c r="AM131" i="60"/>
  <c r="AM132" i="60"/>
  <c r="AM133" i="60"/>
  <c r="AM134" i="60"/>
  <c r="AM135" i="60"/>
  <c r="AM136" i="60"/>
  <c r="AM137" i="60"/>
  <c r="AM138" i="60"/>
  <c r="AM139" i="60"/>
  <c r="AM140" i="60"/>
  <c r="AM141" i="60"/>
  <c r="AM142" i="60"/>
  <c r="AM143" i="60"/>
  <c r="AM144" i="60"/>
  <c r="AM5" i="60"/>
  <c r="AL6" i="60"/>
  <c r="AL7" i="60"/>
  <c r="AL8" i="60"/>
  <c r="AL9" i="60"/>
  <c r="AL10" i="60"/>
  <c r="AL11" i="60"/>
  <c r="AL12" i="60"/>
  <c r="AL13" i="60"/>
  <c r="AL14" i="60"/>
  <c r="AL15" i="60"/>
  <c r="AL16" i="60"/>
  <c r="AL17" i="60"/>
  <c r="AL18" i="60"/>
  <c r="AL19" i="60"/>
  <c r="AL20" i="60"/>
  <c r="AL21" i="60"/>
  <c r="AL22" i="60"/>
  <c r="AL23" i="60"/>
  <c r="AL24" i="60"/>
  <c r="AL25" i="60"/>
  <c r="AL26" i="60"/>
  <c r="AL27" i="60"/>
  <c r="AL28" i="60"/>
  <c r="AL29" i="60"/>
  <c r="AL30" i="60"/>
  <c r="AL31" i="60"/>
  <c r="AL32" i="60"/>
  <c r="AL33" i="60"/>
  <c r="AL34" i="60"/>
  <c r="AL35" i="60"/>
  <c r="AL36" i="60"/>
  <c r="AL37" i="60"/>
  <c r="AL38" i="60"/>
  <c r="AL39" i="60"/>
  <c r="AL40" i="60"/>
  <c r="AL41" i="60"/>
  <c r="AL42" i="60"/>
  <c r="AL43" i="60"/>
  <c r="AL44" i="60"/>
  <c r="AL45" i="60"/>
  <c r="AL46" i="60"/>
  <c r="AL47" i="60"/>
  <c r="AL48" i="60"/>
  <c r="AL49" i="60"/>
  <c r="AL50" i="60"/>
  <c r="AL51" i="60"/>
  <c r="AL52" i="60"/>
  <c r="AL53" i="60"/>
  <c r="AL54" i="60"/>
  <c r="AL55" i="60"/>
  <c r="AL56" i="60"/>
  <c r="AL57" i="60"/>
  <c r="AL58" i="60"/>
  <c r="AL59" i="60"/>
  <c r="AL60" i="60"/>
  <c r="AL61" i="60"/>
  <c r="AL62" i="60"/>
  <c r="AL63" i="60"/>
  <c r="AL64" i="60"/>
  <c r="AL65" i="60"/>
  <c r="AL66" i="60"/>
  <c r="AL67" i="60"/>
  <c r="AL68" i="60"/>
  <c r="AL69" i="60"/>
  <c r="AL70" i="60"/>
  <c r="AL71" i="60"/>
  <c r="AL72" i="60"/>
  <c r="AL73" i="60"/>
  <c r="AL74" i="60"/>
  <c r="AL75" i="60"/>
  <c r="AL76" i="60"/>
  <c r="AL77" i="60"/>
  <c r="AL78" i="60"/>
  <c r="AL79" i="60"/>
  <c r="AL80" i="60"/>
  <c r="AL81" i="60"/>
  <c r="AL82" i="60"/>
  <c r="AL83" i="60"/>
  <c r="AL84" i="60"/>
  <c r="AL85" i="60"/>
  <c r="AL86" i="60"/>
  <c r="AL87" i="60"/>
  <c r="AL88" i="60"/>
  <c r="AL89" i="60"/>
  <c r="AL90" i="60"/>
  <c r="AL91" i="60"/>
  <c r="AL92" i="60"/>
  <c r="AL93" i="60"/>
  <c r="AL94" i="60"/>
  <c r="AL95" i="60"/>
  <c r="AL96" i="60"/>
  <c r="AL97" i="60"/>
  <c r="AL98" i="60"/>
  <c r="AL99" i="60"/>
  <c r="AL100" i="60"/>
  <c r="AL101" i="60"/>
  <c r="AL102" i="60"/>
  <c r="AL103" i="60"/>
  <c r="AL104" i="60"/>
  <c r="AL105" i="60"/>
  <c r="AL106" i="60"/>
  <c r="AL107" i="60"/>
  <c r="AL108" i="60"/>
  <c r="AL109" i="60"/>
  <c r="AL110" i="60"/>
  <c r="AL111" i="60"/>
  <c r="AL112" i="60"/>
  <c r="AL113" i="60"/>
  <c r="AL114" i="60"/>
  <c r="AL115" i="60"/>
  <c r="AL116" i="60"/>
  <c r="AL117" i="60"/>
  <c r="AL118" i="60"/>
  <c r="AL119" i="60"/>
  <c r="AL120" i="60"/>
  <c r="AL121" i="60"/>
  <c r="AL122" i="60"/>
  <c r="AL123" i="60"/>
  <c r="AL124" i="60"/>
  <c r="AL125" i="60"/>
  <c r="AL126" i="60"/>
  <c r="AL127" i="60"/>
  <c r="AL128" i="60"/>
  <c r="AL129" i="60"/>
  <c r="AL130" i="60"/>
  <c r="AL131" i="60"/>
  <c r="AL132" i="60"/>
  <c r="AL133" i="60"/>
  <c r="AL134" i="60"/>
  <c r="AL135" i="60"/>
  <c r="AL136" i="60"/>
  <c r="AL137" i="60"/>
  <c r="AL138" i="60"/>
  <c r="AL139" i="60"/>
  <c r="AL140" i="60"/>
  <c r="AL141" i="60"/>
  <c r="AL142" i="60"/>
  <c r="AL143" i="60"/>
  <c r="AL144" i="60"/>
  <c r="AL5" i="60"/>
  <c r="AK6" i="60"/>
  <c r="AK7" i="60"/>
  <c r="AK8" i="60"/>
  <c r="AK9" i="60"/>
  <c r="AK10" i="60"/>
  <c r="AK11" i="60"/>
  <c r="AK12" i="60"/>
  <c r="AK13" i="60"/>
  <c r="AK14" i="60"/>
  <c r="AK15" i="60"/>
  <c r="AK16" i="60"/>
  <c r="AK17" i="60"/>
  <c r="AK18" i="60"/>
  <c r="AK19" i="60"/>
  <c r="AK20" i="60"/>
  <c r="AK21" i="60"/>
  <c r="AK22" i="60"/>
  <c r="AK23" i="60"/>
  <c r="AK24" i="60"/>
  <c r="AK25" i="60"/>
  <c r="AK26" i="60"/>
  <c r="AK27" i="60"/>
  <c r="AK28" i="60"/>
  <c r="AK29" i="60"/>
  <c r="AK30" i="60"/>
  <c r="AK31" i="60"/>
  <c r="AK32" i="60"/>
  <c r="AK33" i="60"/>
  <c r="AK34" i="60"/>
  <c r="AK35" i="60"/>
  <c r="AK36" i="60"/>
  <c r="AK37" i="60"/>
  <c r="AK38" i="60"/>
  <c r="AK39" i="60"/>
  <c r="AK40" i="60"/>
  <c r="AK41" i="60"/>
  <c r="AK42" i="60"/>
  <c r="AK43" i="60"/>
  <c r="AK44" i="60"/>
  <c r="AK45" i="60"/>
  <c r="AK46" i="60"/>
  <c r="AK47" i="60"/>
  <c r="AK48" i="60"/>
  <c r="AK49" i="60"/>
  <c r="AK50" i="60"/>
  <c r="AK51" i="60"/>
  <c r="AK52" i="60"/>
  <c r="AK53" i="60"/>
  <c r="AK54" i="60"/>
  <c r="AK55" i="60"/>
  <c r="AK56" i="60"/>
  <c r="AK57" i="60"/>
  <c r="AK58" i="60"/>
  <c r="AK59" i="60"/>
  <c r="AK60" i="60"/>
  <c r="AK61" i="60"/>
  <c r="AK62" i="60"/>
  <c r="AK63" i="60"/>
  <c r="AK64" i="60"/>
  <c r="AK65" i="60"/>
  <c r="AK66" i="60"/>
  <c r="AK67" i="60"/>
  <c r="AK68" i="60"/>
  <c r="AK69" i="60"/>
  <c r="AK70" i="60"/>
  <c r="AK71" i="60"/>
  <c r="AK72" i="60"/>
  <c r="AK73" i="60"/>
  <c r="AK74" i="60"/>
  <c r="AK75" i="60"/>
  <c r="AK76" i="60"/>
  <c r="AK77" i="60"/>
  <c r="AK78" i="60"/>
  <c r="AK79" i="60"/>
  <c r="AK80" i="60"/>
  <c r="AK81" i="60"/>
  <c r="AK82" i="60"/>
  <c r="AK83" i="60"/>
  <c r="AK84" i="60"/>
  <c r="AK85" i="60"/>
  <c r="AK86" i="60"/>
  <c r="AK87" i="60"/>
  <c r="AK88" i="60"/>
  <c r="AK89" i="60"/>
  <c r="AK90" i="60"/>
  <c r="AK91" i="60"/>
  <c r="AK92" i="60"/>
  <c r="AK93" i="60"/>
  <c r="AK94" i="60"/>
  <c r="AK95" i="60"/>
  <c r="AK96" i="60"/>
  <c r="AK97" i="60"/>
  <c r="AK98" i="60"/>
  <c r="AK99" i="60"/>
  <c r="AK100" i="60"/>
  <c r="AK101" i="60"/>
  <c r="AK102" i="60"/>
  <c r="AK103" i="60"/>
  <c r="AK104" i="60"/>
  <c r="AK105" i="60"/>
  <c r="AK106" i="60"/>
  <c r="AK107" i="60"/>
  <c r="AK108" i="60"/>
  <c r="AK109" i="60"/>
  <c r="AK110" i="60"/>
  <c r="AK111" i="60"/>
  <c r="AK112" i="60"/>
  <c r="AK113" i="60"/>
  <c r="AK114" i="60"/>
  <c r="AK115" i="60"/>
  <c r="AK116" i="60"/>
  <c r="AK117" i="60"/>
  <c r="AK118" i="60"/>
  <c r="AK119" i="60"/>
  <c r="AK120" i="60"/>
  <c r="AK121" i="60"/>
  <c r="AK122" i="60"/>
  <c r="AK123" i="60"/>
  <c r="AK124" i="60"/>
  <c r="AK125" i="60"/>
  <c r="AK126" i="60"/>
  <c r="AK127" i="60"/>
  <c r="AK128" i="60"/>
  <c r="AK129" i="60"/>
  <c r="AK130" i="60"/>
  <c r="AK131" i="60"/>
  <c r="AK132" i="60"/>
  <c r="AK133" i="60"/>
  <c r="AK134" i="60"/>
  <c r="AK135" i="60"/>
  <c r="AK136" i="60"/>
  <c r="AK137" i="60"/>
  <c r="AK138" i="60"/>
  <c r="AK139" i="60"/>
  <c r="AK140" i="60"/>
  <c r="AK141" i="60"/>
  <c r="AK142" i="60"/>
  <c r="AK143" i="60"/>
  <c r="AK144" i="60"/>
  <c r="AK5" i="60"/>
  <c r="V3581" i="60"/>
  <c r="W3581" i="60" s="1"/>
  <c r="V3582" i="60"/>
  <c r="W3582" i="60" s="1"/>
  <c r="V3583" i="60"/>
  <c r="W3583" i="60" s="1"/>
  <c r="V3584" i="60"/>
  <c r="W3584" i="60"/>
  <c r="V3585" i="60"/>
  <c r="W3585" i="60" s="1"/>
  <c r="V3586" i="60"/>
  <c r="W3586" i="60" s="1"/>
  <c r="V3587" i="60"/>
  <c r="W3587" i="60" s="1"/>
  <c r="V3588" i="60"/>
  <c r="W3588" i="60" s="1"/>
  <c r="V3589" i="60"/>
  <c r="W3589" i="60" s="1"/>
  <c r="V3590" i="60"/>
  <c r="W3590" i="60" s="1"/>
  <c r="V3591" i="60"/>
  <c r="W3591" i="60" s="1"/>
  <c r="V3592" i="60"/>
  <c r="W3592" i="60" s="1"/>
  <c r="V3593" i="60"/>
  <c r="W3593" i="60" s="1"/>
  <c r="V3594" i="60"/>
  <c r="W3594" i="60" s="1"/>
  <c r="V3595" i="60"/>
  <c r="W3595" i="60" s="1"/>
  <c r="V3596" i="60"/>
  <c r="W3596" i="60" s="1"/>
  <c r="V3597" i="60"/>
  <c r="W3597" i="60" s="1"/>
  <c r="V3598" i="60"/>
  <c r="W3598" i="60" s="1"/>
  <c r="V3599" i="60"/>
  <c r="W3599" i="60" s="1"/>
  <c r="V3600" i="60"/>
  <c r="W3600" i="60" s="1"/>
  <c r="V3601" i="60"/>
  <c r="W3601" i="60" s="1"/>
  <c r="V3602" i="60"/>
  <c r="W3602" i="60" s="1"/>
  <c r="V3603" i="60"/>
  <c r="W3603" i="60" s="1"/>
  <c r="V3604" i="60"/>
  <c r="W3604" i="60" s="1"/>
  <c r="V3605" i="60"/>
  <c r="W3605" i="60" s="1"/>
  <c r="V3606" i="60"/>
  <c r="W3606" i="60" s="1"/>
  <c r="V3607" i="60"/>
  <c r="W3607" i="60"/>
  <c r="V3608" i="60"/>
  <c r="W3608" i="60" s="1"/>
  <c r="V3609" i="60"/>
  <c r="W3609" i="60" s="1"/>
  <c r="V3610" i="60"/>
  <c r="W3610" i="60" s="1"/>
  <c r="V3611" i="60"/>
  <c r="W3611" i="60" s="1"/>
  <c r="V3612" i="60"/>
  <c r="W3612" i="60" s="1"/>
  <c r="V3613" i="60"/>
  <c r="W3613" i="60" s="1"/>
  <c r="V3614" i="60"/>
  <c r="W3614" i="60" s="1"/>
  <c r="V3615" i="60"/>
  <c r="W3615" i="60" s="1"/>
  <c r="V3616" i="60"/>
  <c r="W3616" i="60" s="1"/>
  <c r="V3617" i="60"/>
  <c r="W3617" i="60" s="1"/>
  <c r="V3618" i="60"/>
  <c r="W3618" i="60" s="1"/>
  <c r="V3619" i="60"/>
  <c r="W3619" i="60"/>
  <c r="V3620" i="60"/>
  <c r="W3620" i="60" s="1"/>
  <c r="V3621" i="60"/>
  <c r="W3621" i="60" s="1"/>
  <c r="V3622" i="60"/>
  <c r="W3622" i="60" s="1"/>
  <c r="V3623" i="60"/>
  <c r="W3623" i="60" s="1"/>
  <c r="V3624" i="60"/>
  <c r="W3624" i="60" s="1"/>
  <c r="V3625" i="60"/>
  <c r="W3625" i="60" s="1"/>
  <c r="V3626" i="60"/>
  <c r="W3626" i="60"/>
  <c r="V3627" i="60"/>
  <c r="W3627" i="60" s="1"/>
  <c r="V3628" i="60"/>
  <c r="W3628" i="60" s="1"/>
  <c r="V3629" i="60"/>
  <c r="W3629" i="60" s="1"/>
  <c r="V3630" i="60"/>
  <c r="W3630" i="60" s="1"/>
  <c r="V3631" i="60"/>
  <c r="W3631" i="60" s="1"/>
  <c r="V3632" i="60"/>
  <c r="W3632" i="60" s="1"/>
  <c r="V3633" i="60"/>
  <c r="W3633" i="60" s="1"/>
  <c r="V3634" i="60"/>
  <c r="W3634" i="60" s="1"/>
  <c r="V3635" i="60"/>
  <c r="W3635" i="60" s="1"/>
  <c r="V3636" i="60"/>
  <c r="W3636" i="60" s="1"/>
  <c r="V3637" i="60"/>
  <c r="W3637" i="60" s="1"/>
  <c r="V3638" i="60"/>
  <c r="W3638" i="60"/>
  <c r="V3639" i="60"/>
  <c r="W3639" i="60" s="1"/>
  <c r="V3640" i="60"/>
  <c r="W3640" i="60" s="1"/>
  <c r="V3641" i="60"/>
  <c r="W3641" i="60" s="1"/>
  <c r="V3642" i="60"/>
  <c r="W3642" i="60" s="1"/>
  <c r="V3643" i="60"/>
  <c r="W3643" i="60"/>
  <c r="V3644" i="60"/>
  <c r="W3644" i="60"/>
  <c r="V3645" i="60"/>
  <c r="W3645" i="60" s="1"/>
  <c r="V3646" i="60"/>
  <c r="W3646" i="60" s="1"/>
  <c r="V3647" i="60"/>
  <c r="W3647" i="60" s="1"/>
  <c r="V3648" i="60"/>
  <c r="W3648" i="60" s="1"/>
  <c r="V3649" i="60"/>
  <c r="W3649" i="60" s="1"/>
  <c r="V3650" i="60"/>
  <c r="W3650" i="60" s="1"/>
  <c r="V3651" i="60"/>
  <c r="W3651" i="60" s="1"/>
  <c r="V3652" i="60"/>
  <c r="W3652" i="60" s="1"/>
  <c r="V3653" i="60"/>
  <c r="W3653" i="60" s="1"/>
  <c r="V3654" i="60"/>
  <c r="W3654" i="60" s="1"/>
  <c r="V3655" i="60"/>
  <c r="W3655" i="60" s="1"/>
  <c r="V3656" i="60"/>
  <c r="W3656" i="60" s="1"/>
  <c r="V3657" i="60"/>
  <c r="W3657" i="60" s="1"/>
  <c r="V3658" i="60"/>
  <c r="W3658" i="60" s="1"/>
  <c r="V3659" i="60"/>
  <c r="W3659" i="60" s="1"/>
  <c r="V3660" i="60"/>
  <c r="W3660" i="60" s="1"/>
  <c r="V3661" i="60"/>
  <c r="W3661" i="60" s="1"/>
  <c r="V3662" i="60"/>
  <c r="W3662" i="60"/>
  <c r="V3663" i="60"/>
  <c r="W3663" i="60" s="1"/>
  <c r="V3664" i="60"/>
  <c r="W3664" i="60" s="1"/>
  <c r="V3665" i="60"/>
  <c r="W3665" i="60" s="1"/>
  <c r="V3666" i="60"/>
  <c r="W3666" i="60" s="1"/>
  <c r="V3667" i="60"/>
  <c r="W3667" i="60" s="1"/>
  <c r="V3668" i="60"/>
  <c r="W3668" i="60"/>
  <c r="V3669" i="60"/>
  <c r="W3669" i="60" s="1"/>
  <c r="V3670" i="60"/>
  <c r="W3670" i="60" s="1"/>
  <c r="V3671" i="60"/>
  <c r="W3671" i="60" s="1"/>
  <c r="V3672" i="60"/>
  <c r="W3672" i="60" s="1"/>
  <c r="V3673" i="60"/>
  <c r="W3673" i="60" s="1"/>
  <c r="V3674" i="60"/>
  <c r="W3674" i="60" s="1"/>
  <c r="V3675" i="60"/>
  <c r="W3675" i="60" s="1"/>
  <c r="V3676" i="60"/>
  <c r="W3676" i="60" s="1"/>
  <c r="V3677" i="60"/>
  <c r="W3677" i="60" s="1"/>
  <c r="V3678" i="60"/>
  <c r="W3678" i="60" s="1"/>
  <c r="V3679" i="60"/>
  <c r="W3679" i="60"/>
  <c r="V3680" i="60"/>
  <c r="W3680" i="60" s="1"/>
  <c r="V3681" i="60"/>
  <c r="W3681" i="60" s="1"/>
  <c r="V3682" i="60"/>
  <c r="W3682" i="60" s="1"/>
  <c r="V3683" i="60"/>
  <c r="W3683" i="60" s="1"/>
  <c r="V3684" i="60"/>
  <c r="W3684" i="60" s="1"/>
  <c r="V3685" i="60"/>
  <c r="W3685" i="60" s="1"/>
  <c r="V3686" i="60"/>
  <c r="W3686" i="60" s="1"/>
  <c r="V3687" i="60"/>
  <c r="W3687" i="60" s="1"/>
  <c r="V3688" i="60"/>
  <c r="W3688" i="60" s="1"/>
  <c r="V3689" i="60"/>
  <c r="W3689" i="60" s="1"/>
  <c r="V3690" i="60"/>
  <c r="W3690" i="60" s="1"/>
  <c r="V3691" i="60"/>
  <c r="W3691" i="60"/>
  <c r="V3692" i="60"/>
  <c r="W3692" i="60" s="1"/>
  <c r="V3693" i="60"/>
  <c r="W3693" i="60" s="1"/>
  <c r="V3694" i="60"/>
  <c r="W3694" i="60" s="1"/>
  <c r="V3695" i="60"/>
  <c r="W3695" i="60" s="1"/>
  <c r="U3581" i="60"/>
  <c r="U3582" i="60"/>
  <c r="U3583" i="60"/>
  <c r="U3584" i="60"/>
  <c r="U3585" i="60"/>
  <c r="U3586" i="60"/>
  <c r="U3587" i="60"/>
  <c r="U3588" i="60"/>
  <c r="U3589" i="60"/>
  <c r="U3590" i="60"/>
  <c r="U3591" i="60"/>
  <c r="U3592" i="60"/>
  <c r="U3593" i="60"/>
  <c r="U3594" i="60"/>
  <c r="U3595" i="60"/>
  <c r="U3596" i="60"/>
  <c r="U3597" i="60"/>
  <c r="U3598" i="60"/>
  <c r="U3599" i="60"/>
  <c r="U3600" i="60"/>
  <c r="U3601" i="60"/>
  <c r="U3602" i="60"/>
  <c r="U3603" i="60"/>
  <c r="U3604" i="60"/>
  <c r="U3605" i="60"/>
  <c r="U3606" i="60"/>
  <c r="U3607" i="60"/>
  <c r="U3608" i="60"/>
  <c r="U3609" i="60"/>
  <c r="U3610" i="60"/>
  <c r="U3611" i="60"/>
  <c r="U3612" i="60"/>
  <c r="U3613" i="60"/>
  <c r="U3614" i="60"/>
  <c r="U3615" i="60"/>
  <c r="U3616" i="60"/>
  <c r="U3617" i="60"/>
  <c r="U3618" i="60"/>
  <c r="U3619" i="60"/>
  <c r="U3620" i="60"/>
  <c r="U3621" i="60"/>
  <c r="U3622" i="60"/>
  <c r="U3623" i="60"/>
  <c r="U3624" i="60"/>
  <c r="U3625" i="60"/>
  <c r="U3626" i="60"/>
  <c r="U3627" i="60"/>
  <c r="U3628" i="60"/>
  <c r="U3629" i="60"/>
  <c r="U3630" i="60"/>
  <c r="U3631" i="60"/>
  <c r="U3632" i="60"/>
  <c r="U3633" i="60"/>
  <c r="U3634" i="60"/>
  <c r="U3635" i="60"/>
  <c r="U3636" i="60"/>
  <c r="U3637" i="60"/>
  <c r="U3638" i="60"/>
  <c r="U3639" i="60"/>
  <c r="U3640" i="60"/>
  <c r="U3641" i="60"/>
  <c r="U3642" i="60"/>
  <c r="U3643" i="60"/>
  <c r="U3644" i="60"/>
  <c r="U3645" i="60"/>
  <c r="U3646" i="60"/>
  <c r="U3647" i="60"/>
  <c r="U3648" i="60"/>
  <c r="U3649" i="60"/>
  <c r="U3650" i="60"/>
  <c r="U3651" i="60"/>
  <c r="U3652" i="60"/>
  <c r="U3653" i="60"/>
  <c r="U3654" i="60"/>
  <c r="U3655" i="60"/>
  <c r="U3656" i="60"/>
  <c r="U3657" i="60"/>
  <c r="U3658" i="60"/>
  <c r="U3659" i="60"/>
  <c r="U3660" i="60"/>
  <c r="U3661" i="60"/>
  <c r="U3662" i="60"/>
  <c r="U3663" i="60"/>
  <c r="U3664" i="60"/>
  <c r="U3665" i="60"/>
  <c r="U3666" i="60"/>
  <c r="U3667" i="60"/>
  <c r="U3668" i="60"/>
  <c r="U3669" i="60"/>
  <c r="U3670" i="60"/>
  <c r="U3671" i="60"/>
  <c r="U3672" i="60"/>
  <c r="U3673" i="60"/>
  <c r="U3674" i="60"/>
  <c r="U3675" i="60"/>
  <c r="U3676" i="60"/>
  <c r="U3677" i="60"/>
  <c r="U3678" i="60"/>
  <c r="U3679" i="60"/>
  <c r="U3680" i="60"/>
  <c r="U3681" i="60"/>
  <c r="U3682" i="60"/>
  <c r="U3683" i="60"/>
  <c r="U3684" i="60"/>
  <c r="U3685" i="60"/>
  <c r="U3686" i="60"/>
  <c r="U3687" i="60"/>
  <c r="U3688" i="60"/>
  <c r="U3689" i="60"/>
  <c r="U3690" i="60"/>
  <c r="U3691" i="60"/>
  <c r="U3692" i="60"/>
  <c r="U3693" i="60"/>
  <c r="U3694" i="60"/>
  <c r="U3695" i="60"/>
  <c r="U3557" i="60"/>
  <c r="U3558" i="60"/>
  <c r="U3559" i="60"/>
  <c r="U3560" i="60"/>
  <c r="U3561" i="60"/>
  <c r="U3562" i="60"/>
  <c r="U3563" i="60"/>
  <c r="U3564" i="60"/>
  <c r="U3565" i="60"/>
  <c r="U3566" i="60"/>
  <c r="U3567" i="60"/>
  <c r="U3568" i="60"/>
  <c r="U3569" i="60"/>
  <c r="U3570" i="60"/>
  <c r="U3571" i="60"/>
  <c r="U3572" i="60"/>
  <c r="U3573" i="60"/>
  <c r="U3574" i="60"/>
  <c r="U3575" i="60"/>
  <c r="U3576" i="60"/>
  <c r="U3577" i="60"/>
  <c r="U3578" i="60"/>
  <c r="U3579" i="60"/>
  <c r="U3580" i="60"/>
  <c r="O3581" i="60"/>
  <c r="O3582" i="60"/>
  <c r="O3583" i="60"/>
  <c r="O3584" i="60"/>
  <c r="O3585" i="60"/>
  <c r="O3586" i="60"/>
  <c r="O3587" i="60"/>
  <c r="O3588" i="60"/>
  <c r="O3589" i="60"/>
  <c r="O3590" i="60"/>
  <c r="O3591" i="60"/>
  <c r="O3592" i="60"/>
  <c r="O3593" i="60"/>
  <c r="O3594" i="60"/>
  <c r="O3595" i="60"/>
  <c r="O3596" i="60"/>
  <c r="O3597" i="60"/>
  <c r="O3598" i="60"/>
  <c r="O3599" i="60"/>
  <c r="O3600" i="60"/>
  <c r="O3601" i="60"/>
  <c r="O3602" i="60"/>
  <c r="O3603" i="60"/>
  <c r="O3604" i="60"/>
  <c r="O3605" i="60"/>
  <c r="O3606" i="60"/>
  <c r="O3607" i="60"/>
  <c r="O3608" i="60"/>
  <c r="O3609" i="60"/>
  <c r="O3610" i="60"/>
  <c r="O3611" i="60"/>
  <c r="O3612" i="60"/>
  <c r="O3613" i="60"/>
  <c r="O3614" i="60"/>
  <c r="O3615" i="60"/>
  <c r="O3616" i="60"/>
  <c r="O3617" i="60"/>
  <c r="O3618" i="60"/>
  <c r="O3619" i="60"/>
  <c r="O3620" i="60"/>
  <c r="O3621" i="60"/>
  <c r="O3622" i="60"/>
  <c r="O3623" i="60"/>
  <c r="O3624" i="60"/>
  <c r="O3625" i="60"/>
  <c r="O3626" i="60"/>
  <c r="O3627" i="60"/>
  <c r="O3628" i="60"/>
  <c r="O3629" i="60"/>
  <c r="O3630" i="60"/>
  <c r="O3631" i="60"/>
  <c r="O3632" i="60"/>
  <c r="O3633" i="60"/>
  <c r="O3634" i="60"/>
  <c r="O3635" i="60"/>
  <c r="O3636" i="60"/>
  <c r="O3637" i="60"/>
  <c r="O3638" i="60"/>
  <c r="O3639" i="60"/>
  <c r="O3640" i="60"/>
  <c r="O3641" i="60"/>
  <c r="O3642" i="60"/>
  <c r="O3643" i="60"/>
  <c r="O3644" i="60"/>
  <c r="O3645" i="60"/>
  <c r="O3646" i="60"/>
  <c r="O3647" i="60"/>
  <c r="O3648" i="60"/>
  <c r="O3649" i="60"/>
  <c r="O3650" i="60"/>
  <c r="O3651" i="60"/>
  <c r="O3652" i="60"/>
  <c r="O3653" i="60"/>
  <c r="O3654" i="60"/>
  <c r="O3655" i="60"/>
  <c r="O3656" i="60"/>
  <c r="O3657" i="60"/>
  <c r="O3658" i="60"/>
  <c r="O3659" i="60"/>
  <c r="O3660" i="60"/>
  <c r="O3661" i="60"/>
  <c r="O3662" i="60"/>
  <c r="O3663" i="60"/>
  <c r="O3664" i="60"/>
  <c r="O3665" i="60"/>
  <c r="O3666" i="60"/>
  <c r="O3667" i="60"/>
  <c r="O3668" i="60"/>
  <c r="O3669" i="60"/>
  <c r="O3670" i="60"/>
  <c r="O3671" i="60"/>
  <c r="O3672" i="60"/>
  <c r="O3673" i="60"/>
  <c r="O3674" i="60"/>
  <c r="O3675" i="60"/>
  <c r="O3676" i="60"/>
  <c r="O3677" i="60"/>
  <c r="O3678" i="60"/>
  <c r="O3679" i="60"/>
  <c r="O3680" i="60"/>
  <c r="O3681" i="60"/>
  <c r="O3682" i="60"/>
  <c r="O3683" i="60"/>
  <c r="O3684" i="60"/>
  <c r="O3685" i="60"/>
  <c r="O3686" i="60"/>
  <c r="O3687" i="60"/>
  <c r="O3688" i="60"/>
  <c r="O3689" i="60"/>
  <c r="O3690" i="60"/>
  <c r="O3691" i="60"/>
  <c r="O3692" i="60"/>
  <c r="O3693" i="60"/>
  <c r="O3694" i="60"/>
  <c r="O3695" i="60"/>
  <c r="O3557" i="60"/>
  <c r="O3558" i="60"/>
  <c r="O3559" i="60"/>
  <c r="O3560" i="60"/>
  <c r="O3561" i="60"/>
  <c r="O3562" i="60"/>
  <c r="O3563" i="60"/>
  <c r="O3564" i="60"/>
  <c r="O3565" i="60"/>
  <c r="O3566" i="60"/>
  <c r="O3567" i="60"/>
  <c r="O3568" i="60"/>
  <c r="O3569" i="60"/>
  <c r="O3570" i="60"/>
  <c r="O3571" i="60"/>
  <c r="O3572" i="60"/>
  <c r="O3573" i="60"/>
  <c r="O3574" i="60"/>
  <c r="O3575" i="60"/>
  <c r="O3576" i="60"/>
  <c r="O3577" i="60"/>
  <c r="O3578" i="60"/>
  <c r="O3579" i="60"/>
  <c r="O3580" i="60"/>
  <c r="U2" i="60"/>
  <c r="O3" i="60"/>
  <c r="O4" i="60"/>
  <c r="O5" i="60"/>
  <c r="O6" i="60"/>
  <c r="O7" i="60"/>
  <c r="O8" i="60"/>
  <c r="O9" i="60"/>
  <c r="O10" i="60"/>
  <c r="O11" i="60"/>
  <c r="O12" i="60"/>
  <c r="O13" i="60"/>
  <c r="O14" i="60"/>
  <c r="O15" i="60"/>
  <c r="O16" i="60"/>
  <c r="O17" i="60"/>
  <c r="O18" i="60"/>
  <c r="O19" i="60"/>
  <c r="O20" i="60"/>
  <c r="O21" i="60"/>
  <c r="O22" i="60"/>
  <c r="O23" i="60"/>
  <c r="O24" i="60"/>
  <c r="O25" i="60"/>
  <c r="O26" i="60"/>
  <c r="O27" i="60"/>
  <c r="O28" i="60"/>
  <c r="O29" i="60"/>
  <c r="O30" i="60"/>
  <c r="O31" i="60"/>
  <c r="O32" i="60"/>
  <c r="O33" i="60"/>
  <c r="O34" i="60"/>
  <c r="O35" i="60"/>
  <c r="O36" i="60"/>
  <c r="O37" i="60"/>
  <c r="O38" i="60"/>
  <c r="O39" i="60"/>
  <c r="O40" i="60"/>
  <c r="O41" i="60"/>
  <c r="O42" i="60"/>
  <c r="O43" i="60"/>
  <c r="O44" i="60"/>
  <c r="O45" i="60"/>
  <c r="O46" i="60"/>
  <c r="O47" i="60"/>
  <c r="O48" i="60"/>
  <c r="O49" i="60"/>
  <c r="O50" i="60"/>
  <c r="O51" i="60"/>
  <c r="O52" i="60"/>
  <c r="O53" i="60"/>
  <c r="O54" i="60"/>
  <c r="O55" i="60"/>
  <c r="O56" i="60"/>
  <c r="O57" i="60"/>
  <c r="O58" i="60"/>
  <c r="O59" i="60"/>
  <c r="O60" i="60"/>
  <c r="O61" i="60"/>
  <c r="O62" i="60"/>
  <c r="O63" i="60"/>
  <c r="O64" i="60"/>
  <c r="O65" i="60"/>
  <c r="O66" i="60"/>
  <c r="O67" i="60"/>
  <c r="O68" i="60"/>
  <c r="O69" i="60"/>
  <c r="O70" i="60"/>
  <c r="O71" i="60"/>
  <c r="O72" i="60"/>
  <c r="O73" i="60"/>
  <c r="O74" i="60"/>
  <c r="O75" i="60"/>
  <c r="O76" i="60"/>
  <c r="O77" i="60"/>
  <c r="O78" i="60"/>
  <c r="O79" i="60"/>
  <c r="O80" i="60"/>
  <c r="O81" i="60"/>
  <c r="O82" i="60"/>
  <c r="O83" i="60"/>
  <c r="O84" i="60"/>
  <c r="O85" i="60"/>
  <c r="O86" i="60"/>
  <c r="O87" i="60"/>
  <c r="O88" i="60"/>
  <c r="O89" i="60"/>
  <c r="O90" i="60"/>
  <c r="O91" i="60"/>
  <c r="O92" i="60"/>
  <c r="O93" i="60"/>
  <c r="O94" i="60"/>
  <c r="O95" i="60"/>
  <c r="O96" i="60"/>
  <c r="O97" i="60"/>
  <c r="O98" i="60"/>
  <c r="O99" i="60"/>
  <c r="O100" i="60"/>
  <c r="O101" i="60"/>
  <c r="O102" i="60"/>
  <c r="O103" i="60"/>
  <c r="O104" i="60"/>
  <c r="O105" i="60"/>
  <c r="O106" i="60"/>
  <c r="O107" i="60"/>
  <c r="O108" i="60"/>
  <c r="O109" i="60"/>
  <c r="O110" i="60"/>
  <c r="O111" i="60"/>
  <c r="O112" i="60"/>
  <c r="O113" i="60"/>
  <c r="O114" i="60"/>
  <c r="O115" i="60"/>
  <c r="O116" i="60"/>
  <c r="O117" i="60"/>
  <c r="O118" i="60"/>
  <c r="O119" i="60"/>
  <c r="O120" i="60"/>
  <c r="O121" i="60"/>
  <c r="O122" i="60"/>
  <c r="O123" i="60"/>
  <c r="O124" i="60"/>
  <c r="O125" i="60"/>
  <c r="O126" i="60"/>
  <c r="O127" i="60"/>
  <c r="O128" i="60"/>
  <c r="O129" i="60"/>
  <c r="O130" i="60"/>
  <c r="O131" i="60"/>
  <c r="O132" i="60"/>
  <c r="O133" i="60"/>
  <c r="O134" i="60"/>
  <c r="O135" i="60"/>
  <c r="O136" i="60"/>
  <c r="O137" i="60"/>
  <c r="O138" i="60"/>
  <c r="O139" i="60"/>
  <c r="O140" i="60"/>
  <c r="O141" i="60"/>
  <c r="O142" i="60"/>
  <c r="O143" i="60"/>
  <c r="O144" i="60"/>
  <c r="O145" i="60"/>
  <c r="O146" i="60"/>
  <c r="O147" i="60"/>
  <c r="O148" i="60"/>
  <c r="O149" i="60"/>
  <c r="O150" i="60"/>
  <c r="O151" i="60"/>
  <c r="O152" i="60"/>
  <c r="O153" i="60"/>
  <c r="O154" i="60"/>
  <c r="O155" i="60"/>
  <c r="O156" i="60"/>
  <c r="O157" i="60"/>
  <c r="O158" i="60"/>
  <c r="O159" i="60"/>
  <c r="O160" i="60"/>
  <c r="O161" i="60"/>
  <c r="O162" i="60"/>
  <c r="O163" i="60"/>
  <c r="O164" i="60"/>
  <c r="O165" i="60"/>
  <c r="O166" i="60"/>
  <c r="O167" i="60"/>
  <c r="O168" i="60"/>
  <c r="O169" i="60"/>
  <c r="O170" i="60"/>
  <c r="O171" i="60"/>
  <c r="O172" i="60"/>
  <c r="O173" i="60"/>
  <c r="O174" i="60"/>
  <c r="O175" i="60"/>
  <c r="O176" i="60"/>
  <c r="O177" i="60"/>
  <c r="O178" i="60"/>
  <c r="O179" i="60"/>
  <c r="O180" i="60"/>
  <c r="O181" i="60"/>
  <c r="O182" i="60"/>
  <c r="O183" i="60"/>
  <c r="O184" i="60"/>
  <c r="O185" i="60"/>
  <c r="O186" i="60"/>
  <c r="O187" i="60"/>
  <c r="O188" i="60"/>
  <c r="O189" i="60"/>
  <c r="O190" i="60"/>
  <c r="O191" i="60"/>
  <c r="O192" i="60"/>
  <c r="O193" i="60"/>
  <c r="O194" i="60"/>
  <c r="O195" i="60"/>
  <c r="O196" i="60"/>
  <c r="O197" i="60"/>
  <c r="O198" i="60"/>
  <c r="O199" i="60"/>
  <c r="O200" i="60"/>
  <c r="O201" i="60"/>
  <c r="O202" i="60"/>
  <c r="O203" i="60"/>
  <c r="O204" i="60"/>
  <c r="O205" i="60"/>
  <c r="O206" i="60"/>
  <c r="O207" i="60"/>
  <c r="O208" i="60"/>
  <c r="O209" i="60"/>
  <c r="O210" i="60"/>
  <c r="O211" i="60"/>
  <c r="O212" i="60"/>
  <c r="O213" i="60"/>
  <c r="O214" i="60"/>
  <c r="O215" i="60"/>
  <c r="O216" i="60"/>
  <c r="O217" i="60"/>
  <c r="O218" i="60"/>
  <c r="O219" i="60"/>
  <c r="O220" i="60"/>
  <c r="O221" i="60"/>
  <c r="O222" i="60"/>
  <c r="O223" i="60"/>
  <c r="O224" i="60"/>
  <c r="O225" i="60"/>
  <c r="O226" i="60"/>
  <c r="O227" i="60"/>
  <c r="O228" i="60"/>
  <c r="O229" i="60"/>
  <c r="O230" i="60"/>
  <c r="O231" i="60"/>
  <c r="O232" i="60"/>
  <c r="O233" i="60"/>
  <c r="O234" i="60"/>
  <c r="O235" i="60"/>
  <c r="O236" i="60"/>
  <c r="O237" i="60"/>
  <c r="O238" i="60"/>
  <c r="O239" i="60"/>
  <c r="O240" i="60"/>
  <c r="O241" i="60"/>
  <c r="O242" i="60"/>
  <c r="O243" i="60"/>
  <c r="O244" i="60"/>
  <c r="O245" i="60"/>
  <c r="O246" i="60"/>
  <c r="O247" i="60"/>
  <c r="O248" i="60"/>
  <c r="O249" i="60"/>
  <c r="O250" i="60"/>
  <c r="O251" i="60"/>
  <c r="O252" i="60"/>
  <c r="O253" i="60"/>
  <c r="O254" i="60"/>
  <c r="O255" i="60"/>
  <c r="O256" i="60"/>
  <c r="O257" i="60"/>
  <c r="O258" i="60"/>
  <c r="O259" i="60"/>
  <c r="O260" i="60"/>
  <c r="O261" i="60"/>
  <c r="O262" i="60"/>
  <c r="O263" i="60"/>
  <c r="O264" i="60"/>
  <c r="O265" i="60"/>
  <c r="O266" i="60"/>
  <c r="O267" i="60"/>
  <c r="O268" i="60"/>
  <c r="O269" i="60"/>
  <c r="O270" i="60"/>
  <c r="O271" i="60"/>
  <c r="O272" i="60"/>
  <c r="O273" i="60"/>
  <c r="O274" i="60"/>
  <c r="O275" i="60"/>
  <c r="O276" i="60"/>
  <c r="O277" i="60"/>
  <c r="O278" i="60"/>
  <c r="O279" i="60"/>
  <c r="O280" i="60"/>
  <c r="O281" i="60"/>
  <c r="O282" i="60"/>
  <c r="O283" i="60"/>
  <c r="O284" i="60"/>
  <c r="O285" i="60"/>
  <c r="O286" i="60"/>
  <c r="O287" i="60"/>
  <c r="O288" i="60"/>
  <c r="O289" i="60"/>
  <c r="O290" i="60"/>
  <c r="O291" i="60"/>
  <c r="O292" i="60"/>
  <c r="O293" i="60"/>
  <c r="O294" i="60"/>
  <c r="O295" i="60"/>
  <c r="O296" i="60"/>
  <c r="O297" i="60"/>
  <c r="O298" i="60"/>
  <c r="O299" i="60"/>
  <c r="O300" i="60"/>
  <c r="O301" i="60"/>
  <c r="O302" i="60"/>
  <c r="O303" i="60"/>
  <c r="O304" i="60"/>
  <c r="O305" i="60"/>
  <c r="O306" i="60"/>
  <c r="O307" i="60"/>
  <c r="O308" i="60"/>
  <c r="O309" i="60"/>
  <c r="O310" i="60"/>
  <c r="O311" i="60"/>
  <c r="O312" i="60"/>
  <c r="O313" i="60"/>
  <c r="O314" i="60"/>
  <c r="O315" i="60"/>
  <c r="O316" i="60"/>
  <c r="O317" i="60"/>
  <c r="O318" i="60"/>
  <c r="O319" i="60"/>
  <c r="O320" i="60"/>
  <c r="O321" i="60"/>
  <c r="O322" i="60"/>
  <c r="O323" i="60"/>
  <c r="O324" i="60"/>
  <c r="O325" i="60"/>
  <c r="O326" i="60"/>
  <c r="O327" i="60"/>
  <c r="O328" i="60"/>
  <c r="O329" i="60"/>
  <c r="O330" i="60"/>
  <c r="O331" i="60"/>
  <c r="O332" i="60"/>
  <c r="O333" i="60"/>
  <c r="O334" i="60"/>
  <c r="O335" i="60"/>
  <c r="O336" i="60"/>
  <c r="O337" i="60"/>
  <c r="O338" i="60"/>
  <c r="O339" i="60"/>
  <c r="O340" i="60"/>
  <c r="O341" i="60"/>
  <c r="O342" i="60"/>
  <c r="O343" i="60"/>
  <c r="O344" i="60"/>
  <c r="O345" i="60"/>
  <c r="O346" i="60"/>
  <c r="O347" i="60"/>
  <c r="O348" i="60"/>
  <c r="O349" i="60"/>
  <c r="O350" i="60"/>
  <c r="O351" i="60"/>
  <c r="O352" i="60"/>
  <c r="O353" i="60"/>
  <c r="O354" i="60"/>
  <c r="O355" i="60"/>
  <c r="O356" i="60"/>
  <c r="O357" i="60"/>
  <c r="O358" i="60"/>
  <c r="O359" i="60"/>
  <c r="O360" i="60"/>
  <c r="O361" i="60"/>
  <c r="O362" i="60"/>
  <c r="O363" i="60"/>
  <c r="O364" i="60"/>
  <c r="O365" i="60"/>
  <c r="O366" i="60"/>
  <c r="O367" i="60"/>
  <c r="O368" i="60"/>
  <c r="O369" i="60"/>
  <c r="O370" i="60"/>
  <c r="O371" i="60"/>
  <c r="O372" i="60"/>
  <c r="O373" i="60"/>
  <c r="O374" i="60"/>
  <c r="O375" i="60"/>
  <c r="O376" i="60"/>
  <c r="O377" i="60"/>
  <c r="O378" i="60"/>
  <c r="O379" i="60"/>
  <c r="O380" i="60"/>
  <c r="O381" i="60"/>
  <c r="O382" i="60"/>
  <c r="O383" i="60"/>
  <c r="O384" i="60"/>
  <c r="O385" i="60"/>
  <c r="O386" i="60"/>
  <c r="O387" i="60"/>
  <c r="O388" i="60"/>
  <c r="O389" i="60"/>
  <c r="O390" i="60"/>
  <c r="O391" i="60"/>
  <c r="O392" i="60"/>
  <c r="O393" i="60"/>
  <c r="O394" i="60"/>
  <c r="O395" i="60"/>
  <c r="O396" i="60"/>
  <c r="O397" i="60"/>
  <c r="O398" i="60"/>
  <c r="O399" i="60"/>
  <c r="O400" i="60"/>
  <c r="O401" i="60"/>
  <c r="O402" i="60"/>
  <c r="O403" i="60"/>
  <c r="O404" i="60"/>
  <c r="O405" i="60"/>
  <c r="O406" i="60"/>
  <c r="O407" i="60"/>
  <c r="O408" i="60"/>
  <c r="O409" i="60"/>
  <c r="O410" i="60"/>
  <c r="O411" i="60"/>
  <c r="O412" i="60"/>
  <c r="O413" i="60"/>
  <c r="O414" i="60"/>
  <c r="O415" i="60"/>
  <c r="O416" i="60"/>
  <c r="O417" i="60"/>
  <c r="O418" i="60"/>
  <c r="O419" i="60"/>
  <c r="O420" i="60"/>
  <c r="O421" i="60"/>
  <c r="O422" i="60"/>
  <c r="O423" i="60"/>
  <c r="O424" i="60"/>
  <c r="O425" i="60"/>
  <c r="O426" i="60"/>
  <c r="O427" i="60"/>
  <c r="O428" i="60"/>
  <c r="O429" i="60"/>
  <c r="O430" i="60"/>
  <c r="O431" i="60"/>
  <c r="O432" i="60"/>
  <c r="O433" i="60"/>
  <c r="O434" i="60"/>
  <c r="O435" i="60"/>
  <c r="O436" i="60"/>
  <c r="O437" i="60"/>
  <c r="O438" i="60"/>
  <c r="O439" i="60"/>
  <c r="O440" i="60"/>
  <c r="O441" i="60"/>
  <c r="O442" i="60"/>
  <c r="O443" i="60"/>
  <c r="O444" i="60"/>
  <c r="O445" i="60"/>
  <c r="O446" i="60"/>
  <c r="O447" i="60"/>
  <c r="O448" i="60"/>
  <c r="O449" i="60"/>
  <c r="O450" i="60"/>
  <c r="O451" i="60"/>
  <c r="O452" i="60"/>
  <c r="O453" i="60"/>
  <c r="O454" i="60"/>
  <c r="O455" i="60"/>
  <c r="O456" i="60"/>
  <c r="O457" i="60"/>
  <c r="O458" i="60"/>
  <c r="O459" i="60"/>
  <c r="O460" i="60"/>
  <c r="O461" i="60"/>
  <c r="O462" i="60"/>
  <c r="O463" i="60"/>
  <c r="O464" i="60"/>
  <c r="O465" i="60"/>
  <c r="O466" i="60"/>
  <c r="O467" i="60"/>
  <c r="O468" i="60"/>
  <c r="O469" i="60"/>
  <c r="O470" i="60"/>
  <c r="O471" i="60"/>
  <c r="O472" i="60"/>
  <c r="O473" i="60"/>
  <c r="O474" i="60"/>
  <c r="O475" i="60"/>
  <c r="O476" i="60"/>
  <c r="O477" i="60"/>
  <c r="O478" i="60"/>
  <c r="O479" i="60"/>
  <c r="O480" i="60"/>
  <c r="O481" i="60"/>
  <c r="O482" i="60"/>
  <c r="O483" i="60"/>
  <c r="O484" i="60"/>
  <c r="O485" i="60"/>
  <c r="O486" i="60"/>
  <c r="O487" i="60"/>
  <c r="O488" i="60"/>
  <c r="O489" i="60"/>
  <c r="O490" i="60"/>
  <c r="O491" i="60"/>
  <c r="O492" i="60"/>
  <c r="O493" i="60"/>
  <c r="O494" i="60"/>
  <c r="O495" i="60"/>
  <c r="O496" i="60"/>
  <c r="O497" i="60"/>
  <c r="O498" i="60"/>
  <c r="O499" i="60"/>
  <c r="O500" i="60"/>
  <c r="O501" i="60"/>
  <c r="O502" i="60"/>
  <c r="O503" i="60"/>
  <c r="O504" i="60"/>
  <c r="O505" i="60"/>
  <c r="O506" i="60"/>
  <c r="O507" i="60"/>
  <c r="O508" i="60"/>
  <c r="O509" i="60"/>
  <c r="O510" i="60"/>
  <c r="O511" i="60"/>
  <c r="O512" i="60"/>
  <c r="O513" i="60"/>
  <c r="O514" i="60"/>
  <c r="O515" i="60"/>
  <c r="O516" i="60"/>
  <c r="O517" i="60"/>
  <c r="O518" i="60"/>
  <c r="O519" i="60"/>
  <c r="O520" i="60"/>
  <c r="O521" i="60"/>
  <c r="O522" i="60"/>
  <c r="O523" i="60"/>
  <c r="O524" i="60"/>
  <c r="O525" i="60"/>
  <c r="O526" i="60"/>
  <c r="O527" i="60"/>
  <c r="O528" i="60"/>
  <c r="O529" i="60"/>
  <c r="O530" i="60"/>
  <c r="O531" i="60"/>
  <c r="O532" i="60"/>
  <c r="O533" i="60"/>
  <c r="O534" i="60"/>
  <c r="O535" i="60"/>
  <c r="O536" i="60"/>
  <c r="O537" i="60"/>
  <c r="O538" i="60"/>
  <c r="O539" i="60"/>
  <c r="O540" i="60"/>
  <c r="O541" i="60"/>
  <c r="O542" i="60"/>
  <c r="O543" i="60"/>
  <c r="O544" i="60"/>
  <c r="O545" i="60"/>
  <c r="O546" i="60"/>
  <c r="O547" i="60"/>
  <c r="O548" i="60"/>
  <c r="O549" i="60"/>
  <c r="O550" i="60"/>
  <c r="O551" i="60"/>
  <c r="O552" i="60"/>
  <c r="O553" i="60"/>
  <c r="O554" i="60"/>
  <c r="O555" i="60"/>
  <c r="O556" i="60"/>
  <c r="O557" i="60"/>
  <c r="O558" i="60"/>
  <c r="O559" i="60"/>
  <c r="O560" i="60"/>
  <c r="O561" i="60"/>
  <c r="O562" i="60"/>
  <c r="O563" i="60"/>
  <c r="O564" i="60"/>
  <c r="O565" i="60"/>
  <c r="O566" i="60"/>
  <c r="O567" i="60"/>
  <c r="O568" i="60"/>
  <c r="O569" i="60"/>
  <c r="O570" i="60"/>
  <c r="O571" i="60"/>
  <c r="O572" i="60"/>
  <c r="O573" i="60"/>
  <c r="O574" i="60"/>
  <c r="O575" i="60"/>
  <c r="O576" i="60"/>
  <c r="O577" i="60"/>
  <c r="O578" i="60"/>
  <c r="O579" i="60"/>
  <c r="O580" i="60"/>
  <c r="O581" i="60"/>
  <c r="O582" i="60"/>
  <c r="O583" i="60"/>
  <c r="O584" i="60"/>
  <c r="O585" i="60"/>
  <c r="O586" i="60"/>
  <c r="O587" i="60"/>
  <c r="O588" i="60"/>
  <c r="O589" i="60"/>
  <c r="O590" i="60"/>
  <c r="O591" i="60"/>
  <c r="O592" i="60"/>
  <c r="O593" i="60"/>
  <c r="O594" i="60"/>
  <c r="O595" i="60"/>
  <c r="O596" i="60"/>
  <c r="O597" i="60"/>
  <c r="O598" i="60"/>
  <c r="O599" i="60"/>
  <c r="O600" i="60"/>
  <c r="O601" i="60"/>
  <c r="O602" i="60"/>
  <c r="O603" i="60"/>
  <c r="O604" i="60"/>
  <c r="O605" i="60"/>
  <c r="O606" i="60"/>
  <c r="O607" i="60"/>
  <c r="O608" i="60"/>
  <c r="O609" i="60"/>
  <c r="O610" i="60"/>
  <c r="O611" i="60"/>
  <c r="O612" i="60"/>
  <c r="O613" i="60"/>
  <c r="O614" i="60"/>
  <c r="O615" i="60"/>
  <c r="O616" i="60"/>
  <c r="O617" i="60"/>
  <c r="O618" i="60"/>
  <c r="O619" i="60"/>
  <c r="O620" i="60"/>
  <c r="O621" i="60"/>
  <c r="O622" i="60"/>
  <c r="O623" i="60"/>
  <c r="O624" i="60"/>
  <c r="O625" i="60"/>
  <c r="O626" i="60"/>
  <c r="O627" i="60"/>
  <c r="O628" i="60"/>
  <c r="O629" i="60"/>
  <c r="O630" i="60"/>
  <c r="O631" i="60"/>
  <c r="O632" i="60"/>
  <c r="O633" i="60"/>
  <c r="O634" i="60"/>
  <c r="O635" i="60"/>
  <c r="O636" i="60"/>
  <c r="O637" i="60"/>
  <c r="O638" i="60"/>
  <c r="O639" i="60"/>
  <c r="O640" i="60"/>
  <c r="O641" i="60"/>
  <c r="O642" i="60"/>
  <c r="O643" i="60"/>
  <c r="O644" i="60"/>
  <c r="O645" i="60"/>
  <c r="O646" i="60"/>
  <c r="O647" i="60"/>
  <c r="O648" i="60"/>
  <c r="O649" i="60"/>
  <c r="O650" i="60"/>
  <c r="O651" i="60"/>
  <c r="O652" i="60"/>
  <c r="O653" i="60"/>
  <c r="O654" i="60"/>
  <c r="O655" i="60"/>
  <c r="O656" i="60"/>
  <c r="O657" i="60"/>
  <c r="O658" i="60"/>
  <c r="O659" i="60"/>
  <c r="O660" i="60"/>
  <c r="O661" i="60"/>
  <c r="O662" i="60"/>
  <c r="O663" i="60"/>
  <c r="O664" i="60"/>
  <c r="O665" i="60"/>
  <c r="O666" i="60"/>
  <c r="O667" i="60"/>
  <c r="O668" i="60"/>
  <c r="O669" i="60"/>
  <c r="O670" i="60"/>
  <c r="O671" i="60"/>
  <c r="O672" i="60"/>
  <c r="O673" i="60"/>
  <c r="O674" i="60"/>
  <c r="O675" i="60"/>
  <c r="O676" i="60"/>
  <c r="O677" i="60"/>
  <c r="O678" i="60"/>
  <c r="O679" i="60"/>
  <c r="O680" i="60"/>
  <c r="O681" i="60"/>
  <c r="O682" i="60"/>
  <c r="O683" i="60"/>
  <c r="O684" i="60"/>
  <c r="O685" i="60"/>
  <c r="O686" i="60"/>
  <c r="O687" i="60"/>
  <c r="O688" i="60"/>
  <c r="O689" i="60"/>
  <c r="O690" i="60"/>
  <c r="O691" i="60"/>
  <c r="O692" i="60"/>
  <c r="O693" i="60"/>
  <c r="O694" i="60"/>
  <c r="O695" i="60"/>
  <c r="O696" i="60"/>
  <c r="O697" i="60"/>
  <c r="O698" i="60"/>
  <c r="O699" i="60"/>
  <c r="O700" i="60"/>
  <c r="O701" i="60"/>
  <c r="O702" i="60"/>
  <c r="O703" i="60"/>
  <c r="O704" i="60"/>
  <c r="O705" i="60"/>
  <c r="O706" i="60"/>
  <c r="O707" i="60"/>
  <c r="O708" i="60"/>
  <c r="O709" i="60"/>
  <c r="O710" i="60"/>
  <c r="O711" i="60"/>
  <c r="O712" i="60"/>
  <c r="O713" i="60"/>
  <c r="O714" i="60"/>
  <c r="O715" i="60"/>
  <c r="O716" i="60"/>
  <c r="O717" i="60"/>
  <c r="O718" i="60"/>
  <c r="O719" i="60"/>
  <c r="O720" i="60"/>
  <c r="O721" i="60"/>
  <c r="O722" i="60"/>
  <c r="O723" i="60"/>
  <c r="O724" i="60"/>
  <c r="O725" i="60"/>
  <c r="O726" i="60"/>
  <c r="O727" i="60"/>
  <c r="O728" i="60"/>
  <c r="O729" i="60"/>
  <c r="O730" i="60"/>
  <c r="O731" i="60"/>
  <c r="O732" i="60"/>
  <c r="O733" i="60"/>
  <c r="O734" i="60"/>
  <c r="O735" i="60"/>
  <c r="O736" i="60"/>
  <c r="O737" i="60"/>
  <c r="O738" i="60"/>
  <c r="O739" i="60"/>
  <c r="O740" i="60"/>
  <c r="O741" i="60"/>
  <c r="O742" i="60"/>
  <c r="O743" i="60"/>
  <c r="O744" i="60"/>
  <c r="O745" i="60"/>
  <c r="O746" i="60"/>
  <c r="O747" i="60"/>
  <c r="O748" i="60"/>
  <c r="O749" i="60"/>
  <c r="O750" i="60"/>
  <c r="O751" i="60"/>
  <c r="O752" i="60"/>
  <c r="O753" i="60"/>
  <c r="O754" i="60"/>
  <c r="O755" i="60"/>
  <c r="O756" i="60"/>
  <c r="O757" i="60"/>
  <c r="O758" i="60"/>
  <c r="O759" i="60"/>
  <c r="O760" i="60"/>
  <c r="O761" i="60"/>
  <c r="O762" i="60"/>
  <c r="O763" i="60"/>
  <c r="O764" i="60"/>
  <c r="O765" i="60"/>
  <c r="O766" i="60"/>
  <c r="O767" i="60"/>
  <c r="O768" i="60"/>
  <c r="O769" i="60"/>
  <c r="O770" i="60"/>
  <c r="O771" i="60"/>
  <c r="O772" i="60"/>
  <c r="O773" i="60"/>
  <c r="O774" i="60"/>
  <c r="O775" i="60"/>
  <c r="O776" i="60"/>
  <c r="O777" i="60"/>
  <c r="O778" i="60"/>
  <c r="O779" i="60"/>
  <c r="O780" i="60"/>
  <c r="O781" i="60"/>
  <c r="O782" i="60"/>
  <c r="O783" i="60"/>
  <c r="O784" i="60"/>
  <c r="O785" i="60"/>
  <c r="O786" i="60"/>
  <c r="O787" i="60"/>
  <c r="O788" i="60"/>
  <c r="O789" i="60"/>
  <c r="O790" i="60"/>
  <c r="O791" i="60"/>
  <c r="O792" i="60"/>
  <c r="O793" i="60"/>
  <c r="O794" i="60"/>
  <c r="O795" i="60"/>
  <c r="O796" i="60"/>
  <c r="O797" i="60"/>
  <c r="O798" i="60"/>
  <c r="O799" i="60"/>
  <c r="O800" i="60"/>
  <c r="O801" i="60"/>
  <c r="O802" i="60"/>
  <c r="O803" i="60"/>
  <c r="O804" i="60"/>
  <c r="O805" i="60"/>
  <c r="O806" i="60"/>
  <c r="O807" i="60"/>
  <c r="O808" i="60"/>
  <c r="O809" i="60"/>
  <c r="O810" i="60"/>
  <c r="O811" i="60"/>
  <c r="O812" i="60"/>
  <c r="O813" i="60"/>
  <c r="O814" i="60"/>
  <c r="O815" i="60"/>
  <c r="O816" i="60"/>
  <c r="O817" i="60"/>
  <c r="O818" i="60"/>
  <c r="O819" i="60"/>
  <c r="O820" i="60"/>
  <c r="O821" i="60"/>
  <c r="O822" i="60"/>
  <c r="O823" i="60"/>
  <c r="O824" i="60"/>
  <c r="O825" i="60"/>
  <c r="O826" i="60"/>
  <c r="O827" i="60"/>
  <c r="O828" i="60"/>
  <c r="O829" i="60"/>
  <c r="O830" i="60"/>
  <c r="O831" i="60"/>
  <c r="O832" i="60"/>
  <c r="O833" i="60"/>
  <c r="O834" i="60"/>
  <c r="O835" i="60"/>
  <c r="O836" i="60"/>
  <c r="O837" i="60"/>
  <c r="O838" i="60"/>
  <c r="O839" i="60"/>
  <c r="O840" i="60"/>
  <c r="O841" i="60"/>
  <c r="O842" i="60"/>
  <c r="O843" i="60"/>
  <c r="O844" i="60"/>
  <c r="O845" i="60"/>
  <c r="O846" i="60"/>
  <c r="O847" i="60"/>
  <c r="O848" i="60"/>
  <c r="O849" i="60"/>
  <c r="O850" i="60"/>
  <c r="O851" i="60"/>
  <c r="O852" i="60"/>
  <c r="O853" i="60"/>
  <c r="O854" i="60"/>
  <c r="O855" i="60"/>
  <c r="O856" i="60"/>
  <c r="O857" i="60"/>
  <c r="O858" i="60"/>
  <c r="O859" i="60"/>
  <c r="O860" i="60"/>
  <c r="O861" i="60"/>
  <c r="O862" i="60"/>
  <c r="O863" i="60"/>
  <c r="O864" i="60"/>
  <c r="O865" i="60"/>
  <c r="O866" i="60"/>
  <c r="O867" i="60"/>
  <c r="O868" i="60"/>
  <c r="O869" i="60"/>
  <c r="O870" i="60"/>
  <c r="O871" i="60"/>
  <c r="O872" i="60"/>
  <c r="O873" i="60"/>
  <c r="O874" i="60"/>
  <c r="O875" i="60"/>
  <c r="O876" i="60"/>
  <c r="O877" i="60"/>
  <c r="O878" i="60"/>
  <c r="O879" i="60"/>
  <c r="O880" i="60"/>
  <c r="O881" i="60"/>
  <c r="O882" i="60"/>
  <c r="O883" i="60"/>
  <c r="O884" i="60"/>
  <c r="O885" i="60"/>
  <c r="O886" i="60"/>
  <c r="O887" i="60"/>
  <c r="O888" i="60"/>
  <c r="O889" i="60"/>
  <c r="O890" i="60"/>
  <c r="O891" i="60"/>
  <c r="O892" i="60"/>
  <c r="O893" i="60"/>
  <c r="O894" i="60"/>
  <c r="O895" i="60"/>
  <c r="O896" i="60"/>
  <c r="O897" i="60"/>
  <c r="O898" i="60"/>
  <c r="O899" i="60"/>
  <c r="O900" i="60"/>
  <c r="O901" i="60"/>
  <c r="O902" i="60"/>
  <c r="O903" i="60"/>
  <c r="O904" i="60"/>
  <c r="O905" i="60"/>
  <c r="O906" i="60"/>
  <c r="O907" i="60"/>
  <c r="O908" i="60"/>
  <c r="O909" i="60"/>
  <c r="O910" i="60"/>
  <c r="O911" i="60"/>
  <c r="O912" i="60"/>
  <c r="O913" i="60"/>
  <c r="O914" i="60"/>
  <c r="O915" i="60"/>
  <c r="O916" i="60"/>
  <c r="O917" i="60"/>
  <c r="O918" i="60"/>
  <c r="O919" i="60"/>
  <c r="O920" i="60"/>
  <c r="O921" i="60"/>
  <c r="O922" i="60"/>
  <c r="O923" i="60"/>
  <c r="O924" i="60"/>
  <c r="O925" i="60"/>
  <c r="O926" i="60"/>
  <c r="O927" i="60"/>
  <c r="O928" i="60"/>
  <c r="O929" i="60"/>
  <c r="O930" i="60"/>
  <c r="O931" i="60"/>
  <c r="O932" i="60"/>
  <c r="O933" i="60"/>
  <c r="O934" i="60"/>
  <c r="O935" i="60"/>
  <c r="O936" i="60"/>
  <c r="O937" i="60"/>
  <c r="O938" i="60"/>
  <c r="O939" i="60"/>
  <c r="O940" i="60"/>
  <c r="O941" i="60"/>
  <c r="O942" i="60"/>
  <c r="O943" i="60"/>
  <c r="O944" i="60"/>
  <c r="O945" i="60"/>
  <c r="O946" i="60"/>
  <c r="O947" i="60"/>
  <c r="O948" i="60"/>
  <c r="O949" i="60"/>
  <c r="O950" i="60"/>
  <c r="O951" i="60"/>
  <c r="O952" i="60"/>
  <c r="O953" i="60"/>
  <c r="O954" i="60"/>
  <c r="O955" i="60"/>
  <c r="O956" i="60"/>
  <c r="O957" i="60"/>
  <c r="O958" i="60"/>
  <c r="O959" i="60"/>
  <c r="O960" i="60"/>
  <c r="O961" i="60"/>
  <c r="O962" i="60"/>
  <c r="O963" i="60"/>
  <c r="O964" i="60"/>
  <c r="O965" i="60"/>
  <c r="O966" i="60"/>
  <c r="O967" i="60"/>
  <c r="O968" i="60"/>
  <c r="O969" i="60"/>
  <c r="O970" i="60"/>
  <c r="O971" i="60"/>
  <c r="O972" i="60"/>
  <c r="O973" i="60"/>
  <c r="O974" i="60"/>
  <c r="O975" i="60"/>
  <c r="O976" i="60"/>
  <c r="O977" i="60"/>
  <c r="O978" i="60"/>
  <c r="O979" i="60"/>
  <c r="O980" i="60"/>
  <c r="O981" i="60"/>
  <c r="O982" i="60"/>
  <c r="O983" i="60"/>
  <c r="O984" i="60"/>
  <c r="O985" i="60"/>
  <c r="O986" i="60"/>
  <c r="O987" i="60"/>
  <c r="O988" i="60"/>
  <c r="O989" i="60"/>
  <c r="O990" i="60"/>
  <c r="O991" i="60"/>
  <c r="O992" i="60"/>
  <c r="O993" i="60"/>
  <c r="O994" i="60"/>
  <c r="O995" i="60"/>
  <c r="O996" i="60"/>
  <c r="O997" i="60"/>
  <c r="O998" i="60"/>
  <c r="O999" i="60"/>
  <c r="O1000" i="60"/>
  <c r="O1001" i="60"/>
  <c r="O1002" i="60"/>
  <c r="O1003" i="60"/>
  <c r="O1004" i="60"/>
  <c r="O1005" i="60"/>
  <c r="O1006" i="60"/>
  <c r="O1007" i="60"/>
  <c r="O1008" i="60"/>
  <c r="O1009" i="60"/>
  <c r="O1010" i="60"/>
  <c r="O1011" i="60"/>
  <c r="O1012" i="60"/>
  <c r="O1013" i="60"/>
  <c r="O1014" i="60"/>
  <c r="O1015" i="60"/>
  <c r="O1016" i="60"/>
  <c r="O1017" i="60"/>
  <c r="O1018" i="60"/>
  <c r="O1019" i="60"/>
  <c r="O1020" i="60"/>
  <c r="O1021" i="60"/>
  <c r="O1022" i="60"/>
  <c r="O1023" i="60"/>
  <c r="O1024" i="60"/>
  <c r="O1025" i="60"/>
  <c r="O1026" i="60"/>
  <c r="O1027" i="60"/>
  <c r="O1028" i="60"/>
  <c r="O1029" i="60"/>
  <c r="O1030" i="60"/>
  <c r="O1031" i="60"/>
  <c r="O1032" i="60"/>
  <c r="O1033" i="60"/>
  <c r="O1034" i="60"/>
  <c r="O1035" i="60"/>
  <c r="O1036" i="60"/>
  <c r="O1037" i="60"/>
  <c r="O1038" i="60"/>
  <c r="O1039" i="60"/>
  <c r="O1040" i="60"/>
  <c r="O1041" i="60"/>
  <c r="O1042" i="60"/>
  <c r="O1043" i="60"/>
  <c r="O1044" i="60"/>
  <c r="O1045" i="60"/>
  <c r="O1046" i="60"/>
  <c r="O1047" i="60"/>
  <c r="O1048" i="60"/>
  <c r="O1049" i="60"/>
  <c r="O1050" i="60"/>
  <c r="O1051" i="60"/>
  <c r="O1052" i="60"/>
  <c r="O1053" i="60"/>
  <c r="O1054" i="60"/>
  <c r="O1055" i="60"/>
  <c r="O1056" i="60"/>
  <c r="O1057" i="60"/>
  <c r="O1058" i="60"/>
  <c r="O1059" i="60"/>
  <c r="O1060" i="60"/>
  <c r="O1061" i="60"/>
  <c r="O1062" i="60"/>
  <c r="O1063" i="60"/>
  <c r="O1064" i="60"/>
  <c r="O1065" i="60"/>
  <c r="O1066" i="60"/>
  <c r="O1067" i="60"/>
  <c r="O1068" i="60"/>
  <c r="O1069" i="60"/>
  <c r="O1070" i="60"/>
  <c r="O1071" i="60"/>
  <c r="O1072" i="60"/>
  <c r="O1073" i="60"/>
  <c r="O1074" i="60"/>
  <c r="O1075" i="60"/>
  <c r="O1076" i="60"/>
  <c r="O1077" i="60"/>
  <c r="O1078" i="60"/>
  <c r="O1079" i="60"/>
  <c r="O1080" i="60"/>
  <c r="O1081" i="60"/>
  <c r="O1082" i="60"/>
  <c r="O1083" i="60"/>
  <c r="O1084" i="60"/>
  <c r="O1085" i="60"/>
  <c r="O1086" i="60"/>
  <c r="O1087" i="60"/>
  <c r="O1088" i="60"/>
  <c r="O1089" i="60"/>
  <c r="O1090" i="60"/>
  <c r="O1091" i="60"/>
  <c r="O1092" i="60"/>
  <c r="O1093" i="60"/>
  <c r="O1094" i="60"/>
  <c r="O1095" i="60"/>
  <c r="O1096" i="60"/>
  <c r="O1097" i="60"/>
  <c r="O1098" i="60"/>
  <c r="O1099" i="60"/>
  <c r="O1100" i="60"/>
  <c r="O1101" i="60"/>
  <c r="O1102" i="60"/>
  <c r="O1103" i="60"/>
  <c r="O1104" i="60"/>
  <c r="O1105" i="60"/>
  <c r="O1106" i="60"/>
  <c r="O1107" i="60"/>
  <c r="O1108" i="60"/>
  <c r="O1109" i="60"/>
  <c r="O1110" i="60"/>
  <c r="O1111" i="60"/>
  <c r="O1112" i="60"/>
  <c r="O1113" i="60"/>
  <c r="O1114" i="60"/>
  <c r="O1115" i="60"/>
  <c r="O1116" i="60"/>
  <c r="O1117" i="60"/>
  <c r="O1118" i="60"/>
  <c r="O1119" i="60"/>
  <c r="O1120" i="60"/>
  <c r="O1121" i="60"/>
  <c r="O1122" i="60"/>
  <c r="O1123" i="60"/>
  <c r="O1124" i="60"/>
  <c r="O1125" i="60"/>
  <c r="O1126" i="60"/>
  <c r="O1127" i="60"/>
  <c r="O1128" i="60"/>
  <c r="O1129" i="60"/>
  <c r="O1130" i="60"/>
  <c r="O1131" i="60"/>
  <c r="O1132" i="60"/>
  <c r="O1133" i="60"/>
  <c r="O1134" i="60"/>
  <c r="O1135" i="60"/>
  <c r="O1136" i="60"/>
  <c r="O1137" i="60"/>
  <c r="O1138" i="60"/>
  <c r="O1139" i="60"/>
  <c r="O1140" i="60"/>
  <c r="O1141" i="60"/>
  <c r="O1142" i="60"/>
  <c r="O1143" i="60"/>
  <c r="O1144" i="60"/>
  <c r="O1145" i="60"/>
  <c r="O1146" i="60"/>
  <c r="O1147" i="60"/>
  <c r="O1148" i="60"/>
  <c r="O1149" i="60"/>
  <c r="O1150" i="60"/>
  <c r="O1151" i="60"/>
  <c r="O1152" i="60"/>
  <c r="O1153" i="60"/>
  <c r="O1154" i="60"/>
  <c r="O1155" i="60"/>
  <c r="O1156" i="60"/>
  <c r="O1157" i="60"/>
  <c r="O1158" i="60"/>
  <c r="O1159" i="60"/>
  <c r="O1160" i="60"/>
  <c r="O1161" i="60"/>
  <c r="O1162" i="60"/>
  <c r="O1163" i="60"/>
  <c r="O1164" i="60"/>
  <c r="O1165" i="60"/>
  <c r="O1166" i="60"/>
  <c r="O1167" i="60"/>
  <c r="O1168" i="60"/>
  <c r="O1169" i="60"/>
  <c r="O1170" i="60"/>
  <c r="O1171" i="60"/>
  <c r="O1172" i="60"/>
  <c r="O1173" i="60"/>
  <c r="O1174" i="60"/>
  <c r="O1175" i="60"/>
  <c r="O1176" i="60"/>
  <c r="O1177" i="60"/>
  <c r="O1178" i="60"/>
  <c r="O1179" i="60"/>
  <c r="O1180" i="60"/>
  <c r="O1181" i="60"/>
  <c r="O1182" i="60"/>
  <c r="O1183" i="60"/>
  <c r="O1184" i="60"/>
  <c r="O1185" i="60"/>
  <c r="O1186" i="60"/>
  <c r="O1187" i="60"/>
  <c r="O1188" i="60"/>
  <c r="O1189" i="60"/>
  <c r="O1190" i="60"/>
  <c r="O1191" i="60"/>
  <c r="O1192" i="60"/>
  <c r="O1193" i="60"/>
  <c r="O1194" i="60"/>
  <c r="O1195" i="60"/>
  <c r="O1196" i="60"/>
  <c r="O1197" i="60"/>
  <c r="O1198" i="60"/>
  <c r="O1199" i="60"/>
  <c r="O1200" i="60"/>
  <c r="O1201" i="60"/>
  <c r="O1202" i="60"/>
  <c r="O1203" i="60"/>
  <c r="O1204" i="60"/>
  <c r="O1205" i="60"/>
  <c r="O1206" i="60"/>
  <c r="O1207" i="60"/>
  <c r="O1208" i="60"/>
  <c r="O1209" i="60"/>
  <c r="O1210" i="60"/>
  <c r="O1211" i="60"/>
  <c r="O1212" i="60"/>
  <c r="O1213" i="60"/>
  <c r="O1214" i="60"/>
  <c r="O1215" i="60"/>
  <c r="O1216" i="60"/>
  <c r="O1217" i="60"/>
  <c r="O1218" i="60"/>
  <c r="O1219" i="60"/>
  <c r="O1220" i="60"/>
  <c r="O1221" i="60"/>
  <c r="O1222" i="60"/>
  <c r="O1223" i="60"/>
  <c r="O1224" i="60"/>
  <c r="O1225" i="60"/>
  <c r="O1226" i="60"/>
  <c r="O1227" i="60"/>
  <c r="O1228" i="60"/>
  <c r="O1229" i="60"/>
  <c r="O1230" i="60"/>
  <c r="O1231" i="60"/>
  <c r="O1232" i="60"/>
  <c r="O1233" i="60"/>
  <c r="O1234" i="60"/>
  <c r="O1235" i="60"/>
  <c r="O1236" i="60"/>
  <c r="O1237" i="60"/>
  <c r="O1238" i="60"/>
  <c r="O1239" i="60"/>
  <c r="O1240" i="60"/>
  <c r="O1241" i="60"/>
  <c r="O1242" i="60"/>
  <c r="O1243" i="60"/>
  <c r="O1244" i="60"/>
  <c r="O1245" i="60"/>
  <c r="O1246" i="60"/>
  <c r="O1247" i="60"/>
  <c r="O1248" i="60"/>
  <c r="O1249" i="60"/>
  <c r="O1250" i="60"/>
  <c r="O1251" i="60"/>
  <c r="O1252" i="60"/>
  <c r="O1253" i="60"/>
  <c r="O1254" i="60"/>
  <c r="O1255" i="60"/>
  <c r="O1256" i="60"/>
  <c r="O1257" i="60"/>
  <c r="O1258" i="60"/>
  <c r="O1259" i="60"/>
  <c r="O1260" i="60"/>
  <c r="O1261" i="60"/>
  <c r="O1262" i="60"/>
  <c r="O1263" i="60"/>
  <c r="O1264" i="60"/>
  <c r="O1265" i="60"/>
  <c r="O1266" i="60"/>
  <c r="O1267" i="60"/>
  <c r="O1268" i="60"/>
  <c r="O1269" i="60"/>
  <c r="O1270" i="60"/>
  <c r="O1271" i="60"/>
  <c r="O1272" i="60"/>
  <c r="O1273" i="60"/>
  <c r="O1274" i="60"/>
  <c r="O1275" i="60"/>
  <c r="O1276" i="60"/>
  <c r="O1277" i="60"/>
  <c r="O1278" i="60"/>
  <c r="O1279" i="60"/>
  <c r="O1280" i="60"/>
  <c r="O1281" i="60"/>
  <c r="O1282" i="60"/>
  <c r="O1283" i="60"/>
  <c r="O1284" i="60"/>
  <c r="O1285" i="60"/>
  <c r="O1286" i="60"/>
  <c r="O1287" i="60"/>
  <c r="O1288" i="60"/>
  <c r="O1289" i="60"/>
  <c r="O1290" i="60"/>
  <c r="O1291" i="60"/>
  <c r="O1292" i="60"/>
  <c r="O1293" i="60"/>
  <c r="O1294" i="60"/>
  <c r="O1295" i="60"/>
  <c r="O1296" i="60"/>
  <c r="O1297" i="60"/>
  <c r="O1298" i="60"/>
  <c r="O1299" i="60"/>
  <c r="O1300" i="60"/>
  <c r="O1301" i="60"/>
  <c r="O1302" i="60"/>
  <c r="O1303" i="60"/>
  <c r="O1304" i="60"/>
  <c r="O1305" i="60"/>
  <c r="O1306" i="60"/>
  <c r="O1307" i="60"/>
  <c r="O1308" i="60"/>
  <c r="O1309" i="60"/>
  <c r="O1310" i="60"/>
  <c r="O1311" i="60"/>
  <c r="O1312" i="60"/>
  <c r="O1313" i="60"/>
  <c r="O1314" i="60"/>
  <c r="O1315" i="60"/>
  <c r="O1316" i="60"/>
  <c r="O1317" i="60"/>
  <c r="O1318" i="60"/>
  <c r="O1319" i="60"/>
  <c r="O1320" i="60"/>
  <c r="O1321" i="60"/>
  <c r="O1322" i="60"/>
  <c r="O1323" i="60"/>
  <c r="O1324" i="60"/>
  <c r="O1325" i="60"/>
  <c r="O1326" i="60"/>
  <c r="O1327" i="60"/>
  <c r="O1328" i="60"/>
  <c r="O1329" i="60"/>
  <c r="O1330" i="60"/>
  <c r="O1331" i="60"/>
  <c r="O1332" i="60"/>
  <c r="O1333" i="60"/>
  <c r="O1334" i="60"/>
  <c r="O1335" i="60"/>
  <c r="O1336" i="60"/>
  <c r="O1337" i="60"/>
  <c r="O1338" i="60"/>
  <c r="O1339" i="60"/>
  <c r="O1340" i="60"/>
  <c r="O1341" i="60"/>
  <c r="O1342" i="60"/>
  <c r="O1343" i="60"/>
  <c r="O1344" i="60"/>
  <c r="O1345" i="60"/>
  <c r="O1346" i="60"/>
  <c r="O1347" i="60"/>
  <c r="O1348" i="60"/>
  <c r="O1349" i="60"/>
  <c r="O1350" i="60"/>
  <c r="O1351" i="60"/>
  <c r="O1352" i="60"/>
  <c r="O1353" i="60"/>
  <c r="O1354" i="60"/>
  <c r="O1355" i="60"/>
  <c r="O1356" i="60"/>
  <c r="O1357" i="60"/>
  <c r="O1358" i="60"/>
  <c r="O1359" i="60"/>
  <c r="O1360" i="60"/>
  <c r="O1361" i="60"/>
  <c r="O1362" i="60"/>
  <c r="O1363" i="60"/>
  <c r="O1364" i="60"/>
  <c r="O1365" i="60"/>
  <c r="O1366" i="60"/>
  <c r="O1367" i="60"/>
  <c r="O1368" i="60"/>
  <c r="O1369" i="60"/>
  <c r="O1370" i="60"/>
  <c r="O1371" i="60"/>
  <c r="O1372" i="60"/>
  <c r="O1373" i="60"/>
  <c r="O1374" i="60"/>
  <c r="O1375" i="60"/>
  <c r="O1376" i="60"/>
  <c r="O1377" i="60"/>
  <c r="O1378" i="60"/>
  <c r="O1379" i="60"/>
  <c r="O1380" i="60"/>
  <c r="O1381" i="60"/>
  <c r="O1382" i="60"/>
  <c r="O1383" i="60"/>
  <c r="O1384" i="60"/>
  <c r="O1385" i="60"/>
  <c r="O1386" i="60"/>
  <c r="O1387" i="60"/>
  <c r="O1388" i="60"/>
  <c r="O1389" i="60"/>
  <c r="O1390" i="60"/>
  <c r="O1391" i="60"/>
  <c r="O1392" i="60"/>
  <c r="O1393" i="60"/>
  <c r="O1394" i="60"/>
  <c r="O1395" i="60"/>
  <c r="O1396" i="60"/>
  <c r="O1397" i="60"/>
  <c r="O1398" i="60"/>
  <c r="O1399" i="60"/>
  <c r="O1400" i="60"/>
  <c r="O1401" i="60"/>
  <c r="O1402" i="60"/>
  <c r="O1403" i="60"/>
  <c r="O1404" i="60"/>
  <c r="O1405" i="60"/>
  <c r="O1406" i="60"/>
  <c r="O1407" i="60"/>
  <c r="O1408" i="60"/>
  <c r="O1409" i="60"/>
  <c r="O1410" i="60"/>
  <c r="O1411" i="60"/>
  <c r="O1412" i="60"/>
  <c r="O1413" i="60"/>
  <c r="O1414" i="60"/>
  <c r="O1415" i="60"/>
  <c r="O1416" i="60"/>
  <c r="O1417" i="60"/>
  <c r="O1418" i="60"/>
  <c r="O1419" i="60"/>
  <c r="O1420" i="60"/>
  <c r="O1421" i="60"/>
  <c r="O1422" i="60"/>
  <c r="O1423" i="60"/>
  <c r="O1424" i="60"/>
  <c r="O1425" i="60"/>
  <c r="O1426" i="60"/>
  <c r="O1427" i="60"/>
  <c r="O1428" i="60"/>
  <c r="O1429" i="60"/>
  <c r="O1430" i="60"/>
  <c r="O1431" i="60"/>
  <c r="O1432" i="60"/>
  <c r="O1433" i="60"/>
  <c r="O1434" i="60"/>
  <c r="O1435" i="60"/>
  <c r="O1436" i="60"/>
  <c r="O1437" i="60"/>
  <c r="O1438" i="60"/>
  <c r="O1439" i="60"/>
  <c r="O1440" i="60"/>
  <c r="O1441" i="60"/>
  <c r="O1442" i="60"/>
  <c r="O1443" i="60"/>
  <c r="O1444" i="60"/>
  <c r="O1445" i="60"/>
  <c r="O1446" i="60"/>
  <c r="O1447" i="60"/>
  <c r="O1448" i="60"/>
  <c r="O1449" i="60"/>
  <c r="O1450" i="60"/>
  <c r="O1451" i="60"/>
  <c r="O1452" i="60"/>
  <c r="O1453" i="60"/>
  <c r="O1454" i="60"/>
  <c r="O1455" i="60"/>
  <c r="O1456" i="60"/>
  <c r="O1457" i="60"/>
  <c r="O1458" i="60"/>
  <c r="O1459" i="60"/>
  <c r="O1460" i="60"/>
  <c r="O1461" i="60"/>
  <c r="O1462" i="60"/>
  <c r="O1463" i="60"/>
  <c r="O1464" i="60"/>
  <c r="O1465" i="60"/>
  <c r="O1466" i="60"/>
  <c r="O1467" i="60"/>
  <c r="O1468" i="60"/>
  <c r="O1469" i="60"/>
  <c r="O1470" i="60"/>
  <c r="O1471" i="60"/>
  <c r="O1472" i="60"/>
  <c r="O1473" i="60"/>
  <c r="O1474" i="60"/>
  <c r="O1475" i="60"/>
  <c r="O1476" i="60"/>
  <c r="O1477" i="60"/>
  <c r="O1478" i="60"/>
  <c r="O1479" i="60"/>
  <c r="O1480" i="60"/>
  <c r="O1481" i="60"/>
  <c r="O1482" i="60"/>
  <c r="O1483" i="60"/>
  <c r="O1484" i="60"/>
  <c r="O1485" i="60"/>
  <c r="O1486" i="60"/>
  <c r="O1487" i="60"/>
  <c r="O1488" i="60"/>
  <c r="O1489" i="60"/>
  <c r="O1490" i="60"/>
  <c r="O1491" i="60"/>
  <c r="O1492" i="60"/>
  <c r="O1493" i="60"/>
  <c r="O1494" i="60"/>
  <c r="O1495" i="60"/>
  <c r="O1496" i="60"/>
  <c r="O1497" i="60"/>
  <c r="O1498" i="60"/>
  <c r="O1499" i="60"/>
  <c r="O1500" i="60"/>
  <c r="O1501" i="60"/>
  <c r="O1502" i="60"/>
  <c r="O1503" i="60"/>
  <c r="O1504" i="60"/>
  <c r="O1505" i="60"/>
  <c r="O1506" i="60"/>
  <c r="O1507" i="60"/>
  <c r="O1508" i="60"/>
  <c r="O1509" i="60"/>
  <c r="O1510" i="60"/>
  <c r="O1511" i="60"/>
  <c r="O1512" i="60"/>
  <c r="O1513" i="60"/>
  <c r="O1514" i="60"/>
  <c r="O1515" i="60"/>
  <c r="O1516" i="60"/>
  <c r="O1517" i="60"/>
  <c r="O1518" i="60"/>
  <c r="O1519" i="60"/>
  <c r="O1520" i="60"/>
  <c r="O1521" i="60"/>
  <c r="O1522" i="60"/>
  <c r="O1523" i="60"/>
  <c r="O1524" i="60"/>
  <c r="O1525" i="60"/>
  <c r="O1526" i="60"/>
  <c r="O1527" i="60"/>
  <c r="O1528" i="60"/>
  <c r="O1529" i="60"/>
  <c r="O1530" i="60"/>
  <c r="O1531" i="60"/>
  <c r="O1532" i="60"/>
  <c r="O1533" i="60"/>
  <c r="O1534" i="60"/>
  <c r="O1535" i="60"/>
  <c r="O1536" i="60"/>
  <c r="O1537" i="60"/>
  <c r="O1538" i="60"/>
  <c r="O1539" i="60"/>
  <c r="O1540" i="60"/>
  <c r="O1541" i="60"/>
  <c r="O1542" i="60"/>
  <c r="O1543" i="60"/>
  <c r="O1544" i="60"/>
  <c r="O1545" i="60"/>
  <c r="O1546" i="60"/>
  <c r="O1547" i="60"/>
  <c r="O1548" i="60"/>
  <c r="O1549" i="60"/>
  <c r="O1550" i="60"/>
  <c r="O1551" i="60"/>
  <c r="O1552" i="60"/>
  <c r="O1553" i="60"/>
  <c r="O1554" i="60"/>
  <c r="O1555" i="60"/>
  <c r="O1556" i="60"/>
  <c r="O1557" i="60"/>
  <c r="O1558" i="60"/>
  <c r="O1559" i="60"/>
  <c r="O1560" i="60"/>
  <c r="O1561" i="60"/>
  <c r="O1562" i="60"/>
  <c r="O1563" i="60"/>
  <c r="O1564" i="60"/>
  <c r="O1565" i="60"/>
  <c r="O1566" i="60"/>
  <c r="O1567" i="60"/>
  <c r="O1568" i="60"/>
  <c r="O1569" i="60"/>
  <c r="O1570" i="60"/>
  <c r="O1571" i="60"/>
  <c r="O1572" i="60"/>
  <c r="O1573" i="60"/>
  <c r="O1574" i="60"/>
  <c r="O1575" i="60"/>
  <c r="O1576" i="60"/>
  <c r="O1577" i="60"/>
  <c r="O1578" i="60"/>
  <c r="O1579" i="60"/>
  <c r="O1580" i="60"/>
  <c r="O1581" i="60"/>
  <c r="O1582" i="60"/>
  <c r="O1583" i="60"/>
  <c r="O1584" i="60"/>
  <c r="O1585" i="60"/>
  <c r="O1586" i="60"/>
  <c r="O1587" i="60"/>
  <c r="O1588" i="60"/>
  <c r="O1589" i="60"/>
  <c r="O1590" i="60"/>
  <c r="O1591" i="60"/>
  <c r="O1592" i="60"/>
  <c r="O1593" i="60"/>
  <c r="O1594" i="60"/>
  <c r="O1595" i="60"/>
  <c r="O1596" i="60"/>
  <c r="O1597" i="60"/>
  <c r="O1598" i="60"/>
  <c r="O1599" i="60"/>
  <c r="O1600" i="60"/>
  <c r="O1601" i="60"/>
  <c r="O1602" i="60"/>
  <c r="O1603" i="60"/>
  <c r="O1604" i="60"/>
  <c r="O1605" i="60"/>
  <c r="O1606" i="60"/>
  <c r="O1607" i="60"/>
  <c r="O1608" i="60"/>
  <c r="O1609" i="60"/>
  <c r="O1610" i="60"/>
  <c r="O1611" i="60"/>
  <c r="O1612" i="60"/>
  <c r="O1613" i="60"/>
  <c r="O1614" i="60"/>
  <c r="O1615" i="60"/>
  <c r="O1616" i="60"/>
  <c r="O1617" i="60"/>
  <c r="O1618" i="60"/>
  <c r="O1619" i="60"/>
  <c r="O1620" i="60"/>
  <c r="O1621" i="60"/>
  <c r="O1622" i="60"/>
  <c r="O1623" i="60"/>
  <c r="O1624" i="60"/>
  <c r="O1625" i="60"/>
  <c r="O1626" i="60"/>
  <c r="O1627" i="60"/>
  <c r="O1628" i="60"/>
  <c r="O1629" i="60"/>
  <c r="O1630" i="60"/>
  <c r="O1631" i="60"/>
  <c r="O1632" i="60"/>
  <c r="O1633" i="60"/>
  <c r="O1634" i="60"/>
  <c r="O1635" i="60"/>
  <c r="O1636" i="60"/>
  <c r="O1637" i="60"/>
  <c r="O1638" i="60"/>
  <c r="O1639" i="60"/>
  <c r="O1640" i="60"/>
  <c r="O1641" i="60"/>
  <c r="O1642" i="60"/>
  <c r="O1643" i="60"/>
  <c r="O1644" i="60"/>
  <c r="O1645" i="60"/>
  <c r="O1646" i="60"/>
  <c r="O1647" i="60"/>
  <c r="O1648" i="60"/>
  <c r="O1649" i="60"/>
  <c r="O1650" i="60"/>
  <c r="O1651" i="60"/>
  <c r="O1652" i="60"/>
  <c r="O1653" i="60"/>
  <c r="O1654" i="60"/>
  <c r="O1655" i="60"/>
  <c r="O1656" i="60"/>
  <c r="O1657" i="60"/>
  <c r="O1658" i="60"/>
  <c r="O1659" i="60"/>
  <c r="O1660" i="60"/>
  <c r="O1661" i="60"/>
  <c r="O1662" i="60"/>
  <c r="O1663" i="60"/>
  <c r="O1664" i="60"/>
  <c r="O1665" i="60"/>
  <c r="O1666" i="60"/>
  <c r="O1667" i="60"/>
  <c r="O1668" i="60"/>
  <c r="O1669" i="60"/>
  <c r="O1670" i="60"/>
  <c r="O1671" i="60"/>
  <c r="O1672" i="60"/>
  <c r="O1673" i="60"/>
  <c r="O1674" i="60"/>
  <c r="O1675" i="60"/>
  <c r="O1676" i="60"/>
  <c r="O1677" i="60"/>
  <c r="O1678" i="60"/>
  <c r="O1679" i="60"/>
  <c r="O1680" i="60"/>
  <c r="O1681" i="60"/>
  <c r="O1682" i="60"/>
  <c r="O1683" i="60"/>
  <c r="O1684" i="60"/>
  <c r="O1685" i="60"/>
  <c r="O1686" i="60"/>
  <c r="O1687" i="60"/>
  <c r="O1688" i="60"/>
  <c r="O1689" i="60"/>
  <c r="O1690" i="60"/>
  <c r="O1691" i="60"/>
  <c r="O1692" i="60"/>
  <c r="O1693" i="60"/>
  <c r="O1694" i="60"/>
  <c r="O1695" i="60"/>
  <c r="O1696" i="60"/>
  <c r="O1697" i="60"/>
  <c r="O1698" i="60"/>
  <c r="O1699" i="60"/>
  <c r="O1700" i="60"/>
  <c r="O1701" i="60"/>
  <c r="O1702" i="60"/>
  <c r="O1703" i="60"/>
  <c r="O1704" i="60"/>
  <c r="O1705" i="60"/>
  <c r="O1706" i="60"/>
  <c r="O1707" i="60"/>
  <c r="O1708" i="60"/>
  <c r="O1709" i="60"/>
  <c r="O1710" i="60"/>
  <c r="O1711" i="60"/>
  <c r="O1712" i="60"/>
  <c r="O1713" i="60"/>
  <c r="O1714" i="60"/>
  <c r="O1715" i="60"/>
  <c r="O1716" i="60"/>
  <c r="O1717" i="60"/>
  <c r="O1718" i="60"/>
  <c r="O1719" i="60"/>
  <c r="O1720" i="60"/>
  <c r="O1721" i="60"/>
  <c r="O1722" i="60"/>
  <c r="O1723" i="60"/>
  <c r="O1724" i="60"/>
  <c r="O1725" i="60"/>
  <c r="O1726" i="60"/>
  <c r="O1727" i="60"/>
  <c r="O1728" i="60"/>
  <c r="O1729" i="60"/>
  <c r="O1730" i="60"/>
  <c r="O1731" i="60"/>
  <c r="O1732" i="60"/>
  <c r="O1733" i="60"/>
  <c r="O1734" i="60"/>
  <c r="O1735" i="60"/>
  <c r="O1736" i="60"/>
  <c r="O1737" i="60"/>
  <c r="O1738" i="60"/>
  <c r="O1739" i="60"/>
  <c r="O1740" i="60"/>
  <c r="O1741" i="60"/>
  <c r="O1742" i="60"/>
  <c r="O1743" i="60"/>
  <c r="O1744" i="60"/>
  <c r="O1745" i="60"/>
  <c r="O1746" i="60"/>
  <c r="O1747" i="60"/>
  <c r="O1748" i="60"/>
  <c r="O1749" i="60"/>
  <c r="O1750" i="60"/>
  <c r="O1751" i="60"/>
  <c r="O1752" i="60"/>
  <c r="O1753" i="60"/>
  <c r="O1754" i="60"/>
  <c r="O1755" i="60"/>
  <c r="O1756" i="60"/>
  <c r="O1757" i="60"/>
  <c r="O1758" i="60"/>
  <c r="O1759" i="60"/>
  <c r="O1760" i="60"/>
  <c r="O1761" i="60"/>
  <c r="O1762" i="60"/>
  <c r="O1763" i="60"/>
  <c r="O1764" i="60"/>
  <c r="O1765" i="60"/>
  <c r="O1766" i="60"/>
  <c r="O1767" i="60"/>
  <c r="O1768" i="60"/>
  <c r="O1769" i="60"/>
  <c r="O1770" i="60"/>
  <c r="O1771" i="60"/>
  <c r="O1772" i="60"/>
  <c r="O1773" i="60"/>
  <c r="O1774" i="60"/>
  <c r="O1775" i="60"/>
  <c r="O1776" i="60"/>
  <c r="O1777" i="60"/>
  <c r="O1778" i="60"/>
  <c r="O1779" i="60"/>
  <c r="O1780" i="60"/>
  <c r="O1781" i="60"/>
  <c r="O1782" i="60"/>
  <c r="O1783" i="60"/>
  <c r="O1784" i="60"/>
  <c r="O1785" i="60"/>
  <c r="O1786" i="60"/>
  <c r="O1787" i="60"/>
  <c r="O1788" i="60"/>
  <c r="O1789" i="60"/>
  <c r="O1790" i="60"/>
  <c r="O1791" i="60"/>
  <c r="O1792" i="60"/>
  <c r="O1793" i="60"/>
  <c r="O1794" i="60"/>
  <c r="O1795" i="60"/>
  <c r="O1796" i="60"/>
  <c r="O1797" i="60"/>
  <c r="O1798" i="60"/>
  <c r="O1799" i="60"/>
  <c r="O1800" i="60"/>
  <c r="O1801" i="60"/>
  <c r="O1802" i="60"/>
  <c r="O1803" i="60"/>
  <c r="O1804" i="60"/>
  <c r="O1805" i="60"/>
  <c r="O1806" i="60"/>
  <c r="O1807" i="60"/>
  <c r="O1808" i="60"/>
  <c r="O1809" i="60"/>
  <c r="O1810" i="60"/>
  <c r="O1811" i="60"/>
  <c r="O1812" i="60"/>
  <c r="O1813" i="60"/>
  <c r="O1814" i="60"/>
  <c r="O1815" i="60"/>
  <c r="O1816" i="60"/>
  <c r="O1817" i="60"/>
  <c r="O1818" i="60"/>
  <c r="O1819" i="60"/>
  <c r="O1820" i="60"/>
  <c r="O1821" i="60"/>
  <c r="O1822" i="60"/>
  <c r="O1823" i="60"/>
  <c r="O1824" i="60"/>
  <c r="O1825" i="60"/>
  <c r="O1826" i="60"/>
  <c r="O1827" i="60"/>
  <c r="O1828" i="60"/>
  <c r="O1829" i="60"/>
  <c r="O1830" i="60"/>
  <c r="O1831" i="60"/>
  <c r="O1832" i="60"/>
  <c r="O1833" i="60"/>
  <c r="O1834" i="60"/>
  <c r="O1835" i="60"/>
  <c r="O1836" i="60"/>
  <c r="O1837" i="60"/>
  <c r="O1838" i="60"/>
  <c r="O1839" i="60"/>
  <c r="O1840" i="60"/>
  <c r="O1841" i="60"/>
  <c r="O1842" i="60"/>
  <c r="O1843" i="60"/>
  <c r="O1844" i="60"/>
  <c r="O1845" i="60"/>
  <c r="O1846" i="60"/>
  <c r="O1847" i="60"/>
  <c r="O1848" i="60"/>
  <c r="O1849" i="60"/>
  <c r="O1850" i="60"/>
  <c r="O1851" i="60"/>
  <c r="O1852" i="60"/>
  <c r="O1853" i="60"/>
  <c r="O1854" i="60"/>
  <c r="O1855" i="60"/>
  <c r="O1856" i="60"/>
  <c r="O1857" i="60"/>
  <c r="O1858" i="60"/>
  <c r="O1859" i="60"/>
  <c r="O1860" i="60"/>
  <c r="O1861" i="60"/>
  <c r="O1862" i="60"/>
  <c r="O1863" i="60"/>
  <c r="O1864" i="60"/>
  <c r="O1865" i="60"/>
  <c r="O1866" i="60"/>
  <c r="O1867" i="60"/>
  <c r="O1868" i="60"/>
  <c r="O1869" i="60"/>
  <c r="O1870" i="60"/>
  <c r="O1871" i="60"/>
  <c r="O1872" i="60"/>
  <c r="O1873" i="60"/>
  <c r="O1874" i="60"/>
  <c r="O1875" i="60"/>
  <c r="O1876" i="60"/>
  <c r="O1877" i="60"/>
  <c r="O1878" i="60"/>
  <c r="O1879" i="60"/>
  <c r="O1880" i="60"/>
  <c r="O1881" i="60"/>
  <c r="O1882" i="60"/>
  <c r="O1883" i="60"/>
  <c r="O1884" i="60"/>
  <c r="O1885" i="60"/>
  <c r="O1886" i="60"/>
  <c r="O1887" i="60"/>
  <c r="O1888" i="60"/>
  <c r="O1889" i="60"/>
  <c r="O1890" i="60"/>
  <c r="O1891" i="60"/>
  <c r="O1892" i="60"/>
  <c r="O1893" i="60"/>
  <c r="O1894" i="60"/>
  <c r="O1895" i="60"/>
  <c r="O1896" i="60"/>
  <c r="O1897" i="60"/>
  <c r="O1898" i="60"/>
  <c r="O1899" i="60"/>
  <c r="O1900" i="60"/>
  <c r="O1901" i="60"/>
  <c r="O1902" i="60"/>
  <c r="O1903" i="60"/>
  <c r="O1904" i="60"/>
  <c r="O1905" i="60"/>
  <c r="O1906" i="60"/>
  <c r="O1907" i="60"/>
  <c r="O1908" i="60"/>
  <c r="O1909" i="60"/>
  <c r="O1910" i="60"/>
  <c r="O1911" i="60"/>
  <c r="O1912" i="60"/>
  <c r="O1913" i="60"/>
  <c r="O1914" i="60"/>
  <c r="O1915" i="60"/>
  <c r="O1916" i="60"/>
  <c r="O1917" i="60"/>
  <c r="O1918" i="60"/>
  <c r="O1919" i="60"/>
  <c r="O1920" i="60"/>
  <c r="O1921" i="60"/>
  <c r="O1922" i="60"/>
  <c r="O1923" i="60"/>
  <c r="O1924" i="60"/>
  <c r="O1925" i="60"/>
  <c r="O1926" i="60"/>
  <c r="O1927" i="60"/>
  <c r="O1928" i="60"/>
  <c r="O1929" i="60"/>
  <c r="O1930" i="60"/>
  <c r="O1931" i="60"/>
  <c r="O1932" i="60"/>
  <c r="O1933" i="60"/>
  <c r="O1934" i="60"/>
  <c r="O1935" i="60"/>
  <c r="O1936" i="60"/>
  <c r="O1937" i="60"/>
  <c r="O1938" i="60"/>
  <c r="O1939" i="60"/>
  <c r="O1940" i="60"/>
  <c r="O1941" i="60"/>
  <c r="O1942" i="60"/>
  <c r="O1943" i="60"/>
  <c r="O1944" i="60"/>
  <c r="O1945" i="60"/>
  <c r="O1946" i="60"/>
  <c r="O1947" i="60"/>
  <c r="O1948" i="60"/>
  <c r="O1949" i="60"/>
  <c r="O1950" i="60"/>
  <c r="O1951" i="60"/>
  <c r="O1952" i="60"/>
  <c r="O1953" i="60"/>
  <c r="O1954" i="60"/>
  <c r="O1955" i="60"/>
  <c r="O1956" i="60"/>
  <c r="O1957" i="60"/>
  <c r="O1958" i="60"/>
  <c r="O1959" i="60"/>
  <c r="O1960" i="60"/>
  <c r="O1961" i="60"/>
  <c r="O1962" i="60"/>
  <c r="O1963" i="60"/>
  <c r="O1964" i="60"/>
  <c r="O1965" i="60"/>
  <c r="O1966" i="60"/>
  <c r="O1967" i="60"/>
  <c r="O1968" i="60"/>
  <c r="O1969" i="60"/>
  <c r="O1970" i="60"/>
  <c r="O1971" i="60"/>
  <c r="O1972" i="60"/>
  <c r="O1973" i="60"/>
  <c r="O1974" i="60"/>
  <c r="O1975" i="60"/>
  <c r="O1976" i="60"/>
  <c r="O1977" i="60"/>
  <c r="O1978" i="60"/>
  <c r="O1979" i="60"/>
  <c r="O1980" i="60"/>
  <c r="O1981" i="60"/>
  <c r="O1982" i="60"/>
  <c r="O1983" i="60"/>
  <c r="O1984" i="60"/>
  <c r="O1985" i="60"/>
  <c r="O1986" i="60"/>
  <c r="O1987" i="60"/>
  <c r="O1988" i="60"/>
  <c r="O1989" i="60"/>
  <c r="O1990" i="60"/>
  <c r="O1991" i="60"/>
  <c r="O1992" i="60"/>
  <c r="O1993" i="60"/>
  <c r="O1994" i="60"/>
  <c r="O1995" i="60"/>
  <c r="O1996" i="60"/>
  <c r="O1997" i="60"/>
  <c r="O1998" i="60"/>
  <c r="O1999" i="60"/>
  <c r="O2000" i="60"/>
  <c r="O2001" i="60"/>
  <c r="O2002" i="60"/>
  <c r="O2003" i="60"/>
  <c r="O2004" i="60"/>
  <c r="O2005" i="60"/>
  <c r="O2006" i="60"/>
  <c r="O2007" i="60"/>
  <c r="O2008" i="60"/>
  <c r="O2009" i="60"/>
  <c r="O2010" i="60"/>
  <c r="O2011" i="60"/>
  <c r="O2012" i="60"/>
  <c r="O2013" i="60"/>
  <c r="O2014" i="60"/>
  <c r="O2015" i="60"/>
  <c r="O2016" i="60"/>
  <c r="O2017" i="60"/>
  <c r="O2018" i="60"/>
  <c r="O2019" i="60"/>
  <c r="O2020" i="60"/>
  <c r="O2021" i="60"/>
  <c r="O2022" i="60"/>
  <c r="O2023" i="60"/>
  <c r="O2024" i="60"/>
  <c r="O2025" i="60"/>
  <c r="O2026" i="60"/>
  <c r="O2027" i="60"/>
  <c r="O2028" i="60"/>
  <c r="O2029" i="60"/>
  <c r="O2030" i="60"/>
  <c r="O2031" i="60"/>
  <c r="O2032" i="60"/>
  <c r="O2033" i="60"/>
  <c r="O2034" i="60"/>
  <c r="O2035" i="60"/>
  <c r="O2036" i="60"/>
  <c r="O2037" i="60"/>
  <c r="O2038" i="60"/>
  <c r="O2039" i="60"/>
  <c r="O2040" i="60"/>
  <c r="O2041" i="60"/>
  <c r="O2042" i="60"/>
  <c r="O2043" i="60"/>
  <c r="O2044" i="60"/>
  <c r="O2045" i="60"/>
  <c r="O2046" i="60"/>
  <c r="O2047" i="60"/>
  <c r="O2048" i="60"/>
  <c r="O2049" i="60"/>
  <c r="O2050" i="60"/>
  <c r="O2051" i="60"/>
  <c r="O2052" i="60"/>
  <c r="O2053" i="60"/>
  <c r="O2054" i="60"/>
  <c r="O2055" i="60"/>
  <c r="O2056" i="60"/>
  <c r="O2057" i="60"/>
  <c r="O2058" i="60"/>
  <c r="O2059" i="60"/>
  <c r="O2060" i="60"/>
  <c r="O2061" i="60"/>
  <c r="O2062" i="60"/>
  <c r="O2063" i="60"/>
  <c r="O2064" i="60"/>
  <c r="O2065" i="60"/>
  <c r="O2066" i="60"/>
  <c r="O2067" i="60"/>
  <c r="O2068" i="60"/>
  <c r="O2069" i="60"/>
  <c r="O2070" i="60"/>
  <c r="O2071" i="60"/>
  <c r="O2072" i="60"/>
  <c r="O2073" i="60"/>
  <c r="O2074" i="60"/>
  <c r="O2075" i="60"/>
  <c r="O2076" i="60"/>
  <c r="O2077" i="60"/>
  <c r="O2078" i="60"/>
  <c r="O2079" i="60"/>
  <c r="O2080" i="60"/>
  <c r="O2081" i="60"/>
  <c r="O2082" i="60"/>
  <c r="O2083" i="60"/>
  <c r="O2084" i="60"/>
  <c r="O2085" i="60"/>
  <c r="O2086" i="60"/>
  <c r="O2087" i="60"/>
  <c r="O2088" i="60"/>
  <c r="O2089" i="60"/>
  <c r="O2090" i="60"/>
  <c r="O2091" i="60"/>
  <c r="O2092" i="60"/>
  <c r="O2093" i="60"/>
  <c r="O2094" i="60"/>
  <c r="O2095" i="60"/>
  <c r="O2096" i="60"/>
  <c r="O2097" i="60"/>
  <c r="O2098" i="60"/>
  <c r="O2099" i="60"/>
  <c r="O2100" i="60"/>
  <c r="O2101" i="60"/>
  <c r="O2102" i="60"/>
  <c r="O2103" i="60"/>
  <c r="O2104" i="60"/>
  <c r="O2105" i="60"/>
  <c r="O2106" i="60"/>
  <c r="O2107" i="60"/>
  <c r="O2108" i="60"/>
  <c r="O2109" i="60"/>
  <c r="O2110" i="60"/>
  <c r="O2111" i="60"/>
  <c r="O2112" i="60"/>
  <c r="O2113" i="60"/>
  <c r="O2114" i="60"/>
  <c r="O2115" i="60"/>
  <c r="O2116" i="60"/>
  <c r="O2117" i="60"/>
  <c r="O2118" i="60"/>
  <c r="O2119" i="60"/>
  <c r="O2120" i="60"/>
  <c r="O2121" i="60"/>
  <c r="O2122" i="60"/>
  <c r="O2123" i="60"/>
  <c r="O2124" i="60"/>
  <c r="O2125" i="60"/>
  <c r="O2126" i="60"/>
  <c r="O2127" i="60"/>
  <c r="O2128" i="60"/>
  <c r="O2129" i="60"/>
  <c r="O2130" i="60"/>
  <c r="O2131" i="60"/>
  <c r="O2132" i="60"/>
  <c r="O2133" i="60"/>
  <c r="O2134" i="60"/>
  <c r="O2135" i="60"/>
  <c r="O2136" i="60"/>
  <c r="O2137" i="60"/>
  <c r="O2138" i="60"/>
  <c r="O2139" i="60"/>
  <c r="O2140" i="60"/>
  <c r="O2141" i="60"/>
  <c r="O2142" i="60"/>
  <c r="O2143" i="60"/>
  <c r="O2144" i="60"/>
  <c r="O2145" i="60"/>
  <c r="O2146" i="60"/>
  <c r="O2147" i="60"/>
  <c r="O2148" i="60"/>
  <c r="O2149" i="60"/>
  <c r="O2150" i="60"/>
  <c r="O2151" i="60"/>
  <c r="O2152" i="60"/>
  <c r="O2153" i="60"/>
  <c r="O2154" i="60"/>
  <c r="O2155" i="60"/>
  <c r="O2156" i="60"/>
  <c r="O2157" i="60"/>
  <c r="O2158" i="60"/>
  <c r="O2159" i="60"/>
  <c r="O2160" i="60"/>
  <c r="O2161" i="60"/>
  <c r="O2162" i="60"/>
  <c r="O2163" i="60"/>
  <c r="O2164" i="60"/>
  <c r="O2165" i="60"/>
  <c r="O2166" i="60"/>
  <c r="O2167" i="60"/>
  <c r="O2168" i="60"/>
  <c r="O2169" i="60"/>
  <c r="O2170" i="60"/>
  <c r="O2171" i="60"/>
  <c r="O2172" i="60"/>
  <c r="O2173" i="60"/>
  <c r="O2174" i="60"/>
  <c r="O2175" i="60"/>
  <c r="O2176" i="60"/>
  <c r="O2177" i="60"/>
  <c r="O2178" i="60"/>
  <c r="O2179" i="60"/>
  <c r="O2180" i="60"/>
  <c r="O2181" i="60"/>
  <c r="O2182" i="60"/>
  <c r="O2183" i="60"/>
  <c r="O2184" i="60"/>
  <c r="O2185" i="60"/>
  <c r="O2186" i="60"/>
  <c r="O2187" i="60"/>
  <c r="O2188" i="60"/>
  <c r="O2189" i="60"/>
  <c r="O2190" i="60"/>
  <c r="O2191" i="60"/>
  <c r="O2192" i="60"/>
  <c r="O2193" i="60"/>
  <c r="O2194" i="60"/>
  <c r="O2195" i="60"/>
  <c r="O2196" i="60"/>
  <c r="O2197" i="60"/>
  <c r="O2198" i="60"/>
  <c r="O2199" i="60"/>
  <c r="O2200" i="60"/>
  <c r="O2201" i="60"/>
  <c r="O2202" i="60"/>
  <c r="O2203" i="60"/>
  <c r="O2204" i="60"/>
  <c r="O2205" i="60"/>
  <c r="O2206" i="60"/>
  <c r="O2207" i="60"/>
  <c r="O2208" i="60"/>
  <c r="O2209" i="60"/>
  <c r="O2210" i="60"/>
  <c r="O2211" i="60"/>
  <c r="O2212" i="60"/>
  <c r="O2213" i="60"/>
  <c r="O2214" i="60"/>
  <c r="O2215" i="60"/>
  <c r="O2216" i="60"/>
  <c r="O2217" i="60"/>
  <c r="O2218" i="60"/>
  <c r="O2219" i="60"/>
  <c r="O2220" i="60"/>
  <c r="O2221" i="60"/>
  <c r="O2222" i="60"/>
  <c r="O2223" i="60"/>
  <c r="O2224" i="60"/>
  <c r="O2225" i="60"/>
  <c r="O2226" i="60"/>
  <c r="O2227" i="60"/>
  <c r="O2228" i="60"/>
  <c r="O2229" i="60"/>
  <c r="O2230" i="60"/>
  <c r="O2231" i="60"/>
  <c r="O2232" i="60"/>
  <c r="O2233" i="60"/>
  <c r="O2234" i="60"/>
  <c r="O2235" i="60"/>
  <c r="O2236" i="60"/>
  <c r="O2237" i="60"/>
  <c r="O2238" i="60"/>
  <c r="O2239" i="60"/>
  <c r="O2240" i="60"/>
  <c r="O2241" i="60"/>
  <c r="O2242" i="60"/>
  <c r="O2243" i="60"/>
  <c r="O2244" i="60"/>
  <c r="O2245" i="60"/>
  <c r="O2246" i="60"/>
  <c r="O2247" i="60"/>
  <c r="O2248" i="60"/>
  <c r="O2249" i="60"/>
  <c r="O2250" i="60"/>
  <c r="O2251" i="60"/>
  <c r="O2252" i="60"/>
  <c r="O2253" i="60"/>
  <c r="O2254" i="60"/>
  <c r="O2255" i="60"/>
  <c r="O2256" i="60"/>
  <c r="O2257" i="60"/>
  <c r="O2258" i="60"/>
  <c r="O2259" i="60"/>
  <c r="O2260" i="60"/>
  <c r="O2261" i="60"/>
  <c r="O2262" i="60"/>
  <c r="O2263" i="60"/>
  <c r="O2264" i="60"/>
  <c r="O2265" i="60"/>
  <c r="O2266" i="60"/>
  <c r="O2267" i="60"/>
  <c r="O2268" i="60"/>
  <c r="O2269" i="60"/>
  <c r="O2270" i="60"/>
  <c r="O2271" i="60"/>
  <c r="O2272" i="60"/>
  <c r="O2273" i="60"/>
  <c r="O2274" i="60"/>
  <c r="O2275" i="60"/>
  <c r="O2276" i="60"/>
  <c r="O2277" i="60"/>
  <c r="O2278" i="60"/>
  <c r="O2279" i="60"/>
  <c r="O2280" i="60"/>
  <c r="O2281" i="60"/>
  <c r="O2282" i="60"/>
  <c r="O2283" i="60"/>
  <c r="O2284" i="60"/>
  <c r="O2285" i="60"/>
  <c r="O2286" i="60"/>
  <c r="O2287" i="60"/>
  <c r="O2288" i="60"/>
  <c r="O2289" i="60"/>
  <c r="O2290" i="60"/>
  <c r="O2291" i="60"/>
  <c r="O2292" i="60"/>
  <c r="O2293" i="60"/>
  <c r="O2294" i="60"/>
  <c r="O2295" i="60"/>
  <c r="O2296" i="60"/>
  <c r="O2297" i="60"/>
  <c r="O2298" i="60"/>
  <c r="O2299" i="60"/>
  <c r="O2300" i="60"/>
  <c r="O2301" i="60"/>
  <c r="O2302" i="60"/>
  <c r="O2303" i="60"/>
  <c r="O2304" i="60"/>
  <c r="O2305" i="60"/>
  <c r="O2306" i="60"/>
  <c r="O2307" i="60"/>
  <c r="O2308" i="60"/>
  <c r="O2309" i="60"/>
  <c r="O2310" i="60"/>
  <c r="O2311" i="60"/>
  <c r="O2312" i="60"/>
  <c r="O2313" i="60"/>
  <c r="O2314" i="60"/>
  <c r="O2315" i="60"/>
  <c r="O2316" i="60"/>
  <c r="O2317" i="60"/>
  <c r="O2318" i="60"/>
  <c r="O2319" i="60"/>
  <c r="O2320" i="60"/>
  <c r="O2321" i="60"/>
  <c r="O2322" i="60"/>
  <c r="O2323" i="60"/>
  <c r="O2324" i="60"/>
  <c r="O2325" i="60"/>
  <c r="O2326" i="60"/>
  <c r="O2327" i="60"/>
  <c r="O2328" i="60"/>
  <c r="O2329" i="60"/>
  <c r="O2330" i="60"/>
  <c r="O2331" i="60"/>
  <c r="O2332" i="60"/>
  <c r="O2333" i="60"/>
  <c r="O2334" i="60"/>
  <c r="O2335" i="60"/>
  <c r="O2336" i="60"/>
  <c r="O2337" i="60"/>
  <c r="O2338" i="60"/>
  <c r="O2339" i="60"/>
  <c r="O2340" i="60"/>
  <c r="O2341" i="60"/>
  <c r="O2342" i="60"/>
  <c r="O2343" i="60"/>
  <c r="O2344" i="60"/>
  <c r="O2345" i="60"/>
  <c r="O2346" i="60"/>
  <c r="O2347" i="60"/>
  <c r="O2348" i="60"/>
  <c r="O2349" i="60"/>
  <c r="O2350" i="60"/>
  <c r="O2351" i="60"/>
  <c r="O2352" i="60"/>
  <c r="O2353" i="60"/>
  <c r="O2354" i="60"/>
  <c r="O2355" i="60"/>
  <c r="O2356" i="60"/>
  <c r="O2357" i="60"/>
  <c r="O2358" i="60"/>
  <c r="O2359" i="60"/>
  <c r="O2360" i="60"/>
  <c r="O2361" i="60"/>
  <c r="O2362" i="60"/>
  <c r="O2363" i="60"/>
  <c r="O2364" i="60"/>
  <c r="O2365" i="60"/>
  <c r="O2366" i="60"/>
  <c r="O2367" i="60"/>
  <c r="O2368" i="60"/>
  <c r="O2369" i="60"/>
  <c r="O2370" i="60"/>
  <c r="O2371" i="60"/>
  <c r="O2372" i="60"/>
  <c r="O2373" i="60"/>
  <c r="O2374" i="60"/>
  <c r="O2375" i="60"/>
  <c r="O2376" i="60"/>
  <c r="O2377" i="60"/>
  <c r="O2378" i="60"/>
  <c r="O2379" i="60"/>
  <c r="O2380" i="60"/>
  <c r="O2381" i="60"/>
  <c r="O2382" i="60"/>
  <c r="O2383" i="60"/>
  <c r="O2384" i="60"/>
  <c r="O2385" i="60"/>
  <c r="O2386" i="60"/>
  <c r="O2387" i="60"/>
  <c r="O2388" i="60"/>
  <c r="O2389" i="60"/>
  <c r="O2390" i="60"/>
  <c r="O2391" i="60"/>
  <c r="O2392" i="60"/>
  <c r="O2393" i="60"/>
  <c r="O2394" i="60"/>
  <c r="O2395" i="60"/>
  <c r="O2396" i="60"/>
  <c r="O2397" i="60"/>
  <c r="O2398" i="60"/>
  <c r="O2399" i="60"/>
  <c r="O2400" i="60"/>
  <c r="O2401" i="60"/>
  <c r="O2402" i="60"/>
  <c r="O2403" i="60"/>
  <c r="O2404" i="60"/>
  <c r="O2405" i="60"/>
  <c r="O2406" i="60"/>
  <c r="O2407" i="60"/>
  <c r="O2408" i="60"/>
  <c r="O2409" i="60"/>
  <c r="O2410" i="60"/>
  <c r="O2411" i="60"/>
  <c r="O2412" i="60"/>
  <c r="O2413" i="60"/>
  <c r="O2414" i="60"/>
  <c r="O2415" i="60"/>
  <c r="O2416" i="60"/>
  <c r="O2417" i="60"/>
  <c r="O2418" i="60"/>
  <c r="O2419" i="60"/>
  <c r="O2420" i="60"/>
  <c r="O2421" i="60"/>
  <c r="O2422" i="60"/>
  <c r="O2423" i="60"/>
  <c r="O2424" i="60"/>
  <c r="O2425" i="60"/>
  <c r="O2426" i="60"/>
  <c r="O2427" i="60"/>
  <c r="O2428" i="60"/>
  <c r="O2429" i="60"/>
  <c r="O2430" i="60"/>
  <c r="O2431" i="60"/>
  <c r="O2432" i="60"/>
  <c r="O2433" i="60"/>
  <c r="O2434" i="60"/>
  <c r="O2435" i="60"/>
  <c r="O2436" i="60"/>
  <c r="O2437" i="60"/>
  <c r="O2438" i="60"/>
  <c r="O2439" i="60"/>
  <c r="O2440" i="60"/>
  <c r="O2441" i="60"/>
  <c r="O2442" i="60"/>
  <c r="O2443" i="60"/>
  <c r="O2444" i="60"/>
  <c r="O2445" i="60"/>
  <c r="O2446" i="60"/>
  <c r="O2447" i="60"/>
  <c r="O2448" i="60"/>
  <c r="O2449" i="60"/>
  <c r="O2450" i="60"/>
  <c r="O2451" i="60"/>
  <c r="O2452" i="60"/>
  <c r="O2453" i="60"/>
  <c r="O2454" i="60"/>
  <c r="O2455" i="60"/>
  <c r="O2456" i="60"/>
  <c r="O2457" i="60"/>
  <c r="O2458" i="60"/>
  <c r="O2459" i="60"/>
  <c r="O2460" i="60"/>
  <c r="O2461" i="60"/>
  <c r="O2462" i="60"/>
  <c r="O2463" i="60"/>
  <c r="O2464" i="60"/>
  <c r="O2465" i="60"/>
  <c r="O2466" i="60"/>
  <c r="O2467" i="60"/>
  <c r="O2468" i="60"/>
  <c r="O2469" i="60"/>
  <c r="O2470" i="60"/>
  <c r="O2471" i="60"/>
  <c r="O2472" i="60"/>
  <c r="O2473" i="60"/>
  <c r="O2474" i="60"/>
  <c r="O2475" i="60"/>
  <c r="O2476" i="60"/>
  <c r="O2477" i="60"/>
  <c r="O2478" i="60"/>
  <c r="O2479" i="60"/>
  <c r="O2480" i="60"/>
  <c r="O2481" i="60"/>
  <c r="O2482" i="60"/>
  <c r="O2483" i="60"/>
  <c r="O2484" i="60"/>
  <c r="O2485" i="60"/>
  <c r="O2486" i="60"/>
  <c r="O2487" i="60"/>
  <c r="O2488" i="60"/>
  <c r="O2489" i="60"/>
  <c r="O2490" i="60"/>
  <c r="O2491" i="60"/>
  <c r="O2492" i="60"/>
  <c r="O2493" i="60"/>
  <c r="O2494" i="60"/>
  <c r="O2495" i="60"/>
  <c r="O2496" i="60"/>
  <c r="O2497" i="60"/>
  <c r="O2498" i="60"/>
  <c r="O2499" i="60"/>
  <c r="O2500" i="60"/>
  <c r="O2501" i="60"/>
  <c r="O2502" i="60"/>
  <c r="O2503" i="60"/>
  <c r="O2504" i="60"/>
  <c r="O2505" i="60"/>
  <c r="O2506" i="60"/>
  <c r="O2507" i="60"/>
  <c r="O2508" i="60"/>
  <c r="O2509" i="60"/>
  <c r="O2510" i="60"/>
  <c r="O2511" i="60"/>
  <c r="O2512" i="60"/>
  <c r="O2513" i="60"/>
  <c r="O2514" i="60"/>
  <c r="O2515" i="60"/>
  <c r="O2516" i="60"/>
  <c r="O2517" i="60"/>
  <c r="O2518" i="60"/>
  <c r="O2519" i="60"/>
  <c r="O2520" i="60"/>
  <c r="O2521" i="60"/>
  <c r="O2522" i="60"/>
  <c r="O2523" i="60"/>
  <c r="O2524" i="60"/>
  <c r="O2525" i="60"/>
  <c r="O2526" i="60"/>
  <c r="O2527" i="60"/>
  <c r="O2528" i="60"/>
  <c r="O2529" i="60"/>
  <c r="O2530" i="60"/>
  <c r="O2531" i="60"/>
  <c r="O2532" i="60"/>
  <c r="O2533" i="60"/>
  <c r="O2534" i="60"/>
  <c r="O2535" i="60"/>
  <c r="O2536" i="60"/>
  <c r="O2537" i="60"/>
  <c r="O2538" i="60"/>
  <c r="O2539" i="60"/>
  <c r="O2540" i="60"/>
  <c r="O2541" i="60"/>
  <c r="O2542" i="60"/>
  <c r="O2543" i="60"/>
  <c r="O2544" i="60"/>
  <c r="O2545" i="60"/>
  <c r="O2546" i="60"/>
  <c r="O2547" i="60"/>
  <c r="O2548" i="60"/>
  <c r="O2549" i="60"/>
  <c r="O2550" i="60"/>
  <c r="O2551" i="60"/>
  <c r="O2552" i="60"/>
  <c r="O2553" i="60"/>
  <c r="O2554" i="60"/>
  <c r="O2555" i="60"/>
  <c r="O2556" i="60"/>
  <c r="O2557" i="60"/>
  <c r="O2558" i="60"/>
  <c r="O2559" i="60"/>
  <c r="O2560" i="60"/>
  <c r="O2561" i="60"/>
  <c r="O2562" i="60"/>
  <c r="O2563" i="60"/>
  <c r="O2564" i="60"/>
  <c r="O2565" i="60"/>
  <c r="O2566" i="60"/>
  <c r="O2567" i="60"/>
  <c r="O2568" i="60"/>
  <c r="O2569" i="60"/>
  <c r="O2570" i="60"/>
  <c r="O2571" i="60"/>
  <c r="O2572" i="60"/>
  <c r="O2573" i="60"/>
  <c r="O2574" i="60"/>
  <c r="O2575" i="60"/>
  <c r="O2576" i="60"/>
  <c r="O2577" i="60"/>
  <c r="O2578" i="60"/>
  <c r="O2579" i="60"/>
  <c r="O2580" i="60"/>
  <c r="O2581" i="60"/>
  <c r="O2582" i="60"/>
  <c r="O2583" i="60"/>
  <c r="O2584" i="60"/>
  <c r="O2585" i="60"/>
  <c r="O2586" i="60"/>
  <c r="O2587" i="60"/>
  <c r="O2588" i="60"/>
  <c r="O2589" i="60"/>
  <c r="O2590" i="60"/>
  <c r="O2591" i="60"/>
  <c r="O2592" i="60"/>
  <c r="O2593" i="60"/>
  <c r="O2594" i="60"/>
  <c r="O2595" i="60"/>
  <c r="O2596" i="60"/>
  <c r="O2597" i="60"/>
  <c r="O2598" i="60"/>
  <c r="O2599" i="60"/>
  <c r="O2600" i="60"/>
  <c r="O2601" i="60"/>
  <c r="O2602" i="60"/>
  <c r="O2603" i="60"/>
  <c r="O2604" i="60"/>
  <c r="O2605" i="60"/>
  <c r="O2606" i="60"/>
  <c r="O2607" i="60"/>
  <c r="O2608" i="60"/>
  <c r="O2609" i="60"/>
  <c r="O2610" i="60"/>
  <c r="O2611" i="60"/>
  <c r="O2612" i="60"/>
  <c r="O2613" i="60"/>
  <c r="O2614" i="60"/>
  <c r="O2615" i="60"/>
  <c r="O2616" i="60"/>
  <c r="O2617" i="60"/>
  <c r="O2618" i="60"/>
  <c r="O2619" i="60"/>
  <c r="O2620" i="60"/>
  <c r="O2621" i="60"/>
  <c r="O2622" i="60"/>
  <c r="O2623" i="60"/>
  <c r="O2624" i="60"/>
  <c r="O2625" i="60"/>
  <c r="O2626" i="60"/>
  <c r="O2627" i="60"/>
  <c r="O2628" i="60"/>
  <c r="O2629" i="60"/>
  <c r="O2630" i="60"/>
  <c r="O2631" i="60"/>
  <c r="O2632" i="60"/>
  <c r="O2633" i="60"/>
  <c r="O2634" i="60"/>
  <c r="O2635" i="60"/>
  <c r="O2636" i="60"/>
  <c r="O2637" i="60"/>
  <c r="O2638" i="60"/>
  <c r="O2639" i="60"/>
  <c r="O2640" i="60"/>
  <c r="O2641" i="60"/>
  <c r="O2642" i="60"/>
  <c r="O2643" i="60"/>
  <c r="O2644" i="60"/>
  <c r="O2645" i="60"/>
  <c r="O2646" i="60"/>
  <c r="O2647" i="60"/>
  <c r="O2648" i="60"/>
  <c r="O2649" i="60"/>
  <c r="O2650" i="60"/>
  <c r="O2651" i="60"/>
  <c r="O2652" i="60"/>
  <c r="O2653" i="60"/>
  <c r="O2654" i="60"/>
  <c r="O2655" i="60"/>
  <c r="O2656" i="60"/>
  <c r="O2657" i="60"/>
  <c r="O2658" i="60"/>
  <c r="O2659" i="60"/>
  <c r="O2660" i="60"/>
  <c r="O2661" i="60"/>
  <c r="O2662" i="60"/>
  <c r="O2663" i="60"/>
  <c r="O2664" i="60"/>
  <c r="O2665" i="60"/>
  <c r="O2666" i="60"/>
  <c r="O2667" i="60"/>
  <c r="O2668" i="60"/>
  <c r="O2669" i="60"/>
  <c r="O2670" i="60"/>
  <c r="O2671" i="60"/>
  <c r="O2672" i="60"/>
  <c r="O2673" i="60"/>
  <c r="O2674" i="60"/>
  <c r="O2675" i="60"/>
  <c r="O2676" i="60"/>
  <c r="O2677" i="60"/>
  <c r="O2678" i="60"/>
  <c r="O2679" i="60"/>
  <c r="O2680" i="60"/>
  <c r="O2681" i="60"/>
  <c r="O2682" i="60"/>
  <c r="O2683" i="60"/>
  <c r="O2684" i="60"/>
  <c r="O2685" i="60"/>
  <c r="O2686" i="60"/>
  <c r="O2687" i="60"/>
  <c r="O2688" i="60"/>
  <c r="O2689" i="60"/>
  <c r="O2690" i="60"/>
  <c r="O2691" i="60"/>
  <c r="O2692" i="60"/>
  <c r="O2693" i="60"/>
  <c r="O2694" i="60"/>
  <c r="O2695" i="60"/>
  <c r="O2696" i="60"/>
  <c r="O2697" i="60"/>
  <c r="O2698" i="60"/>
  <c r="O2699" i="60"/>
  <c r="O2700" i="60"/>
  <c r="O2701" i="60"/>
  <c r="O2702" i="60"/>
  <c r="O2703" i="60"/>
  <c r="O2704" i="60"/>
  <c r="O2705" i="60"/>
  <c r="O2706" i="60"/>
  <c r="O2707" i="60"/>
  <c r="O2708" i="60"/>
  <c r="O2709" i="60"/>
  <c r="O2710" i="60"/>
  <c r="O2711" i="60"/>
  <c r="O2712" i="60"/>
  <c r="O2713" i="60"/>
  <c r="O2714" i="60"/>
  <c r="O2715" i="60"/>
  <c r="O2716" i="60"/>
  <c r="O2717" i="60"/>
  <c r="O2718" i="60"/>
  <c r="O2719" i="60"/>
  <c r="O2720" i="60"/>
  <c r="O2721" i="60"/>
  <c r="O2722" i="60"/>
  <c r="O2723" i="60"/>
  <c r="O2724" i="60"/>
  <c r="O2725" i="60"/>
  <c r="O2726" i="60"/>
  <c r="O2727" i="60"/>
  <c r="O2728" i="60"/>
  <c r="O2729" i="60"/>
  <c r="O2730" i="60"/>
  <c r="O2731" i="60"/>
  <c r="O2732" i="60"/>
  <c r="O2733" i="60"/>
  <c r="O2734" i="60"/>
  <c r="O2735" i="60"/>
  <c r="O2736" i="60"/>
  <c r="O2737" i="60"/>
  <c r="O2738" i="60"/>
  <c r="O2739" i="60"/>
  <c r="O2740" i="60"/>
  <c r="O2741" i="60"/>
  <c r="O2742" i="60"/>
  <c r="O2743" i="60"/>
  <c r="O2744" i="60"/>
  <c r="O2745" i="60"/>
  <c r="O2746" i="60"/>
  <c r="O2747" i="60"/>
  <c r="O2748" i="60"/>
  <c r="O2749" i="60"/>
  <c r="O2750" i="60"/>
  <c r="O2751" i="60"/>
  <c r="O2752" i="60"/>
  <c r="O2753" i="60"/>
  <c r="O2754" i="60"/>
  <c r="O2755" i="60"/>
  <c r="O2756" i="60"/>
  <c r="O2757" i="60"/>
  <c r="O2758" i="60"/>
  <c r="O2759" i="60"/>
  <c r="O2760" i="60"/>
  <c r="O2761" i="60"/>
  <c r="O2762" i="60"/>
  <c r="O2763" i="60"/>
  <c r="O2764" i="60"/>
  <c r="O2765" i="60"/>
  <c r="O2766" i="60"/>
  <c r="O2767" i="60"/>
  <c r="O2768" i="60"/>
  <c r="O2769" i="60"/>
  <c r="O2770" i="60"/>
  <c r="O2771" i="60"/>
  <c r="O2772" i="60"/>
  <c r="O2773" i="60"/>
  <c r="O2774" i="60"/>
  <c r="O2775" i="60"/>
  <c r="O2776" i="60"/>
  <c r="O2777" i="60"/>
  <c r="O2778" i="60"/>
  <c r="O2779" i="60"/>
  <c r="O2780" i="60"/>
  <c r="O2781" i="60"/>
  <c r="O2782" i="60"/>
  <c r="O2783" i="60"/>
  <c r="O2784" i="60"/>
  <c r="O2785" i="60"/>
  <c r="O2786" i="60"/>
  <c r="O2787" i="60"/>
  <c r="O2788" i="60"/>
  <c r="O2789" i="60"/>
  <c r="O2790" i="60"/>
  <c r="O2791" i="60"/>
  <c r="O2792" i="60"/>
  <c r="O2793" i="60"/>
  <c r="O2794" i="60"/>
  <c r="O2795" i="60"/>
  <c r="O2796" i="60"/>
  <c r="O2797" i="60"/>
  <c r="O2798" i="60"/>
  <c r="O2799" i="60"/>
  <c r="O2800" i="60"/>
  <c r="O2801" i="60"/>
  <c r="O2802" i="60"/>
  <c r="O2803" i="60"/>
  <c r="O2804" i="60"/>
  <c r="O2805" i="60"/>
  <c r="O2806" i="60"/>
  <c r="O2807" i="60"/>
  <c r="O2808" i="60"/>
  <c r="O2809" i="60"/>
  <c r="O2810" i="60"/>
  <c r="O2811" i="60"/>
  <c r="O2812" i="60"/>
  <c r="O2813" i="60"/>
  <c r="O2814" i="60"/>
  <c r="O2815" i="60"/>
  <c r="O2816" i="60"/>
  <c r="O2817" i="60"/>
  <c r="O2818" i="60"/>
  <c r="O2819" i="60"/>
  <c r="O2820" i="60"/>
  <c r="O2821" i="60"/>
  <c r="O2822" i="60"/>
  <c r="O2823" i="60"/>
  <c r="O2824" i="60"/>
  <c r="O2825" i="60"/>
  <c r="O2826" i="60"/>
  <c r="O2827" i="60"/>
  <c r="O2828" i="60"/>
  <c r="O2829" i="60"/>
  <c r="O2830" i="60"/>
  <c r="O2831" i="60"/>
  <c r="O2832" i="60"/>
  <c r="O2833" i="60"/>
  <c r="O2834" i="60"/>
  <c r="O2835" i="60"/>
  <c r="O2836" i="60"/>
  <c r="O2837" i="60"/>
  <c r="O2838" i="60"/>
  <c r="O2839" i="60"/>
  <c r="O2840" i="60"/>
  <c r="O2841" i="60"/>
  <c r="O2842" i="60"/>
  <c r="O2843" i="60"/>
  <c r="O2844" i="60"/>
  <c r="O2845" i="60"/>
  <c r="O2846" i="60"/>
  <c r="O2847" i="60"/>
  <c r="O2848" i="60"/>
  <c r="O2849" i="60"/>
  <c r="O2850" i="60"/>
  <c r="O2851" i="60"/>
  <c r="O2852" i="60"/>
  <c r="O2853" i="60"/>
  <c r="O2854" i="60"/>
  <c r="O2855" i="60"/>
  <c r="O2856" i="60"/>
  <c r="O2857" i="60"/>
  <c r="O2858" i="60"/>
  <c r="O2859" i="60"/>
  <c r="O2860" i="60"/>
  <c r="O2861" i="60"/>
  <c r="O2862" i="60"/>
  <c r="O2863" i="60"/>
  <c r="O2864" i="60"/>
  <c r="O2865" i="60"/>
  <c r="O2866" i="60"/>
  <c r="O2867" i="60"/>
  <c r="O2868" i="60"/>
  <c r="O2869" i="60"/>
  <c r="O2870" i="60"/>
  <c r="O2871" i="60"/>
  <c r="O2872" i="60"/>
  <c r="O2873" i="60"/>
  <c r="O2874" i="60"/>
  <c r="O2875" i="60"/>
  <c r="O2876" i="60"/>
  <c r="O2877" i="60"/>
  <c r="O2878" i="60"/>
  <c r="O2879" i="60"/>
  <c r="O2880" i="60"/>
  <c r="O2881" i="60"/>
  <c r="O2882" i="60"/>
  <c r="O2883" i="60"/>
  <c r="O2884" i="60"/>
  <c r="O2885" i="60"/>
  <c r="O2886" i="60"/>
  <c r="O2887" i="60"/>
  <c r="O2888" i="60"/>
  <c r="O2889" i="60"/>
  <c r="O2890" i="60"/>
  <c r="O2891" i="60"/>
  <c r="O2892" i="60"/>
  <c r="O2893" i="60"/>
  <c r="O2894" i="60"/>
  <c r="O2895" i="60"/>
  <c r="O2896" i="60"/>
  <c r="O2897" i="60"/>
  <c r="O2898" i="60"/>
  <c r="O2899" i="60"/>
  <c r="O2900" i="60"/>
  <c r="O2901" i="60"/>
  <c r="O2902" i="60"/>
  <c r="O2903" i="60"/>
  <c r="O2904" i="60"/>
  <c r="O2905" i="60"/>
  <c r="O2906" i="60"/>
  <c r="O2907" i="60"/>
  <c r="O2908" i="60"/>
  <c r="O2909" i="60"/>
  <c r="O2910" i="60"/>
  <c r="O2911" i="60"/>
  <c r="O2912" i="60"/>
  <c r="O2913" i="60"/>
  <c r="O2914" i="60"/>
  <c r="O2915" i="60"/>
  <c r="O2916" i="60"/>
  <c r="O2917" i="60"/>
  <c r="O2918" i="60"/>
  <c r="O2919" i="60"/>
  <c r="O2920" i="60"/>
  <c r="O2921" i="60"/>
  <c r="O2922" i="60"/>
  <c r="O2923" i="60"/>
  <c r="O2924" i="60"/>
  <c r="O2925" i="60"/>
  <c r="O2926" i="60"/>
  <c r="O2927" i="60"/>
  <c r="O2928" i="60"/>
  <c r="O2929" i="60"/>
  <c r="O2930" i="60"/>
  <c r="O2931" i="60"/>
  <c r="O2932" i="60"/>
  <c r="O2933" i="60"/>
  <c r="O2934" i="60"/>
  <c r="O2935" i="60"/>
  <c r="O2936" i="60"/>
  <c r="O2937" i="60"/>
  <c r="O2938" i="60"/>
  <c r="O2939" i="60"/>
  <c r="O2940" i="60"/>
  <c r="O2941" i="60"/>
  <c r="O2942" i="60"/>
  <c r="O2943" i="60"/>
  <c r="O2944" i="60"/>
  <c r="O2945" i="60"/>
  <c r="O2946" i="60"/>
  <c r="O2947" i="60"/>
  <c r="O2948" i="60"/>
  <c r="O2949" i="60"/>
  <c r="O2950" i="60"/>
  <c r="O2951" i="60"/>
  <c r="O2952" i="60"/>
  <c r="O2953" i="60"/>
  <c r="O2954" i="60"/>
  <c r="O2955" i="60"/>
  <c r="O2956" i="60"/>
  <c r="O2957" i="60"/>
  <c r="O2958" i="60"/>
  <c r="O2959" i="60"/>
  <c r="O2960" i="60"/>
  <c r="O2961" i="60"/>
  <c r="O2962" i="60"/>
  <c r="O2963" i="60"/>
  <c r="O2964" i="60"/>
  <c r="O2965" i="60"/>
  <c r="O2966" i="60"/>
  <c r="O2967" i="60"/>
  <c r="O2968" i="60"/>
  <c r="O2969" i="60"/>
  <c r="O2970" i="60"/>
  <c r="O2971" i="60"/>
  <c r="O2972" i="60"/>
  <c r="O2973" i="60"/>
  <c r="O2974" i="60"/>
  <c r="O2975" i="60"/>
  <c r="O2976" i="60"/>
  <c r="O2977" i="60"/>
  <c r="O2978" i="60"/>
  <c r="O2979" i="60"/>
  <c r="O2980" i="60"/>
  <c r="O2981" i="60"/>
  <c r="O2982" i="60"/>
  <c r="O2983" i="60"/>
  <c r="O2984" i="60"/>
  <c r="O2985" i="60"/>
  <c r="O2986" i="60"/>
  <c r="O2987" i="60"/>
  <c r="O2988" i="60"/>
  <c r="O2989" i="60"/>
  <c r="O2990" i="60"/>
  <c r="O2991" i="60"/>
  <c r="O2992" i="60"/>
  <c r="O2993" i="60"/>
  <c r="O2994" i="60"/>
  <c r="O2995" i="60"/>
  <c r="O2996" i="60"/>
  <c r="O2997" i="60"/>
  <c r="O2998" i="60"/>
  <c r="O2999" i="60"/>
  <c r="O3000" i="60"/>
  <c r="O3001" i="60"/>
  <c r="O3002" i="60"/>
  <c r="O3003" i="60"/>
  <c r="O3004" i="60"/>
  <c r="O3005" i="60"/>
  <c r="O3006" i="60"/>
  <c r="O3007" i="60"/>
  <c r="O3008" i="60"/>
  <c r="O3009" i="60"/>
  <c r="O3010" i="60"/>
  <c r="O3011" i="60"/>
  <c r="O3012" i="60"/>
  <c r="O3013" i="60"/>
  <c r="O3014" i="60"/>
  <c r="O3015" i="60"/>
  <c r="O3016" i="60"/>
  <c r="O3017" i="60"/>
  <c r="O3018" i="60"/>
  <c r="O3019" i="60"/>
  <c r="O3020" i="60"/>
  <c r="O3021" i="60"/>
  <c r="O3022" i="60"/>
  <c r="O3023" i="60"/>
  <c r="O3024" i="60"/>
  <c r="O3025" i="60"/>
  <c r="O3026" i="60"/>
  <c r="O3027" i="60"/>
  <c r="O3028" i="60"/>
  <c r="O3029" i="60"/>
  <c r="O3030" i="60"/>
  <c r="O3031" i="60"/>
  <c r="O3032" i="60"/>
  <c r="O3033" i="60"/>
  <c r="O3034" i="60"/>
  <c r="O3035" i="60"/>
  <c r="O3036" i="60"/>
  <c r="O3037" i="60"/>
  <c r="O3038" i="60"/>
  <c r="O3039" i="60"/>
  <c r="O3040" i="60"/>
  <c r="O3041" i="60"/>
  <c r="O3042" i="60"/>
  <c r="O3043" i="60"/>
  <c r="O3044" i="60"/>
  <c r="O3045" i="60"/>
  <c r="O3046" i="60"/>
  <c r="O3047" i="60"/>
  <c r="O3048" i="60"/>
  <c r="O3049" i="60"/>
  <c r="O3050" i="60"/>
  <c r="O3051" i="60"/>
  <c r="O3052" i="60"/>
  <c r="O3053" i="60"/>
  <c r="O3054" i="60"/>
  <c r="O3055" i="60"/>
  <c r="O3056" i="60"/>
  <c r="O3057" i="60"/>
  <c r="O3058" i="60"/>
  <c r="O3059" i="60"/>
  <c r="O3060" i="60"/>
  <c r="O3061" i="60"/>
  <c r="O3062" i="60"/>
  <c r="O3063" i="60"/>
  <c r="O3064" i="60"/>
  <c r="O3065" i="60"/>
  <c r="O3066" i="60"/>
  <c r="O3067" i="60"/>
  <c r="O3068" i="60"/>
  <c r="O3069" i="60"/>
  <c r="O3070" i="60"/>
  <c r="O3071" i="60"/>
  <c r="O3072" i="60"/>
  <c r="O3073" i="60"/>
  <c r="O3074" i="60"/>
  <c r="O3075" i="60"/>
  <c r="O3076" i="60"/>
  <c r="O3077" i="60"/>
  <c r="O3078" i="60"/>
  <c r="O3079" i="60"/>
  <c r="O3080" i="60"/>
  <c r="O3081" i="60"/>
  <c r="O3082" i="60"/>
  <c r="O3083" i="60"/>
  <c r="O3084" i="60"/>
  <c r="O3085" i="60"/>
  <c r="O3086" i="60"/>
  <c r="O3087" i="60"/>
  <c r="O3088" i="60"/>
  <c r="O3089" i="60"/>
  <c r="O3090" i="60"/>
  <c r="O3091" i="60"/>
  <c r="O3092" i="60"/>
  <c r="O3093" i="60"/>
  <c r="O3094" i="60"/>
  <c r="O3095" i="60"/>
  <c r="O3096" i="60"/>
  <c r="O3097" i="60"/>
  <c r="O3098" i="60"/>
  <c r="O3099" i="60"/>
  <c r="O3100" i="60"/>
  <c r="O3101" i="60"/>
  <c r="O3102" i="60"/>
  <c r="O3103" i="60"/>
  <c r="O3104" i="60"/>
  <c r="O3105" i="60"/>
  <c r="O3106" i="60"/>
  <c r="O3107" i="60"/>
  <c r="O3108" i="60"/>
  <c r="O3109" i="60"/>
  <c r="O3110" i="60"/>
  <c r="O3111" i="60"/>
  <c r="O3112" i="60"/>
  <c r="O3113" i="60"/>
  <c r="O3114" i="60"/>
  <c r="O3115" i="60"/>
  <c r="O3116" i="60"/>
  <c r="O3117" i="60"/>
  <c r="O3118" i="60"/>
  <c r="O3119" i="60"/>
  <c r="O3120" i="60"/>
  <c r="O3121" i="60"/>
  <c r="O3122" i="60"/>
  <c r="O3123" i="60"/>
  <c r="O3124" i="60"/>
  <c r="O3125" i="60"/>
  <c r="O3126" i="60"/>
  <c r="O3127" i="60"/>
  <c r="O3128" i="60"/>
  <c r="O3129" i="60"/>
  <c r="O3130" i="60"/>
  <c r="O3131" i="60"/>
  <c r="O3132" i="60"/>
  <c r="O3133" i="60"/>
  <c r="O3134" i="60"/>
  <c r="O3135" i="60"/>
  <c r="O3136" i="60"/>
  <c r="O3137" i="60"/>
  <c r="O3138" i="60"/>
  <c r="O3139" i="60"/>
  <c r="O3140" i="60"/>
  <c r="O3141" i="60"/>
  <c r="O3142" i="60"/>
  <c r="O3143" i="60"/>
  <c r="O3144" i="60"/>
  <c r="O3145" i="60"/>
  <c r="O3146" i="60"/>
  <c r="O3147" i="60"/>
  <c r="O3148" i="60"/>
  <c r="O3149" i="60"/>
  <c r="O3150" i="60"/>
  <c r="O3151" i="60"/>
  <c r="O3152" i="60"/>
  <c r="O3153" i="60"/>
  <c r="O3154" i="60"/>
  <c r="O3155" i="60"/>
  <c r="O3156" i="60"/>
  <c r="O3157" i="60"/>
  <c r="O3158" i="60"/>
  <c r="O3159" i="60"/>
  <c r="O3160" i="60"/>
  <c r="O3161" i="60"/>
  <c r="O3162" i="60"/>
  <c r="O3163" i="60"/>
  <c r="O3164" i="60"/>
  <c r="O3165" i="60"/>
  <c r="O3166" i="60"/>
  <c r="O3167" i="60"/>
  <c r="O3168" i="60"/>
  <c r="O3169" i="60"/>
  <c r="O3170" i="60"/>
  <c r="O3171" i="60"/>
  <c r="O3172" i="60"/>
  <c r="O3173" i="60"/>
  <c r="O3174" i="60"/>
  <c r="O3175" i="60"/>
  <c r="O3176" i="60"/>
  <c r="O3177" i="60"/>
  <c r="O3178" i="60"/>
  <c r="O3179" i="60"/>
  <c r="O3180" i="60"/>
  <c r="O3181" i="60"/>
  <c r="O3182" i="60"/>
  <c r="O3183" i="60"/>
  <c r="O3184" i="60"/>
  <c r="O3185" i="60"/>
  <c r="O3186" i="60"/>
  <c r="O3187" i="60"/>
  <c r="O3188" i="60"/>
  <c r="O3189" i="60"/>
  <c r="O3190" i="60"/>
  <c r="O3191" i="60"/>
  <c r="O3192" i="60"/>
  <c r="O3193" i="60"/>
  <c r="O3194" i="60"/>
  <c r="O3195" i="60"/>
  <c r="O3196" i="60"/>
  <c r="O3197" i="60"/>
  <c r="O3198" i="60"/>
  <c r="O3199" i="60"/>
  <c r="O3200" i="60"/>
  <c r="O3201" i="60"/>
  <c r="O3202" i="60"/>
  <c r="O3203" i="60"/>
  <c r="O3204" i="60"/>
  <c r="O3205" i="60"/>
  <c r="O3206" i="60"/>
  <c r="O3207" i="60"/>
  <c r="O3208" i="60"/>
  <c r="O3209" i="60"/>
  <c r="O3210" i="60"/>
  <c r="O3211" i="60"/>
  <c r="O3212" i="60"/>
  <c r="O3213" i="60"/>
  <c r="O3214" i="60"/>
  <c r="O3215" i="60"/>
  <c r="O3216" i="60"/>
  <c r="O3217" i="60"/>
  <c r="O3218" i="60"/>
  <c r="O3219" i="60"/>
  <c r="O3220" i="60"/>
  <c r="O3221" i="60"/>
  <c r="O3222" i="60"/>
  <c r="O3223" i="60"/>
  <c r="O3224" i="60"/>
  <c r="O3225" i="60"/>
  <c r="O3226" i="60"/>
  <c r="O3227" i="60"/>
  <c r="O3228" i="60"/>
  <c r="O3229" i="60"/>
  <c r="O3230" i="60"/>
  <c r="O3231" i="60"/>
  <c r="O3232" i="60"/>
  <c r="O3233" i="60"/>
  <c r="O3234" i="60"/>
  <c r="O3235" i="60"/>
  <c r="O3236" i="60"/>
  <c r="O3237" i="60"/>
  <c r="O3238" i="60"/>
  <c r="O3239" i="60"/>
  <c r="O3240" i="60"/>
  <c r="O3241" i="60"/>
  <c r="O3242" i="60"/>
  <c r="O3243" i="60"/>
  <c r="O3244" i="60"/>
  <c r="O3245" i="60"/>
  <c r="O3246" i="60"/>
  <c r="O3247" i="60"/>
  <c r="O3248" i="60"/>
  <c r="O3249" i="60"/>
  <c r="O3250" i="60"/>
  <c r="O3251" i="60"/>
  <c r="O3252" i="60"/>
  <c r="O3253" i="60"/>
  <c r="O3254" i="60"/>
  <c r="O3255" i="60"/>
  <c r="O3256" i="60"/>
  <c r="O3257" i="60"/>
  <c r="O3258" i="60"/>
  <c r="O3259" i="60"/>
  <c r="O3260" i="60"/>
  <c r="O3261" i="60"/>
  <c r="O3262" i="60"/>
  <c r="O3263" i="60"/>
  <c r="O3264" i="60"/>
  <c r="O3265" i="60"/>
  <c r="O3266" i="60"/>
  <c r="O3267" i="60"/>
  <c r="O3268" i="60"/>
  <c r="O3269" i="60"/>
  <c r="O3270" i="60"/>
  <c r="O3271" i="60"/>
  <c r="O3272" i="60"/>
  <c r="O3273" i="60"/>
  <c r="O3274" i="60"/>
  <c r="O3275" i="60"/>
  <c r="O3276" i="60"/>
  <c r="O3277" i="60"/>
  <c r="O3278" i="60"/>
  <c r="O3279" i="60"/>
  <c r="O3280" i="60"/>
  <c r="O3281" i="60"/>
  <c r="O3282" i="60"/>
  <c r="O3283" i="60"/>
  <c r="O3284" i="60"/>
  <c r="O3285" i="60"/>
  <c r="O3286" i="60"/>
  <c r="O3287" i="60"/>
  <c r="O3288" i="60"/>
  <c r="O3289" i="60"/>
  <c r="O3290" i="60"/>
  <c r="O3291" i="60"/>
  <c r="O3292" i="60"/>
  <c r="O3293" i="60"/>
  <c r="O3294" i="60"/>
  <c r="O3295" i="60"/>
  <c r="O3296" i="60"/>
  <c r="O3297" i="60"/>
  <c r="O3298" i="60"/>
  <c r="O3299" i="60"/>
  <c r="O3300" i="60"/>
  <c r="O3301" i="60"/>
  <c r="O3302" i="60"/>
  <c r="O3303" i="60"/>
  <c r="O3304" i="60"/>
  <c r="O3305" i="60"/>
  <c r="O3306" i="60"/>
  <c r="O3307" i="60"/>
  <c r="O3308" i="60"/>
  <c r="O3309" i="60"/>
  <c r="O3310" i="60"/>
  <c r="O3311" i="60"/>
  <c r="O3312" i="60"/>
  <c r="O3313" i="60"/>
  <c r="O3314" i="60"/>
  <c r="O3315" i="60"/>
  <c r="O3316" i="60"/>
  <c r="O3317" i="60"/>
  <c r="O3318" i="60"/>
  <c r="O3319" i="60"/>
  <c r="O3320" i="60"/>
  <c r="O3321" i="60"/>
  <c r="O3322" i="60"/>
  <c r="O3323" i="60"/>
  <c r="O3324" i="60"/>
  <c r="O3325" i="60"/>
  <c r="O3326" i="60"/>
  <c r="O3327" i="60"/>
  <c r="O3328" i="60"/>
  <c r="O3329" i="60"/>
  <c r="O3330" i="60"/>
  <c r="O3331" i="60"/>
  <c r="O3332" i="60"/>
  <c r="O3333" i="60"/>
  <c r="O3334" i="60"/>
  <c r="O3335" i="60"/>
  <c r="O3336" i="60"/>
  <c r="O3337" i="60"/>
  <c r="O3338" i="60"/>
  <c r="O3339" i="60"/>
  <c r="O3340" i="60"/>
  <c r="O3341" i="60"/>
  <c r="O3342" i="60"/>
  <c r="O3343" i="60"/>
  <c r="O3344" i="60"/>
  <c r="O3345" i="60"/>
  <c r="O3346" i="60"/>
  <c r="O3347" i="60"/>
  <c r="O3348" i="60"/>
  <c r="O3349" i="60"/>
  <c r="O3350" i="60"/>
  <c r="O3351" i="60"/>
  <c r="O3352" i="60"/>
  <c r="O3353" i="60"/>
  <c r="O3354" i="60"/>
  <c r="O3355" i="60"/>
  <c r="O3356" i="60"/>
  <c r="O3357" i="60"/>
  <c r="O3358" i="60"/>
  <c r="O3359" i="60"/>
  <c r="O3360" i="60"/>
  <c r="O3361" i="60"/>
  <c r="O3362" i="60"/>
  <c r="O3363" i="60"/>
  <c r="O3364" i="60"/>
  <c r="O3365" i="60"/>
  <c r="O3366" i="60"/>
  <c r="O3367" i="60"/>
  <c r="O3368" i="60"/>
  <c r="O3369" i="60"/>
  <c r="O3370" i="60"/>
  <c r="O3371" i="60"/>
  <c r="O3372" i="60"/>
  <c r="O3373" i="60"/>
  <c r="O3374" i="60"/>
  <c r="O3375" i="60"/>
  <c r="O3376" i="60"/>
  <c r="O3377" i="60"/>
  <c r="O3378" i="60"/>
  <c r="O3379" i="60"/>
  <c r="O3380" i="60"/>
  <c r="O3381" i="60"/>
  <c r="O3382" i="60"/>
  <c r="O3383" i="60"/>
  <c r="O3384" i="60"/>
  <c r="O3385" i="60"/>
  <c r="O3386" i="60"/>
  <c r="O3387" i="60"/>
  <c r="O3388" i="60"/>
  <c r="O3389" i="60"/>
  <c r="O3390" i="60"/>
  <c r="O3391" i="60"/>
  <c r="O3392" i="60"/>
  <c r="O3393" i="60"/>
  <c r="O3394" i="60"/>
  <c r="O3395" i="60"/>
  <c r="O3396" i="60"/>
  <c r="O3397" i="60"/>
  <c r="O3398" i="60"/>
  <c r="O3399" i="60"/>
  <c r="O3400" i="60"/>
  <c r="O3401" i="60"/>
  <c r="O3402" i="60"/>
  <c r="O3403" i="60"/>
  <c r="O3404" i="60"/>
  <c r="O3405" i="60"/>
  <c r="O3406" i="60"/>
  <c r="O3407" i="60"/>
  <c r="O3408" i="60"/>
  <c r="O3409" i="60"/>
  <c r="O3410" i="60"/>
  <c r="O3411" i="60"/>
  <c r="O3412" i="60"/>
  <c r="O3413" i="60"/>
  <c r="O3414" i="60"/>
  <c r="O3415" i="60"/>
  <c r="O3416" i="60"/>
  <c r="O3417" i="60"/>
  <c r="O3418" i="60"/>
  <c r="O3419" i="60"/>
  <c r="O3420" i="60"/>
  <c r="O3421" i="60"/>
  <c r="O3422" i="60"/>
  <c r="O3423" i="60"/>
  <c r="O3424" i="60"/>
  <c r="O3425" i="60"/>
  <c r="O3426" i="60"/>
  <c r="O3427" i="60"/>
  <c r="O3428" i="60"/>
  <c r="O3429" i="60"/>
  <c r="O3430" i="60"/>
  <c r="O3431" i="60"/>
  <c r="O3432" i="60"/>
  <c r="O3433" i="60"/>
  <c r="O3434" i="60"/>
  <c r="O3435" i="60"/>
  <c r="O3436" i="60"/>
  <c r="O3437" i="60"/>
  <c r="O3438" i="60"/>
  <c r="O3439" i="60"/>
  <c r="O3440" i="60"/>
  <c r="O3441" i="60"/>
  <c r="O3442" i="60"/>
  <c r="O3443" i="60"/>
  <c r="O3444" i="60"/>
  <c r="O3445" i="60"/>
  <c r="O3446" i="60"/>
  <c r="O3447" i="60"/>
  <c r="O3448" i="60"/>
  <c r="O3449" i="60"/>
  <c r="O3450" i="60"/>
  <c r="O3451" i="60"/>
  <c r="O3452" i="60"/>
  <c r="O3453" i="60"/>
  <c r="O3454" i="60"/>
  <c r="O3455" i="60"/>
  <c r="O3456" i="60"/>
  <c r="O3457" i="60"/>
  <c r="O3458" i="60"/>
  <c r="O3459" i="60"/>
  <c r="O3460" i="60"/>
  <c r="O3461" i="60"/>
  <c r="O3462" i="60"/>
  <c r="O3463" i="60"/>
  <c r="O3464" i="60"/>
  <c r="O3465" i="60"/>
  <c r="O3466" i="60"/>
  <c r="O3467" i="60"/>
  <c r="O3468" i="60"/>
  <c r="O3469" i="60"/>
  <c r="O3470" i="60"/>
  <c r="O3471" i="60"/>
  <c r="O3472" i="60"/>
  <c r="O3473" i="60"/>
  <c r="O3474" i="60"/>
  <c r="O3475" i="60"/>
  <c r="O3476" i="60"/>
  <c r="O3477" i="60"/>
  <c r="O3478" i="60"/>
  <c r="O3479" i="60"/>
  <c r="O3480" i="60"/>
  <c r="O3481" i="60"/>
  <c r="O3482" i="60"/>
  <c r="O3483" i="60"/>
  <c r="O3484" i="60"/>
  <c r="O3485" i="60"/>
  <c r="O3486" i="60"/>
  <c r="O3487" i="60"/>
  <c r="O3488" i="60"/>
  <c r="O3489" i="60"/>
  <c r="O3490" i="60"/>
  <c r="O3491" i="60"/>
  <c r="O3492" i="60"/>
  <c r="O3493" i="60"/>
  <c r="O3494" i="60"/>
  <c r="O3495" i="60"/>
  <c r="O3496" i="60"/>
  <c r="O3497" i="60"/>
  <c r="O3498" i="60"/>
  <c r="O3499" i="60"/>
  <c r="O3500" i="60"/>
  <c r="O3501" i="60"/>
  <c r="O3502" i="60"/>
  <c r="O3503" i="60"/>
  <c r="O3504" i="60"/>
  <c r="O3505" i="60"/>
  <c r="O3506" i="60"/>
  <c r="O3507" i="60"/>
  <c r="O3508" i="60"/>
  <c r="O3509" i="60"/>
  <c r="O3510" i="60"/>
  <c r="O3511" i="60"/>
  <c r="O3512" i="60"/>
  <c r="O3513" i="60"/>
  <c r="O3514" i="60"/>
  <c r="O3515" i="60"/>
  <c r="O3516" i="60"/>
  <c r="O3517" i="60"/>
  <c r="O3518" i="60"/>
  <c r="O3519" i="60"/>
  <c r="O3520" i="60"/>
  <c r="O3521" i="60"/>
  <c r="O3522" i="60"/>
  <c r="O3523" i="60"/>
  <c r="O3524" i="60"/>
  <c r="O3525" i="60"/>
  <c r="O3526" i="60"/>
  <c r="O3527" i="60"/>
  <c r="O3528" i="60"/>
  <c r="O3529" i="60"/>
  <c r="O3530" i="60"/>
  <c r="O3531" i="60"/>
  <c r="O3532" i="60"/>
  <c r="O3533" i="60"/>
  <c r="O3534" i="60"/>
  <c r="O3535" i="60"/>
  <c r="O3536" i="60"/>
  <c r="O3537" i="60"/>
  <c r="O3538" i="60"/>
  <c r="O3539" i="60"/>
  <c r="O3540" i="60"/>
  <c r="O3541" i="60"/>
  <c r="O3542" i="60"/>
  <c r="O3543" i="60"/>
  <c r="O3544" i="60"/>
  <c r="O3545" i="60"/>
  <c r="O3546" i="60"/>
  <c r="O3547" i="60"/>
  <c r="O3548" i="60"/>
  <c r="O3549" i="60"/>
  <c r="O3550" i="60"/>
  <c r="O3551" i="60"/>
  <c r="O3552" i="60"/>
  <c r="O3553" i="60"/>
  <c r="O3554" i="60"/>
  <c r="O3555" i="60"/>
  <c r="O3556" i="60"/>
  <c r="G3" i="60"/>
  <c r="G4" i="60"/>
  <c r="G5" i="60"/>
  <c r="G6" i="60"/>
  <c r="G7" i="60"/>
  <c r="G8" i="60"/>
  <c r="G9" i="60"/>
  <c r="G10" i="60"/>
  <c r="G11" i="60"/>
  <c r="G12" i="60"/>
  <c r="G13" i="60"/>
  <c r="G14" i="60"/>
  <c r="G15" i="60"/>
  <c r="G16" i="60"/>
  <c r="G17" i="60"/>
  <c r="G18" i="60"/>
  <c r="G19" i="60"/>
  <c r="G20" i="60"/>
  <c r="G21" i="60"/>
  <c r="G22" i="60"/>
  <c r="G23" i="60"/>
  <c r="G24" i="60"/>
  <c r="G25" i="60"/>
  <c r="G26" i="60"/>
  <c r="G27" i="60"/>
  <c r="G28" i="60"/>
  <c r="G29" i="60"/>
  <c r="G30" i="60"/>
  <c r="G31" i="60"/>
  <c r="G32" i="60"/>
  <c r="G33" i="60"/>
  <c r="G34" i="60"/>
  <c r="G35" i="60"/>
  <c r="G36" i="60"/>
  <c r="G37" i="60"/>
  <c r="G38" i="60"/>
  <c r="G39" i="60"/>
  <c r="G40" i="60"/>
  <c r="G41" i="60"/>
  <c r="G42" i="60"/>
  <c r="G43" i="60"/>
  <c r="G44" i="60"/>
  <c r="G45" i="60"/>
  <c r="G46" i="60"/>
  <c r="G47" i="60"/>
  <c r="G48" i="60"/>
  <c r="G49" i="60"/>
  <c r="G50" i="60"/>
  <c r="G51" i="60"/>
  <c r="G52" i="60"/>
  <c r="G53" i="60"/>
  <c r="G54" i="60"/>
  <c r="G55" i="60"/>
  <c r="G56" i="60"/>
  <c r="G57" i="60"/>
  <c r="G58" i="60"/>
  <c r="G59" i="60"/>
  <c r="G60" i="60"/>
  <c r="G61" i="60"/>
  <c r="G62" i="60"/>
  <c r="G63" i="60"/>
  <c r="G64" i="60"/>
  <c r="G65" i="60"/>
  <c r="G66" i="60"/>
  <c r="G67" i="60"/>
  <c r="G68" i="60"/>
  <c r="G69" i="60"/>
  <c r="G70" i="60"/>
  <c r="G71" i="60"/>
  <c r="G72" i="60"/>
  <c r="G73" i="60"/>
  <c r="G74" i="60"/>
  <c r="G75" i="60"/>
  <c r="G76" i="60"/>
  <c r="G77" i="60"/>
  <c r="G78" i="60"/>
  <c r="G79" i="60"/>
  <c r="G80" i="60"/>
  <c r="G81" i="60"/>
  <c r="G82" i="60"/>
  <c r="G83" i="60"/>
  <c r="G84" i="60"/>
  <c r="G85" i="60"/>
  <c r="G86" i="60"/>
  <c r="G87" i="60"/>
  <c r="G88" i="60"/>
  <c r="G89" i="60"/>
  <c r="G90" i="60"/>
  <c r="G91" i="60"/>
  <c r="G92" i="60"/>
  <c r="G93" i="60"/>
  <c r="G94" i="60"/>
  <c r="G95" i="60"/>
  <c r="G96" i="60"/>
  <c r="G97" i="60"/>
  <c r="G98" i="60"/>
  <c r="G99" i="60"/>
  <c r="G100" i="60"/>
  <c r="G101" i="60"/>
  <c r="G102" i="60"/>
  <c r="G103" i="60"/>
  <c r="G104" i="60"/>
  <c r="G105" i="60"/>
  <c r="G106" i="60"/>
  <c r="G107" i="60"/>
  <c r="G108" i="60"/>
  <c r="G109" i="60"/>
  <c r="G110" i="60"/>
  <c r="G111" i="60"/>
  <c r="G112" i="60"/>
  <c r="G113" i="60"/>
  <c r="G114" i="60"/>
  <c r="G115" i="60"/>
  <c r="G116" i="60"/>
  <c r="G117" i="60"/>
  <c r="G118" i="60"/>
  <c r="G119" i="60"/>
  <c r="G120" i="60"/>
  <c r="G121" i="60"/>
  <c r="G122" i="60"/>
  <c r="G123" i="60"/>
  <c r="G124" i="60"/>
  <c r="G125" i="60"/>
  <c r="G126" i="60"/>
  <c r="G127" i="60"/>
  <c r="G128" i="60"/>
  <c r="G129" i="60"/>
  <c r="G130" i="60"/>
  <c r="G131" i="60"/>
  <c r="G132" i="60"/>
  <c r="G133" i="60"/>
  <c r="G134" i="60"/>
  <c r="G135" i="60"/>
  <c r="G136" i="60"/>
  <c r="G137" i="60"/>
  <c r="G138" i="60"/>
  <c r="G139" i="60"/>
  <c r="G140" i="60"/>
  <c r="G141" i="60"/>
  <c r="G142" i="60"/>
  <c r="G143" i="60"/>
  <c r="G144" i="60"/>
  <c r="G145" i="60"/>
  <c r="G146" i="60"/>
  <c r="G147" i="60"/>
  <c r="G148" i="60"/>
  <c r="G149" i="60"/>
  <c r="G150" i="60"/>
  <c r="G151" i="60"/>
  <c r="G152" i="60"/>
  <c r="G153" i="60"/>
  <c r="G154" i="60"/>
  <c r="G155" i="60"/>
  <c r="G156" i="60"/>
  <c r="G157" i="60"/>
  <c r="G158" i="60"/>
  <c r="G159" i="60"/>
  <c r="G160" i="60"/>
  <c r="G161" i="60"/>
  <c r="G162" i="60"/>
  <c r="G163" i="60"/>
  <c r="G164" i="60"/>
  <c r="G165" i="60"/>
  <c r="G166" i="60"/>
  <c r="G167" i="60"/>
  <c r="G168" i="60"/>
  <c r="G169" i="60"/>
  <c r="G170" i="60"/>
  <c r="G171" i="60"/>
  <c r="G172" i="60"/>
  <c r="G173" i="60"/>
  <c r="G174" i="60"/>
  <c r="G175" i="60"/>
  <c r="G176" i="60"/>
  <c r="G177" i="60"/>
  <c r="G178" i="60"/>
  <c r="G179" i="60"/>
  <c r="G180" i="60"/>
  <c r="G181" i="60"/>
  <c r="G182" i="60"/>
  <c r="G183" i="60"/>
  <c r="G184" i="60"/>
  <c r="G185" i="60"/>
  <c r="G186" i="60"/>
  <c r="G187" i="60"/>
  <c r="G188" i="60"/>
  <c r="G189" i="60"/>
  <c r="G190" i="60"/>
  <c r="G191" i="60"/>
  <c r="G192" i="60"/>
  <c r="G193" i="60"/>
  <c r="G194" i="60"/>
  <c r="G195" i="60"/>
  <c r="G196" i="60"/>
  <c r="G197" i="60"/>
  <c r="G198" i="60"/>
  <c r="G199" i="60"/>
  <c r="G200" i="60"/>
  <c r="G201" i="60"/>
  <c r="G202" i="60"/>
  <c r="G203" i="60"/>
  <c r="G204" i="60"/>
  <c r="G205" i="60"/>
  <c r="G206" i="60"/>
  <c r="G207" i="60"/>
  <c r="G208" i="60"/>
  <c r="G209" i="60"/>
  <c r="G210" i="60"/>
  <c r="G211" i="60"/>
  <c r="G212" i="60"/>
  <c r="G213" i="60"/>
  <c r="G214" i="60"/>
  <c r="G215" i="60"/>
  <c r="G216" i="60"/>
  <c r="G217" i="60"/>
  <c r="G218" i="60"/>
  <c r="G219" i="60"/>
  <c r="G220" i="60"/>
  <c r="G221" i="60"/>
  <c r="G222" i="60"/>
  <c r="G223" i="60"/>
  <c r="G224" i="60"/>
  <c r="G225" i="60"/>
  <c r="G226" i="60"/>
  <c r="G227" i="60"/>
  <c r="G228" i="60"/>
  <c r="G229" i="60"/>
  <c r="G230" i="60"/>
  <c r="G231" i="60"/>
  <c r="G232" i="60"/>
  <c r="G233" i="60"/>
  <c r="G234" i="60"/>
  <c r="G235" i="60"/>
  <c r="G236" i="60"/>
  <c r="G237" i="60"/>
  <c r="G238" i="60"/>
  <c r="G239" i="60"/>
  <c r="G240" i="60"/>
  <c r="G241" i="60"/>
  <c r="G242" i="60"/>
  <c r="G243" i="60"/>
  <c r="G244" i="60"/>
  <c r="G245" i="60"/>
  <c r="G246" i="60"/>
  <c r="G247" i="60"/>
  <c r="G248" i="60"/>
  <c r="G249" i="60"/>
  <c r="G250" i="60"/>
  <c r="G251" i="60"/>
  <c r="G252" i="60"/>
  <c r="G253" i="60"/>
  <c r="G254" i="60"/>
  <c r="G255" i="60"/>
  <c r="G256" i="60"/>
  <c r="G257" i="60"/>
  <c r="G258" i="60"/>
  <c r="G259" i="60"/>
  <c r="G260" i="60"/>
  <c r="G261" i="60"/>
  <c r="G262" i="60"/>
  <c r="G263" i="60"/>
  <c r="G264" i="60"/>
  <c r="G265" i="60"/>
  <c r="G266" i="60"/>
  <c r="G267" i="60"/>
  <c r="G268" i="60"/>
  <c r="G269" i="60"/>
  <c r="G270" i="60"/>
  <c r="G271" i="60"/>
  <c r="G272" i="60"/>
  <c r="G273" i="60"/>
  <c r="G274" i="60"/>
  <c r="G275" i="60"/>
  <c r="G276" i="60"/>
  <c r="G277" i="60"/>
  <c r="G278" i="60"/>
  <c r="G279" i="60"/>
  <c r="G280" i="60"/>
  <c r="G281" i="60"/>
  <c r="G282" i="60"/>
  <c r="G283" i="60"/>
  <c r="G284" i="60"/>
  <c r="G285" i="60"/>
  <c r="G286" i="60"/>
  <c r="G287" i="60"/>
  <c r="G288" i="60"/>
  <c r="G289" i="60"/>
  <c r="G290" i="60"/>
  <c r="G291" i="60"/>
  <c r="G292" i="60"/>
  <c r="G293" i="60"/>
  <c r="G294" i="60"/>
  <c r="G295" i="60"/>
  <c r="G296" i="60"/>
  <c r="G297" i="60"/>
  <c r="G298" i="60"/>
  <c r="G299" i="60"/>
  <c r="G300" i="60"/>
  <c r="G301" i="60"/>
  <c r="G302" i="60"/>
  <c r="G303" i="60"/>
  <c r="G304" i="60"/>
  <c r="G305" i="60"/>
  <c r="G306" i="60"/>
  <c r="G307" i="60"/>
  <c r="G308" i="60"/>
  <c r="G309" i="60"/>
  <c r="G310" i="60"/>
  <c r="G311" i="60"/>
  <c r="G312" i="60"/>
  <c r="G313" i="60"/>
  <c r="G314" i="60"/>
  <c r="G315" i="60"/>
  <c r="G316" i="60"/>
  <c r="G317" i="60"/>
  <c r="G318" i="60"/>
  <c r="G319" i="60"/>
  <c r="G320" i="60"/>
  <c r="G321" i="60"/>
  <c r="G322" i="60"/>
  <c r="G323" i="60"/>
  <c r="G324" i="60"/>
  <c r="G325" i="60"/>
  <c r="G326" i="60"/>
  <c r="G327" i="60"/>
  <c r="G328" i="60"/>
  <c r="G329" i="60"/>
  <c r="G330" i="60"/>
  <c r="G331" i="60"/>
  <c r="G332" i="60"/>
  <c r="G333" i="60"/>
  <c r="G334" i="60"/>
  <c r="G335" i="60"/>
  <c r="G336" i="60"/>
  <c r="G337" i="60"/>
  <c r="G338" i="60"/>
  <c r="G339" i="60"/>
  <c r="G340" i="60"/>
  <c r="G341" i="60"/>
  <c r="G342" i="60"/>
  <c r="G343" i="60"/>
  <c r="G344" i="60"/>
  <c r="G345" i="60"/>
  <c r="G346" i="60"/>
  <c r="G347" i="60"/>
  <c r="G348" i="60"/>
  <c r="G349" i="60"/>
  <c r="G350" i="60"/>
  <c r="G351" i="60"/>
  <c r="G352" i="60"/>
  <c r="G353" i="60"/>
  <c r="G354" i="60"/>
  <c r="G355" i="60"/>
  <c r="G356" i="60"/>
  <c r="G357" i="60"/>
  <c r="G358" i="60"/>
  <c r="G359" i="60"/>
  <c r="G360" i="60"/>
  <c r="G361" i="60"/>
  <c r="G362" i="60"/>
  <c r="G363" i="60"/>
  <c r="G364" i="60"/>
  <c r="G365" i="60"/>
  <c r="G366" i="60"/>
  <c r="G367" i="60"/>
  <c r="G368" i="60"/>
  <c r="G369" i="60"/>
  <c r="G370" i="60"/>
  <c r="G371" i="60"/>
  <c r="G372" i="60"/>
  <c r="G373" i="60"/>
  <c r="G374" i="60"/>
  <c r="G375" i="60"/>
  <c r="G376" i="60"/>
  <c r="G377" i="60"/>
  <c r="G378" i="60"/>
  <c r="G379" i="60"/>
  <c r="G380" i="60"/>
  <c r="G381" i="60"/>
  <c r="G382" i="60"/>
  <c r="G383" i="60"/>
  <c r="G384" i="60"/>
  <c r="G385" i="60"/>
  <c r="G386" i="60"/>
  <c r="G387" i="60"/>
  <c r="G388" i="60"/>
  <c r="G389" i="60"/>
  <c r="G390" i="60"/>
  <c r="G391" i="60"/>
  <c r="G392" i="60"/>
  <c r="G393" i="60"/>
  <c r="G394" i="60"/>
  <c r="G395" i="60"/>
  <c r="G396" i="60"/>
  <c r="G397" i="60"/>
  <c r="G398" i="60"/>
  <c r="G399" i="60"/>
  <c r="G400" i="60"/>
  <c r="G401" i="60"/>
  <c r="G402" i="60"/>
  <c r="G403" i="60"/>
  <c r="G404" i="60"/>
  <c r="G405" i="60"/>
  <c r="G406" i="60"/>
  <c r="G407" i="60"/>
  <c r="G408" i="60"/>
  <c r="G409" i="60"/>
  <c r="G410" i="60"/>
  <c r="G411" i="60"/>
  <c r="G412" i="60"/>
  <c r="G413" i="60"/>
  <c r="G414" i="60"/>
  <c r="G415" i="60"/>
  <c r="G416" i="60"/>
  <c r="G417" i="60"/>
  <c r="G418" i="60"/>
  <c r="G419" i="60"/>
  <c r="G420" i="60"/>
  <c r="G421" i="60"/>
  <c r="G422" i="60"/>
  <c r="G423" i="60"/>
  <c r="G424" i="60"/>
  <c r="G425" i="60"/>
  <c r="G426" i="60"/>
  <c r="G427" i="60"/>
  <c r="G428" i="60"/>
  <c r="G429" i="60"/>
  <c r="G430" i="60"/>
  <c r="G431" i="60"/>
  <c r="G432" i="60"/>
  <c r="G433" i="60"/>
  <c r="G434" i="60"/>
  <c r="G435" i="60"/>
  <c r="G436" i="60"/>
  <c r="G437" i="60"/>
  <c r="G438" i="60"/>
  <c r="G439" i="60"/>
  <c r="G440" i="60"/>
  <c r="G441" i="60"/>
  <c r="G442" i="60"/>
  <c r="G443" i="60"/>
  <c r="G444" i="60"/>
  <c r="G445" i="60"/>
  <c r="G446" i="60"/>
  <c r="G447" i="60"/>
  <c r="G448" i="60"/>
  <c r="G449" i="60"/>
  <c r="G450" i="60"/>
  <c r="G451" i="60"/>
  <c r="G452" i="60"/>
  <c r="G453" i="60"/>
  <c r="G454" i="60"/>
  <c r="G455" i="60"/>
  <c r="G456" i="60"/>
  <c r="G457" i="60"/>
  <c r="G458" i="60"/>
  <c r="G459" i="60"/>
  <c r="G460" i="60"/>
  <c r="G461" i="60"/>
  <c r="G462" i="60"/>
  <c r="G463" i="60"/>
  <c r="G464" i="60"/>
  <c r="G465" i="60"/>
  <c r="G466" i="60"/>
  <c r="G467" i="60"/>
  <c r="G468" i="60"/>
  <c r="G469" i="60"/>
  <c r="G470" i="60"/>
  <c r="G471" i="60"/>
  <c r="G472" i="60"/>
  <c r="G473" i="60"/>
  <c r="G474" i="60"/>
  <c r="G475" i="60"/>
  <c r="G476" i="60"/>
  <c r="G477" i="60"/>
  <c r="G478" i="60"/>
  <c r="G479" i="60"/>
  <c r="G480" i="60"/>
  <c r="G481" i="60"/>
  <c r="G482" i="60"/>
  <c r="G483" i="60"/>
  <c r="G484" i="60"/>
  <c r="G485" i="60"/>
  <c r="G486" i="60"/>
  <c r="G487" i="60"/>
  <c r="G488" i="60"/>
  <c r="G489" i="60"/>
  <c r="G490" i="60"/>
  <c r="G491" i="60"/>
  <c r="G492" i="60"/>
  <c r="G493" i="60"/>
  <c r="G494" i="60"/>
  <c r="G495" i="60"/>
  <c r="G496" i="60"/>
  <c r="G497" i="60"/>
  <c r="G498" i="60"/>
  <c r="G499" i="60"/>
  <c r="G500" i="60"/>
  <c r="G501" i="60"/>
  <c r="G502" i="60"/>
  <c r="G503" i="60"/>
  <c r="G504" i="60"/>
  <c r="G505" i="60"/>
  <c r="G506" i="60"/>
  <c r="G507" i="60"/>
  <c r="G508" i="60"/>
  <c r="G509" i="60"/>
  <c r="G510" i="60"/>
  <c r="G511" i="60"/>
  <c r="G512" i="60"/>
  <c r="G513" i="60"/>
  <c r="G514" i="60"/>
  <c r="G515" i="60"/>
  <c r="G516" i="60"/>
  <c r="G517" i="60"/>
  <c r="G518" i="60"/>
  <c r="G519" i="60"/>
  <c r="G520" i="60"/>
  <c r="G521" i="60"/>
  <c r="G522" i="60"/>
  <c r="G523" i="60"/>
  <c r="G524" i="60"/>
  <c r="G525" i="60"/>
  <c r="G526" i="60"/>
  <c r="G527" i="60"/>
  <c r="G528" i="60"/>
  <c r="G529" i="60"/>
  <c r="G530" i="60"/>
  <c r="G531" i="60"/>
  <c r="G532" i="60"/>
  <c r="G533" i="60"/>
  <c r="G534" i="60"/>
  <c r="G535" i="60"/>
  <c r="G536" i="60"/>
  <c r="G537" i="60"/>
  <c r="G538" i="60"/>
  <c r="G539" i="60"/>
  <c r="G540" i="60"/>
  <c r="G541" i="60"/>
  <c r="G542" i="60"/>
  <c r="G543" i="60"/>
  <c r="G544" i="60"/>
  <c r="G545" i="60"/>
  <c r="G546" i="60"/>
  <c r="G547" i="60"/>
  <c r="G548" i="60"/>
  <c r="G549" i="60"/>
  <c r="G550" i="60"/>
  <c r="G551" i="60"/>
  <c r="G552" i="60"/>
  <c r="G553" i="60"/>
  <c r="G554" i="60"/>
  <c r="G555" i="60"/>
  <c r="G556" i="60"/>
  <c r="G557" i="60"/>
  <c r="G558" i="60"/>
  <c r="G559" i="60"/>
  <c r="G560" i="60"/>
  <c r="G561" i="60"/>
  <c r="G562" i="60"/>
  <c r="G563" i="60"/>
  <c r="G564" i="60"/>
  <c r="G565" i="60"/>
  <c r="G566" i="60"/>
  <c r="G567" i="60"/>
  <c r="G568" i="60"/>
  <c r="G569" i="60"/>
  <c r="G570" i="60"/>
  <c r="G571" i="60"/>
  <c r="G572" i="60"/>
  <c r="G573" i="60"/>
  <c r="G574" i="60"/>
  <c r="G575" i="60"/>
  <c r="G576" i="60"/>
  <c r="G577" i="60"/>
  <c r="G578" i="60"/>
  <c r="G579" i="60"/>
  <c r="G580" i="60"/>
  <c r="G581" i="60"/>
  <c r="G582" i="60"/>
  <c r="G583" i="60"/>
  <c r="G584" i="60"/>
  <c r="G585" i="60"/>
  <c r="G586" i="60"/>
  <c r="G587" i="60"/>
  <c r="G588" i="60"/>
  <c r="G589" i="60"/>
  <c r="G590" i="60"/>
  <c r="G591" i="60"/>
  <c r="G592" i="60"/>
  <c r="G593" i="60"/>
  <c r="G594" i="60"/>
  <c r="G595" i="60"/>
  <c r="G596" i="60"/>
  <c r="G597" i="60"/>
  <c r="G598" i="60"/>
  <c r="G599" i="60"/>
  <c r="G600" i="60"/>
  <c r="G601" i="60"/>
  <c r="G602" i="60"/>
  <c r="G603" i="60"/>
  <c r="G604" i="60"/>
  <c r="G605" i="60"/>
  <c r="G606" i="60"/>
  <c r="G607" i="60"/>
  <c r="G608" i="60"/>
  <c r="G609" i="60"/>
  <c r="G610" i="60"/>
  <c r="G611" i="60"/>
  <c r="G612" i="60"/>
  <c r="G613" i="60"/>
  <c r="G614" i="60"/>
  <c r="G615" i="60"/>
  <c r="G616" i="60"/>
  <c r="G617" i="60"/>
  <c r="G618" i="60"/>
  <c r="G619" i="60"/>
  <c r="G620" i="60"/>
  <c r="G621" i="60"/>
  <c r="G622" i="60"/>
  <c r="G623" i="60"/>
  <c r="G624" i="60"/>
  <c r="G625" i="60"/>
  <c r="G626" i="60"/>
  <c r="G627" i="60"/>
  <c r="G628" i="60"/>
  <c r="G629" i="60"/>
  <c r="G630" i="60"/>
  <c r="G631" i="60"/>
  <c r="G632" i="60"/>
  <c r="G633" i="60"/>
  <c r="G634" i="60"/>
  <c r="G635" i="60"/>
  <c r="G636" i="60"/>
  <c r="G637" i="60"/>
  <c r="G638" i="60"/>
  <c r="G639" i="60"/>
  <c r="G640" i="60"/>
  <c r="G641" i="60"/>
  <c r="G642" i="60"/>
  <c r="G643" i="60"/>
  <c r="G644" i="60"/>
  <c r="G645" i="60"/>
  <c r="G646" i="60"/>
  <c r="G647" i="60"/>
  <c r="G648" i="60"/>
  <c r="G649" i="60"/>
  <c r="G650" i="60"/>
  <c r="G651" i="60"/>
  <c r="G652" i="60"/>
  <c r="G653" i="60"/>
  <c r="G654" i="60"/>
  <c r="G655" i="60"/>
  <c r="G656" i="60"/>
  <c r="G657" i="60"/>
  <c r="G658" i="60"/>
  <c r="G659" i="60"/>
  <c r="G660" i="60"/>
  <c r="G661" i="60"/>
  <c r="G662" i="60"/>
  <c r="G663" i="60"/>
  <c r="G664" i="60"/>
  <c r="G665" i="60"/>
  <c r="G666" i="60"/>
  <c r="G667" i="60"/>
  <c r="G668" i="60"/>
  <c r="G669" i="60"/>
  <c r="G670" i="60"/>
  <c r="G671" i="60"/>
  <c r="G672" i="60"/>
  <c r="G673" i="60"/>
  <c r="G674" i="60"/>
  <c r="G675" i="60"/>
  <c r="G676" i="60"/>
  <c r="G677" i="60"/>
  <c r="G678" i="60"/>
  <c r="G679" i="60"/>
  <c r="G680" i="60"/>
  <c r="G681" i="60"/>
  <c r="G682" i="60"/>
  <c r="G683" i="60"/>
  <c r="G684" i="60"/>
  <c r="G685" i="60"/>
  <c r="G686" i="60"/>
  <c r="G687" i="60"/>
  <c r="G688" i="60"/>
  <c r="G689" i="60"/>
  <c r="G690" i="60"/>
  <c r="G691" i="60"/>
  <c r="G692" i="60"/>
  <c r="G693" i="60"/>
  <c r="G694" i="60"/>
  <c r="G695" i="60"/>
  <c r="G696" i="60"/>
  <c r="G697" i="60"/>
  <c r="G698" i="60"/>
  <c r="G699" i="60"/>
  <c r="G700" i="60"/>
  <c r="G701" i="60"/>
  <c r="G702" i="60"/>
  <c r="G703" i="60"/>
  <c r="G704" i="60"/>
  <c r="G705" i="60"/>
  <c r="G706" i="60"/>
  <c r="G707" i="60"/>
  <c r="G708" i="60"/>
  <c r="G709" i="60"/>
  <c r="G710" i="60"/>
  <c r="G711" i="60"/>
  <c r="G712" i="60"/>
  <c r="G713" i="60"/>
  <c r="G714" i="60"/>
  <c r="G715" i="60"/>
  <c r="G716" i="60"/>
  <c r="G717" i="60"/>
  <c r="G718" i="60"/>
  <c r="G719" i="60"/>
  <c r="G720" i="60"/>
  <c r="G721" i="60"/>
  <c r="G722" i="60"/>
  <c r="G723" i="60"/>
  <c r="G724" i="60"/>
  <c r="G725" i="60"/>
  <c r="G726" i="60"/>
  <c r="G727" i="60"/>
  <c r="G728" i="60"/>
  <c r="G729" i="60"/>
  <c r="G730" i="60"/>
  <c r="G731" i="60"/>
  <c r="G732" i="60"/>
  <c r="G733" i="60"/>
  <c r="G734" i="60"/>
  <c r="G735" i="60"/>
  <c r="G736" i="60"/>
  <c r="G737" i="60"/>
  <c r="G738" i="60"/>
  <c r="G739" i="60"/>
  <c r="G740" i="60"/>
  <c r="G741" i="60"/>
  <c r="G742" i="60"/>
  <c r="G743" i="60"/>
  <c r="G744" i="60"/>
  <c r="G745" i="60"/>
  <c r="G746" i="60"/>
  <c r="G747" i="60"/>
  <c r="G748" i="60"/>
  <c r="G749" i="60"/>
  <c r="G750" i="60"/>
  <c r="G751" i="60"/>
  <c r="G752" i="60"/>
  <c r="G753" i="60"/>
  <c r="G754" i="60"/>
  <c r="G755" i="60"/>
  <c r="G756" i="60"/>
  <c r="G757" i="60"/>
  <c r="G758" i="60"/>
  <c r="G759" i="60"/>
  <c r="G760" i="60"/>
  <c r="G761" i="60"/>
  <c r="G762" i="60"/>
  <c r="G763" i="60"/>
  <c r="G764" i="60"/>
  <c r="G765" i="60"/>
  <c r="G766" i="60"/>
  <c r="G767" i="60"/>
  <c r="G768" i="60"/>
  <c r="G769" i="60"/>
  <c r="G770" i="60"/>
  <c r="G771" i="60"/>
  <c r="G772" i="60"/>
  <c r="G773" i="60"/>
  <c r="G774" i="60"/>
  <c r="G775" i="60"/>
  <c r="G776" i="60"/>
  <c r="G777" i="60"/>
  <c r="G778" i="60"/>
  <c r="G779" i="60"/>
  <c r="G780" i="60"/>
  <c r="G781" i="60"/>
  <c r="G782" i="60"/>
  <c r="G783" i="60"/>
  <c r="G784" i="60"/>
  <c r="G785" i="60"/>
  <c r="G786" i="60"/>
  <c r="G787" i="60"/>
  <c r="G788" i="60"/>
  <c r="G789" i="60"/>
  <c r="G790" i="60"/>
  <c r="G791" i="60"/>
  <c r="G792" i="60"/>
  <c r="G793" i="60"/>
  <c r="G794" i="60"/>
  <c r="G795" i="60"/>
  <c r="G796" i="60"/>
  <c r="G797" i="60"/>
  <c r="G798" i="60"/>
  <c r="G799" i="60"/>
  <c r="G800" i="60"/>
  <c r="G801" i="60"/>
  <c r="G802" i="60"/>
  <c r="G803" i="60"/>
  <c r="G804" i="60"/>
  <c r="G805" i="60"/>
  <c r="G806" i="60"/>
  <c r="G807" i="60"/>
  <c r="G808" i="60"/>
  <c r="G809" i="60"/>
  <c r="G810" i="60"/>
  <c r="G811" i="60"/>
  <c r="G812" i="60"/>
  <c r="G813" i="60"/>
  <c r="G814" i="60"/>
  <c r="G815" i="60"/>
  <c r="G816" i="60"/>
  <c r="G817" i="60"/>
  <c r="G818" i="60"/>
  <c r="G819" i="60"/>
  <c r="G820" i="60"/>
  <c r="G821" i="60"/>
  <c r="G822" i="60"/>
  <c r="G823" i="60"/>
  <c r="G824" i="60"/>
  <c r="G825" i="60"/>
  <c r="G826" i="60"/>
  <c r="G827" i="60"/>
  <c r="G828" i="60"/>
  <c r="G829" i="60"/>
  <c r="G830" i="60"/>
  <c r="G831" i="60"/>
  <c r="G832" i="60"/>
  <c r="G833" i="60"/>
  <c r="G834" i="60"/>
  <c r="G835" i="60"/>
  <c r="G836" i="60"/>
  <c r="G837" i="60"/>
  <c r="G838" i="60"/>
  <c r="G839" i="60"/>
  <c r="G840" i="60"/>
  <c r="G841" i="60"/>
  <c r="G842" i="60"/>
  <c r="G843" i="60"/>
  <c r="G844" i="60"/>
  <c r="G845" i="60"/>
  <c r="G846" i="60"/>
  <c r="G847" i="60"/>
  <c r="G848" i="60"/>
  <c r="G849" i="60"/>
  <c r="G850" i="60"/>
  <c r="G851" i="60"/>
  <c r="G852" i="60"/>
  <c r="G853" i="60"/>
  <c r="G854" i="60"/>
  <c r="G855" i="60"/>
  <c r="G856" i="60"/>
  <c r="G857" i="60"/>
  <c r="G858" i="60"/>
  <c r="G859" i="60"/>
  <c r="G860" i="60"/>
  <c r="G861" i="60"/>
  <c r="G862" i="60"/>
  <c r="G863" i="60"/>
  <c r="G864" i="60"/>
  <c r="G865" i="60"/>
  <c r="G866" i="60"/>
  <c r="G867" i="60"/>
  <c r="G868" i="60"/>
  <c r="G869" i="60"/>
  <c r="G870" i="60"/>
  <c r="G871" i="60"/>
  <c r="G872" i="60"/>
  <c r="G873" i="60"/>
  <c r="G874" i="60"/>
  <c r="G875" i="60"/>
  <c r="G876" i="60"/>
  <c r="G877" i="60"/>
  <c r="G878" i="60"/>
  <c r="G879" i="60"/>
  <c r="G880" i="60"/>
  <c r="G881" i="60"/>
  <c r="G882" i="60"/>
  <c r="G883" i="60"/>
  <c r="G884" i="60"/>
  <c r="G885" i="60"/>
  <c r="G886" i="60"/>
  <c r="G887" i="60"/>
  <c r="G888" i="60"/>
  <c r="G889" i="60"/>
  <c r="G890" i="60"/>
  <c r="G891" i="60"/>
  <c r="G892" i="60"/>
  <c r="G893" i="60"/>
  <c r="G894" i="60"/>
  <c r="G895" i="60"/>
  <c r="G896" i="60"/>
  <c r="G897" i="60"/>
  <c r="G898" i="60"/>
  <c r="G899" i="60"/>
  <c r="G900" i="60"/>
  <c r="G901" i="60"/>
  <c r="G902" i="60"/>
  <c r="G903" i="60"/>
  <c r="G904" i="60"/>
  <c r="G905" i="60"/>
  <c r="G906" i="60"/>
  <c r="G907" i="60"/>
  <c r="G908" i="60"/>
  <c r="G909" i="60"/>
  <c r="G910" i="60"/>
  <c r="G911" i="60"/>
  <c r="G912" i="60"/>
  <c r="G913" i="60"/>
  <c r="G914" i="60"/>
  <c r="G915" i="60"/>
  <c r="G916" i="60"/>
  <c r="G917" i="60"/>
  <c r="G918" i="60"/>
  <c r="G919" i="60"/>
  <c r="G920" i="60"/>
  <c r="G921" i="60"/>
  <c r="G922" i="60"/>
  <c r="G923" i="60"/>
  <c r="G924" i="60"/>
  <c r="G925" i="60"/>
  <c r="G926" i="60"/>
  <c r="G927" i="60"/>
  <c r="G928" i="60"/>
  <c r="G929" i="60"/>
  <c r="G930" i="60"/>
  <c r="G931" i="60"/>
  <c r="G932" i="60"/>
  <c r="G933" i="60"/>
  <c r="G934" i="60"/>
  <c r="G935" i="60"/>
  <c r="G936" i="60"/>
  <c r="G937" i="60"/>
  <c r="G938" i="60"/>
  <c r="G939" i="60"/>
  <c r="G940" i="60"/>
  <c r="G941" i="60"/>
  <c r="G942" i="60"/>
  <c r="G943" i="60"/>
  <c r="G944" i="60"/>
  <c r="G945" i="60"/>
  <c r="G946" i="60"/>
  <c r="G947" i="60"/>
  <c r="G948" i="60"/>
  <c r="G949" i="60"/>
  <c r="G950" i="60"/>
  <c r="G951" i="60"/>
  <c r="G952" i="60"/>
  <c r="G953" i="60"/>
  <c r="G954" i="60"/>
  <c r="G955" i="60"/>
  <c r="G956" i="60"/>
  <c r="G957" i="60"/>
  <c r="G958" i="60"/>
  <c r="G959" i="60"/>
  <c r="G960" i="60"/>
  <c r="G961" i="60"/>
  <c r="G962" i="60"/>
  <c r="G963" i="60"/>
  <c r="G964" i="60"/>
  <c r="G965" i="60"/>
  <c r="G966" i="60"/>
  <c r="G967" i="60"/>
  <c r="G968" i="60"/>
  <c r="G969" i="60"/>
  <c r="G970" i="60"/>
  <c r="G971" i="60"/>
  <c r="G972" i="60"/>
  <c r="G973" i="60"/>
  <c r="G974" i="60"/>
  <c r="G975" i="60"/>
  <c r="G976" i="60"/>
  <c r="G977" i="60"/>
  <c r="G978" i="60"/>
  <c r="G979" i="60"/>
  <c r="G980" i="60"/>
  <c r="G981" i="60"/>
  <c r="G982" i="60"/>
  <c r="G983" i="60"/>
  <c r="G984" i="60"/>
  <c r="G985" i="60"/>
  <c r="G986" i="60"/>
  <c r="G987" i="60"/>
  <c r="G988" i="60"/>
  <c r="G989" i="60"/>
  <c r="G990" i="60"/>
  <c r="G991" i="60"/>
  <c r="G992" i="60"/>
  <c r="G993" i="60"/>
  <c r="G994" i="60"/>
  <c r="G995" i="60"/>
  <c r="G996" i="60"/>
  <c r="G997" i="60"/>
  <c r="G998" i="60"/>
  <c r="G999" i="60"/>
  <c r="G1000" i="60"/>
  <c r="G1001" i="60"/>
  <c r="G1002" i="60"/>
  <c r="G1003" i="60"/>
  <c r="G1004" i="60"/>
  <c r="G1005" i="60"/>
  <c r="G1006" i="60"/>
  <c r="G1007" i="60"/>
  <c r="G1008" i="60"/>
  <c r="G1009" i="60"/>
  <c r="G1010" i="60"/>
  <c r="G1011" i="60"/>
  <c r="G1012" i="60"/>
  <c r="G1013" i="60"/>
  <c r="G1014" i="60"/>
  <c r="G1015" i="60"/>
  <c r="G1016" i="60"/>
  <c r="G1017" i="60"/>
  <c r="G1018" i="60"/>
  <c r="G1019" i="60"/>
  <c r="G1020" i="60"/>
  <c r="G1021" i="60"/>
  <c r="G1022" i="60"/>
  <c r="G1023" i="60"/>
  <c r="G1024" i="60"/>
  <c r="G1025" i="60"/>
  <c r="G1026" i="60"/>
  <c r="G1027" i="60"/>
  <c r="G1028" i="60"/>
  <c r="G1029" i="60"/>
  <c r="G1030" i="60"/>
  <c r="G1031" i="60"/>
  <c r="G1032" i="60"/>
  <c r="G1033" i="60"/>
  <c r="G1034" i="60"/>
  <c r="G1035" i="60"/>
  <c r="G1036" i="60"/>
  <c r="G1037" i="60"/>
  <c r="G1038" i="60"/>
  <c r="G1039" i="60"/>
  <c r="G1040" i="60"/>
  <c r="G1041" i="60"/>
  <c r="G1042" i="60"/>
  <c r="G1043" i="60"/>
  <c r="G1044" i="60"/>
  <c r="G1045" i="60"/>
  <c r="G1046" i="60"/>
  <c r="G1047" i="60"/>
  <c r="G1048" i="60"/>
  <c r="G1049" i="60"/>
  <c r="G1050" i="60"/>
  <c r="G1051" i="60"/>
  <c r="G1052" i="60"/>
  <c r="G1053" i="60"/>
  <c r="G1054" i="60"/>
  <c r="G1055" i="60"/>
  <c r="G1056" i="60"/>
  <c r="G1057" i="60"/>
  <c r="G1058" i="60"/>
  <c r="G1059" i="60"/>
  <c r="G1060" i="60"/>
  <c r="G1061" i="60"/>
  <c r="G1062" i="60"/>
  <c r="G1063" i="60"/>
  <c r="G1064" i="60"/>
  <c r="G1065" i="60"/>
  <c r="G1066" i="60"/>
  <c r="G1067" i="60"/>
  <c r="G1068" i="60"/>
  <c r="G1069" i="60"/>
  <c r="G1070" i="60"/>
  <c r="G1071" i="60"/>
  <c r="G1072" i="60"/>
  <c r="G1073" i="60"/>
  <c r="G1074" i="60"/>
  <c r="G1075" i="60"/>
  <c r="G1076" i="60"/>
  <c r="G1077" i="60"/>
  <c r="G1078" i="60"/>
  <c r="G1079" i="60"/>
  <c r="G1080" i="60"/>
  <c r="G1081" i="60"/>
  <c r="G1082" i="60"/>
  <c r="G1083" i="60"/>
  <c r="G1084" i="60"/>
  <c r="G1085" i="60"/>
  <c r="G1086" i="60"/>
  <c r="G1087" i="60"/>
  <c r="G1088" i="60"/>
  <c r="G1089" i="60"/>
  <c r="G1090" i="60"/>
  <c r="G1091" i="60"/>
  <c r="G1092" i="60"/>
  <c r="G1093" i="60"/>
  <c r="G1094" i="60"/>
  <c r="G1095" i="60"/>
  <c r="G1096" i="60"/>
  <c r="G1097" i="60"/>
  <c r="G1098" i="60"/>
  <c r="G1099" i="60"/>
  <c r="G1100" i="60"/>
  <c r="G1101" i="60"/>
  <c r="G1102" i="60"/>
  <c r="G1103" i="60"/>
  <c r="G1104" i="60"/>
  <c r="G1105" i="60"/>
  <c r="G1106" i="60"/>
  <c r="G1107" i="60"/>
  <c r="G1108" i="60"/>
  <c r="G1109" i="60"/>
  <c r="G1110" i="60"/>
  <c r="G1111" i="60"/>
  <c r="G1112" i="60"/>
  <c r="G1113" i="60"/>
  <c r="G1114" i="60"/>
  <c r="G1115" i="60"/>
  <c r="G1116" i="60"/>
  <c r="G1117" i="60"/>
  <c r="G1118" i="60"/>
  <c r="G1119" i="60"/>
  <c r="G1120" i="60"/>
  <c r="G1121" i="60"/>
  <c r="G1122" i="60"/>
  <c r="G1123" i="60"/>
  <c r="G1124" i="60"/>
  <c r="G1125" i="60"/>
  <c r="G1126" i="60"/>
  <c r="G1127" i="60"/>
  <c r="G1128" i="60"/>
  <c r="G1129" i="60"/>
  <c r="G1130" i="60"/>
  <c r="G1131" i="60"/>
  <c r="G1132" i="60"/>
  <c r="G1133" i="60"/>
  <c r="G1134" i="60"/>
  <c r="G1135" i="60"/>
  <c r="G1136" i="60"/>
  <c r="G1137" i="60"/>
  <c r="G1138" i="60"/>
  <c r="G1139" i="60"/>
  <c r="G1140" i="60"/>
  <c r="G1141" i="60"/>
  <c r="G1142" i="60"/>
  <c r="G1143" i="60"/>
  <c r="G1144" i="60"/>
  <c r="G1145" i="60"/>
  <c r="G1146" i="60"/>
  <c r="G1147" i="60"/>
  <c r="G1148" i="60"/>
  <c r="G1149" i="60"/>
  <c r="G1150" i="60"/>
  <c r="G1151" i="60"/>
  <c r="G1152" i="60"/>
  <c r="G1153" i="60"/>
  <c r="G1154" i="60"/>
  <c r="G1155" i="60"/>
  <c r="G1156" i="60"/>
  <c r="G1157" i="60"/>
  <c r="G1158" i="60"/>
  <c r="G1159" i="60"/>
  <c r="G1160" i="60"/>
  <c r="G1161" i="60"/>
  <c r="G1162" i="60"/>
  <c r="G1163" i="60"/>
  <c r="G1164" i="60"/>
  <c r="G1165" i="60"/>
  <c r="G1166" i="60"/>
  <c r="G1167" i="60"/>
  <c r="G1168" i="60"/>
  <c r="G1169" i="60"/>
  <c r="G1170" i="60"/>
  <c r="G1171" i="60"/>
  <c r="G1172" i="60"/>
  <c r="G1173" i="60"/>
  <c r="G1174" i="60"/>
  <c r="G1175" i="60"/>
  <c r="G1176" i="60"/>
  <c r="G1177" i="60"/>
  <c r="G1178" i="60"/>
  <c r="G1179" i="60"/>
  <c r="G1180" i="60"/>
  <c r="G1181" i="60"/>
  <c r="G1182" i="60"/>
  <c r="G1183" i="60"/>
  <c r="G1184" i="60"/>
  <c r="G1185" i="60"/>
  <c r="G1186" i="60"/>
  <c r="G1187" i="60"/>
  <c r="G1188" i="60"/>
  <c r="G1189" i="60"/>
  <c r="G1190" i="60"/>
  <c r="G1191" i="60"/>
  <c r="G1192" i="60"/>
  <c r="G1193" i="60"/>
  <c r="G1194" i="60"/>
  <c r="G1195" i="60"/>
  <c r="G1196" i="60"/>
  <c r="G1197" i="60"/>
  <c r="G1198" i="60"/>
  <c r="G1199" i="60"/>
  <c r="G1200" i="60"/>
  <c r="G1201" i="60"/>
  <c r="G1202" i="60"/>
  <c r="G1203" i="60"/>
  <c r="G1204" i="60"/>
  <c r="G1205" i="60"/>
  <c r="G1206" i="60"/>
  <c r="G1207" i="60"/>
  <c r="G1208" i="60"/>
  <c r="G1209" i="60"/>
  <c r="G1210" i="60"/>
  <c r="G1211" i="60"/>
  <c r="G1212" i="60"/>
  <c r="G1213" i="60"/>
  <c r="G1214" i="60"/>
  <c r="G1215" i="60"/>
  <c r="G1216" i="60"/>
  <c r="G1217" i="60"/>
  <c r="G1218" i="60"/>
  <c r="G1219" i="60"/>
  <c r="G1220" i="60"/>
  <c r="G1221" i="60"/>
  <c r="G1222" i="60"/>
  <c r="G1223" i="60"/>
  <c r="G1224" i="60"/>
  <c r="G1225" i="60"/>
  <c r="G1226" i="60"/>
  <c r="G1227" i="60"/>
  <c r="G1228" i="60"/>
  <c r="G1229" i="60"/>
  <c r="G1230" i="60"/>
  <c r="G1231" i="60"/>
  <c r="G1232" i="60"/>
  <c r="G1233" i="60"/>
  <c r="G1234" i="60"/>
  <c r="G1235" i="60"/>
  <c r="G1236" i="60"/>
  <c r="G1237" i="60"/>
  <c r="G1238" i="60"/>
  <c r="G1239" i="60"/>
  <c r="G1240" i="60"/>
  <c r="G1241" i="60"/>
  <c r="G1242" i="60"/>
  <c r="G1243" i="60"/>
  <c r="G1244" i="60"/>
  <c r="G1245" i="60"/>
  <c r="G1246" i="60"/>
  <c r="G1247" i="60"/>
  <c r="G1248" i="60"/>
  <c r="G1249" i="60"/>
  <c r="G1250" i="60"/>
  <c r="G1251" i="60"/>
  <c r="G1252" i="60"/>
  <c r="G1253" i="60"/>
  <c r="G1254" i="60"/>
  <c r="G1255" i="60"/>
  <c r="G1256" i="60"/>
  <c r="G1257" i="60"/>
  <c r="G1258" i="60"/>
  <c r="G1259" i="60"/>
  <c r="G1260" i="60"/>
  <c r="G1261" i="60"/>
  <c r="G1262" i="60"/>
  <c r="G1263" i="60"/>
  <c r="G1264" i="60"/>
  <c r="G1265" i="60"/>
  <c r="G1266" i="60"/>
  <c r="G1267" i="60"/>
  <c r="G1268" i="60"/>
  <c r="G1269" i="60"/>
  <c r="G1270" i="60"/>
  <c r="G1271" i="60"/>
  <c r="G1272" i="60"/>
  <c r="G1273" i="60"/>
  <c r="G1274" i="60"/>
  <c r="G1275" i="60"/>
  <c r="G1276" i="60"/>
  <c r="G1277" i="60"/>
  <c r="G1278" i="60"/>
  <c r="G1279" i="60"/>
  <c r="G1280" i="60"/>
  <c r="G1281" i="60"/>
  <c r="G1282" i="60"/>
  <c r="G1283" i="60"/>
  <c r="G1284" i="60"/>
  <c r="G1285" i="60"/>
  <c r="G1286" i="60"/>
  <c r="G1287" i="60"/>
  <c r="G1288" i="60"/>
  <c r="G1289" i="60"/>
  <c r="G1290" i="60"/>
  <c r="G1291" i="60"/>
  <c r="G1292" i="60"/>
  <c r="G1293" i="60"/>
  <c r="G1294" i="60"/>
  <c r="G1295" i="60"/>
  <c r="G1296" i="60"/>
  <c r="G1297" i="60"/>
  <c r="G1298" i="60"/>
  <c r="G1299" i="60"/>
  <c r="G1300" i="60"/>
  <c r="G1301" i="60"/>
  <c r="G1302" i="60"/>
  <c r="G1303" i="60"/>
  <c r="G1304" i="60"/>
  <c r="G1305" i="60"/>
  <c r="G1306" i="60"/>
  <c r="G1307" i="60"/>
  <c r="G1308" i="60"/>
  <c r="G1309" i="60"/>
  <c r="G1310" i="60"/>
  <c r="G1311" i="60"/>
  <c r="G1312" i="60"/>
  <c r="G1313" i="60"/>
  <c r="G1314" i="60"/>
  <c r="G1315" i="60"/>
  <c r="G1316" i="60"/>
  <c r="G1317" i="60"/>
  <c r="G1318" i="60"/>
  <c r="G1319" i="60"/>
  <c r="G1320" i="60"/>
  <c r="G1321" i="60"/>
  <c r="G1322" i="60"/>
  <c r="G1323" i="60"/>
  <c r="G1324" i="60"/>
  <c r="G1325" i="60"/>
  <c r="G1326" i="60"/>
  <c r="G1327" i="60"/>
  <c r="G1328" i="60"/>
  <c r="G1329" i="60"/>
  <c r="G1330" i="60"/>
  <c r="G1331" i="60"/>
  <c r="G1332" i="60"/>
  <c r="G1333" i="60"/>
  <c r="G1334" i="60"/>
  <c r="G1335" i="60"/>
  <c r="G1336" i="60"/>
  <c r="G1337" i="60"/>
  <c r="G1338" i="60"/>
  <c r="G1339" i="60"/>
  <c r="G1340" i="60"/>
  <c r="G1341" i="60"/>
  <c r="G1342" i="60"/>
  <c r="G1343" i="60"/>
  <c r="G1344" i="60"/>
  <c r="G1345" i="60"/>
  <c r="G1346" i="60"/>
  <c r="G1347" i="60"/>
  <c r="G1348" i="60"/>
  <c r="G1349" i="60"/>
  <c r="G1350" i="60"/>
  <c r="G1351" i="60"/>
  <c r="G1352" i="60"/>
  <c r="G1353" i="60"/>
  <c r="G1354" i="60"/>
  <c r="G1355" i="60"/>
  <c r="G1356" i="60"/>
  <c r="G1357" i="60"/>
  <c r="G1358" i="60"/>
  <c r="G1359" i="60"/>
  <c r="G1360" i="60"/>
  <c r="G1361" i="60"/>
  <c r="G1362" i="60"/>
  <c r="G1363" i="60"/>
  <c r="G1364" i="60"/>
  <c r="G1365" i="60"/>
  <c r="G1366" i="60"/>
  <c r="G1367" i="60"/>
  <c r="G1368" i="60"/>
  <c r="G1369" i="60"/>
  <c r="G1370" i="60"/>
  <c r="G1371" i="60"/>
  <c r="G1372" i="60"/>
  <c r="G1373" i="60"/>
  <c r="G1374" i="60"/>
  <c r="G1375" i="60"/>
  <c r="G1376" i="60"/>
  <c r="G1377" i="60"/>
  <c r="G1378" i="60"/>
  <c r="G1379" i="60"/>
  <c r="G1380" i="60"/>
  <c r="G1381" i="60"/>
  <c r="G1382" i="60"/>
  <c r="G1383" i="60"/>
  <c r="G1384" i="60"/>
  <c r="G1385" i="60"/>
  <c r="G1386" i="60"/>
  <c r="G1387" i="60"/>
  <c r="G1388" i="60"/>
  <c r="G1389" i="60"/>
  <c r="G1390" i="60"/>
  <c r="G1391" i="60"/>
  <c r="G1392" i="60"/>
  <c r="G1393" i="60"/>
  <c r="G1394" i="60"/>
  <c r="G1395" i="60"/>
  <c r="G1396" i="60"/>
  <c r="G1397" i="60"/>
  <c r="G1398" i="60"/>
  <c r="G1399" i="60"/>
  <c r="G1400" i="60"/>
  <c r="G1401" i="60"/>
  <c r="G1402" i="60"/>
  <c r="G1403" i="60"/>
  <c r="G1404" i="60"/>
  <c r="G1405" i="60"/>
  <c r="G1406" i="60"/>
  <c r="G1407" i="60"/>
  <c r="G1408" i="60"/>
  <c r="G1409" i="60"/>
  <c r="G1410" i="60"/>
  <c r="G1411" i="60"/>
  <c r="G1412" i="60"/>
  <c r="G1413" i="60"/>
  <c r="G1414" i="60"/>
  <c r="G1415" i="60"/>
  <c r="G1416" i="60"/>
  <c r="G1417" i="60"/>
  <c r="G1418" i="60"/>
  <c r="G1419" i="60"/>
  <c r="G1420" i="60"/>
  <c r="G1421" i="60"/>
  <c r="G1422" i="60"/>
  <c r="G1423" i="60"/>
  <c r="G1424" i="60"/>
  <c r="G1425" i="60"/>
  <c r="G1426" i="60"/>
  <c r="G1427" i="60"/>
  <c r="G1428" i="60"/>
  <c r="G1429" i="60"/>
  <c r="G1430" i="60"/>
  <c r="G1431" i="60"/>
  <c r="G1432" i="60"/>
  <c r="G1433" i="60"/>
  <c r="G1434" i="60"/>
  <c r="G1435" i="60"/>
  <c r="G1436" i="60"/>
  <c r="G1437" i="60"/>
  <c r="G1438" i="60"/>
  <c r="G1439" i="60"/>
  <c r="G1440" i="60"/>
  <c r="G1441" i="60"/>
  <c r="G1442" i="60"/>
  <c r="G1443" i="60"/>
  <c r="G1444" i="60"/>
  <c r="G1445" i="60"/>
  <c r="G1446" i="60"/>
  <c r="G1447" i="60"/>
  <c r="G1448" i="60"/>
  <c r="G1449" i="60"/>
  <c r="G1450" i="60"/>
  <c r="G1451" i="60"/>
  <c r="G1452" i="60"/>
  <c r="G1453" i="60"/>
  <c r="G1454" i="60"/>
  <c r="G1455" i="60"/>
  <c r="G1456" i="60"/>
  <c r="G1457" i="60"/>
  <c r="G1458" i="60"/>
  <c r="G1459" i="60"/>
  <c r="G1460" i="60"/>
  <c r="G1461" i="60"/>
  <c r="G1462" i="60"/>
  <c r="G1463" i="60"/>
  <c r="G1464" i="60"/>
  <c r="G1465" i="60"/>
  <c r="G1466" i="60"/>
  <c r="G1467" i="60"/>
  <c r="G1468" i="60"/>
  <c r="G1469" i="60"/>
  <c r="G1470" i="60"/>
  <c r="G1471" i="60"/>
  <c r="G1472" i="60"/>
  <c r="G1473" i="60"/>
  <c r="G1474" i="60"/>
  <c r="G1475" i="60"/>
  <c r="G1476" i="60"/>
  <c r="G1477" i="60"/>
  <c r="G1478" i="60"/>
  <c r="G1479" i="60"/>
  <c r="G1480" i="60"/>
  <c r="G1481" i="60"/>
  <c r="G1482" i="60"/>
  <c r="G1483" i="60"/>
  <c r="G1484" i="60"/>
  <c r="G1485" i="60"/>
  <c r="G1486" i="60"/>
  <c r="G1487" i="60"/>
  <c r="G1488" i="60"/>
  <c r="G1489" i="60"/>
  <c r="G1490" i="60"/>
  <c r="G1491" i="60"/>
  <c r="G1492" i="60"/>
  <c r="G1493" i="60"/>
  <c r="G1494" i="60"/>
  <c r="G1495" i="60"/>
  <c r="G1496" i="60"/>
  <c r="G1497" i="60"/>
  <c r="G1498" i="60"/>
  <c r="G1499" i="60"/>
  <c r="G1500" i="60"/>
  <c r="G1501" i="60"/>
  <c r="G1502" i="60"/>
  <c r="G1503" i="60"/>
  <c r="G1504" i="60"/>
  <c r="G1505" i="60"/>
  <c r="G1506" i="60"/>
  <c r="G1507" i="60"/>
  <c r="G1508" i="60"/>
  <c r="G1509" i="60"/>
  <c r="G1510" i="60"/>
  <c r="G1511" i="60"/>
  <c r="G1512" i="60"/>
  <c r="G1513" i="60"/>
  <c r="G1514" i="60"/>
  <c r="G1515" i="60"/>
  <c r="G1516" i="60"/>
  <c r="G1517" i="60"/>
  <c r="G1518" i="60"/>
  <c r="G1519" i="60"/>
  <c r="G1520" i="60"/>
  <c r="G1521" i="60"/>
  <c r="G1522" i="60"/>
  <c r="G1523" i="60"/>
  <c r="G1524" i="60"/>
  <c r="G1525" i="60"/>
  <c r="G1526" i="60"/>
  <c r="G1527" i="60"/>
  <c r="G1528" i="60"/>
  <c r="G1529" i="60"/>
  <c r="G1530" i="60"/>
  <c r="G1531" i="60"/>
  <c r="G1532" i="60"/>
  <c r="G1533" i="60"/>
  <c r="G1534" i="60"/>
  <c r="G1535" i="60"/>
  <c r="G1536" i="60"/>
  <c r="G1537" i="60"/>
  <c r="G1538" i="60"/>
  <c r="G1539" i="60"/>
  <c r="G1540" i="60"/>
  <c r="G1541" i="60"/>
  <c r="G1542" i="60"/>
  <c r="G1543" i="60"/>
  <c r="G1544" i="60"/>
  <c r="G1545" i="60"/>
  <c r="G1546" i="60"/>
  <c r="G1547" i="60"/>
  <c r="G1548" i="60"/>
  <c r="G1549" i="60"/>
  <c r="G1550" i="60"/>
  <c r="G1551" i="60"/>
  <c r="G1552" i="60"/>
  <c r="G1553" i="60"/>
  <c r="G1554" i="60"/>
  <c r="G1555" i="60"/>
  <c r="G1556" i="60"/>
  <c r="G1557" i="60"/>
  <c r="G1558" i="60"/>
  <c r="G1559" i="60"/>
  <c r="G1560" i="60"/>
  <c r="G1561" i="60"/>
  <c r="G1562" i="60"/>
  <c r="G1563" i="60"/>
  <c r="G1564" i="60"/>
  <c r="G1565" i="60"/>
  <c r="G1566" i="60"/>
  <c r="G1567" i="60"/>
  <c r="G1568" i="60"/>
  <c r="G1569" i="60"/>
  <c r="G1570" i="60"/>
  <c r="G1571" i="60"/>
  <c r="G1572" i="60"/>
  <c r="G1573" i="60"/>
  <c r="G1574" i="60"/>
  <c r="G1575" i="60"/>
  <c r="G1576" i="60"/>
  <c r="G1577" i="60"/>
  <c r="G1578" i="60"/>
  <c r="G1579" i="60"/>
  <c r="G1580" i="60"/>
  <c r="G1581" i="60"/>
  <c r="G1582" i="60"/>
  <c r="G1583" i="60"/>
  <c r="G1584" i="60"/>
  <c r="G1585" i="60"/>
  <c r="G1586" i="60"/>
  <c r="G1587" i="60"/>
  <c r="G1588" i="60"/>
  <c r="G1589" i="60"/>
  <c r="G1590" i="60"/>
  <c r="G1591" i="60"/>
  <c r="G1592" i="60"/>
  <c r="G1593" i="60"/>
  <c r="G1594" i="60"/>
  <c r="G1595" i="60"/>
  <c r="G1596" i="60"/>
  <c r="G1597" i="60"/>
  <c r="G1598" i="60"/>
  <c r="G1599" i="60"/>
  <c r="G1600" i="60"/>
  <c r="G1601" i="60"/>
  <c r="G1602" i="60"/>
  <c r="G1603" i="60"/>
  <c r="G1604" i="60"/>
  <c r="G1605" i="60"/>
  <c r="G1606" i="60"/>
  <c r="G1607" i="60"/>
  <c r="G1608" i="60"/>
  <c r="G1609" i="60"/>
  <c r="G1610" i="60"/>
  <c r="G1611" i="60"/>
  <c r="G1612" i="60"/>
  <c r="G1613" i="60"/>
  <c r="G1614" i="60"/>
  <c r="G1615" i="60"/>
  <c r="G1616" i="60"/>
  <c r="G1617" i="60"/>
  <c r="G1618" i="60"/>
  <c r="G1619" i="60"/>
  <c r="G1620" i="60"/>
  <c r="G1621" i="60"/>
  <c r="G1622" i="60"/>
  <c r="G1623" i="60"/>
  <c r="G1624" i="60"/>
  <c r="G1625" i="60"/>
  <c r="G1626" i="60"/>
  <c r="G1627" i="60"/>
  <c r="G1628" i="60"/>
  <c r="G1629" i="60"/>
  <c r="G1630" i="60"/>
  <c r="G1631" i="60"/>
  <c r="G1632" i="60"/>
  <c r="G1633" i="60"/>
  <c r="G1634" i="60"/>
  <c r="G1635" i="60"/>
  <c r="G1636" i="60"/>
  <c r="G1637" i="60"/>
  <c r="G1638" i="60"/>
  <c r="G1639" i="60"/>
  <c r="G1640" i="60"/>
  <c r="G1641" i="60"/>
  <c r="G1642" i="60"/>
  <c r="G1643" i="60"/>
  <c r="G1644" i="60"/>
  <c r="G1645" i="60"/>
  <c r="G1646" i="60"/>
  <c r="G1647" i="60"/>
  <c r="G1648" i="60"/>
  <c r="G1649" i="60"/>
  <c r="G1650" i="60"/>
  <c r="G1651" i="60"/>
  <c r="G1652" i="60"/>
  <c r="G1653" i="60"/>
  <c r="G1654" i="60"/>
  <c r="G1655" i="60"/>
  <c r="G1656" i="60"/>
  <c r="G1657" i="60"/>
  <c r="G1658" i="60"/>
  <c r="G1659" i="60"/>
  <c r="G1660" i="60"/>
  <c r="G1661" i="60"/>
  <c r="G1662" i="60"/>
  <c r="G1663" i="60"/>
  <c r="G1664" i="60"/>
  <c r="G1665" i="60"/>
  <c r="G1666" i="60"/>
  <c r="G1667" i="60"/>
  <c r="G1668" i="60"/>
  <c r="G1669" i="60"/>
  <c r="G1670" i="60"/>
  <c r="G1671" i="60"/>
  <c r="G1672" i="60"/>
  <c r="G1673" i="60"/>
  <c r="G1674" i="60"/>
  <c r="G1675" i="60"/>
  <c r="G1676" i="60"/>
  <c r="G1677" i="60"/>
  <c r="G1678" i="60"/>
  <c r="G1679" i="60"/>
  <c r="G1680" i="60"/>
  <c r="G1681" i="60"/>
  <c r="G1682" i="60"/>
  <c r="G1683" i="60"/>
  <c r="G1684" i="60"/>
  <c r="G1685" i="60"/>
  <c r="G1686" i="60"/>
  <c r="G1687" i="60"/>
  <c r="G1688" i="60"/>
  <c r="G1689" i="60"/>
  <c r="G1690" i="60"/>
  <c r="G1691" i="60"/>
  <c r="G1692" i="60"/>
  <c r="G1693" i="60"/>
  <c r="G1694" i="60"/>
  <c r="G1695" i="60"/>
  <c r="G1696" i="60"/>
  <c r="G1697" i="60"/>
  <c r="G1698" i="60"/>
  <c r="G1699" i="60"/>
  <c r="G1700" i="60"/>
  <c r="G1701" i="60"/>
  <c r="G1702" i="60"/>
  <c r="G1703" i="60"/>
  <c r="G1704" i="60"/>
  <c r="G1705" i="60"/>
  <c r="G1706" i="60"/>
  <c r="G1707" i="60"/>
  <c r="G1708" i="60"/>
  <c r="G1709" i="60"/>
  <c r="G1710" i="60"/>
  <c r="G1711" i="60"/>
  <c r="G1712" i="60"/>
  <c r="G1713" i="60"/>
  <c r="G1714" i="60"/>
  <c r="G1715" i="60"/>
  <c r="G1716" i="60"/>
  <c r="G1717" i="60"/>
  <c r="G1718" i="60"/>
  <c r="G1719" i="60"/>
  <c r="G1720" i="60"/>
  <c r="G1721" i="60"/>
  <c r="G1722" i="60"/>
  <c r="G1723" i="60"/>
  <c r="G1724" i="60"/>
  <c r="G1725" i="60"/>
  <c r="G1726" i="60"/>
  <c r="G1727" i="60"/>
  <c r="G1728" i="60"/>
  <c r="G1729" i="60"/>
  <c r="G1730" i="60"/>
  <c r="G1731" i="60"/>
  <c r="G1732" i="60"/>
  <c r="G1733" i="60"/>
  <c r="G1734" i="60"/>
  <c r="G1735" i="60"/>
  <c r="G1736" i="60"/>
  <c r="G1737" i="60"/>
  <c r="G1738" i="60"/>
  <c r="G1739" i="60"/>
  <c r="G1740" i="60"/>
  <c r="G1741" i="60"/>
  <c r="G1742" i="60"/>
  <c r="G1743" i="60"/>
  <c r="G1744" i="60"/>
  <c r="G1745" i="60"/>
  <c r="G1746" i="60"/>
  <c r="G1747" i="60"/>
  <c r="G1748" i="60"/>
  <c r="G1749" i="60"/>
  <c r="G1750" i="60"/>
  <c r="G1751" i="60"/>
  <c r="G1752" i="60"/>
  <c r="G1753" i="60"/>
  <c r="G1754" i="60"/>
  <c r="G1755" i="60"/>
  <c r="G1756" i="60"/>
  <c r="G1757" i="60"/>
  <c r="G1758" i="60"/>
  <c r="G1759" i="60"/>
  <c r="G1760" i="60"/>
  <c r="G1761" i="60"/>
  <c r="G1762" i="60"/>
  <c r="G1763" i="60"/>
  <c r="G1764" i="60"/>
  <c r="G1765" i="60"/>
  <c r="G1766" i="60"/>
  <c r="G1767" i="60"/>
  <c r="G1768" i="60"/>
  <c r="G1769" i="60"/>
  <c r="G1770" i="60"/>
  <c r="G1771" i="60"/>
  <c r="G1772" i="60"/>
  <c r="G1773" i="60"/>
  <c r="G1774" i="60"/>
  <c r="G1775" i="60"/>
  <c r="G1776" i="60"/>
  <c r="G1777" i="60"/>
  <c r="G1778" i="60"/>
  <c r="G1779" i="60"/>
  <c r="G1780" i="60"/>
  <c r="G1781" i="60"/>
  <c r="G1782" i="60"/>
  <c r="G1783" i="60"/>
  <c r="G1784" i="60"/>
  <c r="G1785" i="60"/>
  <c r="G1786" i="60"/>
  <c r="G1787" i="60"/>
  <c r="G1788" i="60"/>
  <c r="G1789" i="60"/>
  <c r="G1790" i="60"/>
  <c r="G1791" i="60"/>
  <c r="G1792" i="60"/>
  <c r="G1793" i="60"/>
  <c r="G1794" i="60"/>
  <c r="G1795" i="60"/>
  <c r="G1796" i="60"/>
  <c r="G1797" i="60"/>
  <c r="G1798" i="60"/>
  <c r="G1799" i="60"/>
  <c r="G1800" i="60"/>
  <c r="G1801" i="60"/>
  <c r="G1802" i="60"/>
  <c r="G1803" i="60"/>
  <c r="G1804" i="60"/>
  <c r="G1805" i="60"/>
  <c r="G1806" i="60"/>
  <c r="G1807" i="60"/>
  <c r="G1808" i="60"/>
  <c r="G1809" i="60"/>
  <c r="G1810" i="60"/>
  <c r="G1811" i="60"/>
  <c r="G1812" i="60"/>
  <c r="G1813" i="60"/>
  <c r="G1814" i="60"/>
  <c r="G1815" i="60"/>
  <c r="G1816" i="60"/>
  <c r="G1817" i="60"/>
  <c r="G1818" i="60"/>
  <c r="G1819" i="60"/>
  <c r="G1820" i="60"/>
  <c r="G1821" i="60"/>
  <c r="G1822" i="60"/>
  <c r="G1823" i="60"/>
  <c r="G1824" i="60"/>
  <c r="G1825" i="60"/>
  <c r="G1826" i="60"/>
  <c r="G1827" i="60"/>
  <c r="G1828" i="60"/>
  <c r="G1829" i="60"/>
  <c r="G1830" i="60"/>
  <c r="G1831" i="60"/>
  <c r="G1832" i="60"/>
  <c r="G1833" i="60"/>
  <c r="G1834" i="60"/>
  <c r="G1835" i="60"/>
  <c r="G1836" i="60"/>
  <c r="G1837" i="60"/>
  <c r="G1838" i="60"/>
  <c r="G1839" i="60"/>
  <c r="G1840" i="60"/>
  <c r="G1841" i="60"/>
  <c r="G1842" i="60"/>
  <c r="G1843" i="60"/>
  <c r="G1844" i="60"/>
  <c r="G1845" i="60"/>
  <c r="G1846" i="60"/>
  <c r="G1847" i="60"/>
  <c r="G1848" i="60"/>
  <c r="G1849" i="60"/>
  <c r="G1850" i="60"/>
  <c r="G1851" i="60"/>
  <c r="G1852" i="60"/>
  <c r="G1853" i="60"/>
  <c r="G1854" i="60"/>
  <c r="G1855" i="60"/>
  <c r="G1856" i="60"/>
  <c r="G1857" i="60"/>
  <c r="G1858" i="60"/>
  <c r="G1859" i="60"/>
  <c r="G1860" i="60"/>
  <c r="G1861" i="60"/>
  <c r="G1862" i="60"/>
  <c r="G1863" i="60"/>
  <c r="G1864" i="60"/>
  <c r="G1865" i="60"/>
  <c r="G1866" i="60"/>
  <c r="G1867" i="60"/>
  <c r="G1868" i="60"/>
  <c r="G1869" i="60"/>
  <c r="G1870" i="60"/>
  <c r="G1871" i="60"/>
  <c r="G1872" i="60"/>
  <c r="G1873" i="60"/>
  <c r="G1874" i="60"/>
  <c r="G1875" i="60"/>
  <c r="G1876" i="60"/>
  <c r="G1877" i="60"/>
  <c r="G1878" i="60"/>
  <c r="G1879" i="60"/>
  <c r="G1880" i="60"/>
  <c r="G1881" i="60"/>
  <c r="G1882" i="60"/>
  <c r="G1883" i="60"/>
  <c r="G1884" i="60"/>
  <c r="G1885" i="60"/>
  <c r="G1886" i="60"/>
  <c r="G1887" i="60"/>
  <c r="G1888" i="60"/>
  <c r="G1889" i="60"/>
  <c r="G1890" i="60"/>
  <c r="G1891" i="60"/>
  <c r="G1892" i="60"/>
  <c r="G1893" i="60"/>
  <c r="G1894" i="60"/>
  <c r="G1895" i="60"/>
  <c r="G1896" i="60"/>
  <c r="G1897" i="60"/>
  <c r="G1898" i="60"/>
  <c r="G1899" i="60"/>
  <c r="G1900" i="60"/>
  <c r="G1901" i="60"/>
  <c r="G1902" i="60"/>
  <c r="G1903" i="60"/>
  <c r="G1904" i="60"/>
  <c r="G1905" i="60"/>
  <c r="G1906" i="60"/>
  <c r="G1907" i="60"/>
  <c r="G1908" i="60"/>
  <c r="G1909" i="60"/>
  <c r="G1910" i="60"/>
  <c r="G1911" i="60"/>
  <c r="G1912" i="60"/>
  <c r="G1913" i="60"/>
  <c r="G1914" i="60"/>
  <c r="G1915" i="60"/>
  <c r="G1916" i="60"/>
  <c r="G1917" i="60"/>
  <c r="G1918" i="60"/>
  <c r="G1919" i="60"/>
  <c r="G1920" i="60"/>
  <c r="G1921" i="60"/>
  <c r="G1922" i="60"/>
  <c r="G1923" i="60"/>
  <c r="G1924" i="60"/>
  <c r="G1925" i="60"/>
  <c r="G1926" i="60"/>
  <c r="G1927" i="60"/>
  <c r="G1928" i="60"/>
  <c r="G1929" i="60"/>
  <c r="G1930" i="60"/>
  <c r="G1931" i="60"/>
  <c r="G1932" i="60"/>
  <c r="G1933" i="60"/>
  <c r="G1934" i="60"/>
  <c r="G1935" i="60"/>
  <c r="G1936" i="60"/>
  <c r="G1937" i="60"/>
  <c r="G1938" i="60"/>
  <c r="G1939" i="60"/>
  <c r="G1940" i="60"/>
  <c r="G1941" i="60"/>
  <c r="G1942" i="60"/>
  <c r="G1943" i="60"/>
  <c r="G1944" i="60"/>
  <c r="G1945" i="60"/>
  <c r="G1946" i="60"/>
  <c r="G1947" i="60"/>
  <c r="G1948" i="60"/>
  <c r="G1949" i="60"/>
  <c r="G1950" i="60"/>
  <c r="G1951" i="60"/>
  <c r="G1952" i="60"/>
  <c r="G1953" i="60"/>
  <c r="G1954" i="60"/>
  <c r="G1955" i="60"/>
  <c r="G1956" i="60"/>
  <c r="G1957" i="60"/>
  <c r="G1958" i="60"/>
  <c r="G1959" i="60"/>
  <c r="G1960" i="60"/>
  <c r="G1961" i="60"/>
  <c r="G1962" i="60"/>
  <c r="G1963" i="60"/>
  <c r="G1964" i="60"/>
  <c r="G1965" i="60"/>
  <c r="G1966" i="60"/>
  <c r="G1967" i="60"/>
  <c r="G1968" i="60"/>
  <c r="G1969" i="60"/>
  <c r="G1970" i="60"/>
  <c r="G1971" i="60"/>
  <c r="G1972" i="60"/>
  <c r="G1973" i="60"/>
  <c r="G1974" i="60"/>
  <c r="G1975" i="60"/>
  <c r="G1976" i="60"/>
  <c r="G1977" i="60"/>
  <c r="G1978" i="60"/>
  <c r="G1979" i="60"/>
  <c r="G1980" i="60"/>
  <c r="G1981" i="60"/>
  <c r="G1982" i="60"/>
  <c r="G1983" i="60"/>
  <c r="G1984" i="60"/>
  <c r="G1985" i="60"/>
  <c r="G1986" i="60"/>
  <c r="G1987" i="60"/>
  <c r="G1988" i="60"/>
  <c r="G1989" i="60"/>
  <c r="G1990" i="60"/>
  <c r="G1991" i="60"/>
  <c r="G1992" i="60"/>
  <c r="G1993" i="60"/>
  <c r="G1994" i="60"/>
  <c r="G1995" i="60"/>
  <c r="G1996" i="60"/>
  <c r="G1997" i="60"/>
  <c r="G1998" i="60"/>
  <c r="G1999" i="60"/>
  <c r="G2000" i="60"/>
  <c r="G2001" i="60"/>
  <c r="G2002" i="60"/>
  <c r="G2003" i="60"/>
  <c r="G2004" i="60"/>
  <c r="G2005" i="60"/>
  <c r="G2006" i="60"/>
  <c r="G2007" i="60"/>
  <c r="G2008" i="60"/>
  <c r="G2009" i="60"/>
  <c r="G2010" i="60"/>
  <c r="G2011" i="60"/>
  <c r="G2012" i="60"/>
  <c r="G2013" i="60"/>
  <c r="G2014" i="60"/>
  <c r="G2015" i="60"/>
  <c r="G2016" i="60"/>
  <c r="G2017" i="60"/>
  <c r="G2018" i="60"/>
  <c r="G2019" i="60"/>
  <c r="G2020" i="60"/>
  <c r="G2021" i="60"/>
  <c r="G2022" i="60"/>
  <c r="G2023" i="60"/>
  <c r="G2024" i="60"/>
  <c r="G2025" i="60"/>
  <c r="G2026" i="60"/>
  <c r="G2027" i="60"/>
  <c r="G2028" i="60"/>
  <c r="G2029" i="60"/>
  <c r="G2030" i="60"/>
  <c r="G2031" i="60"/>
  <c r="G2032" i="60"/>
  <c r="G2033" i="60"/>
  <c r="G2034" i="60"/>
  <c r="G2035" i="60"/>
  <c r="G2036" i="60"/>
  <c r="G2037" i="60"/>
  <c r="G2038" i="60"/>
  <c r="G2039" i="60"/>
  <c r="G2040" i="60"/>
  <c r="G2041" i="60"/>
  <c r="G2042" i="60"/>
  <c r="G2043" i="60"/>
  <c r="G2044" i="60"/>
  <c r="G2045" i="60"/>
  <c r="G2046" i="60"/>
  <c r="G2047" i="60"/>
  <c r="G2048" i="60"/>
  <c r="G2049" i="60"/>
  <c r="G2050" i="60"/>
  <c r="G2051" i="60"/>
  <c r="G2052" i="60"/>
  <c r="G2053" i="60"/>
  <c r="G2054" i="60"/>
  <c r="G2055" i="60"/>
  <c r="G2056" i="60"/>
  <c r="G2057" i="60"/>
  <c r="G2058" i="60"/>
  <c r="G2059" i="60"/>
  <c r="G2060" i="60"/>
  <c r="G2061" i="60"/>
  <c r="G2062" i="60"/>
  <c r="G2063" i="60"/>
  <c r="G2064" i="60"/>
  <c r="G2065" i="60"/>
  <c r="G2066" i="60"/>
  <c r="G2067" i="60"/>
  <c r="G2068" i="60"/>
  <c r="G2069" i="60"/>
  <c r="G2070" i="60"/>
  <c r="G2071" i="60"/>
  <c r="G2072" i="60"/>
  <c r="G2073" i="60"/>
  <c r="G2074" i="60"/>
  <c r="G2075" i="60"/>
  <c r="G2076" i="60"/>
  <c r="G2077" i="60"/>
  <c r="G2078" i="60"/>
  <c r="G2079" i="60"/>
  <c r="G2080" i="60"/>
  <c r="G2081" i="60"/>
  <c r="G2082" i="60"/>
  <c r="G2083" i="60"/>
  <c r="G2084" i="60"/>
  <c r="G2085" i="60"/>
  <c r="G2086" i="60"/>
  <c r="G2087" i="60"/>
  <c r="G2088" i="60"/>
  <c r="G2089" i="60"/>
  <c r="G2090" i="60"/>
  <c r="G2091" i="60"/>
  <c r="G2092" i="60"/>
  <c r="G2093" i="60"/>
  <c r="G2094" i="60"/>
  <c r="G2095" i="60"/>
  <c r="G2096" i="60"/>
  <c r="G2097" i="60"/>
  <c r="G2098" i="60"/>
  <c r="G2099" i="60"/>
  <c r="G2100" i="60"/>
  <c r="G2101" i="60"/>
  <c r="G2102" i="60"/>
  <c r="G2103" i="60"/>
  <c r="G2104" i="60"/>
  <c r="G2105" i="60"/>
  <c r="G2106" i="60"/>
  <c r="G2107" i="60"/>
  <c r="G2108" i="60"/>
  <c r="G2109" i="60"/>
  <c r="G2110" i="60"/>
  <c r="G2111" i="60"/>
  <c r="G2112" i="60"/>
  <c r="G2113" i="60"/>
  <c r="G2114" i="60"/>
  <c r="G2115" i="60"/>
  <c r="G2116" i="60"/>
  <c r="G2117" i="60"/>
  <c r="G2118" i="60"/>
  <c r="G2119" i="60"/>
  <c r="G2120" i="60"/>
  <c r="G2121" i="60"/>
  <c r="G2122" i="60"/>
  <c r="G2123" i="60"/>
  <c r="G2124" i="60"/>
  <c r="G2125" i="60"/>
  <c r="G2126" i="60"/>
  <c r="G2127" i="60"/>
  <c r="G2128" i="60"/>
  <c r="G2129" i="60"/>
  <c r="G2130" i="60"/>
  <c r="G2131" i="60"/>
  <c r="G2132" i="60"/>
  <c r="G2133" i="60"/>
  <c r="G2134" i="60"/>
  <c r="G2135" i="60"/>
  <c r="G2136" i="60"/>
  <c r="G2137" i="60"/>
  <c r="G2138" i="60"/>
  <c r="G2139" i="60"/>
  <c r="G2140" i="60"/>
  <c r="G2141" i="60"/>
  <c r="G2142" i="60"/>
  <c r="G2143" i="60"/>
  <c r="G2144" i="60"/>
  <c r="G2145" i="60"/>
  <c r="G2146" i="60"/>
  <c r="G2147" i="60"/>
  <c r="G2148" i="60"/>
  <c r="G2149" i="60"/>
  <c r="G2150" i="60"/>
  <c r="G2151" i="60"/>
  <c r="G2152" i="60"/>
  <c r="G2153" i="60"/>
  <c r="G2154" i="60"/>
  <c r="G2155" i="60"/>
  <c r="G2156" i="60"/>
  <c r="G2157" i="60"/>
  <c r="G2158" i="60"/>
  <c r="G2159" i="60"/>
  <c r="G2160" i="60"/>
  <c r="G2161" i="60"/>
  <c r="G2162" i="60"/>
  <c r="G2163" i="60"/>
  <c r="G2164" i="60"/>
  <c r="G2165" i="60"/>
  <c r="G2166" i="60"/>
  <c r="G2167" i="60"/>
  <c r="G2168" i="60"/>
  <c r="G2169" i="60"/>
  <c r="G2170" i="60"/>
  <c r="G2171" i="60"/>
  <c r="G2172" i="60"/>
  <c r="G2173" i="60"/>
  <c r="G2174" i="60"/>
  <c r="G2175" i="60"/>
  <c r="G2176" i="60"/>
  <c r="G2177" i="60"/>
  <c r="G2178" i="60"/>
  <c r="G2179" i="60"/>
  <c r="G2180" i="60"/>
  <c r="G2181" i="60"/>
  <c r="G2182" i="60"/>
  <c r="G2183" i="60"/>
  <c r="G2184" i="60"/>
  <c r="G2185" i="60"/>
  <c r="G2186" i="60"/>
  <c r="G2187" i="60"/>
  <c r="G2188" i="60"/>
  <c r="G2189" i="60"/>
  <c r="G2190" i="60"/>
  <c r="G2191" i="60"/>
  <c r="G2192" i="60"/>
  <c r="G2193" i="60"/>
  <c r="G2194" i="60"/>
  <c r="G2195" i="60"/>
  <c r="G2196" i="60"/>
  <c r="G2197" i="60"/>
  <c r="G2198" i="60"/>
  <c r="G2199" i="60"/>
  <c r="G2200" i="60"/>
  <c r="G2201" i="60"/>
  <c r="G2202" i="60"/>
  <c r="G2203" i="60"/>
  <c r="G2204" i="60"/>
  <c r="G2205" i="60"/>
  <c r="G2206" i="60"/>
  <c r="G2207" i="60"/>
  <c r="G2208" i="60"/>
  <c r="G2209" i="60"/>
  <c r="G2210" i="60"/>
  <c r="G2211" i="60"/>
  <c r="G2212" i="60"/>
  <c r="G2213" i="60"/>
  <c r="G2214" i="60"/>
  <c r="G2215" i="60"/>
  <c r="G2216" i="60"/>
  <c r="G2217" i="60"/>
  <c r="G2218" i="60"/>
  <c r="G2219" i="60"/>
  <c r="G2220" i="60"/>
  <c r="G2221" i="60"/>
  <c r="G2222" i="60"/>
  <c r="G2223" i="60"/>
  <c r="G2224" i="60"/>
  <c r="G2225" i="60"/>
  <c r="G2226" i="60"/>
  <c r="G2227" i="60"/>
  <c r="G2228" i="60"/>
  <c r="G2229" i="60"/>
  <c r="G2230" i="60"/>
  <c r="G2231" i="60"/>
  <c r="G2232" i="60"/>
  <c r="G2233" i="60"/>
  <c r="G2234" i="60"/>
  <c r="G2235" i="60"/>
  <c r="G2236" i="60"/>
  <c r="G2237" i="60"/>
  <c r="G2238" i="60"/>
  <c r="G2239" i="60"/>
  <c r="G2240" i="60"/>
  <c r="G2241" i="60"/>
  <c r="G2242" i="60"/>
  <c r="G2243" i="60"/>
  <c r="G2244" i="60"/>
  <c r="G2245" i="60"/>
  <c r="G2246" i="60"/>
  <c r="G2247" i="60"/>
  <c r="G2248" i="60"/>
  <c r="G2249" i="60"/>
  <c r="G2250" i="60"/>
  <c r="G2251" i="60"/>
  <c r="G2252" i="60"/>
  <c r="G2253" i="60"/>
  <c r="G2254" i="60"/>
  <c r="G2255" i="60"/>
  <c r="G2256" i="60"/>
  <c r="G2257" i="60"/>
  <c r="G2258" i="60"/>
  <c r="G2259" i="60"/>
  <c r="G2260" i="60"/>
  <c r="G2261" i="60"/>
  <c r="G2262" i="60"/>
  <c r="G2263" i="60"/>
  <c r="G2264" i="60"/>
  <c r="G2265" i="60"/>
  <c r="G2266" i="60"/>
  <c r="G2267" i="60"/>
  <c r="G2268" i="60"/>
  <c r="G2269" i="60"/>
  <c r="G2270" i="60"/>
  <c r="G2271" i="60"/>
  <c r="G2272" i="60"/>
  <c r="G2273" i="60"/>
  <c r="G2274" i="60"/>
  <c r="G2275" i="60"/>
  <c r="G2276" i="60"/>
  <c r="G2277" i="60"/>
  <c r="G2278" i="60"/>
  <c r="G2279" i="60"/>
  <c r="G2280" i="60"/>
  <c r="G2281" i="60"/>
  <c r="G2282" i="60"/>
  <c r="G2283" i="60"/>
  <c r="G2284" i="60"/>
  <c r="G2285" i="60"/>
  <c r="G2286" i="60"/>
  <c r="G2287" i="60"/>
  <c r="G2288" i="60"/>
  <c r="G2289" i="60"/>
  <c r="G2290" i="60"/>
  <c r="G2291" i="60"/>
  <c r="G2292" i="60"/>
  <c r="G2293" i="60"/>
  <c r="G2294" i="60"/>
  <c r="G2295" i="60"/>
  <c r="G2296" i="60"/>
  <c r="G2297" i="60"/>
  <c r="G2298" i="60"/>
  <c r="G2299" i="60"/>
  <c r="G2300" i="60"/>
  <c r="G2301" i="60"/>
  <c r="G2302" i="60"/>
  <c r="G2303" i="60"/>
  <c r="G2304" i="60"/>
  <c r="G2305" i="60"/>
  <c r="G2306" i="60"/>
  <c r="G2307" i="60"/>
  <c r="G2308" i="60"/>
  <c r="G2309" i="60"/>
  <c r="G2310" i="60"/>
  <c r="G2311" i="60"/>
  <c r="G2312" i="60"/>
  <c r="G2313" i="60"/>
  <c r="G2314" i="60"/>
  <c r="G2315" i="60"/>
  <c r="G2316" i="60"/>
  <c r="G2317" i="60"/>
  <c r="G2318" i="60"/>
  <c r="G2319" i="60"/>
  <c r="G2320" i="60"/>
  <c r="G2321" i="60"/>
  <c r="G2322" i="60"/>
  <c r="G2323" i="60"/>
  <c r="G2324" i="60"/>
  <c r="G2325" i="60"/>
  <c r="G2326" i="60"/>
  <c r="G2327" i="60"/>
  <c r="G2328" i="60"/>
  <c r="G2329" i="60"/>
  <c r="G2330" i="60"/>
  <c r="G2331" i="60"/>
  <c r="G2332" i="60"/>
  <c r="G2333" i="60"/>
  <c r="G2334" i="60"/>
  <c r="G2335" i="60"/>
  <c r="G2336" i="60"/>
  <c r="G2337" i="60"/>
  <c r="G2338" i="60"/>
  <c r="G2339" i="60"/>
  <c r="G2340" i="60"/>
  <c r="G2341" i="60"/>
  <c r="G2342" i="60"/>
  <c r="G2343" i="60"/>
  <c r="G2344" i="60"/>
  <c r="G2345" i="60"/>
  <c r="G2346" i="60"/>
  <c r="G2347" i="60"/>
  <c r="G2348" i="60"/>
  <c r="G2349" i="60"/>
  <c r="G2350" i="60"/>
  <c r="G2351" i="60"/>
  <c r="G2352" i="60"/>
  <c r="G2353" i="60"/>
  <c r="G2354" i="60"/>
  <c r="G2355" i="60"/>
  <c r="G2356" i="60"/>
  <c r="G2357" i="60"/>
  <c r="G2358" i="60"/>
  <c r="G2359" i="60"/>
  <c r="G2360" i="60"/>
  <c r="G2361" i="60"/>
  <c r="G2362" i="60"/>
  <c r="G2363" i="60"/>
  <c r="G2364" i="60"/>
  <c r="G2365" i="60"/>
  <c r="G2366" i="60"/>
  <c r="G2367" i="60"/>
  <c r="G2368" i="60"/>
  <c r="G2369" i="60"/>
  <c r="G2370" i="60"/>
  <c r="G2371" i="60"/>
  <c r="G2372" i="60"/>
  <c r="G2373" i="60"/>
  <c r="G2374" i="60"/>
  <c r="G2375" i="60"/>
  <c r="G2376" i="60"/>
  <c r="G2377" i="60"/>
  <c r="G2378" i="60"/>
  <c r="G2379" i="60"/>
  <c r="G2380" i="60"/>
  <c r="G2381" i="60"/>
  <c r="G2382" i="60"/>
  <c r="G2383" i="60"/>
  <c r="G2384" i="60"/>
  <c r="G2385" i="60"/>
  <c r="G2386" i="60"/>
  <c r="G2387" i="60"/>
  <c r="G2388" i="60"/>
  <c r="G2389" i="60"/>
  <c r="G2390" i="60"/>
  <c r="G2391" i="60"/>
  <c r="G2392" i="60"/>
  <c r="G2393" i="60"/>
  <c r="G2394" i="60"/>
  <c r="G2395" i="60"/>
  <c r="G2396" i="60"/>
  <c r="G2397" i="60"/>
  <c r="G2398" i="60"/>
  <c r="G2399" i="60"/>
  <c r="G2400" i="60"/>
  <c r="G2401" i="60"/>
  <c r="G2402" i="60"/>
  <c r="G2403" i="60"/>
  <c r="G2404" i="60"/>
  <c r="G2405" i="60"/>
  <c r="G2406" i="60"/>
  <c r="G2407" i="60"/>
  <c r="G2408" i="60"/>
  <c r="G2409" i="60"/>
  <c r="G2410" i="60"/>
  <c r="G2411" i="60"/>
  <c r="G2412" i="60"/>
  <c r="G2413" i="60"/>
  <c r="G2414" i="60"/>
  <c r="G2415" i="60"/>
  <c r="G2416" i="60"/>
  <c r="G2417" i="60"/>
  <c r="G2418" i="60"/>
  <c r="G2419" i="60"/>
  <c r="G2420" i="60"/>
  <c r="G2421" i="60"/>
  <c r="G2422" i="60"/>
  <c r="G2423" i="60"/>
  <c r="G2424" i="60"/>
  <c r="G2425" i="60"/>
  <c r="G2426" i="60"/>
  <c r="G2427" i="60"/>
  <c r="G2428" i="60"/>
  <c r="G2429" i="60"/>
  <c r="G2430" i="60"/>
  <c r="G2431" i="60"/>
  <c r="G2432" i="60"/>
  <c r="G2433" i="60"/>
  <c r="G2434" i="60"/>
  <c r="G2435" i="60"/>
  <c r="G2436" i="60"/>
  <c r="G2437" i="60"/>
  <c r="G2438" i="60"/>
  <c r="G2439" i="60"/>
  <c r="G2440" i="60"/>
  <c r="G2441" i="60"/>
  <c r="G2442" i="60"/>
  <c r="G2443" i="60"/>
  <c r="G2444" i="60"/>
  <c r="G2445" i="60"/>
  <c r="G2446" i="60"/>
  <c r="G2447" i="60"/>
  <c r="G2448" i="60"/>
  <c r="G2449" i="60"/>
  <c r="G2450" i="60"/>
  <c r="G2451" i="60"/>
  <c r="G2452" i="60"/>
  <c r="G2453" i="60"/>
  <c r="G2454" i="60"/>
  <c r="G2455" i="60"/>
  <c r="G2456" i="60"/>
  <c r="G2457" i="60"/>
  <c r="G2458" i="60"/>
  <c r="G2459" i="60"/>
  <c r="G2460" i="60"/>
  <c r="G2461" i="60"/>
  <c r="G2462" i="60"/>
  <c r="G2463" i="60"/>
  <c r="G2464" i="60"/>
  <c r="G2465" i="60"/>
  <c r="G2466" i="60"/>
  <c r="G2467" i="60"/>
  <c r="G2468" i="60"/>
  <c r="G2469" i="60"/>
  <c r="G2470" i="60"/>
  <c r="G2471" i="60"/>
  <c r="G2472" i="60"/>
  <c r="G2473" i="60"/>
  <c r="G2474" i="60"/>
  <c r="G2475" i="60"/>
  <c r="G2476" i="60"/>
  <c r="G2477" i="60"/>
  <c r="G2478" i="60"/>
  <c r="G2479" i="60"/>
  <c r="G2480" i="60"/>
  <c r="G2481" i="60"/>
  <c r="G2482" i="60"/>
  <c r="G2483" i="60"/>
  <c r="G2484" i="60"/>
  <c r="G2485" i="60"/>
  <c r="G2486" i="60"/>
  <c r="G2487" i="60"/>
  <c r="G2488" i="60"/>
  <c r="G2489" i="60"/>
  <c r="G2490" i="60"/>
  <c r="G2491" i="60"/>
  <c r="G2492" i="60"/>
  <c r="G2493" i="60"/>
  <c r="G2494" i="60"/>
  <c r="G2495" i="60"/>
  <c r="G2496" i="60"/>
  <c r="G2497" i="60"/>
  <c r="G2498" i="60"/>
  <c r="G2499" i="60"/>
  <c r="G2500" i="60"/>
  <c r="G2501" i="60"/>
  <c r="G2502" i="60"/>
  <c r="G2503" i="60"/>
  <c r="G2504" i="60"/>
  <c r="G2505" i="60"/>
  <c r="G2506" i="60"/>
  <c r="G2507" i="60"/>
  <c r="G2508" i="60"/>
  <c r="G2509" i="60"/>
  <c r="G2510" i="60"/>
  <c r="G2511" i="60"/>
  <c r="G2512" i="60"/>
  <c r="G2513" i="60"/>
  <c r="G2514" i="60"/>
  <c r="G2515" i="60"/>
  <c r="G2516" i="60"/>
  <c r="G2517" i="60"/>
  <c r="G2518" i="60"/>
  <c r="G2519" i="60"/>
  <c r="G2520" i="60"/>
  <c r="G2521" i="60"/>
  <c r="G2522" i="60"/>
  <c r="G2523" i="60"/>
  <c r="G2524" i="60"/>
  <c r="G2525" i="60"/>
  <c r="G2526" i="60"/>
  <c r="G2527" i="60"/>
  <c r="G2528" i="60"/>
  <c r="G2529" i="60"/>
  <c r="G2530" i="60"/>
  <c r="G2531" i="60"/>
  <c r="G2532" i="60"/>
  <c r="G2533" i="60"/>
  <c r="G2534" i="60"/>
  <c r="G2535" i="60"/>
  <c r="G2536" i="60"/>
  <c r="G2537" i="60"/>
  <c r="G2538" i="60"/>
  <c r="G2539" i="60"/>
  <c r="G2540" i="60"/>
  <c r="G2541" i="60"/>
  <c r="G2542" i="60"/>
  <c r="G2543" i="60"/>
  <c r="G2544" i="60"/>
  <c r="G2545" i="60"/>
  <c r="G2546" i="60"/>
  <c r="G2547" i="60"/>
  <c r="G2548" i="60"/>
  <c r="G2549" i="60"/>
  <c r="G2550" i="60"/>
  <c r="G2551" i="60"/>
  <c r="G2552" i="60"/>
  <c r="G2553" i="60"/>
  <c r="G2554" i="60"/>
  <c r="G2555" i="60"/>
  <c r="G2556" i="60"/>
  <c r="G2557" i="60"/>
  <c r="G2558" i="60"/>
  <c r="G2559" i="60"/>
  <c r="G2560" i="60"/>
  <c r="G2561" i="60"/>
  <c r="G2562" i="60"/>
  <c r="G2563" i="60"/>
  <c r="G2564" i="60"/>
  <c r="G2565" i="60"/>
  <c r="G2566" i="60"/>
  <c r="G2567" i="60"/>
  <c r="G2568" i="60"/>
  <c r="G2569" i="60"/>
  <c r="G2570" i="60"/>
  <c r="G2571" i="60"/>
  <c r="G2572" i="60"/>
  <c r="G2573" i="60"/>
  <c r="G2574" i="60"/>
  <c r="G2575" i="60"/>
  <c r="G2576" i="60"/>
  <c r="G2577" i="60"/>
  <c r="G2578" i="60"/>
  <c r="G2579" i="60"/>
  <c r="G2580" i="60"/>
  <c r="G2581" i="60"/>
  <c r="G2582" i="60"/>
  <c r="G2583" i="60"/>
  <c r="G2584" i="60"/>
  <c r="G2585" i="60"/>
  <c r="G2586" i="60"/>
  <c r="G2587" i="60"/>
  <c r="G2588" i="60"/>
  <c r="G2589" i="60"/>
  <c r="G2590" i="60"/>
  <c r="G2591" i="60"/>
  <c r="G2592" i="60"/>
  <c r="G2593" i="60"/>
  <c r="G2594" i="60"/>
  <c r="G2595" i="60"/>
  <c r="G2596" i="60"/>
  <c r="G2597" i="60"/>
  <c r="G2598" i="60"/>
  <c r="G2599" i="60"/>
  <c r="G2600" i="60"/>
  <c r="G2601" i="60"/>
  <c r="G2602" i="60"/>
  <c r="G2603" i="60"/>
  <c r="G2604" i="60"/>
  <c r="G2605" i="60"/>
  <c r="G2606" i="60"/>
  <c r="G2607" i="60"/>
  <c r="G2608" i="60"/>
  <c r="G2609" i="60"/>
  <c r="G2610" i="60"/>
  <c r="G2611" i="60"/>
  <c r="G2612" i="60"/>
  <c r="G2613" i="60"/>
  <c r="G2614" i="60"/>
  <c r="G2615" i="60"/>
  <c r="G2616" i="60"/>
  <c r="G2617" i="60"/>
  <c r="G2618" i="60"/>
  <c r="G2619" i="60"/>
  <c r="G2620" i="60"/>
  <c r="G2621" i="60"/>
  <c r="G2622" i="60"/>
  <c r="G2623" i="60"/>
  <c r="G2624" i="60"/>
  <c r="G2625" i="60"/>
  <c r="G2626" i="60"/>
  <c r="G2627" i="60"/>
  <c r="G2628" i="60"/>
  <c r="G2629" i="60"/>
  <c r="G2630" i="60"/>
  <c r="G2631" i="60"/>
  <c r="G2632" i="60"/>
  <c r="G2633" i="60"/>
  <c r="G2634" i="60"/>
  <c r="G2635" i="60"/>
  <c r="G2636" i="60"/>
  <c r="G2637" i="60"/>
  <c r="G2638" i="60"/>
  <c r="G2639" i="60"/>
  <c r="G2640" i="60"/>
  <c r="G2641" i="60"/>
  <c r="G2642" i="60"/>
  <c r="G2643" i="60"/>
  <c r="G2644" i="60"/>
  <c r="G2645" i="60"/>
  <c r="G2646" i="60"/>
  <c r="G2647" i="60"/>
  <c r="G2648" i="60"/>
  <c r="G2649" i="60"/>
  <c r="G2650" i="60"/>
  <c r="G2651" i="60"/>
  <c r="G2652" i="60"/>
  <c r="G2653" i="60"/>
  <c r="G2654" i="60"/>
  <c r="G2655" i="60"/>
  <c r="G2656" i="60"/>
  <c r="G2657" i="60"/>
  <c r="G2658" i="60"/>
  <c r="G2659" i="60"/>
  <c r="G2660" i="60"/>
  <c r="G2661" i="60"/>
  <c r="G2662" i="60"/>
  <c r="G2663" i="60"/>
  <c r="G2664" i="60"/>
  <c r="G2665" i="60"/>
  <c r="G2666" i="60"/>
  <c r="G2667" i="60"/>
  <c r="G2668" i="60"/>
  <c r="G2669" i="60"/>
  <c r="G2670" i="60"/>
  <c r="G2671" i="60"/>
  <c r="G2672" i="60"/>
  <c r="G2673" i="60"/>
  <c r="G2674" i="60"/>
  <c r="G2675" i="60"/>
  <c r="G2676" i="60"/>
  <c r="G2677" i="60"/>
  <c r="G2678" i="60"/>
  <c r="G2679" i="60"/>
  <c r="G2680" i="60"/>
  <c r="G2681" i="60"/>
  <c r="G2682" i="60"/>
  <c r="G2683" i="60"/>
  <c r="G2684" i="60"/>
  <c r="G2685" i="60"/>
  <c r="G2686" i="60"/>
  <c r="G2687" i="60"/>
  <c r="G2688" i="60"/>
  <c r="G2689" i="60"/>
  <c r="G2690" i="60"/>
  <c r="G2691" i="60"/>
  <c r="G2692" i="60"/>
  <c r="G2693" i="60"/>
  <c r="G2694" i="60"/>
  <c r="G2695" i="60"/>
  <c r="G2696" i="60"/>
  <c r="G2697" i="60"/>
  <c r="G2698" i="60"/>
  <c r="G2699" i="60"/>
  <c r="G2700" i="60"/>
  <c r="G2701" i="60"/>
  <c r="G2702" i="60"/>
  <c r="G2703" i="60"/>
  <c r="G2704" i="60"/>
  <c r="G2705" i="60"/>
  <c r="G2706" i="60"/>
  <c r="G2707" i="60"/>
  <c r="G2708" i="60"/>
  <c r="G2709" i="60"/>
  <c r="G2710" i="60"/>
  <c r="G2711" i="60"/>
  <c r="G2712" i="60"/>
  <c r="G2713" i="60"/>
  <c r="G2714" i="60"/>
  <c r="G2715" i="60"/>
  <c r="G2716" i="60"/>
  <c r="G2717" i="60"/>
  <c r="G2718" i="60"/>
  <c r="G2719" i="60"/>
  <c r="G2720" i="60"/>
  <c r="G2721" i="60"/>
  <c r="G2722" i="60"/>
  <c r="G2723" i="60"/>
  <c r="G2724" i="60"/>
  <c r="G2725" i="60"/>
  <c r="G2726" i="60"/>
  <c r="G2727" i="60"/>
  <c r="G2728" i="60"/>
  <c r="G2729" i="60"/>
  <c r="G2730" i="60"/>
  <c r="G2731" i="60"/>
  <c r="G2732" i="60"/>
  <c r="G2733" i="60"/>
  <c r="G2734" i="60"/>
  <c r="G2735" i="60"/>
  <c r="G2736" i="60"/>
  <c r="G2737" i="60"/>
  <c r="G2738" i="60"/>
  <c r="G2739" i="60"/>
  <c r="G2740" i="60"/>
  <c r="G2741" i="60"/>
  <c r="G2742" i="60"/>
  <c r="G2743" i="60"/>
  <c r="G2744" i="60"/>
  <c r="G2745" i="60"/>
  <c r="G2746" i="60"/>
  <c r="G2747" i="60"/>
  <c r="G2748" i="60"/>
  <c r="G2749" i="60"/>
  <c r="G2750" i="60"/>
  <c r="G2751" i="60"/>
  <c r="G2752" i="60"/>
  <c r="G2753" i="60"/>
  <c r="G2754" i="60"/>
  <c r="G2755" i="60"/>
  <c r="G2756" i="60"/>
  <c r="G2757" i="60"/>
  <c r="G2758" i="60"/>
  <c r="G2759" i="60"/>
  <c r="G2760" i="60"/>
  <c r="G2761" i="60"/>
  <c r="G2762" i="60"/>
  <c r="G2763" i="60"/>
  <c r="G2764" i="60"/>
  <c r="G2765" i="60"/>
  <c r="G2766" i="60"/>
  <c r="G2767" i="60"/>
  <c r="G2768" i="60"/>
  <c r="G2769" i="60"/>
  <c r="G2770" i="60"/>
  <c r="G2771" i="60"/>
  <c r="G2772" i="60"/>
  <c r="G2773" i="60"/>
  <c r="G2774" i="60"/>
  <c r="G2775" i="60"/>
  <c r="G2776" i="60"/>
  <c r="G2777" i="60"/>
  <c r="G2778" i="60"/>
  <c r="G2779" i="60"/>
  <c r="G2780" i="60"/>
  <c r="G2781" i="60"/>
  <c r="G2782" i="60"/>
  <c r="G2783" i="60"/>
  <c r="G2784" i="60"/>
  <c r="G2785" i="60"/>
  <c r="G2786" i="60"/>
  <c r="G2787" i="60"/>
  <c r="G2788" i="60"/>
  <c r="G2789" i="60"/>
  <c r="G2790" i="60"/>
  <c r="G2791" i="60"/>
  <c r="G2792" i="60"/>
  <c r="G2793" i="60"/>
  <c r="G2794" i="60"/>
  <c r="G2795" i="60"/>
  <c r="G2796" i="60"/>
  <c r="G2797" i="60"/>
  <c r="G2798" i="60"/>
  <c r="G2799" i="60"/>
  <c r="G2800" i="60"/>
  <c r="G2801" i="60"/>
  <c r="G2802" i="60"/>
  <c r="G2803" i="60"/>
  <c r="G2804" i="60"/>
  <c r="G2805" i="60"/>
  <c r="G2806" i="60"/>
  <c r="G2807" i="60"/>
  <c r="G2808" i="60"/>
  <c r="G2809" i="60"/>
  <c r="G2810" i="60"/>
  <c r="G2811" i="60"/>
  <c r="G2812" i="60"/>
  <c r="G2813" i="60"/>
  <c r="G2814" i="60"/>
  <c r="G2815" i="60"/>
  <c r="G2816" i="60"/>
  <c r="G2817" i="60"/>
  <c r="G2818" i="60"/>
  <c r="G2819" i="60"/>
  <c r="G2820" i="60"/>
  <c r="G2821" i="60"/>
  <c r="G2822" i="60"/>
  <c r="G2823" i="60"/>
  <c r="G2824" i="60"/>
  <c r="G2825" i="60"/>
  <c r="G2826" i="60"/>
  <c r="G2827" i="60"/>
  <c r="G2828" i="60"/>
  <c r="G2829" i="60"/>
  <c r="G2830" i="60"/>
  <c r="G2831" i="60"/>
  <c r="G2832" i="60"/>
  <c r="G2833" i="60"/>
  <c r="G2834" i="60"/>
  <c r="G2835" i="60"/>
  <c r="G2836" i="60"/>
  <c r="G2837" i="60"/>
  <c r="G2838" i="60"/>
  <c r="G2839" i="60"/>
  <c r="G2840" i="60"/>
  <c r="G2841" i="60"/>
  <c r="G2842" i="60"/>
  <c r="G2843" i="60"/>
  <c r="G2844" i="60"/>
  <c r="G2845" i="60"/>
  <c r="G2846" i="60"/>
  <c r="G2847" i="60"/>
  <c r="G2848" i="60"/>
  <c r="G2849" i="60"/>
  <c r="G2850" i="60"/>
  <c r="G2851" i="60"/>
  <c r="G2852" i="60"/>
  <c r="G2853" i="60"/>
  <c r="G2854" i="60"/>
  <c r="G2855" i="60"/>
  <c r="G2856" i="60"/>
  <c r="G2857" i="60"/>
  <c r="G2858" i="60"/>
  <c r="G2859" i="60"/>
  <c r="G2860" i="60"/>
  <c r="G2861" i="60"/>
  <c r="G2862" i="60"/>
  <c r="G2863" i="60"/>
  <c r="G2864" i="60"/>
  <c r="G2865" i="60"/>
  <c r="G2866" i="60"/>
  <c r="G2867" i="60"/>
  <c r="G2868" i="60"/>
  <c r="G2869" i="60"/>
  <c r="G2870" i="60"/>
  <c r="G2871" i="60"/>
  <c r="G2872" i="60"/>
  <c r="G2873" i="60"/>
  <c r="G2874" i="60"/>
  <c r="G2875" i="60"/>
  <c r="G2876" i="60"/>
  <c r="G2877" i="60"/>
  <c r="G2878" i="60"/>
  <c r="G2879" i="60"/>
  <c r="G2880" i="60"/>
  <c r="G2881" i="60"/>
  <c r="G2882" i="60"/>
  <c r="G2883" i="60"/>
  <c r="G2884" i="60"/>
  <c r="G2885" i="60"/>
  <c r="G2886" i="60"/>
  <c r="G2887" i="60"/>
  <c r="G2888" i="60"/>
  <c r="G2889" i="60"/>
  <c r="G2890" i="60"/>
  <c r="G2891" i="60"/>
  <c r="G2892" i="60"/>
  <c r="G2893" i="60"/>
  <c r="G2894" i="60"/>
  <c r="G2895" i="60"/>
  <c r="G2896" i="60"/>
  <c r="G2897" i="60"/>
  <c r="G2898" i="60"/>
  <c r="G2899" i="60"/>
  <c r="G2900" i="60"/>
  <c r="G2901" i="60"/>
  <c r="G2902" i="60"/>
  <c r="G2903" i="60"/>
  <c r="G2904" i="60"/>
  <c r="G2905" i="60"/>
  <c r="G2906" i="60"/>
  <c r="G2907" i="60"/>
  <c r="G2908" i="60"/>
  <c r="G2909" i="60"/>
  <c r="G2910" i="60"/>
  <c r="G2911" i="60"/>
  <c r="G2912" i="60"/>
  <c r="G2913" i="60"/>
  <c r="G2914" i="60"/>
  <c r="G2915" i="60"/>
  <c r="G2916" i="60"/>
  <c r="G2917" i="60"/>
  <c r="G2918" i="60"/>
  <c r="G2919" i="60"/>
  <c r="G2920" i="60"/>
  <c r="G2921" i="60"/>
  <c r="G2922" i="60"/>
  <c r="G2923" i="60"/>
  <c r="G2924" i="60"/>
  <c r="G2925" i="60"/>
  <c r="G2926" i="60"/>
  <c r="G2927" i="60"/>
  <c r="G2928" i="60"/>
  <c r="G2929" i="60"/>
  <c r="G2930" i="60"/>
  <c r="G2931" i="60"/>
  <c r="G2932" i="60"/>
  <c r="G2933" i="60"/>
  <c r="G2934" i="60"/>
  <c r="G2935" i="60"/>
  <c r="G2936" i="60"/>
  <c r="G2937" i="60"/>
  <c r="G2938" i="60"/>
  <c r="G2939" i="60"/>
  <c r="G2940" i="60"/>
  <c r="G2941" i="60"/>
  <c r="G2942" i="60"/>
  <c r="G2943" i="60"/>
  <c r="G2944" i="60"/>
  <c r="G2945" i="60"/>
  <c r="G2946" i="60"/>
  <c r="G2947" i="60"/>
  <c r="G2948" i="60"/>
  <c r="G2949" i="60"/>
  <c r="G2950" i="60"/>
  <c r="G2951" i="60"/>
  <c r="G2952" i="60"/>
  <c r="G2953" i="60"/>
  <c r="G2954" i="60"/>
  <c r="G2955" i="60"/>
  <c r="G2956" i="60"/>
  <c r="G2957" i="60"/>
  <c r="G2958" i="60"/>
  <c r="G2959" i="60"/>
  <c r="G2960" i="60"/>
  <c r="G2961" i="60"/>
  <c r="G2962" i="60"/>
  <c r="G2963" i="60"/>
  <c r="G2964" i="60"/>
  <c r="G2965" i="60"/>
  <c r="G2966" i="60"/>
  <c r="G2967" i="60"/>
  <c r="G2968" i="60"/>
  <c r="G2969" i="60"/>
  <c r="G2970" i="60"/>
  <c r="G2971" i="60"/>
  <c r="G2972" i="60"/>
  <c r="G2973" i="60"/>
  <c r="G2974" i="60"/>
  <c r="G2975" i="60"/>
  <c r="G2976" i="60"/>
  <c r="G2977" i="60"/>
  <c r="G2978" i="60"/>
  <c r="G2979" i="60"/>
  <c r="G2980" i="60"/>
  <c r="G2981" i="60"/>
  <c r="G2982" i="60"/>
  <c r="G2983" i="60"/>
  <c r="G2984" i="60"/>
  <c r="G2985" i="60"/>
  <c r="G2986" i="60"/>
  <c r="G2987" i="60"/>
  <c r="G2988" i="60"/>
  <c r="G2989" i="60"/>
  <c r="G2990" i="60"/>
  <c r="G2991" i="60"/>
  <c r="G2992" i="60"/>
  <c r="G2993" i="60"/>
  <c r="G2994" i="60"/>
  <c r="G2995" i="60"/>
  <c r="G2996" i="60"/>
  <c r="G2997" i="60"/>
  <c r="G2998" i="60"/>
  <c r="G2999" i="60"/>
  <c r="G3000" i="60"/>
  <c r="G3001" i="60"/>
  <c r="G3002" i="60"/>
  <c r="G3003" i="60"/>
  <c r="G3004" i="60"/>
  <c r="G3005" i="60"/>
  <c r="G3006" i="60"/>
  <c r="G3007" i="60"/>
  <c r="G3008" i="60"/>
  <c r="G3009" i="60"/>
  <c r="G3010" i="60"/>
  <c r="G3011" i="60"/>
  <c r="G3012" i="60"/>
  <c r="G3013" i="60"/>
  <c r="G3014" i="60"/>
  <c r="G3015" i="60"/>
  <c r="G3016" i="60"/>
  <c r="G3017" i="60"/>
  <c r="G3018" i="60"/>
  <c r="G3019" i="60"/>
  <c r="G3020" i="60"/>
  <c r="G3021" i="60"/>
  <c r="G3022" i="60"/>
  <c r="G3023" i="60"/>
  <c r="G3024" i="60"/>
  <c r="G3025" i="60"/>
  <c r="G3026" i="60"/>
  <c r="G3027" i="60"/>
  <c r="G3028" i="60"/>
  <c r="G3029" i="60"/>
  <c r="G3030" i="60"/>
  <c r="G3031" i="60"/>
  <c r="G3032" i="60"/>
  <c r="G3033" i="60"/>
  <c r="G3034" i="60"/>
  <c r="G3035" i="60"/>
  <c r="G3036" i="60"/>
  <c r="G3037" i="60"/>
  <c r="G3038" i="60"/>
  <c r="G3039" i="60"/>
  <c r="G3040" i="60"/>
  <c r="G3041" i="60"/>
  <c r="G3042" i="60"/>
  <c r="G3043" i="60"/>
  <c r="G3044" i="60"/>
  <c r="G3045" i="60"/>
  <c r="G3046" i="60"/>
  <c r="G3047" i="60"/>
  <c r="G3048" i="60"/>
  <c r="G3049" i="60"/>
  <c r="G3050" i="60"/>
  <c r="G3051" i="60"/>
  <c r="G3052" i="60"/>
  <c r="G3053" i="60"/>
  <c r="G3054" i="60"/>
  <c r="G3055" i="60"/>
  <c r="G3056" i="60"/>
  <c r="G3057" i="60"/>
  <c r="G3058" i="60"/>
  <c r="G3059" i="60"/>
  <c r="G3060" i="60"/>
  <c r="G3061" i="60"/>
  <c r="G3062" i="60"/>
  <c r="G3063" i="60"/>
  <c r="G3064" i="60"/>
  <c r="G3065" i="60"/>
  <c r="G3066" i="60"/>
  <c r="G3067" i="60"/>
  <c r="G3068" i="60"/>
  <c r="G3069" i="60"/>
  <c r="G3070" i="60"/>
  <c r="G3071" i="60"/>
  <c r="G3072" i="60"/>
  <c r="G3073" i="60"/>
  <c r="G3074" i="60"/>
  <c r="G3075" i="60"/>
  <c r="G3076" i="60"/>
  <c r="G3077" i="60"/>
  <c r="G3078" i="60"/>
  <c r="G3079" i="60"/>
  <c r="G3080" i="60"/>
  <c r="G3081" i="60"/>
  <c r="G3082" i="60"/>
  <c r="G3083" i="60"/>
  <c r="G3084" i="60"/>
  <c r="G3085" i="60"/>
  <c r="G3086" i="60"/>
  <c r="G3087" i="60"/>
  <c r="G3088" i="60"/>
  <c r="G3089" i="60"/>
  <c r="G3090" i="60"/>
  <c r="G3091" i="60"/>
  <c r="G3092" i="60"/>
  <c r="G3093" i="60"/>
  <c r="G3094" i="60"/>
  <c r="G3095" i="60"/>
  <c r="G3096" i="60"/>
  <c r="G3097" i="60"/>
  <c r="G3098" i="60"/>
  <c r="G3099" i="60"/>
  <c r="G3100" i="60"/>
  <c r="G3101" i="60"/>
  <c r="G3102" i="60"/>
  <c r="G3103" i="60"/>
  <c r="G3104" i="60"/>
  <c r="G3105" i="60"/>
  <c r="G3106" i="60"/>
  <c r="G3107" i="60"/>
  <c r="G3108" i="60"/>
  <c r="G3109" i="60"/>
  <c r="G3110" i="60"/>
  <c r="G3111" i="60"/>
  <c r="G3112" i="60"/>
  <c r="G3113" i="60"/>
  <c r="G3114" i="60"/>
  <c r="G3115" i="60"/>
  <c r="G3116" i="60"/>
  <c r="G3117" i="60"/>
  <c r="G3118" i="60"/>
  <c r="G3119" i="60"/>
  <c r="G3120" i="60"/>
  <c r="G3121" i="60"/>
  <c r="G3122" i="60"/>
  <c r="G3123" i="60"/>
  <c r="G3124" i="60"/>
  <c r="G3125" i="60"/>
  <c r="G3126" i="60"/>
  <c r="G3127" i="60"/>
  <c r="G3128" i="60"/>
  <c r="G3129" i="60"/>
  <c r="G3130" i="60"/>
  <c r="G3131" i="60"/>
  <c r="G3132" i="60"/>
  <c r="G3133" i="60"/>
  <c r="G3134" i="60"/>
  <c r="G3135" i="60"/>
  <c r="G3136" i="60"/>
  <c r="G3137" i="60"/>
  <c r="G3138" i="60"/>
  <c r="G3139" i="60"/>
  <c r="G3140" i="60"/>
  <c r="G3141" i="60"/>
  <c r="G3142" i="60"/>
  <c r="G3143" i="60"/>
  <c r="G3144" i="60"/>
  <c r="G3145" i="60"/>
  <c r="G3146" i="60"/>
  <c r="G3147" i="60"/>
  <c r="G3148" i="60"/>
  <c r="G3149" i="60"/>
  <c r="G3150" i="60"/>
  <c r="G3151" i="60"/>
  <c r="G3152" i="60"/>
  <c r="G3153" i="60"/>
  <c r="G3154" i="60"/>
  <c r="G3155" i="60"/>
  <c r="G3156" i="60"/>
  <c r="G3157" i="60"/>
  <c r="G3158" i="60"/>
  <c r="G3159" i="60"/>
  <c r="G3160" i="60"/>
  <c r="G3161" i="60"/>
  <c r="G3162" i="60"/>
  <c r="G3163" i="60"/>
  <c r="G3164" i="60"/>
  <c r="G3165" i="60"/>
  <c r="G3166" i="60"/>
  <c r="G3167" i="60"/>
  <c r="G3168" i="60"/>
  <c r="G3169" i="60"/>
  <c r="G3170" i="60"/>
  <c r="G3171" i="60"/>
  <c r="G3172" i="60"/>
  <c r="G3173" i="60"/>
  <c r="G3174" i="60"/>
  <c r="G3175" i="60"/>
  <c r="G3176" i="60"/>
  <c r="G3177" i="60"/>
  <c r="G3178" i="60"/>
  <c r="G3179" i="60"/>
  <c r="G3180" i="60"/>
  <c r="G3181" i="60"/>
  <c r="G3182" i="60"/>
  <c r="G3183" i="60"/>
  <c r="G3184" i="60"/>
  <c r="G3185" i="60"/>
  <c r="G3186" i="60"/>
  <c r="G3187" i="60"/>
  <c r="G3188" i="60"/>
  <c r="G3189" i="60"/>
  <c r="G3190" i="60"/>
  <c r="G3191" i="60"/>
  <c r="G3192" i="60"/>
  <c r="G3193" i="60"/>
  <c r="G3194" i="60"/>
  <c r="G3195" i="60"/>
  <c r="G3196" i="60"/>
  <c r="G3197" i="60"/>
  <c r="G3198" i="60"/>
  <c r="G3199" i="60"/>
  <c r="G3200" i="60"/>
  <c r="G3201" i="60"/>
  <c r="G3202" i="60"/>
  <c r="G3203" i="60"/>
  <c r="G3204" i="60"/>
  <c r="G3205" i="60"/>
  <c r="G3206" i="60"/>
  <c r="G3207" i="60"/>
  <c r="G3208" i="60"/>
  <c r="G3209" i="60"/>
  <c r="G3210" i="60"/>
  <c r="G3211" i="60"/>
  <c r="G3212" i="60"/>
  <c r="G3213" i="60"/>
  <c r="G3214" i="60"/>
  <c r="G3215" i="60"/>
  <c r="G3216" i="60"/>
  <c r="G3217" i="60"/>
  <c r="G3218" i="60"/>
  <c r="G3219" i="60"/>
  <c r="G3220" i="60"/>
  <c r="G3221" i="60"/>
  <c r="G3222" i="60"/>
  <c r="G3223" i="60"/>
  <c r="G3224" i="60"/>
  <c r="G3225" i="60"/>
  <c r="G3226" i="60"/>
  <c r="G3227" i="60"/>
  <c r="G3228" i="60"/>
  <c r="G3229" i="60"/>
  <c r="G3230" i="60"/>
  <c r="G3231" i="60"/>
  <c r="G3232" i="60"/>
  <c r="G3233" i="60"/>
  <c r="G3234" i="60"/>
  <c r="G3235" i="60"/>
  <c r="G3236" i="60"/>
  <c r="G3237" i="60"/>
  <c r="G3238" i="60"/>
  <c r="G3239" i="60"/>
  <c r="G3240" i="60"/>
  <c r="G3241" i="60"/>
  <c r="G3242" i="60"/>
  <c r="G3243" i="60"/>
  <c r="G3244" i="60"/>
  <c r="G3245" i="60"/>
  <c r="G3246" i="60"/>
  <c r="G3247" i="60"/>
  <c r="G3248" i="60"/>
  <c r="G3249" i="60"/>
  <c r="G3250" i="60"/>
  <c r="G3251" i="60"/>
  <c r="G3252" i="60"/>
  <c r="G3253" i="60"/>
  <c r="G3254" i="60"/>
  <c r="G3255" i="60"/>
  <c r="G3256" i="60"/>
  <c r="G3257" i="60"/>
  <c r="G3258" i="60"/>
  <c r="G3259" i="60"/>
  <c r="G3260" i="60"/>
  <c r="G3261" i="60"/>
  <c r="G3262" i="60"/>
  <c r="G3263" i="60"/>
  <c r="G3264" i="60"/>
  <c r="G3265" i="60"/>
  <c r="G3266" i="60"/>
  <c r="G3267" i="60"/>
  <c r="G3268" i="60"/>
  <c r="G3269" i="60"/>
  <c r="G3270" i="60"/>
  <c r="G3271" i="60"/>
  <c r="G3272" i="60"/>
  <c r="G3273" i="60"/>
  <c r="G3274" i="60"/>
  <c r="G3275" i="60"/>
  <c r="G3276" i="60"/>
  <c r="G3277" i="60"/>
  <c r="G3278" i="60"/>
  <c r="G3279" i="60"/>
  <c r="G3280" i="60"/>
  <c r="G3281" i="60"/>
  <c r="G3282" i="60"/>
  <c r="G3283" i="60"/>
  <c r="G3284" i="60"/>
  <c r="G3285" i="60"/>
  <c r="G3286" i="60"/>
  <c r="G3287" i="60"/>
  <c r="G3288" i="60"/>
  <c r="G3289" i="60"/>
  <c r="G3290" i="60"/>
  <c r="G3291" i="60"/>
  <c r="G3292" i="60"/>
  <c r="G3293" i="60"/>
  <c r="G3294" i="60"/>
  <c r="G3295" i="60"/>
  <c r="G3296" i="60"/>
  <c r="G3297" i="60"/>
  <c r="G3298" i="60"/>
  <c r="G3299" i="60"/>
  <c r="G3300" i="60"/>
  <c r="G3301" i="60"/>
  <c r="G3302" i="60"/>
  <c r="G3303" i="60"/>
  <c r="G3304" i="60"/>
  <c r="G3305" i="60"/>
  <c r="G3306" i="60"/>
  <c r="G3307" i="60"/>
  <c r="G3308" i="60"/>
  <c r="G3309" i="60"/>
  <c r="G3310" i="60"/>
  <c r="G3311" i="60"/>
  <c r="G3312" i="60"/>
  <c r="G3313" i="60"/>
  <c r="G3314" i="60"/>
  <c r="G3315" i="60"/>
  <c r="G3316" i="60"/>
  <c r="G3317" i="60"/>
  <c r="G3318" i="60"/>
  <c r="G3319" i="60"/>
  <c r="G3320" i="60"/>
  <c r="G3321" i="60"/>
  <c r="G3322" i="60"/>
  <c r="G3323" i="60"/>
  <c r="G3324" i="60"/>
  <c r="G3325" i="60"/>
  <c r="G3326" i="60"/>
  <c r="G3327" i="60"/>
  <c r="G3328" i="60"/>
  <c r="G3329" i="60"/>
  <c r="G3330" i="60"/>
  <c r="G3331" i="60"/>
  <c r="G3332" i="60"/>
  <c r="G3333" i="60"/>
  <c r="G3334" i="60"/>
  <c r="G3335" i="60"/>
  <c r="G3336" i="60"/>
  <c r="G3337" i="60"/>
  <c r="G3338" i="60"/>
  <c r="G3339" i="60"/>
  <c r="G3340" i="60"/>
  <c r="G3341" i="60"/>
  <c r="G3342" i="60"/>
  <c r="G3343" i="60"/>
  <c r="G3344" i="60"/>
  <c r="G3345" i="60"/>
  <c r="G3346" i="60"/>
  <c r="G3347" i="60"/>
  <c r="G3348" i="60"/>
  <c r="G3349" i="60"/>
  <c r="G3350" i="60"/>
  <c r="G3351" i="60"/>
  <c r="G3352" i="60"/>
  <c r="G3353" i="60"/>
  <c r="G3354" i="60"/>
  <c r="G3355" i="60"/>
  <c r="G3356" i="60"/>
  <c r="G3357" i="60"/>
  <c r="G3358" i="60"/>
  <c r="G3359" i="60"/>
  <c r="G3360" i="60"/>
  <c r="G3361" i="60"/>
  <c r="G3362" i="60"/>
  <c r="G3363" i="60"/>
  <c r="G3364" i="60"/>
  <c r="G3365" i="60"/>
  <c r="G3366" i="60"/>
  <c r="G3367" i="60"/>
  <c r="G3368" i="60"/>
  <c r="G3369" i="60"/>
  <c r="G3370" i="60"/>
  <c r="G3371" i="60"/>
  <c r="G3372" i="60"/>
  <c r="G3373" i="60"/>
  <c r="G3374" i="60"/>
  <c r="G3375" i="60"/>
  <c r="G3376" i="60"/>
  <c r="G3377" i="60"/>
  <c r="G3378" i="60"/>
  <c r="G3379" i="60"/>
  <c r="G3380" i="60"/>
  <c r="G3381" i="60"/>
  <c r="G3382" i="60"/>
  <c r="G3383" i="60"/>
  <c r="G3384" i="60"/>
  <c r="G3385" i="60"/>
  <c r="G3386" i="60"/>
  <c r="G3387" i="60"/>
  <c r="G3388" i="60"/>
  <c r="G3389" i="60"/>
  <c r="G3390" i="60"/>
  <c r="G3391" i="60"/>
  <c r="G3392" i="60"/>
  <c r="G3393" i="60"/>
  <c r="G3394" i="60"/>
  <c r="G3395" i="60"/>
  <c r="G3396" i="60"/>
  <c r="G3397" i="60"/>
  <c r="G3398" i="60"/>
  <c r="G3399" i="60"/>
  <c r="G3400" i="60"/>
  <c r="G3401" i="60"/>
  <c r="G3402" i="60"/>
  <c r="G3403" i="60"/>
  <c r="G3404" i="60"/>
  <c r="G3405" i="60"/>
  <c r="G3406" i="60"/>
  <c r="G3407" i="60"/>
  <c r="G3408" i="60"/>
  <c r="G3409" i="60"/>
  <c r="G3410" i="60"/>
  <c r="G3411" i="60"/>
  <c r="G3412" i="60"/>
  <c r="G3413" i="60"/>
  <c r="G3414" i="60"/>
  <c r="G3415" i="60"/>
  <c r="G3416" i="60"/>
  <c r="G3417" i="60"/>
  <c r="G3418" i="60"/>
  <c r="G3419" i="60"/>
  <c r="G3420" i="60"/>
  <c r="G3421" i="60"/>
  <c r="G3422" i="60"/>
  <c r="G3423" i="60"/>
  <c r="G3424" i="60"/>
  <c r="G3425" i="60"/>
  <c r="G3426" i="60"/>
  <c r="G3427" i="60"/>
  <c r="G3428" i="60"/>
  <c r="G3429" i="60"/>
  <c r="G3430" i="60"/>
  <c r="G3431" i="60"/>
  <c r="G3432" i="60"/>
  <c r="G3433" i="60"/>
  <c r="G3434" i="60"/>
  <c r="G3435" i="60"/>
  <c r="G3436" i="60"/>
  <c r="G3437" i="60"/>
  <c r="G3438" i="60"/>
  <c r="G3439" i="60"/>
  <c r="G3440" i="60"/>
  <c r="G3441" i="60"/>
  <c r="G3442" i="60"/>
  <c r="G3443" i="60"/>
  <c r="G3444" i="60"/>
  <c r="G3445" i="60"/>
  <c r="G3446" i="60"/>
  <c r="G3447" i="60"/>
  <c r="G3448" i="60"/>
  <c r="G3449" i="60"/>
  <c r="G3450" i="60"/>
  <c r="G3451" i="60"/>
  <c r="G3452" i="60"/>
  <c r="G3453" i="60"/>
  <c r="G3454" i="60"/>
  <c r="G3455" i="60"/>
  <c r="G3456" i="60"/>
  <c r="G3457" i="60"/>
  <c r="G3458" i="60"/>
  <c r="G3459" i="60"/>
  <c r="G3460" i="60"/>
  <c r="G3461" i="60"/>
  <c r="G3462" i="60"/>
  <c r="G3463" i="60"/>
  <c r="G3464" i="60"/>
  <c r="G3465" i="60"/>
  <c r="G3466" i="60"/>
  <c r="G3467" i="60"/>
  <c r="G3468" i="60"/>
  <c r="G3469" i="60"/>
  <c r="G3470" i="60"/>
  <c r="G3471" i="60"/>
  <c r="G3472" i="60"/>
  <c r="G3473" i="60"/>
  <c r="G3474" i="60"/>
  <c r="G3475" i="60"/>
  <c r="G3476" i="60"/>
  <c r="G3477" i="60"/>
  <c r="G3478" i="60"/>
  <c r="G3479" i="60"/>
  <c r="G3480" i="60"/>
  <c r="G3481" i="60"/>
  <c r="G3482" i="60"/>
  <c r="G3483" i="60"/>
  <c r="G3484" i="60"/>
  <c r="G3485" i="60"/>
  <c r="G3486" i="60"/>
  <c r="G3487" i="60"/>
  <c r="G3488" i="60"/>
  <c r="G3489" i="60"/>
  <c r="G3490" i="60"/>
  <c r="G3491" i="60"/>
  <c r="G3492" i="60"/>
  <c r="G3493" i="60"/>
  <c r="G3494" i="60"/>
  <c r="G3495" i="60"/>
  <c r="G3496" i="60"/>
  <c r="G3497" i="60"/>
  <c r="G3498" i="60"/>
  <c r="G3499" i="60"/>
  <c r="G3500" i="60"/>
  <c r="G3501" i="60"/>
  <c r="G3502" i="60"/>
  <c r="G3503" i="60"/>
  <c r="G3504" i="60"/>
  <c r="G3505" i="60"/>
  <c r="G3506" i="60"/>
  <c r="G3507" i="60"/>
  <c r="G3508" i="60"/>
  <c r="G3509" i="60"/>
  <c r="G3510" i="60"/>
  <c r="G3511" i="60"/>
  <c r="G3512" i="60"/>
  <c r="G3513" i="60"/>
  <c r="G3514" i="60"/>
  <c r="G3515" i="60"/>
  <c r="G3516" i="60"/>
  <c r="G3517" i="60"/>
  <c r="G3518" i="60"/>
  <c r="G3519" i="60"/>
  <c r="G3520" i="60"/>
  <c r="G3521" i="60"/>
  <c r="G3522" i="60"/>
  <c r="G3523" i="60"/>
  <c r="G3524" i="60"/>
  <c r="G3525" i="60"/>
  <c r="G3526" i="60"/>
  <c r="G3527" i="60"/>
  <c r="G3528" i="60"/>
  <c r="G3529" i="60"/>
  <c r="G3530" i="60"/>
  <c r="G3531" i="60"/>
  <c r="G3532" i="60"/>
  <c r="G3533" i="60"/>
  <c r="G3534" i="60"/>
  <c r="G3535" i="60"/>
  <c r="G3536" i="60"/>
  <c r="G3537" i="60"/>
  <c r="G3538" i="60"/>
  <c r="G3539" i="60"/>
  <c r="G3540" i="60"/>
  <c r="G3541" i="60"/>
  <c r="G3542" i="60"/>
  <c r="G3543" i="60"/>
  <c r="G3544" i="60"/>
  <c r="G3545" i="60"/>
  <c r="G3546" i="60"/>
  <c r="G3547" i="60"/>
  <c r="G3548" i="60"/>
  <c r="G3549" i="60"/>
  <c r="G3550" i="60"/>
  <c r="G3551" i="60"/>
  <c r="G3552" i="60"/>
  <c r="G3553" i="60"/>
  <c r="G3554" i="60"/>
  <c r="G3555" i="60"/>
  <c r="G3556" i="60"/>
  <c r="G3557" i="60"/>
  <c r="G3558" i="60"/>
  <c r="G3559" i="60"/>
  <c r="G3560" i="60"/>
  <c r="G3561" i="60"/>
  <c r="G3562" i="60"/>
  <c r="G3563" i="60"/>
  <c r="G3564" i="60"/>
  <c r="G3565" i="60"/>
  <c r="G3566" i="60"/>
  <c r="G3567" i="60"/>
  <c r="G3568" i="60"/>
  <c r="G3569" i="60"/>
  <c r="G3570" i="60"/>
  <c r="G3571" i="60"/>
  <c r="G3572" i="60"/>
  <c r="G3573" i="60"/>
  <c r="G3574" i="60"/>
  <c r="G3575" i="60"/>
  <c r="G3576" i="60"/>
  <c r="G3577" i="60"/>
  <c r="G3578" i="60"/>
  <c r="G3579" i="60"/>
  <c r="G3580" i="60"/>
  <c r="G3581" i="60"/>
  <c r="G3582" i="60"/>
  <c r="G3583" i="60"/>
  <c r="G3584" i="60"/>
  <c r="G3585" i="60"/>
  <c r="G3586" i="60"/>
  <c r="G3587" i="60"/>
  <c r="G3588" i="60"/>
  <c r="G3589" i="60"/>
  <c r="G3590" i="60"/>
  <c r="G3591" i="60"/>
  <c r="G3592" i="60"/>
  <c r="G3593" i="60"/>
  <c r="G3594" i="60"/>
  <c r="G3595" i="60"/>
  <c r="G3596" i="60"/>
  <c r="G3597" i="60"/>
  <c r="G3598" i="60"/>
  <c r="G3599" i="60"/>
  <c r="G3600" i="60"/>
  <c r="G3601" i="60"/>
  <c r="G3602" i="60"/>
  <c r="G3603" i="60"/>
  <c r="G3604" i="60"/>
  <c r="G3605" i="60"/>
  <c r="G3606" i="60"/>
  <c r="G3607" i="60"/>
  <c r="G3608" i="60"/>
  <c r="G3609" i="60"/>
  <c r="G3610" i="60"/>
  <c r="G3611" i="60"/>
  <c r="G3612" i="60"/>
  <c r="G3613" i="60"/>
  <c r="G3614" i="60"/>
  <c r="G3615" i="60"/>
  <c r="G3616" i="60"/>
  <c r="G3617" i="60"/>
  <c r="G3618" i="60"/>
  <c r="G3619" i="60"/>
  <c r="G3620" i="60"/>
  <c r="G3621" i="60"/>
  <c r="G3622" i="60"/>
  <c r="G3623" i="60"/>
  <c r="G3624" i="60"/>
  <c r="G3625" i="60"/>
  <c r="G3626" i="60"/>
  <c r="G3627" i="60"/>
  <c r="G3628" i="60"/>
  <c r="G3629" i="60"/>
  <c r="G3630" i="60"/>
  <c r="G3631" i="60"/>
  <c r="G3632" i="60"/>
  <c r="G3633" i="60"/>
  <c r="G3634" i="60"/>
  <c r="G3635" i="60"/>
  <c r="G3636" i="60"/>
  <c r="G3637" i="60"/>
  <c r="G3638" i="60"/>
  <c r="G3639" i="60"/>
  <c r="G3640" i="60"/>
  <c r="G3641" i="60"/>
  <c r="G3642" i="60"/>
  <c r="G3643" i="60"/>
  <c r="G3644" i="60"/>
  <c r="G3645" i="60"/>
  <c r="G3646" i="60"/>
  <c r="G3647" i="60"/>
  <c r="G3648" i="60"/>
  <c r="G3649" i="60"/>
  <c r="G3650" i="60"/>
  <c r="G3651" i="60"/>
  <c r="G3652" i="60"/>
  <c r="G3653" i="60"/>
  <c r="G3654" i="60"/>
  <c r="G3655" i="60"/>
  <c r="G3656" i="60"/>
  <c r="G3657" i="60"/>
  <c r="G3658" i="60"/>
  <c r="G3659" i="60"/>
  <c r="G3660" i="60"/>
  <c r="G3661" i="60"/>
  <c r="G3662" i="60"/>
  <c r="G3663" i="60"/>
  <c r="G3664" i="60"/>
  <c r="G3665" i="60"/>
  <c r="G3666" i="60"/>
  <c r="G3667" i="60"/>
  <c r="G3668" i="60"/>
  <c r="G3669" i="60"/>
  <c r="G3670" i="60"/>
  <c r="G3671" i="60"/>
  <c r="G3672" i="60"/>
  <c r="G3673" i="60"/>
  <c r="G3674" i="60"/>
  <c r="G3675" i="60"/>
  <c r="G3676" i="60"/>
  <c r="G3677" i="60"/>
  <c r="G3678" i="60"/>
  <c r="G3679" i="60"/>
  <c r="G3680" i="60"/>
  <c r="G3681" i="60"/>
  <c r="G3682" i="60"/>
  <c r="G3683" i="60"/>
  <c r="G3684" i="60"/>
  <c r="G3685" i="60"/>
  <c r="G3686" i="60"/>
  <c r="G3687" i="60"/>
  <c r="G3688" i="60"/>
  <c r="G3689" i="60"/>
  <c r="G3690" i="60"/>
  <c r="G3691" i="60"/>
  <c r="G3692" i="60"/>
  <c r="G3693" i="60"/>
  <c r="G3694" i="60"/>
  <c r="G3695" i="60"/>
  <c r="AA2" i="59" l="1"/>
  <c r="V2" i="59"/>
  <c r="S2" i="59"/>
  <c r="B321" i="57" l="1"/>
  <c r="U3" i="60" l="1"/>
  <c r="C1" i="9" l="1"/>
  <c r="B1" i="9"/>
  <c r="A1" i="58" s="1"/>
  <c r="D15" i="58" s="1"/>
  <c r="FA255" i="71" l="1"/>
  <c r="EY255" i="71"/>
  <c r="FA254" i="71"/>
  <c r="EY254" i="71"/>
  <c r="FA253" i="71"/>
  <c r="EY253" i="71"/>
  <c r="FA252" i="71"/>
  <c r="EY252" i="71"/>
  <c r="FA251" i="71"/>
  <c r="EY251" i="71"/>
  <c r="FA250" i="71"/>
  <c r="EY250" i="71"/>
  <c r="FA249" i="71"/>
  <c r="EY249" i="71"/>
  <c r="FA248" i="71"/>
  <c r="EY248" i="71"/>
  <c r="FA247" i="71"/>
  <c r="EY247" i="71"/>
  <c r="FA246" i="71"/>
  <c r="EY246" i="71"/>
  <c r="FA245" i="71"/>
  <c r="EY245" i="71"/>
  <c r="FA244" i="71"/>
  <c r="EY244" i="71"/>
  <c r="FA243" i="71"/>
  <c r="EY243" i="71"/>
  <c r="FA242" i="71"/>
  <c r="EY242" i="71"/>
  <c r="FA241" i="71"/>
  <c r="EY241" i="71"/>
  <c r="FA240" i="71"/>
  <c r="EY240" i="71"/>
  <c r="FA239" i="71"/>
  <c r="EY239" i="71"/>
  <c r="FA238" i="71"/>
  <c r="EY238" i="71"/>
  <c r="FA237" i="71"/>
  <c r="EY237" i="71"/>
  <c r="FA236" i="71"/>
  <c r="EY236" i="71"/>
  <c r="FA235" i="71"/>
  <c r="EY235" i="71"/>
  <c r="FA234" i="71"/>
  <c r="EY234" i="71"/>
  <c r="FA233" i="71"/>
  <c r="EY233" i="71"/>
  <c r="FA232" i="71"/>
  <c r="EY232" i="71"/>
  <c r="FA231" i="71"/>
  <c r="EY231" i="71"/>
  <c r="FA230" i="71"/>
  <c r="EY230" i="71"/>
  <c r="FA229" i="71"/>
  <c r="EY229" i="71"/>
  <c r="FA228" i="71"/>
  <c r="EY228" i="71"/>
  <c r="FA227" i="71"/>
  <c r="EY227" i="71"/>
  <c r="FA226" i="71"/>
  <c r="EY226" i="71"/>
  <c r="FA225" i="71"/>
  <c r="EY225" i="71"/>
  <c r="FA224" i="71"/>
  <c r="EY224" i="71"/>
  <c r="FA223" i="71"/>
  <c r="EY223" i="71"/>
  <c r="FA222" i="71"/>
  <c r="EY222" i="71"/>
  <c r="FA221" i="71"/>
  <c r="EY221" i="71"/>
  <c r="FA220" i="71"/>
  <c r="EY220" i="71"/>
  <c r="FA219" i="71"/>
  <c r="EY219" i="71"/>
  <c r="FA218" i="71"/>
  <c r="EY218" i="71"/>
  <c r="FA217" i="71"/>
  <c r="EY217" i="71"/>
  <c r="FA216" i="71"/>
  <c r="EY216" i="71"/>
  <c r="FA215" i="71"/>
  <c r="EY215" i="71"/>
  <c r="FA214" i="71"/>
  <c r="EY214" i="71"/>
  <c r="FA213" i="71"/>
  <c r="EY213" i="71"/>
  <c r="FA212" i="71"/>
  <c r="EY212" i="71"/>
  <c r="FA211" i="71"/>
  <c r="EY211" i="71"/>
  <c r="FA210" i="71"/>
  <c r="EY210" i="71"/>
  <c r="FA209" i="71"/>
  <c r="EY209" i="71"/>
  <c r="FA208" i="71"/>
  <c r="EY208" i="71"/>
  <c r="FA207" i="71"/>
  <c r="EY207" i="71"/>
  <c r="FA206" i="71"/>
  <c r="EY206" i="71"/>
  <c r="BC255" i="63"/>
  <c r="BA255" i="63"/>
  <c r="BC254" i="63"/>
  <c r="BA254" i="63"/>
  <c r="BC253" i="63"/>
  <c r="BA253" i="63"/>
  <c r="BC252" i="63"/>
  <c r="BA252" i="63"/>
  <c r="BC251" i="63"/>
  <c r="BA251" i="63"/>
  <c r="BC250" i="63"/>
  <c r="BA250" i="63"/>
  <c r="BC249" i="63"/>
  <c r="BA249" i="63"/>
  <c r="BC248" i="63"/>
  <c r="BA248" i="63"/>
  <c r="BC247" i="63"/>
  <c r="BA247" i="63"/>
  <c r="BC246" i="63"/>
  <c r="BA246" i="63"/>
  <c r="BC245" i="63"/>
  <c r="BA245" i="63"/>
  <c r="BC244" i="63"/>
  <c r="BA244" i="63"/>
  <c r="BC243" i="63"/>
  <c r="BA243" i="63"/>
  <c r="BC242" i="63"/>
  <c r="BA242" i="63"/>
  <c r="BC241" i="63"/>
  <c r="BA241" i="63"/>
  <c r="BC240" i="63"/>
  <c r="BA240" i="63"/>
  <c r="BC239" i="63"/>
  <c r="BA239" i="63"/>
  <c r="BC238" i="63"/>
  <c r="BA238" i="63"/>
  <c r="BC237" i="63"/>
  <c r="BA237" i="63"/>
  <c r="BC236" i="63"/>
  <c r="BA236" i="63"/>
  <c r="BC235" i="63"/>
  <c r="BA235" i="63"/>
  <c r="BC234" i="63"/>
  <c r="BA234" i="63"/>
  <c r="BC233" i="63"/>
  <c r="BA233" i="63"/>
  <c r="BC232" i="63"/>
  <c r="BA232" i="63"/>
  <c r="BC231" i="63"/>
  <c r="BA231" i="63"/>
  <c r="BC230" i="63"/>
  <c r="BA230" i="63"/>
  <c r="BC229" i="63"/>
  <c r="BA229" i="63"/>
  <c r="BC228" i="63"/>
  <c r="BA228" i="63"/>
  <c r="BC227" i="63"/>
  <c r="BA227" i="63"/>
  <c r="BC226" i="63"/>
  <c r="BA226" i="63"/>
  <c r="BC225" i="63"/>
  <c r="BA225" i="63"/>
  <c r="BC224" i="63"/>
  <c r="BA224" i="63"/>
  <c r="BC223" i="63"/>
  <c r="BA223" i="63"/>
  <c r="BC222" i="63"/>
  <c r="BA222" i="63"/>
  <c r="BC221" i="63"/>
  <c r="BA221" i="63"/>
  <c r="BC220" i="63"/>
  <c r="BA220" i="63"/>
  <c r="BC219" i="63"/>
  <c r="BA219" i="63"/>
  <c r="BC218" i="63"/>
  <c r="BA218" i="63"/>
  <c r="BC217" i="63"/>
  <c r="BA217" i="63"/>
  <c r="BC216" i="63"/>
  <c r="BA216" i="63"/>
  <c r="BC215" i="63"/>
  <c r="BA215" i="63"/>
  <c r="BC214" i="63"/>
  <c r="BA214" i="63"/>
  <c r="BC213" i="63"/>
  <c r="BA213" i="63"/>
  <c r="BC212" i="63"/>
  <c r="BA212" i="63"/>
  <c r="BC211" i="63"/>
  <c r="BA211" i="63"/>
  <c r="BC210" i="63"/>
  <c r="BA210" i="63"/>
  <c r="BC209" i="63"/>
  <c r="BA209" i="63"/>
  <c r="BC208" i="63"/>
  <c r="BA208" i="63"/>
  <c r="BC207" i="63"/>
  <c r="BA207" i="63"/>
  <c r="BC206" i="63"/>
  <c r="BA206" i="63"/>
  <c r="BC205" i="63"/>
  <c r="BA205" i="63"/>
  <c r="BC204" i="63"/>
  <c r="BA204" i="63"/>
  <c r="BC203" i="63"/>
  <c r="BA203" i="63"/>
  <c r="BC202" i="63"/>
  <c r="BA202" i="63"/>
  <c r="BC201" i="63"/>
  <c r="BA201" i="63"/>
  <c r="BC200" i="63"/>
  <c r="BA200" i="63"/>
  <c r="BC199" i="63"/>
  <c r="BA199" i="63"/>
  <c r="BC255" i="62"/>
  <c r="BA255" i="62"/>
  <c r="BC254" i="62"/>
  <c r="BA254" i="62"/>
  <c r="BC253" i="62"/>
  <c r="BA253" i="62"/>
  <c r="BC252" i="62"/>
  <c r="BA252" i="62"/>
  <c r="BC251" i="62"/>
  <c r="BA251" i="62"/>
  <c r="BC250" i="62"/>
  <c r="BA250" i="62"/>
  <c r="BC249" i="62"/>
  <c r="BA249" i="62"/>
  <c r="BC248" i="62"/>
  <c r="BA248" i="62"/>
  <c r="BC247" i="62"/>
  <c r="BA247" i="62"/>
  <c r="BC246" i="62"/>
  <c r="BA246" i="62"/>
  <c r="BC245" i="62"/>
  <c r="BA245" i="62"/>
  <c r="BC244" i="62"/>
  <c r="BA244" i="62"/>
  <c r="BC243" i="62"/>
  <c r="BA243" i="62"/>
  <c r="BC242" i="62"/>
  <c r="BA242" i="62"/>
  <c r="BC241" i="62"/>
  <c r="BA241" i="62"/>
  <c r="BC240" i="62"/>
  <c r="BA240" i="62"/>
  <c r="BC239" i="62"/>
  <c r="BA239" i="62"/>
  <c r="BC238" i="62"/>
  <c r="BA238" i="62"/>
  <c r="BC237" i="62"/>
  <c r="BA237" i="62"/>
  <c r="BC236" i="62"/>
  <c r="BA236" i="62"/>
  <c r="BC235" i="62"/>
  <c r="BA235" i="62"/>
  <c r="BC234" i="62"/>
  <c r="BA234" i="62"/>
  <c r="BC233" i="62"/>
  <c r="BA233" i="62"/>
  <c r="BC232" i="62"/>
  <c r="BA232" i="62"/>
  <c r="BC231" i="62"/>
  <c r="BA231" i="62"/>
  <c r="BC230" i="62"/>
  <c r="BA230" i="62"/>
  <c r="BC229" i="62"/>
  <c r="BA229" i="62"/>
  <c r="BC228" i="62"/>
  <c r="BA228" i="62"/>
  <c r="BC227" i="62"/>
  <c r="BA227" i="62"/>
  <c r="BC226" i="62"/>
  <c r="BA226" i="62"/>
  <c r="BC225" i="62"/>
  <c r="BA225" i="62"/>
  <c r="BC224" i="62"/>
  <c r="BA224" i="62"/>
  <c r="BC223" i="62"/>
  <c r="BA223" i="62"/>
  <c r="BC222" i="62"/>
  <c r="BA222" i="62"/>
  <c r="BC221" i="62"/>
  <c r="BA221" i="62"/>
  <c r="BC220" i="62"/>
  <c r="BA220" i="62"/>
  <c r="BC219" i="62"/>
  <c r="BA219" i="62"/>
  <c r="BC218" i="62"/>
  <c r="BA218" i="62"/>
  <c r="BC217" i="62"/>
  <c r="BA217" i="62"/>
  <c r="BC216" i="62"/>
  <c r="BA216" i="62"/>
  <c r="BC215" i="62"/>
  <c r="BA215" i="62"/>
  <c r="BC214" i="62"/>
  <c r="BA214" i="62"/>
  <c r="BC213" i="62"/>
  <c r="BA213" i="62"/>
  <c r="BC212" i="62"/>
  <c r="BA212" i="62"/>
  <c r="BC211" i="62"/>
  <c r="BA211" i="62"/>
  <c r="BC210" i="62"/>
  <c r="BA210" i="62"/>
  <c r="BC209" i="62"/>
  <c r="BA209" i="62"/>
  <c r="BC208" i="62"/>
  <c r="BA208" i="62"/>
  <c r="BC207" i="62"/>
  <c r="BA207" i="62"/>
  <c r="BC206" i="62"/>
  <c r="BA206" i="62"/>
  <c r="BC205" i="62"/>
  <c r="BA205" i="62"/>
  <c r="BC204" i="62"/>
  <c r="BA204" i="62"/>
  <c r="BC203" i="62"/>
  <c r="BA203" i="62"/>
  <c r="BC202" i="62"/>
  <c r="BA202" i="62"/>
  <c r="BC201" i="62"/>
  <c r="BA201" i="62"/>
  <c r="BC200" i="62"/>
  <c r="BA200" i="62"/>
  <c r="BC199" i="62"/>
  <c r="BA199" i="62"/>
  <c r="BU255" i="61"/>
  <c r="BS255" i="61"/>
  <c r="BU254" i="61"/>
  <c r="BS254" i="61"/>
  <c r="BU253" i="61"/>
  <c r="BS253" i="61"/>
  <c r="BU252" i="61"/>
  <c r="BS252" i="61"/>
  <c r="BU251" i="61"/>
  <c r="BS251" i="61"/>
  <c r="BU250" i="61"/>
  <c r="BS250" i="61"/>
  <c r="BU249" i="61"/>
  <c r="BS249" i="61"/>
  <c r="BU248" i="61"/>
  <c r="BS248" i="61"/>
  <c r="BU247" i="61"/>
  <c r="BS247" i="61"/>
  <c r="BU246" i="61"/>
  <c r="BS246" i="61"/>
  <c r="BU245" i="61"/>
  <c r="BS245" i="61"/>
  <c r="BU244" i="61"/>
  <c r="BS244" i="61"/>
  <c r="BU243" i="61"/>
  <c r="BS243" i="61"/>
  <c r="BU242" i="61"/>
  <c r="BS242" i="61"/>
  <c r="BU241" i="61"/>
  <c r="BS241" i="61"/>
  <c r="BU240" i="61"/>
  <c r="BS240" i="61"/>
  <c r="BU239" i="61"/>
  <c r="BS239" i="61"/>
  <c r="BU238" i="61"/>
  <c r="BS238" i="61"/>
  <c r="BU237" i="61"/>
  <c r="BS237" i="61"/>
  <c r="BU236" i="61"/>
  <c r="BS236" i="61"/>
  <c r="BU235" i="61"/>
  <c r="BS235" i="61"/>
  <c r="BU234" i="61"/>
  <c r="BS234" i="61"/>
  <c r="BU233" i="61"/>
  <c r="BS233" i="61"/>
  <c r="BU232" i="61"/>
  <c r="BS232" i="61"/>
  <c r="BU231" i="61"/>
  <c r="BS231" i="61"/>
  <c r="BU230" i="61"/>
  <c r="BS230" i="61"/>
  <c r="BU229" i="61"/>
  <c r="BS229" i="61"/>
  <c r="BU228" i="61"/>
  <c r="BS228" i="61"/>
  <c r="BU227" i="61"/>
  <c r="BS227" i="61"/>
  <c r="BU226" i="61"/>
  <c r="BS226" i="61"/>
  <c r="BU225" i="61"/>
  <c r="BS225" i="61"/>
  <c r="BU224" i="61"/>
  <c r="BS224" i="61"/>
  <c r="BU223" i="61"/>
  <c r="BS223" i="61"/>
  <c r="BU222" i="61"/>
  <c r="BS222" i="61"/>
  <c r="BU221" i="61"/>
  <c r="BS221" i="61"/>
  <c r="BU220" i="61"/>
  <c r="BS220" i="61"/>
  <c r="BU219" i="61"/>
  <c r="BS219" i="61"/>
  <c r="BU218" i="61"/>
  <c r="BS218" i="61"/>
  <c r="BU217" i="61"/>
  <c r="BS217" i="61"/>
  <c r="BU216" i="61"/>
  <c r="BS216" i="61"/>
  <c r="BU215" i="61"/>
  <c r="BS215" i="61"/>
  <c r="BU214" i="61"/>
  <c r="BS214" i="61"/>
  <c r="BU213" i="61"/>
  <c r="BS213" i="61"/>
  <c r="BU212" i="61"/>
  <c r="BS212" i="61"/>
  <c r="BU211" i="61"/>
  <c r="BS211" i="61"/>
  <c r="BU210" i="61"/>
  <c r="BS210" i="61"/>
  <c r="BU209" i="61"/>
  <c r="BS209" i="61"/>
  <c r="BU208" i="61"/>
  <c r="BS208" i="61"/>
  <c r="BU207" i="61"/>
  <c r="BS207" i="61"/>
  <c r="BU206" i="61"/>
  <c r="BS206" i="61"/>
  <c r="BU205" i="61"/>
  <c r="BS205" i="61"/>
  <c r="BU204" i="61"/>
  <c r="BS204" i="61"/>
  <c r="BU203" i="61"/>
  <c r="BS203" i="61"/>
  <c r="BU202" i="61"/>
  <c r="BS202" i="61"/>
  <c r="BU201" i="61"/>
  <c r="BS201" i="61"/>
  <c r="BU200" i="61"/>
  <c r="BS200" i="61"/>
  <c r="BU199" i="61"/>
  <c r="BS199" i="61"/>
  <c r="W331" i="37"/>
  <c r="W330" i="37"/>
  <c r="W329" i="37"/>
  <c r="AG325" i="37"/>
  <c r="AF325" i="37"/>
  <c r="AE325" i="37"/>
  <c r="AD325" i="37"/>
  <c r="AB325" i="37"/>
  <c r="AA325" i="37"/>
  <c r="Z325" i="37"/>
  <c r="Y325" i="37"/>
  <c r="X325" i="37"/>
  <c r="W325" i="37"/>
  <c r="V325" i="37"/>
  <c r="U325" i="37"/>
  <c r="T325" i="37"/>
  <c r="S325" i="37"/>
  <c r="AG323" i="37"/>
  <c r="AF323" i="37"/>
  <c r="AE323" i="37"/>
  <c r="AD323" i="37"/>
  <c r="AB323" i="37"/>
  <c r="AA323" i="37"/>
  <c r="Z323" i="37"/>
  <c r="Y323" i="37"/>
  <c r="X323" i="37"/>
  <c r="W323" i="37"/>
  <c r="V323" i="37"/>
  <c r="U323" i="37"/>
  <c r="T323" i="37"/>
  <c r="S323" i="37"/>
  <c r="AG321" i="37"/>
  <c r="AF321" i="37"/>
  <c r="AE321" i="37"/>
  <c r="AD321" i="37"/>
  <c r="AB321" i="37"/>
  <c r="AA321" i="37"/>
  <c r="Z321" i="37"/>
  <c r="Y321" i="37"/>
  <c r="X321" i="37"/>
  <c r="W321" i="37"/>
  <c r="V321" i="37"/>
  <c r="U321" i="37"/>
  <c r="T321" i="37"/>
  <c r="S321" i="37"/>
  <c r="AG320" i="37"/>
  <c r="AF320" i="37"/>
  <c r="AE320" i="37"/>
  <c r="AD320" i="37"/>
  <c r="AB320" i="37"/>
  <c r="AA320" i="37"/>
  <c r="Z320" i="37"/>
  <c r="Y320" i="37"/>
  <c r="X320" i="37"/>
  <c r="W320" i="37"/>
  <c r="V320" i="37"/>
  <c r="U320" i="37"/>
  <c r="T320" i="37"/>
  <c r="S320" i="37"/>
  <c r="AG319" i="37"/>
  <c r="AF319" i="37"/>
  <c r="AE319" i="37"/>
  <c r="AD319" i="37"/>
  <c r="AB319" i="37"/>
  <c r="AA319" i="37"/>
  <c r="Z319" i="37"/>
  <c r="Y319" i="37"/>
  <c r="X319" i="37"/>
  <c r="W319" i="37"/>
  <c r="V319" i="37"/>
  <c r="U319" i="37"/>
  <c r="T319" i="37"/>
  <c r="S319" i="37"/>
  <c r="AG318" i="37"/>
  <c r="AF318" i="37"/>
  <c r="AE318" i="37"/>
  <c r="AD318" i="37"/>
  <c r="AB318" i="37"/>
  <c r="AA318" i="37"/>
  <c r="Z318" i="37"/>
  <c r="Y318" i="37"/>
  <c r="X318" i="37"/>
  <c r="W318" i="37"/>
  <c r="V318" i="37"/>
  <c r="U318" i="37"/>
  <c r="T318" i="37"/>
  <c r="S318" i="37"/>
  <c r="AG317" i="37"/>
  <c r="AF317" i="37"/>
  <c r="AE317" i="37"/>
  <c r="AD317" i="37"/>
  <c r="AB317" i="37"/>
  <c r="AA317" i="37"/>
  <c r="Z317" i="37"/>
  <c r="Y317" i="37"/>
  <c r="X317" i="37"/>
  <c r="W317" i="37"/>
  <c r="V317" i="37"/>
  <c r="U317" i="37"/>
  <c r="T317" i="37"/>
  <c r="S317" i="37"/>
  <c r="AG316" i="37"/>
  <c r="AF316" i="37"/>
  <c r="AE316" i="37"/>
  <c r="AD316" i="37"/>
  <c r="AB316" i="37"/>
  <c r="AA316" i="37"/>
  <c r="Z316" i="37"/>
  <c r="Y316" i="37"/>
  <c r="X316" i="37"/>
  <c r="W316" i="37"/>
  <c r="V316" i="37"/>
  <c r="U316" i="37"/>
  <c r="T316" i="37"/>
  <c r="S316" i="37"/>
  <c r="AG315" i="37"/>
  <c r="AF315" i="37"/>
  <c r="AE315" i="37"/>
  <c r="AD315" i="37"/>
  <c r="AB315" i="37"/>
  <c r="AA315" i="37"/>
  <c r="Z315" i="37"/>
  <c r="Y315" i="37"/>
  <c r="X315" i="37"/>
  <c r="W315" i="37"/>
  <c r="V315" i="37"/>
  <c r="U315" i="37"/>
  <c r="T315" i="37"/>
  <c r="S315" i="37"/>
  <c r="AG314" i="37"/>
  <c r="AF314" i="37"/>
  <c r="AE314" i="37"/>
  <c r="AD314" i="37"/>
  <c r="AB314" i="37"/>
  <c r="AA314" i="37"/>
  <c r="Z314" i="37"/>
  <c r="Y314" i="37"/>
  <c r="X314" i="37"/>
  <c r="W314" i="37"/>
  <c r="V314" i="37"/>
  <c r="U314" i="37"/>
  <c r="T314" i="37"/>
  <c r="S314" i="37"/>
  <c r="AG313" i="37"/>
  <c r="AF313" i="37"/>
  <c r="AE313" i="37"/>
  <c r="AD313" i="37"/>
  <c r="AB313" i="37"/>
  <c r="AA313" i="37"/>
  <c r="Z313" i="37"/>
  <c r="Y313" i="37"/>
  <c r="X313" i="37"/>
  <c r="W313" i="37"/>
  <c r="V313" i="37"/>
  <c r="U313" i="37"/>
  <c r="T313" i="37"/>
  <c r="S313" i="37"/>
  <c r="AG312" i="37"/>
  <c r="AF312" i="37"/>
  <c r="AE312" i="37"/>
  <c r="AD312" i="37"/>
  <c r="AB312" i="37"/>
  <c r="AA312" i="37"/>
  <c r="Z312" i="37"/>
  <c r="Y312" i="37"/>
  <c r="X312" i="37"/>
  <c r="W312" i="37"/>
  <c r="V312" i="37"/>
  <c r="U312" i="37"/>
  <c r="T312" i="37"/>
  <c r="S312" i="37"/>
  <c r="AG311" i="37"/>
  <c r="AF311" i="37"/>
  <c r="AE311" i="37"/>
  <c r="AD311" i="37"/>
  <c r="AB311" i="37"/>
  <c r="AA311" i="37"/>
  <c r="Z311" i="37"/>
  <c r="Y311" i="37"/>
  <c r="X311" i="37"/>
  <c r="W311" i="37"/>
  <c r="V311" i="37"/>
  <c r="U311" i="37"/>
  <c r="T311" i="37"/>
  <c r="S311" i="37"/>
  <c r="AG310" i="37"/>
  <c r="AF310" i="37"/>
  <c r="AE310" i="37"/>
  <c r="AD310" i="37"/>
  <c r="AB310" i="37"/>
  <c r="AA310" i="37"/>
  <c r="Z310" i="37"/>
  <c r="Y310" i="37"/>
  <c r="X310" i="37"/>
  <c r="W310" i="37"/>
  <c r="V310" i="37"/>
  <c r="U310" i="37"/>
  <c r="T310" i="37"/>
  <c r="S310" i="37"/>
  <c r="AG308" i="37"/>
  <c r="AF308" i="37"/>
  <c r="AE308" i="37"/>
  <c r="AD308" i="37"/>
  <c r="AB308" i="37"/>
  <c r="AA308" i="37"/>
  <c r="Z308" i="37"/>
  <c r="Y308" i="37"/>
  <c r="X308" i="37"/>
  <c r="W308" i="37"/>
  <c r="V308" i="37"/>
  <c r="U308" i="37"/>
  <c r="T308" i="37"/>
  <c r="S308" i="37"/>
  <c r="AG307" i="37"/>
  <c r="AF307" i="37"/>
  <c r="AE307" i="37"/>
  <c r="AD307" i="37"/>
  <c r="AB307" i="37"/>
  <c r="AA307" i="37"/>
  <c r="Z307" i="37"/>
  <c r="Y307" i="37"/>
  <c r="X307" i="37"/>
  <c r="W307" i="37"/>
  <c r="V307" i="37"/>
  <c r="U307" i="37"/>
  <c r="T307" i="37"/>
  <c r="S307" i="37"/>
  <c r="AG306" i="37"/>
  <c r="AF306" i="37"/>
  <c r="AE306" i="37"/>
  <c r="AD306" i="37"/>
  <c r="AB306" i="37"/>
  <c r="AA306" i="37"/>
  <c r="Z306" i="37"/>
  <c r="Y306" i="37"/>
  <c r="X306" i="37"/>
  <c r="W306" i="37"/>
  <c r="V306" i="37"/>
  <c r="U306" i="37"/>
  <c r="T306" i="37"/>
  <c r="S306" i="37"/>
  <c r="AG305" i="37"/>
  <c r="AF305" i="37"/>
  <c r="AE305" i="37"/>
  <c r="AD305" i="37"/>
  <c r="AB305" i="37"/>
  <c r="AA305" i="37"/>
  <c r="Z305" i="37"/>
  <c r="Y305" i="37"/>
  <c r="X305" i="37"/>
  <c r="W305" i="37"/>
  <c r="V305" i="37"/>
  <c r="U305" i="37"/>
  <c r="T305" i="37"/>
  <c r="S305" i="37"/>
  <c r="AG304" i="37"/>
  <c r="AF304" i="37"/>
  <c r="AE304" i="37"/>
  <c r="AD304" i="37"/>
  <c r="AB304" i="37"/>
  <c r="AA304" i="37"/>
  <c r="Z304" i="37"/>
  <c r="Y304" i="37"/>
  <c r="X304" i="37"/>
  <c r="W304" i="37"/>
  <c r="V304" i="37"/>
  <c r="U304" i="37"/>
  <c r="T304" i="37"/>
  <c r="S304" i="37"/>
  <c r="AG303" i="37"/>
  <c r="AF303" i="37"/>
  <c r="AE303" i="37"/>
  <c r="AD303" i="37"/>
  <c r="AB303" i="37"/>
  <c r="AA303" i="37"/>
  <c r="Z303" i="37"/>
  <c r="Y303" i="37"/>
  <c r="X303" i="37"/>
  <c r="W303" i="37"/>
  <c r="V303" i="37"/>
  <c r="U303" i="37"/>
  <c r="T303" i="37"/>
  <c r="S303" i="37"/>
  <c r="AG302" i="37"/>
  <c r="AF302" i="37"/>
  <c r="AE302" i="37"/>
  <c r="AD302" i="37"/>
  <c r="AB302" i="37"/>
  <c r="AA302" i="37"/>
  <c r="Z302" i="37"/>
  <c r="Y302" i="37"/>
  <c r="X302" i="37"/>
  <c r="W302" i="37"/>
  <c r="V302" i="37"/>
  <c r="U302" i="37"/>
  <c r="T302" i="37"/>
  <c r="S302" i="37"/>
  <c r="AG301" i="37"/>
  <c r="AF301" i="37"/>
  <c r="AE301" i="37"/>
  <c r="AD301" i="37"/>
  <c r="AB301" i="37"/>
  <c r="AA301" i="37"/>
  <c r="Z301" i="37"/>
  <c r="Y301" i="37"/>
  <c r="X301" i="37"/>
  <c r="W301" i="37"/>
  <c r="V301" i="37"/>
  <c r="U301" i="37"/>
  <c r="T301" i="37"/>
  <c r="S301" i="37"/>
  <c r="AG300" i="37"/>
  <c r="AF300" i="37"/>
  <c r="AE300" i="37"/>
  <c r="AD300" i="37"/>
  <c r="AB300" i="37"/>
  <c r="AA300" i="37"/>
  <c r="Z300" i="37"/>
  <c r="Y300" i="37"/>
  <c r="X300" i="37"/>
  <c r="W300" i="37"/>
  <c r="V300" i="37"/>
  <c r="U300" i="37"/>
  <c r="T300" i="37"/>
  <c r="S300" i="37"/>
  <c r="AG299" i="37"/>
  <c r="AF299" i="37"/>
  <c r="AE299" i="37"/>
  <c r="AD299" i="37"/>
  <c r="AB299" i="37"/>
  <c r="AA299" i="37"/>
  <c r="Z299" i="37"/>
  <c r="Y299" i="37"/>
  <c r="X299" i="37"/>
  <c r="W299" i="37"/>
  <c r="V299" i="37"/>
  <c r="U299" i="37"/>
  <c r="T299" i="37"/>
  <c r="S299" i="37"/>
  <c r="AG297" i="37"/>
  <c r="AF297" i="37"/>
  <c r="AE297" i="37"/>
  <c r="AD297" i="37"/>
  <c r="AB297" i="37"/>
  <c r="AA297" i="37"/>
  <c r="Z297" i="37"/>
  <c r="Y297" i="37"/>
  <c r="X297" i="37"/>
  <c r="W297" i="37"/>
  <c r="V297" i="37"/>
  <c r="U297" i="37"/>
  <c r="T297" i="37"/>
  <c r="S297" i="37"/>
  <c r="AG296" i="37"/>
  <c r="AF296" i="37"/>
  <c r="AE296" i="37"/>
  <c r="AD296" i="37"/>
  <c r="AB296" i="37"/>
  <c r="AA296" i="37"/>
  <c r="Z296" i="37"/>
  <c r="Y296" i="37"/>
  <c r="X296" i="37"/>
  <c r="W296" i="37"/>
  <c r="V296" i="37"/>
  <c r="U296" i="37"/>
  <c r="T296" i="37"/>
  <c r="S296" i="37"/>
  <c r="AG295" i="37"/>
  <c r="AF295" i="37"/>
  <c r="AE295" i="37"/>
  <c r="AD295" i="37"/>
  <c r="AB295" i="37"/>
  <c r="AA295" i="37"/>
  <c r="Z295" i="37"/>
  <c r="Y295" i="37"/>
  <c r="X295" i="37"/>
  <c r="W295" i="37"/>
  <c r="V295" i="37"/>
  <c r="U295" i="37"/>
  <c r="T295" i="37"/>
  <c r="S295" i="37"/>
  <c r="AG294" i="37"/>
  <c r="AF294" i="37"/>
  <c r="AE294" i="37"/>
  <c r="AD294" i="37"/>
  <c r="AB294" i="37"/>
  <c r="AA294" i="37"/>
  <c r="Z294" i="37"/>
  <c r="Y294" i="37"/>
  <c r="X294" i="37"/>
  <c r="W294" i="37"/>
  <c r="V294" i="37"/>
  <c r="U294" i="37"/>
  <c r="T294" i="37"/>
  <c r="S294" i="37"/>
  <c r="AG293" i="37"/>
  <c r="AF293" i="37"/>
  <c r="AE293" i="37"/>
  <c r="AD293" i="37"/>
  <c r="AB293" i="37"/>
  <c r="AA293" i="37"/>
  <c r="Z293" i="37"/>
  <c r="Y293" i="37"/>
  <c r="X293" i="37"/>
  <c r="W293" i="37"/>
  <c r="V293" i="37"/>
  <c r="U293" i="37"/>
  <c r="T293" i="37"/>
  <c r="S293" i="37"/>
  <c r="AG292" i="37"/>
  <c r="AF292" i="37"/>
  <c r="AE292" i="37"/>
  <c r="AD292" i="37"/>
  <c r="AB292" i="37"/>
  <c r="AA292" i="37"/>
  <c r="Z292" i="37"/>
  <c r="Y292" i="37"/>
  <c r="X292" i="37"/>
  <c r="W292" i="37"/>
  <c r="V292" i="37"/>
  <c r="U292" i="37"/>
  <c r="T292" i="37"/>
  <c r="S292" i="37"/>
  <c r="AG291" i="37"/>
  <c r="AF291" i="37"/>
  <c r="AE291" i="37"/>
  <c r="AD291" i="37"/>
  <c r="AB291" i="37"/>
  <c r="AA291" i="37"/>
  <c r="Z291" i="37"/>
  <c r="Y291" i="37"/>
  <c r="X291" i="37"/>
  <c r="W291" i="37"/>
  <c r="V291" i="37"/>
  <c r="U291" i="37"/>
  <c r="T291" i="37"/>
  <c r="S291" i="37"/>
  <c r="AG290" i="37"/>
  <c r="AF290" i="37"/>
  <c r="AE290" i="37"/>
  <c r="AD290" i="37"/>
  <c r="AB290" i="37"/>
  <c r="AA290" i="37"/>
  <c r="Z290" i="37"/>
  <c r="Y290" i="37"/>
  <c r="X290" i="37"/>
  <c r="W290" i="37"/>
  <c r="V290" i="37"/>
  <c r="U290" i="37"/>
  <c r="T290" i="37"/>
  <c r="S290" i="37"/>
  <c r="AG289" i="37"/>
  <c r="AF289" i="37"/>
  <c r="AE289" i="37"/>
  <c r="AD289" i="37"/>
  <c r="AB289" i="37"/>
  <c r="AA289" i="37"/>
  <c r="Z289" i="37"/>
  <c r="Y289" i="37"/>
  <c r="X289" i="37"/>
  <c r="W289" i="37"/>
  <c r="V289" i="37"/>
  <c r="U289" i="37"/>
  <c r="T289" i="37"/>
  <c r="S289" i="37"/>
  <c r="AG288" i="37"/>
  <c r="AF288" i="37"/>
  <c r="AE288" i="37"/>
  <c r="AD288" i="37"/>
  <c r="AB288" i="37"/>
  <c r="AA288" i="37"/>
  <c r="Z288" i="37"/>
  <c r="Y288" i="37"/>
  <c r="X288" i="37"/>
  <c r="W288" i="37"/>
  <c r="V288" i="37"/>
  <c r="U288" i="37"/>
  <c r="T288" i="37"/>
  <c r="S288" i="37"/>
  <c r="AG287" i="37"/>
  <c r="AF287" i="37"/>
  <c r="AE287" i="37"/>
  <c r="AD287" i="37"/>
  <c r="AB287" i="37"/>
  <c r="AA287" i="37"/>
  <c r="Z287" i="37"/>
  <c r="Y287" i="37"/>
  <c r="X287" i="37"/>
  <c r="W287" i="37"/>
  <c r="V287" i="37"/>
  <c r="U287" i="37"/>
  <c r="T287" i="37"/>
  <c r="S287" i="37"/>
  <c r="AG286" i="37"/>
  <c r="AF286" i="37"/>
  <c r="AE286" i="37"/>
  <c r="AD286" i="37"/>
  <c r="AB286" i="37"/>
  <c r="AA286" i="37"/>
  <c r="Z286" i="37"/>
  <c r="Y286" i="37"/>
  <c r="X286" i="37"/>
  <c r="W286" i="37"/>
  <c r="V286" i="37"/>
  <c r="U286" i="37"/>
  <c r="T286" i="37"/>
  <c r="S286" i="37"/>
  <c r="AG285" i="37"/>
  <c r="AF285" i="37"/>
  <c r="AE285" i="37"/>
  <c r="AD285" i="37"/>
  <c r="AB285" i="37"/>
  <c r="AA285" i="37"/>
  <c r="Z285" i="37"/>
  <c r="Y285" i="37"/>
  <c r="X285" i="37"/>
  <c r="W285" i="37"/>
  <c r="V285" i="37"/>
  <c r="U285" i="37"/>
  <c r="T285" i="37"/>
  <c r="S285" i="37"/>
  <c r="AG284" i="37"/>
  <c r="AF284" i="37"/>
  <c r="AE284" i="37"/>
  <c r="AD284" i="37"/>
  <c r="AB284" i="37"/>
  <c r="AA284" i="37"/>
  <c r="Z284" i="37"/>
  <c r="Y284" i="37"/>
  <c r="X284" i="37"/>
  <c r="W284" i="37"/>
  <c r="V284" i="37"/>
  <c r="U284" i="37"/>
  <c r="T284" i="37"/>
  <c r="S284" i="37"/>
  <c r="AG283" i="37"/>
  <c r="AF283" i="37"/>
  <c r="AE283" i="37"/>
  <c r="AD283" i="37"/>
  <c r="AB283" i="37"/>
  <c r="AA283" i="37"/>
  <c r="Z283" i="37"/>
  <c r="Y283" i="37"/>
  <c r="X283" i="37"/>
  <c r="W283" i="37"/>
  <c r="V283" i="37"/>
  <c r="U283" i="37"/>
  <c r="T283" i="37"/>
  <c r="S283" i="37"/>
  <c r="AG282" i="37"/>
  <c r="AF282" i="37"/>
  <c r="AE282" i="37"/>
  <c r="AD282" i="37"/>
  <c r="AB282" i="37"/>
  <c r="AA282" i="37"/>
  <c r="Z282" i="37"/>
  <c r="Y282" i="37"/>
  <c r="X282" i="37"/>
  <c r="W282" i="37"/>
  <c r="V282" i="37"/>
  <c r="U282" i="37"/>
  <c r="T282" i="37"/>
  <c r="S282" i="37"/>
  <c r="AG281" i="37"/>
  <c r="AF281" i="37"/>
  <c r="AE281" i="37"/>
  <c r="AD281" i="37"/>
  <c r="AB281" i="37"/>
  <c r="AA281" i="37"/>
  <c r="Z281" i="37"/>
  <c r="Y281" i="37"/>
  <c r="X281" i="37"/>
  <c r="W281" i="37"/>
  <c r="V281" i="37"/>
  <c r="U281" i="37"/>
  <c r="T281" i="37"/>
  <c r="S281" i="37"/>
  <c r="AG280" i="37"/>
  <c r="AF280" i="37"/>
  <c r="AE280" i="37"/>
  <c r="AD280" i="37"/>
  <c r="AB280" i="37"/>
  <c r="AA280" i="37"/>
  <c r="Z280" i="37"/>
  <c r="Y280" i="37"/>
  <c r="X280" i="37"/>
  <c r="W280" i="37"/>
  <c r="V280" i="37"/>
  <c r="U280" i="37"/>
  <c r="T280" i="37"/>
  <c r="S280" i="37"/>
  <c r="AG279" i="37"/>
  <c r="AF279" i="37"/>
  <c r="AE279" i="37"/>
  <c r="AD279" i="37"/>
  <c r="AB279" i="37"/>
  <c r="AA279" i="37"/>
  <c r="Z279" i="37"/>
  <c r="Y279" i="37"/>
  <c r="X279" i="37"/>
  <c r="W279" i="37"/>
  <c r="V279" i="37"/>
  <c r="U279" i="37"/>
  <c r="T279" i="37"/>
  <c r="S279" i="37"/>
  <c r="AG278" i="37"/>
  <c r="AF278" i="37"/>
  <c r="AE278" i="37"/>
  <c r="AD278" i="37"/>
  <c r="AB278" i="37"/>
  <c r="AA278" i="37"/>
  <c r="Z278" i="37"/>
  <c r="Y278" i="37"/>
  <c r="X278" i="37"/>
  <c r="W278" i="37"/>
  <c r="V278" i="37"/>
  <c r="U278" i="37"/>
  <c r="T278" i="37"/>
  <c r="S278" i="37"/>
  <c r="AG277" i="37"/>
  <c r="AF277" i="37"/>
  <c r="AE277" i="37"/>
  <c r="AD277" i="37"/>
  <c r="AB277" i="37"/>
  <c r="AA277" i="37"/>
  <c r="Z277" i="37"/>
  <c r="Y277" i="37"/>
  <c r="X277" i="37"/>
  <c r="W277" i="37"/>
  <c r="V277" i="37"/>
  <c r="U277" i="37"/>
  <c r="T277" i="37"/>
  <c r="S277" i="37"/>
  <c r="AG276" i="37"/>
  <c r="AF276" i="37"/>
  <c r="AE276" i="37"/>
  <c r="AD276" i="37"/>
  <c r="AB276" i="37"/>
  <c r="AA276" i="37"/>
  <c r="Z276" i="37"/>
  <c r="Y276" i="37"/>
  <c r="X276" i="37"/>
  <c r="W276" i="37"/>
  <c r="V276" i="37"/>
  <c r="U276" i="37"/>
  <c r="T276" i="37"/>
  <c r="S276" i="37"/>
  <c r="AG275" i="37"/>
  <c r="AF275" i="37"/>
  <c r="AE275" i="37"/>
  <c r="AD275" i="37"/>
  <c r="AB275" i="37"/>
  <c r="AA275" i="37"/>
  <c r="Z275" i="37"/>
  <c r="Y275" i="37"/>
  <c r="X275" i="37"/>
  <c r="W275" i="37"/>
  <c r="V275" i="37"/>
  <c r="U275" i="37"/>
  <c r="T275" i="37"/>
  <c r="S275" i="37"/>
  <c r="AG274" i="37"/>
  <c r="AF274" i="37"/>
  <c r="AE274" i="37"/>
  <c r="AD274" i="37"/>
  <c r="AB274" i="37"/>
  <c r="AA274" i="37"/>
  <c r="Z274" i="37"/>
  <c r="Y274" i="37"/>
  <c r="X274" i="37"/>
  <c r="W274" i="37"/>
  <c r="V274" i="37"/>
  <c r="U274" i="37"/>
  <c r="T274" i="37"/>
  <c r="S274" i="37"/>
  <c r="AG273" i="37"/>
  <c r="AF273" i="37"/>
  <c r="AE273" i="37"/>
  <c r="AD273" i="37"/>
  <c r="AB273" i="37"/>
  <c r="AA273" i="37"/>
  <c r="Z273" i="37"/>
  <c r="Y273" i="37"/>
  <c r="X273" i="37"/>
  <c r="W273" i="37"/>
  <c r="V273" i="37"/>
  <c r="U273" i="37"/>
  <c r="T273" i="37"/>
  <c r="S273" i="37"/>
  <c r="AG272" i="37"/>
  <c r="AF272" i="37"/>
  <c r="AE272" i="37"/>
  <c r="AD272" i="37"/>
  <c r="AB272" i="37"/>
  <c r="AA272" i="37"/>
  <c r="Z272" i="37"/>
  <c r="Y272" i="37"/>
  <c r="X272" i="37"/>
  <c r="W272" i="37"/>
  <c r="V272" i="37"/>
  <c r="U272" i="37"/>
  <c r="T272" i="37"/>
  <c r="S272" i="37"/>
  <c r="AG271" i="37"/>
  <c r="AF271" i="37"/>
  <c r="AE271" i="37"/>
  <c r="AD271" i="37"/>
  <c r="AB271" i="37"/>
  <c r="AA271" i="37"/>
  <c r="Z271" i="37"/>
  <c r="Y271" i="37"/>
  <c r="X271" i="37"/>
  <c r="W271" i="37"/>
  <c r="V271" i="37"/>
  <c r="U271" i="37"/>
  <c r="T271" i="37"/>
  <c r="S271" i="37"/>
  <c r="AG270" i="37"/>
  <c r="AF270" i="37"/>
  <c r="AE270" i="37"/>
  <c r="AD270" i="37"/>
  <c r="AB270" i="37"/>
  <c r="AA270" i="37"/>
  <c r="Z270" i="37"/>
  <c r="Y270" i="37"/>
  <c r="X270" i="37"/>
  <c r="W270" i="37"/>
  <c r="V270" i="37"/>
  <c r="U270" i="37"/>
  <c r="T270" i="37"/>
  <c r="S270" i="37"/>
  <c r="AG269" i="37"/>
  <c r="AF269" i="37"/>
  <c r="AE269" i="37"/>
  <c r="AD269" i="37"/>
  <c r="AB269" i="37"/>
  <c r="AA269" i="37"/>
  <c r="Z269" i="37"/>
  <c r="Y269" i="37"/>
  <c r="X269" i="37"/>
  <c r="W269" i="37"/>
  <c r="V269" i="37"/>
  <c r="U269" i="37"/>
  <c r="T269" i="37"/>
  <c r="S269" i="37"/>
  <c r="AG268" i="37"/>
  <c r="AF268" i="37"/>
  <c r="AE268" i="37"/>
  <c r="AD268" i="37"/>
  <c r="AB268" i="37"/>
  <c r="AA268" i="37"/>
  <c r="Z268" i="37"/>
  <c r="Y268" i="37"/>
  <c r="X268" i="37"/>
  <c r="W268" i="37"/>
  <c r="V268" i="37"/>
  <c r="U268" i="37"/>
  <c r="T268" i="37"/>
  <c r="S268" i="37"/>
  <c r="AG267" i="37"/>
  <c r="AF267" i="37"/>
  <c r="AE267" i="37"/>
  <c r="AD267" i="37"/>
  <c r="AB267" i="37"/>
  <c r="AA267" i="37"/>
  <c r="Z267" i="37"/>
  <c r="Y267" i="37"/>
  <c r="X267" i="37"/>
  <c r="W267" i="37"/>
  <c r="V267" i="37"/>
  <c r="U267" i="37"/>
  <c r="T267" i="37"/>
  <c r="S267" i="37"/>
  <c r="AG266" i="37"/>
  <c r="AF266" i="37"/>
  <c r="AE266" i="37"/>
  <c r="AD266" i="37"/>
  <c r="AB266" i="37"/>
  <c r="AA266" i="37"/>
  <c r="Z266" i="37"/>
  <c r="Y266" i="37"/>
  <c r="X266" i="37"/>
  <c r="W266" i="37"/>
  <c r="V266" i="37"/>
  <c r="U266" i="37"/>
  <c r="T266" i="37"/>
  <c r="S266" i="37"/>
  <c r="AG265" i="37"/>
  <c r="AF265" i="37"/>
  <c r="AE265" i="37"/>
  <c r="AD265" i="37"/>
  <c r="AB265" i="37"/>
  <c r="AA265" i="37"/>
  <c r="Z265" i="37"/>
  <c r="Y265" i="37"/>
  <c r="X265" i="37"/>
  <c r="W265" i="37"/>
  <c r="V265" i="37"/>
  <c r="U265" i="37"/>
  <c r="T265" i="37"/>
  <c r="S265" i="37"/>
  <c r="AG264" i="37"/>
  <c r="AF264" i="37"/>
  <c r="AE264" i="37"/>
  <c r="AD264" i="37"/>
  <c r="AB264" i="37"/>
  <c r="AA264" i="37"/>
  <c r="Z264" i="37"/>
  <c r="Y264" i="37"/>
  <c r="X264" i="37"/>
  <c r="W264" i="37"/>
  <c r="V264" i="37"/>
  <c r="U264" i="37"/>
  <c r="T264" i="37"/>
  <c r="S264" i="37"/>
  <c r="AG263" i="37"/>
  <c r="AF263" i="37"/>
  <c r="AE263" i="37"/>
  <c r="AD263" i="37"/>
  <c r="AB263" i="37"/>
  <c r="AA263" i="37"/>
  <c r="Z263" i="37"/>
  <c r="Y263" i="37"/>
  <c r="X263" i="37"/>
  <c r="W263" i="37"/>
  <c r="V263" i="37"/>
  <c r="U263" i="37"/>
  <c r="T263" i="37"/>
  <c r="S263" i="37"/>
  <c r="AG262" i="37"/>
  <c r="AF262" i="37"/>
  <c r="AE262" i="37"/>
  <c r="AD262" i="37"/>
  <c r="AB262" i="37"/>
  <c r="AA262" i="37"/>
  <c r="Z262" i="37"/>
  <c r="Y262" i="37"/>
  <c r="X262" i="37"/>
  <c r="W262" i="37"/>
  <c r="V262" i="37"/>
  <c r="U262" i="37"/>
  <c r="T262" i="37"/>
  <c r="S262" i="37"/>
  <c r="AG261" i="37"/>
  <c r="AF261" i="37"/>
  <c r="AE261" i="37"/>
  <c r="AD261" i="37"/>
  <c r="AB261" i="37"/>
  <c r="AA261" i="37"/>
  <c r="Z261" i="37"/>
  <c r="Y261" i="37"/>
  <c r="X261" i="37"/>
  <c r="W261" i="37"/>
  <c r="V261" i="37"/>
  <c r="U261" i="37"/>
  <c r="T261" i="37"/>
  <c r="S261" i="37"/>
  <c r="AG260" i="37"/>
  <c r="AF260" i="37"/>
  <c r="AE260" i="37"/>
  <c r="AD260" i="37"/>
  <c r="AB260" i="37"/>
  <c r="AA260" i="37"/>
  <c r="Z260" i="37"/>
  <c r="Y260" i="37"/>
  <c r="X260" i="37"/>
  <c r="W260" i="37"/>
  <c r="V260" i="37"/>
  <c r="U260" i="37"/>
  <c r="T260" i="37"/>
  <c r="S260" i="37"/>
  <c r="AG259" i="37"/>
  <c r="AF259" i="37"/>
  <c r="AE259" i="37"/>
  <c r="AD259" i="37"/>
  <c r="AB259" i="37"/>
  <c r="AA259" i="37"/>
  <c r="Z259" i="37"/>
  <c r="Y259" i="37"/>
  <c r="X259" i="37"/>
  <c r="W259" i="37"/>
  <c r="V259" i="37"/>
  <c r="U259" i="37"/>
  <c r="T259" i="37"/>
  <c r="S259" i="37"/>
  <c r="AG258" i="37"/>
  <c r="AF258" i="37"/>
  <c r="AE258" i="37"/>
  <c r="AD258" i="37"/>
  <c r="AB258" i="37"/>
  <c r="AA258" i="37"/>
  <c r="Z258" i="37"/>
  <c r="Y258" i="37"/>
  <c r="X258" i="37"/>
  <c r="W258" i="37"/>
  <c r="V258" i="37"/>
  <c r="U258" i="37"/>
  <c r="T258" i="37"/>
  <c r="S258" i="37"/>
  <c r="AG257" i="37"/>
  <c r="AF257" i="37"/>
  <c r="AE257" i="37"/>
  <c r="AD257" i="37"/>
  <c r="AB257" i="37"/>
  <c r="AA257" i="37"/>
  <c r="Z257" i="37"/>
  <c r="Y257" i="37"/>
  <c r="X257" i="37"/>
  <c r="W257" i="37"/>
  <c r="V257" i="37"/>
  <c r="U257" i="37"/>
  <c r="T257" i="37"/>
  <c r="S257" i="37"/>
  <c r="AG256" i="37"/>
  <c r="AF256" i="37"/>
  <c r="AE256" i="37"/>
  <c r="AD256" i="37"/>
  <c r="AB256" i="37"/>
  <c r="AA256" i="37"/>
  <c r="Z256" i="37"/>
  <c r="Y256" i="37"/>
  <c r="X256" i="37"/>
  <c r="W256" i="37"/>
  <c r="V256" i="37"/>
  <c r="U256" i="37"/>
  <c r="T256" i="37"/>
  <c r="S256" i="37"/>
  <c r="AG254" i="37"/>
  <c r="AF254" i="37"/>
  <c r="AE254" i="37"/>
  <c r="AD254" i="37"/>
  <c r="AB254" i="37"/>
  <c r="AA254" i="37"/>
  <c r="Z254" i="37"/>
  <c r="Y254" i="37"/>
  <c r="X254" i="37"/>
  <c r="W254" i="37"/>
  <c r="V254" i="37"/>
  <c r="U254" i="37"/>
  <c r="T254" i="37"/>
  <c r="S254" i="37"/>
  <c r="AG253" i="37"/>
  <c r="AF253" i="37"/>
  <c r="AE253" i="37"/>
  <c r="AD253" i="37"/>
  <c r="AB253" i="37"/>
  <c r="AA253" i="37"/>
  <c r="Z253" i="37"/>
  <c r="Y253" i="37"/>
  <c r="X253" i="37"/>
  <c r="W253" i="37"/>
  <c r="V253" i="37"/>
  <c r="U253" i="37"/>
  <c r="T253" i="37"/>
  <c r="S253" i="37"/>
  <c r="AG251" i="37"/>
  <c r="AF251" i="37"/>
  <c r="AE251" i="37"/>
  <c r="AD251" i="37"/>
  <c r="AB251" i="37"/>
  <c r="AA251" i="37"/>
  <c r="Z251" i="37"/>
  <c r="Y251" i="37"/>
  <c r="X251" i="37"/>
  <c r="W251" i="37"/>
  <c r="V251" i="37"/>
  <c r="U251" i="37"/>
  <c r="T251" i="37"/>
  <c r="S251" i="37"/>
  <c r="AG250" i="37"/>
  <c r="AF250" i="37"/>
  <c r="AE250" i="37"/>
  <c r="AD250" i="37"/>
  <c r="AB250" i="37"/>
  <c r="AA250" i="37"/>
  <c r="Z250" i="37"/>
  <c r="Y250" i="37"/>
  <c r="X250" i="37"/>
  <c r="W250" i="37"/>
  <c r="V250" i="37"/>
  <c r="U250" i="37"/>
  <c r="T250" i="37"/>
  <c r="S250" i="37"/>
  <c r="AG249" i="37"/>
  <c r="AF249" i="37"/>
  <c r="AE249" i="37"/>
  <c r="AD249" i="37"/>
  <c r="AB249" i="37"/>
  <c r="AA249" i="37"/>
  <c r="Z249" i="37"/>
  <c r="Y249" i="37"/>
  <c r="X249" i="37"/>
  <c r="W249" i="37"/>
  <c r="V249" i="37"/>
  <c r="U249" i="37"/>
  <c r="T249" i="37"/>
  <c r="S249" i="37"/>
  <c r="AG248" i="37"/>
  <c r="AF248" i="37"/>
  <c r="AE248" i="37"/>
  <c r="AD248" i="37"/>
  <c r="AB248" i="37"/>
  <c r="AA248" i="37"/>
  <c r="Z248" i="37"/>
  <c r="Y248" i="37"/>
  <c r="X248" i="37"/>
  <c r="W248" i="37"/>
  <c r="V248" i="37"/>
  <c r="U248" i="37"/>
  <c r="T248" i="37"/>
  <c r="S248" i="37"/>
  <c r="AG246" i="37"/>
  <c r="AF246" i="37"/>
  <c r="AE246" i="37"/>
  <c r="AD246" i="37"/>
  <c r="AB246" i="37"/>
  <c r="AA246" i="37"/>
  <c r="Z246" i="37"/>
  <c r="Y246" i="37"/>
  <c r="X246" i="37"/>
  <c r="W246" i="37"/>
  <c r="V246" i="37"/>
  <c r="U246" i="37"/>
  <c r="T246" i="37"/>
  <c r="S246" i="37"/>
  <c r="AG245" i="37"/>
  <c r="AF245" i="37"/>
  <c r="AE245" i="37"/>
  <c r="AD245" i="37"/>
  <c r="AB245" i="37"/>
  <c r="AA245" i="37"/>
  <c r="Z245" i="37"/>
  <c r="Y245" i="37"/>
  <c r="X245" i="37"/>
  <c r="W245" i="37"/>
  <c r="V245" i="37"/>
  <c r="U245" i="37"/>
  <c r="T245" i="37"/>
  <c r="S245" i="37"/>
  <c r="AG243" i="37"/>
  <c r="AF243" i="37"/>
  <c r="AE243" i="37"/>
  <c r="AD243" i="37"/>
  <c r="AB243" i="37"/>
  <c r="AA243" i="37"/>
  <c r="Z243" i="37"/>
  <c r="Y243" i="37"/>
  <c r="X243" i="37"/>
  <c r="W243" i="37"/>
  <c r="V243" i="37"/>
  <c r="U243" i="37"/>
  <c r="T243" i="37"/>
  <c r="S243" i="37"/>
  <c r="AG242" i="37"/>
  <c r="AF242" i="37"/>
  <c r="AE242" i="37"/>
  <c r="AD242" i="37"/>
  <c r="AB242" i="37"/>
  <c r="AA242" i="37"/>
  <c r="Z242" i="37"/>
  <c r="Y242" i="37"/>
  <c r="X242" i="37"/>
  <c r="W242" i="37"/>
  <c r="V242" i="37"/>
  <c r="U242" i="37"/>
  <c r="T242" i="37"/>
  <c r="S242" i="37"/>
  <c r="AG241" i="37"/>
  <c r="AF241" i="37"/>
  <c r="AE241" i="37"/>
  <c r="AD241" i="37"/>
  <c r="AB241" i="37"/>
  <c r="AA241" i="37"/>
  <c r="Z241" i="37"/>
  <c r="Y241" i="37"/>
  <c r="X241" i="37"/>
  <c r="W241" i="37"/>
  <c r="V241" i="37"/>
  <c r="U241" i="37"/>
  <c r="T241" i="37"/>
  <c r="S241" i="37"/>
  <c r="AG239" i="37"/>
  <c r="AF239" i="37"/>
  <c r="AE239" i="37"/>
  <c r="AD239" i="37"/>
  <c r="AB239" i="37"/>
  <c r="AA239" i="37"/>
  <c r="Z239" i="37"/>
  <c r="Y239" i="37"/>
  <c r="X239" i="37"/>
  <c r="W239" i="37"/>
  <c r="V239" i="37"/>
  <c r="U239" i="37"/>
  <c r="T239" i="37"/>
  <c r="S239" i="37"/>
  <c r="AG237" i="37"/>
  <c r="AF237" i="37"/>
  <c r="AE237" i="37"/>
  <c r="AD237" i="37"/>
  <c r="AB237" i="37"/>
  <c r="AA237" i="37"/>
  <c r="Z237" i="37"/>
  <c r="Y237" i="37"/>
  <c r="X237" i="37"/>
  <c r="W237" i="37"/>
  <c r="V237" i="37"/>
  <c r="U237" i="37"/>
  <c r="T237" i="37"/>
  <c r="S237" i="37"/>
  <c r="AG236" i="37"/>
  <c r="AF236" i="37"/>
  <c r="AE236" i="37"/>
  <c r="AD236" i="37"/>
  <c r="AB236" i="37"/>
  <c r="AA236" i="37"/>
  <c r="Z236" i="37"/>
  <c r="Y236" i="37"/>
  <c r="X236" i="37"/>
  <c r="W236" i="37"/>
  <c r="V236" i="37"/>
  <c r="U236" i="37"/>
  <c r="T236" i="37"/>
  <c r="S236" i="37"/>
  <c r="AG235" i="37"/>
  <c r="AF235" i="37"/>
  <c r="AE235" i="37"/>
  <c r="AD235" i="37"/>
  <c r="AB235" i="37"/>
  <c r="AA235" i="37"/>
  <c r="Z235" i="37"/>
  <c r="Y235" i="37"/>
  <c r="X235" i="37"/>
  <c r="W235" i="37"/>
  <c r="V235" i="37"/>
  <c r="U235" i="37"/>
  <c r="T235" i="37"/>
  <c r="S235" i="37"/>
  <c r="AG234" i="37"/>
  <c r="AF234" i="37"/>
  <c r="AE234" i="37"/>
  <c r="AD234" i="37"/>
  <c r="AB234" i="37"/>
  <c r="AA234" i="37"/>
  <c r="Z234" i="37"/>
  <c r="Y234" i="37"/>
  <c r="X234" i="37"/>
  <c r="W234" i="37"/>
  <c r="V234" i="37"/>
  <c r="U234" i="37"/>
  <c r="T234" i="37"/>
  <c r="S234" i="37"/>
  <c r="AG233" i="37"/>
  <c r="AF233" i="37"/>
  <c r="AE233" i="37"/>
  <c r="AD233" i="37"/>
  <c r="AB233" i="37"/>
  <c r="AA233" i="37"/>
  <c r="Z233" i="37"/>
  <c r="Y233" i="37"/>
  <c r="X233" i="37"/>
  <c r="W233" i="37"/>
  <c r="V233" i="37"/>
  <c r="U233" i="37"/>
  <c r="T233" i="37"/>
  <c r="S233" i="37"/>
  <c r="AG232" i="37"/>
  <c r="AF232" i="37"/>
  <c r="AE232" i="37"/>
  <c r="AD232" i="37"/>
  <c r="AB232" i="37"/>
  <c r="AA232" i="37"/>
  <c r="Z232" i="37"/>
  <c r="Y232" i="37"/>
  <c r="X232" i="37"/>
  <c r="W232" i="37"/>
  <c r="V232" i="37"/>
  <c r="U232" i="37"/>
  <c r="T232" i="37"/>
  <c r="S232" i="37"/>
  <c r="AG231" i="37"/>
  <c r="AF231" i="37"/>
  <c r="AE231" i="37"/>
  <c r="AD231" i="37"/>
  <c r="AB231" i="37"/>
  <c r="AA231" i="37"/>
  <c r="Z231" i="37"/>
  <c r="Y231" i="37"/>
  <c r="X231" i="37"/>
  <c r="W231" i="37"/>
  <c r="V231" i="37"/>
  <c r="U231" i="37"/>
  <c r="T231" i="37"/>
  <c r="S231" i="37"/>
  <c r="AG230" i="37"/>
  <c r="AF230" i="37"/>
  <c r="AE230" i="37"/>
  <c r="AD230" i="37"/>
  <c r="AB230" i="37"/>
  <c r="AA230" i="37"/>
  <c r="Z230" i="37"/>
  <c r="Y230" i="37"/>
  <c r="X230" i="37"/>
  <c r="W230" i="37"/>
  <c r="V230" i="37"/>
  <c r="U230" i="37"/>
  <c r="T230" i="37"/>
  <c r="S230" i="37"/>
  <c r="AG229" i="37"/>
  <c r="AF229" i="37"/>
  <c r="AE229" i="37"/>
  <c r="AD229" i="37"/>
  <c r="AB229" i="37"/>
  <c r="AA229" i="37"/>
  <c r="Z229" i="37"/>
  <c r="Y229" i="37"/>
  <c r="X229" i="37"/>
  <c r="W229" i="37"/>
  <c r="V229" i="37"/>
  <c r="U229" i="37"/>
  <c r="T229" i="37"/>
  <c r="S229" i="37"/>
  <c r="AG227" i="37"/>
  <c r="AF227" i="37"/>
  <c r="AE227" i="37"/>
  <c r="AD227" i="37"/>
  <c r="AB227" i="37"/>
  <c r="AA227" i="37"/>
  <c r="Z227" i="37"/>
  <c r="Y227" i="37"/>
  <c r="X227" i="37"/>
  <c r="W227" i="37"/>
  <c r="V227" i="37"/>
  <c r="U227" i="37"/>
  <c r="T227" i="37"/>
  <c r="S227" i="37"/>
  <c r="AG226" i="37"/>
  <c r="AF226" i="37"/>
  <c r="AE226" i="37"/>
  <c r="AD226" i="37"/>
  <c r="AB226" i="37"/>
  <c r="AA226" i="37"/>
  <c r="Z226" i="37"/>
  <c r="Y226" i="37"/>
  <c r="X226" i="37"/>
  <c r="W226" i="37"/>
  <c r="V226" i="37"/>
  <c r="U226" i="37"/>
  <c r="T226" i="37"/>
  <c r="S226" i="37"/>
  <c r="AG224" i="37"/>
  <c r="AF224" i="37"/>
  <c r="AE224" i="37"/>
  <c r="AD224" i="37"/>
  <c r="AB224" i="37"/>
  <c r="AA224" i="37"/>
  <c r="Z224" i="37"/>
  <c r="Y224" i="37"/>
  <c r="X224" i="37"/>
  <c r="W224" i="37"/>
  <c r="V224" i="37"/>
  <c r="U224" i="37"/>
  <c r="T224" i="37"/>
  <c r="S224" i="37"/>
  <c r="AG223" i="37"/>
  <c r="AF223" i="37"/>
  <c r="AE223" i="37"/>
  <c r="AD223" i="37"/>
  <c r="AB223" i="37"/>
  <c r="AA223" i="37"/>
  <c r="Z223" i="37"/>
  <c r="Y223" i="37"/>
  <c r="X223" i="37"/>
  <c r="W223" i="37"/>
  <c r="V223" i="37"/>
  <c r="U223" i="37"/>
  <c r="T223" i="37"/>
  <c r="S223" i="37"/>
  <c r="AG222" i="37"/>
  <c r="AF222" i="37"/>
  <c r="AE222" i="37"/>
  <c r="AD222" i="37"/>
  <c r="AB222" i="37"/>
  <c r="AA222" i="37"/>
  <c r="Z222" i="37"/>
  <c r="Y222" i="37"/>
  <c r="X222" i="37"/>
  <c r="W222" i="37"/>
  <c r="V222" i="37"/>
  <c r="U222" i="37"/>
  <c r="T222" i="37"/>
  <c r="S222" i="37"/>
  <c r="AG219" i="37"/>
  <c r="AF219" i="37"/>
  <c r="AE219" i="37"/>
  <c r="AD219" i="37"/>
  <c r="AB219" i="37"/>
  <c r="AA219" i="37"/>
  <c r="Z219" i="37"/>
  <c r="Y219" i="37"/>
  <c r="X219" i="37"/>
  <c r="W219" i="37"/>
  <c r="V219" i="37"/>
  <c r="U219" i="37"/>
  <c r="T219" i="37"/>
  <c r="S219" i="37"/>
  <c r="AG218" i="37"/>
  <c r="AF218" i="37"/>
  <c r="AE218" i="37"/>
  <c r="AD218" i="37"/>
  <c r="AB218" i="37"/>
  <c r="AA218" i="37"/>
  <c r="Z218" i="37"/>
  <c r="Y218" i="37"/>
  <c r="X218" i="37"/>
  <c r="W218" i="37"/>
  <c r="V218" i="37"/>
  <c r="U218" i="37"/>
  <c r="T218" i="37"/>
  <c r="S218" i="37"/>
  <c r="AG217" i="37"/>
  <c r="AF217" i="37"/>
  <c r="AE217" i="37"/>
  <c r="AD217" i="37"/>
  <c r="AB217" i="37"/>
  <c r="AA217" i="37"/>
  <c r="Z217" i="37"/>
  <c r="Y217" i="37"/>
  <c r="X217" i="37"/>
  <c r="W217" i="37"/>
  <c r="V217" i="37"/>
  <c r="U217" i="37"/>
  <c r="T217" i="37"/>
  <c r="S217" i="37"/>
  <c r="AG216" i="37"/>
  <c r="AF216" i="37"/>
  <c r="AE216" i="37"/>
  <c r="AD216" i="37"/>
  <c r="AB216" i="37"/>
  <c r="AA216" i="37"/>
  <c r="Z216" i="37"/>
  <c r="Y216" i="37"/>
  <c r="X216" i="37"/>
  <c r="W216" i="37"/>
  <c r="V216" i="37"/>
  <c r="U216" i="37"/>
  <c r="T216" i="37"/>
  <c r="S216" i="37"/>
  <c r="AG215" i="37"/>
  <c r="AF215" i="37"/>
  <c r="AE215" i="37"/>
  <c r="AD215" i="37"/>
  <c r="AB215" i="37"/>
  <c r="AA215" i="37"/>
  <c r="Z215" i="37"/>
  <c r="Y215" i="37"/>
  <c r="X215" i="37"/>
  <c r="W215" i="37"/>
  <c r="V215" i="37"/>
  <c r="U215" i="37"/>
  <c r="T215" i="37"/>
  <c r="S215" i="37"/>
  <c r="AG214" i="37"/>
  <c r="AF214" i="37"/>
  <c r="AE214" i="37"/>
  <c r="AD214" i="37"/>
  <c r="AB214" i="37"/>
  <c r="AA214" i="37"/>
  <c r="Z214" i="37"/>
  <c r="Y214" i="37"/>
  <c r="X214" i="37"/>
  <c r="W214" i="37"/>
  <c r="V214" i="37"/>
  <c r="U214" i="37"/>
  <c r="T214" i="37"/>
  <c r="S214" i="37"/>
  <c r="AG213" i="37"/>
  <c r="AF213" i="37"/>
  <c r="AE213" i="37"/>
  <c r="AD213" i="37"/>
  <c r="AB213" i="37"/>
  <c r="AA213" i="37"/>
  <c r="Z213" i="37"/>
  <c r="Y213" i="37"/>
  <c r="X213" i="37"/>
  <c r="W213" i="37"/>
  <c r="V213" i="37"/>
  <c r="U213" i="37"/>
  <c r="T213" i="37"/>
  <c r="S213" i="37"/>
  <c r="AG212" i="37"/>
  <c r="AF212" i="37"/>
  <c r="AE212" i="37"/>
  <c r="AD212" i="37"/>
  <c r="AB212" i="37"/>
  <c r="AA212" i="37"/>
  <c r="Z212" i="37"/>
  <c r="Y212" i="37"/>
  <c r="X212" i="37"/>
  <c r="W212" i="37"/>
  <c r="V212" i="37"/>
  <c r="U212" i="37"/>
  <c r="T212" i="37"/>
  <c r="S212" i="37"/>
  <c r="AG211" i="37"/>
  <c r="AF211" i="37"/>
  <c r="AE211" i="37"/>
  <c r="AD211" i="37"/>
  <c r="AB211" i="37"/>
  <c r="AA211" i="37"/>
  <c r="Z211" i="37"/>
  <c r="Y211" i="37"/>
  <c r="X211" i="37"/>
  <c r="W211" i="37"/>
  <c r="V211" i="37"/>
  <c r="U211" i="37"/>
  <c r="T211" i="37"/>
  <c r="S211" i="37"/>
  <c r="AG210" i="37"/>
  <c r="AF210" i="37"/>
  <c r="AE210" i="37"/>
  <c r="AD210" i="37"/>
  <c r="AB210" i="37"/>
  <c r="AA210" i="37"/>
  <c r="Z210" i="37"/>
  <c r="Y210" i="37"/>
  <c r="X210" i="37"/>
  <c r="W210" i="37"/>
  <c r="V210" i="37"/>
  <c r="U210" i="37"/>
  <c r="T210" i="37"/>
  <c r="S210" i="37"/>
  <c r="AG209" i="37"/>
  <c r="AF209" i="37"/>
  <c r="AE209" i="37"/>
  <c r="AD209" i="37"/>
  <c r="AB209" i="37"/>
  <c r="AA209" i="37"/>
  <c r="Z209" i="37"/>
  <c r="Y209" i="37"/>
  <c r="X209" i="37"/>
  <c r="W209" i="37"/>
  <c r="V209" i="37"/>
  <c r="U209" i="37"/>
  <c r="T209" i="37"/>
  <c r="S209" i="37"/>
  <c r="AG208" i="37"/>
  <c r="AF208" i="37"/>
  <c r="AE208" i="37"/>
  <c r="AD208" i="37"/>
  <c r="AB208" i="37"/>
  <c r="AA208" i="37"/>
  <c r="Z208" i="37"/>
  <c r="Y208" i="37"/>
  <c r="X208" i="37"/>
  <c r="W208" i="37"/>
  <c r="V208" i="37"/>
  <c r="U208" i="37"/>
  <c r="T208" i="37"/>
  <c r="S208" i="37"/>
  <c r="AG207" i="37"/>
  <c r="AF207" i="37"/>
  <c r="AE207" i="37"/>
  <c r="AD207" i="37"/>
  <c r="AB207" i="37"/>
  <c r="AA207" i="37"/>
  <c r="Z207" i="37"/>
  <c r="Y207" i="37"/>
  <c r="X207" i="37"/>
  <c r="W207" i="37"/>
  <c r="V207" i="37"/>
  <c r="U207" i="37"/>
  <c r="T207" i="37"/>
  <c r="S207" i="37"/>
  <c r="AG204" i="37"/>
  <c r="AF204" i="37"/>
  <c r="AE204" i="37"/>
  <c r="AD204" i="37"/>
  <c r="AB204" i="37"/>
  <c r="AA204" i="37"/>
  <c r="Z204" i="37"/>
  <c r="Y204" i="37"/>
  <c r="X204" i="37"/>
  <c r="W204" i="37"/>
  <c r="V204" i="37"/>
  <c r="U204" i="37"/>
  <c r="T204" i="37"/>
  <c r="S204" i="37"/>
  <c r="AG203" i="37"/>
  <c r="AF203" i="37"/>
  <c r="AE203" i="37"/>
  <c r="AD203" i="37"/>
  <c r="AB203" i="37"/>
  <c r="AA203" i="37"/>
  <c r="Z203" i="37"/>
  <c r="Y203" i="37"/>
  <c r="X203" i="37"/>
  <c r="W203" i="37"/>
  <c r="V203" i="37"/>
  <c r="U203" i="37"/>
  <c r="T203" i="37"/>
  <c r="S203" i="37"/>
  <c r="AG201" i="37"/>
  <c r="AF201" i="37"/>
  <c r="AE201" i="37"/>
  <c r="AD201" i="37"/>
  <c r="AB201" i="37"/>
  <c r="AA201" i="37"/>
  <c r="Z201" i="37"/>
  <c r="Y201" i="37"/>
  <c r="X201" i="37"/>
  <c r="W201" i="37"/>
  <c r="V201" i="37"/>
  <c r="U201" i="37"/>
  <c r="T201" i="37"/>
  <c r="S201" i="37"/>
  <c r="AG200" i="37"/>
  <c r="AF200" i="37"/>
  <c r="AE200" i="37"/>
  <c r="AD200" i="37"/>
  <c r="AB200" i="37"/>
  <c r="AA200" i="37"/>
  <c r="Z200" i="37"/>
  <c r="Y200" i="37"/>
  <c r="X200" i="37"/>
  <c r="W200" i="37"/>
  <c r="V200" i="37"/>
  <c r="U200" i="37"/>
  <c r="T200" i="37"/>
  <c r="S200" i="37"/>
  <c r="AG198" i="37"/>
  <c r="AF198" i="37"/>
  <c r="AE198" i="37"/>
  <c r="AD198" i="37"/>
  <c r="AB198" i="37"/>
  <c r="AA198" i="37"/>
  <c r="Z198" i="37"/>
  <c r="Y198" i="37"/>
  <c r="X198" i="37"/>
  <c r="W198" i="37"/>
  <c r="V198" i="37"/>
  <c r="U198" i="37"/>
  <c r="T198" i="37"/>
  <c r="S198" i="37"/>
  <c r="AG197" i="37"/>
  <c r="AF197" i="37"/>
  <c r="AE197" i="37"/>
  <c r="AD197" i="37"/>
  <c r="AB197" i="37"/>
  <c r="AA197" i="37"/>
  <c r="Z197" i="37"/>
  <c r="Y197" i="37"/>
  <c r="X197" i="37"/>
  <c r="W197" i="37"/>
  <c r="V197" i="37"/>
  <c r="U197" i="37"/>
  <c r="T197" i="37"/>
  <c r="S197" i="37"/>
  <c r="AG196" i="37"/>
  <c r="AF196" i="37"/>
  <c r="AE196" i="37"/>
  <c r="AD196" i="37"/>
  <c r="AB196" i="37"/>
  <c r="AA196" i="37"/>
  <c r="Z196" i="37"/>
  <c r="Y196" i="37"/>
  <c r="X196" i="37"/>
  <c r="W196" i="37"/>
  <c r="V196" i="37"/>
  <c r="U196" i="37"/>
  <c r="T196" i="37"/>
  <c r="S196" i="37"/>
  <c r="AG195" i="37"/>
  <c r="AF195" i="37"/>
  <c r="AE195" i="37"/>
  <c r="AD195" i="37"/>
  <c r="AB195" i="37"/>
  <c r="AA195" i="37"/>
  <c r="Z195" i="37"/>
  <c r="Y195" i="37"/>
  <c r="X195" i="37"/>
  <c r="W195" i="37"/>
  <c r="V195" i="37"/>
  <c r="U195" i="37"/>
  <c r="T195" i="37"/>
  <c r="S195" i="37"/>
  <c r="AG192" i="37"/>
  <c r="AF192" i="37"/>
  <c r="AE192" i="37"/>
  <c r="AD192" i="37"/>
  <c r="AB192" i="37"/>
  <c r="AA192" i="37"/>
  <c r="Z192" i="37"/>
  <c r="Y192" i="37"/>
  <c r="X192" i="37"/>
  <c r="W192" i="37"/>
  <c r="V192" i="37"/>
  <c r="U192" i="37"/>
  <c r="T192" i="37"/>
  <c r="S192" i="37"/>
  <c r="AG191" i="37"/>
  <c r="AF191" i="37"/>
  <c r="AE191" i="37"/>
  <c r="AD191" i="37"/>
  <c r="AB191" i="37"/>
  <c r="AA191" i="37"/>
  <c r="Z191" i="37"/>
  <c r="Y191" i="37"/>
  <c r="X191" i="37"/>
  <c r="W191" i="37"/>
  <c r="V191" i="37"/>
  <c r="U191" i="37"/>
  <c r="T191" i="37"/>
  <c r="S191" i="37"/>
  <c r="AG189" i="37"/>
  <c r="AF189" i="37"/>
  <c r="AE189" i="37"/>
  <c r="AD189" i="37"/>
  <c r="AB189" i="37"/>
  <c r="AA189" i="37"/>
  <c r="Z189" i="37"/>
  <c r="Y189" i="37"/>
  <c r="X189" i="37"/>
  <c r="W189" i="37"/>
  <c r="V189" i="37"/>
  <c r="U189" i="37"/>
  <c r="T189" i="37"/>
  <c r="S189" i="37"/>
  <c r="AG186" i="37"/>
  <c r="AF186" i="37"/>
  <c r="AE186" i="37"/>
  <c r="AD186" i="37"/>
  <c r="AB186" i="37"/>
  <c r="AA186" i="37"/>
  <c r="Z186" i="37"/>
  <c r="Y186" i="37"/>
  <c r="X186" i="37"/>
  <c r="W186" i="37"/>
  <c r="V186" i="37"/>
  <c r="U186" i="37"/>
  <c r="T186" i="37"/>
  <c r="S186" i="37"/>
  <c r="AG181" i="37"/>
  <c r="AF181" i="37"/>
  <c r="AE181" i="37"/>
  <c r="AD181" i="37"/>
  <c r="AB181" i="37"/>
  <c r="AA181" i="37"/>
  <c r="Z181" i="37"/>
  <c r="Y181" i="37"/>
  <c r="X181" i="37"/>
  <c r="W181" i="37"/>
  <c r="V181" i="37"/>
  <c r="U181" i="37"/>
  <c r="T181" i="37"/>
  <c r="S181" i="37"/>
  <c r="AG180" i="37"/>
  <c r="AF180" i="37"/>
  <c r="AE180" i="37"/>
  <c r="AD180" i="37"/>
  <c r="AB180" i="37"/>
  <c r="AA180" i="37"/>
  <c r="Z180" i="37"/>
  <c r="Y180" i="37"/>
  <c r="X180" i="37"/>
  <c r="W180" i="37"/>
  <c r="V180" i="37"/>
  <c r="U180" i="37"/>
  <c r="T180" i="37"/>
  <c r="S180" i="37"/>
  <c r="AG179" i="37"/>
  <c r="AF179" i="37"/>
  <c r="AE179" i="37"/>
  <c r="AD179" i="37"/>
  <c r="AB179" i="37"/>
  <c r="AA179" i="37"/>
  <c r="Z179" i="37"/>
  <c r="Y179" i="37"/>
  <c r="X179" i="37"/>
  <c r="W179" i="37"/>
  <c r="V179" i="37"/>
  <c r="U179" i="37"/>
  <c r="T179" i="37"/>
  <c r="S179" i="37"/>
  <c r="AG178" i="37"/>
  <c r="AF178" i="37"/>
  <c r="AE178" i="37"/>
  <c r="AD178" i="37"/>
  <c r="AB178" i="37"/>
  <c r="AA178" i="37"/>
  <c r="Z178" i="37"/>
  <c r="Y178" i="37"/>
  <c r="X178" i="37"/>
  <c r="W178" i="37"/>
  <c r="V178" i="37"/>
  <c r="U178" i="37"/>
  <c r="T178" i="37"/>
  <c r="S178" i="37"/>
  <c r="AG177" i="37"/>
  <c r="AF177" i="37"/>
  <c r="AE177" i="37"/>
  <c r="AD177" i="37"/>
  <c r="AB177" i="37"/>
  <c r="AA177" i="37"/>
  <c r="Z177" i="37"/>
  <c r="Y177" i="37"/>
  <c r="X177" i="37"/>
  <c r="W177" i="37"/>
  <c r="V177" i="37"/>
  <c r="U177" i="37"/>
  <c r="T177" i="37"/>
  <c r="S177" i="37"/>
  <c r="AG176" i="37"/>
  <c r="AF176" i="37"/>
  <c r="AE176" i="37"/>
  <c r="AD176" i="37"/>
  <c r="AB176" i="37"/>
  <c r="AA176" i="37"/>
  <c r="Z176" i="37"/>
  <c r="Y176" i="37"/>
  <c r="X176" i="37"/>
  <c r="W176" i="37"/>
  <c r="V176" i="37"/>
  <c r="U176" i="37"/>
  <c r="T176" i="37"/>
  <c r="S176" i="37"/>
  <c r="AG175" i="37"/>
  <c r="AF175" i="37"/>
  <c r="AE175" i="37"/>
  <c r="AD175" i="37"/>
  <c r="AB175" i="37"/>
  <c r="AA175" i="37"/>
  <c r="Z175" i="37"/>
  <c r="Y175" i="37"/>
  <c r="X175" i="37"/>
  <c r="W175" i="37"/>
  <c r="V175" i="37"/>
  <c r="U175" i="37"/>
  <c r="T175" i="37"/>
  <c r="S175" i="37"/>
  <c r="AG174" i="37"/>
  <c r="AF174" i="37"/>
  <c r="AE174" i="37"/>
  <c r="AD174" i="37"/>
  <c r="AB174" i="37"/>
  <c r="AA174" i="37"/>
  <c r="Z174" i="37"/>
  <c r="Y174" i="37"/>
  <c r="X174" i="37"/>
  <c r="W174" i="37"/>
  <c r="V174" i="37"/>
  <c r="U174" i="37"/>
  <c r="T174" i="37"/>
  <c r="S174" i="37"/>
  <c r="AG173" i="37"/>
  <c r="AF173" i="37"/>
  <c r="AE173" i="37"/>
  <c r="AD173" i="37"/>
  <c r="AB173" i="37"/>
  <c r="AA173" i="37"/>
  <c r="Z173" i="37"/>
  <c r="Y173" i="37"/>
  <c r="X173" i="37"/>
  <c r="W173" i="37"/>
  <c r="V173" i="37"/>
  <c r="U173" i="37"/>
  <c r="T173" i="37"/>
  <c r="S173" i="37"/>
  <c r="AG171" i="37"/>
  <c r="AF171" i="37"/>
  <c r="AE171" i="37"/>
  <c r="AD171" i="37"/>
  <c r="AB171" i="37"/>
  <c r="AA171" i="37"/>
  <c r="Z171" i="37"/>
  <c r="Y171" i="37"/>
  <c r="X171" i="37"/>
  <c r="W171" i="37"/>
  <c r="V171" i="37"/>
  <c r="U171" i="37"/>
  <c r="T171" i="37"/>
  <c r="S171" i="37"/>
  <c r="AG170" i="37"/>
  <c r="AF170" i="37"/>
  <c r="AE170" i="37"/>
  <c r="AD170" i="37"/>
  <c r="AB170" i="37"/>
  <c r="AA170" i="37"/>
  <c r="Z170" i="37"/>
  <c r="Y170" i="37"/>
  <c r="X170" i="37"/>
  <c r="W170" i="37"/>
  <c r="V170" i="37"/>
  <c r="U170" i="37"/>
  <c r="T170" i="37"/>
  <c r="S170" i="37"/>
  <c r="AG169" i="37"/>
  <c r="AF169" i="37"/>
  <c r="AE169" i="37"/>
  <c r="AD169" i="37"/>
  <c r="AB169" i="37"/>
  <c r="AA169" i="37"/>
  <c r="Z169" i="37"/>
  <c r="Y169" i="37"/>
  <c r="X169" i="37"/>
  <c r="W169" i="37"/>
  <c r="V169" i="37"/>
  <c r="U169" i="37"/>
  <c r="T169" i="37"/>
  <c r="S169" i="37"/>
  <c r="AG168" i="37"/>
  <c r="AF168" i="37"/>
  <c r="AE168" i="37"/>
  <c r="AD168" i="37"/>
  <c r="AB168" i="37"/>
  <c r="AA168" i="37"/>
  <c r="Z168" i="37"/>
  <c r="Y168" i="37"/>
  <c r="X168" i="37"/>
  <c r="W168" i="37"/>
  <c r="V168" i="37"/>
  <c r="U168" i="37"/>
  <c r="T168" i="37"/>
  <c r="S168" i="37"/>
  <c r="AG167" i="37"/>
  <c r="AF167" i="37"/>
  <c r="AE167" i="37"/>
  <c r="AD167" i="37"/>
  <c r="AB167" i="37"/>
  <c r="AA167" i="37"/>
  <c r="Z167" i="37"/>
  <c r="Y167" i="37"/>
  <c r="X167" i="37"/>
  <c r="W167" i="37"/>
  <c r="V167" i="37"/>
  <c r="U167" i="37"/>
  <c r="T167" i="37"/>
  <c r="S167" i="37"/>
  <c r="AG166" i="37"/>
  <c r="AF166" i="37"/>
  <c r="AE166" i="37"/>
  <c r="AD166" i="37"/>
  <c r="AB166" i="37"/>
  <c r="AA166" i="37"/>
  <c r="Z166" i="37"/>
  <c r="Y166" i="37"/>
  <c r="X166" i="37"/>
  <c r="W166" i="37"/>
  <c r="V166" i="37"/>
  <c r="U166" i="37"/>
  <c r="T166" i="37"/>
  <c r="S166" i="37"/>
  <c r="AG161" i="37"/>
  <c r="AF161" i="37"/>
  <c r="AE161" i="37"/>
  <c r="AD161" i="37"/>
  <c r="AB161" i="37"/>
  <c r="AA161" i="37"/>
  <c r="Z161" i="37"/>
  <c r="Y161" i="37"/>
  <c r="X161" i="37"/>
  <c r="W161" i="37"/>
  <c r="V161" i="37"/>
  <c r="U161" i="37"/>
  <c r="T161" i="37"/>
  <c r="S161" i="37"/>
  <c r="AG159" i="37"/>
  <c r="AF159" i="37"/>
  <c r="AE159" i="37"/>
  <c r="AD159" i="37"/>
  <c r="AB159" i="37"/>
  <c r="AA159" i="37"/>
  <c r="Z159" i="37"/>
  <c r="Y159" i="37"/>
  <c r="X159" i="37"/>
  <c r="W159" i="37"/>
  <c r="V159" i="37"/>
  <c r="U159" i="37"/>
  <c r="T159" i="37"/>
  <c r="S159" i="37"/>
  <c r="AG158" i="37"/>
  <c r="AF158" i="37"/>
  <c r="AE158" i="37"/>
  <c r="AD158" i="37"/>
  <c r="AB158" i="37"/>
  <c r="AA158" i="37"/>
  <c r="Z158" i="37"/>
  <c r="Y158" i="37"/>
  <c r="X158" i="37"/>
  <c r="W158" i="37"/>
  <c r="V158" i="37"/>
  <c r="U158" i="37"/>
  <c r="T158" i="37"/>
  <c r="S158" i="37"/>
  <c r="AG157" i="37"/>
  <c r="AF157" i="37"/>
  <c r="AE157" i="37"/>
  <c r="AD157" i="37"/>
  <c r="AB157" i="37"/>
  <c r="AA157" i="37"/>
  <c r="Z157" i="37"/>
  <c r="Y157" i="37"/>
  <c r="X157" i="37"/>
  <c r="W157" i="37"/>
  <c r="V157" i="37"/>
  <c r="U157" i="37"/>
  <c r="T157" i="37"/>
  <c r="S157" i="37"/>
  <c r="AG155" i="37"/>
  <c r="AF155" i="37"/>
  <c r="AE155" i="37"/>
  <c r="AD155" i="37"/>
  <c r="AB155" i="37"/>
  <c r="AA155" i="37"/>
  <c r="Z155" i="37"/>
  <c r="Y155" i="37"/>
  <c r="X155" i="37"/>
  <c r="W155" i="37"/>
  <c r="V155" i="37"/>
  <c r="U155" i="37"/>
  <c r="T155" i="37"/>
  <c r="S155" i="37"/>
  <c r="AG154" i="37"/>
  <c r="AF154" i="37"/>
  <c r="AE154" i="37"/>
  <c r="AD154" i="37"/>
  <c r="AB154" i="37"/>
  <c r="AA154" i="37"/>
  <c r="Z154" i="37"/>
  <c r="Y154" i="37"/>
  <c r="X154" i="37"/>
  <c r="W154" i="37"/>
  <c r="V154" i="37"/>
  <c r="U154" i="37"/>
  <c r="T154" i="37"/>
  <c r="S154" i="37"/>
  <c r="AG153" i="37"/>
  <c r="AF153" i="37"/>
  <c r="AE153" i="37"/>
  <c r="AD153" i="37"/>
  <c r="AB153" i="37"/>
  <c r="AA153" i="37"/>
  <c r="Z153" i="37"/>
  <c r="Y153" i="37"/>
  <c r="X153" i="37"/>
  <c r="W153" i="37"/>
  <c r="V153" i="37"/>
  <c r="U153" i="37"/>
  <c r="T153" i="37"/>
  <c r="S153" i="37"/>
  <c r="AG151" i="37"/>
  <c r="AF151" i="37"/>
  <c r="AE151" i="37"/>
  <c r="AD151" i="37"/>
  <c r="AB151" i="37"/>
  <c r="AA151" i="37"/>
  <c r="Z151" i="37"/>
  <c r="Y151" i="37"/>
  <c r="X151" i="37"/>
  <c r="W151" i="37"/>
  <c r="V151" i="37"/>
  <c r="U151" i="37"/>
  <c r="T151" i="37"/>
  <c r="S151" i="37"/>
  <c r="AG149" i="37"/>
  <c r="AF149" i="37"/>
  <c r="AE149" i="37"/>
  <c r="AD149" i="37"/>
  <c r="AB149" i="37"/>
  <c r="AA149" i="37"/>
  <c r="Z149" i="37"/>
  <c r="Y149" i="37"/>
  <c r="X149" i="37"/>
  <c r="W149" i="37"/>
  <c r="V149" i="37"/>
  <c r="U149" i="37"/>
  <c r="T149" i="37"/>
  <c r="S149" i="37"/>
  <c r="AG144" i="37"/>
  <c r="AF144" i="37"/>
  <c r="AE144" i="37"/>
  <c r="AD144" i="37"/>
  <c r="AB144" i="37"/>
  <c r="AA144" i="37"/>
  <c r="Z144" i="37"/>
  <c r="Y144" i="37"/>
  <c r="X144" i="37"/>
  <c r="W144" i="37"/>
  <c r="V144" i="37"/>
  <c r="U144" i="37"/>
  <c r="T144" i="37"/>
  <c r="S144" i="37"/>
  <c r="AG142" i="37"/>
  <c r="AF142" i="37"/>
  <c r="AE142" i="37"/>
  <c r="AD142" i="37"/>
  <c r="AB142" i="37"/>
  <c r="AA142" i="37"/>
  <c r="Z142" i="37"/>
  <c r="Y142" i="37"/>
  <c r="X142" i="37"/>
  <c r="W142" i="37"/>
  <c r="V142" i="37"/>
  <c r="U142" i="37"/>
  <c r="T142" i="37"/>
  <c r="S142" i="37"/>
  <c r="AG141" i="37"/>
  <c r="AF141" i="37"/>
  <c r="AE141" i="37"/>
  <c r="AD141" i="37"/>
  <c r="AB141" i="37"/>
  <c r="AA141" i="37"/>
  <c r="Z141" i="37"/>
  <c r="Y141" i="37"/>
  <c r="X141" i="37"/>
  <c r="W141" i="37"/>
  <c r="V141" i="37"/>
  <c r="U141" i="37"/>
  <c r="T141" i="37"/>
  <c r="S141" i="37"/>
  <c r="AG140" i="37"/>
  <c r="AF140" i="37"/>
  <c r="AE140" i="37"/>
  <c r="AD140" i="37"/>
  <c r="AB140" i="37"/>
  <c r="AA140" i="37"/>
  <c r="Z140" i="37"/>
  <c r="Y140" i="37"/>
  <c r="X140" i="37"/>
  <c r="W140" i="37"/>
  <c r="V140" i="37"/>
  <c r="U140" i="37"/>
  <c r="T140" i="37"/>
  <c r="S140" i="37"/>
  <c r="AG138" i="37"/>
  <c r="AF138" i="37"/>
  <c r="AE138" i="37"/>
  <c r="AD138" i="37"/>
  <c r="AB138" i="37"/>
  <c r="AA138" i="37"/>
  <c r="Z138" i="37"/>
  <c r="Y138" i="37"/>
  <c r="X138" i="37"/>
  <c r="W138" i="37"/>
  <c r="V138" i="37"/>
  <c r="U138" i="37"/>
  <c r="T138" i="37"/>
  <c r="S138" i="37"/>
  <c r="AG136" i="37"/>
  <c r="AF136" i="37"/>
  <c r="AE136" i="37"/>
  <c r="AD136" i="37"/>
  <c r="AB136" i="37"/>
  <c r="AA136" i="37"/>
  <c r="Z136" i="37"/>
  <c r="Y136" i="37"/>
  <c r="X136" i="37"/>
  <c r="W136" i="37"/>
  <c r="V136" i="37"/>
  <c r="U136" i="37"/>
  <c r="T136" i="37"/>
  <c r="S136" i="37"/>
  <c r="AG131" i="37"/>
  <c r="AF131" i="37"/>
  <c r="AE131" i="37"/>
  <c r="AD131" i="37"/>
  <c r="AB131" i="37"/>
  <c r="AA131" i="37"/>
  <c r="Z131" i="37"/>
  <c r="Y131" i="37"/>
  <c r="X131" i="37"/>
  <c r="W131" i="37"/>
  <c r="V131" i="37"/>
  <c r="U131" i="37"/>
  <c r="T131" i="37"/>
  <c r="S131" i="37"/>
  <c r="AG129" i="37"/>
  <c r="AF129" i="37"/>
  <c r="AE129" i="37"/>
  <c r="AD129" i="37"/>
  <c r="AB129" i="37"/>
  <c r="AA129" i="37"/>
  <c r="Z129" i="37"/>
  <c r="Y129" i="37"/>
  <c r="X129" i="37"/>
  <c r="W129" i="37"/>
  <c r="V129" i="37"/>
  <c r="U129" i="37"/>
  <c r="T129" i="37"/>
  <c r="S129" i="37"/>
  <c r="AG128" i="37"/>
  <c r="AF128" i="37"/>
  <c r="AE128" i="37"/>
  <c r="AD128" i="37"/>
  <c r="AB128" i="37"/>
  <c r="AA128" i="37"/>
  <c r="Z128" i="37"/>
  <c r="Y128" i="37"/>
  <c r="X128" i="37"/>
  <c r="W128" i="37"/>
  <c r="V128" i="37"/>
  <c r="U128" i="37"/>
  <c r="T128" i="37"/>
  <c r="S128" i="37"/>
  <c r="AG126" i="37"/>
  <c r="AF126" i="37"/>
  <c r="AE126" i="37"/>
  <c r="AD126" i="37"/>
  <c r="AB126" i="37"/>
  <c r="AA126" i="37"/>
  <c r="Z126" i="37"/>
  <c r="Y126" i="37"/>
  <c r="X126" i="37"/>
  <c r="W126" i="37"/>
  <c r="V126" i="37"/>
  <c r="U126" i="37"/>
  <c r="T126" i="37"/>
  <c r="S126" i="37"/>
  <c r="AG124" i="37"/>
  <c r="AF124" i="37"/>
  <c r="AE124" i="37"/>
  <c r="AD124" i="37"/>
  <c r="AB124" i="37"/>
  <c r="AA124" i="37"/>
  <c r="Z124" i="37"/>
  <c r="Y124" i="37"/>
  <c r="X124" i="37"/>
  <c r="W124" i="37"/>
  <c r="V124" i="37"/>
  <c r="U124" i="37"/>
  <c r="T124" i="37"/>
  <c r="S124" i="37"/>
  <c r="AG123" i="37"/>
  <c r="AF123" i="37"/>
  <c r="AE123" i="37"/>
  <c r="AD123" i="37"/>
  <c r="AB123" i="37"/>
  <c r="AA123" i="37"/>
  <c r="Z123" i="37"/>
  <c r="Y123" i="37"/>
  <c r="X123" i="37"/>
  <c r="W123" i="37"/>
  <c r="V123" i="37"/>
  <c r="U123" i="37"/>
  <c r="T123" i="37"/>
  <c r="S123" i="37"/>
  <c r="AG122" i="37"/>
  <c r="AF122" i="37"/>
  <c r="AE122" i="37"/>
  <c r="AD122" i="37"/>
  <c r="AB122" i="37"/>
  <c r="AA122" i="37"/>
  <c r="Z122" i="37"/>
  <c r="Y122" i="37"/>
  <c r="X122" i="37"/>
  <c r="W122" i="37"/>
  <c r="V122" i="37"/>
  <c r="U122" i="37"/>
  <c r="T122" i="37"/>
  <c r="S122" i="37"/>
  <c r="AG121" i="37"/>
  <c r="AF121" i="37"/>
  <c r="AE121" i="37"/>
  <c r="AD121" i="37"/>
  <c r="AB121" i="37"/>
  <c r="AA121" i="37"/>
  <c r="Z121" i="37"/>
  <c r="Y121" i="37"/>
  <c r="X121" i="37"/>
  <c r="W121" i="37"/>
  <c r="V121" i="37"/>
  <c r="U121" i="37"/>
  <c r="T121" i="37"/>
  <c r="S121" i="37"/>
  <c r="AG120" i="37"/>
  <c r="AF120" i="37"/>
  <c r="AE120" i="37"/>
  <c r="AD120" i="37"/>
  <c r="AB120" i="37"/>
  <c r="AA120" i="37"/>
  <c r="Z120" i="37"/>
  <c r="Y120" i="37"/>
  <c r="X120" i="37"/>
  <c r="W120" i="37"/>
  <c r="V120" i="37"/>
  <c r="U120" i="37"/>
  <c r="T120" i="37"/>
  <c r="S120" i="37"/>
  <c r="AG119" i="37"/>
  <c r="AF119" i="37"/>
  <c r="AE119" i="37"/>
  <c r="AD119" i="37"/>
  <c r="AB119" i="37"/>
  <c r="AA119" i="37"/>
  <c r="Z119" i="37"/>
  <c r="Y119" i="37"/>
  <c r="X119" i="37"/>
  <c r="W119" i="37"/>
  <c r="V119" i="37"/>
  <c r="U119" i="37"/>
  <c r="T119" i="37"/>
  <c r="S119" i="37"/>
  <c r="AG117" i="37"/>
  <c r="AF117" i="37"/>
  <c r="AE117" i="37"/>
  <c r="AD117" i="37"/>
  <c r="AB117" i="37"/>
  <c r="AA117" i="37"/>
  <c r="Z117" i="37"/>
  <c r="Y117" i="37"/>
  <c r="X117" i="37"/>
  <c r="W117" i="37"/>
  <c r="V117" i="37"/>
  <c r="U117" i="37"/>
  <c r="T117" i="37"/>
  <c r="S117" i="37"/>
  <c r="AG116" i="37"/>
  <c r="AF116" i="37"/>
  <c r="AE116" i="37"/>
  <c r="AD116" i="37"/>
  <c r="AB116" i="37"/>
  <c r="AA116" i="37"/>
  <c r="Z116" i="37"/>
  <c r="Y116" i="37"/>
  <c r="X116" i="37"/>
  <c r="W116" i="37"/>
  <c r="V116" i="37"/>
  <c r="U116" i="37"/>
  <c r="T116" i="37"/>
  <c r="S116" i="37"/>
  <c r="AG115" i="37"/>
  <c r="AF115" i="37"/>
  <c r="AE115" i="37"/>
  <c r="AD115" i="37"/>
  <c r="AB115" i="37"/>
  <c r="AA115" i="37"/>
  <c r="Z115" i="37"/>
  <c r="Y115" i="37"/>
  <c r="X115" i="37"/>
  <c r="W115" i="37"/>
  <c r="V115" i="37"/>
  <c r="U115" i="37"/>
  <c r="T115" i="37"/>
  <c r="S115" i="37"/>
  <c r="AG114" i="37"/>
  <c r="AF114" i="37"/>
  <c r="AE114" i="37"/>
  <c r="AD114" i="37"/>
  <c r="AB114" i="37"/>
  <c r="AA114" i="37"/>
  <c r="Z114" i="37"/>
  <c r="Y114" i="37"/>
  <c r="X114" i="37"/>
  <c r="W114" i="37"/>
  <c r="V114" i="37"/>
  <c r="U114" i="37"/>
  <c r="T114" i="37"/>
  <c r="S114" i="37"/>
  <c r="AG111" i="37"/>
  <c r="AF111" i="37"/>
  <c r="AE111" i="37"/>
  <c r="AD111" i="37"/>
  <c r="AB111" i="37"/>
  <c r="AA111" i="37"/>
  <c r="Z111" i="37"/>
  <c r="Y111" i="37"/>
  <c r="X111" i="37"/>
  <c r="W111" i="37"/>
  <c r="V111" i="37"/>
  <c r="U111" i="37"/>
  <c r="T111" i="37"/>
  <c r="S111" i="37"/>
  <c r="AG110" i="37"/>
  <c r="AF110" i="37"/>
  <c r="AE110" i="37"/>
  <c r="AD110" i="37"/>
  <c r="AB110" i="37"/>
  <c r="AA110" i="37"/>
  <c r="Z110" i="37"/>
  <c r="Y110" i="37"/>
  <c r="X110" i="37"/>
  <c r="W110" i="37"/>
  <c r="V110" i="37"/>
  <c r="U110" i="37"/>
  <c r="T110" i="37"/>
  <c r="S110" i="37"/>
  <c r="AG109" i="37"/>
  <c r="AF109" i="37"/>
  <c r="AE109" i="37"/>
  <c r="AD109" i="37"/>
  <c r="AB109" i="37"/>
  <c r="AA109" i="37"/>
  <c r="Z109" i="37"/>
  <c r="Y109" i="37"/>
  <c r="X109" i="37"/>
  <c r="W109" i="37"/>
  <c r="V109" i="37"/>
  <c r="U109" i="37"/>
  <c r="T109" i="37"/>
  <c r="S109" i="37"/>
  <c r="AG108" i="37"/>
  <c r="AF108" i="37"/>
  <c r="AE108" i="37"/>
  <c r="AD108" i="37"/>
  <c r="AB108" i="37"/>
  <c r="AA108" i="37"/>
  <c r="Z108" i="37"/>
  <c r="Y108" i="37"/>
  <c r="X108" i="37"/>
  <c r="W108" i="37"/>
  <c r="V108" i="37"/>
  <c r="U108" i="37"/>
  <c r="T108" i="37"/>
  <c r="S108" i="37"/>
  <c r="AG105" i="37"/>
  <c r="AF105" i="37"/>
  <c r="AE105" i="37"/>
  <c r="AD105" i="37"/>
  <c r="AB105" i="37"/>
  <c r="AA105" i="37"/>
  <c r="Z105" i="37"/>
  <c r="Y105" i="37"/>
  <c r="X105" i="37"/>
  <c r="W105" i="37"/>
  <c r="V105" i="37"/>
  <c r="U105" i="37"/>
  <c r="T105" i="37"/>
  <c r="S105" i="37"/>
  <c r="AG104" i="37"/>
  <c r="AF104" i="37"/>
  <c r="AE104" i="37"/>
  <c r="AD104" i="37"/>
  <c r="AB104" i="37"/>
  <c r="AA104" i="37"/>
  <c r="Z104" i="37"/>
  <c r="Y104" i="37"/>
  <c r="X104" i="37"/>
  <c r="W104" i="37"/>
  <c r="V104" i="37"/>
  <c r="U104" i="37"/>
  <c r="T104" i="37"/>
  <c r="S104" i="37"/>
  <c r="AG102" i="37"/>
  <c r="AF102" i="37"/>
  <c r="AE102" i="37"/>
  <c r="AD102" i="37"/>
  <c r="AB102" i="37"/>
  <c r="AA102" i="37"/>
  <c r="Z102" i="37"/>
  <c r="Y102" i="37"/>
  <c r="X102" i="37"/>
  <c r="W102" i="37"/>
  <c r="V102" i="37"/>
  <c r="U102" i="37"/>
  <c r="T102" i="37"/>
  <c r="S102" i="37"/>
  <c r="AG101" i="37"/>
  <c r="AF101" i="37"/>
  <c r="AE101" i="37"/>
  <c r="AD101" i="37"/>
  <c r="AB101" i="37"/>
  <c r="AA101" i="37"/>
  <c r="Z101" i="37"/>
  <c r="Y101" i="37"/>
  <c r="X101" i="37"/>
  <c r="W101" i="37"/>
  <c r="V101" i="37"/>
  <c r="U101" i="37"/>
  <c r="T101" i="37"/>
  <c r="S101" i="37"/>
  <c r="AG100" i="37"/>
  <c r="AF100" i="37"/>
  <c r="AE100" i="37"/>
  <c r="AD100" i="37"/>
  <c r="AB100" i="37"/>
  <c r="AA100" i="37"/>
  <c r="Z100" i="37"/>
  <c r="Y100" i="37"/>
  <c r="X100" i="37"/>
  <c r="W100" i="37"/>
  <c r="V100" i="37"/>
  <c r="U100" i="37"/>
  <c r="T100" i="37"/>
  <c r="S100" i="37"/>
  <c r="AG99" i="37"/>
  <c r="AF99" i="37"/>
  <c r="AE99" i="37"/>
  <c r="AD99" i="37"/>
  <c r="AB99" i="37"/>
  <c r="AA99" i="37"/>
  <c r="Z99" i="37"/>
  <c r="Y99" i="37"/>
  <c r="X99" i="37"/>
  <c r="W99" i="37"/>
  <c r="V99" i="37"/>
  <c r="U99" i="37"/>
  <c r="T99" i="37"/>
  <c r="S99" i="37"/>
  <c r="AG97" i="37"/>
  <c r="AF97" i="37"/>
  <c r="AE97" i="37"/>
  <c r="AD97" i="37"/>
  <c r="AB97" i="37"/>
  <c r="AA97" i="37"/>
  <c r="Z97" i="37"/>
  <c r="Y97" i="37"/>
  <c r="X97" i="37"/>
  <c r="W97" i="37"/>
  <c r="V97" i="37"/>
  <c r="U97" i="37"/>
  <c r="T97" i="37"/>
  <c r="S97" i="37"/>
  <c r="AG95" i="37"/>
  <c r="AF95" i="37"/>
  <c r="AE95" i="37"/>
  <c r="AD95" i="37"/>
  <c r="AB95" i="37"/>
  <c r="AA95" i="37"/>
  <c r="Z95" i="37"/>
  <c r="Y95" i="37"/>
  <c r="X95" i="37"/>
  <c r="W95" i="37"/>
  <c r="V95" i="37"/>
  <c r="U95" i="37"/>
  <c r="T95" i="37"/>
  <c r="S95" i="37"/>
  <c r="AG94" i="37"/>
  <c r="AF94" i="37"/>
  <c r="AE94" i="37"/>
  <c r="AD94" i="37"/>
  <c r="AB94" i="37"/>
  <c r="AA94" i="37"/>
  <c r="Z94" i="37"/>
  <c r="Y94" i="37"/>
  <c r="X94" i="37"/>
  <c r="W94" i="37"/>
  <c r="V94" i="37"/>
  <c r="U94" i="37"/>
  <c r="T94" i="37"/>
  <c r="S94" i="37"/>
  <c r="AG90" i="37"/>
  <c r="AF90" i="37"/>
  <c r="AE90" i="37"/>
  <c r="AD90" i="37"/>
  <c r="AB90" i="37"/>
  <c r="AA90" i="37"/>
  <c r="Z90" i="37"/>
  <c r="Y90" i="37"/>
  <c r="X90" i="37"/>
  <c r="W90" i="37"/>
  <c r="V90" i="37"/>
  <c r="U90" i="37"/>
  <c r="T90" i="37"/>
  <c r="S90" i="37"/>
  <c r="AG88" i="37"/>
  <c r="AF88" i="37"/>
  <c r="AE88" i="37"/>
  <c r="AD88" i="37"/>
  <c r="AB88" i="37"/>
  <c r="AA88" i="37"/>
  <c r="Z88" i="37"/>
  <c r="Y88" i="37"/>
  <c r="X88" i="37"/>
  <c r="W88" i="37"/>
  <c r="V88" i="37"/>
  <c r="U88" i="37"/>
  <c r="T88" i="37"/>
  <c r="S88" i="37"/>
  <c r="AG87" i="37"/>
  <c r="AF87" i="37"/>
  <c r="AE87" i="37"/>
  <c r="AD87" i="37"/>
  <c r="AB87" i="37"/>
  <c r="AA87" i="37"/>
  <c r="Z87" i="37"/>
  <c r="Y87" i="37"/>
  <c r="X87" i="37"/>
  <c r="W87" i="37"/>
  <c r="V87" i="37"/>
  <c r="U87" i="37"/>
  <c r="T87" i="37"/>
  <c r="S87" i="37"/>
  <c r="AG86" i="37"/>
  <c r="AF86" i="37"/>
  <c r="AE86" i="37"/>
  <c r="AD86" i="37"/>
  <c r="AB86" i="37"/>
  <c r="AA86" i="37"/>
  <c r="Z86" i="37"/>
  <c r="Y86" i="37"/>
  <c r="X86" i="37"/>
  <c r="W86" i="37"/>
  <c r="V86" i="37"/>
  <c r="U86" i="37"/>
  <c r="T86" i="37"/>
  <c r="S86" i="37"/>
  <c r="AG85" i="37"/>
  <c r="AF85" i="37"/>
  <c r="AE85" i="37"/>
  <c r="AD85" i="37"/>
  <c r="AB85" i="37"/>
  <c r="AA85" i="37"/>
  <c r="Z85" i="37"/>
  <c r="Y85" i="37"/>
  <c r="X85" i="37"/>
  <c r="W85" i="37"/>
  <c r="V85" i="37"/>
  <c r="U85" i="37"/>
  <c r="T85" i="37"/>
  <c r="S85" i="37"/>
  <c r="AG83" i="37"/>
  <c r="AF83" i="37"/>
  <c r="AE83" i="37"/>
  <c r="AD83" i="37"/>
  <c r="AB83" i="37"/>
  <c r="AA83" i="37"/>
  <c r="Z83" i="37"/>
  <c r="Y83" i="37"/>
  <c r="X83" i="37"/>
  <c r="W83" i="37"/>
  <c r="V83" i="37"/>
  <c r="U83" i="37"/>
  <c r="T83" i="37"/>
  <c r="S83" i="37"/>
  <c r="AG82" i="37"/>
  <c r="AF82" i="37"/>
  <c r="AE82" i="37"/>
  <c r="AD82" i="37"/>
  <c r="AB82" i="37"/>
  <c r="AA82" i="37"/>
  <c r="Z82" i="37"/>
  <c r="Y82" i="37"/>
  <c r="X82" i="37"/>
  <c r="W82" i="37"/>
  <c r="V82" i="37"/>
  <c r="U82" i="37"/>
  <c r="T82" i="37"/>
  <c r="S82" i="37"/>
  <c r="AG81" i="37"/>
  <c r="AF81" i="37"/>
  <c r="AE81" i="37"/>
  <c r="AD81" i="37"/>
  <c r="AB81" i="37"/>
  <c r="AA81" i="37"/>
  <c r="Z81" i="37"/>
  <c r="Y81" i="37"/>
  <c r="X81" i="37"/>
  <c r="W81" i="37"/>
  <c r="V81" i="37"/>
  <c r="U81" i="37"/>
  <c r="T81" i="37"/>
  <c r="S81" i="37"/>
  <c r="AG80" i="37"/>
  <c r="AF80" i="37"/>
  <c r="AE80" i="37"/>
  <c r="AD80" i="37"/>
  <c r="AB80" i="37"/>
  <c r="AA80" i="37"/>
  <c r="Z80" i="37"/>
  <c r="Y80" i="37"/>
  <c r="X80" i="37"/>
  <c r="W80" i="37"/>
  <c r="V80" i="37"/>
  <c r="U80" i="37"/>
  <c r="T80" i="37"/>
  <c r="S80" i="37"/>
  <c r="AG79" i="37"/>
  <c r="AF79" i="37"/>
  <c r="AE79" i="37"/>
  <c r="AD79" i="37"/>
  <c r="AB79" i="37"/>
  <c r="AA79" i="37"/>
  <c r="Z79" i="37"/>
  <c r="Y79" i="37"/>
  <c r="X79" i="37"/>
  <c r="W79" i="37"/>
  <c r="V79" i="37"/>
  <c r="U79" i="37"/>
  <c r="T79" i="37"/>
  <c r="S79" i="37"/>
  <c r="AG76" i="37"/>
  <c r="AF76" i="37"/>
  <c r="AE76" i="37"/>
  <c r="AD76" i="37"/>
  <c r="AB76" i="37"/>
  <c r="AA76" i="37"/>
  <c r="Z76" i="37"/>
  <c r="Y76" i="37"/>
  <c r="X76" i="37"/>
  <c r="W76" i="37"/>
  <c r="V76" i="37"/>
  <c r="U76" i="37"/>
  <c r="T76" i="37"/>
  <c r="S76" i="37"/>
  <c r="AG75" i="37"/>
  <c r="AF75" i="37"/>
  <c r="AE75" i="37"/>
  <c r="AD75" i="37"/>
  <c r="AB75" i="37"/>
  <c r="AA75" i="37"/>
  <c r="Z75" i="37"/>
  <c r="Y75" i="37"/>
  <c r="X75" i="37"/>
  <c r="W75" i="37"/>
  <c r="V75" i="37"/>
  <c r="U75" i="37"/>
  <c r="T75" i="37"/>
  <c r="S75" i="37"/>
  <c r="AG73" i="37"/>
  <c r="AF73" i="37"/>
  <c r="AE73" i="37"/>
  <c r="AD73" i="37"/>
  <c r="AB73" i="37"/>
  <c r="AA73" i="37"/>
  <c r="Z73" i="37"/>
  <c r="Y73" i="37"/>
  <c r="X73" i="37"/>
  <c r="W73" i="37"/>
  <c r="V73" i="37"/>
  <c r="U73" i="37"/>
  <c r="T73" i="37"/>
  <c r="S73" i="37"/>
  <c r="AG69" i="37"/>
  <c r="AF69" i="37"/>
  <c r="AE69" i="37"/>
  <c r="AD69" i="37"/>
  <c r="AB69" i="37"/>
  <c r="AA69" i="37"/>
  <c r="Z69" i="37"/>
  <c r="Y69" i="37"/>
  <c r="X69" i="37"/>
  <c r="W69" i="37"/>
  <c r="V69" i="37"/>
  <c r="U69" i="37"/>
  <c r="T69" i="37"/>
  <c r="S69" i="37"/>
  <c r="AG67" i="37"/>
  <c r="AF67" i="37"/>
  <c r="AE67" i="37"/>
  <c r="AD67" i="37"/>
  <c r="AB67" i="37"/>
  <c r="AA67" i="37"/>
  <c r="Z67" i="37"/>
  <c r="Y67" i="37"/>
  <c r="X67" i="37"/>
  <c r="W67" i="37"/>
  <c r="V67" i="37"/>
  <c r="U67" i="37"/>
  <c r="T67" i="37"/>
  <c r="S67" i="37"/>
  <c r="AG64" i="37"/>
  <c r="AF64" i="37"/>
  <c r="AE64" i="37"/>
  <c r="AD64" i="37"/>
  <c r="AB64" i="37"/>
  <c r="AA64" i="37"/>
  <c r="Z64" i="37"/>
  <c r="Y64" i="37"/>
  <c r="X64" i="37"/>
  <c r="W64" i="37"/>
  <c r="V64" i="37"/>
  <c r="U64" i="37"/>
  <c r="T64" i="37"/>
  <c r="S64" i="37"/>
  <c r="AG63" i="37"/>
  <c r="AF63" i="37"/>
  <c r="AE63" i="37"/>
  <c r="AD63" i="37"/>
  <c r="AB63" i="37"/>
  <c r="AA63" i="37"/>
  <c r="Z63" i="37"/>
  <c r="Y63" i="37"/>
  <c r="X63" i="37"/>
  <c r="W63" i="37"/>
  <c r="V63" i="37"/>
  <c r="U63" i="37"/>
  <c r="T63" i="37"/>
  <c r="S63" i="37"/>
  <c r="AG62" i="37"/>
  <c r="AF62" i="37"/>
  <c r="AE62" i="37"/>
  <c r="AD62" i="37"/>
  <c r="AB62" i="37"/>
  <c r="AA62" i="37"/>
  <c r="Z62" i="37"/>
  <c r="Y62" i="37"/>
  <c r="X62" i="37"/>
  <c r="W62" i="37"/>
  <c r="V62" i="37"/>
  <c r="U62" i="37"/>
  <c r="T62" i="37"/>
  <c r="S62" i="37"/>
  <c r="AG59" i="37"/>
  <c r="AF59" i="37"/>
  <c r="AE59" i="37"/>
  <c r="AD59" i="37"/>
  <c r="AB59" i="37"/>
  <c r="AA59" i="37"/>
  <c r="Z59" i="37"/>
  <c r="Y59" i="37"/>
  <c r="X59" i="37"/>
  <c r="W59" i="37"/>
  <c r="V59" i="37"/>
  <c r="U59" i="37"/>
  <c r="T59" i="37"/>
  <c r="S59" i="37"/>
  <c r="AG56" i="37"/>
  <c r="AF56" i="37"/>
  <c r="AE56" i="37"/>
  <c r="AD56" i="37"/>
  <c r="AB56" i="37"/>
  <c r="AA56" i="37"/>
  <c r="Z56" i="37"/>
  <c r="Y56" i="37"/>
  <c r="X56" i="37"/>
  <c r="W56" i="37"/>
  <c r="V56" i="37"/>
  <c r="U56" i="37"/>
  <c r="T56" i="37"/>
  <c r="S56" i="37"/>
  <c r="AG53" i="37"/>
  <c r="AF53" i="37"/>
  <c r="AE53" i="37"/>
  <c r="AD53" i="37"/>
  <c r="AB53" i="37"/>
  <c r="AA53" i="37"/>
  <c r="Z53" i="37"/>
  <c r="Y53" i="37"/>
  <c r="X53" i="37"/>
  <c r="W53" i="37"/>
  <c r="V53" i="37"/>
  <c r="U53" i="37"/>
  <c r="T53" i="37"/>
  <c r="S53" i="37"/>
  <c r="AG51" i="37"/>
  <c r="AF51" i="37"/>
  <c r="AE51" i="37"/>
  <c r="AD51" i="37"/>
  <c r="AB51" i="37"/>
  <c r="AA51" i="37"/>
  <c r="Z51" i="37"/>
  <c r="Y51" i="37"/>
  <c r="X51" i="37"/>
  <c r="W51" i="37"/>
  <c r="V51" i="37"/>
  <c r="U51" i="37"/>
  <c r="T51" i="37"/>
  <c r="S51" i="37"/>
  <c r="AG50" i="37"/>
  <c r="AF50" i="37"/>
  <c r="AE50" i="37"/>
  <c r="AD50" i="37"/>
  <c r="AB50" i="37"/>
  <c r="AA50" i="37"/>
  <c r="Z50" i="37"/>
  <c r="Y50" i="37"/>
  <c r="X50" i="37"/>
  <c r="W50" i="37"/>
  <c r="V50" i="37"/>
  <c r="U50" i="37"/>
  <c r="T50" i="37"/>
  <c r="S50" i="37"/>
  <c r="AG49" i="37"/>
  <c r="AF49" i="37"/>
  <c r="AE49" i="37"/>
  <c r="AD49" i="37"/>
  <c r="AB49" i="37"/>
  <c r="AA49" i="37"/>
  <c r="Z49" i="37"/>
  <c r="Y49" i="37"/>
  <c r="X49" i="37"/>
  <c r="W49" i="37"/>
  <c r="V49" i="37"/>
  <c r="U49" i="37"/>
  <c r="T49" i="37"/>
  <c r="S49" i="37"/>
  <c r="AG47" i="37"/>
  <c r="AF47" i="37"/>
  <c r="AE47" i="37"/>
  <c r="AD47" i="37"/>
  <c r="AB47" i="37"/>
  <c r="AA47" i="37"/>
  <c r="Z47" i="37"/>
  <c r="Y47" i="37"/>
  <c r="X47" i="37"/>
  <c r="W47" i="37"/>
  <c r="V47" i="37"/>
  <c r="U47" i="37"/>
  <c r="T47" i="37"/>
  <c r="S47" i="37"/>
  <c r="AG42" i="37"/>
  <c r="AF42" i="37"/>
  <c r="AE42" i="37"/>
  <c r="AD42" i="37"/>
  <c r="AB42" i="37"/>
  <c r="AA42" i="37"/>
  <c r="Z42" i="37"/>
  <c r="Y42" i="37"/>
  <c r="X42" i="37"/>
  <c r="W42" i="37"/>
  <c r="V42" i="37"/>
  <c r="U42" i="37"/>
  <c r="T42" i="37"/>
  <c r="S42" i="37"/>
  <c r="AG41" i="37"/>
  <c r="AF41" i="37"/>
  <c r="AE41" i="37"/>
  <c r="AD41" i="37"/>
  <c r="AB41" i="37"/>
  <c r="AA41" i="37"/>
  <c r="Z41" i="37"/>
  <c r="Y41" i="37"/>
  <c r="X41" i="37"/>
  <c r="W41" i="37"/>
  <c r="V41" i="37"/>
  <c r="U41" i="37"/>
  <c r="T41" i="37"/>
  <c r="S41" i="37"/>
  <c r="AG39" i="37"/>
  <c r="AF39" i="37"/>
  <c r="AE39" i="37"/>
  <c r="AD39" i="37"/>
  <c r="AB39" i="37"/>
  <c r="AA39" i="37"/>
  <c r="Z39" i="37"/>
  <c r="Y39" i="37"/>
  <c r="X39" i="37"/>
  <c r="W39" i="37"/>
  <c r="V39" i="37"/>
  <c r="U39" i="37"/>
  <c r="T39" i="37"/>
  <c r="S39" i="37"/>
  <c r="AG38" i="37"/>
  <c r="AF38" i="37"/>
  <c r="AE38" i="37"/>
  <c r="AD38" i="37"/>
  <c r="AB38" i="37"/>
  <c r="AA38" i="37"/>
  <c r="Z38" i="37"/>
  <c r="Y38" i="37"/>
  <c r="X38" i="37"/>
  <c r="W38" i="37"/>
  <c r="V38" i="37"/>
  <c r="U38" i="37"/>
  <c r="T38" i="37"/>
  <c r="S38" i="37"/>
  <c r="AG32" i="37"/>
  <c r="AF32" i="37"/>
  <c r="AE32" i="37"/>
  <c r="AD32" i="37"/>
  <c r="AB32" i="37"/>
  <c r="AA32" i="37"/>
  <c r="Z32" i="37"/>
  <c r="Y32" i="37"/>
  <c r="X32" i="37"/>
  <c r="W32" i="37"/>
  <c r="V32" i="37"/>
  <c r="U32" i="37"/>
  <c r="T32" i="37"/>
  <c r="S32" i="37"/>
  <c r="AG30" i="37"/>
  <c r="AF30" i="37"/>
  <c r="AE30" i="37"/>
  <c r="AD30" i="37"/>
  <c r="AB30" i="37"/>
  <c r="AA30" i="37"/>
  <c r="Z30" i="37"/>
  <c r="Y30" i="37"/>
  <c r="X30" i="37"/>
  <c r="W30" i="37"/>
  <c r="V30" i="37"/>
  <c r="U30" i="37"/>
  <c r="T30" i="37"/>
  <c r="S30" i="37"/>
  <c r="AG28" i="37"/>
  <c r="AF28" i="37"/>
  <c r="AE28" i="37"/>
  <c r="AD28" i="37"/>
  <c r="AB28" i="37"/>
  <c r="AA28" i="37"/>
  <c r="Z28" i="37"/>
  <c r="Y28" i="37"/>
  <c r="X28" i="37"/>
  <c r="W28" i="37"/>
  <c r="V28" i="37"/>
  <c r="U28" i="37"/>
  <c r="T28" i="37"/>
  <c r="S28" i="37"/>
  <c r="AG26" i="37"/>
  <c r="AF26" i="37"/>
  <c r="AE26" i="37"/>
  <c r="AD26" i="37"/>
  <c r="AB26" i="37"/>
  <c r="AA26" i="37"/>
  <c r="Z26" i="37"/>
  <c r="Y26" i="37"/>
  <c r="X26" i="37"/>
  <c r="W26" i="37"/>
  <c r="V26" i="37"/>
  <c r="U26" i="37"/>
  <c r="T26" i="37"/>
  <c r="S26" i="37"/>
  <c r="AG25" i="37"/>
  <c r="AF25" i="37"/>
  <c r="AE25" i="37"/>
  <c r="AD25" i="37"/>
  <c r="AB25" i="37"/>
  <c r="AA25" i="37"/>
  <c r="Z25" i="37"/>
  <c r="Y25" i="37"/>
  <c r="X25" i="37"/>
  <c r="W25" i="37"/>
  <c r="V25" i="37"/>
  <c r="U25" i="37"/>
  <c r="T25" i="37"/>
  <c r="S25" i="37"/>
  <c r="AG24" i="37"/>
  <c r="AF24" i="37"/>
  <c r="AE24" i="37"/>
  <c r="AD24" i="37"/>
  <c r="AB24" i="37"/>
  <c r="AA24" i="37"/>
  <c r="Z24" i="37"/>
  <c r="Y24" i="37"/>
  <c r="X24" i="37"/>
  <c r="W24" i="37"/>
  <c r="V24" i="37"/>
  <c r="U24" i="37"/>
  <c r="T24" i="37"/>
  <c r="S24" i="37"/>
  <c r="AG22" i="37"/>
  <c r="AF22" i="37"/>
  <c r="AE22" i="37"/>
  <c r="AD22" i="37"/>
  <c r="AB22" i="37"/>
  <c r="AA22" i="37"/>
  <c r="Z22" i="37"/>
  <c r="Y22" i="37"/>
  <c r="X22" i="37"/>
  <c r="W22" i="37"/>
  <c r="V22" i="37"/>
  <c r="U22" i="37"/>
  <c r="T22" i="37"/>
  <c r="S22" i="37"/>
  <c r="AG20" i="37"/>
  <c r="AF20" i="37"/>
  <c r="AE20" i="37"/>
  <c r="AD20" i="37"/>
  <c r="AB20" i="37"/>
  <c r="AA20" i="37"/>
  <c r="Z20" i="37"/>
  <c r="Y20" i="37"/>
  <c r="X20" i="37"/>
  <c r="W20" i="37"/>
  <c r="V20" i="37"/>
  <c r="U20" i="37"/>
  <c r="T20" i="37"/>
  <c r="S20" i="37"/>
  <c r="AG19" i="37"/>
  <c r="AF19" i="37"/>
  <c r="AE19" i="37"/>
  <c r="AD19" i="37"/>
  <c r="AB19" i="37"/>
  <c r="AA19" i="37"/>
  <c r="Z19" i="37"/>
  <c r="Y19" i="37"/>
  <c r="X19" i="37"/>
  <c r="W19" i="37"/>
  <c r="V19" i="37"/>
  <c r="U19" i="37"/>
  <c r="T19" i="37"/>
  <c r="S19" i="37"/>
  <c r="AG18" i="37"/>
  <c r="AF18" i="37"/>
  <c r="AE18" i="37"/>
  <c r="AD18" i="37"/>
  <c r="AB18" i="37"/>
  <c r="AA18" i="37"/>
  <c r="Z18" i="37"/>
  <c r="Y18" i="37"/>
  <c r="X18" i="37"/>
  <c r="W18" i="37"/>
  <c r="V18" i="37"/>
  <c r="U18" i="37"/>
  <c r="T18" i="37"/>
  <c r="S18" i="37"/>
  <c r="AG17" i="37"/>
  <c r="AF17" i="37"/>
  <c r="AE17" i="37"/>
  <c r="AD17" i="37"/>
  <c r="AB17" i="37"/>
  <c r="AA17" i="37"/>
  <c r="Z17" i="37"/>
  <c r="Y17" i="37"/>
  <c r="X17" i="37"/>
  <c r="W17" i="37"/>
  <c r="V17" i="37"/>
  <c r="U17" i="37"/>
  <c r="T17" i="37"/>
  <c r="S17" i="37"/>
  <c r="AG16" i="37"/>
  <c r="AF16" i="37"/>
  <c r="AE16" i="37"/>
  <c r="AD16" i="37"/>
  <c r="AB16" i="37"/>
  <c r="AA16" i="37"/>
  <c r="Z16" i="37"/>
  <c r="Y16" i="37"/>
  <c r="X16" i="37"/>
  <c r="W16" i="37"/>
  <c r="V16" i="37"/>
  <c r="U16" i="37"/>
  <c r="T16" i="37"/>
  <c r="S16" i="37"/>
  <c r="AG12" i="37"/>
  <c r="AF12" i="37"/>
  <c r="AE12" i="37"/>
  <c r="AD12" i="37"/>
  <c r="AB12" i="37"/>
  <c r="AA12" i="37"/>
  <c r="Z12" i="37"/>
  <c r="Y12" i="37"/>
  <c r="X12" i="37"/>
  <c r="W12" i="37"/>
  <c r="V12" i="37"/>
  <c r="U12" i="37"/>
  <c r="T12" i="37"/>
  <c r="S12" i="37"/>
  <c r="AG11" i="37"/>
  <c r="AF11" i="37"/>
  <c r="AE11" i="37"/>
  <c r="AD11" i="37"/>
  <c r="AB11" i="37"/>
  <c r="AA11" i="37"/>
  <c r="Z11" i="37"/>
  <c r="Y11" i="37"/>
  <c r="X11" i="37"/>
  <c r="W11" i="37"/>
  <c r="V11" i="37"/>
  <c r="U11" i="37"/>
  <c r="T11" i="37"/>
  <c r="S11" i="37"/>
  <c r="AG10" i="37"/>
  <c r="AF10" i="37"/>
  <c r="AE10" i="37"/>
  <c r="AD10" i="37"/>
  <c r="AB10" i="37"/>
  <c r="AA10" i="37"/>
  <c r="Z10" i="37"/>
  <c r="Y10" i="37"/>
  <c r="X10" i="37"/>
  <c r="W10" i="37"/>
  <c r="V10" i="37"/>
  <c r="U10" i="37"/>
  <c r="T10" i="37"/>
  <c r="S10" i="37"/>
  <c r="AG9" i="37"/>
  <c r="AF9" i="37"/>
  <c r="AE9" i="37"/>
  <c r="AD9" i="37"/>
  <c r="AB9" i="37"/>
  <c r="AA9" i="37"/>
  <c r="Z9" i="37"/>
  <c r="Y9" i="37"/>
  <c r="X9" i="37"/>
  <c r="W9" i="37"/>
  <c r="V9" i="37"/>
  <c r="U9" i="37"/>
  <c r="T9" i="37"/>
  <c r="S9" i="37"/>
  <c r="AG8" i="37"/>
  <c r="AF8" i="37"/>
  <c r="AE8" i="37"/>
  <c r="AD8" i="37"/>
  <c r="AB8" i="37"/>
  <c r="AA8" i="37"/>
  <c r="Z8" i="37"/>
  <c r="Y8" i="37"/>
  <c r="X8" i="37"/>
  <c r="W8" i="37"/>
  <c r="V8" i="37"/>
  <c r="U8" i="37"/>
  <c r="T8" i="37"/>
  <c r="S8" i="37"/>
  <c r="AG7" i="37"/>
  <c r="AF7" i="37"/>
  <c r="AE7" i="37"/>
  <c r="AD7" i="37"/>
  <c r="AB7" i="37"/>
  <c r="AA7" i="37"/>
  <c r="Z7" i="37"/>
  <c r="Y7" i="37"/>
  <c r="X7" i="37"/>
  <c r="W7" i="37"/>
  <c r="V7" i="37"/>
  <c r="U7" i="37"/>
  <c r="T7" i="37"/>
  <c r="S7" i="37"/>
  <c r="Y4" i="16"/>
  <c r="Y5" i="16"/>
  <c r="Y6" i="16"/>
  <c r="Y7" i="16"/>
  <c r="Y8" i="16"/>
  <c r="Y9" i="16"/>
  <c r="Y10" i="16"/>
  <c r="Y11" i="16"/>
  <c r="Y12" i="16"/>
  <c r="Y13" i="16"/>
  <c r="Y14" i="16"/>
  <c r="Y15" i="16"/>
  <c r="Y16" i="16"/>
  <c r="Y17" i="16"/>
  <c r="Y18" i="16"/>
  <c r="Y19" i="16"/>
  <c r="Y20" i="16"/>
  <c r="Y21" i="16"/>
  <c r="Y22" i="16"/>
  <c r="Y23" i="16"/>
  <c r="Y24" i="16"/>
  <c r="Y25" i="16"/>
  <c r="Y26" i="16"/>
  <c r="Y27" i="16"/>
  <c r="Y28" i="16"/>
  <c r="Y29" i="16"/>
  <c r="Y30" i="16"/>
  <c r="Y31" i="16"/>
  <c r="Y32" i="16"/>
  <c r="Y33" i="16"/>
  <c r="Y34" i="16"/>
  <c r="Y35" i="16"/>
  <c r="Y36" i="16"/>
  <c r="Y37" i="16"/>
  <c r="Y38" i="16"/>
  <c r="Y39" i="16"/>
  <c r="Y40" i="16"/>
  <c r="Y41" i="16"/>
  <c r="Y42" i="16"/>
  <c r="Y43" i="16"/>
  <c r="Y44" i="16"/>
  <c r="Y45" i="16"/>
  <c r="Y46" i="16"/>
  <c r="Y47" i="16"/>
  <c r="Y48" i="16"/>
  <c r="Y49" i="16"/>
  <c r="Y50" i="16"/>
  <c r="Y51" i="16"/>
  <c r="Y52" i="16"/>
  <c r="Y53" i="16"/>
  <c r="Y54" i="16"/>
  <c r="Y55" i="16"/>
  <c r="Y56" i="16"/>
  <c r="Y57" i="16"/>
  <c r="Y58" i="16"/>
  <c r="Y59" i="16"/>
  <c r="Y60" i="16"/>
  <c r="Y61" i="16"/>
  <c r="Y62" i="16"/>
  <c r="Y63" i="16"/>
  <c r="Y64" i="16"/>
  <c r="Y65" i="16"/>
  <c r="Y66" i="16"/>
  <c r="Y67" i="16"/>
  <c r="Y68" i="16"/>
  <c r="Y69" i="16"/>
  <c r="Y70" i="16"/>
  <c r="Y71" i="16"/>
  <c r="Y72" i="16"/>
  <c r="Y73" i="16"/>
  <c r="Y74" i="16"/>
  <c r="Y75" i="16"/>
  <c r="Y76" i="16"/>
  <c r="Y77" i="16"/>
  <c r="Y78" i="16"/>
  <c r="Y79" i="16"/>
  <c r="Y80" i="16"/>
  <c r="Y81" i="16"/>
  <c r="Y82" i="16"/>
  <c r="Y83" i="16"/>
  <c r="Y84" i="16"/>
  <c r="Y85" i="16"/>
  <c r="Y86" i="16"/>
  <c r="Y87" i="16"/>
  <c r="Y88" i="16"/>
  <c r="Y89" i="16"/>
  <c r="Y90" i="16"/>
  <c r="Y91" i="16"/>
  <c r="Y92" i="16"/>
  <c r="Y93" i="16"/>
  <c r="Y94" i="16"/>
  <c r="Y95" i="16"/>
  <c r="Y96" i="16"/>
  <c r="Y97" i="16"/>
  <c r="Y98" i="16"/>
  <c r="Y99" i="16"/>
  <c r="Y100" i="16"/>
  <c r="Y101" i="16"/>
  <c r="Y102" i="16"/>
  <c r="Y103" i="16"/>
  <c r="Y104" i="16"/>
  <c r="Y105" i="16"/>
  <c r="Y106" i="16"/>
  <c r="Y107" i="16"/>
  <c r="Y108" i="16"/>
  <c r="Y109" i="16"/>
  <c r="Y110" i="16"/>
  <c r="Y111" i="16"/>
  <c r="Y112" i="16"/>
  <c r="Y113" i="16"/>
  <c r="Y114" i="16"/>
  <c r="Y115" i="16"/>
  <c r="Y116" i="16"/>
  <c r="Y117" i="16"/>
  <c r="Y118" i="16"/>
  <c r="Y119" i="16"/>
  <c r="Y120" i="16"/>
  <c r="Y121" i="16"/>
  <c r="Y122" i="16"/>
  <c r="Y123" i="16"/>
  <c r="Y124" i="16"/>
  <c r="Y125" i="16"/>
  <c r="Y126" i="16"/>
  <c r="Y127" i="16"/>
  <c r="Y128" i="16"/>
  <c r="Y129" i="16"/>
  <c r="Y130" i="16"/>
  <c r="Y131" i="16"/>
  <c r="Y132" i="16"/>
  <c r="Y133" i="16"/>
  <c r="Y134" i="16"/>
  <c r="Y135" i="16"/>
  <c r="Y136" i="16"/>
  <c r="Y137" i="16"/>
  <c r="Y138" i="16"/>
  <c r="Y139" i="16"/>
  <c r="Y140" i="16"/>
  <c r="Y141" i="16"/>
  <c r="Y142" i="16"/>
  <c r="Y143" i="16"/>
  <c r="Y144" i="16"/>
  <c r="Y145" i="16"/>
  <c r="Y146" i="16"/>
  <c r="Y147" i="16"/>
  <c r="Y148" i="16"/>
  <c r="Y149" i="16"/>
  <c r="Y150" i="16"/>
  <c r="Y151" i="16"/>
  <c r="Y152" i="16"/>
  <c r="Y153" i="16"/>
  <c r="Y154" i="16"/>
  <c r="Y155" i="16"/>
  <c r="Y156" i="16"/>
  <c r="Y157" i="16"/>
  <c r="Y158" i="16"/>
  <c r="Y159" i="16"/>
  <c r="Y160" i="16"/>
  <c r="Y161" i="16"/>
  <c r="Y162" i="16"/>
  <c r="Y163" i="16"/>
  <c r="Y164" i="16"/>
  <c r="Y165" i="16"/>
  <c r="Y166" i="16"/>
  <c r="Y167" i="16"/>
  <c r="Y168" i="16"/>
  <c r="Y169" i="16"/>
  <c r="Y170" i="16"/>
  <c r="Y171" i="16"/>
  <c r="Y172" i="16"/>
  <c r="Y173" i="16"/>
  <c r="Y174" i="16"/>
  <c r="Y175" i="16"/>
  <c r="Y176" i="16"/>
  <c r="Y177" i="16"/>
  <c r="Y178" i="16"/>
  <c r="Y179" i="16"/>
  <c r="Y180" i="16"/>
  <c r="Y181" i="16"/>
  <c r="Y182" i="16"/>
  <c r="Y183" i="16"/>
  <c r="Y184" i="16"/>
  <c r="Y185" i="16"/>
  <c r="Y186" i="16"/>
  <c r="Y187" i="16"/>
  <c r="Y188" i="16"/>
  <c r="Y189" i="16"/>
  <c r="Y190" i="16"/>
  <c r="Y191" i="16"/>
  <c r="Y192" i="16"/>
  <c r="Y193" i="16"/>
  <c r="Y194" i="16"/>
  <c r="Y195" i="16"/>
  <c r="Y196" i="16"/>
  <c r="Y197" i="16"/>
  <c r="Y198" i="16"/>
  <c r="Y199" i="16"/>
  <c r="Y200" i="16"/>
  <c r="Y201" i="16"/>
  <c r="Y202" i="16"/>
  <c r="Y203" i="16"/>
  <c r="Y204" i="16"/>
  <c r="Y205" i="16"/>
  <c r="Y206" i="16"/>
  <c r="Y207" i="16"/>
  <c r="Y208" i="16"/>
  <c r="Y209" i="16"/>
  <c r="Y210" i="16"/>
  <c r="Y211" i="16"/>
  <c r="Y212" i="16"/>
  <c r="Y213" i="16"/>
  <c r="Y214" i="16"/>
  <c r="Y215" i="16"/>
  <c r="Y216" i="16"/>
  <c r="Y217" i="16"/>
  <c r="Y218" i="16"/>
  <c r="Y219" i="16"/>
  <c r="Y220" i="16"/>
  <c r="Y221" i="16"/>
  <c r="Y222" i="16"/>
  <c r="Y223" i="16"/>
  <c r="Y224" i="16"/>
  <c r="Y225" i="16"/>
  <c r="Y226" i="16"/>
  <c r="Y227" i="16"/>
  <c r="Y228" i="16"/>
  <c r="Y229" i="16"/>
  <c r="Y230" i="16"/>
  <c r="Y231" i="16"/>
  <c r="Y232" i="16"/>
  <c r="Y233" i="16"/>
  <c r="Y234" i="16"/>
  <c r="Y235" i="16"/>
  <c r="Y236" i="16"/>
  <c r="Y237" i="16"/>
  <c r="Y238" i="16"/>
  <c r="Y239" i="16"/>
  <c r="Y240" i="16"/>
  <c r="Y241" i="16"/>
  <c r="Y242" i="16"/>
  <c r="Y243" i="16"/>
  <c r="Y244" i="16"/>
  <c r="Y245" i="16"/>
  <c r="Y246" i="16"/>
  <c r="Y247" i="16"/>
  <c r="Y248" i="16"/>
  <c r="Y249" i="16"/>
  <c r="Y250" i="16"/>
  <c r="Y251" i="16"/>
  <c r="Y252" i="16"/>
  <c r="Y253" i="16"/>
  <c r="Y254" i="16"/>
  <c r="Y255" i="16"/>
  <c r="Y256" i="16"/>
  <c r="Y257" i="16"/>
  <c r="Y258" i="16"/>
  <c r="Y259" i="16"/>
  <c r="Y260" i="16"/>
  <c r="Y261" i="16"/>
  <c r="Y262" i="16"/>
  <c r="Y263" i="16"/>
  <c r="Y264" i="16"/>
  <c r="Y265" i="16"/>
  <c r="Y266" i="16"/>
  <c r="Y267" i="16"/>
  <c r="Y268" i="16"/>
  <c r="Y269" i="16"/>
  <c r="Y270" i="16"/>
  <c r="Y271" i="16"/>
  <c r="Y272" i="16"/>
  <c r="Y273" i="16"/>
  <c r="Y274" i="16"/>
  <c r="Y275" i="16"/>
  <c r="Y276" i="16"/>
  <c r="Y277" i="16"/>
  <c r="Y278" i="16"/>
  <c r="Y279" i="16"/>
  <c r="Y280" i="16"/>
  <c r="Y281" i="16"/>
  <c r="Y282" i="16"/>
  <c r="Y283" i="16"/>
  <c r="Y284" i="16"/>
  <c r="Y285" i="16"/>
  <c r="Y286" i="16"/>
  <c r="Y287" i="16"/>
  <c r="Y288" i="16"/>
  <c r="Y289" i="16"/>
  <c r="Y290" i="16"/>
  <c r="Y291" i="16"/>
  <c r="Y292" i="16"/>
  <c r="Y293" i="16"/>
  <c r="Y294" i="16"/>
  <c r="Y295" i="16"/>
  <c r="Y296" i="16"/>
  <c r="Y297" i="16"/>
  <c r="Y298" i="16"/>
  <c r="Y299" i="16"/>
  <c r="Y300" i="16"/>
  <c r="Y301" i="16"/>
  <c r="Y302" i="16"/>
  <c r="Y303" i="16"/>
  <c r="Y304" i="16"/>
  <c r="Y305" i="16"/>
  <c r="Y306" i="16"/>
  <c r="Y307" i="16"/>
  <c r="Y308" i="16"/>
  <c r="Y309" i="16"/>
  <c r="Y310" i="16"/>
  <c r="Y311" i="16"/>
  <c r="Y312" i="16"/>
  <c r="Y313" i="16"/>
  <c r="Y314" i="16"/>
  <c r="Y315" i="16"/>
  <c r="Y316" i="16"/>
  <c r="Y317" i="16"/>
  <c r="Y318" i="16"/>
  <c r="Y319" i="16"/>
  <c r="Y320" i="16"/>
  <c r="Y321" i="16"/>
  <c r="Y322" i="16"/>
  <c r="Y3" i="16"/>
  <c r="L151" i="70"/>
  <c r="L150" i="70"/>
  <c r="L149" i="70"/>
  <c r="L148" i="70"/>
  <c r="L147" i="70"/>
  <c r="L146" i="70"/>
  <c r="L145" i="70"/>
  <c r="L144" i="70"/>
  <c r="L143" i="70"/>
  <c r="L142" i="70"/>
  <c r="L141" i="70"/>
  <c r="L140" i="70"/>
  <c r="L139" i="70"/>
  <c r="L138" i="70"/>
  <c r="L137" i="70"/>
  <c r="L136" i="70"/>
  <c r="L135" i="70"/>
  <c r="L134" i="70"/>
  <c r="L133" i="70"/>
  <c r="L132" i="70"/>
  <c r="L131" i="70"/>
  <c r="L130" i="70"/>
  <c r="L129" i="70"/>
  <c r="L128" i="70"/>
  <c r="L127" i="70"/>
  <c r="L126" i="70"/>
  <c r="L125" i="70"/>
  <c r="L124" i="70"/>
  <c r="L123" i="70"/>
  <c r="L122" i="70"/>
  <c r="L121" i="70"/>
  <c r="L120" i="70"/>
  <c r="L119" i="70"/>
  <c r="L118" i="70"/>
  <c r="L117" i="70"/>
  <c r="L116" i="70"/>
  <c r="L115" i="70"/>
  <c r="L114" i="70"/>
  <c r="L113" i="70"/>
  <c r="L112" i="70"/>
  <c r="L111" i="70"/>
  <c r="L110" i="70"/>
  <c r="L109" i="70"/>
  <c r="L108" i="70"/>
  <c r="L107" i="70"/>
  <c r="L106" i="70"/>
  <c r="L105" i="70"/>
  <c r="L104" i="70"/>
  <c r="L103" i="70"/>
  <c r="L102" i="70"/>
  <c r="L101" i="70"/>
  <c r="L100" i="70"/>
  <c r="L99" i="70"/>
  <c r="L98" i="70"/>
  <c r="L97" i="70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L105" i="56"/>
  <c r="L104" i="56"/>
  <c r="L103" i="56"/>
  <c r="L102" i="56"/>
  <c r="L101" i="56"/>
  <c r="L100" i="56"/>
  <c r="L99" i="56"/>
  <c r="L98" i="56"/>
  <c r="L97" i="56"/>
  <c r="L151" i="55"/>
  <c r="L150" i="55"/>
  <c r="L149" i="55"/>
  <c r="L148" i="55"/>
  <c r="L147" i="55"/>
  <c r="L146" i="55"/>
  <c r="L145" i="55"/>
  <c r="L144" i="55"/>
  <c r="L143" i="55"/>
  <c r="L142" i="55"/>
  <c r="L141" i="55"/>
  <c r="L140" i="55"/>
  <c r="L139" i="55"/>
  <c r="L138" i="55"/>
  <c r="L137" i="55"/>
  <c r="L136" i="55"/>
  <c r="L135" i="55"/>
  <c r="L134" i="55"/>
  <c r="L133" i="55"/>
  <c r="L132" i="55"/>
  <c r="L131" i="55"/>
  <c r="L130" i="55"/>
  <c r="L129" i="55"/>
  <c r="L128" i="55"/>
  <c r="L127" i="55"/>
  <c r="L126" i="55"/>
  <c r="L125" i="55"/>
  <c r="L124" i="55"/>
  <c r="L123" i="55"/>
  <c r="L122" i="55"/>
  <c r="L121" i="55"/>
  <c r="L120" i="55"/>
  <c r="L119" i="55"/>
  <c r="L118" i="55"/>
  <c r="L117" i="55"/>
  <c r="L116" i="55"/>
  <c r="L115" i="55"/>
  <c r="L114" i="55"/>
  <c r="L113" i="55"/>
  <c r="L112" i="55"/>
  <c r="L111" i="55"/>
  <c r="L110" i="55"/>
  <c r="L109" i="55"/>
  <c r="L108" i="55"/>
  <c r="L107" i="55"/>
  <c r="L106" i="55"/>
  <c r="L105" i="55"/>
  <c r="L104" i="55"/>
  <c r="L103" i="55"/>
  <c r="L102" i="55"/>
  <c r="L101" i="55"/>
  <c r="L100" i="55"/>
  <c r="L99" i="55"/>
  <c r="L98" i="55"/>
  <c r="L97" i="55"/>
  <c r="L151" i="54"/>
  <c r="L150" i="54"/>
  <c r="L149" i="54"/>
  <c r="L148" i="54"/>
  <c r="L147" i="54"/>
  <c r="L146" i="54"/>
  <c r="L145" i="54"/>
  <c r="L144" i="54"/>
  <c r="L143" i="54"/>
  <c r="L142" i="54"/>
  <c r="L141" i="54"/>
  <c r="L140" i="54"/>
  <c r="L139" i="54"/>
  <c r="L138" i="54"/>
  <c r="L137" i="54"/>
  <c r="L136" i="54"/>
  <c r="L135" i="54"/>
  <c r="L134" i="54"/>
  <c r="L133" i="54"/>
  <c r="L132" i="54"/>
  <c r="L131" i="54"/>
  <c r="L130" i="54"/>
  <c r="L129" i="54"/>
  <c r="L128" i="54"/>
  <c r="L127" i="54"/>
  <c r="L126" i="54"/>
  <c r="L125" i="54"/>
  <c r="L124" i="54"/>
  <c r="L123" i="54"/>
  <c r="L122" i="54"/>
  <c r="L121" i="54"/>
  <c r="L120" i="54"/>
  <c r="L119" i="54"/>
  <c r="L118" i="54"/>
  <c r="L117" i="54"/>
  <c r="L116" i="54"/>
  <c r="L115" i="54"/>
  <c r="L114" i="54"/>
  <c r="L113" i="54"/>
  <c r="L112" i="54"/>
  <c r="L111" i="54"/>
  <c r="L110" i="54"/>
  <c r="L109" i="54"/>
  <c r="L108" i="54"/>
  <c r="L107" i="54"/>
  <c r="L106" i="54"/>
  <c r="L105" i="54"/>
  <c r="L104" i="54"/>
  <c r="L103" i="54"/>
  <c r="L102" i="54"/>
  <c r="L101" i="54"/>
  <c r="L100" i="54"/>
  <c r="L99" i="54"/>
  <c r="L98" i="54"/>
  <c r="L97" i="54"/>
  <c r="L151" i="52"/>
  <c r="L150" i="52"/>
  <c r="L149" i="52"/>
  <c r="L148" i="52"/>
  <c r="L147" i="52"/>
  <c r="L146" i="52"/>
  <c r="L145" i="52"/>
  <c r="L144" i="52"/>
  <c r="L143" i="52"/>
  <c r="L142" i="52"/>
  <c r="L141" i="52"/>
  <c r="L140" i="52"/>
  <c r="L139" i="52"/>
  <c r="L138" i="52"/>
  <c r="L137" i="52"/>
  <c r="L136" i="52"/>
  <c r="L135" i="52"/>
  <c r="L134" i="52"/>
  <c r="L133" i="52"/>
  <c r="L132" i="52"/>
  <c r="L131" i="52"/>
  <c r="L130" i="52"/>
  <c r="L129" i="52"/>
  <c r="L128" i="52"/>
  <c r="L127" i="52"/>
  <c r="L126" i="52"/>
  <c r="L125" i="52"/>
  <c r="L124" i="52"/>
  <c r="L123" i="52"/>
  <c r="L122" i="52"/>
  <c r="L121" i="52"/>
  <c r="L120" i="52"/>
  <c r="L119" i="52"/>
  <c r="L118" i="52"/>
  <c r="L117" i="52"/>
  <c r="L116" i="52"/>
  <c r="L115" i="52"/>
  <c r="L114" i="52"/>
  <c r="L113" i="52"/>
  <c r="L112" i="52"/>
  <c r="L111" i="52"/>
  <c r="L110" i="52"/>
  <c r="L109" i="52"/>
  <c r="L108" i="52"/>
  <c r="L107" i="52"/>
  <c r="L106" i="52"/>
  <c r="L105" i="52"/>
  <c r="L104" i="52"/>
  <c r="L103" i="52"/>
  <c r="L102" i="52"/>
  <c r="L101" i="52"/>
  <c r="L100" i="52"/>
  <c r="L99" i="52"/>
  <c r="L98" i="52"/>
  <c r="L97" i="52"/>
  <c r="L151" i="51"/>
  <c r="L150" i="51"/>
  <c r="L149" i="51"/>
  <c r="L148" i="51"/>
  <c r="L147" i="51"/>
  <c r="L146" i="51"/>
  <c r="L145" i="51"/>
  <c r="L144" i="51"/>
  <c r="L143" i="51"/>
  <c r="L142" i="51"/>
  <c r="L141" i="51"/>
  <c r="L140" i="51"/>
  <c r="L139" i="51"/>
  <c r="L138" i="51"/>
  <c r="L137" i="51"/>
  <c r="L136" i="51"/>
  <c r="L135" i="51"/>
  <c r="L134" i="51"/>
  <c r="L133" i="51"/>
  <c r="L132" i="51"/>
  <c r="L131" i="51"/>
  <c r="L130" i="51"/>
  <c r="L129" i="51"/>
  <c r="L128" i="51"/>
  <c r="L127" i="51"/>
  <c r="L126" i="51"/>
  <c r="L125" i="51"/>
  <c r="L124" i="51"/>
  <c r="L123" i="51"/>
  <c r="L122" i="51"/>
  <c r="L121" i="51"/>
  <c r="L120" i="51"/>
  <c r="L119" i="51"/>
  <c r="L118" i="51"/>
  <c r="L117" i="51"/>
  <c r="L116" i="51"/>
  <c r="L115" i="51"/>
  <c r="L114" i="51"/>
  <c r="L113" i="51"/>
  <c r="L112" i="51"/>
  <c r="L111" i="51"/>
  <c r="L110" i="51"/>
  <c r="L109" i="51"/>
  <c r="L108" i="51"/>
  <c r="L107" i="51"/>
  <c r="L106" i="51"/>
  <c r="L105" i="51"/>
  <c r="L104" i="51"/>
  <c r="L103" i="51"/>
  <c r="L102" i="51"/>
  <c r="L101" i="51"/>
  <c r="L100" i="51"/>
  <c r="L99" i="51"/>
  <c r="L98" i="51"/>
  <c r="L97" i="51"/>
  <c r="L151" i="50"/>
  <c r="L150" i="50"/>
  <c r="L149" i="50"/>
  <c r="L148" i="50"/>
  <c r="L147" i="50"/>
  <c r="L146" i="50"/>
  <c r="L145" i="50"/>
  <c r="L144" i="50"/>
  <c r="L143" i="50"/>
  <c r="L142" i="50"/>
  <c r="L141" i="50"/>
  <c r="L140" i="50"/>
  <c r="L139" i="50"/>
  <c r="L138" i="50"/>
  <c r="L137" i="50"/>
  <c r="L136" i="50"/>
  <c r="L135" i="50"/>
  <c r="L134" i="50"/>
  <c r="L133" i="50"/>
  <c r="L132" i="50"/>
  <c r="L131" i="50"/>
  <c r="L130" i="50"/>
  <c r="L129" i="50"/>
  <c r="L128" i="50"/>
  <c r="L127" i="50"/>
  <c r="L126" i="50"/>
  <c r="L125" i="50"/>
  <c r="L124" i="50"/>
  <c r="L123" i="50"/>
  <c r="L122" i="50"/>
  <c r="L121" i="50"/>
  <c r="L120" i="50"/>
  <c r="L119" i="50"/>
  <c r="L118" i="50"/>
  <c r="L117" i="50"/>
  <c r="L116" i="50"/>
  <c r="L115" i="50"/>
  <c r="L114" i="50"/>
  <c r="L113" i="50"/>
  <c r="L112" i="50"/>
  <c r="L111" i="50"/>
  <c r="L110" i="50"/>
  <c r="L109" i="50"/>
  <c r="L108" i="50"/>
  <c r="L107" i="50"/>
  <c r="L106" i="50"/>
  <c r="L105" i="50"/>
  <c r="L104" i="50"/>
  <c r="L103" i="50"/>
  <c r="L102" i="50"/>
  <c r="L101" i="50"/>
  <c r="L100" i="50"/>
  <c r="L99" i="50"/>
  <c r="L98" i="50"/>
  <c r="L97" i="50"/>
  <c r="L151" i="43"/>
  <c r="L150" i="43"/>
  <c r="L149" i="43"/>
  <c r="L148" i="43"/>
  <c r="L147" i="43"/>
  <c r="L146" i="43"/>
  <c r="L145" i="43"/>
  <c r="L144" i="43"/>
  <c r="L143" i="43"/>
  <c r="L142" i="43"/>
  <c r="L141" i="43"/>
  <c r="L140" i="43"/>
  <c r="L139" i="43"/>
  <c r="L138" i="43"/>
  <c r="L137" i="43"/>
  <c r="L136" i="43"/>
  <c r="L135" i="43"/>
  <c r="L134" i="43"/>
  <c r="L133" i="43"/>
  <c r="L132" i="43"/>
  <c r="L131" i="43"/>
  <c r="L130" i="43"/>
  <c r="L129" i="43"/>
  <c r="L128" i="43"/>
  <c r="L127" i="43"/>
  <c r="L126" i="43"/>
  <c r="L125" i="43"/>
  <c r="L124" i="43"/>
  <c r="L123" i="43"/>
  <c r="L122" i="43"/>
  <c r="L121" i="43"/>
  <c r="L120" i="43"/>
  <c r="L119" i="43"/>
  <c r="L118" i="43"/>
  <c r="L117" i="43"/>
  <c r="L116" i="43"/>
  <c r="L115" i="43"/>
  <c r="L114" i="43"/>
  <c r="L113" i="43"/>
  <c r="L112" i="43"/>
  <c r="L111" i="43"/>
  <c r="L110" i="43"/>
  <c r="L109" i="43"/>
  <c r="L108" i="43"/>
  <c r="L107" i="43"/>
  <c r="L106" i="43"/>
  <c r="L105" i="43"/>
  <c r="L104" i="43"/>
  <c r="L103" i="43"/>
  <c r="L102" i="43"/>
  <c r="L101" i="43"/>
  <c r="L100" i="43"/>
  <c r="L99" i="43"/>
  <c r="L98" i="43"/>
  <c r="L97" i="43"/>
  <c r="L151" i="45"/>
  <c r="L150" i="45"/>
  <c r="L149" i="45"/>
  <c r="L148" i="45"/>
  <c r="L147" i="45"/>
  <c r="L146" i="45"/>
  <c r="L145" i="45"/>
  <c r="L144" i="45"/>
  <c r="L143" i="45"/>
  <c r="L142" i="45"/>
  <c r="L141" i="45"/>
  <c r="L140" i="45"/>
  <c r="L139" i="45"/>
  <c r="L138" i="45"/>
  <c r="L137" i="45"/>
  <c r="L136" i="45"/>
  <c r="L135" i="45"/>
  <c r="L134" i="45"/>
  <c r="L133" i="45"/>
  <c r="L132" i="45"/>
  <c r="L131" i="45"/>
  <c r="L130" i="45"/>
  <c r="L129" i="45"/>
  <c r="L128" i="45"/>
  <c r="L127" i="45"/>
  <c r="L126" i="45"/>
  <c r="L125" i="45"/>
  <c r="L124" i="45"/>
  <c r="L123" i="45"/>
  <c r="L122" i="45"/>
  <c r="L121" i="45"/>
  <c r="L120" i="45"/>
  <c r="L119" i="45"/>
  <c r="L118" i="45"/>
  <c r="L117" i="45"/>
  <c r="L116" i="45"/>
  <c r="L115" i="45"/>
  <c r="L114" i="45"/>
  <c r="L113" i="45"/>
  <c r="L112" i="45"/>
  <c r="L111" i="45"/>
  <c r="L110" i="45"/>
  <c r="L109" i="45"/>
  <c r="L108" i="45"/>
  <c r="L107" i="45"/>
  <c r="L106" i="45"/>
  <c r="L105" i="45"/>
  <c r="L104" i="45"/>
  <c r="L103" i="45"/>
  <c r="L102" i="45"/>
  <c r="L101" i="45"/>
  <c r="L100" i="45"/>
  <c r="L99" i="45"/>
  <c r="L98" i="45"/>
  <c r="L97" i="45"/>
  <c r="L151" i="49"/>
  <c r="L150" i="49"/>
  <c r="L149" i="49"/>
  <c r="L148" i="49"/>
  <c r="L147" i="49"/>
  <c r="L146" i="49"/>
  <c r="L145" i="49"/>
  <c r="L144" i="49"/>
  <c r="L143" i="49"/>
  <c r="L142" i="49"/>
  <c r="L141" i="49"/>
  <c r="L140" i="49"/>
  <c r="L139" i="49"/>
  <c r="L138" i="49"/>
  <c r="L137" i="49"/>
  <c r="L136" i="49"/>
  <c r="L135" i="49"/>
  <c r="L134" i="49"/>
  <c r="L133" i="49"/>
  <c r="L132" i="49"/>
  <c r="L131" i="49"/>
  <c r="L130" i="49"/>
  <c r="L129" i="49"/>
  <c r="L128" i="49"/>
  <c r="L127" i="49"/>
  <c r="L126" i="49"/>
  <c r="L125" i="49"/>
  <c r="L124" i="49"/>
  <c r="L123" i="49"/>
  <c r="L122" i="49"/>
  <c r="L121" i="49"/>
  <c r="L120" i="49"/>
  <c r="L119" i="49"/>
  <c r="L118" i="49"/>
  <c r="L117" i="49"/>
  <c r="L116" i="49"/>
  <c r="L115" i="49"/>
  <c r="L114" i="49"/>
  <c r="L113" i="49"/>
  <c r="L112" i="49"/>
  <c r="L111" i="49"/>
  <c r="L110" i="49"/>
  <c r="L109" i="49"/>
  <c r="L108" i="49"/>
  <c r="L107" i="49"/>
  <c r="L106" i="49"/>
  <c r="L105" i="49"/>
  <c r="L104" i="49"/>
  <c r="L103" i="49"/>
  <c r="L102" i="49"/>
  <c r="L101" i="49"/>
  <c r="L100" i="49"/>
  <c r="L99" i="49"/>
  <c r="L98" i="49"/>
  <c r="L97" i="49"/>
  <c r="L151" i="44"/>
  <c r="L150" i="44"/>
  <c r="L149" i="44"/>
  <c r="L148" i="44"/>
  <c r="L147" i="44"/>
  <c r="L146" i="44"/>
  <c r="L145" i="44"/>
  <c r="L144" i="44"/>
  <c r="L143" i="44"/>
  <c r="L142" i="44"/>
  <c r="L141" i="44"/>
  <c r="L140" i="44"/>
  <c r="L139" i="44"/>
  <c r="L138" i="44"/>
  <c r="L137" i="44"/>
  <c r="L136" i="44"/>
  <c r="L135" i="44"/>
  <c r="L134" i="44"/>
  <c r="L133" i="44"/>
  <c r="L132" i="44"/>
  <c r="L131" i="44"/>
  <c r="L130" i="44"/>
  <c r="L129" i="44"/>
  <c r="L128" i="44"/>
  <c r="L127" i="44"/>
  <c r="L126" i="44"/>
  <c r="L125" i="44"/>
  <c r="L124" i="44"/>
  <c r="L123" i="44"/>
  <c r="L122" i="44"/>
  <c r="L121" i="44"/>
  <c r="L120" i="44"/>
  <c r="L119" i="44"/>
  <c r="L118" i="44"/>
  <c r="L117" i="44"/>
  <c r="L116" i="44"/>
  <c r="L115" i="44"/>
  <c r="L114" i="44"/>
  <c r="L113" i="44"/>
  <c r="L112" i="44"/>
  <c r="L111" i="44"/>
  <c r="L110" i="44"/>
  <c r="L109" i="44"/>
  <c r="L108" i="44"/>
  <c r="L107" i="44"/>
  <c r="L106" i="44"/>
  <c r="L105" i="44"/>
  <c r="L104" i="44"/>
  <c r="L103" i="44"/>
  <c r="L102" i="44"/>
  <c r="L101" i="44"/>
  <c r="L100" i="44"/>
  <c r="L99" i="44"/>
  <c r="L98" i="44"/>
  <c r="L97" i="44"/>
  <c r="L151" i="48"/>
  <c r="L150" i="48"/>
  <c r="L149" i="48"/>
  <c r="L148" i="48"/>
  <c r="L147" i="48"/>
  <c r="L146" i="48"/>
  <c r="L145" i="48"/>
  <c r="L144" i="48"/>
  <c r="L143" i="48"/>
  <c r="L142" i="48"/>
  <c r="L141" i="48"/>
  <c r="L140" i="48"/>
  <c r="L139" i="48"/>
  <c r="L138" i="48"/>
  <c r="L137" i="48"/>
  <c r="L136" i="48"/>
  <c r="L135" i="48"/>
  <c r="L134" i="48"/>
  <c r="L133" i="48"/>
  <c r="L132" i="48"/>
  <c r="L131" i="48"/>
  <c r="L130" i="48"/>
  <c r="L129" i="48"/>
  <c r="L128" i="48"/>
  <c r="L127" i="48"/>
  <c r="L126" i="48"/>
  <c r="L125" i="48"/>
  <c r="L124" i="48"/>
  <c r="L123" i="48"/>
  <c r="L122" i="48"/>
  <c r="L121" i="48"/>
  <c r="L120" i="48"/>
  <c r="L119" i="48"/>
  <c r="L118" i="48"/>
  <c r="L117" i="48"/>
  <c r="L116" i="48"/>
  <c r="L115" i="48"/>
  <c r="L114" i="48"/>
  <c r="L113" i="48"/>
  <c r="L112" i="48"/>
  <c r="L111" i="48"/>
  <c r="L110" i="48"/>
  <c r="L109" i="48"/>
  <c r="L108" i="48"/>
  <c r="L107" i="48"/>
  <c r="L106" i="48"/>
  <c r="L105" i="48"/>
  <c r="L104" i="48"/>
  <c r="L103" i="48"/>
  <c r="L102" i="48"/>
  <c r="L101" i="48"/>
  <c r="L100" i="48"/>
  <c r="L99" i="48"/>
  <c r="L98" i="48"/>
  <c r="L97" i="48"/>
  <c r="L151" i="46"/>
  <c r="L150" i="46"/>
  <c r="L149" i="46"/>
  <c r="L148" i="46"/>
  <c r="L147" i="46"/>
  <c r="L146" i="46"/>
  <c r="L145" i="46"/>
  <c r="L144" i="46"/>
  <c r="L143" i="46"/>
  <c r="L142" i="46"/>
  <c r="L141" i="46"/>
  <c r="L140" i="46"/>
  <c r="L139" i="46"/>
  <c r="L138" i="46"/>
  <c r="L137" i="46"/>
  <c r="L136" i="46"/>
  <c r="L135" i="46"/>
  <c r="L134" i="46"/>
  <c r="L133" i="46"/>
  <c r="L132" i="46"/>
  <c r="L131" i="46"/>
  <c r="L130" i="46"/>
  <c r="L129" i="46"/>
  <c r="L128" i="46"/>
  <c r="L127" i="46"/>
  <c r="L126" i="46"/>
  <c r="L125" i="46"/>
  <c r="L124" i="46"/>
  <c r="L123" i="46"/>
  <c r="L122" i="46"/>
  <c r="L121" i="46"/>
  <c r="L120" i="46"/>
  <c r="L119" i="46"/>
  <c r="L118" i="46"/>
  <c r="L117" i="46"/>
  <c r="L116" i="46"/>
  <c r="L115" i="46"/>
  <c r="L114" i="46"/>
  <c r="L113" i="46"/>
  <c r="L112" i="46"/>
  <c r="L111" i="46"/>
  <c r="L110" i="46"/>
  <c r="L109" i="46"/>
  <c r="L108" i="46"/>
  <c r="L107" i="46"/>
  <c r="L106" i="46"/>
  <c r="L105" i="46"/>
  <c r="L104" i="46"/>
  <c r="L103" i="46"/>
  <c r="L102" i="46"/>
  <c r="L101" i="46"/>
  <c r="L100" i="46"/>
  <c r="L99" i="46"/>
  <c r="L98" i="46"/>
  <c r="L97" i="46"/>
  <c r="L97" i="47"/>
  <c r="L98" i="47"/>
  <c r="L99" i="47"/>
  <c r="L100" i="47"/>
  <c r="L101" i="47"/>
  <c r="L102" i="47"/>
  <c r="L103" i="47"/>
  <c r="L104" i="47"/>
  <c r="L105" i="47"/>
  <c r="L106" i="47"/>
  <c r="L107" i="47"/>
  <c r="L108" i="47"/>
  <c r="L109" i="47"/>
  <c r="L110" i="47"/>
  <c r="L111" i="47"/>
  <c r="L112" i="47"/>
  <c r="L113" i="47"/>
  <c r="L114" i="47"/>
  <c r="L115" i="47"/>
  <c r="L116" i="47"/>
  <c r="L117" i="47"/>
  <c r="L118" i="47"/>
  <c r="L119" i="47"/>
  <c r="L120" i="47"/>
  <c r="L121" i="47"/>
  <c r="L122" i="47"/>
  <c r="L123" i="47"/>
  <c r="L124" i="47"/>
  <c r="L125" i="47"/>
  <c r="L126" i="47"/>
  <c r="L127" i="47"/>
  <c r="L128" i="47"/>
  <c r="L129" i="47"/>
  <c r="L130" i="47"/>
  <c r="L131" i="47"/>
  <c r="L132" i="47"/>
  <c r="L133" i="47"/>
  <c r="L134" i="47"/>
  <c r="L135" i="47"/>
  <c r="L136" i="47"/>
  <c r="L137" i="47"/>
  <c r="L138" i="47"/>
  <c r="L139" i="47"/>
  <c r="L140" i="47"/>
  <c r="L141" i="47"/>
  <c r="L142" i="47"/>
  <c r="L143" i="47"/>
  <c r="L144" i="47"/>
  <c r="L145" i="47"/>
  <c r="L146" i="47"/>
  <c r="L147" i="47"/>
  <c r="L148" i="47"/>
  <c r="L149" i="47"/>
  <c r="L150" i="47"/>
  <c r="L151" i="47"/>
  <c r="T2" i="16" l="1"/>
  <c r="S2" i="16"/>
  <c r="C7" i="28"/>
  <c r="C7" i="27"/>
  <c r="C6" i="21"/>
  <c r="B1" i="58"/>
  <c r="M97" i="47" l="1"/>
  <c r="M98" i="47"/>
  <c r="M99" i="47"/>
  <c r="M100" i="47"/>
  <c r="M101" i="47"/>
  <c r="M102" i="47"/>
  <c r="M103" i="47"/>
  <c r="M104" i="47"/>
  <c r="M105" i="47"/>
  <c r="M106" i="47"/>
  <c r="M107" i="47"/>
  <c r="M108" i="47"/>
  <c r="M109" i="47"/>
  <c r="M110" i="47"/>
  <c r="M111" i="47"/>
  <c r="M112" i="47"/>
  <c r="M113" i="47"/>
  <c r="M114" i="47"/>
  <c r="M115" i="47"/>
  <c r="M116" i="47"/>
  <c r="M117" i="47"/>
  <c r="M118" i="47"/>
  <c r="M119" i="47"/>
  <c r="M120" i="47"/>
  <c r="M121" i="47"/>
  <c r="M122" i="47"/>
  <c r="M123" i="47"/>
  <c r="M124" i="47"/>
  <c r="M125" i="47"/>
  <c r="M126" i="47"/>
  <c r="M127" i="47"/>
  <c r="M128" i="47"/>
  <c r="M129" i="47"/>
  <c r="M130" i="47"/>
  <c r="M131" i="47"/>
  <c r="M132" i="47"/>
  <c r="M133" i="47"/>
  <c r="M134" i="47"/>
  <c r="M135" i="47"/>
  <c r="M136" i="47"/>
  <c r="M137" i="47"/>
  <c r="M138" i="47"/>
  <c r="M139" i="47"/>
  <c r="M140" i="47"/>
  <c r="M141" i="47"/>
  <c r="M142" i="47"/>
  <c r="M143" i="47"/>
  <c r="M144" i="47"/>
  <c r="M145" i="47"/>
  <c r="M146" i="47"/>
  <c r="M147" i="47"/>
  <c r="M148" i="47"/>
  <c r="M149" i="47"/>
  <c r="M150" i="47"/>
  <c r="M151" i="47"/>
  <c r="A6" i="41"/>
  <c r="ER9" i="41"/>
  <c r="ER10" i="41"/>
  <c r="ER11" i="41"/>
  <c r="ER12" i="41"/>
  <c r="ER13" i="41"/>
  <c r="ER14" i="41"/>
  <c r="ER15" i="41"/>
  <c r="ER16" i="41"/>
  <c r="ER17" i="41"/>
  <c r="ER18" i="41"/>
  <c r="ER19" i="41"/>
  <c r="ER20" i="41"/>
  <c r="ER21" i="41"/>
  <c r="ER22" i="41"/>
  <c r="ER23" i="41"/>
  <c r="ER24" i="41"/>
  <c r="ER25" i="41"/>
  <c r="ER26" i="41"/>
  <c r="ER27" i="41"/>
  <c r="ER28" i="41"/>
  <c r="ER29" i="41"/>
  <c r="ER8" i="41"/>
  <c r="Z4" i="16" l="1"/>
  <c r="Z5" i="16"/>
  <c r="Z6" i="16"/>
  <c r="Z7" i="16"/>
  <c r="Z8" i="16"/>
  <c r="Z9" i="16"/>
  <c r="Z10" i="16"/>
  <c r="Z11" i="16"/>
  <c r="Z12" i="16"/>
  <c r="Z13" i="16"/>
  <c r="Z14" i="16"/>
  <c r="Z15" i="16"/>
  <c r="Z16" i="16"/>
  <c r="Z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36" i="16"/>
  <c r="Z37" i="16"/>
  <c r="Z38" i="16"/>
  <c r="Z39" i="16"/>
  <c r="Z40" i="16"/>
  <c r="Z41" i="16"/>
  <c r="Z42" i="16"/>
  <c r="Z43" i="16"/>
  <c r="Z44" i="16"/>
  <c r="Z45" i="16"/>
  <c r="Z46" i="16"/>
  <c r="Z47" i="16"/>
  <c r="Z48" i="16"/>
  <c r="Z49" i="16"/>
  <c r="Z50" i="16"/>
  <c r="Z51" i="16"/>
  <c r="Z52" i="16"/>
  <c r="Z53" i="16"/>
  <c r="Z54" i="16"/>
  <c r="Z55" i="16"/>
  <c r="Z56" i="16"/>
  <c r="Z57" i="16"/>
  <c r="Z58" i="16"/>
  <c r="Z59" i="16"/>
  <c r="Z60" i="16"/>
  <c r="Z61" i="16"/>
  <c r="Z62" i="16"/>
  <c r="Z63" i="16"/>
  <c r="Z64" i="16"/>
  <c r="Z65" i="16"/>
  <c r="Z66" i="16"/>
  <c r="Z67" i="16"/>
  <c r="Z68" i="16"/>
  <c r="Z69" i="16"/>
  <c r="Z70" i="16"/>
  <c r="Z71" i="16"/>
  <c r="Z72" i="16"/>
  <c r="Z73" i="16"/>
  <c r="Z74" i="16"/>
  <c r="Z75" i="16"/>
  <c r="Z76" i="16"/>
  <c r="Z77" i="16"/>
  <c r="Z78" i="16"/>
  <c r="Z79" i="16"/>
  <c r="Z80" i="16"/>
  <c r="Z81" i="16"/>
  <c r="Z82" i="16"/>
  <c r="Z83" i="16"/>
  <c r="Z84" i="16"/>
  <c r="Z85" i="16"/>
  <c r="Z86" i="16"/>
  <c r="Z87" i="16"/>
  <c r="Z88" i="16"/>
  <c r="Z89" i="16"/>
  <c r="Z90" i="16"/>
  <c r="Z91" i="16"/>
  <c r="Z92" i="16"/>
  <c r="Z93" i="16"/>
  <c r="Z94" i="16"/>
  <c r="Z95" i="16"/>
  <c r="Z96" i="16"/>
  <c r="Z97" i="16"/>
  <c r="Z98" i="16"/>
  <c r="Z99" i="16"/>
  <c r="Z100" i="16"/>
  <c r="Z101" i="16"/>
  <c r="Z102" i="16"/>
  <c r="Z103" i="16"/>
  <c r="Z104" i="16"/>
  <c r="Z105" i="16"/>
  <c r="Z106" i="16"/>
  <c r="Z107" i="16"/>
  <c r="Z108" i="16"/>
  <c r="Z109" i="16"/>
  <c r="Z110" i="16"/>
  <c r="Z111" i="16"/>
  <c r="Z112" i="16"/>
  <c r="Z113" i="16"/>
  <c r="Z114" i="16"/>
  <c r="Z115" i="16"/>
  <c r="Z116" i="16"/>
  <c r="Z117" i="16"/>
  <c r="Z118" i="16"/>
  <c r="Z119" i="16"/>
  <c r="Z120" i="16"/>
  <c r="Z121" i="16"/>
  <c r="Z122" i="16"/>
  <c r="Z123" i="16"/>
  <c r="Z124" i="16"/>
  <c r="Z125" i="16"/>
  <c r="Z126" i="16"/>
  <c r="Z127" i="16"/>
  <c r="Z128" i="16"/>
  <c r="Z129" i="16"/>
  <c r="Z130" i="16"/>
  <c r="Z131" i="16"/>
  <c r="Z132" i="16"/>
  <c r="Z133" i="16"/>
  <c r="Z134" i="16"/>
  <c r="Z135" i="16"/>
  <c r="Z136" i="16"/>
  <c r="Z137" i="16"/>
  <c r="Z138" i="16"/>
  <c r="Z139" i="16"/>
  <c r="Z140" i="16"/>
  <c r="Z141" i="16"/>
  <c r="Z142" i="16"/>
  <c r="Z143" i="16"/>
  <c r="Z144" i="16"/>
  <c r="Z145" i="16"/>
  <c r="Z146" i="16"/>
  <c r="Z147" i="16"/>
  <c r="Z148" i="16"/>
  <c r="Z149" i="16"/>
  <c r="Z150" i="16"/>
  <c r="Z151" i="16"/>
  <c r="Z152" i="16"/>
  <c r="Z153" i="16"/>
  <c r="Z154" i="16"/>
  <c r="Z155" i="16"/>
  <c r="Z156" i="16"/>
  <c r="Z157" i="16"/>
  <c r="Z158" i="16"/>
  <c r="Z159" i="16"/>
  <c r="Z160" i="16"/>
  <c r="Z161" i="16"/>
  <c r="Z162" i="16"/>
  <c r="Z163" i="16"/>
  <c r="Z164" i="16"/>
  <c r="Z165" i="16"/>
  <c r="Z166" i="16"/>
  <c r="Z167" i="16"/>
  <c r="Z168" i="16"/>
  <c r="Z169" i="16"/>
  <c r="Z170" i="16"/>
  <c r="Z171" i="16"/>
  <c r="Z172" i="16"/>
  <c r="Z173" i="16"/>
  <c r="Z174" i="16"/>
  <c r="Z175" i="16"/>
  <c r="Z176" i="16"/>
  <c r="Z177" i="16"/>
  <c r="Z178" i="16"/>
  <c r="Z179" i="16"/>
  <c r="Z180" i="16"/>
  <c r="Z181" i="16"/>
  <c r="Z182" i="16"/>
  <c r="Z183" i="16"/>
  <c r="Z184" i="16"/>
  <c r="Z185" i="16"/>
  <c r="Z186" i="16"/>
  <c r="Z187" i="16"/>
  <c r="Z188" i="16"/>
  <c r="Z189" i="16"/>
  <c r="Z190" i="16"/>
  <c r="Z191" i="16"/>
  <c r="Z192" i="16"/>
  <c r="Z193" i="16"/>
  <c r="Z194" i="16"/>
  <c r="Z195" i="16"/>
  <c r="Z196" i="16"/>
  <c r="Z197" i="16"/>
  <c r="Z198" i="16"/>
  <c r="Z199" i="16"/>
  <c r="Z200" i="16"/>
  <c r="Z201" i="16"/>
  <c r="Z202" i="16"/>
  <c r="Z203" i="16"/>
  <c r="Z204" i="16"/>
  <c r="Z205" i="16"/>
  <c r="Z206" i="16"/>
  <c r="Z207" i="16"/>
  <c r="Z208" i="16"/>
  <c r="Z209" i="16"/>
  <c r="Z210" i="16"/>
  <c r="Z211" i="16"/>
  <c r="Z212" i="16"/>
  <c r="Z213" i="16"/>
  <c r="Z214" i="16"/>
  <c r="Z215" i="16"/>
  <c r="Z216" i="16"/>
  <c r="Z217" i="16"/>
  <c r="Z218" i="16"/>
  <c r="Z219" i="16"/>
  <c r="Z220" i="16"/>
  <c r="Z221" i="16"/>
  <c r="Z222" i="16"/>
  <c r="Z223" i="16"/>
  <c r="Z224" i="16"/>
  <c r="Z225" i="16"/>
  <c r="Z226" i="16"/>
  <c r="Z227" i="16"/>
  <c r="Z228" i="16"/>
  <c r="Z229" i="16"/>
  <c r="Z230" i="16"/>
  <c r="Z231" i="16"/>
  <c r="Z232" i="16"/>
  <c r="Z233" i="16"/>
  <c r="Z234" i="16"/>
  <c r="Z235" i="16"/>
  <c r="Z236" i="16"/>
  <c r="Z237" i="16"/>
  <c r="Z238" i="16"/>
  <c r="Z239" i="16"/>
  <c r="Z240" i="16"/>
  <c r="Z241" i="16"/>
  <c r="Z242" i="16"/>
  <c r="Z243" i="16"/>
  <c r="Z244" i="16"/>
  <c r="Z245" i="16"/>
  <c r="Z246" i="16"/>
  <c r="Z247" i="16"/>
  <c r="Z248" i="16"/>
  <c r="Z249" i="16"/>
  <c r="Z250" i="16"/>
  <c r="Z251" i="16"/>
  <c r="Z252" i="16"/>
  <c r="Z253" i="16"/>
  <c r="Z254" i="16"/>
  <c r="Z255" i="16"/>
  <c r="Z256" i="16"/>
  <c r="Z257" i="16"/>
  <c r="Z258" i="16"/>
  <c r="Z259" i="16"/>
  <c r="Z260" i="16"/>
  <c r="Z261" i="16"/>
  <c r="Z262" i="16"/>
  <c r="Z263" i="16"/>
  <c r="Z264" i="16"/>
  <c r="Z265" i="16"/>
  <c r="Z266" i="16"/>
  <c r="Z267" i="16"/>
  <c r="Z268" i="16"/>
  <c r="Z269" i="16"/>
  <c r="Z270" i="16"/>
  <c r="Z271" i="16"/>
  <c r="Z272" i="16"/>
  <c r="Z273" i="16"/>
  <c r="Z274" i="16"/>
  <c r="Z275" i="16"/>
  <c r="Z276" i="16"/>
  <c r="Z277" i="16"/>
  <c r="Z278" i="16"/>
  <c r="Z279" i="16"/>
  <c r="Z280" i="16"/>
  <c r="Z281" i="16"/>
  <c r="Z282" i="16"/>
  <c r="Z283" i="16"/>
  <c r="Z284" i="16"/>
  <c r="Z285" i="16"/>
  <c r="Z286" i="16"/>
  <c r="Z287" i="16"/>
  <c r="Z288" i="16"/>
  <c r="Z289" i="16"/>
  <c r="Z290" i="16"/>
  <c r="Z291" i="16"/>
  <c r="Z292" i="16"/>
  <c r="Z293" i="16"/>
  <c r="Z294" i="16"/>
  <c r="Z295" i="16"/>
  <c r="Z296" i="16"/>
  <c r="Z297" i="16"/>
  <c r="Z298" i="16"/>
  <c r="Z299" i="16"/>
  <c r="Z300" i="16"/>
  <c r="Z301" i="16"/>
  <c r="Z302" i="16"/>
  <c r="Z303" i="16"/>
  <c r="Z304" i="16"/>
  <c r="Z305" i="16"/>
  <c r="Z306" i="16"/>
  <c r="Z307" i="16"/>
  <c r="Z308" i="16"/>
  <c r="Z309" i="16"/>
  <c r="Z310" i="16"/>
  <c r="Z311" i="16"/>
  <c r="Z312" i="16"/>
  <c r="Z313" i="16"/>
  <c r="Z314" i="16"/>
  <c r="Z315" i="16"/>
  <c r="Z316" i="16"/>
  <c r="Z317" i="16"/>
  <c r="Z318" i="16"/>
  <c r="Z319" i="16"/>
  <c r="Z320" i="16"/>
  <c r="Z321" i="16"/>
  <c r="Z322" i="16"/>
  <c r="Z3" i="16"/>
  <c r="D323" i="16"/>
  <c r="E323" i="16"/>
  <c r="F323" i="16"/>
  <c r="G323" i="16"/>
  <c r="H323" i="16"/>
  <c r="I323" i="16"/>
  <c r="J323" i="16"/>
  <c r="C323" i="16"/>
  <c r="I12" i="59" l="1"/>
  <c r="A2" i="70"/>
  <c r="D1" i="41"/>
  <c r="E1" i="41"/>
  <c r="F1" i="41"/>
  <c r="G1" i="41"/>
  <c r="H1" i="41"/>
  <c r="I1" i="41"/>
  <c r="J1" i="41"/>
  <c r="K1" i="41"/>
  <c r="L1" i="41"/>
  <c r="M1" i="41"/>
  <c r="N1" i="41"/>
  <c r="O1" i="41"/>
  <c r="P1" i="41"/>
  <c r="Q1" i="41"/>
  <c r="R1" i="41"/>
  <c r="S1" i="41"/>
  <c r="T1" i="41"/>
  <c r="U1" i="41"/>
  <c r="V1" i="41"/>
  <c r="W1" i="41"/>
  <c r="X1" i="41"/>
  <c r="Y1" i="41"/>
  <c r="Z1" i="41"/>
  <c r="AA1" i="41"/>
  <c r="AB1" i="41"/>
  <c r="AC1" i="41"/>
  <c r="AD1" i="41"/>
  <c r="AE1" i="41"/>
  <c r="AF1" i="41"/>
  <c r="AG1" i="41"/>
  <c r="AH1" i="41"/>
  <c r="AI1" i="41"/>
  <c r="AJ1" i="41"/>
  <c r="AK1" i="41"/>
  <c r="AL1" i="41"/>
  <c r="AM1" i="41"/>
  <c r="AN1" i="41"/>
  <c r="AO1" i="41"/>
  <c r="AP1" i="41"/>
  <c r="AQ1" i="41"/>
  <c r="AR1" i="41"/>
  <c r="AS1" i="41"/>
  <c r="AT1" i="41"/>
  <c r="AU1" i="41"/>
  <c r="AV1" i="41"/>
  <c r="AW1" i="41"/>
  <c r="AX1" i="41"/>
  <c r="AY1" i="41"/>
  <c r="AZ1" i="41"/>
  <c r="BA1" i="41"/>
  <c r="BB1" i="41"/>
  <c r="BC1" i="41"/>
  <c r="BD1" i="41"/>
  <c r="BE1" i="41"/>
  <c r="BF1" i="41"/>
  <c r="BG1" i="41"/>
  <c r="BH1" i="41"/>
  <c r="BI1" i="41"/>
  <c r="BJ1" i="41"/>
  <c r="BK1" i="41"/>
  <c r="BL1" i="41"/>
  <c r="BM1" i="41"/>
  <c r="BN1" i="41"/>
  <c r="BO1" i="41"/>
  <c r="BP1" i="41"/>
  <c r="BQ1" i="41"/>
  <c r="BR1" i="41"/>
  <c r="BS1" i="41"/>
  <c r="BT1" i="41"/>
  <c r="BU1" i="41"/>
  <c r="BV1" i="41"/>
  <c r="BW1" i="41"/>
  <c r="BX1" i="41"/>
  <c r="BY1" i="41"/>
  <c r="BZ1" i="41"/>
  <c r="CA1" i="41"/>
  <c r="CB1" i="41"/>
  <c r="CC1" i="41"/>
  <c r="CD1" i="41"/>
  <c r="CE1" i="41"/>
  <c r="CF1" i="41"/>
  <c r="CG1" i="41"/>
  <c r="CH1" i="41"/>
  <c r="CI1" i="41"/>
  <c r="CJ1" i="41"/>
  <c r="CK1" i="41"/>
  <c r="CL1" i="41"/>
  <c r="CM1" i="41"/>
  <c r="CN1" i="41"/>
  <c r="CO1" i="41"/>
  <c r="CP1" i="41"/>
  <c r="CQ1" i="41"/>
  <c r="CR1" i="41"/>
  <c r="CS1" i="41"/>
  <c r="CT1" i="41"/>
  <c r="CU1" i="41"/>
  <c r="CV1" i="41"/>
  <c r="CW1" i="41"/>
  <c r="CX1" i="41"/>
  <c r="CY1" i="41"/>
  <c r="CZ1" i="41"/>
  <c r="DA1" i="41"/>
  <c r="DB1" i="41"/>
  <c r="DC1" i="41"/>
  <c r="DD1" i="41"/>
  <c r="DE1" i="41"/>
  <c r="DF1" i="41"/>
  <c r="DG1" i="41"/>
  <c r="DH1" i="41"/>
  <c r="DI1" i="41"/>
  <c r="DJ1" i="41"/>
  <c r="DK1" i="41"/>
  <c r="DL1" i="41"/>
  <c r="DM1" i="41"/>
  <c r="DN1" i="41"/>
  <c r="DO1" i="41"/>
  <c r="DP1" i="41"/>
  <c r="DQ1" i="41"/>
  <c r="DR1" i="41"/>
  <c r="DS1" i="41"/>
  <c r="DT1" i="41"/>
  <c r="DU1" i="41"/>
  <c r="DV1" i="41"/>
  <c r="DW1" i="41"/>
  <c r="DX1" i="41"/>
  <c r="DY1" i="41"/>
  <c r="DZ1" i="41"/>
  <c r="EA1" i="41"/>
  <c r="EB1" i="41"/>
  <c r="EC1" i="41"/>
  <c r="ED1" i="41"/>
  <c r="EE1" i="41"/>
  <c r="EF1" i="41"/>
  <c r="EG1" i="41"/>
  <c r="EH1" i="41"/>
  <c r="EI1" i="41"/>
  <c r="EJ1" i="41"/>
  <c r="EK1" i="41"/>
  <c r="EL1" i="41"/>
  <c r="EM1" i="41"/>
  <c r="EN1" i="41"/>
  <c r="EO1" i="41"/>
  <c r="EP1" i="41"/>
  <c r="EQ1" i="41"/>
  <c r="ER1" i="41"/>
  <c r="ES1" i="41"/>
  <c r="ET1" i="41"/>
  <c r="EU1" i="41"/>
  <c r="EV1" i="41"/>
  <c r="EW1" i="41"/>
  <c r="EX1" i="41"/>
  <c r="EY1" i="41"/>
  <c r="EZ1" i="41"/>
  <c r="FA1" i="41"/>
  <c r="FB1" i="41"/>
  <c r="FC1" i="41"/>
  <c r="FD1" i="41"/>
  <c r="FE1" i="41"/>
  <c r="FF1" i="41"/>
  <c r="D101" i="41"/>
  <c r="E101" i="41"/>
  <c r="F101" i="41"/>
  <c r="G101" i="41"/>
  <c r="H101" i="41"/>
  <c r="I101" i="41"/>
  <c r="J101" i="41"/>
  <c r="K101" i="41"/>
  <c r="L101" i="41"/>
  <c r="M101" i="41"/>
  <c r="N101" i="41"/>
  <c r="O101" i="41"/>
  <c r="P101" i="41"/>
  <c r="Q101" i="41"/>
  <c r="R101" i="41"/>
  <c r="S101" i="41"/>
  <c r="T101" i="41"/>
  <c r="U101" i="41"/>
  <c r="V101" i="41"/>
  <c r="W101" i="41"/>
  <c r="X101" i="41"/>
  <c r="Y101" i="41"/>
  <c r="Z101" i="41"/>
  <c r="AA101" i="41"/>
  <c r="AB101" i="41"/>
  <c r="AC101" i="41"/>
  <c r="AD101" i="41"/>
  <c r="AE101" i="41"/>
  <c r="AF101" i="41"/>
  <c r="AG101" i="41"/>
  <c r="AH101" i="41"/>
  <c r="AI101" i="41"/>
  <c r="AJ101" i="41"/>
  <c r="AK101" i="41"/>
  <c r="AL101" i="41"/>
  <c r="AM101" i="41"/>
  <c r="AN101" i="41"/>
  <c r="AO101" i="41"/>
  <c r="AP101" i="41"/>
  <c r="AQ101" i="41"/>
  <c r="AR101" i="41"/>
  <c r="AS101" i="41"/>
  <c r="AT101" i="41"/>
  <c r="AU101" i="41"/>
  <c r="AV101" i="41"/>
  <c r="AW101" i="41"/>
  <c r="AX101" i="41"/>
  <c r="AY101" i="41"/>
  <c r="AZ101" i="41"/>
  <c r="BA101" i="41"/>
  <c r="BB101" i="41"/>
  <c r="BC101" i="41"/>
  <c r="BD101" i="41"/>
  <c r="BE101" i="41"/>
  <c r="BF101" i="41"/>
  <c r="BG101" i="41"/>
  <c r="BH101" i="41"/>
  <c r="BI101" i="41"/>
  <c r="BJ101" i="41"/>
  <c r="BK101" i="41"/>
  <c r="BL101" i="41"/>
  <c r="BM101" i="41"/>
  <c r="BN101" i="41"/>
  <c r="BO101" i="41"/>
  <c r="BP101" i="41"/>
  <c r="BQ101" i="41"/>
  <c r="BR101" i="41"/>
  <c r="BS101" i="41"/>
  <c r="BT101" i="41"/>
  <c r="BU101" i="41"/>
  <c r="BV101" i="41"/>
  <c r="BW101" i="41"/>
  <c r="BX101" i="41"/>
  <c r="BY101" i="41"/>
  <c r="BZ101" i="41"/>
  <c r="CA101" i="41"/>
  <c r="CB101" i="41"/>
  <c r="CC101" i="41"/>
  <c r="CD101" i="41"/>
  <c r="CE101" i="41"/>
  <c r="CF101" i="41"/>
  <c r="CG101" i="41"/>
  <c r="CH101" i="41"/>
  <c r="CI101" i="41"/>
  <c r="CJ101" i="41"/>
  <c r="CK101" i="41"/>
  <c r="CL101" i="41"/>
  <c r="CM101" i="41"/>
  <c r="CN101" i="41"/>
  <c r="CO101" i="41"/>
  <c r="CP101" i="41"/>
  <c r="CQ101" i="41"/>
  <c r="CR101" i="41"/>
  <c r="CS101" i="41"/>
  <c r="CT101" i="41"/>
  <c r="CU101" i="41"/>
  <c r="CV101" i="41"/>
  <c r="CW101" i="41"/>
  <c r="CX101" i="41"/>
  <c r="CY101" i="41"/>
  <c r="CZ101" i="41"/>
  <c r="DA101" i="41"/>
  <c r="DB101" i="41"/>
  <c r="DC101" i="41"/>
  <c r="DD101" i="41"/>
  <c r="DE101" i="41"/>
  <c r="DF101" i="41"/>
  <c r="DG101" i="41"/>
  <c r="DH101" i="41"/>
  <c r="DI101" i="41"/>
  <c r="DJ101" i="41"/>
  <c r="DK101" i="41"/>
  <c r="DL101" i="41"/>
  <c r="DM101" i="41"/>
  <c r="DN101" i="41"/>
  <c r="DO101" i="41"/>
  <c r="DP101" i="41"/>
  <c r="DQ101" i="41"/>
  <c r="DR101" i="41"/>
  <c r="DS101" i="41"/>
  <c r="DT101" i="41"/>
  <c r="DU101" i="41"/>
  <c r="DV101" i="41"/>
  <c r="DW101" i="41"/>
  <c r="DX101" i="41"/>
  <c r="DY101" i="41"/>
  <c r="DZ101" i="41"/>
  <c r="EA101" i="41"/>
  <c r="EB101" i="41"/>
  <c r="EC101" i="41"/>
  <c r="ED101" i="41"/>
  <c r="EE101" i="41"/>
  <c r="EF101" i="41"/>
  <c r="EG101" i="41"/>
  <c r="EH101" i="41"/>
  <c r="EI101" i="41"/>
  <c r="EJ101" i="41"/>
  <c r="EK101" i="41"/>
  <c r="EL101" i="41"/>
  <c r="EM101" i="41"/>
  <c r="EN101" i="41"/>
  <c r="EO101" i="41"/>
  <c r="EP101" i="41"/>
  <c r="EQ101" i="41"/>
  <c r="ER101" i="41"/>
  <c r="ES101" i="41"/>
  <c r="ET101" i="41"/>
  <c r="EU101" i="41"/>
  <c r="EV101" i="41"/>
  <c r="EW101" i="41"/>
  <c r="EX101" i="41"/>
  <c r="EY101" i="41"/>
  <c r="EZ101" i="41"/>
  <c r="FA101" i="41"/>
  <c r="FB101" i="41"/>
  <c r="FC101" i="41"/>
  <c r="FD101" i="41"/>
  <c r="FE101" i="41"/>
  <c r="FF101" i="41"/>
  <c r="BB6" i="63" l="1"/>
  <c r="BC6" i="63" s="1"/>
  <c r="AZ6" i="63"/>
  <c r="BA6" i="63" s="1"/>
  <c r="AI6" i="63"/>
  <c r="AH6" i="63"/>
  <c r="Q6" i="63"/>
  <c r="P6" i="63"/>
  <c r="BB6" i="62"/>
  <c r="BC6" i="62" s="1"/>
  <c r="AZ6" i="62"/>
  <c r="BA6" i="62" s="1"/>
  <c r="AI6" i="62"/>
  <c r="AH6" i="62"/>
  <c r="Q6" i="62"/>
  <c r="P6" i="62"/>
  <c r="BT6" i="61"/>
  <c r="BU6" i="61" s="1"/>
  <c r="BR6" i="61"/>
  <c r="BS6" i="61" s="1"/>
  <c r="BA6" i="61"/>
  <c r="AZ6" i="61"/>
  <c r="AI6" i="61"/>
  <c r="AH6" i="61"/>
  <c r="Q6" i="61"/>
  <c r="P6" i="61"/>
  <c r="V3390" i="60"/>
  <c r="W3390" i="60" s="1"/>
  <c r="V3391" i="60"/>
  <c r="W3391" i="60" s="1"/>
  <c r="V3392" i="60"/>
  <c r="W3392" i="60" s="1"/>
  <c r="V3393" i="60"/>
  <c r="W3393" i="60" s="1"/>
  <c r="V3394" i="60"/>
  <c r="W3394" i="60" s="1"/>
  <c r="V3395" i="60"/>
  <c r="W3395" i="60" s="1"/>
  <c r="V3396" i="60"/>
  <c r="W3396" i="60" s="1"/>
  <c r="V3397" i="60"/>
  <c r="W3397" i="60" s="1"/>
  <c r="V3398" i="60"/>
  <c r="W3398" i="60" s="1"/>
  <c r="V3399" i="60"/>
  <c r="W3399" i="60" s="1"/>
  <c r="V3400" i="60"/>
  <c r="W3400" i="60" s="1"/>
  <c r="V3401" i="60"/>
  <c r="W3401" i="60" s="1"/>
  <c r="V3402" i="60"/>
  <c r="W3402" i="60" s="1"/>
  <c r="V3403" i="60"/>
  <c r="W3403" i="60" s="1"/>
  <c r="V3404" i="60"/>
  <c r="W3404" i="60" s="1"/>
  <c r="V3405" i="60"/>
  <c r="W3405" i="60" s="1"/>
  <c r="V3406" i="60"/>
  <c r="W3406" i="60" s="1"/>
  <c r="V3407" i="60"/>
  <c r="W3407" i="60" s="1"/>
  <c r="V3408" i="60"/>
  <c r="W3408" i="60" s="1"/>
  <c r="V3409" i="60"/>
  <c r="W3409" i="60" s="1"/>
  <c r="V3410" i="60"/>
  <c r="W3410" i="60" s="1"/>
  <c r="V3411" i="60"/>
  <c r="W3411" i="60" s="1"/>
  <c r="V3412" i="60"/>
  <c r="W3412" i="60" s="1"/>
  <c r="V3413" i="60"/>
  <c r="W3413" i="60" s="1"/>
  <c r="V3414" i="60"/>
  <c r="W3414" i="60" s="1"/>
  <c r="V3415" i="60"/>
  <c r="W3415" i="60" s="1"/>
  <c r="V3416" i="60"/>
  <c r="W3416" i="60" s="1"/>
  <c r="V3417" i="60"/>
  <c r="W3417" i="60" s="1"/>
  <c r="V3418" i="60"/>
  <c r="W3418" i="60" s="1"/>
  <c r="V3419" i="60"/>
  <c r="W3419" i="60" s="1"/>
  <c r="V3420" i="60"/>
  <c r="W3420" i="60" s="1"/>
  <c r="V3421" i="60"/>
  <c r="W3421" i="60" s="1"/>
  <c r="V3422" i="60"/>
  <c r="W3422" i="60" s="1"/>
  <c r="V3423" i="60"/>
  <c r="W3423" i="60" s="1"/>
  <c r="V3424" i="60"/>
  <c r="W3424" i="60" s="1"/>
  <c r="V3425" i="60"/>
  <c r="W3425" i="60" s="1"/>
  <c r="V3426" i="60"/>
  <c r="W3426" i="60" s="1"/>
  <c r="V3427" i="60"/>
  <c r="W3427" i="60" s="1"/>
  <c r="V3428" i="60"/>
  <c r="W3428" i="60" s="1"/>
  <c r="V3429" i="60"/>
  <c r="W3429" i="60" s="1"/>
  <c r="V3430" i="60"/>
  <c r="W3430" i="60" s="1"/>
  <c r="V3431" i="60"/>
  <c r="W3431" i="60" s="1"/>
  <c r="V3432" i="60"/>
  <c r="W3432" i="60" s="1"/>
  <c r="V3433" i="60"/>
  <c r="W3433" i="60" s="1"/>
  <c r="V3434" i="60"/>
  <c r="W3434" i="60" s="1"/>
  <c r="V3435" i="60"/>
  <c r="W3435" i="60" s="1"/>
  <c r="V3436" i="60"/>
  <c r="W3436" i="60" s="1"/>
  <c r="V3437" i="60"/>
  <c r="W3437" i="60" s="1"/>
  <c r="V3438" i="60"/>
  <c r="W3438" i="60" s="1"/>
  <c r="V3439" i="60"/>
  <c r="W3439" i="60" s="1"/>
  <c r="V3440" i="60"/>
  <c r="W3440" i="60" s="1"/>
  <c r="V3441" i="60"/>
  <c r="W3441" i="60" s="1"/>
  <c r="V3442" i="60"/>
  <c r="W3442" i="60" s="1"/>
  <c r="V3443" i="60"/>
  <c r="W3443" i="60" s="1"/>
  <c r="V3444" i="60"/>
  <c r="W3444" i="60" s="1"/>
  <c r="V3445" i="60"/>
  <c r="W3445" i="60" s="1"/>
  <c r="V3446" i="60"/>
  <c r="W3446" i="60" s="1"/>
  <c r="V3447" i="60"/>
  <c r="W3447" i="60" s="1"/>
  <c r="V3448" i="60"/>
  <c r="W3448" i="60" s="1"/>
  <c r="V3449" i="60"/>
  <c r="W3449" i="60" s="1"/>
  <c r="V3450" i="60"/>
  <c r="W3450" i="60" s="1"/>
  <c r="V3451" i="60"/>
  <c r="W3451" i="60" s="1"/>
  <c r="V3452" i="60"/>
  <c r="W3452" i="60" s="1"/>
  <c r="V3453" i="60"/>
  <c r="W3453" i="60" s="1"/>
  <c r="V3454" i="60"/>
  <c r="W3454" i="60" s="1"/>
  <c r="V3455" i="60"/>
  <c r="W3455" i="60" s="1"/>
  <c r="V3456" i="60"/>
  <c r="W3456" i="60" s="1"/>
  <c r="V3457" i="60"/>
  <c r="W3457" i="60" s="1"/>
  <c r="V3458" i="60"/>
  <c r="W3458" i="60" s="1"/>
  <c r="V3459" i="60"/>
  <c r="W3459" i="60" s="1"/>
  <c r="V3460" i="60"/>
  <c r="W3460" i="60" s="1"/>
  <c r="V3461" i="60"/>
  <c r="W3461" i="60" s="1"/>
  <c r="V3462" i="60"/>
  <c r="W3462" i="60" s="1"/>
  <c r="V3463" i="60"/>
  <c r="W3463" i="60" s="1"/>
  <c r="V3464" i="60"/>
  <c r="W3464" i="60" s="1"/>
  <c r="V3465" i="60"/>
  <c r="W3465" i="60" s="1"/>
  <c r="V3466" i="60"/>
  <c r="W3466" i="60" s="1"/>
  <c r="V3467" i="60"/>
  <c r="W3467" i="60" s="1"/>
  <c r="V3468" i="60"/>
  <c r="W3468" i="60" s="1"/>
  <c r="V3469" i="60"/>
  <c r="W3469" i="60" s="1"/>
  <c r="V3470" i="60"/>
  <c r="W3470" i="60" s="1"/>
  <c r="V3471" i="60"/>
  <c r="W3471" i="60" s="1"/>
  <c r="V3472" i="60"/>
  <c r="W3472" i="60" s="1"/>
  <c r="V3473" i="60"/>
  <c r="W3473" i="60" s="1"/>
  <c r="V3474" i="60"/>
  <c r="W3474" i="60" s="1"/>
  <c r="V3475" i="60"/>
  <c r="W3475" i="60" s="1"/>
  <c r="V3476" i="60"/>
  <c r="W3476" i="60" s="1"/>
  <c r="V3477" i="60"/>
  <c r="W3477" i="60"/>
  <c r="V3478" i="60"/>
  <c r="W3478" i="60" s="1"/>
  <c r="V3479" i="60"/>
  <c r="W3479" i="60" s="1"/>
  <c r="V3480" i="60"/>
  <c r="W3480" i="60" s="1"/>
  <c r="V3481" i="60"/>
  <c r="W3481" i="60" s="1"/>
  <c r="V3482" i="60"/>
  <c r="W3482" i="60" s="1"/>
  <c r="V3483" i="60"/>
  <c r="W3483" i="60" s="1"/>
  <c r="V3484" i="60"/>
  <c r="W3484" i="60" s="1"/>
  <c r="V3485" i="60"/>
  <c r="W3485" i="60" s="1"/>
  <c r="V3486" i="60"/>
  <c r="W3486" i="60" s="1"/>
  <c r="V3487" i="60"/>
  <c r="W3487" i="60" s="1"/>
  <c r="V3488" i="60"/>
  <c r="W3488" i="60" s="1"/>
  <c r="V3489" i="60"/>
  <c r="W3489" i="60" s="1"/>
  <c r="V3490" i="60"/>
  <c r="W3490" i="60" s="1"/>
  <c r="V3491" i="60"/>
  <c r="W3491" i="60" s="1"/>
  <c r="V3492" i="60"/>
  <c r="W3492" i="60" s="1"/>
  <c r="V3493" i="60"/>
  <c r="W3493" i="60"/>
  <c r="V3494" i="60"/>
  <c r="W3494" i="60" s="1"/>
  <c r="V3495" i="60"/>
  <c r="W3495" i="60" s="1"/>
  <c r="V3496" i="60"/>
  <c r="W3496" i="60" s="1"/>
  <c r="V3497" i="60"/>
  <c r="W3497" i="60" s="1"/>
  <c r="V3498" i="60"/>
  <c r="W3498" i="60" s="1"/>
  <c r="V3499" i="60"/>
  <c r="W3499" i="60" s="1"/>
  <c r="V3500" i="60"/>
  <c r="W3500" i="60" s="1"/>
  <c r="V3501" i="60"/>
  <c r="W3501" i="60" s="1"/>
  <c r="V3502" i="60"/>
  <c r="W3502" i="60" s="1"/>
  <c r="V3503" i="60"/>
  <c r="W3503" i="60" s="1"/>
  <c r="V3504" i="60"/>
  <c r="W3504" i="60" s="1"/>
  <c r="V3505" i="60"/>
  <c r="W3505" i="60" s="1"/>
  <c r="V3506" i="60"/>
  <c r="W3506" i="60" s="1"/>
  <c r="V3507" i="60"/>
  <c r="W3507" i="60" s="1"/>
  <c r="V3508" i="60"/>
  <c r="W3508" i="60" s="1"/>
  <c r="V3509" i="60"/>
  <c r="W3509" i="60" s="1"/>
  <c r="V3510" i="60"/>
  <c r="W3510" i="60" s="1"/>
  <c r="V3511" i="60"/>
  <c r="W3511" i="60" s="1"/>
  <c r="V3512" i="60"/>
  <c r="W3512" i="60" s="1"/>
  <c r="V3513" i="60"/>
  <c r="W3513" i="60" s="1"/>
  <c r="V3514" i="60"/>
  <c r="W3514" i="60" s="1"/>
  <c r="V3515" i="60"/>
  <c r="W3515" i="60" s="1"/>
  <c r="V3516" i="60"/>
  <c r="W3516" i="60" s="1"/>
  <c r="V3517" i="60"/>
  <c r="W3517" i="60"/>
  <c r="V3518" i="60"/>
  <c r="W3518" i="60" s="1"/>
  <c r="V3519" i="60"/>
  <c r="W3519" i="60" s="1"/>
  <c r="V3520" i="60"/>
  <c r="W3520" i="60" s="1"/>
  <c r="V3521" i="60"/>
  <c r="W3521" i="60" s="1"/>
  <c r="V3522" i="60"/>
  <c r="W3522" i="60" s="1"/>
  <c r="V3523" i="60"/>
  <c r="W3523" i="60" s="1"/>
  <c r="V3524" i="60"/>
  <c r="W3524" i="60" s="1"/>
  <c r="V3525" i="60"/>
  <c r="W3525" i="60" s="1"/>
  <c r="V3526" i="60"/>
  <c r="W3526" i="60" s="1"/>
  <c r="V3527" i="60"/>
  <c r="W3527" i="60" s="1"/>
  <c r="V3528" i="60"/>
  <c r="W3528" i="60" s="1"/>
  <c r="V3529" i="60"/>
  <c r="W3529" i="60" s="1"/>
  <c r="V3530" i="60"/>
  <c r="W3530" i="60" s="1"/>
  <c r="V3531" i="60"/>
  <c r="W3531" i="60" s="1"/>
  <c r="V3532" i="60"/>
  <c r="W3532" i="60" s="1"/>
  <c r="V3533" i="60"/>
  <c r="W3533" i="60" s="1"/>
  <c r="V3534" i="60"/>
  <c r="W3534" i="60" s="1"/>
  <c r="V3535" i="60"/>
  <c r="W3535" i="60" s="1"/>
  <c r="V3536" i="60"/>
  <c r="W3536" i="60" s="1"/>
  <c r="V3537" i="60"/>
  <c r="W3537" i="60" s="1"/>
  <c r="V3538" i="60"/>
  <c r="W3538" i="60" s="1"/>
  <c r="V3539" i="60"/>
  <c r="W3539" i="60" s="1"/>
  <c r="V3540" i="60"/>
  <c r="W3540" i="60" s="1"/>
  <c r="V3541" i="60"/>
  <c r="W3541" i="60"/>
  <c r="V3542" i="60"/>
  <c r="W3542" i="60" s="1"/>
  <c r="V3543" i="60"/>
  <c r="W3543" i="60" s="1"/>
  <c r="V3544" i="60"/>
  <c r="W3544" i="60" s="1"/>
  <c r="V3545" i="60"/>
  <c r="W3545" i="60" s="1"/>
  <c r="V3546" i="60"/>
  <c r="W3546" i="60" s="1"/>
  <c r="V3547" i="60"/>
  <c r="W3547" i="60" s="1"/>
  <c r="V3548" i="60"/>
  <c r="W3548" i="60" s="1"/>
  <c r="V3549" i="60"/>
  <c r="W3549" i="60" s="1"/>
  <c r="V3550" i="60"/>
  <c r="W3550" i="60" s="1"/>
  <c r="V3551" i="60"/>
  <c r="W3551" i="60" s="1"/>
  <c r="V3552" i="60"/>
  <c r="W3552" i="60" s="1"/>
  <c r="V3553" i="60"/>
  <c r="W3553" i="60" s="1"/>
  <c r="V3554" i="60"/>
  <c r="W3554" i="60" s="1"/>
  <c r="V3555" i="60"/>
  <c r="W3555" i="60" s="1"/>
  <c r="V3556" i="60"/>
  <c r="W3556" i="60" s="1"/>
  <c r="V3557" i="60"/>
  <c r="W3557" i="60" s="1"/>
  <c r="V3558" i="60"/>
  <c r="W3558" i="60" s="1"/>
  <c r="V3559" i="60"/>
  <c r="W3559" i="60" s="1"/>
  <c r="V3560" i="60"/>
  <c r="W3560" i="60" s="1"/>
  <c r="V3561" i="60"/>
  <c r="W3561" i="60" s="1"/>
  <c r="V3562" i="60"/>
  <c r="W3562" i="60" s="1"/>
  <c r="V3563" i="60"/>
  <c r="W3563" i="60" s="1"/>
  <c r="V3564" i="60"/>
  <c r="W3564" i="60" s="1"/>
  <c r="V3565" i="60"/>
  <c r="W3565" i="60" s="1"/>
  <c r="V3566" i="60"/>
  <c r="W3566" i="60" s="1"/>
  <c r="V3567" i="60"/>
  <c r="W3567" i="60" s="1"/>
  <c r="V3568" i="60"/>
  <c r="W3568" i="60" s="1"/>
  <c r="V3569" i="60"/>
  <c r="W3569" i="60" s="1"/>
  <c r="V3570" i="60"/>
  <c r="W3570" i="60" s="1"/>
  <c r="V3571" i="60"/>
  <c r="W3571" i="60" s="1"/>
  <c r="V3572" i="60"/>
  <c r="W3572" i="60" s="1"/>
  <c r="V3573" i="60"/>
  <c r="W3573" i="60" s="1"/>
  <c r="V3574" i="60"/>
  <c r="W3574" i="60" s="1"/>
  <c r="V3575" i="60"/>
  <c r="W3575" i="60" s="1"/>
  <c r="V3576" i="60"/>
  <c r="W3576" i="60" s="1"/>
  <c r="V3577" i="60"/>
  <c r="W3577" i="60" s="1"/>
  <c r="V3578" i="60"/>
  <c r="W3578" i="60" s="1"/>
  <c r="V3579" i="60"/>
  <c r="W3579" i="60" s="1"/>
  <c r="V3580" i="60"/>
  <c r="W3580" i="60" s="1"/>
  <c r="U3440" i="60"/>
  <c r="U3439" i="60"/>
  <c r="U3438" i="60"/>
  <c r="U3437" i="60"/>
  <c r="U3436" i="60"/>
  <c r="U3435" i="60"/>
  <c r="U3434" i="60"/>
  <c r="U3433" i="60"/>
  <c r="U3432" i="60"/>
  <c r="U3431" i="60"/>
  <c r="U3430" i="60"/>
  <c r="U3429" i="60"/>
  <c r="U3428" i="60"/>
  <c r="U3427" i="60"/>
  <c r="U3426" i="60"/>
  <c r="U3425" i="60"/>
  <c r="U3424" i="60"/>
  <c r="U3423" i="60"/>
  <c r="U3422" i="60"/>
  <c r="U3421" i="60"/>
  <c r="U3420" i="60"/>
  <c r="U3419" i="60"/>
  <c r="U3418" i="60"/>
  <c r="U3417" i="60"/>
  <c r="U3416" i="60"/>
  <c r="U3415" i="60"/>
  <c r="U3414" i="60"/>
  <c r="U3413" i="60"/>
  <c r="U3412" i="60"/>
  <c r="U3411" i="60"/>
  <c r="U3410" i="60"/>
  <c r="U3409" i="60"/>
  <c r="U3408" i="60"/>
  <c r="U3407" i="60"/>
  <c r="U3406" i="60"/>
  <c r="U3405" i="60"/>
  <c r="U3404" i="60"/>
  <c r="U3403" i="60"/>
  <c r="U3402" i="60"/>
  <c r="U3401" i="60"/>
  <c r="U3400" i="60"/>
  <c r="U3399" i="60"/>
  <c r="U3398" i="60"/>
  <c r="U3397" i="60"/>
  <c r="U3396" i="60"/>
  <c r="U3395" i="60"/>
  <c r="U3394" i="60"/>
  <c r="U3393" i="60"/>
  <c r="U3392" i="60"/>
  <c r="U3391" i="60"/>
  <c r="U3390" i="60"/>
  <c r="U3389" i="60"/>
  <c r="U3388" i="60"/>
  <c r="U3387" i="60"/>
  <c r="U3386" i="60"/>
  <c r="U3385" i="60"/>
  <c r="U3384" i="60"/>
  <c r="U3383" i="60"/>
  <c r="U3382" i="60"/>
  <c r="U3381" i="60"/>
  <c r="U3380" i="60"/>
  <c r="U3379" i="60"/>
  <c r="U3378" i="60"/>
  <c r="U3377" i="60"/>
  <c r="U3376" i="60"/>
  <c r="U3375" i="60"/>
  <c r="U3374" i="60"/>
  <c r="U3373" i="60"/>
  <c r="U3372" i="60"/>
  <c r="U3371" i="60"/>
  <c r="U3370" i="60"/>
  <c r="U3369" i="60"/>
  <c r="U3368" i="60"/>
  <c r="U3367" i="60"/>
  <c r="U3366" i="60"/>
  <c r="U3365" i="60"/>
  <c r="U3364" i="60"/>
  <c r="U3363" i="60"/>
  <c r="U3362" i="60"/>
  <c r="U3361" i="60"/>
  <c r="U3360" i="60"/>
  <c r="U3359" i="60"/>
  <c r="U3358" i="60"/>
  <c r="U3357" i="60"/>
  <c r="U3356" i="60"/>
  <c r="U3355" i="60"/>
  <c r="U3354" i="60"/>
  <c r="U3353" i="60"/>
  <c r="U3352" i="60"/>
  <c r="U3351" i="60"/>
  <c r="U3350" i="60"/>
  <c r="U3349" i="60"/>
  <c r="U3348" i="60"/>
  <c r="U3347" i="60"/>
  <c r="U3346" i="60"/>
  <c r="U3345" i="60"/>
  <c r="U3344" i="60"/>
  <c r="U3343" i="60"/>
  <c r="U3342" i="60"/>
  <c r="U3341" i="60"/>
  <c r="U3340" i="60"/>
  <c r="U3339" i="60"/>
  <c r="U3338" i="60"/>
  <c r="U3337" i="60"/>
  <c r="U3336" i="60"/>
  <c r="U3335" i="60"/>
  <c r="U3334" i="60"/>
  <c r="U3333" i="60"/>
  <c r="U3332" i="60"/>
  <c r="U3331" i="60"/>
  <c r="U3330" i="60"/>
  <c r="U3329" i="60"/>
  <c r="U3328" i="60"/>
  <c r="U3327" i="60"/>
  <c r="U3326" i="60"/>
  <c r="U3325" i="60"/>
  <c r="U3324" i="60"/>
  <c r="U3323" i="60"/>
  <c r="U3322" i="60"/>
  <c r="U3321" i="60"/>
  <c r="U3320" i="60"/>
  <c r="U3319" i="60"/>
  <c r="U3318" i="60"/>
  <c r="U3317" i="60"/>
  <c r="U3316" i="60"/>
  <c r="U3315" i="60"/>
  <c r="U3314" i="60"/>
  <c r="U3313" i="60"/>
  <c r="U3312" i="60"/>
  <c r="U3311" i="60"/>
  <c r="U3310" i="60"/>
  <c r="U3309" i="60"/>
  <c r="U3308" i="60"/>
  <c r="U3307" i="60"/>
  <c r="U3306" i="60"/>
  <c r="U3305" i="60"/>
  <c r="U3304" i="60"/>
  <c r="U3303" i="60"/>
  <c r="U3302" i="60"/>
  <c r="U3301" i="60"/>
  <c r="U3300" i="60"/>
  <c r="U3299" i="60"/>
  <c r="U3298" i="60"/>
  <c r="U3297" i="60"/>
  <c r="U3296" i="60"/>
  <c r="U3295" i="60"/>
  <c r="U3294" i="60"/>
  <c r="U3293" i="60"/>
  <c r="U3292" i="60"/>
  <c r="U3291" i="60"/>
  <c r="U3290" i="60"/>
  <c r="U3289" i="60"/>
  <c r="U3288" i="60"/>
  <c r="U3287" i="60"/>
  <c r="U3286" i="60"/>
  <c r="U3285" i="60"/>
  <c r="U3284" i="60"/>
  <c r="U3283" i="60"/>
  <c r="U3282" i="60"/>
  <c r="U3281" i="60"/>
  <c r="U3280" i="60"/>
  <c r="U3279" i="60"/>
  <c r="U3278" i="60"/>
  <c r="U3277" i="60"/>
  <c r="U3276" i="60"/>
  <c r="U3275" i="60"/>
  <c r="U3274" i="60"/>
  <c r="U3273" i="60"/>
  <c r="U3272" i="60"/>
  <c r="U3271" i="60"/>
  <c r="U3270" i="60"/>
  <c r="U3269" i="60"/>
  <c r="U3268" i="60"/>
  <c r="U3267" i="60"/>
  <c r="U3266" i="60"/>
  <c r="U3265" i="60"/>
  <c r="U3264" i="60"/>
  <c r="U3263" i="60"/>
  <c r="U3262" i="60"/>
  <c r="U3261" i="60"/>
  <c r="U3260" i="60"/>
  <c r="U3259" i="60"/>
  <c r="U3258" i="60"/>
  <c r="U3257" i="60"/>
  <c r="U3256" i="60"/>
  <c r="U3255" i="60"/>
  <c r="U3254" i="60"/>
  <c r="U3253" i="60"/>
  <c r="U3252" i="60"/>
  <c r="U3251" i="60"/>
  <c r="U3250" i="60"/>
  <c r="U3249" i="60"/>
  <c r="U3248" i="60"/>
  <c r="U3247" i="60"/>
  <c r="U3246" i="60"/>
  <c r="U3245" i="60"/>
  <c r="U3244" i="60"/>
  <c r="U3243" i="60"/>
  <c r="U3242" i="60"/>
  <c r="U3241" i="60"/>
  <c r="U3240" i="60"/>
  <c r="U3239" i="60"/>
  <c r="U3238" i="60"/>
  <c r="U3237" i="60"/>
  <c r="U3236" i="60"/>
  <c r="U3235" i="60"/>
  <c r="U3234" i="60"/>
  <c r="U3233" i="60"/>
  <c r="U3232" i="60"/>
  <c r="U3231" i="60"/>
  <c r="U3230" i="60"/>
  <c r="U3229" i="60"/>
  <c r="U3228" i="60"/>
  <c r="U3227" i="60"/>
  <c r="U3226" i="60"/>
  <c r="U3225" i="60"/>
  <c r="U3224" i="60"/>
  <c r="U3223" i="60"/>
  <c r="U3222" i="60"/>
  <c r="U3221" i="60"/>
  <c r="U3220" i="60"/>
  <c r="U3219" i="60"/>
  <c r="U3218" i="60"/>
  <c r="U3217" i="60"/>
  <c r="U3216" i="60"/>
  <c r="U3215" i="60"/>
  <c r="U3214" i="60"/>
  <c r="U3213" i="60"/>
  <c r="U3212" i="60"/>
  <c r="U3211" i="60"/>
  <c r="U3210" i="60"/>
  <c r="U3209" i="60"/>
  <c r="U3208" i="60"/>
  <c r="U3207" i="60"/>
  <c r="U3206" i="60"/>
  <c r="U3205" i="60"/>
  <c r="U3204" i="60"/>
  <c r="U3203" i="60"/>
  <c r="U3202" i="60"/>
  <c r="U3201" i="60"/>
  <c r="U3200" i="60"/>
  <c r="U3199" i="60"/>
  <c r="U3198" i="60"/>
  <c r="U3197" i="60"/>
  <c r="U3196" i="60"/>
  <c r="U3195" i="60"/>
  <c r="U3194" i="60"/>
  <c r="U3193" i="60"/>
  <c r="U3192" i="60"/>
  <c r="U3191" i="60"/>
  <c r="U3190" i="60"/>
  <c r="U3189" i="60"/>
  <c r="U3188" i="60"/>
  <c r="U3187" i="60"/>
  <c r="U3186" i="60"/>
  <c r="U3185" i="60"/>
  <c r="U3184" i="60"/>
  <c r="U3183" i="60"/>
  <c r="U3182" i="60"/>
  <c r="U3181" i="60"/>
  <c r="U3180" i="60"/>
  <c r="U3179" i="60"/>
  <c r="U3178" i="60"/>
  <c r="U3177" i="60"/>
  <c r="U3176" i="60"/>
  <c r="U3175" i="60"/>
  <c r="U3174" i="60"/>
  <c r="U3173" i="60"/>
  <c r="U3172" i="60"/>
  <c r="U3171" i="60"/>
  <c r="U3170" i="60"/>
  <c r="U3169" i="60"/>
  <c r="U3168" i="60"/>
  <c r="U3167" i="60"/>
  <c r="U3166" i="60"/>
  <c r="U3165" i="60"/>
  <c r="U3164" i="60"/>
  <c r="U3163" i="60"/>
  <c r="U3162" i="60"/>
  <c r="U3161" i="60"/>
  <c r="U3160" i="60"/>
  <c r="U3159" i="60"/>
  <c r="U3158" i="60"/>
  <c r="U3157" i="60"/>
  <c r="U3156" i="60"/>
  <c r="U3155" i="60"/>
  <c r="U3154" i="60"/>
  <c r="U3153" i="60"/>
  <c r="U3152" i="60"/>
  <c r="U3151" i="60"/>
  <c r="U3150" i="60"/>
  <c r="U3149" i="60"/>
  <c r="U3148" i="60"/>
  <c r="U3147" i="60"/>
  <c r="U3146" i="60"/>
  <c r="U3145" i="60"/>
  <c r="U3144" i="60"/>
  <c r="U3143" i="60"/>
  <c r="U3142" i="60"/>
  <c r="U3141" i="60"/>
  <c r="U3140" i="60"/>
  <c r="U3139" i="60"/>
  <c r="U3138" i="60"/>
  <c r="U3137" i="60"/>
  <c r="U3136" i="60"/>
  <c r="U3135" i="60"/>
  <c r="U3134" i="60"/>
  <c r="U3133" i="60"/>
  <c r="U3132" i="60"/>
  <c r="U3131" i="60"/>
  <c r="U3130" i="60"/>
  <c r="U3129" i="60"/>
  <c r="U3128" i="60"/>
  <c r="U3127" i="60"/>
  <c r="U3126" i="60"/>
  <c r="U3125" i="60"/>
  <c r="U3124" i="60"/>
  <c r="U3123" i="60"/>
  <c r="U3122" i="60"/>
  <c r="U3121" i="60"/>
  <c r="U3120" i="60"/>
  <c r="U3119" i="60"/>
  <c r="U3118" i="60"/>
  <c r="U3117" i="60"/>
  <c r="U3116" i="60"/>
  <c r="U3115" i="60"/>
  <c r="U3114" i="60"/>
  <c r="U3113" i="60"/>
  <c r="U3112" i="60"/>
  <c r="U3111" i="60"/>
  <c r="U3110" i="60"/>
  <c r="U3109" i="60"/>
  <c r="U3108" i="60"/>
  <c r="U3107" i="60"/>
  <c r="U3106" i="60"/>
  <c r="U3105" i="60"/>
  <c r="U3104" i="60"/>
  <c r="U3103" i="60"/>
  <c r="U3102" i="60"/>
  <c r="U3101" i="60"/>
  <c r="U3100" i="60"/>
  <c r="U3099" i="60"/>
  <c r="U3098" i="60"/>
  <c r="U3097" i="60"/>
  <c r="U3096" i="60"/>
  <c r="U3095" i="60"/>
  <c r="U3094" i="60"/>
  <c r="U3093" i="60"/>
  <c r="U3092" i="60"/>
  <c r="U3091" i="60"/>
  <c r="U3090" i="60"/>
  <c r="U3089" i="60"/>
  <c r="U3088" i="60"/>
  <c r="U3087" i="60"/>
  <c r="U3086" i="60"/>
  <c r="U3085" i="60"/>
  <c r="U3084" i="60"/>
  <c r="U3083" i="60"/>
  <c r="U3082" i="60"/>
  <c r="U3081" i="60"/>
  <c r="U3080" i="60"/>
  <c r="U3079" i="60"/>
  <c r="U3078" i="60"/>
  <c r="U3077" i="60"/>
  <c r="U3076" i="60"/>
  <c r="U3075" i="60"/>
  <c r="U3074" i="60"/>
  <c r="U3073" i="60"/>
  <c r="U3072" i="60"/>
  <c r="U3071" i="60"/>
  <c r="U3070" i="60"/>
  <c r="U3069" i="60"/>
  <c r="U3068" i="60"/>
  <c r="U3067" i="60"/>
  <c r="U3066" i="60"/>
  <c r="U3065" i="60"/>
  <c r="U3064" i="60"/>
  <c r="U3063" i="60"/>
  <c r="U3062" i="60"/>
  <c r="U3061" i="60"/>
  <c r="U3060" i="60"/>
  <c r="U3059" i="60"/>
  <c r="U3058" i="60"/>
  <c r="U3057" i="60"/>
  <c r="U3056" i="60"/>
  <c r="U3055" i="60"/>
  <c r="U3054" i="60"/>
  <c r="U3053" i="60"/>
  <c r="U3052" i="60"/>
  <c r="U3051" i="60"/>
  <c r="U3050" i="60"/>
  <c r="U3049" i="60"/>
  <c r="U3048" i="60"/>
  <c r="U3047" i="60"/>
  <c r="U3046" i="60"/>
  <c r="U3045" i="60"/>
  <c r="U3044" i="60"/>
  <c r="U3043" i="60"/>
  <c r="U3042" i="60"/>
  <c r="U3041" i="60"/>
  <c r="U3040" i="60"/>
  <c r="U3039" i="60"/>
  <c r="U3038" i="60"/>
  <c r="U3037" i="60"/>
  <c r="U3036" i="60"/>
  <c r="U3035" i="60"/>
  <c r="U3034" i="60"/>
  <c r="U3033" i="60"/>
  <c r="U3032" i="60"/>
  <c r="U3031" i="60"/>
  <c r="U3030" i="60"/>
  <c r="U3029" i="60"/>
  <c r="U3028" i="60"/>
  <c r="U3027" i="60"/>
  <c r="U3026" i="60"/>
  <c r="U3025" i="60"/>
  <c r="U3024" i="60"/>
  <c r="U3023" i="60"/>
  <c r="U3022" i="60"/>
  <c r="U3021" i="60"/>
  <c r="U3020" i="60"/>
  <c r="U3019" i="60"/>
  <c r="U3018" i="60"/>
  <c r="U3017" i="60"/>
  <c r="U3016" i="60"/>
  <c r="U3015" i="60"/>
  <c r="U3014" i="60"/>
  <c r="U3013" i="60"/>
  <c r="U3012" i="60"/>
  <c r="U3011" i="60"/>
  <c r="U3010" i="60"/>
  <c r="U3009" i="60"/>
  <c r="U3008" i="60"/>
  <c r="U3007" i="60"/>
  <c r="U3006" i="60"/>
  <c r="U3005" i="60"/>
  <c r="U3004" i="60"/>
  <c r="U3003" i="60"/>
  <c r="U3002" i="60"/>
  <c r="U3001" i="60"/>
  <c r="U3000" i="60"/>
  <c r="U2999" i="60"/>
  <c r="U2998" i="60"/>
  <c r="U2997" i="60"/>
  <c r="U2996" i="60"/>
  <c r="U2995" i="60"/>
  <c r="U2994" i="60"/>
  <c r="U2993" i="60"/>
  <c r="U2992" i="60"/>
  <c r="U2991" i="60"/>
  <c r="U2990" i="60"/>
  <c r="U2989" i="60"/>
  <c r="U2988" i="60"/>
  <c r="U2987" i="60"/>
  <c r="U2986" i="60"/>
  <c r="U2985" i="60"/>
  <c r="U2984" i="60"/>
  <c r="U2983" i="60"/>
  <c r="U2982" i="60"/>
  <c r="U2981" i="60"/>
  <c r="U2980" i="60"/>
  <c r="U2979" i="60"/>
  <c r="U2978" i="60"/>
  <c r="U2977" i="60"/>
  <c r="U2976" i="60"/>
  <c r="U2975" i="60"/>
  <c r="U2974" i="60"/>
  <c r="U2973" i="60"/>
  <c r="U2972" i="60"/>
  <c r="U2971" i="60"/>
  <c r="U2970" i="60"/>
  <c r="U2969" i="60"/>
  <c r="U2968" i="60"/>
  <c r="U2967" i="60"/>
  <c r="U2966" i="60"/>
  <c r="U2965" i="60"/>
  <c r="U2964" i="60"/>
  <c r="U2963" i="60"/>
  <c r="U2962" i="60"/>
  <c r="U2961" i="60"/>
  <c r="U2960" i="60"/>
  <c r="U2959" i="60"/>
  <c r="U2958" i="60"/>
  <c r="U2957" i="60"/>
  <c r="U2956" i="60"/>
  <c r="U2955" i="60"/>
  <c r="U2954" i="60"/>
  <c r="U2953" i="60"/>
  <c r="U2952" i="60"/>
  <c r="U2951" i="60"/>
  <c r="U2950" i="60"/>
  <c r="U2949" i="60"/>
  <c r="U2948" i="60"/>
  <c r="U2947" i="60"/>
  <c r="U2946" i="60"/>
  <c r="U2945" i="60"/>
  <c r="U2944" i="60"/>
  <c r="U2943" i="60"/>
  <c r="U2942" i="60"/>
  <c r="U2941" i="60"/>
  <c r="U2940" i="60"/>
  <c r="U2939" i="60"/>
  <c r="U2938" i="60"/>
  <c r="U2937" i="60"/>
  <c r="U2936" i="60"/>
  <c r="U2935" i="60"/>
  <c r="U2934" i="60"/>
  <c r="U2933" i="60"/>
  <c r="U2932" i="60"/>
  <c r="U2931" i="60"/>
  <c r="U2930" i="60"/>
  <c r="U2929" i="60"/>
  <c r="U2928" i="60"/>
  <c r="U2927" i="60"/>
  <c r="U2926" i="60"/>
  <c r="U2925" i="60"/>
  <c r="U2924" i="60"/>
  <c r="U2923" i="60"/>
  <c r="U2922" i="60"/>
  <c r="U2921" i="60"/>
  <c r="U2920" i="60"/>
  <c r="U2919" i="60"/>
  <c r="U2918" i="60"/>
  <c r="U2917" i="60"/>
  <c r="U2916" i="60"/>
  <c r="U2915" i="60"/>
  <c r="U2914" i="60"/>
  <c r="U2913" i="60"/>
  <c r="U2912" i="60"/>
  <c r="U2911" i="60"/>
  <c r="U2910" i="60"/>
  <c r="U2909" i="60"/>
  <c r="U2908" i="60"/>
  <c r="U2907" i="60"/>
  <c r="U2906" i="60"/>
  <c r="U2905" i="60"/>
  <c r="U2904" i="60"/>
  <c r="U2903" i="60"/>
  <c r="U2902" i="60"/>
  <c r="U2901" i="60"/>
  <c r="U2900" i="60"/>
  <c r="U2899" i="60"/>
  <c r="U2898" i="60"/>
  <c r="U2897" i="60"/>
  <c r="U2896" i="60"/>
  <c r="U2895" i="60"/>
  <c r="U2894" i="60"/>
  <c r="U2893" i="60"/>
  <c r="U2892" i="60"/>
  <c r="U2891" i="60"/>
  <c r="U2890" i="60"/>
  <c r="U2889" i="60"/>
  <c r="U2888" i="60"/>
  <c r="U2887" i="60"/>
  <c r="U2886" i="60"/>
  <c r="U2885" i="60"/>
  <c r="U2884" i="60"/>
  <c r="U2883" i="60"/>
  <c r="U2882" i="60"/>
  <c r="U2881" i="60"/>
  <c r="U2880" i="60"/>
  <c r="U2879" i="60"/>
  <c r="U2878" i="60"/>
  <c r="U2877" i="60"/>
  <c r="U2876" i="60"/>
  <c r="U2875" i="60"/>
  <c r="U2874" i="60"/>
  <c r="U2873" i="60"/>
  <c r="U2872" i="60"/>
  <c r="U2871" i="60"/>
  <c r="U2870" i="60"/>
  <c r="U2869" i="60"/>
  <c r="U2868" i="60"/>
  <c r="U2867" i="60"/>
  <c r="U2866" i="60"/>
  <c r="U2865" i="60"/>
  <c r="U2864" i="60"/>
  <c r="U2863" i="60"/>
  <c r="U2862" i="60"/>
  <c r="U2861" i="60"/>
  <c r="U2860" i="60"/>
  <c r="U2859" i="60"/>
  <c r="U2858" i="60"/>
  <c r="U2857" i="60"/>
  <c r="U2856" i="60"/>
  <c r="U2855" i="60"/>
  <c r="U2854" i="60"/>
  <c r="U2853" i="60"/>
  <c r="U2852" i="60"/>
  <c r="U2851" i="60"/>
  <c r="U2850" i="60"/>
  <c r="U2849" i="60"/>
  <c r="U2848" i="60"/>
  <c r="U2847" i="60"/>
  <c r="U2846" i="60"/>
  <c r="U2845" i="60"/>
  <c r="U2844" i="60"/>
  <c r="U2843" i="60"/>
  <c r="U2842" i="60"/>
  <c r="U2841" i="60"/>
  <c r="U2840" i="60"/>
  <c r="U2839" i="60"/>
  <c r="U2838" i="60"/>
  <c r="U2837" i="60"/>
  <c r="U2836" i="60"/>
  <c r="U2835" i="60"/>
  <c r="U2834" i="60"/>
  <c r="U2833" i="60"/>
  <c r="U2832" i="60"/>
  <c r="U2831" i="60"/>
  <c r="U2830" i="60"/>
  <c r="U2829" i="60"/>
  <c r="U2828" i="60"/>
  <c r="U2827" i="60"/>
  <c r="U2826" i="60"/>
  <c r="U2825" i="60"/>
  <c r="U2824" i="60"/>
  <c r="U2823" i="60"/>
  <c r="U2822" i="60"/>
  <c r="U2821" i="60"/>
  <c r="U2820" i="60"/>
  <c r="U2819" i="60"/>
  <c r="U2818" i="60"/>
  <c r="U2817" i="60"/>
  <c r="U2816" i="60"/>
  <c r="U2815" i="60"/>
  <c r="U2814" i="60"/>
  <c r="U2813" i="60"/>
  <c r="U2812" i="60"/>
  <c r="U2811" i="60"/>
  <c r="U2810" i="60"/>
  <c r="U2809" i="60"/>
  <c r="U2808" i="60"/>
  <c r="U2807" i="60"/>
  <c r="U2806" i="60"/>
  <c r="U2805" i="60"/>
  <c r="U2804" i="60"/>
  <c r="U2803" i="60"/>
  <c r="U2802" i="60"/>
  <c r="U2801" i="60"/>
  <c r="U2800" i="60"/>
  <c r="U2799" i="60"/>
  <c r="U2798" i="60"/>
  <c r="U2797" i="60"/>
  <c r="U2796" i="60"/>
  <c r="U2795" i="60"/>
  <c r="U2794" i="60"/>
  <c r="U2793" i="60"/>
  <c r="U2792" i="60"/>
  <c r="U2791" i="60"/>
  <c r="U2790" i="60"/>
  <c r="U2789" i="60"/>
  <c r="U2788" i="60"/>
  <c r="U2787" i="60"/>
  <c r="U2786" i="60"/>
  <c r="U2785" i="60"/>
  <c r="U2784" i="60"/>
  <c r="U2783" i="60"/>
  <c r="U2782" i="60"/>
  <c r="U2781" i="60"/>
  <c r="U2780" i="60"/>
  <c r="U2779" i="60"/>
  <c r="U2778" i="60"/>
  <c r="U2777" i="60"/>
  <c r="U2776" i="60"/>
  <c r="U2775" i="60"/>
  <c r="U2774" i="60"/>
  <c r="U2773" i="60"/>
  <c r="U2772" i="60"/>
  <c r="U2771" i="60"/>
  <c r="U2770" i="60"/>
  <c r="U2769" i="60"/>
  <c r="U2768" i="60"/>
  <c r="U2767" i="60"/>
  <c r="U2766" i="60"/>
  <c r="U2765" i="60"/>
  <c r="U2764" i="60"/>
  <c r="U2763" i="60"/>
  <c r="U2762" i="60"/>
  <c r="U2761" i="60"/>
  <c r="U2760" i="60"/>
  <c r="U2759" i="60"/>
  <c r="U2758" i="60"/>
  <c r="U2757" i="60"/>
  <c r="U2756" i="60"/>
  <c r="U2755" i="60"/>
  <c r="U2754" i="60"/>
  <c r="U2753" i="60"/>
  <c r="U2752" i="60"/>
  <c r="U2751" i="60"/>
  <c r="U2750" i="60"/>
  <c r="U2749" i="60"/>
  <c r="U2748" i="60"/>
  <c r="U2747" i="60"/>
  <c r="U2746" i="60"/>
  <c r="U2745" i="60"/>
  <c r="U2744" i="60"/>
  <c r="U2743" i="60"/>
  <c r="U2742" i="60"/>
  <c r="U2741" i="60"/>
  <c r="U2740" i="60"/>
  <c r="U2739" i="60"/>
  <c r="U2738" i="60"/>
  <c r="U2737" i="60"/>
  <c r="U2736" i="60"/>
  <c r="U2735" i="60"/>
  <c r="U2734" i="60"/>
  <c r="U2733" i="60"/>
  <c r="U2732" i="60"/>
  <c r="U2731" i="60"/>
  <c r="U2730" i="60"/>
  <c r="U2729" i="60"/>
  <c r="U2728" i="60"/>
  <c r="U2727" i="60"/>
  <c r="U2726" i="60"/>
  <c r="U2725" i="60"/>
  <c r="U2724" i="60"/>
  <c r="U2723" i="60"/>
  <c r="U2722" i="60"/>
  <c r="U2721" i="60"/>
  <c r="U2720" i="60"/>
  <c r="U2719" i="60"/>
  <c r="U2718" i="60"/>
  <c r="U2717" i="60"/>
  <c r="U2716" i="60"/>
  <c r="U2715" i="60"/>
  <c r="U2714" i="60"/>
  <c r="U2713" i="60"/>
  <c r="U2712" i="60"/>
  <c r="U2711" i="60"/>
  <c r="U2710" i="60"/>
  <c r="U2709" i="60"/>
  <c r="U2708" i="60"/>
  <c r="U2707" i="60"/>
  <c r="U2706" i="60"/>
  <c r="U2705" i="60"/>
  <c r="U2704" i="60"/>
  <c r="U2703" i="60"/>
  <c r="U2702" i="60"/>
  <c r="U2701" i="60"/>
  <c r="U2700" i="60"/>
  <c r="U2699" i="60"/>
  <c r="U2698" i="60"/>
  <c r="U2697" i="60"/>
  <c r="U2696" i="60"/>
  <c r="U2695" i="60"/>
  <c r="U2694" i="60"/>
  <c r="U2693" i="60"/>
  <c r="U2692" i="60"/>
  <c r="U2691" i="60"/>
  <c r="U2690" i="60"/>
  <c r="U2689" i="60"/>
  <c r="U2688" i="60"/>
  <c r="U2687" i="60"/>
  <c r="U2686" i="60"/>
  <c r="U2685" i="60"/>
  <c r="U2684" i="60"/>
  <c r="U2683" i="60"/>
  <c r="U2682" i="60"/>
  <c r="U2681" i="60"/>
  <c r="U2680" i="60"/>
  <c r="U2679" i="60"/>
  <c r="U2678" i="60"/>
  <c r="U2677" i="60"/>
  <c r="U2676" i="60"/>
  <c r="U2675" i="60"/>
  <c r="U2674" i="60"/>
  <c r="U2673" i="60"/>
  <c r="U2672" i="60"/>
  <c r="U2671" i="60"/>
  <c r="U2670" i="60"/>
  <c r="U2669" i="60"/>
  <c r="U2668" i="60"/>
  <c r="U2667" i="60"/>
  <c r="U2666" i="60"/>
  <c r="U2665" i="60"/>
  <c r="U2664" i="60"/>
  <c r="U2663" i="60"/>
  <c r="U2662" i="60"/>
  <c r="U2661" i="60"/>
  <c r="U2660" i="60"/>
  <c r="U2659" i="60"/>
  <c r="U2658" i="60"/>
  <c r="U2657" i="60"/>
  <c r="U2656" i="60"/>
  <c r="U2655" i="60"/>
  <c r="U2654" i="60"/>
  <c r="U2653" i="60"/>
  <c r="U2652" i="60"/>
  <c r="U2651" i="60"/>
  <c r="U2650" i="60"/>
  <c r="U2649" i="60"/>
  <c r="U2648" i="60"/>
  <c r="U2647" i="60"/>
  <c r="U2646" i="60"/>
  <c r="U2645" i="60"/>
  <c r="U2644" i="60"/>
  <c r="U2643" i="60"/>
  <c r="U2642" i="60"/>
  <c r="U2641" i="60"/>
  <c r="U2640" i="60"/>
  <c r="U2639" i="60"/>
  <c r="U2638" i="60"/>
  <c r="U2637" i="60"/>
  <c r="U2636" i="60"/>
  <c r="U2635" i="60"/>
  <c r="U2634" i="60"/>
  <c r="U2633" i="60"/>
  <c r="U2632" i="60"/>
  <c r="U2631" i="60"/>
  <c r="U2630" i="60"/>
  <c r="U2629" i="60"/>
  <c r="U2628" i="60"/>
  <c r="U2627" i="60"/>
  <c r="U2626" i="60"/>
  <c r="U2625" i="60"/>
  <c r="U2624" i="60"/>
  <c r="U2623" i="60"/>
  <c r="U2622" i="60"/>
  <c r="U2621" i="60"/>
  <c r="U2620" i="60"/>
  <c r="U2619" i="60"/>
  <c r="U2618" i="60"/>
  <c r="U2617" i="60"/>
  <c r="U2616" i="60"/>
  <c r="U2615" i="60"/>
  <c r="U2614" i="60"/>
  <c r="U2613" i="60"/>
  <c r="U2612" i="60"/>
  <c r="U2611" i="60"/>
  <c r="U2610" i="60"/>
  <c r="U2609" i="60"/>
  <c r="U2608" i="60"/>
  <c r="U2607" i="60"/>
  <c r="U2606" i="60"/>
  <c r="U2605" i="60"/>
  <c r="U2604" i="60"/>
  <c r="U2603" i="60"/>
  <c r="U2602" i="60"/>
  <c r="U2601" i="60"/>
  <c r="U2600" i="60"/>
  <c r="U2599" i="60"/>
  <c r="U2598" i="60"/>
  <c r="U2597" i="60"/>
  <c r="U2596" i="60"/>
  <c r="U2595" i="60"/>
  <c r="U2594" i="60"/>
  <c r="U2593" i="60"/>
  <c r="U2592" i="60"/>
  <c r="U2591" i="60"/>
  <c r="U2590" i="60"/>
  <c r="U2589" i="60"/>
  <c r="U2588" i="60"/>
  <c r="U2587" i="60"/>
  <c r="U2586" i="60"/>
  <c r="U2585" i="60"/>
  <c r="U2584" i="60"/>
  <c r="U2583" i="60"/>
  <c r="U2582" i="60"/>
  <c r="U2581" i="60"/>
  <c r="U2580" i="60"/>
  <c r="U2579" i="60"/>
  <c r="U2578" i="60"/>
  <c r="U2577" i="60"/>
  <c r="U2576" i="60"/>
  <c r="U2575" i="60"/>
  <c r="U2574" i="60"/>
  <c r="U2573" i="60"/>
  <c r="U2572" i="60"/>
  <c r="U2571" i="60"/>
  <c r="U2570" i="60"/>
  <c r="U2569" i="60"/>
  <c r="U2568" i="60"/>
  <c r="U2567" i="60"/>
  <c r="U2566" i="60"/>
  <c r="U2565" i="60"/>
  <c r="U2564" i="60"/>
  <c r="U2563" i="60"/>
  <c r="U2562" i="60"/>
  <c r="U2561" i="60"/>
  <c r="U2560" i="60"/>
  <c r="U2559" i="60"/>
  <c r="U2558" i="60"/>
  <c r="U2557" i="60"/>
  <c r="U2556" i="60"/>
  <c r="U2555" i="60"/>
  <c r="U2554" i="60"/>
  <c r="U2553" i="60"/>
  <c r="U2552" i="60"/>
  <c r="U2551" i="60"/>
  <c r="U2550" i="60"/>
  <c r="U2549" i="60"/>
  <c r="U2548" i="60"/>
  <c r="U2547" i="60"/>
  <c r="U2546" i="60"/>
  <c r="U2545" i="60"/>
  <c r="U2544" i="60"/>
  <c r="U2543" i="60"/>
  <c r="U2542" i="60"/>
  <c r="U2541" i="60"/>
  <c r="U2540" i="60"/>
  <c r="U2539" i="60"/>
  <c r="U2538" i="60"/>
  <c r="U2537" i="60"/>
  <c r="U2536" i="60"/>
  <c r="U2535" i="60"/>
  <c r="U2534" i="60"/>
  <c r="U2533" i="60"/>
  <c r="U2532" i="60"/>
  <c r="U2531" i="60"/>
  <c r="U2530" i="60"/>
  <c r="U2529" i="60"/>
  <c r="U2528" i="60"/>
  <c r="U2527" i="60"/>
  <c r="U2526" i="60"/>
  <c r="U2525" i="60"/>
  <c r="U2524" i="60"/>
  <c r="U2523" i="60"/>
  <c r="U2522" i="60"/>
  <c r="U2521" i="60"/>
  <c r="U2520" i="60"/>
  <c r="U2519" i="60"/>
  <c r="U2518" i="60"/>
  <c r="U2517" i="60"/>
  <c r="U2516" i="60"/>
  <c r="U2515" i="60"/>
  <c r="U2514" i="60"/>
  <c r="U2513" i="60"/>
  <c r="U2512" i="60"/>
  <c r="U2511" i="60"/>
  <c r="U2510" i="60"/>
  <c r="U2509" i="60"/>
  <c r="U2508" i="60"/>
  <c r="U2507" i="60"/>
  <c r="U2506" i="60"/>
  <c r="U2505" i="60"/>
  <c r="U2504" i="60"/>
  <c r="U2503" i="60"/>
  <c r="U2502" i="60"/>
  <c r="U2501" i="60"/>
  <c r="U2500" i="60"/>
  <c r="U2499" i="60"/>
  <c r="U2498" i="60"/>
  <c r="U2497" i="60"/>
  <c r="U2496" i="60"/>
  <c r="U2495" i="60"/>
  <c r="U2494" i="60"/>
  <c r="U2493" i="60"/>
  <c r="U2492" i="60"/>
  <c r="U2491" i="60"/>
  <c r="U2490" i="60"/>
  <c r="U2489" i="60"/>
  <c r="U2488" i="60"/>
  <c r="U2487" i="60"/>
  <c r="U2486" i="60"/>
  <c r="U2485" i="60"/>
  <c r="U2484" i="60"/>
  <c r="U2483" i="60"/>
  <c r="U2482" i="60"/>
  <c r="U2481" i="60"/>
  <c r="U2480" i="60"/>
  <c r="U2479" i="60"/>
  <c r="U2478" i="60"/>
  <c r="U2477" i="60"/>
  <c r="U2476" i="60"/>
  <c r="U2475" i="60"/>
  <c r="U2474" i="60"/>
  <c r="U2473" i="60"/>
  <c r="U2472" i="60"/>
  <c r="U2471" i="60"/>
  <c r="U2470" i="60"/>
  <c r="U2469" i="60"/>
  <c r="U2468" i="60"/>
  <c r="U2467" i="60"/>
  <c r="U2466" i="60"/>
  <c r="U2465" i="60"/>
  <c r="U2464" i="60"/>
  <c r="U2463" i="60"/>
  <c r="U2462" i="60"/>
  <c r="U2461" i="60"/>
  <c r="U2460" i="60"/>
  <c r="U2459" i="60"/>
  <c r="U2458" i="60"/>
  <c r="U2457" i="60"/>
  <c r="U2456" i="60"/>
  <c r="U2455" i="60"/>
  <c r="U2454" i="60"/>
  <c r="U2453" i="60"/>
  <c r="U2452" i="60"/>
  <c r="U2451" i="60"/>
  <c r="U2450" i="60"/>
  <c r="U2449" i="60"/>
  <c r="U2448" i="60"/>
  <c r="U2447" i="60"/>
  <c r="U2446" i="60"/>
  <c r="U2445" i="60"/>
  <c r="U2444" i="60"/>
  <c r="U2443" i="60"/>
  <c r="U2442" i="60"/>
  <c r="U2441" i="60"/>
  <c r="U2440" i="60"/>
  <c r="U2439" i="60"/>
  <c r="U2438" i="60"/>
  <c r="U2437" i="60"/>
  <c r="U2436" i="60"/>
  <c r="U2435" i="60"/>
  <c r="U2434" i="60"/>
  <c r="U2433" i="60"/>
  <c r="U2432" i="60"/>
  <c r="U2431" i="60"/>
  <c r="U2430" i="60"/>
  <c r="U2429" i="60"/>
  <c r="U2428" i="60"/>
  <c r="U2427" i="60"/>
  <c r="U2426" i="60"/>
  <c r="U2425" i="60"/>
  <c r="U2424" i="60"/>
  <c r="U2423" i="60"/>
  <c r="U2422" i="60"/>
  <c r="U2421" i="60"/>
  <c r="U2420" i="60"/>
  <c r="U2419" i="60"/>
  <c r="U2418" i="60"/>
  <c r="U2417" i="60"/>
  <c r="U2416" i="60"/>
  <c r="U2415" i="60"/>
  <c r="U2414" i="60"/>
  <c r="U2413" i="60"/>
  <c r="U2412" i="60"/>
  <c r="U2411" i="60"/>
  <c r="U2410" i="60"/>
  <c r="U2409" i="60"/>
  <c r="U2408" i="60"/>
  <c r="U2407" i="60"/>
  <c r="U2406" i="60"/>
  <c r="U2405" i="60"/>
  <c r="U2404" i="60"/>
  <c r="U2403" i="60"/>
  <c r="U2402" i="60"/>
  <c r="U2401" i="60"/>
  <c r="U2400" i="60"/>
  <c r="U2399" i="60"/>
  <c r="U2398" i="60"/>
  <c r="U2397" i="60"/>
  <c r="U2396" i="60"/>
  <c r="U2395" i="60"/>
  <c r="U2394" i="60"/>
  <c r="U2393" i="60"/>
  <c r="U2392" i="60"/>
  <c r="U2391" i="60"/>
  <c r="U2390" i="60"/>
  <c r="U2389" i="60"/>
  <c r="U2388" i="60"/>
  <c r="U2387" i="60"/>
  <c r="U2386" i="60"/>
  <c r="U2385" i="60"/>
  <c r="U2384" i="60"/>
  <c r="U2383" i="60"/>
  <c r="U2382" i="60"/>
  <c r="U2381" i="60"/>
  <c r="U2380" i="60"/>
  <c r="U2379" i="60"/>
  <c r="U2378" i="60"/>
  <c r="U2377" i="60"/>
  <c r="U2376" i="60"/>
  <c r="U2375" i="60"/>
  <c r="U2374" i="60"/>
  <c r="U2373" i="60"/>
  <c r="U2372" i="60"/>
  <c r="U2371" i="60"/>
  <c r="U2370" i="60"/>
  <c r="U2369" i="60"/>
  <c r="U2368" i="60"/>
  <c r="U2367" i="60"/>
  <c r="U2366" i="60"/>
  <c r="U2365" i="60"/>
  <c r="U2364" i="60"/>
  <c r="U2363" i="60"/>
  <c r="U2362" i="60"/>
  <c r="U2361" i="60"/>
  <c r="U2360" i="60"/>
  <c r="U2359" i="60"/>
  <c r="U2358" i="60"/>
  <c r="U2357" i="60"/>
  <c r="U2356" i="60"/>
  <c r="U2355" i="60"/>
  <c r="U2354" i="60"/>
  <c r="U2353" i="60"/>
  <c r="U2352" i="60"/>
  <c r="U2351" i="60"/>
  <c r="U2350" i="60"/>
  <c r="U2349" i="60"/>
  <c r="U2348" i="60"/>
  <c r="U2347" i="60"/>
  <c r="U2346" i="60"/>
  <c r="U2345" i="60"/>
  <c r="U2344" i="60"/>
  <c r="U2343" i="60"/>
  <c r="U2342" i="60"/>
  <c r="U2341" i="60"/>
  <c r="U2340" i="60"/>
  <c r="U2339" i="60"/>
  <c r="U2338" i="60"/>
  <c r="U2337" i="60"/>
  <c r="U2336" i="60"/>
  <c r="U2335" i="60"/>
  <c r="U2334" i="60"/>
  <c r="U2333" i="60"/>
  <c r="U2332" i="60"/>
  <c r="U2331" i="60"/>
  <c r="U2330" i="60"/>
  <c r="U2329" i="60"/>
  <c r="U2328" i="60"/>
  <c r="U2327" i="60"/>
  <c r="U2326" i="60"/>
  <c r="U2325" i="60"/>
  <c r="U2324" i="60"/>
  <c r="U2323" i="60"/>
  <c r="U2322" i="60"/>
  <c r="U2321" i="60"/>
  <c r="U2320" i="60"/>
  <c r="U2319" i="60"/>
  <c r="U2318" i="60"/>
  <c r="U2317" i="60"/>
  <c r="U2316" i="60"/>
  <c r="U2315" i="60"/>
  <c r="U2314" i="60"/>
  <c r="U2313" i="60"/>
  <c r="U2312" i="60"/>
  <c r="U2311" i="60"/>
  <c r="U2310" i="60"/>
  <c r="U2309" i="60"/>
  <c r="U2308" i="60"/>
  <c r="U2307" i="60"/>
  <c r="U2306" i="60"/>
  <c r="U2305" i="60"/>
  <c r="U2304" i="60"/>
  <c r="U2303" i="60"/>
  <c r="U2302" i="60"/>
  <c r="U2301" i="60"/>
  <c r="U2300" i="60"/>
  <c r="U2299" i="60"/>
  <c r="U2298" i="60"/>
  <c r="U2297" i="60"/>
  <c r="U2296" i="60"/>
  <c r="U2295" i="60"/>
  <c r="U2294" i="60"/>
  <c r="U2293" i="60"/>
  <c r="U2292" i="60"/>
  <c r="U2291" i="60"/>
  <c r="U2290" i="60"/>
  <c r="U2289" i="60"/>
  <c r="U2288" i="60"/>
  <c r="U2287" i="60"/>
  <c r="U2286" i="60"/>
  <c r="U2285" i="60"/>
  <c r="U2284" i="60"/>
  <c r="U2283" i="60"/>
  <c r="U2282" i="60"/>
  <c r="U2281" i="60"/>
  <c r="U2280" i="60"/>
  <c r="U2279" i="60"/>
  <c r="U2278" i="60"/>
  <c r="U2277" i="60"/>
  <c r="U2276" i="60"/>
  <c r="U2275" i="60"/>
  <c r="U2274" i="60"/>
  <c r="U2273" i="60"/>
  <c r="U2272" i="60"/>
  <c r="U2271" i="60"/>
  <c r="U2270" i="60"/>
  <c r="U2269" i="60"/>
  <c r="U2268" i="60"/>
  <c r="U2267" i="60"/>
  <c r="U2266" i="60"/>
  <c r="U2265" i="60"/>
  <c r="U2264" i="60"/>
  <c r="U2263" i="60"/>
  <c r="U2262" i="60"/>
  <c r="U2261" i="60"/>
  <c r="U2260" i="60"/>
  <c r="U2259" i="60"/>
  <c r="U2258" i="60"/>
  <c r="U2257" i="60"/>
  <c r="U2256" i="60"/>
  <c r="U2255" i="60"/>
  <c r="U2254" i="60"/>
  <c r="U2253" i="60"/>
  <c r="U2252" i="60"/>
  <c r="U2251" i="60"/>
  <c r="U2250" i="60"/>
  <c r="U2249" i="60"/>
  <c r="U2248" i="60"/>
  <c r="U2247" i="60"/>
  <c r="U2246" i="60"/>
  <c r="U2245" i="60"/>
  <c r="U2244" i="60"/>
  <c r="U2243" i="60"/>
  <c r="U2242" i="60"/>
  <c r="U2241" i="60"/>
  <c r="U2240" i="60"/>
  <c r="U2239" i="60"/>
  <c r="U2238" i="60"/>
  <c r="U2237" i="60"/>
  <c r="U2236" i="60"/>
  <c r="U2235" i="60"/>
  <c r="U2234" i="60"/>
  <c r="U2233" i="60"/>
  <c r="U2232" i="60"/>
  <c r="U2231" i="60"/>
  <c r="U2230" i="60"/>
  <c r="U2229" i="60"/>
  <c r="U2228" i="60"/>
  <c r="U2227" i="60"/>
  <c r="U2226" i="60"/>
  <c r="U2225" i="60"/>
  <c r="U2224" i="60"/>
  <c r="U2223" i="60"/>
  <c r="U2222" i="60"/>
  <c r="U2221" i="60"/>
  <c r="U2220" i="60"/>
  <c r="U2219" i="60"/>
  <c r="U2218" i="60"/>
  <c r="U2217" i="60"/>
  <c r="U2216" i="60"/>
  <c r="U2215" i="60"/>
  <c r="U2214" i="60"/>
  <c r="U2213" i="60"/>
  <c r="U2212" i="60"/>
  <c r="U2211" i="60"/>
  <c r="U2210" i="60"/>
  <c r="U2209" i="60"/>
  <c r="U2208" i="60"/>
  <c r="U2207" i="60"/>
  <c r="U2206" i="60"/>
  <c r="U2205" i="60"/>
  <c r="U2204" i="60"/>
  <c r="U2203" i="60"/>
  <c r="U2202" i="60"/>
  <c r="U2201" i="60"/>
  <c r="U2200" i="60"/>
  <c r="U2199" i="60"/>
  <c r="U2198" i="60"/>
  <c r="U2197" i="60"/>
  <c r="U2196" i="60"/>
  <c r="U2195" i="60"/>
  <c r="U2194" i="60"/>
  <c r="U2193" i="60"/>
  <c r="U2192" i="60"/>
  <c r="U2191" i="60"/>
  <c r="U2190" i="60"/>
  <c r="U2189" i="60"/>
  <c r="U2188" i="60"/>
  <c r="U2187" i="60"/>
  <c r="U2186" i="60"/>
  <c r="U2185" i="60"/>
  <c r="U2184" i="60"/>
  <c r="U2183" i="60"/>
  <c r="U2182" i="60"/>
  <c r="U2181" i="60"/>
  <c r="U2180" i="60"/>
  <c r="U2179" i="60"/>
  <c r="U2178" i="60"/>
  <c r="U2177" i="60"/>
  <c r="U2176" i="60"/>
  <c r="U2175" i="60"/>
  <c r="U2174" i="60"/>
  <c r="U2173" i="60"/>
  <c r="U2172" i="60"/>
  <c r="U2171" i="60"/>
  <c r="U2170" i="60"/>
  <c r="U2169" i="60"/>
  <c r="U2168" i="60"/>
  <c r="U2167" i="60"/>
  <c r="U2166" i="60"/>
  <c r="U2165" i="60"/>
  <c r="U2164" i="60"/>
  <c r="U2163" i="60"/>
  <c r="U2162" i="60"/>
  <c r="U2161" i="60"/>
  <c r="U2160" i="60"/>
  <c r="U2159" i="60"/>
  <c r="U2158" i="60"/>
  <c r="U2157" i="60"/>
  <c r="U2156" i="60"/>
  <c r="U2155" i="60"/>
  <c r="U2154" i="60"/>
  <c r="U2153" i="60"/>
  <c r="U2152" i="60"/>
  <c r="U2151" i="60"/>
  <c r="U2150" i="60"/>
  <c r="U2149" i="60"/>
  <c r="U2148" i="60"/>
  <c r="U2147" i="60"/>
  <c r="U2146" i="60"/>
  <c r="U2145" i="60"/>
  <c r="U2144" i="60"/>
  <c r="U2143" i="60"/>
  <c r="U2142" i="60"/>
  <c r="U2141" i="60"/>
  <c r="U2140" i="60"/>
  <c r="U2139" i="60"/>
  <c r="U2138" i="60"/>
  <c r="U2137" i="60"/>
  <c r="U2136" i="60"/>
  <c r="U2135" i="60"/>
  <c r="U2134" i="60"/>
  <c r="U2133" i="60"/>
  <c r="U2132" i="60"/>
  <c r="U2131" i="60"/>
  <c r="U2130" i="60"/>
  <c r="U2129" i="60"/>
  <c r="U2128" i="60"/>
  <c r="U2127" i="60"/>
  <c r="U2126" i="60"/>
  <c r="U2125" i="60"/>
  <c r="U2124" i="60"/>
  <c r="U2123" i="60"/>
  <c r="U2122" i="60"/>
  <c r="U2121" i="60"/>
  <c r="U2120" i="60"/>
  <c r="U2119" i="60"/>
  <c r="U2118" i="60"/>
  <c r="U2117" i="60"/>
  <c r="U2116" i="60"/>
  <c r="U2115" i="60"/>
  <c r="U2114" i="60"/>
  <c r="U2113" i="60"/>
  <c r="U2112" i="60"/>
  <c r="U2111" i="60"/>
  <c r="U2110" i="60"/>
  <c r="U2109" i="60"/>
  <c r="U2108" i="60"/>
  <c r="U2107" i="60"/>
  <c r="U2106" i="60"/>
  <c r="U2105" i="60"/>
  <c r="U2104" i="60"/>
  <c r="U2103" i="60"/>
  <c r="U2102" i="60"/>
  <c r="U2101" i="60"/>
  <c r="U2100" i="60"/>
  <c r="U2099" i="60"/>
  <c r="U2098" i="60"/>
  <c r="U2097" i="60"/>
  <c r="U2096" i="60"/>
  <c r="U2095" i="60"/>
  <c r="U2094" i="60"/>
  <c r="U2093" i="60"/>
  <c r="U2092" i="60"/>
  <c r="U2091" i="60"/>
  <c r="U2090" i="60"/>
  <c r="U2089" i="60"/>
  <c r="U2088" i="60"/>
  <c r="U2087" i="60"/>
  <c r="U2086" i="60"/>
  <c r="U2085" i="60"/>
  <c r="U2084" i="60"/>
  <c r="U2083" i="60"/>
  <c r="U2082" i="60"/>
  <c r="U2081" i="60"/>
  <c r="U2080" i="60"/>
  <c r="U2079" i="60"/>
  <c r="U2078" i="60"/>
  <c r="U2077" i="60"/>
  <c r="U2076" i="60"/>
  <c r="U2075" i="60"/>
  <c r="U2074" i="60"/>
  <c r="U2073" i="60"/>
  <c r="U2072" i="60"/>
  <c r="U2071" i="60"/>
  <c r="U2070" i="60"/>
  <c r="U2069" i="60"/>
  <c r="U2068" i="60"/>
  <c r="U2067" i="60"/>
  <c r="U2066" i="60"/>
  <c r="U2065" i="60"/>
  <c r="U2064" i="60"/>
  <c r="U2063" i="60"/>
  <c r="U2062" i="60"/>
  <c r="U2061" i="60"/>
  <c r="U2060" i="60"/>
  <c r="U2059" i="60"/>
  <c r="U2058" i="60"/>
  <c r="U2057" i="60"/>
  <c r="U2056" i="60"/>
  <c r="U2055" i="60"/>
  <c r="U2054" i="60"/>
  <c r="U2053" i="60"/>
  <c r="U2052" i="60"/>
  <c r="U2051" i="60"/>
  <c r="U2050" i="60"/>
  <c r="U2049" i="60"/>
  <c r="U2048" i="60"/>
  <c r="U2047" i="60"/>
  <c r="U2046" i="60"/>
  <c r="U2045" i="60"/>
  <c r="U2044" i="60"/>
  <c r="U2043" i="60"/>
  <c r="U2042" i="60"/>
  <c r="U2041" i="60"/>
  <c r="U2040" i="60"/>
  <c r="U2039" i="60"/>
  <c r="U2038" i="60"/>
  <c r="U2037" i="60"/>
  <c r="U2036" i="60"/>
  <c r="U2035" i="60"/>
  <c r="U2034" i="60"/>
  <c r="U2033" i="60"/>
  <c r="U2032" i="60"/>
  <c r="U2031" i="60"/>
  <c r="U2030" i="60"/>
  <c r="U2029" i="60"/>
  <c r="U2028" i="60"/>
  <c r="U2027" i="60"/>
  <c r="U2026" i="60"/>
  <c r="U2025" i="60"/>
  <c r="U2024" i="60"/>
  <c r="U2023" i="60"/>
  <c r="U2022" i="60"/>
  <c r="U2021" i="60"/>
  <c r="U2020" i="60"/>
  <c r="U2019" i="60"/>
  <c r="U2018" i="60"/>
  <c r="U2017" i="60"/>
  <c r="U2016" i="60"/>
  <c r="U2015" i="60"/>
  <c r="U2014" i="60"/>
  <c r="U2013" i="60"/>
  <c r="U2012" i="60"/>
  <c r="U2011" i="60"/>
  <c r="U2010" i="60"/>
  <c r="U2009" i="60"/>
  <c r="U2008" i="60"/>
  <c r="U2007" i="60"/>
  <c r="U2006" i="60"/>
  <c r="U2005" i="60"/>
  <c r="U2004" i="60"/>
  <c r="U2003" i="60"/>
  <c r="U2002" i="60"/>
  <c r="U2001" i="60"/>
  <c r="U2000" i="60"/>
  <c r="U1999" i="60"/>
  <c r="U1998" i="60"/>
  <c r="U1997" i="60"/>
  <c r="U1996" i="60"/>
  <c r="U1995" i="60"/>
  <c r="U1994" i="60"/>
  <c r="U1993" i="60"/>
  <c r="U1992" i="60"/>
  <c r="U1991" i="60"/>
  <c r="U1990" i="60"/>
  <c r="U1989" i="60"/>
  <c r="U1988" i="60"/>
  <c r="U1987" i="60"/>
  <c r="U1986" i="60"/>
  <c r="U1985" i="60"/>
  <c r="U1984" i="60"/>
  <c r="U1983" i="60"/>
  <c r="U1982" i="60"/>
  <c r="U1981" i="60"/>
  <c r="U1980" i="60"/>
  <c r="U1979" i="60"/>
  <c r="U1978" i="60"/>
  <c r="U1977" i="60"/>
  <c r="U1976" i="60"/>
  <c r="U1975" i="60"/>
  <c r="U1974" i="60"/>
  <c r="U1973" i="60"/>
  <c r="U1972" i="60"/>
  <c r="U1971" i="60"/>
  <c r="U1970" i="60"/>
  <c r="U1969" i="60"/>
  <c r="U1968" i="60"/>
  <c r="U1967" i="60"/>
  <c r="U1966" i="60"/>
  <c r="U1965" i="60"/>
  <c r="U1964" i="60"/>
  <c r="U1963" i="60"/>
  <c r="U1962" i="60"/>
  <c r="U1961" i="60"/>
  <c r="U1960" i="60"/>
  <c r="U1959" i="60"/>
  <c r="U1958" i="60"/>
  <c r="U1957" i="60"/>
  <c r="U1956" i="60"/>
  <c r="U1955" i="60"/>
  <c r="U1954" i="60"/>
  <c r="U1953" i="60"/>
  <c r="U1952" i="60"/>
  <c r="U1951" i="60"/>
  <c r="U1950" i="60"/>
  <c r="U1949" i="60"/>
  <c r="U1948" i="60"/>
  <c r="U1947" i="60"/>
  <c r="U1946" i="60"/>
  <c r="U1945" i="60"/>
  <c r="U1944" i="60"/>
  <c r="U1943" i="60"/>
  <c r="U1942" i="60"/>
  <c r="U1941" i="60"/>
  <c r="U1940" i="60"/>
  <c r="U1939" i="60"/>
  <c r="U1938" i="60"/>
  <c r="U1937" i="60"/>
  <c r="U1936" i="60"/>
  <c r="U1935" i="60"/>
  <c r="U1934" i="60"/>
  <c r="U1933" i="60"/>
  <c r="U1932" i="60"/>
  <c r="U1931" i="60"/>
  <c r="U1930" i="60"/>
  <c r="U1929" i="60"/>
  <c r="U1928" i="60"/>
  <c r="U1927" i="60"/>
  <c r="U1926" i="60"/>
  <c r="U1925" i="60"/>
  <c r="U1924" i="60"/>
  <c r="U1923" i="60"/>
  <c r="U1922" i="60"/>
  <c r="U1921" i="60"/>
  <c r="U1920" i="60"/>
  <c r="U1919" i="60"/>
  <c r="U1918" i="60"/>
  <c r="U1917" i="60"/>
  <c r="U1916" i="60"/>
  <c r="U1915" i="60"/>
  <c r="U1914" i="60"/>
  <c r="U1913" i="60"/>
  <c r="U1912" i="60"/>
  <c r="U1911" i="60"/>
  <c r="U1910" i="60"/>
  <c r="U1909" i="60"/>
  <c r="U1908" i="60"/>
  <c r="U1907" i="60"/>
  <c r="U1906" i="60"/>
  <c r="U1905" i="60"/>
  <c r="U1904" i="60"/>
  <c r="U1903" i="60"/>
  <c r="U1902" i="60"/>
  <c r="U1901" i="60"/>
  <c r="U1900" i="60"/>
  <c r="U1899" i="60"/>
  <c r="U1898" i="60"/>
  <c r="U1897" i="60"/>
  <c r="U1896" i="60"/>
  <c r="U1895" i="60"/>
  <c r="U1894" i="60"/>
  <c r="U1893" i="60"/>
  <c r="U1892" i="60"/>
  <c r="U1891" i="60"/>
  <c r="U1890" i="60"/>
  <c r="U1889" i="60"/>
  <c r="U1888" i="60"/>
  <c r="U1887" i="60"/>
  <c r="U1886" i="60"/>
  <c r="U1885" i="60"/>
  <c r="U1884" i="60"/>
  <c r="U1883" i="60"/>
  <c r="U1882" i="60"/>
  <c r="U1881" i="60"/>
  <c r="U1880" i="60"/>
  <c r="U1879" i="60"/>
  <c r="U1878" i="60"/>
  <c r="U1877" i="60"/>
  <c r="U1876" i="60"/>
  <c r="U1875" i="60"/>
  <c r="U1874" i="60"/>
  <c r="U1873" i="60"/>
  <c r="U1872" i="60"/>
  <c r="U1871" i="60"/>
  <c r="U1870" i="60"/>
  <c r="U1869" i="60"/>
  <c r="U1868" i="60"/>
  <c r="U1867" i="60"/>
  <c r="U1866" i="60"/>
  <c r="U1865" i="60"/>
  <c r="U1864" i="60"/>
  <c r="U1863" i="60"/>
  <c r="U1862" i="60"/>
  <c r="U1861" i="60"/>
  <c r="U1860" i="60"/>
  <c r="U1859" i="60"/>
  <c r="U1858" i="60"/>
  <c r="U1857" i="60"/>
  <c r="U1856" i="60"/>
  <c r="U1855" i="60"/>
  <c r="U1854" i="60"/>
  <c r="U1853" i="60"/>
  <c r="U1852" i="60"/>
  <c r="U1851" i="60"/>
  <c r="U1850" i="60"/>
  <c r="U1849" i="60"/>
  <c r="U1848" i="60"/>
  <c r="U1847" i="60"/>
  <c r="U1846" i="60"/>
  <c r="U1845" i="60"/>
  <c r="U1844" i="60"/>
  <c r="U1843" i="60"/>
  <c r="U1842" i="60"/>
  <c r="U1841" i="60"/>
  <c r="U1840" i="60"/>
  <c r="U1839" i="60"/>
  <c r="U1838" i="60"/>
  <c r="U1837" i="60"/>
  <c r="U1836" i="60"/>
  <c r="U1835" i="60"/>
  <c r="U1834" i="60"/>
  <c r="U1833" i="60"/>
  <c r="U1832" i="60"/>
  <c r="U1831" i="60"/>
  <c r="U1830" i="60"/>
  <c r="U1829" i="60"/>
  <c r="U1828" i="60"/>
  <c r="U1827" i="60"/>
  <c r="U1826" i="60"/>
  <c r="U1825" i="60"/>
  <c r="U1824" i="60"/>
  <c r="U1823" i="60"/>
  <c r="U1822" i="60"/>
  <c r="U1821" i="60"/>
  <c r="U1820" i="60"/>
  <c r="U1819" i="60"/>
  <c r="U1818" i="60"/>
  <c r="U1817" i="60"/>
  <c r="U1816" i="60"/>
  <c r="U1815" i="60"/>
  <c r="U1814" i="60"/>
  <c r="U1813" i="60"/>
  <c r="U1812" i="60"/>
  <c r="U1811" i="60"/>
  <c r="U1810" i="60"/>
  <c r="U1809" i="60"/>
  <c r="U1808" i="60"/>
  <c r="U1807" i="60"/>
  <c r="U1806" i="60"/>
  <c r="U1805" i="60"/>
  <c r="U1804" i="60"/>
  <c r="U1803" i="60"/>
  <c r="U1802" i="60"/>
  <c r="U1801" i="60"/>
  <c r="U1800" i="60"/>
  <c r="U1799" i="60"/>
  <c r="U1798" i="60"/>
  <c r="U1797" i="60"/>
  <c r="U1796" i="60"/>
  <c r="U1795" i="60"/>
  <c r="U1794" i="60"/>
  <c r="U1793" i="60"/>
  <c r="U1792" i="60"/>
  <c r="U1791" i="60"/>
  <c r="U1790" i="60"/>
  <c r="U1789" i="60"/>
  <c r="U1788" i="60"/>
  <c r="U1787" i="60"/>
  <c r="U1786" i="60"/>
  <c r="U1785" i="60"/>
  <c r="U1784" i="60"/>
  <c r="U1783" i="60"/>
  <c r="U1782" i="60"/>
  <c r="U1781" i="60"/>
  <c r="U1780" i="60"/>
  <c r="U1779" i="60"/>
  <c r="U1778" i="60"/>
  <c r="U1777" i="60"/>
  <c r="U1776" i="60"/>
  <c r="U1775" i="60"/>
  <c r="U1774" i="60"/>
  <c r="U1773" i="60"/>
  <c r="U1772" i="60"/>
  <c r="U1771" i="60"/>
  <c r="U1770" i="60"/>
  <c r="U1769" i="60"/>
  <c r="U1768" i="60"/>
  <c r="U1767" i="60"/>
  <c r="U1766" i="60"/>
  <c r="U1765" i="60"/>
  <c r="U1764" i="60"/>
  <c r="U1763" i="60"/>
  <c r="U1762" i="60"/>
  <c r="U1761" i="60"/>
  <c r="U1760" i="60"/>
  <c r="U1759" i="60"/>
  <c r="U1758" i="60"/>
  <c r="U1757" i="60"/>
  <c r="U1756" i="60"/>
  <c r="U1755" i="60"/>
  <c r="U1754" i="60"/>
  <c r="U1753" i="60"/>
  <c r="U1752" i="60"/>
  <c r="U1751" i="60"/>
  <c r="U1750" i="60"/>
  <c r="U1749" i="60"/>
  <c r="U1748" i="60"/>
  <c r="U1747" i="60"/>
  <c r="U1746" i="60"/>
  <c r="U1745" i="60"/>
  <c r="U1744" i="60"/>
  <c r="U1743" i="60"/>
  <c r="U1742" i="60"/>
  <c r="U1741" i="60"/>
  <c r="U1740" i="60"/>
  <c r="U1739" i="60"/>
  <c r="U1738" i="60"/>
  <c r="U1737" i="60"/>
  <c r="U1736" i="60"/>
  <c r="U1735" i="60"/>
  <c r="U1734" i="60"/>
  <c r="U1733" i="60"/>
  <c r="U1732" i="60"/>
  <c r="U1731" i="60"/>
  <c r="U1730" i="60"/>
  <c r="U1729" i="60"/>
  <c r="U1728" i="60"/>
  <c r="U1727" i="60"/>
  <c r="U1726" i="60"/>
  <c r="U1725" i="60"/>
  <c r="U1724" i="60"/>
  <c r="U1723" i="60"/>
  <c r="U1722" i="60"/>
  <c r="U1721" i="60"/>
  <c r="U1720" i="60"/>
  <c r="U1719" i="60"/>
  <c r="U1718" i="60"/>
  <c r="U1717" i="60"/>
  <c r="U1716" i="60"/>
  <c r="U1715" i="60"/>
  <c r="U1714" i="60"/>
  <c r="U1713" i="60"/>
  <c r="U1712" i="60"/>
  <c r="U1711" i="60"/>
  <c r="U1710" i="60"/>
  <c r="U1709" i="60"/>
  <c r="U1708" i="60"/>
  <c r="U1707" i="60"/>
  <c r="U1706" i="60"/>
  <c r="U1705" i="60"/>
  <c r="U1704" i="60"/>
  <c r="U1703" i="60"/>
  <c r="U1702" i="60"/>
  <c r="U1701" i="60"/>
  <c r="U1700" i="60"/>
  <c r="U1699" i="60"/>
  <c r="U1698" i="60"/>
  <c r="U1697" i="60"/>
  <c r="U1696" i="60"/>
  <c r="U1695" i="60"/>
  <c r="U1694" i="60"/>
  <c r="U1693" i="60"/>
  <c r="U1692" i="60"/>
  <c r="U1691" i="60"/>
  <c r="U1690" i="60"/>
  <c r="U1689" i="60"/>
  <c r="U1688" i="60"/>
  <c r="U1687" i="60"/>
  <c r="U1686" i="60"/>
  <c r="U1685" i="60"/>
  <c r="U1684" i="60"/>
  <c r="U1683" i="60"/>
  <c r="U1682" i="60"/>
  <c r="U1681" i="60"/>
  <c r="U1680" i="60"/>
  <c r="U1679" i="60"/>
  <c r="U1678" i="60"/>
  <c r="U1677" i="60"/>
  <c r="U1676" i="60"/>
  <c r="U1675" i="60"/>
  <c r="U1674" i="60"/>
  <c r="U1673" i="60"/>
  <c r="U1672" i="60"/>
  <c r="U1671" i="60"/>
  <c r="U1670" i="60"/>
  <c r="U1669" i="60"/>
  <c r="U1668" i="60"/>
  <c r="U1667" i="60"/>
  <c r="U1666" i="60"/>
  <c r="U1665" i="60"/>
  <c r="U1664" i="60"/>
  <c r="U1663" i="60"/>
  <c r="U1662" i="60"/>
  <c r="U1661" i="60"/>
  <c r="U1660" i="60"/>
  <c r="U1659" i="60"/>
  <c r="U1658" i="60"/>
  <c r="U1657" i="60"/>
  <c r="U1656" i="60"/>
  <c r="U1655" i="60"/>
  <c r="U1654" i="60"/>
  <c r="U1653" i="60"/>
  <c r="U1652" i="60"/>
  <c r="U1651" i="60"/>
  <c r="U1650" i="60"/>
  <c r="U1649" i="60"/>
  <c r="U1648" i="60"/>
  <c r="U1647" i="60"/>
  <c r="U1646" i="60"/>
  <c r="U1645" i="60"/>
  <c r="U1644" i="60"/>
  <c r="U1643" i="60"/>
  <c r="U1642" i="60"/>
  <c r="U1641" i="60"/>
  <c r="U1640" i="60"/>
  <c r="U1639" i="60"/>
  <c r="U1638" i="60"/>
  <c r="U1637" i="60"/>
  <c r="U1636" i="60"/>
  <c r="U1635" i="60"/>
  <c r="U1634" i="60"/>
  <c r="U1633" i="60"/>
  <c r="U1632" i="60"/>
  <c r="U1631" i="60"/>
  <c r="U1630" i="60"/>
  <c r="U1629" i="60"/>
  <c r="U1628" i="60"/>
  <c r="U1627" i="60"/>
  <c r="U1626" i="60"/>
  <c r="U1625" i="60"/>
  <c r="U1624" i="60"/>
  <c r="U1623" i="60"/>
  <c r="U1622" i="60"/>
  <c r="U1621" i="60"/>
  <c r="U1620" i="60"/>
  <c r="U1619" i="60"/>
  <c r="U1618" i="60"/>
  <c r="U1617" i="60"/>
  <c r="U1616" i="60"/>
  <c r="U1615" i="60"/>
  <c r="U1614" i="60"/>
  <c r="U1613" i="60"/>
  <c r="U1612" i="60"/>
  <c r="U1611" i="60"/>
  <c r="U1610" i="60"/>
  <c r="U1609" i="60"/>
  <c r="U1608" i="60"/>
  <c r="U1607" i="60"/>
  <c r="U1606" i="60"/>
  <c r="U1605" i="60"/>
  <c r="U1604" i="60"/>
  <c r="U1603" i="60"/>
  <c r="U1602" i="60"/>
  <c r="U1601" i="60"/>
  <c r="U1600" i="60"/>
  <c r="U1599" i="60"/>
  <c r="U1598" i="60"/>
  <c r="U1597" i="60"/>
  <c r="U1596" i="60"/>
  <c r="U1595" i="60"/>
  <c r="U1594" i="60"/>
  <c r="U1593" i="60"/>
  <c r="U1592" i="60"/>
  <c r="U1591" i="60"/>
  <c r="U1590" i="60"/>
  <c r="U1589" i="60"/>
  <c r="U1588" i="60"/>
  <c r="U1587" i="60"/>
  <c r="U1586" i="60"/>
  <c r="U1585" i="60"/>
  <c r="U1584" i="60"/>
  <c r="U1583" i="60"/>
  <c r="U1582" i="60"/>
  <c r="U1581" i="60"/>
  <c r="U1580" i="60"/>
  <c r="U1579" i="60"/>
  <c r="U1578" i="60"/>
  <c r="U1577" i="60"/>
  <c r="U1576" i="60"/>
  <c r="U1575" i="60"/>
  <c r="U1574" i="60"/>
  <c r="U1573" i="60"/>
  <c r="U1572" i="60"/>
  <c r="U1571" i="60"/>
  <c r="U1570" i="60"/>
  <c r="U1569" i="60"/>
  <c r="U1568" i="60"/>
  <c r="U1567" i="60"/>
  <c r="U1566" i="60"/>
  <c r="U1565" i="60"/>
  <c r="U1564" i="60"/>
  <c r="U1563" i="60"/>
  <c r="U1562" i="60"/>
  <c r="U1561" i="60"/>
  <c r="U1560" i="60"/>
  <c r="U1559" i="60"/>
  <c r="U1558" i="60"/>
  <c r="U1557" i="60"/>
  <c r="U1556" i="60"/>
  <c r="U1555" i="60"/>
  <c r="U1554" i="60"/>
  <c r="U1553" i="60"/>
  <c r="U1552" i="60"/>
  <c r="U1551" i="60"/>
  <c r="U1550" i="60"/>
  <c r="U1549" i="60"/>
  <c r="U1548" i="60"/>
  <c r="U1547" i="60"/>
  <c r="U1546" i="60"/>
  <c r="U1545" i="60"/>
  <c r="U1544" i="60"/>
  <c r="U1543" i="60"/>
  <c r="U1542" i="60"/>
  <c r="U1541" i="60"/>
  <c r="U1540" i="60"/>
  <c r="U1539" i="60"/>
  <c r="U1538" i="60"/>
  <c r="U1537" i="60"/>
  <c r="U1536" i="60"/>
  <c r="U1535" i="60"/>
  <c r="U1534" i="60"/>
  <c r="U1533" i="60"/>
  <c r="U1532" i="60"/>
  <c r="U1531" i="60"/>
  <c r="U1530" i="60"/>
  <c r="U1529" i="60"/>
  <c r="U1528" i="60"/>
  <c r="U1527" i="60"/>
  <c r="U1526" i="60"/>
  <c r="U1525" i="60"/>
  <c r="U1524" i="60"/>
  <c r="U1523" i="60"/>
  <c r="U1522" i="60"/>
  <c r="U1521" i="60"/>
  <c r="U1520" i="60"/>
  <c r="U1519" i="60"/>
  <c r="U1518" i="60"/>
  <c r="U1517" i="60"/>
  <c r="U1516" i="60"/>
  <c r="U1515" i="60"/>
  <c r="U1514" i="60"/>
  <c r="U1513" i="60"/>
  <c r="U1512" i="60"/>
  <c r="U1511" i="60"/>
  <c r="U1510" i="60"/>
  <c r="U1509" i="60"/>
  <c r="U1508" i="60"/>
  <c r="U1507" i="60"/>
  <c r="U1506" i="60"/>
  <c r="U1505" i="60"/>
  <c r="U1504" i="60"/>
  <c r="U1503" i="60"/>
  <c r="U1502" i="60"/>
  <c r="U1501" i="60"/>
  <c r="U1500" i="60"/>
  <c r="U1499" i="60"/>
  <c r="U1498" i="60"/>
  <c r="U1497" i="60"/>
  <c r="U1496" i="60"/>
  <c r="U1495" i="60"/>
  <c r="U1494" i="60"/>
  <c r="U1493" i="60"/>
  <c r="U1492" i="60"/>
  <c r="U1491" i="60"/>
  <c r="U1490" i="60"/>
  <c r="U1489" i="60"/>
  <c r="U1488" i="60"/>
  <c r="U1487" i="60"/>
  <c r="U1486" i="60"/>
  <c r="U1485" i="60"/>
  <c r="U1484" i="60"/>
  <c r="U1483" i="60"/>
  <c r="U1482" i="60"/>
  <c r="U1481" i="60"/>
  <c r="U1480" i="60"/>
  <c r="U1479" i="60"/>
  <c r="U1478" i="60"/>
  <c r="U1477" i="60"/>
  <c r="U1476" i="60"/>
  <c r="U1475" i="60"/>
  <c r="U1474" i="60"/>
  <c r="U1473" i="60"/>
  <c r="U1472" i="60"/>
  <c r="U1471" i="60"/>
  <c r="U1470" i="60"/>
  <c r="U1469" i="60"/>
  <c r="U1468" i="60"/>
  <c r="U1467" i="60"/>
  <c r="U1466" i="60"/>
  <c r="U1465" i="60"/>
  <c r="U1464" i="60"/>
  <c r="U1463" i="60"/>
  <c r="U1462" i="60"/>
  <c r="U1461" i="60"/>
  <c r="U1460" i="60"/>
  <c r="U1459" i="60"/>
  <c r="U1458" i="60"/>
  <c r="U1457" i="60"/>
  <c r="U1456" i="60"/>
  <c r="U1455" i="60"/>
  <c r="U1454" i="60"/>
  <c r="U1453" i="60"/>
  <c r="U1452" i="60"/>
  <c r="U1451" i="60"/>
  <c r="U1450" i="60"/>
  <c r="U1449" i="60"/>
  <c r="U1448" i="60"/>
  <c r="U1447" i="60"/>
  <c r="U1446" i="60"/>
  <c r="U1445" i="60"/>
  <c r="U1444" i="60"/>
  <c r="U1443" i="60"/>
  <c r="U1442" i="60"/>
  <c r="U1441" i="60"/>
  <c r="U1440" i="60"/>
  <c r="U1439" i="60"/>
  <c r="U1438" i="60"/>
  <c r="U1437" i="60"/>
  <c r="U1436" i="60"/>
  <c r="U1435" i="60"/>
  <c r="U1434" i="60"/>
  <c r="U1433" i="60"/>
  <c r="U1432" i="60"/>
  <c r="U1431" i="60"/>
  <c r="U1430" i="60"/>
  <c r="U1429" i="60"/>
  <c r="U1428" i="60"/>
  <c r="U1427" i="60"/>
  <c r="U1426" i="60"/>
  <c r="U1425" i="60"/>
  <c r="U1424" i="60"/>
  <c r="U1423" i="60"/>
  <c r="U1422" i="60"/>
  <c r="U1421" i="60"/>
  <c r="U1420" i="60"/>
  <c r="U1419" i="60"/>
  <c r="U1418" i="60"/>
  <c r="U1417" i="60"/>
  <c r="U1416" i="60"/>
  <c r="U1415" i="60"/>
  <c r="U1414" i="60"/>
  <c r="U1413" i="60"/>
  <c r="U1412" i="60"/>
  <c r="U1411" i="60"/>
  <c r="U1410" i="60"/>
  <c r="U1409" i="60"/>
  <c r="U1408" i="60"/>
  <c r="U1407" i="60"/>
  <c r="U1406" i="60"/>
  <c r="U1405" i="60"/>
  <c r="U1404" i="60"/>
  <c r="U1403" i="60"/>
  <c r="U1402" i="60"/>
  <c r="U1401" i="60"/>
  <c r="U1400" i="60"/>
  <c r="U1399" i="60"/>
  <c r="U1398" i="60"/>
  <c r="U1397" i="60"/>
  <c r="U1396" i="60"/>
  <c r="U1395" i="60"/>
  <c r="U1394" i="60"/>
  <c r="U1393" i="60"/>
  <c r="U1392" i="60"/>
  <c r="U1391" i="60"/>
  <c r="U1390" i="60"/>
  <c r="U1389" i="60"/>
  <c r="U1388" i="60"/>
  <c r="U1387" i="60"/>
  <c r="U1386" i="60"/>
  <c r="U1385" i="60"/>
  <c r="U1384" i="60"/>
  <c r="U1383" i="60"/>
  <c r="U1382" i="60"/>
  <c r="U1381" i="60"/>
  <c r="U1380" i="60"/>
  <c r="U1379" i="60"/>
  <c r="U1378" i="60"/>
  <c r="U1377" i="60"/>
  <c r="U1376" i="60"/>
  <c r="U1375" i="60"/>
  <c r="U1374" i="60"/>
  <c r="U1373" i="60"/>
  <c r="U1372" i="60"/>
  <c r="U1371" i="60"/>
  <c r="U1370" i="60"/>
  <c r="U1369" i="60"/>
  <c r="U1368" i="60"/>
  <c r="U1367" i="60"/>
  <c r="U1366" i="60"/>
  <c r="U1365" i="60"/>
  <c r="U1364" i="60"/>
  <c r="U1363" i="60"/>
  <c r="U1362" i="60"/>
  <c r="U1361" i="60"/>
  <c r="U1360" i="60"/>
  <c r="U1359" i="60"/>
  <c r="U1358" i="60"/>
  <c r="U1357" i="60"/>
  <c r="U1356" i="60"/>
  <c r="U1355" i="60"/>
  <c r="U1354" i="60"/>
  <c r="U1353" i="60"/>
  <c r="U1352" i="60"/>
  <c r="U1351" i="60"/>
  <c r="U1350" i="60"/>
  <c r="U1349" i="60"/>
  <c r="U1348" i="60"/>
  <c r="U1347" i="60"/>
  <c r="U1346" i="60"/>
  <c r="U1345" i="60"/>
  <c r="U1344" i="60"/>
  <c r="U1343" i="60"/>
  <c r="U1342" i="60"/>
  <c r="U1341" i="60"/>
  <c r="U1340" i="60"/>
  <c r="U1339" i="60"/>
  <c r="U1338" i="60"/>
  <c r="U1337" i="60"/>
  <c r="U1336" i="60"/>
  <c r="U1335" i="60"/>
  <c r="U1334" i="60"/>
  <c r="U1333" i="60"/>
  <c r="U1332" i="60"/>
  <c r="U1331" i="60"/>
  <c r="U1330" i="60"/>
  <c r="U1329" i="60"/>
  <c r="U1328" i="60"/>
  <c r="U1327" i="60"/>
  <c r="U1326" i="60"/>
  <c r="U1325" i="60"/>
  <c r="U1324" i="60"/>
  <c r="U1323" i="60"/>
  <c r="U1322" i="60"/>
  <c r="U1321" i="60"/>
  <c r="U1320" i="60"/>
  <c r="U1319" i="60"/>
  <c r="U1318" i="60"/>
  <c r="U1317" i="60"/>
  <c r="U1316" i="60"/>
  <c r="U1315" i="60"/>
  <c r="U1314" i="60"/>
  <c r="U1313" i="60"/>
  <c r="U1312" i="60"/>
  <c r="U1311" i="60"/>
  <c r="U1310" i="60"/>
  <c r="U1309" i="60"/>
  <c r="U1308" i="60"/>
  <c r="U1307" i="60"/>
  <c r="U1306" i="60"/>
  <c r="U1305" i="60"/>
  <c r="U1304" i="60"/>
  <c r="U1303" i="60"/>
  <c r="U1302" i="60"/>
  <c r="U1301" i="60"/>
  <c r="U1300" i="60"/>
  <c r="U1299" i="60"/>
  <c r="U1298" i="60"/>
  <c r="U1297" i="60"/>
  <c r="U1296" i="60"/>
  <c r="U1295" i="60"/>
  <c r="U1294" i="60"/>
  <c r="U1293" i="60"/>
  <c r="U1292" i="60"/>
  <c r="U1291" i="60"/>
  <c r="U1290" i="60"/>
  <c r="U1289" i="60"/>
  <c r="U1288" i="60"/>
  <c r="U1287" i="60"/>
  <c r="U1286" i="60"/>
  <c r="U1285" i="60"/>
  <c r="U1284" i="60"/>
  <c r="U1283" i="60"/>
  <c r="U1282" i="60"/>
  <c r="U1281" i="60"/>
  <c r="U1280" i="60"/>
  <c r="U1279" i="60"/>
  <c r="U1278" i="60"/>
  <c r="U1277" i="60"/>
  <c r="U1276" i="60"/>
  <c r="U1275" i="60"/>
  <c r="U1274" i="60"/>
  <c r="U1273" i="60"/>
  <c r="U1272" i="60"/>
  <c r="U1271" i="60"/>
  <c r="U1270" i="60"/>
  <c r="U1269" i="60"/>
  <c r="U1268" i="60"/>
  <c r="U1267" i="60"/>
  <c r="U1266" i="60"/>
  <c r="U1265" i="60"/>
  <c r="U1264" i="60"/>
  <c r="U1263" i="60"/>
  <c r="U1262" i="60"/>
  <c r="U1261" i="60"/>
  <c r="U1260" i="60"/>
  <c r="U1259" i="60"/>
  <c r="U1258" i="60"/>
  <c r="U1257" i="60"/>
  <c r="U1256" i="60"/>
  <c r="U1255" i="60"/>
  <c r="U1254" i="60"/>
  <c r="U1253" i="60"/>
  <c r="U1252" i="60"/>
  <c r="U1251" i="60"/>
  <c r="U1250" i="60"/>
  <c r="U1249" i="60"/>
  <c r="U1248" i="60"/>
  <c r="U1247" i="60"/>
  <c r="U1246" i="60"/>
  <c r="U1245" i="60"/>
  <c r="U1244" i="60"/>
  <c r="U1243" i="60"/>
  <c r="U1242" i="60"/>
  <c r="U1241" i="60"/>
  <c r="U1240" i="60"/>
  <c r="U1239" i="60"/>
  <c r="U1238" i="60"/>
  <c r="U1237" i="60"/>
  <c r="U1236" i="60"/>
  <c r="U1235" i="60"/>
  <c r="U1234" i="60"/>
  <c r="U1233" i="60"/>
  <c r="U1232" i="60"/>
  <c r="U1231" i="60"/>
  <c r="U1230" i="60"/>
  <c r="U1229" i="60"/>
  <c r="U1228" i="60"/>
  <c r="U1227" i="60"/>
  <c r="U1226" i="60"/>
  <c r="U1225" i="60"/>
  <c r="U1224" i="60"/>
  <c r="U1223" i="60"/>
  <c r="U1222" i="60"/>
  <c r="U1221" i="60"/>
  <c r="U1220" i="60"/>
  <c r="U1219" i="60"/>
  <c r="U1218" i="60"/>
  <c r="U1217" i="60"/>
  <c r="U1216" i="60"/>
  <c r="U1215" i="60"/>
  <c r="U1214" i="60"/>
  <c r="U1213" i="60"/>
  <c r="U1212" i="60"/>
  <c r="U1211" i="60"/>
  <c r="U1210" i="60"/>
  <c r="U1209" i="60"/>
  <c r="U1208" i="60"/>
  <c r="U1207" i="60"/>
  <c r="U1206" i="60"/>
  <c r="U1205" i="60"/>
  <c r="U1204" i="60"/>
  <c r="U1203" i="60"/>
  <c r="U1202" i="60"/>
  <c r="U1201" i="60"/>
  <c r="U1200" i="60"/>
  <c r="U1199" i="60"/>
  <c r="U1198" i="60"/>
  <c r="U1197" i="60"/>
  <c r="U1196" i="60"/>
  <c r="U1195" i="60"/>
  <c r="U1194" i="60"/>
  <c r="U1193" i="60"/>
  <c r="U1192" i="60"/>
  <c r="U1191" i="60"/>
  <c r="U1190" i="60"/>
  <c r="U1189" i="60"/>
  <c r="U1188" i="60"/>
  <c r="U1187" i="60"/>
  <c r="U1186" i="60"/>
  <c r="U1185" i="60"/>
  <c r="U1184" i="60"/>
  <c r="U1183" i="60"/>
  <c r="U1182" i="60"/>
  <c r="U1181" i="60"/>
  <c r="U1180" i="60"/>
  <c r="U1179" i="60"/>
  <c r="U1178" i="60"/>
  <c r="U1177" i="60"/>
  <c r="U1176" i="60"/>
  <c r="U1175" i="60"/>
  <c r="U1174" i="60"/>
  <c r="U1173" i="60"/>
  <c r="U1172" i="60"/>
  <c r="U1171" i="60"/>
  <c r="U1170" i="60"/>
  <c r="U1169" i="60"/>
  <c r="U1168" i="60"/>
  <c r="U1167" i="60"/>
  <c r="U1166" i="60"/>
  <c r="U1165" i="60"/>
  <c r="U1164" i="60"/>
  <c r="U1163" i="60"/>
  <c r="U1162" i="60"/>
  <c r="U1161" i="60"/>
  <c r="U1160" i="60"/>
  <c r="U1159" i="60"/>
  <c r="U1158" i="60"/>
  <c r="U1157" i="60"/>
  <c r="U1156" i="60"/>
  <c r="U1155" i="60"/>
  <c r="U1154" i="60"/>
  <c r="U1153" i="60"/>
  <c r="U1152" i="60"/>
  <c r="U1151" i="60"/>
  <c r="U1150" i="60"/>
  <c r="U1149" i="60"/>
  <c r="U1148" i="60"/>
  <c r="U1147" i="60"/>
  <c r="U1146" i="60"/>
  <c r="U1145" i="60"/>
  <c r="U1144" i="60"/>
  <c r="U1143" i="60"/>
  <c r="U1142" i="60"/>
  <c r="U1141" i="60"/>
  <c r="U1140" i="60"/>
  <c r="U1139" i="60"/>
  <c r="U1138" i="60"/>
  <c r="U1137" i="60"/>
  <c r="U1136" i="60"/>
  <c r="U1135" i="60"/>
  <c r="U1134" i="60"/>
  <c r="U1133" i="60"/>
  <c r="U1132" i="60"/>
  <c r="U1131" i="60"/>
  <c r="U1130" i="60"/>
  <c r="U1129" i="60"/>
  <c r="U1128" i="60"/>
  <c r="U1127" i="60"/>
  <c r="U1126" i="60"/>
  <c r="U1125" i="60"/>
  <c r="U1124" i="60"/>
  <c r="U1123" i="60"/>
  <c r="U1122" i="60"/>
  <c r="U1121" i="60"/>
  <c r="U1120" i="60"/>
  <c r="U1119" i="60"/>
  <c r="U1118" i="60"/>
  <c r="U1117" i="60"/>
  <c r="U1116" i="60"/>
  <c r="U1115" i="60"/>
  <c r="U1114" i="60"/>
  <c r="U1113" i="60"/>
  <c r="U1112" i="60"/>
  <c r="U1111" i="60"/>
  <c r="U1110" i="60"/>
  <c r="U1109" i="60"/>
  <c r="U1108" i="60"/>
  <c r="U1107" i="60"/>
  <c r="U1106" i="60"/>
  <c r="U1105" i="60"/>
  <c r="U1104" i="60"/>
  <c r="U1103" i="60"/>
  <c r="U1102" i="60"/>
  <c r="U1101" i="60"/>
  <c r="U1100" i="60"/>
  <c r="U1099" i="60"/>
  <c r="U1098" i="60"/>
  <c r="U1097" i="60"/>
  <c r="U1096" i="60"/>
  <c r="U1095" i="60"/>
  <c r="U1094" i="60"/>
  <c r="U1093" i="60"/>
  <c r="U1092" i="60"/>
  <c r="U1091" i="60"/>
  <c r="U1090" i="60"/>
  <c r="U1089" i="60"/>
  <c r="U1088" i="60"/>
  <c r="U1087" i="60"/>
  <c r="U1086" i="60"/>
  <c r="U1085" i="60"/>
  <c r="U1084" i="60"/>
  <c r="U1083" i="60"/>
  <c r="U1082" i="60"/>
  <c r="U1081" i="60"/>
  <c r="U1080" i="60"/>
  <c r="U1079" i="60"/>
  <c r="U1078" i="60"/>
  <c r="U1077" i="60"/>
  <c r="U1076" i="60"/>
  <c r="U1075" i="60"/>
  <c r="U1074" i="60"/>
  <c r="U1073" i="60"/>
  <c r="U1072" i="60"/>
  <c r="U1071" i="60"/>
  <c r="U1070" i="60"/>
  <c r="U1069" i="60"/>
  <c r="U1068" i="60"/>
  <c r="U1067" i="60"/>
  <c r="U1066" i="60"/>
  <c r="U1065" i="60"/>
  <c r="U1064" i="60"/>
  <c r="U1063" i="60"/>
  <c r="U1062" i="60"/>
  <c r="U1061" i="60"/>
  <c r="U1060" i="60"/>
  <c r="U1059" i="60"/>
  <c r="U1058" i="60"/>
  <c r="U1057" i="60"/>
  <c r="U1056" i="60"/>
  <c r="U1055" i="60"/>
  <c r="U1054" i="60"/>
  <c r="U1053" i="60"/>
  <c r="U1052" i="60"/>
  <c r="U1051" i="60"/>
  <c r="U1050" i="60"/>
  <c r="U1049" i="60"/>
  <c r="U1048" i="60"/>
  <c r="U1047" i="60"/>
  <c r="U1046" i="60"/>
  <c r="U1045" i="60"/>
  <c r="U1044" i="60"/>
  <c r="U1043" i="60"/>
  <c r="U1042" i="60"/>
  <c r="U1041" i="60"/>
  <c r="U1040" i="60"/>
  <c r="U1039" i="60"/>
  <c r="U1038" i="60"/>
  <c r="U1037" i="60"/>
  <c r="U1036" i="60"/>
  <c r="U1035" i="60"/>
  <c r="U1034" i="60"/>
  <c r="U1033" i="60"/>
  <c r="U1032" i="60"/>
  <c r="U1031" i="60"/>
  <c r="U1030" i="60"/>
  <c r="U1029" i="60"/>
  <c r="U1028" i="60"/>
  <c r="U1027" i="60"/>
  <c r="U1026" i="60"/>
  <c r="U1025" i="60"/>
  <c r="U1024" i="60"/>
  <c r="U1023" i="60"/>
  <c r="U1022" i="60"/>
  <c r="U1021" i="60"/>
  <c r="U1020" i="60"/>
  <c r="U1019" i="60"/>
  <c r="U1018" i="60"/>
  <c r="U1017" i="60"/>
  <c r="U1016" i="60"/>
  <c r="U1015" i="60"/>
  <c r="U1014" i="60"/>
  <c r="U1013" i="60"/>
  <c r="U1012" i="60"/>
  <c r="U1011" i="60"/>
  <c r="U1010" i="60"/>
  <c r="U1009" i="60"/>
  <c r="U1008" i="60"/>
  <c r="U1007" i="60"/>
  <c r="U1006" i="60"/>
  <c r="U1005" i="60"/>
  <c r="U1004" i="60"/>
  <c r="U1003" i="60"/>
  <c r="U1002" i="60"/>
  <c r="U1001" i="60"/>
  <c r="U1000" i="60"/>
  <c r="U999" i="60"/>
  <c r="U998" i="60"/>
  <c r="U997" i="60"/>
  <c r="U996" i="60"/>
  <c r="U995" i="60"/>
  <c r="U994" i="60"/>
  <c r="U993" i="60"/>
  <c r="U992" i="60"/>
  <c r="U991" i="60"/>
  <c r="U990" i="60"/>
  <c r="U989" i="60"/>
  <c r="U988" i="60"/>
  <c r="U987" i="60"/>
  <c r="U986" i="60"/>
  <c r="U985" i="60"/>
  <c r="U984" i="60"/>
  <c r="U983" i="60"/>
  <c r="U982" i="60"/>
  <c r="U981" i="60"/>
  <c r="U980" i="60"/>
  <c r="U979" i="60"/>
  <c r="U978" i="60"/>
  <c r="U977" i="60"/>
  <c r="U976" i="60"/>
  <c r="U975" i="60"/>
  <c r="U974" i="60"/>
  <c r="U973" i="60"/>
  <c r="U972" i="60"/>
  <c r="U971" i="60"/>
  <c r="U970" i="60"/>
  <c r="U969" i="60"/>
  <c r="U968" i="60"/>
  <c r="U967" i="60"/>
  <c r="U966" i="60"/>
  <c r="U965" i="60"/>
  <c r="U964" i="60"/>
  <c r="U963" i="60"/>
  <c r="U962" i="60"/>
  <c r="U961" i="60"/>
  <c r="U960" i="60"/>
  <c r="U959" i="60"/>
  <c r="U958" i="60"/>
  <c r="U957" i="60"/>
  <c r="U956" i="60"/>
  <c r="U955" i="60"/>
  <c r="U954" i="60"/>
  <c r="U953" i="60"/>
  <c r="U952" i="60"/>
  <c r="U951" i="60"/>
  <c r="U950" i="60"/>
  <c r="U949" i="60"/>
  <c r="U948" i="60"/>
  <c r="U947" i="60"/>
  <c r="U946" i="60"/>
  <c r="U945" i="60"/>
  <c r="U944" i="60"/>
  <c r="U943" i="60"/>
  <c r="U942" i="60"/>
  <c r="U941" i="60"/>
  <c r="U940" i="60"/>
  <c r="U939" i="60"/>
  <c r="U938" i="60"/>
  <c r="U937" i="60"/>
  <c r="U936" i="60"/>
  <c r="U935" i="60"/>
  <c r="U934" i="60"/>
  <c r="U933" i="60"/>
  <c r="U932" i="60"/>
  <c r="U931" i="60"/>
  <c r="U930" i="60"/>
  <c r="U929" i="60"/>
  <c r="U928" i="60"/>
  <c r="U927" i="60"/>
  <c r="U926" i="60"/>
  <c r="U925" i="60"/>
  <c r="U924" i="60"/>
  <c r="U923" i="60"/>
  <c r="U922" i="60"/>
  <c r="U921" i="60"/>
  <c r="U920" i="60"/>
  <c r="U919" i="60"/>
  <c r="U918" i="60"/>
  <c r="U917" i="60"/>
  <c r="U916" i="60"/>
  <c r="U915" i="60"/>
  <c r="U914" i="60"/>
  <c r="U913" i="60"/>
  <c r="U912" i="60"/>
  <c r="U911" i="60"/>
  <c r="U910" i="60"/>
  <c r="U909" i="60"/>
  <c r="U908" i="60"/>
  <c r="U907" i="60"/>
  <c r="U906" i="60"/>
  <c r="U905" i="60"/>
  <c r="U904" i="60"/>
  <c r="U903" i="60"/>
  <c r="U902" i="60"/>
  <c r="U901" i="60"/>
  <c r="U900" i="60"/>
  <c r="U899" i="60"/>
  <c r="U898" i="60"/>
  <c r="U897" i="60"/>
  <c r="U896" i="60"/>
  <c r="U895" i="60"/>
  <c r="U894" i="60"/>
  <c r="U893" i="60"/>
  <c r="U892" i="60"/>
  <c r="U891" i="60"/>
  <c r="U890" i="60"/>
  <c r="U889" i="60"/>
  <c r="U888" i="60"/>
  <c r="U887" i="60"/>
  <c r="U886" i="60"/>
  <c r="U885" i="60"/>
  <c r="U884" i="60"/>
  <c r="U883" i="60"/>
  <c r="U882" i="60"/>
  <c r="U881" i="60"/>
  <c r="U880" i="60"/>
  <c r="U879" i="60"/>
  <c r="U878" i="60"/>
  <c r="U877" i="60"/>
  <c r="U876" i="60"/>
  <c r="U875" i="60"/>
  <c r="U874" i="60"/>
  <c r="U873" i="60"/>
  <c r="U872" i="60"/>
  <c r="U871" i="60"/>
  <c r="U870" i="60"/>
  <c r="U869" i="60"/>
  <c r="U868" i="60"/>
  <c r="U867" i="60"/>
  <c r="U866" i="60"/>
  <c r="U865" i="60"/>
  <c r="U864" i="60"/>
  <c r="U863" i="60"/>
  <c r="U862" i="60"/>
  <c r="U861" i="60"/>
  <c r="U860" i="60"/>
  <c r="U859" i="60"/>
  <c r="U858" i="60"/>
  <c r="U857" i="60"/>
  <c r="U856" i="60"/>
  <c r="U855" i="60"/>
  <c r="U854" i="60"/>
  <c r="U853" i="60"/>
  <c r="U852" i="60"/>
  <c r="U851" i="60"/>
  <c r="U850" i="60"/>
  <c r="U849" i="60"/>
  <c r="U848" i="60"/>
  <c r="U847" i="60"/>
  <c r="U846" i="60"/>
  <c r="U845" i="60"/>
  <c r="U844" i="60"/>
  <c r="U843" i="60"/>
  <c r="U842" i="60"/>
  <c r="U841" i="60"/>
  <c r="U840" i="60"/>
  <c r="U839" i="60"/>
  <c r="U838" i="60"/>
  <c r="U837" i="60"/>
  <c r="U836" i="60"/>
  <c r="U835" i="60"/>
  <c r="U834" i="60"/>
  <c r="U833" i="60"/>
  <c r="U832" i="60"/>
  <c r="U831" i="60"/>
  <c r="U830" i="60"/>
  <c r="U829" i="60"/>
  <c r="U828" i="60"/>
  <c r="U827" i="60"/>
  <c r="U826" i="60"/>
  <c r="U825" i="60"/>
  <c r="U824" i="60"/>
  <c r="U823" i="60"/>
  <c r="U822" i="60"/>
  <c r="U821" i="60"/>
  <c r="U820" i="60"/>
  <c r="U819" i="60"/>
  <c r="U818" i="60"/>
  <c r="U817" i="60"/>
  <c r="U816" i="60"/>
  <c r="U815" i="60"/>
  <c r="U814" i="60"/>
  <c r="U813" i="60"/>
  <c r="U812" i="60"/>
  <c r="U811" i="60"/>
  <c r="U810" i="60"/>
  <c r="U809" i="60"/>
  <c r="U808" i="60"/>
  <c r="U807" i="60"/>
  <c r="U806" i="60"/>
  <c r="U805" i="60"/>
  <c r="U804" i="60"/>
  <c r="U803" i="60"/>
  <c r="U802" i="60"/>
  <c r="U801" i="60"/>
  <c r="U800" i="60"/>
  <c r="U799" i="60"/>
  <c r="U798" i="60"/>
  <c r="U797" i="60"/>
  <c r="U796" i="60"/>
  <c r="U795" i="60"/>
  <c r="U794" i="60"/>
  <c r="U793" i="60"/>
  <c r="U792" i="60"/>
  <c r="U791" i="60"/>
  <c r="U790" i="60"/>
  <c r="U789" i="60"/>
  <c r="U788" i="60"/>
  <c r="U787" i="60"/>
  <c r="U786" i="60"/>
  <c r="U785" i="60"/>
  <c r="U784" i="60"/>
  <c r="U783" i="60"/>
  <c r="U782" i="60"/>
  <c r="U781" i="60"/>
  <c r="U780" i="60"/>
  <c r="U779" i="60"/>
  <c r="U778" i="60"/>
  <c r="U777" i="60"/>
  <c r="U776" i="60"/>
  <c r="U775" i="60"/>
  <c r="U774" i="60"/>
  <c r="U773" i="60"/>
  <c r="U772" i="60"/>
  <c r="U771" i="60"/>
  <c r="U770" i="60"/>
  <c r="U769" i="60"/>
  <c r="U768" i="60"/>
  <c r="U767" i="60"/>
  <c r="U766" i="60"/>
  <c r="U765" i="60"/>
  <c r="U764" i="60"/>
  <c r="U763" i="60"/>
  <c r="U762" i="60"/>
  <c r="U761" i="60"/>
  <c r="U760" i="60"/>
  <c r="U759" i="60"/>
  <c r="U758" i="60"/>
  <c r="U757" i="60"/>
  <c r="U756" i="60"/>
  <c r="U755" i="60"/>
  <c r="U754" i="60"/>
  <c r="U753" i="60"/>
  <c r="U752" i="60"/>
  <c r="U751" i="60"/>
  <c r="U750" i="60"/>
  <c r="U749" i="60"/>
  <c r="U748" i="60"/>
  <c r="U747" i="60"/>
  <c r="U746" i="60"/>
  <c r="U745" i="60"/>
  <c r="U744" i="60"/>
  <c r="U743" i="60"/>
  <c r="U742" i="60"/>
  <c r="U741" i="60"/>
  <c r="U740" i="60"/>
  <c r="U739" i="60"/>
  <c r="U738" i="60"/>
  <c r="U737" i="60"/>
  <c r="U736" i="60"/>
  <c r="U735" i="60"/>
  <c r="U734" i="60"/>
  <c r="U733" i="60"/>
  <c r="U732" i="60"/>
  <c r="U731" i="60"/>
  <c r="U730" i="60"/>
  <c r="U729" i="60"/>
  <c r="U728" i="60"/>
  <c r="U727" i="60"/>
  <c r="U726" i="60"/>
  <c r="U725" i="60"/>
  <c r="U724" i="60"/>
  <c r="U723" i="60"/>
  <c r="U722" i="60"/>
  <c r="U721" i="60"/>
  <c r="U720" i="60"/>
  <c r="U719" i="60"/>
  <c r="U718" i="60"/>
  <c r="U717" i="60"/>
  <c r="U716" i="60"/>
  <c r="U715" i="60"/>
  <c r="U714" i="60"/>
  <c r="U713" i="60"/>
  <c r="U712" i="60"/>
  <c r="U711" i="60"/>
  <c r="U710" i="60"/>
  <c r="U709" i="60"/>
  <c r="U708" i="60"/>
  <c r="U707" i="60"/>
  <c r="U706" i="60"/>
  <c r="U705" i="60"/>
  <c r="U704" i="60"/>
  <c r="U703" i="60"/>
  <c r="U702" i="60"/>
  <c r="U701" i="60"/>
  <c r="U700" i="60"/>
  <c r="U699" i="60"/>
  <c r="U698" i="60"/>
  <c r="U697" i="60"/>
  <c r="U696" i="60"/>
  <c r="U695" i="60"/>
  <c r="U694" i="60"/>
  <c r="U693" i="60"/>
  <c r="U692" i="60"/>
  <c r="U691" i="60"/>
  <c r="U690" i="60"/>
  <c r="U689" i="60"/>
  <c r="U688" i="60"/>
  <c r="U687" i="60"/>
  <c r="U686" i="60"/>
  <c r="U685" i="60"/>
  <c r="U684" i="60"/>
  <c r="U683" i="60"/>
  <c r="U682" i="60"/>
  <c r="U681" i="60"/>
  <c r="U680" i="60"/>
  <c r="U679" i="60"/>
  <c r="U678" i="60"/>
  <c r="U677" i="60"/>
  <c r="U676" i="60"/>
  <c r="U675" i="60"/>
  <c r="U674" i="60"/>
  <c r="U673" i="60"/>
  <c r="U672" i="60"/>
  <c r="U671" i="60"/>
  <c r="U670" i="60"/>
  <c r="U669" i="60"/>
  <c r="U668" i="60"/>
  <c r="U667" i="60"/>
  <c r="U666" i="60"/>
  <c r="U665" i="60"/>
  <c r="U664" i="60"/>
  <c r="U663" i="60"/>
  <c r="U662" i="60"/>
  <c r="U661" i="60"/>
  <c r="U660" i="60"/>
  <c r="U659" i="60"/>
  <c r="U658" i="60"/>
  <c r="U657" i="60"/>
  <c r="U656" i="60"/>
  <c r="U655" i="60"/>
  <c r="U654" i="60"/>
  <c r="U653" i="60"/>
  <c r="U652" i="60"/>
  <c r="U651" i="60"/>
  <c r="U650" i="60"/>
  <c r="U649" i="60"/>
  <c r="U648" i="60"/>
  <c r="U647" i="60"/>
  <c r="U646" i="60"/>
  <c r="U645" i="60"/>
  <c r="U644" i="60"/>
  <c r="U643" i="60"/>
  <c r="U642" i="60"/>
  <c r="U641" i="60"/>
  <c r="U640" i="60"/>
  <c r="U639" i="60"/>
  <c r="U638" i="60"/>
  <c r="U637" i="60"/>
  <c r="U636" i="60"/>
  <c r="U635" i="60"/>
  <c r="U634" i="60"/>
  <c r="U633" i="60"/>
  <c r="U632" i="60"/>
  <c r="U631" i="60"/>
  <c r="U630" i="60"/>
  <c r="U629" i="60"/>
  <c r="U628" i="60"/>
  <c r="U627" i="60"/>
  <c r="U626" i="60"/>
  <c r="U625" i="60"/>
  <c r="U624" i="60"/>
  <c r="U623" i="60"/>
  <c r="U622" i="60"/>
  <c r="U621" i="60"/>
  <c r="U620" i="60"/>
  <c r="U619" i="60"/>
  <c r="U618" i="60"/>
  <c r="U617" i="60"/>
  <c r="U616" i="60"/>
  <c r="U615" i="60"/>
  <c r="U614" i="60"/>
  <c r="U613" i="60"/>
  <c r="U612" i="60"/>
  <c r="U611" i="60"/>
  <c r="U610" i="60"/>
  <c r="U609" i="60"/>
  <c r="U608" i="60"/>
  <c r="U607" i="60"/>
  <c r="U606" i="60"/>
  <c r="U605" i="60"/>
  <c r="U604" i="60"/>
  <c r="U603" i="60"/>
  <c r="U602" i="60"/>
  <c r="U601" i="60"/>
  <c r="U600" i="60"/>
  <c r="U599" i="60"/>
  <c r="U598" i="60"/>
  <c r="U597" i="60"/>
  <c r="U596" i="60"/>
  <c r="U595" i="60"/>
  <c r="U594" i="60"/>
  <c r="U593" i="60"/>
  <c r="U592" i="60"/>
  <c r="U591" i="60"/>
  <c r="U590" i="60"/>
  <c r="U589" i="60"/>
  <c r="U588" i="60"/>
  <c r="U587" i="60"/>
  <c r="U586" i="60"/>
  <c r="U585" i="60"/>
  <c r="U584" i="60"/>
  <c r="U583" i="60"/>
  <c r="U582" i="60"/>
  <c r="U581" i="60"/>
  <c r="U580" i="60"/>
  <c r="U579" i="60"/>
  <c r="U578" i="60"/>
  <c r="U577" i="60"/>
  <c r="U576" i="60"/>
  <c r="U575" i="60"/>
  <c r="U574" i="60"/>
  <c r="U573" i="60"/>
  <c r="U572" i="60"/>
  <c r="U571" i="60"/>
  <c r="U570" i="60"/>
  <c r="U569" i="60"/>
  <c r="U568" i="60"/>
  <c r="U567" i="60"/>
  <c r="U566" i="60"/>
  <c r="U565" i="60"/>
  <c r="U564" i="60"/>
  <c r="U563" i="60"/>
  <c r="U562" i="60"/>
  <c r="U561" i="60"/>
  <c r="U560" i="60"/>
  <c r="U559" i="60"/>
  <c r="U558" i="60"/>
  <c r="U557" i="60"/>
  <c r="U556" i="60"/>
  <c r="U555" i="60"/>
  <c r="U554" i="60"/>
  <c r="U553" i="60"/>
  <c r="U552" i="60"/>
  <c r="U551" i="60"/>
  <c r="U550" i="60"/>
  <c r="U549" i="60"/>
  <c r="U548" i="60"/>
  <c r="U547" i="60"/>
  <c r="U546" i="60"/>
  <c r="U545" i="60"/>
  <c r="U544" i="60"/>
  <c r="U543" i="60"/>
  <c r="U542" i="60"/>
  <c r="U541" i="60"/>
  <c r="U540" i="60"/>
  <c r="U539" i="60"/>
  <c r="U538" i="60"/>
  <c r="U537" i="60"/>
  <c r="U536" i="60"/>
  <c r="U535" i="60"/>
  <c r="U534" i="60"/>
  <c r="U533" i="60"/>
  <c r="U532" i="60"/>
  <c r="U531" i="60"/>
  <c r="U530" i="60"/>
  <c r="U529" i="60"/>
  <c r="U528" i="60"/>
  <c r="U527" i="60"/>
  <c r="U526" i="60"/>
  <c r="U525" i="60"/>
  <c r="U524" i="60"/>
  <c r="U523" i="60"/>
  <c r="U522" i="60"/>
  <c r="U521" i="60"/>
  <c r="U520" i="60"/>
  <c r="U519" i="60"/>
  <c r="U518" i="60"/>
  <c r="U517" i="60"/>
  <c r="U516" i="60"/>
  <c r="U515" i="60"/>
  <c r="U514" i="60"/>
  <c r="U513" i="60"/>
  <c r="U512" i="60"/>
  <c r="U511" i="60"/>
  <c r="U510" i="60"/>
  <c r="U509" i="60"/>
  <c r="U508" i="60"/>
  <c r="U507" i="60"/>
  <c r="U506" i="60"/>
  <c r="U505" i="60"/>
  <c r="U504" i="60"/>
  <c r="U503" i="60"/>
  <c r="U502" i="60"/>
  <c r="U501" i="60"/>
  <c r="U500" i="60"/>
  <c r="U499" i="60"/>
  <c r="U498" i="60"/>
  <c r="U497" i="60"/>
  <c r="U496" i="60"/>
  <c r="U495" i="60"/>
  <c r="U494" i="60"/>
  <c r="U493" i="60"/>
  <c r="U492" i="60"/>
  <c r="U491" i="60"/>
  <c r="U490" i="60"/>
  <c r="U489" i="60"/>
  <c r="U488" i="60"/>
  <c r="U487" i="60"/>
  <c r="U486" i="60"/>
  <c r="U485" i="60"/>
  <c r="U484" i="60"/>
  <c r="U483" i="60"/>
  <c r="U482" i="60"/>
  <c r="U481" i="60"/>
  <c r="U480" i="60"/>
  <c r="U479" i="60"/>
  <c r="U478" i="60"/>
  <c r="U477" i="60"/>
  <c r="U476" i="60"/>
  <c r="U475" i="60"/>
  <c r="U474" i="60"/>
  <c r="U473" i="60"/>
  <c r="U472" i="60"/>
  <c r="U471" i="60"/>
  <c r="U470" i="60"/>
  <c r="U469" i="60"/>
  <c r="U468" i="60"/>
  <c r="U467" i="60"/>
  <c r="U466" i="60"/>
  <c r="U465" i="60"/>
  <c r="U464" i="60"/>
  <c r="U463" i="60"/>
  <c r="U462" i="60"/>
  <c r="U461" i="60"/>
  <c r="U460" i="60"/>
  <c r="U459" i="60"/>
  <c r="U458" i="60"/>
  <c r="U457" i="60"/>
  <c r="U456" i="60"/>
  <c r="U455" i="60"/>
  <c r="U454" i="60"/>
  <c r="U453" i="60"/>
  <c r="U452" i="60"/>
  <c r="U451" i="60"/>
  <c r="U450" i="60"/>
  <c r="U449" i="60"/>
  <c r="U448" i="60"/>
  <c r="U447" i="60"/>
  <c r="U446" i="60"/>
  <c r="U445" i="60"/>
  <c r="U444" i="60"/>
  <c r="U443" i="60"/>
  <c r="U442" i="60"/>
  <c r="U441" i="60"/>
  <c r="U440" i="60"/>
  <c r="U439" i="60"/>
  <c r="U438" i="60"/>
  <c r="U437" i="60"/>
  <c r="U436" i="60"/>
  <c r="U435" i="60"/>
  <c r="U434" i="60"/>
  <c r="U433" i="60"/>
  <c r="U432" i="60"/>
  <c r="U431" i="60"/>
  <c r="U430" i="60"/>
  <c r="U429" i="60"/>
  <c r="U428" i="60"/>
  <c r="U427" i="60"/>
  <c r="U426" i="60"/>
  <c r="U425" i="60"/>
  <c r="U424" i="60"/>
  <c r="U423" i="60"/>
  <c r="U422" i="60"/>
  <c r="U421" i="60"/>
  <c r="U420" i="60"/>
  <c r="U419" i="60"/>
  <c r="U418" i="60"/>
  <c r="U417" i="60"/>
  <c r="U416" i="60"/>
  <c r="U415" i="60"/>
  <c r="U414" i="60"/>
  <c r="U413" i="60"/>
  <c r="U412" i="60"/>
  <c r="U411" i="60"/>
  <c r="U410" i="60"/>
  <c r="U409" i="60"/>
  <c r="U408" i="60"/>
  <c r="U407" i="60"/>
  <c r="U406" i="60"/>
  <c r="U405" i="60"/>
  <c r="U404" i="60"/>
  <c r="U403" i="60"/>
  <c r="U402" i="60"/>
  <c r="U401" i="60"/>
  <c r="U400" i="60"/>
  <c r="U399" i="60"/>
  <c r="U398" i="60"/>
  <c r="U397" i="60"/>
  <c r="U396" i="60"/>
  <c r="U395" i="60"/>
  <c r="U394" i="60"/>
  <c r="U393" i="60"/>
  <c r="U392" i="60"/>
  <c r="U391" i="60"/>
  <c r="U390" i="60"/>
  <c r="U389" i="60"/>
  <c r="U388" i="60"/>
  <c r="U387" i="60"/>
  <c r="U386" i="60"/>
  <c r="U385" i="60"/>
  <c r="U384" i="60"/>
  <c r="U383" i="60"/>
  <c r="U382" i="60"/>
  <c r="U381" i="60"/>
  <c r="U380" i="60"/>
  <c r="U379" i="60"/>
  <c r="U378" i="60"/>
  <c r="U377" i="60"/>
  <c r="U376" i="60"/>
  <c r="U375" i="60"/>
  <c r="U374" i="60"/>
  <c r="U373" i="60"/>
  <c r="U372" i="60"/>
  <c r="U371" i="60"/>
  <c r="U370" i="60"/>
  <c r="U369" i="60"/>
  <c r="U368" i="60"/>
  <c r="U367" i="60"/>
  <c r="U366" i="60"/>
  <c r="U365" i="60"/>
  <c r="U364" i="60"/>
  <c r="U363" i="60"/>
  <c r="U362" i="60"/>
  <c r="U361" i="60"/>
  <c r="U360" i="60"/>
  <c r="U359" i="60"/>
  <c r="U358" i="60"/>
  <c r="U357" i="60"/>
  <c r="U356" i="60"/>
  <c r="U355" i="60"/>
  <c r="U354" i="60"/>
  <c r="U353" i="60"/>
  <c r="U352" i="60"/>
  <c r="U351" i="60"/>
  <c r="U350" i="60"/>
  <c r="U349" i="60"/>
  <c r="U348" i="60"/>
  <c r="U347" i="60"/>
  <c r="U346" i="60"/>
  <c r="U345" i="60"/>
  <c r="U344" i="60"/>
  <c r="U343" i="60"/>
  <c r="U342" i="60"/>
  <c r="U341" i="60"/>
  <c r="U340" i="60"/>
  <c r="U339" i="60"/>
  <c r="U338" i="60"/>
  <c r="U337" i="60"/>
  <c r="U336" i="60"/>
  <c r="U335" i="60"/>
  <c r="U334" i="60"/>
  <c r="U333" i="60"/>
  <c r="U332" i="60"/>
  <c r="U331" i="60"/>
  <c r="U330" i="60"/>
  <c r="U329" i="60"/>
  <c r="U328" i="60"/>
  <c r="U327" i="60"/>
  <c r="U326" i="60"/>
  <c r="U325" i="60"/>
  <c r="U324" i="60"/>
  <c r="U323" i="60"/>
  <c r="U322" i="60"/>
  <c r="U321" i="60"/>
  <c r="U320" i="60"/>
  <c r="U319" i="60"/>
  <c r="U318" i="60"/>
  <c r="U317" i="60"/>
  <c r="U316" i="60"/>
  <c r="U315" i="60"/>
  <c r="U314" i="60"/>
  <c r="U313" i="60"/>
  <c r="U312" i="60"/>
  <c r="U311" i="60"/>
  <c r="U310" i="60"/>
  <c r="U309" i="60"/>
  <c r="U308" i="60"/>
  <c r="U307" i="60"/>
  <c r="U306" i="60"/>
  <c r="U305" i="60"/>
  <c r="U304" i="60"/>
  <c r="U303" i="60"/>
  <c r="U302" i="60"/>
  <c r="U301" i="60"/>
  <c r="U300" i="60"/>
  <c r="U299" i="60"/>
  <c r="U298" i="60"/>
  <c r="U297" i="60"/>
  <c r="U296" i="60"/>
  <c r="U295" i="60"/>
  <c r="U294" i="60"/>
  <c r="U293" i="60"/>
  <c r="U292" i="60"/>
  <c r="U291" i="60"/>
  <c r="U290" i="60"/>
  <c r="U289" i="60"/>
  <c r="U288" i="60"/>
  <c r="U287" i="60"/>
  <c r="U286" i="60"/>
  <c r="U285" i="60"/>
  <c r="U284" i="60"/>
  <c r="U283" i="60"/>
  <c r="U282" i="60"/>
  <c r="U281" i="60"/>
  <c r="U280" i="60"/>
  <c r="U279" i="60"/>
  <c r="U278" i="60"/>
  <c r="U277" i="60"/>
  <c r="U276" i="60"/>
  <c r="U275" i="60"/>
  <c r="U274" i="60"/>
  <c r="U273" i="60"/>
  <c r="U272" i="60"/>
  <c r="U271" i="60"/>
  <c r="U270" i="60"/>
  <c r="U269" i="60"/>
  <c r="U268" i="60"/>
  <c r="U267" i="60"/>
  <c r="U266" i="60"/>
  <c r="U265" i="60"/>
  <c r="U264" i="60"/>
  <c r="U263" i="60"/>
  <c r="U262" i="60"/>
  <c r="U261" i="60"/>
  <c r="U260" i="60"/>
  <c r="U259" i="60"/>
  <c r="U258" i="60"/>
  <c r="U257" i="60"/>
  <c r="U256" i="60"/>
  <c r="U255" i="60"/>
  <c r="U254" i="60"/>
  <c r="U253" i="60"/>
  <c r="U252" i="60"/>
  <c r="U251" i="60"/>
  <c r="U250" i="60"/>
  <c r="U249" i="60"/>
  <c r="U248" i="60"/>
  <c r="U247" i="60"/>
  <c r="U246" i="60"/>
  <c r="U245" i="60"/>
  <c r="U244" i="60"/>
  <c r="U243" i="60"/>
  <c r="U242" i="60"/>
  <c r="U241" i="60"/>
  <c r="U240" i="60"/>
  <c r="U239" i="60"/>
  <c r="U238" i="60"/>
  <c r="U237" i="60"/>
  <c r="U236" i="60"/>
  <c r="U235" i="60"/>
  <c r="U234" i="60"/>
  <c r="U233" i="60"/>
  <c r="U232" i="60"/>
  <c r="U231" i="60"/>
  <c r="U230" i="60"/>
  <c r="U229" i="60"/>
  <c r="U228" i="60"/>
  <c r="U227" i="60"/>
  <c r="U226" i="60"/>
  <c r="U225" i="60"/>
  <c r="U224" i="60"/>
  <c r="U223" i="60"/>
  <c r="U222" i="60"/>
  <c r="U221" i="60"/>
  <c r="U220" i="60"/>
  <c r="U219" i="60"/>
  <c r="U218" i="60"/>
  <c r="U217" i="60"/>
  <c r="U216" i="60"/>
  <c r="U215" i="60"/>
  <c r="U214" i="60"/>
  <c r="U213" i="60"/>
  <c r="U212" i="60"/>
  <c r="U211" i="60"/>
  <c r="U210" i="60"/>
  <c r="U209" i="60"/>
  <c r="U208" i="60"/>
  <c r="U207" i="60"/>
  <c r="U206" i="60"/>
  <c r="U205" i="60"/>
  <c r="U204" i="60"/>
  <c r="U203" i="60"/>
  <c r="U202" i="60"/>
  <c r="U201" i="60"/>
  <c r="U200" i="60"/>
  <c r="U199" i="60"/>
  <c r="U198" i="60"/>
  <c r="U197" i="60"/>
  <c r="U196" i="60"/>
  <c r="U195" i="60"/>
  <c r="U194" i="60"/>
  <c r="U193" i="60"/>
  <c r="U192" i="60"/>
  <c r="U191" i="60"/>
  <c r="U190" i="60"/>
  <c r="U189" i="60"/>
  <c r="U188" i="60"/>
  <c r="U187" i="60"/>
  <c r="U186" i="60"/>
  <c r="U185" i="60"/>
  <c r="U184" i="60"/>
  <c r="U183" i="60"/>
  <c r="U182" i="60"/>
  <c r="U181" i="60"/>
  <c r="U180" i="60"/>
  <c r="U179" i="60"/>
  <c r="U178" i="60"/>
  <c r="U177" i="60"/>
  <c r="U176" i="60"/>
  <c r="U175" i="60"/>
  <c r="U174" i="60"/>
  <c r="U173" i="60"/>
  <c r="U172" i="60"/>
  <c r="U171" i="60"/>
  <c r="U170" i="60"/>
  <c r="U169" i="60"/>
  <c r="U168" i="60"/>
  <c r="U167" i="60"/>
  <c r="U166" i="60"/>
  <c r="U165" i="60"/>
  <c r="U164" i="60"/>
  <c r="U163" i="60"/>
  <c r="U162" i="60"/>
  <c r="U161" i="60"/>
  <c r="U160" i="60"/>
  <c r="U159" i="60"/>
  <c r="U158" i="60"/>
  <c r="U157" i="60"/>
  <c r="U156" i="60"/>
  <c r="U155" i="60"/>
  <c r="U154" i="60"/>
  <c r="U153" i="60"/>
  <c r="U152" i="60"/>
  <c r="U151" i="60"/>
  <c r="U150" i="60"/>
  <c r="U149" i="60"/>
  <c r="U148" i="60"/>
  <c r="U147" i="60"/>
  <c r="U146" i="60"/>
  <c r="U145" i="60"/>
  <c r="U144" i="60"/>
  <c r="U143" i="60"/>
  <c r="U142" i="60"/>
  <c r="U141" i="60"/>
  <c r="U140" i="60"/>
  <c r="U139" i="60"/>
  <c r="U138" i="60"/>
  <c r="U137" i="60"/>
  <c r="U136" i="60"/>
  <c r="U135" i="60"/>
  <c r="U134" i="60"/>
  <c r="U133" i="60"/>
  <c r="U132" i="60"/>
  <c r="U131" i="60"/>
  <c r="U130" i="60"/>
  <c r="U129" i="60"/>
  <c r="U128" i="60"/>
  <c r="U127" i="60"/>
  <c r="U126" i="60"/>
  <c r="U125" i="60"/>
  <c r="U124" i="60"/>
  <c r="U123" i="60"/>
  <c r="U122" i="60"/>
  <c r="U121" i="60"/>
  <c r="U120" i="60"/>
  <c r="U119" i="60"/>
  <c r="U118" i="60"/>
  <c r="U117" i="60"/>
  <c r="U116" i="60"/>
  <c r="U115" i="60"/>
  <c r="U114" i="60"/>
  <c r="U113" i="60"/>
  <c r="U112" i="60"/>
  <c r="U111" i="60"/>
  <c r="U110" i="60"/>
  <c r="U109" i="60"/>
  <c r="U108" i="60"/>
  <c r="U107" i="60"/>
  <c r="U106" i="60"/>
  <c r="U105" i="60"/>
  <c r="U104" i="60"/>
  <c r="U103" i="60"/>
  <c r="U102" i="60"/>
  <c r="U101" i="60"/>
  <c r="U100" i="60"/>
  <c r="U99" i="60"/>
  <c r="U98" i="60"/>
  <c r="U97" i="60"/>
  <c r="U96" i="60"/>
  <c r="U95" i="60"/>
  <c r="U94" i="60"/>
  <c r="U93" i="60"/>
  <c r="U92" i="60"/>
  <c r="U91" i="60"/>
  <c r="U90" i="60"/>
  <c r="U89" i="60"/>
  <c r="U88" i="60"/>
  <c r="U87" i="60"/>
  <c r="U86" i="60"/>
  <c r="U85" i="60"/>
  <c r="U84" i="60"/>
  <c r="U83" i="60"/>
  <c r="U82" i="60"/>
  <c r="U81" i="60"/>
  <c r="U80" i="60"/>
  <c r="U79" i="60"/>
  <c r="U78" i="60"/>
  <c r="U77" i="60"/>
  <c r="U76" i="60"/>
  <c r="U75" i="60"/>
  <c r="U74" i="60"/>
  <c r="U73" i="60"/>
  <c r="U72" i="60"/>
  <c r="U71" i="60"/>
  <c r="U70" i="60"/>
  <c r="U69" i="60"/>
  <c r="U68" i="60"/>
  <c r="U67" i="60"/>
  <c r="U66" i="60"/>
  <c r="U65" i="60"/>
  <c r="U64" i="60"/>
  <c r="U63" i="60"/>
  <c r="U62" i="60"/>
  <c r="U61" i="60"/>
  <c r="U60" i="60"/>
  <c r="U59" i="60"/>
  <c r="U58" i="60"/>
  <c r="U57" i="60"/>
  <c r="U56" i="60"/>
  <c r="U55" i="60"/>
  <c r="U54" i="60"/>
  <c r="U53" i="60"/>
  <c r="U52" i="60"/>
  <c r="U51" i="60"/>
  <c r="U50" i="60"/>
  <c r="U49" i="60"/>
  <c r="U48" i="60"/>
  <c r="U47" i="60"/>
  <c r="U46" i="60"/>
  <c r="U45" i="60"/>
  <c r="U44" i="60"/>
  <c r="U43" i="60"/>
  <c r="U42" i="60"/>
  <c r="U41" i="60"/>
  <c r="U40" i="60"/>
  <c r="U39" i="60"/>
  <c r="U38" i="60"/>
  <c r="U37" i="60"/>
  <c r="U36" i="60"/>
  <c r="U35" i="60"/>
  <c r="U34" i="60"/>
  <c r="U33" i="60"/>
  <c r="U32" i="60"/>
  <c r="U31" i="60"/>
  <c r="U30" i="60"/>
  <c r="U29" i="60"/>
  <c r="U28" i="60"/>
  <c r="U27" i="60"/>
  <c r="U26" i="60"/>
  <c r="U25" i="60"/>
  <c r="U24" i="60"/>
  <c r="U23" i="60"/>
  <c r="U22" i="60"/>
  <c r="U21" i="60"/>
  <c r="U20" i="60"/>
  <c r="U19" i="60"/>
  <c r="U18" i="60"/>
  <c r="U17" i="60"/>
  <c r="U16" i="60"/>
  <c r="U15" i="60"/>
  <c r="U14" i="60"/>
  <c r="U13" i="60"/>
  <c r="U12" i="60"/>
  <c r="U11" i="60"/>
  <c r="U10" i="60"/>
  <c r="U9" i="60"/>
  <c r="U8" i="60"/>
  <c r="U7" i="60"/>
  <c r="U6" i="60"/>
  <c r="U5" i="60"/>
  <c r="U4" i="60"/>
  <c r="O2" i="60"/>
  <c r="G2" i="60"/>
  <c r="C42" i="22" l="1"/>
  <c r="C3" i="22" l="1"/>
  <c r="M121" i="70" l="1"/>
  <c r="M120" i="70"/>
  <c r="M105" i="70"/>
  <c r="M104" i="70"/>
  <c r="M120" i="56"/>
  <c r="M104" i="56"/>
  <c r="M120" i="55"/>
  <c r="M104" i="55"/>
  <c r="M120" i="54"/>
  <c r="M104" i="54"/>
  <c r="M97" i="54"/>
  <c r="M120" i="52"/>
  <c r="M104" i="52"/>
  <c r="M97" i="52"/>
  <c r="M120" i="51"/>
  <c r="M104" i="51"/>
  <c r="M97" i="51"/>
  <c r="M120" i="50"/>
  <c r="M104" i="50"/>
  <c r="M97" i="50"/>
  <c r="M121" i="43"/>
  <c r="M120" i="43"/>
  <c r="M105" i="43"/>
  <c r="M104" i="43"/>
  <c r="M97" i="43"/>
  <c r="M137" i="45"/>
  <c r="M136" i="45"/>
  <c r="M121" i="45"/>
  <c r="M120" i="45"/>
  <c r="M105" i="45"/>
  <c r="M104" i="45"/>
  <c r="M97" i="45"/>
  <c r="M137" i="49"/>
  <c r="M136" i="49"/>
  <c r="M121" i="49"/>
  <c r="M120" i="49"/>
  <c r="M105" i="49"/>
  <c r="M104" i="49"/>
  <c r="M97" i="49"/>
  <c r="M137" i="44"/>
  <c r="M136" i="44"/>
  <c r="M121" i="44"/>
  <c r="M120" i="44"/>
  <c r="M105" i="44"/>
  <c r="M104" i="44"/>
  <c r="M97" i="44"/>
  <c r="M136" i="48"/>
  <c r="M120" i="48"/>
  <c r="M104" i="48"/>
  <c r="M97" i="48"/>
  <c r="M136" i="46"/>
  <c r="M120" i="46"/>
  <c r="M104" i="46"/>
  <c r="M97" i="46"/>
  <c r="W332" i="37"/>
  <c r="W328" i="37"/>
  <c r="W327" i="37"/>
  <c r="U13" i="21"/>
  <c r="M97" i="70"/>
  <c r="M98" i="70"/>
  <c r="M99" i="70"/>
  <c r="M100" i="70"/>
  <c r="M101" i="70"/>
  <c r="M102" i="70"/>
  <c r="M103" i="70"/>
  <c r="M106" i="70"/>
  <c r="M107" i="70"/>
  <c r="M108" i="70"/>
  <c r="M109" i="70"/>
  <c r="M110" i="70"/>
  <c r="M111" i="70"/>
  <c r="M112" i="70"/>
  <c r="M113" i="70"/>
  <c r="M114" i="70"/>
  <c r="M115" i="70"/>
  <c r="M116" i="70"/>
  <c r="M117" i="70"/>
  <c r="M118" i="70"/>
  <c r="M119" i="70"/>
  <c r="M122" i="70"/>
  <c r="M123" i="70"/>
  <c r="M124" i="70"/>
  <c r="M125" i="70"/>
  <c r="M126" i="70"/>
  <c r="M127" i="70"/>
  <c r="M128" i="70"/>
  <c r="M129" i="70"/>
  <c r="M130" i="70"/>
  <c r="M131" i="70"/>
  <c r="M97" i="56"/>
  <c r="M98" i="56"/>
  <c r="M99" i="56"/>
  <c r="M100" i="56"/>
  <c r="M101" i="56"/>
  <c r="M102" i="56"/>
  <c r="M103" i="56"/>
  <c r="M105" i="56"/>
  <c r="M106" i="56"/>
  <c r="M107" i="56"/>
  <c r="M108" i="56"/>
  <c r="M109" i="56"/>
  <c r="M110" i="56"/>
  <c r="M111" i="56"/>
  <c r="M112" i="56"/>
  <c r="M113" i="56"/>
  <c r="M114" i="56"/>
  <c r="M115" i="56"/>
  <c r="M116" i="56"/>
  <c r="M117" i="56"/>
  <c r="M118" i="56"/>
  <c r="M119" i="56"/>
  <c r="M121" i="56"/>
  <c r="M122" i="56"/>
  <c r="M123" i="56"/>
  <c r="M124" i="56"/>
  <c r="M125" i="56"/>
  <c r="M126" i="56"/>
  <c r="M127" i="56"/>
  <c r="M128" i="56"/>
  <c r="M129" i="56"/>
  <c r="M130" i="56"/>
  <c r="M131" i="56"/>
  <c r="M97" i="55"/>
  <c r="M98" i="55"/>
  <c r="M99" i="55"/>
  <c r="M100" i="55"/>
  <c r="M101" i="55"/>
  <c r="M102" i="55"/>
  <c r="M103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1" i="55"/>
  <c r="M122" i="55"/>
  <c r="M123" i="55"/>
  <c r="M124" i="55"/>
  <c r="M125" i="55"/>
  <c r="M126" i="55"/>
  <c r="M127" i="55"/>
  <c r="M128" i="55"/>
  <c r="M129" i="55"/>
  <c r="M130" i="55"/>
  <c r="M131" i="55"/>
  <c r="M98" i="54"/>
  <c r="M99" i="54"/>
  <c r="M100" i="54"/>
  <c r="M101" i="54"/>
  <c r="M102" i="54"/>
  <c r="M103" i="54"/>
  <c r="M105" i="54"/>
  <c r="M106" i="54"/>
  <c r="M107" i="54"/>
  <c r="M108" i="54"/>
  <c r="M109" i="54"/>
  <c r="M110" i="54"/>
  <c r="M111" i="54"/>
  <c r="M112" i="54"/>
  <c r="M113" i="54"/>
  <c r="M114" i="54"/>
  <c r="M115" i="54"/>
  <c r="M116" i="54"/>
  <c r="M117" i="54"/>
  <c r="M118" i="54"/>
  <c r="M119" i="54"/>
  <c r="M121" i="54"/>
  <c r="M122" i="54"/>
  <c r="M123" i="54"/>
  <c r="M124" i="54"/>
  <c r="M125" i="54"/>
  <c r="M126" i="54"/>
  <c r="M127" i="54"/>
  <c r="M128" i="54"/>
  <c r="M129" i="54"/>
  <c r="M130" i="54"/>
  <c r="M131" i="54"/>
  <c r="M98" i="52"/>
  <c r="M99" i="52"/>
  <c r="M100" i="52"/>
  <c r="M101" i="52"/>
  <c r="M102" i="52"/>
  <c r="M103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1" i="52"/>
  <c r="M122" i="52"/>
  <c r="M123" i="52"/>
  <c r="M124" i="52"/>
  <c r="M125" i="52"/>
  <c r="M126" i="52"/>
  <c r="M127" i="52"/>
  <c r="M128" i="52"/>
  <c r="M129" i="52"/>
  <c r="M130" i="52"/>
  <c r="M131" i="52"/>
  <c r="M98" i="51"/>
  <c r="M99" i="51"/>
  <c r="M100" i="51"/>
  <c r="M101" i="51"/>
  <c r="M102" i="51"/>
  <c r="M103" i="51"/>
  <c r="M105" i="51"/>
  <c r="M106" i="51"/>
  <c r="M107" i="51"/>
  <c r="M108" i="51"/>
  <c r="M109" i="51"/>
  <c r="M110" i="51"/>
  <c r="M111" i="51"/>
  <c r="M112" i="51"/>
  <c r="M113" i="51"/>
  <c r="M114" i="51"/>
  <c r="M115" i="51"/>
  <c r="M116" i="51"/>
  <c r="M117" i="51"/>
  <c r="M118" i="51"/>
  <c r="M119" i="51"/>
  <c r="M121" i="51"/>
  <c r="M122" i="51"/>
  <c r="M123" i="51"/>
  <c r="M124" i="51"/>
  <c r="M125" i="51"/>
  <c r="M126" i="51"/>
  <c r="M127" i="51"/>
  <c r="M128" i="51"/>
  <c r="M129" i="51"/>
  <c r="M130" i="51"/>
  <c r="M131" i="51"/>
  <c r="M98" i="50"/>
  <c r="M99" i="50"/>
  <c r="M100" i="50"/>
  <c r="M101" i="50"/>
  <c r="M102" i="50"/>
  <c r="M103" i="50"/>
  <c r="M105" i="50"/>
  <c r="M106" i="50"/>
  <c r="M107" i="50"/>
  <c r="M108" i="50"/>
  <c r="M109" i="50"/>
  <c r="M110" i="50"/>
  <c r="M111" i="50"/>
  <c r="M112" i="50"/>
  <c r="M113" i="50"/>
  <c r="M114" i="50"/>
  <c r="M115" i="50"/>
  <c r="M116" i="50"/>
  <c r="M117" i="50"/>
  <c r="M118" i="50"/>
  <c r="M119" i="50"/>
  <c r="M121" i="50"/>
  <c r="M122" i="50"/>
  <c r="M123" i="50"/>
  <c r="M124" i="50"/>
  <c r="M125" i="50"/>
  <c r="M126" i="50"/>
  <c r="M127" i="50"/>
  <c r="M128" i="50"/>
  <c r="M129" i="50"/>
  <c r="M130" i="50"/>
  <c r="M131" i="50"/>
  <c r="M98" i="43"/>
  <c r="M99" i="43"/>
  <c r="M100" i="43"/>
  <c r="M101" i="43"/>
  <c r="M102" i="43"/>
  <c r="M103" i="43"/>
  <c r="M106" i="43"/>
  <c r="M107" i="43"/>
  <c r="M108" i="43"/>
  <c r="M109" i="43"/>
  <c r="M110" i="43"/>
  <c r="M111" i="43"/>
  <c r="M112" i="43"/>
  <c r="M113" i="43"/>
  <c r="M114" i="43"/>
  <c r="M115" i="43"/>
  <c r="M116" i="43"/>
  <c r="M117" i="43"/>
  <c r="M118" i="43"/>
  <c r="M119" i="43"/>
  <c r="M122" i="43"/>
  <c r="M123" i="43"/>
  <c r="M124" i="43"/>
  <c r="M125" i="43"/>
  <c r="M126" i="43"/>
  <c r="M127" i="43"/>
  <c r="M128" i="43"/>
  <c r="M129" i="43"/>
  <c r="M130" i="43"/>
  <c r="M131" i="43"/>
  <c r="M98" i="45"/>
  <c r="M99" i="45"/>
  <c r="M100" i="45"/>
  <c r="M101" i="45"/>
  <c r="M102" i="45"/>
  <c r="M103" i="45"/>
  <c r="M106" i="45"/>
  <c r="M107" i="45"/>
  <c r="M108" i="45"/>
  <c r="M109" i="45"/>
  <c r="M110" i="45"/>
  <c r="M111" i="45"/>
  <c r="M112" i="45"/>
  <c r="M113" i="45"/>
  <c r="M114" i="45"/>
  <c r="M115" i="45"/>
  <c r="M116" i="45"/>
  <c r="M117" i="45"/>
  <c r="M118" i="45"/>
  <c r="M119" i="45"/>
  <c r="M122" i="45"/>
  <c r="M123" i="45"/>
  <c r="M124" i="45"/>
  <c r="M125" i="45"/>
  <c r="M126" i="45"/>
  <c r="M127" i="45"/>
  <c r="M128" i="45"/>
  <c r="M129" i="45"/>
  <c r="M130" i="45"/>
  <c r="M131" i="45"/>
  <c r="M132" i="45"/>
  <c r="M133" i="45"/>
  <c r="M134" i="45"/>
  <c r="M135" i="45"/>
  <c r="M138" i="45"/>
  <c r="M139" i="45"/>
  <c r="M140" i="45"/>
  <c r="M141" i="45"/>
  <c r="M142" i="45"/>
  <c r="M143" i="45"/>
  <c r="M144" i="45"/>
  <c r="M145" i="45"/>
  <c r="M146" i="45"/>
  <c r="M147" i="45"/>
  <c r="M148" i="45"/>
  <c r="M149" i="45"/>
  <c r="M150" i="45"/>
  <c r="M151" i="45"/>
  <c r="M98" i="49"/>
  <c r="M99" i="49"/>
  <c r="M100" i="49"/>
  <c r="M101" i="49"/>
  <c r="M102" i="49"/>
  <c r="M103" i="49"/>
  <c r="M106" i="49"/>
  <c r="M107" i="49"/>
  <c r="M108" i="49"/>
  <c r="M109" i="49"/>
  <c r="M110" i="49"/>
  <c r="M111" i="49"/>
  <c r="M112" i="49"/>
  <c r="M113" i="49"/>
  <c r="M114" i="49"/>
  <c r="M115" i="49"/>
  <c r="M116" i="49"/>
  <c r="M117" i="49"/>
  <c r="M118" i="49"/>
  <c r="M119" i="49"/>
  <c r="M122" i="49"/>
  <c r="M123" i="49"/>
  <c r="M124" i="49"/>
  <c r="M125" i="49"/>
  <c r="M126" i="49"/>
  <c r="M127" i="49"/>
  <c r="M128" i="49"/>
  <c r="M129" i="49"/>
  <c r="M130" i="49"/>
  <c r="M131" i="49"/>
  <c r="M132" i="49"/>
  <c r="M133" i="49"/>
  <c r="M134" i="49"/>
  <c r="M135" i="49"/>
  <c r="M138" i="49"/>
  <c r="M139" i="49"/>
  <c r="M140" i="49"/>
  <c r="M141" i="49"/>
  <c r="M142" i="49"/>
  <c r="M143" i="49"/>
  <c r="M144" i="49"/>
  <c r="M145" i="49"/>
  <c r="M146" i="49"/>
  <c r="M147" i="49"/>
  <c r="M148" i="49"/>
  <c r="M149" i="49"/>
  <c r="M150" i="49"/>
  <c r="M151" i="49"/>
  <c r="M98" i="44"/>
  <c r="M99" i="44"/>
  <c r="M100" i="44"/>
  <c r="M101" i="44"/>
  <c r="M102" i="44"/>
  <c r="M103" i="44"/>
  <c r="M106" i="44"/>
  <c r="M107" i="44"/>
  <c r="M108" i="44"/>
  <c r="M109" i="44"/>
  <c r="M110" i="44"/>
  <c r="M111" i="44"/>
  <c r="M112" i="44"/>
  <c r="M113" i="44"/>
  <c r="M114" i="44"/>
  <c r="M115" i="44"/>
  <c r="M116" i="44"/>
  <c r="M117" i="44"/>
  <c r="M118" i="44"/>
  <c r="M119" i="44"/>
  <c r="M122" i="44"/>
  <c r="M123" i="44"/>
  <c r="M124" i="44"/>
  <c r="M125" i="44"/>
  <c r="M126" i="44"/>
  <c r="M127" i="44"/>
  <c r="M128" i="44"/>
  <c r="M129" i="44"/>
  <c r="M130" i="44"/>
  <c r="M131" i="44"/>
  <c r="M132" i="44"/>
  <c r="M133" i="44"/>
  <c r="M134" i="44"/>
  <c r="M135" i="44"/>
  <c r="M138" i="44"/>
  <c r="M139" i="44"/>
  <c r="M140" i="44"/>
  <c r="M141" i="44"/>
  <c r="M142" i="44"/>
  <c r="M143" i="44"/>
  <c r="M144" i="44"/>
  <c r="M145" i="44"/>
  <c r="M146" i="44"/>
  <c r="M147" i="44"/>
  <c r="M148" i="44"/>
  <c r="M149" i="44"/>
  <c r="M150" i="44"/>
  <c r="M151" i="44"/>
  <c r="M98" i="48"/>
  <c r="M99" i="48"/>
  <c r="M100" i="48"/>
  <c r="M101" i="48"/>
  <c r="M102" i="48"/>
  <c r="M103" i="48"/>
  <c r="M105" i="48"/>
  <c r="M106" i="48"/>
  <c r="M107" i="48"/>
  <c r="M108" i="48"/>
  <c r="M109" i="48"/>
  <c r="M110" i="48"/>
  <c r="M111" i="48"/>
  <c r="M112" i="48"/>
  <c r="M113" i="48"/>
  <c r="M114" i="48"/>
  <c r="M115" i="48"/>
  <c r="M116" i="48"/>
  <c r="M117" i="48"/>
  <c r="M118" i="48"/>
  <c r="M119" i="48"/>
  <c r="M121" i="48"/>
  <c r="M122" i="48"/>
  <c r="M123" i="48"/>
  <c r="M124" i="48"/>
  <c r="M125" i="48"/>
  <c r="M126" i="48"/>
  <c r="M127" i="48"/>
  <c r="M128" i="48"/>
  <c r="M129" i="48"/>
  <c r="M130" i="48"/>
  <c r="M131" i="48"/>
  <c r="M132" i="48"/>
  <c r="M133" i="48"/>
  <c r="M134" i="48"/>
  <c r="M135" i="48"/>
  <c r="M137" i="48"/>
  <c r="M138" i="48"/>
  <c r="M139" i="48"/>
  <c r="M140" i="48"/>
  <c r="M141" i="48"/>
  <c r="M142" i="48"/>
  <c r="M143" i="48"/>
  <c r="M144" i="48"/>
  <c r="M145" i="48"/>
  <c r="M146" i="48"/>
  <c r="M147" i="48"/>
  <c r="M148" i="48"/>
  <c r="M149" i="48"/>
  <c r="M150" i="48"/>
  <c r="M151" i="48"/>
  <c r="M98" i="46"/>
  <c r="M99" i="46"/>
  <c r="M100" i="46"/>
  <c r="M101" i="46"/>
  <c r="M102" i="46"/>
  <c r="M103" i="46"/>
  <c r="M105" i="46"/>
  <c r="M106" i="46"/>
  <c r="M107" i="46"/>
  <c r="M108" i="46"/>
  <c r="M109" i="46"/>
  <c r="M110" i="46"/>
  <c r="M111" i="46"/>
  <c r="M112" i="46"/>
  <c r="M113" i="46"/>
  <c r="M114" i="46"/>
  <c r="M115" i="46"/>
  <c r="M116" i="46"/>
  <c r="M117" i="46"/>
  <c r="M118" i="46"/>
  <c r="M119" i="46"/>
  <c r="M121" i="46"/>
  <c r="M122" i="46"/>
  <c r="M123" i="46"/>
  <c r="M124" i="46"/>
  <c r="M125" i="46"/>
  <c r="M126" i="46"/>
  <c r="M127" i="46"/>
  <c r="M128" i="46"/>
  <c r="M129" i="46"/>
  <c r="M130" i="46"/>
  <c r="M131" i="46"/>
  <c r="M132" i="46"/>
  <c r="M133" i="46"/>
  <c r="M134" i="46"/>
  <c r="M135" i="46"/>
  <c r="M137" i="46"/>
  <c r="M138" i="46"/>
  <c r="M139" i="46"/>
  <c r="M140" i="46"/>
  <c r="M141" i="46"/>
  <c r="M142" i="46"/>
  <c r="M143" i="46"/>
  <c r="M144" i="46"/>
  <c r="M145" i="46"/>
  <c r="M146" i="46"/>
  <c r="M147" i="46"/>
  <c r="M148" i="46"/>
  <c r="M149" i="46"/>
  <c r="M150" i="46"/>
  <c r="M151" i="46"/>
  <c r="E319" i="57"/>
  <c r="H319" i="57"/>
  <c r="E320" i="57"/>
  <c r="H320" i="57"/>
  <c r="E321" i="57"/>
  <c r="H321" i="57"/>
  <c r="AR256" i="71" l="1"/>
  <c r="AS256" i="71"/>
  <c r="AR257" i="71"/>
  <c r="AS257" i="71"/>
  <c r="AR258" i="71"/>
  <c r="AS258" i="71"/>
  <c r="AR259" i="71"/>
  <c r="AS259" i="71"/>
  <c r="AR260" i="71"/>
  <c r="AS260" i="71"/>
  <c r="AR261" i="71"/>
  <c r="AS261" i="71"/>
  <c r="AR262" i="71"/>
  <c r="AS262" i="71"/>
  <c r="AR263" i="71"/>
  <c r="AS263" i="71"/>
  <c r="AR264" i="71"/>
  <c r="AS264" i="71"/>
  <c r="AR265" i="71"/>
  <c r="AS265" i="71"/>
  <c r="AR266" i="71"/>
  <c r="AS266" i="71"/>
  <c r="AR267" i="71"/>
  <c r="AS267" i="71"/>
  <c r="AR268" i="71"/>
  <c r="AS268" i="71"/>
  <c r="AR269" i="71"/>
  <c r="AS269" i="71"/>
  <c r="AR270" i="71"/>
  <c r="AS270" i="71"/>
  <c r="AR271" i="71"/>
  <c r="AS271" i="71"/>
  <c r="AR272" i="71"/>
  <c r="AS272" i="71"/>
  <c r="AR273" i="71"/>
  <c r="AS273" i="71"/>
  <c r="AR274" i="71"/>
  <c r="AS274" i="71"/>
  <c r="AR275" i="71"/>
  <c r="AS275" i="71"/>
  <c r="AR276" i="71"/>
  <c r="AS276" i="71"/>
  <c r="AR277" i="71"/>
  <c r="AS277" i="71"/>
  <c r="AR278" i="71"/>
  <c r="AS278" i="71"/>
  <c r="AR279" i="71"/>
  <c r="AS279" i="71"/>
  <c r="AR280" i="71"/>
  <c r="AS280" i="71"/>
  <c r="AR281" i="71"/>
  <c r="AS281" i="71"/>
  <c r="AR282" i="71"/>
  <c r="AS282" i="71"/>
  <c r="AR283" i="71"/>
  <c r="AS283" i="71"/>
  <c r="AR284" i="71"/>
  <c r="AS284" i="71"/>
  <c r="AR285" i="71"/>
  <c r="AS285" i="71"/>
  <c r="AR286" i="71"/>
  <c r="AS286" i="71"/>
  <c r="AR287" i="71"/>
  <c r="AS287" i="71"/>
  <c r="AR288" i="71"/>
  <c r="AS288" i="71"/>
  <c r="AR289" i="71"/>
  <c r="AS289" i="71"/>
  <c r="AR290" i="71"/>
  <c r="AS290" i="71"/>
  <c r="AR291" i="71"/>
  <c r="AS291" i="71"/>
  <c r="AR292" i="71"/>
  <c r="AS292" i="71"/>
  <c r="AR293" i="71"/>
  <c r="AS293" i="71"/>
  <c r="AR294" i="71"/>
  <c r="AS294" i="71"/>
  <c r="AR295" i="71"/>
  <c r="AS295" i="71"/>
  <c r="AR296" i="71"/>
  <c r="AS296" i="71"/>
  <c r="AR297" i="71"/>
  <c r="AS297" i="71"/>
  <c r="AR298" i="71"/>
  <c r="AS298" i="71"/>
  <c r="AR299" i="71"/>
  <c r="AS299" i="71"/>
  <c r="AR300" i="71"/>
  <c r="AS300" i="71"/>
  <c r="AR301" i="71"/>
  <c r="AS301" i="71"/>
  <c r="AR302" i="71"/>
  <c r="AS302" i="71"/>
  <c r="AR303" i="71"/>
  <c r="AS303" i="71"/>
  <c r="AR304" i="71"/>
  <c r="AS304" i="71"/>
  <c r="AR305" i="71"/>
  <c r="AS305" i="71"/>
  <c r="AR306" i="71"/>
  <c r="AS306" i="71"/>
  <c r="AR307" i="71"/>
  <c r="AS307" i="71"/>
  <c r="AR308" i="71"/>
  <c r="AS308" i="71"/>
  <c r="AR309" i="71"/>
  <c r="AS309" i="71"/>
  <c r="AR310" i="71"/>
  <c r="AS310" i="71"/>
  <c r="AR311" i="71"/>
  <c r="AS311" i="71"/>
  <c r="AR312" i="71"/>
  <c r="AS312" i="71"/>
  <c r="AR313" i="71"/>
  <c r="AS313" i="71"/>
  <c r="AR314" i="71"/>
  <c r="AS314" i="71"/>
  <c r="AR315" i="71"/>
  <c r="AS315" i="71"/>
  <c r="AR316" i="71"/>
  <c r="AS316" i="71"/>
  <c r="AR317" i="71"/>
  <c r="AS317" i="71"/>
  <c r="AR318" i="71"/>
  <c r="AS318" i="71"/>
  <c r="AR319" i="71"/>
  <c r="AS319" i="71"/>
  <c r="AR320" i="71"/>
  <c r="AS320" i="71"/>
  <c r="AR321" i="71"/>
  <c r="AS321" i="71"/>
  <c r="AR322" i="71"/>
  <c r="AS322" i="71"/>
  <c r="AR323" i="71"/>
  <c r="AS323" i="71"/>
  <c r="AR324" i="71"/>
  <c r="AS324" i="71"/>
  <c r="AR325" i="71"/>
  <c r="AS325" i="71"/>
  <c r="AR326" i="71"/>
  <c r="AS326" i="71"/>
  <c r="AR327" i="71"/>
  <c r="AS327" i="71"/>
  <c r="AR328" i="71"/>
  <c r="AS328" i="71"/>
  <c r="AR329" i="71"/>
  <c r="AS329" i="71"/>
  <c r="AR330" i="71"/>
  <c r="AS330" i="71"/>
  <c r="AR331" i="71"/>
  <c r="AS331" i="71"/>
  <c r="AR332" i="71"/>
  <c r="AS332" i="71"/>
  <c r="AR333" i="71"/>
  <c r="AS333" i="71"/>
  <c r="AR334" i="71"/>
  <c r="AS334" i="71"/>
  <c r="AR335" i="71"/>
  <c r="AS335" i="71"/>
  <c r="AR336" i="71"/>
  <c r="AS336" i="71"/>
  <c r="AR337" i="71"/>
  <c r="AS337" i="71"/>
  <c r="AR338" i="71"/>
  <c r="AS338" i="71"/>
  <c r="AR339" i="71"/>
  <c r="AS339" i="71"/>
  <c r="AR340" i="71"/>
  <c r="AS340" i="71"/>
  <c r="AR341" i="71"/>
  <c r="AS341" i="71"/>
  <c r="AR342" i="71"/>
  <c r="AS342" i="71"/>
  <c r="AR343" i="71"/>
  <c r="AS343" i="71"/>
  <c r="AR344" i="71"/>
  <c r="AS344" i="71"/>
  <c r="P256" i="63"/>
  <c r="Q256" i="63"/>
  <c r="P257" i="63"/>
  <c r="Q257" i="63"/>
  <c r="P258" i="63"/>
  <c r="Q258" i="63"/>
  <c r="P259" i="63"/>
  <c r="Q259" i="63"/>
  <c r="P260" i="63"/>
  <c r="Q260" i="63"/>
  <c r="P261" i="63"/>
  <c r="Q261" i="63"/>
  <c r="P262" i="63"/>
  <c r="Q262" i="63"/>
  <c r="P263" i="63"/>
  <c r="Q263" i="63"/>
  <c r="P264" i="63"/>
  <c r="Q264" i="63"/>
  <c r="P265" i="63"/>
  <c r="Q265" i="63"/>
  <c r="P266" i="63"/>
  <c r="Q266" i="63"/>
  <c r="P267" i="63"/>
  <c r="Q267" i="63"/>
  <c r="P268" i="63"/>
  <c r="Q268" i="63"/>
  <c r="P269" i="63"/>
  <c r="Q269" i="63"/>
  <c r="P270" i="63"/>
  <c r="Q270" i="63"/>
  <c r="P271" i="63"/>
  <c r="Q271" i="63"/>
  <c r="P272" i="63"/>
  <c r="Q272" i="63"/>
  <c r="P273" i="63"/>
  <c r="Q273" i="63"/>
  <c r="P274" i="63"/>
  <c r="Q274" i="63"/>
  <c r="P275" i="63"/>
  <c r="Q275" i="63"/>
  <c r="P276" i="63"/>
  <c r="Q276" i="63"/>
  <c r="P277" i="63"/>
  <c r="Q277" i="63"/>
  <c r="P278" i="63"/>
  <c r="Q278" i="63"/>
  <c r="P279" i="63"/>
  <c r="Q279" i="63"/>
  <c r="P280" i="63"/>
  <c r="Q280" i="63"/>
  <c r="P281" i="63"/>
  <c r="Q281" i="63"/>
  <c r="P282" i="63"/>
  <c r="Q282" i="63"/>
  <c r="P283" i="63"/>
  <c r="Q283" i="63"/>
  <c r="P284" i="63"/>
  <c r="Q284" i="63"/>
  <c r="P285" i="63"/>
  <c r="Q285" i="63"/>
  <c r="P286" i="63"/>
  <c r="Q286" i="63"/>
  <c r="P287" i="63"/>
  <c r="Q287" i="63"/>
  <c r="P288" i="63"/>
  <c r="Q288" i="63"/>
  <c r="P289" i="63"/>
  <c r="Q289" i="63"/>
  <c r="P290" i="63"/>
  <c r="Q290" i="63"/>
  <c r="P291" i="63"/>
  <c r="Q291" i="63"/>
  <c r="P292" i="63"/>
  <c r="Q292" i="63"/>
  <c r="P293" i="63"/>
  <c r="Q293" i="63"/>
  <c r="P294" i="63"/>
  <c r="Q294" i="63"/>
  <c r="P295" i="63"/>
  <c r="Q295" i="63"/>
  <c r="P296" i="63"/>
  <c r="Q296" i="63"/>
  <c r="P297" i="63"/>
  <c r="Q297" i="63"/>
  <c r="P298" i="63"/>
  <c r="Q298" i="63"/>
  <c r="P299" i="63"/>
  <c r="Q299" i="63"/>
  <c r="P300" i="63"/>
  <c r="Q300" i="63"/>
  <c r="P301" i="63"/>
  <c r="Q301" i="63"/>
  <c r="P302" i="63"/>
  <c r="Q302" i="63"/>
  <c r="P303" i="63"/>
  <c r="Q303" i="63"/>
  <c r="P304" i="63"/>
  <c r="Q304" i="63"/>
  <c r="P305" i="63"/>
  <c r="Q305" i="63"/>
  <c r="P306" i="63"/>
  <c r="Q306" i="63"/>
  <c r="P307" i="63"/>
  <c r="Q307" i="63"/>
  <c r="P308" i="63"/>
  <c r="Q308" i="63"/>
  <c r="P309" i="63"/>
  <c r="Q309" i="63"/>
  <c r="P310" i="63"/>
  <c r="Q310" i="63"/>
  <c r="P311" i="63"/>
  <c r="Q311" i="63"/>
  <c r="P312" i="63"/>
  <c r="Q312" i="63"/>
  <c r="P313" i="63"/>
  <c r="Q313" i="63"/>
  <c r="P314" i="63"/>
  <c r="Q314" i="63"/>
  <c r="P315" i="63"/>
  <c r="Q315" i="63"/>
  <c r="P316" i="63"/>
  <c r="Q316" i="63"/>
  <c r="P317" i="63"/>
  <c r="Q317" i="63"/>
  <c r="P318" i="63"/>
  <c r="Q318" i="63"/>
  <c r="P319" i="63"/>
  <c r="Q319" i="63"/>
  <c r="P320" i="63"/>
  <c r="Q320" i="63"/>
  <c r="P321" i="63"/>
  <c r="Q321" i="63"/>
  <c r="P322" i="63"/>
  <c r="Q322" i="63"/>
  <c r="P323" i="63"/>
  <c r="Q323" i="63"/>
  <c r="P324" i="63"/>
  <c r="Q324" i="63"/>
  <c r="P325" i="63"/>
  <c r="Q325" i="63"/>
  <c r="P326" i="63"/>
  <c r="Q326" i="63"/>
  <c r="P327" i="63"/>
  <c r="Q327" i="63"/>
  <c r="P328" i="63"/>
  <c r="Q328" i="63"/>
  <c r="P329" i="63"/>
  <c r="Q329" i="63"/>
  <c r="P330" i="63"/>
  <c r="Q330" i="63"/>
  <c r="P331" i="63"/>
  <c r="Q331" i="63"/>
  <c r="P332" i="63"/>
  <c r="Q332" i="63"/>
  <c r="P333" i="63"/>
  <c r="Q333" i="63"/>
  <c r="P334" i="63"/>
  <c r="Q334" i="63"/>
  <c r="P335" i="63"/>
  <c r="Q335" i="63"/>
  <c r="P336" i="63"/>
  <c r="Q336" i="63"/>
  <c r="P337" i="63"/>
  <c r="Q337" i="63"/>
  <c r="P338" i="63"/>
  <c r="Q338" i="63"/>
  <c r="P339" i="63"/>
  <c r="Q339" i="63"/>
  <c r="P340" i="63"/>
  <c r="Q340" i="63"/>
  <c r="P341" i="63"/>
  <c r="Q341" i="63"/>
  <c r="P342" i="63"/>
  <c r="Q342" i="63"/>
  <c r="P256" i="61"/>
  <c r="Q256" i="61"/>
  <c r="P257" i="61"/>
  <c r="Q257" i="61"/>
  <c r="P258" i="61"/>
  <c r="Q258" i="61"/>
  <c r="P259" i="61"/>
  <c r="Q259" i="61"/>
  <c r="X1" i="60"/>
  <c r="U3556" i="60" l="1"/>
  <c r="U3555" i="60"/>
  <c r="U3554" i="60"/>
  <c r="U3553" i="60"/>
  <c r="U3552" i="60"/>
  <c r="U3551" i="60"/>
  <c r="U3550" i="60"/>
  <c r="U3549" i="60"/>
  <c r="U3548" i="60"/>
  <c r="U3547" i="60"/>
  <c r="U3546" i="60"/>
  <c r="U3545" i="60"/>
  <c r="U3544" i="60"/>
  <c r="U3543" i="60"/>
  <c r="U3542" i="60"/>
  <c r="U3541" i="60"/>
  <c r="U3540" i="60"/>
  <c r="U3539" i="60"/>
  <c r="U3538" i="60"/>
  <c r="U3537" i="60"/>
  <c r="U3536" i="60"/>
  <c r="U3535" i="60"/>
  <c r="U3534" i="60"/>
  <c r="U3533" i="60"/>
  <c r="U3532" i="60"/>
  <c r="U3531" i="60"/>
  <c r="U3530" i="60"/>
  <c r="U3529" i="60"/>
  <c r="U3528" i="60"/>
  <c r="U3527" i="60"/>
  <c r="U3526" i="60"/>
  <c r="U3525" i="60"/>
  <c r="U3524" i="60"/>
  <c r="U3523" i="60"/>
  <c r="U3522" i="60"/>
  <c r="U3521" i="60"/>
  <c r="U3520" i="60"/>
  <c r="U3519" i="60"/>
  <c r="U3518" i="60"/>
  <c r="U3517" i="60"/>
  <c r="U3516" i="60"/>
  <c r="U3515" i="60"/>
  <c r="U3514" i="60"/>
  <c r="U3513" i="60"/>
  <c r="U3512" i="60"/>
  <c r="U3511" i="60"/>
  <c r="U3510" i="60"/>
  <c r="U3509" i="60"/>
  <c r="U3508" i="60"/>
  <c r="U3507" i="60"/>
  <c r="U3506" i="60"/>
  <c r="U3505" i="60"/>
  <c r="U3504" i="60"/>
  <c r="U3503" i="60"/>
  <c r="U3502" i="60"/>
  <c r="U3501" i="60"/>
  <c r="U3500" i="60"/>
  <c r="U3499" i="60"/>
  <c r="U3498" i="60"/>
  <c r="U3497" i="60"/>
  <c r="U3496" i="60"/>
  <c r="U3495" i="60"/>
  <c r="U3494" i="60"/>
  <c r="U3493" i="60"/>
  <c r="U3492" i="60"/>
  <c r="U3491" i="60"/>
  <c r="U3490" i="60"/>
  <c r="U3489" i="60"/>
  <c r="U3488" i="60"/>
  <c r="U3487" i="60"/>
  <c r="U3486" i="60"/>
  <c r="U3485" i="60"/>
  <c r="U3484" i="60"/>
  <c r="U3483" i="60"/>
  <c r="U3482" i="60"/>
  <c r="U3481" i="60"/>
  <c r="U3480" i="60"/>
  <c r="U3479" i="60"/>
  <c r="U3478" i="60"/>
  <c r="U3477" i="60"/>
  <c r="U3476" i="60"/>
  <c r="U3475" i="60"/>
  <c r="U3474" i="60"/>
  <c r="U3473" i="60"/>
  <c r="U3472" i="60"/>
  <c r="U3471" i="60"/>
  <c r="U3470" i="60"/>
  <c r="U3469" i="60"/>
  <c r="U3468" i="60"/>
  <c r="U3467" i="60"/>
  <c r="U3466" i="60"/>
  <c r="U3465" i="60"/>
  <c r="U3464" i="60"/>
  <c r="U3463" i="60"/>
  <c r="U3462" i="60"/>
  <c r="U3461" i="60"/>
  <c r="U3460" i="60"/>
  <c r="U3459" i="60"/>
  <c r="U3458" i="60"/>
  <c r="U3457" i="60"/>
  <c r="U3456" i="60"/>
  <c r="U3455" i="60"/>
  <c r="U3454" i="60"/>
  <c r="U3453" i="60"/>
  <c r="U3452" i="60"/>
  <c r="U3451" i="60"/>
  <c r="U3450" i="60"/>
  <c r="U3449" i="60"/>
  <c r="U3448" i="60"/>
  <c r="U3447" i="60"/>
  <c r="U3446" i="60"/>
  <c r="U3445" i="60"/>
  <c r="U3444" i="60"/>
  <c r="U3443" i="60"/>
  <c r="U3442" i="60"/>
  <c r="U3441" i="60"/>
  <c r="V3389" i="60"/>
  <c r="W3389" i="60" s="1"/>
  <c r="V3388" i="60"/>
  <c r="W3388" i="60" s="1"/>
  <c r="V3387" i="60"/>
  <c r="W3387" i="60" s="1"/>
  <c r="V3386" i="60"/>
  <c r="W3386" i="60" s="1"/>
  <c r="V3385" i="60"/>
  <c r="W3385" i="60" s="1"/>
  <c r="V3384" i="60"/>
  <c r="W3384" i="60" s="1"/>
  <c r="V3383" i="60"/>
  <c r="W3383" i="60" s="1"/>
  <c r="V3382" i="60"/>
  <c r="W3382" i="60" s="1"/>
  <c r="V3381" i="60"/>
  <c r="W3381" i="60" s="1"/>
  <c r="V3380" i="60"/>
  <c r="W3380" i="60" s="1"/>
  <c r="V3379" i="60"/>
  <c r="W3379" i="60" s="1"/>
  <c r="V3378" i="60"/>
  <c r="W3378" i="60" s="1"/>
  <c r="V3377" i="60"/>
  <c r="W3377" i="60" s="1"/>
  <c r="V3376" i="60"/>
  <c r="W3376" i="60" s="1"/>
  <c r="V3375" i="60"/>
  <c r="W3375" i="60" s="1"/>
  <c r="V3374" i="60"/>
  <c r="W3374" i="60" s="1"/>
  <c r="V3373" i="60"/>
  <c r="W3373" i="60" s="1"/>
  <c r="V3372" i="60"/>
  <c r="W3372" i="60" s="1"/>
  <c r="V3371" i="60"/>
  <c r="W3371" i="60" s="1"/>
  <c r="V3370" i="60"/>
  <c r="W3370" i="60" s="1"/>
  <c r="V3369" i="60"/>
  <c r="W3369" i="60" s="1"/>
  <c r="V3368" i="60"/>
  <c r="W3368" i="60" s="1"/>
  <c r="V3367" i="60"/>
  <c r="W3367" i="60" s="1"/>
  <c r="V3366" i="60"/>
  <c r="W3366" i="60" s="1"/>
  <c r="V3365" i="60"/>
  <c r="W3365" i="60" s="1"/>
  <c r="V3364" i="60"/>
  <c r="W3364" i="60" s="1"/>
  <c r="V3363" i="60"/>
  <c r="W3363" i="60" s="1"/>
  <c r="V3362" i="60"/>
  <c r="W3362" i="60" s="1"/>
  <c r="V3361" i="60"/>
  <c r="W3361" i="60" s="1"/>
  <c r="V3360" i="60"/>
  <c r="W3360" i="60" s="1"/>
  <c r="W3359" i="60"/>
  <c r="V3359" i="60"/>
  <c r="V3358" i="60"/>
  <c r="W3358" i="60" s="1"/>
  <c r="V3357" i="60"/>
  <c r="W3357" i="60" s="1"/>
  <c r="V3356" i="60"/>
  <c r="W3356" i="60" s="1"/>
  <c r="V3355" i="60"/>
  <c r="W3355" i="60" s="1"/>
  <c r="V3354" i="60"/>
  <c r="W3354" i="60" s="1"/>
  <c r="V3353" i="60"/>
  <c r="W3353" i="60" s="1"/>
  <c r="V3352" i="60"/>
  <c r="W3352" i="60" s="1"/>
  <c r="V3351" i="60"/>
  <c r="W3351" i="60" s="1"/>
  <c r="V3350" i="60"/>
  <c r="W3350" i="60" s="1"/>
  <c r="V3349" i="60"/>
  <c r="W3349" i="60" s="1"/>
  <c r="V3348" i="60"/>
  <c r="W3348" i="60" s="1"/>
  <c r="V3347" i="60"/>
  <c r="W3347" i="60" s="1"/>
  <c r="V3346" i="60"/>
  <c r="W3346" i="60" s="1"/>
  <c r="V3345" i="60"/>
  <c r="W3345" i="60" s="1"/>
  <c r="V3344" i="60"/>
  <c r="W3344" i="60" s="1"/>
  <c r="V3343" i="60"/>
  <c r="W3343" i="60" s="1"/>
  <c r="V3342" i="60"/>
  <c r="W3342" i="60" s="1"/>
  <c r="V3341" i="60"/>
  <c r="W3341" i="60" s="1"/>
  <c r="V3340" i="60"/>
  <c r="W3340" i="60" s="1"/>
  <c r="V3339" i="60"/>
  <c r="W3339" i="60" s="1"/>
  <c r="V3338" i="60"/>
  <c r="W3338" i="60" s="1"/>
  <c r="V3337" i="60"/>
  <c r="W3337" i="60" s="1"/>
  <c r="V3336" i="60"/>
  <c r="W3336" i="60" s="1"/>
  <c r="V3335" i="60"/>
  <c r="W3335" i="60" s="1"/>
  <c r="V3334" i="60"/>
  <c r="W3334" i="60" s="1"/>
  <c r="V3333" i="60"/>
  <c r="W3333" i="60" s="1"/>
  <c r="V3332" i="60"/>
  <c r="W3332" i="60" s="1"/>
  <c r="V3331" i="60"/>
  <c r="W3331" i="60" s="1"/>
  <c r="V3330" i="60"/>
  <c r="W3330" i="60" s="1"/>
  <c r="V3329" i="60"/>
  <c r="W3329" i="60" s="1"/>
  <c r="V3328" i="60"/>
  <c r="W3328" i="60" s="1"/>
  <c r="V3327" i="60"/>
  <c r="W3327" i="60" s="1"/>
  <c r="V3326" i="60"/>
  <c r="W3326" i="60" s="1"/>
  <c r="V3325" i="60"/>
  <c r="W3325" i="60" s="1"/>
  <c r="V3324" i="60"/>
  <c r="W3324" i="60" s="1"/>
  <c r="V3323" i="60"/>
  <c r="W3323" i="60" s="1"/>
  <c r="V3322" i="60"/>
  <c r="W3322" i="60" s="1"/>
  <c r="V3321" i="60"/>
  <c r="W3321" i="60" s="1"/>
  <c r="V3320" i="60"/>
  <c r="W3320" i="60" s="1"/>
  <c r="V3319" i="60"/>
  <c r="W3319" i="60" s="1"/>
  <c r="V3318" i="60"/>
  <c r="W3318" i="60" s="1"/>
  <c r="V3317" i="60"/>
  <c r="W3317" i="60" s="1"/>
  <c r="V3316" i="60"/>
  <c r="W3316" i="60" s="1"/>
  <c r="V3315" i="60"/>
  <c r="W3315" i="60" s="1"/>
  <c r="V3314" i="60"/>
  <c r="W3314" i="60" s="1"/>
  <c r="V3313" i="60"/>
  <c r="W3313" i="60" s="1"/>
  <c r="V3312" i="60"/>
  <c r="W3312" i="60" s="1"/>
  <c r="V3311" i="60"/>
  <c r="W3311" i="60" s="1"/>
  <c r="V3310" i="60"/>
  <c r="W3310" i="60" s="1"/>
  <c r="V3309" i="60"/>
  <c r="W3309" i="60" s="1"/>
  <c r="V3308" i="60"/>
  <c r="W3308" i="60" s="1"/>
  <c r="V3307" i="60"/>
  <c r="W3307" i="60" s="1"/>
  <c r="V3306" i="60"/>
  <c r="W3306" i="60" s="1"/>
  <c r="V3305" i="60"/>
  <c r="W3305" i="60" s="1"/>
  <c r="V3304" i="60"/>
  <c r="W3304" i="60" s="1"/>
  <c r="V3303" i="60"/>
  <c r="W3303" i="60" s="1"/>
  <c r="V3302" i="60"/>
  <c r="W3302" i="60" s="1"/>
  <c r="V3301" i="60"/>
  <c r="W3301" i="60" s="1"/>
  <c r="V3300" i="60"/>
  <c r="W3300" i="60" s="1"/>
  <c r="V3299" i="60"/>
  <c r="W3299" i="60" s="1"/>
  <c r="V3298" i="60"/>
  <c r="W3298" i="60" s="1"/>
  <c r="V3297" i="60"/>
  <c r="W3297" i="60" s="1"/>
  <c r="V3296" i="60"/>
  <c r="W3296" i="60" s="1"/>
  <c r="V3295" i="60"/>
  <c r="W3295" i="60" s="1"/>
  <c r="V3294" i="60"/>
  <c r="W3294" i="60" s="1"/>
  <c r="V3293" i="60"/>
  <c r="W3293" i="60" s="1"/>
  <c r="V3292" i="60"/>
  <c r="W3292" i="60" s="1"/>
  <c r="V3291" i="60"/>
  <c r="W3291" i="60" s="1"/>
  <c r="V3290" i="60"/>
  <c r="W3290" i="60" s="1"/>
  <c r="V3289" i="60"/>
  <c r="W3289" i="60" s="1"/>
  <c r="V3288" i="60"/>
  <c r="W3288" i="60" s="1"/>
  <c r="V3287" i="60"/>
  <c r="W3287" i="60" s="1"/>
  <c r="V3286" i="60"/>
  <c r="W3286" i="60" s="1"/>
  <c r="V3285" i="60"/>
  <c r="W3285" i="60" s="1"/>
  <c r="V3284" i="60"/>
  <c r="W3284" i="60" s="1"/>
  <c r="V3283" i="60"/>
  <c r="W3283" i="60" s="1"/>
  <c r="V3282" i="60"/>
  <c r="W3282" i="60" s="1"/>
  <c r="V3281" i="60"/>
  <c r="W3281" i="60" s="1"/>
  <c r="V3280" i="60"/>
  <c r="W3280" i="60" s="1"/>
  <c r="V3279" i="60"/>
  <c r="W3279" i="60" s="1"/>
  <c r="V3278" i="60"/>
  <c r="W3278" i="60" s="1"/>
  <c r="V3277" i="60"/>
  <c r="W3277" i="60" s="1"/>
  <c r="V3276" i="60"/>
  <c r="W3276" i="60" s="1"/>
  <c r="V3275" i="60"/>
  <c r="W3275" i="60" s="1"/>
  <c r="V3274" i="60"/>
  <c r="W3274" i="60" s="1"/>
  <c r="V3273" i="60"/>
  <c r="W3273" i="60" s="1"/>
  <c r="V3272" i="60"/>
  <c r="W3272" i="60" s="1"/>
  <c r="V3271" i="60"/>
  <c r="W3271" i="60" s="1"/>
  <c r="V3270" i="60"/>
  <c r="W3270" i="60" s="1"/>
  <c r="V3269" i="60"/>
  <c r="W3269" i="60" s="1"/>
  <c r="V3268" i="60"/>
  <c r="W3268" i="60" s="1"/>
  <c r="V3267" i="60"/>
  <c r="W3267" i="60" s="1"/>
  <c r="V3266" i="60"/>
  <c r="W3266" i="60" s="1"/>
  <c r="V3265" i="60"/>
  <c r="W3265" i="60" s="1"/>
  <c r="V3264" i="60"/>
  <c r="W3264" i="60" s="1"/>
  <c r="V3263" i="60"/>
  <c r="W3263" i="60" s="1"/>
  <c r="V3262" i="60"/>
  <c r="W3262" i="60" s="1"/>
  <c r="V3261" i="60"/>
  <c r="W3261" i="60" s="1"/>
  <c r="V3260" i="60"/>
  <c r="W3260" i="60" s="1"/>
  <c r="V3259" i="60"/>
  <c r="W3259" i="60" s="1"/>
  <c r="V3258" i="60"/>
  <c r="W3258" i="60" s="1"/>
  <c r="V3257" i="60"/>
  <c r="W3257" i="60" s="1"/>
  <c r="V3256" i="60"/>
  <c r="W3256" i="60" s="1"/>
  <c r="V3255" i="60"/>
  <c r="W3255" i="60" s="1"/>
  <c r="V3254" i="60"/>
  <c r="W3254" i="60" s="1"/>
  <c r="V3253" i="60"/>
  <c r="W3253" i="60" s="1"/>
  <c r="V3252" i="60"/>
  <c r="W3252" i="60" s="1"/>
  <c r="V3251" i="60"/>
  <c r="W3251" i="60" s="1"/>
  <c r="V3250" i="60"/>
  <c r="W3250" i="60" s="1"/>
  <c r="V3249" i="60"/>
  <c r="W3249" i="60" s="1"/>
  <c r="V3248" i="60"/>
  <c r="W3248" i="60" s="1"/>
  <c r="V3247" i="60"/>
  <c r="W3247" i="60" s="1"/>
  <c r="V3246" i="60"/>
  <c r="W3246" i="60" s="1"/>
  <c r="V3245" i="60"/>
  <c r="W3245" i="60" s="1"/>
  <c r="V3244" i="60"/>
  <c r="W3244" i="60" s="1"/>
  <c r="V3243" i="60"/>
  <c r="W3243" i="60" s="1"/>
  <c r="V3242" i="60"/>
  <c r="W3242" i="60" s="1"/>
  <c r="V3241" i="60"/>
  <c r="W3241" i="60" s="1"/>
  <c r="V3240" i="60"/>
  <c r="W3240" i="60" s="1"/>
  <c r="V3239" i="60"/>
  <c r="W3239" i="60" s="1"/>
  <c r="V3238" i="60"/>
  <c r="W3238" i="60" s="1"/>
  <c r="V3237" i="60"/>
  <c r="W3237" i="60" s="1"/>
  <c r="V3236" i="60"/>
  <c r="W3236" i="60" s="1"/>
  <c r="V3235" i="60"/>
  <c r="W3235" i="60" s="1"/>
  <c r="V3234" i="60"/>
  <c r="W3234" i="60" s="1"/>
  <c r="V3233" i="60"/>
  <c r="W3233" i="60" s="1"/>
  <c r="V3232" i="60"/>
  <c r="W3232" i="60" s="1"/>
  <c r="V3231" i="60"/>
  <c r="W3231" i="60" s="1"/>
  <c r="V3230" i="60"/>
  <c r="W3230" i="60" s="1"/>
  <c r="V3229" i="60"/>
  <c r="W3229" i="60" s="1"/>
  <c r="V3228" i="60"/>
  <c r="W3228" i="60" s="1"/>
  <c r="V3227" i="60"/>
  <c r="W3227" i="60" s="1"/>
  <c r="V3226" i="60"/>
  <c r="W3226" i="60" s="1"/>
  <c r="V3225" i="60"/>
  <c r="W3225" i="60" s="1"/>
  <c r="V3224" i="60"/>
  <c r="W3224" i="60" s="1"/>
  <c r="V3223" i="60"/>
  <c r="W3223" i="60" s="1"/>
  <c r="V3222" i="60"/>
  <c r="W3222" i="60" s="1"/>
  <c r="V3221" i="60"/>
  <c r="W3221" i="60" s="1"/>
  <c r="V3220" i="60"/>
  <c r="W3220" i="60" s="1"/>
  <c r="V3219" i="60"/>
  <c r="W3219" i="60" s="1"/>
  <c r="V3218" i="60"/>
  <c r="W3218" i="60" s="1"/>
  <c r="V3217" i="60"/>
  <c r="W3217" i="60" s="1"/>
  <c r="V3216" i="60"/>
  <c r="W3216" i="60" s="1"/>
  <c r="V3215" i="60"/>
  <c r="W3215" i="60" s="1"/>
  <c r="V3214" i="60"/>
  <c r="W3214" i="60" s="1"/>
  <c r="V3213" i="60"/>
  <c r="W3213" i="60" s="1"/>
  <c r="V3212" i="60"/>
  <c r="W3212" i="60" s="1"/>
  <c r="V3211" i="60"/>
  <c r="W3211" i="60" s="1"/>
  <c r="V3210" i="60"/>
  <c r="W3210" i="60" s="1"/>
  <c r="V3209" i="60"/>
  <c r="W3209" i="60" s="1"/>
  <c r="V3208" i="60"/>
  <c r="W3208" i="60" s="1"/>
  <c r="V3207" i="60"/>
  <c r="W3207" i="60" s="1"/>
  <c r="V3206" i="60"/>
  <c r="W3206" i="60" s="1"/>
  <c r="V3205" i="60"/>
  <c r="W3205" i="60" s="1"/>
  <c r="V3204" i="60"/>
  <c r="W3204" i="60" s="1"/>
  <c r="V3203" i="60"/>
  <c r="W3203" i="60" s="1"/>
  <c r="V3202" i="60"/>
  <c r="W3202" i="60" s="1"/>
  <c r="V3201" i="60"/>
  <c r="W3201" i="60" s="1"/>
  <c r="V3200" i="60"/>
  <c r="W3200" i="60" s="1"/>
  <c r="V3199" i="60"/>
  <c r="W3199" i="60" s="1"/>
  <c r="V3198" i="60"/>
  <c r="W3198" i="60" s="1"/>
  <c r="V3197" i="60"/>
  <c r="W3197" i="60" s="1"/>
  <c r="V3196" i="60"/>
  <c r="W3196" i="60" s="1"/>
  <c r="V3195" i="60"/>
  <c r="W3195" i="60" s="1"/>
  <c r="V3194" i="60"/>
  <c r="W3194" i="60" s="1"/>
  <c r="V3193" i="60"/>
  <c r="W3193" i="60" s="1"/>
  <c r="V3192" i="60"/>
  <c r="W3192" i="60" s="1"/>
  <c r="V3191" i="60"/>
  <c r="W3191" i="60" s="1"/>
  <c r="V3190" i="60"/>
  <c r="W3190" i="60" s="1"/>
  <c r="V3189" i="60"/>
  <c r="W3189" i="60" s="1"/>
  <c r="V3188" i="60"/>
  <c r="W3188" i="60" s="1"/>
  <c r="V3187" i="60"/>
  <c r="W3187" i="60" s="1"/>
  <c r="V3186" i="60"/>
  <c r="W3186" i="60" s="1"/>
  <c r="V3185" i="60"/>
  <c r="W3185" i="60" s="1"/>
  <c r="V3184" i="60"/>
  <c r="W3184" i="60" s="1"/>
  <c r="V3183" i="60"/>
  <c r="W3183" i="60" s="1"/>
  <c r="V3182" i="60"/>
  <c r="W3182" i="60" s="1"/>
  <c r="V3181" i="60"/>
  <c r="W3181" i="60" s="1"/>
  <c r="V3180" i="60"/>
  <c r="W3180" i="60" s="1"/>
  <c r="V3179" i="60"/>
  <c r="W3179" i="60" s="1"/>
  <c r="V3178" i="60"/>
  <c r="W3178" i="60" s="1"/>
  <c r="V3177" i="60"/>
  <c r="W3177" i="60" s="1"/>
  <c r="V3176" i="60"/>
  <c r="W3176" i="60" s="1"/>
  <c r="V3175" i="60"/>
  <c r="W3175" i="60" s="1"/>
  <c r="V3174" i="60"/>
  <c r="W3174" i="60" s="1"/>
  <c r="V3173" i="60"/>
  <c r="W3173" i="60" s="1"/>
  <c r="V3172" i="60"/>
  <c r="W3172" i="60" s="1"/>
  <c r="V3171" i="60"/>
  <c r="W3171" i="60" s="1"/>
  <c r="V3170" i="60"/>
  <c r="W3170" i="60" s="1"/>
  <c r="V3169" i="60"/>
  <c r="W3169" i="60" s="1"/>
  <c r="V3168" i="60"/>
  <c r="W3168" i="60" s="1"/>
  <c r="V3167" i="60"/>
  <c r="W3167" i="60" s="1"/>
  <c r="V3166" i="60"/>
  <c r="W3166" i="60" s="1"/>
  <c r="V3165" i="60"/>
  <c r="W3165" i="60" s="1"/>
  <c r="V3164" i="60"/>
  <c r="W3164" i="60" s="1"/>
  <c r="V3163" i="60"/>
  <c r="W3163" i="60" s="1"/>
  <c r="V3162" i="60"/>
  <c r="W3162" i="60" s="1"/>
  <c r="V3161" i="60"/>
  <c r="W3161" i="60" s="1"/>
  <c r="V3160" i="60"/>
  <c r="W3160" i="60" s="1"/>
  <c r="V3159" i="60"/>
  <c r="W3159" i="60" s="1"/>
  <c r="V3158" i="60"/>
  <c r="W3158" i="60" s="1"/>
  <c r="V3157" i="60"/>
  <c r="W3157" i="60" s="1"/>
  <c r="V3156" i="60"/>
  <c r="W3156" i="60" s="1"/>
  <c r="V3155" i="60"/>
  <c r="W3155" i="60" s="1"/>
  <c r="V3154" i="60"/>
  <c r="W3154" i="60" s="1"/>
  <c r="V3153" i="60"/>
  <c r="W3153" i="60" s="1"/>
  <c r="V3152" i="60"/>
  <c r="W3152" i="60" s="1"/>
  <c r="V3151" i="60"/>
  <c r="W3151" i="60" s="1"/>
  <c r="V3150" i="60"/>
  <c r="W3150" i="60" s="1"/>
  <c r="V3149" i="60"/>
  <c r="W3149" i="60" s="1"/>
  <c r="V3148" i="60"/>
  <c r="W3148" i="60" s="1"/>
  <c r="V3147" i="60"/>
  <c r="W3147" i="60" s="1"/>
  <c r="V3146" i="60"/>
  <c r="W3146" i="60" s="1"/>
  <c r="V3145" i="60"/>
  <c r="W3145" i="60" s="1"/>
  <c r="V3144" i="60"/>
  <c r="W3144" i="60" s="1"/>
  <c r="V3143" i="60"/>
  <c r="W3143" i="60" s="1"/>
  <c r="V3142" i="60"/>
  <c r="W3142" i="60" s="1"/>
  <c r="V3141" i="60"/>
  <c r="W3141" i="60" s="1"/>
  <c r="V3140" i="60"/>
  <c r="W3140" i="60" s="1"/>
  <c r="V3139" i="60"/>
  <c r="W3139" i="60" s="1"/>
  <c r="V3138" i="60"/>
  <c r="W3138" i="60" s="1"/>
  <c r="V3137" i="60"/>
  <c r="W3137" i="60" s="1"/>
  <c r="V3136" i="60"/>
  <c r="W3136" i="60" s="1"/>
  <c r="V3135" i="60"/>
  <c r="W3135" i="60" s="1"/>
  <c r="V3134" i="60"/>
  <c r="W3134" i="60" s="1"/>
  <c r="V3133" i="60"/>
  <c r="W3133" i="60" s="1"/>
  <c r="V3132" i="60"/>
  <c r="W3132" i="60" s="1"/>
  <c r="V3131" i="60"/>
  <c r="W3131" i="60" s="1"/>
  <c r="V3130" i="60"/>
  <c r="W3130" i="60" s="1"/>
  <c r="V3129" i="60"/>
  <c r="W3129" i="60" s="1"/>
  <c r="V3128" i="60"/>
  <c r="W3128" i="60" s="1"/>
  <c r="V3127" i="60"/>
  <c r="W3127" i="60" s="1"/>
  <c r="V3126" i="60"/>
  <c r="W3126" i="60" s="1"/>
  <c r="V3125" i="60"/>
  <c r="W3125" i="60" s="1"/>
  <c r="V3124" i="60"/>
  <c r="W3124" i="60" s="1"/>
  <c r="V3123" i="60"/>
  <c r="W3123" i="60" s="1"/>
  <c r="V3122" i="60"/>
  <c r="W3122" i="60" s="1"/>
  <c r="V3121" i="60"/>
  <c r="W3121" i="60" s="1"/>
  <c r="V3120" i="60"/>
  <c r="W3120" i="60" s="1"/>
  <c r="V3119" i="60"/>
  <c r="W3119" i="60" s="1"/>
  <c r="V3118" i="60"/>
  <c r="W3118" i="60" s="1"/>
  <c r="V3117" i="60"/>
  <c r="W3117" i="60" s="1"/>
  <c r="V3116" i="60"/>
  <c r="W3116" i="60" s="1"/>
  <c r="V3115" i="60"/>
  <c r="W3115" i="60" s="1"/>
  <c r="V3114" i="60"/>
  <c r="W3114" i="60" s="1"/>
  <c r="V3113" i="60"/>
  <c r="W3113" i="60" s="1"/>
  <c r="V3112" i="60"/>
  <c r="W3112" i="60" s="1"/>
  <c r="V3111" i="60"/>
  <c r="W3111" i="60" s="1"/>
  <c r="V3110" i="60"/>
  <c r="W3110" i="60" s="1"/>
  <c r="V3109" i="60"/>
  <c r="W3109" i="60" s="1"/>
  <c r="V3108" i="60"/>
  <c r="W3108" i="60" s="1"/>
  <c r="V3107" i="60"/>
  <c r="W3107" i="60" s="1"/>
  <c r="V3106" i="60"/>
  <c r="W3106" i="60" s="1"/>
  <c r="V3105" i="60"/>
  <c r="W3105" i="60" s="1"/>
  <c r="V3104" i="60"/>
  <c r="W3104" i="60" s="1"/>
  <c r="V3103" i="60"/>
  <c r="W3103" i="60" s="1"/>
  <c r="V3102" i="60"/>
  <c r="W3102" i="60" s="1"/>
  <c r="V3101" i="60"/>
  <c r="W3101" i="60" s="1"/>
  <c r="V3100" i="60"/>
  <c r="W3100" i="60" s="1"/>
  <c r="V3099" i="60"/>
  <c r="W3099" i="60" s="1"/>
  <c r="V3098" i="60"/>
  <c r="W3098" i="60" s="1"/>
  <c r="V3097" i="60"/>
  <c r="W3097" i="60" s="1"/>
  <c r="V3096" i="60"/>
  <c r="W3096" i="60" s="1"/>
  <c r="V3095" i="60"/>
  <c r="W3095" i="60" s="1"/>
  <c r="V3094" i="60"/>
  <c r="W3094" i="60" s="1"/>
  <c r="V3093" i="60"/>
  <c r="W3093" i="60" s="1"/>
  <c r="V3092" i="60"/>
  <c r="W3092" i="60" s="1"/>
  <c r="V3091" i="60"/>
  <c r="W3091" i="60" s="1"/>
  <c r="V3090" i="60"/>
  <c r="W3090" i="60" s="1"/>
  <c r="V3089" i="60"/>
  <c r="W3089" i="60" s="1"/>
  <c r="V3088" i="60"/>
  <c r="W3088" i="60" s="1"/>
  <c r="V3087" i="60"/>
  <c r="W3087" i="60" s="1"/>
  <c r="V3086" i="60"/>
  <c r="W3086" i="60" s="1"/>
  <c r="V3085" i="60"/>
  <c r="W3085" i="60" s="1"/>
  <c r="V3084" i="60"/>
  <c r="W3084" i="60" s="1"/>
  <c r="V3083" i="60"/>
  <c r="W3083" i="60" s="1"/>
  <c r="V3082" i="60"/>
  <c r="W3082" i="60" s="1"/>
  <c r="V3081" i="60"/>
  <c r="W3081" i="60" s="1"/>
  <c r="V3080" i="60"/>
  <c r="W3080" i="60" s="1"/>
  <c r="V3079" i="60"/>
  <c r="W3079" i="60" s="1"/>
  <c r="V3078" i="60"/>
  <c r="W3078" i="60" s="1"/>
  <c r="V3077" i="60"/>
  <c r="W3077" i="60" s="1"/>
  <c r="V3076" i="60"/>
  <c r="W3076" i="60" s="1"/>
  <c r="V3075" i="60"/>
  <c r="W3075" i="60" s="1"/>
  <c r="V3074" i="60"/>
  <c r="W3074" i="60" s="1"/>
  <c r="V3073" i="60"/>
  <c r="W3073" i="60" s="1"/>
  <c r="V3072" i="60"/>
  <c r="W3072" i="60" s="1"/>
  <c r="V3071" i="60"/>
  <c r="W3071" i="60" s="1"/>
  <c r="V3070" i="60"/>
  <c r="W3070" i="60" s="1"/>
  <c r="V3069" i="60"/>
  <c r="W3069" i="60" s="1"/>
  <c r="V3068" i="60"/>
  <c r="W3068" i="60" s="1"/>
  <c r="V3067" i="60"/>
  <c r="W3067" i="60" s="1"/>
  <c r="V3066" i="60"/>
  <c r="W3066" i="60" s="1"/>
  <c r="V3065" i="60"/>
  <c r="W3065" i="60" s="1"/>
  <c r="V3064" i="60"/>
  <c r="W3064" i="60" s="1"/>
  <c r="V3063" i="60"/>
  <c r="W3063" i="60" s="1"/>
  <c r="V3062" i="60"/>
  <c r="W3062" i="60" s="1"/>
  <c r="V3061" i="60"/>
  <c r="W3061" i="60" s="1"/>
  <c r="V3060" i="60"/>
  <c r="W3060" i="60" s="1"/>
  <c r="V3059" i="60"/>
  <c r="W3059" i="60" s="1"/>
  <c r="V3058" i="60"/>
  <c r="W3058" i="60" s="1"/>
  <c r="V3057" i="60"/>
  <c r="W3057" i="60" s="1"/>
  <c r="V3056" i="60"/>
  <c r="W3056" i="60" s="1"/>
  <c r="V3055" i="60"/>
  <c r="W3055" i="60" s="1"/>
  <c r="V3054" i="60"/>
  <c r="W3054" i="60" s="1"/>
  <c r="V3053" i="60"/>
  <c r="W3053" i="60" s="1"/>
  <c r="V3052" i="60"/>
  <c r="W3052" i="60" s="1"/>
  <c r="V3051" i="60"/>
  <c r="W3051" i="60" s="1"/>
  <c r="V3050" i="60"/>
  <c r="W3050" i="60" s="1"/>
  <c r="V3049" i="60"/>
  <c r="W3049" i="60" s="1"/>
  <c r="V3048" i="60"/>
  <c r="W3048" i="60" s="1"/>
  <c r="V3047" i="60"/>
  <c r="W3047" i="60" s="1"/>
  <c r="V3046" i="60"/>
  <c r="W3046" i="60" s="1"/>
  <c r="V3045" i="60"/>
  <c r="W3045" i="60" s="1"/>
  <c r="V3044" i="60"/>
  <c r="W3044" i="60" s="1"/>
  <c r="V3043" i="60"/>
  <c r="W3043" i="60" s="1"/>
  <c r="V3042" i="60"/>
  <c r="W3042" i="60" s="1"/>
  <c r="V3041" i="60"/>
  <c r="W3041" i="60" s="1"/>
  <c r="V3040" i="60"/>
  <c r="W3040" i="60" s="1"/>
  <c r="V3039" i="60"/>
  <c r="W3039" i="60" s="1"/>
  <c r="V3038" i="60"/>
  <c r="W3038" i="60" s="1"/>
  <c r="V3037" i="60"/>
  <c r="W3037" i="60" s="1"/>
  <c r="V3036" i="60"/>
  <c r="W3036" i="60" s="1"/>
  <c r="V3035" i="60"/>
  <c r="W3035" i="60" s="1"/>
  <c r="V3034" i="60"/>
  <c r="W3034" i="60" s="1"/>
  <c r="V3033" i="60"/>
  <c r="W3033" i="60" s="1"/>
  <c r="V3032" i="60"/>
  <c r="W3032" i="60" s="1"/>
  <c r="V3031" i="60"/>
  <c r="W3031" i="60" s="1"/>
  <c r="V3030" i="60"/>
  <c r="W3030" i="60" s="1"/>
  <c r="V3029" i="60"/>
  <c r="W3029" i="60" s="1"/>
  <c r="V3028" i="60"/>
  <c r="W3028" i="60" s="1"/>
  <c r="V3027" i="60"/>
  <c r="W3027" i="60" s="1"/>
  <c r="V3026" i="60"/>
  <c r="W3026" i="60" s="1"/>
  <c r="V3025" i="60"/>
  <c r="W3025" i="60" s="1"/>
  <c r="V3024" i="60"/>
  <c r="W3024" i="60" s="1"/>
  <c r="V3023" i="60"/>
  <c r="W3023" i="60" s="1"/>
  <c r="V3022" i="60"/>
  <c r="W3022" i="60" s="1"/>
  <c r="V3021" i="60"/>
  <c r="W3021" i="60" s="1"/>
  <c r="V3020" i="60"/>
  <c r="W3020" i="60" s="1"/>
  <c r="V3019" i="60"/>
  <c r="W3019" i="60" s="1"/>
  <c r="V3018" i="60"/>
  <c r="W3018" i="60" s="1"/>
  <c r="V3017" i="60"/>
  <c r="W3017" i="60" s="1"/>
  <c r="V3016" i="60"/>
  <c r="W3016" i="60" s="1"/>
  <c r="V3015" i="60"/>
  <c r="W3015" i="60" s="1"/>
  <c r="V3014" i="60"/>
  <c r="W3014" i="60" s="1"/>
  <c r="V3013" i="60"/>
  <c r="W3013" i="60" s="1"/>
  <c r="V3012" i="60"/>
  <c r="W3012" i="60" s="1"/>
  <c r="V3011" i="60"/>
  <c r="W3011" i="60" s="1"/>
  <c r="V3010" i="60"/>
  <c r="W3010" i="60" s="1"/>
  <c r="V3009" i="60"/>
  <c r="W3009" i="60" s="1"/>
  <c r="V3008" i="60"/>
  <c r="W3008" i="60" s="1"/>
  <c r="V3007" i="60"/>
  <c r="W3007" i="60" s="1"/>
  <c r="V3006" i="60"/>
  <c r="W3006" i="60" s="1"/>
  <c r="V3005" i="60"/>
  <c r="W3005" i="60" s="1"/>
  <c r="V3004" i="60"/>
  <c r="W3004" i="60" s="1"/>
  <c r="V3003" i="60"/>
  <c r="W3003" i="60" s="1"/>
  <c r="V3002" i="60"/>
  <c r="W3002" i="60" s="1"/>
  <c r="V3001" i="60"/>
  <c r="W3001" i="60" s="1"/>
  <c r="V3000" i="60"/>
  <c r="W3000" i="60" s="1"/>
  <c r="V2999" i="60"/>
  <c r="W2999" i="60" s="1"/>
  <c r="V2998" i="60"/>
  <c r="W2998" i="60" s="1"/>
  <c r="V2997" i="60"/>
  <c r="W2997" i="60" s="1"/>
  <c r="V2996" i="60"/>
  <c r="W2996" i="60" s="1"/>
  <c r="V2995" i="60"/>
  <c r="W2995" i="60" s="1"/>
  <c r="V2994" i="60"/>
  <c r="W2994" i="60" s="1"/>
  <c r="V2993" i="60"/>
  <c r="W2993" i="60" s="1"/>
  <c r="V2992" i="60"/>
  <c r="W2992" i="60" s="1"/>
  <c r="V2991" i="60"/>
  <c r="W2991" i="60" s="1"/>
  <c r="V2990" i="60"/>
  <c r="W2990" i="60" s="1"/>
  <c r="V2989" i="60"/>
  <c r="W2989" i="60" s="1"/>
  <c r="V2988" i="60"/>
  <c r="W2988" i="60" s="1"/>
  <c r="V2987" i="60"/>
  <c r="W2987" i="60" s="1"/>
  <c r="V2986" i="60"/>
  <c r="W2986" i="60" s="1"/>
  <c r="V2985" i="60"/>
  <c r="W2985" i="60" s="1"/>
  <c r="V2984" i="60"/>
  <c r="W2984" i="60" s="1"/>
  <c r="V2983" i="60"/>
  <c r="W2983" i="60" s="1"/>
  <c r="V2982" i="60"/>
  <c r="W2982" i="60" s="1"/>
  <c r="V2981" i="60"/>
  <c r="W2981" i="60" s="1"/>
  <c r="V2980" i="60"/>
  <c r="W2980" i="60" s="1"/>
  <c r="V2979" i="60"/>
  <c r="W2979" i="60" s="1"/>
  <c r="V2978" i="60"/>
  <c r="W2978" i="60" s="1"/>
  <c r="V2977" i="60"/>
  <c r="W2977" i="60" s="1"/>
  <c r="V2976" i="60"/>
  <c r="W2976" i="60" s="1"/>
  <c r="V2975" i="60"/>
  <c r="W2975" i="60" s="1"/>
  <c r="V2974" i="60"/>
  <c r="W2974" i="60" s="1"/>
  <c r="V2973" i="60"/>
  <c r="W2973" i="60" s="1"/>
  <c r="V2972" i="60"/>
  <c r="W2972" i="60" s="1"/>
  <c r="V2971" i="60"/>
  <c r="W2971" i="60" s="1"/>
  <c r="V2970" i="60"/>
  <c r="W2970" i="60" s="1"/>
  <c r="V2969" i="60"/>
  <c r="W2969" i="60" s="1"/>
  <c r="V2968" i="60"/>
  <c r="W2968" i="60" s="1"/>
  <c r="V2967" i="60"/>
  <c r="W2967" i="60" s="1"/>
  <c r="V2966" i="60"/>
  <c r="W2966" i="60" s="1"/>
  <c r="V2965" i="60"/>
  <c r="W2965" i="60" s="1"/>
  <c r="V2964" i="60"/>
  <c r="W2964" i="60" s="1"/>
  <c r="V2963" i="60"/>
  <c r="W2963" i="60" s="1"/>
  <c r="V2962" i="60"/>
  <c r="W2962" i="60" s="1"/>
  <c r="V2961" i="60"/>
  <c r="W2961" i="60" s="1"/>
  <c r="V2960" i="60"/>
  <c r="W2960" i="60" s="1"/>
  <c r="V2959" i="60"/>
  <c r="W2959" i="60" s="1"/>
  <c r="V2958" i="60"/>
  <c r="W2958" i="60" s="1"/>
  <c r="V2957" i="60"/>
  <c r="W2957" i="60" s="1"/>
  <c r="V2956" i="60"/>
  <c r="W2956" i="60" s="1"/>
  <c r="V2955" i="60"/>
  <c r="W2955" i="60" s="1"/>
  <c r="V2954" i="60"/>
  <c r="W2954" i="60" s="1"/>
  <c r="V2953" i="60"/>
  <c r="W2953" i="60" s="1"/>
  <c r="V2952" i="60"/>
  <c r="W2952" i="60" s="1"/>
  <c r="V2951" i="60"/>
  <c r="W2951" i="60" s="1"/>
  <c r="V2950" i="60"/>
  <c r="W2950" i="60" s="1"/>
  <c r="V2949" i="60"/>
  <c r="W2949" i="60" s="1"/>
  <c r="V2948" i="60"/>
  <c r="W2948" i="60" s="1"/>
  <c r="V2947" i="60"/>
  <c r="W2947" i="60" s="1"/>
  <c r="V2946" i="60"/>
  <c r="W2946" i="60" s="1"/>
  <c r="V2945" i="60"/>
  <c r="W2945" i="60" s="1"/>
  <c r="V2944" i="60"/>
  <c r="W2944" i="60" s="1"/>
  <c r="V2943" i="60"/>
  <c r="W2943" i="60" s="1"/>
  <c r="V2942" i="60"/>
  <c r="W2942" i="60" s="1"/>
  <c r="V2941" i="60"/>
  <c r="W2941" i="60" s="1"/>
  <c r="V2940" i="60"/>
  <c r="W2940" i="60" s="1"/>
  <c r="V2939" i="60"/>
  <c r="W2939" i="60" s="1"/>
  <c r="V2938" i="60"/>
  <c r="W2938" i="60" s="1"/>
  <c r="V2937" i="60"/>
  <c r="W2937" i="60" s="1"/>
  <c r="V2936" i="60"/>
  <c r="W2936" i="60" s="1"/>
  <c r="V2935" i="60"/>
  <c r="W2935" i="60" s="1"/>
  <c r="V2934" i="60"/>
  <c r="W2934" i="60" s="1"/>
  <c r="V2933" i="60"/>
  <c r="W2933" i="60" s="1"/>
  <c r="V2932" i="60"/>
  <c r="W2932" i="60" s="1"/>
  <c r="V2931" i="60"/>
  <c r="W2931" i="60" s="1"/>
  <c r="V2930" i="60"/>
  <c r="W2930" i="60" s="1"/>
  <c r="V2929" i="60"/>
  <c r="W2929" i="60" s="1"/>
  <c r="V2928" i="60"/>
  <c r="W2928" i="60" s="1"/>
  <c r="V2927" i="60"/>
  <c r="W2927" i="60" s="1"/>
  <c r="V2926" i="60"/>
  <c r="W2926" i="60" s="1"/>
  <c r="V2925" i="60"/>
  <c r="W2925" i="60" s="1"/>
  <c r="V2924" i="60"/>
  <c r="W2924" i="60" s="1"/>
  <c r="V2923" i="60"/>
  <c r="W2923" i="60" s="1"/>
  <c r="V2922" i="60"/>
  <c r="W2922" i="60" s="1"/>
  <c r="V2921" i="60"/>
  <c r="W2921" i="60" s="1"/>
  <c r="V2920" i="60"/>
  <c r="W2920" i="60" s="1"/>
  <c r="V2919" i="60"/>
  <c r="W2919" i="60" s="1"/>
  <c r="V2918" i="60"/>
  <c r="W2918" i="60" s="1"/>
  <c r="V2917" i="60"/>
  <c r="W2917" i="60" s="1"/>
  <c r="V2916" i="60"/>
  <c r="W2916" i="60" s="1"/>
  <c r="V2915" i="60"/>
  <c r="W2915" i="60" s="1"/>
  <c r="V2914" i="60"/>
  <c r="W2914" i="60" s="1"/>
  <c r="V2913" i="60"/>
  <c r="W2913" i="60" s="1"/>
  <c r="V2912" i="60"/>
  <c r="W2912" i="60" s="1"/>
  <c r="V2911" i="60"/>
  <c r="W2911" i="60" s="1"/>
  <c r="V2910" i="60"/>
  <c r="W2910" i="60" s="1"/>
  <c r="V2909" i="60"/>
  <c r="W2909" i="60" s="1"/>
  <c r="V2908" i="60"/>
  <c r="W2908" i="60" s="1"/>
  <c r="V2907" i="60"/>
  <c r="W2907" i="60" s="1"/>
  <c r="V2906" i="60"/>
  <c r="W2906" i="60" s="1"/>
  <c r="V2905" i="60"/>
  <c r="W2905" i="60" s="1"/>
  <c r="V2904" i="60"/>
  <c r="W2904" i="60" s="1"/>
  <c r="V2903" i="60"/>
  <c r="W2903" i="60" s="1"/>
  <c r="V2902" i="60"/>
  <c r="W2902" i="60" s="1"/>
  <c r="V2901" i="60"/>
  <c r="W2901" i="60" s="1"/>
  <c r="V2900" i="60"/>
  <c r="W2900" i="60" s="1"/>
  <c r="V2899" i="60"/>
  <c r="W2899" i="60" s="1"/>
  <c r="V2898" i="60"/>
  <c r="W2898" i="60" s="1"/>
  <c r="V2897" i="60"/>
  <c r="W2897" i="60" s="1"/>
  <c r="V2896" i="60"/>
  <c r="W2896" i="60" s="1"/>
  <c r="V2895" i="60"/>
  <c r="W2895" i="60" s="1"/>
  <c r="V2894" i="60"/>
  <c r="W2894" i="60" s="1"/>
  <c r="V2893" i="60"/>
  <c r="W2893" i="60" s="1"/>
  <c r="V2892" i="60"/>
  <c r="W2892" i="60" s="1"/>
  <c r="V2891" i="60"/>
  <c r="W2891" i="60" s="1"/>
  <c r="V2890" i="60"/>
  <c r="W2890" i="60" s="1"/>
  <c r="V2889" i="60"/>
  <c r="W2889" i="60" s="1"/>
  <c r="V2888" i="60"/>
  <c r="W2888" i="60" s="1"/>
  <c r="V2887" i="60"/>
  <c r="W2887" i="60" s="1"/>
  <c r="V2886" i="60"/>
  <c r="W2886" i="60" s="1"/>
  <c r="V2885" i="60"/>
  <c r="W2885" i="60" s="1"/>
  <c r="V2884" i="60"/>
  <c r="W2884" i="60" s="1"/>
  <c r="V2883" i="60"/>
  <c r="W2883" i="60" s="1"/>
  <c r="V2882" i="60"/>
  <c r="W2882" i="60" s="1"/>
  <c r="V2881" i="60"/>
  <c r="W2881" i="60" s="1"/>
  <c r="V2880" i="60"/>
  <c r="W2880" i="60" s="1"/>
  <c r="V2879" i="60"/>
  <c r="W2879" i="60" s="1"/>
  <c r="V2878" i="60"/>
  <c r="W2878" i="60" s="1"/>
  <c r="V2877" i="60"/>
  <c r="W2877" i="60" s="1"/>
  <c r="V2876" i="60"/>
  <c r="W2876" i="60" s="1"/>
  <c r="V2875" i="60"/>
  <c r="W2875" i="60" s="1"/>
  <c r="V2874" i="60"/>
  <c r="W2874" i="60" s="1"/>
  <c r="V2873" i="60"/>
  <c r="W2873" i="60" s="1"/>
  <c r="V2872" i="60"/>
  <c r="W2872" i="60" s="1"/>
  <c r="V2871" i="60"/>
  <c r="W2871" i="60" s="1"/>
  <c r="V2870" i="60"/>
  <c r="W2870" i="60" s="1"/>
  <c r="V2869" i="60"/>
  <c r="W2869" i="60" s="1"/>
  <c r="V2868" i="60"/>
  <c r="W2868" i="60" s="1"/>
  <c r="V2867" i="60"/>
  <c r="W2867" i="60" s="1"/>
  <c r="V2866" i="60"/>
  <c r="W2866" i="60" s="1"/>
  <c r="V2865" i="60"/>
  <c r="W2865" i="60" s="1"/>
  <c r="V2864" i="60"/>
  <c r="W2864" i="60" s="1"/>
  <c r="V2863" i="60"/>
  <c r="W2863" i="60" s="1"/>
  <c r="V2862" i="60"/>
  <c r="W2862" i="60" s="1"/>
  <c r="V2861" i="60"/>
  <c r="W2861" i="60" s="1"/>
  <c r="V2860" i="60"/>
  <c r="W2860" i="60" s="1"/>
  <c r="V2859" i="60"/>
  <c r="W2859" i="60" s="1"/>
  <c r="V2858" i="60"/>
  <c r="W2858" i="60" s="1"/>
  <c r="V2857" i="60"/>
  <c r="W2857" i="60" s="1"/>
  <c r="V2856" i="60"/>
  <c r="W2856" i="60" s="1"/>
  <c r="V2855" i="60"/>
  <c r="W2855" i="60" s="1"/>
  <c r="V2854" i="60"/>
  <c r="W2854" i="60" s="1"/>
  <c r="V2853" i="60"/>
  <c r="W2853" i="60" s="1"/>
  <c r="V2852" i="60"/>
  <c r="W2852" i="60" s="1"/>
  <c r="V2851" i="60"/>
  <c r="W2851" i="60" s="1"/>
  <c r="V2850" i="60"/>
  <c r="W2850" i="60" s="1"/>
  <c r="V2849" i="60"/>
  <c r="W2849" i="60" s="1"/>
  <c r="V2848" i="60"/>
  <c r="W2848" i="60" s="1"/>
  <c r="V2847" i="60"/>
  <c r="W2847" i="60" s="1"/>
  <c r="V2846" i="60"/>
  <c r="W2846" i="60" s="1"/>
  <c r="V2845" i="60"/>
  <c r="W2845" i="60" s="1"/>
  <c r="V2844" i="60"/>
  <c r="W2844" i="60" s="1"/>
  <c r="V2843" i="60"/>
  <c r="W2843" i="60" s="1"/>
  <c r="V2842" i="60"/>
  <c r="W2842" i="60" s="1"/>
  <c r="V2841" i="60"/>
  <c r="W2841" i="60" s="1"/>
  <c r="V2840" i="60"/>
  <c r="W2840" i="60" s="1"/>
  <c r="V2839" i="60"/>
  <c r="W2839" i="60" s="1"/>
  <c r="V2838" i="60"/>
  <c r="W2838" i="60" s="1"/>
  <c r="V2837" i="60"/>
  <c r="W2837" i="60" s="1"/>
  <c r="V2836" i="60"/>
  <c r="W2836" i="60" s="1"/>
  <c r="V2835" i="60"/>
  <c r="W2835" i="60" s="1"/>
  <c r="V2834" i="60"/>
  <c r="W2834" i="60" s="1"/>
  <c r="V2833" i="60"/>
  <c r="W2833" i="60" s="1"/>
  <c r="V2832" i="60"/>
  <c r="W2832" i="60" s="1"/>
  <c r="V2831" i="60"/>
  <c r="W2831" i="60" s="1"/>
  <c r="V2830" i="60"/>
  <c r="W2830" i="60" s="1"/>
  <c r="V2829" i="60"/>
  <c r="W2829" i="60" s="1"/>
  <c r="V2828" i="60"/>
  <c r="W2828" i="60" s="1"/>
  <c r="V2827" i="60"/>
  <c r="W2827" i="60" s="1"/>
  <c r="V2826" i="60"/>
  <c r="W2826" i="60" s="1"/>
  <c r="V2825" i="60"/>
  <c r="W2825" i="60" s="1"/>
  <c r="V2824" i="60"/>
  <c r="W2824" i="60" s="1"/>
  <c r="V2823" i="60"/>
  <c r="W2823" i="60" s="1"/>
  <c r="V2822" i="60"/>
  <c r="W2822" i="60" s="1"/>
  <c r="V2821" i="60"/>
  <c r="W2821" i="60" s="1"/>
  <c r="V2820" i="60"/>
  <c r="W2820" i="60" s="1"/>
  <c r="V2819" i="60"/>
  <c r="W2819" i="60" s="1"/>
  <c r="V2818" i="60"/>
  <c r="W2818" i="60" s="1"/>
  <c r="V2817" i="60"/>
  <c r="W2817" i="60" s="1"/>
  <c r="V2816" i="60"/>
  <c r="W2816" i="60" s="1"/>
  <c r="V2815" i="60"/>
  <c r="W2815" i="60" s="1"/>
  <c r="V2814" i="60"/>
  <c r="W2814" i="60" s="1"/>
  <c r="V2813" i="60"/>
  <c r="W2813" i="60" s="1"/>
  <c r="V2812" i="60"/>
  <c r="W2812" i="60" s="1"/>
  <c r="V2811" i="60"/>
  <c r="W2811" i="60" s="1"/>
  <c r="V2810" i="60"/>
  <c r="W2810" i="60" s="1"/>
  <c r="V2809" i="60"/>
  <c r="W2809" i="60" s="1"/>
  <c r="V2808" i="60"/>
  <c r="W2808" i="60" s="1"/>
  <c r="V2807" i="60"/>
  <c r="W2807" i="60" s="1"/>
  <c r="V2806" i="60"/>
  <c r="W2806" i="60" s="1"/>
  <c r="V2805" i="60"/>
  <c r="W2805" i="60" s="1"/>
  <c r="V2804" i="60"/>
  <c r="W2804" i="60" s="1"/>
  <c r="V2803" i="60"/>
  <c r="W2803" i="60" s="1"/>
  <c r="V2802" i="60"/>
  <c r="W2802" i="60" s="1"/>
  <c r="V2801" i="60"/>
  <c r="W2801" i="60" s="1"/>
  <c r="V2800" i="60"/>
  <c r="W2800" i="60" s="1"/>
  <c r="V2799" i="60"/>
  <c r="W2799" i="60" s="1"/>
  <c r="V2798" i="60"/>
  <c r="W2798" i="60" s="1"/>
  <c r="V2797" i="60"/>
  <c r="W2797" i="60" s="1"/>
  <c r="V2796" i="60"/>
  <c r="W2796" i="60" s="1"/>
  <c r="V2795" i="60"/>
  <c r="W2795" i="60" s="1"/>
  <c r="V2794" i="60"/>
  <c r="W2794" i="60" s="1"/>
  <c r="V2793" i="60"/>
  <c r="W2793" i="60" s="1"/>
  <c r="V2792" i="60"/>
  <c r="W2792" i="60" s="1"/>
  <c r="V2791" i="60"/>
  <c r="W2791" i="60" s="1"/>
  <c r="V2790" i="60"/>
  <c r="W2790" i="60" s="1"/>
  <c r="V2789" i="60"/>
  <c r="W2789" i="60" s="1"/>
  <c r="V2788" i="60"/>
  <c r="W2788" i="60" s="1"/>
  <c r="V2787" i="60"/>
  <c r="W2787" i="60" s="1"/>
  <c r="V2786" i="60"/>
  <c r="W2786" i="60" s="1"/>
  <c r="V2785" i="60"/>
  <c r="W2785" i="60" s="1"/>
  <c r="V2784" i="60"/>
  <c r="W2784" i="60" s="1"/>
  <c r="V2783" i="60"/>
  <c r="W2783" i="60" s="1"/>
  <c r="V2782" i="60"/>
  <c r="W2782" i="60" s="1"/>
  <c r="V2781" i="60"/>
  <c r="W2781" i="60" s="1"/>
  <c r="V2780" i="60"/>
  <c r="W2780" i="60" s="1"/>
  <c r="V2779" i="60"/>
  <c r="W2779" i="60" s="1"/>
  <c r="V2778" i="60"/>
  <c r="W2778" i="60" s="1"/>
  <c r="V2777" i="60"/>
  <c r="W2777" i="60" s="1"/>
  <c r="V2776" i="60"/>
  <c r="W2776" i="60" s="1"/>
  <c r="V2775" i="60"/>
  <c r="W2775" i="60" s="1"/>
  <c r="V2774" i="60"/>
  <c r="W2774" i="60" s="1"/>
  <c r="V2773" i="60"/>
  <c r="W2773" i="60" s="1"/>
  <c r="V2772" i="60"/>
  <c r="W2772" i="60" s="1"/>
  <c r="V2771" i="60"/>
  <c r="W2771" i="60" s="1"/>
  <c r="V2770" i="60"/>
  <c r="W2770" i="60" s="1"/>
  <c r="V2769" i="60"/>
  <c r="W2769" i="60" s="1"/>
  <c r="V2768" i="60"/>
  <c r="W2768" i="60" s="1"/>
  <c r="V2767" i="60"/>
  <c r="W2767" i="60" s="1"/>
  <c r="V2766" i="60"/>
  <c r="W2766" i="60" s="1"/>
  <c r="V2765" i="60"/>
  <c r="W2765" i="60" s="1"/>
  <c r="V2764" i="60"/>
  <c r="W2764" i="60" s="1"/>
  <c r="V2763" i="60"/>
  <c r="W2763" i="60" s="1"/>
  <c r="V2762" i="60"/>
  <c r="W2762" i="60" s="1"/>
  <c r="V2761" i="60"/>
  <c r="W2761" i="60" s="1"/>
  <c r="V2760" i="60"/>
  <c r="W2760" i="60" s="1"/>
  <c r="V2759" i="60"/>
  <c r="W2759" i="60" s="1"/>
  <c r="V2758" i="60"/>
  <c r="W2758" i="60" s="1"/>
  <c r="V2757" i="60"/>
  <c r="W2757" i="60" s="1"/>
  <c r="V2756" i="60"/>
  <c r="W2756" i="60" s="1"/>
  <c r="V2755" i="60"/>
  <c r="W2755" i="60" s="1"/>
  <c r="V2754" i="60"/>
  <c r="W2754" i="60" s="1"/>
  <c r="V2753" i="60"/>
  <c r="W2753" i="60" s="1"/>
  <c r="V2752" i="60"/>
  <c r="W2752" i="60" s="1"/>
  <c r="V2751" i="60"/>
  <c r="W2751" i="60" s="1"/>
  <c r="V2750" i="60"/>
  <c r="W2750" i="60" s="1"/>
  <c r="V2749" i="60"/>
  <c r="W2749" i="60" s="1"/>
  <c r="V2748" i="60"/>
  <c r="W2748" i="60" s="1"/>
  <c r="V2747" i="60"/>
  <c r="W2747" i="60" s="1"/>
  <c r="V2746" i="60"/>
  <c r="W2746" i="60" s="1"/>
  <c r="V2745" i="60"/>
  <c r="W2745" i="60" s="1"/>
  <c r="V2744" i="60"/>
  <c r="W2744" i="60" s="1"/>
  <c r="V2743" i="60"/>
  <c r="W2743" i="60" s="1"/>
  <c r="V2742" i="60"/>
  <c r="W2742" i="60" s="1"/>
  <c r="V2741" i="60"/>
  <c r="W2741" i="60" s="1"/>
  <c r="V2740" i="60"/>
  <c r="W2740" i="60" s="1"/>
  <c r="V2739" i="60"/>
  <c r="W2739" i="60" s="1"/>
  <c r="V2738" i="60"/>
  <c r="W2738" i="60" s="1"/>
  <c r="V2737" i="60"/>
  <c r="W2737" i="60" s="1"/>
  <c r="V2736" i="60"/>
  <c r="W2736" i="60" s="1"/>
  <c r="V2735" i="60"/>
  <c r="W2735" i="60" s="1"/>
  <c r="V2734" i="60"/>
  <c r="W2734" i="60" s="1"/>
  <c r="V2733" i="60"/>
  <c r="W2733" i="60" s="1"/>
  <c r="V2732" i="60"/>
  <c r="W2732" i="60" s="1"/>
  <c r="V2731" i="60"/>
  <c r="W2731" i="60" s="1"/>
  <c r="V2730" i="60"/>
  <c r="W2730" i="60" s="1"/>
  <c r="V2729" i="60"/>
  <c r="W2729" i="60" s="1"/>
  <c r="V2728" i="60"/>
  <c r="W2728" i="60" s="1"/>
  <c r="V2727" i="60"/>
  <c r="W2727" i="60" s="1"/>
  <c r="V2726" i="60"/>
  <c r="W2726" i="60" s="1"/>
  <c r="V2725" i="60"/>
  <c r="W2725" i="60" s="1"/>
  <c r="V2724" i="60"/>
  <c r="W2724" i="60" s="1"/>
  <c r="V2723" i="60"/>
  <c r="W2723" i="60" s="1"/>
  <c r="V2722" i="60"/>
  <c r="W2722" i="60" s="1"/>
  <c r="V2721" i="60"/>
  <c r="W2721" i="60" s="1"/>
  <c r="V2720" i="60"/>
  <c r="W2720" i="60" s="1"/>
  <c r="V2719" i="60"/>
  <c r="W2719" i="60" s="1"/>
  <c r="V2718" i="60"/>
  <c r="W2718" i="60" s="1"/>
  <c r="V2717" i="60"/>
  <c r="W2717" i="60" s="1"/>
  <c r="V2716" i="60"/>
  <c r="W2716" i="60" s="1"/>
  <c r="V2715" i="60"/>
  <c r="W2715" i="60" s="1"/>
  <c r="V2714" i="60"/>
  <c r="W2714" i="60" s="1"/>
  <c r="V2713" i="60"/>
  <c r="W2713" i="60" s="1"/>
  <c r="V2712" i="60"/>
  <c r="W2712" i="60" s="1"/>
  <c r="V2711" i="60"/>
  <c r="W2711" i="60" s="1"/>
  <c r="V2710" i="60"/>
  <c r="W2710" i="60" s="1"/>
  <c r="V2709" i="60"/>
  <c r="W2709" i="60" s="1"/>
  <c r="V2708" i="60"/>
  <c r="W2708" i="60" s="1"/>
  <c r="V2707" i="60"/>
  <c r="W2707" i="60" s="1"/>
  <c r="V2706" i="60"/>
  <c r="W2706" i="60" s="1"/>
  <c r="V2705" i="60"/>
  <c r="W2705" i="60" s="1"/>
  <c r="V2704" i="60"/>
  <c r="W2704" i="60" s="1"/>
  <c r="V2703" i="60"/>
  <c r="W2703" i="60" s="1"/>
  <c r="V2702" i="60"/>
  <c r="W2702" i="60" s="1"/>
  <c r="V2701" i="60"/>
  <c r="W2701" i="60" s="1"/>
  <c r="V2700" i="60"/>
  <c r="W2700" i="60" s="1"/>
  <c r="V2699" i="60"/>
  <c r="W2699" i="60" s="1"/>
  <c r="V2698" i="60"/>
  <c r="W2698" i="60" s="1"/>
  <c r="V2697" i="60"/>
  <c r="W2697" i="60" s="1"/>
  <c r="V2696" i="60"/>
  <c r="W2696" i="60" s="1"/>
  <c r="V2695" i="60"/>
  <c r="W2695" i="60" s="1"/>
  <c r="V2694" i="60"/>
  <c r="W2694" i="60" s="1"/>
  <c r="V2693" i="60"/>
  <c r="W2693" i="60" s="1"/>
  <c r="V2692" i="60"/>
  <c r="W2692" i="60" s="1"/>
  <c r="V2691" i="60"/>
  <c r="W2691" i="60" s="1"/>
  <c r="V2690" i="60"/>
  <c r="W2690" i="60" s="1"/>
  <c r="V2689" i="60"/>
  <c r="W2689" i="60" s="1"/>
  <c r="V2688" i="60"/>
  <c r="W2688" i="60" s="1"/>
  <c r="V2687" i="60"/>
  <c r="W2687" i="60" s="1"/>
  <c r="V2686" i="60"/>
  <c r="W2686" i="60" s="1"/>
  <c r="V2685" i="60"/>
  <c r="W2685" i="60" s="1"/>
  <c r="V2684" i="60"/>
  <c r="W2684" i="60" s="1"/>
  <c r="V2683" i="60"/>
  <c r="W2683" i="60" s="1"/>
  <c r="V2682" i="60"/>
  <c r="W2682" i="60" s="1"/>
  <c r="V2681" i="60"/>
  <c r="W2681" i="60" s="1"/>
  <c r="V2680" i="60"/>
  <c r="W2680" i="60" s="1"/>
  <c r="V2679" i="60"/>
  <c r="W2679" i="60" s="1"/>
  <c r="V2678" i="60"/>
  <c r="W2678" i="60" s="1"/>
  <c r="V2677" i="60"/>
  <c r="W2677" i="60" s="1"/>
  <c r="V2676" i="60"/>
  <c r="W2676" i="60" s="1"/>
  <c r="V2675" i="60"/>
  <c r="W2675" i="60" s="1"/>
  <c r="V2674" i="60"/>
  <c r="W2674" i="60" s="1"/>
  <c r="V2673" i="60"/>
  <c r="W2673" i="60" s="1"/>
  <c r="V2672" i="60"/>
  <c r="W2672" i="60" s="1"/>
  <c r="V2671" i="60"/>
  <c r="W2671" i="60" s="1"/>
  <c r="V2670" i="60"/>
  <c r="W2670" i="60" s="1"/>
  <c r="V2669" i="60"/>
  <c r="W2669" i="60" s="1"/>
  <c r="V2668" i="60"/>
  <c r="W2668" i="60" s="1"/>
  <c r="V2667" i="60"/>
  <c r="W2667" i="60" s="1"/>
  <c r="V2666" i="60"/>
  <c r="W2666" i="60" s="1"/>
  <c r="V2665" i="60"/>
  <c r="W2665" i="60" s="1"/>
  <c r="V2664" i="60"/>
  <c r="W2664" i="60" s="1"/>
  <c r="V2663" i="60"/>
  <c r="W2663" i="60" s="1"/>
  <c r="V2662" i="60"/>
  <c r="W2662" i="60" s="1"/>
  <c r="V2661" i="60"/>
  <c r="W2661" i="60" s="1"/>
  <c r="W2660" i="60"/>
  <c r="V2660" i="60"/>
  <c r="V2659" i="60"/>
  <c r="W2659" i="60" s="1"/>
  <c r="V2658" i="60"/>
  <c r="W2658" i="60" s="1"/>
  <c r="V2657" i="60"/>
  <c r="W2657" i="60" s="1"/>
  <c r="V2656" i="60"/>
  <c r="W2656" i="60" s="1"/>
  <c r="V2655" i="60"/>
  <c r="W2655" i="60" s="1"/>
  <c r="V2654" i="60"/>
  <c r="W2654" i="60" s="1"/>
  <c r="V2653" i="60"/>
  <c r="W2653" i="60" s="1"/>
  <c r="V2652" i="60"/>
  <c r="W2652" i="60" s="1"/>
  <c r="V2651" i="60"/>
  <c r="W2651" i="60" s="1"/>
  <c r="V2650" i="60"/>
  <c r="W2650" i="60" s="1"/>
  <c r="V2649" i="60"/>
  <c r="W2649" i="60" s="1"/>
  <c r="V2648" i="60"/>
  <c r="W2648" i="60" s="1"/>
  <c r="V2647" i="60"/>
  <c r="W2647" i="60" s="1"/>
  <c r="V2646" i="60"/>
  <c r="W2646" i="60" s="1"/>
  <c r="V2645" i="60"/>
  <c r="W2645" i="60" s="1"/>
  <c r="V2644" i="60"/>
  <c r="W2644" i="60" s="1"/>
  <c r="V2643" i="60"/>
  <c r="W2643" i="60" s="1"/>
  <c r="V2642" i="60"/>
  <c r="W2642" i="60" s="1"/>
  <c r="V2641" i="60"/>
  <c r="W2641" i="60" s="1"/>
  <c r="V2640" i="60"/>
  <c r="W2640" i="60" s="1"/>
  <c r="V2639" i="60"/>
  <c r="W2639" i="60" s="1"/>
  <c r="V2638" i="60"/>
  <c r="W2638" i="60" s="1"/>
  <c r="V2637" i="60"/>
  <c r="W2637" i="60" s="1"/>
  <c r="V2636" i="60"/>
  <c r="W2636" i="60" s="1"/>
  <c r="V2635" i="60"/>
  <c r="W2635" i="60" s="1"/>
  <c r="V2634" i="60"/>
  <c r="W2634" i="60" s="1"/>
  <c r="V2633" i="60"/>
  <c r="W2633" i="60" s="1"/>
  <c r="V2632" i="60"/>
  <c r="W2632" i="60" s="1"/>
  <c r="V2631" i="60"/>
  <c r="W2631" i="60" s="1"/>
  <c r="V2630" i="60"/>
  <c r="W2630" i="60" s="1"/>
  <c r="V2629" i="60"/>
  <c r="W2629" i="60" s="1"/>
  <c r="V2628" i="60"/>
  <c r="W2628" i="60" s="1"/>
  <c r="V2627" i="60"/>
  <c r="W2627" i="60" s="1"/>
  <c r="V2626" i="60"/>
  <c r="W2626" i="60" s="1"/>
  <c r="V2625" i="60"/>
  <c r="W2625" i="60" s="1"/>
  <c r="V2624" i="60"/>
  <c r="W2624" i="60" s="1"/>
  <c r="V2623" i="60"/>
  <c r="W2623" i="60" s="1"/>
  <c r="V2622" i="60"/>
  <c r="W2622" i="60" s="1"/>
  <c r="V2621" i="60"/>
  <c r="W2621" i="60" s="1"/>
  <c r="V2620" i="60"/>
  <c r="W2620" i="60" s="1"/>
  <c r="V2619" i="60"/>
  <c r="W2619" i="60" s="1"/>
  <c r="V2618" i="60"/>
  <c r="W2618" i="60" s="1"/>
  <c r="V2617" i="60"/>
  <c r="W2617" i="60" s="1"/>
  <c r="V2616" i="60"/>
  <c r="W2616" i="60" s="1"/>
  <c r="V2615" i="60"/>
  <c r="W2615" i="60" s="1"/>
  <c r="V2614" i="60"/>
  <c r="W2614" i="60" s="1"/>
  <c r="V2613" i="60"/>
  <c r="W2613" i="60" s="1"/>
  <c r="V2612" i="60"/>
  <c r="W2612" i="60" s="1"/>
  <c r="V2611" i="60"/>
  <c r="W2611" i="60" s="1"/>
  <c r="V2610" i="60"/>
  <c r="W2610" i="60" s="1"/>
  <c r="V2609" i="60"/>
  <c r="W2609" i="60" s="1"/>
  <c r="V2608" i="60"/>
  <c r="W2608" i="60" s="1"/>
  <c r="V2607" i="60"/>
  <c r="W2607" i="60" s="1"/>
  <c r="V2606" i="60"/>
  <c r="W2606" i="60" s="1"/>
  <c r="V2605" i="60"/>
  <c r="W2605" i="60" s="1"/>
  <c r="V2604" i="60"/>
  <c r="W2604" i="60" s="1"/>
  <c r="V2603" i="60"/>
  <c r="W2603" i="60" s="1"/>
  <c r="V2602" i="60"/>
  <c r="W2602" i="60" s="1"/>
  <c r="V2601" i="60"/>
  <c r="W2601" i="60" s="1"/>
  <c r="V2600" i="60"/>
  <c r="W2600" i="60" s="1"/>
  <c r="V2599" i="60"/>
  <c r="W2599" i="60" s="1"/>
  <c r="V2598" i="60"/>
  <c r="W2598" i="60" s="1"/>
  <c r="V2597" i="60"/>
  <c r="W2597" i="60" s="1"/>
  <c r="V2596" i="60"/>
  <c r="W2596" i="60" s="1"/>
  <c r="V2595" i="60"/>
  <c r="W2595" i="60" s="1"/>
  <c r="V2594" i="60"/>
  <c r="W2594" i="60" s="1"/>
  <c r="V2593" i="60"/>
  <c r="W2593" i="60" s="1"/>
  <c r="V2592" i="60"/>
  <c r="W2592" i="60" s="1"/>
  <c r="V2591" i="60"/>
  <c r="W2591" i="60" s="1"/>
  <c r="V2590" i="60"/>
  <c r="W2590" i="60" s="1"/>
  <c r="V2589" i="60"/>
  <c r="W2589" i="60" s="1"/>
  <c r="V2588" i="60"/>
  <c r="W2588" i="60" s="1"/>
  <c r="V2587" i="60"/>
  <c r="W2587" i="60" s="1"/>
  <c r="V2586" i="60"/>
  <c r="W2586" i="60" s="1"/>
  <c r="V2585" i="60"/>
  <c r="W2585" i="60" s="1"/>
  <c r="V2584" i="60"/>
  <c r="W2584" i="60" s="1"/>
  <c r="V2583" i="60"/>
  <c r="W2583" i="60" s="1"/>
  <c r="V2582" i="60"/>
  <c r="W2582" i="60" s="1"/>
  <c r="V2581" i="60"/>
  <c r="W2581" i="60" s="1"/>
  <c r="V2580" i="60"/>
  <c r="W2580" i="60" s="1"/>
  <c r="V2579" i="60"/>
  <c r="W2579" i="60" s="1"/>
  <c r="V2578" i="60"/>
  <c r="W2578" i="60" s="1"/>
  <c r="V2577" i="60"/>
  <c r="W2577" i="60" s="1"/>
  <c r="V2576" i="60"/>
  <c r="W2576" i="60" s="1"/>
  <c r="V2575" i="60"/>
  <c r="W2575" i="60" s="1"/>
  <c r="V2574" i="60"/>
  <c r="W2574" i="60" s="1"/>
  <c r="V2573" i="60"/>
  <c r="W2573" i="60" s="1"/>
  <c r="V2572" i="60"/>
  <c r="W2572" i="60" s="1"/>
  <c r="V2571" i="60"/>
  <c r="W2571" i="60" s="1"/>
  <c r="V2570" i="60"/>
  <c r="W2570" i="60" s="1"/>
  <c r="V2569" i="60"/>
  <c r="W2569" i="60" s="1"/>
  <c r="V2568" i="60"/>
  <c r="W2568" i="60" s="1"/>
  <c r="V2567" i="60"/>
  <c r="W2567" i="60" s="1"/>
  <c r="V2566" i="60"/>
  <c r="W2566" i="60" s="1"/>
  <c r="V2565" i="60"/>
  <c r="W2565" i="60" s="1"/>
  <c r="V2564" i="60"/>
  <c r="W2564" i="60" s="1"/>
  <c r="V2563" i="60"/>
  <c r="W2563" i="60" s="1"/>
  <c r="V2562" i="60"/>
  <c r="W2562" i="60" s="1"/>
  <c r="V2561" i="60"/>
  <c r="W2561" i="60" s="1"/>
  <c r="V2560" i="60"/>
  <c r="W2560" i="60" s="1"/>
  <c r="V2559" i="60"/>
  <c r="W2559" i="60" s="1"/>
  <c r="V2558" i="60"/>
  <c r="W2558" i="60" s="1"/>
  <c r="V2557" i="60"/>
  <c r="W2557" i="60" s="1"/>
  <c r="V2556" i="60"/>
  <c r="W2556" i="60" s="1"/>
  <c r="V2555" i="60"/>
  <c r="W2555" i="60" s="1"/>
  <c r="V2554" i="60"/>
  <c r="W2554" i="60" s="1"/>
  <c r="V2553" i="60"/>
  <c r="W2553" i="60" s="1"/>
  <c r="V2552" i="60"/>
  <c r="W2552" i="60" s="1"/>
  <c r="V2551" i="60"/>
  <c r="W2551" i="60" s="1"/>
  <c r="V2550" i="60"/>
  <c r="W2550" i="60" s="1"/>
  <c r="V2549" i="60"/>
  <c r="W2549" i="60" s="1"/>
  <c r="V2548" i="60"/>
  <c r="W2548" i="60" s="1"/>
  <c r="V2547" i="60"/>
  <c r="W2547" i="60" s="1"/>
  <c r="V2546" i="60"/>
  <c r="W2546" i="60" s="1"/>
  <c r="V2545" i="60"/>
  <c r="W2545" i="60" s="1"/>
  <c r="V2544" i="60"/>
  <c r="W2544" i="60" s="1"/>
  <c r="V2543" i="60"/>
  <c r="W2543" i="60" s="1"/>
  <c r="V2542" i="60"/>
  <c r="W2542" i="60" s="1"/>
  <c r="V2541" i="60"/>
  <c r="W2541" i="60" s="1"/>
  <c r="V2540" i="60"/>
  <c r="W2540" i="60" s="1"/>
  <c r="V2539" i="60"/>
  <c r="W2539" i="60" s="1"/>
  <c r="V2538" i="60"/>
  <c r="W2538" i="60" s="1"/>
  <c r="V2537" i="60"/>
  <c r="W2537" i="60" s="1"/>
  <c r="V2536" i="60"/>
  <c r="W2536" i="60" s="1"/>
  <c r="V2535" i="60"/>
  <c r="W2535" i="60" s="1"/>
  <c r="V2534" i="60"/>
  <c r="W2534" i="60" s="1"/>
  <c r="V2533" i="60"/>
  <c r="W2533" i="60" s="1"/>
  <c r="V2532" i="60"/>
  <c r="W2532" i="60" s="1"/>
  <c r="V2531" i="60"/>
  <c r="W2531" i="60" s="1"/>
  <c r="V2530" i="60"/>
  <c r="W2530" i="60" s="1"/>
  <c r="V2529" i="60"/>
  <c r="W2529" i="60" s="1"/>
  <c r="V2528" i="60"/>
  <c r="W2528" i="60" s="1"/>
  <c r="V2527" i="60"/>
  <c r="W2527" i="60" s="1"/>
  <c r="V2526" i="60"/>
  <c r="W2526" i="60" s="1"/>
  <c r="V2525" i="60"/>
  <c r="W2525" i="60" s="1"/>
  <c r="V2524" i="60"/>
  <c r="W2524" i="60" s="1"/>
  <c r="V2523" i="60"/>
  <c r="W2523" i="60" s="1"/>
  <c r="V2522" i="60"/>
  <c r="W2522" i="60" s="1"/>
  <c r="V2521" i="60"/>
  <c r="W2521" i="60" s="1"/>
  <c r="V2520" i="60"/>
  <c r="W2520" i="60" s="1"/>
  <c r="V2519" i="60"/>
  <c r="W2519" i="60" s="1"/>
  <c r="V2518" i="60"/>
  <c r="W2518" i="60" s="1"/>
  <c r="V2517" i="60"/>
  <c r="W2517" i="60" s="1"/>
  <c r="V2516" i="60"/>
  <c r="W2516" i="60" s="1"/>
  <c r="V2515" i="60"/>
  <c r="W2515" i="60" s="1"/>
  <c r="V2514" i="60"/>
  <c r="W2514" i="60" s="1"/>
  <c r="V2513" i="60"/>
  <c r="W2513" i="60" s="1"/>
  <c r="V2512" i="60"/>
  <c r="W2512" i="60" s="1"/>
  <c r="V2511" i="60"/>
  <c r="W2511" i="60" s="1"/>
  <c r="V2510" i="60"/>
  <c r="W2510" i="60" s="1"/>
  <c r="V2509" i="60"/>
  <c r="W2509" i="60" s="1"/>
  <c r="V2508" i="60"/>
  <c r="W2508" i="60" s="1"/>
  <c r="V2507" i="60"/>
  <c r="W2507" i="60" s="1"/>
  <c r="V2506" i="60"/>
  <c r="W2506" i="60" s="1"/>
  <c r="V2505" i="60"/>
  <c r="W2505" i="60" s="1"/>
  <c r="V2504" i="60"/>
  <c r="W2504" i="60" s="1"/>
  <c r="V2503" i="60"/>
  <c r="W2503" i="60" s="1"/>
  <c r="V2502" i="60"/>
  <c r="W2502" i="60" s="1"/>
  <c r="V2501" i="60"/>
  <c r="W2501" i="60" s="1"/>
  <c r="V2500" i="60"/>
  <c r="W2500" i="60" s="1"/>
  <c r="V2499" i="60"/>
  <c r="W2499" i="60" s="1"/>
  <c r="V2498" i="60"/>
  <c r="W2498" i="60" s="1"/>
  <c r="V2497" i="60"/>
  <c r="W2497" i="60" s="1"/>
  <c r="V2496" i="60"/>
  <c r="W2496" i="60" s="1"/>
  <c r="V2495" i="60"/>
  <c r="W2495" i="60" s="1"/>
  <c r="V2494" i="60"/>
  <c r="W2494" i="60" s="1"/>
  <c r="V2493" i="60"/>
  <c r="W2493" i="60" s="1"/>
  <c r="V2492" i="60"/>
  <c r="W2492" i="60" s="1"/>
  <c r="V2491" i="60"/>
  <c r="W2491" i="60" s="1"/>
  <c r="V2490" i="60"/>
  <c r="W2490" i="60" s="1"/>
  <c r="V2489" i="60"/>
  <c r="W2489" i="60" s="1"/>
  <c r="V2488" i="60"/>
  <c r="W2488" i="60" s="1"/>
  <c r="V2487" i="60"/>
  <c r="W2487" i="60" s="1"/>
  <c r="V2486" i="60"/>
  <c r="W2486" i="60" s="1"/>
  <c r="V2485" i="60"/>
  <c r="W2485" i="60" s="1"/>
  <c r="V2484" i="60"/>
  <c r="W2484" i="60" s="1"/>
  <c r="V2483" i="60"/>
  <c r="W2483" i="60" s="1"/>
  <c r="V2482" i="60"/>
  <c r="W2482" i="60" s="1"/>
  <c r="V2481" i="60"/>
  <c r="W2481" i="60" s="1"/>
  <c r="V2480" i="60"/>
  <c r="W2480" i="60" s="1"/>
  <c r="V2479" i="60"/>
  <c r="W2479" i="60" s="1"/>
  <c r="V2478" i="60"/>
  <c r="W2478" i="60" s="1"/>
  <c r="V2477" i="60"/>
  <c r="W2477" i="60" s="1"/>
  <c r="V2476" i="60"/>
  <c r="W2476" i="60" s="1"/>
  <c r="V2475" i="60"/>
  <c r="W2475" i="60" s="1"/>
  <c r="V2474" i="60"/>
  <c r="W2474" i="60" s="1"/>
  <c r="V2473" i="60"/>
  <c r="W2473" i="60" s="1"/>
  <c r="V2472" i="60"/>
  <c r="W2472" i="60" s="1"/>
  <c r="V2471" i="60"/>
  <c r="W2471" i="60" s="1"/>
  <c r="V2470" i="60"/>
  <c r="W2470" i="60" s="1"/>
  <c r="V2469" i="60"/>
  <c r="W2469" i="60" s="1"/>
  <c r="V2468" i="60"/>
  <c r="W2468" i="60" s="1"/>
  <c r="V2467" i="60"/>
  <c r="W2467" i="60" s="1"/>
  <c r="V2466" i="60"/>
  <c r="W2466" i="60" s="1"/>
  <c r="V2465" i="60"/>
  <c r="W2465" i="60" s="1"/>
  <c r="V2464" i="60"/>
  <c r="W2464" i="60" s="1"/>
  <c r="V2463" i="60"/>
  <c r="W2463" i="60" s="1"/>
  <c r="V2462" i="60"/>
  <c r="W2462" i="60" s="1"/>
  <c r="V2461" i="60"/>
  <c r="W2461" i="60" s="1"/>
  <c r="V2460" i="60"/>
  <c r="W2460" i="60" s="1"/>
  <c r="V2459" i="60"/>
  <c r="W2459" i="60" s="1"/>
  <c r="V2458" i="60"/>
  <c r="W2458" i="60" s="1"/>
  <c r="V2457" i="60"/>
  <c r="W2457" i="60" s="1"/>
  <c r="V2456" i="60"/>
  <c r="W2456" i="60" s="1"/>
  <c r="V2455" i="60"/>
  <c r="W2455" i="60" s="1"/>
  <c r="V2454" i="60"/>
  <c r="W2454" i="60" s="1"/>
  <c r="V2453" i="60"/>
  <c r="W2453" i="60" s="1"/>
  <c r="V2452" i="60"/>
  <c r="W2452" i="60" s="1"/>
  <c r="V2451" i="60"/>
  <c r="W2451" i="60" s="1"/>
  <c r="V2450" i="60"/>
  <c r="W2450" i="60" s="1"/>
  <c r="V2449" i="60"/>
  <c r="W2449" i="60" s="1"/>
  <c r="V2448" i="60"/>
  <c r="W2448" i="60" s="1"/>
  <c r="V2447" i="60"/>
  <c r="W2447" i="60" s="1"/>
  <c r="V2446" i="60"/>
  <c r="W2446" i="60" s="1"/>
  <c r="V2445" i="60"/>
  <c r="W2445" i="60" s="1"/>
  <c r="V2444" i="60"/>
  <c r="W2444" i="60" s="1"/>
  <c r="V2443" i="60"/>
  <c r="W2443" i="60" s="1"/>
  <c r="V2442" i="60"/>
  <c r="W2442" i="60" s="1"/>
  <c r="V2441" i="60"/>
  <c r="W2441" i="60" s="1"/>
  <c r="V2440" i="60"/>
  <c r="W2440" i="60" s="1"/>
  <c r="V2439" i="60"/>
  <c r="W2439" i="60" s="1"/>
  <c r="V2438" i="60"/>
  <c r="W2438" i="60" s="1"/>
  <c r="V2437" i="60"/>
  <c r="W2437" i="60" s="1"/>
  <c r="V2436" i="60"/>
  <c r="W2436" i="60" s="1"/>
  <c r="V2435" i="60"/>
  <c r="W2435" i="60" s="1"/>
  <c r="V2434" i="60"/>
  <c r="W2434" i="60" s="1"/>
  <c r="V2433" i="60"/>
  <c r="W2433" i="60" s="1"/>
  <c r="V2432" i="60"/>
  <c r="W2432" i="60" s="1"/>
  <c r="V2431" i="60"/>
  <c r="W2431" i="60" s="1"/>
  <c r="V2430" i="60"/>
  <c r="W2430" i="60" s="1"/>
  <c r="V2429" i="60"/>
  <c r="W2429" i="60" s="1"/>
  <c r="V2428" i="60"/>
  <c r="W2428" i="60" s="1"/>
  <c r="V2427" i="60"/>
  <c r="W2427" i="60" s="1"/>
  <c r="V2426" i="60"/>
  <c r="W2426" i="60" s="1"/>
  <c r="V2425" i="60"/>
  <c r="W2425" i="60" s="1"/>
  <c r="V2424" i="60"/>
  <c r="W2424" i="60" s="1"/>
  <c r="V2423" i="60"/>
  <c r="W2423" i="60" s="1"/>
  <c r="V2422" i="60"/>
  <c r="W2422" i="60" s="1"/>
  <c r="V2421" i="60"/>
  <c r="W2421" i="60" s="1"/>
  <c r="V2420" i="60"/>
  <c r="W2420" i="60" s="1"/>
  <c r="V2419" i="60"/>
  <c r="W2419" i="60" s="1"/>
  <c r="V2418" i="60"/>
  <c r="W2418" i="60" s="1"/>
  <c r="V2417" i="60"/>
  <c r="W2417" i="60" s="1"/>
  <c r="V2416" i="60"/>
  <c r="W2416" i="60" s="1"/>
  <c r="V2415" i="60"/>
  <c r="W2415" i="60" s="1"/>
  <c r="V2414" i="60"/>
  <c r="W2414" i="60" s="1"/>
  <c r="V2413" i="60"/>
  <c r="W2413" i="60" s="1"/>
  <c r="V2412" i="60"/>
  <c r="W2412" i="60" s="1"/>
  <c r="V2411" i="60"/>
  <c r="W2411" i="60" s="1"/>
  <c r="V2410" i="60"/>
  <c r="W2410" i="60" s="1"/>
  <c r="V2409" i="60"/>
  <c r="W2409" i="60" s="1"/>
  <c r="V2408" i="60"/>
  <c r="W2408" i="60" s="1"/>
  <c r="V2407" i="60"/>
  <c r="W2407" i="60" s="1"/>
  <c r="V2406" i="60"/>
  <c r="W2406" i="60" s="1"/>
  <c r="V2405" i="60"/>
  <c r="W2405" i="60" s="1"/>
  <c r="V2404" i="60"/>
  <c r="W2404" i="60" s="1"/>
  <c r="V2403" i="60"/>
  <c r="W2403" i="60" s="1"/>
  <c r="V2402" i="60"/>
  <c r="W2402" i="60" s="1"/>
  <c r="V2401" i="60"/>
  <c r="W2401" i="60" s="1"/>
  <c r="V2400" i="60"/>
  <c r="W2400" i="60" s="1"/>
  <c r="V2399" i="60"/>
  <c r="W2399" i="60" s="1"/>
  <c r="V2398" i="60"/>
  <c r="W2398" i="60" s="1"/>
  <c r="V2397" i="60"/>
  <c r="W2397" i="60" s="1"/>
  <c r="V2396" i="60"/>
  <c r="W2396" i="60" s="1"/>
  <c r="V2395" i="60"/>
  <c r="W2395" i="60" s="1"/>
  <c r="V2394" i="60"/>
  <c r="W2394" i="60" s="1"/>
  <c r="V2393" i="60"/>
  <c r="W2393" i="60" s="1"/>
  <c r="V2392" i="60"/>
  <c r="W2392" i="60" s="1"/>
  <c r="V2391" i="60"/>
  <c r="W2391" i="60" s="1"/>
  <c r="V2390" i="60"/>
  <c r="W2390" i="60" s="1"/>
  <c r="V2389" i="60"/>
  <c r="W2389" i="60" s="1"/>
  <c r="V2388" i="60"/>
  <c r="W2388" i="60" s="1"/>
  <c r="V2387" i="60"/>
  <c r="W2387" i="60" s="1"/>
  <c r="V2386" i="60"/>
  <c r="W2386" i="60" s="1"/>
  <c r="V2385" i="60"/>
  <c r="W2385" i="60" s="1"/>
  <c r="V2384" i="60"/>
  <c r="W2384" i="60" s="1"/>
  <c r="V2383" i="60"/>
  <c r="W2383" i="60" s="1"/>
  <c r="V2382" i="60"/>
  <c r="W2382" i="60" s="1"/>
  <c r="V2381" i="60"/>
  <c r="W2381" i="60" s="1"/>
  <c r="V2380" i="60"/>
  <c r="W2380" i="60" s="1"/>
  <c r="V2379" i="60"/>
  <c r="W2379" i="60" s="1"/>
  <c r="V2378" i="60"/>
  <c r="W2378" i="60" s="1"/>
  <c r="V2377" i="60"/>
  <c r="W2377" i="60" s="1"/>
  <c r="V2376" i="60"/>
  <c r="W2376" i="60" s="1"/>
  <c r="V2375" i="60"/>
  <c r="W2375" i="60" s="1"/>
  <c r="V2374" i="60"/>
  <c r="W2374" i="60" s="1"/>
  <c r="V2373" i="60"/>
  <c r="W2373" i="60" s="1"/>
  <c r="V2372" i="60"/>
  <c r="W2372" i="60" s="1"/>
  <c r="V2371" i="60"/>
  <c r="W2371" i="60" s="1"/>
  <c r="V2370" i="60"/>
  <c r="W2370" i="60" s="1"/>
  <c r="V2369" i="60"/>
  <c r="W2369" i="60" s="1"/>
  <c r="V2368" i="60"/>
  <c r="W2368" i="60" s="1"/>
  <c r="V2367" i="60"/>
  <c r="W2367" i="60" s="1"/>
  <c r="V2366" i="60"/>
  <c r="W2366" i="60" s="1"/>
  <c r="V2365" i="60"/>
  <c r="W2365" i="60" s="1"/>
  <c r="V2364" i="60"/>
  <c r="W2364" i="60" s="1"/>
  <c r="V2363" i="60"/>
  <c r="W2363" i="60" s="1"/>
  <c r="V2362" i="60"/>
  <c r="W2362" i="60" s="1"/>
  <c r="V2361" i="60"/>
  <c r="W2361" i="60" s="1"/>
  <c r="V2360" i="60"/>
  <c r="W2360" i="60" s="1"/>
  <c r="V2359" i="60"/>
  <c r="W2359" i="60" s="1"/>
  <c r="V2358" i="60"/>
  <c r="W2358" i="60" s="1"/>
  <c r="V2357" i="60"/>
  <c r="W2357" i="60" s="1"/>
  <c r="V2356" i="60"/>
  <c r="W2356" i="60" s="1"/>
  <c r="V2355" i="60"/>
  <c r="W2355" i="60" s="1"/>
  <c r="V2354" i="60"/>
  <c r="W2354" i="60" s="1"/>
  <c r="V2353" i="60"/>
  <c r="W2353" i="60" s="1"/>
  <c r="V2352" i="60"/>
  <c r="W2352" i="60" s="1"/>
  <c r="V2351" i="60"/>
  <c r="W2351" i="60" s="1"/>
  <c r="V2350" i="60"/>
  <c r="W2350" i="60" s="1"/>
  <c r="V2349" i="60"/>
  <c r="W2349" i="60" s="1"/>
  <c r="V2348" i="60"/>
  <c r="W2348" i="60" s="1"/>
  <c r="V2347" i="60"/>
  <c r="W2347" i="60" s="1"/>
  <c r="V2346" i="60"/>
  <c r="W2346" i="60" s="1"/>
  <c r="V2345" i="60"/>
  <c r="W2345" i="60" s="1"/>
  <c r="V2344" i="60"/>
  <c r="W2344" i="60" s="1"/>
  <c r="V2343" i="60"/>
  <c r="W2343" i="60" s="1"/>
  <c r="V2342" i="60"/>
  <c r="W2342" i="60" s="1"/>
  <c r="V2341" i="60"/>
  <c r="W2341" i="60" s="1"/>
  <c r="V2340" i="60"/>
  <c r="W2340" i="60" s="1"/>
  <c r="V2339" i="60"/>
  <c r="W2339" i="60" s="1"/>
  <c r="V2338" i="60"/>
  <c r="W2338" i="60" s="1"/>
  <c r="V2337" i="60"/>
  <c r="W2337" i="60" s="1"/>
  <c r="V2336" i="60"/>
  <c r="W2336" i="60" s="1"/>
  <c r="V2335" i="60"/>
  <c r="W2335" i="60" s="1"/>
  <c r="V2334" i="60"/>
  <c r="W2334" i="60" s="1"/>
  <c r="V2333" i="60"/>
  <c r="W2333" i="60" s="1"/>
  <c r="W2332" i="60"/>
  <c r="V2332" i="60"/>
  <c r="V2331" i="60"/>
  <c r="W2331" i="60" s="1"/>
  <c r="V2330" i="60"/>
  <c r="W2330" i="60" s="1"/>
  <c r="V2329" i="60"/>
  <c r="W2329" i="60" s="1"/>
  <c r="V2328" i="60"/>
  <c r="W2328" i="60" s="1"/>
  <c r="V2327" i="60"/>
  <c r="W2327" i="60" s="1"/>
  <c r="V2326" i="60"/>
  <c r="W2326" i="60" s="1"/>
  <c r="V2325" i="60"/>
  <c r="W2325" i="60" s="1"/>
  <c r="V2324" i="60"/>
  <c r="W2324" i="60" s="1"/>
  <c r="V2323" i="60"/>
  <c r="W2323" i="60" s="1"/>
  <c r="V2322" i="60"/>
  <c r="W2322" i="60" s="1"/>
  <c r="V2321" i="60"/>
  <c r="W2321" i="60" s="1"/>
  <c r="V2320" i="60"/>
  <c r="W2320" i="60" s="1"/>
  <c r="V2319" i="60"/>
  <c r="W2319" i="60" s="1"/>
  <c r="V2318" i="60"/>
  <c r="W2318" i="60" s="1"/>
  <c r="V2317" i="60"/>
  <c r="W2317" i="60" s="1"/>
  <c r="V2316" i="60"/>
  <c r="W2316" i="60" s="1"/>
  <c r="V2315" i="60"/>
  <c r="W2315" i="60" s="1"/>
  <c r="V2314" i="60"/>
  <c r="W2314" i="60" s="1"/>
  <c r="V2313" i="60"/>
  <c r="W2313" i="60" s="1"/>
  <c r="V2312" i="60"/>
  <c r="W2312" i="60" s="1"/>
  <c r="V2311" i="60"/>
  <c r="W2311" i="60" s="1"/>
  <c r="V2310" i="60"/>
  <c r="W2310" i="60" s="1"/>
  <c r="V2309" i="60"/>
  <c r="W2309" i="60" s="1"/>
  <c r="V2308" i="60"/>
  <c r="W2308" i="60" s="1"/>
  <c r="V2307" i="60"/>
  <c r="W2307" i="60" s="1"/>
  <c r="V2306" i="60"/>
  <c r="W2306" i="60" s="1"/>
  <c r="V2305" i="60"/>
  <c r="W2305" i="60" s="1"/>
  <c r="V2304" i="60"/>
  <c r="W2304" i="60" s="1"/>
  <c r="V2303" i="60"/>
  <c r="W2303" i="60" s="1"/>
  <c r="V2302" i="60"/>
  <c r="W2302" i="60" s="1"/>
  <c r="V2301" i="60"/>
  <c r="W2301" i="60" s="1"/>
  <c r="V2300" i="60"/>
  <c r="W2300" i="60" s="1"/>
  <c r="V2299" i="60"/>
  <c r="W2299" i="60" s="1"/>
  <c r="V2298" i="60"/>
  <c r="W2298" i="60" s="1"/>
  <c r="V2297" i="60"/>
  <c r="W2297" i="60" s="1"/>
  <c r="V2296" i="60"/>
  <c r="W2296" i="60" s="1"/>
  <c r="V2295" i="60"/>
  <c r="W2295" i="60" s="1"/>
  <c r="V2294" i="60"/>
  <c r="W2294" i="60" s="1"/>
  <c r="V2293" i="60"/>
  <c r="W2293" i="60" s="1"/>
  <c r="V2292" i="60"/>
  <c r="W2292" i="60" s="1"/>
  <c r="V2291" i="60"/>
  <c r="W2291" i="60" s="1"/>
  <c r="V2290" i="60"/>
  <c r="W2290" i="60" s="1"/>
  <c r="V2289" i="60"/>
  <c r="W2289" i="60" s="1"/>
  <c r="V2288" i="60"/>
  <c r="W2288" i="60" s="1"/>
  <c r="V2287" i="60"/>
  <c r="W2287" i="60" s="1"/>
  <c r="V2286" i="60"/>
  <c r="W2286" i="60" s="1"/>
  <c r="V2285" i="60"/>
  <c r="W2285" i="60" s="1"/>
  <c r="V2284" i="60"/>
  <c r="W2284" i="60" s="1"/>
  <c r="V2283" i="60"/>
  <c r="W2283" i="60" s="1"/>
  <c r="V2282" i="60"/>
  <c r="W2282" i="60" s="1"/>
  <c r="V2281" i="60"/>
  <c r="W2281" i="60" s="1"/>
  <c r="V2280" i="60"/>
  <c r="W2280" i="60" s="1"/>
  <c r="V2279" i="60"/>
  <c r="W2279" i="60" s="1"/>
  <c r="V2278" i="60"/>
  <c r="W2278" i="60" s="1"/>
  <c r="V2277" i="60"/>
  <c r="W2277" i="60" s="1"/>
  <c r="V2276" i="60"/>
  <c r="W2276" i="60" s="1"/>
  <c r="V2275" i="60"/>
  <c r="W2275" i="60" s="1"/>
  <c r="V2274" i="60"/>
  <c r="W2274" i="60" s="1"/>
  <c r="V2273" i="60"/>
  <c r="W2273" i="60" s="1"/>
  <c r="V2272" i="60"/>
  <c r="W2272" i="60" s="1"/>
  <c r="V2271" i="60"/>
  <c r="W2271" i="60" s="1"/>
  <c r="V2270" i="60"/>
  <c r="W2270" i="60" s="1"/>
  <c r="V2269" i="60"/>
  <c r="W2269" i="60" s="1"/>
  <c r="V2268" i="60"/>
  <c r="W2268" i="60" s="1"/>
  <c r="V2267" i="60"/>
  <c r="W2267" i="60" s="1"/>
  <c r="V2266" i="60"/>
  <c r="W2266" i="60" s="1"/>
  <c r="V2265" i="60"/>
  <c r="W2265" i="60" s="1"/>
  <c r="V2264" i="60"/>
  <c r="W2264" i="60" s="1"/>
  <c r="V2263" i="60"/>
  <c r="W2263" i="60" s="1"/>
  <c r="V2262" i="60"/>
  <c r="W2262" i="60" s="1"/>
  <c r="V2261" i="60"/>
  <c r="W2261" i="60" s="1"/>
  <c r="V2260" i="60"/>
  <c r="W2260" i="60" s="1"/>
  <c r="V2259" i="60"/>
  <c r="W2259" i="60" s="1"/>
  <c r="V2258" i="60"/>
  <c r="W2258" i="60" s="1"/>
  <c r="V2257" i="60"/>
  <c r="W2257" i="60" s="1"/>
  <c r="V2256" i="60"/>
  <c r="W2256" i="60" s="1"/>
  <c r="V2255" i="60"/>
  <c r="W2255" i="60" s="1"/>
  <c r="V2254" i="60"/>
  <c r="W2254" i="60" s="1"/>
  <c r="V2253" i="60"/>
  <c r="W2253" i="60" s="1"/>
  <c r="V2252" i="60"/>
  <c r="W2252" i="60" s="1"/>
  <c r="V2251" i="60"/>
  <c r="W2251" i="60" s="1"/>
  <c r="V2250" i="60"/>
  <c r="W2250" i="60" s="1"/>
  <c r="V2249" i="60"/>
  <c r="W2249" i="60" s="1"/>
  <c r="V2248" i="60"/>
  <c r="W2248" i="60" s="1"/>
  <c r="V2247" i="60"/>
  <c r="W2247" i="60" s="1"/>
  <c r="V2246" i="60"/>
  <c r="W2246" i="60" s="1"/>
  <c r="V2245" i="60"/>
  <c r="W2245" i="60" s="1"/>
  <c r="V2244" i="60"/>
  <c r="W2244" i="60" s="1"/>
  <c r="V2243" i="60"/>
  <c r="W2243" i="60" s="1"/>
  <c r="V2242" i="60"/>
  <c r="W2242" i="60" s="1"/>
  <c r="V2241" i="60"/>
  <c r="W2241" i="60" s="1"/>
  <c r="V2240" i="60"/>
  <c r="W2240" i="60" s="1"/>
  <c r="V2239" i="60"/>
  <c r="W2239" i="60" s="1"/>
  <c r="V2238" i="60"/>
  <c r="W2238" i="60" s="1"/>
  <c r="V2237" i="60"/>
  <c r="W2237" i="60" s="1"/>
  <c r="V2236" i="60"/>
  <c r="W2236" i="60" s="1"/>
  <c r="V2235" i="60"/>
  <c r="W2235" i="60" s="1"/>
  <c r="V2234" i="60"/>
  <c r="W2234" i="60" s="1"/>
  <c r="V2233" i="60"/>
  <c r="W2233" i="60" s="1"/>
  <c r="V2232" i="60"/>
  <c r="W2232" i="60" s="1"/>
  <c r="V2231" i="60"/>
  <c r="W2231" i="60" s="1"/>
  <c r="V2230" i="60"/>
  <c r="W2230" i="60" s="1"/>
  <c r="V2229" i="60"/>
  <c r="W2229" i="60" s="1"/>
  <c r="V2228" i="60"/>
  <c r="W2228" i="60" s="1"/>
  <c r="V2227" i="60"/>
  <c r="W2227" i="60" s="1"/>
  <c r="V2226" i="60"/>
  <c r="W2226" i="60" s="1"/>
  <c r="V2225" i="60"/>
  <c r="W2225" i="60" s="1"/>
  <c r="V2224" i="60"/>
  <c r="W2224" i="60" s="1"/>
  <c r="V2223" i="60"/>
  <c r="W2223" i="60" s="1"/>
  <c r="V2222" i="60"/>
  <c r="W2222" i="60" s="1"/>
  <c r="V2221" i="60"/>
  <c r="W2221" i="60" s="1"/>
  <c r="V2220" i="60"/>
  <c r="W2220" i="60" s="1"/>
  <c r="V2219" i="60"/>
  <c r="W2219" i="60" s="1"/>
  <c r="V2218" i="60"/>
  <c r="W2218" i="60" s="1"/>
  <c r="V2217" i="60"/>
  <c r="W2217" i="60" s="1"/>
  <c r="V2216" i="60"/>
  <c r="W2216" i="60" s="1"/>
  <c r="V2215" i="60"/>
  <c r="W2215" i="60" s="1"/>
  <c r="V2214" i="60"/>
  <c r="W2214" i="60" s="1"/>
  <c r="V2213" i="60"/>
  <c r="W2213" i="60" s="1"/>
  <c r="V2212" i="60"/>
  <c r="W2212" i="60" s="1"/>
  <c r="V2211" i="60"/>
  <c r="W2211" i="60" s="1"/>
  <c r="V2210" i="60"/>
  <c r="W2210" i="60" s="1"/>
  <c r="V2209" i="60"/>
  <c r="W2209" i="60" s="1"/>
  <c r="V2208" i="60"/>
  <c r="W2208" i="60" s="1"/>
  <c r="V2207" i="60"/>
  <c r="W2207" i="60" s="1"/>
  <c r="V2206" i="60"/>
  <c r="W2206" i="60" s="1"/>
  <c r="V2205" i="60"/>
  <c r="W2205" i="60" s="1"/>
  <c r="V2204" i="60"/>
  <c r="W2204" i="60" s="1"/>
  <c r="V2203" i="60"/>
  <c r="W2203" i="60" s="1"/>
  <c r="V2202" i="60"/>
  <c r="W2202" i="60" s="1"/>
  <c r="V2201" i="60"/>
  <c r="W2201" i="60" s="1"/>
  <c r="V2200" i="60"/>
  <c r="W2200" i="60" s="1"/>
  <c r="V2199" i="60"/>
  <c r="W2199" i="60" s="1"/>
  <c r="V2198" i="60"/>
  <c r="W2198" i="60" s="1"/>
  <c r="V2197" i="60"/>
  <c r="W2197" i="60" s="1"/>
  <c r="V2196" i="60"/>
  <c r="W2196" i="60" s="1"/>
  <c r="V2195" i="60"/>
  <c r="W2195" i="60" s="1"/>
  <c r="V2194" i="60"/>
  <c r="W2194" i="60" s="1"/>
  <c r="V2193" i="60"/>
  <c r="W2193" i="60" s="1"/>
  <c r="V2192" i="60"/>
  <c r="W2192" i="60" s="1"/>
  <c r="V2191" i="60"/>
  <c r="W2191" i="60" s="1"/>
  <c r="V2190" i="60"/>
  <c r="W2190" i="60" s="1"/>
  <c r="V2189" i="60"/>
  <c r="W2189" i="60" s="1"/>
  <c r="V2188" i="60"/>
  <c r="W2188" i="60" s="1"/>
  <c r="V2187" i="60"/>
  <c r="W2187" i="60" s="1"/>
  <c r="V2186" i="60"/>
  <c r="W2186" i="60" s="1"/>
  <c r="V2185" i="60"/>
  <c r="W2185" i="60" s="1"/>
  <c r="V2184" i="60"/>
  <c r="W2184" i="60" s="1"/>
  <c r="V2183" i="60"/>
  <c r="W2183" i="60" s="1"/>
  <c r="V2182" i="60"/>
  <c r="W2182" i="60" s="1"/>
  <c r="V2181" i="60"/>
  <c r="W2181" i="60" s="1"/>
  <c r="V2180" i="60"/>
  <c r="W2180" i="60" s="1"/>
  <c r="V2179" i="60"/>
  <c r="W2179" i="60" s="1"/>
  <c r="V2178" i="60"/>
  <c r="W2178" i="60" s="1"/>
  <c r="V2177" i="60"/>
  <c r="W2177" i="60" s="1"/>
  <c r="V2176" i="60"/>
  <c r="W2176" i="60" s="1"/>
  <c r="V2175" i="60"/>
  <c r="W2175" i="60" s="1"/>
  <c r="V2174" i="60"/>
  <c r="W2174" i="60" s="1"/>
  <c r="V2173" i="60"/>
  <c r="W2173" i="60" s="1"/>
  <c r="V2172" i="60"/>
  <c r="W2172" i="60" s="1"/>
  <c r="V2171" i="60"/>
  <c r="W2171" i="60" s="1"/>
  <c r="V2170" i="60"/>
  <c r="W2170" i="60" s="1"/>
  <c r="V2169" i="60"/>
  <c r="W2169" i="60" s="1"/>
  <c r="V2168" i="60"/>
  <c r="W2168" i="60" s="1"/>
  <c r="V2167" i="60"/>
  <c r="W2167" i="60" s="1"/>
  <c r="V2166" i="60"/>
  <c r="W2166" i="60" s="1"/>
  <c r="V2165" i="60"/>
  <c r="W2165" i="60" s="1"/>
  <c r="V2164" i="60"/>
  <c r="W2164" i="60" s="1"/>
  <c r="V2163" i="60"/>
  <c r="W2163" i="60" s="1"/>
  <c r="V2162" i="60"/>
  <c r="W2162" i="60" s="1"/>
  <c r="V2161" i="60"/>
  <c r="W2161" i="60" s="1"/>
  <c r="V2160" i="60"/>
  <c r="W2160" i="60" s="1"/>
  <c r="V2159" i="60"/>
  <c r="W2159" i="60" s="1"/>
  <c r="V2158" i="60"/>
  <c r="W2158" i="60" s="1"/>
  <c r="V2157" i="60"/>
  <c r="W2157" i="60" s="1"/>
  <c r="V2156" i="60"/>
  <c r="W2156" i="60" s="1"/>
  <c r="V2155" i="60"/>
  <c r="W2155" i="60" s="1"/>
  <c r="V2154" i="60"/>
  <c r="W2154" i="60" s="1"/>
  <c r="V2153" i="60"/>
  <c r="W2153" i="60" s="1"/>
  <c r="V2152" i="60"/>
  <c r="W2152" i="60" s="1"/>
  <c r="V2151" i="60"/>
  <c r="W2151" i="60" s="1"/>
  <c r="V2150" i="60"/>
  <c r="W2150" i="60" s="1"/>
  <c r="V2149" i="60"/>
  <c r="W2149" i="60" s="1"/>
  <c r="V2148" i="60"/>
  <c r="W2148" i="60" s="1"/>
  <c r="V2147" i="60"/>
  <c r="W2147" i="60" s="1"/>
  <c r="V2146" i="60"/>
  <c r="W2146" i="60" s="1"/>
  <c r="V2145" i="60"/>
  <c r="W2145" i="60" s="1"/>
  <c r="V2144" i="60"/>
  <c r="W2144" i="60" s="1"/>
  <c r="V2143" i="60"/>
  <c r="W2143" i="60" s="1"/>
  <c r="V2142" i="60"/>
  <c r="W2142" i="60" s="1"/>
  <c r="V2141" i="60"/>
  <c r="W2141" i="60" s="1"/>
  <c r="V2140" i="60"/>
  <c r="W2140" i="60" s="1"/>
  <c r="V2139" i="60"/>
  <c r="W2139" i="60" s="1"/>
  <c r="V2138" i="60"/>
  <c r="W2138" i="60" s="1"/>
  <c r="V2137" i="60"/>
  <c r="W2137" i="60" s="1"/>
  <c r="V2136" i="60"/>
  <c r="W2136" i="60" s="1"/>
  <c r="V2135" i="60"/>
  <c r="W2135" i="60" s="1"/>
  <c r="V2134" i="60"/>
  <c r="W2134" i="60" s="1"/>
  <c r="V2133" i="60"/>
  <c r="W2133" i="60" s="1"/>
  <c r="V2132" i="60"/>
  <c r="W2132" i="60" s="1"/>
  <c r="V2131" i="60"/>
  <c r="W2131" i="60" s="1"/>
  <c r="V2130" i="60"/>
  <c r="W2130" i="60" s="1"/>
  <c r="V2129" i="60"/>
  <c r="W2129" i="60" s="1"/>
  <c r="V2128" i="60"/>
  <c r="W2128" i="60" s="1"/>
  <c r="V2127" i="60"/>
  <c r="W2127" i="60" s="1"/>
  <c r="V2126" i="60"/>
  <c r="W2126" i="60" s="1"/>
  <c r="V2125" i="60"/>
  <c r="W2125" i="60" s="1"/>
  <c r="V2124" i="60"/>
  <c r="W2124" i="60" s="1"/>
  <c r="V2123" i="60"/>
  <c r="W2123" i="60" s="1"/>
  <c r="V2122" i="60"/>
  <c r="W2122" i="60" s="1"/>
  <c r="V2121" i="60"/>
  <c r="W2121" i="60" s="1"/>
  <c r="V2120" i="60"/>
  <c r="W2120" i="60" s="1"/>
  <c r="V2119" i="60"/>
  <c r="W2119" i="60" s="1"/>
  <c r="V2118" i="60"/>
  <c r="W2118" i="60" s="1"/>
  <c r="V2117" i="60"/>
  <c r="W2117" i="60" s="1"/>
  <c r="V2116" i="60"/>
  <c r="W2116" i="60" s="1"/>
  <c r="V2115" i="60"/>
  <c r="W2115" i="60" s="1"/>
  <c r="V2114" i="60"/>
  <c r="W2114" i="60" s="1"/>
  <c r="V2113" i="60"/>
  <c r="W2113" i="60" s="1"/>
  <c r="V2112" i="60"/>
  <c r="W2112" i="60" s="1"/>
  <c r="V2111" i="60"/>
  <c r="W2111" i="60" s="1"/>
  <c r="V2110" i="60"/>
  <c r="W2110" i="60" s="1"/>
  <c r="V2109" i="60"/>
  <c r="W2109" i="60" s="1"/>
  <c r="V2108" i="60"/>
  <c r="W2108" i="60" s="1"/>
  <c r="V2107" i="60"/>
  <c r="W2107" i="60" s="1"/>
  <c r="V2106" i="60"/>
  <c r="W2106" i="60" s="1"/>
  <c r="V2105" i="60"/>
  <c r="W2105" i="60" s="1"/>
  <c r="V2104" i="60"/>
  <c r="W2104" i="60" s="1"/>
  <c r="V2103" i="60"/>
  <c r="W2103" i="60" s="1"/>
  <c r="V2102" i="60"/>
  <c r="W2102" i="60" s="1"/>
  <c r="V2101" i="60"/>
  <c r="W2101" i="60" s="1"/>
  <c r="V2100" i="60"/>
  <c r="W2100" i="60" s="1"/>
  <c r="V2099" i="60"/>
  <c r="W2099" i="60" s="1"/>
  <c r="V2098" i="60"/>
  <c r="W2098" i="60" s="1"/>
  <c r="V2097" i="60"/>
  <c r="W2097" i="60" s="1"/>
  <c r="V2096" i="60"/>
  <c r="W2096" i="60" s="1"/>
  <c r="V2095" i="60"/>
  <c r="W2095" i="60" s="1"/>
  <c r="V2094" i="60"/>
  <c r="W2094" i="60" s="1"/>
  <c r="V2093" i="60"/>
  <c r="W2093" i="60" s="1"/>
  <c r="V2092" i="60"/>
  <c r="W2092" i="60" s="1"/>
  <c r="V2091" i="60"/>
  <c r="W2091" i="60" s="1"/>
  <c r="V2090" i="60"/>
  <c r="W2090" i="60" s="1"/>
  <c r="V2089" i="60"/>
  <c r="W2089" i="60" s="1"/>
  <c r="V2088" i="60"/>
  <c r="W2088" i="60" s="1"/>
  <c r="V2087" i="60"/>
  <c r="W2087" i="60" s="1"/>
  <c r="V2086" i="60"/>
  <c r="W2086" i="60" s="1"/>
  <c r="V2085" i="60"/>
  <c r="W2085" i="60" s="1"/>
  <c r="V2084" i="60"/>
  <c r="W2084" i="60" s="1"/>
  <c r="V2083" i="60"/>
  <c r="W2083" i="60" s="1"/>
  <c r="V2082" i="60"/>
  <c r="W2082" i="60" s="1"/>
  <c r="V2081" i="60"/>
  <c r="W2081" i="60" s="1"/>
  <c r="V2080" i="60"/>
  <c r="W2080" i="60" s="1"/>
  <c r="V2079" i="60"/>
  <c r="W2079" i="60" s="1"/>
  <c r="V2078" i="60"/>
  <c r="W2078" i="60" s="1"/>
  <c r="V2077" i="60"/>
  <c r="W2077" i="60" s="1"/>
  <c r="V2076" i="60"/>
  <c r="W2076" i="60" s="1"/>
  <c r="V2075" i="60"/>
  <c r="W2075" i="60" s="1"/>
  <c r="V2074" i="60"/>
  <c r="W2074" i="60" s="1"/>
  <c r="V2073" i="60"/>
  <c r="W2073" i="60" s="1"/>
  <c r="V2072" i="60"/>
  <c r="W2072" i="60" s="1"/>
  <c r="V2071" i="60"/>
  <c r="W2071" i="60" s="1"/>
  <c r="V2070" i="60"/>
  <c r="W2070" i="60" s="1"/>
  <c r="V2069" i="60"/>
  <c r="W2069" i="60" s="1"/>
  <c r="V2068" i="60"/>
  <c r="W2068" i="60" s="1"/>
  <c r="V2067" i="60"/>
  <c r="W2067" i="60" s="1"/>
  <c r="V2066" i="60"/>
  <c r="W2066" i="60" s="1"/>
  <c r="V2065" i="60"/>
  <c r="W2065" i="60" s="1"/>
  <c r="V2064" i="60"/>
  <c r="W2064" i="60" s="1"/>
  <c r="V2063" i="60"/>
  <c r="W2063" i="60" s="1"/>
  <c r="V2062" i="60"/>
  <c r="W2062" i="60" s="1"/>
  <c r="V2061" i="60"/>
  <c r="W2061" i="60" s="1"/>
  <c r="V2060" i="60"/>
  <c r="W2060" i="60" s="1"/>
  <c r="V2059" i="60"/>
  <c r="W2059" i="60" s="1"/>
  <c r="V2058" i="60"/>
  <c r="W2058" i="60" s="1"/>
  <c r="V2057" i="60"/>
  <c r="W2057" i="60" s="1"/>
  <c r="V2056" i="60"/>
  <c r="W2056" i="60" s="1"/>
  <c r="V2055" i="60"/>
  <c r="W2055" i="60" s="1"/>
  <c r="V2054" i="60"/>
  <c r="W2054" i="60" s="1"/>
  <c r="V2053" i="60"/>
  <c r="W2053" i="60" s="1"/>
  <c r="V2052" i="60"/>
  <c r="W2052" i="60" s="1"/>
  <c r="V2051" i="60"/>
  <c r="W2051" i="60" s="1"/>
  <c r="V2050" i="60"/>
  <c r="W2050" i="60" s="1"/>
  <c r="V2049" i="60"/>
  <c r="W2049" i="60" s="1"/>
  <c r="V2048" i="60"/>
  <c r="W2048" i="60" s="1"/>
  <c r="V2047" i="60"/>
  <c r="W2047" i="60" s="1"/>
  <c r="V2046" i="60"/>
  <c r="W2046" i="60" s="1"/>
  <c r="V2045" i="60"/>
  <c r="W2045" i="60" s="1"/>
  <c r="V2044" i="60"/>
  <c r="W2044" i="60" s="1"/>
  <c r="V2043" i="60"/>
  <c r="W2043" i="60" s="1"/>
  <c r="V2042" i="60"/>
  <c r="W2042" i="60" s="1"/>
  <c r="V2041" i="60"/>
  <c r="W2041" i="60" s="1"/>
  <c r="V2040" i="60"/>
  <c r="W2040" i="60" s="1"/>
  <c r="V2039" i="60"/>
  <c r="W2039" i="60" s="1"/>
  <c r="V2038" i="60"/>
  <c r="W2038" i="60" s="1"/>
  <c r="V2037" i="60"/>
  <c r="W2037" i="60" s="1"/>
  <c r="V2036" i="60"/>
  <c r="W2036" i="60" s="1"/>
  <c r="V2035" i="60"/>
  <c r="W2035" i="60" s="1"/>
  <c r="V2034" i="60"/>
  <c r="W2034" i="60" s="1"/>
  <c r="V2033" i="60"/>
  <c r="W2033" i="60" s="1"/>
  <c r="V2032" i="60"/>
  <c r="W2032" i="60" s="1"/>
  <c r="V2031" i="60"/>
  <c r="W2031" i="60" s="1"/>
  <c r="V2030" i="60"/>
  <c r="W2030" i="60" s="1"/>
  <c r="V2029" i="60"/>
  <c r="W2029" i="60" s="1"/>
  <c r="V2028" i="60"/>
  <c r="W2028" i="60" s="1"/>
  <c r="V2027" i="60"/>
  <c r="W2027" i="60" s="1"/>
  <c r="V2026" i="60"/>
  <c r="W2026" i="60" s="1"/>
  <c r="V2025" i="60"/>
  <c r="W2025" i="60" s="1"/>
  <c r="V2024" i="60"/>
  <c r="W2024" i="60" s="1"/>
  <c r="V2023" i="60"/>
  <c r="W2023" i="60" s="1"/>
  <c r="V2022" i="60"/>
  <c r="W2022" i="60" s="1"/>
  <c r="V2021" i="60"/>
  <c r="W2021" i="60" s="1"/>
  <c r="V2020" i="60"/>
  <c r="W2020" i="60" s="1"/>
  <c r="V2019" i="60"/>
  <c r="W2019" i="60" s="1"/>
  <c r="V2018" i="60"/>
  <c r="W2018" i="60" s="1"/>
  <c r="V2017" i="60"/>
  <c r="W2017" i="60" s="1"/>
  <c r="V2016" i="60"/>
  <c r="W2016" i="60" s="1"/>
  <c r="V2015" i="60"/>
  <c r="W2015" i="60" s="1"/>
  <c r="V2014" i="60"/>
  <c r="W2014" i="60" s="1"/>
  <c r="V2013" i="60"/>
  <c r="W2013" i="60" s="1"/>
  <c r="V2012" i="60"/>
  <c r="W2012" i="60" s="1"/>
  <c r="V2011" i="60"/>
  <c r="W2011" i="60" s="1"/>
  <c r="V2010" i="60"/>
  <c r="W2010" i="60" s="1"/>
  <c r="V2009" i="60"/>
  <c r="W2009" i="60" s="1"/>
  <c r="V2008" i="60"/>
  <c r="W2008" i="60" s="1"/>
  <c r="V2007" i="60"/>
  <c r="W2007" i="60" s="1"/>
  <c r="V2006" i="60"/>
  <c r="W2006" i="60" s="1"/>
  <c r="V2005" i="60"/>
  <c r="W2005" i="60" s="1"/>
  <c r="V2004" i="60"/>
  <c r="W2004" i="60" s="1"/>
  <c r="V2003" i="60"/>
  <c r="W2003" i="60" s="1"/>
  <c r="V2002" i="60"/>
  <c r="W2002" i="60" s="1"/>
  <c r="V2001" i="60"/>
  <c r="W2001" i="60" s="1"/>
  <c r="V2000" i="60"/>
  <c r="W2000" i="60" s="1"/>
  <c r="V1999" i="60"/>
  <c r="W1999" i="60" s="1"/>
  <c r="V1998" i="60"/>
  <c r="W1998" i="60" s="1"/>
  <c r="V1997" i="60"/>
  <c r="W1997" i="60" s="1"/>
  <c r="V1996" i="60"/>
  <c r="W1996" i="60" s="1"/>
  <c r="V1995" i="60"/>
  <c r="W1995" i="60" s="1"/>
  <c r="V1994" i="60"/>
  <c r="W1994" i="60" s="1"/>
  <c r="V1993" i="60"/>
  <c r="W1993" i="60" s="1"/>
  <c r="V1992" i="60"/>
  <c r="W1992" i="60" s="1"/>
  <c r="V1991" i="60"/>
  <c r="W1991" i="60" s="1"/>
  <c r="V1990" i="60"/>
  <c r="W1990" i="60" s="1"/>
  <c r="V1989" i="60"/>
  <c r="W1989" i="60" s="1"/>
  <c r="V1988" i="60"/>
  <c r="W1988" i="60" s="1"/>
  <c r="V1987" i="60"/>
  <c r="W1987" i="60" s="1"/>
  <c r="V1986" i="60"/>
  <c r="W1986" i="60" s="1"/>
  <c r="V1985" i="60"/>
  <c r="W1985" i="60" s="1"/>
  <c r="V1984" i="60"/>
  <c r="W1984" i="60" s="1"/>
  <c r="V1983" i="60"/>
  <c r="W1983" i="60" s="1"/>
  <c r="V1982" i="60"/>
  <c r="W1982" i="60" s="1"/>
  <c r="V1981" i="60"/>
  <c r="W1981" i="60" s="1"/>
  <c r="V1980" i="60"/>
  <c r="W1980" i="60" s="1"/>
  <c r="V1979" i="60"/>
  <c r="W1979" i="60" s="1"/>
  <c r="V1978" i="60"/>
  <c r="W1978" i="60" s="1"/>
  <c r="V1977" i="60"/>
  <c r="W1977" i="60" s="1"/>
  <c r="V1976" i="60"/>
  <c r="W1976" i="60" s="1"/>
  <c r="V1975" i="60"/>
  <c r="W1975" i="60" s="1"/>
  <c r="V1974" i="60"/>
  <c r="W1974" i="60" s="1"/>
  <c r="V1973" i="60"/>
  <c r="W1973" i="60" s="1"/>
  <c r="V1972" i="60"/>
  <c r="W1972" i="60" s="1"/>
  <c r="V1971" i="60"/>
  <c r="W1971" i="60" s="1"/>
  <c r="V1970" i="60"/>
  <c r="W1970" i="60" s="1"/>
  <c r="V1969" i="60"/>
  <c r="W1969" i="60" s="1"/>
  <c r="V1968" i="60"/>
  <c r="W1968" i="60" s="1"/>
  <c r="V1967" i="60"/>
  <c r="W1967" i="60" s="1"/>
  <c r="V1966" i="60"/>
  <c r="W1966" i="60" s="1"/>
  <c r="V1965" i="60"/>
  <c r="W1965" i="60" s="1"/>
  <c r="V1964" i="60"/>
  <c r="W1964" i="60" s="1"/>
  <c r="V1963" i="60"/>
  <c r="W1963" i="60" s="1"/>
  <c r="V1962" i="60"/>
  <c r="W1962" i="60" s="1"/>
  <c r="V1961" i="60"/>
  <c r="W1961" i="60" s="1"/>
  <c r="V1960" i="60"/>
  <c r="W1960" i="60" s="1"/>
  <c r="V1959" i="60"/>
  <c r="W1959" i="60" s="1"/>
  <c r="V1958" i="60"/>
  <c r="W1958" i="60" s="1"/>
  <c r="V1957" i="60"/>
  <c r="W1957" i="60" s="1"/>
  <c r="V1956" i="60"/>
  <c r="W1956" i="60" s="1"/>
  <c r="V1955" i="60"/>
  <c r="W1955" i="60" s="1"/>
  <c r="V1954" i="60"/>
  <c r="W1954" i="60" s="1"/>
  <c r="V1953" i="60"/>
  <c r="W1953" i="60" s="1"/>
  <c r="V1952" i="60"/>
  <c r="W1952" i="60" s="1"/>
  <c r="V1951" i="60"/>
  <c r="W1951" i="60" s="1"/>
  <c r="V1950" i="60"/>
  <c r="W1950" i="60" s="1"/>
  <c r="V1949" i="60"/>
  <c r="W1949" i="60" s="1"/>
  <c r="V1948" i="60"/>
  <c r="W1948" i="60" s="1"/>
  <c r="V1947" i="60"/>
  <c r="W1947" i="60" s="1"/>
  <c r="V1946" i="60"/>
  <c r="W1946" i="60" s="1"/>
  <c r="V1945" i="60"/>
  <c r="W1945" i="60" s="1"/>
  <c r="V1944" i="60"/>
  <c r="W1944" i="60" s="1"/>
  <c r="V1943" i="60"/>
  <c r="W1943" i="60" s="1"/>
  <c r="V1942" i="60"/>
  <c r="W1942" i="60" s="1"/>
  <c r="V1941" i="60"/>
  <c r="W1941" i="60" s="1"/>
  <c r="V1940" i="60"/>
  <c r="W1940" i="60" s="1"/>
  <c r="V1939" i="60"/>
  <c r="W1939" i="60" s="1"/>
  <c r="V1938" i="60"/>
  <c r="W1938" i="60" s="1"/>
  <c r="V1937" i="60"/>
  <c r="W1937" i="60" s="1"/>
  <c r="V1936" i="60"/>
  <c r="W1936" i="60" s="1"/>
  <c r="V1935" i="60"/>
  <c r="W1935" i="60" s="1"/>
  <c r="V1934" i="60"/>
  <c r="W1934" i="60" s="1"/>
  <c r="V1933" i="60"/>
  <c r="W1933" i="60" s="1"/>
  <c r="V1932" i="60"/>
  <c r="W1932" i="60" s="1"/>
  <c r="V1931" i="60"/>
  <c r="W1931" i="60" s="1"/>
  <c r="V1930" i="60"/>
  <c r="W1930" i="60" s="1"/>
  <c r="V1929" i="60"/>
  <c r="W1929" i="60" s="1"/>
  <c r="V1928" i="60"/>
  <c r="W1928" i="60" s="1"/>
  <c r="V1927" i="60"/>
  <c r="W1927" i="60" s="1"/>
  <c r="V1926" i="60"/>
  <c r="W1926" i="60" s="1"/>
  <c r="V1925" i="60"/>
  <c r="W1925" i="60" s="1"/>
  <c r="V1924" i="60"/>
  <c r="W1924" i="60" s="1"/>
  <c r="V1923" i="60"/>
  <c r="W1923" i="60" s="1"/>
  <c r="V1922" i="60"/>
  <c r="W1922" i="60" s="1"/>
  <c r="V1921" i="60"/>
  <c r="W1921" i="60" s="1"/>
  <c r="V1920" i="60"/>
  <c r="W1920" i="60" s="1"/>
  <c r="V1919" i="60"/>
  <c r="W1919" i="60" s="1"/>
  <c r="V1918" i="60"/>
  <c r="W1918" i="60" s="1"/>
  <c r="V1917" i="60"/>
  <c r="W1917" i="60" s="1"/>
  <c r="V1916" i="60"/>
  <c r="W1916" i="60" s="1"/>
  <c r="V1915" i="60"/>
  <c r="W1915" i="60" s="1"/>
  <c r="V1914" i="60"/>
  <c r="W1914" i="60" s="1"/>
  <c r="V1913" i="60"/>
  <c r="W1913" i="60" s="1"/>
  <c r="V1912" i="60"/>
  <c r="W1912" i="60" s="1"/>
  <c r="V1911" i="60"/>
  <c r="W1911" i="60" s="1"/>
  <c r="V1910" i="60"/>
  <c r="W1910" i="60" s="1"/>
  <c r="V1909" i="60"/>
  <c r="W1909" i="60" s="1"/>
  <c r="V1908" i="60"/>
  <c r="W1908" i="60" s="1"/>
  <c r="V1907" i="60"/>
  <c r="W1907" i="60" s="1"/>
  <c r="V1906" i="60"/>
  <c r="W1906" i="60" s="1"/>
  <c r="V1905" i="60"/>
  <c r="W1905" i="60" s="1"/>
  <c r="V1904" i="60"/>
  <c r="W1904" i="60" s="1"/>
  <c r="V1903" i="60"/>
  <c r="W1903" i="60" s="1"/>
  <c r="V1902" i="60"/>
  <c r="W1902" i="60" s="1"/>
  <c r="V1901" i="60"/>
  <c r="W1901" i="60" s="1"/>
  <c r="V1900" i="60"/>
  <c r="W1900" i="60" s="1"/>
  <c r="V1899" i="60"/>
  <c r="W1899" i="60" s="1"/>
  <c r="V1898" i="60"/>
  <c r="W1898" i="60" s="1"/>
  <c r="V1897" i="60"/>
  <c r="W1897" i="60" s="1"/>
  <c r="V1896" i="60"/>
  <c r="W1896" i="60" s="1"/>
  <c r="V1895" i="60"/>
  <c r="W1895" i="60" s="1"/>
  <c r="V1894" i="60"/>
  <c r="W1894" i="60" s="1"/>
  <c r="V1893" i="60"/>
  <c r="W1893" i="60" s="1"/>
  <c r="V1892" i="60"/>
  <c r="W1892" i="60" s="1"/>
  <c r="V1891" i="60"/>
  <c r="W1891" i="60" s="1"/>
  <c r="V1890" i="60"/>
  <c r="W1890" i="60" s="1"/>
  <c r="V1889" i="60"/>
  <c r="W1889" i="60" s="1"/>
  <c r="V1888" i="60"/>
  <c r="W1888" i="60" s="1"/>
  <c r="V1887" i="60"/>
  <c r="W1887" i="60" s="1"/>
  <c r="V1886" i="60"/>
  <c r="W1886" i="60" s="1"/>
  <c r="V1885" i="60"/>
  <c r="W1885" i="60" s="1"/>
  <c r="V1884" i="60"/>
  <c r="W1884" i="60" s="1"/>
  <c r="V1883" i="60"/>
  <c r="W1883" i="60" s="1"/>
  <c r="V1882" i="60"/>
  <c r="W1882" i="60" s="1"/>
  <c r="V1881" i="60"/>
  <c r="W1881" i="60" s="1"/>
  <c r="V1880" i="60"/>
  <c r="W1880" i="60" s="1"/>
  <c r="V1879" i="60"/>
  <c r="W1879" i="60" s="1"/>
  <c r="V1878" i="60"/>
  <c r="W1878" i="60" s="1"/>
  <c r="V1877" i="60"/>
  <c r="W1877" i="60" s="1"/>
  <c r="V1876" i="60"/>
  <c r="W1876" i="60" s="1"/>
  <c r="V1875" i="60"/>
  <c r="W1875" i="60" s="1"/>
  <c r="V1874" i="60"/>
  <c r="W1874" i="60" s="1"/>
  <c r="V1873" i="60"/>
  <c r="W1873" i="60" s="1"/>
  <c r="V1872" i="60"/>
  <c r="W1872" i="60" s="1"/>
  <c r="V1871" i="60"/>
  <c r="W1871" i="60" s="1"/>
  <c r="V1870" i="60"/>
  <c r="W1870" i="60" s="1"/>
  <c r="V1869" i="60"/>
  <c r="W1869" i="60" s="1"/>
  <c r="V1868" i="60"/>
  <c r="W1868" i="60" s="1"/>
  <c r="V1867" i="60"/>
  <c r="W1867" i="60" s="1"/>
  <c r="V1866" i="60"/>
  <c r="W1866" i="60" s="1"/>
  <c r="V1865" i="60"/>
  <c r="W1865" i="60" s="1"/>
  <c r="V1864" i="60"/>
  <c r="W1864" i="60" s="1"/>
  <c r="V1863" i="60"/>
  <c r="W1863" i="60" s="1"/>
  <c r="V1862" i="60"/>
  <c r="W1862" i="60" s="1"/>
  <c r="V1861" i="60"/>
  <c r="W1861" i="60" s="1"/>
  <c r="V1860" i="60"/>
  <c r="W1860" i="60" s="1"/>
  <c r="V1859" i="60"/>
  <c r="W1859" i="60" s="1"/>
  <c r="V1858" i="60"/>
  <c r="W1858" i="60" s="1"/>
  <c r="V1857" i="60"/>
  <c r="W1857" i="60" s="1"/>
  <c r="V1856" i="60"/>
  <c r="W1856" i="60" s="1"/>
  <c r="V1855" i="60"/>
  <c r="W1855" i="60" s="1"/>
  <c r="V1854" i="60"/>
  <c r="W1854" i="60" s="1"/>
  <c r="V1853" i="60"/>
  <c r="W1853" i="60" s="1"/>
  <c r="V1852" i="60"/>
  <c r="W1852" i="60" s="1"/>
  <c r="V1851" i="60"/>
  <c r="W1851" i="60" s="1"/>
  <c r="V1850" i="60"/>
  <c r="W1850" i="60" s="1"/>
  <c r="V1849" i="60"/>
  <c r="W1849" i="60" s="1"/>
  <c r="V1848" i="60"/>
  <c r="W1848" i="60" s="1"/>
  <c r="V1847" i="60"/>
  <c r="W1847" i="60" s="1"/>
  <c r="V1846" i="60"/>
  <c r="W1846" i="60" s="1"/>
  <c r="V1845" i="60"/>
  <c r="W1845" i="60" s="1"/>
  <c r="V1844" i="60"/>
  <c r="W1844" i="60" s="1"/>
  <c r="V1843" i="60"/>
  <c r="W1843" i="60" s="1"/>
  <c r="V1842" i="60"/>
  <c r="W1842" i="60" s="1"/>
  <c r="V1841" i="60"/>
  <c r="W1841" i="60" s="1"/>
  <c r="V1840" i="60"/>
  <c r="W1840" i="60" s="1"/>
  <c r="V1839" i="60"/>
  <c r="W1839" i="60" s="1"/>
  <c r="V1838" i="60"/>
  <c r="W1838" i="60" s="1"/>
  <c r="V1837" i="60"/>
  <c r="W1837" i="60" s="1"/>
  <c r="V1836" i="60"/>
  <c r="W1836" i="60" s="1"/>
  <c r="V1835" i="60"/>
  <c r="W1835" i="60" s="1"/>
  <c r="V1834" i="60"/>
  <c r="W1834" i="60" s="1"/>
  <c r="V1833" i="60"/>
  <c r="W1833" i="60" s="1"/>
  <c r="V1832" i="60"/>
  <c r="W1832" i="60" s="1"/>
  <c r="V1831" i="60"/>
  <c r="W1831" i="60" s="1"/>
  <c r="V1830" i="60"/>
  <c r="W1830" i="60" s="1"/>
  <c r="V1829" i="60"/>
  <c r="W1829" i="60" s="1"/>
  <c r="V1828" i="60"/>
  <c r="W1828" i="60" s="1"/>
  <c r="V1827" i="60"/>
  <c r="W1827" i="60" s="1"/>
  <c r="V1826" i="60"/>
  <c r="W1826" i="60" s="1"/>
  <c r="V1825" i="60"/>
  <c r="W1825" i="60" s="1"/>
  <c r="V1824" i="60"/>
  <c r="W1824" i="60" s="1"/>
  <c r="V1823" i="60"/>
  <c r="W1823" i="60" s="1"/>
  <c r="V1822" i="60"/>
  <c r="W1822" i="60" s="1"/>
  <c r="V1821" i="60"/>
  <c r="W1821" i="60" s="1"/>
  <c r="V1820" i="60"/>
  <c r="W1820" i="60" s="1"/>
  <c r="V1819" i="60"/>
  <c r="W1819" i="60" s="1"/>
  <c r="V1818" i="60"/>
  <c r="W1818" i="60" s="1"/>
  <c r="V1817" i="60"/>
  <c r="W1817" i="60" s="1"/>
  <c r="V1816" i="60"/>
  <c r="W1816" i="60" s="1"/>
  <c r="V1815" i="60"/>
  <c r="W1815" i="60" s="1"/>
  <c r="V1814" i="60"/>
  <c r="W1814" i="60" s="1"/>
  <c r="V1813" i="60"/>
  <c r="W1813" i="60" s="1"/>
  <c r="V1812" i="60"/>
  <c r="W1812" i="60" s="1"/>
  <c r="V1811" i="60"/>
  <c r="W1811" i="60" s="1"/>
  <c r="V1810" i="60"/>
  <c r="W1810" i="60" s="1"/>
  <c r="V1809" i="60"/>
  <c r="W1809" i="60" s="1"/>
  <c r="V1808" i="60"/>
  <c r="W1808" i="60" s="1"/>
  <c r="V1807" i="60"/>
  <c r="W1807" i="60" s="1"/>
  <c r="V1806" i="60"/>
  <c r="W1806" i="60" s="1"/>
  <c r="V1805" i="60"/>
  <c r="W1805" i="60" s="1"/>
  <c r="V1804" i="60"/>
  <c r="W1804" i="60" s="1"/>
  <c r="V1803" i="60"/>
  <c r="W1803" i="60" s="1"/>
  <c r="V1802" i="60"/>
  <c r="W1802" i="60" s="1"/>
  <c r="V1801" i="60"/>
  <c r="W1801" i="60" s="1"/>
  <c r="V1800" i="60"/>
  <c r="W1800" i="60" s="1"/>
  <c r="V1799" i="60"/>
  <c r="W1799" i="60" s="1"/>
  <c r="V1798" i="60"/>
  <c r="W1798" i="60" s="1"/>
  <c r="V1797" i="60"/>
  <c r="W1797" i="60" s="1"/>
  <c r="V1796" i="60"/>
  <c r="W1796" i="60" s="1"/>
  <c r="V1795" i="60"/>
  <c r="W1795" i="60" s="1"/>
  <c r="V1794" i="60"/>
  <c r="W1794" i="60" s="1"/>
  <c r="V1793" i="60"/>
  <c r="W1793" i="60" s="1"/>
  <c r="V1792" i="60"/>
  <c r="W1792" i="60" s="1"/>
  <c r="V1791" i="60"/>
  <c r="W1791" i="60" s="1"/>
  <c r="V1790" i="60"/>
  <c r="W1790" i="60" s="1"/>
  <c r="V1789" i="60"/>
  <c r="W1789" i="60" s="1"/>
  <c r="V1788" i="60"/>
  <c r="W1788" i="60" s="1"/>
  <c r="V1787" i="60"/>
  <c r="W1787" i="60" s="1"/>
  <c r="V1786" i="60"/>
  <c r="W1786" i="60" s="1"/>
  <c r="V1785" i="60"/>
  <c r="W1785" i="60" s="1"/>
  <c r="V1784" i="60"/>
  <c r="W1784" i="60" s="1"/>
  <c r="V1783" i="60"/>
  <c r="W1783" i="60" s="1"/>
  <c r="V1782" i="60"/>
  <c r="W1782" i="60" s="1"/>
  <c r="V1781" i="60"/>
  <c r="W1781" i="60" s="1"/>
  <c r="V1780" i="60"/>
  <c r="W1780" i="60" s="1"/>
  <c r="V1779" i="60"/>
  <c r="W1779" i="60" s="1"/>
  <c r="V1778" i="60"/>
  <c r="W1778" i="60" s="1"/>
  <c r="V1777" i="60"/>
  <c r="W1777" i="60" s="1"/>
  <c r="V1776" i="60"/>
  <c r="W1776" i="60" s="1"/>
  <c r="V1775" i="60"/>
  <c r="W1775" i="60" s="1"/>
  <c r="V1774" i="60"/>
  <c r="W1774" i="60" s="1"/>
  <c r="V1773" i="60"/>
  <c r="W1773" i="60" s="1"/>
  <c r="V1772" i="60"/>
  <c r="W1772" i="60" s="1"/>
  <c r="V1771" i="60"/>
  <c r="W1771" i="60" s="1"/>
  <c r="V1770" i="60"/>
  <c r="W1770" i="60" s="1"/>
  <c r="V1769" i="60"/>
  <c r="W1769" i="60" s="1"/>
  <c r="V1768" i="60"/>
  <c r="W1768" i="60" s="1"/>
  <c r="V1767" i="60"/>
  <c r="W1767" i="60" s="1"/>
  <c r="V1766" i="60"/>
  <c r="W1766" i="60" s="1"/>
  <c r="V1765" i="60"/>
  <c r="W1765" i="60" s="1"/>
  <c r="V1764" i="60"/>
  <c r="W1764" i="60" s="1"/>
  <c r="V1763" i="60"/>
  <c r="W1763" i="60" s="1"/>
  <c r="V1762" i="60"/>
  <c r="W1762" i="60" s="1"/>
  <c r="V1761" i="60"/>
  <c r="W1761" i="60" s="1"/>
  <c r="V1760" i="60"/>
  <c r="W1760" i="60" s="1"/>
  <c r="V1759" i="60"/>
  <c r="W1759" i="60" s="1"/>
  <c r="V1758" i="60"/>
  <c r="W1758" i="60" s="1"/>
  <c r="V1757" i="60"/>
  <c r="W1757" i="60" s="1"/>
  <c r="V1756" i="60"/>
  <c r="W1756" i="60" s="1"/>
  <c r="V1755" i="60"/>
  <c r="W1755" i="60" s="1"/>
  <c r="V1754" i="60"/>
  <c r="W1754" i="60" s="1"/>
  <c r="V1753" i="60"/>
  <c r="W1753" i="60" s="1"/>
  <c r="V1752" i="60"/>
  <c r="W1752" i="60" s="1"/>
  <c r="V1751" i="60"/>
  <c r="W1751" i="60" s="1"/>
  <c r="V1750" i="60"/>
  <c r="W1750" i="60" s="1"/>
  <c r="V1749" i="60"/>
  <c r="W1749" i="60" s="1"/>
  <c r="V1748" i="60"/>
  <c r="W1748" i="60" s="1"/>
  <c r="V1747" i="60"/>
  <c r="W1747" i="60" s="1"/>
  <c r="V1746" i="60"/>
  <c r="W1746" i="60" s="1"/>
  <c r="V1745" i="60"/>
  <c r="W1745" i="60" s="1"/>
  <c r="V1744" i="60"/>
  <c r="W1744" i="60" s="1"/>
  <c r="V1743" i="60"/>
  <c r="W1743" i="60" s="1"/>
  <c r="V1742" i="60"/>
  <c r="W1742" i="60" s="1"/>
  <c r="V1741" i="60"/>
  <c r="W1741" i="60" s="1"/>
  <c r="V1740" i="60"/>
  <c r="W1740" i="60" s="1"/>
  <c r="V1739" i="60"/>
  <c r="W1739" i="60" s="1"/>
  <c r="V1738" i="60"/>
  <c r="W1738" i="60" s="1"/>
  <c r="V1737" i="60"/>
  <c r="W1737" i="60" s="1"/>
  <c r="V1736" i="60"/>
  <c r="W1736" i="60" s="1"/>
  <c r="V1735" i="60"/>
  <c r="W1735" i="60" s="1"/>
  <c r="V1734" i="60"/>
  <c r="W1734" i="60" s="1"/>
  <c r="V1733" i="60"/>
  <c r="W1733" i="60" s="1"/>
  <c r="V1732" i="60"/>
  <c r="W1732" i="60" s="1"/>
  <c r="V1731" i="60"/>
  <c r="W1731" i="60" s="1"/>
  <c r="V1730" i="60"/>
  <c r="W1730" i="60" s="1"/>
  <c r="V1729" i="60"/>
  <c r="W1729" i="60" s="1"/>
  <c r="V1728" i="60"/>
  <c r="W1728" i="60" s="1"/>
  <c r="V1727" i="60"/>
  <c r="W1727" i="60" s="1"/>
  <c r="V1726" i="60"/>
  <c r="W1726" i="60" s="1"/>
  <c r="V1725" i="60"/>
  <c r="W1725" i="60" s="1"/>
  <c r="V1724" i="60"/>
  <c r="W1724" i="60" s="1"/>
  <c r="V1723" i="60"/>
  <c r="W1723" i="60" s="1"/>
  <c r="V1722" i="60"/>
  <c r="W1722" i="60" s="1"/>
  <c r="V1721" i="60"/>
  <c r="W1721" i="60" s="1"/>
  <c r="V1720" i="60"/>
  <c r="W1720" i="60" s="1"/>
  <c r="V1719" i="60"/>
  <c r="W1719" i="60" s="1"/>
  <c r="V1718" i="60"/>
  <c r="W1718" i="60" s="1"/>
  <c r="V1717" i="60"/>
  <c r="W1717" i="60" s="1"/>
  <c r="V1716" i="60"/>
  <c r="W1716" i="60" s="1"/>
  <c r="V1715" i="60"/>
  <c r="W1715" i="60" s="1"/>
  <c r="V1714" i="60"/>
  <c r="W1714" i="60" s="1"/>
  <c r="V1713" i="60"/>
  <c r="W1713" i="60" s="1"/>
  <c r="V1712" i="60"/>
  <c r="W1712" i="60" s="1"/>
  <c r="V1711" i="60"/>
  <c r="W1711" i="60" s="1"/>
  <c r="V1710" i="60"/>
  <c r="W1710" i="60" s="1"/>
  <c r="V1709" i="60"/>
  <c r="W1709" i="60" s="1"/>
  <c r="V1708" i="60"/>
  <c r="W1708" i="60" s="1"/>
  <c r="V1707" i="60"/>
  <c r="W1707" i="60" s="1"/>
  <c r="V1706" i="60"/>
  <c r="W1706" i="60" s="1"/>
  <c r="V1705" i="60"/>
  <c r="W1705" i="60" s="1"/>
  <c r="V1704" i="60"/>
  <c r="W1704" i="60" s="1"/>
  <c r="V1703" i="60"/>
  <c r="W1703" i="60" s="1"/>
  <c r="V1702" i="60"/>
  <c r="W1702" i="60" s="1"/>
  <c r="V1701" i="60"/>
  <c r="W1701" i="60" s="1"/>
  <c r="V1700" i="60"/>
  <c r="W1700" i="60" s="1"/>
  <c r="V1699" i="60"/>
  <c r="W1699" i="60" s="1"/>
  <c r="V1698" i="60"/>
  <c r="W1698" i="60" s="1"/>
  <c r="V1697" i="60"/>
  <c r="W1697" i="60" s="1"/>
  <c r="V1696" i="60"/>
  <c r="W1696" i="60" s="1"/>
  <c r="V1695" i="60"/>
  <c r="W1695" i="60" s="1"/>
  <c r="V1694" i="60"/>
  <c r="W1694" i="60" s="1"/>
  <c r="V1693" i="60"/>
  <c r="W1693" i="60" s="1"/>
  <c r="V1692" i="60"/>
  <c r="W1692" i="60" s="1"/>
  <c r="V1691" i="60"/>
  <c r="W1691" i="60" s="1"/>
  <c r="V1690" i="60"/>
  <c r="W1690" i="60" s="1"/>
  <c r="V1689" i="60"/>
  <c r="W1689" i="60" s="1"/>
  <c r="V1688" i="60"/>
  <c r="W1688" i="60" s="1"/>
  <c r="V1687" i="60"/>
  <c r="W1687" i="60" s="1"/>
  <c r="V1686" i="60"/>
  <c r="W1686" i="60" s="1"/>
  <c r="V1685" i="60"/>
  <c r="W1685" i="60" s="1"/>
  <c r="V1684" i="60"/>
  <c r="W1684" i="60" s="1"/>
  <c r="V1683" i="60"/>
  <c r="W1683" i="60" s="1"/>
  <c r="V1682" i="60"/>
  <c r="W1682" i="60" s="1"/>
  <c r="V1681" i="60"/>
  <c r="W1681" i="60" s="1"/>
  <c r="V1680" i="60"/>
  <c r="W1680" i="60" s="1"/>
  <c r="V1679" i="60"/>
  <c r="W1679" i="60" s="1"/>
  <c r="V1678" i="60"/>
  <c r="W1678" i="60" s="1"/>
  <c r="V1677" i="60"/>
  <c r="W1677" i="60" s="1"/>
  <c r="V1676" i="60"/>
  <c r="W1676" i="60" s="1"/>
  <c r="V1675" i="60"/>
  <c r="W1675" i="60" s="1"/>
  <c r="V1674" i="60"/>
  <c r="W1674" i="60" s="1"/>
  <c r="V1673" i="60"/>
  <c r="W1673" i="60" s="1"/>
  <c r="V1672" i="60"/>
  <c r="W1672" i="60" s="1"/>
  <c r="V1671" i="60"/>
  <c r="W1671" i="60" s="1"/>
  <c r="V1670" i="60"/>
  <c r="W1670" i="60" s="1"/>
  <c r="V1669" i="60"/>
  <c r="W1669" i="60" s="1"/>
  <c r="V1668" i="60"/>
  <c r="W1668" i="60" s="1"/>
  <c r="V1667" i="60"/>
  <c r="W1667" i="60" s="1"/>
  <c r="V1666" i="60"/>
  <c r="W1666" i="60" s="1"/>
  <c r="V1665" i="60"/>
  <c r="W1665" i="60" s="1"/>
  <c r="V1664" i="60"/>
  <c r="W1664" i="60" s="1"/>
  <c r="V1663" i="60"/>
  <c r="W1663" i="60" s="1"/>
  <c r="V1662" i="60"/>
  <c r="W1662" i="60" s="1"/>
  <c r="V1661" i="60"/>
  <c r="W1661" i="60" s="1"/>
  <c r="V1660" i="60"/>
  <c r="W1660" i="60" s="1"/>
  <c r="V1659" i="60"/>
  <c r="W1659" i="60" s="1"/>
  <c r="V1658" i="60"/>
  <c r="W1658" i="60" s="1"/>
  <c r="V1657" i="60"/>
  <c r="W1657" i="60" s="1"/>
  <c r="V1656" i="60"/>
  <c r="W1656" i="60" s="1"/>
  <c r="V1655" i="60"/>
  <c r="W1655" i="60" s="1"/>
  <c r="V1654" i="60"/>
  <c r="W1654" i="60" s="1"/>
  <c r="V1653" i="60"/>
  <c r="W1653" i="60" s="1"/>
  <c r="V1652" i="60"/>
  <c r="W1652" i="60" s="1"/>
  <c r="V1651" i="60"/>
  <c r="W1651" i="60" s="1"/>
  <c r="V1650" i="60"/>
  <c r="W1650" i="60" s="1"/>
  <c r="V1649" i="60"/>
  <c r="W1649" i="60" s="1"/>
  <c r="V1648" i="60"/>
  <c r="W1648" i="60" s="1"/>
  <c r="V1647" i="60"/>
  <c r="W1647" i="60" s="1"/>
  <c r="V1646" i="60"/>
  <c r="W1646" i="60" s="1"/>
  <c r="V1645" i="60"/>
  <c r="W1645" i="60" s="1"/>
  <c r="V1644" i="60"/>
  <c r="W1644" i="60" s="1"/>
  <c r="V1643" i="60"/>
  <c r="W1643" i="60" s="1"/>
  <c r="V1642" i="60"/>
  <c r="W1642" i="60" s="1"/>
  <c r="V1641" i="60"/>
  <c r="W1641" i="60" s="1"/>
  <c r="V1640" i="60"/>
  <c r="W1640" i="60" s="1"/>
  <c r="V1639" i="60"/>
  <c r="W1639" i="60" s="1"/>
  <c r="V1638" i="60"/>
  <c r="W1638" i="60" s="1"/>
  <c r="V1637" i="60"/>
  <c r="W1637" i="60" s="1"/>
  <c r="V1636" i="60"/>
  <c r="W1636" i="60" s="1"/>
  <c r="V1635" i="60"/>
  <c r="W1635" i="60" s="1"/>
  <c r="V1634" i="60"/>
  <c r="W1634" i="60" s="1"/>
  <c r="V1633" i="60"/>
  <c r="W1633" i="60" s="1"/>
  <c r="V1632" i="60"/>
  <c r="W1632" i="60" s="1"/>
  <c r="V1631" i="60"/>
  <c r="W1631" i="60" s="1"/>
  <c r="V1630" i="60"/>
  <c r="W1630" i="60" s="1"/>
  <c r="V1629" i="60"/>
  <c r="W1629" i="60" s="1"/>
  <c r="V1628" i="60"/>
  <c r="W1628" i="60" s="1"/>
  <c r="V1627" i="60"/>
  <c r="W1627" i="60" s="1"/>
  <c r="V1626" i="60"/>
  <c r="W1626" i="60" s="1"/>
  <c r="V1625" i="60"/>
  <c r="W1625" i="60" s="1"/>
  <c r="V1624" i="60"/>
  <c r="W1624" i="60" s="1"/>
  <c r="V1623" i="60"/>
  <c r="W1623" i="60" s="1"/>
  <c r="V1622" i="60"/>
  <c r="W1622" i="60" s="1"/>
  <c r="V1621" i="60"/>
  <c r="W1621" i="60" s="1"/>
  <c r="V1620" i="60"/>
  <c r="W1620" i="60" s="1"/>
  <c r="V1619" i="60"/>
  <c r="W1619" i="60" s="1"/>
  <c r="V1618" i="60"/>
  <c r="W1618" i="60" s="1"/>
  <c r="V1617" i="60"/>
  <c r="W1617" i="60" s="1"/>
  <c r="V1616" i="60"/>
  <c r="W1616" i="60" s="1"/>
  <c r="V1615" i="60"/>
  <c r="W1615" i="60" s="1"/>
  <c r="V1614" i="60"/>
  <c r="W1614" i="60" s="1"/>
  <c r="V1613" i="60"/>
  <c r="W1613" i="60" s="1"/>
  <c r="V1612" i="60"/>
  <c r="W1612" i="60" s="1"/>
  <c r="V1611" i="60"/>
  <c r="W1611" i="60" s="1"/>
  <c r="V1610" i="60"/>
  <c r="W1610" i="60" s="1"/>
  <c r="V1609" i="60"/>
  <c r="W1609" i="60" s="1"/>
  <c r="V1608" i="60"/>
  <c r="W1608" i="60" s="1"/>
  <c r="V1607" i="60"/>
  <c r="W1607" i="60" s="1"/>
  <c r="V1606" i="60"/>
  <c r="W1606" i="60" s="1"/>
  <c r="V1605" i="60"/>
  <c r="W1605" i="60" s="1"/>
  <c r="V1604" i="60"/>
  <c r="W1604" i="60" s="1"/>
  <c r="V1603" i="60"/>
  <c r="W1603" i="60" s="1"/>
  <c r="V1602" i="60"/>
  <c r="W1602" i="60" s="1"/>
  <c r="V1601" i="60"/>
  <c r="W1601" i="60" s="1"/>
  <c r="V1600" i="60"/>
  <c r="W1600" i="60" s="1"/>
  <c r="V1599" i="60"/>
  <c r="W1599" i="60" s="1"/>
  <c r="V1598" i="60"/>
  <c r="W1598" i="60" s="1"/>
  <c r="V1597" i="60"/>
  <c r="W1597" i="60" s="1"/>
  <c r="V1596" i="60"/>
  <c r="W1596" i="60" s="1"/>
  <c r="V1595" i="60"/>
  <c r="W1595" i="60" s="1"/>
  <c r="V1594" i="60"/>
  <c r="W1594" i="60" s="1"/>
  <c r="V1593" i="60"/>
  <c r="W1593" i="60" s="1"/>
  <c r="V1592" i="60"/>
  <c r="W1592" i="60" s="1"/>
  <c r="V1591" i="60"/>
  <c r="W1591" i="60" s="1"/>
  <c r="V1590" i="60"/>
  <c r="W1590" i="60" s="1"/>
  <c r="V1589" i="60"/>
  <c r="W1589" i="60" s="1"/>
  <c r="V1588" i="60"/>
  <c r="W1588" i="60" s="1"/>
  <c r="V1587" i="60"/>
  <c r="W1587" i="60" s="1"/>
  <c r="V1586" i="60"/>
  <c r="W1586" i="60" s="1"/>
  <c r="V1585" i="60"/>
  <c r="W1585" i="60" s="1"/>
  <c r="V1584" i="60"/>
  <c r="W1584" i="60" s="1"/>
  <c r="V1583" i="60"/>
  <c r="W1583" i="60" s="1"/>
  <c r="V1582" i="60"/>
  <c r="W1582" i="60" s="1"/>
  <c r="V1581" i="60"/>
  <c r="W1581" i="60" s="1"/>
  <c r="V1580" i="60"/>
  <c r="W1580" i="60" s="1"/>
  <c r="V1579" i="60"/>
  <c r="W1579" i="60" s="1"/>
  <c r="V1578" i="60"/>
  <c r="W1578" i="60" s="1"/>
  <c r="V1577" i="60"/>
  <c r="W1577" i="60" s="1"/>
  <c r="V1576" i="60"/>
  <c r="W1576" i="60" s="1"/>
  <c r="V1575" i="60"/>
  <c r="W1575" i="60" s="1"/>
  <c r="V1574" i="60"/>
  <c r="W1574" i="60" s="1"/>
  <c r="V1573" i="60"/>
  <c r="W1573" i="60" s="1"/>
  <c r="V1572" i="60"/>
  <c r="W1572" i="60" s="1"/>
  <c r="V1571" i="60"/>
  <c r="W1571" i="60" s="1"/>
  <c r="V1570" i="60"/>
  <c r="W1570" i="60" s="1"/>
  <c r="V1569" i="60"/>
  <c r="W1569" i="60" s="1"/>
  <c r="V1568" i="60"/>
  <c r="W1568" i="60" s="1"/>
  <c r="V1567" i="60"/>
  <c r="W1567" i="60" s="1"/>
  <c r="V1566" i="60"/>
  <c r="W1566" i="60" s="1"/>
  <c r="V1565" i="60"/>
  <c r="W1565" i="60" s="1"/>
  <c r="V1564" i="60"/>
  <c r="W1564" i="60" s="1"/>
  <c r="V1563" i="60"/>
  <c r="W1563" i="60" s="1"/>
  <c r="V1562" i="60"/>
  <c r="W1562" i="60" s="1"/>
  <c r="V1561" i="60"/>
  <c r="W1561" i="60" s="1"/>
  <c r="V1560" i="60"/>
  <c r="W1560" i="60" s="1"/>
  <c r="V1559" i="60"/>
  <c r="W1559" i="60" s="1"/>
  <c r="V1558" i="60"/>
  <c r="W1558" i="60" s="1"/>
  <c r="V1557" i="60"/>
  <c r="W1557" i="60" s="1"/>
  <c r="V1556" i="60"/>
  <c r="W1556" i="60" s="1"/>
  <c r="V1555" i="60"/>
  <c r="W1555" i="60" s="1"/>
  <c r="V1554" i="60"/>
  <c r="W1554" i="60" s="1"/>
  <c r="V1553" i="60"/>
  <c r="W1553" i="60" s="1"/>
  <c r="V1552" i="60"/>
  <c r="W1552" i="60" s="1"/>
  <c r="V1551" i="60"/>
  <c r="W1551" i="60" s="1"/>
  <c r="V1550" i="60"/>
  <c r="W1550" i="60" s="1"/>
  <c r="V1549" i="60"/>
  <c r="W1549" i="60" s="1"/>
  <c r="V1548" i="60"/>
  <c r="W1548" i="60" s="1"/>
  <c r="V1547" i="60"/>
  <c r="W1547" i="60" s="1"/>
  <c r="V1546" i="60"/>
  <c r="W1546" i="60" s="1"/>
  <c r="V1545" i="60"/>
  <c r="W1545" i="60" s="1"/>
  <c r="V1544" i="60"/>
  <c r="W1544" i="60" s="1"/>
  <c r="V1543" i="60"/>
  <c r="W1543" i="60" s="1"/>
  <c r="V1542" i="60"/>
  <c r="W1542" i="60" s="1"/>
  <c r="V1541" i="60"/>
  <c r="W1541" i="60" s="1"/>
  <c r="V1540" i="60"/>
  <c r="W1540" i="60" s="1"/>
  <c r="V1539" i="60"/>
  <c r="W1539" i="60" s="1"/>
  <c r="V1538" i="60"/>
  <c r="W1538" i="60" s="1"/>
  <c r="V1537" i="60"/>
  <c r="W1537" i="60" s="1"/>
  <c r="V1536" i="60"/>
  <c r="W1536" i="60" s="1"/>
  <c r="V1535" i="60"/>
  <c r="W1535" i="60" s="1"/>
  <c r="V1534" i="60"/>
  <c r="W1534" i="60" s="1"/>
  <c r="V1533" i="60"/>
  <c r="W1533" i="60" s="1"/>
  <c r="V1532" i="60"/>
  <c r="W1532" i="60" s="1"/>
  <c r="V1531" i="60"/>
  <c r="W1531" i="60" s="1"/>
  <c r="V1530" i="60"/>
  <c r="W1530" i="60" s="1"/>
  <c r="V1529" i="60"/>
  <c r="W1529" i="60" s="1"/>
  <c r="V1528" i="60"/>
  <c r="W1528" i="60" s="1"/>
  <c r="V1527" i="60"/>
  <c r="W1527" i="60" s="1"/>
  <c r="V1526" i="60"/>
  <c r="W1526" i="60" s="1"/>
  <c r="V1525" i="60"/>
  <c r="W1525" i="60" s="1"/>
  <c r="V1524" i="60"/>
  <c r="W1524" i="60" s="1"/>
  <c r="V1523" i="60"/>
  <c r="W1523" i="60" s="1"/>
  <c r="V1522" i="60"/>
  <c r="W1522" i="60" s="1"/>
  <c r="V1521" i="60"/>
  <c r="W1521" i="60" s="1"/>
  <c r="V1520" i="60"/>
  <c r="W1520" i="60" s="1"/>
  <c r="V1519" i="60"/>
  <c r="W1519" i="60" s="1"/>
  <c r="V1518" i="60"/>
  <c r="W1518" i="60" s="1"/>
  <c r="V1517" i="60"/>
  <c r="W1517" i="60" s="1"/>
  <c r="V1516" i="60"/>
  <c r="W1516" i="60" s="1"/>
  <c r="V1515" i="60"/>
  <c r="W1515" i="60" s="1"/>
  <c r="V1514" i="60"/>
  <c r="W1514" i="60" s="1"/>
  <c r="V1513" i="60"/>
  <c r="W1513" i="60" s="1"/>
  <c r="V1512" i="60"/>
  <c r="W1512" i="60" s="1"/>
  <c r="V1511" i="60"/>
  <c r="W1511" i="60" s="1"/>
  <c r="V1510" i="60"/>
  <c r="W1510" i="60" s="1"/>
  <c r="V1509" i="60"/>
  <c r="W1509" i="60" s="1"/>
  <c r="V1508" i="60"/>
  <c r="W1508" i="60" s="1"/>
  <c r="V1507" i="60"/>
  <c r="W1507" i="60" s="1"/>
  <c r="V1506" i="60"/>
  <c r="W1506" i="60" s="1"/>
  <c r="V1505" i="60"/>
  <c r="W1505" i="60" s="1"/>
  <c r="V1504" i="60"/>
  <c r="W1504" i="60" s="1"/>
  <c r="V1503" i="60"/>
  <c r="W1503" i="60" s="1"/>
  <c r="V1502" i="60"/>
  <c r="W1502" i="60" s="1"/>
  <c r="V1501" i="60"/>
  <c r="W1501" i="60" s="1"/>
  <c r="V1500" i="60"/>
  <c r="W1500" i="60" s="1"/>
  <c r="V1499" i="60"/>
  <c r="W1499" i="60" s="1"/>
  <c r="V1498" i="60"/>
  <c r="W1498" i="60" s="1"/>
  <c r="V1497" i="60"/>
  <c r="W1497" i="60" s="1"/>
  <c r="V1496" i="60"/>
  <c r="W1496" i="60" s="1"/>
  <c r="V1495" i="60"/>
  <c r="W1495" i="60" s="1"/>
  <c r="V1494" i="60"/>
  <c r="W1494" i="60" s="1"/>
  <c r="V1493" i="60"/>
  <c r="W1493" i="60" s="1"/>
  <c r="V1492" i="60"/>
  <c r="W1492" i="60" s="1"/>
  <c r="V1491" i="60"/>
  <c r="W1491" i="60" s="1"/>
  <c r="V1490" i="60"/>
  <c r="W1490" i="60" s="1"/>
  <c r="V1489" i="60"/>
  <c r="W1489" i="60" s="1"/>
  <c r="V1488" i="60"/>
  <c r="W1488" i="60" s="1"/>
  <c r="V1487" i="60"/>
  <c r="W1487" i="60" s="1"/>
  <c r="V1486" i="60"/>
  <c r="W1486" i="60" s="1"/>
  <c r="V1485" i="60"/>
  <c r="W1485" i="60" s="1"/>
  <c r="V1484" i="60"/>
  <c r="W1484" i="60" s="1"/>
  <c r="V1483" i="60"/>
  <c r="W1483" i="60" s="1"/>
  <c r="V1482" i="60"/>
  <c r="W1482" i="60" s="1"/>
  <c r="V1481" i="60"/>
  <c r="W1481" i="60" s="1"/>
  <c r="V1480" i="60"/>
  <c r="W1480" i="60" s="1"/>
  <c r="V1479" i="60"/>
  <c r="W1479" i="60" s="1"/>
  <c r="V1478" i="60"/>
  <c r="W1478" i="60" s="1"/>
  <c r="V1477" i="60"/>
  <c r="W1477" i="60" s="1"/>
  <c r="V1476" i="60"/>
  <c r="W1476" i="60" s="1"/>
  <c r="V1475" i="60"/>
  <c r="W1475" i="60" s="1"/>
  <c r="V1474" i="60"/>
  <c r="W1474" i="60" s="1"/>
  <c r="V1473" i="60"/>
  <c r="W1473" i="60" s="1"/>
  <c r="V1472" i="60"/>
  <c r="W1472" i="60" s="1"/>
  <c r="V1471" i="60"/>
  <c r="W1471" i="60" s="1"/>
  <c r="V1470" i="60"/>
  <c r="W1470" i="60" s="1"/>
  <c r="V1469" i="60"/>
  <c r="W1469" i="60" s="1"/>
  <c r="V1468" i="60"/>
  <c r="W1468" i="60" s="1"/>
  <c r="V1467" i="60"/>
  <c r="W1467" i="60" s="1"/>
  <c r="V1466" i="60"/>
  <c r="W1466" i="60" s="1"/>
  <c r="V1465" i="60"/>
  <c r="W1465" i="60" s="1"/>
  <c r="V1464" i="60"/>
  <c r="W1464" i="60" s="1"/>
  <c r="V1463" i="60"/>
  <c r="W1463" i="60" s="1"/>
  <c r="V1462" i="60"/>
  <c r="W1462" i="60" s="1"/>
  <c r="V1461" i="60"/>
  <c r="W1461" i="60" s="1"/>
  <c r="V1460" i="60"/>
  <c r="W1460" i="60" s="1"/>
  <c r="V1459" i="60"/>
  <c r="W1459" i="60" s="1"/>
  <c r="V1458" i="60"/>
  <c r="W1458" i="60" s="1"/>
  <c r="V1457" i="60"/>
  <c r="W1457" i="60" s="1"/>
  <c r="V1456" i="60"/>
  <c r="W1456" i="60" s="1"/>
  <c r="V1455" i="60"/>
  <c r="W1455" i="60" s="1"/>
  <c r="V1454" i="60"/>
  <c r="W1454" i="60" s="1"/>
  <c r="V1453" i="60"/>
  <c r="W1453" i="60" s="1"/>
  <c r="V1452" i="60"/>
  <c r="W1452" i="60" s="1"/>
  <c r="V1451" i="60"/>
  <c r="W1451" i="60" s="1"/>
  <c r="V1450" i="60"/>
  <c r="W1450" i="60" s="1"/>
  <c r="V1449" i="60"/>
  <c r="W1449" i="60" s="1"/>
  <c r="V1448" i="60"/>
  <c r="W1448" i="60" s="1"/>
  <c r="V1447" i="60"/>
  <c r="W1447" i="60" s="1"/>
  <c r="V1446" i="60"/>
  <c r="W1446" i="60" s="1"/>
  <c r="V1445" i="60"/>
  <c r="W1445" i="60" s="1"/>
  <c r="V1444" i="60"/>
  <c r="W1444" i="60" s="1"/>
  <c r="V1443" i="60"/>
  <c r="W1443" i="60" s="1"/>
  <c r="V1442" i="60"/>
  <c r="W1442" i="60" s="1"/>
  <c r="V1441" i="60"/>
  <c r="W1441" i="60" s="1"/>
  <c r="V1440" i="60"/>
  <c r="W1440" i="60" s="1"/>
  <c r="V1439" i="60"/>
  <c r="W1439" i="60" s="1"/>
  <c r="V1438" i="60"/>
  <c r="W1438" i="60" s="1"/>
  <c r="V1437" i="60"/>
  <c r="W1437" i="60" s="1"/>
  <c r="V1436" i="60"/>
  <c r="W1436" i="60" s="1"/>
  <c r="V1435" i="60"/>
  <c r="W1435" i="60" s="1"/>
  <c r="V1434" i="60"/>
  <c r="W1434" i="60" s="1"/>
  <c r="V1433" i="60"/>
  <c r="W1433" i="60" s="1"/>
  <c r="V1432" i="60"/>
  <c r="W1432" i="60" s="1"/>
  <c r="V1431" i="60"/>
  <c r="W1431" i="60" s="1"/>
  <c r="V1430" i="60"/>
  <c r="W1430" i="60" s="1"/>
  <c r="V1429" i="60"/>
  <c r="W1429" i="60" s="1"/>
  <c r="V1428" i="60"/>
  <c r="W1428" i="60" s="1"/>
  <c r="V1427" i="60"/>
  <c r="W1427" i="60" s="1"/>
  <c r="V1426" i="60"/>
  <c r="W1426" i="60" s="1"/>
  <c r="V1425" i="60"/>
  <c r="W1425" i="60" s="1"/>
  <c r="V1424" i="60"/>
  <c r="W1424" i="60" s="1"/>
  <c r="V1423" i="60"/>
  <c r="W1423" i="60" s="1"/>
  <c r="V1422" i="60"/>
  <c r="W1422" i="60" s="1"/>
  <c r="V1421" i="60"/>
  <c r="W1421" i="60" s="1"/>
  <c r="V1420" i="60"/>
  <c r="W1420" i="60" s="1"/>
  <c r="V1419" i="60"/>
  <c r="W1419" i="60" s="1"/>
  <c r="V1418" i="60"/>
  <c r="W1418" i="60" s="1"/>
  <c r="V1417" i="60"/>
  <c r="W1417" i="60" s="1"/>
  <c r="V1416" i="60"/>
  <c r="W1416" i="60" s="1"/>
  <c r="V1415" i="60"/>
  <c r="W1415" i="60" s="1"/>
  <c r="V1414" i="60"/>
  <c r="W1414" i="60" s="1"/>
  <c r="V1413" i="60"/>
  <c r="W1413" i="60" s="1"/>
  <c r="V1412" i="60"/>
  <c r="W1412" i="60" s="1"/>
  <c r="V1411" i="60"/>
  <c r="W1411" i="60" s="1"/>
  <c r="V1410" i="60"/>
  <c r="W1410" i="60" s="1"/>
  <c r="V1409" i="60"/>
  <c r="W1409" i="60" s="1"/>
  <c r="V1408" i="60"/>
  <c r="W1408" i="60" s="1"/>
  <c r="V1407" i="60"/>
  <c r="W1407" i="60" s="1"/>
  <c r="V1406" i="60"/>
  <c r="W1406" i="60" s="1"/>
  <c r="V1405" i="60"/>
  <c r="W1405" i="60" s="1"/>
  <c r="V1404" i="60"/>
  <c r="W1404" i="60" s="1"/>
  <c r="V1403" i="60"/>
  <c r="W1403" i="60" s="1"/>
  <c r="V1402" i="60"/>
  <c r="W1402" i="60" s="1"/>
  <c r="V1401" i="60"/>
  <c r="W1401" i="60" s="1"/>
  <c r="V1400" i="60"/>
  <c r="W1400" i="60" s="1"/>
  <c r="V1399" i="60"/>
  <c r="W1399" i="60" s="1"/>
  <c r="V1398" i="60"/>
  <c r="W1398" i="60" s="1"/>
  <c r="V1397" i="60"/>
  <c r="W1397" i="60" s="1"/>
  <c r="V1396" i="60"/>
  <c r="W1396" i="60" s="1"/>
  <c r="V1395" i="60"/>
  <c r="W1395" i="60" s="1"/>
  <c r="V1394" i="60"/>
  <c r="W1394" i="60" s="1"/>
  <c r="V1393" i="60"/>
  <c r="W1393" i="60" s="1"/>
  <c r="V1392" i="60"/>
  <c r="W1392" i="60" s="1"/>
  <c r="V1391" i="60"/>
  <c r="W1391" i="60" s="1"/>
  <c r="V1390" i="60"/>
  <c r="W1390" i="60" s="1"/>
  <c r="V1389" i="60"/>
  <c r="W1389" i="60" s="1"/>
  <c r="V1388" i="60"/>
  <c r="W1388" i="60" s="1"/>
  <c r="V1387" i="60"/>
  <c r="W1387" i="60" s="1"/>
  <c r="V1386" i="60"/>
  <c r="W1386" i="60" s="1"/>
  <c r="V1385" i="60"/>
  <c r="W1385" i="60" s="1"/>
  <c r="V1384" i="60"/>
  <c r="W1384" i="60" s="1"/>
  <c r="V1383" i="60"/>
  <c r="W1383" i="60" s="1"/>
  <c r="V1382" i="60"/>
  <c r="W1382" i="60" s="1"/>
  <c r="V1381" i="60"/>
  <c r="W1381" i="60" s="1"/>
  <c r="V1380" i="60"/>
  <c r="W1380" i="60" s="1"/>
  <c r="V1379" i="60"/>
  <c r="W1379" i="60" s="1"/>
  <c r="V1378" i="60"/>
  <c r="W1378" i="60" s="1"/>
  <c r="V1377" i="60"/>
  <c r="W1377" i="60" s="1"/>
  <c r="V1376" i="60"/>
  <c r="W1376" i="60" s="1"/>
  <c r="V1375" i="60"/>
  <c r="W1375" i="60" s="1"/>
  <c r="V1374" i="60"/>
  <c r="W1374" i="60" s="1"/>
  <c r="V1373" i="60"/>
  <c r="W1373" i="60" s="1"/>
  <c r="V1372" i="60"/>
  <c r="W1372" i="60" s="1"/>
  <c r="V1371" i="60"/>
  <c r="W1371" i="60" s="1"/>
  <c r="V1370" i="60"/>
  <c r="W1370" i="60" s="1"/>
  <c r="V1369" i="60"/>
  <c r="W1369" i="60" s="1"/>
  <c r="V1368" i="60"/>
  <c r="W1368" i="60" s="1"/>
  <c r="V1367" i="60"/>
  <c r="W1367" i="60" s="1"/>
  <c r="V1366" i="60"/>
  <c r="W1366" i="60" s="1"/>
  <c r="V1365" i="60"/>
  <c r="W1365" i="60" s="1"/>
  <c r="V1364" i="60"/>
  <c r="W1364" i="60" s="1"/>
  <c r="V1363" i="60"/>
  <c r="W1363" i="60" s="1"/>
  <c r="V1362" i="60"/>
  <c r="W1362" i="60" s="1"/>
  <c r="V1361" i="60"/>
  <c r="W1361" i="60" s="1"/>
  <c r="V1360" i="60"/>
  <c r="W1360" i="60" s="1"/>
  <c r="V1359" i="60"/>
  <c r="W1359" i="60" s="1"/>
  <c r="V1358" i="60"/>
  <c r="W1358" i="60" s="1"/>
  <c r="V1357" i="60"/>
  <c r="W1357" i="60" s="1"/>
  <c r="V1356" i="60"/>
  <c r="W1356" i="60" s="1"/>
  <c r="V1355" i="60"/>
  <c r="W1355" i="60" s="1"/>
  <c r="V1354" i="60"/>
  <c r="W1354" i="60" s="1"/>
  <c r="V1353" i="60"/>
  <c r="W1353" i="60" s="1"/>
  <c r="V1352" i="60"/>
  <c r="W1352" i="60" s="1"/>
  <c r="V1351" i="60"/>
  <c r="W1351" i="60" s="1"/>
  <c r="V1350" i="60"/>
  <c r="W1350" i="60" s="1"/>
  <c r="V1349" i="60"/>
  <c r="W1349" i="60" s="1"/>
  <c r="V1348" i="60"/>
  <c r="W1348" i="60" s="1"/>
  <c r="V1347" i="60"/>
  <c r="W1347" i="60" s="1"/>
  <c r="V1346" i="60"/>
  <c r="W1346" i="60" s="1"/>
  <c r="V1345" i="60"/>
  <c r="W1345" i="60" s="1"/>
  <c r="V1344" i="60"/>
  <c r="W1344" i="60" s="1"/>
  <c r="V1343" i="60"/>
  <c r="W1343" i="60" s="1"/>
  <c r="V1342" i="60"/>
  <c r="W1342" i="60" s="1"/>
  <c r="V1341" i="60"/>
  <c r="W1341" i="60" s="1"/>
  <c r="V1340" i="60"/>
  <c r="W1340" i="60" s="1"/>
  <c r="V1339" i="60"/>
  <c r="W1339" i="60" s="1"/>
  <c r="V1338" i="60"/>
  <c r="W1338" i="60" s="1"/>
  <c r="V1337" i="60"/>
  <c r="W1337" i="60" s="1"/>
  <c r="V1336" i="60"/>
  <c r="W1336" i="60" s="1"/>
  <c r="V1335" i="60"/>
  <c r="W1335" i="60" s="1"/>
  <c r="V1334" i="60"/>
  <c r="W1334" i="60" s="1"/>
  <c r="V1333" i="60"/>
  <c r="W1333" i="60" s="1"/>
  <c r="V1332" i="60"/>
  <c r="W1332" i="60" s="1"/>
  <c r="V1331" i="60"/>
  <c r="W1331" i="60" s="1"/>
  <c r="V1330" i="60"/>
  <c r="W1330" i="60" s="1"/>
  <c r="V1329" i="60"/>
  <c r="W1329" i="60" s="1"/>
  <c r="V1328" i="60"/>
  <c r="W1328" i="60" s="1"/>
  <c r="V1327" i="60"/>
  <c r="W1327" i="60" s="1"/>
  <c r="V1326" i="60"/>
  <c r="W1326" i="60" s="1"/>
  <c r="V1325" i="60"/>
  <c r="W1325" i="60" s="1"/>
  <c r="V1324" i="60"/>
  <c r="W1324" i="60" s="1"/>
  <c r="V1323" i="60"/>
  <c r="W1323" i="60" s="1"/>
  <c r="V1322" i="60"/>
  <c r="W1322" i="60" s="1"/>
  <c r="V1321" i="60"/>
  <c r="W1321" i="60" s="1"/>
  <c r="V1320" i="60"/>
  <c r="W1320" i="60" s="1"/>
  <c r="V1319" i="60"/>
  <c r="W1319" i="60" s="1"/>
  <c r="V1318" i="60"/>
  <c r="W1318" i="60" s="1"/>
  <c r="V1317" i="60"/>
  <c r="W1317" i="60" s="1"/>
  <c r="V1316" i="60"/>
  <c r="W1316" i="60" s="1"/>
  <c r="V1315" i="60"/>
  <c r="W1315" i="60" s="1"/>
  <c r="V1314" i="60"/>
  <c r="W1314" i="60" s="1"/>
  <c r="V1313" i="60"/>
  <c r="W1313" i="60" s="1"/>
  <c r="V1312" i="60"/>
  <c r="W1312" i="60" s="1"/>
  <c r="V1311" i="60"/>
  <c r="W1311" i="60" s="1"/>
  <c r="V1310" i="60"/>
  <c r="W1310" i="60" s="1"/>
  <c r="V1309" i="60"/>
  <c r="W1309" i="60" s="1"/>
  <c r="V1308" i="60"/>
  <c r="W1308" i="60" s="1"/>
  <c r="V1307" i="60"/>
  <c r="W1307" i="60" s="1"/>
  <c r="V1306" i="60"/>
  <c r="W1306" i="60" s="1"/>
  <c r="V1305" i="60"/>
  <c r="W1305" i="60" s="1"/>
  <c r="V1304" i="60"/>
  <c r="W1304" i="60" s="1"/>
  <c r="V1303" i="60"/>
  <c r="W1303" i="60" s="1"/>
  <c r="V1302" i="60"/>
  <c r="W1302" i="60" s="1"/>
  <c r="V1301" i="60"/>
  <c r="W1301" i="60" s="1"/>
  <c r="V1300" i="60"/>
  <c r="W1300" i="60" s="1"/>
  <c r="V1299" i="60"/>
  <c r="W1299" i="60" s="1"/>
  <c r="V1298" i="60"/>
  <c r="W1298" i="60" s="1"/>
  <c r="V1297" i="60"/>
  <c r="W1297" i="60" s="1"/>
  <c r="V1296" i="60"/>
  <c r="W1296" i="60" s="1"/>
  <c r="V1295" i="60"/>
  <c r="W1295" i="60" s="1"/>
  <c r="V1294" i="60"/>
  <c r="W1294" i="60" s="1"/>
  <c r="V1293" i="60"/>
  <c r="W1293" i="60" s="1"/>
  <c r="V1292" i="60"/>
  <c r="W1292" i="60" s="1"/>
  <c r="V1291" i="60"/>
  <c r="W1291" i="60" s="1"/>
  <c r="V1290" i="60"/>
  <c r="W1290" i="60" s="1"/>
  <c r="V1289" i="60"/>
  <c r="W1289" i="60" s="1"/>
  <c r="V1288" i="60"/>
  <c r="W1288" i="60" s="1"/>
  <c r="V1287" i="60"/>
  <c r="W1287" i="60" s="1"/>
  <c r="V1286" i="60"/>
  <c r="W1286" i="60" s="1"/>
  <c r="V1285" i="60"/>
  <c r="W1285" i="60" s="1"/>
  <c r="V1284" i="60"/>
  <c r="W1284" i="60" s="1"/>
  <c r="V1283" i="60"/>
  <c r="W1283" i="60" s="1"/>
  <c r="V1282" i="60"/>
  <c r="W1282" i="60" s="1"/>
  <c r="V1281" i="60"/>
  <c r="W1281" i="60" s="1"/>
  <c r="V1280" i="60"/>
  <c r="W1280" i="60" s="1"/>
  <c r="V1279" i="60"/>
  <c r="W1279" i="60" s="1"/>
  <c r="V1278" i="60"/>
  <c r="W1278" i="60" s="1"/>
  <c r="V1277" i="60"/>
  <c r="W1277" i="60" s="1"/>
  <c r="V1276" i="60"/>
  <c r="W1276" i="60" s="1"/>
  <c r="V1275" i="60"/>
  <c r="W1275" i="60" s="1"/>
  <c r="V1274" i="60"/>
  <c r="W1274" i="60" s="1"/>
  <c r="V1273" i="60"/>
  <c r="W1273" i="60" s="1"/>
  <c r="V1272" i="60"/>
  <c r="W1272" i="60" s="1"/>
  <c r="V1271" i="60"/>
  <c r="W1271" i="60" s="1"/>
  <c r="V1270" i="60"/>
  <c r="W1270" i="60" s="1"/>
  <c r="V1269" i="60"/>
  <c r="W1269" i="60" s="1"/>
  <c r="V1268" i="60"/>
  <c r="W1268" i="60" s="1"/>
  <c r="V1267" i="60"/>
  <c r="W1267" i="60" s="1"/>
  <c r="V1266" i="60"/>
  <c r="W1266" i="60" s="1"/>
  <c r="V1265" i="60"/>
  <c r="W1265" i="60" s="1"/>
  <c r="V1264" i="60"/>
  <c r="W1264" i="60" s="1"/>
  <c r="V1263" i="60"/>
  <c r="W1263" i="60" s="1"/>
  <c r="V1262" i="60"/>
  <c r="W1262" i="60" s="1"/>
  <c r="V1261" i="60"/>
  <c r="W1261" i="60" s="1"/>
  <c r="V1260" i="60"/>
  <c r="W1260" i="60" s="1"/>
  <c r="V1259" i="60"/>
  <c r="W1259" i="60" s="1"/>
  <c r="V1258" i="60"/>
  <c r="W1258" i="60" s="1"/>
  <c r="V1257" i="60"/>
  <c r="W1257" i="60" s="1"/>
  <c r="V1256" i="60"/>
  <c r="W1256" i="60" s="1"/>
  <c r="V1255" i="60"/>
  <c r="W1255" i="60" s="1"/>
  <c r="V1254" i="60"/>
  <c r="W1254" i="60" s="1"/>
  <c r="V1253" i="60"/>
  <c r="W1253" i="60" s="1"/>
  <c r="V1252" i="60"/>
  <c r="W1252" i="60" s="1"/>
  <c r="V1251" i="60"/>
  <c r="W1251" i="60" s="1"/>
  <c r="V1250" i="60"/>
  <c r="W1250" i="60" s="1"/>
  <c r="V1249" i="60"/>
  <c r="W1249" i="60" s="1"/>
  <c r="V1248" i="60"/>
  <c r="W1248" i="60" s="1"/>
  <c r="V1247" i="60"/>
  <c r="W1247" i="60" s="1"/>
  <c r="W1246" i="60"/>
  <c r="V1246" i="60"/>
  <c r="V1245" i="60"/>
  <c r="W1245" i="60" s="1"/>
  <c r="V1244" i="60"/>
  <c r="W1244" i="60" s="1"/>
  <c r="V1243" i="60"/>
  <c r="W1243" i="60" s="1"/>
  <c r="V1242" i="60"/>
  <c r="W1242" i="60" s="1"/>
  <c r="V1241" i="60"/>
  <c r="W1241" i="60" s="1"/>
  <c r="V1240" i="60"/>
  <c r="W1240" i="60" s="1"/>
  <c r="V1239" i="60"/>
  <c r="W1239" i="60" s="1"/>
  <c r="V1238" i="60"/>
  <c r="W1238" i="60" s="1"/>
  <c r="V1237" i="60"/>
  <c r="W1237" i="60" s="1"/>
  <c r="V1236" i="60"/>
  <c r="W1236" i="60" s="1"/>
  <c r="V1235" i="60"/>
  <c r="W1235" i="60" s="1"/>
  <c r="V1234" i="60"/>
  <c r="W1234" i="60" s="1"/>
  <c r="V1233" i="60"/>
  <c r="W1233" i="60" s="1"/>
  <c r="V1232" i="60"/>
  <c r="W1232" i="60" s="1"/>
  <c r="V1231" i="60"/>
  <c r="W1231" i="60" s="1"/>
  <c r="V1230" i="60"/>
  <c r="W1230" i="60" s="1"/>
  <c r="V1229" i="60"/>
  <c r="W1229" i="60" s="1"/>
  <c r="V1228" i="60"/>
  <c r="W1228" i="60" s="1"/>
  <c r="V1227" i="60"/>
  <c r="W1227" i="60" s="1"/>
  <c r="V1226" i="60"/>
  <c r="W1226" i="60" s="1"/>
  <c r="V1225" i="60"/>
  <c r="W1225" i="60" s="1"/>
  <c r="V1224" i="60"/>
  <c r="W1224" i="60" s="1"/>
  <c r="V1223" i="60"/>
  <c r="W1223" i="60" s="1"/>
  <c r="V1222" i="60"/>
  <c r="W1222" i="60" s="1"/>
  <c r="V1221" i="60"/>
  <c r="W1221" i="60" s="1"/>
  <c r="V1220" i="60"/>
  <c r="W1220" i="60" s="1"/>
  <c r="V1219" i="60"/>
  <c r="W1219" i="60" s="1"/>
  <c r="V1218" i="60"/>
  <c r="W1218" i="60" s="1"/>
  <c r="V1217" i="60"/>
  <c r="W1217" i="60" s="1"/>
  <c r="V1216" i="60"/>
  <c r="W1216" i="60" s="1"/>
  <c r="V1215" i="60"/>
  <c r="W1215" i="60" s="1"/>
  <c r="V1214" i="60"/>
  <c r="W1214" i="60" s="1"/>
  <c r="V1213" i="60"/>
  <c r="W1213" i="60" s="1"/>
  <c r="V1212" i="60"/>
  <c r="W1212" i="60" s="1"/>
  <c r="V1211" i="60"/>
  <c r="W1211" i="60" s="1"/>
  <c r="V1210" i="60"/>
  <c r="W1210" i="60" s="1"/>
  <c r="V1209" i="60"/>
  <c r="W1209" i="60" s="1"/>
  <c r="V1208" i="60"/>
  <c r="W1208" i="60" s="1"/>
  <c r="V1207" i="60"/>
  <c r="W1207" i="60" s="1"/>
  <c r="V1206" i="60"/>
  <c r="W1206" i="60" s="1"/>
  <c r="V1205" i="60"/>
  <c r="W1205" i="60" s="1"/>
  <c r="V1204" i="60"/>
  <c r="W1204" i="60" s="1"/>
  <c r="V1203" i="60"/>
  <c r="W1203" i="60" s="1"/>
  <c r="V1202" i="60"/>
  <c r="W1202" i="60" s="1"/>
  <c r="V1201" i="60"/>
  <c r="W1201" i="60" s="1"/>
  <c r="V1200" i="60"/>
  <c r="W1200" i="60" s="1"/>
  <c r="V1199" i="60"/>
  <c r="W1199" i="60" s="1"/>
  <c r="V1198" i="60"/>
  <c r="W1198" i="60" s="1"/>
  <c r="V1197" i="60"/>
  <c r="W1197" i="60" s="1"/>
  <c r="V1196" i="60"/>
  <c r="W1196" i="60" s="1"/>
  <c r="V1195" i="60"/>
  <c r="W1195" i="60" s="1"/>
  <c r="V1194" i="60"/>
  <c r="W1194" i="60" s="1"/>
  <c r="V1193" i="60"/>
  <c r="W1193" i="60" s="1"/>
  <c r="V1192" i="60"/>
  <c r="W1192" i="60" s="1"/>
  <c r="V1191" i="60"/>
  <c r="W1191" i="60" s="1"/>
  <c r="V1190" i="60"/>
  <c r="W1190" i="60" s="1"/>
  <c r="V1189" i="60"/>
  <c r="W1189" i="60" s="1"/>
  <c r="V1188" i="60"/>
  <c r="W1188" i="60" s="1"/>
  <c r="V1187" i="60"/>
  <c r="W1187" i="60" s="1"/>
  <c r="V1186" i="60"/>
  <c r="W1186" i="60" s="1"/>
  <c r="V1185" i="60"/>
  <c r="W1185" i="60" s="1"/>
  <c r="V1184" i="60"/>
  <c r="W1184" i="60" s="1"/>
  <c r="V1183" i="60"/>
  <c r="W1183" i="60" s="1"/>
  <c r="V1182" i="60"/>
  <c r="W1182" i="60" s="1"/>
  <c r="V1181" i="60"/>
  <c r="W1181" i="60" s="1"/>
  <c r="V1180" i="60"/>
  <c r="W1180" i="60" s="1"/>
  <c r="V1179" i="60"/>
  <c r="W1179" i="60" s="1"/>
  <c r="V1178" i="60"/>
  <c r="W1178" i="60" s="1"/>
  <c r="V1177" i="60"/>
  <c r="W1177" i="60" s="1"/>
  <c r="V1176" i="60"/>
  <c r="W1176" i="60" s="1"/>
  <c r="V1175" i="60"/>
  <c r="W1175" i="60" s="1"/>
  <c r="V1174" i="60"/>
  <c r="W1174" i="60" s="1"/>
  <c r="V1173" i="60"/>
  <c r="W1173" i="60" s="1"/>
  <c r="V1172" i="60"/>
  <c r="W1172" i="60" s="1"/>
  <c r="V1171" i="60"/>
  <c r="W1171" i="60" s="1"/>
  <c r="V1170" i="60"/>
  <c r="W1170" i="60" s="1"/>
  <c r="V1169" i="60"/>
  <c r="W1169" i="60" s="1"/>
  <c r="V1168" i="60"/>
  <c r="W1168" i="60" s="1"/>
  <c r="V1167" i="60"/>
  <c r="W1167" i="60" s="1"/>
  <c r="V1166" i="60"/>
  <c r="W1166" i="60" s="1"/>
  <c r="V1165" i="60"/>
  <c r="W1165" i="60" s="1"/>
  <c r="V1164" i="60"/>
  <c r="W1164" i="60" s="1"/>
  <c r="V1163" i="60"/>
  <c r="W1163" i="60" s="1"/>
  <c r="V1162" i="60"/>
  <c r="W1162" i="60" s="1"/>
  <c r="V1161" i="60"/>
  <c r="W1161" i="60" s="1"/>
  <c r="V1160" i="60"/>
  <c r="W1160" i="60" s="1"/>
  <c r="V1159" i="60"/>
  <c r="W1159" i="60" s="1"/>
  <c r="V1158" i="60"/>
  <c r="W1158" i="60" s="1"/>
  <c r="V1157" i="60"/>
  <c r="W1157" i="60" s="1"/>
  <c r="V1156" i="60"/>
  <c r="W1156" i="60" s="1"/>
  <c r="V1155" i="60"/>
  <c r="W1155" i="60" s="1"/>
  <c r="V1154" i="60"/>
  <c r="W1154" i="60" s="1"/>
  <c r="V1153" i="60"/>
  <c r="W1153" i="60" s="1"/>
  <c r="V1152" i="60"/>
  <c r="W1152" i="60" s="1"/>
  <c r="V1151" i="60"/>
  <c r="W1151" i="60" s="1"/>
  <c r="V1150" i="60"/>
  <c r="W1150" i="60" s="1"/>
  <c r="V1149" i="60"/>
  <c r="W1149" i="60" s="1"/>
  <c r="V1148" i="60"/>
  <c r="W1148" i="60" s="1"/>
  <c r="V1147" i="60"/>
  <c r="W1147" i="60" s="1"/>
  <c r="V1146" i="60"/>
  <c r="W1146" i="60" s="1"/>
  <c r="V1145" i="60"/>
  <c r="W1145" i="60" s="1"/>
  <c r="V1144" i="60"/>
  <c r="W1144" i="60" s="1"/>
  <c r="V1143" i="60"/>
  <c r="W1143" i="60" s="1"/>
  <c r="V1142" i="60"/>
  <c r="W1142" i="60" s="1"/>
  <c r="V1141" i="60"/>
  <c r="W1141" i="60" s="1"/>
  <c r="V1140" i="60"/>
  <c r="W1140" i="60" s="1"/>
  <c r="V1139" i="60"/>
  <c r="W1139" i="60" s="1"/>
  <c r="V1138" i="60"/>
  <c r="W1138" i="60" s="1"/>
  <c r="V1137" i="60"/>
  <c r="W1137" i="60" s="1"/>
  <c r="V1136" i="60"/>
  <c r="W1136" i="60" s="1"/>
  <c r="V1135" i="60"/>
  <c r="W1135" i="60" s="1"/>
  <c r="V1134" i="60"/>
  <c r="W1134" i="60" s="1"/>
  <c r="V1133" i="60"/>
  <c r="W1133" i="60" s="1"/>
  <c r="V1132" i="60"/>
  <c r="W1132" i="60" s="1"/>
  <c r="V1131" i="60"/>
  <c r="W1131" i="60" s="1"/>
  <c r="V1130" i="60"/>
  <c r="W1130" i="60" s="1"/>
  <c r="V1129" i="60"/>
  <c r="W1129" i="60" s="1"/>
  <c r="V1128" i="60"/>
  <c r="W1128" i="60" s="1"/>
  <c r="V1127" i="60"/>
  <c r="W1127" i="60" s="1"/>
  <c r="V1126" i="60"/>
  <c r="W1126" i="60" s="1"/>
  <c r="V1125" i="60"/>
  <c r="W1125" i="60" s="1"/>
  <c r="V1124" i="60"/>
  <c r="W1124" i="60" s="1"/>
  <c r="V1123" i="60"/>
  <c r="W1123" i="60" s="1"/>
  <c r="V1122" i="60"/>
  <c r="W1122" i="60" s="1"/>
  <c r="V1121" i="60"/>
  <c r="W1121" i="60" s="1"/>
  <c r="V1120" i="60"/>
  <c r="W1120" i="60" s="1"/>
  <c r="V1119" i="60"/>
  <c r="W1119" i="60" s="1"/>
  <c r="V1118" i="60"/>
  <c r="W1118" i="60" s="1"/>
  <c r="V1117" i="60"/>
  <c r="W1117" i="60" s="1"/>
  <c r="V1116" i="60"/>
  <c r="W1116" i="60" s="1"/>
  <c r="V1115" i="60"/>
  <c r="W1115" i="60" s="1"/>
  <c r="V1114" i="60"/>
  <c r="W1114" i="60" s="1"/>
  <c r="V1113" i="60"/>
  <c r="W1113" i="60" s="1"/>
  <c r="V1112" i="60"/>
  <c r="W1112" i="60" s="1"/>
  <c r="V1111" i="60"/>
  <c r="W1111" i="60" s="1"/>
  <c r="V1110" i="60"/>
  <c r="W1110" i="60" s="1"/>
  <c r="V1109" i="60"/>
  <c r="W1109" i="60" s="1"/>
  <c r="V1108" i="60"/>
  <c r="W1108" i="60" s="1"/>
  <c r="V1107" i="60"/>
  <c r="W1107" i="60" s="1"/>
  <c r="V1106" i="60"/>
  <c r="W1106" i="60" s="1"/>
  <c r="V1105" i="60"/>
  <c r="W1105" i="60" s="1"/>
  <c r="V1104" i="60"/>
  <c r="W1104" i="60" s="1"/>
  <c r="V1103" i="60"/>
  <c r="W1103" i="60" s="1"/>
  <c r="V1102" i="60"/>
  <c r="W1102" i="60" s="1"/>
  <c r="V1101" i="60"/>
  <c r="W1101" i="60" s="1"/>
  <c r="V1100" i="60"/>
  <c r="W1100" i="60" s="1"/>
  <c r="V1099" i="60"/>
  <c r="W1099" i="60" s="1"/>
  <c r="V1098" i="60"/>
  <c r="W1098" i="60" s="1"/>
  <c r="V1097" i="60"/>
  <c r="W1097" i="60" s="1"/>
  <c r="V1096" i="60"/>
  <c r="W1096" i="60" s="1"/>
  <c r="V1095" i="60"/>
  <c r="W1095" i="60" s="1"/>
  <c r="V1094" i="60"/>
  <c r="W1094" i="60" s="1"/>
  <c r="V1093" i="60"/>
  <c r="W1093" i="60" s="1"/>
  <c r="V1092" i="60"/>
  <c r="W1092" i="60" s="1"/>
  <c r="V1091" i="60"/>
  <c r="W1091" i="60" s="1"/>
  <c r="V1090" i="60"/>
  <c r="W1090" i="60" s="1"/>
  <c r="V1089" i="60"/>
  <c r="W1089" i="60" s="1"/>
  <c r="V1088" i="60"/>
  <c r="W1088" i="60" s="1"/>
  <c r="V1087" i="60"/>
  <c r="W1087" i="60" s="1"/>
  <c r="V1086" i="60"/>
  <c r="W1086" i="60" s="1"/>
  <c r="V1085" i="60"/>
  <c r="W1085" i="60" s="1"/>
  <c r="V1084" i="60"/>
  <c r="W1084" i="60" s="1"/>
  <c r="V1083" i="60"/>
  <c r="W1083" i="60" s="1"/>
  <c r="V1082" i="60"/>
  <c r="W1082" i="60" s="1"/>
  <c r="V1081" i="60"/>
  <c r="W1081" i="60" s="1"/>
  <c r="V1080" i="60"/>
  <c r="W1080" i="60" s="1"/>
  <c r="V1079" i="60"/>
  <c r="W1079" i="60" s="1"/>
  <c r="V1078" i="60"/>
  <c r="W1078" i="60" s="1"/>
  <c r="V1077" i="60"/>
  <c r="W1077" i="60" s="1"/>
  <c r="V1076" i="60"/>
  <c r="W1076" i="60" s="1"/>
  <c r="V1075" i="60"/>
  <c r="W1075" i="60" s="1"/>
  <c r="V1074" i="60"/>
  <c r="W1074" i="60" s="1"/>
  <c r="V1073" i="60"/>
  <c r="W1073" i="60" s="1"/>
  <c r="V1072" i="60"/>
  <c r="W1072" i="60" s="1"/>
  <c r="V1071" i="60"/>
  <c r="W1071" i="60" s="1"/>
  <c r="V1070" i="60"/>
  <c r="W1070" i="60" s="1"/>
  <c r="V1069" i="60"/>
  <c r="W1069" i="60" s="1"/>
  <c r="V1068" i="60"/>
  <c r="W1068" i="60" s="1"/>
  <c r="V1067" i="60"/>
  <c r="W1067" i="60" s="1"/>
  <c r="V1066" i="60"/>
  <c r="W1066" i="60" s="1"/>
  <c r="V1065" i="60"/>
  <c r="W1065" i="60" s="1"/>
  <c r="V1064" i="60"/>
  <c r="W1064" i="60" s="1"/>
  <c r="V1063" i="60"/>
  <c r="W1063" i="60" s="1"/>
  <c r="V1062" i="60"/>
  <c r="W1062" i="60" s="1"/>
  <c r="V1061" i="60"/>
  <c r="W1061" i="60" s="1"/>
  <c r="V1060" i="60"/>
  <c r="W1060" i="60" s="1"/>
  <c r="V1059" i="60"/>
  <c r="W1059" i="60" s="1"/>
  <c r="V1058" i="60"/>
  <c r="W1058" i="60" s="1"/>
  <c r="V1057" i="60"/>
  <c r="W1057" i="60" s="1"/>
  <c r="V1056" i="60"/>
  <c r="W1056" i="60" s="1"/>
  <c r="V1055" i="60"/>
  <c r="W1055" i="60" s="1"/>
  <c r="V1054" i="60"/>
  <c r="W1054" i="60" s="1"/>
  <c r="V1053" i="60"/>
  <c r="W1053" i="60" s="1"/>
  <c r="V1052" i="60"/>
  <c r="W1052" i="60" s="1"/>
  <c r="V1051" i="60"/>
  <c r="W1051" i="60" s="1"/>
  <c r="V1050" i="60"/>
  <c r="W1050" i="60" s="1"/>
  <c r="V1049" i="60"/>
  <c r="W1049" i="60" s="1"/>
  <c r="V1048" i="60"/>
  <c r="W1048" i="60" s="1"/>
  <c r="V1047" i="60"/>
  <c r="W1047" i="60" s="1"/>
  <c r="V1046" i="60"/>
  <c r="W1046" i="60" s="1"/>
  <c r="V1045" i="60"/>
  <c r="W1045" i="60" s="1"/>
  <c r="V1044" i="60"/>
  <c r="W1044" i="60" s="1"/>
  <c r="V1043" i="60"/>
  <c r="W1043" i="60" s="1"/>
  <c r="V1042" i="60"/>
  <c r="W1042" i="60" s="1"/>
  <c r="V1041" i="60"/>
  <c r="W1041" i="60" s="1"/>
  <c r="V1040" i="60"/>
  <c r="W1040" i="60" s="1"/>
  <c r="V1039" i="60"/>
  <c r="W1039" i="60" s="1"/>
  <c r="V1038" i="60"/>
  <c r="W1038" i="60" s="1"/>
  <c r="V1037" i="60"/>
  <c r="W1037" i="60" s="1"/>
  <c r="V1036" i="60"/>
  <c r="W1036" i="60" s="1"/>
  <c r="V1035" i="60"/>
  <c r="W1035" i="60" s="1"/>
  <c r="V1034" i="60"/>
  <c r="W1034" i="60" s="1"/>
  <c r="V1033" i="60"/>
  <c r="W1033" i="60" s="1"/>
  <c r="V1032" i="60"/>
  <c r="W1032" i="60" s="1"/>
  <c r="V1031" i="60"/>
  <c r="W1031" i="60" s="1"/>
  <c r="V1030" i="60"/>
  <c r="W1030" i="60" s="1"/>
  <c r="V1029" i="60"/>
  <c r="W1029" i="60" s="1"/>
  <c r="V1028" i="60"/>
  <c r="W1028" i="60" s="1"/>
  <c r="V1027" i="60"/>
  <c r="W1027" i="60" s="1"/>
  <c r="V1026" i="60"/>
  <c r="W1026" i="60" s="1"/>
  <c r="V1025" i="60"/>
  <c r="W1025" i="60" s="1"/>
  <c r="V1024" i="60"/>
  <c r="W1024" i="60" s="1"/>
  <c r="V1023" i="60"/>
  <c r="W1023" i="60" s="1"/>
  <c r="V1022" i="60"/>
  <c r="W1022" i="60" s="1"/>
  <c r="V1021" i="60"/>
  <c r="W1021" i="60" s="1"/>
  <c r="V1020" i="60"/>
  <c r="W1020" i="60" s="1"/>
  <c r="V1019" i="60"/>
  <c r="W1019" i="60" s="1"/>
  <c r="V1018" i="60"/>
  <c r="W1018" i="60" s="1"/>
  <c r="V1017" i="60"/>
  <c r="W1017" i="60" s="1"/>
  <c r="V1016" i="60"/>
  <c r="W1016" i="60" s="1"/>
  <c r="V1015" i="60"/>
  <c r="W1015" i="60" s="1"/>
  <c r="V1014" i="60"/>
  <c r="W1014" i="60" s="1"/>
  <c r="V1013" i="60"/>
  <c r="W1013" i="60" s="1"/>
  <c r="V1012" i="60"/>
  <c r="W1012" i="60" s="1"/>
  <c r="V1011" i="60"/>
  <c r="W1011" i="60" s="1"/>
  <c r="V1010" i="60"/>
  <c r="W1010" i="60" s="1"/>
  <c r="V1009" i="60"/>
  <c r="W1009" i="60" s="1"/>
  <c r="V1008" i="60"/>
  <c r="W1008" i="60" s="1"/>
  <c r="V1007" i="60"/>
  <c r="W1007" i="60" s="1"/>
  <c r="V1006" i="60"/>
  <c r="W1006" i="60" s="1"/>
  <c r="V1005" i="60"/>
  <c r="W1005" i="60" s="1"/>
  <c r="V1004" i="60"/>
  <c r="W1004" i="60" s="1"/>
  <c r="V1003" i="60"/>
  <c r="W1003" i="60" s="1"/>
  <c r="V1002" i="60"/>
  <c r="W1002" i="60" s="1"/>
  <c r="V1001" i="60"/>
  <c r="W1001" i="60" s="1"/>
  <c r="V1000" i="60"/>
  <c r="W1000" i="60" s="1"/>
  <c r="V999" i="60"/>
  <c r="W999" i="60" s="1"/>
  <c r="V998" i="60"/>
  <c r="W998" i="60" s="1"/>
  <c r="V997" i="60"/>
  <c r="W997" i="60" s="1"/>
  <c r="V996" i="60"/>
  <c r="W996" i="60" s="1"/>
  <c r="V995" i="60"/>
  <c r="W995" i="60" s="1"/>
  <c r="V994" i="60"/>
  <c r="W994" i="60" s="1"/>
  <c r="V993" i="60"/>
  <c r="W993" i="60" s="1"/>
  <c r="V992" i="60"/>
  <c r="W992" i="60" s="1"/>
  <c r="V991" i="60"/>
  <c r="W991" i="60" s="1"/>
  <c r="V990" i="60"/>
  <c r="W990" i="60" s="1"/>
  <c r="V989" i="60"/>
  <c r="W989" i="60" s="1"/>
  <c r="V988" i="60"/>
  <c r="W988" i="60" s="1"/>
  <c r="V987" i="60"/>
  <c r="W987" i="60" s="1"/>
  <c r="V986" i="60"/>
  <c r="W986" i="60" s="1"/>
  <c r="V985" i="60"/>
  <c r="W985" i="60" s="1"/>
  <c r="V984" i="60"/>
  <c r="W984" i="60" s="1"/>
  <c r="V983" i="60"/>
  <c r="W983" i="60" s="1"/>
  <c r="V982" i="60"/>
  <c r="W982" i="60" s="1"/>
  <c r="V981" i="60"/>
  <c r="W981" i="60" s="1"/>
  <c r="V980" i="60"/>
  <c r="W980" i="60" s="1"/>
  <c r="V979" i="60"/>
  <c r="W979" i="60" s="1"/>
  <c r="V978" i="60"/>
  <c r="W978" i="60" s="1"/>
  <c r="V977" i="60"/>
  <c r="W977" i="60" s="1"/>
  <c r="V976" i="60"/>
  <c r="W976" i="60" s="1"/>
  <c r="V975" i="60"/>
  <c r="W975" i="60" s="1"/>
  <c r="V974" i="60"/>
  <c r="W974" i="60" s="1"/>
  <c r="V973" i="60"/>
  <c r="W973" i="60" s="1"/>
  <c r="V972" i="60"/>
  <c r="W972" i="60" s="1"/>
  <c r="V971" i="60"/>
  <c r="W971" i="60" s="1"/>
  <c r="V970" i="60"/>
  <c r="W970" i="60" s="1"/>
  <c r="V969" i="60"/>
  <c r="W969" i="60" s="1"/>
  <c r="V968" i="60"/>
  <c r="W968" i="60" s="1"/>
  <c r="V967" i="60"/>
  <c r="W967" i="60" s="1"/>
  <c r="V966" i="60"/>
  <c r="W966" i="60" s="1"/>
  <c r="V965" i="60"/>
  <c r="W965" i="60" s="1"/>
  <c r="V964" i="60"/>
  <c r="W964" i="60" s="1"/>
  <c r="V963" i="60"/>
  <c r="W963" i="60" s="1"/>
  <c r="V962" i="60"/>
  <c r="W962" i="60" s="1"/>
  <c r="V961" i="60"/>
  <c r="W961" i="60" s="1"/>
  <c r="V960" i="60"/>
  <c r="W960" i="60" s="1"/>
  <c r="V959" i="60"/>
  <c r="W959" i="60" s="1"/>
  <c r="V958" i="60"/>
  <c r="W958" i="60" s="1"/>
  <c r="V957" i="60"/>
  <c r="W957" i="60" s="1"/>
  <c r="V956" i="60"/>
  <c r="W956" i="60" s="1"/>
  <c r="V955" i="60"/>
  <c r="W955" i="60" s="1"/>
  <c r="V954" i="60"/>
  <c r="W954" i="60" s="1"/>
  <c r="V953" i="60"/>
  <c r="W953" i="60" s="1"/>
  <c r="V952" i="60"/>
  <c r="W952" i="60" s="1"/>
  <c r="V951" i="60"/>
  <c r="W951" i="60" s="1"/>
  <c r="V950" i="60"/>
  <c r="W950" i="60" s="1"/>
  <c r="V949" i="60"/>
  <c r="W949" i="60" s="1"/>
  <c r="V948" i="60"/>
  <c r="W948" i="60" s="1"/>
  <c r="V947" i="60"/>
  <c r="W947" i="60" s="1"/>
  <c r="V946" i="60"/>
  <c r="W946" i="60" s="1"/>
  <c r="V945" i="60"/>
  <c r="W945" i="60" s="1"/>
  <c r="V944" i="60"/>
  <c r="W944" i="60" s="1"/>
  <c r="V943" i="60"/>
  <c r="W943" i="60" s="1"/>
  <c r="V942" i="60"/>
  <c r="W942" i="60" s="1"/>
  <c r="V941" i="60"/>
  <c r="W941" i="60" s="1"/>
  <c r="V940" i="60"/>
  <c r="W940" i="60" s="1"/>
  <c r="V939" i="60"/>
  <c r="W939" i="60" s="1"/>
  <c r="V938" i="60"/>
  <c r="W938" i="60" s="1"/>
  <c r="V937" i="60"/>
  <c r="W937" i="60" s="1"/>
  <c r="V936" i="60"/>
  <c r="W936" i="60" s="1"/>
  <c r="V935" i="60"/>
  <c r="W935" i="60" s="1"/>
  <c r="V934" i="60"/>
  <c r="W934" i="60" s="1"/>
  <c r="V933" i="60"/>
  <c r="W933" i="60" s="1"/>
  <c r="V932" i="60"/>
  <c r="W932" i="60" s="1"/>
  <c r="V931" i="60"/>
  <c r="W931" i="60" s="1"/>
  <c r="V930" i="60"/>
  <c r="W930" i="60" s="1"/>
  <c r="V929" i="60"/>
  <c r="W929" i="60" s="1"/>
  <c r="V928" i="60"/>
  <c r="W928" i="60" s="1"/>
  <c r="V927" i="60"/>
  <c r="W927" i="60" s="1"/>
  <c r="V926" i="60"/>
  <c r="W926" i="60" s="1"/>
  <c r="V925" i="60"/>
  <c r="W925" i="60" s="1"/>
  <c r="V924" i="60"/>
  <c r="W924" i="60" s="1"/>
  <c r="V923" i="60"/>
  <c r="W923" i="60" s="1"/>
  <c r="V922" i="60"/>
  <c r="W922" i="60" s="1"/>
  <c r="V921" i="60"/>
  <c r="W921" i="60" s="1"/>
  <c r="V920" i="60"/>
  <c r="W920" i="60" s="1"/>
  <c r="V919" i="60"/>
  <c r="W919" i="60" s="1"/>
  <c r="V918" i="60"/>
  <c r="W918" i="60" s="1"/>
  <c r="V917" i="60"/>
  <c r="W917" i="60" s="1"/>
  <c r="V916" i="60"/>
  <c r="W916" i="60" s="1"/>
  <c r="V915" i="60"/>
  <c r="W915" i="60" s="1"/>
  <c r="V914" i="60"/>
  <c r="W914" i="60" s="1"/>
  <c r="V913" i="60"/>
  <c r="W913" i="60" s="1"/>
  <c r="V912" i="60"/>
  <c r="W912" i="60" s="1"/>
  <c r="V911" i="60"/>
  <c r="W911" i="60" s="1"/>
  <c r="V910" i="60"/>
  <c r="W910" i="60" s="1"/>
  <c r="V909" i="60"/>
  <c r="W909" i="60" s="1"/>
  <c r="V908" i="60"/>
  <c r="W908" i="60" s="1"/>
  <c r="V907" i="60"/>
  <c r="W907" i="60" s="1"/>
  <c r="V906" i="60"/>
  <c r="W906" i="60" s="1"/>
  <c r="V905" i="60"/>
  <c r="W905" i="60" s="1"/>
  <c r="V904" i="60"/>
  <c r="W904" i="60" s="1"/>
  <c r="V903" i="60"/>
  <c r="W903" i="60" s="1"/>
  <c r="V902" i="60"/>
  <c r="W902" i="60" s="1"/>
  <c r="V901" i="60"/>
  <c r="W901" i="60" s="1"/>
  <c r="V900" i="60"/>
  <c r="W900" i="60" s="1"/>
  <c r="V899" i="60"/>
  <c r="W899" i="60" s="1"/>
  <c r="V898" i="60"/>
  <c r="W898" i="60" s="1"/>
  <c r="V897" i="60"/>
  <c r="W897" i="60" s="1"/>
  <c r="V896" i="60"/>
  <c r="W896" i="60" s="1"/>
  <c r="V895" i="60"/>
  <c r="W895" i="60" s="1"/>
  <c r="V894" i="60"/>
  <c r="W894" i="60" s="1"/>
  <c r="V893" i="60"/>
  <c r="W893" i="60" s="1"/>
  <c r="V892" i="60"/>
  <c r="W892" i="60" s="1"/>
  <c r="V891" i="60"/>
  <c r="W891" i="60" s="1"/>
  <c r="V890" i="60"/>
  <c r="W890" i="60" s="1"/>
  <c r="V889" i="60"/>
  <c r="W889" i="60" s="1"/>
  <c r="V888" i="60"/>
  <c r="W888" i="60" s="1"/>
  <c r="V887" i="60"/>
  <c r="W887" i="60" s="1"/>
  <c r="V886" i="60"/>
  <c r="W886" i="60" s="1"/>
  <c r="V885" i="60"/>
  <c r="W885" i="60" s="1"/>
  <c r="V884" i="60"/>
  <c r="W884" i="60" s="1"/>
  <c r="V883" i="60"/>
  <c r="W883" i="60" s="1"/>
  <c r="V882" i="60"/>
  <c r="W882" i="60" s="1"/>
  <c r="V881" i="60"/>
  <c r="W881" i="60" s="1"/>
  <c r="V880" i="60"/>
  <c r="W880" i="60" s="1"/>
  <c r="V879" i="60"/>
  <c r="W879" i="60" s="1"/>
  <c r="V878" i="60"/>
  <c r="W878" i="60" s="1"/>
  <c r="V877" i="60"/>
  <c r="W877" i="60" s="1"/>
  <c r="V876" i="60"/>
  <c r="W876" i="60" s="1"/>
  <c r="V875" i="60"/>
  <c r="W875" i="60" s="1"/>
  <c r="V874" i="60"/>
  <c r="W874" i="60" s="1"/>
  <c r="V873" i="60"/>
  <c r="W873" i="60" s="1"/>
  <c r="V872" i="60"/>
  <c r="W872" i="60" s="1"/>
  <c r="V871" i="60"/>
  <c r="W871" i="60" s="1"/>
  <c r="V870" i="60"/>
  <c r="W870" i="60" s="1"/>
  <c r="V869" i="60"/>
  <c r="W869" i="60" s="1"/>
  <c r="V868" i="60"/>
  <c r="W868" i="60" s="1"/>
  <c r="V867" i="60"/>
  <c r="W867" i="60" s="1"/>
  <c r="V866" i="60"/>
  <c r="W866" i="60" s="1"/>
  <c r="V865" i="60"/>
  <c r="W865" i="60" s="1"/>
  <c r="V864" i="60"/>
  <c r="W864" i="60" s="1"/>
  <c r="V863" i="60"/>
  <c r="W863" i="60" s="1"/>
  <c r="V862" i="60"/>
  <c r="W862" i="60" s="1"/>
  <c r="V861" i="60"/>
  <c r="W861" i="60" s="1"/>
  <c r="V860" i="60"/>
  <c r="W860" i="60" s="1"/>
  <c r="V859" i="60"/>
  <c r="W859" i="60" s="1"/>
  <c r="V858" i="60"/>
  <c r="W858" i="60" s="1"/>
  <c r="V857" i="60"/>
  <c r="W857" i="60" s="1"/>
  <c r="V856" i="60"/>
  <c r="W856" i="60" s="1"/>
  <c r="V855" i="60"/>
  <c r="W855" i="60" s="1"/>
  <c r="V854" i="60"/>
  <c r="W854" i="60" s="1"/>
  <c r="V853" i="60"/>
  <c r="W853" i="60" s="1"/>
  <c r="V852" i="60"/>
  <c r="W852" i="60" s="1"/>
  <c r="V851" i="60"/>
  <c r="W851" i="60" s="1"/>
  <c r="V850" i="60"/>
  <c r="W850" i="60" s="1"/>
  <c r="V849" i="60"/>
  <c r="W849" i="60" s="1"/>
  <c r="V848" i="60"/>
  <c r="W848" i="60" s="1"/>
  <c r="V847" i="60"/>
  <c r="W847" i="60" s="1"/>
  <c r="V846" i="60"/>
  <c r="W846" i="60" s="1"/>
  <c r="V845" i="60"/>
  <c r="W845" i="60" s="1"/>
  <c r="V844" i="60"/>
  <c r="W844" i="60" s="1"/>
  <c r="V843" i="60"/>
  <c r="W843" i="60" s="1"/>
  <c r="V842" i="60"/>
  <c r="W842" i="60" s="1"/>
  <c r="V841" i="60"/>
  <c r="W841" i="60" s="1"/>
  <c r="V840" i="60"/>
  <c r="W840" i="60" s="1"/>
  <c r="V839" i="60"/>
  <c r="W839" i="60" s="1"/>
  <c r="V838" i="60"/>
  <c r="W838" i="60" s="1"/>
  <c r="V837" i="60"/>
  <c r="W837" i="60" s="1"/>
  <c r="V836" i="60"/>
  <c r="W836" i="60" s="1"/>
  <c r="V835" i="60"/>
  <c r="W835" i="60" s="1"/>
  <c r="V834" i="60"/>
  <c r="W834" i="60" s="1"/>
  <c r="V833" i="60"/>
  <c r="W833" i="60" s="1"/>
  <c r="V832" i="60"/>
  <c r="W832" i="60" s="1"/>
  <c r="V831" i="60"/>
  <c r="W831" i="60" s="1"/>
  <c r="V830" i="60"/>
  <c r="W830" i="60" s="1"/>
  <c r="V829" i="60"/>
  <c r="W829" i="60" s="1"/>
  <c r="V828" i="60"/>
  <c r="W828" i="60" s="1"/>
  <c r="V827" i="60"/>
  <c r="W827" i="60" s="1"/>
  <c r="V826" i="60"/>
  <c r="W826" i="60" s="1"/>
  <c r="V825" i="60"/>
  <c r="W825" i="60" s="1"/>
  <c r="V824" i="60"/>
  <c r="W824" i="60" s="1"/>
  <c r="V823" i="60"/>
  <c r="W823" i="60" s="1"/>
  <c r="V822" i="60"/>
  <c r="W822" i="60" s="1"/>
  <c r="V821" i="60"/>
  <c r="W821" i="60" s="1"/>
  <c r="V820" i="60"/>
  <c r="W820" i="60" s="1"/>
  <c r="V819" i="60"/>
  <c r="W819" i="60" s="1"/>
  <c r="V818" i="60"/>
  <c r="W818" i="60" s="1"/>
  <c r="V817" i="60"/>
  <c r="W817" i="60" s="1"/>
  <c r="V816" i="60"/>
  <c r="W816" i="60" s="1"/>
  <c r="V815" i="60"/>
  <c r="W815" i="60" s="1"/>
  <c r="V814" i="60"/>
  <c r="W814" i="60" s="1"/>
  <c r="V813" i="60"/>
  <c r="W813" i="60" s="1"/>
  <c r="V812" i="60"/>
  <c r="W812" i="60" s="1"/>
  <c r="V811" i="60"/>
  <c r="W811" i="60" s="1"/>
  <c r="V810" i="60"/>
  <c r="W810" i="60" s="1"/>
  <c r="V809" i="60"/>
  <c r="W809" i="60" s="1"/>
  <c r="V808" i="60"/>
  <c r="W808" i="60" s="1"/>
  <c r="V807" i="60"/>
  <c r="W807" i="60" s="1"/>
  <c r="V806" i="60"/>
  <c r="W806" i="60" s="1"/>
  <c r="V805" i="60"/>
  <c r="W805" i="60" s="1"/>
  <c r="V804" i="60"/>
  <c r="W804" i="60" s="1"/>
  <c r="V803" i="60"/>
  <c r="W803" i="60" s="1"/>
  <c r="V802" i="60"/>
  <c r="W802" i="60" s="1"/>
  <c r="V801" i="60"/>
  <c r="W801" i="60" s="1"/>
  <c r="V800" i="60"/>
  <c r="W800" i="60" s="1"/>
  <c r="V799" i="60"/>
  <c r="W799" i="60" s="1"/>
  <c r="V798" i="60"/>
  <c r="W798" i="60" s="1"/>
  <c r="V797" i="60"/>
  <c r="W797" i="60" s="1"/>
  <c r="V796" i="60"/>
  <c r="W796" i="60" s="1"/>
  <c r="V795" i="60"/>
  <c r="W795" i="60" s="1"/>
  <c r="V794" i="60"/>
  <c r="W794" i="60" s="1"/>
  <c r="V793" i="60"/>
  <c r="W793" i="60" s="1"/>
  <c r="V792" i="60"/>
  <c r="W792" i="60" s="1"/>
  <c r="V791" i="60"/>
  <c r="W791" i="60" s="1"/>
  <c r="V790" i="60"/>
  <c r="W790" i="60" s="1"/>
  <c r="V789" i="60"/>
  <c r="W789" i="60" s="1"/>
  <c r="V788" i="60"/>
  <c r="W788" i="60" s="1"/>
  <c r="V787" i="60"/>
  <c r="W787" i="60" s="1"/>
  <c r="V786" i="60"/>
  <c r="W786" i="60" s="1"/>
  <c r="V785" i="60"/>
  <c r="W785" i="60" s="1"/>
  <c r="V784" i="60"/>
  <c r="W784" i="60" s="1"/>
  <c r="V783" i="60"/>
  <c r="W783" i="60" s="1"/>
  <c r="V782" i="60"/>
  <c r="W782" i="60" s="1"/>
  <c r="V781" i="60"/>
  <c r="W781" i="60" s="1"/>
  <c r="V780" i="60"/>
  <c r="W780" i="60" s="1"/>
  <c r="V779" i="60"/>
  <c r="W779" i="60" s="1"/>
  <c r="V778" i="60"/>
  <c r="W778" i="60" s="1"/>
  <c r="V777" i="60"/>
  <c r="W777" i="60" s="1"/>
  <c r="V776" i="60"/>
  <c r="W776" i="60" s="1"/>
  <c r="V775" i="60"/>
  <c r="W775" i="60" s="1"/>
  <c r="V774" i="60"/>
  <c r="W774" i="60" s="1"/>
  <c r="V773" i="60"/>
  <c r="W773" i="60" s="1"/>
  <c r="V772" i="60"/>
  <c r="W772" i="60" s="1"/>
  <c r="V771" i="60"/>
  <c r="W771" i="60" s="1"/>
  <c r="V770" i="60"/>
  <c r="W770" i="60" s="1"/>
  <c r="V769" i="60"/>
  <c r="W769" i="60" s="1"/>
  <c r="V768" i="60"/>
  <c r="W768" i="60" s="1"/>
  <c r="V767" i="60"/>
  <c r="W767" i="60" s="1"/>
  <c r="V766" i="60"/>
  <c r="W766" i="60" s="1"/>
  <c r="V765" i="60"/>
  <c r="W765" i="60" s="1"/>
  <c r="V764" i="60"/>
  <c r="W764" i="60" s="1"/>
  <c r="V763" i="60"/>
  <c r="W763" i="60" s="1"/>
  <c r="V762" i="60"/>
  <c r="W762" i="60" s="1"/>
  <c r="V761" i="60"/>
  <c r="W761" i="60" s="1"/>
  <c r="V760" i="60"/>
  <c r="W760" i="60" s="1"/>
  <c r="V759" i="60"/>
  <c r="W759" i="60" s="1"/>
  <c r="V758" i="60"/>
  <c r="W758" i="60" s="1"/>
  <c r="V757" i="60"/>
  <c r="W757" i="60" s="1"/>
  <c r="V756" i="60"/>
  <c r="W756" i="60" s="1"/>
  <c r="V755" i="60"/>
  <c r="W755" i="60" s="1"/>
  <c r="V754" i="60"/>
  <c r="W754" i="60" s="1"/>
  <c r="V753" i="60"/>
  <c r="W753" i="60" s="1"/>
  <c r="V752" i="60"/>
  <c r="W752" i="60" s="1"/>
  <c r="V751" i="60"/>
  <c r="W751" i="60" s="1"/>
  <c r="V750" i="60"/>
  <c r="W750" i="60" s="1"/>
  <c r="V749" i="60"/>
  <c r="W749" i="60" s="1"/>
  <c r="V748" i="60"/>
  <c r="W748" i="60" s="1"/>
  <c r="V747" i="60"/>
  <c r="W747" i="60" s="1"/>
  <c r="V746" i="60"/>
  <c r="W746" i="60" s="1"/>
  <c r="V745" i="60"/>
  <c r="W745" i="60" s="1"/>
  <c r="V744" i="60"/>
  <c r="W744" i="60" s="1"/>
  <c r="V743" i="60"/>
  <c r="W743" i="60" s="1"/>
  <c r="V742" i="60"/>
  <c r="W742" i="60" s="1"/>
  <c r="V741" i="60"/>
  <c r="W741" i="60" s="1"/>
  <c r="V740" i="60"/>
  <c r="W740" i="60" s="1"/>
  <c r="V739" i="60"/>
  <c r="W739" i="60" s="1"/>
  <c r="V738" i="60"/>
  <c r="W738" i="60" s="1"/>
  <c r="V737" i="60"/>
  <c r="W737" i="60" s="1"/>
  <c r="V736" i="60"/>
  <c r="W736" i="60" s="1"/>
  <c r="V735" i="60"/>
  <c r="W735" i="60" s="1"/>
  <c r="V734" i="60"/>
  <c r="W734" i="60" s="1"/>
  <c r="V733" i="60"/>
  <c r="W733" i="60" s="1"/>
  <c r="V732" i="60"/>
  <c r="W732" i="60" s="1"/>
  <c r="V731" i="60"/>
  <c r="W731" i="60" s="1"/>
  <c r="V730" i="60"/>
  <c r="W730" i="60" s="1"/>
  <c r="V729" i="60"/>
  <c r="W729" i="60" s="1"/>
  <c r="V728" i="60"/>
  <c r="W728" i="60" s="1"/>
  <c r="V727" i="60"/>
  <c r="W727" i="60" s="1"/>
  <c r="V726" i="60"/>
  <c r="W726" i="60" s="1"/>
  <c r="V725" i="60"/>
  <c r="W725" i="60" s="1"/>
  <c r="V724" i="60"/>
  <c r="W724" i="60" s="1"/>
  <c r="V723" i="60"/>
  <c r="W723" i="60" s="1"/>
  <c r="V722" i="60"/>
  <c r="W722" i="60" s="1"/>
  <c r="V721" i="60"/>
  <c r="W721" i="60" s="1"/>
  <c r="V720" i="60"/>
  <c r="W720" i="60" s="1"/>
  <c r="V719" i="60"/>
  <c r="W719" i="60" s="1"/>
  <c r="V718" i="60"/>
  <c r="W718" i="60" s="1"/>
  <c r="V717" i="60"/>
  <c r="W717" i="60" s="1"/>
  <c r="V716" i="60"/>
  <c r="W716" i="60" s="1"/>
  <c r="V715" i="60"/>
  <c r="W715" i="60" s="1"/>
  <c r="V714" i="60"/>
  <c r="W714" i="60" s="1"/>
  <c r="V713" i="60"/>
  <c r="W713" i="60" s="1"/>
  <c r="V712" i="60"/>
  <c r="W712" i="60" s="1"/>
  <c r="V711" i="60"/>
  <c r="W711" i="60" s="1"/>
  <c r="V710" i="60"/>
  <c r="W710" i="60" s="1"/>
  <c r="V709" i="60"/>
  <c r="W709" i="60" s="1"/>
  <c r="V708" i="60"/>
  <c r="W708" i="60" s="1"/>
  <c r="V707" i="60"/>
  <c r="W707" i="60" s="1"/>
  <c r="V706" i="60"/>
  <c r="W706" i="60" s="1"/>
  <c r="V705" i="60"/>
  <c r="W705" i="60" s="1"/>
  <c r="V704" i="60"/>
  <c r="W704" i="60" s="1"/>
  <c r="V703" i="60"/>
  <c r="W703" i="60" s="1"/>
  <c r="V702" i="60"/>
  <c r="W702" i="60" s="1"/>
  <c r="V701" i="60"/>
  <c r="W701" i="60" s="1"/>
  <c r="V700" i="60"/>
  <c r="W700" i="60" s="1"/>
  <c r="V699" i="60"/>
  <c r="W699" i="60" s="1"/>
  <c r="V698" i="60"/>
  <c r="W698" i="60" s="1"/>
  <c r="V697" i="60"/>
  <c r="W697" i="60" s="1"/>
  <c r="V696" i="60"/>
  <c r="W696" i="60" s="1"/>
  <c r="V695" i="60"/>
  <c r="W695" i="60" s="1"/>
  <c r="V694" i="60"/>
  <c r="W694" i="60" s="1"/>
  <c r="V693" i="60"/>
  <c r="W693" i="60" s="1"/>
  <c r="V692" i="60"/>
  <c r="W692" i="60" s="1"/>
  <c r="V691" i="60"/>
  <c r="W691" i="60" s="1"/>
  <c r="V690" i="60"/>
  <c r="W690" i="60" s="1"/>
  <c r="V689" i="60"/>
  <c r="W689" i="60" s="1"/>
  <c r="V688" i="60"/>
  <c r="W688" i="60" s="1"/>
  <c r="V687" i="60"/>
  <c r="W687" i="60" s="1"/>
  <c r="V686" i="60"/>
  <c r="W686" i="60" s="1"/>
  <c r="V685" i="60"/>
  <c r="W685" i="60" s="1"/>
  <c r="V684" i="60"/>
  <c r="W684" i="60" s="1"/>
  <c r="V683" i="60"/>
  <c r="W683" i="60" s="1"/>
  <c r="V682" i="60"/>
  <c r="W682" i="60" s="1"/>
  <c r="V681" i="60"/>
  <c r="W681" i="60" s="1"/>
  <c r="V680" i="60"/>
  <c r="W680" i="60" s="1"/>
  <c r="V679" i="60"/>
  <c r="W679" i="60" s="1"/>
  <c r="V678" i="60"/>
  <c r="W678" i="60" s="1"/>
  <c r="V677" i="60"/>
  <c r="W677" i="60" s="1"/>
  <c r="V676" i="60"/>
  <c r="W676" i="60" s="1"/>
  <c r="V675" i="60"/>
  <c r="W675" i="60" s="1"/>
  <c r="V674" i="60"/>
  <c r="W674" i="60" s="1"/>
  <c r="V673" i="60"/>
  <c r="W673" i="60" s="1"/>
  <c r="V672" i="60"/>
  <c r="W672" i="60" s="1"/>
  <c r="V671" i="60"/>
  <c r="W671" i="60" s="1"/>
  <c r="V670" i="60"/>
  <c r="W670" i="60" s="1"/>
  <c r="V669" i="60"/>
  <c r="W669" i="60" s="1"/>
  <c r="V668" i="60"/>
  <c r="W668" i="60" s="1"/>
  <c r="V667" i="60"/>
  <c r="W667" i="60" s="1"/>
  <c r="V666" i="60"/>
  <c r="W666" i="60" s="1"/>
  <c r="V665" i="60"/>
  <c r="W665" i="60" s="1"/>
  <c r="V664" i="60"/>
  <c r="W664" i="60" s="1"/>
  <c r="V663" i="60"/>
  <c r="W663" i="60" s="1"/>
  <c r="V662" i="60"/>
  <c r="W662" i="60" s="1"/>
  <c r="V661" i="60"/>
  <c r="W661" i="60" s="1"/>
  <c r="V660" i="60"/>
  <c r="W660" i="60" s="1"/>
  <c r="V659" i="60"/>
  <c r="W659" i="60" s="1"/>
  <c r="V658" i="60"/>
  <c r="W658" i="60" s="1"/>
  <c r="V657" i="60"/>
  <c r="W657" i="60" s="1"/>
  <c r="V656" i="60"/>
  <c r="W656" i="60" s="1"/>
  <c r="V655" i="60"/>
  <c r="W655" i="60" s="1"/>
  <c r="V654" i="60"/>
  <c r="W654" i="60" s="1"/>
  <c r="V653" i="60"/>
  <c r="W653" i="60" s="1"/>
  <c r="V652" i="60"/>
  <c r="W652" i="60" s="1"/>
  <c r="V651" i="60"/>
  <c r="W651" i="60" s="1"/>
  <c r="V650" i="60"/>
  <c r="W650" i="60" s="1"/>
  <c r="V649" i="60"/>
  <c r="W649" i="60" s="1"/>
  <c r="V648" i="60"/>
  <c r="W648" i="60" s="1"/>
  <c r="V647" i="60"/>
  <c r="W647" i="60" s="1"/>
  <c r="V646" i="60"/>
  <c r="W646" i="60" s="1"/>
  <c r="V645" i="60"/>
  <c r="W645" i="60" s="1"/>
  <c r="V644" i="60"/>
  <c r="W644" i="60" s="1"/>
  <c r="V643" i="60"/>
  <c r="W643" i="60" s="1"/>
  <c r="V642" i="60"/>
  <c r="W642" i="60" s="1"/>
  <c r="V641" i="60"/>
  <c r="W641" i="60" s="1"/>
  <c r="V640" i="60"/>
  <c r="W640" i="60" s="1"/>
  <c r="V639" i="60"/>
  <c r="W639" i="60" s="1"/>
  <c r="V638" i="60"/>
  <c r="W638" i="60" s="1"/>
  <c r="V637" i="60"/>
  <c r="W637" i="60" s="1"/>
  <c r="V636" i="60"/>
  <c r="W636" i="60" s="1"/>
  <c r="V635" i="60"/>
  <c r="W635" i="60" s="1"/>
  <c r="V634" i="60"/>
  <c r="W634" i="60" s="1"/>
  <c r="V633" i="60"/>
  <c r="W633" i="60" s="1"/>
  <c r="V632" i="60"/>
  <c r="W632" i="60" s="1"/>
  <c r="V631" i="60"/>
  <c r="W631" i="60" s="1"/>
  <c r="V630" i="60"/>
  <c r="W630" i="60" s="1"/>
  <c r="V629" i="60"/>
  <c r="W629" i="60" s="1"/>
  <c r="V628" i="60"/>
  <c r="W628" i="60" s="1"/>
  <c r="V627" i="60"/>
  <c r="W627" i="60" s="1"/>
  <c r="V626" i="60"/>
  <c r="W626" i="60" s="1"/>
  <c r="V625" i="60"/>
  <c r="W625" i="60" s="1"/>
  <c r="V624" i="60"/>
  <c r="W624" i="60" s="1"/>
  <c r="V623" i="60"/>
  <c r="W623" i="60" s="1"/>
  <c r="V622" i="60"/>
  <c r="W622" i="60" s="1"/>
  <c r="V621" i="60"/>
  <c r="W621" i="60" s="1"/>
  <c r="V620" i="60"/>
  <c r="W620" i="60" s="1"/>
  <c r="V619" i="60"/>
  <c r="W619" i="60" s="1"/>
  <c r="V618" i="60"/>
  <c r="W618" i="60" s="1"/>
  <c r="V617" i="60"/>
  <c r="W617" i="60" s="1"/>
  <c r="V616" i="60"/>
  <c r="W616" i="60" s="1"/>
  <c r="V615" i="60"/>
  <c r="W615" i="60" s="1"/>
  <c r="V614" i="60"/>
  <c r="W614" i="60" s="1"/>
  <c r="V613" i="60"/>
  <c r="W613" i="60" s="1"/>
  <c r="V612" i="60"/>
  <c r="W612" i="60" s="1"/>
  <c r="V611" i="60"/>
  <c r="W611" i="60" s="1"/>
  <c r="V610" i="60"/>
  <c r="W610" i="60" s="1"/>
  <c r="V609" i="60"/>
  <c r="W609" i="60" s="1"/>
  <c r="V608" i="60"/>
  <c r="W608" i="60" s="1"/>
  <c r="V607" i="60"/>
  <c r="W607" i="60" s="1"/>
  <c r="V606" i="60"/>
  <c r="W606" i="60" s="1"/>
  <c r="V605" i="60"/>
  <c r="W605" i="60" s="1"/>
  <c r="V604" i="60"/>
  <c r="W604" i="60" s="1"/>
  <c r="V603" i="60"/>
  <c r="W603" i="60" s="1"/>
  <c r="V602" i="60"/>
  <c r="W602" i="60" s="1"/>
  <c r="V601" i="60"/>
  <c r="W601" i="60" s="1"/>
  <c r="V600" i="60"/>
  <c r="W600" i="60" s="1"/>
  <c r="V599" i="60"/>
  <c r="W599" i="60" s="1"/>
  <c r="V598" i="60"/>
  <c r="W598" i="60" s="1"/>
  <c r="V597" i="60"/>
  <c r="W597" i="60" s="1"/>
  <c r="V596" i="60"/>
  <c r="W596" i="60" s="1"/>
  <c r="V595" i="60"/>
  <c r="W595" i="60" s="1"/>
  <c r="V594" i="60"/>
  <c r="W594" i="60" s="1"/>
  <c r="V593" i="60"/>
  <c r="W593" i="60" s="1"/>
  <c r="V592" i="60"/>
  <c r="W592" i="60" s="1"/>
  <c r="V591" i="60"/>
  <c r="W591" i="60" s="1"/>
  <c r="V590" i="60"/>
  <c r="W590" i="60" s="1"/>
  <c r="V589" i="60"/>
  <c r="W589" i="60" s="1"/>
  <c r="V588" i="60"/>
  <c r="W588" i="60" s="1"/>
  <c r="V587" i="60"/>
  <c r="W587" i="60" s="1"/>
  <c r="V586" i="60"/>
  <c r="W586" i="60" s="1"/>
  <c r="V585" i="60"/>
  <c r="W585" i="60" s="1"/>
  <c r="V584" i="60"/>
  <c r="W584" i="60" s="1"/>
  <c r="V583" i="60"/>
  <c r="W583" i="60" s="1"/>
  <c r="V582" i="60"/>
  <c r="W582" i="60" s="1"/>
  <c r="V581" i="60"/>
  <c r="W581" i="60" s="1"/>
  <c r="V580" i="60"/>
  <c r="W580" i="60" s="1"/>
  <c r="V579" i="60"/>
  <c r="W579" i="60" s="1"/>
  <c r="V578" i="60"/>
  <c r="W578" i="60" s="1"/>
  <c r="V577" i="60"/>
  <c r="W577" i="60" s="1"/>
  <c r="V576" i="60"/>
  <c r="W576" i="60" s="1"/>
  <c r="V575" i="60"/>
  <c r="W575" i="60" s="1"/>
  <c r="V574" i="60"/>
  <c r="W574" i="60" s="1"/>
  <c r="V573" i="60"/>
  <c r="W573" i="60" s="1"/>
  <c r="V572" i="60"/>
  <c r="W572" i="60" s="1"/>
  <c r="V571" i="60"/>
  <c r="W571" i="60" s="1"/>
  <c r="V570" i="60"/>
  <c r="W570" i="60" s="1"/>
  <c r="V569" i="60"/>
  <c r="W569" i="60" s="1"/>
  <c r="V568" i="60"/>
  <c r="W568" i="60" s="1"/>
  <c r="V567" i="60"/>
  <c r="W567" i="60" s="1"/>
  <c r="V566" i="60"/>
  <c r="W566" i="60" s="1"/>
  <c r="V565" i="60"/>
  <c r="W565" i="60" s="1"/>
  <c r="V564" i="60"/>
  <c r="W564" i="60" s="1"/>
  <c r="V563" i="60"/>
  <c r="W563" i="60" s="1"/>
  <c r="V562" i="60"/>
  <c r="W562" i="60" s="1"/>
  <c r="V561" i="60"/>
  <c r="W561" i="60" s="1"/>
  <c r="V560" i="60"/>
  <c r="W560" i="60" s="1"/>
  <c r="V559" i="60"/>
  <c r="W559" i="60" s="1"/>
  <c r="V558" i="60"/>
  <c r="W558" i="60" s="1"/>
  <c r="V557" i="60"/>
  <c r="W557" i="60" s="1"/>
  <c r="V556" i="60"/>
  <c r="W556" i="60" s="1"/>
  <c r="V555" i="60"/>
  <c r="W555" i="60" s="1"/>
  <c r="V554" i="60"/>
  <c r="W554" i="60" s="1"/>
  <c r="V553" i="60"/>
  <c r="W553" i="60" s="1"/>
  <c r="V552" i="60"/>
  <c r="W552" i="60" s="1"/>
  <c r="V551" i="60"/>
  <c r="W551" i="60" s="1"/>
  <c r="V550" i="60"/>
  <c r="W550" i="60" s="1"/>
  <c r="V549" i="60"/>
  <c r="W549" i="60" s="1"/>
  <c r="V548" i="60"/>
  <c r="W548" i="60" s="1"/>
  <c r="V547" i="60"/>
  <c r="W547" i="60" s="1"/>
  <c r="V546" i="60"/>
  <c r="W546" i="60" s="1"/>
  <c r="V545" i="60"/>
  <c r="W545" i="60" s="1"/>
  <c r="V544" i="60"/>
  <c r="W544" i="60" s="1"/>
  <c r="V543" i="60"/>
  <c r="W543" i="60" s="1"/>
  <c r="V542" i="60"/>
  <c r="W542" i="60" s="1"/>
  <c r="V541" i="60"/>
  <c r="W541" i="60" s="1"/>
  <c r="V540" i="60"/>
  <c r="W540" i="60" s="1"/>
  <c r="V539" i="60"/>
  <c r="W539" i="60" s="1"/>
  <c r="V538" i="60"/>
  <c r="W538" i="60" s="1"/>
  <c r="V537" i="60"/>
  <c r="W537" i="60" s="1"/>
  <c r="V536" i="60"/>
  <c r="W536" i="60" s="1"/>
  <c r="V535" i="60"/>
  <c r="W535" i="60" s="1"/>
  <c r="V534" i="60"/>
  <c r="W534" i="60" s="1"/>
  <c r="V533" i="60"/>
  <c r="W533" i="60" s="1"/>
  <c r="V532" i="60"/>
  <c r="W532" i="60" s="1"/>
  <c r="V531" i="60"/>
  <c r="W531" i="60" s="1"/>
  <c r="V530" i="60"/>
  <c r="W530" i="60" s="1"/>
  <c r="V529" i="60"/>
  <c r="W529" i="60" s="1"/>
  <c r="V528" i="60"/>
  <c r="W528" i="60" s="1"/>
  <c r="V527" i="60"/>
  <c r="W527" i="60" s="1"/>
  <c r="V526" i="60"/>
  <c r="W526" i="60" s="1"/>
  <c r="V525" i="60"/>
  <c r="W525" i="60" s="1"/>
  <c r="V524" i="60"/>
  <c r="W524" i="60" s="1"/>
  <c r="V523" i="60"/>
  <c r="W523" i="60" s="1"/>
  <c r="V522" i="60"/>
  <c r="W522" i="60" s="1"/>
  <c r="V521" i="60"/>
  <c r="W521" i="60" s="1"/>
  <c r="V520" i="60"/>
  <c r="W520" i="60" s="1"/>
  <c r="V519" i="60"/>
  <c r="W519" i="60" s="1"/>
  <c r="V518" i="60"/>
  <c r="W518" i="60" s="1"/>
  <c r="V517" i="60"/>
  <c r="W517" i="60" s="1"/>
  <c r="V516" i="60"/>
  <c r="W516" i="60" s="1"/>
  <c r="V515" i="60"/>
  <c r="W515" i="60" s="1"/>
  <c r="V514" i="60"/>
  <c r="W514" i="60" s="1"/>
  <c r="V513" i="60"/>
  <c r="W513" i="60" s="1"/>
  <c r="V512" i="60"/>
  <c r="W512" i="60" s="1"/>
  <c r="V511" i="60"/>
  <c r="W511" i="60" s="1"/>
  <c r="V510" i="60"/>
  <c r="W510" i="60" s="1"/>
  <c r="V509" i="60"/>
  <c r="W509" i="60" s="1"/>
  <c r="V508" i="60"/>
  <c r="W508" i="60" s="1"/>
  <c r="V507" i="60"/>
  <c r="W507" i="60" s="1"/>
  <c r="V506" i="60"/>
  <c r="W506" i="60" s="1"/>
  <c r="V505" i="60"/>
  <c r="W505" i="60" s="1"/>
  <c r="V504" i="60"/>
  <c r="W504" i="60" s="1"/>
  <c r="V503" i="60"/>
  <c r="W503" i="60" s="1"/>
  <c r="V502" i="60"/>
  <c r="W502" i="60" s="1"/>
  <c r="V501" i="60"/>
  <c r="W501" i="60" s="1"/>
  <c r="V500" i="60"/>
  <c r="W500" i="60" s="1"/>
  <c r="V499" i="60"/>
  <c r="W499" i="60" s="1"/>
  <c r="V498" i="60"/>
  <c r="W498" i="60" s="1"/>
  <c r="V497" i="60"/>
  <c r="W497" i="60" s="1"/>
  <c r="V496" i="60"/>
  <c r="W496" i="60" s="1"/>
  <c r="V495" i="60"/>
  <c r="W495" i="60" s="1"/>
  <c r="V494" i="60"/>
  <c r="W494" i="60" s="1"/>
  <c r="V493" i="60"/>
  <c r="W493" i="60" s="1"/>
  <c r="V492" i="60"/>
  <c r="W492" i="60" s="1"/>
  <c r="V491" i="60"/>
  <c r="W491" i="60" s="1"/>
  <c r="V490" i="60"/>
  <c r="W490" i="60" s="1"/>
  <c r="V489" i="60"/>
  <c r="W489" i="60" s="1"/>
  <c r="V488" i="60"/>
  <c r="W488" i="60" s="1"/>
  <c r="V487" i="60"/>
  <c r="W487" i="60" s="1"/>
  <c r="V486" i="60"/>
  <c r="W486" i="60" s="1"/>
  <c r="V485" i="60"/>
  <c r="W485" i="60" s="1"/>
  <c r="V484" i="60"/>
  <c r="W484" i="60" s="1"/>
  <c r="V483" i="60"/>
  <c r="W483" i="60" s="1"/>
  <c r="V482" i="60"/>
  <c r="W482" i="60" s="1"/>
  <c r="V481" i="60"/>
  <c r="W481" i="60" s="1"/>
  <c r="V480" i="60"/>
  <c r="W480" i="60" s="1"/>
  <c r="V479" i="60"/>
  <c r="W479" i="60" s="1"/>
  <c r="V478" i="60"/>
  <c r="W478" i="60" s="1"/>
  <c r="V477" i="60"/>
  <c r="W477" i="60" s="1"/>
  <c r="V476" i="60"/>
  <c r="W476" i="60" s="1"/>
  <c r="V475" i="60"/>
  <c r="W475" i="60" s="1"/>
  <c r="V474" i="60"/>
  <c r="W474" i="60" s="1"/>
  <c r="V473" i="60"/>
  <c r="W473" i="60" s="1"/>
  <c r="V472" i="60"/>
  <c r="W472" i="60" s="1"/>
  <c r="V471" i="60"/>
  <c r="W471" i="60" s="1"/>
  <c r="V470" i="60"/>
  <c r="W470" i="60" s="1"/>
  <c r="V469" i="60"/>
  <c r="W469" i="60" s="1"/>
  <c r="V468" i="60"/>
  <c r="W468" i="60" s="1"/>
  <c r="V467" i="60"/>
  <c r="W467" i="60" s="1"/>
  <c r="V466" i="60"/>
  <c r="W466" i="60" s="1"/>
  <c r="V465" i="60"/>
  <c r="W465" i="60" s="1"/>
  <c r="V464" i="60"/>
  <c r="W464" i="60" s="1"/>
  <c r="V463" i="60"/>
  <c r="W463" i="60" s="1"/>
  <c r="V462" i="60"/>
  <c r="W462" i="60" s="1"/>
  <c r="V461" i="60"/>
  <c r="W461" i="60" s="1"/>
  <c r="V460" i="60"/>
  <c r="W460" i="60" s="1"/>
  <c r="V459" i="60"/>
  <c r="W459" i="60" s="1"/>
  <c r="V458" i="60"/>
  <c r="W458" i="60" s="1"/>
  <c r="V457" i="60"/>
  <c r="W457" i="60" s="1"/>
  <c r="V456" i="60"/>
  <c r="W456" i="60" s="1"/>
  <c r="V455" i="60"/>
  <c r="W455" i="60" s="1"/>
  <c r="V454" i="60"/>
  <c r="W454" i="60" s="1"/>
  <c r="V453" i="60"/>
  <c r="W453" i="60" s="1"/>
  <c r="V452" i="60"/>
  <c r="W452" i="60" s="1"/>
  <c r="V451" i="60"/>
  <c r="W451" i="60" s="1"/>
  <c r="V450" i="60"/>
  <c r="W450" i="60" s="1"/>
  <c r="V449" i="60"/>
  <c r="W449" i="60" s="1"/>
  <c r="V448" i="60"/>
  <c r="W448" i="60" s="1"/>
  <c r="V447" i="60"/>
  <c r="W447" i="60" s="1"/>
  <c r="V446" i="60"/>
  <c r="W446" i="60" s="1"/>
  <c r="V445" i="60"/>
  <c r="W445" i="60" s="1"/>
  <c r="V444" i="60"/>
  <c r="W444" i="60" s="1"/>
  <c r="V443" i="60"/>
  <c r="W443" i="60" s="1"/>
  <c r="V442" i="60"/>
  <c r="W442" i="60" s="1"/>
  <c r="V441" i="60"/>
  <c r="W441" i="60" s="1"/>
  <c r="V440" i="60"/>
  <c r="W440" i="60" s="1"/>
  <c r="V439" i="60"/>
  <c r="W439" i="60" s="1"/>
  <c r="V438" i="60"/>
  <c r="W438" i="60" s="1"/>
  <c r="V437" i="60"/>
  <c r="W437" i="60" s="1"/>
  <c r="V436" i="60"/>
  <c r="W436" i="60" s="1"/>
  <c r="V435" i="60"/>
  <c r="W435" i="60" s="1"/>
  <c r="V434" i="60"/>
  <c r="W434" i="60" s="1"/>
  <c r="V433" i="60"/>
  <c r="W433" i="60" s="1"/>
  <c r="V432" i="60"/>
  <c r="W432" i="60" s="1"/>
  <c r="V431" i="60"/>
  <c r="W431" i="60" s="1"/>
  <c r="V430" i="60"/>
  <c r="W430" i="60" s="1"/>
  <c r="V429" i="60"/>
  <c r="W429" i="60" s="1"/>
  <c r="V428" i="60"/>
  <c r="W428" i="60" s="1"/>
  <c r="V427" i="60"/>
  <c r="W427" i="60" s="1"/>
  <c r="V426" i="60"/>
  <c r="W426" i="60" s="1"/>
  <c r="V425" i="60"/>
  <c r="W425" i="60" s="1"/>
  <c r="V424" i="60"/>
  <c r="W424" i="60" s="1"/>
  <c r="V423" i="60"/>
  <c r="W423" i="60" s="1"/>
  <c r="V422" i="60"/>
  <c r="W422" i="60" s="1"/>
  <c r="V421" i="60"/>
  <c r="W421" i="60" s="1"/>
  <c r="V420" i="60"/>
  <c r="W420" i="60" s="1"/>
  <c r="V419" i="60"/>
  <c r="W419" i="60" s="1"/>
  <c r="V418" i="60"/>
  <c r="W418" i="60" s="1"/>
  <c r="V417" i="60"/>
  <c r="W417" i="60" s="1"/>
  <c r="V416" i="60"/>
  <c r="W416" i="60" s="1"/>
  <c r="V415" i="60"/>
  <c r="W415" i="60" s="1"/>
  <c r="V414" i="60"/>
  <c r="W414" i="60" s="1"/>
  <c r="V413" i="60"/>
  <c r="W413" i="60" s="1"/>
  <c r="V412" i="60"/>
  <c r="W412" i="60" s="1"/>
  <c r="V411" i="60"/>
  <c r="W411" i="60" s="1"/>
  <c r="V410" i="60"/>
  <c r="W410" i="60" s="1"/>
  <c r="V409" i="60"/>
  <c r="W409" i="60" s="1"/>
  <c r="V408" i="60"/>
  <c r="W408" i="60" s="1"/>
  <c r="V407" i="60"/>
  <c r="W407" i="60" s="1"/>
  <c r="V406" i="60"/>
  <c r="W406" i="60" s="1"/>
  <c r="V405" i="60"/>
  <c r="W405" i="60" s="1"/>
  <c r="V404" i="60"/>
  <c r="W404" i="60" s="1"/>
  <c r="V403" i="60"/>
  <c r="W403" i="60" s="1"/>
  <c r="V402" i="60"/>
  <c r="W402" i="60" s="1"/>
  <c r="V401" i="60"/>
  <c r="W401" i="60" s="1"/>
  <c r="V400" i="60"/>
  <c r="W400" i="60" s="1"/>
  <c r="V399" i="60"/>
  <c r="W399" i="60" s="1"/>
  <c r="V398" i="60"/>
  <c r="W398" i="60" s="1"/>
  <c r="V397" i="60"/>
  <c r="W397" i="60" s="1"/>
  <c r="V396" i="60"/>
  <c r="W396" i="60" s="1"/>
  <c r="V395" i="60"/>
  <c r="W395" i="60" s="1"/>
  <c r="V394" i="60"/>
  <c r="W394" i="60" s="1"/>
  <c r="V393" i="60"/>
  <c r="W393" i="60" s="1"/>
  <c r="V392" i="60"/>
  <c r="W392" i="60" s="1"/>
  <c r="V391" i="60"/>
  <c r="W391" i="60" s="1"/>
  <c r="V390" i="60"/>
  <c r="W390" i="60" s="1"/>
  <c r="V389" i="60"/>
  <c r="W389" i="60" s="1"/>
  <c r="V388" i="60"/>
  <c r="W388" i="60" s="1"/>
  <c r="V387" i="60"/>
  <c r="W387" i="60" s="1"/>
  <c r="V386" i="60"/>
  <c r="W386" i="60" s="1"/>
  <c r="V385" i="60"/>
  <c r="W385" i="60" s="1"/>
  <c r="V384" i="60"/>
  <c r="W384" i="60" s="1"/>
  <c r="V383" i="60"/>
  <c r="W383" i="60" s="1"/>
  <c r="V382" i="60"/>
  <c r="W382" i="60" s="1"/>
  <c r="V381" i="60"/>
  <c r="W381" i="60" s="1"/>
  <c r="V380" i="60"/>
  <c r="W380" i="60" s="1"/>
  <c r="V379" i="60"/>
  <c r="W379" i="60" s="1"/>
  <c r="V378" i="60"/>
  <c r="W378" i="60" s="1"/>
  <c r="V377" i="60"/>
  <c r="W377" i="60" s="1"/>
  <c r="V376" i="60"/>
  <c r="W376" i="60" s="1"/>
  <c r="V375" i="60"/>
  <c r="W375" i="60" s="1"/>
  <c r="V374" i="60"/>
  <c r="W374" i="60" s="1"/>
  <c r="V373" i="60"/>
  <c r="W373" i="60" s="1"/>
  <c r="V372" i="60"/>
  <c r="W372" i="60" s="1"/>
  <c r="V371" i="60"/>
  <c r="W371" i="60" s="1"/>
  <c r="V370" i="60"/>
  <c r="W370" i="60" s="1"/>
  <c r="V369" i="60"/>
  <c r="W369" i="60" s="1"/>
  <c r="V368" i="60"/>
  <c r="W368" i="60" s="1"/>
  <c r="V367" i="60"/>
  <c r="W367" i="60" s="1"/>
  <c r="V366" i="60"/>
  <c r="W366" i="60" s="1"/>
  <c r="V365" i="60"/>
  <c r="W365" i="60" s="1"/>
  <c r="V364" i="60"/>
  <c r="W364" i="60" s="1"/>
  <c r="V363" i="60"/>
  <c r="W363" i="60" s="1"/>
  <c r="V362" i="60"/>
  <c r="W362" i="60" s="1"/>
  <c r="V361" i="60"/>
  <c r="W361" i="60" s="1"/>
  <c r="V360" i="60"/>
  <c r="W360" i="60" s="1"/>
  <c r="V359" i="60"/>
  <c r="W359" i="60" s="1"/>
  <c r="V358" i="60"/>
  <c r="W358" i="60" s="1"/>
  <c r="V357" i="60"/>
  <c r="W357" i="60" s="1"/>
  <c r="V356" i="60"/>
  <c r="W356" i="60" s="1"/>
  <c r="V355" i="60"/>
  <c r="W355" i="60" s="1"/>
  <c r="V354" i="60"/>
  <c r="W354" i="60" s="1"/>
  <c r="V353" i="60"/>
  <c r="W353" i="60" s="1"/>
  <c r="V352" i="60"/>
  <c r="W352" i="60" s="1"/>
  <c r="V351" i="60"/>
  <c r="W351" i="60" s="1"/>
  <c r="V350" i="60"/>
  <c r="W350" i="60" s="1"/>
  <c r="V349" i="60"/>
  <c r="W349" i="60" s="1"/>
  <c r="V348" i="60"/>
  <c r="W348" i="60" s="1"/>
  <c r="V347" i="60"/>
  <c r="W347" i="60" s="1"/>
  <c r="V346" i="60"/>
  <c r="W346" i="60" s="1"/>
  <c r="V345" i="60"/>
  <c r="W345" i="60" s="1"/>
  <c r="V344" i="60"/>
  <c r="W344" i="60" s="1"/>
  <c r="V343" i="60"/>
  <c r="W343" i="60" s="1"/>
  <c r="V342" i="60"/>
  <c r="W342" i="60" s="1"/>
  <c r="V341" i="60"/>
  <c r="W341" i="60" s="1"/>
  <c r="V340" i="60"/>
  <c r="W340" i="60" s="1"/>
  <c r="V339" i="60"/>
  <c r="W339" i="60" s="1"/>
  <c r="V338" i="60"/>
  <c r="W338" i="60" s="1"/>
  <c r="V337" i="60"/>
  <c r="W337" i="60" s="1"/>
  <c r="V336" i="60"/>
  <c r="W336" i="60" s="1"/>
  <c r="V335" i="60"/>
  <c r="W335" i="60" s="1"/>
  <c r="V334" i="60"/>
  <c r="W334" i="60" s="1"/>
  <c r="V333" i="60"/>
  <c r="W333" i="60" s="1"/>
  <c r="V332" i="60"/>
  <c r="W332" i="60" s="1"/>
  <c r="V331" i="60"/>
  <c r="W331" i="60" s="1"/>
  <c r="V330" i="60"/>
  <c r="W330" i="60" s="1"/>
  <c r="V329" i="60"/>
  <c r="W329" i="60" s="1"/>
  <c r="V328" i="60"/>
  <c r="W328" i="60" s="1"/>
  <c r="V327" i="60"/>
  <c r="W327" i="60" s="1"/>
  <c r="V326" i="60"/>
  <c r="W326" i="60" s="1"/>
  <c r="V325" i="60"/>
  <c r="W325" i="60" s="1"/>
  <c r="V324" i="60"/>
  <c r="W324" i="60" s="1"/>
  <c r="V323" i="60"/>
  <c r="W323" i="60" s="1"/>
  <c r="V322" i="60"/>
  <c r="W322" i="60" s="1"/>
  <c r="V321" i="60"/>
  <c r="W321" i="60" s="1"/>
  <c r="V320" i="60"/>
  <c r="W320" i="60" s="1"/>
  <c r="V319" i="60"/>
  <c r="W319" i="60" s="1"/>
  <c r="V318" i="60"/>
  <c r="W318" i="60" s="1"/>
  <c r="V317" i="60"/>
  <c r="W317" i="60" s="1"/>
  <c r="V316" i="60"/>
  <c r="W316" i="60" s="1"/>
  <c r="V315" i="60"/>
  <c r="W315" i="60" s="1"/>
  <c r="V314" i="60"/>
  <c r="W314" i="60" s="1"/>
  <c r="V313" i="60"/>
  <c r="W313" i="60" s="1"/>
  <c r="V312" i="60"/>
  <c r="W312" i="60" s="1"/>
  <c r="V311" i="60"/>
  <c r="W311" i="60" s="1"/>
  <c r="V310" i="60"/>
  <c r="W310" i="60" s="1"/>
  <c r="V309" i="60"/>
  <c r="W309" i="60" s="1"/>
  <c r="V308" i="60"/>
  <c r="W308" i="60" s="1"/>
  <c r="V307" i="60"/>
  <c r="W307" i="60" s="1"/>
  <c r="V306" i="60"/>
  <c r="W306" i="60" s="1"/>
  <c r="V305" i="60"/>
  <c r="W305" i="60" s="1"/>
  <c r="V304" i="60"/>
  <c r="W304" i="60" s="1"/>
  <c r="V303" i="60"/>
  <c r="W303" i="60" s="1"/>
  <c r="V302" i="60"/>
  <c r="W302" i="60" s="1"/>
  <c r="V301" i="60"/>
  <c r="W301" i="60" s="1"/>
  <c r="V300" i="60"/>
  <c r="W300" i="60" s="1"/>
  <c r="V299" i="60"/>
  <c r="W299" i="60" s="1"/>
  <c r="V298" i="60"/>
  <c r="W298" i="60" s="1"/>
  <c r="V297" i="60"/>
  <c r="W297" i="60" s="1"/>
  <c r="V296" i="60"/>
  <c r="W296" i="60" s="1"/>
  <c r="V295" i="60"/>
  <c r="W295" i="60" s="1"/>
  <c r="V294" i="60"/>
  <c r="W294" i="60" s="1"/>
  <c r="V293" i="60"/>
  <c r="W293" i="60" s="1"/>
  <c r="V292" i="60"/>
  <c r="W292" i="60" s="1"/>
  <c r="V291" i="60"/>
  <c r="W291" i="60" s="1"/>
  <c r="V290" i="60"/>
  <c r="W290" i="60" s="1"/>
  <c r="V289" i="60"/>
  <c r="W289" i="60" s="1"/>
  <c r="V288" i="60"/>
  <c r="W288" i="60" s="1"/>
  <c r="V287" i="60"/>
  <c r="W287" i="60" s="1"/>
  <c r="V286" i="60"/>
  <c r="W286" i="60" s="1"/>
  <c r="V285" i="60"/>
  <c r="W285" i="60" s="1"/>
  <c r="V284" i="60"/>
  <c r="W284" i="60" s="1"/>
  <c r="V283" i="60"/>
  <c r="W283" i="60" s="1"/>
  <c r="V282" i="60"/>
  <c r="W282" i="60" s="1"/>
  <c r="V281" i="60"/>
  <c r="W281" i="60" s="1"/>
  <c r="V280" i="60"/>
  <c r="W280" i="60" s="1"/>
  <c r="V279" i="60"/>
  <c r="W279" i="60" s="1"/>
  <c r="V278" i="60"/>
  <c r="W278" i="60" s="1"/>
  <c r="V277" i="60"/>
  <c r="W277" i="60" s="1"/>
  <c r="V276" i="60"/>
  <c r="W276" i="60" s="1"/>
  <c r="V275" i="60"/>
  <c r="W275" i="60" s="1"/>
  <c r="V274" i="60"/>
  <c r="W274" i="60" s="1"/>
  <c r="V273" i="60"/>
  <c r="W273" i="60" s="1"/>
  <c r="V272" i="60"/>
  <c r="W272" i="60" s="1"/>
  <c r="V271" i="60"/>
  <c r="W271" i="60" s="1"/>
  <c r="V270" i="60"/>
  <c r="W270" i="60" s="1"/>
  <c r="V269" i="60"/>
  <c r="W269" i="60" s="1"/>
  <c r="V268" i="60"/>
  <c r="W268" i="60" s="1"/>
  <c r="V267" i="60"/>
  <c r="W267" i="60" s="1"/>
  <c r="V266" i="60"/>
  <c r="W266" i="60" s="1"/>
  <c r="V265" i="60"/>
  <c r="W265" i="60" s="1"/>
  <c r="V264" i="60"/>
  <c r="W264" i="60" s="1"/>
  <c r="V263" i="60"/>
  <c r="W263" i="60" s="1"/>
  <c r="V262" i="60"/>
  <c r="W262" i="60" s="1"/>
  <c r="V261" i="60"/>
  <c r="W261" i="60" s="1"/>
  <c r="V260" i="60"/>
  <c r="W260" i="60" s="1"/>
  <c r="V259" i="60"/>
  <c r="W259" i="60" s="1"/>
  <c r="V258" i="60"/>
  <c r="W258" i="60" s="1"/>
  <c r="V257" i="60"/>
  <c r="W257" i="60" s="1"/>
  <c r="V256" i="60"/>
  <c r="W256" i="60" s="1"/>
  <c r="V255" i="60"/>
  <c r="W255" i="60" s="1"/>
  <c r="V254" i="60"/>
  <c r="W254" i="60" s="1"/>
  <c r="V253" i="60"/>
  <c r="W253" i="60" s="1"/>
  <c r="V252" i="60"/>
  <c r="W252" i="60" s="1"/>
  <c r="V251" i="60"/>
  <c r="W251" i="60" s="1"/>
  <c r="V250" i="60"/>
  <c r="W250" i="60" s="1"/>
  <c r="V249" i="60"/>
  <c r="W249" i="60" s="1"/>
  <c r="V248" i="60"/>
  <c r="W248" i="60" s="1"/>
  <c r="V247" i="60"/>
  <c r="W247" i="60" s="1"/>
  <c r="V246" i="60"/>
  <c r="W246" i="60" s="1"/>
  <c r="V245" i="60"/>
  <c r="W245" i="60" s="1"/>
  <c r="V244" i="60"/>
  <c r="W244" i="60" s="1"/>
  <c r="V243" i="60"/>
  <c r="W243" i="60" s="1"/>
  <c r="V242" i="60"/>
  <c r="W242" i="60" s="1"/>
  <c r="V241" i="60"/>
  <c r="W241" i="60" s="1"/>
  <c r="V240" i="60"/>
  <c r="W240" i="60" s="1"/>
  <c r="V239" i="60"/>
  <c r="W239" i="60" s="1"/>
  <c r="V238" i="60"/>
  <c r="W238" i="60" s="1"/>
  <c r="V237" i="60"/>
  <c r="W237" i="60" s="1"/>
  <c r="V236" i="60"/>
  <c r="W236" i="60" s="1"/>
  <c r="V235" i="60"/>
  <c r="W235" i="60" s="1"/>
  <c r="V234" i="60"/>
  <c r="W234" i="60" s="1"/>
  <c r="V233" i="60"/>
  <c r="W233" i="60" s="1"/>
  <c r="V232" i="60"/>
  <c r="W232" i="60" s="1"/>
  <c r="V231" i="60"/>
  <c r="W231" i="60" s="1"/>
  <c r="V230" i="60"/>
  <c r="W230" i="60" s="1"/>
  <c r="V229" i="60"/>
  <c r="W229" i="60" s="1"/>
  <c r="V228" i="60"/>
  <c r="W228" i="60" s="1"/>
  <c r="V227" i="60"/>
  <c r="W227" i="60" s="1"/>
  <c r="V226" i="60"/>
  <c r="W226" i="60" s="1"/>
  <c r="V225" i="60"/>
  <c r="W225" i="60" s="1"/>
  <c r="V224" i="60"/>
  <c r="W224" i="60" s="1"/>
  <c r="V223" i="60"/>
  <c r="W223" i="60" s="1"/>
  <c r="V222" i="60"/>
  <c r="W222" i="60" s="1"/>
  <c r="V221" i="60"/>
  <c r="W221" i="60" s="1"/>
  <c r="V220" i="60"/>
  <c r="W220" i="60" s="1"/>
  <c r="V219" i="60"/>
  <c r="W219" i="60" s="1"/>
  <c r="V218" i="60"/>
  <c r="W218" i="60" s="1"/>
  <c r="V217" i="60"/>
  <c r="W217" i="60" s="1"/>
  <c r="V216" i="60"/>
  <c r="W216" i="60" s="1"/>
  <c r="V215" i="60"/>
  <c r="W215" i="60" s="1"/>
  <c r="V214" i="60"/>
  <c r="W214" i="60" s="1"/>
  <c r="V213" i="60"/>
  <c r="W213" i="60" s="1"/>
  <c r="V212" i="60"/>
  <c r="W212" i="60" s="1"/>
  <c r="V211" i="60"/>
  <c r="W211" i="60" s="1"/>
  <c r="V210" i="60"/>
  <c r="W210" i="60" s="1"/>
  <c r="V209" i="60"/>
  <c r="W209" i="60" s="1"/>
  <c r="V208" i="60"/>
  <c r="W208" i="60" s="1"/>
  <c r="V207" i="60"/>
  <c r="W207" i="60" s="1"/>
  <c r="V206" i="60"/>
  <c r="W206" i="60" s="1"/>
  <c r="V205" i="60"/>
  <c r="W205" i="60" s="1"/>
  <c r="V204" i="60"/>
  <c r="W204" i="60" s="1"/>
  <c r="V203" i="60"/>
  <c r="W203" i="60" s="1"/>
  <c r="V202" i="60"/>
  <c r="W202" i="60" s="1"/>
  <c r="V201" i="60"/>
  <c r="W201" i="60" s="1"/>
  <c r="V200" i="60"/>
  <c r="W200" i="60" s="1"/>
  <c r="V199" i="60"/>
  <c r="W199" i="60" s="1"/>
  <c r="V198" i="60"/>
  <c r="W198" i="60" s="1"/>
  <c r="V197" i="60"/>
  <c r="W197" i="60" s="1"/>
  <c r="V196" i="60"/>
  <c r="W196" i="60" s="1"/>
  <c r="V195" i="60"/>
  <c r="W195" i="60" s="1"/>
  <c r="V194" i="60"/>
  <c r="W194" i="60" s="1"/>
  <c r="V193" i="60"/>
  <c r="W193" i="60" s="1"/>
  <c r="V192" i="60"/>
  <c r="W192" i="60" s="1"/>
  <c r="V191" i="60"/>
  <c r="W191" i="60" s="1"/>
  <c r="V190" i="60"/>
  <c r="W190" i="60" s="1"/>
  <c r="V189" i="60"/>
  <c r="W189" i="60" s="1"/>
  <c r="V188" i="60"/>
  <c r="W188" i="60" s="1"/>
  <c r="V187" i="60"/>
  <c r="W187" i="60" s="1"/>
  <c r="V186" i="60"/>
  <c r="W186" i="60" s="1"/>
  <c r="V185" i="60"/>
  <c r="W185" i="60" s="1"/>
  <c r="V184" i="60"/>
  <c r="W184" i="60" s="1"/>
  <c r="V183" i="60"/>
  <c r="W183" i="60" s="1"/>
  <c r="V182" i="60"/>
  <c r="W182" i="60" s="1"/>
  <c r="V181" i="60"/>
  <c r="W181" i="60" s="1"/>
  <c r="V180" i="60"/>
  <c r="W180" i="60" s="1"/>
  <c r="V179" i="60"/>
  <c r="W179" i="60" s="1"/>
  <c r="V178" i="60"/>
  <c r="W178" i="60" s="1"/>
  <c r="V177" i="60"/>
  <c r="W177" i="60" s="1"/>
  <c r="V176" i="60"/>
  <c r="W176" i="60" s="1"/>
  <c r="V175" i="60"/>
  <c r="W175" i="60" s="1"/>
  <c r="V174" i="60"/>
  <c r="W174" i="60" s="1"/>
  <c r="V173" i="60"/>
  <c r="W173" i="60" s="1"/>
  <c r="V172" i="60"/>
  <c r="W172" i="60" s="1"/>
  <c r="V171" i="60"/>
  <c r="W171" i="60" s="1"/>
  <c r="V170" i="60"/>
  <c r="W170" i="60" s="1"/>
  <c r="V169" i="60"/>
  <c r="W169" i="60" s="1"/>
  <c r="V168" i="60"/>
  <c r="W168" i="60" s="1"/>
  <c r="V167" i="60"/>
  <c r="W167" i="60" s="1"/>
  <c r="V166" i="60"/>
  <c r="W166" i="60" s="1"/>
  <c r="V165" i="60"/>
  <c r="W165" i="60" s="1"/>
  <c r="V164" i="60"/>
  <c r="W164" i="60" s="1"/>
  <c r="V163" i="60"/>
  <c r="W163" i="60" s="1"/>
  <c r="V162" i="60"/>
  <c r="W162" i="60" s="1"/>
  <c r="V161" i="60"/>
  <c r="W161" i="60" s="1"/>
  <c r="V160" i="60"/>
  <c r="W160" i="60" s="1"/>
  <c r="V159" i="60"/>
  <c r="W159" i="60" s="1"/>
  <c r="V158" i="60"/>
  <c r="W158" i="60" s="1"/>
  <c r="V157" i="60"/>
  <c r="W157" i="60" s="1"/>
  <c r="V156" i="60"/>
  <c r="W156" i="60" s="1"/>
  <c r="V155" i="60"/>
  <c r="W155" i="60" s="1"/>
  <c r="V154" i="60"/>
  <c r="W154" i="60" s="1"/>
  <c r="V153" i="60"/>
  <c r="W153" i="60" s="1"/>
  <c r="V152" i="60"/>
  <c r="W152" i="60" s="1"/>
  <c r="V151" i="60"/>
  <c r="W151" i="60" s="1"/>
  <c r="V150" i="60"/>
  <c r="W150" i="60" s="1"/>
  <c r="V149" i="60"/>
  <c r="W149" i="60" s="1"/>
  <c r="V148" i="60"/>
  <c r="W148" i="60" s="1"/>
  <c r="V147" i="60"/>
  <c r="W147" i="60" s="1"/>
  <c r="V146" i="60"/>
  <c r="W146" i="60" s="1"/>
  <c r="V145" i="60"/>
  <c r="W145" i="60" s="1"/>
  <c r="V144" i="60"/>
  <c r="W144" i="60" s="1"/>
  <c r="V143" i="60"/>
  <c r="W143" i="60" s="1"/>
  <c r="V142" i="60"/>
  <c r="W142" i="60" s="1"/>
  <c r="V141" i="60"/>
  <c r="W141" i="60" s="1"/>
  <c r="V140" i="60"/>
  <c r="W140" i="60" s="1"/>
  <c r="V139" i="60"/>
  <c r="W139" i="60" s="1"/>
  <c r="V138" i="60"/>
  <c r="W138" i="60" s="1"/>
  <c r="V137" i="60"/>
  <c r="W137" i="60" s="1"/>
  <c r="V136" i="60"/>
  <c r="W136" i="60" s="1"/>
  <c r="V135" i="60"/>
  <c r="W135" i="60" s="1"/>
  <c r="V134" i="60"/>
  <c r="W134" i="60" s="1"/>
  <c r="V133" i="60"/>
  <c r="W133" i="60" s="1"/>
  <c r="V132" i="60"/>
  <c r="W132" i="60" s="1"/>
  <c r="V131" i="60"/>
  <c r="W131" i="60" s="1"/>
  <c r="V130" i="60"/>
  <c r="W130" i="60" s="1"/>
  <c r="V129" i="60"/>
  <c r="W129" i="60" s="1"/>
  <c r="V128" i="60"/>
  <c r="W128" i="60" s="1"/>
  <c r="V127" i="60"/>
  <c r="W127" i="60" s="1"/>
  <c r="V126" i="60"/>
  <c r="W126" i="60" s="1"/>
  <c r="V125" i="60"/>
  <c r="W125" i="60" s="1"/>
  <c r="V124" i="60"/>
  <c r="W124" i="60" s="1"/>
  <c r="V123" i="60"/>
  <c r="W123" i="60" s="1"/>
  <c r="V122" i="60"/>
  <c r="W122" i="60" s="1"/>
  <c r="V121" i="60"/>
  <c r="W121" i="60" s="1"/>
  <c r="V120" i="60"/>
  <c r="W120" i="60" s="1"/>
  <c r="V119" i="60"/>
  <c r="W119" i="60" s="1"/>
  <c r="V118" i="60"/>
  <c r="W118" i="60" s="1"/>
  <c r="V117" i="60"/>
  <c r="W117" i="60" s="1"/>
  <c r="V116" i="60"/>
  <c r="W116" i="60" s="1"/>
  <c r="V115" i="60"/>
  <c r="W115" i="60" s="1"/>
  <c r="V114" i="60"/>
  <c r="W114" i="60" s="1"/>
  <c r="V113" i="60"/>
  <c r="W113" i="60" s="1"/>
  <c r="V112" i="60"/>
  <c r="W112" i="60" s="1"/>
  <c r="V111" i="60"/>
  <c r="W111" i="60" s="1"/>
  <c r="V110" i="60"/>
  <c r="W110" i="60" s="1"/>
  <c r="V109" i="60"/>
  <c r="W109" i="60" s="1"/>
  <c r="V108" i="60"/>
  <c r="W108" i="60" s="1"/>
  <c r="V107" i="60"/>
  <c r="W107" i="60" s="1"/>
  <c r="V106" i="60"/>
  <c r="W106" i="60" s="1"/>
  <c r="V105" i="60"/>
  <c r="W105" i="60" s="1"/>
  <c r="V104" i="60"/>
  <c r="W104" i="60" s="1"/>
  <c r="V103" i="60"/>
  <c r="W103" i="60" s="1"/>
  <c r="V102" i="60"/>
  <c r="W102" i="60" s="1"/>
  <c r="V101" i="60"/>
  <c r="W101" i="60" s="1"/>
  <c r="V100" i="60"/>
  <c r="W100" i="60" s="1"/>
  <c r="V99" i="60"/>
  <c r="W99" i="60" s="1"/>
  <c r="V98" i="60"/>
  <c r="W98" i="60" s="1"/>
  <c r="V97" i="60"/>
  <c r="W97" i="60" s="1"/>
  <c r="V96" i="60"/>
  <c r="W96" i="60" s="1"/>
  <c r="V95" i="60"/>
  <c r="W95" i="60" s="1"/>
  <c r="V94" i="60"/>
  <c r="W94" i="60" s="1"/>
  <c r="V93" i="60"/>
  <c r="W93" i="60" s="1"/>
  <c r="V92" i="60"/>
  <c r="W92" i="60" s="1"/>
  <c r="V91" i="60"/>
  <c r="W91" i="60" s="1"/>
  <c r="V90" i="60"/>
  <c r="W90" i="60" s="1"/>
  <c r="V89" i="60"/>
  <c r="W89" i="60" s="1"/>
  <c r="V88" i="60"/>
  <c r="W88" i="60" s="1"/>
  <c r="V87" i="60"/>
  <c r="W87" i="60" s="1"/>
  <c r="V86" i="60"/>
  <c r="W86" i="60" s="1"/>
  <c r="V85" i="60"/>
  <c r="W85" i="60" s="1"/>
  <c r="V84" i="60"/>
  <c r="W84" i="60" s="1"/>
  <c r="V83" i="60"/>
  <c r="W83" i="60" s="1"/>
  <c r="V82" i="60"/>
  <c r="W82" i="60" s="1"/>
  <c r="V81" i="60"/>
  <c r="W81" i="60" s="1"/>
  <c r="V80" i="60"/>
  <c r="W80" i="60" s="1"/>
  <c r="V79" i="60"/>
  <c r="W79" i="60" s="1"/>
  <c r="V78" i="60"/>
  <c r="W78" i="60" s="1"/>
  <c r="V77" i="60"/>
  <c r="W77" i="60" s="1"/>
  <c r="V76" i="60"/>
  <c r="W76" i="60" s="1"/>
  <c r="V75" i="60"/>
  <c r="W75" i="60" s="1"/>
  <c r="V74" i="60"/>
  <c r="W74" i="60" s="1"/>
  <c r="V73" i="60"/>
  <c r="W73" i="60" s="1"/>
  <c r="V72" i="60"/>
  <c r="W72" i="60" s="1"/>
  <c r="V71" i="60"/>
  <c r="W71" i="60" s="1"/>
  <c r="V70" i="60"/>
  <c r="W70" i="60" s="1"/>
  <c r="V69" i="60"/>
  <c r="W69" i="60" s="1"/>
  <c r="V68" i="60"/>
  <c r="W68" i="60" s="1"/>
  <c r="V67" i="60"/>
  <c r="W67" i="60" s="1"/>
  <c r="V66" i="60"/>
  <c r="W66" i="60" s="1"/>
  <c r="V65" i="60"/>
  <c r="W65" i="60" s="1"/>
  <c r="V64" i="60"/>
  <c r="W64" i="60" s="1"/>
  <c r="V63" i="60"/>
  <c r="W63" i="60" s="1"/>
  <c r="V62" i="60"/>
  <c r="W62" i="60" s="1"/>
  <c r="V61" i="60"/>
  <c r="W61" i="60" s="1"/>
  <c r="V60" i="60"/>
  <c r="W60" i="60" s="1"/>
  <c r="V59" i="60"/>
  <c r="W59" i="60" s="1"/>
  <c r="V58" i="60"/>
  <c r="W58" i="60" s="1"/>
  <c r="V57" i="60"/>
  <c r="W57" i="60" s="1"/>
  <c r="V56" i="60"/>
  <c r="W56" i="60" s="1"/>
  <c r="V55" i="60"/>
  <c r="W55" i="60" s="1"/>
  <c r="V54" i="60"/>
  <c r="W54" i="60" s="1"/>
  <c r="V53" i="60"/>
  <c r="W53" i="60" s="1"/>
  <c r="V52" i="60"/>
  <c r="W52" i="60" s="1"/>
  <c r="V51" i="60"/>
  <c r="W51" i="60" s="1"/>
  <c r="V50" i="60"/>
  <c r="W50" i="60" s="1"/>
  <c r="V49" i="60"/>
  <c r="W49" i="60" s="1"/>
  <c r="V48" i="60"/>
  <c r="W48" i="60" s="1"/>
  <c r="V47" i="60"/>
  <c r="W47" i="60" s="1"/>
  <c r="V46" i="60"/>
  <c r="W46" i="60" s="1"/>
  <c r="V45" i="60"/>
  <c r="W45" i="60" s="1"/>
  <c r="V44" i="60"/>
  <c r="W44" i="60" s="1"/>
  <c r="V43" i="60"/>
  <c r="W43" i="60" s="1"/>
  <c r="V42" i="60"/>
  <c r="W42" i="60" s="1"/>
  <c r="V41" i="60"/>
  <c r="W41" i="60" s="1"/>
  <c r="V40" i="60"/>
  <c r="W40" i="60" s="1"/>
  <c r="V39" i="60"/>
  <c r="W39" i="60" s="1"/>
  <c r="V38" i="60"/>
  <c r="W38" i="60" s="1"/>
  <c r="V37" i="60"/>
  <c r="W37" i="60" s="1"/>
  <c r="V36" i="60"/>
  <c r="W36" i="60" s="1"/>
  <c r="V35" i="60"/>
  <c r="W35" i="60" s="1"/>
  <c r="V34" i="60"/>
  <c r="W34" i="60" s="1"/>
  <c r="V33" i="60"/>
  <c r="W33" i="60" s="1"/>
  <c r="V32" i="60"/>
  <c r="W32" i="60" s="1"/>
  <c r="V31" i="60"/>
  <c r="W31" i="60" s="1"/>
  <c r="V30" i="60"/>
  <c r="W30" i="60" s="1"/>
  <c r="V29" i="60"/>
  <c r="W29" i="60" s="1"/>
  <c r="V28" i="60"/>
  <c r="W28" i="60" s="1"/>
  <c r="V27" i="60"/>
  <c r="W27" i="60" s="1"/>
  <c r="V26" i="60"/>
  <c r="W26" i="60" s="1"/>
  <c r="V25" i="60"/>
  <c r="W25" i="60" s="1"/>
  <c r="V24" i="60"/>
  <c r="W24" i="60" s="1"/>
  <c r="V23" i="60"/>
  <c r="W23" i="60" s="1"/>
  <c r="V22" i="60"/>
  <c r="W22" i="60" s="1"/>
  <c r="V21" i="60"/>
  <c r="W21" i="60" s="1"/>
  <c r="V20" i="60"/>
  <c r="W20" i="60" s="1"/>
  <c r="V19" i="60"/>
  <c r="W19" i="60" s="1"/>
  <c r="V18" i="60"/>
  <c r="W18" i="60" s="1"/>
  <c r="V17" i="60"/>
  <c r="W17" i="60" s="1"/>
  <c r="V16" i="60"/>
  <c r="W16" i="60" s="1"/>
  <c r="V15" i="60"/>
  <c r="W15" i="60" s="1"/>
  <c r="V14" i="60"/>
  <c r="W14" i="60" s="1"/>
  <c r="V13" i="60"/>
  <c r="W13" i="60" s="1"/>
  <c r="V12" i="60"/>
  <c r="W12" i="60" s="1"/>
  <c r="V11" i="60"/>
  <c r="W11" i="60" s="1"/>
  <c r="V10" i="60"/>
  <c r="W10" i="60" s="1"/>
  <c r="V9" i="60"/>
  <c r="W9" i="60" s="1"/>
  <c r="V8" i="60"/>
  <c r="W8" i="60" s="1"/>
  <c r="V7" i="60"/>
  <c r="W7" i="60" s="1"/>
  <c r="V6" i="60"/>
  <c r="W6" i="60" s="1"/>
  <c r="V5" i="60"/>
  <c r="W5" i="60" s="1"/>
  <c r="V4" i="60"/>
  <c r="W4" i="60" s="1"/>
  <c r="V3" i="60"/>
  <c r="W3" i="60" s="1"/>
  <c r="V2" i="60"/>
  <c r="W2" i="60" s="1"/>
  <c r="CE18" i="60" l="1"/>
  <c r="CF18" i="60" s="1"/>
  <c r="CF16" i="60"/>
  <c r="CF15" i="60"/>
  <c r="CF14" i="60"/>
  <c r="CF13" i="60"/>
  <c r="CF12" i="60"/>
  <c r="CF11" i="60"/>
  <c r="CF10" i="60"/>
  <c r="CF9" i="60"/>
  <c r="CF8" i="60"/>
  <c r="CF7" i="60"/>
  <c r="CF6" i="60"/>
  <c r="CF5" i="60"/>
  <c r="CF4" i="60"/>
  <c r="CF3" i="60"/>
  <c r="BQ144" i="60"/>
  <c r="BQ143" i="60"/>
  <c r="BQ142" i="60"/>
  <c r="BQ141" i="60"/>
  <c r="BQ140" i="60"/>
  <c r="BQ139" i="60"/>
  <c r="BQ138" i="60"/>
  <c r="BQ137" i="60"/>
  <c r="BQ136" i="60"/>
  <c r="BQ135" i="60"/>
  <c r="BQ134" i="60"/>
  <c r="BQ133" i="60"/>
  <c r="BQ132" i="60"/>
  <c r="BQ131" i="60"/>
  <c r="BQ130" i="60"/>
  <c r="BQ129" i="60"/>
  <c r="BQ128" i="60"/>
  <c r="BQ127" i="60"/>
  <c r="BQ126" i="60"/>
  <c r="BQ125" i="60"/>
  <c r="BQ124" i="60"/>
  <c r="BQ123" i="60"/>
  <c r="BQ122" i="60"/>
  <c r="BQ121" i="60"/>
  <c r="BQ120" i="60"/>
  <c r="BQ119" i="60"/>
  <c r="BQ118" i="60"/>
  <c r="BQ117" i="60"/>
  <c r="BQ116" i="60"/>
  <c r="BQ115" i="60"/>
  <c r="BQ114" i="60"/>
  <c r="BQ113" i="60"/>
  <c r="BQ112" i="60"/>
  <c r="BQ111" i="60"/>
  <c r="BQ110" i="60"/>
  <c r="BQ109" i="60"/>
  <c r="BQ108" i="60"/>
  <c r="BQ107" i="60"/>
  <c r="BQ106" i="60"/>
  <c r="BQ105" i="60"/>
  <c r="BQ104" i="60"/>
  <c r="BQ103" i="60"/>
  <c r="BQ102" i="60"/>
  <c r="BQ101" i="60"/>
  <c r="BQ100" i="60"/>
  <c r="BQ99" i="60"/>
  <c r="BQ98" i="60"/>
  <c r="BQ97" i="60"/>
  <c r="BQ96" i="60"/>
  <c r="BQ95" i="60"/>
  <c r="BQ94" i="60"/>
  <c r="BQ93" i="60"/>
  <c r="BQ92" i="60"/>
  <c r="BQ91" i="60"/>
  <c r="BQ90" i="60"/>
  <c r="BQ89" i="60"/>
  <c r="BQ88" i="60"/>
  <c r="BQ87" i="60"/>
  <c r="BQ86" i="60"/>
  <c r="BQ85" i="60"/>
  <c r="BQ84" i="60"/>
  <c r="BQ83" i="60"/>
  <c r="BQ82" i="60"/>
  <c r="BQ81" i="60"/>
  <c r="BQ80" i="60"/>
  <c r="BQ79" i="60"/>
  <c r="BQ78" i="60"/>
  <c r="BQ77" i="60"/>
  <c r="BQ76" i="60"/>
  <c r="BQ75" i="60"/>
  <c r="BQ74" i="60"/>
  <c r="BQ73" i="60"/>
  <c r="BQ72" i="60"/>
  <c r="BQ71" i="60"/>
  <c r="BQ70" i="60"/>
  <c r="BQ69" i="60"/>
  <c r="BQ68" i="60"/>
  <c r="BQ67" i="60"/>
  <c r="BQ66" i="60"/>
  <c r="BQ65" i="60"/>
  <c r="BQ64" i="60"/>
  <c r="BQ63" i="60"/>
  <c r="BQ62" i="60"/>
  <c r="BQ61" i="60"/>
  <c r="BQ60" i="60"/>
  <c r="BQ59" i="60"/>
  <c r="BQ58" i="60"/>
  <c r="BQ57" i="60"/>
  <c r="BQ56" i="60"/>
  <c r="BQ55" i="60"/>
  <c r="BQ54" i="60"/>
  <c r="BQ53" i="60"/>
  <c r="BQ52" i="60"/>
  <c r="BQ51" i="60"/>
  <c r="BQ50" i="60"/>
  <c r="BQ49" i="60"/>
  <c r="BQ48" i="60"/>
  <c r="BQ47" i="60"/>
  <c r="BQ46" i="60"/>
  <c r="BQ45" i="60"/>
  <c r="BQ44" i="60"/>
  <c r="BQ43" i="60"/>
  <c r="BQ42" i="60"/>
  <c r="BQ41" i="60"/>
  <c r="BQ40" i="60"/>
  <c r="BQ39" i="60"/>
  <c r="BQ38" i="60"/>
  <c r="BQ37" i="60"/>
  <c r="BQ36" i="60"/>
  <c r="BQ35" i="60"/>
  <c r="BQ34" i="60"/>
  <c r="BQ33" i="60"/>
  <c r="BQ32" i="60"/>
  <c r="BQ31" i="60"/>
  <c r="BQ30" i="60"/>
  <c r="BQ29" i="60"/>
  <c r="BQ28" i="60"/>
  <c r="BQ27" i="60"/>
  <c r="BQ26" i="60"/>
  <c r="BQ25" i="60"/>
  <c r="BQ24" i="60"/>
  <c r="BQ23" i="60"/>
  <c r="BQ22" i="60"/>
  <c r="BQ21" i="60"/>
  <c r="BQ20" i="60"/>
  <c r="BQ19" i="60"/>
  <c r="BQ18" i="60"/>
  <c r="BQ17" i="60"/>
  <c r="BQ16" i="60"/>
  <c r="BQ15" i="60"/>
  <c r="BQ14" i="60"/>
  <c r="BQ13" i="60"/>
  <c r="BQ12" i="60"/>
  <c r="BQ11" i="60"/>
  <c r="BQ10" i="60"/>
  <c r="BQ9" i="60"/>
  <c r="BQ8" i="60"/>
  <c r="BQ7" i="60"/>
  <c r="BQ6" i="60"/>
  <c r="BQ5" i="60"/>
  <c r="AC186" i="37" l="1"/>
  <c r="AC173" i="37"/>
  <c r="AC189" i="37"/>
  <c r="AC101" i="37"/>
  <c r="AC67" i="37"/>
  <c r="AC276" i="37"/>
  <c r="AC80" i="37"/>
  <c r="AC254" i="37"/>
  <c r="AC325" i="37"/>
  <c r="AC50" i="37"/>
  <c r="AC22" i="37"/>
  <c r="AC154" i="37"/>
  <c r="AC266" i="37"/>
  <c r="AC9" i="37"/>
  <c r="AC286" i="37"/>
  <c r="AC81" i="37"/>
  <c r="AC285" i="37"/>
  <c r="AC196" i="37"/>
  <c r="AC24" i="37"/>
  <c r="AC166" i="37"/>
  <c r="AC109" i="37"/>
  <c r="AC49" i="37"/>
  <c r="AC292" i="37"/>
  <c r="AC169" i="37"/>
  <c r="AC258" i="37"/>
  <c r="AC209" i="37"/>
  <c r="AC290" i="37"/>
  <c r="AC25" i="37"/>
  <c r="AC153" i="37"/>
  <c r="AC119" i="37"/>
  <c r="AC59" i="37"/>
  <c r="AC219" i="37"/>
  <c r="AC235" i="37"/>
  <c r="AC299" i="37"/>
  <c r="AC308" i="37"/>
  <c r="AC104" i="37"/>
  <c r="AC140" i="37"/>
  <c r="AC279" i="37"/>
  <c r="AC287" i="37"/>
  <c r="AC264" i="37"/>
  <c r="AC280" i="37"/>
  <c r="AC222" i="37"/>
  <c r="AC79" i="37"/>
  <c r="AC86" i="37"/>
  <c r="AC97" i="37"/>
  <c r="AC105" i="37"/>
  <c r="AC110" i="37"/>
  <c r="AC301" i="37"/>
  <c r="AC277" i="37"/>
  <c r="AC321" i="37"/>
  <c r="AC198" i="37"/>
  <c r="AC63" i="37"/>
  <c r="AC38" i="37"/>
  <c r="AC122" i="37"/>
  <c r="AC18" i="37"/>
  <c r="AC175" i="37"/>
  <c r="AC250" i="37"/>
  <c r="AC178" i="37"/>
  <c r="AC155" i="37"/>
  <c r="AC242" i="37"/>
  <c r="AC208" i="37"/>
  <c r="AC181" i="37"/>
  <c r="AC124" i="37"/>
  <c r="AC142" i="37"/>
  <c r="AC111" i="37"/>
  <c r="AC10" i="37"/>
  <c r="AC149" i="37"/>
  <c r="AC323" i="37"/>
  <c r="AC263" i="37"/>
  <c r="AC275" i="37"/>
  <c r="AC8" i="37"/>
  <c r="AC303" i="37"/>
  <c r="AC234" i="37"/>
  <c r="AC314" i="37"/>
  <c r="AC223" i="37"/>
  <c r="AC274" i="37"/>
  <c r="AC236" i="37"/>
  <c r="AC167" i="37"/>
  <c r="AC131" i="37"/>
  <c r="AC7" i="37"/>
  <c r="AC272" i="37"/>
  <c r="AC94" i="37"/>
  <c r="AC218" i="37"/>
  <c r="AC278" i="37"/>
  <c r="AC273" i="37"/>
  <c r="AC17" i="37"/>
  <c r="AC271" i="37"/>
  <c r="AC216" i="37"/>
  <c r="AC177" i="37"/>
  <c r="AC257" i="37"/>
  <c r="AC87" i="37"/>
  <c r="AC318" i="37"/>
  <c r="AC138" i="37"/>
  <c r="AC64" i="37"/>
  <c r="AC180" i="37"/>
  <c r="AC85" i="37"/>
  <c r="AC99" i="37"/>
  <c r="AC62" i="37"/>
  <c r="AC41" i="37"/>
  <c r="AC32" i="37"/>
  <c r="AC28" i="37"/>
  <c r="AC195" i="37"/>
  <c r="AC283" i="37"/>
  <c r="AC281" i="37"/>
  <c r="AC245" i="37"/>
  <c r="AC302" i="37"/>
  <c r="AC320" i="37"/>
  <c r="AC268" i="37"/>
  <c r="AC117" i="37"/>
  <c r="AC297" i="37"/>
  <c r="AC259" i="37"/>
  <c r="AC310" i="37"/>
  <c r="AC12" i="37"/>
  <c r="AC217" i="37"/>
  <c r="AC262" i="37"/>
  <c r="AC249" i="37"/>
  <c r="AC239" i="37"/>
  <c r="AC251" i="37"/>
  <c r="AC312" i="37"/>
  <c r="AC26" i="37"/>
  <c r="AC19" i="37"/>
  <c r="AC191" i="37"/>
  <c r="AC197" i="37"/>
  <c r="AC306" i="37"/>
  <c r="AC304" i="37"/>
  <c r="AC73" i="37"/>
  <c r="AC231" i="37"/>
  <c r="AC211" i="37"/>
  <c r="AC215" i="37"/>
  <c r="AC151" i="37"/>
  <c r="AC114" i="37"/>
  <c r="AC108" i="37"/>
  <c r="AC295" i="37"/>
  <c r="AC82" i="37"/>
  <c r="AC171" i="37"/>
  <c r="AC69" i="37"/>
  <c r="AC305" i="37"/>
  <c r="AC311" i="37"/>
  <c r="AC76" i="37"/>
  <c r="AC51" i="37"/>
  <c r="AC11" i="37"/>
  <c r="AC136" i="37"/>
  <c r="AC224" i="37"/>
  <c r="AC120" i="37"/>
  <c r="AC126" i="37"/>
  <c r="AC246" i="37"/>
  <c r="AC256" i="37"/>
  <c r="AC293" i="37"/>
  <c r="AC261" i="37"/>
  <c r="AC232" i="37"/>
  <c r="AC237" i="37"/>
  <c r="AC141" i="37"/>
  <c r="AC270" i="37"/>
  <c r="AC75" i="37"/>
  <c r="AC158" i="37"/>
  <c r="AC88" i="37"/>
  <c r="AC170" i="37"/>
  <c r="AC284" i="37"/>
  <c r="AC83" i="37"/>
  <c r="AC157" i="37"/>
  <c r="AC115" i="37"/>
  <c r="AC176" i="37"/>
  <c r="AC241" i="37"/>
  <c r="AC168" i="37"/>
  <c r="AC213" i="37"/>
  <c r="AC300" i="37"/>
  <c r="AC248" i="37"/>
  <c r="AC192" i="37"/>
  <c r="AC203" i="37"/>
  <c r="AC267" i="37"/>
  <c r="AC123" i="37"/>
  <c r="AC102" i="37"/>
  <c r="AC179" i="37"/>
  <c r="AC212" i="37"/>
  <c r="AC159" i="37"/>
  <c r="AC23" i="16" l="1"/>
  <c r="AD23" i="16" s="1"/>
  <c r="AC39" i="16"/>
  <c r="AE39" i="16" s="1"/>
  <c r="AC114" i="16"/>
  <c r="AD114" i="16" s="1"/>
  <c r="AC116" i="16"/>
  <c r="AC117" i="16"/>
  <c r="AE117" i="16" s="1"/>
  <c r="AC121" i="16"/>
  <c r="AC129" i="16"/>
  <c r="AC209" i="16"/>
  <c r="AE209" i="16" s="1"/>
  <c r="AC254" i="16"/>
  <c r="AC255" i="16"/>
  <c r="AC292" i="16"/>
  <c r="AC295" i="16"/>
  <c r="AC322" i="16"/>
  <c r="AE1" i="16"/>
  <c r="Y23" i="21"/>
  <c r="W12" i="21"/>
  <c r="X12" i="21"/>
  <c r="X14" i="21"/>
  <c r="X15" i="21"/>
  <c r="X16" i="21"/>
  <c r="X17" i="21"/>
  <c r="Y18" i="21" s="1"/>
  <c r="X18" i="21"/>
  <c r="X19" i="21"/>
  <c r="X20" i="21"/>
  <c r="X21" i="21"/>
  <c r="X22" i="21"/>
  <c r="X23" i="21"/>
  <c r="X24" i="21"/>
  <c r="X25" i="21"/>
  <c r="X13" i="21"/>
  <c r="W14" i="21"/>
  <c r="W15" i="21"/>
  <c r="W16" i="21"/>
  <c r="W17" i="21"/>
  <c r="W18" i="21"/>
  <c r="W19" i="21"/>
  <c r="W20" i="21"/>
  <c r="W21" i="21"/>
  <c r="W22" i="21"/>
  <c r="W23" i="21"/>
  <c r="W24" i="21"/>
  <c r="W25" i="21"/>
  <c r="W13" i="21"/>
  <c r="Z1" i="16"/>
  <c r="AA1" i="16"/>
  <c r="AB1" i="16"/>
  <c r="AC1" i="16"/>
  <c r="AD1" i="16"/>
  <c r="AF1" i="16"/>
  <c r="AG1" i="16"/>
  <c r="AH1" i="16"/>
  <c r="AI1" i="16"/>
  <c r="AJ1" i="16"/>
  <c r="AK1" i="16"/>
  <c r="AL1" i="16"/>
  <c r="AM1" i="16"/>
  <c r="Y1" i="16"/>
  <c r="AD39" i="16" l="1"/>
  <c r="AF39" i="16" s="1"/>
  <c r="AG39" i="16" s="1"/>
  <c r="AK39" i="16" s="1"/>
  <c r="AD116" i="16"/>
  <c r="AE116" i="16"/>
  <c r="AD129" i="16"/>
  <c r="AE129" i="16"/>
  <c r="AD121" i="16"/>
  <c r="AE121" i="16"/>
  <c r="AE114" i="16"/>
  <c r="AF114" i="16" s="1"/>
  <c r="AE23" i="16"/>
  <c r="AF23" i="16" s="1"/>
  <c r="AD292" i="16"/>
  <c r="AE292" i="16"/>
  <c r="AE295" i="16"/>
  <c r="AD322" i="16"/>
  <c r="AE322" i="16"/>
  <c r="AD255" i="16"/>
  <c r="AE255" i="16"/>
  <c r="AD254" i="16"/>
  <c r="AE254" i="16"/>
  <c r="Y26" i="21"/>
  <c r="Y28" i="21" s="1"/>
  <c r="AL39" i="16" l="1"/>
  <c r="AL23" i="16"/>
  <c r="AL114" i="16"/>
  <c r="AJ23" i="16"/>
  <c r="AG23" i="16"/>
  <c r="AK23" i="16" s="1"/>
  <c r="AJ114" i="16"/>
  <c r="AF116" i="16"/>
  <c r="AG116" i="16" s="1"/>
  <c r="AK116" i="16" s="1"/>
  <c r="AL116" i="16"/>
  <c r="AJ39" i="16"/>
  <c r="AG114" i="16"/>
  <c r="AK114" i="16" s="1"/>
  <c r="AL129" i="16"/>
  <c r="AF129" i="16"/>
  <c r="AG129" i="16" s="1"/>
  <c r="AK129" i="16" s="1"/>
  <c r="AF121" i="16"/>
  <c r="AL121" i="16"/>
  <c r="AF254" i="16"/>
  <c r="AG254" i="16" s="1"/>
  <c r="AK254" i="16" s="1"/>
  <c r="AL254" i="16"/>
  <c r="AF292" i="16"/>
  <c r="AG292" i="16" s="1"/>
  <c r="AK292" i="16" s="1"/>
  <c r="AL292" i="16"/>
  <c r="AF255" i="16"/>
  <c r="AG255" i="16" s="1"/>
  <c r="AK255" i="16" s="1"/>
  <c r="AL255" i="16"/>
  <c r="AF322" i="16"/>
  <c r="AG322" i="16" s="1"/>
  <c r="AK322" i="16" s="1"/>
  <c r="AL322" i="16"/>
  <c r="Y27" i="21"/>
  <c r="AJ121" i="16" l="1"/>
  <c r="AJ129" i="16"/>
  <c r="AG121" i="16"/>
  <c r="AK121" i="16" s="1"/>
  <c r="AJ116" i="16"/>
  <c r="AJ255" i="16"/>
  <c r="AJ292" i="16"/>
  <c r="AJ254" i="16"/>
  <c r="AJ322" i="16"/>
  <c r="F1" i="59" l="1"/>
  <c r="I16" i="59" l="1"/>
  <c r="I14" i="59"/>
  <c r="H1" i="59"/>
  <c r="U28" i="21" l="1"/>
  <c r="AI239" i="37" l="1"/>
  <c r="AI198" i="37"/>
  <c r="AI62" i="37"/>
  <c r="AI320" i="37"/>
  <c r="AI197" i="37"/>
  <c r="AI279" i="37"/>
  <c r="AI241" i="37"/>
  <c r="AI293" i="37"/>
  <c r="AI295" i="37"/>
  <c r="AI51" i="37"/>
  <c r="AI287" i="37"/>
  <c r="AI308" i="37"/>
  <c r="AI81" i="37"/>
  <c r="AI231" i="37"/>
  <c r="AI140" i="37"/>
  <c r="AI249" i="37"/>
  <c r="AI234" i="37"/>
  <c r="AI274" i="37"/>
  <c r="AI248" i="37"/>
  <c r="AI245" i="37"/>
  <c r="AI167" i="37"/>
  <c r="AI284" i="37"/>
  <c r="AI79" i="37"/>
  <c r="AI7" i="37"/>
  <c r="AI110" i="37"/>
  <c r="AI173" i="37"/>
  <c r="AI131" i="37"/>
  <c r="AI311" i="37"/>
  <c r="AI69" i="37"/>
  <c r="AI301" i="37"/>
  <c r="AI11" i="37"/>
  <c r="AI38" i="37"/>
  <c r="AI318" i="37"/>
  <c r="AI117" i="37"/>
  <c r="AI108" i="37"/>
  <c r="AI278" i="37"/>
  <c r="AI168" i="37"/>
  <c r="AI256" i="37"/>
  <c r="AI258" i="37"/>
  <c r="AI273" i="37"/>
  <c r="AI97" i="37"/>
  <c r="AI262" i="37"/>
  <c r="AI286" i="37"/>
  <c r="AI208" i="37"/>
  <c r="AI257" i="37"/>
  <c r="AI41" i="37"/>
  <c r="AI290" i="37"/>
  <c r="AI24" i="37"/>
  <c r="AI323" i="37"/>
  <c r="AI223" i="37"/>
  <c r="AI28" i="37"/>
  <c r="AI321" i="37"/>
  <c r="AI180" i="37"/>
  <c r="AI159" i="37"/>
  <c r="AI191" i="37"/>
  <c r="AI67" i="37"/>
  <c r="AI76" i="37"/>
  <c r="AI175" i="37"/>
  <c r="AI195" i="37"/>
  <c r="AI111" i="37"/>
  <c r="AI12" i="37"/>
  <c r="AI261" i="37"/>
  <c r="AI314" i="37"/>
  <c r="AI136" i="37"/>
  <c r="AI263" i="37"/>
  <c r="AI254" i="37"/>
  <c r="AI277" i="37"/>
  <c r="AI157" i="37"/>
  <c r="AI189" i="37"/>
  <c r="AI64" i="37"/>
  <c r="AI142" i="37"/>
  <c r="AI26" i="37"/>
  <c r="AI158" i="37"/>
  <c r="AI268" i="37"/>
  <c r="AI82" i="37"/>
  <c r="AI80" i="37"/>
  <c r="AI119" i="37"/>
  <c r="AI177" i="37"/>
  <c r="AI212" i="37"/>
  <c r="AI203" i="37"/>
  <c r="AI101" i="37"/>
  <c r="AI272" i="37"/>
  <c r="AI216" i="37"/>
  <c r="AI250" i="37"/>
  <c r="AI105" i="37"/>
  <c r="AI109" i="37"/>
  <c r="AI149" i="37"/>
  <c r="AI151" i="37"/>
  <c r="AI312" i="37"/>
  <c r="AI300" i="37"/>
  <c r="AI242" i="37"/>
  <c r="AI99" i="37"/>
  <c r="AI115" i="37"/>
  <c r="AI94" i="37"/>
  <c r="AI50" i="37"/>
  <c r="AI292" i="37"/>
  <c r="AI171" i="37"/>
  <c r="AI297" i="37"/>
  <c r="AI310" i="37"/>
  <c r="AI211" i="37"/>
  <c r="AI306" i="37"/>
  <c r="AI181" i="37"/>
  <c r="AI138" i="37"/>
  <c r="AI83" i="37"/>
  <c r="AI153" i="37"/>
  <c r="AI186" i="37"/>
  <c r="AI122" i="37"/>
  <c r="AI32" i="37"/>
  <c r="AI85" i="37"/>
  <c r="AI124" i="37"/>
  <c r="AI264" i="37"/>
  <c r="AI209" i="37"/>
  <c r="AI155" i="37"/>
  <c r="AI237" i="37"/>
  <c r="AI325" i="37"/>
  <c r="AI25" i="37"/>
  <c r="AI59" i="37"/>
  <c r="AI285" i="37"/>
  <c r="AI176" i="37"/>
  <c r="AI303" i="37"/>
  <c r="AI305" i="37"/>
  <c r="AI299" i="37"/>
  <c r="AI10" i="37"/>
  <c r="AI224" i="37"/>
  <c r="AI73" i="37"/>
  <c r="AI215" i="37"/>
  <c r="AI126" i="37"/>
  <c r="AI217" i="37"/>
  <c r="AI87" i="37"/>
  <c r="AI63" i="37"/>
  <c r="AI218" i="37"/>
  <c r="AI9" i="37"/>
  <c r="AI213" i="37"/>
  <c r="AI281" i="37"/>
  <c r="AI196" i="37"/>
  <c r="AI270" i="37"/>
  <c r="AI235" i="37"/>
  <c r="AI120" i="37"/>
  <c r="AI102" i="37"/>
  <c r="AI154" i="37"/>
  <c r="AI283" i="37"/>
  <c r="AI49" i="37"/>
  <c r="AI267" i="37"/>
  <c r="AI232" i="37"/>
  <c r="AI88" i="37"/>
  <c r="AI17" i="37"/>
  <c r="AI22" i="37"/>
  <c r="AI170" i="37"/>
  <c r="AI275" i="37"/>
  <c r="AI86" i="37"/>
  <c r="AI8" i="37"/>
  <c r="AI114" i="37"/>
  <c r="AI141" i="37"/>
  <c r="AI123" i="37"/>
  <c r="AI302" i="37"/>
  <c r="AI18" i="37"/>
  <c r="AI251" i="37"/>
  <c r="AI178" i="37"/>
  <c r="AI169" i="37"/>
  <c r="AI222" i="37"/>
  <c r="AI236" i="37"/>
  <c r="AI179" i="37"/>
  <c r="AI280" i="37"/>
  <c r="AI75" i="37"/>
  <c r="AI246" i="37"/>
  <c r="AI271" i="37"/>
  <c r="AI192" i="37"/>
  <c r="AI19" i="37"/>
  <c r="AI304" i="37"/>
  <c r="AI259" i="37"/>
  <c r="AI266" i="37"/>
  <c r="AI104" i="37"/>
  <c r="AI219" i="37"/>
  <c r="AI166" i="37"/>
  <c r="AI276" i="37"/>
  <c r="BJ1" i="71"/>
  <c r="BK1" i="71"/>
  <c r="BL1" i="71"/>
  <c r="BM1" i="71"/>
  <c r="BN1" i="71"/>
  <c r="BO1" i="71"/>
  <c r="BP1" i="71"/>
  <c r="BQ1" i="71"/>
  <c r="BR1" i="71"/>
  <c r="BS1" i="71"/>
  <c r="BT1" i="71"/>
  <c r="BU1" i="71"/>
  <c r="BV1" i="71"/>
  <c r="BW1" i="71"/>
  <c r="BX1" i="71"/>
  <c r="BY1" i="71"/>
  <c r="BZ1" i="71"/>
  <c r="CA1" i="71"/>
  <c r="CB1" i="71"/>
  <c r="CC1" i="71"/>
  <c r="CD1" i="71"/>
  <c r="CE1" i="71"/>
  <c r="CF1" i="71"/>
  <c r="CG1" i="71"/>
  <c r="CH1" i="71"/>
  <c r="CI1" i="71"/>
  <c r="CJ1" i="71"/>
  <c r="CK1" i="71"/>
  <c r="CL1" i="71"/>
  <c r="CM1" i="71"/>
  <c r="A2" i="37"/>
  <c r="DD7" i="71"/>
  <c r="DE7" i="71"/>
  <c r="DD8" i="71"/>
  <c r="DE8" i="71"/>
  <c r="DD9" i="71"/>
  <c r="DE9" i="71"/>
  <c r="DD10" i="71"/>
  <c r="DE10" i="71"/>
  <c r="DD11" i="71"/>
  <c r="DE11" i="71"/>
  <c r="DD12" i="71"/>
  <c r="DE12" i="71"/>
  <c r="DD13" i="71"/>
  <c r="DE13" i="71"/>
  <c r="DD14" i="71"/>
  <c r="DE14" i="71"/>
  <c r="DD15" i="71"/>
  <c r="DE15" i="71"/>
  <c r="DD16" i="71"/>
  <c r="DE16" i="71"/>
  <c r="DD17" i="71"/>
  <c r="DE17" i="71"/>
  <c r="DD18" i="71"/>
  <c r="DE18" i="71"/>
  <c r="DD19" i="71"/>
  <c r="DE19" i="71"/>
  <c r="DD20" i="71"/>
  <c r="DE20" i="71"/>
  <c r="DD21" i="71"/>
  <c r="DE21" i="71"/>
  <c r="DD22" i="71"/>
  <c r="DE22" i="71"/>
  <c r="DD23" i="71"/>
  <c r="DE23" i="71"/>
  <c r="DD24" i="71"/>
  <c r="DE24" i="71"/>
  <c r="DD25" i="71"/>
  <c r="DE25" i="71"/>
  <c r="DD26" i="71"/>
  <c r="DE26" i="71"/>
  <c r="DD27" i="71"/>
  <c r="DE27" i="71"/>
  <c r="DD28" i="71"/>
  <c r="DE28" i="71"/>
  <c r="DD29" i="71"/>
  <c r="DE29" i="71"/>
  <c r="DD30" i="71"/>
  <c r="DE30" i="71"/>
  <c r="DD31" i="71"/>
  <c r="DE31" i="71"/>
  <c r="DD32" i="71"/>
  <c r="DE32" i="71"/>
  <c r="DD33" i="71"/>
  <c r="DE33" i="71"/>
  <c r="DD34" i="71"/>
  <c r="DE34" i="71"/>
  <c r="DD35" i="71"/>
  <c r="DE35" i="71"/>
  <c r="DD36" i="71"/>
  <c r="DE36" i="71"/>
  <c r="DD37" i="71"/>
  <c r="DE37" i="71"/>
  <c r="DD38" i="71"/>
  <c r="DE38" i="71"/>
  <c r="DD39" i="71"/>
  <c r="DE39" i="71"/>
  <c r="DD40" i="71"/>
  <c r="DE40" i="71"/>
  <c r="DD41" i="71"/>
  <c r="DE41" i="71"/>
  <c r="DD42" i="71"/>
  <c r="DE42" i="71"/>
  <c r="DD43" i="71"/>
  <c r="DE43" i="71"/>
  <c r="DD44" i="71"/>
  <c r="DE44" i="71"/>
  <c r="DD45" i="71"/>
  <c r="DE45" i="71"/>
  <c r="DD46" i="71"/>
  <c r="DE46" i="71"/>
  <c r="DD47" i="71"/>
  <c r="DE47" i="71"/>
  <c r="DD48" i="71"/>
  <c r="DE48" i="71"/>
  <c r="DD49" i="71"/>
  <c r="DE49" i="71"/>
  <c r="DD50" i="71"/>
  <c r="DE50" i="71"/>
  <c r="DD51" i="71"/>
  <c r="DE51" i="71"/>
  <c r="DD52" i="71"/>
  <c r="DE52" i="71"/>
  <c r="DD53" i="71"/>
  <c r="DE53" i="71"/>
  <c r="DD54" i="71"/>
  <c r="DE54" i="71"/>
  <c r="DD55" i="71"/>
  <c r="DE55" i="71"/>
  <c r="DD56" i="71"/>
  <c r="DE56" i="71"/>
  <c r="DD57" i="71"/>
  <c r="DE57" i="71"/>
  <c r="DD58" i="71"/>
  <c r="DE58" i="71"/>
  <c r="DD59" i="71"/>
  <c r="DE59" i="71"/>
  <c r="DD60" i="71"/>
  <c r="DE60" i="71"/>
  <c r="DD61" i="71"/>
  <c r="DE61" i="71"/>
  <c r="DD62" i="71"/>
  <c r="DE62" i="71"/>
  <c r="DD63" i="71"/>
  <c r="DE63" i="71"/>
  <c r="DD64" i="71"/>
  <c r="DE64" i="71"/>
  <c r="DD65" i="71"/>
  <c r="DE65" i="71"/>
  <c r="DD66" i="71"/>
  <c r="DE66" i="71"/>
  <c r="DD67" i="71"/>
  <c r="DE67" i="71"/>
  <c r="DD68" i="71"/>
  <c r="DE68" i="71"/>
  <c r="DD69" i="71"/>
  <c r="DE69" i="71"/>
  <c r="DD70" i="71"/>
  <c r="DE70" i="71"/>
  <c r="DD71" i="71"/>
  <c r="DE71" i="71"/>
  <c r="DD72" i="71"/>
  <c r="DE72" i="71"/>
  <c r="DD73" i="71"/>
  <c r="DE73" i="71"/>
  <c r="DD74" i="71"/>
  <c r="DE74" i="71"/>
  <c r="DD75" i="71"/>
  <c r="DE75" i="71"/>
  <c r="DD76" i="71"/>
  <c r="DE76" i="71"/>
  <c r="DD77" i="71"/>
  <c r="DE77" i="71"/>
  <c r="DD78" i="71"/>
  <c r="DE78" i="71"/>
  <c r="DD79" i="71"/>
  <c r="DE79" i="71"/>
  <c r="DD80" i="71"/>
  <c r="DE80" i="71"/>
  <c r="DD81" i="71"/>
  <c r="DE81" i="71"/>
  <c r="DD82" i="71"/>
  <c r="DE82" i="71"/>
  <c r="DD83" i="71"/>
  <c r="DE83" i="71"/>
  <c r="DD84" i="71"/>
  <c r="DE84" i="71"/>
  <c r="DD85" i="71"/>
  <c r="DE85" i="71"/>
  <c r="DD86" i="71"/>
  <c r="DE86" i="71"/>
  <c r="DD87" i="71"/>
  <c r="DE87" i="71"/>
  <c r="DD88" i="71"/>
  <c r="DE88" i="71"/>
  <c r="DD89" i="71"/>
  <c r="DE89" i="71"/>
  <c r="DD90" i="71"/>
  <c r="DE90" i="71"/>
  <c r="DD91" i="71"/>
  <c r="DE91" i="71"/>
  <c r="DD92" i="71"/>
  <c r="DE92" i="71"/>
  <c r="DD93" i="71"/>
  <c r="DE93" i="71"/>
  <c r="DD94" i="71"/>
  <c r="DE94" i="71"/>
  <c r="DD95" i="71"/>
  <c r="DE95" i="71"/>
  <c r="DD96" i="71"/>
  <c r="DE96" i="71"/>
  <c r="DD97" i="71"/>
  <c r="DE97" i="71"/>
  <c r="DD98" i="71"/>
  <c r="DE98" i="71"/>
  <c r="DD99" i="71"/>
  <c r="DE99" i="71"/>
  <c r="DD100" i="71"/>
  <c r="DE100" i="71"/>
  <c r="DD101" i="71"/>
  <c r="DE101" i="71"/>
  <c r="DD102" i="71"/>
  <c r="DE102" i="71"/>
  <c r="DD103" i="71"/>
  <c r="DE103" i="71"/>
  <c r="DD104" i="71"/>
  <c r="DE104" i="71"/>
  <c r="DD105" i="71"/>
  <c r="DE105" i="71"/>
  <c r="DD106" i="71"/>
  <c r="DE106" i="71"/>
  <c r="DD107" i="71"/>
  <c r="DE107" i="71"/>
  <c r="DD108" i="71"/>
  <c r="DE108" i="71"/>
  <c r="DD109" i="71"/>
  <c r="DE109" i="71"/>
  <c r="DD110" i="71"/>
  <c r="DE110" i="71"/>
  <c r="DD111" i="71"/>
  <c r="DE111" i="71"/>
  <c r="DD112" i="71"/>
  <c r="DE112" i="71"/>
  <c r="DD113" i="71"/>
  <c r="DE113" i="71"/>
  <c r="DD114" i="71"/>
  <c r="DE114" i="71"/>
  <c r="DD115" i="71"/>
  <c r="DE115" i="71"/>
  <c r="DD116" i="71"/>
  <c r="DE116" i="71"/>
  <c r="DD117" i="71"/>
  <c r="DE117" i="71"/>
  <c r="DD118" i="71"/>
  <c r="DE118" i="71"/>
  <c r="DD119" i="71"/>
  <c r="DE119" i="71"/>
  <c r="DD120" i="71"/>
  <c r="DE120" i="71"/>
  <c r="DD121" i="71"/>
  <c r="DE121" i="71"/>
  <c r="DD122" i="71"/>
  <c r="DE122" i="71"/>
  <c r="DD123" i="71"/>
  <c r="DE123" i="71"/>
  <c r="DD124" i="71"/>
  <c r="DE124" i="71"/>
  <c r="DD125" i="71"/>
  <c r="DE125" i="71"/>
  <c r="DD126" i="71"/>
  <c r="DE126" i="71"/>
  <c r="DD127" i="71"/>
  <c r="DE127" i="71"/>
  <c r="DD128" i="71"/>
  <c r="DE128" i="71"/>
  <c r="DD129" i="71"/>
  <c r="DE129" i="71"/>
  <c r="DD130" i="71"/>
  <c r="DE130" i="71"/>
  <c r="DD131" i="71"/>
  <c r="DE131" i="71"/>
  <c r="DD132" i="71"/>
  <c r="DE132" i="71"/>
  <c r="DD133" i="71"/>
  <c r="DE133" i="71"/>
  <c r="DD134" i="71"/>
  <c r="DE134" i="71"/>
  <c r="DD135" i="71"/>
  <c r="DE135" i="71"/>
  <c r="DD136" i="71"/>
  <c r="DE136" i="71"/>
  <c r="DD137" i="71"/>
  <c r="DE137" i="71"/>
  <c r="DD138" i="71"/>
  <c r="DE138" i="71"/>
  <c r="DD139" i="71"/>
  <c r="DE139" i="71"/>
  <c r="DD140" i="71"/>
  <c r="DE140" i="71"/>
  <c r="DD141" i="71"/>
  <c r="DE141" i="71"/>
  <c r="DD142" i="71"/>
  <c r="DE142" i="71"/>
  <c r="DD143" i="71"/>
  <c r="DE143" i="71"/>
  <c r="DD144" i="71"/>
  <c r="DE144" i="71"/>
  <c r="DD145" i="71"/>
  <c r="DE145" i="71"/>
  <c r="DD146" i="71"/>
  <c r="DE146" i="71"/>
  <c r="DD147" i="71"/>
  <c r="DE147" i="71"/>
  <c r="DD148" i="71"/>
  <c r="DE148" i="71"/>
  <c r="DD149" i="71"/>
  <c r="DE149" i="71"/>
  <c r="DD150" i="71"/>
  <c r="DE150" i="71"/>
  <c r="DD151" i="71"/>
  <c r="DE151" i="71"/>
  <c r="DD152" i="71"/>
  <c r="DE152" i="71"/>
  <c r="DD153" i="71"/>
  <c r="DE153" i="71"/>
  <c r="DD154" i="71"/>
  <c r="DE154" i="71"/>
  <c r="DD155" i="71"/>
  <c r="DE155" i="71"/>
  <c r="DD156" i="71"/>
  <c r="DE156" i="71"/>
  <c r="DD157" i="71"/>
  <c r="DE157" i="71"/>
  <c r="DD158" i="71"/>
  <c r="DE158" i="71"/>
  <c r="DD159" i="71"/>
  <c r="DE159" i="71"/>
  <c r="DD160" i="71"/>
  <c r="DE160" i="71"/>
  <c r="DD161" i="71"/>
  <c r="DE161" i="71"/>
  <c r="DD162" i="71"/>
  <c r="DE162" i="71"/>
  <c r="DD163" i="71"/>
  <c r="DE163" i="71"/>
  <c r="DD164" i="71"/>
  <c r="DE164" i="71"/>
  <c r="DD165" i="71"/>
  <c r="DE165" i="71"/>
  <c r="DD166" i="71"/>
  <c r="DE166" i="71"/>
  <c r="DD167" i="71"/>
  <c r="DE167" i="71"/>
  <c r="DD168" i="71"/>
  <c r="DE168" i="71"/>
  <c r="DD169" i="71"/>
  <c r="DE169" i="71"/>
  <c r="DD170" i="71"/>
  <c r="DE170" i="71"/>
  <c r="DD171" i="71"/>
  <c r="DE171" i="71"/>
  <c r="DD172" i="71"/>
  <c r="DE172" i="71"/>
  <c r="DD173" i="71"/>
  <c r="DE173" i="71"/>
  <c r="DD174" i="71"/>
  <c r="DE174" i="71"/>
  <c r="DD175" i="71"/>
  <c r="DE175" i="71"/>
  <c r="DD176" i="71"/>
  <c r="DE176" i="71"/>
  <c r="DD177" i="71"/>
  <c r="DE177" i="71"/>
  <c r="DD178" i="71"/>
  <c r="DE178" i="71"/>
  <c r="DD179" i="71"/>
  <c r="DE179" i="71"/>
  <c r="DD180" i="71"/>
  <c r="DE180" i="71"/>
  <c r="DD181" i="71"/>
  <c r="DE181" i="71"/>
  <c r="DD182" i="71"/>
  <c r="DE182" i="71"/>
  <c r="DD183" i="71"/>
  <c r="DE183" i="71"/>
  <c r="DD184" i="71"/>
  <c r="DE184" i="71"/>
  <c r="DD185" i="71"/>
  <c r="DE185" i="71"/>
  <c r="DD186" i="71"/>
  <c r="DE186" i="71"/>
  <c r="DD187" i="71"/>
  <c r="DE187" i="71"/>
  <c r="DD188" i="71"/>
  <c r="DE188" i="71"/>
  <c r="DD189" i="71"/>
  <c r="DE189" i="71"/>
  <c r="DD190" i="71"/>
  <c r="DE190" i="71"/>
  <c r="DD191" i="71"/>
  <c r="DE191" i="71"/>
  <c r="DD192" i="71"/>
  <c r="DE192" i="71"/>
  <c r="DD193" i="71"/>
  <c r="DE193" i="71"/>
  <c r="DD194" i="71"/>
  <c r="DE194" i="71"/>
  <c r="DD195" i="71"/>
  <c r="DE195" i="71"/>
  <c r="DD196" i="71"/>
  <c r="DE196" i="71"/>
  <c r="DD197" i="71"/>
  <c r="DE197" i="71"/>
  <c r="DD198" i="71"/>
  <c r="DE198" i="71"/>
  <c r="DD199" i="71"/>
  <c r="DE199" i="71"/>
  <c r="DD200" i="71"/>
  <c r="DE200" i="71"/>
  <c r="DD201" i="71"/>
  <c r="DE201" i="71"/>
  <c r="DD202" i="71"/>
  <c r="DE202" i="71"/>
  <c r="DD203" i="71"/>
  <c r="DE203" i="71"/>
  <c r="DD204" i="71"/>
  <c r="DE204" i="71"/>
  <c r="DD205" i="71"/>
  <c r="DE205" i="71"/>
  <c r="DD206" i="71"/>
  <c r="DE206" i="71"/>
  <c r="DD207" i="71"/>
  <c r="DE207" i="71"/>
  <c r="DD208" i="71"/>
  <c r="DE208" i="71"/>
  <c r="DD209" i="71"/>
  <c r="DE209" i="71"/>
  <c r="DD210" i="71"/>
  <c r="DE210" i="71"/>
  <c r="DD211" i="71"/>
  <c r="DE211" i="71"/>
  <c r="DD212" i="71"/>
  <c r="DE212" i="71"/>
  <c r="DD213" i="71"/>
  <c r="DE213" i="71"/>
  <c r="DD214" i="71"/>
  <c r="DE214" i="71"/>
  <c r="DD215" i="71"/>
  <c r="DE215" i="71"/>
  <c r="DD216" i="71"/>
  <c r="DE216" i="71"/>
  <c r="DD217" i="71"/>
  <c r="DE217" i="71"/>
  <c r="DD218" i="71"/>
  <c r="DE218" i="71"/>
  <c r="DD219" i="71"/>
  <c r="DE219" i="71"/>
  <c r="DD220" i="71"/>
  <c r="DE220" i="71"/>
  <c r="DD221" i="71"/>
  <c r="DE221" i="71"/>
  <c r="DD222" i="71"/>
  <c r="DE222" i="71"/>
  <c r="DD223" i="71"/>
  <c r="DE223" i="71"/>
  <c r="DD224" i="71"/>
  <c r="DE224" i="71"/>
  <c r="DD225" i="71"/>
  <c r="DE225" i="71"/>
  <c r="DD226" i="71"/>
  <c r="DE226" i="71"/>
  <c r="DD227" i="71"/>
  <c r="DE227" i="71"/>
  <c r="DD228" i="71"/>
  <c r="DE228" i="71"/>
  <c r="DD229" i="71"/>
  <c r="DE229" i="71"/>
  <c r="DD230" i="71"/>
  <c r="DE230" i="71"/>
  <c r="DD231" i="71"/>
  <c r="DE231" i="71"/>
  <c r="DD232" i="71"/>
  <c r="DE232" i="71"/>
  <c r="DD233" i="71"/>
  <c r="DE233" i="71"/>
  <c r="DD234" i="71"/>
  <c r="DE234" i="71"/>
  <c r="DD235" i="71"/>
  <c r="DE235" i="71"/>
  <c r="DD236" i="71"/>
  <c r="DE236" i="71"/>
  <c r="DD237" i="71"/>
  <c r="DE237" i="71"/>
  <c r="DD238" i="71"/>
  <c r="DE238" i="71"/>
  <c r="DD239" i="71"/>
  <c r="DE239" i="71"/>
  <c r="DD240" i="71"/>
  <c r="DE240" i="71"/>
  <c r="DD241" i="71"/>
  <c r="DE241" i="71"/>
  <c r="DD242" i="71"/>
  <c r="DE242" i="71"/>
  <c r="DD243" i="71"/>
  <c r="DE243" i="71"/>
  <c r="DD244" i="71"/>
  <c r="DE244" i="71"/>
  <c r="DD245" i="71"/>
  <c r="DE245" i="71"/>
  <c r="DD246" i="71"/>
  <c r="DE246" i="71"/>
  <c r="DD247" i="71"/>
  <c r="DE247" i="71"/>
  <c r="DD248" i="71"/>
  <c r="DE248" i="71"/>
  <c r="DD249" i="71"/>
  <c r="DE249" i="71"/>
  <c r="DD250" i="71"/>
  <c r="DE250" i="71"/>
  <c r="DD251" i="71"/>
  <c r="DE251" i="71"/>
  <c r="DD252" i="71"/>
  <c r="DE252" i="71"/>
  <c r="DD253" i="71"/>
  <c r="DE253" i="71"/>
  <c r="DD254" i="71"/>
  <c r="DE254" i="71"/>
  <c r="DD255" i="71"/>
  <c r="DE255" i="71"/>
  <c r="DD6" i="71"/>
  <c r="DE6" i="71"/>
  <c r="FA1" i="71"/>
  <c r="EY1" i="71"/>
  <c r="EZ1" i="71"/>
  <c r="DH1" i="71"/>
  <c r="DI1" i="71"/>
  <c r="DJ1" i="71"/>
  <c r="DK1" i="71"/>
  <c r="DL1" i="71"/>
  <c r="DM1" i="71"/>
  <c r="DN1" i="71"/>
  <c r="DO1" i="71"/>
  <c r="DP1" i="71"/>
  <c r="DQ1" i="71"/>
  <c r="DR1" i="71"/>
  <c r="DS1" i="71"/>
  <c r="DT1" i="71"/>
  <c r="DU1" i="71"/>
  <c r="DV1" i="71"/>
  <c r="DW1" i="71"/>
  <c r="DX1" i="71"/>
  <c r="DY1" i="71"/>
  <c r="DZ1" i="71"/>
  <c r="EA1" i="71"/>
  <c r="EB1" i="71"/>
  <c r="EC1" i="71"/>
  <c r="ED1" i="71"/>
  <c r="EE1" i="71"/>
  <c r="EF1" i="71"/>
  <c r="EG1" i="71"/>
  <c r="EH1" i="71"/>
  <c r="EI1" i="71"/>
  <c r="EJ1" i="71"/>
  <c r="EK1" i="71"/>
  <c r="EL1" i="71"/>
  <c r="EM1" i="71"/>
  <c r="EN1" i="71"/>
  <c r="EO1" i="71"/>
  <c r="EP1" i="71"/>
  <c r="EQ1" i="71"/>
  <c r="ER1" i="71"/>
  <c r="ES1" i="71"/>
  <c r="ET1" i="71"/>
  <c r="EU1" i="71"/>
  <c r="EV1" i="71"/>
  <c r="EW1" i="71"/>
  <c r="EX1" i="71"/>
  <c r="DG1" i="71"/>
  <c r="EZ255" i="71"/>
  <c r="EX255" i="71"/>
  <c r="EZ254" i="71"/>
  <c r="EX254" i="71"/>
  <c r="EZ253" i="71"/>
  <c r="EX253" i="71"/>
  <c r="EZ252" i="71"/>
  <c r="EX252" i="71"/>
  <c r="EZ251" i="71"/>
  <c r="EX251" i="71"/>
  <c r="EZ250" i="71"/>
  <c r="EX250" i="71"/>
  <c r="EZ249" i="71"/>
  <c r="EX249" i="71"/>
  <c r="EZ248" i="71"/>
  <c r="EX248" i="71"/>
  <c r="EZ247" i="71"/>
  <c r="EX247" i="71"/>
  <c r="EZ246" i="71"/>
  <c r="EX246" i="71"/>
  <c r="EZ245" i="71"/>
  <c r="EX245" i="71"/>
  <c r="EZ244" i="71"/>
  <c r="EX244" i="71"/>
  <c r="EZ243" i="71"/>
  <c r="EX243" i="71"/>
  <c r="EZ242" i="71"/>
  <c r="EX242" i="71"/>
  <c r="EZ241" i="71"/>
  <c r="EX241" i="71"/>
  <c r="EZ240" i="71"/>
  <c r="EX240" i="71"/>
  <c r="EZ239" i="71"/>
  <c r="EX239" i="71"/>
  <c r="EZ238" i="71"/>
  <c r="EX238" i="71"/>
  <c r="EZ237" i="71"/>
  <c r="EX237" i="71"/>
  <c r="EZ236" i="71"/>
  <c r="EX236" i="71"/>
  <c r="EZ235" i="71"/>
  <c r="EX235" i="71"/>
  <c r="EZ234" i="71"/>
  <c r="EX234" i="71"/>
  <c r="EZ233" i="71"/>
  <c r="EX233" i="71"/>
  <c r="EZ232" i="71"/>
  <c r="EX232" i="71"/>
  <c r="EZ231" i="71"/>
  <c r="EX231" i="71"/>
  <c r="EZ230" i="71"/>
  <c r="EX230" i="71"/>
  <c r="EZ229" i="71"/>
  <c r="EX229" i="71"/>
  <c r="EZ228" i="71"/>
  <c r="EX228" i="71"/>
  <c r="EZ227" i="71"/>
  <c r="EX227" i="71"/>
  <c r="EZ226" i="71"/>
  <c r="EX226" i="71"/>
  <c r="EZ225" i="71"/>
  <c r="EX225" i="71"/>
  <c r="EZ224" i="71"/>
  <c r="EX224" i="71"/>
  <c r="EZ223" i="71"/>
  <c r="EX223" i="71"/>
  <c r="EZ222" i="71"/>
  <c r="EX222" i="71"/>
  <c r="EZ221" i="71"/>
  <c r="EX221" i="71"/>
  <c r="EZ220" i="71"/>
  <c r="EX220" i="71"/>
  <c r="EZ219" i="71"/>
  <c r="EX219" i="71"/>
  <c r="EZ218" i="71"/>
  <c r="EX218" i="71"/>
  <c r="EZ217" i="71"/>
  <c r="EX217" i="71"/>
  <c r="EZ216" i="71"/>
  <c r="EX216" i="71"/>
  <c r="EZ215" i="71"/>
  <c r="EX215" i="71"/>
  <c r="EZ214" i="71"/>
  <c r="EX214" i="71"/>
  <c r="EZ213" i="71"/>
  <c r="EX213" i="71"/>
  <c r="EZ212" i="71"/>
  <c r="EX212" i="71"/>
  <c r="EZ211" i="71"/>
  <c r="EX211" i="71"/>
  <c r="EZ210" i="71"/>
  <c r="EX210" i="71"/>
  <c r="EZ209" i="71"/>
  <c r="EX209" i="71"/>
  <c r="EZ208" i="71"/>
  <c r="EX208" i="71"/>
  <c r="EZ207" i="71"/>
  <c r="EX207" i="71"/>
  <c r="EZ206" i="71"/>
  <c r="EX206" i="71"/>
  <c r="EZ205" i="71"/>
  <c r="FA205" i="71" s="1"/>
  <c r="EX205" i="71"/>
  <c r="EY205" i="71" s="1"/>
  <c r="EZ204" i="71"/>
  <c r="FA204" i="71" s="1"/>
  <c r="EX204" i="71"/>
  <c r="EY204" i="71" s="1"/>
  <c r="EZ203" i="71"/>
  <c r="FA203" i="71" s="1"/>
  <c r="EX203" i="71"/>
  <c r="EY203" i="71" s="1"/>
  <c r="EZ202" i="71"/>
  <c r="FA202" i="71" s="1"/>
  <c r="EX202" i="71"/>
  <c r="EY202" i="71" s="1"/>
  <c r="EZ201" i="71"/>
  <c r="FA201" i="71" s="1"/>
  <c r="EX201" i="71"/>
  <c r="EY201" i="71" s="1"/>
  <c r="EZ200" i="71"/>
  <c r="FA200" i="71" s="1"/>
  <c r="EX200" i="71"/>
  <c r="EY200" i="71" s="1"/>
  <c r="EZ199" i="71"/>
  <c r="FA199" i="71" s="1"/>
  <c r="EX199" i="71"/>
  <c r="EY199" i="71" s="1"/>
  <c r="EZ198" i="71"/>
  <c r="FA198" i="71" s="1"/>
  <c r="EX198" i="71"/>
  <c r="EY198" i="71" s="1"/>
  <c r="EZ197" i="71"/>
  <c r="FA197" i="71" s="1"/>
  <c r="EX197" i="71"/>
  <c r="EY197" i="71" s="1"/>
  <c r="EZ196" i="71"/>
  <c r="FA196" i="71" s="1"/>
  <c r="EX196" i="71"/>
  <c r="EY196" i="71" s="1"/>
  <c r="EZ195" i="71"/>
  <c r="FA195" i="71" s="1"/>
  <c r="EX195" i="71"/>
  <c r="EY195" i="71" s="1"/>
  <c r="EZ194" i="71"/>
  <c r="FA194" i="71" s="1"/>
  <c r="EX194" i="71"/>
  <c r="EY194" i="71" s="1"/>
  <c r="EZ193" i="71"/>
  <c r="FA193" i="71" s="1"/>
  <c r="EX193" i="71"/>
  <c r="EY193" i="71" s="1"/>
  <c r="EZ192" i="71"/>
  <c r="FA192" i="71" s="1"/>
  <c r="EX192" i="71"/>
  <c r="EY192" i="71" s="1"/>
  <c r="EZ191" i="71"/>
  <c r="FA191" i="71" s="1"/>
  <c r="EX191" i="71"/>
  <c r="EY191" i="71" s="1"/>
  <c r="EZ190" i="71"/>
  <c r="FA190" i="71" s="1"/>
  <c r="EX190" i="71"/>
  <c r="EY190" i="71" s="1"/>
  <c r="EZ189" i="71"/>
  <c r="FA189" i="71" s="1"/>
  <c r="EX189" i="71"/>
  <c r="EY189" i="71" s="1"/>
  <c r="EZ188" i="71"/>
  <c r="FA188" i="71" s="1"/>
  <c r="EX188" i="71"/>
  <c r="EY188" i="71" s="1"/>
  <c r="EZ187" i="71"/>
  <c r="FA187" i="71" s="1"/>
  <c r="EX187" i="71"/>
  <c r="EY187" i="71" s="1"/>
  <c r="EZ186" i="71"/>
  <c r="FA186" i="71" s="1"/>
  <c r="EX186" i="71"/>
  <c r="EY186" i="71" s="1"/>
  <c r="EZ185" i="71"/>
  <c r="FA185" i="71" s="1"/>
  <c r="EX185" i="71"/>
  <c r="EY185" i="71" s="1"/>
  <c r="EZ184" i="71"/>
  <c r="FA184" i="71" s="1"/>
  <c r="EX184" i="71"/>
  <c r="EY184" i="71" s="1"/>
  <c r="EZ183" i="71"/>
  <c r="FA183" i="71" s="1"/>
  <c r="EX183" i="71"/>
  <c r="EY183" i="71" s="1"/>
  <c r="EZ182" i="71"/>
  <c r="FA182" i="71" s="1"/>
  <c r="EX182" i="71"/>
  <c r="EY182" i="71" s="1"/>
  <c r="EZ181" i="71"/>
  <c r="FA181" i="71" s="1"/>
  <c r="EX181" i="71"/>
  <c r="EY181" i="71" s="1"/>
  <c r="EZ180" i="71"/>
  <c r="FA180" i="71" s="1"/>
  <c r="EX180" i="71"/>
  <c r="EY180" i="71" s="1"/>
  <c r="EZ179" i="71"/>
  <c r="FA179" i="71" s="1"/>
  <c r="EX179" i="71"/>
  <c r="EY179" i="71" s="1"/>
  <c r="EZ178" i="71"/>
  <c r="FA178" i="71" s="1"/>
  <c r="EX178" i="71"/>
  <c r="EY178" i="71" s="1"/>
  <c r="EZ177" i="71"/>
  <c r="FA177" i="71" s="1"/>
  <c r="EX177" i="71"/>
  <c r="EY177" i="71" s="1"/>
  <c r="EZ176" i="71"/>
  <c r="FA176" i="71" s="1"/>
  <c r="EX176" i="71"/>
  <c r="EY176" i="71" s="1"/>
  <c r="EZ175" i="71"/>
  <c r="FA175" i="71" s="1"/>
  <c r="EX175" i="71"/>
  <c r="EY175" i="71" s="1"/>
  <c r="EZ174" i="71"/>
  <c r="FA174" i="71" s="1"/>
  <c r="EX174" i="71"/>
  <c r="EY174" i="71" s="1"/>
  <c r="EZ173" i="71"/>
  <c r="FA173" i="71" s="1"/>
  <c r="EX173" i="71"/>
  <c r="EY173" i="71" s="1"/>
  <c r="EZ172" i="71"/>
  <c r="FA172" i="71" s="1"/>
  <c r="EX172" i="71"/>
  <c r="EY172" i="71" s="1"/>
  <c r="EZ171" i="71"/>
  <c r="FA171" i="71" s="1"/>
  <c r="EX171" i="71"/>
  <c r="EY171" i="71" s="1"/>
  <c r="EZ170" i="71"/>
  <c r="FA170" i="71" s="1"/>
  <c r="EX170" i="71"/>
  <c r="EY170" i="71" s="1"/>
  <c r="EZ169" i="71"/>
  <c r="FA169" i="71" s="1"/>
  <c r="EX169" i="71"/>
  <c r="EY169" i="71" s="1"/>
  <c r="EZ168" i="71"/>
  <c r="FA168" i="71" s="1"/>
  <c r="EX168" i="71"/>
  <c r="EY168" i="71" s="1"/>
  <c r="EZ167" i="71"/>
  <c r="FA167" i="71" s="1"/>
  <c r="EX167" i="71"/>
  <c r="EY167" i="71" s="1"/>
  <c r="EZ166" i="71"/>
  <c r="FA166" i="71" s="1"/>
  <c r="EX166" i="71"/>
  <c r="EY166" i="71" s="1"/>
  <c r="EZ165" i="71"/>
  <c r="FA165" i="71" s="1"/>
  <c r="EX165" i="71"/>
  <c r="EY165" i="71" s="1"/>
  <c r="EZ164" i="71"/>
  <c r="FA164" i="71" s="1"/>
  <c r="EX164" i="71"/>
  <c r="EY164" i="71" s="1"/>
  <c r="EZ163" i="71"/>
  <c r="FA163" i="71" s="1"/>
  <c r="EX163" i="71"/>
  <c r="EY163" i="71" s="1"/>
  <c r="EZ162" i="71"/>
  <c r="FA162" i="71" s="1"/>
  <c r="EX162" i="71"/>
  <c r="EY162" i="71" s="1"/>
  <c r="EZ161" i="71"/>
  <c r="FA161" i="71" s="1"/>
  <c r="EX161" i="71"/>
  <c r="EY161" i="71" s="1"/>
  <c r="EZ160" i="71"/>
  <c r="FA160" i="71" s="1"/>
  <c r="EX160" i="71"/>
  <c r="EY160" i="71" s="1"/>
  <c r="EZ159" i="71"/>
  <c r="FA159" i="71" s="1"/>
  <c r="EX159" i="71"/>
  <c r="EY159" i="71" s="1"/>
  <c r="EZ158" i="71"/>
  <c r="FA158" i="71" s="1"/>
  <c r="EX158" i="71"/>
  <c r="EY158" i="71" s="1"/>
  <c r="EZ157" i="71"/>
  <c r="FA157" i="71" s="1"/>
  <c r="EX157" i="71"/>
  <c r="EY157" i="71" s="1"/>
  <c r="EZ156" i="71"/>
  <c r="FA156" i="71" s="1"/>
  <c r="EX156" i="71"/>
  <c r="EY156" i="71" s="1"/>
  <c r="EZ155" i="71"/>
  <c r="FA155" i="71" s="1"/>
  <c r="EX155" i="71"/>
  <c r="EY155" i="71" s="1"/>
  <c r="EZ154" i="71"/>
  <c r="FA154" i="71" s="1"/>
  <c r="EX154" i="71"/>
  <c r="EY154" i="71" s="1"/>
  <c r="EZ153" i="71"/>
  <c r="FA153" i="71" s="1"/>
  <c r="EX153" i="71"/>
  <c r="EY153" i="71" s="1"/>
  <c r="EZ152" i="71"/>
  <c r="FA152" i="71" s="1"/>
  <c r="EX152" i="71"/>
  <c r="EY152" i="71" s="1"/>
  <c r="EZ151" i="71"/>
  <c r="FA151" i="71" s="1"/>
  <c r="EX151" i="71"/>
  <c r="EY151" i="71" s="1"/>
  <c r="EZ150" i="71"/>
  <c r="FA150" i="71" s="1"/>
  <c r="EX150" i="71"/>
  <c r="EY150" i="71" s="1"/>
  <c r="EZ149" i="71"/>
  <c r="FA149" i="71" s="1"/>
  <c r="EX149" i="71"/>
  <c r="EY149" i="71" s="1"/>
  <c r="EZ148" i="71"/>
  <c r="FA148" i="71" s="1"/>
  <c r="EX148" i="71"/>
  <c r="EY148" i="71" s="1"/>
  <c r="EZ147" i="71"/>
  <c r="FA147" i="71" s="1"/>
  <c r="EX147" i="71"/>
  <c r="EY147" i="71" s="1"/>
  <c r="EZ146" i="71"/>
  <c r="FA146" i="71" s="1"/>
  <c r="EX146" i="71"/>
  <c r="EY146" i="71" s="1"/>
  <c r="EZ145" i="71"/>
  <c r="FA145" i="71" s="1"/>
  <c r="EX145" i="71"/>
  <c r="EY145" i="71" s="1"/>
  <c r="EZ144" i="71"/>
  <c r="FA144" i="71" s="1"/>
  <c r="EX144" i="71"/>
  <c r="EY144" i="71" s="1"/>
  <c r="EZ143" i="71"/>
  <c r="FA143" i="71" s="1"/>
  <c r="EX143" i="71"/>
  <c r="EY143" i="71" s="1"/>
  <c r="EZ142" i="71"/>
  <c r="FA142" i="71" s="1"/>
  <c r="EX142" i="71"/>
  <c r="EY142" i="71" s="1"/>
  <c r="EZ141" i="71"/>
  <c r="FA141" i="71" s="1"/>
  <c r="EX141" i="71"/>
  <c r="EY141" i="71" s="1"/>
  <c r="EZ140" i="71"/>
  <c r="FA140" i="71" s="1"/>
  <c r="EX140" i="71"/>
  <c r="EY140" i="71" s="1"/>
  <c r="EZ139" i="71"/>
  <c r="FA139" i="71" s="1"/>
  <c r="EX139" i="71"/>
  <c r="EY139" i="71" s="1"/>
  <c r="EZ138" i="71"/>
  <c r="FA138" i="71" s="1"/>
  <c r="EX138" i="71"/>
  <c r="EY138" i="71" s="1"/>
  <c r="EZ137" i="71"/>
  <c r="FA137" i="71" s="1"/>
  <c r="EX137" i="71"/>
  <c r="EY137" i="71" s="1"/>
  <c r="EZ136" i="71"/>
  <c r="FA136" i="71" s="1"/>
  <c r="EX136" i="71"/>
  <c r="EY136" i="71" s="1"/>
  <c r="EZ135" i="71"/>
  <c r="FA135" i="71" s="1"/>
  <c r="EX135" i="71"/>
  <c r="EY135" i="71" s="1"/>
  <c r="EZ134" i="71"/>
  <c r="FA134" i="71" s="1"/>
  <c r="EX134" i="71"/>
  <c r="EY134" i="71" s="1"/>
  <c r="EZ133" i="71"/>
  <c r="FA133" i="71" s="1"/>
  <c r="EX133" i="71"/>
  <c r="EY133" i="71" s="1"/>
  <c r="EZ132" i="71"/>
  <c r="FA132" i="71" s="1"/>
  <c r="EX132" i="71"/>
  <c r="EY132" i="71" s="1"/>
  <c r="EZ131" i="71"/>
  <c r="FA131" i="71" s="1"/>
  <c r="EX131" i="71"/>
  <c r="EY131" i="71" s="1"/>
  <c r="EZ130" i="71"/>
  <c r="FA130" i="71" s="1"/>
  <c r="EX130" i="71"/>
  <c r="EY130" i="71" s="1"/>
  <c r="EZ129" i="71"/>
  <c r="FA129" i="71" s="1"/>
  <c r="EX129" i="71"/>
  <c r="EY129" i="71" s="1"/>
  <c r="EZ128" i="71"/>
  <c r="FA128" i="71" s="1"/>
  <c r="EX128" i="71"/>
  <c r="EY128" i="71" s="1"/>
  <c r="EZ127" i="71"/>
  <c r="FA127" i="71" s="1"/>
  <c r="EX127" i="71"/>
  <c r="EY127" i="71" s="1"/>
  <c r="EZ126" i="71"/>
  <c r="FA126" i="71" s="1"/>
  <c r="EX126" i="71"/>
  <c r="EY126" i="71" s="1"/>
  <c r="EZ125" i="71"/>
  <c r="FA125" i="71" s="1"/>
  <c r="EX125" i="71"/>
  <c r="EY125" i="71" s="1"/>
  <c r="EZ124" i="71"/>
  <c r="FA124" i="71" s="1"/>
  <c r="EX124" i="71"/>
  <c r="EY124" i="71" s="1"/>
  <c r="EZ123" i="71"/>
  <c r="FA123" i="71" s="1"/>
  <c r="EX123" i="71"/>
  <c r="EY123" i="71" s="1"/>
  <c r="EZ122" i="71"/>
  <c r="FA122" i="71" s="1"/>
  <c r="EX122" i="71"/>
  <c r="EY122" i="71" s="1"/>
  <c r="EZ121" i="71"/>
  <c r="FA121" i="71" s="1"/>
  <c r="EX121" i="71"/>
  <c r="EY121" i="71" s="1"/>
  <c r="EZ120" i="71"/>
  <c r="FA120" i="71" s="1"/>
  <c r="EX120" i="71"/>
  <c r="EY120" i="71" s="1"/>
  <c r="EZ119" i="71"/>
  <c r="FA119" i="71" s="1"/>
  <c r="EX119" i="71"/>
  <c r="EY119" i="71" s="1"/>
  <c r="EZ118" i="71"/>
  <c r="FA118" i="71" s="1"/>
  <c r="EX118" i="71"/>
  <c r="EY118" i="71" s="1"/>
  <c r="EZ117" i="71"/>
  <c r="FA117" i="71" s="1"/>
  <c r="EX117" i="71"/>
  <c r="EY117" i="71" s="1"/>
  <c r="EZ116" i="71"/>
  <c r="FA116" i="71" s="1"/>
  <c r="EX116" i="71"/>
  <c r="EY116" i="71" s="1"/>
  <c r="EZ115" i="71"/>
  <c r="FA115" i="71" s="1"/>
  <c r="EX115" i="71"/>
  <c r="EY115" i="71" s="1"/>
  <c r="EZ114" i="71"/>
  <c r="FA114" i="71" s="1"/>
  <c r="EX114" i="71"/>
  <c r="EY114" i="71" s="1"/>
  <c r="EZ113" i="71"/>
  <c r="FA113" i="71" s="1"/>
  <c r="EX113" i="71"/>
  <c r="EY113" i="71" s="1"/>
  <c r="EZ112" i="71"/>
  <c r="FA112" i="71" s="1"/>
  <c r="EX112" i="71"/>
  <c r="EY112" i="71" s="1"/>
  <c r="EZ111" i="71"/>
  <c r="FA111" i="71" s="1"/>
  <c r="EX111" i="71"/>
  <c r="EY111" i="71" s="1"/>
  <c r="EZ110" i="71"/>
  <c r="FA110" i="71" s="1"/>
  <c r="EX110" i="71"/>
  <c r="EY110" i="71" s="1"/>
  <c r="EZ109" i="71"/>
  <c r="FA109" i="71" s="1"/>
  <c r="EX109" i="71"/>
  <c r="EY109" i="71" s="1"/>
  <c r="EZ108" i="71"/>
  <c r="FA108" i="71" s="1"/>
  <c r="EX108" i="71"/>
  <c r="EY108" i="71" s="1"/>
  <c r="EZ107" i="71"/>
  <c r="FA107" i="71" s="1"/>
  <c r="EX107" i="71"/>
  <c r="EY107" i="71" s="1"/>
  <c r="EZ106" i="71"/>
  <c r="FA106" i="71" s="1"/>
  <c r="EX106" i="71"/>
  <c r="EY106" i="71" s="1"/>
  <c r="EZ105" i="71"/>
  <c r="FA105" i="71" s="1"/>
  <c r="EX105" i="71"/>
  <c r="EY105" i="71" s="1"/>
  <c r="EZ104" i="71"/>
  <c r="FA104" i="71" s="1"/>
  <c r="EX104" i="71"/>
  <c r="EY104" i="71" s="1"/>
  <c r="EZ103" i="71"/>
  <c r="FA103" i="71" s="1"/>
  <c r="EX103" i="71"/>
  <c r="EY103" i="71" s="1"/>
  <c r="EZ102" i="71"/>
  <c r="FA102" i="71" s="1"/>
  <c r="EX102" i="71"/>
  <c r="EY102" i="71" s="1"/>
  <c r="EZ101" i="71"/>
  <c r="FA101" i="71" s="1"/>
  <c r="EX101" i="71"/>
  <c r="EY101" i="71" s="1"/>
  <c r="EZ100" i="71"/>
  <c r="FA100" i="71" s="1"/>
  <c r="EX100" i="71"/>
  <c r="EY100" i="71" s="1"/>
  <c r="EZ99" i="71"/>
  <c r="FA99" i="71" s="1"/>
  <c r="EX99" i="71"/>
  <c r="EY99" i="71" s="1"/>
  <c r="EZ98" i="71"/>
  <c r="FA98" i="71" s="1"/>
  <c r="EX98" i="71"/>
  <c r="EY98" i="71" s="1"/>
  <c r="EZ97" i="71"/>
  <c r="FA97" i="71" s="1"/>
  <c r="EX97" i="71"/>
  <c r="EY97" i="71" s="1"/>
  <c r="EZ96" i="71"/>
  <c r="FA96" i="71" s="1"/>
  <c r="EX96" i="71"/>
  <c r="EY96" i="71" s="1"/>
  <c r="EZ95" i="71"/>
  <c r="FA95" i="71" s="1"/>
  <c r="EX95" i="71"/>
  <c r="EY95" i="71" s="1"/>
  <c r="EZ94" i="71"/>
  <c r="FA94" i="71" s="1"/>
  <c r="EX94" i="71"/>
  <c r="EY94" i="71" s="1"/>
  <c r="EZ93" i="71"/>
  <c r="FA93" i="71" s="1"/>
  <c r="EX93" i="71"/>
  <c r="EY93" i="71" s="1"/>
  <c r="EZ92" i="71"/>
  <c r="FA92" i="71" s="1"/>
  <c r="EX92" i="71"/>
  <c r="EY92" i="71" s="1"/>
  <c r="EZ91" i="71"/>
  <c r="FA91" i="71" s="1"/>
  <c r="EX91" i="71"/>
  <c r="EY91" i="71" s="1"/>
  <c r="EZ90" i="71"/>
  <c r="FA90" i="71" s="1"/>
  <c r="EX90" i="71"/>
  <c r="EY90" i="71" s="1"/>
  <c r="EZ89" i="71"/>
  <c r="FA89" i="71" s="1"/>
  <c r="EX89" i="71"/>
  <c r="EY89" i="71" s="1"/>
  <c r="EZ88" i="71"/>
  <c r="FA88" i="71" s="1"/>
  <c r="EX88" i="71"/>
  <c r="EY88" i="71" s="1"/>
  <c r="EZ87" i="71"/>
  <c r="FA87" i="71" s="1"/>
  <c r="EX87" i="71"/>
  <c r="EY87" i="71" s="1"/>
  <c r="EZ86" i="71"/>
  <c r="FA86" i="71" s="1"/>
  <c r="EX86" i="71"/>
  <c r="EY86" i="71" s="1"/>
  <c r="EZ85" i="71"/>
  <c r="FA85" i="71" s="1"/>
  <c r="EX85" i="71"/>
  <c r="EY85" i="71" s="1"/>
  <c r="EZ84" i="71"/>
  <c r="FA84" i="71" s="1"/>
  <c r="EX84" i="71"/>
  <c r="EY84" i="71" s="1"/>
  <c r="EZ83" i="71"/>
  <c r="FA83" i="71" s="1"/>
  <c r="EX83" i="71"/>
  <c r="EY83" i="71" s="1"/>
  <c r="EZ82" i="71"/>
  <c r="FA82" i="71" s="1"/>
  <c r="EX82" i="71"/>
  <c r="EY82" i="71" s="1"/>
  <c r="EZ81" i="71"/>
  <c r="FA81" i="71" s="1"/>
  <c r="EX81" i="71"/>
  <c r="EY81" i="71" s="1"/>
  <c r="EZ80" i="71"/>
  <c r="FA80" i="71" s="1"/>
  <c r="EX80" i="71"/>
  <c r="EY80" i="71" s="1"/>
  <c r="EZ79" i="71"/>
  <c r="FA79" i="71" s="1"/>
  <c r="EX79" i="71"/>
  <c r="EY79" i="71" s="1"/>
  <c r="EZ78" i="71"/>
  <c r="FA78" i="71" s="1"/>
  <c r="EX78" i="71"/>
  <c r="EY78" i="71" s="1"/>
  <c r="EZ77" i="71"/>
  <c r="FA77" i="71" s="1"/>
  <c r="EX77" i="71"/>
  <c r="EY77" i="71" s="1"/>
  <c r="EZ76" i="71"/>
  <c r="FA76" i="71" s="1"/>
  <c r="EX76" i="71"/>
  <c r="EY76" i="71" s="1"/>
  <c r="EZ75" i="71"/>
  <c r="FA75" i="71" s="1"/>
  <c r="EX75" i="71"/>
  <c r="EY75" i="71" s="1"/>
  <c r="EZ74" i="71"/>
  <c r="FA74" i="71" s="1"/>
  <c r="EX74" i="71"/>
  <c r="EY74" i="71" s="1"/>
  <c r="EZ73" i="71"/>
  <c r="FA73" i="71" s="1"/>
  <c r="EX73" i="71"/>
  <c r="EY73" i="71" s="1"/>
  <c r="EZ72" i="71"/>
  <c r="FA72" i="71" s="1"/>
  <c r="EX72" i="71"/>
  <c r="EY72" i="71" s="1"/>
  <c r="EZ71" i="71"/>
  <c r="FA71" i="71" s="1"/>
  <c r="EX71" i="71"/>
  <c r="EY71" i="71" s="1"/>
  <c r="EZ70" i="71"/>
  <c r="FA70" i="71" s="1"/>
  <c r="EX70" i="71"/>
  <c r="EY70" i="71" s="1"/>
  <c r="EZ69" i="71"/>
  <c r="FA69" i="71" s="1"/>
  <c r="EX69" i="71"/>
  <c r="EY69" i="71" s="1"/>
  <c r="EZ68" i="71"/>
  <c r="FA68" i="71" s="1"/>
  <c r="EX68" i="71"/>
  <c r="EY68" i="71" s="1"/>
  <c r="EZ67" i="71"/>
  <c r="FA67" i="71" s="1"/>
  <c r="EX67" i="71"/>
  <c r="EY67" i="71" s="1"/>
  <c r="EZ66" i="71"/>
  <c r="FA66" i="71" s="1"/>
  <c r="EX66" i="71"/>
  <c r="EY66" i="71" s="1"/>
  <c r="EZ65" i="71"/>
  <c r="FA65" i="71" s="1"/>
  <c r="EX65" i="71"/>
  <c r="EY65" i="71" s="1"/>
  <c r="EZ64" i="71"/>
  <c r="FA64" i="71" s="1"/>
  <c r="EX64" i="71"/>
  <c r="EY64" i="71" s="1"/>
  <c r="EZ63" i="71"/>
  <c r="FA63" i="71" s="1"/>
  <c r="EX63" i="71"/>
  <c r="EY63" i="71" s="1"/>
  <c r="EZ62" i="71"/>
  <c r="FA62" i="71" s="1"/>
  <c r="EX62" i="71"/>
  <c r="EY62" i="71" s="1"/>
  <c r="EZ61" i="71"/>
  <c r="FA61" i="71" s="1"/>
  <c r="EX61" i="71"/>
  <c r="EY61" i="71" s="1"/>
  <c r="EZ60" i="71"/>
  <c r="FA60" i="71" s="1"/>
  <c r="EX60" i="71"/>
  <c r="EY60" i="71" s="1"/>
  <c r="EZ59" i="71"/>
  <c r="FA59" i="71" s="1"/>
  <c r="EX59" i="71"/>
  <c r="EY59" i="71" s="1"/>
  <c r="EZ58" i="71"/>
  <c r="FA58" i="71" s="1"/>
  <c r="EX58" i="71"/>
  <c r="EY58" i="71" s="1"/>
  <c r="EZ57" i="71"/>
  <c r="FA57" i="71" s="1"/>
  <c r="EX57" i="71"/>
  <c r="EY57" i="71" s="1"/>
  <c r="EZ56" i="71"/>
  <c r="FA56" i="71" s="1"/>
  <c r="EX56" i="71"/>
  <c r="EY56" i="71" s="1"/>
  <c r="EZ55" i="71"/>
  <c r="FA55" i="71" s="1"/>
  <c r="EX55" i="71"/>
  <c r="EY55" i="71" s="1"/>
  <c r="EZ54" i="71"/>
  <c r="FA54" i="71" s="1"/>
  <c r="EX54" i="71"/>
  <c r="EY54" i="71" s="1"/>
  <c r="EZ53" i="71"/>
  <c r="FA53" i="71" s="1"/>
  <c r="EX53" i="71"/>
  <c r="EY53" i="71" s="1"/>
  <c r="EZ52" i="71"/>
  <c r="FA52" i="71" s="1"/>
  <c r="EX52" i="71"/>
  <c r="EY52" i="71" s="1"/>
  <c r="EZ51" i="71"/>
  <c r="FA51" i="71" s="1"/>
  <c r="EX51" i="71"/>
  <c r="EY51" i="71" s="1"/>
  <c r="EZ50" i="71"/>
  <c r="FA50" i="71" s="1"/>
  <c r="EX50" i="71"/>
  <c r="EY50" i="71" s="1"/>
  <c r="EZ49" i="71"/>
  <c r="FA49" i="71" s="1"/>
  <c r="EX49" i="71"/>
  <c r="EY49" i="71" s="1"/>
  <c r="EZ48" i="71"/>
  <c r="FA48" i="71" s="1"/>
  <c r="EX48" i="71"/>
  <c r="EY48" i="71" s="1"/>
  <c r="EZ47" i="71"/>
  <c r="FA47" i="71" s="1"/>
  <c r="EX47" i="71"/>
  <c r="EY47" i="71" s="1"/>
  <c r="EZ46" i="71"/>
  <c r="FA46" i="71" s="1"/>
  <c r="EX46" i="71"/>
  <c r="EY46" i="71" s="1"/>
  <c r="EZ45" i="71"/>
  <c r="FA45" i="71" s="1"/>
  <c r="EX45" i="71"/>
  <c r="EY45" i="71" s="1"/>
  <c r="EZ44" i="71"/>
  <c r="FA44" i="71" s="1"/>
  <c r="EX44" i="71"/>
  <c r="EY44" i="71" s="1"/>
  <c r="EZ43" i="71"/>
  <c r="FA43" i="71" s="1"/>
  <c r="EX43" i="71"/>
  <c r="EY43" i="71" s="1"/>
  <c r="EZ42" i="71"/>
  <c r="FA42" i="71" s="1"/>
  <c r="EX42" i="71"/>
  <c r="EY42" i="71" s="1"/>
  <c r="EZ41" i="71"/>
  <c r="FA41" i="71" s="1"/>
  <c r="EX41" i="71"/>
  <c r="EY41" i="71" s="1"/>
  <c r="EZ40" i="71"/>
  <c r="FA40" i="71" s="1"/>
  <c r="EX40" i="71"/>
  <c r="EY40" i="71" s="1"/>
  <c r="EZ39" i="71"/>
  <c r="FA39" i="71" s="1"/>
  <c r="EX39" i="71"/>
  <c r="EY39" i="71" s="1"/>
  <c r="EZ38" i="71"/>
  <c r="FA38" i="71" s="1"/>
  <c r="EX38" i="71"/>
  <c r="EY38" i="71" s="1"/>
  <c r="EZ37" i="71"/>
  <c r="FA37" i="71" s="1"/>
  <c r="EX37" i="71"/>
  <c r="EY37" i="71" s="1"/>
  <c r="EZ36" i="71"/>
  <c r="FA36" i="71" s="1"/>
  <c r="EX36" i="71"/>
  <c r="EY36" i="71" s="1"/>
  <c r="EZ35" i="71"/>
  <c r="FA35" i="71" s="1"/>
  <c r="EX35" i="71"/>
  <c r="EY35" i="71" s="1"/>
  <c r="EZ34" i="71"/>
  <c r="FA34" i="71" s="1"/>
  <c r="EX34" i="71"/>
  <c r="EY34" i="71" s="1"/>
  <c r="EZ33" i="71"/>
  <c r="FA33" i="71" s="1"/>
  <c r="EX33" i="71"/>
  <c r="EY33" i="71" s="1"/>
  <c r="EZ32" i="71"/>
  <c r="FA32" i="71" s="1"/>
  <c r="EX32" i="71"/>
  <c r="EY32" i="71" s="1"/>
  <c r="EZ31" i="71"/>
  <c r="FA31" i="71" s="1"/>
  <c r="EX31" i="71"/>
  <c r="EY31" i="71" s="1"/>
  <c r="EZ30" i="71"/>
  <c r="FA30" i="71" s="1"/>
  <c r="EX30" i="71"/>
  <c r="EY30" i="71" s="1"/>
  <c r="EZ29" i="71"/>
  <c r="FA29" i="71" s="1"/>
  <c r="EX29" i="71"/>
  <c r="EY29" i="71" s="1"/>
  <c r="EZ28" i="71"/>
  <c r="FA28" i="71" s="1"/>
  <c r="EX28" i="71"/>
  <c r="EY28" i="71" s="1"/>
  <c r="EZ27" i="71"/>
  <c r="FA27" i="71" s="1"/>
  <c r="EX27" i="71"/>
  <c r="EY27" i="71" s="1"/>
  <c r="EZ26" i="71"/>
  <c r="FA26" i="71" s="1"/>
  <c r="EX26" i="71"/>
  <c r="EY26" i="71" s="1"/>
  <c r="EZ25" i="71"/>
  <c r="FA25" i="71" s="1"/>
  <c r="EX25" i="71"/>
  <c r="EY25" i="71" s="1"/>
  <c r="EZ24" i="71"/>
  <c r="FA24" i="71" s="1"/>
  <c r="EX24" i="71"/>
  <c r="EY24" i="71" s="1"/>
  <c r="EZ23" i="71"/>
  <c r="FA23" i="71" s="1"/>
  <c r="EX23" i="71"/>
  <c r="EY23" i="71" s="1"/>
  <c r="EZ22" i="71"/>
  <c r="FA22" i="71" s="1"/>
  <c r="EX22" i="71"/>
  <c r="EY22" i="71" s="1"/>
  <c r="EZ21" i="71"/>
  <c r="FA21" i="71" s="1"/>
  <c r="EX21" i="71"/>
  <c r="EY21" i="71" s="1"/>
  <c r="EZ20" i="71"/>
  <c r="FA20" i="71" s="1"/>
  <c r="EX20" i="71"/>
  <c r="EY20" i="71" s="1"/>
  <c r="EZ19" i="71"/>
  <c r="FA19" i="71" s="1"/>
  <c r="EX19" i="71"/>
  <c r="EY19" i="71" s="1"/>
  <c r="EZ18" i="71"/>
  <c r="FA18" i="71" s="1"/>
  <c r="EX18" i="71"/>
  <c r="EY18" i="71" s="1"/>
  <c r="EZ17" i="71"/>
  <c r="FA17" i="71" s="1"/>
  <c r="EX17" i="71"/>
  <c r="EY17" i="71" s="1"/>
  <c r="EZ16" i="71"/>
  <c r="FA16" i="71" s="1"/>
  <c r="EX16" i="71"/>
  <c r="EY16" i="71" s="1"/>
  <c r="EZ15" i="71"/>
  <c r="FA15" i="71" s="1"/>
  <c r="EX15" i="71"/>
  <c r="EY15" i="71" s="1"/>
  <c r="EZ14" i="71"/>
  <c r="FA14" i="71" s="1"/>
  <c r="EX14" i="71"/>
  <c r="EY14" i="71" s="1"/>
  <c r="EZ13" i="71"/>
  <c r="FA13" i="71" s="1"/>
  <c r="EX13" i="71"/>
  <c r="EY13" i="71" s="1"/>
  <c r="EZ12" i="71"/>
  <c r="FA12" i="71" s="1"/>
  <c r="EX12" i="71"/>
  <c r="EY12" i="71" s="1"/>
  <c r="EZ11" i="71"/>
  <c r="FA11" i="71" s="1"/>
  <c r="EX11" i="71"/>
  <c r="EY11" i="71" s="1"/>
  <c r="EZ10" i="71"/>
  <c r="FA10" i="71" s="1"/>
  <c r="EX10" i="71"/>
  <c r="EY10" i="71" s="1"/>
  <c r="EZ9" i="71"/>
  <c r="FA9" i="71" s="1"/>
  <c r="EX9" i="71"/>
  <c r="EY9" i="71" s="1"/>
  <c r="EZ8" i="71"/>
  <c r="FA8" i="71" s="1"/>
  <c r="EX8" i="71"/>
  <c r="EY8" i="71" s="1"/>
  <c r="EZ7" i="71"/>
  <c r="FA7" i="71" s="1"/>
  <c r="EX7" i="71"/>
  <c r="EY7" i="71" s="1"/>
  <c r="EZ6" i="71"/>
  <c r="FA6" i="71" s="1"/>
  <c r="EX6" i="71"/>
  <c r="EY6" i="71" s="1"/>
  <c r="EW3" i="71"/>
  <c r="EV3" i="71"/>
  <c r="EU3" i="71"/>
  <c r="ET3" i="71"/>
  <c r="ES3" i="71"/>
  <c r="ER3" i="71"/>
  <c r="EQ3" i="71"/>
  <c r="EP3" i="71"/>
  <c r="EO3" i="71"/>
  <c r="EN3" i="71"/>
  <c r="EM3" i="71"/>
  <c r="EL3" i="71"/>
  <c r="EK3" i="71"/>
  <c r="EJ3" i="71"/>
  <c r="EI3" i="71"/>
  <c r="EH3" i="71"/>
  <c r="EG3" i="71"/>
  <c r="EF3" i="71"/>
  <c r="EE3" i="71"/>
  <c r="ED3" i="71"/>
  <c r="EC3" i="71"/>
  <c r="EB3" i="71"/>
  <c r="EA3" i="71"/>
  <c r="DZ3" i="71"/>
  <c r="DY3" i="71"/>
  <c r="DX3" i="71"/>
  <c r="DW3" i="71"/>
  <c r="DV3" i="71"/>
  <c r="DU3" i="71"/>
  <c r="DT3" i="71"/>
  <c r="DS3" i="71"/>
  <c r="DR3" i="71"/>
  <c r="DQ3" i="71"/>
  <c r="DP3" i="71"/>
  <c r="DO3" i="71"/>
  <c r="DN3" i="71"/>
  <c r="DM3" i="71"/>
  <c r="DL3" i="71"/>
  <c r="DK3" i="71"/>
  <c r="DJ3" i="71"/>
  <c r="DI3" i="71"/>
  <c r="DH3" i="71"/>
  <c r="DD1" i="71"/>
  <c r="DE1" i="71"/>
  <c r="CP1" i="71"/>
  <c r="CQ1" i="71"/>
  <c r="CR1" i="71"/>
  <c r="CS1" i="71"/>
  <c r="CT1" i="71"/>
  <c r="CU1" i="71"/>
  <c r="CV1" i="71"/>
  <c r="CW1" i="71"/>
  <c r="CX1" i="71"/>
  <c r="CY1" i="71"/>
  <c r="CZ1" i="71"/>
  <c r="DA1" i="71"/>
  <c r="DB1" i="71"/>
  <c r="DC1" i="71"/>
  <c r="CO1" i="71"/>
  <c r="DC3" i="71"/>
  <c r="DB3" i="71"/>
  <c r="DA3" i="71"/>
  <c r="CZ3" i="71"/>
  <c r="CY3" i="71"/>
  <c r="CX3" i="71"/>
  <c r="CW3" i="71"/>
  <c r="CV3" i="71"/>
  <c r="CU3" i="71"/>
  <c r="CT3" i="71"/>
  <c r="CS3" i="71"/>
  <c r="CR3" i="71"/>
  <c r="CQ3" i="71"/>
  <c r="CP3" i="71"/>
  <c r="CL7" i="71"/>
  <c r="CM7" i="71"/>
  <c r="CL8" i="71"/>
  <c r="CM8" i="71"/>
  <c r="CL9" i="71"/>
  <c r="CM9" i="71"/>
  <c r="CL10" i="71"/>
  <c r="CM10" i="71"/>
  <c r="CL11" i="71"/>
  <c r="CM11" i="71"/>
  <c r="CL12" i="71"/>
  <c r="CM12" i="71"/>
  <c r="CL13" i="71"/>
  <c r="CM13" i="71"/>
  <c r="CL14" i="71"/>
  <c r="CM14" i="71"/>
  <c r="CL15" i="71"/>
  <c r="CM15" i="71"/>
  <c r="CL16" i="71"/>
  <c r="CM16" i="71"/>
  <c r="CL17" i="71"/>
  <c r="CM17" i="71"/>
  <c r="CL18" i="71"/>
  <c r="CM18" i="71"/>
  <c r="CL19" i="71"/>
  <c r="CM19" i="71"/>
  <c r="CL20" i="71"/>
  <c r="CM20" i="71"/>
  <c r="CL21" i="71"/>
  <c r="CM21" i="71"/>
  <c r="CL22" i="71"/>
  <c r="CM22" i="71"/>
  <c r="CL23" i="71"/>
  <c r="CM23" i="71"/>
  <c r="CL24" i="71"/>
  <c r="CM24" i="71"/>
  <c r="CL25" i="71"/>
  <c r="CM25" i="71"/>
  <c r="CL26" i="71"/>
  <c r="CM26" i="71"/>
  <c r="CL27" i="71"/>
  <c r="CM27" i="71"/>
  <c r="CL28" i="71"/>
  <c r="CM28" i="71"/>
  <c r="CL29" i="71"/>
  <c r="CM29" i="71"/>
  <c r="CL30" i="71"/>
  <c r="CM30" i="71"/>
  <c r="CL31" i="71"/>
  <c r="CM31" i="71"/>
  <c r="CL32" i="71"/>
  <c r="CM32" i="71"/>
  <c r="CL33" i="71"/>
  <c r="CM33" i="71"/>
  <c r="CL34" i="71"/>
  <c r="CM34" i="71"/>
  <c r="CL35" i="71"/>
  <c r="CM35" i="71"/>
  <c r="CL36" i="71"/>
  <c r="CM36" i="71"/>
  <c r="CL37" i="71"/>
  <c r="CM37" i="71"/>
  <c r="CL38" i="71"/>
  <c r="CM38" i="71"/>
  <c r="CL39" i="71"/>
  <c r="CM39" i="71"/>
  <c r="CL40" i="71"/>
  <c r="CM40" i="71"/>
  <c r="CL41" i="71"/>
  <c r="CM41" i="71"/>
  <c r="CL42" i="71"/>
  <c r="CM42" i="71"/>
  <c r="CL43" i="71"/>
  <c r="CM43" i="71"/>
  <c r="CL44" i="71"/>
  <c r="CM44" i="71"/>
  <c r="CL45" i="71"/>
  <c r="CM45" i="71"/>
  <c r="CL46" i="71"/>
  <c r="CM46" i="71"/>
  <c r="CL47" i="71"/>
  <c r="CM47" i="71"/>
  <c r="CL48" i="71"/>
  <c r="CM48" i="71"/>
  <c r="CL49" i="71"/>
  <c r="CM49" i="71"/>
  <c r="CL50" i="71"/>
  <c r="CM50" i="71"/>
  <c r="CL51" i="71"/>
  <c r="CM51" i="71"/>
  <c r="CL52" i="71"/>
  <c r="CM52" i="71"/>
  <c r="CL53" i="71"/>
  <c r="CM53" i="71"/>
  <c r="CL54" i="71"/>
  <c r="CM54" i="71"/>
  <c r="CL55" i="71"/>
  <c r="CM55" i="71"/>
  <c r="CL56" i="71"/>
  <c r="CM56" i="71"/>
  <c r="CL57" i="71"/>
  <c r="CM57" i="71"/>
  <c r="CL58" i="71"/>
  <c r="CM58" i="71"/>
  <c r="CL59" i="71"/>
  <c r="CM59" i="71"/>
  <c r="CL60" i="71"/>
  <c r="CM60" i="71"/>
  <c r="CL61" i="71"/>
  <c r="CM61" i="71"/>
  <c r="CL62" i="71"/>
  <c r="CM62" i="71"/>
  <c r="CL63" i="71"/>
  <c r="CM63" i="71"/>
  <c r="CL64" i="71"/>
  <c r="CM64" i="71"/>
  <c r="CL65" i="71"/>
  <c r="CM65" i="71"/>
  <c r="CL66" i="71"/>
  <c r="CM66" i="71"/>
  <c r="CL67" i="71"/>
  <c r="CM67" i="71"/>
  <c r="CL68" i="71"/>
  <c r="CM68" i="71"/>
  <c r="CL69" i="71"/>
  <c r="CM69" i="71"/>
  <c r="CL70" i="71"/>
  <c r="CM70" i="71"/>
  <c r="CL71" i="71"/>
  <c r="CM71" i="71"/>
  <c r="CL72" i="71"/>
  <c r="CM72" i="71"/>
  <c r="CL73" i="71"/>
  <c r="CM73" i="71"/>
  <c r="CL74" i="71"/>
  <c r="CM74" i="71"/>
  <c r="CL75" i="71"/>
  <c r="CM75" i="71"/>
  <c r="CL76" i="71"/>
  <c r="CM76" i="71"/>
  <c r="CL77" i="71"/>
  <c r="CM77" i="71"/>
  <c r="CL78" i="71"/>
  <c r="CM78" i="71"/>
  <c r="CL79" i="71"/>
  <c r="CM79" i="71"/>
  <c r="CL80" i="71"/>
  <c r="CM80" i="71"/>
  <c r="CL81" i="71"/>
  <c r="CM81" i="71"/>
  <c r="CL82" i="71"/>
  <c r="CM82" i="71"/>
  <c r="CL83" i="71"/>
  <c r="CM83" i="71"/>
  <c r="CL84" i="71"/>
  <c r="CM84" i="71"/>
  <c r="CL85" i="71"/>
  <c r="CM85" i="71"/>
  <c r="CL86" i="71"/>
  <c r="CM86" i="71"/>
  <c r="CL87" i="71"/>
  <c r="CM87" i="71"/>
  <c r="CL88" i="71"/>
  <c r="CM88" i="71"/>
  <c r="CL89" i="71"/>
  <c r="CM89" i="71"/>
  <c r="CL90" i="71"/>
  <c r="CM90" i="71"/>
  <c r="CL91" i="71"/>
  <c r="CM91" i="71"/>
  <c r="CL92" i="71"/>
  <c r="CM92" i="71"/>
  <c r="CL93" i="71"/>
  <c r="CM93" i="71"/>
  <c r="CL94" i="71"/>
  <c r="CM94" i="71"/>
  <c r="CL95" i="71"/>
  <c r="CM95" i="71"/>
  <c r="CL96" i="71"/>
  <c r="CM96" i="71"/>
  <c r="CL97" i="71"/>
  <c r="CM97" i="71"/>
  <c r="CL98" i="71"/>
  <c r="CM98" i="71"/>
  <c r="CL99" i="71"/>
  <c r="CM99" i="71"/>
  <c r="CL100" i="71"/>
  <c r="CM100" i="71"/>
  <c r="CL101" i="71"/>
  <c r="CM101" i="71"/>
  <c r="CL102" i="71"/>
  <c r="CM102" i="71"/>
  <c r="CL103" i="71"/>
  <c r="CM103" i="71"/>
  <c r="CL104" i="71"/>
  <c r="CM104" i="71"/>
  <c r="CL105" i="71"/>
  <c r="CM105" i="71"/>
  <c r="CL106" i="71"/>
  <c r="CM106" i="71"/>
  <c r="CL107" i="71"/>
  <c r="CM107" i="71"/>
  <c r="CL108" i="71"/>
  <c r="CM108" i="71"/>
  <c r="CL109" i="71"/>
  <c r="CM109" i="71"/>
  <c r="CL110" i="71"/>
  <c r="CM110" i="71"/>
  <c r="CL111" i="71"/>
  <c r="CM111" i="71"/>
  <c r="CL112" i="71"/>
  <c r="CM112" i="71"/>
  <c r="CL113" i="71"/>
  <c r="CM113" i="71"/>
  <c r="CL114" i="71"/>
  <c r="CM114" i="71"/>
  <c r="CL115" i="71"/>
  <c r="CM115" i="71"/>
  <c r="CL116" i="71"/>
  <c r="CM116" i="71"/>
  <c r="CL117" i="71"/>
  <c r="CM117" i="71"/>
  <c r="CL118" i="71"/>
  <c r="CM118" i="71"/>
  <c r="CL119" i="71"/>
  <c r="CM119" i="71"/>
  <c r="CL120" i="71"/>
  <c r="CM120" i="71"/>
  <c r="CL121" i="71"/>
  <c r="CM121" i="71"/>
  <c r="CL122" i="71"/>
  <c r="CM122" i="71"/>
  <c r="CL123" i="71"/>
  <c r="CM123" i="71"/>
  <c r="CL124" i="71"/>
  <c r="CM124" i="71"/>
  <c r="CL125" i="71"/>
  <c r="CM125" i="71"/>
  <c r="CL126" i="71"/>
  <c r="CM126" i="71"/>
  <c r="CL127" i="71"/>
  <c r="CM127" i="71"/>
  <c r="CL128" i="71"/>
  <c r="CM128" i="71"/>
  <c r="CL129" i="71"/>
  <c r="CM129" i="71"/>
  <c r="CL130" i="71"/>
  <c r="CM130" i="71"/>
  <c r="CL131" i="71"/>
  <c r="CM131" i="71"/>
  <c r="CL132" i="71"/>
  <c r="CM132" i="71"/>
  <c r="CL133" i="71"/>
  <c r="CM133" i="71"/>
  <c r="CL134" i="71"/>
  <c r="CM134" i="71"/>
  <c r="CL135" i="71"/>
  <c r="CM135" i="71"/>
  <c r="CL136" i="71"/>
  <c r="CM136" i="71"/>
  <c r="CL137" i="71"/>
  <c r="CM137" i="71"/>
  <c r="CL138" i="71"/>
  <c r="CM138" i="71"/>
  <c r="CL139" i="71"/>
  <c r="CM139" i="71"/>
  <c r="CL140" i="71"/>
  <c r="CM140" i="71"/>
  <c r="CL141" i="71"/>
  <c r="CM141" i="71"/>
  <c r="CL142" i="71"/>
  <c r="CM142" i="71"/>
  <c r="CL143" i="71"/>
  <c r="CM143" i="71"/>
  <c r="CL144" i="71"/>
  <c r="CM144" i="71"/>
  <c r="CL145" i="71"/>
  <c r="CM145" i="71"/>
  <c r="CL146" i="71"/>
  <c r="CM146" i="71"/>
  <c r="CL147" i="71"/>
  <c r="CM147" i="71"/>
  <c r="CL148" i="71"/>
  <c r="CM148" i="71"/>
  <c r="CL149" i="71"/>
  <c r="CM149" i="71"/>
  <c r="CL150" i="71"/>
  <c r="CM150" i="71"/>
  <c r="CL151" i="71"/>
  <c r="CM151" i="71"/>
  <c r="CL152" i="71"/>
  <c r="CM152" i="71"/>
  <c r="CL153" i="71"/>
  <c r="CM153" i="71"/>
  <c r="CL154" i="71"/>
  <c r="CM154" i="71"/>
  <c r="CL155" i="71"/>
  <c r="CM155" i="71"/>
  <c r="CL156" i="71"/>
  <c r="CM156" i="71"/>
  <c r="CL157" i="71"/>
  <c r="CM157" i="71"/>
  <c r="CL158" i="71"/>
  <c r="CM158" i="71"/>
  <c r="CL159" i="71"/>
  <c r="CM159" i="71"/>
  <c r="CL160" i="71"/>
  <c r="CM160" i="71"/>
  <c r="CL161" i="71"/>
  <c r="CM161" i="71"/>
  <c r="CL162" i="71"/>
  <c r="CM162" i="71"/>
  <c r="CL163" i="71"/>
  <c r="CM163" i="71"/>
  <c r="CL164" i="71"/>
  <c r="CM164" i="71"/>
  <c r="CL165" i="71"/>
  <c r="CM165" i="71"/>
  <c r="CL166" i="71"/>
  <c r="CM166" i="71"/>
  <c r="CL167" i="71"/>
  <c r="CM167" i="71"/>
  <c r="CL168" i="71"/>
  <c r="CM168" i="71"/>
  <c r="CL169" i="71"/>
  <c r="CM169" i="71"/>
  <c r="CL170" i="71"/>
  <c r="CM170" i="71"/>
  <c r="CL171" i="71"/>
  <c r="CM171" i="71"/>
  <c r="CL172" i="71"/>
  <c r="CM172" i="71"/>
  <c r="CL173" i="71"/>
  <c r="CM173" i="71"/>
  <c r="CL174" i="71"/>
  <c r="CM174" i="71"/>
  <c r="CL175" i="71"/>
  <c r="CM175" i="71"/>
  <c r="CL176" i="71"/>
  <c r="CM176" i="71"/>
  <c r="CL177" i="71"/>
  <c r="CM177" i="71"/>
  <c r="CL178" i="71"/>
  <c r="CM178" i="71"/>
  <c r="CL179" i="71"/>
  <c r="CM179" i="71"/>
  <c r="CL180" i="71"/>
  <c r="CM180" i="71"/>
  <c r="CL181" i="71"/>
  <c r="CM181" i="71"/>
  <c r="CL182" i="71"/>
  <c r="CM182" i="71"/>
  <c r="CL183" i="71"/>
  <c r="CM183" i="71"/>
  <c r="CL184" i="71"/>
  <c r="CM184" i="71"/>
  <c r="CL185" i="71"/>
  <c r="CM185" i="71"/>
  <c r="CL186" i="71"/>
  <c r="CM186" i="71"/>
  <c r="CL187" i="71"/>
  <c r="CM187" i="71"/>
  <c r="CL188" i="71"/>
  <c r="CM188" i="71"/>
  <c r="CL189" i="71"/>
  <c r="CM189" i="71"/>
  <c r="CL190" i="71"/>
  <c r="CM190" i="71"/>
  <c r="CL191" i="71"/>
  <c r="CM191" i="71"/>
  <c r="CL192" i="71"/>
  <c r="CM192" i="71"/>
  <c r="CL193" i="71"/>
  <c r="CM193" i="71"/>
  <c r="CL194" i="71"/>
  <c r="CM194" i="71"/>
  <c r="CL195" i="71"/>
  <c r="CM195" i="71"/>
  <c r="CL196" i="71"/>
  <c r="CM196" i="71"/>
  <c r="CL197" i="71"/>
  <c r="CM197" i="71"/>
  <c r="CL198" i="71"/>
  <c r="CM198" i="71"/>
  <c r="CL199" i="71"/>
  <c r="CM199" i="71"/>
  <c r="CL200" i="71"/>
  <c r="CM200" i="71"/>
  <c r="CL201" i="71"/>
  <c r="CM201" i="71"/>
  <c r="CL202" i="71"/>
  <c r="CM202" i="71"/>
  <c r="CL203" i="71"/>
  <c r="CM203" i="71"/>
  <c r="CL204" i="71"/>
  <c r="CM204" i="71"/>
  <c r="CL205" i="71"/>
  <c r="CM205" i="71"/>
  <c r="CL206" i="71"/>
  <c r="CM206" i="71"/>
  <c r="CL207" i="71"/>
  <c r="CM207" i="71"/>
  <c r="CL208" i="71"/>
  <c r="CM208" i="71"/>
  <c r="CL209" i="71"/>
  <c r="CM209" i="71"/>
  <c r="CL210" i="71"/>
  <c r="CM210" i="71"/>
  <c r="CL211" i="71"/>
  <c r="CM211" i="71"/>
  <c r="CL212" i="71"/>
  <c r="CM212" i="71"/>
  <c r="CL213" i="71"/>
  <c r="CM213" i="71"/>
  <c r="CL214" i="71"/>
  <c r="CM214" i="71"/>
  <c r="CL215" i="71"/>
  <c r="CM215" i="71"/>
  <c r="CL216" i="71"/>
  <c r="CM216" i="71"/>
  <c r="CL217" i="71"/>
  <c r="CM217" i="71"/>
  <c r="CL218" i="71"/>
  <c r="CM218" i="71"/>
  <c r="CL219" i="71"/>
  <c r="CM219" i="71"/>
  <c r="CL220" i="71"/>
  <c r="CM220" i="71"/>
  <c r="CL221" i="71"/>
  <c r="CM221" i="71"/>
  <c r="CL222" i="71"/>
  <c r="CM222" i="71"/>
  <c r="CL223" i="71"/>
  <c r="CM223" i="71"/>
  <c r="CL224" i="71"/>
  <c r="CM224" i="71"/>
  <c r="CL225" i="71"/>
  <c r="CM225" i="71"/>
  <c r="CL226" i="71"/>
  <c r="CM226" i="71"/>
  <c r="CL227" i="71"/>
  <c r="CM227" i="71"/>
  <c r="CL228" i="71"/>
  <c r="CM228" i="71"/>
  <c r="CL229" i="71"/>
  <c r="CM229" i="71"/>
  <c r="CL230" i="71"/>
  <c r="CM230" i="71"/>
  <c r="CL231" i="71"/>
  <c r="CM231" i="71"/>
  <c r="CL232" i="71"/>
  <c r="CM232" i="71"/>
  <c r="CL233" i="71"/>
  <c r="CM233" i="71"/>
  <c r="CL234" i="71"/>
  <c r="CM234" i="71"/>
  <c r="CL235" i="71"/>
  <c r="CM235" i="71"/>
  <c r="CL236" i="71"/>
  <c r="CM236" i="71"/>
  <c r="CL237" i="71"/>
  <c r="CM237" i="71"/>
  <c r="CL238" i="71"/>
  <c r="CM238" i="71"/>
  <c r="CL239" i="71"/>
  <c r="CM239" i="71"/>
  <c r="CL240" i="71"/>
  <c r="CM240" i="71"/>
  <c r="CL241" i="71"/>
  <c r="CM241" i="71"/>
  <c r="CL242" i="71"/>
  <c r="CM242" i="71"/>
  <c r="CL243" i="71"/>
  <c r="CM243" i="71"/>
  <c r="CL244" i="71"/>
  <c r="CM244" i="71"/>
  <c r="CL245" i="71"/>
  <c r="CM245" i="71"/>
  <c r="CL246" i="71"/>
  <c r="CM246" i="71"/>
  <c r="CL247" i="71"/>
  <c r="CM247" i="71"/>
  <c r="CL248" i="71"/>
  <c r="CM248" i="71"/>
  <c r="CL249" i="71"/>
  <c r="CM249" i="71"/>
  <c r="CL250" i="71"/>
  <c r="CM250" i="71"/>
  <c r="CL251" i="71"/>
  <c r="CM251" i="71"/>
  <c r="CL252" i="71"/>
  <c r="CM252" i="71"/>
  <c r="CL253" i="71"/>
  <c r="CM253" i="71"/>
  <c r="CL254" i="71"/>
  <c r="CM254" i="71"/>
  <c r="CL255" i="71"/>
  <c r="CM255" i="71"/>
  <c r="CM6" i="71"/>
  <c r="CL6" i="71"/>
  <c r="AV1" i="71"/>
  <c r="AW1" i="71"/>
  <c r="AX1" i="71"/>
  <c r="AY1" i="71"/>
  <c r="AZ1" i="71"/>
  <c r="BA1" i="71"/>
  <c r="BB1" i="71"/>
  <c r="BC1" i="71"/>
  <c r="BD1" i="71"/>
  <c r="BE1" i="71"/>
  <c r="BF1" i="71"/>
  <c r="BG1" i="71"/>
  <c r="BH1" i="71"/>
  <c r="BI1" i="71"/>
  <c r="AU1" i="71"/>
  <c r="CK3" i="71"/>
  <c r="CJ3" i="71"/>
  <c r="CI3" i="71"/>
  <c r="CH3" i="71"/>
  <c r="CG3" i="71"/>
  <c r="CF3" i="71"/>
  <c r="CE3" i="71"/>
  <c r="CD3" i="71"/>
  <c r="CC3" i="71"/>
  <c r="CB3" i="71"/>
  <c r="CA3" i="71"/>
  <c r="BZ3" i="71"/>
  <c r="BY3" i="71"/>
  <c r="BX3" i="71"/>
  <c r="BW3" i="71"/>
  <c r="BV3" i="71"/>
  <c r="BU3" i="71"/>
  <c r="BT3" i="71"/>
  <c r="BS3" i="71"/>
  <c r="BR3" i="71"/>
  <c r="BQ3" i="71"/>
  <c r="BP3" i="71"/>
  <c r="BO3" i="71"/>
  <c r="BN3" i="71"/>
  <c r="BM3" i="71"/>
  <c r="BL3" i="71"/>
  <c r="BK3" i="71"/>
  <c r="BJ3" i="71"/>
  <c r="BI3" i="71"/>
  <c r="BH3" i="71"/>
  <c r="BG3" i="71"/>
  <c r="BF3" i="71"/>
  <c r="BE3" i="71"/>
  <c r="BD3" i="71"/>
  <c r="BC3" i="71"/>
  <c r="BB3" i="71"/>
  <c r="BA3" i="71"/>
  <c r="AZ3" i="71"/>
  <c r="AY3" i="71"/>
  <c r="AX3" i="71"/>
  <c r="AW3" i="71"/>
  <c r="AV3" i="71"/>
  <c r="B1" i="71"/>
  <c r="C1" i="71"/>
  <c r="D1" i="71"/>
  <c r="E1" i="71"/>
  <c r="F1" i="71"/>
  <c r="G1" i="71"/>
  <c r="H1" i="71"/>
  <c r="I1" i="71"/>
  <c r="J1" i="71"/>
  <c r="K1" i="71"/>
  <c r="L1" i="71"/>
  <c r="M1" i="71"/>
  <c r="N1" i="71"/>
  <c r="O1" i="71"/>
  <c r="P1" i="71"/>
  <c r="Q1" i="71"/>
  <c r="R1" i="71"/>
  <c r="S1" i="71"/>
  <c r="T1" i="71"/>
  <c r="U1" i="71"/>
  <c r="V1" i="71"/>
  <c r="W1" i="71"/>
  <c r="X1" i="71"/>
  <c r="Y1" i="71"/>
  <c r="Z1" i="71"/>
  <c r="AA1" i="71"/>
  <c r="AB1" i="71"/>
  <c r="AC1" i="71"/>
  <c r="AD1" i="71"/>
  <c r="AE1" i="71"/>
  <c r="AF1" i="71"/>
  <c r="AG1" i="71"/>
  <c r="AH1" i="71"/>
  <c r="AI1" i="71"/>
  <c r="AJ1" i="71"/>
  <c r="AK1" i="71"/>
  <c r="AL1" i="71"/>
  <c r="AM1" i="71"/>
  <c r="AN1" i="71"/>
  <c r="AO1" i="71"/>
  <c r="AP1" i="71"/>
  <c r="AQ1" i="71"/>
  <c r="AR1" i="71"/>
  <c r="AS1" i="71"/>
  <c r="A1" i="71"/>
  <c r="AR7" i="71"/>
  <c r="AS7" i="71"/>
  <c r="AR8" i="71"/>
  <c r="AS8" i="71"/>
  <c r="AR9" i="71"/>
  <c r="AS9" i="71"/>
  <c r="AR10" i="71"/>
  <c r="AS10" i="71"/>
  <c r="AR11" i="71"/>
  <c r="AS11" i="71"/>
  <c r="AR12" i="71"/>
  <c r="AS12" i="71"/>
  <c r="AR13" i="71"/>
  <c r="AS13" i="71"/>
  <c r="AR14" i="71"/>
  <c r="AS14" i="71"/>
  <c r="AR15" i="71"/>
  <c r="AS15" i="71"/>
  <c r="AR16" i="71"/>
  <c r="AS16" i="71"/>
  <c r="AR17" i="71"/>
  <c r="AS17" i="71"/>
  <c r="AR18" i="71"/>
  <c r="AS18" i="71"/>
  <c r="AR19" i="71"/>
  <c r="AS19" i="71"/>
  <c r="AR20" i="71"/>
  <c r="AS20" i="71"/>
  <c r="AR21" i="71"/>
  <c r="AS21" i="71"/>
  <c r="AR22" i="71"/>
  <c r="AS22" i="71"/>
  <c r="AR23" i="71"/>
  <c r="AS23" i="71"/>
  <c r="AR24" i="71"/>
  <c r="AS24" i="71"/>
  <c r="AR25" i="71"/>
  <c r="AS25" i="71"/>
  <c r="AR26" i="71"/>
  <c r="AS26" i="71"/>
  <c r="AR27" i="71"/>
  <c r="AS27" i="71"/>
  <c r="AR28" i="71"/>
  <c r="AS28" i="71"/>
  <c r="AR29" i="71"/>
  <c r="AS29" i="71"/>
  <c r="AR30" i="71"/>
  <c r="AS30" i="71"/>
  <c r="AR31" i="71"/>
  <c r="AS31" i="71"/>
  <c r="AR32" i="71"/>
  <c r="AS32" i="71"/>
  <c r="AR33" i="71"/>
  <c r="AS33" i="71"/>
  <c r="AR34" i="71"/>
  <c r="AS34" i="71"/>
  <c r="AR35" i="71"/>
  <c r="AS35" i="71"/>
  <c r="AR36" i="71"/>
  <c r="AS36" i="71"/>
  <c r="AR37" i="71"/>
  <c r="AS37" i="71"/>
  <c r="AR38" i="71"/>
  <c r="AS38" i="71"/>
  <c r="AR39" i="71"/>
  <c r="AS39" i="71"/>
  <c r="AR40" i="71"/>
  <c r="AS40" i="71"/>
  <c r="AR41" i="71"/>
  <c r="AS41" i="71"/>
  <c r="AR42" i="71"/>
  <c r="AS42" i="71"/>
  <c r="AR43" i="71"/>
  <c r="AS43" i="71"/>
  <c r="AR44" i="71"/>
  <c r="AS44" i="71"/>
  <c r="AR45" i="71"/>
  <c r="AS45" i="71"/>
  <c r="AR46" i="71"/>
  <c r="AS46" i="71"/>
  <c r="AR47" i="71"/>
  <c r="AS47" i="71"/>
  <c r="AR48" i="71"/>
  <c r="AS48" i="71"/>
  <c r="AR49" i="71"/>
  <c r="AS49" i="71"/>
  <c r="AR50" i="71"/>
  <c r="AS50" i="71"/>
  <c r="AR51" i="71"/>
  <c r="AS51" i="71"/>
  <c r="AR52" i="71"/>
  <c r="AS52" i="71"/>
  <c r="AR53" i="71"/>
  <c r="AS53" i="71"/>
  <c r="AR54" i="71"/>
  <c r="AS54" i="71"/>
  <c r="AR55" i="71"/>
  <c r="AS55" i="71"/>
  <c r="AR56" i="71"/>
  <c r="AS56" i="71"/>
  <c r="AR57" i="71"/>
  <c r="AS57" i="71"/>
  <c r="AR58" i="71"/>
  <c r="AS58" i="71"/>
  <c r="AR59" i="71"/>
  <c r="AS59" i="71"/>
  <c r="AR60" i="71"/>
  <c r="AS60" i="71"/>
  <c r="AR61" i="71"/>
  <c r="AS61" i="71"/>
  <c r="AR62" i="71"/>
  <c r="AS62" i="71"/>
  <c r="AR63" i="71"/>
  <c r="AS63" i="71"/>
  <c r="AR64" i="71"/>
  <c r="AS64" i="71"/>
  <c r="AR65" i="71"/>
  <c r="AS65" i="71"/>
  <c r="AR66" i="71"/>
  <c r="AS66" i="71"/>
  <c r="AR67" i="71"/>
  <c r="AS67" i="71"/>
  <c r="AR68" i="71"/>
  <c r="AS68" i="71"/>
  <c r="AR69" i="71"/>
  <c r="AS69" i="71"/>
  <c r="AR70" i="71"/>
  <c r="AS70" i="71"/>
  <c r="AR71" i="71"/>
  <c r="AS71" i="71"/>
  <c r="AR72" i="71"/>
  <c r="AS72" i="71"/>
  <c r="AR73" i="71"/>
  <c r="AS73" i="71"/>
  <c r="AR74" i="71"/>
  <c r="AS74" i="71"/>
  <c r="AR75" i="71"/>
  <c r="AS75" i="71"/>
  <c r="AR76" i="71"/>
  <c r="AS76" i="71"/>
  <c r="AR77" i="71"/>
  <c r="AS77" i="71"/>
  <c r="AR78" i="71"/>
  <c r="AS78" i="71"/>
  <c r="AR79" i="71"/>
  <c r="AS79" i="71"/>
  <c r="AR80" i="71"/>
  <c r="AS80" i="71"/>
  <c r="AR81" i="71"/>
  <c r="AS81" i="71"/>
  <c r="AR82" i="71"/>
  <c r="AS82" i="71"/>
  <c r="AR83" i="71"/>
  <c r="AS83" i="71"/>
  <c r="AR84" i="71"/>
  <c r="AS84" i="71"/>
  <c r="AR85" i="71"/>
  <c r="AS85" i="71"/>
  <c r="AR86" i="71"/>
  <c r="AS86" i="71"/>
  <c r="AR87" i="71"/>
  <c r="AS87" i="71"/>
  <c r="AR88" i="71"/>
  <c r="AS88" i="71"/>
  <c r="AR89" i="71"/>
  <c r="AS89" i="71"/>
  <c r="AR90" i="71"/>
  <c r="AS90" i="71"/>
  <c r="AR91" i="71"/>
  <c r="AS91" i="71"/>
  <c r="AR92" i="71"/>
  <c r="AS92" i="71"/>
  <c r="AR93" i="71"/>
  <c r="AS93" i="71"/>
  <c r="AR94" i="71"/>
  <c r="AS94" i="71"/>
  <c r="AR95" i="71"/>
  <c r="AS95" i="71"/>
  <c r="AR96" i="71"/>
  <c r="AS96" i="71"/>
  <c r="AR97" i="71"/>
  <c r="AS97" i="71"/>
  <c r="AR98" i="71"/>
  <c r="AS98" i="71"/>
  <c r="AR99" i="71"/>
  <c r="AS99" i="71"/>
  <c r="AR100" i="71"/>
  <c r="AS100" i="71"/>
  <c r="AR101" i="71"/>
  <c r="AS101" i="71"/>
  <c r="AR102" i="71"/>
  <c r="AS102" i="71"/>
  <c r="AR103" i="71"/>
  <c r="AS103" i="71"/>
  <c r="AR104" i="71"/>
  <c r="AS104" i="71"/>
  <c r="AR105" i="71"/>
  <c r="AS105" i="71"/>
  <c r="AR106" i="71"/>
  <c r="AS106" i="71"/>
  <c r="AR107" i="71"/>
  <c r="AS107" i="71"/>
  <c r="AR108" i="71"/>
  <c r="AS108" i="71"/>
  <c r="AR109" i="71"/>
  <c r="AS109" i="71"/>
  <c r="AR110" i="71"/>
  <c r="AS110" i="71"/>
  <c r="AR111" i="71"/>
  <c r="AS111" i="71"/>
  <c r="AR112" i="71"/>
  <c r="AS112" i="71"/>
  <c r="AR113" i="71"/>
  <c r="AS113" i="71"/>
  <c r="AR114" i="71"/>
  <c r="AS114" i="71"/>
  <c r="AR115" i="71"/>
  <c r="AS115" i="71"/>
  <c r="AR116" i="71"/>
  <c r="AS116" i="71"/>
  <c r="AR117" i="71"/>
  <c r="AS117" i="71"/>
  <c r="AR118" i="71"/>
  <c r="AS118" i="71"/>
  <c r="AR119" i="71"/>
  <c r="AS119" i="71"/>
  <c r="AR120" i="71"/>
  <c r="AS120" i="71"/>
  <c r="AR121" i="71"/>
  <c r="AS121" i="71"/>
  <c r="AR122" i="71"/>
  <c r="AS122" i="71"/>
  <c r="AR123" i="71"/>
  <c r="AS123" i="71"/>
  <c r="AR124" i="71"/>
  <c r="AS124" i="71"/>
  <c r="AR125" i="71"/>
  <c r="AS125" i="71"/>
  <c r="AR126" i="71"/>
  <c r="AS126" i="71"/>
  <c r="AR127" i="71"/>
  <c r="AS127" i="71"/>
  <c r="AR128" i="71"/>
  <c r="AS128" i="71"/>
  <c r="AR129" i="71"/>
  <c r="AS129" i="71"/>
  <c r="AR130" i="71"/>
  <c r="AS130" i="71"/>
  <c r="AR131" i="71"/>
  <c r="AS131" i="71"/>
  <c r="AR132" i="71"/>
  <c r="AS132" i="71"/>
  <c r="AR133" i="71"/>
  <c r="AS133" i="71"/>
  <c r="AR134" i="71"/>
  <c r="AS134" i="71"/>
  <c r="AR135" i="71"/>
  <c r="AS135" i="71"/>
  <c r="AR136" i="71"/>
  <c r="AS136" i="71"/>
  <c r="AR137" i="71"/>
  <c r="AS137" i="71"/>
  <c r="AR138" i="71"/>
  <c r="AS138" i="71"/>
  <c r="AR139" i="71"/>
  <c r="AS139" i="71"/>
  <c r="AR140" i="71"/>
  <c r="AS140" i="71"/>
  <c r="AR141" i="71"/>
  <c r="AS141" i="71"/>
  <c r="AR142" i="71"/>
  <c r="AS142" i="71"/>
  <c r="AR143" i="71"/>
  <c r="AS143" i="71"/>
  <c r="AR144" i="71"/>
  <c r="AS144" i="71"/>
  <c r="AR145" i="71"/>
  <c r="AS145" i="71"/>
  <c r="AR146" i="71"/>
  <c r="AS146" i="71"/>
  <c r="AR147" i="71"/>
  <c r="AS147" i="71"/>
  <c r="AR148" i="71"/>
  <c r="AS148" i="71"/>
  <c r="AR149" i="71"/>
  <c r="AS149" i="71"/>
  <c r="AR150" i="71"/>
  <c r="AS150" i="71"/>
  <c r="AR151" i="71"/>
  <c r="AS151" i="71"/>
  <c r="AR152" i="71"/>
  <c r="AS152" i="71"/>
  <c r="AR153" i="71"/>
  <c r="AS153" i="71"/>
  <c r="AR154" i="71"/>
  <c r="AS154" i="71"/>
  <c r="AR155" i="71"/>
  <c r="AS155" i="71"/>
  <c r="AR156" i="71"/>
  <c r="AS156" i="71"/>
  <c r="AR157" i="71"/>
  <c r="AS157" i="71"/>
  <c r="AR158" i="71"/>
  <c r="AS158" i="71"/>
  <c r="AR159" i="71"/>
  <c r="AS159" i="71"/>
  <c r="AR160" i="71"/>
  <c r="AS160" i="71"/>
  <c r="AR161" i="71"/>
  <c r="AS161" i="71"/>
  <c r="AR162" i="71"/>
  <c r="AS162" i="71"/>
  <c r="AR163" i="71"/>
  <c r="AS163" i="71"/>
  <c r="AR164" i="71"/>
  <c r="AS164" i="71"/>
  <c r="AR165" i="71"/>
  <c r="AS165" i="71"/>
  <c r="AR166" i="71"/>
  <c r="AS166" i="71"/>
  <c r="AR167" i="71"/>
  <c r="AS167" i="71"/>
  <c r="AR168" i="71"/>
  <c r="AS168" i="71"/>
  <c r="AR169" i="71"/>
  <c r="AS169" i="71"/>
  <c r="AR170" i="71"/>
  <c r="AS170" i="71"/>
  <c r="AR171" i="71"/>
  <c r="AS171" i="71"/>
  <c r="AR172" i="71"/>
  <c r="AS172" i="71"/>
  <c r="AR173" i="71"/>
  <c r="AS173" i="71"/>
  <c r="AR174" i="71"/>
  <c r="AS174" i="71"/>
  <c r="AR175" i="71"/>
  <c r="AS175" i="71"/>
  <c r="AR176" i="71"/>
  <c r="AS176" i="71"/>
  <c r="AR177" i="71"/>
  <c r="AS177" i="71"/>
  <c r="AR178" i="71"/>
  <c r="AS178" i="71"/>
  <c r="AR179" i="71"/>
  <c r="AS179" i="71"/>
  <c r="AR180" i="71"/>
  <c r="AS180" i="71"/>
  <c r="AR181" i="71"/>
  <c r="AS181" i="71"/>
  <c r="AR182" i="71"/>
  <c r="AS182" i="71"/>
  <c r="AR183" i="71"/>
  <c r="AS183" i="71"/>
  <c r="AR184" i="71"/>
  <c r="AS184" i="71"/>
  <c r="AR185" i="71"/>
  <c r="AS185" i="71"/>
  <c r="AR186" i="71"/>
  <c r="AS186" i="71"/>
  <c r="AR187" i="71"/>
  <c r="AS187" i="71"/>
  <c r="AR188" i="71"/>
  <c r="AS188" i="71"/>
  <c r="AR189" i="71"/>
  <c r="AS189" i="71"/>
  <c r="AR190" i="71"/>
  <c r="AS190" i="71"/>
  <c r="AR191" i="71"/>
  <c r="AS191" i="71"/>
  <c r="AR192" i="71"/>
  <c r="AS192" i="71"/>
  <c r="AR193" i="71"/>
  <c r="AS193" i="71"/>
  <c r="AR194" i="71"/>
  <c r="AS194" i="71"/>
  <c r="AR195" i="71"/>
  <c r="AS195" i="71"/>
  <c r="AR196" i="71"/>
  <c r="AS196" i="71"/>
  <c r="AR197" i="71"/>
  <c r="AS197" i="71"/>
  <c r="AR198" i="71"/>
  <c r="AS198" i="71"/>
  <c r="AR199" i="71"/>
  <c r="AS199" i="71"/>
  <c r="AR200" i="71"/>
  <c r="AS200" i="71"/>
  <c r="AR201" i="71"/>
  <c r="AS201" i="71"/>
  <c r="AR202" i="71"/>
  <c r="AS202" i="71"/>
  <c r="AR203" i="71"/>
  <c r="AS203" i="71"/>
  <c r="AR204" i="71"/>
  <c r="AS204" i="71"/>
  <c r="AR205" i="71"/>
  <c r="AS205" i="71"/>
  <c r="AR206" i="71"/>
  <c r="AS206" i="71"/>
  <c r="AR207" i="71"/>
  <c r="AS207" i="71"/>
  <c r="AR208" i="71"/>
  <c r="AS208" i="71"/>
  <c r="AR209" i="71"/>
  <c r="AS209" i="71"/>
  <c r="AR210" i="71"/>
  <c r="AS210" i="71"/>
  <c r="AR211" i="71"/>
  <c r="AS211" i="71"/>
  <c r="AR212" i="71"/>
  <c r="AS212" i="71"/>
  <c r="AR213" i="71"/>
  <c r="AS213" i="71"/>
  <c r="AR214" i="71"/>
  <c r="AS214" i="71"/>
  <c r="AR215" i="71"/>
  <c r="AS215" i="71"/>
  <c r="AR216" i="71"/>
  <c r="AS216" i="71"/>
  <c r="AR217" i="71"/>
  <c r="AS217" i="71"/>
  <c r="AR218" i="71"/>
  <c r="AS218" i="71"/>
  <c r="AR219" i="71"/>
  <c r="AS219" i="71"/>
  <c r="AR220" i="71"/>
  <c r="AS220" i="71"/>
  <c r="AR221" i="71"/>
  <c r="AS221" i="71"/>
  <c r="AR222" i="71"/>
  <c r="AS222" i="71"/>
  <c r="AR223" i="71"/>
  <c r="AS223" i="71"/>
  <c r="AR224" i="71"/>
  <c r="AS224" i="71"/>
  <c r="AR225" i="71"/>
  <c r="AS225" i="71"/>
  <c r="AR226" i="71"/>
  <c r="AS226" i="71"/>
  <c r="AR227" i="71"/>
  <c r="AS227" i="71"/>
  <c r="AR228" i="71"/>
  <c r="AS228" i="71"/>
  <c r="AR229" i="71"/>
  <c r="AS229" i="71"/>
  <c r="AR230" i="71"/>
  <c r="AS230" i="71"/>
  <c r="AR231" i="71"/>
  <c r="AS231" i="71"/>
  <c r="AR232" i="71"/>
  <c r="AS232" i="71"/>
  <c r="AR233" i="71"/>
  <c r="AS233" i="71"/>
  <c r="AR234" i="71"/>
  <c r="AS234" i="71"/>
  <c r="AR235" i="71"/>
  <c r="AS235" i="71"/>
  <c r="AR236" i="71"/>
  <c r="AS236" i="71"/>
  <c r="AR237" i="71"/>
  <c r="AS237" i="71"/>
  <c r="AR238" i="71"/>
  <c r="AS238" i="71"/>
  <c r="AR239" i="71"/>
  <c r="AS239" i="71"/>
  <c r="AR240" i="71"/>
  <c r="AS240" i="71"/>
  <c r="AR241" i="71"/>
  <c r="AS241" i="71"/>
  <c r="AR242" i="71"/>
  <c r="AS242" i="71"/>
  <c r="AR243" i="71"/>
  <c r="AS243" i="71"/>
  <c r="AR244" i="71"/>
  <c r="AS244" i="71"/>
  <c r="AR245" i="71"/>
  <c r="AS245" i="71"/>
  <c r="AR246" i="71"/>
  <c r="AS246" i="71"/>
  <c r="AR247" i="71"/>
  <c r="AS247" i="71"/>
  <c r="AR248" i="71"/>
  <c r="AS248" i="71"/>
  <c r="AR249" i="71"/>
  <c r="AS249" i="71"/>
  <c r="AR250" i="71"/>
  <c r="AS250" i="71"/>
  <c r="AR251" i="71"/>
  <c r="AS251" i="71"/>
  <c r="AR252" i="71"/>
  <c r="AS252" i="71"/>
  <c r="AR253" i="71"/>
  <c r="AS253" i="71"/>
  <c r="AR254" i="71"/>
  <c r="AS254" i="71"/>
  <c r="AR255" i="71"/>
  <c r="AS255" i="71"/>
  <c r="AS6" i="71"/>
  <c r="AR6" i="71"/>
  <c r="P3" i="71"/>
  <c r="Q3" i="71"/>
  <c r="R3" i="71"/>
  <c r="S3" i="71"/>
  <c r="T3" i="71"/>
  <c r="U3" i="71"/>
  <c r="V3" i="71"/>
  <c r="W3" i="71"/>
  <c r="X3" i="71"/>
  <c r="Y3" i="71"/>
  <c r="Z3" i="71"/>
  <c r="AA3" i="71"/>
  <c r="AB3" i="71"/>
  <c r="AC3" i="71"/>
  <c r="AD3" i="71"/>
  <c r="AE3" i="71"/>
  <c r="AF3" i="71"/>
  <c r="AG3" i="71"/>
  <c r="AH3" i="71"/>
  <c r="AI3" i="71"/>
  <c r="AJ3" i="71"/>
  <c r="AK3" i="71"/>
  <c r="AL3" i="71"/>
  <c r="AM3" i="71"/>
  <c r="AN3" i="71"/>
  <c r="AO3" i="71"/>
  <c r="AP3" i="71"/>
  <c r="AQ3" i="71"/>
  <c r="O3" i="71"/>
  <c r="N3" i="71"/>
  <c r="M3" i="71"/>
  <c r="L3" i="71"/>
  <c r="K3" i="71"/>
  <c r="J3" i="71"/>
  <c r="I3" i="71"/>
  <c r="H3" i="71"/>
  <c r="G3" i="71"/>
  <c r="F3" i="71"/>
  <c r="E3" i="71"/>
  <c r="D3" i="71"/>
  <c r="C3" i="71"/>
  <c r="B3" i="71"/>
  <c r="AO46" i="60" l="1"/>
  <c r="AO36" i="60"/>
  <c r="AO26" i="60"/>
  <c r="AO16" i="60"/>
  <c r="AO6" i="60"/>
  <c r="AO136" i="60"/>
  <c r="AO126" i="60"/>
  <c r="AO116" i="60"/>
  <c r="AO106" i="60"/>
  <c r="AO96" i="60"/>
  <c r="AO86" i="60"/>
  <c r="AO76" i="60"/>
  <c r="AO66" i="60"/>
  <c r="AO56" i="60"/>
  <c r="AH276" i="37"/>
  <c r="O113" i="22" s="1"/>
  <c r="AN98" i="60"/>
  <c r="AN142" i="60"/>
  <c r="AN126" i="60"/>
  <c r="AN110" i="60"/>
  <c r="AN99" i="60"/>
  <c r="AN144" i="60"/>
  <c r="AN128" i="60"/>
  <c r="AN112" i="60"/>
  <c r="AN96" i="60"/>
  <c r="AN132" i="60"/>
  <c r="AN116" i="60"/>
  <c r="AN94" i="60"/>
  <c r="AN138" i="60"/>
  <c r="AN122" i="60"/>
  <c r="AN106" i="60"/>
  <c r="AN100" i="60"/>
  <c r="AN131" i="60"/>
  <c r="AN115" i="60"/>
  <c r="AN130" i="60"/>
  <c r="AN114" i="60"/>
  <c r="AN135" i="60"/>
  <c r="AN119" i="60"/>
  <c r="AN103" i="60"/>
  <c r="AN140" i="60"/>
  <c r="AN124" i="60"/>
  <c r="AN108" i="60"/>
  <c r="AN92" i="60"/>
  <c r="AN134" i="60"/>
  <c r="AN118" i="60"/>
  <c r="AN102" i="60"/>
  <c r="AN133" i="60"/>
  <c r="AN107" i="60"/>
  <c r="AN91" i="60"/>
  <c r="AN139" i="60"/>
  <c r="AN123" i="60"/>
  <c r="AN5" i="60"/>
  <c r="AN117" i="60"/>
  <c r="AN101" i="60"/>
  <c r="AN143" i="60"/>
  <c r="AN127" i="60"/>
  <c r="AN111" i="60"/>
  <c r="AN95" i="60"/>
  <c r="AN137" i="60"/>
  <c r="AN121" i="60"/>
  <c r="AN105" i="60"/>
  <c r="AN136" i="60"/>
  <c r="AN125" i="60"/>
  <c r="AN120" i="60"/>
  <c r="AN109" i="60"/>
  <c r="AN104" i="60"/>
  <c r="AN93" i="60"/>
  <c r="AN141" i="60"/>
  <c r="AN129" i="60"/>
  <c r="AN113" i="60"/>
  <c r="AN97" i="60"/>
  <c r="N3" i="55"/>
  <c r="R131" i="70"/>
  <c r="S131" i="70" s="1"/>
  <c r="R130" i="70"/>
  <c r="S130" i="70" s="1"/>
  <c r="R129" i="70"/>
  <c r="S129" i="70" s="1"/>
  <c r="R128" i="70"/>
  <c r="S128" i="70" s="1"/>
  <c r="R127" i="70"/>
  <c r="S127" i="70" s="1"/>
  <c r="R126" i="70"/>
  <c r="S126" i="70" s="1"/>
  <c r="N125" i="70"/>
  <c r="R124" i="70"/>
  <c r="S124" i="70" s="1"/>
  <c r="N124" i="70"/>
  <c r="R123" i="70"/>
  <c r="S123" i="70" s="1"/>
  <c r="N123" i="70"/>
  <c r="N122" i="70"/>
  <c r="R121" i="70"/>
  <c r="S121" i="70" s="1"/>
  <c r="R120" i="70"/>
  <c r="S120" i="70" s="1"/>
  <c r="N120" i="70"/>
  <c r="R119" i="70"/>
  <c r="S119" i="70" s="1"/>
  <c r="N119" i="70"/>
  <c r="N118" i="70"/>
  <c r="R118" i="70"/>
  <c r="S118" i="70" s="1"/>
  <c r="R117" i="70"/>
  <c r="S117" i="70" s="1"/>
  <c r="N117" i="70"/>
  <c r="R116" i="70"/>
  <c r="S116" i="70" s="1"/>
  <c r="N116" i="70"/>
  <c r="R115" i="70"/>
  <c r="S115" i="70" s="1"/>
  <c r="R114" i="70"/>
  <c r="S114" i="70" s="1"/>
  <c r="R113" i="70"/>
  <c r="S113" i="70" s="1"/>
  <c r="R112" i="70"/>
  <c r="S112" i="70" s="1"/>
  <c r="R111" i="70"/>
  <c r="S111" i="70" s="1"/>
  <c r="R110" i="70"/>
  <c r="S110" i="70" s="1"/>
  <c r="N109" i="70"/>
  <c r="R108" i="70"/>
  <c r="S108" i="70" s="1"/>
  <c r="N108" i="70"/>
  <c r="R107" i="70"/>
  <c r="S107" i="70" s="1"/>
  <c r="N107" i="70"/>
  <c r="N106" i="70"/>
  <c r="R105" i="70"/>
  <c r="S105" i="70" s="1"/>
  <c r="R104" i="70"/>
  <c r="S104" i="70" s="1"/>
  <c r="N104" i="70"/>
  <c r="R103" i="70"/>
  <c r="S103" i="70" s="1"/>
  <c r="N103" i="70"/>
  <c r="N102" i="70"/>
  <c r="R102" i="70"/>
  <c r="S102" i="70" s="1"/>
  <c r="R101" i="70"/>
  <c r="S101" i="70" s="1"/>
  <c r="N101" i="70"/>
  <c r="R100" i="70"/>
  <c r="S100" i="70" s="1"/>
  <c r="N100" i="70"/>
  <c r="R99" i="70"/>
  <c r="S99" i="70" s="1"/>
  <c r="R98" i="70"/>
  <c r="S98" i="70" s="1"/>
  <c r="R97" i="70"/>
  <c r="S97" i="70" s="1"/>
  <c r="S3" i="70"/>
  <c r="R3" i="70"/>
  <c r="N3" i="70"/>
  <c r="M3" i="70"/>
  <c r="S1" i="70"/>
  <c r="R1" i="70"/>
  <c r="Q1" i="70"/>
  <c r="P1" i="70"/>
  <c r="O1" i="70"/>
  <c r="N1" i="70"/>
  <c r="M1" i="70"/>
  <c r="L1" i="70"/>
  <c r="K1" i="70"/>
  <c r="J1" i="70"/>
  <c r="I1" i="70"/>
  <c r="H1" i="70"/>
  <c r="G1" i="70"/>
  <c r="F1" i="70"/>
  <c r="E1" i="70"/>
  <c r="D1" i="70"/>
  <c r="C1" i="70"/>
  <c r="B1" i="70"/>
  <c r="A1" i="70"/>
  <c r="E276" i="37" l="1"/>
  <c r="AO105" i="60"/>
  <c r="AO107" i="60" s="1"/>
  <c r="AO95" i="60"/>
  <c r="AO97" i="60" s="1"/>
  <c r="AO135" i="60"/>
  <c r="AO137" i="60" s="1"/>
  <c r="AO115" i="60"/>
  <c r="AO117" i="60" s="1"/>
  <c r="AO125" i="60"/>
  <c r="AO127" i="60" s="1"/>
  <c r="R109" i="70"/>
  <c r="S109" i="70" s="1"/>
  <c r="R125" i="70"/>
  <c r="S125" i="70" s="1"/>
  <c r="R106" i="70"/>
  <c r="S106" i="70" s="1"/>
  <c r="R122" i="70"/>
  <c r="S122" i="70" s="1"/>
  <c r="N97" i="70"/>
  <c r="N113" i="70"/>
  <c r="N129" i="70"/>
  <c r="N110" i="70"/>
  <c r="N126" i="70"/>
  <c r="N98" i="70"/>
  <c r="N114" i="70"/>
  <c r="N130" i="70"/>
  <c r="N111" i="70"/>
  <c r="N127" i="70"/>
  <c r="N105" i="70"/>
  <c r="N121" i="70"/>
  <c r="N99" i="70"/>
  <c r="N115" i="70"/>
  <c r="N131" i="70"/>
  <c r="N112" i="70"/>
  <c r="N128" i="70"/>
  <c r="BB106" i="60" l="1"/>
  <c r="BJ16" i="60"/>
  <c r="BH16" i="60"/>
  <c r="BD16" i="60"/>
  <c r="AB2" i="59" l="1"/>
  <c r="BB255" i="63" l="1"/>
  <c r="AZ255" i="63"/>
  <c r="AI255" i="63"/>
  <c r="AH255" i="63"/>
  <c r="Q255" i="63"/>
  <c r="P255" i="63"/>
  <c r="BB254" i="63"/>
  <c r="AZ254" i="63"/>
  <c r="AI254" i="63"/>
  <c r="AH254" i="63"/>
  <c r="Q254" i="63"/>
  <c r="P254" i="63"/>
  <c r="BB253" i="63"/>
  <c r="AZ253" i="63"/>
  <c r="AI253" i="63"/>
  <c r="AH253" i="63"/>
  <c r="Q253" i="63"/>
  <c r="P253" i="63"/>
  <c r="BB252" i="63"/>
  <c r="AZ252" i="63"/>
  <c r="AI252" i="63"/>
  <c r="AH252" i="63"/>
  <c r="Q252" i="63"/>
  <c r="P252" i="63"/>
  <c r="BB251" i="63"/>
  <c r="AZ251" i="63"/>
  <c r="AI251" i="63"/>
  <c r="AH251" i="63"/>
  <c r="Q251" i="63"/>
  <c r="P251" i="63"/>
  <c r="BB250" i="63"/>
  <c r="AZ250" i="63"/>
  <c r="AI250" i="63"/>
  <c r="AH250" i="63"/>
  <c r="Q250" i="63"/>
  <c r="P250" i="63"/>
  <c r="BB249" i="63"/>
  <c r="AZ249" i="63"/>
  <c r="AI249" i="63"/>
  <c r="AH249" i="63"/>
  <c r="Q249" i="63"/>
  <c r="P249" i="63"/>
  <c r="BB248" i="63"/>
  <c r="AZ248" i="63"/>
  <c r="AI248" i="63"/>
  <c r="AH248" i="63"/>
  <c r="Q248" i="63"/>
  <c r="P248" i="63"/>
  <c r="BB247" i="63"/>
  <c r="AZ247" i="63"/>
  <c r="AI247" i="63"/>
  <c r="AH247" i="63"/>
  <c r="Q247" i="63"/>
  <c r="P247" i="63"/>
  <c r="BB246" i="63"/>
  <c r="AZ246" i="63"/>
  <c r="AI246" i="63"/>
  <c r="AH246" i="63"/>
  <c r="Q246" i="63"/>
  <c r="P246" i="63"/>
  <c r="BB245" i="63"/>
  <c r="AZ245" i="63"/>
  <c r="AI245" i="63"/>
  <c r="AH245" i="63"/>
  <c r="Q245" i="63"/>
  <c r="P245" i="63"/>
  <c r="BB244" i="63"/>
  <c r="AZ244" i="63"/>
  <c r="AI244" i="63"/>
  <c r="AH244" i="63"/>
  <c r="Q244" i="63"/>
  <c r="P244" i="63"/>
  <c r="BB243" i="63"/>
  <c r="AZ243" i="63"/>
  <c r="AI243" i="63"/>
  <c r="AH243" i="63"/>
  <c r="Q243" i="63"/>
  <c r="P243" i="63"/>
  <c r="BB242" i="63"/>
  <c r="AZ242" i="63"/>
  <c r="AI242" i="63"/>
  <c r="AH242" i="63"/>
  <c r="Q242" i="63"/>
  <c r="P242" i="63"/>
  <c r="BB241" i="63"/>
  <c r="AZ241" i="63"/>
  <c r="AI241" i="63"/>
  <c r="AH241" i="63"/>
  <c r="Q241" i="63"/>
  <c r="P241" i="63"/>
  <c r="BB240" i="63"/>
  <c r="AZ240" i="63"/>
  <c r="AI240" i="63"/>
  <c r="AH240" i="63"/>
  <c r="Q240" i="63"/>
  <c r="P240" i="63"/>
  <c r="BB239" i="63"/>
  <c r="AZ239" i="63"/>
  <c r="AI239" i="63"/>
  <c r="AH239" i="63"/>
  <c r="Q239" i="63"/>
  <c r="P239" i="63"/>
  <c r="BB238" i="63"/>
  <c r="AZ238" i="63"/>
  <c r="AI238" i="63"/>
  <c r="AH238" i="63"/>
  <c r="Q238" i="63"/>
  <c r="P238" i="63"/>
  <c r="BB237" i="63"/>
  <c r="AZ237" i="63"/>
  <c r="AI237" i="63"/>
  <c r="AH237" i="63"/>
  <c r="Q237" i="63"/>
  <c r="P237" i="63"/>
  <c r="BB236" i="63"/>
  <c r="AZ236" i="63"/>
  <c r="AI236" i="63"/>
  <c r="AH236" i="63"/>
  <c r="Q236" i="63"/>
  <c r="P236" i="63"/>
  <c r="BB235" i="63"/>
  <c r="AZ235" i="63"/>
  <c r="AI235" i="63"/>
  <c r="AH235" i="63"/>
  <c r="Q235" i="63"/>
  <c r="P235" i="63"/>
  <c r="BB234" i="63"/>
  <c r="AZ234" i="63"/>
  <c r="AI234" i="63"/>
  <c r="AH234" i="63"/>
  <c r="Q234" i="63"/>
  <c r="P234" i="63"/>
  <c r="BB233" i="63"/>
  <c r="AZ233" i="63"/>
  <c r="AI233" i="63"/>
  <c r="AH233" i="63"/>
  <c r="Q233" i="63"/>
  <c r="P233" i="63"/>
  <c r="BB232" i="63"/>
  <c r="AZ232" i="63"/>
  <c r="AI232" i="63"/>
  <c r="AH232" i="63"/>
  <c r="Q232" i="63"/>
  <c r="P232" i="63"/>
  <c r="BB231" i="63"/>
  <c r="AZ231" i="63"/>
  <c r="AI231" i="63"/>
  <c r="AH231" i="63"/>
  <c r="Q231" i="63"/>
  <c r="P231" i="63"/>
  <c r="BB230" i="63"/>
  <c r="AZ230" i="63"/>
  <c r="AI230" i="63"/>
  <c r="AH230" i="63"/>
  <c r="Q230" i="63"/>
  <c r="P230" i="63"/>
  <c r="BB229" i="63"/>
  <c r="AZ229" i="63"/>
  <c r="AI229" i="63"/>
  <c r="AH229" i="63"/>
  <c r="Q229" i="63"/>
  <c r="P229" i="63"/>
  <c r="BB228" i="63"/>
  <c r="AZ228" i="63"/>
  <c r="AI228" i="63"/>
  <c r="AH228" i="63"/>
  <c r="Q228" i="63"/>
  <c r="P228" i="63"/>
  <c r="BB227" i="63"/>
  <c r="AZ227" i="63"/>
  <c r="AI227" i="63"/>
  <c r="AH227" i="63"/>
  <c r="Q227" i="63"/>
  <c r="P227" i="63"/>
  <c r="BB226" i="63"/>
  <c r="AZ226" i="63"/>
  <c r="AI226" i="63"/>
  <c r="AH226" i="63"/>
  <c r="Q226" i="63"/>
  <c r="P226" i="63"/>
  <c r="BB225" i="63"/>
  <c r="AZ225" i="63"/>
  <c r="AI225" i="63"/>
  <c r="AH225" i="63"/>
  <c r="Q225" i="63"/>
  <c r="P225" i="63"/>
  <c r="BB224" i="63"/>
  <c r="AZ224" i="63"/>
  <c r="AI224" i="63"/>
  <c r="AH224" i="63"/>
  <c r="Q224" i="63"/>
  <c r="P224" i="63"/>
  <c r="BB223" i="63"/>
  <c r="AZ223" i="63"/>
  <c r="AI223" i="63"/>
  <c r="AH223" i="63"/>
  <c r="Q223" i="63"/>
  <c r="P223" i="63"/>
  <c r="BB222" i="63"/>
  <c r="AZ222" i="63"/>
  <c r="AI222" i="63"/>
  <c r="AH222" i="63"/>
  <c r="Q222" i="63"/>
  <c r="P222" i="63"/>
  <c r="BB221" i="63"/>
  <c r="AZ221" i="63"/>
  <c r="AI221" i="63"/>
  <c r="AH221" i="63"/>
  <c r="Q221" i="63"/>
  <c r="P221" i="63"/>
  <c r="BB220" i="63"/>
  <c r="AZ220" i="63"/>
  <c r="AI220" i="63"/>
  <c r="AH220" i="63"/>
  <c r="Q220" i="63"/>
  <c r="P220" i="63"/>
  <c r="BB219" i="63"/>
  <c r="AZ219" i="63"/>
  <c r="AI219" i="63"/>
  <c r="AH219" i="63"/>
  <c r="Q219" i="63"/>
  <c r="P219" i="63"/>
  <c r="BB218" i="63"/>
  <c r="AZ218" i="63"/>
  <c r="AI218" i="63"/>
  <c r="AH218" i="63"/>
  <c r="Q218" i="63"/>
  <c r="P218" i="63"/>
  <c r="BB217" i="63"/>
  <c r="AZ217" i="63"/>
  <c r="AI217" i="63"/>
  <c r="AH217" i="63"/>
  <c r="Q217" i="63"/>
  <c r="P217" i="63"/>
  <c r="BB216" i="63"/>
  <c r="AZ216" i="63"/>
  <c r="AI216" i="63"/>
  <c r="AH216" i="63"/>
  <c r="Q216" i="63"/>
  <c r="P216" i="63"/>
  <c r="BB215" i="63"/>
  <c r="AZ215" i="63"/>
  <c r="AI215" i="63"/>
  <c r="AH215" i="63"/>
  <c r="Q215" i="63"/>
  <c r="P215" i="63"/>
  <c r="BB214" i="63"/>
  <c r="AZ214" i="63"/>
  <c r="AI214" i="63"/>
  <c r="AH214" i="63"/>
  <c r="Q214" i="63"/>
  <c r="P214" i="63"/>
  <c r="BB213" i="63"/>
  <c r="AZ213" i="63"/>
  <c r="AI213" i="63"/>
  <c r="AH213" i="63"/>
  <c r="Q213" i="63"/>
  <c r="P213" i="63"/>
  <c r="BB212" i="63"/>
  <c r="AZ212" i="63"/>
  <c r="AI212" i="63"/>
  <c r="AH212" i="63"/>
  <c r="Q212" i="63"/>
  <c r="P212" i="63"/>
  <c r="BB211" i="63"/>
  <c r="AZ211" i="63"/>
  <c r="AI211" i="63"/>
  <c r="AH211" i="63"/>
  <c r="Q211" i="63"/>
  <c r="P211" i="63"/>
  <c r="BB210" i="63"/>
  <c r="AZ210" i="63"/>
  <c r="AI210" i="63"/>
  <c r="AH210" i="63"/>
  <c r="Q210" i="63"/>
  <c r="P210" i="63"/>
  <c r="BB209" i="63"/>
  <c r="AZ209" i="63"/>
  <c r="AI209" i="63"/>
  <c r="AH209" i="63"/>
  <c r="Q209" i="63"/>
  <c r="P209" i="63"/>
  <c r="BB208" i="63"/>
  <c r="AZ208" i="63"/>
  <c r="AI208" i="63"/>
  <c r="AH208" i="63"/>
  <c r="Q208" i="63"/>
  <c r="P208" i="63"/>
  <c r="BB207" i="63"/>
  <c r="AZ207" i="63"/>
  <c r="AI207" i="63"/>
  <c r="AH207" i="63"/>
  <c r="Q207" i="63"/>
  <c r="P207" i="63"/>
  <c r="BB206" i="63"/>
  <c r="AZ206" i="63"/>
  <c r="AI206" i="63"/>
  <c r="AH206" i="63"/>
  <c r="Q206" i="63"/>
  <c r="P206" i="63"/>
  <c r="BB205" i="63"/>
  <c r="AZ205" i="63"/>
  <c r="AI205" i="63"/>
  <c r="AH205" i="63"/>
  <c r="Q205" i="63"/>
  <c r="P205" i="63"/>
  <c r="BB204" i="63"/>
  <c r="AZ204" i="63"/>
  <c r="AI204" i="63"/>
  <c r="AH204" i="63"/>
  <c r="Q204" i="63"/>
  <c r="P204" i="63"/>
  <c r="BB203" i="63"/>
  <c r="AZ203" i="63"/>
  <c r="AI203" i="63"/>
  <c r="AH203" i="63"/>
  <c r="Q203" i="63"/>
  <c r="P203" i="63"/>
  <c r="BB202" i="63"/>
  <c r="AZ202" i="63"/>
  <c r="AI202" i="63"/>
  <c r="AH202" i="63"/>
  <c r="Q202" i="63"/>
  <c r="P202" i="63"/>
  <c r="BB201" i="63"/>
  <c r="AZ201" i="63"/>
  <c r="AI201" i="63"/>
  <c r="AH201" i="63"/>
  <c r="Q201" i="63"/>
  <c r="P201" i="63"/>
  <c r="BB200" i="63"/>
  <c r="AZ200" i="63"/>
  <c r="AI200" i="63"/>
  <c r="AH200" i="63"/>
  <c r="Q200" i="63"/>
  <c r="P200" i="63"/>
  <c r="BB199" i="63"/>
  <c r="AZ199" i="63"/>
  <c r="AI199" i="63"/>
  <c r="AH199" i="63"/>
  <c r="Q199" i="63"/>
  <c r="P199" i="63"/>
  <c r="BB198" i="63"/>
  <c r="BC198" i="63" s="1"/>
  <c r="AZ198" i="63"/>
  <c r="BA198" i="63" s="1"/>
  <c r="AI198" i="63"/>
  <c r="AH198" i="63"/>
  <c r="Q198" i="63"/>
  <c r="P198" i="63"/>
  <c r="BB197" i="63"/>
  <c r="BC197" i="63" s="1"/>
  <c r="AZ197" i="63"/>
  <c r="BA197" i="63" s="1"/>
  <c r="AI197" i="63"/>
  <c r="AH197" i="63"/>
  <c r="Q197" i="63"/>
  <c r="P197" i="63"/>
  <c r="BB196" i="63"/>
  <c r="BC196" i="63" s="1"/>
  <c r="AZ196" i="63"/>
  <c r="BA196" i="63" s="1"/>
  <c r="AI196" i="63"/>
  <c r="AH196" i="63"/>
  <c r="Q196" i="63"/>
  <c r="P196" i="63"/>
  <c r="BB195" i="63"/>
  <c r="BC195" i="63" s="1"/>
  <c r="AZ195" i="63"/>
  <c r="BA195" i="63" s="1"/>
  <c r="AI195" i="63"/>
  <c r="AH195" i="63"/>
  <c r="Q195" i="63"/>
  <c r="P195" i="63"/>
  <c r="BB194" i="63"/>
  <c r="BC194" i="63" s="1"/>
  <c r="AZ194" i="63"/>
  <c r="BA194" i="63" s="1"/>
  <c r="AI194" i="63"/>
  <c r="AH194" i="63"/>
  <c r="Q194" i="63"/>
  <c r="P194" i="63"/>
  <c r="BB193" i="63"/>
  <c r="BC193" i="63" s="1"/>
  <c r="AZ193" i="63"/>
  <c r="BA193" i="63" s="1"/>
  <c r="AI193" i="63"/>
  <c r="AH193" i="63"/>
  <c r="Q193" i="63"/>
  <c r="P193" i="63"/>
  <c r="BB192" i="63"/>
  <c r="BC192" i="63" s="1"/>
  <c r="AZ192" i="63"/>
  <c r="BA192" i="63" s="1"/>
  <c r="AI192" i="63"/>
  <c r="AH192" i="63"/>
  <c r="Q192" i="63"/>
  <c r="P192" i="63"/>
  <c r="BB191" i="63"/>
  <c r="BC191" i="63" s="1"/>
  <c r="AZ191" i="63"/>
  <c r="BA191" i="63" s="1"/>
  <c r="AI191" i="63"/>
  <c r="AH191" i="63"/>
  <c r="Q191" i="63"/>
  <c r="P191" i="63"/>
  <c r="BB190" i="63"/>
  <c r="BC190" i="63" s="1"/>
  <c r="AZ190" i="63"/>
  <c r="BA190" i="63" s="1"/>
  <c r="AI190" i="63"/>
  <c r="AH190" i="63"/>
  <c r="Q190" i="63"/>
  <c r="P190" i="63"/>
  <c r="BB189" i="63"/>
  <c r="BC189" i="63" s="1"/>
  <c r="AZ189" i="63"/>
  <c r="BA189" i="63" s="1"/>
  <c r="AI189" i="63"/>
  <c r="AH189" i="63"/>
  <c r="Q189" i="63"/>
  <c r="P189" i="63"/>
  <c r="BB188" i="63"/>
  <c r="BC188" i="63" s="1"/>
  <c r="AZ188" i="63"/>
  <c r="BA188" i="63" s="1"/>
  <c r="AI188" i="63"/>
  <c r="AH188" i="63"/>
  <c r="Q188" i="63"/>
  <c r="P188" i="63"/>
  <c r="BB187" i="63"/>
  <c r="BC187" i="63" s="1"/>
  <c r="AZ187" i="63"/>
  <c r="BA187" i="63" s="1"/>
  <c r="AI187" i="63"/>
  <c r="AH187" i="63"/>
  <c r="Q187" i="63"/>
  <c r="P187" i="63"/>
  <c r="BB186" i="63"/>
  <c r="BC186" i="63" s="1"/>
  <c r="AZ186" i="63"/>
  <c r="BA186" i="63" s="1"/>
  <c r="AI186" i="63"/>
  <c r="AH186" i="63"/>
  <c r="Q186" i="63"/>
  <c r="P186" i="63"/>
  <c r="BB185" i="63"/>
  <c r="BC185" i="63" s="1"/>
  <c r="AZ185" i="63"/>
  <c r="BA185" i="63" s="1"/>
  <c r="AI185" i="63"/>
  <c r="AH185" i="63"/>
  <c r="Q185" i="63"/>
  <c r="P185" i="63"/>
  <c r="BB184" i="63"/>
  <c r="BC184" i="63" s="1"/>
  <c r="AZ184" i="63"/>
  <c r="BA184" i="63" s="1"/>
  <c r="AI184" i="63"/>
  <c r="AH184" i="63"/>
  <c r="Q184" i="63"/>
  <c r="P184" i="63"/>
  <c r="BB183" i="63"/>
  <c r="BC183" i="63" s="1"/>
  <c r="AZ183" i="63"/>
  <c r="BA183" i="63" s="1"/>
  <c r="AI183" i="63"/>
  <c r="AH183" i="63"/>
  <c r="Q183" i="63"/>
  <c r="P183" i="63"/>
  <c r="BB182" i="63"/>
  <c r="BC182" i="63" s="1"/>
  <c r="AZ182" i="63"/>
  <c r="BA182" i="63" s="1"/>
  <c r="AI182" i="63"/>
  <c r="AH182" i="63"/>
  <c r="Q182" i="63"/>
  <c r="P182" i="63"/>
  <c r="BB181" i="63"/>
  <c r="BC181" i="63" s="1"/>
  <c r="AZ181" i="63"/>
  <c r="BA181" i="63" s="1"/>
  <c r="AI181" i="63"/>
  <c r="AH181" i="63"/>
  <c r="Q181" i="63"/>
  <c r="P181" i="63"/>
  <c r="BB180" i="63"/>
  <c r="BC180" i="63" s="1"/>
  <c r="AZ180" i="63"/>
  <c r="BA180" i="63" s="1"/>
  <c r="AI180" i="63"/>
  <c r="AH180" i="63"/>
  <c r="Q180" i="63"/>
  <c r="P180" i="63"/>
  <c r="BB179" i="63"/>
  <c r="BC179" i="63" s="1"/>
  <c r="AZ179" i="63"/>
  <c r="BA179" i="63" s="1"/>
  <c r="AI179" i="63"/>
  <c r="AH179" i="63"/>
  <c r="Q179" i="63"/>
  <c r="P179" i="63"/>
  <c r="BB178" i="63"/>
  <c r="BC178" i="63" s="1"/>
  <c r="AZ178" i="63"/>
  <c r="BA178" i="63" s="1"/>
  <c r="AI178" i="63"/>
  <c r="AH178" i="63"/>
  <c r="Q178" i="63"/>
  <c r="P178" i="63"/>
  <c r="BB177" i="63"/>
  <c r="BC177" i="63" s="1"/>
  <c r="AZ177" i="63"/>
  <c r="BA177" i="63" s="1"/>
  <c r="AI177" i="63"/>
  <c r="AH177" i="63"/>
  <c r="Q177" i="63"/>
  <c r="P177" i="63"/>
  <c r="BB176" i="63"/>
  <c r="BC176" i="63" s="1"/>
  <c r="AZ176" i="63"/>
  <c r="BA176" i="63" s="1"/>
  <c r="AI176" i="63"/>
  <c r="AH176" i="63"/>
  <c r="Q176" i="63"/>
  <c r="P176" i="63"/>
  <c r="BB175" i="63"/>
  <c r="BC175" i="63" s="1"/>
  <c r="AZ175" i="63"/>
  <c r="BA175" i="63" s="1"/>
  <c r="AI175" i="63"/>
  <c r="AH175" i="63"/>
  <c r="Q175" i="63"/>
  <c r="P175" i="63"/>
  <c r="BB174" i="63"/>
  <c r="BC174" i="63" s="1"/>
  <c r="AZ174" i="63"/>
  <c r="BA174" i="63" s="1"/>
  <c r="AI174" i="63"/>
  <c r="AH174" i="63"/>
  <c r="Q174" i="63"/>
  <c r="P174" i="63"/>
  <c r="BB173" i="63"/>
  <c r="BC173" i="63" s="1"/>
  <c r="AZ173" i="63"/>
  <c r="BA173" i="63" s="1"/>
  <c r="AI173" i="63"/>
  <c r="AH173" i="63"/>
  <c r="Q173" i="63"/>
  <c r="P173" i="63"/>
  <c r="BB172" i="63"/>
  <c r="BC172" i="63" s="1"/>
  <c r="AZ172" i="63"/>
  <c r="BA172" i="63" s="1"/>
  <c r="AI172" i="63"/>
  <c r="AH172" i="63"/>
  <c r="Q172" i="63"/>
  <c r="P172" i="63"/>
  <c r="BB171" i="63"/>
  <c r="BC171" i="63" s="1"/>
  <c r="AZ171" i="63"/>
  <c r="BA171" i="63" s="1"/>
  <c r="AI171" i="63"/>
  <c r="AH171" i="63"/>
  <c r="Q171" i="63"/>
  <c r="P171" i="63"/>
  <c r="BB170" i="63"/>
  <c r="BC170" i="63" s="1"/>
  <c r="AZ170" i="63"/>
  <c r="BA170" i="63" s="1"/>
  <c r="AI170" i="63"/>
  <c r="AH170" i="63"/>
  <c r="Q170" i="63"/>
  <c r="P170" i="63"/>
  <c r="BB169" i="63"/>
  <c r="BC169" i="63" s="1"/>
  <c r="AZ169" i="63"/>
  <c r="BA169" i="63" s="1"/>
  <c r="AI169" i="63"/>
  <c r="AH169" i="63"/>
  <c r="Q169" i="63"/>
  <c r="P169" i="63"/>
  <c r="BB168" i="63"/>
  <c r="BC168" i="63" s="1"/>
  <c r="AZ168" i="63"/>
  <c r="BA168" i="63" s="1"/>
  <c r="AI168" i="63"/>
  <c r="AH168" i="63"/>
  <c r="Q168" i="63"/>
  <c r="P168" i="63"/>
  <c r="BB167" i="63"/>
  <c r="BC167" i="63" s="1"/>
  <c r="AZ167" i="63"/>
  <c r="BA167" i="63" s="1"/>
  <c r="AI167" i="63"/>
  <c r="AH167" i="63"/>
  <c r="Q167" i="63"/>
  <c r="P167" i="63"/>
  <c r="BB166" i="63"/>
  <c r="BC166" i="63" s="1"/>
  <c r="AZ166" i="63"/>
  <c r="BA166" i="63" s="1"/>
  <c r="AI166" i="63"/>
  <c r="AH166" i="63"/>
  <c r="Q166" i="63"/>
  <c r="P166" i="63"/>
  <c r="BB165" i="63"/>
  <c r="BC165" i="63" s="1"/>
  <c r="AZ165" i="63"/>
  <c r="BA165" i="63" s="1"/>
  <c r="AI165" i="63"/>
  <c r="AH165" i="63"/>
  <c r="Q165" i="63"/>
  <c r="P165" i="63"/>
  <c r="BB164" i="63"/>
  <c r="BC164" i="63" s="1"/>
  <c r="AZ164" i="63"/>
  <c r="BA164" i="63" s="1"/>
  <c r="AI164" i="63"/>
  <c r="AH164" i="63"/>
  <c r="Q164" i="63"/>
  <c r="P164" i="63"/>
  <c r="BB163" i="63"/>
  <c r="BC163" i="63" s="1"/>
  <c r="AZ163" i="63"/>
  <c r="BA163" i="63" s="1"/>
  <c r="AI163" i="63"/>
  <c r="AH163" i="63"/>
  <c r="Q163" i="63"/>
  <c r="P163" i="63"/>
  <c r="BB162" i="63"/>
  <c r="BC162" i="63" s="1"/>
  <c r="AZ162" i="63"/>
  <c r="BA162" i="63" s="1"/>
  <c r="AI162" i="63"/>
  <c r="AH162" i="63"/>
  <c r="Q162" i="63"/>
  <c r="P162" i="63"/>
  <c r="BB161" i="63"/>
  <c r="BC161" i="63" s="1"/>
  <c r="AZ161" i="63"/>
  <c r="BA161" i="63" s="1"/>
  <c r="AI161" i="63"/>
  <c r="AH161" i="63"/>
  <c r="Q161" i="63"/>
  <c r="P161" i="63"/>
  <c r="BB160" i="63"/>
  <c r="BC160" i="63" s="1"/>
  <c r="AZ160" i="63"/>
  <c r="BA160" i="63" s="1"/>
  <c r="AI160" i="63"/>
  <c r="AH160" i="63"/>
  <c r="Q160" i="63"/>
  <c r="P160" i="63"/>
  <c r="BB159" i="63"/>
  <c r="BC159" i="63" s="1"/>
  <c r="AZ159" i="63"/>
  <c r="BA159" i="63" s="1"/>
  <c r="AI159" i="63"/>
  <c r="AH159" i="63"/>
  <c r="Q159" i="63"/>
  <c r="P159" i="63"/>
  <c r="BB158" i="63"/>
  <c r="BC158" i="63" s="1"/>
  <c r="AZ158" i="63"/>
  <c r="BA158" i="63" s="1"/>
  <c r="AI158" i="63"/>
  <c r="AH158" i="63"/>
  <c r="Q158" i="63"/>
  <c r="P158" i="63"/>
  <c r="BB157" i="63"/>
  <c r="BC157" i="63" s="1"/>
  <c r="AZ157" i="63"/>
  <c r="BA157" i="63" s="1"/>
  <c r="AI157" i="63"/>
  <c r="AH157" i="63"/>
  <c r="Q157" i="63"/>
  <c r="P157" i="63"/>
  <c r="BB156" i="63"/>
  <c r="BC156" i="63" s="1"/>
  <c r="AZ156" i="63"/>
  <c r="BA156" i="63" s="1"/>
  <c r="AI156" i="63"/>
  <c r="AH156" i="63"/>
  <c r="Q156" i="63"/>
  <c r="P156" i="63"/>
  <c r="BB155" i="63"/>
  <c r="BC155" i="63" s="1"/>
  <c r="AZ155" i="63"/>
  <c r="BA155" i="63" s="1"/>
  <c r="AI155" i="63"/>
  <c r="AH155" i="63"/>
  <c r="Q155" i="63"/>
  <c r="P155" i="63"/>
  <c r="BB154" i="63"/>
  <c r="BC154" i="63" s="1"/>
  <c r="AZ154" i="63"/>
  <c r="BA154" i="63" s="1"/>
  <c r="AI154" i="63"/>
  <c r="AH154" i="63"/>
  <c r="Q154" i="63"/>
  <c r="P154" i="63"/>
  <c r="BB153" i="63"/>
  <c r="BC153" i="63" s="1"/>
  <c r="AZ153" i="63"/>
  <c r="BA153" i="63" s="1"/>
  <c r="AI153" i="63"/>
  <c r="AH153" i="63"/>
  <c r="Q153" i="63"/>
  <c r="P153" i="63"/>
  <c r="BB152" i="63"/>
  <c r="BC152" i="63" s="1"/>
  <c r="AZ152" i="63"/>
  <c r="BA152" i="63" s="1"/>
  <c r="AI152" i="63"/>
  <c r="AH152" i="63"/>
  <c r="Q152" i="63"/>
  <c r="P152" i="63"/>
  <c r="BB151" i="63"/>
  <c r="BC151" i="63" s="1"/>
  <c r="AZ151" i="63"/>
  <c r="BA151" i="63" s="1"/>
  <c r="AI151" i="63"/>
  <c r="AH151" i="63"/>
  <c r="Q151" i="63"/>
  <c r="P151" i="63"/>
  <c r="BB150" i="63"/>
  <c r="BC150" i="63" s="1"/>
  <c r="AZ150" i="63"/>
  <c r="BA150" i="63" s="1"/>
  <c r="AI150" i="63"/>
  <c r="AH150" i="63"/>
  <c r="Q150" i="63"/>
  <c r="P150" i="63"/>
  <c r="BB149" i="63"/>
  <c r="BC149" i="63" s="1"/>
  <c r="AZ149" i="63"/>
  <c r="BA149" i="63" s="1"/>
  <c r="AI149" i="63"/>
  <c r="AH149" i="63"/>
  <c r="Q149" i="63"/>
  <c r="P149" i="63"/>
  <c r="BB148" i="63"/>
  <c r="BC148" i="63" s="1"/>
  <c r="AZ148" i="63"/>
  <c r="BA148" i="63" s="1"/>
  <c r="AI148" i="63"/>
  <c r="AH148" i="63"/>
  <c r="Q148" i="63"/>
  <c r="P148" i="63"/>
  <c r="BB147" i="63"/>
  <c r="BC147" i="63" s="1"/>
  <c r="AZ147" i="63"/>
  <c r="BA147" i="63" s="1"/>
  <c r="AI147" i="63"/>
  <c r="AH147" i="63"/>
  <c r="Q147" i="63"/>
  <c r="P147" i="63"/>
  <c r="BB146" i="63"/>
  <c r="BC146" i="63" s="1"/>
  <c r="AZ146" i="63"/>
  <c r="BA146" i="63" s="1"/>
  <c r="AI146" i="63"/>
  <c r="AH146" i="63"/>
  <c r="Q146" i="63"/>
  <c r="P146" i="63"/>
  <c r="BB145" i="63"/>
  <c r="BC145" i="63" s="1"/>
  <c r="AZ145" i="63"/>
  <c r="BA145" i="63" s="1"/>
  <c r="AI145" i="63"/>
  <c r="AH145" i="63"/>
  <c r="Q145" i="63"/>
  <c r="P145" i="63"/>
  <c r="BB144" i="63"/>
  <c r="BC144" i="63" s="1"/>
  <c r="AZ144" i="63"/>
  <c r="BA144" i="63" s="1"/>
  <c r="AI144" i="63"/>
  <c r="AH144" i="63"/>
  <c r="Q144" i="63"/>
  <c r="P144" i="63"/>
  <c r="BB143" i="63"/>
  <c r="BC143" i="63" s="1"/>
  <c r="AZ143" i="63"/>
  <c r="BA143" i="63" s="1"/>
  <c r="AI143" i="63"/>
  <c r="AH143" i="63"/>
  <c r="Q143" i="63"/>
  <c r="P143" i="63"/>
  <c r="BB142" i="63"/>
  <c r="BC142" i="63" s="1"/>
  <c r="AZ142" i="63"/>
  <c r="BA142" i="63" s="1"/>
  <c r="AI142" i="63"/>
  <c r="AH142" i="63"/>
  <c r="Q142" i="63"/>
  <c r="P142" i="63"/>
  <c r="BB141" i="63"/>
  <c r="BC141" i="63" s="1"/>
  <c r="AZ141" i="63"/>
  <c r="BA141" i="63" s="1"/>
  <c r="AI141" i="63"/>
  <c r="AH141" i="63"/>
  <c r="Q141" i="63"/>
  <c r="P141" i="63"/>
  <c r="BB140" i="63"/>
  <c r="BC140" i="63" s="1"/>
  <c r="AZ140" i="63"/>
  <c r="BA140" i="63" s="1"/>
  <c r="AI140" i="63"/>
  <c r="AH140" i="63"/>
  <c r="Q140" i="63"/>
  <c r="P140" i="63"/>
  <c r="BB139" i="63"/>
  <c r="BC139" i="63" s="1"/>
  <c r="AZ139" i="63"/>
  <c r="BA139" i="63" s="1"/>
  <c r="AI139" i="63"/>
  <c r="AH139" i="63"/>
  <c r="Q139" i="63"/>
  <c r="P139" i="63"/>
  <c r="BB138" i="63"/>
  <c r="BC138" i="63" s="1"/>
  <c r="AZ138" i="63"/>
  <c r="BA138" i="63" s="1"/>
  <c r="AI138" i="63"/>
  <c r="AH138" i="63"/>
  <c r="Q138" i="63"/>
  <c r="P138" i="63"/>
  <c r="BB137" i="63"/>
  <c r="BC137" i="63" s="1"/>
  <c r="AZ137" i="63"/>
  <c r="BA137" i="63" s="1"/>
  <c r="AI137" i="63"/>
  <c r="AH137" i="63"/>
  <c r="Q137" i="63"/>
  <c r="P137" i="63"/>
  <c r="BB136" i="63"/>
  <c r="BC136" i="63" s="1"/>
  <c r="AZ136" i="63"/>
  <c r="BA136" i="63" s="1"/>
  <c r="AI136" i="63"/>
  <c r="AH136" i="63"/>
  <c r="Q136" i="63"/>
  <c r="P136" i="63"/>
  <c r="BB135" i="63"/>
  <c r="BC135" i="63" s="1"/>
  <c r="AZ135" i="63"/>
  <c r="BA135" i="63" s="1"/>
  <c r="AI135" i="63"/>
  <c r="AH135" i="63"/>
  <c r="Q135" i="63"/>
  <c r="P135" i="63"/>
  <c r="BB134" i="63"/>
  <c r="BC134" i="63" s="1"/>
  <c r="AZ134" i="63"/>
  <c r="BA134" i="63" s="1"/>
  <c r="AI134" i="63"/>
  <c r="AH134" i="63"/>
  <c r="Q134" i="63"/>
  <c r="P134" i="63"/>
  <c r="BB133" i="63"/>
  <c r="BC133" i="63" s="1"/>
  <c r="AZ133" i="63"/>
  <c r="BA133" i="63" s="1"/>
  <c r="AI133" i="63"/>
  <c r="AH133" i="63"/>
  <c r="Q133" i="63"/>
  <c r="P133" i="63"/>
  <c r="BB132" i="63"/>
  <c r="BC132" i="63" s="1"/>
  <c r="AZ132" i="63"/>
  <c r="BA132" i="63" s="1"/>
  <c r="AI132" i="63"/>
  <c r="AH132" i="63"/>
  <c r="Q132" i="63"/>
  <c r="P132" i="63"/>
  <c r="BB131" i="63"/>
  <c r="BC131" i="63" s="1"/>
  <c r="AZ131" i="63"/>
  <c r="BA131" i="63" s="1"/>
  <c r="AI131" i="63"/>
  <c r="AH131" i="63"/>
  <c r="Q131" i="63"/>
  <c r="P131" i="63"/>
  <c r="BB130" i="63"/>
  <c r="BC130" i="63" s="1"/>
  <c r="AZ130" i="63"/>
  <c r="BA130" i="63" s="1"/>
  <c r="AI130" i="63"/>
  <c r="AH130" i="63"/>
  <c r="Q130" i="63"/>
  <c r="P130" i="63"/>
  <c r="BB129" i="63"/>
  <c r="BC129" i="63" s="1"/>
  <c r="AZ129" i="63"/>
  <c r="BA129" i="63" s="1"/>
  <c r="AI129" i="63"/>
  <c r="AH129" i="63"/>
  <c r="Q129" i="63"/>
  <c r="P129" i="63"/>
  <c r="BB128" i="63"/>
  <c r="BC128" i="63" s="1"/>
  <c r="AZ128" i="63"/>
  <c r="BA128" i="63" s="1"/>
  <c r="AI128" i="63"/>
  <c r="AH128" i="63"/>
  <c r="Q128" i="63"/>
  <c r="P128" i="63"/>
  <c r="BB127" i="63"/>
  <c r="BC127" i="63" s="1"/>
  <c r="AZ127" i="63"/>
  <c r="BA127" i="63" s="1"/>
  <c r="AI127" i="63"/>
  <c r="AH127" i="63"/>
  <c r="Q127" i="63"/>
  <c r="P127" i="63"/>
  <c r="BB126" i="63"/>
  <c r="BC126" i="63" s="1"/>
  <c r="AZ126" i="63"/>
  <c r="BA126" i="63" s="1"/>
  <c r="AI126" i="63"/>
  <c r="AH126" i="63"/>
  <c r="Q126" i="63"/>
  <c r="P126" i="63"/>
  <c r="BB125" i="63"/>
  <c r="BC125" i="63" s="1"/>
  <c r="AZ125" i="63"/>
  <c r="BA125" i="63" s="1"/>
  <c r="AI125" i="63"/>
  <c r="AH125" i="63"/>
  <c r="Q125" i="63"/>
  <c r="P125" i="63"/>
  <c r="BB124" i="63"/>
  <c r="BC124" i="63" s="1"/>
  <c r="AZ124" i="63"/>
  <c r="BA124" i="63" s="1"/>
  <c r="AI124" i="63"/>
  <c r="AH124" i="63"/>
  <c r="Q124" i="63"/>
  <c r="P124" i="63"/>
  <c r="BB123" i="63"/>
  <c r="BC123" i="63" s="1"/>
  <c r="AZ123" i="63"/>
  <c r="BA123" i="63" s="1"/>
  <c r="AI123" i="63"/>
  <c r="AH123" i="63"/>
  <c r="Q123" i="63"/>
  <c r="P123" i="63"/>
  <c r="BB122" i="63"/>
  <c r="BC122" i="63" s="1"/>
  <c r="AZ122" i="63"/>
  <c r="BA122" i="63" s="1"/>
  <c r="AI122" i="63"/>
  <c r="AH122" i="63"/>
  <c r="Q122" i="63"/>
  <c r="P122" i="63"/>
  <c r="BB121" i="63"/>
  <c r="BC121" i="63" s="1"/>
  <c r="AZ121" i="63"/>
  <c r="BA121" i="63" s="1"/>
  <c r="AI121" i="63"/>
  <c r="AH121" i="63"/>
  <c r="Q121" i="63"/>
  <c r="P121" i="63"/>
  <c r="BB120" i="63"/>
  <c r="BC120" i="63" s="1"/>
  <c r="AZ120" i="63"/>
  <c r="BA120" i="63" s="1"/>
  <c r="AI120" i="63"/>
  <c r="AH120" i="63"/>
  <c r="Q120" i="63"/>
  <c r="P120" i="63"/>
  <c r="BB119" i="63"/>
  <c r="BC119" i="63" s="1"/>
  <c r="AZ119" i="63"/>
  <c r="BA119" i="63" s="1"/>
  <c r="AI119" i="63"/>
  <c r="AH119" i="63"/>
  <c r="Q119" i="63"/>
  <c r="P119" i="63"/>
  <c r="BB118" i="63"/>
  <c r="BC118" i="63" s="1"/>
  <c r="AZ118" i="63"/>
  <c r="BA118" i="63" s="1"/>
  <c r="AI118" i="63"/>
  <c r="AH118" i="63"/>
  <c r="Q118" i="63"/>
  <c r="P118" i="63"/>
  <c r="BB117" i="63"/>
  <c r="BC117" i="63" s="1"/>
  <c r="AZ117" i="63"/>
  <c r="BA117" i="63" s="1"/>
  <c r="AI117" i="63"/>
  <c r="AH117" i="63"/>
  <c r="Q117" i="63"/>
  <c r="P117" i="63"/>
  <c r="BB116" i="63"/>
  <c r="BC116" i="63" s="1"/>
  <c r="AZ116" i="63"/>
  <c r="BA116" i="63" s="1"/>
  <c r="AI116" i="63"/>
  <c r="AH116" i="63"/>
  <c r="Q116" i="63"/>
  <c r="P116" i="63"/>
  <c r="BB115" i="63"/>
  <c r="BC115" i="63" s="1"/>
  <c r="AZ115" i="63"/>
  <c r="BA115" i="63" s="1"/>
  <c r="AI115" i="63"/>
  <c r="AH115" i="63"/>
  <c r="Q115" i="63"/>
  <c r="P115" i="63"/>
  <c r="BB114" i="63"/>
  <c r="BC114" i="63" s="1"/>
  <c r="AZ114" i="63"/>
  <c r="BA114" i="63" s="1"/>
  <c r="AI114" i="63"/>
  <c r="AH114" i="63"/>
  <c r="Q114" i="63"/>
  <c r="P114" i="63"/>
  <c r="BB113" i="63"/>
  <c r="BC113" i="63" s="1"/>
  <c r="AZ113" i="63"/>
  <c r="BA113" i="63" s="1"/>
  <c r="AI113" i="63"/>
  <c r="AH113" i="63"/>
  <c r="Q113" i="63"/>
  <c r="P113" i="63"/>
  <c r="BB112" i="63"/>
  <c r="BC112" i="63" s="1"/>
  <c r="AZ112" i="63"/>
  <c r="BA112" i="63" s="1"/>
  <c r="AI112" i="63"/>
  <c r="AH112" i="63"/>
  <c r="Q112" i="63"/>
  <c r="P112" i="63"/>
  <c r="BB111" i="63"/>
  <c r="BC111" i="63" s="1"/>
  <c r="AZ111" i="63"/>
  <c r="BA111" i="63" s="1"/>
  <c r="AI111" i="63"/>
  <c r="AH111" i="63"/>
  <c r="Q111" i="63"/>
  <c r="P111" i="63"/>
  <c r="BB110" i="63"/>
  <c r="BC110" i="63" s="1"/>
  <c r="AZ110" i="63"/>
  <c r="BA110" i="63" s="1"/>
  <c r="AI110" i="63"/>
  <c r="AH110" i="63"/>
  <c r="Q110" i="63"/>
  <c r="P110" i="63"/>
  <c r="BB109" i="63"/>
  <c r="BC109" i="63" s="1"/>
  <c r="AZ109" i="63"/>
  <c r="BA109" i="63" s="1"/>
  <c r="AI109" i="63"/>
  <c r="AH109" i="63"/>
  <c r="Q109" i="63"/>
  <c r="P109" i="63"/>
  <c r="BB108" i="63"/>
  <c r="BC108" i="63" s="1"/>
  <c r="AZ108" i="63"/>
  <c r="BA108" i="63" s="1"/>
  <c r="AI108" i="63"/>
  <c r="AH108" i="63"/>
  <c r="Q108" i="63"/>
  <c r="P108" i="63"/>
  <c r="BB107" i="63"/>
  <c r="BC107" i="63" s="1"/>
  <c r="AZ107" i="63"/>
  <c r="BA107" i="63" s="1"/>
  <c r="AI107" i="63"/>
  <c r="AH107" i="63"/>
  <c r="Q107" i="63"/>
  <c r="P107" i="63"/>
  <c r="BB106" i="63"/>
  <c r="BC106" i="63" s="1"/>
  <c r="AZ106" i="63"/>
  <c r="BA106" i="63" s="1"/>
  <c r="AI106" i="63"/>
  <c r="AH106" i="63"/>
  <c r="Q106" i="63"/>
  <c r="P106" i="63"/>
  <c r="BB105" i="63"/>
  <c r="BC105" i="63" s="1"/>
  <c r="AZ105" i="63"/>
  <c r="BA105" i="63" s="1"/>
  <c r="AI105" i="63"/>
  <c r="AH105" i="63"/>
  <c r="Q105" i="63"/>
  <c r="P105" i="63"/>
  <c r="BB104" i="63"/>
  <c r="BC104" i="63" s="1"/>
  <c r="AZ104" i="63"/>
  <c r="BA104" i="63" s="1"/>
  <c r="AI104" i="63"/>
  <c r="AH104" i="63"/>
  <c r="Q104" i="63"/>
  <c r="P104" i="63"/>
  <c r="BB103" i="63"/>
  <c r="BC103" i="63" s="1"/>
  <c r="AZ103" i="63"/>
  <c r="BA103" i="63" s="1"/>
  <c r="AI103" i="63"/>
  <c r="AH103" i="63"/>
  <c r="Q103" i="63"/>
  <c r="P103" i="63"/>
  <c r="BB102" i="63"/>
  <c r="BC102" i="63" s="1"/>
  <c r="AZ102" i="63"/>
  <c r="BA102" i="63" s="1"/>
  <c r="AI102" i="63"/>
  <c r="AH102" i="63"/>
  <c r="Q102" i="63"/>
  <c r="P102" i="63"/>
  <c r="BB101" i="63"/>
  <c r="BC101" i="63" s="1"/>
  <c r="AZ101" i="63"/>
  <c r="BA101" i="63" s="1"/>
  <c r="AI101" i="63"/>
  <c r="AH101" i="63"/>
  <c r="Q101" i="63"/>
  <c r="P101" i="63"/>
  <c r="BB100" i="63"/>
  <c r="BC100" i="63" s="1"/>
  <c r="AZ100" i="63"/>
  <c r="BA100" i="63" s="1"/>
  <c r="AI100" i="63"/>
  <c r="AH100" i="63"/>
  <c r="Q100" i="63"/>
  <c r="P100" i="63"/>
  <c r="BB99" i="63"/>
  <c r="BC99" i="63" s="1"/>
  <c r="AZ99" i="63"/>
  <c r="BA99" i="63" s="1"/>
  <c r="AI99" i="63"/>
  <c r="AH99" i="63"/>
  <c r="Q99" i="63"/>
  <c r="P99" i="63"/>
  <c r="BB98" i="63"/>
  <c r="BC98" i="63" s="1"/>
  <c r="AZ98" i="63"/>
  <c r="BA98" i="63" s="1"/>
  <c r="AI98" i="63"/>
  <c r="AH98" i="63"/>
  <c r="Q98" i="63"/>
  <c r="P98" i="63"/>
  <c r="BB97" i="63"/>
  <c r="BC97" i="63" s="1"/>
  <c r="AZ97" i="63"/>
  <c r="BA97" i="63" s="1"/>
  <c r="AI97" i="63"/>
  <c r="AH97" i="63"/>
  <c r="Q97" i="63"/>
  <c r="P97" i="63"/>
  <c r="BB96" i="63"/>
  <c r="BC96" i="63" s="1"/>
  <c r="AZ96" i="63"/>
  <c r="BA96" i="63" s="1"/>
  <c r="AI96" i="63"/>
  <c r="AH96" i="63"/>
  <c r="Q96" i="63"/>
  <c r="P96" i="63"/>
  <c r="BB95" i="63"/>
  <c r="BC95" i="63" s="1"/>
  <c r="AZ95" i="63"/>
  <c r="BA95" i="63" s="1"/>
  <c r="AI95" i="63"/>
  <c r="AH95" i="63"/>
  <c r="Q95" i="63"/>
  <c r="P95" i="63"/>
  <c r="BB94" i="63"/>
  <c r="BC94" i="63" s="1"/>
  <c r="AZ94" i="63"/>
  <c r="BA94" i="63" s="1"/>
  <c r="AI94" i="63"/>
  <c r="AH94" i="63"/>
  <c r="Q94" i="63"/>
  <c r="P94" i="63"/>
  <c r="BB93" i="63"/>
  <c r="BC93" i="63" s="1"/>
  <c r="AZ93" i="63"/>
  <c r="BA93" i="63" s="1"/>
  <c r="AI93" i="63"/>
  <c r="AH93" i="63"/>
  <c r="Q93" i="63"/>
  <c r="P93" i="63"/>
  <c r="BB92" i="63"/>
  <c r="BC92" i="63" s="1"/>
  <c r="AZ92" i="63"/>
  <c r="BA92" i="63" s="1"/>
  <c r="AI92" i="63"/>
  <c r="AH92" i="63"/>
  <c r="Q92" i="63"/>
  <c r="P92" i="63"/>
  <c r="BB91" i="63"/>
  <c r="BC91" i="63" s="1"/>
  <c r="AZ91" i="63"/>
  <c r="BA91" i="63" s="1"/>
  <c r="AI91" i="63"/>
  <c r="AH91" i="63"/>
  <c r="Q91" i="63"/>
  <c r="P91" i="63"/>
  <c r="BB90" i="63"/>
  <c r="BC90" i="63" s="1"/>
  <c r="AZ90" i="63"/>
  <c r="BA90" i="63" s="1"/>
  <c r="AI90" i="63"/>
  <c r="AH90" i="63"/>
  <c r="Q90" i="63"/>
  <c r="P90" i="63"/>
  <c r="BB89" i="63"/>
  <c r="BC89" i="63" s="1"/>
  <c r="AZ89" i="63"/>
  <c r="BA89" i="63" s="1"/>
  <c r="AI89" i="63"/>
  <c r="AH89" i="63"/>
  <c r="Q89" i="63"/>
  <c r="P89" i="63"/>
  <c r="BB88" i="63"/>
  <c r="BC88" i="63" s="1"/>
  <c r="AZ88" i="63"/>
  <c r="BA88" i="63" s="1"/>
  <c r="AI88" i="63"/>
  <c r="AH88" i="63"/>
  <c r="Q88" i="63"/>
  <c r="P88" i="63"/>
  <c r="BB87" i="63"/>
  <c r="BC87" i="63" s="1"/>
  <c r="AZ87" i="63"/>
  <c r="BA87" i="63" s="1"/>
  <c r="AI87" i="63"/>
  <c r="AH87" i="63"/>
  <c r="Q87" i="63"/>
  <c r="P87" i="63"/>
  <c r="BB86" i="63"/>
  <c r="BC86" i="63" s="1"/>
  <c r="AZ86" i="63"/>
  <c r="BA86" i="63" s="1"/>
  <c r="AI86" i="63"/>
  <c r="AH86" i="63"/>
  <c r="Q86" i="63"/>
  <c r="P86" i="63"/>
  <c r="BB85" i="63"/>
  <c r="BC85" i="63" s="1"/>
  <c r="AZ85" i="63"/>
  <c r="BA85" i="63" s="1"/>
  <c r="AI85" i="63"/>
  <c r="AH85" i="63"/>
  <c r="Q85" i="63"/>
  <c r="P85" i="63"/>
  <c r="BB84" i="63"/>
  <c r="BC84" i="63" s="1"/>
  <c r="AZ84" i="63"/>
  <c r="BA84" i="63" s="1"/>
  <c r="AI84" i="63"/>
  <c r="AH84" i="63"/>
  <c r="Q84" i="63"/>
  <c r="P84" i="63"/>
  <c r="BB83" i="63"/>
  <c r="BC83" i="63" s="1"/>
  <c r="AZ83" i="63"/>
  <c r="BA83" i="63" s="1"/>
  <c r="AI83" i="63"/>
  <c r="AH83" i="63"/>
  <c r="Q83" i="63"/>
  <c r="P83" i="63"/>
  <c r="BB82" i="63"/>
  <c r="BC82" i="63" s="1"/>
  <c r="AZ82" i="63"/>
  <c r="BA82" i="63" s="1"/>
  <c r="AI82" i="63"/>
  <c r="AH82" i="63"/>
  <c r="Q82" i="63"/>
  <c r="P82" i="63"/>
  <c r="BB81" i="63"/>
  <c r="BC81" i="63" s="1"/>
  <c r="AZ81" i="63"/>
  <c r="BA81" i="63" s="1"/>
  <c r="AI81" i="63"/>
  <c r="AH81" i="63"/>
  <c r="Q81" i="63"/>
  <c r="P81" i="63"/>
  <c r="BB80" i="63"/>
  <c r="BC80" i="63" s="1"/>
  <c r="AZ80" i="63"/>
  <c r="BA80" i="63" s="1"/>
  <c r="AI80" i="63"/>
  <c r="AH80" i="63"/>
  <c r="Q80" i="63"/>
  <c r="P80" i="63"/>
  <c r="BB79" i="63"/>
  <c r="BC79" i="63" s="1"/>
  <c r="AZ79" i="63"/>
  <c r="BA79" i="63" s="1"/>
  <c r="AI79" i="63"/>
  <c r="AH79" i="63"/>
  <c r="Q79" i="63"/>
  <c r="P79" i="63"/>
  <c r="BB78" i="63"/>
  <c r="BC78" i="63" s="1"/>
  <c r="AZ78" i="63"/>
  <c r="BA78" i="63" s="1"/>
  <c r="AI78" i="63"/>
  <c r="AH78" i="63"/>
  <c r="Q78" i="63"/>
  <c r="P78" i="63"/>
  <c r="BB77" i="63"/>
  <c r="BC77" i="63" s="1"/>
  <c r="AZ77" i="63"/>
  <c r="BA77" i="63" s="1"/>
  <c r="AI77" i="63"/>
  <c r="AH77" i="63"/>
  <c r="Q77" i="63"/>
  <c r="P77" i="63"/>
  <c r="BB76" i="63"/>
  <c r="BC76" i="63" s="1"/>
  <c r="AZ76" i="63"/>
  <c r="BA76" i="63" s="1"/>
  <c r="AI76" i="63"/>
  <c r="AH76" i="63"/>
  <c r="Q76" i="63"/>
  <c r="P76" i="63"/>
  <c r="BB75" i="63"/>
  <c r="BC75" i="63" s="1"/>
  <c r="AZ75" i="63"/>
  <c r="BA75" i="63" s="1"/>
  <c r="AI75" i="63"/>
  <c r="AH75" i="63"/>
  <c r="Q75" i="63"/>
  <c r="P75" i="63"/>
  <c r="BB74" i="63"/>
  <c r="BC74" i="63" s="1"/>
  <c r="AZ74" i="63"/>
  <c r="BA74" i="63" s="1"/>
  <c r="AI74" i="63"/>
  <c r="AH74" i="63"/>
  <c r="Q74" i="63"/>
  <c r="P74" i="63"/>
  <c r="BB73" i="63"/>
  <c r="BC73" i="63" s="1"/>
  <c r="AZ73" i="63"/>
  <c r="BA73" i="63" s="1"/>
  <c r="AI73" i="63"/>
  <c r="AH73" i="63"/>
  <c r="Q73" i="63"/>
  <c r="P73" i="63"/>
  <c r="BB72" i="63"/>
  <c r="BC72" i="63" s="1"/>
  <c r="AZ72" i="63"/>
  <c r="BA72" i="63" s="1"/>
  <c r="AI72" i="63"/>
  <c r="AH72" i="63"/>
  <c r="Q72" i="63"/>
  <c r="P72" i="63"/>
  <c r="BB71" i="63"/>
  <c r="BC71" i="63" s="1"/>
  <c r="AZ71" i="63"/>
  <c r="BA71" i="63" s="1"/>
  <c r="AI71" i="63"/>
  <c r="AH71" i="63"/>
  <c r="Q71" i="63"/>
  <c r="P71" i="63"/>
  <c r="BB70" i="63"/>
  <c r="BC70" i="63" s="1"/>
  <c r="AZ70" i="63"/>
  <c r="BA70" i="63" s="1"/>
  <c r="AI70" i="63"/>
  <c r="AH70" i="63"/>
  <c r="Q70" i="63"/>
  <c r="P70" i="63"/>
  <c r="BB69" i="63"/>
  <c r="BC69" i="63" s="1"/>
  <c r="AZ69" i="63"/>
  <c r="BA69" i="63" s="1"/>
  <c r="AI69" i="63"/>
  <c r="AH69" i="63"/>
  <c r="Q69" i="63"/>
  <c r="P69" i="63"/>
  <c r="BB68" i="63"/>
  <c r="BC68" i="63" s="1"/>
  <c r="AZ68" i="63"/>
  <c r="BA68" i="63" s="1"/>
  <c r="AI68" i="63"/>
  <c r="AH68" i="63"/>
  <c r="Q68" i="63"/>
  <c r="P68" i="63"/>
  <c r="BB67" i="63"/>
  <c r="BC67" i="63" s="1"/>
  <c r="AZ67" i="63"/>
  <c r="BA67" i="63" s="1"/>
  <c r="AI67" i="63"/>
  <c r="AH67" i="63"/>
  <c r="Q67" i="63"/>
  <c r="P67" i="63"/>
  <c r="BB66" i="63"/>
  <c r="BC66" i="63" s="1"/>
  <c r="AZ66" i="63"/>
  <c r="BA66" i="63" s="1"/>
  <c r="AI66" i="63"/>
  <c r="AH66" i="63"/>
  <c r="Q66" i="63"/>
  <c r="P66" i="63"/>
  <c r="BB65" i="63"/>
  <c r="BC65" i="63" s="1"/>
  <c r="AZ65" i="63"/>
  <c r="BA65" i="63" s="1"/>
  <c r="AI65" i="63"/>
  <c r="AH65" i="63"/>
  <c r="Q65" i="63"/>
  <c r="P65" i="63"/>
  <c r="BB64" i="63"/>
  <c r="BC64" i="63" s="1"/>
  <c r="AZ64" i="63"/>
  <c r="BA64" i="63" s="1"/>
  <c r="AI64" i="63"/>
  <c r="AH64" i="63"/>
  <c r="Q64" i="63"/>
  <c r="P64" i="63"/>
  <c r="BB63" i="63"/>
  <c r="BC63" i="63" s="1"/>
  <c r="AZ63" i="63"/>
  <c r="BA63" i="63" s="1"/>
  <c r="AI63" i="63"/>
  <c r="AH63" i="63"/>
  <c r="Q63" i="63"/>
  <c r="P63" i="63"/>
  <c r="BB62" i="63"/>
  <c r="BC62" i="63" s="1"/>
  <c r="AZ62" i="63"/>
  <c r="BA62" i="63" s="1"/>
  <c r="AI62" i="63"/>
  <c r="AH62" i="63"/>
  <c r="Q62" i="63"/>
  <c r="P62" i="63"/>
  <c r="BB61" i="63"/>
  <c r="BC61" i="63" s="1"/>
  <c r="AZ61" i="63"/>
  <c r="BA61" i="63" s="1"/>
  <c r="AI61" i="63"/>
  <c r="AH61" i="63"/>
  <c r="Q61" i="63"/>
  <c r="P61" i="63"/>
  <c r="BB60" i="63"/>
  <c r="BC60" i="63" s="1"/>
  <c r="AZ60" i="63"/>
  <c r="BA60" i="63" s="1"/>
  <c r="AI60" i="63"/>
  <c r="AH60" i="63"/>
  <c r="Q60" i="63"/>
  <c r="P60" i="63"/>
  <c r="BB59" i="63"/>
  <c r="BC59" i="63" s="1"/>
  <c r="AZ59" i="63"/>
  <c r="BA59" i="63" s="1"/>
  <c r="AI59" i="63"/>
  <c r="AH59" i="63"/>
  <c r="Q59" i="63"/>
  <c r="P59" i="63"/>
  <c r="BB58" i="63"/>
  <c r="BC58" i="63" s="1"/>
  <c r="AZ58" i="63"/>
  <c r="BA58" i="63" s="1"/>
  <c r="AI58" i="63"/>
  <c r="AH58" i="63"/>
  <c r="Q58" i="63"/>
  <c r="P58" i="63"/>
  <c r="BB57" i="63"/>
  <c r="BC57" i="63" s="1"/>
  <c r="AZ57" i="63"/>
  <c r="BA57" i="63" s="1"/>
  <c r="AI57" i="63"/>
  <c r="AH57" i="63"/>
  <c r="Q57" i="63"/>
  <c r="P57" i="63"/>
  <c r="BB56" i="63"/>
  <c r="BC56" i="63" s="1"/>
  <c r="AZ56" i="63"/>
  <c r="BA56" i="63" s="1"/>
  <c r="AI56" i="63"/>
  <c r="AH56" i="63"/>
  <c r="Q56" i="63"/>
  <c r="P56" i="63"/>
  <c r="BB55" i="63"/>
  <c r="BC55" i="63" s="1"/>
  <c r="AZ55" i="63"/>
  <c r="BA55" i="63" s="1"/>
  <c r="AI55" i="63"/>
  <c r="AH55" i="63"/>
  <c r="Q55" i="63"/>
  <c r="P55" i="63"/>
  <c r="BB54" i="63"/>
  <c r="BC54" i="63" s="1"/>
  <c r="AZ54" i="63"/>
  <c r="BA54" i="63" s="1"/>
  <c r="AI54" i="63"/>
  <c r="AH54" i="63"/>
  <c r="Q54" i="63"/>
  <c r="P54" i="63"/>
  <c r="BB53" i="63"/>
  <c r="BC53" i="63" s="1"/>
  <c r="AZ53" i="63"/>
  <c r="BA53" i="63" s="1"/>
  <c r="AI53" i="63"/>
  <c r="AH53" i="63"/>
  <c r="Q53" i="63"/>
  <c r="P53" i="63"/>
  <c r="BB52" i="63"/>
  <c r="BC52" i="63" s="1"/>
  <c r="AZ52" i="63"/>
  <c r="BA52" i="63" s="1"/>
  <c r="AI52" i="63"/>
  <c r="AH52" i="63"/>
  <c r="Q52" i="63"/>
  <c r="P52" i="63"/>
  <c r="BB51" i="63"/>
  <c r="BC51" i="63" s="1"/>
  <c r="AZ51" i="63"/>
  <c r="BA51" i="63" s="1"/>
  <c r="AI51" i="63"/>
  <c r="AH51" i="63"/>
  <c r="Q51" i="63"/>
  <c r="P51" i="63"/>
  <c r="BB50" i="63"/>
  <c r="BC50" i="63" s="1"/>
  <c r="AZ50" i="63"/>
  <c r="BA50" i="63" s="1"/>
  <c r="AI50" i="63"/>
  <c r="AH50" i="63"/>
  <c r="Q50" i="63"/>
  <c r="P50" i="63"/>
  <c r="BB49" i="63"/>
  <c r="BC49" i="63" s="1"/>
  <c r="AZ49" i="63"/>
  <c r="BA49" i="63" s="1"/>
  <c r="AI49" i="63"/>
  <c r="AH49" i="63"/>
  <c r="Q49" i="63"/>
  <c r="P49" i="63"/>
  <c r="BB48" i="63"/>
  <c r="BC48" i="63" s="1"/>
  <c r="AZ48" i="63"/>
  <c r="BA48" i="63" s="1"/>
  <c r="AI48" i="63"/>
  <c r="AH48" i="63"/>
  <c r="Q48" i="63"/>
  <c r="P48" i="63"/>
  <c r="BB47" i="63"/>
  <c r="BC47" i="63" s="1"/>
  <c r="AZ47" i="63"/>
  <c r="BA47" i="63" s="1"/>
  <c r="AI47" i="63"/>
  <c r="AH47" i="63"/>
  <c r="Q47" i="63"/>
  <c r="P47" i="63"/>
  <c r="BB46" i="63"/>
  <c r="BC46" i="63" s="1"/>
  <c r="AZ46" i="63"/>
  <c r="BA46" i="63" s="1"/>
  <c r="AI46" i="63"/>
  <c r="AH46" i="63"/>
  <c r="Q46" i="63"/>
  <c r="P46" i="63"/>
  <c r="BB45" i="63"/>
  <c r="BC45" i="63" s="1"/>
  <c r="AZ45" i="63"/>
  <c r="BA45" i="63" s="1"/>
  <c r="AI45" i="63"/>
  <c r="AH45" i="63"/>
  <c r="Q45" i="63"/>
  <c r="P45" i="63"/>
  <c r="BB44" i="63"/>
  <c r="BC44" i="63" s="1"/>
  <c r="AZ44" i="63"/>
  <c r="BA44" i="63" s="1"/>
  <c r="AI44" i="63"/>
  <c r="AH44" i="63"/>
  <c r="Q44" i="63"/>
  <c r="P44" i="63"/>
  <c r="BB43" i="63"/>
  <c r="BC43" i="63" s="1"/>
  <c r="AZ43" i="63"/>
  <c r="BA43" i="63" s="1"/>
  <c r="AI43" i="63"/>
  <c r="AH43" i="63"/>
  <c r="Q43" i="63"/>
  <c r="P43" i="63"/>
  <c r="BB42" i="63"/>
  <c r="BC42" i="63" s="1"/>
  <c r="AZ42" i="63"/>
  <c r="BA42" i="63" s="1"/>
  <c r="AI42" i="63"/>
  <c r="AH42" i="63"/>
  <c r="Q42" i="63"/>
  <c r="P42" i="63"/>
  <c r="BB41" i="63"/>
  <c r="BC41" i="63" s="1"/>
  <c r="AZ41" i="63"/>
  <c r="BA41" i="63" s="1"/>
  <c r="AI41" i="63"/>
  <c r="AH41" i="63"/>
  <c r="Q41" i="63"/>
  <c r="P41" i="63"/>
  <c r="BB40" i="63"/>
  <c r="BC40" i="63" s="1"/>
  <c r="AZ40" i="63"/>
  <c r="BA40" i="63" s="1"/>
  <c r="AI40" i="63"/>
  <c r="AH40" i="63"/>
  <c r="Q40" i="63"/>
  <c r="P40" i="63"/>
  <c r="BB39" i="63"/>
  <c r="BC39" i="63" s="1"/>
  <c r="AZ39" i="63"/>
  <c r="BA39" i="63" s="1"/>
  <c r="AI39" i="63"/>
  <c r="AH39" i="63"/>
  <c r="Q39" i="63"/>
  <c r="P39" i="63"/>
  <c r="BB38" i="63"/>
  <c r="BC38" i="63" s="1"/>
  <c r="AZ38" i="63"/>
  <c r="BA38" i="63" s="1"/>
  <c r="AI38" i="63"/>
  <c r="AH38" i="63"/>
  <c r="Q38" i="63"/>
  <c r="P38" i="63"/>
  <c r="BB37" i="63"/>
  <c r="BC37" i="63" s="1"/>
  <c r="AZ37" i="63"/>
  <c r="BA37" i="63" s="1"/>
  <c r="AI37" i="63"/>
  <c r="AH37" i="63"/>
  <c r="Q37" i="63"/>
  <c r="P37" i="63"/>
  <c r="BB36" i="63"/>
  <c r="BC36" i="63" s="1"/>
  <c r="AZ36" i="63"/>
  <c r="BA36" i="63" s="1"/>
  <c r="AI36" i="63"/>
  <c r="AH36" i="63"/>
  <c r="Q36" i="63"/>
  <c r="P36" i="63"/>
  <c r="BB35" i="63"/>
  <c r="BC35" i="63" s="1"/>
  <c r="AZ35" i="63"/>
  <c r="BA35" i="63" s="1"/>
  <c r="AI35" i="63"/>
  <c r="AH35" i="63"/>
  <c r="Q35" i="63"/>
  <c r="P35" i="63"/>
  <c r="BB34" i="63"/>
  <c r="BC34" i="63" s="1"/>
  <c r="AZ34" i="63"/>
  <c r="BA34" i="63" s="1"/>
  <c r="AI34" i="63"/>
  <c r="AH34" i="63"/>
  <c r="Q34" i="63"/>
  <c r="P34" i="63"/>
  <c r="BB33" i="63"/>
  <c r="BC33" i="63" s="1"/>
  <c r="AZ33" i="63"/>
  <c r="BA33" i="63" s="1"/>
  <c r="AI33" i="63"/>
  <c r="AH33" i="63"/>
  <c r="Q33" i="63"/>
  <c r="P33" i="63"/>
  <c r="BB32" i="63"/>
  <c r="BC32" i="63" s="1"/>
  <c r="AZ32" i="63"/>
  <c r="BA32" i="63" s="1"/>
  <c r="AI32" i="63"/>
  <c r="AH32" i="63"/>
  <c r="Q32" i="63"/>
  <c r="P32" i="63"/>
  <c r="BB31" i="63"/>
  <c r="BC31" i="63" s="1"/>
  <c r="AZ31" i="63"/>
  <c r="BA31" i="63" s="1"/>
  <c r="AI31" i="63"/>
  <c r="AH31" i="63"/>
  <c r="Q31" i="63"/>
  <c r="P31" i="63"/>
  <c r="BB30" i="63"/>
  <c r="BC30" i="63" s="1"/>
  <c r="AZ30" i="63"/>
  <c r="BA30" i="63" s="1"/>
  <c r="AI30" i="63"/>
  <c r="AH30" i="63"/>
  <c r="Q30" i="63"/>
  <c r="P30" i="63"/>
  <c r="BB29" i="63"/>
  <c r="BC29" i="63" s="1"/>
  <c r="AZ29" i="63"/>
  <c r="BA29" i="63" s="1"/>
  <c r="AI29" i="63"/>
  <c r="AH29" i="63"/>
  <c r="Q29" i="63"/>
  <c r="P29" i="63"/>
  <c r="BB28" i="63"/>
  <c r="BC28" i="63" s="1"/>
  <c r="AZ28" i="63"/>
  <c r="BA28" i="63" s="1"/>
  <c r="AI28" i="63"/>
  <c r="AH28" i="63"/>
  <c r="Q28" i="63"/>
  <c r="P28" i="63"/>
  <c r="BB27" i="63"/>
  <c r="BC27" i="63" s="1"/>
  <c r="AZ27" i="63"/>
  <c r="BA27" i="63" s="1"/>
  <c r="AI27" i="63"/>
  <c r="AH27" i="63"/>
  <c r="Q27" i="63"/>
  <c r="P27" i="63"/>
  <c r="BB26" i="63"/>
  <c r="BC26" i="63" s="1"/>
  <c r="AZ26" i="63"/>
  <c r="BA26" i="63" s="1"/>
  <c r="AI26" i="63"/>
  <c r="AH26" i="63"/>
  <c r="Q26" i="63"/>
  <c r="P26" i="63"/>
  <c r="BB25" i="63"/>
  <c r="BC25" i="63" s="1"/>
  <c r="AZ25" i="63"/>
  <c r="BA25" i="63" s="1"/>
  <c r="AI25" i="63"/>
  <c r="AH25" i="63"/>
  <c r="Q25" i="63"/>
  <c r="P25" i="63"/>
  <c r="BB24" i="63"/>
  <c r="BC24" i="63" s="1"/>
  <c r="AZ24" i="63"/>
  <c r="BA24" i="63" s="1"/>
  <c r="AI24" i="63"/>
  <c r="AH24" i="63"/>
  <c r="Q24" i="63"/>
  <c r="P24" i="63"/>
  <c r="BB23" i="63"/>
  <c r="BC23" i="63" s="1"/>
  <c r="AZ23" i="63"/>
  <c r="BA23" i="63" s="1"/>
  <c r="AI23" i="63"/>
  <c r="AH23" i="63"/>
  <c r="Q23" i="63"/>
  <c r="P23" i="63"/>
  <c r="BB22" i="63"/>
  <c r="BC22" i="63" s="1"/>
  <c r="AZ22" i="63"/>
  <c r="BA22" i="63" s="1"/>
  <c r="AI22" i="63"/>
  <c r="AH22" i="63"/>
  <c r="Q22" i="63"/>
  <c r="P22" i="63"/>
  <c r="BB21" i="63"/>
  <c r="BC21" i="63" s="1"/>
  <c r="AZ21" i="63"/>
  <c r="BA21" i="63" s="1"/>
  <c r="AI21" i="63"/>
  <c r="AH21" i="63"/>
  <c r="Q21" i="63"/>
  <c r="P21" i="63"/>
  <c r="BB20" i="63"/>
  <c r="BC20" i="63" s="1"/>
  <c r="AZ20" i="63"/>
  <c r="BA20" i="63" s="1"/>
  <c r="AI20" i="63"/>
  <c r="AH20" i="63"/>
  <c r="Q20" i="63"/>
  <c r="P20" i="63"/>
  <c r="BB19" i="63"/>
  <c r="BC19" i="63" s="1"/>
  <c r="AZ19" i="63"/>
  <c r="BA19" i="63" s="1"/>
  <c r="AI19" i="63"/>
  <c r="AH19" i="63"/>
  <c r="Q19" i="63"/>
  <c r="P19" i="63"/>
  <c r="BB18" i="63"/>
  <c r="BC18" i="63" s="1"/>
  <c r="AZ18" i="63"/>
  <c r="BA18" i="63" s="1"/>
  <c r="AI18" i="63"/>
  <c r="AH18" i="63"/>
  <c r="Q18" i="63"/>
  <c r="P18" i="63"/>
  <c r="BB17" i="63"/>
  <c r="BC17" i="63" s="1"/>
  <c r="AZ17" i="63"/>
  <c r="BA17" i="63" s="1"/>
  <c r="AI17" i="63"/>
  <c r="AH17" i="63"/>
  <c r="Q17" i="63"/>
  <c r="P17" i="63"/>
  <c r="BB16" i="63"/>
  <c r="BC16" i="63" s="1"/>
  <c r="AZ16" i="63"/>
  <c r="BA16" i="63" s="1"/>
  <c r="AI16" i="63"/>
  <c r="AH16" i="63"/>
  <c r="Q16" i="63"/>
  <c r="P16" i="63"/>
  <c r="BB15" i="63"/>
  <c r="BC15" i="63" s="1"/>
  <c r="AZ15" i="63"/>
  <c r="BA15" i="63" s="1"/>
  <c r="AI15" i="63"/>
  <c r="AH15" i="63"/>
  <c r="Q15" i="63"/>
  <c r="P15" i="63"/>
  <c r="BB14" i="63"/>
  <c r="BC14" i="63" s="1"/>
  <c r="AZ14" i="63"/>
  <c r="BA14" i="63" s="1"/>
  <c r="AI14" i="63"/>
  <c r="AH14" i="63"/>
  <c r="Q14" i="63"/>
  <c r="P14" i="63"/>
  <c r="BB13" i="63"/>
  <c r="BC13" i="63" s="1"/>
  <c r="AZ13" i="63"/>
  <c r="BA13" i="63" s="1"/>
  <c r="AI13" i="63"/>
  <c r="AH13" i="63"/>
  <c r="Q13" i="63"/>
  <c r="P13" i="63"/>
  <c r="BB12" i="63"/>
  <c r="BC12" i="63" s="1"/>
  <c r="AZ12" i="63"/>
  <c r="BA12" i="63" s="1"/>
  <c r="AI12" i="63"/>
  <c r="AH12" i="63"/>
  <c r="Q12" i="63"/>
  <c r="P12" i="63"/>
  <c r="BB11" i="63"/>
  <c r="BC11" i="63" s="1"/>
  <c r="AZ11" i="63"/>
  <c r="BA11" i="63" s="1"/>
  <c r="AI11" i="63"/>
  <c r="AH11" i="63"/>
  <c r="Q11" i="63"/>
  <c r="P11" i="63"/>
  <c r="BB10" i="63"/>
  <c r="BC10" i="63" s="1"/>
  <c r="AZ10" i="63"/>
  <c r="BA10" i="63" s="1"/>
  <c r="AI10" i="63"/>
  <c r="AH10" i="63"/>
  <c r="Q10" i="63"/>
  <c r="P10" i="63"/>
  <c r="BB9" i="63"/>
  <c r="BC9" i="63" s="1"/>
  <c r="AZ9" i="63"/>
  <c r="BA9" i="63" s="1"/>
  <c r="AI9" i="63"/>
  <c r="AH9" i="63"/>
  <c r="Q9" i="63"/>
  <c r="P9" i="63"/>
  <c r="BB8" i="63"/>
  <c r="BC8" i="63" s="1"/>
  <c r="AZ8" i="63"/>
  <c r="BA8" i="63" s="1"/>
  <c r="AI8" i="63"/>
  <c r="AH8" i="63"/>
  <c r="Q8" i="63"/>
  <c r="P8" i="63"/>
  <c r="BB7" i="63"/>
  <c r="BC7" i="63" s="1"/>
  <c r="AZ7" i="63"/>
  <c r="BA7" i="63" s="1"/>
  <c r="AI7" i="63"/>
  <c r="AH7" i="63"/>
  <c r="Q7" i="63"/>
  <c r="P7" i="63"/>
  <c r="AY3" i="63"/>
  <c r="AX3" i="63"/>
  <c r="AW3" i="63"/>
  <c r="AV3" i="63"/>
  <c r="AU3" i="63"/>
  <c r="AT3" i="63"/>
  <c r="AS3" i="63"/>
  <c r="AR3" i="63"/>
  <c r="AQ3" i="63"/>
  <c r="AP3" i="63"/>
  <c r="AO3" i="63"/>
  <c r="AN3" i="63"/>
  <c r="AM3" i="63"/>
  <c r="AL3" i="63"/>
  <c r="AG3" i="63"/>
  <c r="AF3" i="63"/>
  <c r="AE3" i="63"/>
  <c r="AD3" i="63"/>
  <c r="AC3" i="63"/>
  <c r="AB3" i="63"/>
  <c r="AA3" i="63"/>
  <c r="Z3" i="63"/>
  <c r="Y3" i="63"/>
  <c r="X3" i="63"/>
  <c r="W3" i="63"/>
  <c r="V3" i="63"/>
  <c r="U3" i="63"/>
  <c r="T3" i="63"/>
  <c r="O3" i="63"/>
  <c r="N3" i="63"/>
  <c r="M3" i="63"/>
  <c r="L3" i="63"/>
  <c r="K3" i="63"/>
  <c r="J3" i="63"/>
  <c r="I3" i="63"/>
  <c r="H3" i="63"/>
  <c r="G3" i="63"/>
  <c r="F3" i="63"/>
  <c r="E3" i="63"/>
  <c r="D3" i="63"/>
  <c r="C3" i="63"/>
  <c r="B3" i="63"/>
  <c r="P7" i="62"/>
  <c r="Q7" i="62"/>
  <c r="P8" i="62"/>
  <c r="Q8" i="62"/>
  <c r="P9" i="62"/>
  <c r="Q9" i="62"/>
  <c r="P10" i="62"/>
  <c r="Q10" i="62"/>
  <c r="P11" i="62"/>
  <c r="Q11" i="62"/>
  <c r="P12" i="62"/>
  <c r="Q12" i="62"/>
  <c r="P13" i="62"/>
  <c r="Q13" i="62"/>
  <c r="P14" i="62"/>
  <c r="Q14" i="62"/>
  <c r="P15" i="62"/>
  <c r="Q15" i="62"/>
  <c r="P16" i="62"/>
  <c r="Q16" i="62"/>
  <c r="P17" i="62"/>
  <c r="Q17" i="62"/>
  <c r="P18" i="62"/>
  <c r="Q18" i="62"/>
  <c r="P19" i="62"/>
  <c r="Q19" i="62"/>
  <c r="P20" i="62"/>
  <c r="Q20" i="62"/>
  <c r="P21" i="62"/>
  <c r="Q21" i="62"/>
  <c r="P22" i="62"/>
  <c r="Q22" i="62"/>
  <c r="P23" i="62"/>
  <c r="Q23" i="62"/>
  <c r="P24" i="62"/>
  <c r="Q24" i="62"/>
  <c r="P25" i="62"/>
  <c r="Q25" i="62"/>
  <c r="P26" i="62"/>
  <c r="Q26" i="62"/>
  <c r="P27" i="62"/>
  <c r="Q27" i="62"/>
  <c r="P28" i="62"/>
  <c r="Q28" i="62"/>
  <c r="P29" i="62"/>
  <c r="Q29" i="62"/>
  <c r="P30" i="62"/>
  <c r="Q30" i="62"/>
  <c r="P31" i="62"/>
  <c r="Q31" i="62"/>
  <c r="P32" i="62"/>
  <c r="Q32" i="62"/>
  <c r="P33" i="62"/>
  <c r="Q33" i="62"/>
  <c r="P34" i="62"/>
  <c r="Q34" i="62"/>
  <c r="P35" i="62"/>
  <c r="Q35" i="62"/>
  <c r="P36" i="62"/>
  <c r="Q36" i="62"/>
  <c r="P37" i="62"/>
  <c r="Q37" i="62"/>
  <c r="P38" i="62"/>
  <c r="Q38" i="62"/>
  <c r="P39" i="62"/>
  <c r="Q39" i="62"/>
  <c r="P40" i="62"/>
  <c r="Q40" i="62"/>
  <c r="P41" i="62"/>
  <c r="Q41" i="62"/>
  <c r="P42" i="62"/>
  <c r="Q42" i="62"/>
  <c r="P43" i="62"/>
  <c r="Q43" i="62"/>
  <c r="P44" i="62"/>
  <c r="Q44" i="62"/>
  <c r="P45" i="62"/>
  <c r="Q45" i="62"/>
  <c r="P46" i="62"/>
  <c r="Q46" i="62"/>
  <c r="P47" i="62"/>
  <c r="Q47" i="62"/>
  <c r="P48" i="62"/>
  <c r="Q48" i="62"/>
  <c r="P49" i="62"/>
  <c r="Q49" i="62"/>
  <c r="P50" i="62"/>
  <c r="Q50" i="62"/>
  <c r="P51" i="62"/>
  <c r="Q51" i="62"/>
  <c r="P52" i="62"/>
  <c r="Q52" i="62"/>
  <c r="P53" i="62"/>
  <c r="Q53" i="62"/>
  <c r="P54" i="62"/>
  <c r="Q54" i="62"/>
  <c r="P55" i="62"/>
  <c r="Q55" i="62"/>
  <c r="P56" i="62"/>
  <c r="Q56" i="62"/>
  <c r="P57" i="62"/>
  <c r="Q57" i="62"/>
  <c r="P58" i="62"/>
  <c r="Q58" i="62"/>
  <c r="P59" i="62"/>
  <c r="Q59" i="62"/>
  <c r="P60" i="62"/>
  <c r="Q60" i="62"/>
  <c r="P61" i="62"/>
  <c r="Q61" i="62"/>
  <c r="P62" i="62"/>
  <c r="Q62" i="62"/>
  <c r="P63" i="62"/>
  <c r="Q63" i="62"/>
  <c r="P64" i="62"/>
  <c r="Q64" i="62"/>
  <c r="P65" i="62"/>
  <c r="Q65" i="62"/>
  <c r="P66" i="62"/>
  <c r="Q66" i="62"/>
  <c r="P67" i="62"/>
  <c r="Q67" i="62"/>
  <c r="P68" i="62"/>
  <c r="Q68" i="62"/>
  <c r="P69" i="62"/>
  <c r="Q69" i="62"/>
  <c r="P70" i="62"/>
  <c r="Q70" i="62"/>
  <c r="P71" i="62"/>
  <c r="Q71" i="62"/>
  <c r="P72" i="62"/>
  <c r="Q72" i="62"/>
  <c r="P73" i="62"/>
  <c r="Q73" i="62"/>
  <c r="P74" i="62"/>
  <c r="Q74" i="62"/>
  <c r="P75" i="62"/>
  <c r="Q75" i="62"/>
  <c r="P76" i="62"/>
  <c r="Q76" i="62"/>
  <c r="P77" i="62"/>
  <c r="Q77" i="62"/>
  <c r="P78" i="62"/>
  <c r="Q78" i="62"/>
  <c r="P79" i="62"/>
  <c r="Q79" i="62"/>
  <c r="P80" i="62"/>
  <c r="Q80" i="62"/>
  <c r="P81" i="62"/>
  <c r="Q81" i="62"/>
  <c r="P82" i="62"/>
  <c r="Q82" i="62"/>
  <c r="P83" i="62"/>
  <c r="Q83" i="62"/>
  <c r="P84" i="62"/>
  <c r="Q84" i="62"/>
  <c r="P85" i="62"/>
  <c r="Q85" i="62"/>
  <c r="P86" i="62"/>
  <c r="Q86" i="62"/>
  <c r="P87" i="62"/>
  <c r="Q87" i="62"/>
  <c r="P88" i="62"/>
  <c r="Q88" i="62"/>
  <c r="P89" i="62"/>
  <c r="Q89" i="62"/>
  <c r="P90" i="62"/>
  <c r="Q90" i="62"/>
  <c r="P91" i="62"/>
  <c r="Q91" i="62"/>
  <c r="P92" i="62"/>
  <c r="Q92" i="62"/>
  <c r="P93" i="62"/>
  <c r="Q93" i="62"/>
  <c r="P94" i="62"/>
  <c r="Q94" i="62"/>
  <c r="P95" i="62"/>
  <c r="Q95" i="62"/>
  <c r="P96" i="62"/>
  <c r="Q96" i="62"/>
  <c r="P97" i="62"/>
  <c r="Q97" i="62"/>
  <c r="P98" i="62"/>
  <c r="Q98" i="62"/>
  <c r="P99" i="62"/>
  <c r="Q99" i="62"/>
  <c r="P100" i="62"/>
  <c r="Q100" i="62"/>
  <c r="P101" i="62"/>
  <c r="Q101" i="62"/>
  <c r="P102" i="62"/>
  <c r="Q102" i="62"/>
  <c r="P103" i="62"/>
  <c r="Q103" i="62"/>
  <c r="P104" i="62"/>
  <c r="Q104" i="62"/>
  <c r="P105" i="62"/>
  <c r="Q105" i="62"/>
  <c r="P106" i="62"/>
  <c r="Q106" i="62"/>
  <c r="P107" i="62"/>
  <c r="Q107" i="62"/>
  <c r="P108" i="62"/>
  <c r="Q108" i="62"/>
  <c r="P109" i="62"/>
  <c r="Q109" i="62"/>
  <c r="P110" i="62"/>
  <c r="Q110" i="62"/>
  <c r="P111" i="62"/>
  <c r="Q111" i="62"/>
  <c r="P112" i="62"/>
  <c r="Q112" i="62"/>
  <c r="P113" i="62"/>
  <c r="Q113" i="62"/>
  <c r="P114" i="62"/>
  <c r="Q114" i="62"/>
  <c r="P115" i="62"/>
  <c r="Q115" i="62"/>
  <c r="P116" i="62"/>
  <c r="Q116" i="62"/>
  <c r="P117" i="62"/>
  <c r="Q117" i="62"/>
  <c r="P118" i="62"/>
  <c r="Q118" i="62"/>
  <c r="P119" i="62"/>
  <c r="Q119" i="62"/>
  <c r="P120" i="62"/>
  <c r="Q120" i="62"/>
  <c r="P121" i="62"/>
  <c r="Q121" i="62"/>
  <c r="P122" i="62"/>
  <c r="Q122" i="62"/>
  <c r="P123" i="62"/>
  <c r="Q123" i="62"/>
  <c r="P124" i="62"/>
  <c r="Q124" i="62"/>
  <c r="P125" i="62"/>
  <c r="Q125" i="62"/>
  <c r="P126" i="62"/>
  <c r="Q126" i="62"/>
  <c r="P127" i="62"/>
  <c r="Q127" i="62"/>
  <c r="P128" i="62"/>
  <c r="Q128" i="62"/>
  <c r="P129" i="62"/>
  <c r="Q129" i="62"/>
  <c r="P130" i="62"/>
  <c r="Q130" i="62"/>
  <c r="P131" i="62"/>
  <c r="Q131" i="62"/>
  <c r="P132" i="62"/>
  <c r="Q132" i="62"/>
  <c r="P133" i="62"/>
  <c r="Q133" i="62"/>
  <c r="P134" i="62"/>
  <c r="Q134" i="62"/>
  <c r="P135" i="62"/>
  <c r="Q135" i="62"/>
  <c r="P136" i="62"/>
  <c r="Q136" i="62"/>
  <c r="P137" i="62"/>
  <c r="Q137" i="62"/>
  <c r="P138" i="62"/>
  <c r="Q138" i="62"/>
  <c r="P139" i="62"/>
  <c r="Q139" i="62"/>
  <c r="P140" i="62"/>
  <c r="Q140" i="62"/>
  <c r="P141" i="62"/>
  <c r="Q141" i="62"/>
  <c r="P142" i="62"/>
  <c r="Q142" i="62"/>
  <c r="P143" i="62"/>
  <c r="Q143" i="62"/>
  <c r="P144" i="62"/>
  <c r="Q144" i="62"/>
  <c r="P145" i="62"/>
  <c r="Q145" i="62"/>
  <c r="P146" i="62"/>
  <c r="Q146" i="62"/>
  <c r="P147" i="62"/>
  <c r="Q147" i="62"/>
  <c r="P148" i="62"/>
  <c r="Q148" i="62"/>
  <c r="P149" i="62"/>
  <c r="Q149" i="62"/>
  <c r="P150" i="62"/>
  <c r="Q150" i="62"/>
  <c r="P151" i="62"/>
  <c r="Q151" i="62"/>
  <c r="P152" i="62"/>
  <c r="Q152" i="62"/>
  <c r="P153" i="62"/>
  <c r="Q153" i="62"/>
  <c r="P154" i="62"/>
  <c r="Q154" i="62"/>
  <c r="P155" i="62"/>
  <c r="Q155" i="62"/>
  <c r="P156" i="62"/>
  <c r="Q156" i="62"/>
  <c r="P157" i="62"/>
  <c r="Q157" i="62"/>
  <c r="P158" i="62"/>
  <c r="Q158" i="62"/>
  <c r="P159" i="62"/>
  <c r="Q159" i="62"/>
  <c r="P160" i="62"/>
  <c r="Q160" i="62"/>
  <c r="P161" i="62"/>
  <c r="Q161" i="62"/>
  <c r="P162" i="62"/>
  <c r="Q162" i="62"/>
  <c r="P163" i="62"/>
  <c r="Q163" i="62"/>
  <c r="P164" i="62"/>
  <c r="Q164" i="62"/>
  <c r="P165" i="62"/>
  <c r="Q165" i="62"/>
  <c r="P166" i="62"/>
  <c r="Q166" i="62"/>
  <c r="P167" i="62"/>
  <c r="Q167" i="62"/>
  <c r="P168" i="62"/>
  <c r="Q168" i="62"/>
  <c r="P169" i="62"/>
  <c r="Q169" i="62"/>
  <c r="P170" i="62"/>
  <c r="Q170" i="62"/>
  <c r="P171" i="62"/>
  <c r="Q171" i="62"/>
  <c r="P172" i="62"/>
  <c r="Q172" i="62"/>
  <c r="P173" i="62"/>
  <c r="Q173" i="62"/>
  <c r="P174" i="62"/>
  <c r="Q174" i="62"/>
  <c r="P175" i="62"/>
  <c r="Q175" i="62"/>
  <c r="P176" i="62"/>
  <c r="Q176" i="62"/>
  <c r="P177" i="62"/>
  <c r="Q177" i="62"/>
  <c r="P178" i="62"/>
  <c r="Q178" i="62"/>
  <c r="P179" i="62"/>
  <c r="Q179" i="62"/>
  <c r="P180" i="62"/>
  <c r="Q180" i="62"/>
  <c r="P181" i="62"/>
  <c r="Q181" i="62"/>
  <c r="P182" i="62"/>
  <c r="Q182" i="62"/>
  <c r="P183" i="62"/>
  <c r="Q183" i="62"/>
  <c r="P184" i="62"/>
  <c r="Q184" i="62"/>
  <c r="P185" i="62"/>
  <c r="Q185" i="62"/>
  <c r="P186" i="62"/>
  <c r="Q186" i="62"/>
  <c r="P187" i="62"/>
  <c r="Q187" i="62"/>
  <c r="P188" i="62"/>
  <c r="Q188" i="62"/>
  <c r="P189" i="62"/>
  <c r="Q189" i="62"/>
  <c r="P190" i="62"/>
  <c r="Q190" i="62"/>
  <c r="P191" i="62"/>
  <c r="Q191" i="62"/>
  <c r="P192" i="62"/>
  <c r="Q192" i="62"/>
  <c r="P193" i="62"/>
  <c r="Q193" i="62"/>
  <c r="P194" i="62"/>
  <c r="Q194" i="62"/>
  <c r="P195" i="62"/>
  <c r="Q195" i="62"/>
  <c r="P196" i="62"/>
  <c r="Q196" i="62"/>
  <c r="P197" i="62"/>
  <c r="Q197" i="62"/>
  <c r="P198" i="62"/>
  <c r="Q198" i="62"/>
  <c r="P199" i="62"/>
  <c r="Q199" i="62"/>
  <c r="P200" i="62"/>
  <c r="Q200" i="62"/>
  <c r="P201" i="62"/>
  <c r="Q201" i="62"/>
  <c r="P202" i="62"/>
  <c r="Q202" i="62"/>
  <c r="P203" i="62"/>
  <c r="Q203" i="62"/>
  <c r="P204" i="62"/>
  <c r="Q204" i="62"/>
  <c r="P205" i="62"/>
  <c r="Q205" i="62"/>
  <c r="P206" i="62"/>
  <c r="Q206" i="62"/>
  <c r="P207" i="62"/>
  <c r="Q207" i="62"/>
  <c r="P208" i="62"/>
  <c r="Q208" i="62"/>
  <c r="P209" i="62"/>
  <c r="Q209" i="62"/>
  <c r="P210" i="62"/>
  <c r="Q210" i="62"/>
  <c r="P211" i="62"/>
  <c r="Q211" i="62"/>
  <c r="P212" i="62"/>
  <c r="Q212" i="62"/>
  <c r="P213" i="62"/>
  <c r="Q213" i="62"/>
  <c r="P214" i="62"/>
  <c r="Q214" i="62"/>
  <c r="P215" i="62"/>
  <c r="Q215" i="62"/>
  <c r="P216" i="62"/>
  <c r="Q216" i="62"/>
  <c r="P217" i="62"/>
  <c r="Q217" i="62"/>
  <c r="P218" i="62"/>
  <c r="Q218" i="62"/>
  <c r="P219" i="62"/>
  <c r="Q219" i="62"/>
  <c r="P220" i="62"/>
  <c r="Q220" i="62"/>
  <c r="P221" i="62"/>
  <c r="Q221" i="62"/>
  <c r="P222" i="62"/>
  <c r="Q222" i="62"/>
  <c r="P223" i="62"/>
  <c r="Q223" i="62"/>
  <c r="P224" i="62"/>
  <c r="Q224" i="62"/>
  <c r="P225" i="62"/>
  <c r="Q225" i="62"/>
  <c r="P226" i="62"/>
  <c r="Q226" i="62"/>
  <c r="P227" i="62"/>
  <c r="Q227" i="62"/>
  <c r="P228" i="62"/>
  <c r="Q228" i="62"/>
  <c r="P229" i="62"/>
  <c r="Q229" i="62"/>
  <c r="P230" i="62"/>
  <c r="Q230" i="62"/>
  <c r="P231" i="62"/>
  <c r="Q231" i="62"/>
  <c r="P232" i="62"/>
  <c r="Q232" i="62"/>
  <c r="P233" i="62"/>
  <c r="Q233" i="62"/>
  <c r="P234" i="62"/>
  <c r="Q234" i="62"/>
  <c r="P235" i="62"/>
  <c r="Q235" i="62"/>
  <c r="P236" i="62"/>
  <c r="Q236" i="62"/>
  <c r="P237" i="62"/>
  <c r="Q237" i="62"/>
  <c r="P238" i="62"/>
  <c r="Q238" i="62"/>
  <c r="P239" i="62"/>
  <c r="Q239" i="62"/>
  <c r="P240" i="62"/>
  <c r="Q240" i="62"/>
  <c r="P241" i="62"/>
  <c r="Q241" i="62"/>
  <c r="P242" i="62"/>
  <c r="Q242" i="62"/>
  <c r="P243" i="62"/>
  <c r="Q243" i="62"/>
  <c r="P244" i="62"/>
  <c r="Q244" i="62"/>
  <c r="P245" i="62"/>
  <c r="Q245" i="62"/>
  <c r="P246" i="62"/>
  <c r="Q246" i="62"/>
  <c r="P247" i="62"/>
  <c r="Q247" i="62"/>
  <c r="P248" i="62"/>
  <c r="Q248" i="62"/>
  <c r="P249" i="62"/>
  <c r="Q249" i="62"/>
  <c r="P250" i="62"/>
  <c r="Q250" i="62"/>
  <c r="P251" i="62"/>
  <c r="Q251" i="62"/>
  <c r="P252" i="62"/>
  <c r="Q252" i="62"/>
  <c r="P253" i="62"/>
  <c r="Q253" i="62"/>
  <c r="P254" i="62"/>
  <c r="Q254" i="62"/>
  <c r="P255" i="62"/>
  <c r="Q255" i="62"/>
  <c r="BB255" i="62" l="1"/>
  <c r="AZ255" i="62"/>
  <c r="AI255" i="62"/>
  <c r="AH255" i="62"/>
  <c r="BB254" i="62"/>
  <c r="AZ254" i="62"/>
  <c r="AI254" i="62"/>
  <c r="AH254" i="62"/>
  <c r="BB253" i="62"/>
  <c r="AZ253" i="62"/>
  <c r="AI253" i="62"/>
  <c r="AH253" i="62"/>
  <c r="BB252" i="62"/>
  <c r="AZ252" i="62"/>
  <c r="AI252" i="62"/>
  <c r="AH252" i="62"/>
  <c r="BB251" i="62"/>
  <c r="AZ251" i="62"/>
  <c r="AI251" i="62"/>
  <c r="AH251" i="62"/>
  <c r="BB250" i="62"/>
  <c r="AZ250" i="62"/>
  <c r="AI250" i="62"/>
  <c r="AH250" i="62"/>
  <c r="BB249" i="62"/>
  <c r="AZ249" i="62"/>
  <c r="AI249" i="62"/>
  <c r="AH249" i="62"/>
  <c r="BB248" i="62"/>
  <c r="AZ248" i="62"/>
  <c r="AI248" i="62"/>
  <c r="AH248" i="62"/>
  <c r="BB247" i="62"/>
  <c r="AZ247" i="62"/>
  <c r="AI247" i="62"/>
  <c r="AH247" i="62"/>
  <c r="BB246" i="62"/>
  <c r="AZ246" i="62"/>
  <c r="AI246" i="62"/>
  <c r="AH246" i="62"/>
  <c r="BB245" i="62"/>
  <c r="AZ245" i="62"/>
  <c r="AI245" i="62"/>
  <c r="AH245" i="62"/>
  <c r="BB244" i="62"/>
  <c r="AZ244" i="62"/>
  <c r="AI244" i="62"/>
  <c r="AH244" i="62"/>
  <c r="BB243" i="62"/>
  <c r="AZ243" i="62"/>
  <c r="AI243" i="62"/>
  <c r="AH243" i="62"/>
  <c r="BB242" i="62"/>
  <c r="AZ242" i="62"/>
  <c r="AI242" i="62"/>
  <c r="AH242" i="62"/>
  <c r="BB241" i="62"/>
  <c r="AZ241" i="62"/>
  <c r="AI241" i="62"/>
  <c r="AH241" i="62"/>
  <c r="BB240" i="62"/>
  <c r="AZ240" i="62"/>
  <c r="AI240" i="62"/>
  <c r="AH240" i="62"/>
  <c r="BB239" i="62"/>
  <c r="AZ239" i="62"/>
  <c r="AI239" i="62"/>
  <c r="AH239" i="62"/>
  <c r="BB238" i="62"/>
  <c r="AZ238" i="62"/>
  <c r="AI238" i="62"/>
  <c r="AH238" i="62"/>
  <c r="BB237" i="62"/>
  <c r="AZ237" i="62"/>
  <c r="AI237" i="62"/>
  <c r="AH237" i="62"/>
  <c r="BB236" i="62"/>
  <c r="AZ236" i="62"/>
  <c r="AI236" i="62"/>
  <c r="AH236" i="62"/>
  <c r="BB235" i="62"/>
  <c r="AZ235" i="62"/>
  <c r="AI235" i="62"/>
  <c r="AH235" i="62"/>
  <c r="BB234" i="62"/>
  <c r="AZ234" i="62"/>
  <c r="AI234" i="62"/>
  <c r="AH234" i="62"/>
  <c r="BB233" i="62"/>
  <c r="AZ233" i="62"/>
  <c r="AI233" i="62"/>
  <c r="AH233" i="62"/>
  <c r="BB232" i="62"/>
  <c r="AZ232" i="62"/>
  <c r="AI232" i="62"/>
  <c r="AH232" i="62"/>
  <c r="BB231" i="62"/>
  <c r="AZ231" i="62"/>
  <c r="AI231" i="62"/>
  <c r="AH231" i="62"/>
  <c r="BB230" i="62"/>
  <c r="AZ230" i="62"/>
  <c r="AI230" i="62"/>
  <c r="AH230" i="62"/>
  <c r="BB229" i="62"/>
  <c r="AZ229" i="62"/>
  <c r="AI229" i="62"/>
  <c r="AH229" i="62"/>
  <c r="BB228" i="62"/>
  <c r="AZ228" i="62"/>
  <c r="AI228" i="62"/>
  <c r="AH228" i="62"/>
  <c r="BB227" i="62"/>
  <c r="AZ227" i="62"/>
  <c r="AI227" i="62"/>
  <c r="AH227" i="62"/>
  <c r="BB226" i="62"/>
  <c r="AZ226" i="62"/>
  <c r="AI226" i="62"/>
  <c r="AH226" i="62"/>
  <c r="BB225" i="62"/>
  <c r="AZ225" i="62"/>
  <c r="AI225" i="62"/>
  <c r="AH225" i="62"/>
  <c r="BB224" i="62"/>
  <c r="AZ224" i="62"/>
  <c r="AI224" i="62"/>
  <c r="AH224" i="62"/>
  <c r="BB223" i="62"/>
  <c r="AZ223" i="62"/>
  <c r="AI223" i="62"/>
  <c r="AH223" i="62"/>
  <c r="BB222" i="62"/>
  <c r="AZ222" i="62"/>
  <c r="AI222" i="62"/>
  <c r="AH222" i="62"/>
  <c r="BB221" i="62"/>
  <c r="AZ221" i="62"/>
  <c r="AI221" i="62"/>
  <c r="AH221" i="62"/>
  <c r="BB220" i="62"/>
  <c r="AZ220" i="62"/>
  <c r="AI220" i="62"/>
  <c r="AH220" i="62"/>
  <c r="BB219" i="62"/>
  <c r="AZ219" i="62"/>
  <c r="AI219" i="62"/>
  <c r="AH219" i="62"/>
  <c r="BB218" i="62"/>
  <c r="AZ218" i="62"/>
  <c r="AI218" i="62"/>
  <c r="AH218" i="62"/>
  <c r="BB217" i="62"/>
  <c r="AZ217" i="62"/>
  <c r="AI217" i="62"/>
  <c r="AH217" i="62"/>
  <c r="BB216" i="62"/>
  <c r="AZ216" i="62"/>
  <c r="AI216" i="62"/>
  <c r="AH216" i="62"/>
  <c r="BB215" i="62"/>
  <c r="AZ215" i="62"/>
  <c r="AI215" i="62"/>
  <c r="AH215" i="62"/>
  <c r="BB214" i="62"/>
  <c r="AZ214" i="62"/>
  <c r="AI214" i="62"/>
  <c r="AH214" i="62"/>
  <c r="BB213" i="62"/>
  <c r="AZ213" i="62"/>
  <c r="AI213" i="62"/>
  <c r="AH213" i="62"/>
  <c r="BB212" i="62"/>
  <c r="AZ212" i="62"/>
  <c r="AI212" i="62"/>
  <c r="AH212" i="62"/>
  <c r="BB211" i="62"/>
  <c r="AZ211" i="62"/>
  <c r="AI211" i="62"/>
  <c r="AH211" i="62"/>
  <c r="BB210" i="62"/>
  <c r="AZ210" i="62"/>
  <c r="AI210" i="62"/>
  <c r="AH210" i="62"/>
  <c r="BB209" i="62"/>
  <c r="AZ209" i="62"/>
  <c r="AI209" i="62"/>
  <c r="AH209" i="62"/>
  <c r="BB208" i="62"/>
  <c r="AZ208" i="62"/>
  <c r="AI208" i="62"/>
  <c r="AH208" i="62"/>
  <c r="BB207" i="62"/>
  <c r="AZ207" i="62"/>
  <c r="AI207" i="62"/>
  <c r="AH207" i="62"/>
  <c r="BB206" i="62"/>
  <c r="AZ206" i="62"/>
  <c r="AI206" i="62"/>
  <c r="AH206" i="62"/>
  <c r="BB205" i="62"/>
  <c r="AZ205" i="62"/>
  <c r="AI205" i="62"/>
  <c r="AH205" i="62"/>
  <c r="BB204" i="62"/>
  <c r="AZ204" i="62"/>
  <c r="AI204" i="62"/>
  <c r="AH204" i="62"/>
  <c r="BB203" i="62"/>
  <c r="AZ203" i="62"/>
  <c r="AI203" i="62"/>
  <c r="AH203" i="62"/>
  <c r="BB202" i="62"/>
  <c r="AZ202" i="62"/>
  <c r="AI202" i="62"/>
  <c r="AH202" i="62"/>
  <c r="BB201" i="62"/>
  <c r="AZ201" i="62"/>
  <c r="AI201" i="62"/>
  <c r="AH201" i="62"/>
  <c r="BB200" i="62"/>
  <c r="AZ200" i="62"/>
  <c r="AI200" i="62"/>
  <c r="AH200" i="62"/>
  <c r="BB199" i="62"/>
  <c r="AZ199" i="62"/>
  <c r="AI199" i="62"/>
  <c r="AH199" i="62"/>
  <c r="BB198" i="62"/>
  <c r="BC198" i="62" s="1"/>
  <c r="AZ198" i="62"/>
  <c r="BA198" i="62" s="1"/>
  <c r="AI198" i="62"/>
  <c r="AH198" i="62"/>
  <c r="BB197" i="62"/>
  <c r="BC197" i="62" s="1"/>
  <c r="AZ197" i="62"/>
  <c r="BA197" i="62" s="1"/>
  <c r="AI197" i="62"/>
  <c r="AH197" i="62"/>
  <c r="BB196" i="62"/>
  <c r="BC196" i="62" s="1"/>
  <c r="AZ196" i="62"/>
  <c r="BA196" i="62" s="1"/>
  <c r="AI196" i="62"/>
  <c r="AH196" i="62"/>
  <c r="BB195" i="62"/>
  <c r="BC195" i="62" s="1"/>
  <c r="AZ195" i="62"/>
  <c r="BA195" i="62" s="1"/>
  <c r="AI195" i="62"/>
  <c r="AH195" i="62"/>
  <c r="BB194" i="62"/>
  <c r="BC194" i="62" s="1"/>
  <c r="AZ194" i="62"/>
  <c r="BA194" i="62" s="1"/>
  <c r="AI194" i="62"/>
  <c r="AH194" i="62"/>
  <c r="BB193" i="62"/>
  <c r="BC193" i="62" s="1"/>
  <c r="AZ193" i="62"/>
  <c r="BA193" i="62" s="1"/>
  <c r="AI193" i="62"/>
  <c r="AH193" i="62"/>
  <c r="BB192" i="62"/>
  <c r="BC192" i="62" s="1"/>
  <c r="AZ192" i="62"/>
  <c r="BA192" i="62" s="1"/>
  <c r="AI192" i="62"/>
  <c r="AH192" i="62"/>
  <c r="BB191" i="62"/>
  <c r="BC191" i="62" s="1"/>
  <c r="AZ191" i="62"/>
  <c r="BA191" i="62" s="1"/>
  <c r="AI191" i="62"/>
  <c r="AH191" i="62"/>
  <c r="BB190" i="62"/>
  <c r="BC190" i="62" s="1"/>
  <c r="AZ190" i="62"/>
  <c r="BA190" i="62" s="1"/>
  <c r="AI190" i="62"/>
  <c r="AH190" i="62"/>
  <c r="BB189" i="62"/>
  <c r="BC189" i="62" s="1"/>
  <c r="AZ189" i="62"/>
  <c r="BA189" i="62" s="1"/>
  <c r="AI189" i="62"/>
  <c r="AH189" i="62"/>
  <c r="BB188" i="62"/>
  <c r="BC188" i="62" s="1"/>
  <c r="AZ188" i="62"/>
  <c r="BA188" i="62" s="1"/>
  <c r="AI188" i="62"/>
  <c r="AH188" i="62"/>
  <c r="BB187" i="62"/>
  <c r="BC187" i="62" s="1"/>
  <c r="AZ187" i="62"/>
  <c r="BA187" i="62" s="1"/>
  <c r="AI187" i="62"/>
  <c r="AH187" i="62"/>
  <c r="BB186" i="62"/>
  <c r="BC186" i="62" s="1"/>
  <c r="AZ186" i="62"/>
  <c r="BA186" i="62" s="1"/>
  <c r="AI186" i="62"/>
  <c r="AH186" i="62"/>
  <c r="BB185" i="62"/>
  <c r="BC185" i="62" s="1"/>
  <c r="AZ185" i="62"/>
  <c r="BA185" i="62" s="1"/>
  <c r="AI185" i="62"/>
  <c r="AH185" i="62"/>
  <c r="BB184" i="62"/>
  <c r="BC184" i="62" s="1"/>
  <c r="AZ184" i="62"/>
  <c r="BA184" i="62" s="1"/>
  <c r="AI184" i="62"/>
  <c r="AH184" i="62"/>
  <c r="BB183" i="62"/>
  <c r="BC183" i="62" s="1"/>
  <c r="AZ183" i="62"/>
  <c r="BA183" i="62" s="1"/>
  <c r="AI183" i="62"/>
  <c r="AH183" i="62"/>
  <c r="BB182" i="62"/>
  <c r="BC182" i="62" s="1"/>
  <c r="AZ182" i="62"/>
  <c r="BA182" i="62" s="1"/>
  <c r="AI182" i="62"/>
  <c r="AH182" i="62"/>
  <c r="BB181" i="62"/>
  <c r="BC181" i="62" s="1"/>
  <c r="AZ181" i="62"/>
  <c r="BA181" i="62" s="1"/>
  <c r="AI181" i="62"/>
  <c r="AH181" i="62"/>
  <c r="BB180" i="62"/>
  <c r="BC180" i="62" s="1"/>
  <c r="AZ180" i="62"/>
  <c r="BA180" i="62" s="1"/>
  <c r="AI180" i="62"/>
  <c r="AH180" i="62"/>
  <c r="BB179" i="62"/>
  <c r="BC179" i="62" s="1"/>
  <c r="AZ179" i="62"/>
  <c r="BA179" i="62" s="1"/>
  <c r="AI179" i="62"/>
  <c r="AH179" i="62"/>
  <c r="BB178" i="62"/>
  <c r="BC178" i="62" s="1"/>
  <c r="AZ178" i="62"/>
  <c r="BA178" i="62" s="1"/>
  <c r="AI178" i="62"/>
  <c r="AH178" i="62"/>
  <c r="BB177" i="62"/>
  <c r="BC177" i="62" s="1"/>
  <c r="AZ177" i="62"/>
  <c r="BA177" i="62" s="1"/>
  <c r="AI177" i="62"/>
  <c r="AH177" i="62"/>
  <c r="BB176" i="62"/>
  <c r="BC176" i="62" s="1"/>
  <c r="AZ176" i="62"/>
  <c r="BA176" i="62" s="1"/>
  <c r="AI176" i="62"/>
  <c r="AH176" i="62"/>
  <c r="BB175" i="62"/>
  <c r="BC175" i="62" s="1"/>
  <c r="AZ175" i="62"/>
  <c r="BA175" i="62" s="1"/>
  <c r="AI175" i="62"/>
  <c r="AH175" i="62"/>
  <c r="BB174" i="62"/>
  <c r="BC174" i="62" s="1"/>
  <c r="AZ174" i="62"/>
  <c r="BA174" i="62" s="1"/>
  <c r="AI174" i="62"/>
  <c r="AH174" i="62"/>
  <c r="BB173" i="62"/>
  <c r="BC173" i="62" s="1"/>
  <c r="AZ173" i="62"/>
  <c r="BA173" i="62" s="1"/>
  <c r="AI173" i="62"/>
  <c r="AH173" i="62"/>
  <c r="BB172" i="62"/>
  <c r="BC172" i="62" s="1"/>
  <c r="AZ172" i="62"/>
  <c r="BA172" i="62" s="1"/>
  <c r="AI172" i="62"/>
  <c r="AH172" i="62"/>
  <c r="BB171" i="62"/>
  <c r="BC171" i="62" s="1"/>
  <c r="AZ171" i="62"/>
  <c r="BA171" i="62" s="1"/>
  <c r="AI171" i="62"/>
  <c r="AH171" i="62"/>
  <c r="BB170" i="62"/>
  <c r="BC170" i="62" s="1"/>
  <c r="AZ170" i="62"/>
  <c r="BA170" i="62" s="1"/>
  <c r="AI170" i="62"/>
  <c r="AH170" i="62"/>
  <c r="BB169" i="62"/>
  <c r="BC169" i="62" s="1"/>
  <c r="AZ169" i="62"/>
  <c r="BA169" i="62" s="1"/>
  <c r="AI169" i="62"/>
  <c r="AH169" i="62"/>
  <c r="BB168" i="62"/>
  <c r="BC168" i="62" s="1"/>
  <c r="AZ168" i="62"/>
  <c r="BA168" i="62" s="1"/>
  <c r="AI168" i="62"/>
  <c r="AH168" i="62"/>
  <c r="BB167" i="62"/>
  <c r="BC167" i="62" s="1"/>
  <c r="AZ167" i="62"/>
  <c r="BA167" i="62" s="1"/>
  <c r="AI167" i="62"/>
  <c r="AH167" i="62"/>
  <c r="BB166" i="62"/>
  <c r="BC166" i="62" s="1"/>
  <c r="AZ166" i="62"/>
  <c r="BA166" i="62" s="1"/>
  <c r="AI166" i="62"/>
  <c r="AH166" i="62"/>
  <c r="BB165" i="62"/>
  <c r="BC165" i="62" s="1"/>
  <c r="AZ165" i="62"/>
  <c r="BA165" i="62" s="1"/>
  <c r="AI165" i="62"/>
  <c r="AH165" i="62"/>
  <c r="BB164" i="62"/>
  <c r="BC164" i="62" s="1"/>
  <c r="AZ164" i="62"/>
  <c r="BA164" i="62" s="1"/>
  <c r="AI164" i="62"/>
  <c r="AH164" i="62"/>
  <c r="BB163" i="62"/>
  <c r="BC163" i="62" s="1"/>
  <c r="AZ163" i="62"/>
  <c r="BA163" i="62" s="1"/>
  <c r="AI163" i="62"/>
  <c r="AH163" i="62"/>
  <c r="BB162" i="62"/>
  <c r="BC162" i="62" s="1"/>
  <c r="AZ162" i="62"/>
  <c r="BA162" i="62" s="1"/>
  <c r="AI162" i="62"/>
  <c r="AH162" i="62"/>
  <c r="BB161" i="62"/>
  <c r="BC161" i="62" s="1"/>
  <c r="AZ161" i="62"/>
  <c r="BA161" i="62" s="1"/>
  <c r="AI161" i="62"/>
  <c r="AH161" i="62"/>
  <c r="BB160" i="62"/>
  <c r="BC160" i="62" s="1"/>
  <c r="AZ160" i="62"/>
  <c r="BA160" i="62" s="1"/>
  <c r="AI160" i="62"/>
  <c r="AH160" i="62"/>
  <c r="BB159" i="62"/>
  <c r="BC159" i="62" s="1"/>
  <c r="AZ159" i="62"/>
  <c r="BA159" i="62" s="1"/>
  <c r="AI159" i="62"/>
  <c r="AH159" i="62"/>
  <c r="BB158" i="62"/>
  <c r="BC158" i="62" s="1"/>
  <c r="AZ158" i="62"/>
  <c r="BA158" i="62" s="1"/>
  <c r="AI158" i="62"/>
  <c r="AH158" i="62"/>
  <c r="BB157" i="62"/>
  <c r="BC157" i="62" s="1"/>
  <c r="AZ157" i="62"/>
  <c r="BA157" i="62" s="1"/>
  <c r="AI157" i="62"/>
  <c r="AH157" i="62"/>
  <c r="BB156" i="62"/>
  <c r="BC156" i="62" s="1"/>
  <c r="AZ156" i="62"/>
  <c r="BA156" i="62" s="1"/>
  <c r="AI156" i="62"/>
  <c r="AH156" i="62"/>
  <c r="BB155" i="62"/>
  <c r="BC155" i="62" s="1"/>
  <c r="AZ155" i="62"/>
  <c r="BA155" i="62" s="1"/>
  <c r="AI155" i="62"/>
  <c r="AH155" i="62"/>
  <c r="BB154" i="62"/>
  <c r="BC154" i="62" s="1"/>
  <c r="AZ154" i="62"/>
  <c r="BA154" i="62" s="1"/>
  <c r="AI154" i="62"/>
  <c r="AH154" i="62"/>
  <c r="BB153" i="62"/>
  <c r="BC153" i="62" s="1"/>
  <c r="AZ153" i="62"/>
  <c r="BA153" i="62" s="1"/>
  <c r="AI153" i="62"/>
  <c r="AH153" i="62"/>
  <c r="BB152" i="62"/>
  <c r="BC152" i="62" s="1"/>
  <c r="AZ152" i="62"/>
  <c r="BA152" i="62" s="1"/>
  <c r="AI152" i="62"/>
  <c r="AH152" i="62"/>
  <c r="BB151" i="62"/>
  <c r="BC151" i="62" s="1"/>
  <c r="AZ151" i="62"/>
  <c r="BA151" i="62" s="1"/>
  <c r="AI151" i="62"/>
  <c r="AH151" i="62"/>
  <c r="BB150" i="62"/>
  <c r="BC150" i="62" s="1"/>
  <c r="AZ150" i="62"/>
  <c r="BA150" i="62" s="1"/>
  <c r="AI150" i="62"/>
  <c r="AH150" i="62"/>
  <c r="BB149" i="62"/>
  <c r="BC149" i="62" s="1"/>
  <c r="AZ149" i="62"/>
  <c r="BA149" i="62" s="1"/>
  <c r="AI149" i="62"/>
  <c r="AH149" i="62"/>
  <c r="BB148" i="62"/>
  <c r="BC148" i="62" s="1"/>
  <c r="AZ148" i="62"/>
  <c r="BA148" i="62" s="1"/>
  <c r="AI148" i="62"/>
  <c r="AH148" i="62"/>
  <c r="BB147" i="62"/>
  <c r="BC147" i="62" s="1"/>
  <c r="AZ147" i="62"/>
  <c r="BA147" i="62" s="1"/>
  <c r="AI147" i="62"/>
  <c r="AH147" i="62"/>
  <c r="BB146" i="62"/>
  <c r="BC146" i="62" s="1"/>
  <c r="AZ146" i="62"/>
  <c r="BA146" i="62" s="1"/>
  <c r="AI146" i="62"/>
  <c r="AH146" i="62"/>
  <c r="BB145" i="62"/>
  <c r="BC145" i="62" s="1"/>
  <c r="AZ145" i="62"/>
  <c r="BA145" i="62" s="1"/>
  <c r="AI145" i="62"/>
  <c r="AH145" i="62"/>
  <c r="BB144" i="62"/>
  <c r="BC144" i="62" s="1"/>
  <c r="AZ144" i="62"/>
  <c r="BA144" i="62" s="1"/>
  <c r="AI144" i="62"/>
  <c r="AH144" i="62"/>
  <c r="BB143" i="62"/>
  <c r="BC143" i="62" s="1"/>
  <c r="AZ143" i="62"/>
  <c r="BA143" i="62" s="1"/>
  <c r="AI143" i="62"/>
  <c r="AH143" i="62"/>
  <c r="BB142" i="62"/>
  <c r="BC142" i="62" s="1"/>
  <c r="AZ142" i="62"/>
  <c r="BA142" i="62" s="1"/>
  <c r="AI142" i="62"/>
  <c r="AH142" i="62"/>
  <c r="BB141" i="62"/>
  <c r="BC141" i="62" s="1"/>
  <c r="AZ141" i="62"/>
  <c r="BA141" i="62" s="1"/>
  <c r="AI141" i="62"/>
  <c r="AH141" i="62"/>
  <c r="BB140" i="62"/>
  <c r="BC140" i="62" s="1"/>
  <c r="AZ140" i="62"/>
  <c r="BA140" i="62" s="1"/>
  <c r="AI140" i="62"/>
  <c r="AH140" i="62"/>
  <c r="BB139" i="62"/>
  <c r="BC139" i="62" s="1"/>
  <c r="AZ139" i="62"/>
  <c r="BA139" i="62" s="1"/>
  <c r="AI139" i="62"/>
  <c r="AH139" i="62"/>
  <c r="BB138" i="62"/>
  <c r="BC138" i="62" s="1"/>
  <c r="AZ138" i="62"/>
  <c r="BA138" i="62" s="1"/>
  <c r="AI138" i="62"/>
  <c r="AH138" i="62"/>
  <c r="BB137" i="62"/>
  <c r="BC137" i="62" s="1"/>
  <c r="AZ137" i="62"/>
  <c r="BA137" i="62" s="1"/>
  <c r="AI137" i="62"/>
  <c r="AH137" i="62"/>
  <c r="BB136" i="62"/>
  <c r="BC136" i="62" s="1"/>
  <c r="AZ136" i="62"/>
  <c r="BA136" i="62" s="1"/>
  <c r="AI136" i="62"/>
  <c r="AH136" i="62"/>
  <c r="BB135" i="62"/>
  <c r="BC135" i="62" s="1"/>
  <c r="AZ135" i="62"/>
  <c r="BA135" i="62" s="1"/>
  <c r="AI135" i="62"/>
  <c r="AH135" i="62"/>
  <c r="BB134" i="62"/>
  <c r="BC134" i="62" s="1"/>
  <c r="AZ134" i="62"/>
  <c r="BA134" i="62" s="1"/>
  <c r="AI134" i="62"/>
  <c r="AH134" i="62"/>
  <c r="BB133" i="62"/>
  <c r="BC133" i="62" s="1"/>
  <c r="AZ133" i="62"/>
  <c r="BA133" i="62" s="1"/>
  <c r="AI133" i="62"/>
  <c r="AH133" i="62"/>
  <c r="BB132" i="62"/>
  <c r="BC132" i="62" s="1"/>
  <c r="AZ132" i="62"/>
  <c r="BA132" i="62" s="1"/>
  <c r="AI132" i="62"/>
  <c r="AH132" i="62"/>
  <c r="BB131" i="62"/>
  <c r="BC131" i="62" s="1"/>
  <c r="AZ131" i="62"/>
  <c r="BA131" i="62" s="1"/>
  <c r="AI131" i="62"/>
  <c r="AH131" i="62"/>
  <c r="BB130" i="62"/>
  <c r="BC130" i="62" s="1"/>
  <c r="AZ130" i="62"/>
  <c r="BA130" i="62" s="1"/>
  <c r="AI130" i="62"/>
  <c r="AH130" i="62"/>
  <c r="BB129" i="62"/>
  <c r="BC129" i="62" s="1"/>
  <c r="AZ129" i="62"/>
  <c r="BA129" i="62" s="1"/>
  <c r="AI129" i="62"/>
  <c r="AH129" i="62"/>
  <c r="BB128" i="62"/>
  <c r="BC128" i="62" s="1"/>
  <c r="AZ128" i="62"/>
  <c r="BA128" i="62" s="1"/>
  <c r="AI128" i="62"/>
  <c r="AH128" i="62"/>
  <c r="BB127" i="62"/>
  <c r="BC127" i="62" s="1"/>
  <c r="AZ127" i="62"/>
  <c r="BA127" i="62" s="1"/>
  <c r="AI127" i="62"/>
  <c r="AH127" i="62"/>
  <c r="BB126" i="62"/>
  <c r="BC126" i="62" s="1"/>
  <c r="AZ126" i="62"/>
  <c r="BA126" i="62" s="1"/>
  <c r="AI126" i="62"/>
  <c r="AH126" i="62"/>
  <c r="BB125" i="62"/>
  <c r="BC125" i="62" s="1"/>
  <c r="AZ125" i="62"/>
  <c r="BA125" i="62" s="1"/>
  <c r="AI125" i="62"/>
  <c r="AH125" i="62"/>
  <c r="BB124" i="62"/>
  <c r="BC124" i="62" s="1"/>
  <c r="AZ124" i="62"/>
  <c r="BA124" i="62" s="1"/>
  <c r="AI124" i="62"/>
  <c r="AH124" i="62"/>
  <c r="BB123" i="62"/>
  <c r="BC123" i="62" s="1"/>
  <c r="AZ123" i="62"/>
  <c r="BA123" i="62" s="1"/>
  <c r="AI123" i="62"/>
  <c r="AH123" i="62"/>
  <c r="BB122" i="62"/>
  <c r="BC122" i="62" s="1"/>
  <c r="AZ122" i="62"/>
  <c r="BA122" i="62" s="1"/>
  <c r="AI122" i="62"/>
  <c r="AH122" i="62"/>
  <c r="BB121" i="62"/>
  <c r="BC121" i="62" s="1"/>
  <c r="AZ121" i="62"/>
  <c r="BA121" i="62" s="1"/>
  <c r="AI121" i="62"/>
  <c r="AH121" i="62"/>
  <c r="BB120" i="62"/>
  <c r="BC120" i="62" s="1"/>
  <c r="AZ120" i="62"/>
  <c r="BA120" i="62" s="1"/>
  <c r="AI120" i="62"/>
  <c r="AH120" i="62"/>
  <c r="BB119" i="62"/>
  <c r="BC119" i="62" s="1"/>
  <c r="AZ119" i="62"/>
  <c r="BA119" i="62" s="1"/>
  <c r="AI119" i="62"/>
  <c r="AH119" i="62"/>
  <c r="BB118" i="62"/>
  <c r="BC118" i="62" s="1"/>
  <c r="AZ118" i="62"/>
  <c r="BA118" i="62" s="1"/>
  <c r="AI118" i="62"/>
  <c r="AH118" i="62"/>
  <c r="BB117" i="62"/>
  <c r="BC117" i="62" s="1"/>
  <c r="AZ117" i="62"/>
  <c r="BA117" i="62" s="1"/>
  <c r="AI117" i="62"/>
  <c r="AH117" i="62"/>
  <c r="BB116" i="62"/>
  <c r="BC116" i="62" s="1"/>
  <c r="AZ116" i="62"/>
  <c r="BA116" i="62" s="1"/>
  <c r="AI116" i="62"/>
  <c r="AH116" i="62"/>
  <c r="BB115" i="62"/>
  <c r="BC115" i="62" s="1"/>
  <c r="AZ115" i="62"/>
  <c r="BA115" i="62" s="1"/>
  <c r="AI115" i="62"/>
  <c r="AH115" i="62"/>
  <c r="BB114" i="62"/>
  <c r="BC114" i="62" s="1"/>
  <c r="AZ114" i="62"/>
  <c r="BA114" i="62" s="1"/>
  <c r="AI114" i="62"/>
  <c r="AH114" i="62"/>
  <c r="BB113" i="62"/>
  <c r="BC113" i="62" s="1"/>
  <c r="AZ113" i="62"/>
  <c r="BA113" i="62" s="1"/>
  <c r="AI113" i="62"/>
  <c r="AH113" i="62"/>
  <c r="BB112" i="62"/>
  <c r="BC112" i="62" s="1"/>
  <c r="AZ112" i="62"/>
  <c r="BA112" i="62" s="1"/>
  <c r="AI112" i="62"/>
  <c r="AH112" i="62"/>
  <c r="BB111" i="62"/>
  <c r="BC111" i="62" s="1"/>
  <c r="AZ111" i="62"/>
  <c r="BA111" i="62" s="1"/>
  <c r="AI111" i="62"/>
  <c r="AH111" i="62"/>
  <c r="BB110" i="62"/>
  <c r="BC110" i="62" s="1"/>
  <c r="AZ110" i="62"/>
  <c r="BA110" i="62" s="1"/>
  <c r="AI110" i="62"/>
  <c r="AH110" i="62"/>
  <c r="BB109" i="62"/>
  <c r="BC109" i="62" s="1"/>
  <c r="AZ109" i="62"/>
  <c r="BA109" i="62" s="1"/>
  <c r="AI109" i="62"/>
  <c r="AH109" i="62"/>
  <c r="BB108" i="62"/>
  <c r="BC108" i="62" s="1"/>
  <c r="AZ108" i="62"/>
  <c r="BA108" i="62" s="1"/>
  <c r="AI108" i="62"/>
  <c r="AH108" i="62"/>
  <c r="BB107" i="62"/>
  <c r="BC107" i="62" s="1"/>
  <c r="AZ107" i="62"/>
  <c r="BA107" i="62" s="1"/>
  <c r="AI107" i="62"/>
  <c r="AH107" i="62"/>
  <c r="BB106" i="62"/>
  <c r="BC106" i="62" s="1"/>
  <c r="AZ106" i="62"/>
  <c r="BA106" i="62" s="1"/>
  <c r="AI106" i="62"/>
  <c r="AH106" i="62"/>
  <c r="BB105" i="62"/>
  <c r="BC105" i="62" s="1"/>
  <c r="AZ105" i="62"/>
  <c r="BA105" i="62" s="1"/>
  <c r="AI105" i="62"/>
  <c r="AH105" i="62"/>
  <c r="BB104" i="62"/>
  <c r="BC104" i="62" s="1"/>
  <c r="AZ104" i="62"/>
  <c r="BA104" i="62" s="1"/>
  <c r="AI104" i="62"/>
  <c r="AH104" i="62"/>
  <c r="BB103" i="62"/>
  <c r="BC103" i="62" s="1"/>
  <c r="AZ103" i="62"/>
  <c r="BA103" i="62" s="1"/>
  <c r="AI103" i="62"/>
  <c r="AH103" i="62"/>
  <c r="BB102" i="62"/>
  <c r="BC102" i="62" s="1"/>
  <c r="AZ102" i="62"/>
  <c r="BA102" i="62" s="1"/>
  <c r="AI102" i="62"/>
  <c r="AH102" i="62"/>
  <c r="BB101" i="62"/>
  <c r="BC101" i="62" s="1"/>
  <c r="AZ101" i="62"/>
  <c r="BA101" i="62" s="1"/>
  <c r="AI101" i="62"/>
  <c r="AH101" i="62"/>
  <c r="BB100" i="62"/>
  <c r="BC100" i="62" s="1"/>
  <c r="AZ100" i="62"/>
  <c r="BA100" i="62" s="1"/>
  <c r="AI100" i="62"/>
  <c r="AH100" i="62"/>
  <c r="BB99" i="62"/>
  <c r="BC99" i="62" s="1"/>
  <c r="AZ99" i="62"/>
  <c r="BA99" i="62" s="1"/>
  <c r="AI99" i="62"/>
  <c r="AH99" i="62"/>
  <c r="BB98" i="62"/>
  <c r="BC98" i="62" s="1"/>
  <c r="AZ98" i="62"/>
  <c r="BA98" i="62" s="1"/>
  <c r="AI98" i="62"/>
  <c r="AH98" i="62"/>
  <c r="BB97" i="62"/>
  <c r="BC97" i="62" s="1"/>
  <c r="AZ97" i="62"/>
  <c r="BA97" i="62" s="1"/>
  <c r="AI97" i="62"/>
  <c r="AH97" i="62"/>
  <c r="BB96" i="62"/>
  <c r="BC96" i="62" s="1"/>
  <c r="AZ96" i="62"/>
  <c r="BA96" i="62" s="1"/>
  <c r="AI96" i="62"/>
  <c r="AH96" i="62"/>
  <c r="BB95" i="62"/>
  <c r="BC95" i="62" s="1"/>
  <c r="AZ95" i="62"/>
  <c r="BA95" i="62" s="1"/>
  <c r="AI95" i="62"/>
  <c r="AH95" i="62"/>
  <c r="BB94" i="62"/>
  <c r="BC94" i="62" s="1"/>
  <c r="AZ94" i="62"/>
  <c r="BA94" i="62" s="1"/>
  <c r="AI94" i="62"/>
  <c r="AH94" i="62"/>
  <c r="BB93" i="62"/>
  <c r="BC93" i="62" s="1"/>
  <c r="AZ93" i="62"/>
  <c r="BA93" i="62" s="1"/>
  <c r="AI93" i="62"/>
  <c r="AH93" i="62"/>
  <c r="BB92" i="62"/>
  <c r="BC92" i="62" s="1"/>
  <c r="AZ92" i="62"/>
  <c r="BA92" i="62" s="1"/>
  <c r="AI92" i="62"/>
  <c r="AH92" i="62"/>
  <c r="BB91" i="62"/>
  <c r="BC91" i="62" s="1"/>
  <c r="AZ91" i="62"/>
  <c r="BA91" i="62" s="1"/>
  <c r="AI91" i="62"/>
  <c r="AH91" i="62"/>
  <c r="BB90" i="62"/>
  <c r="BC90" i="62" s="1"/>
  <c r="AZ90" i="62"/>
  <c r="BA90" i="62" s="1"/>
  <c r="AI90" i="62"/>
  <c r="AH90" i="62"/>
  <c r="BB89" i="62"/>
  <c r="BC89" i="62" s="1"/>
  <c r="AZ89" i="62"/>
  <c r="BA89" i="62" s="1"/>
  <c r="AI89" i="62"/>
  <c r="AH89" i="62"/>
  <c r="BB88" i="62"/>
  <c r="BC88" i="62" s="1"/>
  <c r="AZ88" i="62"/>
  <c r="BA88" i="62" s="1"/>
  <c r="AI88" i="62"/>
  <c r="AH88" i="62"/>
  <c r="BB87" i="62"/>
  <c r="BC87" i="62" s="1"/>
  <c r="AZ87" i="62"/>
  <c r="BA87" i="62" s="1"/>
  <c r="AI87" i="62"/>
  <c r="AH87" i="62"/>
  <c r="BB86" i="62"/>
  <c r="BC86" i="62" s="1"/>
  <c r="AZ86" i="62"/>
  <c r="BA86" i="62" s="1"/>
  <c r="AI86" i="62"/>
  <c r="AH86" i="62"/>
  <c r="BB85" i="62"/>
  <c r="BC85" i="62" s="1"/>
  <c r="AZ85" i="62"/>
  <c r="BA85" i="62" s="1"/>
  <c r="AI85" i="62"/>
  <c r="AH85" i="62"/>
  <c r="BB84" i="62"/>
  <c r="BC84" i="62" s="1"/>
  <c r="AZ84" i="62"/>
  <c r="BA84" i="62" s="1"/>
  <c r="AI84" i="62"/>
  <c r="AH84" i="62"/>
  <c r="BB83" i="62"/>
  <c r="BC83" i="62" s="1"/>
  <c r="AZ83" i="62"/>
  <c r="BA83" i="62" s="1"/>
  <c r="AI83" i="62"/>
  <c r="AH83" i="62"/>
  <c r="BB82" i="62"/>
  <c r="BC82" i="62" s="1"/>
  <c r="AZ82" i="62"/>
  <c r="BA82" i="62" s="1"/>
  <c r="AI82" i="62"/>
  <c r="AH82" i="62"/>
  <c r="BB81" i="62"/>
  <c r="BC81" i="62" s="1"/>
  <c r="AZ81" i="62"/>
  <c r="BA81" i="62" s="1"/>
  <c r="AI81" i="62"/>
  <c r="AH81" i="62"/>
  <c r="BB80" i="62"/>
  <c r="BC80" i="62" s="1"/>
  <c r="AZ80" i="62"/>
  <c r="BA80" i="62" s="1"/>
  <c r="AI80" i="62"/>
  <c r="AH80" i="62"/>
  <c r="BB79" i="62"/>
  <c r="BC79" i="62" s="1"/>
  <c r="AZ79" i="62"/>
  <c r="BA79" i="62" s="1"/>
  <c r="AI79" i="62"/>
  <c r="AH79" i="62"/>
  <c r="BB78" i="62"/>
  <c r="BC78" i="62" s="1"/>
  <c r="AZ78" i="62"/>
  <c r="BA78" i="62" s="1"/>
  <c r="AI78" i="62"/>
  <c r="AH78" i="62"/>
  <c r="BB77" i="62"/>
  <c r="BC77" i="62" s="1"/>
  <c r="AZ77" i="62"/>
  <c r="BA77" i="62" s="1"/>
  <c r="AI77" i="62"/>
  <c r="AH77" i="62"/>
  <c r="BB76" i="62"/>
  <c r="BC76" i="62" s="1"/>
  <c r="AZ76" i="62"/>
  <c r="BA76" i="62" s="1"/>
  <c r="AI76" i="62"/>
  <c r="AH76" i="62"/>
  <c r="BB75" i="62"/>
  <c r="BC75" i="62" s="1"/>
  <c r="AZ75" i="62"/>
  <c r="BA75" i="62" s="1"/>
  <c r="AI75" i="62"/>
  <c r="AH75" i="62"/>
  <c r="BB74" i="62"/>
  <c r="BC74" i="62" s="1"/>
  <c r="AZ74" i="62"/>
  <c r="BA74" i="62" s="1"/>
  <c r="AI74" i="62"/>
  <c r="AH74" i="62"/>
  <c r="BB73" i="62"/>
  <c r="BC73" i="62" s="1"/>
  <c r="AZ73" i="62"/>
  <c r="BA73" i="62" s="1"/>
  <c r="AI73" i="62"/>
  <c r="AH73" i="62"/>
  <c r="BB72" i="62"/>
  <c r="BC72" i="62" s="1"/>
  <c r="AZ72" i="62"/>
  <c r="BA72" i="62" s="1"/>
  <c r="AI72" i="62"/>
  <c r="AH72" i="62"/>
  <c r="BB71" i="62"/>
  <c r="BC71" i="62" s="1"/>
  <c r="AZ71" i="62"/>
  <c r="BA71" i="62" s="1"/>
  <c r="AI71" i="62"/>
  <c r="AH71" i="62"/>
  <c r="BB70" i="62"/>
  <c r="BC70" i="62" s="1"/>
  <c r="AZ70" i="62"/>
  <c r="BA70" i="62" s="1"/>
  <c r="AI70" i="62"/>
  <c r="AH70" i="62"/>
  <c r="BB69" i="62"/>
  <c r="BC69" i="62" s="1"/>
  <c r="AZ69" i="62"/>
  <c r="BA69" i="62" s="1"/>
  <c r="AI69" i="62"/>
  <c r="AH69" i="62"/>
  <c r="BB68" i="62"/>
  <c r="BC68" i="62" s="1"/>
  <c r="AZ68" i="62"/>
  <c r="BA68" i="62" s="1"/>
  <c r="AI68" i="62"/>
  <c r="AH68" i="62"/>
  <c r="BB67" i="62"/>
  <c r="BC67" i="62" s="1"/>
  <c r="AZ67" i="62"/>
  <c r="BA67" i="62" s="1"/>
  <c r="AI67" i="62"/>
  <c r="AH67" i="62"/>
  <c r="BB66" i="62"/>
  <c r="BC66" i="62" s="1"/>
  <c r="AZ66" i="62"/>
  <c r="BA66" i="62" s="1"/>
  <c r="AI66" i="62"/>
  <c r="AH66" i="62"/>
  <c r="BB65" i="62"/>
  <c r="BC65" i="62" s="1"/>
  <c r="AZ65" i="62"/>
  <c r="BA65" i="62" s="1"/>
  <c r="AI65" i="62"/>
  <c r="AH65" i="62"/>
  <c r="BB64" i="62"/>
  <c r="BC64" i="62" s="1"/>
  <c r="AZ64" i="62"/>
  <c r="BA64" i="62" s="1"/>
  <c r="AI64" i="62"/>
  <c r="AH64" i="62"/>
  <c r="BB63" i="62"/>
  <c r="BC63" i="62" s="1"/>
  <c r="AZ63" i="62"/>
  <c r="BA63" i="62" s="1"/>
  <c r="AI63" i="62"/>
  <c r="AH63" i="62"/>
  <c r="BB62" i="62"/>
  <c r="BC62" i="62" s="1"/>
  <c r="AZ62" i="62"/>
  <c r="BA62" i="62" s="1"/>
  <c r="AI62" i="62"/>
  <c r="AH62" i="62"/>
  <c r="BB61" i="62"/>
  <c r="BC61" i="62" s="1"/>
  <c r="AZ61" i="62"/>
  <c r="BA61" i="62" s="1"/>
  <c r="AI61" i="62"/>
  <c r="AH61" i="62"/>
  <c r="BB60" i="62"/>
  <c r="BC60" i="62" s="1"/>
  <c r="AZ60" i="62"/>
  <c r="BA60" i="62" s="1"/>
  <c r="AI60" i="62"/>
  <c r="AH60" i="62"/>
  <c r="BB59" i="62"/>
  <c r="BC59" i="62" s="1"/>
  <c r="AZ59" i="62"/>
  <c r="BA59" i="62" s="1"/>
  <c r="AI59" i="62"/>
  <c r="AH59" i="62"/>
  <c r="BB58" i="62"/>
  <c r="BC58" i="62" s="1"/>
  <c r="AZ58" i="62"/>
  <c r="BA58" i="62" s="1"/>
  <c r="AI58" i="62"/>
  <c r="AH58" i="62"/>
  <c r="BB57" i="62"/>
  <c r="BC57" i="62" s="1"/>
  <c r="AZ57" i="62"/>
  <c r="BA57" i="62" s="1"/>
  <c r="AI57" i="62"/>
  <c r="AH57" i="62"/>
  <c r="BB56" i="62"/>
  <c r="BC56" i="62" s="1"/>
  <c r="AZ56" i="62"/>
  <c r="BA56" i="62" s="1"/>
  <c r="AI56" i="62"/>
  <c r="AH56" i="62"/>
  <c r="BB55" i="62"/>
  <c r="BC55" i="62" s="1"/>
  <c r="AZ55" i="62"/>
  <c r="BA55" i="62" s="1"/>
  <c r="AI55" i="62"/>
  <c r="AH55" i="62"/>
  <c r="BB54" i="62"/>
  <c r="BC54" i="62" s="1"/>
  <c r="AZ54" i="62"/>
  <c r="BA54" i="62" s="1"/>
  <c r="AI54" i="62"/>
  <c r="AH54" i="62"/>
  <c r="BB53" i="62"/>
  <c r="BC53" i="62" s="1"/>
  <c r="AZ53" i="62"/>
  <c r="BA53" i="62" s="1"/>
  <c r="AI53" i="62"/>
  <c r="AH53" i="62"/>
  <c r="BB52" i="62"/>
  <c r="BC52" i="62" s="1"/>
  <c r="AZ52" i="62"/>
  <c r="BA52" i="62" s="1"/>
  <c r="AI52" i="62"/>
  <c r="AH52" i="62"/>
  <c r="BB51" i="62"/>
  <c r="BC51" i="62" s="1"/>
  <c r="AZ51" i="62"/>
  <c r="BA51" i="62" s="1"/>
  <c r="AI51" i="62"/>
  <c r="AH51" i="62"/>
  <c r="BB50" i="62"/>
  <c r="BC50" i="62" s="1"/>
  <c r="AZ50" i="62"/>
  <c r="BA50" i="62" s="1"/>
  <c r="AI50" i="62"/>
  <c r="AH50" i="62"/>
  <c r="BB49" i="62"/>
  <c r="BC49" i="62" s="1"/>
  <c r="AZ49" i="62"/>
  <c r="BA49" i="62" s="1"/>
  <c r="AI49" i="62"/>
  <c r="AH49" i="62"/>
  <c r="BB48" i="62"/>
  <c r="BC48" i="62" s="1"/>
  <c r="AZ48" i="62"/>
  <c r="BA48" i="62" s="1"/>
  <c r="AI48" i="62"/>
  <c r="AH48" i="62"/>
  <c r="BB47" i="62"/>
  <c r="BC47" i="62" s="1"/>
  <c r="AZ47" i="62"/>
  <c r="BA47" i="62" s="1"/>
  <c r="AI47" i="62"/>
  <c r="AH47" i="62"/>
  <c r="BB46" i="62"/>
  <c r="BC46" i="62" s="1"/>
  <c r="AZ46" i="62"/>
  <c r="BA46" i="62" s="1"/>
  <c r="AI46" i="62"/>
  <c r="AH46" i="62"/>
  <c r="BB45" i="62"/>
  <c r="BC45" i="62" s="1"/>
  <c r="AZ45" i="62"/>
  <c r="BA45" i="62" s="1"/>
  <c r="AI45" i="62"/>
  <c r="AH45" i="62"/>
  <c r="BB44" i="62"/>
  <c r="BC44" i="62" s="1"/>
  <c r="AZ44" i="62"/>
  <c r="BA44" i="62" s="1"/>
  <c r="AI44" i="62"/>
  <c r="AH44" i="62"/>
  <c r="BB43" i="62"/>
  <c r="BC43" i="62" s="1"/>
  <c r="AZ43" i="62"/>
  <c r="BA43" i="62" s="1"/>
  <c r="AI43" i="62"/>
  <c r="AH43" i="62"/>
  <c r="BB42" i="62"/>
  <c r="BC42" i="62" s="1"/>
  <c r="AZ42" i="62"/>
  <c r="BA42" i="62" s="1"/>
  <c r="AI42" i="62"/>
  <c r="AH42" i="62"/>
  <c r="BB41" i="62"/>
  <c r="BC41" i="62" s="1"/>
  <c r="AZ41" i="62"/>
  <c r="BA41" i="62" s="1"/>
  <c r="AI41" i="62"/>
  <c r="AH41" i="62"/>
  <c r="BB40" i="62"/>
  <c r="BC40" i="62" s="1"/>
  <c r="AZ40" i="62"/>
  <c r="BA40" i="62" s="1"/>
  <c r="AI40" i="62"/>
  <c r="AH40" i="62"/>
  <c r="BB39" i="62"/>
  <c r="BC39" i="62" s="1"/>
  <c r="AZ39" i="62"/>
  <c r="BA39" i="62" s="1"/>
  <c r="AI39" i="62"/>
  <c r="AH39" i="62"/>
  <c r="BB38" i="62"/>
  <c r="BC38" i="62" s="1"/>
  <c r="AZ38" i="62"/>
  <c r="BA38" i="62" s="1"/>
  <c r="AI38" i="62"/>
  <c r="AH38" i="62"/>
  <c r="BB37" i="62"/>
  <c r="BC37" i="62" s="1"/>
  <c r="AZ37" i="62"/>
  <c r="BA37" i="62" s="1"/>
  <c r="AI37" i="62"/>
  <c r="AH37" i="62"/>
  <c r="BB36" i="62"/>
  <c r="BC36" i="62" s="1"/>
  <c r="AZ36" i="62"/>
  <c r="BA36" i="62" s="1"/>
  <c r="AI36" i="62"/>
  <c r="AH36" i="62"/>
  <c r="BB35" i="62"/>
  <c r="BC35" i="62" s="1"/>
  <c r="AZ35" i="62"/>
  <c r="BA35" i="62" s="1"/>
  <c r="AI35" i="62"/>
  <c r="AH35" i="62"/>
  <c r="BB34" i="62"/>
  <c r="BC34" i="62" s="1"/>
  <c r="AZ34" i="62"/>
  <c r="BA34" i="62" s="1"/>
  <c r="AI34" i="62"/>
  <c r="AH34" i="62"/>
  <c r="BB33" i="62"/>
  <c r="BC33" i="62" s="1"/>
  <c r="AZ33" i="62"/>
  <c r="BA33" i="62" s="1"/>
  <c r="AI33" i="62"/>
  <c r="AH33" i="62"/>
  <c r="BB32" i="62"/>
  <c r="BC32" i="62" s="1"/>
  <c r="AZ32" i="62"/>
  <c r="BA32" i="62" s="1"/>
  <c r="AI32" i="62"/>
  <c r="AH32" i="62"/>
  <c r="BB31" i="62"/>
  <c r="BC31" i="62" s="1"/>
  <c r="AZ31" i="62"/>
  <c r="BA31" i="62" s="1"/>
  <c r="AI31" i="62"/>
  <c r="AH31" i="62"/>
  <c r="BB30" i="62"/>
  <c r="BC30" i="62" s="1"/>
  <c r="AZ30" i="62"/>
  <c r="BA30" i="62" s="1"/>
  <c r="AI30" i="62"/>
  <c r="AH30" i="62"/>
  <c r="BB29" i="62"/>
  <c r="BC29" i="62" s="1"/>
  <c r="AZ29" i="62"/>
  <c r="BA29" i="62" s="1"/>
  <c r="AI29" i="62"/>
  <c r="AH29" i="62"/>
  <c r="BB28" i="62"/>
  <c r="BC28" i="62" s="1"/>
  <c r="AZ28" i="62"/>
  <c r="BA28" i="62" s="1"/>
  <c r="AI28" i="62"/>
  <c r="AH28" i="62"/>
  <c r="BB27" i="62"/>
  <c r="BC27" i="62" s="1"/>
  <c r="AZ27" i="62"/>
  <c r="BA27" i="62" s="1"/>
  <c r="AI27" i="62"/>
  <c r="AH27" i="62"/>
  <c r="BB26" i="62"/>
  <c r="BC26" i="62" s="1"/>
  <c r="AZ26" i="62"/>
  <c r="BA26" i="62" s="1"/>
  <c r="AI26" i="62"/>
  <c r="AH26" i="62"/>
  <c r="BB25" i="62"/>
  <c r="BC25" i="62" s="1"/>
  <c r="AZ25" i="62"/>
  <c r="BA25" i="62" s="1"/>
  <c r="AI25" i="62"/>
  <c r="AH25" i="62"/>
  <c r="BB24" i="62"/>
  <c r="BC24" i="62" s="1"/>
  <c r="AZ24" i="62"/>
  <c r="BA24" i="62" s="1"/>
  <c r="AI24" i="62"/>
  <c r="AH24" i="62"/>
  <c r="BB23" i="62"/>
  <c r="BC23" i="62" s="1"/>
  <c r="AZ23" i="62"/>
  <c r="BA23" i="62" s="1"/>
  <c r="AI23" i="62"/>
  <c r="AH23" i="62"/>
  <c r="BB22" i="62"/>
  <c r="BC22" i="62" s="1"/>
  <c r="AZ22" i="62"/>
  <c r="BA22" i="62" s="1"/>
  <c r="AI22" i="62"/>
  <c r="AH22" i="62"/>
  <c r="BB21" i="62"/>
  <c r="BC21" i="62" s="1"/>
  <c r="AZ21" i="62"/>
  <c r="BA21" i="62" s="1"/>
  <c r="AI21" i="62"/>
  <c r="AH21" i="62"/>
  <c r="BB20" i="62"/>
  <c r="BC20" i="62" s="1"/>
  <c r="AZ20" i="62"/>
  <c r="BA20" i="62" s="1"/>
  <c r="AI20" i="62"/>
  <c r="AH20" i="62"/>
  <c r="BB19" i="62"/>
  <c r="BC19" i="62" s="1"/>
  <c r="AZ19" i="62"/>
  <c r="BA19" i="62" s="1"/>
  <c r="AI19" i="62"/>
  <c r="AH19" i="62"/>
  <c r="BB18" i="62"/>
  <c r="BC18" i="62" s="1"/>
  <c r="AZ18" i="62"/>
  <c r="BA18" i="62" s="1"/>
  <c r="AI18" i="62"/>
  <c r="AH18" i="62"/>
  <c r="BB17" i="62"/>
  <c r="BC17" i="62" s="1"/>
  <c r="AZ17" i="62"/>
  <c r="BA17" i="62" s="1"/>
  <c r="AI17" i="62"/>
  <c r="AH17" i="62"/>
  <c r="BB16" i="62"/>
  <c r="BC16" i="62" s="1"/>
  <c r="AZ16" i="62"/>
  <c r="BA16" i="62" s="1"/>
  <c r="AI16" i="62"/>
  <c r="AH16" i="62"/>
  <c r="BB15" i="62"/>
  <c r="BC15" i="62" s="1"/>
  <c r="AZ15" i="62"/>
  <c r="BA15" i="62" s="1"/>
  <c r="AI15" i="62"/>
  <c r="AH15" i="62"/>
  <c r="BB14" i="62"/>
  <c r="BC14" i="62" s="1"/>
  <c r="AZ14" i="62"/>
  <c r="BA14" i="62" s="1"/>
  <c r="AI14" i="62"/>
  <c r="AH14" i="62"/>
  <c r="BB13" i="62"/>
  <c r="BC13" i="62" s="1"/>
  <c r="AZ13" i="62"/>
  <c r="BA13" i="62" s="1"/>
  <c r="AI13" i="62"/>
  <c r="AH13" i="62"/>
  <c r="BB12" i="62"/>
  <c r="BC12" i="62" s="1"/>
  <c r="AZ12" i="62"/>
  <c r="BA12" i="62" s="1"/>
  <c r="AI12" i="62"/>
  <c r="AH12" i="62"/>
  <c r="BB11" i="62"/>
  <c r="BC11" i="62" s="1"/>
  <c r="AZ11" i="62"/>
  <c r="BA11" i="62" s="1"/>
  <c r="AI11" i="62"/>
  <c r="AH11" i="62"/>
  <c r="BB10" i="62"/>
  <c r="BC10" i="62" s="1"/>
  <c r="AZ10" i="62"/>
  <c r="BA10" i="62" s="1"/>
  <c r="AI10" i="62"/>
  <c r="AH10" i="62"/>
  <c r="BB9" i="62"/>
  <c r="BC9" i="62" s="1"/>
  <c r="AZ9" i="62"/>
  <c r="BA9" i="62" s="1"/>
  <c r="AI9" i="62"/>
  <c r="AH9" i="62"/>
  <c r="BB8" i="62"/>
  <c r="BC8" i="62" s="1"/>
  <c r="AZ8" i="62"/>
  <c r="BA8" i="62" s="1"/>
  <c r="AI8" i="62"/>
  <c r="AH8" i="62"/>
  <c r="BB7" i="62"/>
  <c r="BC7" i="62" s="1"/>
  <c r="AZ7" i="62"/>
  <c r="BA7" i="62" s="1"/>
  <c r="AI7" i="62"/>
  <c r="AH7" i="62"/>
  <c r="AY3" i="62"/>
  <c r="AX3" i="62"/>
  <c r="AW3" i="62"/>
  <c r="AV3" i="62"/>
  <c r="AU3" i="62"/>
  <c r="AT3" i="62"/>
  <c r="AS3" i="62"/>
  <c r="AR3" i="62"/>
  <c r="AQ3" i="62"/>
  <c r="AP3" i="62"/>
  <c r="AO3" i="62"/>
  <c r="AN3" i="62"/>
  <c r="AM3" i="62"/>
  <c r="AL3" i="62"/>
  <c r="AG3" i="62"/>
  <c r="AF3" i="62"/>
  <c r="AE3" i="62"/>
  <c r="AD3" i="62"/>
  <c r="AC3" i="62"/>
  <c r="AB3" i="62"/>
  <c r="AA3" i="62"/>
  <c r="Z3" i="62"/>
  <c r="Y3" i="62"/>
  <c r="X3" i="62"/>
  <c r="W3" i="62"/>
  <c r="V3" i="62"/>
  <c r="U3" i="62"/>
  <c r="T3" i="62"/>
  <c r="O3" i="62"/>
  <c r="N3" i="62"/>
  <c r="M3" i="62"/>
  <c r="L3" i="62"/>
  <c r="K3" i="62"/>
  <c r="J3" i="62"/>
  <c r="I3" i="62"/>
  <c r="H3" i="62"/>
  <c r="G3" i="62"/>
  <c r="F3" i="62"/>
  <c r="E3" i="62"/>
  <c r="D3" i="62"/>
  <c r="C3" i="62"/>
  <c r="B3" i="62"/>
  <c r="BT7" i="61"/>
  <c r="BU7" i="61" s="1"/>
  <c r="BT8" i="61"/>
  <c r="BU8" i="61" s="1"/>
  <c r="BT9" i="61"/>
  <c r="BU9" i="61" s="1"/>
  <c r="BT10" i="61"/>
  <c r="BU10" i="61" s="1"/>
  <c r="BT11" i="61"/>
  <c r="BU11" i="61" s="1"/>
  <c r="BT12" i="61"/>
  <c r="BU12" i="61" s="1"/>
  <c r="BT13" i="61"/>
  <c r="BU13" i="61" s="1"/>
  <c r="BT14" i="61"/>
  <c r="BU14" i="61" s="1"/>
  <c r="BT15" i="61"/>
  <c r="BU15" i="61" s="1"/>
  <c r="BT16" i="61"/>
  <c r="BU16" i="61" s="1"/>
  <c r="BT17" i="61"/>
  <c r="BU17" i="61" s="1"/>
  <c r="BT18" i="61"/>
  <c r="BU18" i="61" s="1"/>
  <c r="BT19" i="61"/>
  <c r="BU19" i="61" s="1"/>
  <c r="BT20" i="61"/>
  <c r="BU20" i="61" s="1"/>
  <c r="BT21" i="61"/>
  <c r="BU21" i="61" s="1"/>
  <c r="BT22" i="61"/>
  <c r="BU22" i="61" s="1"/>
  <c r="BT23" i="61"/>
  <c r="BU23" i="61" s="1"/>
  <c r="BT24" i="61"/>
  <c r="BU24" i="61" s="1"/>
  <c r="BT25" i="61"/>
  <c r="BU25" i="61" s="1"/>
  <c r="BT26" i="61"/>
  <c r="BU26" i="61" s="1"/>
  <c r="BT27" i="61"/>
  <c r="BU27" i="61" s="1"/>
  <c r="BT28" i="61"/>
  <c r="BU28" i="61" s="1"/>
  <c r="BT29" i="61"/>
  <c r="BU29" i="61" s="1"/>
  <c r="BT30" i="61"/>
  <c r="BU30" i="61" s="1"/>
  <c r="BT31" i="61"/>
  <c r="BU31" i="61" s="1"/>
  <c r="BT32" i="61"/>
  <c r="BU32" i="61" s="1"/>
  <c r="BT33" i="61"/>
  <c r="BU33" i="61" s="1"/>
  <c r="BT34" i="61"/>
  <c r="BU34" i="61" s="1"/>
  <c r="BT35" i="61"/>
  <c r="BU35" i="61" s="1"/>
  <c r="BT36" i="61"/>
  <c r="BU36" i="61" s="1"/>
  <c r="BT37" i="61"/>
  <c r="BU37" i="61" s="1"/>
  <c r="BT38" i="61"/>
  <c r="BU38" i="61" s="1"/>
  <c r="BT39" i="61"/>
  <c r="BU39" i="61" s="1"/>
  <c r="BT40" i="61"/>
  <c r="BU40" i="61" s="1"/>
  <c r="BT41" i="61"/>
  <c r="BU41" i="61" s="1"/>
  <c r="BT42" i="61"/>
  <c r="BU42" i="61" s="1"/>
  <c r="BT43" i="61"/>
  <c r="BU43" i="61" s="1"/>
  <c r="BT44" i="61"/>
  <c r="BU44" i="61" s="1"/>
  <c r="BT45" i="61"/>
  <c r="BU45" i="61" s="1"/>
  <c r="BT46" i="61"/>
  <c r="BU46" i="61" s="1"/>
  <c r="BT47" i="61"/>
  <c r="BU47" i="61" s="1"/>
  <c r="BT48" i="61"/>
  <c r="BU48" i="61" s="1"/>
  <c r="BT49" i="61"/>
  <c r="BU49" i="61" s="1"/>
  <c r="BT50" i="61"/>
  <c r="BU50" i="61" s="1"/>
  <c r="BT51" i="61"/>
  <c r="BU51" i="61" s="1"/>
  <c r="BT52" i="61"/>
  <c r="BU52" i="61" s="1"/>
  <c r="BT53" i="61"/>
  <c r="BU53" i="61" s="1"/>
  <c r="BT54" i="61"/>
  <c r="BU54" i="61" s="1"/>
  <c r="BT55" i="61"/>
  <c r="BU55" i="61" s="1"/>
  <c r="BT56" i="61"/>
  <c r="BU56" i="61" s="1"/>
  <c r="BT57" i="61"/>
  <c r="BU57" i="61" s="1"/>
  <c r="BT58" i="61"/>
  <c r="BU58" i="61" s="1"/>
  <c r="BT59" i="61"/>
  <c r="BU59" i="61" s="1"/>
  <c r="BT60" i="61"/>
  <c r="BU60" i="61" s="1"/>
  <c r="BT61" i="61"/>
  <c r="BU61" i="61" s="1"/>
  <c r="BT62" i="61"/>
  <c r="BU62" i="61" s="1"/>
  <c r="BT63" i="61"/>
  <c r="BU63" i="61" s="1"/>
  <c r="BT64" i="61"/>
  <c r="BU64" i="61" s="1"/>
  <c r="BT65" i="61"/>
  <c r="BU65" i="61" s="1"/>
  <c r="BT66" i="61"/>
  <c r="BU66" i="61" s="1"/>
  <c r="BT67" i="61"/>
  <c r="BU67" i="61" s="1"/>
  <c r="BT68" i="61"/>
  <c r="BU68" i="61" s="1"/>
  <c r="BT69" i="61"/>
  <c r="BU69" i="61" s="1"/>
  <c r="BT70" i="61"/>
  <c r="BU70" i="61" s="1"/>
  <c r="BT71" i="61"/>
  <c r="BU71" i="61" s="1"/>
  <c r="BT72" i="61"/>
  <c r="BU72" i="61" s="1"/>
  <c r="BT73" i="61"/>
  <c r="BU73" i="61" s="1"/>
  <c r="BT74" i="61"/>
  <c r="BU74" i="61" s="1"/>
  <c r="BT75" i="61"/>
  <c r="BU75" i="61" s="1"/>
  <c r="BT76" i="61"/>
  <c r="BU76" i="61" s="1"/>
  <c r="BT77" i="61"/>
  <c r="BU77" i="61" s="1"/>
  <c r="BT78" i="61"/>
  <c r="BU78" i="61" s="1"/>
  <c r="BT79" i="61"/>
  <c r="BU79" i="61" s="1"/>
  <c r="BT80" i="61"/>
  <c r="BU80" i="61" s="1"/>
  <c r="BT81" i="61"/>
  <c r="BU81" i="61" s="1"/>
  <c r="BT82" i="61"/>
  <c r="BU82" i="61" s="1"/>
  <c r="BT83" i="61"/>
  <c r="BU83" i="61" s="1"/>
  <c r="BT84" i="61"/>
  <c r="BU84" i="61" s="1"/>
  <c r="BT85" i="61"/>
  <c r="BU85" i="61" s="1"/>
  <c r="BT86" i="61"/>
  <c r="BU86" i="61" s="1"/>
  <c r="BT87" i="61"/>
  <c r="BU87" i="61" s="1"/>
  <c r="BT88" i="61"/>
  <c r="BU88" i="61" s="1"/>
  <c r="BT89" i="61"/>
  <c r="BU89" i="61" s="1"/>
  <c r="BT90" i="61"/>
  <c r="BU90" i="61" s="1"/>
  <c r="BT91" i="61"/>
  <c r="BU91" i="61" s="1"/>
  <c r="BT92" i="61"/>
  <c r="BU92" i="61" s="1"/>
  <c r="BT93" i="61"/>
  <c r="BU93" i="61" s="1"/>
  <c r="BT94" i="61"/>
  <c r="BU94" i="61" s="1"/>
  <c r="BT95" i="61"/>
  <c r="BU95" i="61" s="1"/>
  <c r="BT96" i="61"/>
  <c r="BU96" i="61" s="1"/>
  <c r="BT97" i="61"/>
  <c r="BU97" i="61" s="1"/>
  <c r="BT98" i="61"/>
  <c r="BU98" i="61" s="1"/>
  <c r="BT99" i="61"/>
  <c r="BU99" i="61" s="1"/>
  <c r="BT100" i="61"/>
  <c r="BU100" i="61" s="1"/>
  <c r="BT101" i="61"/>
  <c r="BU101" i="61" s="1"/>
  <c r="BT102" i="61"/>
  <c r="BU102" i="61" s="1"/>
  <c r="BT103" i="61"/>
  <c r="BU103" i="61" s="1"/>
  <c r="BT104" i="61"/>
  <c r="BU104" i="61" s="1"/>
  <c r="BT105" i="61"/>
  <c r="BU105" i="61" s="1"/>
  <c r="BT106" i="61"/>
  <c r="BU106" i="61" s="1"/>
  <c r="BT107" i="61"/>
  <c r="BU107" i="61" s="1"/>
  <c r="BT108" i="61"/>
  <c r="BU108" i="61" s="1"/>
  <c r="BT109" i="61"/>
  <c r="BU109" i="61" s="1"/>
  <c r="BT110" i="61"/>
  <c r="BU110" i="61" s="1"/>
  <c r="BT111" i="61"/>
  <c r="BU111" i="61" s="1"/>
  <c r="BT112" i="61"/>
  <c r="BU112" i="61" s="1"/>
  <c r="BT113" i="61"/>
  <c r="BU113" i="61" s="1"/>
  <c r="BT114" i="61"/>
  <c r="BU114" i="61" s="1"/>
  <c r="BT115" i="61"/>
  <c r="BU115" i="61" s="1"/>
  <c r="BT116" i="61"/>
  <c r="BU116" i="61" s="1"/>
  <c r="BT117" i="61"/>
  <c r="BU117" i="61" s="1"/>
  <c r="BT118" i="61"/>
  <c r="BU118" i="61" s="1"/>
  <c r="BT119" i="61"/>
  <c r="BU119" i="61" s="1"/>
  <c r="BT120" i="61"/>
  <c r="BU120" i="61" s="1"/>
  <c r="BT121" i="61"/>
  <c r="BU121" i="61" s="1"/>
  <c r="BT122" i="61"/>
  <c r="BU122" i="61" s="1"/>
  <c r="BT123" i="61"/>
  <c r="BU123" i="61" s="1"/>
  <c r="BT124" i="61"/>
  <c r="BU124" i="61" s="1"/>
  <c r="BT125" i="61"/>
  <c r="BU125" i="61" s="1"/>
  <c r="BT126" i="61"/>
  <c r="BU126" i="61" s="1"/>
  <c r="BT127" i="61"/>
  <c r="BU127" i="61" s="1"/>
  <c r="BT128" i="61"/>
  <c r="BU128" i="61" s="1"/>
  <c r="BT129" i="61"/>
  <c r="BU129" i="61" s="1"/>
  <c r="BT130" i="61"/>
  <c r="BU130" i="61" s="1"/>
  <c r="BT131" i="61"/>
  <c r="BU131" i="61" s="1"/>
  <c r="BT132" i="61"/>
  <c r="BU132" i="61" s="1"/>
  <c r="BT133" i="61"/>
  <c r="BU133" i="61" s="1"/>
  <c r="BT134" i="61"/>
  <c r="BU134" i="61" s="1"/>
  <c r="BT135" i="61"/>
  <c r="BU135" i="61" s="1"/>
  <c r="BT136" i="61"/>
  <c r="BU136" i="61" s="1"/>
  <c r="BT137" i="61"/>
  <c r="BU137" i="61" s="1"/>
  <c r="BT138" i="61"/>
  <c r="BU138" i="61" s="1"/>
  <c r="BT139" i="61"/>
  <c r="BU139" i="61" s="1"/>
  <c r="BT140" i="61"/>
  <c r="BU140" i="61" s="1"/>
  <c r="BT141" i="61"/>
  <c r="BU141" i="61" s="1"/>
  <c r="BT142" i="61"/>
  <c r="BU142" i="61" s="1"/>
  <c r="BT143" i="61"/>
  <c r="BU143" i="61" s="1"/>
  <c r="BT144" i="61"/>
  <c r="BU144" i="61" s="1"/>
  <c r="BT145" i="61"/>
  <c r="BU145" i="61" s="1"/>
  <c r="BT146" i="61"/>
  <c r="BU146" i="61" s="1"/>
  <c r="BT147" i="61"/>
  <c r="BU147" i="61" s="1"/>
  <c r="BT148" i="61"/>
  <c r="BU148" i="61" s="1"/>
  <c r="BT149" i="61"/>
  <c r="BU149" i="61" s="1"/>
  <c r="BT150" i="61"/>
  <c r="BU150" i="61" s="1"/>
  <c r="BT151" i="61"/>
  <c r="BU151" i="61" s="1"/>
  <c r="BT152" i="61"/>
  <c r="BU152" i="61" s="1"/>
  <c r="BT153" i="61"/>
  <c r="BU153" i="61" s="1"/>
  <c r="BT154" i="61"/>
  <c r="BU154" i="61" s="1"/>
  <c r="BT155" i="61"/>
  <c r="BU155" i="61" s="1"/>
  <c r="BT156" i="61"/>
  <c r="BU156" i="61" s="1"/>
  <c r="BT157" i="61"/>
  <c r="BU157" i="61" s="1"/>
  <c r="BT158" i="61"/>
  <c r="BU158" i="61" s="1"/>
  <c r="BT159" i="61"/>
  <c r="BU159" i="61" s="1"/>
  <c r="BT160" i="61"/>
  <c r="BU160" i="61" s="1"/>
  <c r="BT161" i="61"/>
  <c r="BU161" i="61" s="1"/>
  <c r="BT162" i="61"/>
  <c r="BU162" i="61" s="1"/>
  <c r="BT163" i="61"/>
  <c r="BU163" i="61" s="1"/>
  <c r="BT164" i="61"/>
  <c r="BU164" i="61" s="1"/>
  <c r="BT165" i="61"/>
  <c r="BU165" i="61" s="1"/>
  <c r="BT166" i="61"/>
  <c r="BU166" i="61" s="1"/>
  <c r="BT167" i="61"/>
  <c r="BU167" i="61" s="1"/>
  <c r="BT168" i="61"/>
  <c r="BU168" i="61" s="1"/>
  <c r="BT169" i="61"/>
  <c r="BU169" i="61" s="1"/>
  <c r="BT170" i="61"/>
  <c r="BU170" i="61" s="1"/>
  <c r="BT171" i="61"/>
  <c r="BU171" i="61" s="1"/>
  <c r="BT172" i="61"/>
  <c r="BU172" i="61" s="1"/>
  <c r="BT173" i="61"/>
  <c r="BU173" i="61" s="1"/>
  <c r="BT174" i="61"/>
  <c r="BU174" i="61" s="1"/>
  <c r="BT175" i="61"/>
  <c r="BU175" i="61" s="1"/>
  <c r="BT176" i="61"/>
  <c r="BU176" i="61" s="1"/>
  <c r="BT177" i="61"/>
  <c r="BU177" i="61" s="1"/>
  <c r="BT178" i="61"/>
  <c r="BU178" i="61" s="1"/>
  <c r="BT179" i="61"/>
  <c r="BU179" i="61" s="1"/>
  <c r="BT180" i="61"/>
  <c r="BU180" i="61" s="1"/>
  <c r="BT181" i="61"/>
  <c r="BU181" i="61" s="1"/>
  <c r="BT182" i="61"/>
  <c r="BU182" i="61" s="1"/>
  <c r="BT183" i="61"/>
  <c r="BU183" i="61" s="1"/>
  <c r="BT184" i="61"/>
  <c r="BU184" i="61" s="1"/>
  <c r="BT185" i="61"/>
  <c r="BU185" i="61" s="1"/>
  <c r="BT186" i="61"/>
  <c r="BU186" i="61" s="1"/>
  <c r="BT187" i="61"/>
  <c r="BU187" i="61" s="1"/>
  <c r="BT188" i="61"/>
  <c r="BU188" i="61" s="1"/>
  <c r="BT189" i="61"/>
  <c r="BU189" i="61" s="1"/>
  <c r="BT190" i="61"/>
  <c r="BU190" i="61" s="1"/>
  <c r="BT191" i="61"/>
  <c r="BU191" i="61" s="1"/>
  <c r="BT192" i="61"/>
  <c r="BU192" i="61" s="1"/>
  <c r="BT193" i="61"/>
  <c r="BU193" i="61" s="1"/>
  <c r="BT194" i="61"/>
  <c r="BU194" i="61" s="1"/>
  <c r="BT195" i="61"/>
  <c r="BU195" i="61" s="1"/>
  <c r="BT196" i="61"/>
  <c r="BU196" i="61" s="1"/>
  <c r="BT197" i="61"/>
  <c r="BU197" i="61" s="1"/>
  <c r="BT198" i="61"/>
  <c r="BU198" i="61" s="1"/>
  <c r="BT199" i="61"/>
  <c r="BT200" i="61"/>
  <c r="BT201" i="61"/>
  <c r="BT202" i="61"/>
  <c r="BT203" i="61"/>
  <c r="BT204" i="61"/>
  <c r="BT205" i="61"/>
  <c r="BT206" i="61"/>
  <c r="BT207" i="61"/>
  <c r="BT208" i="61"/>
  <c r="BT209" i="61"/>
  <c r="BT210" i="61"/>
  <c r="BT211" i="61"/>
  <c r="BT212" i="61"/>
  <c r="BT213" i="61"/>
  <c r="BT214" i="61"/>
  <c r="BT215" i="61"/>
  <c r="BT216" i="61"/>
  <c r="BT217" i="61"/>
  <c r="BT218" i="61"/>
  <c r="BT219" i="61"/>
  <c r="BT220" i="61"/>
  <c r="BT221" i="61"/>
  <c r="BT222" i="61"/>
  <c r="BT223" i="61"/>
  <c r="BT224" i="61"/>
  <c r="BT225" i="61"/>
  <c r="BT226" i="61"/>
  <c r="BT227" i="61"/>
  <c r="BT228" i="61"/>
  <c r="BT229" i="61"/>
  <c r="BT230" i="61"/>
  <c r="BT231" i="61"/>
  <c r="BT232" i="61"/>
  <c r="BT233" i="61"/>
  <c r="BT234" i="61"/>
  <c r="BT235" i="61"/>
  <c r="BT236" i="61"/>
  <c r="BT237" i="61"/>
  <c r="BT238" i="61"/>
  <c r="BT239" i="61"/>
  <c r="BT240" i="61"/>
  <c r="BT241" i="61"/>
  <c r="BT242" i="61"/>
  <c r="BT243" i="61"/>
  <c r="BT244" i="61"/>
  <c r="BT245" i="61"/>
  <c r="BT246" i="61"/>
  <c r="BT247" i="61"/>
  <c r="BT248" i="61"/>
  <c r="BT249" i="61"/>
  <c r="BT250" i="61"/>
  <c r="BT251" i="61"/>
  <c r="BT252" i="61"/>
  <c r="BT253" i="61"/>
  <c r="BT254" i="61"/>
  <c r="BT255" i="61"/>
  <c r="BR7" i="61"/>
  <c r="BS7" i="61" s="1"/>
  <c r="BR8" i="61"/>
  <c r="BS8" i="61" s="1"/>
  <c r="BR9" i="61"/>
  <c r="BS9" i="61" s="1"/>
  <c r="BR10" i="61"/>
  <c r="BS10" i="61" s="1"/>
  <c r="BR11" i="61"/>
  <c r="BS11" i="61" s="1"/>
  <c r="BR12" i="61"/>
  <c r="BS12" i="61" s="1"/>
  <c r="BR13" i="61"/>
  <c r="BS13" i="61" s="1"/>
  <c r="BR14" i="61"/>
  <c r="BS14" i="61" s="1"/>
  <c r="BR15" i="61"/>
  <c r="BS15" i="61" s="1"/>
  <c r="BR16" i="61"/>
  <c r="BS16" i="61" s="1"/>
  <c r="BR17" i="61"/>
  <c r="BS17" i="61" s="1"/>
  <c r="BR18" i="61"/>
  <c r="BS18" i="61" s="1"/>
  <c r="BR19" i="61"/>
  <c r="BS19" i="61" s="1"/>
  <c r="BR20" i="61"/>
  <c r="BS20" i="61" s="1"/>
  <c r="BR21" i="61"/>
  <c r="BS21" i="61" s="1"/>
  <c r="BR22" i="61"/>
  <c r="BS22" i="61" s="1"/>
  <c r="BR23" i="61"/>
  <c r="BS23" i="61" s="1"/>
  <c r="BR24" i="61"/>
  <c r="BS24" i="61" s="1"/>
  <c r="BR25" i="61"/>
  <c r="BS25" i="61" s="1"/>
  <c r="BR26" i="61"/>
  <c r="BS26" i="61" s="1"/>
  <c r="BR27" i="61"/>
  <c r="BS27" i="61" s="1"/>
  <c r="BR28" i="61"/>
  <c r="BS28" i="61" s="1"/>
  <c r="BR29" i="61"/>
  <c r="BS29" i="61" s="1"/>
  <c r="BR30" i="61"/>
  <c r="BS30" i="61" s="1"/>
  <c r="BR31" i="61"/>
  <c r="BS31" i="61" s="1"/>
  <c r="BR32" i="61"/>
  <c r="BS32" i="61" s="1"/>
  <c r="BR33" i="61"/>
  <c r="BS33" i="61" s="1"/>
  <c r="BR34" i="61"/>
  <c r="BS34" i="61" s="1"/>
  <c r="BR35" i="61"/>
  <c r="BS35" i="61" s="1"/>
  <c r="BR36" i="61"/>
  <c r="BS36" i="61" s="1"/>
  <c r="BR37" i="61"/>
  <c r="BS37" i="61" s="1"/>
  <c r="BR38" i="61"/>
  <c r="BS38" i="61" s="1"/>
  <c r="BR39" i="61"/>
  <c r="BS39" i="61" s="1"/>
  <c r="BR40" i="61"/>
  <c r="BS40" i="61" s="1"/>
  <c r="BR41" i="61"/>
  <c r="BS41" i="61" s="1"/>
  <c r="BR42" i="61"/>
  <c r="BS42" i="61" s="1"/>
  <c r="BR43" i="61"/>
  <c r="BS43" i="61" s="1"/>
  <c r="BR44" i="61"/>
  <c r="BS44" i="61" s="1"/>
  <c r="BR45" i="61"/>
  <c r="BS45" i="61" s="1"/>
  <c r="BR46" i="61"/>
  <c r="BS46" i="61" s="1"/>
  <c r="BR47" i="61"/>
  <c r="BS47" i="61" s="1"/>
  <c r="BR48" i="61"/>
  <c r="BS48" i="61" s="1"/>
  <c r="BR49" i="61"/>
  <c r="BS49" i="61" s="1"/>
  <c r="BR50" i="61"/>
  <c r="BS50" i="61" s="1"/>
  <c r="BR51" i="61"/>
  <c r="BS51" i="61" s="1"/>
  <c r="BR52" i="61"/>
  <c r="BS52" i="61" s="1"/>
  <c r="BR53" i="61"/>
  <c r="BS53" i="61" s="1"/>
  <c r="BR54" i="61"/>
  <c r="BS54" i="61" s="1"/>
  <c r="BR55" i="61"/>
  <c r="BS55" i="61" s="1"/>
  <c r="BR56" i="61"/>
  <c r="BS56" i="61" s="1"/>
  <c r="BR57" i="61"/>
  <c r="BS57" i="61" s="1"/>
  <c r="BR58" i="61"/>
  <c r="BS58" i="61" s="1"/>
  <c r="BR59" i="61"/>
  <c r="BS59" i="61" s="1"/>
  <c r="BR60" i="61"/>
  <c r="BS60" i="61" s="1"/>
  <c r="BR61" i="61"/>
  <c r="BS61" i="61" s="1"/>
  <c r="BR62" i="61"/>
  <c r="BS62" i="61" s="1"/>
  <c r="BR63" i="61"/>
  <c r="BS63" i="61" s="1"/>
  <c r="BR64" i="61"/>
  <c r="BS64" i="61" s="1"/>
  <c r="BR65" i="61"/>
  <c r="BS65" i="61" s="1"/>
  <c r="BR66" i="61"/>
  <c r="BS66" i="61" s="1"/>
  <c r="BR67" i="61"/>
  <c r="BS67" i="61" s="1"/>
  <c r="BR68" i="61"/>
  <c r="BS68" i="61" s="1"/>
  <c r="BR69" i="61"/>
  <c r="BS69" i="61" s="1"/>
  <c r="BR70" i="61"/>
  <c r="BS70" i="61" s="1"/>
  <c r="BR71" i="61"/>
  <c r="BS71" i="61" s="1"/>
  <c r="BR72" i="61"/>
  <c r="BS72" i="61" s="1"/>
  <c r="BR73" i="61"/>
  <c r="BS73" i="61" s="1"/>
  <c r="BR74" i="61"/>
  <c r="BS74" i="61" s="1"/>
  <c r="BR75" i="61"/>
  <c r="BS75" i="61" s="1"/>
  <c r="BR76" i="61"/>
  <c r="BS76" i="61" s="1"/>
  <c r="BR77" i="61"/>
  <c r="BS77" i="61" s="1"/>
  <c r="BR78" i="61"/>
  <c r="BS78" i="61" s="1"/>
  <c r="BR79" i="61"/>
  <c r="BS79" i="61" s="1"/>
  <c r="BR80" i="61"/>
  <c r="BS80" i="61" s="1"/>
  <c r="BR81" i="61"/>
  <c r="BS81" i="61" s="1"/>
  <c r="BR82" i="61"/>
  <c r="BS82" i="61" s="1"/>
  <c r="BR83" i="61"/>
  <c r="BS83" i="61" s="1"/>
  <c r="BR84" i="61"/>
  <c r="BS84" i="61" s="1"/>
  <c r="BR85" i="61"/>
  <c r="BS85" i="61" s="1"/>
  <c r="BR86" i="61"/>
  <c r="BS86" i="61" s="1"/>
  <c r="BR87" i="61"/>
  <c r="BS87" i="61" s="1"/>
  <c r="BR88" i="61"/>
  <c r="BS88" i="61" s="1"/>
  <c r="BR89" i="61"/>
  <c r="BS89" i="61" s="1"/>
  <c r="BR90" i="61"/>
  <c r="BS90" i="61" s="1"/>
  <c r="BR91" i="61"/>
  <c r="BS91" i="61" s="1"/>
  <c r="BR92" i="61"/>
  <c r="BS92" i="61" s="1"/>
  <c r="BR93" i="61"/>
  <c r="BS93" i="61" s="1"/>
  <c r="BR94" i="61"/>
  <c r="BS94" i="61" s="1"/>
  <c r="BR95" i="61"/>
  <c r="BS95" i="61" s="1"/>
  <c r="BR96" i="61"/>
  <c r="BS96" i="61" s="1"/>
  <c r="BR97" i="61"/>
  <c r="BS97" i="61" s="1"/>
  <c r="BR98" i="61"/>
  <c r="BS98" i="61" s="1"/>
  <c r="BR99" i="61"/>
  <c r="BS99" i="61" s="1"/>
  <c r="BR100" i="61"/>
  <c r="BS100" i="61" s="1"/>
  <c r="BR101" i="61"/>
  <c r="BS101" i="61" s="1"/>
  <c r="BR102" i="61"/>
  <c r="BS102" i="61" s="1"/>
  <c r="BR103" i="61"/>
  <c r="BS103" i="61" s="1"/>
  <c r="BR104" i="61"/>
  <c r="BS104" i="61" s="1"/>
  <c r="BR105" i="61"/>
  <c r="BS105" i="61" s="1"/>
  <c r="BR106" i="61"/>
  <c r="BS106" i="61" s="1"/>
  <c r="BR107" i="61"/>
  <c r="BS107" i="61" s="1"/>
  <c r="BR108" i="61"/>
  <c r="BS108" i="61" s="1"/>
  <c r="BR109" i="61"/>
  <c r="BS109" i="61" s="1"/>
  <c r="BR110" i="61"/>
  <c r="BS110" i="61" s="1"/>
  <c r="BR111" i="61"/>
  <c r="BS111" i="61" s="1"/>
  <c r="BR112" i="61"/>
  <c r="BS112" i="61" s="1"/>
  <c r="BR113" i="61"/>
  <c r="BS113" i="61" s="1"/>
  <c r="BR114" i="61"/>
  <c r="BS114" i="61" s="1"/>
  <c r="BR115" i="61"/>
  <c r="BS115" i="61" s="1"/>
  <c r="BR116" i="61"/>
  <c r="BS116" i="61" s="1"/>
  <c r="BR117" i="61"/>
  <c r="BS117" i="61" s="1"/>
  <c r="BR118" i="61"/>
  <c r="BS118" i="61" s="1"/>
  <c r="BR119" i="61"/>
  <c r="BS119" i="61" s="1"/>
  <c r="BR120" i="61"/>
  <c r="BS120" i="61" s="1"/>
  <c r="BR121" i="61"/>
  <c r="BS121" i="61" s="1"/>
  <c r="BR122" i="61"/>
  <c r="BS122" i="61" s="1"/>
  <c r="BR123" i="61"/>
  <c r="BS123" i="61" s="1"/>
  <c r="BR124" i="61"/>
  <c r="BS124" i="61" s="1"/>
  <c r="BR125" i="61"/>
  <c r="BS125" i="61" s="1"/>
  <c r="BR126" i="61"/>
  <c r="BS126" i="61" s="1"/>
  <c r="BR127" i="61"/>
  <c r="BS127" i="61" s="1"/>
  <c r="BR128" i="61"/>
  <c r="BS128" i="61" s="1"/>
  <c r="BR129" i="61"/>
  <c r="BS129" i="61" s="1"/>
  <c r="BR130" i="61"/>
  <c r="BS130" i="61" s="1"/>
  <c r="BR131" i="61"/>
  <c r="BS131" i="61" s="1"/>
  <c r="BR132" i="61"/>
  <c r="BS132" i="61" s="1"/>
  <c r="BR133" i="61"/>
  <c r="BS133" i="61" s="1"/>
  <c r="BR134" i="61"/>
  <c r="BS134" i="61" s="1"/>
  <c r="BR135" i="61"/>
  <c r="BS135" i="61" s="1"/>
  <c r="BR136" i="61"/>
  <c r="BS136" i="61" s="1"/>
  <c r="BR137" i="61"/>
  <c r="BS137" i="61" s="1"/>
  <c r="BR138" i="61"/>
  <c r="BS138" i="61" s="1"/>
  <c r="BR139" i="61"/>
  <c r="BS139" i="61" s="1"/>
  <c r="BR140" i="61"/>
  <c r="BS140" i="61" s="1"/>
  <c r="BR141" i="61"/>
  <c r="BS141" i="61" s="1"/>
  <c r="BR142" i="61"/>
  <c r="BS142" i="61" s="1"/>
  <c r="BR143" i="61"/>
  <c r="BS143" i="61" s="1"/>
  <c r="BR144" i="61"/>
  <c r="BS144" i="61" s="1"/>
  <c r="BR145" i="61"/>
  <c r="BS145" i="61" s="1"/>
  <c r="BR146" i="61"/>
  <c r="BS146" i="61" s="1"/>
  <c r="BR147" i="61"/>
  <c r="BS147" i="61" s="1"/>
  <c r="BR148" i="61"/>
  <c r="BS148" i="61" s="1"/>
  <c r="BR149" i="61"/>
  <c r="BS149" i="61" s="1"/>
  <c r="BR150" i="61"/>
  <c r="BS150" i="61" s="1"/>
  <c r="BR151" i="61"/>
  <c r="BS151" i="61" s="1"/>
  <c r="BR152" i="61"/>
  <c r="BS152" i="61" s="1"/>
  <c r="BR153" i="61"/>
  <c r="BS153" i="61" s="1"/>
  <c r="BR154" i="61"/>
  <c r="BS154" i="61" s="1"/>
  <c r="BR155" i="61"/>
  <c r="BS155" i="61" s="1"/>
  <c r="BR156" i="61"/>
  <c r="BS156" i="61" s="1"/>
  <c r="BR157" i="61"/>
  <c r="BS157" i="61" s="1"/>
  <c r="BR158" i="61"/>
  <c r="BS158" i="61" s="1"/>
  <c r="BR159" i="61"/>
  <c r="BS159" i="61" s="1"/>
  <c r="BR160" i="61"/>
  <c r="BS160" i="61" s="1"/>
  <c r="BR161" i="61"/>
  <c r="BS161" i="61" s="1"/>
  <c r="BR162" i="61"/>
  <c r="BS162" i="61" s="1"/>
  <c r="BR163" i="61"/>
  <c r="BS163" i="61" s="1"/>
  <c r="BR164" i="61"/>
  <c r="BS164" i="61" s="1"/>
  <c r="BR165" i="61"/>
  <c r="BS165" i="61" s="1"/>
  <c r="BR166" i="61"/>
  <c r="BS166" i="61" s="1"/>
  <c r="BR167" i="61"/>
  <c r="BS167" i="61" s="1"/>
  <c r="BR168" i="61"/>
  <c r="BS168" i="61" s="1"/>
  <c r="BR169" i="61"/>
  <c r="BS169" i="61" s="1"/>
  <c r="BR170" i="61"/>
  <c r="BS170" i="61" s="1"/>
  <c r="BR171" i="61"/>
  <c r="BS171" i="61" s="1"/>
  <c r="BR172" i="61"/>
  <c r="BS172" i="61" s="1"/>
  <c r="BR173" i="61"/>
  <c r="BS173" i="61" s="1"/>
  <c r="BR174" i="61"/>
  <c r="BS174" i="61" s="1"/>
  <c r="BR175" i="61"/>
  <c r="BS175" i="61" s="1"/>
  <c r="BR176" i="61"/>
  <c r="BS176" i="61" s="1"/>
  <c r="BR177" i="61"/>
  <c r="BS177" i="61" s="1"/>
  <c r="BR178" i="61"/>
  <c r="BS178" i="61" s="1"/>
  <c r="BR179" i="61"/>
  <c r="BS179" i="61" s="1"/>
  <c r="BR180" i="61"/>
  <c r="BS180" i="61" s="1"/>
  <c r="BR181" i="61"/>
  <c r="BS181" i="61" s="1"/>
  <c r="BR182" i="61"/>
  <c r="BS182" i="61" s="1"/>
  <c r="BR183" i="61"/>
  <c r="BS183" i="61" s="1"/>
  <c r="BR184" i="61"/>
  <c r="BS184" i="61" s="1"/>
  <c r="BR185" i="61"/>
  <c r="BS185" i="61" s="1"/>
  <c r="BR186" i="61"/>
  <c r="BS186" i="61" s="1"/>
  <c r="BR187" i="61"/>
  <c r="BS187" i="61" s="1"/>
  <c r="BR188" i="61"/>
  <c r="BS188" i="61" s="1"/>
  <c r="BR189" i="61"/>
  <c r="BS189" i="61" s="1"/>
  <c r="BR190" i="61"/>
  <c r="BS190" i="61" s="1"/>
  <c r="BR191" i="61"/>
  <c r="BS191" i="61" s="1"/>
  <c r="BR192" i="61"/>
  <c r="BS192" i="61" s="1"/>
  <c r="BR193" i="61"/>
  <c r="BS193" i="61" s="1"/>
  <c r="BR194" i="61"/>
  <c r="BS194" i="61" s="1"/>
  <c r="BR195" i="61"/>
  <c r="BS195" i="61" s="1"/>
  <c r="BR196" i="61"/>
  <c r="BS196" i="61" s="1"/>
  <c r="BR197" i="61"/>
  <c r="BS197" i="61" s="1"/>
  <c r="BR198" i="61"/>
  <c r="BS198" i="61" s="1"/>
  <c r="BR199" i="61"/>
  <c r="BR200" i="61"/>
  <c r="BR201" i="61"/>
  <c r="BR202" i="61"/>
  <c r="BR203" i="61"/>
  <c r="BR204" i="61"/>
  <c r="BR205" i="61"/>
  <c r="BR206" i="61"/>
  <c r="BR207" i="61"/>
  <c r="BR208" i="61"/>
  <c r="BR209" i="61"/>
  <c r="BR210" i="61"/>
  <c r="BR211" i="61"/>
  <c r="BR212" i="61"/>
  <c r="BR213" i="61"/>
  <c r="BR214" i="61"/>
  <c r="BR215" i="61"/>
  <c r="BR216" i="61"/>
  <c r="BR217" i="61"/>
  <c r="BR218" i="61"/>
  <c r="BR219" i="61"/>
  <c r="BR220" i="61"/>
  <c r="BR221" i="61"/>
  <c r="BR222" i="61"/>
  <c r="BR223" i="61"/>
  <c r="BR224" i="61"/>
  <c r="BR225" i="61"/>
  <c r="BR226" i="61"/>
  <c r="BR227" i="61"/>
  <c r="BR228" i="61"/>
  <c r="BR229" i="61"/>
  <c r="BR230" i="61"/>
  <c r="BR231" i="61"/>
  <c r="BR232" i="61"/>
  <c r="BR233" i="61"/>
  <c r="BR234" i="61"/>
  <c r="BR235" i="61"/>
  <c r="BR236" i="61"/>
  <c r="BR237" i="61"/>
  <c r="BR238" i="61"/>
  <c r="BR239" i="61"/>
  <c r="BR240" i="61"/>
  <c r="BR241" i="61"/>
  <c r="BR242" i="61"/>
  <c r="BR243" i="61"/>
  <c r="BR244" i="61"/>
  <c r="BR245" i="61"/>
  <c r="BR246" i="61"/>
  <c r="BR247" i="61"/>
  <c r="BR248" i="61"/>
  <c r="BR249" i="61"/>
  <c r="BR250" i="61"/>
  <c r="BR251" i="61"/>
  <c r="BR252" i="61"/>
  <c r="BR253" i="61"/>
  <c r="BR254" i="61"/>
  <c r="BR255" i="61"/>
  <c r="AZ7" i="61"/>
  <c r="BA7" i="61"/>
  <c r="AZ8" i="61"/>
  <c r="BA8" i="61"/>
  <c r="AZ9" i="61"/>
  <c r="BA9" i="61"/>
  <c r="AZ10" i="61"/>
  <c r="BA10" i="61"/>
  <c r="AZ11" i="61"/>
  <c r="BA11" i="61"/>
  <c r="AZ12" i="61"/>
  <c r="BA12" i="61"/>
  <c r="AZ13" i="61"/>
  <c r="BA13" i="61"/>
  <c r="AZ14" i="61"/>
  <c r="BA14" i="61"/>
  <c r="AZ15" i="61"/>
  <c r="BA15" i="61"/>
  <c r="AZ16" i="61"/>
  <c r="BA16" i="61"/>
  <c r="AZ17" i="61"/>
  <c r="BA17" i="61"/>
  <c r="AZ18" i="61"/>
  <c r="BA18" i="61"/>
  <c r="AZ19" i="61"/>
  <c r="BA19" i="61"/>
  <c r="AZ20" i="61"/>
  <c r="BA20" i="61"/>
  <c r="AZ21" i="61"/>
  <c r="BA21" i="61"/>
  <c r="AZ22" i="61"/>
  <c r="BA22" i="61"/>
  <c r="AZ23" i="61"/>
  <c r="BA23" i="61"/>
  <c r="AZ24" i="61"/>
  <c r="BA24" i="61"/>
  <c r="AZ25" i="61"/>
  <c r="BA25" i="61"/>
  <c r="AZ26" i="61"/>
  <c r="BA26" i="61"/>
  <c r="AZ27" i="61"/>
  <c r="BA27" i="61"/>
  <c r="AZ28" i="61"/>
  <c r="BA28" i="61"/>
  <c r="AZ29" i="61"/>
  <c r="BA29" i="61"/>
  <c r="AZ30" i="61"/>
  <c r="BA30" i="61"/>
  <c r="AZ31" i="61"/>
  <c r="BA31" i="61"/>
  <c r="AZ32" i="61"/>
  <c r="BA32" i="61"/>
  <c r="AZ33" i="61"/>
  <c r="BA33" i="61"/>
  <c r="AZ34" i="61"/>
  <c r="BA34" i="61"/>
  <c r="AZ35" i="61"/>
  <c r="BA35" i="61"/>
  <c r="AZ36" i="61"/>
  <c r="BA36" i="61"/>
  <c r="AZ37" i="61"/>
  <c r="BA37" i="61"/>
  <c r="AZ38" i="61"/>
  <c r="BA38" i="61"/>
  <c r="AZ39" i="61"/>
  <c r="BA39" i="61"/>
  <c r="AZ40" i="61"/>
  <c r="BA40" i="61"/>
  <c r="AZ41" i="61"/>
  <c r="BA41" i="61"/>
  <c r="AZ42" i="61"/>
  <c r="BA42" i="61"/>
  <c r="AZ43" i="61"/>
  <c r="BA43" i="61"/>
  <c r="AZ44" i="61"/>
  <c r="BA44" i="61"/>
  <c r="AZ45" i="61"/>
  <c r="BA45" i="61"/>
  <c r="AZ46" i="61"/>
  <c r="BA46" i="61"/>
  <c r="AZ47" i="61"/>
  <c r="BA47" i="61"/>
  <c r="AZ48" i="61"/>
  <c r="BA48" i="61"/>
  <c r="AZ49" i="61"/>
  <c r="BA49" i="61"/>
  <c r="AZ50" i="61"/>
  <c r="BA50" i="61"/>
  <c r="AZ51" i="61"/>
  <c r="BA51" i="61"/>
  <c r="AZ52" i="61"/>
  <c r="BA52" i="61"/>
  <c r="AZ53" i="61"/>
  <c r="BA53" i="61"/>
  <c r="AZ54" i="61"/>
  <c r="BA54" i="61"/>
  <c r="AZ55" i="61"/>
  <c r="BA55" i="61"/>
  <c r="AZ56" i="61"/>
  <c r="BA56" i="61"/>
  <c r="AZ57" i="61"/>
  <c r="BA57" i="61"/>
  <c r="AZ58" i="61"/>
  <c r="BA58" i="61"/>
  <c r="AZ59" i="61"/>
  <c r="BA59" i="61"/>
  <c r="AZ60" i="61"/>
  <c r="BA60" i="61"/>
  <c r="AZ61" i="61"/>
  <c r="BA61" i="61"/>
  <c r="AZ62" i="61"/>
  <c r="BA62" i="61"/>
  <c r="AZ63" i="61"/>
  <c r="BA63" i="61"/>
  <c r="AZ64" i="61"/>
  <c r="BA64" i="61"/>
  <c r="AZ65" i="61"/>
  <c r="BA65" i="61"/>
  <c r="AZ66" i="61"/>
  <c r="BA66" i="61"/>
  <c r="AZ67" i="61"/>
  <c r="BA67" i="61"/>
  <c r="AZ68" i="61"/>
  <c r="BA68" i="61"/>
  <c r="AZ69" i="61"/>
  <c r="BA69" i="61"/>
  <c r="AZ70" i="61"/>
  <c r="BA70" i="61"/>
  <c r="AZ71" i="61"/>
  <c r="BA71" i="61"/>
  <c r="AZ72" i="61"/>
  <c r="BA72" i="61"/>
  <c r="AZ73" i="61"/>
  <c r="BA73" i="61"/>
  <c r="AZ74" i="61"/>
  <c r="BA74" i="61"/>
  <c r="AZ75" i="61"/>
  <c r="BA75" i="61"/>
  <c r="AZ76" i="61"/>
  <c r="BA76" i="61"/>
  <c r="AZ77" i="61"/>
  <c r="BA77" i="61"/>
  <c r="AZ78" i="61"/>
  <c r="BA78" i="61"/>
  <c r="AZ79" i="61"/>
  <c r="BA79" i="61"/>
  <c r="AZ80" i="61"/>
  <c r="BA80" i="61"/>
  <c r="AZ81" i="61"/>
  <c r="BA81" i="61"/>
  <c r="AZ82" i="61"/>
  <c r="BA82" i="61"/>
  <c r="AZ83" i="61"/>
  <c r="BA83" i="61"/>
  <c r="AZ84" i="61"/>
  <c r="BA84" i="61"/>
  <c r="AZ85" i="61"/>
  <c r="BA85" i="61"/>
  <c r="AZ86" i="61"/>
  <c r="BA86" i="61"/>
  <c r="AZ87" i="61"/>
  <c r="BA87" i="61"/>
  <c r="AZ88" i="61"/>
  <c r="BA88" i="61"/>
  <c r="AZ89" i="61"/>
  <c r="BA89" i="61"/>
  <c r="AZ90" i="61"/>
  <c r="BA90" i="61"/>
  <c r="AZ91" i="61"/>
  <c r="BA91" i="61"/>
  <c r="AZ92" i="61"/>
  <c r="BA92" i="61"/>
  <c r="AZ93" i="61"/>
  <c r="BA93" i="61"/>
  <c r="AZ94" i="61"/>
  <c r="BA94" i="61"/>
  <c r="AZ95" i="61"/>
  <c r="BA95" i="61"/>
  <c r="AZ96" i="61"/>
  <c r="BA96" i="61"/>
  <c r="AZ97" i="61"/>
  <c r="BA97" i="61"/>
  <c r="AZ98" i="61"/>
  <c r="BA98" i="61"/>
  <c r="AZ99" i="61"/>
  <c r="BA99" i="61"/>
  <c r="AZ100" i="61"/>
  <c r="BA100" i="61"/>
  <c r="AZ101" i="61"/>
  <c r="BA101" i="61"/>
  <c r="AZ102" i="61"/>
  <c r="BA102" i="61"/>
  <c r="AZ103" i="61"/>
  <c r="BA103" i="61"/>
  <c r="AZ104" i="61"/>
  <c r="BA104" i="61"/>
  <c r="AZ105" i="61"/>
  <c r="BA105" i="61"/>
  <c r="AZ106" i="61"/>
  <c r="BA106" i="61"/>
  <c r="AZ107" i="61"/>
  <c r="BA107" i="61"/>
  <c r="AZ108" i="61"/>
  <c r="BA108" i="61"/>
  <c r="AZ109" i="61"/>
  <c r="BA109" i="61"/>
  <c r="AZ110" i="61"/>
  <c r="BA110" i="61"/>
  <c r="AZ111" i="61"/>
  <c r="BA111" i="61"/>
  <c r="AZ112" i="61"/>
  <c r="BA112" i="61"/>
  <c r="AZ113" i="61"/>
  <c r="BA113" i="61"/>
  <c r="AZ114" i="61"/>
  <c r="BA114" i="61"/>
  <c r="AZ115" i="61"/>
  <c r="BA115" i="61"/>
  <c r="AZ116" i="61"/>
  <c r="BA116" i="61"/>
  <c r="AZ117" i="61"/>
  <c r="BA117" i="61"/>
  <c r="AZ118" i="61"/>
  <c r="BA118" i="61"/>
  <c r="AZ119" i="61"/>
  <c r="BA119" i="61"/>
  <c r="AZ120" i="61"/>
  <c r="BA120" i="61"/>
  <c r="AZ121" i="61"/>
  <c r="BA121" i="61"/>
  <c r="AZ122" i="61"/>
  <c r="BA122" i="61"/>
  <c r="AZ123" i="61"/>
  <c r="BA123" i="61"/>
  <c r="AZ124" i="61"/>
  <c r="BA124" i="61"/>
  <c r="AZ125" i="61"/>
  <c r="BA125" i="61"/>
  <c r="AZ126" i="61"/>
  <c r="BA126" i="61"/>
  <c r="AZ127" i="61"/>
  <c r="BA127" i="61"/>
  <c r="AZ128" i="61"/>
  <c r="BA128" i="61"/>
  <c r="AZ129" i="61"/>
  <c r="BA129" i="61"/>
  <c r="AZ130" i="61"/>
  <c r="BA130" i="61"/>
  <c r="AZ131" i="61"/>
  <c r="BA131" i="61"/>
  <c r="AZ132" i="61"/>
  <c r="BA132" i="61"/>
  <c r="AZ133" i="61"/>
  <c r="BA133" i="61"/>
  <c r="AZ134" i="61"/>
  <c r="BA134" i="61"/>
  <c r="AZ135" i="61"/>
  <c r="BA135" i="61"/>
  <c r="AZ136" i="61"/>
  <c r="BA136" i="61"/>
  <c r="AZ137" i="61"/>
  <c r="BA137" i="61"/>
  <c r="AZ138" i="61"/>
  <c r="BA138" i="61"/>
  <c r="AZ139" i="61"/>
  <c r="BA139" i="61"/>
  <c r="AZ140" i="61"/>
  <c r="BA140" i="61"/>
  <c r="AZ141" i="61"/>
  <c r="BA141" i="61"/>
  <c r="AZ142" i="61"/>
  <c r="BA142" i="61"/>
  <c r="AZ143" i="61"/>
  <c r="BA143" i="61"/>
  <c r="AZ144" i="61"/>
  <c r="BA144" i="61"/>
  <c r="AZ145" i="61"/>
  <c r="BA145" i="61"/>
  <c r="AZ146" i="61"/>
  <c r="BA146" i="61"/>
  <c r="AZ147" i="61"/>
  <c r="BA147" i="61"/>
  <c r="AZ148" i="61"/>
  <c r="BA148" i="61"/>
  <c r="AZ149" i="61"/>
  <c r="BA149" i="61"/>
  <c r="AZ150" i="61"/>
  <c r="BA150" i="61"/>
  <c r="AZ151" i="61"/>
  <c r="BA151" i="61"/>
  <c r="AZ152" i="61"/>
  <c r="BA152" i="61"/>
  <c r="AZ153" i="61"/>
  <c r="BA153" i="61"/>
  <c r="AZ154" i="61"/>
  <c r="BA154" i="61"/>
  <c r="AZ155" i="61"/>
  <c r="BA155" i="61"/>
  <c r="AZ156" i="61"/>
  <c r="BA156" i="61"/>
  <c r="AZ157" i="61"/>
  <c r="BA157" i="61"/>
  <c r="AZ158" i="61"/>
  <c r="BA158" i="61"/>
  <c r="AZ159" i="61"/>
  <c r="BA159" i="61"/>
  <c r="AZ160" i="61"/>
  <c r="BA160" i="61"/>
  <c r="AZ161" i="61"/>
  <c r="BA161" i="61"/>
  <c r="AZ162" i="61"/>
  <c r="BA162" i="61"/>
  <c r="AZ163" i="61"/>
  <c r="BA163" i="61"/>
  <c r="AZ164" i="61"/>
  <c r="BA164" i="61"/>
  <c r="AZ165" i="61"/>
  <c r="BA165" i="61"/>
  <c r="AZ166" i="61"/>
  <c r="BA166" i="61"/>
  <c r="AZ167" i="61"/>
  <c r="BA167" i="61"/>
  <c r="AZ168" i="61"/>
  <c r="BA168" i="61"/>
  <c r="AZ169" i="61"/>
  <c r="BA169" i="61"/>
  <c r="AZ170" i="61"/>
  <c r="BA170" i="61"/>
  <c r="AZ171" i="61"/>
  <c r="BA171" i="61"/>
  <c r="AZ172" i="61"/>
  <c r="BA172" i="61"/>
  <c r="AZ173" i="61"/>
  <c r="BA173" i="61"/>
  <c r="AZ174" i="61"/>
  <c r="BA174" i="61"/>
  <c r="AZ175" i="61"/>
  <c r="BA175" i="61"/>
  <c r="AZ176" i="61"/>
  <c r="BA176" i="61"/>
  <c r="AZ177" i="61"/>
  <c r="BA177" i="61"/>
  <c r="AZ178" i="61"/>
  <c r="BA178" i="61"/>
  <c r="AZ179" i="61"/>
  <c r="BA179" i="61"/>
  <c r="AZ180" i="61"/>
  <c r="BA180" i="61"/>
  <c r="AZ181" i="61"/>
  <c r="BA181" i="61"/>
  <c r="AZ182" i="61"/>
  <c r="BA182" i="61"/>
  <c r="AZ183" i="61"/>
  <c r="BA183" i="61"/>
  <c r="AZ184" i="61"/>
  <c r="BA184" i="61"/>
  <c r="AZ185" i="61"/>
  <c r="BA185" i="61"/>
  <c r="AZ186" i="61"/>
  <c r="BA186" i="61"/>
  <c r="AZ187" i="61"/>
  <c r="BA187" i="61"/>
  <c r="AZ188" i="61"/>
  <c r="BA188" i="61"/>
  <c r="AZ189" i="61"/>
  <c r="BA189" i="61"/>
  <c r="AZ190" i="61"/>
  <c r="BA190" i="61"/>
  <c r="AZ191" i="61"/>
  <c r="BA191" i="61"/>
  <c r="AZ192" i="61"/>
  <c r="BA192" i="61"/>
  <c r="AZ193" i="61"/>
  <c r="BA193" i="61"/>
  <c r="AZ194" i="61"/>
  <c r="BA194" i="61"/>
  <c r="AZ195" i="61"/>
  <c r="BA195" i="61"/>
  <c r="AZ196" i="61"/>
  <c r="BA196" i="61"/>
  <c r="AZ197" i="61"/>
  <c r="BA197" i="61"/>
  <c r="AZ198" i="61"/>
  <c r="BA198" i="61"/>
  <c r="AZ199" i="61"/>
  <c r="BA199" i="61"/>
  <c r="AZ200" i="61"/>
  <c r="BA200" i="61"/>
  <c r="AZ201" i="61"/>
  <c r="BA201" i="61"/>
  <c r="AZ202" i="61"/>
  <c r="BA202" i="61"/>
  <c r="AZ203" i="61"/>
  <c r="BA203" i="61"/>
  <c r="AZ204" i="61"/>
  <c r="BA204" i="61"/>
  <c r="AZ205" i="61"/>
  <c r="BA205" i="61"/>
  <c r="AZ206" i="61"/>
  <c r="BA206" i="61"/>
  <c r="AZ207" i="61"/>
  <c r="BA207" i="61"/>
  <c r="AZ208" i="61"/>
  <c r="BA208" i="61"/>
  <c r="AZ209" i="61"/>
  <c r="BA209" i="61"/>
  <c r="AZ210" i="61"/>
  <c r="BA210" i="61"/>
  <c r="AZ211" i="61"/>
  <c r="BA211" i="61"/>
  <c r="AZ212" i="61"/>
  <c r="BA212" i="61"/>
  <c r="AZ213" i="61"/>
  <c r="BA213" i="61"/>
  <c r="AZ214" i="61"/>
  <c r="BA214" i="61"/>
  <c r="AZ215" i="61"/>
  <c r="BA215" i="61"/>
  <c r="AZ216" i="61"/>
  <c r="BA216" i="61"/>
  <c r="AZ217" i="61"/>
  <c r="BA217" i="61"/>
  <c r="AZ218" i="61"/>
  <c r="BA218" i="61"/>
  <c r="AZ219" i="61"/>
  <c r="BA219" i="61"/>
  <c r="AZ220" i="61"/>
  <c r="BA220" i="61"/>
  <c r="AZ221" i="61"/>
  <c r="BA221" i="61"/>
  <c r="AZ222" i="61"/>
  <c r="BA222" i="61"/>
  <c r="AZ223" i="61"/>
  <c r="BA223" i="61"/>
  <c r="AZ224" i="61"/>
  <c r="BA224" i="61"/>
  <c r="AZ225" i="61"/>
  <c r="BA225" i="61"/>
  <c r="AZ226" i="61"/>
  <c r="BA226" i="61"/>
  <c r="AZ227" i="61"/>
  <c r="BA227" i="61"/>
  <c r="AZ228" i="61"/>
  <c r="BA228" i="61"/>
  <c r="AZ229" i="61"/>
  <c r="BA229" i="61"/>
  <c r="AZ230" i="61"/>
  <c r="BA230" i="61"/>
  <c r="AZ231" i="61"/>
  <c r="BA231" i="61"/>
  <c r="AZ232" i="61"/>
  <c r="BA232" i="61"/>
  <c r="AZ233" i="61"/>
  <c r="BA233" i="61"/>
  <c r="AZ234" i="61"/>
  <c r="BA234" i="61"/>
  <c r="AZ235" i="61"/>
  <c r="BA235" i="61"/>
  <c r="AZ236" i="61"/>
  <c r="BA236" i="61"/>
  <c r="AZ237" i="61"/>
  <c r="BA237" i="61"/>
  <c r="AZ238" i="61"/>
  <c r="BA238" i="61"/>
  <c r="AZ239" i="61"/>
  <c r="BA239" i="61"/>
  <c r="AZ240" i="61"/>
  <c r="BA240" i="61"/>
  <c r="AZ241" i="61"/>
  <c r="BA241" i="61"/>
  <c r="AZ242" i="61"/>
  <c r="BA242" i="61"/>
  <c r="AZ243" i="61"/>
  <c r="BA243" i="61"/>
  <c r="AZ244" i="61"/>
  <c r="BA244" i="61"/>
  <c r="AZ245" i="61"/>
  <c r="BA245" i="61"/>
  <c r="AZ246" i="61"/>
  <c r="BA246" i="61"/>
  <c r="AZ247" i="61"/>
  <c r="BA247" i="61"/>
  <c r="AZ248" i="61"/>
  <c r="BA248" i="61"/>
  <c r="AZ249" i="61"/>
  <c r="BA249" i="61"/>
  <c r="AZ250" i="61"/>
  <c r="BA250" i="61"/>
  <c r="AZ251" i="61"/>
  <c r="BA251" i="61"/>
  <c r="AZ252" i="61"/>
  <c r="BA252" i="61"/>
  <c r="AZ253" i="61"/>
  <c r="BA253" i="61"/>
  <c r="AZ254" i="61"/>
  <c r="BA254" i="61"/>
  <c r="AZ255" i="61"/>
  <c r="BA255" i="61"/>
  <c r="AH7" i="61"/>
  <c r="AI7" i="61"/>
  <c r="AH8" i="61"/>
  <c r="AI8" i="61"/>
  <c r="AH9" i="61"/>
  <c r="AI9" i="61"/>
  <c r="AH10" i="61"/>
  <c r="AI10" i="61"/>
  <c r="AH11" i="61"/>
  <c r="AI11" i="61"/>
  <c r="AH12" i="61"/>
  <c r="AI12" i="61"/>
  <c r="AH13" i="61"/>
  <c r="AI13" i="61"/>
  <c r="AH14" i="61"/>
  <c r="AI14" i="61"/>
  <c r="AH15" i="61"/>
  <c r="AI15" i="61"/>
  <c r="AH16" i="61"/>
  <c r="AI16" i="61"/>
  <c r="AH17" i="61"/>
  <c r="AI17" i="61"/>
  <c r="AH18" i="61"/>
  <c r="AI18" i="61"/>
  <c r="AH19" i="61"/>
  <c r="AI19" i="61"/>
  <c r="AH20" i="61"/>
  <c r="AI20" i="61"/>
  <c r="AH21" i="61"/>
  <c r="AI21" i="61"/>
  <c r="AH22" i="61"/>
  <c r="AI22" i="61"/>
  <c r="AH23" i="61"/>
  <c r="AI23" i="61"/>
  <c r="AH24" i="61"/>
  <c r="AI24" i="61"/>
  <c r="AH25" i="61"/>
  <c r="AI25" i="61"/>
  <c r="AH26" i="61"/>
  <c r="AI26" i="61"/>
  <c r="AH27" i="61"/>
  <c r="AI27" i="61"/>
  <c r="AH28" i="61"/>
  <c r="AI28" i="61"/>
  <c r="AH29" i="61"/>
  <c r="AI29" i="61"/>
  <c r="AH30" i="61"/>
  <c r="AI30" i="61"/>
  <c r="AH31" i="61"/>
  <c r="AI31" i="61"/>
  <c r="AH32" i="61"/>
  <c r="AI32" i="61"/>
  <c r="AH33" i="61"/>
  <c r="AI33" i="61"/>
  <c r="AH34" i="61"/>
  <c r="AI34" i="61"/>
  <c r="AH35" i="61"/>
  <c r="AI35" i="61"/>
  <c r="AH36" i="61"/>
  <c r="AI36" i="61"/>
  <c r="AH37" i="61"/>
  <c r="AI37" i="61"/>
  <c r="AH38" i="61"/>
  <c r="AI38" i="61"/>
  <c r="AH39" i="61"/>
  <c r="AI39" i="61"/>
  <c r="AH40" i="61"/>
  <c r="AI40" i="61"/>
  <c r="AH41" i="61"/>
  <c r="AI41" i="61"/>
  <c r="AH42" i="61"/>
  <c r="AI42" i="61"/>
  <c r="AH43" i="61"/>
  <c r="AI43" i="61"/>
  <c r="AH44" i="61"/>
  <c r="AI44" i="61"/>
  <c r="AH45" i="61"/>
  <c r="AI45" i="61"/>
  <c r="AH46" i="61"/>
  <c r="AI46" i="61"/>
  <c r="AH47" i="61"/>
  <c r="AI47" i="61"/>
  <c r="AH48" i="61"/>
  <c r="AI48" i="61"/>
  <c r="AH49" i="61"/>
  <c r="AI49" i="61"/>
  <c r="AH50" i="61"/>
  <c r="AI50" i="61"/>
  <c r="AH51" i="61"/>
  <c r="AI51" i="61"/>
  <c r="AH52" i="61"/>
  <c r="AI52" i="61"/>
  <c r="AH53" i="61"/>
  <c r="AI53" i="61"/>
  <c r="AH54" i="61"/>
  <c r="AI54" i="61"/>
  <c r="AH55" i="61"/>
  <c r="AI55" i="61"/>
  <c r="AH56" i="61"/>
  <c r="AI56" i="61"/>
  <c r="AH57" i="61"/>
  <c r="AI57" i="61"/>
  <c r="AH58" i="61"/>
  <c r="AI58" i="61"/>
  <c r="AH59" i="61"/>
  <c r="AI59" i="61"/>
  <c r="AH60" i="61"/>
  <c r="AI60" i="61"/>
  <c r="AH61" i="61"/>
  <c r="AI61" i="61"/>
  <c r="AH62" i="61"/>
  <c r="AI62" i="61"/>
  <c r="AH63" i="61"/>
  <c r="AI63" i="61"/>
  <c r="AH64" i="61"/>
  <c r="AI64" i="61"/>
  <c r="AH65" i="61"/>
  <c r="AI65" i="61"/>
  <c r="AH66" i="61"/>
  <c r="AI66" i="61"/>
  <c r="AH67" i="61"/>
  <c r="AI67" i="61"/>
  <c r="AH68" i="61"/>
  <c r="AI68" i="61"/>
  <c r="AH69" i="61"/>
  <c r="AI69" i="61"/>
  <c r="AH70" i="61"/>
  <c r="AI70" i="61"/>
  <c r="AH71" i="61"/>
  <c r="AI71" i="61"/>
  <c r="AH72" i="61"/>
  <c r="AI72" i="61"/>
  <c r="AH73" i="61"/>
  <c r="AI73" i="61"/>
  <c r="AH74" i="61"/>
  <c r="AI74" i="61"/>
  <c r="AH75" i="61"/>
  <c r="AI75" i="61"/>
  <c r="AH76" i="61"/>
  <c r="AI76" i="61"/>
  <c r="AH77" i="61"/>
  <c r="AI77" i="61"/>
  <c r="AH78" i="61"/>
  <c r="AI78" i="61"/>
  <c r="AH79" i="61"/>
  <c r="AI79" i="61"/>
  <c r="AH80" i="61"/>
  <c r="AI80" i="61"/>
  <c r="AH81" i="61"/>
  <c r="AI81" i="61"/>
  <c r="AH82" i="61"/>
  <c r="AI82" i="61"/>
  <c r="AH83" i="61"/>
  <c r="AI83" i="61"/>
  <c r="AH84" i="61"/>
  <c r="AI84" i="61"/>
  <c r="AH85" i="61"/>
  <c r="AI85" i="61"/>
  <c r="AH86" i="61"/>
  <c r="AI86" i="61"/>
  <c r="AH87" i="61"/>
  <c r="AI87" i="61"/>
  <c r="AH88" i="61"/>
  <c r="AI88" i="61"/>
  <c r="AH89" i="61"/>
  <c r="AI89" i="61"/>
  <c r="AH90" i="61"/>
  <c r="AI90" i="61"/>
  <c r="AH91" i="61"/>
  <c r="AI91" i="61"/>
  <c r="AH92" i="61"/>
  <c r="AI92" i="61"/>
  <c r="AH93" i="61"/>
  <c r="AI93" i="61"/>
  <c r="AH94" i="61"/>
  <c r="AI94" i="61"/>
  <c r="AH95" i="61"/>
  <c r="AI95" i="61"/>
  <c r="AH96" i="61"/>
  <c r="AI96" i="61"/>
  <c r="AH97" i="61"/>
  <c r="AI97" i="61"/>
  <c r="AH98" i="61"/>
  <c r="AI98" i="61"/>
  <c r="AH99" i="61"/>
  <c r="AI99" i="61"/>
  <c r="AH100" i="61"/>
  <c r="AI100" i="61"/>
  <c r="AH101" i="61"/>
  <c r="AI101" i="61"/>
  <c r="AH102" i="61"/>
  <c r="AI102" i="61"/>
  <c r="AH103" i="61"/>
  <c r="AI103" i="61"/>
  <c r="AH104" i="61"/>
  <c r="AI104" i="61"/>
  <c r="AH105" i="61"/>
  <c r="AI105" i="61"/>
  <c r="AH106" i="61"/>
  <c r="AI106" i="61"/>
  <c r="AH107" i="61"/>
  <c r="AI107" i="61"/>
  <c r="AH108" i="61"/>
  <c r="AI108" i="61"/>
  <c r="AH109" i="61"/>
  <c r="AI109" i="61"/>
  <c r="AH110" i="61"/>
  <c r="AI110" i="61"/>
  <c r="AH111" i="61"/>
  <c r="AI111" i="61"/>
  <c r="AH112" i="61"/>
  <c r="AI112" i="61"/>
  <c r="AH113" i="61"/>
  <c r="AI113" i="61"/>
  <c r="AH114" i="61"/>
  <c r="AI114" i="61"/>
  <c r="AH115" i="61"/>
  <c r="AI115" i="61"/>
  <c r="AH116" i="61"/>
  <c r="AI116" i="61"/>
  <c r="AH117" i="61"/>
  <c r="AI117" i="61"/>
  <c r="AH118" i="61"/>
  <c r="AI118" i="61"/>
  <c r="AH119" i="61"/>
  <c r="AI119" i="61"/>
  <c r="AH120" i="61"/>
  <c r="AI120" i="61"/>
  <c r="AH121" i="61"/>
  <c r="AI121" i="61"/>
  <c r="AH122" i="61"/>
  <c r="AI122" i="61"/>
  <c r="AH123" i="61"/>
  <c r="AI123" i="61"/>
  <c r="AH124" i="61"/>
  <c r="AI124" i="61"/>
  <c r="AH125" i="61"/>
  <c r="AI125" i="61"/>
  <c r="AH126" i="61"/>
  <c r="AI126" i="61"/>
  <c r="AH127" i="61"/>
  <c r="AI127" i="61"/>
  <c r="AH128" i="61"/>
  <c r="AI128" i="61"/>
  <c r="AH129" i="61"/>
  <c r="AI129" i="61"/>
  <c r="AH130" i="61"/>
  <c r="AI130" i="61"/>
  <c r="AH131" i="61"/>
  <c r="AI131" i="61"/>
  <c r="AH132" i="61"/>
  <c r="AI132" i="61"/>
  <c r="AH133" i="61"/>
  <c r="AI133" i="61"/>
  <c r="AH134" i="61"/>
  <c r="AI134" i="61"/>
  <c r="AH135" i="61"/>
  <c r="AI135" i="61"/>
  <c r="AH136" i="61"/>
  <c r="AI136" i="61"/>
  <c r="AH137" i="61"/>
  <c r="AI137" i="61"/>
  <c r="AH138" i="61"/>
  <c r="AI138" i="61"/>
  <c r="AH139" i="61"/>
  <c r="AI139" i="61"/>
  <c r="AH140" i="61"/>
  <c r="AI140" i="61"/>
  <c r="AH141" i="61"/>
  <c r="AI141" i="61"/>
  <c r="AH142" i="61"/>
  <c r="AI142" i="61"/>
  <c r="AH143" i="61"/>
  <c r="AI143" i="61"/>
  <c r="AH144" i="61"/>
  <c r="AI144" i="61"/>
  <c r="AH145" i="61"/>
  <c r="AI145" i="61"/>
  <c r="AH146" i="61"/>
  <c r="AI146" i="61"/>
  <c r="AH147" i="61"/>
  <c r="AI147" i="61"/>
  <c r="AH148" i="61"/>
  <c r="AI148" i="61"/>
  <c r="AH149" i="61"/>
  <c r="AI149" i="61"/>
  <c r="AH150" i="61"/>
  <c r="AI150" i="61"/>
  <c r="AH151" i="61"/>
  <c r="AI151" i="61"/>
  <c r="AH152" i="61"/>
  <c r="AI152" i="61"/>
  <c r="AH153" i="61"/>
  <c r="AI153" i="61"/>
  <c r="AH154" i="61"/>
  <c r="AI154" i="61"/>
  <c r="AH155" i="61"/>
  <c r="AI155" i="61"/>
  <c r="AH156" i="61"/>
  <c r="AI156" i="61"/>
  <c r="AH157" i="61"/>
  <c r="AI157" i="61"/>
  <c r="AH158" i="61"/>
  <c r="AI158" i="61"/>
  <c r="AH159" i="61"/>
  <c r="AI159" i="61"/>
  <c r="AH160" i="61"/>
  <c r="AI160" i="61"/>
  <c r="AH161" i="61"/>
  <c r="AI161" i="61"/>
  <c r="AH162" i="61"/>
  <c r="AI162" i="61"/>
  <c r="AH163" i="61"/>
  <c r="AI163" i="61"/>
  <c r="AH164" i="61"/>
  <c r="AI164" i="61"/>
  <c r="AH165" i="61"/>
  <c r="AI165" i="61"/>
  <c r="AH166" i="61"/>
  <c r="AI166" i="61"/>
  <c r="AH167" i="61"/>
  <c r="AI167" i="61"/>
  <c r="AH168" i="61"/>
  <c r="AI168" i="61"/>
  <c r="AH169" i="61"/>
  <c r="AI169" i="61"/>
  <c r="AH170" i="61"/>
  <c r="AI170" i="61"/>
  <c r="AH171" i="61"/>
  <c r="AI171" i="61"/>
  <c r="AH172" i="61"/>
  <c r="AI172" i="61"/>
  <c r="AH173" i="61"/>
  <c r="AI173" i="61"/>
  <c r="AH174" i="61"/>
  <c r="AI174" i="61"/>
  <c r="AH175" i="61"/>
  <c r="AI175" i="61"/>
  <c r="AH176" i="61"/>
  <c r="AI176" i="61"/>
  <c r="AH177" i="61"/>
  <c r="AI177" i="61"/>
  <c r="AH178" i="61"/>
  <c r="AI178" i="61"/>
  <c r="AH179" i="61"/>
  <c r="AI179" i="61"/>
  <c r="AH180" i="61"/>
  <c r="AI180" i="61"/>
  <c r="AH181" i="61"/>
  <c r="AI181" i="61"/>
  <c r="AH182" i="61"/>
  <c r="AI182" i="61"/>
  <c r="AH183" i="61"/>
  <c r="AI183" i="61"/>
  <c r="AH184" i="61"/>
  <c r="AI184" i="61"/>
  <c r="AH185" i="61"/>
  <c r="AI185" i="61"/>
  <c r="AH186" i="61"/>
  <c r="AI186" i="61"/>
  <c r="AH187" i="61"/>
  <c r="AI187" i="61"/>
  <c r="AH188" i="61"/>
  <c r="AI188" i="61"/>
  <c r="AH189" i="61"/>
  <c r="AI189" i="61"/>
  <c r="AH190" i="61"/>
  <c r="AI190" i="61"/>
  <c r="AH191" i="61"/>
  <c r="AI191" i="61"/>
  <c r="AH192" i="61"/>
  <c r="AI192" i="61"/>
  <c r="AH193" i="61"/>
  <c r="AI193" i="61"/>
  <c r="AH194" i="61"/>
  <c r="AI194" i="61"/>
  <c r="AH195" i="61"/>
  <c r="AI195" i="61"/>
  <c r="AH196" i="61"/>
  <c r="AI196" i="61"/>
  <c r="AH197" i="61"/>
  <c r="AI197" i="61"/>
  <c r="AH198" i="61"/>
  <c r="AI198" i="61"/>
  <c r="AH199" i="61"/>
  <c r="AI199" i="61"/>
  <c r="AH200" i="61"/>
  <c r="AI200" i="61"/>
  <c r="AH201" i="61"/>
  <c r="AI201" i="61"/>
  <c r="AH202" i="61"/>
  <c r="AI202" i="61"/>
  <c r="AH203" i="61"/>
  <c r="AI203" i="61"/>
  <c r="AH204" i="61"/>
  <c r="AI204" i="61"/>
  <c r="AH205" i="61"/>
  <c r="AI205" i="61"/>
  <c r="AH206" i="61"/>
  <c r="AI206" i="61"/>
  <c r="AH207" i="61"/>
  <c r="AI207" i="61"/>
  <c r="AH208" i="61"/>
  <c r="AI208" i="61"/>
  <c r="AH209" i="61"/>
  <c r="AI209" i="61"/>
  <c r="AH210" i="61"/>
  <c r="AI210" i="61"/>
  <c r="AH211" i="61"/>
  <c r="AI211" i="61"/>
  <c r="AH212" i="61"/>
  <c r="AI212" i="61"/>
  <c r="AH213" i="61"/>
  <c r="AI213" i="61"/>
  <c r="AH214" i="61"/>
  <c r="AI214" i="61"/>
  <c r="AH215" i="61"/>
  <c r="AI215" i="61"/>
  <c r="AH216" i="61"/>
  <c r="AI216" i="61"/>
  <c r="AH217" i="61"/>
  <c r="AI217" i="61"/>
  <c r="AH218" i="61"/>
  <c r="AI218" i="61"/>
  <c r="AH219" i="61"/>
  <c r="AI219" i="61"/>
  <c r="AH220" i="61"/>
  <c r="AI220" i="61"/>
  <c r="AH221" i="61"/>
  <c r="AI221" i="61"/>
  <c r="AH222" i="61"/>
  <c r="AI222" i="61"/>
  <c r="AH223" i="61"/>
  <c r="AI223" i="61"/>
  <c r="AH224" i="61"/>
  <c r="AI224" i="61"/>
  <c r="AH225" i="61"/>
  <c r="AI225" i="61"/>
  <c r="AH226" i="61"/>
  <c r="AI226" i="61"/>
  <c r="AH227" i="61"/>
  <c r="AI227" i="61"/>
  <c r="AH228" i="61"/>
  <c r="AI228" i="61"/>
  <c r="AH229" i="61"/>
  <c r="AI229" i="61"/>
  <c r="AH230" i="61"/>
  <c r="AI230" i="61"/>
  <c r="AH231" i="61"/>
  <c r="AI231" i="61"/>
  <c r="AH232" i="61"/>
  <c r="AI232" i="61"/>
  <c r="AH233" i="61"/>
  <c r="AI233" i="61"/>
  <c r="AH234" i="61"/>
  <c r="AI234" i="61"/>
  <c r="AH235" i="61"/>
  <c r="AI235" i="61"/>
  <c r="AH236" i="61"/>
  <c r="AI236" i="61"/>
  <c r="AH237" i="61"/>
  <c r="AI237" i="61"/>
  <c r="AH238" i="61"/>
  <c r="AI238" i="61"/>
  <c r="AH239" i="61"/>
  <c r="AI239" i="61"/>
  <c r="AH240" i="61"/>
  <c r="AI240" i="61"/>
  <c r="AH241" i="61"/>
  <c r="AI241" i="61"/>
  <c r="AH242" i="61"/>
  <c r="AI242" i="61"/>
  <c r="AH243" i="61"/>
  <c r="AI243" i="61"/>
  <c r="AH244" i="61"/>
  <c r="AI244" i="61"/>
  <c r="AH245" i="61"/>
  <c r="AI245" i="61"/>
  <c r="AH246" i="61"/>
  <c r="AI246" i="61"/>
  <c r="AH247" i="61"/>
  <c r="AI247" i="61"/>
  <c r="AH248" i="61"/>
  <c r="AI248" i="61"/>
  <c r="AH249" i="61"/>
  <c r="AI249" i="61"/>
  <c r="AH250" i="61"/>
  <c r="AI250" i="61"/>
  <c r="AH251" i="61"/>
  <c r="AI251" i="61"/>
  <c r="AH252" i="61"/>
  <c r="AI252" i="61"/>
  <c r="AH253" i="61"/>
  <c r="AI253" i="61"/>
  <c r="AH254" i="61"/>
  <c r="AI254" i="61"/>
  <c r="AH255" i="61"/>
  <c r="AI255" i="61"/>
  <c r="P7" i="61"/>
  <c r="Q7" i="61"/>
  <c r="P8" i="61"/>
  <c r="Q8" i="61"/>
  <c r="P9" i="61"/>
  <c r="Q9" i="61"/>
  <c r="P10" i="61"/>
  <c r="Q10" i="61"/>
  <c r="P11" i="61"/>
  <c r="Q11" i="61"/>
  <c r="P12" i="61"/>
  <c r="Q12" i="61"/>
  <c r="P13" i="61"/>
  <c r="Q13" i="61"/>
  <c r="P14" i="61"/>
  <c r="Q14" i="61"/>
  <c r="P15" i="61"/>
  <c r="Q15" i="61"/>
  <c r="P16" i="61"/>
  <c r="Q16" i="61"/>
  <c r="P17" i="61"/>
  <c r="Q17" i="61"/>
  <c r="P18" i="61"/>
  <c r="Q18" i="61"/>
  <c r="P19" i="61"/>
  <c r="Q19" i="61"/>
  <c r="P20" i="61"/>
  <c r="Q20" i="61"/>
  <c r="P21" i="61"/>
  <c r="Q21" i="61"/>
  <c r="P22" i="61"/>
  <c r="Q22" i="61"/>
  <c r="P23" i="61"/>
  <c r="Q23" i="61"/>
  <c r="P24" i="61"/>
  <c r="Q24" i="61"/>
  <c r="P25" i="61"/>
  <c r="Q25" i="61"/>
  <c r="P26" i="61"/>
  <c r="Q26" i="61"/>
  <c r="P27" i="61"/>
  <c r="Q27" i="61"/>
  <c r="P28" i="61"/>
  <c r="Q28" i="61"/>
  <c r="P29" i="61"/>
  <c r="Q29" i="61"/>
  <c r="P30" i="61"/>
  <c r="Q30" i="61"/>
  <c r="P31" i="61"/>
  <c r="Q31" i="61"/>
  <c r="P32" i="61"/>
  <c r="Q32" i="61"/>
  <c r="P33" i="61"/>
  <c r="Q33" i="61"/>
  <c r="P34" i="61"/>
  <c r="Q34" i="61"/>
  <c r="P35" i="61"/>
  <c r="Q35" i="61"/>
  <c r="P36" i="61"/>
  <c r="Q36" i="61"/>
  <c r="P37" i="61"/>
  <c r="Q37" i="61"/>
  <c r="P38" i="61"/>
  <c r="Q38" i="61"/>
  <c r="P39" i="61"/>
  <c r="Q39" i="61"/>
  <c r="P40" i="61"/>
  <c r="Q40" i="61"/>
  <c r="P41" i="61"/>
  <c r="Q41" i="61"/>
  <c r="P42" i="61"/>
  <c r="Q42" i="61"/>
  <c r="P43" i="61"/>
  <c r="Q43" i="61"/>
  <c r="P44" i="61"/>
  <c r="Q44" i="61"/>
  <c r="P45" i="61"/>
  <c r="Q45" i="61"/>
  <c r="P46" i="61"/>
  <c r="Q46" i="61"/>
  <c r="P47" i="61"/>
  <c r="Q47" i="61"/>
  <c r="P48" i="61"/>
  <c r="Q48" i="61"/>
  <c r="P49" i="61"/>
  <c r="Q49" i="61"/>
  <c r="P50" i="61"/>
  <c r="Q50" i="61"/>
  <c r="P51" i="61"/>
  <c r="Q51" i="61"/>
  <c r="P52" i="61"/>
  <c r="Q52" i="61"/>
  <c r="P53" i="61"/>
  <c r="Q53" i="61"/>
  <c r="P54" i="61"/>
  <c r="Q54" i="61"/>
  <c r="P55" i="61"/>
  <c r="Q55" i="61"/>
  <c r="P56" i="61"/>
  <c r="Q56" i="61"/>
  <c r="P57" i="61"/>
  <c r="Q57" i="61"/>
  <c r="P58" i="61"/>
  <c r="Q58" i="61"/>
  <c r="P59" i="61"/>
  <c r="Q59" i="61"/>
  <c r="P60" i="61"/>
  <c r="Q60" i="61"/>
  <c r="P61" i="61"/>
  <c r="Q61" i="61"/>
  <c r="P62" i="61"/>
  <c r="Q62" i="61"/>
  <c r="P63" i="61"/>
  <c r="Q63" i="61"/>
  <c r="P64" i="61"/>
  <c r="Q64" i="61"/>
  <c r="P65" i="61"/>
  <c r="Q65" i="61"/>
  <c r="P66" i="61"/>
  <c r="Q66" i="61"/>
  <c r="P67" i="61"/>
  <c r="Q67" i="61"/>
  <c r="P68" i="61"/>
  <c r="Q68" i="61"/>
  <c r="P69" i="61"/>
  <c r="Q69" i="61"/>
  <c r="P70" i="61"/>
  <c r="Q70" i="61"/>
  <c r="P71" i="61"/>
  <c r="Q71" i="61"/>
  <c r="P72" i="61"/>
  <c r="Q72" i="61"/>
  <c r="P73" i="61"/>
  <c r="Q73" i="61"/>
  <c r="P74" i="61"/>
  <c r="Q74" i="61"/>
  <c r="P75" i="61"/>
  <c r="Q75" i="61"/>
  <c r="P76" i="61"/>
  <c r="Q76" i="61"/>
  <c r="P77" i="61"/>
  <c r="Q77" i="61"/>
  <c r="P78" i="61"/>
  <c r="Q78" i="61"/>
  <c r="P79" i="61"/>
  <c r="Q79" i="61"/>
  <c r="P80" i="61"/>
  <c r="Q80" i="61"/>
  <c r="P81" i="61"/>
  <c r="Q81" i="61"/>
  <c r="P82" i="61"/>
  <c r="Q82" i="61"/>
  <c r="P83" i="61"/>
  <c r="Q83" i="61"/>
  <c r="P84" i="61"/>
  <c r="Q84" i="61"/>
  <c r="P85" i="61"/>
  <c r="Q85" i="61"/>
  <c r="P86" i="61"/>
  <c r="Q86" i="61"/>
  <c r="P87" i="61"/>
  <c r="Q87" i="61"/>
  <c r="P88" i="61"/>
  <c r="Q88" i="61"/>
  <c r="P89" i="61"/>
  <c r="Q89" i="61"/>
  <c r="P90" i="61"/>
  <c r="Q90" i="61"/>
  <c r="P91" i="61"/>
  <c r="Q91" i="61"/>
  <c r="P92" i="61"/>
  <c r="Q92" i="61"/>
  <c r="P93" i="61"/>
  <c r="Q93" i="61"/>
  <c r="P94" i="61"/>
  <c r="Q94" i="61"/>
  <c r="P95" i="61"/>
  <c r="Q95" i="61"/>
  <c r="P96" i="61"/>
  <c r="Q96" i="61"/>
  <c r="P97" i="61"/>
  <c r="Q97" i="61"/>
  <c r="P98" i="61"/>
  <c r="Q98" i="61"/>
  <c r="P99" i="61"/>
  <c r="Q99" i="61"/>
  <c r="P100" i="61"/>
  <c r="Q100" i="61"/>
  <c r="P101" i="61"/>
  <c r="Q101" i="61"/>
  <c r="P102" i="61"/>
  <c r="Q102" i="61"/>
  <c r="P103" i="61"/>
  <c r="Q103" i="61"/>
  <c r="P104" i="61"/>
  <c r="Q104" i="61"/>
  <c r="P105" i="61"/>
  <c r="Q105" i="61"/>
  <c r="P106" i="61"/>
  <c r="Q106" i="61"/>
  <c r="P107" i="61"/>
  <c r="Q107" i="61"/>
  <c r="P108" i="61"/>
  <c r="Q108" i="61"/>
  <c r="P109" i="61"/>
  <c r="Q109" i="61"/>
  <c r="P110" i="61"/>
  <c r="Q110" i="61"/>
  <c r="P111" i="61"/>
  <c r="Q111" i="61"/>
  <c r="P112" i="61"/>
  <c r="Q112" i="61"/>
  <c r="P113" i="61"/>
  <c r="Q113" i="61"/>
  <c r="P114" i="61"/>
  <c r="Q114" i="61"/>
  <c r="P115" i="61"/>
  <c r="Q115" i="61"/>
  <c r="P116" i="61"/>
  <c r="Q116" i="61"/>
  <c r="P117" i="61"/>
  <c r="Q117" i="61"/>
  <c r="P118" i="61"/>
  <c r="Q118" i="61"/>
  <c r="P119" i="61"/>
  <c r="Q119" i="61"/>
  <c r="P120" i="61"/>
  <c r="Q120" i="61"/>
  <c r="P121" i="61"/>
  <c r="Q121" i="61"/>
  <c r="P122" i="61"/>
  <c r="Q122" i="61"/>
  <c r="P123" i="61"/>
  <c r="Q123" i="61"/>
  <c r="P124" i="61"/>
  <c r="Q124" i="61"/>
  <c r="P125" i="61"/>
  <c r="Q125" i="61"/>
  <c r="P126" i="61"/>
  <c r="Q126" i="61"/>
  <c r="P127" i="61"/>
  <c r="Q127" i="61"/>
  <c r="P128" i="61"/>
  <c r="Q128" i="61"/>
  <c r="P129" i="61"/>
  <c r="Q129" i="61"/>
  <c r="P130" i="61"/>
  <c r="Q130" i="61"/>
  <c r="P131" i="61"/>
  <c r="Q131" i="61"/>
  <c r="P132" i="61"/>
  <c r="Q132" i="61"/>
  <c r="P133" i="61"/>
  <c r="Q133" i="61"/>
  <c r="P134" i="61"/>
  <c r="Q134" i="61"/>
  <c r="P135" i="61"/>
  <c r="Q135" i="61"/>
  <c r="P136" i="61"/>
  <c r="Q136" i="61"/>
  <c r="P137" i="61"/>
  <c r="Q137" i="61"/>
  <c r="P138" i="61"/>
  <c r="Q138" i="61"/>
  <c r="P139" i="61"/>
  <c r="Q139" i="61"/>
  <c r="P140" i="61"/>
  <c r="Q140" i="61"/>
  <c r="P141" i="61"/>
  <c r="Q141" i="61"/>
  <c r="P142" i="61"/>
  <c r="Q142" i="61"/>
  <c r="P143" i="61"/>
  <c r="Q143" i="61"/>
  <c r="P144" i="61"/>
  <c r="Q144" i="61"/>
  <c r="P145" i="61"/>
  <c r="Q145" i="61"/>
  <c r="P146" i="61"/>
  <c r="Q146" i="61"/>
  <c r="P147" i="61"/>
  <c r="Q147" i="61"/>
  <c r="P148" i="61"/>
  <c r="Q148" i="61"/>
  <c r="P149" i="61"/>
  <c r="Q149" i="61"/>
  <c r="P150" i="61"/>
  <c r="Q150" i="61"/>
  <c r="P151" i="61"/>
  <c r="Q151" i="61"/>
  <c r="P152" i="61"/>
  <c r="Q152" i="61"/>
  <c r="P153" i="61"/>
  <c r="Q153" i="61"/>
  <c r="P154" i="61"/>
  <c r="Q154" i="61"/>
  <c r="P155" i="61"/>
  <c r="Q155" i="61"/>
  <c r="P156" i="61"/>
  <c r="Q156" i="61"/>
  <c r="P157" i="61"/>
  <c r="Q157" i="61"/>
  <c r="P158" i="61"/>
  <c r="Q158" i="61"/>
  <c r="P159" i="61"/>
  <c r="Q159" i="61"/>
  <c r="P160" i="61"/>
  <c r="Q160" i="61"/>
  <c r="P161" i="61"/>
  <c r="Q161" i="61"/>
  <c r="P162" i="61"/>
  <c r="Q162" i="61"/>
  <c r="P163" i="61"/>
  <c r="Q163" i="61"/>
  <c r="P164" i="61"/>
  <c r="Q164" i="61"/>
  <c r="P165" i="61"/>
  <c r="Q165" i="61"/>
  <c r="P166" i="61"/>
  <c r="Q166" i="61"/>
  <c r="P167" i="61"/>
  <c r="Q167" i="61"/>
  <c r="P168" i="61"/>
  <c r="Q168" i="61"/>
  <c r="P169" i="61"/>
  <c r="Q169" i="61"/>
  <c r="P170" i="61"/>
  <c r="Q170" i="61"/>
  <c r="P171" i="61"/>
  <c r="Q171" i="61"/>
  <c r="P172" i="61"/>
  <c r="Q172" i="61"/>
  <c r="P173" i="61"/>
  <c r="Q173" i="61"/>
  <c r="P174" i="61"/>
  <c r="Q174" i="61"/>
  <c r="P175" i="61"/>
  <c r="Q175" i="61"/>
  <c r="P176" i="61"/>
  <c r="Q176" i="61"/>
  <c r="P177" i="61"/>
  <c r="Q177" i="61"/>
  <c r="P178" i="61"/>
  <c r="Q178" i="61"/>
  <c r="P179" i="61"/>
  <c r="Q179" i="61"/>
  <c r="P180" i="61"/>
  <c r="Q180" i="61"/>
  <c r="P181" i="61"/>
  <c r="Q181" i="61"/>
  <c r="P182" i="61"/>
  <c r="Q182" i="61"/>
  <c r="P183" i="61"/>
  <c r="Q183" i="61"/>
  <c r="P184" i="61"/>
  <c r="Q184" i="61"/>
  <c r="P185" i="61"/>
  <c r="Q185" i="61"/>
  <c r="P186" i="61"/>
  <c r="Q186" i="61"/>
  <c r="P187" i="61"/>
  <c r="Q187" i="61"/>
  <c r="P188" i="61"/>
  <c r="Q188" i="61"/>
  <c r="P189" i="61"/>
  <c r="Q189" i="61"/>
  <c r="P190" i="61"/>
  <c r="Q190" i="61"/>
  <c r="P191" i="61"/>
  <c r="Q191" i="61"/>
  <c r="P192" i="61"/>
  <c r="Q192" i="61"/>
  <c r="P193" i="61"/>
  <c r="Q193" i="61"/>
  <c r="P194" i="61"/>
  <c r="Q194" i="61"/>
  <c r="P195" i="61"/>
  <c r="Q195" i="61"/>
  <c r="P196" i="61"/>
  <c r="Q196" i="61"/>
  <c r="P197" i="61"/>
  <c r="Q197" i="61"/>
  <c r="P198" i="61"/>
  <c r="Q198" i="61"/>
  <c r="P199" i="61"/>
  <c r="Q199" i="61"/>
  <c r="P200" i="61"/>
  <c r="Q200" i="61"/>
  <c r="P201" i="61"/>
  <c r="Q201" i="61"/>
  <c r="P202" i="61"/>
  <c r="Q202" i="61"/>
  <c r="P203" i="61"/>
  <c r="Q203" i="61"/>
  <c r="P204" i="61"/>
  <c r="Q204" i="61"/>
  <c r="P205" i="61"/>
  <c r="Q205" i="61"/>
  <c r="P206" i="61"/>
  <c r="Q206" i="61"/>
  <c r="P207" i="61"/>
  <c r="Q207" i="61"/>
  <c r="P208" i="61"/>
  <c r="Q208" i="61"/>
  <c r="P209" i="61"/>
  <c r="Q209" i="61"/>
  <c r="P210" i="61"/>
  <c r="Q210" i="61"/>
  <c r="P211" i="61"/>
  <c r="Q211" i="61"/>
  <c r="P212" i="61"/>
  <c r="Q212" i="61"/>
  <c r="P213" i="61"/>
  <c r="Q213" i="61"/>
  <c r="P214" i="61"/>
  <c r="Q214" i="61"/>
  <c r="P215" i="61"/>
  <c r="Q215" i="61"/>
  <c r="P216" i="61"/>
  <c r="Q216" i="61"/>
  <c r="P217" i="61"/>
  <c r="Q217" i="61"/>
  <c r="P218" i="61"/>
  <c r="Q218" i="61"/>
  <c r="P219" i="61"/>
  <c r="Q219" i="61"/>
  <c r="P220" i="61"/>
  <c r="Q220" i="61"/>
  <c r="P221" i="61"/>
  <c r="Q221" i="61"/>
  <c r="P222" i="61"/>
  <c r="Q222" i="61"/>
  <c r="P223" i="61"/>
  <c r="Q223" i="61"/>
  <c r="P224" i="61"/>
  <c r="Q224" i="61"/>
  <c r="P225" i="61"/>
  <c r="Q225" i="61"/>
  <c r="P226" i="61"/>
  <c r="Q226" i="61"/>
  <c r="P227" i="61"/>
  <c r="Q227" i="61"/>
  <c r="P228" i="61"/>
  <c r="Q228" i="61"/>
  <c r="P229" i="61"/>
  <c r="Q229" i="61"/>
  <c r="P230" i="61"/>
  <c r="Q230" i="61"/>
  <c r="P231" i="61"/>
  <c r="Q231" i="61"/>
  <c r="P232" i="61"/>
  <c r="Q232" i="61"/>
  <c r="P233" i="61"/>
  <c r="Q233" i="61"/>
  <c r="P234" i="61"/>
  <c r="Q234" i="61"/>
  <c r="P235" i="61"/>
  <c r="Q235" i="61"/>
  <c r="P236" i="61"/>
  <c r="Q236" i="61"/>
  <c r="P237" i="61"/>
  <c r="Q237" i="61"/>
  <c r="P238" i="61"/>
  <c r="Q238" i="61"/>
  <c r="P239" i="61"/>
  <c r="Q239" i="61"/>
  <c r="P240" i="61"/>
  <c r="Q240" i="61"/>
  <c r="P241" i="61"/>
  <c r="Q241" i="61"/>
  <c r="P242" i="61"/>
  <c r="Q242" i="61"/>
  <c r="P243" i="61"/>
  <c r="Q243" i="61"/>
  <c r="P244" i="61"/>
  <c r="Q244" i="61"/>
  <c r="P245" i="61"/>
  <c r="Q245" i="61"/>
  <c r="P246" i="61"/>
  <c r="Q246" i="61"/>
  <c r="P247" i="61"/>
  <c r="Q247" i="61"/>
  <c r="P248" i="61"/>
  <c r="Q248" i="61"/>
  <c r="P249" i="61"/>
  <c r="Q249" i="61"/>
  <c r="P250" i="61"/>
  <c r="Q250" i="61"/>
  <c r="P251" i="61"/>
  <c r="Q251" i="61"/>
  <c r="P252" i="61"/>
  <c r="Q252" i="61"/>
  <c r="P253" i="61"/>
  <c r="Q253" i="61"/>
  <c r="P254" i="61"/>
  <c r="Q254" i="61"/>
  <c r="P255" i="61"/>
  <c r="Q255" i="61"/>
  <c r="BQ3" i="61"/>
  <c r="BP3" i="61"/>
  <c r="BO3" i="61"/>
  <c r="BN3" i="61"/>
  <c r="BM3" i="61"/>
  <c r="BL3" i="61"/>
  <c r="BK3" i="61"/>
  <c r="BJ3" i="61"/>
  <c r="BI3" i="61"/>
  <c r="BH3" i="61"/>
  <c r="BG3" i="61"/>
  <c r="BF3" i="61"/>
  <c r="BE3" i="61"/>
  <c r="BD3" i="61"/>
  <c r="AG3" i="61"/>
  <c r="AF3" i="61"/>
  <c r="AE3" i="61"/>
  <c r="AD3" i="61"/>
  <c r="AC3" i="61"/>
  <c r="AB3" i="61"/>
  <c r="AA3" i="61"/>
  <c r="Z3" i="61"/>
  <c r="Y3" i="61"/>
  <c r="X3" i="61"/>
  <c r="W3" i="61"/>
  <c r="V3" i="61"/>
  <c r="U3" i="61"/>
  <c r="T3" i="61"/>
  <c r="AY3" i="61"/>
  <c r="AX3" i="61"/>
  <c r="AW3" i="61"/>
  <c r="AV3" i="61"/>
  <c r="AU3" i="61"/>
  <c r="AT3" i="61"/>
  <c r="AS3" i="61"/>
  <c r="AR3" i="61"/>
  <c r="AQ3" i="61"/>
  <c r="AP3" i="61"/>
  <c r="AO3" i="61"/>
  <c r="AN3" i="61"/>
  <c r="AM3" i="61"/>
  <c r="AL3" i="61"/>
  <c r="D3" i="61"/>
  <c r="E3" i="61"/>
  <c r="F3" i="61"/>
  <c r="G3" i="61"/>
  <c r="H3" i="61"/>
  <c r="I3" i="61"/>
  <c r="J3" i="61"/>
  <c r="K3" i="61"/>
  <c r="L3" i="61"/>
  <c r="M3" i="61"/>
  <c r="N3" i="61"/>
  <c r="O3" i="61"/>
  <c r="B3" i="61"/>
  <c r="C3" i="61"/>
  <c r="C324" i="9" l="1"/>
  <c r="BV2" i="61"/>
  <c r="BW2" i="61"/>
  <c r="BX2" i="61"/>
  <c r="BY2" i="61"/>
  <c r="BZ2" i="61"/>
  <c r="CA2" i="61"/>
  <c r="BH2" i="63"/>
  <c r="BG2" i="63"/>
  <c r="BF2" i="63"/>
  <c r="BE2" i="63"/>
  <c r="BD2" i="63"/>
  <c r="AN21" i="60" l="1"/>
  <c r="AN37" i="60"/>
  <c r="AN16" i="60"/>
  <c r="AN32" i="60"/>
  <c r="AN8" i="60"/>
  <c r="AN24" i="60"/>
  <c r="AN40" i="60"/>
  <c r="AN88" i="60"/>
  <c r="AN51" i="60"/>
  <c r="AN67" i="60"/>
  <c r="AN13" i="60"/>
  <c r="AN56" i="60"/>
  <c r="AN83" i="60"/>
  <c r="AN15" i="60"/>
  <c r="AN31" i="60"/>
  <c r="AN47" i="60"/>
  <c r="AN48" i="60"/>
  <c r="AN64" i="60"/>
  <c r="AN80" i="60"/>
  <c r="AN11" i="60"/>
  <c r="AN27" i="60"/>
  <c r="AN10" i="60"/>
  <c r="AN26" i="60"/>
  <c r="AN42" i="60"/>
  <c r="AN58" i="60"/>
  <c r="AN74" i="60"/>
  <c r="AN90" i="60"/>
  <c r="AN53" i="60"/>
  <c r="AN69" i="60"/>
  <c r="AN85" i="60"/>
  <c r="AN70" i="60"/>
  <c r="AN86" i="60"/>
  <c r="AN6" i="60"/>
  <c r="AN22" i="60"/>
  <c r="AN38" i="60"/>
  <c r="AN33" i="60"/>
  <c r="AN49" i="60"/>
  <c r="AN65" i="60"/>
  <c r="AN18" i="60"/>
  <c r="AN82" i="60"/>
  <c r="AN14" i="60"/>
  <c r="AN30" i="60"/>
  <c r="AN62" i="60"/>
  <c r="AN78" i="60"/>
  <c r="AN54" i="60"/>
  <c r="AN34" i="60"/>
  <c r="AN50" i="60"/>
  <c r="AN66" i="60"/>
  <c r="AN29" i="60"/>
  <c r="AN45" i="60"/>
  <c r="AN61" i="60"/>
  <c r="AN72" i="60"/>
  <c r="AN81" i="60"/>
  <c r="AN17" i="60"/>
  <c r="AN63" i="60"/>
  <c r="AN79" i="60"/>
  <c r="AN43" i="60"/>
  <c r="AN59" i="60"/>
  <c r="AN75" i="60"/>
  <c r="AN12" i="60"/>
  <c r="AN28" i="60"/>
  <c r="AN44" i="60"/>
  <c r="AN60" i="60"/>
  <c r="AN76" i="60"/>
  <c r="AN7" i="60"/>
  <c r="AN23" i="60"/>
  <c r="AN39" i="60"/>
  <c r="AN55" i="60"/>
  <c r="AN71" i="60"/>
  <c r="AN87" i="60"/>
  <c r="AN77" i="60"/>
  <c r="AN19" i="60"/>
  <c r="AN35" i="60"/>
  <c r="AN46" i="60"/>
  <c r="AN9" i="60"/>
  <c r="AN25" i="60"/>
  <c r="AN41" i="60"/>
  <c r="AN57" i="60"/>
  <c r="AN73" i="60"/>
  <c r="AN89" i="60"/>
  <c r="AN20" i="60"/>
  <c r="AN36" i="60"/>
  <c r="AN52" i="60"/>
  <c r="AN68" i="60"/>
  <c r="AN84" i="60"/>
  <c r="AO15" i="60" l="1"/>
  <c r="AO17" i="60" s="1"/>
  <c r="AO85" i="60"/>
  <c r="AO87" i="60" s="1"/>
  <c r="AO75" i="60"/>
  <c r="AO77" i="60" s="1"/>
  <c r="AO25" i="60"/>
  <c r="AO27" i="60" s="1"/>
  <c r="AO45" i="60"/>
  <c r="AO47" i="60" s="1"/>
  <c r="AO35" i="60"/>
  <c r="AO37" i="60" s="1"/>
  <c r="AO65" i="60"/>
  <c r="AO67" i="60" s="1"/>
  <c r="AO5" i="60"/>
  <c r="AO7" i="60" s="1"/>
  <c r="AO55" i="60"/>
  <c r="AO57" i="60" s="1"/>
  <c r="AJ4" i="37"/>
  <c r="D152" i="22"/>
  <c r="E152" i="22"/>
  <c r="D252" i="22"/>
  <c r="E252" i="22"/>
  <c r="D211" i="22"/>
  <c r="E211" i="22"/>
  <c r="D44" i="22"/>
  <c r="E44" i="22"/>
  <c r="D208" i="22"/>
  <c r="E208" i="22"/>
  <c r="D132" i="22"/>
  <c r="E132" i="22"/>
  <c r="D262" i="22"/>
  <c r="E262" i="22"/>
  <c r="D245" i="22"/>
  <c r="E245" i="22"/>
  <c r="D234" i="22"/>
  <c r="E234" i="22"/>
  <c r="D86" i="22"/>
  <c r="E86" i="22"/>
  <c r="D216" i="22"/>
  <c r="E216" i="22"/>
  <c r="D64" i="22"/>
  <c r="E64" i="22"/>
  <c r="D244" i="22"/>
  <c r="E244" i="22"/>
  <c r="D137" i="22"/>
  <c r="E137" i="22"/>
  <c r="D265" i="22"/>
  <c r="E265" i="22"/>
  <c r="D165" i="22"/>
  <c r="E165" i="22"/>
  <c r="D195" i="22"/>
  <c r="E195" i="22"/>
  <c r="D33" i="22"/>
  <c r="E33" i="22"/>
  <c r="D306" i="22"/>
  <c r="E306" i="22"/>
  <c r="D263" i="22"/>
  <c r="E263" i="22"/>
  <c r="D304" i="22"/>
  <c r="E304" i="22"/>
  <c r="D160" i="22"/>
  <c r="E160" i="22"/>
  <c r="D154" i="22"/>
  <c r="E154" i="22"/>
  <c r="D70" i="22"/>
  <c r="E70" i="22"/>
  <c r="D57" i="22"/>
  <c r="E57" i="22"/>
  <c r="D103" i="22"/>
  <c r="E103" i="22"/>
  <c r="D322" i="22"/>
  <c r="E322" i="22"/>
  <c r="D122" i="22"/>
  <c r="E122" i="22"/>
  <c r="D230" i="22"/>
  <c r="E230" i="22"/>
  <c r="D43" i="22"/>
  <c r="E43" i="22"/>
  <c r="D199" i="22"/>
  <c r="E199" i="22"/>
  <c r="D205" i="22"/>
  <c r="E205" i="22"/>
  <c r="D169" i="22"/>
  <c r="E169" i="22"/>
  <c r="D53" i="22"/>
  <c r="E53" i="22"/>
  <c r="D48" i="22"/>
  <c r="E48" i="22"/>
  <c r="D84" i="22"/>
  <c r="E84" i="22"/>
  <c r="D130" i="22"/>
  <c r="E130" i="22"/>
  <c r="D80" i="22"/>
  <c r="E80" i="22"/>
  <c r="D270" i="22"/>
  <c r="E270" i="22"/>
  <c r="D135" i="22"/>
  <c r="E135" i="22"/>
  <c r="D78" i="22"/>
  <c r="E78" i="22"/>
  <c r="D98" i="22"/>
  <c r="E98" i="22"/>
  <c r="D23" i="22"/>
  <c r="E23" i="22"/>
  <c r="D239" i="22"/>
  <c r="E239" i="22"/>
  <c r="D62" i="22"/>
  <c r="E62" i="22"/>
  <c r="D77" i="22"/>
  <c r="E77" i="22"/>
  <c r="D191" i="22"/>
  <c r="E191" i="22"/>
  <c r="D20" i="22"/>
  <c r="E20" i="22"/>
  <c r="D225" i="22"/>
  <c r="E225" i="22"/>
  <c r="D91" i="22"/>
  <c r="E91" i="22"/>
  <c r="D281" i="22"/>
  <c r="E281" i="22"/>
  <c r="D83" i="22"/>
  <c r="E83" i="22"/>
  <c r="D248" i="22"/>
  <c r="E248" i="22"/>
  <c r="D198" i="22"/>
  <c r="E198" i="22"/>
  <c r="D136" i="22"/>
  <c r="E136" i="22"/>
  <c r="D45" i="22"/>
  <c r="E45" i="22"/>
  <c r="D76" i="22"/>
  <c r="E76" i="22"/>
  <c r="D312" i="22"/>
  <c r="E312" i="22"/>
  <c r="D162" i="22"/>
  <c r="E162" i="22"/>
  <c r="D242" i="22"/>
  <c r="E242" i="22"/>
  <c r="D308" i="22"/>
  <c r="E308" i="22"/>
  <c r="D39" i="22"/>
  <c r="E39" i="22"/>
  <c r="D151" i="22"/>
  <c r="E151" i="22"/>
  <c r="D144" i="22"/>
  <c r="E144" i="22"/>
  <c r="D37" i="22"/>
  <c r="E37" i="22"/>
  <c r="D34" i="22"/>
  <c r="E34" i="22"/>
  <c r="D87" i="22"/>
  <c r="E87" i="22"/>
  <c r="D299" i="22"/>
  <c r="E299" i="22"/>
  <c r="D261" i="22"/>
  <c r="E261" i="22"/>
  <c r="D113" i="22"/>
  <c r="E113" i="22"/>
  <c r="D21" i="22"/>
  <c r="E21" i="22"/>
  <c r="D163" i="22"/>
  <c r="E163" i="22"/>
  <c r="D47" i="22"/>
  <c r="E47" i="22"/>
  <c r="D269" i="22"/>
  <c r="E269" i="22"/>
  <c r="D94" i="22"/>
  <c r="E94" i="22"/>
  <c r="D46" i="22"/>
  <c r="E46" i="22"/>
  <c r="D79" i="22"/>
  <c r="E79" i="22"/>
  <c r="D231" i="22"/>
  <c r="E231" i="22"/>
  <c r="D66" i="22"/>
  <c r="E66" i="22"/>
  <c r="D156" i="22"/>
  <c r="E156" i="22"/>
  <c r="D300" i="22"/>
  <c r="E300" i="22"/>
  <c r="D3" i="22"/>
  <c r="E3" i="22"/>
  <c r="D28" i="22"/>
  <c r="E28" i="22"/>
  <c r="D109" i="22"/>
  <c r="E109" i="22"/>
  <c r="D17" i="22"/>
  <c r="E17" i="22"/>
  <c r="D275" i="22"/>
  <c r="E275" i="22"/>
  <c r="D25" i="22"/>
  <c r="E25" i="22"/>
  <c r="D228" i="22"/>
  <c r="E228" i="22"/>
  <c r="D226" i="22"/>
  <c r="E226" i="22"/>
  <c r="D54" i="22"/>
  <c r="E54" i="22"/>
  <c r="D319" i="22"/>
  <c r="E319" i="22"/>
  <c r="D268" i="22"/>
  <c r="E268" i="22"/>
  <c r="D125" i="22"/>
  <c r="E125" i="22"/>
  <c r="D58" i="22"/>
  <c r="E58" i="22"/>
  <c r="D207" i="22"/>
  <c r="E207" i="22"/>
  <c r="D321" i="22"/>
  <c r="E321" i="22"/>
  <c r="D293" i="22"/>
  <c r="E293" i="22"/>
  <c r="D170" i="22"/>
  <c r="E170" i="22"/>
  <c r="D115" i="22"/>
  <c r="E115" i="22"/>
  <c r="D171" i="22"/>
  <c r="E171" i="22"/>
  <c r="D243" i="22"/>
  <c r="E243" i="22"/>
  <c r="D157" i="22"/>
  <c r="E157" i="22"/>
  <c r="D116" i="22"/>
  <c r="E116" i="22"/>
  <c r="D50" i="22"/>
  <c r="E50" i="22"/>
  <c r="D259" i="22"/>
  <c r="E259" i="22"/>
  <c r="D139" i="22"/>
  <c r="E139" i="22"/>
  <c r="D276" i="22"/>
  <c r="E276" i="22"/>
  <c r="D129" i="22"/>
  <c r="E129" i="22"/>
  <c r="D95" i="22"/>
  <c r="E95" i="22"/>
  <c r="D316" i="22"/>
  <c r="E316" i="22"/>
  <c r="D294" i="22"/>
  <c r="E294" i="22"/>
  <c r="D120" i="22"/>
  <c r="E120" i="22"/>
  <c r="D298" i="22"/>
  <c r="E298" i="22"/>
  <c r="D105" i="22"/>
  <c r="E105" i="22"/>
  <c r="D117" i="22"/>
  <c r="E117" i="22"/>
  <c r="D128" i="22"/>
  <c r="E128" i="22"/>
  <c r="D237" i="22"/>
  <c r="E237" i="22"/>
  <c r="D282" i="22"/>
  <c r="E282" i="22"/>
  <c r="D110" i="22"/>
  <c r="E110" i="22"/>
  <c r="D101" i="22"/>
  <c r="E101" i="22"/>
  <c r="D90" i="22"/>
  <c r="E90" i="22"/>
  <c r="D315" i="22"/>
  <c r="E315" i="22"/>
  <c r="D196" i="22"/>
  <c r="E196" i="22"/>
  <c r="D218" i="22"/>
  <c r="E218" i="22"/>
  <c r="D264" i="22"/>
  <c r="E264" i="22"/>
  <c r="D266" i="22"/>
  <c r="E266" i="22"/>
  <c r="D247" i="22"/>
  <c r="E247" i="22"/>
  <c r="D277" i="22"/>
  <c r="E277" i="22"/>
  <c r="D69" i="22"/>
  <c r="E69" i="22"/>
  <c r="D202" i="22"/>
  <c r="E202" i="22"/>
  <c r="D31" i="22"/>
  <c r="E31" i="22"/>
  <c r="D133" i="22"/>
  <c r="E133" i="22"/>
  <c r="D68" i="22"/>
  <c r="E68" i="22"/>
  <c r="D81" i="22"/>
  <c r="E81" i="22"/>
  <c r="D215" i="22"/>
  <c r="E215" i="22"/>
  <c r="D285" i="22"/>
  <c r="E285" i="22"/>
  <c r="D214" i="22"/>
  <c r="E214" i="22"/>
  <c r="D178" i="22"/>
  <c r="E178" i="22"/>
  <c r="D164" i="22"/>
  <c r="E164" i="22"/>
  <c r="D292" i="22"/>
  <c r="E292" i="22"/>
  <c r="D253" i="22"/>
  <c r="E253" i="22"/>
  <c r="D6" i="22"/>
  <c r="E6" i="22"/>
  <c r="D123" i="22"/>
  <c r="E123" i="22"/>
  <c r="D9" i="22"/>
  <c r="E9" i="22"/>
  <c r="D283" i="22"/>
  <c r="E283" i="22"/>
  <c r="D280" i="22"/>
  <c r="E280" i="22"/>
  <c r="D155" i="22"/>
  <c r="E155" i="22"/>
  <c r="D224" i="22"/>
  <c r="E224" i="22"/>
  <c r="D219" i="22"/>
  <c r="E219" i="22"/>
  <c r="D317" i="22"/>
  <c r="E317" i="22"/>
  <c r="D13" i="22"/>
  <c r="E13" i="22"/>
  <c r="D5" i="22"/>
  <c r="E5" i="22"/>
  <c r="D288" i="22"/>
  <c r="E288" i="22"/>
  <c r="D271" i="22"/>
  <c r="E271" i="22"/>
  <c r="D126" i="22"/>
  <c r="E126" i="22"/>
  <c r="D320" i="22"/>
  <c r="E320" i="22"/>
  <c r="D206" i="22"/>
  <c r="E206" i="22"/>
  <c r="D145" i="22"/>
  <c r="E145" i="22"/>
  <c r="D256" i="22"/>
  <c r="E256" i="22"/>
  <c r="D67" i="22"/>
  <c r="E67" i="22"/>
  <c r="D82" i="22"/>
  <c r="E82" i="22"/>
  <c r="D4" i="22"/>
  <c r="E4" i="22"/>
  <c r="D236" i="22"/>
  <c r="E236" i="22"/>
  <c r="D200" i="22"/>
  <c r="E200" i="22"/>
  <c r="D192" i="22"/>
  <c r="E192" i="22"/>
  <c r="D131" i="22"/>
  <c r="E131" i="22"/>
  <c r="D175" i="22"/>
  <c r="E175" i="22"/>
  <c r="D60" i="22"/>
  <c r="E60" i="22"/>
  <c r="D40" i="22"/>
  <c r="E40" i="22"/>
  <c r="D190" i="22"/>
  <c r="E190" i="22"/>
  <c r="D295" i="22"/>
  <c r="E295" i="22"/>
  <c r="D174" i="22"/>
  <c r="E174" i="22"/>
  <c r="D61" i="22"/>
  <c r="E61" i="22"/>
  <c r="D75" i="22"/>
  <c r="E75" i="22"/>
  <c r="D97" i="22"/>
  <c r="E97" i="22"/>
  <c r="D49" i="22"/>
  <c r="E49" i="22"/>
  <c r="D177" i="22"/>
  <c r="E177" i="22"/>
  <c r="D59" i="22"/>
  <c r="E59" i="22"/>
  <c r="D55" i="22"/>
  <c r="E55" i="22"/>
  <c r="D149" i="22"/>
  <c r="E149" i="22"/>
  <c r="D41" i="22"/>
  <c r="E41" i="22"/>
  <c r="D35" i="22"/>
  <c r="E35" i="22"/>
  <c r="D167" i="22"/>
  <c r="E167" i="22"/>
  <c r="D42" i="22"/>
  <c r="E42" i="22"/>
  <c r="D88" i="22"/>
  <c r="E88" i="22"/>
  <c r="D217" i="22"/>
  <c r="E217" i="22"/>
  <c r="D85" i="22"/>
  <c r="E85" i="22"/>
  <c r="D309" i="22"/>
  <c r="E309" i="22"/>
  <c r="D29" i="22"/>
  <c r="E29" i="22"/>
  <c r="D168" i="22"/>
  <c r="E168" i="22"/>
  <c r="D159" i="22"/>
  <c r="E159" i="22"/>
  <c r="D296" i="22"/>
  <c r="E296" i="22"/>
  <c r="D220" i="22"/>
  <c r="E220" i="22"/>
  <c r="D11" i="22"/>
  <c r="E11" i="22"/>
  <c r="D209" i="22"/>
  <c r="E209" i="22"/>
  <c r="D30" i="22"/>
  <c r="E30" i="22"/>
  <c r="D233" i="22"/>
  <c r="E233" i="22"/>
  <c r="D250" i="22"/>
  <c r="E250" i="22"/>
  <c r="D291" i="22"/>
  <c r="E291" i="22"/>
  <c r="D15" i="22"/>
  <c r="E15" i="22"/>
  <c r="D297" i="22"/>
  <c r="E297" i="22"/>
  <c r="D134" i="22"/>
  <c r="E134" i="22"/>
  <c r="D255" i="22"/>
  <c r="E255" i="22"/>
  <c r="D241" i="22"/>
  <c r="E241" i="22"/>
  <c r="D179" i="22"/>
  <c r="E179" i="22"/>
  <c r="D184" i="22"/>
  <c r="E184" i="22"/>
  <c r="D240" i="22"/>
  <c r="E240" i="22"/>
  <c r="D204" i="22"/>
  <c r="E204" i="22"/>
  <c r="D303" i="22"/>
  <c r="E303" i="22"/>
  <c r="D63" i="22"/>
  <c r="E63" i="22"/>
  <c r="D238" i="22"/>
  <c r="E238" i="22"/>
  <c r="D26" i="22"/>
  <c r="E26" i="22"/>
  <c r="D260" i="22"/>
  <c r="E260" i="22"/>
  <c r="D158" i="22"/>
  <c r="E158" i="22"/>
  <c r="D197" i="22"/>
  <c r="E197" i="22"/>
  <c r="D284" i="22"/>
  <c r="E284" i="22"/>
  <c r="D210" i="22"/>
  <c r="E210" i="22"/>
  <c r="D106" i="22"/>
  <c r="E106" i="22"/>
  <c r="D12" i="22"/>
  <c r="E12" i="22"/>
  <c r="D72" i="22"/>
  <c r="E72" i="22"/>
  <c r="D305" i="22"/>
  <c r="E305" i="22"/>
  <c r="D153" i="22"/>
  <c r="E153" i="22"/>
  <c r="D279" i="22"/>
  <c r="E279" i="22"/>
  <c r="D93" i="22"/>
  <c r="E93" i="22"/>
  <c r="D104" i="22"/>
  <c r="E104" i="22"/>
  <c r="D146" i="22"/>
  <c r="E146" i="22"/>
  <c r="D127" i="22"/>
  <c r="E127" i="22"/>
  <c r="D92" i="22"/>
  <c r="E92" i="22"/>
  <c r="D14" i="22"/>
  <c r="E14" i="22"/>
  <c r="D286" i="22"/>
  <c r="E286" i="22"/>
  <c r="D114" i="22"/>
  <c r="E114" i="22"/>
  <c r="D65" i="22"/>
  <c r="E65" i="22"/>
  <c r="D89" i="22"/>
  <c r="E89" i="22"/>
  <c r="D187" i="22"/>
  <c r="E187" i="22"/>
  <c r="D258" i="22"/>
  <c r="E258" i="22"/>
  <c r="D272" i="22"/>
  <c r="E272" i="22"/>
  <c r="D176" i="22"/>
  <c r="E176" i="22"/>
  <c r="D148" i="22"/>
  <c r="E148" i="22"/>
  <c r="D221" i="22"/>
  <c r="E221" i="22"/>
  <c r="D22" i="22"/>
  <c r="E22" i="22"/>
  <c r="D96" i="22"/>
  <c r="E96" i="22"/>
  <c r="D108" i="22"/>
  <c r="E108" i="22"/>
  <c r="D194" i="22"/>
  <c r="E194" i="22"/>
  <c r="D212" i="22"/>
  <c r="E212" i="22"/>
  <c r="D181" i="22"/>
  <c r="E181" i="22"/>
  <c r="D32" i="22"/>
  <c r="E32" i="22"/>
  <c r="D7" i="22"/>
  <c r="E7" i="22"/>
  <c r="D289" i="22"/>
  <c r="E289" i="22"/>
  <c r="D147" i="22"/>
  <c r="E147" i="22"/>
  <c r="D161" i="22"/>
  <c r="E161" i="22"/>
  <c r="D186" i="22"/>
  <c r="E186" i="22"/>
  <c r="D51" i="22"/>
  <c r="E51" i="22"/>
  <c r="D36" i="22"/>
  <c r="E36" i="22"/>
  <c r="D249" i="22"/>
  <c r="E249" i="22"/>
  <c r="D267" i="22"/>
  <c r="E267" i="22"/>
  <c r="D73" i="22"/>
  <c r="E73" i="22"/>
  <c r="D150" i="22"/>
  <c r="E150" i="22"/>
  <c r="D188" i="22"/>
  <c r="E188" i="22"/>
  <c r="D142" i="22"/>
  <c r="E142" i="22"/>
  <c r="D27" i="22"/>
  <c r="E27" i="22"/>
  <c r="D10" i="22"/>
  <c r="E10" i="22"/>
  <c r="D313" i="22"/>
  <c r="E313" i="22"/>
  <c r="D235" i="22"/>
  <c r="E235" i="22"/>
  <c r="D182" i="22"/>
  <c r="E182" i="22"/>
  <c r="D307" i="22"/>
  <c r="E307" i="22"/>
  <c r="D311" i="22"/>
  <c r="E311" i="22"/>
  <c r="D172" i="22"/>
  <c r="E172" i="22"/>
  <c r="D173" i="22"/>
  <c r="E173" i="22"/>
  <c r="D119" i="22"/>
  <c r="E119" i="22"/>
  <c r="D19" i="22"/>
  <c r="E19" i="22"/>
  <c r="D287" i="22"/>
  <c r="E287" i="22"/>
  <c r="D124" i="22"/>
  <c r="E124" i="22"/>
  <c r="D180" i="22"/>
  <c r="E180" i="22"/>
  <c r="D193" i="22"/>
  <c r="E193" i="22"/>
  <c r="D223" i="22"/>
  <c r="E223" i="22"/>
  <c r="D274" i="22"/>
  <c r="E274" i="22"/>
  <c r="D118" i="22"/>
  <c r="E118" i="22"/>
  <c r="D8" i="22"/>
  <c r="E8" i="22"/>
  <c r="D301" i="22"/>
  <c r="E301" i="22"/>
  <c r="D314" i="22"/>
  <c r="E314" i="22"/>
  <c r="D102" i="22"/>
  <c r="E102" i="22"/>
  <c r="D227" i="22"/>
  <c r="E227" i="22"/>
  <c r="D189" i="22"/>
  <c r="E189" i="22"/>
  <c r="D213" i="22"/>
  <c r="E213" i="22"/>
  <c r="D203" i="22"/>
  <c r="E203" i="22"/>
  <c r="D166" i="22"/>
  <c r="E166" i="22"/>
  <c r="D318" i="22"/>
  <c r="E318" i="22"/>
  <c r="D121" i="22"/>
  <c r="E121" i="22"/>
  <c r="D143" i="22"/>
  <c r="E143" i="22"/>
  <c r="D302" i="22"/>
  <c r="E302" i="22"/>
  <c r="D229" i="22"/>
  <c r="E229" i="22"/>
  <c r="D24" i="22"/>
  <c r="E24" i="22"/>
  <c r="D310" i="22"/>
  <c r="E310" i="22"/>
  <c r="D74" i="22"/>
  <c r="E74" i="22"/>
  <c r="D278" i="22"/>
  <c r="E278" i="22"/>
  <c r="D52" i="22"/>
  <c r="E52" i="22"/>
  <c r="D18" i="22"/>
  <c r="E18" i="22"/>
  <c r="D257" i="22"/>
  <c r="E257" i="22"/>
  <c r="D56" i="22"/>
  <c r="E56" i="22"/>
  <c r="D71" i="22"/>
  <c r="E71" i="22"/>
  <c r="D141" i="22"/>
  <c r="E141" i="22"/>
  <c r="D273" i="22"/>
  <c r="E273" i="22"/>
  <c r="D222" i="22"/>
  <c r="E222" i="22"/>
  <c r="D111" i="22"/>
  <c r="E111" i="22"/>
  <c r="D100" i="22"/>
  <c r="E100" i="22"/>
  <c r="D290" i="22"/>
  <c r="E290" i="22"/>
  <c r="D251" i="22"/>
  <c r="E251" i="22"/>
  <c r="D107" i="22"/>
  <c r="E107" i="22"/>
  <c r="D38" i="22"/>
  <c r="E38" i="22"/>
  <c r="D185" i="22"/>
  <c r="E185" i="22"/>
  <c r="D201" i="22"/>
  <c r="E201" i="22"/>
  <c r="D254" i="22"/>
  <c r="E254" i="22"/>
  <c r="D112" i="22"/>
  <c r="E112" i="22"/>
  <c r="D183" i="22"/>
  <c r="E183" i="22"/>
  <c r="D232" i="22"/>
  <c r="E232" i="22"/>
  <c r="D138" i="22"/>
  <c r="E138" i="22"/>
  <c r="D140" i="22"/>
  <c r="E140" i="22"/>
  <c r="D99" i="22"/>
  <c r="E99" i="22"/>
  <c r="D16" i="22"/>
  <c r="E16" i="22"/>
  <c r="E246" i="22"/>
  <c r="D246" i="22"/>
  <c r="C246" i="22"/>
  <c r="C116" i="22"/>
  <c r="C120" i="22"/>
  <c r="C208" i="22"/>
  <c r="C201" i="22"/>
  <c r="C23" i="22"/>
  <c r="C125" i="22"/>
  <c r="C138" i="22"/>
  <c r="C230" i="22"/>
  <c r="C298" i="22"/>
  <c r="C316" i="22"/>
  <c r="C254" i="22"/>
  <c r="C8" i="22"/>
  <c r="C200" i="22"/>
  <c r="C195" i="22"/>
  <c r="C241" i="22"/>
  <c r="C274" i="22"/>
  <c r="C130" i="22"/>
  <c r="C135" i="22"/>
  <c r="C144" i="22"/>
  <c r="C46" i="22"/>
  <c r="C39" i="22"/>
  <c r="C94" i="22"/>
  <c r="C118" i="22"/>
  <c r="C12" i="22"/>
  <c r="C96" i="22"/>
  <c r="C310" i="22"/>
  <c r="C86" i="22"/>
  <c r="C37" i="22"/>
  <c r="C6" i="22"/>
  <c r="C292" i="22"/>
  <c r="C68" i="22"/>
  <c r="C286" i="22"/>
  <c r="C163" i="22"/>
  <c r="C229" i="22"/>
  <c r="C117" i="22"/>
  <c r="C114" i="22"/>
  <c r="C47" i="22"/>
  <c r="C21" i="22"/>
  <c r="C10" i="22"/>
  <c r="C267" i="22"/>
  <c r="C287" i="22"/>
  <c r="C131" i="22"/>
  <c r="C149" i="22"/>
  <c r="C224" i="22"/>
  <c r="C27" i="22"/>
  <c r="C301" i="22"/>
  <c r="C67" i="22"/>
  <c r="C113" i="22"/>
  <c r="C40" i="22"/>
  <c r="C161" i="22"/>
  <c r="C174" i="22"/>
  <c r="C255" i="22"/>
  <c r="C168" i="22"/>
  <c r="C312" i="22"/>
  <c r="C66" i="22"/>
  <c r="C313" i="22"/>
  <c r="C206" i="22"/>
  <c r="C236" i="22"/>
  <c r="C62" i="22"/>
  <c r="C261" i="22"/>
  <c r="C49" i="22"/>
  <c r="C43" i="22"/>
  <c r="C52" i="22"/>
  <c r="C142" i="22"/>
  <c r="C266" i="22"/>
  <c r="C97" i="22"/>
  <c r="C79" i="22"/>
  <c r="C299" i="22"/>
  <c r="C80" i="22"/>
  <c r="C302" i="22"/>
  <c r="C35" i="22"/>
  <c r="C150" i="22"/>
  <c r="C284" i="22"/>
  <c r="C180" i="22"/>
  <c r="C278" i="22"/>
  <c r="C258" i="22"/>
  <c r="C83" i="22"/>
  <c r="C76" i="22"/>
  <c r="C179" i="22"/>
  <c r="C74" i="22"/>
  <c r="C18" i="22"/>
  <c r="C263" i="22"/>
  <c r="C186" i="22"/>
  <c r="C137" i="22"/>
  <c r="C188" i="22"/>
  <c r="C178" i="22"/>
  <c r="C275" i="22"/>
  <c r="C272" i="22"/>
  <c r="C91" i="22"/>
  <c r="C81" i="22"/>
  <c r="C84" i="22"/>
  <c r="C282" i="22"/>
  <c r="C16" i="22"/>
  <c r="C217" i="22"/>
  <c r="C4" i="22"/>
  <c r="C152" i="22"/>
  <c r="C154" i="22"/>
  <c r="C253" i="22"/>
  <c r="C198" i="22"/>
  <c r="C318" i="22"/>
  <c r="C240" i="22"/>
  <c r="C210" i="22"/>
  <c r="C77" i="22"/>
  <c r="C33" i="22"/>
  <c r="C203" i="22"/>
  <c r="C146" i="22"/>
  <c r="C145" i="22"/>
  <c r="C73" i="22"/>
  <c r="C273" i="22"/>
  <c r="C162" i="22"/>
  <c r="C283" i="22"/>
  <c r="C25" i="22"/>
  <c r="C156" i="22"/>
  <c r="C256" i="22"/>
  <c r="C99" i="22"/>
  <c r="C160" i="22"/>
  <c r="C164" i="22"/>
  <c r="C183" i="22"/>
  <c r="C105" i="22"/>
  <c r="C184" i="22"/>
  <c r="C155" i="22"/>
  <c r="C167" i="22"/>
  <c r="C215" i="22"/>
  <c r="C13" i="22"/>
  <c r="C132" i="22"/>
  <c r="C107" i="22"/>
  <c r="C243" i="22"/>
  <c r="C111" i="22"/>
  <c r="C126" i="22"/>
  <c r="C204" i="22"/>
  <c r="C41" i="22"/>
  <c r="C119" i="22"/>
  <c r="C300" i="22"/>
  <c r="C82" i="22"/>
  <c r="C165" i="22"/>
  <c r="C20" i="22"/>
  <c r="C271" i="22"/>
  <c r="C140" i="22"/>
  <c r="C124" i="22"/>
  <c r="C103" i="22"/>
  <c r="C134" i="22"/>
  <c r="C172" i="22"/>
  <c r="C143" i="22"/>
  <c r="C128" i="22"/>
  <c r="C285" i="22"/>
  <c r="C36" i="22"/>
  <c r="C245" i="22"/>
  <c r="C121" i="22"/>
  <c r="C123" i="22"/>
  <c r="C61" i="22"/>
  <c r="C265" i="22"/>
  <c r="C54" i="22"/>
  <c r="C237" i="22"/>
  <c r="C295" i="22"/>
  <c r="C56" i="22"/>
  <c r="C51" i="22"/>
  <c r="C320" i="22"/>
  <c r="C321" i="22"/>
  <c r="C264" i="22"/>
  <c r="C158" i="22"/>
  <c r="C173" i="22"/>
  <c r="C19" i="22"/>
  <c r="C60" i="22"/>
  <c r="C106" i="22"/>
  <c r="C75" i="22"/>
  <c r="C122" i="22"/>
  <c r="C177" i="22"/>
  <c r="C202" i="22"/>
  <c r="C151" i="22"/>
  <c r="C71" i="22"/>
  <c r="C55" i="22"/>
  <c r="C190" i="22"/>
  <c r="C242" i="22"/>
  <c r="C247" i="22"/>
  <c r="C112" i="22"/>
  <c r="C257" i="22"/>
  <c r="C225" i="22"/>
  <c r="C231" i="22"/>
  <c r="C211" i="22"/>
  <c r="C280" i="22"/>
  <c r="C31" i="22"/>
  <c r="C248" i="22"/>
  <c r="C44" i="22"/>
  <c r="C228" i="22"/>
  <c r="C218" i="22"/>
  <c r="C147" i="22"/>
  <c r="C281" i="22"/>
  <c r="C166" i="22"/>
  <c r="C303" i="22"/>
  <c r="C32" i="22"/>
  <c r="C133" i="22"/>
  <c r="C109" i="22"/>
  <c r="C9" i="22"/>
  <c r="C214" i="22"/>
  <c r="C148" i="22"/>
  <c r="C212" i="22"/>
  <c r="C226" i="22"/>
  <c r="C181" i="22"/>
  <c r="C45" i="22"/>
  <c r="C234" i="22"/>
  <c r="C88" i="22"/>
  <c r="C63" i="22"/>
  <c r="C70" i="22"/>
  <c r="C223" i="22"/>
  <c r="C306" i="22"/>
  <c r="C251" i="22"/>
  <c r="C289" i="22"/>
  <c r="C5" i="22"/>
  <c r="C308" i="22"/>
  <c r="C249" i="22"/>
  <c r="C277" i="22"/>
  <c r="C17" i="22"/>
  <c r="C170" i="22"/>
  <c r="C232" i="22"/>
  <c r="C291" i="22"/>
  <c r="C28" i="22"/>
  <c r="C175" i="22"/>
  <c r="C220" i="22"/>
  <c r="C78" i="22"/>
  <c r="C141" i="22"/>
  <c r="C222" i="22"/>
  <c r="C189" i="22"/>
  <c r="C110" i="22"/>
  <c r="C57" i="22"/>
  <c r="C98" i="22"/>
  <c r="C317" i="22"/>
  <c r="C14" i="22"/>
  <c r="C93" i="22"/>
  <c r="C227" i="22"/>
  <c r="C294" i="22"/>
  <c r="C87" i="22"/>
  <c r="C290" i="22"/>
  <c r="C176" i="22"/>
  <c r="C244" i="22"/>
  <c r="C85" i="22"/>
  <c r="C269" i="22"/>
  <c r="C24" i="22"/>
  <c r="C219" i="22"/>
  <c r="C11" i="22"/>
  <c r="C288" i="22"/>
  <c r="C38" i="22"/>
  <c r="C171" i="22"/>
  <c r="C193" i="22"/>
  <c r="C260" i="22"/>
  <c r="C48" i="22"/>
  <c r="C213" i="22"/>
  <c r="C92" i="22"/>
  <c r="C69" i="22"/>
  <c r="C252" i="22"/>
  <c r="C7" i="22"/>
  <c r="C58" i="22"/>
  <c r="C65" i="22"/>
  <c r="C101" i="22"/>
  <c r="C15" i="22"/>
  <c r="C102" i="22"/>
  <c r="C315" i="22"/>
  <c r="C297" i="22"/>
  <c r="C311" i="22"/>
  <c r="C304" i="22"/>
  <c r="C238" i="22"/>
  <c r="C235" i="22"/>
  <c r="C50" i="22"/>
  <c r="C159" i="22"/>
  <c r="C262" i="22"/>
  <c r="C108" i="22"/>
  <c r="C127" i="22"/>
  <c r="C59" i="22"/>
  <c r="C95" i="22"/>
  <c r="C90" i="22"/>
  <c r="C216" i="22"/>
  <c r="C199" i="22"/>
  <c r="C239" i="22"/>
  <c r="C307" i="22"/>
  <c r="C191" i="22"/>
  <c r="C26" i="22"/>
  <c r="C169" i="22"/>
  <c r="C296" i="22"/>
  <c r="C89" i="22"/>
  <c r="C185" i="22"/>
  <c r="C197" i="22"/>
  <c r="C194" i="22"/>
  <c r="C104" i="22"/>
  <c r="C305" i="22"/>
  <c r="C259" i="22"/>
  <c r="C233" i="22"/>
  <c r="C153" i="22"/>
  <c r="C192" i="22"/>
  <c r="C270" i="22"/>
  <c r="C139" i="22"/>
  <c r="C314" i="22"/>
  <c r="C100" i="22"/>
  <c r="C196" i="22"/>
  <c r="C157" i="22"/>
  <c r="C115" i="22"/>
  <c r="C30" i="22"/>
  <c r="C209" i="22"/>
  <c r="C34" i="22"/>
  <c r="C279" i="22"/>
  <c r="C64" i="22"/>
  <c r="C53" i="22"/>
  <c r="C319" i="22"/>
  <c r="C207" i="22"/>
  <c r="C187" i="22"/>
  <c r="C136" i="22"/>
  <c r="C22" i="22"/>
  <c r="C250" i="22"/>
  <c r="C72" i="22"/>
  <c r="C309" i="22"/>
  <c r="C205" i="22"/>
  <c r="C268" i="22"/>
  <c r="C182" i="22"/>
  <c r="C293" i="22"/>
  <c r="C29" i="22"/>
  <c r="C129" i="22"/>
  <c r="C322" i="22"/>
  <c r="C276" i="22"/>
  <c r="C221" i="22"/>
  <c r="L1" i="59"/>
  <c r="M1" i="59" s="1"/>
  <c r="N1" i="59" s="1"/>
  <c r="O1" i="59" s="1"/>
  <c r="P1" i="59" s="1"/>
  <c r="Q1" i="59" s="1"/>
  <c r="R1" i="59" s="1"/>
  <c r="S1" i="59" s="1"/>
  <c r="T1" i="59" s="1"/>
  <c r="U1" i="59" s="1"/>
  <c r="V1" i="59" s="1"/>
  <c r="W1" i="59" s="1"/>
  <c r="X1" i="59" s="1"/>
  <c r="Y1" i="59" s="1"/>
  <c r="Z1" i="59" s="1"/>
  <c r="AA1" i="59" s="1"/>
  <c r="AB1" i="59" s="1"/>
  <c r="B5137" i="59"/>
  <c r="B5136" i="59"/>
  <c r="B5135" i="59"/>
  <c r="B5134" i="59"/>
  <c r="B5133" i="59"/>
  <c r="B5132" i="59"/>
  <c r="B5131" i="59"/>
  <c r="B5130" i="59"/>
  <c r="B5129" i="59"/>
  <c r="B5128" i="59"/>
  <c r="B5127" i="59"/>
  <c r="B5126" i="59"/>
  <c r="B5125" i="59"/>
  <c r="B5124" i="59"/>
  <c r="B5123" i="59"/>
  <c r="B5122" i="59"/>
  <c r="B5121" i="59"/>
  <c r="B5120" i="59"/>
  <c r="B5119" i="59"/>
  <c r="B5118" i="59"/>
  <c r="B5117" i="59"/>
  <c r="B5116" i="59"/>
  <c r="B5115" i="59"/>
  <c r="B5114" i="59"/>
  <c r="B5113" i="59"/>
  <c r="B5112" i="59"/>
  <c r="B5111" i="59"/>
  <c r="B5110" i="59"/>
  <c r="B5109" i="59"/>
  <c r="B5108" i="59"/>
  <c r="B5107" i="59"/>
  <c r="B5106" i="59"/>
  <c r="B5105" i="59"/>
  <c r="B5104" i="59"/>
  <c r="B5103" i="59"/>
  <c r="B5102" i="59"/>
  <c r="B5101" i="59"/>
  <c r="B5100" i="59"/>
  <c r="B5099" i="59"/>
  <c r="B5098" i="59"/>
  <c r="B5097" i="59"/>
  <c r="B5096" i="59"/>
  <c r="B5095" i="59"/>
  <c r="B5094" i="59"/>
  <c r="B5093" i="59"/>
  <c r="B5092" i="59"/>
  <c r="B5091" i="59"/>
  <c r="B5090" i="59"/>
  <c r="B5089" i="59"/>
  <c r="B5088" i="59"/>
  <c r="B5087" i="59"/>
  <c r="B5086" i="59"/>
  <c r="B5085" i="59"/>
  <c r="B5084" i="59"/>
  <c r="B5083" i="59"/>
  <c r="B5082" i="59"/>
  <c r="B5081" i="59"/>
  <c r="B5080" i="59"/>
  <c r="B5079" i="59"/>
  <c r="B5078" i="59"/>
  <c r="B5077" i="59"/>
  <c r="B5076" i="59"/>
  <c r="B5075" i="59"/>
  <c r="B5074" i="59"/>
  <c r="B5073" i="59"/>
  <c r="B5072" i="59"/>
  <c r="B5071" i="59"/>
  <c r="B5070" i="59"/>
  <c r="B5069" i="59"/>
  <c r="B5068" i="59"/>
  <c r="B5067" i="59"/>
  <c r="B5066" i="59"/>
  <c r="B5065" i="59"/>
  <c r="B5064" i="59"/>
  <c r="B5063" i="59"/>
  <c r="B5062" i="59"/>
  <c r="B5061" i="59"/>
  <c r="B5060" i="59"/>
  <c r="B5059" i="59"/>
  <c r="B5058" i="59"/>
  <c r="B5057" i="59"/>
  <c r="B5056" i="59"/>
  <c r="B5055" i="59"/>
  <c r="B5054" i="59"/>
  <c r="B5053" i="59"/>
  <c r="B5052" i="59"/>
  <c r="B5051" i="59"/>
  <c r="B5050" i="59"/>
  <c r="B5049" i="59"/>
  <c r="B5048" i="59"/>
  <c r="B5047" i="59"/>
  <c r="B5046" i="59"/>
  <c r="B5045" i="59"/>
  <c r="B5044" i="59"/>
  <c r="B5043" i="59"/>
  <c r="B5042" i="59"/>
  <c r="B5041" i="59"/>
  <c r="B5040" i="59"/>
  <c r="B5039" i="59"/>
  <c r="B5038" i="59"/>
  <c r="B5037" i="59"/>
  <c r="B5036" i="59"/>
  <c r="B5035" i="59"/>
  <c r="B5034" i="59"/>
  <c r="B5033" i="59"/>
  <c r="B5032" i="59"/>
  <c r="B5031" i="59"/>
  <c r="B5030" i="59"/>
  <c r="B5029" i="59"/>
  <c r="B5028" i="59"/>
  <c r="B5027" i="59"/>
  <c r="B5026" i="59"/>
  <c r="B5025" i="59"/>
  <c r="B5024" i="59"/>
  <c r="B5023" i="59"/>
  <c r="B5022" i="59"/>
  <c r="B5021" i="59"/>
  <c r="B5020" i="59"/>
  <c r="B5019" i="59"/>
  <c r="B5018" i="59"/>
  <c r="B5017" i="59"/>
  <c r="B5016" i="59"/>
  <c r="B5015" i="59"/>
  <c r="B5014" i="59"/>
  <c r="B5013" i="59"/>
  <c r="B5012" i="59"/>
  <c r="B5011" i="59"/>
  <c r="B5010" i="59"/>
  <c r="B5009" i="59"/>
  <c r="B5008" i="59"/>
  <c r="B5007" i="59"/>
  <c r="B5006" i="59"/>
  <c r="B5005" i="59"/>
  <c r="B5004" i="59"/>
  <c r="B5003" i="59"/>
  <c r="B5002" i="59"/>
  <c r="B5001" i="59"/>
  <c r="B5000" i="59"/>
  <c r="B4999" i="59"/>
  <c r="B4998" i="59"/>
  <c r="B4997" i="59"/>
  <c r="B4996" i="59"/>
  <c r="B4995" i="59"/>
  <c r="B4994" i="59"/>
  <c r="B4993" i="59"/>
  <c r="B4992" i="59"/>
  <c r="B4991" i="59"/>
  <c r="B4990" i="59"/>
  <c r="B4989" i="59"/>
  <c r="B4988" i="59"/>
  <c r="B4987" i="59"/>
  <c r="B4986" i="59"/>
  <c r="B4985" i="59"/>
  <c r="B4984" i="59"/>
  <c r="B4983" i="59"/>
  <c r="B4982" i="59"/>
  <c r="B4981" i="59"/>
  <c r="B4980" i="59"/>
  <c r="B4979" i="59"/>
  <c r="B4978" i="59"/>
  <c r="B4977" i="59"/>
  <c r="B4976" i="59"/>
  <c r="B4975" i="59"/>
  <c r="B4974" i="59"/>
  <c r="B4973" i="59"/>
  <c r="B4972" i="59"/>
  <c r="B4971" i="59"/>
  <c r="B4970" i="59"/>
  <c r="B4969" i="59"/>
  <c r="B4968" i="59"/>
  <c r="B4967" i="59"/>
  <c r="B4966" i="59"/>
  <c r="B4965" i="59"/>
  <c r="B4964" i="59"/>
  <c r="B4963" i="59"/>
  <c r="B4962" i="59"/>
  <c r="B4961" i="59"/>
  <c r="B4960" i="59"/>
  <c r="B4959" i="59"/>
  <c r="B4958" i="59"/>
  <c r="B4957" i="59"/>
  <c r="B4956" i="59"/>
  <c r="B4955" i="59"/>
  <c r="B4954" i="59"/>
  <c r="B4953" i="59"/>
  <c r="B4952" i="59"/>
  <c r="B4951" i="59"/>
  <c r="B4950" i="59"/>
  <c r="B4949" i="59"/>
  <c r="B4948" i="59"/>
  <c r="B4947" i="59"/>
  <c r="B4946" i="59"/>
  <c r="B4945" i="59"/>
  <c r="B4944" i="59"/>
  <c r="B4943" i="59"/>
  <c r="B4942" i="59"/>
  <c r="B4941" i="59"/>
  <c r="B4940" i="59"/>
  <c r="B4939" i="59"/>
  <c r="B4938" i="59"/>
  <c r="B4937" i="59"/>
  <c r="B4936" i="59"/>
  <c r="B4935" i="59"/>
  <c r="B4934" i="59"/>
  <c r="B4933" i="59"/>
  <c r="B4932" i="59"/>
  <c r="B4931" i="59"/>
  <c r="B4930" i="59"/>
  <c r="B4929" i="59"/>
  <c r="B4928" i="59"/>
  <c r="B4927" i="59"/>
  <c r="B4926" i="59"/>
  <c r="B4925" i="59"/>
  <c r="B4924" i="59"/>
  <c r="B4923" i="59"/>
  <c r="B4922" i="59"/>
  <c r="B4921" i="59"/>
  <c r="B4920" i="59"/>
  <c r="B4919" i="59"/>
  <c r="B4918" i="59"/>
  <c r="B4917" i="59"/>
  <c r="B4916" i="59"/>
  <c r="B4915" i="59"/>
  <c r="B4914" i="59"/>
  <c r="B4913" i="59"/>
  <c r="B4912" i="59"/>
  <c r="B4911" i="59"/>
  <c r="B4910" i="59"/>
  <c r="B4909" i="59"/>
  <c r="B4908" i="59"/>
  <c r="B4907" i="59"/>
  <c r="B4906" i="59"/>
  <c r="B4905" i="59"/>
  <c r="B4904" i="59"/>
  <c r="B4903" i="59"/>
  <c r="B4902" i="59"/>
  <c r="B4901" i="59"/>
  <c r="B4900" i="59"/>
  <c r="B4899" i="59"/>
  <c r="B4898" i="59"/>
  <c r="B4897" i="59"/>
  <c r="B4896" i="59"/>
  <c r="B4895" i="59"/>
  <c r="B4894" i="59"/>
  <c r="B4893" i="59"/>
  <c r="B4892" i="59"/>
  <c r="B4891" i="59"/>
  <c r="B4890" i="59"/>
  <c r="B4889" i="59"/>
  <c r="B4888" i="59"/>
  <c r="B4887" i="59"/>
  <c r="B4886" i="59"/>
  <c r="B4885" i="59"/>
  <c r="B4884" i="59"/>
  <c r="B4883" i="59"/>
  <c r="B4882" i="59"/>
  <c r="B4881" i="59"/>
  <c r="B4880" i="59"/>
  <c r="B4879" i="59"/>
  <c r="B4878" i="59"/>
  <c r="B4877" i="59"/>
  <c r="B4876" i="59"/>
  <c r="B4875" i="59"/>
  <c r="B4874" i="59"/>
  <c r="B4873" i="59"/>
  <c r="B4872" i="59"/>
  <c r="B4871" i="59"/>
  <c r="B4870" i="59"/>
  <c r="B4869" i="59"/>
  <c r="B4868" i="59"/>
  <c r="B4867" i="59"/>
  <c r="B4866" i="59"/>
  <c r="B4865" i="59"/>
  <c r="B4864" i="59"/>
  <c r="B4863" i="59"/>
  <c r="B4862" i="59"/>
  <c r="B4861" i="59"/>
  <c r="B4860" i="59"/>
  <c r="B4859" i="59"/>
  <c r="B4858" i="59"/>
  <c r="B4857" i="59"/>
  <c r="B4856" i="59"/>
  <c r="B4855" i="59"/>
  <c r="B4854" i="59"/>
  <c r="B4853" i="59"/>
  <c r="B4852" i="59"/>
  <c r="B4851" i="59"/>
  <c r="B4850" i="59"/>
  <c r="B4849" i="59"/>
  <c r="B4848" i="59"/>
  <c r="B4847" i="59"/>
  <c r="B4846" i="59"/>
  <c r="B4845" i="59"/>
  <c r="B4844" i="59"/>
  <c r="B4843" i="59"/>
  <c r="B4842" i="59"/>
  <c r="B4841" i="59"/>
  <c r="B4840" i="59"/>
  <c r="B4839" i="59"/>
  <c r="B4838" i="59"/>
  <c r="B4837" i="59"/>
  <c r="B4836" i="59"/>
  <c r="B4835" i="59"/>
  <c r="B4834" i="59"/>
  <c r="B4833" i="59"/>
  <c r="B4832" i="59"/>
  <c r="B4831" i="59"/>
  <c r="B4830" i="59"/>
  <c r="B4829" i="59"/>
  <c r="B4828" i="59"/>
  <c r="B4827" i="59"/>
  <c r="B4826" i="59"/>
  <c r="B4825" i="59"/>
  <c r="B4824" i="59"/>
  <c r="B4823" i="59"/>
  <c r="B4822" i="59"/>
  <c r="B4821" i="59"/>
  <c r="B4820" i="59"/>
  <c r="B4819" i="59"/>
  <c r="B4818" i="59"/>
  <c r="B4817" i="59"/>
  <c r="B4816" i="59"/>
  <c r="B4815" i="59"/>
  <c r="B4814" i="59"/>
  <c r="B4813" i="59"/>
  <c r="B4812" i="59"/>
  <c r="B4811" i="59"/>
  <c r="B4810" i="59"/>
  <c r="B4809" i="59"/>
  <c r="B4808" i="59"/>
  <c r="B4807" i="59"/>
  <c r="B4806" i="59"/>
  <c r="B4805" i="59"/>
  <c r="B4804" i="59"/>
  <c r="B4803" i="59"/>
  <c r="B4802" i="59"/>
  <c r="B4801" i="59"/>
  <c r="B4800" i="59"/>
  <c r="B4799" i="59"/>
  <c r="B4798" i="59"/>
  <c r="B4797" i="59"/>
  <c r="B4796" i="59"/>
  <c r="B4795" i="59"/>
  <c r="B4794" i="59"/>
  <c r="B4793" i="59"/>
  <c r="B4792" i="59"/>
  <c r="B4791" i="59"/>
  <c r="B4790" i="59"/>
  <c r="B4789" i="59"/>
  <c r="B4788" i="59"/>
  <c r="B4787" i="59"/>
  <c r="B4786" i="59"/>
  <c r="B4785" i="59"/>
  <c r="B4784" i="59"/>
  <c r="B4783" i="59"/>
  <c r="B4782" i="59"/>
  <c r="B4781" i="59"/>
  <c r="B4780" i="59"/>
  <c r="B4779" i="59"/>
  <c r="B4778" i="59"/>
  <c r="B4777" i="59"/>
  <c r="B4776" i="59"/>
  <c r="B4775" i="59"/>
  <c r="B4774" i="59"/>
  <c r="B4773" i="59"/>
  <c r="B4772" i="59"/>
  <c r="B4771" i="59"/>
  <c r="B4770" i="59"/>
  <c r="B4769" i="59"/>
  <c r="B4768" i="59"/>
  <c r="B4767" i="59"/>
  <c r="B4766" i="59"/>
  <c r="B4765" i="59"/>
  <c r="B4764" i="59"/>
  <c r="B4763" i="59"/>
  <c r="B4762" i="59"/>
  <c r="B4761" i="59"/>
  <c r="B4760" i="59"/>
  <c r="B4759" i="59"/>
  <c r="B4758" i="59"/>
  <c r="B4757" i="59"/>
  <c r="B4756" i="59"/>
  <c r="B4755" i="59"/>
  <c r="B4754" i="59"/>
  <c r="B4753" i="59"/>
  <c r="B4752" i="59"/>
  <c r="B4751" i="59"/>
  <c r="B4750" i="59"/>
  <c r="B4749" i="59"/>
  <c r="B4748" i="59"/>
  <c r="B4747" i="59"/>
  <c r="B4746" i="59"/>
  <c r="B4745" i="59"/>
  <c r="B4744" i="59"/>
  <c r="B4743" i="59"/>
  <c r="B4742" i="59"/>
  <c r="B4741" i="59"/>
  <c r="B4740" i="59"/>
  <c r="B4739" i="59"/>
  <c r="B4738" i="59"/>
  <c r="B4737" i="59"/>
  <c r="B4736" i="59"/>
  <c r="B4735" i="59"/>
  <c r="B4734" i="59"/>
  <c r="B4733" i="59"/>
  <c r="B4732" i="59"/>
  <c r="B4731" i="59"/>
  <c r="B4730" i="59"/>
  <c r="B4729" i="59"/>
  <c r="B4728" i="59"/>
  <c r="B4727" i="59"/>
  <c r="B4726" i="59"/>
  <c r="B4725" i="59"/>
  <c r="B4724" i="59"/>
  <c r="B4723" i="59"/>
  <c r="B4722" i="59"/>
  <c r="B4721" i="59"/>
  <c r="B4720" i="59"/>
  <c r="B4719" i="59"/>
  <c r="B4718" i="59"/>
  <c r="B4717" i="59"/>
  <c r="B4716" i="59"/>
  <c r="B4715" i="59"/>
  <c r="B4714" i="59"/>
  <c r="B4713" i="59"/>
  <c r="B4712" i="59"/>
  <c r="B4711" i="59"/>
  <c r="B4710" i="59"/>
  <c r="B4709" i="59"/>
  <c r="B4708" i="59"/>
  <c r="B4707" i="59"/>
  <c r="B4706" i="59"/>
  <c r="B4705" i="59"/>
  <c r="B4704" i="59"/>
  <c r="B4703" i="59"/>
  <c r="B4702" i="59"/>
  <c r="B4701" i="59"/>
  <c r="B4700" i="59"/>
  <c r="B4699" i="59"/>
  <c r="B4698" i="59"/>
  <c r="B4697" i="59"/>
  <c r="B4696" i="59"/>
  <c r="B4695" i="59"/>
  <c r="B4694" i="59"/>
  <c r="B4693" i="59"/>
  <c r="B4692" i="59"/>
  <c r="B4691" i="59"/>
  <c r="B4690" i="59"/>
  <c r="B4689" i="59"/>
  <c r="B4688" i="59"/>
  <c r="B4687" i="59"/>
  <c r="B4686" i="59"/>
  <c r="B4685" i="59"/>
  <c r="B4684" i="59"/>
  <c r="B4683" i="59"/>
  <c r="B4682" i="59"/>
  <c r="B4681" i="59"/>
  <c r="B4680" i="59"/>
  <c r="B4679" i="59"/>
  <c r="B4678" i="59"/>
  <c r="B4677" i="59"/>
  <c r="B4676" i="59"/>
  <c r="B4675" i="59"/>
  <c r="B4674" i="59"/>
  <c r="B4673" i="59"/>
  <c r="B4672" i="59"/>
  <c r="B4671" i="59"/>
  <c r="B4670" i="59"/>
  <c r="B4669" i="59"/>
  <c r="B4668" i="59"/>
  <c r="B4667" i="59"/>
  <c r="B4666" i="59"/>
  <c r="B4665" i="59"/>
  <c r="B4664" i="59"/>
  <c r="B4663" i="59"/>
  <c r="B4662" i="59"/>
  <c r="B4661" i="59"/>
  <c r="B4660" i="59"/>
  <c r="B4659" i="59"/>
  <c r="B4658" i="59"/>
  <c r="B4657" i="59"/>
  <c r="B4656" i="59"/>
  <c r="B4655" i="59"/>
  <c r="B4654" i="59"/>
  <c r="B4653" i="59"/>
  <c r="B4652" i="59"/>
  <c r="B4651" i="59"/>
  <c r="B4650" i="59"/>
  <c r="B4649" i="59"/>
  <c r="B4648" i="59"/>
  <c r="B4647" i="59"/>
  <c r="B4646" i="59"/>
  <c r="B4645" i="59"/>
  <c r="B4644" i="59"/>
  <c r="B4643" i="59"/>
  <c r="B4642" i="59"/>
  <c r="B4641" i="59"/>
  <c r="B4640" i="59"/>
  <c r="B4639" i="59"/>
  <c r="B4638" i="59"/>
  <c r="B4637" i="59"/>
  <c r="B4636" i="59"/>
  <c r="B4635" i="59"/>
  <c r="B4634" i="59"/>
  <c r="B4633" i="59"/>
  <c r="B4632" i="59"/>
  <c r="B4631" i="59"/>
  <c r="B4630" i="59"/>
  <c r="B4629" i="59"/>
  <c r="B4628" i="59"/>
  <c r="B4627" i="59"/>
  <c r="B4626" i="59"/>
  <c r="B4625" i="59"/>
  <c r="B4624" i="59"/>
  <c r="B4623" i="59"/>
  <c r="B4622" i="59"/>
  <c r="B4621" i="59"/>
  <c r="B4620" i="59"/>
  <c r="B4619" i="59"/>
  <c r="B4618" i="59"/>
  <c r="B4617" i="59"/>
  <c r="B4616" i="59"/>
  <c r="B4615" i="59"/>
  <c r="B4614" i="59"/>
  <c r="B4613" i="59"/>
  <c r="B4612" i="59"/>
  <c r="B4611" i="59"/>
  <c r="B4610" i="59"/>
  <c r="B4609" i="59"/>
  <c r="B4608" i="59"/>
  <c r="B4607" i="59"/>
  <c r="B4606" i="59"/>
  <c r="B4605" i="59"/>
  <c r="B4604" i="59"/>
  <c r="B4603" i="59"/>
  <c r="B4602" i="59"/>
  <c r="B4601" i="59"/>
  <c r="B4600" i="59"/>
  <c r="B4599" i="59"/>
  <c r="B4598" i="59"/>
  <c r="B4597" i="59"/>
  <c r="B4596" i="59"/>
  <c r="B4595" i="59"/>
  <c r="B4594" i="59"/>
  <c r="B4593" i="59"/>
  <c r="B4592" i="59"/>
  <c r="B4591" i="59"/>
  <c r="B4590" i="59"/>
  <c r="B4589" i="59"/>
  <c r="B4588" i="59"/>
  <c r="B4587" i="59"/>
  <c r="B4586" i="59"/>
  <c r="B4585" i="59"/>
  <c r="B4584" i="59"/>
  <c r="B4583" i="59"/>
  <c r="B4582" i="59"/>
  <c r="B4581" i="59"/>
  <c r="B4580" i="59"/>
  <c r="B4579" i="59"/>
  <c r="B4578" i="59"/>
  <c r="B4577" i="59"/>
  <c r="B4576" i="59"/>
  <c r="B4575" i="59"/>
  <c r="B4574" i="59"/>
  <c r="B4573" i="59"/>
  <c r="B4572" i="59"/>
  <c r="B4571" i="59"/>
  <c r="B4570" i="59"/>
  <c r="B4569" i="59"/>
  <c r="B4568" i="59"/>
  <c r="B4567" i="59"/>
  <c r="B4566" i="59"/>
  <c r="B4565" i="59"/>
  <c r="B4564" i="59"/>
  <c r="B4563" i="59"/>
  <c r="B4562" i="59"/>
  <c r="B4561" i="59"/>
  <c r="B4560" i="59"/>
  <c r="B4559" i="59"/>
  <c r="B4558" i="59"/>
  <c r="B4557" i="59"/>
  <c r="B4556" i="59"/>
  <c r="B4555" i="59"/>
  <c r="B4554" i="59"/>
  <c r="B4553" i="59"/>
  <c r="B4552" i="59"/>
  <c r="B4551" i="59"/>
  <c r="B4550" i="59"/>
  <c r="B4549" i="59"/>
  <c r="B4548" i="59"/>
  <c r="B4547" i="59"/>
  <c r="B4546" i="59"/>
  <c r="B4545" i="59"/>
  <c r="B4544" i="59"/>
  <c r="B4543" i="59"/>
  <c r="B4542" i="59"/>
  <c r="B4541" i="59"/>
  <c r="B4540" i="59"/>
  <c r="B4539" i="59"/>
  <c r="B4538" i="59"/>
  <c r="B4537" i="59"/>
  <c r="B4536" i="59"/>
  <c r="B4535" i="59"/>
  <c r="B4534" i="59"/>
  <c r="B4533" i="59"/>
  <c r="B4532" i="59"/>
  <c r="B4531" i="59"/>
  <c r="B4530" i="59"/>
  <c r="B4529" i="59"/>
  <c r="B4528" i="59"/>
  <c r="B4527" i="59"/>
  <c r="B4526" i="59"/>
  <c r="B4525" i="59"/>
  <c r="B4524" i="59"/>
  <c r="B4523" i="59"/>
  <c r="B4522" i="59"/>
  <c r="B4521" i="59"/>
  <c r="B4520" i="59"/>
  <c r="B4519" i="59"/>
  <c r="B4518" i="59"/>
  <c r="B4517" i="59"/>
  <c r="B4516" i="59"/>
  <c r="B4515" i="59"/>
  <c r="B4514" i="59"/>
  <c r="B4513" i="59"/>
  <c r="B4512" i="59"/>
  <c r="B4511" i="59"/>
  <c r="B4510" i="59"/>
  <c r="B4509" i="59"/>
  <c r="B4508" i="59"/>
  <c r="B4507" i="59"/>
  <c r="B4506" i="59"/>
  <c r="B4505" i="59"/>
  <c r="B4504" i="59"/>
  <c r="B4503" i="59"/>
  <c r="B4502" i="59"/>
  <c r="B4501" i="59"/>
  <c r="B4500" i="59"/>
  <c r="B4499" i="59"/>
  <c r="B4498" i="59"/>
  <c r="B4497" i="59"/>
  <c r="B4496" i="59"/>
  <c r="B4495" i="59"/>
  <c r="B4494" i="59"/>
  <c r="B4493" i="59"/>
  <c r="B4492" i="59"/>
  <c r="B4491" i="59"/>
  <c r="B4490" i="59"/>
  <c r="B4489" i="59"/>
  <c r="B4488" i="59"/>
  <c r="B4487" i="59"/>
  <c r="B4486" i="59"/>
  <c r="B4485" i="59"/>
  <c r="B4484" i="59"/>
  <c r="B4483" i="59"/>
  <c r="B4482" i="59"/>
  <c r="B4481" i="59"/>
  <c r="B4480" i="59"/>
  <c r="B4479" i="59"/>
  <c r="B4478" i="59"/>
  <c r="B4477" i="59"/>
  <c r="B4476" i="59"/>
  <c r="B4475" i="59"/>
  <c r="B4474" i="59"/>
  <c r="B4473" i="59"/>
  <c r="B4472" i="59"/>
  <c r="B4471" i="59"/>
  <c r="B4470" i="59"/>
  <c r="B4469" i="59"/>
  <c r="B4468" i="59"/>
  <c r="B4467" i="59"/>
  <c r="B4466" i="59"/>
  <c r="B4465" i="59"/>
  <c r="B4464" i="59"/>
  <c r="B4463" i="59"/>
  <c r="B4462" i="59"/>
  <c r="B4461" i="59"/>
  <c r="B4460" i="59"/>
  <c r="B4459" i="59"/>
  <c r="B4458" i="59"/>
  <c r="B4457" i="59"/>
  <c r="B4456" i="59"/>
  <c r="B4455" i="59"/>
  <c r="B4454" i="59"/>
  <c r="B4453" i="59"/>
  <c r="B4452" i="59"/>
  <c r="B4451" i="59"/>
  <c r="B4450" i="59"/>
  <c r="B4449" i="59"/>
  <c r="B4448" i="59"/>
  <c r="B4447" i="59"/>
  <c r="B4446" i="59"/>
  <c r="B4445" i="59"/>
  <c r="B4444" i="59"/>
  <c r="B4443" i="59"/>
  <c r="B4442" i="59"/>
  <c r="B4441" i="59"/>
  <c r="B4440" i="59"/>
  <c r="B4439" i="59"/>
  <c r="B4438" i="59"/>
  <c r="B4437" i="59"/>
  <c r="B4436" i="59"/>
  <c r="B4435" i="59"/>
  <c r="B4434" i="59"/>
  <c r="B4433" i="59"/>
  <c r="B4432" i="59"/>
  <c r="B4431" i="59"/>
  <c r="B4430" i="59"/>
  <c r="B4429" i="59"/>
  <c r="B4428" i="59"/>
  <c r="B4427" i="59"/>
  <c r="B4426" i="59"/>
  <c r="B4425" i="59"/>
  <c r="B4424" i="59"/>
  <c r="B4423" i="59"/>
  <c r="B4422" i="59"/>
  <c r="B4421" i="59"/>
  <c r="B4420" i="59"/>
  <c r="B4419" i="59"/>
  <c r="B4418" i="59"/>
  <c r="B4417" i="59"/>
  <c r="B4416" i="59"/>
  <c r="B4415" i="59"/>
  <c r="B4414" i="59"/>
  <c r="B4413" i="59"/>
  <c r="B4412" i="59"/>
  <c r="B4411" i="59"/>
  <c r="B4410" i="59"/>
  <c r="B4409" i="59"/>
  <c r="B4408" i="59"/>
  <c r="B4407" i="59"/>
  <c r="B4406" i="59"/>
  <c r="B4405" i="59"/>
  <c r="B4404" i="59"/>
  <c r="B4403" i="59"/>
  <c r="B4402" i="59"/>
  <c r="B4401" i="59"/>
  <c r="B4400" i="59"/>
  <c r="B4399" i="59"/>
  <c r="B4398" i="59"/>
  <c r="B4397" i="59"/>
  <c r="B4396" i="59"/>
  <c r="B4395" i="59"/>
  <c r="B4394" i="59"/>
  <c r="B4393" i="59"/>
  <c r="B4392" i="59"/>
  <c r="B4391" i="59"/>
  <c r="B4390" i="59"/>
  <c r="B4389" i="59"/>
  <c r="B4388" i="59"/>
  <c r="B4387" i="59"/>
  <c r="B4386" i="59"/>
  <c r="B4385" i="59"/>
  <c r="B4384" i="59"/>
  <c r="B4383" i="59"/>
  <c r="B4382" i="59"/>
  <c r="B4381" i="59"/>
  <c r="B4380" i="59"/>
  <c r="B4379" i="59"/>
  <c r="B4378" i="59"/>
  <c r="B4377" i="59"/>
  <c r="B4376" i="59"/>
  <c r="B4375" i="59"/>
  <c r="B4374" i="59"/>
  <c r="B4373" i="59"/>
  <c r="B4372" i="59"/>
  <c r="B4371" i="59"/>
  <c r="B4370" i="59"/>
  <c r="B4369" i="59"/>
  <c r="B4368" i="59"/>
  <c r="B4367" i="59"/>
  <c r="B4366" i="59"/>
  <c r="B4365" i="59"/>
  <c r="B4364" i="59"/>
  <c r="B4363" i="59"/>
  <c r="B4362" i="59"/>
  <c r="B4361" i="59"/>
  <c r="B4360" i="59"/>
  <c r="B4359" i="59"/>
  <c r="B4358" i="59"/>
  <c r="B4357" i="59"/>
  <c r="B4356" i="59"/>
  <c r="B4355" i="59"/>
  <c r="B4354" i="59"/>
  <c r="B4353" i="59"/>
  <c r="B4352" i="59"/>
  <c r="B4351" i="59"/>
  <c r="B4350" i="59"/>
  <c r="B4349" i="59"/>
  <c r="B4348" i="59"/>
  <c r="B4347" i="59"/>
  <c r="B4346" i="59"/>
  <c r="B4345" i="59"/>
  <c r="B4344" i="59"/>
  <c r="B4343" i="59"/>
  <c r="B4342" i="59"/>
  <c r="B4341" i="59"/>
  <c r="B4340" i="59"/>
  <c r="B4339" i="59"/>
  <c r="B4338" i="59"/>
  <c r="B4337" i="59"/>
  <c r="B4336" i="59"/>
  <c r="B4335" i="59"/>
  <c r="B4334" i="59"/>
  <c r="B4333" i="59"/>
  <c r="B4332" i="59"/>
  <c r="B4331" i="59"/>
  <c r="B4330" i="59"/>
  <c r="B4329" i="59"/>
  <c r="B4328" i="59"/>
  <c r="B4327" i="59"/>
  <c r="B4326" i="59"/>
  <c r="B4325" i="59"/>
  <c r="B4324" i="59"/>
  <c r="B4323" i="59"/>
  <c r="B4322" i="59"/>
  <c r="B4321" i="59"/>
  <c r="B4320" i="59"/>
  <c r="B4319" i="59"/>
  <c r="B4318" i="59"/>
  <c r="B4317" i="59"/>
  <c r="B4316" i="59"/>
  <c r="B4315" i="59"/>
  <c r="B4314" i="59"/>
  <c r="B4313" i="59"/>
  <c r="B4312" i="59"/>
  <c r="B4311" i="59"/>
  <c r="B4310" i="59"/>
  <c r="B4309" i="59"/>
  <c r="B4308" i="59"/>
  <c r="B4307" i="59"/>
  <c r="B4306" i="59"/>
  <c r="B4305" i="59"/>
  <c r="B4304" i="59"/>
  <c r="B4303" i="59"/>
  <c r="B4302" i="59"/>
  <c r="B4301" i="59"/>
  <c r="B4300" i="59"/>
  <c r="B4299" i="59"/>
  <c r="B4298" i="59"/>
  <c r="B4297" i="59"/>
  <c r="B4296" i="59"/>
  <c r="B4295" i="59"/>
  <c r="B4294" i="59"/>
  <c r="B4293" i="59"/>
  <c r="B4292" i="59"/>
  <c r="B4291" i="59"/>
  <c r="B4290" i="59"/>
  <c r="B4289" i="59"/>
  <c r="B4288" i="59"/>
  <c r="B4287" i="59"/>
  <c r="B4286" i="59"/>
  <c r="B4285" i="59"/>
  <c r="B4284" i="59"/>
  <c r="B4283" i="59"/>
  <c r="B4282" i="59"/>
  <c r="B4281" i="59"/>
  <c r="B4280" i="59"/>
  <c r="B4279" i="59"/>
  <c r="B4278" i="59"/>
  <c r="B4277" i="59"/>
  <c r="B4276" i="59"/>
  <c r="B4275" i="59"/>
  <c r="B4274" i="59"/>
  <c r="B4273" i="59"/>
  <c r="B4272" i="59"/>
  <c r="B4271" i="59"/>
  <c r="B4270" i="59"/>
  <c r="B4269" i="59"/>
  <c r="B4268" i="59"/>
  <c r="B4267" i="59"/>
  <c r="B4266" i="59"/>
  <c r="B4265" i="59"/>
  <c r="B4264" i="59"/>
  <c r="B4263" i="59"/>
  <c r="B4262" i="59"/>
  <c r="B4261" i="59"/>
  <c r="B4260" i="59"/>
  <c r="B4259" i="59"/>
  <c r="B4258" i="59"/>
  <c r="B4257" i="59"/>
  <c r="B4256" i="59"/>
  <c r="B4255" i="59"/>
  <c r="B4254" i="59"/>
  <c r="B4253" i="59"/>
  <c r="B4252" i="59"/>
  <c r="B4251" i="59"/>
  <c r="B4250" i="59"/>
  <c r="B4249" i="59"/>
  <c r="B4248" i="59"/>
  <c r="B4247" i="59"/>
  <c r="B4246" i="59"/>
  <c r="B4245" i="59"/>
  <c r="B4244" i="59"/>
  <c r="B4243" i="59"/>
  <c r="B4242" i="59"/>
  <c r="B4241" i="59"/>
  <c r="B4240" i="59"/>
  <c r="B4239" i="59"/>
  <c r="B4238" i="59"/>
  <c r="B4237" i="59"/>
  <c r="B4236" i="59"/>
  <c r="B4235" i="59"/>
  <c r="B4234" i="59"/>
  <c r="B4233" i="59"/>
  <c r="B4232" i="59"/>
  <c r="B4231" i="59"/>
  <c r="B4230" i="59"/>
  <c r="B4229" i="59"/>
  <c r="B4228" i="59"/>
  <c r="B4227" i="59"/>
  <c r="B4226" i="59"/>
  <c r="B4225" i="59"/>
  <c r="B4224" i="59"/>
  <c r="B4223" i="59"/>
  <c r="B4222" i="59"/>
  <c r="B4221" i="59"/>
  <c r="B4220" i="59"/>
  <c r="B4219" i="59"/>
  <c r="B4218" i="59"/>
  <c r="B4217" i="59"/>
  <c r="B4216" i="59"/>
  <c r="B4215" i="59"/>
  <c r="B4214" i="59"/>
  <c r="B4213" i="59"/>
  <c r="B4212" i="59"/>
  <c r="B4211" i="59"/>
  <c r="B4210" i="59"/>
  <c r="B4209" i="59"/>
  <c r="B4208" i="59"/>
  <c r="B4207" i="59"/>
  <c r="B4206" i="59"/>
  <c r="B4205" i="59"/>
  <c r="B4204" i="59"/>
  <c r="B4203" i="59"/>
  <c r="B4202" i="59"/>
  <c r="B4201" i="59"/>
  <c r="B4200" i="59"/>
  <c r="B4199" i="59"/>
  <c r="B4198" i="59"/>
  <c r="B4197" i="59"/>
  <c r="B4196" i="59"/>
  <c r="B4195" i="59"/>
  <c r="B4194" i="59"/>
  <c r="B4193" i="59"/>
  <c r="B4192" i="59"/>
  <c r="B4191" i="59"/>
  <c r="B4190" i="59"/>
  <c r="B4189" i="59"/>
  <c r="B4188" i="59"/>
  <c r="B4187" i="59"/>
  <c r="B4186" i="59"/>
  <c r="B4185" i="59"/>
  <c r="B4184" i="59"/>
  <c r="B4183" i="59"/>
  <c r="B4182" i="59"/>
  <c r="B4181" i="59"/>
  <c r="B4180" i="59"/>
  <c r="B4179" i="59"/>
  <c r="B4178" i="59"/>
  <c r="B4177" i="59"/>
  <c r="B4176" i="59"/>
  <c r="B4175" i="59"/>
  <c r="B4174" i="59"/>
  <c r="B4173" i="59"/>
  <c r="B4172" i="59"/>
  <c r="B4171" i="59"/>
  <c r="B4170" i="59"/>
  <c r="B4169" i="59"/>
  <c r="B4168" i="59"/>
  <c r="B4167" i="59"/>
  <c r="B4166" i="59"/>
  <c r="B4165" i="59"/>
  <c r="B4164" i="59"/>
  <c r="B4163" i="59"/>
  <c r="B4162" i="59"/>
  <c r="B4161" i="59"/>
  <c r="B4160" i="59"/>
  <c r="B4159" i="59"/>
  <c r="B4158" i="59"/>
  <c r="B4157" i="59"/>
  <c r="B4156" i="59"/>
  <c r="B4155" i="59"/>
  <c r="B4154" i="59"/>
  <c r="B4153" i="59"/>
  <c r="B4152" i="59"/>
  <c r="B4151" i="59"/>
  <c r="B4150" i="59"/>
  <c r="B4149" i="59"/>
  <c r="B4148" i="59"/>
  <c r="B4147" i="59"/>
  <c r="B4146" i="59"/>
  <c r="B4145" i="59"/>
  <c r="B4144" i="59"/>
  <c r="B4143" i="59"/>
  <c r="B4142" i="59"/>
  <c r="B4141" i="59"/>
  <c r="B4140" i="59"/>
  <c r="B4139" i="59"/>
  <c r="B4138" i="59"/>
  <c r="B4137" i="59"/>
  <c r="B4136" i="59"/>
  <c r="B4135" i="59"/>
  <c r="B4134" i="59"/>
  <c r="B4133" i="59"/>
  <c r="B4132" i="59"/>
  <c r="B4131" i="59"/>
  <c r="B4130" i="59"/>
  <c r="B4129" i="59"/>
  <c r="B4128" i="59"/>
  <c r="B4127" i="59"/>
  <c r="B4126" i="59"/>
  <c r="B4125" i="59"/>
  <c r="B4124" i="59"/>
  <c r="B4123" i="59"/>
  <c r="B4122" i="59"/>
  <c r="B4121" i="59"/>
  <c r="B4120" i="59"/>
  <c r="B4119" i="59"/>
  <c r="B4118" i="59"/>
  <c r="B4117" i="59"/>
  <c r="B4116" i="59"/>
  <c r="B4115" i="59"/>
  <c r="B4114" i="59"/>
  <c r="B4113" i="59"/>
  <c r="B4112" i="59"/>
  <c r="B4111" i="59"/>
  <c r="B4110" i="59"/>
  <c r="B4109" i="59"/>
  <c r="B4108" i="59"/>
  <c r="B4107" i="59"/>
  <c r="B4106" i="59"/>
  <c r="B4105" i="59"/>
  <c r="B4104" i="59"/>
  <c r="B4103" i="59"/>
  <c r="B4102" i="59"/>
  <c r="B4101" i="59"/>
  <c r="B4100" i="59"/>
  <c r="B4099" i="59"/>
  <c r="B4098" i="59"/>
  <c r="B4097" i="59"/>
  <c r="B4096" i="59"/>
  <c r="B4095" i="59"/>
  <c r="B4094" i="59"/>
  <c r="B4093" i="59"/>
  <c r="B4092" i="59"/>
  <c r="B4091" i="59"/>
  <c r="B4090" i="59"/>
  <c r="B4089" i="59"/>
  <c r="B4088" i="59"/>
  <c r="B4087" i="59"/>
  <c r="B4086" i="59"/>
  <c r="B4085" i="59"/>
  <c r="B4084" i="59"/>
  <c r="B4083" i="59"/>
  <c r="B4082" i="59"/>
  <c r="B4081" i="59"/>
  <c r="B4080" i="59"/>
  <c r="B4079" i="59"/>
  <c r="B4078" i="59"/>
  <c r="B4077" i="59"/>
  <c r="B4076" i="59"/>
  <c r="B4075" i="59"/>
  <c r="B4074" i="59"/>
  <c r="B4073" i="59"/>
  <c r="B4072" i="59"/>
  <c r="B4071" i="59"/>
  <c r="B4070" i="59"/>
  <c r="B4069" i="59"/>
  <c r="B4068" i="59"/>
  <c r="B4067" i="59"/>
  <c r="B4066" i="59"/>
  <c r="B4065" i="59"/>
  <c r="B4064" i="59"/>
  <c r="B4063" i="59"/>
  <c r="B4062" i="59"/>
  <c r="B4061" i="59"/>
  <c r="B4060" i="59"/>
  <c r="B4059" i="59"/>
  <c r="B4058" i="59"/>
  <c r="B4057" i="59"/>
  <c r="B4056" i="59"/>
  <c r="B4055" i="59"/>
  <c r="B4054" i="59"/>
  <c r="B4053" i="59"/>
  <c r="B4052" i="59"/>
  <c r="B4051" i="59"/>
  <c r="B4050" i="59"/>
  <c r="B4049" i="59"/>
  <c r="B4048" i="59"/>
  <c r="B4047" i="59"/>
  <c r="B4046" i="59"/>
  <c r="B4045" i="59"/>
  <c r="B4044" i="59"/>
  <c r="B4043" i="59"/>
  <c r="B4042" i="59"/>
  <c r="B4041" i="59"/>
  <c r="B4040" i="59"/>
  <c r="B4039" i="59"/>
  <c r="B4038" i="59"/>
  <c r="B4037" i="59"/>
  <c r="B4036" i="59"/>
  <c r="B4035" i="59"/>
  <c r="B4034" i="59"/>
  <c r="B4033" i="59"/>
  <c r="B4032" i="59"/>
  <c r="B4031" i="59"/>
  <c r="B4030" i="59"/>
  <c r="B4029" i="59"/>
  <c r="B4028" i="59"/>
  <c r="B4027" i="59"/>
  <c r="B4026" i="59"/>
  <c r="B4025" i="59"/>
  <c r="B4024" i="59"/>
  <c r="B4023" i="59"/>
  <c r="B4022" i="59"/>
  <c r="B4021" i="59"/>
  <c r="B4020" i="59"/>
  <c r="B4019" i="59"/>
  <c r="B4018" i="59"/>
  <c r="B4017" i="59"/>
  <c r="B4016" i="59"/>
  <c r="B4015" i="59"/>
  <c r="B4014" i="59"/>
  <c r="B4013" i="59"/>
  <c r="B4012" i="59"/>
  <c r="B4011" i="59"/>
  <c r="B4010" i="59"/>
  <c r="B4009" i="59"/>
  <c r="B4008" i="59"/>
  <c r="B4007" i="59"/>
  <c r="B4006" i="59"/>
  <c r="B4005" i="59"/>
  <c r="B4004" i="59"/>
  <c r="B4003" i="59"/>
  <c r="B4002" i="59"/>
  <c r="B4001" i="59"/>
  <c r="B4000" i="59"/>
  <c r="B3999" i="59"/>
  <c r="B3998" i="59"/>
  <c r="B3997" i="59"/>
  <c r="B3996" i="59"/>
  <c r="B3995" i="59"/>
  <c r="B3994" i="59"/>
  <c r="B3993" i="59"/>
  <c r="B3992" i="59"/>
  <c r="B3991" i="59"/>
  <c r="B3990" i="59"/>
  <c r="B3989" i="59"/>
  <c r="B3988" i="59"/>
  <c r="B3987" i="59"/>
  <c r="B3986" i="59"/>
  <c r="B3985" i="59"/>
  <c r="B3984" i="59"/>
  <c r="B3983" i="59"/>
  <c r="B3982" i="59"/>
  <c r="B3981" i="59"/>
  <c r="B3980" i="59"/>
  <c r="B3979" i="59"/>
  <c r="B3978" i="59"/>
  <c r="B3977" i="59"/>
  <c r="B3976" i="59"/>
  <c r="B3975" i="59"/>
  <c r="B3974" i="59"/>
  <c r="B3973" i="59"/>
  <c r="B3972" i="59"/>
  <c r="B3971" i="59"/>
  <c r="B3970" i="59"/>
  <c r="B3969" i="59"/>
  <c r="B3968" i="59"/>
  <c r="B3967" i="59"/>
  <c r="B3966" i="59"/>
  <c r="B3965" i="59"/>
  <c r="B3964" i="59"/>
  <c r="B3963" i="59"/>
  <c r="B3962" i="59"/>
  <c r="B3961" i="59"/>
  <c r="B3960" i="59"/>
  <c r="B3959" i="59"/>
  <c r="B3958" i="59"/>
  <c r="B3957" i="59"/>
  <c r="B3956" i="59"/>
  <c r="B3955" i="59"/>
  <c r="B3954" i="59"/>
  <c r="B3953" i="59"/>
  <c r="B3952" i="59"/>
  <c r="B3951" i="59"/>
  <c r="B3950" i="59"/>
  <c r="B3949" i="59"/>
  <c r="B3948" i="59"/>
  <c r="B3947" i="59"/>
  <c r="B3946" i="59"/>
  <c r="B3945" i="59"/>
  <c r="B3944" i="59"/>
  <c r="B3943" i="59"/>
  <c r="B3942" i="59"/>
  <c r="B3941" i="59"/>
  <c r="B3940" i="59"/>
  <c r="B3939" i="59"/>
  <c r="B3938" i="59"/>
  <c r="B3937" i="59"/>
  <c r="B3936" i="59"/>
  <c r="B3935" i="59"/>
  <c r="B3934" i="59"/>
  <c r="B3933" i="59"/>
  <c r="B3932" i="59"/>
  <c r="B3931" i="59"/>
  <c r="B3930" i="59"/>
  <c r="B3929" i="59"/>
  <c r="B3928" i="59"/>
  <c r="B3927" i="59"/>
  <c r="B3926" i="59"/>
  <c r="B3925" i="59"/>
  <c r="B3924" i="59"/>
  <c r="B3923" i="59"/>
  <c r="B3922" i="59"/>
  <c r="B3921" i="59"/>
  <c r="B3920" i="59"/>
  <c r="B3919" i="59"/>
  <c r="B3918" i="59"/>
  <c r="B3917" i="59"/>
  <c r="B3916" i="59"/>
  <c r="B3915" i="59"/>
  <c r="B3914" i="59"/>
  <c r="B3913" i="59"/>
  <c r="B3912" i="59"/>
  <c r="B3911" i="59"/>
  <c r="B3910" i="59"/>
  <c r="B3909" i="59"/>
  <c r="B3908" i="59"/>
  <c r="B3907" i="59"/>
  <c r="B3906" i="59"/>
  <c r="B3905" i="59"/>
  <c r="B3904" i="59"/>
  <c r="B3903" i="59"/>
  <c r="B3902" i="59"/>
  <c r="B3901" i="59"/>
  <c r="B3900" i="59"/>
  <c r="B3899" i="59"/>
  <c r="B3898" i="59"/>
  <c r="B3897" i="59"/>
  <c r="B3896" i="59"/>
  <c r="B3895" i="59"/>
  <c r="B3894" i="59"/>
  <c r="B3893" i="59"/>
  <c r="B3892" i="59"/>
  <c r="B3891" i="59"/>
  <c r="B3890" i="59"/>
  <c r="B3889" i="59"/>
  <c r="B3888" i="59"/>
  <c r="B3887" i="59"/>
  <c r="B3886" i="59"/>
  <c r="B3885" i="59"/>
  <c r="B3884" i="59"/>
  <c r="B3883" i="59"/>
  <c r="B3882" i="59"/>
  <c r="B3881" i="59"/>
  <c r="B3880" i="59"/>
  <c r="B3879" i="59"/>
  <c r="B3878" i="59"/>
  <c r="B3877" i="59"/>
  <c r="B3876" i="59"/>
  <c r="B3875" i="59"/>
  <c r="B3874" i="59"/>
  <c r="B3873" i="59"/>
  <c r="B3872" i="59"/>
  <c r="B3871" i="59"/>
  <c r="B3870" i="59"/>
  <c r="B3869" i="59"/>
  <c r="B3868" i="59"/>
  <c r="B3867" i="59"/>
  <c r="B3866" i="59"/>
  <c r="B3865" i="59"/>
  <c r="B3864" i="59"/>
  <c r="B3863" i="59"/>
  <c r="B3862" i="59"/>
  <c r="B3861" i="59"/>
  <c r="B3860" i="59"/>
  <c r="B3859" i="59"/>
  <c r="B3858" i="59"/>
  <c r="B3857" i="59"/>
  <c r="B3856" i="59"/>
  <c r="B3855" i="59"/>
  <c r="B3854" i="59"/>
  <c r="B3853" i="59"/>
  <c r="B3852" i="59"/>
  <c r="B3851" i="59"/>
  <c r="B3850" i="59"/>
  <c r="B3849" i="59"/>
  <c r="B3848" i="59"/>
  <c r="B3847" i="59"/>
  <c r="B3846" i="59"/>
  <c r="B3845" i="59"/>
  <c r="B3844" i="59"/>
  <c r="B3843" i="59"/>
  <c r="B3842" i="59"/>
  <c r="B3841" i="59"/>
  <c r="B3840" i="59"/>
  <c r="B3839" i="59"/>
  <c r="B3838" i="59"/>
  <c r="B3837" i="59"/>
  <c r="B3836" i="59"/>
  <c r="B3835" i="59"/>
  <c r="B3834" i="59"/>
  <c r="B3833" i="59"/>
  <c r="B3832" i="59"/>
  <c r="B3831" i="59"/>
  <c r="B3830" i="59"/>
  <c r="B3829" i="59"/>
  <c r="B3828" i="59"/>
  <c r="B3827" i="59"/>
  <c r="B3826" i="59"/>
  <c r="B3825" i="59"/>
  <c r="B3824" i="59"/>
  <c r="B3823" i="59"/>
  <c r="B3822" i="59"/>
  <c r="B3821" i="59"/>
  <c r="B3820" i="59"/>
  <c r="B3819" i="59"/>
  <c r="B3818" i="59"/>
  <c r="B3817" i="59"/>
  <c r="B3816" i="59"/>
  <c r="B3815" i="59"/>
  <c r="B3814" i="59"/>
  <c r="B3813" i="59"/>
  <c r="B3812" i="59"/>
  <c r="B3811" i="59"/>
  <c r="B3810" i="59"/>
  <c r="B3809" i="59"/>
  <c r="B3808" i="59"/>
  <c r="B3807" i="59"/>
  <c r="B3806" i="59"/>
  <c r="B3805" i="59"/>
  <c r="B3804" i="59"/>
  <c r="B3803" i="59"/>
  <c r="B3802" i="59"/>
  <c r="B3801" i="59"/>
  <c r="B3800" i="59"/>
  <c r="B3799" i="59"/>
  <c r="B3798" i="59"/>
  <c r="B3797" i="59"/>
  <c r="B3796" i="59"/>
  <c r="B3795" i="59"/>
  <c r="B3794" i="59"/>
  <c r="B3793" i="59"/>
  <c r="B3792" i="59"/>
  <c r="B3791" i="59"/>
  <c r="B3790" i="59"/>
  <c r="B3789" i="59"/>
  <c r="B3788" i="59"/>
  <c r="B3787" i="59"/>
  <c r="B3786" i="59"/>
  <c r="B3785" i="59"/>
  <c r="B3784" i="59"/>
  <c r="B3783" i="59"/>
  <c r="B3782" i="59"/>
  <c r="B3781" i="59"/>
  <c r="B3780" i="59"/>
  <c r="B3779" i="59"/>
  <c r="B3778" i="59"/>
  <c r="B3777" i="59"/>
  <c r="B3776" i="59"/>
  <c r="B3775" i="59"/>
  <c r="B3774" i="59"/>
  <c r="B3773" i="59"/>
  <c r="B3772" i="59"/>
  <c r="B3771" i="59"/>
  <c r="B3770" i="59"/>
  <c r="B3769" i="59"/>
  <c r="B3768" i="59"/>
  <c r="B3767" i="59"/>
  <c r="B3766" i="59"/>
  <c r="B3765" i="59"/>
  <c r="B3764" i="59"/>
  <c r="B3763" i="59"/>
  <c r="B3762" i="59"/>
  <c r="B3761" i="59"/>
  <c r="B3760" i="59"/>
  <c r="B3759" i="59"/>
  <c r="B3758" i="59"/>
  <c r="B3757" i="59"/>
  <c r="B3756" i="59"/>
  <c r="B3755" i="59"/>
  <c r="B3754" i="59"/>
  <c r="B3753" i="59"/>
  <c r="B3752" i="59"/>
  <c r="B3751" i="59"/>
  <c r="B3750" i="59"/>
  <c r="B3749" i="59"/>
  <c r="B3748" i="59"/>
  <c r="B3747" i="59"/>
  <c r="B3746" i="59"/>
  <c r="B3745" i="59"/>
  <c r="B3744" i="59"/>
  <c r="B3743" i="59"/>
  <c r="B3742" i="59"/>
  <c r="B3741" i="59"/>
  <c r="B3740" i="59"/>
  <c r="B3739" i="59"/>
  <c r="B3738" i="59"/>
  <c r="B3737" i="59"/>
  <c r="B3736" i="59"/>
  <c r="B3735" i="59"/>
  <c r="B3734" i="59"/>
  <c r="B3733" i="59"/>
  <c r="B3732" i="59"/>
  <c r="B3731" i="59"/>
  <c r="B3730" i="59"/>
  <c r="B3729" i="59"/>
  <c r="B3728" i="59"/>
  <c r="B3727" i="59"/>
  <c r="B3726" i="59"/>
  <c r="B3725" i="59"/>
  <c r="B3724" i="59"/>
  <c r="B3723" i="59"/>
  <c r="B3722" i="59"/>
  <c r="B3721" i="59"/>
  <c r="B3720" i="59"/>
  <c r="B3719" i="59"/>
  <c r="B3718" i="59"/>
  <c r="B3717" i="59"/>
  <c r="B3716" i="59"/>
  <c r="B3715" i="59"/>
  <c r="B3714" i="59"/>
  <c r="B3713" i="59"/>
  <c r="B3712" i="59"/>
  <c r="B3711" i="59"/>
  <c r="B3710" i="59"/>
  <c r="B3709" i="59"/>
  <c r="B3708" i="59"/>
  <c r="B3707" i="59"/>
  <c r="B3706" i="59"/>
  <c r="B3705" i="59"/>
  <c r="B3704" i="59"/>
  <c r="B3703" i="59"/>
  <c r="B3702" i="59"/>
  <c r="B3701" i="59"/>
  <c r="B3700" i="59"/>
  <c r="B3699" i="59"/>
  <c r="B3698" i="59"/>
  <c r="B3697" i="59"/>
  <c r="B3696" i="59"/>
  <c r="B3695" i="59"/>
  <c r="B3694" i="59"/>
  <c r="B3693" i="59"/>
  <c r="B3692" i="59"/>
  <c r="B3691" i="59"/>
  <c r="B3690" i="59"/>
  <c r="B3689" i="59"/>
  <c r="B3688" i="59"/>
  <c r="B3687" i="59"/>
  <c r="B3686" i="59"/>
  <c r="B3685" i="59"/>
  <c r="B3684" i="59"/>
  <c r="B3683" i="59"/>
  <c r="B3682" i="59"/>
  <c r="B3681" i="59"/>
  <c r="B3680" i="59"/>
  <c r="B3679" i="59"/>
  <c r="B3678" i="59"/>
  <c r="B3677" i="59"/>
  <c r="B3676" i="59"/>
  <c r="B3675" i="59"/>
  <c r="B3674" i="59"/>
  <c r="B3673" i="59"/>
  <c r="B3672" i="59"/>
  <c r="B3671" i="59"/>
  <c r="B3670" i="59"/>
  <c r="B3669" i="59"/>
  <c r="B3668" i="59"/>
  <c r="B3667" i="59"/>
  <c r="B3666" i="59"/>
  <c r="B3665" i="59"/>
  <c r="B3664" i="59"/>
  <c r="B3663" i="59"/>
  <c r="B3662" i="59"/>
  <c r="B3661" i="59"/>
  <c r="B3660" i="59"/>
  <c r="B3659" i="59"/>
  <c r="B3658" i="59"/>
  <c r="B3657" i="59"/>
  <c r="B3656" i="59"/>
  <c r="B3655" i="59"/>
  <c r="B3654" i="59"/>
  <c r="B3653" i="59"/>
  <c r="B3652" i="59"/>
  <c r="B3651" i="59"/>
  <c r="B3650" i="59"/>
  <c r="B3649" i="59"/>
  <c r="B3648" i="59"/>
  <c r="B3647" i="59"/>
  <c r="B3646" i="59"/>
  <c r="B3645" i="59"/>
  <c r="B3644" i="59"/>
  <c r="B3643" i="59"/>
  <c r="B3642" i="59"/>
  <c r="B3641" i="59"/>
  <c r="B3640" i="59"/>
  <c r="B3639" i="59"/>
  <c r="B3638" i="59"/>
  <c r="B3637" i="59"/>
  <c r="B3636" i="59"/>
  <c r="B3635" i="59"/>
  <c r="B3634" i="59"/>
  <c r="B3633" i="59"/>
  <c r="B3632" i="59"/>
  <c r="B3631" i="59"/>
  <c r="B3630" i="59"/>
  <c r="B3629" i="59"/>
  <c r="B3628" i="59"/>
  <c r="B3627" i="59"/>
  <c r="B3626" i="59"/>
  <c r="B3625" i="59"/>
  <c r="B3624" i="59"/>
  <c r="B3623" i="59"/>
  <c r="B3622" i="59"/>
  <c r="B3621" i="59"/>
  <c r="B3620" i="59"/>
  <c r="B3619" i="59"/>
  <c r="B3618" i="59"/>
  <c r="B3617" i="59"/>
  <c r="B3616" i="59"/>
  <c r="B3615" i="59"/>
  <c r="B3614" i="59"/>
  <c r="B3613" i="59"/>
  <c r="B3612" i="59"/>
  <c r="B3611" i="59"/>
  <c r="B3610" i="59"/>
  <c r="B3609" i="59"/>
  <c r="B3608" i="59"/>
  <c r="B3607" i="59"/>
  <c r="B3606" i="59"/>
  <c r="B3605" i="59"/>
  <c r="B3604" i="59"/>
  <c r="B3603" i="59"/>
  <c r="B3602" i="59"/>
  <c r="B3601" i="59"/>
  <c r="B3600" i="59"/>
  <c r="B3599" i="59"/>
  <c r="B3598" i="59"/>
  <c r="B3597" i="59"/>
  <c r="B3596" i="59"/>
  <c r="B3595" i="59"/>
  <c r="B3594" i="59"/>
  <c r="B3593" i="59"/>
  <c r="B3592" i="59"/>
  <c r="B3591" i="59"/>
  <c r="B3590" i="59"/>
  <c r="B3589" i="59"/>
  <c r="B3588" i="59"/>
  <c r="B3587" i="59"/>
  <c r="B3586" i="59"/>
  <c r="B3585" i="59"/>
  <c r="B3584" i="59"/>
  <c r="B3583" i="59"/>
  <c r="B3582" i="59"/>
  <c r="B3581" i="59"/>
  <c r="B3580" i="59"/>
  <c r="B3579" i="59"/>
  <c r="B3578" i="59"/>
  <c r="B3577" i="59"/>
  <c r="B3576" i="59"/>
  <c r="B3575" i="59"/>
  <c r="B3574" i="59"/>
  <c r="B3573" i="59"/>
  <c r="B3572" i="59"/>
  <c r="B3571" i="59"/>
  <c r="B3570" i="59"/>
  <c r="B3569" i="59"/>
  <c r="B3568" i="59"/>
  <c r="B3567" i="59"/>
  <c r="B3566" i="59"/>
  <c r="B3565" i="59"/>
  <c r="B3564" i="59"/>
  <c r="B3563" i="59"/>
  <c r="B3562" i="59"/>
  <c r="B3561" i="59"/>
  <c r="B3560" i="59"/>
  <c r="B3559" i="59"/>
  <c r="B3558" i="59"/>
  <c r="B3557" i="59"/>
  <c r="B3556" i="59"/>
  <c r="B3555" i="59"/>
  <c r="B3554" i="59"/>
  <c r="B3553" i="59"/>
  <c r="B3552" i="59"/>
  <c r="B3551" i="59"/>
  <c r="B3550" i="59"/>
  <c r="B3549" i="59"/>
  <c r="B3548" i="59"/>
  <c r="B3547" i="59"/>
  <c r="B3546" i="59"/>
  <c r="B3545" i="59"/>
  <c r="B3544" i="59"/>
  <c r="B3543" i="59"/>
  <c r="B3542" i="59"/>
  <c r="B3541" i="59"/>
  <c r="B3540" i="59"/>
  <c r="B3539" i="59"/>
  <c r="B3538" i="59"/>
  <c r="B3537" i="59"/>
  <c r="B3536" i="59"/>
  <c r="B3535" i="59"/>
  <c r="B3534" i="59"/>
  <c r="B3533" i="59"/>
  <c r="B3532" i="59"/>
  <c r="B3531" i="59"/>
  <c r="B3530" i="59"/>
  <c r="B3529" i="59"/>
  <c r="B3528" i="59"/>
  <c r="B3527" i="59"/>
  <c r="B3526" i="59"/>
  <c r="B3525" i="59"/>
  <c r="B3524" i="59"/>
  <c r="B3523" i="59"/>
  <c r="B3522" i="59"/>
  <c r="B3521" i="59"/>
  <c r="B3520" i="59"/>
  <c r="B3519" i="59"/>
  <c r="B3518" i="59"/>
  <c r="B3517" i="59"/>
  <c r="B3516" i="59"/>
  <c r="B3515" i="59"/>
  <c r="B3514" i="59"/>
  <c r="B3513" i="59"/>
  <c r="B3512" i="59"/>
  <c r="B3511" i="59"/>
  <c r="B3510" i="59"/>
  <c r="B3509" i="59"/>
  <c r="B3508" i="59"/>
  <c r="B3507" i="59"/>
  <c r="B3506" i="59"/>
  <c r="B3505" i="59"/>
  <c r="B3504" i="59"/>
  <c r="B3503" i="59"/>
  <c r="B3502" i="59"/>
  <c r="B3501" i="59"/>
  <c r="B3500" i="59"/>
  <c r="B3499" i="59"/>
  <c r="B3498" i="59"/>
  <c r="B3497" i="59"/>
  <c r="B3496" i="59"/>
  <c r="B3495" i="59"/>
  <c r="B3494" i="59"/>
  <c r="B3493" i="59"/>
  <c r="B3492" i="59"/>
  <c r="B3491" i="59"/>
  <c r="B3490" i="59"/>
  <c r="B3489" i="59"/>
  <c r="B3488" i="59"/>
  <c r="B3487" i="59"/>
  <c r="B3486" i="59"/>
  <c r="B3485" i="59"/>
  <c r="B3484" i="59"/>
  <c r="B3483" i="59"/>
  <c r="B3482" i="59"/>
  <c r="B3481" i="59"/>
  <c r="B3480" i="59"/>
  <c r="B3479" i="59"/>
  <c r="B3478" i="59"/>
  <c r="B3477" i="59"/>
  <c r="B3476" i="59"/>
  <c r="B3475" i="59"/>
  <c r="B3474" i="59"/>
  <c r="B3473" i="59"/>
  <c r="B3472" i="59"/>
  <c r="B3471" i="59"/>
  <c r="B3470" i="59"/>
  <c r="B3469" i="59"/>
  <c r="B3468" i="59"/>
  <c r="B3467" i="59"/>
  <c r="B3466" i="59"/>
  <c r="B3465" i="59"/>
  <c r="B3464" i="59"/>
  <c r="B3463" i="59"/>
  <c r="B3462" i="59"/>
  <c r="B3461" i="59"/>
  <c r="B3460" i="59"/>
  <c r="B3459" i="59"/>
  <c r="B3458" i="59"/>
  <c r="B3457" i="59"/>
  <c r="B3456" i="59"/>
  <c r="B3455" i="59"/>
  <c r="B3454" i="59"/>
  <c r="B3453" i="59"/>
  <c r="B3452" i="59"/>
  <c r="B3451" i="59"/>
  <c r="B3450" i="59"/>
  <c r="B3449" i="59"/>
  <c r="B3448" i="59"/>
  <c r="B3447" i="59"/>
  <c r="B3446" i="59"/>
  <c r="B3445" i="59"/>
  <c r="B3444" i="59"/>
  <c r="B3443" i="59"/>
  <c r="B3442" i="59"/>
  <c r="B3441" i="59"/>
  <c r="B3440" i="59"/>
  <c r="B3439" i="59"/>
  <c r="B3438" i="59"/>
  <c r="B3437" i="59"/>
  <c r="B3436" i="59"/>
  <c r="B3435" i="59"/>
  <c r="B3434" i="59"/>
  <c r="B3433" i="59"/>
  <c r="B3432" i="59"/>
  <c r="B3431" i="59"/>
  <c r="B3430" i="59"/>
  <c r="B3429" i="59"/>
  <c r="B3428" i="59"/>
  <c r="B3427" i="59"/>
  <c r="B3426" i="59"/>
  <c r="B3425" i="59"/>
  <c r="B3424" i="59"/>
  <c r="B3423" i="59"/>
  <c r="B3422" i="59"/>
  <c r="B3421" i="59"/>
  <c r="B3420" i="59"/>
  <c r="B3419" i="59"/>
  <c r="B3418" i="59"/>
  <c r="B3417" i="59"/>
  <c r="B3416" i="59"/>
  <c r="B3415" i="59"/>
  <c r="B3414" i="59"/>
  <c r="B3413" i="59"/>
  <c r="B3412" i="59"/>
  <c r="B3411" i="59"/>
  <c r="B3410" i="59"/>
  <c r="B3409" i="59"/>
  <c r="B3408" i="59"/>
  <c r="B3407" i="59"/>
  <c r="B3406" i="59"/>
  <c r="B3405" i="59"/>
  <c r="B3404" i="59"/>
  <c r="B3403" i="59"/>
  <c r="B3402" i="59"/>
  <c r="B3401" i="59"/>
  <c r="B3400" i="59"/>
  <c r="B3399" i="59"/>
  <c r="B3398" i="59"/>
  <c r="B3397" i="59"/>
  <c r="B3396" i="59"/>
  <c r="B3395" i="59"/>
  <c r="B3394" i="59"/>
  <c r="B3393" i="59"/>
  <c r="B3392" i="59"/>
  <c r="B3391" i="59"/>
  <c r="B3390" i="59"/>
  <c r="B3389" i="59"/>
  <c r="B3388" i="59"/>
  <c r="B3387" i="59"/>
  <c r="B3386" i="59"/>
  <c r="B3385" i="59"/>
  <c r="B3384" i="59"/>
  <c r="B3383" i="59"/>
  <c r="B3382" i="59"/>
  <c r="B3381" i="59"/>
  <c r="B3380" i="59"/>
  <c r="B3379" i="59"/>
  <c r="B3378" i="59"/>
  <c r="B3377" i="59"/>
  <c r="B3376" i="59"/>
  <c r="B3375" i="59"/>
  <c r="B3374" i="59"/>
  <c r="B3373" i="59"/>
  <c r="B3372" i="59"/>
  <c r="B3371" i="59"/>
  <c r="B3370" i="59"/>
  <c r="B3369" i="59"/>
  <c r="B3368" i="59"/>
  <c r="B3367" i="59"/>
  <c r="B3366" i="59"/>
  <c r="B3365" i="59"/>
  <c r="B3364" i="59"/>
  <c r="B3363" i="59"/>
  <c r="B3362" i="59"/>
  <c r="B3361" i="59"/>
  <c r="B3360" i="59"/>
  <c r="B3359" i="59"/>
  <c r="B3358" i="59"/>
  <c r="B3357" i="59"/>
  <c r="B3356" i="59"/>
  <c r="B3355" i="59"/>
  <c r="B3354" i="59"/>
  <c r="B3353" i="59"/>
  <c r="B3352" i="59"/>
  <c r="B3351" i="59"/>
  <c r="B3350" i="59"/>
  <c r="B3349" i="59"/>
  <c r="B3348" i="59"/>
  <c r="B3347" i="59"/>
  <c r="B3346" i="59"/>
  <c r="B3345" i="59"/>
  <c r="B3344" i="59"/>
  <c r="B3343" i="59"/>
  <c r="B3342" i="59"/>
  <c r="B3341" i="59"/>
  <c r="B3340" i="59"/>
  <c r="B3339" i="59"/>
  <c r="B3338" i="59"/>
  <c r="B3337" i="59"/>
  <c r="B3336" i="59"/>
  <c r="B3335" i="59"/>
  <c r="B3334" i="59"/>
  <c r="B3333" i="59"/>
  <c r="B3332" i="59"/>
  <c r="B3331" i="59"/>
  <c r="B3330" i="59"/>
  <c r="B3329" i="59"/>
  <c r="B3328" i="59"/>
  <c r="B3327" i="59"/>
  <c r="B3326" i="59"/>
  <c r="B3325" i="59"/>
  <c r="B3324" i="59"/>
  <c r="B3323" i="59"/>
  <c r="B3322" i="59"/>
  <c r="B3321" i="59"/>
  <c r="B3320" i="59"/>
  <c r="B3319" i="59"/>
  <c r="B3318" i="59"/>
  <c r="B3317" i="59"/>
  <c r="B3316" i="59"/>
  <c r="B3315" i="59"/>
  <c r="B3314" i="59"/>
  <c r="B3313" i="59"/>
  <c r="B3312" i="59"/>
  <c r="B3311" i="59"/>
  <c r="B3310" i="59"/>
  <c r="B3309" i="59"/>
  <c r="B3308" i="59"/>
  <c r="B3307" i="59"/>
  <c r="B3306" i="59"/>
  <c r="B3305" i="59"/>
  <c r="B3304" i="59"/>
  <c r="B3303" i="59"/>
  <c r="B3302" i="59"/>
  <c r="B3301" i="59"/>
  <c r="B3300" i="59"/>
  <c r="B3299" i="59"/>
  <c r="B3298" i="59"/>
  <c r="B3297" i="59"/>
  <c r="B3296" i="59"/>
  <c r="B3295" i="59"/>
  <c r="B3294" i="59"/>
  <c r="B3293" i="59"/>
  <c r="B3292" i="59"/>
  <c r="B3291" i="59"/>
  <c r="B3290" i="59"/>
  <c r="B3289" i="59"/>
  <c r="B3288" i="59"/>
  <c r="B3287" i="59"/>
  <c r="B3286" i="59"/>
  <c r="B3285" i="59"/>
  <c r="B3284" i="59"/>
  <c r="B3283" i="59"/>
  <c r="B3282" i="59"/>
  <c r="B3281" i="59"/>
  <c r="B3280" i="59"/>
  <c r="B3279" i="59"/>
  <c r="B3278" i="59"/>
  <c r="B3277" i="59"/>
  <c r="B3276" i="59"/>
  <c r="B3275" i="59"/>
  <c r="B3274" i="59"/>
  <c r="B3273" i="59"/>
  <c r="B3272" i="59"/>
  <c r="B3271" i="59"/>
  <c r="B3270" i="59"/>
  <c r="B3269" i="59"/>
  <c r="B3268" i="59"/>
  <c r="B3267" i="59"/>
  <c r="B3266" i="59"/>
  <c r="B3265" i="59"/>
  <c r="B3264" i="59"/>
  <c r="B3263" i="59"/>
  <c r="B3262" i="59"/>
  <c r="B3261" i="59"/>
  <c r="B3260" i="59"/>
  <c r="B3259" i="59"/>
  <c r="B3258" i="59"/>
  <c r="B3257" i="59"/>
  <c r="B3256" i="59"/>
  <c r="B3255" i="59"/>
  <c r="B3254" i="59"/>
  <c r="B3253" i="59"/>
  <c r="B3252" i="59"/>
  <c r="B3251" i="59"/>
  <c r="B3250" i="59"/>
  <c r="B3249" i="59"/>
  <c r="B3248" i="59"/>
  <c r="B3247" i="59"/>
  <c r="B3246" i="59"/>
  <c r="B3245" i="59"/>
  <c r="B3244" i="59"/>
  <c r="B3243" i="59"/>
  <c r="B3242" i="59"/>
  <c r="B3241" i="59"/>
  <c r="B3240" i="59"/>
  <c r="B3239" i="59"/>
  <c r="B3238" i="59"/>
  <c r="B3237" i="59"/>
  <c r="B3236" i="59"/>
  <c r="B3235" i="59"/>
  <c r="B3234" i="59"/>
  <c r="B3233" i="59"/>
  <c r="B3232" i="59"/>
  <c r="B3231" i="59"/>
  <c r="B3230" i="59"/>
  <c r="B3229" i="59"/>
  <c r="B3228" i="59"/>
  <c r="B3227" i="59"/>
  <c r="B3226" i="59"/>
  <c r="B3225" i="59"/>
  <c r="B3224" i="59"/>
  <c r="B3223" i="59"/>
  <c r="B3222" i="59"/>
  <c r="B3221" i="59"/>
  <c r="B3220" i="59"/>
  <c r="B3219" i="59"/>
  <c r="B3218" i="59"/>
  <c r="B3217" i="59"/>
  <c r="B3216" i="59"/>
  <c r="B3215" i="59"/>
  <c r="B3214" i="59"/>
  <c r="B3213" i="59"/>
  <c r="B3212" i="59"/>
  <c r="B3211" i="59"/>
  <c r="B3210" i="59"/>
  <c r="B3209" i="59"/>
  <c r="B3208" i="59"/>
  <c r="B3207" i="59"/>
  <c r="B3206" i="59"/>
  <c r="B3205" i="59"/>
  <c r="B3204" i="59"/>
  <c r="B3203" i="59"/>
  <c r="B3202" i="59"/>
  <c r="B3201" i="59"/>
  <c r="B3200" i="59"/>
  <c r="B3199" i="59"/>
  <c r="B3198" i="59"/>
  <c r="B3197" i="59"/>
  <c r="B3196" i="59"/>
  <c r="B3195" i="59"/>
  <c r="B3194" i="59"/>
  <c r="B3193" i="59"/>
  <c r="B3192" i="59"/>
  <c r="B3191" i="59"/>
  <c r="B3190" i="59"/>
  <c r="B3189" i="59"/>
  <c r="B3188" i="59"/>
  <c r="B3187" i="59"/>
  <c r="B3186" i="59"/>
  <c r="B3185" i="59"/>
  <c r="B3184" i="59"/>
  <c r="B3183" i="59"/>
  <c r="B3182" i="59"/>
  <c r="B3181" i="59"/>
  <c r="B3180" i="59"/>
  <c r="B3179" i="59"/>
  <c r="B3178" i="59"/>
  <c r="B3177" i="59"/>
  <c r="B3176" i="59"/>
  <c r="B3175" i="59"/>
  <c r="B3174" i="59"/>
  <c r="B3173" i="59"/>
  <c r="B3172" i="59"/>
  <c r="B3171" i="59"/>
  <c r="B3170" i="59"/>
  <c r="B3169" i="59"/>
  <c r="B3168" i="59"/>
  <c r="B3167" i="59"/>
  <c r="B3166" i="59"/>
  <c r="B3165" i="59"/>
  <c r="B3164" i="59"/>
  <c r="B3163" i="59"/>
  <c r="B3162" i="59"/>
  <c r="B3161" i="59"/>
  <c r="B3160" i="59"/>
  <c r="B3159" i="59"/>
  <c r="B3158" i="59"/>
  <c r="B3157" i="59"/>
  <c r="B3156" i="59"/>
  <c r="B3155" i="59"/>
  <c r="B3154" i="59"/>
  <c r="B3153" i="59"/>
  <c r="B3152" i="59"/>
  <c r="B3151" i="59"/>
  <c r="B3150" i="59"/>
  <c r="B3149" i="59"/>
  <c r="B3148" i="59"/>
  <c r="B3147" i="59"/>
  <c r="B3146" i="59"/>
  <c r="B3145" i="59"/>
  <c r="B3144" i="59"/>
  <c r="B3143" i="59"/>
  <c r="B3142" i="59"/>
  <c r="B3141" i="59"/>
  <c r="B3140" i="59"/>
  <c r="B3139" i="59"/>
  <c r="B3138" i="59"/>
  <c r="B3137" i="59"/>
  <c r="B3136" i="59"/>
  <c r="B3135" i="59"/>
  <c r="B3134" i="59"/>
  <c r="B3133" i="59"/>
  <c r="B3132" i="59"/>
  <c r="B3131" i="59"/>
  <c r="B3130" i="59"/>
  <c r="B3129" i="59"/>
  <c r="B3128" i="59"/>
  <c r="B3127" i="59"/>
  <c r="B3126" i="59"/>
  <c r="B3125" i="59"/>
  <c r="B3124" i="59"/>
  <c r="B3123" i="59"/>
  <c r="B3122" i="59"/>
  <c r="B3121" i="59"/>
  <c r="B3120" i="59"/>
  <c r="B3119" i="59"/>
  <c r="B3118" i="59"/>
  <c r="B3117" i="59"/>
  <c r="B3116" i="59"/>
  <c r="B3115" i="59"/>
  <c r="B3114" i="59"/>
  <c r="B3113" i="59"/>
  <c r="B3112" i="59"/>
  <c r="B3111" i="59"/>
  <c r="B3110" i="59"/>
  <c r="B3109" i="59"/>
  <c r="B3108" i="59"/>
  <c r="B3107" i="59"/>
  <c r="B3106" i="59"/>
  <c r="B3105" i="59"/>
  <c r="B3104" i="59"/>
  <c r="B3103" i="59"/>
  <c r="B3102" i="59"/>
  <c r="B3101" i="59"/>
  <c r="B3100" i="59"/>
  <c r="B3099" i="59"/>
  <c r="B3098" i="59"/>
  <c r="B3097" i="59"/>
  <c r="B3096" i="59"/>
  <c r="B3095" i="59"/>
  <c r="B3094" i="59"/>
  <c r="B3093" i="59"/>
  <c r="B3092" i="59"/>
  <c r="B3091" i="59"/>
  <c r="B3090" i="59"/>
  <c r="B3089" i="59"/>
  <c r="B3088" i="59"/>
  <c r="B3087" i="59"/>
  <c r="B3086" i="59"/>
  <c r="B3085" i="59"/>
  <c r="B3084" i="59"/>
  <c r="B3083" i="59"/>
  <c r="B3082" i="59"/>
  <c r="B3081" i="59"/>
  <c r="B3080" i="59"/>
  <c r="B3079" i="59"/>
  <c r="B3078" i="59"/>
  <c r="B3077" i="59"/>
  <c r="B3076" i="59"/>
  <c r="B3075" i="59"/>
  <c r="B3074" i="59"/>
  <c r="B3073" i="59"/>
  <c r="B3072" i="59"/>
  <c r="B3071" i="59"/>
  <c r="B3070" i="59"/>
  <c r="B3069" i="59"/>
  <c r="B3068" i="59"/>
  <c r="B3067" i="59"/>
  <c r="B3066" i="59"/>
  <c r="B3065" i="59"/>
  <c r="B3064" i="59"/>
  <c r="B3063" i="59"/>
  <c r="B3062" i="59"/>
  <c r="B3061" i="59"/>
  <c r="B3060" i="59"/>
  <c r="B3059" i="59"/>
  <c r="B3058" i="59"/>
  <c r="B3057" i="59"/>
  <c r="B3056" i="59"/>
  <c r="B3055" i="59"/>
  <c r="B3054" i="59"/>
  <c r="B3053" i="59"/>
  <c r="B3052" i="59"/>
  <c r="B3051" i="59"/>
  <c r="B3050" i="59"/>
  <c r="B3049" i="59"/>
  <c r="B3048" i="59"/>
  <c r="B3047" i="59"/>
  <c r="B3046" i="59"/>
  <c r="B3045" i="59"/>
  <c r="B3044" i="59"/>
  <c r="B3043" i="59"/>
  <c r="B3042" i="59"/>
  <c r="B3041" i="59"/>
  <c r="B3040" i="59"/>
  <c r="B3039" i="59"/>
  <c r="B3038" i="59"/>
  <c r="B3037" i="59"/>
  <c r="B3036" i="59"/>
  <c r="B3035" i="59"/>
  <c r="B3034" i="59"/>
  <c r="B3033" i="59"/>
  <c r="B3032" i="59"/>
  <c r="B3031" i="59"/>
  <c r="B3030" i="59"/>
  <c r="B3029" i="59"/>
  <c r="B3028" i="59"/>
  <c r="B3027" i="59"/>
  <c r="B3026" i="59"/>
  <c r="B3025" i="59"/>
  <c r="B3024" i="59"/>
  <c r="B3023" i="59"/>
  <c r="B3022" i="59"/>
  <c r="B3021" i="59"/>
  <c r="B3020" i="59"/>
  <c r="B3019" i="59"/>
  <c r="B3018" i="59"/>
  <c r="B3017" i="59"/>
  <c r="B3016" i="59"/>
  <c r="B3015" i="59"/>
  <c r="B3014" i="59"/>
  <c r="B3013" i="59"/>
  <c r="B3012" i="59"/>
  <c r="B3011" i="59"/>
  <c r="B3010" i="59"/>
  <c r="B3009" i="59"/>
  <c r="B3008" i="59"/>
  <c r="B3007" i="59"/>
  <c r="B3006" i="59"/>
  <c r="B3005" i="59"/>
  <c r="B3004" i="59"/>
  <c r="B3003" i="59"/>
  <c r="B3002" i="59"/>
  <c r="B3001" i="59"/>
  <c r="B3000" i="59"/>
  <c r="B2999" i="59"/>
  <c r="B2998" i="59"/>
  <c r="B2997" i="59"/>
  <c r="B2996" i="59"/>
  <c r="B2995" i="59"/>
  <c r="B2994" i="59"/>
  <c r="B2993" i="59"/>
  <c r="B2992" i="59"/>
  <c r="B2991" i="59"/>
  <c r="B2990" i="59"/>
  <c r="B2989" i="59"/>
  <c r="B2988" i="59"/>
  <c r="B2987" i="59"/>
  <c r="B2986" i="59"/>
  <c r="B2985" i="59"/>
  <c r="B2984" i="59"/>
  <c r="B2983" i="59"/>
  <c r="B2982" i="59"/>
  <c r="B2981" i="59"/>
  <c r="B2980" i="59"/>
  <c r="B2979" i="59"/>
  <c r="B2978" i="59"/>
  <c r="B2977" i="59"/>
  <c r="B2976" i="59"/>
  <c r="B2975" i="59"/>
  <c r="B2974" i="59"/>
  <c r="B2973" i="59"/>
  <c r="B2972" i="59"/>
  <c r="B2971" i="59"/>
  <c r="B2970" i="59"/>
  <c r="B2969" i="59"/>
  <c r="B2968" i="59"/>
  <c r="B2967" i="59"/>
  <c r="B2966" i="59"/>
  <c r="B2965" i="59"/>
  <c r="B2964" i="59"/>
  <c r="B2963" i="59"/>
  <c r="B2962" i="59"/>
  <c r="B2961" i="59"/>
  <c r="B2960" i="59"/>
  <c r="B2959" i="59"/>
  <c r="B2958" i="59"/>
  <c r="B2957" i="59"/>
  <c r="B2956" i="59"/>
  <c r="B2955" i="59"/>
  <c r="B2954" i="59"/>
  <c r="B2953" i="59"/>
  <c r="B2952" i="59"/>
  <c r="B2951" i="59"/>
  <c r="B2950" i="59"/>
  <c r="B2949" i="59"/>
  <c r="B2948" i="59"/>
  <c r="B2947" i="59"/>
  <c r="B2946" i="59"/>
  <c r="B2945" i="59"/>
  <c r="B2944" i="59"/>
  <c r="B2943" i="59"/>
  <c r="B2942" i="59"/>
  <c r="B2941" i="59"/>
  <c r="B2940" i="59"/>
  <c r="B2939" i="59"/>
  <c r="B2938" i="59"/>
  <c r="B2937" i="59"/>
  <c r="B2936" i="59"/>
  <c r="B2935" i="59"/>
  <c r="B2934" i="59"/>
  <c r="B2933" i="59"/>
  <c r="B2932" i="59"/>
  <c r="B2931" i="59"/>
  <c r="B2930" i="59"/>
  <c r="B2929" i="59"/>
  <c r="B2928" i="59"/>
  <c r="B2927" i="59"/>
  <c r="B2926" i="59"/>
  <c r="B2925" i="59"/>
  <c r="B2924" i="59"/>
  <c r="B2923" i="59"/>
  <c r="B2922" i="59"/>
  <c r="B2921" i="59"/>
  <c r="B2920" i="59"/>
  <c r="B2919" i="59"/>
  <c r="B2918" i="59"/>
  <c r="B2917" i="59"/>
  <c r="B2916" i="59"/>
  <c r="B2915" i="59"/>
  <c r="B2914" i="59"/>
  <c r="B2913" i="59"/>
  <c r="B2912" i="59"/>
  <c r="B2911" i="59"/>
  <c r="B2910" i="59"/>
  <c r="B2909" i="59"/>
  <c r="B2908" i="59"/>
  <c r="B2907" i="59"/>
  <c r="B2906" i="59"/>
  <c r="B2905" i="59"/>
  <c r="B2904" i="59"/>
  <c r="B2903" i="59"/>
  <c r="B2902" i="59"/>
  <c r="B2901" i="59"/>
  <c r="B2900" i="59"/>
  <c r="B2899" i="59"/>
  <c r="B2898" i="59"/>
  <c r="B2897" i="59"/>
  <c r="B2896" i="59"/>
  <c r="B2895" i="59"/>
  <c r="B2894" i="59"/>
  <c r="B2893" i="59"/>
  <c r="B2892" i="59"/>
  <c r="B2891" i="59"/>
  <c r="B2890" i="59"/>
  <c r="B2889" i="59"/>
  <c r="B2888" i="59"/>
  <c r="B2887" i="59"/>
  <c r="B2886" i="59"/>
  <c r="B2885" i="59"/>
  <c r="B2884" i="59"/>
  <c r="B2883" i="59"/>
  <c r="B2882" i="59"/>
  <c r="B2881" i="59"/>
  <c r="B2880" i="59"/>
  <c r="B2879" i="59"/>
  <c r="B2878" i="59"/>
  <c r="B2877" i="59"/>
  <c r="B2876" i="59"/>
  <c r="B2875" i="59"/>
  <c r="B2874" i="59"/>
  <c r="B2873" i="59"/>
  <c r="B2872" i="59"/>
  <c r="B2871" i="59"/>
  <c r="B2870" i="59"/>
  <c r="B2869" i="59"/>
  <c r="B2868" i="59"/>
  <c r="B2867" i="59"/>
  <c r="B2866" i="59"/>
  <c r="B2865" i="59"/>
  <c r="B2864" i="59"/>
  <c r="B2863" i="59"/>
  <c r="B2862" i="59"/>
  <c r="B2861" i="59"/>
  <c r="B2860" i="59"/>
  <c r="B2859" i="59"/>
  <c r="B2858" i="59"/>
  <c r="B2857" i="59"/>
  <c r="B2856" i="59"/>
  <c r="B2855" i="59"/>
  <c r="B2854" i="59"/>
  <c r="B2853" i="59"/>
  <c r="B2852" i="59"/>
  <c r="B2851" i="59"/>
  <c r="B2850" i="59"/>
  <c r="B2849" i="59"/>
  <c r="B2848" i="59"/>
  <c r="B2847" i="59"/>
  <c r="B2846" i="59"/>
  <c r="B2845" i="59"/>
  <c r="B2844" i="59"/>
  <c r="B2843" i="59"/>
  <c r="B2842" i="59"/>
  <c r="B2841" i="59"/>
  <c r="B2840" i="59"/>
  <c r="B2839" i="59"/>
  <c r="B2838" i="59"/>
  <c r="B2837" i="59"/>
  <c r="B2836" i="59"/>
  <c r="B2835" i="59"/>
  <c r="B2834" i="59"/>
  <c r="B2833" i="59"/>
  <c r="B2832" i="59"/>
  <c r="B2831" i="59"/>
  <c r="B2830" i="59"/>
  <c r="B2829" i="59"/>
  <c r="B2828" i="59"/>
  <c r="B2827" i="59"/>
  <c r="B2826" i="59"/>
  <c r="B2825" i="59"/>
  <c r="B2824" i="59"/>
  <c r="B2823" i="59"/>
  <c r="B2822" i="59"/>
  <c r="B2821" i="59"/>
  <c r="B2820" i="59"/>
  <c r="B2819" i="59"/>
  <c r="B2818" i="59"/>
  <c r="B2817" i="59"/>
  <c r="B2816" i="59"/>
  <c r="B2815" i="59"/>
  <c r="B2814" i="59"/>
  <c r="B2813" i="59"/>
  <c r="B2812" i="59"/>
  <c r="B2811" i="59"/>
  <c r="B2810" i="59"/>
  <c r="B2809" i="59"/>
  <c r="B2808" i="59"/>
  <c r="B2807" i="59"/>
  <c r="B2806" i="59"/>
  <c r="B2805" i="59"/>
  <c r="B2804" i="59"/>
  <c r="B2803" i="59"/>
  <c r="B2802" i="59"/>
  <c r="B2801" i="59"/>
  <c r="B2800" i="59"/>
  <c r="B2799" i="59"/>
  <c r="B2798" i="59"/>
  <c r="B2797" i="59"/>
  <c r="B2796" i="59"/>
  <c r="B2795" i="59"/>
  <c r="B2794" i="59"/>
  <c r="B2793" i="59"/>
  <c r="B2792" i="59"/>
  <c r="B2791" i="59"/>
  <c r="B2790" i="59"/>
  <c r="B2789" i="59"/>
  <c r="B2788" i="59"/>
  <c r="B2787" i="59"/>
  <c r="B2786" i="59"/>
  <c r="B2785" i="59"/>
  <c r="B2784" i="59"/>
  <c r="B2783" i="59"/>
  <c r="B2782" i="59"/>
  <c r="B2781" i="59"/>
  <c r="B2780" i="59"/>
  <c r="B2779" i="59"/>
  <c r="B2778" i="59"/>
  <c r="B2777" i="59"/>
  <c r="B2776" i="59"/>
  <c r="B2775" i="59"/>
  <c r="B2774" i="59"/>
  <c r="B2773" i="59"/>
  <c r="B2772" i="59"/>
  <c r="B2771" i="59"/>
  <c r="B2770" i="59"/>
  <c r="B2769" i="59"/>
  <c r="B2768" i="59"/>
  <c r="B2767" i="59"/>
  <c r="B2766" i="59"/>
  <c r="B2765" i="59"/>
  <c r="B2764" i="59"/>
  <c r="B2763" i="59"/>
  <c r="B2762" i="59"/>
  <c r="B2761" i="59"/>
  <c r="B2760" i="59"/>
  <c r="B2759" i="59"/>
  <c r="B2758" i="59"/>
  <c r="B2757" i="59"/>
  <c r="B2756" i="59"/>
  <c r="B2755" i="59"/>
  <c r="B2754" i="59"/>
  <c r="B2753" i="59"/>
  <c r="B2752" i="59"/>
  <c r="B2751" i="59"/>
  <c r="B2750" i="59"/>
  <c r="B2749" i="59"/>
  <c r="B2748" i="59"/>
  <c r="B2747" i="59"/>
  <c r="B2746" i="59"/>
  <c r="B2745" i="59"/>
  <c r="B2744" i="59"/>
  <c r="B2743" i="59"/>
  <c r="B2742" i="59"/>
  <c r="B2741" i="59"/>
  <c r="B2740" i="59"/>
  <c r="B2739" i="59"/>
  <c r="B2738" i="59"/>
  <c r="B2737" i="59"/>
  <c r="B2736" i="59"/>
  <c r="B2735" i="59"/>
  <c r="B2734" i="59"/>
  <c r="B2733" i="59"/>
  <c r="B2732" i="59"/>
  <c r="B2731" i="59"/>
  <c r="B2730" i="59"/>
  <c r="B2729" i="59"/>
  <c r="B2728" i="59"/>
  <c r="B2727" i="59"/>
  <c r="B2726" i="59"/>
  <c r="B2725" i="59"/>
  <c r="B2724" i="59"/>
  <c r="B2723" i="59"/>
  <c r="B2722" i="59"/>
  <c r="B2721" i="59"/>
  <c r="B2720" i="59"/>
  <c r="B2719" i="59"/>
  <c r="B2718" i="59"/>
  <c r="B2717" i="59"/>
  <c r="B2716" i="59"/>
  <c r="B2715" i="59"/>
  <c r="B2714" i="59"/>
  <c r="B2713" i="59"/>
  <c r="B2712" i="59"/>
  <c r="B2711" i="59"/>
  <c r="B2710" i="59"/>
  <c r="B2709" i="59"/>
  <c r="B2708" i="59"/>
  <c r="B2707" i="59"/>
  <c r="B2706" i="59"/>
  <c r="B2705" i="59"/>
  <c r="B2704" i="59"/>
  <c r="B2703" i="59"/>
  <c r="B2702" i="59"/>
  <c r="B2701" i="59"/>
  <c r="B2700" i="59"/>
  <c r="B2699" i="59"/>
  <c r="B2698" i="59"/>
  <c r="B2697" i="59"/>
  <c r="B2696" i="59"/>
  <c r="B2695" i="59"/>
  <c r="B2694" i="59"/>
  <c r="B2693" i="59"/>
  <c r="B2692" i="59"/>
  <c r="B2691" i="59"/>
  <c r="B2690" i="59"/>
  <c r="B2689" i="59"/>
  <c r="B2688" i="59"/>
  <c r="B2687" i="59"/>
  <c r="B2686" i="59"/>
  <c r="B2685" i="59"/>
  <c r="B2684" i="59"/>
  <c r="B2683" i="59"/>
  <c r="B2682" i="59"/>
  <c r="B2681" i="59"/>
  <c r="B2680" i="59"/>
  <c r="B2679" i="59"/>
  <c r="B2678" i="59"/>
  <c r="B2677" i="59"/>
  <c r="B2676" i="59"/>
  <c r="B2675" i="59"/>
  <c r="B2674" i="59"/>
  <c r="B2673" i="59"/>
  <c r="B2672" i="59"/>
  <c r="B2671" i="59"/>
  <c r="B2670" i="59"/>
  <c r="B2669" i="59"/>
  <c r="B2668" i="59"/>
  <c r="B2667" i="59"/>
  <c r="B2666" i="59"/>
  <c r="B2665" i="59"/>
  <c r="B2664" i="59"/>
  <c r="B2663" i="59"/>
  <c r="B2662" i="59"/>
  <c r="B2661" i="59"/>
  <c r="B2660" i="59"/>
  <c r="B2659" i="59"/>
  <c r="B2658" i="59"/>
  <c r="B2657" i="59"/>
  <c r="B2656" i="59"/>
  <c r="B2655" i="59"/>
  <c r="B2654" i="59"/>
  <c r="B2653" i="59"/>
  <c r="B2652" i="59"/>
  <c r="B2651" i="59"/>
  <c r="B2650" i="59"/>
  <c r="B2649" i="59"/>
  <c r="B2648" i="59"/>
  <c r="B2647" i="59"/>
  <c r="B2646" i="59"/>
  <c r="B2645" i="59"/>
  <c r="B2644" i="59"/>
  <c r="B2643" i="59"/>
  <c r="B2642" i="59"/>
  <c r="B2641" i="59"/>
  <c r="B2640" i="59"/>
  <c r="B2639" i="59"/>
  <c r="B2638" i="59"/>
  <c r="B2637" i="59"/>
  <c r="B2636" i="59"/>
  <c r="B2635" i="59"/>
  <c r="B2634" i="59"/>
  <c r="B2633" i="59"/>
  <c r="B2632" i="59"/>
  <c r="B2631" i="59"/>
  <c r="B2630" i="59"/>
  <c r="B2629" i="59"/>
  <c r="B2628" i="59"/>
  <c r="B2627" i="59"/>
  <c r="B2626" i="59"/>
  <c r="B2625" i="59"/>
  <c r="B2624" i="59"/>
  <c r="B2623" i="59"/>
  <c r="B2622" i="59"/>
  <c r="B2621" i="59"/>
  <c r="B2620" i="59"/>
  <c r="B2619" i="59"/>
  <c r="B2618" i="59"/>
  <c r="B2617" i="59"/>
  <c r="B2616" i="59"/>
  <c r="B2615" i="59"/>
  <c r="B2614" i="59"/>
  <c r="B2613" i="59"/>
  <c r="B2612" i="59"/>
  <c r="B2611" i="59"/>
  <c r="B2610" i="59"/>
  <c r="B2609" i="59"/>
  <c r="B2608" i="59"/>
  <c r="B2607" i="59"/>
  <c r="B2606" i="59"/>
  <c r="B2605" i="59"/>
  <c r="B2604" i="59"/>
  <c r="B2603" i="59"/>
  <c r="B2602" i="59"/>
  <c r="B2601" i="59"/>
  <c r="B2600" i="59"/>
  <c r="B2599" i="59"/>
  <c r="B2598" i="59"/>
  <c r="B2597" i="59"/>
  <c r="B2596" i="59"/>
  <c r="B2595" i="59"/>
  <c r="B2594" i="59"/>
  <c r="B2593" i="59"/>
  <c r="B2592" i="59"/>
  <c r="B2591" i="59"/>
  <c r="B2590" i="59"/>
  <c r="B2589" i="59"/>
  <c r="B2588" i="59"/>
  <c r="B2587" i="59"/>
  <c r="B2586" i="59"/>
  <c r="B2585" i="59"/>
  <c r="B2584" i="59"/>
  <c r="B2583" i="59"/>
  <c r="B2582" i="59"/>
  <c r="B2581" i="59"/>
  <c r="B2580" i="59"/>
  <c r="B2579" i="59"/>
  <c r="B2578" i="59"/>
  <c r="B2577" i="59"/>
  <c r="B2576" i="59"/>
  <c r="B2575" i="59"/>
  <c r="B2574" i="59"/>
  <c r="B2573" i="59"/>
  <c r="B2572" i="59"/>
  <c r="B2571" i="59"/>
  <c r="B2570" i="59"/>
  <c r="B2569" i="59"/>
  <c r="B2568" i="59"/>
  <c r="B2567" i="59"/>
  <c r="B2566" i="59"/>
  <c r="B2565" i="59"/>
  <c r="B2564" i="59"/>
  <c r="B2563" i="59"/>
  <c r="B2562" i="59"/>
  <c r="B2561" i="59"/>
  <c r="B2560" i="59"/>
  <c r="B2559" i="59"/>
  <c r="B2558" i="59"/>
  <c r="B2557" i="59"/>
  <c r="B2556" i="59"/>
  <c r="B2555" i="59"/>
  <c r="B2554" i="59"/>
  <c r="B2553" i="59"/>
  <c r="B2552" i="59"/>
  <c r="B2551" i="59"/>
  <c r="B2550" i="59"/>
  <c r="B2549" i="59"/>
  <c r="B2548" i="59"/>
  <c r="B2547" i="59"/>
  <c r="B2546" i="59"/>
  <c r="B2545" i="59"/>
  <c r="B2544" i="59"/>
  <c r="B2543" i="59"/>
  <c r="B2542" i="59"/>
  <c r="B2541" i="59"/>
  <c r="B2540" i="59"/>
  <c r="B2539" i="59"/>
  <c r="B2538" i="59"/>
  <c r="B2537" i="59"/>
  <c r="B2536" i="59"/>
  <c r="B2535" i="59"/>
  <c r="B2534" i="59"/>
  <c r="B2533" i="59"/>
  <c r="B2532" i="59"/>
  <c r="B2531" i="59"/>
  <c r="B2530" i="59"/>
  <c r="B2529" i="59"/>
  <c r="B2528" i="59"/>
  <c r="B2527" i="59"/>
  <c r="B2526" i="59"/>
  <c r="B2525" i="59"/>
  <c r="B2524" i="59"/>
  <c r="B2523" i="59"/>
  <c r="B2522" i="59"/>
  <c r="B2521" i="59"/>
  <c r="B2520" i="59"/>
  <c r="B2519" i="59"/>
  <c r="B2518" i="59"/>
  <c r="B2517" i="59"/>
  <c r="B2516" i="59"/>
  <c r="B2515" i="59"/>
  <c r="B2514" i="59"/>
  <c r="B2513" i="59"/>
  <c r="B2512" i="59"/>
  <c r="B2511" i="59"/>
  <c r="B2510" i="59"/>
  <c r="B2509" i="59"/>
  <c r="B2508" i="59"/>
  <c r="B2507" i="59"/>
  <c r="B2506" i="59"/>
  <c r="B2505" i="59"/>
  <c r="B2504" i="59"/>
  <c r="B2503" i="59"/>
  <c r="B2502" i="59"/>
  <c r="B2501" i="59"/>
  <c r="B2500" i="59"/>
  <c r="B2499" i="59"/>
  <c r="B2498" i="59"/>
  <c r="B2497" i="59"/>
  <c r="B2496" i="59"/>
  <c r="B2495" i="59"/>
  <c r="B2494" i="59"/>
  <c r="B2493" i="59"/>
  <c r="B2492" i="59"/>
  <c r="B2491" i="59"/>
  <c r="B2490" i="59"/>
  <c r="B2489" i="59"/>
  <c r="B2488" i="59"/>
  <c r="B2487" i="59"/>
  <c r="B2486" i="59"/>
  <c r="B2485" i="59"/>
  <c r="B2484" i="59"/>
  <c r="B2483" i="59"/>
  <c r="B2482" i="59"/>
  <c r="B2481" i="59"/>
  <c r="B2480" i="59"/>
  <c r="B2479" i="59"/>
  <c r="B2478" i="59"/>
  <c r="B2477" i="59"/>
  <c r="B2476" i="59"/>
  <c r="B2475" i="59"/>
  <c r="B2474" i="59"/>
  <c r="B2473" i="59"/>
  <c r="B2472" i="59"/>
  <c r="B2471" i="59"/>
  <c r="B2470" i="59"/>
  <c r="B2469" i="59"/>
  <c r="B2468" i="59"/>
  <c r="B2467" i="59"/>
  <c r="B2466" i="59"/>
  <c r="B2465" i="59"/>
  <c r="B2464" i="59"/>
  <c r="B2463" i="59"/>
  <c r="B2462" i="59"/>
  <c r="B2461" i="59"/>
  <c r="B2460" i="59"/>
  <c r="B2459" i="59"/>
  <c r="B2458" i="59"/>
  <c r="B2457" i="59"/>
  <c r="B2456" i="59"/>
  <c r="B2455" i="59"/>
  <c r="B2454" i="59"/>
  <c r="B2453" i="59"/>
  <c r="B2452" i="59"/>
  <c r="B2451" i="59"/>
  <c r="B2450" i="59"/>
  <c r="B2449" i="59"/>
  <c r="B2448" i="59"/>
  <c r="B2447" i="59"/>
  <c r="B2446" i="59"/>
  <c r="B2445" i="59"/>
  <c r="B2444" i="59"/>
  <c r="B2443" i="59"/>
  <c r="B2442" i="59"/>
  <c r="B2441" i="59"/>
  <c r="B2440" i="59"/>
  <c r="B2439" i="59"/>
  <c r="B2438" i="59"/>
  <c r="B2437" i="59"/>
  <c r="B2436" i="59"/>
  <c r="B2435" i="59"/>
  <c r="B2434" i="59"/>
  <c r="B2433" i="59"/>
  <c r="B2432" i="59"/>
  <c r="B2431" i="59"/>
  <c r="B2430" i="59"/>
  <c r="B2429" i="59"/>
  <c r="B2428" i="59"/>
  <c r="B2427" i="59"/>
  <c r="B2426" i="59"/>
  <c r="B2425" i="59"/>
  <c r="B2424" i="59"/>
  <c r="B2423" i="59"/>
  <c r="B2422" i="59"/>
  <c r="B2421" i="59"/>
  <c r="B2420" i="59"/>
  <c r="B2419" i="59"/>
  <c r="B2418" i="59"/>
  <c r="B2417" i="59"/>
  <c r="B2416" i="59"/>
  <c r="B2415" i="59"/>
  <c r="B2414" i="59"/>
  <c r="B2413" i="59"/>
  <c r="B2412" i="59"/>
  <c r="B2411" i="59"/>
  <c r="B2410" i="59"/>
  <c r="B2409" i="59"/>
  <c r="B2408" i="59"/>
  <c r="B2407" i="59"/>
  <c r="B2406" i="59"/>
  <c r="B2405" i="59"/>
  <c r="B2404" i="59"/>
  <c r="B2403" i="59"/>
  <c r="B2402" i="59"/>
  <c r="B2401" i="59"/>
  <c r="B2400" i="59"/>
  <c r="B2399" i="59"/>
  <c r="B2398" i="59"/>
  <c r="B2397" i="59"/>
  <c r="B2396" i="59"/>
  <c r="B2395" i="59"/>
  <c r="B2394" i="59"/>
  <c r="B2393" i="59"/>
  <c r="B2392" i="59"/>
  <c r="B2391" i="59"/>
  <c r="B2390" i="59"/>
  <c r="B2389" i="59"/>
  <c r="B2388" i="59"/>
  <c r="B2387" i="59"/>
  <c r="B2386" i="59"/>
  <c r="B2385" i="59"/>
  <c r="B2384" i="59"/>
  <c r="B2383" i="59"/>
  <c r="B2382" i="59"/>
  <c r="B2381" i="59"/>
  <c r="B2380" i="59"/>
  <c r="B2379" i="59"/>
  <c r="B2378" i="59"/>
  <c r="B2377" i="59"/>
  <c r="B2376" i="59"/>
  <c r="B2375" i="59"/>
  <c r="B2374" i="59"/>
  <c r="B2373" i="59"/>
  <c r="B2372" i="59"/>
  <c r="B2371" i="59"/>
  <c r="B2370" i="59"/>
  <c r="B2369" i="59"/>
  <c r="B2368" i="59"/>
  <c r="B2367" i="59"/>
  <c r="B2366" i="59"/>
  <c r="B2365" i="59"/>
  <c r="B2364" i="59"/>
  <c r="B2363" i="59"/>
  <c r="B2362" i="59"/>
  <c r="B2361" i="59"/>
  <c r="B2360" i="59"/>
  <c r="B2359" i="59"/>
  <c r="B2358" i="59"/>
  <c r="B2357" i="59"/>
  <c r="B2356" i="59"/>
  <c r="B2355" i="59"/>
  <c r="B2354" i="59"/>
  <c r="B2353" i="59"/>
  <c r="B2352" i="59"/>
  <c r="B2351" i="59"/>
  <c r="B2350" i="59"/>
  <c r="B2349" i="59"/>
  <c r="B2348" i="59"/>
  <c r="B2347" i="59"/>
  <c r="B2346" i="59"/>
  <c r="B2345" i="59"/>
  <c r="B2344" i="59"/>
  <c r="B2343" i="59"/>
  <c r="B2342" i="59"/>
  <c r="B2341" i="59"/>
  <c r="B2340" i="59"/>
  <c r="B2339" i="59"/>
  <c r="B2338" i="59"/>
  <c r="B2337" i="59"/>
  <c r="B2336" i="59"/>
  <c r="B2335" i="59"/>
  <c r="B2334" i="59"/>
  <c r="B2333" i="59"/>
  <c r="B2332" i="59"/>
  <c r="B2331" i="59"/>
  <c r="B2330" i="59"/>
  <c r="B2329" i="59"/>
  <c r="B2328" i="59"/>
  <c r="B2327" i="59"/>
  <c r="B2326" i="59"/>
  <c r="B2325" i="59"/>
  <c r="B2324" i="59"/>
  <c r="B2323" i="59"/>
  <c r="B2322" i="59"/>
  <c r="B2321" i="59"/>
  <c r="B2320" i="59"/>
  <c r="B2319" i="59"/>
  <c r="B2318" i="59"/>
  <c r="B2317" i="59"/>
  <c r="B2316" i="59"/>
  <c r="B2315" i="59"/>
  <c r="B2314" i="59"/>
  <c r="B2313" i="59"/>
  <c r="B2312" i="59"/>
  <c r="B2311" i="59"/>
  <c r="B2310" i="59"/>
  <c r="B2309" i="59"/>
  <c r="B2308" i="59"/>
  <c r="B2307" i="59"/>
  <c r="B2306" i="59"/>
  <c r="B2305" i="59"/>
  <c r="B2304" i="59"/>
  <c r="B2303" i="59"/>
  <c r="B2302" i="59"/>
  <c r="B2301" i="59"/>
  <c r="B2300" i="59"/>
  <c r="B2299" i="59"/>
  <c r="B2298" i="59"/>
  <c r="B2297" i="59"/>
  <c r="B2296" i="59"/>
  <c r="B2295" i="59"/>
  <c r="B2294" i="59"/>
  <c r="B2293" i="59"/>
  <c r="B2292" i="59"/>
  <c r="B2291" i="59"/>
  <c r="B2290" i="59"/>
  <c r="B2289" i="59"/>
  <c r="B2288" i="59"/>
  <c r="B2287" i="59"/>
  <c r="B2286" i="59"/>
  <c r="B2285" i="59"/>
  <c r="B2284" i="59"/>
  <c r="B2283" i="59"/>
  <c r="B2282" i="59"/>
  <c r="B2281" i="59"/>
  <c r="B2280" i="59"/>
  <c r="B2279" i="59"/>
  <c r="B2278" i="59"/>
  <c r="B2277" i="59"/>
  <c r="B2276" i="59"/>
  <c r="B2275" i="59"/>
  <c r="B2274" i="59"/>
  <c r="B2273" i="59"/>
  <c r="B2272" i="59"/>
  <c r="B2271" i="59"/>
  <c r="B2270" i="59"/>
  <c r="B2269" i="59"/>
  <c r="B2268" i="59"/>
  <c r="B2267" i="59"/>
  <c r="B2266" i="59"/>
  <c r="B2265" i="59"/>
  <c r="B2264" i="59"/>
  <c r="B2263" i="59"/>
  <c r="B2262" i="59"/>
  <c r="B2261" i="59"/>
  <c r="B2260" i="59"/>
  <c r="B2259" i="59"/>
  <c r="B2258" i="59"/>
  <c r="B2257" i="59"/>
  <c r="B2256" i="59"/>
  <c r="B2255" i="59"/>
  <c r="B2254" i="59"/>
  <c r="B2253" i="59"/>
  <c r="B2252" i="59"/>
  <c r="B2251" i="59"/>
  <c r="B2250" i="59"/>
  <c r="B2249" i="59"/>
  <c r="B2248" i="59"/>
  <c r="B2247" i="59"/>
  <c r="B2246" i="59"/>
  <c r="B2245" i="59"/>
  <c r="B2244" i="59"/>
  <c r="B2243" i="59"/>
  <c r="B2242" i="59"/>
  <c r="B2241" i="59"/>
  <c r="B2240" i="59"/>
  <c r="B2239" i="59"/>
  <c r="B2238" i="59"/>
  <c r="B2237" i="59"/>
  <c r="B2236" i="59"/>
  <c r="B2235" i="59"/>
  <c r="B2234" i="59"/>
  <c r="B2233" i="59"/>
  <c r="B2232" i="59"/>
  <c r="B2231" i="59"/>
  <c r="B2230" i="59"/>
  <c r="B2229" i="59"/>
  <c r="B2228" i="59"/>
  <c r="B2227" i="59"/>
  <c r="B2226" i="59"/>
  <c r="B2225" i="59"/>
  <c r="B2224" i="59"/>
  <c r="B2223" i="59"/>
  <c r="B2222" i="59"/>
  <c r="B2221" i="59"/>
  <c r="B2220" i="59"/>
  <c r="B2219" i="59"/>
  <c r="B2218" i="59"/>
  <c r="B2217" i="59"/>
  <c r="B2216" i="59"/>
  <c r="B2215" i="59"/>
  <c r="B2214" i="59"/>
  <c r="B2213" i="59"/>
  <c r="B2212" i="59"/>
  <c r="B2211" i="59"/>
  <c r="B2210" i="59"/>
  <c r="B2209" i="59"/>
  <c r="B2208" i="59"/>
  <c r="B2207" i="59"/>
  <c r="B2206" i="59"/>
  <c r="B2205" i="59"/>
  <c r="B2204" i="59"/>
  <c r="B2203" i="59"/>
  <c r="B2202" i="59"/>
  <c r="B2201" i="59"/>
  <c r="B2200" i="59"/>
  <c r="B2199" i="59"/>
  <c r="B2198" i="59"/>
  <c r="B2197" i="59"/>
  <c r="B2196" i="59"/>
  <c r="B2195" i="59"/>
  <c r="B2194" i="59"/>
  <c r="B2193" i="59"/>
  <c r="B2192" i="59"/>
  <c r="B2191" i="59"/>
  <c r="B2190" i="59"/>
  <c r="B2189" i="59"/>
  <c r="B2188" i="59"/>
  <c r="B2187" i="59"/>
  <c r="B2186" i="59"/>
  <c r="B2185" i="59"/>
  <c r="B2184" i="59"/>
  <c r="B2183" i="59"/>
  <c r="B2182" i="59"/>
  <c r="B2181" i="59"/>
  <c r="B2180" i="59"/>
  <c r="B2179" i="59"/>
  <c r="B2178" i="59"/>
  <c r="B2177" i="59"/>
  <c r="B2176" i="59"/>
  <c r="B2175" i="59"/>
  <c r="B2174" i="59"/>
  <c r="B2173" i="59"/>
  <c r="B2172" i="59"/>
  <c r="B2171" i="59"/>
  <c r="B2170" i="59"/>
  <c r="B2169" i="59"/>
  <c r="B2168" i="59"/>
  <c r="B2167" i="59"/>
  <c r="B2166" i="59"/>
  <c r="B2165" i="59"/>
  <c r="B2164" i="59"/>
  <c r="B2163" i="59"/>
  <c r="B2162" i="59"/>
  <c r="B2161" i="59"/>
  <c r="B2160" i="59"/>
  <c r="B2159" i="59"/>
  <c r="B2158" i="59"/>
  <c r="B2157" i="59"/>
  <c r="B2156" i="59"/>
  <c r="B2155" i="59"/>
  <c r="B2154" i="59"/>
  <c r="B2153" i="59"/>
  <c r="B2152" i="59"/>
  <c r="B2151" i="59"/>
  <c r="B2150" i="59"/>
  <c r="B2149" i="59"/>
  <c r="B2148" i="59"/>
  <c r="B2147" i="59"/>
  <c r="B2146" i="59"/>
  <c r="B2145" i="59"/>
  <c r="B2144" i="59"/>
  <c r="B2143" i="59"/>
  <c r="B2142" i="59"/>
  <c r="B2141" i="59"/>
  <c r="B2140" i="59"/>
  <c r="B2139" i="59"/>
  <c r="B2138" i="59"/>
  <c r="B2137" i="59"/>
  <c r="B2136" i="59"/>
  <c r="B2135" i="59"/>
  <c r="B2134" i="59"/>
  <c r="B2133" i="59"/>
  <c r="B2132" i="59"/>
  <c r="B2131" i="59"/>
  <c r="B2130" i="59"/>
  <c r="B2129" i="59"/>
  <c r="B2128" i="59"/>
  <c r="B2127" i="59"/>
  <c r="B2126" i="59"/>
  <c r="B2125" i="59"/>
  <c r="B2124" i="59"/>
  <c r="B2123" i="59"/>
  <c r="B2122" i="59"/>
  <c r="B2121" i="59"/>
  <c r="B2120" i="59"/>
  <c r="B2119" i="59"/>
  <c r="B2118" i="59"/>
  <c r="B2117" i="59"/>
  <c r="B2116" i="59"/>
  <c r="B2115" i="59"/>
  <c r="B2114" i="59"/>
  <c r="B2113" i="59"/>
  <c r="B2112" i="59"/>
  <c r="B2111" i="59"/>
  <c r="B2110" i="59"/>
  <c r="B2109" i="59"/>
  <c r="B2108" i="59"/>
  <c r="B2107" i="59"/>
  <c r="B2106" i="59"/>
  <c r="B2105" i="59"/>
  <c r="B2104" i="59"/>
  <c r="B2103" i="59"/>
  <c r="B2102" i="59"/>
  <c r="B2101" i="59"/>
  <c r="B2100" i="59"/>
  <c r="B2099" i="59"/>
  <c r="B2098" i="59"/>
  <c r="B2097" i="59"/>
  <c r="B2096" i="59"/>
  <c r="B2095" i="59"/>
  <c r="B2094" i="59"/>
  <c r="B2093" i="59"/>
  <c r="B2092" i="59"/>
  <c r="B2091" i="59"/>
  <c r="B2090" i="59"/>
  <c r="B2089" i="59"/>
  <c r="B2088" i="59"/>
  <c r="B2087" i="59"/>
  <c r="B2086" i="59"/>
  <c r="B2085" i="59"/>
  <c r="B2084" i="59"/>
  <c r="B2083" i="59"/>
  <c r="B2082" i="59"/>
  <c r="B2081" i="59"/>
  <c r="B2080" i="59"/>
  <c r="B2079" i="59"/>
  <c r="B2078" i="59"/>
  <c r="B2077" i="59"/>
  <c r="B2076" i="59"/>
  <c r="B2075" i="59"/>
  <c r="B2074" i="59"/>
  <c r="B2073" i="59"/>
  <c r="B2072" i="59"/>
  <c r="B2071" i="59"/>
  <c r="B2070" i="59"/>
  <c r="B2069" i="59"/>
  <c r="B2068" i="59"/>
  <c r="B2067" i="59"/>
  <c r="B2066" i="59"/>
  <c r="B2065" i="59"/>
  <c r="B2064" i="59"/>
  <c r="B2063" i="59"/>
  <c r="B2062" i="59"/>
  <c r="B2061" i="59"/>
  <c r="B2060" i="59"/>
  <c r="B2059" i="59"/>
  <c r="B2058" i="59"/>
  <c r="B2057" i="59"/>
  <c r="B2056" i="59"/>
  <c r="B2055" i="59"/>
  <c r="B2054" i="59"/>
  <c r="B2053" i="59"/>
  <c r="B2052" i="59"/>
  <c r="B2051" i="59"/>
  <c r="B2050" i="59"/>
  <c r="B2049" i="59"/>
  <c r="B2048" i="59"/>
  <c r="B2047" i="59"/>
  <c r="B2046" i="59"/>
  <c r="B2045" i="59"/>
  <c r="B2044" i="59"/>
  <c r="B2043" i="59"/>
  <c r="B2042" i="59"/>
  <c r="B2041" i="59"/>
  <c r="B2040" i="59"/>
  <c r="B2039" i="59"/>
  <c r="B2038" i="59"/>
  <c r="B2037" i="59"/>
  <c r="B2036" i="59"/>
  <c r="B2035" i="59"/>
  <c r="B2034" i="59"/>
  <c r="B2033" i="59"/>
  <c r="B2032" i="59"/>
  <c r="B2031" i="59"/>
  <c r="B2030" i="59"/>
  <c r="B2029" i="59"/>
  <c r="B2028" i="59"/>
  <c r="B2027" i="59"/>
  <c r="B2026" i="59"/>
  <c r="B2025" i="59"/>
  <c r="B2024" i="59"/>
  <c r="B2023" i="59"/>
  <c r="B2022" i="59"/>
  <c r="B2021" i="59"/>
  <c r="B2020" i="59"/>
  <c r="B2019" i="59"/>
  <c r="B2018" i="59"/>
  <c r="B2017" i="59"/>
  <c r="B2016" i="59"/>
  <c r="B2015" i="59"/>
  <c r="B2014" i="59"/>
  <c r="B2013" i="59"/>
  <c r="B2012" i="59"/>
  <c r="B2011" i="59"/>
  <c r="B2010" i="59"/>
  <c r="B2009" i="59"/>
  <c r="B2008" i="59"/>
  <c r="B2007" i="59"/>
  <c r="B2006" i="59"/>
  <c r="B2005" i="59"/>
  <c r="B2004" i="59"/>
  <c r="B2003" i="59"/>
  <c r="B2002" i="59"/>
  <c r="B2001" i="59"/>
  <c r="B2000" i="59"/>
  <c r="B1999" i="59"/>
  <c r="B1998" i="59"/>
  <c r="B1997" i="59"/>
  <c r="B1996" i="59"/>
  <c r="B1995" i="59"/>
  <c r="B1994" i="59"/>
  <c r="B1993" i="59"/>
  <c r="B1992" i="59"/>
  <c r="B1991" i="59"/>
  <c r="B1990" i="59"/>
  <c r="B1989" i="59"/>
  <c r="B1988" i="59"/>
  <c r="B1987" i="59"/>
  <c r="B1986" i="59"/>
  <c r="B1985" i="59"/>
  <c r="B1984" i="59"/>
  <c r="B1983" i="59"/>
  <c r="B1982" i="59"/>
  <c r="B1981" i="59"/>
  <c r="B1980" i="59"/>
  <c r="B1979" i="59"/>
  <c r="B1978" i="59"/>
  <c r="B1977" i="59"/>
  <c r="B1976" i="59"/>
  <c r="B1975" i="59"/>
  <c r="B1974" i="59"/>
  <c r="B1973" i="59"/>
  <c r="B1972" i="59"/>
  <c r="B1971" i="59"/>
  <c r="B1970" i="59"/>
  <c r="B1969" i="59"/>
  <c r="B1968" i="59"/>
  <c r="B1967" i="59"/>
  <c r="B1966" i="59"/>
  <c r="B1965" i="59"/>
  <c r="B1964" i="59"/>
  <c r="B1963" i="59"/>
  <c r="B1962" i="59"/>
  <c r="B1961" i="59"/>
  <c r="B1960" i="59"/>
  <c r="B1959" i="59"/>
  <c r="B1958" i="59"/>
  <c r="B1957" i="59"/>
  <c r="B1956" i="59"/>
  <c r="B1955" i="59"/>
  <c r="B1954" i="59"/>
  <c r="B1953" i="59"/>
  <c r="B1952" i="59"/>
  <c r="B1951" i="59"/>
  <c r="B1950" i="59"/>
  <c r="B1949" i="59"/>
  <c r="B1948" i="59"/>
  <c r="B1947" i="59"/>
  <c r="B1946" i="59"/>
  <c r="B1945" i="59"/>
  <c r="B1944" i="59"/>
  <c r="B1943" i="59"/>
  <c r="B1942" i="59"/>
  <c r="B1941" i="59"/>
  <c r="B1940" i="59"/>
  <c r="B1939" i="59"/>
  <c r="B1938" i="59"/>
  <c r="B1937" i="59"/>
  <c r="B1936" i="59"/>
  <c r="B1935" i="59"/>
  <c r="B1934" i="59"/>
  <c r="B1933" i="59"/>
  <c r="B1932" i="59"/>
  <c r="B1931" i="59"/>
  <c r="B1930" i="59"/>
  <c r="B1929" i="59"/>
  <c r="B1928" i="59"/>
  <c r="B1927" i="59"/>
  <c r="B1926" i="59"/>
  <c r="B1925" i="59"/>
  <c r="B1924" i="59"/>
  <c r="B1923" i="59"/>
  <c r="B1922" i="59"/>
  <c r="B1921" i="59"/>
  <c r="B1920" i="59"/>
  <c r="B1919" i="59"/>
  <c r="B1918" i="59"/>
  <c r="B1917" i="59"/>
  <c r="B1916" i="59"/>
  <c r="B1915" i="59"/>
  <c r="B1914" i="59"/>
  <c r="B1913" i="59"/>
  <c r="B1912" i="59"/>
  <c r="B1911" i="59"/>
  <c r="B1910" i="59"/>
  <c r="B1909" i="59"/>
  <c r="B1908" i="59"/>
  <c r="B1907" i="59"/>
  <c r="B1906" i="59"/>
  <c r="B1905" i="59"/>
  <c r="B1904" i="59"/>
  <c r="B1903" i="59"/>
  <c r="B1902" i="59"/>
  <c r="B1901" i="59"/>
  <c r="B1900" i="59"/>
  <c r="B1899" i="59"/>
  <c r="B1898" i="59"/>
  <c r="B1897" i="59"/>
  <c r="B1896" i="59"/>
  <c r="B1895" i="59"/>
  <c r="B1894" i="59"/>
  <c r="B1893" i="59"/>
  <c r="B1892" i="59"/>
  <c r="B1891" i="59"/>
  <c r="B1890" i="59"/>
  <c r="B1889" i="59"/>
  <c r="B1888" i="59"/>
  <c r="B1887" i="59"/>
  <c r="B1886" i="59"/>
  <c r="B1885" i="59"/>
  <c r="B1884" i="59"/>
  <c r="B1883" i="59"/>
  <c r="B1882" i="59"/>
  <c r="B1881" i="59"/>
  <c r="B1880" i="59"/>
  <c r="B1879" i="59"/>
  <c r="B1878" i="59"/>
  <c r="B1877" i="59"/>
  <c r="B1876" i="59"/>
  <c r="B1875" i="59"/>
  <c r="B1874" i="59"/>
  <c r="B1873" i="59"/>
  <c r="B1872" i="59"/>
  <c r="B1871" i="59"/>
  <c r="B1870" i="59"/>
  <c r="B1869" i="59"/>
  <c r="B1868" i="59"/>
  <c r="B1867" i="59"/>
  <c r="B1866" i="59"/>
  <c r="B1865" i="59"/>
  <c r="B1864" i="59"/>
  <c r="B1863" i="59"/>
  <c r="B1862" i="59"/>
  <c r="B1861" i="59"/>
  <c r="B1860" i="59"/>
  <c r="B1859" i="59"/>
  <c r="B1858" i="59"/>
  <c r="B1857" i="59"/>
  <c r="B1856" i="59"/>
  <c r="B1855" i="59"/>
  <c r="B1854" i="59"/>
  <c r="B1853" i="59"/>
  <c r="B1852" i="59"/>
  <c r="B1851" i="59"/>
  <c r="B1850" i="59"/>
  <c r="B1849" i="59"/>
  <c r="B1848" i="59"/>
  <c r="B1847" i="59"/>
  <c r="B1846" i="59"/>
  <c r="B1845" i="59"/>
  <c r="B1844" i="59"/>
  <c r="B1843" i="59"/>
  <c r="B1842" i="59"/>
  <c r="B1841" i="59"/>
  <c r="B1840" i="59"/>
  <c r="B1839" i="59"/>
  <c r="B1838" i="59"/>
  <c r="B1837" i="59"/>
  <c r="B1836" i="59"/>
  <c r="B1835" i="59"/>
  <c r="B1834" i="59"/>
  <c r="B1833" i="59"/>
  <c r="B1832" i="59"/>
  <c r="B1831" i="59"/>
  <c r="B1830" i="59"/>
  <c r="B1829" i="59"/>
  <c r="B1828" i="59"/>
  <c r="B1827" i="59"/>
  <c r="B1826" i="59"/>
  <c r="B1825" i="59"/>
  <c r="B1824" i="59"/>
  <c r="B1823" i="59"/>
  <c r="B1822" i="59"/>
  <c r="B1821" i="59"/>
  <c r="B1820" i="59"/>
  <c r="B1819" i="59"/>
  <c r="B1818" i="59"/>
  <c r="B1817" i="59"/>
  <c r="B1816" i="59"/>
  <c r="B1815" i="59"/>
  <c r="B1814" i="59"/>
  <c r="B1813" i="59"/>
  <c r="B1812" i="59"/>
  <c r="B1811" i="59"/>
  <c r="B1810" i="59"/>
  <c r="B1809" i="59"/>
  <c r="B1808" i="59"/>
  <c r="B1807" i="59"/>
  <c r="B1806" i="59"/>
  <c r="B1805" i="59"/>
  <c r="B1804" i="59"/>
  <c r="B1803" i="59"/>
  <c r="B1802" i="59"/>
  <c r="B1801" i="59"/>
  <c r="B1800" i="59"/>
  <c r="B1799" i="59"/>
  <c r="B1798" i="59"/>
  <c r="B1797" i="59"/>
  <c r="B1796" i="59"/>
  <c r="B1795" i="59"/>
  <c r="B1794" i="59"/>
  <c r="B1793" i="59"/>
  <c r="B1792" i="59"/>
  <c r="B1791" i="59"/>
  <c r="B1790" i="59"/>
  <c r="B1789" i="59"/>
  <c r="B1788" i="59"/>
  <c r="B1787" i="59"/>
  <c r="B1786" i="59"/>
  <c r="B1785" i="59"/>
  <c r="B1784" i="59"/>
  <c r="B1783" i="59"/>
  <c r="B1782" i="59"/>
  <c r="B1781" i="59"/>
  <c r="B1780" i="59"/>
  <c r="B1779" i="59"/>
  <c r="B1778" i="59"/>
  <c r="B1777" i="59"/>
  <c r="B1776" i="59"/>
  <c r="B1775" i="59"/>
  <c r="B1774" i="59"/>
  <c r="B1773" i="59"/>
  <c r="B1772" i="59"/>
  <c r="B1771" i="59"/>
  <c r="B1770" i="59"/>
  <c r="B1769" i="59"/>
  <c r="B1768" i="59"/>
  <c r="B1767" i="59"/>
  <c r="B1766" i="59"/>
  <c r="B1765" i="59"/>
  <c r="B1764" i="59"/>
  <c r="B1763" i="59"/>
  <c r="B1762" i="59"/>
  <c r="B1761" i="59"/>
  <c r="B1760" i="59"/>
  <c r="B1759" i="59"/>
  <c r="B1758" i="59"/>
  <c r="B1757" i="59"/>
  <c r="B1756" i="59"/>
  <c r="B1755" i="59"/>
  <c r="B1754" i="59"/>
  <c r="B1753" i="59"/>
  <c r="B1752" i="59"/>
  <c r="B1751" i="59"/>
  <c r="B1750" i="59"/>
  <c r="B1749" i="59"/>
  <c r="B1748" i="59"/>
  <c r="B1747" i="59"/>
  <c r="B1746" i="59"/>
  <c r="B1745" i="59"/>
  <c r="B1744" i="59"/>
  <c r="B1743" i="59"/>
  <c r="B1742" i="59"/>
  <c r="B1741" i="59"/>
  <c r="B1740" i="59"/>
  <c r="B1739" i="59"/>
  <c r="B1738" i="59"/>
  <c r="B1737" i="59"/>
  <c r="B1736" i="59"/>
  <c r="B1735" i="59"/>
  <c r="B1734" i="59"/>
  <c r="B1733" i="59"/>
  <c r="B1732" i="59"/>
  <c r="B1731" i="59"/>
  <c r="B1730" i="59"/>
  <c r="B1729" i="59"/>
  <c r="B1728" i="59"/>
  <c r="B1727" i="59"/>
  <c r="B1726" i="59"/>
  <c r="B1725" i="59"/>
  <c r="B1724" i="59"/>
  <c r="B1723" i="59"/>
  <c r="B1722" i="59"/>
  <c r="B1721" i="59"/>
  <c r="B1720" i="59"/>
  <c r="B1719" i="59"/>
  <c r="B1718" i="59"/>
  <c r="B1717" i="59"/>
  <c r="B1716" i="59"/>
  <c r="B1715" i="59"/>
  <c r="B1714" i="59"/>
  <c r="B1713" i="59"/>
  <c r="B1712" i="59"/>
  <c r="B1711" i="59"/>
  <c r="B1710" i="59"/>
  <c r="B1709" i="59"/>
  <c r="B1708" i="59"/>
  <c r="B1707" i="59"/>
  <c r="B1706" i="59"/>
  <c r="B1705" i="59"/>
  <c r="B1704" i="59"/>
  <c r="B1703" i="59"/>
  <c r="B1702" i="59"/>
  <c r="B1701" i="59"/>
  <c r="B1700" i="59"/>
  <c r="B1699" i="59"/>
  <c r="B1698" i="59"/>
  <c r="B1697" i="59"/>
  <c r="B1696" i="59"/>
  <c r="B1695" i="59"/>
  <c r="B1694" i="59"/>
  <c r="B1693" i="59"/>
  <c r="B1692" i="59"/>
  <c r="B1691" i="59"/>
  <c r="B1690" i="59"/>
  <c r="B1689" i="59"/>
  <c r="B1688" i="59"/>
  <c r="B1687" i="59"/>
  <c r="B1686" i="59"/>
  <c r="B1685" i="59"/>
  <c r="B1684" i="59"/>
  <c r="B1683" i="59"/>
  <c r="B1682" i="59"/>
  <c r="B1681" i="59"/>
  <c r="B1680" i="59"/>
  <c r="B1679" i="59"/>
  <c r="B1678" i="59"/>
  <c r="B1677" i="59"/>
  <c r="B1676" i="59"/>
  <c r="B1675" i="59"/>
  <c r="B1674" i="59"/>
  <c r="B1673" i="59"/>
  <c r="B1672" i="59"/>
  <c r="B1671" i="59"/>
  <c r="B1670" i="59"/>
  <c r="B1669" i="59"/>
  <c r="B1668" i="59"/>
  <c r="B1667" i="59"/>
  <c r="B1666" i="59"/>
  <c r="B1665" i="59"/>
  <c r="B1664" i="59"/>
  <c r="B1663" i="59"/>
  <c r="B1662" i="59"/>
  <c r="B1661" i="59"/>
  <c r="B1660" i="59"/>
  <c r="B1659" i="59"/>
  <c r="B1658" i="59"/>
  <c r="B1657" i="59"/>
  <c r="B1656" i="59"/>
  <c r="B1655" i="59"/>
  <c r="B1654" i="59"/>
  <c r="B1653" i="59"/>
  <c r="B1652" i="59"/>
  <c r="B1651" i="59"/>
  <c r="B1650" i="59"/>
  <c r="B1649" i="59"/>
  <c r="B1648" i="59"/>
  <c r="B1647" i="59"/>
  <c r="B1646" i="59"/>
  <c r="B1645" i="59"/>
  <c r="B1644" i="59"/>
  <c r="B1643" i="59"/>
  <c r="B1642" i="59"/>
  <c r="B1641" i="59"/>
  <c r="B1640" i="59"/>
  <c r="B1639" i="59"/>
  <c r="B1638" i="59"/>
  <c r="B1637" i="59"/>
  <c r="B1636" i="59"/>
  <c r="B1635" i="59"/>
  <c r="B1634" i="59"/>
  <c r="B1633" i="59"/>
  <c r="B1632" i="59"/>
  <c r="B1631" i="59"/>
  <c r="B1630" i="59"/>
  <c r="B1629" i="59"/>
  <c r="B1628" i="59"/>
  <c r="B1627" i="59"/>
  <c r="B1626" i="59"/>
  <c r="B1625" i="59"/>
  <c r="B1624" i="59"/>
  <c r="B1623" i="59"/>
  <c r="B1622" i="59"/>
  <c r="B1621" i="59"/>
  <c r="B1620" i="59"/>
  <c r="B1619" i="59"/>
  <c r="B1618" i="59"/>
  <c r="B1617" i="59"/>
  <c r="B1616" i="59"/>
  <c r="B1615" i="59"/>
  <c r="B1614" i="59"/>
  <c r="B1613" i="59"/>
  <c r="B1612" i="59"/>
  <c r="B1611" i="59"/>
  <c r="B1610" i="59"/>
  <c r="B1609" i="59"/>
  <c r="B1608" i="59"/>
  <c r="B1607" i="59"/>
  <c r="B1606" i="59"/>
  <c r="B1605" i="59"/>
  <c r="B1604" i="59"/>
  <c r="B1603" i="59"/>
  <c r="B1602" i="59"/>
  <c r="B1601" i="59"/>
  <c r="B1600" i="59"/>
  <c r="B1599" i="59"/>
  <c r="B1598" i="59"/>
  <c r="B1597" i="59"/>
  <c r="B1596" i="59"/>
  <c r="B1595" i="59"/>
  <c r="B1594" i="59"/>
  <c r="B1593" i="59"/>
  <c r="B1592" i="59"/>
  <c r="B1591" i="59"/>
  <c r="B1590" i="59"/>
  <c r="B1589" i="59"/>
  <c r="B1588" i="59"/>
  <c r="B1587" i="59"/>
  <c r="B1586" i="59"/>
  <c r="B1585" i="59"/>
  <c r="B1584" i="59"/>
  <c r="B1583" i="59"/>
  <c r="B1582" i="59"/>
  <c r="B1581" i="59"/>
  <c r="B1580" i="59"/>
  <c r="B1579" i="59"/>
  <c r="B1578" i="59"/>
  <c r="B1577" i="59"/>
  <c r="B1576" i="59"/>
  <c r="B1575" i="59"/>
  <c r="B1574" i="59"/>
  <c r="B1573" i="59"/>
  <c r="B1572" i="59"/>
  <c r="B1571" i="59"/>
  <c r="B1570" i="59"/>
  <c r="B1569" i="59"/>
  <c r="B1568" i="59"/>
  <c r="B1567" i="59"/>
  <c r="B1566" i="59"/>
  <c r="B1565" i="59"/>
  <c r="B1564" i="59"/>
  <c r="B1563" i="59"/>
  <c r="B1562" i="59"/>
  <c r="B1561" i="59"/>
  <c r="B1560" i="59"/>
  <c r="B1559" i="59"/>
  <c r="B1558" i="59"/>
  <c r="B1557" i="59"/>
  <c r="B1556" i="59"/>
  <c r="B1555" i="59"/>
  <c r="B1554" i="59"/>
  <c r="B1553" i="59"/>
  <c r="B1552" i="59"/>
  <c r="B1551" i="59"/>
  <c r="B1550" i="59"/>
  <c r="B1549" i="59"/>
  <c r="B1548" i="59"/>
  <c r="B1547" i="59"/>
  <c r="B1546" i="59"/>
  <c r="B1545" i="59"/>
  <c r="B1544" i="59"/>
  <c r="B1543" i="59"/>
  <c r="B1542" i="59"/>
  <c r="B1541" i="59"/>
  <c r="B1540" i="59"/>
  <c r="B1539" i="59"/>
  <c r="B1538" i="59"/>
  <c r="B1537" i="59"/>
  <c r="B1536" i="59"/>
  <c r="B1535" i="59"/>
  <c r="B1534" i="59"/>
  <c r="B1533" i="59"/>
  <c r="B1532" i="59"/>
  <c r="B1531" i="59"/>
  <c r="B1530" i="59"/>
  <c r="B1529" i="59"/>
  <c r="B1528" i="59"/>
  <c r="B1527" i="59"/>
  <c r="B1526" i="59"/>
  <c r="B1525" i="59"/>
  <c r="B1524" i="59"/>
  <c r="B1523" i="59"/>
  <c r="B1522" i="59"/>
  <c r="B1521" i="59"/>
  <c r="B1520" i="59"/>
  <c r="B1519" i="59"/>
  <c r="B1518" i="59"/>
  <c r="B1517" i="59"/>
  <c r="B1516" i="59"/>
  <c r="B1515" i="59"/>
  <c r="B1514" i="59"/>
  <c r="B1513" i="59"/>
  <c r="B1512" i="59"/>
  <c r="B1511" i="59"/>
  <c r="B1510" i="59"/>
  <c r="B1509" i="59"/>
  <c r="B1508" i="59"/>
  <c r="B1507" i="59"/>
  <c r="B1506" i="59"/>
  <c r="B1505" i="59"/>
  <c r="B1504" i="59"/>
  <c r="B1503" i="59"/>
  <c r="B1502" i="59"/>
  <c r="B1501" i="59"/>
  <c r="B1500" i="59"/>
  <c r="B1499" i="59"/>
  <c r="B1498" i="59"/>
  <c r="B1497" i="59"/>
  <c r="B1496" i="59"/>
  <c r="B1495" i="59"/>
  <c r="B1494" i="59"/>
  <c r="B1493" i="59"/>
  <c r="B1492" i="59"/>
  <c r="B1491" i="59"/>
  <c r="B1490" i="59"/>
  <c r="B1489" i="59"/>
  <c r="B1488" i="59"/>
  <c r="B1487" i="59"/>
  <c r="B1486" i="59"/>
  <c r="B1485" i="59"/>
  <c r="B1484" i="59"/>
  <c r="B1483" i="59"/>
  <c r="B1482" i="59"/>
  <c r="B1481" i="59"/>
  <c r="B1480" i="59"/>
  <c r="B1479" i="59"/>
  <c r="B1478" i="59"/>
  <c r="B1477" i="59"/>
  <c r="B1476" i="59"/>
  <c r="B1475" i="59"/>
  <c r="B1474" i="59"/>
  <c r="B1473" i="59"/>
  <c r="B1472" i="59"/>
  <c r="B1471" i="59"/>
  <c r="B1470" i="59"/>
  <c r="B1469" i="59"/>
  <c r="B1468" i="59"/>
  <c r="B1467" i="59"/>
  <c r="B1466" i="59"/>
  <c r="B1465" i="59"/>
  <c r="B1464" i="59"/>
  <c r="B1463" i="59"/>
  <c r="B1462" i="59"/>
  <c r="B1461" i="59"/>
  <c r="B1460" i="59"/>
  <c r="B1459" i="59"/>
  <c r="B1458" i="59"/>
  <c r="B1457" i="59"/>
  <c r="B1456" i="59"/>
  <c r="B1455" i="59"/>
  <c r="B1454" i="59"/>
  <c r="B1453" i="59"/>
  <c r="B1452" i="59"/>
  <c r="B1451" i="59"/>
  <c r="B1450" i="59"/>
  <c r="B1449" i="59"/>
  <c r="B1448" i="59"/>
  <c r="B1447" i="59"/>
  <c r="B1446" i="59"/>
  <c r="B1445" i="59"/>
  <c r="B1444" i="59"/>
  <c r="B1443" i="59"/>
  <c r="B1442" i="59"/>
  <c r="B1441" i="59"/>
  <c r="B1440" i="59"/>
  <c r="B1439" i="59"/>
  <c r="B1438" i="59"/>
  <c r="B1437" i="59"/>
  <c r="B1436" i="59"/>
  <c r="B1435" i="59"/>
  <c r="B1434" i="59"/>
  <c r="B1433" i="59"/>
  <c r="B1432" i="59"/>
  <c r="B1431" i="59"/>
  <c r="B1430" i="59"/>
  <c r="B1429" i="59"/>
  <c r="B1428" i="59"/>
  <c r="B1427" i="59"/>
  <c r="B1426" i="59"/>
  <c r="B1425" i="59"/>
  <c r="B1424" i="59"/>
  <c r="B1423" i="59"/>
  <c r="B1422" i="59"/>
  <c r="B1421" i="59"/>
  <c r="B1420" i="59"/>
  <c r="B1419" i="59"/>
  <c r="B1418" i="59"/>
  <c r="B1417" i="59"/>
  <c r="B1416" i="59"/>
  <c r="B1415" i="59"/>
  <c r="B1414" i="59"/>
  <c r="B1413" i="59"/>
  <c r="B1412" i="59"/>
  <c r="B1411" i="59"/>
  <c r="B1410" i="59"/>
  <c r="B1409" i="59"/>
  <c r="B1408" i="59"/>
  <c r="B1407" i="59"/>
  <c r="B1406" i="59"/>
  <c r="B1405" i="59"/>
  <c r="B1404" i="59"/>
  <c r="B1403" i="59"/>
  <c r="B1402" i="59"/>
  <c r="B1401" i="59"/>
  <c r="B1400" i="59"/>
  <c r="B1399" i="59"/>
  <c r="B1398" i="59"/>
  <c r="B1397" i="59"/>
  <c r="B1396" i="59"/>
  <c r="B1395" i="59"/>
  <c r="B1394" i="59"/>
  <c r="B1393" i="59"/>
  <c r="B1392" i="59"/>
  <c r="B1391" i="59"/>
  <c r="B1390" i="59"/>
  <c r="B1389" i="59"/>
  <c r="B1388" i="59"/>
  <c r="B1387" i="59"/>
  <c r="B1386" i="59"/>
  <c r="B1385" i="59"/>
  <c r="B1384" i="59"/>
  <c r="B1383" i="59"/>
  <c r="B1382" i="59"/>
  <c r="B1381" i="59"/>
  <c r="B1380" i="59"/>
  <c r="B1379" i="59"/>
  <c r="B1378" i="59"/>
  <c r="B1377" i="59"/>
  <c r="B1376" i="59"/>
  <c r="B1375" i="59"/>
  <c r="B1374" i="59"/>
  <c r="B1373" i="59"/>
  <c r="B1372" i="59"/>
  <c r="B1371" i="59"/>
  <c r="B1370" i="59"/>
  <c r="B1369" i="59"/>
  <c r="B1368" i="59"/>
  <c r="B1367" i="59"/>
  <c r="B1366" i="59"/>
  <c r="B1365" i="59"/>
  <c r="B1364" i="59"/>
  <c r="B1363" i="59"/>
  <c r="B1362" i="59"/>
  <c r="B1361" i="59"/>
  <c r="B1360" i="59"/>
  <c r="B1359" i="59"/>
  <c r="B1358" i="59"/>
  <c r="B1357" i="59"/>
  <c r="B1356" i="59"/>
  <c r="B1355" i="59"/>
  <c r="B1354" i="59"/>
  <c r="B1353" i="59"/>
  <c r="B1352" i="59"/>
  <c r="B1351" i="59"/>
  <c r="B1350" i="59"/>
  <c r="B1349" i="59"/>
  <c r="B1348" i="59"/>
  <c r="B1347" i="59"/>
  <c r="B1346" i="59"/>
  <c r="B1345" i="59"/>
  <c r="B1344" i="59"/>
  <c r="B1343" i="59"/>
  <c r="B1342" i="59"/>
  <c r="B1341" i="59"/>
  <c r="B1340" i="59"/>
  <c r="B1339" i="59"/>
  <c r="B1338" i="59"/>
  <c r="B1337" i="59"/>
  <c r="B1336" i="59"/>
  <c r="B1335" i="59"/>
  <c r="B1334" i="59"/>
  <c r="B1333" i="59"/>
  <c r="B1332" i="59"/>
  <c r="B1331" i="59"/>
  <c r="B1330" i="59"/>
  <c r="B1329" i="59"/>
  <c r="B1328" i="59"/>
  <c r="B1327" i="59"/>
  <c r="B1326" i="59"/>
  <c r="B1325" i="59"/>
  <c r="B1324" i="59"/>
  <c r="B1323" i="59"/>
  <c r="B1322" i="59"/>
  <c r="B1321" i="59"/>
  <c r="B1320" i="59"/>
  <c r="B1319" i="59"/>
  <c r="B1318" i="59"/>
  <c r="B1317" i="59"/>
  <c r="B1316" i="59"/>
  <c r="B1315" i="59"/>
  <c r="B1314" i="59"/>
  <c r="B1313" i="59"/>
  <c r="B1312" i="59"/>
  <c r="B1311" i="59"/>
  <c r="B1310" i="59"/>
  <c r="B1309" i="59"/>
  <c r="B1308" i="59"/>
  <c r="B1307" i="59"/>
  <c r="B1306" i="59"/>
  <c r="B1305" i="59"/>
  <c r="B1304" i="59"/>
  <c r="B1303" i="59"/>
  <c r="B1302" i="59"/>
  <c r="B1301" i="59"/>
  <c r="B1300" i="59"/>
  <c r="B1299" i="59"/>
  <c r="B1298" i="59"/>
  <c r="B1297" i="59"/>
  <c r="B1296" i="59"/>
  <c r="B1295" i="59"/>
  <c r="B1294" i="59"/>
  <c r="B1293" i="59"/>
  <c r="B1292" i="59"/>
  <c r="B1291" i="59"/>
  <c r="B1290" i="59"/>
  <c r="B1289" i="59"/>
  <c r="B1288" i="59"/>
  <c r="B1287" i="59"/>
  <c r="B1286" i="59"/>
  <c r="B1285" i="59"/>
  <c r="B1284" i="59"/>
  <c r="B1283" i="59"/>
  <c r="B1282" i="59"/>
  <c r="B1281" i="59"/>
  <c r="B1280" i="59"/>
  <c r="B1279" i="59"/>
  <c r="B1278" i="59"/>
  <c r="B1277" i="59"/>
  <c r="B1276" i="59"/>
  <c r="B1275" i="59"/>
  <c r="B1274" i="59"/>
  <c r="B1273" i="59"/>
  <c r="B1272" i="59"/>
  <c r="B1271" i="59"/>
  <c r="B1270" i="59"/>
  <c r="B1269" i="59"/>
  <c r="B1268" i="59"/>
  <c r="B1267" i="59"/>
  <c r="B1266" i="59"/>
  <c r="B1265" i="59"/>
  <c r="B1264" i="59"/>
  <c r="B1263" i="59"/>
  <c r="B1262" i="59"/>
  <c r="B1261" i="59"/>
  <c r="B1260" i="59"/>
  <c r="B1259" i="59"/>
  <c r="B1258" i="59"/>
  <c r="B1257" i="59"/>
  <c r="B1256" i="59"/>
  <c r="B1255" i="59"/>
  <c r="B1254" i="59"/>
  <c r="B1253" i="59"/>
  <c r="B1252" i="59"/>
  <c r="B1251" i="59"/>
  <c r="B1250" i="59"/>
  <c r="B1249" i="59"/>
  <c r="B1248" i="59"/>
  <c r="B1247" i="59"/>
  <c r="B1246" i="59"/>
  <c r="B1245" i="59"/>
  <c r="B1244" i="59"/>
  <c r="B1243" i="59"/>
  <c r="B1242" i="59"/>
  <c r="B1241" i="59"/>
  <c r="B1240" i="59"/>
  <c r="B1239" i="59"/>
  <c r="B1238" i="59"/>
  <c r="B1237" i="59"/>
  <c r="B1236" i="59"/>
  <c r="B1235" i="59"/>
  <c r="B1234" i="59"/>
  <c r="B1233" i="59"/>
  <c r="B1232" i="59"/>
  <c r="B1231" i="59"/>
  <c r="B1230" i="59"/>
  <c r="B1229" i="59"/>
  <c r="B1228" i="59"/>
  <c r="B1227" i="59"/>
  <c r="B1226" i="59"/>
  <c r="B1225" i="59"/>
  <c r="B1224" i="59"/>
  <c r="B1223" i="59"/>
  <c r="B1222" i="59"/>
  <c r="B1221" i="59"/>
  <c r="B1220" i="59"/>
  <c r="B1219" i="59"/>
  <c r="B1218" i="59"/>
  <c r="B1217" i="59"/>
  <c r="B1216" i="59"/>
  <c r="B1215" i="59"/>
  <c r="B1214" i="59"/>
  <c r="B1213" i="59"/>
  <c r="B1212" i="59"/>
  <c r="B1211" i="59"/>
  <c r="B1210" i="59"/>
  <c r="B1209" i="59"/>
  <c r="B1208" i="59"/>
  <c r="B1207" i="59"/>
  <c r="B1206" i="59"/>
  <c r="B1205" i="59"/>
  <c r="B1204" i="59"/>
  <c r="B1203" i="59"/>
  <c r="B1202" i="59"/>
  <c r="B1201" i="59"/>
  <c r="B1200" i="59"/>
  <c r="B1199" i="59"/>
  <c r="B1198" i="59"/>
  <c r="B1197" i="59"/>
  <c r="B1196" i="59"/>
  <c r="B1195" i="59"/>
  <c r="B1194" i="59"/>
  <c r="B1193" i="59"/>
  <c r="B1192" i="59"/>
  <c r="B1191" i="59"/>
  <c r="B1190" i="59"/>
  <c r="B1189" i="59"/>
  <c r="B1188" i="59"/>
  <c r="B1187" i="59"/>
  <c r="B1186" i="59"/>
  <c r="B1185" i="59"/>
  <c r="B1184" i="59"/>
  <c r="B1183" i="59"/>
  <c r="B1182" i="59"/>
  <c r="B1181" i="59"/>
  <c r="B1180" i="59"/>
  <c r="B1179" i="59"/>
  <c r="B1178" i="59"/>
  <c r="B1177" i="59"/>
  <c r="B1176" i="59"/>
  <c r="B1175" i="59"/>
  <c r="B1174" i="59"/>
  <c r="B1173" i="59"/>
  <c r="B1172" i="59"/>
  <c r="B1171" i="59"/>
  <c r="B1170" i="59"/>
  <c r="B1169" i="59"/>
  <c r="B1168" i="59"/>
  <c r="B1167" i="59"/>
  <c r="B1166" i="59"/>
  <c r="B1165" i="59"/>
  <c r="B1164" i="59"/>
  <c r="B1163" i="59"/>
  <c r="B1162" i="59"/>
  <c r="B1161" i="59"/>
  <c r="B1160" i="59"/>
  <c r="B1159" i="59"/>
  <c r="B1158" i="59"/>
  <c r="B1157" i="59"/>
  <c r="B1156" i="59"/>
  <c r="B1155" i="59"/>
  <c r="B1154" i="59"/>
  <c r="B1153" i="59"/>
  <c r="B1152" i="59"/>
  <c r="B1151" i="59"/>
  <c r="B1150" i="59"/>
  <c r="B1149" i="59"/>
  <c r="B1148" i="59"/>
  <c r="B1147" i="59"/>
  <c r="B1146" i="59"/>
  <c r="B1145" i="59"/>
  <c r="B1144" i="59"/>
  <c r="B1143" i="59"/>
  <c r="B1142" i="59"/>
  <c r="B1141" i="59"/>
  <c r="B1140" i="59"/>
  <c r="B1139" i="59"/>
  <c r="B1138" i="59"/>
  <c r="B1137" i="59"/>
  <c r="B1136" i="59"/>
  <c r="B1135" i="59"/>
  <c r="B1134" i="59"/>
  <c r="B1133" i="59"/>
  <c r="B1132" i="59"/>
  <c r="B1131" i="59"/>
  <c r="B1130" i="59"/>
  <c r="B1129" i="59"/>
  <c r="B1128" i="59"/>
  <c r="B1127" i="59"/>
  <c r="B1126" i="59"/>
  <c r="B1125" i="59"/>
  <c r="B1124" i="59"/>
  <c r="B1123" i="59"/>
  <c r="B1122" i="59"/>
  <c r="B1121" i="59"/>
  <c r="B1120" i="59"/>
  <c r="B1119" i="59"/>
  <c r="B1118" i="59"/>
  <c r="B1117" i="59"/>
  <c r="B1116" i="59"/>
  <c r="B1115" i="59"/>
  <c r="B1114" i="59"/>
  <c r="B1113" i="59"/>
  <c r="B1112" i="59"/>
  <c r="B1111" i="59"/>
  <c r="B1110" i="59"/>
  <c r="B1109" i="59"/>
  <c r="B1108" i="59"/>
  <c r="B1107" i="59"/>
  <c r="B1106" i="59"/>
  <c r="B1105" i="59"/>
  <c r="B1104" i="59"/>
  <c r="B1103" i="59"/>
  <c r="B1102" i="59"/>
  <c r="B1101" i="59"/>
  <c r="B1100" i="59"/>
  <c r="B1099" i="59"/>
  <c r="B1098" i="59"/>
  <c r="B1097" i="59"/>
  <c r="B1096" i="59"/>
  <c r="B1095" i="59"/>
  <c r="B1094" i="59"/>
  <c r="B1093" i="59"/>
  <c r="B1092" i="59"/>
  <c r="B1091" i="59"/>
  <c r="B1090" i="59"/>
  <c r="B1089" i="59"/>
  <c r="B1088" i="59"/>
  <c r="B1087" i="59"/>
  <c r="B1086" i="59"/>
  <c r="B1085" i="59"/>
  <c r="B1084" i="59"/>
  <c r="B1083" i="59"/>
  <c r="B1082" i="59"/>
  <c r="B1081" i="59"/>
  <c r="B1080" i="59"/>
  <c r="B1079" i="59"/>
  <c r="B1078" i="59"/>
  <c r="B1077" i="59"/>
  <c r="B1076" i="59"/>
  <c r="B1075" i="59"/>
  <c r="B1074" i="59"/>
  <c r="B1073" i="59"/>
  <c r="B1072" i="59"/>
  <c r="B1071" i="59"/>
  <c r="B1070" i="59"/>
  <c r="B1069" i="59"/>
  <c r="B1068" i="59"/>
  <c r="B1067" i="59"/>
  <c r="B1066" i="59"/>
  <c r="B1065" i="59"/>
  <c r="B1064" i="59"/>
  <c r="B1063" i="59"/>
  <c r="B1062" i="59"/>
  <c r="B1061" i="59"/>
  <c r="B1060" i="59"/>
  <c r="B1059" i="59"/>
  <c r="B1058" i="59"/>
  <c r="B1057" i="59"/>
  <c r="B1056" i="59"/>
  <c r="B1055" i="59"/>
  <c r="B1054" i="59"/>
  <c r="B1053" i="59"/>
  <c r="B1052" i="59"/>
  <c r="B1051" i="59"/>
  <c r="B1050" i="59"/>
  <c r="B1049" i="59"/>
  <c r="B1048" i="59"/>
  <c r="B1047" i="59"/>
  <c r="B1046" i="59"/>
  <c r="B1045" i="59"/>
  <c r="B1044" i="59"/>
  <c r="B1043" i="59"/>
  <c r="B1042" i="59"/>
  <c r="B1041" i="59"/>
  <c r="B1040" i="59"/>
  <c r="B1039" i="59"/>
  <c r="B1038" i="59"/>
  <c r="B1037" i="59"/>
  <c r="B1036" i="59"/>
  <c r="B1035" i="59"/>
  <c r="B1034" i="59"/>
  <c r="B1033" i="59"/>
  <c r="B1032" i="59"/>
  <c r="B1031" i="59"/>
  <c r="B1030" i="59"/>
  <c r="B1029" i="59"/>
  <c r="B1028" i="59"/>
  <c r="B1027" i="59"/>
  <c r="B1026" i="59"/>
  <c r="B1025" i="59"/>
  <c r="B1024" i="59"/>
  <c r="B1023" i="59"/>
  <c r="B1022" i="59"/>
  <c r="B1021" i="59"/>
  <c r="B1020" i="59"/>
  <c r="B1019" i="59"/>
  <c r="B1018" i="59"/>
  <c r="B1017" i="59"/>
  <c r="B1016" i="59"/>
  <c r="B1015" i="59"/>
  <c r="B1014" i="59"/>
  <c r="B1013" i="59"/>
  <c r="B1012" i="59"/>
  <c r="B1011" i="59"/>
  <c r="B1010" i="59"/>
  <c r="B1009" i="59"/>
  <c r="B1008" i="59"/>
  <c r="B1007" i="59"/>
  <c r="B1006" i="59"/>
  <c r="B1005" i="59"/>
  <c r="B1004" i="59"/>
  <c r="B1003" i="59"/>
  <c r="B1002" i="59"/>
  <c r="B1001" i="59"/>
  <c r="B1000" i="59"/>
  <c r="B999" i="59"/>
  <c r="B998" i="59"/>
  <c r="B997" i="59"/>
  <c r="B996" i="59"/>
  <c r="B995" i="59"/>
  <c r="B994" i="59"/>
  <c r="B993" i="59"/>
  <c r="B992" i="59"/>
  <c r="B991" i="59"/>
  <c r="B990" i="59"/>
  <c r="B989" i="59"/>
  <c r="B988" i="59"/>
  <c r="B987" i="59"/>
  <c r="B986" i="59"/>
  <c r="B985" i="59"/>
  <c r="B984" i="59"/>
  <c r="B983" i="59"/>
  <c r="B982" i="59"/>
  <c r="B981" i="59"/>
  <c r="B980" i="59"/>
  <c r="B979" i="59"/>
  <c r="B978" i="59"/>
  <c r="B977" i="59"/>
  <c r="B976" i="59"/>
  <c r="B975" i="59"/>
  <c r="B974" i="59"/>
  <c r="B973" i="59"/>
  <c r="B972" i="59"/>
  <c r="B971" i="59"/>
  <c r="B970" i="59"/>
  <c r="B969" i="59"/>
  <c r="B968" i="59"/>
  <c r="B967" i="59"/>
  <c r="B966" i="59"/>
  <c r="B965" i="59"/>
  <c r="B964" i="59"/>
  <c r="B963" i="59"/>
  <c r="B962" i="59"/>
  <c r="B961" i="59"/>
  <c r="B960" i="59"/>
  <c r="B959" i="59"/>
  <c r="B958" i="59"/>
  <c r="B957" i="59"/>
  <c r="B956" i="59"/>
  <c r="B955" i="59"/>
  <c r="B954" i="59"/>
  <c r="B953" i="59"/>
  <c r="B952" i="59"/>
  <c r="B951" i="59"/>
  <c r="B950" i="59"/>
  <c r="B949" i="59"/>
  <c r="B948" i="59"/>
  <c r="B947" i="59"/>
  <c r="B946" i="59"/>
  <c r="B945" i="59"/>
  <c r="B944" i="59"/>
  <c r="B943" i="59"/>
  <c r="B942" i="59"/>
  <c r="B941" i="59"/>
  <c r="B940" i="59"/>
  <c r="B939" i="59"/>
  <c r="B938" i="59"/>
  <c r="B937" i="59"/>
  <c r="B936" i="59"/>
  <c r="B935" i="59"/>
  <c r="B934" i="59"/>
  <c r="B933" i="59"/>
  <c r="B932" i="59"/>
  <c r="B931" i="59"/>
  <c r="B930" i="59"/>
  <c r="B929" i="59"/>
  <c r="B928" i="59"/>
  <c r="B927" i="59"/>
  <c r="B926" i="59"/>
  <c r="B925" i="59"/>
  <c r="B924" i="59"/>
  <c r="B923" i="59"/>
  <c r="B922" i="59"/>
  <c r="B921" i="59"/>
  <c r="B920" i="59"/>
  <c r="B919" i="59"/>
  <c r="B918" i="59"/>
  <c r="B917" i="59"/>
  <c r="B916" i="59"/>
  <c r="B915" i="59"/>
  <c r="B914" i="59"/>
  <c r="B913" i="59"/>
  <c r="B912" i="59"/>
  <c r="B911" i="59"/>
  <c r="B910" i="59"/>
  <c r="B909" i="59"/>
  <c r="B908" i="59"/>
  <c r="B907" i="59"/>
  <c r="B906" i="59"/>
  <c r="B905" i="59"/>
  <c r="B904" i="59"/>
  <c r="B903" i="59"/>
  <c r="B902" i="59"/>
  <c r="B901" i="59"/>
  <c r="B900" i="59"/>
  <c r="B899" i="59"/>
  <c r="B898" i="59"/>
  <c r="B897" i="59"/>
  <c r="B896" i="59"/>
  <c r="B895" i="59"/>
  <c r="B894" i="59"/>
  <c r="B893" i="59"/>
  <c r="B892" i="59"/>
  <c r="B891" i="59"/>
  <c r="B890" i="59"/>
  <c r="B889" i="59"/>
  <c r="B888" i="59"/>
  <c r="B887" i="59"/>
  <c r="B886" i="59"/>
  <c r="B885" i="59"/>
  <c r="B884" i="59"/>
  <c r="B883" i="59"/>
  <c r="B882" i="59"/>
  <c r="B881" i="59"/>
  <c r="B880" i="59"/>
  <c r="B879" i="59"/>
  <c r="B878" i="59"/>
  <c r="B877" i="59"/>
  <c r="B876" i="59"/>
  <c r="B875" i="59"/>
  <c r="B874" i="59"/>
  <c r="B873" i="59"/>
  <c r="B872" i="59"/>
  <c r="B871" i="59"/>
  <c r="B870" i="59"/>
  <c r="B869" i="59"/>
  <c r="B868" i="59"/>
  <c r="B867" i="59"/>
  <c r="B866" i="59"/>
  <c r="B865" i="59"/>
  <c r="B864" i="59"/>
  <c r="B863" i="59"/>
  <c r="B862" i="59"/>
  <c r="B861" i="59"/>
  <c r="B860" i="59"/>
  <c r="B859" i="59"/>
  <c r="B858" i="59"/>
  <c r="B857" i="59"/>
  <c r="B856" i="59"/>
  <c r="B855" i="59"/>
  <c r="B854" i="59"/>
  <c r="B853" i="59"/>
  <c r="B852" i="59"/>
  <c r="B851" i="59"/>
  <c r="B850" i="59"/>
  <c r="B849" i="59"/>
  <c r="B848" i="59"/>
  <c r="B847" i="59"/>
  <c r="B846" i="59"/>
  <c r="B845" i="59"/>
  <c r="B844" i="59"/>
  <c r="B843" i="59"/>
  <c r="B842" i="59"/>
  <c r="B841" i="59"/>
  <c r="B840" i="59"/>
  <c r="B839" i="59"/>
  <c r="B838" i="59"/>
  <c r="B837" i="59"/>
  <c r="B836" i="59"/>
  <c r="B835" i="59"/>
  <c r="B834" i="59"/>
  <c r="B833" i="59"/>
  <c r="B832" i="59"/>
  <c r="B831" i="59"/>
  <c r="B830" i="59"/>
  <c r="B829" i="59"/>
  <c r="B828" i="59"/>
  <c r="B827" i="59"/>
  <c r="B826" i="59"/>
  <c r="B825" i="59"/>
  <c r="B824" i="59"/>
  <c r="B823" i="59"/>
  <c r="B822" i="59"/>
  <c r="B821" i="59"/>
  <c r="B820" i="59"/>
  <c r="B819" i="59"/>
  <c r="B818" i="59"/>
  <c r="B817" i="59"/>
  <c r="B816" i="59"/>
  <c r="B815" i="59"/>
  <c r="B814" i="59"/>
  <c r="B813" i="59"/>
  <c r="B812" i="59"/>
  <c r="B811" i="59"/>
  <c r="B810" i="59"/>
  <c r="B809" i="59"/>
  <c r="B808" i="59"/>
  <c r="B807" i="59"/>
  <c r="B806" i="59"/>
  <c r="B805" i="59"/>
  <c r="B804" i="59"/>
  <c r="B803" i="59"/>
  <c r="B802" i="59"/>
  <c r="B801" i="59"/>
  <c r="B800" i="59"/>
  <c r="B799" i="59"/>
  <c r="B798" i="59"/>
  <c r="B797" i="59"/>
  <c r="B796" i="59"/>
  <c r="B795" i="59"/>
  <c r="B794" i="59"/>
  <c r="B793" i="59"/>
  <c r="B792" i="59"/>
  <c r="B791" i="59"/>
  <c r="B790" i="59"/>
  <c r="B789" i="59"/>
  <c r="B788" i="59"/>
  <c r="B787" i="59"/>
  <c r="B786" i="59"/>
  <c r="B785" i="59"/>
  <c r="B784" i="59"/>
  <c r="B783" i="59"/>
  <c r="B782" i="59"/>
  <c r="B781" i="59"/>
  <c r="B780" i="59"/>
  <c r="B779" i="59"/>
  <c r="B778" i="59"/>
  <c r="B777" i="59"/>
  <c r="B776" i="59"/>
  <c r="B775" i="59"/>
  <c r="B774" i="59"/>
  <c r="B773" i="59"/>
  <c r="B772" i="59"/>
  <c r="B771" i="59"/>
  <c r="B770" i="59"/>
  <c r="B769" i="59"/>
  <c r="B768" i="59"/>
  <c r="B767" i="59"/>
  <c r="B766" i="59"/>
  <c r="B765" i="59"/>
  <c r="B764" i="59"/>
  <c r="B763" i="59"/>
  <c r="B762" i="59"/>
  <c r="B761" i="59"/>
  <c r="B760" i="59"/>
  <c r="B759" i="59"/>
  <c r="B758" i="59"/>
  <c r="B757" i="59"/>
  <c r="B756" i="59"/>
  <c r="B755" i="59"/>
  <c r="B754" i="59"/>
  <c r="B753" i="59"/>
  <c r="B752" i="59"/>
  <c r="B751" i="59"/>
  <c r="B750" i="59"/>
  <c r="B749" i="59"/>
  <c r="B748" i="59"/>
  <c r="B747" i="59"/>
  <c r="B746" i="59"/>
  <c r="B745" i="59"/>
  <c r="B744" i="59"/>
  <c r="B743" i="59"/>
  <c r="B742" i="59"/>
  <c r="B741" i="59"/>
  <c r="B740" i="59"/>
  <c r="B739" i="59"/>
  <c r="B738" i="59"/>
  <c r="B737" i="59"/>
  <c r="B736" i="59"/>
  <c r="B735" i="59"/>
  <c r="B734" i="59"/>
  <c r="B733" i="59"/>
  <c r="B732" i="59"/>
  <c r="B731" i="59"/>
  <c r="B730" i="59"/>
  <c r="B729" i="59"/>
  <c r="B728" i="59"/>
  <c r="B727" i="59"/>
  <c r="B726" i="59"/>
  <c r="B725" i="59"/>
  <c r="B724" i="59"/>
  <c r="B723" i="59"/>
  <c r="B722" i="59"/>
  <c r="B721" i="59"/>
  <c r="B720" i="59"/>
  <c r="B719" i="59"/>
  <c r="B718" i="59"/>
  <c r="B717" i="59"/>
  <c r="B716" i="59"/>
  <c r="B715" i="59"/>
  <c r="B714" i="59"/>
  <c r="B713" i="59"/>
  <c r="B712" i="59"/>
  <c r="B711" i="59"/>
  <c r="B710" i="59"/>
  <c r="B709" i="59"/>
  <c r="B708" i="59"/>
  <c r="B707" i="59"/>
  <c r="B706" i="59"/>
  <c r="B705" i="59"/>
  <c r="B704" i="59"/>
  <c r="B703" i="59"/>
  <c r="B702" i="59"/>
  <c r="B701" i="59"/>
  <c r="B700" i="59"/>
  <c r="B699" i="59"/>
  <c r="B698" i="59"/>
  <c r="B697" i="59"/>
  <c r="B696" i="59"/>
  <c r="B695" i="59"/>
  <c r="B694" i="59"/>
  <c r="B693" i="59"/>
  <c r="B692" i="59"/>
  <c r="B691" i="59"/>
  <c r="B690" i="59"/>
  <c r="B689" i="59"/>
  <c r="B688" i="59"/>
  <c r="B687" i="59"/>
  <c r="B686" i="59"/>
  <c r="B685" i="59"/>
  <c r="B684" i="59"/>
  <c r="B683" i="59"/>
  <c r="B682" i="59"/>
  <c r="B681" i="59"/>
  <c r="B680" i="59"/>
  <c r="B679" i="59"/>
  <c r="B678" i="59"/>
  <c r="B677" i="59"/>
  <c r="B676" i="59"/>
  <c r="B675" i="59"/>
  <c r="B674" i="59"/>
  <c r="B673" i="59"/>
  <c r="B672" i="59"/>
  <c r="B671" i="59"/>
  <c r="B670" i="59"/>
  <c r="B669" i="59"/>
  <c r="B668" i="59"/>
  <c r="B667" i="59"/>
  <c r="B666" i="59"/>
  <c r="B665" i="59"/>
  <c r="B664" i="59"/>
  <c r="B663" i="59"/>
  <c r="B662" i="59"/>
  <c r="B661" i="59"/>
  <c r="B660" i="59"/>
  <c r="B659" i="59"/>
  <c r="B658" i="59"/>
  <c r="B657" i="59"/>
  <c r="B656" i="59"/>
  <c r="B655" i="59"/>
  <c r="B654" i="59"/>
  <c r="B653" i="59"/>
  <c r="B652" i="59"/>
  <c r="B651" i="59"/>
  <c r="B650" i="59"/>
  <c r="B649" i="59"/>
  <c r="B648" i="59"/>
  <c r="B647" i="59"/>
  <c r="B646" i="59"/>
  <c r="B645" i="59"/>
  <c r="B644" i="59"/>
  <c r="B643" i="59"/>
  <c r="B642" i="59"/>
  <c r="B641" i="59"/>
  <c r="B640" i="59"/>
  <c r="B639" i="59"/>
  <c r="B638" i="59"/>
  <c r="B637" i="59"/>
  <c r="B636" i="59"/>
  <c r="B635" i="59"/>
  <c r="B634" i="59"/>
  <c r="B633" i="59"/>
  <c r="B632" i="59"/>
  <c r="B631" i="59"/>
  <c r="B630" i="59"/>
  <c r="B629" i="59"/>
  <c r="B628" i="59"/>
  <c r="B627" i="59"/>
  <c r="B626" i="59"/>
  <c r="B625" i="59"/>
  <c r="B624" i="59"/>
  <c r="B623" i="59"/>
  <c r="B622" i="59"/>
  <c r="B621" i="59"/>
  <c r="B620" i="59"/>
  <c r="B619" i="59"/>
  <c r="B618" i="59"/>
  <c r="B617" i="59"/>
  <c r="B616" i="59"/>
  <c r="B615" i="59"/>
  <c r="B614" i="59"/>
  <c r="B613" i="59"/>
  <c r="B612" i="59"/>
  <c r="B611" i="59"/>
  <c r="B610" i="59"/>
  <c r="B609" i="59"/>
  <c r="B608" i="59"/>
  <c r="B607" i="59"/>
  <c r="B606" i="59"/>
  <c r="B605" i="59"/>
  <c r="B604" i="59"/>
  <c r="B603" i="59"/>
  <c r="B602" i="59"/>
  <c r="B601" i="59"/>
  <c r="B600" i="59"/>
  <c r="B599" i="59"/>
  <c r="B598" i="59"/>
  <c r="B597" i="59"/>
  <c r="B596" i="59"/>
  <c r="B595" i="59"/>
  <c r="B594" i="59"/>
  <c r="B593" i="59"/>
  <c r="B592" i="59"/>
  <c r="B591" i="59"/>
  <c r="B590" i="59"/>
  <c r="B589" i="59"/>
  <c r="B588" i="59"/>
  <c r="B587" i="59"/>
  <c r="B586" i="59"/>
  <c r="B585" i="59"/>
  <c r="B584" i="59"/>
  <c r="B583" i="59"/>
  <c r="B582" i="59"/>
  <c r="B581" i="59"/>
  <c r="B580" i="59"/>
  <c r="B579" i="59"/>
  <c r="B578" i="59"/>
  <c r="B577" i="59"/>
  <c r="B576" i="59"/>
  <c r="B575" i="59"/>
  <c r="B574" i="59"/>
  <c r="B573" i="59"/>
  <c r="B572" i="59"/>
  <c r="B571" i="59"/>
  <c r="B570" i="59"/>
  <c r="B569" i="59"/>
  <c r="B568" i="59"/>
  <c r="B567" i="59"/>
  <c r="B566" i="59"/>
  <c r="B565" i="59"/>
  <c r="B564" i="59"/>
  <c r="B563" i="59"/>
  <c r="B562" i="59"/>
  <c r="B561" i="59"/>
  <c r="B560" i="59"/>
  <c r="B559" i="59"/>
  <c r="B558" i="59"/>
  <c r="B557" i="59"/>
  <c r="B556" i="59"/>
  <c r="B555" i="59"/>
  <c r="B554" i="59"/>
  <c r="B553" i="59"/>
  <c r="B552" i="59"/>
  <c r="B551" i="59"/>
  <c r="B550" i="59"/>
  <c r="B549" i="59"/>
  <c r="B548" i="59"/>
  <c r="B547" i="59"/>
  <c r="B546" i="59"/>
  <c r="B545" i="59"/>
  <c r="B544" i="59"/>
  <c r="B543" i="59"/>
  <c r="B542" i="59"/>
  <c r="B541" i="59"/>
  <c r="B540" i="59"/>
  <c r="B539" i="59"/>
  <c r="B538" i="59"/>
  <c r="B537" i="59"/>
  <c r="B536" i="59"/>
  <c r="B535" i="59"/>
  <c r="B534" i="59"/>
  <c r="B533" i="59"/>
  <c r="B532" i="59"/>
  <c r="B531" i="59"/>
  <c r="B530" i="59"/>
  <c r="B529" i="59"/>
  <c r="B528" i="59"/>
  <c r="B527" i="59"/>
  <c r="B526" i="59"/>
  <c r="B525" i="59"/>
  <c r="B524" i="59"/>
  <c r="B523" i="59"/>
  <c r="B522" i="59"/>
  <c r="B521" i="59"/>
  <c r="B520" i="59"/>
  <c r="B519" i="59"/>
  <c r="B518" i="59"/>
  <c r="B517" i="59"/>
  <c r="B516" i="59"/>
  <c r="B515" i="59"/>
  <c r="B514" i="59"/>
  <c r="B513" i="59"/>
  <c r="B512" i="59"/>
  <c r="B511" i="59"/>
  <c r="B510" i="59"/>
  <c r="B509" i="59"/>
  <c r="B508" i="59"/>
  <c r="B507" i="59"/>
  <c r="B506" i="59"/>
  <c r="B505" i="59"/>
  <c r="B504" i="59"/>
  <c r="B503" i="59"/>
  <c r="B502" i="59"/>
  <c r="B501" i="59"/>
  <c r="B500" i="59"/>
  <c r="B499" i="59"/>
  <c r="B498" i="59"/>
  <c r="B497" i="59"/>
  <c r="B496" i="59"/>
  <c r="B495" i="59"/>
  <c r="B494" i="59"/>
  <c r="B493" i="59"/>
  <c r="B492" i="59"/>
  <c r="B491" i="59"/>
  <c r="B490" i="59"/>
  <c r="B489" i="59"/>
  <c r="B488" i="59"/>
  <c r="B487" i="59"/>
  <c r="B486" i="59"/>
  <c r="B485" i="59"/>
  <c r="B484" i="59"/>
  <c r="B483" i="59"/>
  <c r="B482" i="59"/>
  <c r="B481" i="59"/>
  <c r="B480" i="59"/>
  <c r="B479" i="59"/>
  <c r="B478" i="59"/>
  <c r="B477" i="59"/>
  <c r="B476" i="59"/>
  <c r="B475" i="59"/>
  <c r="B474" i="59"/>
  <c r="B473" i="59"/>
  <c r="B472" i="59"/>
  <c r="B471" i="59"/>
  <c r="B470" i="59"/>
  <c r="B469" i="59"/>
  <c r="B468" i="59"/>
  <c r="B467" i="59"/>
  <c r="B466" i="59"/>
  <c r="B465" i="59"/>
  <c r="B464" i="59"/>
  <c r="B463" i="59"/>
  <c r="B462" i="59"/>
  <c r="B461" i="59"/>
  <c r="B460" i="59"/>
  <c r="B459" i="59"/>
  <c r="B458" i="59"/>
  <c r="B457" i="59"/>
  <c r="B456" i="59"/>
  <c r="B455" i="59"/>
  <c r="B454" i="59"/>
  <c r="B453" i="59"/>
  <c r="B452" i="59"/>
  <c r="B451" i="59"/>
  <c r="B450" i="59"/>
  <c r="B449" i="59"/>
  <c r="B448" i="59"/>
  <c r="B447" i="59"/>
  <c r="B446" i="59"/>
  <c r="B445" i="59"/>
  <c r="B444" i="59"/>
  <c r="B443" i="59"/>
  <c r="B442" i="59"/>
  <c r="B441" i="59"/>
  <c r="B440" i="59"/>
  <c r="B439" i="59"/>
  <c r="B438" i="59"/>
  <c r="B437" i="59"/>
  <c r="B436" i="59"/>
  <c r="B435" i="59"/>
  <c r="B434" i="59"/>
  <c r="B433" i="59"/>
  <c r="B432" i="59"/>
  <c r="B431" i="59"/>
  <c r="B430" i="59"/>
  <c r="B429" i="59"/>
  <c r="B428" i="59"/>
  <c r="B427" i="59"/>
  <c r="B426" i="59"/>
  <c r="B425" i="59"/>
  <c r="B424" i="59"/>
  <c r="B423" i="59"/>
  <c r="B422" i="59"/>
  <c r="B421" i="59"/>
  <c r="B420" i="59"/>
  <c r="B419" i="59"/>
  <c r="B418" i="59"/>
  <c r="B417" i="59"/>
  <c r="B416" i="59"/>
  <c r="B415" i="59"/>
  <c r="B414" i="59"/>
  <c r="B413" i="59"/>
  <c r="B412" i="59"/>
  <c r="B411" i="59"/>
  <c r="B410" i="59"/>
  <c r="B409" i="59"/>
  <c r="B408" i="59"/>
  <c r="B407" i="59"/>
  <c r="B406" i="59"/>
  <c r="B405" i="59"/>
  <c r="B404" i="59"/>
  <c r="B403" i="59"/>
  <c r="B402" i="59"/>
  <c r="B401" i="59"/>
  <c r="B400" i="59"/>
  <c r="B399" i="59"/>
  <c r="B398" i="59"/>
  <c r="B397" i="59"/>
  <c r="B396" i="59"/>
  <c r="B395" i="59"/>
  <c r="B394" i="59"/>
  <c r="B393" i="59"/>
  <c r="B392" i="59"/>
  <c r="B391" i="59"/>
  <c r="B390" i="59"/>
  <c r="B389" i="59"/>
  <c r="B388" i="59"/>
  <c r="B387" i="59"/>
  <c r="B386" i="59"/>
  <c r="B385" i="59"/>
  <c r="B384" i="59"/>
  <c r="B383" i="59"/>
  <c r="B382" i="59"/>
  <c r="B381" i="59"/>
  <c r="B380" i="59"/>
  <c r="B379" i="59"/>
  <c r="B378" i="59"/>
  <c r="B377" i="59"/>
  <c r="B376" i="59"/>
  <c r="B375" i="59"/>
  <c r="B374" i="59"/>
  <c r="B373" i="59"/>
  <c r="B372" i="59"/>
  <c r="B371" i="59"/>
  <c r="B370" i="59"/>
  <c r="B369" i="59"/>
  <c r="B368" i="59"/>
  <c r="B367" i="59"/>
  <c r="B366" i="59"/>
  <c r="B365" i="59"/>
  <c r="B364" i="59"/>
  <c r="B363" i="59"/>
  <c r="B362" i="59"/>
  <c r="B361" i="59"/>
  <c r="B360" i="59"/>
  <c r="B359" i="59"/>
  <c r="B358" i="59"/>
  <c r="B357" i="59"/>
  <c r="B356" i="59"/>
  <c r="B355" i="59"/>
  <c r="B354" i="59"/>
  <c r="B353" i="59"/>
  <c r="B352" i="59"/>
  <c r="B351" i="59"/>
  <c r="B350" i="59"/>
  <c r="B349" i="59"/>
  <c r="B348" i="59"/>
  <c r="B347" i="59"/>
  <c r="B346" i="59"/>
  <c r="B345" i="59"/>
  <c r="B344" i="59"/>
  <c r="B343" i="59"/>
  <c r="B342" i="59"/>
  <c r="B341" i="59"/>
  <c r="B340" i="59"/>
  <c r="B339" i="59"/>
  <c r="B338" i="59"/>
  <c r="B337" i="59"/>
  <c r="B336" i="59"/>
  <c r="B335" i="59"/>
  <c r="B334" i="59"/>
  <c r="B333" i="59"/>
  <c r="B332" i="59"/>
  <c r="B331" i="59"/>
  <c r="B330" i="59"/>
  <c r="B329" i="59"/>
  <c r="B328" i="59"/>
  <c r="B327" i="59"/>
  <c r="B326" i="59"/>
  <c r="B325" i="59"/>
  <c r="B324" i="59"/>
  <c r="B323" i="59"/>
  <c r="B322" i="59"/>
  <c r="B321" i="59"/>
  <c r="B320" i="59"/>
  <c r="B319" i="59"/>
  <c r="B318" i="59"/>
  <c r="B317" i="59"/>
  <c r="B316" i="59"/>
  <c r="B315" i="59"/>
  <c r="B314" i="59"/>
  <c r="B313" i="59"/>
  <c r="B312" i="59"/>
  <c r="B311" i="59"/>
  <c r="B310" i="59"/>
  <c r="B309" i="59"/>
  <c r="B308" i="59"/>
  <c r="B307" i="59"/>
  <c r="B306" i="59"/>
  <c r="B305" i="59"/>
  <c r="B304" i="59"/>
  <c r="B303" i="59"/>
  <c r="B302" i="59"/>
  <c r="B301" i="59"/>
  <c r="B300" i="59"/>
  <c r="B299" i="59"/>
  <c r="B298" i="59"/>
  <c r="B297" i="59"/>
  <c r="B296" i="59"/>
  <c r="B295" i="59"/>
  <c r="B294" i="59"/>
  <c r="B293" i="59"/>
  <c r="B292" i="59"/>
  <c r="B291" i="59"/>
  <c r="B290" i="59"/>
  <c r="B289" i="59"/>
  <c r="B288" i="59"/>
  <c r="B287" i="59"/>
  <c r="B286" i="59"/>
  <c r="B285" i="59"/>
  <c r="B284" i="59"/>
  <c r="B283" i="59"/>
  <c r="B282" i="59"/>
  <c r="B281" i="59"/>
  <c r="B280" i="59"/>
  <c r="B279" i="59"/>
  <c r="B278" i="59"/>
  <c r="B277" i="59"/>
  <c r="B276" i="59"/>
  <c r="B275" i="59"/>
  <c r="B274" i="59"/>
  <c r="B273" i="59"/>
  <c r="B272" i="59"/>
  <c r="B271" i="59"/>
  <c r="B270" i="59"/>
  <c r="B269" i="59"/>
  <c r="B268" i="59"/>
  <c r="B267" i="59"/>
  <c r="B266" i="59"/>
  <c r="B265" i="59"/>
  <c r="B264" i="59"/>
  <c r="B263" i="59"/>
  <c r="B262" i="59"/>
  <c r="B261" i="59"/>
  <c r="B260" i="59"/>
  <c r="B259" i="59"/>
  <c r="B258" i="59"/>
  <c r="B257" i="59"/>
  <c r="B256" i="59"/>
  <c r="B255" i="59"/>
  <c r="B254" i="59"/>
  <c r="B253" i="59"/>
  <c r="B252" i="59"/>
  <c r="B251" i="59"/>
  <c r="B250" i="59"/>
  <c r="B249" i="59"/>
  <c r="B248" i="59"/>
  <c r="B247" i="59"/>
  <c r="B246" i="59"/>
  <c r="B245" i="59"/>
  <c r="B244" i="59"/>
  <c r="B243" i="59"/>
  <c r="B242" i="59"/>
  <c r="B241" i="59"/>
  <c r="B240" i="59"/>
  <c r="B239" i="59"/>
  <c r="B238" i="59"/>
  <c r="B237" i="59"/>
  <c r="B236" i="59"/>
  <c r="B235" i="59"/>
  <c r="B234" i="59"/>
  <c r="B233" i="59"/>
  <c r="B232" i="59"/>
  <c r="B231" i="59"/>
  <c r="B230" i="59"/>
  <c r="B229" i="59"/>
  <c r="B228" i="59"/>
  <c r="B227" i="59"/>
  <c r="B226" i="59"/>
  <c r="B225" i="59"/>
  <c r="B224" i="59"/>
  <c r="B223" i="59"/>
  <c r="B222" i="59"/>
  <c r="B221" i="59"/>
  <c r="B220" i="59"/>
  <c r="B219" i="59"/>
  <c r="B218" i="59"/>
  <c r="B217" i="59"/>
  <c r="B216" i="59"/>
  <c r="B215" i="59"/>
  <c r="B214" i="59"/>
  <c r="B213" i="59"/>
  <c r="B212" i="59"/>
  <c r="B211" i="59"/>
  <c r="B210" i="59"/>
  <c r="B209" i="59"/>
  <c r="B208" i="59"/>
  <c r="B207" i="59"/>
  <c r="B206" i="59"/>
  <c r="B205" i="59"/>
  <c r="B204" i="59"/>
  <c r="B203" i="59"/>
  <c r="B202" i="59"/>
  <c r="B201" i="59"/>
  <c r="B200" i="59"/>
  <c r="B199" i="59"/>
  <c r="B198" i="59"/>
  <c r="B197" i="59"/>
  <c r="B196" i="59"/>
  <c r="B195" i="59"/>
  <c r="B194" i="59"/>
  <c r="B193" i="59"/>
  <c r="B192" i="59"/>
  <c r="B191" i="59"/>
  <c r="B190" i="59"/>
  <c r="B189" i="59"/>
  <c r="B188" i="59"/>
  <c r="B187" i="59"/>
  <c r="B186" i="59"/>
  <c r="B185" i="59"/>
  <c r="B184" i="59"/>
  <c r="B183" i="59"/>
  <c r="B182" i="59"/>
  <c r="B181" i="59"/>
  <c r="B180" i="59"/>
  <c r="B179" i="59"/>
  <c r="B178" i="59"/>
  <c r="B177" i="59"/>
  <c r="B176" i="59"/>
  <c r="B175" i="59"/>
  <c r="B174" i="59"/>
  <c r="B173" i="59"/>
  <c r="B172" i="59"/>
  <c r="B171" i="59"/>
  <c r="B170" i="59"/>
  <c r="B169" i="59"/>
  <c r="B168" i="59"/>
  <c r="B167" i="59"/>
  <c r="B166" i="59"/>
  <c r="B165" i="59"/>
  <c r="B164" i="59"/>
  <c r="B163" i="59"/>
  <c r="B162" i="59"/>
  <c r="B161" i="59"/>
  <c r="B160" i="59"/>
  <c r="B159" i="59"/>
  <c r="B158" i="59"/>
  <c r="B157" i="59"/>
  <c r="B156" i="59"/>
  <c r="B155" i="59"/>
  <c r="B154" i="59"/>
  <c r="B153" i="59"/>
  <c r="B152" i="59"/>
  <c r="B151" i="59"/>
  <c r="B150" i="59"/>
  <c r="B149" i="59"/>
  <c r="B148" i="59"/>
  <c r="B147" i="59"/>
  <c r="B146" i="59"/>
  <c r="B145" i="59"/>
  <c r="B144" i="59"/>
  <c r="B143" i="59"/>
  <c r="B142" i="59"/>
  <c r="B141" i="59"/>
  <c r="B140" i="59"/>
  <c r="B139" i="59"/>
  <c r="B138" i="59"/>
  <c r="B137" i="59"/>
  <c r="B136" i="59"/>
  <c r="B135" i="59"/>
  <c r="B134" i="59"/>
  <c r="B133" i="59"/>
  <c r="B132" i="59"/>
  <c r="B131" i="59"/>
  <c r="B130" i="59"/>
  <c r="B129" i="59"/>
  <c r="B128" i="59"/>
  <c r="B127" i="59"/>
  <c r="B126" i="59"/>
  <c r="B125" i="59"/>
  <c r="B124" i="59"/>
  <c r="B123" i="59"/>
  <c r="B122" i="59"/>
  <c r="B121" i="59"/>
  <c r="B120" i="59"/>
  <c r="B119" i="59"/>
  <c r="B118" i="59"/>
  <c r="B117" i="59"/>
  <c r="B116" i="59"/>
  <c r="B115" i="59"/>
  <c r="B114" i="59"/>
  <c r="B113" i="59"/>
  <c r="B112" i="59"/>
  <c r="B111" i="59"/>
  <c r="B110" i="59"/>
  <c r="B109" i="59"/>
  <c r="B108" i="59"/>
  <c r="B107" i="59"/>
  <c r="B106" i="59"/>
  <c r="B105" i="59"/>
  <c r="B104" i="59"/>
  <c r="B103" i="59"/>
  <c r="B102" i="59"/>
  <c r="B101" i="59"/>
  <c r="B100" i="59"/>
  <c r="B99" i="59"/>
  <c r="B98" i="59"/>
  <c r="B97" i="59"/>
  <c r="B96" i="59"/>
  <c r="B95" i="59"/>
  <c r="B94" i="59"/>
  <c r="B93" i="59"/>
  <c r="B92" i="59"/>
  <c r="B91" i="59"/>
  <c r="B90" i="59"/>
  <c r="B89" i="59"/>
  <c r="B88" i="59"/>
  <c r="B87" i="59"/>
  <c r="B86" i="59"/>
  <c r="B85" i="59"/>
  <c r="B84" i="59"/>
  <c r="B83" i="59"/>
  <c r="B82" i="59"/>
  <c r="B81" i="59"/>
  <c r="B80" i="59"/>
  <c r="B79" i="59"/>
  <c r="B78" i="59"/>
  <c r="B77" i="59"/>
  <c r="B76" i="59"/>
  <c r="B75" i="59"/>
  <c r="B74" i="59"/>
  <c r="B73" i="59"/>
  <c r="B72" i="59"/>
  <c r="B71" i="59"/>
  <c r="B70" i="59"/>
  <c r="B69" i="59"/>
  <c r="B68" i="59"/>
  <c r="B67" i="59"/>
  <c r="B66" i="59"/>
  <c r="B65" i="59"/>
  <c r="B64" i="59"/>
  <c r="B63" i="59"/>
  <c r="B62" i="59"/>
  <c r="B61" i="59"/>
  <c r="B60" i="59"/>
  <c r="B59" i="59"/>
  <c r="B58" i="59"/>
  <c r="B57" i="59"/>
  <c r="B56" i="59"/>
  <c r="B55" i="59"/>
  <c r="B54" i="59"/>
  <c r="B53" i="59"/>
  <c r="B52" i="59"/>
  <c r="B51" i="59"/>
  <c r="B50" i="59"/>
  <c r="B49" i="59"/>
  <c r="B48" i="59"/>
  <c r="B47" i="59"/>
  <c r="B46" i="59"/>
  <c r="B45" i="59"/>
  <c r="B44" i="59"/>
  <c r="B43" i="59"/>
  <c r="B42" i="59"/>
  <c r="B41" i="59"/>
  <c r="B40" i="59"/>
  <c r="B39" i="59"/>
  <c r="B38" i="59"/>
  <c r="B37" i="59"/>
  <c r="B36" i="59"/>
  <c r="B35" i="59"/>
  <c r="B34" i="59"/>
  <c r="B33" i="59"/>
  <c r="B32" i="59"/>
  <c r="B31" i="59"/>
  <c r="B30" i="59"/>
  <c r="B29" i="59"/>
  <c r="B28" i="59"/>
  <c r="B27" i="59"/>
  <c r="B26" i="59"/>
  <c r="B25" i="59"/>
  <c r="B24" i="59"/>
  <c r="B23" i="59"/>
  <c r="B22" i="59"/>
  <c r="B21" i="59"/>
  <c r="B20" i="59"/>
  <c r="B19" i="59"/>
  <c r="B18" i="59"/>
  <c r="B17" i="59"/>
  <c r="B16" i="59"/>
  <c r="B15" i="59"/>
  <c r="B14" i="59"/>
  <c r="B13" i="59"/>
  <c r="B12" i="59"/>
  <c r="B11" i="59"/>
  <c r="B10" i="59"/>
  <c r="B9" i="59"/>
  <c r="B8" i="59"/>
  <c r="B7" i="59"/>
  <c r="B6" i="59"/>
  <c r="B5" i="59"/>
  <c r="B4" i="59"/>
  <c r="B3" i="59"/>
  <c r="B2" i="59"/>
  <c r="B32" i="10"/>
  <c r="B11" i="10"/>
  <c r="H18" i="22" l="1"/>
  <c r="M52" i="37" s="1"/>
  <c r="E323" i="22"/>
  <c r="D323" i="22"/>
  <c r="C323" i="22"/>
  <c r="F274" i="22"/>
  <c r="K164" i="37" s="1"/>
  <c r="F3" i="22"/>
  <c r="K55" i="37" s="1"/>
  <c r="B10" i="58"/>
  <c r="E60" i="10"/>
  <c r="AX1" i="39"/>
  <c r="AY1" i="39"/>
  <c r="AZ1" i="39"/>
  <c r="BA1" i="39"/>
  <c r="AF1" i="39"/>
  <c r="AG1" i="39"/>
  <c r="AH1" i="39"/>
  <c r="AI1" i="39"/>
  <c r="AE1" i="39"/>
  <c r="AZ1" i="40"/>
  <c r="BA1" i="40"/>
  <c r="AY1" i="40"/>
  <c r="AY2" i="40"/>
  <c r="BA5" i="40"/>
  <c r="BA6" i="40"/>
  <c r="BA7" i="40"/>
  <c r="BA8" i="40"/>
  <c r="BA9" i="40"/>
  <c r="BA10" i="40"/>
  <c r="BA11" i="40"/>
  <c r="BA12" i="40"/>
  <c r="BA13" i="40"/>
  <c r="BA14" i="40"/>
  <c r="BA15" i="40"/>
  <c r="BA16" i="40"/>
  <c r="BA17" i="40"/>
  <c r="BA18" i="40"/>
  <c r="BA19" i="40"/>
  <c r="BA20" i="40"/>
  <c r="BA21" i="40"/>
  <c r="BA22" i="40"/>
  <c r="BA23" i="40"/>
  <c r="BA24" i="40"/>
  <c r="BA25" i="40"/>
  <c r="BA26" i="40"/>
  <c r="BA27" i="40"/>
  <c r="BA28" i="40"/>
  <c r="BA29" i="40"/>
  <c r="BA30" i="40"/>
  <c r="BA31" i="40"/>
  <c r="BA32" i="40"/>
  <c r="BA33" i="40"/>
  <c r="BA34" i="40"/>
  <c r="BA35" i="40"/>
  <c r="BA36" i="40"/>
  <c r="BA37" i="40"/>
  <c r="BA38" i="40"/>
  <c r="BA39" i="40"/>
  <c r="BA40" i="40"/>
  <c r="BA41" i="40"/>
  <c r="BA42" i="40"/>
  <c r="BA43" i="40"/>
  <c r="BA44" i="40"/>
  <c r="BA45" i="40"/>
  <c r="BA46" i="40"/>
  <c r="BA47" i="40"/>
  <c r="BA48" i="40"/>
  <c r="BA49" i="40"/>
  <c r="BA50" i="40"/>
  <c r="BA51" i="40"/>
  <c r="BA52" i="40"/>
  <c r="BA53" i="40"/>
  <c r="BA54" i="40"/>
  <c r="BA55" i="40"/>
  <c r="BA56" i="40"/>
  <c r="BA57" i="40"/>
  <c r="BA58" i="40"/>
  <c r="BA59" i="40"/>
  <c r="BA60" i="40"/>
  <c r="BA61" i="40"/>
  <c r="BA62" i="40"/>
  <c r="BA63" i="40"/>
  <c r="BA64" i="40"/>
  <c r="BA65" i="40"/>
  <c r="BA66" i="40"/>
  <c r="BA67" i="40"/>
  <c r="BA68" i="40"/>
  <c r="BA69" i="40"/>
  <c r="BA70" i="40"/>
  <c r="BA71" i="40"/>
  <c r="BA72" i="40"/>
  <c r="BA73" i="40"/>
  <c r="BA74" i="40"/>
  <c r="BA75" i="40"/>
  <c r="BA76" i="40"/>
  <c r="BA77" i="40"/>
  <c r="BA78" i="40"/>
  <c r="BA79" i="40"/>
  <c r="BA80" i="40"/>
  <c r="BA81" i="40"/>
  <c r="BA82" i="40"/>
  <c r="BA83" i="40"/>
  <c r="BA84" i="40"/>
  <c r="BA85" i="40"/>
  <c r="BA86" i="40"/>
  <c r="BA87" i="40"/>
  <c r="BA88" i="40"/>
  <c r="BA89" i="40"/>
  <c r="BA90" i="40"/>
  <c r="BA91" i="40"/>
  <c r="BA92" i="40"/>
  <c r="BA93" i="40"/>
  <c r="BA94" i="40"/>
  <c r="BA95" i="40"/>
  <c r="BA96" i="40"/>
  <c r="BA97" i="40"/>
  <c r="BA98" i="40"/>
  <c r="BA99" i="40"/>
  <c r="BA100" i="40"/>
  <c r="BA101" i="40"/>
  <c r="BA102" i="40"/>
  <c r="BA103" i="40"/>
  <c r="BA104" i="40"/>
  <c r="BA105" i="40"/>
  <c r="BA106" i="40"/>
  <c r="BA107" i="40"/>
  <c r="BA108" i="40"/>
  <c r="BA109" i="40"/>
  <c r="BA110" i="40"/>
  <c r="BA111" i="40"/>
  <c r="BA112" i="40"/>
  <c r="BA113" i="40"/>
  <c r="BA114" i="40"/>
  <c r="BA115" i="40"/>
  <c r="BA116" i="40"/>
  <c r="BA117" i="40"/>
  <c r="BA118" i="40"/>
  <c r="BA119" i="40"/>
  <c r="BA120" i="40"/>
  <c r="BA121" i="40"/>
  <c r="BA122" i="40"/>
  <c r="BA123" i="40"/>
  <c r="BA124" i="40"/>
  <c r="BA125" i="40"/>
  <c r="BA126" i="40"/>
  <c r="BA127" i="40"/>
  <c r="BA128" i="40"/>
  <c r="BA129" i="40"/>
  <c r="BA130" i="40"/>
  <c r="BA131" i="40"/>
  <c r="BA132" i="40"/>
  <c r="BA133" i="40"/>
  <c r="BA134" i="40"/>
  <c r="BA135" i="40"/>
  <c r="BA136" i="40"/>
  <c r="BA137" i="40"/>
  <c r="BA138" i="40"/>
  <c r="BA139" i="40"/>
  <c r="BA140" i="40"/>
  <c r="BA141" i="40"/>
  <c r="BA142" i="40"/>
  <c r="BA143" i="40"/>
  <c r="BA144" i="40"/>
  <c r="BA145" i="40"/>
  <c r="BA146" i="40"/>
  <c r="BA147" i="40"/>
  <c r="BA148" i="40"/>
  <c r="BA149" i="40"/>
  <c r="BA150" i="40"/>
  <c r="BA151" i="40"/>
  <c r="BA152" i="40"/>
  <c r="BA153" i="40"/>
  <c r="BA154" i="40"/>
  <c r="BA155" i="40"/>
  <c r="BA156" i="40"/>
  <c r="BA157" i="40"/>
  <c r="BA158" i="40"/>
  <c r="BA159" i="40"/>
  <c r="BA160" i="40"/>
  <c r="BA161" i="40"/>
  <c r="BA162" i="40"/>
  <c r="BA163" i="40"/>
  <c r="BA164" i="40"/>
  <c r="BA165" i="40"/>
  <c r="BA166" i="40"/>
  <c r="BA167" i="40"/>
  <c r="BA168" i="40"/>
  <c r="BA169" i="40"/>
  <c r="BA170" i="40"/>
  <c r="BA171" i="40"/>
  <c r="BA172" i="40"/>
  <c r="BA173" i="40"/>
  <c r="BA174" i="40"/>
  <c r="BA175" i="40"/>
  <c r="BA176" i="40"/>
  <c r="BA177" i="40"/>
  <c r="BA178" i="40"/>
  <c r="BA179" i="40"/>
  <c r="BA180" i="40"/>
  <c r="BA181" i="40"/>
  <c r="BA182" i="40"/>
  <c r="BA183" i="40"/>
  <c r="BA184" i="40"/>
  <c r="BA185" i="40"/>
  <c r="BA186" i="40"/>
  <c r="BA187" i="40"/>
  <c r="BA188" i="40"/>
  <c r="BA189" i="40"/>
  <c r="BA190" i="40"/>
  <c r="BA191" i="40"/>
  <c r="BA192" i="40"/>
  <c r="BA193" i="40"/>
  <c r="BA194" i="40"/>
  <c r="BA195" i="40"/>
  <c r="BA196" i="40"/>
  <c r="BA197" i="40"/>
  <c r="BA198" i="40"/>
  <c r="BA199" i="40"/>
  <c r="BA200" i="40"/>
  <c r="BA201" i="40"/>
  <c r="BA202" i="40"/>
  <c r="BA203" i="40"/>
  <c r="BA204" i="40"/>
  <c r="BA205" i="40"/>
  <c r="BA206" i="40"/>
  <c r="BA207" i="40"/>
  <c r="BA208" i="40"/>
  <c r="BA209" i="40"/>
  <c r="BA210" i="40"/>
  <c r="BA211" i="40"/>
  <c r="BA212" i="40"/>
  <c r="BA213" i="40"/>
  <c r="BA214" i="40"/>
  <c r="BA215" i="40"/>
  <c r="BA216" i="40"/>
  <c r="BA217" i="40"/>
  <c r="BA218" i="40"/>
  <c r="BA219" i="40"/>
  <c r="BA220" i="40"/>
  <c r="BA221" i="40"/>
  <c r="BA222" i="40"/>
  <c r="BA223" i="40"/>
  <c r="BA224" i="40"/>
  <c r="BA225" i="40"/>
  <c r="BA226" i="40"/>
  <c r="BA227" i="40"/>
  <c r="BA228" i="40"/>
  <c r="BA229" i="40"/>
  <c r="BA230" i="40"/>
  <c r="BA231" i="40"/>
  <c r="BA232" i="40"/>
  <c r="BA233" i="40"/>
  <c r="BA234" i="40"/>
  <c r="BA235" i="40"/>
  <c r="BA236" i="40"/>
  <c r="BA237" i="40"/>
  <c r="BA238" i="40"/>
  <c r="BA239" i="40"/>
  <c r="BA240" i="40"/>
  <c r="BA241" i="40"/>
  <c r="BA242" i="40"/>
  <c r="BA243" i="40"/>
  <c r="BA244" i="40"/>
  <c r="BA245" i="40"/>
  <c r="BA246" i="40"/>
  <c r="BA247" i="40"/>
  <c r="BA248" i="40"/>
  <c r="BA249" i="40"/>
  <c r="BA250" i="40"/>
  <c r="BA251" i="40"/>
  <c r="BA252" i="40"/>
  <c r="BA253" i="40"/>
  <c r="BA254" i="40"/>
  <c r="BA255" i="40"/>
  <c r="BA256" i="40"/>
  <c r="BA257" i="40"/>
  <c r="BA258" i="40"/>
  <c r="BA259" i="40"/>
  <c r="BA260" i="40"/>
  <c r="BA261" i="40"/>
  <c r="BA262" i="40"/>
  <c r="BA263" i="40"/>
  <c r="BA264" i="40"/>
  <c r="BA265" i="40"/>
  <c r="BA266" i="40"/>
  <c r="BA267" i="40"/>
  <c r="BA268" i="40"/>
  <c r="BA269" i="40"/>
  <c r="BA270" i="40"/>
  <c r="BA271" i="40"/>
  <c r="BA272" i="40"/>
  <c r="BA273" i="40"/>
  <c r="BA274" i="40"/>
  <c r="BA275" i="40"/>
  <c r="BA276" i="40"/>
  <c r="BA277" i="40"/>
  <c r="BA278" i="40"/>
  <c r="BA279" i="40"/>
  <c r="BA280" i="40"/>
  <c r="BA281" i="40"/>
  <c r="BA282" i="40"/>
  <c r="BA283" i="40"/>
  <c r="BA284" i="40"/>
  <c r="BA285" i="40"/>
  <c r="BA286" i="40"/>
  <c r="BA287" i="40"/>
  <c r="BA288" i="40"/>
  <c r="BA289" i="40"/>
  <c r="BA290" i="40"/>
  <c r="BA291" i="40"/>
  <c r="BA292" i="40"/>
  <c r="BA293" i="40"/>
  <c r="BA294" i="40"/>
  <c r="BA295" i="40"/>
  <c r="BA296" i="40"/>
  <c r="BA297" i="40"/>
  <c r="BA298" i="40"/>
  <c r="BA299" i="40"/>
  <c r="BA300" i="40"/>
  <c r="BA301" i="40"/>
  <c r="BA302" i="40"/>
  <c r="BA303" i="40"/>
  <c r="BA304" i="40"/>
  <c r="BA305" i="40"/>
  <c r="BA306" i="40"/>
  <c r="BA307" i="40"/>
  <c r="BA308" i="40"/>
  <c r="BA309" i="40"/>
  <c r="BA310" i="40"/>
  <c r="BA311" i="40"/>
  <c r="BA312" i="40"/>
  <c r="BA313" i="40"/>
  <c r="BA314" i="40"/>
  <c r="BA315" i="40"/>
  <c r="BA316" i="40"/>
  <c r="BA317" i="40"/>
  <c r="BA318" i="40"/>
  <c r="BA319" i="40"/>
  <c r="BA320" i="40"/>
  <c r="BA321" i="40"/>
  <c r="BA322" i="40"/>
  <c r="BA323" i="40"/>
  <c r="BA324" i="40"/>
  <c r="BA325" i="40"/>
  <c r="BA326" i="40"/>
  <c r="BA327" i="40"/>
  <c r="BA328" i="40"/>
  <c r="BA329" i="40"/>
  <c r="BA330" i="40"/>
  <c r="BA331" i="40"/>
  <c r="BA332" i="40"/>
  <c r="BA333" i="40"/>
  <c r="BA334" i="40"/>
  <c r="BA335" i="40"/>
  <c r="BA336" i="40"/>
  <c r="BA337" i="40"/>
  <c r="BA338" i="40"/>
  <c r="BA339" i="40"/>
  <c r="BA340" i="40"/>
  <c r="BA341" i="40"/>
  <c r="BA342" i="40"/>
  <c r="BA343" i="40"/>
  <c r="BA344" i="40"/>
  <c r="BA345" i="40"/>
  <c r="BA346" i="40"/>
  <c r="BA4" i="40"/>
  <c r="AZ4" i="40"/>
  <c r="AI5" i="40"/>
  <c r="AI6" i="40"/>
  <c r="AI7" i="40"/>
  <c r="AI8" i="40"/>
  <c r="AI9" i="40"/>
  <c r="AI10" i="40"/>
  <c r="AI11" i="40"/>
  <c r="AI12" i="40"/>
  <c r="AI13" i="40"/>
  <c r="AI14" i="40"/>
  <c r="AI15" i="40"/>
  <c r="AI16" i="40"/>
  <c r="AI17" i="40"/>
  <c r="AI18" i="40"/>
  <c r="AI19" i="40"/>
  <c r="AI20" i="40"/>
  <c r="AI21" i="40"/>
  <c r="AI22" i="40"/>
  <c r="AI23" i="40"/>
  <c r="AI24" i="40"/>
  <c r="AI25" i="40"/>
  <c r="AI26" i="40"/>
  <c r="AI27" i="40"/>
  <c r="AI28" i="40"/>
  <c r="AI29" i="40"/>
  <c r="AI30" i="40"/>
  <c r="AI31" i="40"/>
  <c r="AI32" i="40"/>
  <c r="AI33" i="40"/>
  <c r="AI34" i="40"/>
  <c r="AI35" i="40"/>
  <c r="AI36" i="40"/>
  <c r="AI37" i="40"/>
  <c r="AI38" i="40"/>
  <c r="AI39" i="40"/>
  <c r="AI40" i="40"/>
  <c r="AI41" i="40"/>
  <c r="AI42" i="40"/>
  <c r="AI43" i="40"/>
  <c r="AI44" i="40"/>
  <c r="AI45" i="40"/>
  <c r="AI46" i="40"/>
  <c r="AI47" i="40"/>
  <c r="AI48" i="40"/>
  <c r="AI49" i="40"/>
  <c r="AI50" i="40"/>
  <c r="AI51" i="40"/>
  <c r="AI52" i="40"/>
  <c r="AI53" i="40"/>
  <c r="AI54" i="40"/>
  <c r="AI55" i="40"/>
  <c r="AI56" i="40"/>
  <c r="AI57" i="40"/>
  <c r="AI58" i="40"/>
  <c r="AI59" i="40"/>
  <c r="AI60" i="40"/>
  <c r="AI61" i="40"/>
  <c r="AI62" i="40"/>
  <c r="AI63" i="40"/>
  <c r="AI64" i="40"/>
  <c r="AI65" i="40"/>
  <c r="AI66" i="40"/>
  <c r="AI67" i="40"/>
  <c r="AI68" i="40"/>
  <c r="AI69" i="40"/>
  <c r="AI70" i="40"/>
  <c r="AI71" i="40"/>
  <c r="AI72" i="40"/>
  <c r="AI73" i="40"/>
  <c r="AI74" i="40"/>
  <c r="AI75" i="40"/>
  <c r="AI76" i="40"/>
  <c r="AI77" i="40"/>
  <c r="AI78" i="40"/>
  <c r="AI79" i="40"/>
  <c r="AI80" i="40"/>
  <c r="AI81" i="40"/>
  <c r="AI82" i="40"/>
  <c r="AI83" i="40"/>
  <c r="AI84" i="40"/>
  <c r="AI85" i="40"/>
  <c r="AI86" i="40"/>
  <c r="AI87" i="40"/>
  <c r="AI88" i="40"/>
  <c r="AI89" i="40"/>
  <c r="AI90" i="40"/>
  <c r="AI91" i="40"/>
  <c r="AI92" i="40"/>
  <c r="AI93" i="40"/>
  <c r="AI94" i="40"/>
  <c r="AI95" i="40"/>
  <c r="AI96" i="40"/>
  <c r="AI97" i="40"/>
  <c r="AI98" i="40"/>
  <c r="AI99" i="40"/>
  <c r="AI100" i="40"/>
  <c r="AI101" i="40"/>
  <c r="AI102" i="40"/>
  <c r="AI103" i="40"/>
  <c r="AI104" i="40"/>
  <c r="AI105" i="40"/>
  <c r="AI106" i="40"/>
  <c r="AI107" i="40"/>
  <c r="AI108" i="40"/>
  <c r="AI109" i="40"/>
  <c r="AI110" i="40"/>
  <c r="AI111" i="40"/>
  <c r="AI112" i="40"/>
  <c r="AI113" i="40"/>
  <c r="AI114" i="40"/>
  <c r="AI115" i="40"/>
  <c r="AI116" i="40"/>
  <c r="AI117" i="40"/>
  <c r="AI118" i="40"/>
  <c r="AI119" i="40"/>
  <c r="AI120" i="40"/>
  <c r="AI121" i="40"/>
  <c r="AI122" i="40"/>
  <c r="AI123" i="40"/>
  <c r="AI124" i="40"/>
  <c r="AI125" i="40"/>
  <c r="AI126" i="40"/>
  <c r="AI127" i="40"/>
  <c r="AI128" i="40"/>
  <c r="AI129" i="40"/>
  <c r="AI130" i="40"/>
  <c r="AI131" i="40"/>
  <c r="AI132" i="40"/>
  <c r="AI133" i="40"/>
  <c r="AI134" i="40"/>
  <c r="AI135" i="40"/>
  <c r="AI136" i="40"/>
  <c r="AI137" i="40"/>
  <c r="AI138" i="40"/>
  <c r="AI139" i="40"/>
  <c r="AI140" i="40"/>
  <c r="AI141" i="40"/>
  <c r="AI142" i="40"/>
  <c r="AI143" i="40"/>
  <c r="AI144" i="40"/>
  <c r="AI145" i="40"/>
  <c r="AI146" i="40"/>
  <c r="AI147" i="40"/>
  <c r="AI148" i="40"/>
  <c r="AI149" i="40"/>
  <c r="AI150" i="40"/>
  <c r="AI151" i="40"/>
  <c r="AI152" i="40"/>
  <c r="AI153" i="40"/>
  <c r="AI154" i="40"/>
  <c r="AI155" i="40"/>
  <c r="AI156" i="40"/>
  <c r="AI157" i="40"/>
  <c r="AI158" i="40"/>
  <c r="AI159" i="40"/>
  <c r="AI160" i="40"/>
  <c r="AI161" i="40"/>
  <c r="AI162" i="40"/>
  <c r="AI163" i="40"/>
  <c r="AI164" i="40"/>
  <c r="AI165" i="40"/>
  <c r="AI166" i="40"/>
  <c r="AI167" i="40"/>
  <c r="AI168" i="40"/>
  <c r="AI169" i="40"/>
  <c r="AI170" i="40"/>
  <c r="AI171" i="40"/>
  <c r="AI172" i="40"/>
  <c r="AI173" i="40"/>
  <c r="AI174" i="40"/>
  <c r="AI175" i="40"/>
  <c r="AI176" i="40"/>
  <c r="AI177" i="40"/>
  <c r="AI178" i="40"/>
  <c r="AI179" i="40"/>
  <c r="AI180" i="40"/>
  <c r="AI181" i="40"/>
  <c r="AI182" i="40"/>
  <c r="AI183" i="40"/>
  <c r="AI184" i="40"/>
  <c r="AI185" i="40"/>
  <c r="AI186" i="40"/>
  <c r="AI187" i="40"/>
  <c r="AI188" i="40"/>
  <c r="AI189" i="40"/>
  <c r="AI190" i="40"/>
  <c r="AI191" i="40"/>
  <c r="AI192" i="40"/>
  <c r="AI193" i="40"/>
  <c r="AI194" i="40"/>
  <c r="AI195" i="40"/>
  <c r="AI196" i="40"/>
  <c r="AI197" i="40"/>
  <c r="AI198" i="40"/>
  <c r="AI199" i="40"/>
  <c r="AI200" i="40"/>
  <c r="AI201" i="40"/>
  <c r="AI202" i="40"/>
  <c r="AI203" i="40"/>
  <c r="AI204" i="40"/>
  <c r="AI205" i="40"/>
  <c r="AI206" i="40"/>
  <c r="AI207" i="40"/>
  <c r="AI208" i="40"/>
  <c r="AI209" i="40"/>
  <c r="AI210" i="40"/>
  <c r="AI211" i="40"/>
  <c r="AI212" i="40"/>
  <c r="AI213" i="40"/>
  <c r="AI214" i="40"/>
  <c r="AI215" i="40"/>
  <c r="AI216" i="40"/>
  <c r="AI217" i="40"/>
  <c r="AI218" i="40"/>
  <c r="AI219" i="40"/>
  <c r="AI220" i="40"/>
  <c r="AI221" i="40"/>
  <c r="AI222" i="40"/>
  <c r="AI223" i="40"/>
  <c r="AI224" i="40"/>
  <c r="AI225" i="40"/>
  <c r="AI226" i="40"/>
  <c r="AI227" i="40"/>
  <c r="AI228" i="40"/>
  <c r="AI229" i="40"/>
  <c r="AI230" i="40"/>
  <c r="AI231" i="40"/>
  <c r="AI232" i="40"/>
  <c r="AI233" i="40"/>
  <c r="AI234" i="40"/>
  <c r="AI235" i="40"/>
  <c r="AI236" i="40"/>
  <c r="AI237" i="40"/>
  <c r="AI238" i="40"/>
  <c r="AI239" i="40"/>
  <c r="AI240" i="40"/>
  <c r="AI241" i="40"/>
  <c r="AI242" i="40"/>
  <c r="AI243" i="40"/>
  <c r="AI244" i="40"/>
  <c r="AI245" i="40"/>
  <c r="AI246" i="40"/>
  <c r="AI247" i="40"/>
  <c r="AI248" i="40"/>
  <c r="AI249" i="40"/>
  <c r="AI250" i="40"/>
  <c r="AI251" i="40"/>
  <c r="AI252" i="40"/>
  <c r="AI253" i="40"/>
  <c r="AI254" i="40"/>
  <c r="AI255" i="40"/>
  <c r="AI256" i="40"/>
  <c r="AI257" i="40"/>
  <c r="AI258" i="40"/>
  <c r="AI259" i="40"/>
  <c r="AI260" i="40"/>
  <c r="AI261" i="40"/>
  <c r="AI262" i="40"/>
  <c r="AI263" i="40"/>
  <c r="AI264" i="40"/>
  <c r="AI265" i="40"/>
  <c r="AI266" i="40"/>
  <c r="AI267" i="40"/>
  <c r="AI268" i="40"/>
  <c r="AI269" i="40"/>
  <c r="AI270" i="40"/>
  <c r="AI271" i="40"/>
  <c r="AI272" i="40"/>
  <c r="AI273" i="40"/>
  <c r="AI274" i="40"/>
  <c r="AI275" i="40"/>
  <c r="AI276" i="40"/>
  <c r="AI277" i="40"/>
  <c r="AI278" i="40"/>
  <c r="AI279" i="40"/>
  <c r="AI280" i="40"/>
  <c r="AI281" i="40"/>
  <c r="AI282" i="40"/>
  <c r="AI283" i="40"/>
  <c r="AI284" i="40"/>
  <c r="AI285" i="40"/>
  <c r="AI286" i="40"/>
  <c r="AI287" i="40"/>
  <c r="AI288" i="40"/>
  <c r="AI289" i="40"/>
  <c r="AI290" i="40"/>
  <c r="AI291" i="40"/>
  <c r="AI292" i="40"/>
  <c r="AI293" i="40"/>
  <c r="AI294" i="40"/>
  <c r="AI295" i="40"/>
  <c r="AI296" i="40"/>
  <c r="AI297" i="40"/>
  <c r="AI298" i="40"/>
  <c r="AI299" i="40"/>
  <c r="AI300" i="40"/>
  <c r="AI301" i="40"/>
  <c r="AI302" i="40"/>
  <c r="AI303" i="40"/>
  <c r="AI304" i="40"/>
  <c r="AI305" i="40"/>
  <c r="AI306" i="40"/>
  <c r="AI307" i="40"/>
  <c r="AI308" i="40"/>
  <c r="AI309" i="40"/>
  <c r="AI310" i="40"/>
  <c r="AI311" i="40"/>
  <c r="AI312" i="40"/>
  <c r="AI313" i="40"/>
  <c r="AI314" i="40"/>
  <c r="AI315" i="40"/>
  <c r="AI316" i="40"/>
  <c r="AI317" i="40"/>
  <c r="AI318" i="40"/>
  <c r="AI319" i="40"/>
  <c r="AI320" i="40"/>
  <c r="AI321" i="40"/>
  <c r="AI322" i="40"/>
  <c r="AI323" i="40"/>
  <c r="AI324" i="40"/>
  <c r="AI325" i="40"/>
  <c r="AI326" i="40"/>
  <c r="AI327" i="40"/>
  <c r="AI328" i="40"/>
  <c r="AI329" i="40"/>
  <c r="AI330" i="40"/>
  <c r="AI331" i="40"/>
  <c r="AI332" i="40"/>
  <c r="AI333" i="40"/>
  <c r="AI334" i="40"/>
  <c r="AI335" i="40"/>
  <c r="AI336" i="40"/>
  <c r="AI337" i="40"/>
  <c r="AI338" i="40"/>
  <c r="AI339" i="40"/>
  <c r="AI340" i="40"/>
  <c r="AI341" i="40"/>
  <c r="AI342" i="40"/>
  <c r="AI343" i="40"/>
  <c r="AI344" i="40"/>
  <c r="AI345" i="40"/>
  <c r="AI346" i="40"/>
  <c r="AI4" i="40"/>
  <c r="AH4" i="40"/>
  <c r="AH1" i="40"/>
  <c r="AI1" i="40"/>
  <c r="AG1" i="40"/>
  <c r="AG2" i="40"/>
  <c r="Q5" i="40"/>
  <c r="Q6" i="40"/>
  <c r="Q7" i="40"/>
  <c r="Q8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Q76" i="40"/>
  <c r="Q77" i="40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108" i="40"/>
  <c r="Q109" i="40"/>
  <c r="Q110" i="40"/>
  <c r="Q111" i="40"/>
  <c r="Q112" i="40"/>
  <c r="Q113" i="40"/>
  <c r="Q114" i="40"/>
  <c r="Q115" i="40"/>
  <c r="Q116" i="40"/>
  <c r="Q117" i="40"/>
  <c r="Q118" i="40"/>
  <c r="Q119" i="40"/>
  <c r="Q120" i="40"/>
  <c r="Q121" i="40"/>
  <c r="Q122" i="40"/>
  <c r="Q123" i="40"/>
  <c r="Q124" i="40"/>
  <c r="Q125" i="40"/>
  <c r="Q126" i="40"/>
  <c r="Q127" i="40"/>
  <c r="Q128" i="40"/>
  <c r="Q129" i="40"/>
  <c r="Q130" i="40"/>
  <c r="Q131" i="40"/>
  <c r="Q132" i="40"/>
  <c r="Q133" i="40"/>
  <c r="Q134" i="40"/>
  <c r="Q135" i="40"/>
  <c r="Q136" i="40"/>
  <c r="Q137" i="40"/>
  <c r="Q138" i="40"/>
  <c r="Q139" i="40"/>
  <c r="Q140" i="40"/>
  <c r="Q141" i="40"/>
  <c r="Q142" i="40"/>
  <c r="Q143" i="40"/>
  <c r="Q144" i="40"/>
  <c r="Q145" i="40"/>
  <c r="Q146" i="40"/>
  <c r="Q147" i="40"/>
  <c r="Q148" i="40"/>
  <c r="Q149" i="40"/>
  <c r="Q150" i="40"/>
  <c r="Q151" i="40"/>
  <c r="Q152" i="40"/>
  <c r="Q153" i="40"/>
  <c r="Q154" i="40"/>
  <c r="Q155" i="40"/>
  <c r="Q156" i="40"/>
  <c r="Q157" i="40"/>
  <c r="Q158" i="40"/>
  <c r="Q159" i="40"/>
  <c r="Q160" i="40"/>
  <c r="Q161" i="40"/>
  <c r="Q162" i="40"/>
  <c r="Q163" i="40"/>
  <c r="Q164" i="40"/>
  <c r="Q165" i="40"/>
  <c r="Q166" i="40"/>
  <c r="Q167" i="40"/>
  <c r="Q168" i="40"/>
  <c r="Q169" i="40"/>
  <c r="Q170" i="40"/>
  <c r="Q171" i="40"/>
  <c r="Q172" i="40"/>
  <c r="Q173" i="40"/>
  <c r="Q174" i="40"/>
  <c r="Q175" i="40"/>
  <c r="Q176" i="40"/>
  <c r="Q177" i="40"/>
  <c r="Q178" i="40"/>
  <c r="Q179" i="40"/>
  <c r="Q180" i="40"/>
  <c r="Q181" i="40"/>
  <c r="Q182" i="40"/>
  <c r="Q183" i="40"/>
  <c r="Q184" i="40"/>
  <c r="Q185" i="40"/>
  <c r="Q186" i="40"/>
  <c r="Q187" i="40"/>
  <c r="Q188" i="40"/>
  <c r="Q189" i="40"/>
  <c r="Q190" i="40"/>
  <c r="Q191" i="40"/>
  <c r="Q192" i="40"/>
  <c r="Q193" i="40"/>
  <c r="Q194" i="40"/>
  <c r="Q195" i="40"/>
  <c r="Q196" i="40"/>
  <c r="Q197" i="40"/>
  <c r="Q198" i="40"/>
  <c r="Q199" i="40"/>
  <c r="Q200" i="40"/>
  <c r="Q201" i="40"/>
  <c r="Q202" i="40"/>
  <c r="Q203" i="40"/>
  <c r="Q204" i="40"/>
  <c r="Q205" i="40"/>
  <c r="Q206" i="40"/>
  <c r="Q207" i="40"/>
  <c r="Q208" i="40"/>
  <c r="Q209" i="40"/>
  <c r="Q210" i="40"/>
  <c r="Q211" i="40"/>
  <c r="Q212" i="40"/>
  <c r="Q213" i="40"/>
  <c r="Q214" i="40"/>
  <c r="Q215" i="40"/>
  <c r="Q216" i="40"/>
  <c r="Q217" i="40"/>
  <c r="Q218" i="40"/>
  <c r="Q219" i="40"/>
  <c r="Q220" i="40"/>
  <c r="Q221" i="40"/>
  <c r="Q222" i="40"/>
  <c r="Q223" i="40"/>
  <c r="Q224" i="40"/>
  <c r="Q225" i="40"/>
  <c r="Q226" i="40"/>
  <c r="Q227" i="40"/>
  <c r="Q228" i="40"/>
  <c r="Q229" i="40"/>
  <c r="Q230" i="40"/>
  <c r="Q231" i="40"/>
  <c r="Q232" i="40"/>
  <c r="Q233" i="40"/>
  <c r="Q234" i="40"/>
  <c r="Q235" i="40"/>
  <c r="Q236" i="40"/>
  <c r="Q237" i="40"/>
  <c r="Q238" i="40"/>
  <c r="Q239" i="40"/>
  <c r="Q240" i="40"/>
  <c r="Q241" i="40"/>
  <c r="Q242" i="40"/>
  <c r="Q243" i="40"/>
  <c r="Q244" i="40"/>
  <c r="Q245" i="40"/>
  <c r="Q246" i="40"/>
  <c r="Q247" i="40"/>
  <c r="Q248" i="40"/>
  <c r="Q249" i="40"/>
  <c r="Q250" i="40"/>
  <c r="Q251" i="40"/>
  <c r="Q252" i="40"/>
  <c r="Q253" i="40"/>
  <c r="Q254" i="40"/>
  <c r="Q255" i="40"/>
  <c r="Q256" i="40"/>
  <c r="Q257" i="40"/>
  <c r="Q258" i="40"/>
  <c r="Q259" i="40"/>
  <c r="Q260" i="40"/>
  <c r="Q261" i="40"/>
  <c r="Q262" i="40"/>
  <c r="Q263" i="40"/>
  <c r="Q264" i="40"/>
  <c r="Q265" i="40"/>
  <c r="Q266" i="40"/>
  <c r="Q267" i="40"/>
  <c r="Q268" i="40"/>
  <c r="Q269" i="40"/>
  <c r="Q270" i="40"/>
  <c r="Q271" i="40"/>
  <c r="Q272" i="40"/>
  <c r="Q273" i="40"/>
  <c r="Q274" i="40"/>
  <c r="Q275" i="40"/>
  <c r="Q276" i="40"/>
  <c r="Q277" i="40"/>
  <c r="Q278" i="40"/>
  <c r="Q279" i="40"/>
  <c r="Q280" i="40"/>
  <c r="Q281" i="40"/>
  <c r="Q282" i="40"/>
  <c r="Q283" i="40"/>
  <c r="Q284" i="40"/>
  <c r="Q285" i="40"/>
  <c r="Q286" i="40"/>
  <c r="Q287" i="40"/>
  <c r="Q288" i="40"/>
  <c r="Q289" i="40"/>
  <c r="Q290" i="40"/>
  <c r="Q291" i="40"/>
  <c r="Q292" i="40"/>
  <c r="Q293" i="40"/>
  <c r="Q294" i="40"/>
  <c r="Q295" i="40"/>
  <c r="Q296" i="40"/>
  <c r="Q297" i="40"/>
  <c r="Q298" i="40"/>
  <c r="Q299" i="40"/>
  <c r="Q300" i="40"/>
  <c r="Q301" i="40"/>
  <c r="Q302" i="40"/>
  <c r="Q303" i="40"/>
  <c r="Q304" i="40"/>
  <c r="Q305" i="40"/>
  <c r="Q306" i="40"/>
  <c r="Q307" i="40"/>
  <c r="Q308" i="40"/>
  <c r="Q309" i="40"/>
  <c r="Q310" i="40"/>
  <c r="Q311" i="40"/>
  <c r="Q312" i="40"/>
  <c r="Q313" i="40"/>
  <c r="Q314" i="40"/>
  <c r="Q315" i="40"/>
  <c r="Q316" i="40"/>
  <c r="Q317" i="40"/>
  <c r="Q318" i="40"/>
  <c r="Q319" i="40"/>
  <c r="Q320" i="40"/>
  <c r="Q321" i="40"/>
  <c r="Q322" i="40"/>
  <c r="Q323" i="40"/>
  <c r="Q324" i="40"/>
  <c r="Q325" i="40"/>
  <c r="Q326" i="40"/>
  <c r="Q327" i="40"/>
  <c r="Q328" i="40"/>
  <c r="Q329" i="40"/>
  <c r="Q330" i="40"/>
  <c r="Q331" i="40"/>
  <c r="Q332" i="40"/>
  <c r="Q333" i="40"/>
  <c r="Q334" i="40"/>
  <c r="Q335" i="40"/>
  <c r="Q336" i="40"/>
  <c r="Q337" i="40"/>
  <c r="Q338" i="40"/>
  <c r="Q339" i="40"/>
  <c r="Q340" i="40"/>
  <c r="Q341" i="40"/>
  <c r="Q342" i="40"/>
  <c r="Q343" i="40"/>
  <c r="Q344" i="40"/>
  <c r="Q345" i="40"/>
  <c r="Q346" i="40"/>
  <c r="Q4" i="40"/>
  <c r="P4" i="40"/>
  <c r="P1" i="40"/>
  <c r="Q1" i="40"/>
  <c r="O1" i="40"/>
  <c r="O2" i="40"/>
  <c r="BA5" i="39"/>
  <c r="BA6" i="39"/>
  <c r="BA7" i="39"/>
  <c r="BA8" i="39"/>
  <c r="BA9" i="39"/>
  <c r="BA10" i="39"/>
  <c r="BA11" i="39"/>
  <c r="BA12" i="39"/>
  <c r="BA13" i="39"/>
  <c r="BA14" i="39"/>
  <c r="BA15" i="39"/>
  <c r="BA16" i="39"/>
  <c r="BA17" i="39"/>
  <c r="BA18" i="39"/>
  <c r="BA19" i="39"/>
  <c r="BA20" i="39"/>
  <c r="BA21" i="39"/>
  <c r="BA22" i="39"/>
  <c r="BA23" i="39"/>
  <c r="BA24" i="39"/>
  <c r="BA25" i="39"/>
  <c r="BA26" i="39"/>
  <c r="BA27" i="39"/>
  <c r="BA28" i="39"/>
  <c r="BA29" i="39"/>
  <c r="BA30" i="39"/>
  <c r="BA31" i="39"/>
  <c r="BA32" i="39"/>
  <c r="BA33" i="39"/>
  <c r="BA34" i="39"/>
  <c r="BA35" i="39"/>
  <c r="BA36" i="39"/>
  <c r="BA37" i="39"/>
  <c r="BA38" i="39"/>
  <c r="BA39" i="39"/>
  <c r="BA40" i="39"/>
  <c r="BA41" i="39"/>
  <c r="BA42" i="39"/>
  <c r="BA43" i="39"/>
  <c r="BA44" i="39"/>
  <c r="BA45" i="39"/>
  <c r="BA46" i="39"/>
  <c r="BA47" i="39"/>
  <c r="BA48" i="39"/>
  <c r="BA49" i="39"/>
  <c r="BA50" i="39"/>
  <c r="BA51" i="39"/>
  <c r="BA52" i="39"/>
  <c r="BA53" i="39"/>
  <c r="BA54" i="39"/>
  <c r="BA55" i="39"/>
  <c r="BA56" i="39"/>
  <c r="BA57" i="39"/>
  <c r="BA58" i="39"/>
  <c r="BA59" i="39"/>
  <c r="BA60" i="39"/>
  <c r="BA61" i="39"/>
  <c r="BA62" i="39"/>
  <c r="BA63" i="39"/>
  <c r="BA64" i="39"/>
  <c r="BA65" i="39"/>
  <c r="BA66" i="39"/>
  <c r="BA67" i="39"/>
  <c r="BA68" i="39"/>
  <c r="BA69" i="39"/>
  <c r="BA70" i="39"/>
  <c r="BA71" i="39"/>
  <c r="BA72" i="39"/>
  <c r="BA73" i="39"/>
  <c r="BA74" i="39"/>
  <c r="BA75" i="39"/>
  <c r="BA76" i="39"/>
  <c r="BA77" i="39"/>
  <c r="BA78" i="39"/>
  <c r="BA79" i="39"/>
  <c r="BA80" i="39"/>
  <c r="BA81" i="39"/>
  <c r="BA82" i="39"/>
  <c r="BA83" i="39"/>
  <c r="BA84" i="39"/>
  <c r="BA85" i="39"/>
  <c r="BA86" i="39"/>
  <c r="BA87" i="39"/>
  <c r="BA88" i="39"/>
  <c r="BA89" i="39"/>
  <c r="BA90" i="39"/>
  <c r="BA91" i="39"/>
  <c r="BA92" i="39"/>
  <c r="BA93" i="39"/>
  <c r="BA94" i="39"/>
  <c r="BA95" i="39"/>
  <c r="BA96" i="39"/>
  <c r="BA97" i="39"/>
  <c r="BA98" i="39"/>
  <c r="BA99" i="39"/>
  <c r="BA100" i="39"/>
  <c r="BA101" i="39"/>
  <c r="BA102" i="39"/>
  <c r="BA103" i="39"/>
  <c r="BA104" i="39"/>
  <c r="BA105" i="39"/>
  <c r="BA106" i="39"/>
  <c r="BA107" i="39"/>
  <c r="BA108" i="39"/>
  <c r="BA109" i="39"/>
  <c r="BA110" i="39"/>
  <c r="BA111" i="39"/>
  <c r="BA112" i="39"/>
  <c r="BA113" i="39"/>
  <c r="BA114" i="39"/>
  <c r="BA115" i="39"/>
  <c r="BA116" i="39"/>
  <c r="BA117" i="39"/>
  <c r="BA118" i="39"/>
  <c r="BA119" i="39"/>
  <c r="BA120" i="39"/>
  <c r="BA121" i="39"/>
  <c r="BA122" i="39"/>
  <c r="BA123" i="39"/>
  <c r="BA124" i="39"/>
  <c r="BA125" i="39"/>
  <c r="BA126" i="39"/>
  <c r="BA127" i="39"/>
  <c r="BA128" i="39"/>
  <c r="BA129" i="39"/>
  <c r="BA130" i="39"/>
  <c r="BA131" i="39"/>
  <c r="BA132" i="39"/>
  <c r="BA133" i="39"/>
  <c r="BA134" i="39"/>
  <c r="BA135" i="39"/>
  <c r="BA136" i="39"/>
  <c r="BA137" i="39"/>
  <c r="BA138" i="39"/>
  <c r="BA139" i="39"/>
  <c r="BA140" i="39"/>
  <c r="BA141" i="39"/>
  <c r="BA142" i="39"/>
  <c r="BA143" i="39"/>
  <c r="BA144" i="39"/>
  <c r="BA145" i="39"/>
  <c r="BA146" i="39"/>
  <c r="BA147" i="39"/>
  <c r="BA148" i="39"/>
  <c r="BA149" i="39"/>
  <c r="BA150" i="39"/>
  <c r="BA151" i="39"/>
  <c r="BA152" i="39"/>
  <c r="BA153" i="39"/>
  <c r="BA154" i="39"/>
  <c r="BA155" i="39"/>
  <c r="BA156" i="39"/>
  <c r="BA157" i="39"/>
  <c r="BA158" i="39"/>
  <c r="BA159" i="39"/>
  <c r="BA160" i="39"/>
  <c r="BA161" i="39"/>
  <c r="BA162" i="39"/>
  <c r="BA163" i="39"/>
  <c r="BA164" i="39"/>
  <c r="BA165" i="39"/>
  <c r="BA166" i="39"/>
  <c r="BA167" i="39"/>
  <c r="BA168" i="39"/>
  <c r="BA169" i="39"/>
  <c r="BA170" i="39"/>
  <c r="BA171" i="39"/>
  <c r="BA172" i="39"/>
  <c r="BA173" i="39"/>
  <c r="BA174" i="39"/>
  <c r="BA175" i="39"/>
  <c r="BA176" i="39"/>
  <c r="BA177" i="39"/>
  <c r="BA178" i="39"/>
  <c r="BA179" i="39"/>
  <c r="BA180" i="39"/>
  <c r="BA181" i="39"/>
  <c r="BA182" i="39"/>
  <c r="BA183" i="39"/>
  <c r="BA184" i="39"/>
  <c r="BA185" i="39"/>
  <c r="BA186" i="39"/>
  <c r="BA187" i="39"/>
  <c r="BA188" i="39"/>
  <c r="BA189" i="39"/>
  <c r="BA190" i="39"/>
  <c r="BA191" i="39"/>
  <c r="BA192" i="39"/>
  <c r="BA193" i="39"/>
  <c r="BA194" i="39"/>
  <c r="BA195" i="39"/>
  <c r="BA196" i="39"/>
  <c r="BA197" i="39"/>
  <c r="BA198" i="39"/>
  <c r="BA199" i="39"/>
  <c r="BA200" i="39"/>
  <c r="BA201" i="39"/>
  <c r="BA202" i="39"/>
  <c r="BA203" i="39"/>
  <c r="BA204" i="39"/>
  <c r="BA205" i="39"/>
  <c r="BA206" i="39"/>
  <c r="BA207" i="39"/>
  <c r="BA208" i="39"/>
  <c r="BA209" i="39"/>
  <c r="BA210" i="39"/>
  <c r="BA211" i="39"/>
  <c r="BA212" i="39"/>
  <c r="BA213" i="39"/>
  <c r="BA214" i="39"/>
  <c r="BA215" i="39"/>
  <c r="BA216" i="39"/>
  <c r="BA217" i="39"/>
  <c r="BA218" i="39"/>
  <c r="BA219" i="39"/>
  <c r="BA220" i="39"/>
  <c r="BA221" i="39"/>
  <c r="BA222" i="39"/>
  <c r="BA223" i="39"/>
  <c r="BA224" i="39"/>
  <c r="BA225" i="39"/>
  <c r="BA226" i="39"/>
  <c r="BA227" i="39"/>
  <c r="BA228" i="39"/>
  <c r="BA229" i="39"/>
  <c r="BA230" i="39"/>
  <c r="BA231" i="39"/>
  <c r="BA232" i="39"/>
  <c r="BA233" i="39"/>
  <c r="BA234" i="39"/>
  <c r="BA235" i="39"/>
  <c r="BA236" i="39"/>
  <c r="BA237" i="39"/>
  <c r="BA238" i="39"/>
  <c r="BA239" i="39"/>
  <c r="BA240" i="39"/>
  <c r="BA241" i="39"/>
  <c r="BA242" i="39"/>
  <c r="BA243" i="39"/>
  <c r="BA244" i="39"/>
  <c r="BA245" i="39"/>
  <c r="BA246" i="39"/>
  <c r="BA247" i="39"/>
  <c r="BA248" i="39"/>
  <c r="BA249" i="39"/>
  <c r="BA250" i="39"/>
  <c r="BA251" i="39"/>
  <c r="BA252" i="39"/>
  <c r="BA253" i="39"/>
  <c r="BA254" i="39"/>
  <c r="BA255" i="39"/>
  <c r="BA256" i="39"/>
  <c r="BA257" i="39"/>
  <c r="BA258" i="39"/>
  <c r="BA259" i="39"/>
  <c r="BA260" i="39"/>
  <c r="BA261" i="39"/>
  <c r="BA262" i="39"/>
  <c r="BA263" i="39"/>
  <c r="BA264" i="39"/>
  <c r="BA265" i="39"/>
  <c r="BA266" i="39"/>
  <c r="BA267" i="39"/>
  <c r="BA268" i="39"/>
  <c r="BA269" i="39"/>
  <c r="BA270" i="39"/>
  <c r="BA271" i="39"/>
  <c r="BA272" i="39"/>
  <c r="BA273" i="39"/>
  <c r="BA274" i="39"/>
  <c r="BA275" i="39"/>
  <c r="BA276" i="39"/>
  <c r="BA277" i="39"/>
  <c r="BA278" i="39"/>
  <c r="BA279" i="39"/>
  <c r="BA280" i="39"/>
  <c r="BA281" i="39"/>
  <c r="BA282" i="39"/>
  <c r="BA283" i="39"/>
  <c r="BA284" i="39"/>
  <c r="BA285" i="39"/>
  <c r="BA286" i="39"/>
  <c r="BA287" i="39"/>
  <c r="BA288" i="39"/>
  <c r="BA289" i="39"/>
  <c r="BA290" i="39"/>
  <c r="BA291" i="39"/>
  <c r="BA292" i="39"/>
  <c r="BA293" i="39"/>
  <c r="BA294" i="39"/>
  <c r="BA295" i="39"/>
  <c r="BA296" i="39"/>
  <c r="BA297" i="39"/>
  <c r="BA298" i="39"/>
  <c r="BA299" i="39"/>
  <c r="BA300" i="39"/>
  <c r="BA301" i="39"/>
  <c r="BA302" i="39"/>
  <c r="BA303" i="39"/>
  <c r="BA304" i="39"/>
  <c r="BA305" i="39"/>
  <c r="BA306" i="39"/>
  <c r="BA307" i="39"/>
  <c r="BA308" i="39"/>
  <c r="BA309" i="39"/>
  <c r="BA310" i="39"/>
  <c r="BA311" i="39"/>
  <c r="BA312" i="39"/>
  <c r="BA313" i="39"/>
  <c r="BA314" i="39"/>
  <c r="BA315" i="39"/>
  <c r="BA316" i="39"/>
  <c r="BA317" i="39"/>
  <c r="BA318" i="39"/>
  <c r="BA319" i="39"/>
  <c r="BA320" i="39"/>
  <c r="BA321" i="39"/>
  <c r="BA322" i="39"/>
  <c r="BA323" i="39"/>
  <c r="BA324" i="39"/>
  <c r="BA325" i="39"/>
  <c r="BA326" i="39"/>
  <c r="BA327" i="39"/>
  <c r="BA328" i="39"/>
  <c r="BA329" i="39"/>
  <c r="BA330" i="39"/>
  <c r="BA331" i="39"/>
  <c r="BA332" i="39"/>
  <c r="BA333" i="39"/>
  <c r="BA334" i="39"/>
  <c r="BA335" i="39"/>
  <c r="BA336" i="39"/>
  <c r="BA337" i="39"/>
  <c r="BA338" i="39"/>
  <c r="BA339" i="39"/>
  <c r="BA340" i="39"/>
  <c r="BA341" i="39"/>
  <c r="BA342" i="39"/>
  <c r="BA343" i="39"/>
  <c r="BA344" i="39"/>
  <c r="BA345" i="39"/>
  <c r="BA346" i="39"/>
  <c r="BA4" i="39"/>
  <c r="AY2" i="39"/>
  <c r="AZ4" i="39"/>
  <c r="AI5" i="39"/>
  <c r="AI6" i="39"/>
  <c r="AI7" i="39"/>
  <c r="AI8" i="39"/>
  <c r="AI9" i="39"/>
  <c r="AI10" i="39"/>
  <c r="AI11" i="39"/>
  <c r="AI12" i="39"/>
  <c r="AI13" i="39"/>
  <c r="AI14" i="39"/>
  <c r="AI15" i="39"/>
  <c r="AI16" i="39"/>
  <c r="AI17" i="39"/>
  <c r="AI18" i="39"/>
  <c r="AI19" i="39"/>
  <c r="AI20" i="39"/>
  <c r="AI21" i="39"/>
  <c r="AI22" i="39"/>
  <c r="AI23" i="39"/>
  <c r="AI24" i="39"/>
  <c r="AI25" i="39"/>
  <c r="AI26" i="39"/>
  <c r="AI27" i="39"/>
  <c r="AI28" i="39"/>
  <c r="AI29" i="39"/>
  <c r="AI30" i="39"/>
  <c r="AI31" i="39"/>
  <c r="AI32" i="39"/>
  <c r="AI33" i="39"/>
  <c r="AI34" i="39"/>
  <c r="AI35" i="39"/>
  <c r="AI36" i="39"/>
  <c r="AI37" i="39"/>
  <c r="AI38" i="39"/>
  <c r="AI39" i="39"/>
  <c r="AI40" i="39"/>
  <c r="AI41" i="39"/>
  <c r="AI42" i="39"/>
  <c r="AI43" i="39"/>
  <c r="AI44" i="39"/>
  <c r="AI45" i="39"/>
  <c r="AI46" i="39"/>
  <c r="AI47" i="39"/>
  <c r="AI48" i="39"/>
  <c r="AI49" i="39"/>
  <c r="AI50" i="39"/>
  <c r="AI51" i="39"/>
  <c r="AI52" i="39"/>
  <c r="AI53" i="39"/>
  <c r="AI54" i="39"/>
  <c r="AI55" i="39"/>
  <c r="AI56" i="39"/>
  <c r="AI57" i="39"/>
  <c r="AI58" i="39"/>
  <c r="AI59" i="39"/>
  <c r="AI60" i="39"/>
  <c r="AI61" i="39"/>
  <c r="AI62" i="39"/>
  <c r="AI63" i="39"/>
  <c r="AI64" i="39"/>
  <c r="AI65" i="39"/>
  <c r="AI66" i="39"/>
  <c r="AI67" i="39"/>
  <c r="AI68" i="39"/>
  <c r="AI69" i="39"/>
  <c r="AI70" i="39"/>
  <c r="AI71" i="39"/>
  <c r="AI72" i="39"/>
  <c r="AI73" i="39"/>
  <c r="AI74" i="39"/>
  <c r="AI75" i="39"/>
  <c r="AI76" i="39"/>
  <c r="AI77" i="39"/>
  <c r="AI78" i="39"/>
  <c r="AI79" i="39"/>
  <c r="AI80" i="39"/>
  <c r="AI81" i="39"/>
  <c r="AI82" i="39"/>
  <c r="AI83" i="39"/>
  <c r="AI84" i="39"/>
  <c r="AI85" i="39"/>
  <c r="AI86" i="39"/>
  <c r="AI87" i="39"/>
  <c r="AI88" i="39"/>
  <c r="AI89" i="39"/>
  <c r="AI90" i="39"/>
  <c r="AI91" i="39"/>
  <c r="AI92" i="39"/>
  <c r="AI93" i="39"/>
  <c r="AI94" i="39"/>
  <c r="AI95" i="39"/>
  <c r="AI96" i="39"/>
  <c r="AI97" i="39"/>
  <c r="AI98" i="39"/>
  <c r="AI99" i="39"/>
  <c r="AI100" i="39"/>
  <c r="AI101" i="39"/>
  <c r="AI102" i="39"/>
  <c r="AI103" i="39"/>
  <c r="AI104" i="39"/>
  <c r="AI105" i="39"/>
  <c r="AI106" i="39"/>
  <c r="AI107" i="39"/>
  <c r="AI108" i="39"/>
  <c r="AI109" i="39"/>
  <c r="AI110" i="39"/>
  <c r="AI111" i="39"/>
  <c r="AI112" i="39"/>
  <c r="AI113" i="39"/>
  <c r="AI114" i="39"/>
  <c r="AI115" i="39"/>
  <c r="AI116" i="39"/>
  <c r="AI117" i="39"/>
  <c r="AI118" i="39"/>
  <c r="AI119" i="39"/>
  <c r="AI120" i="39"/>
  <c r="AI121" i="39"/>
  <c r="AI122" i="39"/>
  <c r="AI123" i="39"/>
  <c r="AI124" i="39"/>
  <c r="AI125" i="39"/>
  <c r="AI126" i="39"/>
  <c r="AI127" i="39"/>
  <c r="AI128" i="39"/>
  <c r="AI129" i="39"/>
  <c r="AI130" i="39"/>
  <c r="AI131" i="39"/>
  <c r="AI132" i="39"/>
  <c r="AI133" i="39"/>
  <c r="AI134" i="39"/>
  <c r="AI135" i="39"/>
  <c r="AI136" i="39"/>
  <c r="AI137" i="39"/>
  <c r="AI138" i="39"/>
  <c r="AI139" i="39"/>
  <c r="AI140" i="39"/>
  <c r="AI141" i="39"/>
  <c r="AI142" i="39"/>
  <c r="AI143" i="39"/>
  <c r="AI144" i="39"/>
  <c r="AI145" i="39"/>
  <c r="AI146" i="39"/>
  <c r="AI147" i="39"/>
  <c r="AI148" i="39"/>
  <c r="AI149" i="39"/>
  <c r="AI150" i="39"/>
  <c r="AI151" i="39"/>
  <c r="AI152" i="39"/>
  <c r="AI153" i="39"/>
  <c r="AI154" i="39"/>
  <c r="AI155" i="39"/>
  <c r="AI156" i="39"/>
  <c r="AI157" i="39"/>
  <c r="AI158" i="39"/>
  <c r="AI159" i="39"/>
  <c r="AI160" i="39"/>
  <c r="AI161" i="39"/>
  <c r="AI162" i="39"/>
  <c r="AI163" i="39"/>
  <c r="AI164" i="39"/>
  <c r="AI165" i="39"/>
  <c r="AI166" i="39"/>
  <c r="AI167" i="39"/>
  <c r="AI168" i="39"/>
  <c r="AI169" i="39"/>
  <c r="AI170" i="39"/>
  <c r="AI171" i="39"/>
  <c r="AI172" i="39"/>
  <c r="AI173" i="39"/>
  <c r="AI174" i="39"/>
  <c r="AI175" i="39"/>
  <c r="AI176" i="39"/>
  <c r="AI177" i="39"/>
  <c r="AI178" i="39"/>
  <c r="AI179" i="39"/>
  <c r="AI180" i="39"/>
  <c r="AI181" i="39"/>
  <c r="AI182" i="39"/>
  <c r="AI183" i="39"/>
  <c r="AI184" i="39"/>
  <c r="AI185" i="39"/>
  <c r="AI186" i="39"/>
  <c r="AI187" i="39"/>
  <c r="AI188" i="39"/>
  <c r="AI189" i="39"/>
  <c r="AI190" i="39"/>
  <c r="AI191" i="39"/>
  <c r="AI192" i="39"/>
  <c r="AI193" i="39"/>
  <c r="AI194" i="39"/>
  <c r="AI195" i="39"/>
  <c r="AI196" i="39"/>
  <c r="AI197" i="39"/>
  <c r="AI198" i="39"/>
  <c r="AI199" i="39"/>
  <c r="AI200" i="39"/>
  <c r="AI201" i="39"/>
  <c r="AI202" i="39"/>
  <c r="AI203" i="39"/>
  <c r="AI204" i="39"/>
  <c r="AI205" i="39"/>
  <c r="AI206" i="39"/>
  <c r="AI207" i="39"/>
  <c r="AI208" i="39"/>
  <c r="AI209" i="39"/>
  <c r="AI210" i="39"/>
  <c r="AI211" i="39"/>
  <c r="AI212" i="39"/>
  <c r="AI213" i="39"/>
  <c r="AI214" i="39"/>
  <c r="AI215" i="39"/>
  <c r="AI216" i="39"/>
  <c r="AI217" i="39"/>
  <c r="AI218" i="39"/>
  <c r="AI219" i="39"/>
  <c r="AI220" i="39"/>
  <c r="AI221" i="39"/>
  <c r="AI222" i="39"/>
  <c r="AI223" i="39"/>
  <c r="AI224" i="39"/>
  <c r="AI225" i="39"/>
  <c r="AI226" i="39"/>
  <c r="AI227" i="39"/>
  <c r="AI228" i="39"/>
  <c r="AI229" i="39"/>
  <c r="AI230" i="39"/>
  <c r="AI231" i="39"/>
  <c r="AI232" i="39"/>
  <c r="AI233" i="39"/>
  <c r="AI234" i="39"/>
  <c r="AI235" i="39"/>
  <c r="AI236" i="39"/>
  <c r="AI237" i="39"/>
  <c r="AI238" i="39"/>
  <c r="AI239" i="39"/>
  <c r="AI240" i="39"/>
  <c r="AI241" i="39"/>
  <c r="AI242" i="39"/>
  <c r="AI243" i="39"/>
  <c r="AI244" i="39"/>
  <c r="AI245" i="39"/>
  <c r="AI246" i="39"/>
  <c r="AI247" i="39"/>
  <c r="AI248" i="39"/>
  <c r="AI249" i="39"/>
  <c r="AI250" i="39"/>
  <c r="AI251" i="39"/>
  <c r="AI252" i="39"/>
  <c r="AI253" i="39"/>
  <c r="AI254" i="39"/>
  <c r="AI255" i="39"/>
  <c r="AI256" i="39"/>
  <c r="AI257" i="39"/>
  <c r="AI258" i="39"/>
  <c r="AI259" i="39"/>
  <c r="AI260" i="39"/>
  <c r="AI261" i="39"/>
  <c r="AI262" i="39"/>
  <c r="AI263" i="39"/>
  <c r="AI264" i="39"/>
  <c r="AI265" i="39"/>
  <c r="AI266" i="39"/>
  <c r="AI267" i="39"/>
  <c r="AI268" i="39"/>
  <c r="AI269" i="39"/>
  <c r="AI270" i="39"/>
  <c r="AI271" i="39"/>
  <c r="AI272" i="39"/>
  <c r="AI273" i="39"/>
  <c r="AI274" i="39"/>
  <c r="AI275" i="39"/>
  <c r="AI276" i="39"/>
  <c r="AI277" i="39"/>
  <c r="AI278" i="39"/>
  <c r="AI279" i="39"/>
  <c r="AI280" i="39"/>
  <c r="AI281" i="39"/>
  <c r="AI282" i="39"/>
  <c r="AI283" i="39"/>
  <c r="AI284" i="39"/>
  <c r="AI285" i="39"/>
  <c r="AI286" i="39"/>
  <c r="AI287" i="39"/>
  <c r="AI288" i="39"/>
  <c r="AI289" i="39"/>
  <c r="AI290" i="39"/>
  <c r="AI291" i="39"/>
  <c r="AI292" i="39"/>
  <c r="AI293" i="39"/>
  <c r="AI294" i="39"/>
  <c r="AI295" i="39"/>
  <c r="AI296" i="39"/>
  <c r="AI297" i="39"/>
  <c r="AI298" i="39"/>
  <c r="AI299" i="39"/>
  <c r="AI300" i="39"/>
  <c r="AI301" i="39"/>
  <c r="AI302" i="39"/>
  <c r="AI303" i="39"/>
  <c r="AI304" i="39"/>
  <c r="AI305" i="39"/>
  <c r="AI306" i="39"/>
  <c r="AI307" i="39"/>
  <c r="AI308" i="39"/>
  <c r="AI309" i="39"/>
  <c r="AI310" i="39"/>
  <c r="AI311" i="39"/>
  <c r="AI312" i="39"/>
  <c r="AI313" i="39"/>
  <c r="AI314" i="39"/>
  <c r="AI315" i="39"/>
  <c r="AI316" i="39"/>
  <c r="AI317" i="39"/>
  <c r="AI318" i="39"/>
  <c r="AI319" i="39"/>
  <c r="AI320" i="39"/>
  <c r="AI321" i="39"/>
  <c r="AI322" i="39"/>
  <c r="AI323" i="39"/>
  <c r="AI324" i="39"/>
  <c r="AI325" i="39"/>
  <c r="AI326" i="39"/>
  <c r="AI327" i="39"/>
  <c r="AI328" i="39"/>
  <c r="AI329" i="39"/>
  <c r="AI330" i="39"/>
  <c r="AI331" i="39"/>
  <c r="AI332" i="39"/>
  <c r="AI333" i="39"/>
  <c r="AI334" i="39"/>
  <c r="AI335" i="39"/>
  <c r="AI336" i="39"/>
  <c r="AI337" i="39"/>
  <c r="AI338" i="39"/>
  <c r="AI339" i="39"/>
  <c r="AI340" i="39"/>
  <c r="AI341" i="39"/>
  <c r="AI342" i="39"/>
  <c r="AI343" i="39"/>
  <c r="AI344" i="39"/>
  <c r="AI345" i="39"/>
  <c r="AI346" i="39"/>
  <c r="AI4" i="39"/>
  <c r="AG2" i="39"/>
  <c r="AH4" i="39"/>
  <c r="P5" i="39"/>
  <c r="P6" i="39"/>
  <c r="P7" i="39"/>
  <c r="P8" i="39"/>
  <c r="P9" i="39"/>
  <c r="P10" i="39"/>
  <c r="P11" i="39"/>
  <c r="P12" i="39"/>
  <c r="P13" i="39"/>
  <c r="P14" i="39"/>
  <c r="P15" i="39"/>
  <c r="P16" i="39"/>
  <c r="P17" i="39"/>
  <c r="P18" i="39"/>
  <c r="P19" i="39"/>
  <c r="P20" i="39"/>
  <c r="P21" i="39"/>
  <c r="P22" i="39"/>
  <c r="P23" i="39"/>
  <c r="P24" i="39"/>
  <c r="P25" i="39"/>
  <c r="P26" i="39"/>
  <c r="P27" i="39"/>
  <c r="P28" i="39"/>
  <c r="P29" i="39"/>
  <c r="P30" i="39"/>
  <c r="P31" i="39"/>
  <c r="P32" i="39"/>
  <c r="P33" i="39"/>
  <c r="P34" i="39"/>
  <c r="P35" i="39"/>
  <c r="P36" i="39"/>
  <c r="P37" i="39"/>
  <c r="P38" i="39"/>
  <c r="P39" i="39"/>
  <c r="P40" i="39"/>
  <c r="P41" i="39"/>
  <c r="P42" i="39"/>
  <c r="P43" i="39"/>
  <c r="P44" i="39"/>
  <c r="P45" i="39"/>
  <c r="P46" i="39"/>
  <c r="P47" i="39"/>
  <c r="P48" i="39"/>
  <c r="P49" i="39"/>
  <c r="P50" i="39"/>
  <c r="P51" i="39"/>
  <c r="P52" i="39"/>
  <c r="P53" i="39"/>
  <c r="P54" i="39"/>
  <c r="P55" i="39"/>
  <c r="P56" i="39"/>
  <c r="P57" i="39"/>
  <c r="P58" i="39"/>
  <c r="P59" i="39"/>
  <c r="P60" i="39"/>
  <c r="P61" i="39"/>
  <c r="P62" i="39"/>
  <c r="P63" i="39"/>
  <c r="P64" i="39"/>
  <c r="P65" i="39"/>
  <c r="P66" i="39"/>
  <c r="P67" i="39"/>
  <c r="P68" i="39"/>
  <c r="P69" i="39"/>
  <c r="P70" i="39"/>
  <c r="P71" i="39"/>
  <c r="P72" i="39"/>
  <c r="P73" i="39"/>
  <c r="P74" i="39"/>
  <c r="P75" i="39"/>
  <c r="P76" i="39"/>
  <c r="P77" i="39"/>
  <c r="P78" i="39"/>
  <c r="P79" i="39"/>
  <c r="P80" i="39"/>
  <c r="P81" i="39"/>
  <c r="P82" i="39"/>
  <c r="P83" i="39"/>
  <c r="P84" i="39"/>
  <c r="P85" i="39"/>
  <c r="P86" i="39"/>
  <c r="P87" i="39"/>
  <c r="P88" i="39"/>
  <c r="P89" i="39"/>
  <c r="P90" i="39"/>
  <c r="P91" i="39"/>
  <c r="P92" i="39"/>
  <c r="P93" i="39"/>
  <c r="P94" i="39"/>
  <c r="P95" i="39"/>
  <c r="P96" i="39"/>
  <c r="P97" i="39"/>
  <c r="P98" i="39"/>
  <c r="P99" i="39"/>
  <c r="P100" i="39"/>
  <c r="P101" i="39"/>
  <c r="P102" i="39"/>
  <c r="P103" i="39"/>
  <c r="P104" i="39"/>
  <c r="P105" i="39"/>
  <c r="P106" i="39"/>
  <c r="P107" i="39"/>
  <c r="P108" i="39"/>
  <c r="P109" i="39"/>
  <c r="P110" i="39"/>
  <c r="P111" i="39"/>
  <c r="P112" i="39"/>
  <c r="P113" i="39"/>
  <c r="P114" i="39"/>
  <c r="P115" i="39"/>
  <c r="P116" i="39"/>
  <c r="P117" i="39"/>
  <c r="P118" i="39"/>
  <c r="P119" i="39"/>
  <c r="P120" i="39"/>
  <c r="P121" i="39"/>
  <c r="P122" i="39"/>
  <c r="P123" i="39"/>
  <c r="P124" i="39"/>
  <c r="P125" i="39"/>
  <c r="P126" i="39"/>
  <c r="P127" i="39"/>
  <c r="P128" i="39"/>
  <c r="P129" i="39"/>
  <c r="P130" i="39"/>
  <c r="P131" i="39"/>
  <c r="P132" i="39"/>
  <c r="P133" i="39"/>
  <c r="P134" i="39"/>
  <c r="P135" i="39"/>
  <c r="P136" i="39"/>
  <c r="P137" i="39"/>
  <c r="P138" i="39"/>
  <c r="P139" i="39"/>
  <c r="P140" i="39"/>
  <c r="P141" i="39"/>
  <c r="P142" i="39"/>
  <c r="P143" i="39"/>
  <c r="P144" i="39"/>
  <c r="P145" i="39"/>
  <c r="P146" i="39"/>
  <c r="P147" i="39"/>
  <c r="P148" i="39"/>
  <c r="P149" i="39"/>
  <c r="P150" i="39"/>
  <c r="P151" i="39"/>
  <c r="P152" i="39"/>
  <c r="P153" i="39"/>
  <c r="P154" i="39"/>
  <c r="P155" i="39"/>
  <c r="P156" i="39"/>
  <c r="P157" i="39"/>
  <c r="P158" i="39"/>
  <c r="P159" i="39"/>
  <c r="P160" i="39"/>
  <c r="P161" i="39"/>
  <c r="P162" i="39"/>
  <c r="P163" i="39"/>
  <c r="P164" i="39"/>
  <c r="P165" i="39"/>
  <c r="P166" i="39"/>
  <c r="P167" i="39"/>
  <c r="P168" i="39"/>
  <c r="P169" i="39"/>
  <c r="P170" i="39"/>
  <c r="P171" i="39"/>
  <c r="P172" i="39"/>
  <c r="P173" i="39"/>
  <c r="P174" i="39"/>
  <c r="P175" i="39"/>
  <c r="P176" i="39"/>
  <c r="P177" i="39"/>
  <c r="P178" i="39"/>
  <c r="P179" i="39"/>
  <c r="P180" i="39"/>
  <c r="P181" i="39"/>
  <c r="P182" i="39"/>
  <c r="P183" i="39"/>
  <c r="P184" i="39"/>
  <c r="P185" i="39"/>
  <c r="P186" i="39"/>
  <c r="P187" i="39"/>
  <c r="P188" i="39"/>
  <c r="P189" i="39"/>
  <c r="P190" i="39"/>
  <c r="P191" i="39"/>
  <c r="P192" i="39"/>
  <c r="P193" i="39"/>
  <c r="P194" i="39"/>
  <c r="P195" i="39"/>
  <c r="P196" i="39"/>
  <c r="P197" i="39"/>
  <c r="P198" i="39"/>
  <c r="P199" i="39"/>
  <c r="P200" i="39"/>
  <c r="P201" i="39"/>
  <c r="P202" i="39"/>
  <c r="P203" i="39"/>
  <c r="P204" i="39"/>
  <c r="P205" i="39"/>
  <c r="P206" i="39"/>
  <c r="P207" i="39"/>
  <c r="P208" i="39"/>
  <c r="P209" i="39"/>
  <c r="P210" i="39"/>
  <c r="P211" i="39"/>
  <c r="P212" i="39"/>
  <c r="P213" i="39"/>
  <c r="P214" i="39"/>
  <c r="P215" i="39"/>
  <c r="P216" i="39"/>
  <c r="P217" i="39"/>
  <c r="P218" i="39"/>
  <c r="P219" i="39"/>
  <c r="P220" i="39"/>
  <c r="P221" i="39"/>
  <c r="P222" i="39"/>
  <c r="P223" i="39"/>
  <c r="P224" i="39"/>
  <c r="P225" i="39"/>
  <c r="P226" i="39"/>
  <c r="P227" i="39"/>
  <c r="P228" i="39"/>
  <c r="P229" i="39"/>
  <c r="P230" i="39"/>
  <c r="P231" i="39"/>
  <c r="P232" i="39"/>
  <c r="P233" i="39"/>
  <c r="P234" i="39"/>
  <c r="P235" i="39"/>
  <c r="P236" i="39"/>
  <c r="P237" i="39"/>
  <c r="P238" i="39"/>
  <c r="P239" i="39"/>
  <c r="P240" i="39"/>
  <c r="P241" i="39"/>
  <c r="P242" i="39"/>
  <c r="P243" i="39"/>
  <c r="P244" i="39"/>
  <c r="P245" i="39"/>
  <c r="P246" i="39"/>
  <c r="P247" i="39"/>
  <c r="P248" i="39"/>
  <c r="P249" i="39"/>
  <c r="P250" i="39"/>
  <c r="P251" i="39"/>
  <c r="P252" i="39"/>
  <c r="P253" i="39"/>
  <c r="P254" i="39"/>
  <c r="P255" i="39"/>
  <c r="P256" i="39"/>
  <c r="P257" i="39"/>
  <c r="P258" i="39"/>
  <c r="P259" i="39"/>
  <c r="P260" i="39"/>
  <c r="P261" i="39"/>
  <c r="P262" i="39"/>
  <c r="P263" i="39"/>
  <c r="P264" i="39"/>
  <c r="P265" i="39"/>
  <c r="P266" i="39"/>
  <c r="P267" i="39"/>
  <c r="P268" i="39"/>
  <c r="P269" i="39"/>
  <c r="P270" i="39"/>
  <c r="P271" i="39"/>
  <c r="P272" i="39"/>
  <c r="P273" i="39"/>
  <c r="P274" i="39"/>
  <c r="P275" i="39"/>
  <c r="P276" i="39"/>
  <c r="P277" i="39"/>
  <c r="P278" i="39"/>
  <c r="P279" i="39"/>
  <c r="P280" i="39"/>
  <c r="P281" i="39"/>
  <c r="P282" i="39"/>
  <c r="P283" i="39"/>
  <c r="P284" i="39"/>
  <c r="P285" i="39"/>
  <c r="P286" i="39"/>
  <c r="P287" i="39"/>
  <c r="P288" i="39"/>
  <c r="P289" i="39"/>
  <c r="P290" i="39"/>
  <c r="P291" i="39"/>
  <c r="P292" i="39"/>
  <c r="P293" i="39"/>
  <c r="P294" i="39"/>
  <c r="P295" i="39"/>
  <c r="P296" i="39"/>
  <c r="P297" i="39"/>
  <c r="P298" i="39"/>
  <c r="P299" i="39"/>
  <c r="P300" i="39"/>
  <c r="P301" i="39"/>
  <c r="P302" i="39"/>
  <c r="P303" i="39"/>
  <c r="P304" i="39"/>
  <c r="P305" i="39"/>
  <c r="P306" i="39"/>
  <c r="P307" i="39"/>
  <c r="P308" i="39"/>
  <c r="P309" i="39"/>
  <c r="P310" i="39"/>
  <c r="P311" i="39"/>
  <c r="P312" i="39"/>
  <c r="P313" i="39"/>
  <c r="P314" i="39"/>
  <c r="P315" i="39"/>
  <c r="P316" i="39"/>
  <c r="P317" i="39"/>
  <c r="P318" i="39"/>
  <c r="P319" i="39"/>
  <c r="P320" i="39"/>
  <c r="P321" i="39"/>
  <c r="P322" i="39"/>
  <c r="P323" i="39"/>
  <c r="P324" i="39"/>
  <c r="P325" i="39"/>
  <c r="P326" i="39"/>
  <c r="P327" i="39"/>
  <c r="P328" i="39"/>
  <c r="P329" i="39"/>
  <c r="P330" i="39"/>
  <c r="P331" i="39"/>
  <c r="P332" i="39"/>
  <c r="P333" i="39"/>
  <c r="P334" i="39"/>
  <c r="P335" i="39"/>
  <c r="P336" i="39"/>
  <c r="P337" i="39"/>
  <c r="P338" i="39"/>
  <c r="P339" i="39"/>
  <c r="P340" i="39"/>
  <c r="P341" i="39"/>
  <c r="P342" i="39"/>
  <c r="P343" i="39"/>
  <c r="P344" i="39"/>
  <c r="P345" i="39"/>
  <c r="P346" i="39"/>
  <c r="P4" i="39"/>
  <c r="Q5" i="39"/>
  <c r="Q6" i="39"/>
  <c r="Q7" i="39"/>
  <c r="Q8" i="39"/>
  <c r="Q9" i="39"/>
  <c r="Q10" i="39"/>
  <c r="Q11" i="39"/>
  <c r="Q12" i="39"/>
  <c r="Q13" i="39"/>
  <c r="Q14" i="39"/>
  <c r="Q15" i="39"/>
  <c r="Q16" i="39"/>
  <c r="Q17" i="39"/>
  <c r="Q18" i="39"/>
  <c r="Q19" i="39"/>
  <c r="Q20" i="39"/>
  <c r="Q21" i="39"/>
  <c r="Q22" i="39"/>
  <c r="Q23" i="39"/>
  <c r="Q24" i="39"/>
  <c r="Q25" i="39"/>
  <c r="Q26" i="39"/>
  <c r="Q27" i="39"/>
  <c r="Q28" i="39"/>
  <c r="Q29" i="39"/>
  <c r="Q30" i="39"/>
  <c r="Q31" i="39"/>
  <c r="Q32" i="39"/>
  <c r="Q33" i="39"/>
  <c r="Q34" i="39"/>
  <c r="Q35" i="39"/>
  <c r="Q36" i="39"/>
  <c r="Q37" i="39"/>
  <c r="Q38" i="39"/>
  <c r="Q39" i="39"/>
  <c r="Q40" i="39"/>
  <c r="Q41" i="39"/>
  <c r="Q42" i="39"/>
  <c r="Q43" i="39"/>
  <c r="Q44" i="39"/>
  <c r="Q45" i="39"/>
  <c r="Q46" i="39"/>
  <c r="Q47" i="39"/>
  <c r="Q48" i="39"/>
  <c r="Q49" i="39"/>
  <c r="Q50" i="39"/>
  <c r="Q51" i="39"/>
  <c r="Q52" i="39"/>
  <c r="Q53" i="39"/>
  <c r="Q54" i="39"/>
  <c r="Q55" i="39"/>
  <c r="Q56" i="39"/>
  <c r="Q57" i="39"/>
  <c r="Q58" i="39"/>
  <c r="Q59" i="39"/>
  <c r="Q60" i="39"/>
  <c r="Q61" i="39"/>
  <c r="Q62" i="39"/>
  <c r="Q63" i="39"/>
  <c r="Q64" i="39"/>
  <c r="Q65" i="39"/>
  <c r="Q66" i="39"/>
  <c r="Q67" i="39"/>
  <c r="Q68" i="39"/>
  <c r="Q69" i="39"/>
  <c r="Q70" i="39"/>
  <c r="Q71" i="39"/>
  <c r="Q72" i="39"/>
  <c r="Q73" i="39"/>
  <c r="Q74" i="39"/>
  <c r="Q75" i="39"/>
  <c r="Q76" i="39"/>
  <c r="Q77" i="39"/>
  <c r="Q78" i="39"/>
  <c r="Q79" i="39"/>
  <c r="Q80" i="39"/>
  <c r="Q81" i="39"/>
  <c r="Q82" i="39"/>
  <c r="Q83" i="39"/>
  <c r="Q84" i="39"/>
  <c r="Q85" i="39"/>
  <c r="Q86" i="39"/>
  <c r="Q87" i="39"/>
  <c r="Q88" i="39"/>
  <c r="Q89" i="39"/>
  <c r="Q90" i="39"/>
  <c r="Q91" i="39"/>
  <c r="Q92" i="39"/>
  <c r="Q93" i="39"/>
  <c r="Q94" i="39"/>
  <c r="Q95" i="39"/>
  <c r="Q96" i="39"/>
  <c r="Q97" i="39"/>
  <c r="Q98" i="39"/>
  <c r="Q99" i="39"/>
  <c r="Q100" i="39"/>
  <c r="Q101" i="39"/>
  <c r="Q102" i="39"/>
  <c r="Q103" i="39"/>
  <c r="Q104" i="39"/>
  <c r="Q105" i="39"/>
  <c r="Q106" i="39"/>
  <c r="Q107" i="39"/>
  <c r="Q108" i="39"/>
  <c r="Q109" i="39"/>
  <c r="Q110" i="39"/>
  <c r="Q111" i="39"/>
  <c r="Q112" i="39"/>
  <c r="Q113" i="39"/>
  <c r="Q114" i="39"/>
  <c r="Q115" i="39"/>
  <c r="Q116" i="39"/>
  <c r="Q117" i="39"/>
  <c r="Q118" i="39"/>
  <c r="Q119" i="39"/>
  <c r="Q120" i="39"/>
  <c r="Q121" i="39"/>
  <c r="Q122" i="39"/>
  <c r="Q123" i="39"/>
  <c r="Q124" i="39"/>
  <c r="Q125" i="39"/>
  <c r="Q126" i="39"/>
  <c r="Q127" i="39"/>
  <c r="Q128" i="39"/>
  <c r="Q129" i="39"/>
  <c r="Q130" i="39"/>
  <c r="Q131" i="39"/>
  <c r="Q132" i="39"/>
  <c r="Q133" i="39"/>
  <c r="Q134" i="39"/>
  <c r="Q135" i="39"/>
  <c r="Q136" i="39"/>
  <c r="Q137" i="39"/>
  <c r="Q138" i="39"/>
  <c r="Q139" i="39"/>
  <c r="Q140" i="39"/>
  <c r="Q141" i="39"/>
  <c r="Q142" i="39"/>
  <c r="Q143" i="39"/>
  <c r="Q144" i="39"/>
  <c r="Q145" i="39"/>
  <c r="Q146" i="39"/>
  <c r="Q147" i="39"/>
  <c r="Q148" i="39"/>
  <c r="Q149" i="39"/>
  <c r="Q150" i="39"/>
  <c r="Q151" i="39"/>
  <c r="Q152" i="39"/>
  <c r="Q153" i="39"/>
  <c r="Q154" i="39"/>
  <c r="Q155" i="39"/>
  <c r="Q156" i="39"/>
  <c r="Q157" i="39"/>
  <c r="Q158" i="39"/>
  <c r="Q159" i="39"/>
  <c r="Q160" i="39"/>
  <c r="Q161" i="39"/>
  <c r="Q162" i="39"/>
  <c r="Q163" i="39"/>
  <c r="Q164" i="39"/>
  <c r="Q165" i="39"/>
  <c r="Q166" i="39"/>
  <c r="Q167" i="39"/>
  <c r="Q168" i="39"/>
  <c r="Q169" i="39"/>
  <c r="Q170" i="39"/>
  <c r="Q171" i="39"/>
  <c r="Q172" i="39"/>
  <c r="Q173" i="39"/>
  <c r="Q174" i="39"/>
  <c r="Q175" i="39"/>
  <c r="Q176" i="39"/>
  <c r="Q177" i="39"/>
  <c r="Q178" i="39"/>
  <c r="Q179" i="39"/>
  <c r="Q180" i="39"/>
  <c r="Q181" i="39"/>
  <c r="Q182" i="39"/>
  <c r="Q183" i="39"/>
  <c r="Q184" i="39"/>
  <c r="Q185" i="39"/>
  <c r="Q186" i="39"/>
  <c r="Q187" i="39"/>
  <c r="Q188" i="39"/>
  <c r="Q189" i="39"/>
  <c r="Q190" i="39"/>
  <c r="Q191" i="39"/>
  <c r="Q192" i="39"/>
  <c r="Q193" i="39"/>
  <c r="Q194" i="39"/>
  <c r="Q195" i="39"/>
  <c r="Q196" i="39"/>
  <c r="Q197" i="39"/>
  <c r="Q198" i="39"/>
  <c r="Q199" i="39"/>
  <c r="Q200" i="39"/>
  <c r="Q201" i="39"/>
  <c r="Q202" i="39"/>
  <c r="Q203" i="39"/>
  <c r="Q204" i="39"/>
  <c r="Q205" i="39"/>
  <c r="Q206" i="39"/>
  <c r="Q207" i="39"/>
  <c r="Q208" i="39"/>
  <c r="Q209" i="39"/>
  <c r="Q210" i="39"/>
  <c r="Q211" i="39"/>
  <c r="Q212" i="39"/>
  <c r="Q213" i="39"/>
  <c r="Q214" i="39"/>
  <c r="Q215" i="39"/>
  <c r="Q216" i="39"/>
  <c r="Q217" i="39"/>
  <c r="Q218" i="39"/>
  <c r="Q219" i="39"/>
  <c r="Q220" i="39"/>
  <c r="Q221" i="39"/>
  <c r="Q222" i="39"/>
  <c r="Q223" i="39"/>
  <c r="Q224" i="39"/>
  <c r="Q225" i="39"/>
  <c r="Q226" i="39"/>
  <c r="Q227" i="39"/>
  <c r="Q228" i="39"/>
  <c r="Q229" i="39"/>
  <c r="Q230" i="39"/>
  <c r="Q231" i="39"/>
  <c r="Q232" i="39"/>
  <c r="Q233" i="39"/>
  <c r="Q234" i="39"/>
  <c r="Q235" i="39"/>
  <c r="Q236" i="39"/>
  <c r="Q237" i="39"/>
  <c r="Q238" i="39"/>
  <c r="Q239" i="39"/>
  <c r="Q240" i="39"/>
  <c r="Q241" i="39"/>
  <c r="Q242" i="39"/>
  <c r="Q243" i="39"/>
  <c r="Q244" i="39"/>
  <c r="Q245" i="39"/>
  <c r="Q246" i="39"/>
  <c r="Q247" i="39"/>
  <c r="Q248" i="39"/>
  <c r="Q249" i="39"/>
  <c r="Q250" i="39"/>
  <c r="Q251" i="39"/>
  <c r="Q252" i="39"/>
  <c r="Q253" i="39"/>
  <c r="Q254" i="39"/>
  <c r="Q255" i="39"/>
  <c r="Q256" i="39"/>
  <c r="Q257" i="39"/>
  <c r="Q258" i="39"/>
  <c r="Q259" i="39"/>
  <c r="Q260" i="39"/>
  <c r="Q261" i="39"/>
  <c r="Q262" i="39"/>
  <c r="Q263" i="39"/>
  <c r="Q264" i="39"/>
  <c r="Q265" i="39"/>
  <c r="Q266" i="39"/>
  <c r="Q267" i="39"/>
  <c r="Q268" i="39"/>
  <c r="Q269" i="39"/>
  <c r="Q270" i="39"/>
  <c r="Q271" i="39"/>
  <c r="Q272" i="39"/>
  <c r="Q273" i="39"/>
  <c r="Q274" i="39"/>
  <c r="Q275" i="39"/>
  <c r="Q276" i="39"/>
  <c r="Q277" i="39"/>
  <c r="Q278" i="39"/>
  <c r="Q279" i="39"/>
  <c r="Q280" i="39"/>
  <c r="Q281" i="39"/>
  <c r="Q282" i="39"/>
  <c r="Q283" i="39"/>
  <c r="Q284" i="39"/>
  <c r="Q285" i="39"/>
  <c r="Q286" i="39"/>
  <c r="Q287" i="39"/>
  <c r="Q288" i="39"/>
  <c r="Q289" i="39"/>
  <c r="Q290" i="39"/>
  <c r="Q291" i="39"/>
  <c r="Q292" i="39"/>
  <c r="Q293" i="39"/>
  <c r="Q294" i="39"/>
  <c r="Q295" i="39"/>
  <c r="Q296" i="39"/>
  <c r="Q297" i="39"/>
  <c r="Q298" i="39"/>
  <c r="Q299" i="39"/>
  <c r="Q300" i="39"/>
  <c r="Q301" i="39"/>
  <c r="Q302" i="39"/>
  <c r="Q303" i="39"/>
  <c r="Q304" i="39"/>
  <c r="Q305" i="39"/>
  <c r="Q306" i="39"/>
  <c r="Q307" i="39"/>
  <c r="Q308" i="39"/>
  <c r="Q309" i="39"/>
  <c r="Q310" i="39"/>
  <c r="Q311" i="39"/>
  <c r="Q312" i="39"/>
  <c r="Q313" i="39"/>
  <c r="Q314" i="39"/>
  <c r="Q315" i="39"/>
  <c r="Q316" i="39"/>
  <c r="Q317" i="39"/>
  <c r="Q318" i="39"/>
  <c r="Q319" i="39"/>
  <c r="Q320" i="39"/>
  <c r="Q321" i="39"/>
  <c r="Q322" i="39"/>
  <c r="Q323" i="39"/>
  <c r="Q324" i="39"/>
  <c r="Q325" i="39"/>
  <c r="Q326" i="39"/>
  <c r="Q327" i="39"/>
  <c r="Q328" i="39"/>
  <c r="Q329" i="39"/>
  <c r="Q330" i="39"/>
  <c r="Q331" i="39"/>
  <c r="Q332" i="39"/>
  <c r="Q333" i="39"/>
  <c r="Q334" i="39"/>
  <c r="Q335" i="39"/>
  <c r="Q336" i="39"/>
  <c r="Q337" i="39"/>
  <c r="Q338" i="39"/>
  <c r="Q339" i="39"/>
  <c r="Q340" i="39"/>
  <c r="Q341" i="39"/>
  <c r="Q342" i="39"/>
  <c r="Q343" i="39"/>
  <c r="Q344" i="39"/>
  <c r="Q345" i="39"/>
  <c r="Q346" i="39"/>
  <c r="Q4" i="39"/>
  <c r="P1" i="39"/>
  <c r="Q1" i="39"/>
  <c r="O1" i="39"/>
  <c r="O2" i="39"/>
  <c r="P4" i="38"/>
  <c r="BR4" i="38"/>
  <c r="BQ4" i="38"/>
  <c r="BA4" i="38"/>
  <c r="AZ4" i="38"/>
  <c r="AI4" i="38"/>
  <c r="AH4" i="38"/>
  <c r="Q4" i="38"/>
  <c r="BQ1" i="38"/>
  <c r="BR1" i="38"/>
  <c r="BP1" i="38"/>
  <c r="BP2" i="38"/>
  <c r="BR5" i="38"/>
  <c r="BR6" i="38"/>
  <c r="BR7" i="38"/>
  <c r="BR8" i="38"/>
  <c r="BR9" i="38"/>
  <c r="BR10" i="38"/>
  <c r="BR11" i="38"/>
  <c r="BR12" i="38"/>
  <c r="BR13" i="38"/>
  <c r="BR14" i="38"/>
  <c r="BR15" i="38"/>
  <c r="BR16" i="38"/>
  <c r="BR17" i="38"/>
  <c r="BR18" i="38"/>
  <c r="BR19" i="38"/>
  <c r="BR20" i="38"/>
  <c r="BR21" i="38"/>
  <c r="BR22" i="38"/>
  <c r="BR23" i="38"/>
  <c r="BR24" i="38"/>
  <c r="BR25" i="38"/>
  <c r="BR26" i="38"/>
  <c r="BR27" i="38"/>
  <c r="BR28" i="38"/>
  <c r="BR29" i="38"/>
  <c r="BR30" i="38"/>
  <c r="BR31" i="38"/>
  <c r="BR32" i="38"/>
  <c r="BR33" i="38"/>
  <c r="BR34" i="38"/>
  <c r="BR35" i="38"/>
  <c r="BR36" i="38"/>
  <c r="BR37" i="38"/>
  <c r="BR38" i="38"/>
  <c r="BR39" i="38"/>
  <c r="BR40" i="38"/>
  <c r="BR41" i="38"/>
  <c r="BR42" i="38"/>
  <c r="BR43" i="38"/>
  <c r="BR44" i="38"/>
  <c r="BR45" i="38"/>
  <c r="BR46" i="38"/>
  <c r="BR47" i="38"/>
  <c r="BR48" i="38"/>
  <c r="BR49" i="38"/>
  <c r="BR50" i="38"/>
  <c r="BR51" i="38"/>
  <c r="BR52" i="38"/>
  <c r="BR53" i="38"/>
  <c r="BR54" i="38"/>
  <c r="BR55" i="38"/>
  <c r="BR56" i="38"/>
  <c r="BR57" i="38"/>
  <c r="BR58" i="38"/>
  <c r="BR59" i="38"/>
  <c r="BR60" i="38"/>
  <c r="BR61" i="38"/>
  <c r="BR62" i="38"/>
  <c r="BR63" i="38"/>
  <c r="BR64" i="38"/>
  <c r="BR65" i="38"/>
  <c r="BR66" i="38"/>
  <c r="BR67" i="38"/>
  <c r="BR68" i="38"/>
  <c r="BR69" i="38"/>
  <c r="BR70" i="38"/>
  <c r="BR71" i="38"/>
  <c r="BR72" i="38"/>
  <c r="BR73" i="38"/>
  <c r="BR74" i="38"/>
  <c r="BR75" i="38"/>
  <c r="BR76" i="38"/>
  <c r="BR77" i="38"/>
  <c r="BR78" i="38"/>
  <c r="BR79" i="38"/>
  <c r="BR80" i="38"/>
  <c r="BR81" i="38"/>
  <c r="BR82" i="38"/>
  <c r="BR83" i="38"/>
  <c r="BR84" i="38"/>
  <c r="BR85" i="38"/>
  <c r="BR86" i="38"/>
  <c r="BR87" i="38"/>
  <c r="BR88" i="38"/>
  <c r="BR89" i="38"/>
  <c r="BR90" i="38"/>
  <c r="BR91" i="38"/>
  <c r="BR92" i="38"/>
  <c r="BR93" i="38"/>
  <c r="BR94" i="38"/>
  <c r="BR95" i="38"/>
  <c r="BR96" i="38"/>
  <c r="BR97" i="38"/>
  <c r="BR98" i="38"/>
  <c r="BR99" i="38"/>
  <c r="BR100" i="38"/>
  <c r="BR101" i="38"/>
  <c r="BR102" i="38"/>
  <c r="BR103" i="38"/>
  <c r="BR104" i="38"/>
  <c r="BR105" i="38"/>
  <c r="BR106" i="38"/>
  <c r="BR107" i="38"/>
  <c r="BR108" i="38"/>
  <c r="BR109" i="38"/>
  <c r="BR110" i="38"/>
  <c r="BR111" i="38"/>
  <c r="BR112" i="38"/>
  <c r="BR113" i="38"/>
  <c r="BR114" i="38"/>
  <c r="BR115" i="38"/>
  <c r="BR116" i="38"/>
  <c r="BR117" i="38"/>
  <c r="BR118" i="38"/>
  <c r="BR119" i="38"/>
  <c r="BR120" i="38"/>
  <c r="BR121" i="38"/>
  <c r="BR122" i="38"/>
  <c r="BR123" i="38"/>
  <c r="BR124" i="38"/>
  <c r="BR125" i="38"/>
  <c r="BR126" i="38"/>
  <c r="BR127" i="38"/>
  <c r="BR128" i="38"/>
  <c r="BR129" i="38"/>
  <c r="BR130" i="38"/>
  <c r="BR131" i="38"/>
  <c r="BR132" i="38"/>
  <c r="BR133" i="38"/>
  <c r="BR134" i="38"/>
  <c r="BR135" i="38"/>
  <c r="BR136" i="38"/>
  <c r="BR137" i="38"/>
  <c r="BR138" i="38"/>
  <c r="BR139" i="38"/>
  <c r="BR140" i="38"/>
  <c r="BR141" i="38"/>
  <c r="BR142" i="38"/>
  <c r="BR143" i="38"/>
  <c r="BR144" i="38"/>
  <c r="BR145" i="38"/>
  <c r="BR146" i="38"/>
  <c r="BR147" i="38"/>
  <c r="BR148" i="38"/>
  <c r="BR149" i="38"/>
  <c r="BR150" i="38"/>
  <c r="BR151" i="38"/>
  <c r="BR152" i="38"/>
  <c r="BR153" i="38"/>
  <c r="BR154" i="38"/>
  <c r="BR155" i="38"/>
  <c r="BR156" i="38"/>
  <c r="BR157" i="38"/>
  <c r="BR158" i="38"/>
  <c r="BR159" i="38"/>
  <c r="BR160" i="38"/>
  <c r="BR161" i="38"/>
  <c r="BR162" i="38"/>
  <c r="BR163" i="38"/>
  <c r="BR164" i="38"/>
  <c r="BR165" i="38"/>
  <c r="BR166" i="38"/>
  <c r="BR167" i="38"/>
  <c r="BR168" i="38"/>
  <c r="BR169" i="38"/>
  <c r="BR170" i="38"/>
  <c r="BR171" i="38"/>
  <c r="BR172" i="38"/>
  <c r="BR173" i="38"/>
  <c r="BR174" i="38"/>
  <c r="BR175" i="38"/>
  <c r="BR176" i="38"/>
  <c r="BR177" i="38"/>
  <c r="BR178" i="38"/>
  <c r="BR179" i="38"/>
  <c r="BR180" i="38"/>
  <c r="BR181" i="38"/>
  <c r="BR182" i="38"/>
  <c r="BR183" i="38"/>
  <c r="BR184" i="38"/>
  <c r="BR185" i="38"/>
  <c r="BR186" i="38"/>
  <c r="BR187" i="38"/>
  <c r="BR188" i="38"/>
  <c r="BR189" i="38"/>
  <c r="BR190" i="38"/>
  <c r="BR191" i="38"/>
  <c r="BR192" i="38"/>
  <c r="BR193" i="38"/>
  <c r="BR194" i="38"/>
  <c r="BR195" i="38"/>
  <c r="BR196" i="38"/>
  <c r="BR197" i="38"/>
  <c r="BR198" i="38"/>
  <c r="BR199" i="38"/>
  <c r="BR200" i="38"/>
  <c r="BR201" i="38"/>
  <c r="BR202" i="38"/>
  <c r="BR203" i="38"/>
  <c r="BR204" i="38"/>
  <c r="BR205" i="38"/>
  <c r="BR206" i="38"/>
  <c r="BR207" i="38"/>
  <c r="BR208" i="38"/>
  <c r="BR209" i="38"/>
  <c r="BR210" i="38"/>
  <c r="BR211" i="38"/>
  <c r="BR212" i="38"/>
  <c r="BR213" i="38"/>
  <c r="BR214" i="38"/>
  <c r="BR215" i="38"/>
  <c r="BR216" i="38"/>
  <c r="BR217" i="38"/>
  <c r="BR218" i="38"/>
  <c r="BR219" i="38"/>
  <c r="BR220" i="38"/>
  <c r="BR221" i="38"/>
  <c r="BR222" i="38"/>
  <c r="BR223" i="38"/>
  <c r="BR224" i="38"/>
  <c r="BR225" i="38"/>
  <c r="BR226" i="38"/>
  <c r="BR227" i="38"/>
  <c r="BR228" i="38"/>
  <c r="BR229" i="38"/>
  <c r="BR230" i="38"/>
  <c r="BR231" i="38"/>
  <c r="BR232" i="38"/>
  <c r="BR233" i="38"/>
  <c r="BR234" i="38"/>
  <c r="BR235" i="38"/>
  <c r="BR236" i="38"/>
  <c r="BR237" i="38"/>
  <c r="BR238" i="38"/>
  <c r="BR239" i="38"/>
  <c r="BR240" i="38"/>
  <c r="BR241" i="38"/>
  <c r="BR242" i="38"/>
  <c r="BR243" i="38"/>
  <c r="BR244" i="38"/>
  <c r="BR245" i="38"/>
  <c r="BR246" i="38"/>
  <c r="BR247" i="38"/>
  <c r="BR248" i="38"/>
  <c r="BR249" i="38"/>
  <c r="BR250" i="38"/>
  <c r="BR251" i="38"/>
  <c r="BR252" i="38"/>
  <c r="BR253" i="38"/>
  <c r="BR254" i="38"/>
  <c r="BR255" i="38"/>
  <c r="BR256" i="38"/>
  <c r="BR257" i="38"/>
  <c r="BR258" i="38"/>
  <c r="BR259" i="38"/>
  <c r="BR260" i="38"/>
  <c r="BR261" i="38"/>
  <c r="BR262" i="38"/>
  <c r="BR263" i="38"/>
  <c r="BR264" i="38"/>
  <c r="BR265" i="38"/>
  <c r="BR266" i="38"/>
  <c r="BR267" i="38"/>
  <c r="BR268" i="38"/>
  <c r="BR269" i="38"/>
  <c r="BR270" i="38"/>
  <c r="BR271" i="38"/>
  <c r="BR272" i="38"/>
  <c r="BR273" i="38"/>
  <c r="BR274" i="38"/>
  <c r="BR275" i="38"/>
  <c r="BR276" i="38"/>
  <c r="BR277" i="38"/>
  <c r="BR278" i="38"/>
  <c r="BR279" i="38"/>
  <c r="BR280" i="38"/>
  <c r="BR281" i="38"/>
  <c r="BR282" i="38"/>
  <c r="BR283" i="38"/>
  <c r="BR284" i="38"/>
  <c r="BR285" i="38"/>
  <c r="BR286" i="38"/>
  <c r="BR287" i="38"/>
  <c r="BR288" i="38"/>
  <c r="BR289" i="38"/>
  <c r="BR290" i="38"/>
  <c r="BR291" i="38"/>
  <c r="BR292" i="38"/>
  <c r="BR293" i="38"/>
  <c r="BR294" i="38"/>
  <c r="BR295" i="38"/>
  <c r="BR296" i="38"/>
  <c r="BR297" i="38"/>
  <c r="BR298" i="38"/>
  <c r="BR299" i="38"/>
  <c r="BR300" i="38"/>
  <c r="BR301" i="38"/>
  <c r="BR302" i="38"/>
  <c r="BR303" i="38"/>
  <c r="BR304" i="38"/>
  <c r="BR305" i="38"/>
  <c r="BR306" i="38"/>
  <c r="BR307" i="38"/>
  <c r="BR308" i="38"/>
  <c r="BR309" i="38"/>
  <c r="BR310" i="38"/>
  <c r="BR311" i="38"/>
  <c r="BR312" i="38"/>
  <c r="BR313" i="38"/>
  <c r="BR314" i="38"/>
  <c r="BR315" i="38"/>
  <c r="BR316" i="38"/>
  <c r="BR317" i="38"/>
  <c r="BR318" i="38"/>
  <c r="BR319" i="38"/>
  <c r="BR320" i="38"/>
  <c r="BR321" i="38"/>
  <c r="BR322" i="38"/>
  <c r="BR323" i="38"/>
  <c r="BR324" i="38"/>
  <c r="BR325" i="38"/>
  <c r="BR326" i="38"/>
  <c r="BR327" i="38"/>
  <c r="BR328" i="38"/>
  <c r="BR329" i="38"/>
  <c r="BR330" i="38"/>
  <c r="BR331" i="38"/>
  <c r="BR332" i="38"/>
  <c r="BR333" i="38"/>
  <c r="BR334" i="38"/>
  <c r="BR335" i="38"/>
  <c r="BR336" i="38"/>
  <c r="BR337" i="38"/>
  <c r="BR338" i="38"/>
  <c r="BR339" i="38"/>
  <c r="BR340" i="38"/>
  <c r="BR341" i="38"/>
  <c r="BR342" i="38"/>
  <c r="BR343" i="38"/>
  <c r="BR344" i="38"/>
  <c r="BR345" i="38"/>
  <c r="BR346" i="38"/>
  <c r="AZ1" i="38"/>
  <c r="BA1" i="38"/>
  <c r="AY1" i="38"/>
  <c r="AY2" i="38"/>
  <c r="BA5" i="38"/>
  <c r="BA6" i="38"/>
  <c r="BA7" i="38"/>
  <c r="BA8" i="38"/>
  <c r="BA9" i="38"/>
  <c r="BA10" i="38"/>
  <c r="BA11" i="38"/>
  <c r="BA12" i="38"/>
  <c r="BA13" i="38"/>
  <c r="BA14" i="38"/>
  <c r="BA15" i="38"/>
  <c r="BA16" i="38"/>
  <c r="BA17" i="38"/>
  <c r="BA18" i="38"/>
  <c r="BA19" i="38"/>
  <c r="BA20" i="38"/>
  <c r="BA21" i="38"/>
  <c r="BA22" i="38"/>
  <c r="BA23" i="38"/>
  <c r="BA24" i="38"/>
  <c r="BA25" i="38"/>
  <c r="BA26" i="38"/>
  <c r="BA27" i="38"/>
  <c r="BA28" i="38"/>
  <c r="BA29" i="38"/>
  <c r="BA30" i="38"/>
  <c r="BA31" i="38"/>
  <c r="BA32" i="38"/>
  <c r="BA33" i="38"/>
  <c r="BA34" i="38"/>
  <c r="BA35" i="38"/>
  <c r="BA36" i="38"/>
  <c r="BA37" i="38"/>
  <c r="BA38" i="38"/>
  <c r="BA39" i="38"/>
  <c r="BA40" i="38"/>
  <c r="BA41" i="38"/>
  <c r="BA42" i="38"/>
  <c r="BA43" i="38"/>
  <c r="BA44" i="38"/>
  <c r="BA45" i="38"/>
  <c r="BA46" i="38"/>
  <c r="BA47" i="38"/>
  <c r="BA48" i="38"/>
  <c r="BA49" i="38"/>
  <c r="BA50" i="38"/>
  <c r="BA51" i="38"/>
  <c r="BA52" i="38"/>
  <c r="BA53" i="38"/>
  <c r="BA54" i="38"/>
  <c r="BA55" i="38"/>
  <c r="BA56" i="38"/>
  <c r="BA57" i="38"/>
  <c r="BA58" i="38"/>
  <c r="BA59" i="38"/>
  <c r="BA60" i="38"/>
  <c r="BA61" i="38"/>
  <c r="BA62" i="38"/>
  <c r="BA63" i="38"/>
  <c r="BA64" i="38"/>
  <c r="BA65" i="38"/>
  <c r="BA66" i="38"/>
  <c r="BA67" i="38"/>
  <c r="BA68" i="38"/>
  <c r="BA69" i="38"/>
  <c r="BA70" i="38"/>
  <c r="BA71" i="38"/>
  <c r="BA72" i="38"/>
  <c r="BA73" i="38"/>
  <c r="BA74" i="38"/>
  <c r="BA75" i="38"/>
  <c r="BA76" i="38"/>
  <c r="BA77" i="38"/>
  <c r="BA78" i="38"/>
  <c r="BA79" i="38"/>
  <c r="BA80" i="38"/>
  <c r="BA81" i="38"/>
  <c r="BA82" i="38"/>
  <c r="BA83" i="38"/>
  <c r="BA84" i="38"/>
  <c r="BA85" i="38"/>
  <c r="BA86" i="38"/>
  <c r="BA87" i="38"/>
  <c r="BA88" i="38"/>
  <c r="BA89" i="38"/>
  <c r="BA90" i="38"/>
  <c r="BA91" i="38"/>
  <c r="BA92" i="38"/>
  <c r="BA93" i="38"/>
  <c r="BA94" i="38"/>
  <c r="BA95" i="38"/>
  <c r="BA96" i="38"/>
  <c r="BA97" i="38"/>
  <c r="BA98" i="38"/>
  <c r="BA99" i="38"/>
  <c r="BA100" i="38"/>
  <c r="BA101" i="38"/>
  <c r="BA102" i="38"/>
  <c r="BA103" i="38"/>
  <c r="BA104" i="38"/>
  <c r="BA105" i="38"/>
  <c r="BA106" i="38"/>
  <c r="BA107" i="38"/>
  <c r="BA108" i="38"/>
  <c r="BA109" i="38"/>
  <c r="BA110" i="38"/>
  <c r="BA111" i="38"/>
  <c r="BA112" i="38"/>
  <c r="BA113" i="38"/>
  <c r="BA114" i="38"/>
  <c r="BA115" i="38"/>
  <c r="BA116" i="38"/>
  <c r="BA117" i="38"/>
  <c r="BA118" i="38"/>
  <c r="BA119" i="38"/>
  <c r="BA120" i="38"/>
  <c r="BA121" i="38"/>
  <c r="BA122" i="38"/>
  <c r="BA123" i="38"/>
  <c r="BA124" i="38"/>
  <c r="BA125" i="38"/>
  <c r="BA126" i="38"/>
  <c r="BA127" i="38"/>
  <c r="BA128" i="38"/>
  <c r="BA129" i="38"/>
  <c r="BA130" i="38"/>
  <c r="BA131" i="38"/>
  <c r="BA132" i="38"/>
  <c r="BA133" i="38"/>
  <c r="BA134" i="38"/>
  <c r="BA135" i="38"/>
  <c r="BA136" i="38"/>
  <c r="BA137" i="38"/>
  <c r="BA138" i="38"/>
  <c r="BA139" i="38"/>
  <c r="BA140" i="38"/>
  <c r="BA141" i="38"/>
  <c r="BA142" i="38"/>
  <c r="BA143" i="38"/>
  <c r="BA144" i="38"/>
  <c r="BA145" i="38"/>
  <c r="BA146" i="38"/>
  <c r="BA147" i="38"/>
  <c r="BA148" i="38"/>
  <c r="BA149" i="38"/>
  <c r="BA150" i="38"/>
  <c r="BA151" i="38"/>
  <c r="BA152" i="38"/>
  <c r="BA153" i="38"/>
  <c r="BA154" i="38"/>
  <c r="BA155" i="38"/>
  <c r="BA156" i="38"/>
  <c r="BA157" i="38"/>
  <c r="BA158" i="38"/>
  <c r="BA159" i="38"/>
  <c r="BA160" i="38"/>
  <c r="BA161" i="38"/>
  <c r="BA162" i="38"/>
  <c r="BA163" i="38"/>
  <c r="BA164" i="38"/>
  <c r="BA165" i="38"/>
  <c r="BA166" i="38"/>
  <c r="BA167" i="38"/>
  <c r="BA168" i="38"/>
  <c r="BA169" i="38"/>
  <c r="BA170" i="38"/>
  <c r="BA171" i="38"/>
  <c r="BA172" i="38"/>
  <c r="BA173" i="38"/>
  <c r="BA174" i="38"/>
  <c r="BA175" i="38"/>
  <c r="BA176" i="38"/>
  <c r="BA177" i="38"/>
  <c r="BA178" i="38"/>
  <c r="BA179" i="38"/>
  <c r="BA180" i="38"/>
  <c r="BA181" i="38"/>
  <c r="BA182" i="38"/>
  <c r="BA183" i="38"/>
  <c r="BA184" i="38"/>
  <c r="BA185" i="38"/>
  <c r="BA186" i="38"/>
  <c r="BA187" i="38"/>
  <c r="BA188" i="38"/>
  <c r="BA189" i="38"/>
  <c r="BA190" i="38"/>
  <c r="BA191" i="38"/>
  <c r="BA192" i="38"/>
  <c r="BA193" i="38"/>
  <c r="BA194" i="38"/>
  <c r="BA195" i="38"/>
  <c r="BA196" i="38"/>
  <c r="BA197" i="38"/>
  <c r="BA198" i="38"/>
  <c r="BA199" i="38"/>
  <c r="BA200" i="38"/>
  <c r="BA201" i="38"/>
  <c r="BA202" i="38"/>
  <c r="BA203" i="38"/>
  <c r="BA204" i="38"/>
  <c r="BA205" i="38"/>
  <c r="BA206" i="38"/>
  <c r="BA207" i="38"/>
  <c r="BA208" i="38"/>
  <c r="BA209" i="38"/>
  <c r="BA210" i="38"/>
  <c r="BA211" i="38"/>
  <c r="BA212" i="38"/>
  <c r="BA213" i="38"/>
  <c r="BA214" i="38"/>
  <c r="BA215" i="38"/>
  <c r="BA216" i="38"/>
  <c r="BA217" i="38"/>
  <c r="BA218" i="38"/>
  <c r="BA219" i="38"/>
  <c r="BA220" i="38"/>
  <c r="BA221" i="38"/>
  <c r="BA222" i="38"/>
  <c r="BA223" i="38"/>
  <c r="BA224" i="38"/>
  <c r="BA225" i="38"/>
  <c r="BA226" i="38"/>
  <c r="BA227" i="38"/>
  <c r="BA228" i="38"/>
  <c r="BA229" i="38"/>
  <c r="BA230" i="38"/>
  <c r="BA231" i="38"/>
  <c r="BA232" i="38"/>
  <c r="BA233" i="38"/>
  <c r="BA234" i="38"/>
  <c r="BA235" i="38"/>
  <c r="BA236" i="38"/>
  <c r="BA237" i="38"/>
  <c r="BA238" i="38"/>
  <c r="BA239" i="38"/>
  <c r="BA240" i="38"/>
  <c r="BA241" i="38"/>
  <c r="BA242" i="38"/>
  <c r="BA243" i="38"/>
  <c r="BA244" i="38"/>
  <c r="BA245" i="38"/>
  <c r="BA246" i="38"/>
  <c r="BA247" i="38"/>
  <c r="BA248" i="38"/>
  <c r="BA249" i="38"/>
  <c r="BA250" i="38"/>
  <c r="BA251" i="38"/>
  <c r="BA252" i="38"/>
  <c r="BA253" i="38"/>
  <c r="BA254" i="38"/>
  <c r="BA255" i="38"/>
  <c r="BA256" i="38"/>
  <c r="BA257" i="38"/>
  <c r="BA258" i="38"/>
  <c r="BA259" i="38"/>
  <c r="BA260" i="38"/>
  <c r="BA261" i="38"/>
  <c r="BA262" i="38"/>
  <c r="BA263" i="38"/>
  <c r="BA264" i="38"/>
  <c r="BA265" i="38"/>
  <c r="BA266" i="38"/>
  <c r="BA267" i="38"/>
  <c r="BA268" i="38"/>
  <c r="BA269" i="38"/>
  <c r="BA270" i="38"/>
  <c r="BA271" i="38"/>
  <c r="BA272" i="38"/>
  <c r="BA273" i="38"/>
  <c r="BA274" i="38"/>
  <c r="BA275" i="38"/>
  <c r="BA276" i="38"/>
  <c r="BA277" i="38"/>
  <c r="BA278" i="38"/>
  <c r="BA279" i="38"/>
  <c r="BA280" i="38"/>
  <c r="BA281" i="38"/>
  <c r="BA282" i="38"/>
  <c r="BA283" i="38"/>
  <c r="BA284" i="38"/>
  <c r="BA285" i="38"/>
  <c r="BA286" i="38"/>
  <c r="BA287" i="38"/>
  <c r="BA288" i="38"/>
  <c r="BA289" i="38"/>
  <c r="BA290" i="38"/>
  <c r="BA291" i="38"/>
  <c r="BA292" i="38"/>
  <c r="BA293" i="38"/>
  <c r="BA294" i="38"/>
  <c r="BA295" i="38"/>
  <c r="BA296" i="38"/>
  <c r="BA297" i="38"/>
  <c r="BA298" i="38"/>
  <c r="BA299" i="38"/>
  <c r="BA300" i="38"/>
  <c r="BA301" i="38"/>
  <c r="BA302" i="38"/>
  <c r="BA303" i="38"/>
  <c r="BA304" i="38"/>
  <c r="BA305" i="38"/>
  <c r="BA306" i="38"/>
  <c r="BA307" i="38"/>
  <c r="BA308" i="38"/>
  <c r="BA309" i="38"/>
  <c r="BA310" i="38"/>
  <c r="BA311" i="38"/>
  <c r="BA312" i="38"/>
  <c r="BA313" i="38"/>
  <c r="BA314" i="38"/>
  <c r="BA315" i="38"/>
  <c r="BA316" i="38"/>
  <c r="BA317" i="38"/>
  <c r="BA318" i="38"/>
  <c r="BA319" i="38"/>
  <c r="BA320" i="38"/>
  <c r="BA321" i="38"/>
  <c r="BA322" i="38"/>
  <c r="BA323" i="38"/>
  <c r="BA324" i="38"/>
  <c r="BA325" i="38"/>
  <c r="BA326" i="38"/>
  <c r="BA327" i="38"/>
  <c r="BA328" i="38"/>
  <c r="BA329" i="38"/>
  <c r="BA330" i="38"/>
  <c r="BA331" i="38"/>
  <c r="BA332" i="38"/>
  <c r="BA333" i="38"/>
  <c r="BA334" i="38"/>
  <c r="BA335" i="38"/>
  <c r="BA336" i="38"/>
  <c r="BA337" i="38"/>
  <c r="BA338" i="38"/>
  <c r="BA339" i="38"/>
  <c r="BA340" i="38"/>
  <c r="BA341" i="38"/>
  <c r="BA342" i="38"/>
  <c r="BA343" i="38"/>
  <c r="BA344" i="38"/>
  <c r="BA345" i="38"/>
  <c r="BA346" i="38"/>
  <c r="AG1" i="38"/>
  <c r="AH1" i="38"/>
  <c r="AI1" i="38"/>
  <c r="AG2" i="38"/>
  <c r="Q5" i="38"/>
  <c r="Q6" i="38"/>
  <c r="Q7" i="38"/>
  <c r="Q8" i="38"/>
  <c r="Q9" i="38"/>
  <c r="Q10" i="38"/>
  <c r="Q11" i="38"/>
  <c r="Q12" i="38"/>
  <c r="Q13" i="38"/>
  <c r="Q14" i="38"/>
  <c r="Q15" i="38"/>
  <c r="Q16" i="38"/>
  <c r="Q17" i="38"/>
  <c r="Q18" i="38"/>
  <c r="Q19" i="38"/>
  <c r="Q20" i="38"/>
  <c r="Q21" i="38"/>
  <c r="Q22" i="38"/>
  <c r="Q23" i="38"/>
  <c r="Q24" i="38"/>
  <c r="Q25" i="38"/>
  <c r="Q26" i="38"/>
  <c r="Q27" i="38"/>
  <c r="Q28" i="38"/>
  <c r="Q29" i="38"/>
  <c r="Q30" i="38"/>
  <c r="Q31" i="38"/>
  <c r="Q32" i="38"/>
  <c r="Q33" i="38"/>
  <c r="Q34" i="38"/>
  <c r="Q35" i="38"/>
  <c r="Q36" i="38"/>
  <c r="Q37" i="38"/>
  <c r="Q38" i="38"/>
  <c r="Q39" i="38"/>
  <c r="Q40" i="38"/>
  <c r="Q41" i="38"/>
  <c r="Q42" i="38"/>
  <c r="Q43" i="38"/>
  <c r="Q44" i="38"/>
  <c r="Q45" i="38"/>
  <c r="Q46" i="38"/>
  <c r="Q47" i="38"/>
  <c r="Q48" i="38"/>
  <c r="Q49" i="38"/>
  <c r="Q50" i="38"/>
  <c r="Q51" i="38"/>
  <c r="Q52" i="38"/>
  <c r="Q53" i="38"/>
  <c r="Q54" i="38"/>
  <c r="Q55" i="38"/>
  <c r="Q56" i="38"/>
  <c r="Q57" i="38"/>
  <c r="Q58" i="38"/>
  <c r="Q59" i="38"/>
  <c r="Q60" i="38"/>
  <c r="Q61" i="38"/>
  <c r="Q62" i="38"/>
  <c r="Q63" i="38"/>
  <c r="Q64" i="38"/>
  <c r="Q65" i="38"/>
  <c r="Q66" i="38"/>
  <c r="Q67" i="38"/>
  <c r="Q68" i="38"/>
  <c r="Q69" i="38"/>
  <c r="Q70" i="38"/>
  <c r="Q71" i="38"/>
  <c r="Q72" i="38"/>
  <c r="Q73" i="38"/>
  <c r="Q74" i="38"/>
  <c r="Q75" i="38"/>
  <c r="Q76" i="38"/>
  <c r="Q77" i="38"/>
  <c r="Q78" i="38"/>
  <c r="Q79" i="38"/>
  <c r="Q80" i="38"/>
  <c r="Q81" i="38"/>
  <c r="Q82" i="38"/>
  <c r="Q83" i="38"/>
  <c r="Q84" i="38"/>
  <c r="Q85" i="38"/>
  <c r="Q86" i="38"/>
  <c r="Q87" i="38"/>
  <c r="Q88" i="38"/>
  <c r="Q89" i="38"/>
  <c r="Q90" i="38"/>
  <c r="Q91" i="38"/>
  <c r="Q92" i="38"/>
  <c r="Q93" i="38"/>
  <c r="Q94" i="38"/>
  <c r="Q95" i="38"/>
  <c r="Q96" i="38"/>
  <c r="Q97" i="38"/>
  <c r="Q98" i="38"/>
  <c r="Q99" i="38"/>
  <c r="Q100" i="38"/>
  <c r="Q101" i="38"/>
  <c r="Q102" i="38"/>
  <c r="Q103" i="38"/>
  <c r="Q104" i="38"/>
  <c r="Q105" i="38"/>
  <c r="Q106" i="38"/>
  <c r="Q107" i="38"/>
  <c r="Q108" i="38"/>
  <c r="Q109" i="38"/>
  <c r="Q110" i="38"/>
  <c r="Q111" i="38"/>
  <c r="Q112" i="38"/>
  <c r="Q113" i="38"/>
  <c r="Q114" i="38"/>
  <c r="Q115" i="38"/>
  <c r="Q116" i="38"/>
  <c r="Q117" i="38"/>
  <c r="Q118" i="38"/>
  <c r="Q119" i="38"/>
  <c r="Q120" i="38"/>
  <c r="Q121" i="38"/>
  <c r="Q122" i="38"/>
  <c r="Q123" i="38"/>
  <c r="Q124" i="38"/>
  <c r="Q125" i="38"/>
  <c r="Q126" i="38"/>
  <c r="Q127" i="38"/>
  <c r="Q128" i="38"/>
  <c r="Q129" i="38"/>
  <c r="Q130" i="38"/>
  <c r="Q131" i="38"/>
  <c r="Q132" i="38"/>
  <c r="Q133" i="38"/>
  <c r="Q134" i="38"/>
  <c r="Q135" i="38"/>
  <c r="Q136" i="38"/>
  <c r="Q137" i="38"/>
  <c r="Q138" i="38"/>
  <c r="Q139" i="38"/>
  <c r="Q140" i="38"/>
  <c r="Q141" i="38"/>
  <c r="Q142" i="38"/>
  <c r="Q143" i="38"/>
  <c r="Q144" i="38"/>
  <c r="Q145" i="38"/>
  <c r="Q146" i="38"/>
  <c r="Q147" i="38"/>
  <c r="Q148" i="38"/>
  <c r="Q149" i="38"/>
  <c r="Q150" i="38"/>
  <c r="Q151" i="38"/>
  <c r="Q152" i="38"/>
  <c r="Q153" i="38"/>
  <c r="Q154" i="38"/>
  <c r="Q155" i="38"/>
  <c r="Q156" i="38"/>
  <c r="Q157" i="38"/>
  <c r="Q158" i="38"/>
  <c r="Q159" i="38"/>
  <c r="Q160" i="38"/>
  <c r="Q161" i="38"/>
  <c r="Q162" i="38"/>
  <c r="Q163" i="38"/>
  <c r="Q164" i="38"/>
  <c r="Q165" i="38"/>
  <c r="Q166" i="38"/>
  <c r="Q167" i="38"/>
  <c r="Q168" i="38"/>
  <c r="Q169" i="38"/>
  <c r="Q170" i="38"/>
  <c r="Q171" i="38"/>
  <c r="Q172" i="38"/>
  <c r="Q173" i="38"/>
  <c r="Q174" i="38"/>
  <c r="Q175" i="38"/>
  <c r="Q176" i="38"/>
  <c r="Q177" i="38"/>
  <c r="Q178" i="38"/>
  <c r="Q179" i="38"/>
  <c r="Q180" i="38"/>
  <c r="Q181" i="38"/>
  <c r="Q182" i="38"/>
  <c r="Q183" i="38"/>
  <c r="Q184" i="38"/>
  <c r="Q185" i="38"/>
  <c r="Q186" i="38"/>
  <c r="Q187" i="38"/>
  <c r="Q188" i="38"/>
  <c r="Q189" i="38"/>
  <c r="Q190" i="38"/>
  <c r="Q191" i="38"/>
  <c r="Q192" i="38"/>
  <c r="Q193" i="38"/>
  <c r="Q194" i="38"/>
  <c r="Q195" i="38"/>
  <c r="Q196" i="38"/>
  <c r="Q197" i="38"/>
  <c r="Q198" i="38"/>
  <c r="Q199" i="38"/>
  <c r="Q200" i="38"/>
  <c r="Q201" i="38"/>
  <c r="Q202" i="38"/>
  <c r="Q203" i="38"/>
  <c r="Q204" i="38"/>
  <c r="Q205" i="38"/>
  <c r="Q206" i="38"/>
  <c r="Q207" i="38"/>
  <c r="Q208" i="38"/>
  <c r="Q209" i="38"/>
  <c r="Q210" i="38"/>
  <c r="Q211" i="38"/>
  <c r="Q212" i="38"/>
  <c r="Q213" i="38"/>
  <c r="Q214" i="38"/>
  <c r="Q215" i="38"/>
  <c r="Q216" i="38"/>
  <c r="Q217" i="38"/>
  <c r="Q218" i="38"/>
  <c r="Q219" i="38"/>
  <c r="Q220" i="38"/>
  <c r="Q221" i="38"/>
  <c r="Q222" i="38"/>
  <c r="Q223" i="38"/>
  <c r="Q224" i="38"/>
  <c r="Q225" i="38"/>
  <c r="Q226" i="38"/>
  <c r="Q227" i="38"/>
  <c r="Q228" i="38"/>
  <c r="Q229" i="38"/>
  <c r="Q230" i="38"/>
  <c r="Q231" i="38"/>
  <c r="Q232" i="38"/>
  <c r="Q233" i="38"/>
  <c r="Q234" i="38"/>
  <c r="Q235" i="38"/>
  <c r="Q236" i="38"/>
  <c r="Q237" i="38"/>
  <c r="Q238" i="38"/>
  <c r="Q239" i="38"/>
  <c r="Q240" i="38"/>
  <c r="Q241" i="38"/>
  <c r="Q242" i="38"/>
  <c r="Q243" i="38"/>
  <c r="Q244" i="38"/>
  <c r="Q245" i="38"/>
  <c r="Q246" i="38"/>
  <c r="Q247" i="38"/>
  <c r="Q248" i="38"/>
  <c r="Q249" i="38"/>
  <c r="Q250" i="38"/>
  <c r="Q251" i="38"/>
  <c r="Q252" i="38"/>
  <c r="Q253" i="38"/>
  <c r="Q254" i="38"/>
  <c r="Q255" i="38"/>
  <c r="Q256" i="38"/>
  <c r="Q257" i="38"/>
  <c r="Q258" i="38"/>
  <c r="Q259" i="38"/>
  <c r="Q260" i="38"/>
  <c r="Q261" i="38"/>
  <c r="Q262" i="38"/>
  <c r="Q263" i="38"/>
  <c r="Q264" i="38"/>
  <c r="Q265" i="38"/>
  <c r="Q266" i="38"/>
  <c r="Q267" i="38"/>
  <c r="Q268" i="38"/>
  <c r="Q269" i="38"/>
  <c r="Q270" i="38"/>
  <c r="Q271" i="38"/>
  <c r="Q272" i="38"/>
  <c r="Q273" i="38"/>
  <c r="Q274" i="38"/>
  <c r="Q275" i="38"/>
  <c r="Q276" i="38"/>
  <c r="Q277" i="38"/>
  <c r="Q278" i="38"/>
  <c r="Q279" i="38"/>
  <c r="Q280" i="38"/>
  <c r="Q281" i="38"/>
  <c r="Q282" i="38"/>
  <c r="Q283" i="38"/>
  <c r="Q284" i="38"/>
  <c r="Q285" i="38"/>
  <c r="Q286" i="38"/>
  <c r="Q287" i="38"/>
  <c r="Q288" i="38"/>
  <c r="Q289" i="38"/>
  <c r="Q290" i="38"/>
  <c r="Q291" i="38"/>
  <c r="Q292" i="38"/>
  <c r="Q293" i="38"/>
  <c r="Q294" i="38"/>
  <c r="Q295" i="38"/>
  <c r="Q296" i="38"/>
  <c r="Q297" i="38"/>
  <c r="Q298" i="38"/>
  <c r="Q299" i="38"/>
  <c r="Q300" i="38"/>
  <c r="Q301" i="38"/>
  <c r="Q302" i="38"/>
  <c r="Q303" i="38"/>
  <c r="Q304" i="38"/>
  <c r="Q305" i="38"/>
  <c r="Q306" i="38"/>
  <c r="Q307" i="38"/>
  <c r="Q308" i="38"/>
  <c r="Q309" i="38"/>
  <c r="Q310" i="38"/>
  <c r="Q311" i="38"/>
  <c r="Q312" i="38"/>
  <c r="Q313" i="38"/>
  <c r="Q314" i="38"/>
  <c r="Q315" i="38"/>
  <c r="Q316" i="38"/>
  <c r="Q317" i="38"/>
  <c r="Q318" i="38"/>
  <c r="Q319" i="38"/>
  <c r="Q320" i="38"/>
  <c r="Q321" i="38"/>
  <c r="Q322" i="38"/>
  <c r="Q323" i="38"/>
  <c r="Q324" i="38"/>
  <c r="Q325" i="38"/>
  <c r="Q326" i="38"/>
  <c r="Q327" i="38"/>
  <c r="Q328" i="38"/>
  <c r="Q329" i="38"/>
  <c r="Q330" i="38"/>
  <c r="Q331" i="38"/>
  <c r="Q332" i="38"/>
  <c r="Q333" i="38"/>
  <c r="Q334" i="38"/>
  <c r="Q335" i="38"/>
  <c r="Q336" i="38"/>
  <c r="Q337" i="38"/>
  <c r="Q338" i="38"/>
  <c r="Q339" i="38"/>
  <c r="Q340" i="38"/>
  <c r="Q341" i="38"/>
  <c r="Q342" i="38"/>
  <c r="Q343" i="38"/>
  <c r="Q344" i="38"/>
  <c r="Q345" i="38"/>
  <c r="Q346" i="38"/>
  <c r="O2" i="38"/>
  <c r="P1" i="38"/>
  <c r="Q1" i="38"/>
  <c r="O1" i="38"/>
  <c r="U25" i="21" l="1"/>
  <c r="C5" i="21" l="1"/>
  <c r="K1" i="56" l="1"/>
  <c r="L1" i="56"/>
  <c r="M1" i="56"/>
  <c r="N1" i="56"/>
  <c r="K1" i="55"/>
  <c r="L1" i="55"/>
  <c r="M1" i="55"/>
  <c r="N1" i="55"/>
  <c r="K1" i="54"/>
  <c r="L1" i="54"/>
  <c r="M1" i="54"/>
  <c r="N1" i="54"/>
  <c r="K1" i="52"/>
  <c r="L1" i="52"/>
  <c r="M1" i="52"/>
  <c r="N1" i="52"/>
  <c r="K1" i="51"/>
  <c r="L1" i="51"/>
  <c r="M1" i="51"/>
  <c r="N1" i="51"/>
  <c r="K1" i="50"/>
  <c r="L1" i="50"/>
  <c r="M1" i="50"/>
  <c r="N1" i="50"/>
  <c r="K1" i="43"/>
  <c r="L1" i="43"/>
  <c r="M1" i="43"/>
  <c r="N1" i="43"/>
  <c r="O1" i="43"/>
  <c r="K1" i="45"/>
  <c r="L1" i="45"/>
  <c r="M1" i="45"/>
  <c r="N1" i="45"/>
  <c r="K1" i="44"/>
  <c r="L1" i="44"/>
  <c r="M1" i="44"/>
  <c r="N1" i="44"/>
  <c r="K1" i="49"/>
  <c r="L1" i="49"/>
  <c r="M1" i="49"/>
  <c r="N1" i="49"/>
  <c r="K1" i="48"/>
  <c r="L1" i="48"/>
  <c r="M1" i="48"/>
  <c r="N1" i="48"/>
  <c r="K1" i="46"/>
  <c r="L1" i="46"/>
  <c r="M1" i="46"/>
  <c r="A2" i="43"/>
  <c r="N132" i="45"/>
  <c r="N133" i="45"/>
  <c r="R134" i="45"/>
  <c r="S134" i="45" s="1"/>
  <c r="N135" i="45"/>
  <c r="R136" i="45"/>
  <c r="S136" i="45" s="1"/>
  <c r="R137" i="45"/>
  <c r="S137" i="45" s="1"/>
  <c r="R138" i="45"/>
  <c r="S138" i="45" s="1"/>
  <c r="R139" i="45"/>
  <c r="S139" i="45" s="1"/>
  <c r="R140" i="45"/>
  <c r="S140" i="45" s="1"/>
  <c r="N141" i="45"/>
  <c r="N142" i="45"/>
  <c r="N143" i="45"/>
  <c r="N144" i="45"/>
  <c r="R145" i="45"/>
  <c r="S145" i="45" s="1"/>
  <c r="R146" i="45"/>
  <c r="S146" i="45" s="1"/>
  <c r="N147" i="45"/>
  <c r="R148" i="45"/>
  <c r="S148" i="45" s="1"/>
  <c r="N149" i="45"/>
  <c r="R150" i="45"/>
  <c r="S150" i="45" s="1"/>
  <c r="N151" i="45"/>
  <c r="A2" i="45"/>
  <c r="R132" i="49"/>
  <c r="S132" i="49" s="1"/>
  <c r="N133" i="49"/>
  <c r="N134" i="49"/>
  <c r="N135" i="49"/>
  <c r="N136" i="49"/>
  <c r="N137" i="49"/>
  <c r="R138" i="49"/>
  <c r="S138" i="49" s="1"/>
  <c r="N139" i="49"/>
  <c r="R140" i="49"/>
  <c r="S140" i="49" s="1"/>
  <c r="R141" i="49"/>
  <c r="S141" i="49" s="1"/>
  <c r="N142" i="49"/>
  <c r="N143" i="49"/>
  <c r="R144" i="49"/>
  <c r="S144" i="49" s="1"/>
  <c r="R145" i="49"/>
  <c r="S145" i="49" s="1"/>
  <c r="R146" i="49"/>
  <c r="S146" i="49" s="1"/>
  <c r="N147" i="49"/>
  <c r="R148" i="49"/>
  <c r="S148" i="49" s="1"/>
  <c r="N149" i="49"/>
  <c r="N150" i="49"/>
  <c r="N151" i="49"/>
  <c r="A2" i="49"/>
  <c r="N132" i="44"/>
  <c r="N133" i="44"/>
  <c r="N134" i="44"/>
  <c r="N135" i="44"/>
  <c r="N136" i="44"/>
  <c r="R137" i="44"/>
  <c r="S137" i="44" s="1"/>
  <c r="R138" i="44"/>
  <c r="S138" i="44" s="1"/>
  <c r="R139" i="44"/>
  <c r="S139" i="44" s="1"/>
  <c r="N140" i="44"/>
  <c r="R141" i="44"/>
  <c r="S141" i="44" s="1"/>
  <c r="N142" i="44"/>
  <c r="R143" i="44"/>
  <c r="S143" i="44" s="1"/>
  <c r="N144" i="44"/>
  <c r="N145" i="44"/>
  <c r="R146" i="44"/>
  <c r="S146" i="44" s="1"/>
  <c r="R147" i="44"/>
  <c r="S147" i="44" s="1"/>
  <c r="R148" i="44"/>
  <c r="S148" i="44" s="1"/>
  <c r="N149" i="44"/>
  <c r="N150" i="44"/>
  <c r="N151" i="44"/>
  <c r="A2" i="44"/>
  <c r="A2" i="48"/>
  <c r="A2" i="46"/>
  <c r="A2" i="47"/>
  <c r="N132" i="48"/>
  <c r="N133" i="48"/>
  <c r="N134" i="48"/>
  <c r="N135" i="48"/>
  <c r="N136" i="48"/>
  <c r="N137" i="48"/>
  <c r="R138" i="48"/>
  <c r="S138" i="48" s="1"/>
  <c r="R139" i="48"/>
  <c r="S139" i="48" s="1"/>
  <c r="R140" i="48"/>
  <c r="S140" i="48" s="1"/>
  <c r="N141" i="48"/>
  <c r="N142" i="48"/>
  <c r="N143" i="48"/>
  <c r="N144" i="48"/>
  <c r="N145" i="48"/>
  <c r="R146" i="48"/>
  <c r="S146" i="48" s="1"/>
  <c r="R147" i="48"/>
  <c r="S147" i="48" s="1"/>
  <c r="N148" i="48"/>
  <c r="R149" i="48"/>
  <c r="S149" i="48" s="1"/>
  <c r="N150" i="48"/>
  <c r="N151" i="48"/>
  <c r="N132" i="46"/>
  <c r="N133" i="46"/>
  <c r="N134" i="46"/>
  <c r="N135" i="46"/>
  <c r="N136" i="46"/>
  <c r="N137" i="46"/>
  <c r="R138" i="46"/>
  <c r="S138" i="46" s="1"/>
  <c r="N139" i="46"/>
  <c r="N140" i="46"/>
  <c r="R141" i="46"/>
  <c r="S141" i="46" s="1"/>
  <c r="N142" i="46"/>
  <c r="N143" i="46"/>
  <c r="R144" i="46"/>
  <c r="S144" i="46" s="1"/>
  <c r="N145" i="46"/>
  <c r="R146" i="46"/>
  <c r="S146" i="46" s="1"/>
  <c r="R147" i="46"/>
  <c r="S147" i="46" s="1"/>
  <c r="N148" i="46"/>
  <c r="N149" i="46"/>
  <c r="N150" i="46"/>
  <c r="N151" i="46"/>
  <c r="N132" i="47"/>
  <c r="N133" i="47"/>
  <c r="S134" i="47"/>
  <c r="T134" i="47" s="1"/>
  <c r="N135" i="47"/>
  <c r="N136" i="47"/>
  <c r="N137" i="47"/>
  <c r="N138" i="47"/>
  <c r="N139" i="47"/>
  <c r="N140" i="47"/>
  <c r="N141" i="47"/>
  <c r="N142" i="47"/>
  <c r="N143" i="47"/>
  <c r="S144" i="47"/>
  <c r="T144" i="47" s="1"/>
  <c r="N145" i="47"/>
  <c r="N146" i="47"/>
  <c r="N147" i="47"/>
  <c r="S148" i="47"/>
  <c r="T148" i="47" s="1"/>
  <c r="N149" i="47"/>
  <c r="S150" i="47"/>
  <c r="T150" i="47" s="1"/>
  <c r="N151" i="47"/>
  <c r="U12" i="21"/>
  <c r="S133" i="47" l="1"/>
  <c r="T133" i="47" s="1"/>
  <c r="S135" i="47"/>
  <c r="T135" i="47" s="1"/>
  <c r="N144" i="47"/>
  <c r="R148" i="46"/>
  <c r="S148" i="46" s="1"/>
  <c r="R145" i="48"/>
  <c r="S145" i="48" s="1"/>
  <c r="N148" i="44"/>
  <c r="N146" i="44"/>
  <c r="N141" i="44"/>
  <c r="R135" i="44"/>
  <c r="S135" i="44" s="1"/>
  <c r="N148" i="49"/>
  <c r="N140" i="49"/>
  <c r="S138" i="47"/>
  <c r="T138" i="47" s="1"/>
  <c r="N140" i="48"/>
  <c r="N132" i="49"/>
  <c r="R133" i="48"/>
  <c r="S133" i="48" s="1"/>
  <c r="R143" i="45"/>
  <c r="S143" i="45" s="1"/>
  <c r="N148" i="45"/>
  <c r="N140" i="45"/>
  <c r="N139" i="45"/>
  <c r="N146" i="45"/>
  <c r="N138" i="45"/>
  <c r="N145" i="45"/>
  <c r="N137" i="45"/>
  <c r="N136" i="45"/>
  <c r="N150" i="45"/>
  <c r="N134" i="45"/>
  <c r="N146" i="49"/>
  <c r="N138" i="49"/>
  <c r="N145" i="49"/>
  <c r="N144" i="49"/>
  <c r="N141" i="49"/>
  <c r="N147" i="44"/>
  <c r="N139" i="44"/>
  <c r="R145" i="44"/>
  <c r="S145" i="44" s="1"/>
  <c r="N138" i="44"/>
  <c r="N137" i="44"/>
  <c r="R151" i="44"/>
  <c r="S151" i="44" s="1"/>
  <c r="R149" i="44"/>
  <c r="S149" i="44" s="1"/>
  <c r="N143" i="44"/>
  <c r="R144" i="48"/>
  <c r="S144" i="48" s="1"/>
  <c r="N147" i="48"/>
  <c r="N139" i="48"/>
  <c r="N146" i="48"/>
  <c r="N138" i="48"/>
  <c r="R141" i="48"/>
  <c r="S141" i="48" s="1"/>
  <c r="N149" i="48"/>
  <c r="R150" i="46"/>
  <c r="S150" i="46" s="1"/>
  <c r="R145" i="46"/>
  <c r="S145" i="46" s="1"/>
  <c r="R140" i="46"/>
  <c r="S140" i="46" s="1"/>
  <c r="N147" i="46"/>
  <c r="N146" i="46"/>
  <c r="N138" i="46"/>
  <c r="R134" i="46"/>
  <c r="S134" i="46" s="1"/>
  <c r="N144" i="46"/>
  <c r="N141" i="46"/>
  <c r="S132" i="47"/>
  <c r="T132" i="47" s="1"/>
  <c r="R142" i="45"/>
  <c r="S142" i="45" s="1"/>
  <c r="N148" i="47"/>
  <c r="S151" i="47"/>
  <c r="T151" i="47" s="1"/>
  <c r="S141" i="47"/>
  <c r="T141" i="47" s="1"/>
  <c r="R132" i="45"/>
  <c r="S132" i="45" s="1"/>
  <c r="R151" i="45"/>
  <c r="S151" i="45" s="1"/>
  <c r="R135" i="45"/>
  <c r="S135" i="45" s="1"/>
  <c r="S146" i="47"/>
  <c r="T146" i="47" s="1"/>
  <c r="S149" i="47"/>
  <c r="T149" i="47" s="1"/>
  <c r="R141" i="45"/>
  <c r="S141" i="45" s="1"/>
  <c r="R144" i="45"/>
  <c r="S144" i="45" s="1"/>
  <c r="R147" i="45"/>
  <c r="S147" i="45" s="1"/>
  <c r="S136" i="47"/>
  <c r="T136" i="47" s="1"/>
  <c r="R149" i="45"/>
  <c r="S149" i="45" s="1"/>
  <c r="R133" i="45"/>
  <c r="S133" i="45" s="1"/>
  <c r="N150" i="47"/>
  <c r="N134" i="47"/>
  <c r="R147" i="49"/>
  <c r="S147" i="49" s="1"/>
  <c r="R150" i="49"/>
  <c r="S150" i="49" s="1"/>
  <c r="R134" i="49"/>
  <c r="S134" i="49" s="1"/>
  <c r="R137" i="49"/>
  <c r="S137" i="49" s="1"/>
  <c r="R143" i="49"/>
  <c r="S143" i="49" s="1"/>
  <c r="R149" i="49"/>
  <c r="S149" i="49" s="1"/>
  <c r="R133" i="49"/>
  <c r="S133" i="49" s="1"/>
  <c r="R136" i="49"/>
  <c r="S136" i="49" s="1"/>
  <c r="R139" i="49"/>
  <c r="S139" i="49" s="1"/>
  <c r="R142" i="49"/>
  <c r="S142" i="49" s="1"/>
  <c r="R151" i="49"/>
  <c r="S151" i="49" s="1"/>
  <c r="R135" i="49"/>
  <c r="S135" i="49" s="1"/>
  <c r="R144" i="44"/>
  <c r="S144" i="44" s="1"/>
  <c r="R150" i="44"/>
  <c r="S150" i="44" s="1"/>
  <c r="R134" i="44"/>
  <c r="S134" i="44" s="1"/>
  <c r="R140" i="44"/>
  <c r="S140" i="44" s="1"/>
  <c r="R133" i="44"/>
  <c r="S133" i="44" s="1"/>
  <c r="R136" i="44"/>
  <c r="S136" i="44" s="1"/>
  <c r="R142" i="44"/>
  <c r="S142" i="44" s="1"/>
  <c r="R132" i="44"/>
  <c r="S132" i="44" s="1"/>
  <c r="R150" i="48"/>
  <c r="S150" i="48" s="1"/>
  <c r="R134" i="48"/>
  <c r="S134" i="48" s="1"/>
  <c r="R137" i="48"/>
  <c r="S137" i="48" s="1"/>
  <c r="R143" i="48"/>
  <c r="S143" i="48" s="1"/>
  <c r="R136" i="48"/>
  <c r="S136" i="48" s="1"/>
  <c r="R142" i="48"/>
  <c r="S142" i="48" s="1"/>
  <c r="R148" i="48"/>
  <c r="S148" i="48" s="1"/>
  <c r="R132" i="48"/>
  <c r="S132" i="48" s="1"/>
  <c r="R151" i="48"/>
  <c r="S151" i="48" s="1"/>
  <c r="R135" i="48"/>
  <c r="S135" i="48" s="1"/>
  <c r="R137" i="46"/>
  <c r="S137" i="46" s="1"/>
  <c r="R143" i="46"/>
  <c r="S143" i="46" s="1"/>
  <c r="R149" i="46"/>
  <c r="S149" i="46" s="1"/>
  <c r="R133" i="46"/>
  <c r="S133" i="46" s="1"/>
  <c r="R136" i="46"/>
  <c r="S136" i="46" s="1"/>
  <c r="R139" i="46"/>
  <c r="S139" i="46" s="1"/>
  <c r="R142" i="46"/>
  <c r="S142" i="46" s="1"/>
  <c r="R132" i="46"/>
  <c r="S132" i="46" s="1"/>
  <c r="R151" i="46"/>
  <c r="S151" i="46" s="1"/>
  <c r="R135" i="46"/>
  <c r="S135" i="46" s="1"/>
  <c r="S147" i="47"/>
  <c r="T147" i="47" s="1"/>
  <c r="S137" i="47"/>
  <c r="T137" i="47" s="1"/>
  <c r="S140" i="47"/>
  <c r="T140" i="47" s="1"/>
  <c r="S143" i="47"/>
  <c r="T143" i="47" s="1"/>
  <c r="S139" i="47"/>
  <c r="T139" i="47" s="1"/>
  <c r="S142" i="47"/>
  <c r="T142" i="47" s="1"/>
  <c r="S145" i="47"/>
  <c r="T145" i="47" s="1"/>
  <c r="U14" i="21" l="1"/>
  <c r="U16" i="21"/>
  <c r="U17" i="21"/>
  <c r="U18" i="21"/>
  <c r="U19" i="21"/>
  <c r="U20" i="21"/>
  <c r="U21" i="21"/>
  <c r="U22" i="21"/>
  <c r="U23" i="21"/>
  <c r="U24" i="21"/>
  <c r="BQ155" i="38"/>
  <c r="D10" i="21"/>
  <c r="C1" i="28"/>
  <c r="D40" i="28"/>
  <c r="D40" i="27"/>
  <c r="D40" i="21"/>
  <c r="J60" i="10"/>
  <c r="F60" i="10"/>
  <c r="G60" i="10"/>
  <c r="H60" i="10"/>
  <c r="I60" i="10"/>
  <c r="K60" i="10"/>
  <c r="L60" i="10"/>
  <c r="C1" i="21" l="1"/>
  <c r="C1" i="27"/>
  <c r="BD1" i="38"/>
  <c r="BE1" i="38"/>
  <c r="BF1" i="38"/>
  <c r="BG1" i="38"/>
  <c r="BH1" i="38"/>
  <c r="BI1" i="38"/>
  <c r="BJ1" i="38"/>
  <c r="BK1" i="38"/>
  <c r="BL1" i="38"/>
  <c r="BM1" i="38"/>
  <c r="BN1" i="38"/>
  <c r="BO1" i="38"/>
  <c r="BC1" i="38"/>
  <c r="BQ346" i="38"/>
  <c r="BQ345" i="38"/>
  <c r="BQ344" i="38"/>
  <c r="BQ343" i="38"/>
  <c r="BQ342" i="38"/>
  <c r="BQ341" i="38"/>
  <c r="BQ340" i="38"/>
  <c r="BQ339" i="38"/>
  <c r="BQ338" i="38"/>
  <c r="BQ337" i="38"/>
  <c r="BQ336" i="38"/>
  <c r="BQ335" i="38"/>
  <c r="BQ334" i="38"/>
  <c r="BQ333" i="38"/>
  <c r="BQ332" i="38"/>
  <c r="BQ331" i="38"/>
  <c r="BQ330" i="38"/>
  <c r="BQ329" i="38"/>
  <c r="BQ328" i="38"/>
  <c r="BQ327" i="38"/>
  <c r="BQ326" i="38"/>
  <c r="BQ325" i="38"/>
  <c r="BQ324" i="38"/>
  <c r="BQ323" i="38"/>
  <c r="BQ322" i="38"/>
  <c r="BQ321" i="38"/>
  <c r="BQ320" i="38"/>
  <c r="BQ319" i="38"/>
  <c r="BQ318" i="38"/>
  <c r="BQ317" i="38"/>
  <c r="BQ316" i="38"/>
  <c r="BQ315" i="38"/>
  <c r="BQ314" i="38"/>
  <c r="BQ313" i="38"/>
  <c r="BQ312" i="38"/>
  <c r="BQ311" i="38"/>
  <c r="BQ310" i="38"/>
  <c r="BQ309" i="38"/>
  <c r="BQ308" i="38"/>
  <c r="BQ307" i="38"/>
  <c r="BQ306" i="38"/>
  <c r="BQ305" i="38"/>
  <c r="BQ304" i="38"/>
  <c r="BQ303" i="38"/>
  <c r="BQ302" i="38"/>
  <c r="BQ301" i="38"/>
  <c r="BQ300" i="38"/>
  <c r="BQ299" i="38"/>
  <c r="BQ298" i="38"/>
  <c r="BQ297" i="38"/>
  <c r="BQ296" i="38"/>
  <c r="BQ295" i="38"/>
  <c r="BQ294" i="38"/>
  <c r="BQ293" i="38"/>
  <c r="BQ292" i="38"/>
  <c r="BQ291" i="38"/>
  <c r="BQ290" i="38"/>
  <c r="BQ289" i="38"/>
  <c r="BQ288" i="38"/>
  <c r="BQ287" i="38"/>
  <c r="BQ286" i="38"/>
  <c r="BQ285" i="38"/>
  <c r="BQ284" i="38"/>
  <c r="BQ283" i="38"/>
  <c r="BQ282" i="38"/>
  <c r="BQ281" i="38"/>
  <c r="BQ280" i="38"/>
  <c r="BQ279" i="38"/>
  <c r="BQ278" i="38"/>
  <c r="BQ277" i="38"/>
  <c r="BQ276" i="38"/>
  <c r="BQ275" i="38"/>
  <c r="BQ274" i="38"/>
  <c r="BQ273" i="38"/>
  <c r="BQ272" i="38"/>
  <c r="BQ271" i="38"/>
  <c r="BQ270" i="38"/>
  <c r="BQ269" i="38"/>
  <c r="BQ268" i="38"/>
  <c r="BQ267" i="38"/>
  <c r="BQ266" i="38"/>
  <c r="BQ265" i="38"/>
  <c r="BQ264" i="38"/>
  <c r="BQ263" i="38"/>
  <c r="BQ262" i="38"/>
  <c r="BQ261" i="38"/>
  <c r="BQ260" i="38"/>
  <c r="BQ259" i="38"/>
  <c r="BQ258" i="38"/>
  <c r="BQ257" i="38"/>
  <c r="BQ256" i="38"/>
  <c r="BQ255" i="38"/>
  <c r="BQ254" i="38"/>
  <c r="BQ253" i="38"/>
  <c r="BQ252" i="38"/>
  <c r="BQ251" i="38"/>
  <c r="BQ250" i="38"/>
  <c r="BQ249" i="38"/>
  <c r="BQ248" i="38"/>
  <c r="BQ247" i="38"/>
  <c r="BQ246" i="38"/>
  <c r="BQ245" i="38"/>
  <c r="BQ244" i="38"/>
  <c r="BQ243" i="38"/>
  <c r="BQ242" i="38"/>
  <c r="BQ241" i="38"/>
  <c r="BQ240" i="38"/>
  <c r="BQ239" i="38"/>
  <c r="BQ238" i="38"/>
  <c r="BQ237" i="38"/>
  <c r="BQ236" i="38"/>
  <c r="BQ235" i="38"/>
  <c r="BQ234" i="38"/>
  <c r="BQ233" i="38"/>
  <c r="BQ232" i="38"/>
  <c r="BQ231" i="38"/>
  <c r="BQ230" i="38"/>
  <c r="BQ229" i="38"/>
  <c r="BQ228" i="38"/>
  <c r="BQ227" i="38"/>
  <c r="BQ226" i="38"/>
  <c r="BQ225" i="38"/>
  <c r="BQ224" i="38"/>
  <c r="BQ223" i="38"/>
  <c r="BQ222" i="38"/>
  <c r="BQ221" i="38"/>
  <c r="BQ220" i="38"/>
  <c r="BQ219" i="38"/>
  <c r="BQ218" i="38"/>
  <c r="BQ217" i="38"/>
  <c r="BQ216" i="38"/>
  <c r="BQ215" i="38"/>
  <c r="BQ214" i="38"/>
  <c r="BQ213" i="38"/>
  <c r="BQ212" i="38"/>
  <c r="BQ211" i="38"/>
  <c r="BQ210" i="38"/>
  <c r="BQ209" i="38"/>
  <c r="BQ208" i="38"/>
  <c r="BQ207" i="38"/>
  <c r="BQ206" i="38"/>
  <c r="BQ205" i="38"/>
  <c r="BQ204" i="38"/>
  <c r="BQ203" i="38"/>
  <c r="BQ202" i="38"/>
  <c r="BQ201" i="38"/>
  <c r="BQ200" i="38"/>
  <c r="BQ199" i="38"/>
  <c r="BQ198" i="38"/>
  <c r="BQ197" i="38"/>
  <c r="BQ196" i="38"/>
  <c r="BQ195" i="38"/>
  <c r="BQ194" i="38"/>
  <c r="BQ193" i="38"/>
  <c r="BQ192" i="38"/>
  <c r="BQ191" i="38"/>
  <c r="BQ190" i="38"/>
  <c r="BQ189" i="38"/>
  <c r="BQ188" i="38"/>
  <c r="BQ187" i="38"/>
  <c r="BQ186" i="38"/>
  <c r="BQ185" i="38"/>
  <c r="BQ184" i="38"/>
  <c r="BQ183" i="38"/>
  <c r="BQ182" i="38"/>
  <c r="BQ181" i="38"/>
  <c r="BQ180" i="38"/>
  <c r="BQ179" i="38"/>
  <c r="BQ178" i="38"/>
  <c r="BQ177" i="38"/>
  <c r="BQ176" i="38"/>
  <c r="BQ175" i="38"/>
  <c r="BQ174" i="38"/>
  <c r="BQ173" i="38"/>
  <c r="BQ172" i="38"/>
  <c r="BQ171" i="38"/>
  <c r="BQ170" i="38"/>
  <c r="BQ169" i="38"/>
  <c r="BQ168" i="38"/>
  <c r="BQ167" i="38"/>
  <c r="BQ166" i="38"/>
  <c r="BQ165" i="38"/>
  <c r="BQ164" i="38"/>
  <c r="BQ163" i="38"/>
  <c r="BQ162" i="38"/>
  <c r="BQ161" i="38"/>
  <c r="BQ160" i="38"/>
  <c r="BQ159" i="38"/>
  <c r="BQ158" i="38"/>
  <c r="BQ157" i="38"/>
  <c r="BQ156" i="38"/>
  <c r="BQ154" i="38"/>
  <c r="BQ153" i="38"/>
  <c r="BQ152" i="38"/>
  <c r="BQ151" i="38"/>
  <c r="BQ150" i="38"/>
  <c r="BQ149" i="38"/>
  <c r="BQ148" i="38"/>
  <c r="BQ147" i="38"/>
  <c r="BQ146" i="38"/>
  <c r="BQ145" i="38"/>
  <c r="BQ144" i="38"/>
  <c r="BQ143" i="38"/>
  <c r="BQ142" i="38"/>
  <c r="BQ141" i="38"/>
  <c r="BQ140" i="38"/>
  <c r="BQ139" i="38"/>
  <c r="BQ138" i="38"/>
  <c r="BQ137" i="38"/>
  <c r="BQ136" i="38"/>
  <c r="BQ135" i="38"/>
  <c r="BQ134" i="38"/>
  <c r="BQ133" i="38"/>
  <c r="BQ132" i="38"/>
  <c r="BQ131" i="38"/>
  <c r="BQ130" i="38"/>
  <c r="BQ129" i="38"/>
  <c r="BQ128" i="38"/>
  <c r="BQ127" i="38"/>
  <c r="BQ126" i="38"/>
  <c r="BQ125" i="38"/>
  <c r="BQ124" i="38"/>
  <c r="BQ123" i="38"/>
  <c r="BQ122" i="38"/>
  <c r="BQ121" i="38"/>
  <c r="BQ120" i="38"/>
  <c r="BQ119" i="38"/>
  <c r="BQ118" i="38"/>
  <c r="BQ117" i="38"/>
  <c r="BQ116" i="38"/>
  <c r="BQ115" i="38"/>
  <c r="BQ114" i="38"/>
  <c r="BQ113" i="38"/>
  <c r="BQ112" i="38"/>
  <c r="BQ111" i="38"/>
  <c r="BQ110" i="38"/>
  <c r="BQ109" i="38"/>
  <c r="BQ108" i="38"/>
  <c r="BQ107" i="38"/>
  <c r="BQ106" i="38"/>
  <c r="BQ105" i="38"/>
  <c r="BQ104" i="38"/>
  <c r="BQ103" i="38"/>
  <c r="BQ102" i="38"/>
  <c r="BQ101" i="38"/>
  <c r="BQ100" i="38"/>
  <c r="BQ99" i="38"/>
  <c r="BQ98" i="38"/>
  <c r="BQ97" i="38"/>
  <c r="BQ96" i="38"/>
  <c r="BQ95" i="38"/>
  <c r="BQ94" i="38"/>
  <c r="BQ93" i="38"/>
  <c r="BQ92" i="38"/>
  <c r="BQ91" i="38"/>
  <c r="BQ90" i="38"/>
  <c r="BQ89" i="38"/>
  <c r="BQ88" i="38"/>
  <c r="BQ87" i="38"/>
  <c r="BQ86" i="38"/>
  <c r="BQ85" i="38"/>
  <c r="BQ84" i="38"/>
  <c r="BQ83" i="38"/>
  <c r="BQ82" i="38"/>
  <c r="BQ81" i="38"/>
  <c r="BQ80" i="38"/>
  <c r="BQ79" i="38"/>
  <c r="BQ78" i="38"/>
  <c r="BQ77" i="38"/>
  <c r="BQ76" i="38"/>
  <c r="BQ75" i="38"/>
  <c r="BQ74" i="38"/>
  <c r="BQ73" i="38"/>
  <c r="BQ72" i="38"/>
  <c r="BQ71" i="38"/>
  <c r="BQ70" i="38"/>
  <c r="BQ69" i="38"/>
  <c r="BQ68" i="38"/>
  <c r="BQ67" i="38"/>
  <c r="BQ66" i="38"/>
  <c r="BQ65" i="38"/>
  <c r="BQ64" i="38"/>
  <c r="BQ63" i="38"/>
  <c r="BQ62" i="38"/>
  <c r="BQ61" i="38"/>
  <c r="BQ60" i="38"/>
  <c r="BQ59" i="38"/>
  <c r="BQ58" i="38"/>
  <c r="BQ57" i="38"/>
  <c r="BQ56" i="38"/>
  <c r="BQ55" i="38"/>
  <c r="BQ54" i="38"/>
  <c r="BQ53" i="38"/>
  <c r="BQ52" i="38"/>
  <c r="BQ51" i="38"/>
  <c r="BQ50" i="38"/>
  <c r="BQ49" i="38"/>
  <c r="BQ48" i="38"/>
  <c r="BQ47" i="38"/>
  <c r="BQ46" i="38"/>
  <c r="BQ45" i="38"/>
  <c r="BQ44" i="38"/>
  <c r="BQ43" i="38"/>
  <c r="BQ42" i="38"/>
  <c r="BQ41" i="38"/>
  <c r="BQ40" i="38"/>
  <c r="BQ39" i="38"/>
  <c r="BQ38" i="38"/>
  <c r="BQ37" i="38"/>
  <c r="BQ36" i="38"/>
  <c r="BQ35" i="38"/>
  <c r="BQ34" i="38"/>
  <c r="BQ33" i="38"/>
  <c r="BQ32" i="38"/>
  <c r="BQ31" i="38"/>
  <c r="BQ30" i="38"/>
  <c r="BQ29" i="38"/>
  <c r="BQ28" i="38"/>
  <c r="BQ27" i="38"/>
  <c r="BQ26" i="38"/>
  <c r="BQ25" i="38"/>
  <c r="BQ24" i="38"/>
  <c r="BQ23" i="38"/>
  <c r="BQ22" i="38"/>
  <c r="BQ21" i="38"/>
  <c r="BQ20" i="38"/>
  <c r="BQ19" i="38"/>
  <c r="BQ18" i="38"/>
  <c r="BQ17" i="38"/>
  <c r="BQ16" i="38"/>
  <c r="BQ15" i="38"/>
  <c r="BQ14" i="38"/>
  <c r="BQ13" i="38"/>
  <c r="BQ12" i="38"/>
  <c r="BQ11" i="38"/>
  <c r="BQ10" i="38"/>
  <c r="BQ9" i="38"/>
  <c r="BQ8" i="38"/>
  <c r="BQ7" i="38"/>
  <c r="BQ6" i="38"/>
  <c r="BQ5" i="38"/>
  <c r="BO2" i="38"/>
  <c r="BN2" i="38"/>
  <c r="BM2" i="38"/>
  <c r="BL2" i="38"/>
  <c r="BK2" i="38"/>
  <c r="BJ2" i="38"/>
  <c r="BI2" i="38"/>
  <c r="BH2" i="38"/>
  <c r="BG2" i="38"/>
  <c r="BF2" i="38"/>
  <c r="BE2" i="38"/>
  <c r="BD2" i="38"/>
  <c r="BC2" i="38"/>
  <c r="B1" i="22"/>
  <c r="A1" i="22"/>
  <c r="C101" i="41" l="1"/>
  <c r="C1" i="41"/>
  <c r="AH209" i="37"/>
  <c r="O16" i="22" s="1"/>
  <c r="L16" i="22"/>
  <c r="Q209" i="37" s="1"/>
  <c r="L99" i="22"/>
  <c r="Q321" i="37" s="1"/>
  <c r="L140" i="22"/>
  <c r="Q115" i="37" s="1"/>
  <c r="K16" i="22"/>
  <c r="P209" i="37" s="1"/>
  <c r="K99" i="22"/>
  <c r="P321" i="37" s="1"/>
  <c r="K140" i="22"/>
  <c r="P115" i="37" s="1"/>
  <c r="E209" i="37" l="1"/>
  <c r="I209" i="37"/>
  <c r="N16" i="22"/>
  <c r="S16" i="22" s="1"/>
  <c r="M140" i="22"/>
  <c r="J209" i="37"/>
  <c r="M99" i="22"/>
  <c r="M16" i="22"/>
  <c r="Q16" i="22" s="1"/>
  <c r="AA4" i="16" l="1"/>
  <c r="AB4" i="16" s="1"/>
  <c r="AA5" i="16"/>
  <c r="AB5" i="16" s="1"/>
  <c r="AC5" i="16" s="1"/>
  <c r="AA6" i="16"/>
  <c r="AB6" i="16" s="1"/>
  <c r="AC6" i="16" s="1"/>
  <c r="AA7" i="16"/>
  <c r="AB7" i="16" s="1"/>
  <c r="AC7" i="16" s="1"/>
  <c r="AA8" i="16"/>
  <c r="AB8" i="16" s="1"/>
  <c r="AC8" i="16" s="1"/>
  <c r="AA9" i="16"/>
  <c r="AB9" i="16" s="1"/>
  <c r="AC9" i="16" s="1"/>
  <c r="AA10" i="16"/>
  <c r="AB10" i="16" s="1"/>
  <c r="AC10" i="16" s="1"/>
  <c r="AA11" i="16"/>
  <c r="AB11" i="16" s="1"/>
  <c r="AA12" i="16"/>
  <c r="AB12" i="16" s="1"/>
  <c r="AA13" i="16"/>
  <c r="AB13" i="16" s="1"/>
  <c r="AC13" i="16" s="1"/>
  <c r="AA14" i="16"/>
  <c r="AB14" i="16" s="1"/>
  <c r="AC14" i="16" s="1"/>
  <c r="AA15" i="16"/>
  <c r="AB15" i="16" s="1"/>
  <c r="AC15" i="16" s="1"/>
  <c r="AA16" i="16"/>
  <c r="AB16" i="16" s="1"/>
  <c r="AC16" i="16" s="1"/>
  <c r="AA17" i="16"/>
  <c r="AB17" i="16" s="1"/>
  <c r="AC17" i="16" s="1"/>
  <c r="AA18" i="16"/>
  <c r="AB18" i="16" s="1"/>
  <c r="AC18" i="16" s="1"/>
  <c r="AA19" i="16"/>
  <c r="AB19" i="16" s="1"/>
  <c r="AC19" i="16" s="1"/>
  <c r="AA20" i="16"/>
  <c r="AB20" i="16" s="1"/>
  <c r="AC20" i="16" s="1"/>
  <c r="AA21" i="16"/>
  <c r="AB21" i="16" s="1"/>
  <c r="AC21" i="16" s="1"/>
  <c r="AA22" i="16"/>
  <c r="AB22" i="16" s="1"/>
  <c r="AC22" i="16" s="1"/>
  <c r="AA23" i="16"/>
  <c r="AB23" i="16" s="1"/>
  <c r="AA24" i="16"/>
  <c r="AB24" i="16" s="1"/>
  <c r="AA25" i="16"/>
  <c r="AB25" i="16" s="1"/>
  <c r="AA26" i="16"/>
  <c r="AB26" i="16" s="1"/>
  <c r="AC26" i="16" s="1"/>
  <c r="AA27" i="16"/>
  <c r="AB27" i="16" s="1"/>
  <c r="AC27" i="16" s="1"/>
  <c r="AA28" i="16"/>
  <c r="AB28" i="16" s="1"/>
  <c r="AC28" i="16" s="1"/>
  <c r="AA29" i="16"/>
  <c r="AB29" i="16" s="1"/>
  <c r="AC29" i="16" s="1"/>
  <c r="AA30" i="16"/>
  <c r="AB30" i="16" s="1"/>
  <c r="AC30" i="16" s="1"/>
  <c r="AA31" i="16"/>
  <c r="AB31" i="16" s="1"/>
  <c r="AC31" i="16" s="1"/>
  <c r="AA32" i="16"/>
  <c r="AB32" i="16" s="1"/>
  <c r="AA33" i="16"/>
  <c r="AB33" i="16" s="1"/>
  <c r="AC33" i="16" s="1"/>
  <c r="AA34" i="16"/>
  <c r="AB34" i="16" s="1"/>
  <c r="AC34" i="16" s="1"/>
  <c r="AA35" i="16"/>
  <c r="AB35" i="16" s="1"/>
  <c r="AC35" i="16" s="1"/>
  <c r="AA36" i="16"/>
  <c r="AB36" i="16" s="1"/>
  <c r="AA37" i="16"/>
  <c r="AB37" i="16" s="1"/>
  <c r="AC37" i="16" s="1"/>
  <c r="AA38" i="16"/>
  <c r="AB38" i="16" s="1"/>
  <c r="AC38" i="16" s="1"/>
  <c r="AA39" i="16"/>
  <c r="AB39" i="16" s="1"/>
  <c r="AA40" i="16"/>
  <c r="AB40" i="16" s="1"/>
  <c r="AC40" i="16" s="1"/>
  <c r="AA41" i="16"/>
  <c r="AB41" i="16" s="1"/>
  <c r="AC41" i="16" s="1"/>
  <c r="AA42" i="16"/>
  <c r="AB42" i="16" s="1"/>
  <c r="AC42" i="16" s="1"/>
  <c r="AA43" i="16"/>
  <c r="AB43" i="16" s="1"/>
  <c r="AC43" i="16" s="1"/>
  <c r="AA44" i="16"/>
  <c r="AB44" i="16" s="1"/>
  <c r="AC44" i="16" s="1"/>
  <c r="AA45" i="16"/>
  <c r="AB45" i="16" s="1"/>
  <c r="AA46" i="16"/>
  <c r="AB46" i="16" s="1"/>
  <c r="AC46" i="16" s="1"/>
  <c r="AA47" i="16"/>
  <c r="AB47" i="16" s="1"/>
  <c r="AC47" i="16" s="1"/>
  <c r="AA48" i="16"/>
  <c r="AB48" i="16" s="1"/>
  <c r="AA49" i="16"/>
  <c r="AB49" i="16" s="1"/>
  <c r="AC49" i="16" s="1"/>
  <c r="AA50" i="16"/>
  <c r="AB50" i="16" s="1"/>
  <c r="AC50" i="16" s="1"/>
  <c r="AA51" i="16"/>
  <c r="AB51" i="16" s="1"/>
  <c r="AC51" i="16" s="1"/>
  <c r="AA52" i="16"/>
  <c r="AB52" i="16" s="1"/>
  <c r="AA53" i="16"/>
  <c r="AB53" i="16" s="1"/>
  <c r="AC53" i="16" s="1"/>
  <c r="AA54" i="16"/>
  <c r="AB54" i="16" s="1"/>
  <c r="AC54" i="16" s="1"/>
  <c r="AA55" i="16"/>
  <c r="AB55" i="16" s="1"/>
  <c r="AC55" i="16" s="1"/>
  <c r="AA56" i="16"/>
  <c r="AB56" i="16" s="1"/>
  <c r="AA57" i="16"/>
  <c r="AB57" i="16" s="1"/>
  <c r="AC57" i="16" s="1"/>
  <c r="AA58" i="16"/>
  <c r="AB58" i="16" s="1"/>
  <c r="AC58" i="16" s="1"/>
  <c r="AA59" i="16"/>
  <c r="AB59" i="16" s="1"/>
  <c r="AC59" i="16" s="1"/>
  <c r="AA60" i="16"/>
  <c r="AB60" i="16" s="1"/>
  <c r="AC60" i="16" s="1"/>
  <c r="AA61" i="16"/>
  <c r="AB61" i="16" s="1"/>
  <c r="AC61" i="16" s="1"/>
  <c r="AA62" i="16"/>
  <c r="AB62" i="16" s="1"/>
  <c r="AC62" i="16" s="1"/>
  <c r="AA63" i="16"/>
  <c r="AB63" i="16" s="1"/>
  <c r="AC63" i="16" s="1"/>
  <c r="AA64" i="16"/>
  <c r="AB64" i="16" s="1"/>
  <c r="AC64" i="16" s="1"/>
  <c r="AA65" i="16"/>
  <c r="AB65" i="16" s="1"/>
  <c r="AC65" i="16" s="1"/>
  <c r="AA66" i="16"/>
  <c r="AB66" i="16" s="1"/>
  <c r="AA67" i="16"/>
  <c r="AB67" i="16" s="1"/>
  <c r="AC67" i="16" s="1"/>
  <c r="AA68" i="16"/>
  <c r="AB68" i="16" s="1"/>
  <c r="AC68" i="16" s="1"/>
  <c r="AA69" i="16"/>
  <c r="AB69" i="16" s="1"/>
  <c r="AA70" i="16"/>
  <c r="AB70" i="16" s="1"/>
  <c r="AC70" i="16" s="1"/>
  <c r="AA71" i="16"/>
  <c r="AB71" i="16" s="1"/>
  <c r="AC71" i="16" s="1"/>
  <c r="AA72" i="16"/>
  <c r="AB72" i="16" s="1"/>
  <c r="AA73" i="16"/>
  <c r="AB73" i="16" s="1"/>
  <c r="AC73" i="16" s="1"/>
  <c r="AA74" i="16"/>
  <c r="AB74" i="16" s="1"/>
  <c r="AC74" i="16" s="1"/>
  <c r="AA75" i="16"/>
  <c r="AB75" i="16" s="1"/>
  <c r="AC75" i="16" s="1"/>
  <c r="AA76" i="16"/>
  <c r="AB76" i="16" s="1"/>
  <c r="AC76" i="16" s="1"/>
  <c r="AA77" i="16"/>
  <c r="AB77" i="16" s="1"/>
  <c r="AC77" i="16" s="1"/>
  <c r="AA78" i="16"/>
  <c r="AB78" i="16" s="1"/>
  <c r="AC78" i="16" s="1"/>
  <c r="AA79" i="16"/>
  <c r="AB79" i="16" s="1"/>
  <c r="AA80" i="16"/>
  <c r="AB80" i="16" s="1"/>
  <c r="AA81" i="16"/>
  <c r="AB81" i="16" s="1"/>
  <c r="AA82" i="16"/>
  <c r="AB82" i="16" s="1"/>
  <c r="AC82" i="16" s="1"/>
  <c r="AA83" i="16"/>
  <c r="AB83" i="16" s="1"/>
  <c r="AC83" i="16" s="1"/>
  <c r="AA84" i="16"/>
  <c r="AB84" i="16" s="1"/>
  <c r="AA85" i="16"/>
  <c r="AB85" i="16" s="1"/>
  <c r="AC85" i="16" s="1"/>
  <c r="AA86" i="16"/>
  <c r="AB86" i="16" s="1"/>
  <c r="AC86" i="16" s="1"/>
  <c r="AA87" i="16"/>
  <c r="AB87" i="16" s="1"/>
  <c r="AC87" i="16" s="1"/>
  <c r="AA88" i="16"/>
  <c r="AB88" i="16" s="1"/>
  <c r="AC88" i="16" s="1"/>
  <c r="AA89" i="16"/>
  <c r="AB89" i="16" s="1"/>
  <c r="AC89" i="16" s="1"/>
  <c r="AA90" i="16"/>
  <c r="AB90" i="16" s="1"/>
  <c r="AA91" i="16"/>
  <c r="AB91" i="16" s="1"/>
  <c r="AC91" i="16" s="1"/>
  <c r="AA92" i="16"/>
  <c r="AB92" i="16" s="1"/>
  <c r="AC92" i="16" s="1"/>
  <c r="AA93" i="16"/>
  <c r="AB93" i="16" s="1"/>
  <c r="AA94" i="16"/>
  <c r="AB94" i="16" s="1"/>
  <c r="AC94" i="16" s="1"/>
  <c r="AA95" i="16"/>
  <c r="AB95" i="16" s="1"/>
  <c r="AC95" i="16" s="1"/>
  <c r="AA96" i="16"/>
  <c r="AB96" i="16" s="1"/>
  <c r="AC96" i="16" s="1"/>
  <c r="AA97" i="16"/>
  <c r="AB97" i="16" s="1"/>
  <c r="AC97" i="16" s="1"/>
  <c r="AA98" i="16"/>
  <c r="AB98" i="16" s="1"/>
  <c r="AC98" i="16" s="1"/>
  <c r="AA99" i="16"/>
  <c r="AB99" i="16" s="1"/>
  <c r="AC99" i="16" s="1"/>
  <c r="AA100" i="16"/>
  <c r="AB100" i="16" s="1"/>
  <c r="AC100" i="16" s="1"/>
  <c r="AA101" i="16"/>
  <c r="AB101" i="16" s="1"/>
  <c r="AC101" i="16" s="1"/>
  <c r="AA102" i="16"/>
  <c r="AB102" i="16" s="1"/>
  <c r="AA103" i="16"/>
  <c r="AB103" i="16" s="1"/>
  <c r="AA104" i="16"/>
  <c r="AB104" i="16" s="1"/>
  <c r="AC104" i="16" s="1"/>
  <c r="AA105" i="16"/>
  <c r="AB105" i="16" s="1"/>
  <c r="AC105" i="16" s="1"/>
  <c r="AA106" i="16"/>
  <c r="AB106" i="16" s="1"/>
  <c r="AC106" i="16" s="1"/>
  <c r="AA107" i="16"/>
  <c r="AB107" i="16" s="1"/>
  <c r="AA108" i="16"/>
  <c r="AB108" i="16" s="1"/>
  <c r="AC108" i="16" s="1"/>
  <c r="AA109" i="16"/>
  <c r="AB109" i="16" s="1"/>
  <c r="AC109" i="16" s="1"/>
  <c r="AA110" i="16"/>
  <c r="AB110" i="16" s="1"/>
  <c r="AC110" i="16" s="1"/>
  <c r="AA111" i="16"/>
  <c r="AB111" i="16" s="1"/>
  <c r="AC111" i="16" s="1"/>
  <c r="AA112" i="16"/>
  <c r="AB112" i="16" s="1"/>
  <c r="AC112" i="16" s="1"/>
  <c r="AA113" i="16"/>
  <c r="AB113" i="16" s="1"/>
  <c r="AC113" i="16" s="1"/>
  <c r="AA114" i="16"/>
  <c r="AB114" i="16" s="1"/>
  <c r="AA115" i="16"/>
  <c r="AB115" i="16" s="1"/>
  <c r="AC115" i="16" s="1"/>
  <c r="AA116" i="16"/>
  <c r="AB116" i="16" s="1"/>
  <c r="AA117" i="16"/>
  <c r="AB117" i="16" s="1"/>
  <c r="AD117" i="16" s="1"/>
  <c r="AA118" i="16"/>
  <c r="AB118" i="16" s="1"/>
  <c r="AC118" i="16" s="1"/>
  <c r="AA119" i="16"/>
  <c r="AB119" i="16" s="1"/>
  <c r="AC119" i="16" s="1"/>
  <c r="AA120" i="16"/>
  <c r="AB120" i="16" s="1"/>
  <c r="AC120" i="16" s="1"/>
  <c r="AA121" i="16"/>
  <c r="AB121" i="16" s="1"/>
  <c r="AA122" i="16"/>
  <c r="AB122" i="16" s="1"/>
  <c r="AC122" i="16" s="1"/>
  <c r="AA123" i="16"/>
  <c r="AB123" i="16" s="1"/>
  <c r="AA124" i="16"/>
  <c r="AB124" i="16" s="1"/>
  <c r="AC124" i="16" s="1"/>
  <c r="AA125" i="16"/>
  <c r="AB125" i="16" s="1"/>
  <c r="AC125" i="16" s="1"/>
  <c r="AA126" i="16"/>
  <c r="AB126" i="16" s="1"/>
  <c r="AC126" i="16" s="1"/>
  <c r="AA127" i="16"/>
  <c r="AB127" i="16" s="1"/>
  <c r="AC127" i="16" s="1"/>
  <c r="AA128" i="16"/>
  <c r="AB128" i="16" s="1"/>
  <c r="AC128" i="16" s="1"/>
  <c r="AA129" i="16"/>
  <c r="AB129" i="16" s="1"/>
  <c r="AA130" i="16"/>
  <c r="AB130" i="16" s="1"/>
  <c r="AC130" i="16" s="1"/>
  <c r="AA131" i="16"/>
  <c r="AB131" i="16" s="1"/>
  <c r="AC131" i="16" s="1"/>
  <c r="AA132" i="16"/>
  <c r="AB132" i="16" s="1"/>
  <c r="AC132" i="16" s="1"/>
  <c r="AA133" i="16"/>
  <c r="AB133" i="16" s="1"/>
  <c r="AC133" i="16" s="1"/>
  <c r="AA134" i="16"/>
  <c r="AB134" i="16" s="1"/>
  <c r="AC134" i="16" s="1"/>
  <c r="AA135" i="16"/>
  <c r="AB135" i="16" s="1"/>
  <c r="AC135" i="16" s="1"/>
  <c r="AA136" i="16"/>
  <c r="AB136" i="16" s="1"/>
  <c r="AC136" i="16" s="1"/>
  <c r="AA137" i="16"/>
  <c r="AB137" i="16" s="1"/>
  <c r="AC137" i="16" s="1"/>
  <c r="AA138" i="16"/>
  <c r="AB138" i="16" s="1"/>
  <c r="AC138" i="16" s="1"/>
  <c r="AA139" i="16"/>
  <c r="AB139" i="16" s="1"/>
  <c r="AC139" i="16" s="1"/>
  <c r="AA140" i="16"/>
  <c r="AB140" i="16" s="1"/>
  <c r="AC140" i="16" s="1"/>
  <c r="AA141" i="16"/>
  <c r="AB141" i="16" s="1"/>
  <c r="AC141" i="16" s="1"/>
  <c r="AA142" i="16"/>
  <c r="AB142" i="16" s="1"/>
  <c r="AC142" i="16" s="1"/>
  <c r="AA143" i="16"/>
  <c r="AB143" i="16" s="1"/>
  <c r="AC143" i="16" s="1"/>
  <c r="AA144" i="16"/>
  <c r="AB144" i="16" s="1"/>
  <c r="AC144" i="16" s="1"/>
  <c r="AA145" i="16"/>
  <c r="AB145" i="16" s="1"/>
  <c r="AC145" i="16" s="1"/>
  <c r="AA146" i="16"/>
  <c r="AB146" i="16" s="1"/>
  <c r="AC146" i="16" s="1"/>
  <c r="AA147" i="16"/>
  <c r="AB147" i="16" s="1"/>
  <c r="AC147" i="16" s="1"/>
  <c r="AA148" i="16"/>
  <c r="AB148" i="16" s="1"/>
  <c r="AC148" i="16" s="1"/>
  <c r="AA149" i="16"/>
  <c r="AB149" i="16" s="1"/>
  <c r="AC149" i="16" s="1"/>
  <c r="AA150" i="16"/>
  <c r="AB150" i="16" s="1"/>
  <c r="AC150" i="16" s="1"/>
  <c r="AA151" i="16"/>
  <c r="AB151" i="16" s="1"/>
  <c r="AC151" i="16" s="1"/>
  <c r="AA152" i="16"/>
  <c r="AB152" i="16" s="1"/>
  <c r="AC152" i="16" s="1"/>
  <c r="AA153" i="16"/>
  <c r="AB153" i="16" s="1"/>
  <c r="AC153" i="16" s="1"/>
  <c r="AA154" i="16"/>
  <c r="AB154" i="16" s="1"/>
  <c r="AC154" i="16" s="1"/>
  <c r="AA155" i="16"/>
  <c r="AB155" i="16" s="1"/>
  <c r="AA156" i="16"/>
  <c r="AB156" i="16" s="1"/>
  <c r="AC156" i="16" s="1"/>
  <c r="AA157" i="16"/>
  <c r="AB157" i="16" s="1"/>
  <c r="AC157" i="16" s="1"/>
  <c r="AA158" i="16"/>
  <c r="AB158" i="16" s="1"/>
  <c r="AC158" i="16" s="1"/>
  <c r="AA159" i="16"/>
  <c r="AB159" i="16" s="1"/>
  <c r="AC159" i="16" s="1"/>
  <c r="AA160" i="16"/>
  <c r="AB160" i="16" s="1"/>
  <c r="AC160" i="16" s="1"/>
  <c r="AA161" i="16"/>
  <c r="AB161" i="16" s="1"/>
  <c r="AC161" i="16" s="1"/>
  <c r="AA162" i="16"/>
  <c r="AB162" i="16" s="1"/>
  <c r="AC162" i="16" s="1"/>
  <c r="AA163" i="16"/>
  <c r="AB163" i="16" s="1"/>
  <c r="AC163" i="16" s="1"/>
  <c r="AA164" i="16"/>
  <c r="AB164" i="16" s="1"/>
  <c r="AC164" i="16" s="1"/>
  <c r="AA165" i="16"/>
  <c r="AB165" i="16" s="1"/>
  <c r="AC165" i="16" s="1"/>
  <c r="AA166" i="16"/>
  <c r="AB166" i="16" s="1"/>
  <c r="AC166" i="16" s="1"/>
  <c r="AA167" i="16"/>
  <c r="AB167" i="16" s="1"/>
  <c r="AC167" i="16" s="1"/>
  <c r="AA168" i="16"/>
  <c r="AB168" i="16" s="1"/>
  <c r="AC168" i="16" s="1"/>
  <c r="AA169" i="16"/>
  <c r="AB169" i="16" s="1"/>
  <c r="AC169" i="16" s="1"/>
  <c r="AA170" i="16"/>
  <c r="AB170" i="16" s="1"/>
  <c r="AC170" i="16" s="1"/>
  <c r="AA171" i="16"/>
  <c r="AB171" i="16" s="1"/>
  <c r="AA172" i="16"/>
  <c r="AB172" i="16" s="1"/>
  <c r="AC172" i="16" s="1"/>
  <c r="AA173" i="16"/>
  <c r="AB173" i="16" s="1"/>
  <c r="AC173" i="16" s="1"/>
  <c r="AA174" i="16"/>
  <c r="AB174" i="16" s="1"/>
  <c r="AC174" i="16" s="1"/>
  <c r="AA175" i="16"/>
  <c r="AB175" i="16" s="1"/>
  <c r="AC175" i="16" s="1"/>
  <c r="AA176" i="16"/>
  <c r="AB176" i="16" s="1"/>
  <c r="AC176" i="16" s="1"/>
  <c r="AA177" i="16"/>
  <c r="AB177" i="16" s="1"/>
  <c r="AC177" i="16" s="1"/>
  <c r="AA178" i="16"/>
  <c r="AB178" i="16" s="1"/>
  <c r="AC178" i="16" s="1"/>
  <c r="AA179" i="16"/>
  <c r="AB179" i="16" s="1"/>
  <c r="AC179" i="16" s="1"/>
  <c r="AA180" i="16"/>
  <c r="AB180" i="16" s="1"/>
  <c r="AC180" i="16" s="1"/>
  <c r="AA181" i="16"/>
  <c r="AB181" i="16" s="1"/>
  <c r="AC181" i="16" s="1"/>
  <c r="AA183" i="16"/>
  <c r="AB183" i="16" s="1"/>
  <c r="AC183" i="16" s="1"/>
  <c r="AA184" i="16"/>
  <c r="AB184" i="16" s="1"/>
  <c r="AC184" i="16" s="1"/>
  <c r="AA185" i="16"/>
  <c r="AB185" i="16" s="1"/>
  <c r="AA186" i="16"/>
  <c r="AB186" i="16" s="1"/>
  <c r="AC186" i="16" s="1"/>
  <c r="AA187" i="16"/>
  <c r="AB187" i="16" s="1"/>
  <c r="AC187" i="16" s="1"/>
  <c r="AA188" i="16"/>
  <c r="AB188" i="16" s="1"/>
  <c r="AC188" i="16" s="1"/>
  <c r="AA189" i="16"/>
  <c r="AB189" i="16" s="1"/>
  <c r="AA190" i="16"/>
  <c r="AB190" i="16" s="1"/>
  <c r="AC190" i="16" s="1"/>
  <c r="AA191" i="16"/>
  <c r="AB191" i="16" s="1"/>
  <c r="AC191" i="16" s="1"/>
  <c r="AA192" i="16"/>
  <c r="AB192" i="16" s="1"/>
  <c r="AC192" i="16" s="1"/>
  <c r="AA193" i="16"/>
  <c r="AB193" i="16" s="1"/>
  <c r="AC193" i="16" s="1"/>
  <c r="AA194" i="16"/>
  <c r="AB194" i="16" s="1"/>
  <c r="AC194" i="16" s="1"/>
  <c r="AA195" i="16"/>
  <c r="AB195" i="16" s="1"/>
  <c r="AC195" i="16" s="1"/>
  <c r="AA196" i="16"/>
  <c r="AB196" i="16" s="1"/>
  <c r="AC196" i="16" s="1"/>
  <c r="AA197" i="16"/>
  <c r="AB197" i="16" s="1"/>
  <c r="AA198" i="16"/>
  <c r="AB198" i="16" s="1"/>
  <c r="AC198" i="16" s="1"/>
  <c r="AA199" i="16"/>
  <c r="AB199" i="16" s="1"/>
  <c r="AC199" i="16" s="1"/>
  <c r="AA200" i="16"/>
  <c r="AB200" i="16" s="1"/>
  <c r="AC200" i="16" s="1"/>
  <c r="AA201" i="16"/>
  <c r="AB201" i="16" s="1"/>
  <c r="AC201" i="16" s="1"/>
  <c r="AA202" i="16"/>
  <c r="AB202" i="16" s="1"/>
  <c r="AC202" i="16" s="1"/>
  <c r="AA203" i="16"/>
  <c r="AB203" i="16" s="1"/>
  <c r="AC203" i="16" s="1"/>
  <c r="AA204" i="16"/>
  <c r="AB204" i="16" s="1"/>
  <c r="AC204" i="16" s="1"/>
  <c r="AA205" i="16"/>
  <c r="AB205" i="16" s="1"/>
  <c r="AA206" i="16"/>
  <c r="AB206" i="16" s="1"/>
  <c r="AC206" i="16" s="1"/>
  <c r="AA207" i="16"/>
  <c r="AB207" i="16" s="1"/>
  <c r="AC207" i="16" s="1"/>
  <c r="AA208" i="16"/>
  <c r="AB208" i="16" s="1"/>
  <c r="AC208" i="16" s="1"/>
  <c r="AA209" i="16"/>
  <c r="AB209" i="16" s="1"/>
  <c r="AD209" i="16" s="1"/>
  <c r="AA210" i="16"/>
  <c r="AB210" i="16" s="1"/>
  <c r="AC210" i="16" s="1"/>
  <c r="AA211" i="16"/>
  <c r="AB211" i="16" s="1"/>
  <c r="AC211" i="16" s="1"/>
  <c r="AA212" i="16"/>
  <c r="AB212" i="16" s="1"/>
  <c r="AC212" i="16" s="1"/>
  <c r="AA213" i="16"/>
  <c r="AB213" i="16" s="1"/>
  <c r="AA214" i="16"/>
  <c r="AB214" i="16" s="1"/>
  <c r="AC214" i="16" s="1"/>
  <c r="AA215" i="16"/>
  <c r="AB215" i="16" s="1"/>
  <c r="AC215" i="16" s="1"/>
  <c r="AA216" i="16"/>
  <c r="AB216" i="16" s="1"/>
  <c r="AC216" i="16" s="1"/>
  <c r="AA217" i="16"/>
  <c r="AB217" i="16" s="1"/>
  <c r="AA218" i="16"/>
  <c r="AB218" i="16" s="1"/>
  <c r="AC218" i="16" s="1"/>
  <c r="AA219" i="16"/>
  <c r="AB219" i="16" s="1"/>
  <c r="AC219" i="16" s="1"/>
  <c r="AA220" i="16"/>
  <c r="AB220" i="16" s="1"/>
  <c r="AC220" i="16" s="1"/>
  <c r="AA221" i="16"/>
  <c r="AB221" i="16" s="1"/>
  <c r="AC221" i="16" s="1"/>
  <c r="AA222" i="16"/>
  <c r="AB222" i="16" s="1"/>
  <c r="AC222" i="16" s="1"/>
  <c r="AA223" i="16"/>
  <c r="AB223" i="16" s="1"/>
  <c r="AC223" i="16" s="1"/>
  <c r="AA224" i="16"/>
  <c r="AB224" i="16" s="1"/>
  <c r="AC224" i="16" s="1"/>
  <c r="AA225" i="16"/>
  <c r="AB225" i="16" s="1"/>
  <c r="AA226" i="16"/>
  <c r="AB226" i="16" s="1"/>
  <c r="AC226" i="16" s="1"/>
  <c r="AA227" i="16"/>
  <c r="AB227" i="16" s="1"/>
  <c r="AC227" i="16" s="1"/>
  <c r="AA228" i="16"/>
  <c r="AB228" i="16" s="1"/>
  <c r="AA229" i="16"/>
  <c r="AB229" i="16" s="1"/>
  <c r="AA230" i="16"/>
  <c r="AB230" i="16" s="1"/>
  <c r="AC230" i="16" s="1"/>
  <c r="AA231" i="16"/>
  <c r="AB231" i="16" s="1"/>
  <c r="AC231" i="16" s="1"/>
  <c r="AA232" i="16"/>
  <c r="AB232" i="16" s="1"/>
  <c r="AC232" i="16" s="1"/>
  <c r="AA233" i="16"/>
  <c r="AB233" i="16" s="1"/>
  <c r="AA234" i="16"/>
  <c r="AB234" i="16" s="1"/>
  <c r="AC234" i="16" s="1"/>
  <c r="AA235" i="16"/>
  <c r="AB235" i="16" s="1"/>
  <c r="AC235" i="16" s="1"/>
  <c r="AA236" i="16"/>
  <c r="AB236" i="16" s="1"/>
  <c r="AC236" i="16" s="1"/>
  <c r="AA237" i="16"/>
  <c r="AB237" i="16" s="1"/>
  <c r="AC237" i="16" s="1"/>
  <c r="AA238" i="16"/>
  <c r="AB238" i="16" s="1"/>
  <c r="AC238" i="16" s="1"/>
  <c r="AA239" i="16"/>
  <c r="AB239" i="16" s="1"/>
  <c r="AC239" i="16" s="1"/>
  <c r="AA240" i="16"/>
  <c r="AB240" i="16" s="1"/>
  <c r="AC240" i="16" s="1"/>
  <c r="AA241" i="16"/>
  <c r="AB241" i="16" s="1"/>
  <c r="AC241" i="16" s="1"/>
  <c r="AA242" i="16"/>
  <c r="AB242" i="16" s="1"/>
  <c r="AC242" i="16" s="1"/>
  <c r="AA243" i="16"/>
  <c r="AB243" i="16" s="1"/>
  <c r="AA244" i="16"/>
  <c r="AB244" i="16" s="1"/>
  <c r="AC244" i="16" s="1"/>
  <c r="AA245" i="16"/>
  <c r="AB245" i="16" s="1"/>
  <c r="AA246" i="16"/>
  <c r="AB246" i="16" s="1"/>
  <c r="AC246" i="16" s="1"/>
  <c r="AA247" i="16"/>
  <c r="AB247" i="16" s="1"/>
  <c r="AC247" i="16" s="1"/>
  <c r="AA248" i="16"/>
  <c r="AB248" i="16" s="1"/>
  <c r="AC248" i="16" s="1"/>
  <c r="AA249" i="16"/>
  <c r="AB249" i="16" s="1"/>
  <c r="AA250" i="16"/>
  <c r="AB250" i="16" s="1"/>
  <c r="AC250" i="16" s="1"/>
  <c r="AA251" i="16"/>
  <c r="AB251" i="16" s="1"/>
  <c r="AA252" i="16"/>
  <c r="AB252" i="16" s="1"/>
  <c r="AC252" i="16" s="1"/>
  <c r="AA253" i="16"/>
  <c r="AB253" i="16" s="1"/>
  <c r="AC253" i="16" s="1"/>
  <c r="AA254" i="16"/>
  <c r="AB254" i="16" s="1"/>
  <c r="AA255" i="16"/>
  <c r="AB255" i="16" s="1"/>
  <c r="AA256" i="16"/>
  <c r="AB256" i="16" s="1"/>
  <c r="AC256" i="16" s="1"/>
  <c r="AA257" i="16"/>
  <c r="AB257" i="16" s="1"/>
  <c r="AA258" i="16"/>
  <c r="AB258" i="16" s="1"/>
  <c r="AC258" i="16" s="1"/>
  <c r="AA259" i="16"/>
  <c r="AB259" i="16" s="1"/>
  <c r="AC259" i="16" s="1"/>
  <c r="AA260" i="16"/>
  <c r="AB260" i="16" s="1"/>
  <c r="AA261" i="16"/>
  <c r="AB261" i="16" s="1"/>
  <c r="AC261" i="16" s="1"/>
  <c r="AA262" i="16"/>
  <c r="AB262" i="16" s="1"/>
  <c r="AC262" i="16" s="1"/>
  <c r="AA263" i="16"/>
  <c r="AB263" i="16" s="1"/>
  <c r="AC263" i="16" s="1"/>
  <c r="AA264" i="16"/>
  <c r="AB264" i="16" s="1"/>
  <c r="AC264" i="16" s="1"/>
  <c r="AA265" i="16"/>
  <c r="AB265" i="16" s="1"/>
  <c r="AC265" i="16" s="1"/>
  <c r="AA266" i="16"/>
  <c r="AB266" i="16" s="1"/>
  <c r="AC266" i="16" s="1"/>
  <c r="AA267" i="16"/>
  <c r="AB267" i="16" s="1"/>
  <c r="AC267" i="16" s="1"/>
  <c r="AA268" i="16"/>
  <c r="AB268" i="16" s="1"/>
  <c r="AC268" i="16" s="1"/>
  <c r="AA269" i="16"/>
  <c r="AB269" i="16" s="1"/>
  <c r="AA270" i="16"/>
  <c r="AB270" i="16" s="1"/>
  <c r="AC270" i="16" s="1"/>
  <c r="AA271" i="16"/>
  <c r="AB271" i="16" s="1"/>
  <c r="AC271" i="16" s="1"/>
  <c r="AA272" i="16"/>
  <c r="AB272" i="16" s="1"/>
  <c r="AC272" i="16" s="1"/>
  <c r="AA273" i="16"/>
  <c r="AB273" i="16" s="1"/>
  <c r="AA274" i="16"/>
  <c r="AB274" i="16" s="1"/>
  <c r="AC274" i="16" s="1"/>
  <c r="AA275" i="16"/>
  <c r="AB275" i="16" s="1"/>
  <c r="AC275" i="16" s="1"/>
  <c r="AA276" i="16"/>
  <c r="AB276" i="16" s="1"/>
  <c r="AC276" i="16" s="1"/>
  <c r="AA277" i="16"/>
  <c r="AB277" i="16" s="1"/>
  <c r="AC277" i="16" s="1"/>
  <c r="AA278" i="16"/>
  <c r="AB278" i="16" s="1"/>
  <c r="AA279" i="16"/>
  <c r="AB279" i="16" s="1"/>
  <c r="AC279" i="16" s="1"/>
  <c r="AA280" i="16"/>
  <c r="AB280" i="16" s="1"/>
  <c r="AA281" i="16"/>
  <c r="AB281" i="16" s="1"/>
  <c r="AC281" i="16" s="1"/>
  <c r="AA282" i="16"/>
  <c r="AB282" i="16" s="1"/>
  <c r="AC282" i="16" s="1"/>
  <c r="AA283" i="16"/>
  <c r="AB283" i="16" s="1"/>
  <c r="AC283" i="16" s="1"/>
  <c r="AA284" i="16"/>
  <c r="AB284" i="16" s="1"/>
  <c r="AC284" i="16" s="1"/>
  <c r="AA285" i="16"/>
  <c r="AB285" i="16" s="1"/>
  <c r="AC285" i="16" s="1"/>
  <c r="AA286" i="16"/>
  <c r="AB286" i="16" s="1"/>
  <c r="AC286" i="16" s="1"/>
  <c r="AA287" i="16"/>
  <c r="AB287" i="16" s="1"/>
  <c r="AA288" i="16"/>
  <c r="AB288" i="16" s="1"/>
  <c r="AC288" i="16" s="1"/>
  <c r="AA289" i="16"/>
  <c r="AB289" i="16" s="1"/>
  <c r="AC289" i="16" s="1"/>
  <c r="AA290" i="16"/>
  <c r="AB290" i="16" s="1"/>
  <c r="AC290" i="16" s="1"/>
  <c r="AA291" i="16"/>
  <c r="AB291" i="16" s="1"/>
  <c r="AC291" i="16" s="1"/>
  <c r="AA292" i="16"/>
  <c r="AB292" i="16" s="1"/>
  <c r="AA293" i="16"/>
  <c r="AB293" i="16" s="1"/>
  <c r="AC293" i="16" s="1"/>
  <c r="AA294" i="16"/>
  <c r="AB294" i="16" s="1"/>
  <c r="AC294" i="16" s="1"/>
  <c r="AA295" i="16"/>
  <c r="AB295" i="16" s="1"/>
  <c r="AD295" i="16" s="1"/>
  <c r="AA296" i="16"/>
  <c r="AB296" i="16" s="1"/>
  <c r="AC296" i="16" s="1"/>
  <c r="AA297" i="16"/>
  <c r="AB297" i="16" s="1"/>
  <c r="AC297" i="16" s="1"/>
  <c r="AA298" i="16"/>
  <c r="AB298" i="16" s="1"/>
  <c r="AC298" i="16" s="1"/>
  <c r="AA299" i="16"/>
  <c r="AB299" i="16" s="1"/>
  <c r="AC299" i="16" s="1"/>
  <c r="AA300" i="16"/>
  <c r="AB300" i="16" s="1"/>
  <c r="AC300" i="16" s="1"/>
  <c r="AA301" i="16"/>
  <c r="AB301" i="16" s="1"/>
  <c r="AC301" i="16" s="1"/>
  <c r="AA302" i="16"/>
  <c r="AB302" i="16" s="1"/>
  <c r="AC302" i="16" s="1"/>
  <c r="AA303" i="16"/>
  <c r="AB303" i="16" s="1"/>
  <c r="AA304" i="16"/>
  <c r="AB304" i="16" s="1"/>
  <c r="AC304" i="16" s="1"/>
  <c r="AA305" i="16"/>
  <c r="AB305" i="16" s="1"/>
  <c r="AC305" i="16" s="1"/>
  <c r="AA306" i="16"/>
  <c r="AB306" i="16" s="1"/>
  <c r="AC306" i="16" s="1"/>
  <c r="AA307" i="16"/>
  <c r="AB307" i="16" s="1"/>
  <c r="AC307" i="16" s="1"/>
  <c r="AA308" i="16"/>
  <c r="AB308" i="16" s="1"/>
  <c r="AC308" i="16" s="1"/>
  <c r="AA309" i="16"/>
  <c r="AB309" i="16" s="1"/>
  <c r="AC309" i="16" s="1"/>
  <c r="AA310" i="16"/>
  <c r="AB310" i="16" s="1"/>
  <c r="AA311" i="16"/>
  <c r="AB311" i="16" s="1"/>
  <c r="AC311" i="16" s="1"/>
  <c r="AA312" i="16"/>
  <c r="AB312" i="16" s="1"/>
  <c r="AC312" i="16" s="1"/>
  <c r="AA313" i="16"/>
  <c r="AB313" i="16" s="1"/>
  <c r="AC313" i="16" s="1"/>
  <c r="AA314" i="16"/>
  <c r="AB314" i="16" s="1"/>
  <c r="AC314" i="16" s="1"/>
  <c r="AA315" i="16"/>
  <c r="AB315" i="16" s="1"/>
  <c r="AC315" i="16" s="1"/>
  <c r="AA316" i="16"/>
  <c r="AB316" i="16" s="1"/>
  <c r="AC316" i="16" s="1"/>
  <c r="AA317" i="16"/>
  <c r="AB317" i="16" s="1"/>
  <c r="AC317" i="16" s="1"/>
  <c r="AA318" i="16"/>
  <c r="AB318" i="16" s="1"/>
  <c r="AA319" i="16"/>
  <c r="AB319" i="16" s="1"/>
  <c r="AC319" i="16" s="1"/>
  <c r="AA320" i="16"/>
  <c r="AB320" i="16" s="1"/>
  <c r="AC320" i="16" s="1"/>
  <c r="AA321" i="16"/>
  <c r="AB321" i="16" s="1"/>
  <c r="AC321" i="16" s="1"/>
  <c r="AA322" i="16"/>
  <c r="AB322" i="16" s="1"/>
  <c r="AA182" i="16"/>
  <c r="AB182" i="16" s="1"/>
  <c r="AC182" i="16" s="1"/>
  <c r="AA3" i="16"/>
  <c r="AB3" i="16" s="1"/>
  <c r="AC3" i="16" s="1"/>
  <c r="R2" i="16"/>
  <c r="AE118" i="16" l="1"/>
  <c r="AD118" i="16"/>
  <c r="AH254" i="16"/>
  <c r="AH39" i="16"/>
  <c r="AH255" i="16"/>
  <c r="AH116" i="16"/>
  <c r="AH23" i="16"/>
  <c r="AI23" i="16" s="1"/>
  <c r="AM23" i="16" s="1"/>
  <c r="AH292" i="16"/>
  <c r="AH129" i="16"/>
  <c r="AH114" i="16"/>
  <c r="AH322" i="16"/>
  <c r="AH118" i="16"/>
  <c r="AH121" i="16"/>
  <c r="AD16" i="16"/>
  <c r="AE16" i="16"/>
  <c r="AE289" i="16"/>
  <c r="AD289" i="16"/>
  <c r="AC80" i="16"/>
  <c r="AE80" i="16" s="1"/>
  <c r="AD288" i="16"/>
  <c r="AE288" i="16"/>
  <c r="AE272" i="16"/>
  <c r="AD272" i="16"/>
  <c r="AE256" i="16"/>
  <c r="AD256" i="16"/>
  <c r="AE240" i="16"/>
  <c r="AD240" i="16"/>
  <c r="AE224" i="16"/>
  <c r="AD224" i="16"/>
  <c r="AE208" i="16"/>
  <c r="AD208" i="16"/>
  <c r="AE192" i="16"/>
  <c r="AD192" i="16"/>
  <c r="AD175" i="16"/>
  <c r="AE175" i="16"/>
  <c r="AD159" i="16"/>
  <c r="AE159" i="16"/>
  <c r="AD143" i="16"/>
  <c r="AE143" i="16"/>
  <c r="AD127" i="16"/>
  <c r="AE127" i="16"/>
  <c r="AD111" i="16"/>
  <c r="AE111" i="16"/>
  <c r="AE95" i="16"/>
  <c r="AD95" i="16"/>
  <c r="AC79" i="16"/>
  <c r="AE79" i="16" s="1"/>
  <c r="AD63" i="16"/>
  <c r="AE63" i="16"/>
  <c r="AD47" i="16"/>
  <c r="AE47" i="16"/>
  <c r="AD31" i="16"/>
  <c r="AE31" i="16"/>
  <c r="AD15" i="16"/>
  <c r="AE15" i="16"/>
  <c r="AF209" i="16"/>
  <c r="AG209" i="16" s="1"/>
  <c r="AK209" i="16" s="1"/>
  <c r="AH209" i="16"/>
  <c r="AI209" i="16" s="1"/>
  <c r="AL209" i="16"/>
  <c r="AC318" i="16"/>
  <c r="AE318" i="16" s="1"/>
  <c r="AC287" i="16"/>
  <c r="AE287" i="16" s="1"/>
  <c r="AD271" i="16"/>
  <c r="AE271" i="16"/>
  <c r="AD239" i="16"/>
  <c r="AE239" i="16"/>
  <c r="AD223" i="16"/>
  <c r="AE223" i="16"/>
  <c r="AD207" i="16"/>
  <c r="AE207" i="16"/>
  <c r="AD191" i="16"/>
  <c r="AE191" i="16"/>
  <c r="AD174" i="16"/>
  <c r="AE174" i="16"/>
  <c r="AD158" i="16"/>
  <c r="AE158" i="16"/>
  <c r="AD142" i="16"/>
  <c r="AE142" i="16"/>
  <c r="AD126" i="16"/>
  <c r="AE126" i="16"/>
  <c r="AE110" i="16"/>
  <c r="AD110" i="16"/>
  <c r="AD94" i="16"/>
  <c r="AE94" i="16"/>
  <c r="AD78" i="16"/>
  <c r="AE78" i="16"/>
  <c r="AD62" i="16"/>
  <c r="AE62" i="16"/>
  <c r="AD46" i="16"/>
  <c r="AE46" i="16"/>
  <c r="AD30" i="16"/>
  <c r="AE30" i="16"/>
  <c r="AD14" i="16"/>
  <c r="AE14" i="16"/>
  <c r="AD241" i="16"/>
  <c r="AE241" i="16"/>
  <c r="AD319" i="16"/>
  <c r="AE319" i="16"/>
  <c r="AC303" i="16"/>
  <c r="AE303" i="16" s="1"/>
  <c r="AE317" i="16"/>
  <c r="AD317" i="16"/>
  <c r="AE302" i="16"/>
  <c r="AD302" i="16"/>
  <c r="AE286" i="16"/>
  <c r="AD286" i="16"/>
  <c r="AD270" i="16"/>
  <c r="AE270" i="16"/>
  <c r="AD238" i="16"/>
  <c r="AE238" i="16"/>
  <c r="AD222" i="16"/>
  <c r="AE222" i="16"/>
  <c r="AD206" i="16"/>
  <c r="AE206" i="16"/>
  <c r="AD190" i="16"/>
  <c r="AE190" i="16"/>
  <c r="AD173" i="16"/>
  <c r="AE173" i="16"/>
  <c r="AD157" i="16"/>
  <c r="AE157" i="16"/>
  <c r="AD141" i="16"/>
  <c r="AE141" i="16"/>
  <c r="AD125" i="16"/>
  <c r="AE125" i="16"/>
  <c r="AD109" i="16"/>
  <c r="AE109" i="16"/>
  <c r="AC93" i="16"/>
  <c r="AD93" i="16" s="1"/>
  <c r="AE77" i="16"/>
  <c r="AD77" i="16"/>
  <c r="AE61" i="16"/>
  <c r="AD61" i="16"/>
  <c r="AC45" i="16"/>
  <c r="AD45" i="16" s="1"/>
  <c r="AE29" i="16"/>
  <c r="AD29" i="16"/>
  <c r="AE13" i="16"/>
  <c r="AD13" i="16"/>
  <c r="AD320" i="16"/>
  <c r="AE320" i="16"/>
  <c r="AD64" i="16"/>
  <c r="AE64" i="16"/>
  <c r="AD316" i="16"/>
  <c r="AE316" i="16"/>
  <c r="AD301" i="16"/>
  <c r="AE301" i="16"/>
  <c r="AD285" i="16"/>
  <c r="AE285" i="16"/>
  <c r="AC269" i="16"/>
  <c r="AE269" i="16" s="1"/>
  <c r="AD253" i="16"/>
  <c r="AE253" i="16"/>
  <c r="AD237" i="16"/>
  <c r="AE237" i="16"/>
  <c r="AD221" i="16"/>
  <c r="AE221" i="16"/>
  <c r="AC205" i="16"/>
  <c r="AE205" i="16" s="1"/>
  <c r="AC189" i="16"/>
  <c r="AE189" i="16" s="1"/>
  <c r="AD172" i="16"/>
  <c r="AE172" i="16"/>
  <c r="AD156" i="16"/>
  <c r="AE156" i="16"/>
  <c r="AE140" i="16"/>
  <c r="AD140" i="16"/>
  <c r="AE124" i="16"/>
  <c r="AD124" i="16"/>
  <c r="AE108" i="16"/>
  <c r="AD108" i="16"/>
  <c r="AD92" i="16"/>
  <c r="AE92" i="16"/>
  <c r="AD76" i="16"/>
  <c r="AE76" i="16"/>
  <c r="AD60" i="16"/>
  <c r="AE60" i="16"/>
  <c r="AE44" i="16"/>
  <c r="AD44" i="16"/>
  <c r="AD28" i="16"/>
  <c r="AE28" i="16"/>
  <c r="AC12" i="16"/>
  <c r="AD12" i="16" s="1"/>
  <c r="AD176" i="16"/>
  <c r="AE176" i="16"/>
  <c r="AC48" i="16"/>
  <c r="AE48" i="16" s="1"/>
  <c r="AD300" i="16"/>
  <c r="AE300" i="16"/>
  <c r="AD284" i="16"/>
  <c r="AE284" i="16"/>
  <c r="AE268" i="16"/>
  <c r="AD268" i="16"/>
  <c r="AE252" i="16"/>
  <c r="AD252" i="16"/>
  <c r="AE236" i="16"/>
  <c r="AD236" i="16"/>
  <c r="AE220" i="16"/>
  <c r="AD220" i="16"/>
  <c r="AE204" i="16"/>
  <c r="AD204" i="16"/>
  <c r="AE188" i="16"/>
  <c r="AD188" i="16"/>
  <c r="AC171" i="16"/>
  <c r="AE171" i="16" s="1"/>
  <c r="AC155" i="16"/>
  <c r="AE155" i="16" s="1"/>
  <c r="AE139" i="16"/>
  <c r="AD139" i="16"/>
  <c r="AC123" i="16"/>
  <c r="AE123" i="16" s="1"/>
  <c r="AC107" i="16"/>
  <c r="AD107" i="16" s="1"/>
  <c r="AD91" i="16"/>
  <c r="AE91" i="16"/>
  <c r="AE75" i="16"/>
  <c r="AD75" i="16"/>
  <c r="AD59" i="16"/>
  <c r="AE59" i="16"/>
  <c r="AD43" i="16"/>
  <c r="AE43" i="16"/>
  <c r="AD27" i="16"/>
  <c r="AE27" i="16"/>
  <c r="AC11" i="16"/>
  <c r="AE11" i="16" s="1"/>
  <c r="AE314" i="16"/>
  <c r="AD314" i="16"/>
  <c r="AD299" i="16"/>
  <c r="AE299" i="16"/>
  <c r="AD283" i="16"/>
  <c r="AE283" i="16"/>
  <c r="AE267" i="16"/>
  <c r="AD267" i="16"/>
  <c r="AC251" i="16"/>
  <c r="AE251" i="16" s="1"/>
  <c r="AD235" i="16"/>
  <c r="AE235" i="16"/>
  <c r="AE219" i="16"/>
  <c r="AD219" i="16"/>
  <c r="AD203" i="16"/>
  <c r="AE203" i="16"/>
  <c r="AD187" i="16"/>
  <c r="AE187" i="16"/>
  <c r="AE170" i="16"/>
  <c r="AD170" i="16"/>
  <c r="AE154" i="16"/>
  <c r="AD154" i="16"/>
  <c r="AD138" i="16"/>
  <c r="AE138" i="16"/>
  <c r="AD122" i="16"/>
  <c r="AE122" i="16"/>
  <c r="AD106" i="16"/>
  <c r="AE106" i="16"/>
  <c r="AC90" i="16"/>
  <c r="AD90" i="16" s="1"/>
  <c r="AE74" i="16"/>
  <c r="AD74" i="16"/>
  <c r="AE58" i="16"/>
  <c r="AD58" i="16"/>
  <c r="AE42" i="16"/>
  <c r="AD42" i="16"/>
  <c r="AE26" i="16"/>
  <c r="AD26" i="16"/>
  <c r="AE10" i="16"/>
  <c r="AD10" i="16"/>
  <c r="AD160" i="16"/>
  <c r="AE160" i="16"/>
  <c r="AE304" i="16"/>
  <c r="AD304" i="16"/>
  <c r="AD313" i="16"/>
  <c r="AE313" i="16"/>
  <c r="AD298" i="16"/>
  <c r="AE298" i="16"/>
  <c r="AD282" i="16"/>
  <c r="AE282" i="16"/>
  <c r="AE266" i="16"/>
  <c r="AD266" i="16"/>
  <c r="AE250" i="16"/>
  <c r="AD250" i="16"/>
  <c r="AE234" i="16"/>
  <c r="AD234" i="16"/>
  <c r="AE218" i="16"/>
  <c r="AD218" i="16"/>
  <c r="AD202" i="16"/>
  <c r="AE202" i="16"/>
  <c r="AD186" i="16"/>
  <c r="AE186" i="16"/>
  <c r="AD169" i="16"/>
  <c r="AE169" i="16"/>
  <c r="AE153" i="16"/>
  <c r="AD153" i="16"/>
  <c r="AD137" i="16"/>
  <c r="AE137" i="16"/>
  <c r="AD105" i="16"/>
  <c r="AE105" i="16"/>
  <c r="AE89" i="16"/>
  <c r="AD89" i="16"/>
  <c r="AE73" i="16"/>
  <c r="AD73" i="16"/>
  <c r="AD57" i="16"/>
  <c r="AE57" i="16"/>
  <c r="AE41" i="16"/>
  <c r="AD41" i="16"/>
  <c r="AC25" i="16"/>
  <c r="AD25" i="16" s="1"/>
  <c r="AE9" i="16"/>
  <c r="AD9" i="16"/>
  <c r="AE305" i="16"/>
  <c r="AD305" i="16"/>
  <c r="AE112" i="16"/>
  <c r="AD112" i="16"/>
  <c r="AD312" i="16"/>
  <c r="AE312" i="16"/>
  <c r="AD281" i="16"/>
  <c r="AE281" i="16"/>
  <c r="AD265" i="16"/>
  <c r="AE265" i="16"/>
  <c r="AC249" i="16"/>
  <c r="AE249" i="16" s="1"/>
  <c r="AC233" i="16"/>
  <c r="AE233" i="16" s="1"/>
  <c r="AC217" i="16"/>
  <c r="AE217" i="16" s="1"/>
  <c r="AE201" i="16"/>
  <c r="AD201" i="16"/>
  <c r="AC185" i="16"/>
  <c r="AE185" i="16" s="1"/>
  <c r="AD168" i="16"/>
  <c r="AE168" i="16"/>
  <c r="AD152" i="16"/>
  <c r="AE152" i="16"/>
  <c r="AD136" i="16"/>
  <c r="AE136" i="16"/>
  <c r="AE120" i="16"/>
  <c r="AD120" i="16"/>
  <c r="AE104" i="16"/>
  <c r="AD104" i="16"/>
  <c r="AD88" i="16"/>
  <c r="AE88" i="16"/>
  <c r="AC72" i="16"/>
  <c r="AE72" i="16" s="1"/>
  <c r="AC56" i="16"/>
  <c r="AE56" i="16" s="1"/>
  <c r="AD40" i="16"/>
  <c r="AE40" i="16"/>
  <c r="AC24" i="16"/>
  <c r="AE24" i="16" s="1"/>
  <c r="AD8" i="16"/>
  <c r="AE8" i="16"/>
  <c r="AD144" i="16"/>
  <c r="AE144" i="16"/>
  <c r="AC32" i="16"/>
  <c r="AE32" i="16" s="1"/>
  <c r="AD311" i="16"/>
  <c r="AE311" i="16"/>
  <c r="AD296" i="16"/>
  <c r="AE296" i="16"/>
  <c r="AC280" i="16"/>
  <c r="AD280" i="16" s="1"/>
  <c r="AE264" i="16"/>
  <c r="AD264" i="16"/>
  <c r="AE248" i="16"/>
  <c r="AD248" i="16"/>
  <c r="AE232" i="16"/>
  <c r="AD232" i="16"/>
  <c r="AE216" i="16"/>
  <c r="AD216" i="16"/>
  <c r="AE200" i="16"/>
  <c r="AD200" i="16"/>
  <c r="AD184" i="16"/>
  <c r="AE184" i="16"/>
  <c r="AD167" i="16"/>
  <c r="AE167" i="16"/>
  <c r="AD151" i="16"/>
  <c r="AE151" i="16"/>
  <c r="AD135" i="16"/>
  <c r="AE135" i="16"/>
  <c r="AD119" i="16"/>
  <c r="AE119" i="16"/>
  <c r="AC103" i="16"/>
  <c r="AE103" i="16" s="1"/>
  <c r="AD87" i="16"/>
  <c r="AE87" i="16"/>
  <c r="AE71" i="16"/>
  <c r="AD71" i="16"/>
  <c r="AD55" i="16"/>
  <c r="AE55" i="16"/>
  <c r="AE7" i="16"/>
  <c r="AD7" i="16"/>
  <c r="AD193" i="16"/>
  <c r="AE193" i="16"/>
  <c r="AD96" i="16"/>
  <c r="AE96" i="16"/>
  <c r="AD297" i="16"/>
  <c r="AE297" i="16"/>
  <c r="AC310" i="16"/>
  <c r="AE310" i="16" s="1"/>
  <c r="AH295" i="16"/>
  <c r="AI295" i="16" s="1"/>
  <c r="AL295" i="16"/>
  <c r="AF295" i="16"/>
  <c r="AD279" i="16"/>
  <c r="AE279" i="16"/>
  <c r="AD263" i="16"/>
  <c r="AE263" i="16"/>
  <c r="AD247" i="16"/>
  <c r="AE247" i="16"/>
  <c r="AD231" i="16"/>
  <c r="AE231" i="16"/>
  <c r="AD215" i="16"/>
  <c r="AE215" i="16"/>
  <c r="AD199" i="16"/>
  <c r="AE199" i="16"/>
  <c r="AD166" i="16"/>
  <c r="AE166" i="16"/>
  <c r="AE150" i="16"/>
  <c r="AD150" i="16"/>
  <c r="AD134" i="16"/>
  <c r="AE134" i="16"/>
  <c r="AC102" i="16"/>
  <c r="AD102" i="16" s="1"/>
  <c r="AD86" i="16"/>
  <c r="AE86" i="16"/>
  <c r="AE70" i="16"/>
  <c r="AD70" i="16"/>
  <c r="AD54" i="16"/>
  <c r="AE54" i="16"/>
  <c r="AE38" i="16"/>
  <c r="AD38" i="16"/>
  <c r="AD22" i="16"/>
  <c r="AE22" i="16"/>
  <c r="AD6" i="16"/>
  <c r="AE6" i="16"/>
  <c r="AD315" i="16"/>
  <c r="AE315" i="16"/>
  <c r="AE309" i="16"/>
  <c r="AD309" i="16"/>
  <c r="AD294" i="16"/>
  <c r="AE294" i="16"/>
  <c r="AC278" i="16"/>
  <c r="AD278" i="16" s="1"/>
  <c r="AD262" i="16"/>
  <c r="AE262" i="16"/>
  <c r="AD246" i="16"/>
  <c r="AE246" i="16"/>
  <c r="AD230" i="16"/>
  <c r="AE230" i="16"/>
  <c r="AE214" i="16"/>
  <c r="AD214" i="16"/>
  <c r="AD198" i="16"/>
  <c r="AE198" i="16"/>
  <c r="AD181" i="16"/>
  <c r="AE181" i="16"/>
  <c r="AD165" i="16"/>
  <c r="AE165" i="16"/>
  <c r="AD149" i="16"/>
  <c r="AE149" i="16"/>
  <c r="AD133" i="16"/>
  <c r="AE133" i="16"/>
  <c r="AF117" i="16"/>
  <c r="AJ117" i="16" s="1"/>
  <c r="AL117" i="16"/>
  <c r="AH117" i="16"/>
  <c r="AI117" i="16" s="1"/>
  <c r="AD101" i="16"/>
  <c r="AE101" i="16"/>
  <c r="AE85" i="16"/>
  <c r="AD85" i="16"/>
  <c r="AC69" i="16"/>
  <c r="AD69" i="16" s="1"/>
  <c r="AD53" i="16"/>
  <c r="AE53" i="16"/>
  <c r="AE37" i="16"/>
  <c r="AD37" i="16"/>
  <c r="AE21" i="16"/>
  <c r="AD21" i="16"/>
  <c r="AE5" i="16"/>
  <c r="AD5" i="16"/>
  <c r="AC225" i="16"/>
  <c r="AE225" i="16" s="1"/>
  <c r="AD308" i="16"/>
  <c r="AE308" i="16"/>
  <c r="AD293" i="16"/>
  <c r="AE293" i="16"/>
  <c r="AD277" i="16"/>
  <c r="AE277" i="16"/>
  <c r="AD261" i="16"/>
  <c r="AE261" i="16"/>
  <c r="AC245" i="16"/>
  <c r="AE245" i="16" s="1"/>
  <c r="AC229" i="16"/>
  <c r="AE229" i="16" s="1"/>
  <c r="AC213" i="16"/>
  <c r="AE213" i="16" s="1"/>
  <c r="AC197" i="16"/>
  <c r="AE197" i="16" s="1"/>
  <c r="AD180" i="16"/>
  <c r="AE180" i="16"/>
  <c r="AD164" i="16"/>
  <c r="AE164" i="16"/>
  <c r="AD148" i="16"/>
  <c r="AE148" i="16"/>
  <c r="AE132" i="16"/>
  <c r="AD132" i="16"/>
  <c r="AE100" i="16"/>
  <c r="AD100" i="16"/>
  <c r="AC84" i="16"/>
  <c r="AD84" i="16" s="1"/>
  <c r="AD68" i="16"/>
  <c r="AE68" i="16"/>
  <c r="AC52" i="16"/>
  <c r="AE52" i="16" s="1"/>
  <c r="AC36" i="16"/>
  <c r="AE36" i="16" s="1"/>
  <c r="AD20" i="16"/>
  <c r="AE20" i="16"/>
  <c r="AC4" i="16"/>
  <c r="AE4" i="16" s="1"/>
  <c r="AC273" i="16"/>
  <c r="AE273" i="16" s="1"/>
  <c r="AE128" i="16"/>
  <c r="AD128" i="16"/>
  <c r="AD182" i="16"/>
  <c r="AE182" i="16"/>
  <c r="AD307" i="16"/>
  <c r="AE307" i="16"/>
  <c r="AE276" i="16"/>
  <c r="AD276" i="16"/>
  <c r="AC260" i="16"/>
  <c r="AD260" i="16" s="1"/>
  <c r="AE244" i="16"/>
  <c r="AD244" i="16"/>
  <c r="AC228" i="16"/>
  <c r="AD228" i="16" s="1"/>
  <c r="AE212" i="16"/>
  <c r="AD212" i="16"/>
  <c r="AE196" i="16"/>
  <c r="AD196" i="16"/>
  <c r="AE179" i="16"/>
  <c r="AD179" i="16"/>
  <c r="AE163" i="16"/>
  <c r="AD163" i="16"/>
  <c r="AD147" i="16"/>
  <c r="AE147" i="16"/>
  <c r="AD131" i="16"/>
  <c r="AE131" i="16"/>
  <c r="AD115" i="16"/>
  <c r="AE115" i="16"/>
  <c r="AE99" i="16"/>
  <c r="AD99" i="16"/>
  <c r="AE83" i="16"/>
  <c r="AD83" i="16"/>
  <c r="AD67" i="16"/>
  <c r="AE67" i="16"/>
  <c r="AD51" i="16"/>
  <c r="AE51" i="16"/>
  <c r="AD35" i="16"/>
  <c r="AE35" i="16"/>
  <c r="AE19" i="16"/>
  <c r="AD19" i="16"/>
  <c r="AC257" i="16"/>
  <c r="AE257" i="16" s="1"/>
  <c r="AD291" i="16"/>
  <c r="AE291" i="16"/>
  <c r="AE275" i="16"/>
  <c r="AD275" i="16"/>
  <c r="AE259" i="16"/>
  <c r="AD259" i="16"/>
  <c r="AC243" i="16"/>
  <c r="AE243" i="16" s="1"/>
  <c r="AD227" i="16"/>
  <c r="AE227" i="16"/>
  <c r="AD211" i="16"/>
  <c r="AE211" i="16"/>
  <c r="AE195" i="16"/>
  <c r="AD195" i="16"/>
  <c r="AE178" i="16"/>
  <c r="AD178" i="16"/>
  <c r="AE162" i="16"/>
  <c r="AD162" i="16"/>
  <c r="AE146" i="16"/>
  <c r="AD146" i="16"/>
  <c r="AD130" i="16"/>
  <c r="AE130" i="16"/>
  <c r="AD98" i="16"/>
  <c r="AE98" i="16"/>
  <c r="AE82" i="16"/>
  <c r="AD82" i="16"/>
  <c r="AC66" i="16"/>
  <c r="AD66" i="16" s="1"/>
  <c r="AE50" i="16"/>
  <c r="AD50" i="16"/>
  <c r="AE34" i="16"/>
  <c r="AD34" i="16"/>
  <c r="AE18" i="16"/>
  <c r="AD18" i="16"/>
  <c r="AD3" i="16"/>
  <c r="AE3" i="16"/>
  <c r="AE321" i="16"/>
  <c r="AD321" i="16"/>
  <c r="AD306" i="16"/>
  <c r="AE306" i="16"/>
  <c r="AD290" i="16"/>
  <c r="AE290" i="16"/>
  <c r="AE274" i="16"/>
  <c r="AD274" i="16"/>
  <c r="AE258" i="16"/>
  <c r="AD258" i="16"/>
  <c r="AE242" i="16"/>
  <c r="AD242" i="16"/>
  <c r="AE226" i="16"/>
  <c r="AD226" i="16"/>
  <c r="AD210" i="16"/>
  <c r="AE210" i="16"/>
  <c r="AD194" i="16"/>
  <c r="AE194" i="16"/>
  <c r="AD177" i="16"/>
  <c r="AE177" i="16"/>
  <c r="AD161" i="16"/>
  <c r="AE161" i="16"/>
  <c r="AE145" i="16"/>
  <c r="AD145" i="16"/>
  <c r="AD113" i="16"/>
  <c r="AE113" i="16"/>
  <c r="AE97" i="16"/>
  <c r="AD97" i="16"/>
  <c r="AC81" i="16"/>
  <c r="AD81" i="16" s="1"/>
  <c r="AE65" i="16"/>
  <c r="AD65" i="16"/>
  <c r="AE49" i="16"/>
  <c r="AD49" i="16"/>
  <c r="AD33" i="16"/>
  <c r="AE33" i="16"/>
  <c r="AE17" i="16"/>
  <c r="AD17" i="16"/>
  <c r="AD183" i="16"/>
  <c r="AE183" i="16"/>
  <c r="C198" i="9"/>
  <c r="C104" i="9"/>
  <c r="C233" i="9"/>
  <c r="AF175" i="16" l="1"/>
  <c r="AL118" i="16"/>
  <c r="AF118" i="16"/>
  <c r="AJ118" i="16" s="1"/>
  <c r="AI121" i="16"/>
  <c r="AM121" i="16" s="1"/>
  <c r="AI118" i="16"/>
  <c r="AI322" i="16"/>
  <c r="AM322" i="16" s="1"/>
  <c r="AI114" i="16"/>
  <c r="AM114" i="16" s="1"/>
  <c r="AI129" i="16"/>
  <c r="AM129" i="16" s="1"/>
  <c r="AI292" i="16"/>
  <c r="AM292" i="16" s="1"/>
  <c r="AI116" i="16"/>
  <c r="AM116" i="16" s="1"/>
  <c r="AI255" i="16"/>
  <c r="AM255" i="16" s="1"/>
  <c r="AI39" i="16"/>
  <c r="AM39" i="16" s="1"/>
  <c r="AI254" i="16"/>
  <c r="AM254" i="16" s="1"/>
  <c r="AH115" i="16"/>
  <c r="AI115" i="16" s="1"/>
  <c r="AD213" i="16"/>
  <c r="AL51" i="16"/>
  <c r="AE278" i="16"/>
  <c r="AF278" i="16" s="1"/>
  <c r="AJ278" i="16" s="1"/>
  <c r="AL3" i="16"/>
  <c r="AF3" i="16"/>
  <c r="AG3" i="16" s="1"/>
  <c r="AK3" i="16" s="1"/>
  <c r="AL22" i="16"/>
  <c r="AD318" i="16"/>
  <c r="AL318" i="16" s="1"/>
  <c r="AH131" i="16"/>
  <c r="AI131" i="16" s="1"/>
  <c r="AD245" i="16"/>
  <c r="AF245" i="16" s="1"/>
  <c r="AD310" i="16"/>
  <c r="AF310" i="16" s="1"/>
  <c r="AG310" i="16" s="1"/>
  <c r="AK310" i="16" s="1"/>
  <c r="AD103" i="16"/>
  <c r="AF103" i="16" s="1"/>
  <c r="AG103" i="16" s="1"/>
  <c r="AK103" i="16" s="1"/>
  <c r="AH27" i="16"/>
  <c r="AI27" i="16" s="1"/>
  <c r="AD171" i="16"/>
  <c r="AF171" i="16" s="1"/>
  <c r="AD48" i="16"/>
  <c r="AF48" i="16" s="1"/>
  <c r="AL224" i="16"/>
  <c r="AF224" i="16"/>
  <c r="AH224" i="16"/>
  <c r="AI224" i="16" s="1"/>
  <c r="AL68" i="16"/>
  <c r="AH68" i="16"/>
  <c r="AI68" i="16" s="1"/>
  <c r="AF68" i="16"/>
  <c r="AH270" i="16"/>
  <c r="AI270" i="16" s="1"/>
  <c r="AF270" i="16"/>
  <c r="AJ270" i="16" s="1"/>
  <c r="AL270" i="16"/>
  <c r="AH179" i="16"/>
  <c r="AI179" i="16" s="1"/>
  <c r="AL179" i="16"/>
  <c r="AF179" i="16"/>
  <c r="AG179" i="16" s="1"/>
  <c r="AK179" i="16" s="1"/>
  <c r="AF21" i="16"/>
  <c r="AH21" i="16"/>
  <c r="AI21" i="16" s="1"/>
  <c r="AL21" i="16"/>
  <c r="AL248" i="16"/>
  <c r="AH248" i="16"/>
  <c r="AI248" i="16" s="1"/>
  <c r="AF248" i="16"/>
  <c r="AF73" i="16"/>
  <c r="AH73" i="16"/>
  <c r="AI73" i="16" s="1"/>
  <c r="AL73" i="16"/>
  <c r="AF218" i="16"/>
  <c r="AJ218" i="16" s="1"/>
  <c r="AL218" i="16"/>
  <c r="AH218" i="16"/>
  <c r="AI218" i="16" s="1"/>
  <c r="AF188" i="16"/>
  <c r="AG188" i="16" s="1"/>
  <c r="AK188" i="16" s="1"/>
  <c r="AH188" i="16"/>
  <c r="AI188" i="16" s="1"/>
  <c r="AL188" i="16"/>
  <c r="AF108" i="16"/>
  <c r="AL108" i="16"/>
  <c r="AH108" i="16"/>
  <c r="AI108" i="16" s="1"/>
  <c r="AL13" i="16"/>
  <c r="AF13" i="16"/>
  <c r="AH13" i="16"/>
  <c r="AI13" i="16" s="1"/>
  <c r="AH286" i="16"/>
  <c r="AI286" i="16" s="1"/>
  <c r="AF286" i="16"/>
  <c r="AL286" i="16"/>
  <c r="AL8" i="16"/>
  <c r="AH8" i="16"/>
  <c r="AI8" i="16" s="1"/>
  <c r="AF8" i="16"/>
  <c r="AL320" i="16"/>
  <c r="AH320" i="16"/>
  <c r="AI320" i="16" s="1"/>
  <c r="AF320" i="16"/>
  <c r="AF177" i="16"/>
  <c r="AH177" i="16"/>
  <c r="AI177" i="16" s="1"/>
  <c r="AL177" i="16"/>
  <c r="AL98" i="16"/>
  <c r="AF98" i="16"/>
  <c r="AH98" i="16"/>
  <c r="AI98" i="16" s="1"/>
  <c r="AD243" i="16"/>
  <c r="AL243" i="16" s="1"/>
  <c r="AF182" i="16"/>
  <c r="AH182" i="16"/>
  <c r="AI182" i="16" s="1"/>
  <c r="AL182" i="16"/>
  <c r="AE84" i="16"/>
  <c r="AF84" i="16" s="1"/>
  <c r="AD229" i="16"/>
  <c r="AL229" i="16" s="1"/>
  <c r="AH133" i="16"/>
  <c r="AI133" i="16" s="1"/>
  <c r="AL133" i="16"/>
  <c r="AF133" i="16"/>
  <c r="AG133" i="16" s="1"/>
  <c r="AK133" i="16" s="1"/>
  <c r="AL262" i="16"/>
  <c r="AF262" i="16"/>
  <c r="AH262" i="16"/>
  <c r="AI262" i="16" s="1"/>
  <c r="AF54" i="16"/>
  <c r="AG54" i="16" s="1"/>
  <c r="AK54" i="16" s="1"/>
  <c r="AL54" i="16"/>
  <c r="AH54" i="16"/>
  <c r="AI54" i="16" s="1"/>
  <c r="AF215" i="16"/>
  <c r="AH215" i="16"/>
  <c r="AI215" i="16" s="1"/>
  <c r="AL215" i="16"/>
  <c r="AF297" i="16"/>
  <c r="AJ297" i="16" s="1"/>
  <c r="AH297" i="16"/>
  <c r="AI297" i="16" s="1"/>
  <c r="AL297" i="16"/>
  <c r="AH119" i="16"/>
  <c r="AI119" i="16" s="1"/>
  <c r="AL119" i="16"/>
  <c r="AF119" i="16"/>
  <c r="AG119" i="16" s="1"/>
  <c r="AK119" i="16" s="1"/>
  <c r="AD24" i="16"/>
  <c r="AF152" i="16"/>
  <c r="AH152" i="16"/>
  <c r="AI152" i="16" s="1"/>
  <c r="AL152" i="16"/>
  <c r="AF281" i="16"/>
  <c r="AL281" i="16"/>
  <c r="AH281" i="16"/>
  <c r="AI281" i="16" s="1"/>
  <c r="AF160" i="16"/>
  <c r="AJ160" i="16" s="1"/>
  <c r="AH160" i="16"/>
  <c r="AI160" i="16" s="1"/>
  <c r="AL160" i="16"/>
  <c r="AH122" i="16"/>
  <c r="AI122" i="16" s="1"/>
  <c r="AF122" i="16"/>
  <c r="AJ122" i="16" s="1"/>
  <c r="AL122" i="16"/>
  <c r="AD251" i="16"/>
  <c r="AF59" i="16"/>
  <c r="AG59" i="16" s="1"/>
  <c r="AK59" i="16" s="1"/>
  <c r="AL59" i="16"/>
  <c r="AH59" i="16"/>
  <c r="AI59" i="16" s="1"/>
  <c r="AL237" i="16"/>
  <c r="AH237" i="16"/>
  <c r="AI237" i="16" s="1"/>
  <c r="AF237" i="16"/>
  <c r="AG237" i="16" s="1"/>
  <c r="AK237" i="16" s="1"/>
  <c r="AF141" i="16"/>
  <c r="AG141" i="16" s="1"/>
  <c r="AK141" i="16" s="1"/>
  <c r="AH141" i="16"/>
  <c r="AI141" i="16" s="1"/>
  <c r="AL141" i="16"/>
  <c r="AL46" i="16"/>
  <c r="AH46" i="16"/>
  <c r="AI46" i="16" s="1"/>
  <c r="AF46" i="16"/>
  <c r="AG46" i="16" s="1"/>
  <c r="AK46" i="16" s="1"/>
  <c r="AH174" i="16"/>
  <c r="AI174" i="16" s="1"/>
  <c r="AL174" i="16"/>
  <c r="AF174" i="16"/>
  <c r="AJ174" i="16" s="1"/>
  <c r="AL240" i="16"/>
  <c r="AF240" i="16"/>
  <c r="AH240" i="16"/>
  <c r="AI240" i="16" s="1"/>
  <c r="AL161" i="16"/>
  <c r="AH161" i="16"/>
  <c r="AI161" i="16" s="1"/>
  <c r="AF161" i="16"/>
  <c r="AH103" i="16"/>
  <c r="AI103" i="16" s="1"/>
  <c r="AH92" i="16"/>
  <c r="AI92" i="16" s="1"/>
  <c r="AL92" i="16"/>
  <c r="AF92" i="16"/>
  <c r="AL95" i="16"/>
  <c r="AF95" i="16"/>
  <c r="AH95" i="16"/>
  <c r="AI95" i="16" s="1"/>
  <c r="AH306" i="16"/>
  <c r="AI306" i="16" s="1"/>
  <c r="AL306" i="16"/>
  <c r="AF306" i="16"/>
  <c r="AJ306" i="16" s="1"/>
  <c r="AH51" i="16"/>
  <c r="AI51" i="16" s="1"/>
  <c r="AF51" i="16"/>
  <c r="AG51" i="16" s="1"/>
  <c r="AK51" i="16" s="1"/>
  <c r="AF49" i="16"/>
  <c r="AJ49" i="16" s="1"/>
  <c r="AH49" i="16"/>
  <c r="AI49" i="16" s="1"/>
  <c r="AL49" i="16"/>
  <c r="AF321" i="16"/>
  <c r="AL321" i="16"/>
  <c r="AH321" i="16"/>
  <c r="AI321" i="16" s="1"/>
  <c r="AH259" i="16"/>
  <c r="AI259" i="16" s="1"/>
  <c r="AL259" i="16"/>
  <c r="AF259" i="16"/>
  <c r="AH196" i="16"/>
  <c r="AI196" i="16" s="1"/>
  <c r="AL196" i="16"/>
  <c r="AF196" i="16"/>
  <c r="AF128" i="16"/>
  <c r="AJ128" i="16" s="1"/>
  <c r="AL128" i="16"/>
  <c r="AH128" i="16"/>
  <c r="AI128" i="16" s="1"/>
  <c r="AH100" i="16"/>
  <c r="AI100" i="16" s="1"/>
  <c r="AL100" i="16"/>
  <c r="AF100" i="16"/>
  <c r="AL37" i="16"/>
  <c r="AF37" i="16"/>
  <c r="AH37" i="16"/>
  <c r="AI37" i="16" s="1"/>
  <c r="AH70" i="16"/>
  <c r="AI70" i="16" s="1"/>
  <c r="AL70" i="16"/>
  <c r="AF70" i="16"/>
  <c r="AJ70" i="16" s="1"/>
  <c r="AF264" i="16"/>
  <c r="AJ264" i="16" s="1"/>
  <c r="AH264" i="16"/>
  <c r="AI264" i="16" s="1"/>
  <c r="AL264" i="16"/>
  <c r="AL89" i="16"/>
  <c r="AH89" i="16"/>
  <c r="AI89" i="16" s="1"/>
  <c r="AF89" i="16"/>
  <c r="AJ89" i="16" s="1"/>
  <c r="AF234" i="16"/>
  <c r="AL234" i="16"/>
  <c r="AH234" i="16"/>
  <c r="AI234" i="16" s="1"/>
  <c r="AL10" i="16"/>
  <c r="AH10" i="16"/>
  <c r="AI10" i="16" s="1"/>
  <c r="AF10" i="16"/>
  <c r="AG10" i="16" s="1"/>
  <c r="AK10" i="16" s="1"/>
  <c r="AH267" i="16"/>
  <c r="AI267" i="16" s="1"/>
  <c r="AL267" i="16"/>
  <c r="AF267" i="16"/>
  <c r="AH75" i="16"/>
  <c r="AI75" i="16" s="1"/>
  <c r="AL75" i="16"/>
  <c r="AF75" i="16"/>
  <c r="AG75" i="16" s="1"/>
  <c r="AK75" i="16" s="1"/>
  <c r="AF204" i="16"/>
  <c r="AH204" i="16"/>
  <c r="AI204" i="16" s="1"/>
  <c r="AL204" i="16"/>
  <c r="AH124" i="16"/>
  <c r="AI124" i="16" s="1"/>
  <c r="AL124" i="16"/>
  <c r="AF124" i="16"/>
  <c r="AF29" i="16"/>
  <c r="AH29" i="16"/>
  <c r="AI29" i="16" s="1"/>
  <c r="AL29" i="16"/>
  <c r="AH302" i="16"/>
  <c r="AI302" i="16" s="1"/>
  <c r="AL302" i="16"/>
  <c r="AF302" i="16"/>
  <c r="AJ302" i="16" s="1"/>
  <c r="AH111" i="16"/>
  <c r="AI111" i="16" s="1"/>
  <c r="AF111" i="16"/>
  <c r="AL111" i="16"/>
  <c r="AL125" i="16"/>
  <c r="AF125" i="16"/>
  <c r="AG125" i="16" s="1"/>
  <c r="AK125" i="16" s="1"/>
  <c r="AH125" i="16"/>
  <c r="AI125" i="16" s="1"/>
  <c r="AF33" i="16"/>
  <c r="AH33" i="16"/>
  <c r="AI33" i="16" s="1"/>
  <c r="AL33" i="16"/>
  <c r="AF194" i="16"/>
  <c r="AL194" i="16"/>
  <c r="AH194" i="16"/>
  <c r="AI194" i="16" s="1"/>
  <c r="AH130" i="16"/>
  <c r="AI130" i="16" s="1"/>
  <c r="AL130" i="16"/>
  <c r="AF130" i="16"/>
  <c r="AJ130" i="16" s="1"/>
  <c r="AL67" i="16"/>
  <c r="AF67" i="16"/>
  <c r="AG67" i="16" s="1"/>
  <c r="AK67" i="16" s="1"/>
  <c r="AH67" i="16"/>
  <c r="AI67" i="16" s="1"/>
  <c r="AL149" i="16"/>
  <c r="AF149" i="16"/>
  <c r="AJ149" i="16" s="1"/>
  <c r="AH149" i="16"/>
  <c r="AI149" i="16" s="1"/>
  <c r="AL231" i="16"/>
  <c r="AF231" i="16"/>
  <c r="AH231" i="16"/>
  <c r="AI231" i="16" s="1"/>
  <c r="AH96" i="16"/>
  <c r="AI96" i="16" s="1"/>
  <c r="AL96" i="16"/>
  <c r="AF96" i="16"/>
  <c r="AJ96" i="16" s="1"/>
  <c r="AF135" i="16"/>
  <c r="AH135" i="16"/>
  <c r="AI135" i="16" s="1"/>
  <c r="AL135" i="16"/>
  <c r="AH40" i="16"/>
  <c r="AI40" i="16" s="1"/>
  <c r="AL40" i="16"/>
  <c r="AF40" i="16"/>
  <c r="AJ40" i="16" s="1"/>
  <c r="AF168" i="16"/>
  <c r="AH168" i="16"/>
  <c r="AI168" i="16" s="1"/>
  <c r="AL168" i="16"/>
  <c r="AL312" i="16"/>
  <c r="AH312" i="16"/>
  <c r="AI312" i="16" s="1"/>
  <c r="AF312" i="16"/>
  <c r="AF138" i="16"/>
  <c r="AL138" i="16"/>
  <c r="AH138" i="16"/>
  <c r="AI138" i="16" s="1"/>
  <c r="AH176" i="16"/>
  <c r="AI176" i="16" s="1"/>
  <c r="AF176" i="16"/>
  <c r="AL176" i="16"/>
  <c r="AH253" i="16"/>
  <c r="AI253" i="16" s="1"/>
  <c r="AF253" i="16"/>
  <c r="AG253" i="16" s="1"/>
  <c r="AK253" i="16" s="1"/>
  <c r="AL253" i="16"/>
  <c r="AF157" i="16"/>
  <c r="AL157" i="16"/>
  <c r="AH157" i="16"/>
  <c r="AI157" i="16" s="1"/>
  <c r="AH62" i="16"/>
  <c r="AI62" i="16" s="1"/>
  <c r="AL62" i="16"/>
  <c r="AF62" i="16"/>
  <c r="AG62" i="16" s="1"/>
  <c r="AK62" i="16" s="1"/>
  <c r="AF191" i="16"/>
  <c r="AG191" i="16" s="1"/>
  <c r="AK191" i="16" s="1"/>
  <c r="AH191" i="16"/>
  <c r="AI191" i="16" s="1"/>
  <c r="AL191" i="16"/>
  <c r="AH256" i="16"/>
  <c r="AI256" i="16" s="1"/>
  <c r="AF256" i="16"/>
  <c r="AL256" i="16"/>
  <c r="AF290" i="16"/>
  <c r="AL290" i="16"/>
  <c r="AH290" i="16"/>
  <c r="AI290" i="16" s="1"/>
  <c r="AH199" i="16"/>
  <c r="AI199" i="16" s="1"/>
  <c r="AF199" i="16"/>
  <c r="AJ199" i="16" s="1"/>
  <c r="AL199" i="16"/>
  <c r="AF106" i="16"/>
  <c r="AH106" i="16"/>
  <c r="AI106" i="16" s="1"/>
  <c r="AL106" i="16"/>
  <c r="AH158" i="16"/>
  <c r="AI158" i="16" s="1"/>
  <c r="AL158" i="16"/>
  <c r="AF158" i="16"/>
  <c r="AJ158" i="16" s="1"/>
  <c r="AF65" i="16"/>
  <c r="AH65" i="16"/>
  <c r="AI65" i="16" s="1"/>
  <c r="AL65" i="16"/>
  <c r="AF83" i="16"/>
  <c r="AL83" i="16"/>
  <c r="AH83" i="16"/>
  <c r="AI83" i="16" s="1"/>
  <c r="AF132" i="16"/>
  <c r="AL132" i="16"/>
  <c r="AH132" i="16"/>
  <c r="AI132" i="16" s="1"/>
  <c r="AL112" i="16"/>
  <c r="AH112" i="16"/>
  <c r="AI112" i="16" s="1"/>
  <c r="AF112" i="16"/>
  <c r="AJ112" i="16" s="1"/>
  <c r="AF250" i="16"/>
  <c r="AL250" i="16"/>
  <c r="AH250" i="16"/>
  <c r="AI250" i="16" s="1"/>
  <c r="AH26" i="16"/>
  <c r="AI26" i="16" s="1"/>
  <c r="AL26" i="16"/>
  <c r="AF26" i="16"/>
  <c r="AG26" i="16" s="1"/>
  <c r="AK26" i="16" s="1"/>
  <c r="AF154" i="16"/>
  <c r="AL154" i="16"/>
  <c r="AH154" i="16"/>
  <c r="AI154" i="16" s="1"/>
  <c r="AH220" i="16"/>
  <c r="AI220" i="16" s="1"/>
  <c r="AF220" i="16"/>
  <c r="AL220" i="16"/>
  <c r="AF140" i="16"/>
  <c r="AG140" i="16" s="1"/>
  <c r="AK140" i="16" s="1"/>
  <c r="AL140" i="16"/>
  <c r="AH140" i="16"/>
  <c r="AI140" i="16" s="1"/>
  <c r="AF317" i="16"/>
  <c r="AJ317" i="16" s="1"/>
  <c r="AL317" i="16"/>
  <c r="AH317" i="16"/>
  <c r="AI317" i="16" s="1"/>
  <c r="AJ209" i="16"/>
  <c r="AM209" i="16" s="1"/>
  <c r="AF127" i="16"/>
  <c r="AG127" i="16" s="1"/>
  <c r="AK127" i="16" s="1"/>
  <c r="AH127" i="16"/>
  <c r="AI127" i="16" s="1"/>
  <c r="AL127" i="16"/>
  <c r="AF307" i="16"/>
  <c r="AG307" i="16" s="1"/>
  <c r="AK307" i="16" s="1"/>
  <c r="AL307" i="16"/>
  <c r="AH307" i="16"/>
  <c r="AI307" i="16" s="1"/>
  <c r="AL202" i="16"/>
  <c r="AF202" i="16"/>
  <c r="AG202" i="16" s="1"/>
  <c r="AK202" i="16" s="1"/>
  <c r="AH202" i="16"/>
  <c r="AI202" i="16" s="1"/>
  <c r="AL30" i="16"/>
  <c r="AF30" i="16"/>
  <c r="AH30" i="16"/>
  <c r="AI30" i="16" s="1"/>
  <c r="AL146" i="16"/>
  <c r="AH146" i="16"/>
  <c r="AI146" i="16" s="1"/>
  <c r="AF146" i="16"/>
  <c r="AL275" i="16"/>
  <c r="AF275" i="16"/>
  <c r="AG275" i="16" s="1"/>
  <c r="AK275" i="16" s="1"/>
  <c r="AH275" i="16"/>
  <c r="AI275" i="16" s="1"/>
  <c r="AH212" i="16"/>
  <c r="AI212" i="16" s="1"/>
  <c r="AF212" i="16"/>
  <c r="AL212" i="16"/>
  <c r="AF210" i="16"/>
  <c r="AH210" i="16"/>
  <c r="AI210" i="16" s="1"/>
  <c r="AL210" i="16"/>
  <c r="AH3" i="16"/>
  <c r="AI3" i="16" s="1"/>
  <c r="AD273" i="16"/>
  <c r="AF261" i="16"/>
  <c r="AG261" i="16" s="1"/>
  <c r="AK261" i="16" s="1"/>
  <c r="AH261" i="16"/>
  <c r="AI261" i="16" s="1"/>
  <c r="AL261" i="16"/>
  <c r="AL53" i="16"/>
  <c r="AF53" i="16"/>
  <c r="AH53" i="16"/>
  <c r="AI53" i="16" s="1"/>
  <c r="AL165" i="16"/>
  <c r="AH165" i="16"/>
  <c r="AI165" i="16" s="1"/>
  <c r="AF165" i="16"/>
  <c r="AJ165" i="16" s="1"/>
  <c r="AL294" i="16"/>
  <c r="AH294" i="16"/>
  <c r="AI294" i="16" s="1"/>
  <c r="AF294" i="16"/>
  <c r="AH86" i="16"/>
  <c r="AI86" i="16" s="1"/>
  <c r="AL86" i="16"/>
  <c r="AF86" i="16"/>
  <c r="AF247" i="16"/>
  <c r="AL247" i="16"/>
  <c r="AH247" i="16"/>
  <c r="AI247" i="16" s="1"/>
  <c r="AH193" i="16"/>
  <c r="AI193" i="16" s="1"/>
  <c r="AL193" i="16"/>
  <c r="AF193" i="16"/>
  <c r="AH151" i="16"/>
  <c r="AI151" i="16" s="1"/>
  <c r="AL151" i="16"/>
  <c r="AF151" i="16"/>
  <c r="AE280" i="16"/>
  <c r="AF280" i="16" s="1"/>
  <c r="AD56" i="16"/>
  <c r="AD185" i="16"/>
  <c r="AF185" i="16" s="1"/>
  <c r="AF105" i="16"/>
  <c r="AL105" i="16"/>
  <c r="AH105" i="16"/>
  <c r="AI105" i="16" s="1"/>
  <c r="AF283" i="16"/>
  <c r="AL283" i="16"/>
  <c r="AH283" i="16"/>
  <c r="AI283" i="16" s="1"/>
  <c r="AF91" i="16"/>
  <c r="AG91" i="16" s="1"/>
  <c r="AK91" i="16" s="1"/>
  <c r="AH91" i="16"/>
  <c r="AI91" i="16" s="1"/>
  <c r="AL91" i="16"/>
  <c r="AE12" i="16"/>
  <c r="AF12" i="16" s="1"/>
  <c r="AD269" i="16"/>
  <c r="AE45" i="16"/>
  <c r="AL45" i="16" s="1"/>
  <c r="AF173" i="16"/>
  <c r="AH173" i="16"/>
  <c r="AI173" i="16" s="1"/>
  <c r="AL173" i="16"/>
  <c r="AH78" i="16"/>
  <c r="AI78" i="16" s="1"/>
  <c r="AL78" i="16"/>
  <c r="AF78" i="16"/>
  <c r="AG78" i="16" s="1"/>
  <c r="AK78" i="16" s="1"/>
  <c r="AH207" i="16"/>
  <c r="AI207" i="16" s="1"/>
  <c r="AF207" i="16"/>
  <c r="AJ207" i="16" s="1"/>
  <c r="AL207" i="16"/>
  <c r="AF272" i="16"/>
  <c r="AH272" i="16"/>
  <c r="AI272" i="16" s="1"/>
  <c r="AL272" i="16"/>
  <c r="AH170" i="16"/>
  <c r="AI170" i="16" s="1"/>
  <c r="AL170" i="16"/>
  <c r="AF170" i="16"/>
  <c r="AH236" i="16"/>
  <c r="AI236" i="16" s="1"/>
  <c r="AF236" i="16"/>
  <c r="AL236" i="16"/>
  <c r="AL61" i="16"/>
  <c r="AF61" i="16"/>
  <c r="AJ61" i="16" s="1"/>
  <c r="AH61" i="16"/>
  <c r="AI61" i="16" s="1"/>
  <c r="AF15" i="16"/>
  <c r="AJ15" i="16" s="1"/>
  <c r="AH15" i="16"/>
  <c r="AI15" i="16" s="1"/>
  <c r="AL15" i="16"/>
  <c r="AH143" i="16"/>
  <c r="AI143" i="16" s="1"/>
  <c r="AF143" i="16"/>
  <c r="AJ143" i="16" s="1"/>
  <c r="AL143" i="16"/>
  <c r="AF99" i="16"/>
  <c r="AG99" i="16" s="1"/>
  <c r="AK99" i="16" s="1"/>
  <c r="AH99" i="16"/>
  <c r="AI99" i="16" s="1"/>
  <c r="AL99" i="16"/>
  <c r="AF309" i="16"/>
  <c r="AJ309" i="16" s="1"/>
  <c r="AH309" i="16"/>
  <c r="AI309" i="16" s="1"/>
  <c r="AL309" i="16"/>
  <c r="AH305" i="16"/>
  <c r="AI305" i="16" s="1"/>
  <c r="AF305" i="16"/>
  <c r="AJ305" i="16" s="1"/>
  <c r="AL305" i="16"/>
  <c r="AH42" i="16"/>
  <c r="AI42" i="16" s="1"/>
  <c r="AF42" i="16"/>
  <c r="AL42" i="16"/>
  <c r="AE81" i="16"/>
  <c r="AF81" i="16" s="1"/>
  <c r="AJ81" i="16" s="1"/>
  <c r="AL291" i="16"/>
  <c r="AH291" i="16"/>
  <c r="AI291" i="16" s="1"/>
  <c r="AF291" i="16"/>
  <c r="AE228" i="16"/>
  <c r="AF228" i="16" s="1"/>
  <c r="AD4" i="16"/>
  <c r="AF148" i="16"/>
  <c r="AH148" i="16"/>
  <c r="AI148" i="16" s="1"/>
  <c r="AL148" i="16"/>
  <c r="AF277" i="16"/>
  <c r="AG277" i="16" s="1"/>
  <c r="AK277" i="16" s="1"/>
  <c r="AL277" i="16"/>
  <c r="AH277" i="16"/>
  <c r="AI277" i="16" s="1"/>
  <c r="AE69" i="16"/>
  <c r="AL69" i="16" s="1"/>
  <c r="AL181" i="16"/>
  <c r="AF181" i="16"/>
  <c r="AH181" i="16"/>
  <c r="AI181" i="16" s="1"/>
  <c r="AE102" i="16"/>
  <c r="AH102" i="16" s="1"/>
  <c r="AI102" i="16" s="1"/>
  <c r="AF263" i="16"/>
  <c r="AG263" i="16" s="1"/>
  <c r="AK263" i="16" s="1"/>
  <c r="AL263" i="16"/>
  <c r="AH263" i="16"/>
  <c r="AI263" i="16" s="1"/>
  <c r="AF167" i="16"/>
  <c r="AH167" i="16"/>
  <c r="AI167" i="16" s="1"/>
  <c r="AL167" i="16"/>
  <c r="AF296" i="16"/>
  <c r="AJ296" i="16" s="1"/>
  <c r="AH296" i="16"/>
  <c r="AI296" i="16" s="1"/>
  <c r="AL296" i="16"/>
  <c r="AD72" i="16"/>
  <c r="AL137" i="16"/>
  <c r="AF137" i="16"/>
  <c r="AG137" i="16" s="1"/>
  <c r="AK137" i="16" s="1"/>
  <c r="AH137" i="16"/>
  <c r="AI137" i="16" s="1"/>
  <c r="AL299" i="16"/>
  <c r="AF299" i="16"/>
  <c r="AH299" i="16"/>
  <c r="AI299" i="16" s="1"/>
  <c r="AE107" i="16"/>
  <c r="AF107" i="16" s="1"/>
  <c r="AF28" i="16"/>
  <c r="AJ28" i="16" s="1"/>
  <c r="AH28" i="16"/>
  <c r="AI28" i="16" s="1"/>
  <c r="AL28" i="16"/>
  <c r="AF156" i="16"/>
  <c r="AJ156" i="16" s="1"/>
  <c r="AL156" i="16"/>
  <c r="AH156" i="16"/>
  <c r="AI156" i="16" s="1"/>
  <c r="AF285" i="16"/>
  <c r="AH285" i="16"/>
  <c r="AI285" i="16" s="1"/>
  <c r="AL285" i="16"/>
  <c r="AF190" i="16"/>
  <c r="AJ190" i="16" s="1"/>
  <c r="AL190" i="16"/>
  <c r="AH190" i="16"/>
  <c r="AI190" i="16" s="1"/>
  <c r="AD303" i="16"/>
  <c r="AL94" i="16"/>
  <c r="AH94" i="16"/>
  <c r="AI94" i="16" s="1"/>
  <c r="AF94" i="16"/>
  <c r="AF223" i="16"/>
  <c r="AH223" i="16"/>
  <c r="AI223" i="16" s="1"/>
  <c r="AL223" i="16"/>
  <c r="AF43" i="16"/>
  <c r="AJ43" i="16" s="1"/>
  <c r="AH43" i="16"/>
  <c r="AI43" i="16" s="1"/>
  <c r="AL43" i="16"/>
  <c r="AF201" i="16"/>
  <c r="AG201" i="16" s="1"/>
  <c r="AK201" i="16" s="1"/>
  <c r="AH201" i="16"/>
  <c r="AI201" i="16" s="1"/>
  <c r="AL201" i="16"/>
  <c r="AF97" i="16"/>
  <c r="AL97" i="16"/>
  <c r="AH97" i="16"/>
  <c r="AI97" i="16" s="1"/>
  <c r="AH34" i="16"/>
  <c r="AI34" i="16" s="1"/>
  <c r="AL34" i="16"/>
  <c r="AF34" i="16"/>
  <c r="AJ34" i="16" s="1"/>
  <c r="AH244" i="16"/>
  <c r="AI244" i="16" s="1"/>
  <c r="AF244" i="16"/>
  <c r="AL244" i="16"/>
  <c r="AH85" i="16"/>
  <c r="AI85" i="16" s="1"/>
  <c r="AF85" i="16"/>
  <c r="AL85" i="16"/>
  <c r="AL9" i="16"/>
  <c r="AH9" i="16"/>
  <c r="AI9" i="16" s="1"/>
  <c r="AF9" i="16"/>
  <c r="AJ9" i="16" s="1"/>
  <c r="AL153" i="16"/>
  <c r="AF153" i="16"/>
  <c r="AG153" i="16" s="1"/>
  <c r="AK153" i="16" s="1"/>
  <c r="AH153" i="16"/>
  <c r="AI153" i="16" s="1"/>
  <c r="AH58" i="16"/>
  <c r="AI58" i="16" s="1"/>
  <c r="AL58" i="16"/>
  <c r="AF58" i="16"/>
  <c r="AG58" i="16" s="1"/>
  <c r="AK58" i="16" s="1"/>
  <c r="AF314" i="16"/>
  <c r="AL314" i="16"/>
  <c r="AH314" i="16"/>
  <c r="AI314" i="16" s="1"/>
  <c r="AF252" i="16"/>
  <c r="AL252" i="16"/>
  <c r="AH252" i="16"/>
  <c r="AI252" i="16" s="1"/>
  <c r="AL44" i="16"/>
  <c r="AF44" i="16"/>
  <c r="AH44" i="16"/>
  <c r="AI44" i="16" s="1"/>
  <c r="AL77" i="16"/>
  <c r="AF77" i="16"/>
  <c r="AH77" i="16"/>
  <c r="AI77" i="16" s="1"/>
  <c r="AL110" i="16"/>
  <c r="AF110" i="16"/>
  <c r="AG110" i="16" s="1"/>
  <c r="AK110" i="16" s="1"/>
  <c r="AH110" i="16"/>
  <c r="AI110" i="16" s="1"/>
  <c r="AL31" i="16"/>
  <c r="AH31" i="16"/>
  <c r="AI31" i="16" s="1"/>
  <c r="AF31" i="16"/>
  <c r="AL159" i="16"/>
  <c r="AF159" i="16"/>
  <c r="AH159" i="16"/>
  <c r="AI159" i="16" s="1"/>
  <c r="AF288" i="16"/>
  <c r="AH288" i="16"/>
  <c r="AI288" i="16" s="1"/>
  <c r="AL288" i="16"/>
  <c r="AH213" i="16"/>
  <c r="AI213" i="16" s="1"/>
  <c r="AL213" i="16"/>
  <c r="AF213" i="16"/>
  <c r="AJ213" i="16" s="1"/>
  <c r="AH57" i="16"/>
  <c r="AI57" i="16" s="1"/>
  <c r="AL57" i="16"/>
  <c r="AF57" i="16"/>
  <c r="AJ57" i="16" s="1"/>
  <c r="AF18" i="16"/>
  <c r="AG18" i="16" s="1"/>
  <c r="AK18" i="16" s="1"/>
  <c r="AL18" i="16"/>
  <c r="AH18" i="16"/>
  <c r="AI18" i="16" s="1"/>
  <c r="AF266" i="16"/>
  <c r="AH266" i="16"/>
  <c r="AI266" i="16" s="1"/>
  <c r="AL266" i="16"/>
  <c r="AF242" i="16"/>
  <c r="AL242" i="16"/>
  <c r="AH242" i="16"/>
  <c r="AI242" i="16" s="1"/>
  <c r="AL178" i="16"/>
  <c r="AF178" i="16"/>
  <c r="AG178" i="16" s="1"/>
  <c r="AK178" i="16" s="1"/>
  <c r="AH178" i="16"/>
  <c r="AI178" i="16" s="1"/>
  <c r="AL115" i="16"/>
  <c r="AF115" i="16"/>
  <c r="AG115" i="16" s="1"/>
  <c r="AK115" i="16" s="1"/>
  <c r="AL20" i="16"/>
  <c r="AF20" i="16"/>
  <c r="AH20" i="16"/>
  <c r="AI20" i="16" s="1"/>
  <c r="AL164" i="16"/>
  <c r="AF164" i="16"/>
  <c r="AJ164" i="16" s="1"/>
  <c r="AH164" i="16"/>
  <c r="AI164" i="16" s="1"/>
  <c r="AH293" i="16"/>
  <c r="AI293" i="16" s="1"/>
  <c r="AL293" i="16"/>
  <c r="AF293" i="16"/>
  <c r="AG293" i="16" s="1"/>
  <c r="AK293" i="16" s="1"/>
  <c r="AF198" i="16"/>
  <c r="AH198" i="16"/>
  <c r="AI198" i="16" s="1"/>
  <c r="AL198" i="16"/>
  <c r="AF315" i="16"/>
  <c r="AL315" i="16"/>
  <c r="AH315" i="16"/>
  <c r="AI315" i="16" s="1"/>
  <c r="AL134" i="16"/>
  <c r="AF134" i="16"/>
  <c r="AH134" i="16"/>
  <c r="AI134" i="16" s="1"/>
  <c r="AF279" i="16"/>
  <c r="AL279" i="16"/>
  <c r="AH279" i="16"/>
  <c r="AI279" i="16" s="1"/>
  <c r="AF55" i="16"/>
  <c r="AH55" i="16"/>
  <c r="AI55" i="16" s="1"/>
  <c r="AL55" i="16"/>
  <c r="AH184" i="16"/>
  <c r="AI184" i="16" s="1"/>
  <c r="AL184" i="16"/>
  <c r="AF184" i="16"/>
  <c r="AJ184" i="16" s="1"/>
  <c r="AF311" i="16"/>
  <c r="AJ311" i="16" s="1"/>
  <c r="AL311" i="16"/>
  <c r="AH311" i="16"/>
  <c r="AI311" i="16" s="1"/>
  <c r="AH88" i="16"/>
  <c r="AI88" i="16" s="1"/>
  <c r="AF88" i="16"/>
  <c r="AL88" i="16"/>
  <c r="AD217" i="16"/>
  <c r="AF217" i="16" s="1"/>
  <c r="AF282" i="16"/>
  <c r="AL282" i="16"/>
  <c r="AH282" i="16"/>
  <c r="AI282" i="16" s="1"/>
  <c r="AL187" i="16"/>
  <c r="AH187" i="16"/>
  <c r="AI187" i="16" s="1"/>
  <c r="AF187" i="16"/>
  <c r="AJ187" i="16" s="1"/>
  <c r="AD123" i="16"/>
  <c r="AL172" i="16"/>
  <c r="AF172" i="16"/>
  <c r="AH172" i="16"/>
  <c r="AI172" i="16" s="1"/>
  <c r="AH301" i="16"/>
  <c r="AI301" i="16" s="1"/>
  <c r="AL301" i="16"/>
  <c r="AF301" i="16"/>
  <c r="AL206" i="16"/>
  <c r="AF206" i="16"/>
  <c r="AG206" i="16" s="1"/>
  <c r="AK206" i="16" s="1"/>
  <c r="AH206" i="16"/>
  <c r="AI206" i="16" s="1"/>
  <c r="AF319" i="16"/>
  <c r="AH319" i="16"/>
  <c r="AI319" i="16" s="1"/>
  <c r="AL319" i="16"/>
  <c r="AF239" i="16"/>
  <c r="AL239" i="16"/>
  <c r="AH239" i="16"/>
  <c r="AI239" i="16" s="1"/>
  <c r="AJ175" i="16"/>
  <c r="AH265" i="16"/>
  <c r="AI265" i="16" s="1"/>
  <c r="AF265" i="16"/>
  <c r="AL265" i="16"/>
  <c r="AF162" i="16"/>
  <c r="AJ162" i="16" s="1"/>
  <c r="AL162" i="16"/>
  <c r="AH162" i="16"/>
  <c r="AI162" i="16" s="1"/>
  <c r="AL258" i="16"/>
  <c r="AH258" i="16"/>
  <c r="AI258" i="16" s="1"/>
  <c r="AF258" i="16"/>
  <c r="AL195" i="16"/>
  <c r="AH195" i="16"/>
  <c r="AI195" i="16" s="1"/>
  <c r="AL214" i="16"/>
  <c r="AF214" i="16"/>
  <c r="AJ214" i="16" s="1"/>
  <c r="AH214" i="16"/>
  <c r="AI214" i="16" s="1"/>
  <c r="AF150" i="16"/>
  <c r="AH150" i="16"/>
  <c r="AI150" i="16" s="1"/>
  <c r="AL150" i="16"/>
  <c r="AJ295" i="16"/>
  <c r="AF71" i="16"/>
  <c r="AH71" i="16"/>
  <c r="AI71" i="16" s="1"/>
  <c r="AL71" i="16"/>
  <c r="AL200" i="16"/>
  <c r="AF200" i="16"/>
  <c r="AH200" i="16"/>
  <c r="AI200" i="16" s="1"/>
  <c r="AF104" i="16"/>
  <c r="AJ104" i="16" s="1"/>
  <c r="AH104" i="16"/>
  <c r="AI104" i="16" s="1"/>
  <c r="AL104" i="16"/>
  <c r="AH74" i="16"/>
  <c r="AI74" i="16" s="1"/>
  <c r="AL74" i="16"/>
  <c r="AF74" i="16"/>
  <c r="AG74" i="16" s="1"/>
  <c r="AK74" i="16" s="1"/>
  <c r="AF139" i="16"/>
  <c r="AJ139" i="16" s="1"/>
  <c r="AH139" i="16"/>
  <c r="AI139" i="16" s="1"/>
  <c r="AL139" i="16"/>
  <c r="AL268" i="16"/>
  <c r="AH268" i="16"/>
  <c r="AI268" i="16" s="1"/>
  <c r="AF268" i="16"/>
  <c r="AJ268" i="16" s="1"/>
  <c r="AF47" i="16"/>
  <c r="AH47" i="16"/>
  <c r="AI47" i="16" s="1"/>
  <c r="AL47" i="16"/>
  <c r="AG175" i="16"/>
  <c r="AK175" i="16" s="1"/>
  <c r="AH175" i="16"/>
  <c r="AI175" i="16" s="1"/>
  <c r="AL175" i="16"/>
  <c r="AD80" i="16"/>
  <c r="AF246" i="16"/>
  <c r="AH246" i="16"/>
  <c r="AI246" i="16" s="1"/>
  <c r="AL246" i="16"/>
  <c r="AF300" i="16"/>
  <c r="AL300" i="16"/>
  <c r="AH300" i="16"/>
  <c r="AI300" i="16" s="1"/>
  <c r="AL226" i="16"/>
  <c r="AF226" i="16"/>
  <c r="AH226" i="16"/>
  <c r="AI226" i="16" s="1"/>
  <c r="AF7" i="16"/>
  <c r="AH7" i="16"/>
  <c r="AI7" i="16" s="1"/>
  <c r="AL7" i="16"/>
  <c r="AH50" i="16"/>
  <c r="AI50" i="16" s="1"/>
  <c r="AL50" i="16"/>
  <c r="AF50" i="16"/>
  <c r="AG50" i="16" s="1"/>
  <c r="AK50" i="16" s="1"/>
  <c r="AH113" i="16"/>
  <c r="AI113" i="16" s="1"/>
  <c r="AF113" i="16"/>
  <c r="AG113" i="16" s="1"/>
  <c r="AK113" i="16" s="1"/>
  <c r="AL113" i="16"/>
  <c r="AF195" i="16"/>
  <c r="AD257" i="16"/>
  <c r="AL131" i="16"/>
  <c r="AF131" i="16"/>
  <c r="AJ131" i="16" s="1"/>
  <c r="AE260" i="16"/>
  <c r="AH260" i="16" s="1"/>
  <c r="AI260" i="16" s="1"/>
  <c r="AD36" i="16"/>
  <c r="AF180" i="16"/>
  <c r="AG180" i="16" s="1"/>
  <c r="AK180" i="16" s="1"/>
  <c r="AH180" i="16"/>
  <c r="AI180" i="16" s="1"/>
  <c r="AL180" i="16"/>
  <c r="AH308" i="16"/>
  <c r="AI308" i="16" s="1"/>
  <c r="AL308" i="16"/>
  <c r="AF308" i="16"/>
  <c r="AL101" i="16"/>
  <c r="AH101" i="16"/>
  <c r="AI101" i="16" s="1"/>
  <c r="AF101" i="16"/>
  <c r="AH6" i="16"/>
  <c r="AI6" i="16" s="1"/>
  <c r="AL6" i="16"/>
  <c r="AF6" i="16"/>
  <c r="AJ6" i="16" s="1"/>
  <c r="AG295" i="16"/>
  <c r="AK295" i="16" s="1"/>
  <c r="AD32" i="16"/>
  <c r="AD233" i="16"/>
  <c r="AE25" i="16"/>
  <c r="AF25" i="16" s="1"/>
  <c r="AF169" i="16"/>
  <c r="AL169" i="16"/>
  <c r="AH169" i="16"/>
  <c r="AI169" i="16" s="1"/>
  <c r="AH298" i="16"/>
  <c r="AI298" i="16" s="1"/>
  <c r="AL298" i="16"/>
  <c r="AF298" i="16"/>
  <c r="AF203" i="16"/>
  <c r="AH203" i="16"/>
  <c r="AI203" i="16" s="1"/>
  <c r="AL203" i="16"/>
  <c r="AD11" i="16"/>
  <c r="AH11" i="16" s="1"/>
  <c r="AF60" i="16"/>
  <c r="AL60" i="16"/>
  <c r="AH60" i="16"/>
  <c r="AI60" i="16" s="1"/>
  <c r="AD189" i="16"/>
  <c r="AL189" i="16" s="1"/>
  <c r="AF316" i="16"/>
  <c r="AJ316" i="16" s="1"/>
  <c r="AH316" i="16"/>
  <c r="AI316" i="16" s="1"/>
  <c r="AL316" i="16"/>
  <c r="AE93" i="16"/>
  <c r="AF93" i="16" s="1"/>
  <c r="AJ93" i="16" s="1"/>
  <c r="AF222" i="16"/>
  <c r="AH222" i="16"/>
  <c r="AI222" i="16" s="1"/>
  <c r="AL222" i="16"/>
  <c r="AH241" i="16"/>
  <c r="AI241" i="16" s="1"/>
  <c r="AF241" i="16"/>
  <c r="AL241" i="16"/>
  <c r="AH126" i="16"/>
  <c r="AI126" i="16" s="1"/>
  <c r="AF126" i="16"/>
  <c r="AG126" i="16" s="1"/>
  <c r="AK126" i="16" s="1"/>
  <c r="AL126" i="16"/>
  <c r="AL271" i="16"/>
  <c r="AH271" i="16"/>
  <c r="AI271" i="16" s="1"/>
  <c r="AF271" i="16"/>
  <c r="AF192" i="16"/>
  <c r="AH192" i="16"/>
  <c r="AI192" i="16" s="1"/>
  <c r="AL192" i="16"/>
  <c r="AF289" i="16"/>
  <c r="AL289" i="16"/>
  <c r="AH289" i="16"/>
  <c r="AI289" i="16" s="1"/>
  <c r="AH227" i="16"/>
  <c r="AI227" i="16" s="1"/>
  <c r="AL227" i="16"/>
  <c r="AF227" i="16"/>
  <c r="AG227" i="16" s="1"/>
  <c r="AK227" i="16" s="1"/>
  <c r="AH235" i="16"/>
  <c r="AI235" i="16" s="1"/>
  <c r="AF235" i="16"/>
  <c r="AJ235" i="16" s="1"/>
  <c r="AL235" i="16"/>
  <c r="AF145" i="16"/>
  <c r="AL145" i="16"/>
  <c r="AH145" i="16"/>
  <c r="AI145" i="16" s="1"/>
  <c r="AF274" i="16"/>
  <c r="AH274" i="16"/>
  <c r="AI274" i="16" s="1"/>
  <c r="AL274" i="16"/>
  <c r="AF216" i="16"/>
  <c r="AH216" i="16"/>
  <c r="AI216" i="16" s="1"/>
  <c r="AL216" i="16"/>
  <c r="AL120" i="16"/>
  <c r="AH120" i="16"/>
  <c r="AI120" i="16" s="1"/>
  <c r="AF120" i="16"/>
  <c r="AF41" i="16"/>
  <c r="AH41" i="16"/>
  <c r="AI41" i="16" s="1"/>
  <c r="AL41" i="16"/>
  <c r="AL219" i="16"/>
  <c r="AH219" i="16"/>
  <c r="AI219" i="16" s="1"/>
  <c r="AF219" i="16"/>
  <c r="AF63" i="16"/>
  <c r="AH63" i="16"/>
  <c r="AI63" i="16" s="1"/>
  <c r="AL63" i="16"/>
  <c r="AL35" i="16"/>
  <c r="AF35" i="16"/>
  <c r="AG35" i="16" s="1"/>
  <c r="AK35" i="16" s="1"/>
  <c r="AH35" i="16"/>
  <c r="AI35" i="16" s="1"/>
  <c r="AF136" i="16"/>
  <c r="AJ136" i="16" s="1"/>
  <c r="AH136" i="16"/>
  <c r="AI136" i="16" s="1"/>
  <c r="AL136" i="16"/>
  <c r="AH228" i="16"/>
  <c r="AI228" i="16" s="1"/>
  <c r="AL228" i="16"/>
  <c r="AF19" i="16"/>
  <c r="AL19" i="16"/>
  <c r="AH19" i="16"/>
  <c r="AI19" i="16" s="1"/>
  <c r="AL276" i="16"/>
  <c r="AF276" i="16"/>
  <c r="AH276" i="16"/>
  <c r="AI276" i="16" s="1"/>
  <c r="AE66" i="16"/>
  <c r="AF66" i="16" s="1"/>
  <c r="AJ66" i="16" s="1"/>
  <c r="AL211" i="16"/>
  <c r="AH211" i="16"/>
  <c r="AI211" i="16" s="1"/>
  <c r="AF211" i="16"/>
  <c r="AJ211" i="16" s="1"/>
  <c r="AH147" i="16"/>
  <c r="AI147" i="16" s="1"/>
  <c r="AF147" i="16"/>
  <c r="AL147" i="16"/>
  <c r="AD52" i="16"/>
  <c r="AD197" i="16"/>
  <c r="AD225" i="16"/>
  <c r="AH230" i="16"/>
  <c r="AI230" i="16" s="1"/>
  <c r="AL230" i="16"/>
  <c r="AF230" i="16"/>
  <c r="AJ230" i="16" s="1"/>
  <c r="AH22" i="16"/>
  <c r="AI22" i="16" s="1"/>
  <c r="AF22" i="16"/>
  <c r="AF166" i="16"/>
  <c r="AH166" i="16"/>
  <c r="AI166" i="16" s="1"/>
  <c r="AL166" i="16"/>
  <c r="AL87" i="16"/>
  <c r="AH87" i="16"/>
  <c r="AI87" i="16" s="1"/>
  <c r="AF87" i="16"/>
  <c r="AH144" i="16"/>
  <c r="AI144" i="16" s="1"/>
  <c r="AF144" i="16"/>
  <c r="AL144" i="16"/>
  <c r="AD249" i="16"/>
  <c r="AL249" i="16" s="1"/>
  <c r="AF186" i="16"/>
  <c r="AJ186" i="16" s="1"/>
  <c r="AL186" i="16"/>
  <c r="AH186" i="16"/>
  <c r="AI186" i="16" s="1"/>
  <c r="AL313" i="16"/>
  <c r="AF313" i="16"/>
  <c r="AH313" i="16"/>
  <c r="AI313" i="16" s="1"/>
  <c r="AE90" i="16"/>
  <c r="AH90" i="16" s="1"/>
  <c r="AL27" i="16"/>
  <c r="AF27" i="16"/>
  <c r="AG27" i="16" s="1"/>
  <c r="AK27" i="16" s="1"/>
  <c r="AD155" i="16"/>
  <c r="AH284" i="16"/>
  <c r="AI284" i="16" s="1"/>
  <c r="AF284" i="16"/>
  <c r="AL284" i="16"/>
  <c r="AH76" i="16"/>
  <c r="AI76" i="16" s="1"/>
  <c r="AL76" i="16"/>
  <c r="AF76" i="16"/>
  <c r="AJ76" i="16" s="1"/>
  <c r="AD205" i="16"/>
  <c r="AH64" i="16"/>
  <c r="AI64" i="16" s="1"/>
  <c r="AL64" i="16"/>
  <c r="AF64" i="16"/>
  <c r="AL109" i="16"/>
  <c r="AH109" i="16"/>
  <c r="AI109" i="16" s="1"/>
  <c r="AF109" i="16"/>
  <c r="AF238" i="16"/>
  <c r="AH238" i="16"/>
  <c r="AI238" i="16" s="1"/>
  <c r="AL238" i="16"/>
  <c r="AL14" i="16"/>
  <c r="AF14" i="16"/>
  <c r="AG14" i="16" s="1"/>
  <c r="AK14" i="16" s="1"/>
  <c r="AH14" i="16"/>
  <c r="AI14" i="16" s="1"/>
  <c r="AH142" i="16"/>
  <c r="AI142" i="16" s="1"/>
  <c r="AL142" i="16"/>
  <c r="AF142" i="16"/>
  <c r="AG142" i="16" s="1"/>
  <c r="AK142" i="16" s="1"/>
  <c r="AD287" i="16"/>
  <c r="AH208" i="16"/>
  <c r="AI208" i="16" s="1"/>
  <c r="AF208" i="16"/>
  <c r="AL208" i="16"/>
  <c r="AH221" i="16"/>
  <c r="AI221" i="16" s="1"/>
  <c r="AL221" i="16"/>
  <c r="AF17" i="16"/>
  <c r="AH17" i="16"/>
  <c r="AI17" i="16" s="1"/>
  <c r="AL17" i="16"/>
  <c r="AL82" i="16"/>
  <c r="AF82" i="16"/>
  <c r="AG82" i="16" s="1"/>
  <c r="AK82" i="16" s="1"/>
  <c r="AH82" i="16"/>
  <c r="AI82" i="16" s="1"/>
  <c r="AL163" i="16"/>
  <c r="AH163" i="16"/>
  <c r="AI163" i="16" s="1"/>
  <c r="AF163" i="16"/>
  <c r="AF5" i="16"/>
  <c r="AH5" i="16"/>
  <c r="AI5" i="16" s="1"/>
  <c r="AL5" i="16"/>
  <c r="AG117" i="16"/>
  <c r="AK117" i="16" s="1"/>
  <c r="AL38" i="16"/>
  <c r="AH38" i="16"/>
  <c r="AI38" i="16" s="1"/>
  <c r="AF38" i="16"/>
  <c r="AL232" i="16"/>
  <c r="AF232" i="16"/>
  <c r="AH232" i="16"/>
  <c r="AI232" i="16" s="1"/>
  <c r="AF304" i="16"/>
  <c r="AJ304" i="16" s="1"/>
  <c r="AH304" i="16"/>
  <c r="AI304" i="16" s="1"/>
  <c r="AL304" i="16"/>
  <c r="AF221" i="16"/>
  <c r="AD79" i="16"/>
  <c r="AF16" i="16"/>
  <c r="AH16" i="16"/>
  <c r="AI16" i="16" s="1"/>
  <c r="AL16" i="16"/>
  <c r="AL183" i="16"/>
  <c r="AH183" i="16"/>
  <c r="AI183" i="16" s="1"/>
  <c r="AF183" i="16"/>
  <c r="AG118" i="16" l="1"/>
  <c r="AK118" i="16" s="1"/>
  <c r="AL278" i="16"/>
  <c r="AH278" i="16"/>
  <c r="AI278" i="16" s="1"/>
  <c r="AH318" i="16"/>
  <c r="AI318" i="16" s="1"/>
  <c r="AF318" i="16"/>
  <c r="AG318" i="16" s="1"/>
  <c r="AK318" i="16" s="1"/>
  <c r="AL48" i="16"/>
  <c r="AH48" i="16"/>
  <c r="AI48" i="16" s="1"/>
  <c r="AF69" i="16"/>
  <c r="AJ69" i="16" s="1"/>
  <c r="AH69" i="16"/>
  <c r="AI69" i="16" s="1"/>
  <c r="AJ3" i="16"/>
  <c r="AM3" i="16" s="1"/>
  <c r="AL103" i="16"/>
  <c r="AG122" i="16"/>
  <c r="AK122" i="16" s="1"/>
  <c r="AL171" i="16"/>
  <c r="AG296" i="16"/>
  <c r="AK296" i="16" s="1"/>
  <c r="AL66" i="16"/>
  <c r="AH66" i="16"/>
  <c r="AI66" i="16" s="1"/>
  <c r="AH171" i="16"/>
  <c r="AI171" i="16" s="1"/>
  <c r="AF260" i="16"/>
  <c r="AL102" i="16"/>
  <c r="AG158" i="16"/>
  <c r="AK158" i="16" s="1"/>
  <c r="AF102" i="16"/>
  <c r="AG102" i="16" s="1"/>
  <c r="AK102" i="16" s="1"/>
  <c r="AG49" i="16"/>
  <c r="AK49" i="16" s="1"/>
  <c r="AL310" i="16"/>
  <c r="AH310" i="16"/>
  <c r="AI310" i="16" s="1"/>
  <c r="AG207" i="16"/>
  <c r="AK207" i="16" s="1"/>
  <c r="AG218" i="16"/>
  <c r="AK218" i="16" s="1"/>
  <c r="AH245" i="16"/>
  <c r="AI245" i="16" s="1"/>
  <c r="AG245" i="16"/>
  <c r="AK245" i="16" s="1"/>
  <c r="AL245" i="16"/>
  <c r="AH45" i="16"/>
  <c r="AI45" i="16" s="1"/>
  <c r="AG162" i="16"/>
  <c r="AK162" i="16" s="1"/>
  <c r="AG309" i="16"/>
  <c r="AK309" i="16" s="1"/>
  <c r="AG104" i="16"/>
  <c r="AK104" i="16" s="1"/>
  <c r="AG61" i="16"/>
  <c r="AK61" i="16" s="1"/>
  <c r="AG131" i="16"/>
  <c r="AK131" i="16" s="1"/>
  <c r="AG34" i="16"/>
  <c r="AK34" i="16" s="1"/>
  <c r="AG305" i="16"/>
  <c r="AK305" i="16" s="1"/>
  <c r="AG165" i="16"/>
  <c r="AK165" i="16" s="1"/>
  <c r="AG304" i="16"/>
  <c r="AK304" i="16" s="1"/>
  <c r="AG311" i="16"/>
  <c r="AK311" i="16" s="1"/>
  <c r="AG76" i="16"/>
  <c r="AK76" i="16" s="1"/>
  <c r="AG270" i="16"/>
  <c r="AK270" i="16" s="1"/>
  <c r="AG9" i="16"/>
  <c r="AK9" i="16" s="1"/>
  <c r="AG184" i="16"/>
  <c r="AK184" i="16" s="1"/>
  <c r="AG43" i="16"/>
  <c r="AK43" i="16" s="1"/>
  <c r="AG139" i="16"/>
  <c r="AK139" i="16" s="1"/>
  <c r="AL81" i="16"/>
  <c r="AG81" i="16"/>
  <c r="AK81" i="16" s="1"/>
  <c r="AH12" i="16"/>
  <c r="AI12" i="16" s="1"/>
  <c r="AH81" i="16"/>
  <c r="AI81" i="16" s="1"/>
  <c r="AG211" i="16"/>
  <c r="AK211" i="16" s="1"/>
  <c r="AG213" i="16"/>
  <c r="AK213" i="16" s="1"/>
  <c r="AL280" i="16"/>
  <c r="AG128" i="16"/>
  <c r="AK128" i="16" s="1"/>
  <c r="AM175" i="16"/>
  <c r="AG186" i="16"/>
  <c r="AK186" i="16" s="1"/>
  <c r="AG199" i="16"/>
  <c r="AK199" i="16" s="1"/>
  <c r="AG306" i="16"/>
  <c r="AK306" i="16" s="1"/>
  <c r="AG268" i="16"/>
  <c r="AK268" i="16" s="1"/>
  <c r="AG190" i="16"/>
  <c r="AK190" i="16" s="1"/>
  <c r="AH107" i="16"/>
  <c r="AI107" i="16" s="1"/>
  <c r="AG149" i="16"/>
  <c r="AK149" i="16" s="1"/>
  <c r="AG160" i="16"/>
  <c r="AK160" i="16" s="1"/>
  <c r="AG6" i="16"/>
  <c r="AK6" i="16" s="1"/>
  <c r="AG297" i="16"/>
  <c r="AK297" i="16" s="1"/>
  <c r="AG187" i="16"/>
  <c r="AK187" i="16" s="1"/>
  <c r="AG107" i="16"/>
  <c r="AK107" i="16" s="1"/>
  <c r="AJ107" i="16"/>
  <c r="AJ185" i="16"/>
  <c r="AJ280" i="16"/>
  <c r="AJ12" i="16"/>
  <c r="AJ84" i="16"/>
  <c r="AG84" i="16"/>
  <c r="AK84" i="16" s="1"/>
  <c r="AJ25" i="16"/>
  <c r="AG16" i="16"/>
  <c r="AK16" i="16" s="1"/>
  <c r="AJ16" i="16"/>
  <c r="AG161" i="16"/>
  <c r="AK161" i="16" s="1"/>
  <c r="AJ161" i="16"/>
  <c r="AJ59" i="16"/>
  <c r="AM59" i="16" s="1"/>
  <c r="AG215" i="16"/>
  <c r="AK215" i="16" s="1"/>
  <c r="AJ215" i="16"/>
  <c r="AG248" i="16"/>
  <c r="AK248" i="16" s="1"/>
  <c r="AJ248" i="16"/>
  <c r="AG7" i="16"/>
  <c r="AK7" i="16" s="1"/>
  <c r="AJ7" i="16"/>
  <c r="AG5" i="16"/>
  <c r="AK5" i="16" s="1"/>
  <c r="AJ5" i="16"/>
  <c r="AJ19" i="16"/>
  <c r="AG145" i="16"/>
  <c r="AK145" i="16" s="1"/>
  <c r="AJ145" i="16"/>
  <c r="AJ195" i="16"/>
  <c r="AG226" i="16"/>
  <c r="AK226" i="16" s="1"/>
  <c r="AJ226" i="16"/>
  <c r="AJ74" i="16"/>
  <c r="AM74" i="16" s="1"/>
  <c r="AG134" i="16"/>
  <c r="AK134" i="16" s="1"/>
  <c r="AJ134" i="16"/>
  <c r="AG85" i="16"/>
  <c r="AK85" i="16" s="1"/>
  <c r="AJ85" i="16"/>
  <c r="AJ202" i="16"/>
  <c r="AM202" i="16" s="1"/>
  <c r="AG220" i="16"/>
  <c r="AK220" i="16" s="1"/>
  <c r="AJ220" i="16"/>
  <c r="AG112" i="16"/>
  <c r="AK112" i="16" s="1"/>
  <c r="AG290" i="16"/>
  <c r="AK290" i="16" s="1"/>
  <c r="AJ290" i="16"/>
  <c r="AG231" i="16"/>
  <c r="AK231" i="16" s="1"/>
  <c r="AJ231" i="16"/>
  <c r="AG302" i="16"/>
  <c r="AK302" i="16" s="1"/>
  <c r="AJ75" i="16"/>
  <c r="AM75" i="16" s="1"/>
  <c r="AH251" i="16"/>
  <c r="AI251" i="16" s="1"/>
  <c r="AL251" i="16"/>
  <c r="AF251" i="16"/>
  <c r="AJ251" i="16" s="1"/>
  <c r="AH24" i="16"/>
  <c r="AI24" i="16" s="1"/>
  <c r="AF24" i="16"/>
  <c r="AL24" i="16"/>
  <c r="AH243" i="16"/>
  <c r="AI243" i="16" s="1"/>
  <c r="AF243" i="16"/>
  <c r="AG172" i="16"/>
  <c r="AK172" i="16" s="1"/>
  <c r="AJ172" i="16"/>
  <c r="AG314" i="16"/>
  <c r="AK314" i="16" s="1"/>
  <c r="AJ314" i="16"/>
  <c r="AG208" i="16"/>
  <c r="AK208" i="16" s="1"/>
  <c r="AJ208" i="16"/>
  <c r="AJ27" i="16"/>
  <c r="AM27" i="16" s="1"/>
  <c r="AJ35" i="16"/>
  <c r="AM35" i="16" s="1"/>
  <c r="AG41" i="16"/>
  <c r="AK41" i="16" s="1"/>
  <c r="AJ41" i="16"/>
  <c r="AG222" i="16"/>
  <c r="AK222" i="16" s="1"/>
  <c r="AJ222" i="16"/>
  <c r="AH93" i="16"/>
  <c r="AI93" i="16" s="1"/>
  <c r="AG71" i="16"/>
  <c r="AK71" i="16" s="1"/>
  <c r="AJ71" i="16"/>
  <c r="AL123" i="16"/>
  <c r="AF123" i="16"/>
  <c r="AG20" i="16"/>
  <c r="AK20" i="16" s="1"/>
  <c r="AJ20" i="16"/>
  <c r="AJ242" i="16"/>
  <c r="AG57" i="16"/>
  <c r="AK57" i="16" s="1"/>
  <c r="AJ110" i="16"/>
  <c r="AM110" i="16" s="1"/>
  <c r="AJ58" i="16"/>
  <c r="AM58" i="16" s="1"/>
  <c r="AJ201" i="16"/>
  <c r="AM201" i="16" s="1"/>
  <c r="AG291" i="16"/>
  <c r="AK291" i="16" s="1"/>
  <c r="AJ291" i="16"/>
  <c r="AG53" i="16"/>
  <c r="AK53" i="16" s="1"/>
  <c r="AJ53" i="16"/>
  <c r="AG212" i="16"/>
  <c r="AK212" i="16" s="1"/>
  <c r="AJ212" i="16"/>
  <c r="AG65" i="16"/>
  <c r="AK65" i="16" s="1"/>
  <c r="AJ65" i="16"/>
  <c r="AG168" i="16"/>
  <c r="AK168" i="16" s="1"/>
  <c r="AJ168" i="16"/>
  <c r="AG130" i="16"/>
  <c r="AK130" i="16" s="1"/>
  <c r="AG37" i="16"/>
  <c r="AK37" i="16" s="1"/>
  <c r="AJ37" i="16"/>
  <c r="AG171" i="16"/>
  <c r="AK171" i="16" s="1"/>
  <c r="AJ171" i="16"/>
  <c r="AJ48" i="16"/>
  <c r="AG204" i="16"/>
  <c r="AK204" i="16" s="1"/>
  <c r="AJ204" i="16"/>
  <c r="AG109" i="16"/>
  <c r="AK109" i="16" s="1"/>
  <c r="AJ109" i="16"/>
  <c r="AG298" i="16"/>
  <c r="AK298" i="16" s="1"/>
  <c r="AJ298" i="16"/>
  <c r="AG64" i="16"/>
  <c r="AK64" i="16" s="1"/>
  <c r="AJ64" i="16"/>
  <c r="AG308" i="16"/>
  <c r="AK308" i="16" s="1"/>
  <c r="AJ308" i="16"/>
  <c r="AL93" i="16"/>
  <c r="AM295" i="16"/>
  <c r="AG239" i="16"/>
  <c r="AK239" i="16" s="1"/>
  <c r="AJ239" i="16"/>
  <c r="AJ263" i="16"/>
  <c r="AM263" i="16" s="1"/>
  <c r="AF45" i="16"/>
  <c r="AG256" i="16"/>
  <c r="AK256" i="16" s="1"/>
  <c r="AJ256" i="16"/>
  <c r="AJ253" i="16"/>
  <c r="AM253" i="16" s="1"/>
  <c r="AG40" i="16"/>
  <c r="AK40" i="16" s="1"/>
  <c r="AJ141" i="16"/>
  <c r="AM141" i="16" s="1"/>
  <c r="AG98" i="16"/>
  <c r="AK98" i="16" s="1"/>
  <c r="AJ98" i="16"/>
  <c r="AG8" i="16"/>
  <c r="AK8" i="16" s="1"/>
  <c r="AJ8" i="16"/>
  <c r="AJ167" i="16"/>
  <c r="AG120" i="16"/>
  <c r="AK120" i="16" s="1"/>
  <c r="AJ120" i="16"/>
  <c r="AG192" i="16"/>
  <c r="AK192" i="16" s="1"/>
  <c r="AJ192" i="16"/>
  <c r="AJ113" i="16"/>
  <c r="AM113" i="16" s="1"/>
  <c r="AG93" i="16"/>
  <c r="AK93" i="16" s="1"/>
  <c r="AH25" i="16"/>
  <c r="AI25" i="16" s="1"/>
  <c r="AG244" i="16"/>
  <c r="AK244" i="16" s="1"/>
  <c r="AJ244" i="16"/>
  <c r="AJ137" i="16"/>
  <c r="AM137" i="16" s="1"/>
  <c r="AJ99" i="16"/>
  <c r="AM99" i="16" s="1"/>
  <c r="AG236" i="16"/>
  <c r="AK236" i="16" s="1"/>
  <c r="AJ236" i="16"/>
  <c r="AG247" i="16"/>
  <c r="AK247" i="16" s="1"/>
  <c r="AJ247" i="16"/>
  <c r="AG267" i="16"/>
  <c r="AK267" i="16" s="1"/>
  <c r="AJ267" i="16"/>
  <c r="AJ245" i="16"/>
  <c r="AG240" i="16"/>
  <c r="AK240" i="16" s="1"/>
  <c r="AJ240" i="16"/>
  <c r="AJ119" i="16"/>
  <c r="AM119" i="16" s="1"/>
  <c r="AJ54" i="16"/>
  <c r="AM54" i="16" s="1"/>
  <c r="AG203" i="16"/>
  <c r="AK203" i="16" s="1"/>
  <c r="AJ203" i="16"/>
  <c r="AG279" i="16"/>
  <c r="AK279" i="16" s="1"/>
  <c r="AJ279" i="16"/>
  <c r="AJ83" i="16"/>
  <c r="AH155" i="16"/>
  <c r="AI155" i="16" s="1"/>
  <c r="AL155" i="16"/>
  <c r="AF155" i="16"/>
  <c r="AG157" i="16"/>
  <c r="AK157" i="16" s="1"/>
  <c r="AJ157" i="16"/>
  <c r="AG152" i="16"/>
  <c r="AK152" i="16" s="1"/>
  <c r="AJ152" i="16"/>
  <c r="AJ221" i="16"/>
  <c r="AG166" i="16"/>
  <c r="AK166" i="16" s="1"/>
  <c r="AJ166" i="16"/>
  <c r="AG235" i="16"/>
  <c r="AK235" i="16" s="1"/>
  <c r="AJ271" i="16"/>
  <c r="AG316" i="16"/>
  <c r="AK316" i="16" s="1"/>
  <c r="AL25" i="16"/>
  <c r="AM187" i="16"/>
  <c r="AG315" i="16"/>
  <c r="AK315" i="16" s="1"/>
  <c r="AJ315" i="16"/>
  <c r="AJ115" i="16"/>
  <c r="AM115" i="16" s="1"/>
  <c r="AG266" i="16"/>
  <c r="AK266" i="16" s="1"/>
  <c r="AJ266" i="16"/>
  <c r="AG77" i="16"/>
  <c r="AK77" i="16" s="1"/>
  <c r="AJ77" i="16"/>
  <c r="AG285" i="16"/>
  <c r="AK285" i="16" s="1"/>
  <c r="AJ285" i="16"/>
  <c r="AJ78" i="16"/>
  <c r="AM78" i="16" s="1"/>
  <c r="AG283" i="16"/>
  <c r="AK283" i="16" s="1"/>
  <c r="AJ283" i="16"/>
  <c r="AG86" i="16"/>
  <c r="AK86" i="16" s="1"/>
  <c r="AJ86" i="16"/>
  <c r="AH280" i="16"/>
  <c r="AI280" i="16" s="1"/>
  <c r="AG194" i="16"/>
  <c r="AK194" i="16" s="1"/>
  <c r="AJ194" i="16"/>
  <c r="AG264" i="16"/>
  <c r="AK264" i="16" s="1"/>
  <c r="AG100" i="16"/>
  <c r="AK100" i="16" s="1"/>
  <c r="AJ100" i="16"/>
  <c r="AG321" i="16"/>
  <c r="AK321" i="16" s="1"/>
  <c r="AJ321" i="16"/>
  <c r="AG95" i="16"/>
  <c r="AK95" i="16" s="1"/>
  <c r="AJ95" i="16"/>
  <c r="AJ237" i="16"/>
  <c r="AM237" i="16" s="1"/>
  <c r="AG21" i="16"/>
  <c r="AK21" i="16" s="1"/>
  <c r="AJ21" i="16"/>
  <c r="AG289" i="16"/>
  <c r="AK289" i="16" s="1"/>
  <c r="AJ289" i="16"/>
  <c r="AG87" i="16"/>
  <c r="AK87" i="16" s="1"/>
  <c r="AJ87" i="16"/>
  <c r="AF257" i="16"/>
  <c r="AH257" i="16"/>
  <c r="AI257" i="16" s="1"/>
  <c r="AL257" i="16"/>
  <c r="AJ91" i="16"/>
  <c r="AM91" i="16" s="1"/>
  <c r="AG182" i="16"/>
  <c r="AK182" i="16" s="1"/>
  <c r="AJ182" i="16"/>
  <c r="AJ142" i="16"/>
  <c r="AM142" i="16" s="1"/>
  <c r="AG313" i="16"/>
  <c r="AK313" i="16" s="1"/>
  <c r="AJ313" i="16"/>
  <c r="AG22" i="16"/>
  <c r="AK22" i="16" s="1"/>
  <c r="AJ22" i="16"/>
  <c r="AG66" i="16"/>
  <c r="AK66" i="16" s="1"/>
  <c r="AG63" i="16"/>
  <c r="AK63" i="16" s="1"/>
  <c r="AJ63" i="16"/>
  <c r="AG169" i="16"/>
  <c r="AK169" i="16" s="1"/>
  <c r="AJ169" i="16"/>
  <c r="AL260" i="16"/>
  <c r="AG300" i="16"/>
  <c r="AK300" i="16" s="1"/>
  <c r="AJ300" i="16"/>
  <c r="AG25" i="16"/>
  <c r="AK25" i="16" s="1"/>
  <c r="AG319" i="16"/>
  <c r="AK319" i="16" s="1"/>
  <c r="AJ319" i="16"/>
  <c r="AM184" i="16"/>
  <c r="AH72" i="16"/>
  <c r="AI72" i="16" s="1"/>
  <c r="AL72" i="16"/>
  <c r="AF72" i="16"/>
  <c r="AG181" i="16"/>
  <c r="AK181" i="16" s="1"/>
  <c r="AJ181" i="16"/>
  <c r="AL107" i="16"/>
  <c r="AJ275" i="16"/>
  <c r="AM275" i="16" s="1"/>
  <c r="AJ307" i="16"/>
  <c r="AM307" i="16" s="1"/>
  <c r="AG154" i="16"/>
  <c r="AK154" i="16" s="1"/>
  <c r="AJ154" i="16"/>
  <c r="AG280" i="16"/>
  <c r="AK280" i="16" s="1"/>
  <c r="AG262" i="16"/>
  <c r="AK262" i="16" s="1"/>
  <c r="AJ262" i="16"/>
  <c r="AM117" i="16"/>
  <c r="AJ188" i="16"/>
  <c r="AM188" i="16" s="1"/>
  <c r="AG238" i="16"/>
  <c r="AK238" i="16" s="1"/>
  <c r="AJ238" i="16"/>
  <c r="AG258" i="16"/>
  <c r="AK258" i="16" s="1"/>
  <c r="AJ258" i="16"/>
  <c r="AG299" i="16"/>
  <c r="AK299" i="16" s="1"/>
  <c r="AJ299" i="16"/>
  <c r="AG219" i="16"/>
  <c r="AK219" i="16" s="1"/>
  <c r="AJ219" i="16"/>
  <c r="AG260" i="16"/>
  <c r="AK260" i="16" s="1"/>
  <c r="AJ260" i="16"/>
  <c r="AG150" i="16"/>
  <c r="AK150" i="16" s="1"/>
  <c r="AJ150" i="16"/>
  <c r="AG42" i="16"/>
  <c r="AK42" i="16" s="1"/>
  <c r="AJ42" i="16"/>
  <c r="AJ261" i="16"/>
  <c r="AM261" i="16" s="1"/>
  <c r="AG176" i="16"/>
  <c r="AK176" i="16" s="1"/>
  <c r="AJ176" i="16"/>
  <c r="AG92" i="16"/>
  <c r="AK92" i="16" s="1"/>
  <c r="AJ92" i="16"/>
  <c r="AG163" i="16"/>
  <c r="AK163" i="16" s="1"/>
  <c r="AJ163" i="16"/>
  <c r="AF205" i="16"/>
  <c r="AG205" i="16" s="1"/>
  <c r="AK205" i="16" s="1"/>
  <c r="AL205" i="16"/>
  <c r="AH205" i="16"/>
  <c r="AI205" i="16" s="1"/>
  <c r="AG228" i="16"/>
  <c r="AK228" i="16" s="1"/>
  <c r="AJ228" i="16"/>
  <c r="AG232" i="16"/>
  <c r="AK232" i="16" s="1"/>
  <c r="AJ232" i="16"/>
  <c r="AJ82" i="16"/>
  <c r="AM82" i="16" s="1"/>
  <c r="AG230" i="16"/>
  <c r="AK230" i="16" s="1"/>
  <c r="AG271" i="16"/>
  <c r="AK271" i="16" s="1"/>
  <c r="AH189" i="16"/>
  <c r="AI189" i="16" s="1"/>
  <c r="AF189" i="16"/>
  <c r="AG189" i="16" s="1"/>
  <c r="AK189" i="16" s="1"/>
  <c r="AF233" i="16"/>
  <c r="AG233" i="16" s="1"/>
  <c r="AK233" i="16" s="1"/>
  <c r="AH233" i="16"/>
  <c r="AI233" i="16" s="1"/>
  <c r="AL233" i="16"/>
  <c r="AG198" i="16"/>
  <c r="AK198" i="16" s="1"/>
  <c r="AJ198" i="16"/>
  <c r="AG44" i="16"/>
  <c r="AK44" i="16" s="1"/>
  <c r="AJ44" i="16"/>
  <c r="AG156" i="16"/>
  <c r="AK156" i="16" s="1"/>
  <c r="AG105" i="16"/>
  <c r="AK105" i="16" s="1"/>
  <c r="AJ105" i="16"/>
  <c r="AF273" i="16"/>
  <c r="AJ273" i="16" s="1"/>
  <c r="AH273" i="16"/>
  <c r="AI273" i="16" s="1"/>
  <c r="AL273" i="16"/>
  <c r="AG146" i="16"/>
  <c r="AK146" i="16" s="1"/>
  <c r="AJ146" i="16"/>
  <c r="AJ26" i="16"/>
  <c r="AM26" i="16" s="1"/>
  <c r="AJ191" i="16"/>
  <c r="AM191" i="16" s="1"/>
  <c r="AG33" i="16"/>
  <c r="AK33" i="16" s="1"/>
  <c r="AJ33" i="16"/>
  <c r="AG29" i="16"/>
  <c r="AK29" i="16" s="1"/>
  <c r="AJ29" i="16"/>
  <c r="AJ10" i="16"/>
  <c r="AM10" i="16" s="1"/>
  <c r="AG177" i="16"/>
  <c r="AK177" i="16" s="1"/>
  <c r="AJ177" i="16"/>
  <c r="AG286" i="16"/>
  <c r="AK286" i="16" s="1"/>
  <c r="AJ286" i="16"/>
  <c r="AL84" i="16"/>
  <c r="AJ68" i="16"/>
  <c r="AG193" i="16"/>
  <c r="AK193" i="16" s="1"/>
  <c r="AJ193" i="16"/>
  <c r="AG111" i="16"/>
  <c r="AK111" i="16" s="1"/>
  <c r="AJ111" i="16"/>
  <c r="AG147" i="16"/>
  <c r="AK147" i="16" s="1"/>
  <c r="AJ147" i="16"/>
  <c r="AG47" i="16"/>
  <c r="AK47" i="16" s="1"/>
  <c r="AJ47" i="16"/>
  <c r="AG108" i="16"/>
  <c r="AK108" i="16" s="1"/>
  <c r="AJ108" i="16"/>
  <c r="AL32" i="16"/>
  <c r="AH32" i="16"/>
  <c r="AI32" i="16" s="1"/>
  <c r="AJ180" i="16"/>
  <c r="AM180" i="16" s="1"/>
  <c r="AG246" i="16"/>
  <c r="AK246" i="16" s="1"/>
  <c r="AJ246" i="16"/>
  <c r="AG288" i="16"/>
  <c r="AK288" i="16" s="1"/>
  <c r="AJ288" i="16"/>
  <c r="AJ153" i="16"/>
  <c r="AM153" i="16" s="1"/>
  <c r="AG223" i="16"/>
  <c r="AK223" i="16" s="1"/>
  <c r="AJ223" i="16"/>
  <c r="AG143" i="16"/>
  <c r="AK143" i="16" s="1"/>
  <c r="AG170" i="16"/>
  <c r="AK170" i="16" s="1"/>
  <c r="AJ170" i="16"/>
  <c r="AG185" i="16"/>
  <c r="AK185" i="16" s="1"/>
  <c r="AH185" i="16"/>
  <c r="AI185" i="16" s="1"/>
  <c r="AL185" i="16"/>
  <c r="AG294" i="16"/>
  <c r="AK294" i="16" s="1"/>
  <c r="AJ294" i="16"/>
  <c r="AG124" i="16"/>
  <c r="AK124" i="16" s="1"/>
  <c r="AJ124" i="16"/>
  <c r="AJ133" i="16"/>
  <c r="AM133" i="16" s="1"/>
  <c r="AG68" i="16"/>
  <c r="AK68" i="16" s="1"/>
  <c r="AF287" i="16"/>
  <c r="AG287" i="16" s="1"/>
  <c r="AK287" i="16" s="1"/>
  <c r="AH287" i="16"/>
  <c r="AI287" i="16" s="1"/>
  <c r="AL287" i="16"/>
  <c r="AG276" i="16"/>
  <c r="AK276" i="16" s="1"/>
  <c r="AJ276" i="16"/>
  <c r="AG216" i="16"/>
  <c r="AK216" i="16" s="1"/>
  <c r="AJ216" i="16"/>
  <c r="AJ227" i="16"/>
  <c r="AM227" i="16" s="1"/>
  <c r="AJ50" i="16"/>
  <c r="AM50" i="16" s="1"/>
  <c r="AF80" i="16"/>
  <c r="AJ80" i="16" s="1"/>
  <c r="AH80" i="16"/>
  <c r="AI80" i="16" s="1"/>
  <c r="AL80" i="16"/>
  <c r="AG214" i="16"/>
  <c r="AK214" i="16" s="1"/>
  <c r="AJ206" i="16"/>
  <c r="AM206" i="16" s="1"/>
  <c r="AJ293" i="16"/>
  <c r="AM293" i="16" s="1"/>
  <c r="AG94" i="16"/>
  <c r="AK94" i="16" s="1"/>
  <c r="AJ94" i="16"/>
  <c r="AG173" i="16"/>
  <c r="AK173" i="16" s="1"/>
  <c r="AJ173" i="16"/>
  <c r="AH56" i="16"/>
  <c r="AI56" i="16" s="1"/>
  <c r="AL56" i="16"/>
  <c r="AF56" i="16"/>
  <c r="AG106" i="16"/>
  <c r="AK106" i="16" s="1"/>
  <c r="AJ106" i="16"/>
  <c r="AJ62" i="16"/>
  <c r="AM62" i="16" s="1"/>
  <c r="AG135" i="16"/>
  <c r="AK135" i="16" s="1"/>
  <c r="AJ135" i="16"/>
  <c r="AG70" i="16"/>
  <c r="AK70" i="16" s="1"/>
  <c r="AG174" i="16"/>
  <c r="AK174" i="16" s="1"/>
  <c r="AG48" i="16"/>
  <c r="AK48" i="16" s="1"/>
  <c r="AJ318" i="16"/>
  <c r="AM318" i="16" s="1"/>
  <c r="AH84" i="16"/>
  <c r="AI84" i="16" s="1"/>
  <c r="AH4" i="16"/>
  <c r="AI4" i="16" s="1"/>
  <c r="AF4" i="16"/>
  <c r="AL4" i="16"/>
  <c r="AJ310" i="16"/>
  <c r="AG38" i="16"/>
  <c r="AK38" i="16" s="1"/>
  <c r="AJ38" i="16"/>
  <c r="AJ14" i="16"/>
  <c r="AM14" i="16" s="1"/>
  <c r="AL90" i="16"/>
  <c r="AJ126" i="16"/>
  <c r="AM126" i="16" s="1"/>
  <c r="AG60" i="16"/>
  <c r="AK60" i="16" s="1"/>
  <c r="AJ60" i="16"/>
  <c r="AL36" i="16"/>
  <c r="AH36" i="16"/>
  <c r="AI36" i="16" s="1"/>
  <c r="AF36" i="16"/>
  <c r="AG36" i="16" s="1"/>
  <c r="AK36" i="16" s="1"/>
  <c r="AG282" i="16"/>
  <c r="AK282" i="16" s="1"/>
  <c r="AJ282" i="16"/>
  <c r="AG159" i="16"/>
  <c r="AK159" i="16" s="1"/>
  <c r="AJ159" i="16"/>
  <c r="AG15" i="16"/>
  <c r="AK15" i="16" s="1"/>
  <c r="AJ127" i="16"/>
  <c r="AM127" i="16" s="1"/>
  <c r="AJ140" i="16"/>
  <c r="AM140" i="16" s="1"/>
  <c r="AG132" i="16"/>
  <c r="AK132" i="16" s="1"/>
  <c r="AJ132" i="16"/>
  <c r="AG138" i="16"/>
  <c r="AK138" i="16" s="1"/>
  <c r="AJ138" i="16"/>
  <c r="AJ125" i="16"/>
  <c r="AM125" i="16" s="1"/>
  <c r="AG13" i="16"/>
  <c r="AK13" i="16" s="1"/>
  <c r="AJ13" i="16"/>
  <c r="AG148" i="16"/>
  <c r="AK148" i="16" s="1"/>
  <c r="AJ148" i="16"/>
  <c r="AH249" i="16"/>
  <c r="AI249" i="16" s="1"/>
  <c r="AF249" i="16"/>
  <c r="AL225" i="16"/>
  <c r="AF225" i="16"/>
  <c r="AJ225" i="16" s="1"/>
  <c r="AH225" i="16"/>
  <c r="AI225" i="16" s="1"/>
  <c r="AG136" i="16"/>
  <c r="AK136" i="16" s="1"/>
  <c r="AF90" i="16"/>
  <c r="AL11" i="16"/>
  <c r="AF11" i="16"/>
  <c r="AI11" i="16"/>
  <c r="AF32" i="16"/>
  <c r="AJ32" i="16" s="1"/>
  <c r="AG195" i="16"/>
  <c r="AK195" i="16" s="1"/>
  <c r="AG301" i="16"/>
  <c r="AK301" i="16" s="1"/>
  <c r="AJ301" i="16"/>
  <c r="AL217" i="16"/>
  <c r="AG217" i="16"/>
  <c r="AK217" i="16" s="1"/>
  <c r="AH217" i="16"/>
  <c r="AI217" i="16" s="1"/>
  <c r="AG55" i="16"/>
  <c r="AK55" i="16" s="1"/>
  <c r="AJ55" i="16"/>
  <c r="AJ178" i="16"/>
  <c r="AM178" i="16" s="1"/>
  <c r="AG252" i="16"/>
  <c r="AK252" i="16" s="1"/>
  <c r="AJ252" i="16"/>
  <c r="AG28" i="16"/>
  <c r="AK28" i="16" s="1"/>
  <c r="AJ277" i="16"/>
  <c r="AM277" i="16" s="1"/>
  <c r="AL269" i="16"/>
  <c r="AH269" i="16"/>
  <c r="AI269" i="16" s="1"/>
  <c r="AF269" i="16"/>
  <c r="AG151" i="16"/>
  <c r="AK151" i="16" s="1"/>
  <c r="AJ151" i="16"/>
  <c r="AM165" i="16"/>
  <c r="AG12" i="16"/>
  <c r="AK12" i="16" s="1"/>
  <c r="AG83" i="16"/>
  <c r="AK83" i="16" s="1"/>
  <c r="AG312" i="16"/>
  <c r="AK312" i="16" s="1"/>
  <c r="AJ312" i="16"/>
  <c r="AG96" i="16"/>
  <c r="AK96" i="16" s="1"/>
  <c r="AG196" i="16"/>
  <c r="AK196" i="16" s="1"/>
  <c r="AJ196" i="16"/>
  <c r="AJ46" i="16"/>
  <c r="AM46" i="16" s="1"/>
  <c r="AG281" i="16"/>
  <c r="AK281" i="16" s="1"/>
  <c r="AJ281" i="16"/>
  <c r="AH229" i="16"/>
  <c r="AI229" i="16" s="1"/>
  <c r="AF229" i="16"/>
  <c r="AG210" i="16"/>
  <c r="AK210" i="16" s="1"/>
  <c r="AJ210" i="16"/>
  <c r="AF79" i="16"/>
  <c r="AH79" i="16"/>
  <c r="AI79" i="16" s="1"/>
  <c r="AL79" i="16"/>
  <c r="AG17" i="16"/>
  <c r="AK17" i="16" s="1"/>
  <c r="AJ17" i="16"/>
  <c r="AF197" i="16"/>
  <c r="AH197" i="16"/>
  <c r="AI197" i="16" s="1"/>
  <c r="AL197" i="16"/>
  <c r="AI90" i="16"/>
  <c r="AG265" i="16"/>
  <c r="AK265" i="16" s="1"/>
  <c r="AJ265" i="16"/>
  <c r="AG164" i="16"/>
  <c r="AK164" i="16" s="1"/>
  <c r="AG31" i="16"/>
  <c r="AK31" i="16" s="1"/>
  <c r="AJ31" i="16"/>
  <c r="AH123" i="16"/>
  <c r="AI123" i="16" s="1"/>
  <c r="AG167" i="16"/>
  <c r="AK167" i="16" s="1"/>
  <c r="AG30" i="16"/>
  <c r="AK30" i="16" s="1"/>
  <c r="AJ30" i="16"/>
  <c r="AL12" i="16"/>
  <c r="AJ67" i="16"/>
  <c r="AM67" i="16" s="1"/>
  <c r="AG234" i="16"/>
  <c r="AK234" i="16" s="1"/>
  <c r="AJ234" i="16"/>
  <c r="AG278" i="16"/>
  <c r="AK278" i="16" s="1"/>
  <c r="AJ51" i="16"/>
  <c r="AM51" i="16" s="1"/>
  <c r="AG320" i="16"/>
  <c r="AK320" i="16" s="1"/>
  <c r="AJ320" i="16"/>
  <c r="AJ179" i="16"/>
  <c r="AM179" i="16" s="1"/>
  <c r="AG224" i="16"/>
  <c r="AK224" i="16" s="1"/>
  <c r="AJ224" i="16"/>
  <c r="AG101" i="16"/>
  <c r="AK101" i="16" s="1"/>
  <c r="AJ101" i="16"/>
  <c r="AJ217" i="16"/>
  <c r="AG259" i="16"/>
  <c r="AK259" i="16" s="1"/>
  <c r="AJ259" i="16"/>
  <c r="AG221" i="16"/>
  <c r="AK221" i="16" s="1"/>
  <c r="AG284" i="16"/>
  <c r="AK284" i="16" s="1"/>
  <c r="AJ284" i="16"/>
  <c r="AG144" i="16"/>
  <c r="AK144" i="16" s="1"/>
  <c r="AJ144" i="16"/>
  <c r="AL52" i="16"/>
  <c r="AF52" i="16"/>
  <c r="AH52" i="16"/>
  <c r="AI52" i="16" s="1"/>
  <c r="AG19" i="16"/>
  <c r="AK19" i="16" s="1"/>
  <c r="AG274" i="16"/>
  <c r="AK274" i="16" s="1"/>
  <c r="AJ274" i="16"/>
  <c r="AG241" i="16"/>
  <c r="AK241" i="16" s="1"/>
  <c r="AJ241" i="16"/>
  <c r="AG200" i="16"/>
  <c r="AK200" i="16" s="1"/>
  <c r="AJ200" i="16"/>
  <c r="AG88" i="16"/>
  <c r="AK88" i="16" s="1"/>
  <c r="AJ88" i="16"/>
  <c r="AG242" i="16"/>
  <c r="AK242" i="16" s="1"/>
  <c r="AJ18" i="16"/>
  <c r="AM18" i="16" s="1"/>
  <c r="AG97" i="16"/>
  <c r="AK97" i="16" s="1"/>
  <c r="AJ97" i="16"/>
  <c r="AF303" i="16"/>
  <c r="AG303" i="16" s="1"/>
  <c r="AK303" i="16" s="1"/>
  <c r="AL303" i="16"/>
  <c r="AH303" i="16"/>
  <c r="AI303" i="16" s="1"/>
  <c r="AG272" i="16"/>
  <c r="AK272" i="16" s="1"/>
  <c r="AJ272" i="16"/>
  <c r="AG317" i="16"/>
  <c r="AK317" i="16" s="1"/>
  <c r="AG250" i="16"/>
  <c r="AK250" i="16" s="1"/>
  <c r="AJ250" i="16"/>
  <c r="AG89" i="16"/>
  <c r="AK89" i="16" s="1"/>
  <c r="AJ103" i="16"/>
  <c r="AG73" i="16"/>
  <c r="AK73" i="16" s="1"/>
  <c r="AJ73" i="16"/>
  <c r="AJ183" i="16"/>
  <c r="AG183" i="16"/>
  <c r="AK183" i="16" s="1"/>
  <c r="B5" i="58"/>
  <c r="AM104" i="16" l="1"/>
  <c r="AG69" i="16"/>
  <c r="AK69" i="16" s="1"/>
  <c r="AM118" i="16"/>
  <c r="AM49" i="16"/>
  <c r="AM131" i="16"/>
  <c r="AM103" i="16"/>
  <c r="AM122" i="16"/>
  <c r="AM158" i="16"/>
  <c r="AJ102" i="16"/>
  <c r="AM102" i="16" s="1"/>
  <c r="AM211" i="16"/>
  <c r="AM186" i="16"/>
  <c r="AM310" i="16"/>
  <c r="AM305" i="16"/>
  <c r="AM296" i="16"/>
  <c r="AM76" i="16"/>
  <c r="AM199" i="16"/>
  <c r="AM218" i="16"/>
  <c r="AM130" i="16"/>
  <c r="AM9" i="16"/>
  <c r="AM246" i="16"/>
  <c r="AM302" i="16"/>
  <c r="AM252" i="16"/>
  <c r="AM290" i="16"/>
  <c r="AM297" i="16"/>
  <c r="AM256" i="16"/>
  <c r="AM265" i="16"/>
  <c r="AM245" i="16"/>
  <c r="AM43" i="16"/>
  <c r="AM207" i="16"/>
  <c r="AM22" i="16"/>
  <c r="AM15" i="16"/>
  <c r="AM139" i="16"/>
  <c r="AM38" i="16"/>
  <c r="AM106" i="16"/>
  <c r="AM231" i="16"/>
  <c r="AM198" i="16"/>
  <c r="AM289" i="16"/>
  <c r="AM146" i="16"/>
  <c r="AM81" i="16"/>
  <c r="AM239" i="16"/>
  <c r="AM134" i="16"/>
  <c r="AM162" i="16"/>
  <c r="AM149" i="16"/>
  <c r="AM69" i="16"/>
  <c r="AG225" i="16"/>
  <c r="AK225" i="16" s="1"/>
  <c r="AM316" i="16"/>
  <c r="AM219" i="16"/>
  <c r="AM160" i="16"/>
  <c r="AM61" i="16"/>
  <c r="AM120" i="16"/>
  <c r="AM309" i="16"/>
  <c r="AM270" i="16"/>
  <c r="AM132" i="16"/>
  <c r="AM34" i="16"/>
  <c r="AM226" i="16"/>
  <c r="AM300" i="16"/>
  <c r="AM64" i="16"/>
  <c r="AM291" i="16"/>
  <c r="AM304" i="16"/>
  <c r="AM5" i="16"/>
  <c r="AM6" i="16"/>
  <c r="AM283" i="16"/>
  <c r="AM157" i="16"/>
  <c r="AM213" i="16"/>
  <c r="AM210" i="16"/>
  <c r="AM65" i="16"/>
  <c r="AM41" i="16"/>
  <c r="AM311" i="16"/>
  <c r="AM55" i="16"/>
  <c r="AM308" i="16"/>
  <c r="AM312" i="16"/>
  <c r="AM223" i="16"/>
  <c r="AM262" i="16"/>
  <c r="AM166" i="16"/>
  <c r="AM154" i="16"/>
  <c r="AM100" i="16"/>
  <c r="AM77" i="16"/>
  <c r="AM193" i="16"/>
  <c r="AM163" i="16"/>
  <c r="AM314" i="16"/>
  <c r="AM212" i="16"/>
  <c r="AM31" i="16"/>
  <c r="AM267" i="16"/>
  <c r="AM40" i="16"/>
  <c r="AM204" i="16"/>
  <c r="AM128" i="16"/>
  <c r="AM247" i="16"/>
  <c r="AM230" i="16"/>
  <c r="AM190" i="16"/>
  <c r="AM200" i="16"/>
  <c r="AM144" i="16"/>
  <c r="AM236" i="16"/>
  <c r="AM112" i="16"/>
  <c r="AM29" i="16"/>
  <c r="AM44" i="16"/>
  <c r="AM203" i="16"/>
  <c r="AM37" i="16"/>
  <c r="AM152" i="16"/>
  <c r="AM281" i="16"/>
  <c r="AG80" i="16"/>
  <c r="AK80" i="16" s="1"/>
  <c r="AM176" i="16"/>
  <c r="AM168" i="16"/>
  <c r="AM181" i="16"/>
  <c r="AM63" i="16"/>
  <c r="AM248" i="16"/>
  <c r="AM320" i="16"/>
  <c r="AM234" i="16"/>
  <c r="AM111" i="16"/>
  <c r="AM298" i="16"/>
  <c r="AM306" i="16"/>
  <c r="AM173" i="16"/>
  <c r="AM238" i="16"/>
  <c r="AM109" i="16"/>
  <c r="AM215" i="16"/>
  <c r="AM214" i="16"/>
  <c r="AM143" i="16"/>
  <c r="AM42" i="16"/>
  <c r="AM17" i="16"/>
  <c r="AM60" i="16"/>
  <c r="AM276" i="16"/>
  <c r="AM268" i="16"/>
  <c r="AM313" i="16"/>
  <c r="AM71" i="16"/>
  <c r="AM161" i="16"/>
  <c r="AM30" i="16"/>
  <c r="AG273" i="16"/>
  <c r="AK273" i="16" s="1"/>
  <c r="AM319" i="16"/>
  <c r="AM271" i="16"/>
  <c r="AM224" i="16"/>
  <c r="AM135" i="16"/>
  <c r="AM260" i="16"/>
  <c r="AM101" i="16"/>
  <c r="AJ197" i="16"/>
  <c r="AM159" i="16"/>
  <c r="AM124" i="16"/>
  <c r="AM169" i="16"/>
  <c r="AM285" i="16"/>
  <c r="AM192" i="16"/>
  <c r="AM171" i="16"/>
  <c r="AG11" i="16"/>
  <c r="AK11" i="16" s="1"/>
  <c r="AJ11" i="16"/>
  <c r="AM94" i="16"/>
  <c r="AM216" i="16"/>
  <c r="AM282" i="16"/>
  <c r="AM294" i="16"/>
  <c r="AM288" i="16"/>
  <c r="AM47" i="16"/>
  <c r="AM177" i="16"/>
  <c r="AM97" i="16"/>
  <c r="AG257" i="16"/>
  <c r="AK257" i="16" s="1"/>
  <c r="AJ257" i="16"/>
  <c r="AM85" i="16"/>
  <c r="AM25" i="16"/>
  <c r="AM28" i="16"/>
  <c r="AM147" i="16"/>
  <c r="AJ233" i="16"/>
  <c r="AM233" i="16" s="1"/>
  <c r="AM150" i="16"/>
  <c r="AG72" i="16"/>
  <c r="AK72" i="16" s="1"/>
  <c r="AJ72" i="16"/>
  <c r="AM87" i="16"/>
  <c r="AM194" i="16"/>
  <c r="AM266" i="16"/>
  <c r="AM221" i="16"/>
  <c r="AM66" i="16"/>
  <c r="AM222" i="16"/>
  <c r="AM7" i="16"/>
  <c r="AM93" i="16"/>
  <c r="AM96" i="16"/>
  <c r="AJ36" i="16"/>
  <c r="AM36" i="16" s="1"/>
  <c r="AM105" i="16"/>
  <c r="AJ205" i="16"/>
  <c r="AM205" i="16" s="1"/>
  <c r="AM167" i="16"/>
  <c r="AM172" i="16"/>
  <c r="AG79" i="16"/>
  <c r="AK79" i="16" s="1"/>
  <c r="AJ79" i="16"/>
  <c r="AM138" i="16"/>
  <c r="AJ189" i="16"/>
  <c r="AM189" i="16" s="1"/>
  <c r="AJ45" i="16"/>
  <c r="AG45" i="16"/>
  <c r="AK45" i="16" s="1"/>
  <c r="AM84" i="16"/>
  <c r="AM164" i="16"/>
  <c r="AM12" i="16"/>
  <c r="AM284" i="16"/>
  <c r="AM33" i="16"/>
  <c r="AM92" i="16"/>
  <c r="AM174" i="16"/>
  <c r="AG243" i="16"/>
  <c r="AK243" i="16" s="1"/>
  <c r="AJ243" i="16"/>
  <c r="AG229" i="16"/>
  <c r="AK229" i="16" s="1"/>
  <c r="AJ229" i="16"/>
  <c r="AM151" i="16"/>
  <c r="AG249" i="16"/>
  <c r="AK249" i="16" s="1"/>
  <c r="AJ249" i="16"/>
  <c r="AG4" i="16"/>
  <c r="AK4" i="16" s="1"/>
  <c r="AJ4" i="16"/>
  <c r="AJ287" i="16"/>
  <c r="AM287" i="16" s="1"/>
  <c r="AM170" i="16"/>
  <c r="AM235" i="16"/>
  <c r="AM70" i="16"/>
  <c r="AM21" i="16"/>
  <c r="AM86" i="16"/>
  <c r="AM315" i="16"/>
  <c r="AM240" i="16"/>
  <c r="AM244" i="16"/>
  <c r="AM8" i="16"/>
  <c r="AM278" i="16"/>
  <c r="AM73" i="16"/>
  <c r="AG52" i="16"/>
  <c r="AK52" i="16" s="1"/>
  <c r="AJ52" i="16"/>
  <c r="AM250" i="16"/>
  <c r="AJ56" i="16"/>
  <c r="AG155" i="16"/>
  <c r="AK155" i="16" s="1"/>
  <c r="AJ155" i="16"/>
  <c r="AM317" i="16"/>
  <c r="AM280" i="16"/>
  <c r="AG269" i="16"/>
  <c r="AK269" i="16" s="1"/>
  <c r="AJ269" i="16"/>
  <c r="AG32" i="16"/>
  <c r="AK32" i="16" s="1"/>
  <c r="AM242" i="16"/>
  <c r="AM195" i="16"/>
  <c r="AM88" i="16"/>
  <c r="AM241" i="16"/>
  <c r="AM259" i="16"/>
  <c r="AM301" i="16"/>
  <c r="AM148" i="16"/>
  <c r="AG56" i="16"/>
  <c r="AK56" i="16" s="1"/>
  <c r="AM156" i="16"/>
  <c r="AM299" i="16"/>
  <c r="AM182" i="16"/>
  <c r="AM98" i="16"/>
  <c r="AM57" i="16"/>
  <c r="AG24" i="16"/>
  <c r="AK24" i="16" s="1"/>
  <c r="AJ24" i="16"/>
  <c r="AM220" i="16"/>
  <c r="AM185" i="16"/>
  <c r="AG197" i="16"/>
  <c r="AK197" i="16" s="1"/>
  <c r="AM68" i="16"/>
  <c r="AM232" i="16"/>
  <c r="AM95" i="16"/>
  <c r="AM83" i="16"/>
  <c r="AM264" i="16"/>
  <c r="AM48" i="16"/>
  <c r="AM20" i="16"/>
  <c r="AM145" i="16"/>
  <c r="AJ303" i="16"/>
  <c r="AM303" i="16" s="1"/>
  <c r="AM136" i="16"/>
  <c r="AG251" i="16"/>
  <c r="AK251" i="16" s="1"/>
  <c r="AM89" i="16"/>
  <c r="AM107" i="16"/>
  <c r="AJ90" i="16"/>
  <c r="AG90" i="16"/>
  <c r="AK90" i="16" s="1"/>
  <c r="AM272" i="16"/>
  <c r="AM217" i="16"/>
  <c r="AM274" i="16"/>
  <c r="AM196" i="16"/>
  <c r="AM13" i="16"/>
  <c r="AM108" i="16"/>
  <c r="AM286" i="16"/>
  <c r="AM228" i="16"/>
  <c r="AM258" i="16"/>
  <c r="AM321" i="16"/>
  <c r="AM279" i="16"/>
  <c r="AM53" i="16"/>
  <c r="AG123" i="16"/>
  <c r="AK123" i="16" s="1"/>
  <c r="AJ123" i="16"/>
  <c r="AM208" i="16"/>
  <c r="AM19" i="16"/>
  <c r="AM16" i="16"/>
  <c r="AM183" i="16"/>
  <c r="N1" i="39"/>
  <c r="N2" i="39"/>
  <c r="N123" i="47"/>
  <c r="N124" i="47"/>
  <c r="N126" i="47"/>
  <c r="N127" i="47"/>
  <c r="N128" i="47"/>
  <c r="N130" i="47"/>
  <c r="N131" i="47"/>
  <c r="N123" i="46"/>
  <c r="N124" i="46"/>
  <c r="N125" i="46"/>
  <c r="N126" i="46"/>
  <c r="N130" i="46"/>
  <c r="N131" i="46"/>
  <c r="N123" i="48"/>
  <c r="N124" i="48"/>
  <c r="N125" i="48"/>
  <c r="N126" i="48"/>
  <c r="N128" i="48"/>
  <c r="N129" i="48"/>
  <c r="N130" i="48"/>
  <c r="N123" i="44"/>
  <c r="N124" i="44"/>
  <c r="N125" i="44"/>
  <c r="N126" i="44"/>
  <c r="N128" i="44"/>
  <c r="N129" i="44"/>
  <c r="N130" i="44"/>
  <c r="N123" i="49"/>
  <c r="N124" i="49"/>
  <c r="N125" i="49"/>
  <c r="N126" i="49"/>
  <c r="N128" i="49"/>
  <c r="N129" i="49"/>
  <c r="N130" i="49"/>
  <c r="N123" i="45"/>
  <c r="N124" i="45"/>
  <c r="N125" i="45"/>
  <c r="N126" i="45"/>
  <c r="N130" i="45"/>
  <c r="N131" i="45"/>
  <c r="N124" i="43"/>
  <c r="N126" i="43"/>
  <c r="N127" i="43"/>
  <c r="N128" i="43"/>
  <c r="N130" i="43"/>
  <c r="N131" i="43"/>
  <c r="A2" i="50"/>
  <c r="A2" i="51"/>
  <c r="A2" i="52"/>
  <c r="A2" i="54"/>
  <c r="A2" i="55"/>
  <c r="A2" i="56"/>
  <c r="N123" i="50"/>
  <c r="N124" i="50"/>
  <c r="N125" i="50"/>
  <c r="N126" i="50"/>
  <c r="N130" i="50"/>
  <c r="N123" i="51"/>
  <c r="N124" i="51"/>
  <c r="N126" i="51"/>
  <c r="N127" i="51"/>
  <c r="N128" i="51"/>
  <c r="N130" i="51"/>
  <c r="N131" i="51"/>
  <c r="N123" i="52"/>
  <c r="N124" i="52"/>
  <c r="N125" i="52"/>
  <c r="N126" i="52"/>
  <c r="N128" i="52"/>
  <c r="N123" i="54"/>
  <c r="N124" i="54"/>
  <c r="N125" i="54"/>
  <c r="N126" i="54"/>
  <c r="N127" i="54"/>
  <c r="N128" i="54"/>
  <c r="N129" i="54"/>
  <c r="N130" i="54"/>
  <c r="N131" i="54"/>
  <c r="N123" i="55"/>
  <c r="N124" i="55"/>
  <c r="N125" i="55"/>
  <c r="N126" i="55"/>
  <c r="N127" i="55"/>
  <c r="N128" i="55"/>
  <c r="N129" i="55"/>
  <c r="N130" i="55"/>
  <c r="N131" i="55"/>
  <c r="N123" i="56"/>
  <c r="N124" i="56"/>
  <c r="N125" i="56"/>
  <c r="N126" i="56"/>
  <c r="N129" i="56"/>
  <c r="N130" i="56"/>
  <c r="C1" i="42"/>
  <c r="D1" i="42"/>
  <c r="E1" i="42"/>
  <c r="F1" i="42"/>
  <c r="G1" i="42"/>
  <c r="H1" i="42"/>
  <c r="I1" i="42"/>
  <c r="J1" i="42"/>
  <c r="K1" i="42"/>
  <c r="L1" i="42"/>
  <c r="M1" i="42"/>
  <c r="N1" i="42"/>
  <c r="O1" i="42"/>
  <c r="K246" i="22"/>
  <c r="P162" i="37" s="1"/>
  <c r="L246" i="22"/>
  <c r="Q162" i="37" s="1"/>
  <c r="K152" i="22"/>
  <c r="P29" i="37" s="1"/>
  <c r="L152" i="22"/>
  <c r="Q29" i="37" s="1"/>
  <c r="K44" i="22"/>
  <c r="P215" i="37" s="1"/>
  <c r="L44" i="22"/>
  <c r="Q215" i="37" s="1"/>
  <c r="K252" i="22"/>
  <c r="P264" i="37" s="1"/>
  <c r="L252" i="22"/>
  <c r="Q264" i="37" s="1"/>
  <c r="K211" i="22"/>
  <c r="P80" i="37" s="1"/>
  <c r="L211" i="22"/>
  <c r="Q80" i="37" s="1"/>
  <c r="K265" i="22"/>
  <c r="P121" i="37" s="1"/>
  <c r="L265" i="22"/>
  <c r="Q121" i="37" s="1"/>
  <c r="K120" i="22"/>
  <c r="P86" i="37" s="1"/>
  <c r="L120" i="22"/>
  <c r="Q86" i="37" s="1"/>
  <c r="K132" i="22"/>
  <c r="P62" i="37" s="1"/>
  <c r="L132" i="22"/>
  <c r="Q62" i="37" s="1"/>
  <c r="K208" i="22"/>
  <c r="P79" i="37" s="1"/>
  <c r="L208" i="22"/>
  <c r="Q79" i="37" s="1"/>
  <c r="K216" i="22"/>
  <c r="P285" i="37" s="1"/>
  <c r="L216" i="22"/>
  <c r="Q285" i="37" s="1"/>
  <c r="K64" i="22"/>
  <c r="P224" i="37" s="1"/>
  <c r="L64" i="22"/>
  <c r="Q224" i="37" s="1"/>
  <c r="K262" i="22"/>
  <c r="P107" i="37" s="1"/>
  <c r="L262" i="22"/>
  <c r="Q107" i="37" s="1"/>
  <c r="K245" i="22"/>
  <c r="P311" i="37" s="1"/>
  <c r="L245" i="22"/>
  <c r="Q311" i="37" s="1"/>
  <c r="K86" i="22"/>
  <c r="P71" i="37" s="1"/>
  <c r="L86" i="22"/>
  <c r="Q71" i="37" s="1"/>
  <c r="K234" i="22"/>
  <c r="P254" i="37" s="1"/>
  <c r="L234" i="22"/>
  <c r="Q254" i="37" s="1"/>
  <c r="K244" i="22"/>
  <c r="P272" i="37" s="1"/>
  <c r="L244" i="22"/>
  <c r="Q272" i="37" s="1"/>
  <c r="K195" i="22"/>
  <c r="P23" i="37" s="1"/>
  <c r="L195" i="22"/>
  <c r="Q23" i="37" s="1"/>
  <c r="K270" i="22"/>
  <c r="P298" i="37" s="1"/>
  <c r="L270" i="22"/>
  <c r="Q298" i="37" s="1"/>
  <c r="F137" i="22"/>
  <c r="K22" i="37" s="1"/>
  <c r="K137" i="22"/>
  <c r="P22" i="37" s="1"/>
  <c r="L137" i="22"/>
  <c r="Q22" i="37" s="1"/>
  <c r="K46" i="22"/>
  <c r="P31" i="37" s="1"/>
  <c r="L46" i="22"/>
  <c r="Q31" i="37" s="1"/>
  <c r="K160" i="22"/>
  <c r="P139" i="37" s="1"/>
  <c r="L160" i="22"/>
  <c r="Q139" i="37" s="1"/>
  <c r="K33" i="22"/>
  <c r="P81" i="37" s="1"/>
  <c r="L33" i="22"/>
  <c r="Q81" i="37" s="1"/>
  <c r="K70" i="22"/>
  <c r="P308" i="37" s="1"/>
  <c r="L70" i="22"/>
  <c r="Q308" i="37" s="1"/>
  <c r="K3" i="22"/>
  <c r="P55" i="37" s="1"/>
  <c r="L3" i="22"/>
  <c r="Q55" i="37" s="1"/>
  <c r="K165" i="22"/>
  <c r="P142" i="37" s="1"/>
  <c r="L165" i="22"/>
  <c r="Q142" i="37" s="1"/>
  <c r="K304" i="22"/>
  <c r="P146" i="37" s="1"/>
  <c r="L304" i="22"/>
  <c r="Q146" i="37" s="1"/>
  <c r="K306" i="22"/>
  <c r="P192" i="37" s="1"/>
  <c r="L306" i="22"/>
  <c r="Q192" i="37" s="1"/>
  <c r="K263" i="22"/>
  <c r="P61" i="37" s="1"/>
  <c r="L263" i="22"/>
  <c r="K23" i="22"/>
  <c r="P161" i="37" s="1"/>
  <c r="L23" i="22"/>
  <c r="Q161" i="37" s="1"/>
  <c r="K322" i="22"/>
  <c r="P178" i="37" s="1"/>
  <c r="L322" i="22"/>
  <c r="Q178" i="37" s="1"/>
  <c r="K57" i="22"/>
  <c r="P148" i="37" s="1"/>
  <c r="L57" i="22"/>
  <c r="Q148" i="37" s="1"/>
  <c r="H42" i="22"/>
  <c r="M297" i="37" s="1"/>
  <c r="I42" i="22"/>
  <c r="N297" i="37" s="1"/>
  <c r="K42" i="22"/>
  <c r="P297" i="37" s="1"/>
  <c r="L42" i="22"/>
  <c r="Q297" i="37" s="1"/>
  <c r="K17" i="22"/>
  <c r="P49" i="37" s="1"/>
  <c r="L17" i="22"/>
  <c r="Q49" i="37" s="1"/>
  <c r="K103" i="22"/>
  <c r="P299" i="37" s="1"/>
  <c r="L103" i="22"/>
  <c r="Q299" i="37" s="1"/>
  <c r="K163" i="22"/>
  <c r="P89" i="37" s="1"/>
  <c r="L163" i="22"/>
  <c r="Q89" i="37" s="1"/>
  <c r="K281" i="22"/>
  <c r="P11" i="37" s="1"/>
  <c r="L281" i="22"/>
  <c r="Q11" i="37" s="1"/>
  <c r="K154" i="22"/>
  <c r="P172" i="37" s="1"/>
  <c r="L154" i="22"/>
  <c r="Q172" i="37" s="1"/>
  <c r="K98" i="22"/>
  <c r="P261" i="37" s="1"/>
  <c r="L98" i="22"/>
  <c r="Q261" i="37" s="1"/>
  <c r="K122" i="22"/>
  <c r="P67" i="37" s="1"/>
  <c r="L122" i="22"/>
  <c r="Q67" i="37" s="1"/>
  <c r="K230" i="22"/>
  <c r="P296" i="37" s="1"/>
  <c r="L230" i="22"/>
  <c r="Q296" i="37" s="1"/>
  <c r="K293" i="22"/>
  <c r="P10" i="37" s="1"/>
  <c r="L293" i="22"/>
  <c r="Q10" i="37" s="1"/>
  <c r="K196" i="22"/>
  <c r="P283" i="37" s="1"/>
  <c r="L196" i="22"/>
  <c r="Q283" i="37" s="1"/>
  <c r="K78" i="22"/>
  <c r="P231" i="37" s="1"/>
  <c r="L78" i="22"/>
  <c r="Q231" i="37" s="1"/>
  <c r="K48" i="22"/>
  <c r="P73" i="37" s="1"/>
  <c r="L48" i="22"/>
  <c r="Q73" i="37" s="1"/>
  <c r="K43" i="22"/>
  <c r="P28" i="37" s="1"/>
  <c r="L43" i="22"/>
  <c r="Q28" i="37" s="1"/>
  <c r="K62" i="22"/>
  <c r="P32" i="37" s="1"/>
  <c r="L62" i="22"/>
  <c r="Q32" i="37" s="1"/>
  <c r="K169" i="22"/>
  <c r="P287" i="37" s="1"/>
  <c r="L169" i="22"/>
  <c r="Q287" i="37" s="1"/>
  <c r="K94" i="22"/>
  <c r="P184" i="37" s="1"/>
  <c r="L94" i="22"/>
  <c r="Q184" i="37" s="1"/>
  <c r="K198" i="22"/>
  <c r="P221" i="37" s="1"/>
  <c r="L198" i="22"/>
  <c r="Q221" i="37" s="1"/>
  <c r="K199" i="22"/>
  <c r="P246" i="37" s="1"/>
  <c r="L199" i="22"/>
  <c r="Q246" i="37" s="1"/>
  <c r="F45" i="22"/>
  <c r="K211" i="37" s="1"/>
  <c r="K45" i="22"/>
  <c r="P211" i="37" s="1"/>
  <c r="L45" i="22"/>
  <c r="Q211" i="37" s="1"/>
  <c r="K205" i="22"/>
  <c r="P262" i="37" s="1"/>
  <c r="L205" i="22"/>
  <c r="Q262" i="37" s="1"/>
  <c r="K261" i="22"/>
  <c r="P70" i="37" s="1"/>
  <c r="L261" i="22"/>
  <c r="Q70" i="37" s="1"/>
  <c r="K135" i="22"/>
  <c r="P18" i="37" s="1"/>
  <c r="L135" i="22"/>
  <c r="Q18" i="37" s="1"/>
  <c r="K91" i="22"/>
  <c r="P48" i="37" s="1"/>
  <c r="L91" i="22"/>
  <c r="Q48" i="37" s="1"/>
  <c r="K53" i="22"/>
  <c r="P135" i="37" s="1"/>
  <c r="L53" i="22"/>
  <c r="Q135" i="37" s="1"/>
  <c r="K130" i="22"/>
  <c r="P38" i="37" s="1"/>
  <c r="L130" i="22"/>
  <c r="Q38" i="37" s="1"/>
  <c r="K84" i="22"/>
  <c r="P127" i="37" s="1"/>
  <c r="L84" i="22"/>
  <c r="Q127" i="37" s="1"/>
  <c r="K80" i="22"/>
  <c r="P17" i="37" s="1"/>
  <c r="L80" i="22"/>
  <c r="Q17" i="37" s="1"/>
  <c r="K239" i="22"/>
  <c r="P314" i="37" s="1"/>
  <c r="L239" i="22"/>
  <c r="Q314" i="37" s="1"/>
  <c r="K83" i="22"/>
  <c r="P35" i="37" s="1"/>
  <c r="L83" i="22"/>
  <c r="Q35" i="37" s="1"/>
  <c r="K191" i="22"/>
  <c r="P108" i="37" s="1"/>
  <c r="L191" i="22"/>
  <c r="Q108" i="37" s="1"/>
  <c r="H77" i="22"/>
  <c r="M187" i="37" s="1"/>
  <c r="I77" i="22"/>
  <c r="N187" i="37" s="1"/>
  <c r="K77" i="22"/>
  <c r="P187" i="37" s="1"/>
  <c r="L77" i="22"/>
  <c r="Q187" i="37" s="1"/>
  <c r="K226" i="22"/>
  <c r="P284" i="37" s="1"/>
  <c r="L226" i="22"/>
  <c r="Q284" i="37" s="1"/>
  <c r="K308" i="22"/>
  <c r="P190" i="37" s="1"/>
  <c r="L308" i="22"/>
  <c r="Q190" i="37" s="1"/>
  <c r="K20" i="22"/>
  <c r="P77" i="37" s="1"/>
  <c r="L20" i="22"/>
  <c r="Q77" i="37" s="1"/>
  <c r="K225" i="22"/>
  <c r="P315" i="37" s="1"/>
  <c r="L225" i="22"/>
  <c r="Q315" i="37" s="1"/>
  <c r="K248" i="22"/>
  <c r="P291" i="37" s="1"/>
  <c r="L248" i="22"/>
  <c r="Q291" i="37" s="1"/>
  <c r="K136" i="22"/>
  <c r="P155" i="37" s="1"/>
  <c r="L136" i="22"/>
  <c r="Q155" i="37" s="1"/>
  <c r="K215" i="22"/>
  <c r="P251" i="37" s="1"/>
  <c r="L215" i="22"/>
  <c r="Q251" i="37" s="1"/>
  <c r="K54" i="22"/>
  <c r="P95" i="37" s="1"/>
  <c r="L54" i="22"/>
  <c r="Q95" i="37" s="1"/>
  <c r="K79" i="22"/>
  <c r="P26" i="37" s="1"/>
  <c r="L79" i="22"/>
  <c r="Q26" i="37" s="1"/>
  <c r="K264" i="22"/>
  <c r="P96" i="37" s="1"/>
  <c r="L264" i="22"/>
  <c r="Q96" i="37" s="1"/>
  <c r="K144" i="22"/>
  <c r="P21" i="37" s="1"/>
  <c r="L144" i="22"/>
  <c r="Q21" i="37" s="1"/>
  <c r="K66" i="22"/>
  <c r="P9" i="37" s="1"/>
  <c r="L66" i="22"/>
  <c r="Q9" i="37" s="1"/>
  <c r="K123" i="22"/>
  <c r="P273" i="37" s="1"/>
  <c r="L123" i="22"/>
  <c r="Q273" i="37" s="1"/>
  <c r="K21" i="22"/>
  <c r="P175" i="37" s="1"/>
  <c r="L21" i="22"/>
  <c r="Q175" i="37" s="1"/>
  <c r="K298" i="22"/>
  <c r="P147" i="37" s="1"/>
  <c r="L298" i="22"/>
  <c r="Q147" i="37" s="1"/>
  <c r="K65" i="22"/>
  <c r="P223" i="37" s="1"/>
  <c r="L65" i="22"/>
  <c r="Q223" i="37" s="1"/>
  <c r="K90" i="22"/>
  <c r="P46" i="37" s="1"/>
  <c r="L90" i="22"/>
  <c r="Q46" i="37" s="1"/>
  <c r="K24" i="22"/>
  <c r="P265" i="37" s="1"/>
  <c r="L24" i="22"/>
  <c r="Q265" i="37" s="1"/>
  <c r="F203" i="22"/>
  <c r="K310" i="37" s="1"/>
  <c r="K203" i="22"/>
  <c r="P310" i="37" s="1"/>
  <c r="L203" i="22"/>
  <c r="Q310" i="37" s="1"/>
  <c r="K186" i="22"/>
  <c r="P78" i="37" s="1"/>
  <c r="L186" i="22"/>
  <c r="Q78" i="37" s="1"/>
  <c r="K187" i="22"/>
  <c r="P160" i="37" s="1"/>
  <c r="L187" i="22"/>
  <c r="Q160" i="37" s="1"/>
  <c r="K12" i="22"/>
  <c r="P200" i="37" s="1"/>
  <c r="L12" i="22"/>
  <c r="Q200" i="37" s="1"/>
  <c r="K223" i="22"/>
  <c r="P110" i="37" s="1"/>
  <c r="L223" i="22"/>
  <c r="Q110" i="37" s="1"/>
  <c r="K313" i="22"/>
  <c r="P263" i="37" s="1"/>
  <c r="L313" i="22"/>
  <c r="Q263" i="37" s="1"/>
  <c r="K241" i="22"/>
  <c r="P37" i="37" s="1"/>
  <c r="L241" i="22"/>
  <c r="Q37" i="37" s="1"/>
  <c r="K7" i="22"/>
  <c r="P126" i="37" s="1"/>
  <c r="L7" i="22"/>
  <c r="Q126" i="37" s="1"/>
  <c r="K272" i="22"/>
  <c r="P130" i="37" s="1"/>
  <c r="L272" i="22"/>
  <c r="Q130" i="37" s="1"/>
  <c r="K176" i="22"/>
  <c r="P225" i="37" s="1"/>
  <c r="L176" i="22"/>
  <c r="Q225" i="37" s="1"/>
  <c r="K14" i="22"/>
  <c r="P268" i="37" s="1"/>
  <c r="L14" i="22"/>
  <c r="Q268" i="37" s="1"/>
  <c r="K25" i="22"/>
  <c r="P27" i="37" s="1"/>
  <c r="L25" i="22"/>
  <c r="Q27" i="37" s="1"/>
  <c r="K93" i="22"/>
  <c r="P198" i="37" s="1"/>
  <c r="L93" i="22"/>
  <c r="Q198" i="37" s="1"/>
  <c r="H204" i="22"/>
  <c r="M218" i="37" s="1"/>
  <c r="I204" i="22"/>
  <c r="N218" i="37" s="1"/>
  <c r="K204" i="22"/>
  <c r="P218" i="37" s="1"/>
  <c r="L204" i="22"/>
  <c r="Q218" i="37" s="1"/>
  <c r="K147" i="22"/>
  <c r="P119" i="37" s="1"/>
  <c r="L147" i="22"/>
  <c r="Q119" i="37" s="1"/>
  <c r="K178" i="22"/>
  <c r="P34" i="37" s="1"/>
  <c r="L178" i="22"/>
  <c r="Q34" i="37" s="1"/>
  <c r="K124" i="22"/>
  <c r="P260" i="37" s="1"/>
  <c r="L124" i="22"/>
  <c r="Q260" i="37" s="1"/>
  <c r="K159" i="22"/>
  <c r="P125" i="37" s="1"/>
  <c r="L159" i="22"/>
  <c r="Q125" i="37" s="1"/>
  <c r="K105" i="22"/>
  <c r="P210" i="37" s="1"/>
  <c r="L105" i="22"/>
  <c r="Q210" i="37" s="1"/>
  <c r="K297" i="22"/>
  <c r="P252" i="37" s="1"/>
  <c r="L297" i="22"/>
  <c r="Q252" i="37" s="1"/>
  <c r="K253" i="22"/>
  <c r="P212" i="37" s="1"/>
  <c r="L253" i="22"/>
  <c r="Q212" i="37" s="1"/>
  <c r="K181" i="22"/>
  <c r="P145" i="37" s="1"/>
  <c r="L181" i="22"/>
  <c r="Q145" i="37" s="1"/>
  <c r="K97" i="22"/>
  <c r="P230" i="37" s="1"/>
  <c r="L97" i="22"/>
  <c r="Q230" i="37" s="1"/>
  <c r="K128" i="22"/>
  <c r="P195" i="37" s="1"/>
  <c r="L128" i="22"/>
  <c r="Q195" i="37" s="1"/>
  <c r="K41" i="22"/>
  <c r="P39" i="37" s="1"/>
  <c r="L41" i="22"/>
  <c r="Q39" i="37" s="1"/>
  <c r="K279" i="22"/>
  <c r="P255" i="37" s="1"/>
  <c r="L279" i="22"/>
  <c r="Q255" i="37" s="1"/>
  <c r="K40" i="22"/>
  <c r="P76" i="37" s="1"/>
  <c r="L40" i="22"/>
  <c r="Q76" i="37" s="1"/>
  <c r="K170" i="22"/>
  <c r="P150" i="37" s="1"/>
  <c r="L170" i="22"/>
  <c r="Q150" i="37" s="1"/>
  <c r="K67" i="22"/>
  <c r="P36" i="37" s="1"/>
  <c r="L67" i="22"/>
  <c r="Q36" i="37" s="1"/>
  <c r="K233" i="22"/>
  <c r="P257" i="37" s="1"/>
  <c r="L233" i="22"/>
  <c r="Q257" i="37" s="1"/>
  <c r="K316" i="22"/>
  <c r="P8" i="37" s="1"/>
  <c r="L316" i="22"/>
  <c r="Q8" i="37" s="1"/>
  <c r="K156" i="22"/>
  <c r="P243" i="37" s="1"/>
  <c r="L156" i="22"/>
  <c r="Q243" i="37" s="1"/>
  <c r="F309" i="22"/>
  <c r="K303" i="37" s="1"/>
  <c r="K309" i="22"/>
  <c r="P303" i="37" s="1"/>
  <c r="L309" i="22"/>
  <c r="Q303" i="37" s="1"/>
  <c r="K200" i="22"/>
  <c r="P307" i="37" s="1"/>
  <c r="L200" i="22"/>
  <c r="Q307" i="37" s="1"/>
  <c r="K277" i="22"/>
  <c r="P113" i="37" s="1"/>
  <c r="L277" i="22"/>
  <c r="Q113" i="37" s="1"/>
  <c r="K280" i="22"/>
  <c r="P214" i="37" s="1"/>
  <c r="L280" i="22"/>
  <c r="Q214" i="37" s="1"/>
  <c r="K238" i="22"/>
  <c r="P281" i="37" s="1"/>
  <c r="L238" i="22"/>
  <c r="Q281" i="37" s="1"/>
  <c r="K117" i="22"/>
  <c r="P133" i="37" s="1"/>
  <c r="L117" i="22"/>
  <c r="Q133" i="37" s="1"/>
  <c r="K258" i="22"/>
  <c r="P122" i="37" s="1"/>
  <c r="L258" i="22"/>
  <c r="Q122" i="37" s="1"/>
  <c r="K49" i="22"/>
  <c r="P13" i="37" s="1"/>
  <c r="L49" i="22"/>
  <c r="Q13" i="37" s="1"/>
  <c r="K28" i="22"/>
  <c r="P181" i="37" s="1"/>
  <c r="L28" i="22"/>
  <c r="Q181" i="37" s="1"/>
  <c r="K266" i="22"/>
  <c r="P183" i="37" s="1"/>
  <c r="L266" i="22"/>
  <c r="Q183" i="37" s="1"/>
  <c r="K275" i="22"/>
  <c r="P194" i="37" s="1"/>
  <c r="L275" i="22"/>
  <c r="Q194" i="37" s="1"/>
  <c r="K202" i="22"/>
  <c r="P277" i="37" s="1"/>
  <c r="L202" i="22"/>
  <c r="Q277" i="37" s="1"/>
  <c r="K82" i="22"/>
  <c r="P180" i="37" s="1"/>
  <c r="L82" i="22"/>
  <c r="Q180" i="37" s="1"/>
  <c r="H76" i="22"/>
  <c r="M98" i="37" s="1"/>
  <c r="I76" i="22"/>
  <c r="N98" i="37" s="1"/>
  <c r="K76" i="22"/>
  <c r="P98" i="37" s="1"/>
  <c r="L76" i="22"/>
  <c r="Q98" i="37" s="1"/>
  <c r="K271" i="22"/>
  <c r="P274" i="37" s="1"/>
  <c r="L271" i="22"/>
  <c r="Q274" i="37" s="1"/>
  <c r="K37" i="22"/>
  <c r="P309" i="37" s="1"/>
  <c r="L37" i="22"/>
  <c r="Q309" i="37" s="1"/>
  <c r="K131" i="22"/>
  <c r="P129" i="37" s="1"/>
  <c r="L131" i="22"/>
  <c r="Q129" i="37" s="1"/>
  <c r="K321" i="22"/>
  <c r="P169" i="37" s="1"/>
  <c r="L321" i="22"/>
  <c r="Q169" i="37" s="1"/>
  <c r="K303" i="22"/>
  <c r="P131" i="37" s="1"/>
  <c r="L303" i="22"/>
  <c r="Q131" i="37" s="1"/>
  <c r="K55" i="22"/>
  <c r="P30" i="37" s="1"/>
  <c r="L55" i="22"/>
  <c r="Q30" i="37" s="1"/>
  <c r="K35" i="22"/>
  <c r="P313" i="37" s="1"/>
  <c r="L35" i="22"/>
  <c r="Q313" i="37" s="1"/>
  <c r="K214" i="22"/>
  <c r="P157" i="37" s="1"/>
  <c r="L214" i="22"/>
  <c r="Q157" i="37" s="1"/>
  <c r="K151" i="22"/>
  <c r="P247" i="37" s="1"/>
  <c r="L151" i="22"/>
  <c r="Q247" i="37" s="1"/>
  <c r="K69" i="22"/>
  <c r="P112" i="37" s="1"/>
  <c r="L69" i="22"/>
  <c r="Q112" i="37" s="1"/>
  <c r="K9" i="22"/>
  <c r="P99" i="37" s="1"/>
  <c r="L9" i="22"/>
  <c r="Q99" i="37" s="1"/>
  <c r="K39" i="22"/>
  <c r="P75" i="37" s="1"/>
  <c r="L39" i="22"/>
  <c r="Q75" i="37" s="1"/>
  <c r="K231" i="22"/>
  <c r="P69" i="37" s="1"/>
  <c r="L231" i="22"/>
  <c r="Q69" i="37" s="1"/>
  <c r="K145" i="22"/>
  <c r="P68" i="37" s="1"/>
  <c r="L145" i="22"/>
  <c r="Q68" i="37" s="1"/>
  <c r="K256" i="22"/>
  <c r="P65" i="37" s="1"/>
  <c r="L256" i="22"/>
  <c r="Q65" i="37" s="1"/>
  <c r="K247" i="22"/>
  <c r="P278" i="37" s="1"/>
  <c r="L247" i="22"/>
  <c r="Q278" i="37" s="1"/>
  <c r="K116" i="22"/>
  <c r="P6" i="37" s="1"/>
  <c r="L116" i="22"/>
  <c r="Q6" i="37" s="1"/>
  <c r="K50" i="22"/>
  <c r="P74" i="37" s="1"/>
  <c r="L50" i="22"/>
  <c r="Q74" i="37" s="1"/>
  <c r="F113" i="22"/>
  <c r="K276" i="37" s="1"/>
  <c r="K113" i="22"/>
  <c r="P276" i="37" s="1"/>
  <c r="L113" i="22"/>
  <c r="Q276" i="37" s="1"/>
  <c r="K294" i="22"/>
  <c r="P171" i="37" s="1"/>
  <c r="L294" i="22"/>
  <c r="Q171" i="37" s="1"/>
  <c r="K319" i="22"/>
  <c r="P213" i="37" s="1"/>
  <c r="L319" i="22"/>
  <c r="Q213" i="37" s="1"/>
  <c r="K299" i="22"/>
  <c r="P106" i="37" s="1"/>
  <c r="L299" i="22"/>
  <c r="Q106" i="37" s="1"/>
  <c r="K269" i="22"/>
  <c r="P322" i="37" s="1"/>
  <c r="L269" i="22"/>
  <c r="Q322" i="37" s="1"/>
  <c r="K268" i="22"/>
  <c r="P286" i="37" s="1"/>
  <c r="L268" i="22"/>
  <c r="Q286" i="37" s="1"/>
  <c r="K228" i="22"/>
  <c r="P305" i="37" s="1"/>
  <c r="L228" i="22"/>
  <c r="Q305" i="37" s="1"/>
  <c r="K317" i="22"/>
  <c r="P186" i="37" s="1"/>
  <c r="L317" i="22"/>
  <c r="Q186" i="37" s="1"/>
  <c r="K4" i="22"/>
  <c r="P60" i="37" s="1"/>
  <c r="L4" i="22"/>
  <c r="Q60" i="37" s="1"/>
  <c r="K109" i="22"/>
  <c r="P301" i="37" s="1"/>
  <c r="L109" i="22"/>
  <c r="Q301" i="37" s="1"/>
  <c r="K47" i="22"/>
  <c r="P282" i="37" s="1"/>
  <c r="L47" i="22"/>
  <c r="Q282" i="37" s="1"/>
  <c r="K237" i="22"/>
  <c r="P259" i="37" s="1"/>
  <c r="L237" i="22"/>
  <c r="Q259" i="37" s="1"/>
  <c r="K276" i="22"/>
  <c r="P116" i="37" s="1"/>
  <c r="L276" i="22"/>
  <c r="Q116" i="37" s="1"/>
  <c r="K95" i="22"/>
  <c r="P306" i="37" s="1"/>
  <c r="L95" i="22"/>
  <c r="Q306" i="37" s="1"/>
  <c r="K282" i="22"/>
  <c r="P33" i="37" s="1"/>
  <c r="L282" i="22"/>
  <c r="Q33" i="37" s="1"/>
  <c r="K34" i="22"/>
  <c r="P242" i="37" s="1"/>
  <c r="L34" i="22"/>
  <c r="Q242" i="37" s="1"/>
  <c r="K224" i="22"/>
  <c r="P188" i="37" s="1"/>
  <c r="L224" i="22"/>
  <c r="Q188" i="37" s="1"/>
  <c r="K125" i="22"/>
  <c r="P256" i="37" s="1"/>
  <c r="L125" i="22"/>
  <c r="Q256" i="37" s="1"/>
  <c r="K300" i="22"/>
  <c r="P83" i="37" s="1"/>
  <c r="L300" i="22"/>
  <c r="Q83" i="37" s="1"/>
  <c r="K87" i="22"/>
  <c r="P258" i="37" s="1"/>
  <c r="L87" i="22"/>
  <c r="Q258" i="37" s="1"/>
  <c r="K129" i="22"/>
  <c r="P136" i="37" s="1"/>
  <c r="L129" i="22"/>
  <c r="Q136" i="37" s="1"/>
  <c r="K207" i="22"/>
  <c r="P191" i="37" s="1"/>
  <c r="L207" i="22"/>
  <c r="Q191" i="37" s="1"/>
  <c r="K218" i="22"/>
  <c r="P140" i="37" s="1"/>
  <c r="L218" i="22"/>
  <c r="Q140" i="37" s="1"/>
  <c r="K110" i="22"/>
  <c r="P295" i="37" s="1"/>
  <c r="L110" i="22"/>
  <c r="Q295" i="37" s="1"/>
  <c r="K139" i="22"/>
  <c r="P120" i="37" s="1"/>
  <c r="L139" i="22"/>
  <c r="Q120" i="37" s="1"/>
  <c r="K312" i="22"/>
  <c r="P12" i="37" s="1"/>
  <c r="L312" i="22"/>
  <c r="Q12" i="37" s="1"/>
  <c r="K242" i="22"/>
  <c r="P236" i="37" s="1"/>
  <c r="L242" i="22"/>
  <c r="Q236" i="37" s="1"/>
  <c r="K155" i="22"/>
  <c r="P84" i="37" s="1"/>
  <c r="L155" i="22"/>
  <c r="Q84" i="37" s="1"/>
  <c r="K259" i="22"/>
  <c r="P202" i="37" s="1"/>
  <c r="L259" i="22"/>
  <c r="Q202" i="37" s="1"/>
  <c r="K288" i="22"/>
  <c r="P227" i="37" s="1"/>
  <c r="L288" i="22"/>
  <c r="Q227" i="37" s="1"/>
  <c r="K162" i="22"/>
  <c r="P25" i="37" s="1"/>
  <c r="L162" i="22"/>
  <c r="Q25" i="37" s="1"/>
  <c r="K283" i="22"/>
  <c r="P16" i="37" s="1"/>
  <c r="L283" i="22"/>
  <c r="Q16" i="37" s="1"/>
  <c r="F301" i="22"/>
  <c r="K59" i="37" s="1"/>
  <c r="K301" i="22"/>
  <c r="P59" i="37" s="1"/>
  <c r="L301" i="22"/>
  <c r="Q59" i="37" s="1"/>
  <c r="K188" i="22"/>
  <c r="P43" i="37" s="1"/>
  <c r="L188" i="22"/>
  <c r="Q43" i="37" s="1"/>
  <c r="K52" i="22"/>
  <c r="P163" i="37" s="1"/>
  <c r="L52" i="22"/>
  <c r="Q163" i="37" s="1"/>
  <c r="K284" i="22"/>
  <c r="P102" i="37" s="1"/>
  <c r="L284" i="22"/>
  <c r="Q102" i="37" s="1"/>
  <c r="K22" i="22"/>
  <c r="P234" i="37" s="1"/>
  <c r="L22" i="22"/>
  <c r="Q234" i="37" s="1"/>
  <c r="K150" i="22"/>
  <c r="P137" i="37" s="1"/>
  <c r="L150" i="22"/>
  <c r="Q137" i="37" s="1"/>
  <c r="K157" i="22"/>
  <c r="P206" i="37" s="1"/>
  <c r="L157" i="22"/>
  <c r="Q206" i="37" s="1"/>
  <c r="K179" i="22"/>
  <c r="P156" i="37" s="1"/>
  <c r="L179" i="22"/>
  <c r="Q156" i="37" s="1"/>
  <c r="K183" i="22"/>
  <c r="P244" i="37" s="1"/>
  <c r="L183" i="22"/>
  <c r="Q244" i="37" s="1"/>
  <c r="K235" i="22"/>
  <c r="P166" i="37" s="1"/>
  <c r="L235" i="22"/>
  <c r="Q166" i="37" s="1"/>
  <c r="K107" i="22"/>
  <c r="P101" i="37" s="1"/>
  <c r="L107" i="22"/>
  <c r="Q101" i="37" s="1"/>
  <c r="K257" i="22"/>
  <c r="P152" i="37" s="1"/>
  <c r="L257" i="22"/>
  <c r="Q152" i="37" s="1"/>
  <c r="K289" i="22"/>
  <c r="P267" i="37" s="1"/>
  <c r="L289" i="22"/>
  <c r="Q267" i="37" s="1"/>
  <c r="K189" i="22"/>
  <c r="P203" i="37" s="1"/>
  <c r="L189" i="22"/>
  <c r="Q203" i="37" s="1"/>
  <c r="K63" i="22"/>
  <c r="P118" i="37" s="1"/>
  <c r="L63" i="22"/>
  <c r="Q118" i="37" s="1"/>
  <c r="K19" i="22"/>
  <c r="P174" i="37" s="1"/>
  <c r="L19" i="22"/>
  <c r="Q174" i="37" s="1"/>
  <c r="K171" i="22"/>
  <c r="P238" i="37" s="1"/>
  <c r="L171" i="22"/>
  <c r="Q238" i="37" s="1"/>
  <c r="K111" i="22"/>
  <c r="P324" i="37" s="1"/>
  <c r="L111" i="22"/>
  <c r="Q324" i="37" s="1"/>
  <c r="K240" i="22"/>
  <c r="P45" i="37" s="1"/>
  <c r="L240" i="22"/>
  <c r="Q45" i="37" s="1"/>
  <c r="K184" i="22"/>
  <c r="P93" i="37" s="1"/>
  <c r="L184" i="22"/>
  <c r="Q93" i="37" s="1"/>
  <c r="K305" i="22"/>
  <c r="P158" i="37" s="1"/>
  <c r="L305" i="22"/>
  <c r="Q158" i="37" s="1"/>
  <c r="K310" i="22"/>
  <c r="P226" i="37" s="1"/>
  <c r="L310" i="22"/>
  <c r="Q226" i="37" s="1"/>
  <c r="K114" i="22"/>
  <c r="P14" i="37" s="1"/>
  <c r="L114" i="22"/>
  <c r="Q14" i="37" s="1"/>
  <c r="K92" i="22"/>
  <c r="P154" i="37" s="1"/>
  <c r="L92" i="22"/>
  <c r="Q154" i="37" s="1"/>
  <c r="K6" i="22"/>
  <c r="P56" i="37" s="1"/>
  <c r="L6" i="22"/>
  <c r="Q56" i="37" s="1"/>
  <c r="K292" i="22"/>
  <c r="P42" i="37" s="1"/>
  <c r="L292" i="22"/>
  <c r="Q42" i="37" s="1"/>
  <c r="K68" i="22"/>
  <c r="P92" i="37" s="1"/>
  <c r="L68" i="22"/>
  <c r="Q92" i="37" s="1"/>
  <c r="K221" i="22"/>
  <c r="P105" i="37" s="1"/>
  <c r="L221" i="22"/>
  <c r="Q105" i="37" s="1"/>
  <c r="K85" i="22"/>
  <c r="P170" i="37" s="1"/>
  <c r="L85" i="22"/>
  <c r="Q170" i="37" s="1"/>
  <c r="K134" i="22"/>
  <c r="P167" i="37" s="1"/>
  <c r="L134" i="22"/>
  <c r="Q167" i="37" s="1"/>
  <c r="K206" i="22"/>
  <c r="P253" i="37" s="1"/>
  <c r="L206" i="22"/>
  <c r="Q253" i="37" s="1"/>
  <c r="K88" i="22"/>
  <c r="P182" i="37" s="1"/>
  <c r="L88" i="22"/>
  <c r="Q182" i="37" s="1"/>
  <c r="K112" i="22"/>
  <c r="P323" i="37" s="1"/>
  <c r="L112" i="22"/>
  <c r="Q323" i="37" s="1"/>
  <c r="K185" i="22"/>
  <c r="P58" i="37" s="1"/>
  <c r="L185" i="22"/>
  <c r="Q58" i="37" s="1"/>
  <c r="K141" i="22"/>
  <c r="P138" i="37" s="1"/>
  <c r="L141" i="22"/>
  <c r="Q138" i="37" s="1"/>
  <c r="K61" i="22"/>
  <c r="P51" i="37" s="1"/>
  <c r="L61" i="22"/>
  <c r="Q51" i="37" s="1"/>
  <c r="K254" i="22"/>
  <c r="P159" i="37" s="1"/>
  <c r="L254" i="22"/>
  <c r="Q159" i="37" s="1"/>
  <c r="K217" i="22"/>
  <c r="P270" i="37" s="1"/>
  <c r="L217" i="22"/>
  <c r="Q270" i="37" s="1"/>
  <c r="K56" i="22"/>
  <c r="P63" i="37" s="1"/>
  <c r="L56" i="22"/>
  <c r="Q63" i="37" s="1"/>
  <c r="K96" i="22"/>
  <c r="P319" i="37" s="1"/>
  <c r="L96" i="22"/>
  <c r="Q319" i="37" s="1"/>
  <c r="K30" i="22"/>
  <c r="P325" i="37" s="1"/>
  <c r="L30" i="22"/>
  <c r="Q325" i="37" s="1"/>
  <c r="K18" i="22"/>
  <c r="P52" i="37" s="1"/>
  <c r="L18" i="22"/>
  <c r="Q52" i="37" s="1"/>
  <c r="K307" i="22"/>
  <c r="P220" i="37" s="1"/>
  <c r="L307" i="22"/>
  <c r="Q220" i="37" s="1"/>
  <c r="K166" i="22"/>
  <c r="P94" i="37" s="1"/>
  <c r="L166" i="22"/>
  <c r="Q94" i="37" s="1"/>
  <c r="K138" i="22"/>
  <c r="P103" i="37" s="1"/>
  <c r="L138" i="22"/>
  <c r="Q103" i="37" s="1"/>
  <c r="K232" i="22"/>
  <c r="P280" i="37" s="1"/>
  <c r="L232" i="22"/>
  <c r="Q280" i="37" s="1"/>
  <c r="K161" i="22"/>
  <c r="P165" i="37" s="1"/>
  <c r="L161" i="22"/>
  <c r="Q165" i="37" s="1"/>
  <c r="K119" i="22"/>
  <c r="P87" i="37" s="1"/>
  <c r="L119" i="22"/>
  <c r="Q87" i="37" s="1"/>
  <c r="K287" i="22"/>
  <c r="P222" i="37" s="1"/>
  <c r="L287" i="22"/>
  <c r="Q222" i="37" s="1"/>
  <c r="K143" i="22"/>
  <c r="P64" i="37" s="1"/>
  <c r="L143" i="22"/>
  <c r="Q64" i="37" s="1"/>
  <c r="K295" i="22"/>
  <c r="P72" i="37" s="1"/>
  <c r="L295" i="22"/>
  <c r="Q72" i="37" s="1"/>
  <c r="K133" i="22"/>
  <c r="P266" i="37" s="1"/>
  <c r="L133" i="22"/>
  <c r="Q266" i="37" s="1"/>
  <c r="K32" i="22"/>
  <c r="P228" i="37" s="1"/>
  <c r="L32" i="22"/>
  <c r="Q228" i="37" s="1"/>
  <c r="K126" i="22"/>
  <c r="P294" i="37" s="1"/>
  <c r="L126" i="22"/>
  <c r="Q294" i="37" s="1"/>
  <c r="K220" i="22"/>
  <c r="P289" i="37" s="1"/>
  <c r="L220" i="22"/>
  <c r="Q289" i="37" s="1"/>
  <c r="K175" i="22"/>
  <c r="P201" i="37" s="1"/>
  <c r="L175" i="22"/>
  <c r="Q201" i="37" s="1"/>
  <c r="K174" i="22"/>
  <c r="P144" i="37" s="1"/>
  <c r="L174" i="22"/>
  <c r="Q144" i="37" s="1"/>
  <c r="K164" i="22"/>
  <c r="P24" i="37" s="1"/>
  <c r="L164" i="22"/>
  <c r="Q24" i="37" s="1"/>
  <c r="K243" i="22"/>
  <c r="P217" i="37" s="1"/>
  <c r="L243" i="22"/>
  <c r="Q217" i="37" s="1"/>
  <c r="K146" i="22"/>
  <c r="P40" i="37" s="1"/>
  <c r="L146" i="22"/>
  <c r="Q40" i="37" s="1"/>
  <c r="K104" i="22"/>
  <c r="P250" i="37" s="1"/>
  <c r="L104" i="22"/>
  <c r="Q250" i="37" s="1"/>
  <c r="K115" i="22"/>
  <c r="P197" i="37" s="1"/>
  <c r="L115" i="22"/>
  <c r="Q197" i="37" s="1"/>
  <c r="K320" i="22"/>
  <c r="P44" i="37" s="1"/>
  <c r="L320" i="22"/>
  <c r="Q44" i="37" s="1"/>
  <c r="K314" i="22"/>
  <c r="P279" i="37" s="1"/>
  <c r="L314" i="22"/>
  <c r="Q279" i="37" s="1"/>
  <c r="K15" i="22"/>
  <c r="P304" i="37" s="1"/>
  <c r="L15" i="22"/>
  <c r="Q304" i="37" s="1"/>
  <c r="K168" i="22"/>
  <c r="P15" i="37" s="1"/>
  <c r="L168" i="22"/>
  <c r="Q15" i="37" s="1"/>
  <c r="K285" i="22"/>
  <c r="P290" i="37" s="1"/>
  <c r="L285" i="22"/>
  <c r="Q290" i="37" s="1"/>
  <c r="K149" i="22"/>
  <c r="P54" i="37" s="1"/>
  <c r="L149" i="22"/>
  <c r="Q54" i="37" s="1"/>
  <c r="K236" i="22"/>
  <c r="P193" i="37" s="1"/>
  <c r="L236" i="22"/>
  <c r="Q193" i="37" s="1"/>
  <c r="K51" i="22"/>
  <c r="P269" i="37" s="1"/>
  <c r="L51" i="22"/>
  <c r="Q269" i="37" s="1"/>
  <c r="K190" i="22"/>
  <c r="P143" i="37" s="1"/>
  <c r="L190" i="22"/>
  <c r="Q143" i="37" s="1"/>
  <c r="K59" i="22"/>
  <c r="P316" i="37" s="1"/>
  <c r="L59" i="22"/>
  <c r="Q316" i="37" s="1"/>
  <c r="K89" i="22"/>
  <c r="P88" i="37" s="1"/>
  <c r="L89" i="22"/>
  <c r="Q88" i="37" s="1"/>
  <c r="K251" i="22"/>
  <c r="P196" i="37" s="1"/>
  <c r="L251" i="22"/>
  <c r="Q196" i="37" s="1"/>
  <c r="K273" i="22"/>
  <c r="P176" i="37" s="1"/>
  <c r="L273" i="22"/>
  <c r="Q176" i="37" s="1"/>
  <c r="K8" i="22"/>
  <c r="P179" i="37" s="1"/>
  <c r="L8" i="22"/>
  <c r="Q179" i="37" s="1"/>
  <c r="K158" i="22"/>
  <c r="P237" i="37" s="1"/>
  <c r="L158" i="22"/>
  <c r="Q237" i="37" s="1"/>
  <c r="K278" i="22"/>
  <c r="P41" i="37" s="1"/>
  <c r="L278" i="22"/>
  <c r="Q41" i="37" s="1"/>
  <c r="K74" i="22"/>
  <c r="P233" i="37" s="1"/>
  <c r="L74" i="22"/>
  <c r="Q233" i="37" s="1"/>
  <c r="K227" i="22"/>
  <c r="P293" i="37" s="1"/>
  <c r="L227" i="22"/>
  <c r="Q293" i="37" s="1"/>
  <c r="K290" i="22"/>
  <c r="P117" i="37" s="1"/>
  <c r="L290" i="22"/>
  <c r="Q117" i="37" s="1"/>
  <c r="K197" i="22"/>
  <c r="P292" i="37" s="1"/>
  <c r="L197" i="22"/>
  <c r="Q292" i="37" s="1"/>
  <c r="K36" i="22"/>
  <c r="P271" i="37" s="1"/>
  <c r="L36" i="22"/>
  <c r="Q271" i="37" s="1"/>
  <c r="K249" i="22"/>
  <c r="P204" i="37" s="1"/>
  <c r="L249" i="22"/>
  <c r="Q204" i="37" s="1"/>
  <c r="K101" i="22"/>
  <c r="P320" i="37" s="1"/>
  <c r="L101" i="22"/>
  <c r="Q320" i="37" s="1"/>
  <c r="K106" i="22"/>
  <c r="P312" i="37" s="1"/>
  <c r="L106" i="22"/>
  <c r="Q312" i="37" s="1"/>
  <c r="K73" i="22"/>
  <c r="P205" i="37" s="1"/>
  <c r="L73" i="22"/>
  <c r="Q205" i="37" s="1"/>
  <c r="K173" i="22"/>
  <c r="P104" i="37" s="1"/>
  <c r="L173" i="22"/>
  <c r="Q104" i="37" s="1"/>
  <c r="K210" i="22"/>
  <c r="P50" i="37" s="1"/>
  <c r="L210" i="22"/>
  <c r="Q50" i="37" s="1"/>
  <c r="K274" i="22"/>
  <c r="P164" i="37" s="1"/>
  <c r="L274" i="22"/>
  <c r="Q164" i="37" s="1"/>
  <c r="K100" i="22"/>
  <c r="P219" i="37" s="1"/>
  <c r="L100" i="22"/>
  <c r="Q219" i="37" s="1"/>
  <c r="K213" i="22"/>
  <c r="P151" i="37" s="1"/>
  <c r="L213" i="22"/>
  <c r="Q151" i="37" s="1"/>
  <c r="K302" i="22"/>
  <c r="P57" i="37" s="1"/>
  <c r="L302" i="22"/>
  <c r="Q57" i="37" s="1"/>
  <c r="K71" i="22"/>
  <c r="P232" i="37" s="1"/>
  <c r="L71" i="22"/>
  <c r="Q232" i="37" s="1"/>
  <c r="K194" i="22"/>
  <c r="P318" i="37" s="1"/>
  <c r="L194" i="22"/>
  <c r="Q318" i="37" s="1"/>
  <c r="K102" i="22"/>
  <c r="P208" i="37" s="1"/>
  <c r="L102" i="22"/>
  <c r="Q208" i="37" s="1"/>
  <c r="K142" i="22"/>
  <c r="P53" i="37" s="1"/>
  <c r="L142" i="22"/>
  <c r="Q53" i="37" s="1"/>
  <c r="K10" i="22"/>
  <c r="P288" i="37" s="1"/>
  <c r="L10" i="22"/>
  <c r="Q288" i="37" s="1"/>
  <c r="K193" i="22"/>
  <c r="P317" i="37" s="1"/>
  <c r="L193" i="22"/>
  <c r="Q317" i="37" s="1"/>
  <c r="K38" i="22"/>
  <c r="P240" i="37" s="1"/>
  <c r="L38" i="22"/>
  <c r="Q240" i="37" s="1"/>
  <c r="K72" i="22"/>
  <c r="P97" i="37" s="1"/>
  <c r="L72" i="22"/>
  <c r="Q97" i="37" s="1"/>
  <c r="K250" i="22"/>
  <c r="P241" i="37" s="1"/>
  <c r="L250" i="22"/>
  <c r="Q241" i="37" s="1"/>
  <c r="K311" i="22"/>
  <c r="P153" i="37" s="1"/>
  <c r="L311" i="22"/>
  <c r="Q153" i="37" s="1"/>
  <c r="K222" i="22"/>
  <c r="P90" i="37" s="1"/>
  <c r="L222" i="22"/>
  <c r="Q90" i="37" s="1"/>
  <c r="K182" i="22"/>
  <c r="P207" i="37" s="1"/>
  <c r="L182" i="22"/>
  <c r="Q207" i="37" s="1"/>
  <c r="K180" i="22"/>
  <c r="P132" i="37" s="1"/>
  <c r="L180" i="22"/>
  <c r="Q132" i="37" s="1"/>
  <c r="K167" i="22"/>
  <c r="P20" i="37" s="1"/>
  <c r="L167" i="22"/>
  <c r="Q20" i="37" s="1"/>
  <c r="K260" i="22"/>
  <c r="P189" i="37" s="1"/>
  <c r="L260" i="22"/>
  <c r="Q189" i="37" s="1"/>
  <c r="H291" i="22"/>
  <c r="M168" i="37" s="1"/>
  <c r="K291" i="22"/>
  <c r="P168" i="37" s="1"/>
  <c r="L291" i="22"/>
  <c r="Q168" i="37" s="1"/>
  <c r="K212" i="22"/>
  <c r="P82" i="37" s="1"/>
  <c r="L212" i="22"/>
  <c r="Q82" i="37" s="1"/>
  <c r="K11" i="22"/>
  <c r="P124" i="37" s="1"/>
  <c r="L11" i="22"/>
  <c r="Q124" i="37" s="1"/>
  <c r="K13" i="22"/>
  <c r="P100" i="37" s="1"/>
  <c r="L13" i="22"/>
  <c r="Q100" i="37" s="1"/>
  <c r="K219" i="22"/>
  <c r="P123" i="37" s="1"/>
  <c r="L219" i="22"/>
  <c r="Q123" i="37" s="1"/>
  <c r="K29" i="22"/>
  <c r="P114" i="37" s="1"/>
  <c r="L29" i="22"/>
  <c r="Q114" i="37" s="1"/>
  <c r="H5" i="22"/>
  <c r="M248" i="37" s="1"/>
  <c r="I5" i="22"/>
  <c r="N248" i="37" s="1"/>
  <c r="K5" i="22"/>
  <c r="P248" i="37" s="1"/>
  <c r="L5" i="22"/>
  <c r="Q248" i="37" s="1"/>
  <c r="K27" i="22"/>
  <c r="P216" i="37" s="1"/>
  <c r="L27" i="22"/>
  <c r="Q216" i="37" s="1"/>
  <c r="K201" i="22"/>
  <c r="P302" i="37" s="1"/>
  <c r="L201" i="22"/>
  <c r="Q302" i="37" s="1"/>
  <c r="K121" i="22"/>
  <c r="P177" i="37" s="1"/>
  <c r="L121" i="22"/>
  <c r="Q177" i="37" s="1"/>
  <c r="K172" i="22"/>
  <c r="P229" i="37" s="1"/>
  <c r="L172" i="22"/>
  <c r="Q229" i="37" s="1"/>
  <c r="K75" i="22"/>
  <c r="P128" i="37" s="1"/>
  <c r="L75" i="22"/>
  <c r="Q128" i="37" s="1"/>
  <c r="K255" i="22"/>
  <c r="P111" i="37" s="1"/>
  <c r="L255" i="22"/>
  <c r="Q111" i="37" s="1"/>
  <c r="K318" i="22"/>
  <c r="P19" i="37" s="1"/>
  <c r="L318" i="22"/>
  <c r="Q19" i="37" s="1"/>
  <c r="K267" i="22"/>
  <c r="P173" i="37" s="1"/>
  <c r="L267" i="22"/>
  <c r="Q173" i="37" s="1"/>
  <c r="K153" i="22"/>
  <c r="P134" i="37" s="1"/>
  <c r="L153" i="22"/>
  <c r="Q134" i="37" s="1"/>
  <c r="K127" i="22"/>
  <c r="P300" i="37" s="1"/>
  <c r="L127" i="22"/>
  <c r="Q300" i="37" s="1"/>
  <c r="H108" i="22"/>
  <c r="M245" i="37" s="1"/>
  <c r="K108" i="22"/>
  <c r="P245" i="37" s="1"/>
  <c r="L108" i="22"/>
  <c r="Q245" i="37" s="1"/>
  <c r="K177" i="22"/>
  <c r="P85" i="37" s="1"/>
  <c r="L177" i="22"/>
  <c r="Q85" i="37" s="1"/>
  <c r="K209" i="22"/>
  <c r="P91" i="37" s="1"/>
  <c r="L209" i="22"/>
  <c r="Q91" i="37" s="1"/>
  <c r="K148" i="22"/>
  <c r="P109" i="37" s="1"/>
  <c r="L148" i="22"/>
  <c r="Q109" i="37" s="1"/>
  <c r="K31" i="22"/>
  <c r="P7" i="37" s="1"/>
  <c r="L31" i="22"/>
  <c r="Q7" i="37" s="1"/>
  <c r="F315" i="22"/>
  <c r="K249" i="37" s="1"/>
  <c r="K315" i="22"/>
  <c r="P249" i="37" s="1"/>
  <c r="L315" i="22"/>
  <c r="Q249" i="37" s="1"/>
  <c r="K81" i="22"/>
  <c r="P47" i="37" s="1"/>
  <c r="L81" i="22"/>
  <c r="Q47" i="37" s="1"/>
  <c r="K296" i="22"/>
  <c r="P199" i="37" s="1"/>
  <c r="L296" i="22"/>
  <c r="Q199" i="37" s="1"/>
  <c r="H192" i="22"/>
  <c r="M235" i="37" s="1"/>
  <c r="K192" i="22"/>
  <c r="P235" i="37" s="1"/>
  <c r="L192" i="22"/>
  <c r="Q235" i="37" s="1"/>
  <c r="K229" i="22"/>
  <c r="P141" i="37" s="1"/>
  <c r="L229" i="22"/>
  <c r="Q141" i="37" s="1"/>
  <c r="K286" i="22"/>
  <c r="P275" i="37" s="1"/>
  <c r="L286" i="22"/>
  <c r="Q275" i="37" s="1"/>
  <c r="K118" i="22"/>
  <c r="P66" i="37" s="1"/>
  <c r="L118" i="22"/>
  <c r="Q66" i="37" s="1"/>
  <c r="H60" i="22"/>
  <c r="M185" i="37" s="1"/>
  <c r="K60" i="22"/>
  <c r="P185" i="37" s="1"/>
  <c r="L60" i="22"/>
  <c r="Q185" i="37" s="1"/>
  <c r="K26" i="22"/>
  <c r="P239" i="37" s="1"/>
  <c r="L26" i="22"/>
  <c r="Q239" i="37" s="1"/>
  <c r="K58" i="22"/>
  <c r="P149" i="37" s="1"/>
  <c r="L58" i="22"/>
  <c r="Q149" i="37" s="1"/>
  <c r="E3" i="57"/>
  <c r="H3" i="57"/>
  <c r="E4" i="57"/>
  <c r="H4" i="57"/>
  <c r="E5" i="57"/>
  <c r="H5" i="57"/>
  <c r="E6" i="57"/>
  <c r="H6" i="57"/>
  <c r="E7" i="57"/>
  <c r="H7" i="57"/>
  <c r="E8" i="57"/>
  <c r="H8" i="57"/>
  <c r="E9" i="57"/>
  <c r="H9" i="57"/>
  <c r="E10" i="57"/>
  <c r="H10" i="57"/>
  <c r="E11" i="57"/>
  <c r="H11" i="57"/>
  <c r="E12" i="57"/>
  <c r="H12" i="57"/>
  <c r="E13" i="57"/>
  <c r="H13" i="57"/>
  <c r="E14" i="57"/>
  <c r="H14" i="57"/>
  <c r="E15" i="57"/>
  <c r="H15" i="57"/>
  <c r="E16" i="57"/>
  <c r="H16" i="57"/>
  <c r="E17" i="57"/>
  <c r="H17" i="57"/>
  <c r="E18" i="57"/>
  <c r="H18" i="57"/>
  <c r="E19" i="57"/>
  <c r="H19" i="57"/>
  <c r="E20" i="57"/>
  <c r="H20" i="57"/>
  <c r="E21" i="57"/>
  <c r="H21" i="57"/>
  <c r="E22" i="57"/>
  <c r="H22" i="57"/>
  <c r="E23" i="57"/>
  <c r="H23" i="57"/>
  <c r="E24" i="57"/>
  <c r="H24" i="57"/>
  <c r="E25" i="57"/>
  <c r="H25" i="57"/>
  <c r="E26" i="57"/>
  <c r="H26" i="57"/>
  <c r="E27" i="57"/>
  <c r="H27" i="57"/>
  <c r="E28" i="57"/>
  <c r="H28" i="57"/>
  <c r="E29" i="57"/>
  <c r="H29" i="57"/>
  <c r="E30" i="57"/>
  <c r="H30" i="57"/>
  <c r="E31" i="57"/>
  <c r="H31" i="57"/>
  <c r="E32" i="57"/>
  <c r="H32" i="57"/>
  <c r="E33" i="57"/>
  <c r="H33" i="57"/>
  <c r="E34" i="57"/>
  <c r="H34" i="57"/>
  <c r="E35" i="57"/>
  <c r="H35" i="57"/>
  <c r="E36" i="57"/>
  <c r="H36" i="57"/>
  <c r="E37" i="57"/>
  <c r="H37" i="57"/>
  <c r="E38" i="57"/>
  <c r="H38" i="57"/>
  <c r="E39" i="57"/>
  <c r="H39" i="57"/>
  <c r="E40" i="57"/>
  <c r="H40" i="57"/>
  <c r="E41" i="57"/>
  <c r="H41" i="57"/>
  <c r="E42" i="57"/>
  <c r="H42" i="57"/>
  <c r="E43" i="57"/>
  <c r="H43" i="57"/>
  <c r="E44" i="57"/>
  <c r="H44" i="57"/>
  <c r="E45" i="57"/>
  <c r="H45" i="57"/>
  <c r="E46" i="57"/>
  <c r="H46" i="57"/>
  <c r="E47" i="57"/>
  <c r="H47" i="57"/>
  <c r="E48" i="57"/>
  <c r="H48" i="57"/>
  <c r="E49" i="57"/>
  <c r="H49" i="57"/>
  <c r="E50" i="57"/>
  <c r="H50" i="57"/>
  <c r="E51" i="57"/>
  <c r="H51" i="57"/>
  <c r="E52" i="57"/>
  <c r="H52" i="57"/>
  <c r="E53" i="57"/>
  <c r="H53" i="57"/>
  <c r="E54" i="57"/>
  <c r="H54" i="57"/>
  <c r="E55" i="57"/>
  <c r="H55" i="57"/>
  <c r="E56" i="57"/>
  <c r="H56" i="57"/>
  <c r="E57" i="57"/>
  <c r="H57" i="57"/>
  <c r="E58" i="57"/>
  <c r="H58" i="57"/>
  <c r="E59" i="57"/>
  <c r="H59" i="57"/>
  <c r="E60" i="57"/>
  <c r="H60" i="57"/>
  <c r="E61" i="57"/>
  <c r="H61" i="57"/>
  <c r="E62" i="57"/>
  <c r="H62" i="57"/>
  <c r="E63" i="57"/>
  <c r="H63" i="57"/>
  <c r="E64" i="57"/>
  <c r="H64" i="57"/>
  <c r="E65" i="57"/>
  <c r="H65" i="57"/>
  <c r="E66" i="57"/>
  <c r="H66" i="57"/>
  <c r="E67" i="57"/>
  <c r="H67" i="57"/>
  <c r="E68" i="57"/>
  <c r="H68" i="57"/>
  <c r="E69" i="57"/>
  <c r="H69" i="57"/>
  <c r="E70" i="57"/>
  <c r="H70" i="57"/>
  <c r="E71" i="57"/>
  <c r="H71" i="57"/>
  <c r="E72" i="57"/>
  <c r="H72" i="57"/>
  <c r="E73" i="57"/>
  <c r="H73" i="57"/>
  <c r="E74" i="57"/>
  <c r="H74" i="57"/>
  <c r="E75" i="57"/>
  <c r="H75" i="57"/>
  <c r="E76" i="57"/>
  <c r="H76" i="57"/>
  <c r="E77" i="57"/>
  <c r="H77" i="57"/>
  <c r="E78" i="57"/>
  <c r="H78" i="57"/>
  <c r="E79" i="57"/>
  <c r="H79" i="57"/>
  <c r="E80" i="57"/>
  <c r="H80" i="57"/>
  <c r="E81" i="57"/>
  <c r="H81" i="57"/>
  <c r="E82" i="57"/>
  <c r="H82" i="57"/>
  <c r="E83" i="57"/>
  <c r="H83" i="57"/>
  <c r="E84" i="57"/>
  <c r="H84" i="57"/>
  <c r="E85" i="57"/>
  <c r="H85" i="57"/>
  <c r="E86" i="57"/>
  <c r="H86" i="57"/>
  <c r="E87" i="57"/>
  <c r="H87" i="57"/>
  <c r="E88" i="57"/>
  <c r="H88" i="57"/>
  <c r="E89" i="57"/>
  <c r="H89" i="57"/>
  <c r="E90" i="57"/>
  <c r="H90" i="57"/>
  <c r="E91" i="57"/>
  <c r="H91" i="57"/>
  <c r="E92" i="57"/>
  <c r="H92" i="57"/>
  <c r="E93" i="57"/>
  <c r="H93" i="57"/>
  <c r="E94" i="57"/>
  <c r="H94" i="57"/>
  <c r="E95" i="57"/>
  <c r="H95" i="57"/>
  <c r="E96" i="57"/>
  <c r="H96" i="57"/>
  <c r="E97" i="57"/>
  <c r="H97" i="57"/>
  <c r="E98" i="57"/>
  <c r="H98" i="57"/>
  <c r="E99" i="57"/>
  <c r="H99" i="57"/>
  <c r="E100" i="57"/>
  <c r="H100" i="57"/>
  <c r="E101" i="57"/>
  <c r="H101" i="57"/>
  <c r="E102" i="57"/>
  <c r="H102" i="57"/>
  <c r="E103" i="57"/>
  <c r="H103" i="57"/>
  <c r="E104" i="57"/>
  <c r="H104" i="57"/>
  <c r="E105" i="57"/>
  <c r="H105" i="57"/>
  <c r="E106" i="57"/>
  <c r="H106" i="57"/>
  <c r="E107" i="57"/>
  <c r="H107" i="57"/>
  <c r="E108" i="57"/>
  <c r="H108" i="57"/>
  <c r="E109" i="57"/>
  <c r="H109" i="57"/>
  <c r="E110" i="57"/>
  <c r="H110" i="57"/>
  <c r="E111" i="57"/>
  <c r="H111" i="57"/>
  <c r="E112" i="57"/>
  <c r="H112" i="57"/>
  <c r="E113" i="57"/>
  <c r="H113" i="57"/>
  <c r="E114" i="57"/>
  <c r="H114" i="57"/>
  <c r="E115" i="57"/>
  <c r="H115" i="57"/>
  <c r="E116" i="57"/>
  <c r="H116" i="57"/>
  <c r="E117" i="57"/>
  <c r="H117" i="57"/>
  <c r="E118" i="57"/>
  <c r="H118" i="57"/>
  <c r="E119" i="57"/>
  <c r="H119" i="57"/>
  <c r="E120" i="57"/>
  <c r="H120" i="57"/>
  <c r="E121" i="57"/>
  <c r="H121" i="57"/>
  <c r="E122" i="57"/>
  <c r="H122" i="57"/>
  <c r="E123" i="57"/>
  <c r="H123" i="57"/>
  <c r="E124" i="57"/>
  <c r="H124" i="57"/>
  <c r="E125" i="57"/>
  <c r="H125" i="57"/>
  <c r="E126" i="57"/>
  <c r="H126" i="57"/>
  <c r="E127" i="57"/>
  <c r="H127" i="57"/>
  <c r="E128" i="57"/>
  <c r="H128" i="57"/>
  <c r="E129" i="57"/>
  <c r="H129" i="57"/>
  <c r="E130" i="57"/>
  <c r="H130" i="57"/>
  <c r="E131" i="57"/>
  <c r="H131" i="57"/>
  <c r="E132" i="57"/>
  <c r="H132" i="57"/>
  <c r="E133" i="57"/>
  <c r="H133" i="57"/>
  <c r="E134" i="57"/>
  <c r="H134" i="57"/>
  <c r="E135" i="57"/>
  <c r="H135" i="57"/>
  <c r="E136" i="57"/>
  <c r="H136" i="57"/>
  <c r="E137" i="57"/>
  <c r="H137" i="57"/>
  <c r="E138" i="57"/>
  <c r="H138" i="57"/>
  <c r="E139" i="57"/>
  <c r="H139" i="57"/>
  <c r="E140" i="57"/>
  <c r="H140" i="57"/>
  <c r="E141" i="57"/>
  <c r="H141" i="57"/>
  <c r="E142" i="57"/>
  <c r="H142" i="57"/>
  <c r="E143" i="57"/>
  <c r="H143" i="57"/>
  <c r="E144" i="57"/>
  <c r="H144" i="57"/>
  <c r="E145" i="57"/>
  <c r="H145" i="57"/>
  <c r="E146" i="57"/>
  <c r="H146" i="57"/>
  <c r="E147" i="57"/>
  <c r="H147" i="57"/>
  <c r="E148" i="57"/>
  <c r="H148" i="57"/>
  <c r="E149" i="57"/>
  <c r="H149" i="57"/>
  <c r="E150" i="57"/>
  <c r="H150" i="57"/>
  <c r="E151" i="57"/>
  <c r="H151" i="57"/>
  <c r="E152" i="57"/>
  <c r="H152" i="57"/>
  <c r="E153" i="57"/>
  <c r="H153" i="57"/>
  <c r="E154" i="57"/>
  <c r="H154" i="57"/>
  <c r="E155" i="57"/>
  <c r="H155" i="57"/>
  <c r="E156" i="57"/>
  <c r="H156" i="57"/>
  <c r="E157" i="57"/>
  <c r="H157" i="57"/>
  <c r="E158" i="57"/>
  <c r="H158" i="57"/>
  <c r="E159" i="57"/>
  <c r="H159" i="57"/>
  <c r="E160" i="57"/>
  <c r="H160" i="57"/>
  <c r="E161" i="57"/>
  <c r="H161" i="57"/>
  <c r="E162" i="57"/>
  <c r="H162" i="57"/>
  <c r="E163" i="57"/>
  <c r="H163" i="57"/>
  <c r="E164" i="57"/>
  <c r="H164" i="57"/>
  <c r="E165" i="57"/>
  <c r="H165" i="57"/>
  <c r="E166" i="57"/>
  <c r="H166" i="57"/>
  <c r="E167" i="57"/>
  <c r="H167" i="57"/>
  <c r="E168" i="57"/>
  <c r="H168" i="57"/>
  <c r="E169" i="57"/>
  <c r="H169" i="57"/>
  <c r="E170" i="57"/>
  <c r="H170" i="57"/>
  <c r="E171" i="57"/>
  <c r="H171" i="57"/>
  <c r="E172" i="57"/>
  <c r="H172" i="57"/>
  <c r="E173" i="57"/>
  <c r="H173" i="57"/>
  <c r="E174" i="57"/>
  <c r="H174" i="57"/>
  <c r="E175" i="57"/>
  <c r="H175" i="57"/>
  <c r="E176" i="57"/>
  <c r="H176" i="57"/>
  <c r="E177" i="57"/>
  <c r="H177" i="57"/>
  <c r="E178" i="57"/>
  <c r="H178" i="57"/>
  <c r="E179" i="57"/>
  <c r="H179" i="57"/>
  <c r="E180" i="57"/>
  <c r="H180" i="57"/>
  <c r="E181" i="57"/>
  <c r="H181" i="57"/>
  <c r="E182" i="57"/>
  <c r="H182" i="57"/>
  <c r="E183" i="57"/>
  <c r="H183" i="57"/>
  <c r="E184" i="57"/>
  <c r="H184" i="57"/>
  <c r="E185" i="57"/>
  <c r="H185" i="57"/>
  <c r="E186" i="57"/>
  <c r="H186" i="57"/>
  <c r="E187" i="57"/>
  <c r="H187" i="57"/>
  <c r="E188" i="57"/>
  <c r="H188" i="57"/>
  <c r="E189" i="57"/>
  <c r="H189" i="57"/>
  <c r="E190" i="57"/>
  <c r="H190" i="57"/>
  <c r="E191" i="57"/>
  <c r="H191" i="57"/>
  <c r="E192" i="57"/>
  <c r="H192" i="57"/>
  <c r="E193" i="57"/>
  <c r="H193" i="57"/>
  <c r="E194" i="57"/>
  <c r="H194" i="57"/>
  <c r="E195" i="57"/>
  <c r="H195" i="57"/>
  <c r="E196" i="57"/>
  <c r="H196" i="57"/>
  <c r="E197" i="57"/>
  <c r="H197" i="57"/>
  <c r="E198" i="57"/>
  <c r="H198" i="57"/>
  <c r="E199" i="57"/>
  <c r="H199" i="57"/>
  <c r="E200" i="57"/>
  <c r="H200" i="57"/>
  <c r="E201" i="57"/>
  <c r="H201" i="57"/>
  <c r="E202" i="57"/>
  <c r="H202" i="57"/>
  <c r="E203" i="57"/>
  <c r="H203" i="57"/>
  <c r="E204" i="57"/>
  <c r="H204" i="57"/>
  <c r="E205" i="57"/>
  <c r="H205" i="57"/>
  <c r="E206" i="57"/>
  <c r="H206" i="57"/>
  <c r="E207" i="57"/>
  <c r="H207" i="57"/>
  <c r="E208" i="57"/>
  <c r="H208" i="57"/>
  <c r="E209" i="57"/>
  <c r="H209" i="57"/>
  <c r="E210" i="57"/>
  <c r="H210" i="57"/>
  <c r="E211" i="57"/>
  <c r="H211" i="57"/>
  <c r="E212" i="57"/>
  <c r="H212" i="57"/>
  <c r="E213" i="57"/>
  <c r="H213" i="57"/>
  <c r="E214" i="57"/>
  <c r="H214" i="57"/>
  <c r="E215" i="57"/>
  <c r="H215" i="57"/>
  <c r="E216" i="57"/>
  <c r="H216" i="57"/>
  <c r="E217" i="57"/>
  <c r="H217" i="57"/>
  <c r="E218" i="57"/>
  <c r="H218" i="57"/>
  <c r="E219" i="57"/>
  <c r="H219" i="57"/>
  <c r="E220" i="57"/>
  <c r="H220" i="57"/>
  <c r="E221" i="57"/>
  <c r="H221" i="57"/>
  <c r="E222" i="57"/>
  <c r="H222" i="57"/>
  <c r="E223" i="57"/>
  <c r="H223" i="57"/>
  <c r="E224" i="57"/>
  <c r="H224" i="57"/>
  <c r="E225" i="57"/>
  <c r="H225" i="57"/>
  <c r="E226" i="57"/>
  <c r="H226" i="57"/>
  <c r="E227" i="57"/>
  <c r="H227" i="57"/>
  <c r="E228" i="57"/>
  <c r="H228" i="57"/>
  <c r="E229" i="57"/>
  <c r="H229" i="57"/>
  <c r="E230" i="57"/>
  <c r="H230" i="57"/>
  <c r="E231" i="57"/>
  <c r="H231" i="57"/>
  <c r="E232" i="57"/>
  <c r="H232" i="57"/>
  <c r="E233" i="57"/>
  <c r="H233" i="57"/>
  <c r="E234" i="57"/>
  <c r="H234" i="57"/>
  <c r="E235" i="57"/>
  <c r="H235" i="57"/>
  <c r="E236" i="57"/>
  <c r="H236" i="57"/>
  <c r="E237" i="57"/>
  <c r="H237" i="57"/>
  <c r="E238" i="57"/>
  <c r="H238" i="57"/>
  <c r="E239" i="57"/>
  <c r="H239" i="57"/>
  <c r="E240" i="57"/>
  <c r="H240" i="57"/>
  <c r="E241" i="57"/>
  <c r="H241" i="57"/>
  <c r="E242" i="57"/>
  <c r="H242" i="57"/>
  <c r="E243" i="57"/>
  <c r="H243" i="57"/>
  <c r="E244" i="57"/>
  <c r="H244" i="57"/>
  <c r="E245" i="57"/>
  <c r="H245" i="57"/>
  <c r="E246" i="57"/>
  <c r="H246" i="57"/>
  <c r="E247" i="57"/>
  <c r="H247" i="57"/>
  <c r="E248" i="57"/>
  <c r="H248" i="57"/>
  <c r="E249" i="57"/>
  <c r="H249" i="57"/>
  <c r="E250" i="57"/>
  <c r="H250" i="57"/>
  <c r="E251" i="57"/>
  <c r="H251" i="57"/>
  <c r="E252" i="57"/>
  <c r="H252" i="57"/>
  <c r="E253" i="57"/>
  <c r="H253" i="57"/>
  <c r="E254" i="57"/>
  <c r="H254" i="57"/>
  <c r="E255" i="57"/>
  <c r="H255" i="57"/>
  <c r="E256" i="57"/>
  <c r="H256" i="57"/>
  <c r="E257" i="57"/>
  <c r="H257" i="57"/>
  <c r="E258" i="57"/>
  <c r="H258" i="57"/>
  <c r="E259" i="57"/>
  <c r="H259" i="57"/>
  <c r="E260" i="57"/>
  <c r="H260" i="57"/>
  <c r="E261" i="57"/>
  <c r="H261" i="57"/>
  <c r="E262" i="57"/>
  <c r="H262" i="57"/>
  <c r="E263" i="57"/>
  <c r="H263" i="57"/>
  <c r="E264" i="57"/>
  <c r="H264" i="57"/>
  <c r="E265" i="57"/>
  <c r="H265" i="57"/>
  <c r="E266" i="57"/>
  <c r="H266" i="57"/>
  <c r="E267" i="57"/>
  <c r="H267" i="57"/>
  <c r="E268" i="57"/>
  <c r="H268" i="57"/>
  <c r="E269" i="57"/>
  <c r="H269" i="57"/>
  <c r="E270" i="57"/>
  <c r="H270" i="57"/>
  <c r="E271" i="57"/>
  <c r="H271" i="57"/>
  <c r="E272" i="57"/>
  <c r="H272" i="57"/>
  <c r="E273" i="57"/>
  <c r="H273" i="57"/>
  <c r="E274" i="57"/>
  <c r="H274" i="57"/>
  <c r="E275" i="57"/>
  <c r="H275" i="57"/>
  <c r="E276" i="57"/>
  <c r="H276" i="57"/>
  <c r="E277" i="57"/>
  <c r="H277" i="57"/>
  <c r="E278" i="57"/>
  <c r="H278" i="57"/>
  <c r="E279" i="57"/>
  <c r="H279" i="57"/>
  <c r="E280" i="57"/>
  <c r="H280" i="57"/>
  <c r="E281" i="57"/>
  <c r="H281" i="57"/>
  <c r="E282" i="57"/>
  <c r="H282" i="57"/>
  <c r="E283" i="57"/>
  <c r="H283" i="57"/>
  <c r="E284" i="57"/>
  <c r="H284" i="57"/>
  <c r="E285" i="57"/>
  <c r="H285" i="57"/>
  <c r="E286" i="57"/>
  <c r="H286" i="57"/>
  <c r="E287" i="57"/>
  <c r="H287" i="57"/>
  <c r="E288" i="57"/>
  <c r="H288" i="57"/>
  <c r="E289" i="57"/>
  <c r="H289" i="57"/>
  <c r="E290" i="57"/>
  <c r="H290" i="57"/>
  <c r="E291" i="57"/>
  <c r="H291" i="57"/>
  <c r="E292" i="57"/>
  <c r="H292" i="57"/>
  <c r="E293" i="57"/>
  <c r="H293" i="57"/>
  <c r="E294" i="57"/>
  <c r="H294" i="57"/>
  <c r="E295" i="57"/>
  <c r="H295" i="57"/>
  <c r="E296" i="57"/>
  <c r="H296" i="57"/>
  <c r="E297" i="57"/>
  <c r="H297" i="57"/>
  <c r="E298" i="57"/>
  <c r="H298" i="57"/>
  <c r="E299" i="57"/>
  <c r="H299" i="57"/>
  <c r="E300" i="57"/>
  <c r="H300" i="57"/>
  <c r="E301" i="57"/>
  <c r="H301" i="57"/>
  <c r="E302" i="57"/>
  <c r="H302" i="57"/>
  <c r="E303" i="57"/>
  <c r="H303" i="57"/>
  <c r="E304" i="57"/>
  <c r="H304" i="57"/>
  <c r="E305" i="57"/>
  <c r="H305" i="57"/>
  <c r="E306" i="57"/>
  <c r="H306" i="57"/>
  <c r="E307" i="57"/>
  <c r="H307" i="57"/>
  <c r="E308" i="57"/>
  <c r="H308" i="57"/>
  <c r="E309" i="57"/>
  <c r="H309" i="57"/>
  <c r="E310" i="57"/>
  <c r="H310" i="57"/>
  <c r="E311" i="57"/>
  <c r="H311" i="57"/>
  <c r="E312" i="57"/>
  <c r="H312" i="57"/>
  <c r="E313" i="57"/>
  <c r="H313" i="57"/>
  <c r="E314" i="57"/>
  <c r="H314" i="57"/>
  <c r="E315" i="57"/>
  <c r="H315" i="57"/>
  <c r="E316" i="57"/>
  <c r="H316" i="57"/>
  <c r="E317" i="57"/>
  <c r="H317" i="57"/>
  <c r="E318" i="57"/>
  <c r="H318" i="57"/>
  <c r="H2" i="57"/>
  <c r="E2" i="57"/>
  <c r="C6" i="28"/>
  <c r="N106" i="47"/>
  <c r="N99" i="47"/>
  <c r="N99" i="46"/>
  <c r="N99" i="48"/>
  <c r="N99" i="44"/>
  <c r="N99" i="49"/>
  <c r="N99" i="45"/>
  <c r="N99" i="43"/>
  <c r="N99" i="50"/>
  <c r="N99" i="51"/>
  <c r="N99" i="52"/>
  <c r="N99" i="54"/>
  <c r="N99" i="55"/>
  <c r="N99" i="56"/>
  <c r="N110" i="47"/>
  <c r="N110" i="46"/>
  <c r="N110" i="48"/>
  <c r="N110" i="44"/>
  <c r="N110" i="49"/>
  <c r="N110" i="45"/>
  <c r="N110" i="43"/>
  <c r="N110" i="50"/>
  <c r="N110" i="51"/>
  <c r="N110" i="52"/>
  <c r="N110" i="54"/>
  <c r="N110" i="55"/>
  <c r="N110" i="56"/>
  <c r="N98" i="47"/>
  <c r="N98" i="46"/>
  <c r="N98" i="48"/>
  <c r="N98" i="44"/>
  <c r="N98" i="49"/>
  <c r="N98" i="45"/>
  <c r="N98" i="43"/>
  <c r="N98" i="50"/>
  <c r="N98" i="51"/>
  <c r="N98" i="52"/>
  <c r="N98" i="54"/>
  <c r="N98" i="55"/>
  <c r="N98" i="56"/>
  <c r="N122" i="47"/>
  <c r="N122" i="46"/>
  <c r="N122" i="48"/>
  <c r="N122" i="44"/>
  <c r="N122" i="49"/>
  <c r="N122" i="45"/>
  <c r="N122" i="43"/>
  <c r="N122" i="50"/>
  <c r="N122" i="51"/>
  <c r="N122" i="52"/>
  <c r="N122" i="54"/>
  <c r="N122" i="55"/>
  <c r="N122" i="56"/>
  <c r="N105" i="47"/>
  <c r="N105" i="46"/>
  <c r="N105" i="48"/>
  <c r="N105" i="44"/>
  <c r="N105" i="49"/>
  <c r="N105" i="45"/>
  <c r="N105" i="50"/>
  <c r="N105" i="51"/>
  <c r="N105" i="52"/>
  <c r="N105" i="54"/>
  <c r="N105" i="55"/>
  <c r="N105" i="56"/>
  <c r="N115" i="46"/>
  <c r="N115" i="48"/>
  <c r="N115" i="44"/>
  <c r="N115" i="49"/>
  <c r="N115" i="45"/>
  <c r="N115" i="43"/>
  <c r="N115" i="50"/>
  <c r="N115" i="51"/>
  <c r="N115" i="52"/>
  <c r="N115" i="54"/>
  <c r="N115" i="55"/>
  <c r="N115" i="56"/>
  <c r="N118" i="47"/>
  <c r="N118" i="46"/>
  <c r="N118" i="48"/>
  <c r="N118" i="44"/>
  <c r="N118" i="49"/>
  <c r="N118" i="45"/>
  <c r="N118" i="43"/>
  <c r="N118" i="50"/>
  <c r="N118" i="51"/>
  <c r="N118" i="52"/>
  <c r="N118" i="54"/>
  <c r="N118" i="55"/>
  <c r="N118" i="56"/>
  <c r="N104" i="47"/>
  <c r="N104" i="46"/>
  <c r="N104" i="48"/>
  <c r="N104" i="44"/>
  <c r="N104" i="49"/>
  <c r="N104" i="45"/>
  <c r="N104" i="43"/>
  <c r="N104" i="50"/>
  <c r="N104" i="52"/>
  <c r="N104" i="54"/>
  <c r="N104" i="55"/>
  <c r="N104" i="56"/>
  <c r="N102" i="47"/>
  <c r="N102" i="46"/>
  <c r="N102" i="48"/>
  <c r="N102" i="44"/>
  <c r="N102" i="49"/>
  <c r="N102" i="45"/>
  <c r="N102" i="43"/>
  <c r="N102" i="50"/>
  <c r="N102" i="51"/>
  <c r="N102" i="52"/>
  <c r="N102" i="54"/>
  <c r="N102" i="55"/>
  <c r="N102" i="56"/>
  <c r="N120" i="47"/>
  <c r="N120" i="46"/>
  <c r="N120" i="48"/>
  <c r="N120" i="44"/>
  <c r="N120" i="49"/>
  <c r="N120" i="45"/>
  <c r="N120" i="43"/>
  <c r="N120" i="50"/>
  <c r="N120" i="51"/>
  <c r="N120" i="52"/>
  <c r="N120" i="54"/>
  <c r="N120" i="55"/>
  <c r="N120" i="56"/>
  <c r="N101" i="47"/>
  <c r="N101" i="46"/>
  <c r="N101" i="48"/>
  <c r="N101" i="44"/>
  <c r="N101" i="49"/>
  <c r="N101" i="45"/>
  <c r="N101" i="43"/>
  <c r="N101" i="50"/>
  <c r="N101" i="51"/>
  <c r="N101" i="52"/>
  <c r="N101" i="54"/>
  <c r="N101" i="55"/>
  <c r="N101" i="56"/>
  <c r="N113" i="47"/>
  <c r="N113" i="46"/>
  <c r="N113" i="48"/>
  <c r="N113" i="44"/>
  <c r="N113" i="45"/>
  <c r="N113" i="43"/>
  <c r="N113" i="51"/>
  <c r="N113" i="52"/>
  <c r="N113" i="54"/>
  <c r="N113" i="55"/>
  <c r="N113" i="56"/>
  <c r="N112" i="47"/>
  <c r="N112" i="46"/>
  <c r="N112" i="48"/>
  <c r="N112" i="44"/>
  <c r="N112" i="49"/>
  <c r="N112" i="45"/>
  <c r="N112" i="43"/>
  <c r="N112" i="50"/>
  <c r="N112" i="52"/>
  <c r="N112" i="54"/>
  <c r="N112" i="55"/>
  <c r="N112" i="56"/>
  <c r="N109" i="47"/>
  <c r="N109" i="46"/>
  <c r="N109" i="48"/>
  <c r="N109" i="44"/>
  <c r="N109" i="49"/>
  <c r="N109" i="45"/>
  <c r="N109" i="43"/>
  <c r="N109" i="50"/>
  <c r="N109" i="51"/>
  <c r="N109" i="52"/>
  <c r="N109" i="54"/>
  <c r="N109" i="55"/>
  <c r="N109" i="56"/>
  <c r="N97" i="46"/>
  <c r="N97" i="48"/>
  <c r="N97" i="44"/>
  <c r="N97" i="49"/>
  <c r="N97" i="45"/>
  <c r="N97" i="43"/>
  <c r="N97" i="50"/>
  <c r="N97" i="52"/>
  <c r="N97" i="54"/>
  <c r="N97" i="55"/>
  <c r="N97" i="56"/>
  <c r="N100" i="47"/>
  <c r="N100" i="46"/>
  <c r="N100" i="48"/>
  <c r="N100" i="44"/>
  <c r="N100" i="49"/>
  <c r="N100" i="45"/>
  <c r="N100" i="43"/>
  <c r="N100" i="50"/>
  <c r="N100" i="51"/>
  <c r="N100" i="52"/>
  <c r="N100" i="54"/>
  <c r="N100" i="55"/>
  <c r="N100" i="56"/>
  <c r="N103" i="47"/>
  <c r="N103" i="46"/>
  <c r="N103" i="48"/>
  <c r="N103" i="44"/>
  <c r="N103" i="49"/>
  <c r="N103" i="45"/>
  <c r="N103" i="43"/>
  <c r="N103" i="50"/>
  <c r="N103" i="51"/>
  <c r="N103" i="52"/>
  <c r="N103" i="54"/>
  <c r="N103" i="55"/>
  <c r="N103" i="56"/>
  <c r="N106" i="48"/>
  <c r="N106" i="44"/>
  <c r="N106" i="45"/>
  <c r="N106" i="51"/>
  <c r="N106" i="52"/>
  <c r="N106" i="54"/>
  <c r="N106" i="55"/>
  <c r="N106" i="56"/>
  <c r="N107" i="47"/>
  <c r="N107" i="46"/>
  <c r="N107" i="48"/>
  <c r="N107" i="44"/>
  <c r="R107" i="49"/>
  <c r="S107" i="49" s="1"/>
  <c r="N107" i="45"/>
  <c r="N107" i="43"/>
  <c r="N107" i="51"/>
  <c r="N107" i="52"/>
  <c r="N107" i="54"/>
  <c r="N107" i="55"/>
  <c r="N107" i="56"/>
  <c r="N108" i="47"/>
  <c r="N108" i="46"/>
  <c r="N108" i="48"/>
  <c r="N108" i="44"/>
  <c r="N108" i="49"/>
  <c r="N108" i="45"/>
  <c r="N108" i="43"/>
  <c r="N108" i="50"/>
  <c r="N108" i="52"/>
  <c r="N108" i="54"/>
  <c r="N108" i="55"/>
  <c r="N108" i="56"/>
  <c r="N111" i="47"/>
  <c r="N111" i="49"/>
  <c r="N111" i="50"/>
  <c r="N111" i="51"/>
  <c r="N111" i="52"/>
  <c r="N111" i="54"/>
  <c r="N111" i="55"/>
  <c r="N111" i="56"/>
  <c r="N114" i="48"/>
  <c r="N114" i="49"/>
  <c r="N114" i="43"/>
  <c r="N114" i="50"/>
  <c r="N114" i="51"/>
  <c r="N114" i="52"/>
  <c r="N114" i="54"/>
  <c r="N114" i="55"/>
  <c r="N114" i="56"/>
  <c r="N116" i="47"/>
  <c r="N116" i="46"/>
  <c r="N116" i="48"/>
  <c r="N116" i="44"/>
  <c r="N116" i="49"/>
  <c r="N116" i="45"/>
  <c r="N116" i="43"/>
  <c r="N116" i="50"/>
  <c r="N116" i="52"/>
  <c r="N116" i="54"/>
  <c r="N116" i="55"/>
  <c r="N116" i="56"/>
  <c r="N117" i="47"/>
  <c r="N117" i="46"/>
  <c r="N117" i="48"/>
  <c r="N117" i="44"/>
  <c r="N117" i="49"/>
  <c r="N117" i="45"/>
  <c r="N117" i="43"/>
  <c r="N117" i="52"/>
  <c r="N117" i="54"/>
  <c r="N117" i="55"/>
  <c r="N117" i="56"/>
  <c r="N119" i="46"/>
  <c r="N119" i="48"/>
  <c r="N119" i="49"/>
  <c r="N119" i="45"/>
  <c r="N119" i="50"/>
  <c r="N119" i="51"/>
  <c r="N119" i="52"/>
  <c r="N119" i="54"/>
  <c r="N119" i="55"/>
  <c r="N119" i="56"/>
  <c r="N121" i="47"/>
  <c r="N121" i="46"/>
  <c r="N121" i="48"/>
  <c r="N121" i="49"/>
  <c r="N121" i="50"/>
  <c r="N121" i="51"/>
  <c r="N121" i="52"/>
  <c r="N121" i="54"/>
  <c r="N121" i="55"/>
  <c r="N121" i="56"/>
  <c r="C1" i="22"/>
  <c r="R122" i="56"/>
  <c r="S122" i="56" s="1"/>
  <c r="R112" i="56"/>
  <c r="S112" i="56" s="1"/>
  <c r="R105" i="56"/>
  <c r="S105" i="56" s="1"/>
  <c r="R104" i="56"/>
  <c r="S104" i="56" s="1"/>
  <c r="R101" i="56"/>
  <c r="S101" i="56" s="1"/>
  <c r="S3" i="56"/>
  <c r="R3" i="56"/>
  <c r="N3" i="56"/>
  <c r="M3" i="56"/>
  <c r="S1" i="56"/>
  <c r="R1" i="56"/>
  <c r="Q1" i="56"/>
  <c r="P1" i="56"/>
  <c r="O1" i="56"/>
  <c r="J1" i="56"/>
  <c r="I1" i="56"/>
  <c r="H1" i="56"/>
  <c r="G1" i="56"/>
  <c r="F1" i="56"/>
  <c r="E1" i="56"/>
  <c r="D1" i="56"/>
  <c r="C1" i="56"/>
  <c r="B1" i="56"/>
  <c r="A1" i="56"/>
  <c r="R120" i="55"/>
  <c r="S120" i="55" s="1"/>
  <c r="R109" i="55"/>
  <c r="S109" i="55" s="1"/>
  <c r="R105" i="55"/>
  <c r="S105" i="55" s="1"/>
  <c r="R104" i="55"/>
  <c r="S104" i="55" s="1"/>
  <c r="R98" i="55"/>
  <c r="S98" i="55" s="1"/>
  <c r="S3" i="55"/>
  <c r="R3" i="55"/>
  <c r="M3" i="55"/>
  <c r="S1" i="55"/>
  <c r="R1" i="55"/>
  <c r="Q1" i="55"/>
  <c r="P1" i="55"/>
  <c r="O1" i="55"/>
  <c r="J1" i="55"/>
  <c r="I1" i="55"/>
  <c r="H1" i="55"/>
  <c r="G1" i="55"/>
  <c r="F1" i="55"/>
  <c r="E1" i="55"/>
  <c r="D1" i="55"/>
  <c r="C1" i="55"/>
  <c r="B1" i="55"/>
  <c r="A1" i="55"/>
  <c r="R113" i="54"/>
  <c r="S113" i="54" s="1"/>
  <c r="R112" i="54"/>
  <c r="S112" i="54" s="1"/>
  <c r="R110" i="54"/>
  <c r="S110" i="54" s="1"/>
  <c r="S3" i="54"/>
  <c r="R3" i="54"/>
  <c r="N3" i="54"/>
  <c r="M3" i="54"/>
  <c r="S1" i="54"/>
  <c r="R1" i="54"/>
  <c r="Q1" i="54"/>
  <c r="P1" i="54"/>
  <c r="O1" i="54"/>
  <c r="J1" i="54"/>
  <c r="I1" i="54"/>
  <c r="H1" i="54"/>
  <c r="G1" i="54"/>
  <c r="F1" i="54"/>
  <c r="E1" i="54"/>
  <c r="D1" i="54"/>
  <c r="C1" i="54"/>
  <c r="B1" i="54"/>
  <c r="A1" i="54"/>
  <c r="B1" i="47"/>
  <c r="C1" i="47" s="1"/>
  <c r="D1" i="47" s="1"/>
  <c r="E1" i="47" s="1"/>
  <c r="F1" i="47" s="1"/>
  <c r="G1" i="47" s="1"/>
  <c r="H1" i="47" s="1"/>
  <c r="I1" i="47" s="1"/>
  <c r="J1" i="47" s="1"/>
  <c r="K1" i="47" s="1"/>
  <c r="L1" i="47" s="1"/>
  <c r="M1" i="47" s="1"/>
  <c r="N1" i="47" s="1"/>
  <c r="B1" i="37"/>
  <c r="C1" i="37" s="1"/>
  <c r="D1" i="37" s="1"/>
  <c r="E1" i="37" s="1"/>
  <c r="F1" i="37" s="1"/>
  <c r="G1" i="37" s="1"/>
  <c r="H1" i="37" s="1"/>
  <c r="I1" i="37" s="1"/>
  <c r="J1" i="37" s="1"/>
  <c r="K1" i="37" s="1"/>
  <c r="L1" i="37" s="1"/>
  <c r="M1" i="37" s="1"/>
  <c r="N1" i="37" s="1"/>
  <c r="O1" i="37" s="1"/>
  <c r="P1" i="37" s="1"/>
  <c r="Q1" i="37" s="1"/>
  <c r="R1" i="37" s="1"/>
  <c r="S1" i="37" s="1"/>
  <c r="T1" i="37" s="1"/>
  <c r="U1" i="37" s="1"/>
  <c r="V1" i="37" s="1"/>
  <c r="W1" i="37" s="1"/>
  <c r="X1" i="37" s="1"/>
  <c r="Y1" i="37" s="1"/>
  <c r="Z1" i="37" s="1"/>
  <c r="AA1" i="37" s="1"/>
  <c r="AB1" i="37" s="1"/>
  <c r="AC1" i="37" s="1"/>
  <c r="AD1" i="37" s="1"/>
  <c r="AE1" i="37" s="1"/>
  <c r="AF1" i="37" s="1"/>
  <c r="AG1" i="37" s="1"/>
  <c r="AH1" i="37" s="1"/>
  <c r="AI1" i="37" s="1"/>
  <c r="AJ1" i="37" s="1"/>
  <c r="R118" i="52"/>
  <c r="S118" i="52" s="1"/>
  <c r="R102" i="52"/>
  <c r="S102" i="52" s="1"/>
  <c r="R98" i="52"/>
  <c r="S98" i="52" s="1"/>
  <c r="S3" i="52"/>
  <c r="R3" i="52"/>
  <c r="N3" i="52"/>
  <c r="M3" i="52"/>
  <c r="S1" i="52"/>
  <c r="R1" i="52"/>
  <c r="Q1" i="52"/>
  <c r="P1" i="52"/>
  <c r="O1" i="52"/>
  <c r="J1" i="52"/>
  <c r="I1" i="52"/>
  <c r="H1" i="52"/>
  <c r="G1" i="52"/>
  <c r="F1" i="52"/>
  <c r="E1" i="52"/>
  <c r="D1" i="52"/>
  <c r="C1" i="52"/>
  <c r="B1" i="52"/>
  <c r="A1" i="52"/>
  <c r="R122" i="51"/>
  <c r="S122" i="51" s="1"/>
  <c r="R120" i="51"/>
  <c r="S120" i="51" s="1"/>
  <c r="R109" i="51"/>
  <c r="S109" i="51" s="1"/>
  <c r="R101" i="51"/>
  <c r="S101" i="51" s="1"/>
  <c r="R99" i="51"/>
  <c r="S99" i="51" s="1"/>
  <c r="S3" i="51"/>
  <c r="R3" i="51"/>
  <c r="N3" i="51"/>
  <c r="M3" i="51"/>
  <c r="S1" i="51"/>
  <c r="R1" i="51"/>
  <c r="Q1" i="51"/>
  <c r="P1" i="51"/>
  <c r="O1" i="51"/>
  <c r="J1" i="51"/>
  <c r="I1" i="51"/>
  <c r="H1" i="51"/>
  <c r="G1" i="51"/>
  <c r="F1" i="51"/>
  <c r="E1" i="51"/>
  <c r="D1" i="51"/>
  <c r="C1" i="51"/>
  <c r="B1" i="51"/>
  <c r="A1" i="51"/>
  <c r="R115" i="50"/>
  <c r="S115" i="50" s="1"/>
  <c r="R110" i="50"/>
  <c r="S110" i="50" s="1"/>
  <c r="S3" i="50"/>
  <c r="R3" i="50"/>
  <c r="N3" i="50"/>
  <c r="M3" i="50"/>
  <c r="S1" i="50"/>
  <c r="R1" i="50"/>
  <c r="Q1" i="50"/>
  <c r="P1" i="50"/>
  <c r="O1" i="50"/>
  <c r="J1" i="50"/>
  <c r="I1" i="50"/>
  <c r="H1" i="50"/>
  <c r="G1" i="50"/>
  <c r="F1" i="50"/>
  <c r="E1" i="50"/>
  <c r="D1" i="50"/>
  <c r="C1" i="50"/>
  <c r="B1" i="50"/>
  <c r="A1" i="50"/>
  <c r="R122" i="49"/>
  <c r="S122" i="49" s="1"/>
  <c r="R112" i="49"/>
  <c r="S112" i="49" s="1"/>
  <c r="R101" i="49"/>
  <c r="S101" i="49" s="1"/>
  <c r="S3" i="49"/>
  <c r="R3" i="49"/>
  <c r="N3" i="49"/>
  <c r="M3" i="49"/>
  <c r="S1" i="49"/>
  <c r="R1" i="49"/>
  <c r="Q1" i="49"/>
  <c r="P1" i="49"/>
  <c r="O1" i="49"/>
  <c r="J1" i="49"/>
  <c r="I1" i="49"/>
  <c r="H1" i="49"/>
  <c r="G1" i="49"/>
  <c r="F1" i="49"/>
  <c r="E1" i="49"/>
  <c r="D1" i="49"/>
  <c r="C1" i="49"/>
  <c r="B1" i="49"/>
  <c r="A1" i="49"/>
  <c r="R112" i="48"/>
  <c r="S112" i="48" s="1"/>
  <c r="R101" i="48"/>
  <c r="S101" i="48" s="1"/>
  <c r="S3" i="48"/>
  <c r="R3" i="48"/>
  <c r="N3" i="48"/>
  <c r="M3" i="48"/>
  <c r="S1" i="48"/>
  <c r="R1" i="48"/>
  <c r="Q1" i="48"/>
  <c r="P1" i="48"/>
  <c r="O1" i="48"/>
  <c r="J1" i="48"/>
  <c r="I1" i="48"/>
  <c r="H1" i="48"/>
  <c r="G1" i="48"/>
  <c r="F1" i="48"/>
  <c r="E1" i="48"/>
  <c r="D1" i="48"/>
  <c r="C1" i="48"/>
  <c r="B1" i="48"/>
  <c r="A1" i="48"/>
  <c r="S122" i="47"/>
  <c r="T122" i="47" s="1"/>
  <c r="S106" i="47"/>
  <c r="T106" i="47" s="1"/>
  <c r="S105" i="47"/>
  <c r="T105" i="47" s="1"/>
  <c r="T3" i="47"/>
  <c r="S3" i="47"/>
  <c r="N3" i="47"/>
  <c r="M3" i="47"/>
  <c r="R118" i="46"/>
  <c r="S118" i="46" s="1"/>
  <c r="R109" i="46"/>
  <c r="S109" i="46" s="1"/>
  <c r="S3" i="46"/>
  <c r="R3" i="46"/>
  <c r="N3" i="46"/>
  <c r="M3" i="46"/>
  <c r="S1" i="46"/>
  <c r="R1" i="46"/>
  <c r="Q1" i="46"/>
  <c r="P1" i="46"/>
  <c r="O1" i="46"/>
  <c r="N1" i="46"/>
  <c r="J1" i="46"/>
  <c r="I1" i="46"/>
  <c r="H1" i="46"/>
  <c r="G1" i="46"/>
  <c r="F1" i="46"/>
  <c r="E1" i="46"/>
  <c r="D1" i="46"/>
  <c r="C1" i="46"/>
  <c r="B1" i="46"/>
  <c r="A1" i="46"/>
  <c r="R120" i="45"/>
  <c r="S120" i="45" s="1"/>
  <c r="R118" i="45"/>
  <c r="S118" i="45" s="1"/>
  <c r="R113" i="45"/>
  <c r="S113" i="45" s="1"/>
  <c r="R110" i="45"/>
  <c r="S110" i="45" s="1"/>
  <c r="R98" i="45"/>
  <c r="S98" i="45" s="1"/>
  <c r="S3" i="45"/>
  <c r="R3" i="45"/>
  <c r="N3" i="45"/>
  <c r="M3" i="45"/>
  <c r="S1" i="45"/>
  <c r="R1" i="45"/>
  <c r="Q1" i="45"/>
  <c r="P1" i="45"/>
  <c r="O1" i="45"/>
  <c r="J1" i="45"/>
  <c r="I1" i="45"/>
  <c r="H1" i="45"/>
  <c r="G1" i="45"/>
  <c r="F1" i="45"/>
  <c r="E1" i="45"/>
  <c r="D1" i="45"/>
  <c r="C1" i="45"/>
  <c r="B1" i="45"/>
  <c r="A1" i="45"/>
  <c r="R115" i="44"/>
  <c r="S115" i="44" s="1"/>
  <c r="R109" i="44"/>
  <c r="S109" i="44" s="1"/>
  <c r="R105" i="44"/>
  <c r="S105" i="44" s="1"/>
  <c r="R99" i="44"/>
  <c r="S99" i="44" s="1"/>
  <c r="R98" i="44"/>
  <c r="S98" i="44" s="1"/>
  <c r="S3" i="44"/>
  <c r="R3" i="44"/>
  <c r="N3" i="44"/>
  <c r="M3" i="44"/>
  <c r="S1" i="44"/>
  <c r="R1" i="44"/>
  <c r="Q1" i="44"/>
  <c r="P1" i="44"/>
  <c r="O1" i="44"/>
  <c r="J1" i="44"/>
  <c r="I1" i="44"/>
  <c r="H1" i="44"/>
  <c r="G1" i="44"/>
  <c r="F1" i="44"/>
  <c r="E1" i="44"/>
  <c r="D1" i="44"/>
  <c r="C1" i="44"/>
  <c r="B1" i="44"/>
  <c r="A1" i="44"/>
  <c r="R101" i="43"/>
  <c r="S101" i="43" s="1"/>
  <c r="R98" i="43"/>
  <c r="S98" i="43" s="1"/>
  <c r="R115" i="43"/>
  <c r="S115" i="43" s="1"/>
  <c r="R122" i="43"/>
  <c r="S122" i="43" s="1"/>
  <c r="S3" i="43"/>
  <c r="R3" i="43"/>
  <c r="N3" i="43"/>
  <c r="M3" i="43"/>
  <c r="P1" i="43"/>
  <c r="Q1" i="43"/>
  <c r="R1" i="43"/>
  <c r="S1" i="43"/>
  <c r="I1" i="43"/>
  <c r="J1" i="43"/>
  <c r="A1" i="43"/>
  <c r="H1" i="43"/>
  <c r="G1" i="43"/>
  <c r="F1" i="43"/>
  <c r="E1" i="43"/>
  <c r="D1" i="43"/>
  <c r="C1" i="43"/>
  <c r="B1" i="43"/>
  <c r="R104" i="44"/>
  <c r="S104" i="44" s="1"/>
  <c r="R109" i="52"/>
  <c r="S109" i="52" s="1"/>
  <c r="R98" i="50"/>
  <c r="S98" i="50" s="1"/>
  <c r="R104" i="49"/>
  <c r="S104" i="49" s="1"/>
  <c r="R109" i="45"/>
  <c r="S109" i="45" s="1"/>
  <c r="R118" i="43"/>
  <c r="S118" i="43" s="1"/>
  <c r="R120" i="44"/>
  <c r="S120" i="44" s="1"/>
  <c r="R99" i="55"/>
  <c r="S99" i="55" s="1"/>
  <c r="R110" i="56"/>
  <c r="S110" i="56" s="1"/>
  <c r="R110" i="48"/>
  <c r="S110" i="48" s="1"/>
  <c r="AZ346" i="40"/>
  <c r="AZ345" i="40"/>
  <c r="AZ344" i="40"/>
  <c r="AZ343" i="40"/>
  <c r="AZ342" i="40"/>
  <c r="AZ341" i="40"/>
  <c r="AZ340" i="40"/>
  <c r="AZ339" i="40"/>
  <c r="AZ338" i="40"/>
  <c r="AZ337" i="40"/>
  <c r="AZ336" i="40"/>
  <c r="AZ335" i="40"/>
  <c r="AZ334" i="40"/>
  <c r="AZ333" i="40"/>
  <c r="AZ332" i="40"/>
  <c r="AZ331" i="40"/>
  <c r="AZ330" i="40"/>
  <c r="AZ329" i="40"/>
  <c r="AZ328" i="40"/>
  <c r="AZ327" i="40"/>
  <c r="AZ326" i="40"/>
  <c r="AZ325" i="40"/>
  <c r="AZ324" i="40"/>
  <c r="AZ323" i="40"/>
  <c r="AZ322" i="40"/>
  <c r="AZ321" i="40"/>
  <c r="AZ320" i="40"/>
  <c r="AZ319" i="40"/>
  <c r="AZ318" i="40"/>
  <c r="AZ317" i="40"/>
  <c r="AZ316" i="40"/>
  <c r="AZ315" i="40"/>
  <c r="AZ314" i="40"/>
  <c r="AZ313" i="40"/>
  <c r="AZ312" i="40"/>
  <c r="AZ311" i="40"/>
  <c r="AZ310" i="40"/>
  <c r="AZ309" i="40"/>
  <c r="AZ308" i="40"/>
  <c r="AZ307" i="40"/>
  <c r="AZ306" i="40"/>
  <c r="AZ305" i="40"/>
  <c r="AZ304" i="40"/>
  <c r="AZ303" i="40"/>
  <c r="AZ302" i="40"/>
  <c r="AZ301" i="40"/>
  <c r="AZ300" i="40"/>
  <c r="AZ299" i="40"/>
  <c r="AZ298" i="40"/>
  <c r="AZ297" i="40"/>
  <c r="AZ296" i="40"/>
  <c r="AZ295" i="40"/>
  <c r="AZ294" i="40"/>
  <c r="AZ293" i="40"/>
  <c r="AZ292" i="40"/>
  <c r="AZ291" i="40"/>
  <c r="AZ290" i="40"/>
  <c r="AZ289" i="40"/>
  <c r="AZ288" i="40"/>
  <c r="AZ287" i="40"/>
  <c r="AZ286" i="40"/>
  <c r="AZ285" i="40"/>
  <c r="AZ284" i="40"/>
  <c r="AZ283" i="40"/>
  <c r="AZ282" i="40"/>
  <c r="AZ281" i="40"/>
  <c r="AZ280" i="40"/>
  <c r="AZ279" i="40"/>
  <c r="AZ278" i="40"/>
  <c r="AZ277" i="40"/>
  <c r="AZ276" i="40"/>
  <c r="AZ275" i="40"/>
  <c r="AZ274" i="40"/>
  <c r="AZ273" i="40"/>
  <c r="AZ272" i="40"/>
  <c r="AZ271" i="40"/>
  <c r="AZ270" i="40"/>
  <c r="AZ269" i="40"/>
  <c r="AZ268" i="40"/>
  <c r="AZ267" i="40"/>
  <c r="AZ266" i="40"/>
  <c r="AZ265" i="40"/>
  <c r="AZ264" i="40"/>
  <c r="AZ263" i="40"/>
  <c r="AZ262" i="40"/>
  <c r="AZ261" i="40"/>
  <c r="AZ260" i="40"/>
  <c r="AZ259" i="40"/>
  <c r="AZ258" i="40"/>
  <c r="AZ257" i="40"/>
  <c r="AZ256" i="40"/>
  <c r="AZ255" i="40"/>
  <c r="AZ254" i="40"/>
  <c r="AZ253" i="40"/>
  <c r="AZ252" i="40"/>
  <c r="AZ251" i="40"/>
  <c r="AZ250" i="40"/>
  <c r="AZ249" i="40"/>
  <c r="AZ248" i="40"/>
  <c r="AZ247" i="40"/>
  <c r="AZ246" i="40"/>
  <c r="AZ245" i="40"/>
  <c r="AZ244" i="40"/>
  <c r="AZ243" i="40"/>
  <c r="AZ242" i="40"/>
  <c r="AZ241" i="40"/>
  <c r="AZ240" i="40"/>
  <c r="AZ239" i="40"/>
  <c r="AZ238" i="40"/>
  <c r="AZ237" i="40"/>
  <c r="AZ236" i="40"/>
  <c r="AZ235" i="40"/>
  <c r="AZ234" i="40"/>
  <c r="AZ233" i="40"/>
  <c r="AZ232" i="40"/>
  <c r="AZ231" i="40"/>
  <c r="AZ230" i="40"/>
  <c r="AZ229" i="40"/>
  <c r="AZ228" i="40"/>
  <c r="AZ227" i="40"/>
  <c r="AZ226" i="40"/>
  <c r="AZ225" i="40"/>
  <c r="AZ224" i="40"/>
  <c r="AZ223" i="40"/>
  <c r="AZ222" i="40"/>
  <c r="AZ221" i="40"/>
  <c r="AZ220" i="40"/>
  <c r="AZ219" i="40"/>
  <c r="AZ218" i="40"/>
  <c r="AZ217" i="40"/>
  <c r="AZ216" i="40"/>
  <c r="AZ215" i="40"/>
  <c r="AZ214" i="40"/>
  <c r="AZ213" i="40"/>
  <c r="AZ212" i="40"/>
  <c r="AZ211" i="40"/>
  <c r="AZ210" i="40"/>
  <c r="AZ209" i="40"/>
  <c r="AZ208" i="40"/>
  <c r="AZ207" i="40"/>
  <c r="AZ206" i="40"/>
  <c r="AZ205" i="40"/>
  <c r="AZ204" i="40"/>
  <c r="AZ203" i="40"/>
  <c r="AZ202" i="40"/>
  <c r="AZ201" i="40"/>
  <c r="AZ200" i="40"/>
  <c r="AZ199" i="40"/>
  <c r="AZ198" i="40"/>
  <c r="AZ197" i="40"/>
  <c r="AZ196" i="40"/>
  <c r="AZ195" i="40"/>
  <c r="AZ194" i="40"/>
  <c r="AZ193" i="40"/>
  <c r="AZ192" i="40"/>
  <c r="AZ191" i="40"/>
  <c r="AZ190" i="40"/>
  <c r="AZ189" i="40"/>
  <c r="AZ188" i="40"/>
  <c r="AZ187" i="40"/>
  <c r="AZ186" i="40"/>
  <c r="AZ185" i="40"/>
  <c r="AZ184" i="40"/>
  <c r="AZ183" i="40"/>
  <c r="AZ182" i="40"/>
  <c r="AZ181" i="40"/>
  <c r="AZ180" i="40"/>
  <c r="AZ179" i="40"/>
  <c r="AZ178" i="40"/>
  <c r="AZ177" i="40"/>
  <c r="AZ176" i="40"/>
  <c r="AZ175" i="40"/>
  <c r="AZ174" i="40"/>
  <c r="AZ173" i="40"/>
  <c r="AZ172" i="40"/>
  <c r="AZ171" i="40"/>
  <c r="AZ170" i="40"/>
  <c r="AZ169" i="40"/>
  <c r="AZ168" i="40"/>
  <c r="AZ167" i="40"/>
  <c r="AZ166" i="40"/>
  <c r="AZ165" i="40"/>
  <c r="AZ164" i="40"/>
  <c r="AZ163" i="40"/>
  <c r="AZ162" i="40"/>
  <c r="AZ161" i="40"/>
  <c r="AZ160" i="40"/>
  <c r="AZ159" i="40"/>
  <c r="AZ158" i="40"/>
  <c r="AZ157" i="40"/>
  <c r="AZ156" i="40"/>
  <c r="AZ155" i="40"/>
  <c r="AZ154" i="40"/>
  <c r="AZ153" i="40"/>
  <c r="AZ152" i="40"/>
  <c r="AZ151" i="40"/>
  <c r="AZ150" i="40"/>
  <c r="AZ149" i="40"/>
  <c r="AZ148" i="40"/>
  <c r="AZ147" i="40"/>
  <c r="AZ146" i="40"/>
  <c r="AZ145" i="40"/>
  <c r="AZ144" i="40"/>
  <c r="AZ143" i="40"/>
  <c r="AZ142" i="40"/>
  <c r="AZ141" i="40"/>
  <c r="AZ140" i="40"/>
  <c r="AZ139" i="40"/>
  <c r="AZ138" i="40"/>
  <c r="AZ137" i="40"/>
  <c r="AZ136" i="40"/>
  <c r="AZ135" i="40"/>
  <c r="AZ134" i="40"/>
  <c r="AZ133" i="40"/>
  <c r="AZ132" i="40"/>
  <c r="AZ131" i="40"/>
  <c r="AZ130" i="40"/>
  <c r="AZ129" i="40"/>
  <c r="AZ128" i="40"/>
  <c r="AZ127" i="40"/>
  <c r="AZ126" i="40"/>
  <c r="AZ125" i="40"/>
  <c r="AZ124" i="40"/>
  <c r="AZ123" i="40"/>
  <c r="AZ122" i="40"/>
  <c r="AZ121" i="40"/>
  <c r="AZ120" i="40"/>
  <c r="AZ119" i="40"/>
  <c r="AZ118" i="40"/>
  <c r="AZ117" i="40"/>
  <c r="AZ116" i="40"/>
  <c r="AZ115" i="40"/>
  <c r="AZ114" i="40"/>
  <c r="AZ113" i="40"/>
  <c r="AZ112" i="40"/>
  <c r="AZ111" i="40"/>
  <c r="AZ110" i="40"/>
  <c r="AZ109" i="40"/>
  <c r="AZ108" i="40"/>
  <c r="AZ107" i="40"/>
  <c r="AZ106" i="40"/>
  <c r="AZ105" i="40"/>
  <c r="AZ104" i="40"/>
  <c r="AZ103" i="40"/>
  <c r="AZ102" i="40"/>
  <c r="AZ101" i="40"/>
  <c r="AZ100" i="40"/>
  <c r="AZ99" i="40"/>
  <c r="AZ98" i="40"/>
  <c r="AZ97" i="40"/>
  <c r="AZ96" i="40"/>
  <c r="AZ95" i="40"/>
  <c r="AZ94" i="40"/>
  <c r="AZ93" i="40"/>
  <c r="AZ92" i="40"/>
  <c r="AZ91" i="40"/>
  <c r="AZ90" i="40"/>
  <c r="AZ89" i="40"/>
  <c r="AZ88" i="40"/>
  <c r="AZ87" i="40"/>
  <c r="AZ86" i="40"/>
  <c r="AZ85" i="40"/>
  <c r="AZ84" i="40"/>
  <c r="AZ83" i="40"/>
  <c r="AZ82" i="40"/>
  <c r="AZ81" i="40"/>
  <c r="AZ80" i="40"/>
  <c r="AZ79" i="40"/>
  <c r="AZ78" i="40"/>
  <c r="AZ77" i="40"/>
  <c r="AZ76" i="40"/>
  <c r="AZ75" i="40"/>
  <c r="AZ74" i="40"/>
  <c r="AZ73" i="40"/>
  <c r="AZ72" i="40"/>
  <c r="AZ71" i="40"/>
  <c r="AZ70" i="40"/>
  <c r="AZ69" i="40"/>
  <c r="AZ68" i="40"/>
  <c r="AZ67" i="40"/>
  <c r="AZ66" i="40"/>
  <c r="AZ65" i="40"/>
  <c r="AZ64" i="40"/>
  <c r="AZ63" i="40"/>
  <c r="AZ62" i="40"/>
  <c r="AZ61" i="40"/>
  <c r="AZ60" i="40"/>
  <c r="AZ59" i="40"/>
  <c r="AZ58" i="40"/>
  <c r="AZ57" i="40"/>
  <c r="AZ56" i="40"/>
  <c r="AZ55" i="40"/>
  <c r="AZ54" i="40"/>
  <c r="AZ53" i="40"/>
  <c r="AZ52" i="40"/>
  <c r="AZ51" i="40"/>
  <c r="AZ50" i="40"/>
  <c r="AZ49" i="40"/>
  <c r="AZ48" i="40"/>
  <c r="AZ47" i="40"/>
  <c r="AZ46" i="40"/>
  <c r="AZ45" i="40"/>
  <c r="AZ44" i="40"/>
  <c r="AZ43" i="40"/>
  <c r="AZ42" i="40"/>
  <c r="AZ41" i="40"/>
  <c r="AZ40" i="40"/>
  <c r="AZ39" i="40"/>
  <c r="AZ38" i="40"/>
  <c r="AZ37" i="40"/>
  <c r="AZ36" i="40"/>
  <c r="AZ35" i="40"/>
  <c r="AZ34" i="40"/>
  <c r="AZ33" i="40"/>
  <c r="AZ32" i="40"/>
  <c r="AZ31" i="40"/>
  <c r="AZ30" i="40"/>
  <c r="AZ29" i="40"/>
  <c r="AZ28" i="40"/>
  <c r="AZ27" i="40"/>
  <c r="AZ26" i="40"/>
  <c r="AZ25" i="40"/>
  <c r="AZ24" i="40"/>
  <c r="AZ23" i="40"/>
  <c r="AZ22" i="40"/>
  <c r="AZ21" i="40"/>
  <c r="AZ20" i="40"/>
  <c r="AZ19" i="40"/>
  <c r="AZ18" i="40"/>
  <c r="AZ17" i="40"/>
  <c r="AZ16" i="40"/>
  <c r="AZ15" i="40"/>
  <c r="AZ14" i="40"/>
  <c r="AZ13" i="40"/>
  <c r="AZ12" i="40"/>
  <c r="AZ11" i="40"/>
  <c r="AZ10" i="40"/>
  <c r="AZ9" i="40"/>
  <c r="AZ8" i="40"/>
  <c r="AZ7" i="40"/>
  <c r="AZ6" i="40"/>
  <c r="AZ5" i="40"/>
  <c r="AH346" i="40"/>
  <c r="AH345" i="40"/>
  <c r="AH344" i="40"/>
  <c r="AH343" i="40"/>
  <c r="AH342" i="40"/>
  <c r="AH341" i="40"/>
  <c r="AH340" i="40"/>
  <c r="AH339" i="40"/>
  <c r="AH338" i="40"/>
  <c r="AH337" i="40"/>
  <c r="AH336" i="40"/>
  <c r="AH335" i="40"/>
  <c r="AH334" i="40"/>
  <c r="AH333" i="40"/>
  <c r="AH332" i="40"/>
  <c r="AH331" i="40"/>
  <c r="AH330" i="40"/>
  <c r="AH329" i="40"/>
  <c r="AH328" i="40"/>
  <c r="AH327" i="40"/>
  <c r="AH326" i="40"/>
  <c r="AH325" i="40"/>
  <c r="AH324" i="40"/>
  <c r="AH323" i="40"/>
  <c r="AH322" i="40"/>
  <c r="AH321" i="40"/>
  <c r="AH320" i="40"/>
  <c r="AH319" i="40"/>
  <c r="AH318" i="40"/>
  <c r="AH317" i="40"/>
  <c r="AH316" i="40"/>
  <c r="AH315" i="40"/>
  <c r="AH314" i="40"/>
  <c r="AH313" i="40"/>
  <c r="AH312" i="40"/>
  <c r="AH311" i="40"/>
  <c r="AH310" i="40"/>
  <c r="AH309" i="40"/>
  <c r="AH308" i="40"/>
  <c r="AH307" i="40"/>
  <c r="AH306" i="40"/>
  <c r="AH305" i="40"/>
  <c r="AH304" i="40"/>
  <c r="AH303" i="40"/>
  <c r="AH302" i="40"/>
  <c r="AH301" i="40"/>
  <c r="AH300" i="40"/>
  <c r="AH299" i="40"/>
  <c r="AH298" i="40"/>
  <c r="AH297" i="40"/>
  <c r="AH296" i="40"/>
  <c r="AH295" i="40"/>
  <c r="AH294" i="40"/>
  <c r="AH293" i="40"/>
  <c r="AH292" i="40"/>
  <c r="AH291" i="40"/>
  <c r="AH290" i="40"/>
  <c r="AH289" i="40"/>
  <c r="AH288" i="40"/>
  <c r="AH287" i="40"/>
  <c r="AH286" i="40"/>
  <c r="AH285" i="40"/>
  <c r="AH284" i="40"/>
  <c r="AH283" i="40"/>
  <c r="AH282" i="40"/>
  <c r="AH281" i="40"/>
  <c r="AH280" i="40"/>
  <c r="AH279" i="40"/>
  <c r="AH278" i="40"/>
  <c r="AH277" i="40"/>
  <c r="AH276" i="40"/>
  <c r="AH275" i="40"/>
  <c r="AH274" i="40"/>
  <c r="AH273" i="40"/>
  <c r="AH272" i="40"/>
  <c r="AH271" i="40"/>
  <c r="AH270" i="40"/>
  <c r="AH269" i="40"/>
  <c r="AH268" i="40"/>
  <c r="AH267" i="40"/>
  <c r="AH266" i="40"/>
  <c r="AH265" i="40"/>
  <c r="AH264" i="40"/>
  <c r="AH263" i="40"/>
  <c r="AH262" i="40"/>
  <c r="AH261" i="40"/>
  <c r="AH260" i="40"/>
  <c r="AH259" i="40"/>
  <c r="AH258" i="40"/>
  <c r="AH257" i="40"/>
  <c r="AH256" i="40"/>
  <c r="AH255" i="40"/>
  <c r="AH254" i="40"/>
  <c r="AH253" i="40"/>
  <c r="AH252" i="40"/>
  <c r="AH251" i="40"/>
  <c r="AH250" i="40"/>
  <c r="AH249" i="40"/>
  <c r="AH248" i="40"/>
  <c r="AH247" i="40"/>
  <c r="AH246" i="40"/>
  <c r="AH245" i="40"/>
  <c r="AH244" i="40"/>
  <c r="AH243" i="40"/>
  <c r="AH242" i="40"/>
  <c r="AH241" i="40"/>
  <c r="AH240" i="40"/>
  <c r="AH239" i="40"/>
  <c r="AH238" i="40"/>
  <c r="AH237" i="40"/>
  <c r="AH236" i="40"/>
  <c r="AH235" i="40"/>
  <c r="AH234" i="40"/>
  <c r="AH233" i="40"/>
  <c r="AH232" i="40"/>
  <c r="AH231" i="40"/>
  <c r="AH230" i="40"/>
  <c r="AH229" i="40"/>
  <c r="AH228" i="40"/>
  <c r="AH227" i="40"/>
  <c r="AH226" i="40"/>
  <c r="AH225" i="40"/>
  <c r="AH224" i="40"/>
  <c r="AH223" i="40"/>
  <c r="AH222" i="40"/>
  <c r="AH221" i="40"/>
  <c r="AH220" i="40"/>
  <c r="AH219" i="40"/>
  <c r="AH218" i="40"/>
  <c r="AH217" i="40"/>
  <c r="AH216" i="40"/>
  <c r="AH215" i="40"/>
  <c r="AH214" i="40"/>
  <c r="AH213" i="40"/>
  <c r="AH212" i="40"/>
  <c r="AH211" i="40"/>
  <c r="AH210" i="40"/>
  <c r="AH209" i="40"/>
  <c r="AH208" i="40"/>
  <c r="AH207" i="40"/>
  <c r="AH206" i="40"/>
  <c r="AH205" i="40"/>
  <c r="AH204" i="40"/>
  <c r="AH203" i="40"/>
  <c r="AH202" i="40"/>
  <c r="AH201" i="40"/>
  <c r="AH200" i="40"/>
  <c r="AH199" i="40"/>
  <c r="AH198" i="40"/>
  <c r="AH197" i="40"/>
  <c r="AH196" i="40"/>
  <c r="AH195" i="40"/>
  <c r="AH194" i="40"/>
  <c r="AH193" i="40"/>
  <c r="AH192" i="40"/>
  <c r="AH191" i="40"/>
  <c r="AH190" i="40"/>
  <c r="AH189" i="40"/>
  <c r="AH188" i="40"/>
  <c r="AH187" i="40"/>
  <c r="AH186" i="40"/>
  <c r="AH185" i="40"/>
  <c r="AH184" i="40"/>
  <c r="AH183" i="40"/>
  <c r="AH182" i="40"/>
  <c r="AH181" i="40"/>
  <c r="AH180" i="40"/>
  <c r="AH179" i="40"/>
  <c r="AH178" i="40"/>
  <c r="AH177" i="40"/>
  <c r="AH176" i="40"/>
  <c r="AH175" i="40"/>
  <c r="AH174" i="40"/>
  <c r="AH173" i="40"/>
  <c r="AH172" i="40"/>
  <c r="AH171" i="40"/>
  <c r="AH170" i="40"/>
  <c r="AH169" i="40"/>
  <c r="AH168" i="40"/>
  <c r="AH167" i="40"/>
  <c r="AH166" i="40"/>
  <c r="AH165" i="40"/>
  <c r="AH164" i="40"/>
  <c r="AH163" i="40"/>
  <c r="AH162" i="40"/>
  <c r="AH161" i="40"/>
  <c r="AH160" i="40"/>
  <c r="AH159" i="40"/>
  <c r="AH158" i="40"/>
  <c r="AH157" i="40"/>
  <c r="AH156" i="40"/>
  <c r="AH155" i="40"/>
  <c r="AH154" i="40"/>
  <c r="AH153" i="40"/>
  <c r="AH152" i="40"/>
  <c r="AH151" i="40"/>
  <c r="AH150" i="40"/>
  <c r="AH149" i="40"/>
  <c r="AH148" i="40"/>
  <c r="AH147" i="40"/>
  <c r="AH146" i="40"/>
  <c r="AH145" i="40"/>
  <c r="AH144" i="40"/>
  <c r="AH143" i="40"/>
  <c r="AH142" i="40"/>
  <c r="AH141" i="40"/>
  <c r="AH140" i="40"/>
  <c r="AH139" i="40"/>
  <c r="AH138" i="40"/>
  <c r="AH137" i="40"/>
  <c r="AH136" i="40"/>
  <c r="AH135" i="40"/>
  <c r="AH134" i="40"/>
  <c r="AH133" i="40"/>
  <c r="AH132" i="40"/>
  <c r="AH131" i="40"/>
  <c r="AH130" i="40"/>
  <c r="AH129" i="40"/>
  <c r="AH128" i="40"/>
  <c r="AH127" i="40"/>
  <c r="AH126" i="40"/>
  <c r="AH125" i="40"/>
  <c r="AH124" i="40"/>
  <c r="AH123" i="40"/>
  <c r="AH122" i="40"/>
  <c r="AH121" i="40"/>
  <c r="AH120" i="40"/>
  <c r="AH119" i="40"/>
  <c r="AH118" i="40"/>
  <c r="AH117" i="40"/>
  <c r="AH116" i="40"/>
  <c r="AH115" i="40"/>
  <c r="AH114" i="40"/>
  <c r="AH113" i="40"/>
  <c r="AH112" i="40"/>
  <c r="AH111" i="40"/>
  <c r="AH110" i="40"/>
  <c r="AH109" i="40"/>
  <c r="AH108" i="40"/>
  <c r="AH107" i="40"/>
  <c r="AH106" i="40"/>
  <c r="AH105" i="40"/>
  <c r="AH104" i="40"/>
  <c r="AH103" i="40"/>
  <c r="AH102" i="40"/>
  <c r="AH101" i="40"/>
  <c r="AH100" i="40"/>
  <c r="AH99" i="40"/>
  <c r="AH98" i="40"/>
  <c r="AH97" i="40"/>
  <c r="AH96" i="40"/>
  <c r="AH95" i="40"/>
  <c r="AH94" i="40"/>
  <c r="AH93" i="40"/>
  <c r="AH92" i="40"/>
  <c r="AH91" i="40"/>
  <c r="AH90" i="40"/>
  <c r="AH89" i="40"/>
  <c r="AH88" i="40"/>
  <c r="AH87" i="40"/>
  <c r="AH86" i="40"/>
  <c r="AH85" i="40"/>
  <c r="AH84" i="40"/>
  <c r="AH83" i="40"/>
  <c r="AH82" i="40"/>
  <c r="AH81" i="40"/>
  <c r="AH80" i="40"/>
  <c r="AH79" i="40"/>
  <c r="AH78" i="40"/>
  <c r="AH77" i="40"/>
  <c r="AH76" i="40"/>
  <c r="AH75" i="40"/>
  <c r="AH74" i="40"/>
  <c r="AH73" i="40"/>
  <c r="AH72" i="40"/>
  <c r="AH71" i="40"/>
  <c r="AH70" i="40"/>
  <c r="AH69" i="40"/>
  <c r="AH68" i="40"/>
  <c r="AH67" i="40"/>
  <c r="AH66" i="40"/>
  <c r="AH65" i="40"/>
  <c r="AH64" i="40"/>
  <c r="AH63" i="40"/>
  <c r="AH62" i="40"/>
  <c r="AH61" i="40"/>
  <c r="AH60" i="40"/>
  <c r="AH59" i="40"/>
  <c r="AH58" i="40"/>
  <c r="AH57" i="40"/>
  <c r="AH56" i="40"/>
  <c r="AH55" i="40"/>
  <c r="AH54" i="40"/>
  <c r="AH53" i="40"/>
  <c r="AH52" i="40"/>
  <c r="AH51" i="40"/>
  <c r="AH50" i="40"/>
  <c r="AH49" i="40"/>
  <c r="AH48" i="40"/>
  <c r="AH47" i="40"/>
  <c r="AH46" i="40"/>
  <c r="AH45" i="40"/>
  <c r="AH44" i="40"/>
  <c r="AH43" i="40"/>
  <c r="AH42" i="40"/>
  <c r="AH41" i="40"/>
  <c r="AH40" i="40"/>
  <c r="AH39" i="40"/>
  <c r="AH38" i="40"/>
  <c r="AH37" i="40"/>
  <c r="AH36" i="40"/>
  <c r="AH35" i="40"/>
  <c r="AH34" i="40"/>
  <c r="AH33" i="40"/>
  <c r="AH32" i="40"/>
  <c r="AH31" i="40"/>
  <c r="AH30" i="40"/>
  <c r="AH29" i="40"/>
  <c r="AH28" i="40"/>
  <c r="AH27" i="40"/>
  <c r="AH26" i="40"/>
  <c r="AH25" i="40"/>
  <c r="AH24" i="40"/>
  <c r="AH23" i="40"/>
  <c r="AH22" i="40"/>
  <c r="AH21" i="40"/>
  <c r="AH20" i="40"/>
  <c r="AH19" i="40"/>
  <c r="AH18" i="40"/>
  <c r="AH17" i="40"/>
  <c r="AH16" i="40"/>
  <c r="AH15" i="40"/>
  <c r="AH14" i="40"/>
  <c r="AH13" i="40"/>
  <c r="AH12" i="40"/>
  <c r="AH11" i="40"/>
  <c r="AH10" i="40"/>
  <c r="AH9" i="40"/>
  <c r="AH8" i="40"/>
  <c r="AH7" i="40"/>
  <c r="AH6" i="40"/>
  <c r="AH5" i="40"/>
  <c r="P346" i="40"/>
  <c r="P345" i="40"/>
  <c r="P344" i="40"/>
  <c r="P343" i="40"/>
  <c r="P342" i="40"/>
  <c r="P341" i="40"/>
  <c r="P340" i="40"/>
  <c r="P339" i="40"/>
  <c r="P338" i="40"/>
  <c r="P337" i="40"/>
  <c r="P336" i="40"/>
  <c r="P335" i="40"/>
  <c r="P334" i="40"/>
  <c r="P333" i="40"/>
  <c r="P332" i="40"/>
  <c r="P331" i="40"/>
  <c r="P330" i="40"/>
  <c r="P329" i="40"/>
  <c r="P328" i="40"/>
  <c r="P327" i="40"/>
  <c r="P326" i="40"/>
  <c r="P325" i="40"/>
  <c r="P324" i="40"/>
  <c r="P323" i="40"/>
  <c r="P322" i="40"/>
  <c r="P321" i="40"/>
  <c r="P320" i="40"/>
  <c r="P319" i="40"/>
  <c r="P318" i="40"/>
  <c r="P317" i="40"/>
  <c r="P316" i="40"/>
  <c r="P315" i="40"/>
  <c r="P314" i="40"/>
  <c r="P313" i="40"/>
  <c r="P312" i="40"/>
  <c r="P311" i="40"/>
  <c r="P310" i="40"/>
  <c r="P309" i="40"/>
  <c r="P308" i="40"/>
  <c r="P307" i="40"/>
  <c r="P306" i="40"/>
  <c r="P305" i="40"/>
  <c r="P304" i="40"/>
  <c r="P303" i="40"/>
  <c r="P302" i="40"/>
  <c r="P301" i="40"/>
  <c r="P300" i="40"/>
  <c r="P299" i="40"/>
  <c r="P298" i="40"/>
  <c r="P297" i="40"/>
  <c r="P296" i="40"/>
  <c r="P295" i="40"/>
  <c r="P294" i="40"/>
  <c r="P293" i="40"/>
  <c r="P292" i="40"/>
  <c r="P291" i="40"/>
  <c r="P290" i="40"/>
  <c r="P289" i="40"/>
  <c r="P288" i="40"/>
  <c r="P287" i="40"/>
  <c r="P286" i="40"/>
  <c r="P285" i="40"/>
  <c r="P284" i="40"/>
  <c r="P283" i="40"/>
  <c r="P282" i="40"/>
  <c r="P281" i="40"/>
  <c r="P280" i="40"/>
  <c r="P279" i="40"/>
  <c r="P278" i="40"/>
  <c r="P277" i="40"/>
  <c r="P276" i="40"/>
  <c r="P275" i="40"/>
  <c r="P274" i="40"/>
  <c r="P273" i="40"/>
  <c r="P272" i="40"/>
  <c r="P271" i="40"/>
  <c r="P270" i="40"/>
  <c r="P269" i="40"/>
  <c r="P268" i="40"/>
  <c r="P267" i="40"/>
  <c r="P266" i="40"/>
  <c r="P265" i="40"/>
  <c r="P264" i="40"/>
  <c r="P263" i="40"/>
  <c r="P262" i="40"/>
  <c r="P261" i="40"/>
  <c r="P260" i="40"/>
  <c r="P259" i="40"/>
  <c r="P258" i="40"/>
  <c r="P257" i="40"/>
  <c r="P256" i="40"/>
  <c r="P255" i="40"/>
  <c r="P254" i="40"/>
  <c r="P253" i="40"/>
  <c r="P252" i="40"/>
  <c r="P251" i="40"/>
  <c r="P250" i="40"/>
  <c r="P249" i="40"/>
  <c r="P248" i="40"/>
  <c r="P247" i="40"/>
  <c r="P246" i="40"/>
  <c r="P245" i="40"/>
  <c r="P244" i="40"/>
  <c r="P243" i="40"/>
  <c r="P242" i="40"/>
  <c r="P241" i="40"/>
  <c r="P240" i="40"/>
  <c r="P239" i="40"/>
  <c r="P238" i="40"/>
  <c r="P237" i="40"/>
  <c r="P236" i="40"/>
  <c r="P235" i="40"/>
  <c r="P234" i="40"/>
  <c r="P233" i="40"/>
  <c r="P232" i="40"/>
  <c r="P231" i="40"/>
  <c r="P230" i="40"/>
  <c r="P229" i="40"/>
  <c r="P228" i="40"/>
  <c r="P227" i="40"/>
  <c r="P226" i="40"/>
  <c r="P225" i="40"/>
  <c r="P224" i="40"/>
  <c r="P223" i="40"/>
  <c r="P222" i="40"/>
  <c r="P221" i="40"/>
  <c r="P220" i="40"/>
  <c r="P219" i="40"/>
  <c r="P218" i="40"/>
  <c r="P217" i="40"/>
  <c r="P216" i="40"/>
  <c r="P215" i="40"/>
  <c r="P214" i="40"/>
  <c r="P213" i="40"/>
  <c r="P212" i="40"/>
  <c r="P211" i="40"/>
  <c r="P210" i="40"/>
  <c r="P209" i="40"/>
  <c r="P208" i="40"/>
  <c r="P207" i="40"/>
  <c r="P206" i="40"/>
  <c r="P205" i="40"/>
  <c r="P204" i="40"/>
  <c r="P203" i="40"/>
  <c r="P202" i="40"/>
  <c r="P201" i="40"/>
  <c r="P200" i="40"/>
  <c r="P199" i="40"/>
  <c r="P198" i="40"/>
  <c r="P197" i="40"/>
  <c r="P196" i="40"/>
  <c r="P195" i="40"/>
  <c r="P194" i="40"/>
  <c r="P193" i="40"/>
  <c r="P192" i="40"/>
  <c r="P191" i="40"/>
  <c r="P190" i="40"/>
  <c r="P189" i="40"/>
  <c r="P188" i="40"/>
  <c r="P187" i="40"/>
  <c r="P186" i="40"/>
  <c r="P185" i="40"/>
  <c r="P184" i="40"/>
  <c r="P183" i="40"/>
  <c r="P182" i="40"/>
  <c r="P181" i="40"/>
  <c r="P180" i="40"/>
  <c r="P179" i="40"/>
  <c r="P178" i="40"/>
  <c r="P177" i="40"/>
  <c r="P176" i="40"/>
  <c r="P175" i="40"/>
  <c r="P174" i="40"/>
  <c r="P173" i="40"/>
  <c r="P172" i="40"/>
  <c r="P171" i="40"/>
  <c r="P170" i="40"/>
  <c r="P169" i="40"/>
  <c r="P168" i="40"/>
  <c r="P167" i="40"/>
  <c r="P166" i="40"/>
  <c r="P165" i="40"/>
  <c r="P164" i="40"/>
  <c r="P163" i="40"/>
  <c r="P162" i="40"/>
  <c r="P161" i="40"/>
  <c r="P160" i="40"/>
  <c r="P159" i="40"/>
  <c r="P158" i="40"/>
  <c r="P157" i="40"/>
  <c r="P156" i="40"/>
  <c r="P155" i="40"/>
  <c r="P154" i="40"/>
  <c r="P153" i="40"/>
  <c r="P152" i="40"/>
  <c r="P151" i="40"/>
  <c r="P150" i="40"/>
  <c r="P149" i="40"/>
  <c r="P148" i="40"/>
  <c r="P147" i="40"/>
  <c r="P146" i="40"/>
  <c r="P145" i="40"/>
  <c r="P144" i="40"/>
  <c r="P143" i="40"/>
  <c r="P142" i="40"/>
  <c r="P141" i="40"/>
  <c r="P140" i="40"/>
  <c r="P139" i="40"/>
  <c r="P138" i="40"/>
  <c r="P137" i="40"/>
  <c r="P136" i="40"/>
  <c r="P135" i="40"/>
  <c r="P134" i="40"/>
  <c r="P133" i="40"/>
  <c r="P132" i="40"/>
  <c r="P131" i="40"/>
  <c r="P130" i="40"/>
  <c r="P129" i="40"/>
  <c r="P128" i="40"/>
  <c r="P127" i="40"/>
  <c r="P126" i="40"/>
  <c r="P125" i="40"/>
  <c r="P124" i="40"/>
  <c r="P123" i="40"/>
  <c r="P122" i="40"/>
  <c r="P121" i="40"/>
  <c r="P120" i="40"/>
  <c r="P119" i="40"/>
  <c r="P118" i="40"/>
  <c r="P117" i="40"/>
  <c r="P116" i="40"/>
  <c r="P115" i="40"/>
  <c r="P114" i="40"/>
  <c r="P113" i="40"/>
  <c r="P112" i="40"/>
  <c r="P111" i="40"/>
  <c r="P110" i="40"/>
  <c r="P109" i="40"/>
  <c r="P108" i="40"/>
  <c r="P107" i="40"/>
  <c r="P106" i="40"/>
  <c r="P105" i="40"/>
  <c r="P104" i="40"/>
  <c r="P103" i="40"/>
  <c r="P102" i="40"/>
  <c r="P101" i="40"/>
  <c r="P100" i="40"/>
  <c r="P99" i="40"/>
  <c r="P98" i="40"/>
  <c r="P97" i="40"/>
  <c r="P96" i="40"/>
  <c r="P95" i="40"/>
  <c r="P94" i="40"/>
  <c r="P93" i="40"/>
  <c r="P92" i="40"/>
  <c r="P91" i="40"/>
  <c r="P90" i="40"/>
  <c r="P89" i="40"/>
  <c r="P88" i="40"/>
  <c r="P87" i="40"/>
  <c r="P86" i="40"/>
  <c r="P85" i="40"/>
  <c r="P84" i="40"/>
  <c r="P83" i="40"/>
  <c r="P82" i="40"/>
  <c r="P81" i="40"/>
  <c r="P80" i="40"/>
  <c r="P79" i="40"/>
  <c r="P78" i="40"/>
  <c r="P77" i="40"/>
  <c r="P76" i="40"/>
  <c r="P75" i="40"/>
  <c r="P74" i="40"/>
  <c r="P73" i="40"/>
  <c r="P72" i="40"/>
  <c r="P71" i="40"/>
  <c r="P70" i="40"/>
  <c r="P69" i="40"/>
  <c r="P68" i="40"/>
  <c r="P67" i="40"/>
  <c r="P66" i="40"/>
  <c r="P65" i="40"/>
  <c r="P64" i="40"/>
  <c r="P63" i="40"/>
  <c r="P62" i="40"/>
  <c r="P61" i="40"/>
  <c r="P60" i="40"/>
  <c r="P59" i="40"/>
  <c r="P58" i="40"/>
  <c r="P57" i="40"/>
  <c r="P56" i="40"/>
  <c r="P55" i="40"/>
  <c r="P54" i="40"/>
  <c r="P53" i="40"/>
  <c r="P52" i="40"/>
  <c r="P51" i="40"/>
  <c r="P50" i="40"/>
  <c r="P49" i="40"/>
  <c r="P48" i="40"/>
  <c r="P47" i="40"/>
  <c r="P46" i="40"/>
  <c r="P45" i="40"/>
  <c r="P44" i="40"/>
  <c r="P43" i="40"/>
  <c r="P42" i="40"/>
  <c r="P41" i="40"/>
  <c r="P40" i="40"/>
  <c r="P39" i="40"/>
  <c r="P38" i="40"/>
  <c r="P37" i="40"/>
  <c r="P36" i="40"/>
  <c r="P35" i="40"/>
  <c r="P34" i="40"/>
  <c r="P33" i="40"/>
  <c r="P32" i="40"/>
  <c r="P31" i="40"/>
  <c r="P30" i="40"/>
  <c r="P29" i="40"/>
  <c r="P28" i="40"/>
  <c r="P27" i="40"/>
  <c r="P26" i="40"/>
  <c r="P25" i="40"/>
  <c r="P24" i="40"/>
  <c r="P23" i="40"/>
  <c r="P22" i="40"/>
  <c r="P21" i="40"/>
  <c r="P20" i="40"/>
  <c r="P19" i="40"/>
  <c r="P18" i="40"/>
  <c r="P17" i="40"/>
  <c r="P16" i="40"/>
  <c r="P15" i="40"/>
  <c r="P14" i="40"/>
  <c r="P13" i="40"/>
  <c r="P12" i="40"/>
  <c r="P11" i="40"/>
  <c r="P10" i="40"/>
  <c r="P9" i="40"/>
  <c r="P8" i="40"/>
  <c r="P7" i="40"/>
  <c r="P6" i="40"/>
  <c r="P5" i="40"/>
  <c r="AZ346" i="39"/>
  <c r="AZ345" i="39"/>
  <c r="AZ344" i="39"/>
  <c r="AZ343" i="39"/>
  <c r="AZ342" i="39"/>
  <c r="AZ341" i="39"/>
  <c r="AZ340" i="39"/>
  <c r="AZ339" i="39"/>
  <c r="AZ338" i="39"/>
  <c r="AZ337" i="39"/>
  <c r="AZ336" i="39"/>
  <c r="AZ335" i="39"/>
  <c r="AZ334" i="39"/>
  <c r="AZ333" i="39"/>
  <c r="AZ332" i="39"/>
  <c r="AZ331" i="39"/>
  <c r="AZ330" i="39"/>
  <c r="AZ329" i="39"/>
  <c r="AZ328" i="39"/>
  <c r="AZ327" i="39"/>
  <c r="AZ326" i="39"/>
  <c r="AZ325" i="39"/>
  <c r="AZ324" i="39"/>
  <c r="AZ323" i="39"/>
  <c r="AZ322" i="39"/>
  <c r="AZ321" i="39"/>
  <c r="AZ320" i="39"/>
  <c r="AZ319" i="39"/>
  <c r="AZ318" i="39"/>
  <c r="AZ317" i="39"/>
  <c r="AZ316" i="39"/>
  <c r="AZ315" i="39"/>
  <c r="AZ314" i="39"/>
  <c r="AZ313" i="39"/>
  <c r="AZ312" i="39"/>
  <c r="AZ311" i="39"/>
  <c r="AZ310" i="39"/>
  <c r="AZ309" i="39"/>
  <c r="AZ308" i="39"/>
  <c r="AZ307" i="39"/>
  <c r="AZ306" i="39"/>
  <c r="AZ305" i="39"/>
  <c r="AZ304" i="39"/>
  <c r="AZ303" i="39"/>
  <c r="AZ302" i="39"/>
  <c r="AZ301" i="39"/>
  <c r="AZ300" i="39"/>
  <c r="AZ299" i="39"/>
  <c r="AZ298" i="39"/>
  <c r="AZ297" i="39"/>
  <c r="AZ296" i="39"/>
  <c r="AZ295" i="39"/>
  <c r="AZ294" i="39"/>
  <c r="AZ293" i="39"/>
  <c r="AZ292" i="39"/>
  <c r="AZ291" i="39"/>
  <c r="AZ290" i="39"/>
  <c r="AZ289" i="39"/>
  <c r="AZ288" i="39"/>
  <c r="AZ287" i="39"/>
  <c r="AZ286" i="39"/>
  <c r="AZ285" i="39"/>
  <c r="AZ284" i="39"/>
  <c r="AZ283" i="39"/>
  <c r="AZ282" i="39"/>
  <c r="AZ281" i="39"/>
  <c r="AZ280" i="39"/>
  <c r="AZ279" i="39"/>
  <c r="AZ278" i="39"/>
  <c r="AZ277" i="39"/>
  <c r="AZ276" i="39"/>
  <c r="AZ275" i="39"/>
  <c r="AZ274" i="39"/>
  <c r="AZ273" i="39"/>
  <c r="AZ272" i="39"/>
  <c r="AZ271" i="39"/>
  <c r="AZ270" i="39"/>
  <c r="AZ269" i="39"/>
  <c r="AZ268" i="39"/>
  <c r="AZ267" i="39"/>
  <c r="AZ266" i="39"/>
  <c r="AZ265" i="39"/>
  <c r="AZ264" i="39"/>
  <c r="AZ263" i="39"/>
  <c r="AZ262" i="39"/>
  <c r="AZ261" i="39"/>
  <c r="AZ260" i="39"/>
  <c r="AZ259" i="39"/>
  <c r="AZ258" i="39"/>
  <c r="AZ257" i="39"/>
  <c r="AZ256" i="39"/>
  <c r="AZ255" i="39"/>
  <c r="AZ254" i="39"/>
  <c r="AZ253" i="39"/>
  <c r="AZ252" i="39"/>
  <c r="AZ251" i="39"/>
  <c r="AZ250" i="39"/>
  <c r="AZ249" i="39"/>
  <c r="AZ248" i="39"/>
  <c r="AZ247" i="39"/>
  <c r="AZ246" i="39"/>
  <c r="AZ245" i="39"/>
  <c r="AZ244" i="39"/>
  <c r="AZ243" i="39"/>
  <c r="AZ242" i="39"/>
  <c r="AZ241" i="39"/>
  <c r="AZ240" i="39"/>
  <c r="AZ239" i="39"/>
  <c r="AZ238" i="39"/>
  <c r="AZ237" i="39"/>
  <c r="AZ236" i="39"/>
  <c r="AZ235" i="39"/>
  <c r="AZ234" i="39"/>
  <c r="AZ233" i="39"/>
  <c r="AZ232" i="39"/>
  <c r="AZ231" i="39"/>
  <c r="AZ230" i="39"/>
  <c r="AZ229" i="39"/>
  <c r="AZ228" i="39"/>
  <c r="AZ227" i="39"/>
  <c r="AZ226" i="39"/>
  <c r="AZ225" i="39"/>
  <c r="AZ224" i="39"/>
  <c r="AZ223" i="39"/>
  <c r="AZ222" i="39"/>
  <c r="AZ221" i="39"/>
  <c r="AZ220" i="39"/>
  <c r="AZ219" i="39"/>
  <c r="AZ218" i="39"/>
  <c r="AZ217" i="39"/>
  <c r="AZ216" i="39"/>
  <c r="AZ215" i="39"/>
  <c r="AZ214" i="39"/>
  <c r="AZ213" i="39"/>
  <c r="AZ212" i="39"/>
  <c r="AZ211" i="39"/>
  <c r="AZ210" i="39"/>
  <c r="AZ209" i="39"/>
  <c r="AZ208" i="39"/>
  <c r="AZ207" i="39"/>
  <c r="AZ206" i="39"/>
  <c r="AZ205" i="39"/>
  <c r="AZ204" i="39"/>
  <c r="AZ203" i="39"/>
  <c r="AZ202" i="39"/>
  <c r="AZ201" i="39"/>
  <c r="AZ200" i="39"/>
  <c r="AZ199" i="39"/>
  <c r="AZ198" i="39"/>
  <c r="AZ197" i="39"/>
  <c r="AZ196" i="39"/>
  <c r="AZ195" i="39"/>
  <c r="AZ194" i="39"/>
  <c r="AZ193" i="39"/>
  <c r="AZ192" i="39"/>
  <c r="AZ191" i="39"/>
  <c r="AZ190" i="39"/>
  <c r="AZ189" i="39"/>
  <c r="AZ188" i="39"/>
  <c r="AZ187" i="39"/>
  <c r="AZ186" i="39"/>
  <c r="AZ185" i="39"/>
  <c r="AZ184" i="39"/>
  <c r="AZ183" i="39"/>
  <c r="AZ182" i="39"/>
  <c r="AZ181" i="39"/>
  <c r="AZ180" i="39"/>
  <c r="AZ179" i="39"/>
  <c r="AZ178" i="39"/>
  <c r="AZ177" i="39"/>
  <c r="AZ176" i="39"/>
  <c r="AZ175" i="39"/>
  <c r="AZ174" i="39"/>
  <c r="AZ173" i="39"/>
  <c r="AZ172" i="39"/>
  <c r="AZ171" i="39"/>
  <c r="AZ170" i="39"/>
  <c r="AZ169" i="39"/>
  <c r="AZ168" i="39"/>
  <c r="AZ167" i="39"/>
  <c r="AZ166" i="39"/>
  <c r="AZ165" i="39"/>
  <c r="AZ164" i="39"/>
  <c r="AZ163" i="39"/>
  <c r="AZ162" i="39"/>
  <c r="AZ161" i="39"/>
  <c r="AZ160" i="39"/>
  <c r="AZ159" i="39"/>
  <c r="AZ158" i="39"/>
  <c r="AZ157" i="39"/>
  <c r="AZ156" i="39"/>
  <c r="AZ155" i="39"/>
  <c r="AZ154" i="39"/>
  <c r="AZ153" i="39"/>
  <c r="AZ152" i="39"/>
  <c r="AZ151" i="39"/>
  <c r="AZ150" i="39"/>
  <c r="AZ149" i="39"/>
  <c r="AZ148" i="39"/>
  <c r="AZ147" i="39"/>
  <c r="AZ146" i="39"/>
  <c r="AZ145" i="39"/>
  <c r="AZ144" i="39"/>
  <c r="AZ143" i="39"/>
  <c r="AZ142" i="39"/>
  <c r="AZ141" i="39"/>
  <c r="AZ140" i="39"/>
  <c r="AZ139" i="39"/>
  <c r="AZ138" i="39"/>
  <c r="AZ137" i="39"/>
  <c r="AZ136" i="39"/>
  <c r="AZ135" i="39"/>
  <c r="AZ134" i="39"/>
  <c r="AZ133" i="39"/>
  <c r="AZ132" i="39"/>
  <c r="AZ131" i="39"/>
  <c r="AZ130" i="39"/>
  <c r="AZ129" i="39"/>
  <c r="AZ128" i="39"/>
  <c r="AZ127" i="39"/>
  <c r="AZ126" i="39"/>
  <c r="AZ125" i="39"/>
  <c r="AZ124" i="39"/>
  <c r="AZ123" i="39"/>
  <c r="AZ122" i="39"/>
  <c r="AZ121" i="39"/>
  <c r="AZ120" i="39"/>
  <c r="AZ119" i="39"/>
  <c r="AZ118" i="39"/>
  <c r="AZ117" i="39"/>
  <c r="AZ116" i="39"/>
  <c r="AZ115" i="39"/>
  <c r="AZ114" i="39"/>
  <c r="AZ113" i="39"/>
  <c r="AZ112" i="39"/>
  <c r="AZ111" i="39"/>
  <c r="AZ110" i="39"/>
  <c r="AZ109" i="39"/>
  <c r="AZ108" i="39"/>
  <c r="AZ107" i="39"/>
  <c r="AZ106" i="39"/>
  <c r="AZ105" i="39"/>
  <c r="AZ104" i="39"/>
  <c r="AZ103" i="39"/>
  <c r="AZ102" i="39"/>
  <c r="AZ101" i="39"/>
  <c r="AZ100" i="39"/>
  <c r="AZ99" i="39"/>
  <c r="AZ98" i="39"/>
  <c r="AZ97" i="39"/>
  <c r="AZ96" i="39"/>
  <c r="AZ95" i="39"/>
  <c r="AZ94" i="39"/>
  <c r="AZ93" i="39"/>
  <c r="AZ92" i="39"/>
  <c r="AZ91" i="39"/>
  <c r="AZ90" i="39"/>
  <c r="AZ89" i="39"/>
  <c r="AZ88" i="39"/>
  <c r="AZ87" i="39"/>
  <c r="AZ86" i="39"/>
  <c r="AZ85" i="39"/>
  <c r="AZ84" i="39"/>
  <c r="AZ83" i="39"/>
  <c r="AZ82" i="39"/>
  <c r="AZ81" i="39"/>
  <c r="AZ80" i="39"/>
  <c r="AZ79" i="39"/>
  <c r="AZ78" i="39"/>
  <c r="AZ77" i="39"/>
  <c r="AZ76" i="39"/>
  <c r="AZ75" i="39"/>
  <c r="AZ74" i="39"/>
  <c r="AZ73" i="39"/>
  <c r="AZ72" i="39"/>
  <c r="AZ71" i="39"/>
  <c r="AZ70" i="39"/>
  <c r="AZ69" i="39"/>
  <c r="AZ68" i="39"/>
  <c r="AZ67" i="39"/>
  <c r="AZ66" i="39"/>
  <c r="AZ65" i="39"/>
  <c r="AZ64" i="39"/>
  <c r="AZ63" i="39"/>
  <c r="AZ62" i="39"/>
  <c r="AZ61" i="39"/>
  <c r="AZ60" i="39"/>
  <c r="AZ59" i="39"/>
  <c r="AZ58" i="39"/>
  <c r="AZ57" i="39"/>
  <c r="AZ56" i="39"/>
  <c r="AZ55" i="39"/>
  <c r="AZ54" i="39"/>
  <c r="AZ53" i="39"/>
  <c r="AZ52" i="39"/>
  <c r="AZ51" i="39"/>
  <c r="AZ50" i="39"/>
  <c r="AZ49" i="39"/>
  <c r="AZ48" i="39"/>
  <c r="AZ47" i="39"/>
  <c r="AZ46" i="39"/>
  <c r="AZ45" i="39"/>
  <c r="AZ44" i="39"/>
  <c r="AZ43" i="39"/>
  <c r="AZ42" i="39"/>
  <c r="AZ41" i="39"/>
  <c r="AZ40" i="39"/>
  <c r="AZ39" i="39"/>
  <c r="AZ38" i="39"/>
  <c r="AZ37" i="39"/>
  <c r="AZ36" i="39"/>
  <c r="AZ35" i="39"/>
  <c r="AZ34" i="39"/>
  <c r="AZ33" i="39"/>
  <c r="AZ32" i="39"/>
  <c r="AZ31" i="39"/>
  <c r="AZ30" i="39"/>
  <c r="AZ29" i="39"/>
  <c r="AZ28" i="39"/>
  <c r="AZ27" i="39"/>
  <c r="AZ26" i="39"/>
  <c r="AZ25" i="39"/>
  <c r="AZ24" i="39"/>
  <c r="AZ23" i="39"/>
  <c r="AZ22" i="39"/>
  <c r="AZ21" i="39"/>
  <c r="AZ20" i="39"/>
  <c r="AZ19" i="39"/>
  <c r="AZ18" i="39"/>
  <c r="AZ17" i="39"/>
  <c r="AZ16" i="39"/>
  <c r="AZ15" i="39"/>
  <c r="AZ14" i="39"/>
  <c r="AZ13" i="39"/>
  <c r="AZ12" i="39"/>
  <c r="AZ11" i="39"/>
  <c r="AZ10" i="39"/>
  <c r="AZ9" i="39"/>
  <c r="AZ8" i="39"/>
  <c r="AZ7" i="39"/>
  <c r="AZ6" i="39"/>
  <c r="AZ5" i="39"/>
  <c r="AH346" i="39"/>
  <c r="AH345" i="39"/>
  <c r="AH344" i="39"/>
  <c r="AH343" i="39"/>
  <c r="AH342" i="39"/>
  <c r="AH341" i="39"/>
  <c r="AH340" i="39"/>
  <c r="AH339" i="39"/>
  <c r="AH338" i="39"/>
  <c r="AH337" i="39"/>
  <c r="AH336" i="39"/>
  <c r="AH335" i="39"/>
  <c r="AH334" i="39"/>
  <c r="AH333" i="39"/>
  <c r="AH332" i="39"/>
  <c r="AH331" i="39"/>
  <c r="AH330" i="39"/>
  <c r="AH329" i="39"/>
  <c r="AH328" i="39"/>
  <c r="AH327" i="39"/>
  <c r="AH326" i="39"/>
  <c r="AH325" i="39"/>
  <c r="AH324" i="39"/>
  <c r="AH323" i="39"/>
  <c r="AH322" i="39"/>
  <c r="AH321" i="39"/>
  <c r="AH320" i="39"/>
  <c r="AH319" i="39"/>
  <c r="AH318" i="39"/>
  <c r="AH317" i="39"/>
  <c r="AH316" i="39"/>
  <c r="AH315" i="39"/>
  <c r="AH314" i="39"/>
  <c r="AH313" i="39"/>
  <c r="AH312" i="39"/>
  <c r="AH311" i="39"/>
  <c r="AH310" i="39"/>
  <c r="AH309" i="39"/>
  <c r="AH308" i="39"/>
  <c r="AH307" i="39"/>
  <c r="AH306" i="39"/>
  <c r="AH305" i="39"/>
  <c r="AH304" i="39"/>
  <c r="AH303" i="39"/>
  <c r="AH302" i="39"/>
  <c r="AH301" i="39"/>
  <c r="AH300" i="39"/>
  <c r="AH299" i="39"/>
  <c r="AH298" i="39"/>
  <c r="AH297" i="39"/>
  <c r="AH296" i="39"/>
  <c r="AH295" i="39"/>
  <c r="AH294" i="39"/>
  <c r="AH293" i="39"/>
  <c r="AH292" i="39"/>
  <c r="AH291" i="39"/>
  <c r="AH290" i="39"/>
  <c r="AH289" i="39"/>
  <c r="AH288" i="39"/>
  <c r="AH287" i="39"/>
  <c r="AH286" i="39"/>
  <c r="AH285" i="39"/>
  <c r="AH284" i="39"/>
  <c r="AH283" i="39"/>
  <c r="AH282" i="39"/>
  <c r="AH281" i="39"/>
  <c r="AH280" i="39"/>
  <c r="AH279" i="39"/>
  <c r="AH278" i="39"/>
  <c r="AH277" i="39"/>
  <c r="AH276" i="39"/>
  <c r="AH275" i="39"/>
  <c r="AH274" i="39"/>
  <c r="AH273" i="39"/>
  <c r="AH272" i="39"/>
  <c r="AH271" i="39"/>
  <c r="AH270" i="39"/>
  <c r="AH269" i="39"/>
  <c r="AH268" i="39"/>
  <c r="AH267" i="39"/>
  <c r="AH266" i="39"/>
  <c r="AH265" i="39"/>
  <c r="AH264" i="39"/>
  <c r="AH263" i="39"/>
  <c r="AH262" i="39"/>
  <c r="AH261" i="39"/>
  <c r="AH260" i="39"/>
  <c r="AH259" i="39"/>
  <c r="AH258" i="39"/>
  <c r="AH257" i="39"/>
  <c r="AH256" i="39"/>
  <c r="AH255" i="39"/>
  <c r="AH254" i="39"/>
  <c r="AH253" i="39"/>
  <c r="AH252" i="39"/>
  <c r="AH251" i="39"/>
  <c r="AH250" i="39"/>
  <c r="AH249" i="39"/>
  <c r="AH248" i="39"/>
  <c r="AH247" i="39"/>
  <c r="AH246" i="39"/>
  <c r="AH245" i="39"/>
  <c r="AH244" i="39"/>
  <c r="AH243" i="39"/>
  <c r="AH242" i="39"/>
  <c r="AH241" i="39"/>
  <c r="AH240" i="39"/>
  <c r="AH239" i="39"/>
  <c r="AH238" i="39"/>
  <c r="AH237" i="39"/>
  <c r="AH236" i="39"/>
  <c r="AH235" i="39"/>
  <c r="AH234" i="39"/>
  <c r="AH233" i="39"/>
  <c r="AH232" i="39"/>
  <c r="AH231" i="39"/>
  <c r="AH230" i="39"/>
  <c r="AH229" i="39"/>
  <c r="AH228" i="39"/>
  <c r="AH227" i="39"/>
  <c r="AH226" i="39"/>
  <c r="AH225" i="39"/>
  <c r="AH224" i="39"/>
  <c r="AH223" i="39"/>
  <c r="AH222" i="39"/>
  <c r="AH221" i="39"/>
  <c r="AH220" i="39"/>
  <c r="AH219" i="39"/>
  <c r="AH218" i="39"/>
  <c r="AH217" i="39"/>
  <c r="AH216" i="39"/>
  <c r="AH215" i="39"/>
  <c r="AH214" i="39"/>
  <c r="AH213" i="39"/>
  <c r="AH212" i="39"/>
  <c r="AH211" i="39"/>
  <c r="AH210" i="39"/>
  <c r="AH209" i="39"/>
  <c r="AH208" i="39"/>
  <c r="AH207" i="39"/>
  <c r="AH206" i="39"/>
  <c r="AH205" i="39"/>
  <c r="AH204" i="39"/>
  <c r="AH203" i="39"/>
  <c r="AH202" i="39"/>
  <c r="AH201" i="39"/>
  <c r="AH200" i="39"/>
  <c r="AH199" i="39"/>
  <c r="AH198" i="39"/>
  <c r="AH197" i="39"/>
  <c r="AH196" i="39"/>
  <c r="AH195" i="39"/>
  <c r="AH194" i="39"/>
  <c r="AH193" i="39"/>
  <c r="AH192" i="39"/>
  <c r="AH191" i="39"/>
  <c r="AH190" i="39"/>
  <c r="AH189" i="39"/>
  <c r="AH188" i="39"/>
  <c r="AH187" i="39"/>
  <c r="AH186" i="39"/>
  <c r="AH185" i="39"/>
  <c r="AH184" i="39"/>
  <c r="AH183" i="39"/>
  <c r="AH182" i="39"/>
  <c r="AH181" i="39"/>
  <c r="AH180" i="39"/>
  <c r="AH179" i="39"/>
  <c r="AH178" i="39"/>
  <c r="AH177" i="39"/>
  <c r="AH176" i="39"/>
  <c r="AH175" i="39"/>
  <c r="AH174" i="39"/>
  <c r="AH173" i="39"/>
  <c r="AH172" i="39"/>
  <c r="AH171" i="39"/>
  <c r="AH170" i="39"/>
  <c r="AH169" i="39"/>
  <c r="AH168" i="39"/>
  <c r="AH167" i="39"/>
  <c r="AH166" i="39"/>
  <c r="AH165" i="39"/>
  <c r="AH164" i="39"/>
  <c r="AH163" i="39"/>
  <c r="AH162" i="39"/>
  <c r="AH161" i="39"/>
  <c r="AH160" i="39"/>
  <c r="AH159" i="39"/>
  <c r="AH158" i="39"/>
  <c r="AH157" i="39"/>
  <c r="AH156" i="39"/>
  <c r="AH155" i="39"/>
  <c r="AH154" i="39"/>
  <c r="AH153" i="39"/>
  <c r="AH152" i="39"/>
  <c r="AH151" i="39"/>
  <c r="AH150" i="39"/>
  <c r="AH149" i="39"/>
  <c r="AH148" i="39"/>
  <c r="AH147" i="39"/>
  <c r="AH146" i="39"/>
  <c r="AH145" i="39"/>
  <c r="AH144" i="39"/>
  <c r="AH143" i="39"/>
  <c r="AH142" i="39"/>
  <c r="AH141" i="39"/>
  <c r="AH140" i="39"/>
  <c r="AH139" i="39"/>
  <c r="AH138" i="39"/>
  <c r="AH137" i="39"/>
  <c r="AH136" i="39"/>
  <c r="AH135" i="39"/>
  <c r="AH134" i="39"/>
  <c r="AH133" i="39"/>
  <c r="AH132" i="39"/>
  <c r="AH131" i="39"/>
  <c r="AH130" i="39"/>
  <c r="AH129" i="39"/>
  <c r="AH128" i="39"/>
  <c r="AH127" i="39"/>
  <c r="AH126" i="39"/>
  <c r="AH125" i="39"/>
  <c r="AH124" i="39"/>
  <c r="AH123" i="39"/>
  <c r="AH122" i="39"/>
  <c r="AH121" i="39"/>
  <c r="AH120" i="39"/>
  <c r="AH119" i="39"/>
  <c r="AH118" i="39"/>
  <c r="AH117" i="39"/>
  <c r="AH116" i="39"/>
  <c r="AH115" i="39"/>
  <c r="AH114" i="39"/>
  <c r="AH113" i="39"/>
  <c r="AH112" i="39"/>
  <c r="AH111" i="39"/>
  <c r="AH110" i="39"/>
  <c r="AH109" i="39"/>
  <c r="AH108" i="39"/>
  <c r="AH107" i="39"/>
  <c r="AH106" i="39"/>
  <c r="AH105" i="39"/>
  <c r="AH104" i="39"/>
  <c r="AH103" i="39"/>
  <c r="AH102" i="39"/>
  <c r="AH101" i="39"/>
  <c r="AH100" i="39"/>
  <c r="AH99" i="39"/>
  <c r="AH98" i="39"/>
  <c r="AH97" i="39"/>
  <c r="AH96" i="39"/>
  <c r="AH95" i="39"/>
  <c r="AH94" i="39"/>
  <c r="AH93" i="39"/>
  <c r="AH92" i="39"/>
  <c r="AH91" i="39"/>
  <c r="AH90" i="39"/>
  <c r="AH89" i="39"/>
  <c r="AH88" i="39"/>
  <c r="AH87" i="39"/>
  <c r="AH86" i="39"/>
  <c r="AH85" i="39"/>
  <c r="AH84" i="39"/>
  <c r="AH83" i="39"/>
  <c r="AH82" i="39"/>
  <c r="AH81" i="39"/>
  <c r="AH80" i="39"/>
  <c r="AH79" i="39"/>
  <c r="AH78" i="39"/>
  <c r="AH77" i="39"/>
  <c r="AH76" i="39"/>
  <c r="AH75" i="39"/>
  <c r="AH74" i="39"/>
  <c r="AH73" i="39"/>
  <c r="AH72" i="39"/>
  <c r="AH71" i="39"/>
  <c r="AH70" i="39"/>
  <c r="AH69" i="39"/>
  <c r="AH68" i="39"/>
  <c r="AH67" i="39"/>
  <c r="AH66" i="39"/>
  <c r="AH65" i="39"/>
  <c r="AH64" i="39"/>
  <c r="AH63" i="39"/>
  <c r="AH62" i="39"/>
  <c r="AH61" i="39"/>
  <c r="AH60" i="39"/>
  <c r="AH59" i="39"/>
  <c r="AH58" i="39"/>
  <c r="AH57" i="39"/>
  <c r="AH56" i="39"/>
  <c r="AH55" i="39"/>
  <c r="AH54" i="39"/>
  <c r="AH53" i="39"/>
  <c r="AH52" i="39"/>
  <c r="AH51" i="39"/>
  <c r="AH50" i="39"/>
  <c r="AH49" i="39"/>
  <c r="AH48" i="39"/>
  <c r="AH47" i="39"/>
  <c r="AH46" i="39"/>
  <c r="AH45" i="39"/>
  <c r="AH44" i="39"/>
  <c r="AH43" i="39"/>
  <c r="AH42" i="39"/>
  <c r="AH41" i="39"/>
  <c r="AH40" i="39"/>
  <c r="AH39" i="39"/>
  <c r="AH38" i="39"/>
  <c r="AH37" i="39"/>
  <c r="AH36" i="39"/>
  <c r="AH35" i="39"/>
  <c r="AH34" i="39"/>
  <c r="AH33" i="39"/>
  <c r="AH32" i="39"/>
  <c r="AH31" i="39"/>
  <c r="AH30" i="39"/>
  <c r="AH29" i="39"/>
  <c r="AH28" i="39"/>
  <c r="AH27" i="39"/>
  <c r="AH26" i="39"/>
  <c r="AH25" i="39"/>
  <c r="AH24" i="39"/>
  <c r="AH23" i="39"/>
  <c r="AH22" i="39"/>
  <c r="AH21" i="39"/>
  <c r="AH20" i="39"/>
  <c r="AH19" i="39"/>
  <c r="AH18" i="39"/>
  <c r="AH17" i="39"/>
  <c r="AH16" i="39"/>
  <c r="AH15" i="39"/>
  <c r="AH14" i="39"/>
  <c r="AH13" i="39"/>
  <c r="AH12" i="39"/>
  <c r="AH11" i="39"/>
  <c r="AH10" i="39"/>
  <c r="AH9" i="39"/>
  <c r="AH8" i="39"/>
  <c r="AH7" i="39"/>
  <c r="AH6" i="39"/>
  <c r="AH5" i="39"/>
  <c r="AZ346" i="38"/>
  <c r="AZ345" i="38"/>
  <c r="AZ344" i="38"/>
  <c r="AZ343" i="38"/>
  <c r="AZ342" i="38"/>
  <c r="AZ341" i="38"/>
  <c r="AZ340" i="38"/>
  <c r="AZ339" i="38"/>
  <c r="AZ338" i="38"/>
  <c r="AZ337" i="38"/>
  <c r="AZ336" i="38"/>
  <c r="AZ335" i="38"/>
  <c r="AZ334" i="38"/>
  <c r="AZ333" i="38"/>
  <c r="AZ332" i="38"/>
  <c r="AZ331" i="38"/>
  <c r="AZ330" i="38"/>
  <c r="AZ329" i="38"/>
  <c r="AZ328" i="38"/>
  <c r="AZ327" i="38"/>
  <c r="AZ326" i="38"/>
  <c r="AZ325" i="38"/>
  <c r="AZ324" i="38"/>
  <c r="AZ323" i="38"/>
  <c r="AZ322" i="38"/>
  <c r="AZ321" i="38"/>
  <c r="AZ320" i="38"/>
  <c r="AZ319" i="38"/>
  <c r="AZ318" i="38"/>
  <c r="AZ317" i="38"/>
  <c r="AZ316" i="38"/>
  <c r="AZ315" i="38"/>
  <c r="AZ314" i="38"/>
  <c r="AZ313" i="38"/>
  <c r="AZ312" i="38"/>
  <c r="AZ311" i="38"/>
  <c r="AZ310" i="38"/>
  <c r="AZ309" i="38"/>
  <c r="AZ308" i="38"/>
  <c r="AZ307" i="38"/>
  <c r="AZ306" i="38"/>
  <c r="AZ305" i="38"/>
  <c r="AZ304" i="38"/>
  <c r="AZ303" i="38"/>
  <c r="AZ302" i="38"/>
  <c r="AZ301" i="38"/>
  <c r="AZ300" i="38"/>
  <c r="AZ299" i="38"/>
  <c r="AZ298" i="38"/>
  <c r="AZ297" i="38"/>
  <c r="AZ296" i="38"/>
  <c r="AZ295" i="38"/>
  <c r="AZ294" i="38"/>
  <c r="AZ293" i="38"/>
  <c r="AZ292" i="38"/>
  <c r="AZ291" i="38"/>
  <c r="AZ290" i="38"/>
  <c r="AZ289" i="38"/>
  <c r="AZ288" i="38"/>
  <c r="AZ287" i="38"/>
  <c r="AZ286" i="38"/>
  <c r="AZ285" i="38"/>
  <c r="AZ284" i="38"/>
  <c r="AZ283" i="38"/>
  <c r="AZ282" i="38"/>
  <c r="AZ281" i="38"/>
  <c r="AZ280" i="38"/>
  <c r="AZ279" i="38"/>
  <c r="AZ278" i="38"/>
  <c r="AZ277" i="38"/>
  <c r="AZ276" i="38"/>
  <c r="AZ275" i="38"/>
  <c r="AZ274" i="38"/>
  <c r="AZ273" i="38"/>
  <c r="AZ272" i="38"/>
  <c r="AZ271" i="38"/>
  <c r="AZ270" i="38"/>
  <c r="AZ269" i="38"/>
  <c r="AZ268" i="38"/>
  <c r="AZ267" i="38"/>
  <c r="AZ266" i="38"/>
  <c r="AZ265" i="38"/>
  <c r="AZ264" i="38"/>
  <c r="AZ263" i="38"/>
  <c r="AZ262" i="38"/>
  <c r="AZ261" i="38"/>
  <c r="AZ260" i="38"/>
  <c r="AZ259" i="38"/>
  <c r="AZ258" i="38"/>
  <c r="AZ257" i="38"/>
  <c r="AZ256" i="38"/>
  <c r="AZ255" i="38"/>
  <c r="AZ254" i="38"/>
  <c r="AZ253" i="38"/>
  <c r="AZ252" i="38"/>
  <c r="AZ251" i="38"/>
  <c r="AZ250" i="38"/>
  <c r="AZ249" i="38"/>
  <c r="AZ248" i="38"/>
  <c r="AZ247" i="38"/>
  <c r="AZ246" i="38"/>
  <c r="AZ245" i="38"/>
  <c r="AZ244" i="38"/>
  <c r="AZ243" i="38"/>
  <c r="AZ242" i="38"/>
  <c r="AZ241" i="38"/>
  <c r="AZ240" i="38"/>
  <c r="AZ239" i="38"/>
  <c r="AZ238" i="38"/>
  <c r="AZ237" i="38"/>
  <c r="AZ236" i="38"/>
  <c r="AZ235" i="38"/>
  <c r="AZ234" i="38"/>
  <c r="AZ233" i="38"/>
  <c r="AZ232" i="38"/>
  <c r="AZ231" i="38"/>
  <c r="AZ230" i="38"/>
  <c r="AZ229" i="38"/>
  <c r="AZ228" i="38"/>
  <c r="AZ227" i="38"/>
  <c r="AZ226" i="38"/>
  <c r="AZ225" i="38"/>
  <c r="AZ224" i="38"/>
  <c r="AZ223" i="38"/>
  <c r="AZ222" i="38"/>
  <c r="AZ221" i="38"/>
  <c r="AZ220" i="38"/>
  <c r="AZ219" i="38"/>
  <c r="AZ218" i="38"/>
  <c r="AZ217" i="38"/>
  <c r="AZ216" i="38"/>
  <c r="AZ215" i="38"/>
  <c r="AZ214" i="38"/>
  <c r="AZ213" i="38"/>
  <c r="AZ212" i="38"/>
  <c r="AZ211" i="38"/>
  <c r="AZ210" i="38"/>
  <c r="AZ209" i="38"/>
  <c r="AZ208" i="38"/>
  <c r="AZ207" i="38"/>
  <c r="AZ206" i="38"/>
  <c r="AZ205" i="38"/>
  <c r="AZ204" i="38"/>
  <c r="AZ203" i="38"/>
  <c r="AZ202" i="38"/>
  <c r="AZ201" i="38"/>
  <c r="AZ200" i="38"/>
  <c r="AZ199" i="38"/>
  <c r="AZ198" i="38"/>
  <c r="AZ197" i="38"/>
  <c r="AZ196" i="38"/>
  <c r="AZ195" i="38"/>
  <c r="AZ194" i="38"/>
  <c r="AZ193" i="38"/>
  <c r="AZ192" i="38"/>
  <c r="AZ191" i="38"/>
  <c r="AZ190" i="38"/>
  <c r="AZ189" i="38"/>
  <c r="AZ188" i="38"/>
  <c r="AZ187" i="38"/>
  <c r="AZ186" i="38"/>
  <c r="AZ185" i="38"/>
  <c r="AZ184" i="38"/>
  <c r="AZ183" i="38"/>
  <c r="AZ182" i="38"/>
  <c r="AZ181" i="38"/>
  <c r="AZ180" i="38"/>
  <c r="AZ179" i="38"/>
  <c r="AZ178" i="38"/>
  <c r="AZ177" i="38"/>
  <c r="AZ176" i="38"/>
  <c r="AZ175" i="38"/>
  <c r="AZ174" i="38"/>
  <c r="AZ173" i="38"/>
  <c r="AZ172" i="38"/>
  <c r="AZ171" i="38"/>
  <c r="AZ170" i="38"/>
  <c r="AZ169" i="38"/>
  <c r="AZ168" i="38"/>
  <c r="AZ167" i="38"/>
  <c r="AZ166" i="38"/>
  <c r="AZ165" i="38"/>
  <c r="AZ164" i="38"/>
  <c r="AZ163" i="38"/>
  <c r="AZ162" i="38"/>
  <c r="AZ161" i="38"/>
  <c r="AZ160" i="38"/>
  <c r="AZ159" i="38"/>
  <c r="AZ158" i="38"/>
  <c r="AZ157" i="38"/>
  <c r="AZ156" i="38"/>
  <c r="AZ155" i="38"/>
  <c r="AZ154" i="38"/>
  <c r="AZ153" i="38"/>
  <c r="AZ152" i="38"/>
  <c r="AZ151" i="38"/>
  <c r="AZ150" i="38"/>
  <c r="AZ149" i="38"/>
  <c r="AZ148" i="38"/>
  <c r="AZ147" i="38"/>
  <c r="AZ146" i="38"/>
  <c r="AZ145" i="38"/>
  <c r="AZ144" i="38"/>
  <c r="AZ143" i="38"/>
  <c r="AZ142" i="38"/>
  <c r="AZ141" i="38"/>
  <c r="AZ140" i="38"/>
  <c r="AZ139" i="38"/>
  <c r="AZ138" i="38"/>
  <c r="AZ137" i="38"/>
  <c r="AZ136" i="38"/>
  <c r="AZ135" i="38"/>
  <c r="AZ134" i="38"/>
  <c r="AZ133" i="38"/>
  <c r="AZ132" i="38"/>
  <c r="AZ131" i="38"/>
  <c r="AZ130" i="38"/>
  <c r="AZ129" i="38"/>
  <c r="AZ128" i="38"/>
  <c r="AZ127" i="38"/>
  <c r="AZ126" i="38"/>
  <c r="AZ125" i="38"/>
  <c r="AZ124" i="38"/>
  <c r="AZ123" i="38"/>
  <c r="AZ122" i="38"/>
  <c r="AZ121" i="38"/>
  <c r="AZ120" i="38"/>
  <c r="AZ119" i="38"/>
  <c r="AZ118" i="38"/>
  <c r="AZ117" i="38"/>
  <c r="AZ116" i="38"/>
  <c r="AZ115" i="38"/>
  <c r="AZ114" i="38"/>
  <c r="AZ113" i="38"/>
  <c r="AZ112" i="38"/>
  <c r="AZ111" i="38"/>
  <c r="AZ110" i="38"/>
  <c r="AZ109" i="38"/>
  <c r="AZ108" i="38"/>
  <c r="AZ107" i="38"/>
  <c r="AZ106" i="38"/>
  <c r="AZ105" i="38"/>
  <c r="AZ104" i="38"/>
  <c r="AZ103" i="38"/>
  <c r="AZ102" i="38"/>
  <c r="AZ101" i="38"/>
  <c r="AZ100" i="38"/>
  <c r="AZ99" i="38"/>
  <c r="AZ98" i="38"/>
  <c r="AZ97" i="38"/>
  <c r="AZ96" i="38"/>
  <c r="AZ95" i="38"/>
  <c r="AZ94" i="38"/>
  <c r="AZ93" i="38"/>
  <c r="AZ92" i="38"/>
  <c r="AZ91" i="38"/>
  <c r="AZ90" i="38"/>
  <c r="AZ89" i="38"/>
  <c r="AZ88" i="38"/>
  <c r="AZ87" i="38"/>
  <c r="AZ86" i="38"/>
  <c r="AZ85" i="38"/>
  <c r="AZ84" i="38"/>
  <c r="AZ83" i="38"/>
  <c r="AZ82" i="38"/>
  <c r="AZ81" i="38"/>
  <c r="AZ80" i="38"/>
  <c r="AZ79" i="38"/>
  <c r="AZ78" i="38"/>
  <c r="AZ77" i="38"/>
  <c r="AZ76" i="38"/>
  <c r="AZ75" i="38"/>
  <c r="AZ74" i="38"/>
  <c r="AZ73" i="38"/>
  <c r="AZ72" i="38"/>
  <c r="AZ71" i="38"/>
  <c r="AZ70" i="38"/>
  <c r="AZ69" i="38"/>
  <c r="AZ68" i="38"/>
  <c r="AZ67" i="38"/>
  <c r="AZ66" i="38"/>
  <c r="AZ65" i="38"/>
  <c r="AZ64" i="38"/>
  <c r="AZ63" i="38"/>
  <c r="AZ62" i="38"/>
  <c r="AZ61" i="38"/>
  <c r="AZ60" i="38"/>
  <c r="AZ59" i="38"/>
  <c r="AZ58" i="38"/>
  <c r="AZ57" i="38"/>
  <c r="AZ56" i="38"/>
  <c r="AZ55" i="38"/>
  <c r="AZ54" i="38"/>
  <c r="AZ53" i="38"/>
  <c r="AZ52" i="38"/>
  <c r="AZ51" i="38"/>
  <c r="AZ50" i="38"/>
  <c r="AZ49" i="38"/>
  <c r="AZ48" i="38"/>
  <c r="AZ47" i="38"/>
  <c r="AZ46" i="38"/>
  <c r="AZ45" i="38"/>
  <c r="AZ44" i="38"/>
  <c r="AZ43" i="38"/>
  <c r="AZ42" i="38"/>
  <c r="AZ41" i="38"/>
  <c r="AZ40" i="38"/>
  <c r="AZ39" i="38"/>
  <c r="AZ38" i="38"/>
  <c r="AZ37" i="38"/>
  <c r="AZ36" i="38"/>
  <c r="AZ35" i="38"/>
  <c r="AZ34" i="38"/>
  <c r="AZ33" i="38"/>
  <c r="AZ32" i="38"/>
  <c r="AZ31" i="38"/>
  <c r="AZ30" i="38"/>
  <c r="AZ29" i="38"/>
  <c r="AZ28" i="38"/>
  <c r="AZ27" i="38"/>
  <c r="AZ26" i="38"/>
  <c r="AZ25" i="38"/>
  <c r="AZ24" i="38"/>
  <c r="AZ23" i="38"/>
  <c r="AZ22" i="38"/>
  <c r="AZ21" i="38"/>
  <c r="AZ20" i="38"/>
  <c r="AZ19" i="38"/>
  <c r="AZ18" i="38"/>
  <c r="AZ17" i="38"/>
  <c r="AZ16" i="38"/>
  <c r="AZ15" i="38"/>
  <c r="AZ14" i="38"/>
  <c r="AZ13" i="38"/>
  <c r="AZ12" i="38"/>
  <c r="AZ11" i="38"/>
  <c r="AZ10" i="38"/>
  <c r="AZ9" i="38"/>
  <c r="AZ8" i="38"/>
  <c r="AZ7" i="38"/>
  <c r="AZ6" i="38"/>
  <c r="AZ5" i="38"/>
  <c r="AH346" i="38"/>
  <c r="AH345" i="38"/>
  <c r="AH344" i="38"/>
  <c r="AH343" i="38"/>
  <c r="AH342" i="38"/>
  <c r="AH341" i="38"/>
  <c r="AH340" i="38"/>
  <c r="AH339" i="38"/>
  <c r="AH338" i="38"/>
  <c r="AH337" i="38"/>
  <c r="AH336" i="38"/>
  <c r="AH335" i="38"/>
  <c r="AH334" i="38"/>
  <c r="AH333" i="38"/>
  <c r="AH332" i="38"/>
  <c r="AH331" i="38"/>
  <c r="AH330" i="38"/>
  <c r="AH329" i="38"/>
  <c r="AH328" i="38"/>
  <c r="AH327" i="38"/>
  <c r="AH326" i="38"/>
  <c r="AH325" i="38"/>
  <c r="AH324" i="38"/>
  <c r="AH323" i="38"/>
  <c r="AH322" i="38"/>
  <c r="AH321" i="38"/>
  <c r="AH320" i="38"/>
  <c r="AH319" i="38"/>
  <c r="AH318" i="38"/>
  <c r="AH317" i="38"/>
  <c r="AH316" i="38"/>
  <c r="AH315" i="38"/>
  <c r="AH314" i="38"/>
  <c r="AH313" i="38"/>
  <c r="AH312" i="38"/>
  <c r="AH311" i="38"/>
  <c r="AH310" i="38"/>
  <c r="AH309" i="38"/>
  <c r="AH308" i="38"/>
  <c r="AH307" i="38"/>
  <c r="AH306" i="38"/>
  <c r="AH305" i="38"/>
  <c r="AH304" i="38"/>
  <c r="AH303" i="38"/>
  <c r="AH302" i="38"/>
  <c r="AH301" i="38"/>
  <c r="AH300" i="38"/>
  <c r="AH299" i="38"/>
  <c r="AH298" i="38"/>
  <c r="AH297" i="38"/>
  <c r="AH296" i="38"/>
  <c r="AH295" i="38"/>
  <c r="AH294" i="38"/>
  <c r="AH293" i="38"/>
  <c r="AH292" i="38"/>
  <c r="AH291" i="38"/>
  <c r="AH290" i="38"/>
  <c r="AH289" i="38"/>
  <c r="AH288" i="38"/>
  <c r="AH287" i="38"/>
  <c r="AH286" i="38"/>
  <c r="AH285" i="38"/>
  <c r="AH284" i="38"/>
  <c r="AH283" i="38"/>
  <c r="AH282" i="38"/>
  <c r="AH281" i="38"/>
  <c r="AH280" i="38"/>
  <c r="AH279" i="38"/>
  <c r="AH278" i="38"/>
  <c r="AH277" i="38"/>
  <c r="AH276" i="38"/>
  <c r="AH275" i="38"/>
  <c r="AH274" i="38"/>
  <c r="AH273" i="38"/>
  <c r="AH272" i="38"/>
  <c r="AH271" i="38"/>
  <c r="AH270" i="38"/>
  <c r="AH269" i="38"/>
  <c r="AH268" i="38"/>
  <c r="AH267" i="38"/>
  <c r="AH266" i="38"/>
  <c r="AH265" i="38"/>
  <c r="AH264" i="38"/>
  <c r="AH263" i="38"/>
  <c r="AH262" i="38"/>
  <c r="AH261" i="38"/>
  <c r="AH260" i="38"/>
  <c r="AH259" i="38"/>
  <c r="AH258" i="38"/>
  <c r="AH257" i="38"/>
  <c r="AH256" i="38"/>
  <c r="AH255" i="38"/>
  <c r="AH254" i="38"/>
  <c r="AH253" i="38"/>
  <c r="AH252" i="38"/>
  <c r="AH251" i="38"/>
  <c r="AH250" i="38"/>
  <c r="AH249" i="38"/>
  <c r="AH248" i="38"/>
  <c r="AH247" i="38"/>
  <c r="AH246" i="38"/>
  <c r="AH245" i="38"/>
  <c r="AH244" i="38"/>
  <c r="AH243" i="38"/>
  <c r="AH242" i="38"/>
  <c r="AH241" i="38"/>
  <c r="AH240" i="38"/>
  <c r="AH239" i="38"/>
  <c r="AH238" i="38"/>
  <c r="AH237" i="38"/>
  <c r="AH236" i="38"/>
  <c r="AH235" i="38"/>
  <c r="AH234" i="38"/>
  <c r="AH233" i="38"/>
  <c r="AH232" i="38"/>
  <c r="AH231" i="38"/>
  <c r="AH230" i="38"/>
  <c r="AH229" i="38"/>
  <c r="AH228" i="38"/>
  <c r="AH227" i="38"/>
  <c r="AH226" i="38"/>
  <c r="AH225" i="38"/>
  <c r="AH224" i="38"/>
  <c r="AH223" i="38"/>
  <c r="AH222" i="38"/>
  <c r="AH221" i="38"/>
  <c r="AH220" i="38"/>
  <c r="AH219" i="38"/>
  <c r="AH218" i="38"/>
  <c r="AH217" i="38"/>
  <c r="AH216" i="38"/>
  <c r="AH215" i="38"/>
  <c r="AH214" i="38"/>
  <c r="AH213" i="38"/>
  <c r="AH212" i="38"/>
  <c r="AH211" i="38"/>
  <c r="AH210" i="38"/>
  <c r="AH209" i="38"/>
  <c r="AH208" i="38"/>
  <c r="AH207" i="38"/>
  <c r="AH206" i="38"/>
  <c r="AH205" i="38"/>
  <c r="AH204" i="38"/>
  <c r="AH203" i="38"/>
  <c r="AH202" i="38"/>
  <c r="AH201" i="38"/>
  <c r="AH200" i="38"/>
  <c r="AH199" i="38"/>
  <c r="AH198" i="38"/>
  <c r="AH197" i="38"/>
  <c r="AH196" i="38"/>
  <c r="AH195" i="38"/>
  <c r="AH194" i="38"/>
  <c r="AH193" i="38"/>
  <c r="AH192" i="38"/>
  <c r="AH191" i="38"/>
  <c r="AH190" i="38"/>
  <c r="AH189" i="38"/>
  <c r="AH188" i="38"/>
  <c r="AH187" i="38"/>
  <c r="AH186" i="38"/>
  <c r="AH185" i="38"/>
  <c r="AH184" i="38"/>
  <c r="AH183" i="38"/>
  <c r="AH182" i="38"/>
  <c r="AH181" i="38"/>
  <c r="AH180" i="38"/>
  <c r="AH179" i="38"/>
  <c r="AH178" i="38"/>
  <c r="AH177" i="38"/>
  <c r="AH176" i="38"/>
  <c r="AH175" i="38"/>
  <c r="AH174" i="38"/>
  <c r="AH173" i="38"/>
  <c r="AH172" i="38"/>
  <c r="AH171" i="38"/>
  <c r="AH170" i="38"/>
  <c r="AH169" i="38"/>
  <c r="AH168" i="38"/>
  <c r="AH167" i="38"/>
  <c r="AH166" i="38"/>
  <c r="AH165" i="38"/>
  <c r="AH164" i="38"/>
  <c r="AH163" i="38"/>
  <c r="AH162" i="38"/>
  <c r="AH161" i="38"/>
  <c r="AH160" i="38"/>
  <c r="AH159" i="38"/>
  <c r="AH158" i="38"/>
  <c r="AH157" i="38"/>
  <c r="AH156" i="38"/>
  <c r="AH155" i="38"/>
  <c r="AH154" i="38"/>
  <c r="AH153" i="38"/>
  <c r="AH152" i="38"/>
  <c r="AH151" i="38"/>
  <c r="AH150" i="38"/>
  <c r="AH149" i="38"/>
  <c r="AH148" i="38"/>
  <c r="AH147" i="38"/>
  <c r="AH146" i="38"/>
  <c r="AH145" i="38"/>
  <c r="AH144" i="38"/>
  <c r="AH143" i="38"/>
  <c r="AH142" i="38"/>
  <c r="AH141" i="38"/>
  <c r="AH140" i="38"/>
  <c r="AH139" i="38"/>
  <c r="AH138" i="38"/>
  <c r="AH137" i="38"/>
  <c r="AH136" i="38"/>
  <c r="AH135" i="38"/>
  <c r="AH134" i="38"/>
  <c r="AH133" i="38"/>
  <c r="AH132" i="38"/>
  <c r="AH131" i="38"/>
  <c r="AH130" i="38"/>
  <c r="AH129" i="38"/>
  <c r="AH128" i="38"/>
  <c r="AH127" i="38"/>
  <c r="AH126" i="38"/>
  <c r="AH125" i="38"/>
  <c r="AH124" i="38"/>
  <c r="AH123" i="38"/>
  <c r="AH122" i="38"/>
  <c r="AH121" i="38"/>
  <c r="AH120" i="38"/>
  <c r="AH119" i="38"/>
  <c r="AH118" i="38"/>
  <c r="AH117" i="38"/>
  <c r="AH116" i="38"/>
  <c r="AH115" i="38"/>
  <c r="AH114" i="38"/>
  <c r="AH113" i="38"/>
  <c r="AH112" i="38"/>
  <c r="AH111" i="38"/>
  <c r="AH110" i="38"/>
  <c r="AH109" i="38"/>
  <c r="AH108" i="38"/>
  <c r="AH107" i="38"/>
  <c r="AH106" i="38"/>
  <c r="AH105" i="38"/>
  <c r="AH104" i="38"/>
  <c r="AH103" i="38"/>
  <c r="AH102" i="38"/>
  <c r="AH101" i="38"/>
  <c r="AH100" i="38"/>
  <c r="AH99" i="38"/>
  <c r="AH98" i="38"/>
  <c r="AH97" i="38"/>
  <c r="AH96" i="38"/>
  <c r="AH95" i="38"/>
  <c r="AH94" i="38"/>
  <c r="AH93" i="38"/>
  <c r="AH92" i="38"/>
  <c r="AH91" i="38"/>
  <c r="AH90" i="38"/>
  <c r="AH89" i="38"/>
  <c r="AH88" i="38"/>
  <c r="AH87" i="38"/>
  <c r="AH86" i="38"/>
  <c r="AH85" i="38"/>
  <c r="AH84" i="38"/>
  <c r="AH83" i="38"/>
  <c r="AH82" i="38"/>
  <c r="AH81" i="38"/>
  <c r="AH80" i="38"/>
  <c r="AH79" i="38"/>
  <c r="AH78" i="38"/>
  <c r="AH77" i="38"/>
  <c r="AH76" i="38"/>
  <c r="AH75" i="38"/>
  <c r="AH74" i="38"/>
  <c r="AH73" i="38"/>
  <c r="AH72" i="38"/>
  <c r="AH71" i="38"/>
  <c r="AH70" i="38"/>
  <c r="AH69" i="38"/>
  <c r="AH68" i="38"/>
  <c r="AH67" i="38"/>
  <c r="AH66" i="38"/>
  <c r="AH65" i="38"/>
  <c r="AH64" i="38"/>
  <c r="AH63" i="38"/>
  <c r="AH62" i="38"/>
  <c r="AH61" i="38"/>
  <c r="AH60" i="38"/>
  <c r="AH59" i="38"/>
  <c r="AH58" i="38"/>
  <c r="AH57" i="38"/>
  <c r="AH56" i="38"/>
  <c r="AH55" i="38"/>
  <c r="AH54" i="38"/>
  <c r="AH53" i="38"/>
  <c r="AH52" i="38"/>
  <c r="AH51" i="38"/>
  <c r="AH50" i="38"/>
  <c r="AH49" i="38"/>
  <c r="AH48" i="38"/>
  <c r="AH47" i="38"/>
  <c r="AH46" i="38"/>
  <c r="AH45" i="38"/>
  <c r="AH44" i="38"/>
  <c r="AH43" i="38"/>
  <c r="AH42" i="38"/>
  <c r="AH41" i="38"/>
  <c r="AH40" i="38"/>
  <c r="AH39" i="38"/>
  <c r="AH38" i="38"/>
  <c r="AH37" i="38"/>
  <c r="AH36" i="38"/>
  <c r="AH35" i="38"/>
  <c r="AH34" i="38"/>
  <c r="AH33" i="38"/>
  <c r="AH32" i="38"/>
  <c r="AH31" i="38"/>
  <c r="AH30" i="38"/>
  <c r="AH29" i="38"/>
  <c r="AH28" i="38"/>
  <c r="AH27" i="38"/>
  <c r="AH26" i="38"/>
  <c r="AH25" i="38"/>
  <c r="AH24" i="38"/>
  <c r="AH23" i="38"/>
  <c r="AH22" i="38"/>
  <c r="AH21" i="38"/>
  <c r="AH20" i="38"/>
  <c r="AH19" i="38"/>
  <c r="AH18" i="38"/>
  <c r="AH17" i="38"/>
  <c r="AH16" i="38"/>
  <c r="AH15" i="38"/>
  <c r="AH14" i="38"/>
  <c r="AH13" i="38"/>
  <c r="AH12" i="38"/>
  <c r="AH11" i="38"/>
  <c r="AH10" i="38"/>
  <c r="AH9" i="38"/>
  <c r="AH8" i="38"/>
  <c r="AH7" i="38"/>
  <c r="AH6" i="38"/>
  <c r="AH5" i="38"/>
  <c r="AI346" i="38"/>
  <c r="AI345" i="38"/>
  <c r="AI344" i="38"/>
  <c r="AI343" i="38"/>
  <c r="AI342" i="38"/>
  <c r="AI341" i="38"/>
  <c r="AI340" i="38"/>
  <c r="AI339" i="38"/>
  <c r="AI338" i="38"/>
  <c r="AI337" i="38"/>
  <c r="AI336" i="38"/>
  <c r="AI335" i="38"/>
  <c r="AI334" i="38"/>
  <c r="AI333" i="38"/>
  <c r="AI332" i="38"/>
  <c r="AI331" i="38"/>
  <c r="AI330" i="38"/>
  <c r="AI329" i="38"/>
  <c r="AI328" i="38"/>
  <c r="AI327" i="38"/>
  <c r="AI326" i="38"/>
  <c r="AI325" i="38"/>
  <c r="AI324" i="38"/>
  <c r="AI323" i="38"/>
  <c r="AI322" i="38"/>
  <c r="AI321" i="38"/>
  <c r="AI320" i="38"/>
  <c r="AI319" i="38"/>
  <c r="AI318" i="38"/>
  <c r="AI317" i="38"/>
  <c r="AI316" i="38"/>
  <c r="AI315" i="38"/>
  <c r="AI314" i="38"/>
  <c r="AI313" i="38"/>
  <c r="AI312" i="38"/>
  <c r="AI311" i="38"/>
  <c r="AI310" i="38"/>
  <c r="AI309" i="38"/>
  <c r="AI308" i="38"/>
  <c r="AI307" i="38"/>
  <c r="AI306" i="38"/>
  <c r="AI305" i="38"/>
  <c r="AI304" i="38"/>
  <c r="AI303" i="38"/>
  <c r="AI302" i="38"/>
  <c r="AI301" i="38"/>
  <c r="AI300" i="38"/>
  <c r="AI299" i="38"/>
  <c r="AI298" i="38"/>
  <c r="AI297" i="38"/>
  <c r="AI296" i="38"/>
  <c r="AI295" i="38"/>
  <c r="AI294" i="38"/>
  <c r="AI293" i="38"/>
  <c r="AI292" i="38"/>
  <c r="AI291" i="38"/>
  <c r="AI290" i="38"/>
  <c r="AI289" i="38"/>
  <c r="AI288" i="38"/>
  <c r="AI287" i="38"/>
  <c r="AI286" i="38"/>
  <c r="AI285" i="38"/>
  <c r="AI284" i="38"/>
  <c r="AI283" i="38"/>
  <c r="AI282" i="38"/>
  <c r="AI281" i="38"/>
  <c r="AI280" i="38"/>
  <c r="AI279" i="38"/>
  <c r="AI278" i="38"/>
  <c r="AI277" i="38"/>
  <c r="AI276" i="38"/>
  <c r="AI275" i="38"/>
  <c r="AI274" i="38"/>
  <c r="AI273" i="38"/>
  <c r="AI272" i="38"/>
  <c r="AI271" i="38"/>
  <c r="AI270" i="38"/>
  <c r="AI269" i="38"/>
  <c r="AI268" i="38"/>
  <c r="AI267" i="38"/>
  <c r="AI266" i="38"/>
  <c r="AI265" i="38"/>
  <c r="AI264" i="38"/>
  <c r="AI263" i="38"/>
  <c r="AI262" i="38"/>
  <c r="AI261" i="38"/>
  <c r="AI260" i="38"/>
  <c r="AI259" i="38"/>
  <c r="AI258" i="38"/>
  <c r="AI257" i="38"/>
  <c r="AI256" i="38"/>
  <c r="AI255" i="38"/>
  <c r="AI254" i="38"/>
  <c r="AI253" i="38"/>
  <c r="AI252" i="38"/>
  <c r="AI251" i="38"/>
  <c r="AI250" i="38"/>
  <c r="AI249" i="38"/>
  <c r="AI248" i="38"/>
  <c r="AI247" i="38"/>
  <c r="AI246" i="38"/>
  <c r="AI245" i="38"/>
  <c r="AI244" i="38"/>
  <c r="AI243" i="38"/>
  <c r="AI242" i="38"/>
  <c r="AI241" i="38"/>
  <c r="AI240" i="38"/>
  <c r="AI239" i="38"/>
  <c r="AI238" i="38"/>
  <c r="AI237" i="38"/>
  <c r="AI236" i="38"/>
  <c r="AI235" i="38"/>
  <c r="AI234" i="38"/>
  <c r="AI233" i="38"/>
  <c r="AI232" i="38"/>
  <c r="AI231" i="38"/>
  <c r="AI230" i="38"/>
  <c r="AI229" i="38"/>
  <c r="AI228" i="38"/>
  <c r="AI227" i="38"/>
  <c r="AI226" i="38"/>
  <c r="AI225" i="38"/>
  <c r="AI224" i="38"/>
  <c r="AI223" i="38"/>
  <c r="AI222" i="38"/>
  <c r="AI221" i="38"/>
  <c r="AI220" i="38"/>
  <c r="AI219" i="38"/>
  <c r="AI218" i="38"/>
  <c r="AI217" i="38"/>
  <c r="AI216" i="38"/>
  <c r="AI215" i="38"/>
  <c r="AI214" i="38"/>
  <c r="AI213" i="38"/>
  <c r="AI212" i="38"/>
  <c r="AI211" i="38"/>
  <c r="AI210" i="38"/>
  <c r="AI209" i="38"/>
  <c r="AI208" i="38"/>
  <c r="AI207" i="38"/>
  <c r="AI206" i="38"/>
  <c r="AI205" i="38"/>
  <c r="AI204" i="38"/>
  <c r="AI203" i="38"/>
  <c r="AI202" i="38"/>
  <c r="AI201" i="38"/>
  <c r="AI200" i="38"/>
  <c r="AI199" i="38"/>
  <c r="AI198" i="38"/>
  <c r="AI197" i="38"/>
  <c r="AI196" i="38"/>
  <c r="AI195" i="38"/>
  <c r="AI194" i="38"/>
  <c r="AI193" i="38"/>
  <c r="AI192" i="38"/>
  <c r="AI191" i="38"/>
  <c r="AI190" i="38"/>
  <c r="AI189" i="38"/>
  <c r="AI188" i="38"/>
  <c r="AI187" i="38"/>
  <c r="AI186" i="38"/>
  <c r="AI185" i="38"/>
  <c r="AI184" i="38"/>
  <c r="AI183" i="38"/>
  <c r="AI182" i="38"/>
  <c r="AI181" i="38"/>
  <c r="AI180" i="38"/>
  <c r="AI179" i="38"/>
  <c r="AI178" i="38"/>
  <c r="AI177" i="38"/>
  <c r="AI176" i="38"/>
  <c r="AI175" i="38"/>
  <c r="AI174" i="38"/>
  <c r="AI173" i="38"/>
  <c r="AI172" i="38"/>
  <c r="AI171" i="38"/>
  <c r="AI170" i="38"/>
  <c r="AI169" i="38"/>
  <c r="AI168" i="38"/>
  <c r="AI167" i="38"/>
  <c r="AI166" i="38"/>
  <c r="AI165" i="38"/>
  <c r="AI164" i="38"/>
  <c r="AI163" i="38"/>
  <c r="AI162" i="38"/>
  <c r="AI161" i="38"/>
  <c r="AI160" i="38"/>
  <c r="AI159" i="38"/>
  <c r="AI158" i="38"/>
  <c r="AI157" i="38"/>
  <c r="AI156" i="38"/>
  <c r="AI155" i="38"/>
  <c r="AI154" i="38"/>
  <c r="AI153" i="38"/>
  <c r="AI152" i="38"/>
  <c r="AI151" i="38"/>
  <c r="AI150" i="38"/>
  <c r="AI149" i="38"/>
  <c r="AI148" i="38"/>
  <c r="AI147" i="38"/>
  <c r="AI146" i="38"/>
  <c r="AI145" i="38"/>
  <c r="AI144" i="38"/>
  <c r="AI143" i="38"/>
  <c r="AI142" i="38"/>
  <c r="AI141" i="38"/>
  <c r="AI140" i="38"/>
  <c r="AI139" i="38"/>
  <c r="AI138" i="38"/>
  <c r="AI137" i="38"/>
  <c r="AI136" i="38"/>
  <c r="AI135" i="38"/>
  <c r="AI134" i="38"/>
  <c r="AI133" i="38"/>
  <c r="AI132" i="38"/>
  <c r="AI131" i="38"/>
  <c r="AI130" i="38"/>
  <c r="AI129" i="38"/>
  <c r="AI128" i="38"/>
  <c r="AI127" i="38"/>
  <c r="AI126" i="38"/>
  <c r="AI125" i="38"/>
  <c r="AI124" i="38"/>
  <c r="AI123" i="38"/>
  <c r="AI122" i="38"/>
  <c r="AI121" i="38"/>
  <c r="AI120" i="38"/>
  <c r="AI119" i="38"/>
  <c r="AI118" i="38"/>
  <c r="AI117" i="38"/>
  <c r="AI116" i="38"/>
  <c r="AI115" i="38"/>
  <c r="AI114" i="38"/>
  <c r="AI113" i="38"/>
  <c r="AI112" i="38"/>
  <c r="AI111" i="38"/>
  <c r="AI110" i="38"/>
  <c r="AI109" i="38"/>
  <c r="AI108" i="38"/>
  <c r="AI107" i="38"/>
  <c r="AI106" i="38"/>
  <c r="AI105" i="38"/>
  <c r="AI104" i="38"/>
  <c r="AI103" i="38"/>
  <c r="AI102" i="38"/>
  <c r="AI101" i="38"/>
  <c r="AI100" i="38"/>
  <c r="AI99" i="38"/>
  <c r="AI98" i="38"/>
  <c r="AI97" i="38"/>
  <c r="AI96" i="38"/>
  <c r="AI95" i="38"/>
  <c r="AI94" i="38"/>
  <c r="AI93" i="38"/>
  <c r="AI92" i="38"/>
  <c r="AI91" i="38"/>
  <c r="AI90" i="38"/>
  <c r="AI89" i="38"/>
  <c r="AI88" i="38"/>
  <c r="AI87" i="38"/>
  <c r="AI86" i="38"/>
  <c r="AI85" i="38"/>
  <c r="AI84" i="38"/>
  <c r="AI83" i="38"/>
  <c r="AI82" i="38"/>
  <c r="AI81" i="38"/>
  <c r="AI80" i="38"/>
  <c r="AI79" i="38"/>
  <c r="AI78" i="38"/>
  <c r="AI77" i="38"/>
  <c r="AI76" i="38"/>
  <c r="AI75" i="38"/>
  <c r="AI74" i="38"/>
  <c r="AI73" i="38"/>
  <c r="AI72" i="38"/>
  <c r="AI71" i="38"/>
  <c r="AI70" i="38"/>
  <c r="AI69" i="38"/>
  <c r="AI68" i="38"/>
  <c r="AI67" i="38"/>
  <c r="AI66" i="38"/>
  <c r="AI65" i="38"/>
  <c r="AI64" i="38"/>
  <c r="AI63" i="38"/>
  <c r="AI62" i="38"/>
  <c r="AI61" i="38"/>
  <c r="AI60" i="38"/>
  <c r="AI59" i="38"/>
  <c r="AI58" i="38"/>
  <c r="AI57" i="38"/>
  <c r="AI56" i="38"/>
  <c r="AI55" i="38"/>
  <c r="AI54" i="38"/>
  <c r="AI53" i="38"/>
  <c r="AI52" i="38"/>
  <c r="AI51" i="38"/>
  <c r="AI50" i="38"/>
  <c r="AI49" i="38"/>
  <c r="AI48" i="38"/>
  <c r="AI47" i="38"/>
  <c r="AI46" i="38"/>
  <c r="AI45" i="38"/>
  <c r="AI44" i="38"/>
  <c r="AI43" i="38"/>
  <c r="AI42" i="38"/>
  <c r="AI41" i="38"/>
  <c r="AI40" i="38"/>
  <c r="AI39" i="38"/>
  <c r="AI38" i="38"/>
  <c r="AI37" i="38"/>
  <c r="AI36" i="38"/>
  <c r="AI35" i="38"/>
  <c r="AI34" i="38"/>
  <c r="AI33" i="38"/>
  <c r="AI32" i="38"/>
  <c r="AI31" i="38"/>
  <c r="AI30" i="38"/>
  <c r="AI29" i="38"/>
  <c r="AI28" i="38"/>
  <c r="AI27" i="38"/>
  <c r="AI26" i="38"/>
  <c r="AI25" i="38"/>
  <c r="AI24" i="38"/>
  <c r="AI23" i="38"/>
  <c r="AI22" i="38"/>
  <c r="AI21" i="38"/>
  <c r="AI20" i="38"/>
  <c r="AI19" i="38"/>
  <c r="AI18" i="38"/>
  <c r="AI17" i="38"/>
  <c r="AI16" i="38"/>
  <c r="AI15" i="38"/>
  <c r="AI14" i="38"/>
  <c r="AI13" i="38"/>
  <c r="AI12" i="38"/>
  <c r="AI11" i="38"/>
  <c r="AI10" i="38"/>
  <c r="AI9" i="38"/>
  <c r="AI8" i="38"/>
  <c r="AI7" i="38"/>
  <c r="AI6" i="38"/>
  <c r="AI5" i="38"/>
  <c r="P5" i="38"/>
  <c r="P6" i="38"/>
  <c r="P7" i="38"/>
  <c r="P8" i="38"/>
  <c r="P9" i="38"/>
  <c r="P10" i="38"/>
  <c r="P11" i="38"/>
  <c r="P12" i="38"/>
  <c r="P13" i="38"/>
  <c r="P14" i="38"/>
  <c r="P15" i="38"/>
  <c r="P16" i="38"/>
  <c r="P17" i="38"/>
  <c r="P18" i="38"/>
  <c r="P19" i="38"/>
  <c r="P20" i="38"/>
  <c r="P21" i="38"/>
  <c r="P22" i="38"/>
  <c r="P23" i="38"/>
  <c r="P24" i="38"/>
  <c r="P25" i="38"/>
  <c r="P26" i="38"/>
  <c r="P27" i="38"/>
  <c r="P28" i="38"/>
  <c r="P29" i="38"/>
  <c r="P30" i="38"/>
  <c r="P31" i="38"/>
  <c r="P32" i="38"/>
  <c r="P33" i="38"/>
  <c r="P34" i="38"/>
  <c r="P35" i="38"/>
  <c r="P36" i="38"/>
  <c r="P37" i="38"/>
  <c r="P38" i="38"/>
  <c r="P39" i="38"/>
  <c r="P40" i="38"/>
  <c r="P41" i="38"/>
  <c r="P42" i="38"/>
  <c r="P43" i="38"/>
  <c r="P44" i="38"/>
  <c r="P45" i="38"/>
  <c r="P46" i="38"/>
  <c r="P47" i="38"/>
  <c r="P48" i="38"/>
  <c r="P49" i="38"/>
  <c r="P50" i="38"/>
  <c r="P51" i="38"/>
  <c r="P52" i="38"/>
  <c r="P53" i="38"/>
  <c r="P54" i="38"/>
  <c r="P55" i="38"/>
  <c r="P56" i="38"/>
  <c r="P57" i="38"/>
  <c r="P58" i="38"/>
  <c r="P59" i="38"/>
  <c r="P60" i="38"/>
  <c r="P61" i="38"/>
  <c r="P62" i="38"/>
  <c r="P63" i="38"/>
  <c r="P64" i="38"/>
  <c r="P65" i="38"/>
  <c r="P66" i="38"/>
  <c r="P67" i="38"/>
  <c r="P68" i="38"/>
  <c r="P69" i="38"/>
  <c r="P70" i="38"/>
  <c r="P71" i="38"/>
  <c r="P72" i="38"/>
  <c r="P73" i="38"/>
  <c r="P74" i="38"/>
  <c r="P75" i="38"/>
  <c r="P76" i="38"/>
  <c r="P77" i="38"/>
  <c r="P78" i="38"/>
  <c r="P79" i="38"/>
  <c r="P80" i="38"/>
  <c r="P81" i="38"/>
  <c r="P82" i="38"/>
  <c r="P83" i="38"/>
  <c r="P84" i="38"/>
  <c r="P85" i="38"/>
  <c r="P86" i="38"/>
  <c r="P87" i="38"/>
  <c r="P88" i="38"/>
  <c r="P89" i="38"/>
  <c r="P90" i="38"/>
  <c r="P91" i="38"/>
  <c r="P92" i="38"/>
  <c r="P93" i="38"/>
  <c r="P94" i="38"/>
  <c r="P95" i="38"/>
  <c r="P96" i="38"/>
  <c r="P97" i="38"/>
  <c r="P98" i="38"/>
  <c r="P99" i="38"/>
  <c r="P100" i="38"/>
  <c r="P101" i="38"/>
  <c r="P102" i="38"/>
  <c r="P103" i="38"/>
  <c r="P104" i="38"/>
  <c r="P105" i="38"/>
  <c r="P106" i="38"/>
  <c r="P107" i="38"/>
  <c r="P108" i="38"/>
  <c r="P109" i="38"/>
  <c r="P110" i="38"/>
  <c r="P111" i="38"/>
  <c r="P112" i="38"/>
  <c r="P113" i="38"/>
  <c r="P114" i="38"/>
  <c r="P115" i="38"/>
  <c r="P116" i="38"/>
  <c r="P117" i="38"/>
  <c r="P118" i="38"/>
  <c r="P119" i="38"/>
  <c r="P120" i="38"/>
  <c r="P121" i="38"/>
  <c r="P122" i="38"/>
  <c r="P123" i="38"/>
  <c r="P124" i="38"/>
  <c r="P125" i="38"/>
  <c r="P126" i="38"/>
  <c r="P127" i="38"/>
  <c r="P128" i="38"/>
  <c r="P129" i="38"/>
  <c r="P130" i="38"/>
  <c r="P131" i="38"/>
  <c r="P132" i="38"/>
  <c r="P133" i="38"/>
  <c r="P134" i="38"/>
  <c r="P135" i="38"/>
  <c r="P136" i="38"/>
  <c r="P137" i="38"/>
  <c r="P138" i="38"/>
  <c r="P139" i="38"/>
  <c r="P140" i="38"/>
  <c r="P141" i="38"/>
  <c r="P142" i="38"/>
  <c r="P143" i="38"/>
  <c r="P144" i="38"/>
  <c r="P145" i="38"/>
  <c r="P146" i="38"/>
  <c r="P147" i="38"/>
  <c r="P148" i="38"/>
  <c r="P149" i="38"/>
  <c r="P150" i="38"/>
  <c r="P151" i="38"/>
  <c r="P152" i="38"/>
  <c r="P153" i="38"/>
  <c r="P154" i="38"/>
  <c r="P155" i="38"/>
  <c r="P156" i="38"/>
  <c r="P157" i="38"/>
  <c r="P158" i="38"/>
  <c r="P159" i="38"/>
  <c r="P160" i="38"/>
  <c r="P161" i="38"/>
  <c r="P162" i="38"/>
  <c r="P163" i="38"/>
  <c r="P164" i="38"/>
  <c r="P165" i="38"/>
  <c r="P166" i="38"/>
  <c r="P167" i="38"/>
  <c r="P168" i="38"/>
  <c r="P169" i="38"/>
  <c r="P170" i="38"/>
  <c r="P171" i="38"/>
  <c r="P172" i="38"/>
  <c r="P173" i="38"/>
  <c r="P174" i="38"/>
  <c r="P175" i="38"/>
  <c r="P176" i="38"/>
  <c r="P177" i="38"/>
  <c r="P178" i="38"/>
  <c r="P179" i="38"/>
  <c r="P180" i="38"/>
  <c r="P181" i="38"/>
  <c r="P182" i="38"/>
  <c r="P183" i="38"/>
  <c r="P184" i="38"/>
  <c r="P185" i="38"/>
  <c r="P186" i="38"/>
  <c r="P187" i="38"/>
  <c r="P188" i="38"/>
  <c r="P189" i="38"/>
  <c r="P190" i="38"/>
  <c r="P191" i="38"/>
  <c r="P192" i="38"/>
  <c r="P193" i="38"/>
  <c r="P194" i="38"/>
  <c r="P195" i="38"/>
  <c r="P196" i="38"/>
  <c r="P197" i="38"/>
  <c r="P198" i="38"/>
  <c r="P199" i="38"/>
  <c r="P200" i="38"/>
  <c r="P201" i="38"/>
  <c r="P202" i="38"/>
  <c r="P203" i="38"/>
  <c r="P204" i="38"/>
  <c r="P205" i="38"/>
  <c r="P206" i="38"/>
  <c r="P207" i="38"/>
  <c r="P208" i="38"/>
  <c r="P209" i="38"/>
  <c r="P210" i="38"/>
  <c r="P211" i="38"/>
  <c r="P212" i="38"/>
  <c r="P213" i="38"/>
  <c r="P214" i="38"/>
  <c r="P215" i="38"/>
  <c r="P216" i="38"/>
  <c r="P217" i="38"/>
  <c r="P218" i="38"/>
  <c r="P219" i="38"/>
  <c r="P220" i="38"/>
  <c r="P221" i="38"/>
  <c r="P222" i="38"/>
  <c r="P223" i="38"/>
  <c r="P224" i="38"/>
  <c r="P225" i="38"/>
  <c r="P226" i="38"/>
  <c r="P227" i="38"/>
  <c r="P228" i="38"/>
  <c r="P229" i="38"/>
  <c r="P230" i="38"/>
  <c r="P231" i="38"/>
  <c r="P232" i="38"/>
  <c r="P233" i="38"/>
  <c r="P234" i="38"/>
  <c r="P235" i="38"/>
  <c r="P236" i="38"/>
  <c r="P237" i="38"/>
  <c r="P238" i="38"/>
  <c r="P239" i="38"/>
  <c r="P240" i="38"/>
  <c r="P241" i="38"/>
  <c r="P242" i="38"/>
  <c r="P243" i="38"/>
  <c r="P244" i="38"/>
  <c r="P245" i="38"/>
  <c r="P246" i="38"/>
  <c r="P247" i="38"/>
  <c r="P248" i="38"/>
  <c r="P249" i="38"/>
  <c r="P250" i="38"/>
  <c r="P251" i="38"/>
  <c r="P252" i="38"/>
  <c r="P253" i="38"/>
  <c r="P254" i="38"/>
  <c r="P255" i="38"/>
  <c r="P256" i="38"/>
  <c r="P257" i="38"/>
  <c r="P258" i="38"/>
  <c r="P259" i="38"/>
  <c r="P260" i="38"/>
  <c r="P261" i="38"/>
  <c r="P262" i="38"/>
  <c r="P263" i="38"/>
  <c r="P264" i="38"/>
  <c r="P265" i="38"/>
  <c r="P266" i="38"/>
  <c r="P267" i="38"/>
  <c r="P268" i="38"/>
  <c r="P269" i="38"/>
  <c r="P270" i="38"/>
  <c r="P271" i="38"/>
  <c r="P272" i="38"/>
  <c r="P273" i="38"/>
  <c r="P274" i="38"/>
  <c r="P275" i="38"/>
  <c r="P276" i="38"/>
  <c r="P277" i="38"/>
  <c r="P278" i="38"/>
  <c r="P279" i="38"/>
  <c r="P280" i="38"/>
  <c r="P281" i="38"/>
  <c r="P282" i="38"/>
  <c r="P283" i="38"/>
  <c r="P284" i="38"/>
  <c r="P285" i="38"/>
  <c r="P286" i="38"/>
  <c r="P287" i="38"/>
  <c r="P288" i="38"/>
  <c r="P289" i="38"/>
  <c r="P290" i="38"/>
  <c r="P291" i="38"/>
  <c r="P292" i="38"/>
  <c r="P293" i="38"/>
  <c r="P294" i="38"/>
  <c r="P295" i="38"/>
  <c r="P296" i="38"/>
  <c r="P297" i="38"/>
  <c r="P298" i="38"/>
  <c r="P299" i="38"/>
  <c r="P300" i="38"/>
  <c r="P301" i="38"/>
  <c r="P302" i="38"/>
  <c r="P303" i="38"/>
  <c r="P304" i="38"/>
  <c r="P305" i="38"/>
  <c r="P306" i="38"/>
  <c r="P307" i="38"/>
  <c r="P308" i="38"/>
  <c r="P309" i="38"/>
  <c r="P310" i="38"/>
  <c r="P311" i="38"/>
  <c r="P312" i="38"/>
  <c r="P313" i="38"/>
  <c r="P314" i="38"/>
  <c r="P315" i="38"/>
  <c r="P316" i="38"/>
  <c r="P317" i="38"/>
  <c r="P318" i="38"/>
  <c r="P319" i="38"/>
  <c r="P320" i="38"/>
  <c r="P321" i="38"/>
  <c r="P322" i="38"/>
  <c r="P323" i="38"/>
  <c r="P324" i="38"/>
  <c r="P325" i="38"/>
  <c r="P326" i="38"/>
  <c r="P327" i="38"/>
  <c r="P328" i="38"/>
  <c r="P329" i="38"/>
  <c r="P330" i="38"/>
  <c r="P331" i="38"/>
  <c r="P332" i="38"/>
  <c r="P333" i="38"/>
  <c r="P334" i="38"/>
  <c r="P335" i="38"/>
  <c r="P336" i="38"/>
  <c r="P337" i="38"/>
  <c r="P338" i="38"/>
  <c r="P339" i="38"/>
  <c r="P340" i="38"/>
  <c r="P341" i="38"/>
  <c r="P342" i="38"/>
  <c r="P343" i="38"/>
  <c r="P344" i="38"/>
  <c r="P345" i="38"/>
  <c r="P346" i="38"/>
  <c r="B1" i="42"/>
  <c r="A1" i="42"/>
  <c r="AX2" i="40"/>
  <c r="AW2" i="40"/>
  <c r="AV2" i="40"/>
  <c r="AU2" i="40"/>
  <c r="AT2" i="40"/>
  <c r="AS2" i="40"/>
  <c r="AR2" i="40"/>
  <c r="AQ2" i="40"/>
  <c r="AP2" i="40"/>
  <c r="AO2" i="40"/>
  <c r="AN2" i="40"/>
  <c r="AM2" i="40"/>
  <c r="AL2" i="40"/>
  <c r="AF2" i="40"/>
  <c r="AE2" i="40"/>
  <c r="AD2" i="40"/>
  <c r="AC2" i="40"/>
  <c r="AB2" i="40"/>
  <c r="AA2" i="40"/>
  <c r="Z2" i="40"/>
  <c r="Y2" i="40"/>
  <c r="X2" i="40"/>
  <c r="W2" i="40"/>
  <c r="V2" i="40"/>
  <c r="U2" i="40"/>
  <c r="T2" i="40"/>
  <c r="N2" i="40"/>
  <c r="M2" i="40"/>
  <c r="L2" i="40"/>
  <c r="K2" i="40"/>
  <c r="J2" i="40"/>
  <c r="I2" i="40"/>
  <c r="H2" i="40"/>
  <c r="G2" i="40"/>
  <c r="F2" i="40"/>
  <c r="E2" i="40"/>
  <c r="D2" i="40"/>
  <c r="C2" i="40"/>
  <c r="B2" i="40"/>
  <c r="AX1" i="40"/>
  <c r="AW1" i="40"/>
  <c r="AV1" i="40"/>
  <c r="AU1" i="40"/>
  <c r="AT1" i="40"/>
  <c r="AS1" i="40"/>
  <c r="AR1" i="40"/>
  <c r="AQ1" i="40"/>
  <c r="AP1" i="40"/>
  <c r="AO1" i="40"/>
  <c r="AN1" i="40"/>
  <c r="AM1" i="40"/>
  <c r="AL1" i="40"/>
  <c r="AF1" i="40"/>
  <c r="AE1" i="40"/>
  <c r="AD1" i="40"/>
  <c r="AC1" i="40"/>
  <c r="AB1" i="40"/>
  <c r="AA1" i="40"/>
  <c r="Z1" i="40"/>
  <c r="Y1" i="40"/>
  <c r="X1" i="40"/>
  <c r="W1" i="40"/>
  <c r="V1" i="40"/>
  <c r="U1" i="40"/>
  <c r="T1" i="40"/>
  <c r="N1" i="40"/>
  <c r="M1" i="40"/>
  <c r="L1" i="40"/>
  <c r="K1" i="40"/>
  <c r="J1" i="40"/>
  <c r="I1" i="40"/>
  <c r="H1" i="40"/>
  <c r="G1" i="40"/>
  <c r="F1" i="40"/>
  <c r="E1" i="40"/>
  <c r="D1" i="40"/>
  <c r="C1" i="40"/>
  <c r="B1" i="40"/>
  <c r="AX2" i="39"/>
  <c r="AW2" i="39"/>
  <c r="AV2" i="39"/>
  <c r="AU2" i="39"/>
  <c r="AT2" i="39"/>
  <c r="AS2" i="39"/>
  <c r="AR2" i="39"/>
  <c r="AQ2" i="39"/>
  <c r="AP2" i="39"/>
  <c r="AO2" i="39"/>
  <c r="AN2" i="39"/>
  <c r="AM2" i="39"/>
  <c r="AL2" i="39"/>
  <c r="AF2" i="39"/>
  <c r="AE2" i="39"/>
  <c r="AD2" i="39"/>
  <c r="AC2" i="39"/>
  <c r="AB2" i="39"/>
  <c r="AA2" i="39"/>
  <c r="Z2" i="39"/>
  <c r="Y2" i="39"/>
  <c r="X2" i="39"/>
  <c r="W2" i="39"/>
  <c r="V2" i="39"/>
  <c r="U2" i="39"/>
  <c r="T2" i="39"/>
  <c r="M2" i="39"/>
  <c r="L2" i="39"/>
  <c r="K2" i="39"/>
  <c r="J2" i="39"/>
  <c r="I2" i="39"/>
  <c r="H2" i="39"/>
  <c r="G2" i="39"/>
  <c r="F2" i="39"/>
  <c r="E2" i="39"/>
  <c r="D2" i="39"/>
  <c r="C2" i="39"/>
  <c r="B2" i="39"/>
  <c r="AW1" i="39"/>
  <c r="AV1" i="39"/>
  <c r="AU1" i="39"/>
  <c r="AT1" i="39"/>
  <c r="AS1" i="39"/>
  <c r="AR1" i="39"/>
  <c r="AQ1" i="39"/>
  <c r="AP1" i="39"/>
  <c r="AO1" i="39"/>
  <c r="AN1" i="39"/>
  <c r="AM1" i="39"/>
  <c r="AL1" i="39"/>
  <c r="AD1" i="39"/>
  <c r="AC1" i="39"/>
  <c r="AB1" i="39"/>
  <c r="AA1" i="39"/>
  <c r="Z1" i="39"/>
  <c r="Y1" i="39"/>
  <c r="X1" i="39"/>
  <c r="W1" i="39"/>
  <c r="V1" i="39"/>
  <c r="U1" i="39"/>
  <c r="T1" i="39"/>
  <c r="M1" i="39"/>
  <c r="L1" i="39"/>
  <c r="K1" i="39"/>
  <c r="J1" i="39"/>
  <c r="I1" i="39"/>
  <c r="H1" i="39"/>
  <c r="G1" i="39"/>
  <c r="F1" i="39"/>
  <c r="E1" i="39"/>
  <c r="D1" i="39"/>
  <c r="C1" i="39"/>
  <c r="B1" i="39"/>
  <c r="AM1" i="38"/>
  <c r="AN1" i="38"/>
  <c r="AO1" i="38"/>
  <c r="AP1" i="38"/>
  <c r="AQ1" i="38"/>
  <c r="AR1" i="38"/>
  <c r="AS1" i="38"/>
  <c r="AT1" i="38"/>
  <c r="AU1" i="38"/>
  <c r="AV1" i="38"/>
  <c r="AW1" i="38"/>
  <c r="AX1" i="38"/>
  <c r="AX2" i="38"/>
  <c r="AW2" i="38"/>
  <c r="AV2" i="38"/>
  <c r="AU2" i="38"/>
  <c r="AT2" i="38"/>
  <c r="AS2" i="38"/>
  <c r="AR2" i="38"/>
  <c r="AQ2" i="38"/>
  <c r="AP2" i="38"/>
  <c r="AO2" i="38"/>
  <c r="AN2" i="38"/>
  <c r="AM2" i="38"/>
  <c r="AL2" i="38"/>
  <c r="AL1" i="38"/>
  <c r="U1" i="38"/>
  <c r="V1" i="38"/>
  <c r="W1" i="38"/>
  <c r="X1" i="38"/>
  <c r="Y1" i="38"/>
  <c r="Z1" i="38"/>
  <c r="AA1" i="38"/>
  <c r="AB1" i="38"/>
  <c r="AC1" i="38"/>
  <c r="AD1" i="38"/>
  <c r="AE1" i="38"/>
  <c r="AF1" i="38"/>
  <c r="U2" i="38"/>
  <c r="V2" i="38"/>
  <c r="W2" i="38"/>
  <c r="X2" i="38"/>
  <c r="Y2" i="38"/>
  <c r="Z2" i="38"/>
  <c r="AA2" i="38"/>
  <c r="AB2" i="38"/>
  <c r="AC2" i="38"/>
  <c r="AD2" i="38"/>
  <c r="AE2" i="38"/>
  <c r="AF2" i="38"/>
  <c r="T2" i="38"/>
  <c r="T1" i="38"/>
  <c r="M1" i="38"/>
  <c r="N1" i="38"/>
  <c r="L2" i="38"/>
  <c r="M2" i="38"/>
  <c r="N2" i="38"/>
  <c r="C2" i="38"/>
  <c r="D2" i="38"/>
  <c r="E2" i="38"/>
  <c r="F2" i="38"/>
  <c r="G2" i="38"/>
  <c r="H2" i="38"/>
  <c r="I2" i="38"/>
  <c r="J2" i="38"/>
  <c r="K2" i="38"/>
  <c r="B2" i="38"/>
  <c r="C1" i="38"/>
  <c r="D1" i="38"/>
  <c r="E1" i="38"/>
  <c r="F1" i="38"/>
  <c r="G1" i="38"/>
  <c r="H1" i="38"/>
  <c r="I1" i="38"/>
  <c r="J1" i="38"/>
  <c r="K1" i="38"/>
  <c r="L1" i="38"/>
  <c r="B1" i="38"/>
  <c r="K1" i="16"/>
  <c r="L1" i="16"/>
  <c r="M1" i="16"/>
  <c r="P28" i="27"/>
  <c r="F75" i="22"/>
  <c r="K128" i="37" s="1"/>
  <c r="D10" i="28"/>
  <c r="D10" i="27"/>
  <c r="C3" i="29"/>
  <c r="O26" i="28"/>
  <c r="C5" i="27"/>
  <c r="C5" i="28"/>
  <c r="U15" i="21"/>
  <c r="U27" i="21" s="1"/>
  <c r="O26" i="27"/>
  <c r="H132" i="22"/>
  <c r="M62" i="37" s="1"/>
  <c r="G212" i="22"/>
  <c r="L82" i="37" s="1"/>
  <c r="I132" i="22"/>
  <c r="N62" i="37" s="1"/>
  <c r="Q26" i="21"/>
  <c r="C312" i="9"/>
  <c r="C308" i="9"/>
  <c r="C213" i="9"/>
  <c r="C204" i="9"/>
  <c r="C105" i="9"/>
  <c r="C294" i="9"/>
  <c r="I107" i="9"/>
  <c r="I135" i="9"/>
  <c r="C135" i="9"/>
  <c r="C107" i="9"/>
  <c r="C30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222" i="9"/>
  <c r="C96" i="9"/>
  <c r="C97" i="9"/>
  <c r="C98" i="9"/>
  <c r="C99" i="9"/>
  <c r="C100" i="9"/>
  <c r="C101" i="9"/>
  <c r="C102" i="9"/>
  <c r="C103" i="9"/>
  <c r="C106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9" i="9"/>
  <c r="C200" i="9"/>
  <c r="C201" i="9"/>
  <c r="C202" i="9"/>
  <c r="C203" i="9"/>
  <c r="C205" i="9"/>
  <c r="C206" i="9"/>
  <c r="C207" i="9"/>
  <c r="C208" i="9"/>
  <c r="C209" i="9"/>
  <c r="C210" i="9"/>
  <c r="C211" i="9"/>
  <c r="C212" i="9"/>
  <c r="C214" i="9"/>
  <c r="C215" i="9"/>
  <c r="C216" i="9"/>
  <c r="C217" i="9"/>
  <c r="C218" i="9"/>
  <c r="C219" i="9"/>
  <c r="C220" i="9"/>
  <c r="C221" i="9"/>
  <c r="C223" i="9"/>
  <c r="C224" i="9"/>
  <c r="C225" i="9"/>
  <c r="C226" i="9"/>
  <c r="C227" i="9"/>
  <c r="C228" i="9"/>
  <c r="C229" i="9"/>
  <c r="C230" i="9"/>
  <c r="C231" i="9"/>
  <c r="C232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9" i="9"/>
  <c r="C310" i="9"/>
  <c r="C311" i="9"/>
  <c r="C313" i="9"/>
  <c r="C314" i="9"/>
  <c r="C315" i="9"/>
  <c r="C316" i="9"/>
  <c r="C317" i="9"/>
  <c r="C318" i="9"/>
  <c r="C319" i="9"/>
  <c r="C320" i="9"/>
  <c r="C321" i="9"/>
  <c r="C322" i="9"/>
  <c r="C323" i="9"/>
  <c r="C3" i="9"/>
  <c r="H320" i="9"/>
  <c r="D1" i="9"/>
  <c r="E1" i="9" s="1"/>
  <c r="F1" i="9" s="1"/>
  <c r="G1" i="9" s="1"/>
  <c r="M132" i="22"/>
  <c r="M230" i="22"/>
  <c r="R130" i="44"/>
  <c r="S130" i="44" s="1"/>
  <c r="R131" i="46"/>
  <c r="S131" i="46" s="1"/>
  <c r="R126" i="56"/>
  <c r="S126" i="56" s="1"/>
  <c r="R130" i="48"/>
  <c r="S130" i="48" s="1"/>
  <c r="R130" i="49"/>
  <c r="S130" i="49" s="1"/>
  <c r="R131" i="43"/>
  <c r="S131" i="43" s="1"/>
  <c r="R125" i="52"/>
  <c r="S125" i="52" s="1"/>
  <c r="R129" i="49"/>
  <c r="S129" i="49" s="1"/>
  <c r="R129" i="56"/>
  <c r="S129" i="56" s="1"/>
  <c r="S123" i="47"/>
  <c r="T123" i="47" s="1"/>
  <c r="S128" i="47"/>
  <c r="T128" i="47" s="1"/>
  <c r="S124" i="47"/>
  <c r="T124" i="47" s="1"/>
  <c r="S127" i="47"/>
  <c r="T127" i="47" s="1"/>
  <c r="S130" i="47"/>
  <c r="T130" i="47" s="1"/>
  <c r="S126" i="47"/>
  <c r="T126" i="47" s="1"/>
  <c r="R130" i="46"/>
  <c r="S130" i="46" s="1"/>
  <c r="R124" i="48"/>
  <c r="S124" i="48" s="1"/>
  <c r="R123" i="48"/>
  <c r="S123" i="48" s="1"/>
  <c r="R126" i="48"/>
  <c r="S126" i="48" s="1"/>
  <c r="R128" i="44"/>
  <c r="S128" i="44" s="1"/>
  <c r="R123" i="44"/>
  <c r="S123" i="44" s="1"/>
  <c r="R126" i="44"/>
  <c r="S126" i="44" s="1"/>
  <c r="R128" i="49"/>
  <c r="S128" i="49" s="1"/>
  <c r="R123" i="49"/>
  <c r="S123" i="49" s="1"/>
  <c r="R105" i="49"/>
  <c r="S105" i="49" s="1"/>
  <c r="R126" i="49"/>
  <c r="S126" i="49" s="1"/>
  <c r="R124" i="45"/>
  <c r="S124" i="45" s="1"/>
  <c r="R126" i="45"/>
  <c r="S126" i="45" s="1"/>
  <c r="R128" i="43"/>
  <c r="S128" i="43" s="1"/>
  <c r="R124" i="43"/>
  <c r="S124" i="43" s="1"/>
  <c r="R127" i="43"/>
  <c r="S127" i="43" s="1"/>
  <c r="R126" i="43"/>
  <c r="S126" i="43" s="1"/>
  <c r="R123" i="51"/>
  <c r="S123" i="51" s="1"/>
  <c r="R125" i="50"/>
  <c r="S125" i="50" s="1"/>
  <c r="R124" i="50"/>
  <c r="S124" i="50" s="1"/>
  <c r="R123" i="50"/>
  <c r="S123" i="50" s="1"/>
  <c r="R126" i="50"/>
  <c r="S126" i="50" s="1"/>
  <c r="R124" i="51"/>
  <c r="S124" i="51" s="1"/>
  <c r="R130" i="51"/>
  <c r="S130" i="51" s="1"/>
  <c r="R126" i="51"/>
  <c r="S126" i="51" s="1"/>
  <c r="R124" i="52"/>
  <c r="S124" i="52" s="1"/>
  <c r="R123" i="52"/>
  <c r="S123" i="52" s="1"/>
  <c r="R126" i="52"/>
  <c r="S126" i="52" s="1"/>
  <c r="R124" i="54"/>
  <c r="S124" i="54" s="1"/>
  <c r="R130" i="54"/>
  <c r="S130" i="54" s="1"/>
  <c r="R128" i="55"/>
  <c r="S128" i="55" s="1"/>
  <c r="R124" i="55"/>
  <c r="S124" i="55" s="1"/>
  <c r="R123" i="55"/>
  <c r="S123" i="55" s="1"/>
  <c r="R115" i="55"/>
  <c r="S115" i="55" s="1"/>
  <c r="R125" i="56"/>
  <c r="S125" i="56" s="1"/>
  <c r="R130" i="56"/>
  <c r="S130" i="56" s="1"/>
  <c r="U26" i="21" l="1"/>
  <c r="G13" i="29"/>
  <c r="AI42" i="37"/>
  <c r="AI229" i="37"/>
  <c r="AI16" i="37"/>
  <c r="AI174" i="37"/>
  <c r="AI315" i="37"/>
  <c r="M263" i="22"/>
  <c r="Q61" i="37"/>
  <c r="R61" i="37" s="1"/>
  <c r="M265" i="22"/>
  <c r="L323" i="22"/>
  <c r="K323" i="22"/>
  <c r="M272" i="22"/>
  <c r="M116" i="22"/>
  <c r="M271" i="22"/>
  <c r="M66" i="22"/>
  <c r="R195" i="37"/>
  <c r="AM229" i="16"/>
  <c r="AM225" i="16"/>
  <c r="M150" i="22"/>
  <c r="M189" i="22"/>
  <c r="AH230" i="37"/>
  <c r="O97" i="22" s="1"/>
  <c r="AI260" i="37"/>
  <c r="AI233" i="37"/>
  <c r="AI243" i="37"/>
  <c r="AI128" i="37"/>
  <c r="AI294" i="37"/>
  <c r="AI227" i="37"/>
  <c r="AI316" i="37"/>
  <c r="AI161" i="37"/>
  <c r="AI210" i="37"/>
  <c r="AI201" i="37"/>
  <c r="AI265" i="37"/>
  <c r="AI288" i="37"/>
  <c r="AI95" i="37"/>
  <c r="AI200" i="37"/>
  <c r="AI230" i="37"/>
  <c r="AI56" i="37"/>
  <c r="AI30" i="37"/>
  <c r="R137" i="37"/>
  <c r="M214" i="22"/>
  <c r="R140" i="37"/>
  <c r="R9" i="37"/>
  <c r="R168" i="37"/>
  <c r="R320" i="37"/>
  <c r="R222" i="37"/>
  <c r="R159" i="37"/>
  <c r="R298" i="37"/>
  <c r="R53" i="37"/>
  <c r="R136" i="37"/>
  <c r="R65" i="37"/>
  <c r="R129" i="37"/>
  <c r="R96" i="37"/>
  <c r="R108" i="37"/>
  <c r="R211" i="37"/>
  <c r="R258" i="37"/>
  <c r="R309" i="37"/>
  <c r="R218" i="37"/>
  <c r="R261" i="37"/>
  <c r="R132" i="37"/>
  <c r="R292" i="37"/>
  <c r="R24" i="37"/>
  <c r="R166" i="37"/>
  <c r="R25" i="37"/>
  <c r="R83" i="37"/>
  <c r="R69" i="37"/>
  <c r="R58" i="37"/>
  <c r="R185" i="37"/>
  <c r="R57" i="37"/>
  <c r="R202" i="37"/>
  <c r="R322" i="37"/>
  <c r="R75" i="37"/>
  <c r="R184" i="37"/>
  <c r="R182" i="37"/>
  <c r="R99" i="37"/>
  <c r="R307" i="37"/>
  <c r="R27" i="37"/>
  <c r="R106" i="37"/>
  <c r="R145" i="37"/>
  <c r="R287" i="37"/>
  <c r="R89" i="37"/>
  <c r="R306" i="37"/>
  <c r="R130" i="37"/>
  <c r="R311" i="37"/>
  <c r="R228" i="37"/>
  <c r="R325" i="37"/>
  <c r="R243" i="37"/>
  <c r="R240" i="37"/>
  <c r="R120" i="37"/>
  <c r="R116" i="37"/>
  <c r="R313" i="37"/>
  <c r="R190" i="37"/>
  <c r="R266" i="37"/>
  <c r="R199" i="37"/>
  <c r="R295" i="37"/>
  <c r="R257" i="37"/>
  <c r="R31" i="37"/>
  <c r="R36" i="37"/>
  <c r="R18" i="37"/>
  <c r="R22" i="37"/>
  <c r="M55" i="22"/>
  <c r="M78" i="22"/>
  <c r="AI129" i="37"/>
  <c r="AI296" i="37"/>
  <c r="AI204" i="37"/>
  <c r="AI214" i="37"/>
  <c r="AI226" i="37"/>
  <c r="AI317" i="37"/>
  <c r="AI53" i="37"/>
  <c r="AI39" i="37"/>
  <c r="AI253" i="37"/>
  <c r="AI289" i="37"/>
  <c r="AI269" i="37"/>
  <c r="R158" i="37"/>
  <c r="R231" i="37"/>
  <c r="M204" i="22"/>
  <c r="M181" i="22"/>
  <c r="R97" i="37"/>
  <c r="AM123" i="16"/>
  <c r="AM79" i="16"/>
  <c r="AM80" i="16"/>
  <c r="AM32" i="16"/>
  <c r="AM243" i="16"/>
  <c r="AM257" i="16"/>
  <c r="AM273" i="16"/>
  <c r="AM52" i="16"/>
  <c r="AM249" i="16"/>
  <c r="AM72" i="16"/>
  <c r="AM155" i="16"/>
  <c r="AM56" i="16"/>
  <c r="AM4" i="16"/>
  <c r="AM11" i="16"/>
  <c r="AM251" i="16"/>
  <c r="AM90" i="16"/>
  <c r="AM45" i="16"/>
  <c r="AM24" i="16"/>
  <c r="AM269" i="16"/>
  <c r="AM197" i="16"/>
  <c r="M51" i="22"/>
  <c r="M106" i="22"/>
  <c r="M139" i="22"/>
  <c r="M315" i="22"/>
  <c r="M86" i="22"/>
  <c r="M95" i="22"/>
  <c r="M247" i="22"/>
  <c r="M258" i="22"/>
  <c r="M191" i="22"/>
  <c r="M208" i="22"/>
  <c r="M122" i="22"/>
  <c r="M218" i="22"/>
  <c r="O1" i="47"/>
  <c r="Q1" i="47" s="1"/>
  <c r="R1" i="47" s="1"/>
  <c r="S1" i="47" s="1"/>
  <c r="T1" i="47" s="1"/>
  <c r="P1" i="47"/>
  <c r="M278" i="22"/>
  <c r="M310" i="22"/>
  <c r="M134" i="22"/>
  <c r="M115" i="22"/>
  <c r="A1" i="29"/>
  <c r="R110" i="52"/>
  <c r="S110" i="52" s="1"/>
  <c r="R113" i="52"/>
  <c r="S113" i="52" s="1"/>
  <c r="R122" i="48"/>
  <c r="S122" i="48" s="1"/>
  <c r="R113" i="46"/>
  <c r="S113" i="46" s="1"/>
  <c r="R109" i="50"/>
  <c r="S109" i="50" s="1"/>
  <c r="R120" i="50"/>
  <c r="S120" i="50" s="1"/>
  <c r="M313" i="22"/>
  <c r="R105" i="50"/>
  <c r="S105" i="50" s="1"/>
  <c r="M137" i="22"/>
  <c r="R115" i="45"/>
  <c r="S115" i="45" s="1"/>
  <c r="R120" i="52"/>
  <c r="S120" i="52" s="1"/>
  <c r="S101" i="47"/>
  <c r="T101" i="47" s="1"/>
  <c r="R123" i="45"/>
  <c r="S123" i="45" s="1"/>
  <c r="S108" i="47"/>
  <c r="T108" i="47" s="1"/>
  <c r="R118" i="54"/>
  <c r="S118" i="54" s="1"/>
  <c r="R125" i="44"/>
  <c r="S125" i="44" s="1"/>
  <c r="R98" i="46"/>
  <c r="S98" i="46" s="1"/>
  <c r="R102" i="46"/>
  <c r="S102" i="46" s="1"/>
  <c r="R102" i="54"/>
  <c r="S102" i="54" s="1"/>
  <c r="S99" i="47"/>
  <c r="T99" i="47" s="1"/>
  <c r="R112" i="43"/>
  <c r="S112" i="43" s="1"/>
  <c r="R120" i="46"/>
  <c r="S120" i="46" s="1"/>
  <c r="AH124" i="37"/>
  <c r="O11" i="22" s="1"/>
  <c r="AH157" i="37"/>
  <c r="O214" i="22" s="1"/>
  <c r="AH254" i="37"/>
  <c r="O234" i="22" s="1"/>
  <c r="AH82" i="37"/>
  <c r="O212" i="22" s="1"/>
  <c r="AH28" i="37"/>
  <c r="O43" i="22" s="1"/>
  <c r="AH151" i="37"/>
  <c r="O213" i="22" s="1"/>
  <c r="AH64" i="37"/>
  <c r="O143" i="22" s="1"/>
  <c r="AH305" i="37"/>
  <c r="O228" i="22" s="1"/>
  <c r="AH216" i="37"/>
  <c r="O27" i="22" s="1"/>
  <c r="AH197" i="37"/>
  <c r="O115" i="22" s="1"/>
  <c r="AH277" i="37"/>
  <c r="O202" i="22" s="1"/>
  <c r="AH219" i="37"/>
  <c r="O100" i="22" s="1"/>
  <c r="AH19" i="37"/>
  <c r="O318" i="22" s="1"/>
  <c r="M57" i="22"/>
  <c r="M186" i="22"/>
  <c r="M309" i="22"/>
  <c r="M176" i="22"/>
  <c r="M124" i="22"/>
  <c r="M98" i="22"/>
  <c r="M320" i="22"/>
  <c r="M70" i="22"/>
  <c r="M62" i="22"/>
  <c r="M135" i="22"/>
  <c r="M282" i="22"/>
  <c r="R282" i="37"/>
  <c r="R213" i="37"/>
  <c r="M319" i="22"/>
  <c r="M202" i="22"/>
  <c r="M300" i="22"/>
  <c r="M301" i="22"/>
  <c r="D1" i="22"/>
  <c r="R17" i="37"/>
  <c r="R288" i="37"/>
  <c r="R164" i="37"/>
  <c r="R64" i="37"/>
  <c r="R52" i="37"/>
  <c r="R95" i="37"/>
  <c r="M171" i="22"/>
  <c r="M182" i="22"/>
  <c r="M183" i="22"/>
  <c r="M30" i="22"/>
  <c r="M15" i="22"/>
  <c r="R304" i="37"/>
  <c r="R238" i="37"/>
  <c r="R90" i="37"/>
  <c r="R293" i="37"/>
  <c r="R316" i="37"/>
  <c r="M108" i="22"/>
  <c r="M18" i="22"/>
  <c r="M164" i="22"/>
  <c r="M274" i="22"/>
  <c r="M143" i="22"/>
  <c r="M54" i="22"/>
  <c r="M197" i="22"/>
  <c r="M231" i="22"/>
  <c r="M10" i="22"/>
  <c r="M48" i="22"/>
  <c r="M5" i="22"/>
  <c r="M269" i="22"/>
  <c r="M45" i="22"/>
  <c r="M281" i="22"/>
  <c r="R42" i="37"/>
  <c r="R113" i="37"/>
  <c r="R245" i="37"/>
  <c r="R248" i="37"/>
  <c r="R319" i="37"/>
  <c r="R312" i="37"/>
  <c r="R41" i="37"/>
  <c r="R197" i="37"/>
  <c r="R167" i="37"/>
  <c r="R226" i="37"/>
  <c r="R203" i="37"/>
  <c r="R7" i="37"/>
  <c r="R44" i="37"/>
  <c r="R272" i="37"/>
  <c r="R39" i="37"/>
  <c r="R260" i="37"/>
  <c r="R124" i="37"/>
  <c r="R242" i="37"/>
  <c r="R268" i="37"/>
  <c r="R32" i="37"/>
  <c r="R154" i="37"/>
  <c r="R174" i="37"/>
  <c r="R156" i="37"/>
  <c r="G14" i="29"/>
  <c r="R186" i="37"/>
  <c r="R153" i="37"/>
  <c r="R205" i="37"/>
  <c r="R152" i="37"/>
  <c r="M73" i="22"/>
  <c r="G60" i="22"/>
  <c r="L185" i="37" s="1"/>
  <c r="G309" i="22"/>
  <c r="L303" i="37" s="1"/>
  <c r="M64" i="22"/>
  <c r="M298" i="22"/>
  <c r="G95" i="22"/>
  <c r="L306" i="37" s="1"/>
  <c r="G203" i="22"/>
  <c r="L310" i="37" s="1"/>
  <c r="R141" i="37"/>
  <c r="G45" i="22"/>
  <c r="L211" i="37" s="1"/>
  <c r="M212" i="22"/>
  <c r="G108" i="22"/>
  <c r="L245" i="37" s="1"/>
  <c r="G137" i="22"/>
  <c r="L22" i="37" s="1"/>
  <c r="R99" i="50"/>
  <c r="S99" i="50" s="1"/>
  <c r="R102" i="56"/>
  <c r="S102" i="56" s="1"/>
  <c r="R131" i="56"/>
  <c r="S131" i="56" s="1"/>
  <c r="N131" i="56"/>
  <c r="R104" i="43"/>
  <c r="S104" i="43" s="1"/>
  <c r="R128" i="56"/>
  <c r="S128" i="56" s="1"/>
  <c r="N128" i="56"/>
  <c r="R118" i="56"/>
  <c r="S118" i="56" s="1"/>
  <c r="R127" i="56"/>
  <c r="S127" i="56" s="1"/>
  <c r="N127" i="56"/>
  <c r="R130" i="50"/>
  <c r="S130" i="50" s="1"/>
  <c r="R102" i="49"/>
  <c r="S102" i="49" s="1"/>
  <c r="R110" i="46"/>
  <c r="S110" i="46" s="1"/>
  <c r="R118" i="49"/>
  <c r="S118" i="49" s="1"/>
  <c r="R126" i="46"/>
  <c r="S126" i="46" s="1"/>
  <c r="AH192" i="37"/>
  <c r="O306" i="22" s="1"/>
  <c r="AH180" i="37"/>
  <c r="O82" i="22" s="1"/>
  <c r="AH142" i="37"/>
  <c r="O165" i="22" s="1"/>
  <c r="R300" i="37"/>
  <c r="AH117" i="37"/>
  <c r="O290" i="22" s="1"/>
  <c r="AH108" i="37"/>
  <c r="O191" i="22" s="1"/>
  <c r="AH287" i="37"/>
  <c r="O169" i="22" s="1"/>
  <c r="R180" i="37"/>
  <c r="R265" i="37"/>
  <c r="N120" i="22"/>
  <c r="M215" i="22"/>
  <c r="M229" i="22"/>
  <c r="M198" i="22"/>
  <c r="M200" i="22"/>
  <c r="R239" i="37"/>
  <c r="R177" i="37"/>
  <c r="R318" i="37"/>
  <c r="R217" i="37"/>
  <c r="R101" i="37"/>
  <c r="M25" i="22"/>
  <c r="M9" i="22"/>
  <c r="M44" i="22"/>
  <c r="M311" i="22"/>
  <c r="R290" i="37"/>
  <c r="R220" i="37"/>
  <c r="R84" i="37"/>
  <c r="M131" i="22"/>
  <c r="M12" i="22"/>
  <c r="R176" i="37"/>
  <c r="R92" i="37"/>
  <c r="M26" i="22"/>
  <c r="M121" i="22"/>
  <c r="M194" i="22"/>
  <c r="M4" i="22"/>
  <c r="R208" i="37"/>
  <c r="R281" i="37"/>
  <c r="R66" i="37"/>
  <c r="R275" i="37"/>
  <c r="R219" i="37"/>
  <c r="R163" i="37"/>
  <c r="R138" i="37"/>
  <c r="R117" i="51"/>
  <c r="S117" i="51" s="1"/>
  <c r="N117" i="51"/>
  <c r="R127" i="52"/>
  <c r="S127" i="52" s="1"/>
  <c r="N127" i="52"/>
  <c r="R102" i="44"/>
  <c r="S102" i="44" s="1"/>
  <c r="R100" i="44"/>
  <c r="S100" i="44" s="1"/>
  <c r="R105" i="45"/>
  <c r="S105" i="45" s="1"/>
  <c r="R97" i="51"/>
  <c r="S97" i="51" s="1"/>
  <c r="N97" i="51"/>
  <c r="R118" i="44"/>
  <c r="S118" i="44" s="1"/>
  <c r="R113" i="44"/>
  <c r="S113" i="44" s="1"/>
  <c r="R129" i="51"/>
  <c r="S129" i="51" s="1"/>
  <c r="N129" i="51"/>
  <c r="R104" i="51"/>
  <c r="S104" i="51" s="1"/>
  <c r="N104" i="51"/>
  <c r="R116" i="51"/>
  <c r="S116" i="51" s="1"/>
  <c r="N116" i="51"/>
  <c r="R112" i="51"/>
  <c r="S112" i="51" s="1"/>
  <c r="N112" i="51"/>
  <c r="R125" i="51"/>
  <c r="S125" i="51" s="1"/>
  <c r="N125" i="51"/>
  <c r="R104" i="45"/>
  <c r="S104" i="45" s="1"/>
  <c r="S110" i="47"/>
  <c r="T110" i="47" s="1"/>
  <c r="R108" i="51"/>
  <c r="S108" i="51" s="1"/>
  <c r="N108" i="51"/>
  <c r="R131" i="52"/>
  <c r="S131" i="52" s="1"/>
  <c r="N131" i="52"/>
  <c r="R130" i="52"/>
  <c r="S130" i="52" s="1"/>
  <c r="N130" i="52"/>
  <c r="R99" i="43"/>
  <c r="S99" i="43" s="1"/>
  <c r="R129" i="52"/>
  <c r="S129" i="52" s="1"/>
  <c r="N129" i="52"/>
  <c r="AH131" i="37"/>
  <c r="O303" i="22" s="1"/>
  <c r="R107" i="56"/>
  <c r="S107" i="56" s="1"/>
  <c r="R113" i="55"/>
  <c r="S113" i="55" s="1"/>
  <c r="R122" i="55"/>
  <c r="S122" i="55" s="1"/>
  <c r="R102" i="55"/>
  <c r="S102" i="55" s="1"/>
  <c r="R125" i="55"/>
  <c r="S125" i="55" s="1"/>
  <c r="R97" i="55"/>
  <c r="S97" i="55" s="1"/>
  <c r="R126" i="55"/>
  <c r="S126" i="55" s="1"/>
  <c r="R131" i="55"/>
  <c r="S131" i="55" s="1"/>
  <c r="R118" i="55"/>
  <c r="S118" i="55" s="1"/>
  <c r="R129" i="55"/>
  <c r="S129" i="55" s="1"/>
  <c r="R127" i="55"/>
  <c r="S127" i="55" s="1"/>
  <c r="R122" i="54"/>
  <c r="S122" i="54" s="1"/>
  <c r="R131" i="54"/>
  <c r="S131" i="54" s="1"/>
  <c r="R105" i="54"/>
  <c r="S105" i="54" s="1"/>
  <c r="R129" i="54"/>
  <c r="S129" i="54" s="1"/>
  <c r="R116" i="54"/>
  <c r="S116" i="54" s="1"/>
  <c r="R101" i="54"/>
  <c r="S101" i="54" s="1"/>
  <c r="R128" i="54"/>
  <c r="S128" i="54" s="1"/>
  <c r="R127" i="54"/>
  <c r="S127" i="54" s="1"/>
  <c r="R117" i="54"/>
  <c r="S117" i="54" s="1"/>
  <c r="R100" i="54"/>
  <c r="S100" i="54" s="1"/>
  <c r="R128" i="52"/>
  <c r="S128" i="52" s="1"/>
  <c r="R110" i="51"/>
  <c r="S110" i="51" s="1"/>
  <c r="R129" i="50"/>
  <c r="S129" i="50" s="1"/>
  <c r="N129" i="50"/>
  <c r="R117" i="50"/>
  <c r="S117" i="50" s="1"/>
  <c r="N117" i="50"/>
  <c r="R128" i="50"/>
  <c r="S128" i="50" s="1"/>
  <c r="N128" i="50"/>
  <c r="N106" i="50"/>
  <c r="R127" i="50"/>
  <c r="S127" i="50" s="1"/>
  <c r="N127" i="50"/>
  <c r="N113" i="50"/>
  <c r="N107" i="50"/>
  <c r="R131" i="50"/>
  <c r="S131" i="50" s="1"/>
  <c r="N131" i="50"/>
  <c r="R129" i="43"/>
  <c r="S129" i="43" s="1"/>
  <c r="N129" i="43"/>
  <c r="R121" i="43"/>
  <c r="S121" i="43" s="1"/>
  <c r="R125" i="43"/>
  <c r="S125" i="43" s="1"/>
  <c r="N125" i="43"/>
  <c r="N106" i="43"/>
  <c r="R111" i="43"/>
  <c r="S111" i="43" s="1"/>
  <c r="N111" i="43"/>
  <c r="R123" i="43"/>
  <c r="S123" i="43" s="1"/>
  <c r="N123" i="43"/>
  <c r="R119" i="43"/>
  <c r="S119" i="43" s="1"/>
  <c r="N119" i="43"/>
  <c r="R105" i="43"/>
  <c r="S105" i="43" s="1"/>
  <c r="N105" i="43"/>
  <c r="N121" i="45"/>
  <c r="N114" i="45"/>
  <c r="N111" i="45"/>
  <c r="R129" i="45"/>
  <c r="S129" i="45" s="1"/>
  <c r="N129" i="45"/>
  <c r="R128" i="45"/>
  <c r="S128" i="45" s="1"/>
  <c r="N128" i="45"/>
  <c r="R127" i="45"/>
  <c r="S127" i="45" s="1"/>
  <c r="N127" i="45"/>
  <c r="R131" i="49"/>
  <c r="S131" i="49" s="1"/>
  <c r="N131" i="49"/>
  <c r="R127" i="49"/>
  <c r="S127" i="49" s="1"/>
  <c r="N127" i="49"/>
  <c r="N106" i="49"/>
  <c r="N113" i="49"/>
  <c r="N107" i="49"/>
  <c r="N119" i="44"/>
  <c r="R122" i="44"/>
  <c r="S122" i="44" s="1"/>
  <c r="N121" i="44"/>
  <c r="R131" i="44"/>
  <c r="S131" i="44" s="1"/>
  <c r="N131" i="44"/>
  <c r="N114" i="44"/>
  <c r="N111" i="44"/>
  <c r="R127" i="44"/>
  <c r="S127" i="44" s="1"/>
  <c r="N127" i="44"/>
  <c r="R131" i="48"/>
  <c r="S131" i="48" s="1"/>
  <c r="N131" i="48"/>
  <c r="R127" i="48"/>
  <c r="S127" i="48" s="1"/>
  <c r="N127" i="48"/>
  <c r="R102" i="48"/>
  <c r="S102" i="48" s="1"/>
  <c r="R113" i="48"/>
  <c r="S113" i="48" s="1"/>
  <c r="R118" i="48"/>
  <c r="S118" i="48" s="1"/>
  <c r="N111" i="48"/>
  <c r="R111" i="46"/>
  <c r="S111" i="46" s="1"/>
  <c r="N111" i="46"/>
  <c r="R129" i="46"/>
  <c r="S129" i="46" s="1"/>
  <c r="N129" i="46"/>
  <c r="R125" i="46"/>
  <c r="S125" i="46" s="1"/>
  <c r="R128" i="46"/>
  <c r="S128" i="46" s="1"/>
  <c r="N128" i="46"/>
  <c r="N114" i="46"/>
  <c r="R106" i="46"/>
  <c r="S106" i="46" s="1"/>
  <c r="N106" i="46"/>
  <c r="R127" i="46"/>
  <c r="S127" i="46" s="1"/>
  <c r="N127" i="46"/>
  <c r="R99" i="45"/>
  <c r="S99" i="45" s="1"/>
  <c r="S114" i="47"/>
  <c r="T114" i="47" s="1"/>
  <c r="N114" i="47"/>
  <c r="R101" i="45"/>
  <c r="S101" i="45" s="1"/>
  <c r="S97" i="47"/>
  <c r="T97" i="47" s="1"/>
  <c r="N97" i="47"/>
  <c r="R112" i="45"/>
  <c r="S112" i="45" s="1"/>
  <c r="S129" i="47"/>
  <c r="T129" i="47" s="1"/>
  <c r="N129" i="47"/>
  <c r="S119" i="47"/>
  <c r="T119" i="47" s="1"/>
  <c r="N119" i="47"/>
  <c r="S120" i="47"/>
  <c r="T120" i="47" s="1"/>
  <c r="S125" i="47"/>
  <c r="T125" i="47" s="1"/>
  <c r="N125" i="47"/>
  <c r="S115" i="47"/>
  <c r="T115" i="47" s="1"/>
  <c r="N115" i="47"/>
  <c r="S109" i="47"/>
  <c r="T109" i="47" s="1"/>
  <c r="R124" i="44"/>
  <c r="S124" i="44" s="1"/>
  <c r="R129" i="48"/>
  <c r="S129" i="48" s="1"/>
  <c r="R123" i="46"/>
  <c r="S123" i="46" s="1"/>
  <c r="R124" i="46"/>
  <c r="S124" i="46" s="1"/>
  <c r="R51" i="37"/>
  <c r="M276" i="22"/>
  <c r="R28" i="37"/>
  <c r="M256" i="22"/>
  <c r="R128" i="37"/>
  <c r="M285" i="22"/>
  <c r="M240" i="22"/>
  <c r="M52" i="22"/>
  <c r="M68" i="22"/>
  <c r="M20" i="22"/>
  <c r="M273" i="22"/>
  <c r="M286" i="22"/>
  <c r="M141" i="22"/>
  <c r="M33" i="22"/>
  <c r="G192" i="22"/>
  <c r="L235" i="37" s="1"/>
  <c r="F108" i="22"/>
  <c r="K245" i="37" s="1"/>
  <c r="G250" i="22"/>
  <c r="L241" i="37" s="1"/>
  <c r="I36" i="22"/>
  <c r="N271" i="37" s="1"/>
  <c r="G51" i="22"/>
  <c r="L269" i="37" s="1"/>
  <c r="I295" i="22"/>
  <c r="N72" i="37" s="1"/>
  <c r="G217" i="22"/>
  <c r="L270" i="37" s="1"/>
  <c r="I240" i="22"/>
  <c r="N45" i="37" s="1"/>
  <c r="G150" i="22"/>
  <c r="L137" i="37" s="1"/>
  <c r="F99" i="22"/>
  <c r="K321" i="37" s="1"/>
  <c r="F140" i="22"/>
  <c r="K115" i="37" s="1"/>
  <c r="F16" i="22"/>
  <c r="K209" i="37" s="1"/>
  <c r="F265" i="22"/>
  <c r="K121" i="37" s="1"/>
  <c r="F86" i="22"/>
  <c r="K71" i="37" s="1"/>
  <c r="F33" i="22"/>
  <c r="K81" i="37" s="1"/>
  <c r="F322" i="22"/>
  <c r="K178" i="37" s="1"/>
  <c r="F98" i="22"/>
  <c r="K261" i="37" s="1"/>
  <c r="F62" i="22"/>
  <c r="K32" i="37" s="1"/>
  <c r="F135" i="22"/>
  <c r="K18" i="37" s="1"/>
  <c r="F136" i="22"/>
  <c r="K155" i="37" s="1"/>
  <c r="F21" i="22"/>
  <c r="K175" i="37" s="1"/>
  <c r="F12" i="22"/>
  <c r="K200" i="37" s="1"/>
  <c r="F25" i="22"/>
  <c r="K27" i="37" s="1"/>
  <c r="F297" i="22"/>
  <c r="K252" i="37" s="1"/>
  <c r="F170" i="22"/>
  <c r="K150" i="37" s="1"/>
  <c r="F280" i="22"/>
  <c r="K214" i="37" s="1"/>
  <c r="F202" i="22"/>
  <c r="K277" i="37" s="1"/>
  <c r="F55" i="22"/>
  <c r="K30" i="37" s="1"/>
  <c r="F183" i="22"/>
  <c r="K244" i="37" s="1"/>
  <c r="F171" i="22"/>
  <c r="K238" i="37" s="1"/>
  <c r="F6" i="22"/>
  <c r="K56" i="37" s="1"/>
  <c r="F112" i="22"/>
  <c r="K323" i="37" s="1"/>
  <c r="F30" i="22"/>
  <c r="K325" i="37" s="1"/>
  <c r="F287" i="22"/>
  <c r="K222" i="37" s="1"/>
  <c r="F174" i="22"/>
  <c r="K144" i="37" s="1"/>
  <c r="F15" i="22"/>
  <c r="K304" i="37" s="1"/>
  <c r="F89" i="22"/>
  <c r="K88" i="37" s="1"/>
  <c r="F290" i="22"/>
  <c r="K117" i="37" s="1"/>
  <c r="F210" i="22"/>
  <c r="K50" i="37" s="1"/>
  <c r="F142" i="22"/>
  <c r="K53" i="37" s="1"/>
  <c r="F182" i="22"/>
  <c r="K207" i="37" s="1"/>
  <c r="F219" i="22"/>
  <c r="K123" i="37" s="1"/>
  <c r="F255" i="22"/>
  <c r="K111" i="37" s="1"/>
  <c r="F145" i="22"/>
  <c r="K68" i="37" s="1"/>
  <c r="F299" i="22"/>
  <c r="K106" i="37" s="1"/>
  <c r="F237" i="22"/>
  <c r="K259" i="37" s="1"/>
  <c r="F87" i="22"/>
  <c r="K258" i="37" s="1"/>
  <c r="F155" i="22"/>
  <c r="K84" i="37" s="1"/>
  <c r="F246" i="22"/>
  <c r="K162" i="37" s="1"/>
  <c r="F208" i="22"/>
  <c r="K79" i="37" s="1"/>
  <c r="F195" i="22"/>
  <c r="K23" i="37" s="1"/>
  <c r="F165" i="22"/>
  <c r="K142" i="37" s="1"/>
  <c r="F17" i="22"/>
  <c r="K49" i="37" s="1"/>
  <c r="F293" i="22"/>
  <c r="K10" i="37" s="1"/>
  <c r="F198" i="22"/>
  <c r="K221" i="37" s="1"/>
  <c r="F130" i="22"/>
  <c r="K38" i="37" s="1"/>
  <c r="F226" i="22"/>
  <c r="K284" i="37" s="1"/>
  <c r="F79" i="22"/>
  <c r="K26" i="37" s="1"/>
  <c r="F90" i="22"/>
  <c r="K46" i="37" s="1"/>
  <c r="F241" i="22"/>
  <c r="K37" i="37" s="1"/>
  <c r="F147" i="22"/>
  <c r="K119" i="37" s="1"/>
  <c r="F97" i="22"/>
  <c r="K230" i="37" s="1"/>
  <c r="F316" i="22"/>
  <c r="K8" i="37" s="1"/>
  <c r="F258" i="22"/>
  <c r="K122" i="37" s="1"/>
  <c r="F271" i="22"/>
  <c r="K274" i="37" s="1"/>
  <c r="F151" i="22"/>
  <c r="K247" i="37" s="1"/>
  <c r="F284" i="22"/>
  <c r="K102" i="37" s="1"/>
  <c r="F257" i="22"/>
  <c r="K152" i="37" s="1"/>
  <c r="F184" i="22"/>
  <c r="K93" i="37" s="1"/>
  <c r="F221" i="22"/>
  <c r="K105" i="37" s="1"/>
  <c r="F61" i="22"/>
  <c r="K51" i="37" s="1"/>
  <c r="F166" i="22"/>
  <c r="K94" i="37" s="1"/>
  <c r="F133" i="22"/>
  <c r="K266" i="37" s="1"/>
  <c r="F146" i="22"/>
  <c r="K40" i="37" s="1"/>
  <c r="F149" i="22"/>
  <c r="K54" i="37" s="1"/>
  <c r="F8" i="22"/>
  <c r="K179" i="37" s="1"/>
  <c r="F249" i="22"/>
  <c r="K204" i="37" s="1"/>
  <c r="F213" i="22"/>
  <c r="K151" i="37" s="1"/>
  <c r="F38" i="22"/>
  <c r="K240" i="37" s="1"/>
  <c r="F260" i="22"/>
  <c r="K189" i="37" s="1"/>
  <c r="F27" i="22"/>
  <c r="K216" i="37" s="1"/>
  <c r="F153" i="22"/>
  <c r="K134" i="37" s="1"/>
  <c r="F116" i="22"/>
  <c r="K6" i="37" s="1"/>
  <c r="F228" i="22"/>
  <c r="K305" i="37" s="1"/>
  <c r="F282" i="22"/>
  <c r="K33" i="37" s="1"/>
  <c r="F218" i="22"/>
  <c r="K140" i="37" s="1"/>
  <c r="F162" i="22"/>
  <c r="K25" i="37" s="1"/>
  <c r="F252" i="22"/>
  <c r="K264" i="37" s="1"/>
  <c r="F262" i="22"/>
  <c r="K107" i="37" s="1"/>
  <c r="F46" i="22"/>
  <c r="K31" i="37" s="1"/>
  <c r="F263" i="22"/>
  <c r="K61" i="37" s="1"/>
  <c r="F281" i="22"/>
  <c r="K11" i="37" s="1"/>
  <c r="F48" i="22"/>
  <c r="K73" i="37" s="1"/>
  <c r="F205" i="22"/>
  <c r="K262" i="37" s="1"/>
  <c r="F239" i="22"/>
  <c r="K314" i="37" s="1"/>
  <c r="F225" i="22"/>
  <c r="K315" i="37" s="1"/>
  <c r="F66" i="22"/>
  <c r="K9" i="37" s="1"/>
  <c r="F186" i="22"/>
  <c r="K78" i="37" s="1"/>
  <c r="F176" i="22"/>
  <c r="K225" i="37" s="1"/>
  <c r="F159" i="22"/>
  <c r="K125" i="37" s="1"/>
  <c r="F279" i="22"/>
  <c r="K255" i="37" s="1"/>
  <c r="F200" i="22"/>
  <c r="K307" i="37" s="1"/>
  <c r="F266" i="22"/>
  <c r="K183" i="37" s="1"/>
  <c r="F321" i="22"/>
  <c r="K169" i="37" s="1"/>
  <c r="F157" i="22"/>
  <c r="K206" i="37" s="1"/>
  <c r="F63" i="22"/>
  <c r="K118" i="37" s="1"/>
  <c r="F114" i="22"/>
  <c r="K14" i="37" s="1"/>
  <c r="F206" i="22"/>
  <c r="K253" i="37" s="1"/>
  <c r="F56" i="22"/>
  <c r="K63" i="37" s="1"/>
  <c r="F161" i="22"/>
  <c r="K165" i="37" s="1"/>
  <c r="F220" i="22"/>
  <c r="K289" i="37" s="1"/>
  <c r="F320" i="22"/>
  <c r="K44" i="37" s="1"/>
  <c r="F190" i="22"/>
  <c r="K143" i="37" s="1"/>
  <c r="F74" i="22"/>
  <c r="K233" i="37" s="1"/>
  <c r="F73" i="22"/>
  <c r="K205" i="37" s="1"/>
  <c r="F194" i="22"/>
  <c r="K318" i="37" s="1"/>
  <c r="F311" i="22"/>
  <c r="K153" i="37" s="1"/>
  <c r="F11" i="22"/>
  <c r="K124" i="37" s="1"/>
  <c r="F172" i="22"/>
  <c r="K229" i="37" s="1"/>
  <c r="F177" i="22"/>
  <c r="K85" i="37" s="1"/>
  <c r="F229" i="22"/>
  <c r="K141" i="37" s="1"/>
  <c r="F39" i="22"/>
  <c r="K75" i="37" s="1"/>
  <c r="F294" i="22"/>
  <c r="K171" i="37" s="1"/>
  <c r="F109" i="22"/>
  <c r="K301" i="37" s="1"/>
  <c r="F125" i="22"/>
  <c r="K256" i="37" s="1"/>
  <c r="F312" i="22"/>
  <c r="K12" i="37" s="1"/>
  <c r="F188" i="22"/>
  <c r="K43" i="37" s="1"/>
  <c r="F120" i="22"/>
  <c r="K86" i="37" s="1"/>
  <c r="F234" i="22"/>
  <c r="K254" i="37" s="1"/>
  <c r="F70" i="22"/>
  <c r="K308" i="37" s="1"/>
  <c r="F57" i="22"/>
  <c r="K148" i="37" s="1"/>
  <c r="F122" i="22"/>
  <c r="K67" i="37" s="1"/>
  <c r="F169" i="22"/>
  <c r="K287" i="37" s="1"/>
  <c r="F91" i="22"/>
  <c r="K48" i="37" s="1"/>
  <c r="F191" i="22"/>
  <c r="K108" i="37" s="1"/>
  <c r="F215" i="22"/>
  <c r="K251" i="37" s="1"/>
  <c r="F298" i="22"/>
  <c r="K147" i="37" s="1"/>
  <c r="F223" i="22"/>
  <c r="K110" i="37" s="1"/>
  <c r="F93" i="22"/>
  <c r="K198" i="37" s="1"/>
  <c r="F253" i="22"/>
  <c r="K212" i="37" s="1"/>
  <c r="F67" i="22"/>
  <c r="K36" i="37" s="1"/>
  <c r="F238" i="22"/>
  <c r="K281" i="37" s="1"/>
  <c r="F82" i="22"/>
  <c r="K180" i="37" s="1"/>
  <c r="F35" i="22"/>
  <c r="K313" i="37" s="1"/>
  <c r="F235" i="22"/>
  <c r="K166" i="37" s="1"/>
  <c r="F111" i="22"/>
  <c r="K324" i="37" s="1"/>
  <c r="F292" i="22"/>
  <c r="K42" i="37" s="1"/>
  <c r="F185" i="22"/>
  <c r="K58" i="37" s="1"/>
  <c r="F18" i="22"/>
  <c r="K52" i="37" s="1"/>
  <c r="F143" i="22"/>
  <c r="K64" i="37" s="1"/>
  <c r="F164" i="22"/>
  <c r="K24" i="37" s="1"/>
  <c r="F168" i="22"/>
  <c r="K15" i="37" s="1"/>
  <c r="F251" i="22"/>
  <c r="K196" i="37" s="1"/>
  <c r="F197" i="22"/>
  <c r="K292" i="37" s="1"/>
  <c r="F10" i="22"/>
  <c r="K288" i="37" s="1"/>
  <c r="F180" i="22"/>
  <c r="K132" i="37" s="1"/>
  <c r="F29" i="22"/>
  <c r="K114" i="37" s="1"/>
  <c r="F318" i="22"/>
  <c r="K19" i="37" s="1"/>
  <c r="F31" i="22"/>
  <c r="K7" i="37" s="1"/>
  <c r="F60" i="22"/>
  <c r="K185" i="37" s="1"/>
  <c r="F256" i="22"/>
  <c r="K65" i="37" s="1"/>
  <c r="F269" i="22"/>
  <c r="K322" i="37" s="1"/>
  <c r="F276" i="22"/>
  <c r="K116" i="37" s="1"/>
  <c r="F129" i="22"/>
  <c r="K136" i="37" s="1"/>
  <c r="F259" i="22"/>
  <c r="K202" i="37" s="1"/>
  <c r="F152" i="22"/>
  <c r="K29" i="37" s="1"/>
  <c r="F216" i="22"/>
  <c r="K285" i="37" s="1"/>
  <c r="F270" i="22"/>
  <c r="K298" i="37" s="1"/>
  <c r="F304" i="22"/>
  <c r="K146" i="37" s="1"/>
  <c r="F103" i="22"/>
  <c r="K299" i="37" s="1"/>
  <c r="F196" i="22"/>
  <c r="K283" i="37" s="1"/>
  <c r="F199" i="22"/>
  <c r="K246" i="37" s="1"/>
  <c r="F84" i="22"/>
  <c r="K127" i="37" s="1"/>
  <c r="F308" i="22"/>
  <c r="K190" i="37" s="1"/>
  <c r="F264" i="22"/>
  <c r="K96" i="37" s="1"/>
  <c r="F24" i="22"/>
  <c r="K265" i="37" s="1"/>
  <c r="F7" i="22"/>
  <c r="K126" i="37" s="1"/>
  <c r="F178" i="22"/>
  <c r="K34" i="37" s="1"/>
  <c r="F128" i="22"/>
  <c r="K195" i="37" s="1"/>
  <c r="F156" i="22"/>
  <c r="K243" i="37" s="1"/>
  <c r="F49" i="22"/>
  <c r="K13" i="37" s="1"/>
  <c r="F37" i="22"/>
  <c r="K309" i="37" s="1"/>
  <c r="F69" i="22"/>
  <c r="K112" i="37" s="1"/>
  <c r="F22" i="22"/>
  <c r="K234" i="37" s="1"/>
  <c r="F289" i="22"/>
  <c r="K267" i="37" s="1"/>
  <c r="F305" i="22"/>
  <c r="K158" i="37" s="1"/>
  <c r="F85" i="22"/>
  <c r="K170" i="37" s="1"/>
  <c r="F254" i="22"/>
  <c r="K159" i="37" s="1"/>
  <c r="F138" i="22"/>
  <c r="K103" i="37" s="1"/>
  <c r="F32" i="22"/>
  <c r="K228" i="37" s="1"/>
  <c r="F104" i="22"/>
  <c r="K250" i="37" s="1"/>
  <c r="F236" i="22"/>
  <c r="K193" i="37" s="1"/>
  <c r="F158" i="22"/>
  <c r="K237" i="37" s="1"/>
  <c r="F101" i="22"/>
  <c r="K320" i="37" s="1"/>
  <c r="F302" i="22"/>
  <c r="K57" i="37" s="1"/>
  <c r="F72" i="22"/>
  <c r="K97" i="37" s="1"/>
  <c r="F291" i="22"/>
  <c r="K168" i="37" s="1"/>
  <c r="F201" i="22"/>
  <c r="K302" i="37" s="1"/>
  <c r="F127" i="22"/>
  <c r="K300" i="37" s="1"/>
  <c r="F296" i="22"/>
  <c r="K199" i="37" s="1"/>
  <c r="F50" i="22"/>
  <c r="K74" i="37" s="1"/>
  <c r="F317" i="22"/>
  <c r="K186" i="37" s="1"/>
  <c r="F34" i="22"/>
  <c r="K242" i="37" s="1"/>
  <c r="F110" i="22"/>
  <c r="K295" i="37" s="1"/>
  <c r="F283" i="22"/>
  <c r="K16" i="37" s="1"/>
  <c r="F211" i="22"/>
  <c r="K80" i="37" s="1"/>
  <c r="F245" i="22"/>
  <c r="K311" i="37" s="1"/>
  <c r="F160" i="22"/>
  <c r="K139" i="37" s="1"/>
  <c r="F23" i="22"/>
  <c r="K161" i="37" s="1"/>
  <c r="F154" i="22"/>
  <c r="K172" i="37" s="1"/>
  <c r="F43" i="22"/>
  <c r="K28" i="37" s="1"/>
  <c r="F261" i="22"/>
  <c r="K70" i="37" s="1"/>
  <c r="F83" i="22"/>
  <c r="K35" i="37" s="1"/>
  <c r="F248" i="22"/>
  <c r="K291" i="37" s="1"/>
  <c r="F123" i="22"/>
  <c r="K273" i="37" s="1"/>
  <c r="F187" i="22"/>
  <c r="K160" i="37" s="1"/>
  <c r="F14" i="22"/>
  <c r="K268" i="37" s="1"/>
  <c r="F105" i="22"/>
  <c r="K210" i="37" s="1"/>
  <c r="F40" i="22"/>
  <c r="K76" i="37" s="1"/>
  <c r="F277" i="22"/>
  <c r="K113" i="37" s="1"/>
  <c r="F275" i="22"/>
  <c r="K194" i="37" s="1"/>
  <c r="F303" i="22"/>
  <c r="K131" i="37" s="1"/>
  <c r="F179" i="22"/>
  <c r="K156" i="37" s="1"/>
  <c r="F19" i="22"/>
  <c r="K174" i="37" s="1"/>
  <c r="F92" i="22"/>
  <c r="K154" i="37" s="1"/>
  <c r="F88" i="22"/>
  <c r="K182" i="37" s="1"/>
  <c r="F96" i="22"/>
  <c r="K319" i="37" s="1"/>
  <c r="F119" i="22"/>
  <c r="K87" i="37" s="1"/>
  <c r="F175" i="22"/>
  <c r="K201" i="37" s="1"/>
  <c r="F314" i="22"/>
  <c r="K279" i="37" s="1"/>
  <c r="F59" i="22"/>
  <c r="K316" i="37" s="1"/>
  <c r="F227" i="22"/>
  <c r="K293" i="37" s="1"/>
  <c r="F173" i="22"/>
  <c r="K104" i="37" s="1"/>
  <c r="F102" i="22"/>
  <c r="K208" i="37" s="1"/>
  <c r="F222" i="22"/>
  <c r="K90" i="37" s="1"/>
  <c r="F231" i="22"/>
  <c r="K69" i="37" s="1"/>
  <c r="F319" i="22"/>
  <c r="K213" i="37" s="1"/>
  <c r="F47" i="22"/>
  <c r="K282" i="37" s="1"/>
  <c r="F300" i="22"/>
  <c r="K83" i="37" s="1"/>
  <c r="F242" i="22"/>
  <c r="K236" i="37" s="1"/>
  <c r="F52" i="22"/>
  <c r="K163" i="37" s="1"/>
  <c r="F132" i="22"/>
  <c r="K62" i="37" s="1"/>
  <c r="F244" i="22"/>
  <c r="K272" i="37" s="1"/>
  <c r="F42" i="22"/>
  <c r="K297" i="37" s="1"/>
  <c r="F230" i="22"/>
  <c r="K296" i="37" s="1"/>
  <c r="F94" i="22"/>
  <c r="K184" i="37" s="1"/>
  <c r="F53" i="22"/>
  <c r="K135" i="37" s="1"/>
  <c r="F77" i="22"/>
  <c r="K187" i="37" s="1"/>
  <c r="F54" i="22"/>
  <c r="K95" i="37" s="1"/>
  <c r="F65" i="22"/>
  <c r="K223" i="37" s="1"/>
  <c r="F313" i="22"/>
  <c r="K263" i="37" s="1"/>
  <c r="F204" i="22"/>
  <c r="K218" i="37" s="1"/>
  <c r="F181" i="22"/>
  <c r="K145" i="37" s="1"/>
  <c r="F233" i="22"/>
  <c r="K257" i="37" s="1"/>
  <c r="F117" i="22"/>
  <c r="K133" i="37" s="1"/>
  <c r="F76" i="22"/>
  <c r="K98" i="37" s="1"/>
  <c r="F214" i="22"/>
  <c r="K157" i="37" s="1"/>
  <c r="F107" i="22"/>
  <c r="K101" i="37" s="1"/>
  <c r="F240" i="22"/>
  <c r="K45" i="37" s="1"/>
  <c r="F68" i="22"/>
  <c r="K92" i="37" s="1"/>
  <c r="F141" i="22"/>
  <c r="K138" i="37" s="1"/>
  <c r="F307" i="22"/>
  <c r="K220" i="37" s="1"/>
  <c r="F295" i="22"/>
  <c r="K72" i="37" s="1"/>
  <c r="F243" i="22"/>
  <c r="K217" i="37" s="1"/>
  <c r="F285" i="22"/>
  <c r="K290" i="37" s="1"/>
  <c r="F273" i="22"/>
  <c r="K176" i="37" s="1"/>
  <c r="F36" i="22"/>
  <c r="K271" i="37" s="1"/>
  <c r="F100" i="22"/>
  <c r="K219" i="37" s="1"/>
  <c r="F193" i="22"/>
  <c r="K317" i="37" s="1"/>
  <c r="F167" i="22"/>
  <c r="K20" i="37" s="1"/>
  <c r="F5" i="22"/>
  <c r="K248" i="37" s="1"/>
  <c r="F267" i="22"/>
  <c r="K173" i="37" s="1"/>
  <c r="F247" i="22"/>
  <c r="K278" i="37" s="1"/>
  <c r="F268" i="22"/>
  <c r="K286" i="37" s="1"/>
  <c r="F95" i="22"/>
  <c r="K306" i="37" s="1"/>
  <c r="F207" i="22"/>
  <c r="K191" i="37" s="1"/>
  <c r="F288" i="22"/>
  <c r="K227" i="37" s="1"/>
  <c r="F192" i="22"/>
  <c r="K235" i="37" s="1"/>
  <c r="F250" i="22"/>
  <c r="K241" i="37" s="1"/>
  <c r="H36" i="22"/>
  <c r="M271" i="37" s="1"/>
  <c r="F51" i="22"/>
  <c r="K269" i="37" s="1"/>
  <c r="H295" i="22"/>
  <c r="M72" i="37" s="1"/>
  <c r="F217" i="22"/>
  <c r="K270" i="37" s="1"/>
  <c r="H240" i="22"/>
  <c r="M45" i="37" s="1"/>
  <c r="F150" i="22"/>
  <c r="K137" i="37" s="1"/>
  <c r="I300" i="22"/>
  <c r="N83" i="37" s="1"/>
  <c r="H268" i="22"/>
  <c r="M286" i="37" s="1"/>
  <c r="I118" i="22"/>
  <c r="N66" i="37" s="1"/>
  <c r="F139" i="22"/>
  <c r="K120" i="37" s="1"/>
  <c r="G268" i="22"/>
  <c r="L286" i="37" s="1"/>
  <c r="I117" i="22"/>
  <c r="N133" i="37" s="1"/>
  <c r="G41" i="22"/>
  <c r="L39" i="37" s="1"/>
  <c r="I313" i="22"/>
  <c r="N263" i="37" s="1"/>
  <c r="G144" i="22"/>
  <c r="L21" i="37" s="1"/>
  <c r="I53" i="22"/>
  <c r="N135" i="37" s="1"/>
  <c r="G78" i="22"/>
  <c r="L231" i="37" s="1"/>
  <c r="I3" i="22"/>
  <c r="N55" i="37" s="1"/>
  <c r="G64" i="22"/>
  <c r="L224" i="37" s="1"/>
  <c r="H118" i="22"/>
  <c r="M66" i="37" s="1"/>
  <c r="I148" i="22"/>
  <c r="N109" i="37" s="1"/>
  <c r="H127" i="22"/>
  <c r="M300" i="37" s="1"/>
  <c r="F9" i="22"/>
  <c r="K99" i="37" s="1"/>
  <c r="H117" i="22"/>
  <c r="M133" i="37" s="1"/>
  <c r="F41" i="22"/>
  <c r="K39" i="37" s="1"/>
  <c r="H313" i="22"/>
  <c r="M263" i="37" s="1"/>
  <c r="F144" i="22"/>
  <c r="K21" i="37" s="1"/>
  <c r="H53" i="22"/>
  <c r="M135" i="37" s="1"/>
  <c r="F78" i="22"/>
  <c r="K231" i="37" s="1"/>
  <c r="H3" i="22"/>
  <c r="M55" i="37" s="1"/>
  <c r="F64" i="22"/>
  <c r="K224" i="37" s="1"/>
  <c r="I58" i="22"/>
  <c r="N149" i="37" s="1"/>
  <c r="F118" i="22"/>
  <c r="K66" i="37" s="1"/>
  <c r="I296" i="22"/>
  <c r="N199" i="37" s="1"/>
  <c r="H148" i="22"/>
  <c r="M109" i="37" s="1"/>
  <c r="I167" i="22"/>
  <c r="N20" i="37" s="1"/>
  <c r="G71" i="22"/>
  <c r="L232" i="37" s="1"/>
  <c r="I273" i="22"/>
  <c r="N176" i="37" s="1"/>
  <c r="G115" i="22"/>
  <c r="L197" i="37" s="1"/>
  <c r="I307" i="22"/>
  <c r="N220" i="37" s="1"/>
  <c r="G134" i="22"/>
  <c r="L167" i="37" s="1"/>
  <c r="I107" i="22"/>
  <c r="N101" i="37" s="1"/>
  <c r="G58" i="22"/>
  <c r="L149" i="37" s="1"/>
  <c r="H296" i="22"/>
  <c r="M199" i="37" s="1"/>
  <c r="F148" i="22"/>
  <c r="K109" i="37" s="1"/>
  <c r="G121" i="22"/>
  <c r="L177" i="37" s="1"/>
  <c r="H167" i="22"/>
  <c r="M20" i="37" s="1"/>
  <c r="F71" i="22"/>
  <c r="K232" i="37" s="1"/>
  <c r="H273" i="22"/>
  <c r="M176" i="37" s="1"/>
  <c r="F115" i="22"/>
  <c r="K197" i="37" s="1"/>
  <c r="H307" i="22"/>
  <c r="M220" i="37" s="1"/>
  <c r="F134" i="22"/>
  <c r="K167" i="37" s="1"/>
  <c r="H107" i="22"/>
  <c r="M101" i="37" s="1"/>
  <c r="H288" i="22"/>
  <c r="M227" i="37" s="1"/>
  <c r="I47" i="22"/>
  <c r="N282" i="37" s="1"/>
  <c r="H247" i="22"/>
  <c r="M278" i="37" s="1"/>
  <c r="R161" i="37"/>
  <c r="F58" i="22"/>
  <c r="K149" i="37" s="1"/>
  <c r="F121" i="22"/>
  <c r="K177" i="37" s="1"/>
  <c r="F13" i="22"/>
  <c r="K100" i="37" s="1"/>
  <c r="G288" i="22"/>
  <c r="L227" i="37" s="1"/>
  <c r="F224" i="22"/>
  <c r="K188" i="37" s="1"/>
  <c r="G247" i="22"/>
  <c r="L278" i="37" s="1"/>
  <c r="G131" i="22"/>
  <c r="L129" i="37" s="1"/>
  <c r="I233" i="22"/>
  <c r="N257" i="37" s="1"/>
  <c r="G124" i="22"/>
  <c r="L260" i="37" s="1"/>
  <c r="I65" i="22"/>
  <c r="N223" i="37" s="1"/>
  <c r="G20" i="22"/>
  <c r="L77" i="37" s="1"/>
  <c r="I94" i="22"/>
  <c r="N184" i="37" s="1"/>
  <c r="G163" i="22"/>
  <c r="L89" i="37" s="1"/>
  <c r="I244" i="22"/>
  <c r="N272" i="37" s="1"/>
  <c r="G44" i="22"/>
  <c r="L215" i="37" s="1"/>
  <c r="H286" i="22"/>
  <c r="M275" i="37" s="1"/>
  <c r="F131" i="22"/>
  <c r="K129" i="37" s="1"/>
  <c r="H233" i="22"/>
  <c r="M257" i="37" s="1"/>
  <c r="F124" i="22"/>
  <c r="K260" i="37" s="1"/>
  <c r="H65" i="22"/>
  <c r="M223" i="37" s="1"/>
  <c r="F20" i="22"/>
  <c r="K77" i="37" s="1"/>
  <c r="H94" i="22"/>
  <c r="M184" i="37" s="1"/>
  <c r="F163" i="22"/>
  <c r="K89" i="37" s="1"/>
  <c r="H244" i="22"/>
  <c r="M272" i="37" s="1"/>
  <c r="F44" i="22"/>
  <c r="K215" i="37" s="1"/>
  <c r="G286" i="22"/>
  <c r="L275" i="37" s="1"/>
  <c r="G81" i="22"/>
  <c r="L47" i="37" s="1"/>
  <c r="H209" i="22"/>
  <c r="M91" i="37" s="1"/>
  <c r="I267" i="22"/>
  <c r="N173" i="37" s="1"/>
  <c r="I193" i="22"/>
  <c r="N317" i="37" s="1"/>
  <c r="G106" i="22"/>
  <c r="L312" i="37" s="1"/>
  <c r="I285" i="22"/>
  <c r="N290" i="37" s="1"/>
  <c r="G126" i="22"/>
  <c r="L294" i="37" s="1"/>
  <c r="I141" i="22"/>
  <c r="N138" i="37" s="1"/>
  <c r="G310" i="22"/>
  <c r="L226" i="37" s="1"/>
  <c r="I26" i="22"/>
  <c r="N239" i="37" s="1"/>
  <c r="F286" i="22"/>
  <c r="K275" i="37" s="1"/>
  <c r="F81" i="22"/>
  <c r="K47" i="37" s="1"/>
  <c r="F209" i="22"/>
  <c r="K91" i="37" s="1"/>
  <c r="H267" i="22"/>
  <c r="M173" i="37" s="1"/>
  <c r="H201" i="22"/>
  <c r="M302" i="37" s="1"/>
  <c r="H193" i="22"/>
  <c r="M317" i="37" s="1"/>
  <c r="F106" i="22"/>
  <c r="K312" i="37" s="1"/>
  <c r="H285" i="22"/>
  <c r="M290" i="37" s="1"/>
  <c r="F126" i="22"/>
  <c r="K294" i="37" s="1"/>
  <c r="H141" i="22"/>
  <c r="M138" i="37" s="1"/>
  <c r="F310" i="22"/>
  <c r="K226" i="37" s="1"/>
  <c r="I52" i="22"/>
  <c r="N163" i="37" s="1"/>
  <c r="H207" i="22"/>
  <c r="M191" i="37" s="1"/>
  <c r="I319" i="22"/>
  <c r="N213" i="37" s="1"/>
  <c r="H26" i="22"/>
  <c r="M239" i="37" s="1"/>
  <c r="G207" i="22"/>
  <c r="L191" i="37" s="1"/>
  <c r="F4" i="22"/>
  <c r="K60" i="37" s="1"/>
  <c r="I214" i="22"/>
  <c r="N157" i="37" s="1"/>
  <c r="G28" i="22"/>
  <c r="L181" i="37" s="1"/>
  <c r="I181" i="22"/>
  <c r="N145" i="37" s="1"/>
  <c r="G272" i="22"/>
  <c r="L130" i="37" s="1"/>
  <c r="I54" i="22"/>
  <c r="N95" i="37" s="1"/>
  <c r="G80" i="22"/>
  <c r="L17" i="37" s="1"/>
  <c r="I230" i="22"/>
  <c r="N296" i="37" s="1"/>
  <c r="G306" i="22"/>
  <c r="L192" i="37" s="1"/>
  <c r="I16" i="22"/>
  <c r="N209" i="37" s="1"/>
  <c r="I99" i="22"/>
  <c r="N321" i="37" s="1"/>
  <c r="I140" i="22"/>
  <c r="N115" i="37" s="1"/>
  <c r="I247" i="22"/>
  <c r="N278" i="37" s="1"/>
  <c r="I268" i="22"/>
  <c r="N286" i="37" s="1"/>
  <c r="I95" i="22"/>
  <c r="N306" i="37" s="1"/>
  <c r="I207" i="22"/>
  <c r="N191" i="37" s="1"/>
  <c r="I288" i="22"/>
  <c r="N227" i="37" s="1"/>
  <c r="I44" i="22"/>
  <c r="N215" i="37" s="1"/>
  <c r="I64" i="22"/>
  <c r="N224" i="37" s="1"/>
  <c r="I137" i="22"/>
  <c r="N22" i="37" s="1"/>
  <c r="I306" i="22"/>
  <c r="N192" i="37" s="1"/>
  <c r="I163" i="22"/>
  <c r="N89" i="37" s="1"/>
  <c r="I78" i="22"/>
  <c r="N231" i="37" s="1"/>
  <c r="I45" i="22"/>
  <c r="N211" i="37" s="1"/>
  <c r="I80" i="22"/>
  <c r="N17" i="37" s="1"/>
  <c r="I20" i="22"/>
  <c r="N77" i="37" s="1"/>
  <c r="I144" i="22"/>
  <c r="N21" i="37" s="1"/>
  <c r="I203" i="22"/>
  <c r="N310" i="37" s="1"/>
  <c r="I272" i="22"/>
  <c r="N130" i="37" s="1"/>
  <c r="I124" i="22"/>
  <c r="N260" i="37" s="1"/>
  <c r="I41" i="22"/>
  <c r="N39" i="37" s="1"/>
  <c r="I309" i="22"/>
  <c r="N303" i="37" s="1"/>
  <c r="I28" i="22"/>
  <c r="N181" i="37" s="1"/>
  <c r="I131" i="22"/>
  <c r="N129" i="37" s="1"/>
  <c r="I150" i="22"/>
  <c r="N137" i="37" s="1"/>
  <c r="I189" i="22"/>
  <c r="N203" i="37" s="1"/>
  <c r="I310" i="22"/>
  <c r="N226" i="37" s="1"/>
  <c r="I134" i="22"/>
  <c r="N167" i="37" s="1"/>
  <c r="I217" i="22"/>
  <c r="N270" i="37" s="1"/>
  <c r="I232" i="22"/>
  <c r="N280" i="37" s="1"/>
  <c r="I126" i="22"/>
  <c r="N294" i="37" s="1"/>
  <c r="I115" i="22"/>
  <c r="N197" i="37" s="1"/>
  <c r="I51" i="22"/>
  <c r="N269" i="37" s="1"/>
  <c r="I278" i="22"/>
  <c r="N41" i="37" s="1"/>
  <c r="I106" i="22"/>
  <c r="N312" i="37" s="1"/>
  <c r="I71" i="22"/>
  <c r="N232" i="37" s="1"/>
  <c r="I250" i="22"/>
  <c r="N241" i="37" s="1"/>
  <c r="I212" i="22"/>
  <c r="N82" i="37" s="1"/>
  <c r="I121" i="22"/>
  <c r="N177" i="37" s="1"/>
  <c r="I108" i="22"/>
  <c r="N245" i="37" s="1"/>
  <c r="I192" i="22"/>
  <c r="N235" i="37" s="1"/>
  <c r="I9" i="22"/>
  <c r="N99" i="37" s="1"/>
  <c r="I113" i="22"/>
  <c r="N276" i="37" s="1"/>
  <c r="I4" i="22"/>
  <c r="N60" i="37" s="1"/>
  <c r="I224" i="22"/>
  <c r="N188" i="37" s="1"/>
  <c r="I139" i="22"/>
  <c r="N120" i="37" s="1"/>
  <c r="I301" i="22"/>
  <c r="N59" i="37" s="1"/>
  <c r="I265" i="22"/>
  <c r="N121" i="37" s="1"/>
  <c r="I86" i="22"/>
  <c r="N71" i="37" s="1"/>
  <c r="I33" i="22"/>
  <c r="N81" i="37" s="1"/>
  <c r="I322" i="22"/>
  <c r="N178" i="37" s="1"/>
  <c r="I98" i="22"/>
  <c r="N261" i="37" s="1"/>
  <c r="I62" i="22"/>
  <c r="N32" i="37" s="1"/>
  <c r="I135" i="22"/>
  <c r="N18" i="37" s="1"/>
  <c r="I136" i="22"/>
  <c r="N155" i="37" s="1"/>
  <c r="I21" i="22"/>
  <c r="N175" i="37" s="1"/>
  <c r="I12" i="22"/>
  <c r="N200" i="37" s="1"/>
  <c r="I25" i="22"/>
  <c r="N27" i="37" s="1"/>
  <c r="I297" i="22"/>
  <c r="N252" i="37" s="1"/>
  <c r="I170" i="22"/>
  <c r="N150" i="37" s="1"/>
  <c r="I280" i="22"/>
  <c r="N214" i="37" s="1"/>
  <c r="I202" i="22"/>
  <c r="N277" i="37" s="1"/>
  <c r="I55" i="22"/>
  <c r="N30" i="37" s="1"/>
  <c r="I183" i="22"/>
  <c r="N244" i="37" s="1"/>
  <c r="I171" i="22"/>
  <c r="N238" i="37" s="1"/>
  <c r="I6" i="22"/>
  <c r="N56" i="37" s="1"/>
  <c r="I112" i="22"/>
  <c r="N323" i="37" s="1"/>
  <c r="I30" i="22"/>
  <c r="N325" i="37" s="1"/>
  <c r="I287" i="22"/>
  <c r="N222" i="37" s="1"/>
  <c r="I174" i="22"/>
  <c r="N144" i="37" s="1"/>
  <c r="I15" i="22"/>
  <c r="N304" i="37" s="1"/>
  <c r="I89" i="22"/>
  <c r="N88" i="37" s="1"/>
  <c r="I290" i="22"/>
  <c r="N117" i="37" s="1"/>
  <c r="I210" i="22"/>
  <c r="N50" i="37" s="1"/>
  <c r="I142" i="22"/>
  <c r="N53" i="37" s="1"/>
  <c r="I182" i="22"/>
  <c r="N207" i="37" s="1"/>
  <c r="I219" i="22"/>
  <c r="N123" i="37" s="1"/>
  <c r="I255" i="22"/>
  <c r="N111" i="37" s="1"/>
  <c r="I145" i="22"/>
  <c r="N68" i="37" s="1"/>
  <c r="I299" i="22"/>
  <c r="N106" i="37" s="1"/>
  <c r="I237" i="22"/>
  <c r="N259" i="37" s="1"/>
  <c r="I87" i="22"/>
  <c r="N258" i="37" s="1"/>
  <c r="I155" i="22"/>
  <c r="N84" i="37" s="1"/>
  <c r="I246" i="22"/>
  <c r="N162" i="37" s="1"/>
  <c r="I208" i="22"/>
  <c r="N79" i="37" s="1"/>
  <c r="I195" i="22"/>
  <c r="N23" i="37" s="1"/>
  <c r="I165" i="22"/>
  <c r="N142" i="37" s="1"/>
  <c r="I17" i="22"/>
  <c r="N49" i="37" s="1"/>
  <c r="I293" i="22"/>
  <c r="N10" i="37" s="1"/>
  <c r="I198" i="22"/>
  <c r="N221" i="37" s="1"/>
  <c r="I130" i="22"/>
  <c r="N38" i="37" s="1"/>
  <c r="I226" i="22"/>
  <c r="N284" i="37" s="1"/>
  <c r="I79" i="22"/>
  <c r="N26" i="37" s="1"/>
  <c r="I90" i="22"/>
  <c r="N46" i="37" s="1"/>
  <c r="I241" i="22"/>
  <c r="N37" i="37" s="1"/>
  <c r="I147" i="22"/>
  <c r="N119" i="37" s="1"/>
  <c r="I97" i="22"/>
  <c r="N230" i="37" s="1"/>
  <c r="I316" i="22"/>
  <c r="N8" i="37" s="1"/>
  <c r="I258" i="22"/>
  <c r="N122" i="37" s="1"/>
  <c r="I271" i="22"/>
  <c r="N274" i="37" s="1"/>
  <c r="I151" i="22"/>
  <c r="N247" i="37" s="1"/>
  <c r="I284" i="22"/>
  <c r="N102" i="37" s="1"/>
  <c r="I257" i="22"/>
  <c r="N152" i="37" s="1"/>
  <c r="I184" i="22"/>
  <c r="N93" i="37" s="1"/>
  <c r="I221" i="22"/>
  <c r="N105" i="37" s="1"/>
  <c r="I61" i="22"/>
  <c r="N51" i="37" s="1"/>
  <c r="I166" i="22"/>
  <c r="N94" i="37" s="1"/>
  <c r="I133" i="22"/>
  <c r="N266" i="37" s="1"/>
  <c r="I146" i="22"/>
  <c r="N40" i="37" s="1"/>
  <c r="I149" i="22"/>
  <c r="N54" i="37" s="1"/>
  <c r="I8" i="22"/>
  <c r="N179" i="37" s="1"/>
  <c r="I249" i="22"/>
  <c r="N204" i="37" s="1"/>
  <c r="I213" i="22"/>
  <c r="N151" i="37" s="1"/>
  <c r="I38" i="22"/>
  <c r="N240" i="37" s="1"/>
  <c r="I260" i="22"/>
  <c r="N189" i="37" s="1"/>
  <c r="I27" i="22"/>
  <c r="N216" i="37" s="1"/>
  <c r="I153" i="22"/>
  <c r="N134" i="37" s="1"/>
  <c r="I81" i="22"/>
  <c r="N47" i="37" s="1"/>
  <c r="I116" i="22"/>
  <c r="N6" i="37" s="1"/>
  <c r="I228" i="22"/>
  <c r="N305" i="37" s="1"/>
  <c r="I282" i="22"/>
  <c r="N33" i="37" s="1"/>
  <c r="I218" i="22"/>
  <c r="N140" i="37" s="1"/>
  <c r="I162" i="22"/>
  <c r="N25" i="37" s="1"/>
  <c r="I252" i="22"/>
  <c r="N264" i="37" s="1"/>
  <c r="I262" i="22"/>
  <c r="N107" i="37" s="1"/>
  <c r="I46" i="22"/>
  <c r="N31" i="37" s="1"/>
  <c r="I263" i="22"/>
  <c r="N61" i="37" s="1"/>
  <c r="I281" i="22"/>
  <c r="N11" i="37" s="1"/>
  <c r="I48" i="22"/>
  <c r="N73" i="37" s="1"/>
  <c r="I205" i="22"/>
  <c r="N262" i="37" s="1"/>
  <c r="I239" i="22"/>
  <c r="N314" i="37" s="1"/>
  <c r="I225" i="22"/>
  <c r="N315" i="37" s="1"/>
  <c r="I66" i="22"/>
  <c r="N9" i="37" s="1"/>
  <c r="I186" i="22"/>
  <c r="N78" i="37" s="1"/>
  <c r="I176" i="22"/>
  <c r="N225" i="37" s="1"/>
  <c r="I159" i="22"/>
  <c r="N125" i="37" s="1"/>
  <c r="I279" i="22"/>
  <c r="N255" i="37" s="1"/>
  <c r="I200" i="22"/>
  <c r="N307" i="37" s="1"/>
  <c r="I266" i="22"/>
  <c r="N183" i="37" s="1"/>
  <c r="I321" i="22"/>
  <c r="N169" i="37" s="1"/>
  <c r="I157" i="22"/>
  <c r="N206" i="37" s="1"/>
  <c r="I63" i="22"/>
  <c r="N118" i="37" s="1"/>
  <c r="I114" i="22"/>
  <c r="N14" i="37" s="1"/>
  <c r="I206" i="22"/>
  <c r="N253" i="37" s="1"/>
  <c r="I56" i="22"/>
  <c r="N63" i="37" s="1"/>
  <c r="I161" i="22"/>
  <c r="N165" i="37" s="1"/>
  <c r="I220" i="22"/>
  <c r="N289" i="37" s="1"/>
  <c r="I320" i="22"/>
  <c r="N44" i="37" s="1"/>
  <c r="I190" i="22"/>
  <c r="N143" i="37" s="1"/>
  <c r="I74" i="22"/>
  <c r="N233" i="37" s="1"/>
  <c r="I73" i="22"/>
  <c r="N205" i="37" s="1"/>
  <c r="I194" i="22"/>
  <c r="N318" i="37" s="1"/>
  <c r="I311" i="22"/>
  <c r="N153" i="37" s="1"/>
  <c r="I11" i="22"/>
  <c r="N124" i="37" s="1"/>
  <c r="I172" i="22"/>
  <c r="N229" i="37" s="1"/>
  <c r="I177" i="22"/>
  <c r="N85" i="37" s="1"/>
  <c r="I39" i="22"/>
  <c r="N75" i="37" s="1"/>
  <c r="I294" i="22"/>
  <c r="N171" i="37" s="1"/>
  <c r="I109" i="22"/>
  <c r="N301" i="37" s="1"/>
  <c r="I125" i="22"/>
  <c r="N256" i="37" s="1"/>
  <c r="I312" i="22"/>
  <c r="N12" i="37" s="1"/>
  <c r="I188" i="22"/>
  <c r="N43" i="37" s="1"/>
  <c r="I120" i="22"/>
  <c r="N86" i="37" s="1"/>
  <c r="I234" i="22"/>
  <c r="N254" i="37" s="1"/>
  <c r="I70" i="22"/>
  <c r="N308" i="37" s="1"/>
  <c r="I57" i="22"/>
  <c r="N148" i="37" s="1"/>
  <c r="I122" i="22"/>
  <c r="N67" i="37" s="1"/>
  <c r="I169" i="22"/>
  <c r="N287" i="37" s="1"/>
  <c r="I91" i="22"/>
  <c r="N48" i="37" s="1"/>
  <c r="I191" i="22"/>
  <c r="N108" i="37" s="1"/>
  <c r="I215" i="22"/>
  <c r="N251" i="37" s="1"/>
  <c r="I298" i="22"/>
  <c r="N147" i="37" s="1"/>
  <c r="I223" i="22"/>
  <c r="N110" i="37" s="1"/>
  <c r="I93" i="22"/>
  <c r="N198" i="37" s="1"/>
  <c r="I253" i="22"/>
  <c r="N212" i="37" s="1"/>
  <c r="I67" i="22"/>
  <c r="N36" i="37" s="1"/>
  <c r="I238" i="22"/>
  <c r="N281" i="37" s="1"/>
  <c r="I82" i="22"/>
  <c r="N180" i="37" s="1"/>
  <c r="I35" i="22"/>
  <c r="N313" i="37" s="1"/>
  <c r="I235" i="22"/>
  <c r="N166" i="37" s="1"/>
  <c r="I111" i="22"/>
  <c r="N324" i="37" s="1"/>
  <c r="I292" i="22"/>
  <c r="N42" i="37" s="1"/>
  <c r="I185" i="22"/>
  <c r="N58" i="37" s="1"/>
  <c r="I18" i="22"/>
  <c r="N52" i="37" s="1"/>
  <c r="I143" i="22"/>
  <c r="N64" i="37" s="1"/>
  <c r="I164" i="22"/>
  <c r="N24" i="37" s="1"/>
  <c r="I168" i="22"/>
  <c r="N15" i="37" s="1"/>
  <c r="I251" i="22"/>
  <c r="N196" i="37" s="1"/>
  <c r="I197" i="22"/>
  <c r="N292" i="37" s="1"/>
  <c r="I274" i="22"/>
  <c r="N164" i="37" s="1"/>
  <c r="I10" i="22"/>
  <c r="N288" i="37" s="1"/>
  <c r="I180" i="22"/>
  <c r="N132" i="37" s="1"/>
  <c r="I29" i="22"/>
  <c r="N114" i="37" s="1"/>
  <c r="I318" i="22"/>
  <c r="N19" i="37" s="1"/>
  <c r="I31" i="22"/>
  <c r="N7" i="37" s="1"/>
  <c r="I60" i="22"/>
  <c r="N185" i="37" s="1"/>
  <c r="I256" i="22"/>
  <c r="N65" i="37" s="1"/>
  <c r="I269" i="22"/>
  <c r="N322" i="37" s="1"/>
  <c r="I276" i="22"/>
  <c r="N116" i="37" s="1"/>
  <c r="I129" i="22"/>
  <c r="N136" i="37" s="1"/>
  <c r="I259" i="22"/>
  <c r="N202" i="37" s="1"/>
  <c r="I152" i="22"/>
  <c r="N29" i="37" s="1"/>
  <c r="I216" i="22"/>
  <c r="N285" i="37" s="1"/>
  <c r="I270" i="22"/>
  <c r="N298" i="37" s="1"/>
  <c r="I304" i="22"/>
  <c r="N146" i="37" s="1"/>
  <c r="I103" i="22"/>
  <c r="N299" i="37" s="1"/>
  <c r="I196" i="22"/>
  <c r="N283" i="37" s="1"/>
  <c r="I199" i="22"/>
  <c r="N246" i="37" s="1"/>
  <c r="I84" i="22"/>
  <c r="N127" i="37" s="1"/>
  <c r="I308" i="22"/>
  <c r="N190" i="37" s="1"/>
  <c r="I264" i="22"/>
  <c r="N96" i="37" s="1"/>
  <c r="I24" i="22"/>
  <c r="N265" i="37" s="1"/>
  <c r="I7" i="22"/>
  <c r="N126" i="37" s="1"/>
  <c r="I178" i="22"/>
  <c r="N34" i="37" s="1"/>
  <c r="I128" i="22"/>
  <c r="N195" i="37" s="1"/>
  <c r="I156" i="22"/>
  <c r="N243" i="37" s="1"/>
  <c r="I49" i="22"/>
  <c r="N13" i="37" s="1"/>
  <c r="I37" i="22"/>
  <c r="N309" i="37" s="1"/>
  <c r="I69" i="22"/>
  <c r="N112" i="37" s="1"/>
  <c r="I22" i="22"/>
  <c r="N234" i="37" s="1"/>
  <c r="I289" i="22"/>
  <c r="N267" i="37" s="1"/>
  <c r="I305" i="22"/>
  <c r="N158" i="37" s="1"/>
  <c r="I85" i="22"/>
  <c r="N170" i="37" s="1"/>
  <c r="I254" i="22"/>
  <c r="N159" i="37" s="1"/>
  <c r="I138" i="22"/>
  <c r="N103" i="37" s="1"/>
  <c r="I32" i="22"/>
  <c r="N228" i="37" s="1"/>
  <c r="I104" i="22"/>
  <c r="N250" i="37" s="1"/>
  <c r="I236" i="22"/>
  <c r="N193" i="37" s="1"/>
  <c r="I158" i="22"/>
  <c r="N237" i="37" s="1"/>
  <c r="I101" i="22"/>
  <c r="N320" i="37" s="1"/>
  <c r="I302" i="22"/>
  <c r="N57" i="37" s="1"/>
  <c r="I72" i="22"/>
  <c r="N97" i="37" s="1"/>
  <c r="I291" i="22"/>
  <c r="N168" i="37" s="1"/>
  <c r="I201" i="22"/>
  <c r="N302" i="37" s="1"/>
  <c r="I127" i="22"/>
  <c r="N300" i="37" s="1"/>
  <c r="I50" i="22"/>
  <c r="N74" i="37" s="1"/>
  <c r="I317" i="22"/>
  <c r="N186" i="37" s="1"/>
  <c r="I34" i="22"/>
  <c r="N242" i="37" s="1"/>
  <c r="I110" i="22"/>
  <c r="N295" i="37" s="1"/>
  <c r="I283" i="22"/>
  <c r="N16" i="37" s="1"/>
  <c r="I211" i="22"/>
  <c r="N80" i="37" s="1"/>
  <c r="I245" i="22"/>
  <c r="N311" i="37" s="1"/>
  <c r="I160" i="22"/>
  <c r="N139" i="37" s="1"/>
  <c r="I23" i="22"/>
  <c r="N161" i="37" s="1"/>
  <c r="I154" i="22"/>
  <c r="N172" i="37" s="1"/>
  <c r="I43" i="22"/>
  <c r="N28" i="37" s="1"/>
  <c r="I261" i="22"/>
  <c r="N70" i="37" s="1"/>
  <c r="I83" i="22"/>
  <c r="N35" i="37" s="1"/>
  <c r="I248" i="22"/>
  <c r="N291" i="37" s="1"/>
  <c r="I123" i="22"/>
  <c r="N273" i="37" s="1"/>
  <c r="I187" i="22"/>
  <c r="N160" i="37" s="1"/>
  <c r="I14" i="22"/>
  <c r="N268" i="37" s="1"/>
  <c r="I105" i="22"/>
  <c r="N210" i="37" s="1"/>
  <c r="I40" i="22"/>
  <c r="N76" i="37" s="1"/>
  <c r="I277" i="22"/>
  <c r="N113" i="37" s="1"/>
  <c r="I275" i="22"/>
  <c r="N194" i="37" s="1"/>
  <c r="I303" i="22"/>
  <c r="N131" i="37" s="1"/>
  <c r="I179" i="22"/>
  <c r="N156" i="37" s="1"/>
  <c r="I19" i="22"/>
  <c r="N174" i="37" s="1"/>
  <c r="I92" i="22"/>
  <c r="N154" i="37" s="1"/>
  <c r="I88" i="22"/>
  <c r="N182" i="37" s="1"/>
  <c r="I96" i="22"/>
  <c r="N319" i="37" s="1"/>
  <c r="I119" i="22"/>
  <c r="N87" i="37" s="1"/>
  <c r="I175" i="22"/>
  <c r="N201" i="37" s="1"/>
  <c r="I314" i="22"/>
  <c r="N279" i="37" s="1"/>
  <c r="I59" i="22"/>
  <c r="N316" i="37" s="1"/>
  <c r="I227" i="22"/>
  <c r="N293" i="37" s="1"/>
  <c r="I173" i="22"/>
  <c r="N104" i="37" s="1"/>
  <c r="I102" i="22"/>
  <c r="N208" i="37" s="1"/>
  <c r="I222" i="22"/>
  <c r="N90" i="37" s="1"/>
  <c r="I13" i="22"/>
  <c r="N100" i="37" s="1"/>
  <c r="I75" i="22"/>
  <c r="N128" i="37" s="1"/>
  <c r="I209" i="22"/>
  <c r="N91" i="37" s="1"/>
  <c r="I286" i="22"/>
  <c r="N275" i="37" s="1"/>
  <c r="F26" i="22"/>
  <c r="K239" i="37" s="1"/>
  <c r="H214" i="22"/>
  <c r="M157" i="37" s="1"/>
  <c r="F28" i="22"/>
  <c r="K181" i="37" s="1"/>
  <c r="H181" i="22"/>
  <c r="M145" i="37" s="1"/>
  <c r="F272" i="22"/>
  <c r="K130" i="37" s="1"/>
  <c r="H54" i="22"/>
  <c r="M95" i="37" s="1"/>
  <c r="F80" i="22"/>
  <c r="K17" i="37" s="1"/>
  <c r="H230" i="22"/>
  <c r="M296" i="37" s="1"/>
  <c r="F306" i="22"/>
  <c r="K192" i="37" s="1"/>
  <c r="M75" i="22"/>
  <c r="G16" i="22"/>
  <c r="L209" i="37" s="1"/>
  <c r="G99" i="22"/>
  <c r="L321" i="37" s="1"/>
  <c r="G140" i="22"/>
  <c r="L115" i="37" s="1"/>
  <c r="G9" i="22"/>
  <c r="L99" i="37" s="1"/>
  <c r="G113" i="22"/>
  <c r="L276" i="37" s="1"/>
  <c r="G4" i="22"/>
  <c r="L60" i="37" s="1"/>
  <c r="G224" i="22"/>
  <c r="L188" i="37" s="1"/>
  <c r="G139" i="22"/>
  <c r="L120" i="37" s="1"/>
  <c r="G301" i="22"/>
  <c r="L59" i="37" s="1"/>
  <c r="G265" i="22"/>
  <c r="L121" i="37" s="1"/>
  <c r="G86" i="22"/>
  <c r="L71" i="37" s="1"/>
  <c r="G33" i="22"/>
  <c r="L81" i="37" s="1"/>
  <c r="G322" i="22"/>
  <c r="L178" i="37" s="1"/>
  <c r="G98" i="22"/>
  <c r="L261" i="37" s="1"/>
  <c r="G62" i="22"/>
  <c r="L32" i="37" s="1"/>
  <c r="G135" i="22"/>
  <c r="L18" i="37" s="1"/>
  <c r="G136" i="22"/>
  <c r="L155" i="37" s="1"/>
  <c r="G21" i="22"/>
  <c r="L175" i="37" s="1"/>
  <c r="G12" i="22"/>
  <c r="L200" i="37" s="1"/>
  <c r="G25" i="22"/>
  <c r="L27" i="37" s="1"/>
  <c r="G297" i="22"/>
  <c r="L252" i="37" s="1"/>
  <c r="G170" i="22"/>
  <c r="L150" i="37" s="1"/>
  <c r="G280" i="22"/>
  <c r="L214" i="37" s="1"/>
  <c r="G202" i="22"/>
  <c r="L277" i="37" s="1"/>
  <c r="G55" i="22"/>
  <c r="L30" i="37" s="1"/>
  <c r="G183" i="22"/>
  <c r="L244" i="37" s="1"/>
  <c r="G171" i="22"/>
  <c r="L238" i="37" s="1"/>
  <c r="G6" i="22"/>
  <c r="L56" i="37" s="1"/>
  <c r="G112" i="22"/>
  <c r="L323" i="37" s="1"/>
  <c r="G30" i="22"/>
  <c r="L325" i="37" s="1"/>
  <c r="G287" i="22"/>
  <c r="L222" i="37" s="1"/>
  <c r="G174" i="22"/>
  <c r="L144" i="37" s="1"/>
  <c r="G15" i="22"/>
  <c r="L304" i="37" s="1"/>
  <c r="G89" i="22"/>
  <c r="L88" i="37" s="1"/>
  <c r="G290" i="22"/>
  <c r="L117" i="37" s="1"/>
  <c r="G210" i="22"/>
  <c r="L50" i="37" s="1"/>
  <c r="G142" i="22"/>
  <c r="L53" i="37" s="1"/>
  <c r="G182" i="22"/>
  <c r="L207" i="37" s="1"/>
  <c r="G219" i="22"/>
  <c r="L123" i="37" s="1"/>
  <c r="G255" i="22"/>
  <c r="L111" i="37" s="1"/>
  <c r="G148" i="22"/>
  <c r="L109" i="37" s="1"/>
  <c r="G118" i="22"/>
  <c r="L66" i="37" s="1"/>
  <c r="G145" i="22"/>
  <c r="L68" i="37" s="1"/>
  <c r="G299" i="22"/>
  <c r="L106" i="37" s="1"/>
  <c r="G237" i="22"/>
  <c r="L259" i="37" s="1"/>
  <c r="G87" i="22"/>
  <c r="L258" i="37" s="1"/>
  <c r="G155" i="22"/>
  <c r="L84" i="37" s="1"/>
  <c r="G246" i="22"/>
  <c r="L162" i="37" s="1"/>
  <c r="G208" i="22"/>
  <c r="L79" i="37" s="1"/>
  <c r="G195" i="22"/>
  <c r="L23" i="37" s="1"/>
  <c r="G165" i="22"/>
  <c r="L142" i="37" s="1"/>
  <c r="G17" i="22"/>
  <c r="L49" i="37" s="1"/>
  <c r="G293" i="22"/>
  <c r="L10" i="37" s="1"/>
  <c r="G198" i="22"/>
  <c r="L221" i="37" s="1"/>
  <c r="G130" i="22"/>
  <c r="L38" i="37" s="1"/>
  <c r="G226" i="22"/>
  <c r="L284" i="37" s="1"/>
  <c r="G79" i="22"/>
  <c r="L26" i="37" s="1"/>
  <c r="G90" i="22"/>
  <c r="L46" i="37" s="1"/>
  <c r="G241" i="22"/>
  <c r="L37" i="37" s="1"/>
  <c r="G147" i="22"/>
  <c r="L119" i="37" s="1"/>
  <c r="G97" i="22"/>
  <c r="L230" i="37" s="1"/>
  <c r="G316" i="22"/>
  <c r="L8" i="37" s="1"/>
  <c r="G258" i="22"/>
  <c r="L122" i="37" s="1"/>
  <c r="G271" i="22"/>
  <c r="L274" i="37" s="1"/>
  <c r="G151" i="22"/>
  <c r="L247" i="37" s="1"/>
  <c r="G284" i="22"/>
  <c r="L102" i="37" s="1"/>
  <c r="G257" i="22"/>
  <c r="L152" i="37" s="1"/>
  <c r="G184" i="22"/>
  <c r="L93" i="37" s="1"/>
  <c r="G221" i="22"/>
  <c r="L105" i="37" s="1"/>
  <c r="G61" i="22"/>
  <c r="L51" i="37" s="1"/>
  <c r="G166" i="22"/>
  <c r="L94" i="37" s="1"/>
  <c r="G133" i="22"/>
  <c r="L266" i="37" s="1"/>
  <c r="G146" i="22"/>
  <c r="L40" i="37" s="1"/>
  <c r="G149" i="22"/>
  <c r="L54" i="37" s="1"/>
  <c r="G8" i="22"/>
  <c r="L179" i="37" s="1"/>
  <c r="G249" i="22"/>
  <c r="L204" i="37" s="1"/>
  <c r="G213" i="22"/>
  <c r="L151" i="37" s="1"/>
  <c r="G38" i="22"/>
  <c r="L240" i="37" s="1"/>
  <c r="G260" i="22"/>
  <c r="L189" i="37" s="1"/>
  <c r="G27" i="22"/>
  <c r="L216" i="37" s="1"/>
  <c r="G153" i="22"/>
  <c r="L134" i="37" s="1"/>
  <c r="G116" i="22"/>
  <c r="L6" i="37" s="1"/>
  <c r="G228" i="22"/>
  <c r="L305" i="37" s="1"/>
  <c r="G282" i="22"/>
  <c r="L33" i="37" s="1"/>
  <c r="G218" i="22"/>
  <c r="L140" i="37" s="1"/>
  <c r="G162" i="22"/>
  <c r="L25" i="37" s="1"/>
  <c r="G252" i="22"/>
  <c r="L264" i="37" s="1"/>
  <c r="G262" i="22"/>
  <c r="L107" i="37" s="1"/>
  <c r="G46" i="22"/>
  <c r="L31" i="37" s="1"/>
  <c r="G263" i="22"/>
  <c r="L61" i="37" s="1"/>
  <c r="G281" i="22"/>
  <c r="L11" i="37" s="1"/>
  <c r="G48" i="22"/>
  <c r="L73" i="37" s="1"/>
  <c r="G205" i="22"/>
  <c r="L262" i="37" s="1"/>
  <c r="G239" i="22"/>
  <c r="L314" i="37" s="1"/>
  <c r="G225" i="22"/>
  <c r="L315" i="37" s="1"/>
  <c r="G66" i="22"/>
  <c r="L9" i="37" s="1"/>
  <c r="G186" i="22"/>
  <c r="L78" i="37" s="1"/>
  <c r="G176" i="22"/>
  <c r="L225" i="37" s="1"/>
  <c r="G159" i="22"/>
  <c r="L125" i="37" s="1"/>
  <c r="G279" i="22"/>
  <c r="L255" i="37" s="1"/>
  <c r="G200" i="22"/>
  <c r="L307" i="37" s="1"/>
  <c r="G266" i="22"/>
  <c r="L183" i="37" s="1"/>
  <c r="G321" i="22"/>
  <c r="L169" i="37" s="1"/>
  <c r="G157" i="22"/>
  <c r="L206" i="37" s="1"/>
  <c r="G63" i="22"/>
  <c r="L118" i="37" s="1"/>
  <c r="G114" i="22"/>
  <c r="L14" i="37" s="1"/>
  <c r="G206" i="22"/>
  <c r="L253" i="37" s="1"/>
  <c r="G56" i="22"/>
  <c r="L63" i="37" s="1"/>
  <c r="G161" i="22"/>
  <c r="L165" i="37" s="1"/>
  <c r="G220" i="22"/>
  <c r="L289" i="37" s="1"/>
  <c r="G320" i="22"/>
  <c r="L44" i="37" s="1"/>
  <c r="G190" i="22"/>
  <c r="L143" i="37" s="1"/>
  <c r="G74" i="22"/>
  <c r="L233" i="37" s="1"/>
  <c r="G73" i="22"/>
  <c r="L205" i="37" s="1"/>
  <c r="G194" i="22"/>
  <c r="L318" i="37" s="1"/>
  <c r="G311" i="22"/>
  <c r="L153" i="37" s="1"/>
  <c r="G11" i="22"/>
  <c r="L124" i="37" s="1"/>
  <c r="G172" i="22"/>
  <c r="L229" i="37" s="1"/>
  <c r="G177" i="22"/>
  <c r="L85" i="37" s="1"/>
  <c r="G229" i="22"/>
  <c r="L141" i="37" s="1"/>
  <c r="G39" i="22"/>
  <c r="L75" i="37" s="1"/>
  <c r="G294" i="22"/>
  <c r="L171" i="37" s="1"/>
  <c r="G109" i="22"/>
  <c r="L301" i="37" s="1"/>
  <c r="G125" i="22"/>
  <c r="L256" i="37" s="1"/>
  <c r="G312" i="22"/>
  <c r="L12" i="37" s="1"/>
  <c r="G188" i="22"/>
  <c r="L43" i="37" s="1"/>
  <c r="G120" i="22"/>
  <c r="L86" i="37" s="1"/>
  <c r="G234" i="22"/>
  <c r="L254" i="37" s="1"/>
  <c r="G70" i="22"/>
  <c r="L308" i="37" s="1"/>
  <c r="G57" i="22"/>
  <c r="L148" i="37" s="1"/>
  <c r="G122" i="22"/>
  <c r="L67" i="37" s="1"/>
  <c r="G169" i="22"/>
  <c r="L287" i="37" s="1"/>
  <c r="G91" i="22"/>
  <c r="L48" i="37" s="1"/>
  <c r="G191" i="22"/>
  <c r="L108" i="37" s="1"/>
  <c r="G215" i="22"/>
  <c r="L251" i="37" s="1"/>
  <c r="G298" i="22"/>
  <c r="L147" i="37" s="1"/>
  <c r="G223" i="22"/>
  <c r="L110" i="37" s="1"/>
  <c r="G93" i="22"/>
  <c r="L198" i="37" s="1"/>
  <c r="G253" i="22"/>
  <c r="L212" i="37" s="1"/>
  <c r="G67" i="22"/>
  <c r="L36" i="37" s="1"/>
  <c r="G238" i="22"/>
  <c r="L281" i="37" s="1"/>
  <c r="G82" i="22"/>
  <c r="L180" i="37" s="1"/>
  <c r="G35" i="22"/>
  <c r="L313" i="37" s="1"/>
  <c r="G235" i="22"/>
  <c r="L166" i="37" s="1"/>
  <c r="G111" i="22"/>
  <c r="L324" i="37" s="1"/>
  <c r="G292" i="22"/>
  <c r="L42" i="37" s="1"/>
  <c r="G185" i="22"/>
  <c r="L58" i="37" s="1"/>
  <c r="G18" i="22"/>
  <c r="L52" i="37" s="1"/>
  <c r="G143" i="22"/>
  <c r="L64" i="37" s="1"/>
  <c r="G164" i="22"/>
  <c r="L24" i="37" s="1"/>
  <c r="G168" i="22"/>
  <c r="L15" i="37" s="1"/>
  <c r="G251" i="22"/>
  <c r="L196" i="37" s="1"/>
  <c r="G197" i="22"/>
  <c r="L292" i="37" s="1"/>
  <c r="G274" i="22"/>
  <c r="L164" i="37" s="1"/>
  <c r="G10" i="22"/>
  <c r="L288" i="37" s="1"/>
  <c r="G180" i="22"/>
  <c r="L132" i="37" s="1"/>
  <c r="G29" i="22"/>
  <c r="L114" i="37" s="1"/>
  <c r="G318" i="22"/>
  <c r="L19" i="37" s="1"/>
  <c r="G31" i="22"/>
  <c r="L7" i="37" s="1"/>
  <c r="G256" i="22"/>
  <c r="L65" i="37" s="1"/>
  <c r="G269" i="22"/>
  <c r="L322" i="37" s="1"/>
  <c r="G276" i="22"/>
  <c r="L116" i="37" s="1"/>
  <c r="G129" i="22"/>
  <c r="L136" i="37" s="1"/>
  <c r="G259" i="22"/>
  <c r="L202" i="37" s="1"/>
  <c r="G152" i="22"/>
  <c r="L29" i="37" s="1"/>
  <c r="G216" i="22"/>
  <c r="L285" i="37" s="1"/>
  <c r="G270" i="22"/>
  <c r="L298" i="37" s="1"/>
  <c r="G304" i="22"/>
  <c r="L146" i="37" s="1"/>
  <c r="G103" i="22"/>
  <c r="L299" i="37" s="1"/>
  <c r="G196" i="22"/>
  <c r="L283" i="37" s="1"/>
  <c r="G199" i="22"/>
  <c r="L246" i="37" s="1"/>
  <c r="G84" i="22"/>
  <c r="L127" i="37" s="1"/>
  <c r="G308" i="22"/>
  <c r="L190" i="37" s="1"/>
  <c r="G264" i="22"/>
  <c r="L96" i="37" s="1"/>
  <c r="G24" i="22"/>
  <c r="L265" i="37" s="1"/>
  <c r="G7" i="22"/>
  <c r="L126" i="37" s="1"/>
  <c r="G178" i="22"/>
  <c r="L34" i="37" s="1"/>
  <c r="G128" i="22"/>
  <c r="L195" i="37" s="1"/>
  <c r="G156" i="22"/>
  <c r="L243" i="37" s="1"/>
  <c r="G49" i="22"/>
  <c r="L13" i="37" s="1"/>
  <c r="G37" i="22"/>
  <c r="L309" i="37" s="1"/>
  <c r="G69" i="22"/>
  <c r="L112" i="37" s="1"/>
  <c r="G22" i="22"/>
  <c r="L234" i="37" s="1"/>
  <c r="G289" i="22"/>
  <c r="L267" i="37" s="1"/>
  <c r="G305" i="22"/>
  <c r="L158" i="37" s="1"/>
  <c r="G85" i="22"/>
  <c r="L170" i="37" s="1"/>
  <c r="G254" i="22"/>
  <c r="L159" i="37" s="1"/>
  <c r="G138" i="22"/>
  <c r="L103" i="37" s="1"/>
  <c r="G32" i="22"/>
  <c r="L228" i="37" s="1"/>
  <c r="G104" i="22"/>
  <c r="L250" i="37" s="1"/>
  <c r="G236" i="22"/>
  <c r="L193" i="37" s="1"/>
  <c r="G158" i="22"/>
  <c r="L237" i="37" s="1"/>
  <c r="G101" i="22"/>
  <c r="L320" i="37" s="1"/>
  <c r="G302" i="22"/>
  <c r="L57" i="37" s="1"/>
  <c r="G72" i="22"/>
  <c r="L97" i="37" s="1"/>
  <c r="G291" i="22"/>
  <c r="L168" i="37" s="1"/>
  <c r="G201" i="22"/>
  <c r="L302" i="37" s="1"/>
  <c r="G127" i="22"/>
  <c r="L300" i="37" s="1"/>
  <c r="G296" i="22"/>
  <c r="L199" i="37" s="1"/>
  <c r="G50" i="22"/>
  <c r="L74" i="37" s="1"/>
  <c r="G317" i="22"/>
  <c r="L186" i="37" s="1"/>
  <c r="G34" i="22"/>
  <c r="L242" i="37" s="1"/>
  <c r="G110" i="22"/>
  <c r="L295" i="37" s="1"/>
  <c r="G283" i="22"/>
  <c r="L16" i="37" s="1"/>
  <c r="G211" i="22"/>
  <c r="L80" i="37" s="1"/>
  <c r="G245" i="22"/>
  <c r="L311" i="37" s="1"/>
  <c r="G160" i="22"/>
  <c r="L139" i="37" s="1"/>
  <c r="G23" i="22"/>
  <c r="L161" i="37" s="1"/>
  <c r="G154" i="22"/>
  <c r="L172" i="37" s="1"/>
  <c r="G43" i="22"/>
  <c r="L28" i="37" s="1"/>
  <c r="G261" i="22"/>
  <c r="L70" i="37" s="1"/>
  <c r="G83" i="22"/>
  <c r="L35" i="37" s="1"/>
  <c r="G248" i="22"/>
  <c r="L291" i="37" s="1"/>
  <c r="G123" i="22"/>
  <c r="L273" i="37" s="1"/>
  <c r="G187" i="22"/>
  <c r="L160" i="37" s="1"/>
  <c r="G14" i="22"/>
  <c r="L268" i="37" s="1"/>
  <c r="G105" i="22"/>
  <c r="L210" i="37" s="1"/>
  <c r="G40" i="22"/>
  <c r="L76" i="37" s="1"/>
  <c r="G277" i="22"/>
  <c r="L113" i="37" s="1"/>
  <c r="G275" i="22"/>
  <c r="L194" i="37" s="1"/>
  <c r="G303" i="22"/>
  <c r="L131" i="37" s="1"/>
  <c r="G179" i="22"/>
  <c r="L156" i="37" s="1"/>
  <c r="G19" i="22"/>
  <c r="L174" i="37" s="1"/>
  <c r="G92" i="22"/>
  <c r="L154" i="37" s="1"/>
  <c r="G88" i="22"/>
  <c r="L182" i="37" s="1"/>
  <c r="G96" i="22"/>
  <c r="L319" i="37" s="1"/>
  <c r="G119" i="22"/>
  <c r="L87" i="37" s="1"/>
  <c r="G175" i="22"/>
  <c r="L201" i="37" s="1"/>
  <c r="G314" i="22"/>
  <c r="L279" i="37" s="1"/>
  <c r="G59" i="22"/>
  <c r="L316" i="37" s="1"/>
  <c r="G227" i="22"/>
  <c r="L293" i="37" s="1"/>
  <c r="G173" i="22"/>
  <c r="L104" i="37" s="1"/>
  <c r="G102" i="22"/>
  <c r="L208" i="37" s="1"/>
  <c r="G222" i="22"/>
  <c r="L90" i="37" s="1"/>
  <c r="G13" i="22"/>
  <c r="L100" i="37" s="1"/>
  <c r="G75" i="22"/>
  <c r="L128" i="37" s="1"/>
  <c r="G209" i="22"/>
  <c r="L91" i="37" s="1"/>
  <c r="G231" i="22"/>
  <c r="L69" i="37" s="1"/>
  <c r="G319" i="22"/>
  <c r="L213" i="37" s="1"/>
  <c r="G47" i="22"/>
  <c r="L282" i="37" s="1"/>
  <c r="G300" i="22"/>
  <c r="L83" i="37" s="1"/>
  <c r="G242" i="22"/>
  <c r="L236" i="37" s="1"/>
  <c r="G52" i="22"/>
  <c r="L163" i="37" s="1"/>
  <c r="G132" i="22"/>
  <c r="L62" i="37" s="1"/>
  <c r="G244" i="22"/>
  <c r="L272" i="37" s="1"/>
  <c r="G3" i="22"/>
  <c r="L55" i="37" s="1"/>
  <c r="G42" i="22"/>
  <c r="L297" i="37" s="1"/>
  <c r="G230" i="22"/>
  <c r="L296" i="37" s="1"/>
  <c r="G94" i="22"/>
  <c r="L184" i="37" s="1"/>
  <c r="G53" i="22"/>
  <c r="L135" i="37" s="1"/>
  <c r="G77" i="22"/>
  <c r="L187" i="37" s="1"/>
  <c r="G54" i="22"/>
  <c r="L95" i="37" s="1"/>
  <c r="G65" i="22"/>
  <c r="L223" i="37" s="1"/>
  <c r="G313" i="22"/>
  <c r="L263" i="37" s="1"/>
  <c r="G204" i="22"/>
  <c r="L218" i="37" s="1"/>
  <c r="G181" i="22"/>
  <c r="L145" i="37" s="1"/>
  <c r="G233" i="22"/>
  <c r="L257" i="37" s="1"/>
  <c r="G117" i="22"/>
  <c r="L133" i="37" s="1"/>
  <c r="G76" i="22"/>
  <c r="L98" i="37" s="1"/>
  <c r="G214" i="22"/>
  <c r="L157" i="37" s="1"/>
  <c r="G107" i="22"/>
  <c r="L101" i="37" s="1"/>
  <c r="G240" i="22"/>
  <c r="L45" i="37" s="1"/>
  <c r="G68" i="22"/>
  <c r="L92" i="37" s="1"/>
  <c r="G141" i="22"/>
  <c r="L138" i="37" s="1"/>
  <c r="G307" i="22"/>
  <c r="L220" i="37" s="1"/>
  <c r="G295" i="22"/>
  <c r="L72" i="37" s="1"/>
  <c r="G243" i="22"/>
  <c r="L217" i="37" s="1"/>
  <c r="G285" i="22"/>
  <c r="L290" i="37" s="1"/>
  <c r="G273" i="22"/>
  <c r="L176" i="37" s="1"/>
  <c r="G36" i="22"/>
  <c r="L271" i="37" s="1"/>
  <c r="G100" i="22"/>
  <c r="L219" i="37" s="1"/>
  <c r="G193" i="22"/>
  <c r="L317" i="37" s="1"/>
  <c r="G167" i="22"/>
  <c r="L20" i="37" s="1"/>
  <c r="G5" i="22"/>
  <c r="L248" i="37" s="1"/>
  <c r="G267" i="22"/>
  <c r="L173" i="37" s="1"/>
  <c r="G315" i="22"/>
  <c r="L249" i="37" s="1"/>
  <c r="G26" i="22"/>
  <c r="L239" i="37" s="1"/>
  <c r="I229" i="22"/>
  <c r="N141" i="37" s="1"/>
  <c r="I315" i="22"/>
  <c r="N249" i="37" s="1"/>
  <c r="F212" i="22"/>
  <c r="K82" i="37" s="1"/>
  <c r="I100" i="22"/>
  <c r="N219" i="37" s="1"/>
  <c r="G278" i="22"/>
  <c r="L41" i="37" s="1"/>
  <c r="I243" i="22"/>
  <c r="N217" i="37" s="1"/>
  <c r="G232" i="22"/>
  <c r="L280" i="37" s="1"/>
  <c r="I68" i="22"/>
  <c r="N92" i="37" s="1"/>
  <c r="G189" i="22"/>
  <c r="L203" i="37" s="1"/>
  <c r="H99" i="22"/>
  <c r="M321" i="37" s="1"/>
  <c r="H140" i="22"/>
  <c r="M115" i="37" s="1"/>
  <c r="H16" i="22"/>
  <c r="M209" i="37" s="1"/>
  <c r="H44" i="22"/>
  <c r="M215" i="37" s="1"/>
  <c r="H64" i="22"/>
  <c r="M224" i="37" s="1"/>
  <c r="H137" i="22"/>
  <c r="M22" i="37" s="1"/>
  <c r="H306" i="22"/>
  <c r="M192" i="37" s="1"/>
  <c r="H163" i="22"/>
  <c r="M89" i="37" s="1"/>
  <c r="H78" i="22"/>
  <c r="M231" i="37" s="1"/>
  <c r="H45" i="22"/>
  <c r="M211" i="37" s="1"/>
  <c r="H80" i="22"/>
  <c r="M17" i="37" s="1"/>
  <c r="H20" i="22"/>
  <c r="M77" i="37" s="1"/>
  <c r="H144" i="22"/>
  <c r="M21" i="37" s="1"/>
  <c r="H203" i="22"/>
  <c r="M310" i="37" s="1"/>
  <c r="H272" i="22"/>
  <c r="M130" i="37" s="1"/>
  <c r="H124" i="22"/>
  <c r="M260" i="37" s="1"/>
  <c r="H41" i="22"/>
  <c r="M39" i="37" s="1"/>
  <c r="H309" i="22"/>
  <c r="M303" i="37" s="1"/>
  <c r="H28" i="22"/>
  <c r="M181" i="37" s="1"/>
  <c r="H131" i="22"/>
  <c r="M129" i="37" s="1"/>
  <c r="H150" i="22"/>
  <c r="M137" i="37" s="1"/>
  <c r="H189" i="22"/>
  <c r="M203" i="37" s="1"/>
  <c r="H310" i="22"/>
  <c r="M226" i="37" s="1"/>
  <c r="H134" i="22"/>
  <c r="M167" i="37" s="1"/>
  <c r="H217" i="22"/>
  <c r="M270" i="37" s="1"/>
  <c r="H232" i="22"/>
  <c r="M280" i="37" s="1"/>
  <c r="H126" i="22"/>
  <c r="M294" i="37" s="1"/>
  <c r="H115" i="22"/>
  <c r="M197" i="37" s="1"/>
  <c r="H51" i="22"/>
  <c r="M269" i="37" s="1"/>
  <c r="H278" i="22"/>
  <c r="M41" i="37" s="1"/>
  <c r="H106" i="22"/>
  <c r="M312" i="37" s="1"/>
  <c r="H71" i="22"/>
  <c r="M232" i="37" s="1"/>
  <c r="H250" i="22"/>
  <c r="M241" i="37" s="1"/>
  <c r="H212" i="22"/>
  <c r="M82" i="37" s="1"/>
  <c r="H121" i="22"/>
  <c r="M177" i="37" s="1"/>
  <c r="H9" i="22"/>
  <c r="M99" i="37" s="1"/>
  <c r="H113" i="22"/>
  <c r="M276" i="37" s="1"/>
  <c r="H4" i="22"/>
  <c r="M60" i="37" s="1"/>
  <c r="H224" i="22"/>
  <c r="M188" i="37" s="1"/>
  <c r="H139" i="22"/>
  <c r="M120" i="37" s="1"/>
  <c r="H301" i="22"/>
  <c r="M59" i="37" s="1"/>
  <c r="H265" i="22"/>
  <c r="M121" i="37" s="1"/>
  <c r="H86" i="22"/>
  <c r="M71" i="37" s="1"/>
  <c r="H33" i="22"/>
  <c r="M81" i="37" s="1"/>
  <c r="H322" i="22"/>
  <c r="M178" i="37" s="1"/>
  <c r="H98" i="22"/>
  <c r="M261" i="37" s="1"/>
  <c r="H62" i="22"/>
  <c r="M32" i="37" s="1"/>
  <c r="H135" i="22"/>
  <c r="M18" i="37" s="1"/>
  <c r="H136" i="22"/>
  <c r="M155" i="37" s="1"/>
  <c r="H21" i="22"/>
  <c r="M175" i="37" s="1"/>
  <c r="H12" i="22"/>
  <c r="M200" i="37" s="1"/>
  <c r="H25" i="22"/>
  <c r="M27" i="37" s="1"/>
  <c r="H297" i="22"/>
  <c r="M252" i="37" s="1"/>
  <c r="H170" i="22"/>
  <c r="M150" i="37" s="1"/>
  <c r="H280" i="22"/>
  <c r="M214" i="37" s="1"/>
  <c r="H202" i="22"/>
  <c r="M277" i="37" s="1"/>
  <c r="H55" i="22"/>
  <c r="M30" i="37" s="1"/>
  <c r="H183" i="22"/>
  <c r="M244" i="37" s="1"/>
  <c r="H171" i="22"/>
  <c r="M238" i="37" s="1"/>
  <c r="H6" i="22"/>
  <c r="M56" i="37" s="1"/>
  <c r="H112" i="22"/>
  <c r="M323" i="37" s="1"/>
  <c r="H30" i="22"/>
  <c r="M325" i="37" s="1"/>
  <c r="H287" i="22"/>
  <c r="M222" i="37" s="1"/>
  <c r="H174" i="22"/>
  <c r="M144" i="37" s="1"/>
  <c r="H15" i="22"/>
  <c r="M304" i="37" s="1"/>
  <c r="H89" i="22"/>
  <c r="M88" i="37" s="1"/>
  <c r="H290" i="22"/>
  <c r="M117" i="37" s="1"/>
  <c r="H210" i="22"/>
  <c r="M50" i="37" s="1"/>
  <c r="H142" i="22"/>
  <c r="M53" i="37" s="1"/>
  <c r="H182" i="22"/>
  <c r="M207" i="37" s="1"/>
  <c r="H219" i="22"/>
  <c r="M123" i="37" s="1"/>
  <c r="H255" i="22"/>
  <c r="M111" i="37" s="1"/>
  <c r="H145" i="22"/>
  <c r="M68" i="37" s="1"/>
  <c r="H299" i="22"/>
  <c r="M106" i="37" s="1"/>
  <c r="H237" i="22"/>
  <c r="M259" i="37" s="1"/>
  <c r="H87" i="22"/>
  <c r="M258" i="37" s="1"/>
  <c r="H155" i="22"/>
  <c r="M84" i="37" s="1"/>
  <c r="H246" i="22"/>
  <c r="M162" i="37" s="1"/>
  <c r="H208" i="22"/>
  <c r="M79" i="37" s="1"/>
  <c r="H195" i="22"/>
  <c r="M23" i="37" s="1"/>
  <c r="H165" i="22"/>
  <c r="M142" i="37" s="1"/>
  <c r="H17" i="22"/>
  <c r="M49" i="37" s="1"/>
  <c r="H293" i="22"/>
  <c r="M10" i="37" s="1"/>
  <c r="H198" i="22"/>
  <c r="M221" i="37" s="1"/>
  <c r="H130" i="22"/>
  <c r="M38" i="37" s="1"/>
  <c r="H226" i="22"/>
  <c r="M284" i="37" s="1"/>
  <c r="H79" i="22"/>
  <c r="M26" i="37" s="1"/>
  <c r="H90" i="22"/>
  <c r="M46" i="37" s="1"/>
  <c r="H241" i="22"/>
  <c r="M37" i="37" s="1"/>
  <c r="H147" i="22"/>
  <c r="M119" i="37" s="1"/>
  <c r="H97" i="22"/>
  <c r="M230" i="37" s="1"/>
  <c r="H316" i="22"/>
  <c r="M8" i="37" s="1"/>
  <c r="H258" i="22"/>
  <c r="M122" i="37" s="1"/>
  <c r="H271" i="22"/>
  <c r="M274" i="37" s="1"/>
  <c r="H151" i="22"/>
  <c r="M247" i="37" s="1"/>
  <c r="H284" i="22"/>
  <c r="M102" i="37" s="1"/>
  <c r="H257" i="22"/>
  <c r="M152" i="37" s="1"/>
  <c r="H184" i="22"/>
  <c r="M93" i="37" s="1"/>
  <c r="H221" i="22"/>
  <c r="M105" i="37" s="1"/>
  <c r="H61" i="22"/>
  <c r="M51" i="37" s="1"/>
  <c r="H166" i="22"/>
  <c r="M94" i="37" s="1"/>
  <c r="H133" i="22"/>
  <c r="M266" i="37" s="1"/>
  <c r="H146" i="22"/>
  <c r="M40" i="37" s="1"/>
  <c r="H149" i="22"/>
  <c r="M54" i="37" s="1"/>
  <c r="H8" i="22"/>
  <c r="M179" i="37" s="1"/>
  <c r="H249" i="22"/>
  <c r="M204" i="37" s="1"/>
  <c r="H213" i="22"/>
  <c r="M151" i="37" s="1"/>
  <c r="H38" i="22"/>
  <c r="M240" i="37" s="1"/>
  <c r="H260" i="22"/>
  <c r="M189" i="37" s="1"/>
  <c r="H27" i="22"/>
  <c r="M216" i="37" s="1"/>
  <c r="H153" i="22"/>
  <c r="M134" i="37" s="1"/>
  <c r="H81" i="22"/>
  <c r="M47" i="37" s="1"/>
  <c r="H58" i="22"/>
  <c r="M149" i="37" s="1"/>
  <c r="H116" i="22"/>
  <c r="M6" i="37" s="1"/>
  <c r="H228" i="22"/>
  <c r="M305" i="37" s="1"/>
  <c r="H282" i="22"/>
  <c r="M33" i="37" s="1"/>
  <c r="H218" i="22"/>
  <c r="M140" i="37" s="1"/>
  <c r="H162" i="22"/>
  <c r="M25" i="37" s="1"/>
  <c r="H252" i="22"/>
  <c r="M264" i="37" s="1"/>
  <c r="H262" i="22"/>
  <c r="M107" i="37" s="1"/>
  <c r="H46" i="22"/>
  <c r="M31" i="37" s="1"/>
  <c r="H263" i="22"/>
  <c r="M61" i="37" s="1"/>
  <c r="H281" i="22"/>
  <c r="M11" i="37" s="1"/>
  <c r="H48" i="22"/>
  <c r="M73" i="37" s="1"/>
  <c r="H205" i="22"/>
  <c r="M262" i="37" s="1"/>
  <c r="H239" i="22"/>
  <c r="M314" i="37" s="1"/>
  <c r="H225" i="22"/>
  <c r="M315" i="37" s="1"/>
  <c r="H66" i="22"/>
  <c r="M9" i="37" s="1"/>
  <c r="H186" i="22"/>
  <c r="M78" i="37" s="1"/>
  <c r="H176" i="22"/>
  <c r="M225" i="37" s="1"/>
  <c r="H159" i="22"/>
  <c r="M125" i="37" s="1"/>
  <c r="H279" i="22"/>
  <c r="M255" i="37" s="1"/>
  <c r="H200" i="22"/>
  <c r="M307" i="37" s="1"/>
  <c r="H266" i="22"/>
  <c r="M183" i="37" s="1"/>
  <c r="H321" i="22"/>
  <c r="M169" i="37" s="1"/>
  <c r="H157" i="22"/>
  <c r="M206" i="37" s="1"/>
  <c r="H63" i="22"/>
  <c r="M118" i="37" s="1"/>
  <c r="H114" i="22"/>
  <c r="M14" i="37" s="1"/>
  <c r="H206" i="22"/>
  <c r="M253" i="37" s="1"/>
  <c r="H56" i="22"/>
  <c r="M63" i="37" s="1"/>
  <c r="H161" i="22"/>
  <c r="M165" i="37" s="1"/>
  <c r="H220" i="22"/>
  <c r="M289" i="37" s="1"/>
  <c r="H320" i="22"/>
  <c r="M44" i="37" s="1"/>
  <c r="H190" i="22"/>
  <c r="M143" i="37" s="1"/>
  <c r="H74" i="22"/>
  <c r="M233" i="37" s="1"/>
  <c r="H73" i="22"/>
  <c r="M205" i="37" s="1"/>
  <c r="H194" i="22"/>
  <c r="M318" i="37" s="1"/>
  <c r="H311" i="22"/>
  <c r="M153" i="37" s="1"/>
  <c r="H11" i="22"/>
  <c r="M124" i="37" s="1"/>
  <c r="H172" i="22"/>
  <c r="M229" i="37" s="1"/>
  <c r="H177" i="22"/>
  <c r="M85" i="37" s="1"/>
  <c r="H229" i="22"/>
  <c r="M141" i="37" s="1"/>
  <c r="H39" i="22"/>
  <c r="M75" i="37" s="1"/>
  <c r="H294" i="22"/>
  <c r="M171" i="37" s="1"/>
  <c r="H109" i="22"/>
  <c r="M301" i="37" s="1"/>
  <c r="H125" i="22"/>
  <c r="M256" i="37" s="1"/>
  <c r="H312" i="22"/>
  <c r="M12" i="37" s="1"/>
  <c r="H188" i="22"/>
  <c r="M43" i="37" s="1"/>
  <c r="H120" i="22"/>
  <c r="M86" i="37" s="1"/>
  <c r="H234" i="22"/>
  <c r="M254" i="37" s="1"/>
  <c r="H70" i="22"/>
  <c r="M308" i="37" s="1"/>
  <c r="H57" i="22"/>
  <c r="M148" i="37" s="1"/>
  <c r="H122" i="22"/>
  <c r="M67" i="37" s="1"/>
  <c r="H169" i="22"/>
  <c r="M287" i="37" s="1"/>
  <c r="H91" i="22"/>
  <c r="M48" i="37" s="1"/>
  <c r="H191" i="22"/>
  <c r="M108" i="37" s="1"/>
  <c r="H215" i="22"/>
  <c r="M251" i="37" s="1"/>
  <c r="H298" i="22"/>
  <c r="M147" i="37" s="1"/>
  <c r="H223" i="22"/>
  <c r="M110" i="37" s="1"/>
  <c r="H93" i="22"/>
  <c r="M198" i="37" s="1"/>
  <c r="H253" i="22"/>
  <c r="M212" i="37" s="1"/>
  <c r="H67" i="22"/>
  <c r="M36" i="37" s="1"/>
  <c r="H238" i="22"/>
  <c r="M281" i="37" s="1"/>
  <c r="H82" i="22"/>
  <c r="M180" i="37" s="1"/>
  <c r="H35" i="22"/>
  <c r="M313" i="37" s="1"/>
  <c r="H235" i="22"/>
  <c r="M166" i="37" s="1"/>
  <c r="H111" i="22"/>
  <c r="M324" i="37" s="1"/>
  <c r="H292" i="22"/>
  <c r="M42" i="37" s="1"/>
  <c r="H185" i="22"/>
  <c r="M58" i="37" s="1"/>
  <c r="H143" i="22"/>
  <c r="M64" i="37" s="1"/>
  <c r="H164" i="22"/>
  <c r="M24" i="37" s="1"/>
  <c r="H168" i="22"/>
  <c r="M15" i="37" s="1"/>
  <c r="H251" i="22"/>
  <c r="M196" i="37" s="1"/>
  <c r="H197" i="22"/>
  <c r="M292" i="37" s="1"/>
  <c r="H274" i="22"/>
  <c r="M164" i="37" s="1"/>
  <c r="H10" i="22"/>
  <c r="M288" i="37" s="1"/>
  <c r="H180" i="22"/>
  <c r="M132" i="37" s="1"/>
  <c r="H29" i="22"/>
  <c r="M114" i="37" s="1"/>
  <c r="H318" i="22"/>
  <c r="M19" i="37" s="1"/>
  <c r="H31" i="22"/>
  <c r="M7" i="37" s="1"/>
  <c r="H256" i="22"/>
  <c r="M65" i="37" s="1"/>
  <c r="H269" i="22"/>
  <c r="M322" i="37" s="1"/>
  <c r="H276" i="22"/>
  <c r="M116" i="37" s="1"/>
  <c r="H129" i="22"/>
  <c r="M136" i="37" s="1"/>
  <c r="H259" i="22"/>
  <c r="M202" i="37" s="1"/>
  <c r="H152" i="22"/>
  <c r="M29" i="37" s="1"/>
  <c r="H216" i="22"/>
  <c r="M285" i="37" s="1"/>
  <c r="H270" i="22"/>
  <c r="M298" i="37" s="1"/>
  <c r="H304" i="22"/>
  <c r="M146" i="37" s="1"/>
  <c r="H103" i="22"/>
  <c r="M299" i="37" s="1"/>
  <c r="H196" i="22"/>
  <c r="M283" i="37" s="1"/>
  <c r="H199" i="22"/>
  <c r="M246" i="37" s="1"/>
  <c r="H84" i="22"/>
  <c r="M127" i="37" s="1"/>
  <c r="H308" i="22"/>
  <c r="M190" i="37" s="1"/>
  <c r="H264" i="22"/>
  <c r="M96" i="37" s="1"/>
  <c r="H24" i="22"/>
  <c r="M265" i="37" s="1"/>
  <c r="H7" i="22"/>
  <c r="M126" i="37" s="1"/>
  <c r="H178" i="22"/>
  <c r="M34" i="37" s="1"/>
  <c r="H128" i="22"/>
  <c r="M195" i="37" s="1"/>
  <c r="H156" i="22"/>
  <c r="M243" i="37" s="1"/>
  <c r="H49" i="22"/>
  <c r="M13" i="37" s="1"/>
  <c r="H37" i="22"/>
  <c r="M309" i="37" s="1"/>
  <c r="H69" i="22"/>
  <c r="M112" i="37" s="1"/>
  <c r="H22" i="22"/>
  <c r="M234" i="37" s="1"/>
  <c r="H289" i="22"/>
  <c r="M267" i="37" s="1"/>
  <c r="H305" i="22"/>
  <c r="M158" i="37" s="1"/>
  <c r="H85" i="22"/>
  <c r="M170" i="37" s="1"/>
  <c r="H254" i="22"/>
  <c r="M159" i="37" s="1"/>
  <c r="H138" i="22"/>
  <c r="M103" i="37" s="1"/>
  <c r="H32" i="22"/>
  <c r="M228" i="37" s="1"/>
  <c r="H104" i="22"/>
  <c r="M250" i="37" s="1"/>
  <c r="H236" i="22"/>
  <c r="M193" i="37" s="1"/>
  <c r="H158" i="22"/>
  <c r="M237" i="37" s="1"/>
  <c r="H101" i="22"/>
  <c r="M320" i="37" s="1"/>
  <c r="H302" i="22"/>
  <c r="M57" i="37" s="1"/>
  <c r="H72" i="22"/>
  <c r="M97" i="37" s="1"/>
  <c r="H50" i="22"/>
  <c r="M74" i="37" s="1"/>
  <c r="H317" i="22"/>
  <c r="M186" i="37" s="1"/>
  <c r="H34" i="22"/>
  <c r="M242" i="37" s="1"/>
  <c r="H110" i="22"/>
  <c r="M295" i="37" s="1"/>
  <c r="H283" i="22"/>
  <c r="M16" i="37" s="1"/>
  <c r="H211" i="22"/>
  <c r="M80" i="37" s="1"/>
  <c r="H245" i="22"/>
  <c r="M311" i="37" s="1"/>
  <c r="H160" i="22"/>
  <c r="M139" i="37" s="1"/>
  <c r="H23" i="22"/>
  <c r="M161" i="37" s="1"/>
  <c r="H154" i="22"/>
  <c r="M172" i="37" s="1"/>
  <c r="H43" i="22"/>
  <c r="M28" i="37" s="1"/>
  <c r="H261" i="22"/>
  <c r="M70" i="37" s="1"/>
  <c r="H83" i="22"/>
  <c r="M35" i="37" s="1"/>
  <c r="H248" i="22"/>
  <c r="M291" i="37" s="1"/>
  <c r="H123" i="22"/>
  <c r="M273" i="37" s="1"/>
  <c r="H187" i="22"/>
  <c r="M160" i="37" s="1"/>
  <c r="H14" i="22"/>
  <c r="M268" i="37" s="1"/>
  <c r="H105" i="22"/>
  <c r="M210" i="37" s="1"/>
  <c r="H40" i="22"/>
  <c r="M76" i="37" s="1"/>
  <c r="H277" i="22"/>
  <c r="M113" i="37" s="1"/>
  <c r="H275" i="22"/>
  <c r="M194" i="37" s="1"/>
  <c r="H303" i="22"/>
  <c r="M131" i="37" s="1"/>
  <c r="H179" i="22"/>
  <c r="M156" i="37" s="1"/>
  <c r="H19" i="22"/>
  <c r="M174" i="37" s="1"/>
  <c r="H92" i="22"/>
  <c r="M154" i="37" s="1"/>
  <c r="H88" i="22"/>
  <c r="M182" i="37" s="1"/>
  <c r="H96" i="22"/>
  <c r="M319" i="37" s="1"/>
  <c r="H119" i="22"/>
  <c r="M87" i="37" s="1"/>
  <c r="H175" i="22"/>
  <c r="M201" i="37" s="1"/>
  <c r="H314" i="22"/>
  <c r="M279" i="37" s="1"/>
  <c r="H59" i="22"/>
  <c r="M316" i="37" s="1"/>
  <c r="H227" i="22"/>
  <c r="M293" i="37" s="1"/>
  <c r="H173" i="22"/>
  <c r="M104" i="37" s="1"/>
  <c r="H102" i="22"/>
  <c r="M208" i="37" s="1"/>
  <c r="H222" i="22"/>
  <c r="M90" i="37" s="1"/>
  <c r="H13" i="22"/>
  <c r="M100" i="37" s="1"/>
  <c r="H75" i="22"/>
  <c r="M128" i="37" s="1"/>
  <c r="H231" i="22"/>
  <c r="M69" i="37" s="1"/>
  <c r="H319" i="22"/>
  <c r="M213" i="37" s="1"/>
  <c r="H47" i="22"/>
  <c r="M282" i="37" s="1"/>
  <c r="H300" i="22"/>
  <c r="M83" i="37" s="1"/>
  <c r="H242" i="22"/>
  <c r="M236" i="37" s="1"/>
  <c r="H52" i="22"/>
  <c r="M163" i="37" s="1"/>
  <c r="H315" i="22"/>
  <c r="M249" i="37" s="1"/>
  <c r="H100" i="22"/>
  <c r="M219" i="37" s="1"/>
  <c r="F278" i="22"/>
  <c r="K41" i="37" s="1"/>
  <c r="H243" i="22"/>
  <c r="M217" i="37" s="1"/>
  <c r="F232" i="22"/>
  <c r="K280" i="37" s="1"/>
  <c r="H68" i="22"/>
  <c r="M92" i="37" s="1"/>
  <c r="F189" i="22"/>
  <c r="K203" i="37" s="1"/>
  <c r="I242" i="22"/>
  <c r="N236" i="37" s="1"/>
  <c r="H95" i="22"/>
  <c r="M306" i="37" s="1"/>
  <c r="I231" i="22"/>
  <c r="N69" i="37" s="1"/>
  <c r="R43" i="37"/>
  <c r="R12" i="37"/>
  <c r="R256" i="37"/>
  <c r="R151" i="37"/>
  <c r="R130" i="43"/>
  <c r="S130" i="43" s="1"/>
  <c r="R105" i="46"/>
  <c r="S105" i="46" s="1"/>
  <c r="R105" i="52"/>
  <c r="S105" i="52" s="1"/>
  <c r="M87" i="22"/>
  <c r="R102" i="50"/>
  <c r="S102" i="50" s="1"/>
  <c r="M155" i="22"/>
  <c r="R125" i="45"/>
  <c r="S125" i="45" s="1"/>
  <c r="M133" i="22"/>
  <c r="M130" i="22"/>
  <c r="M219" i="22"/>
  <c r="M61" i="22"/>
  <c r="R129" i="44"/>
  <c r="S129" i="44" s="1"/>
  <c r="M257" i="22"/>
  <c r="M299" i="22"/>
  <c r="M149" i="22"/>
  <c r="M118" i="22"/>
  <c r="M284" i="22"/>
  <c r="R289" i="37"/>
  <c r="R63" i="37"/>
  <c r="AH259" i="37"/>
  <c r="O237" i="22" s="1"/>
  <c r="R97" i="50"/>
  <c r="S97" i="50" s="1"/>
  <c r="R149" i="37"/>
  <c r="R216" i="37"/>
  <c r="R189" i="37"/>
  <c r="R54" i="37"/>
  <c r="R40" i="37"/>
  <c r="R33" i="37"/>
  <c r="M90" i="22"/>
  <c r="M293" i="22"/>
  <c r="M241" i="22"/>
  <c r="R113" i="50"/>
  <c r="S113" i="50" s="1"/>
  <c r="R118" i="50"/>
  <c r="S118" i="50" s="1"/>
  <c r="M17" i="22"/>
  <c r="R107" i="51"/>
  <c r="S107" i="51" s="1"/>
  <c r="R104" i="52"/>
  <c r="S104" i="52" s="1"/>
  <c r="M291" i="22"/>
  <c r="M31" i="22"/>
  <c r="M259" i="22"/>
  <c r="M40" i="22"/>
  <c r="M92" i="22"/>
  <c r="M127" i="22"/>
  <c r="M254" i="22"/>
  <c r="M103" i="22"/>
  <c r="M37" i="22"/>
  <c r="M128" i="22"/>
  <c r="M222" i="22"/>
  <c r="M110" i="22"/>
  <c r="M179" i="22"/>
  <c r="M270" i="22"/>
  <c r="M138" i="22"/>
  <c r="M88" i="22"/>
  <c r="M101" i="22"/>
  <c r="M158" i="22"/>
  <c r="M59" i="22"/>
  <c r="M156" i="22"/>
  <c r="M83" i="22"/>
  <c r="M227" i="22"/>
  <c r="M304" i="22"/>
  <c r="M302" i="22"/>
  <c r="M102" i="22"/>
  <c r="M50" i="22"/>
  <c r="M173" i="22"/>
  <c r="M96" i="22"/>
  <c r="M317" i="22"/>
  <c r="M32" i="22"/>
  <c r="M14" i="22"/>
  <c r="M105" i="22"/>
  <c r="M249" i="22"/>
  <c r="R204" i="37"/>
  <c r="M8" i="22"/>
  <c r="M279" i="22"/>
  <c r="M159" i="22"/>
  <c r="R125" i="37"/>
  <c r="M199" i="22"/>
  <c r="M216" i="22"/>
  <c r="M148" i="22"/>
  <c r="R109" i="37"/>
  <c r="M255" i="22"/>
  <c r="R111" i="37"/>
  <c r="M290" i="22"/>
  <c r="M184" i="22"/>
  <c r="R93" i="37"/>
  <c r="M228" i="22"/>
  <c r="M266" i="22"/>
  <c r="M91" i="22"/>
  <c r="M152" i="22"/>
  <c r="M58" i="22"/>
  <c r="M210" i="22"/>
  <c r="M89" i="22"/>
  <c r="M166" i="22"/>
  <c r="M221" i="22"/>
  <c r="R105" i="37"/>
  <c r="M151" i="22"/>
  <c r="M316" i="22"/>
  <c r="M97" i="22"/>
  <c r="M84" i="22"/>
  <c r="M39" i="22"/>
  <c r="M192" i="22"/>
  <c r="M250" i="22"/>
  <c r="R241" i="37"/>
  <c r="M71" i="22"/>
  <c r="R232" i="37"/>
  <c r="M174" i="22"/>
  <c r="R144" i="37"/>
  <c r="M6" i="22"/>
  <c r="M237" i="22"/>
  <c r="M145" i="22"/>
  <c r="M225" i="22"/>
  <c r="R315" i="37"/>
  <c r="M239" i="22"/>
  <c r="M205" i="22"/>
  <c r="M206" i="22"/>
  <c r="M294" i="22"/>
  <c r="M112" i="22"/>
  <c r="M280" i="22"/>
  <c r="M170" i="22"/>
  <c r="M114" i="22"/>
  <c r="R14" i="37"/>
  <c r="M264" i="22"/>
  <c r="M213" i="22"/>
  <c r="M109" i="22"/>
  <c r="M260" i="22"/>
  <c r="M167" i="22"/>
  <c r="R20" i="37"/>
  <c r="M193" i="22"/>
  <c r="R317" i="37"/>
  <c r="M36" i="22"/>
  <c r="R271" i="37"/>
  <c r="M126" i="22"/>
  <c r="R294" i="37"/>
  <c r="M224" i="22"/>
  <c r="R188" i="37"/>
  <c r="M113" i="22"/>
  <c r="M79" i="22"/>
  <c r="M245" i="22"/>
  <c r="M209" i="22"/>
  <c r="M232" i="22"/>
  <c r="R280" i="37"/>
  <c r="M217" i="22"/>
  <c r="R270" i="37"/>
  <c r="M28" i="22"/>
  <c r="R181" i="37"/>
  <c r="M165" i="22"/>
  <c r="M67" i="22"/>
  <c r="M13" i="22"/>
  <c r="M288" i="22"/>
  <c r="M207" i="22"/>
  <c r="R191" i="37"/>
  <c r="M268" i="22"/>
  <c r="R286" i="37"/>
  <c r="M21" i="22"/>
  <c r="M136" i="22"/>
  <c r="R155" i="37"/>
  <c r="M195" i="22"/>
  <c r="M238" i="22"/>
  <c r="M201" i="22"/>
  <c r="R302" i="37"/>
  <c r="M314" i="22"/>
  <c r="M76" i="22"/>
  <c r="M117" i="22"/>
  <c r="M322" i="22"/>
  <c r="M246" i="22"/>
  <c r="M81" i="22"/>
  <c r="R47" i="37"/>
  <c r="M160" i="22"/>
  <c r="M119" i="22"/>
  <c r="R87" i="37"/>
  <c r="M242" i="22"/>
  <c r="R236" i="37"/>
  <c r="M203" i="22"/>
  <c r="M144" i="22"/>
  <c r="M35" i="22"/>
  <c r="M23" i="22"/>
  <c r="M38" i="22"/>
  <c r="M29" i="22"/>
  <c r="M236" i="22"/>
  <c r="M104" i="22"/>
  <c r="R250" i="37"/>
  <c r="M175" i="22"/>
  <c r="R201" i="37"/>
  <c r="M283" i="22"/>
  <c r="M275" i="22"/>
  <c r="R194" i="37"/>
  <c r="M63" i="22"/>
  <c r="R118" i="37"/>
  <c r="M161" i="22"/>
  <c r="M157" i="22"/>
  <c r="M318" i="22"/>
  <c r="M289" i="22"/>
  <c r="M22" i="22"/>
  <c r="R234" i="37"/>
  <c r="M65" i="22"/>
  <c r="M93" i="22"/>
  <c r="M146" i="22"/>
  <c r="M308" i="22"/>
  <c r="M172" i="22"/>
  <c r="R229" i="37"/>
  <c r="M251" i="22"/>
  <c r="R196" i="37"/>
  <c r="M168" i="22"/>
  <c r="R15" i="37"/>
  <c r="M69" i="22"/>
  <c r="R112" i="37"/>
  <c r="M178" i="22"/>
  <c r="M187" i="22"/>
  <c r="R160" i="37"/>
  <c r="M248" i="22"/>
  <c r="R291" i="37"/>
  <c r="M177" i="22"/>
  <c r="M111" i="22"/>
  <c r="M123" i="22"/>
  <c r="M261" i="22"/>
  <c r="M42" i="22"/>
  <c r="M3" i="22"/>
  <c r="R55" i="37"/>
  <c r="M211" i="22"/>
  <c r="M220" i="22"/>
  <c r="M153" i="22"/>
  <c r="M74" i="22"/>
  <c r="R233" i="37"/>
  <c r="M190" i="22"/>
  <c r="R143" i="37"/>
  <c r="M253" i="22"/>
  <c r="M7" i="22"/>
  <c r="R126" i="37"/>
  <c r="M46" i="22"/>
  <c r="M234" i="22"/>
  <c r="M295" i="22"/>
  <c r="M307" i="22"/>
  <c r="M303" i="22"/>
  <c r="M226" i="22"/>
  <c r="M163" i="22"/>
  <c r="M43" i="22"/>
  <c r="M306" i="22"/>
  <c r="M196" i="22"/>
  <c r="M154" i="22"/>
  <c r="M287" i="22"/>
  <c r="M235" i="22"/>
  <c r="M169" i="22"/>
  <c r="M262" i="22"/>
  <c r="M120" i="22"/>
  <c r="M27" i="22"/>
  <c r="M11" i="22"/>
  <c r="M180" i="22"/>
  <c r="M72" i="22"/>
  <c r="M100" i="22"/>
  <c r="M188" i="22"/>
  <c r="M233" i="22"/>
  <c r="M41" i="22"/>
  <c r="M297" i="22"/>
  <c r="M147" i="22"/>
  <c r="M223" i="22"/>
  <c r="M24" i="22"/>
  <c r="M321" i="22"/>
  <c r="M82" i="22"/>
  <c r="M49" i="22"/>
  <c r="M277" i="22"/>
  <c r="M77" i="22"/>
  <c r="M80" i="22"/>
  <c r="M252" i="22"/>
  <c r="M60" i="22"/>
  <c r="M296" i="22"/>
  <c r="M267" i="22"/>
  <c r="M312" i="22"/>
  <c r="M129" i="22"/>
  <c r="M34" i="22"/>
  <c r="M47" i="22"/>
  <c r="M162" i="22"/>
  <c r="M56" i="22"/>
  <c r="M185" i="22"/>
  <c r="M85" i="22"/>
  <c r="M107" i="22"/>
  <c r="M125" i="22"/>
  <c r="M53" i="22"/>
  <c r="M244" i="22"/>
  <c r="M292" i="22"/>
  <c r="M305" i="22"/>
  <c r="M19" i="22"/>
  <c r="M94" i="22"/>
  <c r="M243" i="22"/>
  <c r="M142" i="22"/>
  <c r="R117" i="43"/>
  <c r="S117" i="43" s="1"/>
  <c r="AH308" i="37"/>
  <c r="O70" i="22" s="1"/>
  <c r="R108" i="49"/>
  <c r="S108" i="49" s="1"/>
  <c r="R122" i="52"/>
  <c r="S122" i="52" s="1"/>
  <c r="R119" i="52"/>
  <c r="S119" i="52" s="1"/>
  <c r="R101" i="44"/>
  <c r="S101" i="44" s="1"/>
  <c r="R115" i="49"/>
  <c r="S115" i="49" s="1"/>
  <c r="R101" i="55"/>
  <c r="S101" i="55" s="1"/>
  <c r="R110" i="43"/>
  <c r="S110" i="43" s="1"/>
  <c r="R120" i="43"/>
  <c r="S120" i="43" s="1"/>
  <c r="R111" i="44"/>
  <c r="S111" i="44" s="1"/>
  <c r="R103" i="55"/>
  <c r="S103" i="55" s="1"/>
  <c r="R109" i="43"/>
  <c r="S109" i="43" s="1"/>
  <c r="R112" i="44"/>
  <c r="S112" i="44" s="1"/>
  <c r="R119" i="46"/>
  <c r="S119" i="46" s="1"/>
  <c r="R122" i="46"/>
  <c r="S122" i="46" s="1"/>
  <c r="R115" i="56"/>
  <c r="S115" i="56" s="1"/>
  <c r="R111" i="55"/>
  <c r="S111" i="55" s="1"/>
  <c r="R112" i="55"/>
  <c r="S112" i="55" s="1"/>
  <c r="R103" i="50"/>
  <c r="S103" i="50" s="1"/>
  <c r="R98" i="56"/>
  <c r="S98" i="56" s="1"/>
  <c r="R103" i="44"/>
  <c r="S103" i="44" s="1"/>
  <c r="AH10" i="37"/>
  <c r="O293" i="22" s="1"/>
  <c r="AH101" i="37"/>
  <c r="O107" i="22" s="1"/>
  <c r="R105" i="48"/>
  <c r="S105" i="48" s="1"/>
  <c r="R102" i="51"/>
  <c r="S102" i="51" s="1"/>
  <c r="S102" i="47"/>
  <c r="T102" i="47" s="1"/>
  <c r="R104" i="54"/>
  <c r="S104" i="54" s="1"/>
  <c r="R113" i="51"/>
  <c r="S113" i="51" s="1"/>
  <c r="R118" i="51"/>
  <c r="S118" i="51" s="1"/>
  <c r="S118" i="47"/>
  <c r="T118" i="47" s="1"/>
  <c r="S113" i="47"/>
  <c r="T113" i="47" s="1"/>
  <c r="R107" i="46"/>
  <c r="S107" i="46" s="1"/>
  <c r="R104" i="48"/>
  <c r="S104" i="48" s="1"/>
  <c r="R123" i="54"/>
  <c r="S123" i="54" s="1"/>
  <c r="R110" i="49"/>
  <c r="S110" i="49" s="1"/>
  <c r="R120" i="56"/>
  <c r="S120" i="56" s="1"/>
  <c r="R99" i="48"/>
  <c r="S99" i="48" s="1"/>
  <c r="R120" i="49"/>
  <c r="S120" i="49" s="1"/>
  <c r="R98" i="54"/>
  <c r="S98" i="54" s="1"/>
  <c r="R115" i="48"/>
  <c r="S115" i="48" s="1"/>
  <c r="R99" i="54"/>
  <c r="S99" i="54" s="1"/>
  <c r="R101" i="46"/>
  <c r="S101" i="46" s="1"/>
  <c r="R101" i="52"/>
  <c r="S101" i="52" s="1"/>
  <c r="R125" i="48"/>
  <c r="S125" i="48" s="1"/>
  <c r="R122" i="50"/>
  <c r="S122" i="50" s="1"/>
  <c r="R130" i="55"/>
  <c r="S130" i="55" s="1"/>
  <c r="S107" i="47"/>
  <c r="T107" i="47" s="1"/>
  <c r="R98" i="48"/>
  <c r="S98" i="48" s="1"/>
  <c r="R112" i="46"/>
  <c r="S112" i="46" s="1"/>
  <c r="R115" i="54"/>
  <c r="S115" i="54" s="1"/>
  <c r="R106" i="49"/>
  <c r="S106" i="49" s="1"/>
  <c r="R97" i="43"/>
  <c r="S97" i="43" s="1"/>
  <c r="R103" i="52"/>
  <c r="S103" i="52" s="1"/>
  <c r="R109" i="49"/>
  <c r="S109" i="49" s="1"/>
  <c r="R100" i="56"/>
  <c r="S100" i="56" s="1"/>
  <c r="R103" i="46"/>
  <c r="S103" i="46" s="1"/>
  <c r="R113" i="49"/>
  <c r="S113" i="49" s="1"/>
  <c r="R112" i="52"/>
  <c r="S112" i="52" s="1"/>
  <c r="R117" i="49"/>
  <c r="S117" i="49" s="1"/>
  <c r="R119" i="50"/>
  <c r="S119" i="50" s="1"/>
  <c r="R109" i="56"/>
  <c r="S109" i="56" s="1"/>
  <c r="R114" i="49"/>
  <c r="S114" i="49" s="1"/>
  <c r="R113" i="56"/>
  <c r="S113" i="56" s="1"/>
  <c r="R116" i="52"/>
  <c r="S116" i="52" s="1"/>
  <c r="R121" i="55"/>
  <c r="S121" i="55" s="1"/>
  <c r="R108" i="54"/>
  <c r="S108" i="54" s="1"/>
  <c r="R114" i="56"/>
  <c r="S114" i="56" s="1"/>
  <c r="R106" i="50"/>
  <c r="S106" i="50" s="1"/>
  <c r="R107" i="48"/>
  <c r="S107" i="48" s="1"/>
  <c r="R97" i="52"/>
  <c r="S97" i="52" s="1"/>
  <c r="R114" i="50"/>
  <c r="S114" i="50" s="1"/>
  <c r="R100" i="50"/>
  <c r="S100" i="50" s="1"/>
  <c r="AH80" i="37"/>
  <c r="O211" i="22" s="1"/>
  <c r="R108" i="46"/>
  <c r="S108" i="46" s="1"/>
  <c r="R105" i="51"/>
  <c r="S105" i="51" s="1"/>
  <c r="R117" i="55"/>
  <c r="S117" i="55" s="1"/>
  <c r="R113" i="43"/>
  <c r="S113" i="43" s="1"/>
  <c r="S104" i="47"/>
  <c r="T104" i="47" s="1"/>
  <c r="R111" i="56"/>
  <c r="S111" i="56" s="1"/>
  <c r="R111" i="49"/>
  <c r="S111" i="49" s="1"/>
  <c r="R103" i="51"/>
  <c r="S103" i="51" s="1"/>
  <c r="S117" i="47"/>
  <c r="T117" i="47" s="1"/>
  <c r="R102" i="43"/>
  <c r="S102" i="43" s="1"/>
  <c r="R125" i="49"/>
  <c r="S125" i="49" s="1"/>
  <c r="S98" i="47"/>
  <c r="T98" i="47" s="1"/>
  <c r="R110" i="55"/>
  <c r="S110" i="55" s="1"/>
  <c r="R99" i="46"/>
  <c r="S99" i="46" s="1"/>
  <c r="R98" i="51"/>
  <c r="S98" i="51" s="1"/>
  <c r="R99" i="52"/>
  <c r="S99" i="52" s="1"/>
  <c r="R120" i="54"/>
  <c r="S120" i="54" s="1"/>
  <c r="R101" i="50"/>
  <c r="S101" i="50" s="1"/>
  <c r="R124" i="56"/>
  <c r="S124" i="56" s="1"/>
  <c r="R126" i="54"/>
  <c r="S126" i="54" s="1"/>
  <c r="R131" i="45"/>
  <c r="S131" i="45" s="1"/>
  <c r="R128" i="48"/>
  <c r="S128" i="48" s="1"/>
  <c r="R128" i="51"/>
  <c r="S128" i="51" s="1"/>
  <c r="R121" i="46"/>
  <c r="S121" i="46" s="1"/>
  <c r="R109" i="48"/>
  <c r="S109" i="48" s="1"/>
  <c r="R110" i="44"/>
  <c r="S110" i="44" s="1"/>
  <c r="AH222" i="37"/>
  <c r="O287" i="22" s="1"/>
  <c r="R120" i="48"/>
  <c r="S120" i="48" s="1"/>
  <c r="R97" i="49"/>
  <c r="S97" i="49" s="1"/>
  <c r="R122" i="45"/>
  <c r="S122" i="45" s="1"/>
  <c r="R115" i="51"/>
  <c r="S115" i="51" s="1"/>
  <c r="AH266" i="37"/>
  <c r="O133" i="22" s="1"/>
  <c r="AH167" i="37"/>
  <c r="O134" i="22" s="1"/>
  <c r="R108" i="50"/>
  <c r="S108" i="50" s="1"/>
  <c r="R103" i="43"/>
  <c r="S103" i="43" s="1"/>
  <c r="R116" i="43"/>
  <c r="S116" i="43" s="1"/>
  <c r="R117" i="46"/>
  <c r="S117" i="46" s="1"/>
  <c r="R108" i="44"/>
  <c r="S108" i="44" s="1"/>
  <c r="R103" i="56"/>
  <c r="S103" i="56" s="1"/>
  <c r="R102" i="45"/>
  <c r="S102" i="45" s="1"/>
  <c r="R115" i="46"/>
  <c r="S115" i="46" s="1"/>
  <c r="R119" i="51"/>
  <c r="S119" i="51" s="1"/>
  <c r="R116" i="48"/>
  <c r="S116" i="48" s="1"/>
  <c r="R114" i="51"/>
  <c r="S114" i="51" s="1"/>
  <c r="R108" i="45"/>
  <c r="S108" i="45" s="1"/>
  <c r="R127" i="51"/>
  <c r="S127" i="51" s="1"/>
  <c r="R103" i="54"/>
  <c r="S103" i="54" s="1"/>
  <c r="R125" i="54"/>
  <c r="S125" i="54" s="1"/>
  <c r="R104" i="50"/>
  <c r="S104" i="50" s="1"/>
  <c r="R123" i="56"/>
  <c r="S123" i="56" s="1"/>
  <c r="R114" i="45"/>
  <c r="S114" i="45" s="1"/>
  <c r="R121" i="56"/>
  <c r="S121" i="56" s="1"/>
  <c r="R106" i="51"/>
  <c r="S106" i="51" s="1"/>
  <c r="R115" i="52"/>
  <c r="S115" i="52" s="1"/>
  <c r="R117" i="45"/>
  <c r="S117" i="45" s="1"/>
  <c r="R124" i="49"/>
  <c r="S124" i="49" s="1"/>
  <c r="R108" i="55"/>
  <c r="S108" i="55" s="1"/>
  <c r="R112" i="50"/>
  <c r="S112" i="50" s="1"/>
  <c r="R103" i="48"/>
  <c r="S103" i="48" s="1"/>
  <c r="R130" i="45"/>
  <c r="S130" i="45" s="1"/>
  <c r="S131" i="47"/>
  <c r="T131" i="47" s="1"/>
  <c r="R116" i="45"/>
  <c r="S116" i="45" s="1"/>
  <c r="AH319" i="37"/>
  <c r="O96" i="22" s="1"/>
  <c r="AH325" i="37"/>
  <c r="O30" i="22" s="1"/>
  <c r="R107" i="43"/>
  <c r="S107" i="43" s="1"/>
  <c r="R106" i="48"/>
  <c r="S106" i="48" s="1"/>
  <c r="R100" i="55"/>
  <c r="S100" i="55" s="1"/>
  <c r="S121" i="47"/>
  <c r="T121" i="47" s="1"/>
  <c r="R100" i="52"/>
  <c r="S100" i="52" s="1"/>
  <c r="R121" i="54"/>
  <c r="S121" i="54" s="1"/>
  <c r="R108" i="43"/>
  <c r="S108" i="43" s="1"/>
  <c r="R107" i="55"/>
  <c r="S107" i="55" s="1"/>
  <c r="R111" i="48"/>
  <c r="S111" i="48" s="1"/>
  <c r="R121" i="44"/>
  <c r="S121" i="44" s="1"/>
  <c r="R114" i="48"/>
  <c r="S114" i="48" s="1"/>
  <c r="R97" i="45"/>
  <c r="S97" i="45" s="1"/>
  <c r="R97" i="56"/>
  <c r="S97" i="56" s="1"/>
  <c r="R107" i="44"/>
  <c r="S107" i="44" s="1"/>
  <c r="R97" i="44"/>
  <c r="S97" i="44" s="1"/>
  <c r="R100" i="46"/>
  <c r="S100" i="46" s="1"/>
  <c r="R106" i="52"/>
  <c r="S106" i="52" s="1"/>
  <c r="R97" i="54"/>
  <c r="S97" i="54" s="1"/>
  <c r="S100" i="47"/>
  <c r="T100" i="47" s="1"/>
  <c r="R97" i="48"/>
  <c r="S97" i="48" s="1"/>
  <c r="R111" i="51"/>
  <c r="S111" i="51" s="1"/>
  <c r="R111" i="45"/>
  <c r="S111" i="45" s="1"/>
  <c r="R114" i="46"/>
  <c r="S114" i="46" s="1"/>
  <c r="R106" i="54"/>
  <c r="S106" i="54" s="1"/>
  <c r="R111" i="52"/>
  <c r="S111" i="52" s="1"/>
  <c r="R119" i="48"/>
  <c r="S119" i="48" s="1"/>
  <c r="R103" i="45"/>
  <c r="S103" i="45" s="1"/>
  <c r="R116" i="56"/>
  <c r="S116" i="56" s="1"/>
  <c r="R107" i="54"/>
  <c r="S107" i="54" s="1"/>
  <c r="R108" i="56"/>
  <c r="S108" i="56" s="1"/>
  <c r="R121" i="45"/>
  <c r="S121" i="45" s="1"/>
  <c r="AH235" i="37"/>
  <c r="O192" i="22" s="1"/>
  <c r="R108" i="48"/>
  <c r="S108" i="48" s="1"/>
  <c r="R121" i="52"/>
  <c r="S121" i="52" s="1"/>
  <c r="R119" i="54"/>
  <c r="S119" i="54" s="1"/>
  <c r="R100" i="43"/>
  <c r="S100" i="43" s="1"/>
  <c r="R116" i="49"/>
  <c r="S116" i="49" s="1"/>
  <c r="R114" i="55"/>
  <c r="S114" i="55" s="1"/>
  <c r="R106" i="43"/>
  <c r="S106" i="43" s="1"/>
  <c r="S116" i="47"/>
  <c r="T116" i="47" s="1"/>
  <c r="R106" i="56"/>
  <c r="S106" i="56" s="1"/>
  <c r="R100" i="45"/>
  <c r="S100" i="45" s="1"/>
  <c r="R106" i="45"/>
  <c r="S106" i="45" s="1"/>
  <c r="R119" i="49"/>
  <c r="S119" i="49" s="1"/>
  <c r="R121" i="50"/>
  <c r="S121" i="50" s="1"/>
  <c r="R108" i="52"/>
  <c r="S108" i="52" s="1"/>
  <c r="S103" i="47"/>
  <c r="T103" i="47" s="1"/>
  <c r="R111" i="54"/>
  <c r="S111" i="54" s="1"/>
  <c r="R107" i="52"/>
  <c r="S107" i="52" s="1"/>
  <c r="R121" i="51"/>
  <c r="S121" i="51" s="1"/>
  <c r="R114" i="43"/>
  <c r="S114" i="43" s="1"/>
  <c r="R97" i="46"/>
  <c r="S97" i="46" s="1"/>
  <c r="R98" i="49"/>
  <c r="S98" i="49" s="1"/>
  <c r="R121" i="49"/>
  <c r="S121" i="49" s="1"/>
  <c r="R100" i="51"/>
  <c r="S100" i="51" s="1"/>
  <c r="R109" i="54"/>
  <c r="S109" i="54" s="1"/>
  <c r="S112" i="47"/>
  <c r="T112" i="47" s="1"/>
  <c r="R117" i="48"/>
  <c r="S117" i="48" s="1"/>
  <c r="R100" i="49"/>
  <c r="S100" i="49" s="1"/>
  <c r="R107" i="45"/>
  <c r="S107" i="45" s="1"/>
  <c r="R99" i="56"/>
  <c r="S99" i="56" s="1"/>
  <c r="R99" i="49"/>
  <c r="S99" i="49" s="1"/>
  <c r="R104" i="46"/>
  <c r="S104" i="46" s="1"/>
  <c r="R106" i="55"/>
  <c r="S106" i="55" s="1"/>
  <c r="R114" i="44"/>
  <c r="S114" i="44" s="1"/>
  <c r="R114" i="52"/>
  <c r="S114" i="52" s="1"/>
  <c r="R116" i="44"/>
  <c r="S116" i="44" s="1"/>
  <c r="R119" i="44"/>
  <c r="S119" i="44" s="1"/>
  <c r="R121" i="48"/>
  <c r="S121" i="48" s="1"/>
  <c r="AH115" i="37"/>
  <c r="O140" i="22" s="1"/>
  <c r="S111" i="47"/>
  <c r="T111" i="47" s="1"/>
  <c r="R107" i="50"/>
  <c r="S107" i="50" s="1"/>
  <c r="R117" i="44"/>
  <c r="S117" i="44" s="1"/>
  <c r="R117" i="56"/>
  <c r="S117" i="56" s="1"/>
  <c r="R131" i="51"/>
  <c r="S131" i="51" s="1"/>
  <c r="R116" i="46"/>
  <c r="S116" i="46" s="1"/>
  <c r="R106" i="44"/>
  <c r="S106" i="44" s="1"/>
  <c r="R100" i="48"/>
  <c r="S100" i="48" s="1"/>
  <c r="R119" i="56"/>
  <c r="S119" i="56" s="1"/>
  <c r="R111" i="50"/>
  <c r="S111" i="50" s="1"/>
  <c r="R103" i="49"/>
  <c r="S103" i="49" s="1"/>
  <c r="R117" i="52"/>
  <c r="S117" i="52" s="1"/>
  <c r="R119" i="45"/>
  <c r="S119" i="45" s="1"/>
  <c r="R116" i="50"/>
  <c r="S116" i="50" s="1"/>
  <c r="R114" i="54"/>
  <c r="S114" i="54" s="1"/>
  <c r="R119" i="55"/>
  <c r="S119" i="55" s="1"/>
  <c r="H1" i="9"/>
  <c r="I1" i="9" s="1"/>
  <c r="J1" i="9" s="1"/>
  <c r="K1" i="9" s="1"/>
  <c r="R116" i="55"/>
  <c r="S116" i="55" s="1"/>
  <c r="C6" i="27"/>
  <c r="AC229" i="37" l="1"/>
  <c r="AH265" i="37"/>
  <c r="O24" i="22" s="1"/>
  <c r="H323" i="22"/>
  <c r="G323" i="22"/>
  <c r="M323" i="22"/>
  <c r="I323" i="22"/>
  <c r="F323" i="22"/>
  <c r="E1" i="22"/>
  <c r="R8" i="37"/>
  <c r="R324" i="37"/>
  <c r="R165" i="37"/>
  <c r="R171" i="37"/>
  <c r="R251" i="37"/>
  <c r="R162" i="37"/>
  <c r="R183" i="37"/>
  <c r="R123" i="37"/>
  <c r="R60" i="37"/>
  <c r="R134" i="37"/>
  <c r="R314" i="37"/>
  <c r="R98" i="37"/>
  <c r="R76" i="37"/>
  <c r="R73" i="37"/>
  <c r="R303" i="37"/>
  <c r="R122" i="37"/>
  <c r="AC319" i="37"/>
  <c r="N96" i="22" s="1"/>
  <c r="S96" i="22" s="1"/>
  <c r="R6" i="37"/>
  <c r="R91" i="37"/>
  <c r="AH226" i="37"/>
  <c r="O310" i="22" s="1"/>
  <c r="Q310" i="22" s="1"/>
  <c r="R131" i="37"/>
  <c r="R59" i="37"/>
  <c r="R82" i="37"/>
  <c r="R321" i="37"/>
  <c r="R107" i="37"/>
  <c r="R274" i="37"/>
  <c r="R10" i="37"/>
  <c r="R299" i="37"/>
  <c r="AH233" i="37"/>
  <c r="O74" i="22" s="1"/>
  <c r="Q74" i="22" s="1"/>
  <c r="AH116" i="37"/>
  <c r="O276" i="22" s="1"/>
  <c r="Q276" i="22" s="1"/>
  <c r="R193" i="37"/>
  <c r="R48" i="37"/>
  <c r="R110" i="37"/>
  <c r="R29" i="37"/>
  <c r="R267" i="37"/>
  <c r="R210" i="37"/>
  <c r="R114" i="37"/>
  <c r="R269" i="37"/>
  <c r="R237" i="37"/>
  <c r="R133" i="37"/>
  <c r="R262" i="37"/>
  <c r="R85" i="37"/>
  <c r="R117" i="37"/>
  <c r="R279" i="37"/>
  <c r="R139" i="37"/>
  <c r="R38" i="37"/>
  <c r="R235" i="37"/>
  <c r="R252" i="37"/>
  <c r="R263" i="37"/>
  <c r="R13" i="37"/>
  <c r="R80" i="37"/>
  <c r="R172" i="37"/>
  <c r="R49" i="37"/>
  <c r="R308" i="37"/>
  <c r="R212" i="37"/>
  <c r="R225" i="37"/>
  <c r="R67" i="37"/>
  <c r="R200" i="37"/>
  <c r="R148" i="37"/>
  <c r="R78" i="37"/>
  <c r="R21" i="37"/>
  <c r="R94" i="37"/>
  <c r="R115" i="37"/>
  <c r="R11" i="37"/>
  <c r="R278" i="37"/>
  <c r="R187" i="37"/>
  <c r="AC260" i="37"/>
  <c r="AC316" i="37"/>
  <c r="AC265" i="37"/>
  <c r="R285" i="37"/>
  <c r="R297" i="37"/>
  <c r="R23" i="37"/>
  <c r="R214" i="37"/>
  <c r="R259" i="37"/>
  <c r="R45" i="37"/>
  <c r="R100" i="37"/>
  <c r="R62" i="37"/>
  <c r="R323" i="37"/>
  <c r="R247" i="37"/>
  <c r="R253" i="37"/>
  <c r="R70" i="37"/>
  <c r="R178" i="37"/>
  <c r="R175" i="37"/>
  <c r="R255" i="37"/>
  <c r="R46" i="37"/>
  <c r="R310" i="37"/>
  <c r="R16" i="37"/>
  <c r="R227" i="37"/>
  <c r="R26" i="37"/>
  <c r="R35" i="37"/>
  <c r="R146" i="37"/>
  <c r="R34" i="37"/>
  <c r="R150" i="37"/>
  <c r="R170" i="37"/>
  <c r="R119" i="37"/>
  <c r="R169" i="37"/>
  <c r="R301" i="37"/>
  <c r="R207" i="37"/>
  <c r="R192" i="37"/>
  <c r="R198" i="37"/>
  <c r="R296" i="37"/>
  <c r="R50" i="37"/>
  <c r="R68" i="37"/>
  <c r="R79" i="37"/>
  <c r="R77" i="37"/>
  <c r="R142" i="37"/>
  <c r="R173" i="37"/>
  <c r="R56" i="37"/>
  <c r="R74" i="37"/>
  <c r="AH56" i="37"/>
  <c r="O6" i="22" s="1"/>
  <c r="Q6" i="22" s="1"/>
  <c r="AI207" i="37"/>
  <c r="AI291" i="37"/>
  <c r="AC230" i="37"/>
  <c r="N97" i="22" s="1"/>
  <c r="S97" i="22" s="1"/>
  <c r="AC253" i="37"/>
  <c r="AC30" i="37"/>
  <c r="AC294" i="37"/>
  <c r="AC288" i="37"/>
  <c r="AC269" i="37"/>
  <c r="AC227" i="37"/>
  <c r="AC144" i="37"/>
  <c r="AC128" i="37"/>
  <c r="R37" i="37"/>
  <c r="R283" i="37"/>
  <c r="R223" i="37"/>
  <c r="R230" i="37"/>
  <c r="R179" i="37"/>
  <c r="R135" i="37"/>
  <c r="R215" i="37"/>
  <c r="R254" i="37"/>
  <c r="R30" i="37"/>
  <c r="R284" i="37"/>
  <c r="R88" i="37"/>
  <c r="R127" i="37"/>
  <c r="R246" i="37"/>
  <c r="R19" i="37"/>
  <c r="R81" i="37"/>
  <c r="R273" i="37"/>
  <c r="R104" i="37"/>
  <c r="R86" i="37"/>
  <c r="R224" i="37"/>
  <c r="R102" i="37"/>
  <c r="R277" i="37"/>
  <c r="R221" i="37"/>
  <c r="R249" i="37"/>
  <c r="R206" i="37"/>
  <c r="R244" i="37"/>
  <c r="R72" i="37"/>
  <c r="R121" i="37"/>
  <c r="AC116" i="37"/>
  <c r="R71" i="37"/>
  <c r="R147" i="37"/>
  <c r="O172" i="37"/>
  <c r="O183" i="37"/>
  <c r="O161" i="37"/>
  <c r="D161" i="37" s="1"/>
  <c r="O168" i="37"/>
  <c r="D168" i="37" s="1"/>
  <c r="O239" i="37"/>
  <c r="D239" i="37" s="1"/>
  <c r="O178" i="37"/>
  <c r="O306" i="37"/>
  <c r="D306" i="37" s="1"/>
  <c r="O236" i="37"/>
  <c r="D236" i="37" s="1"/>
  <c r="O205" i="37"/>
  <c r="D205" i="37" s="1"/>
  <c r="O208" i="37"/>
  <c r="D208" i="37" s="1"/>
  <c r="O173" i="37"/>
  <c r="O176" i="37"/>
  <c r="D176" i="37" s="1"/>
  <c r="O190" i="37"/>
  <c r="D190" i="37" s="1"/>
  <c r="O49" i="37"/>
  <c r="O202" i="37"/>
  <c r="D202" i="37" s="1"/>
  <c r="O113" i="37"/>
  <c r="D113" i="37" s="1"/>
  <c r="O58" i="37"/>
  <c r="D58" i="37" s="1"/>
  <c r="O243" i="37"/>
  <c r="D243" i="37" s="1"/>
  <c r="O215" i="37"/>
  <c r="R157" i="37"/>
  <c r="O212" i="37"/>
  <c r="O273" i="37"/>
  <c r="O192" i="37"/>
  <c r="O275" i="37"/>
  <c r="D275" i="37" s="1"/>
  <c r="O89" i="37"/>
  <c r="D89" i="37" s="1"/>
  <c r="O300" i="37"/>
  <c r="D300" i="37" s="1"/>
  <c r="O279" i="37"/>
  <c r="O108" i="37"/>
  <c r="O50" i="37"/>
  <c r="R209" i="37"/>
  <c r="R264" i="37"/>
  <c r="O158" i="37"/>
  <c r="D158" i="37" s="1"/>
  <c r="O266" i="37"/>
  <c r="D266" i="37" s="1"/>
  <c r="O13" i="37"/>
  <c r="O230" i="37"/>
  <c r="O117" i="37"/>
  <c r="D117" i="37" s="1"/>
  <c r="O92" i="37"/>
  <c r="O298" i="37"/>
  <c r="D298" i="37" s="1"/>
  <c r="O94" i="37"/>
  <c r="O265" i="37"/>
  <c r="D265" i="37" s="1"/>
  <c r="O188" i="37"/>
  <c r="O285" i="37"/>
  <c r="O15" i="37"/>
  <c r="D15" i="37" s="1"/>
  <c r="O60" i="37"/>
  <c r="D60" i="37" s="1"/>
  <c r="O319" i="37"/>
  <c r="D319" i="37" s="1"/>
  <c r="O28" i="37"/>
  <c r="D28" i="37" s="1"/>
  <c r="O112" i="37"/>
  <c r="O289" i="37"/>
  <c r="D289" i="37" s="1"/>
  <c r="O228" i="37"/>
  <c r="D228" i="37" s="1"/>
  <c r="O186" i="37"/>
  <c r="O6" i="37"/>
  <c r="O213" i="37"/>
  <c r="D213" i="37" s="1"/>
  <c r="R305" i="37"/>
  <c r="O233" i="37"/>
  <c r="O165" i="37"/>
  <c r="D165" i="37" s="1"/>
  <c r="O261" i="37"/>
  <c r="D261" i="37" s="1"/>
  <c r="O157" i="37"/>
  <c r="O153" i="37"/>
  <c r="D153" i="37" s="1"/>
  <c r="O127" i="37"/>
  <c r="O151" i="37"/>
  <c r="D151" i="37" s="1"/>
  <c r="O308" i="37"/>
  <c r="O26" i="37"/>
  <c r="O249" i="37"/>
  <c r="O312" i="37"/>
  <c r="D312" i="37" s="1"/>
  <c r="O129" i="37"/>
  <c r="D129" i="37" s="1"/>
  <c r="O98" i="37"/>
  <c r="AH210" i="37"/>
  <c r="O105" i="22" s="1"/>
  <c r="Q105" i="22" s="1"/>
  <c r="AC243" i="37"/>
  <c r="AC20" i="37"/>
  <c r="AC315" i="37"/>
  <c r="N225" i="22" s="1"/>
  <c r="AC282" i="37"/>
  <c r="AC42" i="37"/>
  <c r="N292" i="22" s="1"/>
  <c r="AC90" i="37"/>
  <c r="AC204" i="37"/>
  <c r="AC95" i="37"/>
  <c r="AC313" i="37"/>
  <c r="AC214" i="37"/>
  <c r="AI144" i="37"/>
  <c r="AI313" i="37"/>
  <c r="AC129" i="37"/>
  <c r="AI90" i="37"/>
  <c r="AI100" i="37"/>
  <c r="AI116" i="37"/>
  <c r="AC296" i="37"/>
  <c r="AC39" i="37"/>
  <c r="AC226" i="37"/>
  <c r="R103" i="37"/>
  <c r="N121" i="22"/>
  <c r="N201" i="22"/>
  <c r="N316" i="22"/>
  <c r="N104" i="22"/>
  <c r="N99" i="22"/>
  <c r="N82" i="22"/>
  <c r="N312" i="22"/>
  <c r="N28" i="22"/>
  <c r="N21" i="22"/>
  <c r="N322" i="22"/>
  <c r="N211" i="22"/>
  <c r="S211" i="22" s="1"/>
  <c r="N189" i="22"/>
  <c r="N98" i="22"/>
  <c r="N242" i="22"/>
  <c r="N226" i="22"/>
  <c r="N110" i="22"/>
  <c r="N318" i="22"/>
  <c r="N106" i="22"/>
  <c r="N26" i="22"/>
  <c r="N192" i="22"/>
  <c r="N300" i="22"/>
  <c r="N130" i="22"/>
  <c r="N85" i="22"/>
  <c r="N109" i="22"/>
  <c r="N147" i="22"/>
  <c r="N235" i="22"/>
  <c r="N306" i="22"/>
  <c r="S306" i="22" s="1"/>
  <c r="N221" i="22"/>
  <c r="A1" i="21"/>
  <c r="C17" i="58"/>
  <c r="AH280" i="37"/>
  <c r="O232" i="22" s="1"/>
  <c r="AH175" i="37"/>
  <c r="O21" i="22" s="1"/>
  <c r="AH297" i="37"/>
  <c r="O42" i="22" s="1"/>
  <c r="Q42" i="22" s="1"/>
  <c r="J204" i="22"/>
  <c r="R204" i="22" s="1"/>
  <c r="AH169" i="37"/>
  <c r="O321" i="22" s="1"/>
  <c r="Q321" i="22" s="1"/>
  <c r="I325" i="37"/>
  <c r="AH12" i="37"/>
  <c r="O312" i="22" s="1"/>
  <c r="Q312" i="22" s="1"/>
  <c r="AH302" i="37"/>
  <c r="O201" i="22" s="1"/>
  <c r="AH59" i="37"/>
  <c r="AH141" i="37"/>
  <c r="O229" i="22" s="1"/>
  <c r="Q229" i="22" s="1"/>
  <c r="AH32" i="37"/>
  <c r="J32" i="37" s="1"/>
  <c r="AH217" i="37"/>
  <c r="O243" i="22" s="1"/>
  <c r="AH208" i="37"/>
  <c r="O102" i="22" s="1"/>
  <c r="Q102" i="22" s="1"/>
  <c r="AH120" i="37"/>
  <c r="O139" i="22" s="1"/>
  <c r="Q139" i="22" s="1"/>
  <c r="AH320" i="37"/>
  <c r="O101" i="22" s="1"/>
  <c r="Q101" i="22" s="1"/>
  <c r="AH83" i="37"/>
  <c r="O300" i="22" s="1"/>
  <c r="AH16" i="37"/>
  <c r="O283" i="22" s="1"/>
  <c r="Q283" i="22" s="1"/>
  <c r="AH119" i="37"/>
  <c r="O147" i="22" s="1"/>
  <c r="AH275" i="37"/>
  <c r="O286" i="22" s="1"/>
  <c r="Q286" i="22" s="1"/>
  <c r="AH105" i="37"/>
  <c r="AH256" i="37"/>
  <c r="AH242" i="37"/>
  <c r="O34" i="22" s="1"/>
  <c r="Q34" i="22" s="1"/>
  <c r="AH224" i="37"/>
  <c r="O64" i="22" s="1"/>
  <c r="Q64" i="22" s="1"/>
  <c r="AH215" i="37"/>
  <c r="O44" i="22" s="1"/>
  <c r="Q44" i="22" s="1"/>
  <c r="AH301" i="37"/>
  <c r="O109" i="22" s="1"/>
  <c r="Q109" i="22" s="1"/>
  <c r="AH126" i="37"/>
  <c r="O7" i="22" s="1"/>
  <c r="AH17" i="37"/>
  <c r="O80" i="22" s="1"/>
  <c r="Q80" i="22" s="1"/>
  <c r="AH284" i="37"/>
  <c r="AH218" i="37"/>
  <c r="O204" i="22" s="1"/>
  <c r="AH155" i="37"/>
  <c r="O136" i="22" s="1"/>
  <c r="AH153" i="37"/>
  <c r="AH262" i="37"/>
  <c r="AH69" i="37"/>
  <c r="O231" i="22" s="1"/>
  <c r="Q231" i="22" s="1"/>
  <c r="AH179" i="37"/>
  <c r="O8" i="22" s="1"/>
  <c r="AH268" i="37"/>
  <c r="E268" i="37" s="1"/>
  <c r="AH250" i="37"/>
  <c r="O104" i="22" s="1"/>
  <c r="Q104" i="22" s="1"/>
  <c r="AH272" i="37"/>
  <c r="O244" i="22" s="1"/>
  <c r="Q244" i="22" s="1"/>
  <c r="AH313" i="37"/>
  <c r="O35" i="22" s="1"/>
  <c r="Q35" i="22" s="1"/>
  <c r="N317" i="22"/>
  <c r="AH176" i="37"/>
  <c r="J176" i="37" s="1"/>
  <c r="AH257" i="37"/>
  <c r="AH166" i="37"/>
  <c r="E166" i="37" s="1"/>
  <c r="C11" i="58"/>
  <c r="B11" i="58"/>
  <c r="C18" i="58"/>
  <c r="C16" i="58"/>
  <c r="C21" i="58"/>
  <c r="C23" i="58"/>
  <c r="C22" i="58"/>
  <c r="AH293" i="37"/>
  <c r="AH232" i="37"/>
  <c r="O71" i="22" s="1"/>
  <c r="AH281" i="37"/>
  <c r="O238" i="22" s="1"/>
  <c r="AH86" i="37"/>
  <c r="AH203" i="37"/>
  <c r="AH22" i="37"/>
  <c r="AH121" i="37"/>
  <c r="O265" i="22" s="1"/>
  <c r="AH239" i="37"/>
  <c r="I239" i="37" s="1"/>
  <c r="AH7" i="37"/>
  <c r="O31" i="22" s="1"/>
  <c r="Q31" i="22" s="1"/>
  <c r="AH8" i="37"/>
  <c r="AH97" i="37"/>
  <c r="O72" i="22" s="1"/>
  <c r="AH122" i="37"/>
  <c r="I122" i="37" s="1"/>
  <c r="AH171" i="37"/>
  <c r="O294" i="22" s="1"/>
  <c r="AH292" i="37"/>
  <c r="AH323" i="37"/>
  <c r="AH168" i="37"/>
  <c r="AH76" i="37"/>
  <c r="O40" i="22" s="1"/>
  <c r="Q40" i="22" s="1"/>
  <c r="AH258" i="37"/>
  <c r="AH290" i="37"/>
  <c r="O285" i="22" s="1"/>
  <c r="Q285" i="22" s="1"/>
  <c r="AH63" i="37"/>
  <c r="O56" i="22" s="1"/>
  <c r="Q56" i="22" s="1"/>
  <c r="AH81" i="37"/>
  <c r="I276" i="37"/>
  <c r="AH307" i="37"/>
  <c r="AH51" i="37"/>
  <c r="O61" i="22" s="1"/>
  <c r="Q61" i="22" s="1"/>
  <c r="AH316" i="37"/>
  <c r="O59" i="22" s="1"/>
  <c r="Q59" i="22" s="1"/>
  <c r="AH303" i="37"/>
  <c r="O309" i="22" s="1"/>
  <c r="AH20" i="37"/>
  <c r="AH104" i="37"/>
  <c r="AH311" i="37"/>
  <c r="AH315" i="37"/>
  <c r="AH186" i="37"/>
  <c r="AH154" i="37"/>
  <c r="O92" i="22" s="1"/>
  <c r="AH251" i="37"/>
  <c r="AH79" i="37"/>
  <c r="AH181" i="37"/>
  <c r="AH236" i="37"/>
  <c r="AH73" i="37"/>
  <c r="O48" i="22" s="1"/>
  <c r="AH318" i="37"/>
  <c r="O194" i="22" s="1"/>
  <c r="AH291" i="37"/>
  <c r="AH274" i="37"/>
  <c r="O271" i="22" s="1"/>
  <c r="AH24" i="37"/>
  <c r="O164" i="22" s="1"/>
  <c r="AH295" i="37"/>
  <c r="AH253" i="37"/>
  <c r="AH296" i="37"/>
  <c r="O230" i="22" s="1"/>
  <c r="AH111" i="37"/>
  <c r="AH18" i="37"/>
  <c r="O135" i="22" s="1"/>
  <c r="AH300" i="37"/>
  <c r="O127" i="22" s="1"/>
  <c r="Q127" i="22" s="1"/>
  <c r="AH102" i="37"/>
  <c r="AH62" i="37"/>
  <c r="O132" i="22" s="1"/>
  <c r="Q132" i="22" s="1"/>
  <c r="AH246" i="37"/>
  <c r="AH88" i="37"/>
  <c r="AH312" i="37"/>
  <c r="AH299" i="37"/>
  <c r="O103" i="22" s="1"/>
  <c r="AH317" i="37"/>
  <c r="O193" i="22" s="1"/>
  <c r="AH177" i="37"/>
  <c r="AH279" i="37"/>
  <c r="O314" i="22" s="1"/>
  <c r="Q314" i="22" s="1"/>
  <c r="AH178" i="37"/>
  <c r="AH310" i="37"/>
  <c r="O203" i="22" s="1"/>
  <c r="Q203" i="22" s="1"/>
  <c r="AH321" i="37"/>
  <c r="AH234" i="37"/>
  <c r="AH38" i="37"/>
  <c r="AH261" i="37"/>
  <c r="AH170" i="37"/>
  <c r="J170" i="37" s="1"/>
  <c r="AH41" i="37"/>
  <c r="AH278" i="37"/>
  <c r="AH271" i="37"/>
  <c r="AH161" i="37"/>
  <c r="O23" i="22" s="1"/>
  <c r="AH128" i="37"/>
  <c r="O75" i="22" s="1"/>
  <c r="Q75" i="22" s="1"/>
  <c r="AH85" i="37"/>
  <c r="AH212" i="37"/>
  <c r="O253" i="22" s="1"/>
  <c r="Q253" i="22" s="1"/>
  <c r="AH144" i="37"/>
  <c r="AH267" i="37"/>
  <c r="O289" i="22" s="1"/>
  <c r="Q289" i="22" s="1"/>
  <c r="AH39" i="37"/>
  <c r="O41" i="22" s="1"/>
  <c r="Q41" i="22" s="1"/>
  <c r="J107" i="22"/>
  <c r="R107" i="22" s="1"/>
  <c r="AH231" i="37"/>
  <c r="O78" i="22" s="1"/>
  <c r="P4" i="37"/>
  <c r="N113" i="22"/>
  <c r="Q4" i="37"/>
  <c r="AH140" i="37"/>
  <c r="O218" i="22" s="1"/>
  <c r="Q218" i="22" s="1"/>
  <c r="AH306" i="37"/>
  <c r="O95" i="22" s="1"/>
  <c r="Q95" i="22" s="1"/>
  <c r="AH67" i="37"/>
  <c r="O122" i="22" s="1"/>
  <c r="Q122" i="22" s="1"/>
  <c r="J79" i="22"/>
  <c r="R79" i="22" s="1"/>
  <c r="J201" i="22"/>
  <c r="R201" i="22" s="1"/>
  <c r="J161" i="22"/>
  <c r="R161" i="22" s="1"/>
  <c r="J220" i="22"/>
  <c r="R220" i="22" s="1"/>
  <c r="J313" i="22"/>
  <c r="R313" i="22" s="1"/>
  <c r="J115" i="22"/>
  <c r="R115" i="22" s="1"/>
  <c r="J285" i="22"/>
  <c r="R285" i="22" s="1"/>
  <c r="J36" i="22"/>
  <c r="R36" i="22" s="1"/>
  <c r="J134" i="22"/>
  <c r="R134" i="22" s="1"/>
  <c r="J3" i="22"/>
  <c r="R3" i="22" s="1"/>
  <c r="J147" i="22"/>
  <c r="R147" i="22" s="1"/>
  <c r="J178" i="22"/>
  <c r="R178" i="22" s="1"/>
  <c r="J233" i="22"/>
  <c r="R233" i="22" s="1"/>
  <c r="Q133" i="22"/>
  <c r="J94" i="22"/>
  <c r="R94" i="22" s="1"/>
  <c r="J126" i="22"/>
  <c r="R126" i="22" s="1"/>
  <c r="J122" i="22"/>
  <c r="R122" i="22" s="1"/>
  <c r="J117" i="22"/>
  <c r="R117" i="22" s="1"/>
  <c r="J307" i="22"/>
  <c r="R307" i="22" s="1"/>
  <c r="J299" i="22"/>
  <c r="R299" i="22" s="1"/>
  <c r="J249" i="22"/>
  <c r="R249" i="22" s="1"/>
  <c r="J5" i="22"/>
  <c r="R5" i="22" s="1"/>
  <c r="J268" i="22"/>
  <c r="R268" i="22" s="1"/>
  <c r="J61" i="22"/>
  <c r="R61" i="22" s="1"/>
  <c r="Q97" i="22"/>
  <c r="J31" i="22"/>
  <c r="R31" i="22" s="1"/>
  <c r="J225" i="22"/>
  <c r="R225" i="22" s="1"/>
  <c r="J155" i="22"/>
  <c r="R155" i="22" s="1"/>
  <c r="O203" i="37"/>
  <c r="D203" i="37" s="1"/>
  <c r="J9" i="22"/>
  <c r="R9" i="22" s="1"/>
  <c r="J4" i="22"/>
  <c r="R4" i="22" s="1"/>
  <c r="J203" i="22"/>
  <c r="R203" i="22" s="1"/>
  <c r="J174" i="22"/>
  <c r="R174" i="22" s="1"/>
  <c r="J284" i="22"/>
  <c r="R284" i="22" s="1"/>
  <c r="J110" i="22"/>
  <c r="J258" i="22"/>
  <c r="R258" i="22" s="1"/>
  <c r="J35" i="22"/>
  <c r="R35" i="22" s="1"/>
  <c r="O84" i="37"/>
  <c r="O7" i="37"/>
  <c r="D7" i="37" s="1"/>
  <c r="J319" i="22"/>
  <c r="R319" i="22" s="1"/>
  <c r="J80" i="22"/>
  <c r="R80" i="22" s="1"/>
  <c r="J69" i="22"/>
  <c r="R69" i="22" s="1"/>
  <c r="J306" i="22"/>
  <c r="R306" i="22" s="1"/>
  <c r="J224" i="22"/>
  <c r="R224" i="22" s="1"/>
  <c r="J266" i="22"/>
  <c r="R266" i="22" s="1"/>
  <c r="J164" i="22"/>
  <c r="R164" i="22" s="1"/>
  <c r="O322" i="37"/>
  <c r="D322" i="37" s="1"/>
  <c r="J191" i="22"/>
  <c r="R191" i="22" s="1"/>
  <c r="J162" i="22"/>
  <c r="R162" i="22" s="1"/>
  <c r="J170" i="22"/>
  <c r="R170" i="22" s="1"/>
  <c r="J120" i="22"/>
  <c r="R120" i="22" s="1"/>
  <c r="O8" i="37"/>
  <c r="J293" i="22"/>
  <c r="R293" i="22" s="1"/>
  <c r="J95" i="22"/>
  <c r="R95" i="22" s="1"/>
  <c r="J30" i="22"/>
  <c r="R30" i="22" s="1"/>
  <c r="J157" i="37"/>
  <c r="J19" i="37"/>
  <c r="J50" i="22"/>
  <c r="R50" i="22" s="1"/>
  <c r="J235" i="22"/>
  <c r="R235" i="22" s="1"/>
  <c r="J230" i="22"/>
  <c r="R230" i="22" s="1"/>
  <c r="J282" i="22"/>
  <c r="R282" i="22" s="1"/>
  <c r="J217" i="22"/>
  <c r="R217" i="22" s="1"/>
  <c r="J124" i="22"/>
  <c r="R124" i="22" s="1"/>
  <c r="J310" i="22"/>
  <c r="R310" i="22" s="1"/>
  <c r="J290" i="22"/>
  <c r="R290" i="22" s="1"/>
  <c r="J153" i="22"/>
  <c r="R153" i="22" s="1"/>
  <c r="J75" i="22"/>
  <c r="R75" i="22" s="1"/>
  <c r="J68" i="22"/>
  <c r="R68" i="22" s="1"/>
  <c r="J78" i="22"/>
  <c r="R78" i="22" s="1"/>
  <c r="J288" i="22"/>
  <c r="R288" i="22" s="1"/>
  <c r="J305" i="22"/>
  <c r="R305" i="22" s="1"/>
  <c r="J60" i="22"/>
  <c r="R60" i="22" s="1"/>
  <c r="J221" i="22"/>
  <c r="R221" i="22" s="1"/>
  <c r="J12" i="22"/>
  <c r="R12" i="22" s="1"/>
  <c r="J287" i="22"/>
  <c r="R287" i="22" s="1"/>
  <c r="J14" i="22"/>
  <c r="R14" i="22" s="1"/>
  <c r="J112" i="22"/>
  <c r="R112" i="22" s="1"/>
  <c r="J76" i="22"/>
  <c r="R76" i="22" s="1"/>
  <c r="J52" i="22"/>
  <c r="R52" i="22" s="1"/>
  <c r="J24" i="22"/>
  <c r="R24" i="22" s="1"/>
  <c r="J202" i="22"/>
  <c r="R202" i="22" s="1"/>
  <c r="J320" i="22"/>
  <c r="R320" i="22" s="1"/>
  <c r="J223" i="22"/>
  <c r="R223" i="22" s="1"/>
  <c r="J267" i="22"/>
  <c r="R267" i="22" s="1"/>
  <c r="J240" i="22"/>
  <c r="R240" i="22" s="1"/>
  <c r="Q306" i="22"/>
  <c r="J139" i="22"/>
  <c r="R139" i="22" s="1"/>
  <c r="J311" i="22"/>
  <c r="R311" i="22" s="1"/>
  <c r="J141" i="22"/>
  <c r="R141" i="22" s="1"/>
  <c r="J151" i="22"/>
  <c r="R151" i="22" s="1"/>
  <c r="J46" i="22"/>
  <c r="R46" i="22" s="1"/>
  <c r="J301" i="22"/>
  <c r="R301" i="22" s="1"/>
  <c r="J303" i="22"/>
  <c r="R303" i="22" s="1"/>
  <c r="J26" i="22"/>
  <c r="R26" i="22" s="1"/>
  <c r="J49" i="22"/>
  <c r="R49" i="22" s="1"/>
  <c r="J111" i="22"/>
  <c r="R111" i="22" s="1"/>
  <c r="O194" i="37"/>
  <c r="D194" i="37" s="1"/>
  <c r="J289" i="22"/>
  <c r="R289" i="22" s="1"/>
  <c r="J100" i="22"/>
  <c r="R100" i="22" s="1"/>
  <c r="J211" i="22"/>
  <c r="J280" i="22"/>
  <c r="R280" i="22" s="1"/>
  <c r="J41" i="22"/>
  <c r="R41" i="22" s="1"/>
  <c r="J42" i="22"/>
  <c r="R42" i="22" s="1"/>
  <c r="J158" i="22"/>
  <c r="R158" i="22" s="1"/>
  <c r="J312" i="22"/>
  <c r="Q211" i="22"/>
  <c r="J39" i="22"/>
  <c r="R39" i="22" s="1"/>
  <c r="J197" i="22"/>
  <c r="R197" i="22" s="1"/>
  <c r="O191" i="37"/>
  <c r="D191" i="37" s="1"/>
  <c r="J45" i="22"/>
  <c r="R45" i="22" s="1"/>
  <c r="J207" i="22"/>
  <c r="R207" i="22" s="1"/>
  <c r="O64" i="37"/>
  <c r="D64" i="37" s="1"/>
  <c r="J275" i="22"/>
  <c r="R275" i="22" s="1"/>
  <c r="J172" i="22"/>
  <c r="R172" i="22" s="1"/>
  <c r="J273" i="22"/>
  <c r="R273" i="22" s="1"/>
  <c r="J231" i="22"/>
  <c r="R231" i="22" s="1"/>
  <c r="J244" i="22"/>
  <c r="R244" i="22" s="1"/>
  <c r="J304" i="22"/>
  <c r="R304" i="22" s="1"/>
  <c r="J173" i="22"/>
  <c r="R173" i="22" s="1"/>
  <c r="J199" i="22"/>
  <c r="R199" i="22" s="1"/>
  <c r="O288" i="37"/>
  <c r="D288" i="37" s="1"/>
  <c r="J228" i="22"/>
  <c r="R228" i="22" s="1"/>
  <c r="O196" i="37"/>
  <c r="D196" i="37" s="1"/>
  <c r="J229" i="22"/>
  <c r="R229" i="22" s="1"/>
  <c r="O170" i="37"/>
  <c r="J90" i="22"/>
  <c r="R90" i="22" s="1"/>
  <c r="AH241" i="37"/>
  <c r="O250" i="22" s="1"/>
  <c r="AH200" i="37"/>
  <c r="AH237" i="37"/>
  <c r="AH42" i="37"/>
  <c r="O292" i="22" s="1"/>
  <c r="AH263" i="37"/>
  <c r="AH201" i="37"/>
  <c r="AH260" i="37"/>
  <c r="AH129" i="37"/>
  <c r="AH95" i="37"/>
  <c r="AH11" i="37"/>
  <c r="O281" i="22" s="1"/>
  <c r="N121" i="43"/>
  <c r="E80" i="37"/>
  <c r="J180" i="37"/>
  <c r="E180" i="37"/>
  <c r="I180" i="37"/>
  <c r="AH159" i="37"/>
  <c r="I19" i="37"/>
  <c r="AH173" i="37"/>
  <c r="O267" i="22" s="1"/>
  <c r="I80" i="37"/>
  <c r="AH227" i="37"/>
  <c r="AH53" i="37"/>
  <c r="J80" i="37"/>
  <c r="AH9" i="37"/>
  <c r="O66" i="22" s="1"/>
  <c r="J262" i="22"/>
  <c r="R262" i="22" s="1"/>
  <c r="J56" i="22"/>
  <c r="J129" i="22"/>
  <c r="R129" i="22" s="1"/>
  <c r="J97" i="22"/>
  <c r="R97" i="22" s="1"/>
  <c r="J216" i="22"/>
  <c r="R216" i="22" s="1"/>
  <c r="J34" i="22"/>
  <c r="R34" i="22" s="1"/>
  <c r="J316" i="22"/>
  <c r="R316" i="22" s="1"/>
  <c r="J261" i="22"/>
  <c r="R261" i="22" s="1"/>
  <c r="J23" i="22"/>
  <c r="R23" i="22" s="1"/>
  <c r="J296" i="22"/>
  <c r="R296" i="22" s="1"/>
  <c r="J64" i="22"/>
  <c r="R64" i="22" s="1"/>
  <c r="J252" i="22"/>
  <c r="R252" i="22" s="1"/>
  <c r="J108" i="22"/>
  <c r="R108" i="22" s="1"/>
  <c r="J131" i="22"/>
  <c r="R131" i="22" s="1"/>
  <c r="J38" i="22"/>
  <c r="R38" i="22" s="1"/>
  <c r="J163" i="22"/>
  <c r="R163" i="22" s="1"/>
  <c r="J183" i="22"/>
  <c r="R183" i="22" s="1"/>
  <c r="J73" i="22"/>
  <c r="R73" i="22" s="1"/>
  <c r="J67" i="22"/>
  <c r="R67" i="22" s="1"/>
  <c r="J77" i="22"/>
  <c r="R77" i="22" s="1"/>
  <c r="O72" i="37"/>
  <c r="J182" i="22"/>
  <c r="R182" i="22" s="1"/>
  <c r="J114" i="22"/>
  <c r="R114" i="22" s="1"/>
  <c r="O141" i="37"/>
  <c r="D141" i="37" s="1"/>
  <c r="J133" i="22"/>
  <c r="R133" i="22" s="1"/>
  <c r="J295" i="22"/>
  <c r="J226" i="22"/>
  <c r="R226" i="22" s="1"/>
  <c r="J160" i="22"/>
  <c r="R160" i="22" s="1"/>
  <c r="J171" i="22"/>
  <c r="R171" i="22" s="1"/>
  <c r="J321" i="22"/>
  <c r="R321" i="22" s="1"/>
  <c r="J109" i="22"/>
  <c r="R109" i="22" s="1"/>
  <c r="J127" i="22"/>
  <c r="R127" i="22" s="1"/>
  <c r="O11" i="37"/>
  <c r="J294" i="22"/>
  <c r="R294" i="22" s="1"/>
  <c r="O264" i="37"/>
  <c r="J222" i="22"/>
  <c r="R222" i="22" s="1"/>
  <c r="J281" i="22"/>
  <c r="R281" i="22" s="1"/>
  <c r="J40" i="22"/>
  <c r="R40" i="22" s="1"/>
  <c r="J227" i="22"/>
  <c r="J87" i="22"/>
  <c r="R87" i="22" s="1"/>
  <c r="J138" i="22"/>
  <c r="R138" i="22" s="1"/>
  <c r="J298" i="22"/>
  <c r="R298" i="22" s="1"/>
  <c r="J277" i="22"/>
  <c r="R277" i="22" s="1"/>
  <c r="O77" i="37"/>
  <c r="J297" i="22"/>
  <c r="R297" i="22" s="1"/>
  <c r="J215" i="22"/>
  <c r="R215" i="22" s="1"/>
  <c r="J270" i="22"/>
  <c r="R270" i="22" s="1"/>
  <c r="J253" i="22"/>
  <c r="R253" i="22" s="1"/>
  <c r="J145" i="22"/>
  <c r="R145" i="22" s="1"/>
  <c r="J144" i="22"/>
  <c r="R144" i="22" s="1"/>
  <c r="J206" i="22"/>
  <c r="R206" i="22" s="1"/>
  <c r="J150" i="22"/>
  <c r="R150" i="22" s="1"/>
  <c r="J247" i="22"/>
  <c r="R247" i="22" s="1"/>
  <c r="J20" i="22"/>
  <c r="R20" i="22" s="1"/>
  <c r="J84" i="22"/>
  <c r="R84" i="22" s="1"/>
  <c r="J44" i="22"/>
  <c r="R44" i="22" s="1"/>
  <c r="O160" i="37"/>
  <c r="D160" i="37" s="1"/>
  <c r="J116" i="22"/>
  <c r="R116" i="22" s="1"/>
  <c r="J192" i="22"/>
  <c r="R192" i="22" s="1"/>
  <c r="J322" i="22"/>
  <c r="R322" i="22" s="1"/>
  <c r="O175" i="37"/>
  <c r="O195" i="37"/>
  <c r="D195" i="37" s="1"/>
  <c r="J22" i="22"/>
  <c r="R22" i="22" s="1"/>
  <c r="J187" i="22"/>
  <c r="R187" i="22" s="1"/>
  <c r="J19" i="22"/>
  <c r="R19" i="22" s="1"/>
  <c r="J21" i="22"/>
  <c r="R21" i="22" s="1"/>
  <c r="O181" i="37"/>
  <c r="D181" i="37" s="1"/>
  <c r="J274" i="22"/>
  <c r="R274" i="22" s="1"/>
  <c r="O41" i="37"/>
  <c r="D41" i="37" s="1"/>
  <c r="O166" i="37"/>
  <c r="D166" i="37" s="1"/>
  <c r="O143" i="37"/>
  <c r="D143" i="37" s="1"/>
  <c r="J66" i="22"/>
  <c r="R66" i="22" s="1"/>
  <c r="J194" i="22"/>
  <c r="R194" i="22" s="1"/>
  <c r="J251" i="22"/>
  <c r="R251" i="22" s="1"/>
  <c r="J85" i="22"/>
  <c r="J136" i="22"/>
  <c r="R136" i="22" s="1"/>
  <c r="J250" i="22"/>
  <c r="R250" i="22" s="1"/>
  <c r="J28" i="22"/>
  <c r="J156" i="22"/>
  <c r="R156" i="22" s="1"/>
  <c r="J71" i="22"/>
  <c r="R71" i="22" s="1"/>
  <c r="J177" i="22"/>
  <c r="R177" i="22" s="1"/>
  <c r="J10" i="22"/>
  <c r="R10" i="22" s="1"/>
  <c r="J167" i="22"/>
  <c r="R167" i="22" s="1"/>
  <c r="J185" i="22"/>
  <c r="R185" i="22" s="1"/>
  <c r="J157" i="22"/>
  <c r="R157" i="22" s="1"/>
  <c r="J93" i="22"/>
  <c r="R93" i="22" s="1"/>
  <c r="J118" i="22"/>
  <c r="R118" i="22" s="1"/>
  <c r="J53" i="22"/>
  <c r="R53" i="22" s="1"/>
  <c r="O100" i="37"/>
  <c r="D100" i="37" s="1"/>
  <c r="J283" i="22"/>
  <c r="R283" i="22" s="1"/>
  <c r="J119" i="22"/>
  <c r="R119" i="22" s="1"/>
  <c r="J242" i="22"/>
  <c r="R242" i="22" s="1"/>
  <c r="J254" i="22"/>
  <c r="R254" i="22" s="1"/>
  <c r="J300" i="22"/>
  <c r="R300" i="22" s="1"/>
  <c r="J159" i="22"/>
  <c r="R159" i="22" s="1"/>
  <c r="J263" i="22"/>
  <c r="R263" i="22" s="1"/>
  <c r="J168" i="22"/>
  <c r="R168" i="22" s="1"/>
  <c r="J54" i="22"/>
  <c r="R54" i="22" s="1"/>
  <c r="J13" i="22"/>
  <c r="R13" i="22" s="1"/>
  <c r="J180" i="22"/>
  <c r="R180" i="22" s="1"/>
  <c r="J81" i="22"/>
  <c r="R81" i="22" s="1"/>
  <c r="J51" i="22"/>
  <c r="R51" i="22" s="1"/>
  <c r="J256" i="22"/>
  <c r="R256" i="22" s="1"/>
  <c r="J292" i="22"/>
  <c r="R292" i="22" s="1"/>
  <c r="O146" i="37"/>
  <c r="J125" i="22"/>
  <c r="R125" i="22" s="1"/>
  <c r="J96" i="22"/>
  <c r="J48" i="22"/>
  <c r="R48" i="22" s="1"/>
  <c r="O324" i="37"/>
  <c r="D324" i="37" s="1"/>
  <c r="J74" i="22"/>
  <c r="R74" i="22" s="1"/>
  <c r="J92" i="22"/>
  <c r="R92" i="22" s="1"/>
  <c r="J269" i="22"/>
  <c r="R269" i="22" s="1"/>
  <c r="J272" i="22"/>
  <c r="R272" i="22" s="1"/>
  <c r="J309" i="22"/>
  <c r="R309" i="22" s="1"/>
  <c r="J154" i="22"/>
  <c r="R154" i="22" s="1"/>
  <c r="J238" i="22"/>
  <c r="R238" i="22" s="1"/>
  <c r="J234" i="22"/>
  <c r="R234" i="22" s="1"/>
  <c r="J128" i="22"/>
  <c r="R128" i="22" s="1"/>
  <c r="J190" i="22"/>
  <c r="R190" i="22" s="1"/>
  <c r="O116" i="37"/>
  <c r="D116" i="37" s="1"/>
  <c r="J278" i="22"/>
  <c r="R278" i="22" s="1"/>
  <c r="J186" i="22"/>
  <c r="R186" i="22" s="1"/>
  <c r="J88" i="22"/>
  <c r="R88" i="22" s="1"/>
  <c r="J123" i="22"/>
  <c r="R123" i="22" s="1"/>
  <c r="J70" i="22"/>
  <c r="R70" i="22" s="1"/>
  <c r="J248" i="22"/>
  <c r="R248" i="22" s="1"/>
  <c r="J276" i="22"/>
  <c r="R276" i="22" s="1"/>
  <c r="J232" i="22"/>
  <c r="R232" i="22" s="1"/>
  <c r="J188" i="22"/>
  <c r="R188" i="22" s="1"/>
  <c r="J65" i="22"/>
  <c r="R65" i="22" s="1"/>
  <c r="J29" i="22"/>
  <c r="R29" i="22" s="1"/>
  <c r="J193" i="22"/>
  <c r="R193" i="22" s="1"/>
  <c r="J165" i="22"/>
  <c r="R165" i="22" s="1"/>
  <c r="J43" i="22"/>
  <c r="J237" i="22"/>
  <c r="R237" i="22" s="1"/>
  <c r="J181" i="22"/>
  <c r="R181" i="22" s="1"/>
  <c r="O206" i="37"/>
  <c r="J59" i="22"/>
  <c r="R59" i="22" s="1"/>
  <c r="O163" i="37"/>
  <c r="D163" i="37" s="1"/>
  <c r="J27" i="22"/>
  <c r="R27" i="22" s="1"/>
  <c r="O217" i="37"/>
  <c r="D217" i="37" s="1"/>
  <c r="J318" i="22"/>
  <c r="R318" i="22" s="1"/>
  <c r="J205" i="22"/>
  <c r="R205" i="22" s="1"/>
  <c r="J213" i="22"/>
  <c r="R213" i="22" s="1"/>
  <c r="J243" i="22"/>
  <c r="R243" i="22" s="1"/>
  <c r="J47" i="22"/>
  <c r="R47" i="22" s="1"/>
  <c r="O210" i="37"/>
  <c r="O309" i="37"/>
  <c r="D309" i="37" s="1"/>
  <c r="J200" i="22"/>
  <c r="R200" i="22" s="1"/>
  <c r="J7" i="22"/>
  <c r="R7" i="22" s="1"/>
  <c r="J239" i="22"/>
  <c r="R239" i="22" s="1"/>
  <c r="J218" i="22"/>
  <c r="R218" i="22" s="1"/>
  <c r="J209" i="22"/>
  <c r="R209" i="22" s="1"/>
  <c r="J98" i="22"/>
  <c r="R98" i="22" s="1"/>
  <c r="J212" i="22"/>
  <c r="R212" i="22" s="1"/>
  <c r="O323" i="37"/>
  <c r="AH158" i="37"/>
  <c r="O305" i="22" s="1"/>
  <c r="AH196" i="37"/>
  <c r="O251" i="22" s="1"/>
  <c r="AH270" i="37"/>
  <c r="AH94" i="37"/>
  <c r="O166" i="22" s="1"/>
  <c r="AH248" i="37"/>
  <c r="AH110" i="37"/>
  <c r="J192" i="37"/>
  <c r="AH264" i="37"/>
  <c r="I192" i="37"/>
  <c r="AH26" i="37"/>
  <c r="AH47" i="37"/>
  <c r="O81" i="22" s="1"/>
  <c r="AH294" i="37"/>
  <c r="AH269" i="37"/>
  <c r="AH223" i="37"/>
  <c r="O65" i="22" s="1"/>
  <c r="J279" i="22"/>
  <c r="R279" i="22" s="1"/>
  <c r="O293" i="37"/>
  <c r="D293" i="37" s="1"/>
  <c r="J99" i="22"/>
  <c r="R99" i="22" s="1"/>
  <c r="J113" i="22"/>
  <c r="R113" i="22" s="1"/>
  <c r="J132" i="22"/>
  <c r="R132" i="22" s="1"/>
  <c r="J83" i="22"/>
  <c r="R83" i="22" s="1"/>
  <c r="O220" i="37"/>
  <c r="D220" i="37" s="1"/>
  <c r="O316" i="37"/>
  <c r="D316" i="37" s="1"/>
  <c r="J142" i="22"/>
  <c r="R142" i="22" s="1"/>
  <c r="J245" i="22"/>
  <c r="R245" i="22" s="1"/>
  <c r="J179" i="22"/>
  <c r="R179" i="22" s="1"/>
  <c r="J106" i="22"/>
  <c r="R106" i="22" s="1"/>
  <c r="J148" i="22"/>
  <c r="R148" i="22" s="1"/>
  <c r="J152" i="22"/>
  <c r="R152" i="22" s="1"/>
  <c r="J198" i="22"/>
  <c r="R198" i="22" s="1"/>
  <c r="J25" i="22"/>
  <c r="R25" i="22" s="1"/>
  <c r="O48" i="37"/>
  <c r="J189" i="22"/>
  <c r="R189" i="22" s="1"/>
  <c r="J314" i="22"/>
  <c r="R314" i="22" s="1"/>
  <c r="J121" i="22"/>
  <c r="R121" i="22" s="1"/>
  <c r="O87" i="37"/>
  <c r="J72" i="22"/>
  <c r="R72" i="22" s="1"/>
  <c r="J184" i="22"/>
  <c r="R184" i="22" s="1"/>
  <c r="J89" i="22"/>
  <c r="R89" i="22" s="1"/>
  <c r="J291" i="22"/>
  <c r="R291" i="22" s="1"/>
  <c r="J214" i="22"/>
  <c r="R214" i="22" s="1"/>
  <c r="J137" i="22"/>
  <c r="R137" i="22" s="1"/>
  <c r="O57" i="37"/>
  <c r="D57" i="37" s="1"/>
  <c r="J302" i="22"/>
  <c r="R302" i="22" s="1"/>
  <c r="J257" i="22"/>
  <c r="R257" i="22" s="1"/>
  <c r="J15" i="22"/>
  <c r="R15" i="22" s="1"/>
  <c r="J210" i="22"/>
  <c r="R210" i="22" s="1"/>
  <c r="J105" i="22"/>
  <c r="R105" i="22" s="1"/>
  <c r="J32" i="22"/>
  <c r="R32" i="22" s="1"/>
  <c r="J143" i="22"/>
  <c r="R143" i="22" s="1"/>
  <c r="J58" i="22"/>
  <c r="R58" i="22" s="1"/>
  <c r="O182" i="37"/>
  <c r="D182" i="37" s="1"/>
  <c r="J101" i="22"/>
  <c r="R101" i="22" s="1"/>
  <c r="O148" i="37"/>
  <c r="J57" i="22"/>
  <c r="R57" i="22" s="1"/>
  <c r="J176" i="22"/>
  <c r="R176" i="22" s="1"/>
  <c r="J195" i="22"/>
  <c r="R195" i="22" s="1"/>
  <c r="J169" i="22"/>
  <c r="R169" i="22" s="1"/>
  <c r="O126" i="37"/>
  <c r="J208" i="22"/>
  <c r="R208" i="22" s="1"/>
  <c r="J135" i="22"/>
  <c r="R135" i="22" s="1"/>
  <c r="J17" i="22"/>
  <c r="R17" i="22" s="1"/>
  <c r="O174" i="37"/>
  <c r="D174" i="37" s="1"/>
  <c r="O139" i="37"/>
  <c r="O193" i="37"/>
  <c r="D193" i="37" s="1"/>
  <c r="J236" i="22"/>
  <c r="R236" i="22" s="1"/>
  <c r="J271" i="22"/>
  <c r="R271" i="22" s="1"/>
  <c r="J246" i="22"/>
  <c r="R246" i="22" s="1"/>
  <c r="O32" i="37"/>
  <c r="J62" i="22"/>
  <c r="R62" i="22" s="1"/>
  <c r="J82" i="22"/>
  <c r="R82" i="22" s="1"/>
  <c r="J166" i="22"/>
  <c r="R166" i="22" s="1"/>
  <c r="J317" i="22"/>
  <c r="R317" i="22" s="1"/>
  <c r="O250" i="37"/>
  <c r="D250" i="37" s="1"/>
  <c r="J104" i="22"/>
  <c r="R104" i="22" s="1"/>
  <c r="J264" i="22"/>
  <c r="R264" i="22" s="1"/>
  <c r="J260" i="22"/>
  <c r="R260" i="22" s="1"/>
  <c r="J37" i="22"/>
  <c r="R37" i="22" s="1"/>
  <c r="J315" i="22"/>
  <c r="R315" i="22" s="1"/>
  <c r="J91" i="22"/>
  <c r="R91" i="22" s="1"/>
  <c r="O12" i="37"/>
  <c r="D12" i="37" s="1"/>
  <c r="O137" i="37"/>
  <c r="D137" i="37" s="1"/>
  <c r="O145" i="37"/>
  <c r="D145" i="37" s="1"/>
  <c r="O80" i="37"/>
  <c r="O180" i="37"/>
  <c r="F180" i="37" s="1"/>
  <c r="O56" i="37"/>
  <c r="J6" i="22"/>
  <c r="R6" i="22" s="1"/>
  <c r="O17" i="37"/>
  <c r="D17" i="37" s="1"/>
  <c r="O219" i="37"/>
  <c r="D219" i="37" s="1"/>
  <c r="O81" i="37"/>
  <c r="J33" i="22"/>
  <c r="R33" i="22" s="1"/>
  <c r="J286" i="22"/>
  <c r="R286" i="22" s="1"/>
  <c r="J308" i="22"/>
  <c r="R308" i="22" s="1"/>
  <c r="J18" i="22"/>
  <c r="R18" i="22" s="1"/>
  <c r="J102" i="22"/>
  <c r="R102" i="22" s="1"/>
  <c r="O69" i="37"/>
  <c r="O204" i="37"/>
  <c r="D204" i="37" s="1"/>
  <c r="J86" i="22"/>
  <c r="R86" i="22" s="1"/>
  <c r="J259" i="22"/>
  <c r="R259" i="22" s="1"/>
  <c r="J11" i="22"/>
  <c r="R11" i="22" s="1"/>
  <c r="O90" i="37"/>
  <c r="D90" i="37" s="1"/>
  <c r="J196" i="22"/>
  <c r="R196" i="22" s="1"/>
  <c r="J8" i="22"/>
  <c r="R8" i="22" s="1"/>
  <c r="O37" i="37"/>
  <c r="J241" i="22"/>
  <c r="R241" i="22" s="1"/>
  <c r="O30" i="37"/>
  <c r="J55" i="22"/>
  <c r="R55" i="22" s="1"/>
  <c r="J265" i="22"/>
  <c r="R265" i="22" s="1"/>
  <c r="J175" i="22"/>
  <c r="R175" i="22" s="1"/>
  <c r="J103" i="22"/>
  <c r="R103" i="22" s="1"/>
  <c r="O198" i="37"/>
  <c r="D198" i="37" s="1"/>
  <c r="O54" i="37"/>
  <c r="D54" i="37" s="1"/>
  <c r="J149" i="22"/>
  <c r="R149" i="22" s="1"/>
  <c r="J255" i="22"/>
  <c r="R255" i="22" s="1"/>
  <c r="J16" i="22"/>
  <c r="J130" i="22"/>
  <c r="R130" i="22" s="1"/>
  <c r="O66" i="37"/>
  <c r="D66" i="37" s="1"/>
  <c r="O187" i="37"/>
  <c r="O74" i="37"/>
  <c r="O110" i="37"/>
  <c r="J63" i="22"/>
  <c r="R63" i="22" s="1"/>
  <c r="J146" i="22"/>
  <c r="R146" i="22" s="1"/>
  <c r="J219" i="22"/>
  <c r="R219" i="22" s="1"/>
  <c r="J140" i="22"/>
  <c r="R140" i="22" s="1"/>
  <c r="N321" i="22"/>
  <c r="N115" i="22"/>
  <c r="N233" i="22"/>
  <c r="Q202" i="22"/>
  <c r="N215" i="22"/>
  <c r="N8" i="22"/>
  <c r="N301" i="22"/>
  <c r="Q237" i="22"/>
  <c r="E101" i="37"/>
  <c r="N107" i="22"/>
  <c r="N238" i="22"/>
  <c r="N214" i="22"/>
  <c r="N303" i="22"/>
  <c r="N14" i="22"/>
  <c r="N278" i="22"/>
  <c r="N247" i="22"/>
  <c r="Q27" i="22"/>
  <c r="N62" i="22"/>
  <c r="Q96" i="22"/>
  <c r="Q165" i="22"/>
  <c r="Q228" i="22"/>
  <c r="Q140" i="22"/>
  <c r="N208" i="22"/>
  <c r="N273" i="22"/>
  <c r="N125" i="22"/>
  <c r="N70" i="22"/>
  <c r="AH49" i="37"/>
  <c r="O17" i="22" s="1"/>
  <c r="N258" i="22"/>
  <c r="N287" i="22"/>
  <c r="Q30" i="22"/>
  <c r="Q100" i="22"/>
  <c r="N135" i="22"/>
  <c r="Q234" i="22"/>
  <c r="N112" i="22"/>
  <c r="Q82" i="22"/>
  <c r="N271" i="22"/>
  <c r="Q113" i="22"/>
  <c r="N27" i="22"/>
  <c r="N158" i="22"/>
  <c r="N36" i="22"/>
  <c r="E19" i="37"/>
  <c r="Q318" i="22"/>
  <c r="Q293" i="22"/>
  <c r="Q70" i="22"/>
  <c r="Q11" i="22"/>
  <c r="N102" i="22"/>
  <c r="Q212" i="22"/>
  <c r="R276" i="37"/>
  <c r="AH30" i="37"/>
  <c r="O55" i="22" s="1"/>
  <c r="AH138" i="37"/>
  <c r="O141" i="22" s="1"/>
  <c r="AH109" i="37"/>
  <c r="AH198" i="37"/>
  <c r="O93" i="22" s="1"/>
  <c r="AH245" i="37"/>
  <c r="AH207" i="37"/>
  <c r="O182" i="22" s="1"/>
  <c r="AH288" i="37"/>
  <c r="O10" i="22" s="1"/>
  <c r="Q10" i="22" s="1"/>
  <c r="AH283" i="37"/>
  <c r="O196" i="22" s="1"/>
  <c r="I235" i="37"/>
  <c r="AH149" i="37"/>
  <c r="O58" i="22" s="1"/>
  <c r="AH214" i="37"/>
  <c r="O280" i="22" s="1"/>
  <c r="AH191" i="37"/>
  <c r="O207" i="22" s="1"/>
  <c r="E235" i="37"/>
  <c r="AH195" i="37"/>
  <c r="J197" i="37"/>
  <c r="AH75" i="37"/>
  <c r="O39" i="22" s="1"/>
  <c r="J235" i="37"/>
  <c r="AH50" i="37"/>
  <c r="O210" i="22" s="1"/>
  <c r="E197" i="37"/>
  <c r="I308" i="37"/>
  <c r="I197" i="37"/>
  <c r="J308" i="37"/>
  <c r="E308" i="37"/>
  <c r="J101" i="37"/>
  <c r="I101" i="37"/>
  <c r="I157" i="37"/>
  <c r="AH249" i="37"/>
  <c r="I222" i="37"/>
  <c r="E222" i="37"/>
  <c r="J222" i="37"/>
  <c r="E157" i="37"/>
  <c r="AH25" i="37"/>
  <c r="O162" i="22" s="1"/>
  <c r="I216" i="37"/>
  <c r="AH100" i="37"/>
  <c r="AH90" i="37"/>
  <c r="O222" i="22" s="1"/>
  <c r="E216" i="37"/>
  <c r="J216" i="37"/>
  <c r="AH304" i="37"/>
  <c r="AH189" i="37"/>
  <c r="O260" i="22" s="1"/>
  <c r="AH285" i="37"/>
  <c r="O216" i="22" s="1"/>
  <c r="AH273" i="37"/>
  <c r="O123" i="22" s="1"/>
  <c r="AH123" i="37"/>
  <c r="O219" i="22" s="1"/>
  <c r="E131" i="37"/>
  <c r="J131" i="37"/>
  <c r="AH282" i="37"/>
  <c r="O47" i="22" s="1"/>
  <c r="AH211" i="37"/>
  <c r="O45" i="22" s="1"/>
  <c r="I131" i="37"/>
  <c r="AH314" i="37"/>
  <c r="O239" i="22" s="1"/>
  <c r="AH286" i="37"/>
  <c r="O268" i="22" s="1"/>
  <c r="AH213" i="37"/>
  <c r="AH114" i="37"/>
  <c r="O29" i="22" s="1"/>
  <c r="E192" i="37"/>
  <c r="AH243" i="37"/>
  <c r="O156" i="22" s="1"/>
  <c r="AH229" i="37"/>
  <c r="O172" i="22" s="1"/>
  <c r="AH136" i="37"/>
  <c r="O129" i="22" s="1"/>
  <c r="AH99" i="37"/>
  <c r="O9" i="22" s="1"/>
  <c r="Q214" i="22"/>
  <c r="AH204" i="37"/>
  <c r="O249" i="22" s="1"/>
  <c r="AH289" i="37"/>
  <c r="O220" i="22" s="1"/>
  <c r="Q192" i="22"/>
  <c r="L1" i="9"/>
  <c r="A1" i="28"/>
  <c r="H12" i="28" s="1"/>
  <c r="A1" i="27"/>
  <c r="H12" i="27" s="1"/>
  <c r="T306" i="22" l="1"/>
  <c r="D98" i="37"/>
  <c r="D26" i="37"/>
  <c r="T97" i="22"/>
  <c r="D212" i="37"/>
  <c r="D308" i="37"/>
  <c r="D94" i="37"/>
  <c r="G24" i="27"/>
  <c r="D11" i="21"/>
  <c r="R25" i="21" s="1"/>
  <c r="I12" i="21"/>
  <c r="M1" i="9"/>
  <c r="E230" i="37"/>
  <c r="J230" i="37"/>
  <c r="I230" i="37"/>
  <c r="E319" i="37"/>
  <c r="I319" i="37"/>
  <c r="F192" i="37"/>
  <c r="H192" i="37" s="1"/>
  <c r="D279" i="37"/>
  <c r="D30" i="37"/>
  <c r="D139" i="37"/>
  <c r="D285" i="37"/>
  <c r="AC174" i="37"/>
  <c r="N19" i="22" s="1"/>
  <c r="P19" i="22" s="1"/>
  <c r="D37" i="37"/>
  <c r="D183" i="37"/>
  <c r="D172" i="37"/>
  <c r="D50" i="37"/>
  <c r="F178" i="37"/>
  <c r="H178" i="37" s="1"/>
  <c r="D80" i="37"/>
  <c r="O136" i="37"/>
  <c r="D136" i="37" s="1"/>
  <c r="O313" i="37"/>
  <c r="D313" i="37" s="1"/>
  <c r="O318" i="37"/>
  <c r="D318" i="37" s="1"/>
  <c r="D210" i="37"/>
  <c r="D170" i="37"/>
  <c r="O21" i="37"/>
  <c r="D21" i="37" s="1"/>
  <c r="O301" i="37"/>
  <c r="D301" i="37" s="1"/>
  <c r="O95" i="37"/>
  <c r="D95" i="37" s="1"/>
  <c r="D148" i="37"/>
  <c r="O258" i="37"/>
  <c r="D258" i="37" s="1"/>
  <c r="O171" i="37"/>
  <c r="F171" i="37" s="1"/>
  <c r="O315" i="37"/>
  <c r="D315" i="37" s="1"/>
  <c r="O184" i="37"/>
  <c r="D184" i="37" s="1"/>
  <c r="O270" i="37"/>
  <c r="D270" i="37" s="1"/>
  <c r="O79" i="37"/>
  <c r="D79" i="37" s="1"/>
  <c r="O88" i="37"/>
  <c r="D88" i="37" s="1"/>
  <c r="O245" i="37"/>
  <c r="D245" i="37" s="1"/>
  <c r="O254" i="37"/>
  <c r="D254" i="37" s="1"/>
  <c r="D273" i="37"/>
  <c r="O14" i="37"/>
  <c r="O162" i="37"/>
  <c r="D162" i="37" s="1"/>
  <c r="O29" i="37"/>
  <c r="D29" i="37" s="1"/>
  <c r="O24" i="37"/>
  <c r="D24" i="37" s="1"/>
  <c r="O216" i="37"/>
  <c r="D216" i="37" s="1"/>
  <c r="D8" i="37"/>
  <c r="J323" i="22"/>
  <c r="F1" i="22"/>
  <c r="O93" i="37"/>
  <c r="D93" i="37" s="1"/>
  <c r="D49" i="37"/>
  <c r="O152" i="37"/>
  <c r="D152" i="37" s="1"/>
  <c r="O199" i="37"/>
  <c r="D199" i="37" s="1"/>
  <c r="O231" i="37"/>
  <c r="D231" i="37" s="1"/>
  <c r="O86" i="37"/>
  <c r="D86" i="37" s="1"/>
  <c r="O229" i="37"/>
  <c r="D229" i="37" s="1"/>
  <c r="D77" i="37"/>
  <c r="D6" i="37"/>
  <c r="O23" i="37"/>
  <c r="D23" i="37" s="1"/>
  <c r="O283" i="37"/>
  <c r="F283" i="37" s="1"/>
  <c r="G283" i="37" s="1"/>
  <c r="D146" i="37"/>
  <c r="D110" i="37"/>
  <c r="O75" i="37"/>
  <c r="D75" i="37" s="1"/>
  <c r="O91" i="37"/>
  <c r="D91" i="37" s="1"/>
  <c r="O36" i="37"/>
  <c r="D36" i="37" s="1"/>
  <c r="O140" i="37"/>
  <c r="D140" i="37" s="1"/>
  <c r="D56" i="37"/>
  <c r="P107" i="22"/>
  <c r="D13" i="37"/>
  <c r="D173" i="37"/>
  <c r="O310" i="37"/>
  <c r="F310" i="37" s="1"/>
  <c r="D187" i="37"/>
  <c r="AC233" i="37"/>
  <c r="I233" i="37" s="1"/>
  <c r="O241" i="37"/>
  <c r="D241" i="37" s="1"/>
  <c r="O247" i="37"/>
  <c r="D247" i="37" s="1"/>
  <c r="O70" i="37"/>
  <c r="D70" i="37" s="1"/>
  <c r="O169" i="37"/>
  <c r="D169" i="37" s="1"/>
  <c r="O314" i="37"/>
  <c r="D314" i="37" s="1"/>
  <c r="O277" i="37"/>
  <c r="D277" i="37" s="1"/>
  <c r="O311" i="37"/>
  <c r="D311" i="37" s="1"/>
  <c r="O262" i="37"/>
  <c r="D262" i="37" s="1"/>
  <c r="O10" i="37"/>
  <c r="D10" i="37" s="1"/>
  <c r="O287" i="37"/>
  <c r="D287" i="37" s="1"/>
  <c r="O304" i="37"/>
  <c r="D304" i="37" s="1"/>
  <c r="O78" i="37"/>
  <c r="D78" i="37" s="1"/>
  <c r="O73" i="37"/>
  <c r="D73" i="37" s="1"/>
  <c r="D323" i="37"/>
  <c r="O128" i="37"/>
  <c r="D128" i="37" s="1"/>
  <c r="D11" i="37"/>
  <c r="O25" i="37"/>
  <c r="D25" i="37" s="1"/>
  <c r="O235" i="37"/>
  <c r="D235" i="37" s="1"/>
  <c r="J175" i="37"/>
  <c r="O248" i="37"/>
  <c r="D248" i="37" s="1"/>
  <c r="O31" i="37"/>
  <c r="D31" i="37" s="1"/>
  <c r="O55" i="37"/>
  <c r="D55" i="37" s="1"/>
  <c r="O130" i="37"/>
  <c r="D130" i="37" s="1"/>
  <c r="O85" i="37"/>
  <c r="D85" i="37" s="1"/>
  <c r="O282" i="37"/>
  <c r="D282" i="37" s="1"/>
  <c r="O82" i="37"/>
  <c r="D82" i="37" s="1"/>
  <c r="O156" i="37"/>
  <c r="D156" i="37" s="1"/>
  <c r="D74" i="37"/>
  <c r="O47" i="37"/>
  <c r="D47" i="37" s="1"/>
  <c r="O105" i="37"/>
  <c r="D105" i="37" s="1"/>
  <c r="O51" i="37"/>
  <c r="D51" i="37" s="1"/>
  <c r="O63" i="37"/>
  <c r="D63" i="37" s="1"/>
  <c r="O76" i="37"/>
  <c r="D76" i="37" s="1"/>
  <c r="O38" i="37"/>
  <c r="D38" i="37" s="1"/>
  <c r="O33" i="37"/>
  <c r="O321" i="37"/>
  <c r="D321" i="37" s="1"/>
  <c r="O189" i="37"/>
  <c r="D189" i="37" s="1"/>
  <c r="O278" i="37"/>
  <c r="D278" i="37" s="1"/>
  <c r="O131" i="37"/>
  <c r="D131" i="37" s="1"/>
  <c r="O259" i="37"/>
  <c r="F259" i="37" s="1"/>
  <c r="O20" i="37"/>
  <c r="D20" i="37" s="1"/>
  <c r="O263" i="37"/>
  <c r="D263" i="37" s="1"/>
  <c r="O19" i="37"/>
  <c r="D19" i="37" s="1"/>
  <c r="O284" i="37"/>
  <c r="D284" i="37" s="1"/>
  <c r="O224" i="37"/>
  <c r="D224" i="37" s="1"/>
  <c r="O59" i="37"/>
  <c r="D59" i="37" s="1"/>
  <c r="O237" i="37"/>
  <c r="D237" i="37" s="1"/>
  <c r="O39" i="37"/>
  <c r="D39" i="37" s="1"/>
  <c r="E23" i="21"/>
  <c r="O232" i="37"/>
  <c r="D232" i="37" s="1"/>
  <c r="O286" i="37"/>
  <c r="D286" i="37" s="1"/>
  <c r="O101" i="37"/>
  <c r="F101" i="37" s="1"/>
  <c r="G101" i="37" s="1"/>
  <c r="O114" i="37"/>
  <c r="D114" i="37" s="1"/>
  <c r="O122" i="37"/>
  <c r="D122" i="37" s="1"/>
  <c r="O45" i="37"/>
  <c r="D45" i="37" s="1"/>
  <c r="D72" i="37"/>
  <c r="O299" i="37"/>
  <c r="D299" i="37" s="1"/>
  <c r="O294" i="37"/>
  <c r="D294" i="37" s="1"/>
  <c r="O107" i="37"/>
  <c r="D107" i="37" s="1"/>
  <c r="O292" i="37"/>
  <c r="D292" i="37" s="1"/>
  <c r="O269" i="37"/>
  <c r="D269" i="37" s="1"/>
  <c r="O52" i="37"/>
  <c r="D52" i="37" s="1"/>
  <c r="O43" i="37"/>
  <c r="D43" i="37" s="1"/>
  <c r="O138" i="37"/>
  <c r="D138" i="37" s="1"/>
  <c r="O71" i="37"/>
  <c r="O121" i="37"/>
  <c r="D121" i="37" s="1"/>
  <c r="O18" i="37"/>
  <c r="D18" i="37" s="1"/>
  <c r="O281" i="37"/>
  <c r="D281" i="37" s="1"/>
  <c r="O221" i="37"/>
  <c r="D221" i="37" s="1"/>
  <c r="D81" i="37"/>
  <c r="O173" i="22"/>
  <c r="Q173" i="22" s="1"/>
  <c r="O158" i="22"/>
  <c r="S158" i="22" s="1"/>
  <c r="T158" i="22" s="1"/>
  <c r="F230" i="37"/>
  <c r="H230" i="37" s="1"/>
  <c r="AC207" i="37"/>
  <c r="E207" i="37" s="1"/>
  <c r="AC200" i="37"/>
  <c r="AC289" i="37"/>
  <c r="F289" i="37" s="1"/>
  <c r="AC201" i="37"/>
  <c r="I201" i="37" s="1"/>
  <c r="O280" i="37"/>
  <c r="D280" i="37" s="1"/>
  <c r="O106" i="37"/>
  <c r="D106" i="37" s="1"/>
  <c r="O61" i="37"/>
  <c r="O185" i="37"/>
  <c r="D185" i="37" s="1"/>
  <c r="O267" i="37"/>
  <c r="D267" i="37" s="1"/>
  <c r="O274" i="37"/>
  <c r="F274" i="37" s="1"/>
  <c r="H274" i="37" s="1"/>
  <c r="O253" i="37"/>
  <c r="D253" i="37" s="1"/>
  <c r="O295" i="37"/>
  <c r="D295" i="37" s="1"/>
  <c r="D206" i="37"/>
  <c r="D264" i="37"/>
  <c r="O256" i="37"/>
  <c r="D256" i="37" s="1"/>
  <c r="O144" i="37"/>
  <c r="D144" i="37" s="1"/>
  <c r="O167" i="37"/>
  <c r="D167" i="37" s="1"/>
  <c r="O226" i="37"/>
  <c r="D226" i="37" s="1"/>
  <c r="O234" i="37"/>
  <c r="D234" i="37" s="1"/>
  <c r="O197" i="37"/>
  <c r="D197" i="37" s="1"/>
  <c r="O62" i="37"/>
  <c r="D62" i="37" s="1"/>
  <c r="O147" i="37"/>
  <c r="D147" i="37" s="1"/>
  <c r="O302" i="37"/>
  <c r="D302" i="37" s="1"/>
  <c r="O111" i="37"/>
  <c r="D111" i="37" s="1"/>
  <c r="O225" i="37"/>
  <c r="D225" i="37" s="1"/>
  <c r="O255" i="37"/>
  <c r="D255" i="37" s="1"/>
  <c r="O317" i="37"/>
  <c r="D317" i="37" s="1"/>
  <c r="O227" i="37"/>
  <c r="D227" i="37" s="1"/>
  <c r="O83" i="37"/>
  <c r="D83" i="37" s="1"/>
  <c r="O272" i="37"/>
  <c r="D272" i="37" s="1"/>
  <c r="O271" i="37"/>
  <c r="D271" i="37" s="1"/>
  <c r="O201" i="37"/>
  <c r="D201" i="37" s="1"/>
  <c r="O291" i="37"/>
  <c r="D291" i="37" s="1"/>
  <c r="O67" i="37"/>
  <c r="D67" i="37" s="1"/>
  <c r="O276" i="37"/>
  <c r="F276" i="37" s="1"/>
  <c r="O35" i="37"/>
  <c r="D35" i="37" s="1"/>
  <c r="O211" i="37"/>
  <c r="D211" i="37" s="1"/>
  <c r="O22" i="37"/>
  <c r="D22" i="37" s="1"/>
  <c r="O320" i="37"/>
  <c r="D320" i="37" s="1"/>
  <c r="O307" i="37"/>
  <c r="D307" i="37" s="1"/>
  <c r="O109" i="37"/>
  <c r="D109" i="37" s="1"/>
  <c r="O325" i="37"/>
  <c r="D325" i="37" s="1"/>
  <c r="O40" i="37"/>
  <c r="D40" i="37" s="1"/>
  <c r="O159" i="37"/>
  <c r="D159" i="37" s="1"/>
  <c r="O177" i="37"/>
  <c r="D177" i="37" s="1"/>
  <c r="O290" i="37"/>
  <c r="D290" i="37" s="1"/>
  <c r="O223" i="37"/>
  <c r="D223" i="37" s="1"/>
  <c r="O244" i="37"/>
  <c r="D244" i="37" s="1"/>
  <c r="O207" i="37"/>
  <c r="D207" i="37" s="1"/>
  <c r="O222" i="37"/>
  <c r="D222" i="37" s="1"/>
  <c r="O303" i="37"/>
  <c r="D303" i="37" s="1"/>
  <c r="O68" i="37"/>
  <c r="D68" i="37" s="1"/>
  <c r="O133" i="37"/>
  <c r="D133" i="37" s="1"/>
  <c r="O218" i="37"/>
  <c r="D218" i="37" s="1"/>
  <c r="O297" i="37"/>
  <c r="D297" i="37" s="1"/>
  <c r="O96" i="37"/>
  <c r="D96" i="37" s="1"/>
  <c r="O125" i="37"/>
  <c r="D125" i="37" s="1"/>
  <c r="O134" i="37"/>
  <c r="D134" i="37" s="1"/>
  <c r="O9" i="37"/>
  <c r="F9" i="37" s="1"/>
  <c r="O34" i="37"/>
  <c r="D34" i="37" s="1"/>
  <c r="O27" i="37"/>
  <c r="D27" i="37" s="1"/>
  <c r="O214" i="37"/>
  <c r="D214" i="37" s="1"/>
  <c r="D249" i="37"/>
  <c r="O46" i="37"/>
  <c r="D46" i="37" s="1"/>
  <c r="O149" i="37"/>
  <c r="D149" i="37" s="1"/>
  <c r="O240" i="37"/>
  <c r="D240" i="37" s="1"/>
  <c r="O260" i="37"/>
  <c r="D260" i="37" s="1"/>
  <c r="O164" i="37"/>
  <c r="D164" i="37" s="1"/>
  <c r="O115" i="37"/>
  <c r="D115" i="37" s="1"/>
  <c r="O242" i="37"/>
  <c r="D242" i="37" s="1"/>
  <c r="O53" i="37"/>
  <c r="D53" i="37" s="1"/>
  <c r="O99" i="37"/>
  <c r="D99" i="37" s="1"/>
  <c r="O155" i="37"/>
  <c r="D155" i="37" s="1"/>
  <c r="O44" i="37"/>
  <c r="D44" i="37" s="1"/>
  <c r="O124" i="37"/>
  <c r="D124" i="37" s="1"/>
  <c r="O142" i="37"/>
  <c r="D142" i="37" s="1"/>
  <c r="O252" i="37"/>
  <c r="D252" i="37" s="1"/>
  <c r="O150" i="37"/>
  <c r="D150" i="37" s="1"/>
  <c r="O42" i="37"/>
  <c r="D42" i="37" s="1"/>
  <c r="O251" i="37"/>
  <c r="D251" i="37" s="1"/>
  <c r="O257" i="37"/>
  <c r="D257" i="37" s="1"/>
  <c r="O120" i="37"/>
  <c r="D120" i="37" s="1"/>
  <c r="O268" i="37"/>
  <c r="D268" i="37" s="1"/>
  <c r="O97" i="37"/>
  <c r="D97" i="37" s="1"/>
  <c r="O65" i="37"/>
  <c r="D65" i="37" s="1"/>
  <c r="O179" i="37"/>
  <c r="F179" i="37" s="1"/>
  <c r="O209" i="37"/>
  <c r="F209" i="37" s="1"/>
  <c r="G209" i="37" s="1"/>
  <c r="O104" i="37"/>
  <c r="D104" i="37" s="1"/>
  <c r="J250" i="37"/>
  <c r="D157" i="37"/>
  <c r="O305" i="37"/>
  <c r="F305" i="37" s="1"/>
  <c r="O296" i="37"/>
  <c r="D296" i="37" s="1"/>
  <c r="O132" i="37"/>
  <c r="D132" i="37" s="1"/>
  <c r="O102" i="37"/>
  <c r="D102" i="37" s="1"/>
  <c r="O135" i="37"/>
  <c r="D135" i="37" s="1"/>
  <c r="O200" i="37"/>
  <c r="D200" i="37" s="1"/>
  <c r="O154" i="37"/>
  <c r="D154" i="37" s="1"/>
  <c r="O238" i="37"/>
  <c r="D238" i="37" s="1"/>
  <c r="O16" i="37"/>
  <c r="D16" i="37" s="1"/>
  <c r="O118" i="37"/>
  <c r="D118" i="37" s="1"/>
  <c r="O246" i="37"/>
  <c r="D246" i="37" s="1"/>
  <c r="O123" i="37"/>
  <c r="D123" i="37" s="1"/>
  <c r="O119" i="37"/>
  <c r="D119" i="37" s="1"/>
  <c r="H19" i="21"/>
  <c r="E19" i="21"/>
  <c r="E239" i="37"/>
  <c r="I179" i="37"/>
  <c r="E179" i="37"/>
  <c r="AC210" i="37"/>
  <c r="J210" i="37" s="1"/>
  <c r="AC16" i="37"/>
  <c r="E16" i="37" s="1"/>
  <c r="AC161" i="37"/>
  <c r="E161" i="37" s="1"/>
  <c r="P312" i="22"/>
  <c r="AC291" i="37"/>
  <c r="AC121" i="37"/>
  <c r="AC47" i="37"/>
  <c r="AC53" i="37"/>
  <c r="AC56" i="37"/>
  <c r="F56" i="37" s="1"/>
  <c r="AC317" i="37"/>
  <c r="I166" i="37"/>
  <c r="J166" i="37"/>
  <c r="F14" i="21"/>
  <c r="E22" i="21"/>
  <c r="G25" i="21"/>
  <c r="G24" i="21"/>
  <c r="G19" i="21"/>
  <c r="G17" i="21"/>
  <c r="F22" i="21"/>
  <c r="G23" i="21"/>
  <c r="H16" i="21"/>
  <c r="E13" i="21"/>
  <c r="F25" i="21"/>
  <c r="H23" i="21"/>
  <c r="H18" i="21"/>
  <c r="H22" i="21"/>
  <c r="F16" i="21"/>
  <c r="E17" i="21"/>
  <c r="H15" i="21"/>
  <c r="H20" i="21"/>
  <c r="M25" i="21"/>
  <c r="E25" i="21"/>
  <c r="H17" i="21"/>
  <c r="E16" i="21"/>
  <c r="F116" i="37"/>
  <c r="H116" i="37" s="1"/>
  <c r="I83" i="37"/>
  <c r="I301" i="37"/>
  <c r="P110" i="22"/>
  <c r="J83" i="37"/>
  <c r="E301" i="37"/>
  <c r="J301" i="37"/>
  <c r="I302" i="37"/>
  <c r="E302" i="37"/>
  <c r="J302" i="37"/>
  <c r="AC100" i="37"/>
  <c r="F100" i="37" s="1"/>
  <c r="P85" i="22"/>
  <c r="I275" i="37"/>
  <c r="R4" i="37"/>
  <c r="J119" i="37"/>
  <c r="I119" i="37"/>
  <c r="E119" i="37"/>
  <c r="E169" i="37"/>
  <c r="I169" i="37"/>
  <c r="J268" i="37"/>
  <c r="I268" i="37"/>
  <c r="S321" i="22"/>
  <c r="T321" i="22" s="1"/>
  <c r="J169" i="37"/>
  <c r="I208" i="37"/>
  <c r="E281" i="37"/>
  <c r="E122" i="37"/>
  <c r="F306" i="37"/>
  <c r="G306" i="37" s="1"/>
  <c r="P28" i="22"/>
  <c r="E21" i="21"/>
  <c r="G16" i="21"/>
  <c r="H21" i="21"/>
  <c r="G13" i="21"/>
  <c r="E15" i="21"/>
  <c r="K12" i="21"/>
  <c r="F13" i="21"/>
  <c r="G12" i="21"/>
  <c r="L25" i="21"/>
  <c r="G18" i="21"/>
  <c r="F18" i="21"/>
  <c r="F21" i="21"/>
  <c r="E18" i="21"/>
  <c r="N25" i="21"/>
  <c r="G20" i="21"/>
  <c r="H24" i="21"/>
  <c r="F24" i="21"/>
  <c r="F15" i="21"/>
  <c r="H12" i="21"/>
  <c r="F23" i="21"/>
  <c r="K25" i="21"/>
  <c r="G22" i="21"/>
  <c r="F17" i="21"/>
  <c r="E24" i="21"/>
  <c r="F12" i="21"/>
  <c r="G14" i="21"/>
  <c r="H13" i="21"/>
  <c r="E12" i="21"/>
  <c r="F20" i="21"/>
  <c r="H25" i="21"/>
  <c r="G15" i="21"/>
  <c r="F19" i="21"/>
  <c r="H14" i="21"/>
  <c r="E20" i="21"/>
  <c r="E14" i="21"/>
  <c r="G21" i="21"/>
  <c r="F175" i="37"/>
  <c r="G175" i="37" s="1"/>
  <c r="J12" i="37"/>
  <c r="I12" i="37"/>
  <c r="E12" i="37"/>
  <c r="I250" i="37"/>
  <c r="P211" i="22"/>
  <c r="E83" i="37"/>
  <c r="F94" i="37"/>
  <c r="G94" i="37" s="1"/>
  <c r="F49" i="37"/>
  <c r="G49" i="37" s="1"/>
  <c r="F166" i="37"/>
  <c r="G166" i="37" s="1"/>
  <c r="F212" i="37"/>
  <c r="H212" i="37" s="1"/>
  <c r="F203" i="37"/>
  <c r="G203" i="37" s="1"/>
  <c r="F323" i="37"/>
  <c r="H323" i="37" s="1"/>
  <c r="O103" i="37"/>
  <c r="D103" i="37" s="1"/>
  <c r="J256" i="37"/>
  <c r="F176" i="37"/>
  <c r="G176" i="37" s="1"/>
  <c r="F312" i="37"/>
  <c r="H312" i="37" s="1"/>
  <c r="I256" i="37"/>
  <c r="P96" i="22"/>
  <c r="F41" i="37"/>
  <c r="G41" i="37" s="1"/>
  <c r="F236" i="37"/>
  <c r="G236" i="37" s="1"/>
  <c r="F170" i="37"/>
  <c r="G170" i="37" s="1"/>
  <c r="F181" i="37"/>
  <c r="G181" i="37" s="1"/>
  <c r="F8" i="37"/>
  <c r="G8" i="37" s="1"/>
  <c r="F261" i="37"/>
  <c r="H261" i="37" s="1"/>
  <c r="F239" i="37"/>
  <c r="H239" i="37" s="1"/>
  <c r="F50" i="37"/>
  <c r="G50" i="37" s="1"/>
  <c r="H180" i="37"/>
  <c r="G180" i="37"/>
  <c r="I117" i="37"/>
  <c r="F117" i="37"/>
  <c r="I10" i="37"/>
  <c r="E108" i="37"/>
  <c r="F108" i="37"/>
  <c r="E266" i="37"/>
  <c r="F266" i="37"/>
  <c r="N174" i="22"/>
  <c r="P174" i="22" s="1"/>
  <c r="N260" i="22"/>
  <c r="P260" i="22" s="1"/>
  <c r="N141" i="22"/>
  <c r="N132" i="22"/>
  <c r="S132" i="22" s="1"/>
  <c r="T132" i="22" s="1"/>
  <c r="N294" i="22"/>
  <c r="P294" i="22" s="1"/>
  <c r="N311" i="22"/>
  <c r="P311" i="22" s="1"/>
  <c r="F153" i="37"/>
  <c r="N31" i="22"/>
  <c r="P31" i="22" s="1"/>
  <c r="F7" i="37"/>
  <c r="F32" i="37"/>
  <c r="F308" i="37"/>
  <c r="N66" i="22"/>
  <c r="J320" i="37"/>
  <c r="N143" i="22"/>
  <c r="S143" i="22" s="1"/>
  <c r="T143" i="22" s="1"/>
  <c r="F64" i="37"/>
  <c r="N205" i="22"/>
  <c r="P205" i="22" s="1"/>
  <c r="E32" i="37"/>
  <c r="N309" i="22"/>
  <c r="S309" i="22" s="1"/>
  <c r="T309" i="22" s="1"/>
  <c r="N285" i="22"/>
  <c r="N243" i="22"/>
  <c r="F217" i="37"/>
  <c r="E124" i="37"/>
  <c r="N136" i="22"/>
  <c r="S136" i="22" s="1"/>
  <c r="T136" i="22" s="1"/>
  <c r="N314" i="22"/>
  <c r="P314" i="22" s="1"/>
  <c r="F279" i="37"/>
  <c r="F267" i="37"/>
  <c r="N92" i="22"/>
  <c r="P92" i="22" s="1"/>
  <c r="N229" i="22"/>
  <c r="S229" i="22" s="1"/>
  <c r="T229" i="22" s="1"/>
  <c r="F141" i="37"/>
  <c r="F316" i="37"/>
  <c r="N172" i="22"/>
  <c r="P172" i="22" s="1"/>
  <c r="N281" i="22"/>
  <c r="P281" i="22" s="1"/>
  <c r="F11" i="37"/>
  <c r="N255" i="22"/>
  <c r="P255" i="22" s="1"/>
  <c r="F129" i="37"/>
  <c r="F215" i="37"/>
  <c r="N7" i="22"/>
  <c r="S7" i="22" s="1"/>
  <c r="T7" i="22" s="1"/>
  <c r="F126" i="37"/>
  <c r="N169" i="22"/>
  <c r="S169" i="22" s="1"/>
  <c r="T169" i="22" s="1"/>
  <c r="N203" i="22"/>
  <c r="F122" i="37"/>
  <c r="F250" i="37"/>
  <c r="N228" i="22"/>
  <c r="S228" i="22" s="1"/>
  <c r="T228" i="22" s="1"/>
  <c r="N164" i="22"/>
  <c r="P164" i="22" s="1"/>
  <c r="N42" i="22"/>
  <c r="P42" i="22" s="1"/>
  <c r="J254" i="37"/>
  <c r="N227" i="22"/>
  <c r="P227" i="22" s="1"/>
  <c r="F293" i="37"/>
  <c r="N237" i="22"/>
  <c r="N219" i="22"/>
  <c r="F173" i="37"/>
  <c r="F30" i="37"/>
  <c r="N284" i="22"/>
  <c r="J142" i="37"/>
  <c r="N56" i="22"/>
  <c r="S56" i="22" s="1"/>
  <c r="N212" i="22"/>
  <c r="S212" i="22" s="1"/>
  <c r="T212" i="22" s="1"/>
  <c r="N103" i="22"/>
  <c r="S103" i="22" s="1"/>
  <c r="T103" i="22" s="1"/>
  <c r="N156" i="22"/>
  <c r="P156" i="22" s="1"/>
  <c r="F243" i="37"/>
  <c r="F288" i="37"/>
  <c r="N15" i="22"/>
  <c r="P15" i="22" s="1"/>
  <c r="F69" i="37"/>
  <c r="F300" i="37"/>
  <c r="N204" i="22"/>
  <c r="P204" i="22" s="1"/>
  <c r="N254" i="22"/>
  <c r="P254" i="22" s="1"/>
  <c r="N5" i="22"/>
  <c r="P5" i="22" s="1"/>
  <c r="N173" i="22"/>
  <c r="P173" i="22" s="1"/>
  <c r="N79" i="22"/>
  <c r="F26" i="37"/>
  <c r="N80" i="22"/>
  <c r="S80" i="22" s="1"/>
  <c r="T80" i="22" s="1"/>
  <c r="F17" i="37"/>
  <c r="N232" i="22"/>
  <c r="P232" i="22" s="1"/>
  <c r="N87" i="22"/>
  <c r="P87" i="22" s="1"/>
  <c r="N30" i="22"/>
  <c r="S30" i="22" s="1"/>
  <c r="T30" i="22" s="1"/>
  <c r="F319" i="37"/>
  <c r="N9" i="22"/>
  <c r="F157" i="37"/>
  <c r="N218" i="22"/>
  <c r="P218" i="22" s="1"/>
  <c r="N305" i="22"/>
  <c r="F158" i="37"/>
  <c r="N268" i="22"/>
  <c r="P268" i="22" s="1"/>
  <c r="E219" i="37"/>
  <c r="F219" i="37"/>
  <c r="N128" i="22"/>
  <c r="P128" i="22" s="1"/>
  <c r="F195" i="37"/>
  <c r="I32" i="37"/>
  <c r="N251" i="22"/>
  <c r="S251" i="22" s="1"/>
  <c r="T251" i="22" s="1"/>
  <c r="F196" i="37"/>
  <c r="F208" i="37"/>
  <c r="N319" i="22"/>
  <c r="F213" i="37"/>
  <c r="F186" i="37"/>
  <c r="N244" i="22"/>
  <c r="P244" i="22" s="1"/>
  <c r="N35" i="22"/>
  <c r="S35" i="22" s="1"/>
  <c r="T35" i="22" s="1"/>
  <c r="F313" i="37"/>
  <c r="N239" i="22"/>
  <c r="P239" i="22" s="1"/>
  <c r="F191" i="37"/>
  <c r="N126" i="22"/>
  <c r="P126" i="22" s="1"/>
  <c r="D33" i="37"/>
  <c r="N134" i="22"/>
  <c r="P134" i="22" s="1"/>
  <c r="N197" i="22"/>
  <c r="P197" i="22" s="1"/>
  <c r="N47" i="22"/>
  <c r="P47" i="22" s="1"/>
  <c r="N140" i="22"/>
  <c r="S140" i="22" s="1"/>
  <c r="T140" i="22" s="1"/>
  <c r="F110" i="37"/>
  <c r="I59" i="37"/>
  <c r="N249" i="22"/>
  <c r="P249" i="22" s="1"/>
  <c r="F204" i="37"/>
  <c r="N213" i="22"/>
  <c r="P213" i="22" s="1"/>
  <c r="F151" i="37"/>
  <c r="N43" i="22"/>
  <c r="P43" i="22" s="1"/>
  <c r="F28" i="37"/>
  <c r="N72" i="22"/>
  <c r="N51" i="22"/>
  <c r="N139" i="22"/>
  <c r="S139" i="22" s="1"/>
  <c r="T139" i="22" s="1"/>
  <c r="N291" i="22"/>
  <c r="P291" i="22" s="1"/>
  <c r="F168" i="37"/>
  <c r="N124" i="22"/>
  <c r="P124" i="22" s="1"/>
  <c r="N24" i="22"/>
  <c r="S24" i="22" s="1"/>
  <c r="T24" i="22" s="1"/>
  <c r="F265" i="37"/>
  <c r="N89" i="22"/>
  <c r="P89" i="22" s="1"/>
  <c r="F88" i="37"/>
  <c r="N33" i="22"/>
  <c r="P33" i="22" s="1"/>
  <c r="F81" i="37"/>
  <c r="N286" i="22"/>
  <c r="S286" i="22" s="1"/>
  <c r="T286" i="22" s="1"/>
  <c r="F275" i="37"/>
  <c r="F12" i="37"/>
  <c r="N29" i="22"/>
  <c r="N123" i="22"/>
  <c r="P123" i="22" s="1"/>
  <c r="F273" i="37"/>
  <c r="N122" i="22"/>
  <c r="P122" i="22" s="1"/>
  <c r="F90" i="37"/>
  <c r="N216" i="22"/>
  <c r="P216" i="22" s="1"/>
  <c r="F285" i="37"/>
  <c r="N129" i="22"/>
  <c r="P129" i="22" s="1"/>
  <c r="F136" i="37"/>
  <c r="N58" i="22"/>
  <c r="P58" i="22" s="1"/>
  <c r="D127" i="37"/>
  <c r="N194" i="22"/>
  <c r="S194" i="22" s="1"/>
  <c r="T194" i="22" s="1"/>
  <c r="F318" i="37"/>
  <c r="F80" i="37"/>
  <c r="I215" i="37"/>
  <c r="I175" i="37"/>
  <c r="E175" i="37"/>
  <c r="E26" i="58"/>
  <c r="F26" i="58" s="1"/>
  <c r="G26" i="58" s="1"/>
  <c r="E30" i="58"/>
  <c r="F30" i="58" s="1"/>
  <c r="G30" i="58" s="1"/>
  <c r="E250" i="37"/>
  <c r="I281" i="37"/>
  <c r="J122" i="37"/>
  <c r="J281" i="37"/>
  <c r="J179" i="37"/>
  <c r="O317" i="22"/>
  <c r="Q317" i="22" s="1"/>
  <c r="O108" i="22"/>
  <c r="Q108" i="22" s="1"/>
  <c r="O223" i="22"/>
  <c r="Q223" i="22" s="1"/>
  <c r="O225" i="22"/>
  <c r="Q225" i="22" s="1"/>
  <c r="O137" i="22"/>
  <c r="Q137" i="22" s="1"/>
  <c r="O124" i="22"/>
  <c r="Q124" i="22" s="1"/>
  <c r="O255" i="22"/>
  <c r="Q255" i="22" s="1"/>
  <c r="O205" i="22"/>
  <c r="Q205" i="22" s="1"/>
  <c r="O175" i="22"/>
  <c r="Q175" i="22" s="1"/>
  <c r="O284" i="22"/>
  <c r="Q284" i="22" s="1"/>
  <c r="O62" i="22"/>
  <c r="S62" i="22" s="1"/>
  <c r="O5" i="22"/>
  <c r="Q5" i="22" s="1"/>
  <c r="O313" i="22"/>
  <c r="Q313" i="22" s="1"/>
  <c r="I178" i="37"/>
  <c r="O322" i="22"/>
  <c r="S322" i="22" s="1"/>
  <c r="T322" i="22" s="1"/>
  <c r="O87" i="22"/>
  <c r="Q87" i="22" s="1"/>
  <c r="E203" i="37"/>
  <c r="O189" i="22"/>
  <c r="Q189" i="22" s="1"/>
  <c r="O311" i="22"/>
  <c r="Q311" i="22" s="1"/>
  <c r="E256" i="37"/>
  <c r="O125" i="22"/>
  <c r="Q125" i="22" s="1"/>
  <c r="O252" i="22"/>
  <c r="Q252" i="22" s="1"/>
  <c r="O22" i="22"/>
  <c r="Q22" i="22" s="1"/>
  <c r="O315" i="22"/>
  <c r="Q315" i="22" s="1"/>
  <c r="O128" i="22"/>
  <c r="Q128" i="22" s="1"/>
  <c r="O254" i="22"/>
  <c r="Q254" i="22" s="1"/>
  <c r="E86" i="37"/>
  <c r="O120" i="22"/>
  <c r="Q120" i="22" s="1"/>
  <c r="I105" i="37"/>
  <c r="O221" i="22"/>
  <c r="Q221" i="22" s="1"/>
  <c r="O301" i="22"/>
  <c r="Q301" i="22" s="1"/>
  <c r="O245" i="22"/>
  <c r="Q245" i="22" s="1"/>
  <c r="O121" i="22"/>
  <c r="Q121" i="22" s="1"/>
  <c r="O99" i="22"/>
  <c r="Q99" i="22" s="1"/>
  <c r="O291" i="22"/>
  <c r="Q291" i="22" s="1"/>
  <c r="O235" i="22"/>
  <c r="Q235" i="22" s="1"/>
  <c r="E208" i="37"/>
  <c r="E323" i="37"/>
  <c r="O112" i="22"/>
  <c r="Q112" i="22" s="1"/>
  <c r="J18" i="37"/>
  <c r="J242" i="37"/>
  <c r="O167" i="22"/>
  <c r="Q167" i="22" s="1"/>
  <c r="O33" i="22"/>
  <c r="Q33" i="22" s="1"/>
  <c r="O197" i="22"/>
  <c r="Q197" i="22" s="1"/>
  <c r="O233" i="22"/>
  <c r="Q233" i="22" s="1"/>
  <c r="J284" i="37"/>
  <c r="O226" i="22"/>
  <c r="Q226" i="22" s="1"/>
  <c r="E275" i="37"/>
  <c r="O148" i="22"/>
  <c r="Q148" i="22" s="1"/>
  <c r="O12" i="22"/>
  <c r="Q12" i="22" s="1"/>
  <c r="O177" i="22"/>
  <c r="Q177" i="22" s="1"/>
  <c r="O36" i="22"/>
  <c r="Q36" i="22" s="1"/>
  <c r="I295" i="37"/>
  <c r="O110" i="22"/>
  <c r="S110" i="22" s="1"/>
  <c r="I176" i="37"/>
  <c r="O273" i="22"/>
  <c r="Q273" i="22" s="1"/>
  <c r="O217" i="22"/>
  <c r="Q217" i="22" s="1"/>
  <c r="O247" i="22"/>
  <c r="Q247" i="22" s="1"/>
  <c r="I312" i="37"/>
  <c r="O106" i="22"/>
  <c r="Q106" i="22" s="1"/>
  <c r="J275" i="37"/>
  <c r="O126" i="22"/>
  <c r="Q126" i="22" s="1"/>
  <c r="O278" i="22"/>
  <c r="S278" i="22" s="1"/>
  <c r="T278" i="22" s="1"/>
  <c r="O89" i="22"/>
  <c r="Q89" i="22" s="1"/>
  <c r="I236" i="37"/>
  <c r="O242" i="22"/>
  <c r="Q242" i="22" s="1"/>
  <c r="O258" i="22"/>
  <c r="S258" i="22" s="1"/>
  <c r="T258" i="22" s="1"/>
  <c r="I170" i="37"/>
  <c r="O85" i="22"/>
  <c r="Q85" i="22" s="1"/>
  <c r="O28" i="22"/>
  <c r="Q28" i="22" s="1"/>
  <c r="O14" i="22"/>
  <c r="Q14" i="22" s="1"/>
  <c r="O15" i="22"/>
  <c r="Q15" i="22" s="1"/>
  <c r="J261" i="37"/>
  <c r="O98" i="22"/>
  <c r="Q98" i="22" s="1"/>
  <c r="O199" i="22"/>
  <c r="Q199" i="22" s="1"/>
  <c r="O208" i="22"/>
  <c r="Q208" i="22" s="1"/>
  <c r="I8" i="37"/>
  <c r="O316" i="22"/>
  <c r="Q316" i="22" s="1"/>
  <c r="O79" i="22"/>
  <c r="Q79" i="22" s="1"/>
  <c r="O288" i="22"/>
  <c r="Q288" i="22" s="1"/>
  <c r="I38" i="37"/>
  <c r="O130" i="22"/>
  <c r="S130" i="22" s="1"/>
  <c r="T130" i="22" s="1"/>
  <c r="O215" i="22"/>
  <c r="S215" i="22" s="1"/>
  <c r="T215" i="22" s="1"/>
  <c r="O227" i="22"/>
  <c r="Q227" i="22" s="1"/>
  <c r="O319" i="22"/>
  <c r="Q319" i="22" s="1"/>
  <c r="J208" i="37"/>
  <c r="O54" i="22"/>
  <c r="Q54" i="22" s="1"/>
  <c r="O200" i="22"/>
  <c r="Q200" i="22" s="1"/>
  <c r="J239" i="37"/>
  <c r="O26" i="22"/>
  <c r="Q26" i="22" s="1"/>
  <c r="O248" i="22"/>
  <c r="Q248" i="22" s="1"/>
  <c r="O174" i="22"/>
  <c r="Q174" i="22" s="1"/>
  <c r="O206" i="22"/>
  <c r="Q206" i="22" s="1"/>
  <c r="O51" i="22"/>
  <c r="Q51" i="22" s="1"/>
  <c r="O142" i="22"/>
  <c r="Q142" i="22" s="1"/>
  <c r="O131" i="22"/>
  <c r="Q131" i="22" s="1"/>
  <c r="O13" i="22"/>
  <c r="Q13" i="22" s="1"/>
  <c r="E176" i="37"/>
  <c r="I284" i="37"/>
  <c r="E284" i="37"/>
  <c r="E59" i="37"/>
  <c r="E105" i="37"/>
  <c r="I86" i="37"/>
  <c r="P233" i="22"/>
  <c r="E18" i="37"/>
  <c r="I257" i="37"/>
  <c r="I18" i="37"/>
  <c r="J257" i="37"/>
  <c r="J59" i="37"/>
  <c r="E76" i="37"/>
  <c r="E312" i="37"/>
  <c r="I224" i="37"/>
  <c r="J104" i="37"/>
  <c r="I39" i="37"/>
  <c r="I104" i="37"/>
  <c r="J86" i="37"/>
  <c r="J105" i="37"/>
  <c r="I253" i="37"/>
  <c r="E69" i="37"/>
  <c r="E325" i="37"/>
  <c r="J325" i="37"/>
  <c r="E259" i="37"/>
  <c r="J259" i="37"/>
  <c r="I259" i="37"/>
  <c r="E218" i="37"/>
  <c r="J218" i="37"/>
  <c r="I218" i="37"/>
  <c r="P115" i="22"/>
  <c r="J266" i="37"/>
  <c r="J310" i="37"/>
  <c r="I186" i="37"/>
  <c r="J295" i="37"/>
  <c r="J22" i="37"/>
  <c r="I73" i="37"/>
  <c r="I7" i="37"/>
  <c r="E8" i="37"/>
  <c r="J8" i="37"/>
  <c r="E261" i="37"/>
  <c r="E257" i="37"/>
  <c r="I261" i="37"/>
  <c r="J79" i="37"/>
  <c r="E236" i="37"/>
  <c r="I300" i="37"/>
  <c r="J186" i="37"/>
  <c r="I79" i="37"/>
  <c r="E79" i="37"/>
  <c r="E292" i="37"/>
  <c r="E186" i="37"/>
  <c r="J271" i="37"/>
  <c r="E271" i="37"/>
  <c r="I271" i="37"/>
  <c r="I203" i="37"/>
  <c r="E295" i="37"/>
  <c r="I299" i="37"/>
  <c r="J276" i="37"/>
  <c r="J203" i="37"/>
  <c r="J232" i="37"/>
  <c r="E299" i="37"/>
  <c r="E120" i="37"/>
  <c r="I153" i="37"/>
  <c r="I266" i="37"/>
  <c r="I292" i="37"/>
  <c r="N133" i="22"/>
  <c r="P133" i="22" s="1"/>
  <c r="J97" i="37"/>
  <c r="E97" i="37"/>
  <c r="J292" i="37"/>
  <c r="I97" i="37"/>
  <c r="J293" i="37"/>
  <c r="J120" i="37"/>
  <c r="I293" i="37"/>
  <c r="E293" i="37"/>
  <c r="I120" i="37"/>
  <c r="F264" i="37"/>
  <c r="J287" i="37"/>
  <c r="I287" i="37"/>
  <c r="I262" i="37"/>
  <c r="J262" i="37"/>
  <c r="E262" i="37"/>
  <c r="N191" i="22"/>
  <c r="P191" i="22" s="1"/>
  <c r="I108" i="37"/>
  <c r="J108" i="37"/>
  <c r="I126" i="37"/>
  <c r="J280" i="37"/>
  <c r="N11" i="22"/>
  <c r="S11" i="22" s="1"/>
  <c r="T11" i="22" s="1"/>
  <c r="J124" i="37"/>
  <c r="I124" i="37"/>
  <c r="E280" i="37"/>
  <c r="I280" i="37"/>
  <c r="E126" i="37"/>
  <c r="J126" i="37"/>
  <c r="E310" i="37"/>
  <c r="E311" i="37"/>
  <c r="I310" i="37"/>
  <c r="E7" i="37"/>
  <c r="J7" i="37"/>
  <c r="J311" i="37"/>
  <c r="I17" i="37"/>
  <c r="P189" i="22"/>
  <c r="R211" i="22"/>
  <c r="T211" i="22" s="1"/>
  <c r="P301" i="22"/>
  <c r="E104" i="37"/>
  <c r="I81" i="37"/>
  <c r="E81" i="37"/>
  <c r="I323" i="37"/>
  <c r="E142" i="37"/>
  <c r="N293" i="22"/>
  <c r="P293" i="22" s="1"/>
  <c r="P303" i="22"/>
  <c r="R110" i="22"/>
  <c r="P97" i="22"/>
  <c r="E274" i="37"/>
  <c r="I142" i="37"/>
  <c r="E251" i="37"/>
  <c r="J323" i="37"/>
  <c r="J251" i="37"/>
  <c r="E242" i="37"/>
  <c r="J81" i="37"/>
  <c r="I168" i="37"/>
  <c r="P258" i="22"/>
  <c r="N34" i="22"/>
  <c r="P34" i="22" s="1"/>
  <c r="P225" i="22"/>
  <c r="I242" i="37"/>
  <c r="I251" i="37"/>
  <c r="J274" i="37"/>
  <c r="E88" i="37"/>
  <c r="E303" i="37"/>
  <c r="J303" i="37"/>
  <c r="E155" i="37"/>
  <c r="I155" i="37"/>
  <c r="J155" i="37"/>
  <c r="I303" i="37"/>
  <c r="J258" i="37"/>
  <c r="E170" i="37"/>
  <c r="J28" i="37"/>
  <c r="I181" i="37"/>
  <c r="E28" i="37"/>
  <c r="I28" i="37"/>
  <c r="E258" i="37"/>
  <c r="J236" i="37"/>
  <c r="E287" i="37"/>
  <c r="I258" i="37"/>
  <c r="E181" i="37"/>
  <c r="I305" i="37"/>
  <c r="AH174" i="37"/>
  <c r="F174" i="37" s="1"/>
  <c r="J299" i="37"/>
  <c r="I311" i="37"/>
  <c r="J181" i="37"/>
  <c r="AH87" i="37"/>
  <c r="J10" i="37"/>
  <c r="E10" i="37"/>
  <c r="N165" i="22"/>
  <c r="P165" i="22" s="1"/>
  <c r="I274" i="37"/>
  <c r="E315" i="37"/>
  <c r="E153" i="37"/>
  <c r="J153" i="37"/>
  <c r="I315" i="37"/>
  <c r="J315" i="37"/>
  <c r="J17" i="37"/>
  <c r="J41" i="37"/>
  <c r="J312" i="37"/>
  <c r="I41" i="37"/>
  <c r="E320" i="37"/>
  <c r="I82" i="37"/>
  <c r="J278" i="37"/>
  <c r="E41" i="37"/>
  <c r="J82" i="37"/>
  <c r="J88" i="37"/>
  <c r="G19" i="28"/>
  <c r="G23" i="28"/>
  <c r="G20" i="28"/>
  <c r="G24" i="28"/>
  <c r="G21" i="28"/>
  <c r="G25" i="28"/>
  <c r="G12" i="28"/>
  <c r="G22" i="28"/>
  <c r="F13" i="28"/>
  <c r="F23" i="28"/>
  <c r="F14" i="28"/>
  <c r="F24" i="28"/>
  <c r="F15" i="28"/>
  <c r="F25" i="28"/>
  <c r="F16" i="28"/>
  <c r="F22" i="28"/>
  <c r="F17" i="28"/>
  <c r="F21" i="28"/>
  <c r="F18" i="28"/>
  <c r="G13" i="28"/>
  <c r="F19" i="28"/>
  <c r="G14" i="28"/>
  <c r="F20" i="28"/>
  <c r="G15" i="28"/>
  <c r="F12" i="28"/>
  <c r="G16" i="28"/>
  <c r="G17" i="28"/>
  <c r="G18" i="28"/>
  <c r="I278" i="37"/>
  <c r="I320" i="37"/>
  <c r="N101" i="22"/>
  <c r="S101" i="22" s="1"/>
  <c r="T101" i="22" s="1"/>
  <c r="E224" i="37"/>
  <c r="E278" i="37"/>
  <c r="J224" i="37"/>
  <c r="I88" i="37"/>
  <c r="E82" i="37"/>
  <c r="E17" i="37"/>
  <c r="N231" i="22"/>
  <c r="S231" i="22" s="1"/>
  <c r="T231" i="22" s="1"/>
  <c r="J178" i="37"/>
  <c r="J234" i="37"/>
  <c r="E178" i="37"/>
  <c r="E300" i="37"/>
  <c r="J177" i="37"/>
  <c r="E177" i="37"/>
  <c r="I177" i="37"/>
  <c r="E297" i="37"/>
  <c r="I254" i="37"/>
  <c r="E254" i="37"/>
  <c r="J297" i="37"/>
  <c r="N234" i="22"/>
  <c r="P234" i="22" s="1"/>
  <c r="I297" i="37"/>
  <c r="Q230" i="22"/>
  <c r="N64" i="22"/>
  <c r="J171" i="37"/>
  <c r="E171" i="37"/>
  <c r="I171" i="37"/>
  <c r="J76" i="37"/>
  <c r="I76" i="37"/>
  <c r="E168" i="37"/>
  <c r="J168" i="37"/>
  <c r="J63" i="37"/>
  <c r="I63" i="37"/>
  <c r="E63" i="37"/>
  <c r="I151" i="37"/>
  <c r="I22" i="37"/>
  <c r="E22" i="37"/>
  <c r="I217" i="37"/>
  <c r="J290" i="37"/>
  <c r="I290" i="37"/>
  <c r="E290" i="37"/>
  <c r="J217" i="37"/>
  <c r="E217" i="37"/>
  <c r="G17" i="27"/>
  <c r="F19" i="27"/>
  <c r="G18" i="27"/>
  <c r="F20" i="27"/>
  <c r="G19" i="27"/>
  <c r="F21" i="27"/>
  <c r="F18" i="27"/>
  <c r="G20" i="27"/>
  <c r="F12" i="27"/>
  <c r="G21" i="27"/>
  <c r="E23" i="27"/>
  <c r="E24" i="27"/>
  <c r="G12" i="27"/>
  <c r="F23" i="27"/>
  <c r="E25" i="27"/>
  <c r="F24" i="27"/>
  <c r="G23" i="27"/>
  <c r="F25" i="27"/>
  <c r="F13" i="27"/>
  <c r="F22" i="27"/>
  <c r="G25" i="27"/>
  <c r="G22" i="27"/>
  <c r="F14" i="27"/>
  <c r="F15" i="27"/>
  <c r="F16" i="27"/>
  <c r="G13" i="27"/>
  <c r="G14" i="27"/>
  <c r="G15" i="27"/>
  <c r="F17" i="27"/>
  <c r="G16" i="27"/>
  <c r="E22" i="27"/>
  <c r="E14" i="27"/>
  <c r="E20" i="27"/>
  <c r="E13" i="27"/>
  <c r="E18" i="27"/>
  <c r="E15" i="27"/>
  <c r="E21" i="27"/>
  <c r="E16" i="27"/>
  <c r="E12" i="27"/>
  <c r="E17" i="27"/>
  <c r="E19" i="27"/>
  <c r="E13" i="28"/>
  <c r="E14" i="28"/>
  <c r="E15" i="28"/>
  <c r="E16" i="28"/>
  <c r="E17" i="28"/>
  <c r="E22" i="28"/>
  <c r="E18" i="28"/>
  <c r="E19" i="28"/>
  <c r="E20" i="28"/>
  <c r="E21" i="28"/>
  <c r="E12" i="28"/>
  <c r="E23" i="28"/>
  <c r="E24" i="28"/>
  <c r="E25" i="28"/>
  <c r="N44" i="22"/>
  <c r="P44" i="22" s="1"/>
  <c r="E117" i="37"/>
  <c r="I69" i="37"/>
  <c r="E234" i="37"/>
  <c r="E305" i="37"/>
  <c r="N290" i="22"/>
  <c r="P290" i="22" s="1"/>
  <c r="J117" i="37"/>
  <c r="J305" i="37"/>
  <c r="E167" i="37"/>
  <c r="E215" i="37"/>
  <c r="J215" i="37"/>
  <c r="E232" i="37"/>
  <c r="I232" i="37"/>
  <c r="N71" i="22"/>
  <c r="P71" i="22" s="1"/>
  <c r="J64" i="37"/>
  <c r="I64" i="37"/>
  <c r="J69" i="37"/>
  <c r="E64" i="37"/>
  <c r="E38" i="37"/>
  <c r="N137" i="22"/>
  <c r="J38" i="37"/>
  <c r="N127" i="22"/>
  <c r="S127" i="22" s="1"/>
  <c r="J300" i="37"/>
  <c r="J167" i="37"/>
  <c r="I318" i="37"/>
  <c r="E318" i="37"/>
  <c r="I234" i="37"/>
  <c r="I167" i="37"/>
  <c r="I62" i="37"/>
  <c r="J318" i="37"/>
  <c r="N22" i="22"/>
  <c r="I140" i="37"/>
  <c r="J24" i="37"/>
  <c r="E24" i="37"/>
  <c r="I24" i="37"/>
  <c r="N40" i="22"/>
  <c r="P40" i="22" s="1"/>
  <c r="M4" i="37"/>
  <c r="N4" i="37"/>
  <c r="L4" i="37"/>
  <c r="K4" i="37"/>
  <c r="D188" i="37"/>
  <c r="P306" i="22"/>
  <c r="P214" i="22"/>
  <c r="R56" i="22"/>
  <c r="R227" i="22"/>
  <c r="D14" i="37"/>
  <c r="D84" i="37"/>
  <c r="D178" i="37"/>
  <c r="E140" i="37"/>
  <c r="E62" i="37"/>
  <c r="J140" i="37"/>
  <c r="J62" i="37"/>
  <c r="J294" i="37"/>
  <c r="E294" i="37"/>
  <c r="I294" i="37"/>
  <c r="D175" i="37"/>
  <c r="D233" i="37"/>
  <c r="R295" i="22"/>
  <c r="R43" i="22"/>
  <c r="P99" i="22"/>
  <c r="P221" i="22"/>
  <c r="D126" i="37"/>
  <c r="D112" i="37"/>
  <c r="R312" i="22"/>
  <c r="P14" i="22"/>
  <c r="R28" i="22"/>
  <c r="P247" i="22"/>
  <c r="P215" i="22"/>
  <c r="L25" i="27"/>
  <c r="K25" i="27"/>
  <c r="L24" i="27"/>
  <c r="K24" i="27"/>
  <c r="J24" i="27"/>
  <c r="J25" i="27"/>
  <c r="L25" i="28"/>
  <c r="K25" i="28"/>
  <c r="J25" i="28"/>
  <c r="L24" i="28"/>
  <c r="K24" i="28"/>
  <c r="J24" i="28"/>
  <c r="I219" i="37"/>
  <c r="J151" i="37"/>
  <c r="E151" i="37"/>
  <c r="P316" i="22"/>
  <c r="P130" i="22"/>
  <c r="P322" i="22"/>
  <c r="P98" i="22"/>
  <c r="P208" i="22"/>
  <c r="P292" i="22"/>
  <c r="I237" i="37"/>
  <c r="E237" i="37"/>
  <c r="I265" i="37"/>
  <c r="J286" i="37"/>
  <c r="E245" i="37"/>
  <c r="E283" i="37"/>
  <c r="Q292" i="22"/>
  <c r="J42" i="37"/>
  <c r="I42" i="37"/>
  <c r="I245" i="37"/>
  <c r="J227" i="37"/>
  <c r="J237" i="37"/>
  <c r="N245" i="22"/>
  <c r="P245" i="22" s="1"/>
  <c r="J195" i="37"/>
  <c r="J260" i="37"/>
  <c r="I321" i="37"/>
  <c r="J144" i="37"/>
  <c r="E9" i="37"/>
  <c r="E321" i="37"/>
  <c r="J245" i="37"/>
  <c r="E42" i="37"/>
  <c r="S214" i="22"/>
  <c r="T214" i="22" s="1"/>
  <c r="E30" i="37"/>
  <c r="J158" i="37"/>
  <c r="E286" i="37"/>
  <c r="I286" i="37"/>
  <c r="J277" i="37"/>
  <c r="P321" i="22"/>
  <c r="E154" i="37"/>
  <c r="J129" i="37"/>
  <c r="I207" i="37"/>
  <c r="J265" i="37"/>
  <c r="J109" i="37"/>
  <c r="J306" i="37"/>
  <c r="J95" i="37"/>
  <c r="J115" i="37"/>
  <c r="J189" i="37"/>
  <c r="J25" i="37"/>
  <c r="J219" i="37"/>
  <c r="J226" i="37"/>
  <c r="I212" i="37"/>
  <c r="J321" i="37"/>
  <c r="E265" i="37"/>
  <c r="J149" i="37"/>
  <c r="J283" i="37"/>
  <c r="J154" i="37"/>
  <c r="I196" i="37"/>
  <c r="Q309" i="22"/>
  <c r="J253" i="37"/>
  <c r="J196" i="37"/>
  <c r="E195" i="37"/>
  <c r="E196" i="37"/>
  <c r="E279" i="37"/>
  <c r="I195" i="37"/>
  <c r="J279" i="37"/>
  <c r="I154" i="37"/>
  <c r="N280" i="22"/>
  <c r="P280" i="22" s="1"/>
  <c r="I214" i="37"/>
  <c r="E189" i="37"/>
  <c r="E26" i="37"/>
  <c r="E73" i="37"/>
  <c r="J102" i="37"/>
  <c r="I102" i="37"/>
  <c r="E102" i="37"/>
  <c r="J26" i="37"/>
  <c r="I115" i="37"/>
  <c r="I158" i="37"/>
  <c r="J212" i="37"/>
  <c r="E39" i="37"/>
  <c r="E111" i="37"/>
  <c r="E115" i="37"/>
  <c r="J191" i="37"/>
  <c r="E158" i="37"/>
  <c r="I9" i="37"/>
  <c r="E138" i="37"/>
  <c r="I26" i="37"/>
  <c r="I138" i="37"/>
  <c r="Q66" i="22"/>
  <c r="J9" i="37"/>
  <c r="D230" i="37"/>
  <c r="R96" i="22"/>
  <c r="T96" i="22" s="1"/>
  <c r="R85" i="22"/>
  <c r="D215" i="37"/>
  <c r="F86" i="37"/>
  <c r="D87" i="37"/>
  <c r="E253" i="37"/>
  <c r="J94" i="37"/>
  <c r="E20" i="37"/>
  <c r="J110" i="37"/>
  <c r="J30" i="37"/>
  <c r="E214" i="37"/>
  <c r="J11" i="37"/>
  <c r="J314" i="37"/>
  <c r="J267" i="37"/>
  <c r="J111" i="37"/>
  <c r="Q43" i="22"/>
  <c r="J248" i="37"/>
  <c r="J73" i="37"/>
  <c r="J99" i="37"/>
  <c r="Q65" i="22"/>
  <c r="J269" i="37"/>
  <c r="R16" i="22"/>
  <c r="T16" i="22" s="1"/>
  <c r="P16" i="22"/>
  <c r="L22" i="21"/>
  <c r="L20" i="21"/>
  <c r="L19" i="21"/>
  <c r="L18" i="21"/>
  <c r="L16" i="21"/>
  <c r="L15" i="21"/>
  <c r="L24" i="21"/>
  <c r="L23" i="21"/>
  <c r="L21" i="21"/>
  <c r="L17" i="21"/>
  <c r="L14" i="21"/>
  <c r="L13" i="21"/>
  <c r="L12" i="21"/>
  <c r="D92" i="37"/>
  <c r="D69" i="37"/>
  <c r="D108" i="37"/>
  <c r="D180" i="37"/>
  <c r="D186" i="37"/>
  <c r="D192" i="37"/>
  <c r="D32" i="37"/>
  <c r="D48" i="37"/>
  <c r="E248" i="37"/>
  <c r="I248" i="37"/>
  <c r="Q251" i="22"/>
  <c r="Q8" i="22"/>
  <c r="Q45" i="22"/>
  <c r="P21" i="22"/>
  <c r="Q48" i="22"/>
  <c r="I129" i="37"/>
  <c r="N131" i="22"/>
  <c r="I95" i="37"/>
  <c r="N54" i="22"/>
  <c r="P54" i="22" s="1"/>
  <c r="Q232" i="22"/>
  <c r="Q129" i="22"/>
  <c r="I116" i="37"/>
  <c r="N276" i="22"/>
  <c r="Q194" i="22"/>
  <c r="S312" i="22"/>
  <c r="Q136" i="22"/>
  <c r="N222" i="22"/>
  <c r="P222" i="22" s="1"/>
  <c r="E50" i="37"/>
  <c r="N210" i="22"/>
  <c r="J288" i="37"/>
  <c r="Q172" i="22"/>
  <c r="N223" i="22"/>
  <c r="N48" i="22"/>
  <c r="P48" i="22" s="1"/>
  <c r="N108" i="22"/>
  <c r="Q290" i="22"/>
  <c r="N10" i="22"/>
  <c r="P10" i="22" s="1"/>
  <c r="I241" i="37"/>
  <c r="N250" i="22"/>
  <c r="P250" i="22" s="1"/>
  <c r="N206" i="22"/>
  <c r="N313" i="22"/>
  <c r="N100" i="22"/>
  <c r="S100" i="22" s="1"/>
  <c r="Q207" i="22"/>
  <c r="Q213" i="22"/>
  <c r="Q305" i="22"/>
  <c r="I30" i="37"/>
  <c r="N55" i="22"/>
  <c r="P55" i="22" s="1"/>
  <c r="Q72" i="22"/>
  <c r="Q260" i="22"/>
  <c r="N167" i="22"/>
  <c r="Q103" i="22"/>
  <c r="E270" i="37"/>
  <c r="N217" i="22"/>
  <c r="P217" i="22" s="1"/>
  <c r="I94" i="37"/>
  <c r="N166" i="22"/>
  <c r="Q29" i="22"/>
  <c r="I51" i="37"/>
  <c r="N61" i="22"/>
  <c r="P61" i="22" s="1"/>
  <c r="Q141" i="22"/>
  <c r="Q210" i="22"/>
  <c r="I111" i="37"/>
  <c r="I267" i="37"/>
  <c r="N289" i="22"/>
  <c r="S289" i="22" s="1"/>
  <c r="T289" i="22" s="1"/>
  <c r="Q9" i="22"/>
  <c r="I246" i="37"/>
  <c r="N199" i="22"/>
  <c r="P300" i="22"/>
  <c r="Q147" i="22"/>
  <c r="Q271" i="22"/>
  <c r="Q134" i="22"/>
  <c r="Q17" i="22"/>
  <c r="E191" i="37"/>
  <c r="N207" i="22"/>
  <c r="P207" i="22" s="1"/>
  <c r="Q249" i="22"/>
  <c r="Q24" i="22"/>
  <c r="P104" i="22"/>
  <c r="N288" i="22"/>
  <c r="P288" i="22" s="1"/>
  <c r="P238" i="22"/>
  <c r="N78" i="22"/>
  <c r="P78" i="22" s="1"/>
  <c r="N41" i="22"/>
  <c r="Q162" i="22"/>
  <c r="Q281" i="22"/>
  <c r="Q166" i="22"/>
  <c r="Q143" i="22"/>
  <c r="Q196" i="22"/>
  <c r="Q220" i="22"/>
  <c r="N310" i="22"/>
  <c r="P310" i="22" s="1"/>
  <c r="N202" i="22"/>
  <c r="I49" i="37"/>
  <c r="N17" i="22"/>
  <c r="Q219" i="22"/>
  <c r="N162" i="22"/>
  <c r="P162" i="22" s="1"/>
  <c r="Q135" i="22"/>
  <c r="Q201" i="22"/>
  <c r="Q182" i="22"/>
  <c r="I316" i="37"/>
  <c r="N59" i="22"/>
  <c r="S59" i="22" s="1"/>
  <c r="N196" i="22"/>
  <c r="N267" i="22"/>
  <c r="P267" i="22" s="1"/>
  <c r="N148" i="22"/>
  <c r="Q23" i="22"/>
  <c r="Q47" i="22"/>
  <c r="Q216" i="22"/>
  <c r="N253" i="22"/>
  <c r="E306" i="37"/>
  <c r="N95" i="22"/>
  <c r="Q204" i="22"/>
  <c r="Q300" i="22"/>
  <c r="Q156" i="22"/>
  <c r="Q92" i="22"/>
  <c r="Q243" i="22"/>
  <c r="Q123" i="22"/>
  <c r="AK192" i="37"/>
  <c r="P62" i="22"/>
  <c r="E94" i="37"/>
  <c r="J138" i="37"/>
  <c r="I227" i="37"/>
  <c r="E227" i="37"/>
  <c r="E263" i="37"/>
  <c r="I279" i="37"/>
  <c r="I263" i="37"/>
  <c r="J263" i="37"/>
  <c r="Q169" i="22"/>
  <c r="I20" i="37"/>
  <c r="I173" i="37"/>
  <c r="J49" i="37"/>
  <c r="E49" i="37"/>
  <c r="E149" i="37"/>
  <c r="E212" i="37"/>
  <c r="I149" i="37"/>
  <c r="J304" i="37"/>
  <c r="J273" i="37"/>
  <c r="E129" i="37"/>
  <c r="I123" i="37"/>
  <c r="J123" i="37"/>
  <c r="J51" i="37"/>
  <c r="E109" i="37"/>
  <c r="J159" i="37"/>
  <c r="P120" i="22"/>
  <c r="I109" i="37"/>
  <c r="E51" i="37"/>
  <c r="E123" i="37"/>
  <c r="P235" i="22"/>
  <c r="I50" i="37"/>
  <c r="J90" i="37"/>
  <c r="E260" i="37"/>
  <c r="I260" i="37"/>
  <c r="I231" i="37"/>
  <c r="J116" i="37"/>
  <c r="J313" i="37"/>
  <c r="E116" i="37"/>
  <c r="J50" i="37"/>
  <c r="I189" i="37"/>
  <c r="S135" i="22"/>
  <c r="T135" i="22" s="1"/>
  <c r="E304" i="37"/>
  <c r="E282" i="37"/>
  <c r="I282" i="37"/>
  <c r="I314" i="37"/>
  <c r="P278" i="22"/>
  <c r="E314" i="37"/>
  <c r="E95" i="37"/>
  <c r="I304" i="37"/>
  <c r="J204" i="37"/>
  <c r="I277" i="37"/>
  <c r="E110" i="37"/>
  <c r="I110" i="37"/>
  <c r="E277" i="37"/>
  <c r="I25" i="37"/>
  <c r="I283" i="37"/>
  <c r="J39" i="37"/>
  <c r="E25" i="37"/>
  <c r="E213" i="37"/>
  <c r="P112" i="22"/>
  <c r="J213" i="37"/>
  <c r="S104" i="22"/>
  <c r="T104" i="22" s="1"/>
  <c r="S300" i="22"/>
  <c r="T300" i="22" s="1"/>
  <c r="E246" i="37"/>
  <c r="E267" i="37"/>
  <c r="J246" i="37"/>
  <c r="I11" i="37"/>
  <c r="E226" i="37"/>
  <c r="I288" i="37"/>
  <c r="E173" i="37"/>
  <c r="J270" i="37"/>
  <c r="E90" i="37"/>
  <c r="I213" i="37"/>
  <c r="J173" i="37"/>
  <c r="J231" i="37"/>
  <c r="J243" i="37"/>
  <c r="E11" i="37"/>
  <c r="I306" i="37"/>
  <c r="E159" i="37"/>
  <c r="E231" i="37"/>
  <c r="E243" i="37"/>
  <c r="I90" i="37"/>
  <c r="J316" i="37"/>
  <c r="J114" i="37"/>
  <c r="I191" i="37"/>
  <c r="P287" i="22"/>
  <c r="J229" i="37"/>
  <c r="E229" i="37"/>
  <c r="E99" i="37"/>
  <c r="I99" i="37"/>
  <c r="J241" i="37"/>
  <c r="J285" i="37"/>
  <c r="I229" i="37"/>
  <c r="I285" i="37"/>
  <c r="Q193" i="22"/>
  <c r="E285" i="37"/>
  <c r="I226" i="37"/>
  <c r="Q191" i="22"/>
  <c r="I159" i="37"/>
  <c r="I270" i="37"/>
  <c r="P226" i="22"/>
  <c r="J272" i="37"/>
  <c r="I136" i="37"/>
  <c r="E136" i="37"/>
  <c r="J136" i="37"/>
  <c r="E144" i="37"/>
  <c r="E316" i="37"/>
  <c r="I144" i="37"/>
  <c r="P125" i="22"/>
  <c r="E288" i="37"/>
  <c r="Q107" i="22"/>
  <c r="S107" i="22"/>
  <c r="T107" i="22" s="1"/>
  <c r="I313" i="37"/>
  <c r="E313" i="37"/>
  <c r="P70" i="22"/>
  <c r="S70" i="22"/>
  <c r="T70" i="22" s="1"/>
  <c r="P271" i="22"/>
  <c r="S271" i="22"/>
  <c r="T271" i="22" s="1"/>
  <c r="I243" i="37"/>
  <c r="E269" i="37"/>
  <c r="I269" i="37"/>
  <c r="S147" i="22"/>
  <c r="T147" i="22" s="1"/>
  <c r="P147" i="22"/>
  <c r="J67" i="37"/>
  <c r="E67" i="37"/>
  <c r="I67" i="37"/>
  <c r="P106" i="22"/>
  <c r="E273" i="37"/>
  <c r="I273" i="37"/>
  <c r="S27" i="22"/>
  <c r="T27" i="22" s="1"/>
  <c r="P27" i="22"/>
  <c r="E241" i="37"/>
  <c r="Q21" i="22"/>
  <c r="S21" i="22"/>
  <c r="T21" i="22" s="1"/>
  <c r="E204" i="37"/>
  <c r="I204" i="37"/>
  <c r="S82" i="22"/>
  <c r="P82" i="22"/>
  <c r="I141" i="37"/>
  <c r="E141" i="37"/>
  <c r="J141" i="37"/>
  <c r="Q7" i="22"/>
  <c r="E114" i="37"/>
  <c r="I114" i="37"/>
  <c r="Q287" i="22"/>
  <c r="Q222" i="22"/>
  <c r="S102" i="22"/>
  <c r="T102" i="22" s="1"/>
  <c r="P102" i="22"/>
  <c r="Q115" i="22"/>
  <c r="S115" i="22"/>
  <c r="T115" i="22" s="1"/>
  <c r="S8" i="22"/>
  <c r="T8" i="22" s="1"/>
  <c r="P8" i="22"/>
  <c r="Q267" i="22"/>
  <c r="P192" i="22"/>
  <c r="S192" i="22"/>
  <c r="T192" i="22" s="1"/>
  <c r="Q164" i="22"/>
  <c r="Q78" i="22"/>
  <c r="P26" i="22"/>
  <c r="Q303" i="22"/>
  <c r="S303" i="22"/>
  <c r="T303" i="22" s="1"/>
  <c r="Q265" i="22"/>
  <c r="P158" i="22"/>
  <c r="K17" i="27"/>
  <c r="J14" i="27"/>
  <c r="K19" i="27"/>
  <c r="K22" i="27"/>
  <c r="J12" i="27"/>
  <c r="K18" i="27"/>
  <c r="L17" i="27"/>
  <c r="D11" i="27"/>
  <c r="P24" i="27" s="1"/>
  <c r="L20" i="27"/>
  <c r="L19" i="27"/>
  <c r="J18" i="27"/>
  <c r="J13" i="27"/>
  <c r="J21" i="27"/>
  <c r="L13" i="27"/>
  <c r="L15" i="27"/>
  <c r="K20" i="27"/>
  <c r="K13" i="27"/>
  <c r="L23" i="27"/>
  <c r="J19" i="27"/>
  <c r="K23" i="27"/>
  <c r="K12" i="27"/>
  <c r="J17" i="27"/>
  <c r="L14" i="27"/>
  <c r="L18" i="27"/>
  <c r="L12" i="27"/>
  <c r="K21" i="27"/>
  <c r="L16" i="27"/>
  <c r="J23" i="27"/>
  <c r="K14" i="27"/>
  <c r="K15" i="27"/>
  <c r="J22" i="27"/>
  <c r="L22" i="27"/>
  <c r="L21" i="27"/>
  <c r="J16" i="27"/>
  <c r="J20" i="27"/>
  <c r="J15" i="27"/>
  <c r="K16" i="27"/>
  <c r="P242" i="22"/>
  <c r="Q294" i="22"/>
  <c r="M22" i="21"/>
  <c r="M24" i="21"/>
  <c r="N13" i="21"/>
  <c r="M17" i="21"/>
  <c r="N21" i="21"/>
  <c r="M14" i="21"/>
  <c r="K13" i="21"/>
  <c r="K22" i="21"/>
  <c r="K20" i="21"/>
  <c r="M15" i="21"/>
  <c r="M12" i="21"/>
  <c r="R12" i="21"/>
  <c r="N14" i="21"/>
  <c r="O14" i="21" s="1"/>
  <c r="N18" i="21"/>
  <c r="N24" i="21"/>
  <c r="M23" i="21"/>
  <c r="N17" i="21"/>
  <c r="N16" i="21"/>
  <c r="N20" i="21"/>
  <c r="K19" i="21"/>
  <c r="K17" i="21"/>
  <c r="K21" i="21"/>
  <c r="N19" i="21"/>
  <c r="K24" i="21"/>
  <c r="N23" i="21"/>
  <c r="M19" i="21"/>
  <c r="M13" i="21"/>
  <c r="K16" i="21"/>
  <c r="K15" i="21"/>
  <c r="M21" i="21"/>
  <c r="K14" i="21"/>
  <c r="K18" i="21"/>
  <c r="N22" i="21"/>
  <c r="M16" i="21"/>
  <c r="N12" i="21"/>
  <c r="K23" i="21"/>
  <c r="N15" i="21"/>
  <c r="M20" i="21"/>
  <c r="M18" i="21"/>
  <c r="K18" i="28"/>
  <c r="K23" i="28"/>
  <c r="J18" i="28"/>
  <c r="J12" i="28"/>
  <c r="L14" i="28"/>
  <c r="J20" i="28"/>
  <c r="J15" i="28"/>
  <c r="K17" i="28"/>
  <c r="K12" i="28"/>
  <c r="K15" i="28"/>
  <c r="K16" i="28"/>
  <c r="L21" i="28"/>
  <c r="D11" i="28"/>
  <c r="J22" i="28"/>
  <c r="L16" i="28"/>
  <c r="L15" i="28"/>
  <c r="L13" i="28"/>
  <c r="J19" i="28"/>
  <c r="K21" i="28"/>
  <c r="J17" i="28"/>
  <c r="J14" i="28"/>
  <c r="J23" i="28"/>
  <c r="L22" i="28"/>
  <c r="L19" i="28"/>
  <c r="J16" i="28"/>
  <c r="J21" i="28"/>
  <c r="L20" i="28"/>
  <c r="J13" i="28"/>
  <c r="K20" i="28"/>
  <c r="L18" i="28"/>
  <c r="L17" i="28"/>
  <c r="L23" i="28"/>
  <c r="K22" i="28"/>
  <c r="L12" i="28"/>
  <c r="K19" i="28"/>
  <c r="K14" i="28"/>
  <c r="K13" i="28"/>
  <c r="I272" i="37"/>
  <c r="E272" i="37"/>
  <c r="Q81" i="22"/>
  <c r="P318" i="22"/>
  <c r="S318" i="22"/>
  <c r="T318" i="22" s="1"/>
  <c r="Q71" i="22"/>
  <c r="P201" i="22"/>
  <c r="S201" i="22"/>
  <c r="T201" i="22" s="1"/>
  <c r="P113" i="22"/>
  <c r="S113" i="22"/>
  <c r="T113" i="22" s="1"/>
  <c r="Q238" i="22"/>
  <c r="S238" i="22"/>
  <c r="T238" i="22" s="1"/>
  <c r="D259" i="37" l="1"/>
  <c r="F254" i="37"/>
  <c r="T312" i="22"/>
  <c r="T56" i="22"/>
  <c r="T110" i="22"/>
  <c r="AK209" i="37"/>
  <c r="T127" i="22"/>
  <c r="AK300" i="37" s="1"/>
  <c r="F321" i="37"/>
  <c r="T59" i="22"/>
  <c r="AK316" i="37" s="1"/>
  <c r="T82" i="22"/>
  <c r="AK180" i="37" s="1"/>
  <c r="T100" i="22"/>
  <c r="AK219" i="37" s="1"/>
  <c r="T62" i="22"/>
  <c r="AK32" i="37" s="1"/>
  <c r="F270" i="37"/>
  <c r="H270" i="37" s="1"/>
  <c r="Q29" i="21"/>
  <c r="R29" i="21" s="1"/>
  <c r="Q30" i="21"/>
  <c r="R30" i="21" s="1"/>
  <c r="L93" i="70"/>
  <c r="L77" i="70"/>
  <c r="L61" i="70"/>
  <c r="L45" i="70"/>
  <c r="L29" i="70"/>
  <c r="L13" i="70"/>
  <c r="L81" i="56"/>
  <c r="L65" i="56"/>
  <c r="L49" i="56"/>
  <c r="L92" i="70"/>
  <c r="L76" i="70"/>
  <c r="L60" i="70"/>
  <c r="L44" i="70"/>
  <c r="L28" i="70"/>
  <c r="L12" i="70"/>
  <c r="L96" i="56"/>
  <c r="L80" i="56"/>
  <c r="L64" i="56"/>
  <c r="L48" i="56"/>
  <c r="L91" i="70"/>
  <c r="L75" i="70"/>
  <c r="L59" i="70"/>
  <c r="L43" i="70"/>
  <c r="L27" i="70"/>
  <c r="L11" i="70"/>
  <c r="L95" i="56"/>
  <c r="L79" i="56"/>
  <c r="L63" i="56"/>
  <c r="L47" i="56"/>
  <c r="L31" i="56"/>
  <c r="L15" i="56"/>
  <c r="L83" i="55"/>
  <c r="L67" i="55"/>
  <c r="L51" i="55"/>
  <c r="L35" i="55"/>
  <c r="L19" i="55"/>
  <c r="L87" i="54"/>
  <c r="L71" i="54"/>
  <c r="L55" i="54"/>
  <c r="L39" i="54"/>
  <c r="L23" i="54"/>
  <c r="L7" i="54"/>
  <c r="L91" i="52"/>
  <c r="L75" i="52"/>
  <c r="L59" i="52"/>
  <c r="L43" i="52"/>
  <c r="L27" i="52"/>
  <c r="L11" i="52"/>
  <c r="L95" i="51"/>
  <c r="L79" i="51"/>
  <c r="L63" i="51"/>
  <c r="L47" i="51"/>
  <c r="L31" i="51"/>
  <c r="L15" i="51"/>
  <c r="L83" i="50"/>
  <c r="L67" i="50"/>
  <c r="L51" i="50"/>
  <c r="L35" i="50"/>
  <c r="L19" i="50"/>
  <c r="L87" i="43"/>
  <c r="L71" i="43"/>
  <c r="L55" i="43"/>
  <c r="L39" i="43"/>
  <c r="L23" i="43"/>
  <c r="L7" i="43"/>
  <c r="L90" i="70"/>
  <c r="L74" i="70"/>
  <c r="L58" i="70"/>
  <c r="L42" i="70"/>
  <c r="L26" i="70"/>
  <c r="L10" i="70"/>
  <c r="L94" i="56"/>
  <c r="L78" i="56"/>
  <c r="L62" i="56"/>
  <c r="L46" i="56"/>
  <c r="L89" i="70"/>
  <c r="L73" i="70"/>
  <c r="L57" i="70"/>
  <c r="L41" i="70"/>
  <c r="L25" i="70"/>
  <c r="L9" i="70"/>
  <c r="L93" i="56"/>
  <c r="L77" i="56"/>
  <c r="L61" i="56"/>
  <c r="L45" i="56"/>
  <c r="L88" i="70"/>
  <c r="L72" i="70"/>
  <c r="L56" i="70"/>
  <c r="L40" i="70"/>
  <c r="L24" i="70"/>
  <c r="L8" i="70"/>
  <c r="L92" i="56"/>
  <c r="L76" i="56"/>
  <c r="L60" i="56"/>
  <c r="L44" i="56"/>
  <c r="L87" i="70"/>
  <c r="L71" i="70"/>
  <c r="L55" i="70"/>
  <c r="L39" i="70"/>
  <c r="L23" i="70"/>
  <c r="L7" i="70"/>
  <c r="L91" i="56"/>
  <c r="L75" i="56"/>
  <c r="L59" i="56"/>
  <c r="L86" i="70"/>
  <c r="L70" i="70"/>
  <c r="L54" i="70"/>
  <c r="L38" i="70"/>
  <c r="L22" i="70"/>
  <c r="L6" i="70"/>
  <c r="L90" i="56"/>
  <c r="L74" i="56"/>
  <c r="L58" i="56"/>
  <c r="L42" i="56"/>
  <c r="L26" i="56"/>
  <c r="L10" i="56"/>
  <c r="L94" i="55"/>
  <c r="L78" i="55"/>
  <c r="L62" i="55"/>
  <c r="L46" i="55"/>
  <c r="L30" i="55"/>
  <c r="L14" i="55"/>
  <c r="L82" i="54"/>
  <c r="L66" i="54"/>
  <c r="L50" i="54"/>
  <c r="L34" i="54"/>
  <c r="L18" i="54"/>
  <c r="L86" i="52"/>
  <c r="L85" i="70"/>
  <c r="L69" i="70"/>
  <c r="L53" i="70"/>
  <c r="L37" i="70"/>
  <c r="L21" i="70"/>
  <c r="L5" i="70"/>
  <c r="L89" i="56"/>
  <c r="L73" i="56"/>
  <c r="L57" i="56"/>
  <c r="L41" i="56"/>
  <c r="L25" i="56"/>
  <c r="L9" i="56"/>
  <c r="L93" i="55"/>
  <c r="L77" i="55"/>
  <c r="L61" i="55"/>
  <c r="L45" i="55"/>
  <c r="L29" i="55"/>
  <c r="L13" i="55"/>
  <c r="L81" i="54"/>
  <c r="L65" i="54"/>
  <c r="L49" i="54"/>
  <c r="L33" i="54"/>
  <c r="L17" i="54"/>
  <c r="L85" i="52"/>
  <c r="L69" i="52"/>
  <c r="L53" i="52"/>
  <c r="L37" i="52"/>
  <c r="L21" i="52"/>
  <c r="L5" i="52"/>
  <c r="L89" i="51"/>
  <c r="L73" i="51"/>
  <c r="L57" i="51"/>
  <c r="L41" i="51"/>
  <c r="L25" i="51"/>
  <c r="L9" i="51"/>
  <c r="L93" i="50"/>
  <c r="L77" i="50"/>
  <c r="L61" i="50"/>
  <c r="L45" i="50"/>
  <c r="L29" i="50"/>
  <c r="L13" i="50"/>
  <c r="L81" i="43"/>
  <c r="L65" i="43"/>
  <c r="L49" i="43"/>
  <c r="L33" i="43"/>
  <c r="L17" i="43"/>
  <c r="L84" i="70"/>
  <c r="L68" i="70"/>
  <c r="L52" i="70"/>
  <c r="L36" i="70"/>
  <c r="L20" i="70"/>
  <c r="L4" i="70"/>
  <c r="L88" i="56"/>
  <c r="L72" i="56"/>
  <c r="L56" i="56"/>
  <c r="L40" i="56"/>
  <c r="L24" i="56"/>
  <c r="L8" i="56"/>
  <c r="L92" i="55"/>
  <c r="L76" i="55"/>
  <c r="L60" i="55"/>
  <c r="L44" i="55"/>
  <c r="L28" i="55"/>
  <c r="L12" i="55"/>
  <c r="L96" i="54"/>
  <c r="L80" i="54"/>
  <c r="L64" i="54"/>
  <c r="L48" i="54"/>
  <c r="L32" i="54"/>
  <c r="L16" i="54"/>
  <c r="L84" i="52"/>
  <c r="L68" i="52"/>
  <c r="L52" i="52"/>
  <c r="L36" i="52"/>
  <c r="L20" i="52"/>
  <c r="L4" i="52"/>
  <c r="L88" i="51"/>
  <c r="L72" i="51"/>
  <c r="L56" i="51"/>
  <c r="L40" i="51"/>
  <c r="L24" i="51"/>
  <c r="L8" i="51"/>
  <c r="L92" i="50"/>
  <c r="L76" i="50"/>
  <c r="L83" i="70"/>
  <c r="L67" i="70"/>
  <c r="L51" i="70"/>
  <c r="L35" i="70"/>
  <c r="L19" i="70"/>
  <c r="L87" i="56"/>
  <c r="L71" i="56"/>
  <c r="L55" i="56"/>
  <c r="L39" i="56"/>
  <c r="L23" i="56"/>
  <c r="L7" i="56"/>
  <c r="L91" i="55"/>
  <c r="L75" i="55"/>
  <c r="L59" i="55"/>
  <c r="L43" i="55"/>
  <c r="L27" i="55"/>
  <c r="L11" i="55"/>
  <c r="L95" i="54"/>
  <c r="L79" i="54"/>
  <c r="L63" i="54"/>
  <c r="L47" i="54"/>
  <c r="L31" i="54"/>
  <c r="L15" i="54"/>
  <c r="L83" i="52"/>
  <c r="L67" i="52"/>
  <c r="L51" i="52"/>
  <c r="L35" i="52"/>
  <c r="L19" i="52"/>
  <c r="L87" i="51"/>
  <c r="L71" i="51"/>
  <c r="L55" i="51"/>
  <c r="L39" i="51"/>
  <c r="L23" i="51"/>
  <c r="L7" i="51"/>
  <c r="L91" i="50"/>
  <c r="L75" i="50"/>
  <c r="L59" i="50"/>
  <c r="L43" i="50"/>
  <c r="L27" i="50"/>
  <c r="L11" i="50"/>
  <c r="L95" i="43"/>
  <c r="L79" i="43"/>
  <c r="L63" i="43"/>
  <c r="L47" i="43"/>
  <c r="L31" i="43"/>
  <c r="L15" i="43"/>
  <c r="L83" i="45"/>
  <c r="L67" i="45"/>
  <c r="L51" i="45"/>
  <c r="L35" i="45"/>
  <c r="L19" i="45"/>
  <c r="L87" i="49"/>
  <c r="L71" i="49"/>
  <c r="L55" i="49"/>
  <c r="L39" i="49"/>
  <c r="L23" i="49"/>
  <c r="L7" i="49"/>
  <c r="L91" i="44"/>
  <c r="L75" i="44"/>
  <c r="L59" i="44"/>
  <c r="L43" i="44"/>
  <c r="L27" i="44"/>
  <c r="L11" i="44"/>
  <c r="L95" i="48"/>
  <c r="L79" i="48"/>
  <c r="L63" i="48"/>
  <c r="L47" i="48"/>
  <c r="L31" i="48"/>
  <c r="L15" i="48"/>
  <c r="L83" i="46"/>
  <c r="L67" i="46"/>
  <c r="L51" i="46"/>
  <c r="L35" i="46"/>
  <c r="L19" i="46"/>
  <c r="L5" i="47"/>
  <c r="L21" i="47"/>
  <c r="L37" i="47"/>
  <c r="L53" i="47"/>
  <c r="L69" i="47"/>
  <c r="L85" i="47"/>
  <c r="L38" i="56"/>
  <c r="L22" i="56"/>
  <c r="L6" i="56"/>
  <c r="L82" i="70"/>
  <c r="L66" i="70"/>
  <c r="L50" i="70"/>
  <c r="L34" i="70"/>
  <c r="L18" i="70"/>
  <c r="L86" i="56"/>
  <c r="L70" i="56"/>
  <c r="L54" i="56"/>
  <c r="L81" i="70"/>
  <c r="L65" i="70"/>
  <c r="L49" i="70"/>
  <c r="L33" i="70"/>
  <c r="L17" i="70"/>
  <c r="L85" i="56"/>
  <c r="L69" i="56"/>
  <c r="L53" i="56"/>
  <c r="L96" i="70"/>
  <c r="L80" i="70"/>
  <c r="L64" i="70"/>
  <c r="L48" i="70"/>
  <c r="L32" i="70"/>
  <c r="L16" i="70"/>
  <c r="L84" i="56"/>
  <c r="L68" i="56"/>
  <c r="L52" i="56"/>
  <c r="L95" i="70"/>
  <c r="L79" i="70"/>
  <c r="L63" i="70"/>
  <c r="L47" i="70"/>
  <c r="L31" i="70"/>
  <c r="L15" i="70"/>
  <c r="L83" i="56"/>
  <c r="L67" i="56"/>
  <c r="L51" i="56"/>
  <c r="L94" i="70"/>
  <c r="L78" i="70"/>
  <c r="L62" i="70"/>
  <c r="L46" i="70"/>
  <c r="L30" i="70"/>
  <c r="L14" i="70"/>
  <c r="L82" i="56"/>
  <c r="L66" i="56"/>
  <c r="L50" i="56"/>
  <c r="L34" i="56"/>
  <c r="L11" i="56"/>
  <c r="L86" i="55"/>
  <c r="L64" i="55"/>
  <c r="L39" i="55"/>
  <c r="L17" i="55"/>
  <c r="L74" i="54"/>
  <c r="L52" i="54"/>
  <c r="L27" i="54"/>
  <c r="L5" i="54"/>
  <c r="L88" i="52"/>
  <c r="L64" i="52"/>
  <c r="L44" i="52"/>
  <c r="L23" i="52"/>
  <c r="L81" i="51"/>
  <c r="L60" i="51"/>
  <c r="L37" i="51"/>
  <c r="L17" i="51"/>
  <c r="L74" i="50"/>
  <c r="L55" i="50"/>
  <c r="L36" i="50"/>
  <c r="L16" i="50"/>
  <c r="L78" i="43"/>
  <c r="L59" i="43"/>
  <c r="L40" i="43"/>
  <c r="L20" i="43"/>
  <c r="L85" i="45"/>
  <c r="L68" i="45"/>
  <c r="L50" i="45"/>
  <c r="L33" i="45"/>
  <c r="L16" i="45"/>
  <c r="L83" i="49"/>
  <c r="L66" i="49"/>
  <c r="L49" i="49"/>
  <c r="L32" i="49"/>
  <c r="L15" i="49"/>
  <c r="L81" i="44"/>
  <c r="L64" i="44"/>
  <c r="L47" i="44"/>
  <c r="L30" i="44"/>
  <c r="L13" i="44"/>
  <c r="L96" i="48"/>
  <c r="L78" i="48"/>
  <c r="L61" i="48"/>
  <c r="L44" i="48"/>
  <c r="L27" i="48"/>
  <c r="L10" i="48"/>
  <c r="L94" i="46"/>
  <c r="L77" i="46"/>
  <c r="L60" i="46"/>
  <c r="L43" i="46"/>
  <c r="L26" i="46"/>
  <c r="L9" i="46"/>
  <c r="L16" i="47"/>
  <c r="L33" i="47"/>
  <c r="L50" i="47"/>
  <c r="L67" i="47"/>
  <c r="L84" i="47"/>
  <c r="L26" i="48"/>
  <c r="L76" i="46"/>
  <c r="L42" i="46"/>
  <c r="L8" i="46"/>
  <c r="L34" i="47"/>
  <c r="L51" i="47"/>
  <c r="L86" i="47"/>
  <c r="L25" i="48"/>
  <c r="L18" i="47"/>
  <c r="L87" i="47"/>
  <c r="L45" i="46"/>
  <c r="L53" i="54"/>
  <c r="L24" i="52"/>
  <c r="L52" i="45"/>
  <c r="L80" i="48"/>
  <c r="L10" i="46"/>
  <c r="L33" i="56"/>
  <c r="L5" i="56"/>
  <c r="L85" i="55"/>
  <c r="L63" i="55"/>
  <c r="L38" i="55"/>
  <c r="L16" i="55"/>
  <c r="L94" i="54"/>
  <c r="L73" i="54"/>
  <c r="L51" i="54"/>
  <c r="L26" i="54"/>
  <c r="L4" i="54"/>
  <c r="L87" i="52"/>
  <c r="L63" i="52"/>
  <c r="L42" i="52"/>
  <c r="L22" i="52"/>
  <c r="L80" i="51"/>
  <c r="L59" i="51"/>
  <c r="L36" i="51"/>
  <c r="L16" i="51"/>
  <c r="L96" i="50"/>
  <c r="L73" i="50"/>
  <c r="L54" i="50"/>
  <c r="L34" i="50"/>
  <c r="L15" i="50"/>
  <c r="L77" i="43"/>
  <c r="L58" i="43"/>
  <c r="L38" i="43"/>
  <c r="L19" i="43"/>
  <c r="L84" i="45"/>
  <c r="L66" i="45"/>
  <c r="L49" i="45"/>
  <c r="L32" i="45"/>
  <c r="L15" i="45"/>
  <c r="L82" i="49"/>
  <c r="L65" i="49"/>
  <c r="L48" i="49"/>
  <c r="L31" i="49"/>
  <c r="L14" i="49"/>
  <c r="L80" i="44"/>
  <c r="L63" i="44"/>
  <c r="L46" i="44"/>
  <c r="L29" i="44"/>
  <c r="L12" i="44"/>
  <c r="L94" i="48"/>
  <c r="L77" i="48"/>
  <c r="L60" i="48"/>
  <c r="L43" i="48"/>
  <c r="L9" i="48"/>
  <c r="L93" i="46"/>
  <c r="L59" i="46"/>
  <c r="L25" i="46"/>
  <c r="L17" i="47"/>
  <c r="L68" i="47"/>
  <c r="L42" i="48"/>
  <c r="L58" i="46"/>
  <c r="L24" i="46"/>
  <c r="L35" i="47"/>
  <c r="L70" i="47"/>
  <c r="L28" i="54"/>
  <c r="L17" i="50"/>
  <c r="L17" i="45"/>
  <c r="L44" i="46"/>
  <c r="L32" i="56"/>
  <c r="L4" i="56"/>
  <c r="L84" i="55"/>
  <c r="L58" i="55"/>
  <c r="L37" i="55"/>
  <c r="L15" i="55"/>
  <c r="L93" i="54"/>
  <c r="L72" i="54"/>
  <c r="L46" i="54"/>
  <c r="L25" i="54"/>
  <c r="L82" i="52"/>
  <c r="L62" i="52"/>
  <c r="L41" i="52"/>
  <c r="L18" i="52"/>
  <c r="L78" i="51"/>
  <c r="L58" i="51"/>
  <c r="L35" i="51"/>
  <c r="L14" i="51"/>
  <c r="L95" i="50"/>
  <c r="L72" i="50"/>
  <c r="L53" i="50"/>
  <c r="L33" i="50"/>
  <c r="L14" i="50"/>
  <c r="L96" i="43"/>
  <c r="L76" i="43"/>
  <c r="L57" i="43"/>
  <c r="L37" i="43"/>
  <c r="L18" i="43"/>
  <c r="L82" i="45"/>
  <c r="L65" i="45"/>
  <c r="L48" i="45"/>
  <c r="L31" i="45"/>
  <c r="L14" i="45"/>
  <c r="L81" i="49"/>
  <c r="L64" i="49"/>
  <c r="L47" i="49"/>
  <c r="L30" i="49"/>
  <c r="L13" i="49"/>
  <c r="L96" i="44"/>
  <c r="L79" i="44"/>
  <c r="L62" i="44"/>
  <c r="L45" i="44"/>
  <c r="L28" i="44"/>
  <c r="L10" i="44"/>
  <c r="L93" i="48"/>
  <c r="L76" i="48"/>
  <c r="L59" i="48"/>
  <c r="L8" i="48"/>
  <c r="L92" i="46"/>
  <c r="L75" i="46"/>
  <c r="L41" i="46"/>
  <c r="L7" i="46"/>
  <c r="L52" i="47"/>
  <c r="L12" i="48"/>
  <c r="L75" i="54"/>
  <c r="L82" i="51"/>
  <c r="L37" i="50"/>
  <c r="L48" i="44"/>
  <c r="L61" i="46"/>
  <c r="L30" i="56"/>
  <c r="L82" i="55"/>
  <c r="L57" i="55"/>
  <c r="L36" i="55"/>
  <c r="L10" i="55"/>
  <c r="L92" i="54"/>
  <c r="L70" i="54"/>
  <c r="L45" i="54"/>
  <c r="L24" i="54"/>
  <c r="L81" i="52"/>
  <c r="L61" i="52"/>
  <c r="L40" i="52"/>
  <c r="L17" i="52"/>
  <c r="L77" i="51"/>
  <c r="L54" i="51"/>
  <c r="L34" i="51"/>
  <c r="L13" i="51"/>
  <c r="L94" i="50"/>
  <c r="L71" i="50"/>
  <c r="L52" i="50"/>
  <c r="L32" i="50"/>
  <c r="L12" i="50"/>
  <c r="L94" i="43"/>
  <c r="L75" i="43"/>
  <c r="L56" i="43"/>
  <c r="L36" i="43"/>
  <c r="L16" i="43"/>
  <c r="L81" i="45"/>
  <c r="L64" i="45"/>
  <c r="L47" i="45"/>
  <c r="L30" i="45"/>
  <c r="L13" i="45"/>
  <c r="L80" i="49"/>
  <c r="L63" i="49"/>
  <c r="L46" i="49"/>
  <c r="L29" i="49"/>
  <c r="L12" i="49"/>
  <c r="L95" i="44"/>
  <c r="L78" i="44"/>
  <c r="L61" i="44"/>
  <c r="L44" i="44"/>
  <c r="L26" i="44"/>
  <c r="L9" i="44"/>
  <c r="L92" i="48"/>
  <c r="L75" i="48"/>
  <c r="L58" i="48"/>
  <c r="L41" i="48"/>
  <c r="L24" i="48"/>
  <c r="L7" i="48"/>
  <c r="L91" i="46"/>
  <c r="L74" i="46"/>
  <c r="L57" i="46"/>
  <c r="L40" i="46"/>
  <c r="L23" i="46"/>
  <c r="L6" i="46"/>
  <c r="L19" i="47"/>
  <c r="L36" i="47"/>
  <c r="L54" i="47"/>
  <c r="L71" i="47"/>
  <c r="L88" i="47"/>
  <c r="L4" i="47"/>
  <c r="L48" i="47"/>
  <c r="L35" i="56"/>
  <c r="L18" i="51"/>
  <c r="L29" i="56"/>
  <c r="L81" i="55"/>
  <c r="L56" i="55"/>
  <c r="L34" i="55"/>
  <c r="L9" i="55"/>
  <c r="L91" i="54"/>
  <c r="L69" i="54"/>
  <c r="L44" i="54"/>
  <c r="L22" i="54"/>
  <c r="L80" i="52"/>
  <c r="L60" i="52"/>
  <c r="L39" i="52"/>
  <c r="L16" i="52"/>
  <c r="L76" i="51"/>
  <c r="L53" i="51"/>
  <c r="L33" i="51"/>
  <c r="L12" i="51"/>
  <c r="L90" i="50"/>
  <c r="L70" i="50"/>
  <c r="L50" i="50"/>
  <c r="L31" i="50"/>
  <c r="L10" i="50"/>
  <c r="L93" i="43"/>
  <c r="L74" i="43"/>
  <c r="L54" i="43"/>
  <c r="L35" i="43"/>
  <c r="L14" i="43"/>
  <c r="L80" i="45"/>
  <c r="L63" i="45"/>
  <c r="L46" i="45"/>
  <c r="L29" i="45"/>
  <c r="L12" i="45"/>
  <c r="L96" i="49"/>
  <c r="L79" i="49"/>
  <c r="L62" i="49"/>
  <c r="L45" i="49"/>
  <c r="L28" i="49"/>
  <c r="L11" i="49"/>
  <c r="L94" i="44"/>
  <c r="L77" i="44"/>
  <c r="L60" i="44"/>
  <c r="L42" i="44"/>
  <c r="L25" i="44"/>
  <c r="L8" i="44"/>
  <c r="L91" i="48"/>
  <c r="L74" i="48"/>
  <c r="L57" i="48"/>
  <c r="L40" i="48"/>
  <c r="L23" i="48"/>
  <c r="L6" i="48"/>
  <c r="L90" i="46"/>
  <c r="L73" i="46"/>
  <c r="L56" i="46"/>
  <c r="L39" i="46"/>
  <c r="L22" i="46"/>
  <c r="L5" i="46"/>
  <c r="L20" i="47"/>
  <c r="L38" i="47"/>
  <c r="L55" i="47"/>
  <c r="L72" i="47"/>
  <c r="L89" i="47"/>
  <c r="L96" i="46"/>
  <c r="L60" i="43"/>
  <c r="L84" i="49"/>
  <c r="L65" i="44"/>
  <c r="L45" i="48"/>
  <c r="L66" i="47"/>
  <c r="L28" i="56"/>
  <c r="L80" i="55"/>
  <c r="L55" i="55"/>
  <c r="L33" i="55"/>
  <c r="L8" i="55"/>
  <c r="L90" i="54"/>
  <c r="L68" i="54"/>
  <c r="L43" i="54"/>
  <c r="L21" i="54"/>
  <c r="L79" i="52"/>
  <c r="L58" i="52"/>
  <c r="L38" i="52"/>
  <c r="L15" i="52"/>
  <c r="L96" i="51"/>
  <c r="L75" i="51"/>
  <c r="L52" i="51"/>
  <c r="L32" i="51"/>
  <c r="L11" i="51"/>
  <c r="L89" i="50"/>
  <c r="L69" i="50"/>
  <c r="L49" i="50"/>
  <c r="L30" i="50"/>
  <c r="L9" i="50"/>
  <c r="L92" i="43"/>
  <c r="L73" i="43"/>
  <c r="L53" i="43"/>
  <c r="L34" i="43"/>
  <c r="L13" i="43"/>
  <c r="L96" i="45"/>
  <c r="L79" i="45"/>
  <c r="L62" i="45"/>
  <c r="L45" i="45"/>
  <c r="L28" i="45"/>
  <c r="L11" i="45"/>
  <c r="L95" i="49"/>
  <c r="L78" i="49"/>
  <c r="L61" i="49"/>
  <c r="L44" i="49"/>
  <c r="L27" i="49"/>
  <c r="L10" i="49"/>
  <c r="L93" i="44"/>
  <c r="L76" i="44"/>
  <c r="L58" i="44"/>
  <c r="L41" i="44"/>
  <c r="L24" i="44"/>
  <c r="L7" i="44"/>
  <c r="L90" i="48"/>
  <c r="L73" i="48"/>
  <c r="L56" i="48"/>
  <c r="L39" i="48"/>
  <c r="L22" i="48"/>
  <c r="L5" i="48"/>
  <c r="L89" i="46"/>
  <c r="L72" i="46"/>
  <c r="L55" i="46"/>
  <c r="L38" i="46"/>
  <c r="L21" i="46"/>
  <c r="L4" i="46"/>
  <c r="L22" i="47"/>
  <c r="L39" i="47"/>
  <c r="L56" i="47"/>
  <c r="L73" i="47"/>
  <c r="L90" i="47"/>
  <c r="L29" i="48"/>
  <c r="L31" i="47"/>
  <c r="L82" i="47"/>
  <c r="L6" i="54"/>
  <c r="L80" i="43"/>
  <c r="L78" i="46"/>
  <c r="L27" i="56"/>
  <c r="L79" i="55"/>
  <c r="L54" i="55"/>
  <c r="L32" i="55"/>
  <c r="L7" i="55"/>
  <c r="L89" i="54"/>
  <c r="L67" i="54"/>
  <c r="L42" i="54"/>
  <c r="L20" i="54"/>
  <c r="L78" i="52"/>
  <c r="L57" i="52"/>
  <c r="L34" i="52"/>
  <c r="L14" i="52"/>
  <c r="L94" i="51"/>
  <c r="L74" i="51"/>
  <c r="L51" i="51"/>
  <c r="L30" i="51"/>
  <c r="L10" i="51"/>
  <c r="L88" i="50"/>
  <c r="L68" i="50"/>
  <c r="L48" i="50"/>
  <c r="L28" i="50"/>
  <c r="L8" i="50"/>
  <c r="L91" i="43"/>
  <c r="L72" i="43"/>
  <c r="L52" i="43"/>
  <c r="L32" i="43"/>
  <c r="L12" i="43"/>
  <c r="L95" i="45"/>
  <c r="L78" i="45"/>
  <c r="L61" i="45"/>
  <c r="L44" i="45"/>
  <c r="L27" i="45"/>
  <c r="L10" i="45"/>
  <c r="L94" i="49"/>
  <c r="L77" i="49"/>
  <c r="L60" i="49"/>
  <c r="L43" i="49"/>
  <c r="L26" i="49"/>
  <c r="L9" i="49"/>
  <c r="L92" i="44"/>
  <c r="L74" i="44"/>
  <c r="L57" i="44"/>
  <c r="L40" i="44"/>
  <c r="L23" i="44"/>
  <c r="L6" i="44"/>
  <c r="L89" i="48"/>
  <c r="L72" i="48"/>
  <c r="L55" i="48"/>
  <c r="L38" i="48"/>
  <c r="L21" i="48"/>
  <c r="L4" i="48"/>
  <c r="L88" i="46"/>
  <c r="L71" i="46"/>
  <c r="L54" i="46"/>
  <c r="L37" i="46"/>
  <c r="L20" i="46"/>
  <c r="L6" i="47"/>
  <c r="L23" i="47"/>
  <c r="L40" i="47"/>
  <c r="L57" i="47"/>
  <c r="L74" i="47"/>
  <c r="L91" i="47"/>
  <c r="L42" i="49"/>
  <c r="L73" i="44"/>
  <c r="L39" i="44"/>
  <c r="L5" i="44"/>
  <c r="L54" i="48"/>
  <c r="L20" i="48"/>
  <c r="L70" i="46"/>
  <c r="L53" i="46"/>
  <c r="L18" i="46"/>
  <c r="L24" i="47"/>
  <c r="L41" i="47"/>
  <c r="L58" i="47"/>
  <c r="L92" i="47"/>
  <c r="L42" i="47"/>
  <c r="L93" i="47"/>
  <c r="L62" i="46"/>
  <c r="L40" i="55"/>
  <c r="L45" i="52"/>
  <c r="L38" i="51"/>
  <c r="L16" i="49"/>
  <c r="L49" i="47"/>
  <c r="L21" i="56"/>
  <c r="L74" i="55"/>
  <c r="L53" i="55"/>
  <c r="L31" i="55"/>
  <c r="L6" i="55"/>
  <c r="L88" i="54"/>
  <c r="L62" i="54"/>
  <c r="L41" i="54"/>
  <c r="L19" i="54"/>
  <c r="L77" i="52"/>
  <c r="L56" i="52"/>
  <c r="L33" i="52"/>
  <c r="L13" i="52"/>
  <c r="L93" i="51"/>
  <c r="L70" i="51"/>
  <c r="L50" i="51"/>
  <c r="L29" i="51"/>
  <c r="L6" i="51"/>
  <c r="L87" i="50"/>
  <c r="L66" i="50"/>
  <c r="L47" i="50"/>
  <c r="L26" i="50"/>
  <c r="L7" i="50"/>
  <c r="L90" i="43"/>
  <c r="L70" i="43"/>
  <c r="L51" i="43"/>
  <c r="L30" i="43"/>
  <c r="L11" i="43"/>
  <c r="L94" i="45"/>
  <c r="L77" i="45"/>
  <c r="L60" i="45"/>
  <c r="L43" i="45"/>
  <c r="L26" i="45"/>
  <c r="L9" i="45"/>
  <c r="L93" i="49"/>
  <c r="L76" i="49"/>
  <c r="L59" i="49"/>
  <c r="L25" i="49"/>
  <c r="L8" i="49"/>
  <c r="L90" i="44"/>
  <c r="L56" i="44"/>
  <c r="L22" i="44"/>
  <c r="L88" i="48"/>
  <c r="L71" i="48"/>
  <c r="L37" i="48"/>
  <c r="L87" i="46"/>
  <c r="L36" i="46"/>
  <c r="L7" i="47"/>
  <c r="L75" i="47"/>
  <c r="L59" i="47"/>
  <c r="L65" i="55"/>
  <c r="L56" i="50"/>
  <c r="L21" i="43"/>
  <c r="L69" i="45"/>
  <c r="L28" i="48"/>
  <c r="L95" i="46"/>
  <c r="L20" i="56"/>
  <c r="L73" i="55"/>
  <c r="L52" i="55"/>
  <c r="L26" i="55"/>
  <c r="L5" i="55"/>
  <c r="L86" i="54"/>
  <c r="L61" i="54"/>
  <c r="L40" i="54"/>
  <c r="L14" i="54"/>
  <c r="L76" i="52"/>
  <c r="L55" i="52"/>
  <c r="L32" i="52"/>
  <c r="L12" i="52"/>
  <c r="L92" i="51"/>
  <c r="L69" i="51"/>
  <c r="L49" i="51"/>
  <c r="L28" i="51"/>
  <c r="L5" i="51"/>
  <c r="L86" i="50"/>
  <c r="L65" i="50"/>
  <c r="L46" i="50"/>
  <c r="L25" i="50"/>
  <c r="L6" i="50"/>
  <c r="L89" i="43"/>
  <c r="L69" i="43"/>
  <c r="L50" i="43"/>
  <c r="L29" i="43"/>
  <c r="L10" i="43"/>
  <c r="L93" i="45"/>
  <c r="L76" i="45"/>
  <c r="L59" i="45"/>
  <c r="L42" i="45"/>
  <c r="L25" i="45"/>
  <c r="L8" i="45"/>
  <c r="L92" i="49"/>
  <c r="L75" i="49"/>
  <c r="L58" i="49"/>
  <c r="L41" i="49"/>
  <c r="L24" i="49"/>
  <c r="L6" i="49"/>
  <c r="L89" i="44"/>
  <c r="L72" i="44"/>
  <c r="L55" i="44"/>
  <c r="L38" i="44"/>
  <c r="L21" i="44"/>
  <c r="L4" i="44"/>
  <c r="L87" i="48"/>
  <c r="L70" i="48"/>
  <c r="L53" i="48"/>
  <c r="L36" i="48"/>
  <c r="L19" i="48"/>
  <c r="L86" i="46"/>
  <c r="L69" i="46"/>
  <c r="L52" i="46"/>
  <c r="L34" i="46"/>
  <c r="L17" i="46"/>
  <c r="L8" i="47"/>
  <c r="L25" i="47"/>
  <c r="L76" i="47"/>
  <c r="L89" i="52"/>
  <c r="L78" i="50"/>
  <c r="L41" i="43"/>
  <c r="L33" i="49"/>
  <c r="L14" i="44"/>
  <c r="L15" i="47"/>
  <c r="L19" i="56"/>
  <c r="L72" i="55"/>
  <c r="L50" i="55"/>
  <c r="L25" i="55"/>
  <c r="L4" i="55"/>
  <c r="L85" i="54"/>
  <c r="L60" i="54"/>
  <c r="L38" i="54"/>
  <c r="L13" i="54"/>
  <c r="L96" i="52"/>
  <c r="L74" i="52"/>
  <c r="L54" i="52"/>
  <c r="L31" i="52"/>
  <c r="L10" i="52"/>
  <c r="L91" i="51"/>
  <c r="L68" i="51"/>
  <c r="L48" i="51"/>
  <c r="L27" i="51"/>
  <c r="L4" i="51"/>
  <c r="L85" i="50"/>
  <c r="L64" i="50"/>
  <c r="L44" i="50"/>
  <c r="L24" i="50"/>
  <c r="L5" i="50"/>
  <c r="L88" i="43"/>
  <c r="L68" i="43"/>
  <c r="L48" i="43"/>
  <c r="L28" i="43"/>
  <c r="L9" i="43"/>
  <c r="L92" i="45"/>
  <c r="L75" i="45"/>
  <c r="L58" i="45"/>
  <c r="L41" i="45"/>
  <c r="L24" i="45"/>
  <c r="L7" i="45"/>
  <c r="L91" i="49"/>
  <c r="L74" i="49"/>
  <c r="L57" i="49"/>
  <c r="L40" i="49"/>
  <c r="L22" i="49"/>
  <c r="L5" i="49"/>
  <c r="L88" i="44"/>
  <c r="L71" i="44"/>
  <c r="L54" i="44"/>
  <c r="L37" i="44"/>
  <c r="L20" i="44"/>
  <c r="L86" i="48"/>
  <c r="L69" i="48"/>
  <c r="L52" i="48"/>
  <c r="L35" i="48"/>
  <c r="L18" i="48"/>
  <c r="L85" i="46"/>
  <c r="L68" i="46"/>
  <c r="L50" i="46"/>
  <c r="L33" i="46"/>
  <c r="L16" i="46"/>
  <c r="L9" i="47"/>
  <c r="L26" i="47"/>
  <c r="L43" i="47"/>
  <c r="L60" i="47"/>
  <c r="L77" i="47"/>
  <c r="L94" i="47"/>
  <c r="L16" i="48"/>
  <c r="L48" i="46"/>
  <c r="L14" i="46"/>
  <c r="L45" i="47"/>
  <c r="L42" i="51"/>
  <c r="L22" i="43"/>
  <c r="L36" i="45"/>
  <c r="L34" i="49"/>
  <c r="L83" i="44"/>
  <c r="L28" i="46"/>
  <c r="L18" i="56"/>
  <c r="L96" i="55"/>
  <c r="L71" i="55"/>
  <c r="L49" i="55"/>
  <c r="L24" i="55"/>
  <c r="L84" i="54"/>
  <c r="L59" i="54"/>
  <c r="L37" i="54"/>
  <c r="L12" i="54"/>
  <c r="L95" i="52"/>
  <c r="L73" i="52"/>
  <c r="L50" i="52"/>
  <c r="L30" i="52"/>
  <c r="L9" i="52"/>
  <c r="L90" i="51"/>
  <c r="L67" i="51"/>
  <c r="L46" i="51"/>
  <c r="L26" i="51"/>
  <c r="L84" i="50"/>
  <c r="L63" i="50"/>
  <c r="L42" i="50"/>
  <c r="L23" i="50"/>
  <c r="L4" i="50"/>
  <c r="L86" i="43"/>
  <c r="L67" i="43"/>
  <c r="L46" i="43"/>
  <c r="L27" i="43"/>
  <c r="L8" i="43"/>
  <c r="L91" i="45"/>
  <c r="L74" i="45"/>
  <c r="L57" i="45"/>
  <c r="L40" i="45"/>
  <c r="L23" i="45"/>
  <c r="L6" i="45"/>
  <c r="L90" i="49"/>
  <c r="L73" i="49"/>
  <c r="L56" i="49"/>
  <c r="L38" i="49"/>
  <c r="L21" i="49"/>
  <c r="L4" i="49"/>
  <c r="L87" i="44"/>
  <c r="L70" i="44"/>
  <c r="L53" i="44"/>
  <c r="L36" i="44"/>
  <c r="L19" i="44"/>
  <c r="L85" i="48"/>
  <c r="L68" i="48"/>
  <c r="L51" i="48"/>
  <c r="L34" i="48"/>
  <c r="L17" i="48"/>
  <c r="L84" i="46"/>
  <c r="L66" i="46"/>
  <c r="L49" i="46"/>
  <c r="L32" i="46"/>
  <c r="L15" i="46"/>
  <c r="L10" i="47"/>
  <c r="L27" i="47"/>
  <c r="L44" i="47"/>
  <c r="L61" i="47"/>
  <c r="L78" i="47"/>
  <c r="L95" i="47"/>
  <c r="L84" i="48"/>
  <c r="L82" i="46"/>
  <c r="L31" i="46"/>
  <c r="L11" i="47"/>
  <c r="L62" i="47"/>
  <c r="L96" i="47"/>
  <c r="L82" i="43"/>
  <c r="L32" i="44"/>
  <c r="L81" i="48"/>
  <c r="L14" i="47"/>
  <c r="L87" i="55"/>
  <c r="L34" i="45"/>
  <c r="L67" i="49"/>
  <c r="L82" i="44"/>
  <c r="L11" i="48"/>
  <c r="L83" i="47"/>
  <c r="L17" i="56"/>
  <c r="L95" i="55"/>
  <c r="L70" i="55"/>
  <c r="L48" i="55"/>
  <c r="L23" i="55"/>
  <c r="L83" i="54"/>
  <c r="L58" i="54"/>
  <c r="L36" i="54"/>
  <c r="L11" i="54"/>
  <c r="L94" i="52"/>
  <c r="L72" i="52"/>
  <c r="L49" i="52"/>
  <c r="L29" i="52"/>
  <c r="L8" i="52"/>
  <c r="L86" i="51"/>
  <c r="L66" i="51"/>
  <c r="L45" i="51"/>
  <c r="L22" i="51"/>
  <c r="L82" i="50"/>
  <c r="L62" i="50"/>
  <c r="L41" i="50"/>
  <c r="L22" i="50"/>
  <c r="L85" i="43"/>
  <c r="L66" i="43"/>
  <c r="L45" i="43"/>
  <c r="L26" i="43"/>
  <c r="L6" i="43"/>
  <c r="L90" i="45"/>
  <c r="L73" i="45"/>
  <c r="L56" i="45"/>
  <c r="L39" i="45"/>
  <c r="L22" i="45"/>
  <c r="L5" i="45"/>
  <c r="L89" i="49"/>
  <c r="L72" i="49"/>
  <c r="L54" i="49"/>
  <c r="L37" i="49"/>
  <c r="L20" i="49"/>
  <c r="L86" i="44"/>
  <c r="L69" i="44"/>
  <c r="L52" i="44"/>
  <c r="L35" i="44"/>
  <c r="L18" i="44"/>
  <c r="L67" i="48"/>
  <c r="L50" i="48"/>
  <c r="L33" i="48"/>
  <c r="L65" i="46"/>
  <c r="L28" i="47"/>
  <c r="L79" i="47"/>
  <c r="L87" i="45"/>
  <c r="L18" i="45"/>
  <c r="L85" i="49"/>
  <c r="L79" i="46"/>
  <c r="L18" i="55"/>
  <c r="L50" i="49"/>
  <c r="L62" i="48"/>
  <c r="L43" i="56"/>
  <c r="L16" i="56"/>
  <c r="L90" i="55"/>
  <c r="L69" i="55"/>
  <c r="L47" i="55"/>
  <c r="L22" i="55"/>
  <c r="L78" i="54"/>
  <c r="L57" i="54"/>
  <c r="L35" i="54"/>
  <c r="L10" i="54"/>
  <c r="L93" i="52"/>
  <c r="L71" i="52"/>
  <c r="L48" i="52"/>
  <c r="L28" i="52"/>
  <c r="L7" i="52"/>
  <c r="L85" i="51"/>
  <c r="L65" i="51"/>
  <c r="L44" i="51"/>
  <c r="L21" i="51"/>
  <c r="L81" i="50"/>
  <c r="L60" i="50"/>
  <c r="L40" i="50"/>
  <c r="L21" i="50"/>
  <c r="L84" i="43"/>
  <c r="L64" i="43"/>
  <c r="L44" i="43"/>
  <c r="L25" i="43"/>
  <c r="L5" i="43"/>
  <c r="L89" i="45"/>
  <c r="L72" i="45"/>
  <c r="L55" i="45"/>
  <c r="L38" i="45"/>
  <c r="L21" i="45"/>
  <c r="L4" i="45"/>
  <c r="L88" i="49"/>
  <c r="L70" i="49"/>
  <c r="L53" i="49"/>
  <c r="L36" i="49"/>
  <c r="L19" i="49"/>
  <c r="L85" i="44"/>
  <c r="L68" i="44"/>
  <c r="L51" i="44"/>
  <c r="L34" i="44"/>
  <c r="L17" i="44"/>
  <c r="L83" i="48"/>
  <c r="L66" i="48"/>
  <c r="L49" i="48"/>
  <c r="L32" i="48"/>
  <c r="L14" i="48"/>
  <c r="L81" i="46"/>
  <c r="L64" i="46"/>
  <c r="L47" i="46"/>
  <c r="L30" i="46"/>
  <c r="L13" i="46"/>
  <c r="L12" i="47"/>
  <c r="L29" i="47"/>
  <c r="L46" i="47"/>
  <c r="L63" i="47"/>
  <c r="L80" i="47"/>
  <c r="L25" i="52"/>
  <c r="L19" i="51"/>
  <c r="L38" i="50"/>
  <c r="L42" i="43"/>
  <c r="L70" i="45"/>
  <c r="L68" i="49"/>
  <c r="L49" i="44"/>
  <c r="L64" i="48"/>
  <c r="L65" i="52"/>
  <c r="L86" i="45"/>
  <c r="L37" i="56"/>
  <c r="L14" i="56"/>
  <c r="L89" i="55"/>
  <c r="L68" i="55"/>
  <c r="L42" i="55"/>
  <c r="L21" i="55"/>
  <c r="L77" i="54"/>
  <c r="L56" i="54"/>
  <c r="L30" i="54"/>
  <c r="L9" i="54"/>
  <c r="L92" i="52"/>
  <c r="L70" i="52"/>
  <c r="L47" i="52"/>
  <c r="L26" i="52"/>
  <c r="L6" i="52"/>
  <c r="L84" i="51"/>
  <c r="L64" i="51"/>
  <c r="L43" i="51"/>
  <c r="L20" i="51"/>
  <c r="L80" i="50"/>
  <c r="L58" i="50"/>
  <c r="L39" i="50"/>
  <c r="L20" i="50"/>
  <c r="L83" i="43"/>
  <c r="L62" i="43"/>
  <c r="L43" i="43"/>
  <c r="L24" i="43"/>
  <c r="L4" i="43"/>
  <c r="L88" i="45"/>
  <c r="L71" i="45"/>
  <c r="L54" i="45"/>
  <c r="L37" i="45"/>
  <c r="L20" i="45"/>
  <c r="L86" i="49"/>
  <c r="L69" i="49"/>
  <c r="L52" i="49"/>
  <c r="L35" i="49"/>
  <c r="L18" i="49"/>
  <c r="L84" i="44"/>
  <c r="L67" i="44"/>
  <c r="L50" i="44"/>
  <c r="L33" i="44"/>
  <c r="L16" i="44"/>
  <c r="L82" i="48"/>
  <c r="L65" i="48"/>
  <c r="L48" i="48"/>
  <c r="L30" i="48"/>
  <c r="L13" i="48"/>
  <c r="L80" i="46"/>
  <c r="L63" i="46"/>
  <c r="L46" i="46"/>
  <c r="L29" i="46"/>
  <c r="L12" i="46"/>
  <c r="L13" i="47"/>
  <c r="L30" i="47"/>
  <c r="L47" i="47"/>
  <c r="L64" i="47"/>
  <c r="L81" i="47"/>
  <c r="L46" i="52"/>
  <c r="L62" i="51"/>
  <c r="L57" i="50"/>
  <c r="L61" i="43"/>
  <c r="L17" i="49"/>
  <c r="L66" i="44"/>
  <c r="L11" i="46"/>
  <c r="L61" i="51"/>
  <c r="L27" i="46"/>
  <c r="L36" i="56"/>
  <c r="L13" i="56"/>
  <c r="L88" i="55"/>
  <c r="L66" i="55"/>
  <c r="L41" i="55"/>
  <c r="L20" i="55"/>
  <c r="L76" i="54"/>
  <c r="L54" i="54"/>
  <c r="L29" i="54"/>
  <c r="L8" i="54"/>
  <c r="L90" i="52"/>
  <c r="L66" i="52"/>
  <c r="L83" i="51"/>
  <c r="L79" i="50"/>
  <c r="L18" i="50"/>
  <c r="L53" i="45"/>
  <c r="L51" i="49"/>
  <c r="L15" i="44"/>
  <c r="L46" i="48"/>
  <c r="L65" i="47"/>
  <c r="L12" i="56"/>
  <c r="L31" i="44"/>
  <c r="L32" i="47"/>
  <c r="G192" i="37"/>
  <c r="AK308" i="37"/>
  <c r="AK157" i="37"/>
  <c r="AK101" i="37"/>
  <c r="AK175" i="37"/>
  <c r="AK141" i="37"/>
  <c r="AK69" i="37"/>
  <c r="AK250" i="37"/>
  <c r="N74" i="22"/>
  <c r="P74" i="22" s="1"/>
  <c r="E233" i="37"/>
  <c r="AK179" i="37"/>
  <c r="AK274" i="37"/>
  <c r="E47" i="37"/>
  <c r="J207" i="37"/>
  <c r="AK275" i="37"/>
  <c r="N81" i="22"/>
  <c r="P81" i="22" s="1"/>
  <c r="I47" i="37"/>
  <c r="N182" i="22"/>
  <c r="P182" i="22" s="1"/>
  <c r="AK178" i="37"/>
  <c r="J289" i="37"/>
  <c r="E289" i="37"/>
  <c r="AK122" i="37"/>
  <c r="AK80" i="37"/>
  <c r="AK208" i="37"/>
  <c r="AK313" i="37"/>
  <c r="AK305" i="37"/>
  <c r="D276" i="37"/>
  <c r="AK41" i="37"/>
  <c r="AK276" i="37"/>
  <c r="AK318" i="37"/>
  <c r="AK126" i="37"/>
  <c r="AK319" i="37"/>
  <c r="AK196" i="37"/>
  <c r="AK265" i="37"/>
  <c r="AK64" i="37"/>
  <c r="F301" i="37"/>
  <c r="G301" i="37" s="1"/>
  <c r="AK230" i="37"/>
  <c r="AK267" i="37"/>
  <c r="AK17" i="37"/>
  <c r="B10" i="57"/>
  <c r="F216" i="37"/>
  <c r="AK216" i="37" s="1"/>
  <c r="F95" i="37"/>
  <c r="G95" i="37" s="1"/>
  <c r="D283" i="37"/>
  <c r="I289" i="37"/>
  <c r="N220" i="22"/>
  <c r="P220" i="22" s="1"/>
  <c r="F248" i="37"/>
  <c r="G248" i="37" s="1"/>
  <c r="F287" i="37"/>
  <c r="AK287" i="37" s="1"/>
  <c r="F47" i="37"/>
  <c r="H47" i="37" s="1"/>
  <c r="F82" i="37"/>
  <c r="AK82" i="37" s="1"/>
  <c r="F169" i="37"/>
  <c r="G169" i="37" s="1"/>
  <c r="F258" i="37"/>
  <c r="G258" i="37" s="1"/>
  <c r="F269" i="37"/>
  <c r="G269" i="37" s="1"/>
  <c r="F97" i="37"/>
  <c r="G97" i="37" s="1"/>
  <c r="F51" i="37"/>
  <c r="G51" i="37" s="1"/>
  <c r="F79" i="37"/>
  <c r="H79" i="37" s="1"/>
  <c r="D171" i="37"/>
  <c r="F140" i="37"/>
  <c r="G140" i="37" s="1"/>
  <c r="F229" i="37"/>
  <c r="G229" i="37" s="1"/>
  <c r="F304" i="37"/>
  <c r="G304" i="37" s="1"/>
  <c r="F314" i="37"/>
  <c r="G314" i="37" s="1"/>
  <c r="F131" i="37"/>
  <c r="H131" i="37" s="1"/>
  <c r="D310" i="37"/>
  <c r="F280" i="37"/>
  <c r="H280" i="37" s="1"/>
  <c r="F245" i="37"/>
  <c r="H245" i="37" s="1"/>
  <c r="F315" i="37"/>
  <c r="G315" i="37" s="1"/>
  <c r="F24" i="37"/>
  <c r="H24" i="37" s="1"/>
  <c r="F284" i="37"/>
  <c r="G284" i="37" s="1"/>
  <c r="F105" i="37"/>
  <c r="H105" i="37" s="1"/>
  <c r="F231" i="37"/>
  <c r="G231" i="37" s="1"/>
  <c r="F25" i="37"/>
  <c r="H25" i="37" s="1"/>
  <c r="R323" i="22"/>
  <c r="F292" i="37"/>
  <c r="H292" i="37" s="1"/>
  <c r="G1" i="22"/>
  <c r="F272" i="37"/>
  <c r="H272" i="37" s="1"/>
  <c r="F85" i="37"/>
  <c r="G85" i="37" s="1"/>
  <c r="F59" i="37"/>
  <c r="H59" i="37" s="1"/>
  <c r="F277" i="37"/>
  <c r="H277" i="37" s="1"/>
  <c r="F260" i="37"/>
  <c r="G260" i="37" s="1"/>
  <c r="F197" i="37"/>
  <c r="AK197" i="37" s="1"/>
  <c r="F281" i="37"/>
  <c r="AK281" i="37" s="1"/>
  <c r="F73" i="37"/>
  <c r="G73" i="37" s="1"/>
  <c r="F159" i="37"/>
  <c r="H159" i="37" s="1"/>
  <c r="F114" i="37"/>
  <c r="H114" i="37" s="1"/>
  <c r="F189" i="37"/>
  <c r="G189" i="37" s="1"/>
  <c r="D9" i="37"/>
  <c r="D101" i="37"/>
  <c r="F227" i="37"/>
  <c r="H227" i="37" s="1"/>
  <c r="F303" i="37"/>
  <c r="AK303" i="37" s="1"/>
  <c r="F214" i="37"/>
  <c r="H214" i="37" s="1"/>
  <c r="F20" i="37"/>
  <c r="G20" i="37" s="1"/>
  <c r="F282" i="37"/>
  <c r="H282" i="37" s="1"/>
  <c r="F233" i="37"/>
  <c r="H233" i="37" s="1"/>
  <c r="J233" i="37"/>
  <c r="F268" i="37"/>
  <c r="H268" i="37" s="1"/>
  <c r="F232" i="37"/>
  <c r="G232" i="37" s="1"/>
  <c r="F241" i="37"/>
  <c r="G241" i="37" s="1"/>
  <c r="D61" i="37"/>
  <c r="F218" i="37"/>
  <c r="G218" i="37" s="1"/>
  <c r="F262" i="37"/>
  <c r="G262" i="37" s="1"/>
  <c r="F123" i="37"/>
  <c r="G123" i="37" s="1"/>
  <c r="F242" i="37"/>
  <c r="H242" i="37" s="1"/>
  <c r="F62" i="37"/>
  <c r="G62" i="37" s="1"/>
  <c r="F138" i="37"/>
  <c r="G138" i="37" s="1"/>
  <c r="F320" i="37"/>
  <c r="G320" i="37" s="1"/>
  <c r="D179" i="37"/>
  <c r="F311" i="37"/>
  <c r="G311" i="37" s="1"/>
  <c r="F302" i="37"/>
  <c r="AK302" i="37" s="1"/>
  <c r="F76" i="37"/>
  <c r="G76" i="37" s="1"/>
  <c r="F290" i="37"/>
  <c r="H290" i="37" s="1"/>
  <c r="F10" i="37"/>
  <c r="G10" i="37" s="1"/>
  <c r="D71" i="37"/>
  <c r="D209" i="37"/>
  <c r="F38" i="37"/>
  <c r="H38" i="37" s="1"/>
  <c r="E201" i="37"/>
  <c r="F18" i="37"/>
  <c r="H18" i="37" s="1"/>
  <c r="F109" i="37"/>
  <c r="H109" i="37" s="1"/>
  <c r="F235" i="37"/>
  <c r="AK235" i="37" s="1"/>
  <c r="F263" i="37"/>
  <c r="H263" i="37" s="1"/>
  <c r="F63" i="37"/>
  <c r="H63" i="37" s="1"/>
  <c r="F237" i="37"/>
  <c r="G237" i="37" s="1"/>
  <c r="N175" i="22"/>
  <c r="S175" i="22" s="1"/>
  <c r="T175" i="22" s="1"/>
  <c r="J201" i="37"/>
  <c r="H101" i="37"/>
  <c r="N23" i="22"/>
  <c r="P23" i="22" s="1"/>
  <c r="J161" i="37"/>
  <c r="I161" i="37"/>
  <c r="F120" i="37"/>
  <c r="AK120" i="37" s="1"/>
  <c r="F224" i="37"/>
  <c r="G224" i="37" s="1"/>
  <c r="F67" i="37"/>
  <c r="G67" i="37" s="1"/>
  <c r="F278" i="37"/>
  <c r="G278" i="37" s="1"/>
  <c r="F39" i="37"/>
  <c r="G39" i="37" s="1"/>
  <c r="Q158" i="22"/>
  <c r="F144" i="37"/>
  <c r="G144" i="37" s="1"/>
  <c r="F299" i="37"/>
  <c r="AK299" i="37" s="1"/>
  <c r="F201" i="37"/>
  <c r="H201" i="37" s="1"/>
  <c r="F42" i="37"/>
  <c r="G42" i="37" s="1"/>
  <c r="F177" i="37"/>
  <c r="G177" i="37" s="1"/>
  <c r="F19" i="37"/>
  <c r="H19" i="37" s="1"/>
  <c r="F294" i="37"/>
  <c r="H294" i="37" s="1"/>
  <c r="F291" i="37"/>
  <c r="G291" i="37" s="1"/>
  <c r="F251" i="37"/>
  <c r="G251" i="37" s="1"/>
  <c r="F167" i="37"/>
  <c r="G167" i="37" s="1"/>
  <c r="G230" i="37"/>
  <c r="F222" i="37"/>
  <c r="H222" i="37" s="1"/>
  <c r="F234" i="37"/>
  <c r="G234" i="37" s="1"/>
  <c r="D274" i="37"/>
  <c r="F286" i="37"/>
  <c r="G286" i="37" s="1"/>
  <c r="F325" i="37"/>
  <c r="G325" i="37" s="1"/>
  <c r="F111" i="37"/>
  <c r="H111" i="37" s="1"/>
  <c r="F295" i="37"/>
  <c r="G295" i="37" s="1"/>
  <c r="F256" i="37"/>
  <c r="G256" i="37" s="1"/>
  <c r="F271" i="37"/>
  <c r="G271" i="37" s="1"/>
  <c r="F119" i="37"/>
  <c r="H119" i="37" s="1"/>
  <c r="F253" i="37"/>
  <c r="H253" i="37" s="1"/>
  <c r="F142" i="37"/>
  <c r="H142" i="37" s="1"/>
  <c r="F83" i="37"/>
  <c r="G83" i="37" s="1"/>
  <c r="F317" i="37"/>
  <c r="G317" i="37" s="1"/>
  <c r="I56" i="37"/>
  <c r="N6" i="22"/>
  <c r="P6" i="22" s="1"/>
  <c r="E56" i="37"/>
  <c r="P228" i="22"/>
  <c r="J56" i="37"/>
  <c r="I16" i="37"/>
  <c r="J16" i="37"/>
  <c r="N283" i="22"/>
  <c r="P283" i="22" s="1"/>
  <c r="E100" i="37"/>
  <c r="J100" i="37"/>
  <c r="I100" i="37"/>
  <c r="H209" i="37"/>
  <c r="F226" i="37"/>
  <c r="G226" i="37" s="1"/>
  <c r="F149" i="37"/>
  <c r="G149" i="37" s="1"/>
  <c r="F207" i="37"/>
  <c r="G207" i="37" s="1"/>
  <c r="F257" i="37"/>
  <c r="G257" i="37" s="1"/>
  <c r="F154" i="37"/>
  <c r="H154" i="37" s="1"/>
  <c r="F115" i="37"/>
  <c r="AK115" i="37" s="1"/>
  <c r="F22" i="37"/>
  <c r="H22" i="37" s="1"/>
  <c r="F99" i="37"/>
  <c r="G99" i="37" s="1"/>
  <c r="F297" i="37"/>
  <c r="G297" i="37" s="1"/>
  <c r="B237" i="57"/>
  <c r="B131" i="57"/>
  <c r="B320" i="57"/>
  <c r="C320" i="57" s="1"/>
  <c r="G320" i="57" s="1"/>
  <c r="B288" i="57"/>
  <c r="B210" i="57"/>
  <c r="B129" i="57"/>
  <c r="B250" i="57"/>
  <c r="B112" i="57"/>
  <c r="B96" i="57"/>
  <c r="B7" i="57"/>
  <c r="B257" i="57"/>
  <c r="B23" i="57"/>
  <c r="B146" i="57"/>
  <c r="B305" i="57"/>
  <c r="B81" i="57"/>
  <c r="B211" i="57"/>
  <c r="B26" i="57"/>
  <c r="B200" i="57"/>
  <c r="B157" i="57"/>
  <c r="B134" i="57"/>
  <c r="B100" i="57"/>
  <c r="B308" i="57"/>
  <c r="B142" i="57"/>
  <c r="B277" i="57"/>
  <c r="B20" i="57"/>
  <c r="B193" i="57"/>
  <c r="B79" i="57"/>
  <c r="B168" i="57"/>
  <c r="B299" i="57"/>
  <c r="B126" i="57"/>
  <c r="B230" i="57"/>
  <c r="B317" i="57"/>
  <c r="B6" i="57"/>
  <c r="B135" i="57"/>
  <c r="G178" i="37"/>
  <c r="B103" i="57"/>
  <c r="D305" i="37"/>
  <c r="B61" i="57"/>
  <c r="B285" i="57"/>
  <c r="F124" i="37"/>
  <c r="AK124" i="37" s="1"/>
  <c r="B106" i="57"/>
  <c r="B95" i="57"/>
  <c r="B213" i="57"/>
  <c r="B102" i="57"/>
  <c r="B15" i="57"/>
  <c r="B138" i="57"/>
  <c r="B34" i="57"/>
  <c r="B29" i="57"/>
  <c r="B227" i="57"/>
  <c r="B228" i="57"/>
  <c r="B101" i="57"/>
  <c r="F155" i="37"/>
  <c r="AK155" i="37" s="1"/>
  <c r="B302" i="57"/>
  <c r="U300" i="22"/>
  <c r="B99" i="57"/>
  <c r="U127" i="22"/>
  <c r="B214" i="57"/>
  <c r="B191" i="57"/>
  <c r="U169" i="22"/>
  <c r="B139" i="57"/>
  <c r="B114" i="57"/>
  <c r="B270" i="57"/>
  <c r="U82" i="22"/>
  <c r="U321" i="22"/>
  <c r="U214" i="22"/>
  <c r="B69" i="57"/>
  <c r="U102" i="22"/>
  <c r="F246" i="37"/>
  <c r="H246" i="37" s="1"/>
  <c r="O4" i="37"/>
  <c r="U97" i="22"/>
  <c r="F102" i="37"/>
  <c r="H102" i="37" s="1"/>
  <c r="F16" i="37"/>
  <c r="G16" i="37" s="1"/>
  <c r="F104" i="37"/>
  <c r="G104" i="37" s="1"/>
  <c r="F161" i="37"/>
  <c r="G161" i="37" s="1"/>
  <c r="I210" i="37"/>
  <c r="N105" i="22"/>
  <c r="S105" i="22" s="1"/>
  <c r="T105" i="22" s="1"/>
  <c r="F210" i="37"/>
  <c r="H210" i="37" s="1"/>
  <c r="N13" i="22"/>
  <c r="S13" i="22" s="1"/>
  <c r="E210" i="37"/>
  <c r="G116" i="37"/>
  <c r="N193" i="22"/>
  <c r="P193" i="22" s="1"/>
  <c r="H49" i="37"/>
  <c r="I317" i="37"/>
  <c r="E317" i="37"/>
  <c r="P136" i="22"/>
  <c r="J317" i="37"/>
  <c r="I121" i="37"/>
  <c r="N265" i="22"/>
  <c r="P265" i="22" s="1"/>
  <c r="F121" i="37"/>
  <c r="G121" i="37" s="1"/>
  <c r="E121" i="37"/>
  <c r="G274" i="37"/>
  <c r="S281" i="22"/>
  <c r="T281" i="22" s="1"/>
  <c r="P30" i="22"/>
  <c r="P229" i="22"/>
  <c r="P309" i="22"/>
  <c r="S173" i="22"/>
  <c r="T173" i="22" s="1"/>
  <c r="S213" i="22"/>
  <c r="S121" i="22"/>
  <c r="T121" i="22" s="1"/>
  <c r="S247" i="22"/>
  <c r="T247" i="22" s="1"/>
  <c r="H306" i="37"/>
  <c r="H100" i="37"/>
  <c r="G100" i="37"/>
  <c r="S92" i="22"/>
  <c r="T92" i="22" s="1"/>
  <c r="H94" i="37"/>
  <c r="S232" i="22"/>
  <c r="T232" i="22" s="1"/>
  <c r="P140" i="22"/>
  <c r="J25" i="21"/>
  <c r="G212" i="37"/>
  <c r="S208" i="22"/>
  <c r="T208" i="22" s="1"/>
  <c r="S120" i="22"/>
  <c r="S164" i="22"/>
  <c r="T164" i="22" s="1"/>
  <c r="P132" i="22"/>
  <c r="S301" i="22"/>
  <c r="T301" i="22" s="1"/>
  <c r="S242" i="22"/>
  <c r="P35" i="22"/>
  <c r="S189" i="22"/>
  <c r="H283" i="37"/>
  <c r="P24" i="22"/>
  <c r="G270" i="37"/>
  <c r="S112" i="22"/>
  <c r="S79" i="22"/>
  <c r="S98" i="22"/>
  <c r="P80" i="22"/>
  <c r="S42" i="22"/>
  <c r="T42" i="22" s="1"/>
  <c r="P79" i="22"/>
  <c r="S204" i="22"/>
  <c r="T204" i="22" s="1"/>
  <c r="P24" i="28"/>
  <c r="P13" i="28"/>
  <c r="H175" i="37"/>
  <c r="H181" i="37"/>
  <c r="G312" i="37"/>
  <c r="Q322" i="22"/>
  <c r="S316" i="22"/>
  <c r="Q110" i="22"/>
  <c r="S89" i="22"/>
  <c r="S218" i="22"/>
  <c r="T218" i="22" s="1"/>
  <c r="P11" i="22"/>
  <c r="P139" i="22"/>
  <c r="H8" i="37"/>
  <c r="S314" i="22"/>
  <c r="H203" i="37"/>
  <c r="H176" i="37"/>
  <c r="P286" i="22"/>
  <c r="S33" i="22"/>
  <c r="P194" i="22"/>
  <c r="S43" i="22"/>
  <c r="P7" i="22"/>
  <c r="S31" i="22"/>
  <c r="S148" i="22"/>
  <c r="T148" i="22" s="1"/>
  <c r="G261" i="37"/>
  <c r="H166" i="37"/>
  <c r="S128" i="22"/>
  <c r="H50" i="37"/>
  <c r="S319" i="22"/>
  <c r="P212" i="22"/>
  <c r="S294" i="22"/>
  <c r="S254" i="22"/>
  <c r="T254" i="22" s="1"/>
  <c r="S225" i="22"/>
  <c r="T225" i="22" s="1"/>
  <c r="H236" i="37"/>
  <c r="G239" i="37"/>
  <c r="S5" i="22"/>
  <c r="T5" i="22" s="1"/>
  <c r="G323" i="37"/>
  <c r="S244" i="22"/>
  <c r="T244" i="22" s="1"/>
  <c r="H170" i="37"/>
  <c r="H41" i="37"/>
  <c r="G174" i="37"/>
  <c r="H174" i="37"/>
  <c r="G86" i="37"/>
  <c r="H86" i="37"/>
  <c r="J223" i="37"/>
  <c r="F223" i="37"/>
  <c r="S197" i="22"/>
  <c r="P56" i="22"/>
  <c r="G196" i="37"/>
  <c r="H196" i="37"/>
  <c r="H158" i="37"/>
  <c r="G158" i="37"/>
  <c r="G243" i="37"/>
  <c r="H243" i="37"/>
  <c r="G7" i="37"/>
  <c r="H7" i="37"/>
  <c r="G129" i="37"/>
  <c r="H129" i="37"/>
  <c r="G267" i="37"/>
  <c r="H267" i="37"/>
  <c r="S122" i="22"/>
  <c r="T122" i="22" s="1"/>
  <c r="P251" i="22"/>
  <c r="G204" i="37"/>
  <c r="H204" i="37"/>
  <c r="G300" i="37"/>
  <c r="H300" i="37"/>
  <c r="G126" i="37"/>
  <c r="H126" i="37"/>
  <c r="G153" i="37"/>
  <c r="H153" i="37"/>
  <c r="H289" i="37"/>
  <c r="G289" i="37"/>
  <c r="S106" i="22"/>
  <c r="N142" i="22"/>
  <c r="P142" i="22" s="1"/>
  <c r="F53" i="37"/>
  <c r="G88" i="37"/>
  <c r="H88" i="37"/>
  <c r="G195" i="37"/>
  <c r="H195" i="37"/>
  <c r="H69" i="37"/>
  <c r="G69" i="37"/>
  <c r="H305" i="37"/>
  <c r="G305" i="37"/>
  <c r="G64" i="37"/>
  <c r="H64" i="37"/>
  <c r="H117" i="37"/>
  <c r="G117" i="37"/>
  <c r="G81" i="37"/>
  <c r="H81" i="37"/>
  <c r="N75" i="22"/>
  <c r="S75" i="22" s="1"/>
  <c r="T75" i="22" s="1"/>
  <c r="F128" i="37"/>
  <c r="G215" i="37"/>
  <c r="H215" i="37"/>
  <c r="G171" i="37"/>
  <c r="H171" i="37"/>
  <c r="H219" i="37"/>
  <c r="G219" i="37"/>
  <c r="N230" i="22"/>
  <c r="P230" i="22" s="1"/>
  <c r="F296" i="37"/>
  <c r="H168" i="37"/>
  <c r="G168" i="37"/>
  <c r="S125" i="22"/>
  <c r="T125" i="22" s="1"/>
  <c r="N315" i="22"/>
  <c r="P315" i="22" s="1"/>
  <c r="F249" i="37"/>
  <c r="H264" i="37"/>
  <c r="G264" i="37"/>
  <c r="G56" i="37"/>
  <c r="H56" i="37"/>
  <c r="G110" i="37"/>
  <c r="H110" i="37"/>
  <c r="G17" i="37"/>
  <c r="H17" i="37"/>
  <c r="G259" i="37"/>
  <c r="H259" i="37"/>
  <c r="H11" i="37"/>
  <c r="G11" i="37"/>
  <c r="G279" i="37"/>
  <c r="H279" i="37"/>
  <c r="G9" i="37"/>
  <c r="H9" i="37"/>
  <c r="G208" i="37"/>
  <c r="H208" i="37"/>
  <c r="G265" i="37"/>
  <c r="H265" i="37"/>
  <c r="G313" i="37"/>
  <c r="H313" i="37"/>
  <c r="G26" i="37"/>
  <c r="H26" i="37"/>
  <c r="G266" i="37"/>
  <c r="H266" i="37"/>
  <c r="N39" i="22"/>
  <c r="P39" i="22" s="1"/>
  <c r="F75" i="37"/>
  <c r="G318" i="37"/>
  <c r="H318" i="37"/>
  <c r="H136" i="37"/>
  <c r="G136" i="37"/>
  <c r="G250" i="37"/>
  <c r="H250" i="37"/>
  <c r="I200" i="37"/>
  <c r="F200" i="37"/>
  <c r="G273" i="37"/>
  <c r="H273" i="37"/>
  <c r="G319" i="37"/>
  <c r="H319" i="37"/>
  <c r="G321" i="37"/>
  <c r="H321" i="37"/>
  <c r="H293" i="37"/>
  <c r="G293" i="37"/>
  <c r="G122" i="37"/>
  <c r="H122" i="37"/>
  <c r="G316" i="37"/>
  <c r="H316" i="37"/>
  <c r="N93" i="22"/>
  <c r="P93" i="22" s="1"/>
  <c r="F198" i="37"/>
  <c r="G285" i="37"/>
  <c r="H285" i="37"/>
  <c r="G179" i="37"/>
  <c r="H179" i="37"/>
  <c r="G141" i="37"/>
  <c r="H141" i="37"/>
  <c r="P169" i="22"/>
  <c r="N45" i="22"/>
  <c r="S45" i="22" s="1"/>
  <c r="T45" i="22" s="1"/>
  <c r="F211" i="37"/>
  <c r="G28" i="37"/>
  <c r="H28" i="37"/>
  <c r="H254" i="37"/>
  <c r="G254" i="37"/>
  <c r="G308" i="37"/>
  <c r="H308" i="37"/>
  <c r="G90" i="37"/>
  <c r="H90" i="37"/>
  <c r="G157" i="37"/>
  <c r="H157" i="37"/>
  <c r="G32" i="37"/>
  <c r="H32" i="37"/>
  <c r="G108" i="37"/>
  <c r="H108" i="37"/>
  <c r="S85" i="22"/>
  <c r="H12" i="37"/>
  <c r="G12" i="37"/>
  <c r="G151" i="37"/>
  <c r="H151" i="37"/>
  <c r="H276" i="37"/>
  <c r="G276" i="37"/>
  <c r="G186" i="37"/>
  <c r="H186" i="37"/>
  <c r="G30" i="37"/>
  <c r="H30" i="37"/>
  <c r="G310" i="37"/>
  <c r="H310" i="37"/>
  <c r="G217" i="37"/>
  <c r="H217" i="37"/>
  <c r="H80" i="37"/>
  <c r="G80" i="37"/>
  <c r="G275" i="37"/>
  <c r="H275" i="37"/>
  <c r="G191" i="37"/>
  <c r="H191" i="37"/>
  <c r="G213" i="37"/>
  <c r="H213" i="37"/>
  <c r="H288" i="37"/>
  <c r="G288" i="37"/>
  <c r="G173" i="37"/>
  <c r="H173" i="37"/>
  <c r="S126" i="22"/>
  <c r="Q130" i="22"/>
  <c r="S14" i="22"/>
  <c r="S87" i="22"/>
  <c r="T87" i="22" s="1"/>
  <c r="S226" i="22"/>
  <c r="T226" i="22" s="1"/>
  <c r="S205" i="22"/>
  <c r="T205" i="22" s="1"/>
  <c r="S221" i="22"/>
  <c r="T221" i="22" s="1"/>
  <c r="S291" i="22"/>
  <c r="S233" i="22"/>
  <c r="T233" i="22" s="1"/>
  <c r="S28" i="22"/>
  <c r="S124" i="22"/>
  <c r="T124" i="22" s="1"/>
  <c r="S227" i="22"/>
  <c r="S311" i="22"/>
  <c r="Q62" i="22"/>
  <c r="S15" i="22"/>
  <c r="T15" i="22" s="1"/>
  <c r="S174" i="22"/>
  <c r="T174" i="22" s="1"/>
  <c r="Q215" i="22"/>
  <c r="Q258" i="22"/>
  <c r="S199" i="22"/>
  <c r="T199" i="22" s="1"/>
  <c r="S22" i="22"/>
  <c r="T22" i="22" s="1"/>
  <c r="O119" i="22"/>
  <c r="Q119" i="22" s="1"/>
  <c r="Q278" i="22"/>
  <c r="S137" i="22"/>
  <c r="T137" i="22" s="1"/>
  <c r="S99" i="22"/>
  <c r="O19" i="22"/>
  <c r="Q19" i="22" s="1"/>
  <c r="S26" i="22"/>
  <c r="C180" i="42"/>
  <c r="D180" i="42"/>
  <c r="C306" i="42"/>
  <c r="D306" i="42"/>
  <c r="C170" i="42"/>
  <c r="D170" i="42"/>
  <c r="C103" i="42"/>
  <c r="C210" i="42"/>
  <c r="C35" i="42"/>
  <c r="D35" i="42"/>
  <c r="C251" i="42"/>
  <c r="D251" i="42"/>
  <c r="C167" i="42"/>
  <c r="D167" i="42"/>
  <c r="C62" i="42"/>
  <c r="D62" i="42"/>
  <c r="C146" i="42"/>
  <c r="D146" i="42"/>
  <c r="C216" i="42"/>
  <c r="D216" i="42"/>
  <c r="C276" i="42"/>
  <c r="D276" i="42"/>
  <c r="D128" i="42"/>
  <c r="C128" i="42"/>
  <c r="C126" i="42"/>
  <c r="D126" i="42"/>
  <c r="C300" i="42"/>
  <c r="D300" i="42"/>
  <c r="C305" i="42"/>
  <c r="D305" i="42"/>
  <c r="C144" i="42"/>
  <c r="D144" i="42"/>
  <c r="C150" i="42"/>
  <c r="D150" i="42"/>
  <c r="C57" i="42"/>
  <c r="D57" i="42"/>
  <c r="C134" i="42"/>
  <c r="D134" i="42"/>
  <c r="S191" i="22"/>
  <c r="T191" i="22" s="1"/>
  <c r="C249" i="42"/>
  <c r="D249" i="42"/>
  <c r="C201" i="42"/>
  <c r="D201" i="42"/>
  <c r="C16" i="42"/>
  <c r="D16" i="42"/>
  <c r="C120" i="42"/>
  <c r="D120" i="42"/>
  <c r="C157" i="42"/>
  <c r="D157" i="42"/>
  <c r="C322" i="42"/>
  <c r="D322" i="42"/>
  <c r="C299" i="42"/>
  <c r="D299" i="42"/>
  <c r="S95" i="22"/>
  <c r="P95" i="22"/>
  <c r="O12" i="21"/>
  <c r="O25" i="21"/>
  <c r="N248" i="22"/>
  <c r="J291" i="37"/>
  <c r="I291" i="37"/>
  <c r="E291" i="37"/>
  <c r="I174" i="37"/>
  <c r="E53" i="37"/>
  <c r="I53" i="37"/>
  <c r="J53" i="37"/>
  <c r="S293" i="22"/>
  <c r="T293" i="22" s="1"/>
  <c r="N252" i="22"/>
  <c r="S252" i="22" s="1"/>
  <c r="E264" i="37"/>
  <c r="I264" i="37"/>
  <c r="S133" i="22"/>
  <c r="J264" i="37"/>
  <c r="E174" i="37"/>
  <c r="E211" i="37"/>
  <c r="I211" i="37"/>
  <c r="J211" i="37"/>
  <c r="E75" i="37"/>
  <c r="J75" i="37"/>
  <c r="I75" i="37"/>
  <c r="P101" i="22"/>
  <c r="P231" i="22"/>
  <c r="J296" i="37"/>
  <c r="E296" i="37"/>
  <c r="S71" i="22"/>
  <c r="T71" i="22" s="1"/>
  <c r="S34" i="22"/>
  <c r="T34" i="22" s="1"/>
  <c r="J174" i="37"/>
  <c r="I296" i="37"/>
  <c r="F87" i="37"/>
  <c r="S165" i="22"/>
  <c r="T165" i="22" s="1"/>
  <c r="P137" i="22"/>
  <c r="P127" i="22"/>
  <c r="P22" i="22"/>
  <c r="S234" i="22"/>
  <c r="S44" i="22"/>
  <c r="S40" i="22"/>
  <c r="N12" i="22"/>
  <c r="S12" i="22" s="1"/>
  <c r="T12" i="22" s="1"/>
  <c r="AK12" i="37"/>
  <c r="E26" i="21"/>
  <c r="I24" i="27"/>
  <c r="M24" i="28"/>
  <c r="M24" i="27"/>
  <c r="S245" i="22"/>
  <c r="T245" i="22" s="1"/>
  <c r="I24" i="28"/>
  <c r="S267" i="22"/>
  <c r="J12" i="21"/>
  <c r="S292" i="22"/>
  <c r="T292" i="22" s="1"/>
  <c r="S217" i="22"/>
  <c r="S260" i="22"/>
  <c r="T260" i="22" s="1"/>
  <c r="E200" i="37"/>
  <c r="J200" i="37"/>
  <c r="S123" i="22"/>
  <c r="P199" i="22"/>
  <c r="N65" i="22"/>
  <c r="P65" i="22" s="1"/>
  <c r="I223" i="37"/>
  <c r="E223" i="37"/>
  <c r="J249" i="37"/>
  <c r="E249" i="37"/>
  <c r="I249" i="37"/>
  <c r="S78" i="22"/>
  <c r="T78" i="22" s="1"/>
  <c r="S172" i="22"/>
  <c r="T172" i="22" s="1"/>
  <c r="S207" i="22"/>
  <c r="S310" i="22"/>
  <c r="T310" i="22" s="1"/>
  <c r="P59" i="22"/>
  <c r="S305" i="22"/>
  <c r="E198" i="37"/>
  <c r="J128" i="37"/>
  <c r="E128" i="37"/>
  <c r="I128" i="37"/>
  <c r="S222" i="22"/>
  <c r="J198" i="37"/>
  <c r="I198" i="37"/>
  <c r="J85" i="37"/>
  <c r="S141" i="22"/>
  <c r="T141" i="22" s="1"/>
  <c r="P100" i="22"/>
  <c r="S47" i="22"/>
  <c r="T47" i="22" s="1"/>
  <c r="S54" i="22"/>
  <c r="T54" i="22" s="1"/>
  <c r="S61" i="22"/>
  <c r="T61" i="22" s="1"/>
  <c r="S288" i="22"/>
  <c r="T288" i="22" s="1"/>
  <c r="E87" i="37"/>
  <c r="J87" i="37"/>
  <c r="I87" i="37"/>
  <c r="N119" i="22"/>
  <c r="P289" i="22"/>
  <c r="S55" i="22"/>
  <c r="S10" i="22"/>
  <c r="S250" i="22"/>
  <c r="T250" i="22" s="1"/>
  <c r="S210" i="22"/>
  <c r="N177" i="22"/>
  <c r="E85" i="37"/>
  <c r="I85" i="37"/>
  <c r="Q55" i="22"/>
  <c r="S129" i="22"/>
  <c r="S216" i="22"/>
  <c r="P210" i="22"/>
  <c r="Q250" i="22"/>
  <c r="F26" i="21"/>
  <c r="L26" i="21"/>
  <c r="P148" i="22"/>
  <c r="Q93" i="22"/>
  <c r="P196" i="22"/>
  <c r="S196" i="22"/>
  <c r="S41" i="22"/>
  <c r="T41" i="22" s="1"/>
  <c r="P41" i="22"/>
  <c r="S167" i="22"/>
  <c r="T167" i="22" s="1"/>
  <c r="P167" i="22"/>
  <c r="Q39" i="22"/>
  <c r="S268" i="22"/>
  <c r="T268" i="22" s="1"/>
  <c r="Q268" i="22"/>
  <c r="P276" i="22"/>
  <c r="S276" i="22"/>
  <c r="S156" i="22"/>
  <c r="S253" i="22"/>
  <c r="P253" i="22"/>
  <c r="S108" i="22"/>
  <c r="T108" i="22" s="1"/>
  <c r="P108" i="22"/>
  <c r="P313" i="22"/>
  <c r="S313" i="22"/>
  <c r="T313" i="22" s="1"/>
  <c r="P206" i="22"/>
  <c r="S206" i="22"/>
  <c r="T206" i="22" s="1"/>
  <c r="P166" i="22"/>
  <c r="S166" i="22"/>
  <c r="S223" i="22"/>
  <c r="P223" i="22"/>
  <c r="S162" i="22"/>
  <c r="T162" i="22" s="1"/>
  <c r="S58" i="22"/>
  <c r="T58" i="22" s="1"/>
  <c r="Q58" i="22"/>
  <c r="Q280" i="22"/>
  <c r="S280" i="22"/>
  <c r="T280" i="22" s="1"/>
  <c r="Q239" i="22"/>
  <c r="S239" i="22"/>
  <c r="T239" i="22" s="1"/>
  <c r="P17" i="22"/>
  <c r="S17" i="22"/>
  <c r="S131" i="22"/>
  <c r="P131" i="22"/>
  <c r="P202" i="22"/>
  <c r="S202" i="22"/>
  <c r="T202" i="22" s="1"/>
  <c r="P143" i="22"/>
  <c r="S255" i="22"/>
  <c r="T255" i="22" s="1"/>
  <c r="S235" i="22"/>
  <c r="S249" i="22"/>
  <c r="S290" i="22"/>
  <c r="P135" i="22"/>
  <c r="P103" i="22"/>
  <c r="P121" i="22"/>
  <c r="S109" i="22"/>
  <c r="T109" i="22" s="1"/>
  <c r="P109" i="22"/>
  <c r="P36" i="22"/>
  <c r="S36" i="22"/>
  <c r="P319" i="22"/>
  <c r="P305" i="22"/>
  <c r="S134" i="22"/>
  <c r="T134" i="22" s="1"/>
  <c r="P141" i="22"/>
  <c r="P203" i="22"/>
  <c r="S203" i="22"/>
  <c r="S48" i="22"/>
  <c r="T48" i="22" s="1"/>
  <c r="S287" i="22"/>
  <c r="T287" i="22" s="1"/>
  <c r="M21" i="27"/>
  <c r="I14" i="28"/>
  <c r="M20" i="28"/>
  <c r="M13" i="28"/>
  <c r="I18" i="28"/>
  <c r="P51" i="22"/>
  <c r="S51" i="22"/>
  <c r="T51" i="22" s="1"/>
  <c r="M18" i="28"/>
  <c r="S219" i="22"/>
  <c r="T219" i="22" s="1"/>
  <c r="P219" i="22"/>
  <c r="M17" i="28"/>
  <c r="P64" i="22"/>
  <c r="S64" i="22"/>
  <c r="T64" i="22" s="1"/>
  <c r="I20" i="27"/>
  <c r="M23" i="28"/>
  <c r="P243" i="22"/>
  <c r="S243" i="22"/>
  <c r="P285" i="22"/>
  <c r="S285" i="22"/>
  <c r="I25" i="27"/>
  <c r="O15" i="21"/>
  <c r="I22" i="28"/>
  <c r="M22" i="27"/>
  <c r="M14" i="27"/>
  <c r="S317" i="22"/>
  <c r="P317" i="22"/>
  <c r="J20" i="21"/>
  <c r="S66" i="22"/>
  <c r="P66" i="22"/>
  <c r="P237" i="22"/>
  <c r="S237" i="22"/>
  <c r="P273" i="22"/>
  <c r="S273" i="22"/>
  <c r="O24" i="21"/>
  <c r="K26" i="27"/>
  <c r="I22" i="27"/>
  <c r="P29" i="22"/>
  <c r="S29" i="22"/>
  <c r="T29" i="22" s="1"/>
  <c r="O18" i="21"/>
  <c r="I14" i="27"/>
  <c r="I17" i="27"/>
  <c r="M16" i="27"/>
  <c r="I17" i="28"/>
  <c r="M15" i="28"/>
  <c r="J18" i="21"/>
  <c r="O13" i="21"/>
  <c r="M17" i="27"/>
  <c r="J13" i="21"/>
  <c r="M13" i="27"/>
  <c r="O22" i="21"/>
  <c r="O23" i="21"/>
  <c r="O16" i="21"/>
  <c r="I16" i="27"/>
  <c r="P9" i="22"/>
  <c r="S9" i="22"/>
  <c r="T9" i="22" s="1"/>
  <c r="I21" i="28"/>
  <c r="I15" i="28"/>
  <c r="E26" i="28"/>
  <c r="J21" i="21"/>
  <c r="J22" i="21"/>
  <c r="M12" i="27"/>
  <c r="L26" i="27"/>
  <c r="I23" i="27"/>
  <c r="I19" i="28"/>
  <c r="I20" i="28"/>
  <c r="M16" i="28"/>
  <c r="K26" i="28"/>
  <c r="O17" i="21"/>
  <c r="J23" i="21"/>
  <c r="I18" i="27"/>
  <c r="I13" i="27"/>
  <c r="J214" i="37"/>
  <c r="O19" i="21"/>
  <c r="J19" i="21"/>
  <c r="M18" i="27"/>
  <c r="J26" i="27"/>
  <c r="M25" i="27"/>
  <c r="I23" i="28"/>
  <c r="H26" i="21"/>
  <c r="E26" i="27"/>
  <c r="I15" i="27"/>
  <c r="S72" i="22"/>
  <c r="T72" i="22" s="1"/>
  <c r="P72" i="22"/>
  <c r="F26" i="28"/>
  <c r="M19" i="27"/>
  <c r="P25" i="28"/>
  <c r="P21" i="28"/>
  <c r="P18" i="28"/>
  <c r="P17" i="28"/>
  <c r="P20" i="28"/>
  <c r="P14" i="28"/>
  <c r="P23" i="28"/>
  <c r="P16" i="28"/>
  <c r="P15" i="28"/>
  <c r="P22" i="28"/>
  <c r="O30" i="28"/>
  <c r="P30" i="28" s="1"/>
  <c r="P19" i="28"/>
  <c r="O29" i="28"/>
  <c r="P29" i="28" s="1"/>
  <c r="P12" i="28"/>
  <c r="K26" i="21"/>
  <c r="J16" i="21"/>
  <c r="I12" i="27"/>
  <c r="G26" i="27"/>
  <c r="M23" i="27"/>
  <c r="I19" i="27"/>
  <c r="S284" i="22"/>
  <c r="T284" i="22" s="1"/>
  <c r="P284" i="22"/>
  <c r="I16" i="28"/>
  <c r="J15" i="21"/>
  <c r="M25" i="28"/>
  <c r="M14" i="28"/>
  <c r="O20" i="21"/>
  <c r="L26" i="28"/>
  <c r="M12" i="28"/>
  <c r="M19" i="28"/>
  <c r="M21" i="28"/>
  <c r="I12" i="28"/>
  <c r="G26" i="28"/>
  <c r="G26" i="21"/>
  <c r="O21" i="21"/>
  <c r="M20" i="27"/>
  <c r="M22" i="28"/>
  <c r="I13" i="28"/>
  <c r="J26" i="28"/>
  <c r="J17" i="21"/>
  <c r="I25" i="28"/>
  <c r="N26" i="21"/>
  <c r="J14" i="21"/>
  <c r="P14" i="21" s="1"/>
  <c r="R23" i="21"/>
  <c r="R20" i="21"/>
  <c r="R24" i="21"/>
  <c r="R21" i="21"/>
  <c r="R14" i="21"/>
  <c r="R16" i="21"/>
  <c r="R13" i="21"/>
  <c r="R19" i="21"/>
  <c r="R15" i="21"/>
  <c r="R17" i="21"/>
  <c r="R22" i="21"/>
  <c r="R18" i="21"/>
  <c r="J24" i="21"/>
  <c r="M15" i="27"/>
  <c r="M26" i="21"/>
  <c r="F26" i="27"/>
  <c r="I21" i="27"/>
  <c r="P15" i="27"/>
  <c r="P13" i="27"/>
  <c r="P14" i="27"/>
  <c r="O29" i="27"/>
  <c r="P29" i="27" s="1"/>
  <c r="P19" i="27"/>
  <c r="P21" i="27"/>
  <c r="P22" i="27"/>
  <c r="P16" i="27"/>
  <c r="P20" i="27"/>
  <c r="P23" i="27"/>
  <c r="P17" i="27"/>
  <c r="P25" i="27"/>
  <c r="P12" i="27"/>
  <c r="O30" i="27"/>
  <c r="P30" i="27" s="1"/>
  <c r="P18" i="27"/>
  <c r="B58" i="57" l="1"/>
  <c r="C246" i="42"/>
  <c r="D246" i="42"/>
  <c r="S182" i="22"/>
  <c r="T182" i="22" s="1"/>
  <c r="AK207" i="37" s="1"/>
  <c r="H304" i="37"/>
  <c r="G82" i="37"/>
  <c r="G47" i="37"/>
  <c r="AK63" i="37"/>
  <c r="AK295" i="37"/>
  <c r="H216" i="37"/>
  <c r="G292" i="37"/>
  <c r="T197" i="22"/>
  <c r="AK292" i="37" s="1"/>
  <c r="T294" i="22"/>
  <c r="AK171" i="37" s="1"/>
  <c r="T314" i="22"/>
  <c r="AK279" i="37" s="1"/>
  <c r="T267" i="22"/>
  <c r="AK173" i="37" s="1"/>
  <c r="T13" i="22"/>
  <c r="AK100" i="37" s="1"/>
  <c r="T66" i="22"/>
  <c r="AK9" i="37" s="1"/>
  <c r="T106" i="22"/>
  <c r="U106" i="22" s="1"/>
  <c r="T319" i="22"/>
  <c r="AK213" i="37" s="1"/>
  <c r="T98" i="22"/>
  <c r="AK261" i="37" s="1"/>
  <c r="T85" i="22"/>
  <c r="AK170" i="37" s="1"/>
  <c r="T79" i="22"/>
  <c r="AK26" i="37" s="1"/>
  <c r="T207" i="22"/>
  <c r="AK191" i="37" s="1"/>
  <c r="T317" i="22"/>
  <c r="AK186" i="37" s="1"/>
  <c r="T131" i="22"/>
  <c r="AK129" i="37" s="1"/>
  <c r="T36" i="22"/>
  <c r="AK271" i="37" s="1"/>
  <c r="T210" i="22"/>
  <c r="AK50" i="37" s="1"/>
  <c r="T17" i="22"/>
  <c r="AK49" i="37" s="1"/>
  <c r="T133" i="22"/>
  <c r="AK266" i="37" s="1"/>
  <c r="T95" i="22"/>
  <c r="AK306" i="37" s="1"/>
  <c r="T128" i="22"/>
  <c r="AK195" i="37" s="1"/>
  <c r="T112" i="22"/>
  <c r="AK323" i="37" s="1"/>
  <c r="T10" i="22"/>
  <c r="C185" i="42" s="1"/>
  <c r="I185" i="42" s="1"/>
  <c r="T14" i="22"/>
  <c r="AK268" i="37" s="1"/>
  <c r="T89" i="22"/>
  <c r="AK88" i="37" s="1"/>
  <c r="T196" i="22"/>
  <c r="AK283" i="37" s="1"/>
  <c r="T55" i="22"/>
  <c r="AK30" i="37" s="1"/>
  <c r="T222" i="22"/>
  <c r="AK90" i="37" s="1"/>
  <c r="T166" i="22"/>
  <c r="AK94" i="37" s="1"/>
  <c r="T126" i="22"/>
  <c r="AK294" i="37" s="1"/>
  <c r="T316" i="22"/>
  <c r="AK8" i="37" s="1"/>
  <c r="T31" i="22"/>
  <c r="AK7" i="37" s="1"/>
  <c r="T189" i="22"/>
  <c r="AK203" i="37" s="1"/>
  <c r="T285" i="22"/>
  <c r="AK290" i="37" s="1"/>
  <c r="T253" i="22"/>
  <c r="AK212" i="37" s="1"/>
  <c r="T156" i="22"/>
  <c r="AK243" i="37" s="1"/>
  <c r="T123" i="22"/>
  <c r="AK273" i="37" s="1"/>
  <c r="T311" i="22"/>
  <c r="AK153" i="37" s="1"/>
  <c r="T252" i="22"/>
  <c r="AK264" i="37" s="1"/>
  <c r="T273" i="22"/>
  <c r="AK176" i="37" s="1"/>
  <c r="T290" i="22"/>
  <c r="AK117" i="37" s="1"/>
  <c r="T40" i="22"/>
  <c r="AK76" i="37" s="1"/>
  <c r="T227" i="22"/>
  <c r="AK293" i="37" s="1"/>
  <c r="T43" i="22"/>
  <c r="AK28" i="37" s="1"/>
  <c r="T242" i="22"/>
  <c r="AK236" i="37" s="1"/>
  <c r="T249" i="22"/>
  <c r="U249" i="22" s="1"/>
  <c r="T44" i="22"/>
  <c r="AK215" i="37" s="1"/>
  <c r="T243" i="22"/>
  <c r="AK217" i="37" s="1"/>
  <c r="T235" i="22"/>
  <c r="AK166" i="37" s="1"/>
  <c r="T305" i="22"/>
  <c r="AK158" i="37" s="1"/>
  <c r="T26" i="22"/>
  <c r="AK239" i="37" s="1"/>
  <c r="T28" i="22"/>
  <c r="AK181" i="37" s="1"/>
  <c r="T33" i="22"/>
  <c r="AK81" i="37" s="1"/>
  <c r="T213" i="22"/>
  <c r="AK151" i="37" s="1"/>
  <c r="T276" i="22"/>
  <c r="AK116" i="37" s="1"/>
  <c r="T234" i="22"/>
  <c r="AK254" i="37" s="1"/>
  <c r="T203" i="22"/>
  <c r="AK310" i="37" s="1"/>
  <c r="T129" i="22"/>
  <c r="AK136" i="37" s="1"/>
  <c r="T237" i="22"/>
  <c r="AK259" i="37" s="1"/>
  <c r="T216" i="22"/>
  <c r="AK285" i="37" s="1"/>
  <c r="T223" i="22"/>
  <c r="AK110" i="37" s="1"/>
  <c r="T217" i="22"/>
  <c r="U217" i="22" s="1"/>
  <c r="T99" i="22"/>
  <c r="AK321" i="37" s="1"/>
  <c r="T291" i="22"/>
  <c r="AK168" i="37" s="1"/>
  <c r="T120" i="22"/>
  <c r="AK86" i="37" s="1"/>
  <c r="H297" i="37"/>
  <c r="AK218" i="37"/>
  <c r="AK234" i="37"/>
  <c r="AK311" i="37"/>
  <c r="H281" i="37"/>
  <c r="AK114" i="37"/>
  <c r="AK97" i="37"/>
  <c r="G111" i="37"/>
  <c r="G290" i="37"/>
  <c r="AK111" i="37"/>
  <c r="AK42" i="37"/>
  <c r="AK229" i="37"/>
  <c r="AK231" i="37"/>
  <c r="AK232" i="37"/>
  <c r="M53" i="45"/>
  <c r="N53" i="45" s="1"/>
  <c r="X34" i="37" s="1"/>
  <c r="R53" i="45"/>
  <c r="S53" i="45" s="1"/>
  <c r="M27" i="46"/>
  <c r="N27" i="46" s="1"/>
  <c r="T46" i="37" s="1"/>
  <c r="R27" i="46"/>
  <c r="S27" i="46" s="1"/>
  <c r="M46" i="46"/>
  <c r="N46" i="46" s="1"/>
  <c r="T139" i="37" s="1"/>
  <c r="R46" i="46"/>
  <c r="S46" i="46" s="1"/>
  <c r="M69" i="49"/>
  <c r="N69" i="49" s="1"/>
  <c r="W45" i="37" s="1"/>
  <c r="R69" i="49"/>
  <c r="S69" i="49" s="1"/>
  <c r="M20" i="51"/>
  <c r="N20" i="51" s="1"/>
  <c r="AA112" i="37" s="1"/>
  <c r="R20" i="51"/>
  <c r="S20" i="51" s="1"/>
  <c r="M89" i="55"/>
  <c r="N89" i="55" s="1"/>
  <c r="AE199" i="37" s="1"/>
  <c r="R89" i="55"/>
  <c r="S89" i="55" s="1"/>
  <c r="M29" i="47"/>
  <c r="N29" i="47" s="1"/>
  <c r="S184" i="37" s="1"/>
  <c r="S29" i="47"/>
  <c r="T29" i="47" s="1"/>
  <c r="M85" i="44"/>
  <c r="N85" i="44" s="1"/>
  <c r="V113" i="37" s="1"/>
  <c r="R85" i="44"/>
  <c r="S85" i="44" s="1"/>
  <c r="M84" i="43"/>
  <c r="N84" i="43" s="1"/>
  <c r="R84" i="43"/>
  <c r="S84" i="43" s="1"/>
  <c r="M57" i="54"/>
  <c r="N57" i="54" s="1"/>
  <c r="AD244" i="37" s="1"/>
  <c r="R57" i="54"/>
  <c r="S57" i="54" s="1"/>
  <c r="M28" i="47"/>
  <c r="N28" i="47" s="1"/>
  <c r="S48" i="37" s="1"/>
  <c r="S28" i="47"/>
  <c r="T28" i="47" s="1"/>
  <c r="M22" i="45"/>
  <c r="N22" i="45" s="1"/>
  <c r="X98" i="37" s="1"/>
  <c r="R22" i="45"/>
  <c r="S22" i="45" s="1"/>
  <c r="M66" i="51"/>
  <c r="N66" i="51" s="1"/>
  <c r="AA91" i="37" s="1"/>
  <c r="R66" i="51"/>
  <c r="S66" i="51" s="1"/>
  <c r="M83" i="47"/>
  <c r="N83" i="47" s="1"/>
  <c r="S164" i="37" s="1"/>
  <c r="S83" i="47"/>
  <c r="T83" i="47" s="1"/>
  <c r="M95" i="47"/>
  <c r="N95" i="47" s="1"/>
  <c r="S95" i="47"/>
  <c r="T95" i="47" s="1"/>
  <c r="M19" i="44"/>
  <c r="N19" i="44" s="1"/>
  <c r="V92" i="37" s="1"/>
  <c r="R19" i="44"/>
  <c r="S19" i="44" s="1"/>
  <c r="M91" i="45"/>
  <c r="N91" i="45" s="1"/>
  <c r="R91" i="45"/>
  <c r="S91" i="45" s="1"/>
  <c r="M30" i="52"/>
  <c r="N30" i="52" s="1"/>
  <c r="AB324" i="37" s="1"/>
  <c r="AI324" i="37" s="1"/>
  <c r="R30" i="52"/>
  <c r="S30" i="52" s="1"/>
  <c r="M36" i="45"/>
  <c r="N36" i="45" s="1"/>
  <c r="X21" i="37" s="1"/>
  <c r="R36" i="45"/>
  <c r="S36" i="45" s="1"/>
  <c r="M68" i="46"/>
  <c r="N68" i="46" s="1"/>
  <c r="T193" i="37" s="1"/>
  <c r="R68" i="46"/>
  <c r="S68" i="46" s="1"/>
  <c r="M74" i="49"/>
  <c r="N74" i="49" s="1"/>
  <c r="W202" i="37" s="1"/>
  <c r="R74" i="49"/>
  <c r="S74" i="49" s="1"/>
  <c r="M64" i="50"/>
  <c r="N64" i="50" s="1"/>
  <c r="Z23" i="37" s="1"/>
  <c r="R64" i="50"/>
  <c r="S64" i="50" s="1"/>
  <c r="M4" i="55"/>
  <c r="N4" i="55" s="1"/>
  <c r="AE55" i="37" s="1"/>
  <c r="R4" i="55"/>
  <c r="S4" i="55" s="1"/>
  <c r="M52" i="46"/>
  <c r="N52" i="46" s="1"/>
  <c r="T225" i="37" s="1"/>
  <c r="R52" i="46"/>
  <c r="S52" i="46" s="1"/>
  <c r="M41" i="49"/>
  <c r="N41" i="49" s="1"/>
  <c r="W247" i="37" s="1"/>
  <c r="R41" i="49"/>
  <c r="S41" i="49" s="1"/>
  <c r="M25" i="50"/>
  <c r="N25" i="50" s="1"/>
  <c r="Z127" i="37" s="1"/>
  <c r="R25" i="50"/>
  <c r="S25" i="50" s="1"/>
  <c r="M86" i="54"/>
  <c r="N86" i="54" s="1"/>
  <c r="AD255" i="37" s="1"/>
  <c r="R86" i="54"/>
  <c r="S86" i="54" s="1"/>
  <c r="M87" i="46"/>
  <c r="N87" i="46" s="1"/>
  <c r="T33" i="37" s="1"/>
  <c r="R87" i="46"/>
  <c r="S87" i="46" s="1"/>
  <c r="M77" i="45"/>
  <c r="N77" i="45" s="1"/>
  <c r="X61" i="37" s="1"/>
  <c r="R77" i="45"/>
  <c r="S77" i="45" s="1"/>
  <c r="M93" i="51"/>
  <c r="N93" i="51" s="1"/>
  <c r="R93" i="51"/>
  <c r="S93" i="51" s="1"/>
  <c r="M38" i="51"/>
  <c r="N38" i="51" s="1"/>
  <c r="AA40" i="37" s="1"/>
  <c r="R38" i="51"/>
  <c r="S38" i="51" s="1"/>
  <c r="M39" i="44"/>
  <c r="N39" i="44" s="1"/>
  <c r="R39" i="44"/>
  <c r="S39" i="44" s="1"/>
  <c r="M38" i="48"/>
  <c r="N38" i="48" s="1"/>
  <c r="U40" i="37" s="1"/>
  <c r="R38" i="48"/>
  <c r="S38" i="48" s="1"/>
  <c r="M10" i="45"/>
  <c r="N10" i="45" s="1"/>
  <c r="R10" i="45"/>
  <c r="S10" i="45" s="1"/>
  <c r="M10" i="51"/>
  <c r="N10" i="51" s="1"/>
  <c r="R10" i="51"/>
  <c r="S10" i="51" s="1"/>
  <c r="M79" i="55"/>
  <c r="N79" i="55" s="1"/>
  <c r="R79" i="55"/>
  <c r="S79" i="55" s="1"/>
  <c r="M55" i="46"/>
  <c r="N55" i="46" s="1"/>
  <c r="T132" i="37" s="1"/>
  <c r="R55" i="46"/>
  <c r="S55" i="46" s="1"/>
  <c r="M27" i="49"/>
  <c r="N27" i="49" s="1"/>
  <c r="W46" i="37" s="1"/>
  <c r="R27" i="49"/>
  <c r="S27" i="49" s="1"/>
  <c r="M9" i="50"/>
  <c r="N9" i="50" s="1"/>
  <c r="Z228" i="37" s="1"/>
  <c r="R9" i="50"/>
  <c r="S9" i="50" s="1"/>
  <c r="M68" i="54"/>
  <c r="N68" i="54" s="1"/>
  <c r="AD193" i="37" s="1"/>
  <c r="R68" i="54"/>
  <c r="S68" i="54" s="1"/>
  <c r="M38" i="47"/>
  <c r="N38" i="47" s="1"/>
  <c r="S40" i="37" s="1"/>
  <c r="S38" i="47"/>
  <c r="T38" i="47" s="1"/>
  <c r="M42" i="44"/>
  <c r="N42" i="44" s="1"/>
  <c r="V29" i="37" s="1"/>
  <c r="R42" i="44"/>
  <c r="S42" i="44" s="1"/>
  <c r="M35" i="43"/>
  <c r="N35" i="43" s="1"/>
  <c r="Y103" i="37" s="1"/>
  <c r="R35" i="43"/>
  <c r="S35" i="43" s="1"/>
  <c r="M80" i="52"/>
  <c r="N80" i="52" s="1"/>
  <c r="AB322" i="37" s="1"/>
  <c r="AI322" i="37" s="1"/>
  <c r="R80" i="52"/>
  <c r="S80" i="52" s="1"/>
  <c r="M54" i="47"/>
  <c r="N54" i="47" s="1"/>
  <c r="S156" i="37" s="1"/>
  <c r="S54" i="47"/>
  <c r="T54" i="47" s="1"/>
  <c r="M26" i="44"/>
  <c r="N26" i="44" s="1"/>
  <c r="R26" i="44"/>
  <c r="S26" i="44" s="1"/>
  <c r="M36" i="43"/>
  <c r="N36" i="43" s="1"/>
  <c r="Y21" i="37" s="1"/>
  <c r="R36" i="43"/>
  <c r="S36" i="43" s="1"/>
  <c r="M81" i="52"/>
  <c r="N81" i="52" s="1"/>
  <c r="AB298" i="37" s="1"/>
  <c r="AI298" i="37" s="1"/>
  <c r="R81" i="52"/>
  <c r="S81" i="52" s="1"/>
  <c r="M52" i="47"/>
  <c r="N52" i="47" s="1"/>
  <c r="S225" i="37" s="1"/>
  <c r="S52" i="47"/>
  <c r="T52" i="47" s="1"/>
  <c r="M30" i="49"/>
  <c r="N30" i="49" s="1"/>
  <c r="W324" i="37" s="1"/>
  <c r="R30" i="49"/>
  <c r="S30" i="49" s="1"/>
  <c r="M53" i="50"/>
  <c r="N53" i="50" s="1"/>
  <c r="Z34" i="37" s="1"/>
  <c r="R53" i="50"/>
  <c r="S53" i="50" s="1"/>
  <c r="M37" i="55"/>
  <c r="N37" i="55" s="1"/>
  <c r="AE68" i="37" s="1"/>
  <c r="R37" i="55"/>
  <c r="S37" i="55" s="1"/>
  <c r="M25" i="46"/>
  <c r="N25" i="46" s="1"/>
  <c r="T127" i="37" s="1"/>
  <c r="R25" i="46"/>
  <c r="S25" i="46" s="1"/>
  <c r="M65" i="49"/>
  <c r="N65" i="49" s="1"/>
  <c r="W221" i="37" s="1"/>
  <c r="R65" i="49"/>
  <c r="S65" i="49" s="1"/>
  <c r="M16" i="51"/>
  <c r="N16" i="51" s="1"/>
  <c r="AA148" i="37" s="1"/>
  <c r="R16" i="51"/>
  <c r="S16" i="51" s="1"/>
  <c r="M85" i="55"/>
  <c r="N85" i="55" s="1"/>
  <c r="AE113" i="37" s="1"/>
  <c r="R85" i="55"/>
  <c r="S85" i="55" s="1"/>
  <c r="M42" i="46"/>
  <c r="N42" i="46" s="1"/>
  <c r="T29" i="37" s="1"/>
  <c r="R42" i="46"/>
  <c r="S42" i="46" s="1"/>
  <c r="M44" i="48"/>
  <c r="N44" i="48" s="1"/>
  <c r="U206" i="37" s="1"/>
  <c r="R44" i="48"/>
  <c r="S44" i="48" s="1"/>
  <c r="M50" i="45"/>
  <c r="N50" i="45" s="1"/>
  <c r="R50" i="45"/>
  <c r="S50" i="45" s="1"/>
  <c r="M44" i="52"/>
  <c r="N44" i="52" s="1"/>
  <c r="AB206" i="37" s="1"/>
  <c r="AI206" i="37" s="1"/>
  <c r="R44" i="52"/>
  <c r="S44" i="52" s="1"/>
  <c r="M14" i="70"/>
  <c r="N14" i="70" s="1"/>
  <c r="AG163" i="37" s="1"/>
  <c r="R14" i="70"/>
  <c r="S14" i="70" s="1"/>
  <c r="M68" i="56"/>
  <c r="N68" i="56" s="1"/>
  <c r="AF193" i="37" s="1"/>
  <c r="R68" i="56"/>
  <c r="S68" i="56" s="1"/>
  <c r="M54" i="56"/>
  <c r="N54" i="56" s="1"/>
  <c r="AF156" i="37" s="1"/>
  <c r="R54" i="56"/>
  <c r="S54" i="56" s="1"/>
  <c r="M5" i="47"/>
  <c r="N5" i="47" s="1"/>
  <c r="S240" i="37" s="1"/>
  <c r="S5" i="47"/>
  <c r="T5" i="47" s="1"/>
  <c r="M75" i="44"/>
  <c r="N75" i="44" s="1"/>
  <c r="V70" i="37" s="1"/>
  <c r="R75" i="44"/>
  <c r="S75" i="44" s="1"/>
  <c r="M63" i="43"/>
  <c r="N63" i="43" s="1"/>
  <c r="Y143" i="37" s="1"/>
  <c r="R63" i="43"/>
  <c r="S63" i="43" s="1"/>
  <c r="M35" i="52"/>
  <c r="N35" i="52" s="1"/>
  <c r="AB103" i="37" s="1"/>
  <c r="AI103" i="37" s="1"/>
  <c r="R35" i="52"/>
  <c r="S35" i="52" s="1"/>
  <c r="M7" i="56"/>
  <c r="N7" i="56" s="1"/>
  <c r="AF77" i="37" s="1"/>
  <c r="R7" i="56"/>
  <c r="S7" i="56" s="1"/>
  <c r="M56" i="51"/>
  <c r="N56" i="51" s="1"/>
  <c r="AA145" i="37" s="1"/>
  <c r="R56" i="51"/>
  <c r="S56" i="51" s="1"/>
  <c r="M28" i="55"/>
  <c r="N28" i="55" s="1"/>
  <c r="AE48" i="37" s="1"/>
  <c r="R28" i="55"/>
  <c r="S28" i="55" s="1"/>
  <c r="M84" i="70"/>
  <c r="N84" i="70" s="1"/>
  <c r="R84" i="70"/>
  <c r="S84" i="70" s="1"/>
  <c r="M73" i="51"/>
  <c r="N73" i="51" s="1"/>
  <c r="AA152" i="37" s="1"/>
  <c r="R73" i="51"/>
  <c r="S73" i="51" s="1"/>
  <c r="M61" i="55"/>
  <c r="N61" i="55" s="1"/>
  <c r="AE160" i="37" s="1"/>
  <c r="R61" i="55"/>
  <c r="S61" i="55" s="1"/>
  <c r="M18" i="54"/>
  <c r="N18" i="54" s="1"/>
  <c r="AD36" i="37" s="1"/>
  <c r="R18" i="54"/>
  <c r="S18" i="54" s="1"/>
  <c r="M90" i="56"/>
  <c r="N90" i="56" s="1"/>
  <c r="AF252" i="37" s="1"/>
  <c r="R90" i="56"/>
  <c r="S90" i="56" s="1"/>
  <c r="M44" i="56"/>
  <c r="N44" i="56" s="1"/>
  <c r="AF206" i="37" s="1"/>
  <c r="R44" i="56"/>
  <c r="S44" i="56" s="1"/>
  <c r="M41" i="70"/>
  <c r="N41" i="70" s="1"/>
  <c r="AG247" i="37" s="1"/>
  <c r="R41" i="70"/>
  <c r="S41" i="70" s="1"/>
  <c r="M39" i="43"/>
  <c r="N39" i="43" s="1"/>
  <c r="R39" i="43"/>
  <c r="S39" i="43" s="1"/>
  <c r="M27" i="52"/>
  <c r="N27" i="52" s="1"/>
  <c r="R27" i="52"/>
  <c r="S27" i="52" s="1"/>
  <c r="M15" i="56"/>
  <c r="N15" i="56" s="1"/>
  <c r="AF135" i="37" s="1"/>
  <c r="R15" i="56"/>
  <c r="S15" i="56" s="1"/>
  <c r="M12" i="70"/>
  <c r="N12" i="70" s="1"/>
  <c r="R12" i="70"/>
  <c r="S12" i="70" s="1"/>
  <c r="M43" i="56"/>
  <c r="N43" i="56" s="1"/>
  <c r="AF84" i="37" s="1"/>
  <c r="R43" i="56"/>
  <c r="S43" i="56" s="1"/>
  <c r="M18" i="50"/>
  <c r="N18" i="50" s="1"/>
  <c r="Z36" i="37" s="1"/>
  <c r="R18" i="50"/>
  <c r="S18" i="50" s="1"/>
  <c r="M61" i="51"/>
  <c r="N61" i="51" s="1"/>
  <c r="AA160" i="37" s="1"/>
  <c r="R61" i="51"/>
  <c r="S61" i="51" s="1"/>
  <c r="M63" i="46"/>
  <c r="N63" i="46" s="1"/>
  <c r="T143" i="37" s="1"/>
  <c r="R63" i="46"/>
  <c r="S63" i="46" s="1"/>
  <c r="M86" i="49"/>
  <c r="N86" i="49" s="1"/>
  <c r="W255" i="37" s="1"/>
  <c r="R86" i="49"/>
  <c r="S86" i="49" s="1"/>
  <c r="M43" i="51"/>
  <c r="N43" i="51" s="1"/>
  <c r="AA84" i="37" s="1"/>
  <c r="R43" i="51"/>
  <c r="S43" i="51" s="1"/>
  <c r="M14" i="56"/>
  <c r="N14" i="56" s="1"/>
  <c r="AF163" i="37" s="1"/>
  <c r="R14" i="56"/>
  <c r="S14" i="56" s="1"/>
  <c r="M12" i="47"/>
  <c r="N12" i="47" s="1"/>
  <c r="S12" i="47"/>
  <c r="T12" i="47" s="1"/>
  <c r="M19" i="49"/>
  <c r="N19" i="49" s="1"/>
  <c r="W92" i="37" s="1"/>
  <c r="R19" i="49"/>
  <c r="S19" i="49" s="1"/>
  <c r="M21" i="50"/>
  <c r="N21" i="50" s="1"/>
  <c r="Z205" i="37" s="1"/>
  <c r="R21" i="50"/>
  <c r="S21" i="50" s="1"/>
  <c r="M78" i="54"/>
  <c r="N78" i="54" s="1"/>
  <c r="AD96" i="37" s="1"/>
  <c r="R78" i="54"/>
  <c r="S78" i="54" s="1"/>
  <c r="M65" i="46"/>
  <c r="N65" i="46" s="1"/>
  <c r="T221" i="37" s="1"/>
  <c r="R65" i="46"/>
  <c r="S65" i="46" s="1"/>
  <c r="M39" i="45"/>
  <c r="N39" i="45" s="1"/>
  <c r="R39" i="45"/>
  <c r="S39" i="45" s="1"/>
  <c r="M86" i="51"/>
  <c r="N86" i="51" s="1"/>
  <c r="AA255" i="37" s="1"/>
  <c r="R86" i="51"/>
  <c r="S86" i="51" s="1"/>
  <c r="M11" i="48"/>
  <c r="N11" i="48" s="1"/>
  <c r="U31" i="37" s="1"/>
  <c r="R11" i="48"/>
  <c r="S11" i="48" s="1"/>
  <c r="M78" i="47"/>
  <c r="N78" i="47" s="1"/>
  <c r="S96" i="37" s="1"/>
  <c r="S78" i="47"/>
  <c r="T78" i="47" s="1"/>
  <c r="M36" i="44"/>
  <c r="N36" i="44" s="1"/>
  <c r="V21" i="37" s="1"/>
  <c r="R36" i="44"/>
  <c r="S36" i="44" s="1"/>
  <c r="M8" i="43"/>
  <c r="N8" i="43" s="1"/>
  <c r="Y27" i="37" s="1"/>
  <c r="R8" i="43"/>
  <c r="S8" i="43" s="1"/>
  <c r="M50" i="52"/>
  <c r="N50" i="52" s="1"/>
  <c r="AB150" i="37" s="1"/>
  <c r="AI150" i="37" s="1"/>
  <c r="R50" i="52"/>
  <c r="S50" i="52" s="1"/>
  <c r="M22" i="43"/>
  <c r="N22" i="43" s="1"/>
  <c r="Y98" i="37" s="1"/>
  <c r="R22" i="43"/>
  <c r="S22" i="43" s="1"/>
  <c r="M85" i="46"/>
  <c r="N85" i="46" s="1"/>
  <c r="T113" i="37" s="1"/>
  <c r="R85" i="46"/>
  <c r="S85" i="46" s="1"/>
  <c r="M91" i="49"/>
  <c r="N91" i="49" s="1"/>
  <c r="R91" i="49"/>
  <c r="S91" i="49" s="1"/>
  <c r="M85" i="50"/>
  <c r="N85" i="50" s="1"/>
  <c r="Z113" i="37" s="1"/>
  <c r="R85" i="50"/>
  <c r="S85" i="50" s="1"/>
  <c r="M25" i="55"/>
  <c r="N25" i="55" s="1"/>
  <c r="AE127" i="37" s="1"/>
  <c r="R25" i="55"/>
  <c r="S25" i="55" s="1"/>
  <c r="M69" i="46"/>
  <c r="N69" i="46" s="1"/>
  <c r="T45" i="37" s="1"/>
  <c r="R69" i="46"/>
  <c r="S69" i="46" s="1"/>
  <c r="M58" i="49"/>
  <c r="N58" i="49" s="1"/>
  <c r="W93" i="37" s="1"/>
  <c r="R58" i="49"/>
  <c r="S58" i="49" s="1"/>
  <c r="M46" i="50"/>
  <c r="N46" i="50" s="1"/>
  <c r="Z139" i="37" s="1"/>
  <c r="R46" i="50"/>
  <c r="S46" i="50" s="1"/>
  <c r="M5" i="55"/>
  <c r="N5" i="55" s="1"/>
  <c r="AE240" i="37" s="1"/>
  <c r="R5" i="55"/>
  <c r="S5" i="55" s="1"/>
  <c r="M37" i="48"/>
  <c r="N37" i="48" s="1"/>
  <c r="U68" i="37" s="1"/>
  <c r="R37" i="48"/>
  <c r="S37" i="48" s="1"/>
  <c r="M94" i="45"/>
  <c r="N94" i="45" s="1"/>
  <c r="X146" i="37" s="1"/>
  <c r="R94" i="45"/>
  <c r="S94" i="45" s="1"/>
  <c r="M13" i="52"/>
  <c r="N13" i="52" s="1"/>
  <c r="AB172" i="37" s="1"/>
  <c r="AI172" i="37" s="1"/>
  <c r="R13" i="52"/>
  <c r="S13" i="52" s="1"/>
  <c r="M45" i="52"/>
  <c r="N45" i="52" s="1"/>
  <c r="AB125" i="37" s="1"/>
  <c r="AI125" i="37" s="1"/>
  <c r="R45" i="52"/>
  <c r="S45" i="52" s="1"/>
  <c r="M73" i="44"/>
  <c r="N73" i="44" s="1"/>
  <c r="V152" i="37" s="1"/>
  <c r="R73" i="44"/>
  <c r="S73" i="44" s="1"/>
  <c r="M55" i="48"/>
  <c r="N55" i="48" s="1"/>
  <c r="U132" i="37" s="1"/>
  <c r="R55" i="48"/>
  <c r="S55" i="48" s="1"/>
  <c r="M27" i="45"/>
  <c r="N27" i="45" s="1"/>
  <c r="X46" i="37" s="1"/>
  <c r="R27" i="45"/>
  <c r="S27" i="45" s="1"/>
  <c r="M30" i="51"/>
  <c r="N30" i="51" s="1"/>
  <c r="AA324" i="37" s="1"/>
  <c r="R30" i="51"/>
  <c r="S30" i="51" s="1"/>
  <c r="M27" i="56"/>
  <c r="N27" i="56" s="1"/>
  <c r="AF46" i="37" s="1"/>
  <c r="R27" i="56"/>
  <c r="S27" i="56" s="1"/>
  <c r="M72" i="46"/>
  <c r="N72" i="46" s="1"/>
  <c r="T65" i="37" s="1"/>
  <c r="R72" i="46"/>
  <c r="S72" i="46" s="1"/>
  <c r="M44" i="49"/>
  <c r="N44" i="49" s="1"/>
  <c r="W206" i="37" s="1"/>
  <c r="R44" i="49"/>
  <c r="S44" i="49" s="1"/>
  <c r="M30" i="50"/>
  <c r="N30" i="50" s="1"/>
  <c r="Z324" i="37" s="1"/>
  <c r="R30" i="50"/>
  <c r="S30" i="50" s="1"/>
  <c r="M90" i="54"/>
  <c r="N90" i="54" s="1"/>
  <c r="AD252" i="37" s="1"/>
  <c r="R90" i="54"/>
  <c r="S90" i="54" s="1"/>
  <c r="M20" i="47"/>
  <c r="N20" i="47" s="1"/>
  <c r="S112" i="37" s="1"/>
  <c r="S20" i="47"/>
  <c r="T20" i="47" s="1"/>
  <c r="M60" i="44"/>
  <c r="N60" i="44" s="1"/>
  <c r="V78" i="37" s="1"/>
  <c r="R60" i="44"/>
  <c r="S60" i="44" s="1"/>
  <c r="M54" i="43"/>
  <c r="N54" i="43" s="1"/>
  <c r="Y156" i="37" s="1"/>
  <c r="R54" i="43"/>
  <c r="S54" i="43" s="1"/>
  <c r="M22" i="54"/>
  <c r="N22" i="54" s="1"/>
  <c r="AD98" i="37" s="1"/>
  <c r="R22" i="54"/>
  <c r="S22" i="54" s="1"/>
  <c r="M36" i="47"/>
  <c r="N36" i="47" s="1"/>
  <c r="S21" i="37" s="1"/>
  <c r="S36" i="47"/>
  <c r="T36" i="47" s="1"/>
  <c r="M44" i="44"/>
  <c r="N44" i="44" s="1"/>
  <c r="V206" i="37" s="1"/>
  <c r="R44" i="44"/>
  <c r="S44" i="44" s="1"/>
  <c r="M56" i="43"/>
  <c r="N56" i="43" s="1"/>
  <c r="Y145" i="37" s="1"/>
  <c r="R56" i="43"/>
  <c r="S56" i="43" s="1"/>
  <c r="M24" i="54"/>
  <c r="N24" i="54" s="1"/>
  <c r="R24" i="54"/>
  <c r="S24" i="54" s="1"/>
  <c r="M7" i="46"/>
  <c r="N7" i="46" s="1"/>
  <c r="T77" i="37" s="1"/>
  <c r="R7" i="46"/>
  <c r="S7" i="46" s="1"/>
  <c r="M47" i="49"/>
  <c r="N47" i="49" s="1"/>
  <c r="W165" i="37" s="1"/>
  <c r="R47" i="49"/>
  <c r="S47" i="49" s="1"/>
  <c r="M72" i="50"/>
  <c r="N72" i="50" s="1"/>
  <c r="Z65" i="37" s="1"/>
  <c r="R72" i="50"/>
  <c r="S72" i="50" s="1"/>
  <c r="M58" i="55"/>
  <c r="N58" i="55" s="1"/>
  <c r="AE93" i="37" s="1"/>
  <c r="R58" i="55"/>
  <c r="S58" i="55" s="1"/>
  <c r="M59" i="46"/>
  <c r="N59" i="46" s="1"/>
  <c r="R59" i="46"/>
  <c r="S59" i="46" s="1"/>
  <c r="M82" i="49"/>
  <c r="N82" i="49" s="1"/>
  <c r="W130" i="37" s="1"/>
  <c r="R82" i="49"/>
  <c r="S82" i="49" s="1"/>
  <c r="M36" i="51"/>
  <c r="N36" i="51" s="1"/>
  <c r="AA21" i="37" s="1"/>
  <c r="R36" i="51"/>
  <c r="S36" i="51" s="1"/>
  <c r="M5" i="56"/>
  <c r="N5" i="56" s="1"/>
  <c r="AF240" i="37" s="1"/>
  <c r="R5" i="56"/>
  <c r="S5" i="56" s="1"/>
  <c r="M76" i="46"/>
  <c r="N76" i="46" s="1"/>
  <c r="T107" i="37" s="1"/>
  <c r="R76" i="46"/>
  <c r="S76" i="46" s="1"/>
  <c r="M61" i="48"/>
  <c r="N61" i="48" s="1"/>
  <c r="U160" i="37" s="1"/>
  <c r="R61" i="48"/>
  <c r="S61" i="48" s="1"/>
  <c r="M68" i="45"/>
  <c r="N68" i="45" s="1"/>
  <c r="X193" i="37" s="1"/>
  <c r="R68" i="45"/>
  <c r="S68" i="45" s="1"/>
  <c r="M64" i="52"/>
  <c r="N64" i="52" s="1"/>
  <c r="R64" i="52"/>
  <c r="S64" i="52" s="1"/>
  <c r="M30" i="70"/>
  <c r="N30" i="70" s="1"/>
  <c r="AG324" i="37" s="1"/>
  <c r="R30" i="70"/>
  <c r="S30" i="70" s="1"/>
  <c r="M84" i="56"/>
  <c r="N84" i="56" s="1"/>
  <c r="AF194" i="37" s="1"/>
  <c r="R84" i="56"/>
  <c r="S84" i="56" s="1"/>
  <c r="M70" i="56"/>
  <c r="N70" i="56" s="1"/>
  <c r="AF37" i="37" s="1"/>
  <c r="R70" i="56"/>
  <c r="S70" i="56" s="1"/>
  <c r="M19" i="46"/>
  <c r="N19" i="46" s="1"/>
  <c r="T92" i="37" s="1"/>
  <c r="R19" i="46"/>
  <c r="S19" i="46" s="1"/>
  <c r="M91" i="44"/>
  <c r="N91" i="44" s="1"/>
  <c r="R91" i="44"/>
  <c r="S91" i="44" s="1"/>
  <c r="M79" i="43"/>
  <c r="N79" i="43" s="1"/>
  <c r="R79" i="43"/>
  <c r="S79" i="43" s="1"/>
  <c r="M51" i="52"/>
  <c r="N51" i="52" s="1"/>
  <c r="R51" i="52"/>
  <c r="S51" i="52" s="1"/>
  <c r="M23" i="56"/>
  <c r="N23" i="56" s="1"/>
  <c r="AF187" i="37" s="1"/>
  <c r="R23" i="56"/>
  <c r="S23" i="56" s="1"/>
  <c r="M72" i="51"/>
  <c r="N72" i="51" s="1"/>
  <c r="AA65" i="37" s="1"/>
  <c r="R72" i="51"/>
  <c r="S72" i="51" s="1"/>
  <c r="M44" i="55"/>
  <c r="N44" i="55" s="1"/>
  <c r="AE206" i="37" s="1"/>
  <c r="R44" i="55"/>
  <c r="S44" i="55" s="1"/>
  <c r="M17" i="43"/>
  <c r="N17" i="43" s="1"/>
  <c r="Y118" i="37" s="1"/>
  <c r="R17" i="43"/>
  <c r="S17" i="43" s="1"/>
  <c r="M89" i="51"/>
  <c r="N89" i="51" s="1"/>
  <c r="AA199" i="37" s="1"/>
  <c r="R89" i="51"/>
  <c r="S89" i="51" s="1"/>
  <c r="M77" i="55"/>
  <c r="N77" i="55" s="1"/>
  <c r="AE61" i="37" s="1"/>
  <c r="R77" i="55"/>
  <c r="S77" i="55" s="1"/>
  <c r="M34" i="54"/>
  <c r="N34" i="54" s="1"/>
  <c r="AD66" i="37" s="1"/>
  <c r="R34" i="54"/>
  <c r="S34" i="54" s="1"/>
  <c r="M6" i="70"/>
  <c r="N6" i="70" s="1"/>
  <c r="R6" i="70"/>
  <c r="S6" i="70" s="1"/>
  <c r="M60" i="56"/>
  <c r="N60" i="56" s="1"/>
  <c r="AF78" i="37" s="1"/>
  <c r="R60" i="56"/>
  <c r="S60" i="56" s="1"/>
  <c r="M57" i="70"/>
  <c r="N57" i="70" s="1"/>
  <c r="AG244" i="37" s="1"/>
  <c r="R57" i="70"/>
  <c r="S57" i="70" s="1"/>
  <c r="M55" i="43"/>
  <c r="N55" i="43" s="1"/>
  <c r="Y132" i="37" s="1"/>
  <c r="R55" i="43"/>
  <c r="S55" i="43" s="1"/>
  <c r="M43" i="52"/>
  <c r="N43" i="52" s="1"/>
  <c r="AB84" i="37" s="1"/>
  <c r="AI84" i="37" s="1"/>
  <c r="R43" i="52"/>
  <c r="S43" i="52" s="1"/>
  <c r="M31" i="56"/>
  <c r="N31" i="56" s="1"/>
  <c r="AF14" i="37" s="1"/>
  <c r="R31" i="56"/>
  <c r="S31" i="56" s="1"/>
  <c r="M28" i="70"/>
  <c r="N28" i="70" s="1"/>
  <c r="AG48" i="37" s="1"/>
  <c r="R28" i="70"/>
  <c r="S28" i="70" s="1"/>
  <c r="M68" i="49"/>
  <c r="N68" i="49" s="1"/>
  <c r="W193" i="37" s="1"/>
  <c r="R68" i="49"/>
  <c r="S68" i="49" s="1"/>
  <c r="M79" i="50"/>
  <c r="N79" i="50" s="1"/>
  <c r="Z183" i="37" s="1"/>
  <c r="R79" i="50"/>
  <c r="S79" i="50" s="1"/>
  <c r="M11" i="46"/>
  <c r="N11" i="46" s="1"/>
  <c r="T31" i="37" s="1"/>
  <c r="R11" i="46"/>
  <c r="S11" i="46" s="1"/>
  <c r="M80" i="46"/>
  <c r="N80" i="46" s="1"/>
  <c r="T322" i="37" s="1"/>
  <c r="R80" i="46"/>
  <c r="S80" i="46" s="1"/>
  <c r="M20" i="45"/>
  <c r="N20" i="45" s="1"/>
  <c r="X112" i="37" s="1"/>
  <c r="R20" i="45"/>
  <c r="S20" i="45" s="1"/>
  <c r="M64" i="51"/>
  <c r="N64" i="51" s="1"/>
  <c r="AA23" i="37" s="1"/>
  <c r="R64" i="51"/>
  <c r="S64" i="51" s="1"/>
  <c r="M37" i="56"/>
  <c r="N37" i="56" s="1"/>
  <c r="AF68" i="37" s="1"/>
  <c r="R37" i="56"/>
  <c r="S37" i="56" s="1"/>
  <c r="M13" i="46"/>
  <c r="N13" i="46" s="1"/>
  <c r="R13" i="46"/>
  <c r="S13" i="46" s="1"/>
  <c r="M36" i="49"/>
  <c r="N36" i="49" s="1"/>
  <c r="W21" i="37" s="1"/>
  <c r="R36" i="49"/>
  <c r="S36" i="49" s="1"/>
  <c r="M40" i="50"/>
  <c r="N40" i="50" s="1"/>
  <c r="Z137" i="37" s="1"/>
  <c r="R40" i="50"/>
  <c r="S40" i="50" s="1"/>
  <c r="M22" i="55"/>
  <c r="N22" i="55" s="1"/>
  <c r="AE98" i="37" s="1"/>
  <c r="R22" i="55"/>
  <c r="S22" i="55" s="1"/>
  <c r="M33" i="48"/>
  <c r="N33" i="48" s="1"/>
  <c r="U133" i="37" s="1"/>
  <c r="R33" i="48"/>
  <c r="S33" i="48" s="1"/>
  <c r="M56" i="45"/>
  <c r="N56" i="45" s="1"/>
  <c r="X145" i="37" s="1"/>
  <c r="R56" i="45"/>
  <c r="S56" i="45" s="1"/>
  <c r="M8" i="52"/>
  <c r="N8" i="52" s="1"/>
  <c r="AB27" i="37" s="1"/>
  <c r="AI27" i="37" s="1"/>
  <c r="R8" i="52"/>
  <c r="S8" i="52" s="1"/>
  <c r="M82" i="44"/>
  <c r="N82" i="44" s="1"/>
  <c r="V130" i="37" s="1"/>
  <c r="R82" i="44"/>
  <c r="S82" i="44" s="1"/>
  <c r="M61" i="47"/>
  <c r="N61" i="47" s="1"/>
  <c r="S160" i="37" s="1"/>
  <c r="S61" i="47"/>
  <c r="T61" i="47" s="1"/>
  <c r="M53" i="44"/>
  <c r="N53" i="44" s="1"/>
  <c r="V34" i="37" s="1"/>
  <c r="R53" i="44"/>
  <c r="S53" i="44" s="1"/>
  <c r="M27" i="43"/>
  <c r="N27" i="43" s="1"/>
  <c r="Y46" i="37" s="1"/>
  <c r="R27" i="43"/>
  <c r="S27" i="43" s="1"/>
  <c r="M73" i="52"/>
  <c r="N73" i="52" s="1"/>
  <c r="AB152" i="37" s="1"/>
  <c r="R73" i="52"/>
  <c r="S73" i="52" s="1"/>
  <c r="M42" i="51"/>
  <c r="N42" i="51" s="1"/>
  <c r="AA29" i="37" s="1"/>
  <c r="R42" i="51"/>
  <c r="S42" i="51" s="1"/>
  <c r="M18" i="48"/>
  <c r="N18" i="48" s="1"/>
  <c r="U36" i="37" s="1"/>
  <c r="R18" i="48"/>
  <c r="S18" i="48" s="1"/>
  <c r="M7" i="45"/>
  <c r="N7" i="45" s="1"/>
  <c r="X77" i="37" s="1"/>
  <c r="R7" i="45"/>
  <c r="S7" i="45" s="1"/>
  <c r="M4" i="51"/>
  <c r="N4" i="51" s="1"/>
  <c r="AA55" i="37" s="1"/>
  <c r="R4" i="51"/>
  <c r="S4" i="51" s="1"/>
  <c r="M50" i="55"/>
  <c r="N50" i="55" s="1"/>
  <c r="AE150" i="37" s="1"/>
  <c r="R50" i="55"/>
  <c r="S50" i="55" s="1"/>
  <c r="M86" i="46"/>
  <c r="N86" i="46" s="1"/>
  <c r="T255" i="37" s="1"/>
  <c r="R86" i="46"/>
  <c r="S86" i="46" s="1"/>
  <c r="M75" i="49"/>
  <c r="N75" i="49" s="1"/>
  <c r="W70" i="37" s="1"/>
  <c r="R75" i="49"/>
  <c r="S75" i="49" s="1"/>
  <c r="M65" i="50"/>
  <c r="N65" i="50" s="1"/>
  <c r="Z221" i="37" s="1"/>
  <c r="R65" i="50"/>
  <c r="S65" i="50" s="1"/>
  <c r="M26" i="55"/>
  <c r="N26" i="55" s="1"/>
  <c r="R26" i="55"/>
  <c r="S26" i="55" s="1"/>
  <c r="M71" i="48"/>
  <c r="N71" i="48" s="1"/>
  <c r="R71" i="48"/>
  <c r="S71" i="48" s="1"/>
  <c r="M11" i="43"/>
  <c r="N11" i="43" s="1"/>
  <c r="Y31" i="37" s="1"/>
  <c r="R11" i="43"/>
  <c r="S11" i="43" s="1"/>
  <c r="M33" i="52"/>
  <c r="N33" i="52" s="1"/>
  <c r="AB133" i="37" s="1"/>
  <c r="AI133" i="37" s="1"/>
  <c r="R33" i="52"/>
  <c r="S33" i="52" s="1"/>
  <c r="M40" i="55"/>
  <c r="N40" i="55" s="1"/>
  <c r="AE137" i="37" s="1"/>
  <c r="R40" i="55"/>
  <c r="S40" i="55" s="1"/>
  <c r="M42" i="49"/>
  <c r="N42" i="49" s="1"/>
  <c r="W29" i="37" s="1"/>
  <c r="R42" i="49"/>
  <c r="S42" i="49" s="1"/>
  <c r="M72" i="48"/>
  <c r="N72" i="48" s="1"/>
  <c r="U65" i="37" s="1"/>
  <c r="R72" i="48"/>
  <c r="S72" i="48" s="1"/>
  <c r="M44" i="45"/>
  <c r="N44" i="45" s="1"/>
  <c r="X206" i="37" s="1"/>
  <c r="R44" i="45"/>
  <c r="S44" i="45" s="1"/>
  <c r="M51" i="51"/>
  <c r="N51" i="51" s="1"/>
  <c r="R51" i="51"/>
  <c r="S51" i="51" s="1"/>
  <c r="M78" i="46"/>
  <c r="N78" i="46" s="1"/>
  <c r="T96" i="37" s="1"/>
  <c r="R78" i="46"/>
  <c r="S78" i="46" s="1"/>
  <c r="M89" i="46"/>
  <c r="N89" i="46" s="1"/>
  <c r="T199" i="37" s="1"/>
  <c r="R89" i="46"/>
  <c r="S89" i="46" s="1"/>
  <c r="M61" i="49"/>
  <c r="N61" i="49" s="1"/>
  <c r="W160" i="37" s="1"/>
  <c r="R61" i="49"/>
  <c r="S61" i="49" s="1"/>
  <c r="M49" i="50"/>
  <c r="N49" i="50" s="1"/>
  <c r="Z15" i="37" s="1"/>
  <c r="R49" i="50"/>
  <c r="S49" i="50" s="1"/>
  <c r="M8" i="55"/>
  <c r="N8" i="55" s="1"/>
  <c r="AE27" i="37" s="1"/>
  <c r="R8" i="55"/>
  <c r="S8" i="55" s="1"/>
  <c r="M5" i="46"/>
  <c r="N5" i="46" s="1"/>
  <c r="T240" i="37" s="1"/>
  <c r="R5" i="46"/>
  <c r="S5" i="46" s="1"/>
  <c r="M77" i="44"/>
  <c r="N77" i="44" s="1"/>
  <c r="V61" i="37" s="1"/>
  <c r="R77" i="44"/>
  <c r="S77" i="44" s="1"/>
  <c r="M74" i="43"/>
  <c r="N74" i="43" s="1"/>
  <c r="Y202" i="37" s="1"/>
  <c r="R74" i="43"/>
  <c r="S74" i="43" s="1"/>
  <c r="M44" i="54"/>
  <c r="N44" i="54" s="1"/>
  <c r="AD206" i="37" s="1"/>
  <c r="R44" i="54"/>
  <c r="S44" i="54" s="1"/>
  <c r="M19" i="47"/>
  <c r="N19" i="47" s="1"/>
  <c r="S92" i="37" s="1"/>
  <c r="S19" i="47"/>
  <c r="T19" i="47" s="1"/>
  <c r="M61" i="44"/>
  <c r="N61" i="44" s="1"/>
  <c r="V160" i="37" s="1"/>
  <c r="R61" i="44"/>
  <c r="S61" i="44" s="1"/>
  <c r="M75" i="43"/>
  <c r="N75" i="43" s="1"/>
  <c r="Y70" i="37" s="1"/>
  <c r="R75" i="43"/>
  <c r="S75" i="43" s="1"/>
  <c r="M45" i="54"/>
  <c r="N45" i="54" s="1"/>
  <c r="AD125" i="37" s="1"/>
  <c r="R45" i="54"/>
  <c r="S45" i="54" s="1"/>
  <c r="M41" i="46"/>
  <c r="N41" i="46" s="1"/>
  <c r="T247" i="37" s="1"/>
  <c r="R41" i="46"/>
  <c r="S41" i="46" s="1"/>
  <c r="M64" i="49"/>
  <c r="N64" i="49" s="1"/>
  <c r="W23" i="37" s="1"/>
  <c r="R64" i="49"/>
  <c r="S64" i="49" s="1"/>
  <c r="M95" i="50"/>
  <c r="N95" i="50" s="1"/>
  <c r="Z220" i="37" s="1"/>
  <c r="R95" i="50"/>
  <c r="S95" i="50" s="1"/>
  <c r="M84" i="55"/>
  <c r="N84" i="55" s="1"/>
  <c r="R84" i="55"/>
  <c r="S84" i="55" s="1"/>
  <c r="M93" i="46"/>
  <c r="N93" i="46" s="1"/>
  <c r="R93" i="46"/>
  <c r="S93" i="46" s="1"/>
  <c r="M15" i="45"/>
  <c r="N15" i="45" s="1"/>
  <c r="X135" i="37" s="1"/>
  <c r="R15" i="45"/>
  <c r="S15" i="45" s="1"/>
  <c r="M59" i="51"/>
  <c r="N59" i="51" s="1"/>
  <c r="AA58" i="37" s="1"/>
  <c r="R59" i="51"/>
  <c r="S59" i="51" s="1"/>
  <c r="M33" i="56"/>
  <c r="N33" i="56" s="1"/>
  <c r="AF133" i="37" s="1"/>
  <c r="R33" i="56"/>
  <c r="S33" i="56" s="1"/>
  <c r="M26" i="48"/>
  <c r="N26" i="48" s="1"/>
  <c r="R26" i="48"/>
  <c r="S26" i="48" s="1"/>
  <c r="M78" i="48"/>
  <c r="N78" i="48" s="1"/>
  <c r="U96" i="37" s="1"/>
  <c r="R78" i="48"/>
  <c r="S78" i="48" s="1"/>
  <c r="M85" i="45"/>
  <c r="N85" i="45" s="1"/>
  <c r="X113" i="37" s="1"/>
  <c r="R85" i="45"/>
  <c r="S85" i="45" s="1"/>
  <c r="M88" i="52"/>
  <c r="N88" i="52" s="1"/>
  <c r="AB72" i="37" s="1"/>
  <c r="AI72" i="37" s="1"/>
  <c r="R88" i="52"/>
  <c r="S88" i="52" s="1"/>
  <c r="M46" i="70"/>
  <c r="N46" i="70" s="1"/>
  <c r="AG139" i="37" s="1"/>
  <c r="R46" i="70"/>
  <c r="S46" i="70" s="1"/>
  <c r="M16" i="70"/>
  <c r="N16" i="70" s="1"/>
  <c r="AG148" i="37" s="1"/>
  <c r="R16" i="70"/>
  <c r="S16" i="70" s="1"/>
  <c r="M86" i="56"/>
  <c r="N86" i="56" s="1"/>
  <c r="AF255" i="37" s="1"/>
  <c r="R86" i="56"/>
  <c r="S86" i="56" s="1"/>
  <c r="M35" i="46"/>
  <c r="N35" i="46" s="1"/>
  <c r="T103" i="37" s="1"/>
  <c r="R35" i="46"/>
  <c r="S35" i="46" s="1"/>
  <c r="M7" i="49"/>
  <c r="N7" i="49" s="1"/>
  <c r="W77" i="37" s="1"/>
  <c r="R7" i="49"/>
  <c r="S7" i="49" s="1"/>
  <c r="M95" i="43"/>
  <c r="N95" i="43" s="1"/>
  <c r="R95" i="43"/>
  <c r="S95" i="43" s="1"/>
  <c r="M67" i="52"/>
  <c r="N67" i="52" s="1"/>
  <c r="AB188" i="37" s="1"/>
  <c r="AI188" i="37" s="1"/>
  <c r="R67" i="52"/>
  <c r="S67" i="52" s="1"/>
  <c r="M39" i="56"/>
  <c r="N39" i="56" s="1"/>
  <c r="R39" i="56"/>
  <c r="S39" i="56" s="1"/>
  <c r="M88" i="51"/>
  <c r="N88" i="51" s="1"/>
  <c r="AA72" i="37" s="1"/>
  <c r="R88" i="51"/>
  <c r="S88" i="51" s="1"/>
  <c r="M60" i="55"/>
  <c r="N60" i="55" s="1"/>
  <c r="AE78" i="37" s="1"/>
  <c r="R60" i="55"/>
  <c r="S60" i="55" s="1"/>
  <c r="M33" i="43"/>
  <c r="N33" i="43" s="1"/>
  <c r="Y133" i="37" s="1"/>
  <c r="R33" i="43"/>
  <c r="S33" i="43" s="1"/>
  <c r="M5" i="52"/>
  <c r="N5" i="52" s="1"/>
  <c r="AB240" i="37" s="1"/>
  <c r="AI240" i="37" s="1"/>
  <c r="R5" i="52"/>
  <c r="S5" i="52" s="1"/>
  <c r="M93" i="55"/>
  <c r="N93" i="55" s="1"/>
  <c r="AE57" i="37" s="1"/>
  <c r="R93" i="55"/>
  <c r="S93" i="55" s="1"/>
  <c r="M50" i="54"/>
  <c r="N50" i="54" s="1"/>
  <c r="R50" i="54"/>
  <c r="S50" i="54" s="1"/>
  <c r="M22" i="70"/>
  <c r="N22" i="70" s="1"/>
  <c r="AG98" i="37" s="1"/>
  <c r="R22" i="70"/>
  <c r="S22" i="70" s="1"/>
  <c r="M76" i="56"/>
  <c r="N76" i="56" s="1"/>
  <c r="AF107" i="37" s="1"/>
  <c r="R76" i="56"/>
  <c r="S76" i="56" s="1"/>
  <c r="M73" i="70"/>
  <c r="N73" i="70" s="1"/>
  <c r="AG152" i="37" s="1"/>
  <c r="R73" i="70"/>
  <c r="S73" i="70" s="1"/>
  <c r="M71" i="43"/>
  <c r="N71" i="43" s="1"/>
  <c r="Y162" i="37" s="1"/>
  <c r="R71" i="43"/>
  <c r="S71" i="43" s="1"/>
  <c r="M59" i="52"/>
  <c r="N59" i="52" s="1"/>
  <c r="R59" i="52"/>
  <c r="S59" i="52" s="1"/>
  <c r="M47" i="56"/>
  <c r="N47" i="56" s="1"/>
  <c r="AF165" i="37" s="1"/>
  <c r="R47" i="56"/>
  <c r="S47" i="56" s="1"/>
  <c r="M44" i="70"/>
  <c r="N44" i="70" s="1"/>
  <c r="AG206" i="37" s="1"/>
  <c r="R44" i="70"/>
  <c r="S44" i="70" s="1"/>
  <c r="M83" i="51"/>
  <c r="N83" i="51" s="1"/>
  <c r="AA164" i="37" s="1"/>
  <c r="R83" i="51"/>
  <c r="S83" i="51" s="1"/>
  <c r="M66" i="44"/>
  <c r="N66" i="44" s="1"/>
  <c r="V91" i="37" s="1"/>
  <c r="R66" i="44"/>
  <c r="S66" i="44" s="1"/>
  <c r="M13" i="48"/>
  <c r="N13" i="48" s="1"/>
  <c r="R13" i="48"/>
  <c r="S13" i="48" s="1"/>
  <c r="M37" i="45"/>
  <c r="N37" i="45" s="1"/>
  <c r="X68" i="37" s="1"/>
  <c r="R37" i="45"/>
  <c r="S37" i="45" s="1"/>
  <c r="M84" i="51"/>
  <c r="N84" i="51" s="1"/>
  <c r="AA194" i="37" s="1"/>
  <c r="R84" i="51"/>
  <c r="S84" i="51" s="1"/>
  <c r="M86" i="45"/>
  <c r="N86" i="45" s="1"/>
  <c r="X255" i="37" s="1"/>
  <c r="R86" i="45"/>
  <c r="S86" i="45" s="1"/>
  <c r="M30" i="46"/>
  <c r="N30" i="46" s="1"/>
  <c r="T324" i="37" s="1"/>
  <c r="R30" i="46"/>
  <c r="S30" i="46" s="1"/>
  <c r="M53" i="49"/>
  <c r="N53" i="49" s="1"/>
  <c r="W34" i="37" s="1"/>
  <c r="R53" i="49"/>
  <c r="S53" i="49" s="1"/>
  <c r="M60" i="50"/>
  <c r="N60" i="50" s="1"/>
  <c r="Z78" i="37" s="1"/>
  <c r="R60" i="50"/>
  <c r="S60" i="50" s="1"/>
  <c r="M47" i="55"/>
  <c r="N47" i="55" s="1"/>
  <c r="AE165" i="37" s="1"/>
  <c r="R47" i="55"/>
  <c r="S47" i="55" s="1"/>
  <c r="M50" i="48"/>
  <c r="N50" i="48" s="1"/>
  <c r="U150" i="37" s="1"/>
  <c r="R50" i="48"/>
  <c r="S50" i="48" s="1"/>
  <c r="M73" i="45"/>
  <c r="N73" i="45" s="1"/>
  <c r="X152" i="37" s="1"/>
  <c r="R73" i="45"/>
  <c r="S73" i="45" s="1"/>
  <c r="M29" i="52"/>
  <c r="N29" i="52" s="1"/>
  <c r="AB184" i="37" s="1"/>
  <c r="AI184" i="37" s="1"/>
  <c r="R29" i="52"/>
  <c r="S29" i="52" s="1"/>
  <c r="M67" i="49"/>
  <c r="N67" i="49" s="1"/>
  <c r="W188" i="37" s="1"/>
  <c r="R67" i="49"/>
  <c r="S67" i="49" s="1"/>
  <c r="M44" i="47"/>
  <c r="N44" i="47" s="1"/>
  <c r="S206" i="37" s="1"/>
  <c r="S44" i="47"/>
  <c r="T44" i="47" s="1"/>
  <c r="M70" i="44"/>
  <c r="N70" i="44" s="1"/>
  <c r="V37" i="37" s="1"/>
  <c r="R70" i="44"/>
  <c r="S70" i="44" s="1"/>
  <c r="M46" i="43"/>
  <c r="N46" i="43" s="1"/>
  <c r="Y139" i="37" s="1"/>
  <c r="R46" i="43"/>
  <c r="S46" i="43" s="1"/>
  <c r="M95" i="52"/>
  <c r="N95" i="52" s="1"/>
  <c r="R95" i="52"/>
  <c r="S95" i="52" s="1"/>
  <c r="M45" i="47"/>
  <c r="N45" i="47" s="1"/>
  <c r="S125" i="37" s="1"/>
  <c r="S45" i="47"/>
  <c r="T45" i="47" s="1"/>
  <c r="M35" i="48"/>
  <c r="N35" i="48" s="1"/>
  <c r="U103" i="37" s="1"/>
  <c r="R35" i="48"/>
  <c r="S35" i="48" s="1"/>
  <c r="M24" i="45"/>
  <c r="N24" i="45" s="1"/>
  <c r="R24" i="45"/>
  <c r="S24" i="45" s="1"/>
  <c r="M27" i="51"/>
  <c r="N27" i="51" s="1"/>
  <c r="AA46" i="37" s="1"/>
  <c r="R27" i="51"/>
  <c r="S27" i="51" s="1"/>
  <c r="M72" i="55"/>
  <c r="N72" i="55" s="1"/>
  <c r="AE65" i="37" s="1"/>
  <c r="R72" i="55"/>
  <c r="S72" i="55" s="1"/>
  <c r="M19" i="48"/>
  <c r="N19" i="48" s="1"/>
  <c r="U92" i="37" s="1"/>
  <c r="R19" i="48"/>
  <c r="S19" i="48" s="1"/>
  <c r="M92" i="49"/>
  <c r="N92" i="49" s="1"/>
  <c r="W106" i="37" s="1"/>
  <c r="R92" i="49"/>
  <c r="S92" i="49" s="1"/>
  <c r="M86" i="50"/>
  <c r="N86" i="50" s="1"/>
  <c r="Z255" i="37" s="1"/>
  <c r="R86" i="50"/>
  <c r="S86" i="50" s="1"/>
  <c r="M52" i="55"/>
  <c r="N52" i="55" s="1"/>
  <c r="AE225" i="37" s="1"/>
  <c r="R52" i="55"/>
  <c r="S52" i="55" s="1"/>
  <c r="M88" i="48"/>
  <c r="N88" i="48" s="1"/>
  <c r="U72" i="37" s="1"/>
  <c r="R88" i="48"/>
  <c r="S88" i="48" s="1"/>
  <c r="M30" i="43"/>
  <c r="N30" i="43" s="1"/>
  <c r="Y324" i="37" s="1"/>
  <c r="R30" i="43"/>
  <c r="S30" i="43" s="1"/>
  <c r="M56" i="52"/>
  <c r="N56" i="52" s="1"/>
  <c r="AB145" i="37" s="1"/>
  <c r="R56" i="52"/>
  <c r="S56" i="52" s="1"/>
  <c r="M62" i="46"/>
  <c r="N62" i="46" s="1"/>
  <c r="T43" i="37" s="1"/>
  <c r="R62" i="46"/>
  <c r="S62" i="46" s="1"/>
  <c r="M91" i="47"/>
  <c r="N91" i="47" s="1"/>
  <c r="S91" i="47"/>
  <c r="T91" i="47" s="1"/>
  <c r="M89" i="48"/>
  <c r="N89" i="48" s="1"/>
  <c r="U199" i="37" s="1"/>
  <c r="R89" i="48"/>
  <c r="S89" i="48" s="1"/>
  <c r="M61" i="45"/>
  <c r="N61" i="45" s="1"/>
  <c r="X160" i="37" s="1"/>
  <c r="R61" i="45"/>
  <c r="S61" i="45" s="1"/>
  <c r="M74" i="51"/>
  <c r="N74" i="51" s="1"/>
  <c r="AA202" i="37" s="1"/>
  <c r="R74" i="51"/>
  <c r="S74" i="51" s="1"/>
  <c r="M80" i="43"/>
  <c r="N80" i="43" s="1"/>
  <c r="Y322" i="37" s="1"/>
  <c r="R80" i="43"/>
  <c r="S80" i="43" s="1"/>
  <c r="M5" i="48"/>
  <c r="N5" i="48" s="1"/>
  <c r="U240" i="37" s="1"/>
  <c r="R5" i="48"/>
  <c r="S5" i="48" s="1"/>
  <c r="M78" i="49"/>
  <c r="N78" i="49" s="1"/>
  <c r="W96" i="37" s="1"/>
  <c r="R78" i="49"/>
  <c r="S78" i="49" s="1"/>
  <c r="M69" i="50"/>
  <c r="N69" i="50" s="1"/>
  <c r="Z45" i="37" s="1"/>
  <c r="R69" i="50"/>
  <c r="S69" i="50" s="1"/>
  <c r="M33" i="55"/>
  <c r="N33" i="55" s="1"/>
  <c r="AE133" i="37" s="1"/>
  <c r="R33" i="55"/>
  <c r="S33" i="55" s="1"/>
  <c r="M22" i="46"/>
  <c r="N22" i="46" s="1"/>
  <c r="T98" i="37" s="1"/>
  <c r="R22" i="46"/>
  <c r="S22" i="46" s="1"/>
  <c r="M94" i="44"/>
  <c r="N94" i="44" s="1"/>
  <c r="V146" i="37" s="1"/>
  <c r="R94" i="44"/>
  <c r="S94" i="44" s="1"/>
  <c r="M93" i="43"/>
  <c r="N93" i="43" s="1"/>
  <c r="Y57" i="37" s="1"/>
  <c r="R93" i="43"/>
  <c r="S93" i="43" s="1"/>
  <c r="M69" i="54"/>
  <c r="N69" i="54" s="1"/>
  <c r="AD45" i="37" s="1"/>
  <c r="R69" i="54"/>
  <c r="S69" i="54" s="1"/>
  <c r="M6" i="46"/>
  <c r="N6" i="46" s="1"/>
  <c r="R6" i="46"/>
  <c r="S6" i="46" s="1"/>
  <c r="M78" i="44"/>
  <c r="N78" i="44" s="1"/>
  <c r="V96" i="37" s="1"/>
  <c r="R78" i="44"/>
  <c r="S78" i="44" s="1"/>
  <c r="M94" i="43"/>
  <c r="N94" i="43" s="1"/>
  <c r="Y146" i="37" s="1"/>
  <c r="R94" i="43"/>
  <c r="S94" i="43" s="1"/>
  <c r="M70" i="54"/>
  <c r="N70" i="54" s="1"/>
  <c r="AD37" i="37" s="1"/>
  <c r="R70" i="54"/>
  <c r="S70" i="54" s="1"/>
  <c r="M75" i="46"/>
  <c r="N75" i="46" s="1"/>
  <c r="T70" i="37" s="1"/>
  <c r="R75" i="46"/>
  <c r="S75" i="46" s="1"/>
  <c r="M81" i="49"/>
  <c r="N81" i="49" s="1"/>
  <c r="W298" i="37" s="1"/>
  <c r="R81" i="49"/>
  <c r="S81" i="49" s="1"/>
  <c r="M14" i="51"/>
  <c r="N14" i="51" s="1"/>
  <c r="AA163" i="37" s="1"/>
  <c r="R14" i="51"/>
  <c r="S14" i="51" s="1"/>
  <c r="M4" i="56"/>
  <c r="N4" i="56" s="1"/>
  <c r="AF55" i="37" s="1"/>
  <c r="R4" i="56"/>
  <c r="S4" i="56" s="1"/>
  <c r="M9" i="48"/>
  <c r="N9" i="48" s="1"/>
  <c r="U228" i="37" s="1"/>
  <c r="R9" i="48"/>
  <c r="S9" i="48" s="1"/>
  <c r="M32" i="45"/>
  <c r="N32" i="45" s="1"/>
  <c r="X6" i="37" s="1"/>
  <c r="R32" i="45"/>
  <c r="S32" i="45" s="1"/>
  <c r="M80" i="51"/>
  <c r="N80" i="51" s="1"/>
  <c r="AA322" i="37" s="1"/>
  <c r="R80" i="51"/>
  <c r="S80" i="51" s="1"/>
  <c r="M10" i="46"/>
  <c r="N10" i="46" s="1"/>
  <c r="R10" i="46"/>
  <c r="S10" i="46" s="1"/>
  <c r="M84" i="47"/>
  <c r="N84" i="47" s="1"/>
  <c r="S194" i="37" s="1"/>
  <c r="S84" i="47"/>
  <c r="T84" i="47" s="1"/>
  <c r="M96" i="48"/>
  <c r="N96" i="48" s="1"/>
  <c r="R96" i="48"/>
  <c r="S96" i="48" s="1"/>
  <c r="M20" i="43"/>
  <c r="N20" i="43" s="1"/>
  <c r="Y112" i="37" s="1"/>
  <c r="R20" i="43"/>
  <c r="S20" i="43" s="1"/>
  <c r="M5" i="54"/>
  <c r="N5" i="54" s="1"/>
  <c r="R5" i="54"/>
  <c r="S5" i="54" s="1"/>
  <c r="M62" i="70"/>
  <c r="N62" i="70" s="1"/>
  <c r="AG43" i="37" s="1"/>
  <c r="R62" i="70"/>
  <c r="S62" i="70" s="1"/>
  <c r="M32" i="70"/>
  <c r="N32" i="70" s="1"/>
  <c r="AG6" i="37" s="1"/>
  <c r="R32" i="70"/>
  <c r="S32" i="70" s="1"/>
  <c r="M18" i="70"/>
  <c r="N18" i="70" s="1"/>
  <c r="AG36" i="37" s="1"/>
  <c r="R18" i="70"/>
  <c r="S18" i="70" s="1"/>
  <c r="M51" i="46"/>
  <c r="N51" i="46" s="1"/>
  <c r="T238" i="37" s="1"/>
  <c r="R51" i="46"/>
  <c r="S51" i="46" s="1"/>
  <c r="M23" i="49"/>
  <c r="N23" i="49" s="1"/>
  <c r="W187" i="37" s="1"/>
  <c r="R23" i="49"/>
  <c r="S23" i="49" s="1"/>
  <c r="M11" i="50"/>
  <c r="N11" i="50" s="1"/>
  <c r="Z31" i="37" s="1"/>
  <c r="R11" i="50"/>
  <c r="S11" i="50" s="1"/>
  <c r="M83" i="52"/>
  <c r="N83" i="52" s="1"/>
  <c r="AB164" i="37" s="1"/>
  <c r="AI164" i="37" s="1"/>
  <c r="R83" i="52"/>
  <c r="S83" i="52" s="1"/>
  <c r="M55" i="56"/>
  <c r="N55" i="56" s="1"/>
  <c r="AF132" i="37" s="1"/>
  <c r="R55" i="56"/>
  <c r="S55" i="56" s="1"/>
  <c r="M4" i="52"/>
  <c r="N4" i="52" s="1"/>
  <c r="AB55" i="37" s="1"/>
  <c r="AI55" i="37" s="1"/>
  <c r="R4" i="52"/>
  <c r="S4" i="52" s="1"/>
  <c r="M76" i="55"/>
  <c r="N76" i="55" s="1"/>
  <c r="AE107" i="37" s="1"/>
  <c r="R76" i="55"/>
  <c r="S76" i="55" s="1"/>
  <c r="M49" i="43"/>
  <c r="N49" i="43" s="1"/>
  <c r="Y15" i="37" s="1"/>
  <c r="R49" i="43"/>
  <c r="S49" i="43" s="1"/>
  <c r="M21" i="52"/>
  <c r="N21" i="52" s="1"/>
  <c r="AB205" i="37" s="1"/>
  <c r="AI205" i="37" s="1"/>
  <c r="R21" i="52"/>
  <c r="S21" i="52" s="1"/>
  <c r="M9" i="56"/>
  <c r="N9" i="56" s="1"/>
  <c r="AF228" i="37" s="1"/>
  <c r="R9" i="56"/>
  <c r="S9" i="56" s="1"/>
  <c r="M66" i="54"/>
  <c r="N66" i="54" s="1"/>
  <c r="AD91" i="37" s="1"/>
  <c r="R66" i="54"/>
  <c r="S66" i="54" s="1"/>
  <c r="M38" i="70"/>
  <c r="N38" i="70" s="1"/>
  <c r="AG40" i="37" s="1"/>
  <c r="R38" i="70"/>
  <c r="S38" i="70" s="1"/>
  <c r="M92" i="56"/>
  <c r="N92" i="56" s="1"/>
  <c r="AF106" i="37" s="1"/>
  <c r="R92" i="56"/>
  <c r="S92" i="56" s="1"/>
  <c r="M89" i="70"/>
  <c r="N89" i="70" s="1"/>
  <c r="AG199" i="37" s="1"/>
  <c r="R89" i="70"/>
  <c r="S89" i="70" s="1"/>
  <c r="M87" i="43"/>
  <c r="N87" i="43" s="1"/>
  <c r="Y33" i="37" s="1"/>
  <c r="R87" i="43"/>
  <c r="S87" i="43" s="1"/>
  <c r="M75" i="52"/>
  <c r="N75" i="52" s="1"/>
  <c r="AB70" i="37" s="1"/>
  <c r="AI70" i="37" s="1"/>
  <c r="R75" i="52"/>
  <c r="S75" i="52" s="1"/>
  <c r="M63" i="56"/>
  <c r="N63" i="56" s="1"/>
  <c r="AF143" i="37" s="1"/>
  <c r="R63" i="56"/>
  <c r="S63" i="56" s="1"/>
  <c r="M60" i="70"/>
  <c r="N60" i="70" s="1"/>
  <c r="AG78" i="37" s="1"/>
  <c r="R60" i="70"/>
  <c r="S60" i="70" s="1"/>
  <c r="M14" i="48"/>
  <c r="N14" i="48" s="1"/>
  <c r="U163" i="37" s="1"/>
  <c r="R14" i="48"/>
  <c r="S14" i="48" s="1"/>
  <c r="M66" i="52"/>
  <c r="N66" i="52" s="1"/>
  <c r="AB91" i="37" s="1"/>
  <c r="R66" i="52"/>
  <c r="S66" i="52" s="1"/>
  <c r="M17" i="49"/>
  <c r="N17" i="49" s="1"/>
  <c r="W118" i="37" s="1"/>
  <c r="R17" i="49"/>
  <c r="S17" i="49" s="1"/>
  <c r="M30" i="48"/>
  <c r="N30" i="48" s="1"/>
  <c r="U324" i="37" s="1"/>
  <c r="R30" i="48"/>
  <c r="S30" i="48" s="1"/>
  <c r="M54" i="45"/>
  <c r="N54" i="45" s="1"/>
  <c r="X156" i="37" s="1"/>
  <c r="R54" i="45"/>
  <c r="S54" i="45" s="1"/>
  <c r="M6" i="52"/>
  <c r="N6" i="52" s="1"/>
  <c r="AB185" i="37" s="1"/>
  <c r="AI185" i="37" s="1"/>
  <c r="R6" i="52"/>
  <c r="S6" i="52" s="1"/>
  <c r="M65" i="52"/>
  <c r="N65" i="52" s="1"/>
  <c r="AB221" i="37" s="1"/>
  <c r="AI221" i="37" s="1"/>
  <c r="R65" i="52"/>
  <c r="S65" i="52" s="1"/>
  <c r="M47" i="46"/>
  <c r="N47" i="46" s="1"/>
  <c r="T165" i="37" s="1"/>
  <c r="R47" i="46"/>
  <c r="S47" i="46" s="1"/>
  <c r="M70" i="49"/>
  <c r="N70" i="49" s="1"/>
  <c r="W37" i="37" s="1"/>
  <c r="R70" i="49"/>
  <c r="S70" i="49" s="1"/>
  <c r="M81" i="50"/>
  <c r="N81" i="50" s="1"/>
  <c r="Z298" i="37" s="1"/>
  <c r="R81" i="50"/>
  <c r="S81" i="50" s="1"/>
  <c r="M69" i="55"/>
  <c r="N69" i="55" s="1"/>
  <c r="AE45" i="37" s="1"/>
  <c r="R69" i="55"/>
  <c r="S69" i="55" s="1"/>
  <c r="M67" i="48"/>
  <c r="N67" i="48" s="1"/>
  <c r="U188" i="37" s="1"/>
  <c r="R67" i="48"/>
  <c r="S67" i="48" s="1"/>
  <c r="M90" i="45"/>
  <c r="N90" i="45" s="1"/>
  <c r="X252" i="37" s="1"/>
  <c r="R90" i="45"/>
  <c r="S90" i="45" s="1"/>
  <c r="M49" i="52"/>
  <c r="N49" i="52" s="1"/>
  <c r="R49" i="52"/>
  <c r="S49" i="52" s="1"/>
  <c r="M34" i="45"/>
  <c r="N34" i="45" s="1"/>
  <c r="X66" i="37" s="1"/>
  <c r="R34" i="45"/>
  <c r="S34" i="45" s="1"/>
  <c r="M27" i="47"/>
  <c r="N27" i="47" s="1"/>
  <c r="S46" i="37" s="1"/>
  <c r="S27" i="47"/>
  <c r="T27" i="47" s="1"/>
  <c r="M87" i="44"/>
  <c r="N87" i="44" s="1"/>
  <c r="V33" i="37" s="1"/>
  <c r="R87" i="44"/>
  <c r="S87" i="44" s="1"/>
  <c r="M67" i="43"/>
  <c r="N67" i="43" s="1"/>
  <c r="Y188" i="37" s="1"/>
  <c r="R67" i="43"/>
  <c r="S67" i="43" s="1"/>
  <c r="M12" i="54"/>
  <c r="N12" i="54" s="1"/>
  <c r="R12" i="54"/>
  <c r="S12" i="54" s="1"/>
  <c r="M14" i="46"/>
  <c r="N14" i="46" s="1"/>
  <c r="T163" i="37" s="1"/>
  <c r="R14" i="46"/>
  <c r="S14" i="46" s="1"/>
  <c r="M52" i="48"/>
  <c r="N52" i="48" s="1"/>
  <c r="U225" i="37" s="1"/>
  <c r="R52" i="48"/>
  <c r="S52" i="48" s="1"/>
  <c r="M41" i="45"/>
  <c r="N41" i="45" s="1"/>
  <c r="X247" i="37" s="1"/>
  <c r="R41" i="45"/>
  <c r="S41" i="45" s="1"/>
  <c r="M48" i="51"/>
  <c r="N48" i="51" s="1"/>
  <c r="AA89" i="37" s="1"/>
  <c r="R48" i="51"/>
  <c r="S48" i="51" s="1"/>
  <c r="M19" i="56"/>
  <c r="N19" i="56" s="1"/>
  <c r="AF92" i="37" s="1"/>
  <c r="R19" i="56"/>
  <c r="S19" i="56" s="1"/>
  <c r="M36" i="48"/>
  <c r="N36" i="48" s="1"/>
  <c r="U21" i="37" s="1"/>
  <c r="R36" i="48"/>
  <c r="S36" i="48" s="1"/>
  <c r="M8" i="45"/>
  <c r="N8" i="45" s="1"/>
  <c r="X27" i="37" s="1"/>
  <c r="R8" i="45"/>
  <c r="S8" i="45" s="1"/>
  <c r="M5" i="51"/>
  <c r="N5" i="51" s="1"/>
  <c r="AA240" i="37" s="1"/>
  <c r="R5" i="51"/>
  <c r="S5" i="51" s="1"/>
  <c r="M73" i="55"/>
  <c r="N73" i="55" s="1"/>
  <c r="AE152" i="37" s="1"/>
  <c r="R73" i="55"/>
  <c r="S73" i="55" s="1"/>
  <c r="M22" i="44"/>
  <c r="N22" i="44" s="1"/>
  <c r="V98" i="37" s="1"/>
  <c r="R22" i="44"/>
  <c r="S22" i="44" s="1"/>
  <c r="M51" i="43"/>
  <c r="N51" i="43" s="1"/>
  <c r="R51" i="43"/>
  <c r="S51" i="43" s="1"/>
  <c r="M77" i="52"/>
  <c r="N77" i="52" s="1"/>
  <c r="AB61" i="37" s="1"/>
  <c r="AI61" i="37" s="1"/>
  <c r="R77" i="52"/>
  <c r="S77" i="52" s="1"/>
  <c r="M93" i="47"/>
  <c r="N93" i="47" s="1"/>
  <c r="S93" i="47"/>
  <c r="T93" i="47" s="1"/>
  <c r="M74" i="47"/>
  <c r="N74" i="47" s="1"/>
  <c r="S202" i="37" s="1"/>
  <c r="S74" i="47"/>
  <c r="T74" i="47" s="1"/>
  <c r="M6" i="44"/>
  <c r="N6" i="44" s="1"/>
  <c r="R6" i="44"/>
  <c r="S6" i="44" s="1"/>
  <c r="M78" i="45"/>
  <c r="N78" i="45" s="1"/>
  <c r="X96" i="37" s="1"/>
  <c r="R78" i="45"/>
  <c r="S78" i="45" s="1"/>
  <c r="M94" i="51"/>
  <c r="N94" i="51" s="1"/>
  <c r="AA146" i="37" s="1"/>
  <c r="R94" i="51"/>
  <c r="S94" i="51" s="1"/>
  <c r="M6" i="54"/>
  <c r="N6" i="54" s="1"/>
  <c r="R6" i="54"/>
  <c r="S6" i="54" s="1"/>
  <c r="M22" i="48"/>
  <c r="N22" i="48" s="1"/>
  <c r="U98" i="37" s="1"/>
  <c r="R22" i="48"/>
  <c r="S22" i="48" s="1"/>
  <c r="M95" i="49"/>
  <c r="N95" i="49" s="1"/>
  <c r="W220" i="37" s="1"/>
  <c r="R95" i="49"/>
  <c r="S95" i="49" s="1"/>
  <c r="M89" i="50"/>
  <c r="N89" i="50" s="1"/>
  <c r="Z199" i="37" s="1"/>
  <c r="R89" i="50"/>
  <c r="S89" i="50" s="1"/>
  <c r="M55" i="55"/>
  <c r="N55" i="55" s="1"/>
  <c r="AE132" i="37" s="1"/>
  <c r="R55" i="55"/>
  <c r="S55" i="55" s="1"/>
  <c r="M39" i="46"/>
  <c r="N39" i="46" s="1"/>
  <c r="T54" i="37" s="1"/>
  <c r="R39" i="46"/>
  <c r="S39" i="46" s="1"/>
  <c r="M11" i="49"/>
  <c r="N11" i="49" s="1"/>
  <c r="W31" i="37" s="1"/>
  <c r="R11" i="49"/>
  <c r="S11" i="49" s="1"/>
  <c r="M10" i="50"/>
  <c r="N10" i="50" s="1"/>
  <c r="R10" i="50"/>
  <c r="S10" i="50" s="1"/>
  <c r="M91" i="54"/>
  <c r="N91" i="54" s="1"/>
  <c r="R91" i="54"/>
  <c r="S91" i="54" s="1"/>
  <c r="M23" i="46"/>
  <c r="N23" i="46" s="1"/>
  <c r="T187" i="37" s="1"/>
  <c r="R23" i="46"/>
  <c r="S23" i="46" s="1"/>
  <c r="M95" i="44"/>
  <c r="N95" i="44" s="1"/>
  <c r="V220" i="37" s="1"/>
  <c r="R95" i="44"/>
  <c r="S95" i="44" s="1"/>
  <c r="M12" i="50"/>
  <c r="N12" i="50" s="1"/>
  <c r="R12" i="50"/>
  <c r="S12" i="50" s="1"/>
  <c r="M92" i="54"/>
  <c r="N92" i="54" s="1"/>
  <c r="AD106" i="37" s="1"/>
  <c r="R92" i="54"/>
  <c r="S92" i="54" s="1"/>
  <c r="M92" i="46"/>
  <c r="N92" i="46" s="1"/>
  <c r="T106" i="37" s="1"/>
  <c r="R92" i="46"/>
  <c r="S92" i="46" s="1"/>
  <c r="M14" i="45"/>
  <c r="N14" i="45" s="1"/>
  <c r="X163" i="37" s="1"/>
  <c r="R14" i="45"/>
  <c r="S14" i="45" s="1"/>
  <c r="M35" i="51"/>
  <c r="N35" i="51" s="1"/>
  <c r="AA103" i="37" s="1"/>
  <c r="R35" i="51"/>
  <c r="S35" i="51" s="1"/>
  <c r="M32" i="56"/>
  <c r="N32" i="56" s="1"/>
  <c r="AF6" i="37" s="1"/>
  <c r="R32" i="56"/>
  <c r="S32" i="56" s="1"/>
  <c r="M43" i="48"/>
  <c r="N43" i="48" s="1"/>
  <c r="U84" i="37" s="1"/>
  <c r="R43" i="48"/>
  <c r="S43" i="48" s="1"/>
  <c r="M49" i="45"/>
  <c r="N49" i="45" s="1"/>
  <c r="X15" i="37" s="1"/>
  <c r="R49" i="45"/>
  <c r="S49" i="45" s="1"/>
  <c r="M22" i="52"/>
  <c r="N22" i="52" s="1"/>
  <c r="AB98" i="37" s="1"/>
  <c r="AI98" i="37" s="1"/>
  <c r="R22" i="52"/>
  <c r="S22" i="52" s="1"/>
  <c r="M80" i="48"/>
  <c r="N80" i="48" s="1"/>
  <c r="U322" i="37" s="1"/>
  <c r="R80" i="48"/>
  <c r="S80" i="48" s="1"/>
  <c r="M67" i="47"/>
  <c r="N67" i="47" s="1"/>
  <c r="S188" i="37" s="1"/>
  <c r="S67" i="47"/>
  <c r="T67" i="47" s="1"/>
  <c r="M13" i="44"/>
  <c r="N13" i="44" s="1"/>
  <c r="R13" i="44"/>
  <c r="S13" i="44" s="1"/>
  <c r="M40" i="43"/>
  <c r="N40" i="43" s="1"/>
  <c r="Y137" i="37" s="1"/>
  <c r="R40" i="43"/>
  <c r="S40" i="43" s="1"/>
  <c r="M27" i="54"/>
  <c r="N27" i="54" s="1"/>
  <c r="AD46" i="37" s="1"/>
  <c r="R27" i="54"/>
  <c r="S27" i="54" s="1"/>
  <c r="M78" i="70"/>
  <c r="N78" i="70" s="1"/>
  <c r="AG96" i="37" s="1"/>
  <c r="R78" i="70"/>
  <c r="S78" i="70" s="1"/>
  <c r="M48" i="70"/>
  <c r="N48" i="70" s="1"/>
  <c r="AG89" i="37" s="1"/>
  <c r="R48" i="70"/>
  <c r="S48" i="70" s="1"/>
  <c r="M34" i="70"/>
  <c r="N34" i="70" s="1"/>
  <c r="AG66" i="37" s="1"/>
  <c r="R34" i="70"/>
  <c r="S34" i="70" s="1"/>
  <c r="M67" i="46"/>
  <c r="N67" i="46" s="1"/>
  <c r="T188" i="37" s="1"/>
  <c r="R67" i="46"/>
  <c r="S67" i="46" s="1"/>
  <c r="M39" i="49"/>
  <c r="N39" i="49" s="1"/>
  <c r="W54" i="37" s="1"/>
  <c r="R39" i="49"/>
  <c r="S39" i="49" s="1"/>
  <c r="M27" i="50"/>
  <c r="N27" i="50" s="1"/>
  <c r="Z46" i="37" s="1"/>
  <c r="R27" i="50"/>
  <c r="S27" i="50" s="1"/>
  <c r="M15" i="54"/>
  <c r="N15" i="54" s="1"/>
  <c r="AD135" i="37" s="1"/>
  <c r="R15" i="54"/>
  <c r="S15" i="54" s="1"/>
  <c r="M71" i="56"/>
  <c r="N71" i="56" s="1"/>
  <c r="R71" i="56"/>
  <c r="S71" i="56" s="1"/>
  <c r="M20" i="52"/>
  <c r="N20" i="52" s="1"/>
  <c r="AB112" i="37" s="1"/>
  <c r="AI112" i="37" s="1"/>
  <c r="R20" i="52"/>
  <c r="S20" i="52" s="1"/>
  <c r="M92" i="55"/>
  <c r="N92" i="55" s="1"/>
  <c r="AE106" i="37" s="1"/>
  <c r="R92" i="55"/>
  <c r="S92" i="55" s="1"/>
  <c r="M65" i="43"/>
  <c r="N65" i="43" s="1"/>
  <c r="Y221" i="37" s="1"/>
  <c r="R65" i="43"/>
  <c r="S65" i="43" s="1"/>
  <c r="M37" i="52"/>
  <c r="N37" i="52" s="1"/>
  <c r="AB68" i="37" s="1"/>
  <c r="AI68" i="37" s="1"/>
  <c r="R37" i="52"/>
  <c r="S37" i="52" s="1"/>
  <c r="M25" i="56"/>
  <c r="N25" i="56" s="1"/>
  <c r="AF127" i="37" s="1"/>
  <c r="R25" i="56"/>
  <c r="S25" i="56" s="1"/>
  <c r="M82" i="54"/>
  <c r="N82" i="54" s="1"/>
  <c r="AD130" i="37" s="1"/>
  <c r="R82" i="54"/>
  <c r="S82" i="54" s="1"/>
  <c r="M54" i="70"/>
  <c r="N54" i="70" s="1"/>
  <c r="AG156" i="37" s="1"/>
  <c r="R54" i="70"/>
  <c r="S54" i="70" s="1"/>
  <c r="M8" i="70"/>
  <c r="N8" i="70" s="1"/>
  <c r="AG27" i="37" s="1"/>
  <c r="R8" i="70"/>
  <c r="S8" i="70" s="1"/>
  <c r="M46" i="56"/>
  <c r="N46" i="56" s="1"/>
  <c r="AF139" i="37" s="1"/>
  <c r="R46" i="56"/>
  <c r="S46" i="56" s="1"/>
  <c r="M19" i="50"/>
  <c r="N19" i="50" s="1"/>
  <c r="Z92" i="37" s="1"/>
  <c r="R19" i="50"/>
  <c r="S19" i="50" s="1"/>
  <c r="M91" i="52"/>
  <c r="N91" i="52" s="1"/>
  <c r="AB147" i="37" s="1"/>
  <c r="AI147" i="37" s="1"/>
  <c r="R91" i="52"/>
  <c r="S91" i="52" s="1"/>
  <c r="M79" i="56"/>
  <c r="N79" i="56" s="1"/>
  <c r="R79" i="56"/>
  <c r="S79" i="56" s="1"/>
  <c r="M76" i="70"/>
  <c r="N76" i="70" s="1"/>
  <c r="AG107" i="37" s="1"/>
  <c r="R76" i="70"/>
  <c r="S76" i="70" s="1"/>
  <c r="M65" i="51"/>
  <c r="N65" i="51" s="1"/>
  <c r="AA221" i="37" s="1"/>
  <c r="R65" i="51"/>
  <c r="S65" i="51" s="1"/>
  <c r="AK10" i="37"/>
  <c r="AK257" i="37"/>
  <c r="H232" i="37"/>
  <c r="M90" i="52"/>
  <c r="N90" i="52" s="1"/>
  <c r="AB252" i="37" s="1"/>
  <c r="AI252" i="37" s="1"/>
  <c r="R90" i="52"/>
  <c r="S90" i="52" s="1"/>
  <c r="M61" i="43"/>
  <c r="N61" i="43" s="1"/>
  <c r="Y160" i="37" s="1"/>
  <c r="R61" i="43"/>
  <c r="S61" i="43" s="1"/>
  <c r="M48" i="48"/>
  <c r="N48" i="48" s="1"/>
  <c r="U89" i="37" s="1"/>
  <c r="R48" i="48"/>
  <c r="S48" i="48" s="1"/>
  <c r="M71" i="45"/>
  <c r="N71" i="45" s="1"/>
  <c r="R71" i="45"/>
  <c r="S71" i="45" s="1"/>
  <c r="M26" i="52"/>
  <c r="N26" i="52" s="1"/>
  <c r="R26" i="52"/>
  <c r="S26" i="52" s="1"/>
  <c r="M64" i="48"/>
  <c r="N64" i="48" s="1"/>
  <c r="U23" i="37" s="1"/>
  <c r="R64" i="48"/>
  <c r="S64" i="48" s="1"/>
  <c r="M64" i="46"/>
  <c r="N64" i="46" s="1"/>
  <c r="T23" i="37" s="1"/>
  <c r="R64" i="46"/>
  <c r="S64" i="46" s="1"/>
  <c r="M88" i="49"/>
  <c r="N88" i="49" s="1"/>
  <c r="W72" i="37" s="1"/>
  <c r="R88" i="49"/>
  <c r="S88" i="49" s="1"/>
  <c r="M21" i="51"/>
  <c r="N21" i="51" s="1"/>
  <c r="AA205" i="37" s="1"/>
  <c r="R21" i="51"/>
  <c r="S21" i="51" s="1"/>
  <c r="M90" i="55"/>
  <c r="N90" i="55" s="1"/>
  <c r="AE252" i="37" s="1"/>
  <c r="R90" i="55"/>
  <c r="S90" i="55" s="1"/>
  <c r="M18" i="44"/>
  <c r="N18" i="44" s="1"/>
  <c r="V36" i="37" s="1"/>
  <c r="R18" i="44"/>
  <c r="S18" i="44" s="1"/>
  <c r="M6" i="43"/>
  <c r="N6" i="43" s="1"/>
  <c r="Y185" i="37" s="1"/>
  <c r="R6" i="43"/>
  <c r="S6" i="43" s="1"/>
  <c r="M72" i="52"/>
  <c r="N72" i="52" s="1"/>
  <c r="AB65" i="37" s="1"/>
  <c r="AI65" i="37" s="1"/>
  <c r="R72" i="52"/>
  <c r="S72" i="52" s="1"/>
  <c r="M87" i="55"/>
  <c r="N87" i="55" s="1"/>
  <c r="AE33" i="37" s="1"/>
  <c r="R87" i="55"/>
  <c r="S87" i="55" s="1"/>
  <c r="M10" i="47"/>
  <c r="N10" i="47" s="1"/>
  <c r="S10" i="47"/>
  <c r="T10" i="47" s="1"/>
  <c r="M4" i="49"/>
  <c r="N4" i="49" s="1"/>
  <c r="W55" i="37" s="1"/>
  <c r="R4" i="49"/>
  <c r="S4" i="49" s="1"/>
  <c r="M86" i="43"/>
  <c r="N86" i="43" s="1"/>
  <c r="Y255" i="37" s="1"/>
  <c r="R86" i="43"/>
  <c r="S86" i="43" s="1"/>
  <c r="M37" i="54"/>
  <c r="N37" i="54" s="1"/>
  <c r="AD68" i="37" s="1"/>
  <c r="R37" i="54"/>
  <c r="S37" i="54" s="1"/>
  <c r="M48" i="46"/>
  <c r="N48" i="46" s="1"/>
  <c r="T89" i="37" s="1"/>
  <c r="R48" i="46"/>
  <c r="S48" i="46" s="1"/>
  <c r="M69" i="48"/>
  <c r="N69" i="48" s="1"/>
  <c r="U45" i="37" s="1"/>
  <c r="R69" i="48"/>
  <c r="S69" i="48" s="1"/>
  <c r="M58" i="45"/>
  <c r="N58" i="45" s="1"/>
  <c r="X93" i="37" s="1"/>
  <c r="R58" i="45"/>
  <c r="S58" i="45" s="1"/>
  <c r="M68" i="51"/>
  <c r="N68" i="51" s="1"/>
  <c r="AA193" i="37" s="1"/>
  <c r="R68" i="51"/>
  <c r="S68" i="51" s="1"/>
  <c r="M15" i="47"/>
  <c r="N15" i="47" s="1"/>
  <c r="S135" i="37" s="1"/>
  <c r="S15" i="47"/>
  <c r="T15" i="47" s="1"/>
  <c r="M53" i="48"/>
  <c r="N53" i="48" s="1"/>
  <c r="U34" i="37" s="1"/>
  <c r="R53" i="48"/>
  <c r="S53" i="48" s="1"/>
  <c r="M25" i="45"/>
  <c r="N25" i="45" s="1"/>
  <c r="X127" i="37" s="1"/>
  <c r="R25" i="45"/>
  <c r="S25" i="45" s="1"/>
  <c r="M28" i="51"/>
  <c r="N28" i="51" s="1"/>
  <c r="AA48" i="37" s="1"/>
  <c r="R28" i="51"/>
  <c r="S28" i="51" s="1"/>
  <c r="M20" i="56"/>
  <c r="N20" i="56" s="1"/>
  <c r="AF112" i="37" s="1"/>
  <c r="R20" i="56"/>
  <c r="S20" i="56" s="1"/>
  <c r="M56" i="44"/>
  <c r="N56" i="44" s="1"/>
  <c r="V145" i="37" s="1"/>
  <c r="R56" i="44"/>
  <c r="S56" i="44" s="1"/>
  <c r="M70" i="43"/>
  <c r="N70" i="43" s="1"/>
  <c r="Y37" i="37" s="1"/>
  <c r="R70" i="43"/>
  <c r="S70" i="43" s="1"/>
  <c r="M19" i="54"/>
  <c r="N19" i="54" s="1"/>
  <c r="AD92" i="37" s="1"/>
  <c r="R19" i="54"/>
  <c r="S19" i="54" s="1"/>
  <c r="M42" i="47"/>
  <c r="N42" i="47" s="1"/>
  <c r="S29" i="37" s="1"/>
  <c r="S42" i="47"/>
  <c r="T42" i="47" s="1"/>
  <c r="M57" i="47"/>
  <c r="N57" i="47" s="1"/>
  <c r="S244" i="37" s="1"/>
  <c r="S57" i="47"/>
  <c r="T57" i="47" s="1"/>
  <c r="M23" i="44"/>
  <c r="N23" i="44" s="1"/>
  <c r="R23" i="44"/>
  <c r="S23" i="44" s="1"/>
  <c r="M95" i="45"/>
  <c r="N95" i="45" s="1"/>
  <c r="R95" i="45"/>
  <c r="S95" i="45" s="1"/>
  <c r="M14" i="52"/>
  <c r="N14" i="52" s="1"/>
  <c r="R14" i="52"/>
  <c r="S14" i="52" s="1"/>
  <c r="M82" i="47"/>
  <c r="N82" i="47" s="1"/>
  <c r="S82" i="47"/>
  <c r="T82" i="47" s="1"/>
  <c r="M39" i="48"/>
  <c r="N39" i="48" s="1"/>
  <c r="R39" i="48"/>
  <c r="S39" i="48" s="1"/>
  <c r="M11" i="45"/>
  <c r="N11" i="45" s="1"/>
  <c r="X31" i="37" s="1"/>
  <c r="R11" i="45"/>
  <c r="S11" i="45" s="1"/>
  <c r="M11" i="51"/>
  <c r="N11" i="51" s="1"/>
  <c r="AA31" i="37" s="1"/>
  <c r="R11" i="51"/>
  <c r="S11" i="51" s="1"/>
  <c r="M80" i="55"/>
  <c r="N80" i="55" s="1"/>
  <c r="AE322" i="37" s="1"/>
  <c r="R80" i="55"/>
  <c r="S80" i="55" s="1"/>
  <c r="M56" i="46"/>
  <c r="N56" i="46" s="1"/>
  <c r="T145" i="37" s="1"/>
  <c r="R56" i="46"/>
  <c r="S56" i="46" s="1"/>
  <c r="M28" i="49"/>
  <c r="N28" i="49" s="1"/>
  <c r="W48" i="37" s="1"/>
  <c r="R28" i="49"/>
  <c r="S28" i="49" s="1"/>
  <c r="M31" i="50"/>
  <c r="N31" i="50" s="1"/>
  <c r="Z14" i="37" s="1"/>
  <c r="R31" i="50"/>
  <c r="S31" i="50" s="1"/>
  <c r="M9" i="55"/>
  <c r="N9" i="55" s="1"/>
  <c r="AE228" i="37" s="1"/>
  <c r="R9" i="55"/>
  <c r="S9" i="55" s="1"/>
  <c r="M40" i="46"/>
  <c r="N40" i="46" s="1"/>
  <c r="T137" i="37" s="1"/>
  <c r="R40" i="46"/>
  <c r="S40" i="46" s="1"/>
  <c r="M12" i="49"/>
  <c r="N12" i="49" s="1"/>
  <c r="R12" i="49"/>
  <c r="S12" i="49" s="1"/>
  <c r="M32" i="50"/>
  <c r="N32" i="50" s="1"/>
  <c r="Z6" i="37" s="1"/>
  <c r="R32" i="50"/>
  <c r="S32" i="50" s="1"/>
  <c r="M10" i="55"/>
  <c r="N10" i="55" s="1"/>
  <c r="R10" i="55"/>
  <c r="S10" i="55" s="1"/>
  <c r="M8" i="48"/>
  <c r="N8" i="48" s="1"/>
  <c r="U27" i="37" s="1"/>
  <c r="R8" i="48"/>
  <c r="S8" i="48" s="1"/>
  <c r="M31" i="45"/>
  <c r="N31" i="45" s="1"/>
  <c r="X14" i="37" s="1"/>
  <c r="R31" i="45"/>
  <c r="S31" i="45" s="1"/>
  <c r="M58" i="51"/>
  <c r="N58" i="51" s="1"/>
  <c r="AA93" i="37" s="1"/>
  <c r="R58" i="51"/>
  <c r="S58" i="51" s="1"/>
  <c r="M44" i="46"/>
  <c r="N44" i="46" s="1"/>
  <c r="T206" i="37" s="1"/>
  <c r="R44" i="46"/>
  <c r="S44" i="46" s="1"/>
  <c r="M60" i="48"/>
  <c r="N60" i="48" s="1"/>
  <c r="U78" i="37" s="1"/>
  <c r="R60" i="48"/>
  <c r="S60" i="48" s="1"/>
  <c r="M66" i="45"/>
  <c r="N66" i="45" s="1"/>
  <c r="X91" i="37" s="1"/>
  <c r="R66" i="45"/>
  <c r="S66" i="45" s="1"/>
  <c r="M42" i="52"/>
  <c r="N42" i="52" s="1"/>
  <c r="AB29" i="37" s="1"/>
  <c r="AI29" i="37" s="1"/>
  <c r="R42" i="52"/>
  <c r="S42" i="52" s="1"/>
  <c r="M52" i="45"/>
  <c r="N52" i="45" s="1"/>
  <c r="X225" i="37" s="1"/>
  <c r="R52" i="45"/>
  <c r="S52" i="45" s="1"/>
  <c r="M50" i="47"/>
  <c r="N50" i="47" s="1"/>
  <c r="S150" i="37" s="1"/>
  <c r="S50" i="47"/>
  <c r="T50" i="47" s="1"/>
  <c r="M30" i="44"/>
  <c r="N30" i="44" s="1"/>
  <c r="V324" i="37" s="1"/>
  <c r="R30" i="44"/>
  <c r="S30" i="44" s="1"/>
  <c r="M59" i="43"/>
  <c r="N59" i="43" s="1"/>
  <c r="R59" i="43"/>
  <c r="S59" i="43" s="1"/>
  <c r="M52" i="54"/>
  <c r="N52" i="54" s="1"/>
  <c r="AD225" i="37" s="1"/>
  <c r="R52" i="54"/>
  <c r="S52" i="54" s="1"/>
  <c r="M94" i="70"/>
  <c r="N94" i="70" s="1"/>
  <c r="AG146" i="37" s="1"/>
  <c r="R94" i="70"/>
  <c r="S94" i="70" s="1"/>
  <c r="M64" i="70"/>
  <c r="N64" i="70" s="1"/>
  <c r="AG23" i="37" s="1"/>
  <c r="R64" i="70"/>
  <c r="S64" i="70" s="1"/>
  <c r="M50" i="70"/>
  <c r="N50" i="70" s="1"/>
  <c r="AG150" i="37" s="1"/>
  <c r="R50" i="70"/>
  <c r="S50" i="70" s="1"/>
  <c r="M83" i="46"/>
  <c r="N83" i="46" s="1"/>
  <c r="T164" i="37" s="1"/>
  <c r="R83" i="46"/>
  <c r="S83" i="46" s="1"/>
  <c r="M55" i="49"/>
  <c r="N55" i="49" s="1"/>
  <c r="W132" i="37" s="1"/>
  <c r="R55" i="49"/>
  <c r="S55" i="49" s="1"/>
  <c r="M43" i="50"/>
  <c r="N43" i="50" s="1"/>
  <c r="Z84" i="37" s="1"/>
  <c r="R43" i="50"/>
  <c r="S43" i="50" s="1"/>
  <c r="M31" i="54"/>
  <c r="N31" i="54" s="1"/>
  <c r="AD14" i="37" s="1"/>
  <c r="R31" i="54"/>
  <c r="S31" i="54" s="1"/>
  <c r="M87" i="56"/>
  <c r="N87" i="56" s="1"/>
  <c r="AF33" i="37" s="1"/>
  <c r="R87" i="56"/>
  <c r="S87" i="56" s="1"/>
  <c r="M36" i="52"/>
  <c r="N36" i="52" s="1"/>
  <c r="AB21" i="37" s="1"/>
  <c r="AI21" i="37" s="1"/>
  <c r="R36" i="52"/>
  <c r="S36" i="52" s="1"/>
  <c r="M8" i="56"/>
  <c r="N8" i="56" s="1"/>
  <c r="AF27" i="37" s="1"/>
  <c r="R8" i="56"/>
  <c r="S8" i="56" s="1"/>
  <c r="M81" i="43"/>
  <c r="N81" i="43" s="1"/>
  <c r="Y298" i="37" s="1"/>
  <c r="R81" i="43"/>
  <c r="S81" i="43" s="1"/>
  <c r="M53" i="52"/>
  <c r="N53" i="52" s="1"/>
  <c r="AB34" i="37" s="1"/>
  <c r="AI34" i="37" s="1"/>
  <c r="R53" i="52"/>
  <c r="S53" i="52" s="1"/>
  <c r="M41" i="56"/>
  <c r="N41" i="56" s="1"/>
  <c r="AF247" i="37" s="1"/>
  <c r="R41" i="56"/>
  <c r="S41" i="56" s="1"/>
  <c r="M14" i="55"/>
  <c r="N14" i="55" s="1"/>
  <c r="AE163" i="37" s="1"/>
  <c r="R14" i="55"/>
  <c r="S14" i="55" s="1"/>
  <c r="M70" i="70"/>
  <c r="N70" i="70" s="1"/>
  <c r="AG37" i="37" s="1"/>
  <c r="R70" i="70"/>
  <c r="S70" i="70" s="1"/>
  <c r="M24" i="70"/>
  <c r="N24" i="70" s="1"/>
  <c r="R24" i="70"/>
  <c r="S24" i="70" s="1"/>
  <c r="M62" i="56"/>
  <c r="N62" i="56" s="1"/>
  <c r="AF43" i="37" s="1"/>
  <c r="R62" i="56"/>
  <c r="S62" i="56" s="1"/>
  <c r="M35" i="50"/>
  <c r="N35" i="50" s="1"/>
  <c r="Z103" i="37" s="1"/>
  <c r="R35" i="50"/>
  <c r="S35" i="50" s="1"/>
  <c r="M7" i="54"/>
  <c r="N7" i="54" s="1"/>
  <c r="AD77" i="37" s="1"/>
  <c r="R7" i="54"/>
  <c r="S7" i="54" s="1"/>
  <c r="M95" i="56"/>
  <c r="N95" i="56" s="1"/>
  <c r="AF220" i="37" s="1"/>
  <c r="R95" i="56"/>
  <c r="S95" i="56" s="1"/>
  <c r="M92" i="70"/>
  <c r="N92" i="70" s="1"/>
  <c r="AG106" i="37" s="1"/>
  <c r="R92" i="70"/>
  <c r="S92" i="70" s="1"/>
  <c r="M52" i="44"/>
  <c r="N52" i="44" s="1"/>
  <c r="V225" i="37" s="1"/>
  <c r="R52" i="44"/>
  <c r="S52" i="44" s="1"/>
  <c r="M8" i="54"/>
  <c r="N8" i="54" s="1"/>
  <c r="AD27" i="37" s="1"/>
  <c r="R8" i="54"/>
  <c r="S8" i="54" s="1"/>
  <c r="M57" i="50"/>
  <c r="N57" i="50" s="1"/>
  <c r="Z244" i="37" s="1"/>
  <c r="R57" i="50"/>
  <c r="S57" i="50" s="1"/>
  <c r="M65" i="48"/>
  <c r="N65" i="48" s="1"/>
  <c r="U221" i="37" s="1"/>
  <c r="R65" i="48"/>
  <c r="S65" i="48" s="1"/>
  <c r="M88" i="45"/>
  <c r="N88" i="45" s="1"/>
  <c r="X72" i="37" s="1"/>
  <c r="R88" i="45"/>
  <c r="S88" i="45" s="1"/>
  <c r="M47" i="52"/>
  <c r="N47" i="52" s="1"/>
  <c r="AB165" i="37" s="1"/>
  <c r="AI165" i="37" s="1"/>
  <c r="R47" i="52"/>
  <c r="S47" i="52" s="1"/>
  <c r="M49" i="44"/>
  <c r="N49" i="44" s="1"/>
  <c r="V15" i="37" s="1"/>
  <c r="R49" i="44"/>
  <c r="S49" i="44" s="1"/>
  <c r="M81" i="46"/>
  <c r="N81" i="46" s="1"/>
  <c r="T298" i="37" s="1"/>
  <c r="R81" i="46"/>
  <c r="S81" i="46" s="1"/>
  <c r="M4" i="45"/>
  <c r="N4" i="45" s="1"/>
  <c r="X55" i="37" s="1"/>
  <c r="R4" i="45"/>
  <c r="S4" i="45" s="1"/>
  <c r="M44" i="51"/>
  <c r="N44" i="51" s="1"/>
  <c r="AA206" i="37" s="1"/>
  <c r="R44" i="51"/>
  <c r="S44" i="51" s="1"/>
  <c r="M16" i="56"/>
  <c r="N16" i="56" s="1"/>
  <c r="AF148" i="37" s="1"/>
  <c r="R16" i="56"/>
  <c r="S16" i="56" s="1"/>
  <c r="M35" i="44"/>
  <c r="N35" i="44" s="1"/>
  <c r="V103" i="37" s="1"/>
  <c r="R35" i="44"/>
  <c r="S35" i="44" s="1"/>
  <c r="M26" i="43"/>
  <c r="N26" i="43" s="1"/>
  <c r="R26" i="43"/>
  <c r="S26" i="43" s="1"/>
  <c r="M94" i="52"/>
  <c r="N94" i="52" s="1"/>
  <c r="AB146" i="37" s="1"/>
  <c r="AI146" i="37" s="1"/>
  <c r="R94" i="52"/>
  <c r="S94" i="52" s="1"/>
  <c r="M14" i="47"/>
  <c r="N14" i="47" s="1"/>
  <c r="S163" i="37" s="1"/>
  <c r="S14" i="47"/>
  <c r="T14" i="47" s="1"/>
  <c r="M15" i="46"/>
  <c r="N15" i="46" s="1"/>
  <c r="T135" i="37" s="1"/>
  <c r="R15" i="46"/>
  <c r="S15" i="46" s="1"/>
  <c r="M21" i="49"/>
  <c r="N21" i="49" s="1"/>
  <c r="W205" i="37" s="1"/>
  <c r="R21" i="49"/>
  <c r="S21" i="49" s="1"/>
  <c r="M4" i="50"/>
  <c r="N4" i="50" s="1"/>
  <c r="Z55" i="37" s="1"/>
  <c r="R4" i="50"/>
  <c r="S4" i="50" s="1"/>
  <c r="M59" i="54"/>
  <c r="N59" i="54" s="1"/>
  <c r="R59" i="54"/>
  <c r="S59" i="54" s="1"/>
  <c r="M16" i="48"/>
  <c r="N16" i="48" s="1"/>
  <c r="U148" i="37" s="1"/>
  <c r="R16" i="48"/>
  <c r="S16" i="48" s="1"/>
  <c r="M86" i="48"/>
  <c r="N86" i="48" s="1"/>
  <c r="U255" i="37" s="1"/>
  <c r="R86" i="48"/>
  <c r="S86" i="48" s="1"/>
  <c r="M75" i="45"/>
  <c r="N75" i="45" s="1"/>
  <c r="X70" i="37" s="1"/>
  <c r="R75" i="45"/>
  <c r="S75" i="45" s="1"/>
  <c r="M91" i="51"/>
  <c r="N91" i="51" s="1"/>
  <c r="AA147" i="37" s="1"/>
  <c r="R91" i="51"/>
  <c r="S91" i="51" s="1"/>
  <c r="M14" i="44"/>
  <c r="N14" i="44" s="1"/>
  <c r="V163" i="37" s="1"/>
  <c r="R14" i="44"/>
  <c r="S14" i="44" s="1"/>
  <c r="M70" i="48"/>
  <c r="N70" i="48" s="1"/>
  <c r="U37" i="37" s="1"/>
  <c r="R70" i="48"/>
  <c r="S70" i="48" s="1"/>
  <c r="M42" i="45"/>
  <c r="N42" i="45" s="1"/>
  <c r="X29" i="37" s="1"/>
  <c r="R42" i="45"/>
  <c r="S42" i="45" s="1"/>
  <c r="M49" i="51"/>
  <c r="N49" i="51" s="1"/>
  <c r="AA15" i="37" s="1"/>
  <c r="R49" i="51"/>
  <c r="S49" i="51" s="1"/>
  <c r="M95" i="46"/>
  <c r="N95" i="46" s="1"/>
  <c r="R95" i="46"/>
  <c r="S95" i="46" s="1"/>
  <c r="M90" i="44"/>
  <c r="N90" i="44" s="1"/>
  <c r="V252" i="37" s="1"/>
  <c r="R90" i="44"/>
  <c r="S90" i="44" s="1"/>
  <c r="M90" i="43"/>
  <c r="N90" i="43" s="1"/>
  <c r="Y252" i="37" s="1"/>
  <c r="R90" i="43"/>
  <c r="S90" i="43" s="1"/>
  <c r="M41" i="54"/>
  <c r="N41" i="54" s="1"/>
  <c r="AD247" i="37" s="1"/>
  <c r="R41" i="54"/>
  <c r="S41" i="54" s="1"/>
  <c r="M92" i="47"/>
  <c r="N92" i="47" s="1"/>
  <c r="S106" i="37" s="1"/>
  <c r="S92" i="47"/>
  <c r="T92" i="47" s="1"/>
  <c r="M40" i="47"/>
  <c r="N40" i="47" s="1"/>
  <c r="S137" i="37" s="1"/>
  <c r="S40" i="47"/>
  <c r="T40" i="47" s="1"/>
  <c r="M40" i="44"/>
  <c r="N40" i="44" s="1"/>
  <c r="V137" i="37" s="1"/>
  <c r="R40" i="44"/>
  <c r="S40" i="44" s="1"/>
  <c r="M12" i="43"/>
  <c r="N12" i="43" s="1"/>
  <c r="R12" i="43"/>
  <c r="S12" i="43" s="1"/>
  <c r="M34" i="52"/>
  <c r="N34" i="52" s="1"/>
  <c r="AB66" i="37" s="1"/>
  <c r="AI66" i="37" s="1"/>
  <c r="R34" i="52"/>
  <c r="S34" i="52" s="1"/>
  <c r="M31" i="47"/>
  <c r="N31" i="47" s="1"/>
  <c r="S14" i="37" s="1"/>
  <c r="S31" i="47"/>
  <c r="T31" i="47" s="1"/>
  <c r="M56" i="48"/>
  <c r="N56" i="48" s="1"/>
  <c r="U145" i="37" s="1"/>
  <c r="R56" i="48"/>
  <c r="S56" i="48" s="1"/>
  <c r="M28" i="45"/>
  <c r="N28" i="45" s="1"/>
  <c r="X48" i="37" s="1"/>
  <c r="R28" i="45"/>
  <c r="S28" i="45" s="1"/>
  <c r="M32" i="51"/>
  <c r="N32" i="51" s="1"/>
  <c r="AA6" i="37" s="1"/>
  <c r="R32" i="51"/>
  <c r="S32" i="51" s="1"/>
  <c r="M28" i="56"/>
  <c r="N28" i="56" s="1"/>
  <c r="AF48" i="37" s="1"/>
  <c r="R28" i="56"/>
  <c r="S28" i="56" s="1"/>
  <c r="M73" i="46"/>
  <c r="N73" i="46" s="1"/>
  <c r="T152" i="37" s="1"/>
  <c r="R73" i="46"/>
  <c r="S73" i="46" s="1"/>
  <c r="M45" i="49"/>
  <c r="N45" i="49" s="1"/>
  <c r="W125" i="37" s="1"/>
  <c r="R45" i="49"/>
  <c r="S45" i="49" s="1"/>
  <c r="M50" i="50"/>
  <c r="N50" i="50" s="1"/>
  <c r="R50" i="50"/>
  <c r="S50" i="50" s="1"/>
  <c r="M34" i="55"/>
  <c r="N34" i="55" s="1"/>
  <c r="AE66" i="37" s="1"/>
  <c r="R34" i="55"/>
  <c r="S34" i="55" s="1"/>
  <c r="M57" i="46"/>
  <c r="N57" i="46" s="1"/>
  <c r="T244" i="37" s="1"/>
  <c r="R57" i="46"/>
  <c r="S57" i="46" s="1"/>
  <c r="M29" i="49"/>
  <c r="N29" i="49" s="1"/>
  <c r="W184" i="37" s="1"/>
  <c r="R29" i="49"/>
  <c r="S29" i="49" s="1"/>
  <c r="M52" i="50"/>
  <c r="N52" i="50" s="1"/>
  <c r="Z225" i="37" s="1"/>
  <c r="R52" i="50"/>
  <c r="S52" i="50" s="1"/>
  <c r="M36" i="55"/>
  <c r="N36" i="55" s="1"/>
  <c r="AE21" i="37" s="1"/>
  <c r="R36" i="55"/>
  <c r="S36" i="55" s="1"/>
  <c r="M59" i="48"/>
  <c r="N59" i="48" s="1"/>
  <c r="R59" i="48"/>
  <c r="S59" i="48" s="1"/>
  <c r="M48" i="45"/>
  <c r="N48" i="45" s="1"/>
  <c r="X89" i="37" s="1"/>
  <c r="R48" i="45"/>
  <c r="S48" i="45" s="1"/>
  <c r="M78" i="51"/>
  <c r="N78" i="51" s="1"/>
  <c r="AA96" i="37" s="1"/>
  <c r="R78" i="51"/>
  <c r="S78" i="51" s="1"/>
  <c r="M17" i="45"/>
  <c r="N17" i="45" s="1"/>
  <c r="X118" i="37" s="1"/>
  <c r="R17" i="45"/>
  <c r="S17" i="45" s="1"/>
  <c r="M77" i="48"/>
  <c r="N77" i="48" s="1"/>
  <c r="U61" i="37" s="1"/>
  <c r="R77" i="48"/>
  <c r="S77" i="48" s="1"/>
  <c r="M84" i="45"/>
  <c r="N84" i="45" s="1"/>
  <c r="R84" i="45"/>
  <c r="S84" i="45" s="1"/>
  <c r="M63" i="52"/>
  <c r="N63" i="52" s="1"/>
  <c r="AB143" i="37" s="1"/>
  <c r="AI143" i="37" s="1"/>
  <c r="R63" i="52"/>
  <c r="S63" i="52" s="1"/>
  <c r="M24" i="52"/>
  <c r="N24" i="52" s="1"/>
  <c r="R24" i="52"/>
  <c r="S24" i="52" s="1"/>
  <c r="M33" i="47"/>
  <c r="N33" i="47" s="1"/>
  <c r="S133" i="37" s="1"/>
  <c r="S33" i="47"/>
  <c r="T33" i="47" s="1"/>
  <c r="M47" i="44"/>
  <c r="N47" i="44" s="1"/>
  <c r="V165" i="37" s="1"/>
  <c r="R47" i="44"/>
  <c r="S47" i="44" s="1"/>
  <c r="M78" i="43"/>
  <c r="N78" i="43" s="1"/>
  <c r="Y96" i="37" s="1"/>
  <c r="R78" i="43"/>
  <c r="S78" i="43" s="1"/>
  <c r="M74" i="54"/>
  <c r="N74" i="54" s="1"/>
  <c r="AD202" i="37" s="1"/>
  <c r="R74" i="54"/>
  <c r="S74" i="54" s="1"/>
  <c r="M51" i="56"/>
  <c r="N51" i="56" s="1"/>
  <c r="AF238" i="37" s="1"/>
  <c r="R51" i="56"/>
  <c r="S51" i="56" s="1"/>
  <c r="M80" i="70"/>
  <c r="N80" i="70" s="1"/>
  <c r="AG322" i="37" s="1"/>
  <c r="R80" i="70"/>
  <c r="S80" i="70" s="1"/>
  <c r="M66" i="70"/>
  <c r="N66" i="70" s="1"/>
  <c r="AG91" i="37" s="1"/>
  <c r="R66" i="70"/>
  <c r="S66" i="70" s="1"/>
  <c r="M15" i="48"/>
  <c r="N15" i="48" s="1"/>
  <c r="U135" i="37" s="1"/>
  <c r="R15" i="48"/>
  <c r="S15" i="48" s="1"/>
  <c r="M71" i="49"/>
  <c r="N71" i="49" s="1"/>
  <c r="R71" i="49"/>
  <c r="S71" i="49" s="1"/>
  <c r="M59" i="50"/>
  <c r="N59" i="50" s="1"/>
  <c r="R59" i="50"/>
  <c r="S59" i="50" s="1"/>
  <c r="M47" i="54"/>
  <c r="N47" i="54" s="1"/>
  <c r="AD165" i="37" s="1"/>
  <c r="R47" i="54"/>
  <c r="S47" i="54" s="1"/>
  <c r="M19" i="70"/>
  <c r="N19" i="70" s="1"/>
  <c r="AG92" i="37" s="1"/>
  <c r="R19" i="70"/>
  <c r="S19" i="70" s="1"/>
  <c r="M52" i="52"/>
  <c r="N52" i="52" s="1"/>
  <c r="AB225" i="37" s="1"/>
  <c r="R52" i="52"/>
  <c r="S52" i="52" s="1"/>
  <c r="M24" i="56"/>
  <c r="N24" i="56" s="1"/>
  <c r="R24" i="56"/>
  <c r="S24" i="56" s="1"/>
  <c r="M13" i="50"/>
  <c r="N13" i="50" s="1"/>
  <c r="R13" i="50"/>
  <c r="S13" i="50" s="1"/>
  <c r="M69" i="52"/>
  <c r="N69" i="52" s="1"/>
  <c r="R69" i="52"/>
  <c r="S69" i="52" s="1"/>
  <c r="M57" i="56"/>
  <c r="N57" i="56" s="1"/>
  <c r="AF244" i="37" s="1"/>
  <c r="R57" i="56"/>
  <c r="S57" i="56" s="1"/>
  <c r="M30" i="55"/>
  <c r="N30" i="55" s="1"/>
  <c r="AE324" i="37" s="1"/>
  <c r="R30" i="55"/>
  <c r="S30" i="55" s="1"/>
  <c r="M86" i="70"/>
  <c r="N86" i="70" s="1"/>
  <c r="AG255" i="37" s="1"/>
  <c r="R86" i="70"/>
  <c r="S86" i="70" s="1"/>
  <c r="M40" i="70"/>
  <c r="N40" i="70" s="1"/>
  <c r="AG137" i="37" s="1"/>
  <c r="R40" i="70"/>
  <c r="S40" i="70" s="1"/>
  <c r="M78" i="56"/>
  <c r="N78" i="56" s="1"/>
  <c r="AF96" i="37" s="1"/>
  <c r="R78" i="56"/>
  <c r="S78" i="56" s="1"/>
  <c r="M51" i="50"/>
  <c r="N51" i="50" s="1"/>
  <c r="R51" i="50"/>
  <c r="S51" i="50" s="1"/>
  <c r="M23" i="54"/>
  <c r="N23" i="54" s="1"/>
  <c r="AD187" i="37" s="1"/>
  <c r="R23" i="54"/>
  <c r="S23" i="54" s="1"/>
  <c r="M11" i="70"/>
  <c r="N11" i="70" s="1"/>
  <c r="AG31" i="37" s="1"/>
  <c r="R11" i="70"/>
  <c r="S11" i="70" s="1"/>
  <c r="M49" i="56"/>
  <c r="N49" i="56" s="1"/>
  <c r="AF15" i="37" s="1"/>
  <c r="R49" i="56"/>
  <c r="S49" i="56" s="1"/>
  <c r="M82" i="48"/>
  <c r="N82" i="48" s="1"/>
  <c r="U130" i="37" s="1"/>
  <c r="R82" i="48"/>
  <c r="S82" i="48" s="1"/>
  <c r="M70" i="52"/>
  <c r="N70" i="52" s="1"/>
  <c r="AB37" i="37" s="1"/>
  <c r="AI37" i="37" s="1"/>
  <c r="R70" i="52"/>
  <c r="S70" i="52" s="1"/>
  <c r="M11" i="54"/>
  <c r="N11" i="54" s="1"/>
  <c r="AD31" i="37" s="1"/>
  <c r="R11" i="54"/>
  <c r="S11" i="54" s="1"/>
  <c r="M23" i="50"/>
  <c r="N23" i="50" s="1"/>
  <c r="R23" i="50"/>
  <c r="S23" i="50" s="1"/>
  <c r="M62" i="54"/>
  <c r="N62" i="54" s="1"/>
  <c r="AD43" i="37" s="1"/>
  <c r="R62" i="54"/>
  <c r="S62" i="54" s="1"/>
  <c r="M57" i="44"/>
  <c r="N57" i="44" s="1"/>
  <c r="V244" i="37" s="1"/>
  <c r="R57" i="44"/>
  <c r="S57" i="44" s="1"/>
  <c r="M73" i="48"/>
  <c r="N73" i="48" s="1"/>
  <c r="U152" i="37" s="1"/>
  <c r="R73" i="48"/>
  <c r="S73" i="48" s="1"/>
  <c r="M90" i="46"/>
  <c r="N90" i="46" s="1"/>
  <c r="T252" i="37" s="1"/>
  <c r="R90" i="46"/>
  <c r="S90" i="46" s="1"/>
  <c r="M70" i="50"/>
  <c r="N70" i="50" s="1"/>
  <c r="Z37" i="37" s="1"/>
  <c r="R70" i="50"/>
  <c r="S70" i="50" s="1"/>
  <c r="M46" i="49"/>
  <c r="N46" i="49" s="1"/>
  <c r="W139" i="37" s="1"/>
  <c r="R46" i="49"/>
  <c r="S46" i="49" s="1"/>
  <c r="M57" i="55"/>
  <c r="N57" i="55" s="1"/>
  <c r="AE244" i="37" s="1"/>
  <c r="R57" i="55"/>
  <c r="S57" i="55" s="1"/>
  <c r="M18" i="52"/>
  <c r="N18" i="52" s="1"/>
  <c r="AB36" i="37" s="1"/>
  <c r="AI36" i="37" s="1"/>
  <c r="R18" i="52"/>
  <c r="S18" i="52" s="1"/>
  <c r="M82" i="70"/>
  <c r="N82" i="70" s="1"/>
  <c r="AG130" i="37" s="1"/>
  <c r="R82" i="70"/>
  <c r="S82" i="70" s="1"/>
  <c r="M31" i="48"/>
  <c r="N31" i="48" s="1"/>
  <c r="U14" i="37" s="1"/>
  <c r="R31" i="48"/>
  <c r="S31" i="48" s="1"/>
  <c r="M87" i="49"/>
  <c r="N87" i="49" s="1"/>
  <c r="W33" i="37" s="1"/>
  <c r="R87" i="49"/>
  <c r="S87" i="49" s="1"/>
  <c r="M75" i="50"/>
  <c r="N75" i="50" s="1"/>
  <c r="Z70" i="37" s="1"/>
  <c r="R75" i="50"/>
  <c r="S75" i="50" s="1"/>
  <c r="M63" i="54"/>
  <c r="N63" i="54" s="1"/>
  <c r="AD143" i="37" s="1"/>
  <c r="R63" i="54"/>
  <c r="S63" i="54" s="1"/>
  <c r="M35" i="70"/>
  <c r="N35" i="70" s="1"/>
  <c r="AG103" i="37" s="1"/>
  <c r="R35" i="70"/>
  <c r="S35" i="70" s="1"/>
  <c r="M68" i="52"/>
  <c r="N68" i="52" s="1"/>
  <c r="AB193" i="37" s="1"/>
  <c r="AI193" i="37" s="1"/>
  <c r="R68" i="52"/>
  <c r="S68" i="52" s="1"/>
  <c r="M40" i="56"/>
  <c r="N40" i="56" s="1"/>
  <c r="AF137" i="37" s="1"/>
  <c r="R40" i="56"/>
  <c r="S40" i="56" s="1"/>
  <c r="M29" i="50"/>
  <c r="N29" i="50" s="1"/>
  <c r="Z184" i="37" s="1"/>
  <c r="R29" i="50"/>
  <c r="S29" i="50" s="1"/>
  <c r="M85" i="52"/>
  <c r="N85" i="52" s="1"/>
  <c r="AB113" i="37" s="1"/>
  <c r="AI113" i="37" s="1"/>
  <c r="R85" i="52"/>
  <c r="S85" i="52" s="1"/>
  <c r="M73" i="56"/>
  <c r="N73" i="56" s="1"/>
  <c r="AF152" i="37" s="1"/>
  <c r="R73" i="56"/>
  <c r="S73" i="56" s="1"/>
  <c r="M46" i="55"/>
  <c r="N46" i="55" s="1"/>
  <c r="AE139" i="37" s="1"/>
  <c r="R46" i="55"/>
  <c r="S46" i="55" s="1"/>
  <c r="M59" i="56"/>
  <c r="N59" i="56" s="1"/>
  <c r="AF58" i="37" s="1"/>
  <c r="R59" i="56"/>
  <c r="S59" i="56" s="1"/>
  <c r="M56" i="70"/>
  <c r="N56" i="70" s="1"/>
  <c r="AG145" i="37" s="1"/>
  <c r="R56" i="70"/>
  <c r="S56" i="70" s="1"/>
  <c r="M94" i="56"/>
  <c r="N94" i="56" s="1"/>
  <c r="AF146" i="37" s="1"/>
  <c r="R94" i="56"/>
  <c r="S94" i="56" s="1"/>
  <c r="M67" i="50"/>
  <c r="N67" i="50" s="1"/>
  <c r="Z188" i="37" s="1"/>
  <c r="R67" i="50"/>
  <c r="S67" i="50" s="1"/>
  <c r="M39" i="54"/>
  <c r="N39" i="54" s="1"/>
  <c r="AD54" i="37" s="1"/>
  <c r="R39" i="54"/>
  <c r="S39" i="54" s="1"/>
  <c r="M27" i="70"/>
  <c r="N27" i="70" s="1"/>
  <c r="AG46" i="37" s="1"/>
  <c r="R27" i="70"/>
  <c r="S27" i="70" s="1"/>
  <c r="M65" i="56"/>
  <c r="N65" i="56" s="1"/>
  <c r="AF221" i="37" s="1"/>
  <c r="R65" i="56"/>
  <c r="S65" i="56" s="1"/>
  <c r="M81" i="48"/>
  <c r="N81" i="48" s="1"/>
  <c r="U298" i="37" s="1"/>
  <c r="R81" i="48"/>
  <c r="S81" i="48" s="1"/>
  <c r="M38" i="49"/>
  <c r="N38" i="49" s="1"/>
  <c r="W40" i="37" s="1"/>
  <c r="R38" i="49"/>
  <c r="S38" i="49" s="1"/>
  <c r="M20" i="44"/>
  <c r="N20" i="44" s="1"/>
  <c r="V112" i="37" s="1"/>
  <c r="R20" i="44"/>
  <c r="S20" i="44" s="1"/>
  <c r="M33" i="49"/>
  <c r="N33" i="49" s="1"/>
  <c r="W133" i="37" s="1"/>
  <c r="R33" i="49"/>
  <c r="S33" i="49" s="1"/>
  <c r="M69" i="51"/>
  <c r="N69" i="51" s="1"/>
  <c r="AA45" i="37" s="1"/>
  <c r="R69" i="51"/>
  <c r="S69" i="51" s="1"/>
  <c r="M8" i="49"/>
  <c r="N8" i="49" s="1"/>
  <c r="W27" i="37" s="1"/>
  <c r="R8" i="49"/>
  <c r="S8" i="49" s="1"/>
  <c r="M58" i="47"/>
  <c r="N58" i="47" s="1"/>
  <c r="S93" i="37" s="1"/>
  <c r="S58" i="47"/>
  <c r="T58" i="47" s="1"/>
  <c r="M57" i="52"/>
  <c r="N57" i="52" s="1"/>
  <c r="R57" i="52"/>
  <c r="S57" i="52" s="1"/>
  <c r="M52" i="51"/>
  <c r="N52" i="51" s="1"/>
  <c r="AA225" i="37" s="1"/>
  <c r="R52" i="51"/>
  <c r="S52" i="51" s="1"/>
  <c r="M66" i="47"/>
  <c r="N66" i="47" s="1"/>
  <c r="S91" i="37" s="1"/>
  <c r="S66" i="47"/>
  <c r="T66" i="47" s="1"/>
  <c r="M62" i="49"/>
  <c r="N62" i="49" s="1"/>
  <c r="W43" i="37" s="1"/>
  <c r="R62" i="49"/>
  <c r="S62" i="49" s="1"/>
  <c r="M56" i="55"/>
  <c r="N56" i="55" s="1"/>
  <c r="AE145" i="37" s="1"/>
  <c r="R56" i="55"/>
  <c r="S56" i="55" s="1"/>
  <c r="M74" i="46"/>
  <c r="N74" i="46" s="1"/>
  <c r="T202" i="37" s="1"/>
  <c r="R74" i="46"/>
  <c r="S74" i="46" s="1"/>
  <c r="M71" i="50"/>
  <c r="N71" i="50" s="1"/>
  <c r="R71" i="50"/>
  <c r="S71" i="50" s="1"/>
  <c r="M76" i="48"/>
  <c r="N76" i="48" s="1"/>
  <c r="U107" i="37" s="1"/>
  <c r="R76" i="48"/>
  <c r="S76" i="48" s="1"/>
  <c r="M17" i="50"/>
  <c r="N17" i="50" s="1"/>
  <c r="Z118" i="37" s="1"/>
  <c r="R17" i="50"/>
  <c r="S17" i="50" s="1"/>
  <c r="M94" i="48"/>
  <c r="N94" i="48" s="1"/>
  <c r="U146" i="37" s="1"/>
  <c r="R94" i="48"/>
  <c r="S94" i="48" s="1"/>
  <c r="M87" i="52"/>
  <c r="N87" i="52" s="1"/>
  <c r="AB33" i="37" s="1"/>
  <c r="AI33" i="37" s="1"/>
  <c r="R87" i="52"/>
  <c r="S87" i="52" s="1"/>
  <c r="M53" i="54"/>
  <c r="N53" i="54" s="1"/>
  <c r="AD34" i="37" s="1"/>
  <c r="R53" i="54"/>
  <c r="S53" i="54" s="1"/>
  <c r="M16" i="47"/>
  <c r="N16" i="47" s="1"/>
  <c r="S148" i="37" s="1"/>
  <c r="S16" i="47"/>
  <c r="T16" i="47" s="1"/>
  <c r="M64" i="44"/>
  <c r="N64" i="44" s="1"/>
  <c r="V23" i="37" s="1"/>
  <c r="R64" i="44"/>
  <c r="S64" i="44" s="1"/>
  <c r="M16" i="50"/>
  <c r="N16" i="50" s="1"/>
  <c r="Z148" i="37" s="1"/>
  <c r="R16" i="50"/>
  <c r="S16" i="50" s="1"/>
  <c r="M17" i="55"/>
  <c r="N17" i="55" s="1"/>
  <c r="AE118" i="37" s="1"/>
  <c r="R17" i="55"/>
  <c r="S17" i="55" s="1"/>
  <c r="M67" i="56"/>
  <c r="N67" i="56" s="1"/>
  <c r="AF188" i="37" s="1"/>
  <c r="R67" i="56"/>
  <c r="S67" i="56" s="1"/>
  <c r="M96" i="70"/>
  <c r="N96" i="70" s="1"/>
  <c r="R96" i="70"/>
  <c r="S96" i="70" s="1"/>
  <c r="E23" i="58"/>
  <c r="E18" i="58"/>
  <c r="M54" i="54"/>
  <c r="N54" i="54" s="1"/>
  <c r="AD156" i="37" s="1"/>
  <c r="R54" i="54"/>
  <c r="S54" i="54" s="1"/>
  <c r="M46" i="52"/>
  <c r="N46" i="52" s="1"/>
  <c r="AB139" i="37" s="1"/>
  <c r="AI139" i="37" s="1"/>
  <c r="R46" i="52"/>
  <c r="S46" i="52" s="1"/>
  <c r="M16" i="44"/>
  <c r="N16" i="44" s="1"/>
  <c r="V148" i="37" s="1"/>
  <c r="R16" i="44"/>
  <c r="S16" i="44" s="1"/>
  <c r="M24" i="43"/>
  <c r="N24" i="43" s="1"/>
  <c r="R24" i="43"/>
  <c r="S24" i="43" s="1"/>
  <c r="M92" i="52"/>
  <c r="N92" i="52" s="1"/>
  <c r="AB106" i="37" s="1"/>
  <c r="AI106" i="37" s="1"/>
  <c r="R92" i="52"/>
  <c r="S92" i="52" s="1"/>
  <c r="M70" i="45"/>
  <c r="N70" i="45" s="1"/>
  <c r="X37" i="37" s="1"/>
  <c r="R70" i="45"/>
  <c r="S70" i="45" s="1"/>
  <c r="M32" i="48"/>
  <c r="N32" i="48" s="1"/>
  <c r="U6" i="37" s="1"/>
  <c r="R32" i="48"/>
  <c r="S32" i="48" s="1"/>
  <c r="M38" i="45"/>
  <c r="N38" i="45" s="1"/>
  <c r="X40" i="37" s="1"/>
  <c r="R38" i="45"/>
  <c r="S38" i="45" s="1"/>
  <c r="M85" i="51"/>
  <c r="N85" i="51" s="1"/>
  <c r="AA113" i="37" s="1"/>
  <c r="R85" i="51"/>
  <c r="S85" i="51" s="1"/>
  <c r="M62" i="48"/>
  <c r="N62" i="48" s="1"/>
  <c r="U43" i="37" s="1"/>
  <c r="R62" i="48"/>
  <c r="S62" i="48" s="1"/>
  <c r="M69" i="44"/>
  <c r="N69" i="44" s="1"/>
  <c r="V45" i="37" s="1"/>
  <c r="R69" i="44"/>
  <c r="S69" i="44" s="1"/>
  <c r="M66" i="43"/>
  <c r="N66" i="43" s="1"/>
  <c r="Y91" i="37" s="1"/>
  <c r="R66" i="43"/>
  <c r="S66" i="43" s="1"/>
  <c r="M36" i="54"/>
  <c r="N36" i="54" s="1"/>
  <c r="AD21" i="37" s="1"/>
  <c r="R36" i="54"/>
  <c r="S36" i="54" s="1"/>
  <c r="M32" i="44"/>
  <c r="N32" i="44" s="1"/>
  <c r="V6" i="37" s="1"/>
  <c r="R32" i="44"/>
  <c r="S32" i="44" s="1"/>
  <c r="M49" i="46"/>
  <c r="N49" i="46" s="1"/>
  <c r="T15" i="37" s="1"/>
  <c r="R49" i="46"/>
  <c r="S49" i="46" s="1"/>
  <c r="M56" i="49"/>
  <c r="N56" i="49" s="1"/>
  <c r="W145" i="37" s="1"/>
  <c r="R56" i="49"/>
  <c r="S56" i="49" s="1"/>
  <c r="M42" i="50"/>
  <c r="N42" i="50" s="1"/>
  <c r="Z29" i="37" s="1"/>
  <c r="R42" i="50"/>
  <c r="S42" i="50" s="1"/>
  <c r="M24" i="55"/>
  <c r="N24" i="55" s="1"/>
  <c r="R24" i="55"/>
  <c r="S24" i="55" s="1"/>
  <c r="M77" i="47"/>
  <c r="N77" i="47" s="1"/>
  <c r="S61" i="37" s="1"/>
  <c r="S77" i="47"/>
  <c r="T77" i="47" s="1"/>
  <c r="M37" i="44"/>
  <c r="N37" i="44" s="1"/>
  <c r="V68" i="37" s="1"/>
  <c r="R37" i="44"/>
  <c r="S37" i="44" s="1"/>
  <c r="M9" i="43"/>
  <c r="N9" i="43" s="1"/>
  <c r="Y228" i="37" s="1"/>
  <c r="R9" i="43"/>
  <c r="S9" i="43" s="1"/>
  <c r="M31" i="52"/>
  <c r="N31" i="52" s="1"/>
  <c r="AB14" i="37" s="1"/>
  <c r="AI14" i="37" s="1"/>
  <c r="R31" i="52"/>
  <c r="S31" i="52" s="1"/>
  <c r="M41" i="43"/>
  <c r="N41" i="43" s="1"/>
  <c r="Y247" i="37" s="1"/>
  <c r="R41" i="43"/>
  <c r="S41" i="43" s="1"/>
  <c r="M4" i="44"/>
  <c r="N4" i="44" s="1"/>
  <c r="V55" i="37" s="1"/>
  <c r="R4" i="44"/>
  <c r="S4" i="44" s="1"/>
  <c r="M76" i="45"/>
  <c r="N76" i="45" s="1"/>
  <c r="X107" i="37" s="1"/>
  <c r="R76" i="45"/>
  <c r="S76" i="45" s="1"/>
  <c r="M92" i="51"/>
  <c r="N92" i="51" s="1"/>
  <c r="AA106" i="37" s="1"/>
  <c r="R92" i="51"/>
  <c r="S92" i="51" s="1"/>
  <c r="M69" i="45"/>
  <c r="N69" i="45" s="1"/>
  <c r="X45" i="37" s="1"/>
  <c r="R69" i="45"/>
  <c r="S69" i="45" s="1"/>
  <c r="M25" i="49"/>
  <c r="N25" i="49" s="1"/>
  <c r="W127" i="37" s="1"/>
  <c r="R25" i="49"/>
  <c r="S25" i="49" s="1"/>
  <c r="M26" i="50"/>
  <c r="N26" i="50" s="1"/>
  <c r="Z71" i="37" s="1"/>
  <c r="R26" i="50"/>
  <c r="S26" i="50" s="1"/>
  <c r="M88" i="54"/>
  <c r="N88" i="54" s="1"/>
  <c r="AD72" i="37" s="1"/>
  <c r="R88" i="54"/>
  <c r="S88" i="54" s="1"/>
  <c r="M41" i="47"/>
  <c r="N41" i="47" s="1"/>
  <c r="S247" i="37" s="1"/>
  <c r="S41" i="47"/>
  <c r="T41" i="47" s="1"/>
  <c r="M6" i="47"/>
  <c r="N6" i="47" s="1"/>
  <c r="S6" i="47"/>
  <c r="T6" i="47" s="1"/>
  <c r="M74" i="44"/>
  <c r="N74" i="44" s="1"/>
  <c r="V202" i="37" s="1"/>
  <c r="R74" i="44"/>
  <c r="S74" i="44" s="1"/>
  <c r="M52" i="43"/>
  <c r="N52" i="43" s="1"/>
  <c r="Y225" i="37" s="1"/>
  <c r="R52" i="43"/>
  <c r="S52" i="43" s="1"/>
  <c r="M78" i="52"/>
  <c r="N78" i="52" s="1"/>
  <c r="AB96" i="37" s="1"/>
  <c r="AI96" i="37" s="1"/>
  <c r="R78" i="52"/>
  <c r="S78" i="52" s="1"/>
  <c r="M90" i="47"/>
  <c r="N90" i="47" s="1"/>
  <c r="S252" i="37" s="1"/>
  <c r="S90" i="47"/>
  <c r="T90" i="47" s="1"/>
  <c r="M90" i="48"/>
  <c r="N90" i="48" s="1"/>
  <c r="U252" i="37" s="1"/>
  <c r="R90" i="48"/>
  <c r="S90" i="48" s="1"/>
  <c r="M62" i="45"/>
  <c r="N62" i="45" s="1"/>
  <c r="X43" i="37" s="1"/>
  <c r="R62" i="45"/>
  <c r="S62" i="45" s="1"/>
  <c r="M75" i="51"/>
  <c r="N75" i="51" s="1"/>
  <c r="AA70" i="37" s="1"/>
  <c r="R75" i="51"/>
  <c r="S75" i="51" s="1"/>
  <c r="M45" i="48"/>
  <c r="N45" i="48" s="1"/>
  <c r="U125" i="37" s="1"/>
  <c r="R45" i="48"/>
  <c r="S45" i="48" s="1"/>
  <c r="M6" i="48"/>
  <c r="N6" i="48" s="1"/>
  <c r="R6" i="48"/>
  <c r="S6" i="48" s="1"/>
  <c r="M79" i="49"/>
  <c r="N79" i="49" s="1"/>
  <c r="R79" i="49"/>
  <c r="S79" i="49" s="1"/>
  <c r="M90" i="50"/>
  <c r="N90" i="50" s="1"/>
  <c r="Z252" i="37" s="1"/>
  <c r="R90" i="50"/>
  <c r="S90" i="50" s="1"/>
  <c r="M81" i="55"/>
  <c r="N81" i="55" s="1"/>
  <c r="AE298" i="37" s="1"/>
  <c r="R81" i="55"/>
  <c r="S81" i="55" s="1"/>
  <c r="M91" i="46"/>
  <c r="N91" i="46" s="1"/>
  <c r="R91" i="46"/>
  <c r="S91" i="46" s="1"/>
  <c r="M63" i="49"/>
  <c r="N63" i="49" s="1"/>
  <c r="W143" i="37" s="1"/>
  <c r="R63" i="49"/>
  <c r="S63" i="49" s="1"/>
  <c r="M94" i="50"/>
  <c r="N94" i="50" s="1"/>
  <c r="Z146" i="37" s="1"/>
  <c r="R94" i="50"/>
  <c r="S94" i="50" s="1"/>
  <c r="M82" i="55"/>
  <c r="N82" i="55" s="1"/>
  <c r="R82" i="55"/>
  <c r="S82" i="55" s="1"/>
  <c r="M93" i="48"/>
  <c r="N93" i="48" s="1"/>
  <c r="R93" i="48"/>
  <c r="S93" i="48" s="1"/>
  <c r="M82" i="45"/>
  <c r="N82" i="45" s="1"/>
  <c r="R82" i="45"/>
  <c r="S82" i="45" s="1"/>
  <c r="M41" i="52"/>
  <c r="N41" i="52" s="1"/>
  <c r="R41" i="52"/>
  <c r="S41" i="52" s="1"/>
  <c r="M28" i="54"/>
  <c r="N28" i="54" s="1"/>
  <c r="AD48" i="37" s="1"/>
  <c r="R28" i="54"/>
  <c r="S28" i="54" s="1"/>
  <c r="M12" i="44"/>
  <c r="N12" i="44" s="1"/>
  <c r="R12" i="44"/>
  <c r="S12" i="44" s="1"/>
  <c r="M38" i="43"/>
  <c r="N38" i="43" s="1"/>
  <c r="R38" i="43"/>
  <c r="S38" i="43" s="1"/>
  <c r="M4" i="54"/>
  <c r="N4" i="54" s="1"/>
  <c r="R4" i="54"/>
  <c r="S4" i="54" s="1"/>
  <c r="M45" i="46"/>
  <c r="N45" i="46" s="1"/>
  <c r="T125" i="37" s="1"/>
  <c r="R45" i="46"/>
  <c r="S45" i="46" s="1"/>
  <c r="M9" i="46"/>
  <c r="N9" i="46" s="1"/>
  <c r="T228" i="37" s="1"/>
  <c r="R9" i="46"/>
  <c r="S9" i="46" s="1"/>
  <c r="M81" i="44"/>
  <c r="N81" i="44" s="1"/>
  <c r="V298" i="37" s="1"/>
  <c r="R81" i="44"/>
  <c r="S81" i="44" s="1"/>
  <c r="M36" i="50"/>
  <c r="N36" i="50" s="1"/>
  <c r="Z21" i="37" s="1"/>
  <c r="R36" i="50"/>
  <c r="S36" i="50" s="1"/>
  <c r="M39" i="55"/>
  <c r="N39" i="55" s="1"/>
  <c r="R39" i="55"/>
  <c r="S39" i="55" s="1"/>
  <c r="M83" i="56"/>
  <c r="N83" i="56" s="1"/>
  <c r="AF164" i="37" s="1"/>
  <c r="R83" i="56"/>
  <c r="S83" i="56" s="1"/>
  <c r="M53" i="56"/>
  <c r="N53" i="56" s="1"/>
  <c r="AF34" i="37" s="1"/>
  <c r="R53" i="56"/>
  <c r="S53" i="56" s="1"/>
  <c r="M6" i="56"/>
  <c r="N6" i="56" s="1"/>
  <c r="R6" i="56"/>
  <c r="S6" i="56" s="1"/>
  <c r="M47" i="48"/>
  <c r="N47" i="48" s="1"/>
  <c r="U165" i="37" s="1"/>
  <c r="R47" i="48"/>
  <c r="S47" i="48" s="1"/>
  <c r="M19" i="45"/>
  <c r="N19" i="45" s="1"/>
  <c r="X92" i="37" s="1"/>
  <c r="R19" i="45"/>
  <c r="S19" i="45" s="1"/>
  <c r="M91" i="50"/>
  <c r="N91" i="50" s="1"/>
  <c r="Z147" i="37" s="1"/>
  <c r="R91" i="50"/>
  <c r="S91" i="50" s="1"/>
  <c r="M79" i="54"/>
  <c r="N79" i="54" s="1"/>
  <c r="AD183" i="37" s="1"/>
  <c r="R79" i="54"/>
  <c r="S79" i="54" s="1"/>
  <c r="M51" i="70"/>
  <c r="N51" i="70" s="1"/>
  <c r="R51" i="70"/>
  <c r="S51" i="70" s="1"/>
  <c r="M84" i="52"/>
  <c r="N84" i="52" s="1"/>
  <c r="R84" i="52"/>
  <c r="S84" i="52" s="1"/>
  <c r="M56" i="56"/>
  <c r="N56" i="56" s="1"/>
  <c r="AF145" i="37" s="1"/>
  <c r="R56" i="56"/>
  <c r="S56" i="56" s="1"/>
  <c r="M45" i="50"/>
  <c r="N45" i="50" s="1"/>
  <c r="Z125" i="37" s="1"/>
  <c r="R45" i="50"/>
  <c r="S45" i="50" s="1"/>
  <c r="M17" i="54"/>
  <c r="N17" i="54" s="1"/>
  <c r="AD118" i="37" s="1"/>
  <c r="R17" i="54"/>
  <c r="S17" i="54" s="1"/>
  <c r="M89" i="56"/>
  <c r="N89" i="56" s="1"/>
  <c r="AF199" i="37" s="1"/>
  <c r="R89" i="56"/>
  <c r="S89" i="56" s="1"/>
  <c r="M62" i="55"/>
  <c r="N62" i="55" s="1"/>
  <c r="AE43" i="37" s="1"/>
  <c r="R62" i="55"/>
  <c r="S62" i="55" s="1"/>
  <c r="M75" i="56"/>
  <c r="N75" i="56" s="1"/>
  <c r="AF70" i="37" s="1"/>
  <c r="R75" i="56"/>
  <c r="S75" i="56" s="1"/>
  <c r="M72" i="70"/>
  <c r="N72" i="70" s="1"/>
  <c r="AG65" i="37" s="1"/>
  <c r="R72" i="70"/>
  <c r="S72" i="70" s="1"/>
  <c r="M10" i="70"/>
  <c r="N10" i="70" s="1"/>
  <c r="R10" i="70"/>
  <c r="S10" i="70" s="1"/>
  <c r="M83" i="50"/>
  <c r="N83" i="50" s="1"/>
  <c r="Z164" i="37" s="1"/>
  <c r="R83" i="50"/>
  <c r="S83" i="50" s="1"/>
  <c r="M55" i="54"/>
  <c r="N55" i="54" s="1"/>
  <c r="AD132" i="37" s="1"/>
  <c r="R55" i="54"/>
  <c r="S55" i="54" s="1"/>
  <c r="M43" i="70"/>
  <c r="N43" i="70" s="1"/>
  <c r="AG84" i="37" s="1"/>
  <c r="R43" i="70"/>
  <c r="S43" i="70" s="1"/>
  <c r="M81" i="56"/>
  <c r="N81" i="56" s="1"/>
  <c r="AF298" i="37" s="1"/>
  <c r="R81" i="56"/>
  <c r="S81" i="56" s="1"/>
  <c r="M32" i="47"/>
  <c r="N32" i="47" s="1"/>
  <c r="S6" i="37" s="1"/>
  <c r="S32" i="47"/>
  <c r="T32" i="47" s="1"/>
  <c r="M76" i="54"/>
  <c r="N76" i="54" s="1"/>
  <c r="AD107" i="37" s="1"/>
  <c r="R76" i="54"/>
  <c r="S76" i="54" s="1"/>
  <c r="M81" i="47"/>
  <c r="N81" i="47" s="1"/>
  <c r="S298" i="37" s="1"/>
  <c r="S81" i="47"/>
  <c r="T81" i="47" s="1"/>
  <c r="M33" i="44"/>
  <c r="N33" i="44" s="1"/>
  <c r="V133" i="37" s="1"/>
  <c r="R33" i="44"/>
  <c r="S33" i="44" s="1"/>
  <c r="M43" i="43"/>
  <c r="N43" i="43" s="1"/>
  <c r="Y84" i="37" s="1"/>
  <c r="R43" i="43"/>
  <c r="S43" i="43" s="1"/>
  <c r="M9" i="54"/>
  <c r="N9" i="54" s="1"/>
  <c r="AD228" i="37" s="1"/>
  <c r="R9" i="54"/>
  <c r="S9" i="54" s="1"/>
  <c r="M42" i="43"/>
  <c r="N42" i="43" s="1"/>
  <c r="Y29" i="37" s="1"/>
  <c r="R42" i="43"/>
  <c r="S42" i="43" s="1"/>
  <c r="M49" i="48"/>
  <c r="N49" i="48" s="1"/>
  <c r="U15" i="37" s="1"/>
  <c r="R49" i="48"/>
  <c r="S49" i="48" s="1"/>
  <c r="M55" i="45"/>
  <c r="N55" i="45" s="1"/>
  <c r="X132" i="37" s="1"/>
  <c r="R55" i="45"/>
  <c r="S55" i="45" s="1"/>
  <c r="M7" i="52"/>
  <c r="N7" i="52" s="1"/>
  <c r="AB77" i="37" s="1"/>
  <c r="AI77" i="37" s="1"/>
  <c r="R7" i="52"/>
  <c r="S7" i="52" s="1"/>
  <c r="M50" i="49"/>
  <c r="N50" i="49" s="1"/>
  <c r="R50" i="49"/>
  <c r="S50" i="49" s="1"/>
  <c r="M86" i="44"/>
  <c r="N86" i="44" s="1"/>
  <c r="V255" i="37" s="1"/>
  <c r="R86" i="44"/>
  <c r="S86" i="44" s="1"/>
  <c r="M85" i="43"/>
  <c r="N85" i="43" s="1"/>
  <c r="Y113" i="37" s="1"/>
  <c r="R85" i="43"/>
  <c r="S85" i="43" s="1"/>
  <c r="M58" i="54"/>
  <c r="N58" i="54" s="1"/>
  <c r="AD93" i="37" s="1"/>
  <c r="R58" i="54"/>
  <c r="S58" i="54" s="1"/>
  <c r="M82" i="43"/>
  <c r="N82" i="43" s="1"/>
  <c r="R82" i="43"/>
  <c r="S82" i="43" s="1"/>
  <c r="M66" i="46"/>
  <c r="N66" i="46" s="1"/>
  <c r="T91" i="37" s="1"/>
  <c r="R66" i="46"/>
  <c r="S66" i="46" s="1"/>
  <c r="M73" i="49"/>
  <c r="N73" i="49" s="1"/>
  <c r="W152" i="37" s="1"/>
  <c r="R73" i="49"/>
  <c r="S73" i="49" s="1"/>
  <c r="M63" i="50"/>
  <c r="N63" i="50" s="1"/>
  <c r="Z143" i="37" s="1"/>
  <c r="R63" i="50"/>
  <c r="S63" i="50" s="1"/>
  <c r="M49" i="55"/>
  <c r="N49" i="55" s="1"/>
  <c r="AE15" i="37" s="1"/>
  <c r="R49" i="55"/>
  <c r="S49" i="55" s="1"/>
  <c r="M60" i="47"/>
  <c r="N60" i="47" s="1"/>
  <c r="S78" i="37" s="1"/>
  <c r="S60" i="47"/>
  <c r="T60" i="47" s="1"/>
  <c r="M54" i="44"/>
  <c r="N54" i="44" s="1"/>
  <c r="V156" i="37" s="1"/>
  <c r="R54" i="44"/>
  <c r="S54" i="44" s="1"/>
  <c r="M28" i="43"/>
  <c r="N28" i="43" s="1"/>
  <c r="Y48" i="37" s="1"/>
  <c r="R28" i="43"/>
  <c r="S28" i="43" s="1"/>
  <c r="M54" i="52"/>
  <c r="N54" i="52" s="1"/>
  <c r="R54" i="52"/>
  <c r="S54" i="52" s="1"/>
  <c r="M78" i="50"/>
  <c r="N78" i="50" s="1"/>
  <c r="Z96" i="37" s="1"/>
  <c r="R78" i="50"/>
  <c r="S78" i="50" s="1"/>
  <c r="M21" i="44"/>
  <c r="N21" i="44" s="1"/>
  <c r="V205" i="37" s="1"/>
  <c r="R21" i="44"/>
  <c r="S21" i="44" s="1"/>
  <c r="M93" i="45"/>
  <c r="N93" i="45" s="1"/>
  <c r="X57" i="37" s="1"/>
  <c r="R93" i="45"/>
  <c r="S93" i="45" s="1"/>
  <c r="M12" i="52"/>
  <c r="N12" i="52" s="1"/>
  <c r="R12" i="52"/>
  <c r="S12" i="52" s="1"/>
  <c r="M21" i="43"/>
  <c r="N21" i="43" s="1"/>
  <c r="Y205" i="37" s="1"/>
  <c r="R21" i="43"/>
  <c r="S21" i="43" s="1"/>
  <c r="M59" i="49"/>
  <c r="N59" i="49" s="1"/>
  <c r="R59" i="49"/>
  <c r="S59" i="49" s="1"/>
  <c r="M47" i="50"/>
  <c r="N47" i="50" s="1"/>
  <c r="Z165" i="37" s="1"/>
  <c r="R47" i="50"/>
  <c r="S47" i="50" s="1"/>
  <c r="M6" i="55"/>
  <c r="N6" i="55" s="1"/>
  <c r="R6" i="55"/>
  <c r="S6" i="55" s="1"/>
  <c r="M24" i="47"/>
  <c r="N24" i="47" s="1"/>
  <c r="S24" i="47"/>
  <c r="T24" i="47" s="1"/>
  <c r="M20" i="46"/>
  <c r="N20" i="46" s="1"/>
  <c r="T112" i="37" s="1"/>
  <c r="R20" i="46"/>
  <c r="S20" i="46" s="1"/>
  <c r="M92" i="44"/>
  <c r="N92" i="44" s="1"/>
  <c r="V106" i="37" s="1"/>
  <c r="R92" i="44"/>
  <c r="S92" i="44" s="1"/>
  <c r="M72" i="43"/>
  <c r="N72" i="43" s="1"/>
  <c r="Y65" i="37" s="1"/>
  <c r="R72" i="43"/>
  <c r="S72" i="43" s="1"/>
  <c r="M20" i="54"/>
  <c r="N20" i="54" s="1"/>
  <c r="AD112" i="37" s="1"/>
  <c r="R20" i="54"/>
  <c r="S20" i="54" s="1"/>
  <c r="M73" i="47"/>
  <c r="N73" i="47" s="1"/>
  <c r="S152" i="37" s="1"/>
  <c r="S73" i="47"/>
  <c r="T73" i="47" s="1"/>
  <c r="M7" i="44"/>
  <c r="N7" i="44" s="1"/>
  <c r="V77" i="37" s="1"/>
  <c r="R7" i="44"/>
  <c r="S7" i="44" s="1"/>
  <c r="M79" i="45"/>
  <c r="N79" i="45" s="1"/>
  <c r="R79" i="45"/>
  <c r="S79" i="45" s="1"/>
  <c r="M96" i="51"/>
  <c r="N96" i="51" s="1"/>
  <c r="R96" i="51"/>
  <c r="S96" i="51" s="1"/>
  <c r="M65" i="44"/>
  <c r="N65" i="44" s="1"/>
  <c r="V221" i="37" s="1"/>
  <c r="R65" i="44"/>
  <c r="S65" i="44" s="1"/>
  <c r="M23" i="48"/>
  <c r="N23" i="48" s="1"/>
  <c r="R23" i="48"/>
  <c r="S23" i="48" s="1"/>
  <c r="M96" i="49"/>
  <c r="N96" i="49" s="1"/>
  <c r="W44" i="37" s="1"/>
  <c r="R96" i="49"/>
  <c r="S96" i="49" s="1"/>
  <c r="M12" i="51"/>
  <c r="N12" i="51" s="1"/>
  <c r="R12" i="51"/>
  <c r="S12" i="51" s="1"/>
  <c r="M29" i="56"/>
  <c r="N29" i="56" s="1"/>
  <c r="AF184" i="37" s="1"/>
  <c r="R29" i="56"/>
  <c r="S29" i="56" s="1"/>
  <c r="M7" i="48"/>
  <c r="N7" i="48" s="1"/>
  <c r="U77" i="37" s="1"/>
  <c r="R7" i="48"/>
  <c r="S7" i="48" s="1"/>
  <c r="M80" i="49"/>
  <c r="N80" i="49" s="1"/>
  <c r="W322" i="37" s="1"/>
  <c r="R80" i="49"/>
  <c r="S80" i="49" s="1"/>
  <c r="M13" i="51"/>
  <c r="N13" i="51" s="1"/>
  <c r="R13" i="51"/>
  <c r="S13" i="51" s="1"/>
  <c r="M30" i="56"/>
  <c r="N30" i="56" s="1"/>
  <c r="AF324" i="37" s="1"/>
  <c r="R30" i="56"/>
  <c r="S30" i="56" s="1"/>
  <c r="M10" i="44"/>
  <c r="N10" i="44" s="1"/>
  <c r="R10" i="44"/>
  <c r="S10" i="44" s="1"/>
  <c r="M18" i="43"/>
  <c r="N18" i="43" s="1"/>
  <c r="Y36" i="37" s="1"/>
  <c r="R18" i="43"/>
  <c r="S18" i="43" s="1"/>
  <c r="M62" i="52"/>
  <c r="N62" i="52" s="1"/>
  <c r="AB43" i="37" s="1"/>
  <c r="AI43" i="37" s="1"/>
  <c r="R62" i="52"/>
  <c r="S62" i="52" s="1"/>
  <c r="M70" i="47"/>
  <c r="N70" i="47" s="1"/>
  <c r="S37" i="37" s="1"/>
  <c r="S70" i="47"/>
  <c r="T70" i="47" s="1"/>
  <c r="M29" i="44"/>
  <c r="N29" i="44" s="1"/>
  <c r="V184" i="37" s="1"/>
  <c r="R29" i="44"/>
  <c r="S29" i="44" s="1"/>
  <c r="M58" i="43"/>
  <c r="N58" i="43" s="1"/>
  <c r="Y93" i="37" s="1"/>
  <c r="R58" i="43"/>
  <c r="S58" i="43" s="1"/>
  <c r="M26" i="54"/>
  <c r="N26" i="54" s="1"/>
  <c r="AD71" i="37" s="1"/>
  <c r="R26" i="54"/>
  <c r="S26" i="54" s="1"/>
  <c r="M87" i="47"/>
  <c r="N87" i="47" s="1"/>
  <c r="S33" i="37" s="1"/>
  <c r="S87" i="47"/>
  <c r="T87" i="47" s="1"/>
  <c r="M26" i="46"/>
  <c r="N26" i="46" s="1"/>
  <c r="T71" i="37" s="1"/>
  <c r="R26" i="46"/>
  <c r="S26" i="46" s="1"/>
  <c r="M15" i="49"/>
  <c r="N15" i="49" s="1"/>
  <c r="W135" i="37" s="1"/>
  <c r="R15" i="49"/>
  <c r="S15" i="49" s="1"/>
  <c r="M55" i="50"/>
  <c r="N55" i="50" s="1"/>
  <c r="Z132" i="37" s="1"/>
  <c r="R55" i="50"/>
  <c r="S55" i="50" s="1"/>
  <c r="M64" i="55"/>
  <c r="N64" i="55" s="1"/>
  <c r="AE23" i="37" s="1"/>
  <c r="R64" i="55"/>
  <c r="S64" i="55" s="1"/>
  <c r="M15" i="70"/>
  <c r="N15" i="70" s="1"/>
  <c r="AG135" i="37" s="1"/>
  <c r="R15" i="70"/>
  <c r="S15" i="70" s="1"/>
  <c r="M69" i="56"/>
  <c r="N69" i="56" s="1"/>
  <c r="AF45" i="37" s="1"/>
  <c r="R69" i="56"/>
  <c r="S69" i="56" s="1"/>
  <c r="M22" i="56"/>
  <c r="N22" i="56" s="1"/>
  <c r="AF98" i="37" s="1"/>
  <c r="R22" i="56"/>
  <c r="S22" i="56" s="1"/>
  <c r="M63" i="48"/>
  <c r="N63" i="48" s="1"/>
  <c r="U143" i="37" s="1"/>
  <c r="R63" i="48"/>
  <c r="S63" i="48" s="1"/>
  <c r="M35" i="45"/>
  <c r="N35" i="45" s="1"/>
  <c r="X103" i="37" s="1"/>
  <c r="R35" i="45"/>
  <c r="S35" i="45" s="1"/>
  <c r="M7" i="51"/>
  <c r="N7" i="51" s="1"/>
  <c r="AA77" i="37" s="1"/>
  <c r="R7" i="51"/>
  <c r="S7" i="51" s="1"/>
  <c r="M95" i="54"/>
  <c r="N95" i="54" s="1"/>
  <c r="AD220" i="37" s="1"/>
  <c r="R95" i="54"/>
  <c r="S95" i="54" s="1"/>
  <c r="M67" i="70"/>
  <c r="N67" i="70" s="1"/>
  <c r="AG188" i="37" s="1"/>
  <c r="R67" i="70"/>
  <c r="S67" i="70" s="1"/>
  <c r="M16" i="54"/>
  <c r="N16" i="54" s="1"/>
  <c r="AD148" i="37" s="1"/>
  <c r="R16" i="54"/>
  <c r="S16" i="54" s="1"/>
  <c r="M72" i="56"/>
  <c r="N72" i="56" s="1"/>
  <c r="AF65" i="37" s="1"/>
  <c r="R72" i="56"/>
  <c r="S72" i="56" s="1"/>
  <c r="M61" i="50"/>
  <c r="N61" i="50" s="1"/>
  <c r="Z160" i="37" s="1"/>
  <c r="R61" i="50"/>
  <c r="S61" i="50" s="1"/>
  <c r="M33" i="54"/>
  <c r="N33" i="54" s="1"/>
  <c r="AD133" i="37" s="1"/>
  <c r="R33" i="54"/>
  <c r="S33" i="54" s="1"/>
  <c r="M5" i="70"/>
  <c r="N5" i="70" s="1"/>
  <c r="AG240" i="37" s="1"/>
  <c r="R5" i="70"/>
  <c r="S5" i="70" s="1"/>
  <c r="M78" i="55"/>
  <c r="N78" i="55" s="1"/>
  <c r="AE96" i="37" s="1"/>
  <c r="R78" i="55"/>
  <c r="S78" i="55" s="1"/>
  <c r="M91" i="56"/>
  <c r="N91" i="56" s="1"/>
  <c r="R91" i="56"/>
  <c r="S91" i="56" s="1"/>
  <c r="M88" i="70"/>
  <c r="N88" i="70" s="1"/>
  <c r="AG72" i="37" s="1"/>
  <c r="R88" i="70"/>
  <c r="S88" i="70" s="1"/>
  <c r="M26" i="70"/>
  <c r="N26" i="70" s="1"/>
  <c r="R26" i="70"/>
  <c r="S26" i="70" s="1"/>
  <c r="M15" i="51"/>
  <c r="N15" i="51" s="1"/>
  <c r="AA135" i="37" s="1"/>
  <c r="R15" i="51"/>
  <c r="S15" i="51" s="1"/>
  <c r="M71" i="54"/>
  <c r="N71" i="54" s="1"/>
  <c r="AD162" i="37" s="1"/>
  <c r="R71" i="54"/>
  <c r="S71" i="54" s="1"/>
  <c r="M59" i="70"/>
  <c r="N59" i="70" s="1"/>
  <c r="AG58" i="37" s="1"/>
  <c r="R59" i="70"/>
  <c r="S59" i="70" s="1"/>
  <c r="M13" i="70"/>
  <c r="N13" i="70" s="1"/>
  <c r="R13" i="70"/>
  <c r="S13" i="70" s="1"/>
  <c r="M29" i="54"/>
  <c r="N29" i="54" s="1"/>
  <c r="AD184" i="37" s="1"/>
  <c r="R29" i="54"/>
  <c r="S29" i="54" s="1"/>
  <c r="M4" i="43"/>
  <c r="N4" i="43" s="1"/>
  <c r="Y55" i="37" s="1"/>
  <c r="R4" i="43"/>
  <c r="S4" i="43" s="1"/>
  <c r="M21" i="45"/>
  <c r="N21" i="45" s="1"/>
  <c r="X205" i="37" s="1"/>
  <c r="R21" i="45"/>
  <c r="S21" i="45" s="1"/>
  <c r="M45" i="43"/>
  <c r="N45" i="43" s="1"/>
  <c r="Y125" i="37" s="1"/>
  <c r="R45" i="43"/>
  <c r="S45" i="43" s="1"/>
  <c r="M32" i="46"/>
  <c r="N32" i="46" s="1"/>
  <c r="T6" i="37" s="1"/>
  <c r="R32" i="46"/>
  <c r="S32" i="46" s="1"/>
  <c r="M94" i="47"/>
  <c r="N94" i="47" s="1"/>
  <c r="S146" i="37" s="1"/>
  <c r="S94" i="47"/>
  <c r="T94" i="47" s="1"/>
  <c r="M10" i="52"/>
  <c r="N10" i="52" s="1"/>
  <c r="R10" i="52"/>
  <c r="S10" i="52" s="1"/>
  <c r="M87" i="48"/>
  <c r="N87" i="48" s="1"/>
  <c r="U33" i="37" s="1"/>
  <c r="R87" i="48"/>
  <c r="S87" i="48" s="1"/>
  <c r="M28" i="48"/>
  <c r="N28" i="48" s="1"/>
  <c r="U48" i="37" s="1"/>
  <c r="R28" i="48"/>
  <c r="S28" i="48" s="1"/>
  <c r="M7" i="50"/>
  <c r="N7" i="50" s="1"/>
  <c r="Z77" i="37" s="1"/>
  <c r="R7" i="50"/>
  <c r="S7" i="50" s="1"/>
  <c r="M32" i="43"/>
  <c r="N32" i="43" s="1"/>
  <c r="Y6" i="37" s="1"/>
  <c r="R32" i="43"/>
  <c r="S32" i="43" s="1"/>
  <c r="M45" i="45"/>
  <c r="N45" i="45" s="1"/>
  <c r="X125" i="37" s="1"/>
  <c r="R45" i="45"/>
  <c r="S45" i="45" s="1"/>
  <c r="M19" i="43"/>
  <c r="N19" i="43" s="1"/>
  <c r="Y92" i="37" s="1"/>
  <c r="R19" i="43"/>
  <c r="S19" i="43" s="1"/>
  <c r="M31" i="44"/>
  <c r="N31" i="44" s="1"/>
  <c r="V14" i="37" s="1"/>
  <c r="R31" i="44"/>
  <c r="S31" i="44" s="1"/>
  <c r="M20" i="55"/>
  <c r="N20" i="55" s="1"/>
  <c r="AE112" i="37" s="1"/>
  <c r="R20" i="55"/>
  <c r="S20" i="55" s="1"/>
  <c r="M64" i="47"/>
  <c r="N64" i="47" s="1"/>
  <c r="S23" i="37" s="1"/>
  <c r="S64" i="47"/>
  <c r="T64" i="47" s="1"/>
  <c r="M50" i="44"/>
  <c r="N50" i="44" s="1"/>
  <c r="V150" i="37" s="1"/>
  <c r="R50" i="44"/>
  <c r="S50" i="44" s="1"/>
  <c r="M62" i="43"/>
  <c r="N62" i="43" s="1"/>
  <c r="Y43" i="37" s="1"/>
  <c r="R62" i="43"/>
  <c r="S62" i="43" s="1"/>
  <c r="M30" i="54"/>
  <c r="N30" i="54" s="1"/>
  <c r="AD324" i="37" s="1"/>
  <c r="R30" i="54"/>
  <c r="S30" i="54" s="1"/>
  <c r="M38" i="50"/>
  <c r="N38" i="50" s="1"/>
  <c r="Z40" i="37" s="1"/>
  <c r="R38" i="50"/>
  <c r="S38" i="50" s="1"/>
  <c r="M66" i="48"/>
  <c r="N66" i="48" s="1"/>
  <c r="U91" i="37" s="1"/>
  <c r="R66" i="48"/>
  <c r="S66" i="48" s="1"/>
  <c r="M72" i="45"/>
  <c r="N72" i="45" s="1"/>
  <c r="X65" i="37" s="1"/>
  <c r="R72" i="45"/>
  <c r="S72" i="45" s="1"/>
  <c r="M28" i="52"/>
  <c r="N28" i="52" s="1"/>
  <c r="AB48" i="37" s="1"/>
  <c r="AI48" i="37" s="1"/>
  <c r="R28" i="52"/>
  <c r="S28" i="52" s="1"/>
  <c r="M18" i="55"/>
  <c r="N18" i="55" s="1"/>
  <c r="AE36" i="37" s="1"/>
  <c r="R18" i="55"/>
  <c r="S18" i="55" s="1"/>
  <c r="M20" i="49"/>
  <c r="N20" i="49" s="1"/>
  <c r="W112" i="37" s="1"/>
  <c r="R20" i="49"/>
  <c r="S20" i="49" s="1"/>
  <c r="M22" i="50"/>
  <c r="N22" i="50" s="1"/>
  <c r="Z98" i="37" s="1"/>
  <c r="R22" i="50"/>
  <c r="S22" i="50" s="1"/>
  <c r="M83" i="54"/>
  <c r="N83" i="54" s="1"/>
  <c r="AD164" i="37" s="1"/>
  <c r="R83" i="54"/>
  <c r="S83" i="54" s="1"/>
  <c r="M96" i="47"/>
  <c r="N96" i="47" s="1"/>
  <c r="S96" i="47"/>
  <c r="T96" i="47" s="1"/>
  <c r="M84" i="46"/>
  <c r="N84" i="46" s="1"/>
  <c r="T194" i="37" s="1"/>
  <c r="R84" i="46"/>
  <c r="S84" i="46" s="1"/>
  <c r="M90" i="49"/>
  <c r="N90" i="49" s="1"/>
  <c r="W252" i="37" s="1"/>
  <c r="R90" i="49"/>
  <c r="S90" i="49" s="1"/>
  <c r="M84" i="50"/>
  <c r="N84" i="50" s="1"/>
  <c r="R84" i="50"/>
  <c r="S84" i="50" s="1"/>
  <c r="M71" i="55"/>
  <c r="N71" i="55" s="1"/>
  <c r="AE162" i="37" s="1"/>
  <c r="R71" i="55"/>
  <c r="S71" i="55" s="1"/>
  <c r="M43" i="47"/>
  <c r="N43" i="47" s="1"/>
  <c r="S84" i="37" s="1"/>
  <c r="S43" i="47"/>
  <c r="T43" i="47" s="1"/>
  <c r="M71" i="44"/>
  <c r="N71" i="44" s="1"/>
  <c r="R71" i="44"/>
  <c r="S71" i="44" s="1"/>
  <c r="M48" i="43"/>
  <c r="N48" i="43" s="1"/>
  <c r="Y89" i="37" s="1"/>
  <c r="R48" i="43"/>
  <c r="S48" i="43" s="1"/>
  <c r="M74" i="52"/>
  <c r="N74" i="52" s="1"/>
  <c r="AB202" i="37" s="1"/>
  <c r="AI202" i="37" s="1"/>
  <c r="R74" i="52"/>
  <c r="S74" i="52" s="1"/>
  <c r="M89" i="52"/>
  <c r="N89" i="52" s="1"/>
  <c r="AB199" i="37" s="1"/>
  <c r="AI199" i="37" s="1"/>
  <c r="R89" i="52"/>
  <c r="S89" i="52" s="1"/>
  <c r="M38" i="44"/>
  <c r="N38" i="44" s="1"/>
  <c r="V40" i="37" s="1"/>
  <c r="R38" i="44"/>
  <c r="S38" i="44" s="1"/>
  <c r="M10" i="43"/>
  <c r="N10" i="43" s="1"/>
  <c r="R10" i="43"/>
  <c r="S10" i="43" s="1"/>
  <c r="M32" i="52"/>
  <c r="N32" i="52" s="1"/>
  <c r="AB6" i="37" s="1"/>
  <c r="R32" i="52"/>
  <c r="S32" i="52" s="1"/>
  <c r="M56" i="50"/>
  <c r="N56" i="50" s="1"/>
  <c r="Z145" i="37" s="1"/>
  <c r="R56" i="50"/>
  <c r="S56" i="50" s="1"/>
  <c r="M76" i="49"/>
  <c r="N76" i="49" s="1"/>
  <c r="W107" i="37" s="1"/>
  <c r="R76" i="49"/>
  <c r="S76" i="49" s="1"/>
  <c r="M66" i="50"/>
  <c r="N66" i="50" s="1"/>
  <c r="Z91" i="37" s="1"/>
  <c r="R66" i="50"/>
  <c r="S66" i="50" s="1"/>
  <c r="M31" i="55"/>
  <c r="N31" i="55" s="1"/>
  <c r="AE14" i="37" s="1"/>
  <c r="R31" i="55"/>
  <c r="S31" i="55" s="1"/>
  <c r="M18" i="46"/>
  <c r="N18" i="46" s="1"/>
  <c r="T36" i="37" s="1"/>
  <c r="R18" i="46"/>
  <c r="S18" i="46" s="1"/>
  <c r="M37" i="46"/>
  <c r="N37" i="46" s="1"/>
  <c r="T68" i="37" s="1"/>
  <c r="R37" i="46"/>
  <c r="S37" i="46" s="1"/>
  <c r="M9" i="49"/>
  <c r="N9" i="49" s="1"/>
  <c r="W228" i="37" s="1"/>
  <c r="R9" i="49"/>
  <c r="S9" i="49" s="1"/>
  <c r="M91" i="43"/>
  <c r="N91" i="43" s="1"/>
  <c r="R91" i="43"/>
  <c r="S91" i="43" s="1"/>
  <c r="M42" i="54"/>
  <c r="N42" i="54" s="1"/>
  <c r="AD29" i="37" s="1"/>
  <c r="R42" i="54"/>
  <c r="S42" i="54" s="1"/>
  <c r="M56" i="47"/>
  <c r="N56" i="47" s="1"/>
  <c r="S145" i="37" s="1"/>
  <c r="S56" i="47"/>
  <c r="T56" i="47" s="1"/>
  <c r="M24" i="44"/>
  <c r="N24" i="44" s="1"/>
  <c r="R24" i="44"/>
  <c r="S24" i="44" s="1"/>
  <c r="M96" i="45"/>
  <c r="N96" i="45" s="1"/>
  <c r="X44" i="37" s="1"/>
  <c r="R96" i="45"/>
  <c r="S96" i="45" s="1"/>
  <c r="M15" i="52"/>
  <c r="N15" i="52" s="1"/>
  <c r="AB135" i="37" s="1"/>
  <c r="AI135" i="37" s="1"/>
  <c r="R15" i="52"/>
  <c r="S15" i="52" s="1"/>
  <c r="M84" i="49"/>
  <c r="N84" i="49" s="1"/>
  <c r="W194" i="37" s="1"/>
  <c r="R84" i="49"/>
  <c r="S84" i="49" s="1"/>
  <c r="M40" i="48"/>
  <c r="N40" i="48" s="1"/>
  <c r="U137" i="37" s="1"/>
  <c r="R40" i="48"/>
  <c r="S40" i="48" s="1"/>
  <c r="M12" i="45"/>
  <c r="N12" i="45" s="1"/>
  <c r="R12" i="45"/>
  <c r="S12" i="45" s="1"/>
  <c r="M33" i="51"/>
  <c r="N33" i="51" s="1"/>
  <c r="AA133" i="37" s="1"/>
  <c r="R33" i="51"/>
  <c r="S33" i="51" s="1"/>
  <c r="M18" i="51"/>
  <c r="N18" i="51" s="1"/>
  <c r="AA36" i="37" s="1"/>
  <c r="R18" i="51"/>
  <c r="S18" i="51" s="1"/>
  <c r="M24" i="48"/>
  <c r="N24" i="48" s="1"/>
  <c r="R24" i="48"/>
  <c r="S24" i="48" s="1"/>
  <c r="M13" i="45"/>
  <c r="N13" i="45" s="1"/>
  <c r="R13" i="45"/>
  <c r="S13" i="45" s="1"/>
  <c r="M34" i="51"/>
  <c r="N34" i="51" s="1"/>
  <c r="AA66" i="37" s="1"/>
  <c r="R34" i="51"/>
  <c r="S34" i="51" s="1"/>
  <c r="M61" i="46"/>
  <c r="N61" i="46" s="1"/>
  <c r="T160" i="37" s="1"/>
  <c r="R61" i="46"/>
  <c r="S61" i="46" s="1"/>
  <c r="M28" i="44"/>
  <c r="N28" i="44" s="1"/>
  <c r="V48" i="37" s="1"/>
  <c r="R28" i="44"/>
  <c r="S28" i="44" s="1"/>
  <c r="M37" i="43"/>
  <c r="N37" i="43" s="1"/>
  <c r="Y68" i="37" s="1"/>
  <c r="R37" i="43"/>
  <c r="S37" i="43" s="1"/>
  <c r="M82" i="52"/>
  <c r="N82" i="52" s="1"/>
  <c r="R82" i="52"/>
  <c r="S82" i="52" s="1"/>
  <c r="M35" i="47"/>
  <c r="N35" i="47" s="1"/>
  <c r="S103" i="37" s="1"/>
  <c r="S35" i="47"/>
  <c r="T35" i="47" s="1"/>
  <c r="M46" i="44"/>
  <c r="N46" i="44" s="1"/>
  <c r="V139" i="37" s="1"/>
  <c r="R46" i="44"/>
  <c r="S46" i="44" s="1"/>
  <c r="M77" i="43"/>
  <c r="N77" i="43" s="1"/>
  <c r="Y61" i="37" s="1"/>
  <c r="R77" i="43"/>
  <c r="S77" i="43" s="1"/>
  <c r="M51" i="54"/>
  <c r="N51" i="54" s="1"/>
  <c r="AD238" i="37" s="1"/>
  <c r="R51" i="54"/>
  <c r="S51" i="54" s="1"/>
  <c r="M18" i="47"/>
  <c r="N18" i="47" s="1"/>
  <c r="S36" i="37" s="1"/>
  <c r="S18" i="47"/>
  <c r="T18" i="47" s="1"/>
  <c r="M43" i="46"/>
  <c r="N43" i="46" s="1"/>
  <c r="T84" i="37" s="1"/>
  <c r="R43" i="46"/>
  <c r="S43" i="46" s="1"/>
  <c r="M32" i="49"/>
  <c r="N32" i="49" s="1"/>
  <c r="W6" i="37" s="1"/>
  <c r="R32" i="49"/>
  <c r="S32" i="49" s="1"/>
  <c r="M74" i="50"/>
  <c r="N74" i="50" s="1"/>
  <c r="Z202" i="37" s="1"/>
  <c r="R74" i="50"/>
  <c r="S74" i="50" s="1"/>
  <c r="M86" i="55"/>
  <c r="N86" i="55" s="1"/>
  <c r="AE255" i="37" s="1"/>
  <c r="R86" i="55"/>
  <c r="S86" i="55" s="1"/>
  <c r="M31" i="70"/>
  <c r="N31" i="70" s="1"/>
  <c r="AG14" i="37" s="1"/>
  <c r="R31" i="70"/>
  <c r="S31" i="70" s="1"/>
  <c r="M85" i="56"/>
  <c r="N85" i="56" s="1"/>
  <c r="AF113" i="37" s="1"/>
  <c r="R85" i="56"/>
  <c r="S85" i="56" s="1"/>
  <c r="M38" i="56"/>
  <c r="N38" i="56" s="1"/>
  <c r="AF40" i="37" s="1"/>
  <c r="R38" i="56"/>
  <c r="S38" i="56" s="1"/>
  <c r="M79" i="48"/>
  <c r="N79" i="48" s="1"/>
  <c r="U183" i="37" s="1"/>
  <c r="R79" i="48"/>
  <c r="S79" i="48" s="1"/>
  <c r="M51" i="45"/>
  <c r="N51" i="45" s="1"/>
  <c r="X238" i="37" s="1"/>
  <c r="R51" i="45"/>
  <c r="S51" i="45" s="1"/>
  <c r="M23" i="51"/>
  <c r="N23" i="51" s="1"/>
  <c r="R23" i="51"/>
  <c r="S23" i="51" s="1"/>
  <c r="M11" i="55"/>
  <c r="N11" i="55" s="1"/>
  <c r="AE31" i="37" s="1"/>
  <c r="R11" i="55"/>
  <c r="S11" i="55" s="1"/>
  <c r="M83" i="70"/>
  <c r="N83" i="70" s="1"/>
  <c r="AG164" i="37" s="1"/>
  <c r="R83" i="70"/>
  <c r="S83" i="70" s="1"/>
  <c r="M32" i="54"/>
  <c r="N32" i="54" s="1"/>
  <c r="AD6" i="37" s="1"/>
  <c r="R32" i="54"/>
  <c r="S32" i="54" s="1"/>
  <c r="M88" i="56"/>
  <c r="N88" i="56" s="1"/>
  <c r="AF72" i="37" s="1"/>
  <c r="R88" i="56"/>
  <c r="S88" i="56" s="1"/>
  <c r="M77" i="50"/>
  <c r="N77" i="50" s="1"/>
  <c r="Z61" i="37" s="1"/>
  <c r="R77" i="50"/>
  <c r="S77" i="50" s="1"/>
  <c r="M49" i="54"/>
  <c r="N49" i="54" s="1"/>
  <c r="AD15" i="37" s="1"/>
  <c r="R49" i="54"/>
  <c r="S49" i="54" s="1"/>
  <c r="M21" i="70"/>
  <c r="N21" i="70" s="1"/>
  <c r="AG205" i="37" s="1"/>
  <c r="R21" i="70"/>
  <c r="S21" i="70" s="1"/>
  <c r="M94" i="55"/>
  <c r="N94" i="55" s="1"/>
  <c r="AE146" i="37" s="1"/>
  <c r="R94" i="55"/>
  <c r="S94" i="55" s="1"/>
  <c r="M7" i="70"/>
  <c r="N7" i="70" s="1"/>
  <c r="AG77" i="37" s="1"/>
  <c r="R7" i="70"/>
  <c r="S7" i="70" s="1"/>
  <c r="M45" i="56"/>
  <c r="N45" i="56" s="1"/>
  <c r="AF125" i="37" s="1"/>
  <c r="R45" i="56"/>
  <c r="S45" i="56" s="1"/>
  <c r="M42" i="70"/>
  <c r="N42" i="70" s="1"/>
  <c r="AG29" i="37" s="1"/>
  <c r="R42" i="70"/>
  <c r="S42" i="70" s="1"/>
  <c r="M31" i="51"/>
  <c r="N31" i="51" s="1"/>
  <c r="AA14" i="37" s="1"/>
  <c r="R31" i="51"/>
  <c r="S31" i="51" s="1"/>
  <c r="M87" i="54"/>
  <c r="N87" i="54" s="1"/>
  <c r="AD33" i="37" s="1"/>
  <c r="R87" i="54"/>
  <c r="S87" i="54" s="1"/>
  <c r="M75" i="70"/>
  <c r="N75" i="70" s="1"/>
  <c r="AG70" i="37" s="1"/>
  <c r="R75" i="70"/>
  <c r="S75" i="70" s="1"/>
  <c r="M29" i="70"/>
  <c r="N29" i="70" s="1"/>
  <c r="AG184" i="37" s="1"/>
  <c r="R29" i="70"/>
  <c r="S29" i="70" s="1"/>
  <c r="M62" i="51"/>
  <c r="N62" i="51" s="1"/>
  <c r="AA43" i="37" s="1"/>
  <c r="R62" i="51"/>
  <c r="S62" i="51" s="1"/>
  <c r="M84" i="54"/>
  <c r="N84" i="54" s="1"/>
  <c r="AD194" i="37" s="1"/>
  <c r="R84" i="54"/>
  <c r="S84" i="54" s="1"/>
  <c r="M92" i="45"/>
  <c r="N92" i="45" s="1"/>
  <c r="X106" i="37" s="1"/>
  <c r="R92" i="45"/>
  <c r="S92" i="45" s="1"/>
  <c r="M59" i="45"/>
  <c r="N59" i="45" s="1"/>
  <c r="X58" i="37" s="1"/>
  <c r="R59" i="45"/>
  <c r="S59" i="45" s="1"/>
  <c r="M23" i="47"/>
  <c r="N23" i="47" s="1"/>
  <c r="S187" i="37" s="1"/>
  <c r="S23" i="47"/>
  <c r="T23" i="47" s="1"/>
  <c r="M29" i="48"/>
  <c r="N29" i="48" s="1"/>
  <c r="U184" i="37" s="1"/>
  <c r="R29" i="48"/>
  <c r="S29" i="48" s="1"/>
  <c r="M65" i="45"/>
  <c r="N65" i="45" s="1"/>
  <c r="X221" i="37" s="1"/>
  <c r="R65" i="45"/>
  <c r="S65" i="45" s="1"/>
  <c r="AK25" i="37"/>
  <c r="M12" i="56"/>
  <c r="N12" i="56" s="1"/>
  <c r="R12" i="56"/>
  <c r="S12" i="56" s="1"/>
  <c r="M41" i="55"/>
  <c r="N41" i="55" s="1"/>
  <c r="AE247" i="37" s="1"/>
  <c r="R41" i="55"/>
  <c r="S41" i="55" s="1"/>
  <c r="M47" i="47"/>
  <c r="N47" i="47" s="1"/>
  <c r="S165" i="37" s="1"/>
  <c r="S47" i="47"/>
  <c r="T47" i="47" s="1"/>
  <c r="M67" i="44"/>
  <c r="N67" i="44" s="1"/>
  <c r="V188" i="37" s="1"/>
  <c r="R67" i="44"/>
  <c r="S67" i="44" s="1"/>
  <c r="M83" i="43"/>
  <c r="N83" i="43" s="1"/>
  <c r="Y164" i="37" s="1"/>
  <c r="R83" i="43"/>
  <c r="S83" i="43" s="1"/>
  <c r="M56" i="54"/>
  <c r="N56" i="54" s="1"/>
  <c r="AD145" i="37" s="1"/>
  <c r="R56" i="54"/>
  <c r="S56" i="54" s="1"/>
  <c r="M19" i="51"/>
  <c r="N19" i="51" s="1"/>
  <c r="AA92" i="37" s="1"/>
  <c r="R19" i="51"/>
  <c r="S19" i="51" s="1"/>
  <c r="M83" i="48"/>
  <c r="N83" i="48" s="1"/>
  <c r="U164" i="37" s="1"/>
  <c r="R83" i="48"/>
  <c r="S83" i="48" s="1"/>
  <c r="M89" i="45"/>
  <c r="N89" i="45" s="1"/>
  <c r="X199" i="37" s="1"/>
  <c r="R89" i="45"/>
  <c r="S89" i="45" s="1"/>
  <c r="M48" i="52"/>
  <c r="N48" i="52" s="1"/>
  <c r="AB89" i="37" s="1"/>
  <c r="AI89" i="37" s="1"/>
  <c r="R48" i="52"/>
  <c r="S48" i="52" s="1"/>
  <c r="M79" i="46"/>
  <c r="N79" i="46" s="1"/>
  <c r="R79" i="46"/>
  <c r="S79" i="46" s="1"/>
  <c r="M37" i="49"/>
  <c r="N37" i="49" s="1"/>
  <c r="W68" i="37" s="1"/>
  <c r="R37" i="49"/>
  <c r="S37" i="49" s="1"/>
  <c r="M41" i="50"/>
  <c r="N41" i="50" s="1"/>
  <c r="Z247" i="37" s="1"/>
  <c r="R41" i="50"/>
  <c r="S41" i="50" s="1"/>
  <c r="M23" i="55"/>
  <c r="N23" i="55" s="1"/>
  <c r="R23" i="55"/>
  <c r="S23" i="55" s="1"/>
  <c r="M62" i="47"/>
  <c r="N62" i="47" s="1"/>
  <c r="S43" i="37" s="1"/>
  <c r="S62" i="47"/>
  <c r="T62" i="47" s="1"/>
  <c r="M17" i="48"/>
  <c r="N17" i="48" s="1"/>
  <c r="U118" i="37" s="1"/>
  <c r="R17" i="48"/>
  <c r="S17" i="48" s="1"/>
  <c r="M6" i="45"/>
  <c r="N6" i="45" s="1"/>
  <c r="R6" i="45"/>
  <c r="S6" i="45" s="1"/>
  <c r="M26" i="51"/>
  <c r="N26" i="51" s="1"/>
  <c r="R26" i="51"/>
  <c r="S26" i="51" s="1"/>
  <c r="M96" i="55"/>
  <c r="N96" i="55" s="1"/>
  <c r="AE44" i="37" s="1"/>
  <c r="R96" i="55"/>
  <c r="S96" i="55" s="1"/>
  <c r="M26" i="47"/>
  <c r="N26" i="47" s="1"/>
  <c r="S26" i="47"/>
  <c r="T26" i="47" s="1"/>
  <c r="M88" i="44"/>
  <c r="N88" i="44" s="1"/>
  <c r="V72" i="37" s="1"/>
  <c r="R88" i="44"/>
  <c r="S88" i="44" s="1"/>
  <c r="M68" i="43"/>
  <c r="N68" i="43" s="1"/>
  <c r="Y193" i="37" s="1"/>
  <c r="R68" i="43"/>
  <c r="S68" i="43" s="1"/>
  <c r="M96" i="52"/>
  <c r="N96" i="52" s="1"/>
  <c r="AB44" i="37" s="1"/>
  <c r="AI44" i="37" s="1"/>
  <c r="R96" i="52"/>
  <c r="S96" i="52" s="1"/>
  <c r="M76" i="47"/>
  <c r="N76" i="47" s="1"/>
  <c r="S107" i="37" s="1"/>
  <c r="S76" i="47"/>
  <c r="T76" i="47" s="1"/>
  <c r="M55" i="44"/>
  <c r="N55" i="44" s="1"/>
  <c r="V132" i="37" s="1"/>
  <c r="R55" i="44"/>
  <c r="S55" i="44" s="1"/>
  <c r="M29" i="43"/>
  <c r="N29" i="43" s="1"/>
  <c r="Y184" i="37" s="1"/>
  <c r="R29" i="43"/>
  <c r="S29" i="43" s="1"/>
  <c r="M55" i="52"/>
  <c r="N55" i="52" s="1"/>
  <c r="R55" i="52"/>
  <c r="S55" i="52" s="1"/>
  <c r="M65" i="55"/>
  <c r="N65" i="55" s="1"/>
  <c r="AE221" i="37" s="1"/>
  <c r="R65" i="55"/>
  <c r="S65" i="55" s="1"/>
  <c r="M93" i="49"/>
  <c r="N93" i="49" s="1"/>
  <c r="R93" i="49"/>
  <c r="S93" i="49" s="1"/>
  <c r="M87" i="50"/>
  <c r="N87" i="50" s="1"/>
  <c r="Z33" i="37" s="1"/>
  <c r="R87" i="50"/>
  <c r="S87" i="50" s="1"/>
  <c r="M53" i="55"/>
  <c r="N53" i="55" s="1"/>
  <c r="AE34" i="37" s="1"/>
  <c r="R53" i="55"/>
  <c r="S53" i="55" s="1"/>
  <c r="M53" i="46"/>
  <c r="N53" i="46" s="1"/>
  <c r="T34" i="37" s="1"/>
  <c r="R53" i="46"/>
  <c r="S53" i="46" s="1"/>
  <c r="M54" i="46"/>
  <c r="N54" i="46" s="1"/>
  <c r="T156" i="37" s="1"/>
  <c r="R54" i="46"/>
  <c r="S54" i="46" s="1"/>
  <c r="M26" i="49"/>
  <c r="N26" i="49" s="1"/>
  <c r="W71" i="37" s="1"/>
  <c r="R26" i="49"/>
  <c r="S26" i="49" s="1"/>
  <c r="M8" i="50"/>
  <c r="N8" i="50" s="1"/>
  <c r="Z27" i="37" s="1"/>
  <c r="R8" i="50"/>
  <c r="S8" i="50" s="1"/>
  <c r="M67" i="54"/>
  <c r="N67" i="54" s="1"/>
  <c r="AD188" i="37" s="1"/>
  <c r="R67" i="54"/>
  <c r="S67" i="54" s="1"/>
  <c r="M39" i="47"/>
  <c r="N39" i="47" s="1"/>
  <c r="S39" i="47"/>
  <c r="T39" i="47" s="1"/>
  <c r="M41" i="44"/>
  <c r="N41" i="44" s="1"/>
  <c r="V247" i="37" s="1"/>
  <c r="R41" i="44"/>
  <c r="S41" i="44" s="1"/>
  <c r="M13" i="43"/>
  <c r="N13" i="43" s="1"/>
  <c r="R13" i="43"/>
  <c r="S13" i="43" s="1"/>
  <c r="M38" i="52"/>
  <c r="N38" i="52" s="1"/>
  <c r="R38" i="52"/>
  <c r="S38" i="52" s="1"/>
  <c r="M60" i="43"/>
  <c r="N60" i="43" s="1"/>
  <c r="Y78" i="37" s="1"/>
  <c r="R60" i="43"/>
  <c r="S60" i="43" s="1"/>
  <c r="M57" i="48"/>
  <c r="N57" i="48" s="1"/>
  <c r="U244" i="37" s="1"/>
  <c r="R57" i="48"/>
  <c r="S57" i="48" s="1"/>
  <c r="M29" i="45"/>
  <c r="N29" i="45" s="1"/>
  <c r="X184" i="37" s="1"/>
  <c r="R29" i="45"/>
  <c r="S29" i="45" s="1"/>
  <c r="M53" i="51"/>
  <c r="N53" i="51" s="1"/>
  <c r="AA34" i="37" s="1"/>
  <c r="R53" i="51"/>
  <c r="S53" i="51" s="1"/>
  <c r="M35" i="56"/>
  <c r="N35" i="56" s="1"/>
  <c r="AF103" i="37" s="1"/>
  <c r="R35" i="56"/>
  <c r="S35" i="56" s="1"/>
  <c r="M41" i="48"/>
  <c r="N41" i="48" s="1"/>
  <c r="U247" i="37" s="1"/>
  <c r="R41" i="48"/>
  <c r="S41" i="48" s="1"/>
  <c r="M30" i="45"/>
  <c r="N30" i="45" s="1"/>
  <c r="X324" i="37" s="1"/>
  <c r="R30" i="45"/>
  <c r="S30" i="45" s="1"/>
  <c r="M54" i="51"/>
  <c r="N54" i="51" s="1"/>
  <c r="AA156" i="37" s="1"/>
  <c r="R54" i="51"/>
  <c r="S54" i="51" s="1"/>
  <c r="M48" i="44"/>
  <c r="N48" i="44" s="1"/>
  <c r="V89" i="37" s="1"/>
  <c r="R48" i="44"/>
  <c r="S48" i="44" s="1"/>
  <c r="M45" i="44"/>
  <c r="N45" i="44" s="1"/>
  <c r="V125" i="37" s="1"/>
  <c r="R45" i="44"/>
  <c r="S45" i="44" s="1"/>
  <c r="M57" i="43"/>
  <c r="N57" i="43" s="1"/>
  <c r="Y244" i="37" s="1"/>
  <c r="R57" i="43"/>
  <c r="S57" i="43" s="1"/>
  <c r="M25" i="54"/>
  <c r="N25" i="54" s="1"/>
  <c r="AD127" i="37" s="1"/>
  <c r="R25" i="54"/>
  <c r="S25" i="54" s="1"/>
  <c r="M24" i="46"/>
  <c r="N24" i="46" s="1"/>
  <c r="R24" i="46"/>
  <c r="S24" i="46" s="1"/>
  <c r="M63" i="44"/>
  <c r="N63" i="44" s="1"/>
  <c r="V143" i="37" s="1"/>
  <c r="R63" i="44"/>
  <c r="S63" i="44" s="1"/>
  <c r="M15" i="50"/>
  <c r="N15" i="50" s="1"/>
  <c r="Z135" i="37" s="1"/>
  <c r="R15" i="50"/>
  <c r="S15" i="50" s="1"/>
  <c r="M73" i="54"/>
  <c r="N73" i="54" s="1"/>
  <c r="AD152" i="37" s="1"/>
  <c r="R73" i="54"/>
  <c r="S73" i="54" s="1"/>
  <c r="M25" i="48"/>
  <c r="N25" i="48" s="1"/>
  <c r="U127" i="37" s="1"/>
  <c r="R25" i="48"/>
  <c r="S25" i="48" s="1"/>
  <c r="M60" i="46"/>
  <c r="N60" i="46" s="1"/>
  <c r="T78" i="37" s="1"/>
  <c r="R60" i="46"/>
  <c r="S60" i="46" s="1"/>
  <c r="M49" i="49"/>
  <c r="N49" i="49" s="1"/>
  <c r="W15" i="37" s="1"/>
  <c r="R49" i="49"/>
  <c r="S49" i="49" s="1"/>
  <c r="M17" i="51"/>
  <c r="N17" i="51" s="1"/>
  <c r="AA118" i="37" s="1"/>
  <c r="R17" i="51"/>
  <c r="S17" i="51" s="1"/>
  <c r="M11" i="56"/>
  <c r="N11" i="56" s="1"/>
  <c r="AF31" i="37" s="1"/>
  <c r="R11" i="56"/>
  <c r="S11" i="56" s="1"/>
  <c r="M47" i="70"/>
  <c r="N47" i="70" s="1"/>
  <c r="AG165" i="37" s="1"/>
  <c r="R47" i="70"/>
  <c r="S47" i="70" s="1"/>
  <c r="M17" i="70"/>
  <c r="N17" i="70" s="1"/>
  <c r="AG118" i="37" s="1"/>
  <c r="R17" i="70"/>
  <c r="S17" i="70" s="1"/>
  <c r="M85" i="47"/>
  <c r="N85" i="47" s="1"/>
  <c r="S113" i="37" s="1"/>
  <c r="S85" i="47"/>
  <c r="T85" i="47" s="1"/>
  <c r="M95" i="48"/>
  <c r="N95" i="48" s="1"/>
  <c r="U220" i="37" s="1"/>
  <c r="R95" i="48"/>
  <c r="S95" i="48" s="1"/>
  <c r="M67" i="45"/>
  <c r="N67" i="45" s="1"/>
  <c r="X188" i="37" s="1"/>
  <c r="R67" i="45"/>
  <c r="S67" i="45" s="1"/>
  <c r="M39" i="51"/>
  <c r="N39" i="51" s="1"/>
  <c r="AA54" i="37" s="1"/>
  <c r="R39" i="51"/>
  <c r="S39" i="51" s="1"/>
  <c r="M27" i="55"/>
  <c r="N27" i="55" s="1"/>
  <c r="AE46" i="37" s="1"/>
  <c r="R27" i="55"/>
  <c r="S27" i="55" s="1"/>
  <c r="M76" i="50"/>
  <c r="N76" i="50" s="1"/>
  <c r="Z107" i="37" s="1"/>
  <c r="R76" i="50"/>
  <c r="S76" i="50" s="1"/>
  <c r="M48" i="54"/>
  <c r="N48" i="54" s="1"/>
  <c r="AD89" i="37" s="1"/>
  <c r="R48" i="54"/>
  <c r="S48" i="54" s="1"/>
  <c r="M4" i="70"/>
  <c r="N4" i="70" s="1"/>
  <c r="AG55" i="37" s="1"/>
  <c r="R4" i="70"/>
  <c r="S4" i="70" s="1"/>
  <c r="M93" i="50"/>
  <c r="N93" i="50" s="1"/>
  <c r="Z57" i="37" s="1"/>
  <c r="R93" i="50"/>
  <c r="S93" i="50" s="1"/>
  <c r="M65" i="54"/>
  <c r="N65" i="54" s="1"/>
  <c r="AD221" i="37" s="1"/>
  <c r="R65" i="54"/>
  <c r="S65" i="54" s="1"/>
  <c r="M37" i="70"/>
  <c r="N37" i="70" s="1"/>
  <c r="AG68" i="37" s="1"/>
  <c r="R37" i="70"/>
  <c r="S37" i="70" s="1"/>
  <c r="M10" i="56"/>
  <c r="N10" i="56" s="1"/>
  <c r="R10" i="56"/>
  <c r="S10" i="56" s="1"/>
  <c r="M23" i="70"/>
  <c r="N23" i="70" s="1"/>
  <c r="AG187" i="37" s="1"/>
  <c r="R23" i="70"/>
  <c r="S23" i="70" s="1"/>
  <c r="M61" i="56"/>
  <c r="N61" i="56" s="1"/>
  <c r="AF160" i="37" s="1"/>
  <c r="R61" i="56"/>
  <c r="S61" i="56" s="1"/>
  <c r="M58" i="70"/>
  <c r="N58" i="70" s="1"/>
  <c r="AG93" i="37" s="1"/>
  <c r="R58" i="70"/>
  <c r="S58" i="70" s="1"/>
  <c r="M47" i="51"/>
  <c r="N47" i="51" s="1"/>
  <c r="AA165" i="37" s="1"/>
  <c r="R47" i="51"/>
  <c r="S47" i="51" s="1"/>
  <c r="M19" i="55"/>
  <c r="N19" i="55" s="1"/>
  <c r="AE92" i="37" s="1"/>
  <c r="R19" i="55"/>
  <c r="S19" i="55" s="1"/>
  <c r="M91" i="70"/>
  <c r="N91" i="70" s="1"/>
  <c r="AG147" i="37" s="1"/>
  <c r="R91" i="70"/>
  <c r="S91" i="70" s="1"/>
  <c r="M45" i="70"/>
  <c r="N45" i="70" s="1"/>
  <c r="AG125" i="37" s="1"/>
  <c r="R45" i="70"/>
  <c r="S45" i="70" s="1"/>
  <c r="M65" i="47"/>
  <c r="N65" i="47" s="1"/>
  <c r="S221" i="37" s="1"/>
  <c r="S65" i="47"/>
  <c r="T65" i="47" s="1"/>
  <c r="M66" i="55"/>
  <c r="N66" i="55" s="1"/>
  <c r="AE91" i="37" s="1"/>
  <c r="R66" i="55"/>
  <c r="S66" i="55" s="1"/>
  <c r="M30" i="47"/>
  <c r="N30" i="47" s="1"/>
  <c r="S324" i="37" s="1"/>
  <c r="S30" i="47"/>
  <c r="T30" i="47" s="1"/>
  <c r="M84" i="44"/>
  <c r="N84" i="44" s="1"/>
  <c r="V194" i="37" s="1"/>
  <c r="R84" i="44"/>
  <c r="S84" i="44" s="1"/>
  <c r="M20" i="50"/>
  <c r="N20" i="50" s="1"/>
  <c r="Z112" i="37" s="1"/>
  <c r="R20" i="50"/>
  <c r="S20" i="50" s="1"/>
  <c r="M77" i="54"/>
  <c r="N77" i="54" s="1"/>
  <c r="AD61" i="37" s="1"/>
  <c r="R77" i="54"/>
  <c r="S77" i="54" s="1"/>
  <c r="M25" i="52"/>
  <c r="N25" i="52" s="1"/>
  <c r="AB127" i="37" s="1"/>
  <c r="AI127" i="37" s="1"/>
  <c r="R25" i="52"/>
  <c r="S25" i="52" s="1"/>
  <c r="M17" i="44"/>
  <c r="N17" i="44" s="1"/>
  <c r="V118" i="37" s="1"/>
  <c r="R17" i="44"/>
  <c r="S17" i="44" s="1"/>
  <c r="M5" i="43"/>
  <c r="N5" i="43" s="1"/>
  <c r="Y240" i="37" s="1"/>
  <c r="R5" i="43"/>
  <c r="S5" i="43" s="1"/>
  <c r="M71" i="52"/>
  <c r="N71" i="52" s="1"/>
  <c r="R71" i="52"/>
  <c r="S71" i="52" s="1"/>
  <c r="M85" i="49"/>
  <c r="N85" i="49" s="1"/>
  <c r="W113" i="37" s="1"/>
  <c r="R85" i="49"/>
  <c r="S85" i="49" s="1"/>
  <c r="M54" i="49"/>
  <c r="N54" i="49" s="1"/>
  <c r="R54" i="49"/>
  <c r="S54" i="49" s="1"/>
  <c r="M62" i="50"/>
  <c r="N62" i="50" s="1"/>
  <c r="Z43" i="37" s="1"/>
  <c r="R62" i="50"/>
  <c r="S62" i="50" s="1"/>
  <c r="M48" i="55"/>
  <c r="N48" i="55" s="1"/>
  <c r="AE89" i="37" s="1"/>
  <c r="R48" i="55"/>
  <c r="S48" i="55" s="1"/>
  <c r="M11" i="47"/>
  <c r="N11" i="47" s="1"/>
  <c r="S31" i="37" s="1"/>
  <c r="S11" i="47"/>
  <c r="T11" i="47" s="1"/>
  <c r="M34" i="48"/>
  <c r="N34" i="48" s="1"/>
  <c r="U66" i="37" s="1"/>
  <c r="R34" i="48"/>
  <c r="S34" i="48" s="1"/>
  <c r="M23" i="45"/>
  <c r="N23" i="45" s="1"/>
  <c r="X187" i="37" s="1"/>
  <c r="R23" i="45"/>
  <c r="S23" i="45" s="1"/>
  <c r="M46" i="51"/>
  <c r="N46" i="51" s="1"/>
  <c r="AA139" i="37" s="1"/>
  <c r="R46" i="51"/>
  <c r="S46" i="51" s="1"/>
  <c r="M18" i="56"/>
  <c r="N18" i="56" s="1"/>
  <c r="AF36" i="37" s="1"/>
  <c r="R18" i="56"/>
  <c r="S18" i="56" s="1"/>
  <c r="M9" i="47"/>
  <c r="N9" i="47" s="1"/>
  <c r="S228" i="37" s="1"/>
  <c r="S9" i="47"/>
  <c r="T9" i="47" s="1"/>
  <c r="M5" i="49"/>
  <c r="N5" i="49" s="1"/>
  <c r="W240" i="37" s="1"/>
  <c r="R5" i="49"/>
  <c r="S5" i="49" s="1"/>
  <c r="M88" i="43"/>
  <c r="N88" i="43" s="1"/>
  <c r="Y72" i="37" s="1"/>
  <c r="R88" i="43"/>
  <c r="S88" i="43" s="1"/>
  <c r="M13" i="54"/>
  <c r="N13" i="54" s="1"/>
  <c r="R13" i="54"/>
  <c r="S13" i="54" s="1"/>
  <c r="M25" i="47"/>
  <c r="N25" i="47" s="1"/>
  <c r="S127" i="37" s="1"/>
  <c r="S25" i="47"/>
  <c r="T25" i="47" s="1"/>
  <c r="M72" i="44"/>
  <c r="N72" i="44" s="1"/>
  <c r="V65" i="37" s="1"/>
  <c r="R72" i="44"/>
  <c r="S72" i="44" s="1"/>
  <c r="M50" i="43"/>
  <c r="N50" i="43" s="1"/>
  <c r="R50" i="43"/>
  <c r="S50" i="43" s="1"/>
  <c r="M76" i="52"/>
  <c r="N76" i="52" s="1"/>
  <c r="AB107" i="37" s="1"/>
  <c r="AI107" i="37" s="1"/>
  <c r="R76" i="52"/>
  <c r="S76" i="52" s="1"/>
  <c r="M59" i="47"/>
  <c r="N59" i="47" s="1"/>
  <c r="S58" i="37" s="1"/>
  <c r="S59" i="47"/>
  <c r="T59" i="47" s="1"/>
  <c r="M9" i="45"/>
  <c r="N9" i="45" s="1"/>
  <c r="X228" i="37" s="1"/>
  <c r="R9" i="45"/>
  <c r="S9" i="45" s="1"/>
  <c r="M6" i="51"/>
  <c r="N6" i="51" s="1"/>
  <c r="R6" i="51"/>
  <c r="S6" i="51" s="1"/>
  <c r="M74" i="55"/>
  <c r="N74" i="55" s="1"/>
  <c r="AE202" i="37" s="1"/>
  <c r="R74" i="55"/>
  <c r="S74" i="55" s="1"/>
  <c r="M70" i="46"/>
  <c r="N70" i="46" s="1"/>
  <c r="T37" i="37" s="1"/>
  <c r="R70" i="46"/>
  <c r="S70" i="46" s="1"/>
  <c r="M71" i="46"/>
  <c r="N71" i="46" s="1"/>
  <c r="R71" i="46"/>
  <c r="S71" i="46" s="1"/>
  <c r="M43" i="49"/>
  <c r="N43" i="49" s="1"/>
  <c r="W84" i="37" s="1"/>
  <c r="R43" i="49"/>
  <c r="S43" i="49" s="1"/>
  <c r="M28" i="50"/>
  <c r="N28" i="50" s="1"/>
  <c r="Z48" i="37" s="1"/>
  <c r="R28" i="50"/>
  <c r="S28" i="50" s="1"/>
  <c r="M89" i="54"/>
  <c r="N89" i="54" s="1"/>
  <c r="AD199" i="37" s="1"/>
  <c r="R89" i="54"/>
  <c r="S89" i="54" s="1"/>
  <c r="M22" i="47"/>
  <c r="N22" i="47" s="1"/>
  <c r="S98" i="37" s="1"/>
  <c r="S22" i="47"/>
  <c r="T22" i="47" s="1"/>
  <c r="M58" i="44"/>
  <c r="N58" i="44" s="1"/>
  <c r="V93" i="37" s="1"/>
  <c r="R58" i="44"/>
  <c r="S58" i="44" s="1"/>
  <c r="M34" i="43"/>
  <c r="N34" i="43" s="1"/>
  <c r="Y66" i="37" s="1"/>
  <c r="R34" i="43"/>
  <c r="S34" i="43" s="1"/>
  <c r="M58" i="52"/>
  <c r="N58" i="52" s="1"/>
  <c r="AB93" i="37" s="1"/>
  <c r="AI93" i="37" s="1"/>
  <c r="R58" i="52"/>
  <c r="S58" i="52" s="1"/>
  <c r="M96" i="46"/>
  <c r="N96" i="46" s="1"/>
  <c r="T44" i="37" s="1"/>
  <c r="R96" i="46"/>
  <c r="S96" i="46" s="1"/>
  <c r="M74" i="48"/>
  <c r="N74" i="48" s="1"/>
  <c r="U202" i="37" s="1"/>
  <c r="R74" i="48"/>
  <c r="S74" i="48" s="1"/>
  <c r="M46" i="45"/>
  <c r="N46" i="45" s="1"/>
  <c r="X139" i="37" s="1"/>
  <c r="R46" i="45"/>
  <c r="S46" i="45" s="1"/>
  <c r="M76" i="51"/>
  <c r="N76" i="51" s="1"/>
  <c r="AA107" i="37" s="1"/>
  <c r="R76" i="51"/>
  <c r="S76" i="51" s="1"/>
  <c r="M48" i="47"/>
  <c r="N48" i="47" s="1"/>
  <c r="S89" i="37" s="1"/>
  <c r="S48" i="47"/>
  <c r="T48" i="47" s="1"/>
  <c r="M58" i="48"/>
  <c r="N58" i="48" s="1"/>
  <c r="U93" i="37" s="1"/>
  <c r="R58" i="48"/>
  <c r="S58" i="48" s="1"/>
  <c r="M47" i="45"/>
  <c r="N47" i="45" s="1"/>
  <c r="X165" i="37" s="1"/>
  <c r="R47" i="45"/>
  <c r="S47" i="45" s="1"/>
  <c r="M77" i="51"/>
  <c r="N77" i="51" s="1"/>
  <c r="AA61" i="37" s="1"/>
  <c r="R77" i="51"/>
  <c r="S77" i="51" s="1"/>
  <c r="M37" i="50"/>
  <c r="N37" i="50" s="1"/>
  <c r="Z68" i="37" s="1"/>
  <c r="R37" i="50"/>
  <c r="S37" i="50" s="1"/>
  <c r="M62" i="44"/>
  <c r="N62" i="44" s="1"/>
  <c r="V43" i="37" s="1"/>
  <c r="R62" i="44"/>
  <c r="S62" i="44" s="1"/>
  <c r="M76" i="43"/>
  <c r="N76" i="43" s="1"/>
  <c r="Y107" i="37" s="1"/>
  <c r="R76" i="43"/>
  <c r="S76" i="43" s="1"/>
  <c r="M46" i="54"/>
  <c r="N46" i="54" s="1"/>
  <c r="AD139" i="37" s="1"/>
  <c r="R46" i="54"/>
  <c r="S46" i="54" s="1"/>
  <c r="M58" i="46"/>
  <c r="N58" i="46" s="1"/>
  <c r="T93" i="37" s="1"/>
  <c r="R58" i="46"/>
  <c r="S58" i="46" s="1"/>
  <c r="M80" i="44"/>
  <c r="N80" i="44" s="1"/>
  <c r="V322" i="37" s="1"/>
  <c r="R80" i="44"/>
  <c r="S80" i="44" s="1"/>
  <c r="M34" i="50"/>
  <c r="N34" i="50" s="1"/>
  <c r="Z66" i="37" s="1"/>
  <c r="R34" i="50"/>
  <c r="S34" i="50" s="1"/>
  <c r="M94" i="54"/>
  <c r="N94" i="54" s="1"/>
  <c r="AD146" i="37" s="1"/>
  <c r="R94" i="54"/>
  <c r="S94" i="54" s="1"/>
  <c r="M86" i="47"/>
  <c r="N86" i="47" s="1"/>
  <c r="S255" i="37" s="1"/>
  <c r="S86" i="47"/>
  <c r="T86" i="47" s="1"/>
  <c r="M77" i="46"/>
  <c r="N77" i="46" s="1"/>
  <c r="T61" i="37" s="1"/>
  <c r="R77" i="46"/>
  <c r="S77" i="46" s="1"/>
  <c r="M66" i="49"/>
  <c r="N66" i="49" s="1"/>
  <c r="W91" i="37" s="1"/>
  <c r="R66" i="49"/>
  <c r="S66" i="49" s="1"/>
  <c r="M37" i="51"/>
  <c r="N37" i="51" s="1"/>
  <c r="AA68" i="37" s="1"/>
  <c r="R37" i="51"/>
  <c r="S37" i="51" s="1"/>
  <c r="M34" i="56"/>
  <c r="N34" i="56" s="1"/>
  <c r="AF66" i="37" s="1"/>
  <c r="R34" i="56"/>
  <c r="S34" i="56" s="1"/>
  <c r="M63" i="70"/>
  <c r="N63" i="70" s="1"/>
  <c r="AG143" i="37" s="1"/>
  <c r="R63" i="70"/>
  <c r="S63" i="70" s="1"/>
  <c r="M33" i="70"/>
  <c r="N33" i="70" s="1"/>
  <c r="AG133" i="37" s="1"/>
  <c r="R33" i="70"/>
  <c r="S33" i="70" s="1"/>
  <c r="M69" i="47"/>
  <c r="N69" i="47" s="1"/>
  <c r="S45" i="37" s="1"/>
  <c r="S69" i="47"/>
  <c r="T69" i="47" s="1"/>
  <c r="M11" i="44"/>
  <c r="N11" i="44" s="1"/>
  <c r="V31" i="37" s="1"/>
  <c r="R11" i="44"/>
  <c r="S11" i="44" s="1"/>
  <c r="M83" i="45"/>
  <c r="N83" i="45" s="1"/>
  <c r="X164" i="37" s="1"/>
  <c r="R83" i="45"/>
  <c r="S83" i="45" s="1"/>
  <c r="M55" i="51"/>
  <c r="N55" i="51" s="1"/>
  <c r="AA132" i="37" s="1"/>
  <c r="R55" i="51"/>
  <c r="S55" i="51" s="1"/>
  <c r="M43" i="55"/>
  <c r="N43" i="55" s="1"/>
  <c r="AE84" i="37" s="1"/>
  <c r="R43" i="55"/>
  <c r="S43" i="55" s="1"/>
  <c r="M92" i="50"/>
  <c r="N92" i="50" s="1"/>
  <c r="Z106" i="37" s="1"/>
  <c r="R92" i="50"/>
  <c r="S92" i="50" s="1"/>
  <c r="M64" i="54"/>
  <c r="N64" i="54" s="1"/>
  <c r="AD23" i="37" s="1"/>
  <c r="R64" i="54"/>
  <c r="S64" i="54" s="1"/>
  <c r="M20" i="70"/>
  <c r="N20" i="70" s="1"/>
  <c r="AG112" i="37" s="1"/>
  <c r="R20" i="70"/>
  <c r="S20" i="70" s="1"/>
  <c r="M9" i="51"/>
  <c r="N9" i="51" s="1"/>
  <c r="AA228" i="37" s="1"/>
  <c r="R9" i="51"/>
  <c r="S9" i="51" s="1"/>
  <c r="M81" i="54"/>
  <c r="N81" i="54" s="1"/>
  <c r="AD298" i="37" s="1"/>
  <c r="R81" i="54"/>
  <c r="S81" i="54" s="1"/>
  <c r="M53" i="70"/>
  <c r="N53" i="70" s="1"/>
  <c r="AG34" i="37" s="1"/>
  <c r="R53" i="70"/>
  <c r="S53" i="70" s="1"/>
  <c r="M26" i="56"/>
  <c r="N26" i="56" s="1"/>
  <c r="AF71" i="37" s="1"/>
  <c r="R26" i="56"/>
  <c r="S26" i="56" s="1"/>
  <c r="M39" i="70"/>
  <c r="N39" i="70" s="1"/>
  <c r="AG54" i="37" s="1"/>
  <c r="R39" i="70"/>
  <c r="S39" i="70" s="1"/>
  <c r="M77" i="56"/>
  <c r="N77" i="56" s="1"/>
  <c r="AF61" i="37" s="1"/>
  <c r="R77" i="56"/>
  <c r="S77" i="56" s="1"/>
  <c r="M74" i="70"/>
  <c r="N74" i="70" s="1"/>
  <c r="AG202" i="37" s="1"/>
  <c r="R74" i="70"/>
  <c r="S74" i="70" s="1"/>
  <c r="M63" i="51"/>
  <c r="N63" i="51" s="1"/>
  <c r="AA143" i="37" s="1"/>
  <c r="R63" i="51"/>
  <c r="S63" i="51" s="1"/>
  <c r="M35" i="55"/>
  <c r="N35" i="55" s="1"/>
  <c r="AE103" i="37" s="1"/>
  <c r="R35" i="55"/>
  <c r="S35" i="55" s="1"/>
  <c r="M48" i="56"/>
  <c r="N48" i="56" s="1"/>
  <c r="AF89" i="37" s="1"/>
  <c r="R48" i="56"/>
  <c r="S48" i="56" s="1"/>
  <c r="M61" i="70"/>
  <c r="N61" i="70" s="1"/>
  <c r="AG160" i="37" s="1"/>
  <c r="R61" i="70"/>
  <c r="S61" i="70" s="1"/>
  <c r="M46" i="48"/>
  <c r="N46" i="48" s="1"/>
  <c r="U139" i="37" s="1"/>
  <c r="R46" i="48"/>
  <c r="S46" i="48" s="1"/>
  <c r="M88" i="55"/>
  <c r="N88" i="55" s="1"/>
  <c r="AE72" i="37" s="1"/>
  <c r="R88" i="55"/>
  <c r="S88" i="55" s="1"/>
  <c r="M13" i="47"/>
  <c r="N13" i="47" s="1"/>
  <c r="S13" i="47"/>
  <c r="T13" i="47" s="1"/>
  <c r="M18" i="49"/>
  <c r="N18" i="49" s="1"/>
  <c r="W36" i="37" s="1"/>
  <c r="R18" i="49"/>
  <c r="S18" i="49" s="1"/>
  <c r="M39" i="50"/>
  <c r="N39" i="50" s="1"/>
  <c r="Z54" i="37" s="1"/>
  <c r="R39" i="50"/>
  <c r="S39" i="50" s="1"/>
  <c r="M21" i="55"/>
  <c r="N21" i="55" s="1"/>
  <c r="AE205" i="37" s="1"/>
  <c r="R21" i="55"/>
  <c r="S21" i="55" s="1"/>
  <c r="M80" i="47"/>
  <c r="N80" i="47" s="1"/>
  <c r="S322" i="37" s="1"/>
  <c r="S80" i="47"/>
  <c r="T80" i="47" s="1"/>
  <c r="M34" i="44"/>
  <c r="N34" i="44" s="1"/>
  <c r="V66" i="37" s="1"/>
  <c r="R34" i="44"/>
  <c r="S34" i="44" s="1"/>
  <c r="M25" i="43"/>
  <c r="N25" i="43" s="1"/>
  <c r="Y127" i="37" s="1"/>
  <c r="R25" i="43"/>
  <c r="S25" i="43" s="1"/>
  <c r="M93" i="52"/>
  <c r="N93" i="52" s="1"/>
  <c r="AB57" i="37" s="1"/>
  <c r="AI57" i="37" s="1"/>
  <c r="R93" i="52"/>
  <c r="S93" i="52" s="1"/>
  <c r="M18" i="45"/>
  <c r="N18" i="45" s="1"/>
  <c r="X36" i="37" s="1"/>
  <c r="R18" i="45"/>
  <c r="S18" i="45" s="1"/>
  <c r="M72" i="49"/>
  <c r="N72" i="49" s="1"/>
  <c r="R72" i="49"/>
  <c r="S72" i="49" s="1"/>
  <c r="M82" i="50"/>
  <c r="N82" i="50" s="1"/>
  <c r="Z130" i="37" s="1"/>
  <c r="R82" i="50"/>
  <c r="S82" i="50" s="1"/>
  <c r="M70" i="55"/>
  <c r="N70" i="55" s="1"/>
  <c r="AE37" i="37" s="1"/>
  <c r="R70" i="55"/>
  <c r="S70" i="55" s="1"/>
  <c r="M31" i="46"/>
  <c r="N31" i="46" s="1"/>
  <c r="T14" i="37" s="1"/>
  <c r="R31" i="46"/>
  <c r="S31" i="46" s="1"/>
  <c r="M51" i="48"/>
  <c r="N51" i="48" s="1"/>
  <c r="U238" i="37" s="1"/>
  <c r="R51" i="48"/>
  <c r="S51" i="48" s="1"/>
  <c r="M40" i="45"/>
  <c r="N40" i="45" s="1"/>
  <c r="X137" i="37" s="1"/>
  <c r="R40" i="45"/>
  <c r="S40" i="45" s="1"/>
  <c r="M67" i="51"/>
  <c r="N67" i="51" s="1"/>
  <c r="AA188" i="37" s="1"/>
  <c r="R67" i="51"/>
  <c r="S67" i="51" s="1"/>
  <c r="M28" i="46"/>
  <c r="N28" i="46" s="1"/>
  <c r="T48" i="37" s="1"/>
  <c r="R28" i="46"/>
  <c r="S28" i="46" s="1"/>
  <c r="M16" i="46"/>
  <c r="N16" i="46" s="1"/>
  <c r="T148" i="37" s="1"/>
  <c r="R16" i="46"/>
  <c r="S16" i="46" s="1"/>
  <c r="M22" i="49"/>
  <c r="N22" i="49" s="1"/>
  <c r="W98" i="37" s="1"/>
  <c r="R22" i="49"/>
  <c r="S22" i="49" s="1"/>
  <c r="M5" i="50"/>
  <c r="N5" i="50" s="1"/>
  <c r="Z240" i="37" s="1"/>
  <c r="R5" i="50"/>
  <c r="S5" i="50" s="1"/>
  <c r="M38" i="54"/>
  <c r="N38" i="54" s="1"/>
  <c r="AD40" i="37" s="1"/>
  <c r="R38" i="54"/>
  <c r="S38" i="54" s="1"/>
  <c r="M8" i="47"/>
  <c r="N8" i="47" s="1"/>
  <c r="S27" i="37" s="1"/>
  <c r="S8" i="47"/>
  <c r="T8" i="47" s="1"/>
  <c r="M89" i="44"/>
  <c r="N89" i="44" s="1"/>
  <c r="V199" i="37" s="1"/>
  <c r="R89" i="44"/>
  <c r="S89" i="44" s="1"/>
  <c r="M69" i="43"/>
  <c r="N69" i="43" s="1"/>
  <c r="Y45" i="37" s="1"/>
  <c r="R69" i="43"/>
  <c r="S69" i="43" s="1"/>
  <c r="M14" i="54"/>
  <c r="N14" i="54" s="1"/>
  <c r="AD163" i="37" s="1"/>
  <c r="R14" i="54"/>
  <c r="S14" i="54" s="1"/>
  <c r="M75" i="47"/>
  <c r="N75" i="47" s="1"/>
  <c r="S70" i="37" s="1"/>
  <c r="S75" i="47"/>
  <c r="T75" i="47" s="1"/>
  <c r="M26" i="45"/>
  <c r="N26" i="45" s="1"/>
  <c r="X71" i="37" s="1"/>
  <c r="R26" i="45"/>
  <c r="S26" i="45" s="1"/>
  <c r="M29" i="51"/>
  <c r="N29" i="51" s="1"/>
  <c r="AA184" i="37" s="1"/>
  <c r="R29" i="51"/>
  <c r="S29" i="51" s="1"/>
  <c r="M21" i="56"/>
  <c r="N21" i="56" s="1"/>
  <c r="AF205" i="37" s="1"/>
  <c r="R21" i="56"/>
  <c r="S21" i="56" s="1"/>
  <c r="M20" i="48"/>
  <c r="N20" i="48" s="1"/>
  <c r="U112" i="37" s="1"/>
  <c r="R20" i="48"/>
  <c r="S20" i="48" s="1"/>
  <c r="M88" i="46"/>
  <c r="N88" i="46" s="1"/>
  <c r="T72" i="37" s="1"/>
  <c r="R88" i="46"/>
  <c r="S88" i="46" s="1"/>
  <c r="M60" i="49"/>
  <c r="N60" i="49" s="1"/>
  <c r="W78" i="37" s="1"/>
  <c r="R60" i="49"/>
  <c r="S60" i="49" s="1"/>
  <c r="M48" i="50"/>
  <c r="N48" i="50" s="1"/>
  <c r="Z89" i="37" s="1"/>
  <c r="R48" i="50"/>
  <c r="S48" i="50" s="1"/>
  <c r="M7" i="55"/>
  <c r="N7" i="55" s="1"/>
  <c r="AE77" i="37" s="1"/>
  <c r="R7" i="55"/>
  <c r="S7" i="55" s="1"/>
  <c r="M4" i="46"/>
  <c r="N4" i="46" s="1"/>
  <c r="T55" i="37" s="1"/>
  <c r="R4" i="46"/>
  <c r="S4" i="46" s="1"/>
  <c r="M76" i="44"/>
  <c r="N76" i="44" s="1"/>
  <c r="V107" i="37" s="1"/>
  <c r="R76" i="44"/>
  <c r="S76" i="44" s="1"/>
  <c r="M53" i="43"/>
  <c r="N53" i="43" s="1"/>
  <c r="Y34" i="37" s="1"/>
  <c r="R53" i="43"/>
  <c r="S53" i="43" s="1"/>
  <c r="M79" i="52"/>
  <c r="N79" i="52" s="1"/>
  <c r="AB183" i="37" s="1"/>
  <c r="AI183" i="37" s="1"/>
  <c r="R79" i="52"/>
  <c r="S79" i="52" s="1"/>
  <c r="M89" i="47"/>
  <c r="N89" i="47" s="1"/>
  <c r="S199" i="37" s="1"/>
  <c r="S89" i="47"/>
  <c r="T89" i="47" s="1"/>
  <c r="M91" i="48"/>
  <c r="N91" i="48" s="1"/>
  <c r="U147" i="37" s="1"/>
  <c r="R91" i="48"/>
  <c r="S91" i="48" s="1"/>
  <c r="M63" i="45"/>
  <c r="N63" i="45" s="1"/>
  <c r="X143" i="37" s="1"/>
  <c r="R63" i="45"/>
  <c r="S63" i="45" s="1"/>
  <c r="M16" i="52"/>
  <c r="N16" i="52" s="1"/>
  <c r="AB148" i="37" s="1"/>
  <c r="AI148" i="37" s="1"/>
  <c r="R16" i="52"/>
  <c r="S16" i="52" s="1"/>
  <c r="M4" i="47"/>
  <c r="N4" i="47" s="1"/>
  <c r="S55" i="37" s="1"/>
  <c r="S4" i="47"/>
  <c r="T4" i="47" s="1"/>
  <c r="M75" i="48"/>
  <c r="N75" i="48" s="1"/>
  <c r="U70" i="37" s="1"/>
  <c r="R75" i="48"/>
  <c r="S75" i="48" s="1"/>
  <c r="M64" i="45"/>
  <c r="N64" i="45" s="1"/>
  <c r="X23" i="37" s="1"/>
  <c r="R64" i="45"/>
  <c r="S64" i="45" s="1"/>
  <c r="M17" i="52"/>
  <c r="N17" i="52" s="1"/>
  <c r="R17" i="52"/>
  <c r="S17" i="52" s="1"/>
  <c r="M82" i="51"/>
  <c r="N82" i="51" s="1"/>
  <c r="AA130" i="37" s="1"/>
  <c r="R82" i="51"/>
  <c r="S82" i="51" s="1"/>
  <c r="M79" i="44"/>
  <c r="N79" i="44" s="1"/>
  <c r="V183" i="37" s="1"/>
  <c r="R79" i="44"/>
  <c r="S79" i="44" s="1"/>
  <c r="M96" i="43"/>
  <c r="N96" i="43" s="1"/>
  <c r="Y44" i="37" s="1"/>
  <c r="R96" i="43"/>
  <c r="S96" i="43" s="1"/>
  <c r="M72" i="54"/>
  <c r="N72" i="54" s="1"/>
  <c r="AD65" i="37" s="1"/>
  <c r="R72" i="54"/>
  <c r="S72" i="54" s="1"/>
  <c r="M42" i="48"/>
  <c r="N42" i="48" s="1"/>
  <c r="U29" i="37" s="1"/>
  <c r="R42" i="48"/>
  <c r="S42" i="48" s="1"/>
  <c r="M14" i="49"/>
  <c r="N14" i="49" s="1"/>
  <c r="W163" i="37" s="1"/>
  <c r="R14" i="49"/>
  <c r="S14" i="49" s="1"/>
  <c r="M54" i="50"/>
  <c r="N54" i="50" s="1"/>
  <c r="Z156" i="37" s="1"/>
  <c r="R54" i="50"/>
  <c r="S54" i="50" s="1"/>
  <c r="M16" i="55"/>
  <c r="N16" i="55" s="1"/>
  <c r="AE148" i="37" s="1"/>
  <c r="R16" i="55"/>
  <c r="S16" i="55" s="1"/>
  <c r="M51" i="47"/>
  <c r="N51" i="47" s="1"/>
  <c r="S238" i="37" s="1"/>
  <c r="S51" i="47"/>
  <c r="T51" i="47" s="1"/>
  <c r="M94" i="46"/>
  <c r="N94" i="46" s="1"/>
  <c r="T146" i="37" s="1"/>
  <c r="R94" i="46"/>
  <c r="S94" i="46" s="1"/>
  <c r="M83" i="49"/>
  <c r="N83" i="49" s="1"/>
  <c r="W164" i="37" s="1"/>
  <c r="R83" i="49"/>
  <c r="S83" i="49" s="1"/>
  <c r="M60" i="51"/>
  <c r="N60" i="51" s="1"/>
  <c r="AA78" i="37" s="1"/>
  <c r="R60" i="51"/>
  <c r="S60" i="51" s="1"/>
  <c r="M50" i="56"/>
  <c r="N50" i="56" s="1"/>
  <c r="AF150" i="37" s="1"/>
  <c r="R50" i="56"/>
  <c r="S50" i="56" s="1"/>
  <c r="M79" i="70"/>
  <c r="N79" i="70" s="1"/>
  <c r="AG183" i="37" s="1"/>
  <c r="R79" i="70"/>
  <c r="S79" i="70" s="1"/>
  <c r="M49" i="70"/>
  <c r="N49" i="70" s="1"/>
  <c r="AG15" i="37" s="1"/>
  <c r="R49" i="70"/>
  <c r="S49" i="70" s="1"/>
  <c r="M53" i="47"/>
  <c r="N53" i="47" s="1"/>
  <c r="S34" i="37" s="1"/>
  <c r="S53" i="47"/>
  <c r="T53" i="47" s="1"/>
  <c r="M27" i="44"/>
  <c r="N27" i="44" s="1"/>
  <c r="V46" i="37" s="1"/>
  <c r="R27" i="44"/>
  <c r="S27" i="44" s="1"/>
  <c r="M15" i="43"/>
  <c r="N15" i="43" s="1"/>
  <c r="Y135" i="37" s="1"/>
  <c r="R15" i="43"/>
  <c r="S15" i="43" s="1"/>
  <c r="M71" i="51"/>
  <c r="N71" i="51" s="1"/>
  <c r="AA162" i="37" s="1"/>
  <c r="R71" i="51"/>
  <c r="S71" i="51" s="1"/>
  <c r="M59" i="55"/>
  <c r="N59" i="55" s="1"/>
  <c r="AE58" i="37" s="1"/>
  <c r="R59" i="55"/>
  <c r="S59" i="55" s="1"/>
  <c r="M8" i="51"/>
  <c r="N8" i="51" s="1"/>
  <c r="AA27" i="37" s="1"/>
  <c r="R8" i="51"/>
  <c r="S8" i="51" s="1"/>
  <c r="M80" i="54"/>
  <c r="N80" i="54" s="1"/>
  <c r="AD322" i="37" s="1"/>
  <c r="R80" i="54"/>
  <c r="S80" i="54" s="1"/>
  <c r="M36" i="70"/>
  <c r="N36" i="70" s="1"/>
  <c r="AG21" i="37" s="1"/>
  <c r="R36" i="70"/>
  <c r="S36" i="70" s="1"/>
  <c r="M25" i="51"/>
  <c r="N25" i="51" s="1"/>
  <c r="AA127" i="37" s="1"/>
  <c r="R25" i="51"/>
  <c r="S25" i="51" s="1"/>
  <c r="M13" i="55"/>
  <c r="N13" i="55" s="1"/>
  <c r="R13" i="55"/>
  <c r="S13" i="55" s="1"/>
  <c r="M69" i="70"/>
  <c r="N69" i="70" s="1"/>
  <c r="AG45" i="37" s="1"/>
  <c r="R69" i="70"/>
  <c r="S69" i="70" s="1"/>
  <c r="M42" i="56"/>
  <c r="N42" i="56" s="1"/>
  <c r="AF29" i="37" s="1"/>
  <c r="R42" i="56"/>
  <c r="S42" i="56" s="1"/>
  <c r="M55" i="70"/>
  <c r="N55" i="70" s="1"/>
  <c r="AG132" i="37" s="1"/>
  <c r="R55" i="70"/>
  <c r="S55" i="70" s="1"/>
  <c r="M93" i="56"/>
  <c r="N93" i="56" s="1"/>
  <c r="AF57" i="37" s="1"/>
  <c r="R93" i="56"/>
  <c r="S93" i="56" s="1"/>
  <c r="M90" i="70"/>
  <c r="N90" i="70" s="1"/>
  <c r="AG252" i="37" s="1"/>
  <c r="R90" i="70"/>
  <c r="S90" i="70" s="1"/>
  <c r="M79" i="51"/>
  <c r="N79" i="51" s="1"/>
  <c r="AA183" i="37" s="1"/>
  <c r="R79" i="51"/>
  <c r="S79" i="51" s="1"/>
  <c r="M51" i="55"/>
  <c r="N51" i="55" s="1"/>
  <c r="AE238" i="37" s="1"/>
  <c r="R51" i="55"/>
  <c r="S51" i="55" s="1"/>
  <c r="M64" i="56"/>
  <c r="N64" i="56" s="1"/>
  <c r="AF23" i="37" s="1"/>
  <c r="R64" i="56"/>
  <c r="S64" i="56" s="1"/>
  <c r="M77" i="70"/>
  <c r="N77" i="70" s="1"/>
  <c r="AG61" i="37" s="1"/>
  <c r="R77" i="70"/>
  <c r="S77" i="70" s="1"/>
  <c r="M15" i="44"/>
  <c r="N15" i="44" s="1"/>
  <c r="V135" i="37" s="1"/>
  <c r="R15" i="44"/>
  <c r="S15" i="44" s="1"/>
  <c r="M13" i="56"/>
  <c r="N13" i="56" s="1"/>
  <c r="R13" i="56"/>
  <c r="S13" i="56" s="1"/>
  <c r="M12" i="46"/>
  <c r="N12" i="46" s="1"/>
  <c r="R12" i="46"/>
  <c r="S12" i="46" s="1"/>
  <c r="M35" i="49"/>
  <c r="N35" i="49" s="1"/>
  <c r="W103" i="37" s="1"/>
  <c r="R35" i="49"/>
  <c r="S35" i="49" s="1"/>
  <c r="M58" i="50"/>
  <c r="N58" i="50" s="1"/>
  <c r="Z93" i="37" s="1"/>
  <c r="R58" i="50"/>
  <c r="S58" i="50" s="1"/>
  <c r="M42" i="55"/>
  <c r="N42" i="55" s="1"/>
  <c r="AE29" i="37" s="1"/>
  <c r="R42" i="55"/>
  <c r="S42" i="55" s="1"/>
  <c r="M63" i="47"/>
  <c r="N63" i="47" s="1"/>
  <c r="S143" i="37" s="1"/>
  <c r="S63" i="47"/>
  <c r="T63" i="47" s="1"/>
  <c r="M51" i="44"/>
  <c r="N51" i="44" s="1"/>
  <c r="V238" i="37" s="1"/>
  <c r="R51" i="44"/>
  <c r="S51" i="44" s="1"/>
  <c r="M44" i="43"/>
  <c r="N44" i="43" s="1"/>
  <c r="Y206" i="37" s="1"/>
  <c r="R44" i="43"/>
  <c r="S44" i="43" s="1"/>
  <c r="M10" i="54"/>
  <c r="N10" i="54" s="1"/>
  <c r="R10" i="54"/>
  <c r="S10" i="54" s="1"/>
  <c r="M87" i="45"/>
  <c r="N87" i="45" s="1"/>
  <c r="X33" i="37" s="1"/>
  <c r="R87" i="45"/>
  <c r="S87" i="45" s="1"/>
  <c r="M89" i="49"/>
  <c r="N89" i="49" s="1"/>
  <c r="W199" i="37" s="1"/>
  <c r="R89" i="49"/>
  <c r="S89" i="49" s="1"/>
  <c r="M22" i="51"/>
  <c r="N22" i="51" s="1"/>
  <c r="AA98" i="37" s="1"/>
  <c r="R22" i="51"/>
  <c r="S22" i="51" s="1"/>
  <c r="M95" i="55"/>
  <c r="N95" i="55" s="1"/>
  <c r="AE220" i="37" s="1"/>
  <c r="R95" i="55"/>
  <c r="S95" i="55" s="1"/>
  <c r="M82" i="46"/>
  <c r="N82" i="46" s="1"/>
  <c r="T130" i="37" s="1"/>
  <c r="R82" i="46"/>
  <c r="S82" i="46" s="1"/>
  <c r="M68" i="48"/>
  <c r="N68" i="48" s="1"/>
  <c r="U193" i="37" s="1"/>
  <c r="R68" i="48"/>
  <c r="S68" i="48" s="1"/>
  <c r="M57" i="45"/>
  <c r="N57" i="45" s="1"/>
  <c r="X244" i="37" s="1"/>
  <c r="R57" i="45"/>
  <c r="S57" i="45" s="1"/>
  <c r="M90" i="51"/>
  <c r="N90" i="51" s="1"/>
  <c r="AA252" i="37" s="1"/>
  <c r="R90" i="51"/>
  <c r="S90" i="51" s="1"/>
  <c r="M83" i="44"/>
  <c r="N83" i="44" s="1"/>
  <c r="V164" i="37" s="1"/>
  <c r="R83" i="44"/>
  <c r="S83" i="44" s="1"/>
  <c r="M33" i="46"/>
  <c r="N33" i="46" s="1"/>
  <c r="T133" i="37" s="1"/>
  <c r="R33" i="46"/>
  <c r="S33" i="46" s="1"/>
  <c r="M40" i="49"/>
  <c r="N40" i="49" s="1"/>
  <c r="W137" i="37" s="1"/>
  <c r="R40" i="49"/>
  <c r="S40" i="49" s="1"/>
  <c r="M24" i="50"/>
  <c r="N24" i="50" s="1"/>
  <c r="R24" i="50"/>
  <c r="S24" i="50" s="1"/>
  <c r="M60" i="54"/>
  <c r="N60" i="54" s="1"/>
  <c r="AD78" i="37" s="1"/>
  <c r="R60" i="54"/>
  <c r="S60" i="54" s="1"/>
  <c r="M17" i="46"/>
  <c r="N17" i="46" s="1"/>
  <c r="T118" i="37" s="1"/>
  <c r="R17" i="46"/>
  <c r="S17" i="46" s="1"/>
  <c r="M2" i="49"/>
  <c r="M6" i="49"/>
  <c r="N6" i="49" s="1"/>
  <c r="R6" i="49"/>
  <c r="S6" i="49" s="1"/>
  <c r="M89" i="43"/>
  <c r="N89" i="43" s="1"/>
  <c r="Y199" i="37" s="1"/>
  <c r="R89" i="43"/>
  <c r="S89" i="43" s="1"/>
  <c r="M40" i="54"/>
  <c r="N40" i="54" s="1"/>
  <c r="AD137" i="37" s="1"/>
  <c r="R40" i="54"/>
  <c r="S40" i="54" s="1"/>
  <c r="M7" i="47"/>
  <c r="N7" i="47" s="1"/>
  <c r="S77" i="37" s="1"/>
  <c r="S7" i="47"/>
  <c r="T7" i="47" s="1"/>
  <c r="M43" i="45"/>
  <c r="N43" i="45" s="1"/>
  <c r="X84" i="37" s="1"/>
  <c r="R43" i="45"/>
  <c r="S43" i="45" s="1"/>
  <c r="M50" i="51"/>
  <c r="N50" i="51" s="1"/>
  <c r="AA150" i="37" s="1"/>
  <c r="R50" i="51"/>
  <c r="S50" i="51" s="1"/>
  <c r="M49" i="47"/>
  <c r="N49" i="47" s="1"/>
  <c r="S15" i="37" s="1"/>
  <c r="S49" i="47"/>
  <c r="T49" i="47" s="1"/>
  <c r="M54" i="48"/>
  <c r="N54" i="48" s="1"/>
  <c r="U156" i="37" s="1"/>
  <c r="R54" i="48"/>
  <c r="S54" i="48" s="1"/>
  <c r="M4" i="48"/>
  <c r="N4" i="48" s="1"/>
  <c r="U55" i="37" s="1"/>
  <c r="R4" i="48"/>
  <c r="S4" i="48" s="1"/>
  <c r="M77" i="49"/>
  <c r="N77" i="49" s="1"/>
  <c r="W61" i="37" s="1"/>
  <c r="R77" i="49"/>
  <c r="S77" i="49" s="1"/>
  <c r="M68" i="50"/>
  <c r="N68" i="50" s="1"/>
  <c r="Z193" i="37" s="1"/>
  <c r="R68" i="50"/>
  <c r="S68" i="50" s="1"/>
  <c r="M32" i="55"/>
  <c r="N32" i="55" s="1"/>
  <c r="AE6" i="37" s="1"/>
  <c r="R32" i="55"/>
  <c r="S32" i="55" s="1"/>
  <c r="M21" i="46"/>
  <c r="N21" i="46" s="1"/>
  <c r="T205" i="37" s="1"/>
  <c r="R21" i="46"/>
  <c r="S21" i="46" s="1"/>
  <c r="M93" i="44"/>
  <c r="N93" i="44" s="1"/>
  <c r="V57" i="37" s="1"/>
  <c r="R93" i="44"/>
  <c r="S93" i="44" s="1"/>
  <c r="M73" i="43"/>
  <c r="N73" i="43" s="1"/>
  <c r="Y152" i="37" s="1"/>
  <c r="R73" i="43"/>
  <c r="S73" i="43" s="1"/>
  <c r="M21" i="54"/>
  <c r="N21" i="54" s="1"/>
  <c r="AD205" i="37" s="1"/>
  <c r="R21" i="54"/>
  <c r="S21" i="54" s="1"/>
  <c r="M72" i="47"/>
  <c r="N72" i="47" s="1"/>
  <c r="S65" i="37" s="1"/>
  <c r="S72" i="47"/>
  <c r="T72" i="47" s="1"/>
  <c r="M8" i="44"/>
  <c r="N8" i="44" s="1"/>
  <c r="V27" i="37" s="1"/>
  <c r="R8" i="44"/>
  <c r="S8" i="44" s="1"/>
  <c r="M80" i="45"/>
  <c r="N80" i="45" s="1"/>
  <c r="X322" i="37" s="1"/>
  <c r="R80" i="45"/>
  <c r="S80" i="45" s="1"/>
  <c r="M39" i="52"/>
  <c r="N39" i="52" s="1"/>
  <c r="AB54" i="37" s="1"/>
  <c r="AI54" i="37" s="1"/>
  <c r="R39" i="52"/>
  <c r="S39" i="52" s="1"/>
  <c r="M88" i="47"/>
  <c r="N88" i="47" s="1"/>
  <c r="S72" i="37" s="1"/>
  <c r="S88" i="47"/>
  <c r="T88" i="47" s="1"/>
  <c r="M92" i="48"/>
  <c r="N92" i="48" s="1"/>
  <c r="U106" i="37" s="1"/>
  <c r="R92" i="48"/>
  <c r="S92" i="48" s="1"/>
  <c r="M81" i="45"/>
  <c r="N81" i="45" s="1"/>
  <c r="X298" i="37" s="1"/>
  <c r="R81" i="45"/>
  <c r="S81" i="45" s="1"/>
  <c r="M40" i="52"/>
  <c r="N40" i="52" s="1"/>
  <c r="AB137" i="37" s="1"/>
  <c r="AI137" i="37" s="1"/>
  <c r="R40" i="52"/>
  <c r="S40" i="52" s="1"/>
  <c r="M75" i="54"/>
  <c r="N75" i="54" s="1"/>
  <c r="AD70" i="37" s="1"/>
  <c r="R75" i="54"/>
  <c r="S75" i="54" s="1"/>
  <c r="M96" i="44"/>
  <c r="N96" i="44" s="1"/>
  <c r="R96" i="44"/>
  <c r="S96" i="44" s="1"/>
  <c r="M14" i="50"/>
  <c r="N14" i="50" s="1"/>
  <c r="Z163" i="37" s="1"/>
  <c r="R14" i="50"/>
  <c r="S14" i="50" s="1"/>
  <c r="M93" i="54"/>
  <c r="N93" i="54" s="1"/>
  <c r="AD57" i="37" s="1"/>
  <c r="R93" i="54"/>
  <c r="S93" i="54" s="1"/>
  <c r="M68" i="47"/>
  <c r="N68" i="47" s="1"/>
  <c r="S193" i="37" s="1"/>
  <c r="S68" i="47"/>
  <c r="T68" i="47" s="1"/>
  <c r="M31" i="49"/>
  <c r="N31" i="49" s="1"/>
  <c r="W14" i="37" s="1"/>
  <c r="R31" i="49"/>
  <c r="S31" i="49" s="1"/>
  <c r="M73" i="50"/>
  <c r="N73" i="50" s="1"/>
  <c r="Z152" i="37" s="1"/>
  <c r="R73" i="50"/>
  <c r="S73" i="50" s="1"/>
  <c r="M38" i="55"/>
  <c r="N38" i="55" s="1"/>
  <c r="AE40" i="37" s="1"/>
  <c r="R38" i="55"/>
  <c r="S38" i="55" s="1"/>
  <c r="M34" i="47"/>
  <c r="N34" i="47" s="1"/>
  <c r="S66" i="37" s="1"/>
  <c r="S34" i="47"/>
  <c r="T34" i="47" s="1"/>
  <c r="M10" i="48"/>
  <c r="N10" i="48" s="1"/>
  <c r="R10" i="48"/>
  <c r="S10" i="48" s="1"/>
  <c r="M16" i="45"/>
  <c r="N16" i="45" s="1"/>
  <c r="X148" i="37" s="1"/>
  <c r="R16" i="45"/>
  <c r="S16" i="45" s="1"/>
  <c r="M81" i="51"/>
  <c r="N81" i="51" s="1"/>
  <c r="AA298" i="37" s="1"/>
  <c r="R81" i="51"/>
  <c r="S81" i="51" s="1"/>
  <c r="M66" i="56"/>
  <c r="N66" i="56" s="1"/>
  <c r="AF91" i="37" s="1"/>
  <c r="R66" i="56"/>
  <c r="S66" i="56" s="1"/>
  <c r="M95" i="70"/>
  <c r="N95" i="70" s="1"/>
  <c r="AG220" i="37" s="1"/>
  <c r="R95" i="70"/>
  <c r="S95" i="70" s="1"/>
  <c r="M65" i="70"/>
  <c r="N65" i="70" s="1"/>
  <c r="AG221" i="37" s="1"/>
  <c r="R65" i="70"/>
  <c r="S65" i="70" s="1"/>
  <c r="M37" i="47"/>
  <c r="N37" i="47" s="1"/>
  <c r="S68" i="37" s="1"/>
  <c r="S37" i="47"/>
  <c r="T37" i="47" s="1"/>
  <c r="M43" i="44"/>
  <c r="N43" i="44" s="1"/>
  <c r="V84" i="37" s="1"/>
  <c r="R43" i="44"/>
  <c r="S43" i="44" s="1"/>
  <c r="M31" i="43"/>
  <c r="N31" i="43" s="1"/>
  <c r="Y14" i="37" s="1"/>
  <c r="R31" i="43"/>
  <c r="S31" i="43" s="1"/>
  <c r="M87" i="51"/>
  <c r="N87" i="51" s="1"/>
  <c r="AA33" i="37" s="1"/>
  <c r="R87" i="51"/>
  <c r="S87" i="51" s="1"/>
  <c r="M75" i="55"/>
  <c r="N75" i="55" s="1"/>
  <c r="AE70" i="37" s="1"/>
  <c r="R75" i="55"/>
  <c r="S75" i="55" s="1"/>
  <c r="M24" i="51"/>
  <c r="N24" i="51" s="1"/>
  <c r="R24" i="51"/>
  <c r="S24" i="51" s="1"/>
  <c r="M96" i="54"/>
  <c r="N96" i="54" s="1"/>
  <c r="R96" i="54"/>
  <c r="S96" i="54" s="1"/>
  <c r="M52" i="70"/>
  <c r="N52" i="70" s="1"/>
  <c r="AG225" i="37" s="1"/>
  <c r="R52" i="70"/>
  <c r="S52" i="70" s="1"/>
  <c r="M41" i="51"/>
  <c r="N41" i="51" s="1"/>
  <c r="AA247" i="37" s="1"/>
  <c r="R41" i="51"/>
  <c r="S41" i="51" s="1"/>
  <c r="M29" i="55"/>
  <c r="N29" i="55" s="1"/>
  <c r="AE184" i="37" s="1"/>
  <c r="R29" i="55"/>
  <c r="S29" i="55" s="1"/>
  <c r="M85" i="70"/>
  <c r="N85" i="70" s="1"/>
  <c r="AG113" i="37" s="1"/>
  <c r="R85" i="70"/>
  <c r="S85" i="70" s="1"/>
  <c r="M58" i="56"/>
  <c r="N58" i="56" s="1"/>
  <c r="AF93" i="37" s="1"/>
  <c r="R58" i="56"/>
  <c r="S58" i="56" s="1"/>
  <c r="M71" i="70"/>
  <c r="N71" i="70" s="1"/>
  <c r="AG162" i="37" s="1"/>
  <c r="R71" i="70"/>
  <c r="S71" i="70" s="1"/>
  <c r="M9" i="70"/>
  <c r="N9" i="70" s="1"/>
  <c r="AG228" i="37" s="1"/>
  <c r="R9" i="70"/>
  <c r="S9" i="70" s="1"/>
  <c r="M7" i="43"/>
  <c r="N7" i="43" s="1"/>
  <c r="Y77" i="37" s="1"/>
  <c r="R7" i="43"/>
  <c r="S7" i="43" s="1"/>
  <c r="M95" i="51"/>
  <c r="N95" i="51" s="1"/>
  <c r="AA220" i="37" s="1"/>
  <c r="R95" i="51"/>
  <c r="S95" i="51" s="1"/>
  <c r="M67" i="55"/>
  <c r="N67" i="55" s="1"/>
  <c r="AE188" i="37" s="1"/>
  <c r="R67" i="55"/>
  <c r="S67" i="55" s="1"/>
  <c r="M80" i="56"/>
  <c r="N80" i="56" s="1"/>
  <c r="AF322" i="37" s="1"/>
  <c r="R80" i="56"/>
  <c r="S80" i="56" s="1"/>
  <c r="M93" i="70"/>
  <c r="N93" i="70" s="1"/>
  <c r="AG57" i="37" s="1"/>
  <c r="R93" i="70"/>
  <c r="S93" i="70" s="1"/>
  <c r="M51" i="49"/>
  <c r="N51" i="49" s="1"/>
  <c r="W238" i="37" s="1"/>
  <c r="R51" i="49"/>
  <c r="S51" i="49" s="1"/>
  <c r="M36" i="56"/>
  <c r="N36" i="56" s="1"/>
  <c r="AF21" i="37" s="1"/>
  <c r="R36" i="56"/>
  <c r="S36" i="56" s="1"/>
  <c r="M29" i="46"/>
  <c r="N29" i="46" s="1"/>
  <c r="T184" i="37" s="1"/>
  <c r="R29" i="46"/>
  <c r="S29" i="46" s="1"/>
  <c r="M52" i="49"/>
  <c r="N52" i="49" s="1"/>
  <c r="W225" i="37" s="1"/>
  <c r="R52" i="49"/>
  <c r="S52" i="49" s="1"/>
  <c r="M80" i="50"/>
  <c r="N80" i="50" s="1"/>
  <c r="Z322" i="37" s="1"/>
  <c r="R80" i="50"/>
  <c r="S80" i="50" s="1"/>
  <c r="M68" i="55"/>
  <c r="N68" i="55" s="1"/>
  <c r="AE193" i="37" s="1"/>
  <c r="R68" i="55"/>
  <c r="S68" i="55" s="1"/>
  <c r="M46" i="47"/>
  <c r="N46" i="47" s="1"/>
  <c r="S139" i="37" s="1"/>
  <c r="S46" i="47"/>
  <c r="T46" i="47" s="1"/>
  <c r="M68" i="44"/>
  <c r="N68" i="44" s="1"/>
  <c r="V193" i="37" s="1"/>
  <c r="R68" i="44"/>
  <c r="S68" i="44" s="1"/>
  <c r="M64" i="43"/>
  <c r="N64" i="43" s="1"/>
  <c r="Y23" i="37" s="1"/>
  <c r="R64" i="43"/>
  <c r="S64" i="43" s="1"/>
  <c r="M35" i="54"/>
  <c r="N35" i="54" s="1"/>
  <c r="AD103" i="37" s="1"/>
  <c r="R35" i="54"/>
  <c r="S35" i="54" s="1"/>
  <c r="M79" i="47"/>
  <c r="N79" i="47" s="1"/>
  <c r="S183" i="37" s="1"/>
  <c r="S79" i="47"/>
  <c r="T79" i="47" s="1"/>
  <c r="M5" i="45"/>
  <c r="N5" i="45" s="1"/>
  <c r="X240" i="37" s="1"/>
  <c r="R5" i="45"/>
  <c r="S5" i="45" s="1"/>
  <c r="M45" i="51"/>
  <c r="N45" i="51" s="1"/>
  <c r="AA125" i="37" s="1"/>
  <c r="R45" i="51"/>
  <c r="S45" i="51" s="1"/>
  <c r="M17" i="56"/>
  <c r="N17" i="56" s="1"/>
  <c r="AF118" i="37" s="1"/>
  <c r="R17" i="56"/>
  <c r="S17" i="56" s="1"/>
  <c r="M84" i="48"/>
  <c r="N84" i="48" s="1"/>
  <c r="R84" i="48"/>
  <c r="S84" i="48" s="1"/>
  <c r="M85" i="48"/>
  <c r="N85" i="48" s="1"/>
  <c r="U113" i="37" s="1"/>
  <c r="R85" i="48"/>
  <c r="S85" i="48" s="1"/>
  <c r="M74" i="45"/>
  <c r="N74" i="45" s="1"/>
  <c r="X202" i="37" s="1"/>
  <c r="R74" i="45"/>
  <c r="S74" i="45" s="1"/>
  <c r="M9" i="52"/>
  <c r="N9" i="52" s="1"/>
  <c r="AB228" i="37" s="1"/>
  <c r="AI228" i="37" s="1"/>
  <c r="R9" i="52"/>
  <c r="S9" i="52" s="1"/>
  <c r="M34" i="49"/>
  <c r="N34" i="49" s="1"/>
  <c r="W66" i="37" s="1"/>
  <c r="R34" i="49"/>
  <c r="S34" i="49" s="1"/>
  <c r="M50" i="46"/>
  <c r="N50" i="46" s="1"/>
  <c r="T150" i="37" s="1"/>
  <c r="R50" i="46"/>
  <c r="S50" i="46" s="1"/>
  <c r="M57" i="49"/>
  <c r="N57" i="49" s="1"/>
  <c r="W244" i="37" s="1"/>
  <c r="R57" i="49"/>
  <c r="S57" i="49" s="1"/>
  <c r="M44" i="50"/>
  <c r="N44" i="50" s="1"/>
  <c r="Z206" i="37" s="1"/>
  <c r="R44" i="50"/>
  <c r="S44" i="50" s="1"/>
  <c r="M85" i="54"/>
  <c r="N85" i="54" s="1"/>
  <c r="AD113" i="37" s="1"/>
  <c r="R85" i="54"/>
  <c r="S85" i="54" s="1"/>
  <c r="M34" i="46"/>
  <c r="N34" i="46" s="1"/>
  <c r="T66" i="37" s="1"/>
  <c r="R34" i="46"/>
  <c r="S34" i="46" s="1"/>
  <c r="M24" i="49"/>
  <c r="N24" i="49" s="1"/>
  <c r="R24" i="49"/>
  <c r="S24" i="49" s="1"/>
  <c r="M6" i="50"/>
  <c r="N6" i="50" s="1"/>
  <c r="R6" i="50"/>
  <c r="S6" i="50" s="1"/>
  <c r="M61" i="54"/>
  <c r="N61" i="54" s="1"/>
  <c r="AD160" i="37" s="1"/>
  <c r="R61" i="54"/>
  <c r="S61" i="54" s="1"/>
  <c r="M36" i="46"/>
  <c r="N36" i="46" s="1"/>
  <c r="T21" i="37" s="1"/>
  <c r="R36" i="46"/>
  <c r="S36" i="46" s="1"/>
  <c r="M60" i="45"/>
  <c r="N60" i="45" s="1"/>
  <c r="X78" i="37" s="1"/>
  <c r="R60" i="45"/>
  <c r="S60" i="45" s="1"/>
  <c r="M70" i="51"/>
  <c r="N70" i="51" s="1"/>
  <c r="AA37" i="37" s="1"/>
  <c r="R70" i="51"/>
  <c r="S70" i="51" s="1"/>
  <c r="M16" i="49"/>
  <c r="N16" i="49" s="1"/>
  <c r="W148" i="37" s="1"/>
  <c r="R16" i="49"/>
  <c r="S16" i="49" s="1"/>
  <c r="M5" i="44"/>
  <c r="N5" i="44" s="1"/>
  <c r="V240" i="37" s="1"/>
  <c r="R5" i="44"/>
  <c r="S5" i="44" s="1"/>
  <c r="M21" i="48"/>
  <c r="N21" i="48" s="1"/>
  <c r="U205" i="37" s="1"/>
  <c r="R21" i="48"/>
  <c r="S21" i="48" s="1"/>
  <c r="M94" i="49"/>
  <c r="N94" i="49" s="1"/>
  <c r="W146" i="37" s="1"/>
  <c r="R94" i="49"/>
  <c r="S94" i="49" s="1"/>
  <c r="M88" i="50"/>
  <c r="N88" i="50" s="1"/>
  <c r="Z72" i="37" s="1"/>
  <c r="R88" i="50"/>
  <c r="S88" i="50" s="1"/>
  <c r="M54" i="55"/>
  <c r="N54" i="55" s="1"/>
  <c r="AE156" i="37" s="1"/>
  <c r="R54" i="55"/>
  <c r="S54" i="55" s="1"/>
  <c r="M38" i="46"/>
  <c r="N38" i="46" s="1"/>
  <c r="T40" i="37" s="1"/>
  <c r="R38" i="46"/>
  <c r="S38" i="46" s="1"/>
  <c r="M10" i="49"/>
  <c r="N10" i="49" s="1"/>
  <c r="R10" i="49"/>
  <c r="S10" i="49" s="1"/>
  <c r="M92" i="43"/>
  <c r="N92" i="43" s="1"/>
  <c r="Y106" i="37" s="1"/>
  <c r="R92" i="43"/>
  <c r="S92" i="43" s="1"/>
  <c r="M43" i="54"/>
  <c r="N43" i="54" s="1"/>
  <c r="AD84" i="37" s="1"/>
  <c r="R43" i="54"/>
  <c r="S43" i="54" s="1"/>
  <c r="M55" i="47"/>
  <c r="N55" i="47" s="1"/>
  <c r="S132" i="37" s="1"/>
  <c r="S55" i="47"/>
  <c r="T55" i="47" s="1"/>
  <c r="M25" i="44"/>
  <c r="N25" i="44" s="1"/>
  <c r="V127" i="37" s="1"/>
  <c r="R25" i="44"/>
  <c r="S25" i="44" s="1"/>
  <c r="M14" i="43"/>
  <c r="N14" i="43" s="1"/>
  <c r="Y163" i="37" s="1"/>
  <c r="R14" i="43"/>
  <c r="S14" i="43" s="1"/>
  <c r="M60" i="52"/>
  <c r="N60" i="52" s="1"/>
  <c r="AB78" i="37" s="1"/>
  <c r="AI78" i="37" s="1"/>
  <c r="R60" i="52"/>
  <c r="S60" i="52" s="1"/>
  <c r="M71" i="47"/>
  <c r="N71" i="47" s="1"/>
  <c r="S71" i="47"/>
  <c r="T71" i="47" s="1"/>
  <c r="M9" i="44"/>
  <c r="N9" i="44" s="1"/>
  <c r="V228" i="37" s="1"/>
  <c r="R9" i="44"/>
  <c r="S9" i="44" s="1"/>
  <c r="M16" i="43"/>
  <c r="N16" i="43" s="1"/>
  <c r="Y148" i="37" s="1"/>
  <c r="R16" i="43"/>
  <c r="S16" i="43" s="1"/>
  <c r="M61" i="52"/>
  <c r="N61" i="52" s="1"/>
  <c r="AB160" i="37" s="1"/>
  <c r="AI160" i="37" s="1"/>
  <c r="R61" i="52"/>
  <c r="S61" i="52" s="1"/>
  <c r="M12" i="48"/>
  <c r="N12" i="48" s="1"/>
  <c r="R12" i="48"/>
  <c r="S12" i="48" s="1"/>
  <c r="M13" i="49"/>
  <c r="N13" i="49" s="1"/>
  <c r="R13" i="49"/>
  <c r="S13" i="49" s="1"/>
  <c r="M33" i="50"/>
  <c r="N33" i="50" s="1"/>
  <c r="Z133" i="37" s="1"/>
  <c r="R33" i="50"/>
  <c r="S33" i="50" s="1"/>
  <c r="M15" i="55"/>
  <c r="N15" i="55" s="1"/>
  <c r="AE135" i="37" s="1"/>
  <c r="R15" i="55"/>
  <c r="S15" i="55" s="1"/>
  <c r="M17" i="47"/>
  <c r="N17" i="47" s="1"/>
  <c r="S118" i="37" s="1"/>
  <c r="S17" i="47"/>
  <c r="T17" i="47" s="1"/>
  <c r="M48" i="49"/>
  <c r="N48" i="49" s="1"/>
  <c r="W89" i="37" s="1"/>
  <c r="R48" i="49"/>
  <c r="S48" i="49" s="1"/>
  <c r="M96" i="50"/>
  <c r="N96" i="50" s="1"/>
  <c r="Z44" i="37" s="1"/>
  <c r="R96" i="50"/>
  <c r="S96" i="50" s="1"/>
  <c r="M63" i="55"/>
  <c r="N63" i="55" s="1"/>
  <c r="AE143" i="37" s="1"/>
  <c r="R63" i="55"/>
  <c r="S63" i="55" s="1"/>
  <c r="M8" i="46"/>
  <c r="N8" i="46" s="1"/>
  <c r="T27" i="37" s="1"/>
  <c r="R8" i="46"/>
  <c r="S8" i="46" s="1"/>
  <c r="M27" i="48"/>
  <c r="N27" i="48" s="1"/>
  <c r="U46" i="37" s="1"/>
  <c r="R27" i="48"/>
  <c r="S27" i="48" s="1"/>
  <c r="M33" i="45"/>
  <c r="N33" i="45" s="1"/>
  <c r="X133" i="37" s="1"/>
  <c r="R33" i="45"/>
  <c r="S33" i="45" s="1"/>
  <c r="M23" i="52"/>
  <c r="N23" i="52" s="1"/>
  <c r="AB187" i="37" s="1"/>
  <c r="AI187" i="37" s="1"/>
  <c r="R23" i="52"/>
  <c r="S23" i="52" s="1"/>
  <c r="M82" i="56"/>
  <c r="N82" i="56" s="1"/>
  <c r="AF130" i="37" s="1"/>
  <c r="R82" i="56"/>
  <c r="S82" i="56" s="1"/>
  <c r="M52" i="56"/>
  <c r="N52" i="56" s="1"/>
  <c r="AF225" i="37" s="1"/>
  <c r="R52" i="56"/>
  <c r="S52" i="56" s="1"/>
  <c r="M81" i="70"/>
  <c r="N81" i="70" s="1"/>
  <c r="AG298" i="37" s="1"/>
  <c r="R81" i="70"/>
  <c r="S81" i="70" s="1"/>
  <c r="M21" i="47"/>
  <c r="N21" i="47" s="1"/>
  <c r="S205" i="37" s="1"/>
  <c r="S21" i="47"/>
  <c r="T21" i="47" s="1"/>
  <c r="M59" i="44"/>
  <c r="N59" i="44" s="1"/>
  <c r="V58" i="37" s="1"/>
  <c r="R59" i="44"/>
  <c r="S59" i="44" s="1"/>
  <c r="M47" i="43"/>
  <c r="N47" i="43" s="1"/>
  <c r="Y165" i="37" s="1"/>
  <c r="R47" i="43"/>
  <c r="S47" i="43" s="1"/>
  <c r="M19" i="52"/>
  <c r="N19" i="52" s="1"/>
  <c r="R19" i="52"/>
  <c r="S19" i="52" s="1"/>
  <c r="M91" i="55"/>
  <c r="N91" i="55" s="1"/>
  <c r="AE147" i="37" s="1"/>
  <c r="R91" i="55"/>
  <c r="S91" i="55" s="1"/>
  <c r="M40" i="51"/>
  <c r="N40" i="51" s="1"/>
  <c r="AA137" i="37" s="1"/>
  <c r="R40" i="51"/>
  <c r="S40" i="51" s="1"/>
  <c r="M12" i="55"/>
  <c r="N12" i="55" s="1"/>
  <c r="R12" i="55"/>
  <c r="S12" i="55" s="1"/>
  <c r="M68" i="70"/>
  <c r="N68" i="70" s="1"/>
  <c r="AG193" i="37" s="1"/>
  <c r="R68" i="70"/>
  <c r="S68" i="70" s="1"/>
  <c r="M57" i="51"/>
  <c r="N57" i="51" s="1"/>
  <c r="AA244" i="37" s="1"/>
  <c r="R57" i="51"/>
  <c r="S57" i="51" s="1"/>
  <c r="M45" i="55"/>
  <c r="N45" i="55" s="1"/>
  <c r="AE125" i="37" s="1"/>
  <c r="R45" i="55"/>
  <c r="S45" i="55" s="1"/>
  <c r="M86" i="52"/>
  <c r="N86" i="52" s="1"/>
  <c r="AB255" i="37" s="1"/>
  <c r="R86" i="52"/>
  <c r="S86" i="52" s="1"/>
  <c r="M74" i="56"/>
  <c r="N74" i="56" s="1"/>
  <c r="AF202" i="37" s="1"/>
  <c r="R74" i="56"/>
  <c r="S74" i="56" s="1"/>
  <c r="M87" i="70"/>
  <c r="N87" i="70" s="1"/>
  <c r="AG33" i="37" s="1"/>
  <c r="R87" i="70"/>
  <c r="S87" i="70" s="1"/>
  <c r="M25" i="70"/>
  <c r="N25" i="70" s="1"/>
  <c r="AG127" i="37" s="1"/>
  <c r="R25" i="70"/>
  <c r="S25" i="70" s="1"/>
  <c r="M23" i="43"/>
  <c r="N23" i="43" s="1"/>
  <c r="Y187" i="37" s="1"/>
  <c r="R23" i="43"/>
  <c r="S23" i="43" s="1"/>
  <c r="M11" i="52"/>
  <c r="N11" i="52" s="1"/>
  <c r="AB31" i="37" s="1"/>
  <c r="AI31" i="37" s="1"/>
  <c r="R11" i="52"/>
  <c r="S11" i="52" s="1"/>
  <c r="M83" i="55"/>
  <c r="N83" i="55" s="1"/>
  <c r="AE164" i="37" s="1"/>
  <c r="R83" i="55"/>
  <c r="S83" i="55" s="1"/>
  <c r="M96" i="56"/>
  <c r="N96" i="56" s="1"/>
  <c r="AF44" i="37" s="1"/>
  <c r="R96" i="56"/>
  <c r="S96" i="56" s="1"/>
  <c r="S74" i="22"/>
  <c r="T74" i="22" s="1"/>
  <c r="AK277" i="37"/>
  <c r="AK222" i="37"/>
  <c r="AK109" i="37"/>
  <c r="AK138" i="37"/>
  <c r="G277" i="37"/>
  <c r="H138" i="37"/>
  <c r="AK282" i="37"/>
  <c r="AK144" i="37"/>
  <c r="H231" i="37"/>
  <c r="H82" i="37"/>
  <c r="AK304" i="37"/>
  <c r="H229" i="37"/>
  <c r="G216" i="37"/>
  <c r="H95" i="37"/>
  <c r="AK177" i="37"/>
  <c r="AK200" i="37"/>
  <c r="S81" i="22"/>
  <c r="AK245" i="37"/>
  <c r="G242" i="37"/>
  <c r="H85" i="37"/>
  <c r="AK67" i="37"/>
  <c r="AK242" i="37"/>
  <c r="AK167" i="37"/>
  <c r="AK253" i="37"/>
  <c r="AK227" i="37"/>
  <c r="AK142" i="37"/>
  <c r="AK99" i="37"/>
  <c r="AK315" i="37"/>
  <c r="G227" i="37"/>
  <c r="AK59" i="37"/>
  <c r="H302" i="37"/>
  <c r="AK73" i="37"/>
  <c r="AK286" i="37"/>
  <c r="G302" i="37"/>
  <c r="AK226" i="37"/>
  <c r="H284" i="37"/>
  <c r="AK284" i="37"/>
  <c r="H248" i="37"/>
  <c r="AK263" i="37"/>
  <c r="AK248" i="37"/>
  <c r="H314" i="37"/>
  <c r="H241" i="37"/>
  <c r="AK189" i="37"/>
  <c r="H189" i="37"/>
  <c r="AK241" i="37"/>
  <c r="AK314" i="37"/>
  <c r="AK246" i="37"/>
  <c r="AK104" i="37"/>
  <c r="AK262" i="37"/>
  <c r="AK224" i="37"/>
  <c r="H269" i="37"/>
  <c r="AK123" i="37"/>
  <c r="AK269" i="37"/>
  <c r="AK280" i="37"/>
  <c r="AK22" i="37"/>
  <c r="AK211" i="37"/>
  <c r="AK272" i="37"/>
  <c r="AK51" i="37"/>
  <c r="AK24" i="37"/>
  <c r="AK260" i="37"/>
  <c r="AK20" i="37"/>
  <c r="AK214" i="37"/>
  <c r="AK39" i="37"/>
  <c r="AK159" i="37"/>
  <c r="AK83" i="37"/>
  <c r="AK140" i="37"/>
  <c r="H301" i="37"/>
  <c r="AK79" i="37"/>
  <c r="AK301" i="37"/>
  <c r="AK105" i="37"/>
  <c r="AK149" i="37"/>
  <c r="H144" i="37"/>
  <c r="AK201" i="37"/>
  <c r="AK210" i="37"/>
  <c r="AK258" i="37"/>
  <c r="AK18" i="37"/>
  <c r="AK169" i="37"/>
  <c r="U191" i="22"/>
  <c r="AK108" i="37"/>
  <c r="AK119" i="37"/>
  <c r="H258" i="37"/>
  <c r="AK237" i="37"/>
  <c r="AK38" i="37"/>
  <c r="D81" i="42"/>
  <c r="G81" i="42" s="1"/>
  <c r="H81" i="42" s="1"/>
  <c r="AK128" i="37"/>
  <c r="C199" i="42"/>
  <c r="I199" i="42" s="1"/>
  <c r="AK297" i="37"/>
  <c r="D257" i="42"/>
  <c r="G257" i="42" s="1"/>
  <c r="H257" i="42" s="1"/>
  <c r="AK154" i="37"/>
  <c r="C9" i="42"/>
  <c r="I9" i="42" s="1"/>
  <c r="AK11" i="37"/>
  <c r="AK131" i="37"/>
  <c r="AK62" i="37"/>
  <c r="AK325" i="37"/>
  <c r="G131" i="37"/>
  <c r="U54" i="22"/>
  <c r="AK95" i="37"/>
  <c r="AK251" i="37"/>
  <c r="U247" i="22"/>
  <c r="AK278" i="37"/>
  <c r="U284" i="22"/>
  <c r="AK102" i="37"/>
  <c r="AK256" i="37"/>
  <c r="AK320" i="37"/>
  <c r="AK19" i="37"/>
  <c r="H97" i="37"/>
  <c r="H303" i="37"/>
  <c r="S220" i="22"/>
  <c r="H197" i="37"/>
  <c r="G197" i="37"/>
  <c r="G79" i="37"/>
  <c r="H251" i="37"/>
  <c r="H287" i="37"/>
  <c r="G287" i="37"/>
  <c r="H311" i="37"/>
  <c r="H140" i="37"/>
  <c r="H278" i="37"/>
  <c r="G233" i="37"/>
  <c r="G105" i="37"/>
  <c r="H218" i="37"/>
  <c r="H260" i="37"/>
  <c r="H51" i="37"/>
  <c r="H169" i="37"/>
  <c r="G24" i="37"/>
  <c r="G268" i="37"/>
  <c r="G114" i="37"/>
  <c r="D4" i="37"/>
  <c r="G25" i="37"/>
  <c r="G245" i="37"/>
  <c r="G19" i="37"/>
  <c r="G303" i="37"/>
  <c r="G280" i="37"/>
  <c r="G272" i="37"/>
  <c r="G59" i="37"/>
  <c r="G38" i="37"/>
  <c r="H62" i="37"/>
  <c r="H315" i="37"/>
  <c r="H262" i="37"/>
  <c r="G159" i="37"/>
  <c r="G63" i="37"/>
  <c r="G281" i="37"/>
  <c r="G235" i="37"/>
  <c r="H235" i="37"/>
  <c r="S23" i="22"/>
  <c r="H10" i="37"/>
  <c r="H1" i="22"/>
  <c r="H73" i="37"/>
  <c r="G119" i="37"/>
  <c r="G282" i="37"/>
  <c r="H207" i="37"/>
  <c r="U216" i="22"/>
  <c r="U92" i="22"/>
  <c r="U29" i="22"/>
  <c r="H271" i="37"/>
  <c r="H224" i="37"/>
  <c r="H20" i="37"/>
  <c r="H320" i="37"/>
  <c r="H257" i="37"/>
  <c r="G214" i="37"/>
  <c r="G18" i="37"/>
  <c r="H123" i="37"/>
  <c r="H76" i="37"/>
  <c r="G263" i="37"/>
  <c r="G109" i="37"/>
  <c r="H237" i="37"/>
  <c r="H317" i="37"/>
  <c r="V13" i="21"/>
  <c r="V22" i="21"/>
  <c r="P25" i="21"/>
  <c r="P175" i="22"/>
  <c r="H42" i="37"/>
  <c r="G294" i="37"/>
  <c r="H120" i="37"/>
  <c r="G120" i="37"/>
  <c r="H149" i="37"/>
  <c r="H291" i="37"/>
  <c r="H256" i="37"/>
  <c r="H167" i="37"/>
  <c r="H67" i="37"/>
  <c r="H39" i="37"/>
  <c r="H299" i="37"/>
  <c r="G299" i="37"/>
  <c r="H286" i="37"/>
  <c r="H325" i="37"/>
  <c r="G201" i="37"/>
  <c r="C210" i="57"/>
  <c r="G210" i="57" s="1"/>
  <c r="H115" i="37"/>
  <c r="G115" i="37"/>
  <c r="H177" i="37"/>
  <c r="G142" i="37"/>
  <c r="S283" i="22"/>
  <c r="G222" i="37"/>
  <c r="H234" i="37"/>
  <c r="S6" i="22"/>
  <c r="H295" i="37"/>
  <c r="H83" i="37"/>
  <c r="G253" i="37"/>
  <c r="G154" i="37"/>
  <c r="P13" i="22"/>
  <c r="C285" i="57"/>
  <c r="G285" i="57" s="1"/>
  <c r="H155" i="37"/>
  <c r="G155" i="37"/>
  <c r="C277" i="57"/>
  <c r="G277" i="57" s="1"/>
  <c r="H226" i="37"/>
  <c r="C257" i="42"/>
  <c r="H104" i="37"/>
  <c r="H124" i="37"/>
  <c r="G124" i="37"/>
  <c r="G22" i="37"/>
  <c r="H161" i="37"/>
  <c r="C25" i="42"/>
  <c r="I25" i="42" s="1"/>
  <c r="H99" i="37"/>
  <c r="D25" i="42"/>
  <c r="J25" i="42" s="1"/>
  <c r="D9" i="42"/>
  <c r="G246" i="37"/>
  <c r="G102" i="37"/>
  <c r="S193" i="22"/>
  <c r="C79" i="57"/>
  <c r="G79" i="57" s="1"/>
  <c r="H16" i="37"/>
  <c r="C29" i="57"/>
  <c r="G29" i="57" s="1"/>
  <c r="B231" i="57"/>
  <c r="C277" i="42"/>
  <c r="O277" i="42" s="1"/>
  <c r="B104" i="57"/>
  <c r="B123" i="57"/>
  <c r="B224" i="57"/>
  <c r="B286" i="57"/>
  <c r="B78" i="57"/>
  <c r="D277" i="42"/>
  <c r="J277" i="42" s="1"/>
  <c r="B232" i="57"/>
  <c r="B91" i="57"/>
  <c r="D212" i="42"/>
  <c r="G212" i="42" s="1"/>
  <c r="H212" i="42" s="1"/>
  <c r="C273" i="42"/>
  <c r="O273" i="42" s="1"/>
  <c r="B222" i="57"/>
  <c r="C212" i="42"/>
  <c r="I212" i="42" s="1"/>
  <c r="D273" i="42"/>
  <c r="G273" i="42" s="1"/>
  <c r="H273" i="42" s="1"/>
  <c r="B13" i="57"/>
  <c r="B86" i="57"/>
  <c r="B11" i="57"/>
  <c r="B291" i="57"/>
  <c r="B280" i="57"/>
  <c r="B287" i="57"/>
  <c r="B8" i="57"/>
  <c r="B125" i="57"/>
  <c r="B203" i="57"/>
  <c r="B188" i="57"/>
  <c r="B60" i="57"/>
  <c r="B50" i="57"/>
  <c r="B53" i="57"/>
  <c r="B4" i="57"/>
  <c r="B246" i="57"/>
  <c r="B241" i="57"/>
  <c r="B120" i="57"/>
  <c r="B201" i="57"/>
  <c r="B97" i="57"/>
  <c r="B209" i="57"/>
  <c r="B105" i="57"/>
  <c r="B300" i="57"/>
  <c r="B46" i="57"/>
  <c r="B190" i="57"/>
  <c r="B225" i="57"/>
  <c r="B217" i="57"/>
  <c r="D199" i="42"/>
  <c r="G199" i="42" s="1"/>
  <c r="H199" i="42" s="1"/>
  <c r="B172" i="57"/>
  <c r="D320" i="57"/>
  <c r="J320" i="57" s="1"/>
  <c r="B128" i="57"/>
  <c r="B226" i="57"/>
  <c r="G210" i="37"/>
  <c r="U173" i="22"/>
  <c r="B236" i="57"/>
  <c r="C236" i="57" s="1"/>
  <c r="G236" i="57" s="1"/>
  <c r="B205" i="57"/>
  <c r="U281" i="22"/>
  <c r="B218" i="57"/>
  <c r="U234" i="22"/>
  <c r="U258" i="22"/>
  <c r="B57" i="57"/>
  <c r="U135" i="22"/>
  <c r="B155" i="57"/>
  <c r="C155" i="57" s="1"/>
  <c r="G155" i="57" s="1"/>
  <c r="U228" i="22"/>
  <c r="B171" i="57"/>
  <c r="U314" i="22"/>
  <c r="B292" i="57"/>
  <c r="U255" i="22"/>
  <c r="B27" i="57"/>
  <c r="U293" i="22"/>
  <c r="B109" i="57"/>
  <c r="B44" i="57"/>
  <c r="U5" i="22"/>
  <c r="B215" i="57"/>
  <c r="U205" i="22"/>
  <c r="U8" i="22"/>
  <c r="C293" i="42"/>
  <c r="B313" i="57"/>
  <c r="U43" i="22"/>
  <c r="B111" i="57"/>
  <c r="U238" i="22"/>
  <c r="B47" i="57"/>
  <c r="U137" i="22"/>
  <c r="U229" i="22"/>
  <c r="B130" i="57"/>
  <c r="U75" i="22"/>
  <c r="B77" i="57"/>
  <c r="B259" i="57"/>
  <c r="U133" i="22"/>
  <c r="B244" i="57"/>
  <c r="U131" i="22"/>
  <c r="B43" i="57"/>
  <c r="U104" i="22"/>
  <c r="U35" i="22"/>
  <c r="B136" i="57"/>
  <c r="U85" i="22"/>
  <c r="U15" i="22"/>
  <c r="B253" i="57"/>
  <c r="U14" i="22"/>
  <c r="B127" i="57"/>
  <c r="U174" i="22"/>
  <c r="U301" i="22"/>
  <c r="B63" i="57"/>
  <c r="B161" i="57"/>
  <c r="B207" i="57"/>
  <c r="C207" i="57" s="1"/>
  <c r="G207" i="57" s="1"/>
  <c r="U140" i="22"/>
  <c r="B279" i="57"/>
  <c r="U89" i="22"/>
  <c r="B40" i="57"/>
  <c r="U239" i="22"/>
  <c r="B249" i="57"/>
  <c r="U251" i="22"/>
  <c r="U318" i="22"/>
  <c r="B28" i="57"/>
  <c r="U128" i="22"/>
  <c r="B275" i="57"/>
  <c r="U107" i="22"/>
  <c r="B39" i="57"/>
  <c r="U9" i="22"/>
  <c r="U122" i="22"/>
  <c r="B284" i="57"/>
  <c r="B108" i="57"/>
  <c r="U313" i="22"/>
  <c r="B267" i="57"/>
  <c r="U115" i="22"/>
  <c r="U197" i="22"/>
  <c r="B233" i="57"/>
  <c r="U112" i="22"/>
  <c r="D229" i="42"/>
  <c r="J229" i="42" s="1"/>
  <c r="B220" i="57"/>
  <c r="U72" i="22"/>
  <c r="U207" i="22"/>
  <c r="B243" i="57"/>
  <c r="B293" i="57"/>
  <c r="U310" i="22"/>
  <c r="B71" i="57"/>
  <c r="U242" i="22"/>
  <c r="U175" i="22"/>
  <c r="U208" i="22"/>
  <c r="B242" i="57"/>
  <c r="B16" i="57"/>
  <c r="B165" i="57"/>
  <c r="U232" i="22"/>
  <c r="B21" i="57"/>
  <c r="U287" i="22"/>
  <c r="B196" i="57"/>
  <c r="U280" i="22"/>
  <c r="B238" i="57"/>
  <c r="U253" i="22"/>
  <c r="U26" i="22"/>
  <c r="U10" i="22"/>
  <c r="B121" i="57"/>
  <c r="U244" i="22"/>
  <c r="B198" i="57"/>
  <c r="U227" i="22"/>
  <c r="B124" i="57"/>
  <c r="U215" i="22"/>
  <c r="B147" i="57"/>
  <c r="U58" i="22"/>
  <c r="B166" i="57"/>
  <c r="U100" i="22"/>
  <c r="B55" i="57"/>
  <c r="U27" i="22"/>
  <c r="B30" i="57"/>
  <c r="U48" i="22"/>
  <c r="B311" i="57"/>
  <c r="U156" i="22"/>
  <c r="B132" i="57"/>
  <c r="B173" i="57"/>
  <c r="U79" i="22"/>
  <c r="U113" i="22"/>
  <c r="B14" i="57"/>
  <c r="B204" i="57"/>
  <c r="B212" i="57"/>
  <c r="B312" i="57"/>
  <c r="B33" i="57"/>
  <c r="B9" i="57"/>
  <c r="U233" i="22"/>
  <c r="B84" i="57"/>
  <c r="B41" i="57"/>
  <c r="U123" i="22"/>
  <c r="B202" i="57"/>
  <c r="U125" i="22"/>
  <c r="B122" i="57"/>
  <c r="U285" i="22"/>
  <c r="B234" i="57"/>
  <c r="B107" i="57"/>
  <c r="U80" i="22"/>
  <c r="B54" i="57"/>
  <c r="B251" i="57"/>
  <c r="U268" i="22"/>
  <c r="B310" i="57"/>
  <c r="U130" i="22"/>
  <c r="B74" i="57"/>
  <c r="U55" i="22"/>
  <c r="U201" i="22"/>
  <c r="B70" i="57"/>
  <c r="B283" i="57"/>
  <c r="U172" i="22"/>
  <c r="B316" i="57"/>
  <c r="U189" i="22"/>
  <c r="B133" i="57"/>
  <c r="U16" i="22"/>
  <c r="B254" i="57"/>
  <c r="B140" i="57"/>
  <c r="B309" i="57"/>
  <c r="U139" i="22"/>
  <c r="B164" i="57"/>
  <c r="B94" i="57"/>
  <c r="D313" i="42"/>
  <c r="G313" i="42" s="1"/>
  <c r="H313" i="42" s="1"/>
  <c r="B25" i="57"/>
  <c r="B174" i="57"/>
  <c r="U42" i="22"/>
  <c r="B42" i="57"/>
  <c r="U71" i="22"/>
  <c r="B163" i="57"/>
  <c r="U109" i="22"/>
  <c r="B12" i="57"/>
  <c r="C321" i="57"/>
  <c r="G321" i="57" s="1"/>
  <c r="U47" i="22"/>
  <c r="B65" i="57"/>
  <c r="U199" i="22"/>
  <c r="B252" i="57"/>
  <c r="B206" i="57"/>
  <c r="C313" i="42"/>
  <c r="O313" i="42" s="1"/>
  <c r="B88" i="57"/>
  <c r="U211" i="22"/>
  <c r="U203" i="22"/>
  <c r="U141" i="22"/>
  <c r="U250" i="22"/>
  <c r="U303" i="22"/>
  <c r="U101" i="22"/>
  <c r="U7" i="22"/>
  <c r="C134" i="57"/>
  <c r="G134" i="57" s="1"/>
  <c r="D190" i="42"/>
  <c r="J190" i="42" s="1"/>
  <c r="U192" i="22"/>
  <c r="U147" i="22"/>
  <c r="U271" i="22"/>
  <c r="U124" i="22"/>
  <c r="U167" i="22"/>
  <c r="U165" i="22"/>
  <c r="U132" i="22"/>
  <c r="U31" i="22"/>
  <c r="U45" i="22"/>
  <c r="U11" i="22"/>
  <c r="U105" i="22"/>
  <c r="U108" i="22"/>
  <c r="U134" i="22"/>
  <c r="U121" i="22"/>
  <c r="U286" i="22"/>
  <c r="U13" i="22"/>
  <c r="U223" i="22"/>
  <c r="U212" i="22"/>
  <c r="U210" i="22"/>
  <c r="U12" i="22"/>
  <c r="U41" i="22"/>
  <c r="U98" i="22"/>
  <c r="D145" i="42"/>
  <c r="U70" i="22"/>
  <c r="U254" i="22"/>
  <c r="D223" i="42"/>
  <c r="J223" i="42" s="1"/>
  <c r="U110" i="22"/>
  <c r="U143" i="22"/>
  <c r="U317" i="22"/>
  <c r="C223" i="42"/>
  <c r="O223" i="42" s="1"/>
  <c r="U22" i="22"/>
  <c r="U66" i="22"/>
  <c r="U204" i="22"/>
  <c r="U288" i="22"/>
  <c r="U136" i="22"/>
  <c r="U202" i="22"/>
  <c r="U62" i="22"/>
  <c r="U40" i="22"/>
  <c r="U51" i="22"/>
  <c r="D275" i="42"/>
  <c r="J275" i="42" s="1"/>
  <c r="U56" i="22"/>
  <c r="U87" i="22"/>
  <c r="U148" i="22"/>
  <c r="U164" i="22"/>
  <c r="U306" i="22"/>
  <c r="U24" i="22"/>
  <c r="U278" i="22"/>
  <c r="U219" i="22"/>
  <c r="C20" i="42"/>
  <c r="E20" i="42" s="1"/>
  <c r="F20" i="42" s="1"/>
  <c r="U231" i="22"/>
  <c r="U237" i="22"/>
  <c r="U59" i="22"/>
  <c r="U158" i="22"/>
  <c r="U225" i="22"/>
  <c r="C118" i="42"/>
  <c r="I118" i="42" s="1"/>
  <c r="U260" i="22"/>
  <c r="U245" i="22"/>
  <c r="U34" i="22"/>
  <c r="U64" i="22"/>
  <c r="U226" i="22"/>
  <c r="U21" i="22"/>
  <c r="U95" i="22"/>
  <c r="C108" i="42"/>
  <c r="O108" i="42" s="1"/>
  <c r="D85" i="42"/>
  <c r="G85" i="42" s="1"/>
  <c r="H85" i="42" s="1"/>
  <c r="C104" i="42"/>
  <c r="I104" i="42" s="1"/>
  <c r="C85" i="42"/>
  <c r="O85" i="42" s="1"/>
  <c r="D235" i="42"/>
  <c r="C235" i="42"/>
  <c r="O235" i="42" s="1"/>
  <c r="C36" i="42"/>
  <c r="O36" i="42" s="1"/>
  <c r="C6" i="42"/>
  <c r="I6" i="42" s="1"/>
  <c r="C81" i="42"/>
  <c r="I81" i="42" s="1"/>
  <c r="C193" i="42"/>
  <c r="O193" i="42" s="1"/>
  <c r="D176" i="42"/>
  <c r="J176" i="42" s="1"/>
  <c r="D202" i="42"/>
  <c r="J202" i="42" s="1"/>
  <c r="C202" i="42"/>
  <c r="O202" i="42" s="1"/>
  <c r="D106" i="42"/>
  <c r="G106" i="42" s="1"/>
  <c r="H106" i="42" s="1"/>
  <c r="C106" i="42"/>
  <c r="O106" i="42" s="1"/>
  <c r="D293" i="42"/>
  <c r="G293" i="42" s="1"/>
  <c r="H293" i="42" s="1"/>
  <c r="D258" i="42"/>
  <c r="C258" i="42"/>
  <c r="O258" i="42" s="1"/>
  <c r="D48" i="42"/>
  <c r="J48" i="42" s="1"/>
  <c r="D116" i="42"/>
  <c r="J116" i="42" s="1"/>
  <c r="C48" i="42"/>
  <c r="O48" i="42" s="1"/>
  <c r="C116" i="42"/>
  <c r="O116" i="42" s="1"/>
  <c r="C229" i="42"/>
  <c r="O229" i="42" s="1"/>
  <c r="D39" i="42"/>
  <c r="G39" i="42" s="1"/>
  <c r="H39" i="42" s="1"/>
  <c r="D36" i="42"/>
  <c r="J36" i="42" s="1"/>
  <c r="C39" i="42"/>
  <c r="E39" i="42" s="1"/>
  <c r="F39" i="42" s="1"/>
  <c r="C145" i="42"/>
  <c r="O145" i="42" s="1"/>
  <c r="D20" i="42"/>
  <c r="J20" i="42" s="1"/>
  <c r="D149" i="42"/>
  <c r="J149" i="42" s="1"/>
  <c r="C149" i="42"/>
  <c r="O149" i="42" s="1"/>
  <c r="D266" i="42"/>
  <c r="G266" i="42" s="1"/>
  <c r="H266" i="42" s="1"/>
  <c r="D118" i="42"/>
  <c r="G118" i="42" s="1"/>
  <c r="H118" i="42" s="1"/>
  <c r="C138" i="57"/>
  <c r="G138" i="57" s="1"/>
  <c r="C266" i="42"/>
  <c r="O266" i="42" s="1"/>
  <c r="D253" i="42"/>
  <c r="G253" i="42" s="1"/>
  <c r="H253" i="42" s="1"/>
  <c r="C253" i="42"/>
  <c r="O253" i="42" s="1"/>
  <c r="D10" i="42"/>
  <c r="G10" i="42" s="1"/>
  <c r="H10" i="42" s="1"/>
  <c r="D104" i="42"/>
  <c r="J104" i="42" s="1"/>
  <c r="D193" i="42"/>
  <c r="G193" i="42" s="1"/>
  <c r="H193" i="42" s="1"/>
  <c r="D319" i="42"/>
  <c r="C10" i="42"/>
  <c r="O10" i="42" s="1"/>
  <c r="D6" i="42"/>
  <c r="G6" i="42" s="1"/>
  <c r="H6" i="42" s="1"/>
  <c r="D290" i="42"/>
  <c r="G290" i="42" s="1"/>
  <c r="H290" i="42" s="1"/>
  <c r="C319" i="42"/>
  <c r="E319" i="42" s="1"/>
  <c r="F319" i="42" s="1"/>
  <c r="D272" i="42"/>
  <c r="J272" i="42" s="1"/>
  <c r="D27" i="42"/>
  <c r="J27" i="42" s="1"/>
  <c r="D242" i="42"/>
  <c r="G242" i="42" s="1"/>
  <c r="M242" i="42" s="1"/>
  <c r="C272" i="42"/>
  <c r="O272" i="42" s="1"/>
  <c r="C242" i="42"/>
  <c r="E242" i="42" s="1"/>
  <c r="F242" i="42" s="1"/>
  <c r="D314" i="42"/>
  <c r="J314" i="42" s="1"/>
  <c r="C190" i="42"/>
  <c r="O190" i="42" s="1"/>
  <c r="C176" i="42"/>
  <c r="I176" i="42" s="1"/>
  <c r="D284" i="42"/>
  <c r="G284" i="42" s="1"/>
  <c r="M284" i="42" s="1"/>
  <c r="C314" i="42"/>
  <c r="I314" i="42" s="1"/>
  <c r="D240" i="42"/>
  <c r="G240" i="42" s="1"/>
  <c r="M240" i="42" s="1"/>
  <c r="C284" i="42"/>
  <c r="O284" i="42" s="1"/>
  <c r="D108" i="42"/>
  <c r="G108" i="42" s="1"/>
  <c r="H108" i="42" s="1"/>
  <c r="C240" i="42"/>
  <c r="I240" i="42" s="1"/>
  <c r="D172" i="42"/>
  <c r="J172" i="42" s="1"/>
  <c r="C288" i="57"/>
  <c r="G288" i="57" s="1"/>
  <c r="C172" i="42"/>
  <c r="O172" i="42" s="1"/>
  <c r="D103" i="42"/>
  <c r="G103" i="42" s="1"/>
  <c r="H103" i="42" s="1"/>
  <c r="C14" i="42"/>
  <c r="O14" i="42" s="1"/>
  <c r="C44" i="42"/>
  <c r="I44" i="42" s="1"/>
  <c r="D47" i="42"/>
  <c r="J47" i="42" s="1"/>
  <c r="C133" i="42"/>
  <c r="O133" i="42" s="1"/>
  <c r="C211" i="42"/>
  <c r="O211" i="42" s="1"/>
  <c r="D155" i="42"/>
  <c r="J155" i="42" s="1"/>
  <c r="C311" i="42"/>
  <c r="O311" i="42" s="1"/>
  <c r="C161" i="42"/>
  <c r="E161" i="42" s="1"/>
  <c r="F161" i="42" s="1"/>
  <c r="C124" i="42"/>
  <c r="E124" i="42" s="1"/>
  <c r="F124" i="42" s="1"/>
  <c r="D220" i="42"/>
  <c r="J220" i="42" s="1"/>
  <c r="C110" i="42"/>
  <c r="I110" i="42" s="1"/>
  <c r="D59" i="42"/>
  <c r="J59" i="42" s="1"/>
  <c r="C100" i="57"/>
  <c r="G100" i="57" s="1"/>
  <c r="D316" i="42"/>
  <c r="G316" i="42" s="1"/>
  <c r="H316" i="42" s="1"/>
  <c r="D262" i="42"/>
  <c r="J262" i="42" s="1"/>
  <c r="C182" i="42"/>
  <c r="I182" i="42" s="1"/>
  <c r="C275" i="42"/>
  <c r="O275" i="42" s="1"/>
  <c r="D197" i="42"/>
  <c r="G197" i="42" s="1"/>
  <c r="H197" i="42" s="1"/>
  <c r="C237" i="42"/>
  <c r="O237" i="42" s="1"/>
  <c r="D210" i="42"/>
  <c r="G210" i="42" s="1"/>
  <c r="M210" i="42" s="1"/>
  <c r="C294" i="42"/>
  <c r="O294" i="42" s="1"/>
  <c r="C129" i="42"/>
  <c r="O129" i="42" s="1"/>
  <c r="D204" i="42"/>
  <c r="J204" i="42" s="1"/>
  <c r="D131" i="42"/>
  <c r="G131" i="42" s="1"/>
  <c r="H131" i="42" s="1"/>
  <c r="D66" i="42"/>
  <c r="G66" i="42" s="1"/>
  <c r="H66" i="42" s="1"/>
  <c r="C221" i="42"/>
  <c r="E221" i="42" s="1"/>
  <c r="F221" i="42" s="1"/>
  <c r="C160" i="42"/>
  <c r="O160" i="42" s="1"/>
  <c r="D224" i="42"/>
  <c r="J224" i="42" s="1"/>
  <c r="P105" i="22"/>
  <c r="C224" i="42"/>
  <c r="I224" i="42" s="1"/>
  <c r="D169" i="42"/>
  <c r="G169" i="42" s="1"/>
  <c r="H169" i="42" s="1"/>
  <c r="C17" i="42"/>
  <c r="I17" i="42" s="1"/>
  <c r="D288" i="42"/>
  <c r="G288" i="42" s="1"/>
  <c r="H288" i="42" s="1"/>
  <c r="C27" i="42"/>
  <c r="I27" i="42" s="1"/>
  <c r="C207" i="42"/>
  <c r="O207" i="42" s="1"/>
  <c r="C135" i="42"/>
  <c r="O135" i="42" s="1"/>
  <c r="C308" i="42"/>
  <c r="E308" i="42" s="1"/>
  <c r="F308" i="42" s="1"/>
  <c r="C280" i="42"/>
  <c r="O280" i="42" s="1"/>
  <c r="C252" i="42"/>
  <c r="O252" i="42" s="1"/>
  <c r="C4" i="42"/>
  <c r="E4" i="42" s="1"/>
  <c r="F4" i="42" s="1"/>
  <c r="D129" i="42"/>
  <c r="J129" i="42" s="1"/>
  <c r="D110" i="42"/>
  <c r="J110" i="42" s="1"/>
  <c r="D221" i="42"/>
  <c r="C131" i="42"/>
  <c r="I131" i="42" s="1"/>
  <c r="C66" i="42"/>
  <c r="O66" i="42" s="1"/>
  <c r="H121" i="37"/>
  <c r="D280" i="42"/>
  <c r="G280" i="42" s="1"/>
  <c r="H280" i="42" s="1"/>
  <c r="C59" i="42"/>
  <c r="E59" i="42" s="1"/>
  <c r="F59" i="42" s="1"/>
  <c r="S265" i="22"/>
  <c r="D182" i="42"/>
  <c r="G182" i="42" s="1"/>
  <c r="M182" i="42" s="1"/>
  <c r="D308" i="42"/>
  <c r="J308" i="42" s="1"/>
  <c r="C288" i="42"/>
  <c r="O288" i="42" s="1"/>
  <c r="D15" i="42"/>
  <c r="J15" i="42" s="1"/>
  <c r="C15" i="42"/>
  <c r="I15" i="42" s="1"/>
  <c r="C112" i="57"/>
  <c r="G112" i="57" s="1"/>
  <c r="D173" i="42"/>
  <c r="G173" i="42" s="1"/>
  <c r="H173" i="42" s="1"/>
  <c r="C173" i="42"/>
  <c r="I173" i="42" s="1"/>
  <c r="C95" i="57"/>
  <c r="G95" i="57" s="1"/>
  <c r="C155" i="42"/>
  <c r="E155" i="42" s="1"/>
  <c r="F155" i="42" s="1"/>
  <c r="D252" i="42"/>
  <c r="C316" i="42"/>
  <c r="I316" i="42" s="1"/>
  <c r="C279" i="42"/>
  <c r="O279" i="42" s="1"/>
  <c r="D279" i="42"/>
  <c r="J279" i="42" s="1"/>
  <c r="N13" i="28"/>
  <c r="C197" i="42"/>
  <c r="D133" i="42"/>
  <c r="G133" i="42" s="1"/>
  <c r="H133" i="42" s="1"/>
  <c r="D4" i="42"/>
  <c r="G4" i="42" s="1"/>
  <c r="H4" i="42" s="1"/>
  <c r="D207" i="42"/>
  <c r="J207" i="42" s="1"/>
  <c r="C129" i="57"/>
  <c r="G129" i="57" s="1"/>
  <c r="D160" i="42"/>
  <c r="G160" i="42" s="1"/>
  <c r="H160" i="42" s="1"/>
  <c r="P13" i="21"/>
  <c r="S93" i="22"/>
  <c r="D203" i="42"/>
  <c r="G203" i="42" s="1"/>
  <c r="H203" i="42" s="1"/>
  <c r="C203" i="42"/>
  <c r="O203" i="42" s="1"/>
  <c r="C126" i="57"/>
  <c r="G126" i="57" s="1"/>
  <c r="C47" i="42"/>
  <c r="O47" i="42" s="1"/>
  <c r="C169" i="42"/>
  <c r="I169" i="42" s="1"/>
  <c r="S230" i="22"/>
  <c r="D185" i="42"/>
  <c r="C262" i="42"/>
  <c r="D211" i="42"/>
  <c r="D17" i="42"/>
  <c r="J17" i="42" s="1"/>
  <c r="D5" i="42"/>
  <c r="J5" i="42" s="1"/>
  <c r="S315" i="22"/>
  <c r="C270" i="42"/>
  <c r="I270" i="42" s="1"/>
  <c r="P75" i="22"/>
  <c r="D14" i="42"/>
  <c r="J14" i="42" s="1"/>
  <c r="D294" i="42"/>
  <c r="G294" i="42" s="1"/>
  <c r="H294" i="42" s="1"/>
  <c r="C204" i="42"/>
  <c r="C220" i="42"/>
  <c r="I220" i="42" s="1"/>
  <c r="D271" i="42"/>
  <c r="G271" i="42" s="1"/>
  <c r="H271" i="42" s="1"/>
  <c r="C271" i="42"/>
  <c r="D156" i="42"/>
  <c r="S39" i="22"/>
  <c r="C156" i="42"/>
  <c r="I156" i="42" s="1"/>
  <c r="D121" i="42"/>
  <c r="J121" i="42" s="1"/>
  <c r="C121" i="42"/>
  <c r="I121" i="42" s="1"/>
  <c r="C158" i="42"/>
  <c r="D158" i="42"/>
  <c r="G158" i="42" s="1"/>
  <c r="H158" i="42" s="1"/>
  <c r="C38" i="42"/>
  <c r="O38" i="42" s="1"/>
  <c r="D164" i="42"/>
  <c r="D38" i="42"/>
  <c r="G38" i="42" s="1"/>
  <c r="H38" i="42" s="1"/>
  <c r="C164" i="42"/>
  <c r="O164" i="42" s="1"/>
  <c r="D135" i="42"/>
  <c r="D208" i="42"/>
  <c r="C208" i="42"/>
  <c r="D124" i="42"/>
  <c r="D44" i="42"/>
  <c r="P45" i="22"/>
  <c r="D237" i="42"/>
  <c r="G249" i="37"/>
  <c r="H249" i="37"/>
  <c r="G128" i="37"/>
  <c r="H128" i="37"/>
  <c r="G198" i="37"/>
  <c r="H198" i="37"/>
  <c r="C69" i="57"/>
  <c r="G69" i="57" s="1"/>
  <c r="S19" i="22"/>
  <c r="H200" i="37"/>
  <c r="G200" i="37"/>
  <c r="G75" i="37"/>
  <c r="H75" i="37"/>
  <c r="H296" i="37"/>
  <c r="G296" i="37"/>
  <c r="G223" i="37"/>
  <c r="H223" i="37"/>
  <c r="D161" i="42"/>
  <c r="S142" i="22"/>
  <c r="G211" i="37"/>
  <c r="H211" i="37"/>
  <c r="G87" i="37"/>
  <c r="H87" i="37"/>
  <c r="H53" i="37"/>
  <c r="G53" i="37"/>
  <c r="D311" i="42"/>
  <c r="J311" i="42" s="1"/>
  <c r="C114" i="42"/>
  <c r="I114" i="42" s="1"/>
  <c r="C321" i="42"/>
  <c r="O321" i="42" s="1"/>
  <c r="C99" i="57"/>
  <c r="G99" i="57" s="1"/>
  <c r="O299" i="42"/>
  <c r="E299" i="42"/>
  <c r="F299" i="42" s="1"/>
  <c r="O157" i="42"/>
  <c r="E157" i="42"/>
  <c r="F157" i="42" s="1"/>
  <c r="O126" i="42"/>
  <c r="E126" i="42"/>
  <c r="F126" i="42" s="1"/>
  <c r="O276" i="42"/>
  <c r="E276" i="42"/>
  <c r="F276" i="42" s="1"/>
  <c r="O103" i="42"/>
  <c r="E103" i="42"/>
  <c r="F103" i="42" s="1"/>
  <c r="G170" i="42"/>
  <c r="H170" i="42" s="1"/>
  <c r="G246" i="42"/>
  <c r="H246" i="42" s="1"/>
  <c r="G201" i="42"/>
  <c r="H201" i="42" s="1"/>
  <c r="O246" i="42"/>
  <c r="E246" i="42"/>
  <c r="F246" i="42" s="1"/>
  <c r="O201" i="42"/>
  <c r="E201" i="42"/>
  <c r="F201" i="42" s="1"/>
  <c r="G305" i="42"/>
  <c r="H305" i="42" s="1"/>
  <c r="O170" i="42"/>
  <c r="E170" i="42"/>
  <c r="F170" i="42" s="1"/>
  <c r="G146" i="42"/>
  <c r="H146" i="42" s="1"/>
  <c r="G167" i="42"/>
  <c r="H167" i="42" s="1"/>
  <c r="G322" i="42"/>
  <c r="H322" i="42" s="1"/>
  <c r="O249" i="42"/>
  <c r="E249" i="42"/>
  <c r="F249" i="42" s="1"/>
  <c r="G57" i="42"/>
  <c r="H57" i="42" s="1"/>
  <c r="O146" i="42"/>
  <c r="E146" i="42"/>
  <c r="F146" i="42" s="1"/>
  <c r="O167" i="42"/>
  <c r="E167" i="42"/>
  <c r="F167" i="42" s="1"/>
  <c r="G120" i="42"/>
  <c r="H120" i="42" s="1"/>
  <c r="E322" i="42"/>
  <c r="F322" i="42" s="1"/>
  <c r="O322" i="42"/>
  <c r="O57" i="42"/>
  <c r="E57" i="42"/>
  <c r="F57" i="42" s="1"/>
  <c r="G300" i="42"/>
  <c r="H300" i="42" s="1"/>
  <c r="O128" i="42"/>
  <c r="E128" i="42"/>
  <c r="F128" i="42" s="1"/>
  <c r="G62" i="42"/>
  <c r="H62" i="42" s="1"/>
  <c r="G251" i="42"/>
  <c r="H251" i="42" s="1"/>
  <c r="G35" i="42"/>
  <c r="H35" i="42" s="1"/>
  <c r="O120" i="42"/>
  <c r="E120" i="42"/>
  <c r="F120" i="42" s="1"/>
  <c r="O300" i="42"/>
  <c r="E300" i="42"/>
  <c r="F300" i="42" s="1"/>
  <c r="G128" i="42"/>
  <c r="M128" i="42" s="1"/>
  <c r="E62" i="42"/>
  <c r="F62" i="42" s="1"/>
  <c r="O62" i="42"/>
  <c r="O251" i="42"/>
  <c r="E251" i="42"/>
  <c r="F251" i="42" s="1"/>
  <c r="O35" i="42"/>
  <c r="E35" i="42"/>
  <c r="F35" i="42" s="1"/>
  <c r="G249" i="42"/>
  <c r="H249" i="42" s="1"/>
  <c r="G16" i="42"/>
  <c r="H16" i="42" s="1"/>
  <c r="G144" i="42"/>
  <c r="H144" i="42" s="1"/>
  <c r="G306" i="42"/>
  <c r="H306" i="42" s="1"/>
  <c r="O305" i="42"/>
  <c r="E305" i="42"/>
  <c r="F305" i="42" s="1"/>
  <c r="O144" i="42"/>
  <c r="E144" i="42"/>
  <c r="F144" i="42" s="1"/>
  <c r="E306" i="42"/>
  <c r="F306" i="42" s="1"/>
  <c r="O306" i="42"/>
  <c r="O16" i="42"/>
  <c r="E16" i="42"/>
  <c r="F16" i="42" s="1"/>
  <c r="G216" i="42"/>
  <c r="H216" i="42" s="1"/>
  <c r="E216" i="42"/>
  <c r="F216" i="42" s="1"/>
  <c r="O216" i="42"/>
  <c r="G276" i="42"/>
  <c r="H276" i="42" s="1"/>
  <c r="G134" i="42"/>
  <c r="H134" i="42" s="1"/>
  <c r="O134" i="42"/>
  <c r="E134" i="42"/>
  <c r="F134" i="42" s="1"/>
  <c r="G150" i="42"/>
  <c r="H150" i="42" s="1"/>
  <c r="G180" i="42"/>
  <c r="H180" i="42" s="1"/>
  <c r="O150" i="42"/>
  <c r="E150" i="42"/>
  <c r="F150" i="42" s="1"/>
  <c r="O210" i="42"/>
  <c r="E210" i="42"/>
  <c r="F210" i="42" s="1"/>
  <c r="O180" i="42"/>
  <c r="E180" i="42"/>
  <c r="F180" i="42" s="1"/>
  <c r="G299" i="42"/>
  <c r="M299" i="42" s="1"/>
  <c r="G157" i="42"/>
  <c r="H157" i="42" s="1"/>
  <c r="G126" i="42"/>
  <c r="H126" i="42" s="1"/>
  <c r="C123" i="42"/>
  <c r="D123" i="42"/>
  <c r="D321" i="42"/>
  <c r="C213" i="57"/>
  <c r="G213" i="57" s="1"/>
  <c r="C23" i="42"/>
  <c r="D23" i="42"/>
  <c r="C209" i="42"/>
  <c r="D209" i="42"/>
  <c r="C136" i="42"/>
  <c r="D136" i="42"/>
  <c r="C130" i="42"/>
  <c r="D130" i="42"/>
  <c r="I16" i="42"/>
  <c r="I300" i="42"/>
  <c r="J128" i="42"/>
  <c r="I62" i="42"/>
  <c r="I251" i="42"/>
  <c r="I35" i="42"/>
  <c r="J16" i="42"/>
  <c r="I57" i="42"/>
  <c r="J251" i="42"/>
  <c r="C171" i="42"/>
  <c r="D171" i="42"/>
  <c r="C323" i="42"/>
  <c r="D323" i="42"/>
  <c r="D254" i="42"/>
  <c r="C254" i="42"/>
  <c r="C302" i="57"/>
  <c r="G302" i="57" s="1"/>
  <c r="C233" i="42"/>
  <c r="D233" i="42"/>
  <c r="C289" i="42"/>
  <c r="D289" i="42"/>
  <c r="C188" i="42"/>
  <c r="D188" i="42"/>
  <c r="C231" i="42"/>
  <c r="D231" i="42"/>
  <c r="J144" i="42"/>
  <c r="J300" i="42"/>
  <c r="J35" i="42"/>
  <c r="C281" i="42"/>
  <c r="D281" i="42"/>
  <c r="C21" i="42"/>
  <c r="D21" i="42"/>
  <c r="J134" i="42"/>
  <c r="I144" i="42"/>
  <c r="C213" i="42"/>
  <c r="D213" i="42"/>
  <c r="C154" i="42"/>
  <c r="D154" i="42"/>
  <c r="J62" i="42"/>
  <c r="D88" i="42"/>
  <c r="C88" i="42"/>
  <c r="C70" i="42"/>
  <c r="D70" i="42"/>
  <c r="C283" i="42"/>
  <c r="D283" i="42"/>
  <c r="C141" i="42"/>
  <c r="D141" i="42"/>
  <c r="C168" i="42"/>
  <c r="D168" i="42"/>
  <c r="C247" i="42"/>
  <c r="D247" i="42"/>
  <c r="C178" i="42"/>
  <c r="D178" i="42"/>
  <c r="I134" i="42"/>
  <c r="J216" i="42"/>
  <c r="J306" i="42"/>
  <c r="I128" i="42"/>
  <c r="C183" i="42"/>
  <c r="D183" i="42"/>
  <c r="I216" i="42"/>
  <c r="I306" i="42"/>
  <c r="C184" i="42"/>
  <c r="D184" i="42"/>
  <c r="C195" i="42"/>
  <c r="D195" i="42"/>
  <c r="J299" i="42"/>
  <c r="J157" i="42"/>
  <c r="J150" i="42"/>
  <c r="C261" i="42"/>
  <c r="D261" i="42"/>
  <c r="C303" i="42"/>
  <c r="D303" i="42"/>
  <c r="D282" i="42"/>
  <c r="C282" i="42"/>
  <c r="C162" i="42"/>
  <c r="D162" i="42"/>
  <c r="D192" i="42"/>
  <c r="C192" i="42"/>
  <c r="C6" i="57"/>
  <c r="G6" i="57" s="1"/>
  <c r="C265" i="42"/>
  <c r="D265" i="42"/>
  <c r="I299" i="42"/>
  <c r="I157" i="42"/>
  <c r="I150" i="42"/>
  <c r="I210" i="42"/>
  <c r="D82" i="42"/>
  <c r="C82" i="42"/>
  <c r="C166" i="42"/>
  <c r="D166" i="42"/>
  <c r="C22" i="42"/>
  <c r="D22" i="42"/>
  <c r="C320" i="42"/>
  <c r="D320" i="42"/>
  <c r="J126" i="42"/>
  <c r="J180" i="42"/>
  <c r="C278" i="42"/>
  <c r="D278" i="42"/>
  <c r="C153" i="42"/>
  <c r="D153" i="42"/>
  <c r="D29" i="42"/>
  <c r="C29" i="42"/>
  <c r="C214" i="42"/>
  <c r="D214" i="42"/>
  <c r="I126" i="42"/>
  <c r="I180" i="42"/>
  <c r="C163" i="42"/>
  <c r="D163" i="42"/>
  <c r="C186" i="42"/>
  <c r="D186" i="42"/>
  <c r="P12" i="21"/>
  <c r="J246" i="42"/>
  <c r="J201" i="42"/>
  <c r="J276" i="42"/>
  <c r="C295" i="42"/>
  <c r="D295" i="42"/>
  <c r="C181" i="42"/>
  <c r="D181" i="42"/>
  <c r="D115" i="42"/>
  <c r="C115" i="42"/>
  <c r="C122" i="42"/>
  <c r="D122" i="42"/>
  <c r="C274" i="42"/>
  <c r="D274" i="42"/>
  <c r="C243" i="42"/>
  <c r="D243" i="42"/>
  <c r="I246" i="42"/>
  <c r="I201" i="42"/>
  <c r="I276" i="42"/>
  <c r="C159" i="42"/>
  <c r="D159" i="42"/>
  <c r="C189" i="42"/>
  <c r="D189" i="42"/>
  <c r="C232" i="42"/>
  <c r="D232" i="42"/>
  <c r="D287" i="42"/>
  <c r="C287" i="42"/>
  <c r="J322" i="42"/>
  <c r="J120" i="42"/>
  <c r="J249" i="42"/>
  <c r="I103" i="42"/>
  <c r="D317" i="42"/>
  <c r="C317" i="42"/>
  <c r="C263" i="42"/>
  <c r="D263" i="42"/>
  <c r="C138" i="42"/>
  <c r="D138" i="42"/>
  <c r="C86" i="42"/>
  <c r="D86" i="42"/>
  <c r="C228" i="42"/>
  <c r="D228" i="42"/>
  <c r="D238" i="42"/>
  <c r="C238" i="42"/>
  <c r="I322" i="42"/>
  <c r="I120" i="42"/>
  <c r="I249" i="42"/>
  <c r="J305" i="42"/>
  <c r="C225" i="42"/>
  <c r="D225" i="42"/>
  <c r="D285" i="42"/>
  <c r="C285" i="42"/>
  <c r="C187" i="42"/>
  <c r="D187" i="42"/>
  <c r="C177" i="42"/>
  <c r="D177" i="42"/>
  <c r="C143" i="42"/>
  <c r="D143" i="42"/>
  <c r="I305" i="42"/>
  <c r="J146" i="42"/>
  <c r="J167" i="42"/>
  <c r="J170" i="42"/>
  <c r="D215" i="42"/>
  <c r="C215" i="42"/>
  <c r="C292" i="42"/>
  <c r="D292" i="42"/>
  <c r="J57" i="42"/>
  <c r="I146" i="42"/>
  <c r="I167" i="42"/>
  <c r="I170" i="42"/>
  <c r="S248" i="22"/>
  <c r="P248" i="22"/>
  <c r="P252" i="22"/>
  <c r="C146" i="57"/>
  <c r="G146" i="57" s="1"/>
  <c r="N24" i="28"/>
  <c r="P12" i="22"/>
  <c r="N24" i="27"/>
  <c r="C157" i="57"/>
  <c r="G157" i="57" s="1"/>
  <c r="C10" i="57"/>
  <c r="G10" i="57" s="1"/>
  <c r="C191" i="57"/>
  <c r="G191" i="57" s="1"/>
  <c r="C135" i="57"/>
  <c r="G135" i="57" s="1"/>
  <c r="V25" i="21"/>
  <c r="P23" i="21"/>
  <c r="V12" i="21"/>
  <c r="V14" i="21"/>
  <c r="V24" i="21"/>
  <c r="V20" i="21"/>
  <c r="V15" i="21"/>
  <c r="V16" i="21"/>
  <c r="V21" i="21"/>
  <c r="V23" i="21"/>
  <c r="V17" i="21"/>
  <c r="V19" i="21"/>
  <c r="C102" i="57"/>
  <c r="G102" i="57" s="1"/>
  <c r="C230" i="57"/>
  <c r="G230" i="57" s="1"/>
  <c r="C308" i="57"/>
  <c r="G308" i="57" s="1"/>
  <c r="C96" i="57"/>
  <c r="G96" i="57" s="1"/>
  <c r="S65" i="22"/>
  <c r="C193" i="57"/>
  <c r="G193" i="57" s="1"/>
  <c r="C200" i="57"/>
  <c r="G200" i="57" s="1"/>
  <c r="C106" i="57"/>
  <c r="G106" i="57" s="1"/>
  <c r="C58" i="57"/>
  <c r="G58" i="57" s="1"/>
  <c r="C257" i="57"/>
  <c r="G257" i="57" s="1"/>
  <c r="S119" i="22"/>
  <c r="T119" i="22" s="1"/>
  <c r="P119" i="22"/>
  <c r="C23" i="57"/>
  <c r="G23" i="57" s="1"/>
  <c r="V18" i="21"/>
  <c r="P18" i="21"/>
  <c r="P15" i="21"/>
  <c r="P24" i="21"/>
  <c r="P21" i="21"/>
  <c r="P177" i="22"/>
  <c r="S177" i="22"/>
  <c r="P17" i="21"/>
  <c r="P22" i="21"/>
  <c r="P19" i="21"/>
  <c r="P20" i="21"/>
  <c r="P16" i="21"/>
  <c r="C101" i="57"/>
  <c r="G101" i="57" s="1"/>
  <c r="C228" i="57"/>
  <c r="G228" i="57" s="1"/>
  <c r="C81" i="57"/>
  <c r="G81" i="57" s="1"/>
  <c r="N14" i="28"/>
  <c r="C26" i="57"/>
  <c r="G26" i="57" s="1"/>
  <c r="C103" i="57"/>
  <c r="G103" i="57" s="1"/>
  <c r="N18" i="28"/>
  <c r="N20" i="27"/>
  <c r="N25" i="27"/>
  <c r="N17" i="28"/>
  <c r="N23" i="28"/>
  <c r="N14" i="27"/>
  <c r="N15" i="27"/>
  <c r="N22" i="28"/>
  <c r="N21" i="27"/>
  <c r="N20" i="28"/>
  <c r="N22" i="27"/>
  <c r="N15" i="28"/>
  <c r="C20" i="57"/>
  <c r="G20" i="57" s="1"/>
  <c r="C34" i="57"/>
  <c r="G34" i="57" s="1"/>
  <c r="N17" i="27"/>
  <c r="N19" i="27"/>
  <c r="N23" i="27"/>
  <c r="N16" i="27"/>
  <c r="I26" i="28"/>
  <c r="N21" i="28"/>
  <c r="N18" i="27"/>
  <c r="C211" i="57"/>
  <c r="G211" i="57" s="1"/>
  <c r="C114" i="57"/>
  <c r="G114" i="57" s="1"/>
  <c r="N16" i="28"/>
  <c r="N25" i="28"/>
  <c r="N19" i="28"/>
  <c r="I26" i="27"/>
  <c r="P26" i="27"/>
  <c r="E8" i="29" s="1"/>
  <c r="P26" i="28"/>
  <c r="E9" i="29" s="1"/>
  <c r="C305" i="57"/>
  <c r="G305" i="57" s="1"/>
  <c r="O31" i="27"/>
  <c r="Q31" i="21"/>
  <c r="R31" i="21"/>
  <c r="R26" i="21"/>
  <c r="O26" i="21"/>
  <c r="O31" i="28"/>
  <c r="P31" i="28"/>
  <c r="N12" i="27"/>
  <c r="M26" i="28"/>
  <c r="N13" i="27"/>
  <c r="C7" i="57"/>
  <c r="G7" i="57" s="1"/>
  <c r="J26" i="21"/>
  <c r="M26" i="27"/>
  <c r="N12" i="28"/>
  <c r="C168" i="57"/>
  <c r="G168" i="57" s="1"/>
  <c r="C227" i="57"/>
  <c r="G227" i="57" s="1"/>
  <c r="C250" i="57"/>
  <c r="G250" i="57" s="1"/>
  <c r="C237" i="57"/>
  <c r="G237" i="57" s="1"/>
  <c r="C317" i="57"/>
  <c r="G317" i="57" s="1"/>
  <c r="AA71" i="37" l="1"/>
  <c r="Z13" i="37"/>
  <c r="Z134" i="37"/>
  <c r="T52" i="37"/>
  <c r="T185" i="37"/>
  <c r="X35" i="37"/>
  <c r="X190" i="37"/>
  <c r="Y220" i="37"/>
  <c r="Y35" i="37"/>
  <c r="Y190" i="37"/>
  <c r="U13" i="37"/>
  <c r="U134" i="37"/>
  <c r="W35" i="37"/>
  <c r="W190" i="37"/>
  <c r="X74" i="37"/>
  <c r="X172" i="37"/>
  <c r="Y147" i="37"/>
  <c r="AG74" i="37"/>
  <c r="AG172" i="37"/>
  <c r="Z187" i="37"/>
  <c r="AC187" i="37" s="1"/>
  <c r="U58" i="37"/>
  <c r="Y58" i="37"/>
  <c r="AE52" i="37"/>
  <c r="AE185" i="37"/>
  <c r="T35" i="37"/>
  <c r="T190" i="37"/>
  <c r="W57" i="37"/>
  <c r="X52" i="37"/>
  <c r="X185" i="37"/>
  <c r="V74" i="37"/>
  <c r="V172" i="37"/>
  <c r="T309" i="37"/>
  <c r="T182" i="37"/>
  <c r="S147" i="37"/>
  <c r="T57" i="37"/>
  <c r="AG52" i="37"/>
  <c r="AG185" i="37"/>
  <c r="AD44" i="37"/>
  <c r="U309" i="37"/>
  <c r="U182" i="37"/>
  <c r="U35" i="37"/>
  <c r="U190" i="37"/>
  <c r="W183" i="37"/>
  <c r="AE35" i="37"/>
  <c r="AE190" i="37"/>
  <c r="Y71" i="37"/>
  <c r="W13" i="37"/>
  <c r="W134" i="37"/>
  <c r="X220" i="37"/>
  <c r="U33" i="22"/>
  <c r="Z35" i="37"/>
  <c r="Z190" i="37"/>
  <c r="AD309" i="37"/>
  <c r="AD182" i="37"/>
  <c r="AA52" i="37"/>
  <c r="AA185" i="37"/>
  <c r="V52" i="37"/>
  <c r="V185" i="37"/>
  <c r="AE194" i="37"/>
  <c r="U162" i="37"/>
  <c r="AE183" i="37"/>
  <c r="AA35" i="37"/>
  <c r="AA190" i="37"/>
  <c r="V162" i="37"/>
  <c r="AA13" i="37"/>
  <c r="AA134" i="37"/>
  <c r="S35" i="37"/>
  <c r="S190" i="37"/>
  <c r="AC190" i="37" s="1"/>
  <c r="AG309" i="37"/>
  <c r="AG182" i="37"/>
  <c r="V13" i="37"/>
  <c r="V134" i="37"/>
  <c r="U52" i="37"/>
  <c r="U185" i="37"/>
  <c r="Z74" i="37"/>
  <c r="Z172" i="37"/>
  <c r="V187" i="37"/>
  <c r="AF309" i="37"/>
  <c r="AF182" i="37"/>
  <c r="Y74" i="37"/>
  <c r="Y172" i="37"/>
  <c r="AF183" i="37"/>
  <c r="AF162" i="37"/>
  <c r="AD147" i="37"/>
  <c r="AB220" i="37"/>
  <c r="AI220" i="37" s="1"/>
  <c r="AE71" i="37"/>
  <c r="AG194" i="37"/>
  <c r="X150" i="37"/>
  <c r="AA309" i="37"/>
  <c r="AA182" i="37"/>
  <c r="AF35" i="37"/>
  <c r="AF190" i="37"/>
  <c r="Y13" i="37"/>
  <c r="Y134" i="37"/>
  <c r="AE187" i="37"/>
  <c r="AH187" i="37" s="1"/>
  <c r="O77" i="22" s="1"/>
  <c r="Q77" i="22" s="1"/>
  <c r="Z309" i="37"/>
  <c r="Z182" i="37"/>
  <c r="S57" i="37"/>
  <c r="AD150" i="37"/>
  <c r="AD35" i="37"/>
  <c r="AD190" i="37"/>
  <c r="X54" i="37"/>
  <c r="V71" i="37"/>
  <c r="X309" i="37"/>
  <c r="X182" i="37"/>
  <c r="S162" i="37"/>
  <c r="AA187" i="37"/>
  <c r="X13" i="37"/>
  <c r="X134" i="37"/>
  <c r="AG71" i="37"/>
  <c r="U187" i="37"/>
  <c r="AF52" i="37"/>
  <c r="AF185" i="37"/>
  <c r="AE13" i="37"/>
  <c r="AE134" i="37"/>
  <c r="S54" i="37"/>
  <c r="AF13" i="37"/>
  <c r="AF134" i="37"/>
  <c r="AD13" i="37"/>
  <c r="AH13" i="37" s="1"/>
  <c r="O49" i="22" s="1"/>
  <c r="Q49" i="22" s="1"/>
  <c r="AD134" i="37"/>
  <c r="AH134" i="37" s="1"/>
  <c r="O153" i="22" s="1"/>
  <c r="Q153" i="22" s="1"/>
  <c r="AG13" i="37"/>
  <c r="AG134" i="37"/>
  <c r="Y194" i="37"/>
  <c r="Z194" i="37"/>
  <c r="AB309" i="37"/>
  <c r="AI309" i="37" s="1"/>
  <c r="AB182" i="37"/>
  <c r="AI182" i="37" s="1"/>
  <c r="W58" i="37"/>
  <c r="X130" i="37"/>
  <c r="AB35" i="37"/>
  <c r="AI35" i="37" s="1"/>
  <c r="AB190" i="37"/>
  <c r="AI190" i="37" s="1"/>
  <c r="Y150" i="37"/>
  <c r="Y238" i="37"/>
  <c r="U74" i="37"/>
  <c r="U172" i="37"/>
  <c r="V54" i="37"/>
  <c r="AF147" i="37"/>
  <c r="AA44" i="37"/>
  <c r="U57" i="37"/>
  <c r="Z150" i="37"/>
  <c r="AB71" i="37"/>
  <c r="AI71" i="37" s="1"/>
  <c r="S74" i="37"/>
  <c r="S172" i="37"/>
  <c r="AC172" i="37" s="1"/>
  <c r="T183" i="37"/>
  <c r="AA238" i="37"/>
  <c r="W147" i="37"/>
  <c r="AB130" i="37"/>
  <c r="AI130" i="37" s="1"/>
  <c r="X183" i="37"/>
  <c r="AB13" i="37"/>
  <c r="AI13" i="37" s="1"/>
  <c r="AB134" i="37"/>
  <c r="AI134" i="37" s="1"/>
  <c r="Y130" i="37"/>
  <c r="AE54" i="37"/>
  <c r="AE130" i="37"/>
  <c r="Z162" i="37"/>
  <c r="Z238" i="37"/>
  <c r="AC238" i="37" s="1"/>
  <c r="Z58" i="37"/>
  <c r="X194" i="37"/>
  <c r="AD58" i="37"/>
  <c r="AG35" i="37"/>
  <c r="AG190" i="37"/>
  <c r="X162" i="37"/>
  <c r="Y54" i="37"/>
  <c r="AA57" i="37"/>
  <c r="S44" i="37"/>
  <c r="V309" i="37"/>
  <c r="V182" i="37"/>
  <c r="AG44" i="37"/>
  <c r="AH44" i="37" s="1"/>
  <c r="O320" i="22" s="1"/>
  <c r="Q320" i="22" s="1"/>
  <c r="W162" i="37"/>
  <c r="S309" i="37"/>
  <c r="S182" i="37"/>
  <c r="T13" i="37"/>
  <c r="T134" i="37"/>
  <c r="AE74" i="37"/>
  <c r="AE172" i="37"/>
  <c r="AD74" i="37"/>
  <c r="AD172" i="37"/>
  <c r="AD60" i="37"/>
  <c r="AD240" i="37"/>
  <c r="AH240" i="37" s="1"/>
  <c r="O38" i="22" s="1"/>
  <c r="Q38" i="22" s="1"/>
  <c r="U71" i="37"/>
  <c r="AC71" i="37" s="1"/>
  <c r="AB238" i="37"/>
  <c r="AI238" i="37" s="1"/>
  <c r="S13" i="37"/>
  <c r="S134" i="37"/>
  <c r="X147" i="37"/>
  <c r="V44" i="37"/>
  <c r="V35" i="37"/>
  <c r="V190" i="37"/>
  <c r="Y309" i="37"/>
  <c r="AC309" i="37" s="1"/>
  <c r="Y182" i="37"/>
  <c r="AF74" i="37"/>
  <c r="AF172" i="37"/>
  <c r="AB162" i="37"/>
  <c r="AI162" i="37" s="1"/>
  <c r="S71" i="37"/>
  <c r="AF54" i="37"/>
  <c r="Y183" i="37"/>
  <c r="AC183" i="37" s="1"/>
  <c r="AC240" i="37"/>
  <c r="U194" i="37"/>
  <c r="W52" i="37"/>
  <c r="W185" i="37"/>
  <c r="AA74" i="37"/>
  <c r="AA172" i="37"/>
  <c r="AB194" i="37"/>
  <c r="AI194" i="37" s="1"/>
  <c r="T147" i="37"/>
  <c r="AC147" i="37" s="1"/>
  <c r="T220" i="37"/>
  <c r="U54" i="37"/>
  <c r="D105" i="42"/>
  <c r="T162" i="37"/>
  <c r="AD52" i="37"/>
  <c r="AH52" i="37" s="1"/>
  <c r="O18" i="22" s="1"/>
  <c r="Q18" i="22" s="1"/>
  <c r="AD185" i="37"/>
  <c r="U44" i="37"/>
  <c r="AB58" i="37"/>
  <c r="AI58" i="37" s="1"/>
  <c r="T74" i="37"/>
  <c r="T172" i="37"/>
  <c r="V147" i="37"/>
  <c r="T58" i="37"/>
  <c r="AC58" i="37" s="1"/>
  <c r="S220" i="37"/>
  <c r="C105" i="42"/>
  <c r="W74" i="37"/>
  <c r="W172" i="37"/>
  <c r="W309" i="37"/>
  <c r="W182" i="37"/>
  <c r="Z52" i="37"/>
  <c r="Z185" i="37"/>
  <c r="W150" i="37"/>
  <c r="AG238" i="37"/>
  <c r="S52" i="37"/>
  <c r="S185" i="37"/>
  <c r="AC185" i="37" s="1"/>
  <c r="AE309" i="37"/>
  <c r="AE182" i="37"/>
  <c r="S130" i="37"/>
  <c r="B272" i="57"/>
  <c r="D127" i="42"/>
  <c r="G127" i="42" s="1"/>
  <c r="H127" i="42" s="1"/>
  <c r="B35" i="57"/>
  <c r="D217" i="42"/>
  <c r="U36" i="22"/>
  <c r="C217" i="42"/>
  <c r="C175" i="42"/>
  <c r="E175" i="42" s="1"/>
  <c r="F175" i="42" s="1"/>
  <c r="D175" i="42"/>
  <c r="J175" i="42" s="1"/>
  <c r="U273" i="22"/>
  <c r="U291" i="22"/>
  <c r="B290" i="57"/>
  <c r="C127" i="42"/>
  <c r="E127" i="42" s="1"/>
  <c r="F127" i="42" s="1"/>
  <c r="D259" i="42"/>
  <c r="D218" i="42"/>
  <c r="C218" i="42"/>
  <c r="U222" i="22"/>
  <c r="C259" i="42"/>
  <c r="O259" i="42" s="1"/>
  <c r="U28" i="22"/>
  <c r="B221" i="57"/>
  <c r="U252" i="22"/>
  <c r="B32" i="57"/>
  <c r="U166" i="22"/>
  <c r="U99" i="22"/>
  <c r="U311" i="22"/>
  <c r="C226" i="42"/>
  <c r="D226" i="42"/>
  <c r="U290" i="22"/>
  <c r="C64" i="42"/>
  <c r="E64" i="42" s="1"/>
  <c r="F64" i="42" s="1"/>
  <c r="D64" i="42"/>
  <c r="J64" i="42" s="1"/>
  <c r="U120" i="22"/>
  <c r="B289" i="57"/>
  <c r="B119" i="57"/>
  <c r="B248" i="57"/>
  <c r="C248" i="57" s="1"/>
  <c r="G248" i="57" s="1"/>
  <c r="C198" i="42"/>
  <c r="I198" i="42" s="1"/>
  <c r="U243" i="22"/>
  <c r="U305" i="22"/>
  <c r="B181" i="57"/>
  <c r="C181" i="57" s="1"/>
  <c r="G181" i="57" s="1"/>
  <c r="B304" i="57"/>
  <c r="U267" i="22"/>
  <c r="C245" i="42"/>
  <c r="I245" i="42" s="1"/>
  <c r="D245" i="42"/>
  <c r="G245" i="42" s="1"/>
  <c r="H245" i="42" s="1"/>
  <c r="U182" i="22"/>
  <c r="D310" i="42"/>
  <c r="J310" i="42" s="1"/>
  <c r="B318" i="57"/>
  <c r="U316" i="22"/>
  <c r="C5" i="42"/>
  <c r="E5" i="42" s="1"/>
  <c r="F5" i="42" s="1"/>
  <c r="U276" i="22"/>
  <c r="B315" i="57"/>
  <c r="D307" i="42"/>
  <c r="U319" i="22"/>
  <c r="C307" i="42"/>
  <c r="C310" i="42"/>
  <c r="I310" i="42" s="1"/>
  <c r="AH48" i="37"/>
  <c r="O91" i="22" s="1"/>
  <c r="Q91" i="22" s="1"/>
  <c r="U235" i="22"/>
  <c r="U196" i="22"/>
  <c r="B266" i="57"/>
  <c r="C266" i="57" s="1"/>
  <c r="G266" i="57" s="1"/>
  <c r="B195" i="57"/>
  <c r="C195" i="57" s="1"/>
  <c r="C290" i="42"/>
  <c r="I290" i="42" s="1"/>
  <c r="B98" i="57"/>
  <c r="AH137" i="37"/>
  <c r="O150" i="22" s="1"/>
  <c r="Q150" i="22" s="1"/>
  <c r="E11" i="58"/>
  <c r="F11" i="58" s="1"/>
  <c r="G12" i="58" s="1"/>
  <c r="E27" i="58" s="1"/>
  <c r="F27" i="58" s="1"/>
  <c r="G27" i="58" s="1"/>
  <c r="G28" i="58" s="1"/>
  <c r="AC34" i="37"/>
  <c r="N178" i="22" s="1"/>
  <c r="T19" i="22"/>
  <c r="AK174" i="37" s="1"/>
  <c r="D270" i="42"/>
  <c r="T93" i="22"/>
  <c r="AK198" i="37" s="1"/>
  <c r="B216" i="57"/>
  <c r="C216" i="57" s="1"/>
  <c r="G216" i="57" s="1"/>
  <c r="U213" i="22"/>
  <c r="T23" i="22"/>
  <c r="D69" i="42" s="1"/>
  <c r="AK270" i="37"/>
  <c r="AK204" i="37"/>
  <c r="AK288" i="37"/>
  <c r="AK312" i="37"/>
  <c r="D114" i="42"/>
  <c r="T315" i="22"/>
  <c r="U315" i="22" s="1"/>
  <c r="C117" i="42"/>
  <c r="I117" i="42" s="1"/>
  <c r="D198" i="42"/>
  <c r="J198" i="42" s="1"/>
  <c r="T220" i="22"/>
  <c r="C219" i="42" s="1"/>
  <c r="O219" i="42" s="1"/>
  <c r="T81" i="22"/>
  <c r="D45" i="42" s="1"/>
  <c r="G45" i="42" s="1"/>
  <c r="H45" i="42" s="1"/>
  <c r="T248" i="22"/>
  <c r="AK291" i="37" s="1"/>
  <c r="T39" i="22"/>
  <c r="AK75" i="37" s="1"/>
  <c r="T177" i="22"/>
  <c r="AK85" i="37" s="1"/>
  <c r="T65" i="22"/>
  <c r="AK223" i="37" s="1"/>
  <c r="D117" i="42"/>
  <c r="G117" i="42" s="1"/>
  <c r="H117" i="42" s="1"/>
  <c r="T193" i="22"/>
  <c r="AK317" i="37" s="1"/>
  <c r="T142" i="22"/>
  <c r="AK53" i="37" s="1"/>
  <c r="T6" i="22"/>
  <c r="AK56" i="37" s="1"/>
  <c r="T230" i="22"/>
  <c r="AK296" i="37" s="1"/>
  <c r="T283" i="22"/>
  <c r="AK16" i="37" s="1"/>
  <c r="T265" i="22"/>
  <c r="AK121" i="37" s="1"/>
  <c r="AH163" i="37"/>
  <c r="O52" i="22" s="1"/>
  <c r="Q52" i="22" s="1"/>
  <c r="AC103" i="37"/>
  <c r="N138" i="22" s="1"/>
  <c r="AH194" i="37"/>
  <c r="O275" i="22" s="1"/>
  <c r="Q275" i="22" s="1"/>
  <c r="AH146" i="37"/>
  <c r="O304" i="22" s="1"/>
  <c r="Q304" i="22" s="1"/>
  <c r="AH164" i="37"/>
  <c r="O274" i="22" s="1"/>
  <c r="Q274" i="22" s="1"/>
  <c r="AH324" i="37"/>
  <c r="O111" i="22" s="1"/>
  <c r="Q111" i="22" s="1"/>
  <c r="AC37" i="37"/>
  <c r="N241" i="22" s="1"/>
  <c r="P241" i="22" s="1"/>
  <c r="AC152" i="37"/>
  <c r="N257" i="22" s="1"/>
  <c r="AC27" i="37"/>
  <c r="N25" i="22" s="1"/>
  <c r="AH127" i="37"/>
  <c r="O84" i="22" s="1"/>
  <c r="Q84" i="22" s="1"/>
  <c r="AH66" i="37"/>
  <c r="O118" i="22" s="1"/>
  <c r="Q118" i="22" s="1"/>
  <c r="AC193" i="37"/>
  <c r="N236" i="22" s="1"/>
  <c r="AH112" i="37"/>
  <c r="O69" i="22" s="1"/>
  <c r="Q69" i="22" s="1"/>
  <c r="AH40" i="37"/>
  <c r="O146" i="22" s="1"/>
  <c r="Q146" i="22" s="1"/>
  <c r="AH103" i="37"/>
  <c r="O138" i="22" s="1"/>
  <c r="Q138" i="22" s="1"/>
  <c r="AH57" i="37"/>
  <c r="O302" i="22" s="1"/>
  <c r="Q302" i="22" s="1"/>
  <c r="AC206" i="37"/>
  <c r="N157" i="22" s="1"/>
  <c r="AH298" i="37"/>
  <c r="O270" i="22" s="1"/>
  <c r="Q270" i="22" s="1"/>
  <c r="AC255" i="37"/>
  <c r="N279" i="22" s="1"/>
  <c r="AC221" i="37"/>
  <c r="N198" i="22" s="1"/>
  <c r="AH35" i="37"/>
  <c r="O83" i="22" s="1"/>
  <c r="Q83" i="22" s="1"/>
  <c r="AH61" i="37"/>
  <c r="O263" i="22" s="1"/>
  <c r="Q263" i="22" s="1"/>
  <c r="AH188" i="37"/>
  <c r="O224" i="22" s="1"/>
  <c r="Q224" i="22" s="1"/>
  <c r="AC252" i="37"/>
  <c r="N297" i="22" s="1"/>
  <c r="AH322" i="37"/>
  <c r="O269" i="22" s="1"/>
  <c r="Q269" i="22" s="1"/>
  <c r="AH71" i="37"/>
  <c r="O86" i="22" s="1"/>
  <c r="Q86" i="22" s="1"/>
  <c r="AI282" i="37"/>
  <c r="J282" i="37" s="1"/>
  <c r="AB92" i="37"/>
  <c r="AI92" i="37" s="1"/>
  <c r="AC298" i="37"/>
  <c r="AB118" i="37"/>
  <c r="AI118" i="37" s="1"/>
  <c r="AH160" i="37"/>
  <c r="O187" i="22" s="1"/>
  <c r="Q187" i="22" s="1"/>
  <c r="AI6" i="37"/>
  <c r="AH107" i="37"/>
  <c r="O262" i="22" s="1"/>
  <c r="Q262" i="22" s="1"/>
  <c r="AI20" i="37"/>
  <c r="J20" i="37" s="1"/>
  <c r="AB15" i="37"/>
  <c r="AI15" i="37" s="1"/>
  <c r="AC61" i="37"/>
  <c r="AI319" i="37"/>
  <c r="J319" i="37" s="1"/>
  <c r="AB132" i="37"/>
  <c r="AI132" i="37" s="1"/>
  <c r="AI225" i="37"/>
  <c r="AB247" i="37"/>
  <c r="AI247" i="37" s="1"/>
  <c r="AK233" i="37"/>
  <c r="D111" i="42"/>
  <c r="J111" i="42" s="1"/>
  <c r="C111" i="42"/>
  <c r="E111" i="42" s="1"/>
  <c r="F111" i="42" s="1"/>
  <c r="B73" i="57"/>
  <c r="C73" i="57" s="1"/>
  <c r="AH29" i="37"/>
  <c r="O152" i="22" s="1"/>
  <c r="Q152" i="22" s="1"/>
  <c r="AH135" i="37"/>
  <c r="O53" i="22" s="1"/>
  <c r="Q53" i="22" s="1"/>
  <c r="AC307" i="37"/>
  <c r="Y40" i="37"/>
  <c r="AH72" i="37"/>
  <c r="O295" i="22" s="1"/>
  <c r="Q295" i="22" s="1"/>
  <c r="AI152" i="37"/>
  <c r="AB244" i="37"/>
  <c r="AI244" i="37" s="1"/>
  <c r="AI255" i="37"/>
  <c r="AB45" i="37"/>
  <c r="AI45" i="37" s="1"/>
  <c r="AB60" i="37"/>
  <c r="AI60" i="37" s="1"/>
  <c r="N2" i="52"/>
  <c r="AH125" i="37"/>
  <c r="O159" i="22" s="1"/>
  <c r="Q159" i="22" s="1"/>
  <c r="AH96" i="37"/>
  <c r="O264" i="22" s="1"/>
  <c r="Q264" i="22" s="1"/>
  <c r="AC78" i="37"/>
  <c r="AH21" i="37"/>
  <c r="O144" i="22" s="1"/>
  <c r="Q144" i="22" s="1"/>
  <c r="AC93" i="37"/>
  <c r="AI121" i="37"/>
  <c r="J121" i="37" s="1"/>
  <c r="AB52" i="37"/>
  <c r="AI52" i="37" s="1"/>
  <c r="AC165" i="37"/>
  <c r="AH46" i="37"/>
  <c r="O90" i="22" s="1"/>
  <c r="Q90" i="22" s="1"/>
  <c r="AH147" i="37"/>
  <c r="O298" i="22" s="1"/>
  <c r="Q298" i="22" s="1"/>
  <c r="AC72" i="37"/>
  <c r="Y60" i="37"/>
  <c r="N2" i="43"/>
  <c r="AH54" i="37"/>
  <c r="O149" i="22" s="1"/>
  <c r="Q149" i="22" s="1"/>
  <c r="AH43" i="37"/>
  <c r="O188" i="22" s="1"/>
  <c r="Q188" i="22" s="1"/>
  <c r="AH247" i="37"/>
  <c r="O151" i="22" s="1"/>
  <c r="Q151" i="22" s="1"/>
  <c r="X60" i="37"/>
  <c r="X4" i="37" s="1"/>
  <c r="N2" i="45"/>
  <c r="Z60" i="37"/>
  <c r="N2" i="50"/>
  <c r="AF60" i="37"/>
  <c r="N2" i="56"/>
  <c r="AH252" i="37"/>
  <c r="O297" i="22" s="1"/>
  <c r="Q297" i="22" s="1"/>
  <c r="AH36" i="37"/>
  <c r="O67" i="22" s="1"/>
  <c r="Q67" i="22" s="1"/>
  <c r="AH6" i="37"/>
  <c r="AH220" i="37"/>
  <c r="O307" i="22" s="1"/>
  <c r="Q307" i="22" s="1"/>
  <c r="O9" i="42"/>
  <c r="E9" i="42"/>
  <c r="F9" i="42" s="1"/>
  <c r="AH184" i="37"/>
  <c r="O94" i="22" s="1"/>
  <c r="Q94" i="22" s="1"/>
  <c r="U60" i="37"/>
  <c r="N2" i="48"/>
  <c r="AH183" i="37"/>
  <c r="O266" i="22" s="1"/>
  <c r="Q266" i="22" s="1"/>
  <c r="AH77" i="37"/>
  <c r="O20" i="22" s="1"/>
  <c r="Q20" i="22" s="1"/>
  <c r="AC77" i="37"/>
  <c r="AC127" i="37"/>
  <c r="AC322" i="37"/>
  <c r="AC84" i="37"/>
  <c r="AG60" i="37"/>
  <c r="N2" i="70"/>
  <c r="AH74" i="37"/>
  <c r="O50" i="22" s="1"/>
  <c r="Q50" i="22" s="1"/>
  <c r="AH133" i="37"/>
  <c r="O117" i="22" s="1"/>
  <c r="Q117" i="22" s="1"/>
  <c r="AH309" i="37"/>
  <c r="O37" i="22" s="1"/>
  <c r="Q37" i="22" s="1"/>
  <c r="AH65" i="37"/>
  <c r="O256" i="22" s="1"/>
  <c r="Q256" i="22" s="1"/>
  <c r="AH23" i="37"/>
  <c r="O195" i="22" s="1"/>
  <c r="Q195" i="22" s="1"/>
  <c r="AC113" i="37"/>
  <c r="AH152" i="37"/>
  <c r="O257" i="22" s="1"/>
  <c r="Q257" i="22" s="1"/>
  <c r="AI307" i="37"/>
  <c r="AB40" i="37"/>
  <c r="AI40" i="37" s="1"/>
  <c r="AC107" i="37"/>
  <c r="AC188" i="37"/>
  <c r="AC125" i="37"/>
  <c r="AH206" i="37"/>
  <c r="O157" i="22" s="1"/>
  <c r="Q157" i="22" s="1"/>
  <c r="AB74" i="37"/>
  <c r="AI74" i="37" s="1"/>
  <c r="S60" i="37"/>
  <c r="N2" i="47"/>
  <c r="AH193" i="37"/>
  <c r="O236" i="22" s="1"/>
  <c r="Q236" i="22" s="1"/>
  <c r="AC55" i="37"/>
  <c r="AA60" i="37"/>
  <c r="N2" i="51"/>
  <c r="AC205" i="37"/>
  <c r="W65" i="37"/>
  <c r="AC65" i="37" s="1"/>
  <c r="W326" i="37"/>
  <c r="AH113" i="37"/>
  <c r="O277" i="22" s="1"/>
  <c r="Q277" i="22" s="1"/>
  <c r="AC146" i="37"/>
  <c r="AC35" i="37"/>
  <c r="AH165" i="37"/>
  <c r="O161" i="22" s="1"/>
  <c r="Q161" i="22" s="1"/>
  <c r="AC89" i="37"/>
  <c r="AC98" i="37"/>
  <c r="W60" i="37"/>
  <c r="N2" i="49"/>
  <c r="AC43" i="37"/>
  <c r="AH106" i="37"/>
  <c r="O299" i="22" s="1"/>
  <c r="Q299" i="22" s="1"/>
  <c r="AC202" i="37"/>
  <c r="AH91" i="37"/>
  <c r="O209" i="22" s="1"/>
  <c r="Q209" i="22" s="1"/>
  <c r="AC21" i="37"/>
  <c r="AI47" i="37"/>
  <c r="J47" i="37" s="1"/>
  <c r="AB46" i="37"/>
  <c r="AI46" i="37" s="1"/>
  <c r="AC220" i="37"/>
  <c r="AC184" i="37"/>
  <c r="AI145" i="37"/>
  <c r="AB156" i="37"/>
  <c r="AI156" i="37" s="1"/>
  <c r="AH118" i="37"/>
  <c r="O63" i="22" s="1"/>
  <c r="Q63" i="22" s="1"/>
  <c r="AC91" i="37"/>
  <c r="AH143" i="37"/>
  <c r="O190" i="22" s="1"/>
  <c r="Q190" i="22" s="1"/>
  <c r="AH58" i="37"/>
  <c r="O185" i="22" s="1"/>
  <c r="Q185" i="22" s="1"/>
  <c r="AH225" i="37"/>
  <c r="O176" i="22" s="1"/>
  <c r="Q176" i="22" s="1"/>
  <c r="AC130" i="37"/>
  <c r="Y52" i="37"/>
  <c r="AH221" i="37"/>
  <c r="O198" i="22" s="1"/>
  <c r="Q198" i="22" s="1"/>
  <c r="AH130" i="37"/>
  <c r="O272" i="22" s="1"/>
  <c r="Q272" i="22" s="1"/>
  <c r="AH45" i="37"/>
  <c r="O240" i="22" s="1"/>
  <c r="Q240" i="22" s="1"/>
  <c r="AH84" i="37"/>
  <c r="O155" i="22" s="1"/>
  <c r="Q155" i="22" s="1"/>
  <c r="V60" i="37"/>
  <c r="N2" i="44"/>
  <c r="AC33" i="37"/>
  <c r="AC70" i="37"/>
  <c r="AH156" i="37"/>
  <c r="O179" i="22" s="1"/>
  <c r="Q179" i="22" s="1"/>
  <c r="AC68" i="37"/>
  <c r="AH205" i="37"/>
  <c r="O73" i="22" s="1"/>
  <c r="Q73" i="22" s="1"/>
  <c r="AH33" i="37"/>
  <c r="O282" i="22" s="1"/>
  <c r="Q282" i="22" s="1"/>
  <c r="AH238" i="37"/>
  <c r="O171" i="22" s="1"/>
  <c r="Q171" i="22" s="1"/>
  <c r="AH139" i="37"/>
  <c r="O160" i="22" s="1"/>
  <c r="Q160" i="22" s="1"/>
  <c r="AH199" i="37"/>
  <c r="O296" i="22" s="1"/>
  <c r="Q296" i="22" s="1"/>
  <c r="AC228" i="37"/>
  <c r="AC145" i="37"/>
  <c r="W156" i="37"/>
  <c r="AH89" i="37"/>
  <c r="O163" i="22" s="1"/>
  <c r="Q163" i="22" s="1"/>
  <c r="AH145" i="37"/>
  <c r="O181" i="22" s="1"/>
  <c r="Q181" i="22" s="1"/>
  <c r="AC57" i="37"/>
  <c r="AH150" i="37"/>
  <c r="O170" i="22" s="1"/>
  <c r="Q170" i="22" s="1"/>
  <c r="AI91" i="37"/>
  <c r="AB23" i="37"/>
  <c r="AI23" i="37" s="1"/>
  <c r="AH98" i="37"/>
  <c r="O76" i="22" s="1"/>
  <c r="Q76" i="22" s="1"/>
  <c r="AC164" i="37"/>
  <c r="AC139" i="37"/>
  <c r="AC66" i="37"/>
  <c r="AH15" i="37"/>
  <c r="O168" i="22" s="1"/>
  <c r="Q168" i="22" s="1"/>
  <c r="AC36" i="37"/>
  <c r="AH34" i="37"/>
  <c r="O178" i="22" s="1"/>
  <c r="Q178" i="22" s="1"/>
  <c r="I20" i="42"/>
  <c r="AC44" i="37"/>
  <c r="AH148" i="37"/>
  <c r="O57" i="22" s="1"/>
  <c r="Q57" i="22" s="1"/>
  <c r="AH93" i="37"/>
  <c r="O184" i="22" s="1"/>
  <c r="Q184" i="22" s="1"/>
  <c r="AH228" i="37"/>
  <c r="O32" i="22" s="1"/>
  <c r="Q32" i="22" s="1"/>
  <c r="AH132" i="37"/>
  <c r="O180" i="22" s="1"/>
  <c r="Q180" i="22" s="1"/>
  <c r="AD55" i="37"/>
  <c r="AH55" i="37" s="1"/>
  <c r="O3" i="22" s="1"/>
  <c r="N2" i="54"/>
  <c r="AC133" i="37"/>
  <c r="AH27" i="37"/>
  <c r="O25" i="22" s="1"/>
  <c r="Q25" i="22" s="1"/>
  <c r="AH14" i="37"/>
  <c r="O114" i="22" s="1"/>
  <c r="Q114" i="22" s="1"/>
  <c r="AB163" i="37"/>
  <c r="AC163" i="37" s="1"/>
  <c r="AC31" i="37"/>
  <c r="AC6" i="37"/>
  <c r="AH70" i="37"/>
  <c r="O261" i="22" s="1"/>
  <c r="Q261" i="22" s="1"/>
  <c r="AH162" i="37"/>
  <c r="O246" i="22" s="1"/>
  <c r="Q246" i="22" s="1"/>
  <c r="I223" i="42"/>
  <c r="AH78" i="37"/>
  <c r="O186" i="22" s="1"/>
  <c r="Q186" i="22" s="1"/>
  <c r="AC143" i="37"/>
  <c r="AC199" i="37"/>
  <c r="AC324" i="37"/>
  <c r="AC54" i="37"/>
  <c r="AH37" i="37"/>
  <c r="O241" i="22" s="1"/>
  <c r="T60" i="37"/>
  <c r="N2" i="46"/>
  <c r="AE60" i="37"/>
  <c r="N2" i="55"/>
  <c r="AC137" i="37"/>
  <c r="AH68" i="37"/>
  <c r="O145" i="22" s="1"/>
  <c r="Q145" i="22" s="1"/>
  <c r="AC106" i="37"/>
  <c r="AC150" i="37"/>
  <c r="AC160" i="37"/>
  <c r="AC112" i="37"/>
  <c r="AH255" i="37"/>
  <c r="O279" i="22" s="1"/>
  <c r="Q279" i="22" s="1"/>
  <c r="AC48" i="37"/>
  <c r="AH244" i="37"/>
  <c r="O183" i="22" s="1"/>
  <c r="Q183" i="22" s="1"/>
  <c r="AC29" i="37"/>
  <c r="AC135" i="37"/>
  <c r="AC96" i="37"/>
  <c r="AC13" i="37"/>
  <c r="AC225" i="37"/>
  <c r="AC148" i="37"/>
  <c r="AH31" i="37"/>
  <c r="O46" i="22" s="1"/>
  <c r="Q46" i="22" s="1"/>
  <c r="AH202" i="37"/>
  <c r="O259" i="22" s="1"/>
  <c r="Q259" i="22" s="1"/>
  <c r="AC14" i="37"/>
  <c r="AH92" i="37"/>
  <c r="O68" i="22" s="1"/>
  <c r="Q68" i="22" s="1"/>
  <c r="J81" i="42"/>
  <c r="J257" i="42"/>
  <c r="G223" i="42"/>
  <c r="H223" i="42" s="1"/>
  <c r="N223" i="42" s="1"/>
  <c r="E199" i="42"/>
  <c r="F199" i="42" s="1"/>
  <c r="D277" i="57"/>
  <c r="J277" i="57" s="1"/>
  <c r="O199" i="42"/>
  <c r="D79" i="57"/>
  <c r="J79" i="57" s="1"/>
  <c r="D285" i="57"/>
  <c r="J285" i="57" s="1"/>
  <c r="I64" i="42"/>
  <c r="I202" i="42"/>
  <c r="E223" i="42"/>
  <c r="F223" i="42" s="1"/>
  <c r="O20" i="42"/>
  <c r="I1" i="22"/>
  <c r="I308" i="42"/>
  <c r="J242" i="42"/>
  <c r="O64" i="42"/>
  <c r="G20" i="42"/>
  <c r="M20" i="42" s="1"/>
  <c r="J293" i="42"/>
  <c r="G36" i="42"/>
  <c r="M36" i="42" s="1"/>
  <c r="I85" i="42"/>
  <c r="E85" i="42"/>
  <c r="F85" i="42" s="1"/>
  <c r="E202" i="42"/>
  <c r="F202" i="42" s="1"/>
  <c r="T13" i="21"/>
  <c r="C267" i="57"/>
  <c r="G267" i="57" s="1"/>
  <c r="D138" i="57"/>
  <c r="J138" i="57" s="1"/>
  <c r="U30" i="22"/>
  <c r="I175" i="42"/>
  <c r="J313" i="42"/>
  <c r="G25" i="42"/>
  <c r="H25" i="42" s="1"/>
  <c r="N25" i="42" s="1"/>
  <c r="D210" i="57"/>
  <c r="J210" i="57" s="1"/>
  <c r="C202" i="57"/>
  <c r="G202" i="57" s="1"/>
  <c r="E176" i="42"/>
  <c r="F176" i="42" s="1"/>
  <c r="O176" i="42"/>
  <c r="J9" i="42"/>
  <c r="G9" i="42"/>
  <c r="H9" i="42" s="1"/>
  <c r="N9" i="42" s="1"/>
  <c r="J280" i="42"/>
  <c r="G224" i="42"/>
  <c r="H224" i="42" s="1"/>
  <c r="N224" i="42" s="1"/>
  <c r="C293" i="57"/>
  <c r="G293" i="57" s="1"/>
  <c r="I280" i="42"/>
  <c r="C11" i="57"/>
  <c r="G11" i="57" s="1"/>
  <c r="I4" i="42"/>
  <c r="J103" i="42"/>
  <c r="I161" i="42"/>
  <c r="I237" i="42"/>
  <c r="I273" i="42"/>
  <c r="E273" i="42"/>
  <c r="F273" i="42" s="1"/>
  <c r="J173" i="42"/>
  <c r="J197" i="42"/>
  <c r="I311" i="42"/>
  <c r="J212" i="42"/>
  <c r="C198" i="57"/>
  <c r="G198" i="57" s="1"/>
  <c r="E293" i="42"/>
  <c r="F293" i="42" s="1"/>
  <c r="C165" i="57"/>
  <c r="G165" i="57" s="1"/>
  <c r="C310" i="57"/>
  <c r="G310" i="57" s="1"/>
  <c r="C94" i="57"/>
  <c r="G94" i="57" s="1"/>
  <c r="O293" i="42"/>
  <c r="C88" i="57"/>
  <c r="G88" i="57" s="1"/>
  <c r="I293" i="42"/>
  <c r="C8" i="57"/>
  <c r="G8" i="57" s="1"/>
  <c r="C53" i="57"/>
  <c r="G53" i="57" s="1"/>
  <c r="C204" i="57"/>
  <c r="G204" i="57" s="1"/>
  <c r="C65" i="57"/>
  <c r="G65" i="57" s="1"/>
  <c r="I10" i="42"/>
  <c r="E10" i="42"/>
  <c r="F10" i="42" s="1"/>
  <c r="E27" i="42"/>
  <c r="F27" i="42" s="1"/>
  <c r="O27" i="42"/>
  <c r="I129" i="42"/>
  <c r="J284" i="42"/>
  <c r="E314" i="42"/>
  <c r="F314" i="42" s="1"/>
  <c r="O314" i="42"/>
  <c r="G202" i="42"/>
  <c r="H202" i="42" s="1"/>
  <c r="N202" i="42" s="1"/>
  <c r="J290" i="42"/>
  <c r="I229" i="42"/>
  <c r="E110" i="42"/>
  <c r="F110" i="42" s="1"/>
  <c r="E229" i="42"/>
  <c r="F229" i="42" s="1"/>
  <c r="G14" i="42"/>
  <c r="H14" i="42" s="1"/>
  <c r="N14" i="42" s="1"/>
  <c r="E104" i="42"/>
  <c r="F104" i="42" s="1"/>
  <c r="O104" i="42"/>
  <c r="O5" i="42"/>
  <c r="I319" i="42"/>
  <c r="E25" i="42"/>
  <c r="F25" i="42" s="1"/>
  <c r="O25" i="42"/>
  <c r="G172" i="42"/>
  <c r="H172" i="42" s="1"/>
  <c r="N172" i="42" s="1"/>
  <c r="C54" i="57"/>
  <c r="G54" i="57" s="1"/>
  <c r="C166" i="57"/>
  <c r="G166" i="57" s="1"/>
  <c r="C60" i="57"/>
  <c r="G60" i="57" s="1"/>
  <c r="C120" i="57"/>
  <c r="G120" i="57" s="1"/>
  <c r="C283" i="57"/>
  <c r="G283" i="57" s="1"/>
  <c r="C243" i="57"/>
  <c r="G243" i="57" s="1"/>
  <c r="C280" i="57"/>
  <c r="G280" i="57" s="1"/>
  <c r="O308" i="42"/>
  <c r="O110" i="42"/>
  <c r="E106" i="42"/>
  <c r="F106" i="42" s="1"/>
  <c r="I106" i="42"/>
  <c r="I235" i="42"/>
  <c r="O39" i="42"/>
  <c r="C35" i="57"/>
  <c r="G35" i="57" s="1"/>
  <c r="J106" i="42"/>
  <c r="E257" i="42"/>
  <c r="F257" i="42" s="1"/>
  <c r="C104" i="57"/>
  <c r="O257" i="42"/>
  <c r="C206" i="57"/>
  <c r="G206" i="57" s="1"/>
  <c r="I36" i="42"/>
  <c r="E235" i="42"/>
  <c r="F235" i="42" s="1"/>
  <c r="C12" i="57"/>
  <c r="G12" i="57" s="1"/>
  <c r="I257" i="42"/>
  <c r="E36" i="42"/>
  <c r="F36" i="42" s="1"/>
  <c r="I145" i="42"/>
  <c r="C275" i="57"/>
  <c r="G275" i="57" s="1"/>
  <c r="E145" i="42"/>
  <c r="F145" i="42" s="1"/>
  <c r="C231" i="57"/>
  <c r="G231" i="57" s="1"/>
  <c r="C130" i="57"/>
  <c r="G130" i="57" s="1"/>
  <c r="I39" i="42"/>
  <c r="T17" i="21"/>
  <c r="V26" i="21"/>
  <c r="C286" i="57"/>
  <c r="G286" i="57" s="1"/>
  <c r="D134" i="57"/>
  <c r="J134" i="57" s="1"/>
  <c r="C221" i="57"/>
  <c r="G221" i="57" s="1"/>
  <c r="C313" i="57"/>
  <c r="G313" i="57" s="1"/>
  <c r="C133" i="57"/>
  <c r="G133" i="57" s="1"/>
  <c r="C27" i="57"/>
  <c r="G27" i="57" s="1"/>
  <c r="C4" i="57"/>
  <c r="G4" i="57" s="1"/>
  <c r="C225" i="57"/>
  <c r="G225" i="57" s="1"/>
  <c r="C251" i="57"/>
  <c r="G251" i="57" s="1"/>
  <c r="C39" i="57"/>
  <c r="G39" i="57" s="1"/>
  <c r="E279" i="42"/>
  <c r="F279" i="42" s="1"/>
  <c r="I279" i="42"/>
  <c r="C212" i="57"/>
  <c r="G212" i="57" s="1"/>
  <c r="C222" i="57"/>
  <c r="G222" i="57" s="1"/>
  <c r="C128" i="57"/>
  <c r="G128" i="57" s="1"/>
  <c r="C209" i="57"/>
  <c r="G209" i="57" s="1"/>
  <c r="C125" i="57"/>
  <c r="G125" i="57" s="1"/>
  <c r="C21" i="57"/>
  <c r="G21" i="57" s="1"/>
  <c r="C246" i="57"/>
  <c r="G246" i="57" s="1"/>
  <c r="C78" i="57"/>
  <c r="G64" i="42"/>
  <c r="H64" i="42" s="1"/>
  <c r="N64" i="42" s="1"/>
  <c r="C291" i="57"/>
  <c r="G291" i="57" s="1"/>
  <c r="J38" i="42"/>
  <c r="I14" i="42"/>
  <c r="J169" i="42"/>
  <c r="D95" i="57"/>
  <c r="J95" i="57" s="1"/>
  <c r="E182" i="42"/>
  <c r="F182" i="42" s="1"/>
  <c r="O182" i="42"/>
  <c r="G314" i="42"/>
  <c r="H314" i="42" s="1"/>
  <c r="N314" i="42" s="1"/>
  <c r="I221" i="42"/>
  <c r="O221" i="42"/>
  <c r="J319" i="42"/>
  <c r="E190" i="42"/>
  <c r="F190" i="42" s="1"/>
  <c r="I116" i="42"/>
  <c r="J118" i="42"/>
  <c r="I259" i="42"/>
  <c r="G155" i="42"/>
  <c r="H155" i="42" s="1"/>
  <c r="N155" i="42" s="1"/>
  <c r="I190" i="42"/>
  <c r="E116" i="42"/>
  <c r="F116" i="42" s="1"/>
  <c r="G319" i="42"/>
  <c r="H319" i="42" s="1"/>
  <c r="N319" i="42" s="1"/>
  <c r="J199" i="42"/>
  <c r="J160" i="42"/>
  <c r="C196" i="57"/>
  <c r="G196" i="57" s="1"/>
  <c r="G277" i="42"/>
  <c r="H277" i="42" s="1"/>
  <c r="N277" i="42" s="1"/>
  <c r="C318" i="57"/>
  <c r="G318" i="57" s="1"/>
  <c r="C256" i="42"/>
  <c r="E212" i="42"/>
  <c r="F212" i="42" s="1"/>
  <c r="O212" i="42"/>
  <c r="D256" i="42"/>
  <c r="G256" i="42" s="1"/>
  <c r="H256" i="42" s="1"/>
  <c r="N256" i="42" s="1"/>
  <c r="C220" i="57"/>
  <c r="G220" i="57" s="1"/>
  <c r="C132" i="57"/>
  <c r="G132" i="57" s="1"/>
  <c r="U312" i="22"/>
  <c r="O15" i="42"/>
  <c r="I211" i="42"/>
  <c r="G262" i="42"/>
  <c r="H262" i="42" s="1"/>
  <c r="N262" i="42" s="1"/>
  <c r="E15" i="42"/>
  <c r="F15" i="42" s="1"/>
  <c r="J266" i="42"/>
  <c r="J193" i="42"/>
  <c r="E211" i="42"/>
  <c r="F211" i="42" s="1"/>
  <c r="E48" i="42"/>
  <c r="F48" i="42" s="1"/>
  <c r="G15" i="42"/>
  <c r="H15" i="42" s="1"/>
  <c r="N15" i="42" s="1"/>
  <c r="J240" i="42"/>
  <c r="O124" i="42"/>
  <c r="G190" i="42"/>
  <c r="M190" i="42" s="1"/>
  <c r="I124" i="42"/>
  <c r="G27" i="42"/>
  <c r="H27" i="42" s="1"/>
  <c r="N27" i="42" s="1"/>
  <c r="C16" i="57"/>
  <c r="G16" i="57" s="1"/>
  <c r="O17" i="42"/>
  <c r="C164" i="57"/>
  <c r="G164" i="57" s="1"/>
  <c r="I313" i="42"/>
  <c r="E252" i="42"/>
  <c r="F252" i="42" s="1"/>
  <c r="I252" i="42"/>
  <c r="J133" i="42"/>
  <c r="J210" i="42"/>
  <c r="E313" i="42"/>
  <c r="F313" i="42" s="1"/>
  <c r="G229" i="42"/>
  <c r="H229" i="42" s="1"/>
  <c r="N229" i="42" s="1"/>
  <c r="C109" i="57"/>
  <c r="G109" i="57" s="1"/>
  <c r="C259" i="57"/>
  <c r="G259" i="57" s="1"/>
  <c r="G145" i="42"/>
  <c r="H145" i="42" s="1"/>
  <c r="N145" i="42" s="1"/>
  <c r="C32" i="57"/>
  <c r="G32" i="57" s="1"/>
  <c r="I155" i="42"/>
  <c r="C315" i="57"/>
  <c r="G315" i="57" s="1"/>
  <c r="C40" i="57"/>
  <c r="G40" i="57" s="1"/>
  <c r="J145" i="42"/>
  <c r="C105" i="57"/>
  <c r="O319" i="42"/>
  <c r="E237" i="42"/>
  <c r="F237" i="42" s="1"/>
  <c r="O161" i="42"/>
  <c r="E118" i="42"/>
  <c r="F118" i="42" s="1"/>
  <c r="E6" i="42"/>
  <c r="F6" i="42" s="1"/>
  <c r="O118" i="42"/>
  <c r="O6" i="42"/>
  <c r="G47" i="42"/>
  <c r="H47" i="42" s="1"/>
  <c r="N47" i="42" s="1"/>
  <c r="O155" i="42"/>
  <c r="I253" i="42"/>
  <c r="E253" i="42"/>
  <c r="F253" i="42" s="1"/>
  <c r="E240" i="42"/>
  <c r="F240" i="42" s="1"/>
  <c r="O240" i="42"/>
  <c r="I135" i="42"/>
  <c r="E310" i="42"/>
  <c r="F310" i="42" s="1"/>
  <c r="C312" i="57"/>
  <c r="G312" i="57" s="1"/>
  <c r="O310" i="42"/>
  <c r="E135" i="42"/>
  <c r="F135" i="42" s="1"/>
  <c r="C74" i="57"/>
  <c r="G74" i="57" s="1"/>
  <c r="C249" i="57"/>
  <c r="G249" i="57" s="1"/>
  <c r="C122" i="57"/>
  <c r="G122" i="57" s="1"/>
  <c r="D100" i="57"/>
  <c r="J100" i="57" s="1"/>
  <c r="I277" i="42"/>
  <c r="E277" i="42"/>
  <c r="F277" i="42" s="1"/>
  <c r="C44" i="57"/>
  <c r="G44" i="57" s="1"/>
  <c r="C188" i="57"/>
  <c r="G188" i="57" s="1"/>
  <c r="C300" i="57"/>
  <c r="G300" i="57" s="1"/>
  <c r="G204" i="42"/>
  <c r="H204" i="42" s="1"/>
  <c r="N204" i="42" s="1"/>
  <c r="G308" i="42"/>
  <c r="H308" i="42" s="1"/>
  <c r="N308" i="42" s="1"/>
  <c r="J4" i="42"/>
  <c r="I108" i="42"/>
  <c r="G149" i="42"/>
  <c r="H149" i="42" s="1"/>
  <c r="N149" i="42" s="1"/>
  <c r="I258" i="42"/>
  <c r="O242" i="42"/>
  <c r="E108" i="42"/>
  <c r="F108" i="42" s="1"/>
  <c r="E258" i="42"/>
  <c r="F258" i="42" s="1"/>
  <c r="I242" i="42"/>
  <c r="I193" i="42"/>
  <c r="C252" i="57"/>
  <c r="G252" i="57" s="1"/>
  <c r="E280" i="42"/>
  <c r="F280" i="42" s="1"/>
  <c r="E193" i="42"/>
  <c r="F193" i="42" s="1"/>
  <c r="C289" i="57"/>
  <c r="G289" i="57" s="1"/>
  <c r="D29" i="57"/>
  <c r="J29" i="57" s="1"/>
  <c r="J10" i="42"/>
  <c r="J316" i="42"/>
  <c r="G104" i="42"/>
  <c r="H104" i="42" s="1"/>
  <c r="N104" i="42" s="1"/>
  <c r="I172" i="42"/>
  <c r="C70" i="57"/>
  <c r="G70" i="57" s="1"/>
  <c r="G116" i="42"/>
  <c r="H116" i="42" s="1"/>
  <c r="N116" i="42" s="1"/>
  <c r="J66" i="42"/>
  <c r="C107" i="57"/>
  <c r="G107" i="57" s="1"/>
  <c r="E149" i="42"/>
  <c r="F149" i="42" s="1"/>
  <c r="I149" i="42"/>
  <c r="E172" i="42"/>
  <c r="F172" i="42" s="1"/>
  <c r="G176" i="42"/>
  <c r="H176" i="42" s="1"/>
  <c r="N176" i="42" s="1"/>
  <c r="J85" i="42"/>
  <c r="I133" i="42"/>
  <c r="G48" i="42"/>
  <c r="H48" i="42" s="1"/>
  <c r="N48" i="42" s="1"/>
  <c r="O127" i="42"/>
  <c r="G207" i="42"/>
  <c r="H207" i="42" s="1"/>
  <c r="N207" i="42" s="1"/>
  <c r="G110" i="42"/>
  <c r="H110" i="42" s="1"/>
  <c r="N110" i="42" s="1"/>
  <c r="D288" i="57"/>
  <c r="J288" i="57" s="1"/>
  <c r="J131" i="42"/>
  <c r="E133" i="42"/>
  <c r="F133" i="42" s="1"/>
  <c r="I127" i="42"/>
  <c r="E14" i="42"/>
  <c r="F14" i="42" s="1"/>
  <c r="C46" i="57"/>
  <c r="C194" i="42"/>
  <c r="E117" i="42"/>
  <c r="F117" i="42" s="1"/>
  <c r="J235" i="42"/>
  <c r="C316" i="57"/>
  <c r="G316" i="57" s="1"/>
  <c r="J39" i="42"/>
  <c r="O175" i="42"/>
  <c r="C224" i="57"/>
  <c r="G224" i="57" s="1"/>
  <c r="G235" i="42"/>
  <c r="M235" i="42" s="1"/>
  <c r="I275" i="42"/>
  <c r="J6" i="42"/>
  <c r="E275" i="42"/>
  <c r="F275" i="42" s="1"/>
  <c r="I160" i="42"/>
  <c r="O4" i="42"/>
  <c r="C284" i="57"/>
  <c r="G284" i="57" s="1"/>
  <c r="I219" i="42"/>
  <c r="I5" i="42"/>
  <c r="J273" i="42"/>
  <c r="G258" i="42"/>
  <c r="H258" i="42" s="1"/>
  <c r="N258" i="42" s="1"/>
  <c r="E207" i="42"/>
  <c r="F207" i="42" s="1"/>
  <c r="G59" i="42"/>
  <c r="C33" i="57"/>
  <c r="G33" i="57" s="1"/>
  <c r="C161" i="57"/>
  <c r="G161" i="57" s="1"/>
  <c r="G275" i="42"/>
  <c r="H275" i="42" s="1"/>
  <c r="N275" i="42" s="1"/>
  <c r="C43" i="57"/>
  <c r="G43" i="57" s="1"/>
  <c r="J108" i="42"/>
  <c r="O197" i="42"/>
  <c r="C140" i="57"/>
  <c r="G140" i="57" s="1"/>
  <c r="I197" i="42"/>
  <c r="I207" i="42"/>
  <c r="E220" i="42"/>
  <c r="F220" i="42" s="1"/>
  <c r="C47" i="57"/>
  <c r="G47" i="57" s="1"/>
  <c r="C9" i="57"/>
  <c r="G9" i="57" s="1"/>
  <c r="C215" i="57"/>
  <c r="C309" i="57"/>
  <c r="G309" i="57" s="1"/>
  <c r="C25" i="57"/>
  <c r="G25" i="57" s="1"/>
  <c r="C163" i="57"/>
  <c r="C28" i="57"/>
  <c r="G28" i="57" s="1"/>
  <c r="D321" i="57"/>
  <c r="J321" i="57" s="1"/>
  <c r="C234" i="57"/>
  <c r="G234" i="57" s="1"/>
  <c r="C290" i="57"/>
  <c r="G290" i="57" s="1"/>
  <c r="E17" i="42"/>
  <c r="F17" i="42" s="1"/>
  <c r="E259" i="42"/>
  <c r="F259" i="42" s="1"/>
  <c r="I272" i="42"/>
  <c r="J294" i="42"/>
  <c r="O59" i="42"/>
  <c r="C232" i="57"/>
  <c r="C241" i="57"/>
  <c r="G241" i="57" s="1"/>
  <c r="G5" i="42"/>
  <c r="H5" i="42" s="1"/>
  <c r="N5" i="42" s="1"/>
  <c r="E81" i="42"/>
  <c r="F81" i="42" s="1"/>
  <c r="E173" i="42"/>
  <c r="F173" i="42" s="1"/>
  <c r="E284" i="42"/>
  <c r="F284" i="42" s="1"/>
  <c r="E44" i="42"/>
  <c r="F44" i="42" s="1"/>
  <c r="J253" i="42"/>
  <c r="O81" i="42"/>
  <c r="O173" i="42"/>
  <c r="O44" i="42"/>
  <c r="I59" i="42"/>
  <c r="G220" i="42"/>
  <c r="H220" i="42" s="1"/>
  <c r="N220" i="42" s="1"/>
  <c r="I294" i="42"/>
  <c r="I284" i="42"/>
  <c r="J258" i="42"/>
  <c r="E272" i="42"/>
  <c r="F272" i="42" s="1"/>
  <c r="C272" i="57"/>
  <c r="G272" i="57" s="1"/>
  <c r="J203" i="42"/>
  <c r="B64" i="57"/>
  <c r="U103" i="22"/>
  <c r="B141" i="57"/>
  <c r="B92" i="57"/>
  <c r="E131" i="42"/>
  <c r="F131" i="42" s="1"/>
  <c r="U194" i="22"/>
  <c r="B18" i="57"/>
  <c r="C242" i="57"/>
  <c r="U289" i="22"/>
  <c r="O131" i="42"/>
  <c r="C136" i="57"/>
  <c r="C98" i="57"/>
  <c r="G272" i="42"/>
  <c r="H272" i="42" s="1"/>
  <c r="N272" i="42" s="1"/>
  <c r="C108" i="57"/>
  <c r="C57" i="57"/>
  <c r="U294" i="22"/>
  <c r="B229" i="57"/>
  <c r="C173" i="57"/>
  <c r="U126" i="22"/>
  <c r="E311" i="42"/>
  <c r="F311" i="42" s="1"/>
  <c r="U162" i="22"/>
  <c r="C279" i="57"/>
  <c r="C127" i="57"/>
  <c r="C205" i="57"/>
  <c r="C41" i="57"/>
  <c r="U129" i="22"/>
  <c r="C121" i="57"/>
  <c r="D317" i="57"/>
  <c r="J317" i="57" s="1"/>
  <c r="D260" i="42"/>
  <c r="G260" i="42" s="1"/>
  <c r="H260" i="42" s="1"/>
  <c r="U221" i="22"/>
  <c r="U218" i="22"/>
  <c r="U96" i="22"/>
  <c r="C63" i="57"/>
  <c r="G63" i="57" s="1"/>
  <c r="C174" i="57"/>
  <c r="G174" i="57" s="1"/>
  <c r="E197" i="42"/>
  <c r="F197" i="42" s="1"/>
  <c r="J221" i="42"/>
  <c r="E294" i="42"/>
  <c r="F294" i="42" s="1"/>
  <c r="G221" i="42"/>
  <c r="H221" i="42" s="1"/>
  <c r="N221" i="42" s="1"/>
  <c r="J288" i="42"/>
  <c r="E185" i="42"/>
  <c r="F185" i="42" s="1"/>
  <c r="U61" i="22"/>
  <c r="I288" i="42"/>
  <c r="I266" i="42"/>
  <c r="O185" i="42"/>
  <c r="D139" i="42"/>
  <c r="U309" i="22"/>
  <c r="I48" i="42"/>
  <c r="J127" i="42"/>
  <c r="G129" i="42"/>
  <c r="H129" i="42" s="1"/>
  <c r="N129" i="42" s="1"/>
  <c r="E169" i="42"/>
  <c r="F169" i="42" s="1"/>
  <c r="U206" i="22"/>
  <c r="C206" i="42"/>
  <c r="D206" i="42"/>
  <c r="C226" i="57"/>
  <c r="G226" i="57" s="1"/>
  <c r="O169" i="42"/>
  <c r="E288" i="42"/>
  <c r="F288" i="42" s="1"/>
  <c r="C91" i="57"/>
  <c r="G91" i="57" s="1"/>
  <c r="E266" i="42"/>
  <c r="F266" i="42" s="1"/>
  <c r="D152" i="42"/>
  <c r="E129" i="42"/>
  <c r="F129" i="42" s="1"/>
  <c r="C260" i="42"/>
  <c r="O260" i="42" s="1"/>
  <c r="C139" i="42"/>
  <c r="O139" i="42" s="1"/>
  <c r="U292" i="22"/>
  <c r="U17" i="22"/>
  <c r="G175" i="42"/>
  <c r="M175" i="42" s="1"/>
  <c r="E224" i="42"/>
  <c r="F224" i="42" s="1"/>
  <c r="O224" i="42"/>
  <c r="C7" i="42"/>
  <c r="O7" i="42" s="1"/>
  <c r="E160" i="42"/>
  <c r="F160" i="42" s="1"/>
  <c r="C132" i="42"/>
  <c r="I132" i="42" s="1"/>
  <c r="J182" i="42"/>
  <c r="J252" i="42"/>
  <c r="G252" i="42"/>
  <c r="H252" i="42" s="1"/>
  <c r="N252" i="42" s="1"/>
  <c r="I66" i="42"/>
  <c r="G279" i="42"/>
  <c r="H279" i="42" s="1"/>
  <c r="N279" i="42" s="1"/>
  <c r="E66" i="42"/>
  <c r="F66" i="42" s="1"/>
  <c r="M38" i="42"/>
  <c r="O220" i="42"/>
  <c r="G311" i="42"/>
  <c r="M311" i="42" s="1"/>
  <c r="M133" i="42"/>
  <c r="G44" i="42"/>
  <c r="H44" i="42" s="1"/>
  <c r="N44" i="42" s="1"/>
  <c r="G17" i="42"/>
  <c r="H17" i="42" s="1"/>
  <c r="N17" i="42" s="1"/>
  <c r="D129" i="57"/>
  <c r="J129" i="57" s="1"/>
  <c r="J44" i="42"/>
  <c r="C123" i="57"/>
  <c r="G123" i="57" s="1"/>
  <c r="D132" i="42"/>
  <c r="G132" i="42" s="1"/>
  <c r="M132" i="42" s="1"/>
  <c r="E316" i="42"/>
  <c r="F316" i="42" s="1"/>
  <c r="O316" i="42"/>
  <c r="J158" i="42"/>
  <c r="I47" i="42"/>
  <c r="E47" i="42"/>
  <c r="F47" i="42" s="1"/>
  <c r="M294" i="42"/>
  <c r="E121" i="42"/>
  <c r="F121" i="42" s="1"/>
  <c r="O121" i="42"/>
  <c r="I203" i="42"/>
  <c r="M313" i="42"/>
  <c r="E270" i="42"/>
  <c r="F270" i="42" s="1"/>
  <c r="O270" i="42"/>
  <c r="E203" i="42"/>
  <c r="F203" i="42" s="1"/>
  <c r="E156" i="42"/>
  <c r="F156" i="42" s="1"/>
  <c r="O156" i="42"/>
  <c r="G121" i="42"/>
  <c r="M266" i="42"/>
  <c r="J185" i="42"/>
  <c r="G185" i="42"/>
  <c r="H185" i="42" s="1"/>
  <c r="N185" i="42" s="1"/>
  <c r="I208" i="42"/>
  <c r="I262" i="42"/>
  <c r="O262" i="42"/>
  <c r="E262" i="42"/>
  <c r="F262" i="42" s="1"/>
  <c r="J270" i="42"/>
  <c r="J211" i="42"/>
  <c r="G211" i="42"/>
  <c r="H211" i="42" s="1"/>
  <c r="N211" i="42" s="1"/>
  <c r="M127" i="42"/>
  <c r="M108" i="42"/>
  <c r="I38" i="42"/>
  <c r="M288" i="42"/>
  <c r="G208" i="42"/>
  <c r="M208" i="42" s="1"/>
  <c r="M10" i="42"/>
  <c r="E271" i="42"/>
  <c r="F271" i="42" s="1"/>
  <c r="O271" i="42"/>
  <c r="I271" i="42"/>
  <c r="J208" i="42"/>
  <c r="J156" i="42"/>
  <c r="G156" i="42"/>
  <c r="H156" i="42" s="1"/>
  <c r="N156" i="42" s="1"/>
  <c r="E208" i="42"/>
  <c r="F208" i="42" s="1"/>
  <c r="O208" i="42"/>
  <c r="M305" i="42"/>
  <c r="M103" i="42"/>
  <c r="D7" i="42"/>
  <c r="G7" i="42" s="1"/>
  <c r="H7" i="42" s="1"/>
  <c r="G270" i="42"/>
  <c r="H270" i="42" s="1"/>
  <c r="N270" i="42" s="1"/>
  <c r="M158" i="42"/>
  <c r="E204" i="42"/>
  <c r="F204" i="42" s="1"/>
  <c r="M150" i="42"/>
  <c r="I204" i="42"/>
  <c r="O204" i="42"/>
  <c r="I164" i="42"/>
  <c r="E164" i="42"/>
  <c r="F164" i="42" s="1"/>
  <c r="J164" i="42"/>
  <c r="J271" i="42"/>
  <c r="G135" i="42"/>
  <c r="H135" i="42" s="1"/>
  <c r="N135" i="42" s="1"/>
  <c r="J135" i="42"/>
  <c r="G164" i="42"/>
  <c r="M167" i="42"/>
  <c r="M203" i="42"/>
  <c r="G237" i="42"/>
  <c r="H237" i="42" s="1"/>
  <c r="N237" i="42" s="1"/>
  <c r="I158" i="42"/>
  <c r="E158" i="42"/>
  <c r="F158" i="42" s="1"/>
  <c r="O158" i="42"/>
  <c r="M193" i="42"/>
  <c r="J259" i="42"/>
  <c r="J237" i="42"/>
  <c r="G161" i="42"/>
  <c r="H161" i="42" s="1"/>
  <c r="N161" i="42" s="1"/>
  <c r="E38" i="42"/>
  <c r="F38" i="42" s="1"/>
  <c r="G259" i="42"/>
  <c r="H259" i="42" s="1"/>
  <c r="N259" i="42" s="1"/>
  <c r="J161" i="42"/>
  <c r="M306" i="42"/>
  <c r="G124" i="42"/>
  <c r="H124" i="42" s="1"/>
  <c r="N124" i="42" s="1"/>
  <c r="J124" i="42"/>
  <c r="M131" i="42"/>
  <c r="J321" i="42"/>
  <c r="M300" i="42"/>
  <c r="M201" i="42"/>
  <c r="M249" i="42"/>
  <c r="E114" i="42"/>
  <c r="F114" i="42" s="1"/>
  <c r="M246" i="42"/>
  <c r="O114" i="42"/>
  <c r="M197" i="42"/>
  <c r="M4" i="42"/>
  <c r="M212" i="42"/>
  <c r="M199" i="42"/>
  <c r="M35" i="42"/>
  <c r="M271" i="42"/>
  <c r="M134" i="42"/>
  <c r="M245" i="42"/>
  <c r="M251" i="42"/>
  <c r="I321" i="42"/>
  <c r="M62" i="42"/>
  <c r="E321" i="42"/>
  <c r="F321" i="42" s="1"/>
  <c r="M280" i="42"/>
  <c r="M216" i="42"/>
  <c r="M126" i="42"/>
  <c r="M290" i="42"/>
  <c r="J114" i="42"/>
  <c r="M39" i="42"/>
  <c r="J123" i="42"/>
  <c r="I123" i="42"/>
  <c r="M85" i="42"/>
  <c r="M157" i="42"/>
  <c r="C55" i="57"/>
  <c r="G55" i="57" s="1"/>
  <c r="M276" i="42"/>
  <c r="M81" i="42"/>
  <c r="H182" i="42"/>
  <c r="N182" i="42" s="1"/>
  <c r="M66" i="42"/>
  <c r="M253" i="42"/>
  <c r="M322" i="42"/>
  <c r="M180" i="42"/>
  <c r="H299" i="42"/>
  <c r="N299" i="42" s="1"/>
  <c r="M16" i="42"/>
  <c r="M118" i="42"/>
  <c r="O86" i="42"/>
  <c r="E86" i="42"/>
  <c r="F86" i="42" s="1"/>
  <c r="O141" i="42"/>
  <c r="E141" i="42"/>
  <c r="F141" i="42" s="1"/>
  <c r="H210" i="42"/>
  <c r="N210" i="42" s="1"/>
  <c r="H242" i="42"/>
  <c r="N242" i="42" s="1"/>
  <c r="H284" i="42"/>
  <c r="N284" i="42" s="1"/>
  <c r="G86" i="42"/>
  <c r="H86" i="42" s="1"/>
  <c r="O265" i="42"/>
  <c r="E265" i="42"/>
  <c r="F265" i="42" s="1"/>
  <c r="O195" i="42"/>
  <c r="E195" i="42"/>
  <c r="F195" i="42" s="1"/>
  <c r="G105" i="42"/>
  <c r="H105" i="42" s="1"/>
  <c r="H240" i="42"/>
  <c r="N240" i="42" s="1"/>
  <c r="O287" i="42"/>
  <c r="E287" i="42"/>
  <c r="F287" i="42" s="1"/>
  <c r="O159" i="42"/>
  <c r="E159" i="42"/>
  <c r="F159" i="42" s="1"/>
  <c r="O29" i="42"/>
  <c r="E29" i="42"/>
  <c r="F29" i="42" s="1"/>
  <c r="O192" i="42"/>
  <c r="E192" i="42"/>
  <c r="F192" i="42" s="1"/>
  <c r="G183" i="42"/>
  <c r="H183" i="42" s="1"/>
  <c r="G178" i="42"/>
  <c r="H178" i="42" s="1"/>
  <c r="G283" i="42"/>
  <c r="H283" i="42" s="1"/>
  <c r="O105" i="42"/>
  <c r="E105" i="42"/>
  <c r="F105" i="42" s="1"/>
  <c r="G209" i="42"/>
  <c r="H209" i="42" s="1"/>
  <c r="O136" i="42"/>
  <c r="E136" i="42"/>
  <c r="F136" i="42" s="1"/>
  <c r="G159" i="42"/>
  <c r="H159" i="42" s="1"/>
  <c r="G138" i="42"/>
  <c r="H138" i="42" s="1"/>
  <c r="G287" i="42"/>
  <c r="H287" i="42" s="1"/>
  <c r="G29" i="42"/>
  <c r="H29" i="42" s="1"/>
  <c r="G22" i="42"/>
  <c r="H22" i="42" s="1"/>
  <c r="G192" i="42"/>
  <c r="H192" i="42" s="1"/>
  <c r="O183" i="42"/>
  <c r="E183" i="42"/>
  <c r="F183" i="42" s="1"/>
  <c r="O178" i="42"/>
  <c r="E178" i="42"/>
  <c r="F178" i="42" s="1"/>
  <c r="O283" i="42"/>
  <c r="E283" i="42"/>
  <c r="F283" i="42" s="1"/>
  <c r="G188" i="42"/>
  <c r="H188" i="42" s="1"/>
  <c r="G323" i="42"/>
  <c r="H323" i="42" s="1"/>
  <c r="O209" i="42"/>
  <c r="E209" i="42"/>
  <c r="F209" i="42" s="1"/>
  <c r="G123" i="42"/>
  <c r="M123" i="42" s="1"/>
  <c r="G181" i="42"/>
  <c r="H181" i="42" s="1"/>
  <c r="O188" i="42"/>
  <c r="E188" i="42"/>
  <c r="F188" i="42" s="1"/>
  <c r="G23" i="42"/>
  <c r="H23" i="42" s="1"/>
  <c r="G184" i="42"/>
  <c r="H184" i="42" s="1"/>
  <c r="G247" i="42"/>
  <c r="H247" i="42" s="1"/>
  <c r="G70" i="42"/>
  <c r="H70" i="42" s="1"/>
  <c r="G154" i="42"/>
  <c r="H154" i="42" s="1"/>
  <c r="O323" i="42"/>
  <c r="E323" i="42"/>
  <c r="F323" i="42" s="1"/>
  <c r="O123" i="42"/>
  <c r="E123" i="42"/>
  <c r="F123" i="42" s="1"/>
  <c r="O187" i="42"/>
  <c r="E187" i="42"/>
  <c r="F187" i="42" s="1"/>
  <c r="G263" i="42"/>
  <c r="H263" i="42" s="1"/>
  <c r="G232" i="42"/>
  <c r="H232" i="42" s="1"/>
  <c r="G274" i="42"/>
  <c r="H274" i="42" s="1"/>
  <c r="O181" i="42"/>
  <c r="E181" i="42"/>
  <c r="F181" i="42" s="1"/>
  <c r="G166" i="42"/>
  <c r="H166" i="42" s="1"/>
  <c r="O162" i="42"/>
  <c r="E162" i="42"/>
  <c r="F162" i="42" s="1"/>
  <c r="E184" i="42"/>
  <c r="F184" i="42" s="1"/>
  <c r="O184" i="42"/>
  <c r="O247" i="42"/>
  <c r="E247" i="42"/>
  <c r="F247" i="42" s="1"/>
  <c r="O70" i="42"/>
  <c r="E70" i="42"/>
  <c r="F70" i="42" s="1"/>
  <c r="O154" i="42"/>
  <c r="E154" i="42"/>
  <c r="F154" i="42" s="1"/>
  <c r="O23" i="42"/>
  <c r="E23" i="42"/>
  <c r="F23" i="42" s="1"/>
  <c r="H128" i="42"/>
  <c r="N128" i="42" s="1"/>
  <c r="O274" i="42"/>
  <c r="E274" i="42"/>
  <c r="F274" i="42" s="1"/>
  <c r="G320" i="42"/>
  <c r="H320" i="42" s="1"/>
  <c r="O166" i="42"/>
  <c r="E166" i="42"/>
  <c r="F166" i="42" s="1"/>
  <c r="O282" i="42"/>
  <c r="E282" i="42"/>
  <c r="F282" i="42" s="1"/>
  <c r="G307" i="42"/>
  <c r="H307" i="42" s="1"/>
  <c r="M144" i="42"/>
  <c r="G195" i="42"/>
  <c r="H195" i="42" s="1"/>
  <c r="O231" i="42"/>
  <c r="E231" i="42"/>
  <c r="F231" i="42" s="1"/>
  <c r="O263" i="42"/>
  <c r="E263" i="42"/>
  <c r="F263" i="42" s="1"/>
  <c r="G285" i="42"/>
  <c r="H285" i="42" s="1"/>
  <c r="O320" i="42"/>
  <c r="E320" i="42"/>
  <c r="F320" i="42" s="1"/>
  <c r="O292" i="42"/>
  <c r="E292" i="42"/>
  <c r="F292" i="42" s="1"/>
  <c r="G228" i="42"/>
  <c r="H228" i="42" s="1"/>
  <c r="G186" i="42"/>
  <c r="H186" i="42" s="1"/>
  <c r="G217" i="42"/>
  <c r="H217" i="42" s="1"/>
  <c r="G168" i="42"/>
  <c r="H168" i="42" s="1"/>
  <c r="G226" i="42"/>
  <c r="M226" i="42" s="1"/>
  <c r="O213" i="42"/>
  <c r="E213" i="42"/>
  <c r="F213" i="42" s="1"/>
  <c r="G289" i="42"/>
  <c r="H289" i="42" s="1"/>
  <c r="O171" i="42"/>
  <c r="E171" i="42"/>
  <c r="F171" i="42" s="1"/>
  <c r="O225" i="42"/>
  <c r="E225" i="42"/>
  <c r="F225" i="42" s="1"/>
  <c r="O228" i="42"/>
  <c r="E228" i="42"/>
  <c r="F228" i="42" s="1"/>
  <c r="G122" i="42"/>
  <c r="H122" i="42" s="1"/>
  <c r="O186" i="42"/>
  <c r="E186" i="42"/>
  <c r="F186" i="42" s="1"/>
  <c r="O217" i="42"/>
  <c r="E217" i="42"/>
  <c r="F217" i="42" s="1"/>
  <c r="O168" i="42"/>
  <c r="E168" i="42"/>
  <c r="F168" i="42" s="1"/>
  <c r="O88" i="42"/>
  <c r="E88" i="42"/>
  <c r="F88" i="42" s="1"/>
  <c r="G21" i="42"/>
  <c r="H21" i="42" s="1"/>
  <c r="O289" i="42"/>
  <c r="E289" i="42"/>
  <c r="F289" i="42" s="1"/>
  <c r="O243" i="42"/>
  <c r="E243" i="42"/>
  <c r="F243" i="42" s="1"/>
  <c r="G162" i="42"/>
  <c r="M162" i="42" s="1"/>
  <c r="G295" i="42"/>
  <c r="H295" i="42" s="1"/>
  <c r="O317" i="42"/>
  <c r="E317" i="42"/>
  <c r="F317" i="42" s="1"/>
  <c r="G213" i="42"/>
  <c r="H213" i="42" s="1"/>
  <c r="G225" i="42"/>
  <c r="H225" i="42" s="1"/>
  <c r="O122" i="42"/>
  <c r="E122" i="42"/>
  <c r="F122" i="42" s="1"/>
  <c r="G153" i="42"/>
  <c r="H153" i="42" s="1"/>
  <c r="O21" i="42"/>
  <c r="E21" i="42"/>
  <c r="F21" i="42" s="1"/>
  <c r="G233" i="42"/>
  <c r="H233" i="42" s="1"/>
  <c r="O261" i="42"/>
  <c r="E261" i="42"/>
  <c r="F261" i="42" s="1"/>
  <c r="E232" i="42"/>
  <c r="F232" i="42" s="1"/>
  <c r="O232" i="42"/>
  <c r="O218" i="42"/>
  <c r="E218" i="42"/>
  <c r="F218" i="42" s="1"/>
  <c r="G171" i="42"/>
  <c r="M171" i="42" s="1"/>
  <c r="G317" i="42"/>
  <c r="M317" i="42" s="1"/>
  <c r="G143" i="42"/>
  <c r="H143" i="42" s="1"/>
  <c r="G163" i="42"/>
  <c r="H163" i="42" s="1"/>
  <c r="G88" i="42"/>
  <c r="M88" i="42" s="1"/>
  <c r="O143" i="42"/>
  <c r="E143" i="42"/>
  <c r="F143" i="42" s="1"/>
  <c r="O115" i="42"/>
  <c r="E115" i="42"/>
  <c r="F115" i="42" s="1"/>
  <c r="O163" i="42"/>
  <c r="E163" i="42"/>
  <c r="F163" i="42" s="1"/>
  <c r="O153" i="42"/>
  <c r="E153" i="42"/>
  <c r="F153" i="42" s="1"/>
  <c r="O82" i="42"/>
  <c r="E82" i="42"/>
  <c r="F82" i="42" s="1"/>
  <c r="G303" i="42"/>
  <c r="M303" i="42" s="1"/>
  <c r="O233" i="42"/>
  <c r="E233" i="42"/>
  <c r="F233" i="42" s="1"/>
  <c r="G130" i="42"/>
  <c r="H130" i="42" s="1"/>
  <c r="G278" i="42"/>
  <c r="H278" i="42" s="1"/>
  <c r="G114" i="42"/>
  <c r="M114" i="42" s="1"/>
  <c r="G141" i="42"/>
  <c r="M141" i="42" s="1"/>
  <c r="O138" i="42"/>
  <c r="E138" i="42"/>
  <c r="F138" i="42" s="1"/>
  <c r="O238" i="42"/>
  <c r="E238" i="42"/>
  <c r="F238" i="42" s="1"/>
  <c r="G292" i="42"/>
  <c r="H292" i="42" s="1"/>
  <c r="M170" i="42"/>
  <c r="O226" i="42"/>
  <c r="E226" i="42"/>
  <c r="F226" i="42" s="1"/>
  <c r="G115" i="42"/>
  <c r="M115" i="42" s="1"/>
  <c r="G82" i="42"/>
  <c r="H82" i="42" s="1"/>
  <c r="O215" i="42"/>
  <c r="E215" i="42"/>
  <c r="F215" i="42" s="1"/>
  <c r="O278" i="42"/>
  <c r="E278" i="42"/>
  <c r="F278" i="42" s="1"/>
  <c r="G281" i="42"/>
  <c r="H281" i="42" s="1"/>
  <c r="O254" i="42"/>
  <c r="E254" i="42"/>
  <c r="F254" i="42" s="1"/>
  <c r="O189" i="42"/>
  <c r="E189" i="42"/>
  <c r="F189" i="42" s="1"/>
  <c r="O22" i="42"/>
  <c r="E22" i="42"/>
  <c r="F22" i="42" s="1"/>
  <c r="O285" i="42"/>
  <c r="E285" i="42"/>
  <c r="F285" i="42" s="1"/>
  <c r="G238" i="42"/>
  <c r="H238" i="42" s="1"/>
  <c r="G282" i="42"/>
  <c r="H282" i="42" s="1"/>
  <c r="O307" i="42"/>
  <c r="E307" i="42"/>
  <c r="F307" i="42" s="1"/>
  <c r="O130" i="42"/>
  <c r="E130" i="42"/>
  <c r="F130" i="42" s="1"/>
  <c r="G215" i="42"/>
  <c r="H215" i="42" s="1"/>
  <c r="G177" i="42"/>
  <c r="H177" i="42" s="1"/>
  <c r="G214" i="42"/>
  <c r="H214" i="42" s="1"/>
  <c r="O281" i="42"/>
  <c r="E281" i="42"/>
  <c r="F281" i="42" s="1"/>
  <c r="G254" i="42"/>
  <c r="H254" i="42" s="1"/>
  <c r="G187" i="42"/>
  <c r="M187" i="42" s="1"/>
  <c r="G218" i="42"/>
  <c r="H218" i="42" s="1"/>
  <c r="O295" i="42"/>
  <c r="E295" i="42"/>
  <c r="F295" i="42" s="1"/>
  <c r="O303" i="42"/>
  <c r="E303" i="42"/>
  <c r="F303" i="42" s="1"/>
  <c r="O177" i="42"/>
  <c r="E177" i="42"/>
  <c r="F177" i="42" s="1"/>
  <c r="G189" i="42"/>
  <c r="H189" i="42" s="1"/>
  <c r="G243" i="42"/>
  <c r="M243" i="42" s="1"/>
  <c r="O214" i="42"/>
  <c r="E214" i="42"/>
  <c r="F214" i="42" s="1"/>
  <c r="G265" i="42"/>
  <c r="H265" i="42" s="1"/>
  <c r="G261" i="42"/>
  <c r="H261" i="42" s="1"/>
  <c r="G231" i="42"/>
  <c r="H231" i="42" s="1"/>
  <c r="G136" i="42"/>
  <c r="M136" i="42" s="1"/>
  <c r="G321" i="42"/>
  <c r="M321" i="42" s="1"/>
  <c r="N300" i="42"/>
  <c r="N126" i="42"/>
  <c r="N313" i="42"/>
  <c r="N294" i="42"/>
  <c r="N150" i="42"/>
  <c r="N280" i="42"/>
  <c r="N246" i="42"/>
  <c r="N131" i="42"/>
  <c r="N245" i="42"/>
  <c r="N276" i="42"/>
  <c r="N197" i="42"/>
  <c r="N133" i="42"/>
  <c r="N216" i="42"/>
  <c r="N266" i="42"/>
  <c r="N305" i="42"/>
  <c r="N180" i="42"/>
  <c r="N4" i="42"/>
  <c r="N81" i="42"/>
  <c r="N144" i="42"/>
  <c r="N118" i="42"/>
  <c r="N45" i="42"/>
  <c r="N39" i="42"/>
  <c r="N62" i="42"/>
  <c r="J143" i="42"/>
  <c r="J295" i="42"/>
  <c r="K175" i="42"/>
  <c r="L175" i="42"/>
  <c r="K120" i="42"/>
  <c r="L120" i="42"/>
  <c r="I189" i="42"/>
  <c r="L319" i="42"/>
  <c r="K319" i="42"/>
  <c r="L246" i="42"/>
  <c r="K246" i="42"/>
  <c r="I295" i="42"/>
  <c r="I218" i="42"/>
  <c r="J153" i="42"/>
  <c r="I82" i="42"/>
  <c r="L210" i="42"/>
  <c r="K210" i="42"/>
  <c r="J178" i="42"/>
  <c r="J283" i="42"/>
  <c r="I213" i="42"/>
  <c r="I281" i="42"/>
  <c r="N6" i="42"/>
  <c r="M6" i="42"/>
  <c r="J233" i="42"/>
  <c r="J136" i="42"/>
  <c r="I141" i="42"/>
  <c r="N167" i="42"/>
  <c r="I143" i="42"/>
  <c r="N193" i="42"/>
  <c r="J159" i="42"/>
  <c r="J186" i="42"/>
  <c r="K126" i="42"/>
  <c r="L126" i="42"/>
  <c r="I153" i="42"/>
  <c r="J82" i="42"/>
  <c r="I178" i="42"/>
  <c r="I283" i="42"/>
  <c r="I233" i="42"/>
  <c r="N273" i="42"/>
  <c r="M273" i="42"/>
  <c r="I136" i="42"/>
  <c r="J189" i="42"/>
  <c r="K180" i="42"/>
  <c r="L180" i="42"/>
  <c r="J213" i="42"/>
  <c r="I307" i="42"/>
  <c r="K170" i="42"/>
  <c r="L170" i="42"/>
  <c r="N106" i="42"/>
  <c r="M106" i="42"/>
  <c r="J86" i="42"/>
  <c r="I287" i="42"/>
  <c r="I159" i="42"/>
  <c r="J122" i="42"/>
  <c r="I186" i="42"/>
  <c r="J278" i="42"/>
  <c r="N85" i="42"/>
  <c r="J265" i="42"/>
  <c r="L216" i="42"/>
  <c r="K216" i="42"/>
  <c r="N306" i="42"/>
  <c r="J247" i="42"/>
  <c r="J70" i="42"/>
  <c r="L221" i="42"/>
  <c r="K221" i="42"/>
  <c r="N146" i="42"/>
  <c r="M146" i="42"/>
  <c r="J177" i="42"/>
  <c r="K161" i="42"/>
  <c r="L161" i="42"/>
  <c r="L322" i="42"/>
  <c r="K322" i="42"/>
  <c r="I86" i="42"/>
  <c r="N293" i="42"/>
  <c r="M293" i="42"/>
  <c r="J287" i="42"/>
  <c r="L276" i="42"/>
  <c r="K276" i="42"/>
  <c r="I122" i="42"/>
  <c r="J163" i="42"/>
  <c r="I278" i="42"/>
  <c r="I265" i="42"/>
  <c r="J261" i="42"/>
  <c r="J195" i="42"/>
  <c r="I247" i="42"/>
  <c r="I70" i="42"/>
  <c r="I254" i="42"/>
  <c r="J209" i="42"/>
  <c r="I177" i="42"/>
  <c r="I115" i="42"/>
  <c r="I163" i="42"/>
  <c r="J214" i="42"/>
  <c r="I261" i="42"/>
  <c r="I195" i="42"/>
  <c r="K306" i="42"/>
  <c r="L306" i="42"/>
  <c r="N35" i="42"/>
  <c r="J254" i="42"/>
  <c r="L251" i="42"/>
  <c r="K251" i="42"/>
  <c r="L300" i="42"/>
  <c r="K300" i="42"/>
  <c r="I209" i="42"/>
  <c r="D50" i="42"/>
  <c r="C50" i="42"/>
  <c r="L308" i="42"/>
  <c r="K308" i="42"/>
  <c r="J138" i="42"/>
  <c r="J232" i="42"/>
  <c r="J115" i="42"/>
  <c r="I214" i="42"/>
  <c r="I192" i="42"/>
  <c r="I226" i="42"/>
  <c r="J231" i="42"/>
  <c r="J23" i="42"/>
  <c r="J215" i="42"/>
  <c r="I217" i="42"/>
  <c r="I289" i="42"/>
  <c r="I138" i="42"/>
  <c r="I232" i="42"/>
  <c r="J192" i="42"/>
  <c r="K134" i="42"/>
  <c r="L134" i="42"/>
  <c r="J168" i="42"/>
  <c r="J226" i="42"/>
  <c r="I231" i="42"/>
  <c r="L62" i="42"/>
  <c r="K62" i="42"/>
  <c r="L16" i="42"/>
  <c r="K16" i="42"/>
  <c r="I23" i="42"/>
  <c r="L167" i="42"/>
  <c r="K167" i="42"/>
  <c r="N57" i="42"/>
  <c r="M57" i="42"/>
  <c r="J263" i="42"/>
  <c r="N173" i="42"/>
  <c r="M173" i="42"/>
  <c r="J162" i="42"/>
  <c r="J184" i="42"/>
  <c r="I168" i="42"/>
  <c r="I88" i="42"/>
  <c r="J105" i="42"/>
  <c r="N38" i="42"/>
  <c r="J292" i="42"/>
  <c r="K155" i="42"/>
  <c r="L155" i="42"/>
  <c r="I238" i="42"/>
  <c r="I263" i="42"/>
  <c r="N249" i="42"/>
  <c r="N290" i="42"/>
  <c r="J243" i="42"/>
  <c r="I29" i="42"/>
  <c r="J22" i="42"/>
  <c r="L157" i="42"/>
  <c r="K157" i="42"/>
  <c r="I162" i="42"/>
  <c r="I184" i="42"/>
  <c r="J88" i="42"/>
  <c r="N212" i="42"/>
  <c r="I105" i="42"/>
  <c r="N251" i="42"/>
  <c r="I274" i="42"/>
  <c r="I303" i="42"/>
  <c r="K144" i="42"/>
  <c r="L144" i="42"/>
  <c r="L305" i="42"/>
  <c r="K305" i="42"/>
  <c r="J238" i="42"/>
  <c r="I317" i="42"/>
  <c r="I243" i="42"/>
  <c r="K4" i="42"/>
  <c r="L4" i="42"/>
  <c r="J29" i="42"/>
  <c r="I22" i="42"/>
  <c r="I282" i="42"/>
  <c r="L64" i="42"/>
  <c r="K64" i="42"/>
  <c r="K128" i="42"/>
  <c r="L128" i="42"/>
  <c r="J154" i="42"/>
  <c r="J188" i="42"/>
  <c r="J323" i="42"/>
  <c r="N257" i="42"/>
  <c r="M257" i="42"/>
  <c r="N199" i="42"/>
  <c r="J281" i="42"/>
  <c r="K127" i="42"/>
  <c r="L127" i="42"/>
  <c r="J228" i="42"/>
  <c r="J317" i="42"/>
  <c r="N160" i="42"/>
  <c r="M160" i="42"/>
  <c r="J166" i="42"/>
  <c r="J282" i="42"/>
  <c r="I154" i="42"/>
  <c r="N134" i="42"/>
  <c r="I188" i="42"/>
  <c r="I323" i="42"/>
  <c r="I292" i="42"/>
  <c r="J187" i="42"/>
  <c r="I187" i="42"/>
  <c r="D174" i="42"/>
  <c r="C174" i="42"/>
  <c r="K59" i="42"/>
  <c r="L59" i="42"/>
  <c r="N170" i="42"/>
  <c r="I285" i="42"/>
  <c r="I228" i="42"/>
  <c r="N120" i="42"/>
  <c r="M120" i="42"/>
  <c r="N316" i="42"/>
  <c r="M316" i="42"/>
  <c r="J320" i="42"/>
  <c r="I166" i="42"/>
  <c r="N157" i="42"/>
  <c r="J21" i="42"/>
  <c r="N158" i="42"/>
  <c r="K39" i="42"/>
  <c r="L39" i="42"/>
  <c r="J285" i="42"/>
  <c r="K242" i="42"/>
  <c r="L242" i="42"/>
  <c r="K249" i="42"/>
  <c r="L249" i="42"/>
  <c r="I320" i="42"/>
  <c r="K150" i="42"/>
  <c r="L150" i="42"/>
  <c r="K299" i="42"/>
  <c r="L299" i="42"/>
  <c r="N288" i="42"/>
  <c r="L20" i="42"/>
  <c r="K20" i="42"/>
  <c r="L5" i="42"/>
  <c r="K5" i="42"/>
  <c r="I21" i="42"/>
  <c r="K57" i="42"/>
  <c r="L57" i="42"/>
  <c r="K35" i="42"/>
  <c r="L35" i="42"/>
  <c r="J130" i="42"/>
  <c r="N117" i="42"/>
  <c r="K146" i="42"/>
  <c r="L146" i="42"/>
  <c r="N127" i="42"/>
  <c r="J225" i="42"/>
  <c r="K124" i="42"/>
  <c r="L124" i="42"/>
  <c r="K103" i="42"/>
  <c r="L103" i="42"/>
  <c r="N322" i="42"/>
  <c r="N103" i="42"/>
  <c r="K201" i="42"/>
  <c r="L201" i="42"/>
  <c r="J181" i="42"/>
  <c r="N253" i="42"/>
  <c r="J183" i="42"/>
  <c r="J171" i="42"/>
  <c r="N16" i="42"/>
  <c r="I130" i="42"/>
  <c r="J218" i="42"/>
  <c r="I215" i="42"/>
  <c r="I225" i="42"/>
  <c r="N108" i="42"/>
  <c r="J274" i="42"/>
  <c r="I181" i="42"/>
  <c r="N66" i="42"/>
  <c r="N271" i="42"/>
  <c r="N201" i="42"/>
  <c r="J217" i="42"/>
  <c r="N203" i="42"/>
  <c r="J303" i="42"/>
  <c r="N169" i="42"/>
  <c r="M169" i="42"/>
  <c r="I183" i="42"/>
  <c r="N10" i="42"/>
  <c r="J141" i="42"/>
  <c r="J307" i="42"/>
  <c r="J289" i="42"/>
  <c r="I171" i="42"/>
  <c r="AK87" i="37"/>
  <c r="D146" i="57"/>
  <c r="J146" i="57" s="1"/>
  <c r="D26" i="57"/>
  <c r="J26" i="57" s="1"/>
  <c r="D168" i="57"/>
  <c r="J168" i="57" s="1"/>
  <c r="D207" i="57"/>
  <c r="J207" i="57" s="1"/>
  <c r="D213" i="57"/>
  <c r="J213" i="57" s="1"/>
  <c r="D211" i="57"/>
  <c r="J211" i="57" s="1"/>
  <c r="D227" i="57"/>
  <c r="J227" i="57" s="1"/>
  <c r="D228" i="57"/>
  <c r="J228" i="57" s="1"/>
  <c r="D250" i="57"/>
  <c r="J250" i="57" s="1"/>
  <c r="D34" i="57"/>
  <c r="J34" i="57" s="1"/>
  <c r="D302" i="57"/>
  <c r="J302" i="57" s="1"/>
  <c r="D99" i="57"/>
  <c r="J99" i="57" s="1"/>
  <c r="D20" i="57"/>
  <c r="J20" i="57" s="1"/>
  <c r="D155" i="57"/>
  <c r="J155" i="57" s="1"/>
  <c r="D6" i="57"/>
  <c r="J6" i="57" s="1"/>
  <c r="D126" i="57"/>
  <c r="J126" i="57" s="1"/>
  <c r="D23" i="57"/>
  <c r="J23" i="57" s="1"/>
  <c r="D102" i="57"/>
  <c r="J102" i="57" s="1"/>
  <c r="D200" i="57"/>
  <c r="J200" i="57" s="1"/>
  <c r="D308" i="57"/>
  <c r="J308" i="57" s="1"/>
  <c r="C287" i="57"/>
  <c r="G287" i="57" s="1"/>
  <c r="D135" i="57"/>
  <c r="J135" i="57" s="1"/>
  <c r="D157" i="57"/>
  <c r="J157" i="57" s="1"/>
  <c r="D305" i="57"/>
  <c r="J305" i="57" s="1"/>
  <c r="D69" i="57"/>
  <c r="J69" i="57" s="1"/>
  <c r="D101" i="57"/>
  <c r="J101" i="57" s="1"/>
  <c r="D257" i="57"/>
  <c r="J257" i="57" s="1"/>
  <c r="D230" i="57"/>
  <c r="J230" i="57" s="1"/>
  <c r="D10" i="57"/>
  <c r="J10" i="57" s="1"/>
  <c r="C42" i="57"/>
  <c r="G42" i="57" s="1"/>
  <c r="Q34" i="21"/>
  <c r="Q33" i="21"/>
  <c r="R33" i="21" s="1"/>
  <c r="C172" i="57"/>
  <c r="G172" i="57" s="1"/>
  <c r="O34" i="27"/>
  <c r="O34" i="28"/>
  <c r="D193" i="57"/>
  <c r="J193" i="57" s="1"/>
  <c r="T25" i="21"/>
  <c r="T23" i="21"/>
  <c r="V28" i="21"/>
  <c r="V27" i="21"/>
  <c r="T12" i="21"/>
  <c r="C214" i="57"/>
  <c r="G214" i="57" s="1"/>
  <c r="D96" i="57"/>
  <c r="J96" i="57" s="1"/>
  <c r="C147" i="57"/>
  <c r="G147" i="57" s="1"/>
  <c r="D81" i="57"/>
  <c r="J81" i="57" s="1"/>
  <c r="C13" i="57"/>
  <c r="G13" i="57" s="1"/>
  <c r="C124" i="57"/>
  <c r="G124" i="57" s="1"/>
  <c r="D106" i="57"/>
  <c r="J106" i="57" s="1"/>
  <c r="D58" i="57"/>
  <c r="J58" i="57" s="1"/>
  <c r="I111" i="42"/>
  <c r="C97" i="57"/>
  <c r="G97" i="57" s="1"/>
  <c r="C304" i="57"/>
  <c r="G304" i="57" s="1"/>
  <c r="C218" i="57"/>
  <c r="G218" i="57" s="1"/>
  <c r="T21" i="21"/>
  <c r="T15" i="21"/>
  <c r="T18" i="21"/>
  <c r="T16" i="21"/>
  <c r="T20" i="21"/>
  <c r="T19" i="21"/>
  <c r="T22" i="21"/>
  <c r="T24" i="21"/>
  <c r="D237" i="57"/>
  <c r="J237" i="57" s="1"/>
  <c r="D236" i="57"/>
  <c r="J236" i="57" s="1"/>
  <c r="T14" i="21"/>
  <c r="E7" i="29"/>
  <c r="E10" i="29" s="1"/>
  <c r="D112" i="57"/>
  <c r="J112" i="57" s="1"/>
  <c r="C50" i="57"/>
  <c r="G50" i="57" s="1"/>
  <c r="D103" i="57"/>
  <c r="J103" i="57" s="1"/>
  <c r="C61" i="57"/>
  <c r="G61" i="57" s="1"/>
  <c r="C71" i="57"/>
  <c r="G71" i="57" s="1"/>
  <c r="C131" i="57"/>
  <c r="G131" i="57" s="1"/>
  <c r="C142" i="57"/>
  <c r="G142" i="57" s="1"/>
  <c r="C217" i="57"/>
  <c r="G217" i="57" s="1"/>
  <c r="C254" i="57"/>
  <c r="G254" i="57" s="1"/>
  <c r="C86" i="57"/>
  <c r="G86" i="57" s="1"/>
  <c r="C119" i="57"/>
  <c r="G119" i="57" s="1"/>
  <c r="C77" i="57"/>
  <c r="G77" i="57" s="1"/>
  <c r="C203" i="57"/>
  <c r="G203" i="57" s="1"/>
  <c r="C14" i="57"/>
  <c r="G14" i="57" s="1"/>
  <c r="C299" i="57"/>
  <c r="G299" i="57" s="1"/>
  <c r="C201" i="57"/>
  <c r="G201" i="57" s="1"/>
  <c r="C111" i="57"/>
  <c r="G111" i="57" s="1"/>
  <c r="D191" i="57"/>
  <c r="J191" i="57" s="1"/>
  <c r="C253" i="57"/>
  <c r="G253" i="57" s="1"/>
  <c r="K111" i="42"/>
  <c r="L111" i="42"/>
  <c r="C30" i="57"/>
  <c r="G30" i="57" s="1"/>
  <c r="C171" i="57"/>
  <c r="G171" i="57" s="1"/>
  <c r="D7" i="57"/>
  <c r="J7" i="57" s="1"/>
  <c r="C190" i="57"/>
  <c r="G190" i="57" s="1"/>
  <c r="C292" i="57"/>
  <c r="G292" i="57" s="1"/>
  <c r="D114" i="57"/>
  <c r="J114" i="57" s="1"/>
  <c r="C238" i="57"/>
  <c r="G238" i="57" s="1"/>
  <c r="N26" i="28"/>
  <c r="D9" i="29" s="1"/>
  <c r="F9" i="29" s="1"/>
  <c r="O33" i="28"/>
  <c r="P33" i="28" s="1"/>
  <c r="P26" i="21"/>
  <c r="D7" i="29" s="1"/>
  <c r="N26" i="27"/>
  <c r="D8" i="29" s="1"/>
  <c r="F8" i="29" s="1"/>
  <c r="O33" i="27"/>
  <c r="P33" i="27" s="1"/>
  <c r="P31" i="27"/>
  <c r="C15" i="57"/>
  <c r="G15" i="57" s="1"/>
  <c r="N154" i="22" l="1"/>
  <c r="F172" i="37"/>
  <c r="C152" i="42"/>
  <c r="F190" i="37"/>
  <c r="N308" i="22"/>
  <c r="I190" i="37"/>
  <c r="E190" i="37"/>
  <c r="B247" i="57"/>
  <c r="V4" i="37"/>
  <c r="E245" i="42"/>
  <c r="F245" i="42" s="1"/>
  <c r="AH185" i="37"/>
  <c r="E185" i="37" s="1"/>
  <c r="AF4" i="37"/>
  <c r="J240" i="37"/>
  <c r="Z4" i="37"/>
  <c r="AC134" i="37"/>
  <c r="O117" i="42"/>
  <c r="J48" i="37"/>
  <c r="AC194" i="37"/>
  <c r="I194" i="37" s="1"/>
  <c r="N60" i="22"/>
  <c r="F185" i="37"/>
  <c r="AG4" i="37"/>
  <c r="AK161" i="37"/>
  <c r="J190" i="37"/>
  <c r="AH172" i="37"/>
  <c r="AA4" i="37"/>
  <c r="J134" i="37"/>
  <c r="J182" i="37"/>
  <c r="AH182" i="37"/>
  <c r="O88" i="22" s="1"/>
  <c r="Q88" i="22" s="1"/>
  <c r="C267" i="42"/>
  <c r="I267" i="42" s="1"/>
  <c r="E240" i="37"/>
  <c r="I240" i="37"/>
  <c r="N38" i="22"/>
  <c r="F240" i="37"/>
  <c r="AH190" i="37"/>
  <c r="O308" i="22" s="1"/>
  <c r="Q308" i="22" s="1"/>
  <c r="D267" i="42"/>
  <c r="U4" i="37"/>
  <c r="AC182" i="37"/>
  <c r="B38" i="57"/>
  <c r="G310" i="42"/>
  <c r="H310" i="42" s="1"/>
  <c r="N310" i="42" s="1"/>
  <c r="G198" i="42"/>
  <c r="H198" i="42" s="1"/>
  <c r="N198" i="42" s="1"/>
  <c r="T4" i="37"/>
  <c r="AC162" i="37"/>
  <c r="J45" i="42"/>
  <c r="O198" i="42"/>
  <c r="E198" i="42"/>
  <c r="F198" i="42" s="1"/>
  <c r="C53" i="42"/>
  <c r="O53" i="42" s="1"/>
  <c r="B176" i="57"/>
  <c r="B192" i="57"/>
  <c r="C192" i="57" s="1"/>
  <c r="G192" i="57" s="1"/>
  <c r="D125" i="42"/>
  <c r="J125" i="42" s="1"/>
  <c r="C125" i="42"/>
  <c r="I125" i="42" s="1"/>
  <c r="E290" i="42"/>
  <c r="F290" i="42" s="1"/>
  <c r="O290" i="42"/>
  <c r="M45" i="42"/>
  <c r="O245" i="42"/>
  <c r="J66" i="37"/>
  <c r="J245" i="42"/>
  <c r="L9" i="42"/>
  <c r="K9" i="42"/>
  <c r="B264" i="57"/>
  <c r="D84" i="42"/>
  <c r="J84" i="42" s="1"/>
  <c r="J137" i="37"/>
  <c r="U142" i="22"/>
  <c r="J61" i="37"/>
  <c r="U93" i="22"/>
  <c r="U65" i="22"/>
  <c r="D194" i="42"/>
  <c r="G194" i="42" s="1"/>
  <c r="H194" i="42" s="1"/>
  <c r="N194" i="42" s="1"/>
  <c r="U6" i="22"/>
  <c r="E219" i="42"/>
  <c r="F219" i="42" s="1"/>
  <c r="B219" i="57"/>
  <c r="C219" i="57" s="1"/>
  <c r="G219" i="57" s="1"/>
  <c r="B5" i="57"/>
  <c r="C5" i="57" s="1"/>
  <c r="G5" i="57" s="1"/>
  <c r="U177" i="22"/>
  <c r="U193" i="22"/>
  <c r="E28" i="58"/>
  <c r="L199" i="42"/>
  <c r="C69" i="42"/>
  <c r="E69" i="42" s="1"/>
  <c r="F69" i="42" s="1"/>
  <c r="K199" i="42"/>
  <c r="B22" i="57"/>
  <c r="C22" i="57" s="1"/>
  <c r="G22" i="57" s="1"/>
  <c r="U39" i="22"/>
  <c r="C84" i="42"/>
  <c r="E84" i="42" s="1"/>
  <c r="U265" i="22"/>
  <c r="U220" i="22"/>
  <c r="J164" i="37"/>
  <c r="J188" i="37"/>
  <c r="I103" i="37"/>
  <c r="U23" i="22"/>
  <c r="J193" i="37"/>
  <c r="J107" i="37"/>
  <c r="C13" i="42"/>
  <c r="I13" i="42" s="1"/>
  <c r="J135" i="37"/>
  <c r="D13" i="42"/>
  <c r="J13" i="42" s="1"/>
  <c r="D283" i="57"/>
  <c r="J283" i="57" s="1"/>
  <c r="J103" i="37"/>
  <c r="U248" i="22"/>
  <c r="B282" i="57"/>
  <c r="C282" i="57" s="1"/>
  <c r="G282" i="57" s="1"/>
  <c r="D53" i="42"/>
  <c r="J53" i="42" s="1"/>
  <c r="U19" i="22"/>
  <c r="U230" i="22"/>
  <c r="F103" i="37"/>
  <c r="G103" i="37" s="1"/>
  <c r="U81" i="22"/>
  <c r="AC118" i="37"/>
  <c r="N63" i="22" s="1"/>
  <c r="L85" i="42"/>
  <c r="K85" i="42"/>
  <c r="J71" i="37"/>
  <c r="J298" i="37"/>
  <c r="O111" i="42"/>
  <c r="J127" i="37"/>
  <c r="B80" i="57"/>
  <c r="C80" i="57" s="1"/>
  <c r="G80" i="57" s="1"/>
  <c r="E103" i="37"/>
  <c r="U283" i="22"/>
  <c r="E31" i="58"/>
  <c r="F31" i="58" s="1"/>
  <c r="G31" i="58" s="1"/>
  <c r="G32" i="58" s="1"/>
  <c r="D219" i="42"/>
  <c r="J219" i="42" s="1"/>
  <c r="E71" i="37"/>
  <c r="AC15" i="37"/>
  <c r="I15" i="37" s="1"/>
  <c r="N86" i="22"/>
  <c r="P86" i="22" s="1"/>
  <c r="AK289" i="37"/>
  <c r="J307" i="37"/>
  <c r="J324" i="37"/>
  <c r="AK249" i="37"/>
  <c r="J125" i="37"/>
  <c r="AK47" i="37"/>
  <c r="C298" i="42"/>
  <c r="I298" i="42" s="1"/>
  <c r="D298" i="42"/>
  <c r="G298" i="42" s="1"/>
  <c r="B314" i="57"/>
  <c r="C314" i="57" s="1"/>
  <c r="AH60" i="37"/>
  <c r="O4" i="22" s="1"/>
  <c r="Q4" i="22" s="1"/>
  <c r="C45" i="42"/>
  <c r="G69" i="42"/>
  <c r="J69" i="42"/>
  <c r="F71" i="37"/>
  <c r="H71" i="37" s="1"/>
  <c r="M117" i="42"/>
  <c r="G111" i="42"/>
  <c r="H111" i="42" s="1"/>
  <c r="N111" i="42" s="1"/>
  <c r="J221" i="37"/>
  <c r="S4" i="37"/>
  <c r="AC60" i="37"/>
  <c r="J117" i="42"/>
  <c r="J205" i="37"/>
  <c r="AC40" i="37"/>
  <c r="I40" i="37" s="1"/>
  <c r="AC52" i="37"/>
  <c r="J52" i="37" s="1"/>
  <c r="I221" i="37"/>
  <c r="M223" i="42"/>
  <c r="J72" i="37"/>
  <c r="J84" i="37"/>
  <c r="J238" i="37"/>
  <c r="J57" i="37"/>
  <c r="J98" i="37"/>
  <c r="W4" i="37"/>
  <c r="I71" i="37"/>
  <c r="J34" i="37"/>
  <c r="AC156" i="37"/>
  <c r="I156" i="37" s="1"/>
  <c r="J145" i="37"/>
  <c r="Y4" i="37"/>
  <c r="J252" i="37"/>
  <c r="I34" i="37"/>
  <c r="AC247" i="37"/>
  <c r="I247" i="37" s="1"/>
  <c r="F34" i="37"/>
  <c r="G34" i="37" s="1"/>
  <c r="J13" i="37"/>
  <c r="AC132" i="37"/>
  <c r="E132" i="37" s="1"/>
  <c r="AC92" i="37"/>
  <c r="F92" i="37" s="1"/>
  <c r="J133" i="37"/>
  <c r="J165" i="37"/>
  <c r="J91" i="37"/>
  <c r="F163" i="37"/>
  <c r="I163" i="37"/>
  <c r="E163" i="37"/>
  <c r="N52" i="22"/>
  <c r="N256" i="22"/>
  <c r="I65" i="37"/>
  <c r="E65" i="37"/>
  <c r="F65" i="37"/>
  <c r="N57" i="22"/>
  <c r="E148" i="37"/>
  <c r="I148" i="37"/>
  <c r="F148" i="37"/>
  <c r="N298" i="22"/>
  <c r="E147" i="37"/>
  <c r="I147" i="37"/>
  <c r="F147" i="37"/>
  <c r="E322" i="37"/>
  <c r="N269" i="22"/>
  <c r="F322" i="37"/>
  <c r="I322" i="37"/>
  <c r="E252" i="37"/>
  <c r="F255" i="37"/>
  <c r="J206" i="37"/>
  <c r="J14" i="37"/>
  <c r="P236" i="22"/>
  <c r="S236" i="22"/>
  <c r="T236" i="22" s="1"/>
  <c r="S241" i="22"/>
  <c r="T241" i="22" s="1"/>
  <c r="Q241" i="22"/>
  <c r="N116" i="22"/>
  <c r="F6" i="37"/>
  <c r="E6" i="37"/>
  <c r="I6" i="37"/>
  <c r="N320" i="22"/>
  <c r="E44" i="37"/>
  <c r="I44" i="37"/>
  <c r="F44" i="37"/>
  <c r="N76" i="22"/>
  <c r="E98" i="37"/>
  <c r="I98" i="37"/>
  <c r="F98" i="37"/>
  <c r="S178" i="22"/>
  <c r="T178" i="22" s="1"/>
  <c r="P178" i="22"/>
  <c r="J55" i="37"/>
  <c r="P297" i="22"/>
  <c r="S297" i="22"/>
  <c r="T297" i="22" s="1"/>
  <c r="E255" i="37"/>
  <c r="I193" i="37"/>
  <c r="E225" i="37"/>
  <c r="I225" i="37"/>
  <c r="N176" i="22"/>
  <c r="F225" i="37"/>
  <c r="E112" i="37"/>
  <c r="I112" i="37"/>
  <c r="N69" i="22"/>
  <c r="F112" i="37"/>
  <c r="J27" i="37"/>
  <c r="J202" i="37"/>
  <c r="E184" i="37"/>
  <c r="I184" i="37"/>
  <c r="N94" i="22"/>
  <c r="F184" i="37"/>
  <c r="N163" i="22"/>
  <c r="F89" i="37"/>
  <c r="E89" i="37"/>
  <c r="I89" i="37"/>
  <c r="F55" i="37"/>
  <c r="N3" i="22"/>
  <c r="E55" i="37"/>
  <c r="I55" i="37"/>
  <c r="E113" i="37"/>
  <c r="N277" i="22"/>
  <c r="F113" i="37"/>
  <c r="I113" i="37"/>
  <c r="F221" i="37"/>
  <c r="I255" i="37"/>
  <c r="J150" i="37"/>
  <c r="E193" i="37"/>
  <c r="N49" i="22"/>
  <c r="F13" i="37"/>
  <c r="E13" i="37"/>
  <c r="I13" i="37"/>
  <c r="E160" i="37"/>
  <c r="N187" i="22"/>
  <c r="F160" i="37"/>
  <c r="I160" i="37"/>
  <c r="N46" i="22"/>
  <c r="E31" i="37"/>
  <c r="I31" i="37"/>
  <c r="F31" i="37"/>
  <c r="I187" i="37"/>
  <c r="F187" i="37"/>
  <c r="N77" i="22"/>
  <c r="E187" i="37"/>
  <c r="N307" i="22"/>
  <c r="E220" i="37"/>
  <c r="I220" i="37"/>
  <c r="F220" i="37"/>
  <c r="AC74" i="37"/>
  <c r="P279" i="22"/>
  <c r="S279" i="22"/>
  <c r="T279" i="22" s="1"/>
  <c r="E307" i="37"/>
  <c r="N200" i="22"/>
  <c r="I307" i="37"/>
  <c r="F307" i="37"/>
  <c r="N263" i="22"/>
  <c r="E61" i="37"/>
  <c r="I61" i="37"/>
  <c r="F61" i="37"/>
  <c r="J65" i="37"/>
  <c r="N264" i="22"/>
  <c r="E96" i="37"/>
  <c r="I96" i="37"/>
  <c r="F96" i="37"/>
  <c r="F194" i="37"/>
  <c r="E194" i="37"/>
  <c r="N275" i="22"/>
  <c r="J21" i="37"/>
  <c r="E34" i="37"/>
  <c r="E221" i="37"/>
  <c r="F152" i="37"/>
  <c r="J70" i="37"/>
  <c r="J93" i="37"/>
  <c r="AC23" i="37"/>
  <c r="N170" i="22"/>
  <c r="I150" i="37"/>
  <c r="E150" i="37"/>
  <c r="F150" i="37"/>
  <c r="N149" i="22"/>
  <c r="F54" i="37"/>
  <c r="E54" i="37"/>
  <c r="I54" i="37"/>
  <c r="AI163" i="37"/>
  <c r="J163" i="37" s="1"/>
  <c r="E162" i="37"/>
  <c r="N246" i="22"/>
  <c r="I162" i="37"/>
  <c r="F162" i="37"/>
  <c r="AC46" i="37"/>
  <c r="J46" i="37" s="1"/>
  <c r="J96" i="37"/>
  <c r="P198" i="22"/>
  <c r="S198" i="22"/>
  <c r="T198" i="22" s="1"/>
  <c r="P257" i="22"/>
  <c r="S257" i="22"/>
  <c r="T257" i="22" s="1"/>
  <c r="J162" i="37"/>
  <c r="J78" i="37"/>
  <c r="J89" i="37"/>
  <c r="N37" i="22"/>
  <c r="F309" i="37"/>
  <c r="E309" i="37"/>
  <c r="I309" i="37"/>
  <c r="N299" i="22"/>
  <c r="E106" i="37"/>
  <c r="I106" i="37"/>
  <c r="F106" i="37"/>
  <c r="N111" i="22"/>
  <c r="I324" i="37"/>
  <c r="F324" i="37"/>
  <c r="E324" i="37"/>
  <c r="F57" i="37"/>
  <c r="I57" i="37"/>
  <c r="N302" i="22"/>
  <c r="E57" i="37"/>
  <c r="E21" i="37"/>
  <c r="I21" i="37"/>
  <c r="N144" i="22"/>
  <c r="F21" i="37"/>
  <c r="N83" i="22"/>
  <c r="I35" i="37"/>
  <c r="E35" i="37"/>
  <c r="F35" i="37"/>
  <c r="I127" i="37"/>
  <c r="N84" i="22"/>
  <c r="E127" i="37"/>
  <c r="F127" i="37"/>
  <c r="J143" i="37"/>
  <c r="F206" i="37"/>
  <c r="E152" i="37"/>
  <c r="F27" i="37"/>
  <c r="J199" i="37"/>
  <c r="I298" i="37"/>
  <c r="N270" i="22"/>
  <c r="E298" i="37"/>
  <c r="F298" i="37"/>
  <c r="I135" i="37"/>
  <c r="E135" i="37"/>
  <c r="N53" i="22"/>
  <c r="F135" i="37"/>
  <c r="N145" i="22"/>
  <c r="E68" i="37"/>
  <c r="I68" i="37"/>
  <c r="F68" i="37"/>
  <c r="I146" i="37"/>
  <c r="N304" i="22"/>
  <c r="E146" i="37"/>
  <c r="F146" i="37"/>
  <c r="J160" i="37"/>
  <c r="I77" i="37"/>
  <c r="F77" i="37"/>
  <c r="E77" i="37"/>
  <c r="N20" i="22"/>
  <c r="P138" i="22"/>
  <c r="S138" i="22"/>
  <c r="T138" i="22" s="1"/>
  <c r="P157" i="22"/>
  <c r="S157" i="22"/>
  <c r="T157" i="22" s="1"/>
  <c r="I152" i="37"/>
  <c r="E27" i="37"/>
  <c r="J54" i="37"/>
  <c r="F29" i="37"/>
  <c r="N152" i="22"/>
  <c r="E29" i="37"/>
  <c r="I29" i="37"/>
  <c r="I199" i="37"/>
  <c r="E199" i="37"/>
  <c r="N296" i="22"/>
  <c r="F199" i="37"/>
  <c r="I133" i="37"/>
  <c r="E133" i="37"/>
  <c r="N117" i="22"/>
  <c r="F133" i="37"/>
  <c r="J147" i="37"/>
  <c r="J37" i="37"/>
  <c r="E130" i="37"/>
  <c r="I130" i="37"/>
  <c r="N272" i="22"/>
  <c r="F130" i="37"/>
  <c r="J220" i="37"/>
  <c r="J228" i="37"/>
  <c r="N295" i="22"/>
  <c r="F72" i="37"/>
  <c r="E72" i="37"/>
  <c r="I72" i="37"/>
  <c r="J113" i="37"/>
  <c r="E206" i="37"/>
  <c r="F37" i="37"/>
  <c r="P25" i="22"/>
  <c r="S25" i="22"/>
  <c r="T25" i="22" s="1"/>
  <c r="N150" i="22"/>
  <c r="I137" i="37"/>
  <c r="E137" i="37"/>
  <c r="F137" i="37"/>
  <c r="N171" i="22"/>
  <c r="I238" i="37"/>
  <c r="F238" i="37"/>
  <c r="E238" i="37"/>
  <c r="J29" i="37"/>
  <c r="N266" i="22"/>
  <c r="F183" i="37"/>
  <c r="I183" i="37"/>
  <c r="E183" i="37"/>
  <c r="J58" i="37"/>
  <c r="I93" i="37"/>
  <c r="N184" i="22"/>
  <c r="E93" i="37"/>
  <c r="F93" i="37"/>
  <c r="I206" i="37"/>
  <c r="E37" i="37"/>
  <c r="I27" i="37"/>
  <c r="J187" i="37"/>
  <c r="N190" i="22"/>
  <c r="F143" i="37"/>
  <c r="I143" i="37"/>
  <c r="E143" i="37"/>
  <c r="I36" i="37"/>
  <c r="N67" i="22"/>
  <c r="E36" i="37"/>
  <c r="F36" i="37"/>
  <c r="J31" i="37"/>
  <c r="N259" i="22"/>
  <c r="F202" i="37"/>
  <c r="E202" i="37"/>
  <c r="I202" i="37"/>
  <c r="J139" i="37"/>
  <c r="J183" i="37"/>
  <c r="J106" i="37"/>
  <c r="J35" i="37"/>
  <c r="I37" i="37"/>
  <c r="J77" i="37"/>
  <c r="E70" i="37"/>
  <c r="F70" i="37"/>
  <c r="N261" i="22"/>
  <c r="I70" i="37"/>
  <c r="E125" i="37"/>
  <c r="N159" i="22"/>
  <c r="I125" i="37"/>
  <c r="F125" i="37"/>
  <c r="J309" i="37"/>
  <c r="AD4" i="37"/>
  <c r="J225" i="37"/>
  <c r="AB4" i="37"/>
  <c r="N114" i="22"/>
  <c r="E14" i="37"/>
  <c r="I14" i="37"/>
  <c r="F14" i="37"/>
  <c r="AC244" i="37"/>
  <c r="J244" i="37" s="1"/>
  <c r="Q3" i="22"/>
  <c r="N118" i="22"/>
  <c r="F66" i="37"/>
  <c r="E66" i="37"/>
  <c r="I66" i="37"/>
  <c r="N181" i="22"/>
  <c r="F145" i="37"/>
  <c r="E145" i="37"/>
  <c r="I145" i="37"/>
  <c r="I91" i="37"/>
  <c r="N209" i="22"/>
  <c r="E91" i="37"/>
  <c r="F91" i="37"/>
  <c r="J68" i="37"/>
  <c r="N73" i="22"/>
  <c r="I205" i="37"/>
  <c r="F205" i="37"/>
  <c r="E205" i="37"/>
  <c r="J36" i="37"/>
  <c r="J146" i="37"/>
  <c r="O116" i="22"/>
  <c r="Q116" i="22" s="1"/>
  <c r="J194" i="37"/>
  <c r="J255" i="37"/>
  <c r="AE4" i="37"/>
  <c r="J6" i="37"/>
  <c r="J130" i="37"/>
  <c r="I139" i="37"/>
  <c r="N160" i="22"/>
  <c r="E139" i="37"/>
  <c r="F139" i="37"/>
  <c r="N32" i="22"/>
  <c r="E228" i="37"/>
  <c r="F228" i="37"/>
  <c r="I228" i="37"/>
  <c r="N282" i="22"/>
  <c r="E33" i="37"/>
  <c r="I33" i="37"/>
  <c r="F33" i="37"/>
  <c r="J33" i="37"/>
  <c r="E43" i="37"/>
  <c r="I43" i="37"/>
  <c r="N188" i="22"/>
  <c r="F43" i="37"/>
  <c r="E188" i="37"/>
  <c r="N224" i="22"/>
  <c r="F188" i="37"/>
  <c r="I188" i="37"/>
  <c r="I78" i="37"/>
  <c r="N186" i="22"/>
  <c r="E78" i="37"/>
  <c r="F78" i="37"/>
  <c r="J148" i="37"/>
  <c r="N185" i="22"/>
  <c r="E58" i="37"/>
  <c r="F58" i="37"/>
  <c r="I58" i="37"/>
  <c r="J44" i="37"/>
  <c r="N262" i="22"/>
  <c r="I107" i="37"/>
  <c r="E107" i="37"/>
  <c r="F107" i="37"/>
  <c r="F252" i="37"/>
  <c r="J43" i="37"/>
  <c r="J152" i="37"/>
  <c r="J184" i="37"/>
  <c r="I48" i="37"/>
  <c r="N91" i="22"/>
  <c r="E48" i="37"/>
  <c r="F48" i="37"/>
  <c r="N274" i="22"/>
  <c r="I164" i="37"/>
  <c r="E164" i="37"/>
  <c r="F164" i="37"/>
  <c r="I84" i="37"/>
  <c r="F84" i="37"/>
  <c r="N155" i="22"/>
  <c r="E84" i="37"/>
  <c r="I252" i="37"/>
  <c r="F165" i="37"/>
  <c r="E165" i="37"/>
  <c r="N161" i="22"/>
  <c r="I165" i="37"/>
  <c r="J322" i="37"/>
  <c r="F193" i="37"/>
  <c r="AC45" i="37"/>
  <c r="J45" i="37" s="1"/>
  <c r="J112" i="37"/>
  <c r="K145" i="42"/>
  <c r="K245" i="42"/>
  <c r="L237" i="42"/>
  <c r="D21" i="57"/>
  <c r="J21" i="57" s="1"/>
  <c r="K229" i="42"/>
  <c r="L110" i="42"/>
  <c r="D53" i="57"/>
  <c r="J53" i="57" s="1"/>
  <c r="D251" i="57"/>
  <c r="J251" i="57" s="1"/>
  <c r="H20" i="42"/>
  <c r="N20" i="42" s="1"/>
  <c r="D293" i="57"/>
  <c r="J293" i="57" s="1"/>
  <c r="D122" i="57"/>
  <c r="J122" i="57" s="1"/>
  <c r="K27" i="42"/>
  <c r="D206" i="57"/>
  <c r="J206" i="57" s="1"/>
  <c r="D198" i="57"/>
  <c r="J198" i="57" s="1"/>
  <c r="D164" i="57"/>
  <c r="J164" i="57" s="1"/>
  <c r="L212" i="42"/>
  <c r="K110" i="42"/>
  <c r="D8" i="57"/>
  <c r="J8" i="57" s="1"/>
  <c r="D166" i="57"/>
  <c r="J166" i="57" s="1"/>
  <c r="L223" i="42"/>
  <c r="D204" i="57"/>
  <c r="J204" i="57" s="1"/>
  <c r="K223" i="42"/>
  <c r="M224" i="42"/>
  <c r="M14" i="42"/>
  <c r="D27" i="57"/>
  <c r="J27" i="57" s="1"/>
  <c r="D275" i="57"/>
  <c r="J275" i="57" s="1"/>
  <c r="D181" i="57"/>
  <c r="J181" i="57" s="1"/>
  <c r="K160" i="42"/>
  <c r="L108" i="42"/>
  <c r="D225" i="57"/>
  <c r="J225" i="57" s="1"/>
  <c r="K108" i="42"/>
  <c r="L145" i="42"/>
  <c r="M9" i="42"/>
  <c r="M308" i="42"/>
  <c r="P308" i="42" s="1"/>
  <c r="I53" i="42"/>
  <c r="E53" i="42"/>
  <c r="F53" i="42" s="1"/>
  <c r="K237" i="42"/>
  <c r="L229" i="42"/>
  <c r="H36" i="42"/>
  <c r="N36" i="42" s="1"/>
  <c r="J1" i="22"/>
  <c r="D267" i="57"/>
  <c r="J267" i="57" s="1"/>
  <c r="D88" i="57"/>
  <c r="J88" i="57" s="1"/>
  <c r="U119" i="22"/>
  <c r="D202" i="57"/>
  <c r="J202" i="57" s="1"/>
  <c r="D40" i="57"/>
  <c r="J40" i="57" s="1"/>
  <c r="D12" i="57"/>
  <c r="J12" i="57" s="1"/>
  <c r="K212" i="42"/>
  <c r="D310" i="57"/>
  <c r="J310" i="57" s="1"/>
  <c r="L314" i="42"/>
  <c r="K202" i="42"/>
  <c r="L202" i="42"/>
  <c r="K314" i="42"/>
  <c r="K273" i="42"/>
  <c r="L176" i="42"/>
  <c r="L273" i="42"/>
  <c r="K176" i="42"/>
  <c r="D291" i="57"/>
  <c r="J291" i="57" s="1"/>
  <c r="D289" i="57"/>
  <c r="J289" i="57" s="1"/>
  <c r="K149" i="42"/>
  <c r="L149" i="42"/>
  <c r="M202" i="42"/>
  <c r="L135" i="42"/>
  <c r="K135" i="42"/>
  <c r="D221" i="57"/>
  <c r="J221" i="57" s="1"/>
  <c r="M198" i="42"/>
  <c r="D120" i="57"/>
  <c r="J120" i="57" s="1"/>
  <c r="D130" i="57"/>
  <c r="J130" i="57" s="1"/>
  <c r="I260" i="42"/>
  <c r="K240" i="42"/>
  <c r="L240" i="42"/>
  <c r="M25" i="42"/>
  <c r="D65" i="57"/>
  <c r="J65" i="57" s="1"/>
  <c r="L258" i="42"/>
  <c r="D11" i="57"/>
  <c r="J11" i="57" s="1"/>
  <c r="K116" i="42"/>
  <c r="M256" i="42"/>
  <c r="K118" i="42"/>
  <c r="L10" i="42"/>
  <c r="L118" i="42"/>
  <c r="K10" i="42"/>
  <c r="L293" i="42"/>
  <c r="L257" i="42"/>
  <c r="K293" i="42"/>
  <c r="L116" i="42"/>
  <c r="K257" i="42"/>
  <c r="K6" i="42"/>
  <c r="L104" i="42"/>
  <c r="L6" i="42"/>
  <c r="L27" i="42"/>
  <c r="K104" i="42"/>
  <c r="T27" i="21"/>
  <c r="D243" i="57"/>
  <c r="J243" i="57" s="1"/>
  <c r="D165" i="57"/>
  <c r="J165" i="57" s="1"/>
  <c r="D74" i="57"/>
  <c r="J74" i="57" s="1"/>
  <c r="D313" i="57"/>
  <c r="J313" i="57" s="1"/>
  <c r="L160" i="42"/>
  <c r="D222" i="57"/>
  <c r="J222" i="57" s="1"/>
  <c r="D259" i="57"/>
  <c r="J259" i="57" s="1"/>
  <c r="M172" i="42"/>
  <c r="D216" i="57"/>
  <c r="J216" i="57" s="1"/>
  <c r="M275" i="42"/>
  <c r="M319" i="42"/>
  <c r="P319" i="42" s="1"/>
  <c r="K156" i="42"/>
  <c r="M15" i="42"/>
  <c r="D315" i="57"/>
  <c r="J315" i="57" s="1"/>
  <c r="D94" i="57"/>
  <c r="J94" i="57" s="1"/>
  <c r="K25" i="42"/>
  <c r="K36" i="42"/>
  <c r="D54" i="57"/>
  <c r="J54" i="57" s="1"/>
  <c r="D212" i="57"/>
  <c r="J212" i="57" s="1"/>
  <c r="L36" i="42"/>
  <c r="K106" i="42"/>
  <c r="L106" i="42"/>
  <c r="D309" i="57"/>
  <c r="J309" i="57" s="1"/>
  <c r="D196" i="57"/>
  <c r="J196" i="57" s="1"/>
  <c r="K253" i="42"/>
  <c r="L279" i="42"/>
  <c r="L25" i="42"/>
  <c r="K279" i="42"/>
  <c r="M27" i="42"/>
  <c r="D286" i="57"/>
  <c r="J286" i="57" s="1"/>
  <c r="D128" i="57"/>
  <c r="J128" i="57" s="1"/>
  <c r="D133" i="57"/>
  <c r="J133" i="57" s="1"/>
  <c r="M145" i="42"/>
  <c r="D209" i="57"/>
  <c r="J209" i="57" s="1"/>
  <c r="D4" i="57"/>
  <c r="J4" i="57" s="1"/>
  <c r="D60" i="57"/>
  <c r="J60" i="57" s="1"/>
  <c r="D35" i="57"/>
  <c r="J35" i="57" s="1"/>
  <c r="D231" i="57"/>
  <c r="J231" i="57" s="1"/>
  <c r="D280" i="57"/>
  <c r="J280" i="57" s="1"/>
  <c r="K193" i="42"/>
  <c r="L277" i="42"/>
  <c r="J132" i="42"/>
  <c r="K277" i="42"/>
  <c r="L235" i="42"/>
  <c r="L313" i="42"/>
  <c r="K235" i="42"/>
  <c r="K313" i="42"/>
  <c r="G104" i="57"/>
  <c r="D104" i="57"/>
  <c r="J104" i="57" s="1"/>
  <c r="M149" i="42"/>
  <c r="J7" i="42"/>
  <c r="D284" i="57"/>
  <c r="J284" i="57" s="1"/>
  <c r="D246" i="57"/>
  <c r="J246" i="57" s="1"/>
  <c r="D39" i="57"/>
  <c r="J39" i="57" s="1"/>
  <c r="H190" i="42"/>
  <c r="N190" i="42" s="1"/>
  <c r="D132" i="57"/>
  <c r="J132" i="57" s="1"/>
  <c r="D125" i="57"/>
  <c r="J125" i="57" s="1"/>
  <c r="K262" i="42"/>
  <c r="L266" i="42"/>
  <c r="L262" i="42"/>
  <c r="K259" i="42"/>
  <c r="M64" i="42"/>
  <c r="P64" i="42" s="1"/>
  <c r="D140" i="57"/>
  <c r="J140" i="57" s="1"/>
  <c r="L133" i="42"/>
  <c r="M155" i="42"/>
  <c r="P155" i="42" s="1"/>
  <c r="K133" i="42"/>
  <c r="L211" i="42"/>
  <c r="K272" i="42"/>
  <c r="K211" i="42"/>
  <c r="L272" i="42"/>
  <c r="K172" i="42"/>
  <c r="L172" i="42"/>
  <c r="L182" i="42"/>
  <c r="K182" i="42"/>
  <c r="K198" i="42"/>
  <c r="K81" i="42"/>
  <c r="K14" i="42"/>
  <c r="L81" i="42"/>
  <c r="L14" i="42"/>
  <c r="G125" i="42"/>
  <c r="H125" i="42" s="1"/>
  <c r="N125" i="42" s="1"/>
  <c r="M314" i="42"/>
  <c r="D161" i="57"/>
  <c r="J161" i="57" s="1"/>
  <c r="K288" i="42"/>
  <c r="L288" i="42"/>
  <c r="M104" i="42"/>
  <c r="D33" i="57"/>
  <c r="J33" i="57" s="1"/>
  <c r="G78" i="57"/>
  <c r="D78" i="57"/>
  <c r="J78" i="57" s="1"/>
  <c r="D290" i="57"/>
  <c r="J290" i="57" s="1"/>
  <c r="M277" i="42"/>
  <c r="L280" i="42"/>
  <c r="M263" i="42"/>
  <c r="E132" i="42"/>
  <c r="F132" i="42" s="1"/>
  <c r="O132" i="42"/>
  <c r="K280" i="42"/>
  <c r="L310" i="42"/>
  <c r="D266" i="57"/>
  <c r="J266" i="57" s="1"/>
  <c r="K266" i="42"/>
  <c r="M129" i="42"/>
  <c r="I194" i="42"/>
  <c r="D109" i="57"/>
  <c r="J109" i="57" s="1"/>
  <c r="D107" i="57"/>
  <c r="J107" i="57" s="1"/>
  <c r="L156" i="42"/>
  <c r="M110" i="42"/>
  <c r="D300" i="57"/>
  <c r="J300" i="57" s="1"/>
  <c r="E194" i="42"/>
  <c r="F194" i="42" s="1"/>
  <c r="O194" i="42"/>
  <c r="D318" i="57"/>
  <c r="J318" i="57" s="1"/>
  <c r="L190" i="42"/>
  <c r="D47" i="57"/>
  <c r="J47" i="57" s="1"/>
  <c r="K15" i="42"/>
  <c r="K190" i="42"/>
  <c r="L117" i="42"/>
  <c r="D16" i="57"/>
  <c r="J16" i="57" s="1"/>
  <c r="L15" i="42"/>
  <c r="K117" i="42"/>
  <c r="M47" i="42"/>
  <c r="M207" i="42"/>
  <c r="K131" i="42"/>
  <c r="L131" i="42"/>
  <c r="M262" i="42"/>
  <c r="D32" i="57"/>
  <c r="J32" i="57" s="1"/>
  <c r="D63" i="57"/>
  <c r="J63" i="57" s="1"/>
  <c r="K294" i="42"/>
  <c r="L294" i="42"/>
  <c r="L38" i="42"/>
  <c r="M258" i="42"/>
  <c r="K38" i="42"/>
  <c r="D188" i="57"/>
  <c r="J188" i="57" s="1"/>
  <c r="M229" i="42"/>
  <c r="D312" i="57"/>
  <c r="J312" i="57" s="1"/>
  <c r="L193" i="42"/>
  <c r="L66" i="42"/>
  <c r="C92" i="57"/>
  <c r="G92" i="57" s="1"/>
  <c r="K66" i="42"/>
  <c r="J256" i="42"/>
  <c r="L253" i="42"/>
  <c r="M176" i="42"/>
  <c r="E256" i="42"/>
  <c r="O256" i="42"/>
  <c r="I256" i="42"/>
  <c r="K207" i="42"/>
  <c r="L252" i="42"/>
  <c r="K252" i="42"/>
  <c r="L207" i="42"/>
  <c r="D220" i="57"/>
  <c r="J220" i="57" s="1"/>
  <c r="L48" i="42"/>
  <c r="K48" i="42"/>
  <c r="K258" i="42"/>
  <c r="K310" i="42"/>
  <c r="L284" i="42"/>
  <c r="D44" i="57"/>
  <c r="J44" i="57" s="1"/>
  <c r="G105" i="57"/>
  <c r="D105" i="57"/>
  <c r="J105" i="57" s="1"/>
  <c r="E260" i="42"/>
  <c r="F260" i="42" s="1"/>
  <c r="L275" i="42"/>
  <c r="M204" i="42"/>
  <c r="D249" i="57"/>
  <c r="J249" i="57" s="1"/>
  <c r="M135" i="42"/>
  <c r="L169" i="42"/>
  <c r="K169" i="42"/>
  <c r="M48" i="42"/>
  <c r="D252" i="57"/>
  <c r="J252" i="57" s="1"/>
  <c r="M124" i="42"/>
  <c r="P124" i="42" s="1"/>
  <c r="D316" i="57"/>
  <c r="J316" i="57" s="1"/>
  <c r="D248" i="57"/>
  <c r="J248" i="57" s="1"/>
  <c r="M116" i="42"/>
  <c r="L173" i="42"/>
  <c r="K173" i="42"/>
  <c r="L311" i="42"/>
  <c r="K311" i="42"/>
  <c r="L197" i="42"/>
  <c r="K197" i="42"/>
  <c r="D224" i="57"/>
  <c r="J224" i="57" s="1"/>
  <c r="K17" i="42"/>
  <c r="L17" i="42"/>
  <c r="K284" i="42"/>
  <c r="H175" i="42"/>
  <c r="N175" i="42" s="1"/>
  <c r="C141" i="57"/>
  <c r="G141" i="57" s="1"/>
  <c r="H235" i="42"/>
  <c r="N235" i="42" s="1"/>
  <c r="D43" i="57"/>
  <c r="J43" i="57" s="1"/>
  <c r="L259" i="42"/>
  <c r="D70" i="57"/>
  <c r="J70" i="57" s="1"/>
  <c r="L129" i="42"/>
  <c r="K129" i="42"/>
  <c r="K275" i="42"/>
  <c r="L224" i="42"/>
  <c r="K224" i="42"/>
  <c r="D241" i="57"/>
  <c r="J241" i="57" s="1"/>
  <c r="D28" i="57"/>
  <c r="J28" i="57" s="1"/>
  <c r="M272" i="42"/>
  <c r="K316" i="42"/>
  <c r="L316" i="42"/>
  <c r="D272" i="57"/>
  <c r="J272" i="57" s="1"/>
  <c r="D25" i="57"/>
  <c r="J25" i="57" s="1"/>
  <c r="G46" i="57"/>
  <c r="D46" i="57"/>
  <c r="J46" i="57" s="1"/>
  <c r="M86" i="42"/>
  <c r="K44" i="42"/>
  <c r="L44" i="42"/>
  <c r="J260" i="42"/>
  <c r="D234" i="57"/>
  <c r="J234" i="57" s="1"/>
  <c r="H59" i="42"/>
  <c r="N59" i="42" s="1"/>
  <c r="M59" i="42"/>
  <c r="M5" i="42"/>
  <c r="P5" i="42" s="1"/>
  <c r="L220" i="42"/>
  <c r="K220" i="42"/>
  <c r="G163" i="57"/>
  <c r="D163" i="57"/>
  <c r="J163" i="57" s="1"/>
  <c r="C64" i="57"/>
  <c r="G64" i="57" s="1"/>
  <c r="G215" i="57"/>
  <c r="D215" i="57"/>
  <c r="J215" i="57" s="1"/>
  <c r="D91" i="57"/>
  <c r="J91" i="57" s="1"/>
  <c r="D9" i="57"/>
  <c r="J9" i="57" s="1"/>
  <c r="L185" i="42"/>
  <c r="K185" i="42"/>
  <c r="M220" i="42"/>
  <c r="G232" i="57"/>
  <c r="D232" i="57"/>
  <c r="J232" i="57" s="1"/>
  <c r="E7" i="42"/>
  <c r="F7" i="42" s="1"/>
  <c r="E125" i="42"/>
  <c r="F125" i="42" s="1"/>
  <c r="I7" i="42"/>
  <c r="O125" i="42"/>
  <c r="D174" i="57"/>
  <c r="J174" i="57" s="1"/>
  <c r="K208" i="42"/>
  <c r="L208" i="42"/>
  <c r="C18" i="57"/>
  <c r="C247" i="57"/>
  <c r="G205" i="57"/>
  <c r="D205" i="57"/>
  <c r="J205" i="57" s="1"/>
  <c r="G108" i="57"/>
  <c r="D108" i="57"/>
  <c r="J108" i="57" s="1"/>
  <c r="G242" i="57"/>
  <c r="D242" i="57"/>
  <c r="J242" i="57" s="1"/>
  <c r="G121" i="57"/>
  <c r="D121" i="57"/>
  <c r="J121" i="57" s="1"/>
  <c r="G127" i="57"/>
  <c r="D127" i="57"/>
  <c r="J127" i="57" s="1"/>
  <c r="G173" i="57"/>
  <c r="D173" i="57"/>
  <c r="J173" i="57" s="1"/>
  <c r="C229" i="57"/>
  <c r="G195" i="57"/>
  <c r="D195" i="57"/>
  <c r="J195" i="57" s="1"/>
  <c r="C264" i="57"/>
  <c r="G279" i="57"/>
  <c r="D279" i="57"/>
  <c r="J279" i="57" s="1"/>
  <c r="U44" i="22"/>
  <c r="G41" i="57"/>
  <c r="D41" i="57"/>
  <c r="J41" i="57" s="1"/>
  <c r="G73" i="57"/>
  <c r="D73" i="57"/>
  <c r="J73" i="57" s="1"/>
  <c r="B118" i="57"/>
  <c r="C38" i="57"/>
  <c r="G38" i="57" s="1"/>
  <c r="G98" i="57"/>
  <c r="D98" i="57"/>
  <c r="J98" i="57" s="1"/>
  <c r="G136" i="57"/>
  <c r="D136" i="57"/>
  <c r="J136" i="57" s="1"/>
  <c r="G57" i="57"/>
  <c r="D57" i="57"/>
  <c r="J57" i="57" s="1"/>
  <c r="C176" i="57"/>
  <c r="G176" i="57" s="1"/>
  <c r="M221" i="42"/>
  <c r="P221" i="42" s="1"/>
  <c r="E139" i="42"/>
  <c r="G152" i="42"/>
  <c r="J152" i="42"/>
  <c r="O152" i="42"/>
  <c r="E152" i="42"/>
  <c r="I152" i="42"/>
  <c r="U78" i="22"/>
  <c r="C244" i="57"/>
  <c r="G244" i="57" s="1"/>
  <c r="C58" i="42"/>
  <c r="D58" i="42"/>
  <c r="G139" i="42"/>
  <c r="J139" i="42"/>
  <c r="J206" i="42"/>
  <c r="G206" i="42"/>
  <c r="G84" i="42"/>
  <c r="I139" i="42"/>
  <c r="G267" i="42"/>
  <c r="J267" i="42"/>
  <c r="O206" i="42"/>
  <c r="E206" i="42"/>
  <c r="I206" i="42"/>
  <c r="U74" i="22"/>
  <c r="D226" i="57"/>
  <c r="J226" i="57" s="1"/>
  <c r="O267" i="42"/>
  <c r="E267" i="42"/>
  <c r="C311" i="57"/>
  <c r="G311" i="57" s="1"/>
  <c r="M237" i="42"/>
  <c r="M279" i="42"/>
  <c r="M252" i="42"/>
  <c r="M183" i="42"/>
  <c r="L270" i="42"/>
  <c r="L121" i="42"/>
  <c r="K121" i="42"/>
  <c r="L114" i="42"/>
  <c r="K114" i="42"/>
  <c r="M44" i="42"/>
  <c r="H311" i="42"/>
  <c r="N311" i="42" s="1"/>
  <c r="K164" i="42"/>
  <c r="M228" i="42"/>
  <c r="L47" i="42"/>
  <c r="K47" i="42"/>
  <c r="M17" i="42"/>
  <c r="L164" i="42"/>
  <c r="M21" i="42"/>
  <c r="K271" i="42"/>
  <c r="L271" i="42"/>
  <c r="L203" i="42"/>
  <c r="K203" i="42"/>
  <c r="M178" i="42"/>
  <c r="L158" i="42"/>
  <c r="K158" i="42"/>
  <c r="K270" i="42"/>
  <c r="H208" i="42"/>
  <c r="N208" i="42" s="1"/>
  <c r="M185" i="42"/>
  <c r="H121" i="42"/>
  <c r="N121" i="42" s="1"/>
  <c r="M121" i="42"/>
  <c r="M153" i="42"/>
  <c r="M232" i="42"/>
  <c r="M122" i="42"/>
  <c r="K204" i="42"/>
  <c r="L204" i="42"/>
  <c r="M211" i="42"/>
  <c r="M156" i="42"/>
  <c r="L123" i="42"/>
  <c r="M161" i="42"/>
  <c r="P161" i="42" s="1"/>
  <c r="M270" i="42"/>
  <c r="M259" i="42"/>
  <c r="H164" i="42"/>
  <c r="N164" i="42" s="1"/>
  <c r="M164" i="42"/>
  <c r="Q38" i="21"/>
  <c r="R34" i="21"/>
  <c r="R38" i="21" s="1"/>
  <c r="O38" i="28"/>
  <c r="P34" i="28"/>
  <c r="P38" i="28" s="1"/>
  <c r="P34" i="27"/>
  <c r="P38" i="27" s="1"/>
  <c r="M70" i="42"/>
  <c r="M287" i="42"/>
  <c r="M289" i="42"/>
  <c r="M283" i="42"/>
  <c r="M274" i="42"/>
  <c r="K321" i="42"/>
  <c r="L321" i="42"/>
  <c r="M192" i="42"/>
  <c r="M238" i="42"/>
  <c r="M184" i="42"/>
  <c r="M186" i="42"/>
  <c r="M138" i="42"/>
  <c r="K123" i="42"/>
  <c r="M323" i="42"/>
  <c r="M285" i="42"/>
  <c r="M233" i="42"/>
  <c r="M225" i="42"/>
  <c r="M29" i="42"/>
  <c r="M22" i="42"/>
  <c r="M159" i="42"/>
  <c r="M168" i="42"/>
  <c r="M163" i="42"/>
  <c r="M105" i="42"/>
  <c r="M209" i="42"/>
  <c r="M166" i="42"/>
  <c r="M215" i="42"/>
  <c r="M214" i="42"/>
  <c r="M265" i="42"/>
  <c r="H226" i="42"/>
  <c r="N226" i="42" s="1"/>
  <c r="M189" i="42"/>
  <c r="M295" i="42"/>
  <c r="H171" i="42"/>
  <c r="N171" i="42" s="1"/>
  <c r="M254" i="42"/>
  <c r="M143" i="42"/>
  <c r="M247" i="42"/>
  <c r="M188" i="42"/>
  <c r="M292" i="42"/>
  <c r="M130" i="42"/>
  <c r="M181" i="42"/>
  <c r="H88" i="42"/>
  <c r="N88" i="42" s="1"/>
  <c r="M82" i="42"/>
  <c r="H136" i="42"/>
  <c r="N136" i="42" s="1"/>
  <c r="H132" i="42"/>
  <c r="N132" i="42" s="1"/>
  <c r="M195" i="42"/>
  <c r="M23" i="42"/>
  <c r="H115" i="42"/>
  <c r="N115" i="42" s="1"/>
  <c r="H303" i="42"/>
  <c r="N303" i="42" s="1"/>
  <c r="H162" i="42"/>
  <c r="N162" i="42" s="1"/>
  <c r="H321" i="42"/>
  <c r="N321" i="42" s="1"/>
  <c r="M7" i="42"/>
  <c r="H123" i="42"/>
  <c r="N123" i="42" s="1"/>
  <c r="O174" i="42"/>
  <c r="E174" i="42"/>
  <c r="F174" i="42" s="1"/>
  <c r="M231" i="42"/>
  <c r="M261" i="42"/>
  <c r="G50" i="42"/>
  <c r="M50" i="42" s="1"/>
  <c r="H141" i="42"/>
  <c r="N141" i="42" s="1"/>
  <c r="G174" i="42"/>
  <c r="M174" i="42" s="1"/>
  <c r="H187" i="42"/>
  <c r="N187" i="42" s="1"/>
  <c r="M278" i="42"/>
  <c r="H114" i="42"/>
  <c r="N114" i="42" s="1"/>
  <c r="O50" i="42"/>
  <c r="E50" i="42"/>
  <c r="F50" i="42" s="1"/>
  <c r="H243" i="42"/>
  <c r="N243" i="42" s="1"/>
  <c r="M218" i="42"/>
  <c r="M260" i="42"/>
  <c r="H317" i="42"/>
  <c r="N317" i="42" s="1"/>
  <c r="P170" i="42"/>
  <c r="P216" i="42"/>
  <c r="N189" i="42"/>
  <c r="N218" i="42"/>
  <c r="P180" i="42"/>
  <c r="N292" i="42"/>
  <c r="P150" i="42"/>
  <c r="P276" i="42"/>
  <c r="P126" i="42"/>
  <c r="P57" i="42"/>
  <c r="N265" i="42"/>
  <c r="P246" i="42"/>
  <c r="N214" i="42"/>
  <c r="N247" i="42"/>
  <c r="N238" i="42"/>
  <c r="N130" i="42"/>
  <c r="N163" i="42"/>
  <c r="P146" i="42"/>
  <c r="N29" i="42"/>
  <c r="N289" i="42"/>
  <c r="N188" i="42"/>
  <c r="P4" i="42"/>
  <c r="N233" i="42"/>
  <c r="N183" i="42"/>
  <c r="P39" i="42"/>
  <c r="N192" i="42"/>
  <c r="N7" i="42"/>
  <c r="N278" i="42"/>
  <c r="N283" i="42"/>
  <c r="P305" i="42"/>
  <c r="P62" i="42"/>
  <c r="N168" i="42"/>
  <c r="N261" i="42"/>
  <c r="P201" i="42"/>
  <c r="P299" i="42"/>
  <c r="P16" i="42"/>
  <c r="P120" i="42"/>
  <c r="N231" i="42"/>
  <c r="N287" i="42"/>
  <c r="P306" i="42"/>
  <c r="N209" i="42"/>
  <c r="N159" i="42"/>
  <c r="N263" i="42"/>
  <c r="N70" i="42"/>
  <c r="N122" i="42"/>
  <c r="N215" i="42"/>
  <c r="N260" i="42"/>
  <c r="N254" i="42"/>
  <c r="N21" i="42"/>
  <c r="N23" i="42"/>
  <c r="N186" i="42"/>
  <c r="P35" i="42"/>
  <c r="K159" i="42"/>
  <c r="L159" i="42"/>
  <c r="N166" i="42"/>
  <c r="N323" i="42"/>
  <c r="K162" i="42"/>
  <c r="L162" i="42"/>
  <c r="N195" i="42"/>
  <c r="P242" i="42"/>
  <c r="P134" i="42"/>
  <c r="K281" i="42"/>
  <c r="L281" i="42"/>
  <c r="P322" i="42"/>
  <c r="N274" i="42"/>
  <c r="N181" i="42"/>
  <c r="L154" i="42"/>
  <c r="K154" i="42"/>
  <c r="K22" i="42"/>
  <c r="L22" i="42"/>
  <c r="K317" i="42"/>
  <c r="L317" i="42"/>
  <c r="P144" i="42"/>
  <c r="P127" i="42"/>
  <c r="N138" i="42"/>
  <c r="K115" i="42"/>
  <c r="L115" i="42"/>
  <c r="L287" i="42"/>
  <c r="K287" i="42"/>
  <c r="K153" i="42"/>
  <c r="L153" i="42"/>
  <c r="P157" i="42"/>
  <c r="I50" i="42"/>
  <c r="L261" i="42"/>
  <c r="K261" i="42"/>
  <c r="K213" i="42"/>
  <c r="L213" i="42"/>
  <c r="N153" i="42"/>
  <c r="L295" i="42"/>
  <c r="K295" i="42"/>
  <c r="N307" i="42"/>
  <c r="M307" i="42"/>
  <c r="K320" i="42"/>
  <c r="L320" i="42"/>
  <c r="P128" i="42"/>
  <c r="N184" i="42"/>
  <c r="K226" i="42"/>
  <c r="L226" i="42"/>
  <c r="J50" i="42"/>
  <c r="K177" i="42"/>
  <c r="L177" i="42"/>
  <c r="K70" i="42"/>
  <c r="L70" i="42"/>
  <c r="K86" i="42"/>
  <c r="L86" i="42"/>
  <c r="N86" i="42"/>
  <c r="N213" i="42"/>
  <c r="M213" i="42"/>
  <c r="L233" i="42"/>
  <c r="K233" i="42"/>
  <c r="N285" i="42"/>
  <c r="L231" i="42"/>
  <c r="K231" i="42"/>
  <c r="N295" i="42"/>
  <c r="N217" i="42"/>
  <c r="M217" i="42"/>
  <c r="K143" i="42"/>
  <c r="L143" i="42"/>
  <c r="N225" i="42"/>
  <c r="K303" i="42"/>
  <c r="L303" i="42"/>
  <c r="L29" i="42"/>
  <c r="K29" i="42"/>
  <c r="K88" i="42"/>
  <c r="L88" i="42"/>
  <c r="K23" i="42"/>
  <c r="L23" i="42"/>
  <c r="K278" i="42"/>
  <c r="L278" i="42"/>
  <c r="N143" i="42"/>
  <c r="K307" i="42"/>
  <c r="L307" i="42"/>
  <c r="N281" i="42"/>
  <c r="M281" i="42"/>
  <c r="L105" i="42"/>
  <c r="K105" i="42"/>
  <c r="K184" i="42"/>
  <c r="L184" i="42"/>
  <c r="K122" i="42"/>
  <c r="L122" i="42"/>
  <c r="L186" i="42"/>
  <c r="K186" i="42"/>
  <c r="N82" i="42"/>
  <c r="K217" i="42"/>
  <c r="L217" i="42"/>
  <c r="K243" i="42"/>
  <c r="L243" i="42"/>
  <c r="K274" i="42"/>
  <c r="L274" i="42"/>
  <c r="K263" i="42"/>
  <c r="L263" i="42"/>
  <c r="L218" i="42"/>
  <c r="K218" i="42"/>
  <c r="C270" i="57"/>
  <c r="G270" i="57" s="1"/>
  <c r="K215" i="42"/>
  <c r="L215" i="42"/>
  <c r="L130" i="42"/>
  <c r="K130" i="42"/>
  <c r="K228" i="42"/>
  <c r="L228" i="42"/>
  <c r="K265" i="42"/>
  <c r="L265" i="42"/>
  <c r="P210" i="42"/>
  <c r="K183" i="42"/>
  <c r="L183" i="42"/>
  <c r="P103" i="42"/>
  <c r="K171" i="42"/>
  <c r="L171" i="42"/>
  <c r="K166" i="42"/>
  <c r="L166" i="42"/>
  <c r="K292" i="42"/>
  <c r="L292" i="42"/>
  <c r="K323" i="42"/>
  <c r="L323" i="42"/>
  <c r="K168" i="42"/>
  <c r="L168" i="42"/>
  <c r="P251" i="42"/>
  <c r="L247" i="42"/>
  <c r="K247" i="42"/>
  <c r="P249" i="42"/>
  <c r="L192" i="42"/>
  <c r="K192" i="42"/>
  <c r="L178" i="42"/>
  <c r="K178" i="42"/>
  <c r="K21" i="42"/>
  <c r="L21" i="42"/>
  <c r="I174" i="42"/>
  <c r="N228" i="42"/>
  <c r="L232" i="42"/>
  <c r="K232" i="42"/>
  <c r="L283" i="42"/>
  <c r="K283" i="42"/>
  <c r="N178" i="42"/>
  <c r="J174" i="42"/>
  <c r="N282" i="42"/>
  <c r="M282" i="42"/>
  <c r="N105" i="42"/>
  <c r="K209" i="42"/>
  <c r="L209" i="42"/>
  <c r="L195" i="42"/>
  <c r="K195" i="42"/>
  <c r="L163" i="42"/>
  <c r="K163" i="42"/>
  <c r="K189" i="42"/>
  <c r="L189" i="42"/>
  <c r="K285" i="42"/>
  <c r="L285" i="42"/>
  <c r="N154" i="42"/>
  <c r="M154" i="42"/>
  <c r="K282" i="42"/>
  <c r="L282" i="42"/>
  <c r="L238" i="42"/>
  <c r="K238" i="42"/>
  <c r="L138" i="42"/>
  <c r="K138" i="42"/>
  <c r="N232" i="42"/>
  <c r="K181" i="42"/>
  <c r="L181" i="42"/>
  <c r="L225" i="42"/>
  <c r="K225" i="42"/>
  <c r="N320" i="42"/>
  <c r="M320" i="42"/>
  <c r="L187" i="42"/>
  <c r="K187" i="42"/>
  <c r="K188" i="42"/>
  <c r="L188" i="42"/>
  <c r="N22" i="42"/>
  <c r="P167" i="42"/>
  <c r="K289" i="42"/>
  <c r="L289" i="42"/>
  <c r="L214" i="42"/>
  <c r="K214" i="42"/>
  <c r="P300" i="42"/>
  <c r="K254" i="42"/>
  <c r="L254" i="42"/>
  <c r="N177" i="42"/>
  <c r="M177" i="42"/>
  <c r="K136" i="42"/>
  <c r="L136" i="42"/>
  <c r="K141" i="42"/>
  <c r="L141" i="42"/>
  <c r="K82" i="42"/>
  <c r="L82" i="42"/>
  <c r="D50" i="57"/>
  <c r="J50" i="57" s="1"/>
  <c r="D131" i="57"/>
  <c r="J131" i="57" s="1"/>
  <c r="D254" i="57"/>
  <c r="J254" i="57" s="1"/>
  <c r="D119" i="57"/>
  <c r="J119" i="57" s="1"/>
  <c r="D299" i="57"/>
  <c r="J299" i="57" s="1"/>
  <c r="D55" i="57"/>
  <c r="J55" i="57" s="1"/>
  <c r="D171" i="57"/>
  <c r="J171" i="57" s="1"/>
  <c r="D203" i="57"/>
  <c r="J203" i="57" s="1"/>
  <c r="D287" i="57"/>
  <c r="J287" i="57" s="1"/>
  <c r="D97" i="57"/>
  <c r="J97" i="57" s="1"/>
  <c r="D124" i="57"/>
  <c r="J124" i="57" s="1"/>
  <c r="D86" i="57"/>
  <c r="J86" i="57" s="1"/>
  <c r="D15" i="57"/>
  <c r="J15" i="57" s="1"/>
  <c r="D190" i="57"/>
  <c r="J190" i="57" s="1"/>
  <c r="D214" i="57"/>
  <c r="J214" i="57" s="1"/>
  <c r="D238" i="57"/>
  <c r="J238" i="57" s="1"/>
  <c r="D253" i="57"/>
  <c r="J253" i="57" s="1"/>
  <c r="D14" i="57"/>
  <c r="J14" i="57" s="1"/>
  <c r="D13" i="57"/>
  <c r="J13" i="57" s="1"/>
  <c r="D172" i="57"/>
  <c r="J172" i="57" s="1"/>
  <c r="D304" i="57"/>
  <c r="J304" i="57" s="1"/>
  <c r="D111" i="57"/>
  <c r="J111" i="57" s="1"/>
  <c r="D201" i="57"/>
  <c r="J201" i="57" s="1"/>
  <c r="D42" i="57"/>
  <c r="J42" i="57" s="1"/>
  <c r="D123" i="57"/>
  <c r="J123" i="57" s="1"/>
  <c r="D147" i="57"/>
  <c r="J147" i="57" s="1"/>
  <c r="O38" i="27"/>
  <c r="T28" i="21"/>
  <c r="D61" i="57"/>
  <c r="J61" i="57" s="1"/>
  <c r="D30" i="57"/>
  <c r="J30" i="57" s="1"/>
  <c r="C233" i="57"/>
  <c r="G233" i="57" s="1"/>
  <c r="D142" i="57"/>
  <c r="J142" i="57" s="1"/>
  <c r="D218" i="57"/>
  <c r="J218" i="57" s="1"/>
  <c r="D292" i="57"/>
  <c r="J292" i="57" s="1"/>
  <c r="D77" i="57"/>
  <c r="J77" i="57" s="1"/>
  <c r="F7" i="29"/>
  <c r="T26" i="21"/>
  <c r="D71" i="57"/>
  <c r="J71" i="57" s="1"/>
  <c r="C139" i="57"/>
  <c r="G139" i="57" s="1"/>
  <c r="D217" i="57"/>
  <c r="J217" i="57" s="1"/>
  <c r="Q37" i="21"/>
  <c r="Q35" i="21"/>
  <c r="O37" i="28"/>
  <c r="O35" i="28"/>
  <c r="O35" i="27"/>
  <c r="O37" i="27"/>
  <c r="M310" i="42" l="1"/>
  <c r="L198" i="42"/>
  <c r="K219" i="42"/>
  <c r="G185" i="37"/>
  <c r="H185" i="37"/>
  <c r="S60" i="22"/>
  <c r="T60" i="22" s="1"/>
  <c r="P60" i="22"/>
  <c r="L290" i="42"/>
  <c r="L245" i="42"/>
  <c r="I185" i="37"/>
  <c r="I182" i="37"/>
  <c r="E182" i="37"/>
  <c r="F182" i="37"/>
  <c r="N88" i="22"/>
  <c r="E134" i="37"/>
  <c r="N153" i="22"/>
  <c r="I134" i="37"/>
  <c r="F134" i="37"/>
  <c r="G240" i="37"/>
  <c r="H240" i="37"/>
  <c r="O60" i="22"/>
  <c r="Q60" i="22" s="1"/>
  <c r="J185" i="37"/>
  <c r="S38" i="22"/>
  <c r="T38" i="22" s="1"/>
  <c r="P38" i="22"/>
  <c r="P308" i="22"/>
  <c r="S308" i="22"/>
  <c r="T308" i="22" s="1"/>
  <c r="G190" i="37"/>
  <c r="H190" i="37"/>
  <c r="O154" i="22"/>
  <c r="Q154" i="22" s="1"/>
  <c r="J172" i="37"/>
  <c r="E172" i="37"/>
  <c r="I172" i="37"/>
  <c r="G172" i="37"/>
  <c r="H172" i="37"/>
  <c r="S154" i="22"/>
  <c r="T154" i="22" s="1"/>
  <c r="P154" i="22"/>
  <c r="J298" i="42"/>
  <c r="K290" i="42"/>
  <c r="P199" i="42"/>
  <c r="D5" i="57"/>
  <c r="J5" i="57" s="1"/>
  <c r="I69" i="42"/>
  <c r="J194" i="42"/>
  <c r="K69" i="42"/>
  <c r="L69" i="42"/>
  <c r="P9" i="42"/>
  <c r="O69" i="42"/>
  <c r="E32" i="58"/>
  <c r="J15" i="37"/>
  <c r="M194" i="42"/>
  <c r="D219" i="57"/>
  <c r="J219" i="57" s="1"/>
  <c r="I132" i="37"/>
  <c r="I84" i="42"/>
  <c r="J40" i="37"/>
  <c r="O84" i="42"/>
  <c r="L219" i="42"/>
  <c r="E298" i="42"/>
  <c r="F298" i="42" s="1"/>
  <c r="O298" i="42"/>
  <c r="H103" i="37"/>
  <c r="F118" i="37"/>
  <c r="G118" i="37" s="1"/>
  <c r="D22" i="57"/>
  <c r="J22" i="57" s="1"/>
  <c r="I118" i="37"/>
  <c r="AH4" i="37"/>
  <c r="E118" i="37"/>
  <c r="F15" i="37"/>
  <c r="G15" i="37" s="1"/>
  <c r="J118" i="37"/>
  <c r="O13" i="42"/>
  <c r="N180" i="22"/>
  <c r="S180" i="22" s="1"/>
  <c r="T180" i="22" s="1"/>
  <c r="P20" i="42"/>
  <c r="P85" i="42"/>
  <c r="G13" i="42"/>
  <c r="M13" i="42" s="1"/>
  <c r="P245" i="42"/>
  <c r="E13" i="42"/>
  <c r="F13" i="42" s="1"/>
  <c r="G53" i="42"/>
  <c r="M53" i="42" s="1"/>
  <c r="E247" i="37"/>
  <c r="N18" i="22"/>
  <c r="P18" i="22" s="1"/>
  <c r="G71" i="37"/>
  <c r="E15" i="37"/>
  <c r="N168" i="22"/>
  <c r="P168" i="22" s="1"/>
  <c r="S86" i="22"/>
  <c r="T86" i="22" s="1"/>
  <c r="B85" i="57" s="1"/>
  <c r="J247" i="37"/>
  <c r="D80" i="57"/>
  <c r="J80" i="57" s="1"/>
  <c r="F132" i="37"/>
  <c r="G132" i="37" s="1"/>
  <c r="I92" i="37"/>
  <c r="N68" i="22"/>
  <c r="P68" i="22" s="1"/>
  <c r="F247" i="37"/>
  <c r="G247" i="37" s="1"/>
  <c r="E92" i="37"/>
  <c r="I52" i="37"/>
  <c r="M111" i="42"/>
  <c r="P111" i="42" s="1"/>
  <c r="G219" i="42"/>
  <c r="F52" i="37"/>
  <c r="H52" i="37" s="1"/>
  <c r="F40" i="37"/>
  <c r="H40" i="37" s="1"/>
  <c r="N151" i="22"/>
  <c r="P151" i="22" s="1"/>
  <c r="E40" i="37"/>
  <c r="N146" i="22"/>
  <c r="P146" i="22" s="1"/>
  <c r="O45" i="42"/>
  <c r="E45" i="42"/>
  <c r="I45" i="42"/>
  <c r="H69" i="42"/>
  <c r="N69" i="42" s="1"/>
  <c r="M69" i="42"/>
  <c r="J156" i="37"/>
  <c r="N179" i="22"/>
  <c r="S179" i="22" s="1"/>
  <c r="T179" i="22" s="1"/>
  <c r="F156" i="37"/>
  <c r="G156" i="37" s="1"/>
  <c r="E156" i="37"/>
  <c r="J92" i="37"/>
  <c r="AI4" i="37"/>
  <c r="J132" i="37"/>
  <c r="E52" i="37"/>
  <c r="O323" i="22"/>
  <c r="H34" i="37"/>
  <c r="D282" i="57"/>
  <c r="J282" i="57" s="1"/>
  <c r="P110" i="42"/>
  <c r="AC4" i="37"/>
  <c r="P224" i="22"/>
  <c r="S224" i="22"/>
  <c r="T224" i="22" s="1"/>
  <c r="P73" i="22"/>
  <c r="S73" i="22"/>
  <c r="T73" i="22" s="1"/>
  <c r="N183" i="22"/>
  <c r="I244" i="37"/>
  <c r="E244" i="37"/>
  <c r="F244" i="37"/>
  <c r="H70" i="37"/>
  <c r="G70" i="37"/>
  <c r="P67" i="22"/>
  <c r="S67" i="22"/>
  <c r="T67" i="22" s="1"/>
  <c r="S184" i="22"/>
  <c r="T184" i="22" s="1"/>
  <c r="AK93" i="37" s="1"/>
  <c r="P184" i="22"/>
  <c r="D24" i="42"/>
  <c r="C24" i="42"/>
  <c r="AK27" i="37"/>
  <c r="U25" i="22"/>
  <c r="B24" i="57"/>
  <c r="H162" i="37"/>
  <c r="G162" i="37"/>
  <c r="H152" i="37"/>
  <c r="G152" i="37"/>
  <c r="P76" i="22"/>
  <c r="S76" i="22"/>
  <c r="T76" i="22" s="1"/>
  <c r="G165" i="37"/>
  <c r="H165" i="37"/>
  <c r="S185" i="22"/>
  <c r="T185" i="22" s="1"/>
  <c r="P185" i="22"/>
  <c r="S160" i="22"/>
  <c r="T160" i="22" s="1"/>
  <c r="P160" i="22"/>
  <c r="H14" i="37"/>
  <c r="G14" i="37"/>
  <c r="H133" i="37"/>
  <c r="G133" i="37"/>
  <c r="AK206" i="37"/>
  <c r="B156" i="57"/>
  <c r="U157" i="22"/>
  <c r="C315" i="42"/>
  <c r="D315" i="42"/>
  <c r="G206" i="37"/>
  <c r="H206" i="37"/>
  <c r="S299" i="22"/>
  <c r="P299" i="22"/>
  <c r="H160" i="37"/>
  <c r="G160" i="37"/>
  <c r="J23" i="37"/>
  <c r="D63" i="42"/>
  <c r="C63" i="42"/>
  <c r="U236" i="22"/>
  <c r="AK193" i="37"/>
  <c r="B235" i="57"/>
  <c r="H43" i="37"/>
  <c r="G43" i="37"/>
  <c r="G91" i="37"/>
  <c r="H91" i="37"/>
  <c r="G37" i="37"/>
  <c r="H37" i="37"/>
  <c r="P117" i="22"/>
  <c r="S117" i="22"/>
  <c r="T117" i="22" s="1"/>
  <c r="H68" i="37"/>
  <c r="G68" i="37"/>
  <c r="P246" i="22"/>
  <c r="S246" i="22"/>
  <c r="T246" i="22" s="1"/>
  <c r="H96" i="37"/>
  <c r="G96" i="37"/>
  <c r="P187" i="22"/>
  <c r="S187" i="22"/>
  <c r="T187" i="22" s="1"/>
  <c r="S3" i="22"/>
  <c r="T3" i="22" s="1"/>
  <c r="P3" i="22"/>
  <c r="G225" i="37"/>
  <c r="H225" i="37"/>
  <c r="G44" i="37"/>
  <c r="H44" i="37"/>
  <c r="P57" i="22"/>
  <c r="S57" i="22"/>
  <c r="T57" i="22" s="1"/>
  <c r="S188" i="22"/>
  <c r="T188" i="22" s="1"/>
  <c r="P188" i="22"/>
  <c r="C92" i="42"/>
  <c r="B137" i="57"/>
  <c r="D92" i="42"/>
  <c r="AK103" i="37"/>
  <c r="U138" i="22"/>
  <c r="S302" i="22"/>
  <c r="T302" i="22" s="1"/>
  <c r="P302" i="22"/>
  <c r="F74" i="37"/>
  <c r="I74" i="37"/>
  <c r="E74" i="37"/>
  <c r="N50" i="22"/>
  <c r="H55" i="37"/>
  <c r="G55" i="37"/>
  <c r="P176" i="22"/>
  <c r="S176" i="22"/>
  <c r="T176" i="22" s="1"/>
  <c r="H65" i="37"/>
  <c r="G65" i="37"/>
  <c r="P155" i="22"/>
  <c r="S155" i="22"/>
  <c r="T155" i="22" s="1"/>
  <c r="G252" i="37"/>
  <c r="H252" i="37"/>
  <c r="P209" i="22"/>
  <c r="S209" i="22"/>
  <c r="T209" i="22" s="1"/>
  <c r="S114" i="22"/>
  <c r="T114" i="22" s="1"/>
  <c r="P114" i="22"/>
  <c r="G309" i="37"/>
  <c r="H309" i="37"/>
  <c r="G220" i="37"/>
  <c r="H220" i="37"/>
  <c r="H84" i="37"/>
  <c r="G84" i="37"/>
  <c r="G107" i="37"/>
  <c r="H107" i="37"/>
  <c r="G183" i="37"/>
  <c r="H183" i="37"/>
  <c r="G199" i="37"/>
  <c r="H199" i="37"/>
  <c r="S20" i="22"/>
  <c r="T20" i="22" s="1"/>
  <c r="P20" i="22"/>
  <c r="P145" i="22"/>
  <c r="S145" i="22"/>
  <c r="T145" i="22" s="1"/>
  <c r="G127" i="37"/>
  <c r="H127" i="37"/>
  <c r="H57" i="37"/>
  <c r="G57" i="37"/>
  <c r="P37" i="22"/>
  <c r="S37" i="22"/>
  <c r="T37" i="22" s="1"/>
  <c r="P264" i="22"/>
  <c r="S264" i="22"/>
  <c r="T264" i="22" s="1"/>
  <c r="P320" i="22"/>
  <c r="S320" i="22"/>
  <c r="T320" i="22" s="1"/>
  <c r="AK255" i="37"/>
  <c r="G255" i="37"/>
  <c r="H255" i="37"/>
  <c r="P266" i="22"/>
  <c r="S266" i="22"/>
  <c r="T266" i="22" s="1"/>
  <c r="P296" i="22"/>
  <c r="S296" i="22"/>
  <c r="T296" i="22" s="1"/>
  <c r="H135" i="37"/>
  <c r="G135" i="37"/>
  <c r="H118" i="37"/>
  <c r="G13" i="37"/>
  <c r="H13" i="37"/>
  <c r="H89" i="37"/>
  <c r="G89" i="37"/>
  <c r="S256" i="22"/>
  <c r="T256" i="22" s="1"/>
  <c r="P256" i="22"/>
  <c r="G33" i="37"/>
  <c r="H33" i="37"/>
  <c r="G72" i="37"/>
  <c r="H72" i="37"/>
  <c r="G77" i="37"/>
  <c r="H77" i="37"/>
  <c r="S53" i="22"/>
  <c r="T53" i="22" s="1"/>
  <c r="P53" i="22"/>
  <c r="S84" i="22"/>
  <c r="T84" i="22" s="1"/>
  <c r="P84" i="22"/>
  <c r="G54" i="37"/>
  <c r="H54" i="37"/>
  <c r="G61" i="37"/>
  <c r="H61" i="37"/>
  <c r="P307" i="22"/>
  <c r="S307" i="22"/>
  <c r="T307" i="22" s="1"/>
  <c r="S49" i="22"/>
  <c r="T49" i="22" s="1"/>
  <c r="P49" i="22"/>
  <c r="S163" i="22"/>
  <c r="T163" i="22" s="1"/>
  <c r="P163" i="22"/>
  <c r="P262" i="22"/>
  <c r="S262" i="22"/>
  <c r="T262" i="22" s="1"/>
  <c r="H145" i="37"/>
  <c r="G145" i="37"/>
  <c r="H143" i="37"/>
  <c r="G143" i="37"/>
  <c r="P295" i="22"/>
  <c r="S295" i="22"/>
  <c r="T295" i="22" s="1"/>
  <c r="P149" i="22"/>
  <c r="S149" i="22"/>
  <c r="T149" i="22" s="1"/>
  <c r="H184" i="37"/>
  <c r="G184" i="37"/>
  <c r="C255" i="42"/>
  <c r="U297" i="22"/>
  <c r="B296" i="57"/>
  <c r="AK252" i="37"/>
  <c r="D255" i="42"/>
  <c r="G322" i="37"/>
  <c r="H322" i="37"/>
  <c r="H164" i="37"/>
  <c r="G164" i="37"/>
  <c r="S181" i="22"/>
  <c r="T181" i="22" s="1"/>
  <c r="P181" i="22"/>
  <c r="P190" i="22"/>
  <c r="S190" i="22"/>
  <c r="T190" i="22" s="1"/>
  <c r="G238" i="37"/>
  <c r="H238" i="37"/>
  <c r="N4" i="22"/>
  <c r="S4" i="22" s="1"/>
  <c r="T4" i="22" s="1"/>
  <c r="I60" i="37"/>
  <c r="E60" i="37"/>
  <c r="F60" i="37"/>
  <c r="S63" i="22"/>
  <c r="P63" i="22"/>
  <c r="B256" i="57"/>
  <c r="C137" i="42"/>
  <c r="D137" i="42"/>
  <c r="U257" i="22"/>
  <c r="AK152" i="37"/>
  <c r="H150" i="37"/>
  <c r="G150" i="37"/>
  <c r="P77" i="22"/>
  <c r="S77" i="22"/>
  <c r="T77" i="22" s="1"/>
  <c r="P94" i="22"/>
  <c r="S94" i="22"/>
  <c r="T94" i="22" s="1"/>
  <c r="G6" i="37"/>
  <c r="H6" i="37"/>
  <c r="P269" i="22"/>
  <c r="S269" i="22"/>
  <c r="T269" i="22" s="1"/>
  <c r="G78" i="37"/>
  <c r="H78" i="37"/>
  <c r="S282" i="22"/>
  <c r="T282" i="22" s="1"/>
  <c r="P282" i="22"/>
  <c r="H125" i="37"/>
  <c r="G125" i="37"/>
  <c r="H146" i="37"/>
  <c r="G146" i="37"/>
  <c r="H298" i="37"/>
  <c r="G298" i="37"/>
  <c r="H35" i="37"/>
  <c r="G35" i="37"/>
  <c r="S263" i="22"/>
  <c r="T263" i="22" s="1"/>
  <c r="P263" i="22"/>
  <c r="H187" i="37"/>
  <c r="G187" i="37"/>
  <c r="P116" i="22"/>
  <c r="S116" i="22"/>
  <c r="T116" i="22" s="1"/>
  <c r="P212" i="42"/>
  <c r="N240" i="22"/>
  <c r="I45" i="37"/>
  <c r="F45" i="37"/>
  <c r="E45" i="37"/>
  <c r="G202" i="37"/>
  <c r="H202" i="37"/>
  <c r="S171" i="22"/>
  <c r="T171" i="22" s="1"/>
  <c r="P171" i="22"/>
  <c r="H130" i="37"/>
  <c r="G130" i="37"/>
  <c r="P152" i="22"/>
  <c r="S152" i="22"/>
  <c r="T152" i="22" s="1"/>
  <c r="H324" i="37"/>
  <c r="G324" i="37"/>
  <c r="J60" i="37"/>
  <c r="P275" i="22"/>
  <c r="S275" i="22"/>
  <c r="T275" i="22" s="1"/>
  <c r="G307" i="37"/>
  <c r="H307" i="37"/>
  <c r="G221" i="37"/>
  <c r="H221" i="37"/>
  <c r="H147" i="37"/>
  <c r="G147" i="37"/>
  <c r="S52" i="22"/>
  <c r="T52" i="22" s="1"/>
  <c r="P52" i="22"/>
  <c r="G193" i="37"/>
  <c r="H193" i="37"/>
  <c r="S274" i="22"/>
  <c r="T274" i="22" s="1"/>
  <c r="P274" i="22"/>
  <c r="H92" i="37"/>
  <c r="G92" i="37"/>
  <c r="P186" i="22"/>
  <c r="S186" i="22"/>
  <c r="T186" i="22" s="1"/>
  <c r="G228" i="37"/>
  <c r="H228" i="37"/>
  <c r="G66" i="37"/>
  <c r="H66" i="37"/>
  <c r="S159" i="22"/>
  <c r="T159" i="22" s="1"/>
  <c r="P159" i="22"/>
  <c r="P259" i="22"/>
  <c r="S259" i="22"/>
  <c r="T259" i="22" s="1"/>
  <c r="H137" i="37"/>
  <c r="G137" i="37"/>
  <c r="P272" i="22"/>
  <c r="S272" i="22"/>
  <c r="T272" i="22" s="1"/>
  <c r="H29" i="37"/>
  <c r="G29" i="37"/>
  <c r="S304" i="22"/>
  <c r="T304" i="22" s="1"/>
  <c r="P304" i="22"/>
  <c r="S270" i="22"/>
  <c r="T270" i="22" s="1"/>
  <c r="P270" i="22"/>
  <c r="AK221" i="37"/>
  <c r="U198" i="22"/>
  <c r="B197" i="57"/>
  <c r="C151" i="42"/>
  <c r="D151" i="42"/>
  <c r="P170" i="22"/>
  <c r="S170" i="22"/>
  <c r="T170" i="22" s="1"/>
  <c r="H31" i="37"/>
  <c r="G31" i="37"/>
  <c r="AK34" i="37"/>
  <c r="U178" i="22"/>
  <c r="D31" i="42"/>
  <c r="B177" i="57"/>
  <c r="C177" i="57" s="1"/>
  <c r="G177" i="57" s="1"/>
  <c r="C31" i="42"/>
  <c r="AK37" i="37"/>
  <c r="B240" i="57"/>
  <c r="D34" i="42"/>
  <c r="C34" i="42"/>
  <c r="U241" i="22"/>
  <c r="G48" i="37"/>
  <c r="H48" i="37"/>
  <c r="S118" i="22"/>
  <c r="T118" i="22" s="1"/>
  <c r="P118" i="22"/>
  <c r="S83" i="22"/>
  <c r="P83" i="22"/>
  <c r="S111" i="22"/>
  <c r="P111" i="22"/>
  <c r="N195" i="22"/>
  <c r="I23" i="37"/>
  <c r="F23" i="37"/>
  <c r="E23" i="37"/>
  <c r="G194" i="37"/>
  <c r="H194" i="37"/>
  <c r="P200" i="22"/>
  <c r="S200" i="22"/>
  <c r="T200" i="22" s="1"/>
  <c r="G113" i="37"/>
  <c r="H113" i="37"/>
  <c r="G98" i="37"/>
  <c r="H98" i="37"/>
  <c r="S32" i="22"/>
  <c r="T32" i="22" s="1"/>
  <c r="P32" i="22"/>
  <c r="H205" i="37"/>
  <c r="G205" i="37"/>
  <c r="G36" i="37"/>
  <c r="H36" i="37"/>
  <c r="H93" i="37"/>
  <c r="G93" i="37"/>
  <c r="G21" i="37"/>
  <c r="H21" i="37"/>
  <c r="H106" i="37"/>
  <c r="G106" i="37"/>
  <c r="P277" i="22"/>
  <c r="S277" i="22"/>
  <c r="T277" i="22" s="1"/>
  <c r="H112" i="37"/>
  <c r="G112" i="37"/>
  <c r="S298" i="22"/>
  <c r="T298" i="22" s="1"/>
  <c r="P298" i="22"/>
  <c r="G163" i="37"/>
  <c r="H163" i="37"/>
  <c r="P161" i="22"/>
  <c r="S161" i="22"/>
  <c r="T161" i="22" s="1"/>
  <c r="P91" i="22"/>
  <c r="S91" i="22"/>
  <c r="T91" i="22" s="1"/>
  <c r="G58" i="37"/>
  <c r="H58" i="37"/>
  <c r="H188" i="37"/>
  <c r="G188" i="37"/>
  <c r="H139" i="37"/>
  <c r="G139" i="37"/>
  <c r="Q323" i="22"/>
  <c r="S261" i="22"/>
  <c r="T261" i="22" s="1"/>
  <c r="P261" i="22"/>
  <c r="P150" i="22"/>
  <c r="S150" i="22"/>
  <c r="T150" i="22" s="1"/>
  <c r="G27" i="37"/>
  <c r="H27" i="37"/>
  <c r="P144" i="22"/>
  <c r="S144" i="22"/>
  <c r="T144" i="22" s="1"/>
  <c r="N90" i="22"/>
  <c r="E46" i="37"/>
  <c r="I46" i="37"/>
  <c r="F46" i="37"/>
  <c r="B278" i="57"/>
  <c r="D309" i="42"/>
  <c r="C309" i="42"/>
  <c r="U279" i="22"/>
  <c r="P46" i="22"/>
  <c r="S46" i="22"/>
  <c r="T46" i="22" s="1"/>
  <c r="P69" i="22"/>
  <c r="S69" i="22"/>
  <c r="T69" i="22" s="1"/>
  <c r="G148" i="37"/>
  <c r="H148" i="37"/>
  <c r="J74" i="37"/>
  <c r="P108" i="42"/>
  <c r="P223" i="42"/>
  <c r="L53" i="42"/>
  <c r="P10" i="42"/>
  <c r="P160" i="42"/>
  <c r="P293" i="42"/>
  <c r="P229" i="42"/>
  <c r="P145" i="42"/>
  <c r="P202" i="42"/>
  <c r="K53" i="42"/>
  <c r="P237" i="42"/>
  <c r="P314" i="42"/>
  <c r="D192" i="57"/>
  <c r="J192" i="57" s="1"/>
  <c r="K1" i="22"/>
  <c r="P25" i="42"/>
  <c r="P288" i="42"/>
  <c r="L260" i="42"/>
  <c r="K260" i="42"/>
  <c r="P273" i="42"/>
  <c r="P198" i="42"/>
  <c r="P6" i="42"/>
  <c r="P149" i="42"/>
  <c r="P176" i="42"/>
  <c r="P118" i="42"/>
  <c r="P135" i="42"/>
  <c r="P257" i="42"/>
  <c r="P240" i="42"/>
  <c r="P14" i="42"/>
  <c r="P193" i="42"/>
  <c r="P116" i="42"/>
  <c r="P27" i="42"/>
  <c r="P104" i="42"/>
  <c r="P182" i="42"/>
  <c r="P106" i="42"/>
  <c r="P36" i="42"/>
  <c r="P156" i="42"/>
  <c r="P253" i="42"/>
  <c r="P279" i="42"/>
  <c r="L7" i="42"/>
  <c r="P310" i="42"/>
  <c r="L194" i="42"/>
  <c r="P258" i="42"/>
  <c r="K194" i="42"/>
  <c r="P224" i="42"/>
  <c r="P266" i="42"/>
  <c r="P235" i="42"/>
  <c r="P131" i="42"/>
  <c r="P172" i="42"/>
  <c r="P313" i="42"/>
  <c r="P275" i="42"/>
  <c r="P133" i="42"/>
  <c r="K7" i="42"/>
  <c r="L132" i="42"/>
  <c r="P277" i="42"/>
  <c r="P81" i="42"/>
  <c r="P259" i="42"/>
  <c r="Q39" i="21"/>
  <c r="P117" i="42"/>
  <c r="P280" i="42"/>
  <c r="P294" i="42"/>
  <c r="D141" i="57"/>
  <c r="J141" i="57" s="1"/>
  <c r="M125" i="42"/>
  <c r="P211" i="42"/>
  <c r="D92" i="57"/>
  <c r="J92" i="57" s="1"/>
  <c r="K132" i="42"/>
  <c r="P262" i="42"/>
  <c r="P272" i="42"/>
  <c r="P197" i="42"/>
  <c r="P15" i="42"/>
  <c r="P38" i="42"/>
  <c r="P190" i="42"/>
  <c r="P48" i="42"/>
  <c r="P207" i="42"/>
  <c r="P66" i="42"/>
  <c r="P252" i="42"/>
  <c r="L125" i="42"/>
  <c r="P169" i="42"/>
  <c r="P316" i="42"/>
  <c r="F256" i="42"/>
  <c r="L256" i="42"/>
  <c r="K256" i="42"/>
  <c r="P129" i="42"/>
  <c r="P284" i="42"/>
  <c r="D64" i="57"/>
  <c r="J64" i="57" s="1"/>
  <c r="P44" i="42"/>
  <c r="K125" i="42"/>
  <c r="P290" i="42"/>
  <c r="P185" i="42"/>
  <c r="P173" i="42"/>
  <c r="P220" i="42"/>
  <c r="P175" i="42"/>
  <c r="P59" i="42"/>
  <c r="P17" i="42"/>
  <c r="D244" i="57"/>
  <c r="J244" i="57" s="1"/>
  <c r="G264" i="57"/>
  <c r="D264" i="57"/>
  <c r="J264" i="57" s="1"/>
  <c r="D176" i="57"/>
  <c r="J176" i="57" s="1"/>
  <c r="C118" i="57"/>
  <c r="G118" i="57" s="1"/>
  <c r="G229" i="57"/>
  <c r="D229" i="57"/>
  <c r="J229" i="57" s="1"/>
  <c r="G247" i="57"/>
  <c r="D247" i="57"/>
  <c r="J247" i="57" s="1"/>
  <c r="G314" i="57"/>
  <c r="D314" i="57"/>
  <c r="J314" i="57" s="1"/>
  <c r="G18" i="57"/>
  <c r="D18" i="57"/>
  <c r="J18" i="57" s="1"/>
  <c r="D38" i="57"/>
  <c r="J38" i="57" s="1"/>
  <c r="D311" i="57"/>
  <c r="J311" i="57" s="1"/>
  <c r="O39" i="28"/>
  <c r="F139" i="42"/>
  <c r="L139" i="42"/>
  <c r="K139" i="42"/>
  <c r="H139" i="42"/>
  <c r="M139" i="42"/>
  <c r="F267" i="42"/>
  <c r="L267" i="42"/>
  <c r="K267" i="42"/>
  <c r="G58" i="42"/>
  <c r="J58" i="42"/>
  <c r="E58" i="42"/>
  <c r="O58" i="42"/>
  <c r="I58" i="42"/>
  <c r="F84" i="42"/>
  <c r="K84" i="42"/>
  <c r="L84" i="42"/>
  <c r="F206" i="42"/>
  <c r="L206" i="42"/>
  <c r="K206" i="42"/>
  <c r="H298" i="42"/>
  <c r="N298" i="42" s="1"/>
  <c r="M298" i="42"/>
  <c r="H267" i="42"/>
  <c r="N267" i="42" s="1"/>
  <c r="M267" i="42"/>
  <c r="F152" i="42"/>
  <c r="K152" i="42"/>
  <c r="L152" i="42"/>
  <c r="H84" i="42"/>
  <c r="N84" i="42" s="1"/>
  <c r="M84" i="42"/>
  <c r="H206" i="42"/>
  <c r="N206" i="42" s="1"/>
  <c r="M206" i="42"/>
  <c r="H152" i="42"/>
  <c r="N152" i="42" s="1"/>
  <c r="M152" i="42"/>
  <c r="P203" i="42"/>
  <c r="P271" i="42"/>
  <c r="P208" i="42"/>
  <c r="P311" i="42"/>
  <c r="P47" i="42"/>
  <c r="P158" i="42"/>
  <c r="P270" i="42"/>
  <c r="P121" i="42"/>
  <c r="P204" i="42"/>
  <c r="P164" i="42"/>
  <c r="P123" i="42"/>
  <c r="P321" i="42"/>
  <c r="P114" i="42"/>
  <c r="H50" i="42"/>
  <c r="N50" i="42" s="1"/>
  <c r="H174" i="42"/>
  <c r="N174" i="42" s="1"/>
  <c r="P88" i="42"/>
  <c r="P247" i="42"/>
  <c r="P183" i="42"/>
  <c r="P265" i="42"/>
  <c r="P238" i="42"/>
  <c r="P209" i="42"/>
  <c r="P218" i="42"/>
  <c r="P188" i="42"/>
  <c r="P82" i="42"/>
  <c r="P282" i="42"/>
  <c r="P166" i="42"/>
  <c r="P115" i="42"/>
  <c r="P178" i="42"/>
  <c r="P23" i="42"/>
  <c r="P184" i="42"/>
  <c r="P307" i="42"/>
  <c r="P317" i="42"/>
  <c r="P226" i="42"/>
  <c r="P274" i="42"/>
  <c r="P21" i="42"/>
  <c r="P168" i="42"/>
  <c r="P130" i="42"/>
  <c r="P86" i="42"/>
  <c r="P186" i="42"/>
  <c r="P278" i="42"/>
  <c r="P143" i="42"/>
  <c r="P292" i="42"/>
  <c r="P320" i="42"/>
  <c r="P228" i="42"/>
  <c r="P189" i="42"/>
  <c r="P283" i="42"/>
  <c r="P231" i="42"/>
  <c r="P261" i="42"/>
  <c r="P122" i="42"/>
  <c r="P136" i="42"/>
  <c r="P163" i="42"/>
  <c r="P138" i="42"/>
  <c r="P214" i="42"/>
  <c r="P29" i="42"/>
  <c r="P233" i="42"/>
  <c r="P295" i="42"/>
  <c r="P232" i="42"/>
  <c r="P187" i="42"/>
  <c r="P181" i="42"/>
  <c r="P287" i="42"/>
  <c r="P159" i="42"/>
  <c r="P192" i="42"/>
  <c r="P323" i="42"/>
  <c r="P289" i="42"/>
  <c r="P215" i="42"/>
  <c r="P303" i="42"/>
  <c r="K174" i="42"/>
  <c r="L174" i="42"/>
  <c r="P263" i="42"/>
  <c r="P195" i="42"/>
  <c r="P254" i="42"/>
  <c r="P217" i="42"/>
  <c r="P177" i="42"/>
  <c r="P162" i="42"/>
  <c r="P243" i="42"/>
  <c r="P22" i="42"/>
  <c r="P225" i="42"/>
  <c r="P105" i="42"/>
  <c r="P141" i="42"/>
  <c r="P154" i="42"/>
  <c r="P285" i="42"/>
  <c r="P171" i="42"/>
  <c r="P213" i="42"/>
  <c r="P153" i="42"/>
  <c r="P70" i="42"/>
  <c r="K50" i="42"/>
  <c r="L50" i="42"/>
  <c r="P281" i="42"/>
  <c r="D233" i="57"/>
  <c r="J233" i="57" s="1"/>
  <c r="C84" i="57"/>
  <c r="G84" i="57" s="1"/>
  <c r="O39" i="27"/>
  <c r="D270" i="57"/>
  <c r="J270" i="57" s="1"/>
  <c r="D10" i="29"/>
  <c r="F10" i="29" s="1"/>
  <c r="E13" i="29" s="1"/>
  <c r="D139" i="57"/>
  <c r="J139" i="57" s="1"/>
  <c r="P35" i="27"/>
  <c r="P37" i="27"/>
  <c r="P39" i="27" s="1"/>
  <c r="P35" i="28"/>
  <c r="P37" i="28"/>
  <c r="P39" i="28" s="1"/>
  <c r="R37" i="21"/>
  <c r="R39" i="21" s="1"/>
  <c r="R35" i="21"/>
  <c r="AK190" i="37" l="1"/>
  <c r="D222" i="42"/>
  <c r="U308" i="22"/>
  <c r="B307" i="57"/>
  <c r="C222" i="42"/>
  <c r="B37" i="57"/>
  <c r="U38" i="22"/>
  <c r="D264" i="42"/>
  <c r="C264" i="42"/>
  <c r="AK240" i="37"/>
  <c r="H134" i="37"/>
  <c r="G134" i="37"/>
  <c r="P153" i="22"/>
  <c r="S153" i="22"/>
  <c r="T153" i="22" s="1"/>
  <c r="S88" i="22"/>
  <c r="T88" i="22" s="1"/>
  <c r="P88" i="22"/>
  <c r="G182" i="37"/>
  <c r="H182" i="37"/>
  <c r="AK172" i="37"/>
  <c r="D239" i="42"/>
  <c r="C239" i="42"/>
  <c r="U154" i="22"/>
  <c r="B153" i="57"/>
  <c r="C227" i="42"/>
  <c r="B59" i="57"/>
  <c r="U60" i="22"/>
  <c r="D227" i="42"/>
  <c r="AK185" i="37"/>
  <c r="K298" i="42"/>
  <c r="H15" i="37"/>
  <c r="L298" i="42"/>
  <c r="H13" i="42"/>
  <c r="N13" i="42" s="1"/>
  <c r="P180" i="22"/>
  <c r="H53" i="42"/>
  <c r="N53" i="42" s="1"/>
  <c r="H132" i="37"/>
  <c r="G40" i="37"/>
  <c r="L13" i="42"/>
  <c r="S18" i="22"/>
  <c r="T18" i="22" s="1"/>
  <c r="AK52" i="37" s="1"/>
  <c r="K13" i="42"/>
  <c r="U86" i="22"/>
  <c r="S68" i="22"/>
  <c r="T68" i="22" s="1"/>
  <c r="B67" i="57" s="1"/>
  <c r="H247" i="37"/>
  <c r="S146" i="22"/>
  <c r="T146" i="22" s="1"/>
  <c r="S151" i="22"/>
  <c r="T151" i="22" s="1"/>
  <c r="B150" i="57" s="1"/>
  <c r="AK71" i="37"/>
  <c r="G52" i="37"/>
  <c r="S168" i="22"/>
  <c r="T168" i="22" s="1"/>
  <c r="D12" i="42" s="1"/>
  <c r="C234" i="42"/>
  <c r="D234" i="42"/>
  <c r="P69" i="42"/>
  <c r="H219" i="42"/>
  <c r="M219" i="42"/>
  <c r="P179" i="22"/>
  <c r="J4" i="37"/>
  <c r="H156" i="37"/>
  <c r="F45" i="42"/>
  <c r="K45" i="42"/>
  <c r="L45" i="42"/>
  <c r="T299" i="22"/>
  <c r="U299" i="22" s="1"/>
  <c r="T111" i="22"/>
  <c r="AK324" i="37" s="1"/>
  <c r="T83" i="22"/>
  <c r="AK35" i="37" s="1"/>
  <c r="T63" i="22"/>
  <c r="AK118" i="37" s="1"/>
  <c r="N323" i="22"/>
  <c r="E4" i="37"/>
  <c r="F4" i="37"/>
  <c r="C296" i="57"/>
  <c r="G296" i="57" s="1"/>
  <c r="J309" i="42"/>
  <c r="G309" i="42"/>
  <c r="AK184" i="37"/>
  <c r="D71" i="42"/>
  <c r="C71" i="42"/>
  <c r="U94" i="22"/>
  <c r="B93" i="57"/>
  <c r="AK84" i="37"/>
  <c r="B154" i="57"/>
  <c r="C248" i="42"/>
  <c r="U155" i="22"/>
  <c r="D248" i="42"/>
  <c r="B273" i="57"/>
  <c r="U274" i="22"/>
  <c r="AK164" i="37"/>
  <c r="C56" i="42"/>
  <c r="D56" i="42"/>
  <c r="B180" i="57"/>
  <c r="AK145" i="37"/>
  <c r="U181" i="22"/>
  <c r="D241" i="42"/>
  <c r="C241" i="42"/>
  <c r="B255" i="57"/>
  <c r="C99" i="42"/>
  <c r="D99" i="42"/>
  <c r="U256" i="22"/>
  <c r="AK148" i="37"/>
  <c r="B56" i="57"/>
  <c r="U57" i="22"/>
  <c r="C179" i="42"/>
  <c r="D179" i="42"/>
  <c r="D177" i="57"/>
  <c r="J177" i="57" s="1"/>
  <c r="AK48" i="37"/>
  <c r="B90" i="57"/>
  <c r="D46" i="42"/>
  <c r="U91" i="22"/>
  <c r="C46" i="42"/>
  <c r="AK29" i="37"/>
  <c r="B151" i="57"/>
  <c r="C151" i="57" s="1"/>
  <c r="G151" i="57" s="1"/>
  <c r="U152" i="22"/>
  <c r="D26" i="42"/>
  <c r="C26" i="42"/>
  <c r="U320" i="22"/>
  <c r="C41" i="42"/>
  <c r="D41" i="42"/>
  <c r="AK44" i="37"/>
  <c r="B319" i="57"/>
  <c r="C85" i="57"/>
  <c r="G85" i="57" s="1"/>
  <c r="AK133" i="37"/>
  <c r="D61" i="42"/>
  <c r="U117" i="22"/>
  <c r="B116" i="57"/>
  <c r="C61" i="42"/>
  <c r="AK139" i="37"/>
  <c r="B159" i="57"/>
  <c r="U160" i="22"/>
  <c r="C74" i="42"/>
  <c r="D74" i="42"/>
  <c r="I24" i="42"/>
  <c r="O24" i="42"/>
  <c r="E24" i="42"/>
  <c r="G137" i="42"/>
  <c r="J137" i="42"/>
  <c r="G24" i="42"/>
  <c r="J24" i="42"/>
  <c r="U161" i="22"/>
  <c r="C113" i="42"/>
  <c r="D113" i="42"/>
  <c r="AK165" i="37"/>
  <c r="B160" i="57"/>
  <c r="AK66" i="37"/>
  <c r="B117" i="57"/>
  <c r="C117" i="57" s="1"/>
  <c r="G117" i="57" s="1"/>
  <c r="D72" i="42"/>
  <c r="C72" i="42"/>
  <c r="U118" i="22"/>
  <c r="AK202" i="37"/>
  <c r="C304" i="42"/>
  <c r="D304" i="42"/>
  <c r="B258" i="57"/>
  <c r="U259" i="22"/>
  <c r="O137" i="42"/>
  <c r="E137" i="42"/>
  <c r="I137" i="42"/>
  <c r="AK96" i="37"/>
  <c r="U264" i="22"/>
  <c r="B263" i="57"/>
  <c r="D142" i="42"/>
  <c r="C142" i="42"/>
  <c r="S50" i="22"/>
  <c r="T50" i="22" s="1"/>
  <c r="P50" i="22"/>
  <c r="AK58" i="37"/>
  <c r="B184" i="57"/>
  <c r="U185" i="22"/>
  <c r="C55" i="42"/>
  <c r="D55" i="42"/>
  <c r="B297" i="57"/>
  <c r="U298" i="22"/>
  <c r="C140" i="42"/>
  <c r="AK147" i="37"/>
  <c r="D140" i="42"/>
  <c r="AK6" i="37"/>
  <c r="C3" i="42"/>
  <c r="B115" i="57"/>
  <c r="D3" i="42"/>
  <c r="U116" i="22"/>
  <c r="AK112" i="37"/>
  <c r="D269" i="42"/>
  <c r="B68" i="57"/>
  <c r="C269" i="42"/>
  <c r="U69" i="22"/>
  <c r="G151" i="42"/>
  <c r="J151" i="42"/>
  <c r="B51" i="57"/>
  <c r="AK163" i="37"/>
  <c r="C90" i="42"/>
  <c r="U52" i="22"/>
  <c r="D90" i="42"/>
  <c r="C256" i="57"/>
  <c r="G256" i="57" s="1"/>
  <c r="B183" i="57"/>
  <c r="D97" i="42"/>
  <c r="C97" i="42"/>
  <c r="U184" i="22"/>
  <c r="AK57" i="37"/>
  <c r="D54" i="42"/>
  <c r="B301" i="57"/>
  <c r="C54" i="42"/>
  <c r="U302" i="22"/>
  <c r="O151" i="42"/>
  <c r="E151" i="42"/>
  <c r="I151" i="42"/>
  <c r="U269" i="22"/>
  <c r="B268" i="57"/>
  <c r="C230" i="42"/>
  <c r="D230" i="42"/>
  <c r="AK322" i="37"/>
  <c r="U180" i="22"/>
  <c r="D79" i="42"/>
  <c r="AK132" i="37"/>
  <c r="B179" i="57"/>
  <c r="C79" i="42"/>
  <c r="D119" i="42"/>
  <c r="U37" i="22"/>
  <c r="B36" i="57"/>
  <c r="AK309" i="37"/>
  <c r="C119" i="42"/>
  <c r="B113" i="57"/>
  <c r="AK14" i="37"/>
  <c r="D8" i="42"/>
  <c r="C8" i="42"/>
  <c r="U114" i="22"/>
  <c r="AK36" i="37"/>
  <c r="C33" i="42"/>
  <c r="B66" i="57"/>
  <c r="D33" i="42"/>
  <c r="U67" i="22"/>
  <c r="B260" i="57"/>
  <c r="AK70" i="37"/>
  <c r="U261" i="22"/>
  <c r="D200" i="42"/>
  <c r="C200" i="42"/>
  <c r="U170" i="22"/>
  <c r="D205" i="42"/>
  <c r="C205" i="42"/>
  <c r="B169" i="57"/>
  <c r="AK150" i="37"/>
  <c r="B281" i="57"/>
  <c r="AK33" i="37"/>
  <c r="U282" i="22"/>
  <c r="C30" i="42"/>
  <c r="D30" i="42"/>
  <c r="U46" i="22"/>
  <c r="AK31" i="37"/>
  <c r="D28" i="42"/>
  <c r="C28" i="42"/>
  <c r="B45" i="57"/>
  <c r="AK137" i="37"/>
  <c r="D112" i="42"/>
  <c r="C112" i="42"/>
  <c r="B149" i="57"/>
  <c r="C149" i="57" s="1"/>
  <c r="G149" i="57" s="1"/>
  <c r="U150" i="22"/>
  <c r="C60" i="42"/>
  <c r="AK307" i="37"/>
  <c r="B199" i="57"/>
  <c r="D60" i="42"/>
  <c r="U200" i="22"/>
  <c r="C197" i="57"/>
  <c r="G197" i="57" s="1"/>
  <c r="AK125" i="37"/>
  <c r="U159" i="22"/>
  <c r="D286" i="42"/>
  <c r="B158" i="57"/>
  <c r="C286" i="42"/>
  <c r="B170" i="57"/>
  <c r="C250" i="42"/>
  <c r="U171" i="22"/>
  <c r="AK238" i="37"/>
  <c r="D250" i="42"/>
  <c r="G255" i="42"/>
  <c r="J255" i="42"/>
  <c r="B83" i="57"/>
  <c r="AK127" i="37"/>
  <c r="C94" i="42"/>
  <c r="D94" i="42"/>
  <c r="U84" i="22"/>
  <c r="AK91" i="37"/>
  <c r="U209" i="22"/>
  <c r="D109" i="42"/>
  <c r="C109" i="42"/>
  <c r="B208" i="57"/>
  <c r="H74" i="37"/>
  <c r="G74" i="37"/>
  <c r="E34" i="42"/>
  <c r="O34" i="42"/>
  <c r="I34" i="42"/>
  <c r="U263" i="22"/>
  <c r="AK61" i="37"/>
  <c r="B262" i="57"/>
  <c r="C165" i="42"/>
  <c r="D165" i="42"/>
  <c r="G60" i="37"/>
  <c r="H60" i="37"/>
  <c r="B261" i="57"/>
  <c r="AK107" i="37"/>
  <c r="C291" i="42"/>
  <c r="D291" i="42"/>
  <c r="U262" i="22"/>
  <c r="G315" i="42"/>
  <c r="M315" i="42" s="1"/>
  <c r="J315" i="42"/>
  <c r="C240" i="57"/>
  <c r="G240" i="57" s="1"/>
  <c r="AK160" i="37"/>
  <c r="B186" i="57"/>
  <c r="U187" i="22"/>
  <c r="C318" i="42"/>
  <c r="D318" i="42"/>
  <c r="C235" i="57"/>
  <c r="G235" i="57" s="1"/>
  <c r="G244" i="37"/>
  <c r="H244" i="37"/>
  <c r="AK98" i="37"/>
  <c r="D80" i="42"/>
  <c r="B75" i="57"/>
  <c r="C80" i="42"/>
  <c r="U76" i="22"/>
  <c r="AK199" i="37"/>
  <c r="D296" i="42"/>
  <c r="B295" i="57"/>
  <c r="C296" i="42"/>
  <c r="U296" i="22"/>
  <c r="C156" i="57"/>
  <c r="G156" i="57" s="1"/>
  <c r="O309" i="42"/>
  <c r="E309" i="42"/>
  <c r="I309" i="42"/>
  <c r="P4" i="22"/>
  <c r="C278" i="57"/>
  <c r="G278" i="57" s="1"/>
  <c r="AK113" i="37"/>
  <c r="U277" i="22"/>
  <c r="B276" i="57"/>
  <c r="D95" i="42"/>
  <c r="C95" i="42"/>
  <c r="H23" i="37"/>
  <c r="G23" i="37"/>
  <c r="E31" i="42"/>
  <c r="O31" i="42"/>
  <c r="I31" i="42"/>
  <c r="C89" i="42"/>
  <c r="D89" i="42"/>
  <c r="B185" i="57"/>
  <c r="U186" i="22"/>
  <c r="AK78" i="37"/>
  <c r="AK194" i="37"/>
  <c r="B274" i="57"/>
  <c r="D83" i="42"/>
  <c r="U275" i="22"/>
  <c r="C83" i="42"/>
  <c r="AK68" i="37"/>
  <c r="B144" i="57"/>
  <c r="C73" i="42"/>
  <c r="D73" i="42"/>
  <c r="U145" i="22"/>
  <c r="G92" i="42"/>
  <c r="J92" i="42"/>
  <c r="I315" i="42"/>
  <c r="O315" i="42"/>
  <c r="E315" i="42"/>
  <c r="AK298" i="37"/>
  <c r="B269" i="57"/>
  <c r="U270" i="22"/>
  <c r="C301" i="42"/>
  <c r="D301" i="42"/>
  <c r="H46" i="37"/>
  <c r="G46" i="37"/>
  <c r="B303" i="57"/>
  <c r="AK146" i="37"/>
  <c r="U304" i="22"/>
  <c r="C268" i="42"/>
  <c r="D268" i="42"/>
  <c r="G45" i="37"/>
  <c r="H45" i="37"/>
  <c r="AK187" i="37"/>
  <c r="D91" i="42"/>
  <c r="C91" i="42"/>
  <c r="U77" i="22"/>
  <c r="B76" i="57"/>
  <c r="AK89" i="37"/>
  <c r="D101" i="42"/>
  <c r="B162" i="57"/>
  <c r="C101" i="42"/>
  <c r="U163" i="22"/>
  <c r="AK183" i="37"/>
  <c r="B265" i="57"/>
  <c r="C78" i="42"/>
  <c r="D78" i="42"/>
  <c r="U266" i="22"/>
  <c r="C137" i="57"/>
  <c r="G137" i="57" s="1"/>
  <c r="E63" i="42"/>
  <c r="O63" i="42"/>
  <c r="I63" i="42"/>
  <c r="S183" i="22"/>
  <c r="T183" i="22" s="1"/>
  <c r="P183" i="22"/>
  <c r="O255" i="42"/>
  <c r="E255" i="42"/>
  <c r="I255" i="42"/>
  <c r="P195" i="22"/>
  <c r="S195" i="22"/>
  <c r="T195" i="22" s="1"/>
  <c r="J31" i="42"/>
  <c r="G31" i="42"/>
  <c r="D148" i="42"/>
  <c r="U190" i="22"/>
  <c r="C148" i="42"/>
  <c r="AK143" i="37"/>
  <c r="B189" i="57"/>
  <c r="U149" i="22"/>
  <c r="AK54" i="37"/>
  <c r="B148" i="57"/>
  <c r="D51" i="42"/>
  <c r="C51" i="42"/>
  <c r="I92" i="42"/>
  <c r="O92" i="42"/>
  <c r="E92" i="42"/>
  <c r="AK162" i="37"/>
  <c r="C93" i="42"/>
  <c r="D93" i="42"/>
  <c r="B245" i="57"/>
  <c r="U246" i="22"/>
  <c r="G63" i="42"/>
  <c r="J63" i="42"/>
  <c r="B72" i="57"/>
  <c r="AK205" i="37"/>
  <c r="D96" i="42"/>
  <c r="C96" i="42"/>
  <c r="U73" i="22"/>
  <c r="AK228" i="37"/>
  <c r="B31" i="57"/>
  <c r="U32" i="22"/>
  <c r="C191" i="42"/>
  <c r="D191" i="42"/>
  <c r="S240" i="22"/>
  <c r="T240" i="22" s="1"/>
  <c r="P240" i="22"/>
  <c r="AK13" i="37"/>
  <c r="B48" i="57"/>
  <c r="C11" i="42"/>
  <c r="D11" i="42"/>
  <c r="U49" i="22"/>
  <c r="AK77" i="37"/>
  <c r="C67" i="42"/>
  <c r="B19" i="57"/>
  <c r="U20" i="22"/>
  <c r="D67" i="42"/>
  <c r="AK65" i="37"/>
  <c r="C24" i="57"/>
  <c r="G24" i="57" s="1"/>
  <c r="D312" i="42"/>
  <c r="B52" i="57"/>
  <c r="AK135" i="37"/>
  <c r="U53" i="22"/>
  <c r="C312" i="42"/>
  <c r="P90" i="22"/>
  <c r="S90" i="22"/>
  <c r="T90" i="22" s="1"/>
  <c r="AK130" i="37"/>
  <c r="B271" i="57"/>
  <c r="C76" i="42"/>
  <c r="D76" i="42"/>
  <c r="U272" i="22"/>
  <c r="AK72" i="37"/>
  <c r="C107" i="42"/>
  <c r="B294" i="57"/>
  <c r="D107" i="42"/>
  <c r="U295" i="22"/>
  <c r="AK220" i="37"/>
  <c r="B306" i="57"/>
  <c r="D302" i="42"/>
  <c r="C302" i="42"/>
  <c r="U307" i="22"/>
  <c r="AK225" i="37"/>
  <c r="B175" i="57"/>
  <c r="C236" i="42"/>
  <c r="D236" i="42"/>
  <c r="U176" i="22"/>
  <c r="B187" i="57"/>
  <c r="AK43" i="37"/>
  <c r="C40" i="42"/>
  <c r="U188" i="22"/>
  <c r="D40" i="42"/>
  <c r="B223" i="57"/>
  <c r="AK188" i="37"/>
  <c r="D75" i="42"/>
  <c r="C75" i="42"/>
  <c r="U224" i="22"/>
  <c r="G34" i="42"/>
  <c r="J34" i="42"/>
  <c r="B143" i="57"/>
  <c r="C18" i="42"/>
  <c r="AK21" i="37"/>
  <c r="D18" i="42"/>
  <c r="U144" i="22"/>
  <c r="B178" i="57"/>
  <c r="U179" i="22"/>
  <c r="D87" i="42"/>
  <c r="C87" i="42"/>
  <c r="AK156" i="37"/>
  <c r="P260" i="42"/>
  <c r="L1" i="22"/>
  <c r="P7" i="42"/>
  <c r="P194" i="42"/>
  <c r="P132" i="42"/>
  <c r="P125" i="42"/>
  <c r="P256" i="42"/>
  <c r="D118" i="57"/>
  <c r="J118" i="57" s="1"/>
  <c r="P84" i="42"/>
  <c r="F58" i="42"/>
  <c r="K58" i="42"/>
  <c r="L58" i="42"/>
  <c r="P267" i="42"/>
  <c r="H58" i="42"/>
  <c r="N58" i="42" s="1"/>
  <c r="M58" i="42"/>
  <c r="P206" i="42"/>
  <c r="P152" i="42"/>
  <c r="N139" i="42"/>
  <c r="P139" i="42" s="1"/>
  <c r="F13" i="29"/>
  <c r="P50" i="42"/>
  <c r="P174" i="42"/>
  <c r="D84" i="57"/>
  <c r="J84" i="57" s="1"/>
  <c r="E14" i="29"/>
  <c r="F14" i="29" s="1"/>
  <c r="P298" i="42" l="1"/>
  <c r="O227" i="42"/>
  <c r="E227" i="42"/>
  <c r="I227" i="42"/>
  <c r="C153" i="57"/>
  <c r="G153" i="57" s="1"/>
  <c r="O239" i="42"/>
  <c r="I239" i="42"/>
  <c r="E239" i="42"/>
  <c r="G239" i="42"/>
  <c r="J239" i="42"/>
  <c r="AK182" i="37"/>
  <c r="B87" i="57"/>
  <c r="U88" i="22"/>
  <c r="C147" i="42"/>
  <c r="D147" i="42"/>
  <c r="B152" i="57"/>
  <c r="U153" i="22"/>
  <c r="AK134" i="37"/>
  <c r="D297" i="42"/>
  <c r="C297" i="42"/>
  <c r="I264" i="42"/>
  <c r="E264" i="42"/>
  <c r="O264" i="42"/>
  <c r="G264" i="42"/>
  <c r="J264" i="42"/>
  <c r="C37" i="57"/>
  <c r="G37" i="57" s="1"/>
  <c r="E222" i="42"/>
  <c r="I222" i="42"/>
  <c r="O222" i="42"/>
  <c r="C307" i="57"/>
  <c r="G307" i="57" s="1"/>
  <c r="D307" i="57"/>
  <c r="J307" i="57" s="1"/>
  <c r="G227" i="42"/>
  <c r="J227" i="42"/>
  <c r="G222" i="42"/>
  <c r="M222" i="42" s="1"/>
  <c r="J222" i="42"/>
  <c r="C59" i="57"/>
  <c r="G59" i="57" s="1"/>
  <c r="D59" i="57"/>
  <c r="J59" i="57" s="1"/>
  <c r="D196" i="42"/>
  <c r="J196" i="42" s="1"/>
  <c r="P53" i="42"/>
  <c r="P13" i="42"/>
  <c r="D256" i="57"/>
  <c r="J256" i="57" s="1"/>
  <c r="B110" i="57"/>
  <c r="C110" i="57" s="1"/>
  <c r="G110" i="57" s="1"/>
  <c r="C49" i="42"/>
  <c r="E49" i="42" s="1"/>
  <c r="U83" i="22"/>
  <c r="U111" i="22"/>
  <c r="B17" i="57"/>
  <c r="U18" i="22"/>
  <c r="U63" i="22"/>
  <c r="AK92" i="37"/>
  <c r="D49" i="42"/>
  <c r="G49" i="42" s="1"/>
  <c r="D68" i="42"/>
  <c r="J68" i="42" s="1"/>
  <c r="D117" i="57"/>
  <c r="J117" i="57" s="1"/>
  <c r="C68" i="42"/>
  <c r="O68" i="42" s="1"/>
  <c r="D102" i="42"/>
  <c r="G102" i="42" s="1"/>
  <c r="D77" i="42"/>
  <c r="G77" i="42" s="1"/>
  <c r="AK106" i="37"/>
  <c r="D98" i="42"/>
  <c r="G98" i="42" s="1"/>
  <c r="B298" i="57"/>
  <c r="C298" i="57" s="1"/>
  <c r="G298" i="57" s="1"/>
  <c r="AK247" i="37"/>
  <c r="U68" i="22"/>
  <c r="C77" i="42"/>
  <c r="O77" i="42" s="1"/>
  <c r="U151" i="22"/>
  <c r="AK40" i="37"/>
  <c r="D37" i="42"/>
  <c r="J37" i="42" s="1"/>
  <c r="U146" i="22"/>
  <c r="C196" i="42"/>
  <c r="O196" i="42" s="1"/>
  <c r="U168" i="22"/>
  <c r="C12" i="42"/>
  <c r="I12" i="42" s="1"/>
  <c r="AK15" i="37"/>
  <c r="C37" i="42"/>
  <c r="I37" i="42" s="1"/>
  <c r="B167" i="57"/>
  <c r="C167" i="57" s="1"/>
  <c r="G167" i="57" s="1"/>
  <c r="B145" i="57"/>
  <c r="C145" i="57" s="1"/>
  <c r="G145" i="57" s="1"/>
  <c r="J234" i="42"/>
  <c r="G234" i="42"/>
  <c r="O234" i="42"/>
  <c r="I234" i="42"/>
  <c r="E234" i="42"/>
  <c r="C102" i="42"/>
  <c r="E102" i="42" s="1"/>
  <c r="B62" i="57"/>
  <c r="C62" i="57" s="1"/>
  <c r="G62" i="57" s="1"/>
  <c r="P45" i="42"/>
  <c r="N219" i="42"/>
  <c r="P219" i="42" s="1"/>
  <c r="H315" i="42"/>
  <c r="N315" i="42" s="1"/>
  <c r="C98" i="42"/>
  <c r="E98" i="42" s="1"/>
  <c r="D32" i="42"/>
  <c r="G32" i="42" s="1"/>
  <c r="C32" i="42"/>
  <c r="E32" i="42" s="1"/>
  <c r="B82" i="57"/>
  <c r="C82" i="57" s="1"/>
  <c r="G82" i="57" s="1"/>
  <c r="D85" i="57"/>
  <c r="J85" i="57" s="1"/>
  <c r="D149" i="57"/>
  <c r="J149" i="57" s="1"/>
  <c r="D151" i="57"/>
  <c r="J151" i="57" s="1"/>
  <c r="D296" i="57"/>
  <c r="J296" i="57" s="1"/>
  <c r="P323" i="22"/>
  <c r="H4" i="37"/>
  <c r="D240" i="57"/>
  <c r="J240" i="57" s="1"/>
  <c r="D278" i="57"/>
  <c r="J278" i="57" s="1"/>
  <c r="D197" i="57"/>
  <c r="J197" i="57" s="1"/>
  <c r="G4" i="37"/>
  <c r="J18" i="42"/>
  <c r="G18" i="42"/>
  <c r="I51" i="42"/>
  <c r="E51" i="42"/>
  <c r="O51" i="42"/>
  <c r="J51" i="42"/>
  <c r="G51" i="42"/>
  <c r="C148" i="57"/>
  <c r="G148" i="57" s="1"/>
  <c r="B182" i="57"/>
  <c r="C65" i="42"/>
  <c r="D65" i="42"/>
  <c r="U183" i="22"/>
  <c r="G196" i="42"/>
  <c r="C269" i="57"/>
  <c r="G269" i="57" s="1"/>
  <c r="I302" i="42"/>
  <c r="E302" i="42"/>
  <c r="O302" i="42"/>
  <c r="I91" i="42"/>
  <c r="E91" i="42"/>
  <c r="O91" i="42"/>
  <c r="C186" i="57"/>
  <c r="G186" i="57" s="1"/>
  <c r="C261" i="57"/>
  <c r="G261" i="57" s="1"/>
  <c r="J109" i="42"/>
  <c r="G109" i="42"/>
  <c r="O205" i="42"/>
  <c r="E205" i="42"/>
  <c r="I205" i="42"/>
  <c r="O8" i="42"/>
  <c r="I8" i="42"/>
  <c r="E8" i="42"/>
  <c r="O230" i="42"/>
  <c r="I230" i="42"/>
  <c r="E230" i="42"/>
  <c r="J55" i="42"/>
  <c r="G55" i="42"/>
  <c r="J113" i="42"/>
  <c r="G113" i="42"/>
  <c r="M113" i="42" s="1"/>
  <c r="O26" i="42"/>
  <c r="I26" i="42"/>
  <c r="E26" i="42"/>
  <c r="I179" i="42"/>
  <c r="O179" i="42"/>
  <c r="E179" i="42"/>
  <c r="J236" i="42"/>
  <c r="G236" i="42"/>
  <c r="M236" i="42" s="1"/>
  <c r="O75" i="42"/>
  <c r="E75" i="42"/>
  <c r="I75" i="42"/>
  <c r="G302" i="42"/>
  <c r="J302" i="42"/>
  <c r="C72" i="57"/>
  <c r="G72" i="57" s="1"/>
  <c r="C189" i="57"/>
  <c r="G189" i="57" s="1"/>
  <c r="F63" i="42"/>
  <c r="K63" i="42"/>
  <c r="L63" i="42"/>
  <c r="J91" i="42"/>
  <c r="G91" i="42"/>
  <c r="F315" i="42"/>
  <c r="L315" i="42"/>
  <c r="K315" i="42"/>
  <c r="AK60" i="37"/>
  <c r="B3" i="57"/>
  <c r="C3" i="57" s="1"/>
  <c r="U4" i="22"/>
  <c r="C100" i="42"/>
  <c r="D100" i="42"/>
  <c r="C67" i="57"/>
  <c r="G67" i="57" s="1"/>
  <c r="O250" i="42"/>
  <c r="E250" i="42"/>
  <c r="I250" i="42"/>
  <c r="O112" i="42"/>
  <c r="E112" i="42"/>
  <c r="I112" i="42"/>
  <c r="G205" i="42"/>
  <c r="J205" i="42"/>
  <c r="G8" i="42"/>
  <c r="J8" i="42"/>
  <c r="C268" i="57"/>
  <c r="G268" i="57" s="1"/>
  <c r="I55" i="42"/>
  <c r="O55" i="42"/>
  <c r="E55" i="42"/>
  <c r="O113" i="42"/>
  <c r="I113" i="42"/>
  <c r="E113" i="42"/>
  <c r="G12" i="42"/>
  <c r="J12" i="42"/>
  <c r="G26" i="42"/>
  <c r="J26" i="42"/>
  <c r="C273" i="57"/>
  <c r="G273" i="57" s="1"/>
  <c r="J75" i="42"/>
  <c r="G75" i="42"/>
  <c r="C306" i="57"/>
  <c r="G306" i="57" s="1"/>
  <c r="AK46" i="37"/>
  <c r="C42" i="42"/>
  <c r="D42" i="42"/>
  <c r="B89" i="57"/>
  <c r="U90" i="22"/>
  <c r="G11" i="42"/>
  <c r="J11" i="42"/>
  <c r="D137" i="57"/>
  <c r="J137" i="57" s="1"/>
  <c r="C185" i="57"/>
  <c r="G185" i="57" s="1"/>
  <c r="C170" i="57"/>
  <c r="G170" i="57" s="1"/>
  <c r="G112" i="42"/>
  <c r="J112" i="42"/>
  <c r="I269" i="42"/>
  <c r="O269" i="42"/>
  <c r="E269" i="42"/>
  <c r="F137" i="42"/>
  <c r="K137" i="42"/>
  <c r="L137" i="42"/>
  <c r="C56" i="57"/>
  <c r="G56" i="57" s="1"/>
  <c r="J248" i="42"/>
  <c r="G248" i="42"/>
  <c r="O76" i="42"/>
  <c r="E76" i="42"/>
  <c r="I76" i="42"/>
  <c r="H63" i="42"/>
  <c r="N63" i="42" s="1"/>
  <c r="M63" i="42"/>
  <c r="G89" i="42"/>
  <c r="J89" i="42"/>
  <c r="G165" i="42"/>
  <c r="J165" i="42"/>
  <c r="O286" i="42"/>
  <c r="I286" i="42"/>
  <c r="E286" i="42"/>
  <c r="O200" i="42"/>
  <c r="E200" i="42"/>
  <c r="I200" i="42"/>
  <c r="C113" i="57"/>
  <c r="G113" i="57" s="1"/>
  <c r="C68" i="57"/>
  <c r="G68" i="57" s="1"/>
  <c r="C184" i="57"/>
  <c r="G184" i="57" s="1"/>
  <c r="E11" i="42"/>
  <c r="I11" i="42"/>
  <c r="O11" i="42"/>
  <c r="C223" i="57"/>
  <c r="G223" i="57" s="1"/>
  <c r="O312" i="42"/>
  <c r="E312" i="42"/>
  <c r="I312" i="42"/>
  <c r="C48" i="57"/>
  <c r="G48" i="57" s="1"/>
  <c r="O89" i="42"/>
  <c r="I89" i="42"/>
  <c r="E89" i="42"/>
  <c r="F309" i="42"/>
  <c r="K309" i="42"/>
  <c r="L309" i="42"/>
  <c r="O80" i="42"/>
  <c r="E80" i="42"/>
  <c r="I80" i="42"/>
  <c r="O165" i="42"/>
  <c r="E165" i="42"/>
  <c r="I165" i="42"/>
  <c r="J94" i="42"/>
  <c r="G94" i="42"/>
  <c r="C158" i="57"/>
  <c r="G158" i="57" s="1"/>
  <c r="C45" i="57"/>
  <c r="G45" i="57" s="1"/>
  <c r="G200" i="42"/>
  <c r="J200" i="42"/>
  <c r="O119" i="42"/>
  <c r="E119" i="42"/>
  <c r="I119" i="42"/>
  <c r="F151" i="42"/>
  <c r="L151" i="42"/>
  <c r="K151" i="42"/>
  <c r="G269" i="42"/>
  <c r="J269" i="42"/>
  <c r="H24" i="42"/>
  <c r="N24" i="42" s="1"/>
  <c r="M24" i="42"/>
  <c r="E61" i="42"/>
  <c r="O61" i="42"/>
  <c r="I61" i="42"/>
  <c r="E248" i="42"/>
  <c r="I248" i="42"/>
  <c r="O248" i="42"/>
  <c r="E148" i="42"/>
  <c r="O148" i="42"/>
  <c r="I148" i="42"/>
  <c r="I87" i="42"/>
  <c r="E87" i="42"/>
  <c r="O87" i="42"/>
  <c r="J40" i="42"/>
  <c r="G40" i="42"/>
  <c r="M40" i="42" s="1"/>
  <c r="G107" i="42"/>
  <c r="J107" i="42"/>
  <c r="C245" i="57"/>
  <c r="G245" i="57" s="1"/>
  <c r="J148" i="42"/>
  <c r="G148" i="42"/>
  <c r="M148" i="42" s="1"/>
  <c r="J78" i="42"/>
  <c r="G78" i="42"/>
  <c r="J268" i="42"/>
  <c r="G268" i="42"/>
  <c r="H92" i="42"/>
  <c r="N92" i="42" s="1"/>
  <c r="M92" i="42"/>
  <c r="C75" i="57"/>
  <c r="G75" i="57" s="1"/>
  <c r="C262" i="57"/>
  <c r="G262" i="57" s="1"/>
  <c r="I94" i="42"/>
  <c r="E94" i="42"/>
  <c r="O94" i="42"/>
  <c r="G286" i="42"/>
  <c r="M286" i="42" s="1"/>
  <c r="J286" i="42"/>
  <c r="O28" i="42"/>
  <c r="E28" i="42"/>
  <c r="I28" i="42"/>
  <c r="G90" i="42"/>
  <c r="J90" i="42"/>
  <c r="C258" i="57"/>
  <c r="G258" i="57" s="1"/>
  <c r="C116" i="57"/>
  <c r="G116" i="57" s="1"/>
  <c r="J99" i="42"/>
  <c r="G99" i="42"/>
  <c r="C154" i="57"/>
  <c r="G154" i="57" s="1"/>
  <c r="O18" i="42"/>
  <c r="E18" i="42"/>
  <c r="I18" i="42"/>
  <c r="G87" i="42"/>
  <c r="M87" i="42" s="1"/>
  <c r="J87" i="42"/>
  <c r="H31" i="42"/>
  <c r="N31" i="42" s="1"/>
  <c r="M31" i="42"/>
  <c r="O78" i="42"/>
  <c r="E78" i="42"/>
  <c r="I78" i="42"/>
  <c r="O268" i="42"/>
  <c r="E268" i="42"/>
  <c r="I268" i="42"/>
  <c r="G80" i="42"/>
  <c r="J80" i="42"/>
  <c r="G28" i="42"/>
  <c r="M28" i="42" s="1"/>
  <c r="J28" i="42"/>
  <c r="C36" i="57"/>
  <c r="G36" i="57" s="1"/>
  <c r="AK74" i="37"/>
  <c r="B49" i="57"/>
  <c r="U50" i="22"/>
  <c r="D244" i="42"/>
  <c r="C244" i="42"/>
  <c r="J304" i="42"/>
  <c r="G304" i="42"/>
  <c r="H137" i="42"/>
  <c r="N137" i="42" s="1"/>
  <c r="M137" i="42"/>
  <c r="O99" i="42"/>
  <c r="I99" i="42"/>
  <c r="E99" i="42"/>
  <c r="C294" i="57"/>
  <c r="G294" i="57" s="1"/>
  <c r="G93" i="42"/>
  <c r="M93" i="42" s="1"/>
  <c r="J93" i="42"/>
  <c r="I40" i="42"/>
  <c r="O40" i="42"/>
  <c r="E40" i="42"/>
  <c r="I107" i="42"/>
  <c r="E107" i="42"/>
  <c r="O107" i="42"/>
  <c r="C52" i="57"/>
  <c r="G52" i="57" s="1"/>
  <c r="C43" i="42"/>
  <c r="D43" i="42"/>
  <c r="B239" i="57"/>
  <c r="AK45" i="37"/>
  <c r="U240" i="22"/>
  <c r="E93" i="42"/>
  <c r="I93" i="42"/>
  <c r="O93" i="42"/>
  <c r="C265" i="57"/>
  <c r="G265" i="57" s="1"/>
  <c r="J73" i="42"/>
  <c r="G73" i="42"/>
  <c r="F31" i="42"/>
  <c r="L31" i="42"/>
  <c r="K31" i="42"/>
  <c r="D156" i="57"/>
  <c r="J156" i="57" s="1"/>
  <c r="C83" i="57"/>
  <c r="G83" i="57" s="1"/>
  <c r="C260" i="57"/>
  <c r="G260" i="57" s="1"/>
  <c r="O54" i="42"/>
  <c r="I54" i="42"/>
  <c r="E54" i="42"/>
  <c r="I90" i="42"/>
  <c r="O90" i="42"/>
  <c r="E90" i="42"/>
  <c r="J3" i="42"/>
  <c r="G3" i="42"/>
  <c r="M3" i="42" s="1"/>
  <c r="I304" i="42"/>
  <c r="O304" i="42"/>
  <c r="E304" i="42"/>
  <c r="F24" i="42"/>
  <c r="K24" i="42"/>
  <c r="L24" i="42"/>
  <c r="J61" i="42"/>
  <c r="G61" i="42"/>
  <c r="C255" i="57"/>
  <c r="G255" i="57" s="1"/>
  <c r="C93" i="57"/>
  <c r="G93" i="57" s="1"/>
  <c r="C31" i="57"/>
  <c r="G31" i="57" s="1"/>
  <c r="C178" i="57"/>
  <c r="G178" i="57" s="1"/>
  <c r="G312" i="42"/>
  <c r="J312" i="42"/>
  <c r="G191" i="42"/>
  <c r="J191" i="42"/>
  <c r="B194" i="57"/>
  <c r="C19" i="42"/>
  <c r="D19" i="42"/>
  <c r="AK23" i="37"/>
  <c r="U195" i="22"/>
  <c r="I73" i="42"/>
  <c r="O73" i="42"/>
  <c r="E73" i="42"/>
  <c r="S323" i="22"/>
  <c r="J119" i="42"/>
  <c r="G119" i="42"/>
  <c r="M119" i="42" s="1"/>
  <c r="C301" i="57"/>
  <c r="G301" i="57" s="1"/>
  <c r="C115" i="57"/>
  <c r="G115" i="57" s="1"/>
  <c r="E241" i="42"/>
  <c r="I241" i="42"/>
  <c r="O241" i="42"/>
  <c r="C187" i="57"/>
  <c r="G187" i="57" s="1"/>
  <c r="D24" i="57"/>
  <c r="J24" i="57" s="1"/>
  <c r="I191" i="42"/>
  <c r="E191" i="42"/>
  <c r="O191" i="42"/>
  <c r="F92" i="42"/>
  <c r="K92" i="42"/>
  <c r="L92" i="42"/>
  <c r="C303" i="57"/>
  <c r="G303" i="57" s="1"/>
  <c r="C144" i="57"/>
  <c r="G144" i="57" s="1"/>
  <c r="H255" i="42"/>
  <c r="N255" i="42" s="1"/>
  <c r="M255" i="42"/>
  <c r="J30" i="42"/>
  <c r="G30" i="42"/>
  <c r="U3" i="22"/>
  <c r="D52" i="42"/>
  <c r="C52" i="42"/>
  <c r="B2" i="57"/>
  <c r="T323" i="22"/>
  <c r="AK55" i="37"/>
  <c r="O79" i="42"/>
  <c r="I79" i="42"/>
  <c r="E79" i="42"/>
  <c r="G54" i="42"/>
  <c r="M54" i="42" s="1"/>
  <c r="J54" i="42"/>
  <c r="C51" i="57"/>
  <c r="G51" i="57" s="1"/>
  <c r="O3" i="42"/>
  <c r="E3" i="42"/>
  <c r="I3" i="42"/>
  <c r="I46" i="42"/>
  <c r="O46" i="42"/>
  <c r="E46" i="42"/>
  <c r="G241" i="42"/>
  <c r="J241" i="42"/>
  <c r="O71" i="42"/>
  <c r="I71" i="42"/>
  <c r="E71" i="42"/>
  <c r="J76" i="42"/>
  <c r="G76" i="42"/>
  <c r="I101" i="42"/>
  <c r="E101" i="42"/>
  <c r="O101" i="42"/>
  <c r="O95" i="42"/>
  <c r="I95" i="42"/>
  <c r="E95" i="42"/>
  <c r="O296" i="42"/>
  <c r="I296" i="42"/>
  <c r="E296" i="42"/>
  <c r="AK244" i="37"/>
  <c r="F34" i="42"/>
  <c r="K34" i="42"/>
  <c r="L34" i="42"/>
  <c r="I30" i="42"/>
  <c r="O30" i="42"/>
  <c r="E30" i="42"/>
  <c r="C179" i="57"/>
  <c r="G179" i="57" s="1"/>
  <c r="O72" i="42"/>
  <c r="E72" i="42"/>
  <c r="I72" i="42"/>
  <c r="J74" i="42"/>
  <c r="G74" i="42"/>
  <c r="J71" i="42"/>
  <c r="G71" i="42"/>
  <c r="M71" i="42" s="1"/>
  <c r="F255" i="42"/>
  <c r="L255" i="42"/>
  <c r="K255" i="42"/>
  <c r="C162" i="57"/>
  <c r="G162" i="57" s="1"/>
  <c r="O83" i="42"/>
  <c r="I83" i="42"/>
  <c r="E83" i="42"/>
  <c r="J95" i="42"/>
  <c r="G95" i="42"/>
  <c r="C295" i="57"/>
  <c r="G295" i="57" s="1"/>
  <c r="D235" i="57"/>
  <c r="J235" i="57" s="1"/>
  <c r="G60" i="42"/>
  <c r="J60" i="42"/>
  <c r="G33" i="42"/>
  <c r="J33" i="42"/>
  <c r="H151" i="42"/>
  <c r="N151" i="42" s="1"/>
  <c r="M151" i="42"/>
  <c r="J140" i="42"/>
  <c r="G140" i="42"/>
  <c r="C150" i="57"/>
  <c r="G150" i="57" s="1"/>
  <c r="G72" i="42"/>
  <c r="J72" i="42"/>
  <c r="I74" i="42"/>
  <c r="O74" i="42"/>
  <c r="E74" i="42"/>
  <c r="C319" i="57"/>
  <c r="G319" i="57" s="1"/>
  <c r="J46" i="42"/>
  <c r="G46" i="42"/>
  <c r="G101" i="42"/>
  <c r="J101" i="42"/>
  <c r="J301" i="42"/>
  <c r="G301" i="42"/>
  <c r="C276" i="57"/>
  <c r="G276" i="57" s="1"/>
  <c r="G296" i="42"/>
  <c r="M296" i="42" s="1"/>
  <c r="J296" i="42"/>
  <c r="C199" i="57"/>
  <c r="G199" i="57" s="1"/>
  <c r="C66" i="57"/>
  <c r="G66" i="57" s="1"/>
  <c r="G79" i="42"/>
  <c r="J79" i="42"/>
  <c r="O97" i="42"/>
  <c r="E97" i="42"/>
  <c r="I97" i="42"/>
  <c r="I49" i="42"/>
  <c r="I142" i="42"/>
  <c r="O142" i="42"/>
  <c r="E142" i="42"/>
  <c r="F142" i="42" s="1"/>
  <c r="C90" i="57"/>
  <c r="G90" i="57" s="1"/>
  <c r="C180" i="57"/>
  <c r="G180" i="57" s="1"/>
  <c r="H309" i="42"/>
  <c r="N309" i="42" s="1"/>
  <c r="M309" i="42"/>
  <c r="G67" i="42"/>
  <c r="J67" i="42"/>
  <c r="J83" i="42"/>
  <c r="G83" i="42"/>
  <c r="J318" i="42"/>
  <c r="G318" i="42"/>
  <c r="M318" i="42" s="1"/>
  <c r="J291" i="42"/>
  <c r="G291" i="42"/>
  <c r="M291" i="42" s="1"/>
  <c r="C281" i="57"/>
  <c r="G281" i="57" s="1"/>
  <c r="I33" i="42"/>
  <c r="O33" i="42"/>
  <c r="E33" i="42"/>
  <c r="J97" i="42"/>
  <c r="G97" i="42"/>
  <c r="J49" i="42"/>
  <c r="I140" i="42"/>
  <c r="O140" i="42"/>
  <c r="E140" i="42"/>
  <c r="G142" i="42"/>
  <c r="M142" i="42" s="1"/>
  <c r="J142" i="42"/>
  <c r="C159" i="57"/>
  <c r="G159" i="57" s="1"/>
  <c r="J41" i="42"/>
  <c r="G41" i="42"/>
  <c r="G56" i="42"/>
  <c r="J56" i="42"/>
  <c r="I236" i="42"/>
  <c r="E236" i="42"/>
  <c r="O236" i="42"/>
  <c r="C143" i="57"/>
  <c r="G143" i="57" s="1"/>
  <c r="I301" i="42"/>
  <c r="O301" i="42"/>
  <c r="E301" i="42"/>
  <c r="C19" i="57"/>
  <c r="G19" i="57" s="1"/>
  <c r="C274" i="57"/>
  <c r="G274" i="57" s="1"/>
  <c r="O318" i="42"/>
  <c r="E318" i="42"/>
  <c r="F318" i="42" s="1"/>
  <c r="I318" i="42"/>
  <c r="O291" i="42"/>
  <c r="I291" i="42"/>
  <c r="E291" i="42"/>
  <c r="C208" i="57"/>
  <c r="G208" i="57" s="1"/>
  <c r="J250" i="42"/>
  <c r="G250" i="42"/>
  <c r="I60" i="42"/>
  <c r="O60" i="42"/>
  <c r="E60" i="42"/>
  <c r="C183" i="57"/>
  <c r="G183" i="57" s="1"/>
  <c r="C17" i="57"/>
  <c r="G17" i="57" s="1"/>
  <c r="C263" i="57"/>
  <c r="G263" i="57" s="1"/>
  <c r="C160" i="57"/>
  <c r="G160" i="57" s="1"/>
  <c r="I41" i="42"/>
  <c r="O41" i="42"/>
  <c r="E41" i="42"/>
  <c r="I56" i="42"/>
  <c r="O56" i="42"/>
  <c r="E56" i="42"/>
  <c r="C271" i="57"/>
  <c r="G271" i="57" s="1"/>
  <c r="C175" i="57"/>
  <c r="G175" i="57" s="1"/>
  <c r="I96" i="42"/>
  <c r="O96" i="42"/>
  <c r="E96" i="42"/>
  <c r="C76" i="57"/>
  <c r="G76" i="57" s="1"/>
  <c r="H34" i="42"/>
  <c r="N34" i="42" s="1"/>
  <c r="M34" i="42"/>
  <c r="O67" i="42"/>
  <c r="E67" i="42"/>
  <c r="I67" i="42"/>
  <c r="G96" i="42"/>
  <c r="J96" i="42"/>
  <c r="I109" i="42"/>
  <c r="E109" i="42"/>
  <c r="O109" i="42"/>
  <c r="C169" i="57"/>
  <c r="G169" i="57" s="1"/>
  <c r="G230" i="42"/>
  <c r="J230" i="42"/>
  <c r="C297" i="57"/>
  <c r="G297" i="57" s="1"/>
  <c r="G179" i="42"/>
  <c r="J179" i="42"/>
  <c r="M1" i="22"/>
  <c r="P58" i="42"/>
  <c r="F15" i="29"/>
  <c r="E15" i="29"/>
  <c r="H222" i="42" l="1"/>
  <c r="N222" i="42" s="1"/>
  <c r="F264" i="42"/>
  <c r="K264" i="42"/>
  <c r="L264" i="42"/>
  <c r="H264" i="42"/>
  <c r="N264" i="42" s="1"/>
  <c r="M264" i="42"/>
  <c r="I297" i="42"/>
  <c r="O297" i="42"/>
  <c r="E297" i="42"/>
  <c r="G297" i="42"/>
  <c r="M297" i="42" s="1"/>
  <c r="J297" i="42"/>
  <c r="C152" i="57"/>
  <c r="G152" i="57" s="1"/>
  <c r="G147" i="42"/>
  <c r="J147" i="42"/>
  <c r="O147" i="42"/>
  <c r="E147" i="42"/>
  <c r="I147" i="42"/>
  <c r="C87" i="57"/>
  <c r="G87" i="57" s="1"/>
  <c r="D87" i="57"/>
  <c r="J87" i="57" s="1"/>
  <c r="H227" i="42"/>
  <c r="N227" i="42" s="1"/>
  <c r="M227" i="42"/>
  <c r="H239" i="42"/>
  <c r="N239" i="42" s="1"/>
  <c r="M239" i="42"/>
  <c r="F239" i="42"/>
  <c r="P239" i="42" s="1"/>
  <c r="K239" i="42"/>
  <c r="L239" i="42"/>
  <c r="D153" i="57"/>
  <c r="J153" i="57" s="1"/>
  <c r="F222" i="42"/>
  <c r="P222" i="42" s="1"/>
  <c r="L222" i="42"/>
  <c r="K222" i="42"/>
  <c r="D37" i="57"/>
  <c r="J37" i="57" s="1"/>
  <c r="F227" i="42"/>
  <c r="L227" i="42"/>
  <c r="K227" i="42"/>
  <c r="O49" i="42"/>
  <c r="I98" i="42"/>
  <c r="G68" i="42"/>
  <c r="M68" i="42" s="1"/>
  <c r="G37" i="42"/>
  <c r="H37" i="42" s="1"/>
  <c r="N37" i="42" s="1"/>
  <c r="O102" i="42"/>
  <c r="I102" i="42"/>
  <c r="J77" i="42"/>
  <c r="O37" i="42"/>
  <c r="O98" i="42"/>
  <c r="J102" i="42"/>
  <c r="I32" i="42"/>
  <c r="I77" i="42"/>
  <c r="E77" i="42"/>
  <c r="F77" i="42" s="1"/>
  <c r="I68" i="42"/>
  <c r="E12" i="42"/>
  <c r="L12" i="42" s="1"/>
  <c r="I196" i="42"/>
  <c r="J98" i="42"/>
  <c r="O12" i="42"/>
  <c r="E68" i="42"/>
  <c r="K68" i="42" s="1"/>
  <c r="J32" i="42"/>
  <c r="O32" i="42"/>
  <c r="D143" i="57"/>
  <c r="J143" i="57" s="1"/>
  <c r="E196" i="42"/>
  <c r="K196" i="42" s="1"/>
  <c r="E37" i="42"/>
  <c r="F37" i="42" s="1"/>
  <c r="F234" i="42"/>
  <c r="K234" i="42"/>
  <c r="L234" i="42"/>
  <c r="P309" i="42"/>
  <c r="H234" i="42"/>
  <c r="N234" i="42" s="1"/>
  <c r="M234" i="42"/>
  <c r="D297" i="57"/>
  <c r="J297" i="57" s="1"/>
  <c r="D265" i="57"/>
  <c r="J265" i="57" s="1"/>
  <c r="D319" i="57"/>
  <c r="J319" i="57" s="1"/>
  <c r="D263" i="57"/>
  <c r="J263" i="57" s="1"/>
  <c r="P63" i="42"/>
  <c r="D31" i="57"/>
  <c r="J31" i="57" s="1"/>
  <c r="D260" i="57"/>
  <c r="J260" i="57" s="1"/>
  <c r="D273" i="57"/>
  <c r="J273" i="57" s="1"/>
  <c r="D262" i="57"/>
  <c r="J262" i="57" s="1"/>
  <c r="D170" i="57"/>
  <c r="J170" i="57" s="1"/>
  <c r="D175" i="57"/>
  <c r="J175" i="57" s="1"/>
  <c r="D67" i="57"/>
  <c r="J67" i="57" s="1"/>
  <c r="H113" i="42"/>
  <c r="N113" i="42" s="1"/>
  <c r="H93" i="42"/>
  <c r="N93" i="42" s="1"/>
  <c r="P315" i="42"/>
  <c r="D51" i="57"/>
  <c r="J51" i="57" s="1"/>
  <c r="P24" i="42"/>
  <c r="H296" i="42"/>
  <c r="N296" i="42" s="1"/>
  <c r="D150" i="57"/>
  <c r="J150" i="57" s="1"/>
  <c r="D274" i="57"/>
  <c r="J274" i="57" s="1"/>
  <c r="P92" i="42"/>
  <c r="D183" i="57"/>
  <c r="J183" i="57" s="1"/>
  <c r="D145" i="57"/>
  <c r="J145" i="57" s="1"/>
  <c r="D186" i="57"/>
  <c r="J186" i="57" s="1"/>
  <c r="D269" i="57"/>
  <c r="J269" i="57" s="1"/>
  <c r="D66" i="57"/>
  <c r="J66" i="57" s="1"/>
  <c r="D199" i="57"/>
  <c r="J199" i="57" s="1"/>
  <c r="P255" i="42"/>
  <c r="P34" i="42"/>
  <c r="H119" i="42"/>
  <c r="N119" i="42" s="1"/>
  <c r="D75" i="57"/>
  <c r="J75" i="57" s="1"/>
  <c r="P151" i="42"/>
  <c r="D208" i="57"/>
  <c r="J208" i="57" s="1"/>
  <c r="P31" i="42"/>
  <c r="D82" i="57"/>
  <c r="J82" i="57" s="1"/>
  <c r="D158" i="57"/>
  <c r="J158" i="57" s="1"/>
  <c r="D48" i="57"/>
  <c r="J48" i="57" s="1"/>
  <c r="D159" i="57"/>
  <c r="J159" i="57" s="1"/>
  <c r="D179" i="57"/>
  <c r="J179" i="57" s="1"/>
  <c r="H28" i="42"/>
  <c r="N28" i="42" s="1"/>
  <c r="P137" i="42"/>
  <c r="D162" i="57"/>
  <c r="J162" i="57" s="1"/>
  <c r="D115" i="57"/>
  <c r="J115" i="57" s="1"/>
  <c r="H49" i="42"/>
  <c r="N49" i="42" s="1"/>
  <c r="M49" i="42"/>
  <c r="F72" i="42"/>
  <c r="L72" i="42"/>
  <c r="K72" i="42"/>
  <c r="J52" i="42"/>
  <c r="G52" i="42"/>
  <c r="M52" i="42" s="1"/>
  <c r="F93" i="42"/>
  <c r="L93" i="42"/>
  <c r="K93" i="42"/>
  <c r="F87" i="42"/>
  <c r="L87" i="42"/>
  <c r="K87" i="42"/>
  <c r="D223" i="57"/>
  <c r="J223" i="57" s="1"/>
  <c r="H11" i="42"/>
  <c r="N11" i="42" s="1"/>
  <c r="M11" i="42"/>
  <c r="F113" i="42"/>
  <c r="K113" i="42"/>
  <c r="L113" i="42"/>
  <c r="H236" i="42"/>
  <c r="N236" i="42" s="1"/>
  <c r="H98" i="42"/>
  <c r="N98" i="42" s="1"/>
  <c r="M98" i="42"/>
  <c r="F301" i="42"/>
  <c r="K301" i="42"/>
  <c r="L301" i="42"/>
  <c r="H96" i="42"/>
  <c r="N96" i="42" s="1"/>
  <c r="M96" i="42"/>
  <c r="F41" i="42"/>
  <c r="L41" i="42"/>
  <c r="K41" i="42"/>
  <c r="L49" i="42"/>
  <c r="K49" i="42"/>
  <c r="H72" i="42"/>
  <c r="N72" i="42" s="1"/>
  <c r="M72" i="42"/>
  <c r="F291" i="42"/>
  <c r="L291" i="42"/>
  <c r="K291" i="42"/>
  <c r="H83" i="42"/>
  <c r="N83" i="42" s="1"/>
  <c r="M83" i="42"/>
  <c r="F98" i="42"/>
  <c r="L98" i="42"/>
  <c r="K98" i="42"/>
  <c r="D160" i="57"/>
  <c r="J160" i="57" s="1"/>
  <c r="F236" i="42"/>
  <c r="K236" i="42"/>
  <c r="L236" i="42"/>
  <c r="H97" i="42"/>
  <c r="N97" i="42" s="1"/>
  <c r="M97" i="42"/>
  <c r="D276" i="57"/>
  <c r="J276" i="57" s="1"/>
  <c r="F83" i="42"/>
  <c r="L83" i="42"/>
  <c r="K83" i="42"/>
  <c r="F95" i="42"/>
  <c r="K95" i="42"/>
  <c r="L95" i="42"/>
  <c r="U323" i="22"/>
  <c r="H312" i="42"/>
  <c r="N312" i="42" s="1"/>
  <c r="M312" i="42"/>
  <c r="D83" i="57"/>
  <c r="J83" i="57" s="1"/>
  <c r="D294" i="57"/>
  <c r="J294" i="57" s="1"/>
  <c r="D36" i="57"/>
  <c r="J36" i="57" s="1"/>
  <c r="H90" i="42"/>
  <c r="N90" i="42" s="1"/>
  <c r="M90" i="42"/>
  <c r="H268" i="42"/>
  <c r="N268" i="42" s="1"/>
  <c r="M268" i="42"/>
  <c r="H196" i="42"/>
  <c r="N196" i="42" s="1"/>
  <c r="M196" i="42"/>
  <c r="D76" i="57"/>
  <c r="J76" i="57" s="1"/>
  <c r="H140" i="42"/>
  <c r="N140" i="42" s="1"/>
  <c r="M140" i="42"/>
  <c r="F3" i="42"/>
  <c r="K3" i="42"/>
  <c r="L3" i="42"/>
  <c r="H30" i="42"/>
  <c r="N30" i="42" s="1"/>
  <c r="M30" i="42"/>
  <c r="D187" i="57"/>
  <c r="J187" i="57" s="1"/>
  <c r="D178" i="57"/>
  <c r="J178" i="57" s="1"/>
  <c r="H87" i="42"/>
  <c r="N87" i="42" s="1"/>
  <c r="F80" i="42"/>
  <c r="L80" i="42"/>
  <c r="K80" i="42"/>
  <c r="H165" i="42"/>
  <c r="N165" i="42" s="1"/>
  <c r="M165" i="42"/>
  <c r="C89" i="57"/>
  <c r="G89" i="57" s="1"/>
  <c r="F250" i="42"/>
  <c r="L250" i="42"/>
  <c r="K250" i="42"/>
  <c r="F230" i="42"/>
  <c r="K230" i="42"/>
  <c r="L230" i="42"/>
  <c r="H77" i="42"/>
  <c r="N77" i="42" s="1"/>
  <c r="M77" i="42"/>
  <c r="F304" i="42"/>
  <c r="K304" i="42"/>
  <c r="L304" i="42"/>
  <c r="C239" i="57"/>
  <c r="G239" i="57" s="1"/>
  <c r="F99" i="42"/>
  <c r="K99" i="42"/>
  <c r="L99" i="42"/>
  <c r="F28" i="42"/>
  <c r="L28" i="42"/>
  <c r="K28" i="42"/>
  <c r="H78" i="42"/>
  <c r="N78" i="42" s="1"/>
  <c r="M78" i="42"/>
  <c r="J42" i="42"/>
  <c r="G42" i="42"/>
  <c r="F55" i="42"/>
  <c r="K55" i="42"/>
  <c r="L55" i="42"/>
  <c r="F179" i="42"/>
  <c r="L179" i="42"/>
  <c r="K179" i="42"/>
  <c r="H67" i="42"/>
  <c r="N67" i="42" s="1"/>
  <c r="M67" i="42"/>
  <c r="F96" i="42"/>
  <c r="K96" i="42"/>
  <c r="L96" i="42"/>
  <c r="G43" i="42"/>
  <c r="J43" i="42"/>
  <c r="F148" i="42"/>
  <c r="K148" i="42"/>
  <c r="L148" i="42"/>
  <c r="F119" i="42"/>
  <c r="L119" i="42"/>
  <c r="K119" i="42"/>
  <c r="F11" i="42"/>
  <c r="L11" i="42"/>
  <c r="K11" i="42"/>
  <c r="H89" i="42"/>
  <c r="N89" i="42" s="1"/>
  <c r="M89" i="42"/>
  <c r="O42" i="42"/>
  <c r="E42" i="42"/>
  <c r="I42" i="42"/>
  <c r="G65" i="42"/>
  <c r="J65" i="42"/>
  <c r="H301" i="42"/>
  <c r="N301" i="42" s="1"/>
  <c r="M301" i="42"/>
  <c r="H56" i="42"/>
  <c r="N56" i="42" s="1"/>
  <c r="M56" i="42"/>
  <c r="H230" i="42"/>
  <c r="N230" i="42" s="1"/>
  <c r="M230" i="42"/>
  <c r="D17" i="57"/>
  <c r="J17" i="57" s="1"/>
  <c r="L318" i="42"/>
  <c r="K318" i="42"/>
  <c r="H41" i="42"/>
  <c r="N41" i="42" s="1"/>
  <c r="M41" i="42"/>
  <c r="F101" i="42"/>
  <c r="K101" i="42"/>
  <c r="L101" i="42"/>
  <c r="I43" i="42"/>
  <c r="O43" i="42"/>
  <c r="E43" i="42"/>
  <c r="H286" i="42"/>
  <c r="N286" i="42" s="1"/>
  <c r="H148" i="42"/>
  <c r="N148" i="42" s="1"/>
  <c r="D184" i="57"/>
  <c r="J184" i="57" s="1"/>
  <c r="F269" i="42"/>
  <c r="L269" i="42"/>
  <c r="K269" i="42"/>
  <c r="D189" i="57"/>
  <c r="J189" i="57" s="1"/>
  <c r="F8" i="42"/>
  <c r="L8" i="42"/>
  <c r="K8" i="42"/>
  <c r="F91" i="42"/>
  <c r="L91" i="42"/>
  <c r="K91" i="42"/>
  <c r="E65" i="42"/>
  <c r="I65" i="42"/>
  <c r="O65" i="42"/>
  <c r="F33" i="42"/>
  <c r="L33" i="42"/>
  <c r="K33" i="42"/>
  <c r="D169" i="57"/>
  <c r="J169" i="57" s="1"/>
  <c r="D281" i="57"/>
  <c r="J281" i="57" s="1"/>
  <c r="D180" i="57"/>
  <c r="J180" i="57" s="1"/>
  <c r="H79" i="42"/>
  <c r="N79" i="42" s="1"/>
  <c r="M79" i="42"/>
  <c r="H101" i="42"/>
  <c r="N101" i="42" s="1"/>
  <c r="M101" i="42"/>
  <c r="F30" i="42"/>
  <c r="K30" i="42"/>
  <c r="L30" i="42"/>
  <c r="H54" i="42"/>
  <c r="N54" i="42" s="1"/>
  <c r="D144" i="57"/>
  <c r="J144" i="57" s="1"/>
  <c r="F241" i="42"/>
  <c r="K241" i="42"/>
  <c r="L241" i="42"/>
  <c r="F73" i="42"/>
  <c r="L73" i="42"/>
  <c r="K73" i="42"/>
  <c r="D93" i="57"/>
  <c r="J93" i="57" s="1"/>
  <c r="H3" i="42"/>
  <c r="N3" i="42" s="1"/>
  <c r="D52" i="57"/>
  <c r="J52" i="57" s="1"/>
  <c r="F18" i="42"/>
  <c r="L18" i="42"/>
  <c r="K18" i="42"/>
  <c r="D306" i="57"/>
  <c r="J306" i="57" s="1"/>
  <c r="D298" i="57"/>
  <c r="J298" i="57" s="1"/>
  <c r="J100" i="42"/>
  <c r="G100" i="42"/>
  <c r="F26" i="42"/>
  <c r="K26" i="42"/>
  <c r="L26" i="42"/>
  <c r="C182" i="57"/>
  <c r="G182" i="57" s="1"/>
  <c r="F97" i="42"/>
  <c r="K97" i="42"/>
  <c r="L97" i="42"/>
  <c r="H76" i="42"/>
  <c r="N76" i="42" s="1"/>
  <c r="M76" i="42"/>
  <c r="H32" i="42"/>
  <c r="N32" i="42" s="1"/>
  <c r="M32" i="42"/>
  <c r="F248" i="42"/>
  <c r="L248" i="42"/>
  <c r="K248" i="42"/>
  <c r="H200" i="42"/>
  <c r="N200" i="42" s="1"/>
  <c r="M200" i="42"/>
  <c r="D68" i="57"/>
  <c r="J68" i="57" s="1"/>
  <c r="I100" i="42"/>
  <c r="E100" i="42"/>
  <c r="O100" i="42"/>
  <c r="D72" i="57"/>
  <c r="J72" i="57" s="1"/>
  <c r="D148" i="57"/>
  <c r="J148" i="57" s="1"/>
  <c r="H46" i="42"/>
  <c r="N46" i="42" s="1"/>
  <c r="M46" i="42"/>
  <c r="H33" i="42"/>
  <c r="N33" i="42" s="1"/>
  <c r="M33" i="42"/>
  <c r="D62" i="57"/>
  <c r="J62" i="57" s="1"/>
  <c r="D90" i="57"/>
  <c r="J90" i="57" s="1"/>
  <c r="D303" i="57"/>
  <c r="J303" i="57" s="1"/>
  <c r="D255" i="57"/>
  <c r="J255" i="57" s="1"/>
  <c r="D154" i="57"/>
  <c r="J154" i="57" s="1"/>
  <c r="D245" i="57"/>
  <c r="J245" i="57" s="1"/>
  <c r="D45" i="57"/>
  <c r="J45" i="57" s="1"/>
  <c r="F89" i="42"/>
  <c r="K89" i="42"/>
  <c r="L89" i="42"/>
  <c r="F76" i="42"/>
  <c r="K76" i="42"/>
  <c r="L76" i="42"/>
  <c r="H75" i="42"/>
  <c r="N75" i="42" s="1"/>
  <c r="M75" i="42"/>
  <c r="D268" i="57"/>
  <c r="J268" i="57" s="1"/>
  <c r="F109" i="42"/>
  <c r="L109" i="42"/>
  <c r="K109" i="42"/>
  <c r="D271" i="57"/>
  <c r="J271" i="57" s="1"/>
  <c r="F60" i="42"/>
  <c r="L60" i="42"/>
  <c r="K60" i="42"/>
  <c r="D19" i="57"/>
  <c r="J19" i="57" s="1"/>
  <c r="H142" i="42"/>
  <c r="N142" i="42" s="1"/>
  <c r="H60" i="42"/>
  <c r="N60" i="42" s="1"/>
  <c r="M60" i="42"/>
  <c r="F71" i="42"/>
  <c r="K71" i="42"/>
  <c r="L71" i="42"/>
  <c r="F79" i="42"/>
  <c r="K79" i="42"/>
  <c r="L79" i="42"/>
  <c r="F90" i="42"/>
  <c r="K90" i="42"/>
  <c r="L90" i="42"/>
  <c r="F107" i="42"/>
  <c r="K107" i="42"/>
  <c r="L107" i="42"/>
  <c r="H80" i="42"/>
  <c r="N80" i="42" s="1"/>
  <c r="M80" i="42"/>
  <c r="F94" i="42"/>
  <c r="K94" i="42"/>
  <c r="L94" i="42"/>
  <c r="D113" i="57"/>
  <c r="J113" i="57" s="1"/>
  <c r="H112" i="42"/>
  <c r="N112" i="42" s="1"/>
  <c r="M112" i="42"/>
  <c r="D3" i="57"/>
  <c r="J3" i="57" s="1"/>
  <c r="G3" i="57"/>
  <c r="D110" i="57"/>
  <c r="J110" i="57" s="1"/>
  <c r="D167" i="57"/>
  <c r="J167" i="57" s="1"/>
  <c r="F205" i="42"/>
  <c r="K205" i="42"/>
  <c r="L205" i="42"/>
  <c r="H51" i="42"/>
  <c r="N51" i="42" s="1"/>
  <c r="M51" i="42"/>
  <c r="H291" i="42"/>
  <c r="N291" i="42" s="1"/>
  <c r="H71" i="42"/>
  <c r="N71" i="42" s="1"/>
  <c r="F32" i="42"/>
  <c r="K32" i="42"/>
  <c r="L32" i="42"/>
  <c r="H73" i="42"/>
  <c r="N73" i="42" s="1"/>
  <c r="M73" i="42"/>
  <c r="H304" i="42"/>
  <c r="N304" i="42" s="1"/>
  <c r="M304" i="42"/>
  <c r="H99" i="42"/>
  <c r="N99" i="42" s="1"/>
  <c r="M99" i="42"/>
  <c r="F61" i="42"/>
  <c r="K61" i="42"/>
  <c r="L61" i="42"/>
  <c r="H248" i="42"/>
  <c r="N248" i="42" s="1"/>
  <c r="M248" i="42"/>
  <c r="K142" i="42"/>
  <c r="L142" i="42"/>
  <c r="F102" i="42"/>
  <c r="L102" i="42"/>
  <c r="K102" i="42"/>
  <c r="F74" i="42"/>
  <c r="K74" i="42"/>
  <c r="L74" i="42"/>
  <c r="H102" i="42"/>
  <c r="N102" i="42" s="1"/>
  <c r="M102" i="42"/>
  <c r="J19" i="42"/>
  <c r="G19" i="42"/>
  <c r="F40" i="42"/>
  <c r="L40" i="42"/>
  <c r="K40" i="42"/>
  <c r="F268" i="42"/>
  <c r="K268" i="42"/>
  <c r="L268" i="42"/>
  <c r="H107" i="42"/>
  <c r="N107" i="42" s="1"/>
  <c r="M107" i="42"/>
  <c r="H8" i="42"/>
  <c r="N8" i="42" s="1"/>
  <c r="M8" i="42"/>
  <c r="H109" i="42"/>
  <c r="N109" i="42" s="1"/>
  <c r="M109" i="42"/>
  <c r="F302" i="42"/>
  <c r="L302" i="42"/>
  <c r="K302" i="42"/>
  <c r="H250" i="42"/>
  <c r="N250" i="42" s="1"/>
  <c r="M250" i="42"/>
  <c r="F140" i="42"/>
  <c r="K140" i="42"/>
  <c r="L140" i="42"/>
  <c r="I19" i="42"/>
  <c r="O19" i="42"/>
  <c r="E19" i="42"/>
  <c r="F54" i="42"/>
  <c r="L54" i="42"/>
  <c r="K54" i="42"/>
  <c r="O244" i="42"/>
  <c r="E244" i="42"/>
  <c r="I244" i="42"/>
  <c r="D116" i="57"/>
  <c r="J116" i="57" s="1"/>
  <c r="H40" i="42"/>
  <c r="N40" i="42" s="1"/>
  <c r="H94" i="42"/>
  <c r="N94" i="42" s="1"/>
  <c r="M94" i="42"/>
  <c r="F200" i="42"/>
  <c r="K200" i="42"/>
  <c r="L200" i="42"/>
  <c r="D56" i="57"/>
  <c r="J56" i="57" s="1"/>
  <c r="D185" i="57"/>
  <c r="J185" i="57" s="1"/>
  <c r="H302" i="42"/>
  <c r="N302" i="42" s="1"/>
  <c r="M302" i="42"/>
  <c r="F51" i="42"/>
  <c r="K51" i="42"/>
  <c r="L51" i="42"/>
  <c r="F56" i="42"/>
  <c r="L56" i="42"/>
  <c r="K56" i="42"/>
  <c r="H318" i="42"/>
  <c r="N318" i="42" s="1"/>
  <c r="D295" i="57"/>
  <c r="J295" i="57" s="1"/>
  <c r="H74" i="42"/>
  <c r="N74" i="42" s="1"/>
  <c r="M74" i="42"/>
  <c r="H241" i="42"/>
  <c r="N241" i="42" s="1"/>
  <c r="M241" i="42"/>
  <c r="C194" i="57"/>
  <c r="G194" i="57" s="1"/>
  <c r="H61" i="42"/>
  <c r="N61" i="42" s="1"/>
  <c r="M61" i="42"/>
  <c r="J244" i="42"/>
  <c r="G244" i="42"/>
  <c r="M244" i="42" s="1"/>
  <c r="M26" i="42"/>
  <c r="H26" i="42"/>
  <c r="N26" i="42" s="1"/>
  <c r="H205" i="42"/>
  <c r="N205" i="42" s="1"/>
  <c r="M205" i="42"/>
  <c r="D261" i="57"/>
  <c r="J261" i="57" s="1"/>
  <c r="H179" i="42"/>
  <c r="N179" i="42" s="1"/>
  <c r="M179" i="42"/>
  <c r="F67" i="42"/>
  <c r="K67" i="42"/>
  <c r="L67" i="42"/>
  <c r="F49" i="42"/>
  <c r="F296" i="42"/>
  <c r="K296" i="42"/>
  <c r="L296" i="42"/>
  <c r="F46" i="42"/>
  <c r="L46" i="42"/>
  <c r="K46" i="42"/>
  <c r="C2" i="57"/>
  <c r="G2" i="57" s="1"/>
  <c r="D301" i="57"/>
  <c r="J301" i="57" s="1"/>
  <c r="F78" i="42"/>
  <c r="K78" i="42"/>
  <c r="L78" i="42"/>
  <c r="D258" i="57"/>
  <c r="J258" i="57" s="1"/>
  <c r="H269" i="42"/>
  <c r="N269" i="42" s="1"/>
  <c r="M269" i="42"/>
  <c r="F312" i="42"/>
  <c r="K312" i="42"/>
  <c r="L312" i="42"/>
  <c r="F286" i="42"/>
  <c r="K286" i="42"/>
  <c r="L286" i="42"/>
  <c r="F75" i="42"/>
  <c r="K75" i="42"/>
  <c r="L75" i="42"/>
  <c r="H55" i="42"/>
  <c r="N55" i="42" s="1"/>
  <c r="M55" i="42"/>
  <c r="H18" i="42"/>
  <c r="N18" i="42" s="1"/>
  <c r="M18" i="42"/>
  <c r="H95" i="42"/>
  <c r="N95" i="42" s="1"/>
  <c r="M95" i="42"/>
  <c r="I52" i="42"/>
  <c r="E52" i="42"/>
  <c r="F52" i="42" s="1"/>
  <c r="O52" i="42"/>
  <c r="F191" i="42"/>
  <c r="K191" i="42"/>
  <c r="L191" i="42"/>
  <c r="H191" i="42"/>
  <c r="N191" i="42" s="1"/>
  <c r="M191" i="42"/>
  <c r="C49" i="57"/>
  <c r="G49" i="57" s="1"/>
  <c r="F165" i="42"/>
  <c r="L165" i="42"/>
  <c r="K165" i="42"/>
  <c r="H12" i="42"/>
  <c r="N12" i="42" s="1"/>
  <c r="M12" i="42"/>
  <c r="F112" i="42"/>
  <c r="K112" i="42"/>
  <c r="L112" i="42"/>
  <c r="H91" i="42"/>
  <c r="N91" i="42" s="1"/>
  <c r="M91" i="42"/>
  <c r="N1" i="22"/>
  <c r="H297" i="42" l="1"/>
  <c r="N297" i="42" s="1"/>
  <c r="P227" i="42"/>
  <c r="F147" i="42"/>
  <c r="K147" i="42"/>
  <c r="L147" i="42"/>
  <c r="H147" i="42"/>
  <c r="N147" i="42" s="1"/>
  <c r="M147" i="42"/>
  <c r="D152" i="57"/>
  <c r="J152" i="57" s="1"/>
  <c r="F297" i="42"/>
  <c r="P297" i="42" s="1"/>
  <c r="K297" i="42"/>
  <c r="L297" i="42"/>
  <c r="P264" i="42"/>
  <c r="F68" i="42"/>
  <c r="H68" i="42"/>
  <c r="N68" i="42" s="1"/>
  <c r="M37" i="42"/>
  <c r="K12" i="42"/>
  <c r="F12" i="42"/>
  <c r="P12" i="42" s="1"/>
  <c r="L68" i="42"/>
  <c r="L77" i="42"/>
  <c r="K77" i="42"/>
  <c r="P77" i="42" s="1"/>
  <c r="F196" i="42"/>
  <c r="L196" i="42"/>
  <c r="L37" i="42"/>
  <c r="P234" i="42"/>
  <c r="K37" i="42"/>
  <c r="P312" i="42"/>
  <c r="D239" i="57"/>
  <c r="J239" i="57" s="1"/>
  <c r="D89" i="57"/>
  <c r="J89" i="57" s="1"/>
  <c r="P236" i="42"/>
  <c r="P87" i="42"/>
  <c r="P286" i="42"/>
  <c r="P112" i="42"/>
  <c r="P93" i="42"/>
  <c r="P302" i="42"/>
  <c r="P90" i="42"/>
  <c r="P109" i="42"/>
  <c r="P33" i="42"/>
  <c r="P113" i="42"/>
  <c r="P51" i="42"/>
  <c r="P102" i="42"/>
  <c r="P46" i="42"/>
  <c r="P49" i="42"/>
  <c r="P28" i="42"/>
  <c r="P200" i="42"/>
  <c r="P67" i="42"/>
  <c r="H52" i="42"/>
  <c r="N52" i="42" s="1"/>
  <c r="P291" i="42"/>
  <c r="P83" i="42"/>
  <c r="P165" i="42"/>
  <c r="P268" i="42"/>
  <c r="D49" i="57"/>
  <c r="J49" i="57" s="1"/>
  <c r="P30" i="42"/>
  <c r="P140" i="42"/>
  <c r="P94" i="42"/>
  <c r="P96" i="42"/>
  <c r="P76" i="42"/>
  <c r="P230" i="42"/>
  <c r="P101" i="42"/>
  <c r="P8" i="42"/>
  <c r="P78" i="42"/>
  <c r="P97" i="42"/>
  <c r="P3" i="42"/>
  <c r="P98" i="42"/>
  <c r="P99" i="42"/>
  <c r="P250" i="42"/>
  <c r="P205" i="42"/>
  <c r="P95" i="42"/>
  <c r="P301" i="42"/>
  <c r="P56" i="42"/>
  <c r="P73" i="42"/>
  <c r="P11" i="42"/>
  <c r="P179" i="42"/>
  <c r="H244" i="42"/>
  <c r="N244" i="42" s="1"/>
  <c r="P74" i="42"/>
  <c r="P119" i="42"/>
  <c r="P55" i="42"/>
  <c r="P54" i="42"/>
  <c r="P80" i="42"/>
  <c r="P61" i="42"/>
  <c r="P32" i="42"/>
  <c r="P296" i="42"/>
  <c r="P142" i="42"/>
  <c r="P71" i="42"/>
  <c r="P148" i="42"/>
  <c r="F244" i="42"/>
  <c r="K244" i="42"/>
  <c r="L244" i="42"/>
  <c r="P248" i="42"/>
  <c r="F65" i="42"/>
  <c r="L65" i="42"/>
  <c r="K65" i="42"/>
  <c r="H19" i="42"/>
  <c r="N19" i="42" s="1"/>
  <c r="M19" i="42"/>
  <c r="P79" i="42"/>
  <c r="P89" i="42"/>
  <c r="P91" i="42"/>
  <c r="F43" i="42"/>
  <c r="K43" i="42"/>
  <c r="L43" i="42"/>
  <c r="P191" i="42"/>
  <c r="D194" i="57"/>
  <c r="J194" i="57" s="1"/>
  <c r="F100" i="42"/>
  <c r="L100" i="42"/>
  <c r="K100" i="42"/>
  <c r="D182" i="57"/>
  <c r="J182" i="57" s="1"/>
  <c r="K52" i="42"/>
  <c r="L52" i="42"/>
  <c r="D2" i="57"/>
  <c r="J2" i="57" s="1"/>
  <c r="P107" i="42"/>
  <c r="P26" i="42"/>
  <c r="P241" i="42"/>
  <c r="H65" i="42"/>
  <c r="N65" i="42" s="1"/>
  <c r="M65" i="42"/>
  <c r="P304" i="42"/>
  <c r="F19" i="42"/>
  <c r="K19" i="42"/>
  <c r="L19" i="42"/>
  <c r="H100" i="42"/>
  <c r="N100" i="42" s="1"/>
  <c r="M100" i="42"/>
  <c r="P269" i="42"/>
  <c r="P41" i="42"/>
  <c r="P72" i="42"/>
  <c r="P75" i="42"/>
  <c r="F42" i="42"/>
  <c r="L42" i="42"/>
  <c r="K42" i="42"/>
  <c r="H42" i="42"/>
  <c r="N42" i="42" s="1"/>
  <c r="M42" i="42"/>
  <c r="H43" i="42"/>
  <c r="N43" i="42" s="1"/>
  <c r="M43" i="42"/>
  <c r="P40" i="42"/>
  <c r="P60" i="42"/>
  <c r="P318" i="42"/>
  <c r="P18" i="42"/>
  <c r="O1" i="22"/>
  <c r="P147" i="42" l="1"/>
  <c r="P68" i="42"/>
  <c r="P196" i="42"/>
  <c r="P37" i="42"/>
  <c r="P52" i="42"/>
  <c r="P244" i="42"/>
  <c r="P100" i="42"/>
  <c r="P19" i="42"/>
  <c r="P65" i="42"/>
  <c r="P43" i="42"/>
  <c r="P42" i="42"/>
  <c r="P1" i="22"/>
  <c r="P1" i="42" l="1"/>
  <c r="Q1" i="22"/>
  <c r="R1" i="22" l="1"/>
  <c r="S1" i="22" l="1"/>
  <c r="T1" i="22" l="1"/>
  <c r="U1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tc={EEEFEB1F-38D6-40B4-B979-6502B1DF2C00}</author>
  </authors>
  <commentList>
    <comment ref="AJ3" authorId="0" shapeId="0" xr:uid="{EEEFEB1F-38D6-40B4-B979-6502B1DF2C0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Percentage calculated by certification team, headcount percentage based on total staff reported in certificated duty roots only</t>
      </text>
    </comment>
  </commentList>
</comments>
</file>

<file path=xl/sharedStrings.xml><?xml version="1.0" encoding="utf-8"?>
<sst xmlns="http://schemas.openxmlformats.org/spreadsheetml/2006/main" count="55133" uniqueCount="1670">
  <si>
    <t>Grade</t>
  </si>
  <si>
    <t>32081</t>
  </si>
  <si>
    <t>Teacher FTE</t>
  </si>
  <si>
    <t>State Budget Class Size</t>
  </si>
  <si>
    <t>Demonstrated Class Size</t>
  </si>
  <si>
    <t>Total Teachers</t>
  </si>
  <si>
    <t>K-3 Compliance</t>
  </si>
  <si>
    <t>01109</t>
  </si>
  <si>
    <t>01122</t>
  </si>
  <si>
    <t>01147</t>
  </si>
  <si>
    <t>01158</t>
  </si>
  <si>
    <t>01160</t>
  </si>
  <si>
    <t>02250</t>
  </si>
  <si>
    <t>02420</t>
  </si>
  <si>
    <t>03017</t>
  </si>
  <si>
    <t>03050</t>
  </si>
  <si>
    <t>03052</t>
  </si>
  <si>
    <t>03053</t>
  </si>
  <si>
    <t>03116</t>
  </si>
  <si>
    <t>03400</t>
  </si>
  <si>
    <t>04019</t>
  </si>
  <si>
    <t>04069</t>
  </si>
  <si>
    <t>04127</t>
  </si>
  <si>
    <t>04129</t>
  </si>
  <si>
    <t>04222</t>
  </si>
  <si>
    <t>04228</t>
  </si>
  <si>
    <t>04246</t>
  </si>
  <si>
    <t>05121</t>
  </si>
  <si>
    <t>05313</t>
  </si>
  <si>
    <t>05323</t>
  </si>
  <si>
    <t>05401</t>
  </si>
  <si>
    <t>05402</t>
  </si>
  <si>
    <t>06037</t>
  </si>
  <si>
    <t>06098</t>
  </si>
  <si>
    <t>06101</t>
  </si>
  <si>
    <t>06103</t>
  </si>
  <si>
    <t>06112</t>
  </si>
  <si>
    <t>06114</t>
  </si>
  <si>
    <t>06117</t>
  </si>
  <si>
    <t>06119</t>
  </si>
  <si>
    <t>06122</t>
  </si>
  <si>
    <t>07002</t>
  </si>
  <si>
    <t>07035</t>
  </si>
  <si>
    <t>08122</t>
  </si>
  <si>
    <t>08130</t>
  </si>
  <si>
    <t>08401</t>
  </si>
  <si>
    <t>08402</t>
  </si>
  <si>
    <t>08404</t>
  </si>
  <si>
    <t>08458</t>
  </si>
  <si>
    <t>09013</t>
  </si>
  <si>
    <t>09075</t>
  </si>
  <si>
    <t>09102</t>
  </si>
  <si>
    <t>09206</t>
  </si>
  <si>
    <t>09207</t>
  </si>
  <si>
    <t>09209</t>
  </si>
  <si>
    <t>10003</t>
  </si>
  <si>
    <t>10050</t>
  </si>
  <si>
    <t>10065</t>
  </si>
  <si>
    <t>10070</t>
  </si>
  <si>
    <t>10309</t>
  </si>
  <si>
    <t>11001</t>
  </si>
  <si>
    <t>11051</t>
  </si>
  <si>
    <t>11054</t>
  </si>
  <si>
    <t>11056</t>
  </si>
  <si>
    <t>12110</t>
  </si>
  <si>
    <t>13073</t>
  </si>
  <si>
    <t>13144</t>
  </si>
  <si>
    <t>13146</t>
  </si>
  <si>
    <t>13151</t>
  </si>
  <si>
    <t>13156</t>
  </si>
  <si>
    <t>13160</t>
  </si>
  <si>
    <t>13161</t>
  </si>
  <si>
    <t>13165</t>
  </si>
  <si>
    <t>13167</t>
  </si>
  <si>
    <t>13301</t>
  </si>
  <si>
    <t>14005</t>
  </si>
  <si>
    <t>14028</t>
  </si>
  <si>
    <t>14064</t>
  </si>
  <si>
    <t>14065</t>
  </si>
  <si>
    <t>14066</t>
  </si>
  <si>
    <t>14068</t>
  </si>
  <si>
    <t>14077</t>
  </si>
  <si>
    <t>14097</t>
  </si>
  <si>
    <t>14099</t>
  </si>
  <si>
    <t>14104</t>
  </si>
  <si>
    <t>14117</t>
  </si>
  <si>
    <t>14172</t>
  </si>
  <si>
    <t>14400</t>
  </si>
  <si>
    <t>15201</t>
  </si>
  <si>
    <t>15204</t>
  </si>
  <si>
    <t>15206</t>
  </si>
  <si>
    <t>16020</t>
  </si>
  <si>
    <t>16046</t>
  </si>
  <si>
    <t>16048</t>
  </si>
  <si>
    <t>16049</t>
  </si>
  <si>
    <t>16050</t>
  </si>
  <si>
    <t>17001</t>
  </si>
  <si>
    <t>17210</t>
  </si>
  <si>
    <t>17216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</si>
  <si>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</si>
  <si>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</si>
  <si>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</si>
  <si>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</si>
  <si>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</si>
  <si>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</si>
  <si>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</si>
  <si>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</si>
  <si>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</si>
  <si>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</si>
  <si>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</si>
  <si>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</si>
  <si>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</si>
  <si>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17414</t>
  </si>
  <si>
    <t>17415</t>
  </si>
  <si>
    <t>17417</t>
  </si>
  <si>
    <t>17903</t>
  </si>
  <si>
    <t>18100</t>
  </si>
  <si>
    <t>18303</t>
  </si>
  <si>
    <t>18400</t>
  </si>
  <si>
    <t>18401</t>
  </si>
  <si>
    <t>18402</t>
  </si>
  <si>
    <t>18902</t>
  </si>
  <si>
    <t>19007</t>
  </si>
  <si>
    <t>19028</t>
  </si>
  <si>
    <t>19400</t>
  </si>
  <si>
    <t>19401</t>
  </si>
  <si>
    <t>19403</t>
  </si>
  <si>
    <t>19404</t>
  </si>
  <si>
    <t>20094</t>
  </si>
  <si>
    <t>20203</t>
  </si>
  <si>
    <t>20215</t>
  </si>
  <si>
    <t>20400</t>
  </si>
  <si>
    <t>20401</t>
  </si>
  <si>
    <t>20402</t>
  </si>
  <si>
    <t>20403</t>
  </si>
  <si>
    <t>20404</t>
  </si>
  <si>
    <t>20405</t>
  </si>
  <si>
    <t>20406</t>
  </si>
  <si>
    <t>21014</t>
  </si>
  <si>
    <t>21036</t>
  </si>
  <si>
    <t>21206</t>
  </si>
  <si>
    <t>21214</t>
  </si>
  <si>
    <t>21226</t>
  </si>
  <si>
    <t>21232</t>
  </si>
  <si>
    <t>21234</t>
  </si>
  <si>
    <t>21237</t>
  </si>
  <si>
    <t>21300</t>
  </si>
  <si>
    <t>21301</t>
  </si>
  <si>
    <t>21302</t>
  </si>
  <si>
    <t>21303</t>
  </si>
  <si>
    <t>21401</t>
  </si>
  <si>
    <t>22008</t>
  </si>
  <si>
    <t>22009</t>
  </si>
  <si>
    <t>22017</t>
  </si>
  <si>
    <t>22073</t>
  </si>
  <si>
    <t>22105</t>
  </si>
  <si>
    <t>22200</t>
  </si>
  <si>
    <t>22204</t>
  </si>
  <si>
    <t>22207</t>
  </si>
  <si>
    <t>23042</t>
  </si>
  <si>
    <t>23054</t>
  </si>
  <si>
    <t>23309</t>
  </si>
  <si>
    <t>23311</t>
  </si>
  <si>
    <t>23402</t>
  </si>
  <si>
    <t>23403</t>
  </si>
  <si>
    <t>23404</t>
  </si>
  <si>
    <t>24014</t>
  </si>
  <si>
    <t>24019</t>
  </si>
  <si>
    <t>24105</t>
  </si>
  <si>
    <t>24111</t>
  </si>
  <si>
    <t>24122</t>
  </si>
  <si>
    <t>24350</t>
  </si>
  <si>
    <t>24404</t>
  </si>
  <si>
    <t>24410</t>
  </si>
  <si>
    <t>25101</t>
  </si>
  <si>
    <t>25116</t>
  </si>
  <si>
    <t>25118</t>
  </si>
  <si>
    <t>25155</t>
  </si>
  <si>
    <t>25160</t>
  </si>
  <si>
    <t>25200</t>
  </si>
  <si>
    <t>26056</t>
  </si>
  <si>
    <t>26059</t>
  </si>
  <si>
    <t>26070</t>
  </si>
  <si>
    <t>27001</t>
  </si>
  <si>
    <t>27003</t>
  </si>
  <si>
    <t>27010</t>
  </si>
  <si>
    <t>27019</t>
  </si>
  <si>
    <t>27083</t>
  </si>
  <si>
    <t>27320</t>
  </si>
  <si>
    <t>27343</t>
  </si>
  <si>
    <t>27344</t>
  </si>
  <si>
    <t>27400</t>
  </si>
  <si>
    <t>27401</t>
  </si>
  <si>
    <t>27402</t>
  </si>
  <si>
    <t>27403</t>
  </si>
  <si>
    <t>27404</t>
  </si>
  <si>
    <t>27416</t>
  </si>
  <si>
    <t>27417</t>
  </si>
  <si>
    <t>28010</t>
  </si>
  <si>
    <t>28137</t>
  </si>
  <si>
    <t>28144</t>
  </si>
  <si>
    <t>28149</t>
  </si>
  <si>
    <t>29011</t>
  </si>
  <si>
    <t>29100</t>
  </si>
  <si>
    <t>29101</t>
  </si>
  <si>
    <t>29103</t>
  </si>
  <si>
    <t>29311</t>
  </si>
  <si>
    <t>29317</t>
  </si>
  <si>
    <t>29320</t>
  </si>
  <si>
    <t>30002</t>
  </si>
  <si>
    <t>30029</t>
  </si>
  <si>
    <t>30031</t>
  </si>
  <si>
    <t>30303</t>
  </si>
  <si>
    <t>31002</t>
  </si>
  <si>
    <t>31004</t>
  </si>
  <si>
    <t>31006</t>
  </si>
  <si>
    <t>31015</t>
  </si>
  <si>
    <t>31016</t>
  </si>
  <si>
    <t>31025</t>
  </si>
  <si>
    <t>31063</t>
  </si>
  <si>
    <t>31103</t>
  </si>
  <si>
    <t>31201</t>
  </si>
  <si>
    <t>31306</t>
  </si>
  <si>
    <t>31311</t>
  </si>
  <si>
    <t>31330</t>
  </si>
  <si>
    <t>31332</t>
  </si>
  <si>
    <t>31401</t>
  </si>
  <si>
    <t>32123</t>
  </si>
  <si>
    <t>32312</t>
  </si>
  <si>
    <t>32325</t>
  </si>
  <si>
    <t>32326</t>
  </si>
  <si>
    <t>32354</t>
  </si>
  <si>
    <t>32356</t>
  </si>
  <si>
    <t>32358</t>
  </si>
  <si>
    <t>32360</t>
  </si>
  <si>
    <t>32361</t>
  </si>
  <si>
    <t>32362</t>
  </si>
  <si>
    <t>32363</t>
  </si>
  <si>
    <t>32414</t>
  </si>
  <si>
    <t>32416</t>
  </si>
  <si>
    <t>33030</t>
  </si>
  <si>
    <t>33036</t>
  </si>
  <si>
    <t>33049</t>
  </si>
  <si>
    <t>33070</t>
  </si>
  <si>
    <t>33115</t>
  </si>
  <si>
    <t>33183</t>
  </si>
  <si>
    <t>33202</t>
  </si>
  <si>
    <t>33205</t>
  </si>
  <si>
    <t>33206</t>
  </si>
  <si>
    <t>33207</t>
  </si>
  <si>
    <t>33211</t>
  </si>
  <si>
    <t>33212</t>
  </si>
  <si>
    <t>34002</t>
  </si>
  <si>
    <t>34003</t>
  </si>
  <si>
    <t>34033</t>
  </si>
  <si>
    <t>34111</t>
  </si>
  <si>
    <t>34307</t>
  </si>
  <si>
    <t>34324</t>
  </si>
  <si>
    <t>34401</t>
  </si>
  <si>
    <t>34402</t>
  </si>
  <si>
    <t>35200</t>
  </si>
  <si>
    <t>36101</t>
  </si>
  <si>
    <t>36140</t>
  </si>
  <si>
    <t>36250</t>
  </si>
  <si>
    <t>36300</t>
  </si>
  <si>
    <t>36400</t>
  </si>
  <si>
    <t>36401</t>
  </si>
  <si>
    <t>36402</t>
  </si>
  <si>
    <t>37501</t>
  </si>
  <si>
    <t>37502</t>
  </si>
  <si>
    <t>37503</t>
  </si>
  <si>
    <t>37504</t>
  </si>
  <si>
    <t>37505</t>
  </si>
  <si>
    <t>37506</t>
  </si>
  <si>
    <t>37507</t>
  </si>
  <si>
    <t>37903</t>
  </si>
  <si>
    <t>38126</t>
  </si>
  <si>
    <t>38264</t>
  </si>
  <si>
    <t>38265</t>
  </si>
  <si>
    <t>38267</t>
  </si>
  <si>
    <t>38300</t>
  </si>
  <si>
    <t>38301</t>
  </si>
  <si>
    <t>38302</t>
  </si>
  <si>
    <t>38304</t>
  </si>
  <si>
    <t>38306</t>
  </si>
  <si>
    <t>38308</t>
  </si>
  <si>
    <t>38320</t>
  </si>
  <si>
    <t>38322</t>
  </si>
  <si>
    <t>38324</t>
  </si>
  <si>
    <t>39002</t>
  </si>
  <si>
    <t>39003</t>
  </si>
  <si>
    <t>39007</t>
  </si>
  <si>
    <t>39090</t>
  </si>
  <si>
    <t>39119</t>
  </si>
  <si>
    <t>39120</t>
  </si>
  <si>
    <t>39200</t>
  </si>
  <si>
    <t>39201</t>
  </si>
  <si>
    <t>39202</t>
  </si>
  <si>
    <t>39203</t>
  </si>
  <si>
    <t>39204</t>
  </si>
  <si>
    <t>39205</t>
  </si>
  <si>
    <t>39207</t>
  </si>
  <si>
    <t>39208</t>
  </si>
  <si>
    <t>39209</t>
  </si>
  <si>
    <t>Washtucna School District</t>
  </si>
  <si>
    <t>Benge School District</t>
  </si>
  <si>
    <t>Othello School District</t>
  </si>
  <si>
    <t>Lind School District</t>
  </si>
  <si>
    <t>Ritzville School District</t>
  </si>
  <si>
    <t>Clarkston School District</t>
  </si>
  <si>
    <t>Asotin-Anatone School District</t>
  </si>
  <si>
    <t>Kennewick School District</t>
  </si>
  <si>
    <t>Paterson School District</t>
  </si>
  <si>
    <t>Kiona-Benton City School District</t>
  </si>
  <si>
    <t>Finley School District</t>
  </si>
  <si>
    <t>Prosser School District</t>
  </si>
  <si>
    <t>Richland School District</t>
  </si>
  <si>
    <t>Manson School District</t>
  </si>
  <si>
    <t>Stehekin School District</t>
  </si>
  <si>
    <t>Entiat School District</t>
  </si>
  <si>
    <t>Lake Chelan School District</t>
  </si>
  <si>
    <t>Cascade School District</t>
  </si>
  <si>
    <t>Wenatchee School District</t>
  </si>
  <si>
    <t>Port Angeles School District</t>
  </si>
  <si>
    <t>Crescent School District</t>
  </si>
  <si>
    <t>Sequim School District</t>
  </si>
  <si>
    <t>Cape Flattery School District</t>
  </si>
  <si>
    <t>Quillayute Valley School District</t>
  </si>
  <si>
    <t>Vancouver School District</t>
  </si>
  <si>
    <t>Hockinson School District</t>
  </si>
  <si>
    <t>La Center School District</t>
  </si>
  <si>
    <t>Green Mountain School District</t>
  </si>
  <si>
    <t>Washougal School District</t>
  </si>
  <si>
    <t>Evergreen School District (Clark)</t>
  </si>
  <si>
    <t>Camas School District</t>
  </si>
  <si>
    <t>Battle Ground School District</t>
  </si>
  <si>
    <t>Ridgefield School District</t>
  </si>
  <si>
    <t>Dayton School District</t>
  </si>
  <si>
    <t>Starbuck School District</t>
  </si>
  <si>
    <t>Longview School District</t>
  </si>
  <si>
    <t>Toutle Lake School District</t>
  </si>
  <si>
    <t>Castle Rock School District</t>
  </si>
  <si>
    <t>Kalama School District</t>
  </si>
  <si>
    <t>Woodland School District</t>
  </si>
  <si>
    <t>Kelso School District</t>
  </si>
  <si>
    <t>Orondo School District</t>
  </si>
  <si>
    <t>Bridgeport School District</t>
  </si>
  <si>
    <t>Palisades School District</t>
  </si>
  <si>
    <t>Eastmont School District</t>
  </si>
  <si>
    <t>Mansfield School District</t>
  </si>
  <si>
    <t>Waterville School District</t>
  </si>
  <si>
    <t>Keller School District</t>
  </si>
  <si>
    <t>Curlew School District</t>
  </si>
  <si>
    <t>Orient School District</t>
  </si>
  <si>
    <t>Inchelium School District</t>
  </si>
  <si>
    <t>Republic School District</t>
  </si>
  <si>
    <t>Pasco School District</t>
  </si>
  <si>
    <t>North Franklin School District</t>
  </si>
  <si>
    <t>Star School District No. 054</t>
  </si>
  <si>
    <t>Kahlotus School District</t>
  </si>
  <si>
    <t>Pomeroy School District</t>
  </si>
  <si>
    <t>Wahluke School District</t>
  </si>
  <si>
    <t>Quincy School District</t>
  </si>
  <si>
    <t>Warden School District</t>
  </si>
  <si>
    <t>Coulee-Hartline School District</t>
  </si>
  <si>
    <t>Soap Lake School District</t>
  </si>
  <si>
    <t>Royal School District</t>
  </si>
  <si>
    <t>Moses Lake School District</t>
  </si>
  <si>
    <t>Ephrata School District</t>
  </si>
  <si>
    <t>Wilson Creek School District</t>
  </si>
  <si>
    <t>Grand Coulee Dam School District</t>
  </si>
  <si>
    <t>Aberdeen School District</t>
  </si>
  <si>
    <t>Hoquiam School District</t>
  </si>
  <si>
    <t>North Beach School District</t>
  </si>
  <si>
    <t>McCleary School District</t>
  </si>
  <si>
    <t>Montesano School District</t>
  </si>
  <si>
    <t>Elma School District</t>
  </si>
  <si>
    <t>Taholah School District</t>
  </si>
  <si>
    <t>Lake Quinault School District</t>
  </si>
  <si>
    <t>Cosmopolis School District</t>
  </si>
  <si>
    <t>Satsop School District</t>
  </si>
  <si>
    <t>Wishkah Valley School District</t>
  </si>
  <si>
    <t>Ocosta School District</t>
  </si>
  <si>
    <t>Oakville School District</t>
  </si>
  <si>
    <t>Oak Harbor School District</t>
  </si>
  <si>
    <t>Coupeville School District</t>
  </si>
  <si>
    <t>South Whidbey School District</t>
  </si>
  <si>
    <t>Queets-Clearwater School District</t>
  </si>
  <si>
    <t>Brinnon School District</t>
  </si>
  <si>
    <t>Quilcene School District</t>
  </si>
  <si>
    <t>Chimacum School District</t>
  </si>
  <si>
    <t>Port Townsend School District</t>
  </si>
  <si>
    <t>Seattle Public Schools</t>
  </si>
  <si>
    <t>Federal Way School District</t>
  </si>
  <si>
    <t>Enumclaw School District</t>
  </si>
  <si>
    <t>Mercer Island School District</t>
  </si>
  <si>
    <t>Highline School District</t>
  </si>
  <si>
    <t>Vashon Island School District</t>
  </si>
  <si>
    <t>Renton School District</t>
  </si>
  <si>
    <t>Skykomish School District</t>
  </si>
  <si>
    <t>Bellevue School District</t>
  </si>
  <si>
    <t>Tukwila School District</t>
  </si>
  <si>
    <t>Riverview School District</t>
  </si>
  <si>
    <t>Auburn School District</t>
  </si>
  <si>
    <t>Tahoma School District</t>
  </si>
  <si>
    <t>Snoqualmie Valley School District</t>
  </si>
  <si>
    <t>Issaquah School District</t>
  </si>
  <si>
    <t>Shoreline School District</t>
  </si>
  <si>
    <t>Lake Washington School District</t>
  </si>
  <si>
    <t>Kent School District</t>
  </si>
  <si>
    <t>Northshore School District</t>
  </si>
  <si>
    <t>Muckleshoot Indian Tribe</t>
  </si>
  <si>
    <t>Bremerton School District</t>
  </si>
  <si>
    <t>Bainbridge Island School District</t>
  </si>
  <si>
    <t>North Kitsap School District</t>
  </si>
  <si>
    <t>Central Kitsap School District</t>
  </si>
  <si>
    <t>South Kitsap School District</t>
  </si>
  <si>
    <t>Suquamish Tribal Education Department</t>
  </si>
  <si>
    <t>Damman School District</t>
  </si>
  <si>
    <t>Easton School District</t>
  </si>
  <si>
    <t>Thorp School District</t>
  </si>
  <si>
    <t>Ellensburg School District</t>
  </si>
  <si>
    <t>Kittitas School District</t>
  </si>
  <si>
    <t>Cle Elum-Roslyn School District</t>
  </si>
  <si>
    <t>Wishram School District</t>
  </si>
  <si>
    <t>Bickleton School District</t>
  </si>
  <si>
    <t>Centerville School District</t>
  </si>
  <si>
    <t>Trout Lake School District</t>
  </si>
  <si>
    <t>Glenwood School District</t>
  </si>
  <si>
    <t>Klickitat School District</t>
  </si>
  <si>
    <t>Roosevelt School District</t>
  </si>
  <si>
    <t>Goldendale School District</t>
  </si>
  <si>
    <t>White Salmon Valley School District</t>
  </si>
  <si>
    <t>Lyle School District</t>
  </si>
  <si>
    <t>Napavine School District</t>
  </si>
  <si>
    <t>Evaline School District</t>
  </si>
  <si>
    <t>Mossyrock School District</t>
  </si>
  <si>
    <t>Morton School District</t>
  </si>
  <si>
    <t>Adna School District</t>
  </si>
  <si>
    <t>Winlock School District</t>
  </si>
  <si>
    <t>Boistfort School District</t>
  </si>
  <si>
    <t>Toledo School District</t>
  </si>
  <si>
    <t>Onalaska School District</t>
  </si>
  <si>
    <t>Pe Ell School District</t>
  </si>
  <si>
    <t>Chehalis School District</t>
  </si>
  <si>
    <t>White Pass School District</t>
  </si>
  <si>
    <t>Centralia School District</t>
  </si>
  <si>
    <t>Sprague School District</t>
  </si>
  <si>
    <t>Reardan-Edwall School District</t>
  </si>
  <si>
    <t>Almira School District</t>
  </si>
  <si>
    <t>Creston School District</t>
  </si>
  <si>
    <t>Odessa School District</t>
  </si>
  <si>
    <t>Wilbur School District</t>
  </si>
  <si>
    <t>Harrington School District</t>
  </si>
  <si>
    <t>Davenport School District</t>
  </si>
  <si>
    <t>Southside School District</t>
  </si>
  <si>
    <t>Grapeview School District</t>
  </si>
  <si>
    <t>Shelton School District</t>
  </si>
  <si>
    <t>Mary M Knight School District</t>
  </si>
  <si>
    <t>Pioneer School District</t>
  </si>
  <si>
    <t>North Mason School District</t>
  </si>
  <si>
    <t>Hood Canal School District</t>
  </si>
  <si>
    <t>Nespelem School District</t>
  </si>
  <si>
    <t>Omak School District</t>
  </si>
  <si>
    <t>Okanogan School District</t>
  </si>
  <si>
    <t>Brewster School District</t>
  </si>
  <si>
    <t>Pateros School District</t>
  </si>
  <si>
    <t>Methow Valley School District</t>
  </si>
  <si>
    <t>Tonasket School District</t>
  </si>
  <si>
    <t>Oroville School District</t>
  </si>
  <si>
    <t>Ocean Beach School District</t>
  </si>
  <si>
    <t>Raymond School District</t>
  </si>
  <si>
    <t>South Bend School District</t>
  </si>
  <si>
    <t>Naselle-Grays River Valley School District</t>
  </si>
  <si>
    <t>Willapa Valley School District</t>
  </si>
  <si>
    <t>North River School District</t>
  </si>
  <si>
    <t>Newport School District</t>
  </si>
  <si>
    <t>Cusick School District</t>
  </si>
  <si>
    <t>Selkirk School District</t>
  </si>
  <si>
    <t>Steilacoom Hist. School District</t>
  </si>
  <si>
    <t>Puyallup School District</t>
  </si>
  <si>
    <t>Tacoma School District</t>
  </si>
  <si>
    <t>Carbonado School District</t>
  </si>
  <si>
    <t>University Place School District</t>
  </si>
  <si>
    <t>Dieringer School District</t>
  </si>
  <si>
    <t>Orting School District</t>
  </si>
  <si>
    <t>Clover Park School District</t>
  </si>
  <si>
    <t>Peninsula School District</t>
  </si>
  <si>
    <t>Franklin Pierce School District</t>
  </si>
  <si>
    <t>Bethel School District</t>
  </si>
  <si>
    <t>Eatonville School District</t>
  </si>
  <si>
    <t>White River School District</t>
  </si>
  <si>
    <t>Fife School District</t>
  </si>
  <si>
    <t>Shaw Island School District</t>
  </si>
  <si>
    <t>Orcas Island School District</t>
  </si>
  <si>
    <t>Lopez School District</t>
  </si>
  <si>
    <t>San Juan Island School District</t>
  </si>
  <si>
    <t>Concrete School District</t>
  </si>
  <si>
    <t>Burlington-Edison School District</t>
  </si>
  <si>
    <t>Sedro-Woolley School District</t>
  </si>
  <si>
    <t>Anacortes School District</t>
  </si>
  <si>
    <t>La Conner School District</t>
  </si>
  <si>
    <t>Conway School District</t>
  </si>
  <si>
    <t>Mount Vernon School District</t>
  </si>
  <si>
    <t>Skamania School District</t>
  </si>
  <si>
    <t>Mount Pleasant School District</t>
  </si>
  <si>
    <t>Mill A School District</t>
  </si>
  <si>
    <t>Stevenson-Carson School District</t>
  </si>
  <si>
    <t>Everett School District</t>
  </si>
  <si>
    <t>Lake Stevens School District</t>
  </si>
  <si>
    <t>Mukilteo School District</t>
  </si>
  <si>
    <t>Edmonds School District</t>
  </si>
  <si>
    <t>Arlington School District</t>
  </si>
  <si>
    <t>Marysville School District</t>
  </si>
  <si>
    <t>Index School District</t>
  </si>
  <si>
    <t>Monroe School District</t>
  </si>
  <si>
    <t>Snohomish School District</t>
  </si>
  <si>
    <t>Lakewood School District</t>
  </si>
  <si>
    <t>Sultan School District</t>
  </si>
  <si>
    <t>Darrington School District</t>
  </si>
  <si>
    <t>Granite Falls School District</t>
  </si>
  <si>
    <t>Stanwood-Camano School District</t>
  </si>
  <si>
    <t>Spokane School District</t>
  </si>
  <si>
    <t>Orchard Prairie School District</t>
  </si>
  <si>
    <t>Great Northern School District</t>
  </si>
  <si>
    <t>Nine Mile Falls School District</t>
  </si>
  <si>
    <t>Medical Lake School District</t>
  </si>
  <si>
    <t>Mead School District</t>
  </si>
  <si>
    <t>Central Valley School District</t>
  </si>
  <si>
    <t>Freeman School District</t>
  </si>
  <si>
    <t>Cheney School District</t>
  </si>
  <si>
    <t>East Valley School District (Spokane)</t>
  </si>
  <si>
    <t>Liberty School District</t>
  </si>
  <si>
    <t>West Valley School District (Spokane)</t>
  </si>
  <si>
    <t>Deer Park School District</t>
  </si>
  <si>
    <t>Riverside School District</t>
  </si>
  <si>
    <t>Onion Creek School District</t>
  </si>
  <si>
    <t>Chewelah School District</t>
  </si>
  <si>
    <t>Wellpinit School District</t>
  </si>
  <si>
    <t>Valley School District</t>
  </si>
  <si>
    <t>Colville School District</t>
  </si>
  <si>
    <t>Loon Lake School District</t>
  </si>
  <si>
    <t>Summit Valley School District</t>
  </si>
  <si>
    <t>Evergreen School District (Stevens)</t>
  </si>
  <si>
    <t>Columbia (Stevens) School District</t>
  </si>
  <si>
    <t>Mary Walker School District</t>
  </si>
  <si>
    <t>Northport School District</t>
  </si>
  <si>
    <t>Kettle Falls School District</t>
  </si>
  <si>
    <t>Yelm School District</t>
  </si>
  <si>
    <t>North Thurston Public Schools</t>
  </si>
  <si>
    <t>Tumwater School District</t>
  </si>
  <si>
    <t>Olympia School District</t>
  </si>
  <si>
    <t>Rainier School District</t>
  </si>
  <si>
    <t>Griffin School District</t>
  </si>
  <si>
    <t>Rochester School District</t>
  </si>
  <si>
    <t>Tenino School District</t>
  </si>
  <si>
    <t>Wahkiakum School District</t>
  </si>
  <si>
    <t>Dixie School District</t>
  </si>
  <si>
    <t>Walla Walla Public Schools</t>
  </si>
  <si>
    <t>College Place School District</t>
  </si>
  <si>
    <t>Touchet School District</t>
  </si>
  <si>
    <t>Columbia (Walla Walla) School District</t>
  </si>
  <si>
    <t>Waitsburg School District</t>
  </si>
  <si>
    <t>Prescott School District</t>
  </si>
  <si>
    <t>Bellingham School District</t>
  </si>
  <si>
    <t>Ferndale School District</t>
  </si>
  <si>
    <t>Blaine School District</t>
  </si>
  <si>
    <t>Lynden School District</t>
  </si>
  <si>
    <t>Meridian School District</t>
  </si>
  <si>
    <t>Nooksack Valley School District</t>
  </si>
  <si>
    <t>Mount Baker School District</t>
  </si>
  <si>
    <t>Lummi Tribal Agency</t>
  </si>
  <si>
    <t>LaCrosse School District</t>
  </si>
  <si>
    <t>Lamont School District</t>
  </si>
  <si>
    <t>Tekoa School District</t>
  </si>
  <si>
    <t>Pullman School District</t>
  </si>
  <si>
    <t>Colfax School District</t>
  </si>
  <si>
    <t>Palouse School District</t>
  </si>
  <si>
    <t>Garfield School District</t>
  </si>
  <si>
    <t>Steptoe School District</t>
  </si>
  <si>
    <t>Colton School District</t>
  </si>
  <si>
    <t>Endicott School District</t>
  </si>
  <si>
    <t>Rosalia School District</t>
  </si>
  <si>
    <t>St. John School District</t>
  </si>
  <si>
    <t>Oakesdale School District</t>
  </si>
  <si>
    <t>Union Gap School District</t>
  </si>
  <si>
    <t>Naches Valley School District</t>
  </si>
  <si>
    <t>Yakima School District</t>
  </si>
  <si>
    <t>East Valley School District (Yakima)</t>
  </si>
  <si>
    <t>Selah School District</t>
  </si>
  <si>
    <t>Mabton School District</t>
  </si>
  <si>
    <t>Grandview School District</t>
  </si>
  <si>
    <t>Sunnyside School District</t>
  </si>
  <si>
    <t>Toppenish School District</t>
  </si>
  <si>
    <t>Highland School District</t>
  </si>
  <si>
    <t>Granger School District</t>
  </si>
  <si>
    <t>Zillah School District</t>
  </si>
  <si>
    <t>Wapato School District</t>
  </si>
  <si>
    <t>West Valley School District (Yakima)</t>
  </si>
  <si>
    <t>Mount Adams School District</t>
  </si>
  <si>
    <t>CCDDD</t>
  </si>
  <si>
    <t>School Districts</t>
  </si>
  <si>
    <t>Cashmere School District</t>
  </si>
  <si>
    <t>K-3 Class Size Calculation Tool</t>
  </si>
  <si>
    <t>2016-17</t>
  </si>
  <si>
    <t>2017-18</t>
  </si>
  <si>
    <t>Total</t>
  </si>
  <si>
    <t>District</t>
  </si>
  <si>
    <t>Mary M Knight</t>
  </si>
  <si>
    <t>Oakville</t>
  </si>
  <si>
    <t>South Bend</t>
  </si>
  <si>
    <t>Union Gap</t>
  </si>
  <si>
    <t>Colfax</t>
  </si>
  <si>
    <t>05903</t>
  </si>
  <si>
    <t>Quileute Tribal</t>
  </si>
  <si>
    <t>32901</t>
  </si>
  <si>
    <t>Spokane Int'l Charter</t>
  </si>
  <si>
    <t>34901</t>
  </si>
  <si>
    <t>Wa He Lut Tribal</t>
  </si>
  <si>
    <t>17902</t>
  </si>
  <si>
    <t>Summit Sierra Charter</t>
  </si>
  <si>
    <t>17905</t>
  </si>
  <si>
    <t>Summit Atlas Charter</t>
  </si>
  <si>
    <t>17908</t>
  </si>
  <si>
    <t>Rainier Prep Charter</t>
  </si>
  <si>
    <t>17910</t>
  </si>
  <si>
    <t>27905</t>
  </si>
  <si>
    <t>Summit Olympus Charter</t>
  </si>
  <si>
    <t>32907</t>
  </si>
  <si>
    <t>Pride Prep Charter</t>
  </si>
  <si>
    <t>2018-19</t>
  </si>
  <si>
    <t>17911</t>
  </si>
  <si>
    <t>27901</t>
  </si>
  <si>
    <t>39901</t>
  </si>
  <si>
    <t>Chief Leschi</t>
  </si>
  <si>
    <t>Yakama Nation</t>
  </si>
  <si>
    <t>Teachers K-3
Prog 01</t>
  </si>
  <si>
    <t>Teachers K-3
Prog 21</t>
  </si>
  <si>
    <t>Enrollment K-3
Total</t>
  </si>
  <si>
    <t>Class Size will be used in Apportionment (Not less than 17 &amp; not to Exceed 25.23 )</t>
  </si>
  <si>
    <t>&lt;--select district</t>
  </si>
  <si>
    <t>SpEd Teachers</t>
  </si>
  <si>
    <t>Salary Inc</t>
  </si>
  <si>
    <t>+ Planning Time</t>
  </si>
  <si>
    <t>Allocation Variance</t>
  </si>
  <si>
    <t>K-3 Class Size Compliance - Supplemental FTE Teachers</t>
  </si>
  <si>
    <t>Reg Base</t>
  </si>
  <si>
    <t>2019-20</t>
  </si>
  <si>
    <t>Salary Base</t>
  </si>
  <si>
    <t>Insurance Base</t>
  </si>
  <si>
    <t>Insurance Inc</t>
  </si>
  <si>
    <t>2020-21</t>
  </si>
  <si>
    <t>18901</t>
  </si>
  <si>
    <t>Catalyst Public Schools</t>
  </si>
  <si>
    <t>17916</t>
  </si>
  <si>
    <t>32903</t>
  </si>
  <si>
    <t>Lumen High School</t>
  </si>
  <si>
    <t>K-3 Class Size - Student enrollment</t>
  </si>
  <si>
    <t>WAC 392-122-510</t>
  </si>
  <si>
    <t>K-3 Class Size - Teachers</t>
  </si>
  <si>
    <t>WAC 392-122-520</t>
  </si>
  <si>
    <t>K-3 Class Size - Calculation</t>
  </si>
  <si>
    <t>K-3 Class Size - Apportionment of state moneys</t>
  </si>
  <si>
    <t>WAC 392-122-515</t>
  </si>
  <si>
    <t xml:space="preserve">melissa.jarmon@k12.wa.us. </t>
  </si>
  <si>
    <t>2021-22</t>
  </si>
  <si>
    <t>27902</t>
  </si>
  <si>
    <t>04901</t>
  </si>
  <si>
    <t>Pinnacles Prep Wenatchee</t>
  </si>
  <si>
    <t>38901</t>
  </si>
  <si>
    <t>Pullman Community Montessori</t>
  </si>
  <si>
    <t>Rainier Valley Leadership Academy (Green Dot: RV)</t>
  </si>
  <si>
    <t>37902</t>
  </si>
  <si>
    <t>Whatcom Intergenerational</t>
  </si>
  <si>
    <t>17917</t>
  </si>
  <si>
    <t>2022-23</t>
  </si>
  <si>
    <t>Funded SpEd Teacher</t>
  </si>
  <si>
    <t>Program 01 FTEs</t>
  </si>
  <si>
    <t>Program 21 FTEs</t>
  </si>
  <si>
    <t>Total Staffing FTEs</t>
  </si>
  <si>
    <t>Occupational Therapist</t>
  </si>
  <si>
    <t>Behavior Analyst</t>
  </si>
  <si>
    <t>CIS</t>
  </si>
  <si>
    <t>CLS</t>
  </si>
  <si>
    <t>CIS Base</t>
  </si>
  <si>
    <t>CIS Inc</t>
  </si>
  <si>
    <t>CLS Base</t>
  </si>
  <si>
    <t>CLS Inc</t>
  </si>
  <si>
    <t>CIS Benefits Base</t>
  </si>
  <si>
    <t>CIS Benefits Inc</t>
  </si>
  <si>
    <t>CLS Benefits Base</t>
  </si>
  <si>
    <t>CLS Benefits Inc</t>
  </si>
  <si>
    <t>CIS Staff Units</t>
  </si>
  <si>
    <t>CLS Staff Units</t>
  </si>
  <si>
    <t>CIS Ins Inc</t>
  </si>
  <si>
    <t>CLS Ins Inc</t>
  </si>
  <si>
    <t>Salary &amp; Benefits</t>
  </si>
  <si>
    <t>Funded Prog 21 FTEs</t>
  </si>
  <si>
    <t>Total Actual Staff Units Above</t>
  </si>
  <si>
    <t>Prototypical Funded Staff Units</t>
  </si>
  <si>
    <t>State Funded Prototypical Staffing Units</t>
  </si>
  <si>
    <t>Staffing Ratio and Allocation Variance</t>
  </si>
  <si>
    <t>Maximum Calculated Staff Units</t>
  </si>
  <si>
    <r>
      <t xml:space="preserve">Enrollment X Staff Units ÷ Proto Enroll of </t>
    </r>
    <r>
      <rPr>
        <sz val="11"/>
        <color rgb="FF0070C0"/>
        <rFont val="Calibri"/>
        <family val="2"/>
        <scheme val="minor"/>
      </rPr>
      <t>400</t>
    </r>
  </si>
  <si>
    <t>High School Compliance</t>
  </si>
  <si>
    <t>Elementary</t>
  </si>
  <si>
    <t>Middle</t>
  </si>
  <si>
    <t>High</t>
  </si>
  <si>
    <t>Difference</t>
  </si>
  <si>
    <r>
      <t xml:space="preserve">Enrollment X Staff Units ÷ Proto Enroll of </t>
    </r>
    <r>
      <rPr>
        <sz val="11"/>
        <color rgb="FF0070C0"/>
        <rFont val="Calibri"/>
        <family val="2"/>
        <scheme val="minor"/>
      </rPr>
      <t>600</t>
    </r>
  </si>
  <si>
    <t>126ACIS</t>
  </si>
  <si>
    <t>126ACLS</t>
  </si>
  <si>
    <t>Duty Root</t>
  </si>
  <si>
    <t>Activity</t>
  </si>
  <si>
    <t>Description</t>
  </si>
  <si>
    <t>Staff Type</t>
  </si>
  <si>
    <t>Orientation &amp; Mobility Specialist</t>
  </si>
  <si>
    <t>All</t>
  </si>
  <si>
    <t>Speech, Language Pathway/Audio</t>
  </si>
  <si>
    <t>Social Worker</t>
  </si>
  <si>
    <t>Psychologist</t>
  </si>
  <si>
    <t>Nurse</t>
  </si>
  <si>
    <t>Physical Therapist</t>
  </si>
  <si>
    <t>Contractor ESA</t>
  </si>
  <si>
    <t>Title</t>
  </si>
  <si>
    <t>Activity Code</t>
  </si>
  <si>
    <t>Program 97 FTEs</t>
  </si>
  <si>
    <t>Family Engagement Coordinator</t>
  </si>
  <si>
    <t>91-99</t>
  </si>
  <si>
    <t>Counselor</t>
  </si>
  <si>
    <t>Health/Related Services</t>
  </si>
  <si>
    <t>01</t>
  </si>
  <si>
    <t>25</t>
  </si>
  <si>
    <t>26</t>
  </si>
  <si>
    <t>21</t>
  </si>
  <si>
    <t>1</t>
  </si>
  <si>
    <t>42</t>
  </si>
  <si>
    <t>24</t>
  </si>
  <si>
    <t>43</t>
  </si>
  <si>
    <t>45</t>
  </si>
  <si>
    <t>46</t>
  </si>
  <si>
    <t>97</t>
  </si>
  <si>
    <t>47</t>
  </si>
  <si>
    <t>48</t>
  </si>
  <si>
    <t>44</t>
  </si>
  <si>
    <t>64</t>
  </si>
  <si>
    <t>49</t>
  </si>
  <si>
    <t>39</t>
  </si>
  <si>
    <t>Prog 01 Elem</t>
  </si>
  <si>
    <t>Prog 97 Elem</t>
  </si>
  <si>
    <t>Prog 21 Elem</t>
  </si>
  <si>
    <t>Column Labels</t>
  </si>
  <si>
    <t>Row Labels</t>
  </si>
  <si>
    <t>Grand Total</t>
  </si>
  <si>
    <t>Prog 01 High</t>
  </si>
  <si>
    <t>Prog 97 High</t>
  </si>
  <si>
    <t>Prog 21 High</t>
  </si>
  <si>
    <t>Middle School Compliance</t>
  </si>
  <si>
    <t>Elementary School Compliance</t>
  </si>
  <si>
    <t>00000</t>
  </si>
  <si>
    <t>Item Codes in F203</t>
  </si>
  <si>
    <t>To calculate your anticipated K-3 compliance reports follow these steps:</t>
  </si>
  <si>
    <t>Physical, Social and Emotional Support (PSES) Staff Calculation Tool</t>
  </si>
  <si>
    <t>To calculate your anticipated PSES compliance follow these steps:</t>
  </si>
  <si>
    <t xml:space="preserve">**Enroll and staff units updated with </t>
  </si>
  <si>
    <t xml:space="preserve">This tool is provided so that districts can input their K-3 teacher and student data to calculate anticipated actual K-3 class size </t>
  </si>
  <si>
    <t xml:space="preserve">    (staff hired after Oct 1 and not included on the S-275).</t>
  </si>
  <si>
    <t>What if PSES compliance is not met:</t>
  </si>
  <si>
    <t xml:space="preserve">    anticipated student and teacher FTE, and any supplemental staff (staff hired after Oct 1 and not included on the S-275).</t>
  </si>
  <si>
    <r>
      <t xml:space="preserve">Enrollment X Staff Units ÷ Proto Enroll of </t>
    </r>
    <r>
      <rPr>
        <sz val="11"/>
        <color rgb="FF0070C0"/>
        <rFont val="Calibri"/>
        <family val="2"/>
        <scheme val="minor"/>
      </rPr>
      <t>432</t>
    </r>
  </si>
  <si>
    <t>WAC 392-122-500</t>
  </si>
  <si>
    <t>WAC 392-122-5105</t>
  </si>
  <si>
    <t>** CTE, Skill Center, ALE, Open Doors, and Running Start are not included in enrollment data.</t>
  </si>
  <si>
    <t>**ALE (Program 02) and Open Doors/Dropout Re-engagement (Program 03) are not included in staffing calculations.</t>
  </si>
  <si>
    <t>Supplemental/Contractor Program 01 FTEs</t>
  </si>
  <si>
    <t>Supplemental/Contractor Program 97 FTEs</t>
  </si>
  <si>
    <t>Supplemental/Contractor Program 21 FTEs</t>
  </si>
  <si>
    <t>Supplemental Funded Prog 21 FTEs</t>
  </si>
  <si>
    <t>PLD</t>
  </si>
  <si>
    <t>* Salary, Benefits &amp; PLD</t>
  </si>
  <si>
    <t>Salary, Benefits &amp; PLD</t>
  </si>
  <si>
    <t>Exp</t>
  </si>
  <si>
    <t>Reg</t>
  </si>
  <si>
    <t>Safety</t>
  </si>
  <si>
    <t>Health</t>
  </si>
  <si>
    <t>Sum of PS39E</t>
  </si>
  <si>
    <t>Sum of PS42E</t>
  </si>
  <si>
    <t>Sum of PS43E</t>
  </si>
  <si>
    <t>Sum of PS44E</t>
  </si>
  <si>
    <t>Sum of PS45E</t>
  </si>
  <si>
    <t>Sum of PS46E</t>
  </si>
  <si>
    <t>Sum of PS47E</t>
  </si>
  <si>
    <t>Sum of PS48E</t>
  </si>
  <si>
    <t>Sum of PS49E</t>
  </si>
  <si>
    <t>Sum of PS64E</t>
  </si>
  <si>
    <t>Sum of PS24E</t>
  </si>
  <si>
    <t>Sum of PS25E</t>
  </si>
  <si>
    <t>Sum of PS26E</t>
  </si>
  <si>
    <t>Sum of PS39E97</t>
  </si>
  <si>
    <t>Sum of PS42E97</t>
  </si>
  <si>
    <t>Sum of PS43E97</t>
  </si>
  <si>
    <t>Sum of PS44E97</t>
  </si>
  <si>
    <t>Sum of PS45E97</t>
  </si>
  <si>
    <t>Sum of PS46E97</t>
  </si>
  <si>
    <t>Sum of PS48E97</t>
  </si>
  <si>
    <t>Sum of PS47E97</t>
  </si>
  <si>
    <t>Sum of PS49E97</t>
  </si>
  <si>
    <t>Sum of PS64E97</t>
  </si>
  <si>
    <t>Sum of PS24E97</t>
  </si>
  <si>
    <t>Sum of PS25E97</t>
  </si>
  <si>
    <t>Sum of PS26E97</t>
  </si>
  <si>
    <t>Sum of PS39E21</t>
  </si>
  <si>
    <t>Sum of PS42E21</t>
  </si>
  <si>
    <t>Sum of PS43E21</t>
  </si>
  <si>
    <t>Sum of PS44E21</t>
  </si>
  <si>
    <t>Sum of PS45E21</t>
  </si>
  <si>
    <t>Sum of PS46E21</t>
  </si>
  <si>
    <t>Sum of PS47E21</t>
  </si>
  <si>
    <t>Sum of PS48E21</t>
  </si>
  <si>
    <t>Sum of PS49E21</t>
  </si>
  <si>
    <t>Sum of PS64E21</t>
  </si>
  <si>
    <t>Sum of PS24E21</t>
  </si>
  <si>
    <t>Sum of PS25E21</t>
  </si>
  <si>
    <t>Sum of PS26E21</t>
  </si>
  <si>
    <t>Prog 01 Mid</t>
  </si>
  <si>
    <t>Sum of PS39M</t>
  </si>
  <si>
    <t>Sum of PS42M</t>
  </si>
  <si>
    <t>Sum of PS43M</t>
  </si>
  <si>
    <t>Sum of PS44M</t>
  </si>
  <si>
    <t>Sum of PS45M</t>
  </si>
  <si>
    <t>Sum of PS46M</t>
  </si>
  <si>
    <t>Sum of PS47M</t>
  </si>
  <si>
    <t>Sum of PS48M</t>
  </si>
  <si>
    <t>Sum of PS49M</t>
  </si>
  <si>
    <t>Sum of PS64M</t>
  </si>
  <si>
    <t>Sum of PS24M</t>
  </si>
  <si>
    <t>Sum of PS25M</t>
  </si>
  <si>
    <t>Prog 97 Mid</t>
  </si>
  <si>
    <t>Sum of PS39M97</t>
  </si>
  <si>
    <t>Sum of PS42M97</t>
  </si>
  <si>
    <t>Sum of PS43M97</t>
  </si>
  <si>
    <t>Sum of PS44M97</t>
  </si>
  <si>
    <t>Sum of PS45M97</t>
  </si>
  <si>
    <t>Sum of PS46M97</t>
  </si>
  <si>
    <t>Sum of PS47M97</t>
  </si>
  <si>
    <t>Sum of PS48M97</t>
  </si>
  <si>
    <t>Sum of PS49M97</t>
  </si>
  <si>
    <t>Sum of PS64M97</t>
  </si>
  <si>
    <t>Sum of PS24M97</t>
  </si>
  <si>
    <t>Sum of PS25M97</t>
  </si>
  <si>
    <t>Sum of PS26M97</t>
  </si>
  <si>
    <t>Prog 21 Mid</t>
  </si>
  <si>
    <t>Sum of PS39M21</t>
  </si>
  <si>
    <t>Sum of PS42M21</t>
  </si>
  <si>
    <t>Sum of PS43M21</t>
  </si>
  <si>
    <t>Sum of PS44M21</t>
  </si>
  <si>
    <t>Sum of PS45M21</t>
  </si>
  <si>
    <t>Sum of PS46M21</t>
  </si>
  <si>
    <t>Sum of PS47M21</t>
  </si>
  <si>
    <t>Sum of PS48M21</t>
  </si>
  <si>
    <t>Sum of PS49M21</t>
  </si>
  <si>
    <t>Sum of PS25M21</t>
  </si>
  <si>
    <t>Sum of PS26M21</t>
  </si>
  <si>
    <t>Sum of PS39H21</t>
  </si>
  <si>
    <t>Sum of PS24M21</t>
  </si>
  <si>
    <t>Sum of PS64M21</t>
  </si>
  <si>
    <t>Sum of PS39H</t>
  </si>
  <si>
    <t>Sum of PS42H</t>
  </si>
  <si>
    <t>Sum of PS43H</t>
  </si>
  <si>
    <t>Sum of PS44H</t>
  </si>
  <si>
    <t>Sum of PS45H</t>
  </si>
  <si>
    <t>Sum of PS46H</t>
  </si>
  <si>
    <t>Sum of PS47H</t>
  </si>
  <si>
    <t>Sum of PS48H</t>
  </si>
  <si>
    <t>Sum of PS49H</t>
  </si>
  <si>
    <t>Sum of PS64H</t>
  </si>
  <si>
    <t>Sum of PS24H</t>
  </si>
  <si>
    <t>Sum of PS25H</t>
  </si>
  <si>
    <t>Sum of PS26H</t>
  </si>
  <si>
    <t>Sum of PS39H97</t>
  </si>
  <si>
    <t>Sum of PS42H97</t>
  </si>
  <si>
    <t>Sum of PS43H97</t>
  </si>
  <si>
    <t>Sum of PS44H97</t>
  </si>
  <si>
    <t>Sum of PS45H97</t>
  </si>
  <si>
    <t>Sum of PS46H97</t>
  </si>
  <si>
    <t>Sum of PS47H97</t>
  </si>
  <si>
    <t>Sum of PS48H97</t>
  </si>
  <si>
    <t>Sum of PS49H97</t>
  </si>
  <si>
    <t>Sum of PS64H97</t>
  </si>
  <si>
    <t>Sum of PS24H97</t>
  </si>
  <si>
    <t>Sum of PS25H97</t>
  </si>
  <si>
    <t>Sum of PS26H97</t>
  </si>
  <si>
    <t>Sum of PS42H21</t>
  </si>
  <si>
    <t>Sum of PS43H21</t>
  </si>
  <si>
    <t>Sum of PS44H21</t>
  </si>
  <si>
    <t>Sum of PS45H21</t>
  </si>
  <si>
    <t>Sum of PS46H21</t>
  </si>
  <si>
    <t>Sum of PS47H21</t>
  </si>
  <si>
    <t>Sum of PS48H21</t>
  </si>
  <si>
    <t>Sum of PS49H21</t>
  </si>
  <si>
    <t>Sum of PS64H21</t>
  </si>
  <si>
    <t>Sum of PS24H21</t>
  </si>
  <si>
    <t>Sum of PS25H21</t>
  </si>
  <si>
    <t>Sum of PS26H21</t>
  </si>
  <si>
    <t>Occupa-tional Therapist</t>
  </si>
  <si>
    <t>Speech, Language Pathway/
Audio</t>
  </si>
  <si>
    <t>Psycho-logist</t>
  </si>
  <si>
    <t>Family Engage-ment Coor-dinator</t>
  </si>
  <si>
    <t>Health/
Related Services</t>
  </si>
  <si>
    <t>Grade Grouping</t>
  </si>
  <si>
    <t>Program</t>
  </si>
  <si>
    <t>Item Code</t>
  </si>
  <si>
    <t>PS39E</t>
  </si>
  <si>
    <t>PS42E</t>
  </si>
  <si>
    <t>PS43E</t>
  </si>
  <si>
    <t>PS44E</t>
  </si>
  <si>
    <t>PS45E</t>
  </si>
  <si>
    <t>PS46E</t>
  </si>
  <si>
    <t>PS47E</t>
  </si>
  <si>
    <t>PS48E</t>
  </si>
  <si>
    <t>PS49E</t>
  </si>
  <si>
    <t>PS64E</t>
  </si>
  <si>
    <t>PS24E</t>
  </si>
  <si>
    <t>PS25E</t>
  </si>
  <si>
    <t>PS26E</t>
  </si>
  <si>
    <t>PS39M</t>
  </si>
  <si>
    <t>PS42M</t>
  </si>
  <si>
    <t>PS43M</t>
  </si>
  <si>
    <t>PS44M</t>
  </si>
  <si>
    <t>PS45M</t>
  </si>
  <si>
    <t>PS46M</t>
  </si>
  <si>
    <t>PS47M</t>
  </si>
  <si>
    <t>PS48M</t>
  </si>
  <si>
    <t>PS49M</t>
  </si>
  <si>
    <t>PS64M</t>
  </si>
  <si>
    <t>PS24M</t>
  </si>
  <si>
    <t>PS25M</t>
  </si>
  <si>
    <t>PS26M</t>
  </si>
  <si>
    <t>PS39H</t>
  </si>
  <si>
    <t>PS42H</t>
  </si>
  <si>
    <t>PS43H</t>
  </si>
  <si>
    <t>PS44H</t>
  </si>
  <si>
    <t>PS45H</t>
  </si>
  <si>
    <t>PS46H</t>
  </si>
  <si>
    <t>PS47H</t>
  </si>
  <si>
    <t>PS48H</t>
  </si>
  <si>
    <t>PS49H</t>
  </si>
  <si>
    <t>PS64H</t>
  </si>
  <si>
    <t>PS24H</t>
  </si>
  <si>
    <t>PS25H</t>
  </si>
  <si>
    <t>PS26H</t>
  </si>
  <si>
    <t>PS39E97</t>
  </si>
  <si>
    <t>PS42E97</t>
  </si>
  <si>
    <t>PS43E97</t>
  </si>
  <si>
    <t>PS44E97</t>
  </si>
  <si>
    <t>PS45E97</t>
  </si>
  <si>
    <t>PS46E97</t>
  </si>
  <si>
    <t>PS47E97</t>
  </si>
  <si>
    <t>PS48E97</t>
  </si>
  <si>
    <t>PS49E97</t>
  </si>
  <si>
    <t>PS64E97</t>
  </si>
  <si>
    <t>PS24E97</t>
  </si>
  <si>
    <t>PS25E97</t>
  </si>
  <si>
    <t>PS26E97</t>
  </si>
  <si>
    <t>PS39M97</t>
  </si>
  <si>
    <t>PS42M97</t>
  </si>
  <si>
    <t>PS43M97</t>
  </si>
  <si>
    <t>PS44M97</t>
  </si>
  <si>
    <t>PS45M97</t>
  </si>
  <si>
    <t>PS46M97</t>
  </si>
  <si>
    <t>PS47M97</t>
  </si>
  <si>
    <t>PS48M97</t>
  </si>
  <si>
    <t>PS49M97</t>
  </si>
  <si>
    <t>PS64M97</t>
  </si>
  <si>
    <t>PS24M97</t>
  </si>
  <si>
    <t>PS25M97</t>
  </si>
  <si>
    <t>PS26M97</t>
  </si>
  <si>
    <t>PS39H97</t>
  </si>
  <si>
    <t>PS42H97</t>
  </si>
  <si>
    <t>PS43H97</t>
  </si>
  <si>
    <t>PS44H97</t>
  </si>
  <si>
    <t>PS45H97</t>
  </si>
  <si>
    <t>PS46H97</t>
  </si>
  <si>
    <t>PS47H97</t>
  </si>
  <si>
    <t>PS48H97</t>
  </si>
  <si>
    <t>PS49H97</t>
  </si>
  <si>
    <t>PS64H97</t>
  </si>
  <si>
    <t>PS24H97</t>
  </si>
  <si>
    <t>PS25H97</t>
  </si>
  <si>
    <t>PS26H97</t>
  </si>
  <si>
    <t>PS39E21</t>
  </si>
  <si>
    <t>PS42E21</t>
  </si>
  <si>
    <t>PS43E21</t>
  </si>
  <si>
    <t>PS44E21</t>
  </si>
  <si>
    <t>PS45E21</t>
  </si>
  <si>
    <t>PS46E21</t>
  </si>
  <si>
    <t>PS47E21</t>
  </si>
  <si>
    <t>PS48E21</t>
  </si>
  <si>
    <t>PS49E21</t>
  </si>
  <si>
    <t>PS64E21</t>
  </si>
  <si>
    <t>PS24E21</t>
  </si>
  <si>
    <t>PS25E21</t>
  </si>
  <si>
    <t>PS26E21</t>
  </si>
  <si>
    <t>PS39M21</t>
  </si>
  <si>
    <t>PS42M21</t>
  </si>
  <si>
    <t>PS43M21</t>
  </si>
  <si>
    <t>PS44M21</t>
  </si>
  <si>
    <t>PS45M21</t>
  </si>
  <si>
    <t>PS46M21</t>
  </si>
  <si>
    <t>PS47M21</t>
  </si>
  <si>
    <t>PS48M21</t>
  </si>
  <si>
    <t>PS49M21</t>
  </si>
  <si>
    <t>PS64M21</t>
  </si>
  <si>
    <t>PS24M21</t>
  </si>
  <si>
    <t>PS25M21</t>
  </si>
  <si>
    <t>PS26M21</t>
  </si>
  <si>
    <t>PS39H21</t>
  </si>
  <si>
    <t>PS42H21</t>
  </si>
  <si>
    <t>PS43H21</t>
  </si>
  <si>
    <t>PS44H21</t>
  </si>
  <si>
    <t>PS45H21</t>
  </si>
  <si>
    <t>PS46H21</t>
  </si>
  <si>
    <t>PS47H21</t>
  </si>
  <si>
    <t>PS48H21</t>
  </si>
  <si>
    <t>PS49H21</t>
  </si>
  <si>
    <t>PS64H21</t>
  </si>
  <si>
    <t>PS24H21</t>
  </si>
  <si>
    <t>PS25H21</t>
  </si>
  <si>
    <t>PS26H21</t>
  </si>
  <si>
    <t xml:space="preserve">Total Mid Max CLS Staff </t>
  </si>
  <si>
    <t>CIS Units</t>
  </si>
  <si>
    <t>CIS Salary Base</t>
  </si>
  <si>
    <t>CIS Salary Inc</t>
  </si>
  <si>
    <t>CLS Units</t>
  </si>
  <si>
    <t>CLS Salary Base</t>
  </si>
  <si>
    <t>CLS Salary Inc</t>
  </si>
  <si>
    <t>CIS Insurance Inc</t>
  </si>
  <si>
    <t>CLS Insurance Inc</t>
  </si>
  <si>
    <t>Physical, Social, and Emotional Support (PSES) Supplemental and Contractor Forms</t>
  </si>
  <si>
    <t>If you have any questions on this tool contact Melissa Jarmon at 360-725-6315 or</t>
  </si>
  <si>
    <t>Nurses</t>
  </si>
  <si>
    <t>Social Workers</t>
  </si>
  <si>
    <t>Psychologists</t>
  </si>
  <si>
    <t>Counselors</t>
  </si>
  <si>
    <t>Student &amp; Staff Safety</t>
  </si>
  <si>
    <t>Parent Inv Coor</t>
  </si>
  <si>
    <t>Total CIS Allocation</t>
  </si>
  <si>
    <t>Total CLS Allocation</t>
  </si>
  <si>
    <t>act 25</t>
  </si>
  <si>
    <t>act 26</t>
  </si>
  <si>
    <t>act 24</t>
  </si>
  <si>
    <t>Total Cert Staff</t>
  </si>
  <si>
    <t>Total 
Class Staff</t>
  </si>
  <si>
    <t>Orient &amp; Mob Sp</t>
  </si>
  <si>
    <t>Occup Therapist</t>
  </si>
  <si>
    <t>Speech, Lang Path / Audio</t>
  </si>
  <si>
    <t>Pysical Therapist</t>
  </si>
  <si>
    <t>Family Engagement</t>
  </si>
  <si>
    <t>Pupil Safety</t>
  </si>
  <si>
    <t>Health Services</t>
  </si>
  <si>
    <t>Sum of PS26M</t>
  </si>
  <si>
    <t>Contractor (21)</t>
  </si>
  <si>
    <t>Contractor (01)</t>
  </si>
  <si>
    <t>Contractor (97)</t>
  </si>
  <si>
    <t>(All)</t>
  </si>
  <si>
    <t>Family Engag</t>
  </si>
  <si>
    <t>Health Svcs</t>
  </si>
  <si>
    <t xml:space="preserve">Total Max CIS Staff </t>
  </si>
  <si>
    <t>Total Actual CIS Staff</t>
  </si>
  <si>
    <t>Total Actual CLS Staff</t>
  </si>
  <si>
    <t>CIS Difference</t>
  </si>
  <si>
    <t>CLS Difference</t>
  </si>
  <si>
    <t># of Contractors</t>
  </si>
  <si>
    <t>% Of Total Contractors</t>
  </si>
  <si>
    <t>% of ESA Staff</t>
  </si>
  <si>
    <t>Total Net Compliance</t>
  </si>
  <si>
    <t>Charter / Tribal / District</t>
  </si>
  <si>
    <t>SD</t>
  </si>
  <si>
    <t>Tribal</t>
  </si>
  <si>
    <t>CIS Staff deduction</t>
  </si>
  <si>
    <t>CLS Staff deduction</t>
  </si>
  <si>
    <t>% Cert headcount 
w/ ESA Certs</t>
  </si>
  <si>
    <t>Total State Allocated</t>
  </si>
  <si>
    <t>Total PSES Reported Staff</t>
  </si>
  <si>
    <t>State Summary</t>
  </si>
  <si>
    <t>State</t>
  </si>
  <si>
    <t>Charter</t>
  </si>
  <si>
    <t>Program 21 Contractors</t>
  </si>
  <si>
    <t>Total Contractors</t>
  </si>
  <si>
    <t>Certificated Staffing Unit Reduction</t>
  </si>
  <si>
    <t>Classified Staffing Unit Reduction</t>
  </si>
  <si>
    <t>Total Max CIS &amp; CLS Staff</t>
  </si>
  <si>
    <t>Total Actual CIS &amp; CLS Staff</t>
  </si>
  <si>
    <t>Total Staff Diff</t>
  </si>
  <si>
    <t>Units</t>
  </si>
  <si>
    <t>126ACIS
PSES CIS Staffing Reduction</t>
  </si>
  <si>
    <t>126ACLS
PSES CLS Staffing Reduction</t>
  </si>
  <si>
    <t>Diff</t>
  </si>
  <si>
    <t>(blank)</t>
  </si>
  <si>
    <t>TK Students</t>
  </si>
  <si>
    <t>S275 Data</t>
  </si>
  <si>
    <t>Supplemental Data</t>
  </si>
  <si>
    <t>Program 01 Basic Ed</t>
  </si>
  <si>
    <t>Program 09 TK</t>
  </si>
  <si>
    <t>Program 21 SpEd</t>
  </si>
  <si>
    <t>2023-24</t>
  </si>
  <si>
    <t>06901</t>
  </si>
  <si>
    <t>Rooted Schools</t>
  </si>
  <si>
    <t>Impact | Puget Sound Elementary</t>
  </si>
  <si>
    <t>Impact | Salish Sea Elementary</t>
  </si>
  <si>
    <t>Impact | Commencement Bay Elementary</t>
  </si>
  <si>
    <t>17919</t>
  </si>
  <si>
    <t>Impact | Black River Elementary</t>
  </si>
  <si>
    <t>Paschal Sherman Tribal</t>
  </si>
  <si>
    <t>Sumner-Bonney Lake School District</t>
  </si>
  <si>
    <t>Why Not You Academy</t>
  </si>
  <si>
    <t>PS39E09</t>
  </si>
  <si>
    <t>PS42E09</t>
  </si>
  <si>
    <t>PS43E09</t>
  </si>
  <si>
    <t>PS44E09</t>
  </si>
  <si>
    <t>PS45E09</t>
  </si>
  <si>
    <t>PS46E09</t>
  </si>
  <si>
    <t>PS47E09</t>
  </si>
  <si>
    <t>PS48E09</t>
  </si>
  <si>
    <t>PS49E09</t>
  </si>
  <si>
    <t>PS64E09</t>
  </si>
  <si>
    <t>PS24E09</t>
  </si>
  <si>
    <t>PS25E09</t>
  </si>
  <si>
    <t>PS26E09</t>
  </si>
  <si>
    <t>09</t>
  </si>
  <si>
    <t>TK</t>
  </si>
  <si>
    <t>Prog 09 Elem</t>
  </si>
  <si>
    <t>Sum of PS39E09</t>
  </si>
  <si>
    <t>Sum of PS42E09</t>
  </si>
  <si>
    <t>Sum of PS43E09</t>
  </si>
  <si>
    <t>Sum of PS45E09</t>
  </si>
  <si>
    <t>Sum of PS44E09</t>
  </si>
  <si>
    <t>Sum of PS46E09</t>
  </si>
  <si>
    <t>Sum of PS47E09</t>
  </si>
  <si>
    <t>Sum of PS48E09</t>
  </si>
  <si>
    <t>Sum of PS49E09</t>
  </si>
  <si>
    <t>Sum of PS64E09</t>
  </si>
  <si>
    <t>Sum of PS24E09</t>
  </si>
  <si>
    <t>Sum of PS25E09</t>
  </si>
  <si>
    <t>Sum of PS26E09</t>
  </si>
  <si>
    <t>2023-24 AAFTE</t>
  </si>
  <si>
    <t>If grade span data in S275 is anything other than T, K, 1, 2, 3, 4, 5, 6, 7, 8, 9, 10, 11, 12, E, M, H they are included into the High School Calculator.</t>
  </si>
  <si>
    <t xml:space="preserve">     will have their funding adjusted by entering a reduction of Staff Units.</t>
  </si>
  <si>
    <t>Program 09 FTEs</t>
  </si>
  <si>
    <t>Supplemental/Contractor Program 09 FTEs</t>
  </si>
  <si>
    <t>S275 Program 01 FTEs</t>
  </si>
  <si>
    <t>S275 Program 09 FTEs</t>
  </si>
  <si>
    <t>S275 Program 97 FTEs</t>
  </si>
  <si>
    <t>S275 Program 21 FTEs</t>
  </si>
  <si>
    <t>Teachers TK
Prog 09</t>
  </si>
  <si>
    <t>Supp Teachers 
Prog 01</t>
  </si>
  <si>
    <t>Supp Teachers
Prog 09</t>
  </si>
  <si>
    <t>Supp Teachers 
Prog 21</t>
  </si>
  <si>
    <t>Pupil Management</t>
  </si>
  <si>
    <t>35</t>
  </si>
  <si>
    <t>PS35E</t>
  </si>
  <si>
    <t>PS35H</t>
  </si>
  <si>
    <t>PS35H97</t>
  </si>
  <si>
    <t>PS35H21</t>
  </si>
  <si>
    <t>PS35E09</t>
  </si>
  <si>
    <t>Sum of PS35E</t>
  </si>
  <si>
    <t>PS35M</t>
  </si>
  <si>
    <t>PS35E97</t>
  </si>
  <si>
    <t>PS35M97</t>
  </si>
  <si>
    <t>PS35E21</t>
  </si>
  <si>
    <t>PS35M21</t>
  </si>
  <si>
    <t>Sum of PS35E97</t>
  </si>
  <si>
    <t>Sum of PS35E21</t>
  </si>
  <si>
    <t>Sum of PS35E09</t>
  </si>
  <si>
    <t>Sum of PS35M</t>
  </si>
  <si>
    <t>Sum of PS35M97</t>
  </si>
  <si>
    <t>Sum of PS35M21</t>
  </si>
  <si>
    <t>Sum of PS35H</t>
  </si>
  <si>
    <t>Sum of PS35H97</t>
  </si>
  <si>
    <t>Sum of PS35H21</t>
  </si>
  <si>
    <t>K-3 Enroll</t>
  </si>
  <si>
    <t>TK Enroll</t>
  </si>
  <si>
    <t>Teacher FTE Program 01</t>
  </si>
  <si>
    <t>Teacher FTE Program 21</t>
  </si>
  <si>
    <t>Teacher FTE Program 09</t>
  </si>
  <si>
    <t>Supplemental Teacher Program 01</t>
  </si>
  <si>
    <t>Supplemental Teacher Program 21</t>
  </si>
  <si>
    <t>Supplemental Teacher Program 09</t>
  </si>
  <si>
    <t>OSPILegacyCode</t>
  </si>
  <si>
    <t>ItemCode</t>
  </si>
  <si>
    <t>Amount</t>
  </si>
  <si>
    <t>OrganizationName</t>
  </si>
  <si>
    <t>District Enroll</t>
  </si>
  <si>
    <t>042A</t>
  </si>
  <si>
    <t>043A</t>
  </si>
  <si>
    <t>044A</t>
  </si>
  <si>
    <t>Sum of Amount</t>
  </si>
  <si>
    <t>045A</t>
  </si>
  <si>
    <t>Z271</t>
  </si>
  <si>
    <t>048A</t>
  </si>
  <si>
    <t>050A</t>
  </si>
  <si>
    <t>Enroll K</t>
  </si>
  <si>
    <t>046A</t>
  </si>
  <si>
    <t>049A</t>
  </si>
  <si>
    <t>051A</t>
  </si>
  <si>
    <t>GR K-3 Ancin &amp; Summ</t>
  </si>
  <si>
    <t>047A</t>
  </si>
  <si>
    <t>E54</t>
  </si>
  <si>
    <t>E55</t>
  </si>
  <si>
    <t>Enroll 1-3</t>
  </si>
  <si>
    <t>E56</t>
  </si>
  <si>
    <t>Gr 4 Ancin &amp; Summ</t>
  </si>
  <si>
    <t>E57</t>
  </si>
  <si>
    <t>Enroll 4</t>
  </si>
  <si>
    <t>GR 5-6  Ancin &amp; Summ</t>
  </si>
  <si>
    <t>Enroll 5-6</t>
  </si>
  <si>
    <t>TKZ271</t>
  </si>
  <si>
    <t>Enroll TK</t>
  </si>
  <si>
    <t>GR 7-8 Ancin &amp; Summ</t>
  </si>
  <si>
    <t>Enroll 7-8</t>
  </si>
  <si>
    <t>Gr 9-12 Ancin &amp; Summ</t>
  </si>
  <si>
    <t>Enroll 9-12</t>
  </si>
  <si>
    <t>CTE 7-8</t>
  </si>
  <si>
    <t>CTE 9-12</t>
  </si>
  <si>
    <t>Enroll 9-12 CTE Prep</t>
  </si>
  <si>
    <t>Skills</t>
  </si>
  <si>
    <t>CASHMERE SCHOOL DISTRICT</t>
  </si>
  <si>
    <t>Chief Leschi Tribal Compact</t>
  </si>
  <si>
    <t>06701</t>
  </si>
  <si>
    <t>ESA 112</t>
  </si>
  <si>
    <t>Lumen Public School</t>
  </si>
  <si>
    <t xml:space="preserve">Nespelem School District  </t>
  </si>
  <si>
    <t>Paschal Sherman Indian School</t>
  </si>
  <si>
    <t>Pinnacles Prep</t>
  </si>
  <si>
    <t>PRIDE Prep Charter School District</t>
  </si>
  <si>
    <t>Quileute Tribal School District</t>
  </si>
  <si>
    <t>Rainier Prep Charter School District</t>
  </si>
  <si>
    <t xml:space="preserve">Rainier Valley Leadership Academy </t>
  </si>
  <si>
    <t>Rooted School Vancouver</t>
  </si>
  <si>
    <t>Spokane International Academy</t>
  </si>
  <si>
    <t>Summit Public School: Atlas</t>
  </si>
  <si>
    <t>Summit Public School: Olympus</t>
  </si>
  <si>
    <t>Summit Public School: Sierra</t>
  </si>
  <si>
    <t>WA HE LUT Indian School Agency</t>
  </si>
  <si>
    <t>Whatcom Intergenerational High School</t>
  </si>
  <si>
    <t>Why Not You Academy (formerly Cascade: Midway charter)</t>
  </si>
  <si>
    <t>Yakama Nation Tribal Compact</t>
  </si>
  <si>
    <t>24915</t>
  </si>
  <si>
    <t>Pivot used for Enroll Data sheet</t>
  </si>
  <si>
    <t>Pupil Mgt</t>
  </si>
  <si>
    <t>act 35</t>
  </si>
  <si>
    <t>Enroll 7-8
Total</t>
  </si>
  <si>
    <t>Enroll 9-12
Total</t>
  </si>
  <si>
    <t>Enroll TK-6
Total</t>
  </si>
  <si>
    <t>AMOUNT</t>
  </si>
  <si>
    <t>Import_detail</t>
  </si>
  <si>
    <t>OrganizationId</t>
  </si>
  <si>
    <t>SnapshotType</t>
  </si>
  <si>
    <t>Code</t>
  </si>
  <si>
    <t>Name</t>
  </si>
  <si>
    <t>DutyRoot</t>
  </si>
  <si>
    <t>Month</t>
  </si>
  <si>
    <t>Calculated 21 Units</t>
  </si>
  <si>
    <t>PS42MS</t>
  </si>
  <si>
    <t>&lt;&lt;--Import_Data__Detail_Data--&gt;&gt;</t>
  </si>
  <si>
    <t>Personnel</t>
  </si>
  <si>
    <t xml:space="preserve">M </t>
  </si>
  <si>
    <t>Middle Grade Group 7-8</t>
  </si>
  <si>
    <t>PSES Mid Prog01Duty42 S275</t>
  </si>
  <si>
    <t xml:space="preserve">   </t>
  </si>
  <si>
    <t>PS42HS</t>
  </si>
  <si>
    <t xml:space="preserve">H </t>
  </si>
  <si>
    <t>High Grade Group 9-12</t>
  </si>
  <si>
    <t>PSES High Prog01Duty42 S275</t>
  </si>
  <si>
    <t>Sum of AMOUNT</t>
  </si>
  <si>
    <t>PS42ES</t>
  </si>
  <si>
    <t xml:space="preserve">E </t>
  </si>
  <si>
    <t>Elementary Grade Group K-6</t>
  </si>
  <si>
    <t>PSES Elem Prog01Duty42 S275</t>
  </si>
  <si>
    <t>Sum of Calculated 21 Units</t>
  </si>
  <si>
    <t>Prog 01</t>
  </si>
  <si>
    <t>Prog 09</t>
  </si>
  <si>
    <t>Prog 97</t>
  </si>
  <si>
    <t>Total Calc Staff</t>
  </si>
  <si>
    <t>PS24MS</t>
  </si>
  <si>
    <t>PSES Mid Prog01Duty96 S275</t>
  </si>
  <si>
    <t>PS24HS</t>
  </si>
  <si>
    <t>PSES High Prog01Duty96 S275</t>
  </si>
  <si>
    <t>PS24E21S</t>
  </si>
  <si>
    <t>PS43E21S</t>
  </si>
  <si>
    <t>PS25H97S</t>
  </si>
  <si>
    <t>PS26MS</t>
  </si>
  <si>
    <t>PSES Mid Prog01Act26 S275</t>
  </si>
  <si>
    <t>PS24E97S</t>
  </si>
  <si>
    <t>PS45E21S</t>
  </si>
  <si>
    <t>PS26HS</t>
  </si>
  <si>
    <t>PSES High Prog01Act26 S275</t>
  </si>
  <si>
    <t>PS24ES</t>
  </si>
  <si>
    <t>PS46E21S</t>
  </si>
  <si>
    <t>PS25HS</t>
  </si>
  <si>
    <t>PSES High Prog01Act25 S275</t>
  </si>
  <si>
    <t>PS25E21S</t>
  </si>
  <si>
    <t>PS48E21S</t>
  </si>
  <si>
    <t>PS43M21S</t>
  </si>
  <si>
    <t>PSES Mid Prog21Duty43 S275</t>
  </si>
  <si>
    <t>PS25E97S</t>
  </si>
  <si>
    <t>PS64E21S</t>
  </si>
  <si>
    <t>PSES Elem Prog21Duty43 S275</t>
  </si>
  <si>
    <t>PS25ES</t>
  </si>
  <si>
    <t>PS46H21S</t>
  </si>
  <si>
    <t>PSES High Prog21Duty46 S275</t>
  </si>
  <si>
    <t>PS26E21S</t>
  </si>
  <si>
    <t>PS45M21S</t>
  </si>
  <si>
    <t>PS64M21S</t>
  </si>
  <si>
    <t>PSES Mid Prog21Duty64 S275</t>
  </si>
  <si>
    <t>PS26ES</t>
  </si>
  <si>
    <t>PS48M21S</t>
  </si>
  <si>
    <t>PS64H21S</t>
  </si>
  <si>
    <t>PSES High Prog21Duty64 S275</t>
  </si>
  <si>
    <t>PS39E21S</t>
  </si>
  <si>
    <t>PSES Elem Prog21Duty64 S275</t>
  </si>
  <si>
    <t>PS42E21S</t>
  </si>
  <si>
    <t>PS26M21S</t>
  </si>
  <si>
    <t>PSES Mid Prog21Act26 S275</t>
  </si>
  <si>
    <t>PS26H21S</t>
  </si>
  <si>
    <t>PSES High Prog21Act26 S275</t>
  </si>
  <si>
    <t>PS45H21S</t>
  </si>
  <si>
    <t>PSES Elem Prog21Act26 S275</t>
  </si>
  <si>
    <t>PS43ES</t>
  </si>
  <si>
    <t>PS44E21S</t>
  </si>
  <si>
    <t>PS48H21S</t>
  </si>
  <si>
    <t>PS44ES</t>
  </si>
  <si>
    <t>PS45ES</t>
  </si>
  <si>
    <t>PS46ES</t>
  </si>
  <si>
    <t>PS47E21S</t>
  </si>
  <si>
    <t>PS47ES</t>
  </si>
  <si>
    <t>PSES Elem Prog21Duty48 S275</t>
  </si>
  <si>
    <t>PS48ES</t>
  </si>
  <si>
    <t>PS47MS</t>
  </si>
  <si>
    <t>PSES Mid Prog01Duty47 S275</t>
  </si>
  <si>
    <t>PS49E21S</t>
  </si>
  <si>
    <t>PS47HS</t>
  </si>
  <si>
    <t>PSES High Prog01Duty47 S275</t>
  </si>
  <si>
    <t>PS49ES</t>
  </si>
  <si>
    <t>PSES Elem Prog01Duty47 S275</t>
  </si>
  <si>
    <t>PS46M21S</t>
  </si>
  <si>
    <t>PSES Mid Prog21Duty46 S275</t>
  </si>
  <si>
    <t>PS64ES</t>
  </si>
  <si>
    <t>PS42E09S</t>
  </si>
  <si>
    <t>PSES Elem Prog21Duty46 S275</t>
  </si>
  <si>
    <t>PS35ES</t>
  </si>
  <si>
    <t>PSES Mid Prog21Duty45 S275</t>
  </si>
  <si>
    <t>PS26E09S</t>
  </si>
  <si>
    <t>PSES High Prog21Duty45 S275</t>
  </si>
  <si>
    <t>PSES Elem Prog21Duty45 S275</t>
  </si>
  <si>
    <t>PS24M21S</t>
  </si>
  <si>
    <t>PS44MS</t>
  </si>
  <si>
    <t>PSES Mid Prog01Duty44 S275</t>
  </si>
  <si>
    <t>PS24M97S</t>
  </si>
  <si>
    <t>PS44HS</t>
  </si>
  <si>
    <t>PSES High Prog01Duty44 S275</t>
  </si>
  <si>
    <t>PS25M21S</t>
  </si>
  <si>
    <t>PS25M97S</t>
  </si>
  <si>
    <t>PS25MS</t>
  </si>
  <si>
    <t>PS39M21S</t>
  </si>
  <si>
    <t>PS42M21S</t>
  </si>
  <si>
    <t>PSES Mid Prog21Duty48 S275</t>
  </si>
  <si>
    <t>PSES High Prog21Duty48 S275</t>
  </si>
  <si>
    <t>PS43MS</t>
  </si>
  <si>
    <t>PS44M21S</t>
  </si>
  <si>
    <t>PS45MS</t>
  </si>
  <si>
    <t>PS46MS</t>
  </si>
  <si>
    <t>PS47M21S</t>
  </si>
  <si>
    <t>PS48MS</t>
  </si>
  <si>
    <t>PS49M21S</t>
  </si>
  <si>
    <t>PSES Elem Prog01Act26 S275</t>
  </si>
  <si>
    <t>PS64MS</t>
  </si>
  <si>
    <t>PS35MS</t>
  </si>
  <si>
    <t>PS35M97S</t>
  </si>
  <si>
    <t>PS24H21S</t>
  </si>
  <si>
    <t>PSES High Prog21Duty96 S275</t>
  </si>
  <si>
    <t>PSES Elem Prog01Duty96 S275</t>
  </si>
  <si>
    <t>PS24H97S</t>
  </si>
  <si>
    <t>PS25H21S</t>
  </si>
  <si>
    <t>PS39H21S</t>
  </si>
  <si>
    <t>PS42H21S</t>
  </si>
  <si>
    <t>PSES Mid Prog01Act25 S275</t>
  </si>
  <si>
    <t>PS43H21S</t>
  </si>
  <si>
    <t>PS43HS</t>
  </si>
  <si>
    <t>PSES Elem Prog01Act25 S275</t>
  </si>
  <si>
    <t>PS44H21S</t>
  </si>
  <si>
    <t>PSES Mid Prog21Duty49 S275</t>
  </si>
  <si>
    <t>PS49H21S</t>
  </si>
  <si>
    <t>PSES High Prog21Duty49 S275</t>
  </si>
  <si>
    <t>PS45HS</t>
  </si>
  <si>
    <t>PSES Elem Prog21Duty49 S275</t>
  </si>
  <si>
    <t>PS46HS</t>
  </si>
  <si>
    <t>PS47H21S</t>
  </si>
  <si>
    <t>PS48HS</t>
  </si>
  <si>
    <t>PS49HS</t>
  </si>
  <si>
    <t>PS64HS</t>
  </si>
  <si>
    <t>PS35HS</t>
  </si>
  <si>
    <t>PS35H97S</t>
  </si>
  <si>
    <t>PSES Elem Prog01Duty45 S275</t>
  </si>
  <si>
    <t>PS35H21S</t>
  </si>
  <si>
    <t>PSES Elem Prog01Duty44 S275</t>
  </si>
  <si>
    <t>PSES High Prog21Duty43 S275</t>
  </si>
  <si>
    <t>PSES Mid Prog97Act35 S275</t>
  </si>
  <si>
    <t>PSES High Prog97Act35 S275</t>
  </si>
  <si>
    <t>PSES High Prog21Act25 S275</t>
  </si>
  <si>
    <t>PSES High Prog01Duty49 S275</t>
  </si>
  <si>
    <t>PSES Mid Prog21Act25 S275</t>
  </si>
  <si>
    <t>PSES High Prog97Act25 S275</t>
  </si>
  <si>
    <t>PSES Elem Prog21Duty47 S275</t>
  </si>
  <si>
    <t>PSES Mid Prog01Duty45 S275</t>
  </si>
  <si>
    <t>PSES High Prog01Duty45 S275</t>
  </si>
  <si>
    <t>PSES Mid Prog21Duty44 S275</t>
  </si>
  <si>
    <t>PSES High Prog21Duty44 S275</t>
  </si>
  <si>
    <t>PSES Elem Prog21Duty44 S275</t>
  </si>
  <si>
    <t>PSES High Prog97Duty96 S275</t>
  </si>
  <si>
    <t>PSES Elem Prog01Duty64 S275</t>
  </si>
  <si>
    <t>PSES High Prog21Duty42 S275</t>
  </si>
  <si>
    <t>PSES High Prog01Act35 S275</t>
  </si>
  <si>
    <t>PSES Mid Prog01Act35 S275</t>
  </si>
  <si>
    <t>PSES Mid Prog21Duty39 S275</t>
  </si>
  <si>
    <t>PSES High Prog21Duty39 S275</t>
  </si>
  <si>
    <t>PSES Elem Prog21Duty39 S275</t>
  </si>
  <si>
    <t>PSES Elem Prog21Act25 S275</t>
  </si>
  <si>
    <t>PSES Mid Prog21Duty42 S275</t>
  </si>
  <si>
    <t>PSES Elem Prog21Duty42 S275</t>
  </si>
  <si>
    <t>PSES Mid Prog01Duty46 S275</t>
  </si>
  <si>
    <t>PSES High Prog01Duty46 S275</t>
  </si>
  <si>
    <t>PSES Elem Prog01Duty46 S275</t>
  </si>
  <si>
    <t>PSES Elem Prog01Act35 S275</t>
  </si>
  <si>
    <t>PSES Elem Prog01Duty49 S275</t>
  </si>
  <si>
    <t>PSES High Prog21Duty47 S275</t>
  </si>
  <si>
    <t>PSES Mid Prog21Duty47 S275</t>
  </si>
  <si>
    <t>PSES Mid Prog01Duty48 S275</t>
  </si>
  <si>
    <t>PSES High Prog01Duty48 S275</t>
  </si>
  <si>
    <t>PSES Elem Prog01Duty48 S275</t>
  </si>
  <si>
    <t>PSES Mid Prog01Duty64 S275</t>
  </si>
  <si>
    <t>PSES High Prog01Duty64 S275</t>
  </si>
  <si>
    <t>PSES Elem Prog01Duty43 S275</t>
  </si>
  <si>
    <t>PSES High Prog21Act35 S275</t>
  </si>
  <si>
    <t>PSES Mid Prog01Duty43 S275</t>
  </si>
  <si>
    <t>PSES High Prog01Duty43 S275</t>
  </si>
  <si>
    <t>PSES Mid Prog97Act25 S275</t>
  </si>
  <si>
    <t>PSES Elem Prog97Act25 S275</t>
  </si>
  <si>
    <t>PSES Mid Prog97Duty96 S275</t>
  </si>
  <si>
    <t>PSES Elem Prog97Duty96 S275</t>
  </si>
  <si>
    <t>PS39ES</t>
  </si>
  <si>
    <t>PS39E97S</t>
  </si>
  <si>
    <t>PS42E97S</t>
  </si>
  <si>
    <t>PS43E97S</t>
  </si>
  <si>
    <t>PS44E97S</t>
  </si>
  <si>
    <t>PS45E97S</t>
  </si>
  <si>
    <t>PS46E97S</t>
  </si>
  <si>
    <t>PS47E97S</t>
  </si>
  <si>
    <t>PS48E97S</t>
  </si>
  <si>
    <t>PS49E97S</t>
  </si>
  <si>
    <t>PS64E97S</t>
  </si>
  <si>
    <t>PS26E97S</t>
  </si>
  <si>
    <t>PS35E97S</t>
  </si>
  <si>
    <t>PS35E21S</t>
  </si>
  <si>
    <t>PS39E09S</t>
  </si>
  <si>
    <t>PS43E09S</t>
  </si>
  <si>
    <t>PS44E09S</t>
  </si>
  <si>
    <t>PS45E09S</t>
  </si>
  <si>
    <t>PS46E09S</t>
  </si>
  <si>
    <t>PS47E09S</t>
  </si>
  <si>
    <t>PS48E09S</t>
  </si>
  <si>
    <t>PS49E09S</t>
  </si>
  <si>
    <t>PS64E09S</t>
  </si>
  <si>
    <t>PS24E09S</t>
  </si>
  <si>
    <t>PS25E09S</t>
  </si>
  <si>
    <t>PS35E09S</t>
  </si>
  <si>
    <t>PS39MS</t>
  </si>
  <si>
    <t>PS49MS</t>
  </si>
  <si>
    <t>PS39M97S</t>
  </si>
  <si>
    <t>PS42M97S</t>
  </si>
  <si>
    <t>PS43M97S</t>
  </si>
  <si>
    <t>PS44M97S</t>
  </si>
  <si>
    <t>PS45M97S</t>
  </si>
  <si>
    <t>PS46M97S</t>
  </si>
  <si>
    <t>PS47M97S</t>
  </si>
  <si>
    <t>PS48M97S</t>
  </si>
  <si>
    <t>PS49M97S</t>
  </si>
  <si>
    <t>PS64M97S</t>
  </si>
  <si>
    <t>PS26M97S</t>
  </si>
  <si>
    <t>PS35M21S</t>
  </si>
  <si>
    <t>PS39HS</t>
  </si>
  <si>
    <t>PS39H97S</t>
  </si>
  <si>
    <t>PS42H97S</t>
  </si>
  <si>
    <t>PS43H97S</t>
  </si>
  <si>
    <t>PS44H97S</t>
  </si>
  <si>
    <t>PS45H97S</t>
  </si>
  <si>
    <t>PS46H97S</t>
  </si>
  <si>
    <t>PS47H97S</t>
  </si>
  <si>
    <t>PS48H97S</t>
  </si>
  <si>
    <t>PS49H97S</t>
  </si>
  <si>
    <t>PS64H97S</t>
  </si>
  <si>
    <t>PS26H97S</t>
  </si>
  <si>
    <t>NA</t>
  </si>
  <si>
    <t>CIS w/3121%</t>
  </si>
  <si>
    <t>CLS w/3121%</t>
  </si>
  <si>
    <t>Item Title</t>
  </si>
  <si>
    <t>Elementary Orientation &amp; Mobility Specialist</t>
  </si>
  <si>
    <t>Elementary Counselor</t>
  </si>
  <si>
    <t>Elementary Social Worker</t>
  </si>
  <si>
    <t>Elementary Speech, Language Pathway/
Audio</t>
  </si>
  <si>
    <t>Elementary Nurse</t>
  </si>
  <si>
    <t>Elementary Physical Therapist</t>
  </si>
  <si>
    <t>Elementary Behavior Analyst</t>
  </si>
  <si>
    <t>Elementary Contractor ESA</t>
  </si>
  <si>
    <t>Elementary Health/
Related Services</t>
  </si>
  <si>
    <t>Elementary Pupil Safety</t>
  </si>
  <si>
    <t>TK Orientation &amp; Mobility Specialist</t>
  </si>
  <si>
    <t>TK Social Worker</t>
  </si>
  <si>
    <t>TK Speech, Language Pathway/
Audio</t>
  </si>
  <si>
    <t>TK Nurse</t>
  </si>
  <si>
    <t>TK Physical Therapist</t>
  </si>
  <si>
    <t>TK Behavior Analyst</t>
  </si>
  <si>
    <t>TK Contractor ESA</t>
  </si>
  <si>
    <t>TK Pupil Management</t>
  </si>
  <si>
    <t>Middle Orientation &amp; Mobility Specialist</t>
  </si>
  <si>
    <t>Middle Counselor</t>
  </si>
  <si>
    <t>Middle Social Worker</t>
  </si>
  <si>
    <t>Middle Speech, Language Pathway/
Audio</t>
  </si>
  <si>
    <t>Middle Behavior Analyst</t>
  </si>
  <si>
    <t>Middle Nurse</t>
  </si>
  <si>
    <t>Middle Physical Therapist</t>
  </si>
  <si>
    <t>Middle Contractor ESA</t>
  </si>
  <si>
    <t>Middle Health/
Related Services</t>
  </si>
  <si>
    <t>Middle Pupil Safety</t>
  </si>
  <si>
    <t>High Orientation &amp; Mobility Specialist</t>
  </si>
  <si>
    <t>High Counselor</t>
  </si>
  <si>
    <t>High Social Worker</t>
  </si>
  <si>
    <t>High Speech, Language Pathway/
Audio</t>
  </si>
  <si>
    <t>High Nurse</t>
  </si>
  <si>
    <t>High Physical Therapist</t>
  </si>
  <si>
    <t>High Behavior Analyst</t>
  </si>
  <si>
    <t>High Contractor ESA</t>
  </si>
  <si>
    <t>High Health/
Related Services</t>
  </si>
  <si>
    <t>High Family Engagement Coordinator</t>
  </si>
  <si>
    <t>Middle Family Engagement Coordinator</t>
  </si>
  <si>
    <t>High Pupil Management</t>
  </si>
  <si>
    <t>Elementary Occupational Therapist</t>
  </si>
  <si>
    <t>Middle Occupational Therapist</t>
  </si>
  <si>
    <t>High Psychologist</t>
  </si>
  <si>
    <t>Elementary Psychologist</t>
  </si>
  <si>
    <t>Middle Psychologist</t>
  </si>
  <si>
    <t>Elementary Family Engagement Coordinator</t>
  </si>
  <si>
    <t>Elementary Pupil Management</t>
  </si>
  <si>
    <t>Middle Pupil Management</t>
  </si>
  <si>
    <t>High Pupil Safety</t>
  </si>
  <si>
    <t>High Occupational Therapist</t>
  </si>
  <si>
    <t>TK Counselor</t>
  </si>
  <si>
    <t>TK Health/
Related Services</t>
  </si>
  <si>
    <t>TK Occupational Therapist</t>
  </si>
  <si>
    <t>TK Psychologist</t>
  </si>
  <si>
    <t>TK Family Engagement Coordinator</t>
  </si>
  <si>
    <t>TK Pupil Safety</t>
  </si>
  <si>
    <t>Ross Confirm</t>
  </si>
  <si>
    <t>PSES CIS Staffing Reduction</t>
  </si>
  <si>
    <t>Cert ESA</t>
  </si>
  <si>
    <t>Family Eng Coord</t>
  </si>
  <si>
    <t>PSES CLS Staffing Reduction</t>
  </si>
  <si>
    <t>126ACISPerc</t>
  </si>
  <si>
    <t>PSES CIS Staffing Percent</t>
  </si>
  <si>
    <t>126ACLSPerc</t>
  </si>
  <si>
    <t>PSES CLS Staffing Percent</t>
  </si>
  <si>
    <t>Program 01 Contrators</t>
  </si>
  <si>
    <t>Program 09 Contrators</t>
  </si>
  <si>
    <t>Program 97 Contrators</t>
  </si>
  <si>
    <t>Enrollment TK
Total</t>
  </si>
  <si>
    <t>Contractor (09)</t>
  </si>
  <si>
    <t>Duty/Activity</t>
  </si>
  <si>
    <t>B8</t>
  </si>
  <si>
    <t>WAC 392-122-430</t>
  </si>
  <si>
    <t>PSES - Apportionment of state moneys</t>
  </si>
  <si>
    <t>WAC 392-122-435</t>
  </si>
  <si>
    <t>PSES - Student enrollment</t>
  </si>
  <si>
    <t>WAC 392-122-440</t>
  </si>
  <si>
    <t>PSES - Staff</t>
  </si>
  <si>
    <t>WAC 392-122-450</t>
  </si>
  <si>
    <t>PSES - Contracted and supplemental staff</t>
  </si>
  <si>
    <t>PSES - Calculation</t>
  </si>
  <si>
    <t>WAC 392-122-445</t>
  </si>
  <si>
    <r>
      <rPr>
        <b/>
        <sz val="11"/>
        <color theme="1"/>
        <rFont val="Calibri"/>
        <family val="2"/>
        <scheme val="minor"/>
      </rPr>
      <t>5.</t>
    </r>
    <r>
      <rPr>
        <sz val="11"/>
        <color theme="1"/>
        <rFont val="Calibri"/>
        <family val="2"/>
        <scheme val="minor"/>
      </rPr>
      <t xml:space="preserve"> This class size will be used in calculating K-3 staffing units as well as TK staff. Emergency rules submitted but aren't permanent yet.</t>
    </r>
  </si>
  <si>
    <t>WAC 392-122-455</t>
  </si>
  <si>
    <t>PSES - Penalty for noncompliance</t>
  </si>
  <si>
    <t>K-3 CIS Units w/Planning Time</t>
  </si>
  <si>
    <t>TK CIS Units w/Planning Time</t>
  </si>
  <si>
    <r>
      <t xml:space="preserve">K-3 Enrollment </t>
    </r>
    <r>
      <rPr>
        <sz val="11"/>
        <color theme="1"/>
        <rFont val="Calibri"/>
        <family val="2"/>
      </rPr>
      <t>÷</t>
    </r>
    <r>
      <rPr>
        <sz val="11"/>
        <color theme="1"/>
        <rFont val="Calibri"/>
        <family val="2"/>
        <scheme val="minor"/>
      </rPr>
      <t xml:space="preserve"> Class Size of 17 = Staff Units</t>
    </r>
  </si>
  <si>
    <r>
      <t xml:space="preserve">TK Enrollment </t>
    </r>
    <r>
      <rPr>
        <sz val="11"/>
        <color theme="1"/>
        <rFont val="Calibri"/>
        <family val="2"/>
      </rPr>
      <t>÷</t>
    </r>
    <r>
      <rPr>
        <sz val="11"/>
        <color theme="1"/>
        <rFont val="Calibri"/>
        <family val="2"/>
        <scheme val="minor"/>
      </rPr>
      <t xml:space="preserve"> Class Size of 17 = Staff Units</t>
    </r>
  </si>
  <si>
    <t>Actual K-3 Teachers</t>
  </si>
  <si>
    <t>Actual TK Teachers</t>
  </si>
  <si>
    <t>K-3 Teacher Ratio Variance</t>
  </si>
  <si>
    <t>TK Teacher Ratio Variance</t>
  </si>
  <si>
    <r>
      <rPr>
        <b/>
        <sz val="11"/>
        <color theme="1"/>
        <rFont val="Calibri"/>
        <family val="2"/>
        <scheme val="minor"/>
      </rPr>
      <t>4.</t>
    </r>
    <r>
      <rPr>
        <sz val="11"/>
        <color theme="1"/>
        <rFont val="Calibri"/>
        <family val="2"/>
        <scheme val="minor"/>
      </rPr>
      <t xml:space="preserve"> Staffing for TK will need to be coded to grade span T and Program 09 to be included into the calculations. </t>
    </r>
  </si>
  <si>
    <t>Short Item Title</t>
  </si>
  <si>
    <t>Mc Cleary</t>
  </si>
  <si>
    <t>Tenino</t>
  </si>
  <si>
    <t>West Valley (Yak)</t>
  </si>
  <si>
    <t>Morton</t>
  </si>
  <si>
    <t>Rainier</t>
  </si>
  <si>
    <t>Freeman</t>
  </si>
  <si>
    <t>Pioneer</t>
  </si>
  <si>
    <t>Colton</t>
  </si>
  <si>
    <t>Washtucna</t>
  </si>
  <si>
    <t>Northport</t>
  </si>
  <si>
    <t>Nespelem School District #14</t>
  </si>
  <si>
    <t>Sumner School District</t>
  </si>
  <si>
    <t>PSES Mid Prog01Duty49 S275</t>
  </si>
  <si>
    <t>Satsop</t>
  </si>
  <si>
    <t>Physical, Social and Emotional Support Elementary School Staff Calculator For 2024-25 School Year Budgeting</t>
  </si>
  <si>
    <t>Class Size Calculator For 2024-25 School Year Budgeting</t>
  </si>
  <si>
    <t>2. Enter student and teacher FTE for the 2024-25 school year in the highlighted cells</t>
  </si>
  <si>
    <t>Physical, Social and Emotional Support Staff Calculator For 2024-25 School Year Budgeting</t>
  </si>
  <si>
    <t>Enter student and teacher FTE for the 2024-25 school year in the highlighted cells</t>
  </si>
  <si>
    <t>Physical, Social and Emotional Support Middle School Staff Calculator For 2024-25 School Year Budgeting</t>
  </si>
  <si>
    <t>* 2024-25 Salary and Benefit Values used in calculation</t>
  </si>
  <si>
    <t>Physical, Social and Emotional Support High School Staff Calculator For 2024-25 School Year Budgeting</t>
  </si>
  <si>
    <t>2024-25</t>
  </si>
  <si>
    <t>Compliance Calculators to Budget for the 2024-25 School Year</t>
  </si>
  <si>
    <t>compliance reports and budgeted K-3 class sizes for the 2024-25 school year.</t>
  </si>
  <si>
    <r>
      <rPr>
        <b/>
        <sz val="11"/>
        <color theme="1"/>
        <rFont val="Calibri"/>
        <family val="2"/>
        <scheme val="minor"/>
      </rPr>
      <t>1.</t>
    </r>
    <r>
      <rPr>
        <sz val="11"/>
        <color theme="1"/>
        <rFont val="Calibri"/>
        <family val="2"/>
        <scheme val="minor"/>
      </rPr>
      <t xml:space="preserve"> Select your district name from the dropdown menu in cell B6 on the orange sheet titled </t>
    </r>
    <r>
      <rPr>
        <b/>
        <sz val="11"/>
        <color theme="1"/>
        <rFont val="Calibri"/>
        <family val="2"/>
        <scheme val="minor"/>
      </rPr>
      <t>'2024-25 K3Class Size Calculator'</t>
    </r>
    <r>
      <rPr>
        <sz val="11"/>
        <color theme="1"/>
        <rFont val="Calibri"/>
        <family val="2"/>
        <scheme val="minor"/>
      </rPr>
      <t>.</t>
    </r>
  </si>
  <si>
    <r>
      <rPr>
        <b/>
        <sz val="11"/>
        <color theme="1"/>
        <rFont val="Calibri"/>
        <family val="2"/>
        <scheme val="minor"/>
      </rPr>
      <t>3.</t>
    </r>
    <r>
      <rPr>
        <sz val="11"/>
        <color theme="1"/>
        <rFont val="Calibri"/>
        <family val="2"/>
        <scheme val="minor"/>
      </rPr>
      <t xml:space="preserve"> To project K-3 Class Size compliance for 2024-25 school year, input anticipated student and teacher FTE, and any supplemental staff </t>
    </r>
  </si>
  <si>
    <t xml:space="preserve">This tool is provided for districts to estimate if they will meet the PSES compliance for 2024-25 or should anticipate a reduction if not. </t>
  </si>
  <si>
    <r>
      <rPr>
        <b/>
        <sz val="11"/>
        <color theme="1"/>
        <rFont val="Calibri"/>
        <family val="2"/>
        <scheme val="minor"/>
      </rPr>
      <t>1.</t>
    </r>
    <r>
      <rPr>
        <sz val="11"/>
        <color theme="1"/>
        <rFont val="Calibri"/>
        <family val="2"/>
        <scheme val="minor"/>
      </rPr>
      <t xml:space="preserve"> Select your district name from the dropdown menu in cell C4 of the sheet titled </t>
    </r>
    <r>
      <rPr>
        <b/>
        <sz val="11"/>
        <color theme="1"/>
        <rFont val="Calibri"/>
        <family val="2"/>
        <scheme val="minor"/>
      </rPr>
      <t>'2024-25 PSES Compliance'</t>
    </r>
    <r>
      <rPr>
        <sz val="11"/>
        <color theme="1"/>
        <rFont val="Calibri"/>
        <family val="2"/>
        <scheme val="minor"/>
      </rPr>
      <t>.</t>
    </r>
  </si>
  <si>
    <t xml:space="preserve">3. To project PSES compliance for the 2024-25 school year, inputted on each blue 'grade grouping' sheets and in the yellow cells, the </t>
  </si>
  <si>
    <t xml:space="preserve">4. If cells E13 and E14 on the '2024-25 PSES Compliance' sheet shows negative values, the PSES compliance will not be met. </t>
  </si>
  <si>
    <r>
      <rPr>
        <b/>
        <sz val="11"/>
        <color theme="1"/>
        <rFont val="Calibri"/>
        <family val="2"/>
        <scheme val="minor"/>
      </rPr>
      <t>1.</t>
    </r>
    <r>
      <rPr>
        <sz val="11"/>
        <color theme="1"/>
        <rFont val="Calibri"/>
        <family val="2"/>
        <scheme val="minor"/>
      </rPr>
      <t xml:space="preserve"> The initial PSES compliance calculation will be run for the January 2025 apportionment. Districts who have not met PSES compliance </t>
    </r>
  </si>
  <si>
    <t>Salary and Benefits generated in this report is using 2024-25 school year values.</t>
  </si>
  <si>
    <t>January</t>
  </si>
  <si>
    <t xml:space="preserve"> 2025 data</t>
  </si>
  <si>
    <t xml:space="preserve">Innovation Spokane Charter School District </t>
  </si>
  <si>
    <t>PSES Elem Prog09Duty44 S275</t>
  </si>
  <si>
    <t>PSES Elem Prog97Act35 S275</t>
  </si>
  <si>
    <t>PSES Elem Prog01Duty39 S275</t>
  </si>
  <si>
    <t>PSES Elem Prog09Duty47 S275</t>
  </si>
  <si>
    <t>T</t>
  </si>
  <si>
    <t>PSES Elem Prog09Duty25 S275</t>
  </si>
  <si>
    <t>PSES Elem Prog09Duty442S275</t>
  </si>
  <si>
    <t>PSES Elem Prog09Duty35 S275</t>
  </si>
  <si>
    <t>PSES Elem Prog09Duty42 S275</t>
  </si>
  <si>
    <t>PSES Elem Prog09Duty26 S275</t>
  </si>
  <si>
    <t>K</t>
  </si>
  <si>
    <t>PSES Elem Prog09Duty45 S275</t>
  </si>
  <si>
    <t>PSES Elem Prog09Duty64 S275</t>
  </si>
  <si>
    <t>ZZState Summary</t>
  </si>
  <si>
    <t>PSES Elem Prog21Duty96 S275</t>
  </si>
  <si>
    <t>PSES Mid Prog21Duty96 S275</t>
  </si>
  <si>
    <t>TK Family Engage-ment Coor-dinator</t>
  </si>
  <si>
    <t>PSES Elem Prog09Act26 S275</t>
  </si>
  <si>
    <t>Elementary occupational Therapist</t>
  </si>
  <si>
    <t>Middle occupational Therapist</t>
  </si>
  <si>
    <t>High occupational Therapist</t>
  </si>
  <si>
    <t>TK occupational Therapist</t>
  </si>
  <si>
    <t>Elementary Psycho-logist</t>
  </si>
  <si>
    <t>Middle Psycho-logist</t>
  </si>
  <si>
    <t>High Psycho-logist</t>
  </si>
  <si>
    <t>TK Psycho-logist</t>
  </si>
  <si>
    <t>(Multiple Items)</t>
  </si>
  <si>
    <t>North Franklin</t>
  </si>
  <si>
    <t>Ridgefield</t>
  </si>
  <si>
    <t>Toledo</t>
  </si>
  <si>
    <t>Onalaska</t>
  </si>
  <si>
    <t>Naches Valley</t>
  </si>
  <si>
    <t>Coupeville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</si>
</sst>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_);\(&quot;$&quot;#,##0\)"/>
    <numFmt numFmtId="6" formatCode="&quot;$&quot;#,##0_);[Red]\(&quot;$&quot;#,##0\)"/>
    <numFmt numFmtId="43" formatCode="_(* #,##0.00_);_(* \(#,##0.00\);_(* &quot;-&quot;??_);_(@_)"/>
    <numFmt numFmtId="164" formatCode="0.000"/>
    <numFmt numFmtId="165" formatCode="0.0%"/>
    <numFmt numFmtId="166" formatCode="_(* #,##0.000_);_(* \(#,##0.000\);_(* &quot;-&quot;??_);_(@_)"/>
    <numFmt numFmtId="167" formatCode="_(* #,##0_);_(* \(#,##0\);_(* &quot;-&quot;??_);_(@_)"/>
    <numFmt numFmtId="168" formatCode="_(* #,##0.0000_);_(* \(#,##0.0000\);_(* &quot;-&quot;??_);_(@_)"/>
    <numFmt numFmtId="169" formatCode="#,##0.000_);[Red]\(#,##0.000\)"/>
    <numFmt numFmtId="170" formatCode="#,##0.000"/>
    <numFmt numFmtId="171" formatCode="_(* #,##0_);_(* \(#,##0\);_(* &quot;-&quot;???_);_(@_)"/>
    <numFmt numFmtId="172" formatCode="_(* #,##0.000_);_(* \(#,##0.000\);_(* &quot;-&quot;???_);_(@_)"/>
    <numFmt numFmtId="173" formatCode="0.0000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0" tint="-0.14999847407452621"/>
      <name val="Calibri"/>
      <family val="2"/>
      <scheme val="minor"/>
    </font>
    <font>
      <sz val="9"/>
      <color theme="4" tint="0.59999389629810485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4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4" tint="0.3999755851924192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theme="8" tint="0.59999389629810485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</font>
    <font>
      <b/>
      <sz val="14"/>
      <color theme="1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0"/>
      <color theme="8"/>
      <name val="Calibri"/>
      <family val="2"/>
      <scheme val="minor"/>
    </font>
    <font>
      <b/>
      <sz val="14"/>
      <color theme="8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name val="Calibri"/>
      <family val="2"/>
      <scheme val="minor"/>
    </font>
    <font>
      <sz val="10"/>
      <color theme="8" tint="0.3999755851924192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theme="6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291">
    <xf numFmtId="0" fontId="0" fillId="0" borderId="0" xfId="0"/>
    <xf numFmtId="2" fontId="0" fillId="0" borderId="0" xfId="0" applyNumberFormat="1" applyAlignment="1">
      <alignment horizontal="center"/>
    </xf>
    <xf numFmtId="0" fontId="3" fillId="0" borderId="0" xfId="0" applyFont="1" applyAlignment="1">
      <alignment horizontal="right"/>
    </xf>
    <xf numFmtId="0" fontId="3" fillId="0" borderId="3" xfId="0" applyFont="1" applyBorder="1" applyAlignment="1">
      <alignment horizontal="center" vertical="center" wrapText="1"/>
    </xf>
    <xf numFmtId="9" fontId="3" fillId="0" borderId="3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9" fontId="0" fillId="0" borderId="0" xfId="0" applyNumberFormat="1"/>
    <xf numFmtId="10" fontId="0" fillId="0" borderId="0" xfId="2" applyNumberFormat="1" applyFont="1"/>
    <xf numFmtId="0" fontId="5" fillId="0" borderId="0" xfId="0" applyFont="1"/>
    <xf numFmtId="0" fontId="6" fillId="0" borderId="0" xfId="0" applyFont="1"/>
    <xf numFmtId="0" fontId="7" fillId="0" borderId="0" xfId="3"/>
    <xf numFmtId="0" fontId="8" fillId="0" borderId="0" xfId="0" applyFont="1"/>
    <xf numFmtId="0" fontId="1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horizontal="left" vertical="center"/>
    </xf>
    <xf numFmtId="0" fontId="3" fillId="0" borderId="1" xfId="0" applyFont="1" applyBorder="1"/>
    <xf numFmtId="0" fontId="12" fillId="0" borderId="0" xfId="0" applyFont="1"/>
    <xf numFmtId="164" fontId="0" fillId="0" borderId="3" xfId="0" applyNumberFormat="1" applyBorder="1" applyAlignment="1">
      <alignment horizontal="center"/>
    </xf>
    <xf numFmtId="43" fontId="0" fillId="2" borderId="3" xfId="0" applyNumberFormat="1" applyFill="1" applyBorder="1"/>
    <xf numFmtId="43" fontId="2" fillId="0" borderId="5" xfId="1" applyFont="1" applyBorder="1" applyAlignment="1"/>
    <xf numFmtId="43" fontId="2" fillId="0" borderId="4" xfId="1" applyFont="1" applyBorder="1" applyAlignment="1"/>
    <xf numFmtId="0" fontId="13" fillId="0" borderId="0" xfId="0" applyFont="1"/>
    <xf numFmtId="0" fontId="0" fillId="0" borderId="0" xfId="0" applyAlignment="1">
      <alignment horizontal="right"/>
    </xf>
    <xf numFmtId="43" fontId="0" fillId="0" borderId="0" xfId="0" applyNumberFormat="1"/>
    <xf numFmtId="0" fontId="0" fillId="0" borderId="0" xfId="0" applyAlignment="1">
      <alignment wrapText="1"/>
    </xf>
    <xf numFmtId="43" fontId="0" fillId="0" borderId="0" xfId="1" applyFont="1"/>
    <xf numFmtId="0" fontId="14" fillId="0" borderId="0" xfId="0" applyFont="1"/>
    <xf numFmtId="0" fontId="15" fillId="0" borderId="0" xfId="0" applyFont="1"/>
    <xf numFmtId="43" fontId="15" fillId="0" borderId="0" xfId="1" applyFont="1"/>
    <xf numFmtId="0" fontId="15" fillId="0" borderId="0" xfId="0" applyFont="1" applyAlignment="1">
      <alignment wrapText="1"/>
    </xf>
    <xf numFmtId="166" fontId="15" fillId="0" borderId="0" xfId="1" applyNumberFormat="1" applyFont="1"/>
    <xf numFmtId="166" fontId="15" fillId="0" borderId="0" xfId="0" applyNumberFormat="1" applyFont="1"/>
    <xf numFmtId="43" fontId="15" fillId="0" borderId="0" xfId="0" applyNumberFormat="1" applyFont="1"/>
    <xf numFmtId="166" fontId="0" fillId="0" borderId="0" xfId="0" applyNumberFormat="1"/>
    <xf numFmtId="0" fontId="0" fillId="0" borderId="0" xfId="0" quotePrefix="1"/>
    <xf numFmtId="168" fontId="0" fillId="0" borderId="0" xfId="1" applyNumberFormat="1" applyFont="1"/>
    <xf numFmtId="38" fontId="0" fillId="0" borderId="7" xfId="0" applyNumberFormat="1" applyBorder="1"/>
    <xf numFmtId="167" fontId="0" fillId="0" borderId="0" xfId="1" applyNumberFormat="1" applyFont="1"/>
    <xf numFmtId="164" fontId="0" fillId="0" borderId="0" xfId="0" applyNumberFormat="1"/>
    <xf numFmtId="169" fontId="0" fillId="0" borderId="6" xfId="0" applyNumberFormat="1" applyBorder="1"/>
    <xf numFmtId="166" fontId="0" fillId="2" borderId="3" xfId="0" applyNumberFormat="1" applyFill="1" applyBorder="1"/>
    <xf numFmtId="10" fontId="0" fillId="0" borderId="0" xfId="2" applyNumberFormat="1" applyFont="1" applyFill="1"/>
    <xf numFmtId="0" fontId="16" fillId="0" borderId="0" xfId="0" quotePrefix="1" applyFont="1" applyAlignment="1">
      <alignment horizontal="left"/>
    </xf>
    <xf numFmtId="0" fontId="16" fillId="0" borderId="0" xfId="0" applyFont="1"/>
    <xf numFmtId="2" fontId="15" fillId="0" borderId="0" xfId="0" applyNumberFormat="1" applyFont="1" applyAlignment="1">
      <alignment wrapText="1"/>
    </xf>
    <xf numFmtId="2" fontId="0" fillId="0" borderId="0" xfId="0" applyNumberFormat="1"/>
    <xf numFmtId="0" fontId="0" fillId="0" borderId="0" xfId="0" applyAlignment="1">
      <alignment horizontal="center" vertical="center"/>
    </xf>
    <xf numFmtId="0" fontId="17" fillId="0" borderId="0" xfId="0" applyFont="1" applyAlignment="1">
      <alignment wrapText="1"/>
    </xf>
    <xf numFmtId="9" fontId="0" fillId="0" borderId="0" xfId="2" applyFont="1"/>
    <xf numFmtId="166" fontId="18" fillId="0" borderId="5" xfId="1" applyNumberFormat="1" applyFont="1" applyBorder="1" applyAlignment="1"/>
    <xf numFmtId="164" fontId="18" fillId="0" borderId="0" xfId="0" applyNumberFormat="1" applyFont="1"/>
    <xf numFmtId="164" fontId="18" fillId="0" borderId="8" xfId="0" applyNumberFormat="1" applyFont="1" applyBorder="1"/>
    <xf numFmtId="164" fontId="19" fillId="0" borderId="0" xfId="0" applyNumberFormat="1" applyFont="1"/>
    <xf numFmtId="5" fontId="19" fillId="0" borderId="0" xfId="1" applyNumberFormat="1" applyFont="1"/>
    <xf numFmtId="166" fontId="20" fillId="0" borderId="0" xfId="0" applyNumberFormat="1" applyFont="1"/>
    <xf numFmtId="166" fontId="19" fillId="0" borderId="9" xfId="1" applyNumberFormat="1" applyFont="1" applyBorder="1" applyAlignment="1"/>
    <xf numFmtId="169" fontId="20" fillId="0" borderId="3" xfId="0" applyNumberFormat="1" applyFont="1" applyBorder="1"/>
    <xf numFmtId="169" fontId="20" fillId="0" borderId="9" xfId="0" applyNumberFormat="1" applyFont="1" applyBorder="1"/>
    <xf numFmtId="0" fontId="3" fillId="0" borderId="3" xfId="0" applyFont="1" applyBorder="1"/>
    <xf numFmtId="0" fontId="21" fillId="0" borderId="3" xfId="0" applyFont="1" applyBorder="1" applyAlignment="1">
      <alignment horizontal="center" vertical="center" wrapText="1"/>
    </xf>
    <xf numFmtId="164" fontId="22" fillId="0" borderId="0" xfId="0" applyNumberFormat="1" applyFont="1"/>
    <xf numFmtId="164" fontId="22" fillId="0" borderId="8" xfId="0" applyNumberFormat="1" applyFont="1" applyBorder="1"/>
    <xf numFmtId="164" fontId="21" fillId="0" borderId="0" xfId="0" applyNumberFormat="1" applyFont="1"/>
    <xf numFmtId="5" fontId="21" fillId="0" borderId="0" xfId="1" applyNumberFormat="1" applyFont="1"/>
    <xf numFmtId="6" fontId="0" fillId="0" borderId="0" xfId="1" applyNumberFormat="1" applyFont="1"/>
    <xf numFmtId="6" fontId="0" fillId="0" borderId="8" xfId="1" applyNumberFormat="1" applyFont="1" applyBorder="1"/>
    <xf numFmtId="6" fontId="3" fillId="0" borderId="0" xfId="1" applyNumberFormat="1" applyFont="1"/>
    <xf numFmtId="169" fontId="0" fillId="0" borderId="0" xfId="0" applyNumberFormat="1"/>
    <xf numFmtId="169" fontId="0" fillId="0" borderId="8" xfId="0" applyNumberFormat="1" applyBorder="1"/>
    <xf numFmtId="169" fontId="3" fillId="0" borderId="0" xfId="0" applyNumberFormat="1" applyFont="1"/>
    <xf numFmtId="9" fontId="0" fillId="0" borderId="0" xfId="2" applyFont="1" applyAlignment="1">
      <alignment horizontal="left"/>
    </xf>
    <xf numFmtId="0" fontId="20" fillId="0" borderId="10" xfId="0" applyFont="1" applyBorder="1" applyAlignment="1">
      <alignment horizontal="center" vertical="center" wrapText="1"/>
    </xf>
    <xf numFmtId="166" fontId="16" fillId="0" borderId="11" xfId="1" applyNumberFormat="1" applyFont="1" applyBorder="1" applyAlignment="1"/>
    <xf numFmtId="166" fontId="16" fillId="0" borderId="10" xfId="1" applyNumberFormat="1" applyFont="1" applyBorder="1" applyAlignment="1"/>
    <xf numFmtId="168" fontId="16" fillId="0" borderId="10" xfId="1" applyNumberFormat="1" applyFont="1" applyBorder="1" applyAlignment="1"/>
    <xf numFmtId="0" fontId="19" fillId="0" borderId="3" xfId="0" applyFont="1" applyBorder="1" applyAlignment="1">
      <alignment horizontal="center" vertical="center" wrapText="1"/>
    </xf>
    <xf numFmtId="0" fontId="19" fillId="0" borderId="3" xfId="0" applyFont="1" applyBorder="1"/>
    <xf numFmtId="0" fontId="23" fillId="0" borderId="0" xfId="0" applyFont="1"/>
    <xf numFmtId="168" fontId="20" fillId="0" borderId="0" xfId="0" applyNumberFormat="1" applyFont="1"/>
    <xf numFmtId="0" fontId="3" fillId="5" borderId="3" xfId="0" applyFont="1" applyFill="1" applyBorder="1" applyAlignment="1">
      <alignment horizontal="center" vertical="center" wrapText="1"/>
    </xf>
    <xf numFmtId="9" fontId="3" fillId="5" borderId="3" xfId="0" applyNumberFormat="1" applyFont="1" applyFill="1" applyBorder="1" applyAlignment="1">
      <alignment horizontal="center" vertical="center" wrapText="1"/>
    </xf>
    <xf numFmtId="0" fontId="21" fillId="5" borderId="3" xfId="0" applyFont="1" applyFill="1" applyBorder="1" applyAlignment="1">
      <alignment horizontal="center" vertical="center" wrapText="1"/>
    </xf>
    <xf numFmtId="0" fontId="20" fillId="5" borderId="11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 wrapText="1"/>
    </xf>
    <xf numFmtId="165" fontId="2" fillId="0" borderId="0" xfId="2" applyNumberFormat="1" applyFont="1" applyFill="1" applyBorder="1" applyAlignment="1">
      <alignment horizontal="center"/>
    </xf>
    <xf numFmtId="0" fontId="0" fillId="0" borderId="0" xfId="0" quotePrefix="1" applyAlignment="1">
      <alignment horizontal="right"/>
    </xf>
    <xf numFmtId="0" fontId="0" fillId="2" borderId="0" xfId="0" applyFill="1"/>
    <xf numFmtId="0" fontId="25" fillId="0" borderId="0" xfId="0" applyFont="1"/>
    <xf numFmtId="0" fontId="0" fillId="0" borderId="0" xfId="0" applyAlignment="1">
      <alignment horizontal="left"/>
    </xf>
    <xf numFmtId="0" fontId="0" fillId="6" borderId="0" xfId="0" applyFill="1"/>
    <xf numFmtId="170" fontId="0" fillId="0" borderId="0" xfId="0" applyNumberFormat="1"/>
    <xf numFmtId="0" fontId="0" fillId="0" borderId="0" xfId="0" pivotButton="1"/>
    <xf numFmtId="166" fontId="21" fillId="0" borderId="0" xfId="0" applyNumberFormat="1" applyFont="1" applyAlignment="1">
      <alignment horizontal="center" vertical="center"/>
    </xf>
    <xf numFmtId="171" fontId="18" fillId="0" borderId="0" xfId="1" applyNumberFormat="1" applyFont="1"/>
    <xf numFmtId="171" fontId="18" fillId="0" borderId="8" xfId="1" applyNumberFormat="1" applyFont="1" applyBorder="1"/>
    <xf numFmtId="171" fontId="22" fillId="0" borderId="0" xfId="1" applyNumberFormat="1" applyFont="1"/>
    <xf numFmtId="171" fontId="22" fillId="0" borderId="8" xfId="1" applyNumberFormat="1" applyFont="1" applyBorder="1"/>
    <xf numFmtId="6" fontId="16" fillId="0" borderId="0" xfId="1" applyNumberFormat="1" applyFont="1"/>
    <xf numFmtId="6" fontId="16" fillId="0" borderId="8" xfId="1" applyNumberFormat="1" applyFont="1" applyBorder="1"/>
    <xf numFmtId="0" fontId="0" fillId="0" borderId="12" xfId="0" applyBorder="1" applyAlignment="1">
      <alignment horizontal="right"/>
    </xf>
    <xf numFmtId="166" fontId="22" fillId="0" borderId="10" xfId="1" applyNumberFormat="1" applyFont="1" applyBorder="1" applyAlignment="1"/>
    <xf numFmtId="166" fontId="18" fillId="0" borderId="3" xfId="1" applyNumberFormat="1" applyFont="1" applyBorder="1" applyAlignment="1"/>
    <xf numFmtId="168" fontId="18" fillId="0" borderId="3" xfId="1" applyNumberFormat="1" applyFont="1" applyBorder="1" applyAlignment="1"/>
    <xf numFmtId="0" fontId="3" fillId="0" borderId="0" xfId="0" applyFont="1"/>
    <xf numFmtId="166" fontId="19" fillId="0" borderId="3" xfId="0" applyNumberFormat="1" applyFont="1" applyBorder="1"/>
    <xf numFmtId="164" fontId="19" fillId="0" borderId="3" xfId="0" applyNumberFormat="1" applyFont="1" applyBorder="1"/>
    <xf numFmtId="164" fontId="22" fillId="0" borderId="3" xfId="0" applyNumberFormat="1" applyFont="1" applyBorder="1" applyAlignment="1">
      <alignment horizontal="center" vertical="center"/>
    </xf>
    <xf numFmtId="164" fontId="22" fillId="0" borderId="5" xfId="0" applyNumberFormat="1" applyFont="1" applyBorder="1" applyAlignment="1">
      <alignment horizontal="center" vertical="center"/>
    </xf>
    <xf numFmtId="164" fontId="21" fillId="0" borderId="9" xfId="0" applyNumberFormat="1" applyFont="1" applyBorder="1" applyAlignment="1">
      <alignment horizontal="center" vertical="center"/>
    </xf>
    <xf numFmtId="0" fontId="26" fillId="0" borderId="0" xfId="0" applyFont="1"/>
    <xf numFmtId="0" fontId="10" fillId="7" borderId="0" xfId="0" applyFont="1" applyFill="1"/>
    <xf numFmtId="0" fontId="0" fillId="7" borderId="0" xfId="0" applyFill="1"/>
    <xf numFmtId="43" fontId="16" fillId="2" borderId="3" xfId="0" applyNumberFormat="1" applyFont="1" applyFill="1" applyBorder="1"/>
    <xf numFmtId="166" fontId="16" fillId="2" borderId="3" xfId="0" applyNumberFormat="1" applyFont="1" applyFill="1" applyBorder="1"/>
    <xf numFmtId="43" fontId="16" fillId="2" borderId="3" xfId="0" applyNumberFormat="1" applyFont="1" applyFill="1" applyBorder="1" applyAlignment="1">
      <alignment horizontal="center"/>
    </xf>
    <xf numFmtId="166" fontId="16" fillId="2" borderId="3" xfId="0" applyNumberFormat="1" applyFont="1" applyFill="1" applyBorder="1" applyAlignment="1">
      <alignment horizontal="center"/>
    </xf>
    <xf numFmtId="0" fontId="0" fillId="0" borderId="15" xfId="0" applyBorder="1" applyAlignment="1">
      <alignment horizontal="center" vertical="center"/>
    </xf>
    <xf numFmtId="0" fontId="0" fillId="0" borderId="15" xfId="0" applyBorder="1" applyAlignment="1">
      <alignment horizontal="left"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horizontal="left" indent="1"/>
    </xf>
    <xf numFmtId="10" fontId="2" fillId="0" borderId="3" xfId="2" applyNumberFormat="1" applyFont="1" applyFill="1" applyBorder="1" applyAlignment="1">
      <alignment horizontal="center"/>
    </xf>
    <xf numFmtId="0" fontId="3" fillId="4" borderId="0" xfId="0" applyFont="1" applyFill="1"/>
    <xf numFmtId="0" fontId="27" fillId="0" borderId="0" xfId="0" applyFont="1" applyAlignment="1">
      <alignment horizontal="left"/>
    </xf>
    <xf numFmtId="0" fontId="27" fillId="0" borderId="0" xfId="0" quotePrefix="1" applyFont="1" applyAlignment="1">
      <alignment horizontal="left"/>
    </xf>
    <xf numFmtId="49" fontId="27" fillId="0" borderId="0" xfId="0" applyNumberFormat="1" applyFont="1" applyAlignment="1">
      <alignment horizontal="left"/>
    </xf>
    <xf numFmtId="0" fontId="16" fillId="0" borderId="0" xfId="0" quotePrefix="1" applyFont="1"/>
    <xf numFmtId="49" fontId="16" fillId="0" borderId="0" xfId="0" applyNumberFormat="1" applyFont="1"/>
    <xf numFmtId="0" fontId="4" fillId="0" borderId="14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18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" fillId="0" borderId="1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6" fontId="4" fillId="0" borderId="14" xfId="0" quotePrefix="1" applyNumberFormat="1" applyFont="1" applyBorder="1" applyAlignment="1">
      <alignment horizontal="center"/>
    </xf>
    <xf numFmtId="166" fontId="4" fillId="0" borderId="0" xfId="0" quotePrefix="1" applyNumberFormat="1" applyFont="1" applyAlignment="1">
      <alignment horizontal="center"/>
    </xf>
    <xf numFmtId="166" fontId="18" fillId="0" borderId="0" xfId="0" quotePrefix="1" applyNumberFormat="1" applyFont="1" applyAlignment="1">
      <alignment horizontal="center"/>
    </xf>
    <xf numFmtId="166" fontId="29" fillId="0" borderId="0" xfId="0" quotePrefix="1" applyNumberFormat="1" applyFont="1" applyAlignment="1">
      <alignment horizontal="center"/>
    </xf>
    <xf numFmtId="0" fontId="3" fillId="0" borderId="0" xfId="0" applyFont="1" applyAlignment="1">
      <alignment horizontal="left"/>
    </xf>
    <xf numFmtId="0" fontId="30" fillId="0" borderId="14" xfId="0" applyFont="1" applyBorder="1" applyAlignment="1">
      <alignment horizontal="center"/>
    </xf>
    <xf numFmtId="0" fontId="3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66" fontId="0" fillId="0" borderId="0" xfId="0" applyNumberFormat="1" applyProtection="1">
      <protection locked="0"/>
    </xf>
    <xf numFmtId="166" fontId="4" fillId="0" borderId="14" xfId="1" applyNumberFormat="1" applyFont="1" applyFill="1" applyBorder="1" applyAlignment="1" applyProtection="1">
      <protection locked="0"/>
    </xf>
    <xf numFmtId="166" fontId="4" fillId="0" borderId="0" xfId="1" applyNumberFormat="1" applyFont="1" applyFill="1" applyBorder="1" applyAlignment="1" applyProtection="1">
      <protection locked="0"/>
    </xf>
    <xf numFmtId="166" fontId="4" fillId="0" borderId="13" xfId="1" applyNumberFormat="1" applyFont="1" applyFill="1" applyBorder="1" applyAlignment="1" applyProtection="1">
      <protection locked="0"/>
    </xf>
    <xf numFmtId="166" fontId="18" fillId="0" borderId="0" xfId="1" applyNumberFormat="1" applyFont="1" applyFill="1" applyBorder="1" applyAlignment="1" applyProtection="1">
      <protection locked="0"/>
    </xf>
    <xf numFmtId="166" fontId="29" fillId="0" borderId="0" xfId="1" applyNumberFormat="1" applyFont="1" applyFill="1" applyBorder="1" applyAlignment="1" applyProtection="1">
      <protection locked="0"/>
    </xf>
    <xf numFmtId="166" fontId="0" fillId="0" borderId="0" xfId="1" applyNumberFormat="1" applyFont="1"/>
    <xf numFmtId="166" fontId="0" fillId="0" borderId="0" xfId="1" applyNumberFormat="1" applyFont="1" applyFill="1"/>
    <xf numFmtId="0" fontId="22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8" fillId="0" borderId="0" xfId="0" applyFont="1" applyAlignment="1">
      <alignment vertical="top" wrapText="1"/>
    </xf>
    <xf numFmtId="0" fontId="0" fillId="2" borderId="0" xfId="0" applyFill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16" fillId="0" borderId="0" xfId="0" applyFont="1" applyAlignment="1">
      <alignment horizontal="center"/>
    </xf>
    <xf numFmtId="166" fontId="16" fillId="0" borderId="0" xfId="1" applyNumberFormat="1" applyFont="1" applyBorder="1" applyAlignment="1"/>
    <xf numFmtId="0" fontId="0" fillId="8" borderId="0" xfId="0" applyFill="1"/>
    <xf numFmtId="0" fontId="0" fillId="9" borderId="0" xfId="0" applyFill="1"/>
    <xf numFmtId="172" fontId="0" fillId="0" borderId="0" xfId="0" applyNumberFormat="1"/>
    <xf numFmtId="166" fontId="20" fillId="0" borderId="0" xfId="1" applyNumberFormat="1" applyFont="1" applyBorder="1" applyAlignment="1"/>
    <xf numFmtId="166" fontId="3" fillId="0" borderId="0" xfId="0" applyNumberFormat="1" applyFont="1"/>
    <xf numFmtId="0" fontId="32" fillId="0" borderId="0" xfId="0" applyFont="1" applyAlignment="1">
      <alignment wrapText="1"/>
    </xf>
    <xf numFmtId="0" fontId="33" fillId="0" borderId="0" xfId="0" applyFont="1" applyAlignment="1">
      <alignment wrapText="1"/>
    </xf>
    <xf numFmtId="166" fontId="16" fillId="0" borderId="0" xfId="1" applyNumberFormat="1" applyFont="1"/>
    <xf numFmtId="49" fontId="13" fillId="0" borderId="0" xfId="0" applyNumberFormat="1" applyFont="1"/>
    <xf numFmtId="49" fontId="0" fillId="0" borderId="0" xfId="0" applyNumberFormat="1"/>
    <xf numFmtId="49" fontId="16" fillId="0" borderId="0" xfId="0" quotePrefix="1" applyNumberFormat="1" applyFont="1" applyAlignment="1">
      <alignment horizontal="left"/>
    </xf>
    <xf numFmtId="169" fontId="16" fillId="0" borderId="0" xfId="1" applyNumberFormat="1" applyFont="1" applyBorder="1" applyAlignment="1">
      <alignment horizontal="center"/>
    </xf>
    <xf numFmtId="10" fontId="16" fillId="0" borderId="0" xfId="2" applyNumberFormat="1" applyFont="1" applyBorder="1" applyAlignment="1"/>
    <xf numFmtId="43" fontId="16" fillId="0" borderId="0" xfId="1" applyFont="1" applyBorder="1" applyAlignment="1"/>
    <xf numFmtId="49" fontId="0" fillId="0" borderId="0" xfId="0" quotePrefix="1" applyNumberFormat="1"/>
    <xf numFmtId="10" fontId="0" fillId="0" borderId="0" xfId="2" applyNumberFormat="1" applyFont="1" applyAlignment="1">
      <alignment horizontal="right" wrapText="1"/>
    </xf>
    <xf numFmtId="43" fontId="0" fillId="0" borderId="0" xfId="1" applyFont="1" applyAlignment="1">
      <alignment horizontal="center" wrapText="1"/>
    </xf>
    <xf numFmtId="166" fontId="0" fillId="0" borderId="0" xfId="0" applyNumberFormat="1" applyAlignment="1">
      <alignment horizontal="center" wrapText="1"/>
    </xf>
    <xf numFmtId="166" fontId="0" fillId="0" borderId="14" xfId="1" applyNumberFormat="1" applyFont="1" applyFill="1" applyBorder="1"/>
    <xf numFmtId="166" fontId="0" fillId="0" borderId="13" xfId="1" applyNumberFormat="1" applyFont="1" applyFill="1" applyBorder="1"/>
    <xf numFmtId="166" fontId="0" fillId="0" borderId="0" xfId="1" applyNumberFormat="1" applyFont="1" applyFill="1" applyBorder="1"/>
    <xf numFmtId="0" fontId="2" fillId="3" borderId="0" xfId="6" applyFill="1" applyAlignment="1">
      <alignment wrapText="1"/>
    </xf>
    <xf numFmtId="10" fontId="2" fillId="0" borderId="0" xfId="2" applyNumberFormat="1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43" fontId="0" fillId="2" borderId="5" xfId="0" applyNumberFormat="1" applyFill="1" applyBorder="1"/>
    <xf numFmtId="164" fontId="0" fillId="0" borderId="5" xfId="0" applyNumberFormat="1" applyBorder="1" applyAlignment="1">
      <alignment horizontal="center"/>
    </xf>
    <xf numFmtId="2" fontId="0" fillId="0" borderId="5" xfId="0" applyNumberFormat="1" applyBorder="1" applyAlignment="1">
      <alignment horizontal="center" vertical="center"/>
    </xf>
    <xf numFmtId="166" fontId="0" fillId="0" borderId="2" xfId="0" applyNumberFormat="1" applyBorder="1"/>
    <xf numFmtId="0" fontId="0" fillId="0" borderId="2" xfId="0" applyBorder="1"/>
    <xf numFmtId="0" fontId="0" fillId="0" borderId="16" xfId="0" applyBorder="1"/>
    <xf numFmtId="164" fontId="15" fillId="0" borderId="0" xfId="1" applyNumberFormat="1" applyFont="1"/>
    <xf numFmtId="0" fontId="13" fillId="0" borderId="0" xfId="0" applyFont="1" applyAlignment="1">
      <alignment horizontal="left"/>
    </xf>
    <xf numFmtId="43" fontId="0" fillId="0" borderId="0" xfId="0" applyNumberFormat="1" applyAlignment="1">
      <alignment horizontal="right"/>
    </xf>
    <xf numFmtId="166" fontId="0" fillId="0" borderId="0" xfId="0" applyNumberFormat="1" applyAlignment="1">
      <alignment horizontal="right"/>
    </xf>
    <xf numFmtId="0" fontId="3" fillId="0" borderId="0" xfId="0" applyFont="1" applyAlignment="1">
      <alignment horizontal="center"/>
    </xf>
    <xf numFmtId="0" fontId="34" fillId="0" borderId="14" xfId="0" applyFont="1" applyBorder="1" applyAlignment="1">
      <alignment horizontal="center" wrapText="1"/>
    </xf>
    <xf numFmtId="0" fontId="34" fillId="0" borderId="0" xfId="0" applyFont="1" applyAlignment="1">
      <alignment horizontal="center" wrapText="1"/>
    </xf>
    <xf numFmtId="0" fontId="34" fillId="0" borderId="14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4" fillId="0" borderId="13" xfId="0" applyFont="1" applyBorder="1" applyAlignment="1">
      <alignment horizontal="center"/>
    </xf>
    <xf numFmtId="166" fontId="34" fillId="0" borderId="14" xfId="0" quotePrefix="1" applyNumberFormat="1" applyFont="1" applyBorder="1" applyAlignment="1">
      <alignment horizontal="center"/>
    </xf>
    <xf numFmtId="166" fontId="34" fillId="0" borderId="13" xfId="0" quotePrefix="1" applyNumberFormat="1" applyFont="1" applyBorder="1" applyAlignment="1">
      <alignment horizontal="center"/>
    </xf>
    <xf numFmtId="0" fontId="35" fillId="0" borderId="14" xfId="0" applyFont="1" applyBorder="1" applyAlignment="1">
      <alignment horizontal="center"/>
    </xf>
    <xf numFmtId="0" fontId="35" fillId="0" borderId="0" xfId="0" applyFont="1" applyAlignment="1">
      <alignment horizontal="center"/>
    </xf>
    <xf numFmtId="166" fontId="34" fillId="0" borderId="0" xfId="0" quotePrefix="1" applyNumberFormat="1" applyFont="1" applyAlignment="1">
      <alignment horizontal="center"/>
    </xf>
    <xf numFmtId="172" fontId="23" fillId="0" borderId="0" xfId="0" applyNumberFormat="1" applyFont="1"/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/>
    </xf>
    <xf numFmtId="0" fontId="18" fillId="0" borderId="14" xfId="0" applyFont="1" applyBorder="1" applyAlignment="1">
      <alignment horizontal="center" wrapText="1"/>
    </xf>
    <xf numFmtId="0" fontId="18" fillId="0" borderId="14" xfId="0" applyFont="1" applyBorder="1" applyAlignment="1">
      <alignment horizontal="center"/>
    </xf>
    <xf numFmtId="166" fontId="18" fillId="0" borderId="14" xfId="0" quotePrefix="1" applyNumberFormat="1" applyFont="1" applyBorder="1" applyAlignment="1">
      <alignment horizontal="center"/>
    </xf>
    <xf numFmtId="0" fontId="19" fillId="0" borderId="14" xfId="0" applyFont="1" applyBorder="1" applyAlignment="1">
      <alignment horizontal="center"/>
    </xf>
    <xf numFmtId="0" fontId="18" fillId="2" borderId="0" xfId="0" applyFont="1" applyFill="1" applyAlignment="1">
      <alignment horizontal="center" wrapText="1"/>
    </xf>
    <xf numFmtId="0" fontId="18" fillId="2" borderId="0" xfId="0" applyFont="1" applyFill="1" applyAlignment="1">
      <alignment horizontal="center"/>
    </xf>
    <xf numFmtId="0" fontId="29" fillId="0" borderId="14" xfId="0" applyFont="1" applyBorder="1" applyAlignment="1">
      <alignment horizontal="center" wrapText="1"/>
    </xf>
    <xf numFmtId="0" fontId="29" fillId="0" borderId="14" xfId="0" applyFont="1" applyBorder="1" applyAlignment="1">
      <alignment horizontal="center"/>
    </xf>
    <xf numFmtId="166" fontId="29" fillId="0" borderId="14" xfId="0" quotePrefix="1" applyNumberFormat="1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29" fillId="2" borderId="0" xfId="0" applyFont="1" applyFill="1" applyAlignment="1">
      <alignment horizontal="center"/>
    </xf>
    <xf numFmtId="0" fontId="29" fillId="2" borderId="0" xfId="0" applyFont="1" applyFill="1" applyAlignment="1">
      <alignment horizontal="center" wrapText="1"/>
    </xf>
    <xf numFmtId="0" fontId="30" fillId="2" borderId="0" xfId="0" applyFont="1" applyFill="1" applyAlignment="1">
      <alignment horizontal="center"/>
    </xf>
    <xf numFmtId="0" fontId="0" fillId="0" borderId="14" xfId="0" applyBorder="1"/>
    <xf numFmtId="166" fontId="18" fillId="0" borderId="14" xfId="1" applyNumberFormat="1" applyFont="1" applyFill="1" applyBorder="1" applyAlignment="1" applyProtection="1">
      <protection locked="0"/>
    </xf>
    <xf numFmtId="0" fontId="19" fillId="2" borderId="0" xfId="0" applyFont="1" applyFill="1" applyAlignment="1">
      <alignment horizontal="center"/>
    </xf>
    <xf numFmtId="0" fontId="31" fillId="2" borderId="0" xfId="0" applyFont="1" applyFill="1" applyAlignment="1">
      <alignment horizontal="center"/>
    </xf>
    <xf numFmtId="0" fontId="0" fillId="0" borderId="13" xfId="0" applyBorder="1"/>
    <xf numFmtId="0" fontId="34" fillId="2" borderId="0" xfId="0" applyFont="1" applyFill="1" applyAlignment="1">
      <alignment horizontal="center" wrapText="1"/>
    </xf>
    <xf numFmtId="0" fontId="34" fillId="2" borderId="13" xfId="0" applyFont="1" applyFill="1" applyBorder="1" applyAlignment="1">
      <alignment horizontal="center" wrapText="1"/>
    </xf>
    <xf numFmtId="0" fontId="34" fillId="2" borderId="13" xfId="0" applyFont="1" applyFill="1" applyBorder="1" applyAlignment="1">
      <alignment horizontal="center"/>
    </xf>
    <xf numFmtId="0" fontId="35" fillId="2" borderId="13" xfId="0" applyFont="1" applyFill="1" applyBorder="1" applyAlignment="1">
      <alignment horizontal="center"/>
    </xf>
    <xf numFmtId="166" fontId="29" fillId="0" borderId="14" xfId="1" applyNumberFormat="1" applyFont="1" applyFill="1" applyBorder="1" applyAlignment="1" applyProtection="1">
      <protection locked="0"/>
    </xf>
    <xf numFmtId="0" fontId="0" fillId="10" borderId="0" xfId="0" applyFill="1"/>
    <xf numFmtId="43" fontId="0" fillId="0" borderId="0" xfId="7" applyFont="1"/>
    <xf numFmtId="4" fontId="0" fillId="0" borderId="0" xfId="0" applyNumberFormat="1"/>
    <xf numFmtId="0" fontId="0" fillId="11" borderId="0" xfId="0" applyFill="1"/>
    <xf numFmtId="0" fontId="36" fillId="0" borderId="0" xfId="0" applyFont="1"/>
    <xf numFmtId="0" fontId="37" fillId="0" borderId="0" xfId="0" applyFont="1"/>
    <xf numFmtId="0" fontId="38" fillId="0" borderId="0" xfId="0" quotePrefix="1" applyFont="1"/>
    <xf numFmtId="0" fontId="38" fillId="0" borderId="0" xfId="0" applyFont="1"/>
    <xf numFmtId="0" fontId="39" fillId="0" borderId="0" xfId="0" applyFont="1"/>
    <xf numFmtId="0" fontId="0" fillId="0" borderId="12" xfId="0" quotePrefix="1" applyBorder="1" applyAlignment="1">
      <alignment horizontal="right"/>
    </xf>
    <xf numFmtId="0" fontId="40" fillId="0" borderId="0" xfId="0" applyFont="1"/>
    <xf numFmtId="0" fontId="4" fillId="0" borderId="0" xfId="0" applyFont="1" applyAlignment="1">
      <alignment horizontal="left"/>
    </xf>
    <xf numFmtId="0" fontId="4" fillId="2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0" fontId="18" fillId="2" borderId="0" xfId="0" applyFont="1" applyFill="1" applyAlignment="1">
      <alignment horizontal="left"/>
    </xf>
    <xf numFmtId="0" fontId="29" fillId="0" borderId="0" xfId="0" applyFont="1" applyAlignment="1">
      <alignment horizontal="left"/>
    </xf>
    <xf numFmtId="0" fontId="29" fillId="2" borderId="0" xfId="0" applyFont="1" applyFill="1" applyAlignment="1">
      <alignment horizontal="left"/>
    </xf>
    <xf numFmtId="0" fontId="34" fillId="0" borderId="0" xfId="0" applyFont="1" applyAlignment="1">
      <alignment horizontal="left"/>
    </xf>
    <xf numFmtId="0" fontId="34" fillId="2" borderId="0" xfId="0" applyFont="1" applyFill="1" applyAlignment="1">
      <alignment horizontal="left"/>
    </xf>
    <xf numFmtId="0" fontId="34" fillId="2" borderId="0" xfId="0" applyFont="1" applyFill="1" applyAlignment="1">
      <alignment horizontal="center"/>
    </xf>
    <xf numFmtId="0" fontId="16" fillId="6" borderId="0" xfId="0" applyFont="1" applyFill="1" applyAlignment="1">
      <alignment horizontal="center" wrapText="1"/>
    </xf>
    <xf numFmtId="0" fontId="16" fillId="6" borderId="0" xfId="0" applyFont="1" applyFill="1" applyAlignment="1">
      <alignment horizontal="center"/>
    </xf>
    <xf numFmtId="166" fontId="16" fillId="6" borderId="0" xfId="1" applyNumberFormat="1" applyFont="1" applyFill="1"/>
    <xf numFmtId="0" fontId="14" fillId="0" borderId="0" xfId="0" applyFont="1" applyAlignment="1">
      <alignment wrapText="1"/>
    </xf>
    <xf numFmtId="166" fontId="0" fillId="0" borderId="0" xfId="1" applyNumberFormat="1" applyFont="1" applyAlignment="1">
      <alignment horizontal="center" wrapText="1"/>
    </xf>
    <xf numFmtId="166" fontId="3" fillId="0" borderId="0" xfId="1" applyNumberFormat="1" applyFont="1" applyAlignment="1">
      <alignment horizontal="center" wrapText="1"/>
    </xf>
    <xf numFmtId="166" fontId="16" fillId="0" borderId="0" xfId="1" applyNumberFormat="1" applyFont="1" applyBorder="1" applyAlignment="1">
      <alignment horizontal="center"/>
    </xf>
    <xf numFmtId="166" fontId="0" fillId="0" borderId="0" xfId="5" applyNumberFormat="1" applyFont="1"/>
    <xf numFmtId="170" fontId="3" fillId="0" borderId="0" xfId="0" applyNumberFormat="1" applyFont="1"/>
    <xf numFmtId="169" fontId="16" fillId="0" borderId="0" xfId="1" applyNumberFormat="1" applyFont="1" applyBorder="1" applyAlignment="1"/>
    <xf numFmtId="0" fontId="41" fillId="0" borderId="0" xfId="0" applyFont="1" applyAlignment="1">
      <alignment wrapText="1"/>
    </xf>
    <xf numFmtId="0" fontId="0" fillId="10" borderId="0" xfId="0" applyFill="1" applyAlignment="1">
      <alignment wrapText="1"/>
    </xf>
    <xf numFmtId="166" fontId="0" fillId="0" borderId="0" xfId="5" applyNumberFormat="1" applyFont="1" applyAlignment="1">
      <alignment wrapText="1"/>
    </xf>
    <xf numFmtId="0" fontId="0" fillId="0" borderId="0" xfId="0" pivotButton="1" applyAlignment="1">
      <alignment wrapText="1"/>
    </xf>
    <xf numFmtId="166" fontId="16" fillId="0" borderId="0" xfId="1" applyNumberFormat="1" applyFont="1" applyFill="1" applyBorder="1" applyAlignment="1"/>
    <xf numFmtId="166" fontId="20" fillId="0" borderId="0" xfId="1" applyNumberFormat="1" applyFont="1" applyFill="1" applyBorder="1" applyAlignment="1"/>
    <xf numFmtId="0" fontId="16" fillId="11" borderId="0" xfId="0" applyFont="1" applyFill="1"/>
    <xf numFmtId="166" fontId="0" fillId="0" borderId="0" xfId="5" applyNumberFormat="1" applyFont="1" applyFill="1"/>
    <xf numFmtId="0" fontId="2" fillId="0" borderId="0" xfId="1" applyNumberFormat="1" applyFont="1"/>
    <xf numFmtId="43" fontId="0" fillId="0" borderId="0" xfId="1" applyFont="1" applyAlignment="1">
      <alignment wrapText="1"/>
    </xf>
    <xf numFmtId="173" fontId="0" fillId="0" borderId="0" xfId="0" applyNumberFormat="1"/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13" fillId="0" borderId="0" xfId="0" applyFont="1" applyAlignment="1">
      <alignment vertical="center"/>
    </xf>
    <xf numFmtId="167" fontId="15" fillId="0" borderId="0" xfId="1" applyNumberFormat="1" applyFont="1" applyAlignment="1">
      <alignment vertical="center"/>
    </xf>
    <xf numFmtId="43" fontId="15" fillId="0" borderId="0" xfId="1" applyFont="1" applyAlignment="1">
      <alignment vertical="center"/>
    </xf>
    <xf numFmtId="168" fontId="15" fillId="0" borderId="0" xfId="1" applyNumberFormat="1" applyFont="1" applyAlignment="1">
      <alignment vertical="center"/>
    </xf>
    <xf numFmtId="0" fontId="15" fillId="0" borderId="0" xfId="0" applyFont="1" applyAlignment="1">
      <alignment vertical="center"/>
    </xf>
    <xf numFmtId="10" fontId="15" fillId="0" borderId="0" xfId="2" applyNumberFormat="1" applyFont="1" applyAlignment="1">
      <alignment vertical="center"/>
    </xf>
    <xf numFmtId="0" fontId="0" fillId="0" borderId="0" xfId="0" applyAlignment="1">
      <alignment vertical="center"/>
    </xf>
    <xf numFmtId="0" fontId="0" fillId="2" borderId="0" xfId="0" applyFill="1" applyAlignment="1">
      <alignment horizontal="right"/>
    </xf>
    <xf numFmtId="0" fontId="0" fillId="12" borderId="0" xfId="0" applyFill="1" applyAlignment="1">
      <alignment horizontal="right"/>
    </xf>
    <xf numFmtId="43" fontId="42" fillId="0" borderId="0" xfId="1" applyFont="1" applyAlignment="1">
      <alignment horizontal="right"/>
    </xf>
    <xf numFmtId="170" fontId="0" fillId="12" borderId="0" xfId="0" applyNumberFormat="1" applyFill="1"/>
    <xf numFmtId="166" fontId="3" fillId="4" borderId="0" xfId="0" applyNumberFormat="1" applyFont="1" applyFill="1"/>
    <xf numFmtId="0" fontId="10" fillId="4" borderId="0" xfId="0" applyFont="1" applyFill="1" applyAlignment="1">
      <alignment horizontal="center"/>
    </xf>
    <xf numFmtId="0" fontId="0" fillId="0" borderId="0" xfId="0" applyAlignment="1">
      <alignment horizontal="center"/>
    </xf>
  </cellXfs>
  <cellStyles count="8">
    <cellStyle name="Comma" xfId="1" builtinId="3"/>
    <cellStyle name="Comma 2" xfId="5" xr:uid="{00000000-0005-0000-0000-000001000000}"/>
    <cellStyle name="Comma 3" xfId="7" xr:uid="{4FCCA878-38B5-4825-BD6E-D379CECAC00F}"/>
    <cellStyle name="Hyperlink" xfId="3" builtinId="8"/>
    <cellStyle name="Normal" xfId="0" builtinId="0"/>
    <cellStyle name="Normal 2" xfId="4" xr:uid="{00000000-0005-0000-0000-000004000000}"/>
    <cellStyle name="Normal 2 2 2 2 2 2 2 2" xfId="6" xr:uid="{39237399-699C-43BA-889B-EDC9E98B552B}"/>
    <cellStyle name="Percent" xfId="2" builtinId="5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fgColor indexed="64"/>
          <bgColor theme="9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rgb="FFFFFF00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fill>
        <patternFill patternType="solid">
          <bgColor theme="7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>
          <bgColor theme="9" tint="0.59999389629810485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A365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pivotCacheDefinition" Target="pivotCache/pivotCacheDefinition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pivotCacheDefinition" Target="pivotCache/pivotCacheDefinition5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pivotCacheDefinition" Target="pivotCache/pivotCacheDefinition3.xml"/><Relationship Id="rId45" Type="http://schemas.openxmlformats.org/officeDocument/2006/relationships/pivotCacheDefinition" Target="pivotCache/pivotCacheDefinition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pivotCacheDefinition" Target="pivotCache/pivotCacheDefinition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pivotCacheDefinition" Target="pivotCache/pivotCacheDefinition6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pivotCacheDefinition" Target="pivotCache/pivotCacheDefinition1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Michelle Matakas" id="{B5F9FBB2-E486-4DB9-B97F-9A4310EC3B35}" userId="S::Michelle.Matakas@k12.wa.us::36840e67-fe79-4865-b32a-7bfa16c7957f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ie McDonald" refreshedDate="45688.643573726855" createdVersion="8" refreshedVersion="8" minRefreshableVersion="3" recordCount="5137" xr:uid="{E9FB8499-2B5F-4A3E-B673-BD06516DF6EB}">
  <cacheSource type="worksheet">
    <worksheetSource ref="B1:E1048576" sheet="PSES Enroll Snapshot 25-01-17"/>
  </cacheSource>
  <cacheFields count="4">
    <cacheField name="CCDDD" numFmtId="0">
      <sharedItems containsBlank="1" count="323">
        <s v="14005"/>
        <s v="21226"/>
        <s v="22017"/>
        <s v="29103"/>
        <s v="31016"/>
        <s v="02420"/>
        <s v="17408"/>
        <s v="18303"/>
        <s v="06119"/>
        <s v="17405"/>
        <s v="37501"/>
        <s v="01122"/>
        <s v="27403"/>
        <s v="20203"/>
        <s v="37503"/>
        <s v="21234"/>
        <s v="18100"/>
        <s v="24111"/>
        <s v="09075"/>
        <s v="16046"/>
        <s v="29100"/>
        <s v="06117"/>
        <s v="05401"/>
        <s v="27019"/>
        <s v="04228"/>
        <s v="04222"/>
        <s v="08401"/>
        <s v="18901"/>
        <s v="20215"/>
        <s v="18401"/>
        <s v="32356"/>
        <s v="21401"/>
        <s v="21302"/>
        <s v="32360"/>
        <s v="33036"/>
        <s v="27901"/>
        <s v="16049"/>
        <s v="02250"/>
        <s v="19404"/>
        <s v="27400"/>
        <s v="38300"/>
        <s v="36250"/>
        <s v="38306"/>
        <s v="33206"/>
        <s v="36400"/>
        <s v="33115"/>
        <s v="29011"/>
        <s v="29317"/>
        <s v="14099"/>
        <s v="13151"/>
        <s v="15204"/>
        <s v="05313"/>
        <s v="22073"/>
        <s v="10050"/>
        <s v="26059"/>
        <s v="19007"/>
        <s v="31330"/>
        <s v="22207"/>
        <s v="07002"/>
        <s v="32414"/>
        <s v="27343"/>
        <s v="36101"/>
        <s v="32361"/>
        <s v="39090"/>
        <s v="09206"/>
        <s v="19028"/>
        <s v="27404"/>
        <s v="31015"/>
        <s v="19401"/>
        <s v="14068"/>
        <s v="38308"/>
        <s v="04127"/>
        <s v="17216"/>
        <s v="13165"/>
        <s v="06701"/>
        <s v="21036"/>
        <s v="31002"/>
        <s v="06114"/>
        <s v="33205"/>
        <s v="17210"/>
        <s v="37502"/>
        <s v="27417"/>
        <s v="03053"/>
        <s v="27402"/>
        <s v="32358"/>
        <s v="38302"/>
        <s v="20401"/>
        <s v="20404"/>
        <s v="13301"/>
        <s v="39200"/>
        <s v="39204"/>
        <s v="31332"/>
        <s v="23054"/>
        <s v="32312"/>
        <s v="06103"/>
        <s v="34324"/>
        <s v="22204"/>
        <s v="39203"/>
        <s v="17401"/>
        <s v="06098"/>
        <s v="23404"/>
        <s v="14028"/>
        <s v="17919"/>
        <s v="27902"/>
        <s v="17911"/>
        <s v="17916"/>
        <s v="10070"/>
        <s v="31063"/>
        <s v="32907"/>
        <s v="17411"/>
        <s v="11056"/>
        <s v="08402"/>
        <s v="10003"/>
        <s v="08458"/>
        <s v="03017"/>
        <s v="17415"/>
        <s v="33212"/>
        <s v="03052"/>
        <s v="19403"/>
        <s v="20402"/>
        <s v="06101"/>
        <s v="29311"/>
        <s v="38126"/>
        <s v="04129"/>
        <s v="14097"/>
        <s v="31004"/>
        <s v="17414"/>
        <s v="31306"/>
        <s v="38264"/>
        <s v="32362"/>
        <s v="01158"/>
        <s v="08122"/>
        <s v="33183"/>
        <s v="28144"/>
        <s v="32903"/>
        <s v="37903"/>
        <s v="20406"/>
        <s v="37504"/>
        <s v="39120"/>
        <s v="09207"/>
        <s v="04019"/>
        <s v="23311"/>
        <s v="33207"/>
        <s v="31025"/>
        <s v="14065"/>
        <s v="32354"/>
        <s v="32326"/>
        <s v="17400"/>
        <s v="37505"/>
        <s v="24350"/>
        <s v="30031"/>
        <s v="31103"/>
        <s v="14066"/>
        <s v="21214"/>
        <s v="13161"/>
        <s v="21206"/>
        <s v="39209"/>
        <s v="37507"/>
        <s v="30029"/>
        <s v="29320"/>
        <s v="17903"/>
        <s v="31006"/>
        <s v="39003"/>
        <s v="21014"/>
        <s v="25155"/>
        <s v="24014"/>
        <s v="26056"/>
        <s v="32325"/>
        <s v="37506"/>
        <s v="14064"/>
        <s v="11051"/>
        <s v="18400"/>
        <s v="23403"/>
        <s v="25200"/>
        <s v="34003"/>
        <s v="33211"/>
        <s v="17417"/>
        <s v="15201"/>
        <s v="38324"/>
        <s v="14400"/>
        <s v="25101"/>
        <s v="14172"/>
        <s v="22105"/>
        <s v="24105"/>
        <s v="34111"/>
        <s v="24019"/>
        <s v="21300"/>
        <s v="33030"/>
        <s v="28137"/>
        <s v="32123"/>
        <s v="10065"/>
        <s v="09013"/>
        <s v="24410"/>
        <s v="27344"/>
        <s v="01147"/>
        <s v="09102"/>
        <s v="38301"/>
        <s v="24915"/>
        <s v="11001"/>
        <s v="24122"/>
        <s v="03050"/>
        <s v="21301"/>
        <s v="27401"/>
        <s v="04901"/>
        <s v="23402"/>
        <s v="12110"/>
        <s v="05121"/>
        <s v="16050"/>
        <s v="36402"/>
        <s v="03116"/>
        <s v="38267"/>
        <s v="27003"/>
        <s v="16020"/>
        <s v="16048"/>
        <s v="05903"/>
        <s v="05402"/>
        <s v="13144"/>
        <s v="17908"/>
        <s v="34307"/>
        <s v="17910"/>
        <s v="25116"/>
        <s v="22009"/>
        <s v="17403"/>
        <s v="10309"/>
        <s v="03400"/>
        <s v="06122"/>
        <s v="01160"/>
        <s v="32416"/>
        <s v="17407"/>
        <s v="34401"/>
        <s v="20403"/>
        <s v="06901"/>
        <s v="38320"/>
        <s v="13160"/>
        <s v="28149"/>
        <s v="14104"/>
        <s v="17001"/>
        <s v="29101"/>
        <s v="39119"/>
        <s v="26070"/>
        <s v="05323"/>
        <s v="28010"/>
        <s v="23309"/>
        <s v="17412"/>
        <s v="30002"/>
        <s v="17404"/>
        <s v="31201"/>
        <s v="17410"/>
        <s v="13156"/>
        <s v="25118"/>
        <s v="18402"/>
        <s v="15206"/>
        <s v="23042"/>
        <s v="32901"/>
        <s v="32081"/>
        <s v="22008"/>
        <s v="38322"/>
        <s v="31401"/>
        <s v="11054"/>
        <s v="07035"/>
        <s v="04069"/>
        <s v="27001"/>
        <s v="38304"/>
        <s v="30303"/>
        <s v="31311"/>
        <s v="17905"/>
        <s v="27905"/>
        <s v="17902"/>
        <s v="33202"/>
        <s v="27320"/>
        <s v="39201"/>
        <s v="18902"/>
        <s v="27010"/>
        <s v="14077"/>
        <s v="17409"/>
        <s v="38265"/>
        <s v="34402"/>
        <s v="19400"/>
        <s v="21237"/>
        <s v="24404"/>
        <s v="39202"/>
        <s v="36300"/>
        <s v="08130"/>
        <s v="20400"/>
        <s v="17406"/>
        <s v="34033"/>
        <s v="39002"/>
        <s v="27083"/>
        <s v="33070"/>
        <s v="06037"/>
        <s v="17402"/>
        <s v="34901"/>
        <s v="35200"/>
        <s v="13073"/>
        <s v="36401"/>
        <s v="36140"/>
        <s v="39207"/>
        <s v="13146"/>
        <s v="06112"/>
        <s v="01109"/>
        <s v="09209"/>
        <s v="33049"/>
        <s v="04246"/>
        <s v="32363"/>
        <s v="39208"/>
        <s v="37902"/>
        <s v="21303"/>
        <s v="27416"/>
        <s v="20405"/>
        <s v="17917"/>
        <s v="22200"/>
        <s v="25160"/>
        <s v="13167"/>
        <s v="21232"/>
        <s v="14117"/>
        <s v="20094"/>
        <s v="08404"/>
        <s v="39901"/>
        <s v="39007"/>
        <s v="34002"/>
        <s v="39205"/>
        <m/>
        <s v="38901" u="1"/>
      </sharedItems>
    </cacheField>
    <cacheField name="ItemCode" numFmtId="0">
      <sharedItems containsBlank="1" count="17">
        <s v="042A"/>
        <s v="043A"/>
        <s v="044A"/>
        <s v="045A"/>
        <s v="046A"/>
        <s v="047A"/>
        <s v="048A"/>
        <s v="049A"/>
        <s v="050A"/>
        <s v="051A"/>
        <s v="E54"/>
        <s v="E55"/>
        <s v="E56"/>
        <s v="E57"/>
        <s v="TKZ271"/>
        <s v="Z271"/>
        <m/>
      </sharedItems>
    </cacheField>
    <cacheField name="Amount" numFmtId="0">
      <sharedItems containsString="0" containsBlank="1" containsNumber="1" minValue="0" maxValue="14006.17"/>
    </cacheField>
    <cacheField name="OrganizationName" numFmtId="0">
      <sharedItems containsBlank="1" count="324">
        <s v="Aberdeen School District"/>
        <s v="Adna School District"/>
        <s v="Almira School District"/>
        <s v="Anacortes School District"/>
        <s v="Arlington School District"/>
        <s v="Asotin-Anatone School District"/>
        <s v="Auburn School District"/>
        <s v="Bainbridge Island School District"/>
        <s v="Battle Ground School District"/>
        <s v="Bellevue School District"/>
        <s v="Bellingham School District"/>
        <s v="Benge School District"/>
        <s v="Bethel School District"/>
        <s v="Bickleton School District"/>
        <s v="Blaine School District"/>
        <s v="Boistfort School District"/>
        <s v="Bremerton School District"/>
        <s v="Brewster School District"/>
        <s v="Bridgeport School District"/>
        <s v="Brinnon School District"/>
        <s v="Burlington-Edison School District"/>
        <s v="Camas School District"/>
        <s v="Cape Flattery School District"/>
        <s v="Carbonado School District"/>
        <s v="Cascade School District"/>
        <s v="CASHMERE SCHOOL DISTRICT"/>
        <s v="Castle Rock School District"/>
        <s v="Catalyst Public Schools"/>
        <s v="Centerville School District"/>
        <s v="Central Kitsap School District"/>
        <s v="Central Valley School District"/>
        <s v="Centralia School District"/>
        <s v="Chehalis School District"/>
        <s v="Cheney School District"/>
        <s v="Chewelah School District"/>
        <s v="Chief Leschi Tribal Compact"/>
        <s v="Chimacum School District"/>
        <s v="Clarkston School District"/>
        <s v="Cle Elum-Roslyn School District"/>
        <s v="Clover Park School District"/>
        <s v="Colfax School District"/>
        <s v="College Place School District"/>
        <s v="Colton School District"/>
        <s v="Columbia (Stevens) School District"/>
        <s v="Columbia (Walla Walla) School District"/>
        <s v="Colville School District"/>
        <s v="Concrete School District"/>
        <s v="Conway School District"/>
        <s v="Cosmopolis School District"/>
        <s v="Coulee-Hartline School District"/>
        <s v="Coupeville School District"/>
        <s v="Crescent School District"/>
        <s v="Creston School District"/>
        <s v="Curlew School District"/>
        <s v="Cusick School District"/>
        <s v="Damman School District"/>
        <s v="Darrington School District"/>
        <s v="Davenport School District"/>
        <s v="Dayton School District"/>
        <s v="Deer Park School District"/>
        <s v="Dieringer School District"/>
        <s v="Dixie School District"/>
        <s v="East Valley School District (Spokane)"/>
        <s v="East Valley School District (Yakima)"/>
        <s v="Eastmont School District"/>
        <s v="Easton School District"/>
        <s v="Eatonville School District"/>
        <s v="Edmonds School District"/>
        <s v="Ellensburg School District"/>
        <s v="Elma School District"/>
        <s v="Endicott School District"/>
        <s v="Entiat School District"/>
        <s v="Enumclaw School District"/>
        <s v="Ephrata School District"/>
        <s v="ESA 112"/>
        <s v="Evaline School District"/>
        <s v="Everett School District"/>
        <s v="Evergreen School District (Clark)"/>
        <s v="Evergreen School District (Stevens)"/>
        <s v="Federal Way School District"/>
        <s v="Ferndale School District"/>
        <s v="Fife School District"/>
        <s v="Finley School District"/>
        <s v="Franklin Pierce School District"/>
        <s v="Freeman School District"/>
        <s v="Garfield School District"/>
        <s v="Glenwood School District"/>
        <s v="Goldendale School District"/>
        <s v="Grand Coulee Dam School District"/>
        <s v="Grandview School District"/>
        <s v="Granger School District"/>
        <s v="Granite Falls School District"/>
        <s v="Grapeview School District"/>
        <s v="Great Northern School District"/>
        <s v="Green Mountain School District"/>
        <s v="Griffin School District"/>
        <s v="Harrington School District"/>
        <s v="Highland School District"/>
        <s v="Highline School District"/>
        <s v="Hockinson School District"/>
        <s v="Hood Canal School District"/>
        <s v="Hoquiam School District"/>
        <s v="Impact | Black River Elementary"/>
        <s v="Impact | Commencement Bay Elementary"/>
        <s v="Impact | Puget Sound Elementary"/>
        <s v="Impact | Salish Sea Elementary"/>
        <s v="Inchelium School District"/>
        <s v="Index School District"/>
        <s v="Innovation Spokane Charter School District "/>
        <s v="Issaquah School District"/>
        <s v="Kahlotus School District"/>
        <s v="Kalama School District"/>
        <s v="Keller School District"/>
        <s v="Kelso School District"/>
        <s v="Kennewick School District"/>
        <s v="Kent School District"/>
        <s v="Kettle Falls School District"/>
        <s v="Kiona-Benton City School District"/>
        <s v="Kittitas School District"/>
        <s v="Klickitat School District"/>
        <s v="La Center School District"/>
        <s v="La Conner School District"/>
        <s v="LaCrosse School District"/>
        <s v="Lake Chelan School District"/>
        <s v="Lake Quinault School District"/>
        <s v="Lake Stevens School District"/>
        <s v="Lake Washington School District"/>
        <s v="Lakewood School District"/>
        <s v="Lamont School District"/>
        <s v="Liberty School District"/>
        <s v="Lind School District"/>
        <s v="Longview School District"/>
        <s v="Loon Lake School District"/>
        <s v="Lopez School District"/>
        <s v="Lumen Public School"/>
        <s v="Lummi Tribal Agency"/>
        <s v="Lyle School District"/>
        <s v="Lynden School District"/>
        <s v="Mabton School District"/>
        <s v="Mansfield School District"/>
        <s v="Manson School District"/>
        <s v="Mary M Knight School District"/>
        <s v="Mary Walker School District"/>
        <s v="Marysville School District"/>
        <s v="McCleary School District"/>
        <s v="Mead School District"/>
        <s v="Medical Lake School District"/>
        <s v="Mercer Island School District"/>
        <s v="Meridian School District"/>
        <s v="Methow Valley School District"/>
        <s v="Mill A School District"/>
        <s v="Monroe School District"/>
        <s v="Montesano School District"/>
        <s v="Morton School District"/>
        <s v="Moses Lake School District"/>
        <s v="Mossyrock School District"/>
        <s v="Mount Adams School District"/>
        <s v="Mount Baker School District"/>
        <s v="Mount Pleasant School District"/>
        <s v="Mount Vernon School District"/>
        <s v="Muckleshoot Indian Tribe"/>
        <s v="Mukilteo School District"/>
        <s v="Naches Valley School District"/>
        <s v="Napavine School District"/>
        <s v="Naselle-Grays River Valley School District"/>
        <s v="Nespelem School District  "/>
        <s v="Newport School District"/>
        <s v="Nine Mile Falls School District"/>
        <s v="Nooksack Valley School District"/>
        <s v="North Beach School District"/>
        <s v="North Franklin School District"/>
        <s v="North Kitsap School District"/>
        <s v="North Mason School District"/>
        <s v="North River School District"/>
        <s v="North Thurston Public Schools"/>
        <s v="Northport School District"/>
        <s v="Northshore School District"/>
        <s v="Oak Harbor School District"/>
        <s v="Oakesdale School District"/>
        <s v="Oakville School District"/>
        <s v="Ocean Beach School District"/>
        <s v="Ocosta School District"/>
        <s v="Odessa School District"/>
        <s v="Okanogan School District"/>
        <s v="Olympia School District"/>
        <s v="Omak School District"/>
        <s v="Onalaska School District"/>
        <s v="Onion Creek School District"/>
        <s v="Orcas Island School District"/>
        <s v="Orchard Prairie School District"/>
        <s v="Orient School District"/>
        <s v="Orondo School District"/>
        <s v="Oroville School District"/>
        <s v="Orting School District"/>
        <s v="Othello School District"/>
        <s v="Palisades School District"/>
        <s v="Palouse School District"/>
        <s v="Paschal Sherman Indian School"/>
        <s v="Pasco School District"/>
        <s v="Pateros School District"/>
        <s v="Paterson School District"/>
        <s v="Pe Ell School District"/>
        <s v="Peninsula School District"/>
        <s v="Pinnacles Prep"/>
        <s v="Pioneer School District"/>
        <s v="Pomeroy School District"/>
        <s v="Port Angeles School District"/>
        <s v="Port Townsend School District"/>
        <s v="Prescott School District"/>
        <s v="Prosser School District"/>
        <s v="Pullman School District"/>
        <s v="Puyallup School District"/>
        <s v="Queets-Clearwater School District"/>
        <s v="Quilcene School District"/>
        <s v="Quileute Tribal School District"/>
        <s v="Quillayute Valley School District"/>
        <s v="Quincy School District"/>
        <s v="Rainier Prep Charter School District"/>
        <s v="Rainier School District"/>
        <s v="Rainier Valley Leadership Academy "/>
        <s v="Raymond School District"/>
        <s v="Reardan-Edwall School District"/>
        <s v="Renton School District"/>
        <s v="Republic School District"/>
        <s v="Richland School District"/>
        <s v="Ridgefield School District"/>
        <s v="Ritzville School District"/>
        <s v="Riverside School District"/>
        <s v="Riverview School District"/>
        <s v="Rochester School District"/>
        <s v="Roosevelt School District"/>
        <s v="Rooted School Vancouver"/>
        <s v="Rosalia School District"/>
        <s v="Royal School District"/>
        <s v="San Juan Island School District"/>
        <s v="Satsop School District"/>
        <s v="Seattle Public Schools"/>
        <s v="Sedro-Woolley School District"/>
        <s v="Selah School District"/>
        <s v="Selkirk School District"/>
        <s v="Sequim School District"/>
        <s v="Shaw Island School District"/>
        <s v="Shelton School District"/>
        <s v="Shoreline School District"/>
        <s v="Skamania School District"/>
        <s v="Skykomish School District"/>
        <s v="Snohomish School District"/>
        <s v="Snoqualmie Valley School District"/>
        <s v="Soap Lake School District"/>
        <s v="South Bend School District"/>
        <s v="South Kitsap School District"/>
        <s v="South Whidbey School District"/>
        <s v="Southside School District"/>
        <s v="Spokane International Academy"/>
        <s v="Spokane School District"/>
        <s v="Sprague School District"/>
        <s v="St. John School District"/>
        <s v="Stanwood-Camano School District"/>
        <s v="Star School District No. 054"/>
        <s v="Starbuck School District"/>
        <s v="Stehekin School District"/>
        <s v="Steilacoom Hist. School District"/>
        <s v="Steptoe School District"/>
        <s v="Stevenson-Carson School District"/>
        <s v="Sultan School District"/>
        <s v="Summit Public School: Atlas"/>
        <s v="Summit Public School: Olympus"/>
        <s v="Summit Public School: Sierra"/>
        <s v="Summit Valley School District"/>
        <s v="Sumner-Bonney Lake School District"/>
        <s v="Sunnyside School District"/>
        <s v="Suquamish Tribal Education Department"/>
        <s v="Tacoma School District"/>
        <s v="Taholah School District"/>
        <s v="Tahoma School District"/>
        <s v="Tekoa School District"/>
        <s v="Tenino School District"/>
        <s v="Thorp School District"/>
        <s v="Toledo School District"/>
        <s v="Tonasket School District"/>
        <s v="Toppenish School District"/>
        <s v="Touchet School District"/>
        <s v="Toutle Lake School District"/>
        <s v="Trout Lake School District"/>
        <s v="Tukwila School District"/>
        <s v="Tumwater School District"/>
        <s v="Union Gap School District"/>
        <s v="University Place School District"/>
        <s v="Valley School District"/>
        <s v="Vancouver School District"/>
        <s v="Vashon Island School District"/>
        <s v="WA HE LUT Indian School Agency"/>
        <s v="Wahkiakum School District"/>
        <s v="Wahluke School District"/>
        <s v="Waitsburg School District"/>
        <s v="Walla Walla Public Schools"/>
        <s v="Wapato School District"/>
        <s v="Warden School District"/>
        <s v="Washougal School District"/>
        <s v="Washtucna School District"/>
        <s v="Waterville School District"/>
        <s v="Wellpinit School District"/>
        <s v="Wenatchee School District"/>
        <s v="West Valley School District (Spokane)"/>
        <s v="West Valley School District (Yakima)"/>
        <s v="Whatcom Intergenerational High School"/>
        <s v="White Pass School District"/>
        <s v="White River School District"/>
        <s v="White Salmon Valley School District"/>
        <s v="Why Not You Academy (formerly Cascade: Midway charter)"/>
        <s v="Wilbur School District"/>
        <s v="Willapa Valley School District"/>
        <s v="Wilson Creek School District"/>
        <s v="Winlock School District"/>
        <s v="Wishkah Valley School District"/>
        <s v="Wishram School District"/>
        <s v="Woodland School District"/>
        <s v="Yakama Nation Tribal Compact"/>
        <s v="Yakima School District"/>
        <s v="Yelm School District"/>
        <s v="Zillah School District"/>
        <m/>
        <s v="PRIDE Prep Charter School District" u="1"/>
        <s v="Pullman Community Montessori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ie McDonald" refreshedDate="45688.643574305555" createdVersion="8" refreshedVersion="8" minRefreshableVersion="3" recordCount="3695" xr:uid="{15CC6F66-4E75-429C-8FED-D24A79C0B707}">
  <cacheSource type="worksheet">
    <worksheetSource ref="G1:S1048576" sheet="PSES Staff Snapshot 25-01-16"/>
  </cacheSource>
  <cacheFields count="13">
    <cacheField name="CCDDD" numFmtId="0">
      <sharedItems containsBlank="1" count="319">
        <s v="01147"/>
        <s v="01158"/>
        <s v="01160"/>
        <s v="02250"/>
        <s v="02420"/>
        <s v="03017"/>
        <s v="03050"/>
        <s v="03052"/>
        <s v="03053"/>
        <s v="03116"/>
        <s v="03400"/>
        <s v="04019"/>
        <s v="04127"/>
        <s v="04129"/>
        <s v="04222"/>
        <s v="04228"/>
        <s v="04246"/>
        <s v="04901"/>
        <s v="05121"/>
        <s v="05313"/>
        <s v="05323"/>
        <s v="05401"/>
        <s v="05402"/>
        <s v="05903"/>
        <s v="06037"/>
        <s v="06098"/>
        <s v="06101"/>
        <s v="06103"/>
        <s v="06112"/>
        <s v="06114"/>
        <s v="06117"/>
        <s v="06119"/>
        <s v="06122"/>
        <s v="07002"/>
        <s v="08122"/>
        <s v="08130"/>
        <s v="08401"/>
        <s v="08402"/>
        <s v="08404"/>
        <s v="08458"/>
        <s v="09013"/>
        <s v="09075"/>
        <s v="09102"/>
        <s v="09206"/>
        <s v="09207"/>
        <s v="09209"/>
        <s v="10003"/>
        <s v="10050"/>
        <s v="10065"/>
        <s v="10070"/>
        <s v="10309"/>
        <s v="11001"/>
        <s v="11051"/>
        <s v="11056"/>
        <s v="12110"/>
        <s v="13073"/>
        <s v="13144"/>
        <s v="13146"/>
        <s v="13151"/>
        <s v="13156"/>
        <s v="13160"/>
        <s v="13161"/>
        <s v="13165"/>
        <s v="13167"/>
        <s v="13301"/>
        <s v="14005"/>
        <s v="14028"/>
        <s v="14064"/>
        <s v="14065"/>
        <s v="14066"/>
        <s v="14068"/>
        <s v="14077"/>
        <s v="14097"/>
        <s v="14099"/>
        <s v="14117"/>
        <s v="14172"/>
        <s v="14400"/>
        <s v="15201"/>
        <s v="15204"/>
        <s v="15206"/>
        <s v="16020"/>
        <s v="16046"/>
        <s v="16048"/>
        <s v="16049"/>
        <s v="16050"/>
        <s v="17001"/>
        <s v="17210"/>
        <s v="17216"/>
        <s v="17400"/>
        <s v="17401"/>
        <s v="17402"/>
        <s v="17403"/>
        <s v="17404"/>
        <s v="17405"/>
        <s v="17406"/>
        <s v="17407"/>
        <s v="17408"/>
        <s v="17409"/>
        <s v="17410"/>
        <s v="17411"/>
        <s v="17412"/>
        <s v="17414"/>
        <s v="17415"/>
        <s v="17417"/>
        <s v="17902"/>
        <s v="17903"/>
        <s v="17905"/>
        <s v="17911"/>
        <s v="17916"/>
        <s v="17917"/>
        <s v="17919"/>
        <s v="18100"/>
        <s v="18303"/>
        <s v="18400"/>
        <s v="18401"/>
        <s v="18402"/>
        <s v="18901"/>
        <s v="18902"/>
        <s v="19007"/>
        <s v="19028"/>
        <s v="19400"/>
        <s v="19401"/>
        <s v="19403"/>
        <s v="19404"/>
        <s v="20094"/>
        <s v="20215"/>
        <s v="20400"/>
        <s v="20401"/>
        <s v="20402"/>
        <s v="20403"/>
        <s v="20404"/>
        <s v="20405"/>
        <s v="21014"/>
        <s v="21036"/>
        <s v="21206"/>
        <s v="21214"/>
        <s v="21226"/>
        <s v="21232"/>
        <s v="21234"/>
        <s v="21237"/>
        <s v="21300"/>
        <s v="21301"/>
        <s v="21302"/>
        <s v="21303"/>
        <s v="21401"/>
        <s v="22008"/>
        <s v="22009"/>
        <s v="22017"/>
        <s v="22105"/>
        <s v="22200"/>
        <s v="22204"/>
        <s v="22207"/>
        <s v="23042"/>
        <s v="23054"/>
        <s v="23309"/>
        <s v="23311"/>
        <s v="23402"/>
        <s v="23403"/>
        <s v="23404"/>
        <s v="24014"/>
        <s v="24019"/>
        <s v="24105"/>
        <s v="24111"/>
        <s v="24122"/>
        <s v="24350"/>
        <s v="24404"/>
        <s v="24410"/>
        <s v="24915"/>
        <s v="25101"/>
        <s v="25116"/>
        <s v="25118"/>
        <s v="25155"/>
        <s v="25160"/>
        <s v="26056"/>
        <s v="26059"/>
        <s v="26070"/>
        <s v="27001"/>
        <s v="27003"/>
        <s v="27010"/>
        <s v="27083"/>
        <s v="27320"/>
        <s v="27343"/>
        <s v="27344"/>
        <s v="27400"/>
        <s v="27401"/>
        <s v="27402"/>
        <s v="27403"/>
        <s v="27404"/>
        <s v="27416"/>
        <s v="27417"/>
        <s v="27901"/>
        <s v="27902"/>
        <s v="27905"/>
        <s v="28137"/>
        <s v="28144"/>
        <s v="28149"/>
        <s v="29011"/>
        <s v="29100"/>
        <s v="29101"/>
        <s v="29103"/>
        <s v="29311"/>
        <s v="29317"/>
        <s v="29320"/>
        <s v="30002"/>
        <s v="30029"/>
        <s v="30031"/>
        <s v="30303"/>
        <s v="31002"/>
        <s v="31004"/>
        <s v="31006"/>
        <s v="31015"/>
        <s v="31016"/>
        <s v="31025"/>
        <s v="31063"/>
        <s v="31103"/>
        <s v="31201"/>
        <s v="31306"/>
        <s v="31311"/>
        <s v="31330"/>
        <s v="31332"/>
        <s v="31401"/>
        <s v="32081"/>
        <s v="32123"/>
        <s v="32312"/>
        <s v="32325"/>
        <s v="32326"/>
        <s v="32354"/>
        <s v="32356"/>
        <s v="32358"/>
        <s v="32360"/>
        <s v="32361"/>
        <s v="32362"/>
        <s v="32363"/>
        <s v="32414"/>
        <s v="32416"/>
        <s v="32901"/>
        <s v="32903"/>
        <s v="32907"/>
        <s v="33030"/>
        <s v="33036"/>
        <s v="33049"/>
        <s v="33070"/>
        <s v="33115"/>
        <s v="33183"/>
        <s v="33202"/>
        <s v="33205"/>
        <s v="33206"/>
        <s v="33207"/>
        <s v="33211"/>
        <s v="33212"/>
        <s v="34002"/>
        <s v="34003"/>
        <s v="34033"/>
        <s v="34111"/>
        <s v="34307"/>
        <s v="34324"/>
        <s v="34401"/>
        <s v="34402"/>
        <s v="34901"/>
        <s v="35200"/>
        <s v="36140"/>
        <s v="36250"/>
        <s v="36300"/>
        <s v="36400"/>
        <s v="36401"/>
        <s v="36402"/>
        <s v="37501"/>
        <s v="37502"/>
        <s v="37503"/>
        <s v="37504"/>
        <s v="37505"/>
        <s v="37506"/>
        <s v="37507"/>
        <s v="37902"/>
        <s v="37903"/>
        <s v="38126"/>
        <s v="38265"/>
        <s v="38267"/>
        <s v="38300"/>
        <s v="38301"/>
        <s v="38302"/>
        <s v="38304"/>
        <s v="38306"/>
        <s v="38308"/>
        <s v="38320"/>
        <s v="38322"/>
        <s v="38324"/>
        <s v="39002"/>
        <s v="39003"/>
        <s v="39007"/>
        <s v="39090"/>
        <s v="39119"/>
        <s v="39120"/>
        <s v="39200"/>
        <s v="39201"/>
        <s v="39202"/>
        <s v="39203"/>
        <s v="39204"/>
        <s v="39205"/>
        <s v="39207"/>
        <s v="39208"/>
        <s v="39209"/>
        <s v="39901"/>
        <s v="00000"/>
        <m/>
        <s v="38264" u="1"/>
        <s v="38901" u="1"/>
        <s v="17908" u="1"/>
        <s v="06901" u="1"/>
        <s v="20203" u="1"/>
        <s v="27019" u="1"/>
        <s v="22073" u="1"/>
        <s v="36101" u="1"/>
        <s v="06701" u="1"/>
        <s v="20406" u="1"/>
        <s v="25200" u="1"/>
        <s v="17910" u="1"/>
        <s v="14104" u="1"/>
        <s v="01109" u="1"/>
      </sharedItems>
    </cacheField>
    <cacheField name="OrganizationName" numFmtId="0">
      <sharedItems containsBlank="1"/>
    </cacheField>
    <cacheField name="SnapshotType" numFmtId="0">
      <sharedItems containsBlank="1"/>
    </cacheField>
    <cacheField name="Code" numFmtId="0">
      <sharedItems containsBlank="1"/>
    </cacheField>
    <cacheField name="Description" numFmtId="0">
      <sharedItems containsBlank="1" count="5">
        <s v="Elementary Grade Group K-6"/>
        <s v="High Grade Group 9-12"/>
        <s v="Middle Grade Group 7-8"/>
        <m/>
        <s v="3121% Stdnt Avg FTE SpEd" u="1"/>
      </sharedItems>
    </cacheField>
    <cacheField name="ItemCode" numFmtId="0">
      <sharedItems containsBlank="1" count="142">
        <s v="PS24ES"/>
        <s v="PS24HS"/>
        <s v="PS24MS"/>
        <s v="PS25ES"/>
        <s v="PS25H21S"/>
        <s v="PS25HS"/>
        <s v="PS25MS"/>
        <s v="PS26E21S"/>
        <s v="PS26ES"/>
        <s v="PS26HS"/>
        <s v="PS26M21S"/>
        <s v="PS26MS"/>
        <s v="PS35H97S"/>
        <s v="PS35M97S"/>
        <s v="PS39E21S"/>
        <s v="PS42ES"/>
        <s v="PS42HS"/>
        <s v="PS42MS"/>
        <s v="PS43E21S"/>
        <s v="PS43H21S"/>
        <s v="PS45E21S"/>
        <s v="PS45H21S"/>
        <s v="PS46E21S"/>
        <s v="PS46H21S"/>
        <s v="PS46M21S"/>
        <s v="PS47HS"/>
        <s v="PS49E21S"/>
        <s v="PS47ES"/>
        <s v="PS45M21S"/>
        <s v="PS26H21S"/>
        <s v="PS35E97S"/>
        <s v="PS43M21S"/>
        <s v="PS47E21S"/>
        <s v="PS47M21S"/>
        <s v="PS47MS"/>
        <s v="PS48E21S"/>
        <s v="PS48H21S"/>
        <s v="PS48M21S"/>
        <s v="PS64E21S"/>
        <s v="PS64ES"/>
        <s v="PS39ES"/>
        <s v="PS44E21S"/>
        <s v="PS44ES"/>
        <s v="PS44H21S"/>
        <s v="PS44HS"/>
        <s v="PS44M21S"/>
        <s v="PS44MS"/>
        <s v="PS45ES"/>
        <s v="PS46ES"/>
        <s v="PS46MS"/>
        <s v="PS49M21S"/>
        <s v="PS45HS"/>
        <s v="PS45MS"/>
        <s v="PS25H97S"/>
        <s v="PS35HS"/>
        <s v="PS49H21S"/>
        <s v="PS24E97S"/>
        <s v="PS24H97S"/>
        <s v="PS24M97S"/>
        <s v="PS64H21S"/>
        <s v="PS64M21S"/>
        <s v="PS47H21S"/>
        <s v="PS35ES"/>
        <s v="PS35MS"/>
        <s v="PS44E09S"/>
        <s v="PS46HS"/>
        <s v="PS25E09S"/>
        <s v="PS25E21S"/>
        <s v="PS49HS"/>
        <s v="PS43ES"/>
        <s v="PS42E09S"/>
        <s v="PS25E97S"/>
        <s v="PS25M97S"/>
        <s v="PS43HS"/>
        <s v="PS43MS"/>
        <s v="PS42M21S"/>
        <s v="PS42E21S"/>
        <s v="PS42H21S"/>
        <s v="PS35E09S"/>
        <s v="PS49ES"/>
        <s v="PS64HS"/>
        <s v="PS64MS"/>
        <s v="PS25M21S"/>
        <s v="PS39H21S"/>
        <s v="PS26E09S"/>
        <s v="PS47E09S"/>
        <s v="PS24H21S"/>
        <s v="PS35H21S"/>
        <s v="PS39M21S"/>
        <s v="PS49MS"/>
        <s v="PS48ES"/>
        <s v="PS48HS"/>
        <s v="PS48MS"/>
        <s v="PS45E09S"/>
        <s v="PS64E09S"/>
        <s v="PS24E21S"/>
        <s v="PS24M21S"/>
        <s v="PS24E09S"/>
        <s v="PS26E97S"/>
        <s v="PS26M97S"/>
        <s v="PS26H97S"/>
        <s v="PS35E21S"/>
        <s v="PS35M21S"/>
        <s v="PS39E97S"/>
        <s v="PS39M97S"/>
        <s v="PS39H97S"/>
        <s v="PS39E09S"/>
        <s v="PS39MS"/>
        <s v="PS39HS"/>
        <s v="PS42E97S"/>
        <s v="PS42M97S"/>
        <s v="PS42H97S"/>
        <s v="PS43E97S"/>
        <s v="PS43M97S"/>
        <s v="PS43H97S"/>
        <s v="PS43E09S"/>
        <s v="PS44E97S"/>
        <s v="PS44M97S"/>
        <s v="PS44H97S"/>
        <s v="PS45E97S"/>
        <s v="PS45M97S"/>
        <s v="PS45H97S"/>
        <s v="PS46E97S"/>
        <s v="PS46M97S"/>
        <s v="PS46H97S"/>
        <s v="PS46E09S"/>
        <s v="PS47E97S"/>
        <s v="PS47M97S"/>
        <s v="PS47H97S"/>
        <s v="PS48E97S"/>
        <s v="PS48M97S"/>
        <s v="PS48H97S"/>
        <s v="PS48E09S"/>
        <s v="PS49E97S"/>
        <s v="PS49M97S"/>
        <s v="PS49H97S"/>
        <s v="PS49E09S"/>
        <s v="PS64E97S"/>
        <s v="PS64M97S"/>
        <s v="PS64H97S"/>
        <m/>
        <s v="B8" u="1"/>
      </sharedItems>
    </cacheField>
    <cacheField name="Name" numFmtId="0">
      <sharedItems containsBlank="1"/>
    </cacheField>
    <cacheField name="Program" numFmtId="0">
      <sharedItems containsBlank="1" containsMixedTypes="1" containsNumber="1" containsInteger="1" minValue="1" maxValue="97" count="7">
        <n v="1"/>
        <n v="21"/>
        <n v="97"/>
        <n v="9"/>
        <s v="09"/>
        <s v="01"/>
        <m/>
      </sharedItems>
    </cacheField>
    <cacheField name="Duty/Activity" numFmtId="0">
      <sharedItems containsBlank="1"/>
    </cacheField>
    <cacheField name="DutyRoot" numFmtId="0">
      <sharedItems containsBlank="1" containsMixedTypes="1" containsNumber="1" containsInteger="1" minValue="39" maxValue="99"/>
    </cacheField>
    <cacheField name="Activity" numFmtId="0">
      <sharedItems containsString="0" containsBlank="1" containsNumber="1" containsInteger="1" minValue="24" maxValue="35"/>
    </cacheField>
    <cacheField name="Month" numFmtId="0">
      <sharedItems containsBlank="1"/>
    </cacheField>
    <cacheField name="Amount" numFmtId="0">
      <sharedItems containsString="0" containsBlank="1" containsNumber="1" minValue="0" maxValue="66.32099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ie McDonald" refreshedDate="45688.64357615741" createdVersion="8" refreshedVersion="8" minRefreshableVersion="3" recordCount="3695" xr:uid="{783B771D-FD1B-4814-A2D4-76A23E9D9B74}">
  <cacheSource type="worksheet">
    <worksheetSource ref="G1:V1048576" sheet="PSES Staff Snapshot 25-01-16"/>
  </cacheSource>
  <cacheFields count="16">
    <cacheField name="CCDDD" numFmtId="0">
      <sharedItems containsBlank="1"/>
    </cacheField>
    <cacheField name="OrganizationName" numFmtId="0">
      <sharedItems containsBlank="1" count="310">
        <s v="Othello School District"/>
        <s v="Lind School District"/>
        <s v="Ritzville School District"/>
        <s v="Clarkston School District"/>
        <s v="Asotin-Anatone School District"/>
        <s v="Kennewick School District"/>
        <s v="Paterson School District"/>
        <s v="Kiona-Benton City School District"/>
        <s v="Finley School District"/>
        <s v="Prosser School District"/>
        <s v="Richland School District"/>
        <s v="Manson School District"/>
        <s v="Entiat School District"/>
        <s v="Lake Chelan School District"/>
        <s v="CASHMERE SCHOOL DISTRICT"/>
        <s v="Cascade School District"/>
        <s v="Wenatchee School District"/>
        <s v="Pinnacles Prep"/>
        <s v="Port Angeles School District"/>
        <s v="Crescent School District"/>
        <s v="Sequim School District"/>
        <s v="Cape Flattery School District"/>
        <s v="Quillayute Valley School District"/>
        <s v="Quileute Tribal School District"/>
        <s v="Vancouver School District"/>
        <s v="Hockinson School District"/>
        <s v="La Center School District"/>
        <s v="Green Mountain School District"/>
        <s v="Washougal School District"/>
        <s v="Evergreen School District (Clark)"/>
        <s v="Camas School District"/>
        <s v="Battle Ground School District"/>
        <s v="Ridgefield School District"/>
        <s v="Dayton School District"/>
        <s v="Longview School District"/>
        <s v="Toutle Lake School District"/>
        <s v="Castle Rock School District"/>
        <s v="Kalama School District"/>
        <s v="Woodland School District"/>
        <s v="Kelso School District"/>
        <s v="Orondo School District"/>
        <s v="Bridgeport School District"/>
        <s v="Palisades School District"/>
        <s v="Eastmont School District"/>
        <s v="Mansfield School District"/>
        <s v="Waterville School District"/>
        <s v="Keller School District"/>
        <s v="Curlew School District"/>
        <s v="Orient School District"/>
        <s v="Inchelium School District"/>
        <s v="Republic School District"/>
        <s v="Pasco School District"/>
        <s v="North Franklin School District"/>
        <s v="Kahlotus School District"/>
        <s v="Pomeroy School District"/>
        <s v="Wahluke School District"/>
        <s v="Quincy School District"/>
        <s v="Warden School District"/>
        <s v="Coulee-Hartline School District"/>
        <s v="Soap Lake School District"/>
        <s v="Royal School District"/>
        <s v="Moses Lake School District"/>
        <s v="Ephrata School District"/>
        <s v="Wilson Creek School District"/>
        <s v="Grand Coulee Dam School District"/>
        <s v="Aberdeen School District"/>
        <s v="Hoquiam School District"/>
        <s v="North Beach School District"/>
        <s v="McCleary School District"/>
        <s v="Montesano School District"/>
        <s v="Elma School District"/>
        <s v="Taholah School District"/>
        <s v="Lake Quinault School District"/>
        <s v="Cosmopolis School District"/>
        <s v="Wishkah Valley School District"/>
        <s v="Ocosta School District"/>
        <s v="Oakville School District"/>
        <s v="Oak Harbor School District"/>
        <s v="Coupeville School District"/>
        <s v="South Whidbey School District"/>
        <s v="Queets-Clearwater School District"/>
        <s v="Brinnon School District"/>
        <s v="Quilcene School District"/>
        <s v="Chimacum School District"/>
        <s v="Port Townsend School District"/>
        <s v="Seattle Public Schools"/>
        <s v="Federal Way School District"/>
        <s v="Enumclaw School District"/>
        <s v="Mercer Island School District"/>
        <s v="Highline School District"/>
        <s v="Vashon Island School District"/>
        <s v="Renton School District"/>
        <s v="Skykomish School District"/>
        <s v="Bellevue School District"/>
        <s v="Tukwila School District"/>
        <s v="Riverview School District"/>
        <s v="Auburn School District"/>
        <s v="Tahoma School District"/>
        <s v="Snoqualmie Valley School District"/>
        <s v="Issaquah School District"/>
        <s v="Shoreline School District"/>
        <s v="Lake Washington School District"/>
        <s v="Kent School District"/>
        <s v="Northshore School District"/>
        <s v="Summit Public School: Sierra"/>
        <s v="Muckleshoot Indian Tribe"/>
        <s v="Summit Public School: Atlas"/>
        <s v="Impact | Puget Sound Elementary"/>
        <s v="Impact | Salish Sea Elementary"/>
        <s v="Why Not You Academy (formerly Cascade: Midway charter)"/>
        <s v="Impact | Black River Elementary"/>
        <s v="Bremerton School District"/>
        <s v="Bainbridge Island School District"/>
        <s v="North Kitsap School District"/>
        <s v="Central Kitsap School District"/>
        <s v="South Kitsap School District"/>
        <s v="Catalyst Public Schools"/>
        <s v="Suquamish Tribal Education Department"/>
        <s v="Damman School District"/>
        <s v="Easton School District"/>
        <s v="Thorp School District"/>
        <s v="Ellensburg School District"/>
        <s v="Kittitas School District"/>
        <s v="Cle Elum-Roslyn School District"/>
        <s v="Wishram School District"/>
        <s v="Centerville School District"/>
        <s v="Trout Lake School District"/>
        <s v="Glenwood School District"/>
        <s v="Klickitat School District"/>
        <s v="Roosevelt School District"/>
        <s v="Goldendale School District"/>
        <s v="White Salmon Valley School District"/>
        <s v="Napavine School District"/>
        <s v="Evaline School District"/>
        <s v="Mossyrock School District"/>
        <s v="Morton School District"/>
        <s v="Adna School District"/>
        <s v="Winlock School District"/>
        <s v="Boistfort School District"/>
        <s v="Toledo School District"/>
        <s v="Onalaska School District"/>
        <s v="Pe Ell School District"/>
        <s v="Chehalis School District"/>
        <s v="White Pass School District"/>
        <s v="Centralia School District"/>
        <s v="Sprague School District"/>
        <s v="Reardan-Edwall School District"/>
        <s v="Almira School District"/>
        <s v="Odessa School District"/>
        <s v="Wilbur School District"/>
        <s v="Harrington School District"/>
        <s v="Davenport School District"/>
        <s v="Southside School District"/>
        <s v="Grapeview School District"/>
        <s v="Shelton School District"/>
        <s v="Mary M Knight School District"/>
        <s v="Pioneer School District"/>
        <s v="North Mason School District"/>
        <s v="Hood Canal School District"/>
        <s v="Nespelem School District  "/>
        <s v="Omak School District"/>
        <s v="Okanogan School District"/>
        <s v="Brewster School District"/>
        <s v="Pateros School District"/>
        <s v="Methow Valley School District"/>
        <s v="Tonasket School District"/>
        <s v="Oroville School District"/>
        <s v="Paschal Sherman Indian School"/>
        <s v="Ocean Beach School District"/>
        <s v="Raymond School District"/>
        <s v="South Bend School District"/>
        <s v="Naselle-Grays River Valley School District"/>
        <s v="Willapa Valley School District"/>
        <s v="Newport School District"/>
        <s v="Cusick School District"/>
        <s v="Selkirk School District"/>
        <s v="Steilacoom Hist. School District"/>
        <s v="Puyallup School District"/>
        <s v="Tacoma School District"/>
        <s v="University Place School District"/>
        <s v="Sumner-Bonney Lake School District"/>
        <s v="Dieringer School District"/>
        <s v="Orting School District"/>
        <s v="Clover Park School District"/>
        <s v="Peninsula School District"/>
        <s v="Franklin Pierce School District"/>
        <s v="Bethel School District"/>
        <s v="Eatonville School District"/>
        <s v="White River School District"/>
        <s v="Fife School District"/>
        <s v="Chief Leschi Tribal Compact"/>
        <s v="Impact | Commencement Bay Elementary"/>
        <s v="Summit Public School: Olympus"/>
        <s v="Orcas Island School District"/>
        <s v="Lopez School District"/>
        <s v="San Juan Island School District"/>
        <s v="Concrete School District"/>
        <s v="Burlington-Edison School District"/>
        <s v="Sedro-Woolley School District"/>
        <s v="Anacortes School District"/>
        <s v="La Conner School District"/>
        <s v="Conway School District"/>
        <s v="Mount Vernon School District"/>
        <s v="Skamania School District"/>
        <s v="Mount Pleasant School District"/>
        <s v="Mill A School District"/>
        <s v="Stevenson-Carson School District"/>
        <s v="Everett School District"/>
        <s v="Lake Stevens School District"/>
        <s v="Mukilteo School District"/>
        <s v="Edmonds School District"/>
        <s v="Arlington School District"/>
        <s v="Marysville School District"/>
        <s v="Index School District"/>
        <s v="Monroe School District"/>
        <s v="Snohomish School District"/>
        <s v="Lakewood School District"/>
        <s v="Sultan School District"/>
        <s v="Darrington School District"/>
        <s v="Granite Falls School District"/>
        <s v="Stanwood-Camano School District"/>
        <s v="Spokane School District"/>
        <s v="Orchard Prairie School District"/>
        <s v="Great Northern School District"/>
        <s v="Nine Mile Falls School District"/>
        <s v="Medical Lake School District"/>
        <s v="Mead School District"/>
        <s v="Central Valley School District"/>
        <s v="Freeman School District"/>
        <s v="Cheney School District"/>
        <s v="East Valley School District (Spokane)"/>
        <s v="Liberty School District"/>
        <s v="West Valley School District (Spokane)"/>
        <s v="Deer Park School District"/>
        <s v="Riverside School District"/>
        <s v="Spokane International Academy"/>
        <s v="Lumen Public School"/>
        <s v="Innovation Spokane Charter School District "/>
        <s v="Onion Creek School District"/>
        <s v="Chewelah School District"/>
        <s v="Wellpinit School District"/>
        <s v="Valley School District"/>
        <s v="Colville School District"/>
        <s v="Loon Lake School District"/>
        <s v="Summit Valley School District"/>
        <s v="Evergreen School District (Stevens)"/>
        <s v="Columbia (Stevens) School District"/>
        <s v="Mary Walker School District"/>
        <s v="Northport School District"/>
        <s v="Kettle Falls School District"/>
        <s v="Yelm School District"/>
        <s v="North Thurston Public Schools"/>
        <s v="Tumwater School District"/>
        <s v="Olympia School District"/>
        <s v="Rainier School District"/>
        <s v="Griffin School District"/>
        <s v="Rochester School District"/>
        <s v="Tenino School District"/>
        <s v="WA HE LUT Indian School Agency"/>
        <s v="Wahkiakum School District"/>
        <s v="Walla Walla Public Schools"/>
        <s v="College Place School District"/>
        <s v="Touchet School District"/>
        <s v="Columbia (Walla Walla) School District"/>
        <s v="Waitsburg School District"/>
        <s v="Prescott School District"/>
        <s v="Bellingham School District"/>
        <s v="Ferndale School District"/>
        <s v="Blaine School District"/>
        <s v="Lynden School District"/>
        <s v="Meridian School District"/>
        <s v="Nooksack Valley School District"/>
        <s v="Mount Baker School District"/>
        <s v="Whatcom Intergenerational High School"/>
        <s v="Lummi Tribal Agency"/>
        <s v="LaCrosse School District"/>
        <s v="Tekoa School District"/>
        <s v="Pullman School District"/>
        <s v="Colfax School District"/>
        <s v="Palouse School District"/>
        <s v="Garfield School District"/>
        <s v="Steptoe School District"/>
        <s v="Colton School District"/>
        <s v="Endicott School District"/>
        <s v="Rosalia School District"/>
        <s v="St. John School District"/>
        <s v="Oakesdale School District"/>
        <s v="Union Gap School District"/>
        <s v="Naches Valley School District"/>
        <s v="Yakima School District"/>
        <s v="East Valley School District (Yakima)"/>
        <s v="Selah School District"/>
        <s v="Mabton School District"/>
        <s v="Grandview School District"/>
        <s v="Sunnyside School District"/>
        <s v="Toppenish School District"/>
        <s v="Highland School District"/>
        <s v="Granger School District"/>
        <s v="Zillah School District"/>
        <s v="Wapato School District"/>
        <s v="West Valley School District (Yakima)"/>
        <s v="Mount Adams School District"/>
        <s v="Yakama Nation Tribal Compact"/>
        <s v="ZZState Summary"/>
        <m/>
        <s v="Lamont School District" u="1"/>
        <s v="PRIDE Prep Charter School District" u="1"/>
        <s v="Pullman Community Montessori" u="1"/>
        <s v="Rainier Prep Charter School District" u="1"/>
        <s v="Rooted School Vancouver" u="1"/>
      </sharedItems>
    </cacheField>
    <cacheField name="SnapshotType" numFmtId="0">
      <sharedItems containsBlank="1"/>
    </cacheField>
    <cacheField name="Code" numFmtId="0">
      <sharedItems containsBlank="1"/>
    </cacheField>
    <cacheField name="Description" numFmtId="0">
      <sharedItems containsBlank="1" count="4">
        <s v="Elementary Grade Group K-6"/>
        <s v="High Grade Group 9-12"/>
        <s v="Middle Grade Group 7-8"/>
        <m/>
      </sharedItems>
    </cacheField>
    <cacheField name="ItemCode" numFmtId="0">
      <sharedItems containsBlank="1" count="141">
        <s v="PS24ES"/>
        <s v="PS24HS"/>
        <s v="PS24MS"/>
        <s v="PS25ES"/>
        <s v="PS25H21S"/>
        <s v="PS25HS"/>
        <s v="PS25MS"/>
        <s v="PS26E21S"/>
        <s v="PS26ES"/>
        <s v="PS26HS"/>
        <s v="PS26M21S"/>
        <s v="PS26MS"/>
        <s v="PS35H97S"/>
        <s v="PS35M97S"/>
        <s v="PS39E21S"/>
        <s v="PS42ES"/>
        <s v="PS42HS"/>
        <s v="PS42MS"/>
        <s v="PS43E21S"/>
        <s v="PS43H21S"/>
        <s v="PS45E21S"/>
        <s v="PS45H21S"/>
        <s v="PS46E21S"/>
        <s v="PS46H21S"/>
        <s v="PS46M21S"/>
        <s v="PS47HS"/>
        <s v="PS49E21S"/>
        <s v="PS47ES"/>
        <s v="PS45M21S"/>
        <s v="PS26H21S"/>
        <s v="PS35E97S"/>
        <s v="PS43M21S"/>
        <s v="PS47E21S"/>
        <s v="PS47M21S"/>
        <s v="PS47MS"/>
        <s v="PS48E21S"/>
        <s v="PS48H21S"/>
        <s v="PS48M21S"/>
        <s v="PS64E21S"/>
        <s v="PS64ES"/>
        <s v="PS39ES"/>
        <s v="PS44E21S"/>
        <s v="PS44ES"/>
        <s v="PS44H21S"/>
        <s v="PS44HS"/>
        <s v="PS44M21S"/>
        <s v="PS44MS"/>
        <s v="PS45ES"/>
        <s v="PS46ES"/>
        <s v="PS46MS"/>
        <s v="PS49M21S"/>
        <s v="PS45HS"/>
        <s v="PS45MS"/>
        <s v="PS25H97S"/>
        <s v="PS35HS"/>
        <s v="PS49H21S"/>
        <s v="PS24E97S"/>
        <s v="PS24H97S"/>
        <s v="PS24M97S"/>
        <s v="PS64H21S"/>
        <s v="PS64M21S"/>
        <s v="PS47H21S"/>
        <s v="PS35ES"/>
        <s v="PS35MS"/>
        <s v="PS44E09S"/>
        <s v="PS46HS"/>
        <s v="PS25E09S"/>
        <s v="PS25E21S"/>
        <s v="PS49HS"/>
        <s v="PS43ES"/>
        <s v="PS42E09S"/>
        <s v="PS25E97S"/>
        <s v="PS25M97S"/>
        <s v="PS43HS"/>
        <s v="PS43MS"/>
        <s v="PS42M21S"/>
        <s v="PS42E21S"/>
        <s v="PS42H21S"/>
        <s v="PS35E09S"/>
        <s v="PS49ES"/>
        <s v="PS64HS"/>
        <s v="PS64MS"/>
        <s v="PS25M21S"/>
        <s v="PS39H21S"/>
        <s v="PS26E09S"/>
        <s v="PS47E09S"/>
        <s v="PS24H21S"/>
        <s v="PS35H21S"/>
        <s v="PS39M21S"/>
        <s v="PS49MS"/>
        <s v="PS48ES"/>
        <s v="PS48HS"/>
        <s v="PS48MS"/>
        <s v="PS45E09S"/>
        <s v="PS64E09S"/>
        <s v="PS24E21S"/>
        <s v="PS24M21S"/>
        <s v="PS24E09S"/>
        <s v="PS26E97S"/>
        <s v="PS26M97S"/>
        <s v="PS26H97S"/>
        <s v="PS35E21S"/>
        <s v="PS35M21S"/>
        <s v="PS39E97S"/>
        <s v="PS39M97S"/>
        <s v="PS39H97S"/>
        <s v="PS39E09S"/>
        <s v="PS39MS"/>
        <s v="PS39HS"/>
        <s v="PS42E97S"/>
        <s v="PS42M97S"/>
        <s v="PS42H97S"/>
        <s v="PS43E97S"/>
        <s v="PS43M97S"/>
        <s v="PS43H97S"/>
        <s v="PS43E09S"/>
        <s v="PS44E97S"/>
        <s v="PS44M97S"/>
        <s v="PS44H97S"/>
        <s v="PS45E97S"/>
        <s v="PS45M97S"/>
        <s v="PS45H97S"/>
        <s v="PS46E97S"/>
        <s v="PS46M97S"/>
        <s v="PS46H97S"/>
        <s v="PS46E09S"/>
        <s v="PS47E97S"/>
        <s v="PS47M97S"/>
        <s v="PS47H97S"/>
        <s v="PS48E97S"/>
        <s v="PS48M97S"/>
        <s v="PS48H97S"/>
        <s v="PS48E09S"/>
        <s v="PS49E97S"/>
        <s v="PS49M97S"/>
        <s v="PS49H97S"/>
        <s v="PS49E09S"/>
        <s v="PS64E97S"/>
        <s v="PS64M97S"/>
        <s v="PS64H97S"/>
        <m/>
      </sharedItems>
    </cacheField>
    <cacheField name="Name" numFmtId="0">
      <sharedItems containsBlank="1"/>
    </cacheField>
    <cacheField name="Program" numFmtId="0">
      <sharedItems containsBlank="1" containsMixedTypes="1" containsNumber="1" containsInteger="1" minValue="1" maxValue="97" count="7">
        <n v="1"/>
        <n v="21"/>
        <n v="97"/>
        <n v="9"/>
        <s v="09"/>
        <s v="01"/>
        <m/>
      </sharedItems>
    </cacheField>
    <cacheField name="Duty/Activity" numFmtId="0">
      <sharedItems containsBlank="1"/>
    </cacheField>
    <cacheField name="DutyRoot" numFmtId="0">
      <sharedItems containsBlank="1" containsMixedTypes="1" containsNumber="1" containsInteger="1" minValue="39" maxValue="99"/>
    </cacheField>
    <cacheField name="Activity" numFmtId="0">
      <sharedItems containsString="0" containsBlank="1" containsNumber="1" containsInteger="1" minValue="24" maxValue="35"/>
    </cacheField>
    <cacheField name="Month" numFmtId="0">
      <sharedItems containsBlank="1"/>
    </cacheField>
    <cacheField name="Amount" numFmtId="0">
      <sharedItems containsString="0" containsBlank="1" containsNumber="1" minValue="0" maxValue="66.320999999999998"/>
    </cacheField>
    <cacheField name="B8" numFmtId="0">
      <sharedItems containsString="0" containsBlank="1" containsNumber="1" minValue="0.08" maxValue="0.34910000000000002"/>
    </cacheField>
    <cacheField name="Calculated 21 Units" numFmtId="0">
      <sharedItems containsString="0" containsBlank="1" containsNumber="1" minValue="0" maxValue="13.254"/>
    </cacheField>
    <cacheField name="Item Title" numFmtId="0">
      <sharedItems containsBlank="1" count="58">
        <s v="Elementary Family Engagement Coordinator"/>
        <s v="High Family Engagement Coordinator"/>
        <s v="Middle Family Engagement Coordinator"/>
        <s v="Elementary Pupil Management"/>
        <s v="High Pupil Management"/>
        <s v="Middle Pupil Management"/>
        <s v="Elementary Health/_x000a_Related Services"/>
        <s v="High Health/_x000a_Related Services"/>
        <s v="Middle Health/_x000a_Related Services"/>
        <s v="High Pupil Safety"/>
        <s v="Middle Pupil Safety"/>
        <s v="Elementary Orientation &amp; Mobility Specialist"/>
        <s v="Elementary Counselor"/>
        <s v="High Counselor"/>
        <s v="Middle Counselor"/>
        <s v="Elementary Occupational Therapist"/>
        <s v="High Occupational Therapist"/>
        <s v="Elementary Speech, Language Pathway/_x000a_Audio"/>
        <s v="High Speech, Language Pathway/_x000a_Audio"/>
        <s v="Elementary Psychologist"/>
        <s v="High Psychologist"/>
        <s v="Middle Psychologist"/>
        <s v="High Nurse"/>
        <s v="Elementary Behavior Analyst"/>
        <s v="Elementary Nurse"/>
        <s v="Middle Speech, Language Pathway/_x000a_Audio"/>
        <s v="Elementary Pupil Safety"/>
        <s v="Middle Occupational Therapist"/>
        <s v="Middle Nurse"/>
        <s v="Elementary Physical Therapist"/>
        <s v="High Physical Therapist"/>
        <s v="Middle Physical Therapist"/>
        <s v="Elementary Contractor ESA"/>
        <s v="Elementary Social Worker"/>
        <s v="High Social Worker"/>
        <s v="Middle Social Worker"/>
        <s v="Middle Behavior Analyst"/>
        <s v="High Behavior Analyst"/>
        <s v="High Contractor ESA"/>
        <s v="Middle Contractor ESA"/>
        <s v="TK Social Worker"/>
        <s v="TK Pupil Management"/>
        <s v="TK Counselor"/>
        <s v="TK Pupil Safety"/>
        <s v="High Orientation &amp; Mobility Specialist"/>
        <s v="TK Health/_x000a_Related Services"/>
        <s v="TK Nurse"/>
        <s v="Middle Orientation &amp; Mobility Specialist"/>
        <s v="TK Speech, Language Pathway/_x000a_Audio"/>
        <s v="TK Contractor ESA"/>
        <s v="TK Family Engagement Coordinator"/>
        <s v="TK Orientation &amp; Mobility Specialist"/>
        <s v="TK Occupational Therapist"/>
        <s v="TK Psychologist"/>
        <s v="TK Physical Therapist"/>
        <s v="TK Behavior Analyst"/>
        <m/>
        <s v="PSES CIS Staffing Reductio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ie McDonald" refreshedDate="45688.64357685185" createdVersion="8" refreshedVersion="8" minRefreshableVersion="3" recordCount="95" xr:uid="{D3DB03CF-71DE-410B-A385-8383B5FC6AEF}">
  <cacheSource type="worksheet">
    <worksheetSource ref="A7:EM297" sheet="Supp Staff Data"/>
  </cacheSource>
  <cacheFields count="143">
    <cacheField name="CCDDD" numFmtId="0">
      <sharedItems containsBlank="1" count="178">
        <s v="32358"/>
        <s v="11051"/>
        <s v="39208"/>
        <s v="38300"/>
        <s v="33211"/>
        <s v="21214"/>
        <s v="23402"/>
        <s v="06122"/>
        <s v="23311"/>
        <s v="21237"/>
        <s v="01109"/>
        <s v="39002"/>
        <s v="21300"/>
        <s v="14104"/>
        <s v="38306"/>
        <s v="39003"/>
        <s v="34402"/>
        <s v="15204"/>
        <s v="14065"/>
        <s v="14400"/>
        <s v="34307"/>
        <s v="25118"/>
        <m/>
        <s v="00000"/>
        <s v="01122" u="1"/>
        <s v="04127" u="1"/>
        <s v="04222" u="1"/>
        <s v="05313" u="1"/>
        <s v="06101" u="1"/>
        <s v="06119" u="1"/>
        <s v="08404" u="1"/>
        <s v="09075" u="1"/>
        <s v="09102" u="1"/>
        <s v="09207" u="1"/>
        <s v="09209" u="1"/>
        <s v="10070" u="1"/>
        <s v="12110" u="1"/>
        <s v="13151" u="1"/>
        <s v="13156" u="1"/>
        <s v="13160" u="1"/>
        <s v="13301" u="1"/>
        <s v="14064" u="1"/>
        <s v="14117" u="1"/>
        <s v="16020" u="1"/>
        <s v="16050" u="1"/>
        <s v="17414" u="1"/>
        <s v="17902" u="1"/>
        <s v="17905" u="1"/>
        <s v="17908" u="1"/>
        <s v="17910" u="1"/>
        <s v="20215" u="1"/>
        <s v="20405" u="1"/>
        <s v="20406" u="1"/>
        <s v="21014" u="1"/>
        <s v="21226" u="1"/>
        <s v="21232" u="1"/>
        <s v="21301" u="1"/>
        <s v="21303" u="1"/>
        <s v="22008" u="1"/>
        <s v="22009" u="1"/>
        <s v="22017" u="1"/>
        <s v="22105" u="1"/>
        <s v="23054" u="1"/>
        <s v="24105" u="1"/>
        <s v="24122" u="1"/>
        <s v="24350" u="1"/>
        <s v="24404" u="1"/>
        <s v="24410" u="1"/>
        <s v="25101" u="1"/>
        <s v="25116" u="1"/>
        <s v="25155" u="1"/>
        <s v="25160" u="1"/>
        <s v="25200" u="1"/>
        <s v="26059" u="1"/>
        <s v="27019" u="1"/>
        <s v="27343" u="1"/>
        <s v="27905" u="1"/>
        <s v="30303" u="1"/>
        <s v="31330" u="1"/>
        <s v="32123" u="1"/>
        <s v="32312" u="1"/>
        <s v="33030" u="1"/>
        <s v="33036" u="1"/>
        <s v="33070" u="1"/>
        <s v="33183" u="1"/>
        <s v="33202" u="1"/>
        <s v="33205" u="1"/>
        <s v="33206" u="1"/>
        <s v="34003" u="1"/>
        <s v="34033" u="1"/>
        <s v="34401" u="1"/>
        <s v="35200" u="1"/>
        <s v="36140" u="1"/>
        <s v="36400" u="1"/>
        <s v="38264" u="1"/>
        <s v="38265" u="1"/>
        <s v="38267" u="1"/>
        <s v="38301" u="1"/>
        <s v="38320" u="1"/>
        <s v="16046" u="1"/>
        <s v="21234" u="1"/>
        <s v="31016" u="1"/>
        <s v="37501" u="1"/>
        <s v="27403" u="1"/>
        <s v="24111" u="1"/>
        <s v="08401" u="1"/>
        <s v="18901" u="1"/>
        <s v="18401" u="1"/>
        <s v="21302" u="1"/>
        <s v="32360" u="1"/>
        <s v="36250" u="1"/>
        <s v="33115" u="1"/>
        <s v="22073" u="1"/>
        <s v="10050" u="1"/>
        <s v="21036" u="1"/>
        <s v="17210" u="1"/>
        <s v="27417" u="1"/>
        <s v="39200" u="1"/>
        <s v="31332" u="1"/>
        <s v="34324" u="1"/>
        <s v="39203" u="1"/>
        <s v="17401" u="1"/>
        <s v="06098" u="1"/>
        <s v="27902" u="1"/>
        <s v="17911" u="1"/>
        <s v="17916" u="1"/>
        <s v="17411" u="1"/>
        <s v="08458" u="1"/>
        <s v="17415" u="1"/>
        <s v="33212" u="1"/>
        <s v="19403" u="1"/>
        <s v="29311" u="1"/>
        <s v="31004" u="1"/>
        <s v="04019" u="1"/>
        <s v="32326" u="1"/>
        <s v="17400" u="1"/>
        <s v="14066" u="1"/>
        <s v="21206" u="1"/>
        <s v="39209" u="1"/>
        <s v="37507" u="1"/>
        <s v="30029" u="1"/>
        <s v="31006" u="1"/>
        <s v="24014" u="1"/>
        <s v="32325" u="1"/>
        <s v="18400" u="1"/>
        <s v="23403" u="1"/>
        <s v="17417" u="1"/>
        <s v="38324" u="1"/>
        <s v="01147" u="1"/>
        <s v="03050" u="1"/>
        <s v="03116" u="1"/>
        <s v="05402" u="1"/>
        <s v="14097" u="1"/>
        <s v="13144" u="1"/>
        <s v="20403" u="1"/>
        <s v="17001" u="1"/>
        <s v="39119" u="1"/>
        <s v="26070" u="1"/>
        <s v="30002" u="1"/>
        <s v="31201" u="1"/>
        <s v="17410" u="1"/>
        <s v="18402" u="1"/>
        <s v="15206" u="1"/>
        <s v="32081" u="1"/>
        <s v="32901" u="1"/>
        <s v="04069" u="1"/>
        <s v="38304" u="1"/>
        <s v="27320" u="1"/>
        <s v="39201" u="1"/>
        <s v="27010" u="1"/>
        <s v="19400" u="1"/>
        <s v="39202" u="1"/>
        <s v="13146" u="1"/>
        <s v="06112" u="1"/>
        <s v="27416" u="1"/>
        <s v="22200" u="1"/>
        <s v="13167" u="1"/>
        <s v="39007" u="1"/>
      </sharedItems>
    </cacheField>
    <cacheField name="District" numFmtId="0">
      <sharedItems containsBlank="1"/>
    </cacheField>
    <cacheField name="Item Code" numFmtId="0">
      <sharedItems containsString="0" containsBlank="1" containsNumber="1" containsInteger="1" minValue="0" maxValue="0"/>
    </cacheField>
    <cacheField name="PS39E" numFmtId="0">
      <sharedItems containsString="0" containsBlank="1" containsNumber="1" containsInteger="1" minValue="0" maxValue="0"/>
    </cacheField>
    <cacheField name="PS42E" numFmtId="0">
      <sharedItems containsString="0" containsBlank="1" containsNumber="1" minValue="0" maxValue="0.40500000000000003"/>
    </cacheField>
    <cacheField name="PS43E" numFmtId="0">
      <sharedItems containsString="0" containsBlank="1" containsNumber="1" containsInteger="1" minValue="0" maxValue="0"/>
    </cacheField>
    <cacheField name="PS44E" numFmtId="0">
      <sharedItems containsString="0" containsBlank="1" containsNumber="1" containsInteger="1" minValue="0" maxValue="0"/>
    </cacheField>
    <cacheField name="PS45E" numFmtId="0">
      <sharedItems containsString="0" containsBlank="1" containsNumber="1" containsInteger="1" minValue="0" maxValue="0"/>
    </cacheField>
    <cacheField name="PS46E" numFmtId="0">
      <sharedItems containsString="0" containsBlank="1" containsNumber="1" containsInteger="1" minValue="0" maxValue="0"/>
    </cacheField>
    <cacheField name="PS47E" numFmtId="0">
      <sharedItems containsString="0" containsBlank="1" containsNumber="1" minValue="0" maxValue="3.1740000000000004"/>
    </cacheField>
    <cacheField name="PS48E" numFmtId="0">
      <sharedItems containsString="0" containsBlank="1" containsNumber="1" containsInteger="1" minValue="0" maxValue="0"/>
    </cacheField>
    <cacheField name="PS49E" numFmtId="0">
      <sharedItems containsString="0" containsBlank="1" containsNumber="1" containsInteger="1" minValue="0" maxValue="0"/>
    </cacheField>
    <cacheField name="PS64E" numFmtId="0">
      <sharedItems containsString="0" containsBlank="1" containsNumber="1" containsInteger="1" minValue="0" maxValue="2"/>
    </cacheField>
    <cacheField name="PS24E" numFmtId="0">
      <sharedItems containsString="0" containsBlank="1" containsNumber="1" containsInteger="1" minValue="0" maxValue="0"/>
    </cacheField>
    <cacheField name="PS25E" numFmtId="0">
      <sharedItems containsString="0" containsBlank="1" containsNumber="1" minValue="0" maxValue="0.32"/>
    </cacheField>
    <cacheField name="PS26E" numFmtId="0">
      <sharedItems containsString="0" containsBlank="1" containsNumber="1" minValue="0" maxValue="0.75"/>
    </cacheField>
    <cacheField name="PS35E" numFmtId="0">
      <sharedItems containsString="0" containsBlank="1" containsNumber="1" containsInteger="1" minValue="0" maxValue="0"/>
    </cacheField>
    <cacheField name="PS39M" numFmtId="0">
      <sharedItems containsString="0" containsBlank="1" containsNumber="1" containsInteger="1" minValue="0" maxValue="0"/>
    </cacheField>
    <cacheField name="PS42M" numFmtId="0">
      <sharedItems containsString="0" containsBlank="1" containsNumber="1" minValue="0" maxValue="1.651"/>
    </cacheField>
    <cacheField name="PS43M" numFmtId="0">
      <sharedItems containsString="0" containsBlank="1" containsNumber="1" containsInteger="1" minValue="0" maxValue="0"/>
    </cacheField>
    <cacheField name="PS44M" numFmtId="0">
      <sharedItems containsString="0" containsBlank="1" containsNumber="1" containsInteger="1" minValue="0" maxValue="0"/>
    </cacheField>
    <cacheField name="PS45M" numFmtId="0">
      <sharedItems containsString="0" containsBlank="1" containsNumber="1" containsInteger="1" minValue="0" maxValue="0"/>
    </cacheField>
    <cacheField name="PS46M" numFmtId="0">
      <sharedItems containsString="0" containsBlank="1" containsNumber="1" containsInteger="1" minValue="0" maxValue="0"/>
    </cacheField>
    <cacheField name="PS47M" numFmtId="0">
      <sharedItems containsString="0" containsBlank="1" containsNumber="1" minValue="0" maxValue="1.1919999999999999"/>
    </cacheField>
    <cacheField name="PS48M" numFmtId="0">
      <sharedItems containsString="0" containsBlank="1" containsNumber="1" containsInteger="1" minValue="0" maxValue="0"/>
    </cacheField>
    <cacheField name="PS49M" numFmtId="0">
      <sharedItems containsString="0" containsBlank="1" containsNumber="1" containsInteger="1" minValue="0" maxValue="0"/>
    </cacheField>
    <cacheField name="PS64M" numFmtId="0">
      <sharedItems containsString="0" containsBlank="1" containsNumber="1" containsInteger="1" minValue="0" maxValue="3"/>
    </cacheField>
    <cacheField name="PS24M" numFmtId="0">
      <sharedItems containsString="0" containsBlank="1" containsNumber="1" containsInteger="1" minValue="0" maxValue="1"/>
    </cacheField>
    <cacheField name="PS25M" numFmtId="0">
      <sharedItems containsString="0" containsBlank="1" containsNumber="1" minValue="0" maxValue="0.32"/>
    </cacheField>
    <cacheField name="PS26M" numFmtId="0">
      <sharedItems containsString="0" containsBlank="1" containsNumber="1" minValue="0" maxValue="0.14200000000000002"/>
    </cacheField>
    <cacheField name="PS35M" numFmtId="0">
      <sharedItems containsString="0" containsBlank="1" containsNumber="1" containsInteger="1" minValue="0" maxValue="0"/>
    </cacheField>
    <cacheField name="PS39H" numFmtId="0">
      <sharedItems containsString="0" containsBlank="1" containsNumber="1" containsInteger="1" minValue="0" maxValue="0"/>
    </cacheField>
    <cacheField name="PS42H" numFmtId="0">
      <sharedItems containsString="0" containsBlank="1" containsNumber="1" minValue="0" maxValue="1.8780000000000001"/>
    </cacheField>
    <cacheField name="PS43H" numFmtId="0">
      <sharedItems containsString="0" containsBlank="1" containsNumber="1" containsInteger="1" minValue="0" maxValue="0"/>
    </cacheField>
    <cacheField name="PS44H" numFmtId="0">
      <sharedItems containsString="0" containsBlank="1" containsNumber="1" containsInteger="1" minValue="0" maxValue="0"/>
    </cacheField>
    <cacheField name="PS45H" numFmtId="0">
      <sharedItems containsString="0" containsBlank="1" containsNumber="1" containsInteger="1" minValue="0" maxValue="0"/>
    </cacheField>
    <cacheField name="PS46H" numFmtId="0">
      <sharedItems containsString="0" containsBlank="1" containsNumber="1" containsInteger="1" minValue="0" maxValue="0"/>
    </cacheField>
    <cacheField name="PS47H" numFmtId="0">
      <sharedItems containsString="0" containsBlank="1" containsNumber="1" minValue="0" maxValue="0.91499999999999992"/>
    </cacheField>
    <cacheField name="PS48H" numFmtId="0">
      <sharedItems containsString="0" containsBlank="1" containsNumber="1" containsInteger="1" minValue="0" maxValue="0"/>
    </cacheField>
    <cacheField name="PS49H" numFmtId="0">
      <sharedItems containsString="0" containsBlank="1" containsNumber="1" containsInteger="1" minValue="0" maxValue="0"/>
    </cacheField>
    <cacheField name="PS64H" numFmtId="0">
      <sharedItems containsString="0" containsBlank="1" containsNumber="1" containsInteger="1" minValue="0" maxValue="2"/>
    </cacheField>
    <cacheField name="PS24H" numFmtId="0">
      <sharedItems containsString="0" containsBlank="1" containsNumber="1" containsInteger="1" minValue="0" maxValue="0"/>
    </cacheField>
    <cacheField name="PS25H" numFmtId="0">
      <sharedItems containsString="0" containsBlank="1" containsNumber="1" containsInteger="1" minValue="0" maxValue="0"/>
    </cacheField>
    <cacheField name="PS26H" numFmtId="0">
      <sharedItems containsString="0" containsBlank="1" containsNumber="1" minValue="0" maxValue="0.60699999999999998"/>
    </cacheField>
    <cacheField name="PS35H" numFmtId="0">
      <sharedItems containsString="0" containsBlank="1" containsNumber="1" containsInteger="1" minValue="0" maxValue="0"/>
    </cacheField>
    <cacheField name="PS39E09" numFmtId="0">
      <sharedItems containsString="0" containsBlank="1" containsNumber="1" containsInteger="1" minValue="0" maxValue="0"/>
    </cacheField>
    <cacheField name="PS42E09" numFmtId="0">
      <sharedItems containsString="0" containsBlank="1" containsNumber="1" containsInteger="1" minValue="0" maxValue="0"/>
    </cacheField>
    <cacheField name="PS43E09" numFmtId="0">
      <sharedItems containsString="0" containsBlank="1" containsNumber="1" containsInteger="1" minValue="0" maxValue="0"/>
    </cacheField>
    <cacheField name="PS44E09" numFmtId="0">
      <sharedItems containsString="0" containsBlank="1" containsNumber="1" containsInteger="1" minValue="0" maxValue="0"/>
    </cacheField>
    <cacheField name="PS45E09" numFmtId="0">
      <sharedItems containsString="0" containsBlank="1" containsNumber="1" containsInteger="1" minValue="0" maxValue="0"/>
    </cacheField>
    <cacheField name="PS46E09" numFmtId="0">
      <sharedItems containsString="0" containsBlank="1" containsNumber="1" containsInteger="1" minValue="0" maxValue="0"/>
    </cacheField>
    <cacheField name="PS47E09" numFmtId="0">
      <sharedItems containsString="0" containsBlank="1" containsNumber="1" containsInteger="1" minValue="0" maxValue="0"/>
    </cacheField>
    <cacheField name="PS48E09" numFmtId="0">
      <sharedItems containsString="0" containsBlank="1" containsNumber="1" containsInteger="1" minValue="0" maxValue="0"/>
    </cacheField>
    <cacheField name="PS49E09" numFmtId="0">
      <sharedItems containsString="0" containsBlank="1" containsNumber="1" containsInteger="1" minValue="0" maxValue="0"/>
    </cacheField>
    <cacheField name="PS64E09" numFmtId="0">
      <sharedItems containsString="0" containsBlank="1" containsNumber="1" containsInteger="1" minValue="0" maxValue="0"/>
    </cacheField>
    <cacheField name="PS24E09" numFmtId="0">
      <sharedItems containsString="0" containsBlank="1" containsNumber="1" containsInteger="1" minValue="0" maxValue="0"/>
    </cacheField>
    <cacheField name="PS25E09" numFmtId="0">
      <sharedItems containsString="0" containsBlank="1" containsNumber="1" containsInteger="1" minValue="0" maxValue="0"/>
    </cacheField>
    <cacheField name="PS26E09" numFmtId="0">
      <sharedItems containsString="0" containsBlank="1" containsNumber="1" containsInteger="1" minValue="0" maxValue="0"/>
    </cacheField>
    <cacheField name="PS35E09" numFmtId="0">
      <sharedItems containsString="0" containsBlank="1" containsNumber="1" containsInteger="1" minValue="0" maxValue="0"/>
    </cacheField>
    <cacheField name="PS39E97" numFmtId="0">
      <sharedItems containsString="0" containsBlank="1" containsNumber="1" containsInteger="1" minValue="0" maxValue="0"/>
    </cacheField>
    <cacheField name="PS42E97" numFmtId="0">
      <sharedItems containsString="0" containsBlank="1" containsNumber="1" containsInteger="1" minValue="0" maxValue="0"/>
    </cacheField>
    <cacheField name="PS43E97" numFmtId="0">
      <sharedItems containsString="0" containsBlank="1" containsNumber="1" minValue="0" maxValue="3.5000000000000003E-2"/>
    </cacheField>
    <cacheField name="PS44E97" numFmtId="0">
      <sharedItems containsString="0" containsBlank="1" containsNumber="1" containsInteger="1" minValue="0" maxValue="0"/>
    </cacheField>
    <cacheField name="PS45E97" numFmtId="0">
      <sharedItems containsString="0" containsBlank="1" containsNumber="1" containsInteger="1" minValue="0" maxValue="0"/>
    </cacheField>
    <cacheField name="PS46E97" numFmtId="0">
      <sharedItems containsString="0" containsBlank="1" containsNumber="1" containsInteger="1" minValue="0" maxValue="0"/>
    </cacheField>
    <cacheField name="PS47E97" numFmtId="0">
      <sharedItems containsString="0" containsBlank="1" containsNumber="1" containsInteger="1" minValue="0" maxValue="0"/>
    </cacheField>
    <cacheField name="PS48E97" numFmtId="0">
      <sharedItems containsString="0" containsBlank="1" containsNumber="1" containsInteger="1" minValue="0" maxValue="0"/>
    </cacheField>
    <cacheField name="PS49E97" numFmtId="0">
      <sharedItems containsString="0" containsBlank="1" containsNumber="1" containsInteger="1" minValue="0" maxValue="0"/>
    </cacheField>
    <cacheField name="PS64E97" numFmtId="0">
      <sharedItems containsString="0" containsBlank="1" containsNumber="1" containsInteger="1" minValue="0" maxValue="0"/>
    </cacheField>
    <cacheField name="PS24E97" numFmtId="0">
      <sharedItems containsString="0" containsBlank="1" containsNumber="1" containsInteger="1" minValue="0" maxValue="0"/>
    </cacheField>
    <cacheField name="PS25E97" numFmtId="0">
      <sharedItems containsString="0" containsBlank="1" containsNumber="1" containsInteger="1" minValue="0" maxValue="0"/>
    </cacheField>
    <cacheField name="PS26E97" numFmtId="0">
      <sharedItems containsString="0" containsBlank="1" containsNumber="1" containsInteger="1" minValue="0" maxValue="0"/>
    </cacheField>
    <cacheField name="PS35E97" numFmtId="0">
      <sharedItems containsString="0" containsBlank="1" containsNumber="1" minValue="0" maxValue="0.7"/>
    </cacheField>
    <cacheField name="PS39M97" numFmtId="0">
      <sharedItems containsString="0" containsBlank="1" containsNumber="1" containsInteger="1" minValue="0" maxValue="0"/>
    </cacheField>
    <cacheField name="PS42M97" numFmtId="0">
      <sharedItems containsString="0" containsBlank="1" containsNumber="1" containsInteger="1" minValue="0" maxValue="0"/>
    </cacheField>
    <cacheField name="PS43M97" numFmtId="0">
      <sharedItems containsString="0" containsBlank="1" containsNumber="1" minValue="0" maxValue="3.5999999999999997E-2"/>
    </cacheField>
    <cacheField name="PS44M97" numFmtId="0">
      <sharedItems containsString="0" containsBlank="1" containsNumber="1" containsInteger="1" minValue="0" maxValue="0"/>
    </cacheField>
    <cacheField name="PS45M97" numFmtId="0">
      <sharedItems containsString="0" containsBlank="1" containsNumber="1" containsInteger="1" minValue="0" maxValue="0"/>
    </cacheField>
    <cacheField name="PS46M97" numFmtId="0">
      <sharedItems containsString="0" containsBlank="1" containsNumber="1" containsInteger="1" minValue="0" maxValue="0"/>
    </cacheField>
    <cacheField name="PS47M97" numFmtId="0">
      <sharedItems containsString="0" containsBlank="1" containsNumber="1" containsInteger="1" minValue="0" maxValue="0"/>
    </cacheField>
    <cacheField name="PS48M97" numFmtId="0">
      <sharedItems containsString="0" containsBlank="1" containsNumber="1" containsInteger="1" minValue="0" maxValue="0"/>
    </cacheField>
    <cacheField name="PS49M97" numFmtId="0">
      <sharedItems containsString="0" containsBlank="1" containsNumber="1" containsInteger="1" minValue="0" maxValue="0"/>
    </cacheField>
    <cacheField name="PS64M97" numFmtId="0">
      <sharedItems containsString="0" containsBlank="1" containsNumber="1" containsInteger="1" minValue="0" maxValue="0"/>
    </cacheField>
    <cacheField name="PS24M97" numFmtId="0">
      <sharedItems containsString="0" containsBlank="1" containsNumber="1" containsInteger="1" minValue="0" maxValue="0"/>
    </cacheField>
    <cacheField name="PS25M97" numFmtId="0">
      <sharedItems containsString="0" containsBlank="1" containsNumber="1" containsInteger="1" minValue="0" maxValue="0"/>
    </cacheField>
    <cacheField name="PS26M97" numFmtId="0">
      <sharedItems containsString="0" containsBlank="1" containsNumber="1" containsInteger="1" minValue="0" maxValue="0"/>
    </cacheField>
    <cacheField name="PS35M97" numFmtId="0">
      <sharedItems containsString="0" containsBlank="1" containsNumber="1" minValue="0" maxValue="0.7"/>
    </cacheField>
    <cacheField name="PS39H97" numFmtId="0">
      <sharedItems containsString="0" containsBlank="1" containsNumber="1" containsInteger="1" minValue="0" maxValue="0"/>
    </cacheField>
    <cacheField name="PS42H97" numFmtId="0">
      <sharedItems containsString="0" containsBlank="1" containsNumber="1" containsInteger="1" minValue="0" maxValue="0"/>
    </cacheField>
    <cacheField name="PS43H97" numFmtId="0">
      <sharedItems containsString="0" containsBlank="1" containsNumber="1" containsInteger="1" minValue="0" maxValue="0"/>
    </cacheField>
    <cacheField name="PS44H97" numFmtId="0">
      <sharedItems containsString="0" containsBlank="1" containsNumber="1" containsInteger="1" minValue="0" maxValue="0"/>
    </cacheField>
    <cacheField name="PS45H97" numFmtId="0">
      <sharedItems containsString="0" containsBlank="1" containsNumber="1" containsInteger="1" minValue="0" maxValue="0"/>
    </cacheField>
    <cacheField name="PS46H97" numFmtId="0">
      <sharedItems containsString="0" containsBlank="1" containsNumber="1" containsInteger="1" minValue="0" maxValue="0"/>
    </cacheField>
    <cacheField name="PS47H97" numFmtId="0">
      <sharedItems containsString="0" containsBlank="1" containsNumber="1" containsInteger="1" minValue="0" maxValue="0"/>
    </cacheField>
    <cacheField name="PS48H97" numFmtId="0">
      <sharedItems containsString="0" containsBlank="1" containsNumber="1" containsInteger="1" minValue="0" maxValue="0"/>
    </cacheField>
    <cacheField name="PS49H97" numFmtId="0">
      <sharedItems containsString="0" containsBlank="1" containsNumber="1" containsInteger="1" minValue="0" maxValue="0"/>
    </cacheField>
    <cacheField name="PS64H97" numFmtId="0">
      <sharedItems containsString="0" containsBlank="1" containsNumber="1" containsInteger="1" minValue="0" maxValue="0"/>
    </cacheField>
    <cacheField name="PS24H97" numFmtId="0">
      <sharedItems containsString="0" containsBlank="1" containsNumber="1" containsInteger="1" minValue="0" maxValue="0"/>
    </cacheField>
    <cacheField name="PS25H97" numFmtId="0">
      <sharedItems containsString="0" containsBlank="1" containsNumber="1" containsInteger="1" minValue="0" maxValue="0"/>
    </cacheField>
    <cacheField name="PS26H97" numFmtId="0">
      <sharedItems containsString="0" containsBlank="1" containsNumber="1" containsInteger="1" minValue="0" maxValue="0"/>
    </cacheField>
    <cacheField name="PS35H97" numFmtId="0">
      <sharedItems containsString="0" containsBlank="1" containsNumber="1" minValue="0" maxValue="2.4"/>
    </cacheField>
    <cacheField name="PS39E21" numFmtId="0">
      <sharedItems containsString="0" containsBlank="1" containsNumber="1" containsInteger="1" minValue="0" maxValue="0"/>
    </cacheField>
    <cacheField name="PS42E21" numFmtId="0">
      <sharedItems containsString="0" containsBlank="1" containsNumber="1" minValue="0" maxValue="0.08"/>
    </cacheField>
    <cacheField name="PS43E21" numFmtId="0">
      <sharedItems containsString="0" containsBlank="1" containsNumber="1" minValue="0" maxValue="5.2540000000000004"/>
    </cacheField>
    <cacheField name="PS44E21" numFmtId="0">
      <sharedItems containsString="0" containsBlank="1" containsNumber="1" containsInteger="1" minValue="0" maxValue="0"/>
    </cacheField>
    <cacheField name="PS45E21" numFmtId="0">
      <sharedItems containsString="0" containsBlank="1" containsNumber="1" minValue="0" maxValue="9.6769999999999978"/>
    </cacheField>
    <cacheField name="PS46E21" numFmtId="0">
      <sharedItems containsString="0" containsBlank="1" containsNumber="1" minValue="0" maxValue="4.7250000000000005"/>
    </cacheField>
    <cacheField name="PS47E21" numFmtId="0">
      <sharedItems containsString="0" containsBlank="1" containsNumber="1" minValue="0" maxValue="0.97099999999999997"/>
    </cacheField>
    <cacheField name="PS48E21" numFmtId="0">
      <sharedItems containsString="0" containsBlank="1" containsNumber="1" minValue="0" maxValue="1.8540000000000001"/>
    </cacheField>
    <cacheField name="PS49E21" numFmtId="0">
      <sharedItems containsString="0" containsBlank="1" containsNumber="1" minValue="0" maxValue="0.11"/>
    </cacheField>
    <cacheField name="PS64E21" numFmtId="0">
      <sharedItems containsString="0" containsBlank="1" containsNumber="1" minValue="0" maxValue="3.7050000000000001"/>
    </cacheField>
    <cacheField name="PS24E21" numFmtId="0">
      <sharedItems containsString="0" containsBlank="1" containsNumber="1" containsInteger="1" minValue="0" maxValue="0"/>
    </cacheField>
    <cacheField name="PS25E21" numFmtId="0">
      <sharedItems containsString="0" containsBlank="1" containsNumber="1" minValue="0" maxValue="0.62"/>
    </cacheField>
    <cacheField name="PS26E21" numFmtId="0">
      <sharedItems containsString="0" containsBlank="1" containsNumber="1" containsInteger="1" minValue="0" maxValue="1"/>
    </cacheField>
    <cacheField name="PS35E21" numFmtId="0">
      <sharedItems containsString="0" containsBlank="1" containsNumber="1" containsInteger="1" minValue="0" maxValue="0"/>
    </cacheField>
    <cacheField name="PS39M21" numFmtId="0">
      <sharedItems containsString="0" containsBlank="1" containsNumber="1" containsInteger="1" minValue="0" maxValue="0"/>
    </cacheField>
    <cacheField name="PS42M21" numFmtId="0">
      <sharedItems containsString="0" containsBlank="1" containsNumber="1" minValue="0" maxValue="0.08"/>
    </cacheField>
    <cacheField name="PS43M21" numFmtId="0">
      <sharedItems containsString="0" containsBlank="1" containsNumber="1" minValue="0" maxValue="1.4159999999999999"/>
    </cacheField>
    <cacheField name="PS44M21" numFmtId="0">
      <sharedItems containsString="0" containsBlank="1" containsNumber="1" containsInteger="1" minValue="0" maxValue="0"/>
    </cacheField>
    <cacheField name="PS45M21" numFmtId="0">
      <sharedItems containsString="0" containsBlank="1" containsNumber="1" minValue="0" maxValue="3.2140000000000004"/>
    </cacheField>
    <cacheField name="PS46M21" numFmtId="0">
      <sharedItems containsString="0" containsBlank="1" containsNumber="1" minValue="0" maxValue="1.4930000000000001"/>
    </cacheField>
    <cacheField name="PS47M21" numFmtId="0">
      <sharedItems containsString="0" containsBlank="1" containsNumber="1" minValue="0" maxValue="0.21299999999999999"/>
    </cacheField>
    <cacheField name="PS48M21" numFmtId="0">
      <sharedItems containsString="0" containsBlank="1" containsNumber="1" minValue="0" maxValue="0.44600000000000006"/>
    </cacheField>
    <cacheField name="PS49M21" numFmtId="0">
      <sharedItems containsString="0" containsBlank="1" containsNumber="1" minValue="0" maxValue="0.111"/>
    </cacheField>
    <cacheField name="PS64M21" numFmtId="0">
      <sharedItems containsString="0" containsBlank="1" containsNumber="1" minValue="0" maxValue="1.4950000000000001"/>
    </cacheField>
    <cacheField name="PS24M21" numFmtId="0">
      <sharedItems containsString="0" containsBlank="1" containsNumber="1" containsInteger="1" minValue="0" maxValue="0"/>
    </cacheField>
    <cacheField name="PS25M21" numFmtId="0">
      <sharedItems containsString="0" containsBlank="1" containsNumber="1" minValue="0" maxValue="0.16"/>
    </cacheField>
    <cacheField name="PS26M21" numFmtId="0">
      <sharedItems containsString="0" containsBlank="1" containsNumber="1" containsInteger="1" minValue="0" maxValue="0"/>
    </cacheField>
    <cacheField name="PS35M21" numFmtId="0">
      <sharedItems containsString="0" containsBlank="1" containsNumber="1" containsInteger="1" minValue="0" maxValue="0"/>
    </cacheField>
    <cacheField name="PS39H21" numFmtId="0">
      <sharedItems containsString="0" containsBlank="1" containsNumber="1" containsInteger="1" minValue="0" maxValue="0"/>
    </cacheField>
    <cacheField name="PS42H21" numFmtId="0">
      <sharedItems containsString="0" containsBlank="1" containsNumber="1" minValue="0" maxValue="0.08"/>
    </cacheField>
    <cacheField name="PS43H21" numFmtId="0">
      <sharedItems containsString="0" containsBlank="1" containsNumber="1" minValue="0" maxValue="1.206"/>
    </cacheField>
    <cacheField name="PS44H21" numFmtId="0">
      <sharedItems containsString="0" containsBlank="1" containsNumber="1" containsInteger="1" minValue="0" maxValue="0"/>
    </cacheField>
    <cacheField name="PS45H21" numFmtId="0">
      <sharedItems containsString="0" containsBlank="1" containsNumber="1" minValue="0" maxValue="2.3840000000000003"/>
    </cacheField>
    <cacheField name="PS46H21" numFmtId="0">
      <sharedItems containsString="0" containsBlank="1" containsNumber="1" minValue="0" maxValue="2.33"/>
    </cacheField>
    <cacheField name="PS47H21" numFmtId="0">
      <sharedItems containsString="0" containsBlank="1" containsNumber="1" minValue="0" maxValue="0.35599999999999998"/>
    </cacheField>
    <cacheField name="PS48H21" numFmtId="0">
      <sharedItems containsString="0" containsBlank="1" containsNumber="1" minValue="0" maxValue="0.45699999999999996"/>
    </cacheField>
    <cacheField name="PS49H21" numFmtId="0">
      <sharedItems containsString="0" containsBlank="1" containsNumber="1" minValue="0" maxValue="1.2"/>
    </cacheField>
    <cacheField name="PS64H21" numFmtId="0">
      <sharedItems containsString="0" containsBlank="1" containsNumber="1" minValue="0" maxValue="1.4950000000000001"/>
    </cacheField>
    <cacheField name="PS24H21" numFmtId="0">
      <sharedItems containsString="0" containsBlank="1" containsNumber="1" containsInteger="1" minValue="0" maxValue="0"/>
    </cacheField>
    <cacheField name="PS25H21" numFmtId="0">
      <sharedItems containsString="0" containsBlank="1" containsNumber="1" minValue="0" maxValue="0.16"/>
    </cacheField>
    <cacheField name="PS26H21" numFmtId="0">
      <sharedItems containsString="0" containsBlank="1" containsNumber="1" containsInteger="1" minValue="0" maxValue="0"/>
    </cacheField>
    <cacheField name="PS35H21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ie McDonald" refreshedDate="45688.643577314811" createdVersion="8" refreshedVersion="8" minRefreshableVersion="3" recordCount="3695" xr:uid="{88AA6375-C65F-427D-AECD-F3CFA424B8AC}">
  <cacheSource type="worksheet">
    <worksheetSource ref="H1:V1048576" sheet="PSES Staff Snapshot 25-01-16"/>
  </cacheSource>
  <cacheFields count="15">
    <cacheField name="OrganizationName" numFmtId="0">
      <sharedItems containsBlank="1" count="310">
        <s v="Othello School District"/>
        <s v="Lind School District"/>
        <s v="Ritzville School District"/>
        <s v="Clarkston School District"/>
        <s v="Asotin-Anatone School District"/>
        <s v="Kennewick School District"/>
        <s v="Paterson School District"/>
        <s v="Kiona-Benton City School District"/>
        <s v="Finley School District"/>
        <s v="Prosser School District"/>
        <s v="Richland School District"/>
        <s v="Manson School District"/>
        <s v="Entiat School District"/>
        <s v="Lake Chelan School District"/>
        <s v="CASHMERE SCHOOL DISTRICT"/>
        <s v="Cascade School District"/>
        <s v="Wenatchee School District"/>
        <s v="Pinnacles Prep"/>
        <s v="Port Angeles School District"/>
        <s v="Crescent School District"/>
        <s v="Sequim School District"/>
        <s v="Cape Flattery School District"/>
        <s v="Quillayute Valley School District"/>
        <s v="Quileute Tribal School District"/>
        <s v="Vancouver School District"/>
        <s v="Hockinson School District"/>
        <s v="La Center School District"/>
        <s v="Green Mountain School District"/>
        <s v="Washougal School District"/>
        <s v="Evergreen School District (Clark)"/>
        <s v="Camas School District"/>
        <s v="Battle Ground School District"/>
        <s v="Ridgefield School District"/>
        <s v="Dayton School District"/>
        <s v="Longview School District"/>
        <s v="Toutle Lake School District"/>
        <s v="Castle Rock School District"/>
        <s v="Kalama School District"/>
        <s v="Woodland School District"/>
        <s v="Kelso School District"/>
        <s v="Orondo School District"/>
        <s v="Bridgeport School District"/>
        <s v="Palisades School District"/>
        <s v="Eastmont School District"/>
        <s v="Mansfield School District"/>
        <s v="Waterville School District"/>
        <s v="Keller School District"/>
        <s v="Curlew School District"/>
        <s v="Orient School District"/>
        <s v="Inchelium School District"/>
        <s v="Republic School District"/>
        <s v="Pasco School District"/>
        <s v="North Franklin School District"/>
        <s v="Kahlotus School District"/>
        <s v="Pomeroy School District"/>
        <s v="Wahluke School District"/>
        <s v="Quincy School District"/>
        <s v="Warden School District"/>
        <s v="Coulee-Hartline School District"/>
        <s v="Soap Lake School District"/>
        <s v="Royal School District"/>
        <s v="Moses Lake School District"/>
        <s v="Ephrata School District"/>
        <s v="Wilson Creek School District"/>
        <s v="Grand Coulee Dam School District"/>
        <s v="Aberdeen School District"/>
        <s v="Hoquiam School District"/>
        <s v="North Beach School District"/>
        <s v="McCleary School District"/>
        <s v="Montesano School District"/>
        <s v="Elma School District"/>
        <s v="Taholah School District"/>
        <s v="Lake Quinault School District"/>
        <s v="Cosmopolis School District"/>
        <s v="Wishkah Valley School District"/>
        <s v="Ocosta School District"/>
        <s v="Oakville School District"/>
        <s v="Oak Harbor School District"/>
        <s v="Coupeville School District"/>
        <s v="South Whidbey School District"/>
        <s v="Queets-Clearwater School District"/>
        <s v="Brinnon School District"/>
        <s v="Quilcene School District"/>
        <s v="Chimacum School District"/>
        <s v="Port Townsend School District"/>
        <s v="Seattle Public Schools"/>
        <s v="Federal Way School District"/>
        <s v="Enumclaw School District"/>
        <s v="Mercer Island School District"/>
        <s v="Highline School District"/>
        <s v="Vashon Island School District"/>
        <s v="Renton School District"/>
        <s v="Skykomish School District"/>
        <s v="Bellevue School District"/>
        <s v="Tukwila School District"/>
        <s v="Riverview School District"/>
        <s v="Auburn School District"/>
        <s v="Tahoma School District"/>
        <s v="Snoqualmie Valley School District"/>
        <s v="Issaquah School District"/>
        <s v="Shoreline School District"/>
        <s v="Lake Washington School District"/>
        <s v="Kent School District"/>
        <s v="Northshore School District"/>
        <s v="Summit Public School: Sierra"/>
        <s v="Muckleshoot Indian Tribe"/>
        <s v="Summit Public School: Atlas"/>
        <s v="Impact | Puget Sound Elementary"/>
        <s v="Impact | Salish Sea Elementary"/>
        <s v="Why Not You Academy (formerly Cascade: Midway charter)"/>
        <s v="Impact | Black River Elementary"/>
        <s v="Bremerton School District"/>
        <s v="Bainbridge Island School District"/>
        <s v="North Kitsap School District"/>
        <s v="Central Kitsap School District"/>
        <s v="South Kitsap School District"/>
        <s v="Catalyst Public Schools"/>
        <s v="Suquamish Tribal Education Department"/>
        <s v="Damman School District"/>
        <s v="Easton School District"/>
        <s v="Thorp School District"/>
        <s v="Ellensburg School District"/>
        <s v="Kittitas School District"/>
        <s v="Cle Elum-Roslyn School District"/>
        <s v="Wishram School District"/>
        <s v="Centerville School District"/>
        <s v="Trout Lake School District"/>
        <s v="Glenwood School District"/>
        <s v="Klickitat School District"/>
        <s v="Roosevelt School District"/>
        <s v="Goldendale School District"/>
        <s v="White Salmon Valley School District"/>
        <s v="Napavine School District"/>
        <s v="Evaline School District"/>
        <s v="Mossyrock School District"/>
        <s v="Morton School District"/>
        <s v="Adna School District"/>
        <s v="Winlock School District"/>
        <s v="Boistfort School District"/>
        <s v="Toledo School District"/>
        <s v="Onalaska School District"/>
        <s v="Pe Ell School District"/>
        <s v="Chehalis School District"/>
        <s v="White Pass School District"/>
        <s v="Centralia School District"/>
        <s v="Sprague School District"/>
        <s v="Reardan-Edwall School District"/>
        <s v="Almira School District"/>
        <s v="Odessa School District"/>
        <s v="Wilbur School District"/>
        <s v="Harrington School District"/>
        <s v="Davenport School District"/>
        <s v="Southside School District"/>
        <s v="Grapeview School District"/>
        <s v="Shelton School District"/>
        <s v="Mary M Knight School District"/>
        <s v="Pioneer School District"/>
        <s v="North Mason School District"/>
        <s v="Hood Canal School District"/>
        <s v="Nespelem School District  "/>
        <s v="Omak School District"/>
        <s v="Okanogan School District"/>
        <s v="Brewster School District"/>
        <s v="Pateros School District"/>
        <s v="Methow Valley School District"/>
        <s v="Tonasket School District"/>
        <s v="Oroville School District"/>
        <s v="Paschal Sherman Indian School"/>
        <s v="Ocean Beach School District"/>
        <s v="Raymond School District"/>
        <s v="South Bend School District"/>
        <s v="Naselle-Grays River Valley School District"/>
        <s v="Willapa Valley School District"/>
        <s v="Newport School District"/>
        <s v="Cusick School District"/>
        <s v="Selkirk School District"/>
        <s v="Steilacoom Hist. School District"/>
        <s v="Puyallup School District"/>
        <s v="Tacoma School District"/>
        <s v="University Place School District"/>
        <s v="Sumner-Bonney Lake School District"/>
        <s v="Dieringer School District"/>
        <s v="Orting School District"/>
        <s v="Clover Park School District"/>
        <s v="Peninsula School District"/>
        <s v="Franklin Pierce School District"/>
        <s v="Bethel School District"/>
        <s v="Eatonville School District"/>
        <s v="White River School District"/>
        <s v="Fife School District"/>
        <s v="Chief Leschi Tribal Compact"/>
        <s v="Impact | Commencement Bay Elementary"/>
        <s v="Summit Public School: Olympus"/>
        <s v="Orcas Island School District"/>
        <s v="Lopez School District"/>
        <s v="San Juan Island School District"/>
        <s v="Concrete School District"/>
        <s v="Burlington-Edison School District"/>
        <s v="Sedro-Woolley School District"/>
        <s v="Anacortes School District"/>
        <s v="La Conner School District"/>
        <s v="Conway School District"/>
        <s v="Mount Vernon School District"/>
        <s v="Skamania School District"/>
        <s v="Mount Pleasant School District"/>
        <s v="Mill A School District"/>
        <s v="Stevenson-Carson School District"/>
        <s v="Everett School District"/>
        <s v="Lake Stevens School District"/>
        <s v="Mukilteo School District"/>
        <s v="Edmonds School District"/>
        <s v="Arlington School District"/>
        <s v="Marysville School District"/>
        <s v="Index School District"/>
        <s v="Monroe School District"/>
        <s v="Snohomish School District"/>
        <s v="Lakewood School District"/>
        <s v="Sultan School District"/>
        <s v="Darrington School District"/>
        <s v="Granite Falls School District"/>
        <s v="Stanwood-Camano School District"/>
        <s v="Spokane School District"/>
        <s v="Orchard Prairie School District"/>
        <s v="Great Northern School District"/>
        <s v="Nine Mile Falls School District"/>
        <s v="Medical Lake School District"/>
        <s v="Mead School District"/>
        <s v="Central Valley School District"/>
        <s v="Freeman School District"/>
        <s v="Cheney School District"/>
        <s v="East Valley School District (Spokane)"/>
        <s v="Liberty School District"/>
        <s v="West Valley School District (Spokane)"/>
        <s v="Deer Park School District"/>
        <s v="Riverside School District"/>
        <s v="Spokane International Academy"/>
        <s v="Lumen Public School"/>
        <s v="Innovation Spokane Charter School District "/>
        <s v="Onion Creek School District"/>
        <s v="Chewelah School District"/>
        <s v="Wellpinit School District"/>
        <s v="Valley School District"/>
        <s v="Colville School District"/>
        <s v="Loon Lake School District"/>
        <s v="Summit Valley School District"/>
        <s v="Evergreen School District (Stevens)"/>
        <s v="Columbia (Stevens) School District"/>
        <s v="Mary Walker School District"/>
        <s v="Northport School District"/>
        <s v="Kettle Falls School District"/>
        <s v="Yelm School District"/>
        <s v="North Thurston Public Schools"/>
        <s v="Tumwater School District"/>
        <s v="Olympia School District"/>
        <s v="Rainier School District"/>
        <s v="Griffin School District"/>
        <s v="Rochester School District"/>
        <s v="Tenino School District"/>
        <s v="WA HE LUT Indian School Agency"/>
        <s v="Wahkiakum School District"/>
        <s v="Walla Walla Public Schools"/>
        <s v="College Place School District"/>
        <s v="Touchet School District"/>
        <s v="Columbia (Walla Walla) School District"/>
        <s v="Waitsburg School District"/>
        <s v="Prescott School District"/>
        <s v="Bellingham School District"/>
        <s v="Ferndale School District"/>
        <s v="Blaine School District"/>
        <s v="Lynden School District"/>
        <s v="Meridian School District"/>
        <s v="Nooksack Valley School District"/>
        <s v="Mount Baker School District"/>
        <s v="Whatcom Intergenerational High School"/>
        <s v="Lummi Tribal Agency"/>
        <s v="LaCrosse School District"/>
        <s v="Tekoa School District"/>
        <s v="Pullman School District"/>
        <s v="Colfax School District"/>
        <s v="Palouse School District"/>
        <s v="Garfield School District"/>
        <s v="Steptoe School District"/>
        <s v="Colton School District"/>
        <s v="Endicott School District"/>
        <s v="Rosalia School District"/>
        <s v="St. John School District"/>
        <s v="Oakesdale School District"/>
        <s v="Union Gap School District"/>
        <s v="Naches Valley School District"/>
        <s v="Yakima School District"/>
        <s v="East Valley School District (Yakima)"/>
        <s v="Selah School District"/>
        <s v="Mabton School District"/>
        <s v="Grandview School District"/>
        <s v="Sunnyside School District"/>
        <s v="Toppenish School District"/>
        <s v="Highland School District"/>
        <s v="Granger School District"/>
        <s v="Zillah School District"/>
        <s v="Wapato School District"/>
        <s v="West Valley School District (Yakima)"/>
        <s v="Mount Adams School District"/>
        <s v="Yakama Nation Tribal Compact"/>
        <s v="ZZState Summary"/>
        <m/>
        <s v="Lamont School District" u="1"/>
        <s v="PRIDE Prep Charter School District" u="1"/>
        <s v="Pullman Community Montessori" u="1"/>
        <s v="Rainier Prep Charter School District" u="1"/>
        <s v="Rooted School Vancouver" u="1"/>
      </sharedItems>
    </cacheField>
    <cacheField name="SnapshotType" numFmtId="0">
      <sharedItems containsBlank="1"/>
    </cacheField>
    <cacheField name="Code" numFmtId="0">
      <sharedItems containsBlank="1"/>
    </cacheField>
    <cacheField name="Description" numFmtId="0">
      <sharedItems containsBlank="1" count="4">
        <s v="Elementary Grade Group K-6"/>
        <s v="High Grade Group 9-12"/>
        <s v="Middle Grade Group 7-8"/>
        <m/>
      </sharedItems>
    </cacheField>
    <cacheField name="ItemCode" numFmtId="0">
      <sharedItems containsBlank="1" count="141">
        <s v="PS24ES"/>
        <s v="PS24HS"/>
        <s v="PS24MS"/>
        <s v="PS25ES"/>
        <s v="PS25H21S"/>
        <s v="PS25HS"/>
        <s v="PS25MS"/>
        <s v="PS26E21S"/>
        <s v="PS26ES"/>
        <s v="PS26HS"/>
        <s v="PS26M21S"/>
        <s v="PS26MS"/>
        <s v="PS35H97S"/>
        <s v="PS35M97S"/>
        <s v="PS39E21S"/>
        <s v="PS42ES"/>
        <s v="PS42HS"/>
        <s v="PS42MS"/>
        <s v="PS43E21S"/>
        <s v="PS43H21S"/>
        <s v="PS45E21S"/>
        <s v="PS45H21S"/>
        <s v="PS46E21S"/>
        <s v="PS46H21S"/>
        <s v="PS46M21S"/>
        <s v="PS47HS"/>
        <s v="PS49E21S"/>
        <s v="PS47ES"/>
        <s v="PS45M21S"/>
        <s v="PS26H21S"/>
        <s v="PS35E97S"/>
        <s v="PS43M21S"/>
        <s v="PS47E21S"/>
        <s v="PS47M21S"/>
        <s v="PS47MS"/>
        <s v="PS48E21S"/>
        <s v="PS48H21S"/>
        <s v="PS48M21S"/>
        <s v="PS64E21S"/>
        <s v="PS64ES"/>
        <s v="PS39ES"/>
        <s v="PS44E21S"/>
        <s v="PS44ES"/>
        <s v="PS44H21S"/>
        <s v="PS44HS"/>
        <s v="PS44M21S"/>
        <s v="PS44MS"/>
        <s v="PS45ES"/>
        <s v="PS46ES"/>
        <s v="PS46MS"/>
        <s v="PS49M21S"/>
        <s v="PS45HS"/>
        <s v="PS45MS"/>
        <s v="PS25H97S"/>
        <s v="PS35HS"/>
        <s v="PS49H21S"/>
        <s v="PS24E97S"/>
        <s v="PS24H97S"/>
        <s v="PS24M97S"/>
        <s v="PS64H21S"/>
        <s v="PS64M21S"/>
        <s v="PS47H21S"/>
        <s v="PS35ES"/>
        <s v="PS35MS"/>
        <s v="PS44E09S"/>
        <s v="PS46HS"/>
        <s v="PS25E09S"/>
        <s v="PS25E21S"/>
        <s v="PS49HS"/>
        <s v="PS43ES"/>
        <s v="PS42E09S"/>
        <s v="PS25E97S"/>
        <s v="PS25M97S"/>
        <s v="PS43HS"/>
        <s v="PS43MS"/>
        <s v="PS42M21S"/>
        <s v="PS42E21S"/>
        <s v="PS42H21S"/>
        <s v="PS35E09S"/>
        <s v="PS49ES"/>
        <s v="PS64HS"/>
        <s v="PS64MS"/>
        <s v="PS25M21S"/>
        <s v="PS39H21S"/>
        <s v="PS26E09S"/>
        <s v="PS47E09S"/>
        <s v="PS24H21S"/>
        <s v="PS35H21S"/>
        <s v="PS39M21S"/>
        <s v="PS49MS"/>
        <s v="PS48ES"/>
        <s v="PS48HS"/>
        <s v="PS48MS"/>
        <s v="PS45E09S"/>
        <s v="PS64E09S"/>
        <s v="PS24E21S"/>
        <s v="PS24M21S"/>
        <s v="PS24E09S"/>
        <s v="PS26E97S"/>
        <s v="PS26M97S"/>
        <s v="PS26H97S"/>
        <s v="PS35E21S"/>
        <s v="PS35M21S"/>
        <s v="PS39E97S"/>
        <s v="PS39M97S"/>
        <s v="PS39H97S"/>
        <s v="PS39E09S"/>
        <s v="PS39MS"/>
        <s v="PS39HS"/>
        <s v="PS42E97S"/>
        <s v="PS42M97S"/>
        <s v="PS42H97S"/>
        <s v="PS43E97S"/>
        <s v="PS43M97S"/>
        <s v="PS43H97S"/>
        <s v="PS43E09S"/>
        <s v="PS44E97S"/>
        <s v="PS44M97S"/>
        <s v="PS44H97S"/>
        <s v="PS45E97S"/>
        <s v="PS45M97S"/>
        <s v="PS45H97S"/>
        <s v="PS46E97S"/>
        <s v="PS46M97S"/>
        <s v="PS46H97S"/>
        <s v="PS46E09S"/>
        <s v="PS47E97S"/>
        <s v="PS47M97S"/>
        <s v="PS47H97S"/>
        <s v="PS48E97S"/>
        <s v="PS48M97S"/>
        <s v="PS48H97S"/>
        <s v="PS48E09S"/>
        <s v="PS49E97S"/>
        <s v="PS49M97S"/>
        <s v="PS49H97S"/>
        <s v="PS49E09S"/>
        <s v="PS64E97S"/>
        <s v="PS64M97S"/>
        <s v="PS64H97S"/>
        <m/>
      </sharedItems>
    </cacheField>
    <cacheField name="Name" numFmtId="0">
      <sharedItems containsBlank="1"/>
    </cacheField>
    <cacheField name="Program" numFmtId="0">
      <sharedItems containsBlank="1" containsMixedTypes="1" containsNumber="1" containsInteger="1" minValue="1" maxValue="97" count="7">
        <n v="1"/>
        <n v="21"/>
        <n v="97"/>
        <n v="9"/>
        <s v="09"/>
        <s v="01"/>
        <m/>
      </sharedItems>
    </cacheField>
    <cacheField name="Duty/Activity" numFmtId="0">
      <sharedItems containsBlank="1"/>
    </cacheField>
    <cacheField name="DutyRoot" numFmtId="0">
      <sharedItems containsBlank="1" containsMixedTypes="1" containsNumber="1" containsInteger="1" minValue="39" maxValue="99"/>
    </cacheField>
    <cacheField name="Activity" numFmtId="0">
      <sharedItems containsString="0" containsBlank="1" containsNumber="1" containsInteger="1" minValue="24" maxValue="35"/>
    </cacheField>
    <cacheField name="Month" numFmtId="0">
      <sharedItems containsBlank="1"/>
    </cacheField>
    <cacheField name="Amount" numFmtId="0">
      <sharedItems containsString="0" containsBlank="1" containsNumber="1" minValue="0" maxValue="66.320999999999998"/>
    </cacheField>
    <cacheField name="B8" numFmtId="0">
      <sharedItems containsString="0" containsBlank="1" containsNumber="1" minValue="0.08" maxValue="0.34910000000000002"/>
    </cacheField>
    <cacheField name="Calculated 21 Units" numFmtId="0">
      <sharedItems containsString="0" containsBlank="1" containsNumber="1" minValue="0" maxValue="13.254"/>
    </cacheField>
    <cacheField name="Item Titl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ie McDonald" refreshedDate="45688.643577430557" createdVersion="8" refreshedVersion="8" minRefreshableVersion="3" recordCount="95" xr:uid="{33D7CB32-73EC-4354-90C6-0E2835348855}">
  <cacheSource type="worksheet">
    <worksheetSource ref="A7:EM297" sheet="Supp Staff Data"/>
  </cacheSource>
  <cacheFields count="143">
    <cacheField name="CCDDD" numFmtId="0">
      <sharedItems containsBlank="1" count="178">
        <s v="32358"/>
        <s v="11051"/>
        <s v="39208"/>
        <s v="38300"/>
        <s v="33211"/>
        <s v="21214"/>
        <s v="23402"/>
        <s v="06122"/>
        <s v="23311"/>
        <s v="21237"/>
        <s v="01109"/>
        <s v="39002"/>
        <s v="21300"/>
        <s v="14104"/>
        <s v="38306"/>
        <s v="39003"/>
        <s v="34402"/>
        <s v="15204"/>
        <s v="14065"/>
        <s v="14400"/>
        <s v="34307"/>
        <s v="25118"/>
        <m/>
        <s v="00000"/>
        <s v="01122" u="1"/>
        <s v="04127" u="1"/>
        <s v="04222" u="1"/>
        <s v="05313" u="1"/>
        <s v="06101" u="1"/>
        <s v="06119" u="1"/>
        <s v="08404" u="1"/>
        <s v="09075" u="1"/>
        <s v="09102" u="1"/>
        <s v="09207" u="1"/>
        <s v="09209" u="1"/>
        <s v="10070" u="1"/>
        <s v="12110" u="1"/>
        <s v="13151" u="1"/>
        <s v="13156" u="1"/>
        <s v="13160" u="1"/>
        <s v="13301" u="1"/>
        <s v="14064" u="1"/>
        <s v="14117" u="1"/>
        <s v="16020" u="1"/>
        <s v="16050" u="1"/>
        <s v="17414" u="1"/>
        <s v="17902" u="1"/>
        <s v="17905" u="1"/>
        <s v="17908" u="1"/>
        <s v="17910" u="1"/>
        <s v="20215" u="1"/>
        <s v="20405" u="1"/>
        <s v="20406" u="1"/>
        <s v="21014" u="1"/>
        <s v="21226" u="1"/>
        <s v="21232" u="1"/>
        <s v="21301" u="1"/>
        <s v="21303" u="1"/>
        <s v="22008" u="1"/>
        <s v="22009" u="1"/>
        <s v="22017" u="1"/>
        <s v="22105" u="1"/>
        <s v="23054" u="1"/>
        <s v="24105" u="1"/>
        <s v="24122" u="1"/>
        <s v="24350" u="1"/>
        <s v="24404" u="1"/>
        <s v="24410" u="1"/>
        <s v="25101" u="1"/>
        <s v="25116" u="1"/>
        <s v="25155" u="1"/>
        <s v="25160" u="1"/>
        <s v="25200" u="1"/>
        <s v="26059" u="1"/>
        <s v="27019" u="1"/>
        <s v="27343" u="1"/>
        <s v="27905" u="1"/>
        <s v="30303" u="1"/>
        <s v="31330" u="1"/>
        <s v="32123" u="1"/>
        <s v="32312" u="1"/>
        <s v="33030" u="1"/>
        <s v="33036" u="1"/>
        <s v="33070" u="1"/>
        <s v="33183" u="1"/>
        <s v="33202" u="1"/>
        <s v="33205" u="1"/>
        <s v="33206" u="1"/>
        <s v="34003" u="1"/>
        <s v="34033" u="1"/>
        <s v="34401" u="1"/>
        <s v="35200" u="1"/>
        <s v="36140" u="1"/>
        <s v="36400" u="1"/>
        <s v="38264" u="1"/>
        <s v="38265" u="1"/>
        <s v="38267" u="1"/>
        <s v="38301" u="1"/>
        <s v="38320" u="1"/>
        <s v="16046" u="1"/>
        <s v="21234" u="1"/>
        <s v="31016" u="1"/>
        <s v="37501" u="1"/>
        <s v="27403" u="1"/>
        <s v="24111" u="1"/>
        <s v="08401" u="1"/>
        <s v="18901" u="1"/>
        <s v="18401" u="1"/>
        <s v="21302" u="1"/>
        <s v="32360" u="1"/>
        <s v="36250" u="1"/>
        <s v="33115" u="1"/>
        <s v="22073" u="1"/>
        <s v="10050" u="1"/>
        <s v="21036" u="1"/>
        <s v="17210" u="1"/>
        <s v="27417" u="1"/>
        <s v="39200" u="1"/>
        <s v="31332" u="1"/>
        <s v="34324" u="1"/>
        <s v="39203" u="1"/>
        <s v="17401" u="1"/>
        <s v="06098" u="1"/>
        <s v="27902" u="1"/>
        <s v="17911" u="1"/>
        <s v="17916" u="1"/>
        <s v="17411" u="1"/>
        <s v="08458" u="1"/>
        <s v="17415" u="1"/>
        <s v="33212" u="1"/>
        <s v="19403" u="1"/>
        <s v="29311" u="1"/>
        <s v="31004" u="1"/>
        <s v="04019" u="1"/>
        <s v="32326" u="1"/>
        <s v="17400" u="1"/>
        <s v="14066" u="1"/>
        <s v="21206" u="1"/>
        <s v="39209" u="1"/>
        <s v="37507" u="1"/>
        <s v="30029" u="1"/>
        <s v="31006" u="1"/>
        <s v="24014" u="1"/>
        <s v="32325" u="1"/>
        <s v="18400" u="1"/>
        <s v="23403" u="1"/>
        <s v="17417" u="1"/>
        <s v="38324" u="1"/>
        <s v="01147" u="1"/>
        <s v="03050" u="1"/>
        <s v="03116" u="1"/>
        <s v="05402" u="1"/>
        <s v="14097" u="1"/>
        <s v="13144" u="1"/>
        <s v="20403" u="1"/>
        <s v="17001" u="1"/>
        <s v="39119" u="1"/>
        <s v="26070" u="1"/>
        <s v="30002" u="1"/>
        <s v="31201" u="1"/>
        <s v="17410" u="1"/>
        <s v="18402" u="1"/>
        <s v="15206" u="1"/>
        <s v="32081" u="1"/>
        <s v="32901" u="1"/>
        <s v="04069" u="1"/>
        <s v="38304" u="1"/>
        <s v="27320" u="1"/>
        <s v="39201" u="1"/>
        <s v="27010" u="1"/>
        <s v="19400" u="1"/>
        <s v="39202" u="1"/>
        <s v="13146" u="1"/>
        <s v="06112" u="1"/>
        <s v="27416" u="1"/>
        <s v="22200" u="1"/>
        <s v="13167" u="1"/>
        <s v="39007" u="1"/>
      </sharedItems>
    </cacheField>
    <cacheField name="District" numFmtId="0">
      <sharedItems containsBlank="1"/>
    </cacheField>
    <cacheField name="Item Code" numFmtId="0">
      <sharedItems containsString="0" containsBlank="1" containsNumber="1" containsInteger="1" minValue="0" maxValue="0"/>
    </cacheField>
    <cacheField name="PS39E" numFmtId="0">
      <sharedItems containsString="0" containsBlank="1" containsNumber="1" containsInteger="1" minValue="0" maxValue="0"/>
    </cacheField>
    <cacheField name="PS42E" numFmtId="0">
      <sharedItems containsString="0" containsBlank="1" containsNumber="1" minValue="0" maxValue="0.40500000000000003"/>
    </cacheField>
    <cacheField name="PS43E" numFmtId="0">
      <sharedItems containsString="0" containsBlank="1" containsNumber="1" containsInteger="1" minValue="0" maxValue="0"/>
    </cacheField>
    <cacheField name="PS44E" numFmtId="0">
      <sharedItems containsString="0" containsBlank="1" containsNumber="1" containsInteger="1" minValue="0" maxValue="0"/>
    </cacheField>
    <cacheField name="PS45E" numFmtId="0">
      <sharedItems containsString="0" containsBlank="1" containsNumber="1" containsInteger="1" minValue="0" maxValue="0"/>
    </cacheField>
    <cacheField name="PS46E" numFmtId="0">
      <sharedItems containsString="0" containsBlank="1" containsNumber="1" containsInteger="1" minValue="0" maxValue="0"/>
    </cacheField>
    <cacheField name="PS47E" numFmtId="0">
      <sharedItems containsString="0" containsBlank="1" containsNumber="1" minValue="0" maxValue="3.1740000000000004"/>
    </cacheField>
    <cacheField name="PS48E" numFmtId="0">
      <sharedItems containsString="0" containsBlank="1" containsNumber="1" containsInteger="1" minValue="0" maxValue="0"/>
    </cacheField>
    <cacheField name="PS49E" numFmtId="0">
      <sharedItems containsString="0" containsBlank="1" containsNumber="1" containsInteger="1" minValue="0" maxValue="0"/>
    </cacheField>
    <cacheField name="PS64E" numFmtId="0">
      <sharedItems containsString="0" containsBlank="1" containsNumber="1" containsInteger="1" minValue="0" maxValue="2"/>
    </cacheField>
    <cacheField name="PS24E" numFmtId="0">
      <sharedItems containsString="0" containsBlank="1" containsNumber="1" containsInteger="1" minValue="0" maxValue="0"/>
    </cacheField>
    <cacheField name="PS25E" numFmtId="0">
      <sharedItems containsString="0" containsBlank="1" containsNumber="1" minValue="0" maxValue="0.32"/>
    </cacheField>
    <cacheField name="PS26E" numFmtId="0">
      <sharedItems containsString="0" containsBlank="1" containsNumber="1" minValue="0" maxValue="0.75"/>
    </cacheField>
    <cacheField name="PS35E" numFmtId="0">
      <sharedItems containsString="0" containsBlank="1" containsNumber="1" containsInteger="1" minValue="0" maxValue="0"/>
    </cacheField>
    <cacheField name="PS39M" numFmtId="0">
      <sharedItems containsString="0" containsBlank="1" containsNumber="1" containsInteger="1" minValue="0" maxValue="0"/>
    </cacheField>
    <cacheField name="PS42M" numFmtId="0">
      <sharedItems containsString="0" containsBlank="1" containsNumber="1" minValue="0" maxValue="1.651"/>
    </cacheField>
    <cacheField name="PS43M" numFmtId="0">
      <sharedItems containsString="0" containsBlank="1" containsNumber="1" containsInteger="1" minValue="0" maxValue="0"/>
    </cacheField>
    <cacheField name="PS44M" numFmtId="0">
      <sharedItems containsString="0" containsBlank="1" containsNumber="1" containsInteger="1" minValue="0" maxValue="0"/>
    </cacheField>
    <cacheField name="PS45M" numFmtId="0">
      <sharedItems containsString="0" containsBlank="1" containsNumber="1" containsInteger="1" minValue="0" maxValue="0"/>
    </cacheField>
    <cacheField name="PS46M" numFmtId="0">
      <sharedItems containsString="0" containsBlank="1" containsNumber="1" containsInteger="1" minValue="0" maxValue="0"/>
    </cacheField>
    <cacheField name="PS47M" numFmtId="0">
      <sharedItems containsString="0" containsBlank="1" containsNumber="1" minValue="0" maxValue="1.1919999999999999"/>
    </cacheField>
    <cacheField name="PS48M" numFmtId="0">
      <sharedItems containsString="0" containsBlank="1" containsNumber="1" containsInteger="1" minValue="0" maxValue="0"/>
    </cacheField>
    <cacheField name="PS49M" numFmtId="0">
      <sharedItems containsString="0" containsBlank="1" containsNumber="1" containsInteger="1" minValue="0" maxValue="0"/>
    </cacheField>
    <cacheField name="PS64M" numFmtId="0">
      <sharedItems containsString="0" containsBlank="1" containsNumber="1" containsInteger="1" minValue="0" maxValue="3"/>
    </cacheField>
    <cacheField name="PS24M" numFmtId="0">
      <sharedItems containsString="0" containsBlank="1" containsNumber="1" containsInteger="1" minValue="0" maxValue="1"/>
    </cacheField>
    <cacheField name="PS25M" numFmtId="0">
      <sharedItems containsString="0" containsBlank="1" containsNumber="1" minValue="0" maxValue="0.32"/>
    </cacheField>
    <cacheField name="PS26M" numFmtId="0">
      <sharedItems containsString="0" containsBlank="1" containsNumber="1" minValue="0" maxValue="0.14200000000000002"/>
    </cacheField>
    <cacheField name="PS35M" numFmtId="0">
      <sharedItems containsString="0" containsBlank="1" containsNumber="1" containsInteger="1" minValue="0" maxValue="0"/>
    </cacheField>
    <cacheField name="PS39H" numFmtId="0">
      <sharedItems containsString="0" containsBlank="1" containsNumber="1" containsInteger="1" minValue="0" maxValue="0"/>
    </cacheField>
    <cacheField name="PS42H" numFmtId="0">
      <sharedItems containsString="0" containsBlank="1" containsNumber="1" minValue="0" maxValue="1.8780000000000001"/>
    </cacheField>
    <cacheField name="PS43H" numFmtId="0">
      <sharedItems containsString="0" containsBlank="1" containsNumber="1" containsInteger="1" minValue="0" maxValue="0"/>
    </cacheField>
    <cacheField name="PS44H" numFmtId="0">
      <sharedItems containsString="0" containsBlank="1" containsNumber="1" containsInteger="1" minValue="0" maxValue="0"/>
    </cacheField>
    <cacheField name="PS45H" numFmtId="0">
      <sharedItems containsString="0" containsBlank="1" containsNumber="1" containsInteger="1" minValue="0" maxValue="0"/>
    </cacheField>
    <cacheField name="PS46H" numFmtId="0">
      <sharedItems containsString="0" containsBlank="1" containsNumber="1" containsInteger="1" minValue="0" maxValue="0"/>
    </cacheField>
    <cacheField name="PS47H" numFmtId="0">
      <sharedItems containsString="0" containsBlank="1" containsNumber="1" minValue="0" maxValue="0.91499999999999992"/>
    </cacheField>
    <cacheField name="PS48H" numFmtId="0">
      <sharedItems containsString="0" containsBlank="1" containsNumber="1" containsInteger="1" minValue="0" maxValue="0"/>
    </cacheField>
    <cacheField name="PS49H" numFmtId="0">
      <sharedItems containsString="0" containsBlank="1" containsNumber="1" containsInteger="1" minValue="0" maxValue="0"/>
    </cacheField>
    <cacheField name="PS64H" numFmtId="0">
      <sharedItems containsString="0" containsBlank="1" containsNumber="1" containsInteger="1" minValue="0" maxValue="2"/>
    </cacheField>
    <cacheField name="PS24H" numFmtId="0">
      <sharedItems containsString="0" containsBlank="1" containsNumber="1" containsInteger="1" minValue="0" maxValue="0"/>
    </cacheField>
    <cacheField name="PS25H" numFmtId="0">
      <sharedItems containsString="0" containsBlank="1" containsNumber="1" containsInteger="1" minValue="0" maxValue="0"/>
    </cacheField>
    <cacheField name="PS26H" numFmtId="0">
      <sharedItems containsString="0" containsBlank="1" containsNumber="1" minValue="0" maxValue="0.60699999999999998"/>
    </cacheField>
    <cacheField name="PS35H" numFmtId="0">
      <sharedItems containsString="0" containsBlank="1" containsNumber="1" containsInteger="1" minValue="0" maxValue="0"/>
    </cacheField>
    <cacheField name="PS39E09" numFmtId="0">
      <sharedItems containsString="0" containsBlank="1" containsNumber="1" containsInteger="1" minValue="0" maxValue="0"/>
    </cacheField>
    <cacheField name="PS42E09" numFmtId="0">
      <sharedItems containsString="0" containsBlank="1" containsNumber="1" containsInteger="1" minValue="0" maxValue="0"/>
    </cacheField>
    <cacheField name="PS43E09" numFmtId="0">
      <sharedItems containsString="0" containsBlank="1" containsNumber="1" containsInteger="1" minValue="0" maxValue="0"/>
    </cacheField>
    <cacheField name="PS44E09" numFmtId="0">
      <sharedItems containsString="0" containsBlank="1" containsNumber="1" containsInteger="1" minValue="0" maxValue="0"/>
    </cacheField>
    <cacheField name="PS45E09" numFmtId="0">
      <sharedItems containsString="0" containsBlank="1" containsNumber="1" containsInteger="1" minValue="0" maxValue="0"/>
    </cacheField>
    <cacheField name="PS46E09" numFmtId="0">
      <sharedItems containsString="0" containsBlank="1" containsNumber="1" containsInteger="1" minValue="0" maxValue="0"/>
    </cacheField>
    <cacheField name="PS47E09" numFmtId="0">
      <sharedItems containsString="0" containsBlank="1" containsNumber="1" containsInteger="1" minValue="0" maxValue="0"/>
    </cacheField>
    <cacheField name="PS48E09" numFmtId="0">
      <sharedItems containsString="0" containsBlank="1" containsNumber="1" containsInteger="1" minValue="0" maxValue="0"/>
    </cacheField>
    <cacheField name="PS49E09" numFmtId="0">
      <sharedItems containsString="0" containsBlank="1" containsNumber="1" containsInteger="1" minValue="0" maxValue="0"/>
    </cacheField>
    <cacheField name="PS64E09" numFmtId="0">
      <sharedItems containsString="0" containsBlank="1" containsNumber="1" containsInteger="1" minValue="0" maxValue="0"/>
    </cacheField>
    <cacheField name="PS24E09" numFmtId="0">
      <sharedItems containsString="0" containsBlank="1" containsNumber="1" containsInteger="1" minValue="0" maxValue="0"/>
    </cacheField>
    <cacheField name="PS25E09" numFmtId="0">
      <sharedItems containsString="0" containsBlank="1" containsNumber="1" containsInteger="1" minValue="0" maxValue="0"/>
    </cacheField>
    <cacheField name="PS26E09" numFmtId="0">
      <sharedItems containsString="0" containsBlank="1" containsNumber="1" containsInteger="1" minValue="0" maxValue="0"/>
    </cacheField>
    <cacheField name="PS35E09" numFmtId="0">
      <sharedItems containsString="0" containsBlank="1" containsNumber="1" containsInteger="1" minValue="0" maxValue="0"/>
    </cacheField>
    <cacheField name="PS39E97" numFmtId="0">
      <sharedItems containsString="0" containsBlank="1" containsNumber="1" containsInteger="1" minValue="0" maxValue="0"/>
    </cacheField>
    <cacheField name="PS42E97" numFmtId="0">
      <sharedItems containsString="0" containsBlank="1" containsNumber="1" containsInteger="1" minValue="0" maxValue="0"/>
    </cacheField>
    <cacheField name="PS43E97" numFmtId="0">
      <sharedItems containsString="0" containsBlank="1" containsNumber="1" minValue="0" maxValue="3.5000000000000003E-2"/>
    </cacheField>
    <cacheField name="PS44E97" numFmtId="0">
      <sharedItems containsString="0" containsBlank="1" containsNumber="1" containsInteger="1" minValue="0" maxValue="0"/>
    </cacheField>
    <cacheField name="PS45E97" numFmtId="0">
      <sharedItems containsString="0" containsBlank="1" containsNumber="1" containsInteger="1" minValue="0" maxValue="0"/>
    </cacheField>
    <cacheField name="PS46E97" numFmtId="0">
      <sharedItems containsString="0" containsBlank="1" containsNumber="1" containsInteger="1" minValue="0" maxValue="0"/>
    </cacheField>
    <cacheField name="PS47E97" numFmtId="0">
      <sharedItems containsString="0" containsBlank="1" containsNumber="1" containsInteger="1" minValue="0" maxValue="0"/>
    </cacheField>
    <cacheField name="PS48E97" numFmtId="0">
      <sharedItems containsString="0" containsBlank="1" containsNumber="1" containsInteger="1" minValue="0" maxValue="0"/>
    </cacheField>
    <cacheField name="PS49E97" numFmtId="0">
      <sharedItems containsString="0" containsBlank="1" containsNumber="1" containsInteger="1" minValue="0" maxValue="0"/>
    </cacheField>
    <cacheField name="PS64E97" numFmtId="0">
      <sharedItems containsString="0" containsBlank="1" containsNumber="1" containsInteger="1" minValue="0" maxValue="0"/>
    </cacheField>
    <cacheField name="PS24E97" numFmtId="0">
      <sharedItems containsString="0" containsBlank="1" containsNumber="1" containsInteger="1" minValue="0" maxValue="0"/>
    </cacheField>
    <cacheField name="PS25E97" numFmtId="0">
      <sharedItems containsString="0" containsBlank="1" containsNumber="1" containsInteger="1" minValue="0" maxValue="0"/>
    </cacheField>
    <cacheField name="PS26E97" numFmtId="0">
      <sharedItems containsString="0" containsBlank="1" containsNumber="1" containsInteger="1" minValue="0" maxValue="0"/>
    </cacheField>
    <cacheField name="PS35E97" numFmtId="0">
      <sharedItems containsString="0" containsBlank="1" containsNumber="1" minValue="0" maxValue="0.7"/>
    </cacheField>
    <cacheField name="PS39M97" numFmtId="0">
      <sharedItems containsString="0" containsBlank="1" containsNumber="1" containsInteger="1" minValue="0" maxValue="0"/>
    </cacheField>
    <cacheField name="PS42M97" numFmtId="0">
      <sharedItems containsString="0" containsBlank="1" containsNumber="1" containsInteger="1" minValue="0" maxValue="0"/>
    </cacheField>
    <cacheField name="PS43M97" numFmtId="0">
      <sharedItems containsString="0" containsBlank="1" containsNumber="1" minValue="0" maxValue="3.5999999999999997E-2"/>
    </cacheField>
    <cacheField name="PS44M97" numFmtId="0">
      <sharedItems containsString="0" containsBlank="1" containsNumber="1" containsInteger="1" minValue="0" maxValue="0"/>
    </cacheField>
    <cacheField name="PS45M97" numFmtId="0">
      <sharedItems containsString="0" containsBlank="1" containsNumber="1" containsInteger="1" minValue="0" maxValue="0"/>
    </cacheField>
    <cacheField name="PS46M97" numFmtId="0">
      <sharedItems containsString="0" containsBlank="1" containsNumber="1" containsInteger="1" minValue="0" maxValue="0"/>
    </cacheField>
    <cacheField name="PS47M97" numFmtId="0">
      <sharedItems containsString="0" containsBlank="1" containsNumber="1" containsInteger="1" minValue="0" maxValue="0"/>
    </cacheField>
    <cacheField name="PS48M97" numFmtId="0">
      <sharedItems containsString="0" containsBlank="1" containsNumber="1" containsInteger="1" minValue="0" maxValue="0"/>
    </cacheField>
    <cacheField name="PS49M97" numFmtId="0">
      <sharedItems containsString="0" containsBlank="1" containsNumber="1" containsInteger="1" minValue="0" maxValue="0"/>
    </cacheField>
    <cacheField name="PS64M97" numFmtId="0">
      <sharedItems containsString="0" containsBlank="1" containsNumber="1" containsInteger="1" minValue="0" maxValue="0"/>
    </cacheField>
    <cacheField name="PS24M97" numFmtId="0">
      <sharedItems containsString="0" containsBlank="1" containsNumber="1" containsInteger="1" minValue="0" maxValue="0"/>
    </cacheField>
    <cacheField name="PS25M97" numFmtId="0">
      <sharedItems containsString="0" containsBlank="1" containsNumber="1" containsInteger="1" minValue="0" maxValue="0"/>
    </cacheField>
    <cacheField name="PS26M97" numFmtId="0">
      <sharedItems containsString="0" containsBlank="1" containsNumber="1" containsInteger="1" minValue="0" maxValue="0"/>
    </cacheField>
    <cacheField name="PS35M97" numFmtId="0">
      <sharedItems containsString="0" containsBlank="1" containsNumber="1" minValue="0" maxValue="0.7"/>
    </cacheField>
    <cacheField name="PS39H97" numFmtId="0">
      <sharedItems containsString="0" containsBlank="1" containsNumber="1" containsInteger="1" minValue="0" maxValue="0"/>
    </cacheField>
    <cacheField name="PS42H97" numFmtId="0">
      <sharedItems containsString="0" containsBlank="1" containsNumber="1" containsInteger="1" minValue="0" maxValue="0"/>
    </cacheField>
    <cacheField name="PS43H97" numFmtId="0">
      <sharedItems containsString="0" containsBlank="1" containsNumber="1" containsInteger="1" minValue="0" maxValue="0"/>
    </cacheField>
    <cacheField name="PS44H97" numFmtId="0">
      <sharedItems containsString="0" containsBlank="1" containsNumber="1" containsInteger="1" minValue="0" maxValue="0"/>
    </cacheField>
    <cacheField name="PS45H97" numFmtId="0">
      <sharedItems containsString="0" containsBlank="1" containsNumber="1" containsInteger="1" minValue="0" maxValue="0"/>
    </cacheField>
    <cacheField name="PS46H97" numFmtId="0">
      <sharedItems containsString="0" containsBlank="1" containsNumber="1" containsInteger="1" minValue="0" maxValue="0"/>
    </cacheField>
    <cacheField name="PS47H97" numFmtId="0">
      <sharedItems containsString="0" containsBlank="1" containsNumber="1" containsInteger="1" minValue="0" maxValue="0"/>
    </cacheField>
    <cacheField name="PS48H97" numFmtId="0">
      <sharedItems containsString="0" containsBlank="1" containsNumber="1" containsInteger="1" minValue="0" maxValue="0"/>
    </cacheField>
    <cacheField name="PS49H97" numFmtId="0">
      <sharedItems containsString="0" containsBlank="1" containsNumber="1" containsInteger="1" minValue="0" maxValue="0"/>
    </cacheField>
    <cacheField name="PS64H97" numFmtId="0">
      <sharedItems containsString="0" containsBlank="1" containsNumber="1" containsInteger="1" minValue="0" maxValue="0"/>
    </cacheField>
    <cacheField name="PS24H97" numFmtId="0">
      <sharedItems containsString="0" containsBlank="1" containsNumber="1" containsInteger="1" minValue="0" maxValue="0"/>
    </cacheField>
    <cacheField name="PS25H97" numFmtId="0">
      <sharedItems containsString="0" containsBlank="1" containsNumber="1" containsInteger="1" minValue="0" maxValue="0"/>
    </cacheField>
    <cacheField name="PS26H97" numFmtId="0">
      <sharedItems containsString="0" containsBlank="1" containsNumber="1" containsInteger="1" minValue="0" maxValue="0"/>
    </cacheField>
    <cacheField name="PS35H97" numFmtId="0">
      <sharedItems containsString="0" containsBlank="1" containsNumber="1" minValue="0" maxValue="2.4"/>
    </cacheField>
    <cacheField name="PS39E21" numFmtId="0">
      <sharedItems containsString="0" containsBlank="1" containsNumber="1" containsInteger="1" minValue="0" maxValue="0"/>
    </cacheField>
    <cacheField name="PS42E21" numFmtId="0">
      <sharedItems containsString="0" containsBlank="1" containsNumber="1" minValue="0" maxValue="0.08"/>
    </cacheField>
    <cacheField name="PS43E21" numFmtId="0">
      <sharedItems containsString="0" containsBlank="1" containsNumber="1" minValue="0" maxValue="5.2540000000000004"/>
    </cacheField>
    <cacheField name="PS44E21" numFmtId="0">
      <sharedItems containsString="0" containsBlank="1" containsNumber="1" containsInteger="1" minValue="0" maxValue="0"/>
    </cacheField>
    <cacheField name="PS45E21" numFmtId="0">
      <sharedItems containsString="0" containsBlank="1" containsNumber="1" minValue="0" maxValue="9.6769999999999978"/>
    </cacheField>
    <cacheField name="PS46E21" numFmtId="0">
      <sharedItems containsString="0" containsBlank="1" containsNumber="1" minValue="0" maxValue="4.7250000000000005"/>
    </cacheField>
    <cacheField name="PS47E21" numFmtId="0">
      <sharedItems containsString="0" containsBlank="1" containsNumber="1" minValue="0" maxValue="0.97099999999999997"/>
    </cacheField>
    <cacheField name="PS48E21" numFmtId="0">
      <sharedItems containsString="0" containsBlank="1" containsNumber="1" minValue="0" maxValue="1.8540000000000001"/>
    </cacheField>
    <cacheField name="PS49E21" numFmtId="0">
      <sharedItems containsString="0" containsBlank="1" containsNumber="1" minValue="0" maxValue="0.11"/>
    </cacheField>
    <cacheField name="PS64E21" numFmtId="0">
      <sharedItems containsString="0" containsBlank="1" containsNumber="1" minValue="0" maxValue="3.7050000000000001"/>
    </cacheField>
    <cacheField name="PS24E21" numFmtId="0">
      <sharedItems containsString="0" containsBlank="1" containsNumber="1" containsInteger="1" minValue="0" maxValue="0"/>
    </cacheField>
    <cacheField name="PS25E21" numFmtId="0">
      <sharedItems containsString="0" containsBlank="1" containsNumber="1" minValue="0" maxValue="0.62"/>
    </cacheField>
    <cacheField name="PS26E21" numFmtId="0">
      <sharedItems containsString="0" containsBlank="1" containsNumber="1" containsInteger="1" minValue="0" maxValue="1"/>
    </cacheField>
    <cacheField name="PS35E21" numFmtId="0">
      <sharedItems containsString="0" containsBlank="1" containsNumber="1" containsInteger="1" minValue="0" maxValue="0"/>
    </cacheField>
    <cacheField name="PS39M21" numFmtId="0">
      <sharedItems containsString="0" containsBlank="1" containsNumber="1" containsInteger="1" minValue="0" maxValue="0"/>
    </cacheField>
    <cacheField name="PS42M21" numFmtId="0">
      <sharedItems containsString="0" containsBlank="1" containsNumber="1" minValue="0" maxValue="0.08"/>
    </cacheField>
    <cacheField name="PS43M21" numFmtId="0">
      <sharedItems containsString="0" containsBlank="1" containsNumber="1" minValue="0" maxValue="1.4159999999999999"/>
    </cacheField>
    <cacheField name="PS44M21" numFmtId="0">
      <sharedItems containsString="0" containsBlank="1" containsNumber="1" containsInteger="1" minValue="0" maxValue="0"/>
    </cacheField>
    <cacheField name="PS45M21" numFmtId="0">
      <sharedItems containsString="0" containsBlank="1" containsNumber="1" minValue="0" maxValue="3.2140000000000004"/>
    </cacheField>
    <cacheField name="PS46M21" numFmtId="0">
      <sharedItems containsString="0" containsBlank="1" containsNumber="1" minValue="0" maxValue="1.4930000000000001"/>
    </cacheField>
    <cacheField name="PS47M21" numFmtId="0">
      <sharedItems containsString="0" containsBlank="1" containsNumber="1" minValue="0" maxValue="0.21299999999999999"/>
    </cacheField>
    <cacheField name="PS48M21" numFmtId="0">
      <sharedItems containsString="0" containsBlank="1" containsNumber="1" minValue="0" maxValue="0.44600000000000006"/>
    </cacheField>
    <cacheField name="PS49M21" numFmtId="0">
      <sharedItems containsString="0" containsBlank="1" containsNumber="1" minValue="0" maxValue="0.111"/>
    </cacheField>
    <cacheField name="PS64M21" numFmtId="0">
      <sharedItems containsString="0" containsBlank="1" containsNumber="1" minValue="0" maxValue="1.4950000000000001"/>
    </cacheField>
    <cacheField name="PS24M21" numFmtId="0">
      <sharedItems containsString="0" containsBlank="1" containsNumber="1" containsInteger="1" minValue="0" maxValue="0"/>
    </cacheField>
    <cacheField name="PS25M21" numFmtId="0">
      <sharedItems containsString="0" containsBlank="1" containsNumber="1" minValue="0" maxValue="0.16"/>
    </cacheField>
    <cacheField name="PS26M21" numFmtId="0">
      <sharedItems containsString="0" containsBlank="1" containsNumber="1" containsInteger="1" minValue="0" maxValue="0"/>
    </cacheField>
    <cacheField name="PS35M21" numFmtId="0">
      <sharedItems containsString="0" containsBlank="1" containsNumber="1" containsInteger="1" minValue="0" maxValue="0"/>
    </cacheField>
    <cacheField name="PS39H21" numFmtId="0">
      <sharedItems containsString="0" containsBlank="1" containsNumber="1" containsInteger="1" minValue="0" maxValue="0"/>
    </cacheField>
    <cacheField name="PS42H21" numFmtId="0">
      <sharedItems containsString="0" containsBlank="1" containsNumber="1" minValue="0" maxValue="0.08"/>
    </cacheField>
    <cacheField name="PS43H21" numFmtId="0">
      <sharedItems containsString="0" containsBlank="1" containsNumber="1" minValue="0" maxValue="1.206"/>
    </cacheField>
    <cacheField name="PS44H21" numFmtId="0">
      <sharedItems containsString="0" containsBlank="1" containsNumber="1" containsInteger="1" minValue="0" maxValue="0"/>
    </cacheField>
    <cacheField name="PS45H21" numFmtId="0">
      <sharedItems containsString="0" containsBlank="1" containsNumber="1" minValue="0" maxValue="2.3840000000000003"/>
    </cacheField>
    <cacheField name="PS46H21" numFmtId="0">
      <sharedItems containsString="0" containsBlank="1" containsNumber="1" minValue="0" maxValue="2.33"/>
    </cacheField>
    <cacheField name="PS47H21" numFmtId="0">
      <sharedItems containsString="0" containsBlank="1" containsNumber="1" minValue="0" maxValue="0.35599999999999998"/>
    </cacheField>
    <cacheField name="PS48H21" numFmtId="0">
      <sharedItems containsString="0" containsBlank="1" containsNumber="1" minValue="0" maxValue="0.45699999999999996"/>
    </cacheField>
    <cacheField name="PS49H21" numFmtId="0">
      <sharedItems containsString="0" containsBlank="1" containsNumber="1" minValue="0" maxValue="1.2"/>
    </cacheField>
    <cacheField name="PS64H21" numFmtId="0">
      <sharedItems containsString="0" containsBlank="1" containsNumber="1" minValue="0" maxValue="1.4950000000000001"/>
    </cacheField>
    <cacheField name="PS24H21" numFmtId="0">
      <sharedItems containsString="0" containsBlank="1" containsNumber="1" containsInteger="1" minValue="0" maxValue="0"/>
    </cacheField>
    <cacheField name="PS25H21" numFmtId="0">
      <sharedItems containsString="0" containsBlank="1" containsNumber="1" minValue="0" maxValue="0.16"/>
    </cacheField>
    <cacheField name="PS26H21" numFmtId="0">
      <sharedItems containsString="0" containsBlank="1" containsNumber="1" containsInteger="1" minValue="0" maxValue="0"/>
    </cacheField>
    <cacheField name="PS35H21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ie McDonald" refreshedDate="45688.643578124997" createdVersion="8" refreshedVersion="8" minRefreshableVersion="3" recordCount="3695" xr:uid="{BF5F1A78-4E7A-4648-BE43-09E9F7BC1472}">
  <cacheSource type="worksheet">
    <worksheetSource ref="G1:W1048576" sheet="PSES Staff Snapshot 25-01-16"/>
  </cacheSource>
  <cacheFields count="17">
    <cacheField name="CCDDD" numFmtId="0">
      <sharedItems containsBlank="1"/>
    </cacheField>
    <cacheField name="OrganizationName" numFmtId="0">
      <sharedItems containsBlank="1" count="310">
        <s v="Othello School District"/>
        <s v="Lind School District"/>
        <s v="Ritzville School District"/>
        <s v="Clarkston School District"/>
        <s v="Asotin-Anatone School District"/>
        <s v="Kennewick School District"/>
        <s v="Paterson School District"/>
        <s v="Kiona-Benton City School District"/>
        <s v="Finley School District"/>
        <s v="Prosser School District"/>
        <s v="Richland School District"/>
        <s v="Manson School District"/>
        <s v="Entiat School District"/>
        <s v="Lake Chelan School District"/>
        <s v="CASHMERE SCHOOL DISTRICT"/>
        <s v="Cascade School District"/>
        <s v="Wenatchee School District"/>
        <s v="Pinnacles Prep"/>
        <s v="Port Angeles School District"/>
        <s v="Crescent School District"/>
        <s v="Sequim School District"/>
        <s v="Cape Flattery School District"/>
        <s v="Quillayute Valley School District"/>
        <s v="Quileute Tribal School District"/>
        <s v="Vancouver School District"/>
        <s v="Hockinson School District"/>
        <s v="La Center School District"/>
        <s v="Green Mountain School District"/>
        <s v="Washougal School District"/>
        <s v="Evergreen School District (Clark)"/>
        <s v="Camas School District"/>
        <s v="Battle Ground School District"/>
        <s v="Ridgefield School District"/>
        <s v="Dayton School District"/>
        <s v="Longview School District"/>
        <s v="Toutle Lake School District"/>
        <s v="Castle Rock School District"/>
        <s v="Kalama School District"/>
        <s v="Woodland School District"/>
        <s v="Kelso School District"/>
        <s v="Orondo School District"/>
        <s v="Bridgeport School District"/>
        <s v="Palisades School District"/>
        <s v="Eastmont School District"/>
        <s v="Mansfield School District"/>
        <s v="Waterville School District"/>
        <s v="Keller School District"/>
        <s v="Curlew School District"/>
        <s v="Orient School District"/>
        <s v="Inchelium School District"/>
        <s v="Republic School District"/>
        <s v="Pasco School District"/>
        <s v="North Franklin School District"/>
        <s v="Kahlotus School District"/>
        <s v="Pomeroy School District"/>
        <s v="Wahluke School District"/>
        <s v="Quincy School District"/>
        <s v="Warden School District"/>
        <s v="Coulee-Hartline School District"/>
        <s v="Soap Lake School District"/>
        <s v="Royal School District"/>
        <s v="Moses Lake School District"/>
        <s v="Ephrata School District"/>
        <s v="Wilson Creek School District"/>
        <s v="Grand Coulee Dam School District"/>
        <s v="Aberdeen School District"/>
        <s v="Hoquiam School District"/>
        <s v="North Beach School District"/>
        <s v="McCleary School District"/>
        <s v="Montesano School District"/>
        <s v="Elma School District"/>
        <s v="Taholah School District"/>
        <s v="Lake Quinault School District"/>
        <s v="Cosmopolis School District"/>
        <s v="Wishkah Valley School District"/>
        <s v="Ocosta School District"/>
        <s v="Oakville School District"/>
        <s v="Oak Harbor School District"/>
        <s v="Coupeville School District"/>
        <s v="South Whidbey School District"/>
        <s v="Queets-Clearwater School District"/>
        <s v="Brinnon School District"/>
        <s v="Quilcene School District"/>
        <s v="Chimacum School District"/>
        <s v="Port Townsend School District"/>
        <s v="Seattle Public Schools"/>
        <s v="Federal Way School District"/>
        <s v="Enumclaw School District"/>
        <s v="Mercer Island School District"/>
        <s v="Highline School District"/>
        <s v="Vashon Island School District"/>
        <s v="Renton School District"/>
        <s v="Skykomish School District"/>
        <s v="Bellevue School District"/>
        <s v="Tukwila School District"/>
        <s v="Riverview School District"/>
        <s v="Auburn School District"/>
        <s v="Tahoma School District"/>
        <s v="Snoqualmie Valley School District"/>
        <s v="Issaquah School District"/>
        <s v="Shoreline School District"/>
        <s v="Lake Washington School District"/>
        <s v="Kent School District"/>
        <s v="Northshore School District"/>
        <s v="Summit Public School: Sierra"/>
        <s v="Muckleshoot Indian Tribe"/>
        <s v="Summit Public School: Atlas"/>
        <s v="Impact | Puget Sound Elementary"/>
        <s v="Impact | Salish Sea Elementary"/>
        <s v="Why Not You Academy (formerly Cascade: Midway charter)"/>
        <s v="Impact | Black River Elementary"/>
        <s v="Bremerton School District"/>
        <s v="Bainbridge Island School District"/>
        <s v="North Kitsap School District"/>
        <s v="Central Kitsap School District"/>
        <s v="South Kitsap School District"/>
        <s v="Catalyst Public Schools"/>
        <s v="Suquamish Tribal Education Department"/>
        <s v="Damman School District"/>
        <s v="Easton School District"/>
        <s v="Thorp School District"/>
        <s v="Ellensburg School District"/>
        <s v="Kittitas School District"/>
        <s v="Cle Elum-Roslyn School District"/>
        <s v="Wishram School District"/>
        <s v="Centerville School District"/>
        <s v="Trout Lake School District"/>
        <s v="Glenwood School District"/>
        <s v="Klickitat School District"/>
        <s v="Roosevelt School District"/>
        <s v="Goldendale School District"/>
        <s v="White Salmon Valley School District"/>
        <s v="Napavine School District"/>
        <s v="Evaline School District"/>
        <s v="Mossyrock School District"/>
        <s v="Morton School District"/>
        <s v="Adna School District"/>
        <s v="Winlock School District"/>
        <s v="Boistfort School District"/>
        <s v="Toledo School District"/>
        <s v="Onalaska School District"/>
        <s v="Pe Ell School District"/>
        <s v="Chehalis School District"/>
        <s v="White Pass School District"/>
        <s v="Centralia School District"/>
        <s v="Sprague School District"/>
        <s v="Reardan-Edwall School District"/>
        <s v="Almira School District"/>
        <s v="Odessa School District"/>
        <s v="Wilbur School District"/>
        <s v="Harrington School District"/>
        <s v="Davenport School District"/>
        <s v="Southside School District"/>
        <s v="Grapeview School District"/>
        <s v="Shelton School District"/>
        <s v="Mary M Knight School District"/>
        <s v="Pioneer School District"/>
        <s v="North Mason School District"/>
        <s v="Hood Canal School District"/>
        <s v="Nespelem School District  "/>
        <s v="Omak School District"/>
        <s v="Okanogan School District"/>
        <s v="Brewster School District"/>
        <s v="Pateros School District"/>
        <s v="Methow Valley School District"/>
        <s v="Tonasket School District"/>
        <s v="Oroville School District"/>
        <s v="Paschal Sherman Indian School"/>
        <s v="Ocean Beach School District"/>
        <s v="Raymond School District"/>
        <s v="South Bend School District"/>
        <s v="Naselle-Grays River Valley School District"/>
        <s v="Willapa Valley School District"/>
        <s v="Newport School District"/>
        <s v="Cusick School District"/>
        <s v="Selkirk School District"/>
        <s v="Steilacoom Hist. School District"/>
        <s v="Puyallup School District"/>
        <s v="Tacoma School District"/>
        <s v="University Place School District"/>
        <s v="Sumner-Bonney Lake School District"/>
        <s v="Dieringer School District"/>
        <s v="Orting School District"/>
        <s v="Clover Park School District"/>
        <s v="Peninsula School District"/>
        <s v="Franklin Pierce School District"/>
        <s v="Bethel School District"/>
        <s v="Eatonville School District"/>
        <s v="White River School District"/>
        <s v="Fife School District"/>
        <s v="Chief Leschi Tribal Compact"/>
        <s v="Impact | Commencement Bay Elementary"/>
        <s v="Summit Public School: Olympus"/>
        <s v="Orcas Island School District"/>
        <s v="Lopez School District"/>
        <s v="San Juan Island School District"/>
        <s v="Concrete School District"/>
        <s v="Burlington-Edison School District"/>
        <s v="Sedro-Woolley School District"/>
        <s v="Anacortes School District"/>
        <s v="La Conner School District"/>
        <s v="Conway School District"/>
        <s v="Mount Vernon School District"/>
        <s v="Skamania School District"/>
        <s v="Mount Pleasant School District"/>
        <s v="Mill A School District"/>
        <s v="Stevenson-Carson School District"/>
        <s v="Everett School District"/>
        <s v="Lake Stevens School District"/>
        <s v="Mukilteo School District"/>
        <s v="Edmonds School District"/>
        <s v="Arlington School District"/>
        <s v="Marysville School District"/>
        <s v="Index School District"/>
        <s v="Monroe School District"/>
        <s v="Snohomish School District"/>
        <s v="Lakewood School District"/>
        <s v="Sultan School District"/>
        <s v="Darrington School District"/>
        <s v="Granite Falls School District"/>
        <s v="Stanwood-Camano School District"/>
        <s v="Spokane School District"/>
        <s v="Orchard Prairie School District"/>
        <s v="Great Northern School District"/>
        <s v="Nine Mile Falls School District"/>
        <s v="Medical Lake School District"/>
        <s v="Mead School District"/>
        <s v="Central Valley School District"/>
        <s v="Freeman School District"/>
        <s v="Cheney School District"/>
        <s v="East Valley School District (Spokane)"/>
        <s v="Liberty School District"/>
        <s v="West Valley School District (Spokane)"/>
        <s v="Deer Park School District"/>
        <s v="Riverside School District"/>
        <s v="Spokane International Academy"/>
        <s v="Lumen Public School"/>
        <s v="Innovation Spokane Charter School District "/>
        <s v="Onion Creek School District"/>
        <s v="Chewelah School District"/>
        <s v="Wellpinit School District"/>
        <s v="Valley School District"/>
        <s v="Colville School District"/>
        <s v="Loon Lake School District"/>
        <s v="Summit Valley School District"/>
        <s v="Evergreen School District (Stevens)"/>
        <s v="Columbia (Stevens) School District"/>
        <s v="Mary Walker School District"/>
        <s v="Northport School District"/>
        <s v="Kettle Falls School District"/>
        <s v="Yelm School District"/>
        <s v="North Thurston Public Schools"/>
        <s v="Tumwater School District"/>
        <s v="Olympia School District"/>
        <s v="Rainier School District"/>
        <s v="Griffin School District"/>
        <s v="Rochester School District"/>
        <s v="Tenino School District"/>
        <s v="WA HE LUT Indian School Agency"/>
        <s v="Wahkiakum School District"/>
        <s v="Walla Walla Public Schools"/>
        <s v="College Place School District"/>
        <s v="Touchet School District"/>
        <s v="Columbia (Walla Walla) School District"/>
        <s v="Waitsburg School District"/>
        <s v="Prescott School District"/>
        <s v="Bellingham School District"/>
        <s v="Ferndale School District"/>
        <s v="Blaine School District"/>
        <s v="Lynden School District"/>
        <s v="Meridian School District"/>
        <s v="Nooksack Valley School District"/>
        <s v="Mount Baker School District"/>
        <s v="Whatcom Intergenerational High School"/>
        <s v="Lummi Tribal Agency"/>
        <s v="LaCrosse School District"/>
        <s v="Tekoa School District"/>
        <s v="Pullman School District"/>
        <s v="Colfax School District"/>
        <s v="Palouse School District"/>
        <s v="Garfield School District"/>
        <s v="Steptoe School District"/>
        <s v="Colton School District"/>
        <s v="Endicott School District"/>
        <s v="Rosalia School District"/>
        <s v="St. John School District"/>
        <s v="Oakesdale School District"/>
        <s v="Union Gap School District"/>
        <s v="Naches Valley School District"/>
        <s v="Yakima School District"/>
        <s v="East Valley School District (Yakima)"/>
        <s v="Selah School District"/>
        <s v="Mabton School District"/>
        <s v="Grandview School District"/>
        <s v="Sunnyside School District"/>
        <s v="Toppenish School District"/>
        <s v="Highland School District"/>
        <s v="Granger School District"/>
        <s v="Zillah School District"/>
        <s v="Wapato School District"/>
        <s v="West Valley School District (Yakima)"/>
        <s v="Mount Adams School District"/>
        <s v="Yakama Nation Tribal Compact"/>
        <s v="ZZState Summary"/>
        <m/>
        <s v="Lamont School District" u="1"/>
        <s v="PRIDE Prep Charter School District" u="1"/>
        <s v="Pullman Community Montessori" u="1"/>
        <s v="Rainier Prep Charter School District" u="1"/>
        <s v="Rooted School Vancouver" u="1"/>
      </sharedItems>
    </cacheField>
    <cacheField name="SnapshotType" numFmtId="0">
      <sharedItems containsBlank="1"/>
    </cacheField>
    <cacheField name="Code" numFmtId="0">
      <sharedItems containsBlank="1"/>
    </cacheField>
    <cacheField name="Description" numFmtId="0">
      <sharedItems containsBlank="1"/>
    </cacheField>
    <cacheField name="ItemCode" numFmtId="0">
      <sharedItems containsBlank="1"/>
    </cacheField>
    <cacheField name="Name" numFmtId="0">
      <sharedItems containsBlank="1"/>
    </cacheField>
    <cacheField name="Program" numFmtId="0">
      <sharedItems containsBlank="1" containsMixedTypes="1" containsNumber="1" containsInteger="1" minValue="1" maxValue="97"/>
    </cacheField>
    <cacheField name="Duty/Activity" numFmtId="0">
      <sharedItems containsBlank="1" count="16">
        <s v="24"/>
        <s v="25"/>
        <s v="26"/>
        <s v="35"/>
        <s v="39"/>
        <s v="42"/>
        <s v="43"/>
        <s v="45"/>
        <s v="46"/>
        <s v="47"/>
        <s v="49"/>
        <s v="48"/>
        <s v="64"/>
        <s v="44"/>
        <m/>
        <s v="" u="1"/>
      </sharedItems>
    </cacheField>
    <cacheField name="DutyRoot" numFmtId="0">
      <sharedItems containsBlank="1" containsMixedTypes="1" containsNumber="1" containsInteger="1" minValue="39" maxValue="99"/>
    </cacheField>
    <cacheField name="Activity" numFmtId="0">
      <sharedItems containsString="0" containsBlank="1" containsNumber="1" containsInteger="1" minValue="24" maxValue="35"/>
    </cacheField>
    <cacheField name="Month" numFmtId="0">
      <sharedItems containsBlank="1"/>
    </cacheField>
    <cacheField name="Amount" numFmtId="0">
      <sharedItems containsString="0" containsBlank="1" containsNumber="1" minValue="0" maxValue="66.320999999999998"/>
    </cacheField>
    <cacheField name="B8" numFmtId="0">
      <sharedItems containsString="0" containsBlank="1" containsNumber="1" minValue="0.08" maxValue="0.34910000000000002"/>
    </cacheField>
    <cacheField name="Calculated 21 Units" numFmtId="0">
      <sharedItems containsString="0" containsBlank="1" containsNumber="1" minValue="0" maxValue="13.254"/>
    </cacheField>
    <cacheField name="Item Title" numFmtId="0">
      <sharedItems containsBlank="1"/>
    </cacheField>
    <cacheField name="Short Item Title" numFmtId="0">
      <sharedItems containsBlank="1" count="16">
        <s v="Family Engagement Coordinator"/>
        <s v="Pupil Management"/>
        <s v="Health/_x000a_Related Services"/>
        <s v="Pupil Safety"/>
        <s v="Orientation &amp; Mobility Specialist"/>
        <s v="Counselor"/>
        <s v="Occupational Therapist"/>
        <s v="Speech, Language Pathway/_x000a_Audio"/>
        <s v="Psychologist"/>
        <s v="Nurse"/>
        <s v="Behavior Analyst"/>
        <s v="Physical Therapist"/>
        <s v="Contractor ESA"/>
        <s v="Social Worker"/>
        <m/>
        <s v="CIS Staffing Reductio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ckie McDonald" refreshedDate="45688.643578240742" createdVersion="8" refreshedVersion="8" minRefreshableVersion="3" recordCount="93" xr:uid="{4DF80104-0782-4587-AE43-3DED17F21930}">
  <cacheSource type="worksheet">
    <worksheetSource ref="A7:EM100" sheet="Supp Staff Data"/>
  </cacheSource>
  <cacheFields count="143">
    <cacheField name="CCDDD" numFmtId="0">
      <sharedItems containsBlank="1" count="100">
        <s v="32358"/>
        <s v="11051"/>
        <s v="39208"/>
        <s v="38300"/>
        <s v="33211"/>
        <s v="21214"/>
        <s v="23402"/>
        <s v="06122"/>
        <s v="23311"/>
        <s v="21237"/>
        <s v="01109"/>
        <s v="39002"/>
        <s v="21300"/>
        <s v="14104"/>
        <s v="38306"/>
        <s v="39003"/>
        <s v="34402"/>
        <s v="15204"/>
        <s v="14065"/>
        <s v="14400"/>
        <s v="34307"/>
        <s v="25118"/>
        <m/>
        <s v="01122" u="1"/>
        <s v="04127" u="1"/>
        <s v="04222" u="1"/>
        <s v="05313" u="1"/>
        <s v="06101" u="1"/>
        <s v="06119" u="1"/>
        <s v="08404" u="1"/>
        <s v="09075" u="1"/>
        <s v="09102" u="1"/>
        <s v="09207" u="1"/>
        <s v="09209" u="1"/>
        <s v="10070" u="1"/>
        <s v="12110" u="1"/>
        <s v="13151" u="1"/>
        <s v="13156" u="1"/>
        <s v="13160" u="1"/>
        <s v="13301" u="1"/>
        <s v="14064" u="1"/>
        <s v="14117" u="1"/>
        <s v="16020" u="1"/>
        <s v="16050" u="1"/>
        <s v="17414" u="1"/>
        <s v="17902" u="1"/>
        <s v="17905" u="1"/>
        <s v="17908" u="1"/>
        <s v="17910" u="1"/>
        <s v="20215" u="1"/>
        <s v="20405" u="1"/>
        <s v="20406" u="1"/>
        <s v="21014" u="1"/>
        <s v="21226" u="1"/>
        <s v="21232" u="1"/>
        <s v="21301" u="1"/>
        <s v="21303" u="1"/>
        <s v="22008" u="1"/>
        <s v="22009" u="1"/>
        <s v="22017" u="1"/>
        <s v="22105" u="1"/>
        <s v="23054" u="1"/>
        <s v="24105" u="1"/>
        <s v="24122" u="1"/>
        <s v="24350" u="1"/>
        <s v="24404" u="1"/>
        <s v="24410" u="1"/>
        <s v="25101" u="1"/>
        <s v="25116" u="1"/>
        <s v="25155" u="1"/>
        <s v="25160" u="1"/>
        <s v="25200" u="1"/>
        <s v="26059" u="1"/>
        <s v="27019" u="1"/>
        <s v="27343" u="1"/>
        <s v="27905" u="1"/>
        <s v="30303" u="1"/>
        <s v="31330" u="1"/>
        <s v="32123" u="1"/>
        <s v="32312" u="1"/>
        <s v="33030" u="1"/>
        <s v="33036" u="1"/>
        <s v="33070" u="1"/>
        <s v="33183" u="1"/>
        <s v="33202" u="1"/>
        <s v="33205" u="1"/>
        <s v="33206" u="1"/>
        <s v="34003" u="1"/>
        <s v="34033" u="1"/>
        <s v="34401" u="1"/>
        <s v="35200" u="1"/>
        <s v="36140" u="1"/>
        <s v="36400" u="1"/>
        <s v="38264" u="1"/>
        <s v="38265" u="1"/>
        <s v="38267" u="1"/>
        <s v="38301" u="1"/>
        <s v="38320" u="1"/>
        <s v="16046" u="1"/>
        <s v="21234" u="1"/>
      </sharedItems>
    </cacheField>
    <cacheField name="District" numFmtId="0">
      <sharedItems containsBlank="1"/>
    </cacheField>
    <cacheField name="Item Code" numFmtId="166">
      <sharedItems containsNonDate="0" containsString="0" containsBlank="1"/>
    </cacheField>
    <cacheField name="PS39E" numFmtId="166">
      <sharedItems containsString="0" containsBlank="1" containsNumber="1" containsInteger="1" minValue="0" maxValue="0"/>
    </cacheField>
    <cacheField name="PS42E" numFmtId="166">
      <sharedItems containsString="0" containsBlank="1" containsNumber="1" minValue="0" maxValue="0.33"/>
    </cacheField>
    <cacheField name="PS43E" numFmtId="166">
      <sharedItems containsString="0" containsBlank="1" containsNumber="1" containsInteger="1" minValue="0" maxValue="0"/>
    </cacheField>
    <cacheField name="PS44E" numFmtId="166">
      <sharedItems containsString="0" containsBlank="1" containsNumber="1" containsInteger="1" minValue="0" maxValue="0"/>
    </cacheField>
    <cacheField name="PS45E" numFmtId="166">
      <sharedItems containsString="0" containsBlank="1" containsNumber="1" containsInteger="1" minValue="0" maxValue="0"/>
    </cacheField>
    <cacheField name="PS46E" numFmtId="166">
      <sharedItems containsString="0" containsBlank="1" containsNumber="1" containsInteger="1" minValue="0" maxValue="0"/>
    </cacheField>
    <cacheField name="PS47E" numFmtId="166">
      <sharedItems containsString="0" containsBlank="1" containsNumber="1" minValue="0" maxValue="1"/>
    </cacheField>
    <cacheField name="PS48E" numFmtId="166">
      <sharedItems containsString="0" containsBlank="1" containsNumber="1" containsInteger="1" minValue="0" maxValue="0"/>
    </cacheField>
    <cacheField name="PS49E" numFmtId="166">
      <sharedItems containsString="0" containsBlank="1" containsNumber="1" containsInteger="1" minValue="0" maxValue="0"/>
    </cacheField>
    <cacheField name="PS64E" numFmtId="166">
      <sharedItems containsString="0" containsBlank="1" containsNumber="1" containsInteger="1" minValue="0" maxValue="2"/>
    </cacheField>
    <cacheField name="PS24E" numFmtId="166">
      <sharedItems containsString="0" containsBlank="1" containsNumber="1" containsInteger="1" minValue="0" maxValue="0"/>
    </cacheField>
    <cacheField name="PS25E" numFmtId="166">
      <sharedItems containsString="0" containsBlank="1" containsNumber="1" minValue="0" maxValue="0.32"/>
    </cacheField>
    <cacheField name="PS26E" numFmtId="166">
      <sharedItems containsString="0" containsBlank="1" containsNumber="1" minValue="0" maxValue="0.5"/>
    </cacheField>
    <cacheField name="PS35E" numFmtId="166">
      <sharedItems containsString="0" containsBlank="1" containsNumber="1" containsInteger="1" minValue="0" maxValue="0"/>
    </cacheField>
    <cacheField name="PS39M" numFmtId="166">
      <sharedItems containsString="0" containsBlank="1" containsNumber="1" containsInteger="1" minValue="0" maxValue="0"/>
    </cacheField>
    <cacheField name="PS42M" numFmtId="166">
      <sharedItems containsString="0" containsBlank="1" containsNumber="1" minValue="0" maxValue="0.5"/>
    </cacheField>
    <cacheField name="PS43M" numFmtId="166">
      <sharedItems containsString="0" containsBlank="1" containsNumber="1" containsInteger="1" minValue="0" maxValue="0"/>
    </cacheField>
    <cacheField name="PS44M" numFmtId="166">
      <sharedItems containsString="0" containsBlank="1" containsNumber="1" containsInteger="1" minValue="0" maxValue="0"/>
    </cacheField>
    <cacheField name="PS45M" numFmtId="166">
      <sharedItems containsString="0" containsBlank="1" containsNumber="1" containsInteger="1" minValue="0" maxValue="0"/>
    </cacheField>
    <cacheField name="PS46M" numFmtId="166">
      <sharedItems containsString="0" containsBlank="1" containsNumber="1" containsInteger="1" minValue="0" maxValue="0"/>
    </cacheField>
    <cacheField name="PS47M" numFmtId="166">
      <sharedItems containsString="0" containsBlank="1" containsNumber="1" minValue="0" maxValue="0.46"/>
    </cacheField>
    <cacheField name="PS48M" numFmtId="166">
      <sharedItems containsString="0" containsBlank="1" containsNumber="1" containsInteger="1" minValue="0" maxValue="0"/>
    </cacheField>
    <cacheField name="PS49M" numFmtId="166">
      <sharedItems containsString="0" containsBlank="1" containsNumber="1" containsInteger="1" minValue="0" maxValue="0"/>
    </cacheField>
    <cacheField name="PS64M" numFmtId="166">
      <sharedItems containsString="0" containsBlank="1" containsNumber="1" containsInteger="1" minValue="0" maxValue="3"/>
    </cacheField>
    <cacheField name="PS24M" numFmtId="166">
      <sharedItems containsString="0" containsBlank="1" containsNumber="1" containsInteger="1" minValue="0" maxValue="1"/>
    </cacheField>
    <cacheField name="PS25M" numFmtId="166">
      <sharedItems containsString="0" containsBlank="1" containsNumber="1" minValue="0" maxValue="0.32"/>
    </cacheField>
    <cacheField name="PS26M" numFmtId="166">
      <sharedItems containsString="0" containsBlank="1" containsNumber="1" minValue="0" maxValue="9.2999999999999999E-2"/>
    </cacheField>
    <cacheField name="PS35M" numFmtId="166">
      <sharedItems containsString="0" containsBlank="1" containsNumber="1" containsInteger="1" minValue="0" maxValue="0"/>
    </cacheField>
    <cacheField name="PS39H" numFmtId="166">
      <sharedItems containsString="0" containsBlank="1" containsNumber="1" containsInteger="1" minValue="0" maxValue="0"/>
    </cacheField>
    <cacheField name="PS42H" numFmtId="166">
      <sharedItems containsString="0" containsBlank="1" containsNumber="1" minValue="0" maxValue="0.67"/>
    </cacheField>
    <cacheField name="PS43H" numFmtId="166">
      <sharedItems containsString="0" containsBlank="1" containsNumber="1" containsInteger="1" minValue="0" maxValue="0"/>
    </cacheField>
    <cacheField name="PS44H" numFmtId="166">
      <sharedItems containsString="0" containsBlank="1" containsNumber="1" containsInteger="1" minValue="0" maxValue="0"/>
    </cacheField>
    <cacheField name="PS45H" numFmtId="166">
      <sharedItems containsString="0" containsBlank="1" containsNumber="1" containsInteger="1" minValue="0" maxValue="0"/>
    </cacheField>
    <cacheField name="PS46H" numFmtId="166">
      <sharedItems containsString="0" containsBlank="1" containsNumber="1" containsInteger="1" minValue="0" maxValue="0"/>
    </cacheField>
    <cacheField name="PS47H" numFmtId="166">
      <sharedItems containsString="0" containsBlank="1" containsNumber="1" minValue="0" maxValue="0.37"/>
    </cacheField>
    <cacheField name="PS48H" numFmtId="166">
      <sharedItems containsString="0" containsBlank="1" containsNumber="1" containsInteger="1" minValue="0" maxValue="0"/>
    </cacheField>
    <cacheField name="PS49H" numFmtId="166">
      <sharedItems containsString="0" containsBlank="1" containsNumber="1" containsInteger="1" minValue="0" maxValue="0"/>
    </cacheField>
    <cacheField name="PS64H" numFmtId="166">
      <sharedItems containsString="0" containsBlank="1" containsNumber="1" containsInteger="1" minValue="0" maxValue="2"/>
    </cacheField>
    <cacheField name="PS24H" numFmtId="166">
      <sharedItems containsString="0" containsBlank="1" containsNumber="1" containsInteger="1" minValue="0" maxValue="0"/>
    </cacheField>
    <cacheField name="PS25H" numFmtId="166">
      <sharedItems containsString="0" containsBlank="1" containsNumber="1" containsInteger="1" minValue="0" maxValue="0"/>
    </cacheField>
    <cacheField name="PS26H" numFmtId="166">
      <sharedItems containsString="0" containsBlank="1" containsNumber="1" minValue="0" maxValue="0.5"/>
    </cacheField>
    <cacheField name="PS35H" numFmtId="166">
      <sharedItems containsString="0" containsBlank="1" containsNumber="1" containsInteger="1" minValue="0" maxValue="0"/>
    </cacheField>
    <cacheField name="PS39E09" numFmtId="166">
      <sharedItems containsString="0" containsBlank="1" containsNumber="1" containsInteger="1" minValue="0" maxValue="0"/>
    </cacheField>
    <cacheField name="PS42E09" numFmtId="166">
      <sharedItems containsString="0" containsBlank="1" containsNumber="1" containsInteger="1" minValue="0" maxValue="0"/>
    </cacheField>
    <cacheField name="PS43E09" numFmtId="166">
      <sharedItems containsString="0" containsBlank="1" containsNumber="1" containsInteger="1" minValue="0" maxValue="0"/>
    </cacheField>
    <cacheField name="PS44E09" numFmtId="166">
      <sharedItems containsString="0" containsBlank="1" containsNumber="1" containsInteger="1" minValue="0" maxValue="0"/>
    </cacheField>
    <cacheField name="PS45E09" numFmtId="166">
      <sharedItems containsString="0" containsBlank="1" containsNumber="1" containsInteger="1" minValue="0" maxValue="0"/>
    </cacheField>
    <cacheField name="PS46E09" numFmtId="166">
      <sharedItems containsString="0" containsBlank="1" containsNumber="1" containsInteger="1" minValue="0" maxValue="0"/>
    </cacheField>
    <cacheField name="PS47E09" numFmtId="166">
      <sharedItems containsString="0" containsBlank="1" containsNumber="1" containsInteger="1" minValue="0" maxValue="0"/>
    </cacheField>
    <cacheField name="PS48E09" numFmtId="166">
      <sharedItems containsString="0" containsBlank="1" containsNumber="1" containsInteger="1" minValue="0" maxValue="0"/>
    </cacheField>
    <cacheField name="PS49E09" numFmtId="166">
      <sharedItems containsString="0" containsBlank="1" containsNumber="1" containsInteger="1" minValue="0" maxValue="0"/>
    </cacheField>
    <cacheField name="PS64E09" numFmtId="166">
      <sharedItems containsString="0" containsBlank="1" containsNumber="1" containsInteger="1" minValue="0" maxValue="0"/>
    </cacheField>
    <cacheField name="PS24E09" numFmtId="166">
      <sharedItems containsString="0" containsBlank="1" containsNumber="1" containsInteger="1" minValue="0" maxValue="0"/>
    </cacheField>
    <cacheField name="PS25E09" numFmtId="166">
      <sharedItems containsString="0" containsBlank="1" containsNumber="1" containsInteger="1" minValue="0" maxValue="0"/>
    </cacheField>
    <cacheField name="PS26E09" numFmtId="166">
      <sharedItems containsString="0" containsBlank="1" containsNumber="1" containsInteger="1" minValue="0" maxValue="0"/>
    </cacheField>
    <cacheField name="PS35E09" numFmtId="166">
      <sharedItems containsString="0" containsBlank="1" containsNumber="1" containsInteger="1" minValue="0" maxValue="0"/>
    </cacheField>
    <cacheField name="PS39E97" numFmtId="166">
      <sharedItems containsString="0" containsBlank="1" containsNumber="1" containsInteger="1" minValue="0" maxValue="0"/>
    </cacheField>
    <cacheField name="PS42E97" numFmtId="166">
      <sharedItems containsString="0" containsBlank="1" containsNumber="1" containsInteger="1" minValue="0" maxValue="0"/>
    </cacheField>
    <cacheField name="PS43E97" numFmtId="166">
      <sharedItems containsString="0" containsBlank="1" containsNumber="1" minValue="0" maxValue="3.5000000000000003E-2"/>
    </cacheField>
    <cacheField name="PS44E97" numFmtId="166">
      <sharedItems containsString="0" containsBlank="1" containsNumber="1" containsInteger="1" minValue="0" maxValue="0"/>
    </cacheField>
    <cacheField name="PS45E97" numFmtId="166">
      <sharedItems containsString="0" containsBlank="1" containsNumber="1" containsInteger="1" minValue="0" maxValue="0"/>
    </cacheField>
    <cacheField name="PS46E97" numFmtId="166">
      <sharedItems containsString="0" containsBlank="1" containsNumber="1" containsInteger="1" minValue="0" maxValue="0"/>
    </cacheField>
    <cacheField name="PS47E97" numFmtId="166">
      <sharedItems containsString="0" containsBlank="1" containsNumber="1" containsInteger="1" minValue="0" maxValue="0"/>
    </cacheField>
    <cacheField name="PS48E97" numFmtId="166">
      <sharedItems containsString="0" containsBlank="1" containsNumber="1" containsInteger="1" minValue="0" maxValue="0"/>
    </cacheField>
    <cacheField name="PS49E97" numFmtId="166">
      <sharedItems containsString="0" containsBlank="1" containsNumber="1" containsInteger="1" minValue="0" maxValue="0"/>
    </cacheField>
    <cacheField name="PS64E97" numFmtId="166">
      <sharedItems containsString="0" containsBlank="1" containsNumber="1" containsInteger="1" minValue="0" maxValue="0"/>
    </cacheField>
    <cacheField name="PS24E97" numFmtId="166">
      <sharedItems containsString="0" containsBlank="1" containsNumber="1" containsInteger="1" minValue="0" maxValue="0"/>
    </cacheField>
    <cacheField name="PS25E97" numFmtId="166">
      <sharedItems containsString="0" containsBlank="1" containsNumber="1" containsInteger="1" minValue="0" maxValue="0"/>
    </cacheField>
    <cacheField name="PS26E97" numFmtId="166">
      <sharedItems containsString="0" containsBlank="1" containsNumber="1" containsInteger="1" minValue="0" maxValue="0"/>
    </cacheField>
    <cacheField name="PS35E97" numFmtId="166">
      <sharedItems containsString="0" containsBlank="1" containsNumber="1" minValue="0" maxValue="0.5"/>
    </cacheField>
    <cacheField name="PS39M97" numFmtId="166">
      <sharedItems containsString="0" containsBlank="1" containsNumber="1" containsInteger="1" minValue="0" maxValue="0"/>
    </cacheField>
    <cacheField name="PS42M97" numFmtId="166">
      <sharedItems containsString="0" containsBlank="1" containsNumber="1" containsInteger="1" minValue="0" maxValue="0"/>
    </cacheField>
    <cacheField name="PS43M97" numFmtId="166">
      <sharedItems containsString="0" containsBlank="1" containsNumber="1" minValue="0" maxValue="3.5999999999999997E-2"/>
    </cacheField>
    <cacheField name="PS44M97" numFmtId="166">
      <sharedItems containsString="0" containsBlank="1" containsNumber="1" containsInteger="1" minValue="0" maxValue="0"/>
    </cacheField>
    <cacheField name="PS45M97" numFmtId="166">
      <sharedItems containsString="0" containsBlank="1" containsNumber="1" containsInteger="1" minValue="0" maxValue="0"/>
    </cacheField>
    <cacheField name="PS46M97" numFmtId="166">
      <sharedItems containsString="0" containsBlank="1" containsNumber="1" containsInteger="1" minValue="0" maxValue="0"/>
    </cacheField>
    <cacheField name="PS47M97" numFmtId="166">
      <sharedItems containsString="0" containsBlank="1" containsNumber="1" containsInteger="1" minValue="0" maxValue="0"/>
    </cacheField>
    <cacheField name="PS48M97" numFmtId="166">
      <sharedItems containsString="0" containsBlank="1" containsNumber="1" containsInteger="1" minValue="0" maxValue="0"/>
    </cacheField>
    <cacheField name="PS49M97" numFmtId="166">
      <sharedItems containsString="0" containsBlank="1" containsNumber="1" containsInteger="1" minValue="0" maxValue="0"/>
    </cacheField>
    <cacheField name="PS64M97" numFmtId="166">
      <sharedItems containsString="0" containsBlank="1" containsNumber="1" containsInteger="1" minValue="0" maxValue="0"/>
    </cacheField>
    <cacheField name="PS24M97" numFmtId="166">
      <sharedItems containsString="0" containsBlank="1" containsNumber="1" containsInteger="1" minValue="0" maxValue="0"/>
    </cacheField>
    <cacheField name="PS25M97" numFmtId="166">
      <sharedItems containsString="0" containsBlank="1" containsNumber="1" containsInteger="1" minValue="0" maxValue="0"/>
    </cacheField>
    <cacheField name="PS26M97" numFmtId="166">
      <sharedItems containsString="0" containsBlank="1" containsNumber="1" containsInteger="1" minValue="0" maxValue="0"/>
    </cacheField>
    <cacheField name="PS35M97" numFmtId="166">
      <sharedItems containsString="0" containsBlank="1" containsNumber="1" minValue="0" maxValue="0.5"/>
    </cacheField>
    <cacheField name="PS39H97" numFmtId="166">
      <sharedItems containsString="0" containsBlank="1" containsNumber="1" containsInteger="1" minValue="0" maxValue="0"/>
    </cacheField>
    <cacheField name="PS42H97" numFmtId="166">
      <sharedItems containsString="0" containsBlank="1" containsNumber="1" containsInteger="1" minValue="0" maxValue="0"/>
    </cacheField>
    <cacheField name="PS43H97" numFmtId="166">
      <sharedItems containsString="0" containsBlank="1" containsNumber="1" containsInteger="1" minValue="0" maxValue="0"/>
    </cacheField>
    <cacheField name="PS44H97" numFmtId="166">
      <sharedItems containsString="0" containsBlank="1" containsNumber="1" containsInteger="1" minValue="0" maxValue="0"/>
    </cacheField>
    <cacheField name="PS45H97" numFmtId="166">
      <sharedItems containsString="0" containsBlank="1" containsNumber="1" containsInteger="1" minValue="0" maxValue="0"/>
    </cacheField>
    <cacheField name="PS46H97" numFmtId="166">
      <sharedItems containsString="0" containsBlank="1" containsNumber="1" containsInteger="1" minValue="0" maxValue="0"/>
    </cacheField>
    <cacheField name="PS47H97" numFmtId="166">
      <sharedItems containsString="0" containsBlank="1" containsNumber="1" containsInteger="1" minValue="0" maxValue="0"/>
    </cacheField>
    <cacheField name="PS48H97" numFmtId="166">
      <sharedItems containsString="0" containsBlank="1" containsNumber="1" containsInteger="1" minValue="0" maxValue="0"/>
    </cacheField>
    <cacheField name="PS49H97" numFmtId="166">
      <sharedItems containsString="0" containsBlank="1" containsNumber="1" containsInteger="1" minValue="0" maxValue="0"/>
    </cacheField>
    <cacheField name="PS64H97" numFmtId="166">
      <sharedItems containsString="0" containsBlank="1" containsNumber="1" containsInteger="1" minValue="0" maxValue="0"/>
    </cacheField>
    <cacheField name="PS24H97" numFmtId="166">
      <sharedItems containsString="0" containsBlank="1" containsNumber="1" containsInteger="1" minValue="0" maxValue="0"/>
    </cacheField>
    <cacheField name="PS25H97" numFmtId="166">
      <sharedItems containsString="0" containsBlank="1" containsNumber="1" containsInteger="1" minValue="0" maxValue="0"/>
    </cacheField>
    <cacheField name="PS26H97" numFmtId="166">
      <sharedItems containsString="0" containsBlank="1" containsNumber="1" containsInteger="1" minValue="0" maxValue="0"/>
    </cacheField>
    <cacheField name="PS35H97" numFmtId="166">
      <sharedItems containsString="0" containsBlank="1" containsNumber="1" minValue="0" maxValue="2"/>
    </cacheField>
    <cacheField name="PS39E21" numFmtId="166">
      <sharedItems containsString="0" containsBlank="1" containsNumber="1" containsInteger="1" minValue="0" maxValue="0"/>
    </cacheField>
    <cacheField name="PS42E21" numFmtId="166">
      <sharedItems containsString="0" containsBlank="1" containsNumber="1" minValue="0" maxValue="0.08"/>
    </cacheField>
    <cacheField name="PS43E21" numFmtId="166">
      <sharedItems containsString="0" containsBlank="1" containsNumber="1" minValue="0" maxValue="1"/>
    </cacheField>
    <cacheField name="PS44E21" numFmtId="166">
      <sharedItems containsString="0" containsBlank="1" containsNumber="1" containsInteger="1" minValue="0" maxValue="0"/>
    </cacheField>
    <cacheField name="PS45E21" numFmtId="166">
      <sharedItems containsString="0" containsBlank="1" containsNumber="1" minValue="0" maxValue="1.667"/>
    </cacheField>
    <cacheField name="PS46E21" numFmtId="166">
      <sharedItems containsString="0" containsBlank="1" containsNumber="1" minValue="0" maxValue="1"/>
    </cacheField>
    <cacheField name="PS47E21" numFmtId="166">
      <sharedItems containsString="0" containsBlank="1" containsNumber="1" minValue="0" maxValue="0.57099999999999995"/>
    </cacheField>
    <cacheField name="PS48E21" numFmtId="166">
      <sharedItems containsString="0" containsBlank="1" containsNumber="1" minValue="0" maxValue="0.57099999999999995"/>
    </cacheField>
    <cacheField name="PS49E21" numFmtId="166">
      <sharedItems containsString="0" containsBlank="1" containsNumber="1" minValue="0" maxValue="0.11"/>
    </cacheField>
    <cacheField name="PS64E21" numFmtId="166">
      <sharedItems containsString="0" containsBlank="1" containsNumber="1" minValue="0" maxValue="2.4950000000000001"/>
    </cacheField>
    <cacheField name="PS24E21" numFmtId="166">
      <sharedItems containsString="0" containsBlank="1" containsNumber="1" containsInteger="1" minValue="0" maxValue="0"/>
    </cacheField>
    <cacheField name="PS25E21" numFmtId="166">
      <sharedItems containsString="0" containsBlank="1" containsNumber="1" minValue="0" maxValue="0.46"/>
    </cacheField>
    <cacheField name="PS26E21" numFmtId="166">
      <sharedItems containsString="0" containsBlank="1" containsNumber="1" containsInteger="1" minValue="0" maxValue="1"/>
    </cacheField>
    <cacheField name="PS35E21" numFmtId="166">
      <sharedItems containsString="0" containsBlank="1" containsNumber="1" containsInteger="1" minValue="0" maxValue="0"/>
    </cacheField>
    <cacheField name="PS39M21" numFmtId="166">
      <sharedItems containsString="0" containsBlank="1" containsNumber="1" containsInteger="1" minValue="0" maxValue="0"/>
    </cacheField>
    <cacheField name="PS42M21" numFmtId="166">
      <sharedItems containsString="0" containsBlank="1" containsNumber="1" minValue="0" maxValue="0.08"/>
    </cacheField>
    <cacheField name="PS43M21" numFmtId="166">
      <sharedItems containsString="0" containsBlank="1" containsNumber="1" minValue="0" maxValue="0.34"/>
    </cacheField>
    <cacheField name="PS44M21" numFmtId="166">
      <sharedItems containsString="0" containsBlank="1" containsNumber="1" containsInteger="1" minValue="0" maxValue="0"/>
    </cacheField>
    <cacheField name="PS45M21" numFmtId="166">
      <sharedItems containsString="0" containsBlank="1" containsNumber="1" minValue="0" maxValue="0.7"/>
    </cacheField>
    <cacheField name="PS46M21" numFmtId="166">
      <sharedItems containsString="0" containsBlank="1" containsNumber="1" minValue="0" maxValue="0.34"/>
    </cacheField>
    <cacheField name="PS47M21" numFmtId="166">
      <sharedItems containsString="0" containsBlank="1" containsNumber="1" minValue="0" maxValue="0.14299999999999999"/>
    </cacheField>
    <cacheField name="PS48M21" numFmtId="166">
      <sharedItems containsString="0" containsBlank="1" containsNumber="1" minValue="0" maxValue="0.14299999999999999"/>
    </cacheField>
    <cacheField name="PS49M21" numFmtId="166">
      <sharedItems containsString="0" containsBlank="1" containsNumber="1" minValue="0" maxValue="0.111"/>
    </cacheField>
    <cacheField name="PS64M21" numFmtId="166">
      <sharedItems containsString="0" containsBlank="1" containsNumber="1" minValue="0" maxValue="1.4950000000000001"/>
    </cacheField>
    <cacheField name="PS24M21" numFmtId="166">
      <sharedItems containsString="0" containsBlank="1" containsNumber="1" containsInteger="1" minValue="0" maxValue="0"/>
    </cacheField>
    <cacheField name="PS25M21" numFmtId="166">
      <sharedItems containsString="0" containsBlank="1" containsNumber="1" minValue="0" maxValue="0.16"/>
    </cacheField>
    <cacheField name="PS26M21" numFmtId="166">
      <sharedItems containsString="0" containsBlank="1" containsNumber="1" containsInteger="1" minValue="0" maxValue="0"/>
    </cacheField>
    <cacheField name="PS35M21" numFmtId="166">
      <sharedItems containsString="0" containsBlank="1" containsNumber="1" containsInteger="1" minValue="0" maxValue="0"/>
    </cacheField>
    <cacheField name="PS39H21" numFmtId="166">
      <sharedItems containsString="0" containsBlank="1" containsNumber="1" containsInteger="1" minValue="0" maxValue="0"/>
    </cacheField>
    <cacheField name="PS42H21" numFmtId="166">
      <sharedItems containsString="0" containsBlank="1" containsNumber="1" minValue="0" maxValue="0.08"/>
    </cacheField>
    <cacheField name="PS43H21" numFmtId="166">
      <sharedItems containsString="0" containsBlank="1" containsNumber="1" minValue="0" maxValue="0.3"/>
    </cacheField>
    <cacheField name="PS44H21" numFmtId="166">
      <sharedItems containsString="0" containsBlank="1" containsNumber="1" containsInteger="1" minValue="0" maxValue="0"/>
    </cacheField>
    <cacheField name="PS45H21" numFmtId="166">
      <sharedItems containsString="0" containsBlank="1" containsNumber="1" minValue="0" maxValue="0.6"/>
    </cacheField>
    <cacheField name="PS46H21" numFmtId="166">
      <sharedItems containsString="0" containsBlank="1" containsNumber="1" minValue="0" maxValue="1"/>
    </cacheField>
    <cacheField name="PS47H21" numFmtId="166">
      <sharedItems containsString="0" containsBlank="1" containsNumber="1" minValue="0" maxValue="0.28599999999999998"/>
    </cacheField>
    <cacheField name="PS48H21" numFmtId="166">
      <sharedItems containsString="0" containsBlank="1" containsNumber="1" minValue="0" maxValue="0.28599999999999998"/>
    </cacheField>
    <cacheField name="PS49H21" numFmtId="166">
      <sharedItems containsString="0" containsBlank="1" containsNumber="1" minValue="0" maxValue="1.05"/>
    </cacheField>
    <cacheField name="PS64H21" numFmtId="166">
      <sharedItems containsString="0" containsBlank="1" containsNumber="1" minValue="0" maxValue="1.4950000000000001"/>
    </cacheField>
    <cacheField name="PS24H21" numFmtId="166">
      <sharedItems containsString="0" containsBlank="1" containsNumber="1" containsInteger="1" minValue="0" maxValue="0"/>
    </cacheField>
    <cacheField name="PS25H21" numFmtId="166">
      <sharedItems containsString="0" containsBlank="1" containsNumber="1" minValue="0" maxValue="0.16"/>
    </cacheField>
    <cacheField name="PS26H21" numFmtId="166">
      <sharedItems containsString="0" containsBlank="1" containsNumber="1" containsInteger="1" minValue="0" maxValue="0"/>
    </cacheField>
    <cacheField name="PS35H21" numFmtId="166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37">
  <r>
    <x v="0"/>
    <x v="0"/>
    <n v="0"/>
    <x v="0"/>
  </r>
  <r>
    <x v="0"/>
    <x v="1"/>
    <n v="610.94000000000005"/>
    <x v="0"/>
  </r>
  <r>
    <x v="0"/>
    <x v="2"/>
    <n v="0"/>
    <x v="0"/>
  </r>
  <r>
    <x v="0"/>
    <x v="3"/>
    <n v="206.05"/>
    <x v="0"/>
  </r>
  <r>
    <x v="0"/>
    <x v="4"/>
    <n v="0"/>
    <x v="0"/>
  </r>
  <r>
    <x v="0"/>
    <x v="5"/>
    <n v="440.99"/>
    <x v="0"/>
  </r>
  <r>
    <x v="0"/>
    <x v="6"/>
    <n v="0"/>
    <x v="0"/>
  </r>
  <r>
    <x v="0"/>
    <x v="7"/>
    <n v="450.45"/>
    <x v="0"/>
  </r>
  <r>
    <x v="0"/>
    <x v="8"/>
    <n v="0"/>
    <x v="0"/>
  </r>
  <r>
    <x v="0"/>
    <x v="9"/>
    <n v="980.53"/>
    <x v="0"/>
  </r>
  <r>
    <x v="0"/>
    <x v="10"/>
    <n v="117.21"/>
    <x v="0"/>
  </r>
  <r>
    <x v="0"/>
    <x v="11"/>
    <n v="268.73"/>
    <x v="0"/>
  </r>
  <r>
    <x v="0"/>
    <x v="12"/>
    <n v="0"/>
    <x v="0"/>
  </r>
  <r>
    <x v="0"/>
    <x v="13"/>
    <n v="47.12"/>
    <x v="0"/>
  </r>
  <r>
    <x v="0"/>
    <x v="14"/>
    <n v="1.8"/>
    <x v="0"/>
  </r>
  <r>
    <x v="0"/>
    <x v="15"/>
    <n v="179.52"/>
    <x v="0"/>
  </r>
  <r>
    <x v="1"/>
    <x v="0"/>
    <n v="0"/>
    <x v="1"/>
  </r>
  <r>
    <x v="1"/>
    <x v="1"/>
    <n v="124.86"/>
    <x v="1"/>
  </r>
  <r>
    <x v="1"/>
    <x v="2"/>
    <n v="0"/>
    <x v="1"/>
  </r>
  <r>
    <x v="1"/>
    <x v="3"/>
    <n v="39.43"/>
    <x v="1"/>
  </r>
  <r>
    <x v="1"/>
    <x v="4"/>
    <n v="0"/>
    <x v="1"/>
  </r>
  <r>
    <x v="1"/>
    <x v="5"/>
    <n v="89.6"/>
    <x v="1"/>
  </r>
  <r>
    <x v="1"/>
    <x v="6"/>
    <n v="0"/>
    <x v="1"/>
  </r>
  <r>
    <x v="1"/>
    <x v="7"/>
    <n v="95.66"/>
    <x v="1"/>
  </r>
  <r>
    <x v="1"/>
    <x v="8"/>
    <n v="0"/>
    <x v="1"/>
  </r>
  <r>
    <x v="1"/>
    <x v="9"/>
    <n v="217.91"/>
    <x v="1"/>
  </r>
  <r>
    <x v="1"/>
    <x v="10"/>
    <n v="8.6999999999999993"/>
    <x v="1"/>
  </r>
  <r>
    <x v="1"/>
    <x v="11"/>
    <n v="65.849999999999994"/>
    <x v="1"/>
  </r>
  <r>
    <x v="1"/>
    <x v="12"/>
    <n v="0"/>
    <x v="1"/>
  </r>
  <r>
    <x v="1"/>
    <x v="13"/>
    <n v="0"/>
    <x v="1"/>
  </r>
  <r>
    <x v="1"/>
    <x v="14"/>
    <n v="0"/>
    <x v="1"/>
  </r>
  <r>
    <x v="1"/>
    <x v="15"/>
    <n v="38.200000000000003"/>
    <x v="1"/>
  </r>
  <r>
    <x v="2"/>
    <x v="0"/>
    <n v="0"/>
    <x v="2"/>
  </r>
  <r>
    <x v="2"/>
    <x v="1"/>
    <n v="24.8"/>
    <x v="2"/>
  </r>
  <r>
    <x v="2"/>
    <x v="2"/>
    <n v="0"/>
    <x v="2"/>
  </r>
  <r>
    <x v="2"/>
    <x v="3"/>
    <n v="8"/>
    <x v="2"/>
  </r>
  <r>
    <x v="2"/>
    <x v="4"/>
    <n v="0"/>
    <x v="2"/>
  </r>
  <r>
    <x v="2"/>
    <x v="5"/>
    <n v="27.05"/>
    <x v="2"/>
  </r>
  <r>
    <x v="2"/>
    <x v="6"/>
    <n v="0"/>
    <x v="2"/>
  </r>
  <r>
    <x v="2"/>
    <x v="7"/>
    <n v="15"/>
    <x v="2"/>
  </r>
  <r>
    <x v="2"/>
    <x v="8"/>
    <n v="0"/>
    <x v="2"/>
  </r>
  <r>
    <x v="2"/>
    <x v="9"/>
    <n v="24.56"/>
    <x v="2"/>
  </r>
  <r>
    <x v="2"/>
    <x v="10"/>
    <n v="0"/>
    <x v="2"/>
  </r>
  <r>
    <x v="2"/>
    <x v="11"/>
    <n v="5.57"/>
    <x v="2"/>
  </r>
  <r>
    <x v="2"/>
    <x v="12"/>
    <n v="0"/>
    <x v="2"/>
  </r>
  <r>
    <x v="2"/>
    <x v="13"/>
    <n v="0"/>
    <x v="2"/>
  </r>
  <r>
    <x v="2"/>
    <x v="14"/>
    <n v="0"/>
    <x v="2"/>
  </r>
  <r>
    <x v="2"/>
    <x v="15"/>
    <n v="5"/>
    <x v="2"/>
  </r>
  <r>
    <x v="3"/>
    <x v="0"/>
    <n v="0"/>
    <x v="3"/>
  </r>
  <r>
    <x v="3"/>
    <x v="1"/>
    <n v="572.04"/>
    <x v="3"/>
  </r>
  <r>
    <x v="3"/>
    <x v="2"/>
    <n v="0"/>
    <x v="3"/>
  </r>
  <r>
    <x v="3"/>
    <x v="3"/>
    <n v="195.12"/>
    <x v="3"/>
  </r>
  <r>
    <x v="3"/>
    <x v="4"/>
    <n v="0"/>
    <x v="3"/>
  </r>
  <r>
    <x v="3"/>
    <x v="5"/>
    <n v="408.48"/>
    <x v="3"/>
  </r>
  <r>
    <x v="3"/>
    <x v="6"/>
    <n v="0"/>
    <x v="3"/>
  </r>
  <r>
    <x v="3"/>
    <x v="7"/>
    <n v="408.48"/>
    <x v="3"/>
  </r>
  <r>
    <x v="3"/>
    <x v="8"/>
    <n v="0"/>
    <x v="3"/>
  </r>
  <r>
    <x v="3"/>
    <x v="9"/>
    <n v="693.52"/>
    <x v="3"/>
  </r>
  <r>
    <x v="3"/>
    <x v="10"/>
    <n v="26.55"/>
    <x v="3"/>
  </r>
  <r>
    <x v="3"/>
    <x v="11"/>
    <n v="100.41"/>
    <x v="3"/>
  </r>
  <r>
    <x v="3"/>
    <x v="12"/>
    <n v="0"/>
    <x v="3"/>
  </r>
  <r>
    <x v="3"/>
    <x v="13"/>
    <n v="0"/>
    <x v="3"/>
  </r>
  <r>
    <x v="3"/>
    <x v="14"/>
    <n v="0"/>
    <x v="3"/>
  </r>
  <r>
    <x v="3"/>
    <x v="15"/>
    <n v="160.01"/>
    <x v="3"/>
  </r>
  <r>
    <x v="4"/>
    <x v="0"/>
    <n v="0"/>
    <x v="4"/>
  </r>
  <r>
    <x v="4"/>
    <x v="1"/>
    <n v="1138.6199999999999"/>
    <x v="4"/>
  </r>
  <r>
    <x v="4"/>
    <x v="2"/>
    <n v="0"/>
    <x v="4"/>
  </r>
  <r>
    <x v="4"/>
    <x v="3"/>
    <n v="391.2"/>
    <x v="4"/>
  </r>
  <r>
    <x v="4"/>
    <x v="4"/>
    <n v="0"/>
    <x v="4"/>
  </r>
  <r>
    <x v="4"/>
    <x v="5"/>
    <n v="856.43"/>
    <x v="4"/>
  </r>
  <r>
    <x v="4"/>
    <x v="6"/>
    <n v="0"/>
    <x v="4"/>
  </r>
  <r>
    <x v="4"/>
    <x v="7"/>
    <n v="801.14"/>
    <x v="4"/>
  </r>
  <r>
    <x v="4"/>
    <x v="8"/>
    <n v="0"/>
    <x v="4"/>
  </r>
  <r>
    <x v="4"/>
    <x v="9"/>
    <n v="1665.85"/>
    <x v="4"/>
  </r>
  <r>
    <x v="4"/>
    <x v="10"/>
    <n v="36.33"/>
    <x v="4"/>
  </r>
  <r>
    <x v="4"/>
    <x v="11"/>
    <n v="390.19"/>
    <x v="4"/>
  </r>
  <r>
    <x v="4"/>
    <x v="12"/>
    <n v="0"/>
    <x v="4"/>
  </r>
  <r>
    <x v="4"/>
    <x v="13"/>
    <n v="0"/>
    <x v="4"/>
  </r>
  <r>
    <x v="4"/>
    <x v="14"/>
    <n v="0"/>
    <x v="4"/>
  </r>
  <r>
    <x v="4"/>
    <x v="15"/>
    <n v="339.08"/>
    <x v="4"/>
  </r>
  <r>
    <x v="5"/>
    <x v="0"/>
    <n v="0"/>
    <x v="5"/>
  </r>
  <r>
    <x v="5"/>
    <x v="1"/>
    <n v="141.6"/>
    <x v="5"/>
  </r>
  <r>
    <x v="5"/>
    <x v="2"/>
    <n v="0"/>
    <x v="5"/>
  </r>
  <r>
    <x v="5"/>
    <x v="3"/>
    <n v="48.78"/>
    <x v="5"/>
  </r>
  <r>
    <x v="5"/>
    <x v="4"/>
    <n v="0"/>
    <x v="5"/>
  </r>
  <r>
    <x v="5"/>
    <x v="5"/>
    <n v="114.2"/>
    <x v="5"/>
  </r>
  <r>
    <x v="5"/>
    <x v="6"/>
    <n v="0"/>
    <x v="5"/>
  </r>
  <r>
    <x v="5"/>
    <x v="7"/>
    <n v="90.34"/>
    <x v="5"/>
  </r>
  <r>
    <x v="5"/>
    <x v="8"/>
    <n v="0"/>
    <x v="5"/>
  </r>
  <r>
    <x v="5"/>
    <x v="9"/>
    <n v="168.68"/>
    <x v="5"/>
  </r>
  <r>
    <x v="5"/>
    <x v="10"/>
    <n v="3.35"/>
    <x v="5"/>
  </r>
  <r>
    <x v="5"/>
    <x v="11"/>
    <n v="47.81"/>
    <x v="5"/>
  </r>
  <r>
    <x v="5"/>
    <x v="12"/>
    <n v="0"/>
    <x v="5"/>
  </r>
  <r>
    <x v="5"/>
    <x v="13"/>
    <n v="0"/>
    <x v="5"/>
  </r>
  <r>
    <x v="5"/>
    <x v="14"/>
    <n v="33.729999999999997"/>
    <x v="5"/>
  </r>
  <r>
    <x v="5"/>
    <x v="15"/>
    <n v="38.94"/>
    <x v="5"/>
  </r>
  <r>
    <x v="6"/>
    <x v="0"/>
    <n v="0"/>
    <x v="6"/>
  </r>
  <r>
    <x v="6"/>
    <x v="1"/>
    <n v="3884.37"/>
    <x v="6"/>
  </r>
  <r>
    <x v="6"/>
    <x v="2"/>
    <n v="0"/>
    <x v="6"/>
  </r>
  <r>
    <x v="6"/>
    <x v="3"/>
    <n v="1295.75"/>
    <x v="6"/>
  </r>
  <r>
    <x v="6"/>
    <x v="4"/>
    <n v="0"/>
    <x v="6"/>
  </r>
  <r>
    <x v="6"/>
    <x v="5"/>
    <n v="2622.04"/>
    <x v="6"/>
  </r>
  <r>
    <x v="6"/>
    <x v="6"/>
    <n v="0"/>
    <x v="6"/>
  </r>
  <r>
    <x v="6"/>
    <x v="7"/>
    <n v="2428.54"/>
    <x v="6"/>
  </r>
  <r>
    <x v="6"/>
    <x v="8"/>
    <n v="0"/>
    <x v="6"/>
  </r>
  <r>
    <x v="6"/>
    <x v="9"/>
    <n v="4924.88"/>
    <x v="6"/>
  </r>
  <r>
    <x v="6"/>
    <x v="10"/>
    <n v="219.85"/>
    <x v="6"/>
  </r>
  <r>
    <x v="6"/>
    <x v="11"/>
    <n v="798.59"/>
    <x v="6"/>
  </r>
  <r>
    <x v="6"/>
    <x v="12"/>
    <n v="0"/>
    <x v="6"/>
  </r>
  <r>
    <x v="6"/>
    <x v="13"/>
    <n v="0"/>
    <x v="6"/>
  </r>
  <r>
    <x v="6"/>
    <x v="14"/>
    <n v="150.80000000000001"/>
    <x v="6"/>
  </r>
  <r>
    <x v="6"/>
    <x v="15"/>
    <n v="1218.76"/>
    <x v="6"/>
  </r>
  <r>
    <x v="7"/>
    <x v="0"/>
    <n v="0"/>
    <x v="7"/>
  </r>
  <r>
    <x v="7"/>
    <x v="1"/>
    <n v="679.84"/>
    <x v="7"/>
  </r>
  <r>
    <x v="7"/>
    <x v="2"/>
    <n v="0"/>
    <x v="7"/>
  </r>
  <r>
    <x v="7"/>
    <x v="3"/>
    <n v="237.41"/>
    <x v="7"/>
  </r>
  <r>
    <x v="7"/>
    <x v="4"/>
    <n v="0"/>
    <x v="7"/>
  </r>
  <r>
    <x v="7"/>
    <x v="5"/>
    <n v="503.31"/>
    <x v="7"/>
  </r>
  <r>
    <x v="7"/>
    <x v="6"/>
    <n v="0"/>
    <x v="7"/>
  </r>
  <r>
    <x v="7"/>
    <x v="7"/>
    <n v="519.5"/>
    <x v="7"/>
  </r>
  <r>
    <x v="7"/>
    <x v="8"/>
    <n v="0"/>
    <x v="7"/>
  </r>
  <r>
    <x v="7"/>
    <x v="9"/>
    <n v="1214.08"/>
    <x v="7"/>
  </r>
  <r>
    <x v="7"/>
    <x v="10"/>
    <n v="52.59"/>
    <x v="7"/>
  </r>
  <r>
    <x v="7"/>
    <x v="11"/>
    <n v="308.43"/>
    <x v="7"/>
  </r>
  <r>
    <x v="7"/>
    <x v="12"/>
    <n v="0"/>
    <x v="7"/>
  </r>
  <r>
    <x v="7"/>
    <x v="13"/>
    <n v="0"/>
    <x v="7"/>
  </r>
  <r>
    <x v="7"/>
    <x v="14"/>
    <n v="0"/>
    <x v="7"/>
  </r>
  <r>
    <x v="7"/>
    <x v="15"/>
    <n v="179.46"/>
    <x v="7"/>
  </r>
  <r>
    <x v="8"/>
    <x v="0"/>
    <n v="0"/>
    <x v="8"/>
  </r>
  <r>
    <x v="8"/>
    <x v="1"/>
    <n v="2386.91"/>
    <x v="8"/>
  </r>
  <r>
    <x v="8"/>
    <x v="2"/>
    <n v="0"/>
    <x v="8"/>
  </r>
  <r>
    <x v="8"/>
    <x v="3"/>
    <n v="801.43"/>
    <x v="8"/>
  </r>
  <r>
    <x v="8"/>
    <x v="4"/>
    <n v="0"/>
    <x v="8"/>
  </r>
  <r>
    <x v="8"/>
    <x v="5"/>
    <n v="1588.19"/>
    <x v="8"/>
  </r>
  <r>
    <x v="8"/>
    <x v="6"/>
    <n v="0"/>
    <x v="8"/>
  </r>
  <r>
    <x v="8"/>
    <x v="7"/>
    <n v="1604.8"/>
    <x v="8"/>
  </r>
  <r>
    <x v="8"/>
    <x v="8"/>
    <n v="0"/>
    <x v="8"/>
  </r>
  <r>
    <x v="8"/>
    <x v="9"/>
    <n v="3014.03"/>
    <x v="8"/>
  </r>
  <r>
    <x v="8"/>
    <x v="10"/>
    <n v="59.2"/>
    <x v="8"/>
  </r>
  <r>
    <x v="8"/>
    <x v="11"/>
    <n v="1023.36"/>
    <x v="8"/>
  </r>
  <r>
    <x v="8"/>
    <x v="12"/>
    <n v="0"/>
    <x v="8"/>
  </r>
  <r>
    <x v="8"/>
    <x v="13"/>
    <n v="0"/>
    <x v="8"/>
  </r>
  <r>
    <x v="8"/>
    <x v="14"/>
    <n v="112.84"/>
    <x v="8"/>
  </r>
  <r>
    <x v="8"/>
    <x v="15"/>
    <n v="751.74"/>
    <x v="8"/>
  </r>
  <r>
    <x v="9"/>
    <x v="0"/>
    <n v="0"/>
    <x v="9"/>
  </r>
  <r>
    <x v="9"/>
    <x v="1"/>
    <n v="3898.24"/>
    <x v="9"/>
  </r>
  <r>
    <x v="9"/>
    <x v="2"/>
    <n v="0"/>
    <x v="9"/>
  </r>
  <r>
    <x v="9"/>
    <x v="3"/>
    <n v="1400.01"/>
    <x v="9"/>
  </r>
  <r>
    <x v="9"/>
    <x v="4"/>
    <n v="0"/>
    <x v="9"/>
  </r>
  <r>
    <x v="9"/>
    <x v="5"/>
    <n v="2827.96"/>
    <x v="9"/>
  </r>
  <r>
    <x v="9"/>
    <x v="6"/>
    <n v="0"/>
    <x v="9"/>
  </r>
  <r>
    <x v="9"/>
    <x v="7"/>
    <n v="3002.68"/>
    <x v="9"/>
  </r>
  <r>
    <x v="9"/>
    <x v="8"/>
    <n v="0"/>
    <x v="9"/>
  </r>
  <r>
    <x v="9"/>
    <x v="9"/>
    <n v="6394.97"/>
    <x v="9"/>
  </r>
  <r>
    <x v="9"/>
    <x v="10"/>
    <n v="214.31"/>
    <x v="9"/>
  </r>
  <r>
    <x v="9"/>
    <x v="11"/>
    <n v="829.28"/>
    <x v="9"/>
  </r>
  <r>
    <x v="9"/>
    <x v="12"/>
    <n v="0"/>
    <x v="9"/>
  </r>
  <r>
    <x v="9"/>
    <x v="13"/>
    <n v="0"/>
    <x v="9"/>
  </r>
  <r>
    <x v="9"/>
    <x v="14"/>
    <n v="0"/>
    <x v="9"/>
  </r>
  <r>
    <x v="9"/>
    <x v="15"/>
    <n v="1177.6600000000001"/>
    <x v="9"/>
  </r>
  <r>
    <x v="10"/>
    <x v="0"/>
    <n v="0"/>
    <x v="10"/>
  </r>
  <r>
    <x v="10"/>
    <x v="1"/>
    <n v="2313.12"/>
    <x v="10"/>
  </r>
  <r>
    <x v="10"/>
    <x v="2"/>
    <n v="0"/>
    <x v="10"/>
  </r>
  <r>
    <x v="10"/>
    <x v="3"/>
    <n v="795.18"/>
    <x v="10"/>
  </r>
  <r>
    <x v="10"/>
    <x v="4"/>
    <n v="0"/>
    <x v="10"/>
  </r>
  <r>
    <x v="10"/>
    <x v="5"/>
    <n v="1544.22"/>
    <x v="10"/>
  </r>
  <r>
    <x v="10"/>
    <x v="6"/>
    <n v="0"/>
    <x v="10"/>
  </r>
  <r>
    <x v="10"/>
    <x v="7"/>
    <n v="1586.27"/>
    <x v="10"/>
  </r>
  <r>
    <x v="10"/>
    <x v="8"/>
    <n v="0"/>
    <x v="10"/>
  </r>
  <r>
    <x v="10"/>
    <x v="9"/>
    <n v="3203.97"/>
    <x v="10"/>
  </r>
  <r>
    <x v="10"/>
    <x v="10"/>
    <n v="195.16"/>
    <x v="10"/>
  </r>
  <r>
    <x v="10"/>
    <x v="11"/>
    <n v="861.89"/>
    <x v="10"/>
  </r>
  <r>
    <x v="10"/>
    <x v="12"/>
    <n v="0"/>
    <x v="10"/>
  </r>
  <r>
    <x v="10"/>
    <x v="13"/>
    <n v="0"/>
    <x v="10"/>
  </r>
  <r>
    <x v="10"/>
    <x v="14"/>
    <n v="236.63"/>
    <x v="10"/>
  </r>
  <r>
    <x v="10"/>
    <x v="15"/>
    <n v="619.77"/>
    <x v="10"/>
  </r>
  <r>
    <x v="11"/>
    <x v="0"/>
    <n v="0"/>
    <x v="11"/>
  </r>
  <r>
    <x v="11"/>
    <x v="1"/>
    <n v="10"/>
    <x v="11"/>
  </r>
  <r>
    <x v="11"/>
    <x v="2"/>
    <n v="0"/>
    <x v="11"/>
  </r>
  <r>
    <x v="11"/>
    <x v="3"/>
    <n v="0"/>
    <x v="11"/>
  </r>
  <r>
    <x v="11"/>
    <x v="4"/>
    <n v="0"/>
    <x v="11"/>
  </r>
  <r>
    <x v="11"/>
    <x v="5"/>
    <n v="4"/>
    <x v="11"/>
  </r>
  <r>
    <x v="11"/>
    <x v="6"/>
    <n v="0"/>
    <x v="11"/>
  </r>
  <r>
    <x v="11"/>
    <x v="7"/>
    <n v="0"/>
    <x v="11"/>
  </r>
  <r>
    <x v="11"/>
    <x v="8"/>
    <n v="0"/>
    <x v="11"/>
  </r>
  <r>
    <x v="11"/>
    <x v="9"/>
    <n v="0"/>
    <x v="11"/>
  </r>
  <r>
    <x v="11"/>
    <x v="10"/>
    <n v="0"/>
    <x v="11"/>
  </r>
  <r>
    <x v="11"/>
    <x v="11"/>
    <n v="0"/>
    <x v="11"/>
  </r>
  <r>
    <x v="11"/>
    <x v="12"/>
    <n v="0"/>
    <x v="11"/>
  </r>
  <r>
    <x v="11"/>
    <x v="13"/>
    <n v="0"/>
    <x v="11"/>
  </r>
  <r>
    <x v="11"/>
    <x v="14"/>
    <n v="0"/>
    <x v="11"/>
  </r>
  <r>
    <x v="11"/>
    <x v="15"/>
    <n v="0"/>
    <x v="11"/>
  </r>
  <r>
    <x v="12"/>
    <x v="0"/>
    <n v="0"/>
    <x v="12"/>
  </r>
  <r>
    <x v="12"/>
    <x v="1"/>
    <n v="4624.91"/>
    <x v="12"/>
  </r>
  <r>
    <x v="12"/>
    <x v="2"/>
    <n v="0"/>
    <x v="12"/>
  </r>
  <r>
    <x v="12"/>
    <x v="3"/>
    <n v="1546.05"/>
    <x v="12"/>
  </r>
  <r>
    <x v="12"/>
    <x v="4"/>
    <n v="0"/>
    <x v="12"/>
  </r>
  <r>
    <x v="12"/>
    <x v="5"/>
    <n v="3157.83"/>
    <x v="12"/>
  </r>
  <r>
    <x v="12"/>
    <x v="6"/>
    <n v="0"/>
    <x v="12"/>
  </r>
  <r>
    <x v="12"/>
    <x v="7"/>
    <n v="2934.55"/>
    <x v="12"/>
  </r>
  <r>
    <x v="12"/>
    <x v="8"/>
    <n v="0"/>
    <x v="12"/>
  </r>
  <r>
    <x v="12"/>
    <x v="9"/>
    <n v="5270.89"/>
    <x v="12"/>
  </r>
  <r>
    <x v="12"/>
    <x v="10"/>
    <n v="264.19"/>
    <x v="12"/>
  </r>
  <r>
    <x v="12"/>
    <x v="11"/>
    <n v="1044.28"/>
    <x v="12"/>
  </r>
  <r>
    <x v="12"/>
    <x v="12"/>
    <n v="0"/>
    <x v="12"/>
  </r>
  <r>
    <x v="12"/>
    <x v="13"/>
    <n v="414.95"/>
    <x v="12"/>
  </r>
  <r>
    <x v="12"/>
    <x v="14"/>
    <n v="112"/>
    <x v="12"/>
  </r>
  <r>
    <x v="12"/>
    <x v="15"/>
    <n v="1338.05"/>
    <x v="12"/>
  </r>
  <r>
    <x v="13"/>
    <x v="0"/>
    <n v="0"/>
    <x v="13"/>
  </r>
  <r>
    <x v="13"/>
    <x v="1"/>
    <n v="27.2"/>
    <x v="13"/>
  </r>
  <r>
    <x v="13"/>
    <x v="2"/>
    <n v="0"/>
    <x v="13"/>
  </r>
  <r>
    <x v="13"/>
    <x v="3"/>
    <n v="3"/>
    <x v="13"/>
  </r>
  <r>
    <x v="13"/>
    <x v="4"/>
    <n v="0"/>
    <x v="13"/>
  </r>
  <r>
    <x v="13"/>
    <x v="5"/>
    <n v="17"/>
    <x v="13"/>
  </r>
  <r>
    <x v="13"/>
    <x v="6"/>
    <n v="0"/>
    <x v="13"/>
  </r>
  <r>
    <x v="13"/>
    <x v="7"/>
    <n v="20.8"/>
    <x v="13"/>
  </r>
  <r>
    <x v="13"/>
    <x v="8"/>
    <n v="0"/>
    <x v="13"/>
  </r>
  <r>
    <x v="13"/>
    <x v="9"/>
    <n v="15.32"/>
    <x v="13"/>
  </r>
  <r>
    <x v="13"/>
    <x v="10"/>
    <n v="0"/>
    <x v="13"/>
  </r>
  <r>
    <x v="13"/>
    <x v="11"/>
    <n v="0"/>
    <x v="13"/>
  </r>
  <r>
    <x v="13"/>
    <x v="12"/>
    <n v="0"/>
    <x v="13"/>
  </r>
  <r>
    <x v="13"/>
    <x v="13"/>
    <n v="0"/>
    <x v="13"/>
  </r>
  <r>
    <x v="13"/>
    <x v="14"/>
    <n v="0"/>
    <x v="13"/>
  </r>
  <r>
    <x v="13"/>
    <x v="15"/>
    <n v="8.6"/>
    <x v="13"/>
  </r>
  <r>
    <x v="14"/>
    <x v="0"/>
    <n v="0"/>
    <x v="14"/>
  </r>
  <r>
    <x v="14"/>
    <x v="1"/>
    <n v="400.03"/>
    <x v="14"/>
  </r>
  <r>
    <x v="14"/>
    <x v="2"/>
    <n v="0"/>
    <x v="14"/>
  </r>
  <r>
    <x v="14"/>
    <x v="3"/>
    <n v="165"/>
    <x v="14"/>
  </r>
  <r>
    <x v="14"/>
    <x v="4"/>
    <n v="0"/>
    <x v="14"/>
  </r>
  <r>
    <x v="14"/>
    <x v="5"/>
    <n v="307.77"/>
    <x v="14"/>
  </r>
  <r>
    <x v="14"/>
    <x v="6"/>
    <n v="0"/>
    <x v="14"/>
  </r>
  <r>
    <x v="14"/>
    <x v="7"/>
    <n v="299.69"/>
    <x v="14"/>
  </r>
  <r>
    <x v="14"/>
    <x v="8"/>
    <n v="0"/>
    <x v="14"/>
  </r>
  <r>
    <x v="14"/>
    <x v="9"/>
    <n v="482.11"/>
    <x v="14"/>
  </r>
  <r>
    <x v="14"/>
    <x v="10"/>
    <n v="6.38"/>
    <x v="14"/>
  </r>
  <r>
    <x v="14"/>
    <x v="11"/>
    <n v="95.48"/>
    <x v="14"/>
  </r>
  <r>
    <x v="14"/>
    <x v="12"/>
    <n v="0"/>
    <x v="14"/>
  </r>
  <r>
    <x v="14"/>
    <x v="13"/>
    <n v="0"/>
    <x v="14"/>
  </r>
  <r>
    <x v="14"/>
    <x v="14"/>
    <n v="49.1"/>
    <x v="14"/>
  </r>
  <r>
    <x v="14"/>
    <x v="15"/>
    <n v="120.25"/>
    <x v="14"/>
  </r>
  <r>
    <x v="15"/>
    <x v="0"/>
    <n v="0"/>
    <x v="15"/>
  </r>
  <r>
    <x v="15"/>
    <x v="1"/>
    <n v="27.44"/>
    <x v="15"/>
  </r>
  <r>
    <x v="15"/>
    <x v="2"/>
    <n v="0"/>
    <x v="15"/>
  </r>
  <r>
    <x v="15"/>
    <x v="3"/>
    <n v="6"/>
    <x v="15"/>
  </r>
  <r>
    <x v="15"/>
    <x v="4"/>
    <n v="0"/>
    <x v="15"/>
  </r>
  <r>
    <x v="15"/>
    <x v="5"/>
    <n v="16"/>
    <x v="15"/>
  </r>
  <r>
    <x v="15"/>
    <x v="6"/>
    <n v="0"/>
    <x v="15"/>
  </r>
  <r>
    <x v="15"/>
    <x v="7"/>
    <n v="12.28"/>
    <x v="15"/>
  </r>
  <r>
    <x v="15"/>
    <x v="8"/>
    <n v="0"/>
    <x v="15"/>
  </r>
  <r>
    <x v="15"/>
    <x v="9"/>
    <n v="0"/>
    <x v="15"/>
  </r>
  <r>
    <x v="15"/>
    <x v="10"/>
    <n v="1.34"/>
    <x v="15"/>
  </r>
  <r>
    <x v="15"/>
    <x v="11"/>
    <n v="0"/>
    <x v="15"/>
  </r>
  <r>
    <x v="15"/>
    <x v="12"/>
    <n v="0"/>
    <x v="15"/>
  </r>
  <r>
    <x v="15"/>
    <x v="13"/>
    <n v="0"/>
    <x v="15"/>
  </r>
  <r>
    <x v="15"/>
    <x v="14"/>
    <n v="3.2"/>
    <x v="15"/>
  </r>
  <r>
    <x v="15"/>
    <x v="15"/>
    <n v="9.6"/>
    <x v="15"/>
  </r>
  <r>
    <x v="16"/>
    <x v="0"/>
    <n v="0"/>
    <x v="16"/>
  </r>
  <r>
    <x v="16"/>
    <x v="1"/>
    <n v="1067.74"/>
    <x v="16"/>
  </r>
  <r>
    <x v="16"/>
    <x v="2"/>
    <n v="0"/>
    <x v="16"/>
  </r>
  <r>
    <x v="16"/>
    <x v="3"/>
    <n v="316.61"/>
    <x v="16"/>
  </r>
  <r>
    <x v="16"/>
    <x v="4"/>
    <n v="0"/>
    <x v="16"/>
  </r>
  <r>
    <x v="16"/>
    <x v="5"/>
    <n v="631.03"/>
    <x v="16"/>
  </r>
  <r>
    <x v="16"/>
    <x v="6"/>
    <n v="0"/>
    <x v="16"/>
  </r>
  <r>
    <x v="16"/>
    <x v="7"/>
    <n v="530.62"/>
    <x v="16"/>
  </r>
  <r>
    <x v="16"/>
    <x v="8"/>
    <n v="0"/>
    <x v="16"/>
  </r>
  <r>
    <x v="16"/>
    <x v="9"/>
    <n v="1270.3699999999999"/>
    <x v="16"/>
  </r>
  <r>
    <x v="16"/>
    <x v="10"/>
    <n v="95.86"/>
    <x v="16"/>
  </r>
  <r>
    <x v="16"/>
    <x v="11"/>
    <n v="313.86"/>
    <x v="16"/>
  </r>
  <r>
    <x v="16"/>
    <x v="12"/>
    <n v="0"/>
    <x v="16"/>
  </r>
  <r>
    <x v="16"/>
    <x v="13"/>
    <n v="279.75"/>
    <x v="16"/>
  </r>
  <r>
    <x v="16"/>
    <x v="14"/>
    <n v="0"/>
    <x v="16"/>
  </r>
  <r>
    <x v="16"/>
    <x v="15"/>
    <n v="323.47000000000003"/>
    <x v="16"/>
  </r>
  <r>
    <x v="17"/>
    <x v="0"/>
    <n v="0"/>
    <x v="17"/>
  </r>
  <r>
    <x v="17"/>
    <x v="1"/>
    <n v="192.63"/>
    <x v="17"/>
  </r>
  <r>
    <x v="17"/>
    <x v="2"/>
    <n v="0"/>
    <x v="17"/>
  </r>
  <r>
    <x v="17"/>
    <x v="3"/>
    <n v="59.2"/>
    <x v="17"/>
  </r>
  <r>
    <x v="17"/>
    <x v="4"/>
    <n v="0"/>
    <x v="17"/>
  </r>
  <r>
    <x v="17"/>
    <x v="5"/>
    <n v="123.61"/>
    <x v="17"/>
  </r>
  <r>
    <x v="17"/>
    <x v="6"/>
    <n v="0"/>
    <x v="17"/>
  </r>
  <r>
    <x v="17"/>
    <x v="7"/>
    <n v="153.61000000000001"/>
    <x v="17"/>
  </r>
  <r>
    <x v="17"/>
    <x v="8"/>
    <n v="0"/>
    <x v="17"/>
  </r>
  <r>
    <x v="17"/>
    <x v="9"/>
    <n v="292.33999999999997"/>
    <x v="17"/>
  </r>
  <r>
    <x v="17"/>
    <x v="10"/>
    <n v="16"/>
    <x v="17"/>
  </r>
  <r>
    <x v="17"/>
    <x v="11"/>
    <n v="74.459999999999994"/>
    <x v="17"/>
  </r>
  <r>
    <x v="17"/>
    <x v="12"/>
    <n v="0"/>
    <x v="17"/>
  </r>
  <r>
    <x v="17"/>
    <x v="13"/>
    <n v="0"/>
    <x v="17"/>
  </r>
  <r>
    <x v="17"/>
    <x v="14"/>
    <n v="31.4"/>
    <x v="17"/>
  </r>
  <r>
    <x v="17"/>
    <x v="15"/>
    <n v="67.400000000000006"/>
    <x v="17"/>
  </r>
  <r>
    <x v="18"/>
    <x v="0"/>
    <n v="0"/>
    <x v="18"/>
  </r>
  <r>
    <x v="18"/>
    <x v="1"/>
    <n v="154"/>
    <x v="18"/>
  </r>
  <r>
    <x v="18"/>
    <x v="2"/>
    <n v="0"/>
    <x v="18"/>
  </r>
  <r>
    <x v="18"/>
    <x v="3"/>
    <n v="51.8"/>
    <x v="18"/>
  </r>
  <r>
    <x v="18"/>
    <x v="4"/>
    <n v="0"/>
    <x v="18"/>
  </r>
  <r>
    <x v="18"/>
    <x v="5"/>
    <n v="104.2"/>
    <x v="18"/>
  </r>
  <r>
    <x v="18"/>
    <x v="6"/>
    <n v="0"/>
    <x v="18"/>
  </r>
  <r>
    <x v="18"/>
    <x v="7"/>
    <n v="100.2"/>
    <x v="18"/>
  </r>
  <r>
    <x v="18"/>
    <x v="8"/>
    <n v="0"/>
    <x v="18"/>
  </r>
  <r>
    <x v="18"/>
    <x v="9"/>
    <n v="234.87"/>
    <x v="18"/>
  </r>
  <r>
    <x v="18"/>
    <x v="10"/>
    <n v="5.65"/>
    <x v="18"/>
  </r>
  <r>
    <x v="18"/>
    <x v="11"/>
    <n v="31.56"/>
    <x v="18"/>
  </r>
  <r>
    <x v="18"/>
    <x v="12"/>
    <n v="0"/>
    <x v="18"/>
  </r>
  <r>
    <x v="18"/>
    <x v="13"/>
    <n v="0"/>
    <x v="18"/>
  </r>
  <r>
    <x v="18"/>
    <x v="14"/>
    <n v="25.07"/>
    <x v="18"/>
  </r>
  <r>
    <x v="18"/>
    <x v="15"/>
    <n v="51"/>
    <x v="18"/>
  </r>
  <r>
    <x v="19"/>
    <x v="0"/>
    <n v="0"/>
    <x v="19"/>
  </r>
  <r>
    <x v="19"/>
    <x v="1"/>
    <n v="15.6"/>
    <x v="19"/>
  </r>
  <r>
    <x v="19"/>
    <x v="2"/>
    <n v="0"/>
    <x v="19"/>
  </r>
  <r>
    <x v="19"/>
    <x v="3"/>
    <n v="11"/>
    <x v="19"/>
  </r>
  <r>
    <x v="19"/>
    <x v="4"/>
    <n v="0"/>
    <x v="19"/>
  </r>
  <r>
    <x v="19"/>
    <x v="5"/>
    <n v="9.4"/>
    <x v="19"/>
  </r>
  <r>
    <x v="19"/>
    <x v="6"/>
    <n v="0"/>
    <x v="19"/>
  </r>
  <r>
    <x v="19"/>
    <x v="7"/>
    <n v="23"/>
    <x v="19"/>
  </r>
  <r>
    <x v="19"/>
    <x v="8"/>
    <n v="0"/>
    <x v="19"/>
  </r>
  <r>
    <x v="19"/>
    <x v="9"/>
    <n v="0"/>
    <x v="19"/>
  </r>
  <r>
    <x v="19"/>
    <x v="10"/>
    <n v="0"/>
    <x v="19"/>
  </r>
  <r>
    <x v="19"/>
    <x v="11"/>
    <n v="0"/>
    <x v="19"/>
  </r>
  <r>
    <x v="19"/>
    <x v="12"/>
    <n v="0"/>
    <x v="19"/>
  </r>
  <r>
    <x v="19"/>
    <x v="13"/>
    <n v="0"/>
    <x v="19"/>
  </r>
  <r>
    <x v="19"/>
    <x v="14"/>
    <n v="7"/>
    <x v="19"/>
  </r>
  <r>
    <x v="19"/>
    <x v="15"/>
    <n v="6"/>
    <x v="19"/>
  </r>
  <r>
    <x v="20"/>
    <x v="0"/>
    <n v="0"/>
    <x v="20"/>
  </r>
  <r>
    <x v="20"/>
    <x v="1"/>
    <n v="706.58"/>
    <x v="20"/>
  </r>
  <r>
    <x v="20"/>
    <x v="2"/>
    <n v="0"/>
    <x v="20"/>
  </r>
  <r>
    <x v="20"/>
    <x v="3"/>
    <n v="229"/>
    <x v="20"/>
  </r>
  <r>
    <x v="20"/>
    <x v="4"/>
    <n v="0"/>
    <x v="20"/>
  </r>
  <r>
    <x v="20"/>
    <x v="5"/>
    <n v="488.81"/>
    <x v="20"/>
  </r>
  <r>
    <x v="20"/>
    <x v="6"/>
    <n v="0"/>
    <x v="20"/>
  </r>
  <r>
    <x v="20"/>
    <x v="7"/>
    <n v="512"/>
    <x v="20"/>
  </r>
  <r>
    <x v="20"/>
    <x v="8"/>
    <n v="0"/>
    <x v="20"/>
  </r>
  <r>
    <x v="20"/>
    <x v="9"/>
    <n v="939.53"/>
    <x v="20"/>
  </r>
  <r>
    <x v="20"/>
    <x v="10"/>
    <n v="64.849999999999994"/>
    <x v="20"/>
  </r>
  <r>
    <x v="20"/>
    <x v="11"/>
    <n v="287.64"/>
    <x v="20"/>
  </r>
  <r>
    <x v="20"/>
    <x v="12"/>
    <n v="0"/>
    <x v="20"/>
  </r>
  <r>
    <x v="20"/>
    <x v="13"/>
    <n v="0"/>
    <x v="20"/>
  </r>
  <r>
    <x v="20"/>
    <x v="14"/>
    <n v="25.47"/>
    <x v="20"/>
  </r>
  <r>
    <x v="20"/>
    <x v="15"/>
    <n v="213.09"/>
    <x v="20"/>
  </r>
  <r>
    <x v="21"/>
    <x v="0"/>
    <n v="0"/>
    <x v="21"/>
  </r>
  <r>
    <x v="21"/>
    <x v="1"/>
    <n v="1314.66"/>
    <x v="21"/>
  </r>
  <r>
    <x v="21"/>
    <x v="2"/>
    <n v="0"/>
    <x v="21"/>
  </r>
  <r>
    <x v="21"/>
    <x v="3"/>
    <n v="550.77"/>
    <x v="21"/>
  </r>
  <r>
    <x v="21"/>
    <x v="4"/>
    <n v="0"/>
    <x v="21"/>
  </r>
  <r>
    <x v="21"/>
    <x v="5"/>
    <n v="1097.28"/>
    <x v="21"/>
  </r>
  <r>
    <x v="21"/>
    <x v="6"/>
    <n v="0"/>
    <x v="21"/>
  </r>
  <r>
    <x v="21"/>
    <x v="7"/>
    <n v="1144.22"/>
    <x v="21"/>
  </r>
  <r>
    <x v="21"/>
    <x v="8"/>
    <n v="0"/>
    <x v="21"/>
  </r>
  <r>
    <x v="21"/>
    <x v="9"/>
    <n v="2196.0500000000002"/>
    <x v="21"/>
  </r>
  <r>
    <x v="21"/>
    <x v="10"/>
    <n v="24.82"/>
    <x v="21"/>
  </r>
  <r>
    <x v="21"/>
    <x v="11"/>
    <n v="407.9"/>
    <x v="21"/>
  </r>
  <r>
    <x v="21"/>
    <x v="12"/>
    <n v="0"/>
    <x v="21"/>
  </r>
  <r>
    <x v="21"/>
    <x v="13"/>
    <n v="0"/>
    <x v="21"/>
  </r>
  <r>
    <x v="21"/>
    <x v="14"/>
    <n v="14.4"/>
    <x v="21"/>
  </r>
  <r>
    <x v="21"/>
    <x v="15"/>
    <n v="384.56"/>
    <x v="21"/>
  </r>
  <r>
    <x v="22"/>
    <x v="0"/>
    <n v="0"/>
    <x v="22"/>
  </r>
  <r>
    <x v="22"/>
    <x v="1"/>
    <n v="97.2"/>
    <x v="22"/>
  </r>
  <r>
    <x v="22"/>
    <x v="2"/>
    <n v="0"/>
    <x v="22"/>
  </r>
  <r>
    <x v="22"/>
    <x v="3"/>
    <n v="49.8"/>
    <x v="22"/>
  </r>
  <r>
    <x v="22"/>
    <x v="4"/>
    <n v="0"/>
    <x v="22"/>
  </r>
  <r>
    <x v="22"/>
    <x v="5"/>
    <n v="76"/>
    <x v="22"/>
  </r>
  <r>
    <x v="22"/>
    <x v="6"/>
    <n v="0"/>
    <x v="22"/>
  </r>
  <r>
    <x v="22"/>
    <x v="7"/>
    <n v="80.040000000000006"/>
    <x v="22"/>
  </r>
  <r>
    <x v="22"/>
    <x v="8"/>
    <n v="0"/>
    <x v="22"/>
  </r>
  <r>
    <x v="22"/>
    <x v="9"/>
    <n v="131.30000000000001"/>
    <x v="22"/>
  </r>
  <r>
    <x v="22"/>
    <x v="10"/>
    <n v="0"/>
    <x v="22"/>
  </r>
  <r>
    <x v="22"/>
    <x v="11"/>
    <n v="13.18"/>
    <x v="22"/>
  </r>
  <r>
    <x v="22"/>
    <x v="12"/>
    <n v="0"/>
    <x v="22"/>
  </r>
  <r>
    <x v="22"/>
    <x v="13"/>
    <n v="0"/>
    <x v="22"/>
  </r>
  <r>
    <x v="22"/>
    <x v="14"/>
    <n v="0"/>
    <x v="22"/>
  </r>
  <r>
    <x v="22"/>
    <x v="15"/>
    <n v="30.4"/>
    <x v="22"/>
  </r>
  <r>
    <x v="23"/>
    <x v="0"/>
    <n v="0"/>
    <x v="23"/>
  </r>
  <r>
    <x v="23"/>
    <x v="1"/>
    <n v="49"/>
    <x v="23"/>
  </r>
  <r>
    <x v="23"/>
    <x v="2"/>
    <n v="0"/>
    <x v="23"/>
  </r>
  <r>
    <x v="23"/>
    <x v="3"/>
    <n v="24"/>
    <x v="23"/>
  </r>
  <r>
    <x v="23"/>
    <x v="4"/>
    <n v="0"/>
    <x v="23"/>
  </r>
  <r>
    <x v="23"/>
    <x v="5"/>
    <n v="47"/>
    <x v="23"/>
  </r>
  <r>
    <x v="23"/>
    <x v="6"/>
    <n v="0"/>
    <x v="23"/>
  </r>
  <r>
    <x v="23"/>
    <x v="7"/>
    <n v="39"/>
    <x v="23"/>
  </r>
  <r>
    <x v="23"/>
    <x v="8"/>
    <n v="0"/>
    <x v="23"/>
  </r>
  <r>
    <x v="23"/>
    <x v="9"/>
    <n v="0"/>
    <x v="23"/>
  </r>
  <r>
    <x v="23"/>
    <x v="10"/>
    <n v="0"/>
    <x v="23"/>
  </r>
  <r>
    <x v="23"/>
    <x v="11"/>
    <n v="0"/>
    <x v="23"/>
  </r>
  <r>
    <x v="23"/>
    <x v="12"/>
    <n v="0"/>
    <x v="23"/>
  </r>
  <r>
    <x v="23"/>
    <x v="13"/>
    <n v="0"/>
    <x v="23"/>
  </r>
  <r>
    <x v="23"/>
    <x v="14"/>
    <n v="0"/>
    <x v="23"/>
  </r>
  <r>
    <x v="23"/>
    <x v="15"/>
    <n v="17.8"/>
    <x v="23"/>
  </r>
  <r>
    <x v="24"/>
    <x v="0"/>
    <n v="0"/>
    <x v="24"/>
  </r>
  <r>
    <x v="24"/>
    <x v="1"/>
    <n v="247"/>
    <x v="24"/>
  </r>
  <r>
    <x v="24"/>
    <x v="2"/>
    <n v="0"/>
    <x v="24"/>
  </r>
  <r>
    <x v="24"/>
    <x v="3"/>
    <n v="87.4"/>
    <x v="24"/>
  </r>
  <r>
    <x v="24"/>
    <x v="4"/>
    <n v="0"/>
    <x v="24"/>
  </r>
  <r>
    <x v="24"/>
    <x v="5"/>
    <n v="166.4"/>
    <x v="24"/>
  </r>
  <r>
    <x v="24"/>
    <x v="6"/>
    <n v="0"/>
    <x v="24"/>
  </r>
  <r>
    <x v="24"/>
    <x v="7"/>
    <n v="179.96"/>
    <x v="24"/>
  </r>
  <r>
    <x v="24"/>
    <x v="8"/>
    <n v="0"/>
    <x v="24"/>
  </r>
  <r>
    <x v="24"/>
    <x v="9"/>
    <n v="358.74"/>
    <x v="24"/>
  </r>
  <r>
    <x v="24"/>
    <x v="10"/>
    <n v="58.17"/>
    <x v="24"/>
  </r>
  <r>
    <x v="24"/>
    <x v="11"/>
    <n v="131.22999999999999"/>
    <x v="24"/>
  </r>
  <r>
    <x v="24"/>
    <x v="12"/>
    <n v="0"/>
    <x v="24"/>
  </r>
  <r>
    <x v="24"/>
    <x v="13"/>
    <n v="0"/>
    <x v="24"/>
  </r>
  <r>
    <x v="24"/>
    <x v="14"/>
    <n v="16.5"/>
    <x v="24"/>
  </r>
  <r>
    <x v="24"/>
    <x v="15"/>
    <n v="79.900000000000006"/>
    <x v="24"/>
  </r>
  <r>
    <x v="25"/>
    <x v="0"/>
    <n v="0"/>
    <x v="25"/>
  </r>
  <r>
    <x v="25"/>
    <x v="1"/>
    <n v="354.01"/>
    <x v="25"/>
  </r>
  <r>
    <x v="25"/>
    <x v="2"/>
    <n v="0"/>
    <x v="25"/>
  </r>
  <r>
    <x v="25"/>
    <x v="3"/>
    <n v="117.6"/>
    <x v="25"/>
  </r>
  <r>
    <x v="25"/>
    <x v="4"/>
    <n v="0"/>
    <x v="25"/>
  </r>
  <r>
    <x v="25"/>
    <x v="5"/>
    <n v="231.8"/>
    <x v="25"/>
  </r>
  <r>
    <x v="25"/>
    <x v="6"/>
    <n v="0"/>
    <x v="25"/>
  </r>
  <r>
    <x v="25"/>
    <x v="7"/>
    <n v="259.48"/>
    <x v="25"/>
  </r>
  <r>
    <x v="25"/>
    <x v="8"/>
    <n v="0"/>
    <x v="25"/>
  </r>
  <r>
    <x v="25"/>
    <x v="9"/>
    <n v="504.71"/>
    <x v="25"/>
  </r>
  <r>
    <x v="25"/>
    <x v="10"/>
    <n v="49.38"/>
    <x v="25"/>
  </r>
  <r>
    <x v="25"/>
    <x v="11"/>
    <n v="137.61000000000001"/>
    <x v="25"/>
  </r>
  <r>
    <x v="25"/>
    <x v="12"/>
    <n v="0"/>
    <x v="25"/>
  </r>
  <r>
    <x v="25"/>
    <x v="13"/>
    <n v="0"/>
    <x v="25"/>
  </r>
  <r>
    <x v="25"/>
    <x v="14"/>
    <n v="0"/>
    <x v="25"/>
  </r>
  <r>
    <x v="25"/>
    <x v="15"/>
    <n v="113.8"/>
    <x v="25"/>
  </r>
  <r>
    <x v="26"/>
    <x v="0"/>
    <n v="0"/>
    <x v="26"/>
  </r>
  <r>
    <x v="26"/>
    <x v="1"/>
    <n v="346.4"/>
    <x v="26"/>
  </r>
  <r>
    <x v="26"/>
    <x v="2"/>
    <n v="0"/>
    <x v="26"/>
  </r>
  <r>
    <x v="26"/>
    <x v="3"/>
    <n v="119"/>
    <x v="26"/>
  </r>
  <r>
    <x v="26"/>
    <x v="4"/>
    <n v="0"/>
    <x v="26"/>
  </r>
  <r>
    <x v="26"/>
    <x v="5"/>
    <n v="206.74"/>
    <x v="26"/>
  </r>
  <r>
    <x v="26"/>
    <x v="6"/>
    <n v="0"/>
    <x v="26"/>
  </r>
  <r>
    <x v="26"/>
    <x v="7"/>
    <n v="216.77"/>
    <x v="26"/>
  </r>
  <r>
    <x v="26"/>
    <x v="8"/>
    <n v="0"/>
    <x v="26"/>
  </r>
  <r>
    <x v="26"/>
    <x v="9"/>
    <n v="380.06"/>
    <x v="26"/>
  </r>
  <r>
    <x v="26"/>
    <x v="10"/>
    <n v="10.66"/>
    <x v="26"/>
  </r>
  <r>
    <x v="26"/>
    <x v="11"/>
    <n v="102.15"/>
    <x v="26"/>
  </r>
  <r>
    <x v="26"/>
    <x v="12"/>
    <n v="0"/>
    <x v="26"/>
  </r>
  <r>
    <x v="26"/>
    <x v="13"/>
    <n v="0"/>
    <x v="26"/>
  </r>
  <r>
    <x v="26"/>
    <x v="14"/>
    <n v="0"/>
    <x v="26"/>
  </r>
  <r>
    <x v="26"/>
    <x v="15"/>
    <n v="92.5"/>
    <x v="26"/>
  </r>
  <r>
    <x v="27"/>
    <x v="0"/>
    <n v="0"/>
    <x v="27"/>
  </r>
  <r>
    <x v="27"/>
    <x v="1"/>
    <n v="162.19999999999999"/>
    <x v="27"/>
  </r>
  <r>
    <x v="27"/>
    <x v="2"/>
    <n v="0"/>
    <x v="27"/>
  </r>
  <r>
    <x v="27"/>
    <x v="3"/>
    <n v="59.6"/>
    <x v="27"/>
  </r>
  <r>
    <x v="27"/>
    <x v="4"/>
    <n v="0"/>
    <x v="27"/>
  </r>
  <r>
    <x v="27"/>
    <x v="5"/>
    <n v="112.4"/>
    <x v="27"/>
  </r>
  <r>
    <x v="27"/>
    <x v="6"/>
    <n v="0"/>
    <x v="27"/>
  </r>
  <r>
    <x v="27"/>
    <x v="7"/>
    <n v="93.4"/>
    <x v="27"/>
  </r>
  <r>
    <x v="27"/>
    <x v="8"/>
    <n v="0"/>
    <x v="27"/>
  </r>
  <r>
    <x v="27"/>
    <x v="9"/>
    <n v="22.3"/>
    <x v="27"/>
  </r>
  <r>
    <x v="27"/>
    <x v="10"/>
    <n v="0"/>
    <x v="27"/>
  </r>
  <r>
    <x v="27"/>
    <x v="11"/>
    <n v="0"/>
    <x v="27"/>
  </r>
  <r>
    <x v="27"/>
    <x v="12"/>
    <n v="0"/>
    <x v="27"/>
  </r>
  <r>
    <x v="27"/>
    <x v="13"/>
    <n v="0"/>
    <x v="27"/>
  </r>
  <r>
    <x v="27"/>
    <x v="14"/>
    <n v="0"/>
    <x v="27"/>
  </r>
  <r>
    <x v="27"/>
    <x v="15"/>
    <n v="58"/>
    <x v="27"/>
  </r>
  <r>
    <x v="28"/>
    <x v="0"/>
    <n v="0"/>
    <x v="28"/>
  </r>
  <r>
    <x v="28"/>
    <x v="1"/>
    <n v="33.200000000000003"/>
    <x v="28"/>
  </r>
  <r>
    <x v="28"/>
    <x v="2"/>
    <n v="0"/>
    <x v="28"/>
  </r>
  <r>
    <x v="28"/>
    <x v="3"/>
    <n v="12"/>
    <x v="28"/>
  </r>
  <r>
    <x v="28"/>
    <x v="4"/>
    <n v="0"/>
    <x v="28"/>
  </r>
  <r>
    <x v="28"/>
    <x v="5"/>
    <n v="19"/>
    <x v="28"/>
  </r>
  <r>
    <x v="28"/>
    <x v="6"/>
    <n v="0"/>
    <x v="28"/>
  </r>
  <r>
    <x v="28"/>
    <x v="7"/>
    <n v="16.600000000000001"/>
    <x v="28"/>
  </r>
  <r>
    <x v="28"/>
    <x v="8"/>
    <n v="0"/>
    <x v="28"/>
  </r>
  <r>
    <x v="28"/>
    <x v="9"/>
    <n v="0"/>
    <x v="28"/>
  </r>
  <r>
    <x v="28"/>
    <x v="10"/>
    <n v="0"/>
    <x v="28"/>
  </r>
  <r>
    <x v="28"/>
    <x v="11"/>
    <n v="0"/>
    <x v="28"/>
  </r>
  <r>
    <x v="28"/>
    <x v="12"/>
    <n v="0"/>
    <x v="28"/>
  </r>
  <r>
    <x v="28"/>
    <x v="13"/>
    <n v="0"/>
    <x v="28"/>
  </r>
  <r>
    <x v="28"/>
    <x v="14"/>
    <n v="0"/>
    <x v="28"/>
  </r>
  <r>
    <x v="28"/>
    <x v="15"/>
    <n v="10"/>
    <x v="28"/>
  </r>
  <r>
    <x v="29"/>
    <x v="0"/>
    <n v="0"/>
    <x v="29"/>
  </r>
  <r>
    <x v="29"/>
    <x v="1"/>
    <n v="2412"/>
    <x v="29"/>
  </r>
  <r>
    <x v="29"/>
    <x v="2"/>
    <n v="0"/>
    <x v="29"/>
  </r>
  <r>
    <x v="29"/>
    <x v="3"/>
    <n v="770.6"/>
    <x v="29"/>
  </r>
  <r>
    <x v="29"/>
    <x v="4"/>
    <n v="0"/>
    <x v="29"/>
  </r>
  <r>
    <x v="29"/>
    <x v="5"/>
    <n v="1657.84"/>
    <x v="29"/>
  </r>
  <r>
    <x v="29"/>
    <x v="6"/>
    <n v="0"/>
    <x v="29"/>
  </r>
  <r>
    <x v="29"/>
    <x v="7"/>
    <n v="1626.01"/>
    <x v="29"/>
  </r>
  <r>
    <x v="29"/>
    <x v="8"/>
    <n v="0"/>
    <x v="29"/>
  </r>
  <r>
    <x v="29"/>
    <x v="9"/>
    <n v="2799.84"/>
    <x v="29"/>
  </r>
  <r>
    <x v="29"/>
    <x v="10"/>
    <n v="114.04"/>
    <x v="29"/>
  </r>
  <r>
    <x v="29"/>
    <x v="11"/>
    <n v="636.01"/>
    <x v="29"/>
  </r>
  <r>
    <x v="29"/>
    <x v="12"/>
    <n v="0"/>
    <x v="29"/>
  </r>
  <r>
    <x v="29"/>
    <x v="13"/>
    <n v="0"/>
    <x v="29"/>
  </r>
  <r>
    <x v="29"/>
    <x v="14"/>
    <n v="0"/>
    <x v="29"/>
  </r>
  <r>
    <x v="29"/>
    <x v="15"/>
    <n v="711.4"/>
    <x v="29"/>
  </r>
  <r>
    <x v="30"/>
    <x v="0"/>
    <n v="0"/>
    <x v="30"/>
  </r>
  <r>
    <x v="30"/>
    <x v="1"/>
    <n v="3152.63"/>
    <x v="30"/>
  </r>
  <r>
    <x v="30"/>
    <x v="2"/>
    <n v="0"/>
    <x v="30"/>
  </r>
  <r>
    <x v="30"/>
    <x v="3"/>
    <n v="1033.5899999999999"/>
    <x v="30"/>
  </r>
  <r>
    <x v="30"/>
    <x v="4"/>
    <n v="0"/>
    <x v="30"/>
  </r>
  <r>
    <x v="30"/>
    <x v="5"/>
    <n v="2266.56"/>
    <x v="30"/>
  </r>
  <r>
    <x v="30"/>
    <x v="6"/>
    <n v="0"/>
    <x v="30"/>
  </r>
  <r>
    <x v="30"/>
    <x v="7"/>
    <n v="2148.91"/>
    <x v="30"/>
  </r>
  <r>
    <x v="30"/>
    <x v="8"/>
    <n v="0"/>
    <x v="30"/>
  </r>
  <r>
    <x v="30"/>
    <x v="9"/>
    <n v="4204.3999999999996"/>
    <x v="30"/>
  </r>
  <r>
    <x v="30"/>
    <x v="10"/>
    <n v="376.65"/>
    <x v="30"/>
  </r>
  <r>
    <x v="30"/>
    <x v="11"/>
    <n v="706.67"/>
    <x v="30"/>
  </r>
  <r>
    <x v="30"/>
    <x v="12"/>
    <n v="0"/>
    <x v="30"/>
  </r>
  <r>
    <x v="30"/>
    <x v="13"/>
    <n v="47.4"/>
    <x v="30"/>
  </r>
  <r>
    <x v="30"/>
    <x v="14"/>
    <n v="0"/>
    <x v="30"/>
  </r>
  <r>
    <x v="30"/>
    <x v="15"/>
    <n v="891.46"/>
    <x v="30"/>
  </r>
  <r>
    <x v="31"/>
    <x v="0"/>
    <n v="0"/>
    <x v="31"/>
  </r>
  <r>
    <x v="31"/>
    <x v="1"/>
    <n v="770.8"/>
    <x v="31"/>
  </r>
  <r>
    <x v="31"/>
    <x v="2"/>
    <n v="0"/>
    <x v="31"/>
  </r>
  <r>
    <x v="31"/>
    <x v="3"/>
    <n v="240.8"/>
    <x v="31"/>
  </r>
  <r>
    <x v="31"/>
    <x v="4"/>
    <n v="0"/>
    <x v="31"/>
  </r>
  <r>
    <x v="31"/>
    <x v="5"/>
    <n v="503.63"/>
    <x v="31"/>
  </r>
  <r>
    <x v="31"/>
    <x v="6"/>
    <n v="0"/>
    <x v="31"/>
  </r>
  <r>
    <x v="31"/>
    <x v="7"/>
    <n v="472.49"/>
    <x v="31"/>
  </r>
  <r>
    <x v="31"/>
    <x v="8"/>
    <n v="0"/>
    <x v="31"/>
  </r>
  <r>
    <x v="31"/>
    <x v="9"/>
    <n v="829.11"/>
    <x v="31"/>
  </r>
  <r>
    <x v="31"/>
    <x v="10"/>
    <n v="96.51"/>
    <x v="31"/>
  </r>
  <r>
    <x v="31"/>
    <x v="11"/>
    <n v="282.98"/>
    <x v="31"/>
  </r>
  <r>
    <x v="31"/>
    <x v="12"/>
    <n v="0"/>
    <x v="31"/>
  </r>
  <r>
    <x v="31"/>
    <x v="13"/>
    <n v="0"/>
    <x v="31"/>
  </r>
  <r>
    <x v="31"/>
    <x v="14"/>
    <n v="0"/>
    <x v="31"/>
  </r>
  <r>
    <x v="31"/>
    <x v="15"/>
    <n v="215.6"/>
    <x v="31"/>
  </r>
  <r>
    <x v="32"/>
    <x v="0"/>
    <n v="0"/>
    <x v="32"/>
  </r>
  <r>
    <x v="32"/>
    <x v="1"/>
    <n v="634.6"/>
    <x v="32"/>
  </r>
  <r>
    <x v="32"/>
    <x v="2"/>
    <n v="0"/>
    <x v="32"/>
  </r>
  <r>
    <x v="32"/>
    <x v="3"/>
    <n v="203.52"/>
    <x v="32"/>
  </r>
  <r>
    <x v="32"/>
    <x v="4"/>
    <n v="0"/>
    <x v="32"/>
  </r>
  <r>
    <x v="32"/>
    <x v="5"/>
    <n v="453.34"/>
    <x v="32"/>
  </r>
  <r>
    <x v="32"/>
    <x v="6"/>
    <n v="0"/>
    <x v="32"/>
  </r>
  <r>
    <x v="32"/>
    <x v="7"/>
    <n v="466.36"/>
    <x v="32"/>
  </r>
  <r>
    <x v="32"/>
    <x v="8"/>
    <n v="0"/>
    <x v="32"/>
  </r>
  <r>
    <x v="32"/>
    <x v="9"/>
    <n v="888.16"/>
    <x v="32"/>
  </r>
  <r>
    <x v="32"/>
    <x v="10"/>
    <n v="0"/>
    <x v="32"/>
  </r>
  <r>
    <x v="32"/>
    <x v="11"/>
    <n v="228.96"/>
    <x v="32"/>
  </r>
  <r>
    <x v="32"/>
    <x v="12"/>
    <n v="0"/>
    <x v="32"/>
  </r>
  <r>
    <x v="32"/>
    <x v="13"/>
    <n v="0"/>
    <x v="32"/>
  </r>
  <r>
    <x v="32"/>
    <x v="14"/>
    <n v="0"/>
    <x v="32"/>
  </r>
  <r>
    <x v="32"/>
    <x v="15"/>
    <n v="186.14"/>
    <x v="32"/>
  </r>
  <r>
    <x v="33"/>
    <x v="0"/>
    <n v="0"/>
    <x v="33"/>
  </r>
  <r>
    <x v="33"/>
    <x v="1"/>
    <n v="1180.4100000000001"/>
    <x v="33"/>
  </r>
  <r>
    <x v="33"/>
    <x v="2"/>
    <n v="0"/>
    <x v="33"/>
  </r>
  <r>
    <x v="33"/>
    <x v="3"/>
    <n v="436.23"/>
    <x v="33"/>
  </r>
  <r>
    <x v="33"/>
    <x v="4"/>
    <n v="0"/>
    <x v="33"/>
  </r>
  <r>
    <x v="33"/>
    <x v="5"/>
    <n v="840.52"/>
    <x v="33"/>
  </r>
  <r>
    <x v="33"/>
    <x v="6"/>
    <n v="0"/>
    <x v="33"/>
  </r>
  <r>
    <x v="33"/>
    <x v="7"/>
    <n v="825.47"/>
    <x v="33"/>
  </r>
  <r>
    <x v="33"/>
    <x v="8"/>
    <n v="0"/>
    <x v="33"/>
  </r>
  <r>
    <x v="33"/>
    <x v="9"/>
    <n v="1280.3800000000001"/>
    <x v="33"/>
  </r>
  <r>
    <x v="33"/>
    <x v="10"/>
    <n v="111.06"/>
    <x v="33"/>
  </r>
  <r>
    <x v="33"/>
    <x v="11"/>
    <n v="274.23"/>
    <x v="33"/>
  </r>
  <r>
    <x v="33"/>
    <x v="12"/>
    <n v="0"/>
    <x v="33"/>
  </r>
  <r>
    <x v="33"/>
    <x v="13"/>
    <n v="0"/>
    <x v="33"/>
  </r>
  <r>
    <x v="33"/>
    <x v="14"/>
    <n v="0"/>
    <x v="33"/>
  </r>
  <r>
    <x v="33"/>
    <x v="15"/>
    <n v="389.78"/>
    <x v="33"/>
  </r>
  <r>
    <x v="34"/>
    <x v="0"/>
    <n v="0"/>
    <x v="34"/>
  </r>
  <r>
    <x v="34"/>
    <x v="1"/>
    <n v="139.4"/>
    <x v="34"/>
  </r>
  <r>
    <x v="34"/>
    <x v="2"/>
    <n v="0"/>
    <x v="34"/>
  </r>
  <r>
    <x v="34"/>
    <x v="3"/>
    <n v="34"/>
    <x v="34"/>
  </r>
  <r>
    <x v="34"/>
    <x v="4"/>
    <n v="0"/>
    <x v="34"/>
  </r>
  <r>
    <x v="34"/>
    <x v="5"/>
    <n v="111.87"/>
    <x v="34"/>
  </r>
  <r>
    <x v="34"/>
    <x v="6"/>
    <n v="0"/>
    <x v="34"/>
  </r>
  <r>
    <x v="34"/>
    <x v="7"/>
    <n v="97.43"/>
    <x v="34"/>
  </r>
  <r>
    <x v="34"/>
    <x v="8"/>
    <n v="0"/>
    <x v="34"/>
  </r>
  <r>
    <x v="34"/>
    <x v="9"/>
    <n v="200.27"/>
    <x v="34"/>
  </r>
  <r>
    <x v="34"/>
    <x v="10"/>
    <n v="12.19"/>
    <x v="34"/>
  </r>
  <r>
    <x v="34"/>
    <x v="11"/>
    <n v="45.41"/>
    <x v="34"/>
  </r>
  <r>
    <x v="34"/>
    <x v="12"/>
    <n v="0"/>
    <x v="34"/>
  </r>
  <r>
    <x v="34"/>
    <x v="13"/>
    <n v="0"/>
    <x v="34"/>
  </r>
  <r>
    <x v="34"/>
    <x v="14"/>
    <n v="13.4"/>
    <x v="34"/>
  </r>
  <r>
    <x v="34"/>
    <x v="15"/>
    <n v="28.44"/>
    <x v="34"/>
  </r>
  <r>
    <x v="35"/>
    <x v="0"/>
    <n v="0"/>
    <x v="35"/>
  </r>
  <r>
    <x v="35"/>
    <x v="1"/>
    <n v="159.19999999999999"/>
    <x v="35"/>
  </r>
  <r>
    <x v="35"/>
    <x v="2"/>
    <n v="0"/>
    <x v="35"/>
  </r>
  <r>
    <x v="35"/>
    <x v="3"/>
    <n v="41.2"/>
    <x v="35"/>
  </r>
  <r>
    <x v="35"/>
    <x v="4"/>
    <n v="0"/>
    <x v="35"/>
  </r>
  <r>
    <x v="35"/>
    <x v="5"/>
    <n v="92"/>
    <x v="35"/>
  </r>
  <r>
    <x v="35"/>
    <x v="6"/>
    <n v="0"/>
    <x v="35"/>
  </r>
  <r>
    <x v="35"/>
    <x v="7"/>
    <n v="103.7"/>
    <x v="35"/>
  </r>
  <r>
    <x v="35"/>
    <x v="8"/>
    <n v="0"/>
    <x v="35"/>
  </r>
  <r>
    <x v="35"/>
    <x v="9"/>
    <n v="184.57"/>
    <x v="35"/>
  </r>
  <r>
    <x v="35"/>
    <x v="10"/>
    <n v="8.5299999999999994"/>
    <x v="35"/>
  </r>
  <r>
    <x v="35"/>
    <x v="11"/>
    <n v="41.88"/>
    <x v="35"/>
  </r>
  <r>
    <x v="35"/>
    <x v="12"/>
    <n v="0"/>
    <x v="35"/>
  </r>
  <r>
    <x v="35"/>
    <x v="13"/>
    <n v="0"/>
    <x v="35"/>
  </r>
  <r>
    <x v="35"/>
    <x v="14"/>
    <n v="17.8"/>
    <x v="35"/>
  </r>
  <r>
    <x v="35"/>
    <x v="15"/>
    <n v="41.2"/>
    <x v="35"/>
  </r>
  <r>
    <x v="36"/>
    <x v="0"/>
    <n v="0"/>
    <x v="36"/>
  </r>
  <r>
    <x v="36"/>
    <x v="1"/>
    <n v="156.19999999999999"/>
    <x v="36"/>
  </r>
  <r>
    <x v="36"/>
    <x v="2"/>
    <n v="0"/>
    <x v="36"/>
  </r>
  <r>
    <x v="36"/>
    <x v="3"/>
    <n v="46"/>
    <x v="36"/>
  </r>
  <r>
    <x v="36"/>
    <x v="4"/>
    <n v="0"/>
    <x v="36"/>
  </r>
  <r>
    <x v="36"/>
    <x v="5"/>
    <n v="98.4"/>
    <x v="36"/>
  </r>
  <r>
    <x v="36"/>
    <x v="6"/>
    <n v="0"/>
    <x v="36"/>
  </r>
  <r>
    <x v="36"/>
    <x v="7"/>
    <n v="102.27"/>
    <x v="36"/>
  </r>
  <r>
    <x v="36"/>
    <x v="8"/>
    <n v="0"/>
    <x v="36"/>
  </r>
  <r>
    <x v="36"/>
    <x v="9"/>
    <n v="133.62"/>
    <x v="36"/>
  </r>
  <r>
    <x v="36"/>
    <x v="10"/>
    <n v="0"/>
    <x v="36"/>
  </r>
  <r>
    <x v="36"/>
    <x v="11"/>
    <n v="21.31"/>
    <x v="36"/>
  </r>
  <r>
    <x v="36"/>
    <x v="12"/>
    <n v="0"/>
    <x v="36"/>
  </r>
  <r>
    <x v="36"/>
    <x v="13"/>
    <n v="0"/>
    <x v="36"/>
  </r>
  <r>
    <x v="36"/>
    <x v="14"/>
    <n v="29.8"/>
    <x v="36"/>
  </r>
  <r>
    <x v="36"/>
    <x v="15"/>
    <n v="52.6"/>
    <x v="36"/>
  </r>
  <r>
    <x v="37"/>
    <x v="0"/>
    <n v="0"/>
    <x v="37"/>
  </r>
  <r>
    <x v="37"/>
    <x v="1"/>
    <n v="451.31"/>
    <x v="37"/>
  </r>
  <r>
    <x v="37"/>
    <x v="2"/>
    <n v="0"/>
    <x v="37"/>
  </r>
  <r>
    <x v="37"/>
    <x v="3"/>
    <n v="207.48"/>
    <x v="37"/>
  </r>
  <r>
    <x v="37"/>
    <x v="4"/>
    <n v="0"/>
    <x v="37"/>
  </r>
  <r>
    <x v="37"/>
    <x v="5"/>
    <n v="352.78"/>
    <x v="37"/>
  </r>
  <r>
    <x v="37"/>
    <x v="6"/>
    <n v="0"/>
    <x v="37"/>
  </r>
  <r>
    <x v="37"/>
    <x v="7"/>
    <n v="346.08"/>
    <x v="37"/>
  </r>
  <r>
    <x v="37"/>
    <x v="8"/>
    <n v="0"/>
    <x v="37"/>
  </r>
  <r>
    <x v="37"/>
    <x v="9"/>
    <n v="628.70000000000005"/>
    <x v="37"/>
  </r>
  <r>
    <x v="37"/>
    <x v="10"/>
    <n v="23.8"/>
    <x v="37"/>
  </r>
  <r>
    <x v="37"/>
    <x v="11"/>
    <n v="124.68"/>
    <x v="37"/>
  </r>
  <r>
    <x v="37"/>
    <x v="12"/>
    <n v="0"/>
    <x v="37"/>
  </r>
  <r>
    <x v="37"/>
    <x v="13"/>
    <n v="0"/>
    <x v="37"/>
  </r>
  <r>
    <x v="37"/>
    <x v="14"/>
    <n v="53.6"/>
    <x v="37"/>
  </r>
  <r>
    <x v="37"/>
    <x v="15"/>
    <n v="147.82"/>
    <x v="37"/>
  </r>
  <r>
    <x v="38"/>
    <x v="0"/>
    <n v="0"/>
    <x v="38"/>
  </r>
  <r>
    <x v="38"/>
    <x v="1"/>
    <n v="216.88"/>
    <x v="38"/>
  </r>
  <r>
    <x v="38"/>
    <x v="2"/>
    <n v="0"/>
    <x v="38"/>
  </r>
  <r>
    <x v="38"/>
    <x v="3"/>
    <n v="60.65"/>
    <x v="38"/>
  </r>
  <r>
    <x v="38"/>
    <x v="4"/>
    <n v="0"/>
    <x v="38"/>
  </r>
  <r>
    <x v="38"/>
    <x v="5"/>
    <n v="109.12"/>
    <x v="38"/>
  </r>
  <r>
    <x v="38"/>
    <x v="6"/>
    <n v="0"/>
    <x v="38"/>
  </r>
  <r>
    <x v="38"/>
    <x v="7"/>
    <n v="144.62"/>
    <x v="38"/>
  </r>
  <r>
    <x v="38"/>
    <x v="8"/>
    <n v="0"/>
    <x v="38"/>
  </r>
  <r>
    <x v="38"/>
    <x v="9"/>
    <n v="276.42"/>
    <x v="38"/>
  </r>
  <r>
    <x v="38"/>
    <x v="10"/>
    <n v="9.57"/>
    <x v="38"/>
  </r>
  <r>
    <x v="38"/>
    <x v="11"/>
    <n v="74.34"/>
    <x v="38"/>
  </r>
  <r>
    <x v="38"/>
    <x v="12"/>
    <n v="0"/>
    <x v="38"/>
  </r>
  <r>
    <x v="38"/>
    <x v="13"/>
    <n v="0"/>
    <x v="38"/>
  </r>
  <r>
    <x v="38"/>
    <x v="14"/>
    <n v="48"/>
    <x v="38"/>
  </r>
  <r>
    <x v="38"/>
    <x v="15"/>
    <n v="74.47"/>
    <x v="38"/>
  </r>
  <r>
    <x v="39"/>
    <x v="0"/>
    <n v="0"/>
    <x v="39"/>
  </r>
  <r>
    <x v="39"/>
    <x v="1"/>
    <n v="3076.14"/>
    <x v="39"/>
  </r>
  <r>
    <x v="39"/>
    <x v="2"/>
    <n v="0"/>
    <x v="39"/>
  </r>
  <r>
    <x v="39"/>
    <x v="3"/>
    <n v="1013.84"/>
    <x v="39"/>
  </r>
  <r>
    <x v="39"/>
    <x v="4"/>
    <n v="0"/>
    <x v="39"/>
  </r>
  <r>
    <x v="39"/>
    <x v="5"/>
    <n v="1821.88"/>
    <x v="39"/>
  </r>
  <r>
    <x v="39"/>
    <x v="6"/>
    <n v="0"/>
    <x v="39"/>
  </r>
  <r>
    <x v="39"/>
    <x v="7"/>
    <n v="1609.2"/>
    <x v="39"/>
  </r>
  <r>
    <x v="39"/>
    <x v="8"/>
    <n v="0"/>
    <x v="39"/>
  </r>
  <r>
    <x v="39"/>
    <x v="9"/>
    <n v="2495.61"/>
    <x v="39"/>
  </r>
  <r>
    <x v="39"/>
    <x v="10"/>
    <n v="379.34"/>
    <x v="39"/>
  </r>
  <r>
    <x v="39"/>
    <x v="11"/>
    <n v="605.62"/>
    <x v="39"/>
  </r>
  <r>
    <x v="39"/>
    <x v="12"/>
    <n v="0"/>
    <x v="39"/>
  </r>
  <r>
    <x v="39"/>
    <x v="13"/>
    <n v="0"/>
    <x v="39"/>
  </r>
  <r>
    <x v="39"/>
    <x v="14"/>
    <n v="0"/>
    <x v="39"/>
  </r>
  <r>
    <x v="39"/>
    <x v="15"/>
    <n v="1066.0999999999999"/>
    <x v="39"/>
  </r>
  <r>
    <x v="40"/>
    <x v="0"/>
    <n v="0"/>
    <x v="40"/>
  </r>
  <r>
    <x v="40"/>
    <x v="1"/>
    <n v="105.8"/>
    <x v="40"/>
  </r>
  <r>
    <x v="40"/>
    <x v="2"/>
    <n v="0"/>
    <x v="40"/>
  </r>
  <r>
    <x v="40"/>
    <x v="3"/>
    <n v="38.4"/>
    <x v="40"/>
  </r>
  <r>
    <x v="40"/>
    <x v="4"/>
    <n v="0"/>
    <x v="40"/>
  </r>
  <r>
    <x v="40"/>
    <x v="5"/>
    <n v="68.2"/>
    <x v="40"/>
  </r>
  <r>
    <x v="40"/>
    <x v="6"/>
    <n v="0"/>
    <x v="40"/>
  </r>
  <r>
    <x v="40"/>
    <x v="7"/>
    <n v="91.6"/>
    <x v="40"/>
  </r>
  <r>
    <x v="40"/>
    <x v="8"/>
    <n v="0"/>
    <x v="40"/>
  </r>
  <r>
    <x v="40"/>
    <x v="9"/>
    <n v="168.35"/>
    <x v="40"/>
  </r>
  <r>
    <x v="40"/>
    <x v="10"/>
    <n v="9.73"/>
    <x v="40"/>
  </r>
  <r>
    <x v="40"/>
    <x v="11"/>
    <n v="42.67"/>
    <x v="40"/>
  </r>
  <r>
    <x v="40"/>
    <x v="12"/>
    <n v="0"/>
    <x v="40"/>
  </r>
  <r>
    <x v="40"/>
    <x v="13"/>
    <n v="0"/>
    <x v="40"/>
  </r>
  <r>
    <x v="40"/>
    <x v="14"/>
    <n v="15.8"/>
    <x v="40"/>
  </r>
  <r>
    <x v="40"/>
    <x v="15"/>
    <n v="40"/>
    <x v="40"/>
  </r>
  <r>
    <x v="41"/>
    <x v="0"/>
    <n v="0"/>
    <x v="41"/>
  </r>
  <r>
    <x v="41"/>
    <x v="1"/>
    <n v="300.67"/>
    <x v="41"/>
  </r>
  <r>
    <x v="41"/>
    <x v="2"/>
    <n v="0"/>
    <x v="41"/>
  </r>
  <r>
    <x v="41"/>
    <x v="3"/>
    <n v="116.01"/>
    <x v="41"/>
  </r>
  <r>
    <x v="41"/>
    <x v="4"/>
    <n v="0"/>
    <x v="41"/>
  </r>
  <r>
    <x v="41"/>
    <x v="5"/>
    <n v="235.02"/>
    <x v="41"/>
  </r>
  <r>
    <x v="41"/>
    <x v="6"/>
    <n v="0"/>
    <x v="41"/>
  </r>
  <r>
    <x v="41"/>
    <x v="7"/>
    <n v="230.4"/>
    <x v="41"/>
  </r>
  <r>
    <x v="41"/>
    <x v="8"/>
    <n v="0"/>
    <x v="41"/>
  </r>
  <r>
    <x v="41"/>
    <x v="9"/>
    <n v="427.78"/>
    <x v="41"/>
  </r>
  <r>
    <x v="41"/>
    <x v="10"/>
    <n v="13.94"/>
    <x v="41"/>
  </r>
  <r>
    <x v="41"/>
    <x v="11"/>
    <n v="145.22"/>
    <x v="41"/>
  </r>
  <r>
    <x v="41"/>
    <x v="12"/>
    <n v="0"/>
    <x v="41"/>
  </r>
  <r>
    <x v="41"/>
    <x v="13"/>
    <n v="0"/>
    <x v="41"/>
  </r>
  <r>
    <x v="41"/>
    <x v="14"/>
    <n v="15.6"/>
    <x v="41"/>
  </r>
  <r>
    <x v="41"/>
    <x v="15"/>
    <n v="97.8"/>
    <x v="41"/>
  </r>
  <r>
    <x v="42"/>
    <x v="0"/>
    <n v="0"/>
    <x v="42"/>
  </r>
  <r>
    <x v="42"/>
    <x v="1"/>
    <n v="36"/>
    <x v="42"/>
  </r>
  <r>
    <x v="42"/>
    <x v="2"/>
    <n v="0"/>
    <x v="42"/>
  </r>
  <r>
    <x v="42"/>
    <x v="3"/>
    <n v="11"/>
    <x v="42"/>
  </r>
  <r>
    <x v="42"/>
    <x v="4"/>
    <n v="0"/>
    <x v="42"/>
  </r>
  <r>
    <x v="42"/>
    <x v="5"/>
    <n v="26"/>
    <x v="42"/>
  </r>
  <r>
    <x v="42"/>
    <x v="6"/>
    <n v="0"/>
    <x v="42"/>
  </r>
  <r>
    <x v="42"/>
    <x v="7"/>
    <n v="22.6"/>
    <x v="42"/>
  </r>
  <r>
    <x v="42"/>
    <x v="8"/>
    <n v="0"/>
    <x v="42"/>
  </r>
  <r>
    <x v="42"/>
    <x v="9"/>
    <n v="28.3"/>
    <x v="42"/>
  </r>
  <r>
    <x v="42"/>
    <x v="10"/>
    <n v="1.08"/>
    <x v="42"/>
  </r>
  <r>
    <x v="42"/>
    <x v="11"/>
    <n v="4.92"/>
    <x v="42"/>
  </r>
  <r>
    <x v="42"/>
    <x v="12"/>
    <n v="0"/>
    <x v="42"/>
  </r>
  <r>
    <x v="42"/>
    <x v="13"/>
    <n v="0"/>
    <x v="42"/>
  </r>
  <r>
    <x v="42"/>
    <x v="14"/>
    <n v="12"/>
    <x v="42"/>
  </r>
  <r>
    <x v="42"/>
    <x v="15"/>
    <n v="15"/>
    <x v="42"/>
  </r>
  <r>
    <x v="43"/>
    <x v="0"/>
    <n v="0"/>
    <x v="43"/>
  </r>
  <r>
    <x v="43"/>
    <x v="1"/>
    <n v="18.600000000000001"/>
    <x v="43"/>
  </r>
  <r>
    <x v="43"/>
    <x v="2"/>
    <n v="0"/>
    <x v="43"/>
  </r>
  <r>
    <x v="43"/>
    <x v="3"/>
    <n v="9.16"/>
    <x v="43"/>
  </r>
  <r>
    <x v="43"/>
    <x v="4"/>
    <n v="0"/>
    <x v="43"/>
  </r>
  <r>
    <x v="43"/>
    <x v="5"/>
    <n v="15.96"/>
    <x v="43"/>
  </r>
  <r>
    <x v="43"/>
    <x v="6"/>
    <n v="0"/>
    <x v="43"/>
  </r>
  <r>
    <x v="43"/>
    <x v="7"/>
    <n v="19.2"/>
    <x v="43"/>
  </r>
  <r>
    <x v="43"/>
    <x v="8"/>
    <n v="0"/>
    <x v="43"/>
  </r>
  <r>
    <x v="43"/>
    <x v="9"/>
    <n v="31.71"/>
    <x v="43"/>
  </r>
  <r>
    <x v="43"/>
    <x v="10"/>
    <n v="0.99"/>
    <x v="43"/>
  </r>
  <r>
    <x v="43"/>
    <x v="11"/>
    <n v="7.03"/>
    <x v="43"/>
  </r>
  <r>
    <x v="43"/>
    <x v="12"/>
    <n v="0"/>
    <x v="43"/>
  </r>
  <r>
    <x v="43"/>
    <x v="13"/>
    <n v="0"/>
    <x v="43"/>
  </r>
  <r>
    <x v="43"/>
    <x v="14"/>
    <n v="8.4"/>
    <x v="43"/>
  </r>
  <r>
    <x v="43"/>
    <x v="15"/>
    <n v="6.4"/>
    <x v="43"/>
  </r>
  <r>
    <x v="44"/>
    <x v="0"/>
    <n v="0"/>
    <x v="44"/>
  </r>
  <r>
    <x v="44"/>
    <x v="1"/>
    <n v="202.4"/>
    <x v="44"/>
  </r>
  <r>
    <x v="44"/>
    <x v="2"/>
    <n v="0"/>
    <x v="44"/>
  </r>
  <r>
    <x v="44"/>
    <x v="3"/>
    <n v="51.8"/>
    <x v="44"/>
  </r>
  <r>
    <x v="44"/>
    <x v="4"/>
    <n v="0"/>
    <x v="44"/>
  </r>
  <r>
    <x v="44"/>
    <x v="5"/>
    <n v="112.62"/>
    <x v="44"/>
  </r>
  <r>
    <x v="44"/>
    <x v="6"/>
    <n v="0"/>
    <x v="44"/>
  </r>
  <r>
    <x v="44"/>
    <x v="7"/>
    <n v="118.2"/>
    <x v="44"/>
  </r>
  <r>
    <x v="44"/>
    <x v="8"/>
    <n v="0"/>
    <x v="44"/>
  </r>
  <r>
    <x v="44"/>
    <x v="9"/>
    <n v="201.06"/>
    <x v="44"/>
  </r>
  <r>
    <x v="44"/>
    <x v="10"/>
    <n v="0"/>
    <x v="44"/>
  </r>
  <r>
    <x v="44"/>
    <x v="11"/>
    <n v="59.23"/>
    <x v="44"/>
  </r>
  <r>
    <x v="44"/>
    <x v="12"/>
    <n v="0"/>
    <x v="44"/>
  </r>
  <r>
    <x v="44"/>
    <x v="13"/>
    <n v="0"/>
    <x v="44"/>
  </r>
  <r>
    <x v="44"/>
    <x v="14"/>
    <n v="16.2"/>
    <x v="44"/>
  </r>
  <r>
    <x v="44"/>
    <x v="15"/>
    <n v="43.4"/>
    <x v="44"/>
  </r>
  <r>
    <x v="45"/>
    <x v="0"/>
    <n v="0"/>
    <x v="45"/>
  </r>
  <r>
    <x v="45"/>
    <x v="1"/>
    <n v="355.28"/>
    <x v="45"/>
  </r>
  <r>
    <x v="45"/>
    <x v="2"/>
    <n v="0"/>
    <x v="45"/>
  </r>
  <r>
    <x v="45"/>
    <x v="3"/>
    <n v="114.8"/>
    <x v="45"/>
  </r>
  <r>
    <x v="45"/>
    <x v="4"/>
    <n v="0"/>
    <x v="45"/>
  </r>
  <r>
    <x v="45"/>
    <x v="5"/>
    <n v="243.78"/>
    <x v="45"/>
  </r>
  <r>
    <x v="45"/>
    <x v="6"/>
    <n v="0"/>
    <x v="45"/>
  </r>
  <r>
    <x v="45"/>
    <x v="7"/>
    <n v="264.82"/>
    <x v="45"/>
  </r>
  <r>
    <x v="45"/>
    <x v="8"/>
    <n v="0"/>
    <x v="45"/>
  </r>
  <r>
    <x v="45"/>
    <x v="9"/>
    <n v="485.72"/>
    <x v="45"/>
  </r>
  <r>
    <x v="45"/>
    <x v="10"/>
    <n v="29.18"/>
    <x v="45"/>
  </r>
  <r>
    <x v="45"/>
    <x v="11"/>
    <n v="111.74"/>
    <x v="45"/>
  </r>
  <r>
    <x v="45"/>
    <x v="12"/>
    <n v="0"/>
    <x v="45"/>
  </r>
  <r>
    <x v="45"/>
    <x v="13"/>
    <n v="13.34"/>
    <x v="45"/>
  </r>
  <r>
    <x v="45"/>
    <x v="14"/>
    <n v="72"/>
    <x v="45"/>
  </r>
  <r>
    <x v="45"/>
    <x v="15"/>
    <n v="105.4"/>
    <x v="45"/>
  </r>
  <r>
    <x v="46"/>
    <x v="0"/>
    <n v="0"/>
    <x v="46"/>
  </r>
  <r>
    <x v="46"/>
    <x v="1"/>
    <n v="130.6"/>
    <x v="46"/>
  </r>
  <r>
    <x v="46"/>
    <x v="2"/>
    <n v="0"/>
    <x v="46"/>
  </r>
  <r>
    <x v="46"/>
    <x v="3"/>
    <n v="37.619999999999997"/>
    <x v="46"/>
  </r>
  <r>
    <x v="46"/>
    <x v="4"/>
    <n v="0"/>
    <x v="46"/>
  </r>
  <r>
    <x v="46"/>
    <x v="5"/>
    <n v="70.8"/>
    <x v="46"/>
  </r>
  <r>
    <x v="46"/>
    <x v="6"/>
    <n v="0"/>
    <x v="46"/>
  </r>
  <r>
    <x v="46"/>
    <x v="7"/>
    <n v="78.400000000000006"/>
    <x v="46"/>
  </r>
  <r>
    <x v="46"/>
    <x v="8"/>
    <n v="0"/>
    <x v="46"/>
  </r>
  <r>
    <x v="46"/>
    <x v="9"/>
    <n v="122.94"/>
    <x v="46"/>
  </r>
  <r>
    <x v="46"/>
    <x v="10"/>
    <n v="2.66"/>
    <x v="46"/>
  </r>
  <r>
    <x v="46"/>
    <x v="11"/>
    <n v="28.83"/>
    <x v="46"/>
  </r>
  <r>
    <x v="46"/>
    <x v="12"/>
    <n v="0"/>
    <x v="46"/>
  </r>
  <r>
    <x v="46"/>
    <x v="13"/>
    <n v="0"/>
    <x v="46"/>
  </r>
  <r>
    <x v="46"/>
    <x v="14"/>
    <n v="29"/>
    <x v="46"/>
  </r>
  <r>
    <x v="46"/>
    <x v="15"/>
    <n v="39.200000000000003"/>
    <x v="46"/>
  </r>
  <r>
    <x v="47"/>
    <x v="0"/>
    <n v="0"/>
    <x v="47"/>
  </r>
  <r>
    <x v="47"/>
    <x v="1"/>
    <n v="144.38"/>
    <x v="47"/>
  </r>
  <r>
    <x v="47"/>
    <x v="2"/>
    <n v="0"/>
    <x v="47"/>
  </r>
  <r>
    <x v="47"/>
    <x v="3"/>
    <n v="44.4"/>
    <x v="47"/>
  </r>
  <r>
    <x v="47"/>
    <x v="4"/>
    <n v="0"/>
    <x v="47"/>
  </r>
  <r>
    <x v="47"/>
    <x v="5"/>
    <n v="105.6"/>
    <x v="47"/>
  </r>
  <r>
    <x v="47"/>
    <x v="6"/>
    <n v="0"/>
    <x v="47"/>
  </r>
  <r>
    <x v="47"/>
    <x v="7"/>
    <n v="82.6"/>
    <x v="47"/>
  </r>
  <r>
    <x v="47"/>
    <x v="8"/>
    <n v="0"/>
    <x v="47"/>
  </r>
  <r>
    <x v="47"/>
    <x v="9"/>
    <n v="0"/>
    <x v="47"/>
  </r>
  <r>
    <x v="47"/>
    <x v="10"/>
    <n v="0"/>
    <x v="47"/>
  </r>
  <r>
    <x v="47"/>
    <x v="11"/>
    <n v="0"/>
    <x v="47"/>
  </r>
  <r>
    <x v="47"/>
    <x v="12"/>
    <n v="0"/>
    <x v="47"/>
  </r>
  <r>
    <x v="47"/>
    <x v="13"/>
    <n v="0"/>
    <x v="47"/>
  </r>
  <r>
    <x v="47"/>
    <x v="14"/>
    <n v="0"/>
    <x v="47"/>
  </r>
  <r>
    <x v="47"/>
    <x v="15"/>
    <n v="43.2"/>
    <x v="47"/>
  </r>
  <r>
    <x v="48"/>
    <x v="0"/>
    <n v="0"/>
    <x v="48"/>
  </r>
  <r>
    <x v="48"/>
    <x v="1"/>
    <n v="73.400000000000006"/>
    <x v="48"/>
  </r>
  <r>
    <x v="48"/>
    <x v="2"/>
    <n v="0"/>
    <x v="48"/>
  </r>
  <r>
    <x v="48"/>
    <x v="3"/>
    <n v="26.7"/>
    <x v="48"/>
  </r>
  <r>
    <x v="48"/>
    <x v="4"/>
    <n v="0"/>
    <x v="48"/>
  </r>
  <r>
    <x v="48"/>
    <x v="5"/>
    <n v="50.4"/>
    <x v="48"/>
  </r>
  <r>
    <x v="48"/>
    <x v="6"/>
    <n v="0"/>
    <x v="48"/>
  </r>
  <r>
    <x v="48"/>
    <x v="7"/>
    <n v="0"/>
    <x v="48"/>
  </r>
  <r>
    <x v="48"/>
    <x v="8"/>
    <n v="0"/>
    <x v="48"/>
  </r>
  <r>
    <x v="48"/>
    <x v="9"/>
    <n v="0"/>
    <x v="48"/>
  </r>
  <r>
    <x v="48"/>
    <x v="10"/>
    <n v="0"/>
    <x v="48"/>
  </r>
  <r>
    <x v="48"/>
    <x v="11"/>
    <n v="0"/>
    <x v="48"/>
  </r>
  <r>
    <x v="48"/>
    <x v="12"/>
    <n v="0"/>
    <x v="48"/>
  </r>
  <r>
    <x v="48"/>
    <x v="13"/>
    <n v="0"/>
    <x v="48"/>
  </r>
  <r>
    <x v="48"/>
    <x v="14"/>
    <n v="14.3"/>
    <x v="48"/>
  </r>
  <r>
    <x v="48"/>
    <x v="15"/>
    <n v="20"/>
    <x v="48"/>
  </r>
  <r>
    <x v="49"/>
    <x v="0"/>
    <n v="0"/>
    <x v="49"/>
  </r>
  <r>
    <x v="49"/>
    <x v="1"/>
    <n v="33.799999999999997"/>
    <x v="49"/>
  </r>
  <r>
    <x v="49"/>
    <x v="2"/>
    <n v="0"/>
    <x v="49"/>
  </r>
  <r>
    <x v="49"/>
    <x v="3"/>
    <n v="8"/>
    <x v="49"/>
  </r>
  <r>
    <x v="49"/>
    <x v="4"/>
    <n v="0"/>
    <x v="49"/>
  </r>
  <r>
    <x v="49"/>
    <x v="5"/>
    <n v="30.6"/>
    <x v="49"/>
  </r>
  <r>
    <x v="49"/>
    <x v="6"/>
    <n v="0"/>
    <x v="49"/>
  </r>
  <r>
    <x v="49"/>
    <x v="7"/>
    <n v="34.799999999999997"/>
    <x v="49"/>
  </r>
  <r>
    <x v="49"/>
    <x v="8"/>
    <n v="0"/>
    <x v="49"/>
  </r>
  <r>
    <x v="49"/>
    <x v="9"/>
    <n v="74.48"/>
    <x v="49"/>
  </r>
  <r>
    <x v="49"/>
    <x v="10"/>
    <n v="0"/>
    <x v="49"/>
  </r>
  <r>
    <x v="49"/>
    <x v="11"/>
    <n v="18.93"/>
    <x v="49"/>
  </r>
  <r>
    <x v="49"/>
    <x v="12"/>
    <n v="0"/>
    <x v="49"/>
  </r>
  <r>
    <x v="49"/>
    <x v="13"/>
    <n v="0"/>
    <x v="49"/>
  </r>
  <r>
    <x v="49"/>
    <x v="14"/>
    <n v="0"/>
    <x v="49"/>
  </r>
  <r>
    <x v="49"/>
    <x v="15"/>
    <n v="11.27"/>
    <x v="49"/>
  </r>
  <r>
    <x v="50"/>
    <x v="0"/>
    <n v="0"/>
    <x v="50"/>
  </r>
  <r>
    <x v="50"/>
    <x v="1"/>
    <n v="218.2"/>
    <x v="50"/>
  </r>
  <r>
    <x v="50"/>
    <x v="2"/>
    <n v="0"/>
    <x v="50"/>
  </r>
  <r>
    <x v="50"/>
    <x v="3"/>
    <n v="95.4"/>
    <x v="50"/>
  </r>
  <r>
    <x v="50"/>
    <x v="4"/>
    <n v="0"/>
    <x v="50"/>
  </r>
  <r>
    <x v="50"/>
    <x v="5"/>
    <n v="159.19999999999999"/>
    <x v="50"/>
  </r>
  <r>
    <x v="50"/>
    <x v="6"/>
    <n v="0"/>
    <x v="50"/>
  </r>
  <r>
    <x v="50"/>
    <x v="7"/>
    <n v="162.1"/>
    <x v="50"/>
  </r>
  <r>
    <x v="50"/>
    <x v="8"/>
    <n v="0"/>
    <x v="50"/>
  </r>
  <r>
    <x v="50"/>
    <x v="9"/>
    <n v="252.91"/>
    <x v="50"/>
  </r>
  <r>
    <x v="50"/>
    <x v="10"/>
    <n v="3.99"/>
    <x v="50"/>
  </r>
  <r>
    <x v="50"/>
    <x v="11"/>
    <n v="26.79"/>
    <x v="50"/>
  </r>
  <r>
    <x v="50"/>
    <x v="12"/>
    <n v="0"/>
    <x v="50"/>
  </r>
  <r>
    <x v="50"/>
    <x v="13"/>
    <n v="0"/>
    <x v="50"/>
  </r>
  <r>
    <x v="50"/>
    <x v="14"/>
    <n v="16.399999999999999"/>
    <x v="50"/>
  </r>
  <r>
    <x v="50"/>
    <x v="15"/>
    <n v="59.8"/>
    <x v="50"/>
  </r>
  <r>
    <x v="51"/>
    <x v="0"/>
    <n v="0"/>
    <x v="51"/>
  </r>
  <r>
    <x v="51"/>
    <x v="1"/>
    <n v="53.6"/>
    <x v="51"/>
  </r>
  <r>
    <x v="51"/>
    <x v="2"/>
    <n v="0"/>
    <x v="51"/>
  </r>
  <r>
    <x v="51"/>
    <x v="3"/>
    <n v="15.4"/>
    <x v="51"/>
  </r>
  <r>
    <x v="51"/>
    <x v="4"/>
    <n v="0"/>
    <x v="51"/>
  </r>
  <r>
    <x v="51"/>
    <x v="5"/>
    <n v="38.200000000000003"/>
    <x v="51"/>
  </r>
  <r>
    <x v="51"/>
    <x v="6"/>
    <n v="0"/>
    <x v="51"/>
  </r>
  <r>
    <x v="51"/>
    <x v="7"/>
    <n v="42.82"/>
    <x v="51"/>
  </r>
  <r>
    <x v="51"/>
    <x v="8"/>
    <n v="0"/>
    <x v="51"/>
  </r>
  <r>
    <x v="51"/>
    <x v="9"/>
    <n v="48.2"/>
    <x v="51"/>
  </r>
  <r>
    <x v="51"/>
    <x v="10"/>
    <n v="0"/>
    <x v="51"/>
  </r>
  <r>
    <x v="51"/>
    <x v="11"/>
    <n v="2.38"/>
    <x v="51"/>
  </r>
  <r>
    <x v="51"/>
    <x v="12"/>
    <n v="0"/>
    <x v="51"/>
  </r>
  <r>
    <x v="51"/>
    <x v="13"/>
    <n v="0"/>
    <x v="51"/>
  </r>
  <r>
    <x v="51"/>
    <x v="14"/>
    <n v="0"/>
    <x v="51"/>
  </r>
  <r>
    <x v="51"/>
    <x v="15"/>
    <n v="13"/>
    <x v="51"/>
  </r>
  <r>
    <x v="52"/>
    <x v="0"/>
    <n v="0"/>
    <x v="52"/>
  </r>
  <r>
    <x v="52"/>
    <x v="1"/>
    <n v="20.399999999999999"/>
    <x v="52"/>
  </r>
  <r>
    <x v="52"/>
    <x v="2"/>
    <n v="0"/>
    <x v="52"/>
  </r>
  <r>
    <x v="52"/>
    <x v="3"/>
    <n v="6.8"/>
    <x v="52"/>
  </r>
  <r>
    <x v="52"/>
    <x v="4"/>
    <n v="0"/>
    <x v="52"/>
  </r>
  <r>
    <x v="52"/>
    <x v="5"/>
    <n v="4.8"/>
    <x v="52"/>
  </r>
  <r>
    <x v="52"/>
    <x v="6"/>
    <n v="0"/>
    <x v="52"/>
  </r>
  <r>
    <x v="52"/>
    <x v="7"/>
    <n v="12.12"/>
    <x v="52"/>
  </r>
  <r>
    <x v="52"/>
    <x v="8"/>
    <n v="0"/>
    <x v="52"/>
  </r>
  <r>
    <x v="52"/>
    <x v="9"/>
    <n v="20.149999999999999"/>
    <x v="52"/>
  </r>
  <r>
    <x v="52"/>
    <x v="10"/>
    <n v="0.95"/>
    <x v="52"/>
  </r>
  <r>
    <x v="52"/>
    <x v="11"/>
    <n v="3.45"/>
    <x v="52"/>
  </r>
  <r>
    <x v="52"/>
    <x v="12"/>
    <n v="0"/>
    <x v="52"/>
  </r>
  <r>
    <x v="52"/>
    <x v="13"/>
    <n v="0"/>
    <x v="52"/>
  </r>
  <r>
    <x v="52"/>
    <x v="14"/>
    <n v="0"/>
    <x v="52"/>
  </r>
  <r>
    <x v="52"/>
    <x v="15"/>
    <n v="7"/>
    <x v="52"/>
  </r>
  <r>
    <x v="53"/>
    <x v="0"/>
    <n v="0"/>
    <x v="53"/>
  </r>
  <r>
    <x v="53"/>
    <x v="1"/>
    <n v="43.6"/>
    <x v="53"/>
  </r>
  <r>
    <x v="53"/>
    <x v="2"/>
    <n v="0"/>
    <x v="53"/>
  </r>
  <r>
    <x v="53"/>
    <x v="3"/>
    <n v="9.6"/>
    <x v="53"/>
  </r>
  <r>
    <x v="53"/>
    <x v="4"/>
    <n v="0"/>
    <x v="53"/>
  </r>
  <r>
    <x v="53"/>
    <x v="5"/>
    <n v="27.8"/>
    <x v="53"/>
  </r>
  <r>
    <x v="53"/>
    <x v="6"/>
    <n v="0"/>
    <x v="53"/>
  </r>
  <r>
    <x v="53"/>
    <x v="7"/>
    <n v="30.4"/>
    <x v="53"/>
  </r>
  <r>
    <x v="53"/>
    <x v="8"/>
    <n v="0"/>
    <x v="53"/>
  </r>
  <r>
    <x v="53"/>
    <x v="9"/>
    <n v="64.650000000000006"/>
    <x v="53"/>
  </r>
  <r>
    <x v="53"/>
    <x v="10"/>
    <n v="0"/>
    <x v="53"/>
  </r>
  <r>
    <x v="53"/>
    <x v="11"/>
    <n v="5.7"/>
    <x v="53"/>
  </r>
  <r>
    <x v="53"/>
    <x v="12"/>
    <n v="0"/>
    <x v="53"/>
  </r>
  <r>
    <x v="53"/>
    <x v="13"/>
    <n v="0"/>
    <x v="53"/>
  </r>
  <r>
    <x v="53"/>
    <x v="14"/>
    <n v="0"/>
    <x v="53"/>
  </r>
  <r>
    <x v="53"/>
    <x v="15"/>
    <n v="14.2"/>
    <x v="53"/>
  </r>
  <r>
    <x v="54"/>
    <x v="0"/>
    <n v="0"/>
    <x v="54"/>
  </r>
  <r>
    <x v="54"/>
    <x v="1"/>
    <n v="53.29"/>
    <x v="54"/>
  </r>
  <r>
    <x v="54"/>
    <x v="2"/>
    <n v="0"/>
    <x v="54"/>
  </r>
  <r>
    <x v="54"/>
    <x v="3"/>
    <n v="18.38"/>
    <x v="54"/>
  </r>
  <r>
    <x v="54"/>
    <x v="4"/>
    <n v="0"/>
    <x v="54"/>
  </r>
  <r>
    <x v="54"/>
    <x v="5"/>
    <n v="55.6"/>
    <x v="54"/>
  </r>
  <r>
    <x v="54"/>
    <x v="6"/>
    <n v="0"/>
    <x v="54"/>
  </r>
  <r>
    <x v="54"/>
    <x v="7"/>
    <n v="39.799999999999997"/>
    <x v="54"/>
  </r>
  <r>
    <x v="54"/>
    <x v="8"/>
    <n v="0"/>
    <x v="54"/>
  </r>
  <r>
    <x v="54"/>
    <x v="9"/>
    <n v="77.66"/>
    <x v="54"/>
  </r>
  <r>
    <x v="54"/>
    <x v="10"/>
    <n v="0"/>
    <x v="54"/>
  </r>
  <r>
    <x v="54"/>
    <x v="11"/>
    <n v="11.25"/>
    <x v="54"/>
  </r>
  <r>
    <x v="54"/>
    <x v="12"/>
    <n v="0"/>
    <x v="54"/>
  </r>
  <r>
    <x v="54"/>
    <x v="13"/>
    <n v="0"/>
    <x v="54"/>
  </r>
  <r>
    <x v="54"/>
    <x v="14"/>
    <n v="12.9"/>
    <x v="54"/>
  </r>
  <r>
    <x v="54"/>
    <x v="15"/>
    <n v="12.58"/>
    <x v="54"/>
  </r>
  <r>
    <x v="55"/>
    <x v="0"/>
    <n v="0"/>
    <x v="55"/>
  </r>
  <r>
    <x v="55"/>
    <x v="1"/>
    <n v="23.4"/>
    <x v="55"/>
  </r>
  <r>
    <x v="55"/>
    <x v="2"/>
    <n v="0"/>
    <x v="55"/>
  </r>
  <r>
    <x v="55"/>
    <x v="3"/>
    <n v="9.8000000000000007"/>
    <x v="55"/>
  </r>
  <r>
    <x v="55"/>
    <x v="4"/>
    <n v="0"/>
    <x v="55"/>
  </r>
  <r>
    <x v="55"/>
    <x v="5"/>
    <n v="5"/>
    <x v="55"/>
  </r>
  <r>
    <x v="55"/>
    <x v="6"/>
    <n v="0"/>
    <x v="55"/>
  </r>
  <r>
    <x v="55"/>
    <x v="7"/>
    <n v="0"/>
    <x v="55"/>
  </r>
  <r>
    <x v="55"/>
    <x v="8"/>
    <n v="0"/>
    <x v="55"/>
  </r>
  <r>
    <x v="55"/>
    <x v="9"/>
    <n v="0"/>
    <x v="55"/>
  </r>
  <r>
    <x v="55"/>
    <x v="10"/>
    <n v="0"/>
    <x v="55"/>
  </r>
  <r>
    <x v="55"/>
    <x v="11"/>
    <n v="0"/>
    <x v="55"/>
  </r>
  <r>
    <x v="55"/>
    <x v="12"/>
    <n v="0"/>
    <x v="55"/>
  </r>
  <r>
    <x v="55"/>
    <x v="13"/>
    <n v="0"/>
    <x v="55"/>
  </r>
  <r>
    <x v="55"/>
    <x v="14"/>
    <n v="0"/>
    <x v="55"/>
  </r>
  <r>
    <x v="55"/>
    <x v="15"/>
    <n v="8"/>
    <x v="55"/>
  </r>
  <r>
    <x v="56"/>
    <x v="0"/>
    <n v="0"/>
    <x v="56"/>
  </r>
  <r>
    <x v="56"/>
    <x v="1"/>
    <n v="114.6"/>
    <x v="56"/>
  </r>
  <r>
    <x v="56"/>
    <x v="2"/>
    <n v="0"/>
    <x v="56"/>
  </r>
  <r>
    <x v="56"/>
    <x v="3"/>
    <n v="28"/>
    <x v="56"/>
  </r>
  <r>
    <x v="56"/>
    <x v="4"/>
    <n v="0"/>
    <x v="56"/>
  </r>
  <r>
    <x v="56"/>
    <x v="5"/>
    <n v="76.599999999999994"/>
    <x v="56"/>
  </r>
  <r>
    <x v="56"/>
    <x v="6"/>
    <n v="0"/>
    <x v="56"/>
  </r>
  <r>
    <x v="56"/>
    <x v="7"/>
    <n v="59.8"/>
    <x v="56"/>
  </r>
  <r>
    <x v="56"/>
    <x v="8"/>
    <n v="0"/>
    <x v="56"/>
  </r>
  <r>
    <x v="56"/>
    <x v="9"/>
    <n v="101.03"/>
    <x v="56"/>
  </r>
  <r>
    <x v="56"/>
    <x v="10"/>
    <n v="0"/>
    <x v="56"/>
  </r>
  <r>
    <x v="56"/>
    <x v="11"/>
    <n v="15.29"/>
    <x v="56"/>
  </r>
  <r>
    <x v="56"/>
    <x v="12"/>
    <n v="0"/>
    <x v="56"/>
  </r>
  <r>
    <x v="56"/>
    <x v="13"/>
    <n v="0"/>
    <x v="56"/>
  </r>
  <r>
    <x v="56"/>
    <x v="14"/>
    <n v="10"/>
    <x v="56"/>
  </r>
  <r>
    <x v="56"/>
    <x v="15"/>
    <n v="34"/>
    <x v="56"/>
  </r>
  <r>
    <x v="57"/>
    <x v="0"/>
    <n v="0"/>
    <x v="57"/>
  </r>
  <r>
    <x v="57"/>
    <x v="1"/>
    <n v="159.13"/>
    <x v="57"/>
  </r>
  <r>
    <x v="57"/>
    <x v="2"/>
    <n v="0"/>
    <x v="57"/>
  </r>
  <r>
    <x v="57"/>
    <x v="3"/>
    <n v="56.8"/>
    <x v="57"/>
  </r>
  <r>
    <x v="57"/>
    <x v="4"/>
    <n v="0"/>
    <x v="57"/>
  </r>
  <r>
    <x v="57"/>
    <x v="5"/>
    <n v="106"/>
    <x v="57"/>
  </r>
  <r>
    <x v="57"/>
    <x v="6"/>
    <n v="0"/>
    <x v="57"/>
  </r>
  <r>
    <x v="57"/>
    <x v="7"/>
    <n v="87.6"/>
    <x v="57"/>
  </r>
  <r>
    <x v="57"/>
    <x v="8"/>
    <n v="0"/>
    <x v="57"/>
  </r>
  <r>
    <x v="57"/>
    <x v="9"/>
    <n v="167.22"/>
    <x v="57"/>
  </r>
  <r>
    <x v="57"/>
    <x v="10"/>
    <n v="13.56"/>
    <x v="57"/>
  </r>
  <r>
    <x v="57"/>
    <x v="11"/>
    <n v="49.03"/>
    <x v="57"/>
  </r>
  <r>
    <x v="57"/>
    <x v="12"/>
    <n v="0"/>
    <x v="57"/>
  </r>
  <r>
    <x v="57"/>
    <x v="13"/>
    <n v="0"/>
    <x v="57"/>
  </r>
  <r>
    <x v="57"/>
    <x v="14"/>
    <n v="18.2"/>
    <x v="57"/>
  </r>
  <r>
    <x v="57"/>
    <x v="15"/>
    <n v="40.799999999999997"/>
    <x v="57"/>
  </r>
  <r>
    <x v="58"/>
    <x v="0"/>
    <n v="0"/>
    <x v="58"/>
  </r>
  <r>
    <x v="58"/>
    <x v="1"/>
    <n v="89.8"/>
    <x v="58"/>
  </r>
  <r>
    <x v="58"/>
    <x v="2"/>
    <n v="0"/>
    <x v="58"/>
  </r>
  <r>
    <x v="58"/>
    <x v="3"/>
    <n v="28.4"/>
    <x v="58"/>
  </r>
  <r>
    <x v="58"/>
    <x v="4"/>
    <n v="0"/>
    <x v="58"/>
  </r>
  <r>
    <x v="58"/>
    <x v="5"/>
    <n v="63"/>
    <x v="58"/>
  </r>
  <r>
    <x v="58"/>
    <x v="6"/>
    <n v="0"/>
    <x v="58"/>
  </r>
  <r>
    <x v="58"/>
    <x v="7"/>
    <n v="57.3"/>
    <x v="58"/>
  </r>
  <r>
    <x v="58"/>
    <x v="8"/>
    <n v="0"/>
    <x v="58"/>
  </r>
  <r>
    <x v="58"/>
    <x v="9"/>
    <n v="74.400000000000006"/>
    <x v="58"/>
  </r>
  <r>
    <x v="58"/>
    <x v="10"/>
    <n v="4.03"/>
    <x v="58"/>
  </r>
  <r>
    <x v="58"/>
    <x v="11"/>
    <n v="26.05"/>
    <x v="58"/>
  </r>
  <r>
    <x v="58"/>
    <x v="12"/>
    <n v="0"/>
    <x v="58"/>
  </r>
  <r>
    <x v="58"/>
    <x v="13"/>
    <n v="0"/>
    <x v="58"/>
  </r>
  <r>
    <x v="58"/>
    <x v="14"/>
    <n v="0"/>
    <x v="58"/>
  </r>
  <r>
    <x v="58"/>
    <x v="15"/>
    <n v="19.399999999999999"/>
    <x v="58"/>
  </r>
  <r>
    <x v="59"/>
    <x v="0"/>
    <n v="0"/>
    <x v="59"/>
  </r>
  <r>
    <x v="59"/>
    <x v="1"/>
    <n v="438.2"/>
    <x v="59"/>
  </r>
  <r>
    <x v="59"/>
    <x v="2"/>
    <n v="0"/>
    <x v="59"/>
  </r>
  <r>
    <x v="59"/>
    <x v="3"/>
    <n v="142.6"/>
    <x v="59"/>
  </r>
  <r>
    <x v="59"/>
    <x v="4"/>
    <n v="0"/>
    <x v="59"/>
  </r>
  <r>
    <x v="59"/>
    <x v="5"/>
    <n v="311.72000000000003"/>
    <x v="59"/>
  </r>
  <r>
    <x v="59"/>
    <x v="6"/>
    <n v="0"/>
    <x v="59"/>
  </r>
  <r>
    <x v="59"/>
    <x v="7"/>
    <n v="345.69"/>
    <x v="59"/>
  </r>
  <r>
    <x v="59"/>
    <x v="8"/>
    <n v="0"/>
    <x v="59"/>
  </r>
  <r>
    <x v="59"/>
    <x v="9"/>
    <n v="548.57000000000005"/>
    <x v="59"/>
  </r>
  <r>
    <x v="59"/>
    <x v="10"/>
    <n v="0"/>
    <x v="59"/>
  </r>
  <r>
    <x v="59"/>
    <x v="11"/>
    <n v="119.81"/>
    <x v="59"/>
  </r>
  <r>
    <x v="59"/>
    <x v="12"/>
    <n v="0"/>
    <x v="59"/>
  </r>
  <r>
    <x v="59"/>
    <x v="13"/>
    <n v="0"/>
    <x v="59"/>
  </r>
  <r>
    <x v="59"/>
    <x v="14"/>
    <n v="0"/>
    <x v="59"/>
  </r>
  <r>
    <x v="59"/>
    <x v="15"/>
    <n v="122.2"/>
    <x v="59"/>
  </r>
  <r>
    <x v="60"/>
    <x v="0"/>
    <n v="0"/>
    <x v="60"/>
  </r>
  <r>
    <x v="60"/>
    <x v="1"/>
    <n v="461.5"/>
    <x v="60"/>
  </r>
  <r>
    <x v="60"/>
    <x v="2"/>
    <n v="0"/>
    <x v="60"/>
  </r>
  <r>
    <x v="60"/>
    <x v="3"/>
    <n v="140.76"/>
    <x v="60"/>
  </r>
  <r>
    <x v="60"/>
    <x v="4"/>
    <n v="0"/>
    <x v="60"/>
  </r>
  <r>
    <x v="60"/>
    <x v="5"/>
    <n v="341.87"/>
    <x v="60"/>
  </r>
  <r>
    <x v="60"/>
    <x v="6"/>
    <n v="0"/>
    <x v="60"/>
  </r>
  <r>
    <x v="60"/>
    <x v="7"/>
    <n v="344.14"/>
    <x v="60"/>
  </r>
  <r>
    <x v="60"/>
    <x v="8"/>
    <n v="0"/>
    <x v="60"/>
  </r>
  <r>
    <x v="60"/>
    <x v="9"/>
    <n v="0"/>
    <x v="60"/>
  </r>
  <r>
    <x v="60"/>
    <x v="10"/>
    <n v="87.35"/>
    <x v="60"/>
  </r>
  <r>
    <x v="60"/>
    <x v="11"/>
    <n v="0"/>
    <x v="60"/>
  </r>
  <r>
    <x v="60"/>
    <x v="12"/>
    <n v="0"/>
    <x v="60"/>
  </r>
  <r>
    <x v="60"/>
    <x v="13"/>
    <n v="0"/>
    <x v="60"/>
  </r>
  <r>
    <x v="60"/>
    <x v="14"/>
    <n v="16.399999999999999"/>
    <x v="60"/>
  </r>
  <r>
    <x v="60"/>
    <x v="15"/>
    <n v="117"/>
    <x v="60"/>
  </r>
  <r>
    <x v="61"/>
    <x v="0"/>
    <n v="0"/>
    <x v="61"/>
  </r>
  <r>
    <x v="61"/>
    <x v="1"/>
    <n v="10"/>
    <x v="61"/>
  </r>
  <r>
    <x v="61"/>
    <x v="2"/>
    <n v="0"/>
    <x v="61"/>
  </r>
  <r>
    <x v="61"/>
    <x v="3"/>
    <n v="3"/>
    <x v="61"/>
  </r>
  <r>
    <x v="61"/>
    <x v="4"/>
    <n v="0"/>
    <x v="61"/>
  </r>
  <r>
    <x v="61"/>
    <x v="5"/>
    <n v="1"/>
    <x v="61"/>
  </r>
  <r>
    <x v="61"/>
    <x v="6"/>
    <n v="0"/>
    <x v="61"/>
  </r>
  <r>
    <x v="61"/>
    <x v="7"/>
    <n v="0"/>
    <x v="61"/>
  </r>
  <r>
    <x v="61"/>
    <x v="8"/>
    <n v="0"/>
    <x v="61"/>
  </r>
  <r>
    <x v="61"/>
    <x v="9"/>
    <n v="0"/>
    <x v="61"/>
  </r>
  <r>
    <x v="61"/>
    <x v="10"/>
    <n v="0"/>
    <x v="61"/>
  </r>
  <r>
    <x v="61"/>
    <x v="11"/>
    <n v="0"/>
    <x v="61"/>
  </r>
  <r>
    <x v="61"/>
    <x v="12"/>
    <n v="0"/>
    <x v="61"/>
  </r>
  <r>
    <x v="61"/>
    <x v="13"/>
    <n v="0"/>
    <x v="61"/>
  </r>
  <r>
    <x v="61"/>
    <x v="14"/>
    <n v="0"/>
    <x v="61"/>
  </r>
  <r>
    <x v="61"/>
    <x v="15"/>
    <n v="0.6"/>
    <x v="61"/>
  </r>
  <r>
    <x v="62"/>
    <x v="0"/>
    <n v="0"/>
    <x v="62"/>
  </r>
  <r>
    <x v="62"/>
    <x v="1"/>
    <n v="775.48"/>
    <x v="62"/>
  </r>
  <r>
    <x v="62"/>
    <x v="2"/>
    <n v="0"/>
    <x v="62"/>
  </r>
  <r>
    <x v="62"/>
    <x v="3"/>
    <n v="229.41"/>
    <x v="62"/>
  </r>
  <r>
    <x v="62"/>
    <x v="4"/>
    <n v="0"/>
    <x v="62"/>
  </r>
  <r>
    <x v="62"/>
    <x v="5"/>
    <n v="502"/>
    <x v="62"/>
  </r>
  <r>
    <x v="62"/>
    <x v="6"/>
    <n v="0"/>
    <x v="62"/>
  </r>
  <r>
    <x v="62"/>
    <x v="7"/>
    <n v="483.76"/>
    <x v="62"/>
  </r>
  <r>
    <x v="62"/>
    <x v="8"/>
    <n v="0"/>
    <x v="62"/>
  </r>
  <r>
    <x v="62"/>
    <x v="9"/>
    <n v="835.41"/>
    <x v="62"/>
  </r>
  <r>
    <x v="62"/>
    <x v="10"/>
    <n v="51.62"/>
    <x v="62"/>
  </r>
  <r>
    <x v="62"/>
    <x v="11"/>
    <n v="195.08"/>
    <x v="62"/>
  </r>
  <r>
    <x v="62"/>
    <x v="12"/>
    <n v="0"/>
    <x v="62"/>
  </r>
  <r>
    <x v="62"/>
    <x v="13"/>
    <n v="0"/>
    <x v="62"/>
  </r>
  <r>
    <x v="62"/>
    <x v="14"/>
    <n v="0"/>
    <x v="62"/>
  </r>
  <r>
    <x v="62"/>
    <x v="15"/>
    <n v="246.81"/>
    <x v="62"/>
  </r>
  <r>
    <x v="63"/>
    <x v="0"/>
    <n v="0"/>
    <x v="63"/>
  </r>
  <r>
    <x v="63"/>
    <x v="1"/>
    <n v="699.48"/>
    <x v="63"/>
  </r>
  <r>
    <x v="63"/>
    <x v="2"/>
    <n v="0"/>
    <x v="63"/>
  </r>
  <r>
    <x v="63"/>
    <x v="3"/>
    <n v="253.21"/>
    <x v="63"/>
  </r>
  <r>
    <x v="63"/>
    <x v="4"/>
    <n v="0"/>
    <x v="63"/>
  </r>
  <r>
    <x v="63"/>
    <x v="5"/>
    <n v="521.79999999999995"/>
    <x v="63"/>
  </r>
  <r>
    <x v="63"/>
    <x v="6"/>
    <n v="0"/>
    <x v="63"/>
  </r>
  <r>
    <x v="63"/>
    <x v="7"/>
    <n v="541.20000000000005"/>
    <x v="63"/>
  </r>
  <r>
    <x v="63"/>
    <x v="8"/>
    <n v="0"/>
    <x v="63"/>
  </r>
  <r>
    <x v="63"/>
    <x v="9"/>
    <n v="949.37"/>
    <x v="63"/>
  </r>
  <r>
    <x v="63"/>
    <x v="10"/>
    <n v="16.05"/>
    <x v="63"/>
  </r>
  <r>
    <x v="63"/>
    <x v="11"/>
    <n v="173.89"/>
    <x v="63"/>
  </r>
  <r>
    <x v="63"/>
    <x v="12"/>
    <n v="0"/>
    <x v="63"/>
  </r>
  <r>
    <x v="63"/>
    <x v="13"/>
    <n v="0"/>
    <x v="63"/>
  </r>
  <r>
    <x v="63"/>
    <x v="14"/>
    <n v="78.400000000000006"/>
    <x v="63"/>
  </r>
  <r>
    <x v="63"/>
    <x v="15"/>
    <n v="194.6"/>
    <x v="63"/>
  </r>
  <r>
    <x v="64"/>
    <x v="0"/>
    <n v="0"/>
    <x v="64"/>
  </r>
  <r>
    <x v="64"/>
    <x v="1"/>
    <n v="1243.8699999999999"/>
    <x v="64"/>
  </r>
  <r>
    <x v="64"/>
    <x v="2"/>
    <n v="0"/>
    <x v="64"/>
  </r>
  <r>
    <x v="64"/>
    <x v="3"/>
    <n v="406"/>
    <x v="64"/>
  </r>
  <r>
    <x v="64"/>
    <x v="4"/>
    <n v="0"/>
    <x v="64"/>
  </r>
  <r>
    <x v="64"/>
    <x v="5"/>
    <n v="875.8"/>
    <x v="64"/>
  </r>
  <r>
    <x v="64"/>
    <x v="6"/>
    <n v="0"/>
    <x v="64"/>
  </r>
  <r>
    <x v="64"/>
    <x v="7"/>
    <n v="900.38"/>
    <x v="64"/>
  </r>
  <r>
    <x v="64"/>
    <x v="8"/>
    <n v="0"/>
    <x v="64"/>
  </r>
  <r>
    <x v="64"/>
    <x v="9"/>
    <n v="1627.08"/>
    <x v="64"/>
  </r>
  <r>
    <x v="64"/>
    <x v="10"/>
    <n v="131.65"/>
    <x v="64"/>
  </r>
  <r>
    <x v="64"/>
    <x v="11"/>
    <n v="404.37"/>
    <x v="64"/>
  </r>
  <r>
    <x v="64"/>
    <x v="12"/>
    <n v="0"/>
    <x v="64"/>
  </r>
  <r>
    <x v="64"/>
    <x v="13"/>
    <n v="0"/>
    <x v="64"/>
  </r>
  <r>
    <x v="64"/>
    <x v="14"/>
    <n v="70.2"/>
    <x v="64"/>
  </r>
  <r>
    <x v="64"/>
    <x v="15"/>
    <n v="356.01"/>
    <x v="64"/>
  </r>
  <r>
    <x v="65"/>
    <x v="0"/>
    <n v="0"/>
    <x v="65"/>
  </r>
  <r>
    <x v="65"/>
    <x v="1"/>
    <n v="17.2"/>
    <x v="65"/>
  </r>
  <r>
    <x v="65"/>
    <x v="2"/>
    <n v="0"/>
    <x v="65"/>
  </r>
  <r>
    <x v="65"/>
    <x v="3"/>
    <n v="6"/>
    <x v="65"/>
  </r>
  <r>
    <x v="65"/>
    <x v="4"/>
    <n v="0"/>
    <x v="65"/>
  </r>
  <r>
    <x v="65"/>
    <x v="5"/>
    <n v="13.6"/>
    <x v="65"/>
  </r>
  <r>
    <x v="65"/>
    <x v="6"/>
    <n v="0"/>
    <x v="65"/>
  </r>
  <r>
    <x v="65"/>
    <x v="7"/>
    <n v="12"/>
    <x v="65"/>
  </r>
  <r>
    <x v="65"/>
    <x v="8"/>
    <n v="0"/>
    <x v="65"/>
  </r>
  <r>
    <x v="65"/>
    <x v="9"/>
    <n v="33.53"/>
    <x v="65"/>
  </r>
  <r>
    <x v="65"/>
    <x v="10"/>
    <n v="0"/>
    <x v="65"/>
  </r>
  <r>
    <x v="65"/>
    <x v="11"/>
    <n v="0"/>
    <x v="65"/>
  </r>
  <r>
    <x v="65"/>
    <x v="12"/>
    <n v="0"/>
    <x v="65"/>
  </r>
  <r>
    <x v="65"/>
    <x v="13"/>
    <n v="0"/>
    <x v="65"/>
  </r>
  <r>
    <x v="65"/>
    <x v="14"/>
    <n v="0"/>
    <x v="65"/>
  </r>
  <r>
    <x v="65"/>
    <x v="15"/>
    <n v="2"/>
    <x v="65"/>
  </r>
  <r>
    <x v="66"/>
    <x v="0"/>
    <n v="0"/>
    <x v="66"/>
  </r>
  <r>
    <x v="66"/>
    <x v="1"/>
    <n v="462.41"/>
    <x v="66"/>
  </r>
  <r>
    <x v="66"/>
    <x v="2"/>
    <n v="0"/>
    <x v="66"/>
  </r>
  <r>
    <x v="66"/>
    <x v="3"/>
    <n v="141.6"/>
    <x v="66"/>
  </r>
  <r>
    <x v="66"/>
    <x v="4"/>
    <n v="0"/>
    <x v="66"/>
  </r>
  <r>
    <x v="66"/>
    <x v="5"/>
    <n v="305.02"/>
    <x v="66"/>
  </r>
  <r>
    <x v="66"/>
    <x v="6"/>
    <n v="0"/>
    <x v="66"/>
  </r>
  <r>
    <x v="66"/>
    <x v="7"/>
    <n v="293.89"/>
    <x v="66"/>
  </r>
  <r>
    <x v="66"/>
    <x v="8"/>
    <n v="0"/>
    <x v="66"/>
  </r>
  <r>
    <x v="66"/>
    <x v="9"/>
    <n v="522.04999999999995"/>
    <x v="66"/>
  </r>
  <r>
    <x v="66"/>
    <x v="10"/>
    <n v="61.98"/>
    <x v="66"/>
  </r>
  <r>
    <x v="66"/>
    <x v="11"/>
    <n v="131.96"/>
    <x v="66"/>
  </r>
  <r>
    <x v="66"/>
    <x v="12"/>
    <n v="0"/>
    <x v="66"/>
  </r>
  <r>
    <x v="66"/>
    <x v="13"/>
    <n v="0"/>
    <x v="66"/>
  </r>
  <r>
    <x v="66"/>
    <x v="14"/>
    <n v="47.4"/>
    <x v="66"/>
  </r>
  <r>
    <x v="66"/>
    <x v="15"/>
    <n v="115.4"/>
    <x v="66"/>
  </r>
  <r>
    <x v="67"/>
    <x v="0"/>
    <n v="0"/>
    <x v="67"/>
  </r>
  <r>
    <x v="67"/>
    <x v="1"/>
    <n v="4490.38"/>
    <x v="67"/>
  </r>
  <r>
    <x v="67"/>
    <x v="2"/>
    <n v="0"/>
    <x v="67"/>
  </r>
  <r>
    <x v="67"/>
    <x v="3"/>
    <n v="1425.29"/>
    <x v="67"/>
  </r>
  <r>
    <x v="67"/>
    <x v="4"/>
    <n v="0"/>
    <x v="67"/>
  </r>
  <r>
    <x v="67"/>
    <x v="5"/>
    <n v="2934.2"/>
    <x v="67"/>
  </r>
  <r>
    <x v="67"/>
    <x v="6"/>
    <n v="0"/>
    <x v="67"/>
  </r>
  <r>
    <x v="67"/>
    <x v="7"/>
    <n v="2795.84"/>
    <x v="67"/>
  </r>
  <r>
    <x v="67"/>
    <x v="8"/>
    <n v="0"/>
    <x v="67"/>
  </r>
  <r>
    <x v="67"/>
    <x v="9"/>
    <n v="5367.29"/>
    <x v="67"/>
  </r>
  <r>
    <x v="67"/>
    <x v="10"/>
    <n v="98.16"/>
    <x v="67"/>
  </r>
  <r>
    <x v="67"/>
    <x v="11"/>
    <n v="980.84"/>
    <x v="67"/>
  </r>
  <r>
    <x v="67"/>
    <x v="12"/>
    <n v="0"/>
    <x v="67"/>
  </r>
  <r>
    <x v="67"/>
    <x v="13"/>
    <n v="0"/>
    <x v="67"/>
  </r>
  <r>
    <x v="67"/>
    <x v="14"/>
    <n v="0"/>
    <x v="67"/>
  </r>
  <r>
    <x v="67"/>
    <x v="15"/>
    <n v="1437.97"/>
    <x v="67"/>
  </r>
  <r>
    <x v="68"/>
    <x v="0"/>
    <n v="0"/>
    <x v="68"/>
  </r>
  <r>
    <x v="68"/>
    <x v="1"/>
    <n v="702.06"/>
    <x v="68"/>
  </r>
  <r>
    <x v="68"/>
    <x v="2"/>
    <n v="0"/>
    <x v="68"/>
  </r>
  <r>
    <x v="68"/>
    <x v="3"/>
    <n v="254.83"/>
    <x v="68"/>
  </r>
  <r>
    <x v="68"/>
    <x v="4"/>
    <n v="0"/>
    <x v="68"/>
  </r>
  <r>
    <x v="68"/>
    <x v="5"/>
    <n v="478.6"/>
    <x v="68"/>
  </r>
  <r>
    <x v="68"/>
    <x v="6"/>
    <n v="0"/>
    <x v="68"/>
  </r>
  <r>
    <x v="68"/>
    <x v="7"/>
    <n v="512.99"/>
    <x v="68"/>
  </r>
  <r>
    <x v="68"/>
    <x v="8"/>
    <n v="0"/>
    <x v="68"/>
  </r>
  <r>
    <x v="68"/>
    <x v="9"/>
    <n v="844.36"/>
    <x v="68"/>
  </r>
  <r>
    <x v="68"/>
    <x v="10"/>
    <n v="24.77"/>
    <x v="68"/>
  </r>
  <r>
    <x v="68"/>
    <x v="11"/>
    <n v="190.43"/>
    <x v="68"/>
  </r>
  <r>
    <x v="68"/>
    <x v="12"/>
    <n v="0"/>
    <x v="68"/>
  </r>
  <r>
    <x v="68"/>
    <x v="13"/>
    <n v="0"/>
    <x v="68"/>
  </r>
  <r>
    <x v="68"/>
    <x v="14"/>
    <n v="35.200000000000003"/>
    <x v="68"/>
  </r>
  <r>
    <x v="68"/>
    <x v="15"/>
    <n v="216.51"/>
    <x v="68"/>
  </r>
  <r>
    <x v="69"/>
    <x v="0"/>
    <n v="0"/>
    <x v="69"/>
  </r>
  <r>
    <x v="69"/>
    <x v="1"/>
    <n v="344.63"/>
    <x v="69"/>
  </r>
  <r>
    <x v="69"/>
    <x v="2"/>
    <n v="0"/>
    <x v="69"/>
  </r>
  <r>
    <x v="69"/>
    <x v="3"/>
    <n v="93.7"/>
    <x v="69"/>
  </r>
  <r>
    <x v="69"/>
    <x v="4"/>
    <n v="0"/>
    <x v="69"/>
  </r>
  <r>
    <x v="69"/>
    <x v="5"/>
    <n v="195.91"/>
    <x v="69"/>
  </r>
  <r>
    <x v="69"/>
    <x v="6"/>
    <n v="0"/>
    <x v="69"/>
  </r>
  <r>
    <x v="69"/>
    <x v="7"/>
    <n v="224.33"/>
    <x v="69"/>
  </r>
  <r>
    <x v="69"/>
    <x v="8"/>
    <n v="0"/>
    <x v="69"/>
  </r>
  <r>
    <x v="69"/>
    <x v="9"/>
    <n v="494.99"/>
    <x v="69"/>
  </r>
  <r>
    <x v="69"/>
    <x v="10"/>
    <n v="69.06"/>
    <x v="69"/>
  </r>
  <r>
    <x v="69"/>
    <x v="11"/>
    <n v="337.05"/>
    <x v="69"/>
  </r>
  <r>
    <x v="69"/>
    <x v="12"/>
    <n v="0"/>
    <x v="69"/>
  </r>
  <r>
    <x v="69"/>
    <x v="13"/>
    <n v="0"/>
    <x v="69"/>
  </r>
  <r>
    <x v="69"/>
    <x v="14"/>
    <n v="12.6"/>
    <x v="69"/>
  </r>
  <r>
    <x v="69"/>
    <x v="15"/>
    <n v="98.6"/>
    <x v="69"/>
  </r>
  <r>
    <x v="70"/>
    <x v="0"/>
    <n v="0"/>
    <x v="70"/>
  </r>
  <r>
    <x v="70"/>
    <x v="1"/>
    <n v="17"/>
    <x v="70"/>
  </r>
  <r>
    <x v="70"/>
    <x v="2"/>
    <n v="0"/>
    <x v="70"/>
  </r>
  <r>
    <x v="70"/>
    <x v="3"/>
    <n v="7.2"/>
    <x v="70"/>
  </r>
  <r>
    <x v="70"/>
    <x v="4"/>
    <n v="0"/>
    <x v="70"/>
  </r>
  <r>
    <x v="70"/>
    <x v="5"/>
    <n v="10.199999999999999"/>
    <x v="70"/>
  </r>
  <r>
    <x v="70"/>
    <x v="6"/>
    <n v="0"/>
    <x v="70"/>
  </r>
  <r>
    <x v="70"/>
    <x v="7"/>
    <n v="11"/>
    <x v="70"/>
  </r>
  <r>
    <x v="70"/>
    <x v="8"/>
    <n v="0"/>
    <x v="70"/>
  </r>
  <r>
    <x v="70"/>
    <x v="9"/>
    <n v="19.2"/>
    <x v="70"/>
  </r>
  <r>
    <x v="70"/>
    <x v="10"/>
    <n v="0"/>
    <x v="70"/>
  </r>
  <r>
    <x v="70"/>
    <x v="11"/>
    <n v="0"/>
    <x v="70"/>
  </r>
  <r>
    <x v="70"/>
    <x v="12"/>
    <n v="0"/>
    <x v="70"/>
  </r>
  <r>
    <x v="70"/>
    <x v="13"/>
    <n v="0"/>
    <x v="70"/>
  </r>
  <r>
    <x v="70"/>
    <x v="14"/>
    <n v="0"/>
    <x v="70"/>
  </r>
  <r>
    <x v="70"/>
    <x v="15"/>
    <n v="6"/>
    <x v="70"/>
  </r>
  <r>
    <x v="71"/>
    <x v="0"/>
    <n v="0"/>
    <x v="71"/>
  </r>
  <r>
    <x v="71"/>
    <x v="1"/>
    <n v="108.2"/>
    <x v="71"/>
  </r>
  <r>
    <x v="71"/>
    <x v="2"/>
    <n v="0"/>
    <x v="71"/>
  </r>
  <r>
    <x v="71"/>
    <x v="3"/>
    <n v="35"/>
    <x v="71"/>
  </r>
  <r>
    <x v="71"/>
    <x v="4"/>
    <n v="0"/>
    <x v="71"/>
  </r>
  <r>
    <x v="71"/>
    <x v="5"/>
    <n v="76.599999999999994"/>
    <x v="71"/>
  </r>
  <r>
    <x v="71"/>
    <x v="6"/>
    <n v="0"/>
    <x v="71"/>
  </r>
  <r>
    <x v="71"/>
    <x v="7"/>
    <n v="53.55"/>
    <x v="71"/>
  </r>
  <r>
    <x v="71"/>
    <x v="8"/>
    <n v="0"/>
    <x v="71"/>
  </r>
  <r>
    <x v="71"/>
    <x v="9"/>
    <n v="92.44"/>
    <x v="71"/>
  </r>
  <r>
    <x v="71"/>
    <x v="10"/>
    <n v="13.73"/>
    <x v="71"/>
  </r>
  <r>
    <x v="71"/>
    <x v="11"/>
    <n v="15.69"/>
    <x v="71"/>
  </r>
  <r>
    <x v="71"/>
    <x v="12"/>
    <n v="0"/>
    <x v="71"/>
  </r>
  <r>
    <x v="71"/>
    <x v="13"/>
    <n v="0"/>
    <x v="71"/>
  </r>
  <r>
    <x v="71"/>
    <x v="14"/>
    <n v="0"/>
    <x v="71"/>
  </r>
  <r>
    <x v="71"/>
    <x v="15"/>
    <n v="32.6"/>
    <x v="71"/>
  </r>
  <r>
    <x v="72"/>
    <x v="0"/>
    <n v="0"/>
    <x v="72"/>
  </r>
  <r>
    <x v="72"/>
    <x v="1"/>
    <n v="983.78"/>
    <x v="72"/>
  </r>
  <r>
    <x v="72"/>
    <x v="2"/>
    <n v="0"/>
    <x v="72"/>
  </r>
  <r>
    <x v="72"/>
    <x v="3"/>
    <n v="317.13"/>
    <x v="72"/>
  </r>
  <r>
    <x v="72"/>
    <x v="4"/>
    <n v="0"/>
    <x v="72"/>
  </r>
  <r>
    <x v="72"/>
    <x v="5"/>
    <n v="703.65"/>
    <x v="72"/>
  </r>
  <r>
    <x v="72"/>
    <x v="6"/>
    <n v="0"/>
    <x v="72"/>
  </r>
  <r>
    <x v="72"/>
    <x v="7"/>
    <n v="672.19"/>
    <x v="72"/>
  </r>
  <r>
    <x v="72"/>
    <x v="8"/>
    <n v="0"/>
    <x v="72"/>
  </r>
  <r>
    <x v="72"/>
    <x v="9"/>
    <n v="1172.31"/>
    <x v="72"/>
  </r>
  <r>
    <x v="72"/>
    <x v="10"/>
    <n v="150.91"/>
    <x v="72"/>
  </r>
  <r>
    <x v="72"/>
    <x v="11"/>
    <n v="455.88"/>
    <x v="72"/>
  </r>
  <r>
    <x v="72"/>
    <x v="12"/>
    <n v="0"/>
    <x v="72"/>
  </r>
  <r>
    <x v="72"/>
    <x v="13"/>
    <n v="0"/>
    <x v="72"/>
  </r>
  <r>
    <x v="72"/>
    <x v="14"/>
    <n v="40"/>
    <x v="72"/>
  </r>
  <r>
    <x v="72"/>
    <x v="15"/>
    <n v="338.65"/>
    <x v="72"/>
  </r>
  <r>
    <x v="73"/>
    <x v="0"/>
    <n v="0"/>
    <x v="73"/>
  </r>
  <r>
    <x v="73"/>
    <x v="1"/>
    <n v="546.4"/>
    <x v="73"/>
  </r>
  <r>
    <x v="73"/>
    <x v="2"/>
    <n v="0"/>
    <x v="73"/>
  </r>
  <r>
    <x v="73"/>
    <x v="3"/>
    <n v="207.2"/>
    <x v="73"/>
  </r>
  <r>
    <x v="73"/>
    <x v="4"/>
    <n v="0"/>
    <x v="73"/>
  </r>
  <r>
    <x v="73"/>
    <x v="5"/>
    <n v="417.09"/>
    <x v="73"/>
  </r>
  <r>
    <x v="73"/>
    <x v="6"/>
    <n v="0"/>
    <x v="73"/>
  </r>
  <r>
    <x v="73"/>
    <x v="7"/>
    <n v="449.69"/>
    <x v="73"/>
  </r>
  <r>
    <x v="73"/>
    <x v="8"/>
    <n v="0"/>
    <x v="73"/>
  </r>
  <r>
    <x v="73"/>
    <x v="9"/>
    <n v="778.76"/>
    <x v="73"/>
  </r>
  <r>
    <x v="73"/>
    <x v="10"/>
    <n v="52.39"/>
    <x v="73"/>
  </r>
  <r>
    <x v="73"/>
    <x v="11"/>
    <n v="223.66"/>
    <x v="73"/>
  </r>
  <r>
    <x v="73"/>
    <x v="12"/>
    <n v="0"/>
    <x v="73"/>
  </r>
  <r>
    <x v="73"/>
    <x v="13"/>
    <n v="0"/>
    <x v="73"/>
  </r>
  <r>
    <x v="73"/>
    <x v="14"/>
    <n v="0"/>
    <x v="73"/>
  </r>
  <r>
    <x v="73"/>
    <x v="15"/>
    <n v="192.55"/>
    <x v="73"/>
  </r>
  <r>
    <x v="74"/>
    <x v="0"/>
    <n v="0"/>
    <x v="74"/>
  </r>
  <r>
    <x v="74"/>
    <x v="1"/>
    <n v="0"/>
    <x v="74"/>
  </r>
  <r>
    <x v="74"/>
    <x v="2"/>
    <n v="0"/>
    <x v="74"/>
  </r>
  <r>
    <x v="74"/>
    <x v="3"/>
    <n v="0"/>
    <x v="74"/>
  </r>
  <r>
    <x v="74"/>
    <x v="4"/>
    <n v="0"/>
    <x v="74"/>
  </r>
  <r>
    <x v="74"/>
    <x v="5"/>
    <n v="0"/>
    <x v="74"/>
  </r>
  <r>
    <x v="74"/>
    <x v="6"/>
    <n v="0"/>
    <x v="74"/>
  </r>
  <r>
    <x v="74"/>
    <x v="7"/>
    <n v="0"/>
    <x v="74"/>
  </r>
  <r>
    <x v="74"/>
    <x v="8"/>
    <n v="0"/>
    <x v="74"/>
  </r>
  <r>
    <x v="74"/>
    <x v="9"/>
    <n v="0"/>
    <x v="74"/>
  </r>
  <r>
    <x v="74"/>
    <x v="10"/>
    <n v="0"/>
    <x v="74"/>
  </r>
  <r>
    <x v="74"/>
    <x v="11"/>
    <n v="0"/>
    <x v="74"/>
  </r>
  <r>
    <x v="74"/>
    <x v="12"/>
    <n v="0"/>
    <x v="74"/>
  </r>
  <r>
    <x v="74"/>
    <x v="13"/>
    <n v="0"/>
    <x v="74"/>
  </r>
  <r>
    <x v="74"/>
    <x v="14"/>
    <n v="0"/>
    <x v="74"/>
  </r>
  <r>
    <x v="74"/>
    <x v="15"/>
    <n v="0"/>
    <x v="74"/>
  </r>
  <r>
    <x v="75"/>
    <x v="0"/>
    <n v="0"/>
    <x v="75"/>
  </r>
  <r>
    <x v="75"/>
    <x v="1"/>
    <n v="23.8"/>
    <x v="75"/>
  </r>
  <r>
    <x v="75"/>
    <x v="2"/>
    <n v="0"/>
    <x v="75"/>
  </r>
  <r>
    <x v="75"/>
    <x v="3"/>
    <n v="8"/>
    <x v="75"/>
  </r>
  <r>
    <x v="75"/>
    <x v="4"/>
    <n v="0"/>
    <x v="75"/>
  </r>
  <r>
    <x v="75"/>
    <x v="5"/>
    <n v="11.4"/>
    <x v="75"/>
  </r>
  <r>
    <x v="75"/>
    <x v="6"/>
    <n v="0"/>
    <x v="75"/>
  </r>
  <r>
    <x v="75"/>
    <x v="7"/>
    <n v="0"/>
    <x v="75"/>
  </r>
  <r>
    <x v="75"/>
    <x v="8"/>
    <n v="0"/>
    <x v="75"/>
  </r>
  <r>
    <x v="75"/>
    <x v="9"/>
    <n v="0"/>
    <x v="75"/>
  </r>
  <r>
    <x v="75"/>
    <x v="10"/>
    <n v="0"/>
    <x v="75"/>
  </r>
  <r>
    <x v="75"/>
    <x v="11"/>
    <n v="0"/>
    <x v="75"/>
  </r>
  <r>
    <x v="75"/>
    <x v="12"/>
    <n v="0"/>
    <x v="75"/>
  </r>
  <r>
    <x v="75"/>
    <x v="13"/>
    <n v="0"/>
    <x v="75"/>
  </r>
  <r>
    <x v="75"/>
    <x v="14"/>
    <n v="3"/>
    <x v="75"/>
  </r>
  <r>
    <x v="75"/>
    <x v="15"/>
    <n v="7"/>
    <x v="75"/>
  </r>
  <r>
    <x v="76"/>
    <x v="0"/>
    <n v="0"/>
    <x v="76"/>
  </r>
  <r>
    <x v="76"/>
    <x v="1"/>
    <n v="4860.6400000000003"/>
    <x v="76"/>
  </r>
  <r>
    <x v="76"/>
    <x v="2"/>
    <n v="0"/>
    <x v="76"/>
  </r>
  <r>
    <x v="76"/>
    <x v="3"/>
    <n v="1574.17"/>
    <x v="76"/>
  </r>
  <r>
    <x v="76"/>
    <x v="4"/>
    <n v="0"/>
    <x v="76"/>
  </r>
  <r>
    <x v="76"/>
    <x v="5"/>
    <n v="3178.62"/>
    <x v="76"/>
  </r>
  <r>
    <x v="76"/>
    <x v="6"/>
    <n v="0"/>
    <x v="76"/>
  </r>
  <r>
    <x v="76"/>
    <x v="7"/>
    <n v="3017.19"/>
    <x v="76"/>
  </r>
  <r>
    <x v="76"/>
    <x v="8"/>
    <n v="0"/>
    <x v="76"/>
  </r>
  <r>
    <x v="76"/>
    <x v="9"/>
    <n v="4872.3599999999997"/>
    <x v="76"/>
  </r>
  <r>
    <x v="76"/>
    <x v="10"/>
    <n v="477.07"/>
    <x v="76"/>
  </r>
  <r>
    <x v="76"/>
    <x v="11"/>
    <n v="1213.03"/>
    <x v="76"/>
  </r>
  <r>
    <x v="76"/>
    <x v="12"/>
    <n v="0"/>
    <x v="76"/>
  </r>
  <r>
    <x v="76"/>
    <x v="13"/>
    <n v="0"/>
    <x v="76"/>
  </r>
  <r>
    <x v="76"/>
    <x v="14"/>
    <n v="0"/>
    <x v="76"/>
  </r>
  <r>
    <x v="76"/>
    <x v="15"/>
    <n v="1479.96"/>
    <x v="76"/>
  </r>
  <r>
    <x v="77"/>
    <x v="0"/>
    <n v="0"/>
    <x v="77"/>
  </r>
  <r>
    <x v="77"/>
    <x v="1"/>
    <n v="4420.05"/>
    <x v="77"/>
  </r>
  <r>
    <x v="77"/>
    <x v="2"/>
    <n v="0"/>
    <x v="77"/>
  </r>
  <r>
    <x v="77"/>
    <x v="3"/>
    <n v="1533.9"/>
    <x v="77"/>
  </r>
  <r>
    <x v="77"/>
    <x v="4"/>
    <n v="0"/>
    <x v="77"/>
  </r>
  <r>
    <x v="77"/>
    <x v="5"/>
    <n v="3140"/>
    <x v="77"/>
  </r>
  <r>
    <x v="77"/>
    <x v="6"/>
    <n v="0"/>
    <x v="77"/>
  </r>
  <r>
    <x v="77"/>
    <x v="7"/>
    <n v="3182.14"/>
    <x v="77"/>
  </r>
  <r>
    <x v="77"/>
    <x v="8"/>
    <n v="0"/>
    <x v="77"/>
  </r>
  <r>
    <x v="77"/>
    <x v="9"/>
    <n v="7353.75"/>
    <x v="77"/>
  </r>
  <r>
    <x v="77"/>
    <x v="10"/>
    <n v="179.45"/>
    <x v="77"/>
  </r>
  <r>
    <x v="77"/>
    <x v="11"/>
    <n v="2044.69"/>
    <x v="77"/>
  </r>
  <r>
    <x v="77"/>
    <x v="12"/>
    <n v="0"/>
    <x v="77"/>
  </r>
  <r>
    <x v="77"/>
    <x v="13"/>
    <n v="786.87"/>
    <x v="77"/>
  </r>
  <r>
    <x v="77"/>
    <x v="14"/>
    <n v="66.52"/>
    <x v="77"/>
  </r>
  <r>
    <x v="77"/>
    <x v="15"/>
    <n v="1368.24"/>
    <x v="77"/>
  </r>
  <r>
    <x v="78"/>
    <x v="0"/>
    <n v="0"/>
    <x v="78"/>
  </r>
  <r>
    <x v="78"/>
    <x v="1"/>
    <n v="15.8"/>
    <x v="78"/>
  </r>
  <r>
    <x v="78"/>
    <x v="2"/>
    <n v="0"/>
    <x v="78"/>
  </r>
  <r>
    <x v="78"/>
    <x v="3"/>
    <n v="6"/>
    <x v="78"/>
  </r>
  <r>
    <x v="78"/>
    <x v="4"/>
    <n v="0"/>
    <x v="78"/>
  </r>
  <r>
    <x v="78"/>
    <x v="5"/>
    <n v="12.8"/>
    <x v="78"/>
  </r>
  <r>
    <x v="78"/>
    <x v="6"/>
    <n v="0"/>
    <x v="78"/>
  </r>
  <r>
    <x v="78"/>
    <x v="7"/>
    <n v="0"/>
    <x v="78"/>
  </r>
  <r>
    <x v="78"/>
    <x v="8"/>
    <n v="0"/>
    <x v="78"/>
  </r>
  <r>
    <x v="78"/>
    <x v="9"/>
    <n v="0"/>
    <x v="78"/>
  </r>
  <r>
    <x v="78"/>
    <x v="10"/>
    <n v="0"/>
    <x v="78"/>
  </r>
  <r>
    <x v="78"/>
    <x v="11"/>
    <n v="0"/>
    <x v="78"/>
  </r>
  <r>
    <x v="78"/>
    <x v="12"/>
    <n v="0"/>
    <x v="78"/>
  </r>
  <r>
    <x v="78"/>
    <x v="13"/>
    <n v="0"/>
    <x v="78"/>
  </r>
  <r>
    <x v="78"/>
    <x v="14"/>
    <n v="0"/>
    <x v="78"/>
  </r>
  <r>
    <x v="78"/>
    <x v="15"/>
    <n v="5.6"/>
    <x v="78"/>
  </r>
  <r>
    <x v="79"/>
    <x v="0"/>
    <n v="0"/>
    <x v="79"/>
  </r>
  <r>
    <x v="79"/>
    <x v="1"/>
    <n v="4842.3500000000004"/>
    <x v="79"/>
  </r>
  <r>
    <x v="79"/>
    <x v="2"/>
    <n v="0"/>
    <x v="79"/>
  </r>
  <r>
    <x v="79"/>
    <x v="3"/>
    <n v="1483.96"/>
    <x v="79"/>
  </r>
  <r>
    <x v="79"/>
    <x v="4"/>
    <n v="0"/>
    <x v="79"/>
  </r>
  <r>
    <x v="79"/>
    <x v="5"/>
    <n v="3167.27"/>
    <x v="79"/>
  </r>
  <r>
    <x v="79"/>
    <x v="6"/>
    <n v="0"/>
    <x v="79"/>
  </r>
  <r>
    <x v="79"/>
    <x v="7"/>
    <n v="3166.64"/>
    <x v="79"/>
  </r>
  <r>
    <x v="79"/>
    <x v="8"/>
    <n v="0"/>
    <x v="79"/>
  </r>
  <r>
    <x v="79"/>
    <x v="9"/>
    <n v="5796.47"/>
    <x v="79"/>
  </r>
  <r>
    <x v="79"/>
    <x v="10"/>
    <n v="115.9"/>
    <x v="79"/>
  </r>
  <r>
    <x v="79"/>
    <x v="11"/>
    <n v="1239.33"/>
    <x v="79"/>
  </r>
  <r>
    <x v="79"/>
    <x v="12"/>
    <n v="0"/>
    <x v="79"/>
  </r>
  <r>
    <x v="79"/>
    <x v="13"/>
    <n v="0"/>
    <x v="79"/>
  </r>
  <r>
    <x v="79"/>
    <x v="14"/>
    <n v="108.4"/>
    <x v="79"/>
  </r>
  <r>
    <x v="79"/>
    <x v="15"/>
    <n v="1474.11"/>
    <x v="79"/>
  </r>
  <r>
    <x v="80"/>
    <x v="0"/>
    <n v="0"/>
    <x v="80"/>
  </r>
  <r>
    <x v="80"/>
    <x v="1"/>
    <n v="1022.44"/>
    <x v="80"/>
  </r>
  <r>
    <x v="80"/>
    <x v="2"/>
    <n v="0"/>
    <x v="80"/>
  </r>
  <r>
    <x v="80"/>
    <x v="3"/>
    <n v="350.02"/>
    <x v="80"/>
  </r>
  <r>
    <x v="80"/>
    <x v="4"/>
    <n v="0"/>
    <x v="80"/>
  </r>
  <r>
    <x v="80"/>
    <x v="5"/>
    <n v="712.53"/>
    <x v="80"/>
  </r>
  <r>
    <x v="80"/>
    <x v="6"/>
    <n v="0"/>
    <x v="80"/>
  </r>
  <r>
    <x v="80"/>
    <x v="7"/>
    <n v="625.04"/>
    <x v="80"/>
  </r>
  <r>
    <x v="80"/>
    <x v="8"/>
    <n v="0"/>
    <x v="80"/>
  </r>
  <r>
    <x v="80"/>
    <x v="9"/>
    <n v="1225.57"/>
    <x v="80"/>
  </r>
  <r>
    <x v="80"/>
    <x v="10"/>
    <n v="17.59"/>
    <x v="80"/>
  </r>
  <r>
    <x v="80"/>
    <x v="11"/>
    <n v="383.37"/>
    <x v="80"/>
  </r>
  <r>
    <x v="80"/>
    <x v="12"/>
    <n v="0"/>
    <x v="80"/>
  </r>
  <r>
    <x v="80"/>
    <x v="13"/>
    <n v="0"/>
    <x v="80"/>
  </r>
  <r>
    <x v="80"/>
    <x v="14"/>
    <n v="101"/>
    <x v="80"/>
  </r>
  <r>
    <x v="80"/>
    <x v="15"/>
    <n v="319.64"/>
    <x v="80"/>
  </r>
  <r>
    <x v="81"/>
    <x v="0"/>
    <n v="0"/>
    <x v="81"/>
  </r>
  <r>
    <x v="81"/>
    <x v="1"/>
    <n v="882.6"/>
    <x v="81"/>
  </r>
  <r>
    <x v="81"/>
    <x v="2"/>
    <n v="0"/>
    <x v="81"/>
  </r>
  <r>
    <x v="81"/>
    <x v="3"/>
    <n v="304.60000000000002"/>
    <x v="81"/>
  </r>
  <r>
    <x v="81"/>
    <x v="4"/>
    <n v="0"/>
    <x v="81"/>
  </r>
  <r>
    <x v="81"/>
    <x v="5"/>
    <n v="611.65"/>
    <x v="81"/>
  </r>
  <r>
    <x v="81"/>
    <x v="6"/>
    <n v="0"/>
    <x v="81"/>
  </r>
  <r>
    <x v="81"/>
    <x v="7"/>
    <n v="634.42999999999995"/>
    <x v="81"/>
  </r>
  <r>
    <x v="81"/>
    <x v="8"/>
    <n v="0"/>
    <x v="81"/>
  </r>
  <r>
    <x v="81"/>
    <x v="9"/>
    <n v="1065.02"/>
    <x v="81"/>
  </r>
  <r>
    <x v="81"/>
    <x v="10"/>
    <n v="65.8"/>
    <x v="81"/>
  </r>
  <r>
    <x v="81"/>
    <x v="11"/>
    <n v="320.72000000000003"/>
    <x v="81"/>
  </r>
  <r>
    <x v="81"/>
    <x v="12"/>
    <n v="0"/>
    <x v="81"/>
  </r>
  <r>
    <x v="81"/>
    <x v="13"/>
    <n v="0"/>
    <x v="81"/>
  </r>
  <r>
    <x v="81"/>
    <x v="14"/>
    <n v="0"/>
    <x v="81"/>
  </r>
  <r>
    <x v="81"/>
    <x v="15"/>
    <n v="289.82"/>
    <x v="81"/>
  </r>
  <r>
    <x v="82"/>
    <x v="0"/>
    <n v="0"/>
    <x v="82"/>
  </r>
  <r>
    <x v="82"/>
    <x v="1"/>
    <n v="177.01"/>
    <x v="82"/>
  </r>
  <r>
    <x v="82"/>
    <x v="2"/>
    <n v="0"/>
    <x v="82"/>
  </r>
  <r>
    <x v="82"/>
    <x v="3"/>
    <n v="56"/>
    <x v="82"/>
  </r>
  <r>
    <x v="82"/>
    <x v="4"/>
    <n v="0"/>
    <x v="82"/>
  </r>
  <r>
    <x v="82"/>
    <x v="5"/>
    <n v="137.19999999999999"/>
    <x v="82"/>
  </r>
  <r>
    <x v="82"/>
    <x v="6"/>
    <n v="0"/>
    <x v="82"/>
  </r>
  <r>
    <x v="82"/>
    <x v="7"/>
    <n v="133.47999999999999"/>
    <x v="82"/>
  </r>
  <r>
    <x v="82"/>
    <x v="8"/>
    <n v="0"/>
    <x v="82"/>
  </r>
  <r>
    <x v="82"/>
    <x v="9"/>
    <n v="276.63"/>
    <x v="82"/>
  </r>
  <r>
    <x v="82"/>
    <x v="10"/>
    <n v="5.43"/>
    <x v="82"/>
  </r>
  <r>
    <x v="82"/>
    <x v="11"/>
    <n v="75.44"/>
    <x v="82"/>
  </r>
  <r>
    <x v="82"/>
    <x v="12"/>
    <n v="0"/>
    <x v="82"/>
  </r>
  <r>
    <x v="82"/>
    <x v="13"/>
    <n v="0"/>
    <x v="82"/>
  </r>
  <r>
    <x v="82"/>
    <x v="14"/>
    <n v="0"/>
    <x v="82"/>
  </r>
  <r>
    <x v="82"/>
    <x v="15"/>
    <n v="52.21"/>
    <x v="82"/>
  </r>
  <r>
    <x v="83"/>
    <x v="0"/>
    <n v="0"/>
    <x v="83"/>
  </r>
  <r>
    <x v="83"/>
    <x v="1"/>
    <n v="1639.8"/>
    <x v="83"/>
  </r>
  <r>
    <x v="83"/>
    <x v="2"/>
    <n v="0"/>
    <x v="83"/>
  </r>
  <r>
    <x v="83"/>
    <x v="3"/>
    <n v="557.6"/>
    <x v="83"/>
  </r>
  <r>
    <x v="83"/>
    <x v="4"/>
    <n v="0"/>
    <x v="83"/>
  </r>
  <r>
    <x v="83"/>
    <x v="5"/>
    <n v="1123.0999999999999"/>
    <x v="83"/>
  </r>
  <r>
    <x v="83"/>
    <x v="6"/>
    <n v="0"/>
    <x v="83"/>
  </r>
  <r>
    <x v="83"/>
    <x v="7"/>
    <n v="1037.77"/>
    <x v="83"/>
  </r>
  <r>
    <x v="83"/>
    <x v="8"/>
    <n v="0"/>
    <x v="83"/>
  </r>
  <r>
    <x v="83"/>
    <x v="9"/>
    <n v="1982.23"/>
    <x v="83"/>
  </r>
  <r>
    <x v="83"/>
    <x v="10"/>
    <n v="110.26"/>
    <x v="83"/>
  </r>
  <r>
    <x v="83"/>
    <x v="11"/>
    <n v="414.17"/>
    <x v="83"/>
  </r>
  <r>
    <x v="83"/>
    <x v="12"/>
    <n v="0"/>
    <x v="83"/>
  </r>
  <r>
    <x v="83"/>
    <x v="13"/>
    <n v="0"/>
    <x v="83"/>
  </r>
  <r>
    <x v="83"/>
    <x v="14"/>
    <n v="0"/>
    <x v="83"/>
  </r>
  <r>
    <x v="83"/>
    <x v="15"/>
    <n v="470.4"/>
    <x v="83"/>
  </r>
  <r>
    <x v="84"/>
    <x v="0"/>
    <n v="0"/>
    <x v="84"/>
  </r>
  <r>
    <x v="84"/>
    <x v="1"/>
    <n v="187.6"/>
    <x v="84"/>
  </r>
  <r>
    <x v="84"/>
    <x v="2"/>
    <n v="0"/>
    <x v="84"/>
  </r>
  <r>
    <x v="84"/>
    <x v="3"/>
    <n v="56.6"/>
    <x v="84"/>
  </r>
  <r>
    <x v="84"/>
    <x v="4"/>
    <n v="0"/>
    <x v="84"/>
  </r>
  <r>
    <x v="84"/>
    <x v="5"/>
    <n v="124.2"/>
    <x v="84"/>
  </r>
  <r>
    <x v="84"/>
    <x v="6"/>
    <n v="0"/>
    <x v="84"/>
  </r>
  <r>
    <x v="84"/>
    <x v="7"/>
    <n v="130.71"/>
    <x v="84"/>
  </r>
  <r>
    <x v="84"/>
    <x v="8"/>
    <n v="0"/>
    <x v="84"/>
  </r>
  <r>
    <x v="84"/>
    <x v="9"/>
    <n v="265.79000000000002"/>
    <x v="84"/>
  </r>
  <r>
    <x v="84"/>
    <x v="10"/>
    <n v="28.07"/>
    <x v="84"/>
  </r>
  <r>
    <x v="84"/>
    <x v="11"/>
    <n v="106.18"/>
    <x v="84"/>
  </r>
  <r>
    <x v="84"/>
    <x v="12"/>
    <n v="0"/>
    <x v="84"/>
  </r>
  <r>
    <x v="84"/>
    <x v="13"/>
    <n v="0"/>
    <x v="84"/>
  </r>
  <r>
    <x v="84"/>
    <x v="14"/>
    <n v="44"/>
    <x v="84"/>
  </r>
  <r>
    <x v="84"/>
    <x v="15"/>
    <n v="41.8"/>
    <x v="84"/>
  </r>
  <r>
    <x v="85"/>
    <x v="0"/>
    <n v="0"/>
    <x v="85"/>
  </r>
  <r>
    <x v="85"/>
    <x v="1"/>
    <n v="22"/>
    <x v="85"/>
  </r>
  <r>
    <x v="85"/>
    <x v="2"/>
    <n v="0"/>
    <x v="85"/>
  </r>
  <r>
    <x v="85"/>
    <x v="3"/>
    <n v="8"/>
    <x v="85"/>
  </r>
  <r>
    <x v="85"/>
    <x v="4"/>
    <n v="0"/>
    <x v="85"/>
  </r>
  <r>
    <x v="85"/>
    <x v="5"/>
    <n v="22.68"/>
    <x v="85"/>
  </r>
  <r>
    <x v="85"/>
    <x v="6"/>
    <n v="0"/>
    <x v="85"/>
  </r>
  <r>
    <x v="85"/>
    <x v="7"/>
    <n v="14.8"/>
    <x v="85"/>
  </r>
  <r>
    <x v="85"/>
    <x v="8"/>
    <n v="0"/>
    <x v="85"/>
  </r>
  <r>
    <x v="85"/>
    <x v="9"/>
    <n v="40.29"/>
    <x v="85"/>
  </r>
  <r>
    <x v="85"/>
    <x v="10"/>
    <n v="0"/>
    <x v="85"/>
  </r>
  <r>
    <x v="85"/>
    <x v="11"/>
    <n v="8.34"/>
    <x v="85"/>
  </r>
  <r>
    <x v="85"/>
    <x v="12"/>
    <n v="0"/>
    <x v="85"/>
  </r>
  <r>
    <x v="85"/>
    <x v="13"/>
    <n v="0"/>
    <x v="85"/>
  </r>
  <r>
    <x v="85"/>
    <x v="14"/>
    <n v="0"/>
    <x v="85"/>
  </r>
  <r>
    <x v="85"/>
    <x v="15"/>
    <n v="6"/>
    <x v="85"/>
  </r>
  <r>
    <x v="86"/>
    <x v="0"/>
    <n v="0"/>
    <x v="86"/>
  </r>
  <r>
    <x v="86"/>
    <x v="1"/>
    <n v="13.2"/>
    <x v="86"/>
  </r>
  <r>
    <x v="86"/>
    <x v="2"/>
    <n v="0"/>
    <x v="86"/>
  </r>
  <r>
    <x v="86"/>
    <x v="3"/>
    <n v="2.6"/>
    <x v="86"/>
  </r>
  <r>
    <x v="86"/>
    <x v="4"/>
    <n v="0"/>
    <x v="86"/>
  </r>
  <r>
    <x v="86"/>
    <x v="5"/>
    <n v="8"/>
    <x v="86"/>
  </r>
  <r>
    <x v="86"/>
    <x v="6"/>
    <n v="0"/>
    <x v="86"/>
  </r>
  <r>
    <x v="86"/>
    <x v="7"/>
    <n v="4"/>
    <x v="86"/>
  </r>
  <r>
    <x v="86"/>
    <x v="8"/>
    <n v="0"/>
    <x v="86"/>
  </r>
  <r>
    <x v="86"/>
    <x v="9"/>
    <n v="22"/>
    <x v="86"/>
  </r>
  <r>
    <x v="86"/>
    <x v="10"/>
    <n v="0"/>
    <x v="86"/>
  </r>
  <r>
    <x v="86"/>
    <x v="11"/>
    <n v="0"/>
    <x v="86"/>
  </r>
  <r>
    <x v="86"/>
    <x v="12"/>
    <n v="0"/>
    <x v="86"/>
  </r>
  <r>
    <x v="86"/>
    <x v="13"/>
    <n v="0"/>
    <x v="86"/>
  </r>
  <r>
    <x v="86"/>
    <x v="14"/>
    <n v="0"/>
    <x v="86"/>
  </r>
  <r>
    <x v="86"/>
    <x v="15"/>
    <n v="5.6"/>
    <x v="86"/>
  </r>
  <r>
    <x v="87"/>
    <x v="0"/>
    <n v="0"/>
    <x v="87"/>
  </r>
  <r>
    <x v="87"/>
    <x v="1"/>
    <n v="187.6"/>
    <x v="87"/>
  </r>
  <r>
    <x v="87"/>
    <x v="2"/>
    <n v="0"/>
    <x v="87"/>
  </r>
  <r>
    <x v="87"/>
    <x v="3"/>
    <n v="65.400000000000006"/>
    <x v="87"/>
  </r>
  <r>
    <x v="87"/>
    <x v="4"/>
    <n v="0"/>
    <x v="87"/>
  </r>
  <r>
    <x v="87"/>
    <x v="5"/>
    <n v="109.41"/>
    <x v="87"/>
  </r>
  <r>
    <x v="87"/>
    <x v="6"/>
    <n v="0"/>
    <x v="87"/>
  </r>
  <r>
    <x v="87"/>
    <x v="7"/>
    <n v="144.87"/>
    <x v="87"/>
  </r>
  <r>
    <x v="87"/>
    <x v="8"/>
    <n v="0"/>
    <x v="87"/>
  </r>
  <r>
    <x v="87"/>
    <x v="9"/>
    <n v="304.73"/>
    <x v="87"/>
  </r>
  <r>
    <x v="87"/>
    <x v="10"/>
    <n v="14.41"/>
    <x v="87"/>
  </r>
  <r>
    <x v="87"/>
    <x v="11"/>
    <n v="89.08"/>
    <x v="87"/>
  </r>
  <r>
    <x v="87"/>
    <x v="12"/>
    <n v="0"/>
    <x v="87"/>
  </r>
  <r>
    <x v="87"/>
    <x v="13"/>
    <n v="0"/>
    <x v="87"/>
  </r>
  <r>
    <x v="87"/>
    <x v="14"/>
    <n v="0"/>
    <x v="87"/>
  </r>
  <r>
    <x v="87"/>
    <x v="15"/>
    <n v="48.2"/>
    <x v="87"/>
  </r>
  <r>
    <x v="88"/>
    <x v="0"/>
    <n v="0"/>
    <x v="88"/>
  </r>
  <r>
    <x v="88"/>
    <x v="1"/>
    <n v="156.63"/>
    <x v="88"/>
  </r>
  <r>
    <x v="88"/>
    <x v="2"/>
    <n v="0"/>
    <x v="88"/>
  </r>
  <r>
    <x v="88"/>
    <x v="3"/>
    <n v="43.2"/>
    <x v="88"/>
  </r>
  <r>
    <x v="88"/>
    <x v="4"/>
    <n v="0"/>
    <x v="88"/>
  </r>
  <r>
    <x v="88"/>
    <x v="5"/>
    <n v="94.13"/>
    <x v="88"/>
  </r>
  <r>
    <x v="88"/>
    <x v="6"/>
    <n v="0"/>
    <x v="88"/>
  </r>
  <r>
    <x v="88"/>
    <x v="7"/>
    <n v="95.3"/>
    <x v="88"/>
  </r>
  <r>
    <x v="88"/>
    <x v="8"/>
    <n v="0"/>
    <x v="88"/>
  </r>
  <r>
    <x v="88"/>
    <x v="9"/>
    <n v="194.28"/>
    <x v="88"/>
  </r>
  <r>
    <x v="88"/>
    <x v="10"/>
    <n v="7.85"/>
    <x v="88"/>
  </r>
  <r>
    <x v="88"/>
    <x v="11"/>
    <n v="32.869999999999997"/>
    <x v="88"/>
  </r>
  <r>
    <x v="88"/>
    <x v="12"/>
    <n v="0"/>
    <x v="88"/>
  </r>
  <r>
    <x v="88"/>
    <x v="13"/>
    <n v="0"/>
    <x v="88"/>
  </r>
  <r>
    <x v="88"/>
    <x v="14"/>
    <n v="0"/>
    <x v="88"/>
  </r>
  <r>
    <x v="88"/>
    <x v="15"/>
    <n v="36.29"/>
    <x v="88"/>
  </r>
  <r>
    <x v="89"/>
    <x v="0"/>
    <n v="0"/>
    <x v="89"/>
  </r>
  <r>
    <x v="89"/>
    <x v="1"/>
    <n v="744"/>
    <x v="89"/>
  </r>
  <r>
    <x v="89"/>
    <x v="2"/>
    <n v="0"/>
    <x v="89"/>
  </r>
  <r>
    <x v="89"/>
    <x v="3"/>
    <n v="257"/>
    <x v="89"/>
  </r>
  <r>
    <x v="89"/>
    <x v="4"/>
    <n v="0"/>
    <x v="89"/>
  </r>
  <r>
    <x v="89"/>
    <x v="5"/>
    <n v="505.8"/>
    <x v="89"/>
  </r>
  <r>
    <x v="89"/>
    <x v="6"/>
    <n v="0"/>
    <x v="89"/>
  </r>
  <r>
    <x v="89"/>
    <x v="7"/>
    <n v="553.14"/>
    <x v="89"/>
  </r>
  <r>
    <x v="89"/>
    <x v="8"/>
    <n v="0"/>
    <x v="89"/>
  </r>
  <r>
    <x v="89"/>
    <x v="9"/>
    <n v="1081.5999999999999"/>
    <x v="89"/>
  </r>
  <r>
    <x v="89"/>
    <x v="10"/>
    <n v="42.48"/>
    <x v="89"/>
  </r>
  <r>
    <x v="89"/>
    <x v="11"/>
    <n v="326.89"/>
    <x v="89"/>
  </r>
  <r>
    <x v="89"/>
    <x v="12"/>
    <n v="0"/>
    <x v="89"/>
  </r>
  <r>
    <x v="89"/>
    <x v="13"/>
    <n v="0"/>
    <x v="89"/>
  </r>
  <r>
    <x v="89"/>
    <x v="14"/>
    <n v="98.2"/>
    <x v="89"/>
  </r>
  <r>
    <x v="89"/>
    <x v="15"/>
    <n v="195.81"/>
    <x v="89"/>
  </r>
  <r>
    <x v="90"/>
    <x v="0"/>
    <n v="0"/>
    <x v="90"/>
  </r>
  <r>
    <x v="90"/>
    <x v="1"/>
    <n v="328.4"/>
    <x v="90"/>
  </r>
  <r>
    <x v="90"/>
    <x v="2"/>
    <n v="0"/>
    <x v="90"/>
  </r>
  <r>
    <x v="90"/>
    <x v="3"/>
    <n v="105.6"/>
    <x v="90"/>
  </r>
  <r>
    <x v="90"/>
    <x v="4"/>
    <n v="0"/>
    <x v="90"/>
  </r>
  <r>
    <x v="90"/>
    <x v="5"/>
    <n v="202.6"/>
    <x v="90"/>
  </r>
  <r>
    <x v="90"/>
    <x v="6"/>
    <n v="0"/>
    <x v="90"/>
  </r>
  <r>
    <x v="90"/>
    <x v="7"/>
    <n v="219.6"/>
    <x v="90"/>
  </r>
  <r>
    <x v="90"/>
    <x v="8"/>
    <n v="0"/>
    <x v="90"/>
  </r>
  <r>
    <x v="90"/>
    <x v="9"/>
    <n v="400.19"/>
    <x v="90"/>
  </r>
  <r>
    <x v="90"/>
    <x v="10"/>
    <n v="32.33"/>
    <x v="90"/>
  </r>
  <r>
    <x v="90"/>
    <x v="11"/>
    <n v="159.77000000000001"/>
    <x v="90"/>
  </r>
  <r>
    <x v="90"/>
    <x v="12"/>
    <n v="0"/>
    <x v="90"/>
  </r>
  <r>
    <x v="90"/>
    <x v="13"/>
    <n v="0"/>
    <x v="90"/>
  </r>
  <r>
    <x v="90"/>
    <x v="14"/>
    <n v="0"/>
    <x v="90"/>
  </r>
  <r>
    <x v="90"/>
    <x v="15"/>
    <n v="86.8"/>
    <x v="90"/>
  </r>
  <r>
    <x v="91"/>
    <x v="0"/>
    <n v="0"/>
    <x v="91"/>
  </r>
  <r>
    <x v="91"/>
    <x v="1"/>
    <n v="507.89"/>
    <x v="91"/>
  </r>
  <r>
    <x v="91"/>
    <x v="2"/>
    <n v="0"/>
    <x v="91"/>
  </r>
  <r>
    <x v="91"/>
    <x v="3"/>
    <n v="147.41"/>
    <x v="91"/>
  </r>
  <r>
    <x v="91"/>
    <x v="4"/>
    <n v="0"/>
    <x v="91"/>
  </r>
  <r>
    <x v="91"/>
    <x v="5"/>
    <n v="336.02"/>
    <x v="91"/>
  </r>
  <r>
    <x v="91"/>
    <x v="6"/>
    <n v="0"/>
    <x v="91"/>
  </r>
  <r>
    <x v="91"/>
    <x v="7"/>
    <n v="278.54000000000002"/>
    <x v="91"/>
  </r>
  <r>
    <x v="91"/>
    <x v="8"/>
    <n v="0"/>
    <x v="91"/>
  </r>
  <r>
    <x v="91"/>
    <x v="9"/>
    <n v="560.24"/>
    <x v="91"/>
  </r>
  <r>
    <x v="91"/>
    <x v="10"/>
    <n v="30.2"/>
    <x v="91"/>
  </r>
  <r>
    <x v="91"/>
    <x v="11"/>
    <n v="93.62"/>
    <x v="91"/>
  </r>
  <r>
    <x v="91"/>
    <x v="12"/>
    <n v="0"/>
    <x v="91"/>
  </r>
  <r>
    <x v="91"/>
    <x v="13"/>
    <n v="0"/>
    <x v="91"/>
  </r>
  <r>
    <x v="91"/>
    <x v="14"/>
    <n v="0"/>
    <x v="91"/>
  </r>
  <r>
    <x v="91"/>
    <x v="15"/>
    <n v="141.30000000000001"/>
    <x v="91"/>
  </r>
  <r>
    <x v="92"/>
    <x v="0"/>
    <n v="0"/>
    <x v="92"/>
  </r>
  <r>
    <x v="92"/>
    <x v="1"/>
    <n v="66.209999999999994"/>
    <x v="92"/>
  </r>
  <r>
    <x v="92"/>
    <x v="2"/>
    <n v="0"/>
    <x v="92"/>
  </r>
  <r>
    <x v="92"/>
    <x v="3"/>
    <n v="23.6"/>
    <x v="92"/>
  </r>
  <r>
    <x v="92"/>
    <x v="4"/>
    <n v="0"/>
    <x v="92"/>
  </r>
  <r>
    <x v="92"/>
    <x v="5"/>
    <n v="55"/>
    <x v="92"/>
  </r>
  <r>
    <x v="92"/>
    <x v="6"/>
    <n v="0"/>
    <x v="92"/>
  </r>
  <r>
    <x v="92"/>
    <x v="7"/>
    <n v="46.4"/>
    <x v="92"/>
  </r>
  <r>
    <x v="92"/>
    <x v="8"/>
    <n v="0"/>
    <x v="92"/>
  </r>
  <r>
    <x v="92"/>
    <x v="9"/>
    <n v="0"/>
    <x v="92"/>
  </r>
  <r>
    <x v="92"/>
    <x v="10"/>
    <n v="0.4"/>
    <x v="92"/>
  </r>
  <r>
    <x v="92"/>
    <x v="11"/>
    <n v="0"/>
    <x v="92"/>
  </r>
  <r>
    <x v="92"/>
    <x v="12"/>
    <n v="0"/>
    <x v="92"/>
  </r>
  <r>
    <x v="92"/>
    <x v="13"/>
    <n v="0"/>
    <x v="92"/>
  </r>
  <r>
    <x v="92"/>
    <x v="14"/>
    <n v="16"/>
    <x v="92"/>
  </r>
  <r>
    <x v="92"/>
    <x v="15"/>
    <n v="16.670000000000002"/>
    <x v="92"/>
  </r>
  <r>
    <x v="93"/>
    <x v="0"/>
    <n v="0"/>
    <x v="93"/>
  </r>
  <r>
    <x v="93"/>
    <x v="1"/>
    <n v="20"/>
    <x v="93"/>
  </r>
  <r>
    <x v="93"/>
    <x v="2"/>
    <n v="0"/>
    <x v="93"/>
  </r>
  <r>
    <x v="93"/>
    <x v="3"/>
    <n v="9"/>
    <x v="93"/>
  </r>
  <r>
    <x v="93"/>
    <x v="4"/>
    <n v="0"/>
    <x v="93"/>
  </r>
  <r>
    <x v="93"/>
    <x v="5"/>
    <n v="11.2"/>
    <x v="93"/>
  </r>
  <r>
    <x v="93"/>
    <x v="6"/>
    <n v="0"/>
    <x v="93"/>
  </r>
  <r>
    <x v="93"/>
    <x v="7"/>
    <n v="0"/>
    <x v="93"/>
  </r>
  <r>
    <x v="93"/>
    <x v="8"/>
    <n v="0"/>
    <x v="93"/>
  </r>
  <r>
    <x v="93"/>
    <x v="9"/>
    <n v="0"/>
    <x v="93"/>
  </r>
  <r>
    <x v="93"/>
    <x v="10"/>
    <n v="0"/>
    <x v="93"/>
  </r>
  <r>
    <x v="93"/>
    <x v="11"/>
    <n v="0"/>
    <x v="93"/>
  </r>
  <r>
    <x v="93"/>
    <x v="12"/>
    <n v="0"/>
    <x v="93"/>
  </r>
  <r>
    <x v="93"/>
    <x v="13"/>
    <n v="0"/>
    <x v="93"/>
  </r>
  <r>
    <x v="93"/>
    <x v="14"/>
    <n v="0"/>
    <x v="93"/>
  </r>
  <r>
    <x v="93"/>
    <x v="15"/>
    <n v="4"/>
    <x v="93"/>
  </r>
  <r>
    <x v="94"/>
    <x v="0"/>
    <n v="0"/>
    <x v="94"/>
  </r>
  <r>
    <x v="94"/>
    <x v="1"/>
    <n v="59.2"/>
    <x v="94"/>
  </r>
  <r>
    <x v="94"/>
    <x v="2"/>
    <n v="0"/>
    <x v="94"/>
  </r>
  <r>
    <x v="94"/>
    <x v="3"/>
    <n v="21"/>
    <x v="94"/>
  </r>
  <r>
    <x v="94"/>
    <x v="4"/>
    <n v="0"/>
    <x v="94"/>
  </r>
  <r>
    <x v="94"/>
    <x v="5"/>
    <n v="36.020000000000003"/>
    <x v="94"/>
  </r>
  <r>
    <x v="94"/>
    <x v="6"/>
    <n v="0"/>
    <x v="94"/>
  </r>
  <r>
    <x v="94"/>
    <x v="7"/>
    <n v="33"/>
    <x v="94"/>
  </r>
  <r>
    <x v="94"/>
    <x v="8"/>
    <n v="0"/>
    <x v="94"/>
  </r>
  <r>
    <x v="94"/>
    <x v="9"/>
    <n v="0"/>
    <x v="94"/>
  </r>
  <r>
    <x v="94"/>
    <x v="10"/>
    <n v="0"/>
    <x v="94"/>
  </r>
  <r>
    <x v="94"/>
    <x v="11"/>
    <n v="0"/>
    <x v="94"/>
  </r>
  <r>
    <x v="94"/>
    <x v="12"/>
    <n v="0"/>
    <x v="94"/>
  </r>
  <r>
    <x v="94"/>
    <x v="13"/>
    <n v="0"/>
    <x v="94"/>
  </r>
  <r>
    <x v="94"/>
    <x v="14"/>
    <n v="0"/>
    <x v="94"/>
  </r>
  <r>
    <x v="94"/>
    <x v="15"/>
    <n v="14"/>
    <x v="94"/>
  </r>
  <r>
    <x v="95"/>
    <x v="0"/>
    <n v="0"/>
    <x v="95"/>
  </r>
  <r>
    <x v="95"/>
    <x v="1"/>
    <n v="172.25"/>
    <x v="95"/>
  </r>
  <r>
    <x v="95"/>
    <x v="2"/>
    <n v="0"/>
    <x v="95"/>
  </r>
  <r>
    <x v="95"/>
    <x v="3"/>
    <n v="59.47"/>
    <x v="95"/>
  </r>
  <r>
    <x v="95"/>
    <x v="4"/>
    <n v="0"/>
    <x v="95"/>
  </r>
  <r>
    <x v="95"/>
    <x v="5"/>
    <n v="137.4"/>
    <x v="95"/>
  </r>
  <r>
    <x v="95"/>
    <x v="6"/>
    <n v="0"/>
    <x v="95"/>
  </r>
  <r>
    <x v="95"/>
    <x v="7"/>
    <n v="121.29"/>
    <x v="95"/>
  </r>
  <r>
    <x v="95"/>
    <x v="8"/>
    <n v="0"/>
    <x v="95"/>
  </r>
  <r>
    <x v="95"/>
    <x v="9"/>
    <n v="0"/>
    <x v="95"/>
  </r>
  <r>
    <x v="95"/>
    <x v="10"/>
    <n v="0"/>
    <x v="95"/>
  </r>
  <r>
    <x v="95"/>
    <x v="11"/>
    <n v="0"/>
    <x v="95"/>
  </r>
  <r>
    <x v="95"/>
    <x v="12"/>
    <n v="0"/>
    <x v="95"/>
  </r>
  <r>
    <x v="95"/>
    <x v="13"/>
    <n v="0"/>
    <x v="95"/>
  </r>
  <r>
    <x v="95"/>
    <x v="14"/>
    <n v="24.8"/>
    <x v="95"/>
  </r>
  <r>
    <x v="95"/>
    <x v="15"/>
    <n v="61.9"/>
    <x v="95"/>
  </r>
  <r>
    <x v="96"/>
    <x v="0"/>
    <n v="0"/>
    <x v="96"/>
  </r>
  <r>
    <x v="96"/>
    <x v="1"/>
    <n v="30.2"/>
    <x v="96"/>
  </r>
  <r>
    <x v="96"/>
    <x v="2"/>
    <n v="0"/>
    <x v="96"/>
  </r>
  <r>
    <x v="96"/>
    <x v="3"/>
    <n v="11.4"/>
    <x v="96"/>
  </r>
  <r>
    <x v="96"/>
    <x v="4"/>
    <n v="0"/>
    <x v="96"/>
  </r>
  <r>
    <x v="96"/>
    <x v="5"/>
    <n v="22.4"/>
    <x v="96"/>
  </r>
  <r>
    <x v="96"/>
    <x v="6"/>
    <n v="0"/>
    <x v="96"/>
  </r>
  <r>
    <x v="96"/>
    <x v="7"/>
    <n v="17.399999999999999"/>
    <x v="96"/>
  </r>
  <r>
    <x v="96"/>
    <x v="8"/>
    <n v="0"/>
    <x v="96"/>
  </r>
  <r>
    <x v="96"/>
    <x v="9"/>
    <n v="23.02"/>
    <x v="96"/>
  </r>
  <r>
    <x v="96"/>
    <x v="10"/>
    <n v="1.05"/>
    <x v="96"/>
  </r>
  <r>
    <x v="96"/>
    <x v="11"/>
    <n v="3.84"/>
    <x v="96"/>
  </r>
  <r>
    <x v="96"/>
    <x v="12"/>
    <n v="0"/>
    <x v="96"/>
  </r>
  <r>
    <x v="96"/>
    <x v="13"/>
    <n v="0"/>
    <x v="96"/>
  </r>
  <r>
    <x v="96"/>
    <x v="14"/>
    <n v="0"/>
    <x v="96"/>
  </r>
  <r>
    <x v="96"/>
    <x v="15"/>
    <n v="8"/>
    <x v="96"/>
  </r>
  <r>
    <x v="97"/>
    <x v="0"/>
    <n v="0"/>
    <x v="97"/>
  </r>
  <r>
    <x v="97"/>
    <x v="1"/>
    <n v="222.6"/>
    <x v="97"/>
  </r>
  <r>
    <x v="97"/>
    <x v="2"/>
    <n v="0"/>
    <x v="97"/>
  </r>
  <r>
    <x v="97"/>
    <x v="3"/>
    <n v="64.2"/>
    <x v="97"/>
  </r>
  <r>
    <x v="97"/>
    <x v="4"/>
    <n v="0"/>
    <x v="97"/>
  </r>
  <r>
    <x v="97"/>
    <x v="5"/>
    <n v="143.6"/>
    <x v="97"/>
  </r>
  <r>
    <x v="97"/>
    <x v="6"/>
    <n v="0"/>
    <x v="97"/>
  </r>
  <r>
    <x v="97"/>
    <x v="7"/>
    <n v="161.80000000000001"/>
    <x v="97"/>
  </r>
  <r>
    <x v="97"/>
    <x v="8"/>
    <n v="0"/>
    <x v="97"/>
  </r>
  <r>
    <x v="97"/>
    <x v="9"/>
    <n v="332.47"/>
    <x v="97"/>
  </r>
  <r>
    <x v="97"/>
    <x v="10"/>
    <n v="0"/>
    <x v="97"/>
  </r>
  <r>
    <x v="97"/>
    <x v="11"/>
    <n v="46.21"/>
    <x v="97"/>
  </r>
  <r>
    <x v="97"/>
    <x v="12"/>
    <n v="0"/>
    <x v="97"/>
  </r>
  <r>
    <x v="97"/>
    <x v="13"/>
    <n v="0"/>
    <x v="97"/>
  </r>
  <r>
    <x v="97"/>
    <x v="14"/>
    <n v="52.1"/>
    <x v="97"/>
  </r>
  <r>
    <x v="97"/>
    <x v="15"/>
    <n v="46.4"/>
    <x v="97"/>
  </r>
  <r>
    <x v="98"/>
    <x v="0"/>
    <n v="0"/>
    <x v="98"/>
  </r>
  <r>
    <x v="98"/>
    <x v="1"/>
    <n v="3949.99"/>
    <x v="98"/>
  </r>
  <r>
    <x v="98"/>
    <x v="2"/>
    <n v="0"/>
    <x v="98"/>
  </r>
  <r>
    <x v="98"/>
    <x v="3"/>
    <n v="1276.5999999999999"/>
    <x v="98"/>
  </r>
  <r>
    <x v="98"/>
    <x v="4"/>
    <n v="0"/>
    <x v="98"/>
  </r>
  <r>
    <x v="98"/>
    <x v="5"/>
    <n v="2415.44"/>
    <x v="98"/>
  </r>
  <r>
    <x v="98"/>
    <x v="6"/>
    <n v="0"/>
    <x v="98"/>
  </r>
  <r>
    <x v="98"/>
    <x v="7"/>
    <n v="2248.73"/>
    <x v="98"/>
  </r>
  <r>
    <x v="98"/>
    <x v="8"/>
    <n v="0"/>
    <x v="98"/>
  </r>
  <r>
    <x v="98"/>
    <x v="9"/>
    <n v="5271.03"/>
    <x v="98"/>
  </r>
  <r>
    <x v="98"/>
    <x v="10"/>
    <n v="78.239999999999995"/>
    <x v="98"/>
  </r>
  <r>
    <x v="98"/>
    <x v="11"/>
    <n v="713.26"/>
    <x v="98"/>
  </r>
  <r>
    <x v="98"/>
    <x v="12"/>
    <n v="0"/>
    <x v="98"/>
  </r>
  <r>
    <x v="98"/>
    <x v="13"/>
    <n v="518.63"/>
    <x v="98"/>
  </r>
  <r>
    <x v="98"/>
    <x v="14"/>
    <n v="25.6"/>
    <x v="98"/>
  </r>
  <r>
    <x v="98"/>
    <x v="15"/>
    <n v="1206.71"/>
    <x v="98"/>
  </r>
  <r>
    <x v="99"/>
    <x v="0"/>
    <n v="0"/>
    <x v="99"/>
  </r>
  <r>
    <x v="99"/>
    <x v="1"/>
    <n v="423.09"/>
    <x v="99"/>
  </r>
  <r>
    <x v="99"/>
    <x v="2"/>
    <n v="0"/>
    <x v="99"/>
  </r>
  <r>
    <x v="99"/>
    <x v="3"/>
    <n v="155.66"/>
    <x v="99"/>
  </r>
  <r>
    <x v="99"/>
    <x v="4"/>
    <n v="0"/>
    <x v="99"/>
  </r>
  <r>
    <x v="99"/>
    <x v="5"/>
    <n v="296"/>
    <x v="99"/>
  </r>
  <r>
    <x v="99"/>
    <x v="6"/>
    <n v="0"/>
    <x v="99"/>
  </r>
  <r>
    <x v="99"/>
    <x v="7"/>
    <n v="321.42"/>
    <x v="99"/>
  </r>
  <r>
    <x v="99"/>
    <x v="8"/>
    <n v="0"/>
    <x v="99"/>
  </r>
  <r>
    <x v="99"/>
    <x v="9"/>
    <n v="588.01"/>
    <x v="99"/>
  </r>
  <r>
    <x v="99"/>
    <x v="10"/>
    <n v="10.69"/>
    <x v="99"/>
  </r>
  <r>
    <x v="99"/>
    <x v="11"/>
    <n v="78.849999999999994"/>
    <x v="99"/>
  </r>
  <r>
    <x v="99"/>
    <x v="12"/>
    <n v="0"/>
    <x v="99"/>
  </r>
  <r>
    <x v="99"/>
    <x v="13"/>
    <n v="0"/>
    <x v="99"/>
  </r>
  <r>
    <x v="99"/>
    <x v="14"/>
    <n v="68.8"/>
    <x v="99"/>
  </r>
  <r>
    <x v="99"/>
    <x v="15"/>
    <n v="133"/>
    <x v="99"/>
  </r>
  <r>
    <x v="100"/>
    <x v="0"/>
    <n v="0"/>
    <x v="100"/>
  </r>
  <r>
    <x v="100"/>
    <x v="1"/>
    <n v="112.8"/>
    <x v="100"/>
  </r>
  <r>
    <x v="100"/>
    <x v="2"/>
    <n v="0"/>
    <x v="100"/>
  </r>
  <r>
    <x v="100"/>
    <x v="3"/>
    <n v="39.6"/>
    <x v="100"/>
  </r>
  <r>
    <x v="100"/>
    <x v="4"/>
    <n v="0"/>
    <x v="100"/>
  </r>
  <r>
    <x v="100"/>
    <x v="5"/>
    <n v="65.400000000000006"/>
    <x v="100"/>
  </r>
  <r>
    <x v="100"/>
    <x v="6"/>
    <n v="0"/>
    <x v="100"/>
  </r>
  <r>
    <x v="100"/>
    <x v="7"/>
    <n v="59.6"/>
    <x v="100"/>
  </r>
  <r>
    <x v="100"/>
    <x v="8"/>
    <n v="0"/>
    <x v="100"/>
  </r>
  <r>
    <x v="100"/>
    <x v="9"/>
    <n v="0"/>
    <x v="100"/>
  </r>
  <r>
    <x v="100"/>
    <x v="10"/>
    <n v="0"/>
    <x v="100"/>
  </r>
  <r>
    <x v="100"/>
    <x v="11"/>
    <n v="0"/>
    <x v="100"/>
  </r>
  <r>
    <x v="100"/>
    <x v="12"/>
    <n v="0"/>
    <x v="100"/>
  </r>
  <r>
    <x v="100"/>
    <x v="13"/>
    <n v="0"/>
    <x v="100"/>
  </r>
  <r>
    <x v="100"/>
    <x v="14"/>
    <n v="13.6"/>
    <x v="100"/>
  </r>
  <r>
    <x v="100"/>
    <x v="15"/>
    <n v="33.799999999999997"/>
    <x v="100"/>
  </r>
  <r>
    <x v="101"/>
    <x v="0"/>
    <n v="0"/>
    <x v="101"/>
  </r>
  <r>
    <x v="101"/>
    <x v="1"/>
    <n v="321.8"/>
    <x v="101"/>
  </r>
  <r>
    <x v="101"/>
    <x v="2"/>
    <n v="0"/>
    <x v="101"/>
  </r>
  <r>
    <x v="101"/>
    <x v="3"/>
    <n v="113.6"/>
    <x v="101"/>
  </r>
  <r>
    <x v="101"/>
    <x v="4"/>
    <n v="0"/>
    <x v="101"/>
  </r>
  <r>
    <x v="101"/>
    <x v="5"/>
    <n v="240.43"/>
    <x v="101"/>
  </r>
  <r>
    <x v="101"/>
    <x v="6"/>
    <n v="0"/>
    <x v="101"/>
  </r>
  <r>
    <x v="101"/>
    <x v="7"/>
    <n v="239.96"/>
    <x v="101"/>
  </r>
  <r>
    <x v="101"/>
    <x v="8"/>
    <n v="0"/>
    <x v="101"/>
  </r>
  <r>
    <x v="101"/>
    <x v="9"/>
    <n v="401.11"/>
    <x v="101"/>
  </r>
  <r>
    <x v="101"/>
    <x v="10"/>
    <n v="24.67"/>
    <x v="101"/>
  </r>
  <r>
    <x v="101"/>
    <x v="11"/>
    <n v="107.36"/>
    <x v="101"/>
  </r>
  <r>
    <x v="101"/>
    <x v="12"/>
    <n v="0"/>
    <x v="101"/>
  </r>
  <r>
    <x v="101"/>
    <x v="13"/>
    <n v="0"/>
    <x v="101"/>
  </r>
  <r>
    <x v="101"/>
    <x v="14"/>
    <n v="12.8"/>
    <x v="101"/>
  </r>
  <r>
    <x v="101"/>
    <x v="15"/>
    <n v="87.4"/>
    <x v="101"/>
  </r>
  <r>
    <x v="102"/>
    <x v="0"/>
    <n v="0"/>
    <x v="102"/>
  </r>
  <r>
    <x v="102"/>
    <x v="1"/>
    <n v="128.19999999999999"/>
    <x v="102"/>
  </r>
  <r>
    <x v="102"/>
    <x v="2"/>
    <n v="0"/>
    <x v="102"/>
  </r>
  <r>
    <x v="102"/>
    <x v="3"/>
    <n v="0"/>
    <x v="102"/>
  </r>
  <r>
    <x v="102"/>
    <x v="4"/>
    <n v="0"/>
    <x v="102"/>
  </r>
  <r>
    <x v="102"/>
    <x v="5"/>
    <n v="0"/>
    <x v="102"/>
  </r>
  <r>
    <x v="102"/>
    <x v="6"/>
    <n v="0"/>
    <x v="102"/>
  </r>
  <r>
    <x v="102"/>
    <x v="7"/>
    <n v="0"/>
    <x v="102"/>
  </r>
  <r>
    <x v="102"/>
    <x v="8"/>
    <n v="0"/>
    <x v="102"/>
  </r>
  <r>
    <x v="102"/>
    <x v="9"/>
    <n v="0"/>
    <x v="102"/>
  </r>
  <r>
    <x v="102"/>
    <x v="10"/>
    <n v="0"/>
    <x v="102"/>
  </r>
  <r>
    <x v="102"/>
    <x v="11"/>
    <n v="0"/>
    <x v="102"/>
  </r>
  <r>
    <x v="102"/>
    <x v="12"/>
    <n v="0"/>
    <x v="102"/>
  </r>
  <r>
    <x v="102"/>
    <x v="13"/>
    <n v="0"/>
    <x v="102"/>
  </r>
  <r>
    <x v="102"/>
    <x v="14"/>
    <n v="0"/>
    <x v="102"/>
  </r>
  <r>
    <x v="102"/>
    <x v="15"/>
    <n v="80"/>
    <x v="102"/>
  </r>
  <r>
    <x v="103"/>
    <x v="0"/>
    <n v="0"/>
    <x v="103"/>
  </r>
  <r>
    <x v="103"/>
    <x v="1"/>
    <n v="147.80000000000001"/>
    <x v="103"/>
  </r>
  <r>
    <x v="103"/>
    <x v="2"/>
    <n v="0"/>
    <x v="103"/>
  </r>
  <r>
    <x v="103"/>
    <x v="3"/>
    <n v="38"/>
    <x v="103"/>
  </r>
  <r>
    <x v="103"/>
    <x v="4"/>
    <n v="0"/>
    <x v="103"/>
  </r>
  <r>
    <x v="103"/>
    <x v="5"/>
    <n v="0"/>
    <x v="103"/>
  </r>
  <r>
    <x v="103"/>
    <x v="6"/>
    <n v="0"/>
    <x v="103"/>
  </r>
  <r>
    <x v="103"/>
    <x v="7"/>
    <n v="0"/>
    <x v="103"/>
  </r>
  <r>
    <x v="103"/>
    <x v="8"/>
    <n v="0"/>
    <x v="103"/>
  </r>
  <r>
    <x v="103"/>
    <x v="9"/>
    <n v="0"/>
    <x v="103"/>
  </r>
  <r>
    <x v="103"/>
    <x v="10"/>
    <n v="0"/>
    <x v="103"/>
  </r>
  <r>
    <x v="103"/>
    <x v="11"/>
    <n v="0"/>
    <x v="103"/>
  </r>
  <r>
    <x v="103"/>
    <x v="12"/>
    <n v="0"/>
    <x v="103"/>
  </r>
  <r>
    <x v="103"/>
    <x v="13"/>
    <n v="0"/>
    <x v="103"/>
  </r>
  <r>
    <x v="103"/>
    <x v="14"/>
    <n v="0"/>
    <x v="103"/>
  </r>
  <r>
    <x v="103"/>
    <x v="15"/>
    <n v="45"/>
    <x v="103"/>
  </r>
  <r>
    <x v="104"/>
    <x v="0"/>
    <n v="0"/>
    <x v="104"/>
  </r>
  <r>
    <x v="104"/>
    <x v="1"/>
    <n v="271.2"/>
    <x v="104"/>
  </r>
  <r>
    <x v="104"/>
    <x v="2"/>
    <n v="0"/>
    <x v="104"/>
  </r>
  <r>
    <x v="104"/>
    <x v="3"/>
    <n v="83.2"/>
    <x v="104"/>
  </r>
  <r>
    <x v="104"/>
    <x v="4"/>
    <n v="0"/>
    <x v="104"/>
  </r>
  <r>
    <x v="104"/>
    <x v="5"/>
    <n v="51.2"/>
    <x v="104"/>
  </r>
  <r>
    <x v="104"/>
    <x v="6"/>
    <n v="0"/>
    <x v="104"/>
  </r>
  <r>
    <x v="104"/>
    <x v="7"/>
    <n v="0"/>
    <x v="104"/>
  </r>
  <r>
    <x v="104"/>
    <x v="8"/>
    <n v="0"/>
    <x v="104"/>
  </r>
  <r>
    <x v="104"/>
    <x v="9"/>
    <n v="0"/>
    <x v="104"/>
  </r>
  <r>
    <x v="104"/>
    <x v="10"/>
    <n v="0"/>
    <x v="104"/>
  </r>
  <r>
    <x v="104"/>
    <x v="11"/>
    <n v="0"/>
    <x v="104"/>
  </r>
  <r>
    <x v="104"/>
    <x v="12"/>
    <n v="0"/>
    <x v="104"/>
  </r>
  <r>
    <x v="104"/>
    <x v="13"/>
    <n v="0"/>
    <x v="104"/>
  </r>
  <r>
    <x v="104"/>
    <x v="14"/>
    <n v="0"/>
    <x v="104"/>
  </r>
  <r>
    <x v="104"/>
    <x v="15"/>
    <n v="93"/>
    <x v="104"/>
  </r>
  <r>
    <x v="105"/>
    <x v="0"/>
    <n v="0"/>
    <x v="105"/>
  </r>
  <r>
    <x v="105"/>
    <x v="1"/>
    <n v="221.4"/>
    <x v="105"/>
  </r>
  <r>
    <x v="105"/>
    <x v="2"/>
    <n v="0"/>
    <x v="105"/>
  </r>
  <r>
    <x v="105"/>
    <x v="3"/>
    <n v="53.2"/>
    <x v="105"/>
  </r>
  <r>
    <x v="105"/>
    <x v="4"/>
    <n v="0"/>
    <x v="105"/>
  </r>
  <r>
    <x v="105"/>
    <x v="5"/>
    <n v="29.4"/>
    <x v="105"/>
  </r>
  <r>
    <x v="105"/>
    <x v="6"/>
    <n v="0"/>
    <x v="105"/>
  </r>
  <r>
    <x v="105"/>
    <x v="7"/>
    <n v="0"/>
    <x v="105"/>
  </r>
  <r>
    <x v="105"/>
    <x v="8"/>
    <n v="0"/>
    <x v="105"/>
  </r>
  <r>
    <x v="105"/>
    <x v="9"/>
    <n v="0"/>
    <x v="105"/>
  </r>
  <r>
    <x v="105"/>
    <x v="10"/>
    <n v="0"/>
    <x v="105"/>
  </r>
  <r>
    <x v="105"/>
    <x v="11"/>
    <n v="0"/>
    <x v="105"/>
  </r>
  <r>
    <x v="105"/>
    <x v="12"/>
    <n v="0"/>
    <x v="105"/>
  </r>
  <r>
    <x v="105"/>
    <x v="13"/>
    <n v="0"/>
    <x v="105"/>
  </r>
  <r>
    <x v="105"/>
    <x v="14"/>
    <n v="0"/>
    <x v="105"/>
  </r>
  <r>
    <x v="105"/>
    <x v="15"/>
    <n v="85"/>
    <x v="105"/>
  </r>
  <r>
    <x v="106"/>
    <x v="0"/>
    <n v="0"/>
    <x v="106"/>
  </r>
  <r>
    <x v="106"/>
    <x v="1"/>
    <n v="39.6"/>
    <x v="106"/>
  </r>
  <r>
    <x v="106"/>
    <x v="2"/>
    <n v="0"/>
    <x v="106"/>
  </r>
  <r>
    <x v="106"/>
    <x v="3"/>
    <n v="13"/>
    <x v="106"/>
  </r>
  <r>
    <x v="106"/>
    <x v="4"/>
    <n v="0"/>
    <x v="106"/>
  </r>
  <r>
    <x v="106"/>
    <x v="5"/>
    <n v="28"/>
    <x v="106"/>
  </r>
  <r>
    <x v="106"/>
    <x v="6"/>
    <n v="0"/>
    <x v="106"/>
  </r>
  <r>
    <x v="106"/>
    <x v="7"/>
    <n v="32.4"/>
    <x v="106"/>
  </r>
  <r>
    <x v="106"/>
    <x v="8"/>
    <n v="0"/>
    <x v="106"/>
  </r>
  <r>
    <x v="106"/>
    <x v="9"/>
    <n v="51.05"/>
    <x v="106"/>
  </r>
  <r>
    <x v="106"/>
    <x v="10"/>
    <n v="2.94"/>
    <x v="106"/>
  </r>
  <r>
    <x v="106"/>
    <x v="11"/>
    <n v="6.14"/>
    <x v="106"/>
  </r>
  <r>
    <x v="106"/>
    <x v="12"/>
    <n v="0"/>
    <x v="106"/>
  </r>
  <r>
    <x v="106"/>
    <x v="13"/>
    <n v="0"/>
    <x v="106"/>
  </r>
  <r>
    <x v="106"/>
    <x v="14"/>
    <n v="0"/>
    <x v="106"/>
  </r>
  <r>
    <x v="106"/>
    <x v="15"/>
    <n v="12.6"/>
    <x v="106"/>
  </r>
  <r>
    <x v="107"/>
    <x v="0"/>
    <n v="0"/>
    <x v="107"/>
  </r>
  <r>
    <x v="107"/>
    <x v="1"/>
    <n v="14.8"/>
    <x v="107"/>
  </r>
  <r>
    <x v="107"/>
    <x v="2"/>
    <n v="0"/>
    <x v="107"/>
  </r>
  <r>
    <x v="107"/>
    <x v="3"/>
    <n v="5"/>
    <x v="107"/>
  </r>
  <r>
    <x v="107"/>
    <x v="4"/>
    <n v="0"/>
    <x v="107"/>
  </r>
  <r>
    <x v="107"/>
    <x v="5"/>
    <n v="7.08"/>
    <x v="107"/>
  </r>
  <r>
    <x v="107"/>
    <x v="6"/>
    <n v="0"/>
    <x v="107"/>
  </r>
  <r>
    <x v="107"/>
    <x v="7"/>
    <n v="3"/>
    <x v="107"/>
  </r>
  <r>
    <x v="107"/>
    <x v="8"/>
    <n v="0"/>
    <x v="107"/>
  </r>
  <r>
    <x v="107"/>
    <x v="9"/>
    <n v="0"/>
    <x v="107"/>
  </r>
  <r>
    <x v="107"/>
    <x v="10"/>
    <n v="0"/>
    <x v="107"/>
  </r>
  <r>
    <x v="107"/>
    <x v="11"/>
    <n v="0"/>
    <x v="107"/>
  </r>
  <r>
    <x v="107"/>
    <x v="12"/>
    <n v="0"/>
    <x v="107"/>
  </r>
  <r>
    <x v="107"/>
    <x v="13"/>
    <n v="0"/>
    <x v="107"/>
  </r>
  <r>
    <x v="107"/>
    <x v="14"/>
    <n v="0"/>
    <x v="107"/>
  </r>
  <r>
    <x v="107"/>
    <x v="15"/>
    <n v="4.3"/>
    <x v="107"/>
  </r>
  <r>
    <x v="108"/>
    <x v="0"/>
    <n v="0"/>
    <x v="108"/>
  </r>
  <r>
    <x v="108"/>
    <x v="1"/>
    <n v="0"/>
    <x v="108"/>
  </r>
  <r>
    <x v="108"/>
    <x v="2"/>
    <n v="0"/>
    <x v="108"/>
  </r>
  <r>
    <x v="108"/>
    <x v="3"/>
    <n v="0"/>
    <x v="108"/>
  </r>
  <r>
    <x v="108"/>
    <x v="4"/>
    <n v="0"/>
    <x v="108"/>
  </r>
  <r>
    <x v="108"/>
    <x v="5"/>
    <n v="0"/>
    <x v="108"/>
  </r>
  <r>
    <x v="108"/>
    <x v="6"/>
    <n v="0"/>
    <x v="108"/>
  </r>
  <r>
    <x v="108"/>
    <x v="7"/>
    <n v="0"/>
    <x v="108"/>
  </r>
  <r>
    <x v="108"/>
    <x v="8"/>
    <n v="0"/>
    <x v="108"/>
  </r>
  <r>
    <x v="108"/>
    <x v="9"/>
    <n v="226.95"/>
    <x v="108"/>
  </r>
  <r>
    <x v="108"/>
    <x v="10"/>
    <n v="0"/>
    <x v="108"/>
  </r>
  <r>
    <x v="108"/>
    <x v="11"/>
    <n v="17.96"/>
    <x v="108"/>
  </r>
  <r>
    <x v="108"/>
    <x v="12"/>
    <n v="0"/>
    <x v="108"/>
  </r>
  <r>
    <x v="108"/>
    <x v="13"/>
    <n v="0"/>
    <x v="108"/>
  </r>
  <r>
    <x v="108"/>
    <x v="14"/>
    <n v="0"/>
    <x v="108"/>
  </r>
  <r>
    <x v="108"/>
    <x v="15"/>
    <n v="0"/>
    <x v="108"/>
  </r>
  <r>
    <x v="109"/>
    <x v="0"/>
    <n v="0"/>
    <x v="109"/>
  </r>
  <r>
    <x v="109"/>
    <x v="1"/>
    <n v="3930.62"/>
    <x v="109"/>
  </r>
  <r>
    <x v="109"/>
    <x v="2"/>
    <n v="0"/>
    <x v="109"/>
  </r>
  <r>
    <x v="109"/>
    <x v="3"/>
    <n v="1359.42"/>
    <x v="109"/>
  </r>
  <r>
    <x v="109"/>
    <x v="4"/>
    <n v="0"/>
    <x v="109"/>
  </r>
  <r>
    <x v="109"/>
    <x v="5"/>
    <n v="2859.21"/>
    <x v="109"/>
  </r>
  <r>
    <x v="109"/>
    <x v="6"/>
    <n v="0"/>
    <x v="109"/>
  </r>
  <r>
    <x v="109"/>
    <x v="7"/>
    <n v="3035.95"/>
    <x v="109"/>
  </r>
  <r>
    <x v="109"/>
    <x v="8"/>
    <n v="0"/>
    <x v="109"/>
  </r>
  <r>
    <x v="109"/>
    <x v="9"/>
    <n v="5620.36"/>
    <x v="109"/>
  </r>
  <r>
    <x v="109"/>
    <x v="10"/>
    <n v="50.13"/>
    <x v="109"/>
  </r>
  <r>
    <x v="109"/>
    <x v="11"/>
    <n v="1035.81"/>
    <x v="109"/>
  </r>
  <r>
    <x v="109"/>
    <x v="12"/>
    <n v="0"/>
    <x v="109"/>
  </r>
  <r>
    <x v="109"/>
    <x v="13"/>
    <n v="0"/>
    <x v="109"/>
  </r>
  <r>
    <x v="109"/>
    <x v="14"/>
    <n v="72.92"/>
    <x v="109"/>
  </r>
  <r>
    <x v="109"/>
    <x v="15"/>
    <n v="1125.81"/>
    <x v="109"/>
  </r>
  <r>
    <x v="110"/>
    <x v="0"/>
    <n v="0"/>
    <x v="110"/>
  </r>
  <r>
    <x v="110"/>
    <x v="1"/>
    <n v="13.4"/>
    <x v="110"/>
  </r>
  <r>
    <x v="110"/>
    <x v="2"/>
    <n v="0"/>
    <x v="110"/>
  </r>
  <r>
    <x v="110"/>
    <x v="3"/>
    <n v="1"/>
    <x v="110"/>
  </r>
  <r>
    <x v="110"/>
    <x v="4"/>
    <n v="0"/>
    <x v="110"/>
  </r>
  <r>
    <x v="110"/>
    <x v="5"/>
    <n v="16"/>
    <x v="110"/>
  </r>
  <r>
    <x v="110"/>
    <x v="6"/>
    <n v="0"/>
    <x v="110"/>
  </r>
  <r>
    <x v="110"/>
    <x v="7"/>
    <n v="7"/>
    <x v="110"/>
  </r>
  <r>
    <x v="110"/>
    <x v="8"/>
    <n v="0"/>
    <x v="110"/>
  </r>
  <r>
    <x v="110"/>
    <x v="9"/>
    <n v="12.8"/>
    <x v="110"/>
  </r>
  <r>
    <x v="110"/>
    <x v="10"/>
    <n v="0.93"/>
    <x v="110"/>
  </r>
  <r>
    <x v="110"/>
    <x v="11"/>
    <n v="4.03"/>
    <x v="110"/>
  </r>
  <r>
    <x v="110"/>
    <x v="12"/>
    <n v="0"/>
    <x v="110"/>
  </r>
  <r>
    <x v="110"/>
    <x v="13"/>
    <n v="0"/>
    <x v="110"/>
  </r>
  <r>
    <x v="110"/>
    <x v="14"/>
    <n v="0"/>
    <x v="110"/>
  </r>
  <r>
    <x v="110"/>
    <x v="15"/>
    <n v="4"/>
    <x v="110"/>
  </r>
  <r>
    <x v="111"/>
    <x v="0"/>
    <n v="0"/>
    <x v="111"/>
  </r>
  <r>
    <x v="111"/>
    <x v="1"/>
    <n v="252.6"/>
    <x v="111"/>
  </r>
  <r>
    <x v="111"/>
    <x v="2"/>
    <n v="0"/>
    <x v="111"/>
  </r>
  <r>
    <x v="111"/>
    <x v="3"/>
    <n v="73.28"/>
    <x v="111"/>
  </r>
  <r>
    <x v="111"/>
    <x v="4"/>
    <n v="0"/>
    <x v="111"/>
  </r>
  <r>
    <x v="111"/>
    <x v="5"/>
    <n v="190.76"/>
    <x v="111"/>
  </r>
  <r>
    <x v="111"/>
    <x v="6"/>
    <n v="0"/>
    <x v="111"/>
  </r>
  <r>
    <x v="111"/>
    <x v="7"/>
    <n v="175.29"/>
    <x v="111"/>
  </r>
  <r>
    <x v="111"/>
    <x v="8"/>
    <n v="0"/>
    <x v="111"/>
  </r>
  <r>
    <x v="111"/>
    <x v="9"/>
    <n v="264.64"/>
    <x v="111"/>
  </r>
  <r>
    <x v="111"/>
    <x v="10"/>
    <n v="5.09"/>
    <x v="111"/>
  </r>
  <r>
    <x v="111"/>
    <x v="11"/>
    <n v="30.92"/>
    <x v="111"/>
  </r>
  <r>
    <x v="111"/>
    <x v="12"/>
    <n v="0"/>
    <x v="111"/>
  </r>
  <r>
    <x v="111"/>
    <x v="13"/>
    <n v="0"/>
    <x v="111"/>
  </r>
  <r>
    <x v="111"/>
    <x v="14"/>
    <n v="36"/>
    <x v="111"/>
  </r>
  <r>
    <x v="111"/>
    <x v="15"/>
    <n v="68.599999999999994"/>
    <x v="111"/>
  </r>
  <r>
    <x v="112"/>
    <x v="0"/>
    <n v="0"/>
    <x v="112"/>
  </r>
  <r>
    <x v="112"/>
    <x v="1"/>
    <n v="17"/>
    <x v="112"/>
  </r>
  <r>
    <x v="112"/>
    <x v="2"/>
    <n v="0"/>
    <x v="112"/>
  </r>
  <r>
    <x v="112"/>
    <x v="3"/>
    <n v="5.8"/>
    <x v="112"/>
  </r>
  <r>
    <x v="112"/>
    <x v="4"/>
    <n v="0"/>
    <x v="112"/>
  </r>
  <r>
    <x v="112"/>
    <x v="5"/>
    <n v="10.4"/>
    <x v="112"/>
  </r>
  <r>
    <x v="112"/>
    <x v="6"/>
    <n v="0"/>
    <x v="112"/>
  </r>
  <r>
    <x v="112"/>
    <x v="7"/>
    <n v="0"/>
    <x v="112"/>
  </r>
  <r>
    <x v="112"/>
    <x v="8"/>
    <n v="0"/>
    <x v="112"/>
  </r>
  <r>
    <x v="112"/>
    <x v="9"/>
    <n v="0"/>
    <x v="112"/>
  </r>
  <r>
    <x v="112"/>
    <x v="10"/>
    <n v="0"/>
    <x v="112"/>
  </r>
  <r>
    <x v="112"/>
    <x v="11"/>
    <n v="0"/>
    <x v="112"/>
  </r>
  <r>
    <x v="112"/>
    <x v="12"/>
    <n v="0"/>
    <x v="112"/>
  </r>
  <r>
    <x v="112"/>
    <x v="13"/>
    <n v="0"/>
    <x v="112"/>
  </r>
  <r>
    <x v="112"/>
    <x v="14"/>
    <n v="0"/>
    <x v="112"/>
  </r>
  <r>
    <x v="112"/>
    <x v="15"/>
    <n v="5"/>
    <x v="112"/>
  </r>
  <r>
    <x v="113"/>
    <x v="0"/>
    <n v="0"/>
    <x v="113"/>
  </r>
  <r>
    <x v="113"/>
    <x v="1"/>
    <n v="1070.8499999999999"/>
    <x v="113"/>
  </r>
  <r>
    <x v="113"/>
    <x v="2"/>
    <n v="0"/>
    <x v="113"/>
  </r>
  <r>
    <x v="113"/>
    <x v="3"/>
    <n v="362.39"/>
    <x v="113"/>
  </r>
  <r>
    <x v="113"/>
    <x v="4"/>
    <n v="0"/>
    <x v="113"/>
  </r>
  <r>
    <x v="113"/>
    <x v="5"/>
    <n v="727.41"/>
    <x v="113"/>
  </r>
  <r>
    <x v="113"/>
    <x v="6"/>
    <n v="0"/>
    <x v="113"/>
  </r>
  <r>
    <x v="113"/>
    <x v="7"/>
    <n v="712.33"/>
    <x v="113"/>
  </r>
  <r>
    <x v="113"/>
    <x v="8"/>
    <n v="0"/>
    <x v="113"/>
  </r>
  <r>
    <x v="113"/>
    <x v="9"/>
    <n v="1388.93"/>
    <x v="113"/>
  </r>
  <r>
    <x v="113"/>
    <x v="10"/>
    <n v="68.36"/>
    <x v="113"/>
  </r>
  <r>
    <x v="113"/>
    <x v="11"/>
    <n v="430.54"/>
    <x v="113"/>
  </r>
  <r>
    <x v="113"/>
    <x v="12"/>
    <n v="0"/>
    <x v="113"/>
  </r>
  <r>
    <x v="113"/>
    <x v="13"/>
    <n v="0"/>
    <x v="113"/>
  </r>
  <r>
    <x v="113"/>
    <x v="14"/>
    <n v="155.19"/>
    <x v="113"/>
  </r>
  <r>
    <x v="113"/>
    <x v="15"/>
    <n v="304.61"/>
    <x v="113"/>
  </r>
  <r>
    <x v="114"/>
    <x v="0"/>
    <n v="0"/>
    <x v="114"/>
  </r>
  <r>
    <x v="114"/>
    <x v="1"/>
    <n v="3965.24"/>
    <x v="114"/>
  </r>
  <r>
    <x v="114"/>
    <x v="2"/>
    <n v="0"/>
    <x v="114"/>
  </r>
  <r>
    <x v="114"/>
    <x v="3"/>
    <n v="1386.97"/>
    <x v="114"/>
  </r>
  <r>
    <x v="114"/>
    <x v="4"/>
    <n v="0"/>
    <x v="114"/>
  </r>
  <r>
    <x v="114"/>
    <x v="5"/>
    <n v="2715.55"/>
    <x v="114"/>
  </r>
  <r>
    <x v="114"/>
    <x v="6"/>
    <n v="0"/>
    <x v="114"/>
  </r>
  <r>
    <x v="114"/>
    <x v="7"/>
    <n v="2805.78"/>
    <x v="114"/>
  </r>
  <r>
    <x v="114"/>
    <x v="8"/>
    <n v="0"/>
    <x v="114"/>
  </r>
  <r>
    <x v="114"/>
    <x v="9"/>
    <n v="5625.67"/>
    <x v="114"/>
  </r>
  <r>
    <x v="114"/>
    <x v="10"/>
    <n v="131.22"/>
    <x v="114"/>
  </r>
  <r>
    <x v="114"/>
    <x v="11"/>
    <n v="978.7"/>
    <x v="114"/>
  </r>
  <r>
    <x v="114"/>
    <x v="12"/>
    <n v="0"/>
    <x v="114"/>
  </r>
  <r>
    <x v="114"/>
    <x v="13"/>
    <n v="531.32000000000005"/>
    <x v="114"/>
  </r>
  <r>
    <x v="114"/>
    <x v="14"/>
    <n v="28.8"/>
    <x v="114"/>
  </r>
  <r>
    <x v="114"/>
    <x v="15"/>
    <n v="1201.6600000000001"/>
    <x v="114"/>
  </r>
  <r>
    <x v="115"/>
    <x v="0"/>
    <n v="0"/>
    <x v="115"/>
  </r>
  <r>
    <x v="115"/>
    <x v="1"/>
    <n v="5711.18"/>
    <x v="115"/>
  </r>
  <r>
    <x v="115"/>
    <x v="2"/>
    <n v="0"/>
    <x v="115"/>
  </r>
  <r>
    <x v="115"/>
    <x v="3"/>
    <n v="1945.65"/>
    <x v="115"/>
  </r>
  <r>
    <x v="115"/>
    <x v="4"/>
    <n v="0"/>
    <x v="115"/>
  </r>
  <r>
    <x v="115"/>
    <x v="5"/>
    <n v="3849.69"/>
    <x v="115"/>
  </r>
  <r>
    <x v="115"/>
    <x v="6"/>
    <n v="0"/>
    <x v="115"/>
  </r>
  <r>
    <x v="115"/>
    <x v="7"/>
    <n v="3855.74"/>
    <x v="115"/>
  </r>
  <r>
    <x v="115"/>
    <x v="8"/>
    <n v="0"/>
    <x v="115"/>
  </r>
  <r>
    <x v="115"/>
    <x v="9"/>
    <n v="6569.75"/>
    <x v="115"/>
  </r>
  <r>
    <x v="115"/>
    <x v="10"/>
    <n v="332.25"/>
    <x v="115"/>
  </r>
  <r>
    <x v="115"/>
    <x v="11"/>
    <n v="1733.78"/>
    <x v="115"/>
  </r>
  <r>
    <x v="115"/>
    <x v="12"/>
    <n v="0"/>
    <x v="115"/>
  </r>
  <r>
    <x v="115"/>
    <x v="13"/>
    <n v="0"/>
    <x v="115"/>
  </r>
  <r>
    <x v="115"/>
    <x v="14"/>
    <n v="0"/>
    <x v="115"/>
  </r>
  <r>
    <x v="115"/>
    <x v="15"/>
    <n v="1810.78"/>
    <x v="115"/>
  </r>
  <r>
    <x v="116"/>
    <x v="0"/>
    <n v="0"/>
    <x v="116"/>
  </r>
  <r>
    <x v="116"/>
    <x v="1"/>
    <n v="139.34"/>
    <x v="116"/>
  </r>
  <r>
    <x v="116"/>
    <x v="2"/>
    <n v="0"/>
    <x v="116"/>
  </r>
  <r>
    <x v="116"/>
    <x v="3"/>
    <n v="52.1"/>
    <x v="116"/>
  </r>
  <r>
    <x v="116"/>
    <x v="4"/>
    <n v="0"/>
    <x v="116"/>
  </r>
  <r>
    <x v="116"/>
    <x v="5"/>
    <n v="107.5"/>
    <x v="116"/>
  </r>
  <r>
    <x v="116"/>
    <x v="6"/>
    <n v="0"/>
    <x v="116"/>
  </r>
  <r>
    <x v="116"/>
    <x v="7"/>
    <n v="97.64"/>
    <x v="116"/>
  </r>
  <r>
    <x v="116"/>
    <x v="8"/>
    <n v="0"/>
    <x v="116"/>
  </r>
  <r>
    <x v="116"/>
    <x v="9"/>
    <n v="204.73"/>
    <x v="116"/>
  </r>
  <r>
    <x v="116"/>
    <x v="10"/>
    <n v="0"/>
    <x v="116"/>
  </r>
  <r>
    <x v="116"/>
    <x v="11"/>
    <n v="55.28"/>
    <x v="116"/>
  </r>
  <r>
    <x v="116"/>
    <x v="12"/>
    <n v="0"/>
    <x v="116"/>
  </r>
  <r>
    <x v="116"/>
    <x v="13"/>
    <n v="0"/>
    <x v="116"/>
  </r>
  <r>
    <x v="116"/>
    <x v="14"/>
    <n v="17.8"/>
    <x v="116"/>
  </r>
  <r>
    <x v="116"/>
    <x v="15"/>
    <n v="31.64"/>
    <x v="116"/>
  </r>
  <r>
    <x v="117"/>
    <x v="0"/>
    <n v="0"/>
    <x v="117"/>
  </r>
  <r>
    <x v="117"/>
    <x v="1"/>
    <n v="302.60000000000002"/>
    <x v="117"/>
  </r>
  <r>
    <x v="117"/>
    <x v="2"/>
    <n v="0"/>
    <x v="117"/>
  </r>
  <r>
    <x v="117"/>
    <x v="3"/>
    <n v="96"/>
    <x v="117"/>
  </r>
  <r>
    <x v="117"/>
    <x v="4"/>
    <n v="0"/>
    <x v="117"/>
  </r>
  <r>
    <x v="117"/>
    <x v="5"/>
    <n v="204.4"/>
    <x v="117"/>
  </r>
  <r>
    <x v="117"/>
    <x v="6"/>
    <n v="0"/>
    <x v="117"/>
  </r>
  <r>
    <x v="117"/>
    <x v="7"/>
    <n v="226.19"/>
    <x v="117"/>
  </r>
  <r>
    <x v="117"/>
    <x v="8"/>
    <n v="0"/>
    <x v="117"/>
  </r>
  <r>
    <x v="117"/>
    <x v="9"/>
    <n v="368.17"/>
    <x v="117"/>
  </r>
  <r>
    <x v="117"/>
    <x v="10"/>
    <n v="14.14"/>
    <x v="117"/>
  </r>
  <r>
    <x v="117"/>
    <x v="11"/>
    <n v="78.92"/>
    <x v="117"/>
  </r>
  <r>
    <x v="117"/>
    <x v="12"/>
    <n v="0"/>
    <x v="117"/>
  </r>
  <r>
    <x v="117"/>
    <x v="13"/>
    <n v="0"/>
    <x v="117"/>
  </r>
  <r>
    <x v="117"/>
    <x v="14"/>
    <n v="11.8"/>
    <x v="117"/>
  </r>
  <r>
    <x v="117"/>
    <x v="15"/>
    <n v="77.599999999999994"/>
    <x v="117"/>
  </r>
  <r>
    <x v="118"/>
    <x v="0"/>
    <n v="0"/>
    <x v="118"/>
  </r>
  <r>
    <x v="118"/>
    <x v="1"/>
    <n v="108"/>
    <x v="118"/>
  </r>
  <r>
    <x v="118"/>
    <x v="2"/>
    <n v="0"/>
    <x v="118"/>
  </r>
  <r>
    <x v="118"/>
    <x v="3"/>
    <n v="48"/>
    <x v="118"/>
  </r>
  <r>
    <x v="118"/>
    <x v="4"/>
    <n v="0"/>
    <x v="118"/>
  </r>
  <r>
    <x v="118"/>
    <x v="5"/>
    <n v="72"/>
    <x v="118"/>
  </r>
  <r>
    <x v="118"/>
    <x v="6"/>
    <n v="0"/>
    <x v="118"/>
  </r>
  <r>
    <x v="118"/>
    <x v="7"/>
    <n v="91.69"/>
    <x v="118"/>
  </r>
  <r>
    <x v="118"/>
    <x v="8"/>
    <n v="0"/>
    <x v="118"/>
  </r>
  <r>
    <x v="118"/>
    <x v="9"/>
    <n v="167.03"/>
    <x v="118"/>
  </r>
  <r>
    <x v="118"/>
    <x v="10"/>
    <n v="16.84"/>
    <x v="118"/>
  </r>
  <r>
    <x v="118"/>
    <x v="11"/>
    <n v="35.57"/>
    <x v="118"/>
  </r>
  <r>
    <x v="118"/>
    <x v="12"/>
    <n v="0"/>
    <x v="118"/>
  </r>
  <r>
    <x v="118"/>
    <x v="13"/>
    <n v="0"/>
    <x v="118"/>
  </r>
  <r>
    <x v="118"/>
    <x v="14"/>
    <n v="18"/>
    <x v="118"/>
  </r>
  <r>
    <x v="118"/>
    <x v="15"/>
    <n v="44"/>
    <x v="118"/>
  </r>
  <r>
    <x v="119"/>
    <x v="0"/>
    <n v="0"/>
    <x v="119"/>
  </r>
  <r>
    <x v="119"/>
    <x v="1"/>
    <n v="19.600000000000001"/>
    <x v="119"/>
  </r>
  <r>
    <x v="119"/>
    <x v="2"/>
    <n v="0"/>
    <x v="119"/>
  </r>
  <r>
    <x v="119"/>
    <x v="3"/>
    <n v="5"/>
    <x v="119"/>
  </r>
  <r>
    <x v="119"/>
    <x v="4"/>
    <n v="0"/>
    <x v="119"/>
  </r>
  <r>
    <x v="119"/>
    <x v="5"/>
    <n v="15.2"/>
    <x v="119"/>
  </r>
  <r>
    <x v="119"/>
    <x v="6"/>
    <n v="0"/>
    <x v="119"/>
  </r>
  <r>
    <x v="119"/>
    <x v="7"/>
    <n v="13"/>
    <x v="119"/>
  </r>
  <r>
    <x v="119"/>
    <x v="8"/>
    <n v="0"/>
    <x v="119"/>
  </r>
  <r>
    <x v="119"/>
    <x v="9"/>
    <n v="18.7"/>
    <x v="119"/>
  </r>
  <r>
    <x v="119"/>
    <x v="10"/>
    <n v="0"/>
    <x v="119"/>
  </r>
  <r>
    <x v="119"/>
    <x v="11"/>
    <n v="0"/>
    <x v="119"/>
  </r>
  <r>
    <x v="119"/>
    <x v="12"/>
    <n v="0"/>
    <x v="119"/>
  </r>
  <r>
    <x v="119"/>
    <x v="13"/>
    <n v="0"/>
    <x v="119"/>
  </r>
  <r>
    <x v="119"/>
    <x v="14"/>
    <n v="0"/>
    <x v="119"/>
  </r>
  <r>
    <x v="119"/>
    <x v="15"/>
    <n v="0"/>
    <x v="119"/>
  </r>
  <r>
    <x v="120"/>
    <x v="0"/>
    <n v="0"/>
    <x v="120"/>
  </r>
  <r>
    <x v="120"/>
    <x v="1"/>
    <n v="385.07"/>
    <x v="120"/>
  </r>
  <r>
    <x v="120"/>
    <x v="2"/>
    <n v="0"/>
    <x v="120"/>
  </r>
  <r>
    <x v="120"/>
    <x v="3"/>
    <n v="131.13999999999999"/>
    <x v="120"/>
  </r>
  <r>
    <x v="120"/>
    <x v="4"/>
    <n v="0"/>
    <x v="120"/>
  </r>
  <r>
    <x v="120"/>
    <x v="5"/>
    <n v="284.45999999999998"/>
    <x v="120"/>
  </r>
  <r>
    <x v="120"/>
    <x v="6"/>
    <n v="0"/>
    <x v="120"/>
  </r>
  <r>
    <x v="120"/>
    <x v="7"/>
    <n v="277.8"/>
    <x v="120"/>
  </r>
  <r>
    <x v="120"/>
    <x v="8"/>
    <n v="0"/>
    <x v="120"/>
  </r>
  <r>
    <x v="120"/>
    <x v="9"/>
    <n v="503.81"/>
    <x v="120"/>
  </r>
  <r>
    <x v="120"/>
    <x v="10"/>
    <n v="6.02"/>
    <x v="120"/>
  </r>
  <r>
    <x v="120"/>
    <x v="11"/>
    <n v="115.18"/>
    <x v="120"/>
  </r>
  <r>
    <x v="120"/>
    <x v="12"/>
    <n v="0"/>
    <x v="120"/>
  </r>
  <r>
    <x v="120"/>
    <x v="13"/>
    <n v="0"/>
    <x v="120"/>
  </r>
  <r>
    <x v="120"/>
    <x v="14"/>
    <n v="0"/>
    <x v="120"/>
  </r>
  <r>
    <x v="120"/>
    <x v="15"/>
    <n v="125.89"/>
    <x v="120"/>
  </r>
  <r>
    <x v="121"/>
    <x v="0"/>
    <n v="0"/>
    <x v="121"/>
  </r>
  <r>
    <x v="121"/>
    <x v="1"/>
    <n v="87.8"/>
    <x v="121"/>
  </r>
  <r>
    <x v="121"/>
    <x v="2"/>
    <n v="0"/>
    <x v="121"/>
  </r>
  <r>
    <x v="121"/>
    <x v="3"/>
    <n v="30.6"/>
    <x v="121"/>
  </r>
  <r>
    <x v="121"/>
    <x v="4"/>
    <n v="0"/>
    <x v="121"/>
  </r>
  <r>
    <x v="121"/>
    <x v="5"/>
    <n v="79.2"/>
    <x v="121"/>
  </r>
  <r>
    <x v="121"/>
    <x v="6"/>
    <n v="0"/>
    <x v="121"/>
  </r>
  <r>
    <x v="121"/>
    <x v="7"/>
    <n v="76.88"/>
    <x v="121"/>
  </r>
  <r>
    <x v="121"/>
    <x v="8"/>
    <n v="0"/>
    <x v="121"/>
  </r>
  <r>
    <x v="121"/>
    <x v="9"/>
    <n v="147.09"/>
    <x v="121"/>
  </r>
  <r>
    <x v="121"/>
    <x v="10"/>
    <n v="5.54"/>
    <x v="121"/>
  </r>
  <r>
    <x v="121"/>
    <x v="11"/>
    <n v="15.71"/>
    <x v="121"/>
  </r>
  <r>
    <x v="121"/>
    <x v="12"/>
    <n v="0"/>
    <x v="121"/>
  </r>
  <r>
    <x v="121"/>
    <x v="13"/>
    <n v="0"/>
    <x v="121"/>
  </r>
  <r>
    <x v="121"/>
    <x v="14"/>
    <n v="0"/>
    <x v="121"/>
  </r>
  <r>
    <x v="121"/>
    <x v="15"/>
    <n v="29.8"/>
    <x v="121"/>
  </r>
  <r>
    <x v="122"/>
    <x v="0"/>
    <n v="0"/>
    <x v="122"/>
  </r>
  <r>
    <x v="122"/>
    <x v="1"/>
    <n v="12"/>
    <x v="122"/>
  </r>
  <r>
    <x v="122"/>
    <x v="2"/>
    <n v="0"/>
    <x v="122"/>
  </r>
  <r>
    <x v="122"/>
    <x v="3"/>
    <n v="7"/>
    <x v="122"/>
  </r>
  <r>
    <x v="122"/>
    <x v="4"/>
    <n v="0"/>
    <x v="122"/>
  </r>
  <r>
    <x v="122"/>
    <x v="5"/>
    <n v="11.4"/>
    <x v="122"/>
  </r>
  <r>
    <x v="122"/>
    <x v="6"/>
    <n v="0"/>
    <x v="122"/>
  </r>
  <r>
    <x v="122"/>
    <x v="7"/>
    <n v="8.4"/>
    <x v="122"/>
  </r>
  <r>
    <x v="122"/>
    <x v="8"/>
    <n v="0"/>
    <x v="122"/>
  </r>
  <r>
    <x v="122"/>
    <x v="9"/>
    <n v="28.08"/>
    <x v="122"/>
  </r>
  <r>
    <x v="122"/>
    <x v="10"/>
    <n v="1.1299999999999999"/>
    <x v="122"/>
  </r>
  <r>
    <x v="122"/>
    <x v="11"/>
    <n v="6.71"/>
    <x v="122"/>
  </r>
  <r>
    <x v="122"/>
    <x v="12"/>
    <n v="0"/>
    <x v="122"/>
  </r>
  <r>
    <x v="122"/>
    <x v="13"/>
    <n v="0"/>
    <x v="122"/>
  </r>
  <r>
    <x v="122"/>
    <x v="14"/>
    <n v="2.58"/>
    <x v="122"/>
  </r>
  <r>
    <x v="122"/>
    <x v="15"/>
    <n v="6"/>
    <x v="122"/>
  </r>
  <r>
    <x v="123"/>
    <x v="0"/>
    <n v="0"/>
    <x v="123"/>
  </r>
  <r>
    <x v="123"/>
    <x v="1"/>
    <n v="235.24"/>
    <x v="123"/>
  </r>
  <r>
    <x v="123"/>
    <x v="2"/>
    <n v="0"/>
    <x v="123"/>
  </r>
  <r>
    <x v="123"/>
    <x v="3"/>
    <n v="73.599999999999994"/>
    <x v="123"/>
  </r>
  <r>
    <x v="123"/>
    <x v="4"/>
    <n v="0"/>
    <x v="123"/>
  </r>
  <r>
    <x v="123"/>
    <x v="5"/>
    <n v="178.49"/>
    <x v="123"/>
  </r>
  <r>
    <x v="123"/>
    <x v="6"/>
    <n v="0"/>
    <x v="123"/>
  </r>
  <r>
    <x v="123"/>
    <x v="7"/>
    <n v="189.55"/>
    <x v="123"/>
  </r>
  <r>
    <x v="123"/>
    <x v="8"/>
    <n v="0"/>
    <x v="123"/>
  </r>
  <r>
    <x v="123"/>
    <x v="9"/>
    <n v="439.61"/>
    <x v="123"/>
  </r>
  <r>
    <x v="123"/>
    <x v="10"/>
    <n v="12.61"/>
    <x v="123"/>
  </r>
  <r>
    <x v="123"/>
    <x v="11"/>
    <n v="148.6"/>
    <x v="123"/>
  </r>
  <r>
    <x v="123"/>
    <x v="12"/>
    <n v="0"/>
    <x v="123"/>
  </r>
  <r>
    <x v="123"/>
    <x v="13"/>
    <n v="0"/>
    <x v="123"/>
  </r>
  <r>
    <x v="123"/>
    <x v="14"/>
    <n v="0"/>
    <x v="123"/>
  </r>
  <r>
    <x v="123"/>
    <x v="15"/>
    <n v="75.02"/>
    <x v="123"/>
  </r>
  <r>
    <x v="124"/>
    <x v="0"/>
    <n v="0"/>
    <x v="124"/>
  </r>
  <r>
    <x v="124"/>
    <x v="1"/>
    <n v="36.200000000000003"/>
    <x v="124"/>
  </r>
  <r>
    <x v="124"/>
    <x v="2"/>
    <n v="0"/>
    <x v="124"/>
  </r>
  <r>
    <x v="124"/>
    <x v="3"/>
    <n v="15.65"/>
    <x v="124"/>
  </r>
  <r>
    <x v="124"/>
    <x v="4"/>
    <n v="0"/>
    <x v="124"/>
  </r>
  <r>
    <x v="124"/>
    <x v="5"/>
    <n v="37.6"/>
    <x v="124"/>
  </r>
  <r>
    <x v="124"/>
    <x v="6"/>
    <n v="0"/>
    <x v="124"/>
  </r>
  <r>
    <x v="124"/>
    <x v="7"/>
    <n v="33.200000000000003"/>
    <x v="124"/>
  </r>
  <r>
    <x v="124"/>
    <x v="8"/>
    <n v="0"/>
    <x v="124"/>
  </r>
  <r>
    <x v="124"/>
    <x v="9"/>
    <n v="61.15"/>
    <x v="124"/>
  </r>
  <r>
    <x v="124"/>
    <x v="10"/>
    <n v="0"/>
    <x v="124"/>
  </r>
  <r>
    <x v="124"/>
    <x v="11"/>
    <n v="12.14"/>
    <x v="124"/>
  </r>
  <r>
    <x v="124"/>
    <x v="12"/>
    <n v="0"/>
    <x v="124"/>
  </r>
  <r>
    <x v="124"/>
    <x v="13"/>
    <n v="0"/>
    <x v="124"/>
  </r>
  <r>
    <x v="124"/>
    <x v="14"/>
    <n v="0"/>
    <x v="124"/>
  </r>
  <r>
    <x v="124"/>
    <x v="15"/>
    <n v="13"/>
    <x v="124"/>
  </r>
  <r>
    <x v="125"/>
    <x v="0"/>
    <n v="0"/>
    <x v="125"/>
  </r>
  <r>
    <x v="125"/>
    <x v="1"/>
    <n v="2319.81"/>
    <x v="125"/>
  </r>
  <r>
    <x v="125"/>
    <x v="2"/>
    <n v="0"/>
    <x v="125"/>
  </r>
  <r>
    <x v="125"/>
    <x v="3"/>
    <n v="743.95"/>
    <x v="125"/>
  </r>
  <r>
    <x v="125"/>
    <x v="4"/>
    <n v="0"/>
    <x v="125"/>
  </r>
  <r>
    <x v="125"/>
    <x v="5"/>
    <n v="1496.34"/>
    <x v="125"/>
  </r>
  <r>
    <x v="125"/>
    <x v="6"/>
    <n v="0"/>
    <x v="125"/>
  </r>
  <r>
    <x v="125"/>
    <x v="7"/>
    <n v="1520.18"/>
    <x v="125"/>
  </r>
  <r>
    <x v="125"/>
    <x v="8"/>
    <n v="0"/>
    <x v="125"/>
  </r>
  <r>
    <x v="125"/>
    <x v="9"/>
    <n v="2611.2399999999998"/>
    <x v="125"/>
  </r>
  <r>
    <x v="125"/>
    <x v="10"/>
    <n v="125.64"/>
    <x v="125"/>
  </r>
  <r>
    <x v="125"/>
    <x v="11"/>
    <n v="458.32"/>
    <x v="125"/>
  </r>
  <r>
    <x v="125"/>
    <x v="12"/>
    <n v="0"/>
    <x v="125"/>
  </r>
  <r>
    <x v="125"/>
    <x v="13"/>
    <n v="0"/>
    <x v="125"/>
  </r>
  <r>
    <x v="125"/>
    <x v="14"/>
    <n v="0"/>
    <x v="125"/>
  </r>
  <r>
    <x v="125"/>
    <x v="15"/>
    <n v="767.71"/>
    <x v="125"/>
  </r>
  <r>
    <x v="126"/>
    <x v="0"/>
    <n v="0"/>
    <x v="126"/>
  </r>
  <r>
    <x v="126"/>
    <x v="1"/>
    <n v="6772.48"/>
    <x v="126"/>
  </r>
  <r>
    <x v="126"/>
    <x v="2"/>
    <n v="0"/>
    <x v="126"/>
  </r>
  <r>
    <x v="126"/>
    <x v="3"/>
    <n v="2395.89"/>
    <x v="126"/>
  </r>
  <r>
    <x v="126"/>
    <x v="4"/>
    <n v="0"/>
    <x v="126"/>
  </r>
  <r>
    <x v="126"/>
    <x v="5"/>
    <n v="4867.3"/>
    <x v="126"/>
  </r>
  <r>
    <x v="126"/>
    <x v="6"/>
    <n v="0"/>
    <x v="126"/>
  </r>
  <r>
    <x v="126"/>
    <x v="7"/>
    <n v="4834.2"/>
    <x v="126"/>
  </r>
  <r>
    <x v="126"/>
    <x v="8"/>
    <n v="0"/>
    <x v="126"/>
  </r>
  <r>
    <x v="126"/>
    <x v="9"/>
    <n v="9089.01"/>
    <x v="126"/>
  </r>
  <r>
    <x v="126"/>
    <x v="10"/>
    <n v="331.49"/>
    <x v="126"/>
  </r>
  <r>
    <x v="126"/>
    <x v="11"/>
    <n v="1896.58"/>
    <x v="126"/>
  </r>
  <r>
    <x v="126"/>
    <x v="12"/>
    <n v="0"/>
    <x v="126"/>
  </r>
  <r>
    <x v="126"/>
    <x v="13"/>
    <n v="409.68"/>
    <x v="126"/>
  </r>
  <r>
    <x v="126"/>
    <x v="14"/>
    <n v="0"/>
    <x v="126"/>
  </r>
  <r>
    <x v="126"/>
    <x v="15"/>
    <n v="1888"/>
    <x v="126"/>
  </r>
  <r>
    <x v="127"/>
    <x v="0"/>
    <n v="0"/>
    <x v="127"/>
  </r>
  <r>
    <x v="127"/>
    <x v="1"/>
    <n v="601.76"/>
    <x v="127"/>
  </r>
  <r>
    <x v="127"/>
    <x v="2"/>
    <n v="0"/>
    <x v="127"/>
  </r>
  <r>
    <x v="127"/>
    <x v="3"/>
    <n v="179.25"/>
    <x v="127"/>
  </r>
  <r>
    <x v="127"/>
    <x v="4"/>
    <n v="0"/>
    <x v="127"/>
  </r>
  <r>
    <x v="127"/>
    <x v="5"/>
    <n v="443.12"/>
    <x v="127"/>
  </r>
  <r>
    <x v="127"/>
    <x v="6"/>
    <n v="0"/>
    <x v="127"/>
  </r>
  <r>
    <x v="127"/>
    <x v="7"/>
    <n v="416.7"/>
    <x v="127"/>
  </r>
  <r>
    <x v="127"/>
    <x v="8"/>
    <n v="0"/>
    <x v="127"/>
  </r>
  <r>
    <x v="127"/>
    <x v="9"/>
    <n v="725.23"/>
    <x v="127"/>
  </r>
  <r>
    <x v="127"/>
    <x v="10"/>
    <n v="24.7"/>
    <x v="127"/>
  </r>
  <r>
    <x v="127"/>
    <x v="11"/>
    <n v="148.44999999999999"/>
    <x v="127"/>
  </r>
  <r>
    <x v="127"/>
    <x v="12"/>
    <n v="0"/>
    <x v="127"/>
  </r>
  <r>
    <x v="127"/>
    <x v="13"/>
    <n v="0"/>
    <x v="127"/>
  </r>
  <r>
    <x v="127"/>
    <x v="14"/>
    <n v="0"/>
    <x v="127"/>
  </r>
  <r>
    <x v="127"/>
    <x v="15"/>
    <n v="176.99"/>
    <x v="127"/>
  </r>
  <r>
    <x v="128"/>
    <x v="0"/>
    <n v="0"/>
    <x v="128"/>
  </r>
  <r>
    <x v="128"/>
    <x v="1"/>
    <n v="0"/>
    <x v="128"/>
  </r>
  <r>
    <x v="128"/>
    <x v="2"/>
    <n v="0"/>
    <x v="128"/>
  </r>
  <r>
    <x v="128"/>
    <x v="3"/>
    <n v="0"/>
    <x v="128"/>
  </r>
  <r>
    <x v="128"/>
    <x v="4"/>
    <n v="0"/>
    <x v="128"/>
  </r>
  <r>
    <x v="128"/>
    <x v="5"/>
    <n v="17.399999999999999"/>
    <x v="128"/>
  </r>
  <r>
    <x v="128"/>
    <x v="6"/>
    <n v="0"/>
    <x v="128"/>
  </r>
  <r>
    <x v="128"/>
    <x v="7"/>
    <n v="11.7"/>
    <x v="128"/>
  </r>
  <r>
    <x v="128"/>
    <x v="8"/>
    <n v="0"/>
    <x v="128"/>
  </r>
  <r>
    <x v="128"/>
    <x v="9"/>
    <n v="0"/>
    <x v="128"/>
  </r>
  <r>
    <x v="128"/>
    <x v="10"/>
    <n v="0"/>
    <x v="128"/>
  </r>
  <r>
    <x v="128"/>
    <x v="11"/>
    <n v="0"/>
    <x v="128"/>
  </r>
  <r>
    <x v="128"/>
    <x v="12"/>
    <n v="0"/>
    <x v="128"/>
  </r>
  <r>
    <x v="128"/>
    <x v="13"/>
    <n v="0"/>
    <x v="128"/>
  </r>
  <r>
    <x v="128"/>
    <x v="14"/>
    <n v="0"/>
    <x v="128"/>
  </r>
  <r>
    <x v="128"/>
    <x v="15"/>
    <n v="0"/>
    <x v="128"/>
  </r>
  <r>
    <x v="129"/>
    <x v="0"/>
    <n v="0"/>
    <x v="129"/>
  </r>
  <r>
    <x v="129"/>
    <x v="1"/>
    <n v="144.62"/>
    <x v="129"/>
  </r>
  <r>
    <x v="129"/>
    <x v="2"/>
    <n v="0"/>
    <x v="129"/>
  </r>
  <r>
    <x v="129"/>
    <x v="3"/>
    <n v="47.2"/>
    <x v="129"/>
  </r>
  <r>
    <x v="129"/>
    <x v="4"/>
    <n v="0"/>
    <x v="129"/>
  </r>
  <r>
    <x v="129"/>
    <x v="5"/>
    <n v="93.4"/>
    <x v="129"/>
  </r>
  <r>
    <x v="129"/>
    <x v="6"/>
    <n v="0"/>
    <x v="129"/>
  </r>
  <r>
    <x v="129"/>
    <x v="7"/>
    <n v="93"/>
    <x v="129"/>
  </r>
  <r>
    <x v="129"/>
    <x v="8"/>
    <n v="0"/>
    <x v="129"/>
  </r>
  <r>
    <x v="129"/>
    <x v="9"/>
    <n v="142.83000000000001"/>
    <x v="129"/>
  </r>
  <r>
    <x v="129"/>
    <x v="10"/>
    <n v="0"/>
    <x v="129"/>
  </r>
  <r>
    <x v="129"/>
    <x v="11"/>
    <n v="26.11"/>
    <x v="129"/>
  </r>
  <r>
    <x v="129"/>
    <x v="12"/>
    <n v="0"/>
    <x v="129"/>
  </r>
  <r>
    <x v="129"/>
    <x v="13"/>
    <n v="0"/>
    <x v="129"/>
  </r>
  <r>
    <x v="129"/>
    <x v="14"/>
    <n v="20"/>
    <x v="129"/>
  </r>
  <r>
    <x v="129"/>
    <x v="15"/>
    <n v="36.94"/>
    <x v="129"/>
  </r>
  <r>
    <x v="130"/>
    <x v="0"/>
    <n v="0"/>
    <x v="130"/>
  </r>
  <r>
    <x v="130"/>
    <x v="1"/>
    <n v="37.799999999999997"/>
    <x v="130"/>
  </r>
  <r>
    <x v="130"/>
    <x v="2"/>
    <n v="0"/>
    <x v="130"/>
  </r>
  <r>
    <x v="130"/>
    <x v="3"/>
    <n v="15.6"/>
    <x v="130"/>
  </r>
  <r>
    <x v="130"/>
    <x v="4"/>
    <n v="0"/>
    <x v="130"/>
  </r>
  <r>
    <x v="130"/>
    <x v="5"/>
    <n v="24.98"/>
    <x v="130"/>
  </r>
  <r>
    <x v="130"/>
    <x v="6"/>
    <n v="0"/>
    <x v="130"/>
  </r>
  <r>
    <x v="130"/>
    <x v="7"/>
    <n v="34.96"/>
    <x v="130"/>
  </r>
  <r>
    <x v="130"/>
    <x v="8"/>
    <n v="0"/>
    <x v="130"/>
  </r>
  <r>
    <x v="130"/>
    <x v="9"/>
    <n v="46.8"/>
    <x v="130"/>
  </r>
  <r>
    <x v="130"/>
    <x v="10"/>
    <n v="5.16"/>
    <x v="130"/>
  </r>
  <r>
    <x v="130"/>
    <x v="11"/>
    <n v="14.63"/>
    <x v="130"/>
  </r>
  <r>
    <x v="130"/>
    <x v="12"/>
    <n v="0"/>
    <x v="130"/>
  </r>
  <r>
    <x v="130"/>
    <x v="13"/>
    <n v="0"/>
    <x v="130"/>
  </r>
  <r>
    <x v="130"/>
    <x v="14"/>
    <n v="2.4"/>
    <x v="130"/>
  </r>
  <r>
    <x v="130"/>
    <x v="15"/>
    <n v="9.6"/>
    <x v="130"/>
  </r>
  <r>
    <x v="131"/>
    <x v="0"/>
    <n v="0"/>
    <x v="131"/>
  </r>
  <r>
    <x v="131"/>
    <x v="1"/>
    <n v="1396.01"/>
    <x v="131"/>
  </r>
  <r>
    <x v="131"/>
    <x v="2"/>
    <n v="0"/>
    <x v="131"/>
  </r>
  <r>
    <x v="131"/>
    <x v="3"/>
    <n v="462.94"/>
    <x v="131"/>
  </r>
  <r>
    <x v="131"/>
    <x v="4"/>
    <n v="0"/>
    <x v="131"/>
  </r>
  <r>
    <x v="131"/>
    <x v="5"/>
    <n v="949.07"/>
    <x v="131"/>
  </r>
  <r>
    <x v="131"/>
    <x v="6"/>
    <n v="0"/>
    <x v="131"/>
  </r>
  <r>
    <x v="131"/>
    <x v="7"/>
    <n v="909.18"/>
    <x v="131"/>
  </r>
  <r>
    <x v="131"/>
    <x v="8"/>
    <n v="0"/>
    <x v="131"/>
  </r>
  <r>
    <x v="131"/>
    <x v="9"/>
    <n v="1754.41"/>
    <x v="131"/>
  </r>
  <r>
    <x v="131"/>
    <x v="10"/>
    <n v="44.1"/>
    <x v="131"/>
  </r>
  <r>
    <x v="131"/>
    <x v="11"/>
    <n v="353.2"/>
    <x v="131"/>
  </r>
  <r>
    <x v="131"/>
    <x v="12"/>
    <n v="0"/>
    <x v="131"/>
  </r>
  <r>
    <x v="131"/>
    <x v="13"/>
    <n v="0"/>
    <x v="131"/>
  </r>
  <r>
    <x v="131"/>
    <x v="14"/>
    <n v="128.22999999999999"/>
    <x v="131"/>
  </r>
  <r>
    <x v="131"/>
    <x v="15"/>
    <n v="424.74"/>
    <x v="131"/>
  </r>
  <r>
    <x v="132"/>
    <x v="0"/>
    <n v="0"/>
    <x v="132"/>
  </r>
  <r>
    <x v="132"/>
    <x v="1"/>
    <n v="45.4"/>
    <x v="132"/>
  </r>
  <r>
    <x v="132"/>
    <x v="2"/>
    <n v="0"/>
    <x v="132"/>
  </r>
  <r>
    <x v="132"/>
    <x v="3"/>
    <n v="12.2"/>
    <x v="132"/>
  </r>
  <r>
    <x v="132"/>
    <x v="4"/>
    <n v="0"/>
    <x v="132"/>
  </r>
  <r>
    <x v="132"/>
    <x v="5"/>
    <n v="27.4"/>
    <x v="132"/>
  </r>
  <r>
    <x v="132"/>
    <x v="6"/>
    <n v="0"/>
    <x v="132"/>
  </r>
  <r>
    <x v="132"/>
    <x v="7"/>
    <n v="0"/>
    <x v="132"/>
  </r>
  <r>
    <x v="132"/>
    <x v="8"/>
    <n v="0"/>
    <x v="132"/>
  </r>
  <r>
    <x v="132"/>
    <x v="9"/>
    <n v="0"/>
    <x v="132"/>
  </r>
  <r>
    <x v="132"/>
    <x v="10"/>
    <n v="0"/>
    <x v="132"/>
  </r>
  <r>
    <x v="132"/>
    <x v="11"/>
    <n v="0"/>
    <x v="132"/>
  </r>
  <r>
    <x v="132"/>
    <x v="12"/>
    <n v="0"/>
    <x v="132"/>
  </r>
  <r>
    <x v="132"/>
    <x v="13"/>
    <n v="0"/>
    <x v="132"/>
  </r>
  <r>
    <x v="132"/>
    <x v="14"/>
    <n v="0"/>
    <x v="132"/>
  </r>
  <r>
    <x v="132"/>
    <x v="15"/>
    <n v="15"/>
    <x v="132"/>
  </r>
  <r>
    <x v="133"/>
    <x v="0"/>
    <n v="0"/>
    <x v="133"/>
  </r>
  <r>
    <x v="133"/>
    <x v="1"/>
    <n v="29.71"/>
    <x v="133"/>
  </r>
  <r>
    <x v="133"/>
    <x v="2"/>
    <n v="0"/>
    <x v="133"/>
  </r>
  <r>
    <x v="133"/>
    <x v="3"/>
    <n v="11.6"/>
    <x v="133"/>
  </r>
  <r>
    <x v="133"/>
    <x v="4"/>
    <n v="0"/>
    <x v="133"/>
  </r>
  <r>
    <x v="133"/>
    <x v="5"/>
    <n v="36.200000000000003"/>
    <x v="133"/>
  </r>
  <r>
    <x v="133"/>
    <x v="6"/>
    <n v="0"/>
    <x v="133"/>
  </r>
  <r>
    <x v="133"/>
    <x v="7"/>
    <n v="28.16"/>
    <x v="133"/>
  </r>
  <r>
    <x v="133"/>
    <x v="8"/>
    <n v="0"/>
    <x v="133"/>
  </r>
  <r>
    <x v="133"/>
    <x v="9"/>
    <n v="70.260000000000005"/>
    <x v="133"/>
  </r>
  <r>
    <x v="133"/>
    <x v="10"/>
    <n v="0"/>
    <x v="133"/>
  </r>
  <r>
    <x v="133"/>
    <x v="11"/>
    <n v="4.22"/>
    <x v="133"/>
  </r>
  <r>
    <x v="133"/>
    <x v="12"/>
    <n v="0"/>
    <x v="133"/>
  </r>
  <r>
    <x v="133"/>
    <x v="13"/>
    <n v="0"/>
    <x v="133"/>
  </r>
  <r>
    <x v="133"/>
    <x v="14"/>
    <n v="0"/>
    <x v="133"/>
  </r>
  <r>
    <x v="133"/>
    <x v="15"/>
    <n v="13"/>
    <x v="133"/>
  </r>
  <r>
    <x v="134"/>
    <x v="0"/>
    <n v="0"/>
    <x v="134"/>
  </r>
  <r>
    <x v="134"/>
    <x v="1"/>
    <n v="0"/>
    <x v="134"/>
  </r>
  <r>
    <x v="134"/>
    <x v="2"/>
    <n v="0"/>
    <x v="134"/>
  </r>
  <r>
    <x v="134"/>
    <x v="3"/>
    <n v="0"/>
    <x v="134"/>
  </r>
  <r>
    <x v="134"/>
    <x v="4"/>
    <n v="0"/>
    <x v="134"/>
  </r>
  <r>
    <x v="134"/>
    <x v="5"/>
    <n v="0"/>
    <x v="134"/>
  </r>
  <r>
    <x v="134"/>
    <x v="6"/>
    <n v="0"/>
    <x v="134"/>
  </r>
  <r>
    <x v="134"/>
    <x v="7"/>
    <n v="0"/>
    <x v="134"/>
  </r>
  <r>
    <x v="134"/>
    <x v="8"/>
    <n v="0"/>
    <x v="134"/>
  </r>
  <r>
    <x v="134"/>
    <x v="9"/>
    <n v="28.73"/>
    <x v="134"/>
  </r>
  <r>
    <x v="134"/>
    <x v="10"/>
    <n v="0"/>
    <x v="134"/>
  </r>
  <r>
    <x v="134"/>
    <x v="11"/>
    <n v="0"/>
    <x v="134"/>
  </r>
  <r>
    <x v="134"/>
    <x v="12"/>
    <n v="0"/>
    <x v="134"/>
  </r>
  <r>
    <x v="134"/>
    <x v="13"/>
    <n v="0"/>
    <x v="134"/>
  </r>
  <r>
    <x v="134"/>
    <x v="14"/>
    <n v="0"/>
    <x v="134"/>
  </r>
  <r>
    <x v="134"/>
    <x v="15"/>
    <n v="0"/>
    <x v="134"/>
  </r>
  <r>
    <x v="135"/>
    <x v="0"/>
    <n v="0"/>
    <x v="135"/>
  </r>
  <r>
    <x v="135"/>
    <x v="1"/>
    <n v="95"/>
    <x v="135"/>
  </r>
  <r>
    <x v="135"/>
    <x v="2"/>
    <n v="0"/>
    <x v="135"/>
  </r>
  <r>
    <x v="135"/>
    <x v="3"/>
    <n v="27.8"/>
    <x v="135"/>
  </r>
  <r>
    <x v="135"/>
    <x v="4"/>
    <n v="0"/>
    <x v="135"/>
  </r>
  <r>
    <x v="135"/>
    <x v="5"/>
    <n v="72.400000000000006"/>
    <x v="135"/>
  </r>
  <r>
    <x v="135"/>
    <x v="6"/>
    <n v="0"/>
    <x v="135"/>
  </r>
  <r>
    <x v="135"/>
    <x v="7"/>
    <n v="67.2"/>
    <x v="135"/>
  </r>
  <r>
    <x v="135"/>
    <x v="8"/>
    <n v="0"/>
    <x v="135"/>
  </r>
  <r>
    <x v="135"/>
    <x v="9"/>
    <n v="132.44999999999999"/>
    <x v="135"/>
  </r>
  <r>
    <x v="135"/>
    <x v="10"/>
    <n v="0"/>
    <x v="135"/>
  </r>
  <r>
    <x v="135"/>
    <x v="11"/>
    <n v="6.77"/>
    <x v="135"/>
  </r>
  <r>
    <x v="135"/>
    <x v="12"/>
    <n v="0"/>
    <x v="135"/>
  </r>
  <r>
    <x v="135"/>
    <x v="13"/>
    <n v="0"/>
    <x v="135"/>
  </r>
  <r>
    <x v="135"/>
    <x v="14"/>
    <n v="0"/>
    <x v="135"/>
  </r>
  <r>
    <x v="135"/>
    <x v="15"/>
    <n v="20.6"/>
    <x v="135"/>
  </r>
  <r>
    <x v="136"/>
    <x v="0"/>
    <n v="0"/>
    <x v="136"/>
  </r>
  <r>
    <x v="136"/>
    <x v="1"/>
    <n v="43.6"/>
    <x v="136"/>
  </r>
  <r>
    <x v="136"/>
    <x v="2"/>
    <n v="0"/>
    <x v="136"/>
  </r>
  <r>
    <x v="136"/>
    <x v="3"/>
    <n v="9.6"/>
    <x v="136"/>
  </r>
  <r>
    <x v="136"/>
    <x v="4"/>
    <n v="0"/>
    <x v="136"/>
  </r>
  <r>
    <x v="136"/>
    <x v="5"/>
    <n v="34"/>
    <x v="136"/>
  </r>
  <r>
    <x v="136"/>
    <x v="6"/>
    <n v="0"/>
    <x v="136"/>
  </r>
  <r>
    <x v="136"/>
    <x v="7"/>
    <n v="40.6"/>
    <x v="136"/>
  </r>
  <r>
    <x v="136"/>
    <x v="8"/>
    <n v="0"/>
    <x v="136"/>
  </r>
  <r>
    <x v="136"/>
    <x v="9"/>
    <n v="40.32"/>
    <x v="136"/>
  </r>
  <r>
    <x v="136"/>
    <x v="10"/>
    <n v="0"/>
    <x v="136"/>
  </r>
  <r>
    <x v="136"/>
    <x v="11"/>
    <n v="0"/>
    <x v="136"/>
  </r>
  <r>
    <x v="136"/>
    <x v="12"/>
    <n v="0"/>
    <x v="136"/>
  </r>
  <r>
    <x v="136"/>
    <x v="13"/>
    <n v="0"/>
    <x v="136"/>
  </r>
  <r>
    <x v="136"/>
    <x v="14"/>
    <n v="9"/>
    <x v="136"/>
  </r>
  <r>
    <x v="136"/>
    <x v="15"/>
    <n v="12"/>
    <x v="136"/>
  </r>
  <r>
    <x v="137"/>
    <x v="0"/>
    <n v="0"/>
    <x v="137"/>
  </r>
  <r>
    <x v="137"/>
    <x v="1"/>
    <n v="701.5"/>
    <x v="137"/>
  </r>
  <r>
    <x v="137"/>
    <x v="2"/>
    <n v="0"/>
    <x v="137"/>
  </r>
  <r>
    <x v="137"/>
    <x v="3"/>
    <n v="216.26"/>
    <x v="137"/>
  </r>
  <r>
    <x v="137"/>
    <x v="4"/>
    <n v="0"/>
    <x v="137"/>
  </r>
  <r>
    <x v="137"/>
    <x v="5"/>
    <n v="463.71"/>
    <x v="137"/>
  </r>
  <r>
    <x v="137"/>
    <x v="6"/>
    <n v="0"/>
    <x v="137"/>
  </r>
  <r>
    <x v="137"/>
    <x v="7"/>
    <n v="475.79"/>
    <x v="137"/>
  </r>
  <r>
    <x v="137"/>
    <x v="8"/>
    <n v="0"/>
    <x v="137"/>
  </r>
  <r>
    <x v="137"/>
    <x v="9"/>
    <n v="860.13"/>
    <x v="137"/>
  </r>
  <r>
    <x v="137"/>
    <x v="10"/>
    <n v="18.190000000000001"/>
    <x v="137"/>
  </r>
  <r>
    <x v="137"/>
    <x v="11"/>
    <n v="169.56"/>
    <x v="137"/>
  </r>
  <r>
    <x v="137"/>
    <x v="12"/>
    <n v="0"/>
    <x v="137"/>
  </r>
  <r>
    <x v="137"/>
    <x v="13"/>
    <n v="0"/>
    <x v="137"/>
  </r>
  <r>
    <x v="137"/>
    <x v="14"/>
    <n v="76"/>
    <x v="137"/>
  </r>
  <r>
    <x v="137"/>
    <x v="15"/>
    <n v="200"/>
    <x v="137"/>
  </r>
  <r>
    <x v="138"/>
    <x v="0"/>
    <n v="0"/>
    <x v="138"/>
  </r>
  <r>
    <x v="138"/>
    <x v="1"/>
    <n v="135.19999999999999"/>
    <x v="138"/>
  </r>
  <r>
    <x v="138"/>
    <x v="2"/>
    <n v="0"/>
    <x v="138"/>
  </r>
  <r>
    <x v="138"/>
    <x v="3"/>
    <n v="42"/>
    <x v="138"/>
  </r>
  <r>
    <x v="138"/>
    <x v="4"/>
    <n v="0"/>
    <x v="138"/>
  </r>
  <r>
    <x v="138"/>
    <x v="5"/>
    <n v="93.4"/>
    <x v="138"/>
  </r>
  <r>
    <x v="138"/>
    <x v="6"/>
    <n v="0"/>
    <x v="138"/>
  </r>
  <r>
    <x v="138"/>
    <x v="7"/>
    <n v="107"/>
    <x v="138"/>
  </r>
  <r>
    <x v="138"/>
    <x v="8"/>
    <n v="0"/>
    <x v="138"/>
  </r>
  <r>
    <x v="138"/>
    <x v="9"/>
    <n v="212.54"/>
    <x v="138"/>
  </r>
  <r>
    <x v="138"/>
    <x v="10"/>
    <n v="6.84"/>
    <x v="138"/>
  </r>
  <r>
    <x v="138"/>
    <x v="11"/>
    <n v="41.36"/>
    <x v="138"/>
  </r>
  <r>
    <x v="138"/>
    <x v="12"/>
    <n v="0"/>
    <x v="138"/>
  </r>
  <r>
    <x v="138"/>
    <x v="13"/>
    <n v="0"/>
    <x v="138"/>
  </r>
  <r>
    <x v="138"/>
    <x v="14"/>
    <n v="26.4"/>
    <x v="138"/>
  </r>
  <r>
    <x v="138"/>
    <x v="15"/>
    <n v="60.8"/>
    <x v="138"/>
  </r>
  <r>
    <x v="139"/>
    <x v="0"/>
    <n v="0"/>
    <x v="139"/>
  </r>
  <r>
    <x v="139"/>
    <x v="1"/>
    <n v="25.2"/>
    <x v="139"/>
  </r>
  <r>
    <x v="139"/>
    <x v="2"/>
    <n v="0"/>
    <x v="139"/>
  </r>
  <r>
    <x v="139"/>
    <x v="3"/>
    <n v="8"/>
    <x v="139"/>
  </r>
  <r>
    <x v="139"/>
    <x v="4"/>
    <n v="0"/>
    <x v="139"/>
  </r>
  <r>
    <x v="139"/>
    <x v="5"/>
    <n v="15"/>
    <x v="139"/>
  </r>
  <r>
    <x v="139"/>
    <x v="6"/>
    <n v="0"/>
    <x v="139"/>
  </r>
  <r>
    <x v="139"/>
    <x v="7"/>
    <n v="19.600000000000001"/>
    <x v="139"/>
  </r>
  <r>
    <x v="139"/>
    <x v="8"/>
    <n v="0"/>
    <x v="139"/>
  </r>
  <r>
    <x v="139"/>
    <x v="9"/>
    <n v="23.08"/>
    <x v="139"/>
  </r>
  <r>
    <x v="139"/>
    <x v="10"/>
    <n v="1.7"/>
    <x v="139"/>
  </r>
  <r>
    <x v="139"/>
    <x v="11"/>
    <n v="4.67"/>
    <x v="139"/>
  </r>
  <r>
    <x v="139"/>
    <x v="12"/>
    <n v="0"/>
    <x v="139"/>
  </r>
  <r>
    <x v="139"/>
    <x v="13"/>
    <n v="0"/>
    <x v="139"/>
  </r>
  <r>
    <x v="139"/>
    <x v="14"/>
    <n v="0"/>
    <x v="139"/>
  </r>
  <r>
    <x v="139"/>
    <x v="15"/>
    <n v="6"/>
    <x v="139"/>
  </r>
  <r>
    <x v="140"/>
    <x v="0"/>
    <n v="0"/>
    <x v="140"/>
  </r>
  <r>
    <x v="140"/>
    <x v="1"/>
    <n v="129.34"/>
    <x v="140"/>
  </r>
  <r>
    <x v="140"/>
    <x v="2"/>
    <n v="0"/>
    <x v="140"/>
  </r>
  <r>
    <x v="140"/>
    <x v="3"/>
    <n v="46.6"/>
    <x v="140"/>
  </r>
  <r>
    <x v="140"/>
    <x v="4"/>
    <n v="0"/>
    <x v="140"/>
  </r>
  <r>
    <x v="140"/>
    <x v="5"/>
    <n v="91.98"/>
    <x v="140"/>
  </r>
  <r>
    <x v="140"/>
    <x v="6"/>
    <n v="0"/>
    <x v="140"/>
  </r>
  <r>
    <x v="140"/>
    <x v="7"/>
    <n v="89.2"/>
    <x v="140"/>
  </r>
  <r>
    <x v="140"/>
    <x v="8"/>
    <n v="0"/>
    <x v="140"/>
  </r>
  <r>
    <x v="140"/>
    <x v="9"/>
    <n v="214.32"/>
    <x v="140"/>
  </r>
  <r>
    <x v="140"/>
    <x v="10"/>
    <n v="5.42"/>
    <x v="140"/>
  </r>
  <r>
    <x v="140"/>
    <x v="11"/>
    <n v="54.15"/>
    <x v="140"/>
  </r>
  <r>
    <x v="140"/>
    <x v="12"/>
    <n v="0"/>
    <x v="140"/>
  </r>
  <r>
    <x v="140"/>
    <x v="13"/>
    <n v="0"/>
    <x v="140"/>
  </r>
  <r>
    <x v="140"/>
    <x v="14"/>
    <n v="18.61"/>
    <x v="140"/>
  </r>
  <r>
    <x v="140"/>
    <x v="15"/>
    <n v="36.4"/>
    <x v="140"/>
  </r>
  <r>
    <x v="141"/>
    <x v="0"/>
    <n v="0"/>
    <x v="141"/>
  </r>
  <r>
    <x v="141"/>
    <x v="1"/>
    <n v="35.200000000000003"/>
    <x v="141"/>
  </r>
  <r>
    <x v="141"/>
    <x v="2"/>
    <n v="0"/>
    <x v="141"/>
  </r>
  <r>
    <x v="141"/>
    <x v="3"/>
    <n v="18.399999999999999"/>
    <x v="141"/>
  </r>
  <r>
    <x v="141"/>
    <x v="4"/>
    <n v="0"/>
    <x v="141"/>
  </r>
  <r>
    <x v="141"/>
    <x v="5"/>
    <n v="30.6"/>
    <x v="141"/>
  </r>
  <r>
    <x v="141"/>
    <x v="6"/>
    <n v="0"/>
    <x v="141"/>
  </r>
  <r>
    <x v="141"/>
    <x v="7"/>
    <n v="35.799999999999997"/>
    <x v="141"/>
  </r>
  <r>
    <x v="141"/>
    <x v="8"/>
    <n v="0"/>
    <x v="141"/>
  </r>
  <r>
    <x v="141"/>
    <x v="9"/>
    <n v="40.85"/>
    <x v="141"/>
  </r>
  <r>
    <x v="141"/>
    <x v="10"/>
    <n v="7.23"/>
    <x v="141"/>
  </r>
  <r>
    <x v="141"/>
    <x v="11"/>
    <n v="13.77"/>
    <x v="141"/>
  </r>
  <r>
    <x v="141"/>
    <x v="12"/>
    <n v="0"/>
    <x v="141"/>
  </r>
  <r>
    <x v="141"/>
    <x v="13"/>
    <n v="0"/>
    <x v="141"/>
  </r>
  <r>
    <x v="141"/>
    <x v="14"/>
    <n v="0"/>
    <x v="141"/>
  </r>
  <r>
    <x v="141"/>
    <x v="15"/>
    <n v="12.6"/>
    <x v="141"/>
  </r>
  <r>
    <x v="142"/>
    <x v="0"/>
    <n v="0"/>
    <x v="142"/>
  </r>
  <r>
    <x v="142"/>
    <x v="1"/>
    <n v="103.2"/>
    <x v="142"/>
  </r>
  <r>
    <x v="142"/>
    <x v="2"/>
    <n v="0"/>
    <x v="142"/>
  </r>
  <r>
    <x v="142"/>
    <x v="3"/>
    <n v="32.6"/>
    <x v="142"/>
  </r>
  <r>
    <x v="142"/>
    <x v="4"/>
    <n v="0"/>
    <x v="142"/>
  </r>
  <r>
    <x v="142"/>
    <x v="5"/>
    <n v="81.900000000000006"/>
    <x v="142"/>
  </r>
  <r>
    <x v="142"/>
    <x v="6"/>
    <n v="0"/>
    <x v="142"/>
  </r>
  <r>
    <x v="142"/>
    <x v="7"/>
    <n v="70.599999999999994"/>
    <x v="142"/>
  </r>
  <r>
    <x v="142"/>
    <x v="8"/>
    <n v="0"/>
    <x v="142"/>
  </r>
  <r>
    <x v="142"/>
    <x v="9"/>
    <n v="142.35"/>
    <x v="142"/>
  </r>
  <r>
    <x v="142"/>
    <x v="10"/>
    <n v="0"/>
    <x v="142"/>
  </r>
  <r>
    <x v="142"/>
    <x v="11"/>
    <n v="24.14"/>
    <x v="142"/>
  </r>
  <r>
    <x v="142"/>
    <x v="12"/>
    <n v="0"/>
    <x v="142"/>
  </r>
  <r>
    <x v="142"/>
    <x v="13"/>
    <n v="0"/>
    <x v="142"/>
  </r>
  <r>
    <x v="142"/>
    <x v="14"/>
    <n v="0"/>
    <x v="142"/>
  </r>
  <r>
    <x v="142"/>
    <x v="15"/>
    <n v="23.6"/>
    <x v="142"/>
  </r>
  <r>
    <x v="143"/>
    <x v="0"/>
    <n v="0"/>
    <x v="143"/>
  </r>
  <r>
    <x v="143"/>
    <x v="1"/>
    <n v="2157.67"/>
    <x v="143"/>
  </r>
  <r>
    <x v="143"/>
    <x v="2"/>
    <n v="0"/>
    <x v="143"/>
  </r>
  <r>
    <x v="143"/>
    <x v="3"/>
    <n v="734.97"/>
    <x v="143"/>
  </r>
  <r>
    <x v="143"/>
    <x v="4"/>
    <n v="0"/>
    <x v="143"/>
  </r>
  <r>
    <x v="143"/>
    <x v="5"/>
    <n v="1425.39"/>
    <x v="143"/>
  </r>
  <r>
    <x v="143"/>
    <x v="6"/>
    <n v="0"/>
    <x v="143"/>
  </r>
  <r>
    <x v="143"/>
    <x v="7"/>
    <n v="1378.04"/>
    <x v="143"/>
  </r>
  <r>
    <x v="143"/>
    <x v="8"/>
    <n v="0"/>
    <x v="143"/>
  </r>
  <r>
    <x v="143"/>
    <x v="9"/>
    <n v="2577.85"/>
    <x v="143"/>
  </r>
  <r>
    <x v="143"/>
    <x v="10"/>
    <n v="189.26"/>
    <x v="143"/>
  </r>
  <r>
    <x v="143"/>
    <x v="11"/>
    <n v="628.66999999999996"/>
    <x v="143"/>
  </r>
  <r>
    <x v="143"/>
    <x v="12"/>
    <n v="0"/>
    <x v="143"/>
  </r>
  <r>
    <x v="143"/>
    <x v="13"/>
    <n v="0"/>
    <x v="143"/>
  </r>
  <r>
    <x v="143"/>
    <x v="14"/>
    <n v="0"/>
    <x v="143"/>
  </r>
  <r>
    <x v="143"/>
    <x v="15"/>
    <n v="664.6"/>
    <x v="143"/>
  </r>
  <r>
    <x v="144"/>
    <x v="0"/>
    <n v="0"/>
    <x v="144"/>
  </r>
  <r>
    <x v="144"/>
    <x v="1"/>
    <n v="109.8"/>
    <x v="144"/>
  </r>
  <r>
    <x v="144"/>
    <x v="2"/>
    <n v="0"/>
    <x v="144"/>
  </r>
  <r>
    <x v="144"/>
    <x v="3"/>
    <n v="32"/>
    <x v="144"/>
  </r>
  <r>
    <x v="144"/>
    <x v="4"/>
    <n v="0"/>
    <x v="144"/>
  </r>
  <r>
    <x v="144"/>
    <x v="5"/>
    <n v="67.599999999999994"/>
    <x v="144"/>
  </r>
  <r>
    <x v="144"/>
    <x v="6"/>
    <n v="0"/>
    <x v="144"/>
  </r>
  <r>
    <x v="144"/>
    <x v="7"/>
    <n v="66.52"/>
    <x v="144"/>
  </r>
  <r>
    <x v="144"/>
    <x v="8"/>
    <n v="0"/>
    <x v="144"/>
  </r>
  <r>
    <x v="144"/>
    <x v="9"/>
    <n v="0"/>
    <x v="144"/>
  </r>
  <r>
    <x v="144"/>
    <x v="10"/>
    <n v="0"/>
    <x v="144"/>
  </r>
  <r>
    <x v="144"/>
    <x v="11"/>
    <n v="0"/>
    <x v="144"/>
  </r>
  <r>
    <x v="144"/>
    <x v="12"/>
    <n v="0"/>
    <x v="144"/>
  </r>
  <r>
    <x v="144"/>
    <x v="13"/>
    <n v="0"/>
    <x v="144"/>
  </r>
  <r>
    <x v="144"/>
    <x v="14"/>
    <n v="0"/>
    <x v="144"/>
  </r>
  <r>
    <x v="144"/>
    <x v="15"/>
    <n v="34.799999999999997"/>
    <x v="144"/>
  </r>
  <r>
    <x v="145"/>
    <x v="0"/>
    <n v="0"/>
    <x v="145"/>
  </r>
  <r>
    <x v="145"/>
    <x v="1"/>
    <n v="1950.4"/>
    <x v="145"/>
  </r>
  <r>
    <x v="145"/>
    <x v="2"/>
    <n v="0"/>
    <x v="145"/>
  </r>
  <r>
    <x v="145"/>
    <x v="3"/>
    <n v="737.2"/>
    <x v="145"/>
  </r>
  <r>
    <x v="145"/>
    <x v="4"/>
    <n v="0"/>
    <x v="145"/>
  </r>
  <r>
    <x v="145"/>
    <x v="5"/>
    <n v="1500.35"/>
    <x v="145"/>
  </r>
  <r>
    <x v="145"/>
    <x v="6"/>
    <n v="0"/>
    <x v="145"/>
  </r>
  <r>
    <x v="145"/>
    <x v="7"/>
    <n v="1503.15"/>
    <x v="145"/>
  </r>
  <r>
    <x v="145"/>
    <x v="8"/>
    <n v="0"/>
    <x v="145"/>
  </r>
  <r>
    <x v="145"/>
    <x v="9"/>
    <n v="2818.47"/>
    <x v="145"/>
  </r>
  <r>
    <x v="145"/>
    <x v="10"/>
    <n v="334.76"/>
    <x v="145"/>
  </r>
  <r>
    <x v="145"/>
    <x v="11"/>
    <n v="501.44"/>
    <x v="145"/>
  </r>
  <r>
    <x v="145"/>
    <x v="12"/>
    <n v="0"/>
    <x v="145"/>
  </r>
  <r>
    <x v="145"/>
    <x v="13"/>
    <n v="0"/>
    <x v="145"/>
  </r>
  <r>
    <x v="145"/>
    <x v="14"/>
    <n v="136.6"/>
    <x v="145"/>
  </r>
  <r>
    <x v="145"/>
    <x v="15"/>
    <n v="582"/>
    <x v="145"/>
  </r>
  <r>
    <x v="146"/>
    <x v="0"/>
    <n v="0"/>
    <x v="146"/>
  </r>
  <r>
    <x v="146"/>
    <x v="1"/>
    <n v="430.11"/>
    <x v="146"/>
  </r>
  <r>
    <x v="146"/>
    <x v="2"/>
    <n v="0"/>
    <x v="146"/>
  </r>
  <r>
    <x v="146"/>
    <x v="3"/>
    <n v="118.8"/>
    <x v="146"/>
  </r>
  <r>
    <x v="146"/>
    <x v="4"/>
    <n v="0"/>
    <x v="146"/>
  </r>
  <r>
    <x v="146"/>
    <x v="5"/>
    <n v="258"/>
    <x v="146"/>
  </r>
  <r>
    <x v="146"/>
    <x v="6"/>
    <n v="0"/>
    <x v="146"/>
  </r>
  <r>
    <x v="146"/>
    <x v="7"/>
    <n v="238.11"/>
    <x v="146"/>
  </r>
  <r>
    <x v="146"/>
    <x v="8"/>
    <n v="0"/>
    <x v="146"/>
  </r>
  <r>
    <x v="146"/>
    <x v="9"/>
    <n v="427.99"/>
    <x v="146"/>
  </r>
  <r>
    <x v="146"/>
    <x v="10"/>
    <n v="0"/>
    <x v="146"/>
  </r>
  <r>
    <x v="146"/>
    <x v="11"/>
    <n v="116.45"/>
    <x v="146"/>
  </r>
  <r>
    <x v="146"/>
    <x v="12"/>
    <n v="0"/>
    <x v="146"/>
  </r>
  <r>
    <x v="146"/>
    <x v="13"/>
    <n v="0"/>
    <x v="146"/>
  </r>
  <r>
    <x v="146"/>
    <x v="14"/>
    <n v="21.2"/>
    <x v="146"/>
  </r>
  <r>
    <x v="146"/>
    <x v="15"/>
    <n v="161.91"/>
    <x v="146"/>
  </r>
  <r>
    <x v="147"/>
    <x v="0"/>
    <n v="0"/>
    <x v="147"/>
  </r>
  <r>
    <x v="147"/>
    <x v="1"/>
    <n v="781.11"/>
    <x v="147"/>
  </r>
  <r>
    <x v="147"/>
    <x v="2"/>
    <n v="0"/>
    <x v="147"/>
  </r>
  <r>
    <x v="147"/>
    <x v="3"/>
    <n v="293.37"/>
    <x v="147"/>
  </r>
  <r>
    <x v="147"/>
    <x v="4"/>
    <n v="0"/>
    <x v="147"/>
  </r>
  <r>
    <x v="147"/>
    <x v="5"/>
    <n v="557.42999999999995"/>
    <x v="147"/>
  </r>
  <r>
    <x v="147"/>
    <x v="6"/>
    <n v="0"/>
    <x v="147"/>
  </r>
  <r>
    <x v="147"/>
    <x v="7"/>
    <n v="666.52"/>
    <x v="147"/>
  </r>
  <r>
    <x v="147"/>
    <x v="8"/>
    <n v="0"/>
    <x v="147"/>
  </r>
  <r>
    <x v="147"/>
    <x v="9"/>
    <n v="1367.11"/>
    <x v="147"/>
  </r>
  <r>
    <x v="147"/>
    <x v="10"/>
    <n v="16.579999999999998"/>
    <x v="147"/>
  </r>
  <r>
    <x v="147"/>
    <x v="11"/>
    <n v="313.70999999999998"/>
    <x v="147"/>
  </r>
  <r>
    <x v="147"/>
    <x v="12"/>
    <n v="0"/>
    <x v="147"/>
  </r>
  <r>
    <x v="147"/>
    <x v="13"/>
    <n v="0"/>
    <x v="147"/>
  </r>
  <r>
    <x v="147"/>
    <x v="14"/>
    <n v="0"/>
    <x v="147"/>
  </r>
  <r>
    <x v="147"/>
    <x v="15"/>
    <n v="217.61"/>
    <x v="147"/>
  </r>
  <r>
    <x v="148"/>
    <x v="0"/>
    <n v="0"/>
    <x v="148"/>
  </r>
  <r>
    <x v="148"/>
    <x v="1"/>
    <n v="380.47"/>
    <x v="148"/>
  </r>
  <r>
    <x v="148"/>
    <x v="2"/>
    <n v="0"/>
    <x v="148"/>
  </r>
  <r>
    <x v="148"/>
    <x v="3"/>
    <n v="115.65"/>
    <x v="148"/>
  </r>
  <r>
    <x v="148"/>
    <x v="4"/>
    <n v="0"/>
    <x v="148"/>
  </r>
  <r>
    <x v="148"/>
    <x v="5"/>
    <n v="229.4"/>
    <x v="148"/>
  </r>
  <r>
    <x v="148"/>
    <x v="6"/>
    <n v="0"/>
    <x v="148"/>
  </r>
  <r>
    <x v="148"/>
    <x v="7"/>
    <n v="239.05"/>
    <x v="148"/>
  </r>
  <r>
    <x v="148"/>
    <x v="8"/>
    <n v="0"/>
    <x v="148"/>
  </r>
  <r>
    <x v="148"/>
    <x v="9"/>
    <n v="463.44"/>
    <x v="148"/>
  </r>
  <r>
    <x v="148"/>
    <x v="10"/>
    <n v="0"/>
    <x v="148"/>
  </r>
  <r>
    <x v="148"/>
    <x v="11"/>
    <n v="69.59"/>
    <x v="148"/>
  </r>
  <r>
    <x v="148"/>
    <x v="12"/>
    <n v="0"/>
    <x v="148"/>
  </r>
  <r>
    <x v="148"/>
    <x v="13"/>
    <n v="0"/>
    <x v="148"/>
  </r>
  <r>
    <x v="148"/>
    <x v="14"/>
    <n v="42.4"/>
    <x v="148"/>
  </r>
  <r>
    <x v="148"/>
    <x v="15"/>
    <n v="105.8"/>
    <x v="148"/>
  </r>
  <r>
    <x v="149"/>
    <x v="0"/>
    <n v="0"/>
    <x v="149"/>
  </r>
  <r>
    <x v="149"/>
    <x v="1"/>
    <n v="161.80000000000001"/>
    <x v="149"/>
  </r>
  <r>
    <x v="149"/>
    <x v="2"/>
    <n v="0"/>
    <x v="149"/>
  </r>
  <r>
    <x v="149"/>
    <x v="3"/>
    <n v="65.8"/>
    <x v="149"/>
  </r>
  <r>
    <x v="149"/>
    <x v="4"/>
    <n v="0"/>
    <x v="149"/>
  </r>
  <r>
    <x v="149"/>
    <x v="5"/>
    <n v="122.03"/>
    <x v="149"/>
  </r>
  <r>
    <x v="149"/>
    <x v="6"/>
    <n v="0"/>
    <x v="149"/>
  </r>
  <r>
    <x v="149"/>
    <x v="7"/>
    <n v="118.14"/>
    <x v="149"/>
  </r>
  <r>
    <x v="149"/>
    <x v="8"/>
    <n v="0"/>
    <x v="149"/>
  </r>
  <r>
    <x v="149"/>
    <x v="9"/>
    <n v="203.12"/>
    <x v="149"/>
  </r>
  <r>
    <x v="149"/>
    <x v="10"/>
    <n v="11.04"/>
    <x v="149"/>
  </r>
  <r>
    <x v="149"/>
    <x v="11"/>
    <n v="43.67"/>
    <x v="149"/>
  </r>
  <r>
    <x v="149"/>
    <x v="12"/>
    <n v="0"/>
    <x v="149"/>
  </r>
  <r>
    <x v="149"/>
    <x v="13"/>
    <n v="0"/>
    <x v="149"/>
  </r>
  <r>
    <x v="149"/>
    <x v="14"/>
    <n v="0"/>
    <x v="149"/>
  </r>
  <r>
    <x v="149"/>
    <x v="15"/>
    <n v="51.2"/>
    <x v="149"/>
  </r>
  <r>
    <x v="150"/>
    <x v="0"/>
    <n v="0"/>
    <x v="150"/>
  </r>
  <r>
    <x v="150"/>
    <x v="1"/>
    <n v="14"/>
    <x v="150"/>
  </r>
  <r>
    <x v="150"/>
    <x v="2"/>
    <n v="0"/>
    <x v="150"/>
  </r>
  <r>
    <x v="150"/>
    <x v="3"/>
    <n v="2.6"/>
    <x v="150"/>
  </r>
  <r>
    <x v="150"/>
    <x v="4"/>
    <n v="0"/>
    <x v="150"/>
  </r>
  <r>
    <x v="150"/>
    <x v="5"/>
    <n v="9.8000000000000007"/>
    <x v="150"/>
  </r>
  <r>
    <x v="150"/>
    <x v="6"/>
    <n v="0"/>
    <x v="150"/>
  </r>
  <r>
    <x v="150"/>
    <x v="7"/>
    <n v="10"/>
    <x v="150"/>
  </r>
  <r>
    <x v="150"/>
    <x v="8"/>
    <n v="0"/>
    <x v="150"/>
  </r>
  <r>
    <x v="150"/>
    <x v="9"/>
    <n v="19.87"/>
    <x v="150"/>
  </r>
  <r>
    <x v="150"/>
    <x v="10"/>
    <n v="0"/>
    <x v="150"/>
  </r>
  <r>
    <x v="150"/>
    <x v="11"/>
    <n v="0"/>
    <x v="150"/>
  </r>
  <r>
    <x v="150"/>
    <x v="12"/>
    <n v="0"/>
    <x v="150"/>
  </r>
  <r>
    <x v="150"/>
    <x v="13"/>
    <n v="0"/>
    <x v="150"/>
  </r>
  <r>
    <x v="150"/>
    <x v="14"/>
    <n v="0"/>
    <x v="150"/>
  </r>
  <r>
    <x v="150"/>
    <x v="15"/>
    <n v="5"/>
    <x v="150"/>
  </r>
  <r>
    <x v="151"/>
    <x v="0"/>
    <n v="0"/>
    <x v="151"/>
  </r>
  <r>
    <x v="151"/>
    <x v="1"/>
    <n v="1097.43"/>
    <x v="151"/>
  </r>
  <r>
    <x v="151"/>
    <x v="2"/>
    <n v="0"/>
    <x v="151"/>
  </r>
  <r>
    <x v="151"/>
    <x v="3"/>
    <n v="335.81"/>
    <x v="151"/>
  </r>
  <r>
    <x v="151"/>
    <x v="4"/>
    <n v="0"/>
    <x v="151"/>
  </r>
  <r>
    <x v="151"/>
    <x v="5"/>
    <n v="764.79"/>
    <x v="151"/>
  </r>
  <r>
    <x v="151"/>
    <x v="6"/>
    <n v="0"/>
    <x v="151"/>
  </r>
  <r>
    <x v="151"/>
    <x v="7"/>
    <n v="681.26"/>
    <x v="151"/>
  </r>
  <r>
    <x v="151"/>
    <x v="8"/>
    <n v="0"/>
    <x v="151"/>
  </r>
  <r>
    <x v="151"/>
    <x v="9"/>
    <n v="1320.29"/>
    <x v="151"/>
  </r>
  <r>
    <x v="151"/>
    <x v="10"/>
    <n v="75.55"/>
    <x v="151"/>
  </r>
  <r>
    <x v="151"/>
    <x v="11"/>
    <n v="362.88"/>
    <x v="151"/>
  </r>
  <r>
    <x v="151"/>
    <x v="12"/>
    <n v="0"/>
    <x v="151"/>
  </r>
  <r>
    <x v="151"/>
    <x v="13"/>
    <n v="0"/>
    <x v="151"/>
  </r>
  <r>
    <x v="151"/>
    <x v="14"/>
    <n v="49.6"/>
    <x v="151"/>
  </r>
  <r>
    <x v="151"/>
    <x v="15"/>
    <n v="334"/>
    <x v="151"/>
  </r>
  <r>
    <x v="152"/>
    <x v="0"/>
    <n v="0"/>
    <x v="152"/>
  </r>
  <r>
    <x v="152"/>
    <x v="1"/>
    <n v="301.60000000000002"/>
    <x v="152"/>
  </r>
  <r>
    <x v="152"/>
    <x v="2"/>
    <n v="0"/>
    <x v="152"/>
  </r>
  <r>
    <x v="152"/>
    <x v="3"/>
    <n v="97.78"/>
    <x v="152"/>
  </r>
  <r>
    <x v="152"/>
    <x v="4"/>
    <n v="0"/>
    <x v="152"/>
  </r>
  <r>
    <x v="152"/>
    <x v="5"/>
    <n v="183.58"/>
    <x v="152"/>
  </r>
  <r>
    <x v="152"/>
    <x v="6"/>
    <n v="0"/>
    <x v="152"/>
  </r>
  <r>
    <x v="152"/>
    <x v="7"/>
    <n v="240.22"/>
    <x v="152"/>
  </r>
  <r>
    <x v="152"/>
    <x v="8"/>
    <n v="0"/>
    <x v="152"/>
  </r>
  <r>
    <x v="152"/>
    <x v="9"/>
    <n v="392.86"/>
    <x v="152"/>
  </r>
  <r>
    <x v="152"/>
    <x v="10"/>
    <n v="28.4"/>
    <x v="152"/>
  </r>
  <r>
    <x v="152"/>
    <x v="11"/>
    <n v="135"/>
    <x v="152"/>
  </r>
  <r>
    <x v="152"/>
    <x v="12"/>
    <n v="0"/>
    <x v="152"/>
  </r>
  <r>
    <x v="152"/>
    <x v="13"/>
    <n v="0"/>
    <x v="152"/>
  </r>
  <r>
    <x v="152"/>
    <x v="14"/>
    <n v="46.63"/>
    <x v="152"/>
  </r>
  <r>
    <x v="152"/>
    <x v="15"/>
    <n v="93.2"/>
    <x v="152"/>
  </r>
  <r>
    <x v="153"/>
    <x v="0"/>
    <n v="0"/>
    <x v="153"/>
  </r>
  <r>
    <x v="153"/>
    <x v="1"/>
    <n v="89.7"/>
    <x v="153"/>
  </r>
  <r>
    <x v="153"/>
    <x v="2"/>
    <n v="0"/>
    <x v="153"/>
  </r>
  <r>
    <x v="153"/>
    <x v="3"/>
    <n v="33.4"/>
    <x v="153"/>
  </r>
  <r>
    <x v="153"/>
    <x v="4"/>
    <n v="0"/>
    <x v="153"/>
  </r>
  <r>
    <x v="153"/>
    <x v="5"/>
    <n v="63.8"/>
    <x v="153"/>
  </r>
  <r>
    <x v="153"/>
    <x v="6"/>
    <n v="0"/>
    <x v="153"/>
  </r>
  <r>
    <x v="153"/>
    <x v="7"/>
    <n v="56.43"/>
    <x v="153"/>
  </r>
  <r>
    <x v="153"/>
    <x v="8"/>
    <n v="0"/>
    <x v="153"/>
  </r>
  <r>
    <x v="153"/>
    <x v="9"/>
    <n v="124.72"/>
    <x v="153"/>
  </r>
  <r>
    <x v="153"/>
    <x v="10"/>
    <n v="42.37"/>
    <x v="153"/>
  </r>
  <r>
    <x v="153"/>
    <x v="11"/>
    <n v="98.81"/>
    <x v="153"/>
  </r>
  <r>
    <x v="153"/>
    <x v="12"/>
    <n v="0"/>
    <x v="153"/>
  </r>
  <r>
    <x v="153"/>
    <x v="13"/>
    <n v="0"/>
    <x v="153"/>
  </r>
  <r>
    <x v="153"/>
    <x v="14"/>
    <n v="20"/>
    <x v="153"/>
  </r>
  <r>
    <x v="153"/>
    <x v="15"/>
    <n v="30"/>
    <x v="153"/>
  </r>
  <r>
    <x v="154"/>
    <x v="0"/>
    <n v="0"/>
    <x v="154"/>
  </r>
  <r>
    <x v="154"/>
    <x v="1"/>
    <n v="1910.07"/>
    <x v="154"/>
  </r>
  <r>
    <x v="154"/>
    <x v="2"/>
    <n v="0"/>
    <x v="154"/>
  </r>
  <r>
    <x v="154"/>
    <x v="3"/>
    <n v="595.83000000000004"/>
    <x v="154"/>
  </r>
  <r>
    <x v="154"/>
    <x v="4"/>
    <n v="0"/>
    <x v="154"/>
  </r>
  <r>
    <x v="154"/>
    <x v="5"/>
    <n v="1273.9000000000001"/>
    <x v="154"/>
  </r>
  <r>
    <x v="154"/>
    <x v="6"/>
    <n v="0"/>
    <x v="154"/>
  </r>
  <r>
    <x v="154"/>
    <x v="7"/>
    <n v="1231.02"/>
    <x v="154"/>
  </r>
  <r>
    <x v="154"/>
    <x v="8"/>
    <n v="0"/>
    <x v="154"/>
  </r>
  <r>
    <x v="154"/>
    <x v="9"/>
    <n v="2203.39"/>
    <x v="154"/>
  </r>
  <r>
    <x v="154"/>
    <x v="10"/>
    <n v="39.92"/>
    <x v="154"/>
  </r>
  <r>
    <x v="154"/>
    <x v="11"/>
    <n v="530.16"/>
    <x v="154"/>
  </r>
  <r>
    <x v="154"/>
    <x v="12"/>
    <n v="0"/>
    <x v="154"/>
  </r>
  <r>
    <x v="154"/>
    <x v="13"/>
    <n v="285"/>
    <x v="154"/>
  </r>
  <r>
    <x v="154"/>
    <x v="14"/>
    <n v="0"/>
    <x v="154"/>
  </r>
  <r>
    <x v="154"/>
    <x v="15"/>
    <n v="566.12"/>
    <x v="154"/>
  </r>
  <r>
    <x v="155"/>
    <x v="0"/>
    <n v="0"/>
    <x v="155"/>
  </r>
  <r>
    <x v="155"/>
    <x v="1"/>
    <n v="143.80000000000001"/>
    <x v="155"/>
  </r>
  <r>
    <x v="155"/>
    <x v="2"/>
    <n v="0"/>
    <x v="155"/>
  </r>
  <r>
    <x v="155"/>
    <x v="3"/>
    <n v="45"/>
    <x v="155"/>
  </r>
  <r>
    <x v="155"/>
    <x v="4"/>
    <n v="0"/>
    <x v="155"/>
  </r>
  <r>
    <x v="155"/>
    <x v="5"/>
    <n v="99"/>
    <x v="155"/>
  </r>
  <r>
    <x v="155"/>
    <x v="6"/>
    <n v="0"/>
    <x v="155"/>
  </r>
  <r>
    <x v="155"/>
    <x v="7"/>
    <n v="97"/>
    <x v="155"/>
  </r>
  <r>
    <x v="155"/>
    <x v="8"/>
    <n v="0"/>
    <x v="155"/>
  </r>
  <r>
    <x v="155"/>
    <x v="9"/>
    <n v="167.21"/>
    <x v="155"/>
  </r>
  <r>
    <x v="155"/>
    <x v="10"/>
    <n v="16.18"/>
    <x v="155"/>
  </r>
  <r>
    <x v="155"/>
    <x v="11"/>
    <n v="39.5"/>
    <x v="155"/>
  </r>
  <r>
    <x v="155"/>
    <x v="12"/>
    <n v="0"/>
    <x v="155"/>
  </r>
  <r>
    <x v="155"/>
    <x v="13"/>
    <n v="0"/>
    <x v="155"/>
  </r>
  <r>
    <x v="155"/>
    <x v="14"/>
    <n v="27"/>
    <x v="155"/>
  </r>
  <r>
    <x v="155"/>
    <x v="15"/>
    <n v="32.200000000000003"/>
    <x v="155"/>
  </r>
  <r>
    <x v="156"/>
    <x v="0"/>
    <n v="0"/>
    <x v="156"/>
  </r>
  <r>
    <x v="156"/>
    <x v="1"/>
    <n v="176.4"/>
    <x v="156"/>
  </r>
  <r>
    <x v="156"/>
    <x v="2"/>
    <n v="0"/>
    <x v="156"/>
  </r>
  <r>
    <x v="156"/>
    <x v="3"/>
    <n v="61"/>
    <x v="156"/>
  </r>
  <r>
    <x v="156"/>
    <x v="4"/>
    <n v="0"/>
    <x v="156"/>
  </r>
  <r>
    <x v="156"/>
    <x v="5"/>
    <n v="138.4"/>
    <x v="156"/>
  </r>
  <r>
    <x v="156"/>
    <x v="6"/>
    <n v="0"/>
    <x v="156"/>
  </r>
  <r>
    <x v="156"/>
    <x v="7"/>
    <n v="136"/>
    <x v="156"/>
  </r>
  <r>
    <x v="156"/>
    <x v="8"/>
    <n v="0"/>
    <x v="156"/>
  </r>
  <r>
    <x v="156"/>
    <x v="9"/>
    <n v="244.43"/>
    <x v="156"/>
  </r>
  <r>
    <x v="156"/>
    <x v="10"/>
    <n v="0"/>
    <x v="156"/>
  </r>
  <r>
    <x v="156"/>
    <x v="11"/>
    <n v="68.3"/>
    <x v="156"/>
  </r>
  <r>
    <x v="156"/>
    <x v="12"/>
    <n v="0"/>
    <x v="156"/>
  </r>
  <r>
    <x v="156"/>
    <x v="13"/>
    <n v="0"/>
    <x v="156"/>
  </r>
  <r>
    <x v="156"/>
    <x v="14"/>
    <n v="0"/>
    <x v="156"/>
  </r>
  <r>
    <x v="156"/>
    <x v="15"/>
    <n v="62.2"/>
    <x v="156"/>
  </r>
  <r>
    <x v="157"/>
    <x v="0"/>
    <n v="0"/>
    <x v="157"/>
  </r>
  <r>
    <x v="157"/>
    <x v="1"/>
    <n v="327.67"/>
    <x v="157"/>
  </r>
  <r>
    <x v="157"/>
    <x v="2"/>
    <n v="0"/>
    <x v="157"/>
  </r>
  <r>
    <x v="157"/>
    <x v="3"/>
    <n v="110.15"/>
    <x v="157"/>
  </r>
  <r>
    <x v="157"/>
    <x v="4"/>
    <n v="0"/>
    <x v="157"/>
  </r>
  <r>
    <x v="157"/>
    <x v="5"/>
    <n v="242"/>
    <x v="157"/>
  </r>
  <r>
    <x v="157"/>
    <x v="6"/>
    <n v="0"/>
    <x v="157"/>
  </r>
  <r>
    <x v="157"/>
    <x v="7"/>
    <n v="247.08"/>
    <x v="157"/>
  </r>
  <r>
    <x v="157"/>
    <x v="8"/>
    <n v="0"/>
    <x v="157"/>
  </r>
  <r>
    <x v="157"/>
    <x v="9"/>
    <n v="451.69"/>
    <x v="157"/>
  </r>
  <r>
    <x v="157"/>
    <x v="10"/>
    <n v="4.5999999999999996"/>
    <x v="157"/>
  </r>
  <r>
    <x v="157"/>
    <x v="11"/>
    <n v="85.16"/>
    <x v="157"/>
  </r>
  <r>
    <x v="157"/>
    <x v="12"/>
    <n v="0"/>
    <x v="157"/>
  </r>
  <r>
    <x v="157"/>
    <x v="13"/>
    <n v="0"/>
    <x v="157"/>
  </r>
  <r>
    <x v="157"/>
    <x v="14"/>
    <n v="0"/>
    <x v="157"/>
  </r>
  <r>
    <x v="157"/>
    <x v="15"/>
    <n v="98"/>
    <x v="157"/>
  </r>
  <r>
    <x v="158"/>
    <x v="0"/>
    <n v="0"/>
    <x v="158"/>
  </r>
  <r>
    <x v="158"/>
    <x v="1"/>
    <n v="24"/>
    <x v="158"/>
  </r>
  <r>
    <x v="158"/>
    <x v="2"/>
    <n v="0"/>
    <x v="158"/>
  </r>
  <r>
    <x v="158"/>
    <x v="3"/>
    <n v="9.8000000000000007"/>
    <x v="158"/>
  </r>
  <r>
    <x v="158"/>
    <x v="4"/>
    <n v="0"/>
    <x v="158"/>
  </r>
  <r>
    <x v="158"/>
    <x v="5"/>
    <n v="14"/>
    <x v="158"/>
  </r>
  <r>
    <x v="158"/>
    <x v="6"/>
    <n v="0"/>
    <x v="158"/>
  </r>
  <r>
    <x v="158"/>
    <x v="7"/>
    <n v="13"/>
    <x v="158"/>
  </r>
  <r>
    <x v="158"/>
    <x v="8"/>
    <n v="0"/>
    <x v="158"/>
  </r>
  <r>
    <x v="158"/>
    <x v="9"/>
    <n v="0"/>
    <x v="158"/>
  </r>
  <r>
    <x v="158"/>
    <x v="10"/>
    <n v="0"/>
    <x v="158"/>
  </r>
  <r>
    <x v="158"/>
    <x v="11"/>
    <n v="0"/>
    <x v="158"/>
  </r>
  <r>
    <x v="158"/>
    <x v="12"/>
    <n v="0"/>
    <x v="158"/>
  </r>
  <r>
    <x v="158"/>
    <x v="13"/>
    <n v="0"/>
    <x v="158"/>
  </r>
  <r>
    <x v="158"/>
    <x v="14"/>
    <n v="0"/>
    <x v="158"/>
  </r>
  <r>
    <x v="158"/>
    <x v="15"/>
    <n v="10.8"/>
    <x v="158"/>
  </r>
  <r>
    <x v="159"/>
    <x v="0"/>
    <n v="0"/>
    <x v="159"/>
  </r>
  <r>
    <x v="159"/>
    <x v="1"/>
    <n v="1276.8900000000001"/>
    <x v="159"/>
  </r>
  <r>
    <x v="159"/>
    <x v="2"/>
    <n v="0"/>
    <x v="159"/>
  </r>
  <r>
    <x v="159"/>
    <x v="3"/>
    <n v="419.9"/>
    <x v="159"/>
  </r>
  <r>
    <x v="159"/>
    <x v="4"/>
    <n v="0"/>
    <x v="159"/>
  </r>
  <r>
    <x v="159"/>
    <x v="5"/>
    <n v="844.09"/>
    <x v="159"/>
  </r>
  <r>
    <x v="159"/>
    <x v="6"/>
    <n v="0"/>
    <x v="159"/>
  </r>
  <r>
    <x v="159"/>
    <x v="7"/>
    <n v="828.47"/>
    <x v="159"/>
  </r>
  <r>
    <x v="159"/>
    <x v="8"/>
    <n v="0"/>
    <x v="159"/>
  </r>
  <r>
    <x v="159"/>
    <x v="9"/>
    <n v="2049.2399999999998"/>
    <x v="159"/>
  </r>
  <r>
    <x v="159"/>
    <x v="10"/>
    <n v="41.02"/>
    <x v="159"/>
  </r>
  <r>
    <x v="159"/>
    <x v="11"/>
    <n v="472.65"/>
    <x v="159"/>
  </r>
  <r>
    <x v="159"/>
    <x v="12"/>
    <n v="0"/>
    <x v="159"/>
  </r>
  <r>
    <x v="159"/>
    <x v="13"/>
    <n v="324.06"/>
    <x v="159"/>
  </r>
  <r>
    <x v="159"/>
    <x v="14"/>
    <n v="93.8"/>
    <x v="159"/>
  </r>
  <r>
    <x v="159"/>
    <x v="15"/>
    <n v="402.25"/>
    <x v="159"/>
  </r>
  <r>
    <x v="160"/>
    <x v="0"/>
    <n v="0"/>
    <x v="160"/>
  </r>
  <r>
    <x v="160"/>
    <x v="1"/>
    <n v="98.8"/>
    <x v="160"/>
  </r>
  <r>
    <x v="160"/>
    <x v="2"/>
    <n v="0"/>
    <x v="160"/>
  </r>
  <r>
    <x v="160"/>
    <x v="3"/>
    <n v="34.4"/>
    <x v="160"/>
  </r>
  <r>
    <x v="160"/>
    <x v="4"/>
    <n v="0"/>
    <x v="160"/>
  </r>
  <r>
    <x v="160"/>
    <x v="5"/>
    <n v="71.62"/>
    <x v="160"/>
  </r>
  <r>
    <x v="160"/>
    <x v="6"/>
    <n v="0"/>
    <x v="160"/>
  </r>
  <r>
    <x v="160"/>
    <x v="7"/>
    <n v="84.2"/>
    <x v="160"/>
  </r>
  <r>
    <x v="160"/>
    <x v="8"/>
    <n v="0"/>
    <x v="160"/>
  </r>
  <r>
    <x v="160"/>
    <x v="9"/>
    <n v="159.76"/>
    <x v="160"/>
  </r>
  <r>
    <x v="160"/>
    <x v="10"/>
    <n v="0"/>
    <x v="160"/>
  </r>
  <r>
    <x v="160"/>
    <x v="11"/>
    <n v="23.22"/>
    <x v="160"/>
  </r>
  <r>
    <x v="160"/>
    <x v="12"/>
    <n v="0"/>
    <x v="160"/>
  </r>
  <r>
    <x v="160"/>
    <x v="13"/>
    <n v="0"/>
    <x v="160"/>
  </r>
  <r>
    <x v="160"/>
    <x v="14"/>
    <n v="0"/>
    <x v="160"/>
  </r>
  <r>
    <x v="160"/>
    <x v="15"/>
    <n v="15.32"/>
    <x v="160"/>
  </r>
  <r>
    <x v="161"/>
    <x v="0"/>
    <n v="0"/>
    <x v="161"/>
  </r>
  <r>
    <x v="161"/>
    <x v="1"/>
    <n v="3437.96"/>
    <x v="161"/>
  </r>
  <r>
    <x v="161"/>
    <x v="2"/>
    <n v="0"/>
    <x v="161"/>
  </r>
  <r>
    <x v="161"/>
    <x v="3"/>
    <n v="1121.0999999999999"/>
    <x v="161"/>
  </r>
  <r>
    <x v="161"/>
    <x v="4"/>
    <n v="0"/>
    <x v="161"/>
  </r>
  <r>
    <x v="161"/>
    <x v="5"/>
    <n v="2308.4899999999998"/>
    <x v="161"/>
  </r>
  <r>
    <x v="161"/>
    <x v="6"/>
    <n v="0"/>
    <x v="161"/>
  </r>
  <r>
    <x v="161"/>
    <x v="7"/>
    <n v="2198.87"/>
    <x v="161"/>
  </r>
  <r>
    <x v="161"/>
    <x v="8"/>
    <n v="0"/>
    <x v="161"/>
  </r>
  <r>
    <x v="161"/>
    <x v="9"/>
    <n v="4624.57"/>
    <x v="161"/>
  </r>
  <r>
    <x v="161"/>
    <x v="10"/>
    <n v="181.17"/>
    <x v="161"/>
  </r>
  <r>
    <x v="161"/>
    <x v="11"/>
    <n v="537.47"/>
    <x v="161"/>
  </r>
  <r>
    <x v="161"/>
    <x v="12"/>
    <n v="0"/>
    <x v="161"/>
  </r>
  <r>
    <x v="161"/>
    <x v="13"/>
    <n v="563.52"/>
    <x v="161"/>
  </r>
  <r>
    <x v="161"/>
    <x v="14"/>
    <n v="0"/>
    <x v="161"/>
  </r>
  <r>
    <x v="161"/>
    <x v="15"/>
    <n v="990.76"/>
    <x v="161"/>
  </r>
  <r>
    <x v="162"/>
    <x v="0"/>
    <n v="0"/>
    <x v="162"/>
  </r>
  <r>
    <x v="162"/>
    <x v="1"/>
    <n v="276.23"/>
    <x v="162"/>
  </r>
  <r>
    <x v="162"/>
    <x v="2"/>
    <n v="0"/>
    <x v="162"/>
  </r>
  <r>
    <x v="162"/>
    <x v="3"/>
    <n v="97.43"/>
    <x v="162"/>
  </r>
  <r>
    <x v="162"/>
    <x v="4"/>
    <n v="0"/>
    <x v="162"/>
  </r>
  <r>
    <x v="162"/>
    <x v="5"/>
    <n v="202.82"/>
    <x v="162"/>
  </r>
  <r>
    <x v="162"/>
    <x v="6"/>
    <n v="0"/>
    <x v="162"/>
  </r>
  <r>
    <x v="162"/>
    <x v="7"/>
    <n v="208.14"/>
    <x v="162"/>
  </r>
  <r>
    <x v="162"/>
    <x v="8"/>
    <n v="0"/>
    <x v="162"/>
  </r>
  <r>
    <x v="162"/>
    <x v="9"/>
    <n v="340.8"/>
    <x v="162"/>
  </r>
  <r>
    <x v="162"/>
    <x v="10"/>
    <n v="64.27"/>
    <x v="162"/>
  </r>
  <r>
    <x v="162"/>
    <x v="11"/>
    <n v="109.55"/>
    <x v="162"/>
  </r>
  <r>
    <x v="162"/>
    <x v="12"/>
    <n v="0"/>
    <x v="162"/>
  </r>
  <r>
    <x v="162"/>
    <x v="13"/>
    <n v="0"/>
    <x v="162"/>
  </r>
  <r>
    <x v="162"/>
    <x v="14"/>
    <n v="31.8"/>
    <x v="162"/>
  </r>
  <r>
    <x v="162"/>
    <x v="15"/>
    <n v="81.2"/>
    <x v="162"/>
  </r>
  <r>
    <x v="163"/>
    <x v="0"/>
    <n v="0"/>
    <x v="163"/>
  </r>
  <r>
    <x v="163"/>
    <x v="1"/>
    <n v="167"/>
    <x v="163"/>
  </r>
  <r>
    <x v="163"/>
    <x v="2"/>
    <n v="0"/>
    <x v="163"/>
  </r>
  <r>
    <x v="163"/>
    <x v="3"/>
    <n v="55.2"/>
    <x v="163"/>
  </r>
  <r>
    <x v="163"/>
    <x v="4"/>
    <n v="0"/>
    <x v="163"/>
  </r>
  <r>
    <x v="163"/>
    <x v="5"/>
    <n v="122"/>
    <x v="163"/>
  </r>
  <r>
    <x v="163"/>
    <x v="6"/>
    <n v="0"/>
    <x v="163"/>
  </r>
  <r>
    <x v="163"/>
    <x v="7"/>
    <n v="132.56"/>
    <x v="163"/>
  </r>
  <r>
    <x v="163"/>
    <x v="8"/>
    <n v="0"/>
    <x v="163"/>
  </r>
  <r>
    <x v="163"/>
    <x v="9"/>
    <n v="234.75"/>
    <x v="163"/>
  </r>
  <r>
    <x v="163"/>
    <x v="10"/>
    <n v="41.33"/>
    <x v="163"/>
  </r>
  <r>
    <x v="163"/>
    <x v="11"/>
    <n v="125.24"/>
    <x v="163"/>
  </r>
  <r>
    <x v="163"/>
    <x v="12"/>
    <n v="0"/>
    <x v="163"/>
  </r>
  <r>
    <x v="163"/>
    <x v="13"/>
    <n v="0"/>
    <x v="163"/>
  </r>
  <r>
    <x v="163"/>
    <x v="14"/>
    <n v="0"/>
    <x v="163"/>
  </r>
  <r>
    <x v="163"/>
    <x v="15"/>
    <n v="52.4"/>
    <x v="163"/>
  </r>
  <r>
    <x v="164"/>
    <x v="0"/>
    <n v="0"/>
    <x v="164"/>
  </r>
  <r>
    <x v="164"/>
    <x v="1"/>
    <n v="63.4"/>
    <x v="164"/>
  </r>
  <r>
    <x v="164"/>
    <x v="2"/>
    <n v="0"/>
    <x v="164"/>
  </r>
  <r>
    <x v="164"/>
    <x v="3"/>
    <n v="22.6"/>
    <x v="164"/>
  </r>
  <r>
    <x v="164"/>
    <x v="4"/>
    <n v="0"/>
    <x v="164"/>
  </r>
  <r>
    <x v="164"/>
    <x v="5"/>
    <n v="45.2"/>
    <x v="164"/>
  </r>
  <r>
    <x v="164"/>
    <x v="6"/>
    <n v="0"/>
    <x v="164"/>
  </r>
  <r>
    <x v="164"/>
    <x v="7"/>
    <n v="53.68"/>
    <x v="164"/>
  </r>
  <r>
    <x v="164"/>
    <x v="8"/>
    <n v="0"/>
    <x v="164"/>
  </r>
  <r>
    <x v="164"/>
    <x v="9"/>
    <n v="101.33"/>
    <x v="164"/>
  </r>
  <r>
    <x v="164"/>
    <x v="10"/>
    <n v="7.78"/>
    <x v="164"/>
  </r>
  <r>
    <x v="164"/>
    <x v="11"/>
    <n v="13.7"/>
    <x v="164"/>
  </r>
  <r>
    <x v="164"/>
    <x v="12"/>
    <n v="0"/>
    <x v="164"/>
  </r>
  <r>
    <x v="164"/>
    <x v="13"/>
    <n v="0"/>
    <x v="164"/>
  </r>
  <r>
    <x v="164"/>
    <x v="14"/>
    <n v="0"/>
    <x v="164"/>
  </r>
  <r>
    <x v="164"/>
    <x v="15"/>
    <n v="19.399999999999999"/>
    <x v="164"/>
  </r>
  <r>
    <x v="165"/>
    <x v="0"/>
    <n v="0"/>
    <x v="165"/>
  </r>
  <r>
    <x v="165"/>
    <x v="1"/>
    <n v="41.2"/>
    <x v="165"/>
  </r>
  <r>
    <x v="165"/>
    <x v="2"/>
    <n v="0"/>
    <x v="165"/>
  </r>
  <r>
    <x v="165"/>
    <x v="3"/>
    <n v="14"/>
    <x v="165"/>
  </r>
  <r>
    <x v="165"/>
    <x v="4"/>
    <n v="0"/>
    <x v="165"/>
  </r>
  <r>
    <x v="165"/>
    <x v="5"/>
    <n v="28"/>
    <x v="165"/>
  </r>
  <r>
    <x v="165"/>
    <x v="6"/>
    <n v="0"/>
    <x v="165"/>
  </r>
  <r>
    <x v="165"/>
    <x v="7"/>
    <n v="24.2"/>
    <x v="165"/>
  </r>
  <r>
    <x v="165"/>
    <x v="8"/>
    <n v="0"/>
    <x v="165"/>
  </r>
  <r>
    <x v="165"/>
    <x v="9"/>
    <n v="12.2"/>
    <x v="165"/>
  </r>
  <r>
    <x v="165"/>
    <x v="10"/>
    <n v="9.4600000000000009"/>
    <x v="165"/>
  </r>
  <r>
    <x v="165"/>
    <x v="11"/>
    <n v="2.31"/>
    <x v="165"/>
  </r>
  <r>
    <x v="165"/>
    <x v="12"/>
    <n v="0"/>
    <x v="165"/>
  </r>
  <r>
    <x v="165"/>
    <x v="13"/>
    <n v="0"/>
    <x v="165"/>
  </r>
  <r>
    <x v="165"/>
    <x v="14"/>
    <n v="5.6"/>
    <x v="165"/>
  </r>
  <r>
    <x v="165"/>
    <x v="15"/>
    <n v="19"/>
    <x v="165"/>
  </r>
  <r>
    <x v="166"/>
    <x v="0"/>
    <n v="0"/>
    <x v="166"/>
  </r>
  <r>
    <x v="166"/>
    <x v="1"/>
    <n v="220.84"/>
    <x v="166"/>
  </r>
  <r>
    <x v="166"/>
    <x v="2"/>
    <n v="0"/>
    <x v="166"/>
  </r>
  <r>
    <x v="166"/>
    <x v="3"/>
    <n v="79.209999999999994"/>
    <x v="166"/>
  </r>
  <r>
    <x v="166"/>
    <x v="4"/>
    <n v="0"/>
    <x v="166"/>
  </r>
  <r>
    <x v="166"/>
    <x v="5"/>
    <n v="140.05000000000001"/>
    <x v="166"/>
  </r>
  <r>
    <x v="166"/>
    <x v="6"/>
    <n v="0"/>
    <x v="166"/>
  </r>
  <r>
    <x v="166"/>
    <x v="7"/>
    <n v="141.25"/>
    <x v="166"/>
  </r>
  <r>
    <x v="166"/>
    <x v="8"/>
    <n v="0"/>
    <x v="166"/>
  </r>
  <r>
    <x v="166"/>
    <x v="9"/>
    <n v="286.63"/>
    <x v="166"/>
  </r>
  <r>
    <x v="166"/>
    <x v="10"/>
    <n v="29.11"/>
    <x v="166"/>
  </r>
  <r>
    <x v="166"/>
    <x v="11"/>
    <n v="98.88"/>
    <x v="166"/>
  </r>
  <r>
    <x v="166"/>
    <x v="12"/>
    <n v="0"/>
    <x v="166"/>
  </r>
  <r>
    <x v="166"/>
    <x v="13"/>
    <n v="0"/>
    <x v="166"/>
  </r>
  <r>
    <x v="166"/>
    <x v="14"/>
    <n v="0"/>
    <x v="166"/>
  </r>
  <r>
    <x v="166"/>
    <x v="15"/>
    <n v="72.63"/>
    <x v="166"/>
  </r>
  <r>
    <x v="167"/>
    <x v="0"/>
    <n v="0"/>
    <x v="167"/>
  </r>
  <r>
    <x v="167"/>
    <x v="1"/>
    <n v="270"/>
    <x v="167"/>
  </r>
  <r>
    <x v="167"/>
    <x v="2"/>
    <n v="0"/>
    <x v="167"/>
  </r>
  <r>
    <x v="167"/>
    <x v="3"/>
    <n v="106.4"/>
    <x v="167"/>
  </r>
  <r>
    <x v="167"/>
    <x v="4"/>
    <n v="0"/>
    <x v="167"/>
  </r>
  <r>
    <x v="167"/>
    <x v="5"/>
    <n v="186.54"/>
    <x v="167"/>
  </r>
  <r>
    <x v="167"/>
    <x v="6"/>
    <n v="0"/>
    <x v="167"/>
  </r>
  <r>
    <x v="167"/>
    <x v="7"/>
    <n v="201.5"/>
    <x v="167"/>
  </r>
  <r>
    <x v="167"/>
    <x v="8"/>
    <n v="0"/>
    <x v="167"/>
  </r>
  <r>
    <x v="167"/>
    <x v="9"/>
    <n v="410.13"/>
    <x v="167"/>
  </r>
  <r>
    <x v="167"/>
    <x v="10"/>
    <n v="6.71"/>
    <x v="167"/>
  </r>
  <r>
    <x v="167"/>
    <x v="11"/>
    <n v="103.54"/>
    <x v="167"/>
  </r>
  <r>
    <x v="167"/>
    <x v="12"/>
    <n v="0"/>
    <x v="167"/>
  </r>
  <r>
    <x v="167"/>
    <x v="13"/>
    <n v="0"/>
    <x v="167"/>
  </r>
  <r>
    <x v="167"/>
    <x v="14"/>
    <n v="44.6"/>
    <x v="167"/>
  </r>
  <r>
    <x v="167"/>
    <x v="15"/>
    <n v="58.8"/>
    <x v="167"/>
  </r>
  <r>
    <x v="168"/>
    <x v="0"/>
    <n v="0"/>
    <x v="168"/>
  </r>
  <r>
    <x v="168"/>
    <x v="1"/>
    <n v="448.29"/>
    <x v="168"/>
  </r>
  <r>
    <x v="168"/>
    <x v="2"/>
    <n v="0"/>
    <x v="168"/>
  </r>
  <r>
    <x v="168"/>
    <x v="3"/>
    <n v="154.88999999999999"/>
    <x v="168"/>
  </r>
  <r>
    <x v="168"/>
    <x v="4"/>
    <n v="0"/>
    <x v="168"/>
  </r>
  <r>
    <x v="168"/>
    <x v="5"/>
    <n v="323.63"/>
    <x v="168"/>
  </r>
  <r>
    <x v="168"/>
    <x v="6"/>
    <n v="0"/>
    <x v="168"/>
  </r>
  <r>
    <x v="168"/>
    <x v="7"/>
    <n v="317.70999999999998"/>
    <x v="168"/>
  </r>
  <r>
    <x v="168"/>
    <x v="8"/>
    <n v="0"/>
    <x v="168"/>
  </r>
  <r>
    <x v="168"/>
    <x v="9"/>
    <n v="497.3"/>
    <x v="168"/>
  </r>
  <r>
    <x v="168"/>
    <x v="10"/>
    <n v="14.13"/>
    <x v="168"/>
  </r>
  <r>
    <x v="168"/>
    <x v="11"/>
    <n v="130.32"/>
    <x v="168"/>
  </r>
  <r>
    <x v="168"/>
    <x v="12"/>
    <n v="0"/>
    <x v="168"/>
  </r>
  <r>
    <x v="168"/>
    <x v="13"/>
    <n v="0"/>
    <x v="168"/>
  </r>
  <r>
    <x v="168"/>
    <x v="14"/>
    <n v="59.2"/>
    <x v="168"/>
  </r>
  <r>
    <x v="168"/>
    <x v="15"/>
    <n v="149.85"/>
    <x v="168"/>
  </r>
  <r>
    <x v="169"/>
    <x v="0"/>
    <n v="0"/>
    <x v="169"/>
  </r>
  <r>
    <x v="169"/>
    <x v="1"/>
    <n v="133.05000000000001"/>
    <x v="169"/>
  </r>
  <r>
    <x v="169"/>
    <x v="2"/>
    <n v="0"/>
    <x v="169"/>
  </r>
  <r>
    <x v="169"/>
    <x v="3"/>
    <n v="42"/>
    <x v="169"/>
  </r>
  <r>
    <x v="169"/>
    <x v="4"/>
    <n v="0"/>
    <x v="169"/>
  </r>
  <r>
    <x v="169"/>
    <x v="5"/>
    <n v="92.2"/>
    <x v="169"/>
  </r>
  <r>
    <x v="169"/>
    <x v="6"/>
    <n v="0"/>
    <x v="169"/>
  </r>
  <r>
    <x v="169"/>
    <x v="7"/>
    <n v="93.57"/>
    <x v="169"/>
  </r>
  <r>
    <x v="169"/>
    <x v="8"/>
    <n v="0"/>
    <x v="169"/>
  </r>
  <r>
    <x v="169"/>
    <x v="9"/>
    <n v="164.83"/>
    <x v="169"/>
  </r>
  <r>
    <x v="169"/>
    <x v="10"/>
    <n v="9.5399999999999991"/>
    <x v="169"/>
  </r>
  <r>
    <x v="169"/>
    <x v="11"/>
    <n v="25.23"/>
    <x v="169"/>
  </r>
  <r>
    <x v="169"/>
    <x v="12"/>
    <n v="0"/>
    <x v="169"/>
  </r>
  <r>
    <x v="169"/>
    <x v="13"/>
    <n v="0"/>
    <x v="169"/>
  </r>
  <r>
    <x v="169"/>
    <x v="14"/>
    <n v="19"/>
    <x v="169"/>
  </r>
  <r>
    <x v="169"/>
    <x v="15"/>
    <n v="44.2"/>
    <x v="169"/>
  </r>
  <r>
    <x v="170"/>
    <x v="0"/>
    <n v="0"/>
    <x v="170"/>
  </r>
  <r>
    <x v="170"/>
    <x v="1"/>
    <n v="413.87"/>
    <x v="170"/>
  </r>
  <r>
    <x v="170"/>
    <x v="2"/>
    <n v="0"/>
    <x v="170"/>
  </r>
  <r>
    <x v="170"/>
    <x v="3"/>
    <n v="132.19999999999999"/>
    <x v="170"/>
  </r>
  <r>
    <x v="170"/>
    <x v="4"/>
    <n v="0"/>
    <x v="170"/>
  </r>
  <r>
    <x v="170"/>
    <x v="5"/>
    <n v="314.45999999999998"/>
    <x v="170"/>
  </r>
  <r>
    <x v="170"/>
    <x v="6"/>
    <n v="0"/>
    <x v="170"/>
  </r>
  <r>
    <x v="170"/>
    <x v="7"/>
    <n v="323.22000000000003"/>
    <x v="170"/>
  </r>
  <r>
    <x v="170"/>
    <x v="8"/>
    <n v="0"/>
    <x v="170"/>
  </r>
  <r>
    <x v="170"/>
    <x v="9"/>
    <n v="586.1"/>
    <x v="170"/>
  </r>
  <r>
    <x v="170"/>
    <x v="10"/>
    <n v="22.82"/>
    <x v="170"/>
  </r>
  <r>
    <x v="170"/>
    <x v="11"/>
    <n v="123.18"/>
    <x v="170"/>
  </r>
  <r>
    <x v="170"/>
    <x v="12"/>
    <n v="0"/>
    <x v="170"/>
  </r>
  <r>
    <x v="170"/>
    <x v="13"/>
    <n v="0"/>
    <x v="170"/>
  </r>
  <r>
    <x v="170"/>
    <x v="14"/>
    <n v="14.8"/>
    <x v="170"/>
  </r>
  <r>
    <x v="170"/>
    <x v="15"/>
    <n v="164.02"/>
    <x v="170"/>
  </r>
  <r>
    <x v="171"/>
    <x v="0"/>
    <n v="0"/>
    <x v="171"/>
  </r>
  <r>
    <x v="171"/>
    <x v="1"/>
    <n v="1141.68"/>
    <x v="171"/>
  </r>
  <r>
    <x v="171"/>
    <x v="2"/>
    <n v="0"/>
    <x v="171"/>
  </r>
  <r>
    <x v="171"/>
    <x v="3"/>
    <n v="380.23"/>
    <x v="171"/>
  </r>
  <r>
    <x v="171"/>
    <x v="4"/>
    <n v="0"/>
    <x v="171"/>
  </r>
  <r>
    <x v="171"/>
    <x v="5"/>
    <n v="789.76"/>
    <x v="171"/>
  </r>
  <r>
    <x v="171"/>
    <x v="6"/>
    <n v="0"/>
    <x v="171"/>
  </r>
  <r>
    <x v="171"/>
    <x v="7"/>
    <n v="808.86"/>
    <x v="171"/>
  </r>
  <r>
    <x v="171"/>
    <x v="8"/>
    <n v="0"/>
    <x v="171"/>
  </r>
  <r>
    <x v="171"/>
    <x v="9"/>
    <n v="1524.08"/>
    <x v="171"/>
  </r>
  <r>
    <x v="171"/>
    <x v="10"/>
    <n v="85.38"/>
    <x v="171"/>
  </r>
  <r>
    <x v="171"/>
    <x v="11"/>
    <n v="315.60000000000002"/>
    <x v="171"/>
  </r>
  <r>
    <x v="171"/>
    <x v="12"/>
    <n v="0"/>
    <x v="171"/>
  </r>
  <r>
    <x v="171"/>
    <x v="13"/>
    <n v="0"/>
    <x v="171"/>
  </r>
  <r>
    <x v="171"/>
    <x v="14"/>
    <n v="0"/>
    <x v="171"/>
  </r>
  <r>
    <x v="171"/>
    <x v="15"/>
    <n v="337.55"/>
    <x v="171"/>
  </r>
  <r>
    <x v="172"/>
    <x v="0"/>
    <n v="0"/>
    <x v="172"/>
  </r>
  <r>
    <x v="172"/>
    <x v="1"/>
    <n v="495"/>
    <x v="172"/>
  </r>
  <r>
    <x v="172"/>
    <x v="2"/>
    <n v="0"/>
    <x v="172"/>
  </r>
  <r>
    <x v="172"/>
    <x v="3"/>
    <n v="159"/>
    <x v="172"/>
  </r>
  <r>
    <x v="172"/>
    <x v="4"/>
    <n v="0"/>
    <x v="172"/>
  </r>
  <r>
    <x v="172"/>
    <x v="5"/>
    <n v="316.77"/>
    <x v="172"/>
  </r>
  <r>
    <x v="172"/>
    <x v="6"/>
    <n v="0"/>
    <x v="172"/>
  </r>
  <r>
    <x v="172"/>
    <x v="7"/>
    <n v="323"/>
    <x v="172"/>
  </r>
  <r>
    <x v="172"/>
    <x v="8"/>
    <n v="0"/>
    <x v="172"/>
  </r>
  <r>
    <x v="172"/>
    <x v="9"/>
    <n v="657.91"/>
    <x v="172"/>
  </r>
  <r>
    <x v="172"/>
    <x v="10"/>
    <n v="67.25"/>
    <x v="172"/>
  </r>
  <r>
    <x v="172"/>
    <x v="11"/>
    <n v="209.82"/>
    <x v="172"/>
  </r>
  <r>
    <x v="172"/>
    <x v="12"/>
    <n v="0"/>
    <x v="172"/>
  </r>
  <r>
    <x v="172"/>
    <x v="13"/>
    <n v="0"/>
    <x v="172"/>
  </r>
  <r>
    <x v="172"/>
    <x v="14"/>
    <n v="34"/>
    <x v="172"/>
  </r>
  <r>
    <x v="172"/>
    <x v="15"/>
    <n v="131.96"/>
    <x v="172"/>
  </r>
  <r>
    <x v="173"/>
    <x v="0"/>
    <n v="0"/>
    <x v="173"/>
  </r>
  <r>
    <x v="173"/>
    <x v="1"/>
    <n v="10.11"/>
    <x v="173"/>
  </r>
  <r>
    <x v="173"/>
    <x v="2"/>
    <n v="0"/>
    <x v="173"/>
  </r>
  <r>
    <x v="173"/>
    <x v="3"/>
    <n v="6"/>
    <x v="173"/>
  </r>
  <r>
    <x v="173"/>
    <x v="4"/>
    <n v="0"/>
    <x v="173"/>
  </r>
  <r>
    <x v="173"/>
    <x v="5"/>
    <n v="15.6"/>
    <x v="173"/>
  </r>
  <r>
    <x v="173"/>
    <x v="6"/>
    <n v="0"/>
    <x v="173"/>
  </r>
  <r>
    <x v="173"/>
    <x v="7"/>
    <n v="4.99"/>
    <x v="173"/>
  </r>
  <r>
    <x v="173"/>
    <x v="8"/>
    <n v="0"/>
    <x v="173"/>
  </r>
  <r>
    <x v="173"/>
    <x v="9"/>
    <n v="9.9499999999999993"/>
    <x v="173"/>
  </r>
  <r>
    <x v="173"/>
    <x v="10"/>
    <n v="0"/>
    <x v="173"/>
  </r>
  <r>
    <x v="173"/>
    <x v="11"/>
    <n v="0"/>
    <x v="173"/>
  </r>
  <r>
    <x v="173"/>
    <x v="12"/>
    <n v="0"/>
    <x v="173"/>
  </r>
  <r>
    <x v="173"/>
    <x v="13"/>
    <n v="0"/>
    <x v="173"/>
  </r>
  <r>
    <x v="173"/>
    <x v="14"/>
    <n v="1.8"/>
    <x v="173"/>
  </r>
  <r>
    <x v="173"/>
    <x v="15"/>
    <n v="1"/>
    <x v="173"/>
  </r>
  <r>
    <x v="174"/>
    <x v="0"/>
    <n v="0"/>
    <x v="174"/>
  </r>
  <r>
    <x v="174"/>
    <x v="1"/>
    <n v="3329.13"/>
    <x v="174"/>
  </r>
  <r>
    <x v="174"/>
    <x v="2"/>
    <n v="0"/>
    <x v="174"/>
  </r>
  <r>
    <x v="174"/>
    <x v="3"/>
    <n v="1102.19"/>
    <x v="174"/>
  </r>
  <r>
    <x v="174"/>
    <x v="4"/>
    <n v="0"/>
    <x v="174"/>
  </r>
  <r>
    <x v="174"/>
    <x v="5"/>
    <n v="2244.04"/>
    <x v="174"/>
  </r>
  <r>
    <x v="174"/>
    <x v="6"/>
    <n v="0"/>
    <x v="174"/>
  </r>
  <r>
    <x v="174"/>
    <x v="7"/>
    <n v="2129.5100000000002"/>
    <x v="174"/>
  </r>
  <r>
    <x v="174"/>
    <x v="8"/>
    <n v="0"/>
    <x v="174"/>
  </r>
  <r>
    <x v="174"/>
    <x v="9"/>
    <n v="3972.2"/>
    <x v="174"/>
  </r>
  <r>
    <x v="174"/>
    <x v="10"/>
    <n v="199.16"/>
    <x v="174"/>
  </r>
  <r>
    <x v="174"/>
    <x v="11"/>
    <n v="840.24"/>
    <x v="174"/>
  </r>
  <r>
    <x v="174"/>
    <x v="12"/>
    <n v="0"/>
    <x v="174"/>
  </r>
  <r>
    <x v="174"/>
    <x v="13"/>
    <n v="0"/>
    <x v="174"/>
  </r>
  <r>
    <x v="174"/>
    <x v="14"/>
    <n v="83.8"/>
    <x v="174"/>
  </r>
  <r>
    <x v="174"/>
    <x v="15"/>
    <n v="1026.4000000000001"/>
    <x v="174"/>
  </r>
  <r>
    <x v="175"/>
    <x v="0"/>
    <n v="0"/>
    <x v="175"/>
  </r>
  <r>
    <x v="175"/>
    <x v="1"/>
    <n v="32.799999999999997"/>
    <x v="175"/>
  </r>
  <r>
    <x v="175"/>
    <x v="2"/>
    <n v="0"/>
    <x v="175"/>
  </r>
  <r>
    <x v="175"/>
    <x v="3"/>
    <n v="14.4"/>
    <x v="175"/>
  </r>
  <r>
    <x v="175"/>
    <x v="4"/>
    <n v="0"/>
    <x v="175"/>
  </r>
  <r>
    <x v="175"/>
    <x v="5"/>
    <n v="27.2"/>
    <x v="175"/>
  </r>
  <r>
    <x v="175"/>
    <x v="6"/>
    <n v="0"/>
    <x v="175"/>
  </r>
  <r>
    <x v="175"/>
    <x v="7"/>
    <n v="24.6"/>
    <x v="175"/>
  </r>
  <r>
    <x v="175"/>
    <x v="8"/>
    <n v="0"/>
    <x v="175"/>
  </r>
  <r>
    <x v="175"/>
    <x v="9"/>
    <n v="55.04"/>
    <x v="175"/>
  </r>
  <r>
    <x v="175"/>
    <x v="10"/>
    <n v="0"/>
    <x v="175"/>
  </r>
  <r>
    <x v="175"/>
    <x v="11"/>
    <n v="5.88"/>
    <x v="175"/>
  </r>
  <r>
    <x v="175"/>
    <x v="12"/>
    <n v="0"/>
    <x v="175"/>
  </r>
  <r>
    <x v="175"/>
    <x v="13"/>
    <n v="0"/>
    <x v="175"/>
  </r>
  <r>
    <x v="175"/>
    <x v="14"/>
    <n v="0"/>
    <x v="175"/>
  </r>
  <r>
    <x v="175"/>
    <x v="15"/>
    <n v="7.4"/>
    <x v="175"/>
  </r>
  <r>
    <x v="176"/>
    <x v="0"/>
    <n v="0"/>
    <x v="176"/>
  </r>
  <r>
    <x v="176"/>
    <x v="1"/>
    <n v="4749.3100000000004"/>
    <x v="176"/>
  </r>
  <r>
    <x v="176"/>
    <x v="2"/>
    <n v="0"/>
    <x v="176"/>
  </r>
  <r>
    <x v="176"/>
    <x v="3"/>
    <n v="1629.47"/>
    <x v="176"/>
  </r>
  <r>
    <x v="176"/>
    <x v="4"/>
    <n v="0"/>
    <x v="176"/>
  </r>
  <r>
    <x v="176"/>
    <x v="5"/>
    <n v="3435.17"/>
    <x v="176"/>
  </r>
  <r>
    <x v="176"/>
    <x v="6"/>
    <n v="0"/>
    <x v="176"/>
  </r>
  <r>
    <x v="176"/>
    <x v="7"/>
    <n v="3426.31"/>
    <x v="176"/>
  </r>
  <r>
    <x v="176"/>
    <x v="8"/>
    <n v="0"/>
    <x v="176"/>
  </r>
  <r>
    <x v="176"/>
    <x v="9"/>
    <n v="6515.5"/>
    <x v="176"/>
  </r>
  <r>
    <x v="176"/>
    <x v="10"/>
    <n v="197.9"/>
    <x v="176"/>
  </r>
  <r>
    <x v="176"/>
    <x v="11"/>
    <n v="1077.5999999999999"/>
    <x v="176"/>
  </r>
  <r>
    <x v="176"/>
    <x v="12"/>
    <n v="0"/>
    <x v="176"/>
  </r>
  <r>
    <x v="176"/>
    <x v="13"/>
    <n v="0"/>
    <x v="176"/>
  </r>
  <r>
    <x v="176"/>
    <x v="14"/>
    <n v="0"/>
    <x v="176"/>
  </r>
  <r>
    <x v="176"/>
    <x v="15"/>
    <n v="1434.02"/>
    <x v="176"/>
  </r>
  <r>
    <x v="177"/>
    <x v="0"/>
    <n v="0"/>
    <x v="177"/>
  </r>
  <r>
    <x v="177"/>
    <x v="1"/>
    <n v="1239.08"/>
    <x v="177"/>
  </r>
  <r>
    <x v="177"/>
    <x v="2"/>
    <n v="0"/>
    <x v="177"/>
  </r>
  <r>
    <x v="177"/>
    <x v="3"/>
    <n v="400.44"/>
    <x v="177"/>
  </r>
  <r>
    <x v="177"/>
    <x v="4"/>
    <n v="0"/>
    <x v="177"/>
  </r>
  <r>
    <x v="177"/>
    <x v="5"/>
    <n v="768.2"/>
    <x v="177"/>
  </r>
  <r>
    <x v="177"/>
    <x v="6"/>
    <n v="0"/>
    <x v="177"/>
  </r>
  <r>
    <x v="177"/>
    <x v="7"/>
    <n v="711.67"/>
    <x v="177"/>
  </r>
  <r>
    <x v="177"/>
    <x v="8"/>
    <n v="0"/>
    <x v="177"/>
  </r>
  <r>
    <x v="177"/>
    <x v="9"/>
    <n v="1460.75"/>
    <x v="177"/>
  </r>
  <r>
    <x v="177"/>
    <x v="10"/>
    <n v="42.03"/>
    <x v="177"/>
  </r>
  <r>
    <x v="177"/>
    <x v="11"/>
    <n v="401.85"/>
    <x v="177"/>
  </r>
  <r>
    <x v="177"/>
    <x v="12"/>
    <n v="0"/>
    <x v="177"/>
  </r>
  <r>
    <x v="177"/>
    <x v="13"/>
    <n v="0"/>
    <x v="177"/>
  </r>
  <r>
    <x v="177"/>
    <x v="14"/>
    <n v="44.8"/>
    <x v="177"/>
  </r>
  <r>
    <x v="177"/>
    <x v="15"/>
    <n v="377.5"/>
    <x v="177"/>
  </r>
  <r>
    <x v="178"/>
    <x v="0"/>
    <n v="0"/>
    <x v="178"/>
  </r>
  <r>
    <x v="178"/>
    <x v="1"/>
    <n v="28.2"/>
    <x v="178"/>
  </r>
  <r>
    <x v="178"/>
    <x v="2"/>
    <n v="0"/>
    <x v="178"/>
  </r>
  <r>
    <x v="178"/>
    <x v="3"/>
    <n v="11.2"/>
    <x v="178"/>
  </r>
  <r>
    <x v="178"/>
    <x v="4"/>
    <n v="0"/>
    <x v="178"/>
  </r>
  <r>
    <x v="178"/>
    <x v="5"/>
    <n v="23.2"/>
    <x v="178"/>
  </r>
  <r>
    <x v="178"/>
    <x v="6"/>
    <n v="0"/>
    <x v="178"/>
  </r>
  <r>
    <x v="178"/>
    <x v="7"/>
    <n v="23.12"/>
    <x v="178"/>
  </r>
  <r>
    <x v="178"/>
    <x v="8"/>
    <n v="0"/>
    <x v="178"/>
  </r>
  <r>
    <x v="178"/>
    <x v="9"/>
    <n v="42.95"/>
    <x v="178"/>
  </r>
  <r>
    <x v="178"/>
    <x v="10"/>
    <n v="4.4000000000000004"/>
    <x v="178"/>
  </r>
  <r>
    <x v="178"/>
    <x v="11"/>
    <n v="13.93"/>
    <x v="178"/>
  </r>
  <r>
    <x v="178"/>
    <x v="12"/>
    <n v="0"/>
    <x v="178"/>
  </r>
  <r>
    <x v="178"/>
    <x v="13"/>
    <n v="0"/>
    <x v="178"/>
  </r>
  <r>
    <x v="178"/>
    <x v="14"/>
    <n v="7.03"/>
    <x v="178"/>
  </r>
  <r>
    <x v="178"/>
    <x v="15"/>
    <n v="6.83"/>
    <x v="178"/>
  </r>
  <r>
    <x v="179"/>
    <x v="0"/>
    <n v="0"/>
    <x v="179"/>
  </r>
  <r>
    <x v="179"/>
    <x v="1"/>
    <n v="73.599999999999994"/>
    <x v="179"/>
  </r>
  <r>
    <x v="179"/>
    <x v="2"/>
    <n v="0"/>
    <x v="179"/>
  </r>
  <r>
    <x v="179"/>
    <x v="3"/>
    <n v="20"/>
    <x v="179"/>
  </r>
  <r>
    <x v="179"/>
    <x v="4"/>
    <n v="0"/>
    <x v="179"/>
  </r>
  <r>
    <x v="179"/>
    <x v="5"/>
    <n v="39"/>
    <x v="179"/>
  </r>
  <r>
    <x v="179"/>
    <x v="6"/>
    <n v="0"/>
    <x v="179"/>
  </r>
  <r>
    <x v="179"/>
    <x v="7"/>
    <n v="46.8"/>
    <x v="179"/>
  </r>
  <r>
    <x v="179"/>
    <x v="8"/>
    <n v="0"/>
    <x v="179"/>
  </r>
  <r>
    <x v="179"/>
    <x v="9"/>
    <n v="66.010000000000005"/>
    <x v="179"/>
  </r>
  <r>
    <x v="179"/>
    <x v="10"/>
    <n v="1.63"/>
    <x v="179"/>
  </r>
  <r>
    <x v="179"/>
    <x v="11"/>
    <n v="19.510000000000002"/>
    <x v="179"/>
  </r>
  <r>
    <x v="179"/>
    <x v="12"/>
    <n v="0"/>
    <x v="179"/>
  </r>
  <r>
    <x v="179"/>
    <x v="13"/>
    <n v="0"/>
    <x v="179"/>
  </r>
  <r>
    <x v="179"/>
    <x v="14"/>
    <n v="19.8"/>
    <x v="179"/>
  </r>
  <r>
    <x v="179"/>
    <x v="15"/>
    <n v="22.2"/>
    <x v="179"/>
  </r>
  <r>
    <x v="180"/>
    <x v="0"/>
    <n v="0"/>
    <x v="180"/>
  </r>
  <r>
    <x v="180"/>
    <x v="1"/>
    <n v="184.85"/>
    <x v="180"/>
  </r>
  <r>
    <x v="180"/>
    <x v="2"/>
    <n v="0"/>
    <x v="180"/>
  </r>
  <r>
    <x v="180"/>
    <x v="3"/>
    <n v="79.77"/>
    <x v="180"/>
  </r>
  <r>
    <x v="180"/>
    <x v="4"/>
    <n v="0"/>
    <x v="180"/>
  </r>
  <r>
    <x v="180"/>
    <x v="5"/>
    <n v="122.91"/>
    <x v="180"/>
  </r>
  <r>
    <x v="180"/>
    <x v="6"/>
    <n v="0"/>
    <x v="180"/>
  </r>
  <r>
    <x v="180"/>
    <x v="7"/>
    <n v="145.02000000000001"/>
    <x v="180"/>
  </r>
  <r>
    <x v="180"/>
    <x v="8"/>
    <n v="0"/>
    <x v="180"/>
  </r>
  <r>
    <x v="180"/>
    <x v="9"/>
    <n v="298.24"/>
    <x v="180"/>
  </r>
  <r>
    <x v="180"/>
    <x v="10"/>
    <n v="0"/>
    <x v="180"/>
  </r>
  <r>
    <x v="180"/>
    <x v="11"/>
    <n v="109.8"/>
    <x v="180"/>
  </r>
  <r>
    <x v="180"/>
    <x v="12"/>
    <n v="0"/>
    <x v="180"/>
  </r>
  <r>
    <x v="180"/>
    <x v="13"/>
    <n v="0"/>
    <x v="180"/>
  </r>
  <r>
    <x v="180"/>
    <x v="14"/>
    <n v="17.399999999999999"/>
    <x v="180"/>
  </r>
  <r>
    <x v="180"/>
    <x v="15"/>
    <n v="51.8"/>
    <x v="180"/>
  </r>
  <r>
    <x v="181"/>
    <x v="0"/>
    <n v="0"/>
    <x v="181"/>
  </r>
  <r>
    <x v="181"/>
    <x v="1"/>
    <n v="118.2"/>
    <x v="181"/>
  </r>
  <r>
    <x v="181"/>
    <x v="2"/>
    <n v="0"/>
    <x v="181"/>
  </r>
  <r>
    <x v="181"/>
    <x v="3"/>
    <n v="50.6"/>
    <x v="181"/>
  </r>
  <r>
    <x v="181"/>
    <x v="4"/>
    <n v="0"/>
    <x v="181"/>
  </r>
  <r>
    <x v="181"/>
    <x v="5"/>
    <n v="108.66"/>
    <x v="181"/>
  </r>
  <r>
    <x v="181"/>
    <x v="6"/>
    <n v="0"/>
    <x v="181"/>
  </r>
  <r>
    <x v="181"/>
    <x v="7"/>
    <n v="96.39"/>
    <x v="181"/>
  </r>
  <r>
    <x v="181"/>
    <x v="8"/>
    <n v="0"/>
    <x v="181"/>
  </r>
  <r>
    <x v="181"/>
    <x v="9"/>
    <n v="147.78"/>
    <x v="181"/>
  </r>
  <r>
    <x v="181"/>
    <x v="10"/>
    <n v="10.08"/>
    <x v="181"/>
  </r>
  <r>
    <x v="181"/>
    <x v="11"/>
    <n v="35.67"/>
    <x v="181"/>
  </r>
  <r>
    <x v="181"/>
    <x v="12"/>
    <n v="0"/>
    <x v="181"/>
  </r>
  <r>
    <x v="181"/>
    <x v="13"/>
    <n v="0"/>
    <x v="181"/>
  </r>
  <r>
    <x v="181"/>
    <x v="14"/>
    <n v="0"/>
    <x v="181"/>
  </r>
  <r>
    <x v="181"/>
    <x v="15"/>
    <n v="28.8"/>
    <x v="181"/>
  </r>
  <r>
    <x v="182"/>
    <x v="0"/>
    <n v="0"/>
    <x v="182"/>
  </r>
  <r>
    <x v="182"/>
    <x v="1"/>
    <n v="49.2"/>
    <x v="182"/>
  </r>
  <r>
    <x v="182"/>
    <x v="2"/>
    <n v="0"/>
    <x v="182"/>
  </r>
  <r>
    <x v="182"/>
    <x v="3"/>
    <n v="10.6"/>
    <x v="182"/>
  </r>
  <r>
    <x v="182"/>
    <x v="4"/>
    <n v="0"/>
    <x v="182"/>
  </r>
  <r>
    <x v="182"/>
    <x v="5"/>
    <n v="35"/>
    <x v="182"/>
  </r>
  <r>
    <x v="182"/>
    <x v="6"/>
    <n v="0"/>
    <x v="182"/>
  </r>
  <r>
    <x v="182"/>
    <x v="7"/>
    <n v="32.4"/>
    <x v="182"/>
  </r>
  <r>
    <x v="182"/>
    <x v="8"/>
    <n v="0"/>
    <x v="182"/>
  </r>
  <r>
    <x v="182"/>
    <x v="9"/>
    <n v="63.74"/>
    <x v="182"/>
  </r>
  <r>
    <x v="182"/>
    <x v="10"/>
    <n v="1.79"/>
    <x v="182"/>
  </r>
  <r>
    <x v="182"/>
    <x v="11"/>
    <n v="12.22"/>
    <x v="182"/>
  </r>
  <r>
    <x v="182"/>
    <x v="12"/>
    <n v="0"/>
    <x v="182"/>
  </r>
  <r>
    <x v="182"/>
    <x v="13"/>
    <n v="0"/>
    <x v="182"/>
  </r>
  <r>
    <x v="182"/>
    <x v="14"/>
    <n v="9.6"/>
    <x v="182"/>
  </r>
  <r>
    <x v="182"/>
    <x v="15"/>
    <n v="13.71"/>
    <x v="182"/>
  </r>
  <r>
    <x v="183"/>
    <x v="0"/>
    <n v="0"/>
    <x v="183"/>
  </r>
  <r>
    <x v="183"/>
    <x v="1"/>
    <n v="196"/>
    <x v="183"/>
  </r>
  <r>
    <x v="183"/>
    <x v="2"/>
    <n v="0"/>
    <x v="183"/>
  </r>
  <r>
    <x v="183"/>
    <x v="3"/>
    <n v="73.8"/>
    <x v="183"/>
  </r>
  <r>
    <x v="183"/>
    <x v="4"/>
    <n v="0"/>
    <x v="183"/>
  </r>
  <r>
    <x v="183"/>
    <x v="5"/>
    <n v="145.27000000000001"/>
    <x v="183"/>
  </r>
  <r>
    <x v="183"/>
    <x v="6"/>
    <n v="0"/>
    <x v="183"/>
  </r>
  <r>
    <x v="183"/>
    <x v="7"/>
    <n v="157.06"/>
    <x v="183"/>
  </r>
  <r>
    <x v="183"/>
    <x v="8"/>
    <n v="0"/>
    <x v="183"/>
  </r>
  <r>
    <x v="183"/>
    <x v="9"/>
    <n v="297.22000000000003"/>
    <x v="183"/>
  </r>
  <r>
    <x v="183"/>
    <x v="10"/>
    <n v="19.5"/>
    <x v="183"/>
  </r>
  <r>
    <x v="183"/>
    <x v="11"/>
    <n v="84.09"/>
    <x v="183"/>
  </r>
  <r>
    <x v="183"/>
    <x v="12"/>
    <n v="0"/>
    <x v="183"/>
  </r>
  <r>
    <x v="183"/>
    <x v="13"/>
    <n v="0"/>
    <x v="183"/>
  </r>
  <r>
    <x v="183"/>
    <x v="14"/>
    <n v="16"/>
    <x v="183"/>
  </r>
  <r>
    <x v="183"/>
    <x v="15"/>
    <n v="54.8"/>
    <x v="183"/>
  </r>
  <r>
    <x v="184"/>
    <x v="0"/>
    <n v="0"/>
    <x v="184"/>
  </r>
  <r>
    <x v="184"/>
    <x v="1"/>
    <n v="1818.9"/>
    <x v="184"/>
  </r>
  <r>
    <x v="184"/>
    <x v="2"/>
    <n v="0"/>
    <x v="184"/>
  </r>
  <r>
    <x v="184"/>
    <x v="3"/>
    <n v="631.36"/>
    <x v="184"/>
  </r>
  <r>
    <x v="184"/>
    <x v="4"/>
    <n v="0"/>
    <x v="184"/>
  </r>
  <r>
    <x v="184"/>
    <x v="5"/>
    <n v="1340.52"/>
    <x v="184"/>
  </r>
  <r>
    <x v="184"/>
    <x v="6"/>
    <n v="0"/>
    <x v="184"/>
  </r>
  <r>
    <x v="184"/>
    <x v="7"/>
    <n v="1398.84"/>
    <x v="184"/>
  </r>
  <r>
    <x v="184"/>
    <x v="8"/>
    <n v="0"/>
    <x v="184"/>
  </r>
  <r>
    <x v="184"/>
    <x v="9"/>
    <n v="2749.25"/>
    <x v="184"/>
  </r>
  <r>
    <x v="184"/>
    <x v="10"/>
    <n v="136.01"/>
    <x v="184"/>
  </r>
  <r>
    <x v="184"/>
    <x v="11"/>
    <n v="574.76"/>
    <x v="184"/>
  </r>
  <r>
    <x v="184"/>
    <x v="12"/>
    <n v="0"/>
    <x v="184"/>
  </r>
  <r>
    <x v="184"/>
    <x v="13"/>
    <n v="0"/>
    <x v="184"/>
  </r>
  <r>
    <x v="184"/>
    <x v="14"/>
    <n v="31.6"/>
    <x v="184"/>
  </r>
  <r>
    <x v="184"/>
    <x v="15"/>
    <n v="513.59"/>
    <x v="184"/>
  </r>
  <r>
    <x v="185"/>
    <x v="0"/>
    <n v="0"/>
    <x v="185"/>
  </r>
  <r>
    <x v="185"/>
    <x v="1"/>
    <n v="355.7"/>
    <x v="185"/>
  </r>
  <r>
    <x v="185"/>
    <x v="2"/>
    <n v="0"/>
    <x v="185"/>
  </r>
  <r>
    <x v="185"/>
    <x v="3"/>
    <n v="109.8"/>
    <x v="185"/>
  </r>
  <r>
    <x v="185"/>
    <x v="4"/>
    <n v="0"/>
    <x v="185"/>
  </r>
  <r>
    <x v="185"/>
    <x v="5"/>
    <n v="196.88"/>
    <x v="185"/>
  </r>
  <r>
    <x v="185"/>
    <x v="6"/>
    <n v="0"/>
    <x v="185"/>
  </r>
  <r>
    <x v="185"/>
    <x v="7"/>
    <n v="210.01"/>
    <x v="185"/>
  </r>
  <r>
    <x v="185"/>
    <x v="8"/>
    <n v="0"/>
    <x v="185"/>
  </r>
  <r>
    <x v="185"/>
    <x v="9"/>
    <n v="397.87"/>
    <x v="185"/>
  </r>
  <r>
    <x v="185"/>
    <x v="10"/>
    <n v="30.33"/>
    <x v="185"/>
  </r>
  <r>
    <x v="185"/>
    <x v="11"/>
    <n v="131.62"/>
    <x v="185"/>
  </r>
  <r>
    <x v="185"/>
    <x v="12"/>
    <n v="0"/>
    <x v="185"/>
  </r>
  <r>
    <x v="185"/>
    <x v="13"/>
    <n v="0"/>
    <x v="185"/>
  </r>
  <r>
    <x v="185"/>
    <x v="14"/>
    <n v="0"/>
    <x v="185"/>
  </r>
  <r>
    <x v="185"/>
    <x v="15"/>
    <n v="90.22"/>
    <x v="185"/>
  </r>
  <r>
    <x v="186"/>
    <x v="0"/>
    <n v="0"/>
    <x v="186"/>
  </r>
  <r>
    <x v="186"/>
    <x v="1"/>
    <n v="185.1"/>
    <x v="186"/>
  </r>
  <r>
    <x v="186"/>
    <x v="2"/>
    <n v="0"/>
    <x v="186"/>
  </r>
  <r>
    <x v="186"/>
    <x v="3"/>
    <n v="59.2"/>
    <x v="186"/>
  </r>
  <r>
    <x v="186"/>
    <x v="4"/>
    <n v="0"/>
    <x v="186"/>
  </r>
  <r>
    <x v="186"/>
    <x v="5"/>
    <n v="127.96"/>
    <x v="186"/>
  </r>
  <r>
    <x v="186"/>
    <x v="6"/>
    <n v="0"/>
    <x v="186"/>
  </r>
  <r>
    <x v="186"/>
    <x v="7"/>
    <n v="132.38"/>
    <x v="186"/>
  </r>
  <r>
    <x v="186"/>
    <x v="8"/>
    <n v="0"/>
    <x v="186"/>
  </r>
  <r>
    <x v="186"/>
    <x v="9"/>
    <n v="235.52"/>
    <x v="186"/>
  </r>
  <r>
    <x v="186"/>
    <x v="10"/>
    <n v="17.25"/>
    <x v="186"/>
  </r>
  <r>
    <x v="186"/>
    <x v="11"/>
    <n v="95.83"/>
    <x v="186"/>
  </r>
  <r>
    <x v="186"/>
    <x v="12"/>
    <n v="0"/>
    <x v="186"/>
  </r>
  <r>
    <x v="186"/>
    <x v="13"/>
    <n v="0"/>
    <x v="186"/>
  </r>
  <r>
    <x v="186"/>
    <x v="14"/>
    <n v="18"/>
    <x v="186"/>
  </r>
  <r>
    <x v="186"/>
    <x v="15"/>
    <n v="70.7"/>
    <x v="186"/>
  </r>
  <r>
    <x v="187"/>
    <x v="0"/>
    <n v="0"/>
    <x v="187"/>
  </r>
  <r>
    <x v="187"/>
    <x v="1"/>
    <n v="12.4"/>
    <x v="187"/>
  </r>
  <r>
    <x v="187"/>
    <x v="2"/>
    <n v="0"/>
    <x v="187"/>
  </r>
  <r>
    <x v="187"/>
    <x v="3"/>
    <n v="8"/>
    <x v="187"/>
  </r>
  <r>
    <x v="187"/>
    <x v="4"/>
    <n v="0"/>
    <x v="187"/>
  </r>
  <r>
    <x v="187"/>
    <x v="5"/>
    <n v="8.8000000000000007"/>
    <x v="187"/>
  </r>
  <r>
    <x v="187"/>
    <x v="6"/>
    <n v="0"/>
    <x v="187"/>
  </r>
  <r>
    <x v="187"/>
    <x v="7"/>
    <n v="6.2"/>
    <x v="187"/>
  </r>
  <r>
    <x v="187"/>
    <x v="8"/>
    <n v="0"/>
    <x v="187"/>
  </r>
  <r>
    <x v="187"/>
    <x v="9"/>
    <n v="0"/>
    <x v="187"/>
  </r>
  <r>
    <x v="187"/>
    <x v="10"/>
    <n v="0"/>
    <x v="187"/>
  </r>
  <r>
    <x v="187"/>
    <x v="11"/>
    <n v="0"/>
    <x v="187"/>
  </r>
  <r>
    <x v="187"/>
    <x v="12"/>
    <n v="0"/>
    <x v="187"/>
  </r>
  <r>
    <x v="187"/>
    <x v="13"/>
    <n v="0"/>
    <x v="187"/>
  </r>
  <r>
    <x v="187"/>
    <x v="14"/>
    <n v="0"/>
    <x v="187"/>
  </r>
  <r>
    <x v="187"/>
    <x v="15"/>
    <n v="5"/>
    <x v="187"/>
  </r>
  <r>
    <x v="188"/>
    <x v="0"/>
    <n v="0"/>
    <x v="188"/>
  </r>
  <r>
    <x v="188"/>
    <x v="1"/>
    <n v="105"/>
    <x v="188"/>
  </r>
  <r>
    <x v="188"/>
    <x v="2"/>
    <n v="0"/>
    <x v="188"/>
  </r>
  <r>
    <x v="188"/>
    <x v="3"/>
    <n v="27.88"/>
    <x v="188"/>
  </r>
  <r>
    <x v="188"/>
    <x v="4"/>
    <n v="0"/>
    <x v="188"/>
  </r>
  <r>
    <x v="188"/>
    <x v="5"/>
    <n v="63.34"/>
    <x v="188"/>
  </r>
  <r>
    <x v="188"/>
    <x v="6"/>
    <n v="0"/>
    <x v="188"/>
  </r>
  <r>
    <x v="188"/>
    <x v="7"/>
    <n v="70.510000000000005"/>
    <x v="188"/>
  </r>
  <r>
    <x v="188"/>
    <x v="8"/>
    <n v="0"/>
    <x v="188"/>
  </r>
  <r>
    <x v="188"/>
    <x v="9"/>
    <n v="165.83"/>
    <x v="188"/>
  </r>
  <r>
    <x v="188"/>
    <x v="10"/>
    <n v="0"/>
    <x v="188"/>
  </r>
  <r>
    <x v="188"/>
    <x v="11"/>
    <n v="13.53"/>
    <x v="188"/>
  </r>
  <r>
    <x v="188"/>
    <x v="12"/>
    <n v="0"/>
    <x v="188"/>
  </r>
  <r>
    <x v="188"/>
    <x v="13"/>
    <n v="0"/>
    <x v="188"/>
  </r>
  <r>
    <x v="188"/>
    <x v="14"/>
    <n v="0"/>
    <x v="188"/>
  </r>
  <r>
    <x v="188"/>
    <x v="15"/>
    <n v="17.23"/>
    <x v="188"/>
  </r>
  <r>
    <x v="189"/>
    <x v="0"/>
    <n v="0"/>
    <x v="189"/>
  </r>
  <r>
    <x v="189"/>
    <x v="1"/>
    <n v="31"/>
    <x v="189"/>
  </r>
  <r>
    <x v="189"/>
    <x v="2"/>
    <n v="0"/>
    <x v="189"/>
  </r>
  <r>
    <x v="189"/>
    <x v="3"/>
    <n v="11"/>
    <x v="189"/>
  </r>
  <r>
    <x v="189"/>
    <x v="4"/>
    <n v="0"/>
    <x v="189"/>
  </r>
  <r>
    <x v="189"/>
    <x v="5"/>
    <n v="17.399999999999999"/>
    <x v="189"/>
  </r>
  <r>
    <x v="189"/>
    <x v="6"/>
    <n v="0"/>
    <x v="189"/>
  </r>
  <r>
    <x v="189"/>
    <x v="7"/>
    <n v="5"/>
    <x v="189"/>
  </r>
  <r>
    <x v="189"/>
    <x v="8"/>
    <n v="0"/>
    <x v="189"/>
  </r>
  <r>
    <x v="189"/>
    <x v="9"/>
    <n v="0"/>
    <x v="189"/>
  </r>
  <r>
    <x v="189"/>
    <x v="10"/>
    <n v="0"/>
    <x v="189"/>
  </r>
  <r>
    <x v="189"/>
    <x v="11"/>
    <n v="0"/>
    <x v="189"/>
  </r>
  <r>
    <x v="189"/>
    <x v="12"/>
    <n v="0"/>
    <x v="189"/>
  </r>
  <r>
    <x v="189"/>
    <x v="13"/>
    <n v="0"/>
    <x v="189"/>
  </r>
  <r>
    <x v="189"/>
    <x v="14"/>
    <n v="0"/>
    <x v="189"/>
  </r>
  <r>
    <x v="189"/>
    <x v="15"/>
    <n v="13"/>
    <x v="189"/>
  </r>
  <r>
    <x v="190"/>
    <x v="0"/>
    <n v="0"/>
    <x v="190"/>
  </r>
  <r>
    <x v="190"/>
    <x v="1"/>
    <n v="16.600000000000001"/>
    <x v="190"/>
  </r>
  <r>
    <x v="190"/>
    <x v="2"/>
    <n v="0"/>
    <x v="190"/>
  </r>
  <r>
    <x v="190"/>
    <x v="3"/>
    <n v="5"/>
    <x v="190"/>
  </r>
  <r>
    <x v="190"/>
    <x v="4"/>
    <n v="0"/>
    <x v="190"/>
  </r>
  <r>
    <x v="190"/>
    <x v="5"/>
    <n v="10"/>
    <x v="190"/>
  </r>
  <r>
    <x v="190"/>
    <x v="6"/>
    <n v="0"/>
    <x v="190"/>
  </r>
  <r>
    <x v="190"/>
    <x v="7"/>
    <n v="7.8"/>
    <x v="190"/>
  </r>
  <r>
    <x v="190"/>
    <x v="8"/>
    <n v="0"/>
    <x v="190"/>
  </r>
  <r>
    <x v="190"/>
    <x v="9"/>
    <n v="0"/>
    <x v="190"/>
  </r>
  <r>
    <x v="190"/>
    <x v="10"/>
    <n v="0"/>
    <x v="190"/>
  </r>
  <r>
    <x v="190"/>
    <x v="11"/>
    <n v="0"/>
    <x v="190"/>
  </r>
  <r>
    <x v="190"/>
    <x v="12"/>
    <n v="0"/>
    <x v="190"/>
  </r>
  <r>
    <x v="190"/>
    <x v="13"/>
    <n v="0"/>
    <x v="190"/>
  </r>
  <r>
    <x v="190"/>
    <x v="14"/>
    <n v="0"/>
    <x v="190"/>
  </r>
  <r>
    <x v="190"/>
    <x v="15"/>
    <n v="3"/>
    <x v="190"/>
  </r>
  <r>
    <x v="191"/>
    <x v="0"/>
    <n v="0"/>
    <x v="191"/>
  </r>
  <r>
    <x v="191"/>
    <x v="1"/>
    <n v="42"/>
    <x v="191"/>
  </r>
  <r>
    <x v="191"/>
    <x v="2"/>
    <n v="0"/>
    <x v="191"/>
  </r>
  <r>
    <x v="191"/>
    <x v="3"/>
    <n v="8"/>
    <x v="191"/>
  </r>
  <r>
    <x v="191"/>
    <x v="4"/>
    <n v="0"/>
    <x v="191"/>
  </r>
  <r>
    <x v="191"/>
    <x v="5"/>
    <n v="28"/>
    <x v="191"/>
  </r>
  <r>
    <x v="191"/>
    <x v="6"/>
    <n v="0"/>
    <x v="191"/>
  </r>
  <r>
    <x v="191"/>
    <x v="7"/>
    <n v="15.2"/>
    <x v="191"/>
  </r>
  <r>
    <x v="191"/>
    <x v="8"/>
    <n v="0"/>
    <x v="191"/>
  </r>
  <r>
    <x v="191"/>
    <x v="9"/>
    <n v="0"/>
    <x v="191"/>
  </r>
  <r>
    <x v="191"/>
    <x v="10"/>
    <n v="3.04"/>
    <x v="191"/>
  </r>
  <r>
    <x v="191"/>
    <x v="11"/>
    <n v="0"/>
    <x v="191"/>
  </r>
  <r>
    <x v="191"/>
    <x v="12"/>
    <n v="0"/>
    <x v="191"/>
  </r>
  <r>
    <x v="191"/>
    <x v="13"/>
    <n v="0"/>
    <x v="191"/>
  </r>
  <r>
    <x v="191"/>
    <x v="14"/>
    <n v="0"/>
    <x v="191"/>
  </r>
  <r>
    <x v="191"/>
    <x v="15"/>
    <n v="15"/>
    <x v="191"/>
  </r>
  <r>
    <x v="192"/>
    <x v="0"/>
    <n v="0"/>
    <x v="192"/>
  </r>
  <r>
    <x v="192"/>
    <x v="1"/>
    <n v="112.14"/>
    <x v="192"/>
  </r>
  <r>
    <x v="192"/>
    <x v="2"/>
    <n v="0"/>
    <x v="192"/>
  </r>
  <r>
    <x v="192"/>
    <x v="3"/>
    <n v="36.67"/>
    <x v="192"/>
  </r>
  <r>
    <x v="192"/>
    <x v="4"/>
    <n v="0"/>
    <x v="192"/>
  </r>
  <r>
    <x v="192"/>
    <x v="5"/>
    <n v="73.760000000000005"/>
    <x v="192"/>
  </r>
  <r>
    <x v="192"/>
    <x v="6"/>
    <n v="0"/>
    <x v="192"/>
  </r>
  <r>
    <x v="192"/>
    <x v="7"/>
    <n v="78.23"/>
    <x v="192"/>
  </r>
  <r>
    <x v="192"/>
    <x v="8"/>
    <n v="0"/>
    <x v="192"/>
  </r>
  <r>
    <x v="192"/>
    <x v="9"/>
    <n v="139.62"/>
    <x v="192"/>
  </r>
  <r>
    <x v="192"/>
    <x v="10"/>
    <n v="5.86"/>
    <x v="192"/>
  </r>
  <r>
    <x v="192"/>
    <x v="11"/>
    <n v="30.48"/>
    <x v="192"/>
  </r>
  <r>
    <x v="192"/>
    <x v="12"/>
    <n v="0"/>
    <x v="192"/>
  </r>
  <r>
    <x v="192"/>
    <x v="13"/>
    <n v="0"/>
    <x v="192"/>
  </r>
  <r>
    <x v="192"/>
    <x v="14"/>
    <n v="0"/>
    <x v="192"/>
  </r>
  <r>
    <x v="192"/>
    <x v="15"/>
    <n v="44.6"/>
    <x v="192"/>
  </r>
  <r>
    <x v="193"/>
    <x v="0"/>
    <n v="0"/>
    <x v="193"/>
  </r>
  <r>
    <x v="193"/>
    <x v="1"/>
    <n v="639.67999999999995"/>
    <x v="193"/>
  </r>
  <r>
    <x v="193"/>
    <x v="2"/>
    <n v="0"/>
    <x v="193"/>
  </r>
  <r>
    <x v="193"/>
    <x v="3"/>
    <n v="194.84"/>
    <x v="193"/>
  </r>
  <r>
    <x v="193"/>
    <x v="4"/>
    <n v="0"/>
    <x v="193"/>
  </r>
  <r>
    <x v="193"/>
    <x v="5"/>
    <n v="448.48"/>
    <x v="193"/>
  </r>
  <r>
    <x v="193"/>
    <x v="6"/>
    <n v="0"/>
    <x v="193"/>
  </r>
  <r>
    <x v="193"/>
    <x v="7"/>
    <n v="433.35"/>
    <x v="193"/>
  </r>
  <r>
    <x v="193"/>
    <x v="8"/>
    <n v="0"/>
    <x v="193"/>
  </r>
  <r>
    <x v="193"/>
    <x v="9"/>
    <n v="840.66"/>
    <x v="193"/>
  </r>
  <r>
    <x v="193"/>
    <x v="10"/>
    <n v="97.14"/>
    <x v="193"/>
  </r>
  <r>
    <x v="193"/>
    <x v="11"/>
    <n v="275.98"/>
    <x v="193"/>
  </r>
  <r>
    <x v="193"/>
    <x v="12"/>
    <n v="0"/>
    <x v="193"/>
  </r>
  <r>
    <x v="193"/>
    <x v="13"/>
    <n v="0"/>
    <x v="193"/>
  </r>
  <r>
    <x v="193"/>
    <x v="14"/>
    <n v="0"/>
    <x v="193"/>
  </r>
  <r>
    <x v="193"/>
    <x v="15"/>
    <n v="178.09"/>
    <x v="193"/>
  </r>
  <r>
    <x v="194"/>
    <x v="0"/>
    <n v="0"/>
    <x v="194"/>
  </r>
  <r>
    <x v="194"/>
    <x v="1"/>
    <n v="959.78"/>
    <x v="194"/>
  </r>
  <r>
    <x v="194"/>
    <x v="2"/>
    <n v="0"/>
    <x v="194"/>
  </r>
  <r>
    <x v="194"/>
    <x v="3"/>
    <n v="300.60000000000002"/>
    <x v="194"/>
  </r>
  <r>
    <x v="194"/>
    <x v="4"/>
    <n v="0"/>
    <x v="194"/>
  </r>
  <r>
    <x v="194"/>
    <x v="5"/>
    <n v="699"/>
    <x v="194"/>
  </r>
  <r>
    <x v="194"/>
    <x v="6"/>
    <n v="0"/>
    <x v="194"/>
  </r>
  <r>
    <x v="194"/>
    <x v="7"/>
    <n v="704.87"/>
    <x v="194"/>
  </r>
  <r>
    <x v="194"/>
    <x v="8"/>
    <n v="0"/>
    <x v="194"/>
  </r>
  <r>
    <x v="194"/>
    <x v="9"/>
    <n v="1311.44"/>
    <x v="194"/>
  </r>
  <r>
    <x v="194"/>
    <x v="10"/>
    <n v="28.41"/>
    <x v="194"/>
  </r>
  <r>
    <x v="194"/>
    <x v="11"/>
    <n v="272.88"/>
    <x v="194"/>
  </r>
  <r>
    <x v="194"/>
    <x v="12"/>
    <n v="0"/>
    <x v="194"/>
  </r>
  <r>
    <x v="194"/>
    <x v="13"/>
    <n v="0"/>
    <x v="194"/>
  </r>
  <r>
    <x v="194"/>
    <x v="14"/>
    <n v="64.67"/>
    <x v="194"/>
  </r>
  <r>
    <x v="194"/>
    <x v="15"/>
    <n v="331.12"/>
    <x v="194"/>
  </r>
  <r>
    <x v="195"/>
    <x v="0"/>
    <n v="0"/>
    <x v="195"/>
  </r>
  <r>
    <x v="195"/>
    <x v="1"/>
    <n v="11"/>
    <x v="195"/>
  </r>
  <r>
    <x v="195"/>
    <x v="2"/>
    <n v="0"/>
    <x v="195"/>
  </r>
  <r>
    <x v="195"/>
    <x v="3"/>
    <n v="5.6"/>
    <x v="195"/>
  </r>
  <r>
    <x v="195"/>
    <x v="4"/>
    <n v="0"/>
    <x v="195"/>
  </r>
  <r>
    <x v="195"/>
    <x v="5"/>
    <n v="9"/>
    <x v="195"/>
  </r>
  <r>
    <x v="195"/>
    <x v="6"/>
    <n v="0"/>
    <x v="195"/>
  </r>
  <r>
    <x v="195"/>
    <x v="7"/>
    <n v="0"/>
    <x v="195"/>
  </r>
  <r>
    <x v="195"/>
    <x v="8"/>
    <n v="0"/>
    <x v="195"/>
  </r>
  <r>
    <x v="195"/>
    <x v="9"/>
    <n v="0"/>
    <x v="195"/>
  </r>
  <r>
    <x v="195"/>
    <x v="10"/>
    <n v="0"/>
    <x v="195"/>
  </r>
  <r>
    <x v="195"/>
    <x v="11"/>
    <n v="0"/>
    <x v="195"/>
  </r>
  <r>
    <x v="195"/>
    <x v="12"/>
    <n v="0"/>
    <x v="195"/>
  </r>
  <r>
    <x v="195"/>
    <x v="13"/>
    <n v="0"/>
    <x v="195"/>
  </r>
  <r>
    <x v="195"/>
    <x v="14"/>
    <n v="1"/>
    <x v="195"/>
  </r>
  <r>
    <x v="195"/>
    <x v="15"/>
    <n v="5"/>
    <x v="195"/>
  </r>
  <r>
    <x v="196"/>
    <x v="0"/>
    <n v="0"/>
    <x v="196"/>
  </r>
  <r>
    <x v="196"/>
    <x v="1"/>
    <n v="36.200000000000003"/>
    <x v="196"/>
  </r>
  <r>
    <x v="196"/>
    <x v="2"/>
    <n v="0"/>
    <x v="196"/>
  </r>
  <r>
    <x v="196"/>
    <x v="3"/>
    <n v="12.2"/>
    <x v="196"/>
  </r>
  <r>
    <x v="196"/>
    <x v="4"/>
    <n v="0"/>
    <x v="196"/>
  </r>
  <r>
    <x v="196"/>
    <x v="5"/>
    <n v="33.6"/>
    <x v="196"/>
  </r>
  <r>
    <x v="196"/>
    <x v="6"/>
    <n v="0"/>
    <x v="196"/>
  </r>
  <r>
    <x v="196"/>
    <x v="7"/>
    <n v="18.399999999999999"/>
    <x v="196"/>
  </r>
  <r>
    <x v="196"/>
    <x v="8"/>
    <n v="0"/>
    <x v="196"/>
  </r>
  <r>
    <x v="196"/>
    <x v="9"/>
    <n v="52.07"/>
    <x v="196"/>
  </r>
  <r>
    <x v="196"/>
    <x v="10"/>
    <n v="0"/>
    <x v="196"/>
  </r>
  <r>
    <x v="196"/>
    <x v="11"/>
    <n v="9.9"/>
    <x v="196"/>
  </r>
  <r>
    <x v="196"/>
    <x v="12"/>
    <n v="0"/>
    <x v="196"/>
  </r>
  <r>
    <x v="196"/>
    <x v="13"/>
    <n v="0"/>
    <x v="196"/>
  </r>
  <r>
    <x v="196"/>
    <x v="14"/>
    <n v="8.0399999999999991"/>
    <x v="196"/>
  </r>
  <r>
    <x v="196"/>
    <x v="15"/>
    <n v="14"/>
    <x v="196"/>
  </r>
  <r>
    <x v="197"/>
    <x v="0"/>
    <n v="0"/>
    <x v="197"/>
  </r>
  <r>
    <x v="197"/>
    <x v="1"/>
    <n v="58"/>
    <x v="197"/>
  </r>
  <r>
    <x v="197"/>
    <x v="2"/>
    <n v="0"/>
    <x v="197"/>
  </r>
  <r>
    <x v="197"/>
    <x v="3"/>
    <n v="13.2"/>
    <x v="197"/>
  </r>
  <r>
    <x v="197"/>
    <x v="4"/>
    <n v="0"/>
    <x v="197"/>
  </r>
  <r>
    <x v="197"/>
    <x v="5"/>
    <n v="26.41"/>
    <x v="197"/>
  </r>
  <r>
    <x v="197"/>
    <x v="6"/>
    <n v="0"/>
    <x v="197"/>
  </r>
  <r>
    <x v="197"/>
    <x v="7"/>
    <n v="27"/>
    <x v="197"/>
  </r>
  <r>
    <x v="197"/>
    <x v="8"/>
    <n v="0"/>
    <x v="197"/>
  </r>
  <r>
    <x v="197"/>
    <x v="9"/>
    <n v="8"/>
    <x v="197"/>
  </r>
  <r>
    <x v="197"/>
    <x v="10"/>
    <n v="0"/>
    <x v="197"/>
  </r>
  <r>
    <x v="197"/>
    <x v="11"/>
    <n v="0"/>
    <x v="197"/>
  </r>
  <r>
    <x v="197"/>
    <x v="12"/>
    <n v="0"/>
    <x v="197"/>
  </r>
  <r>
    <x v="197"/>
    <x v="13"/>
    <n v="0"/>
    <x v="197"/>
  </r>
  <r>
    <x v="197"/>
    <x v="14"/>
    <n v="0"/>
    <x v="197"/>
  </r>
  <r>
    <x v="197"/>
    <x v="15"/>
    <n v="13.2"/>
    <x v="197"/>
  </r>
  <r>
    <x v="198"/>
    <x v="0"/>
    <n v="0"/>
    <x v="198"/>
  </r>
  <r>
    <x v="198"/>
    <x v="1"/>
    <n v="4107.9799999999996"/>
    <x v="198"/>
  </r>
  <r>
    <x v="198"/>
    <x v="2"/>
    <n v="0"/>
    <x v="198"/>
  </r>
  <r>
    <x v="198"/>
    <x v="3"/>
    <n v="1326.22"/>
    <x v="198"/>
  </r>
  <r>
    <x v="198"/>
    <x v="4"/>
    <n v="0"/>
    <x v="198"/>
  </r>
  <r>
    <x v="198"/>
    <x v="5"/>
    <n v="2805.11"/>
    <x v="198"/>
  </r>
  <r>
    <x v="198"/>
    <x v="6"/>
    <n v="0"/>
    <x v="198"/>
  </r>
  <r>
    <x v="198"/>
    <x v="7"/>
    <n v="2864.28"/>
    <x v="198"/>
  </r>
  <r>
    <x v="198"/>
    <x v="8"/>
    <n v="0"/>
    <x v="198"/>
  </r>
  <r>
    <x v="198"/>
    <x v="9"/>
    <n v="5144.91"/>
    <x v="198"/>
  </r>
  <r>
    <x v="198"/>
    <x v="10"/>
    <n v="232.53"/>
    <x v="198"/>
  </r>
  <r>
    <x v="198"/>
    <x v="11"/>
    <n v="1196.71"/>
    <x v="198"/>
  </r>
  <r>
    <x v="198"/>
    <x v="12"/>
    <n v="0"/>
    <x v="198"/>
  </r>
  <r>
    <x v="198"/>
    <x v="13"/>
    <n v="0"/>
    <x v="198"/>
  </r>
  <r>
    <x v="198"/>
    <x v="14"/>
    <n v="84.2"/>
    <x v="198"/>
  </r>
  <r>
    <x v="198"/>
    <x v="15"/>
    <n v="1219.9000000000001"/>
    <x v="198"/>
  </r>
  <r>
    <x v="199"/>
    <x v="0"/>
    <n v="0"/>
    <x v="199"/>
  </r>
  <r>
    <x v="199"/>
    <x v="1"/>
    <n v="56"/>
    <x v="199"/>
  </r>
  <r>
    <x v="199"/>
    <x v="2"/>
    <n v="0"/>
    <x v="199"/>
  </r>
  <r>
    <x v="199"/>
    <x v="3"/>
    <n v="12"/>
    <x v="199"/>
  </r>
  <r>
    <x v="199"/>
    <x v="4"/>
    <n v="0"/>
    <x v="199"/>
  </r>
  <r>
    <x v="199"/>
    <x v="5"/>
    <n v="29.6"/>
    <x v="199"/>
  </r>
  <r>
    <x v="199"/>
    <x v="6"/>
    <n v="0"/>
    <x v="199"/>
  </r>
  <r>
    <x v="199"/>
    <x v="7"/>
    <n v="40.6"/>
    <x v="199"/>
  </r>
  <r>
    <x v="199"/>
    <x v="8"/>
    <n v="0"/>
    <x v="199"/>
  </r>
  <r>
    <x v="199"/>
    <x v="9"/>
    <n v="66.91"/>
    <x v="199"/>
  </r>
  <r>
    <x v="199"/>
    <x v="10"/>
    <n v="3.98"/>
    <x v="199"/>
  </r>
  <r>
    <x v="199"/>
    <x v="11"/>
    <n v="19.059999999999999"/>
    <x v="199"/>
  </r>
  <r>
    <x v="199"/>
    <x v="12"/>
    <n v="0"/>
    <x v="199"/>
  </r>
  <r>
    <x v="199"/>
    <x v="13"/>
    <n v="0"/>
    <x v="199"/>
  </r>
  <r>
    <x v="199"/>
    <x v="14"/>
    <n v="4"/>
    <x v="199"/>
  </r>
  <r>
    <x v="199"/>
    <x v="15"/>
    <n v="15.8"/>
    <x v="199"/>
  </r>
  <r>
    <x v="200"/>
    <x v="0"/>
    <n v="0"/>
    <x v="200"/>
  </r>
  <r>
    <x v="200"/>
    <x v="1"/>
    <n v="46"/>
    <x v="200"/>
  </r>
  <r>
    <x v="200"/>
    <x v="2"/>
    <n v="0"/>
    <x v="200"/>
  </r>
  <r>
    <x v="200"/>
    <x v="3"/>
    <n v="12"/>
    <x v="200"/>
  </r>
  <r>
    <x v="200"/>
    <x v="4"/>
    <n v="0"/>
    <x v="200"/>
  </r>
  <r>
    <x v="200"/>
    <x v="5"/>
    <n v="34"/>
    <x v="200"/>
  </r>
  <r>
    <x v="200"/>
    <x v="6"/>
    <n v="0"/>
    <x v="200"/>
  </r>
  <r>
    <x v="200"/>
    <x v="7"/>
    <n v="30.4"/>
    <x v="200"/>
  </r>
  <r>
    <x v="200"/>
    <x v="8"/>
    <n v="0"/>
    <x v="200"/>
  </r>
  <r>
    <x v="200"/>
    <x v="9"/>
    <n v="0"/>
    <x v="200"/>
  </r>
  <r>
    <x v="200"/>
    <x v="10"/>
    <n v="12.97"/>
    <x v="200"/>
  </r>
  <r>
    <x v="200"/>
    <x v="11"/>
    <n v="0"/>
    <x v="200"/>
  </r>
  <r>
    <x v="200"/>
    <x v="12"/>
    <n v="0"/>
    <x v="200"/>
  </r>
  <r>
    <x v="200"/>
    <x v="13"/>
    <n v="0"/>
    <x v="200"/>
  </r>
  <r>
    <x v="200"/>
    <x v="14"/>
    <n v="0"/>
    <x v="200"/>
  </r>
  <r>
    <x v="200"/>
    <x v="15"/>
    <n v="14"/>
    <x v="200"/>
  </r>
  <r>
    <x v="201"/>
    <x v="0"/>
    <n v="0"/>
    <x v="201"/>
  </r>
  <r>
    <x v="201"/>
    <x v="1"/>
    <n v="50.8"/>
    <x v="201"/>
  </r>
  <r>
    <x v="201"/>
    <x v="2"/>
    <n v="0"/>
    <x v="201"/>
  </r>
  <r>
    <x v="201"/>
    <x v="3"/>
    <n v="23.4"/>
    <x v="201"/>
  </r>
  <r>
    <x v="201"/>
    <x v="4"/>
    <n v="0"/>
    <x v="201"/>
  </r>
  <r>
    <x v="201"/>
    <x v="5"/>
    <n v="53.8"/>
    <x v="201"/>
  </r>
  <r>
    <x v="201"/>
    <x v="6"/>
    <n v="0"/>
    <x v="201"/>
  </r>
  <r>
    <x v="201"/>
    <x v="7"/>
    <n v="42.13"/>
    <x v="201"/>
  </r>
  <r>
    <x v="201"/>
    <x v="8"/>
    <n v="0"/>
    <x v="201"/>
  </r>
  <r>
    <x v="201"/>
    <x v="9"/>
    <n v="70.78"/>
    <x v="201"/>
  </r>
  <r>
    <x v="201"/>
    <x v="10"/>
    <n v="0"/>
    <x v="201"/>
  </r>
  <r>
    <x v="201"/>
    <x v="11"/>
    <n v="12.43"/>
    <x v="201"/>
  </r>
  <r>
    <x v="201"/>
    <x v="12"/>
    <n v="0"/>
    <x v="201"/>
  </r>
  <r>
    <x v="201"/>
    <x v="13"/>
    <n v="0"/>
    <x v="201"/>
  </r>
  <r>
    <x v="201"/>
    <x v="14"/>
    <n v="18.399999999999999"/>
    <x v="201"/>
  </r>
  <r>
    <x v="201"/>
    <x v="15"/>
    <n v="20"/>
    <x v="201"/>
  </r>
  <r>
    <x v="202"/>
    <x v="0"/>
    <n v="0"/>
    <x v="202"/>
  </r>
  <r>
    <x v="202"/>
    <x v="1"/>
    <n v="1876.57"/>
    <x v="202"/>
  </r>
  <r>
    <x v="202"/>
    <x v="2"/>
    <n v="0"/>
    <x v="202"/>
  </r>
  <r>
    <x v="202"/>
    <x v="3"/>
    <n v="650.08000000000004"/>
    <x v="202"/>
  </r>
  <r>
    <x v="202"/>
    <x v="4"/>
    <n v="0"/>
    <x v="202"/>
  </r>
  <r>
    <x v="202"/>
    <x v="5"/>
    <n v="1444.07"/>
    <x v="202"/>
  </r>
  <r>
    <x v="202"/>
    <x v="6"/>
    <n v="0"/>
    <x v="202"/>
  </r>
  <r>
    <x v="202"/>
    <x v="7"/>
    <n v="1407.29"/>
    <x v="202"/>
  </r>
  <r>
    <x v="202"/>
    <x v="8"/>
    <n v="0"/>
    <x v="202"/>
  </r>
  <r>
    <x v="202"/>
    <x v="9"/>
    <n v="2420.5300000000002"/>
    <x v="202"/>
  </r>
  <r>
    <x v="202"/>
    <x v="10"/>
    <n v="110.74"/>
    <x v="202"/>
  </r>
  <r>
    <x v="202"/>
    <x v="11"/>
    <n v="472.41"/>
    <x v="202"/>
  </r>
  <r>
    <x v="202"/>
    <x v="12"/>
    <n v="0"/>
    <x v="202"/>
  </r>
  <r>
    <x v="202"/>
    <x v="13"/>
    <n v="0"/>
    <x v="202"/>
  </r>
  <r>
    <x v="202"/>
    <x v="14"/>
    <n v="78.52"/>
    <x v="202"/>
  </r>
  <r>
    <x v="202"/>
    <x v="15"/>
    <n v="549.77"/>
    <x v="202"/>
  </r>
  <r>
    <x v="203"/>
    <x v="0"/>
    <n v="0"/>
    <x v="203"/>
  </r>
  <r>
    <x v="203"/>
    <x v="1"/>
    <n v="0"/>
    <x v="203"/>
  </r>
  <r>
    <x v="203"/>
    <x v="2"/>
    <n v="0"/>
    <x v="203"/>
  </r>
  <r>
    <x v="203"/>
    <x v="3"/>
    <n v="0"/>
    <x v="203"/>
  </r>
  <r>
    <x v="203"/>
    <x v="4"/>
    <n v="0"/>
    <x v="203"/>
  </r>
  <r>
    <x v="203"/>
    <x v="5"/>
    <n v="36"/>
    <x v="203"/>
  </r>
  <r>
    <x v="203"/>
    <x v="6"/>
    <n v="0"/>
    <x v="203"/>
  </r>
  <r>
    <x v="203"/>
    <x v="7"/>
    <n v="128.4"/>
    <x v="203"/>
  </r>
  <r>
    <x v="203"/>
    <x v="8"/>
    <n v="0"/>
    <x v="203"/>
  </r>
  <r>
    <x v="203"/>
    <x v="9"/>
    <n v="67"/>
    <x v="203"/>
  </r>
  <r>
    <x v="203"/>
    <x v="10"/>
    <n v="0"/>
    <x v="203"/>
  </r>
  <r>
    <x v="203"/>
    <x v="11"/>
    <n v="0"/>
    <x v="203"/>
  </r>
  <r>
    <x v="203"/>
    <x v="12"/>
    <n v="0"/>
    <x v="203"/>
  </r>
  <r>
    <x v="203"/>
    <x v="13"/>
    <n v="0"/>
    <x v="203"/>
  </r>
  <r>
    <x v="203"/>
    <x v="14"/>
    <n v="0"/>
    <x v="203"/>
  </r>
  <r>
    <x v="203"/>
    <x v="15"/>
    <n v="0"/>
    <x v="203"/>
  </r>
  <r>
    <x v="204"/>
    <x v="0"/>
    <n v="0"/>
    <x v="204"/>
  </r>
  <r>
    <x v="204"/>
    <x v="1"/>
    <n v="234.28"/>
    <x v="204"/>
  </r>
  <r>
    <x v="204"/>
    <x v="2"/>
    <n v="0"/>
    <x v="204"/>
  </r>
  <r>
    <x v="204"/>
    <x v="3"/>
    <n v="75.400000000000006"/>
    <x v="204"/>
  </r>
  <r>
    <x v="204"/>
    <x v="4"/>
    <n v="0"/>
    <x v="204"/>
  </r>
  <r>
    <x v="204"/>
    <x v="5"/>
    <n v="164.93"/>
    <x v="204"/>
  </r>
  <r>
    <x v="204"/>
    <x v="6"/>
    <n v="0"/>
    <x v="204"/>
  </r>
  <r>
    <x v="204"/>
    <x v="7"/>
    <n v="165.24"/>
    <x v="204"/>
  </r>
  <r>
    <x v="204"/>
    <x v="8"/>
    <n v="0"/>
    <x v="204"/>
  </r>
  <r>
    <x v="204"/>
    <x v="9"/>
    <n v="0"/>
    <x v="204"/>
  </r>
  <r>
    <x v="204"/>
    <x v="10"/>
    <n v="0"/>
    <x v="204"/>
  </r>
  <r>
    <x v="204"/>
    <x v="11"/>
    <n v="0"/>
    <x v="204"/>
  </r>
  <r>
    <x v="204"/>
    <x v="12"/>
    <n v="0"/>
    <x v="204"/>
  </r>
  <r>
    <x v="204"/>
    <x v="13"/>
    <n v="0"/>
    <x v="204"/>
  </r>
  <r>
    <x v="204"/>
    <x v="14"/>
    <n v="0"/>
    <x v="204"/>
  </r>
  <r>
    <x v="204"/>
    <x v="15"/>
    <n v="72.709999999999994"/>
    <x v="204"/>
  </r>
  <r>
    <x v="205"/>
    <x v="0"/>
    <n v="0"/>
    <x v="205"/>
  </r>
  <r>
    <x v="205"/>
    <x v="1"/>
    <n v="84.8"/>
    <x v="205"/>
  </r>
  <r>
    <x v="205"/>
    <x v="2"/>
    <n v="0"/>
    <x v="205"/>
  </r>
  <r>
    <x v="205"/>
    <x v="3"/>
    <n v="29.6"/>
    <x v="205"/>
  </r>
  <r>
    <x v="205"/>
    <x v="4"/>
    <n v="0"/>
    <x v="205"/>
  </r>
  <r>
    <x v="205"/>
    <x v="5"/>
    <n v="42.07"/>
    <x v="205"/>
  </r>
  <r>
    <x v="205"/>
    <x v="6"/>
    <n v="0"/>
    <x v="205"/>
  </r>
  <r>
    <x v="205"/>
    <x v="7"/>
    <n v="55.76"/>
    <x v="205"/>
  </r>
  <r>
    <x v="205"/>
    <x v="8"/>
    <n v="0"/>
    <x v="205"/>
  </r>
  <r>
    <x v="205"/>
    <x v="9"/>
    <n v="80.489999999999995"/>
    <x v="205"/>
  </r>
  <r>
    <x v="205"/>
    <x v="10"/>
    <n v="13.75"/>
    <x v="205"/>
  </r>
  <r>
    <x v="205"/>
    <x v="11"/>
    <n v="33.24"/>
    <x v="205"/>
  </r>
  <r>
    <x v="205"/>
    <x v="12"/>
    <n v="0"/>
    <x v="205"/>
  </r>
  <r>
    <x v="205"/>
    <x v="13"/>
    <n v="0"/>
    <x v="205"/>
  </r>
  <r>
    <x v="205"/>
    <x v="14"/>
    <n v="20"/>
    <x v="205"/>
  </r>
  <r>
    <x v="205"/>
    <x v="15"/>
    <n v="24.4"/>
    <x v="205"/>
  </r>
  <r>
    <x v="206"/>
    <x v="0"/>
    <n v="0"/>
    <x v="206"/>
  </r>
  <r>
    <x v="206"/>
    <x v="1"/>
    <n v="721.46"/>
    <x v="206"/>
  </r>
  <r>
    <x v="206"/>
    <x v="2"/>
    <n v="0"/>
    <x v="206"/>
  </r>
  <r>
    <x v="206"/>
    <x v="3"/>
    <n v="247.64"/>
    <x v="206"/>
  </r>
  <r>
    <x v="206"/>
    <x v="4"/>
    <n v="0"/>
    <x v="206"/>
  </r>
  <r>
    <x v="206"/>
    <x v="5"/>
    <n v="481.91"/>
    <x v="206"/>
  </r>
  <r>
    <x v="206"/>
    <x v="6"/>
    <n v="0"/>
    <x v="206"/>
  </r>
  <r>
    <x v="206"/>
    <x v="7"/>
    <n v="458.68"/>
    <x v="206"/>
  </r>
  <r>
    <x v="206"/>
    <x v="8"/>
    <n v="0"/>
    <x v="206"/>
  </r>
  <r>
    <x v="206"/>
    <x v="9"/>
    <n v="920.74"/>
    <x v="206"/>
  </r>
  <r>
    <x v="206"/>
    <x v="10"/>
    <n v="72.900000000000006"/>
    <x v="206"/>
  </r>
  <r>
    <x v="206"/>
    <x v="11"/>
    <n v="242.24"/>
    <x v="206"/>
  </r>
  <r>
    <x v="206"/>
    <x v="12"/>
    <n v="0"/>
    <x v="206"/>
  </r>
  <r>
    <x v="206"/>
    <x v="13"/>
    <n v="0"/>
    <x v="206"/>
  </r>
  <r>
    <x v="206"/>
    <x v="14"/>
    <n v="28"/>
    <x v="206"/>
  </r>
  <r>
    <x v="206"/>
    <x v="15"/>
    <n v="198.18"/>
    <x v="206"/>
  </r>
  <r>
    <x v="207"/>
    <x v="0"/>
    <n v="0"/>
    <x v="207"/>
  </r>
  <r>
    <x v="207"/>
    <x v="1"/>
    <n v="244.01"/>
    <x v="207"/>
  </r>
  <r>
    <x v="207"/>
    <x v="2"/>
    <n v="0"/>
    <x v="207"/>
  </r>
  <r>
    <x v="207"/>
    <x v="3"/>
    <n v="80"/>
    <x v="207"/>
  </r>
  <r>
    <x v="207"/>
    <x v="4"/>
    <n v="0"/>
    <x v="207"/>
  </r>
  <r>
    <x v="207"/>
    <x v="5"/>
    <n v="163.49"/>
    <x v="207"/>
  </r>
  <r>
    <x v="207"/>
    <x v="6"/>
    <n v="0"/>
    <x v="207"/>
  </r>
  <r>
    <x v="207"/>
    <x v="7"/>
    <n v="141.69"/>
    <x v="207"/>
  </r>
  <r>
    <x v="207"/>
    <x v="8"/>
    <n v="0"/>
    <x v="207"/>
  </r>
  <r>
    <x v="207"/>
    <x v="9"/>
    <n v="337.81"/>
    <x v="207"/>
  </r>
  <r>
    <x v="207"/>
    <x v="10"/>
    <n v="8.26"/>
    <x v="207"/>
  </r>
  <r>
    <x v="207"/>
    <x v="11"/>
    <n v="61.12"/>
    <x v="207"/>
  </r>
  <r>
    <x v="207"/>
    <x v="12"/>
    <n v="0"/>
    <x v="207"/>
  </r>
  <r>
    <x v="207"/>
    <x v="13"/>
    <n v="0"/>
    <x v="207"/>
  </r>
  <r>
    <x v="207"/>
    <x v="14"/>
    <n v="33"/>
    <x v="207"/>
  </r>
  <r>
    <x v="207"/>
    <x v="15"/>
    <n v="70.2"/>
    <x v="207"/>
  </r>
  <r>
    <x v="208"/>
    <x v="0"/>
    <n v="0"/>
    <x v="208"/>
  </r>
  <r>
    <x v="208"/>
    <x v="1"/>
    <n v="59"/>
    <x v="208"/>
  </r>
  <r>
    <x v="208"/>
    <x v="2"/>
    <n v="0"/>
    <x v="208"/>
  </r>
  <r>
    <x v="208"/>
    <x v="3"/>
    <n v="23.8"/>
    <x v="208"/>
  </r>
  <r>
    <x v="208"/>
    <x v="4"/>
    <n v="0"/>
    <x v="208"/>
  </r>
  <r>
    <x v="208"/>
    <x v="5"/>
    <n v="39.799999999999997"/>
    <x v="208"/>
  </r>
  <r>
    <x v="208"/>
    <x v="6"/>
    <n v="0"/>
    <x v="208"/>
  </r>
  <r>
    <x v="208"/>
    <x v="7"/>
    <n v="38.6"/>
    <x v="208"/>
  </r>
  <r>
    <x v="208"/>
    <x v="8"/>
    <n v="0"/>
    <x v="208"/>
  </r>
  <r>
    <x v="208"/>
    <x v="9"/>
    <n v="67.540000000000006"/>
    <x v="208"/>
  </r>
  <r>
    <x v="208"/>
    <x v="10"/>
    <n v="0"/>
    <x v="208"/>
  </r>
  <r>
    <x v="208"/>
    <x v="11"/>
    <n v="17.82"/>
    <x v="208"/>
  </r>
  <r>
    <x v="208"/>
    <x v="12"/>
    <n v="0"/>
    <x v="208"/>
  </r>
  <r>
    <x v="208"/>
    <x v="13"/>
    <n v="0"/>
    <x v="208"/>
  </r>
  <r>
    <x v="208"/>
    <x v="14"/>
    <n v="16.399999999999999"/>
    <x v="208"/>
  </r>
  <r>
    <x v="208"/>
    <x v="15"/>
    <n v="16"/>
    <x v="208"/>
  </r>
  <r>
    <x v="209"/>
    <x v="0"/>
    <n v="0"/>
    <x v="209"/>
  </r>
  <r>
    <x v="209"/>
    <x v="1"/>
    <n v="482.38"/>
    <x v="209"/>
  </r>
  <r>
    <x v="209"/>
    <x v="2"/>
    <n v="0"/>
    <x v="209"/>
  </r>
  <r>
    <x v="209"/>
    <x v="3"/>
    <n v="177.33"/>
    <x v="209"/>
  </r>
  <r>
    <x v="209"/>
    <x v="4"/>
    <n v="0"/>
    <x v="209"/>
  </r>
  <r>
    <x v="209"/>
    <x v="5"/>
    <n v="318.25"/>
    <x v="209"/>
  </r>
  <r>
    <x v="209"/>
    <x v="6"/>
    <n v="0"/>
    <x v="209"/>
  </r>
  <r>
    <x v="209"/>
    <x v="7"/>
    <n v="370.84"/>
    <x v="209"/>
  </r>
  <r>
    <x v="209"/>
    <x v="8"/>
    <n v="0"/>
    <x v="209"/>
  </r>
  <r>
    <x v="209"/>
    <x v="9"/>
    <n v="755.29"/>
    <x v="209"/>
  </r>
  <r>
    <x v="209"/>
    <x v="10"/>
    <n v="17.68"/>
    <x v="209"/>
  </r>
  <r>
    <x v="209"/>
    <x v="11"/>
    <n v="213.25"/>
    <x v="209"/>
  </r>
  <r>
    <x v="209"/>
    <x v="12"/>
    <n v="0"/>
    <x v="209"/>
  </r>
  <r>
    <x v="209"/>
    <x v="13"/>
    <n v="0"/>
    <x v="209"/>
  </r>
  <r>
    <x v="209"/>
    <x v="14"/>
    <n v="52.8"/>
    <x v="209"/>
  </r>
  <r>
    <x v="209"/>
    <x v="15"/>
    <n v="168.11"/>
    <x v="209"/>
  </r>
  <r>
    <x v="210"/>
    <x v="0"/>
    <n v="0"/>
    <x v="210"/>
  </r>
  <r>
    <x v="210"/>
    <x v="1"/>
    <n v="644.22"/>
    <x v="210"/>
  </r>
  <r>
    <x v="210"/>
    <x v="2"/>
    <n v="0"/>
    <x v="210"/>
  </r>
  <r>
    <x v="210"/>
    <x v="3"/>
    <n v="205.8"/>
    <x v="210"/>
  </r>
  <r>
    <x v="210"/>
    <x v="4"/>
    <n v="0"/>
    <x v="210"/>
  </r>
  <r>
    <x v="210"/>
    <x v="5"/>
    <n v="396.68"/>
    <x v="210"/>
  </r>
  <r>
    <x v="210"/>
    <x v="6"/>
    <n v="0"/>
    <x v="210"/>
  </r>
  <r>
    <x v="210"/>
    <x v="7"/>
    <n v="424.44"/>
    <x v="210"/>
  </r>
  <r>
    <x v="210"/>
    <x v="8"/>
    <n v="0"/>
    <x v="210"/>
  </r>
  <r>
    <x v="210"/>
    <x v="9"/>
    <n v="758.19"/>
    <x v="210"/>
  </r>
  <r>
    <x v="210"/>
    <x v="10"/>
    <n v="40.090000000000003"/>
    <x v="210"/>
  </r>
  <r>
    <x v="210"/>
    <x v="11"/>
    <n v="134.63999999999999"/>
    <x v="210"/>
  </r>
  <r>
    <x v="210"/>
    <x v="12"/>
    <n v="0"/>
    <x v="210"/>
  </r>
  <r>
    <x v="210"/>
    <x v="13"/>
    <n v="0"/>
    <x v="210"/>
  </r>
  <r>
    <x v="210"/>
    <x v="14"/>
    <n v="0"/>
    <x v="210"/>
  </r>
  <r>
    <x v="210"/>
    <x v="15"/>
    <n v="176.41"/>
    <x v="210"/>
  </r>
  <r>
    <x v="211"/>
    <x v="0"/>
    <n v="0"/>
    <x v="211"/>
  </r>
  <r>
    <x v="211"/>
    <x v="1"/>
    <n v="5076.5600000000004"/>
    <x v="211"/>
  </r>
  <r>
    <x v="211"/>
    <x v="2"/>
    <n v="0"/>
    <x v="211"/>
  </r>
  <r>
    <x v="211"/>
    <x v="3"/>
    <n v="1647.71"/>
    <x v="211"/>
  </r>
  <r>
    <x v="211"/>
    <x v="4"/>
    <n v="0"/>
    <x v="211"/>
  </r>
  <r>
    <x v="211"/>
    <x v="5"/>
    <n v="3532.95"/>
    <x v="211"/>
  </r>
  <r>
    <x v="211"/>
    <x v="6"/>
    <n v="0"/>
    <x v="211"/>
  </r>
  <r>
    <x v="211"/>
    <x v="7"/>
    <n v="3496.04"/>
    <x v="211"/>
  </r>
  <r>
    <x v="211"/>
    <x v="8"/>
    <n v="0"/>
    <x v="211"/>
  </r>
  <r>
    <x v="211"/>
    <x v="9"/>
    <n v="6371.06"/>
    <x v="211"/>
  </r>
  <r>
    <x v="211"/>
    <x v="10"/>
    <n v="417.52"/>
    <x v="211"/>
  </r>
  <r>
    <x v="211"/>
    <x v="11"/>
    <n v="1317.02"/>
    <x v="211"/>
  </r>
  <r>
    <x v="211"/>
    <x v="12"/>
    <n v="0"/>
    <x v="211"/>
  </r>
  <r>
    <x v="211"/>
    <x v="13"/>
    <n v="0"/>
    <x v="211"/>
  </r>
  <r>
    <x v="211"/>
    <x v="14"/>
    <n v="152.6"/>
    <x v="211"/>
  </r>
  <r>
    <x v="211"/>
    <x v="15"/>
    <n v="1481.88"/>
    <x v="211"/>
  </r>
  <r>
    <x v="212"/>
    <x v="0"/>
    <n v="0"/>
    <x v="212"/>
  </r>
  <r>
    <x v="212"/>
    <x v="1"/>
    <n v="15"/>
    <x v="212"/>
  </r>
  <r>
    <x v="212"/>
    <x v="2"/>
    <n v="0"/>
    <x v="212"/>
  </r>
  <r>
    <x v="212"/>
    <x v="3"/>
    <n v="6"/>
    <x v="212"/>
  </r>
  <r>
    <x v="212"/>
    <x v="4"/>
    <n v="0"/>
    <x v="212"/>
  </r>
  <r>
    <x v="212"/>
    <x v="5"/>
    <n v="12"/>
    <x v="212"/>
  </r>
  <r>
    <x v="212"/>
    <x v="6"/>
    <n v="0"/>
    <x v="212"/>
  </r>
  <r>
    <x v="212"/>
    <x v="7"/>
    <n v="2"/>
    <x v="212"/>
  </r>
  <r>
    <x v="212"/>
    <x v="8"/>
    <n v="0"/>
    <x v="212"/>
  </r>
  <r>
    <x v="212"/>
    <x v="9"/>
    <n v="0"/>
    <x v="212"/>
  </r>
  <r>
    <x v="212"/>
    <x v="10"/>
    <n v="0"/>
    <x v="212"/>
  </r>
  <r>
    <x v="212"/>
    <x v="11"/>
    <n v="0"/>
    <x v="212"/>
  </r>
  <r>
    <x v="212"/>
    <x v="12"/>
    <n v="0"/>
    <x v="212"/>
  </r>
  <r>
    <x v="212"/>
    <x v="13"/>
    <n v="0"/>
    <x v="212"/>
  </r>
  <r>
    <x v="212"/>
    <x v="14"/>
    <n v="0"/>
    <x v="212"/>
  </r>
  <r>
    <x v="212"/>
    <x v="15"/>
    <n v="2"/>
    <x v="212"/>
  </r>
  <r>
    <x v="213"/>
    <x v="0"/>
    <n v="0"/>
    <x v="213"/>
  </r>
  <r>
    <x v="213"/>
    <x v="1"/>
    <n v="31.2"/>
    <x v="213"/>
  </r>
  <r>
    <x v="213"/>
    <x v="2"/>
    <n v="0"/>
    <x v="213"/>
  </r>
  <r>
    <x v="213"/>
    <x v="3"/>
    <n v="12"/>
    <x v="213"/>
  </r>
  <r>
    <x v="213"/>
    <x v="4"/>
    <n v="0"/>
    <x v="213"/>
  </r>
  <r>
    <x v="213"/>
    <x v="5"/>
    <n v="21.2"/>
    <x v="213"/>
  </r>
  <r>
    <x v="213"/>
    <x v="6"/>
    <n v="0"/>
    <x v="213"/>
  </r>
  <r>
    <x v="213"/>
    <x v="7"/>
    <n v="29"/>
    <x v="213"/>
  </r>
  <r>
    <x v="213"/>
    <x v="8"/>
    <n v="0"/>
    <x v="213"/>
  </r>
  <r>
    <x v="213"/>
    <x v="9"/>
    <n v="89.91"/>
    <x v="213"/>
  </r>
  <r>
    <x v="213"/>
    <x v="10"/>
    <n v="9.68"/>
    <x v="213"/>
  </r>
  <r>
    <x v="213"/>
    <x v="11"/>
    <n v="10.71"/>
    <x v="213"/>
  </r>
  <r>
    <x v="213"/>
    <x v="12"/>
    <n v="0"/>
    <x v="213"/>
  </r>
  <r>
    <x v="213"/>
    <x v="13"/>
    <n v="0"/>
    <x v="213"/>
  </r>
  <r>
    <x v="213"/>
    <x v="14"/>
    <n v="0"/>
    <x v="213"/>
  </r>
  <r>
    <x v="213"/>
    <x v="15"/>
    <n v="11"/>
    <x v="213"/>
  </r>
  <r>
    <x v="214"/>
    <x v="0"/>
    <n v="0"/>
    <x v="214"/>
  </r>
  <r>
    <x v="214"/>
    <x v="1"/>
    <n v="24.2"/>
    <x v="214"/>
  </r>
  <r>
    <x v="214"/>
    <x v="2"/>
    <n v="0"/>
    <x v="214"/>
  </r>
  <r>
    <x v="214"/>
    <x v="3"/>
    <n v="7.8"/>
    <x v="214"/>
  </r>
  <r>
    <x v="214"/>
    <x v="4"/>
    <n v="0"/>
    <x v="214"/>
  </r>
  <r>
    <x v="214"/>
    <x v="5"/>
    <n v="17.8"/>
    <x v="214"/>
  </r>
  <r>
    <x v="214"/>
    <x v="6"/>
    <n v="0"/>
    <x v="214"/>
  </r>
  <r>
    <x v="214"/>
    <x v="7"/>
    <n v="14.6"/>
    <x v="214"/>
  </r>
  <r>
    <x v="214"/>
    <x v="8"/>
    <n v="0"/>
    <x v="214"/>
  </r>
  <r>
    <x v="214"/>
    <x v="9"/>
    <n v="37.18"/>
    <x v="214"/>
  </r>
  <r>
    <x v="214"/>
    <x v="10"/>
    <n v="0"/>
    <x v="214"/>
  </r>
  <r>
    <x v="214"/>
    <x v="11"/>
    <n v="0"/>
    <x v="214"/>
  </r>
  <r>
    <x v="214"/>
    <x v="12"/>
    <n v="0"/>
    <x v="214"/>
  </r>
  <r>
    <x v="214"/>
    <x v="13"/>
    <n v="0"/>
    <x v="214"/>
  </r>
  <r>
    <x v="214"/>
    <x v="14"/>
    <n v="0"/>
    <x v="214"/>
  </r>
  <r>
    <x v="214"/>
    <x v="15"/>
    <n v="9"/>
    <x v="214"/>
  </r>
  <r>
    <x v="215"/>
    <x v="0"/>
    <n v="0"/>
    <x v="215"/>
  </r>
  <r>
    <x v="215"/>
    <x v="1"/>
    <n v="208.31"/>
    <x v="215"/>
  </r>
  <r>
    <x v="215"/>
    <x v="2"/>
    <n v="0"/>
    <x v="215"/>
  </r>
  <r>
    <x v="215"/>
    <x v="3"/>
    <n v="63.52"/>
    <x v="215"/>
  </r>
  <r>
    <x v="215"/>
    <x v="4"/>
    <n v="0"/>
    <x v="215"/>
  </r>
  <r>
    <x v="215"/>
    <x v="5"/>
    <n v="120.14"/>
    <x v="215"/>
  </r>
  <r>
    <x v="215"/>
    <x v="6"/>
    <n v="0"/>
    <x v="215"/>
  </r>
  <r>
    <x v="215"/>
    <x v="7"/>
    <n v="116.2"/>
    <x v="215"/>
  </r>
  <r>
    <x v="215"/>
    <x v="8"/>
    <n v="0"/>
    <x v="215"/>
  </r>
  <r>
    <x v="215"/>
    <x v="9"/>
    <n v="213.66"/>
    <x v="215"/>
  </r>
  <r>
    <x v="215"/>
    <x v="10"/>
    <n v="11.87"/>
    <x v="215"/>
  </r>
  <r>
    <x v="215"/>
    <x v="11"/>
    <n v="26.58"/>
    <x v="215"/>
  </r>
  <r>
    <x v="215"/>
    <x v="12"/>
    <n v="0"/>
    <x v="215"/>
  </r>
  <r>
    <x v="215"/>
    <x v="13"/>
    <n v="0"/>
    <x v="215"/>
  </r>
  <r>
    <x v="215"/>
    <x v="14"/>
    <n v="16"/>
    <x v="215"/>
  </r>
  <r>
    <x v="215"/>
    <x v="15"/>
    <n v="78.91"/>
    <x v="215"/>
  </r>
  <r>
    <x v="216"/>
    <x v="0"/>
    <n v="0"/>
    <x v="216"/>
  </r>
  <r>
    <x v="216"/>
    <x v="1"/>
    <n v="677.27"/>
    <x v="216"/>
  </r>
  <r>
    <x v="216"/>
    <x v="2"/>
    <n v="0"/>
    <x v="216"/>
  </r>
  <r>
    <x v="216"/>
    <x v="3"/>
    <n v="237.65"/>
    <x v="216"/>
  </r>
  <r>
    <x v="216"/>
    <x v="4"/>
    <n v="0"/>
    <x v="216"/>
  </r>
  <r>
    <x v="216"/>
    <x v="5"/>
    <n v="450.45"/>
    <x v="216"/>
  </r>
  <r>
    <x v="216"/>
    <x v="6"/>
    <n v="0"/>
    <x v="216"/>
  </r>
  <r>
    <x v="216"/>
    <x v="7"/>
    <n v="516.04"/>
    <x v="216"/>
  </r>
  <r>
    <x v="216"/>
    <x v="8"/>
    <n v="0"/>
    <x v="216"/>
  </r>
  <r>
    <x v="216"/>
    <x v="9"/>
    <n v="885.54"/>
    <x v="216"/>
  </r>
  <r>
    <x v="216"/>
    <x v="10"/>
    <n v="49.25"/>
    <x v="216"/>
  </r>
  <r>
    <x v="216"/>
    <x v="11"/>
    <n v="274.08"/>
    <x v="216"/>
  </r>
  <r>
    <x v="216"/>
    <x v="12"/>
    <n v="0"/>
    <x v="216"/>
  </r>
  <r>
    <x v="216"/>
    <x v="13"/>
    <n v="0"/>
    <x v="216"/>
  </r>
  <r>
    <x v="216"/>
    <x v="14"/>
    <n v="38.200000000000003"/>
    <x v="216"/>
  </r>
  <r>
    <x v="216"/>
    <x v="15"/>
    <n v="215.02"/>
    <x v="216"/>
  </r>
  <r>
    <x v="217"/>
    <x v="0"/>
    <n v="0"/>
    <x v="217"/>
  </r>
  <r>
    <x v="217"/>
    <x v="1"/>
    <n v="0"/>
    <x v="217"/>
  </r>
  <r>
    <x v="217"/>
    <x v="2"/>
    <n v="0"/>
    <x v="217"/>
  </r>
  <r>
    <x v="217"/>
    <x v="3"/>
    <n v="0"/>
    <x v="217"/>
  </r>
  <r>
    <x v="217"/>
    <x v="4"/>
    <n v="0"/>
    <x v="217"/>
  </r>
  <r>
    <x v="217"/>
    <x v="5"/>
    <n v="180.4"/>
    <x v="217"/>
  </r>
  <r>
    <x v="217"/>
    <x v="6"/>
    <n v="0"/>
    <x v="217"/>
  </r>
  <r>
    <x v="217"/>
    <x v="7"/>
    <n v="179.6"/>
    <x v="217"/>
  </r>
  <r>
    <x v="217"/>
    <x v="8"/>
    <n v="0"/>
    <x v="217"/>
  </r>
  <r>
    <x v="217"/>
    <x v="9"/>
    <n v="0"/>
    <x v="217"/>
  </r>
  <r>
    <x v="217"/>
    <x v="10"/>
    <n v="0"/>
    <x v="217"/>
  </r>
  <r>
    <x v="217"/>
    <x v="11"/>
    <n v="0"/>
    <x v="217"/>
  </r>
  <r>
    <x v="217"/>
    <x v="12"/>
    <n v="0"/>
    <x v="217"/>
  </r>
  <r>
    <x v="217"/>
    <x v="13"/>
    <n v="0"/>
    <x v="217"/>
  </r>
  <r>
    <x v="217"/>
    <x v="14"/>
    <n v="0"/>
    <x v="217"/>
  </r>
  <r>
    <x v="217"/>
    <x v="15"/>
    <n v="0"/>
    <x v="217"/>
  </r>
  <r>
    <x v="218"/>
    <x v="0"/>
    <n v="0"/>
    <x v="218"/>
  </r>
  <r>
    <x v="218"/>
    <x v="1"/>
    <n v="220.03"/>
    <x v="218"/>
  </r>
  <r>
    <x v="218"/>
    <x v="2"/>
    <n v="0"/>
    <x v="218"/>
  </r>
  <r>
    <x v="218"/>
    <x v="3"/>
    <n v="76"/>
    <x v="218"/>
  </r>
  <r>
    <x v="218"/>
    <x v="4"/>
    <n v="0"/>
    <x v="218"/>
  </r>
  <r>
    <x v="218"/>
    <x v="5"/>
    <n v="148.72"/>
    <x v="218"/>
  </r>
  <r>
    <x v="218"/>
    <x v="6"/>
    <n v="0"/>
    <x v="218"/>
  </r>
  <r>
    <x v="218"/>
    <x v="7"/>
    <n v="170.7"/>
    <x v="218"/>
  </r>
  <r>
    <x v="218"/>
    <x v="8"/>
    <n v="0"/>
    <x v="218"/>
  </r>
  <r>
    <x v="218"/>
    <x v="9"/>
    <n v="261.98"/>
    <x v="218"/>
  </r>
  <r>
    <x v="218"/>
    <x v="10"/>
    <n v="13.28"/>
    <x v="218"/>
  </r>
  <r>
    <x v="218"/>
    <x v="11"/>
    <n v="80.099999999999994"/>
    <x v="218"/>
  </r>
  <r>
    <x v="218"/>
    <x v="12"/>
    <n v="0"/>
    <x v="218"/>
  </r>
  <r>
    <x v="218"/>
    <x v="13"/>
    <n v="0"/>
    <x v="218"/>
  </r>
  <r>
    <x v="218"/>
    <x v="14"/>
    <n v="0"/>
    <x v="218"/>
  </r>
  <r>
    <x v="218"/>
    <x v="15"/>
    <n v="71.599999999999994"/>
    <x v="218"/>
  </r>
  <r>
    <x v="219"/>
    <x v="0"/>
    <n v="0"/>
    <x v="219"/>
  </r>
  <r>
    <x v="219"/>
    <x v="1"/>
    <n v="0"/>
    <x v="219"/>
  </r>
  <r>
    <x v="219"/>
    <x v="2"/>
    <n v="0"/>
    <x v="219"/>
  </r>
  <r>
    <x v="219"/>
    <x v="3"/>
    <n v="0"/>
    <x v="219"/>
  </r>
  <r>
    <x v="219"/>
    <x v="4"/>
    <n v="0"/>
    <x v="219"/>
  </r>
  <r>
    <x v="219"/>
    <x v="5"/>
    <n v="26.4"/>
    <x v="219"/>
  </r>
  <r>
    <x v="219"/>
    <x v="6"/>
    <n v="0"/>
    <x v="219"/>
  </r>
  <r>
    <x v="219"/>
    <x v="7"/>
    <n v="43"/>
    <x v="219"/>
  </r>
  <r>
    <x v="219"/>
    <x v="8"/>
    <n v="0"/>
    <x v="219"/>
  </r>
  <r>
    <x v="219"/>
    <x v="9"/>
    <n v="39.799999999999997"/>
    <x v="219"/>
  </r>
  <r>
    <x v="219"/>
    <x v="10"/>
    <n v="0"/>
    <x v="219"/>
  </r>
  <r>
    <x v="219"/>
    <x v="11"/>
    <n v="4.42"/>
    <x v="219"/>
  </r>
  <r>
    <x v="219"/>
    <x v="12"/>
    <n v="0"/>
    <x v="219"/>
  </r>
  <r>
    <x v="219"/>
    <x v="13"/>
    <n v="0"/>
    <x v="219"/>
  </r>
  <r>
    <x v="219"/>
    <x v="14"/>
    <n v="0"/>
    <x v="219"/>
  </r>
  <r>
    <x v="219"/>
    <x v="15"/>
    <n v="10.8"/>
    <x v="219"/>
  </r>
  <r>
    <x v="220"/>
    <x v="0"/>
    <n v="0"/>
    <x v="220"/>
  </r>
  <r>
    <x v="220"/>
    <x v="1"/>
    <n v="90"/>
    <x v="220"/>
  </r>
  <r>
    <x v="220"/>
    <x v="2"/>
    <n v="0"/>
    <x v="220"/>
  </r>
  <r>
    <x v="220"/>
    <x v="3"/>
    <n v="41.6"/>
    <x v="220"/>
  </r>
  <r>
    <x v="220"/>
    <x v="4"/>
    <n v="0"/>
    <x v="220"/>
  </r>
  <r>
    <x v="220"/>
    <x v="5"/>
    <n v="62.4"/>
    <x v="220"/>
  </r>
  <r>
    <x v="220"/>
    <x v="6"/>
    <n v="0"/>
    <x v="220"/>
  </r>
  <r>
    <x v="220"/>
    <x v="7"/>
    <n v="67.8"/>
    <x v="220"/>
  </r>
  <r>
    <x v="220"/>
    <x v="8"/>
    <n v="0"/>
    <x v="220"/>
  </r>
  <r>
    <x v="220"/>
    <x v="9"/>
    <n v="160.88"/>
    <x v="220"/>
  </r>
  <r>
    <x v="220"/>
    <x v="10"/>
    <n v="0"/>
    <x v="220"/>
  </r>
  <r>
    <x v="220"/>
    <x v="11"/>
    <n v="35.200000000000003"/>
    <x v="220"/>
  </r>
  <r>
    <x v="220"/>
    <x v="12"/>
    <n v="0"/>
    <x v="220"/>
  </r>
  <r>
    <x v="220"/>
    <x v="13"/>
    <n v="0"/>
    <x v="220"/>
  </r>
  <r>
    <x v="220"/>
    <x v="14"/>
    <n v="26"/>
    <x v="220"/>
  </r>
  <r>
    <x v="220"/>
    <x v="15"/>
    <n v="21.2"/>
    <x v="220"/>
  </r>
  <r>
    <x v="221"/>
    <x v="0"/>
    <n v="0"/>
    <x v="221"/>
  </r>
  <r>
    <x v="221"/>
    <x v="1"/>
    <n v="126.97"/>
    <x v="221"/>
  </r>
  <r>
    <x v="221"/>
    <x v="2"/>
    <n v="0"/>
    <x v="221"/>
  </r>
  <r>
    <x v="221"/>
    <x v="3"/>
    <n v="45.6"/>
    <x v="221"/>
  </r>
  <r>
    <x v="221"/>
    <x v="4"/>
    <n v="0"/>
    <x v="221"/>
  </r>
  <r>
    <x v="221"/>
    <x v="5"/>
    <n v="115.86"/>
    <x v="221"/>
  </r>
  <r>
    <x v="221"/>
    <x v="6"/>
    <n v="0"/>
    <x v="221"/>
  </r>
  <r>
    <x v="221"/>
    <x v="7"/>
    <n v="120.26"/>
    <x v="221"/>
  </r>
  <r>
    <x v="221"/>
    <x v="8"/>
    <n v="0"/>
    <x v="221"/>
  </r>
  <r>
    <x v="221"/>
    <x v="9"/>
    <n v="176.06"/>
    <x v="221"/>
  </r>
  <r>
    <x v="221"/>
    <x v="10"/>
    <n v="13.68"/>
    <x v="221"/>
  </r>
  <r>
    <x v="221"/>
    <x v="11"/>
    <n v="32.36"/>
    <x v="221"/>
  </r>
  <r>
    <x v="221"/>
    <x v="12"/>
    <n v="0"/>
    <x v="221"/>
  </r>
  <r>
    <x v="221"/>
    <x v="13"/>
    <n v="0"/>
    <x v="221"/>
  </r>
  <r>
    <x v="221"/>
    <x v="14"/>
    <n v="16"/>
    <x v="221"/>
  </r>
  <r>
    <x v="221"/>
    <x v="15"/>
    <n v="37.799999999999997"/>
    <x v="221"/>
  </r>
  <r>
    <x v="222"/>
    <x v="0"/>
    <n v="0"/>
    <x v="222"/>
  </r>
  <r>
    <x v="222"/>
    <x v="1"/>
    <n v="3206.15"/>
    <x v="222"/>
  </r>
  <r>
    <x v="222"/>
    <x v="2"/>
    <n v="0"/>
    <x v="222"/>
  </r>
  <r>
    <x v="222"/>
    <x v="3"/>
    <n v="1054"/>
    <x v="222"/>
  </r>
  <r>
    <x v="222"/>
    <x v="4"/>
    <n v="0"/>
    <x v="222"/>
  </r>
  <r>
    <x v="222"/>
    <x v="5"/>
    <n v="2203.6999999999998"/>
    <x v="222"/>
  </r>
  <r>
    <x v="222"/>
    <x v="6"/>
    <n v="0"/>
    <x v="222"/>
  </r>
  <r>
    <x v="222"/>
    <x v="7"/>
    <n v="2039.66"/>
    <x v="222"/>
  </r>
  <r>
    <x v="222"/>
    <x v="8"/>
    <n v="0"/>
    <x v="222"/>
  </r>
  <r>
    <x v="222"/>
    <x v="9"/>
    <n v="3792.14"/>
    <x v="222"/>
  </r>
  <r>
    <x v="222"/>
    <x v="10"/>
    <n v="227.56"/>
    <x v="222"/>
  </r>
  <r>
    <x v="222"/>
    <x v="11"/>
    <n v="1442.07"/>
    <x v="222"/>
  </r>
  <r>
    <x v="222"/>
    <x v="12"/>
    <n v="0"/>
    <x v="222"/>
  </r>
  <r>
    <x v="222"/>
    <x v="13"/>
    <n v="0"/>
    <x v="222"/>
  </r>
  <r>
    <x v="222"/>
    <x v="14"/>
    <n v="256.8"/>
    <x v="222"/>
  </r>
  <r>
    <x v="222"/>
    <x v="15"/>
    <n v="1004.53"/>
    <x v="222"/>
  </r>
  <r>
    <x v="223"/>
    <x v="0"/>
    <n v="0"/>
    <x v="223"/>
  </r>
  <r>
    <x v="223"/>
    <x v="1"/>
    <n v="75.010000000000005"/>
    <x v="223"/>
  </r>
  <r>
    <x v="223"/>
    <x v="2"/>
    <n v="0"/>
    <x v="223"/>
  </r>
  <r>
    <x v="223"/>
    <x v="3"/>
    <n v="26.42"/>
    <x v="223"/>
  </r>
  <r>
    <x v="223"/>
    <x v="4"/>
    <n v="0"/>
    <x v="223"/>
  </r>
  <r>
    <x v="223"/>
    <x v="5"/>
    <n v="51.76"/>
    <x v="223"/>
  </r>
  <r>
    <x v="223"/>
    <x v="6"/>
    <n v="0"/>
    <x v="223"/>
  </r>
  <r>
    <x v="223"/>
    <x v="7"/>
    <n v="60.56"/>
    <x v="223"/>
  </r>
  <r>
    <x v="223"/>
    <x v="8"/>
    <n v="0"/>
    <x v="223"/>
  </r>
  <r>
    <x v="223"/>
    <x v="9"/>
    <n v="87.8"/>
    <x v="223"/>
  </r>
  <r>
    <x v="223"/>
    <x v="10"/>
    <n v="0"/>
    <x v="223"/>
  </r>
  <r>
    <x v="223"/>
    <x v="11"/>
    <n v="9.6"/>
    <x v="223"/>
  </r>
  <r>
    <x v="223"/>
    <x v="12"/>
    <n v="0"/>
    <x v="223"/>
  </r>
  <r>
    <x v="223"/>
    <x v="13"/>
    <n v="0"/>
    <x v="223"/>
  </r>
  <r>
    <x v="223"/>
    <x v="14"/>
    <n v="0"/>
    <x v="223"/>
  </r>
  <r>
    <x v="223"/>
    <x v="15"/>
    <n v="17.600000000000001"/>
    <x v="223"/>
  </r>
  <r>
    <x v="224"/>
    <x v="0"/>
    <n v="0"/>
    <x v="224"/>
  </r>
  <r>
    <x v="224"/>
    <x v="1"/>
    <n v="2815.57"/>
    <x v="224"/>
  </r>
  <r>
    <x v="224"/>
    <x v="2"/>
    <n v="0"/>
    <x v="224"/>
  </r>
  <r>
    <x v="224"/>
    <x v="3"/>
    <n v="939.74"/>
    <x v="224"/>
  </r>
  <r>
    <x v="224"/>
    <x v="4"/>
    <n v="0"/>
    <x v="224"/>
  </r>
  <r>
    <x v="224"/>
    <x v="5"/>
    <n v="1971.89"/>
    <x v="224"/>
  </r>
  <r>
    <x v="224"/>
    <x v="6"/>
    <n v="0"/>
    <x v="224"/>
  </r>
  <r>
    <x v="224"/>
    <x v="7"/>
    <n v="2027.86"/>
    <x v="224"/>
  </r>
  <r>
    <x v="224"/>
    <x v="8"/>
    <n v="0"/>
    <x v="224"/>
  </r>
  <r>
    <x v="224"/>
    <x v="9"/>
    <n v="3762.73"/>
    <x v="224"/>
  </r>
  <r>
    <x v="224"/>
    <x v="10"/>
    <n v="141.58000000000001"/>
    <x v="224"/>
  </r>
  <r>
    <x v="224"/>
    <x v="11"/>
    <n v="830.01"/>
    <x v="224"/>
  </r>
  <r>
    <x v="224"/>
    <x v="12"/>
    <n v="0"/>
    <x v="224"/>
  </r>
  <r>
    <x v="224"/>
    <x v="13"/>
    <n v="0"/>
    <x v="224"/>
  </r>
  <r>
    <x v="224"/>
    <x v="14"/>
    <n v="0"/>
    <x v="224"/>
  </r>
  <r>
    <x v="224"/>
    <x v="15"/>
    <n v="830"/>
    <x v="224"/>
  </r>
  <r>
    <x v="225"/>
    <x v="0"/>
    <n v="0"/>
    <x v="225"/>
  </r>
  <r>
    <x v="225"/>
    <x v="1"/>
    <n v="879.12"/>
    <x v="225"/>
  </r>
  <r>
    <x v="225"/>
    <x v="2"/>
    <n v="0"/>
    <x v="225"/>
  </r>
  <r>
    <x v="225"/>
    <x v="3"/>
    <n v="333.23"/>
    <x v="225"/>
  </r>
  <r>
    <x v="225"/>
    <x v="4"/>
    <n v="0"/>
    <x v="225"/>
  </r>
  <r>
    <x v="225"/>
    <x v="5"/>
    <n v="613.29999999999995"/>
    <x v="225"/>
  </r>
  <r>
    <x v="225"/>
    <x v="6"/>
    <n v="0"/>
    <x v="225"/>
  </r>
  <r>
    <x v="225"/>
    <x v="7"/>
    <n v="667.31"/>
    <x v="225"/>
  </r>
  <r>
    <x v="225"/>
    <x v="8"/>
    <n v="0"/>
    <x v="225"/>
  </r>
  <r>
    <x v="225"/>
    <x v="9"/>
    <n v="1132.52"/>
    <x v="225"/>
  </r>
  <r>
    <x v="225"/>
    <x v="10"/>
    <n v="71.400000000000006"/>
    <x v="225"/>
  </r>
  <r>
    <x v="225"/>
    <x v="11"/>
    <n v="222.65"/>
    <x v="225"/>
  </r>
  <r>
    <x v="225"/>
    <x v="12"/>
    <n v="0"/>
    <x v="225"/>
  </r>
  <r>
    <x v="225"/>
    <x v="13"/>
    <n v="0"/>
    <x v="225"/>
  </r>
  <r>
    <x v="225"/>
    <x v="14"/>
    <n v="0"/>
    <x v="225"/>
  </r>
  <r>
    <x v="225"/>
    <x v="15"/>
    <n v="247.98"/>
    <x v="225"/>
  </r>
  <r>
    <x v="226"/>
    <x v="0"/>
    <n v="0"/>
    <x v="226"/>
  </r>
  <r>
    <x v="226"/>
    <x v="1"/>
    <n v="75.599999999999994"/>
    <x v="226"/>
  </r>
  <r>
    <x v="226"/>
    <x v="2"/>
    <n v="0"/>
    <x v="226"/>
  </r>
  <r>
    <x v="226"/>
    <x v="3"/>
    <n v="19.8"/>
    <x v="226"/>
  </r>
  <r>
    <x v="226"/>
    <x v="4"/>
    <n v="0"/>
    <x v="226"/>
  </r>
  <r>
    <x v="226"/>
    <x v="5"/>
    <n v="57.8"/>
    <x v="226"/>
  </r>
  <r>
    <x v="226"/>
    <x v="6"/>
    <n v="0"/>
    <x v="226"/>
  </r>
  <r>
    <x v="226"/>
    <x v="7"/>
    <n v="56.63"/>
    <x v="226"/>
  </r>
  <r>
    <x v="226"/>
    <x v="8"/>
    <n v="0"/>
    <x v="226"/>
  </r>
  <r>
    <x v="226"/>
    <x v="9"/>
    <n v="114.82"/>
    <x v="226"/>
  </r>
  <r>
    <x v="226"/>
    <x v="10"/>
    <n v="9.82"/>
    <x v="226"/>
  </r>
  <r>
    <x v="226"/>
    <x v="11"/>
    <n v="33.06"/>
    <x v="226"/>
  </r>
  <r>
    <x v="226"/>
    <x v="12"/>
    <n v="0"/>
    <x v="226"/>
  </r>
  <r>
    <x v="226"/>
    <x v="13"/>
    <n v="0"/>
    <x v="226"/>
  </r>
  <r>
    <x v="226"/>
    <x v="14"/>
    <n v="11.6"/>
    <x v="226"/>
  </r>
  <r>
    <x v="226"/>
    <x v="15"/>
    <n v="26.2"/>
    <x v="226"/>
  </r>
  <r>
    <x v="227"/>
    <x v="0"/>
    <n v="0"/>
    <x v="227"/>
  </r>
  <r>
    <x v="227"/>
    <x v="1"/>
    <n v="321.58"/>
    <x v="227"/>
  </r>
  <r>
    <x v="227"/>
    <x v="2"/>
    <n v="0"/>
    <x v="227"/>
  </r>
  <r>
    <x v="227"/>
    <x v="3"/>
    <n v="109.51"/>
    <x v="227"/>
  </r>
  <r>
    <x v="227"/>
    <x v="4"/>
    <n v="0"/>
    <x v="227"/>
  </r>
  <r>
    <x v="227"/>
    <x v="5"/>
    <n v="195.16"/>
    <x v="227"/>
  </r>
  <r>
    <x v="227"/>
    <x v="6"/>
    <n v="0"/>
    <x v="227"/>
  </r>
  <r>
    <x v="227"/>
    <x v="7"/>
    <n v="229.16"/>
    <x v="227"/>
  </r>
  <r>
    <x v="227"/>
    <x v="8"/>
    <n v="0"/>
    <x v="227"/>
  </r>
  <r>
    <x v="227"/>
    <x v="9"/>
    <n v="355.73"/>
    <x v="227"/>
  </r>
  <r>
    <x v="227"/>
    <x v="10"/>
    <n v="56.19"/>
    <x v="227"/>
  </r>
  <r>
    <x v="227"/>
    <x v="11"/>
    <n v="99.99"/>
    <x v="227"/>
  </r>
  <r>
    <x v="227"/>
    <x v="12"/>
    <n v="0"/>
    <x v="227"/>
  </r>
  <r>
    <x v="227"/>
    <x v="13"/>
    <n v="0"/>
    <x v="227"/>
  </r>
  <r>
    <x v="227"/>
    <x v="14"/>
    <n v="0"/>
    <x v="227"/>
  </r>
  <r>
    <x v="227"/>
    <x v="15"/>
    <n v="86.23"/>
    <x v="227"/>
  </r>
  <r>
    <x v="228"/>
    <x v="0"/>
    <n v="0"/>
    <x v="228"/>
  </r>
  <r>
    <x v="228"/>
    <x v="1"/>
    <n v="656.58"/>
    <x v="228"/>
  </r>
  <r>
    <x v="228"/>
    <x v="2"/>
    <n v="0"/>
    <x v="228"/>
  </r>
  <r>
    <x v="228"/>
    <x v="3"/>
    <n v="220.64"/>
    <x v="228"/>
  </r>
  <r>
    <x v="228"/>
    <x v="4"/>
    <n v="0"/>
    <x v="228"/>
  </r>
  <r>
    <x v="228"/>
    <x v="5"/>
    <n v="457.64"/>
    <x v="228"/>
  </r>
  <r>
    <x v="228"/>
    <x v="6"/>
    <n v="0"/>
    <x v="228"/>
  </r>
  <r>
    <x v="228"/>
    <x v="7"/>
    <n v="406.59"/>
    <x v="228"/>
  </r>
  <r>
    <x v="228"/>
    <x v="8"/>
    <n v="0"/>
    <x v="228"/>
  </r>
  <r>
    <x v="228"/>
    <x v="9"/>
    <n v="751.2"/>
    <x v="228"/>
  </r>
  <r>
    <x v="228"/>
    <x v="10"/>
    <n v="21.01"/>
    <x v="228"/>
  </r>
  <r>
    <x v="228"/>
    <x v="11"/>
    <n v="162.37"/>
    <x v="228"/>
  </r>
  <r>
    <x v="228"/>
    <x v="12"/>
    <n v="0"/>
    <x v="228"/>
  </r>
  <r>
    <x v="228"/>
    <x v="13"/>
    <n v="0"/>
    <x v="228"/>
  </r>
  <r>
    <x v="228"/>
    <x v="14"/>
    <n v="0"/>
    <x v="228"/>
  </r>
  <r>
    <x v="228"/>
    <x v="15"/>
    <n v="181.52"/>
    <x v="228"/>
  </r>
  <r>
    <x v="229"/>
    <x v="0"/>
    <n v="0"/>
    <x v="229"/>
  </r>
  <r>
    <x v="229"/>
    <x v="1"/>
    <n v="472.4"/>
    <x v="229"/>
  </r>
  <r>
    <x v="229"/>
    <x v="2"/>
    <n v="0"/>
    <x v="229"/>
  </r>
  <r>
    <x v="229"/>
    <x v="3"/>
    <n v="179.8"/>
    <x v="229"/>
  </r>
  <r>
    <x v="229"/>
    <x v="4"/>
    <n v="0"/>
    <x v="229"/>
  </r>
  <r>
    <x v="229"/>
    <x v="5"/>
    <n v="339.74"/>
    <x v="229"/>
  </r>
  <r>
    <x v="229"/>
    <x v="6"/>
    <n v="0"/>
    <x v="229"/>
  </r>
  <r>
    <x v="229"/>
    <x v="7"/>
    <n v="340.93"/>
    <x v="229"/>
  </r>
  <r>
    <x v="229"/>
    <x v="8"/>
    <n v="0"/>
    <x v="229"/>
  </r>
  <r>
    <x v="229"/>
    <x v="9"/>
    <n v="520"/>
    <x v="229"/>
  </r>
  <r>
    <x v="229"/>
    <x v="10"/>
    <n v="0"/>
    <x v="229"/>
  </r>
  <r>
    <x v="229"/>
    <x v="11"/>
    <n v="135.15"/>
    <x v="229"/>
  </r>
  <r>
    <x v="229"/>
    <x v="12"/>
    <n v="0"/>
    <x v="229"/>
  </r>
  <r>
    <x v="229"/>
    <x v="13"/>
    <n v="0"/>
    <x v="229"/>
  </r>
  <r>
    <x v="229"/>
    <x v="14"/>
    <n v="34.200000000000003"/>
    <x v="229"/>
  </r>
  <r>
    <x v="229"/>
    <x v="15"/>
    <n v="127.52"/>
    <x v="229"/>
  </r>
  <r>
    <x v="230"/>
    <x v="0"/>
    <n v="0"/>
    <x v="230"/>
  </r>
  <r>
    <x v="230"/>
    <x v="1"/>
    <n v="10"/>
    <x v="230"/>
  </r>
  <r>
    <x v="230"/>
    <x v="2"/>
    <n v="0"/>
    <x v="230"/>
  </r>
  <r>
    <x v="230"/>
    <x v="3"/>
    <n v="2"/>
    <x v="230"/>
  </r>
  <r>
    <x v="230"/>
    <x v="4"/>
    <n v="0"/>
    <x v="230"/>
  </r>
  <r>
    <x v="230"/>
    <x v="5"/>
    <n v="7"/>
    <x v="230"/>
  </r>
  <r>
    <x v="230"/>
    <x v="6"/>
    <n v="0"/>
    <x v="230"/>
  </r>
  <r>
    <x v="230"/>
    <x v="7"/>
    <n v="0"/>
    <x v="230"/>
  </r>
  <r>
    <x v="230"/>
    <x v="8"/>
    <n v="0"/>
    <x v="230"/>
  </r>
  <r>
    <x v="230"/>
    <x v="9"/>
    <n v="0"/>
    <x v="230"/>
  </r>
  <r>
    <x v="230"/>
    <x v="10"/>
    <n v="0"/>
    <x v="230"/>
  </r>
  <r>
    <x v="230"/>
    <x v="11"/>
    <n v="0"/>
    <x v="230"/>
  </r>
  <r>
    <x v="230"/>
    <x v="12"/>
    <n v="0"/>
    <x v="230"/>
  </r>
  <r>
    <x v="230"/>
    <x v="13"/>
    <n v="0"/>
    <x v="230"/>
  </r>
  <r>
    <x v="230"/>
    <x v="14"/>
    <n v="0"/>
    <x v="230"/>
  </r>
  <r>
    <x v="230"/>
    <x v="15"/>
    <n v="6"/>
    <x v="230"/>
  </r>
  <r>
    <x v="231"/>
    <x v="0"/>
    <n v="0"/>
    <x v="231"/>
  </r>
  <r>
    <x v="231"/>
    <x v="1"/>
    <n v="0"/>
    <x v="231"/>
  </r>
  <r>
    <x v="231"/>
    <x v="2"/>
    <n v="0"/>
    <x v="231"/>
  </r>
  <r>
    <x v="231"/>
    <x v="3"/>
    <n v="0"/>
    <x v="231"/>
  </r>
  <r>
    <x v="231"/>
    <x v="4"/>
    <n v="0"/>
    <x v="231"/>
  </r>
  <r>
    <x v="231"/>
    <x v="5"/>
    <n v="0"/>
    <x v="231"/>
  </r>
  <r>
    <x v="231"/>
    <x v="6"/>
    <n v="0"/>
    <x v="231"/>
  </r>
  <r>
    <x v="231"/>
    <x v="7"/>
    <n v="0"/>
    <x v="231"/>
  </r>
  <r>
    <x v="231"/>
    <x v="8"/>
    <n v="0"/>
    <x v="231"/>
  </r>
  <r>
    <x v="231"/>
    <x v="9"/>
    <n v="55.38"/>
    <x v="231"/>
  </r>
  <r>
    <x v="231"/>
    <x v="10"/>
    <n v="0"/>
    <x v="231"/>
  </r>
  <r>
    <x v="231"/>
    <x v="11"/>
    <n v="8.31"/>
    <x v="231"/>
  </r>
  <r>
    <x v="231"/>
    <x v="12"/>
    <n v="0"/>
    <x v="231"/>
  </r>
  <r>
    <x v="231"/>
    <x v="13"/>
    <n v="0"/>
    <x v="231"/>
  </r>
  <r>
    <x v="231"/>
    <x v="14"/>
    <n v="0"/>
    <x v="231"/>
  </r>
  <r>
    <x v="231"/>
    <x v="15"/>
    <n v="0"/>
    <x v="231"/>
  </r>
  <r>
    <x v="232"/>
    <x v="0"/>
    <n v="0"/>
    <x v="232"/>
  </r>
  <r>
    <x v="232"/>
    <x v="1"/>
    <n v="32.4"/>
    <x v="232"/>
  </r>
  <r>
    <x v="232"/>
    <x v="2"/>
    <n v="0"/>
    <x v="232"/>
  </r>
  <r>
    <x v="232"/>
    <x v="3"/>
    <n v="11.4"/>
    <x v="232"/>
  </r>
  <r>
    <x v="232"/>
    <x v="4"/>
    <n v="0"/>
    <x v="232"/>
  </r>
  <r>
    <x v="232"/>
    <x v="5"/>
    <n v="23.37"/>
    <x v="232"/>
  </r>
  <r>
    <x v="232"/>
    <x v="6"/>
    <n v="0"/>
    <x v="232"/>
  </r>
  <r>
    <x v="232"/>
    <x v="7"/>
    <n v="25.45"/>
    <x v="232"/>
  </r>
  <r>
    <x v="232"/>
    <x v="8"/>
    <n v="0"/>
    <x v="232"/>
  </r>
  <r>
    <x v="232"/>
    <x v="9"/>
    <n v="37.06"/>
    <x v="232"/>
  </r>
  <r>
    <x v="232"/>
    <x v="10"/>
    <n v="2.35"/>
    <x v="232"/>
  </r>
  <r>
    <x v="232"/>
    <x v="11"/>
    <n v="5.89"/>
    <x v="232"/>
  </r>
  <r>
    <x v="232"/>
    <x v="12"/>
    <n v="0"/>
    <x v="232"/>
  </r>
  <r>
    <x v="232"/>
    <x v="13"/>
    <n v="0"/>
    <x v="232"/>
  </r>
  <r>
    <x v="232"/>
    <x v="14"/>
    <n v="9.3000000000000007"/>
    <x v="232"/>
  </r>
  <r>
    <x v="232"/>
    <x v="15"/>
    <n v="6"/>
    <x v="232"/>
  </r>
  <r>
    <x v="233"/>
    <x v="0"/>
    <n v="0"/>
    <x v="233"/>
  </r>
  <r>
    <x v="233"/>
    <x v="1"/>
    <n v="337.05"/>
    <x v="233"/>
  </r>
  <r>
    <x v="233"/>
    <x v="2"/>
    <n v="0"/>
    <x v="233"/>
  </r>
  <r>
    <x v="233"/>
    <x v="3"/>
    <n v="130.63"/>
    <x v="233"/>
  </r>
  <r>
    <x v="233"/>
    <x v="4"/>
    <n v="0"/>
    <x v="233"/>
  </r>
  <r>
    <x v="233"/>
    <x v="5"/>
    <n v="248.68"/>
    <x v="233"/>
  </r>
  <r>
    <x v="233"/>
    <x v="6"/>
    <n v="0"/>
    <x v="233"/>
  </r>
  <r>
    <x v="233"/>
    <x v="7"/>
    <n v="281.60000000000002"/>
    <x v="233"/>
  </r>
  <r>
    <x v="233"/>
    <x v="8"/>
    <n v="0"/>
    <x v="233"/>
  </r>
  <r>
    <x v="233"/>
    <x v="9"/>
    <n v="542.95000000000005"/>
    <x v="233"/>
  </r>
  <r>
    <x v="233"/>
    <x v="10"/>
    <n v="18.5"/>
    <x v="233"/>
  </r>
  <r>
    <x v="233"/>
    <x v="11"/>
    <n v="124.5"/>
    <x v="233"/>
  </r>
  <r>
    <x v="233"/>
    <x v="12"/>
    <n v="0"/>
    <x v="233"/>
  </r>
  <r>
    <x v="233"/>
    <x v="13"/>
    <n v="0"/>
    <x v="233"/>
  </r>
  <r>
    <x v="233"/>
    <x v="14"/>
    <n v="39.200000000000003"/>
    <x v="233"/>
  </r>
  <r>
    <x v="233"/>
    <x v="15"/>
    <n v="110.2"/>
    <x v="233"/>
  </r>
  <r>
    <x v="234"/>
    <x v="0"/>
    <n v="0"/>
    <x v="234"/>
  </r>
  <r>
    <x v="234"/>
    <x v="1"/>
    <n v="145.19999999999999"/>
    <x v="234"/>
  </r>
  <r>
    <x v="234"/>
    <x v="2"/>
    <n v="0"/>
    <x v="234"/>
  </r>
  <r>
    <x v="234"/>
    <x v="3"/>
    <n v="60.15"/>
    <x v="234"/>
  </r>
  <r>
    <x v="234"/>
    <x v="4"/>
    <n v="0"/>
    <x v="234"/>
  </r>
  <r>
    <x v="234"/>
    <x v="5"/>
    <n v="107.88"/>
    <x v="234"/>
  </r>
  <r>
    <x v="234"/>
    <x v="6"/>
    <n v="0"/>
    <x v="234"/>
  </r>
  <r>
    <x v="234"/>
    <x v="7"/>
    <n v="98.93"/>
    <x v="234"/>
  </r>
  <r>
    <x v="234"/>
    <x v="8"/>
    <n v="0"/>
    <x v="234"/>
  </r>
  <r>
    <x v="234"/>
    <x v="9"/>
    <n v="255.8"/>
    <x v="234"/>
  </r>
  <r>
    <x v="234"/>
    <x v="10"/>
    <n v="0"/>
    <x v="234"/>
  </r>
  <r>
    <x v="234"/>
    <x v="11"/>
    <n v="28.4"/>
    <x v="234"/>
  </r>
  <r>
    <x v="234"/>
    <x v="12"/>
    <n v="0"/>
    <x v="234"/>
  </r>
  <r>
    <x v="234"/>
    <x v="13"/>
    <n v="0"/>
    <x v="234"/>
  </r>
  <r>
    <x v="234"/>
    <x v="14"/>
    <n v="17"/>
    <x v="234"/>
  </r>
  <r>
    <x v="234"/>
    <x v="15"/>
    <n v="58.8"/>
    <x v="234"/>
  </r>
  <r>
    <x v="235"/>
    <x v="0"/>
    <n v="0"/>
    <x v="235"/>
  </r>
  <r>
    <x v="235"/>
    <x v="1"/>
    <n v="25.6"/>
    <x v="235"/>
  </r>
  <r>
    <x v="235"/>
    <x v="2"/>
    <n v="0"/>
    <x v="235"/>
  </r>
  <r>
    <x v="235"/>
    <x v="3"/>
    <n v="15"/>
    <x v="235"/>
  </r>
  <r>
    <x v="235"/>
    <x v="4"/>
    <n v="0"/>
    <x v="235"/>
  </r>
  <r>
    <x v="235"/>
    <x v="5"/>
    <n v="12.6"/>
    <x v="235"/>
  </r>
  <r>
    <x v="235"/>
    <x v="6"/>
    <n v="0"/>
    <x v="235"/>
  </r>
  <r>
    <x v="235"/>
    <x v="7"/>
    <n v="0"/>
    <x v="235"/>
  </r>
  <r>
    <x v="235"/>
    <x v="8"/>
    <n v="0"/>
    <x v="235"/>
  </r>
  <r>
    <x v="235"/>
    <x v="9"/>
    <n v="0"/>
    <x v="235"/>
  </r>
  <r>
    <x v="235"/>
    <x v="10"/>
    <n v="0"/>
    <x v="235"/>
  </r>
  <r>
    <x v="235"/>
    <x v="11"/>
    <n v="0"/>
    <x v="235"/>
  </r>
  <r>
    <x v="235"/>
    <x v="12"/>
    <n v="0"/>
    <x v="235"/>
  </r>
  <r>
    <x v="235"/>
    <x v="13"/>
    <n v="0"/>
    <x v="235"/>
  </r>
  <r>
    <x v="235"/>
    <x v="14"/>
    <n v="0"/>
    <x v="235"/>
  </r>
  <r>
    <x v="235"/>
    <x v="15"/>
    <n v="9"/>
    <x v="235"/>
  </r>
  <r>
    <x v="236"/>
    <x v="0"/>
    <n v="0"/>
    <x v="236"/>
  </r>
  <r>
    <x v="236"/>
    <x v="1"/>
    <n v="11619.57"/>
    <x v="236"/>
  </r>
  <r>
    <x v="236"/>
    <x v="2"/>
    <n v="0"/>
    <x v="236"/>
  </r>
  <r>
    <x v="236"/>
    <x v="3"/>
    <n v="3706.08"/>
    <x v="236"/>
  </r>
  <r>
    <x v="236"/>
    <x v="4"/>
    <n v="0"/>
    <x v="236"/>
  </r>
  <r>
    <x v="236"/>
    <x v="5"/>
    <n v="7556.97"/>
    <x v="236"/>
  </r>
  <r>
    <x v="236"/>
    <x v="6"/>
    <n v="0"/>
    <x v="236"/>
  </r>
  <r>
    <x v="236"/>
    <x v="7"/>
    <n v="7010.47"/>
    <x v="236"/>
  </r>
  <r>
    <x v="236"/>
    <x v="8"/>
    <n v="0"/>
    <x v="236"/>
  </r>
  <r>
    <x v="236"/>
    <x v="9"/>
    <n v="14006.17"/>
    <x v="236"/>
  </r>
  <r>
    <x v="236"/>
    <x v="10"/>
    <n v="391.09"/>
    <x v="236"/>
  </r>
  <r>
    <x v="236"/>
    <x v="11"/>
    <n v="1900.4"/>
    <x v="236"/>
  </r>
  <r>
    <x v="236"/>
    <x v="12"/>
    <n v="0"/>
    <x v="236"/>
  </r>
  <r>
    <x v="236"/>
    <x v="13"/>
    <n v="147.5"/>
    <x v="236"/>
  </r>
  <r>
    <x v="236"/>
    <x v="14"/>
    <n v="0"/>
    <x v="236"/>
  </r>
  <r>
    <x v="236"/>
    <x v="15"/>
    <n v="3746.96"/>
    <x v="236"/>
  </r>
  <r>
    <x v="237"/>
    <x v="0"/>
    <n v="0"/>
    <x v="237"/>
  </r>
  <r>
    <x v="237"/>
    <x v="1"/>
    <n v="962.24"/>
    <x v="237"/>
  </r>
  <r>
    <x v="237"/>
    <x v="2"/>
    <n v="0"/>
    <x v="237"/>
  </r>
  <r>
    <x v="237"/>
    <x v="3"/>
    <n v="341.96"/>
    <x v="237"/>
  </r>
  <r>
    <x v="237"/>
    <x v="4"/>
    <n v="0"/>
    <x v="237"/>
  </r>
  <r>
    <x v="237"/>
    <x v="5"/>
    <n v="676.44"/>
    <x v="237"/>
  </r>
  <r>
    <x v="237"/>
    <x v="6"/>
    <n v="0"/>
    <x v="237"/>
  </r>
  <r>
    <x v="237"/>
    <x v="7"/>
    <n v="669.06"/>
    <x v="237"/>
  </r>
  <r>
    <x v="237"/>
    <x v="8"/>
    <n v="0"/>
    <x v="237"/>
  </r>
  <r>
    <x v="237"/>
    <x v="9"/>
    <n v="1231.3399999999999"/>
    <x v="237"/>
  </r>
  <r>
    <x v="237"/>
    <x v="10"/>
    <n v="42.05"/>
    <x v="237"/>
  </r>
  <r>
    <x v="237"/>
    <x v="11"/>
    <n v="367.64"/>
    <x v="237"/>
  </r>
  <r>
    <x v="237"/>
    <x v="12"/>
    <n v="0"/>
    <x v="237"/>
  </r>
  <r>
    <x v="237"/>
    <x v="13"/>
    <n v="0"/>
    <x v="237"/>
  </r>
  <r>
    <x v="237"/>
    <x v="14"/>
    <n v="93.9"/>
    <x v="237"/>
  </r>
  <r>
    <x v="237"/>
    <x v="15"/>
    <n v="291.61"/>
    <x v="237"/>
  </r>
  <r>
    <x v="238"/>
    <x v="0"/>
    <n v="0"/>
    <x v="238"/>
  </r>
  <r>
    <x v="238"/>
    <x v="1"/>
    <n v="757.5"/>
    <x v="238"/>
  </r>
  <r>
    <x v="238"/>
    <x v="2"/>
    <n v="0"/>
    <x v="238"/>
  </r>
  <r>
    <x v="238"/>
    <x v="3"/>
    <n v="255.2"/>
    <x v="238"/>
  </r>
  <r>
    <x v="238"/>
    <x v="4"/>
    <n v="0"/>
    <x v="238"/>
  </r>
  <r>
    <x v="238"/>
    <x v="5"/>
    <n v="556.85"/>
    <x v="238"/>
  </r>
  <r>
    <x v="238"/>
    <x v="6"/>
    <n v="0"/>
    <x v="238"/>
  </r>
  <r>
    <x v="238"/>
    <x v="7"/>
    <n v="589.55999999999995"/>
    <x v="238"/>
  </r>
  <r>
    <x v="238"/>
    <x v="8"/>
    <n v="0"/>
    <x v="238"/>
  </r>
  <r>
    <x v="238"/>
    <x v="9"/>
    <n v="1100.72"/>
    <x v="238"/>
  </r>
  <r>
    <x v="238"/>
    <x v="10"/>
    <n v="191.68"/>
    <x v="238"/>
  </r>
  <r>
    <x v="238"/>
    <x v="11"/>
    <n v="442.88"/>
    <x v="238"/>
  </r>
  <r>
    <x v="238"/>
    <x v="12"/>
    <n v="0"/>
    <x v="238"/>
  </r>
  <r>
    <x v="238"/>
    <x v="13"/>
    <n v="0"/>
    <x v="238"/>
  </r>
  <r>
    <x v="238"/>
    <x v="14"/>
    <n v="18"/>
    <x v="238"/>
  </r>
  <r>
    <x v="238"/>
    <x v="15"/>
    <n v="224.21"/>
    <x v="238"/>
  </r>
  <r>
    <x v="239"/>
    <x v="0"/>
    <n v="0"/>
    <x v="239"/>
  </r>
  <r>
    <x v="239"/>
    <x v="1"/>
    <n v="60.4"/>
    <x v="239"/>
  </r>
  <r>
    <x v="239"/>
    <x v="2"/>
    <n v="0"/>
    <x v="239"/>
  </r>
  <r>
    <x v="239"/>
    <x v="3"/>
    <n v="17.2"/>
    <x v="239"/>
  </r>
  <r>
    <x v="239"/>
    <x v="4"/>
    <n v="0"/>
    <x v="239"/>
  </r>
  <r>
    <x v="239"/>
    <x v="5"/>
    <n v="35.799999999999997"/>
    <x v="239"/>
  </r>
  <r>
    <x v="239"/>
    <x v="6"/>
    <n v="0"/>
    <x v="239"/>
  </r>
  <r>
    <x v="239"/>
    <x v="7"/>
    <n v="34.799999999999997"/>
    <x v="239"/>
  </r>
  <r>
    <x v="239"/>
    <x v="8"/>
    <n v="0"/>
    <x v="239"/>
  </r>
  <r>
    <x v="239"/>
    <x v="9"/>
    <n v="71.42"/>
    <x v="239"/>
  </r>
  <r>
    <x v="239"/>
    <x v="10"/>
    <n v="4.8099999999999996"/>
    <x v="239"/>
  </r>
  <r>
    <x v="239"/>
    <x v="11"/>
    <n v="18.28"/>
    <x v="239"/>
  </r>
  <r>
    <x v="239"/>
    <x v="12"/>
    <n v="0"/>
    <x v="239"/>
  </r>
  <r>
    <x v="239"/>
    <x v="13"/>
    <n v="0"/>
    <x v="239"/>
  </r>
  <r>
    <x v="239"/>
    <x v="14"/>
    <n v="9.6"/>
    <x v="239"/>
  </r>
  <r>
    <x v="239"/>
    <x v="15"/>
    <n v="17.399999999999999"/>
    <x v="239"/>
  </r>
  <r>
    <x v="240"/>
    <x v="0"/>
    <n v="0"/>
    <x v="240"/>
  </r>
  <r>
    <x v="240"/>
    <x v="1"/>
    <n v="527.82000000000005"/>
    <x v="240"/>
  </r>
  <r>
    <x v="240"/>
    <x v="2"/>
    <n v="0"/>
    <x v="240"/>
  </r>
  <r>
    <x v="240"/>
    <x v="3"/>
    <n v="167.6"/>
    <x v="240"/>
  </r>
  <r>
    <x v="240"/>
    <x v="4"/>
    <n v="0"/>
    <x v="240"/>
  </r>
  <r>
    <x v="240"/>
    <x v="5"/>
    <n v="334.56"/>
    <x v="240"/>
  </r>
  <r>
    <x v="240"/>
    <x v="6"/>
    <n v="0"/>
    <x v="240"/>
  </r>
  <r>
    <x v="240"/>
    <x v="7"/>
    <n v="372.52"/>
    <x v="240"/>
  </r>
  <r>
    <x v="240"/>
    <x v="8"/>
    <n v="0"/>
    <x v="240"/>
  </r>
  <r>
    <x v="240"/>
    <x v="9"/>
    <n v="729.67"/>
    <x v="240"/>
  </r>
  <r>
    <x v="240"/>
    <x v="10"/>
    <n v="68.41"/>
    <x v="240"/>
  </r>
  <r>
    <x v="240"/>
    <x v="11"/>
    <n v="246.26"/>
    <x v="240"/>
  </r>
  <r>
    <x v="240"/>
    <x v="12"/>
    <n v="0"/>
    <x v="240"/>
  </r>
  <r>
    <x v="240"/>
    <x v="13"/>
    <n v="0"/>
    <x v="240"/>
  </r>
  <r>
    <x v="240"/>
    <x v="14"/>
    <n v="0"/>
    <x v="240"/>
  </r>
  <r>
    <x v="240"/>
    <x v="15"/>
    <n v="139.80000000000001"/>
    <x v="240"/>
  </r>
  <r>
    <x v="241"/>
    <x v="0"/>
    <n v="0"/>
    <x v="241"/>
  </r>
  <r>
    <x v="241"/>
    <x v="1"/>
    <n v="3"/>
    <x v="241"/>
  </r>
  <r>
    <x v="241"/>
    <x v="2"/>
    <n v="0"/>
    <x v="241"/>
  </r>
  <r>
    <x v="241"/>
    <x v="3"/>
    <n v="0"/>
    <x v="241"/>
  </r>
  <r>
    <x v="241"/>
    <x v="4"/>
    <n v="0"/>
    <x v="241"/>
  </r>
  <r>
    <x v="241"/>
    <x v="5"/>
    <n v="0"/>
    <x v="241"/>
  </r>
  <r>
    <x v="241"/>
    <x v="6"/>
    <n v="0"/>
    <x v="241"/>
  </r>
  <r>
    <x v="241"/>
    <x v="7"/>
    <n v="0"/>
    <x v="241"/>
  </r>
  <r>
    <x v="241"/>
    <x v="8"/>
    <n v="0"/>
    <x v="241"/>
  </r>
  <r>
    <x v="241"/>
    <x v="9"/>
    <n v="0"/>
    <x v="241"/>
  </r>
  <r>
    <x v="241"/>
    <x v="10"/>
    <n v="0"/>
    <x v="241"/>
  </r>
  <r>
    <x v="241"/>
    <x v="11"/>
    <n v="0"/>
    <x v="241"/>
  </r>
  <r>
    <x v="241"/>
    <x v="12"/>
    <n v="0"/>
    <x v="241"/>
  </r>
  <r>
    <x v="241"/>
    <x v="13"/>
    <n v="0"/>
    <x v="241"/>
  </r>
  <r>
    <x v="241"/>
    <x v="14"/>
    <n v="1.76"/>
    <x v="241"/>
  </r>
  <r>
    <x v="241"/>
    <x v="15"/>
    <n v="2.4"/>
    <x v="241"/>
  </r>
  <r>
    <x v="242"/>
    <x v="0"/>
    <n v="0"/>
    <x v="242"/>
  </r>
  <r>
    <x v="242"/>
    <x v="1"/>
    <n v="914.22"/>
    <x v="242"/>
  </r>
  <r>
    <x v="242"/>
    <x v="2"/>
    <n v="0"/>
    <x v="242"/>
  </r>
  <r>
    <x v="242"/>
    <x v="3"/>
    <n v="267.77999999999997"/>
    <x v="242"/>
  </r>
  <r>
    <x v="242"/>
    <x v="4"/>
    <n v="0"/>
    <x v="242"/>
  </r>
  <r>
    <x v="242"/>
    <x v="5"/>
    <n v="596.34"/>
    <x v="242"/>
  </r>
  <r>
    <x v="242"/>
    <x v="6"/>
    <n v="0"/>
    <x v="242"/>
  </r>
  <r>
    <x v="242"/>
    <x v="7"/>
    <n v="528.79"/>
    <x v="242"/>
  </r>
  <r>
    <x v="242"/>
    <x v="8"/>
    <n v="0"/>
    <x v="242"/>
  </r>
  <r>
    <x v="242"/>
    <x v="9"/>
    <n v="1453.01"/>
    <x v="242"/>
  </r>
  <r>
    <x v="242"/>
    <x v="10"/>
    <n v="137.94"/>
    <x v="242"/>
  </r>
  <r>
    <x v="242"/>
    <x v="11"/>
    <n v="687.36"/>
    <x v="242"/>
  </r>
  <r>
    <x v="242"/>
    <x v="12"/>
    <n v="0"/>
    <x v="242"/>
  </r>
  <r>
    <x v="242"/>
    <x v="13"/>
    <n v="0"/>
    <x v="242"/>
  </r>
  <r>
    <x v="242"/>
    <x v="14"/>
    <n v="0"/>
    <x v="242"/>
  </r>
  <r>
    <x v="242"/>
    <x v="15"/>
    <n v="266.58999999999997"/>
    <x v="242"/>
  </r>
  <r>
    <x v="243"/>
    <x v="0"/>
    <n v="0"/>
    <x v="243"/>
  </r>
  <r>
    <x v="243"/>
    <x v="1"/>
    <n v="1954.65"/>
    <x v="243"/>
  </r>
  <r>
    <x v="243"/>
    <x v="2"/>
    <n v="0"/>
    <x v="243"/>
  </r>
  <r>
    <x v="243"/>
    <x v="3"/>
    <n v="661.02"/>
    <x v="243"/>
  </r>
  <r>
    <x v="243"/>
    <x v="4"/>
    <n v="0"/>
    <x v="243"/>
  </r>
  <r>
    <x v="243"/>
    <x v="5"/>
    <n v="1375.94"/>
    <x v="243"/>
  </r>
  <r>
    <x v="243"/>
    <x v="6"/>
    <n v="0"/>
    <x v="243"/>
  </r>
  <r>
    <x v="243"/>
    <x v="7"/>
    <n v="1416.63"/>
    <x v="243"/>
  </r>
  <r>
    <x v="243"/>
    <x v="8"/>
    <n v="0"/>
    <x v="243"/>
  </r>
  <r>
    <x v="243"/>
    <x v="9"/>
    <n v="2845.24"/>
    <x v="243"/>
  </r>
  <r>
    <x v="243"/>
    <x v="10"/>
    <n v="25.37"/>
    <x v="243"/>
  </r>
  <r>
    <x v="243"/>
    <x v="11"/>
    <n v="450.59"/>
    <x v="243"/>
  </r>
  <r>
    <x v="243"/>
    <x v="12"/>
    <n v="0"/>
    <x v="243"/>
  </r>
  <r>
    <x v="243"/>
    <x v="13"/>
    <n v="0"/>
    <x v="243"/>
  </r>
  <r>
    <x v="243"/>
    <x v="14"/>
    <n v="0"/>
    <x v="243"/>
  </r>
  <r>
    <x v="243"/>
    <x v="15"/>
    <n v="618.74"/>
    <x v="243"/>
  </r>
  <r>
    <x v="244"/>
    <x v="0"/>
    <n v="0"/>
    <x v="244"/>
  </r>
  <r>
    <x v="244"/>
    <x v="1"/>
    <n v="36.799999999999997"/>
    <x v="244"/>
  </r>
  <r>
    <x v="244"/>
    <x v="2"/>
    <n v="0"/>
    <x v="244"/>
  </r>
  <r>
    <x v="244"/>
    <x v="3"/>
    <n v="15.8"/>
    <x v="244"/>
  </r>
  <r>
    <x v="244"/>
    <x v="4"/>
    <n v="0"/>
    <x v="244"/>
  </r>
  <r>
    <x v="244"/>
    <x v="5"/>
    <n v="18.2"/>
    <x v="244"/>
  </r>
  <r>
    <x v="244"/>
    <x v="6"/>
    <n v="0"/>
    <x v="244"/>
  </r>
  <r>
    <x v="244"/>
    <x v="7"/>
    <n v="16.600000000000001"/>
    <x v="244"/>
  </r>
  <r>
    <x v="244"/>
    <x v="8"/>
    <n v="0"/>
    <x v="244"/>
  </r>
  <r>
    <x v="244"/>
    <x v="9"/>
    <n v="0"/>
    <x v="244"/>
  </r>
  <r>
    <x v="244"/>
    <x v="10"/>
    <n v="0"/>
    <x v="244"/>
  </r>
  <r>
    <x v="244"/>
    <x v="11"/>
    <n v="0"/>
    <x v="244"/>
  </r>
  <r>
    <x v="244"/>
    <x v="12"/>
    <n v="0"/>
    <x v="244"/>
  </r>
  <r>
    <x v="244"/>
    <x v="13"/>
    <n v="0"/>
    <x v="244"/>
  </r>
  <r>
    <x v="244"/>
    <x v="14"/>
    <n v="7.8"/>
    <x v="244"/>
  </r>
  <r>
    <x v="244"/>
    <x v="15"/>
    <n v="12.8"/>
    <x v="244"/>
  </r>
  <r>
    <x v="245"/>
    <x v="0"/>
    <n v="0"/>
    <x v="245"/>
  </r>
  <r>
    <x v="245"/>
    <x v="1"/>
    <n v="8.8000000000000007"/>
    <x v="245"/>
  </r>
  <r>
    <x v="245"/>
    <x v="2"/>
    <n v="0"/>
    <x v="245"/>
  </r>
  <r>
    <x v="245"/>
    <x v="3"/>
    <n v="2"/>
    <x v="245"/>
  </r>
  <r>
    <x v="245"/>
    <x v="4"/>
    <n v="0"/>
    <x v="245"/>
  </r>
  <r>
    <x v="245"/>
    <x v="5"/>
    <n v="6"/>
    <x v="245"/>
  </r>
  <r>
    <x v="245"/>
    <x v="6"/>
    <n v="0"/>
    <x v="245"/>
  </r>
  <r>
    <x v="245"/>
    <x v="7"/>
    <n v="9.8000000000000007"/>
    <x v="245"/>
  </r>
  <r>
    <x v="245"/>
    <x v="8"/>
    <n v="0"/>
    <x v="245"/>
  </r>
  <r>
    <x v="245"/>
    <x v="9"/>
    <n v="11.56"/>
    <x v="245"/>
  </r>
  <r>
    <x v="245"/>
    <x v="10"/>
    <n v="0"/>
    <x v="245"/>
  </r>
  <r>
    <x v="245"/>
    <x v="11"/>
    <n v="1.56"/>
    <x v="245"/>
  </r>
  <r>
    <x v="245"/>
    <x v="12"/>
    <n v="0"/>
    <x v="245"/>
  </r>
  <r>
    <x v="245"/>
    <x v="13"/>
    <n v="0"/>
    <x v="245"/>
  </r>
  <r>
    <x v="245"/>
    <x v="14"/>
    <n v="0"/>
    <x v="245"/>
  </r>
  <r>
    <x v="245"/>
    <x v="15"/>
    <n v="3.2"/>
    <x v="245"/>
  </r>
  <r>
    <x v="246"/>
    <x v="0"/>
    <n v="0"/>
    <x v="246"/>
  </r>
  <r>
    <x v="246"/>
    <x v="1"/>
    <n v="2042.77"/>
    <x v="246"/>
  </r>
  <r>
    <x v="246"/>
    <x v="2"/>
    <n v="0"/>
    <x v="246"/>
  </r>
  <r>
    <x v="246"/>
    <x v="3"/>
    <n v="699.92"/>
    <x v="246"/>
  </r>
  <r>
    <x v="246"/>
    <x v="4"/>
    <n v="0"/>
    <x v="246"/>
  </r>
  <r>
    <x v="246"/>
    <x v="5"/>
    <n v="1382.79"/>
    <x v="246"/>
  </r>
  <r>
    <x v="246"/>
    <x v="6"/>
    <n v="0"/>
    <x v="246"/>
  </r>
  <r>
    <x v="246"/>
    <x v="7"/>
    <n v="1371.43"/>
    <x v="246"/>
  </r>
  <r>
    <x v="246"/>
    <x v="8"/>
    <n v="0"/>
    <x v="246"/>
  </r>
  <r>
    <x v="246"/>
    <x v="9"/>
    <n v="2882.93"/>
    <x v="246"/>
  </r>
  <r>
    <x v="246"/>
    <x v="10"/>
    <n v="120.41"/>
    <x v="246"/>
  </r>
  <r>
    <x v="246"/>
    <x v="11"/>
    <n v="445.02"/>
    <x v="246"/>
  </r>
  <r>
    <x v="246"/>
    <x v="12"/>
    <n v="0"/>
    <x v="246"/>
  </r>
  <r>
    <x v="246"/>
    <x v="13"/>
    <n v="0"/>
    <x v="246"/>
  </r>
  <r>
    <x v="246"/>
    <x v="14"/>
    <n v="59"/>
    <x v="246"/>
  </r>
  <r>
    <x v="246"/>
    <x v="15"/>
    <n v="636.14"/>
    <x v="246"/>
  </r>
  <r>
    <x v="247"/>
    <x v="0"/>
    <n v="0"/>
    <x v="247"/>
  </r>
  <r>
    <x v="247"/>
    <x v="1"/>
    <n v="1545.87"/>
    <x v="247"/>
  </r>
  <r>
    <x v="247"/>
    <x v="2"/>
    <n v="0"/>
    <x v="247"/>
  </r>
  <r>
    <x v="247"/>
    <x v="3"/>
    <n v="478.6"/>
    <x v="247"/>
  </r>
  <r>
    <x v="247"/>
    <x v="4"/>
    <n v="0"/>
    <x v="247"/>
  </r>
  <r>
    <x v="247"/>
    <x v="5"/>
    <n v="1094.3499999999999"/>
    <x v="247"/>
  </r>
  <r>
    <x v="247"/>
    <x v="6"/>
    <n v="0"/>
    <x v="247"/>
  </r>
  <r>
    <x v="247"/>
    <x v="7"/>
    <n v="1040.1099999999999"/>
    <x v="247"/>
  </r>
  <r>
    <x v="247"/>
    <x v="8"/>
    <n v="0"/>
    <x v="247"/>
  </r>
  <r>
    <x v="247"/>
    <x v="9"/>
    <n v="2009.13"/>
    <x v="247"/>
  </r>
  <r>
    <x v="247"/>
    <x v="10"/>
    <n v="47.48"/>
    <x v="247"/>
  </r>
  <r>
    <x v="247"/>
    <x v="11"/>
    <n v="452.6"/>
    <x v="247"/>
  </r>
  <r>
    <x v="247"/>
    <x v="12"/>
    <n v="0"/>
    <x v="247"/>
  </r>
  <r>
    <x v="247"/>
    <x v="13"/>
    <n v="0"/>
    <x v="247"/>
  </r>
  <r>
    <x v="247"/>
    <x v="14"/>
    <n v="14"/>
    <x v="247"/>
  </r>
  <r>
    <x v="247"/>
    <x v="15"/>
    <n v="445.18"/>
    <x v="247"/>
  </r>
  <r>
    <x v="248"/>
    <x v="0"/>
    <n v="0"/>
    <x v="248"/>
  </r>
  <r>
    <x v="248"/>
    <x v="1"/>
    <n v="122.9"/>
    <x v="248"/>
  </r>
  <r>
    <x v="248"/>
    <x v="2"/>
    <n v="0"/>
    <x v="248"/>
  </r>
  <r>
    <x v="248"/>
    <x v="3"/>
    <n v="35"/>
    <x v="248"/>
  </r>
  <r>
    <x v="248"/>
    <x v="4"/>
    <n v="0"/>
    <x v="248"/>
  </r>
  <r>
    <x v="248"/>
    <x v="5"/>
    <n v="79.63"/>
    <x v="248"/>
  </r>
  <r>
    <x v="248"/>
    <x v="6"/>
    <n v="0"/>
    <x v="248"/>
  </r>
  <r>
    <x v="248"/>
    <x v="7"/>
    <n v="82.99"/>
    <x v="248"/>
  </r>
  <r>
    <x v="248"/>
    <x v="8"/>
    <n v="0"/>
    <x v="248"/>
  </r>
  <r>
    <x v="248"/>
    <x v="9"/>
    <n v="116.79"/>
    <x v="248"/>
  </r>
  <r>
    <x v="248"/>
    <x v="10"/>
    <n v="2.35"/>
    <x v="248"/>
  </r>
  <r>
    <x v="248"/>
    <x v="11"/>
    <n v="33.54"/>
    <x v="248"/>
  </r>
  <r>
    <x v="248"/>
    <x v="12"/>
    <n v="0"/>
    <x v="248"/>
  </r>
  <r>
    <x v="248"/>
    <x v="13"/>
    <n v="0"/>
    <x v="248"/>
  </r>
  <r>
    <x v="248"/>
    <x v="14"/>
    <n v="34.4"/>
    <x v="248"/>
  </r>
  <r>
    <x v="248"/>
    <x v="15"/>
    <n v="34.6"/>
    <x v="248"/>
  </r>
  <r>
    <x v="249"/>
    <x v="0"/>
    <n v="0"/>
    <x v="249"/>
  </r>
  <r>
    <x v="249"/>
    <x v="1"/>
    <n v="126.2"/>
    <x v="249"/>
  </r>
  <r>
    <x v="249"/>
    <x v="2"/>
    <n v="0"/>
    <x v="249"/>
  </r>
  <r>
    <x v="249"/>
    <x v="3"/>
    <n v="39"/>
    <x v="249"/>
  </r>
  <r>
    <x v="249"/>
    <x v="4"/>
    <n v="0"/>
    <x v="249"/>
  </r>
  <r>
    <x v="249"/>
    <x v="5"/>
    <n v="82.2"/>
    <x v="249"/>
  </r>
  <r>
    <x v="249"/>
    <x v="6"/>
    <n v="0"/>
    <x v="249"/>
  </r>
  <r>
    <x v="249"/>
    <x v="7"/>
    <n v="82.38"/>
    <x v="249"/>
  </r>
  <r>
    <x v="249"/>
    <x v="8"/>
    <n v="0"/>
    <x v="249"/>
  </r>
  <r>
    <x v="249"/>
    <x v="9"/>
    <n v="147.69"/>
    <x v="249"/>
  </r>
  <r>
    <x v="249"/>
    <x v="10"/>
    <n v="5.98"/>
    <x v="249"/>
  </r>
  <r>
    <x v="249"/>
    <x v="11"/>
    <n v="37.86"/>
    <x v="249"/>
  </r>
  <r>
    <x v="249"/>
    <x v="12"/>
    <n v="0"/>
    <x v="249"/>
  </r>
  <r>
    <x v="249"/>
    <x v="13"/>
    <n v="0"/>
    <x v="249"/>
  </r>
  <r>
    <x v="249"/>
    <x v="14"/>
    <n v="9.8000000000000007"/>
    <x v="249"/>
  </r>
  <r>
    <x v="249"/>
    <x v="15"/>
    <n v="32"/>
    <x v="249"/>
  </r>
  <r>
    <x v="250"/>
    <x v="0"/>
    <n v="0"/>
    <x v="250"/>
  </r>
  <r>
    <x v="250"/>
    <x v="1"/>
    <n v="2152.23"/>
    <x v="250"/>
  </r>
  <r>
    <x v="250"/>
    <x v="2"/>
    <n v="0"/>
    <x v="250"/>
  </r>
  <r>
    <x v="250"/>
    <x v="3"/>
    <n v="729.71"/>
    <x v="250"/>
  </r>
  <r>
    <x v="250"/>
    <x v="4"/>
    <n v="0"/>
    <x v="250"/>
  </r>
  <r>
    <x v="250"/>
    <x v="5"/>
    <n v="1407.15"/>
    <x v="250"/>
  </r>
  <r>
    <x v="250"/>
    <x v="6"/>
    <n v="0"/>
    <x v="250"/>
  </r>
  <r>
    <x v="250"/>
    <x v="7"/>
    <n v="1353.6"/>
    <x v="250"/>
  </r>
  <r>
    <x v="250"/>
    <x v="8"/>
    <n v="0"/>
    <x v="250"/>
  </r>
  <r>
    <x v="250"/>
    <x v="9"/>
    <n v="2139.94"/>
    <x v="250"/>
  </r>
  <r>
    <x v="250"/>
    <x v="10"/>
    <n v="335.02"/>
    <x v="250"/>
  </r>
  <r>
    <x v="250"/>
    <x v="11"/>
    <n v="684.64"/>
    <x v="250"/>
  </r>
  <r>
    <x v="250"/>
    <x v="12"/>
    <n v="0"/>
    <x v="250"/>
  </r>
  <r>
    <x v="250"/>
    <x v="13"/>
    <n v="0"/>
    <x v="250"/>
  </r>
  <r>
    <x v="250"/>
    <x v="14"/>
    <n v="0"/>
    <x v="250"/>
  </r>
  <r>
    <x v="250"/>
    <x v="15"/>
    <n v="629.34"/>
    <x v="250"/>
  </r>
  <r>
    <x v="251"/>
    <x v="0"/>
    <n v="0"/>
    <x v="251"/>
  </r>
  <r>
    <x v="251"/>
    <x v="1"/>
    <n v="212.44"/>
    <x v="251"/>
  </r>
  <r>
    <x v="251"/>
    <x v="2"/>
    <n v="0"/>
    <x v="251"/>
  </r>
  <r>
    <x v="251"/>
    <x v="3"/>
    <n v="70.819999999999993"/>
    <x v="251"/>
  </r>
  <r>
    <x v="251"/>
    <x v="4"/>
    <n v="0"/>
    <x v="251"/>
  </r>
  <r>
    <x v="251"/>
    <x v="5"/>
    <n v="179.49"/>
    <x v="251"/>
  </r>
  <r>
    <x v="251"/>
    <x v="6"/>
    <n v="0"/>
    <x v="251"/>
  </r>
  <r>
    <x v="251"/>
    <x v="7"/>
    <n v="167.57"/>
    <x v="251"/>
  </r>
  <r>
    <x v="251"/>
    <x v="8"/>
    <n v="0"/>
    <x v="251"/>
  </r>
  <r>
    <x v="251"/>
    <x v="9"/>
    <n v="371.27"/>
    <x v="251"/>
  </r>
  <r>
    <x v="251"/>
    <x v="10"/>
    <n v="0"/>
    <x v="251"/>
  </r>
  <r>
    <x v="251"/>
    <x v="11"/>
    <n v="60.83"/>
    <x v="251"/>
  </r>
  <r>
    <x v="251"/>
    <x v="12"/>
    <n v="0"/>
    <x v="251"/>
  </r>
  <r>
    <x v="251"/>
    <x v="13"/>
    <n v="0"/>
    <x v="251"/>
  </r>
  <r>
    <x v="251"/>
    <x v="14"/>
    <n v="14.77"/>
    <x v="251"/>
  </r>
  <r>
    <x v="251"/>
    <x v="15"/>
    <n v="62.75"/>
    <x v="251"/>
  </r>
  <r>
    <x v="252"/>
    <x v="0"/>
    <n v="0"/>
    <x v="252"/>
  </r>
  <r>
    <x v="252"/>
    <x v="1"/>
    <n v="79.8"/>
    <x v="252"/>
  </r>
  <r>
    <x v="252"/>
    <x v="2"/>
    <n v="0"/>
    <x v="252"/>
  </r>
  <r>
    <x v="252"/>
    <x v="3"/>
    <n v="40"/>
    <x v="252"/>
  </r>
  <r>
    <x v="252"/>
    <x v="4"/>
    <n v="0"/>
    <x v="252"/>
  </r>
  <r>
    <x v="252"/>
    <x v="5"/>
    <n v="50.6"/>
    <x v="252"/>
  </r>
  <r>
    <x v="252"/>
    <x v="6"/>
    <n v="0"/>
    <x v="252"/>
  </r>
  <r>
    <x v="252"/>
    <x v="7"/>
    <n v="19"/>
    <x v="252"/>
  </r>
  <r>
    <x v="252"/>
    <x v="8"/>
    <n v="0"/>
    <x v="252"/>
  </r>
  <r>
    <x v="252"/>
    <x v="9"/>
    <n v="0"/>
    <x v="252"/>
  </r>
  <r>
    <x v="252"/>
    <x v="10"/>
    <n v="0"/>
    <x v="252"/>
  </r>
  <r>
    <x v="252"/>
    <x v="11"/>
    <n v="0"/>
    <x v="252"/>
  </r>
  <r>
    <x v="252"/>
    <x v="12"/>
    <n v="0"/>
    <x v="252"/>
  </r>
  <r>
    <x v="252"/>
    <x v="13"/>
    <n v="0"/>
    <x v="252"/>
  </r>
  <r>
    <x v="252"/>
    <x v="14"/>
    <n v="0"/>
    <x v="252"/>
  </r>
  <r>
    <x v="252"/>
    <x v="15"/>
    <n v="19.2"/>
    <x v="252"/>
  </r>
  <r>
    <x v="253"/>
    <x v="0"/>
    <n v="0"/>
    <x v="253"/>
  </r>
  <r>
    <x v="253"/>
    <x v="1"/>
    <n v="256"/>
    <x v="253"/>
  </r>
  <r>
    <x v="253"/>
    <x v="2"/>
    <n v="0"/>
    <x v="253"/>
  </r>
  <r>
    <x v="253"/>
    <x v="3"/>
    <n v="93.8"/>
    <x v="253"/>
  </r>
  <r>
    <x v="253"/>
    <x v="4"/>
    <n v="0"/>
    <x v="253"/>
  </r>
  <r>
    <x v="253"/>
    <x v="5"/>
    <n v="181.7"/>
    <x v="253"/>
  </r>
  <r>
    <x v="253"/>
    <x v="6"/>
    <n v="0"/>
    <x v="253"/>
  </r>
  <r>
    <x v="253"/>
    <x v="7"/>
    <n v="140"/>
    <x v="253"/>
  </r>
  <r>
    <x v="253"/>
    <x v="8"/>
    <n v="0"/>
    <x v="253"/>
  </r>
  <r>
    <x v="253"/>
    <x v="9"/>
    <n v="74.599999999999994"/>
    <x v="253"/>
  </r>
  <r>
    <x v="253"/>
    <x v="10"/>
    <n v="0"/>
    <x v="253"/>
  </r>
  <r>
    <x v="253"/>
    <x v="11"/>
    <n v="0"/>
    <x v="253"/>
  </r>
  <r>
    <x v="253"/>
    <x v="12"/>
    <n v="0"/>
    <x v="253"/>
  </r>
  <r>
    <x v="253"/>
    <x v="13"/>
    <n v="0"/>
    <x v="253"/>
  </r>
  <r>
    <x v="253"/>
    <x v="14"/>
    <n v="0"/>
    <x v="253"/>
  </r>
  <r>
    <x v="253"/>
    <x v="15"/>
    <n v="74.2"/>
    <x v="253"/>
  </r>
  <r>
    <x v="254"/>
    <x v="0"/>
    <n v="0"/>
    <x v="254"/>
  </r>
  <r>
    <x v="254"/>
    <x v="1"/>
    <n v="6401.95"/>
    <x v="254"/>
  </r>
  <r>
    <x v="254"/>
    <x v="2"/>
    <n v="0"/>
    <x v="254"/>
  </r>
  <r>
    <x v="254"/>
    <x v="3"/>
    <n v="2049.2199999999998"/>
    <x v="254"/>
  </r>
  <r>
    <x v="254"/>
    <x v="4"/>
    <n v="0"/>
    <x v="254"/>
  </r>
  <r>
    <x v="254"/>
    <x v="5"/>
    <n v="4348.6400000000003"/>
    <x v="254"/>
  </r>
  <r>
    <x v="254"/>
    <x v="6"/>
    <n v="0"/>
    <x v="254"/>
  </r>
  <r>
    <x v="254"/>
    <x v="7"/>
    <n v="4079.63"/>
    <x v="254"/>
  </r>
  <r>
    <x v="254"/>
    <x v="8"/>
    <n v="0"/>
    <x v="254"/>
  </r>
  <r>
    <x v="254"/>
    <x v="9"/>
    <n v="7607.46"/>
    <x v="254"/>
  </r>
  <r>
    <x v="254"/>
    <x v="10"/>
    <n v="252.18"/>
    <x v="254"/>
  </r>
  <r>
    <x v="254"/>
    <x v="11"/>
    <n v="1142.71"/>
    <x v="254"/>
  </r>
  <r>
    <x v="254"/>
    <x v="12"/>
    <n v="0"/>
    <x v="254"/>
  </r>
  <r>
    <x v="254"/>
    <x v="13"/>
    <n v="471.07"/>
    <x v="254"/>
  </r>
  <r>
    <x v="254"/>
    <x v="14"/>
    <n v="119.5"/>
    <x v="254"/>
  </r>
  <r>
    <x v="254"/>
    <x v="15"/>
    <n v="1962.32"/>
    <x v="254"/>
  </r>
  <r>
    <x v="255"/>
    <x v="0"/>
    <n v="0"/>
    <x v="255"/>
  </r>
  <r>
    <x v="255"/>
    <x v="1"/>
    <n v="16.2"/>
    <x v="255"/>
  </r>
  <r>
    <x v="255"/>
    <x v="2"/>
    <n v="0"/>
    <x v="255"/>
  </r>
  <r>
    <x v="255"/>
    <x v="3"/>
    <n v="4.5999999999999996"/>
    <x v="255"/>
  </r>
  <r>
    <x v="255"/>
    <x v="4"/>
    <n v="0"/>
    <x v="255"/>
  </r>
  <r>
    <x v="255"/>
    <x v="5"/>
    <n v="0"/>
    <x v="255"/>
  </r>
  <r>
    <x v="255"/>
    <x v="6"/>
    <n v="0"/>
    <x v="255"/>
  </r>
  <r>
    <x v="255"/>
    <x v="7"/>
    <n v="0"/>
    <x v="255"/>
  </r>
  <r>
    <x v="255"/>
    <x v="8"/>
    <n v="0"/>
    <x v="255"/>
  </r>
  <r>
    <x v="255"/>
    <x v="9"/>
    <n v="21"/>
    <x v="255"/>
  </r>
  <r>
    <x v="255"/>
    <x v="10"/>
    <n v="0"/>
    <x v="255"/>
  </r>
  <r>
    <x v="255"/>
    <x v="11"/>
    <n v="3.31"/>
    <x v="255"/>
  </r>
  <r>
    <x v="255"/>
    <x v="12"/>
    <n v="0"/>
    <x v="255"/>
  </r>
  <r>
    <x v="255"/>
    <x v="13"/>
    <n v="0"/>
    <x v="255"/>
  </r>
  <r>
    <x v="255"/>
    <x v="14"/>
    <n v="0"/>
    <x v="255"/>
  </r>
  <r>
    <x v="255"/>
    <x v="15"/>
    <n v="5.2"/>
    <x v="255"/>
  </r>
  <r>
    <x v="256"/>
    <x v="0"/>
    <n v="0"/>
    <x v="256"/>
  </r>
  <r>
    <x v="256"/>
    <x v="1"/>
    <n v="41.6"/>
    <x v="256"/>
  </r>
  <r>
    <x v="256"/>
    <x v="2"/>
    <n v="0"/>
    <x v="256"/>
  </r>
  <r>
    <x v="256"/>
    <x v="3"/>
    <n v="7"/>
    <x v="256"/>
  </r>
  <r>
    <x v="256"/>
    <x v="4"/>
    <n v="0"/>
    <x v="256"/>
  </r>
  <r>
    <x v="256"/>
    <x v="5"/>
    <n v="17"/>
    <x v="256"/>
  </r>
  <r>
    <x v="256"/>
    <x v="6"/>
    <n v="0"/>
    <x v="256"/>
  </r>
  <r>
    <x v="256"/>
    <x v="7"/>
    <n v="22.6"/>
    <x v="256"/>
  </r>
  <r>
    <x v="256"/>
    <x v="8"/>
    <n v="0"/>
    <x v="256"/>
  </r>
  <r>
    <x v="256"/>
    <x v="9"/>
    <n v="38.96"/>
    <x v="256"/>
  </r>
  <r>
    <x v="256"/>
    <x v="10"/>
    <n v="0"/>
    <x v="256"/>
  </r>
  <r>
    <x v="256"/>
    <x v="11"/>
    <n v="10.11"/>
    <x v="256"/>
  </r>
  <r>
    <x v="256"/>
    <x v="12"/>
    <n v="0"/>
    <x v="256"/>
  </r>
  <r>
    <x v="256"/>
    <x v="13"/>
    <n v="0"/>
    <x v="256"/>
  </r>
  <r>
    <x v="256"/>
    <x v="14"/>
    <n v="7"/>
    <x v="256"/>
  </r>
  <r>
    <x v="256"/>
    <x v="15"/>
    <n v="14.4"/>
    <x v="256"/>
  </r>
  <r>
    <x v="257"/>
    <x v="0"/>
    <n v="0"/>
    <x v="257"/>
  </r>
  <r>
    <x v="257"/>
    <x v="1"/>
    <n v="1019.65"/>
    <x v="257"/>
  </r>
  <r>
    <x v="257"/>
    <x v="2"/>
    <n v="0"/>
    <x v="257"/>
  </r>
  <r>
    <x v="257"/>
    <x v="3"/>
    <n v="339.53"/>
    <x v="257"/>
  </r>
  <r>
    <x v="257"/>
    <x v="4"/>
    <n v="0"/>
    <x v="257"/>
  </r>
  <r>
    <x v="257"/>
    <x v="5"/>
    <n v="723.91"/>
    <x v="257"/>
  </r>
  <r>
    <x v="257"/>
    <x v="6"/>
    <n v="0"/>
    <x v="257"/>
  </r>
  <r>
    <x v="257"/>
    <x v="7"/>
    <n v="701.11"/>
    <x v="257"/>
  </r>
  <r>
    <x v="257"/>
    <x v="8"/>
    <n v="0"/>
    <x v="257"/>
  </r>
  <r>
    <x v="257"/>
    <x v="9"/>
    <n v="1322.68"/>
    <x v="257"/>
  </r>
  <r>
    <x v="257"/>
    <x v="10"/>
    <n v="79.14"/>
    <x v="257"/>
  </r>
  <r>
    <x v="257"/>
    <x v="11"/>
    <n v="380.23"/>
    <x v="257"/>
  </r>
  <r>
    <x v="257"/>
    <x v="12"/>
    <n v="0"/>
    <x v="257"/>
  </r>
  <r>
    <x v="257"/>
    <x v="13"/>
    <n v="0"/>
    <x v="257"/>
  </r>
  <r>
    <x v="257"/>
    <x v="14"/>
    <n v="28.4"/>
    <x v="257"/>
  </r>
  <r>
    <x v="257"/>
    <x v="15"/>
    <n v="326.39999999999998"/>
    <x v="257"/>
  </r>
  <r>
    <x v="258"/>
    <x v="0"/>
    <n v="0"/>
    <x v="258"/>
  </r>
  <r>
    <x v="258"/>
    <x v="1"/>
    <n v="4"/>
    <x v="258"/>
  </r>
  <r>
    <x v="258"/>
    <x v="2"/>
    <n v="0"/>
    <x v="258"/>
  </r>
  <r>
    <x v="258"/>
    <x v="3"/>
    <n v="4"/>
    <x v="258"/>
  </r>
  <r>
    <x v="258"/>
    <x v="4"/>
    <n v="0"/>
    <x v="258"/>
  </r>
  <r>
    <x v="258"/>
    <x v="5"/>
    <n v="1"/>
    <x v="258"/>
  </r>
  <r>
    <x v="258"/>
    <x v="6"/>
    <n v="0"/>
    <x v="258"/>
  </r>
  <r>
    <x v="258"/>
    <x v="7"/>
    <n v="0"/>
    <x v="258"/>
  </r>
  <r>
    <x v="258"/>
    <x v="8"/>
    <n v="0"/>
    <x v="258"/>
  </r>
  <r>
    <x v="258"/>
    <x v="9"/>
    <n v="0"/>
    <x v="258"/>
  </r>
  <r>
    <x v="258"/>
    <x v="10"/>
    <n v="0"/>
    <x v="258"/>
  </r>
  <r>
    <x v="258"/>
    <x v="11"/>
    <n v="0"/>
    <x v="258"/>
  </r>
  <r>
    <x v="258"/>
    <x v="12"/>
    <n v="0"/>
    <x v="258"/>
  </r>
  <r>
    <x v="258"/>
    <x v="13"/>
    <n v="0"/>
    <x v="258"/>
  </r>
  <r>
    <x v="258"/>
    <x v="14"/>
    <n v="0"/>
    <x v="258"/>
  </r>
  <r>
    <x v="258"/>
    <x v="15"/>
    <n v="4"/>
    <x v="258"/>
  </r>
  <r>
    <x v="259"/>
    <x v="0"/>
    <n v="0"/>
    <x v="259"/>
  </r>
  <r>
    <x v="259"/>
    <x v="1"/>
    <n v="8"/>
    <x v="259"/>
  </r>
  <r>
    <x v="259"/>
    <x v="2"/>
    <n v="0"/>
    <x v="259"/>
  </r>
  <r>
    <x v="259"/>
    <x v="3"/>
    <n v="3"/>
    <x v="259"/>
  </r>
  <r>
    <x v="259"/>
    <x v="4"/>
    <n v="0"/>
    <x v="259"/>
  </r>
  <r>
    <x v="259"/>
    <x v="5"/>
    <n v="5"/>
    <x v="259"/>
  </r>
  <r>
    <x v="259"/>
    <x v="6"/>
    <n v="0"/>
    <x v="259"/>
  </r>
  <r>
    <x v="259"/>
    <x v="7"/>
    <n v="2"/>
    <x v="259"/>
  </r>
  <r>
    <x v="259"/>
    <x v="8"/>
    <n v="0"/>
    <x v="259"/>
  </r>
  <r>
    <x v="259"/>
    <x v="9"/>
    <n v="0"/>
    <x v="259"/>
  </r>
  <r>
    <x v="259"/>
    <x v="10"/>
    <n v="0"/>
    <x v="259"/>
  </r>
  <r>
    <x v="259"/>
    <x v="11"/>
    <n v="0"/>
    <x v="259"/>
  </r>
  <r>
    <x v="259"/>
    <x v="12"/>
    <n v="0"/>
    <x v="259"/>
  </r>
  <r>
    <x v="259"/>
    <x v="13"/>
    <n v="0"/>
    <x v="259"/>
  </r>
  <r>
    <x v="259"/>
    <x v="14"/>
    <n v="3.2"/>
    <x v="259"/>
  </r>
  <r>
    <x v="259"/>
    <x v="15"/>
    <n v="1"/>
    <x v="259"/>
  </r>
  <r>
    <x v="260"/>
    <x v="0"/>
    <n v="0"/>
    <x v="260"/>
  </r>
  <r>
    <x v="260"/>
    <x v="1"/>
    <n v="5"/>
    <x v="260"/>
  </r>
  <r>
    <x v="260"/>
    <x v="2"/>
    <n v="0"/>
    <x v="260"/>
  </r>
  <r>
    <x v="260"/>
    <x v="3"/>
    <n v="1"/>
    <x v="260"/>
  </r>
  <r>
    <x v="260"/>
    <x v="4"/>
    <n v="0"/>
    <x v="260"/>
  </r>
  <r>
    <x v="260"/>
    <x v="5"/>
    <n v="1"/>
    <x v="260"/>
  </r>
  <r>
    <x v="260"/>
    <x v="6"/>
    <n v="0"/>
    <x v="260"/>
  </r>
  <r>
    <x v="260"/>
    <x v="7"/>
    <n v="4"/>
    <x v="260"/>
  </r>
  <r>
    <x v="260"/>
    <x v="8"/>
    <n v="0"/>
    <x v="260"/>
  </r>
  <r>
    <x v="260"/>
    <x v="9"/>
    <n v="0"/>
    <x v="260"/>
  </r>
  <r>
    <x v="260"/>
    <x v="10"/>
    <n v="0"/>
    <x v="260"/>
  </r>
  <r>
    <x v="260"/>
    <x v="11"/>
    <n v="0"/>
    <x v="260"/>
  </r>
  <r>
    <x v="260"/>
    <x v="12"/>
    <n v="0"/>
    <x v="260"/>
  </r>
  <r>
    <x v="260"/>
    <x v="13"/>
    <n v="0"/>
    <x v="260"/>
  </r>
  <r>
    <x v="260"/>
    <x v="14"/>
    <n v="0"/>
    <x v="260"/>
  </r>
  <r>
    <x v="260"/>
    <x v="15"/>
    <n v="0.39"/>
    <x v="260"/>
  </r>
  <r>
    <x v="261"/>
    <x v="0"/>
    <n v="0"/>
    <x v="261"/>
  </r>
  <r>
    <x v="261"/>
    <x v="1"/>
    <n v="630.1"/>
    <x v="261"/>
  </r>
  <r>
    <x v="261"/>
    <x v="2"/>
    <n v="0"/>
    <x v="261"/>
  </r>
  <r>
    <x v="261"/>
    <x v="3"/>
    <n v="223.59"/>
    <x v="261"/>
  </r>
  <r>
    <x v="261"/>
    <x v="4"/>
    <n v="0"/>
    <x v="261"/>
  </r>
  <r>
    <x v="261"/>
    <x v="5"/>
    <n v="475.37"/>
    <x v="261"/>
  </r>
  <r>
    <x v="261"/>
    <x v="6"/>
    <n v="0"/>
    <x v="261"/>
  </r>
  <r>
    <x v="261"/>
    <x v="7"/>
    <n v="493.34"/>
    <x v="261"/>
  </r>
  <r>
    <x v="261"/>
    <x v="8"/>
    <n v="0"/>
    <x v="261"/>
  </r>
  <r>
    <x v="261"/>
    <x v="9"/>
    <n v="782.02"/>
    <x v="261"/>
  </r>
  <r>
    <x v="261"/>
    <x v="10"/>
    <n v="15.44"/>
    <x v="261"/>
  </r>
  <r>
    <x v="261"/>
    <x v="11"/>
    <n v="230.08"/>
    <x v="261"/>
  </r>
  <r>
    <x v="261"/>
    <x v="12"/>
    <n v="0"/>
    <x v="261"/>
  </r>
  <r>
    <x v="261"/>
    <x v="13"/>
    <n v="0"/>
    <x v="261"/>
  </r>
  <r>
    <x v="261"/>
    <x v="14"/>
    <n v="24.33"/>
    <x v="261"/>
  </r>
  <r>
    <x v="261"/>
    <x v="15"/>
    <n v="172.45"/>
    <x v="261"/>
  </r>
  <r>
    <x v="262"/>
    <x v="0"/>
    <n v="0"/>
    <x v="262"/>
  </r>
  <r>
    <x v="262"/>
    <x v="1"/>
    <n v="8.1999999999999993"/>
    <x v="262"/>
  </r>
  <r>
    <x v="262"/>
    <x v="2"/>
    <n v="0"/>
    <x v="262"/>
  </r>
  <r>
    <x v="262"/>
    <x v="3"/>
    <n v="3"/>
    <x v="262"/>
  </r>
  <r>
    <x v="262"/>
    <x v="4"/>
    <n v="0"/>
    <x v="262"/>
  </r>
  <r>
    <x v="262"/>
    <x v="5"/>
    <n v="5.6"/>
    <x v="262"/>
  </r>
  <r>
    <x v="262"/>
    <x v="6"/>
    <n v="0"/>
    <x v="262"/>
  </r>
  <r>
    <x v="262"/>
    <x v="7"/>
    <n v="3.8"/>
    <x v="262"/>
  </r>
  <r>
    <x v="262"/>
    <x v="8"/>
    <n v="0"/>
    <x v="262"/>
  </r>
  <r>
    <x v="262"/>
    <x v="9"/>
    <n v="0"/>
    <x v="262"/>
  </r>
  <r>
    <x v="262"/>
    <x v="10"/>
    <n v="0"/>
    <x v="262"/>
  </r>
  <r>
    <x v="262"/>
    <x v="11"/>
    <n v="0"/>
    <x v="262"/>
  </r>
  <r>
    <x v="262"/>
    <x v="12"/>
    <n v="0"/>
    <x v="262"/>
  </r>
  <r>
    <x v="262"/>
    <x v="13"/>
    <n v="0"/>
    <x v="262"/>
  </r>
  <r>
    <x v="262"/>
    <x v="14"/>
    <n v="5.6"/>
    <x v="262"/>
  </r>
  <r>
    <x v="262"/>
    <x v="15"/>
    <n v="4"/>
    <x v="262"/>
  </r>
  <r>
    <x v="263"/>
    <x v="0"/>
    <n v="0"/>
    <x v="263"/>
  </r>
  <r>
    <x v="263"/>
    <x v="1"/>
    <n v="134.43"/>
    <x v="263"/>
  </r>
  <r>
    <x v="263"/>
    <x v="2"/>
    <n v="0"/>
    <x v="263"/>
  </r>
  <r>
    <x v="263"/>
    <x v="3"/>
    <n v="49.8"/>
    <x v="263"/>
  </r>
  <r>
    <x v="263"/>
    <x v="4"/>
    <n v="0"/>
    <x v="263"/>
  </r>
  <r>
    <x v="263"/>
    <x v="5"/>
    <n v="110"/>
    <x v="263"/>
  </r>
  <r>
    <x v="263"/>
    <x v="6"/>
    <n v="0"/>
    <x v="263"/>
  </r>
  <r>
    <x v="263"/>
    <x v="7"/>
    <n v="118.6"/>
    <x v="263"/>
  </r>
  <r>
    <x v="263"/>
    <x v="8"/>
    <n v="0"/>
    <x v="263"/>
  </r>
  <r>
    <x v="263"/>
    <x v="9"/>
    <n v="250.4"/>
    <x v="263"/>
  </r>
  <r>
    <x v="263"/>
    <x v="10"/>
    <n v="15.49"/>
    <x v="263"/>
  </r>
  <r>
    <x v="263"/>
    <x v="11"/>
    <n v="29.89"/>
    <x v="263"/>
  </r>
  <r>
    <x v="263"/>
    <x v="12"/>
    <n v="0"/>
    <x v="263"/>
  </r>
  <r>
    <x v="263"/>
    <x v="13"/>
    <n v="0"/>
    <x v="263"/>
  </r>
  <r>
    <x v="263"/>
    <x v="14"/>
    <n v="28.6"/>
    <x v="263"/>
  </r>
  <r>
    <x v="263"/>
    <x v="15"/>
    <n v="34.44"/>
    <x v="263"/>
  </r>
  <r>
    <x v="264"/>
    <x v="0"/>
    <n v="0"/>
    <x v="264"/>
  </r>
  <r>
    <x v="264"/>
    <x v="1"/>
    <n v="492.56"/>
    <x v="264"/>
  </r>
  <r>
    <x v="264"/>
    <x v="2"/>
    <n v="0"/>
    <x v="264"/>
  </r>
  <r>
    <x v="264"/>
    <x v="3"/>
    <n v="163.6"/>
    <x v="264"/>
  </r>
  <r>
    <x v="264"/>
    <x v="4"/>
    <n v="0"/>
    <x v="264"/>
  </r>
  <r>
    <x v="264"/>
    <x v="5"/>
    <n v="336.8"/>
    <x v="264"/>
  </r>
  <r>
    <x v="264"/>
    <x v="6"/>
    <n v="0"/>
    <x v="264"/>
  </r>
  <r>
    <x v="264"/>
    <x v="7"/>
    <n v="315"/>
    <x v="264"/>
  </r>
  <r>
    <x v="264"/>
    <x v="8"/>
    <n v="0"/>
    <x v="264"/>
  </r>
  <r>
    <x v="264"/>
    <x v="9"/>
    <n v="505.44"/>
    <x v="264"/>
  </r>
  <r>
    <x v="264"/>
    <x v="10"/>
    <n v="23.63"/>
    <x v="264"/>
  </r>
  <r>
    <x v="264"/>
    <x v="11"/>
    <n v="167.87"/>
    <x v="264"/>
  </r>
  <r>
    <x v="264"/>
    <x v="12"/>
    <n v="0"/>
    <x v="264"/>
  </r>
  <r>
    <x v="264"/>
    <x v="13"/>
    <n v="0"/>
    <x v="264"/>
  </r>
  <r>
    <x v="264"/>
    <x v="14"/>
    <n v="54.2"/>
    <x v="264"/>
  </r>
  <r>
    <x v="264"/>
    <x v="15"/>
    <n v="160.80000000000001"/>
    <x v="264"/>
  </r>
  <r>
    <x v="265"/>
    <x v="0"/>
    <n v="0"/>
    <x v="265"/>
  </r>
  <r>
    <x v="265"/>
    <x v="1"/>
    <n v="0"/>
    <x v="265"/>
  </r>
  <r>
    <x v="265"/>
    <x v="2"/>
    <n v="0"/>
    <x v="265"/>
  </r>
  <r>
    <x v="265"/>
    <x v="3"/>
    <n v="0"/>
    <x v="265"/>
  </r>
  <r>
    <x v="265"/>
    <x v="4"/>
    <n v="0"/>
    <x v="265"/>
  </r>
  <r>
    <x v="265"/>
    <x v="5"/>
    <n v="107.8"/>
    <x v="265"/>
  </r>
  <r>
    <x v="265"/>
    <x v="6"/>
    <n v="0"/>
    <x v="265"/>
  </r>
  <r>
    <x v="265"/>
    <x v="7"/>
    <n v="194.2"/>
    <x v="265"/>
  </r>
  <r>
    <x v="265"/>
    <x v="8"/>
    <n v="0"/>
    <x v="265"/>
  </r>
  <r>
    <x v="265"/>
    <x v="9"/>
    <n v="235.28"/>
    <x v="265"/>
  </r>
  <r>
    <x v="265"/>
    <x v="10"/>
    <n v="0"/>
    <x v="265"/>
  </r>
  <r>
    <x v="265"/>
    <x v="11"/>
    <n v="0"/>
    <x v="265"/>
  </r>
  <r>
    <x v="265"/>
    <x v="12"/>
    <n v="0"/>
    <x v="265"/>
  </r>
  <r>
    <x v="265"/>
    <x v="13"/>
    <n v="0"/>
    <x v="265"/>
  </r>
  <r>
    <x v="265"/>
    <x v="14"/>
    <n v="0"/>
    <x v="265"/>
  </r>
  <r>
    <x v="265"/>
    <x v="15"/>
    <n v="0"/>
    <x v="265"/>
  </r>
  <r>
    <x v="266"/>
    <x v="0"/>
    <n v="0"/>
    <x v="266"/>
  </r>
  <r>
    <x v="266"/>
    <x v="1"/>
    <n v="0"/>
    <x v="266"/>
  </r>
  <r>
    <x v="266"/>
    <x v="2"/>
    <n v="0"/>
    <x v="266"/>
  </r>
  <r>
    <x v="266"/>
    <x v="3"/>
    <n v="0"/>
    <x v="266"/>
  </r>
  <r>
    <x v="266"/>
    <x v="4"/>
    <n v="0"/>
    <x v="266"/>
  </r>
  <r>
    <x v="266"/>
    <x v="5"/>
    <n v="0"/>
    <x v="266"/>
  </r>
  <r>
    <x v="266"/>
    <x v="6"/>
    <n v="0"/>
    <x v="266"/>
  </r>
  <r>
    <x v="266"/>
    <x v="7"/>
    <n v="0"/>
    <x v="266"/>
  </r>
  <r>
    <x v="266"/>
    <x v="8"/>
    <n v="0"/>
    <x v="266"/>
  </r>
  <r>
    <x v="266"/>
    <x v="9"/>
    <n v="107.4"/>
    <x v="266"/>
  </r>
  <r>
    <x v="266"/>
    <x v="10"/>
    <n v="0"/>
    <x v="266"/>
  </r>
  <r>
    <x v="266"/>
    <x v="11"/>
    <n v="0"/>
    <x v="266"/>
  </r>
  <r>
    <x v="266"/>
    <x v="12"/>
    <n v="0"/>
    <x v="266"/>
  </r>
  <r>
    <x v="266"/>
    <x v="13"/>
    <n v="0"/>
    <x v="266"/>
  </r>
  <r>
    <x v="266"/>
    <x v="14"/>
    <n v="0"/>
    <x v="266"/>
  </r>
  <r>
    <x v="266"/>
    <x v="15"/>
    <n v="0"/>
    <x v="266"/>
  </r>
  <r>
    <x v="267"/>
    <x v="0"/>
    <n v="0"/>
    <x v="267"/>
  </r>
  <r>
    <x v="267"/>
    <x v="1"/>
    <n v="0"/>
    <x v="267"/>
  </r>
  <r>
    <x v="267"/>
    <x v="2"/>
    <n v="0"/>
    <x v="267"/>
  </r>
  <r>
    <x v="267"/>
    <x v="3"/>
    <n v="0"/>
    <x v="267"/>
  </r>
  <r>
    <x v="267"/>
    <x v="4"/>
    <n v="0"/>
    <x v="267"/>
  </r>
  <r>
    <x v="267"/>
    <x v="5"/>
    <n v="0"/>
    <x v="267"/>
  </r>
  <r>
    <x v="267"/>
    <x v="6"/>
    <n v="0"/>
    <x v="267"/>
  </r>
  <r>
    <x v="267"/>
    <x v="7"/>
    <n v="0"/>
    <x v="267"/>
  </r>
  <r>
    <x v="267"/>
    <x v="8"/>
    <n v="0"/>
    <x v="267"/>
  </r>
  <r>
    <x v="267"/>
    <x v="9"/>
    <n v="207.18"/>
    <x v="267"/>
  </r>
  <r>
    <x v="267"/>
    <x v="10"/>
    <n v="0"/>
    <x v="267"/>
  </r>
  <r>
    <x v="267"/>
    <x v="11"/>
    <n v="0"/>
    <x v="267"/>
  </r>
  <r>
    <x v="267"/>
    <x v="12"/>
    <n v="0"/>
    <x v="267"/>
  </r>
  <r>
    <x v="267"/>
    <x v="13"/>
    <n v="0"/>
    <x v="267"/>
  </r>
  <r>
    <x v="267"/>
    <x v="14"/>
    <n v="0"/>
    <x v="267"/>
  </r>
  <r>
    <x v="267"/>
    <x v="15"/>
    <n v="0"/>
    <x v="267"/>
  </r>
  <r>
    <x v="268"/>
    <x v="0"/>
    <n v="0"/>
    <x v="268"/>
  </r>
  <r>
    <x v="268"/>
    <x v="1"/>
    <n v="30"/>
    <x v="268"/>
  </r>
  <r>
    <x v="268"/>
    <x v="2"/>
    <n v="0"/>
    <x v="268"/>
  </r>
  <r>
    <x v="268"/>
    <x v="3"/>
    <n v="11.4"/>
    <x v="268"/>
  </r>
  <r>
    <x v="268"/>
    <x v="4"/>
    <n v="0"/>
    <x v="268"/>
  </r>
  <r>
    <x v="268"/>
    <x v="5"/>
    <n v="27.6"/>
    <x v="268"/>
  </r>
  <r>
    <x v="268"/>
    <x v="6"/>
    <n v="0"/>
    <x v="268"/>
  </r>
  <r>
    <x v="268"/>
    <x v="7"/>
    <n v="15.7"/>
    <x v="268"/>
  </r>
  <r>
    <x v="268"/>
    <x v="8"/>
    <n v="0"/>
    <x v="268"/>
  </r>
  <r>
    <x v="268"/>
    <x v="9"/>
    <n v="0"/>
    <x v="268"/>
  </r>
  <r>
    <x v="268"/>
    <x v="10"/>
    <n v="0"/>
    <x v="268"/>
  </r>
  <r>
    <x v="268"/>
    <x v="11"/>
    <n v="0"/>
    <x v="268"/>
  </r>
  <r>
    <x v="268"/>
    <x v="12"/>
    <n v="0"/>
    <x v="268"/>
  </r>
  <r>
    <x v="268"/>
    <x v="13"/>
    <n v="0"/>
    <x v="268"/>
  </r>
  <r>
    <x v="268"/>
    <x v="14"/>
    <n v="0"/>
    <x v="268"/>
  </r>
  <r>
    <x v="268"/>
    <x v="15"/>
    <n v="11.6"/>
    <x v="268"/>
  </r>
  <r>
    <x v="269"/>
    <x v="0"/>
    <n v="0"/>
    <x v="269"/>
  </r>
  <r>
    <x v="269"/>
    <x v="1"/>
    <n v="2238.44"/>
    <x v="269"/>
  </r>
  <r>
    <x v="269"/>
    <x v="2"/>
    <n v="0"/>
    <x v="269"/>
  </r>
  <r>
    <x v="269"/>
    <x v="3"/>
    <n v="752.87"/>
    <x v="269"/>
  </r>
  <r>
    <x v="269"/>
    <x v="4"/>
    <n v="0"/>
    <x v="269"/>
  </r>
  <r>
    <x v="269"/>
    <x v="5"/>
    <n v="1606.6"/>
    <x v="269"/>
  </r>
  <r>
    <x v="269"/>
    <x v="6"/>
    <n v="0"/>
    <x v="269"/>
  </r>
  <r>
    <x v="269"/>
    <x v="7"/>
    <n v="1570.36"/>
    <x v="269"/>
  </r>
  <r>
    <x v="269"/>
    <x v="8"/>
    <n v="0"/>
    <x v="269"/>
  </r>
  <r>
    <x v="269"/>
    <x v="9"/>
    <n v="3062.23"/>
    <x v="269"/>
  </r>
  <r>
    <x v="269"/>
    <x v="10"/>
    <n v="123.39"/>
    <x v="269"/>
  </r>
  <r>
    <x v="269"/>
    <x v="11"/>
    <n v="638.67999999999995"/>
    <x v="269"/>
  </r>
  <r>
    <x v="269"/>
    <x v="12"/>
    <n v="0"/>
    <x v="269"/>
  </r>
  <r>
    <x v="269"/>
    <x v="13"/>
    <n v="0"/>
    <x v="269"/>
  </r>
  <r>
    <x v="269"/>
    <x v="14"/>
    <n v="0"/>
    <x v="269"/>
  </r>
  <r>
    <x v="269"/>
    <x v="15"/>
    <n v="695.4"/>
    <x v="269"/>
  </r>
  <r>
    <x v="270"/>
    <x v="0"/>
    <n v="0"/>
    <x v="270"/>
  </r>
  <r>
    <x v="270"/>
    <x v="1"/>
    <n v="1267.4000000000001"/>
    <x v="270"/>
  </r>
  <r>
    <x v="270"/>
    <x v="2"/>
    <n v="0"/>
    <x v="270"/>
  </r>
  <r>
    <x v="270"/>
    <x v="3"/>
    <n v="432.6"/>
    <x v="270"/>
  </r>
  <r>
    <x v="270"/>
    <x v="4"/>
    <n v="0"/>
    <x v="270"/>
  </r>
  <r>
    <x v="270"/>
    <x v="5"/>
    <n v="901.8"/>
    <x v="270"/>
  </r>
  <r>
    <x v="270"/>
    <x v="6"/>
    <n v="0"/>
    <x v="270"/>
  </r>
  <r>
    <x v="270"/>
    <x v="7"/>
    <n v="918.28"/>
    <x v="270"/>
  </r>
  <r>
    <x v="270"/>
    <x v="8"/>
    <n v="0"/>
    <x v="270"/>
  </r>
  <r>
    <x v="270"/>
    <x v="9"/>
    <n v="1858.86"/>
    <x v="270"/>
  </r>
  <r>
    <x v="270"/>
    <x v="10"/>
    <n v="44.23"/>
    <x v="270"/>
  </r>
  <r>
    <x v="270"/>
    <x v="11"/>
    <n v="332.33"/>
    <x v="270"/>
  </r>
  <r>
    <x v="270"/>
    <x v="12"/>
    <n v="0"/>
    <x v="270"/>
  </r>
  <r>
    <x v="270"/>
    <x v="13"/>
    <n v="0"/>
    <x v="270"/>
  </r>
  <r>
    <x v="270"/>
    <x v="14"/>
    <n v="27.2"/>
    <x v="270"/>
  </r>
  <r>
    <x v="270"/>
    <x v="15"/>
    <n v="385.97"/>
    <x v="270"/>
  </r>
  <r>
    <x v="271"/>
    <x v="0"/>
    <n v="0"/>
    <x v="271"/>
  </r>
  <r>
    <x v="271"/>
    <x v="1"/>
    <n v="0"/>
    <x v="271"/>
  </r>
  <r>
    <x v="271"/>
    <x v="2"/>
    <n v="0"/>
    <x v="271"/>
  </r>
  <r>
    <x v="271"/>
    <x v="3"/>
    <n v="0"/>
    <x v="271"/>
  </r>
  <r>
    <x v="271"/>
    <x v="4"/>
    <n v="0"/>
    <x v="271"/>
  </r>
  <r>
    <x v="271"/>
    <x v="5"/>
    <n v="11.6"/>
    <x v="271"/>
  </r>
  <r>
    <x v="271"/>
    <x v="6"/>
    <n v="0"/>
    <x v="271"/>
  </r>
  <r>
    <x v="271"/>
    <x v="7"/>
    <n v="22"/>
    <x v="271"/>
  </r>
  <r>
    <x v="271"/>
    <x v="8"/>
    <n v="0"/>
    <x v="271"/>
  </r>
  <r>
    <x v="271"/>
    <x v="9"/>
    <n v="42.92"/>
    <x v="271"/>
  </r>
  <r>
    <x v="271"/>
    <x v="10"/>
    <n v="0.67"/>
    <x v="271"/>
  </r>
  <r>
    <x v="271"/>
    <x v="11"/>
    <n v="5.99"/>
    <x v="271"/>
  </r>
  <r>
    <x v="271"/>
    <x v="12"/>
    <n v="0"/>
    <x v="271"/>
  </r>
  <r>
    <x v="271"/>
    <x v="13"/>
    <n v="0"/>
    <x v="271"/>
  </r>
  <r>
    <x v="271"/>
    <x v="14"/>
    <n v="0"/>
    <x v="271"/>
  </r>
  <r>
    <x v="271"/>
    <x v="15"/>
    <n v="0"/>
    <x v="271"/>
  </r>
  <r>
    <x v="272"/>
    <x v="0"/>
    <n v="0"/>
    <x v="272"/>
  </r>
  <r>
    <x v="272"/>
    <x v="1"/>
    <n v="6134.54"/>
    <x v="272"/>
  </r>
  <r>
    <x v="272"/>
    <x v="2"/>
    <n v="0"/>
    <x v="272"/>
  </r>
  <r>
    <x v="272"/>
    <x v="3"/>
    <n v="1988.66"/>
    <x v="272"/>
  </r>
  <r>
    <x v="272"/>
    <x v="4"/>
    <n v="0"/>
    <x v="272"/>
  </r>
  <r>
    <x v="272"/>
    <x v="5"/>
    <n v="4062.05"/>
    <x v="272"/>
  </r>
  <r>
    <x v="272"/>
    <x v="6"/>
    <n v="0"/>
    <x v="272"/>
  </r>
  <r>
    <x v="272"/>
    <x v="7"/>
    <n v="3806.29"/>
    <x v="272"/>
  </r>
  <r>
    <x v="272"/>
    <x v="8"/>
    <n v="0"/>
    <x v="272"/>
  </r>
  <r>
    <x v="272"/>
    <x v="9"/>
    <n v="7555.69"/>
    <x v="272"/>
  </r>
  <r>
    <x v="272"/>
    <x v="10"/>
    <n v="296.05"/>
    <x v="272"/>
  </r>
  <r>
    <x v="272"/>
    <x v="11"/>
    <n v="1568.73"/>
    <x v="272"/>
  </r>
  <r>
    <x v="272"/>
    <x v="12"/>
    <n v="0"/>
    <x v="272"/>
  </r>
  <r>
    <x v="272"/>
    <x v="13"/>
    <n v="0"/>
    <x v="272"/>
  </r>
  <r>
    <x v="272"/>
    <x v="14"/>
    <n v="621.13"/>
    <x v="272"/>
  </r>
  <r>
    <x v="272"/>
    <x v="15"/>
    <n v="1819.89"/>
    <x v="272"/>
  </r>
  <r>
    <x v="273"/>
    <x v="0"/>
    <n v="0"/>
    <x v="273"/>
  </r>
  <r>
    <x v="273"/>
    <x v="1"/>
    <n v="44"/>
    <x v="273"/>
  </r>
  <r>
    <x v="273"/>
    <x v="2"/>
    <n v="0"/>
    <x v="273"/>
  </r>
  <r>
    <x v="273"/>
    <x v="3"/>
    <n v="14"/>
    <x v="273"/>
  </r>
  <r>
    <x v="273"/>
    <x v="4"/>
    <n v="0"/>
    <x v="273"/>
  </r>
  <r>
    <x v="273"/>
    <x v="5"/>
    <n v="21.2"/>
    <x v="273"/>
  </r>
  <r>
    <x v="273"/>
    <x v="6"/>
    <n v="0"/>
    <x v="273"/>
  </r>
  <r>
    <x v="273"/>
    <x v="7"/>
    <n v="36.200000000000003"/>
    <x v="273"/>
  </r>
  <r>
    <x v="273"/>
    <x v="8"/>
    <n v="0"/>
    <x v="273"/>
  </r>
  <r>
    <x v="273"/>
    <x v="9"/>
    <n v="60.1"/>
    <x v="273"/>
  </r>
  <r>
    <x v="273"/>
    <x v="10"/>
    <n v="0"/>
    <x v="273"/>
  </r>
  <r>
    <x v="273"/>
    <x v="11"/>
    <n v="4.28"/>
    <x v="273"/>
  </r>
  <r>
    <x v="273"/>
    <x v="12"/>
    <n v="0"/>
    <x v="273"/>
  </r>
  <r>
    <x v="273"/>
    <x v="13"/>
    <n v="0"/>
    <x v="273"/>
  </r>
  <r>
    <x v="273"/>
    <x v="14"/>
    <n v="0"/>
    <x v="273"/>
  </r>
  <r>
    <x v="273"/>
    <x v="15"/>
    <n v="11"/>
    <x v="273"/>
  </r>
  <r>
    <x v="274"/>
    <x v="0"/>
    <n v="0"/>
    <x v="274"/>
  </r>
  <r>
    <x v="274"/>
    <x v="1"/>
    <n v="1990.52"/>
    <x v="274"/>
  </r>
  <r>
    <x v="274"/>
    <x v="2"/>
    <n v="0"/>
    <x v="274"/>
  </r>
  <r>
    <x v="274"/>
    <x v="3"/>
    <n v="716.82"/>
    <x v="274"/>
  </r>
  <r>
    <x v="274"/>
    <x v="4"/>
    <n v="0"/>
    <x v="274"/>
  </r>
  <r>
    <x v="274"/>
    <x v="5"/>
    <n v="1425.54"/>
    <x v="274"/>
  </r>
  <r>
    <x v="274"/>
    <x v="6"/>
    <n v="0"/>
    <x v="274"/>
  </r>
  <r>
    <x v="274"/>
    <x v="7"/>
    <n v="1462.41"/>
    <x v="274"/>
  </r>
  <r>
    <x v="274"/>
    <x v="8"/>
    <n v="0"/>
    <x v="274"/>
  </r>
  <r>
    <x v="274"/>
    <x v="9"/>
    <n v="2497.0100000000002"/>
    <x v="274"/>
  </r>
  <r>
    <x v="274"/>
    <x v="10"/>
    <n v="38.25"/>
    <x v="274"/>
  </r>
  <r>
    <x v="274"/>
    <x v="11"/>
    <n v="513.20000000000005"/>
    <x v="274"/>
  </r>
  <r>
    <x v="274"/>
    <x v="12"/>
    <n v="0"/>
    <x v="274"/>
  </r>
  <r>
    <x v="274"/>
    <x v="13"/>
    <n v="0"/>
    <x v="274"/>
  </r>
  <r>
    <x v="274"/>
    <x v="14"/>
    <n v="0"/>
    <x v="274"/>
  </r>
  <r>
    <x v="274"/>
    <x v="15"/>
    <n v="508.2"/>
    <x v="274"/>
  </r>
  <r>
    <x v="275"/>
    <x v="0"/>
    <n v="0"/>
    <x v="275"/>
  </r>
  <r>
    <x v="275"/>
    <x v="1"/>
    <n v="31.59"/>
    <x v="275"/>
  </r>
  <r>
    <x v="275"/>
    <x v="2"/>
    <n v="0"/>
    <x v="275"/>
  </r>
  <r>
    <x v="275"/>
    <x v="3"/>
    <n v="15.26"/>
    <x v="275"/>
  </r>
  <r>
    <x v="275"/>
    <x v="4"/>
    <n v="0"/>
    <x v="275"/>
  </r>
  <r>
    <x v="275"/>
    <x v="5"/>
    <n v="27.8"/>
    <x v="275"/>
  </r>
  <r>
    <x v="275"/>
    <x v="6"/>
    <n v="0"/>
    <x v="275"/>
  </r>
  <r>
    <x v="275"/>
    <x v="7"/>
    <n v="41.14"/>
    <x v="275"/>
  </r>
  <r>
    <x v="275"/>
    <x v="8"/>
    <n v="0"/>
    <x v="275"/>
  </r>
  <r>
    <x v="275"/>
    <x v="9"/>
    <n v="47.48"/>
    <x v="275"/>
  </r>
  <r>
    <x v="275"/>
    <x v="10"/>
    <n v="6.9"/>
    <x v="275"/>
  </r>
  <r>
    <x v="275"/>
    <x v="11"/>
    <n v="22.41"/>
    <x v="275"/>
  </r>
  <r>
    <x v="275"/>
    <x v="12"/>
    <n v="0"/>
    <x v="275"/>
  </r>
  <r>
    <x v="275"/>
    <x v="13"/>
    <n v="0"/>
    <x v="275"/>
  </r>
  <r>
    <x v="275"/>
    <x v="14"/>
    <n v="12.4"/>
    <x v="275"/>
  </r>
  <r>
    <x v="275"/>
    <x v="15"/>
    <n v="10.6"/>
    <x v="275"/>
  </r>
  <r>
    <x v="276"/>
    <x v="0"/>
    <n v="0"/>
    <x v="276"/>
  </r>
  <r>
    <x v="276"/>
    <x v="1"/>
    <n v="292.41000000000003"/>
    <x v="276"/>
  </r>
  <r>
    <x v="276"/>
    <x v="2"/>
    <n v="0"/>
    <x v="276"/>
  </r>
  <r>
    <x v="276"/>
    <x v="3"/>
    <n v="84.8"/>
    <x v="276"/>
  </r>
  <r>
    <x v="276"/>
    <x v="4"/>
    <n v="0"/>
    <x v="276"/>
  </r>
  <r>
    <x v="276"/>
    <x v="5"/>
    <n v="189.02"/>
    <x v="276"/>
  </r>
  <r>
    <x v="276"/>
    <x v="6"/>
    <n v="0"/>
    <x v="276"/>
  </r>
  <r>
    <x v="276"/>
    <x v="7"/>
    <n v="208.8"/>
    <x v="276"/>
  </r>
  <r>
    <x v="276"/>
    <x v="8"/>
    <n v="0"/>
    <x v="276"/>
  </r>
  <r>
    <x v="276"/>
    <x v="9"/>
    <n v="342.22"/>
    <x v="276"/>
  </r>
  <r>
    <x v="276"/>
    <x v="10"/>
    <n v="28.67"/>
    <x v="276"/>
  </r>
  <r>
    <x v="276"/>
    <x v="11"/>
    <n v="89.4"/>
    <x v="276"/>
  </r>
  <r>
    <x v="276"/>
    <x v="12"/>
    <n v="0"/>
    <x v="276"/>
  </r>
  <r>
    <x v="276"/>
    <x v="13"/>
    <n v="0"/>
    <x v="276"/>
  </r>
  <r>
    <x v="276"/>
    <x v="14"/>
    <n v="14.4"/>
    <x v="276"/>
  </r>
  <r>
    <x v="276"/>
    <x v="15"/>
    <n v="89.4"/>
    <x v="276"/>
  </r>
  <r>
    <x v="277"/>
    <x v="0"/>
    <n v="0"/>
    <x v="277"/>
  </r>
  <r>
    <x v="277"/>
    <x v="1"/>
    <n v="64.83"/>
    <x v="277"/>
  </r>
  <r>
    <x v="277"/>
    <x v="2"/>
    <n v="0"/>
    <x v="277"/>
  </r>
  <r>
    <x v="277"/>
    <x v="3"/>
    <n v="22"/>
    <x v="277"/>
  </r>
  <r>
    <x v="277"/>
    <x v="4"/>
    <n v="0"/>
    <x v="277"/>
  </r>
  <r>
    <x v="277"/>
    <x v="5"/>
    <n v="46.2"/>
    <x v="277"/>
  </r>
  <r>
    <x v="277"/>
    <x v="6"/>
    <n v="0"/>
    <x v="277"/>
  </r>
  <r>
    <x v="277"/>
    <x v="7"/>
    <n v="37.54"/>
    <x v="277"/>
  </r>
  <r>
    <x v="277"/>
    <x v="8"/>
    <n v="0"/>
    <x v="277"/>
  </r>
  <r>
    <x v="277"/>
    <x v="9"/>
    <n v="41.29"/>
    <x v="277"/>
  </r>
  <r>
    <x v="277"/>
    <x v="10"/>
    <n v="9.8800000000000008"/>
    <x v="277"/>
  </r>
  <r>
    <x v="277"/>
    <x v="11"/>
    <n v="17.75"/>
    <x v="277"/>
  </r>
  <r>
    <x v="277"/>
    <x v="12"/>
    <n v="0"/>
    <x v="277"/>
  </r>
  <r>
    <x v="277"/>
    <x v="13"/>
    <n v="0"/>
    <x v="277"/>
  </r>
  <r>
    <x v="277"/>
    <x v="14"/>
    <n v="16.8"/>
    <x v="277"/>
  </r>
  <r>
    <x v="277"/>
    <x v="15"/>
    <n v="18"/>
    <x v="277"/>
  </r>
  <r>
    <x v="278"/>
    <x v="0"/>
    <n v="0"/>
    <x v="278"/>
  </r>
  <r>
    <x v="278"/>
    <x v="1"/>
    <n v="219.4"/>
    <x v="278"/>
  </r>
  <r>
    <x v="278"/>
    <x v="2"/>
    <n v="0"/>
    <x v="278"/>
  </r>
  <r>
    <x v="278"/>
    <x v="3"/>
    <n v="65.2"/>
    <x v="278"/>
  </r>
  <r>
    <x v="278"/>
    <x v="4"/>
    <n v="0"/>
    <x v="278"/>
  </r>
  <r>
    <x v="278"/>
    <x v="5"/>
    <n v="136"/>
    <x v="278"/>
  </r>
  <r>
    <x v="278"/>
    <x v="6"/>
    <n v="0"/>
    <x v="278"/>
  </r>
  <r>
    <x v="278"/>
    <x v="7"/>
    <n v="119.6"/>
    <x v="278"/>
  </r>
  <r>
    <x v="278"/>
    <x v="8"/>
    <n v="0"/>
    <x v="278"/>
  </r>
  <r>
    <x v="278"/>
    <x v="9"/>
    <n v="217.35"/>
    <x v="278"/>
  </r>
  <r>
    <x v="278"/>
    <x v="10"/>
    <n v="27.97"/>
    <x v="278"/>
  </r>
  <r>
    <x v="278"/>
    <x v="11"/>
    <n v="64.69"/>
    <x v="278"/>
  </r>
  <r>
    <x v="278"/>
    <x v="12"/>
    <n v="0"/>
    <x v="278"/>
  </r>
  <r>
    <x v="278"/>
    <x v="13"/>
    <n v="0"/>
    <x v="278"/>
  </r>
  <r>
    <x v="278"/>
    <x v="14"/>
    <n v="0"/>
    <x v="278"/>
  </r>
  <r>
    <x v="278"/>
    <x v="15"/>
    <n v="84.4"/>
    <x v="278"/>
  </r>
  <r>
    <x v="279"/>
    <x v="0"/>
    <n v="0"/>
    <x v="279"/>
  </r>
  <r>
    <x v="279"/>
    <x v="1"/>
    <n v="214.48"/>
    <x v="279"/>
  </r>
  <r>
    <x v="279"/>
    <x v="2"/>
    <n v="0"/>
    <x v="279"/>
  </r>
  <r>
    <x v="279"/>
    <x v="3"/>
    <n v="73"/>
    <x v="279"/>
  </r>
  <r>
    <x v="279"/>
    <x v="4"/>
    <n v="0"/>
    <x v="279"/>
  </r>
  <r>
    <x v="279"/>
    <x v="5"/>
    <n v="162.28"/>
    <x v="279"/>
  </r>
  <r>
    <x v="279"/>
    <x v="6"/>
    <n v="0"/>
    <x v="279"/>
  </r>
  <r>
    <x v="279"/>
    <x v="7"/>
    <n v="139.66"/>
    <x v="279"/>
  </r>
  <r>
    <x v="279"/>
    <x v="8"/>
    <n v="0"/>
    <x v="279"/>
  </r>
  <r>
    <x v="279"/>
    <x v="9"/>
    <n v="272.13"/>
    <x v="279"/>
  </r>
  <r>
    <x v="279"/>
    <x v="10"/>
    <n v="8.19"/>
    <x v="279"/>
  </r>
  <r>
    <x v="279"/>
    <x v="11"/>
    <n v="43.49"/>
    <x v="279"/>
  </r>
  <r>
    <x v="279"/>
    <x v="12"/>
    <n v="0"/>
    <x v="279"/>
  </r>
  <r>
    <x v="279"/>
    <x v="13"/>
    <n v="0"/>
    <x v="279"/>
  </r>
  <r>
    <x v="279"/>
    <x v="14"/>
    <n v="0"/>
    <x v="279"/>
  </r>
  <r>
    <x v="279"/>
    <x v="15"/>
    <n v="69.040000000000006"/>
    <x v="279"/>
  </r>
  <r>
    <x v="280"/>
    <x v="0"/>
    <n v="0"/>
    <x v="280"/>
  </r>
  <r>
    <x v="280"/>
    <x v="1"/>
    <n v="736.2"/>
    <x v="280"/>
  </r>
  <r>
    <x v="280"/>
    <x v="2"/>
    <n v="0"/>
    <x v="280"/>
  </r>
  <r>
    <x v="280"/>
    <x v="3"/>
    <n v="228.4"/>
    <x v="280"/>
  </r>
  <r>
    <x v="280"/>
    <x v="4"/>
    <n v="0"/>
    <x v="280"/>
  </r>
  <r>
    <x v="280"/>
    <x v="5"/>
    <n v="509.8"/>
    <x v="280"/>
  </r>
  <r>
    <x v="280"/>
    <x v="6"/>
    <n v="0"/>
    <x v="280"/>
  </r>
  <r>
    <x v="280"/>
    <x v="7"/>
    <n v="504.74"/>
    <x v="280"/>
  </r>
  <r>
    <x v="280"/>
    <x v="8"/>
    <n v="0"/>
    <x v="280"/>
  </r>
  <r>
    <x v="280"/>
    <x v="9"/>
    <n v="977.23"/>
    <x v="280"/>
  </r>
  <r>
    <x v="280"/>
    <x v="10"/>
    <n v="169.22"/>
    <x v="280"/>
  </r>
  <r>
    <x v="280"/>
    <x v="11"/>
    <n v="533.76"/>
    <x v="280"/>
  </r>
  <r>
    <x v="280"/>
    <x v="12"/>
    <n v="0"/>
    <x v="280"/>
  </r>
  <r>
    <x v="280"/>
    <x v="13"/>
    <n v="0"/>
    <x v="280"/>
  </r>
  <r>
    <x v="280"/>
    <x v="14"/>
    <n v="0"/>
    <x v="280"/>
  </r>
  <r>
    <x v="280"/>
    <x v="15"/>
    <n v="222.4"/>
    <x v="280"/>
  </r>
  <r>
    <x v="281"/>
    <x v="0"/>
    <n v="0"/>
    <x v="281"/>
  </r>
  <r>
    <x v="281"/>
    <x v="1"/>
    <n v="44.41"/>
    <x v="281"/>
  </r>
  <r>
    <x v="281"/>
    <x v="2"/>
    <n v="0"/>
    <x v="281"/>
  </r>
  <r>
    <x v="281"/>
    <x v="3"/>
    <n v="17.600000000000001"/>
    <x v="281"/>
  </r>
  <r>
    <x v="281"/>
    <x v="4"/>
    <n v="0"/>
    <x v="281"/>
  </r>
  <r>
    <x v="281"/>
    <x v="5"/>
    <n v="28.91"/>
    <x v="281"/>
  </r>
  <r>
    <x v="281"/>
    <x v="6"/>
    <n v="0"/>
    <x v="281"/>
  </r>
  <r>
    <x v="281"/>
    <x v="7"/>
    <n v="31.06"/>
    <x v="281"/>
  </r>
  <r>
    <x v="281"/>
    <x v="8"/>
    <n v="0"/>
    <x v="281"/>
  </r>
  <r>
    <x v="281"/>
    <x v="9"/>
    <n v="45.32"/>
    <x v="281"/>
  </r>
  <r>
    <x v="281"/>
    <x v="10"/>
    <n v="2.1800000000000002"/>
    <x v="281"/>
  </r>
  <r>
    <x v="281"/>
    <x v="11"/>
    <n v="15.17"/>
    <x v="281"/>
  </r>
  <r>
    <x v="281"/>
    <x v="12"/>
    <n v="0"/>
    <x v="281"/>
  </r>
  <r>
    <x v="281"/>
    <x v="13"/>
    <n v="0"/>
    <x v="281"/>
  </r>
  <r>
    <x v="281"/>
    <x v="14"/>
    <n v="17.2"/>
    <x v="281"/>
  </r>
  <r>
    <x v="281"/>
    <x v="15"/>
    <n v="13.63"/>
    <x v="281"/>
  </r>
  <r>
    <x v="282"/>
    <x v="0"/>
    <n v="0"/>
    <x v="282"/>
  </r>
  <r>
    <x v="282"/>
    <x v="1"/>
    <n v="165.14"/>
    <x v="282"/>
  </r>
  <r>
    <x v="282"/>
    <x v="2"/>
    <n v="0"/>
    <x v="282"/>
  </r>
  <r>
    <x v="282"/>
    <x v="3"/>
    <n v="53.2"/>
    <x v="282"/>
  </r>
  <r>
    <x v="282"/>
    <x v="4"/>
    <n v="0"/>
    <x v="282"/>
  </r>
  <r>
    <x v="282"/>
    <x v="5"/>
    <n v="105.2"/>
    <x v="282"/>
  </r>
  <r>
    <x v="282"/>
    <x v="6"/>
    <n v="0"/>
    <x v="282"/>
  </r>
  <r>
    <x v="282"/>
    <x v="7"/>
    <n v="115.4"/>
    <x v="282"/>
  </r>
  <r>
    <x v="282"/>
    <x v="8"/>
    <n v="0"/>
    <x v="282"/>
  </r>
  <r>
    <x v="282"/>
    <x v="9"/>
    <n v="146.34"/>
    <x v="282"/>
  </r>
  <r>
    <x v="282"/>
    <x v="10"/>
    <n v="8.09"/>
    <x v="282"/>
  </r>
  <r>
    <x v="282"/>
    <x v="11"/>
    <n v="31.05"/>
    <x v="282"/>
  </r>
  <r>
    <x v="282"/>
    <x v="12"/>
    <n v="0"/>
    <x v="282"/>
  </r>
  <r>
    <x v="282"/>
    <x v="13"/>
    <n v="0"/>
    <x v="282"/>
  </r>
  <r>
    <x v="282"/>
    <x v="14"/>
    <n v="0"/>
    <x v="282"/>
  </r>
  <r>
    <x v="282"/>
    <x v="15"/>
    <n v="41.4"/>
    <x v="282"/>
  </r>
  <r>
    <x v="283"/>
    <x v="0"/>
    <n v="0"/>
    <x v="283"/>
  </r>
  <r>
    <x v="283"/>
    <x v="1"/>
    <n v="56.4"/>
    <x v="283"/>
  </r>
  <r>
    <x v="283"/>
    <x v="2"/>
    <n v="0"/>
    <x v="283"/>
  </r>
  <r>
    <x v="283"/>
    <x v="3"/>
    <n v="8.8000000000000007"/>
    <x v="283"/>
  </r>
  <r>
    <x v="283"/>
    <x v="4"/>
    <n v="0"/>
    <x v="283"/>
  </r>
  <r>
    <x v="283"/>
    <x v="5"/>
    <n v="28.6"/>
    <x v="283"/>
  </r>
  <r>
    <x v="283"/>
    <x v="6"/>
    <n v="0"/>
    <x v="283"/>
  </r>
  <r>
    <x v="283"/>
    <x v="7"/>
    <n v="28"/>
    <x v="283"/>
  </r>
  <r>
    <x v="283"/>
    <x v="8"/>
    <n v="0"/>
    <x v="283"/>
  </r>
  <r>
    <x v="283"/>
    <x v="9"/>
    <n v="68.2"/>
    <x v="283"/>
  </r>
  <r>
    <x v="283"/>
    <x v="10"/>
    <n v="0"/>
    <x v="283"/>
  </r>
  <r>
    <x v="283"/>
    <x v="11"/>
    <n v="0.38"/>
    <x v="283"/>
  </r>
  <r>
    <x v="283"/>
    <x v="12"/>
    <n v="0"/>
    <x v="283"/>
  </r>
  <r>
    <x v="283"/>
    <x v="13"/>
    <n v="0"/>
    <x v="283"/>
  </r>
  <r>
    <x v="283"/>
    <x v="14"/>
    <n v="0"/>
    <x v="283"/>
  </r>
  <r>
    <x v="283"/>
    <x v="15"/>
    <n v="14.2"/>
    <x v="283"/>
  </r>
  <r>
    <x v="284"/>
    <x v="0"/>
    <n v="0"/>
    <x v="284"/>
  </r>
  <r>
    <x v="284"/>
    <x v="1"/>
    <n v="609.6"/>
    <x v="284"/>
  </r>
  <r>
    <x v="284"/>
    <x v="2"/>
    <n v="0"/>
    <x v="284"/>
  </r>
  <r>
    <x v="284"/>
    <x v="3"/>
    <n v="186.6"/>
    <x v="284"/>
  </r>
  <r>
    <x v="284"/>
    <x v="4"/>
    <n v="0"/>
    <x v="284"/>
  </r>
  <r>
    <x v="284"/>
    <x v="5"/>
    <n v="436.82"/>
    <x v="284"/>
  </r>
  <r>
    <x v="284"/>
    <x v="6"/>
    <n v="0"/>
    <x v="284"/>
  </r>
  <r>
    <x v="284"/>
    <x v="7"/>
    <n v="416.44"/>
    <x v="284"/>
  </r>
  <r>
    <x v="284"/>
    <x v="8"/>
    <n v="0"/>
    <x v="284"/>
  </r>
  <r>
    <x v="284"/>
    <x v="9"/>
    <n v="779.04"/>
    <x v="284"/>
  </r>
  <r>
    <x v="284"/>
    <x v="10"/>
    <n v="13.77"/>
    <x v="284"/>
  </r>
  <r>
    <x v="284"/>
    <x v="11"/>
    <n v="165.51"/>
    <x v="284"/>
  </r>
  <r>
    <x v="284"/>
    <x v="12"/>
    <n v="0"/>
    <x v="284"/>
  </r>
  <r>
    <x v="284"/>
    <x v="13"/>
    <n v="0"/>
    <x v="284"/>
  </r>
  <r>
    <x v="284"/>
    <x v="14"/>
    <n v="0"/>
    <x v="284"/>
  </r>
  <r>
    <x v="284"/>
    <x v="15"/>
    <n v="189.8"/>
    <x v="284"/>
  </r>
  <r>
    <x v="285"/>
    <x v="0"/>
    <n v="0"/>
    <x v="285"/>
  </r>
  <r>
    <x v="285"/>
    <x v="1"/>
    <n v="1363.09"/>
    <x v="285"/>
  </r>
  <r>
    <x v="285"/>
    <x v="2"/>
    <n v="0"/>
    <x v="285"/>
  </r>
  <r>
    <x v="285"/>
    <x v="3"/>
    <n v="441.62"/>
    <x v="285"/>
  </r>
  <r>
    <x v="285"/>
    <x v="4"/>
    <n v="0"/>
    <x v="285"/>
  </r>
  <r>
    <x v="285"/>
    <x v="5"/>
    <n v="931.8"/>
    <x v="285"/>
  </r>
  <r>
    <x v="285"/>
    <x v="6"/>
    <n v="0"/>
    <x v="285"/>
  </r>
  <r>
    <x v="285"/>
    <x v="7"/>
    <n v="961.13"/>
    <x v="285"/>
  </r>
  <r>
    <x v="285"/>
    <x v="8"/>
    <n v="0"/>
    <x v="285"/>
  </r>
  <r>
    <x v="285"/>
    <x v="9"/>
    <n v="2112.98"/>
    <x v="285"/>
  </r>
  <r>
    <x v="285"/>
    <x v="10"/>
    <n v="183.59"/>
    <x v="285"/>
  </r>
  <r>
    <x v="285"/>
    <x v="11"/>
    <n v="407.65"/>
    <x v="285"/>
  </r>
  <r>
    <x v="285"/>
    <x v="12"/>
    <n v="0"/>
    <x v="285"/>
  </r>
  <r>
    <x v="285"/>
    <x v="13"/>
    <n v="518.85"/>
    <x v="285"/>
  </r>
  <r>
    <x v="285"/>
    <x v="14"/>
    <n v="5.6"/>
    <x v="285"/>
  </r>
  <r>
    <x v="285"/>
    <x v="15"/>
    <n v="417.56"/>
    <x v="285"/>
  </r>
  <r>
    <x v="286"/>
    <x v="0"/>
    <n v="0"/>
    <x v="286"/>
  </r>
  <r>
    <x v="286"/>
    <x v="1"/>
    <n v="172.2"/>
    <x v="286"/>
  </r>
  <r>
    <x v="286"/>
    <x v="2"/>
    <n v="0"/>
    <x v="286"/>
  </r>
  <r>
    <x v="286"/>
    <x v="3"/>
    <n v="54.6"/>
    <x v="286"/>
  </r>
  <r>
    <x v="286"/>
    <x v="4"/>
    <n v="0"/>
    <x v="286"/>
  </r>
  <r>
    <x v="286"/>
    <x v="5"/>
    <n v="135"/>
    <x v="286"/>
  </r>
  <r>
    <x v="286"/>
    <x v="6"/>
    <n v="0"/>
    <x v="286"/>
  </r>
  <r>
    <x v="286"/>
    <x v="7"/>
    <n v="115.2"/>
    <x v="286"/>
  </r>
  <r>
    <x v="286"/>
    <x v="8"/>
    <n v="0"/>
    <x v="286"/>
  </r>
  <r>
    <x v="286"/>
    <x v="9"/>
    <n v="0"/>
    <x v="286"/>
  </r>
  <r>
    <x v="286"/>
    <x v="10"/>
    <n v="0"/>
    <x v="286"/>
  </r>
  <r>
    <x v="286"/>
    <x v="11"/>
    <n v="0"/>
    <x v="286"/>
  </r>
  <r>
    <x v="286"/>
    <x v="12"/>
    <n v="0"/>
    <x v="286"/>
  </r>
  <r>
    <x v="286"/>
    <x v="13"/>
    <n v="0"/>
    <x v="286"/>
  </r>
  <r>
    <x v="286"/>
    <x v="14"/>
    <n v="16.600000000000001"/>
    <x v="286"/>
  </r>
  <r>
    <x v="286"/>
    <x v="15"/>
    <n v="48.8"/>
    <x v="286"/>
  </r>
  <r>
    <x v="287"/>
    <x v="0"/>
    <n v="0"/>
    <x v="287"/>
  </r>
  <r>
    <x v="287"/>
    <x v="1"/>
    <n v="1216.17"/>
    <x v="287"/>
  </r>
  <r>
    <x v="287"/>
    <x v="2"/>
    <n v="0"/>
    <x v="287"/>
  </r>
  <r>
    <x v="287"/>
    <x v="3"/>
    <n v="403.6"/>
    <x v="287"/>
  </r>
  <r>
    <x v="287"/>
    <x v="4"/>
    <n v="0"/>
    <x v="287"/>
  </r>
  <r>
    <x v="287"/>
    <x v="5"/>
    <n v="867.54"/>
    <x v="287"/>
  </r>
  <r>
    <x v="287"/>
    <x v="6"/>
    <n v="0"/>
    <x v="287"/>
  </r>
  <r>
    <x v="287"/>
    <x v="7"/>
    <n v="954.75"/>
    <x v="287"/>
  </r>
  <r>
    <x v="287"/>
    <x v="8"/>
    <n v="0"/>
    <x v="287"/>
  </r>
  <r>
    <x v="287"/>
    <x v="9"/>
    <n v="1509.72"/>
    <x v="287"/>
  </r>
  <r>
    <x v="287"/>
    <x v="10"/>
    <n v="0"/>
    <x v="287"/>
  </r>
  <r>
    <x v="287"/>
    <x v="11"/>
    <n v="302.69"/>
    <x v="287"/>
  </r>
  <r>
    <x v="287"/>
    <x v="12"/>
    <n v="0"/>
    <x v="287"/>
  </r>
  <r>
    <x v="287"/>
    <x v="13"/>
    <n v="0"/>
    <x v="287"/>
  </r>
  <r>
    <x v="287"/>
    <x v="14"/>
    <n v="29.4"/>
    <x v="287"/>
  </r>
  <r>
    <x v="287"/>
    <x v="15"/>
    <n v="371.89"/>
    <x v="287"/>
  </r>
  <r>
    <x v="288"/>
    <x v="0"/>
    <n v="0"/>
    <x v="288"/>
  </r>
  <r>
    <x v="288"/>
    <x v="1"/>
    <n v="66.400000000000006"/>
    <x v="288"/>
  </r>
  <r>
    <x v="288"/>
    <x v="2"/>
    <n v="0"/>
    <x v="288"/>
  </r>
  <r>
    <x v="288"/>
    <x v="3"/>
    <n v="17"/>
    <x v="288"/>
  </r>
  <r>
    <x v="288"/>
    <x v="4"/>
    <n v="0"/>
    <x v="288"/>
  </r>
  <r>
    <x v="288"/>
    <x v="5"/>
    <n v="35.4"/>
    <x v="288"/>
  </r>
  <r>
    <x v="288"/>
    <x v="6"/>
    <n v="0"/>
    <x v="288"/>
  </r>
  <r>
    <x v="288"/>
    <x v="7"/>
    <n v="27.31"/>
    <x v="288"/>
  </r>
  <r>
    <x v="288"/>
    <x v="8"/>
    <n v="0"/>
    <x v="288"/>
  </r>
  <r>
    <x v="288"/>
    <x v="9"/>
    <n v="21.66"/>
    <x v="288"/>
  </r>
  <r>
    <x v="288"/>
    <x v="10"/>
    <n v="0"/>
    <x v="288"/>
  </r>
  <r>
    <x v="288"/>
    <x v="11"/>
    <n v="0"/>
    <x v="288"/>
  </r>
  <r>
    <x v="288"/>
    <x v="12"/>
    <n v="0"/>
    <x v="288"/>
  </r>
  <r>
    <x v="288"/>
    <x v="13"/>
    <n v="0"/>
    <x v="288"/>
  </r>
  <r>
    <x v="288"/>
    <x v="14"/>
    <n v="14"/>
    <x v="288"/>
  </r>
  <r>
    <x v="288"/>
    <x v="15"/>
    <n v="16.600000000000001"/>
    <x v="288"/>
  </r>
  <r>
    <x v="289"/>
    <x v="0"/>
    <n v="0"/>
    <x v="289"/>
  </r>
  <r>
    <x v="289"/>
    <x v="1"/>
    <n v="4585.93"/>
    <x v="289"/>
  </r>
  <r>
    <x v="289"/>
    <x v="2"/>
    <n v="0"/>
    <x v="289"/>
  </r>
  <r>
    <x v="289"/>
    <x v="3"/>
    <n v="1573.49"/>
    <x v="289"/>
  </r>
  <r>
    <x v="289"/>
    <x v="4"/>
    <n v="0"/>
    <x v="289"/>
  </r>
  <r>
    <x v="289"/>
    <x v="5"/>
    <n v="3211.46"/>
    <x v="289"/>
  </r>
  <r>
    <x v="289"/>
    <x v="6"/>
    <n v="0"/>
    <x v="289"/>
  </r>
  <r>
    <x v="289"/>
    <x v="7"/>
    <n v="3087.66"/>
    <x v="289"/>
  </r>
  <r>
    <x v="289"/>
    <x v="8"/>
    <n v="0"/>
    <x v="289"/>
  </r>
  <r>
    <x v="289"/>
    <x v="9"/>
    <n v="5924.58"/>
    <x v="289"/>
  </r>
  <r>
    <x v="289"/>
    <x v="10"/>
    <n v="329.69"/>
    <x v="289"/>
  </r>
  <r>
    <x v="289"/>
    <x v="11"/>
    <n v="1701.22"/>
    <x v="289"/>
  </r>
  <r>
    <x v="289"/>
    <x v="12"/>
    <n v="0"/>
    <x v="289"/>
  </r>
  <r>
    <x v="289"/>
    <x v="13"/>
    <n v="0"/>
    <x v="289"/>
  </r>
  <r>
    <x v="289"/>
    <x v="14"/>
    <n v="228.75"/>
    <x v="289"/>
  </r>
  <r>
    <x v="289"/>
    <x v="15"/>
    <n v="1427.17"/>
    <x v="289"/>
  </r>
  <r>
    <x v="290"/>
    <x v="0"/>
    <n v="0"/>
    <x v="290"/>
  </r>
  <r>
    <x v="290"/>
    <x v="1"/>
    <n v="203.32"/>
    <x v="290"/>
  </r>
  <r>
    <x v="290"/>
    <x v="2"/>
    <n v="0"/>
    <x v="290"/>
  </r>
  <r>
    <x v="290"/>
    <x v="3"/>
    <n v="78.94"/>
    <x v="290"/>
  </r>
  <r>
    <x v="290"/>
    <x v="4"/>
    <n v="0"/>
    <x v="290"/>
  </r>
  <r>
    <x v="290"/>
    <x v="5"/>
    <n v="209.18"/>
    <x v="290"/>
  </r>
  <r>
    <x v="290"/>
    <x v="6"/>
    <n v="0"/>
    <x v="290"/>
  </r>
  <r>
    <x v="290"/>
    <x v="7"/>
    <n v="247.84"/>
    <x v="290"/>
  </r>
  <r>
    <x v="290"/>
    <x v="8"/>
    <n v="0"/>
    <x v="290"/>
  </r>
  <r>
    <x v="290"/>
    <x v="9"/>
    <n v="473.87"/>
    <x v="290"/>
  </r>
  <r>
    <x v="290"/>
    <x v="10"/>
    <n v="51.05"/>
    <x v="290"/>
  </r>
  <r>
    <x v="290"/>
    <x v="11"/>
    <n v="90.05"/>
    <x v="290"/>
  </r>
  <r>
    <x v="290"/>
    <x v="12"/>
    <n v="0"/>
    <x v="290"/>
  </r>
  <r>
    <x v="290"/>
    <x v="13"/>
    <n v="0"/>
    <x v="290"/>
  </r>
  <r>
    <x v="290"/>
    <x v="14"/>
    <n v="0"/>
    <x v="290"/>
  </r>
  <r>
    <x v="290"/>
    <x v="15"/>
    <n v="70.64"/>
    <x v="290"/>
  </r>
  <r>
    <x v="291"/>
    <x v="0"/>
    <n v="0"/>
    <x v="291"/>
  </r>
  <r>
    <x v="291"/>
    <x v="1"/>
    <n v="51.2"/>
    <x v="291"/>
  </r>
  <r>
    <x v="291"/>
    <x v="2"/>
    <n v="0"/>
    <x v="291"/>
  </r>
  <r>
    <x v="291"/>
    <x v="3"/>
    <n v="16.600000000000001"/>
    <x v="291"/>
  </r>
  <r>
    <x v="291"/>
    <x v="4"/>
    <n v="0"/>
    <x v="291"/>
  </r>
  <r>
    <x v="291"/>
    <x v="5"/>
    <n v="25.8"/>
    <x v="291"/>
  </r>
  <r>
    <x v="291"/>
    <x v="6"/>
    <n v="0"/>
    <x v="291"/>
  </r>
  <r>
    <x v="291"/>
    <x v="7"/>
    <n v="24.2"/>
    <x v="291"/>
  </r>
  <r>
    <x v="291"/>
    <x v="8"/>
    <n v="0"/>
    <x v="291"/>
  </r>
  <r>
    <x v="291"/>
    <x v="9"/>
    <n v="0"/>
    <x v="291"/>
  </r>
  <r>
    <x v="291"/>
    <x v="10"/>
    <n v="0"/>
    <x v="291"/>
  </r>
  <r>
    <x v="291"/>
    <x v="11"/>
    <n v="0"/>
    <x v="291"/>
  </r>
  <r>
    <x v="291"/>
    <x v="12"/>
    <n v="0"/>
    <x v="291"/>
  </r>
  <r>
    <x v="291"/>
    <x v="13"/>
    <n v="0"/>
    <x v="291"/>
  </r>
  <r>
    <x v="291"/>
    <x v="14"/>
    <n v="0"/>
    <x v="291"/>
  </r>
  <r>
    <x v="291"/>
    <x v="15"/>
    <n v="14.6"/>
    <x v="291"/>
  </r>
  <r>
    <x v="292"/>
    <x v="0"/>
    <n v="0"/>
    <x v="292"/>
  </r>
  <r>
    <x v="292"/>
    <x v="1"/>
    <n v="89.04"/>
    <x v="292"/>
  </r>
  <r>
    <x v="292"/>
    <x v="2"/>
    <n v="0"/>
    <x v="292"/>
  </r>
  <r>
    <x v="292"/>
    <x v="3"/>
    <n v="24.8"/>
    <x v="292"/>
  </r>
  <r>
    <x v="292"/>
    <x v="4"/>
    <n v="0"/>
    <x v="292"/>
  </r>
  <r>
    <x v="292"/>
    <x v="5"/>
    <n v="77.2"/>
    <x v="292"/>
  </r>
  <r>
    <x v="292"/>
    <x v="6"/>
    <n v="0"/>
    <x v="292"/>
  </r>
  <r>
    <x v="292"/>
    <x v="7"/>
    <n v="54.99"/>
    <x v="292"/>
  </r>
  <r>
    <x v="292"/>
    <x v="8"/>
    <n v="0"/>
    <x v="292"/>
  </r>
  <r>
    <x v="292"/>
    <x v="9"/>
    <n v="108.54"/>
    <x v="292"/>
  </r>
  <r>
    <x v="292"/>
    <x v="10"/>
    <n v="2.16"/>
    <x v="292"/>
  </r>
  <r>
    <x v="292"/>
    <x v="11"/>
    <n v="25.13"/>
    <x v="292"/>
  </r>
  <r>
    <x v="292"/>
    <x v="12"/>
    <n v="0"/>
    <x v="292"/>
  </r>
  <r>
    <x v="292"/>
    <x v="13"/>
    <n v="0"/>
    <x v="292"/>
  </r>
  <r>
    <x v="292"/>
    <x v="14"/>
    <n v="0"/>
    <x v="292"/>
  </r>
  <r>
    <x v="292"/>
    <x v="15"/>
    <n v="21.8"/>
    <x v="292"/>
  </r>
  <r>
    <x v="293"/>
    <x v="0"/>
    <n v="0"/>
    <x v="293"/>
  </r>
  <r>
    <x v="293"/>
    <x v="1"/>
    <n v="469.6"/>
    <x v="293"/>
  </r>
  <r>
    <x v="293"/>
    <x v="2"/>
    <n v="0"/>
    <x v="293"/>
  </r>
  <r>
    <x v="293"/>
    <x v="3"/>
    <n v="165.8"/>
    <x v="293"/>
  </r>
  <r>
    <x v="293"/>
    <x v="4"/>
    <n v="0"/>
    <x v="293"/>
  </r>
  <r>
    <x v="293"/>
    <x v="5"/>
    <n v="311.2"/>
    <x v="293"/>
  </r>
  <r>
    <x v="293"/>
    <x v="6"/>
    <n v="0"/>
    <x v="293"/>
  </r>
  <r>
    <x v="293"/>
    <x v="7"/>
    <n v="394.4"/>
    <x v="293"/>
  </r>
  <r>
    <x v="293"/>
    <x v="8"/>
    <n v="0"/>
    <x v="293"/>
  </r>
  <r>
    <x v="293"/>
    <x v="9"/>
    <n v="697.26"/>
    <x v="293"/>
  </r>
  <r>
    <x v="293"/>
    <x v="10"/>
    <n v="59.55"/>
    <x v="293"/>
  </r>
  <r>
    <x v="293"/>
    <x v="11"/>
    <n v="194.31"/>
    <x v="293"/>
  </r>
  <r>
    <x v="293"/>
    <x v="12"/>
    <n v="0"/>
    <x v="293"/>
  </r>
  <r>
    <x v="293"/>
    <x v="13"/>
    <n v="0"/>
    <x v="293"/>
  </r>
  <r>
    <x v="293"/>
    <x v="14"/>
    <n v="37"/>
    <x v="293"/>
  </r>
  <r>
    <x v="293"/>
    <x v="15"/>
    <n v="162.19999999999999"/>
    <x v="293"/>
  </r>
  <r>
    <x v="294"/>
    <x v="0"/>
    <n v="0"/>
    <x v="294"/>
  </r>
  <r>
    <x v="294"/>
    <x v="1"/>
    <n v="64.94"/>
    <x v="294"/>
  </r>
  <r>
    <x v="294"/>
    <x v="2"/>
    <n v="0"/>
    <x v="294"/>
  </r>
  <r>
    <x v="294"/>
    <x v="3"/>
    <n v="20"/>
    <x v="294"/>
  </r>
  <r>
    <x v="294"/>
    <x v="4"/>
    <n v="0"/>
    <x v="294"/>
  </r>
  <r>
    <x v="294"/>
    <x v="5"/>
    <n v="42.22"/>
    <x v="294"/>
  </r>
  <r>
    <x v="294"/>
    <x v="6"/>
    <n v="0"/>
    <x v="294"/>
  </r>
  <r>
    <x v="294"/>
    <x v="7"/>
    <n v="47.94"/>
    <x v="294"/>
  </r>
  <r>
    <x v="294"/>
    <x v="8"/>
    <n v="0"/>
    <x v="294"/>
  </r>
  <r>
    <x v="294"/>
    <x v="9"/>
    <n v="82.11"/>
    <x v="294"/>
  </r>
  <r>
    <x v="294"/>
    <x v="10"/>
    <n v="3.28"/>
    <x v="294"/>
  </r>
  <r>
    <x v="294"/>
    <x v="11"/>
    <n v="13.17"/>
    <x v="294"/>
  </r>
  <r>
    <x v="294"/>
    <x v="12"/>
    <n v="0"/>
    <x v="294"/>
  </r>
  <r>
    <x v="294"/>
    <x v="13"/>
    <n v="0"/>
    <x v="294"/>
  </r>
  <r>
    <x v="294"/>
    <x v="14"/>
    <n v="0"/>
    <x v="294"/>
  </r>
  <r>
    <x v="294"/>
    <x v="15"/>
    <n v="17.2"/>
    <x v="294"/>
  </r>
  <r>
    <x v="295"/>
    <x v="0"/>
    <n v="0"/>
    <x v="295"/>
  </r>
  <r>
    <x v="295"/>
    <x v="1"/>
    <n v="1031.8599999999999"/>
    <x v="295"/>
  </r>
  <r>
    <x v="295"/>
    <x v="2"/>
    <n v="0"/>
    <x v="295"/>
  </r>
  <r>
    <x v="295"/>
    <x v="3"/>
    <n v="353.91"/>
    <x v="295"/>
  </r>
  <r>
    <x v="295"/>
    <x v="4"/>
    <n v="0"/>
    <x v="295"/>
  </r>
  <r>
    <x v="295"/>
    <x v="5"/>
    <n v="782.51"/>
    <x v="295"/>
  </r>
  <r>
    <x v="295"/>
    <x v="6"/>
    <n v="0"/>
    <x v="295"/>
  </r>
  <r>
    <x v="295"/>
    <x v="7"/>
    <n v="739.71"/>
    <x v="295"/>
  </r>
  <r>
    <x v="295"/>
    <x v="8"/>
    <n v="0"/>
    <x v="295"/>
  </r>
  <r>
    <x v="295"/>
    <x v="9"/>
    <n v="1427.23"/>
    <x v="295"/>
  </r>
  <r>
    <x v="295"/>
    <x v="10"/>
    <n v="55.57"/>
    <x v="295"/>
  </r>
  <r>
    <x v="295"/>
    <x v="11"/>
    <n v="262.7"/>
    <x v="295"/>
  </r>
  <r>
    <x v="295"/>
    <x v="12"/>
    <n v="0"/>
    <x v="295"/>
  </r>
  <r>
    <x v="295"/>
    <x v="13"/>
    <n v="115.6"/>
    <x v="295"/>
  </r>
  <r>
    <x v="295"/>
    <x v="14"/>
    <n v="85.83"/>
    <x v="295"/>
  </r>
  <r>
    <x v="295"/>
    <x v="15"/>
    <n v="305.33999999999997"/>
    <x v="295"/>
  </r>
  <r>
    <x v="296"/>
    <x v="0"/>
    <n v="0"/>
    <x v="296"/>
  </r>
  <r>
    <x v="296"/>
    <x v="1"/>
    <n v="676.2"/>
    <x v="296"/>
  </r>
  <r>
    <x v="296"/>
    <x v="2"/>
    <n v="0"/>
    <x v="296"/>
  </r>
  <r>
    <x v="296"/>
    <x v="3"/>
    <n v="208.6"/>
    <x v="296"/>
  </r>
  <r>
    <x v="296"/>
    <x v="4"/>
    <n v="0"/>
    <x v="296"/>
  </r>
  <r>
    <x v="296"/>
    <x v="5"/>
    <n v="505.2"/>
    <x v="296"/>
  </r>
  <r>
    <x v="296"/>
    <x v="6"/>
    <n v="0"/>
    <x v="296"/>
  </r>
  <r>
    <x v="296"/>
    <x v="7"/>
    <n v="462"/>
    <x v="296"/>
  </r>
  <r>
    <x v="296"/>
    <x v="8"/>
    <n v="0"/>
    <x v="296"/>
  </r>
  <r>
    <x v="296"/>
    <x v="9"/>
    <n v="883.32"/>
    <x v="296"/>
  </r>
  <r>
    <x v="296"/>
    <x v="10"/>
    <n v="58.61"/>
    <x v="296"/>
  </r>
  <r>
    <x v="296"/>
    <x v="11"/>
    <n v="249.4"/>
    <x v="296"/>
  </r>
  <r>
    <x v="296"/>
    <x v="12"/>
    <n v="0"/>
    <x v="296"/>
  </r>
  <r>
    <x v="296"/>
    <x v="13"/>
    <n v="0"/>
    <x v="296"/>
  </r>
  <r>
    <x v="296"/>
    <x v="14"/>
    <n v="91.6"/>
    <x v="296"/>
  </r>
  <r>
    <x v="296"/>
    <x v="15"/>
    <n v="220"/>
    <x v="296"/>
  </r>
  <r>
    <x v="297"/>
    <x v="0"/>
    <n v="0"/>
    <x v="297"/>
  </r>
  <r>
    <x v="297"/>
    <x v="1"/>
    <n v="194.85"/>
    <x v="297"/>
  </r>
  <r>
    <x v="297"/>
    <x v="2"/>
    <n v="0"/>
    <x v="297"/>
  </r>
  <r>
    <x v="297"/>
    <x v="3"/>
    <n v="63.4"/>
    <x v="297"/>
  </r>
  <r>
    <x v="297"/>
    <x v="4"/>
    <n v="0"/>
    <x v="297"/>
  </r>
  <r>
    <x v="297"/>
    <x v="5"/>
    <n v="133.75"/>
    <x v="297"/>
  </r>
  <r>
    <x v="297"/>
    <x v="6"/>
    <n v="0"/>
    <x v="297"/>
  </r>
  <r>
    <x v="297"/>
    <x v="7"/>
    <n v="159"/>
    <x v="297"/>
  </r>
  <r>
    <x v="297"/>
    <x v="8"/>
    <n v="0"/>
    <x v="297"/>
  </r>
  <r>
    <x v="297"/>
    <x v="9"/>
    <n v="251.79"/>
    <x v="297"/>
  </r>
  <r>
    <x v="297"/>
    <x v="10"/>
    <n v="9.36"/>
    <x v="297"/>
  </r>
  <r>
    <x v="297"/>
    <x v="11"/>
    <n v="54.87"/>
    <x v="297"/>
  </r>
  <r>
    <x v="297"/>
    <x v="12"/>
    <n v="0"/>
    <x v="297"/>
  </r>
  <r>
    <x v="297"/>
    <x v="13"/>
    <n v="0"/>
    <x v="297"/>
  </r>
  <r>
    <x v="297"/>
    <x v="14"/>
    <n v="0"/>
    <x v="297"/>
  </r>
  <r>
    <x v="297"/>
    <x v="15"/>
    <n v="61.8"/>
    <x v="297"/>
  </r>
  <r>
    <x v="298"/>
    <x v="0"/>
    <n v="0"/>
    <x v="298"/>
  </r>
  <r>
    <x v="298"/>
    <x v="1"/>
    <n v="532.38"/>
    <x v="298"/>
  </r>
  <r>
    <x v="298"/>
    <x v="2"/>
    <n v="0"/>
    <x v="298"/>
  </r>
  <r>
    <x v="298"/>
    <x v="3"/>
    <n v="186.03"/>
    <x v="298"/>
  </r>
  <r>
    <x v="298"/>
    <x v="4"/>
    <n v="0"/>
    <x v="298"/>
  </r>
  <r>
    <x v="298"/>
    <x v="5"/>
    <n v="371.57"/>
    <x v="298"/>
  </r>
  <r>
    <x v="298"/>
    <x v="6"/>
    <n v="0"/>
    <x v="298"/>
  </r>
  <r>
    <x v="298"/>
    <x v="7"/>
    <n v="389.54"/>
    <x v="298"/>
  </r>
  <r>
    <x v="298"/>
    <x v="8"/>
    <n v="0"/>
    <x v="298"/>
  </r>
  <r>
    <x v="298"/>
    <x v="9"/>
    <n v="796.53"/>
    <x v="298"/>
  </r>
  <r>
    <x v="298"/>
    <x v="10"/>
    <n v="37.71"/>
    <x v="298"/>
  </r>
  <r>
    <x v="298"/>
    <x v="11"/>
    <n v="192.94"/>
    <x v="298"/>
  </r>
  <r>
    <x v="298"/>
    <x v="12"/>
    <n v="0"/>
    <x v="298"/>
  </r>
  <r>
    <x v="298"/>
    <x v="13"/>
    <n v="0"/>
    <x v="298"/>
  </r>
  <r>
    <x v="298"/>
    <x v="14"/>
    <n v="79.56"/>
    <x v="298"/>
  </r>
  <r>
    <x v="298"/>
    <x v="15"/>
    <n v="175.6"/>
    <x v="298"/>
  </r>
  <r>
    <x v="299"/>
    <x v="0"/>
    <n v="0"/>
    <x v="299"/>
  </r>
  <r>
    <x v="299"/>
    <x v="1"/>
    <n v="11.4"/>
    <x v="299"/>
  </r>
  <r>
    <x v="299"/>
    <x v="2"/>
    <n v="0"/>
    <x v="299"/>
  </r>
  <r>
    <x v="299"/>
    <x v="3"/>
    <n v="2"/>
    <x v="299"/>
  </r>
  <r>
    <x v="299"/>
    <x v="4"/>
    <n v="0"/>
    <x v="299"/>
  </r>
  <r>
    <x v="299"/>
    <x v="5"/>
    <n v="10.4"/>
    <x v="299"/>
  </r>
  <r>
    <x v="299"/>
    <x v="6"/>
    <n v="0"/>
    <x v="299"/>
  </r>
  <r>
    <x v="299"/>
    <x v="7"/>
    <n v="9.43"/>
    <x v="299"/>
  </r>
  <r>
    <x v="299"/>
    <x v="8"/>
    <n v="0"/>
    <x v="299"/>
  </r>
  <r>
    <x v="299"/>
    <x v="9"/>
    <n v="20.84"/>
    <x v="299"/>
  </r>
  <r>
    <x v="299"/>
    <x v="10"/>
    <n v="0.3"/>
    <x v="299"/>
  </r>
  <r>
    <x v="299"/>
    <x v="11"/>
    <n v="3.38"/>
    <x v="299"/>
  </r>
  <r>
    <x v="299"/>
    <x v="12"/>
    <n v="0"/>
    <x v="299"/>
  </r>
  <r>
    <x v="299"/>
    <x v="13"/>
    <n v="0"/>
    <x v="299"/>
  </r>
  <r>
    <x v="299"/>
    <x v="14"/>
    <n v="0"/>
    <x v="299"/>
  </r>
  <r>
    <x v="299"/>
    <x v="15"/>
    <n v="3"/>
    <x v="299"/>
  </r>
  <r>
    <x v="300"/>
    <x v="0"/>
    <n v="0"/>
    <x v="300"/>
  </r>
  <r>
    <x v="300"/>
    <x v="1"/>
    <n v="63.8"/>
    <x v="300"/>
  </r>
  <r>
    <x v="300"/>
    <x v="2"/>
    <n v="0"/>
    <x v="300"/>
  </r>
  <r>
    <x v="300"/>
    <x v="3"/>
    <n v="10.4"/>
    <x v="300"/>
  </r>
  <r>
    <x v="300"/>
    <x v="4"/>
    <n v="0"/>
    <x v="300"/>
  </r>
  <r>
    <x v="300"/>
    <x v="5"/>
    <n v="32"/>
    <x v="300"/>
  </r>
  <r>
    <x v="300"/>
    <x v="6"/>
    <n v="0"/>
    <x v="300"/>
  </r>
  <r>
    <x v="300"/>
    <x v="7"/>
    <n v="43.6"/>
    <x v="300"/>
  </r>
  <r>
    <x v="300"/>
    <x v="8"/>
    <n v="0"/>
    <x v="300"/>
  </r>
  <r>
    <x v="300"/>
    <x v="9"/>
    <n v="68.45"/>
    <x v="300"/>
  </r>
  <r>
    <x v="300"/>
    <x v="10"/>
    <n v="10.220000000000001"/>
    <x v="300"/>
  </r>
  <r>
    <x v="300"/>
    <x v="11"/>
    <n v="20.61"/>
    <x v="300"/>
  </r>
  <r>
    <x v="300"/>
    <x v="12"/>
    <n v="0"/>
    <x v="300"/>
  </r>
  <r>
    <x v="300"/>
    <x v="13"/>
    <n v="0"/>
    <x v="300"/>
  </r>
  <r>
    <x v="300"/>
    <x v="14"/>
    <n v="17.899999999999999"/>
    <x v="300"/>
  </r>
  <r>
    <x v="300"/>
    <x v="15"/>
    <n v="17"/>
    <x v="300"/>
  </r>
  <r>
    <x v="301"/>
    <x v="0"/>
    <n v="0"/>
    <x v="301"/>
  </r>
  <r>
    <x v="301"/>
    <x v="1"/>
    <n v="65.2"/>
    <x v="301"/>
  </r>
  <r>
    <x v="301"/>
    <x v="2"/>
    <n v="0"/>
    <x v="301"/>
  </r>
  <r>
    <x v="301"/>
    <x v="3"/>
    <n v="31.4"/>
    <x v="301"/>
  </r>
  <r>
    <x v="301"/>
    <x v="4"/>
    <n v="0"/>
    <x v="301"/>
  </r>
  <r>
    <x v="301"/>
    <x v="5"/>
    <n v="48.2"/>
    <x v="301"/>
  </r>
  <r>
    <x v="301"/>
    <x v="6"/>
    <n v="0"/>
    <x v="301"/>
  </r>
  <r>
    <x v="301"/>
    <x v="7"/>
    <n v="56.6"/>
    <x v="301"/>
  </r>
  <r>
    <x v="301"/>
    <x v="8"/>
    <n v="0"/>
    <x v="301"/>
  </r>
  <r>
    <x v="301"/>
    <x v="9"/>
    <n v="101.58"/>
    <x v="301"/>
  </r>
  <r>
    <x v="301"/>
    <x v="10"/>
    <n v="0"/>
    <x v="301"/>
  </r>
  <r>
    <x v="301"/>
    <x v="11"/>
    <n v="13.98"/>
    <x v="301"/>
  </r>
  <r>
    <x v="301"/>
    <x v="12"/>
    <n v="0"/>
    <x v="301"/>
  </r>
  <r>
    <x v="301"/>
    <x v="13"/>
    <n v="0"/>
    <x v="301"/>
  </r>
  <r>
    <x v="301"/>
    <x v="14"/>
    <n v="0"/>
    <x v="301"/>
  </r>
  <r>
    <x v="301"/>
    <x v="15"/>
    <n v="18.600000000000001"/>
    <x v="301"/>
  </r>
  <r>
    <x v="302"/>
    <x v="0"/>
    <n v="0"/>
    <x v="302"/>
  </r>
  <r>
    <x v="302"/>
    <x v="1"/>
    <n v="1374.71"/>
    <x v="302"/>
  </r>
  <r>
    <x v="302"/>
    <x v="2"/>
    <n v="0"/>
    <x v="302"/>
  </r>
  <r>
    <x v="302"/>
    <x v="3"/>
    <n v="457.03"/>
    <x v="302"/>
  </r>
  <r>
    <x v="302"/>
    <x v="4"/>
    <n v="0"/>
    <x v="302"/>
  </r>
  <r>
    <x v="302"/>
    <x v="5"/>
    <n v="931.3"/>
    <x v="302"/>
  </r>
  <r>
    <x v="302"/>
    <x v="6"/>
    <n v="0"/>
    <x v="302"/>
  </r>
  <r>
    <x v="302"/>
    <x v="7"/>
    <n v="989.2"/>
    <x v="302"/>
  </r>
  <r>
    <x v="302"/>
    <x v="8"/>
    <n v="0"/>
    <x v="302"/>
  </r>
  <r>
    <x v="302"/>
    <x v="9"/>
    <n v="2000.02"/>
    <x v="302"/>
  </r>
  <r>
    <x v="302"/>
    <x v="10"/>
    <n v="293.13"/>
    <x v="302"/>
  </r>
  <r>
    <x v="302"/>
    <x v="11"/>
    <n v="677.28"/>
    <x v="302"/>
  </r>
  <r>
    <x v="302"/>
    <x v="12"/>
    <n v="0"/>
    <x v="302"/>
  </r>
  <r>
    <x v="302"/>
    <x v="13"/>
    <n v="193.33"/>
    <x v="302"/>
  </r>
  <r>
    <x v="302"/>
    <x v="14"/>
    <n v="60"/>
    <x v="302"/>
  </r>
  <r>
    <x v="302"/>
    <x v="15"/>
    <n v="419.4"/>
    <x v="302"/>
  </r>
  <r>
    <x v="303"/>
    <x v="0"/>
    <n v="0"/>
    <x v="303"/>
  </r>
  <r>
    <x v="303"/>
    <x v="1"/>
    <n v="627.73"/>
    <x v="303"/>
  </r>
  <r>
    <x v="303"/>
    <x v="2"/>
    <n v="0"/>
    <x v="303"/>
  </r>
  <r>
    <x v="303"/>
    <x v="3"/>
    <n v="207.3"/>
    <x v="303"/>
  </r>
  <r>
    <x v="303"/>
    <x v="4"/>
    <n v="0"/>
    <x v="303"/>
  </r>
  <r>
    <x v="303"/>
    <x v="5"/>
    <n v="391.21"/>
    <x v="303"/>
  </r>
  <r>
    <x v="303"/>
    <x v="6"/>
    <n v="0"/>
    <x v="303"/>
  </r>
  <r>
    <x v="303"/>
    <x v="7"/>
    <n v="353.14"/>
    <x v="303"/>
  </r>
  <r>
    <x v="303"/>
    <x v="8"/>
    <n v="0"/>
    <x v="303"/>
  </r>
  <r>
    <x v="303"/>
    <x v="9"/>
    <n v="768.77"/>
    <x v="303"/>
  </r>
  <r>
    <x v="303"/>
    <x v="10"/>
    <n v="99.54"/>
    <x v="303"/>
  </r>
  <r>
    <x v="303"/>
    <x v="11"/>
    <n v="152.47999999999999"/>
    <x v="303"/>
  </r>
  <r>
    <x v="303"/>
    <x v="12"/>
    <n v="0"/>
    <x v="303"/>
  </r>
  <r>
    <x v="303"/>
    <x v="13"/>
    <n v="0"/>
    <x v="303"/>
  </r>
  <r>
    <x v="303"/>
    <x v="14"/>
    <n v="0"/>
    <x v="303"/>
  </r>
  <r>
    <x v="303"/>
    <x v="15"/>
    <n v="197.26"/>
    <x v="303"/>
  </r>
  <r>
    <x v="304"/>
    <x v="0"/>
    <n v="0"/>
    <x v="304"/>
  </r>
  <r>
    <x v="304"/>
    <x v="1"/>
    <n v="1156.76"/>
    <x v="304"/>
  </r>
  <r>
    <x v="304"/>
    <x v="2"/>
    <n v="0"/>
    <x v="304"/>
  </r>
  <r>
    <x v="304"/>
    <x v="3"/>
    <n v="385.31"/>
    <x v="304"/>
  </r>
  <r>
    <x v="304"/>
    <x v="4"/>
    <n v="0"/>
    <x v="304"/>
  </r>
  <r>
    <x v="304"/>
    <x v="5"/>
    <n v="832.93"/>
    <x v="304"/>
  </r>
  <r>
    <x v="304"/>
    <x v="6"/>
    <n v="0"/>
    <x v="304"/>
  </r>
  <r>
    <x v="304"/>
    <x v="7"/>
    <n v="833.42"/>
    <x v="304"/>
  </r>
  <r>
    <x v="304"/>
    <x v="8"/>
    <n v="0"/>
    <x v="304"/>
  </r>
  <r>
    <x v="304"/>
    <x v="9"/>
    <n v="1415.12"/>
    <x v="304"/>
  </r>
  <r>
    <x v="304"/>
    <x v="10"/>
    <n v="292.91000000000003"/>
    <x v="304"/>
  </r>
  <r>
    <x v="304"/>
    <x v="11"/>
    <n v="406.42"/>
    <x v="304"/>
  </r>
  <r>
    <x v="304"/>
    <x v="12"/>
    <n v="0"/>
    <x v="304"/>
  </r>
  <r>
    <x v="304"/>
    <x v="13"/>
    <n v="0"/>
    <x v="304"/>
  </r>
  <r>
    <x v="304"/>
    <x v="14"/>
    <n v="33.6"/>
    <x v="304"/>
  </r>
  <r>
    <x v="304"/>
    <x v="15"/>
    <n v="338.72"/>
    <x v="304"/>
  </r>
  <r>
    <x v="305"/>
    <x v="0"/>
    <n v="0"/>
    <x v="305"/>
  </r>
  <r>
    <x v="305"/>
    <x v="1"/>
    <n v="0"/>
    <x v="305"/>
  </r>
  <r>
    <x v="305"/>
    <x v="2"/>
    <n v="0"/>
    <x v="305"/>
  </r>
  <r>
    <x v="305"/>
    <x v="3"/>
    <n v="0"/>
    <x v="305"/>
  </r>
  <r>
    <x v="305"/>
    <x v="4"/>
    <n v="0"/>
    <x v="305"/>
  </r>
  <r>
    <x v="305"/>
    <x v="5"/>
    <n v="0"/>
    <x v="305"/>
  </r>
  <r>
    <x v="305"/>
    <x v="6"/>
    <n v="0"/>
    <x v="305"/>
  </r>
  <r>
    <x v="305"/>
    <x v="7"/>
    <n v="0"/>
    <x v="305"/>
  </r>
  <r>
    <x v="305"/>
    <x v="8"/>
    <n v="0"/>
    <x v="305"/>
  </r>
  <r>
    <x v="305"/>
    <x v="9"/>
    <n v="95.67"/>
    <x v="305"/>
  </r>
  <r>
    <x v="305"/>
    <x v="10"/>
    <n v="0"/>
    <x v="305"/>
  </r>
  <r>
    <x v="305"/>
    <x v="11"/>
    <n v="0"/>
    <x v="305"/>
  </r>
  <r>
    <x v="305"/>
    <x v="12"/>
    <n v="0"/>
    <x v="305"/>
  </r>
  <r>
    <x v="305"/>
    <x v="13"/>
    <n v="0"/>
    <x v="305"/>
  </r>
  <r>
    <x v="305"/>
    <x v="14"/>
    <n v="0"/>
    <x v="305"/>
  </r>
  <r>
    <x v="305"/>
    <x v="15"/>
    <n v="0"/>
    <x v="305"/>
  </r>
  <r>
    <x v="306"/>
    <x v="0"/>
    <n v="0"/>
    <x v="306"/>
  </r>
  <r>
    <x v="306"/>
    <x v="1"/>
    <n v="89.07"/>
    <x v="306"/>
  </r>
  <r>
    <x v="306"/>
    <x v="2"/>
    <n v="0"/>
    <x v="306"/>
  </r>
  <r>
    <x v="306"/>
    <x v="3"/>
    <n v="24"/>
    <x v="306"/>
  </r>
  <r>
    <x v="306"/>
    <x v="4"/>
    <n v="0"/>
    <x v="306"/>
  </r>
  <r>
    <x v="306"/>
    <x v="5"/>
    <n v="64.52"/>
    <x v="306"/>
  </r>
  <r>
    <x v="306"/>
    <x v="6"/>
    <n v="0"/>
    <x v="306"/>
  </r>
  <r>
    <x v="306"/>
    <x v="7"/>
    <n v="54.2"/>
    <x v="306"/>
  </r>
  <r>
    <x v="306"/>
    <x v="8"/>
    <n v="0"/>
    <x v="306"/>
  </r>
  <r>
    <x v="306"/>
    <x v="9"/>
    <n v="59.16"/>
    <x v="306"/>
  </r>
  <r>
    <x v="306"/>
    <x v="10"/>
    <n v="6.39"/>
    <x v="306"/>
  </r>
  <r>
    <x v="306"/>
    <x v="11"/>
    <n v="14.52"/>
    <x v="306"/>
  </r>
  <r>
    <x v="306"/>
    <x v="12"/>
    <n v="0"/>
    <x v="306"/>
  </r>
  <r>
    <x v="306"/>
    <x v="13"/>
    <n v="0"/>
    <x v="306"/>
  </r>
  <r>
    <x v="306"/>
    <x v="14"/>
    <n v="0"/>
    <x v="306"/>
  </r>
  <r>
    <x v="306"/>
    <x v="15"/>
    <n v="26.75"/>
    <x v="306"/>
  </r>
  <r>
    <x v="307"/>
    <x v="0"/>
    <n v="0"/>
    <x v="307"/>
  </r>
  <r>
    <x v="307"/>
    <x v="1"/>
    <n v="960.99"/>
    <x v="307"/>
  </r>
  <r>
    <x v="307"/>
    <x v="2"/>
    <n v="0"/>
    <x v="307"/>
  </r>
  <r>
    <x v="307"/>
    <x v="3"/>
    <n v="352.78"/>
    <x v="307"/>
  </r>
  <r>
    <x v="307"/>
    <x v="4"/>
    <n v="0"/>
    <x v="307"/>
  </r>
  <r>
    <x v="307"/>
    <x v="5"/>
    <n v="677.72"/>
    <x v="307"/>
  </r>
  <r>
    <x v="307"/>
    <x v="6"/>
    <n v="0"/>
    <x v="307"/>
  </r>
  <r>
    <x v="307"/>
    <x v="7"/>
    <n v="643.32000000000005"/>
    <x v="307"/>
  </r>
  <r>
    <x v="307"/>
    <x v="8"/>
    <n v="0"/>
    <x v="307"/>
  </r>
  <r>
    <x v="307"/>
    <x v="9"/>
    <n v="1191.04"/>
    <x v="307"/>
  </r>
  <r>
    <x v="307"/>
    <x v="10"/>
    <n v="30.26"/>
    <x v="307"/>
  </r>
  <r>
    <x v="307"/>
    <x v="11"/>
    <n v="309.82"/>
    <x v="307"/>
  </r>
  <r>
    <x v="307"/>
    <x v="12"/>
    <n v="0"/>
    <x v="307"/>
  </r>
  <r>
    <x v="307"/>
    <x v="13"/>
    <n v="0"/>
    <x v="307"/>
  </r>
  <r>
    <x v="307"/>
    <x v="14"/>
    <n v="39.200000000000003"/>
    <x v="307"/>
  </r>
  <r>
    <x v="307"/>
    <x v="15"/>
    <n v="283.27999999999997"/>
    <x v="307"/>
  </r>
  <r>
    <x v="308"/>
    <x v="0"/>
    <n v="0"/>
    <x v="308"/>
  </r>
  <r>
    <x v="308"/>
    <x v="1"/>
    <n v="228.82"/>
    <x v="308"/>
  </r>
  <r>
    <x v="308"/>
    <x v="2"/>
    <n v="0"/>
    <x v="308"/>
  </r>
  <r>
    <x v="308"/>
    <x v="3"/>
    <n v="54.36"/>
    <x v="308"/>
  </r>
  <r>
    <x v="308"/>
    <x v="4"/>
    <n v="0"/>
    <x v="308"/>
  </r>
  <r>
    <x v="308"/>
    <x v="5"/>
    <n v="163.4"/>
    <x v="308"/>
  </r>
  <r>
    <x v="308"/>
    <x v="6"/>
    <n v="0"/>
    <x v="308"/>
  </r>
  <r>
    <x v="308"/>
    <x v="7"/>
    <n v="166.78"/>
    <x v="308"/>
  </r>
  <r>
    <x v="308"/>
    <x v="8"/>
    <n v="0"/>
    <x v="308"/>
  </r>
  <r>
    <x v="308"/>
    <x v="9"/>
    <n v="346.91"/>
    <x v="308"/>
  </r>
  <r>
    <x v="308"/>
    <x v="10"/>
    <n v="0"/>
    <x v="308"/>
  </r>
  <r>
    <x v="308"/>
    <x v="11"/>
    <n v="67.63"/>
    <x v="308"/>
  </r>
  <r>
    <x v="308"/>
    <x v="12"/>
    <n v="0"/>
    <x v="308"/>
  </r>
  <r>
    <x v="308"/>
    <x v="13"/>
    <n v="0"/>
    <x v="308"/>
  </r>
  <r>
    <x v="308"/>
    <x v="14"/>
    <n v="0"/>
    <x v="308"/>
  </r>
  <r>
    <x v="308"/>
    <x v="15"/>
    <n v="66.2"/>
    <x v="308"/>
  </r>
  <r>
    <x v="309"/>
    <x v="0"/>
    <n v="0"/>
    <x v="309"/>
  </r>
  <r>
    <x v="309"/>
    <x v="1"/>
    <n v="0"/>
    <x v="309"/>
  </r>
  <r>
    <x v="309"/>
    <x v="2"/>
    <n v="0"/>
    <x v="309"/>
  </r>
  <r>
    <x v="309"/>
    <x v="3"/>
    <n v="0"/>
    <x v="309"/>
  </r>
  <r>
    <x v="309"/>
    <x v="4"/>
    <n v="0"/>
    <x v="309"/>
  </r>
  <r>
    <x v="309"/>
    <x v="5"/>
    <n v="0"/>
    <x v="309"/>
  </r>
  <r>
    <x v="309"/>
    <x v="6"/>
    <n v="0"/>
    <x v="309"/>
  </r>
  <r>
    <x v="309"/>
    <x v="7"/>
    <n v="0"/>
    <x v="309"/>
  </r>
  <r>
    <x v="309"/>
    <x v="8"/>
    <n v="0"/>
    <x v="309"/>
  </r>
  <r>
    <x v="309"/>
    <x v="9"/>
    <n v="127.72"/>
    <x v="309"/>
  </r>
  <r>
    <x v="309"/>
    <x v="10"/>
    <n v="0"/>
    <x v="309"/>
  </r>
  <r>
    <x v="309"/>
    <x v="11"/>
    <n v="0"/>
    <x v="309"/>
  </r>
  <r>
    <x v="309"/>
    <x v="12"/>
    <n v="0"/>
    <x v="309"/>
  </r>
  <r>
    <x v="309"/>
    <x v="13"/>
    <n v="0"/>
    <x v="309"/>
  </r>
  <r>
    <x v="309"/>
    <x v="14"/>
    <n v="0"/>
    <x v="309"/>
  </r>
  <r>
    <x v="309"/>
    <x v="15"/>
    <n v="0"/>
    <x v="309"/>
  </r>
  <r>
    <x v="310"/>
    <x v="0"/>
    <n v="0"/>
    <x v="310"/>
  </r>
  <r>
    <x v="310"/>
    <x v="1"/>
    <n v="46.8"/>
    <x v="310"/>
  </r>
  <r>
    <x v="310"/>
    <x v="2"/>
    <n v="0"/>
    <x v="310"/>
  </r>
  <r>
    <x v="310"/>
    <x v="3"/>
    <n v="10.4"/>
    <x v="310"/>
  </r>
  <r>
    <x v="310"/>
    <x v="4"/>
    <n v="0"/>
    <x v="310"/>
  </r>
  <r>
    <x v="310"/>
    <x v="5"/>
    <n v="29.6"/>
    <x v="310"/>
  </r>
  <r>
    <x v="310"/>
    <x v="6"/>
    <n v="0"/>
    <x v="310"/>
  </r>
  <r>
    <x v="310"/>
    <x v="7"/>
    <n v="36.79"/>
    <x v="310"/>
  </r>
  <r>
    <x v="310"/>
    <x v="8"/>
    <n v="0"/>
    <x v="310"/>
  </r>
  <r>
    <x v="310"/>
    <x v="9"/>
    <n v="66.73"/>
    <x v="310"/>
  </r>
  <r>
    <x v="310"/>
    <x v="10"/>
    <n v="2.44"/>
    <x v="310"/>
  </r>
  <r>
    <x v="310"/>
    <x v="11"/>
    <n v="14.4"/>
    <x v="310"/>
  </r>
  <r>
    <x v="310"/>
    <x v="12"/>
    <n v="0"/>
    <x v="310"/>
  </r>
  <r>
    <x v="310"/>
    <x v="13"/>
    <n v="0"/>
    <x v="310"/>
  </r>
  <r>
    <x v="310"/>
    <x v="14"/>
    <n v="15"/>
    <x v="310"/>
  </r>
  <r>
    <x v="310"/>
    <x v="15"/>
    <n v="15.4"/>
    <x v="310"/>
  </r>
  <r>
    <x v="311"/>
    <x v="0"/>
    <n v="0"/>
    <x v="311"/>
  </r>
  <r>
    <x v="311"/>
    <x v="1"/>
    <n v="72.599999999999994"/>
    <x v="311"/>
  </r>
  <r>
    <x v="311"/>
    <x v="2"/>
    <n v="0"/>
    <x v="311"/>
  </r>
  <r>
    <x v="311"/>
    <x v="3"/>
    <n v="29.2"/>
    <x v="311"/>
  </r>
  <r>
    <x v="311"/>
    <x v="4"/>
    <n v="0"/>
    <x v="311"/>
  </r>
  <r>
    <x v="311"/>
    <x v="5"/>
    <n v="51"/>
    <x v="311"/>
  </r>
  <r>
    <x v="311"/>
    <x v="6"/>
    <n v="0"/>
    <x v="311"/>
  </r>
  <r>
    <x v="311"/>
    <x v="7"/>
    <n v="54.6"/>
    <x v="311"/>
  </r>
  <r>
    <x v="311"/>
    <x v="8"/>
    <n v="0"/>
    <x v="311"/>
  </r>
  <r>
    <x v="311"/>
    <x v="9"/>
    <n v="95.18"/>
    <x v="311"/>
  </r>
  <r>
    <x v="311"/>
    <x v="10"/>
    <n v="6.9"/>
    <x v="311"/>
  </r>
  <r>
    <x v="311"/>
    <x v="11"/>
    <n v="25.91"/>
    <x v="311"/>
  </r>
  <r>
    <x v="311"/>
    <x v="12"/>
    <n v="0"/>
    <x v="311"/>
  </r>
  <r>
    <x v="311"/>
    <x v="13"/>
    <n v="0"/>
    <x v="311"/>
  </r>
  <r>
    <x v="311"/>
    <x v="14"/>
    <n v="0"/>
    <x v="311"/>
  </r>
  <r>
    <x v="311"/>
    <x v="15"/>
    <n v="17.2"/>
    <x v="311"/>
  </r>
  <r>
    <x v="312"/>
    <x v="0"/>
    <n v="0"/>
    <x v="312"/>
  </r>
  <r>
    <x v="312"/>
    <x v="1"/>
    <n v="26.2"/>
    <x v="312"/>
  </r>
  <r>
    <x v="312"/>
    <x v="2"/>
    <n v="0"/>
    <x v="312"/>
  </r>
  <r>
    <x v="312"/>
    <x v="3"/>
    <n v="7.8"/>
    <x v="312"/>
  </r>
  <r>
    <x v="312"/>
    <x v="4"/>
    <n v="0"/>
    <x v="312"/>
  </r>
  <r>
    <x v="312"/>
    <x v="5"/>
    <n v="18.600000000000001"/>
    <x v="312"/>
  </r>
  <r>
    <x v="312"/>
    <x v="6"/>
    <n v="0"/>
    <x v="312"/>
  </r>
  <r>
    <x v="312"/>
    <x v="7"/>
    <n v="18.600000000000001"/>
    <x v="312"/>
  </r>
  <r>
    <x v="312"/>
    <x v="8"/>
    <n v="0"/>
    <x v="312"/>
  </r>
  <r>
    <x v="312"/>
    <x v="9"/>
    <n v="37.94"/>
    <x v="312"/>
  </r>
  <r>
    <x v="312"/>
    <x v="10"/>
    <n v="4.72"/>
    <x v="312"/>
  </r>
  <r>
    <x v="312"/>
    <x v="11"/>
    <n v="7.68"/>
    <x v="312"/>
  </r>
  <r>
    <x v="312"/>
    <x v="12"/>
    <n v="0"/>
    <x v="312"/>
  </r>
  <r>
    <x v="312"/>
    <x v="13"/>
    <n v="0"/>
    <x v="312"/>
  </r>
  <r>
    <x v="312"/>
    <x v="14"/>
    <n v="0"/>
    <x v="312"/>
  </r>
  <r>
    <x v="312"/>
    <x v="15"/>
    <n v="8.36"/>
    <x v="312"/>
  </r>
  <r>
    <x v="313"/>
    <x v="0"/>
    <n v="0"/>
    <x v="313"/>
  </r>
  <r>
    <x v="313"/>
    <x v="1"/>
    <n v="169.8"/>
    <x v="313"/>
  </r>
  <r>
    <x v="313"/>
    <x v="2"/>
    <n v="0"/>
    <x v="313"/>
  </r>
  <r>
    <x v="313"/>
    <x v="3"/>
    <n v="58"/>
    <x v="313"/>
  </r>
  <r>
    <x v="313"/>
    <x v="4"/>
    <n v="0"/>
    <x v="313"/>
  </r>
  <r>
    <x v="313"/>
    <x v="5"/>
    <n v="104.2"/>
    <x v="313"/>
  </r>
  <r>
    <x v="313"/>
    <x v="6"/>
    <n v="0"/>
    <x v="313"/>
  </r>
  <r>
    <x v="313"/>
    <x v="7"/>
    <n v="109.33"/>
    <x v="313"/>
  </r>
  <r>
    <x v="313"/>
    <x v="8"/>
    <n v="0"/>
    <x v="313"/>
  </r>
  <r>
    <x v="313"/>
    <x v="9"/>
    <n v="185.15"/>
    <x v="313"/>
  </r>
  <r>
    <x v="313"/>
    <x v="10"/>
    <n v="7.88"/>
    <x v="313"/>
  </r>
  <r>
    <x v="313"/>
    <x v="11"/>
    <n v="57.36"/>
    <x v="313"/>
  </r>
  <r>
    <x v="313"/>
    <x v="12"/>
    <n v="0"/>
    <x v="313"/>
  </r>
  <r>
    <x v="313"/>
    <x v="13"/>
    <n v="0"/>
    <x v="313"/>
  </r>
  <r>
    <x v="313"/>
    <x v="14"/>
    <n v="34.6"/>
    <x v="313"/>
  </r>
  <r>
    <x v="313"/>
    <x v="15"/>
    <n v="69"/>
    <x v="313"/>
  </r>
  <r>
    <x v="314"/>
    <x v="0"/>
    <n v="0"/>
    <x v="314"/>
  </r>
  <r>
    <x v="314"/>
    <x v="1"/>
    <n v="36"/>
    <x v="314"/>
  </r>
  <r>
    <x v="314"/>
    <x v="2"/>
    <n v="0"/>
    <x v="314"/>
  </r>
  <r>
    <x v="314"/>
    <x v="3"/>
    <n v="11.8"/>
    <x v="314"/>
  </r>
  <r>
    <x v="314"/>
    <x v="4"/>
    <n v="0"/>
    <x v="314"/>
  </r>
  <r>
    <x v="314"/>
    <x v="5"/>
    <n v="28.6"/>
    <x v="314"/>
  </r>
  <r>
    <x v="314"/>
    <x v="6"/>
    <n v="0"/>
    <x v="314"/>
  </r>
  <r>
    <x v="314"/>
    <x v="7"/>
    <n v="29"/>
    <x v="314"/>
  </r>
  <r>
    <x v="314"/>
    <x v="8"/>
    <n v="0"/>
    <x v="314"/>
  </r>
  <r>
    <x v="314"/>
    <x v="9"/>
    <n v="43.4"/>
    <x v="314"/>
  </r>
  <r>
    <x v="314"/>
    <x v="10"/>
    <n v="4.0599999999999996"/>
    <x v="314"/>
  </r>
  <r>
    <x v="314"/>
    <x v="11"/>
    <n v="11.76"/>
    <x v="314"/>
  </r>
  <r>
    <x v="314"/>
    <x v="12"/>
    <n v="0"/>
    <x v="314"/>
  </r>
  <r>
    <x v="314"/>
    <x v="13"/>
    <n v="0"/>
    <x v="314"/>
  </r>
  <r>
    <x v="314"/>
    <x v="14"/>
    <n v="8.9"/>
    <x v="314"/>
  </r>
  <r>
    <x v="314"/>
    <x v="15"/>
    <n v="14"/>
    <x v="314"/>
  </r>
  <r>
    <x v="315"/>
    <x v="0"/>
    <n v="0"/>
    <x v="315"/>
  </r>
  <r>
    <x v="315"/>
    <x v="1"/>
    <n v="25.2"/>
    <x v="315"/>
  </r>
  <r>
    <x v="315"/>
    <x v="2"/>
    <n v="0"/>
    <x v="315"/>
  </r>
  <r>
    <x v="315"/>
    <x v="3"/>
    <n v="9"/>
    <x v="315"/>
  </r>
  <r>
    <x v="315"/>
    <x v="4"/>
    <n v="0"/>
    <x v="315"/>
  </r>
  <r>
    <x v="315"/>
    <x v="5"/>
    <n v="15.2"/>
    <x v="315"/>
  </r>
  <r>
    <x v="315"/>
    <x v="6"/>
    <n v="0"/>
    <x v="315"/>
  </r>
  <r>
    <x v="315"/>
    <x v="7"/>
    <n v="10"/>
    <x v="315"/>
  </r>
  <r>
    <x v="315"/>
    <x v="8"/>
    <n v="0"/>
    <x v="315"/>
  </r>
  <r>
    <x v="315"/>
    <x v="9"/>
    <n v="26.98"/>
    <x v="315"/>
  </r>
  <r>
    <x v="315"/>
    <x v="10"/>
    <n v="1.4"/>
    <x v="315"/>
  </r>
  <r>
    <x v="315"/>
    <x v="11"/>
    <n v="7.74"/>
    <x v="315"/>
  </r>
  <r>
    <x v="315"/>
    <x v="12"/>
    <n v="0"/>
    <x v="315"/>
  </r>
  <r>
    <x v="315"/>
    <x v="13"/>
    <n v="0"/>
    <x v="315"/>
  </r>
  <r>
    <x v="315"/>
    <x v="14"/>
    <n v="0"/>
    <x v="315"/>
  </r>
  <r>
    <x v="315"/>
    <x v="15"/>
    <n v="2.8"/>
    <x v="315"/>
  </r>
  <r>
    <x v="316"/>
    <x v="0"/>
    <n v="0"/>
    <x v="316"/>
  </r>
  <r>
    <x v="316"/>
    <x v="1"/>
    <n v="516.61"/>
    <x v="316"/>
  </r>
  <r>
    <x v="316"/>
    <x v="2"/>
    <n v="0"/>
    <x v="316"/>
  </r>
  <r>
    <x v="316"/>
    <x v="3"/>
    <n v="165.45"/>
    <x v="316"/>
  </r>
  <r>
    <x v="316"/>
    <x v="4"/>
    <n v="0"/>
    <x v="316"/>
  </r>
  <r>
    <x v="316"/>
    <x v="5"/>
    <n v="385.17"/>
    <x v="316"/>
  </r>
  <r>
    <x v="316"/>
    <x v="6"/>
    <n v="0"/>
    <x v="316"/>
  </r>
  <r>
    <x v="316"/>
    <x v="7"/>
    <n v="352.95"/>
    <x v="316"/>
  </r>
  <r>
    <x v="316"/>
    <x v="8"/>
    <n v="0"/>
    <x v="316"/>
  </r>
  <r>
    <x v="316"/>
    <x v="9"/>
    <n v="572.21"/>
    <x v="316"/>
  </r>
  <r>
    <x v="316"/>
    <x v="10"/>
    <n v="0"/>
    <x v="316"/>
  </r>
  <r>
    <x v="316"/>
    <x v="11"/>
    <n v="66.12"/>
    <x v="316"/>
  </r>
  <r>
    <x v="316"/>
    <x v="12"/>
    <n v="0"/>
    <x v="316"/>
  </r>
  <r>
    <x v="316"/>
    <x v="13"/>
    <n v="0"/>
    <x v="316"/>
  </r>
  <r>
    <x v="316"/>
    <x v="14"/>
    <n v="0"/>
    <x v="316"/>
  </r>
  <r>
    <x v="316"/>
    <x v="15"/>
    <n v="176.56"/>
    <x v="316"/>
  </r>
  <r>
    <x v="317"/>
    <x v="0"/>
    <n v="0"/>
    <x v="317"/>
  </r>
  <r>
    <x v="317"/>
    <x v="1"/>
    <n v="0"/>
    <x v="317"/>
  </r>
  <r>
    <x v="317"/>
    <x v="2"/>
    <n v="0"/>
    <x v="317"/>
  </r>
  <r>
    <x v="317"/>
    <x v="3"/>
    <n v="0"/>
    <x v="317"/>
  </r>
  <r>
    <x v="317"/>
    <x v="4"/>
    <n v="0"/>
    <x v="317"/>
  </r>
  <r>
    <x v="317"/>
    <x v="5"/>
    <n v="0"/>
    <x v="317"/>
  </r>
  <r>
    <x v="317"/>
    <x v="6"/>
    <n v="0"/>
    <x v="317"/>
  </r>
  <r>
    <x v="317"/>
    <x v="7"/>
    <n v="11.8"/>
    <x v="317"/>
  </r>
  <r>
    <x v="317"/>
    <x v="8"/>
    <n v="0"/>
    <x v="317"/>
  </r>
  <r>
    <x v="317"/>
    <x v="9"/>
    <n v="120"/>
    <x v="317"/>
  </r>
  <r>
    <x v="317"/>
    <x v="10"/>
    <n v="0"/>
    <x v="317"/>
  </r>
  <r>
    <x v="317"/>
    <x v="11"/>
    <n v="0"/>
    <x v="317"/>
  </r>
  <r>
    <x v="317"/>
    <x v="12"/>
    <n v="0"/>
    <x v="317"/>
  </r>
  <r>
    <x v="317"/>
    <x v="13"/>
    <n v="0"/>
    <x v="317"/>
  </r>
  <r>
    <x v="317"/>
    <x v="14"/>
    <n v="0"/>
    <x v="317"/>
  </r>
  <r>
    <x v="317"/>
    <x v="15"/>
    <n v="0"/>
    <x v="317"/>
  </r>
  <r>
    <x v="318"/>
    <x v="0"/>
    <n v="0"/>
    <x v="318"/>
  </r>
  <r>
    <x v="318"/>
    <x v="1"/>
    <n v="3178.23"/>
    <x v="318"/>
  </r>
  <r>
    <x v="318"/>
    <x v="2"/>
    <n v="0"/>
    <x v="318"/>
  </r>
  <r>
    <x v="318"/>
    <x v="3"/>
    <n v="1084.82"/>
    <x v="318"/>
  </r>
  <r>
    <x v="318"/>
    <x v="4"/>
    <n v="0"/>
    <x v="318"/>
  </r>
  <r>
    <x v="318"/>
    <x v="5"/>
    <n v="2188.88"/>
    <x v="318"/>
  </r>
  <r>
    <x v="318"/>
    <x v="6"/>
    <n v="0"/>
    <x v="318"/>
  </r>
  <r>
    <x v="318"/>
    <x v="7"/>
    <n v="2162.94"/>
    <x v="318"/>
  </r>
  <r>
    <x v="318"/>
    <x v="8"/>
    <n v="0"/>
    <x v="318"/>
  </r>
  <r>
    <x v="318"/>
    <x v="9"/>
    <n v="4924.8900000000003"/>
    <x v="318"/>
  </r>
  <r>
    <x v="318"/>
    <x v="10"/>
    <n v="509.67"/>
    <x v="318"/>
  </r>
  <r>
    <x v="318"/>
    <x v="11"/>
    <n v="1000.62"/>
    <x v="318"/>
  </r>
  <r>
    <x v="318"/>
    <x v="12"/>
    <n v="0"/>
    <x v="318"/>
  </r>
  <r>
    <x v="318"/>
    <x v="13"/>
    <n v="512.08000000000004"/>
    <x v="318"/>
  </r>
  <r>
    <x v="318"/>
    <x v="14"/>
    <n v="0"/>
    <x v="318"/>
  </r>
  <r>
    <x v="318"/>
    <x v="15"/>
    <n v="994.81"/>
    <x v="318"/>
  </r>
  <r>
    <x v="319"/>
    <x v="0"/>
    <n v="0"/>
    <x v="319"/>
  </r>
  <r>
    <x v="319"/>
    <x v="1"/>
    <n v="1272.3699999999999"/>
    <x v="319"/>
  </r>
  <r>
    <x v="319"/>
    <x v="2"/>
    <n v="0"/>
    <x v="319"/>
  </r>
  <r>
    <x v="319"/>
    <x v="3"/>
    <n v="431.34"/>
    <x v="319"/>
  </r>
  <r>
    <x v="319"/>
    <x v="4"/>
    <n v="0"/>
    <x v="319"/>
  </r>
  <r>
    <x v="319"/>
    <x v="5"/>
    <n v="865.95"/>
    <x v="319"/>
  </r>
  <r>
    <x v="319"/>
    <x v="6"/>
    <n v="0"/>
    <x v="319"/>
  </r>
  <r>
    <x v="319"/>
    <x v="7"/>
    <n v="810.15"/>
    <x v="319"/>
  </r>
  <r>
    <x v="319"/>
    <x v="8"/>
    <n v="0"/>
    <x v="319"/>
  </r>
  <r>
    <x v="319"/>
    <x v="9"/>
    <n v="1540.3"/>
    <x v="319"/>
  </r>
  <r>
    <x v="319"/>
    <x v="10"/>
    <n v="0"/>
    <x v="319"/>
  </r>
  <r>
    <x v="319"/>
    <x v="11"/>
    <n v="400.89"/>
    <x v="319"/>
  </r>
  <r>
    <x v="319"/>
    <x v="12"/>
    <n v="0"/>
    <x v="319"/>
  </r>
  <r>
    <x v="319"/>
    <x v="13"/>
    <n v="0"/>
    <x v="319"/>
  </r>
  <r>
    <x v="319"/>
    <x v="14"/>
    <n v="33.799999999999997"/>
    <x v="319"/>
  </r>
  <r>
    <x v="319"/>
    <x v="15"/>
    <n v="378.9"/>
    <x v="319"/>
  </r>
  <r>
    <x v="320"/>
    <x v="0"/>
    <n v="0"/>
    <x v="320"/>
  </r>
  <r>
    <x v="320"/>
    <x v="1"/>
    <n v="274.44"/>
    <x v="320"/>
  </r>
  <r>
    <x v="320"/>
    <x v="2"/>
    <n v="0"/>
    <x v="320"/>
  </r>
  <r>
    <x v="320"/>
    <x v="3"/>
    <n v="83.94"/>
    <x v="320"/>
  </r>
  <r>
    <x v="320"/>
    <x v="4"/>
    <n v="0"/>
    <x v="320"/>
  </r>
  <r>
    <x v="320"/>
    <x v="5"/>
    <n v="185.4"/>
    <x v="320"/>
  </r>
  <r>
    <x v="320"/>
    <x v="6"/>
    <n v="0"/>
    <x v="320"/>
  </r>
  <r>
    <x v="320"/>
    <x v="7"/>
    <n v="203.39"/>
    <x v="320"/>
  </r>
  <r>
    <x v="320"/>
    <x v="8"/>
    <n v="0"/>
    <x v="320"/>
  </r>
  <r>
    <x v="320"/>
    <x v="9"/>
    <n v="435.14"/>
    <x v="320"/>
  </r>
  <r>
    <x v="320"/>
    <x v="10"/>
    <n v="0"/>
    <x v="320"/>
  </r>
  <r>
    <x v="320"/>
    <x v="11"/>
    <n v="76.040000000000006"/>
    <x v="320"/>
  </r>
  <r>
    <x v="320"/>
    <x v="12"/>
    <n v="0"/>
    <x v="320"/>
  </r>
  <r>
    <x v="320"/>
    <x v="13"/>
    <n v="0"/>
    <x v="320"/>
  </r>
  <r>
    <x v="320"/>
    <x v="14"/>
    <n v="36"/>
    <x v="320"/>
  </r>
  <r>
    <x v="320"/>
    <x v="15"/>
    <n v="85.7"/>
    <x v="320"/>
  </r>
  <r>
    <x v="321"/>
    <x v="16"/>
    <m/>
    <x v="32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95">
  <r>
    <x v="0"/>
    <s v="Othello School District"/>
    <s v="Personnel"/>
    <s v="E "/>
    <x v="0"/>
    <x v="0"/>
    <s v="PSES Elem Prog01Duty96 S275"/>
    <x v="0"/>
    <s v="24"/>
    <n v="96"/>
    <n v="24"/>
    <s v="   "/>
    <n v="1.387"/>
  </r>
  <r>
    <x v="0"/>
    <s v="Othello School District"/>
    <s v="Personnel"/>
    <s v="H "/>
    <x v="1"/>
    <x v="1"/>
    <s v="PSES High Prog01Duty96 S275"/>
    <x v="0"/>
    <s v="24"/>
    <n v="96"/>
    <n v="24"/>
    <s v="   "/>
    <n v="0.35199999999999998"/>
  </r>
  <r>
    <x v="0"/>
    <s v="Othello School District"/>
    <s v="Personnel"/>
    <s v="M "/>
    <x v="2"/>
    <x v="2"/>
    <s v="PSES Mid Prog01Duty96 S275"/>
    <x v="0"/>
    <s v="24"/>
    <n v="96"/>
    <n v="24"/>
    <s v="   "/>
    <n v="0.36299999999999999"/>
  </r>
  <r>
    <x v="0"/>
    <s v="Othello School District"/>
    <s v="Personnel"/>
    <s v="E "/>
    <x v="0"/>
    <x v="3"/>
    <s v="PSES Elem Prog01Act25 S275"/>
    <x v="0"/>
    <s v="25"/>
    <m/>
    <n v="25"/>
    <s v="   "/>
    <n v="7.2370000000000001"/>
  </r>
  <r>
    <x v="0"/>
    <s v="Othello School District"/>
    <s v="Personnel"/>
    <s v="H "/>
    <x v="1"/>
    <x v="4"/>
    <s v="PSES High Prog21Act25 S275"/>
    <x v="1"/>
    <s v="25"/>
    <m/>
    <n v="25"/>
    <s v="   "/>
    <n v="3.8879999999999999"/>
  </r>
  <r>
    <x v="0"/>
    <s v="Othello School District"/>
    <s v="Personnel"/>
    <s v="H "/>
    <x v="1"/>
    <x v="5"/>
    <s v="PSES High Prog01Act25 S275"/>
    <x v="0"/>
    <s v="25"/>
    <m/>
    <n v="25"/>
    <s v="   "/>
    <n v="0.50600000000000001"/>
  </r>
  <r>
    <x v="0"/>
    <s v="Othello School District"/>
    <s v="Personnel"/>
    <s v="M "/>
    <x v="2"/>
    <x v="6"/>
    <s v="PSES Mid Prog01Act25 S275"/>
    <x v="0"/>
    <s v="25"/>
    <m/>
    <n v="25"/>
    <s v="   "/>
    <n v="0.495"/>
  </r>
  <r>
    <x v="0"/>
    <s v="Othello School District"/>
    <s v="Personnel"/>
    <s v="E "/>
    <x v="0"/>
    <x v="7"/>
    <s v="PSES Elem Prog21Act26 S275"/>
    <x v="1"/>
    <s v="26"/>
    <m/>
    <n v="26"/>
    <s v="   "/>
    <n v="1.3140000000000001"/>
  </r>
  <r>
    <x v="0"/>
    <s v="Othello School District"/>
    <s v="Personnel"/>
    <s v="E "/>
    <x v="0"/>
    <x v="8"/>
    <s v="PSES Elem Prog01Act26 S275"/>
    <x v="0"/>
    <s v="26"/>
    <m/>
    <n v="26"/>
    <s v="   "/>
    <n v="2.3239999999999998"/>
  </r>
  <r>
    <x v="0"/>
    <s v="Othello School District"/>
    <s v="Personnel"/>
    <s v="H "/>
    <x v="1"/>
    <x v="9"/>
    <s v="PSES High Prog01Act26 S275"/>
    <x v="0"/>
    <s v="26"/>
    <m/>
    <n v="26"/>
    <s v="   "/>
    <n v="0.2"/>
  </r>
  <r>
    <x v="0"/>
    <s v="Othello School District"/>
    <s v="Personnel"/>
    <s v="M "/>
    <x v="2"/>
    <x v="10"/>
    <s v="PSES Mid Prog21Act26 S275"/>
    <x v="1"/>
    <s v="26"/>
    <m/>
    <n v="26"/>
    <s v="   "/>
    <n v="0.25"/>
  </r>
  <r>
    <x v="0"/>
    <s v="Othello School District"/>
    <s v="Personnel"/>
    <s v="M "/>
    <x v="2"/>
    <x v="11"/>
    <s v="PSES Mid Prog01Act26 S275"/>
    <x v="0"/>
    <s v="26"/>
    <m/>
    <n v="26"/>
    <s v="   "/>
    <n v="0.58099999999999996"/>
  </r>
  <r>
    <x v="0"/>
    <s v="Othello School District"/>
    <s v="Personnel"/>
    <s v="H "/>
    <x v="1"/>
    <x v="12"/>
    <s v="PSES High Prog97Act35 S275"/>
    <x v="2"/>
    <s v="35"/>
    <m/>
    <n v="35"/>
    <s v="   "/>
    <n v="1.84"/>
  </r>
  <r>
    <x v="0"/>
    <s v="Othello School District"/>
    <s v="Personnel"/>
    <s v="M "/>
    <x v="2"/>
    <x v="13"/>
    <s v="PSES Mid Prog97Act35 S275"/>
    <x v="2"/>
    <s v="35"/>
    <m/>
    <n v="35"/>
    <s v="   "/>
    <n v="1.3009999999999999"/>
  </r>
  <r>
    <x v="0"/>
    <s v="Othello School District"/>
    <s v="Personnel"/>
    <s v="E "/>
    <x v="0"/>
    <x v="14"/>
    <s v="PSES Elem Prog21Duty39 S275"/>
    <x v="1"/>
    <s v="39"/>
    <n v="39"/>
    <m/>
    <s v="   "/>
    <n v="1"/>
  </r>
  <r>
    <x v="0"/>
    <s v="Othello School District"/>
    <s v="Personnel"/>
    <s v="E "/>
    <x v="0"/>
    <x v="15"/>
    <s v="PSES Elem Prog01Duty42 S275"/>
    <x v="0"/>
    <s v="42"/>
    <n v="42"/>
    <m/>
    <s v="   "/>
    <n v="1.8"/>
  </r>
  <r>
    <x v="0"/>
    <s v="Othello School District"/>
    <s v="Personnel"/>
    <s v="H "/>
    <x v="1"/>
    <x v="16"/>
    <s v="PSES High Prog01Duty42 S275"/>
    <x v="0"/>
    <s v="42"/>
    <n v="42"/>
    <m/>
    <s v="   "/>
    <n v="2.5299999999999998"/>
  </r>
  <r>
    <x v="0"/>
    <s v="Othello School District"/>
    <s v="Personnel"/>
    <s v="M "/>
    <x v="2"/>
    <x v="17"/>
    <s v="PSES Mid Prog01Duty42 S275"/>
    <x v="0"/>
    <s v="42"/>
    <n v="42"/>
    <m/>
    <s v="   "/>
    <n v="2.25"/>
  </r>
  <r>
    <x v="0"/>
    <s v="Othello School District"/>
    <s v="Personnel"/>
    <s v="E "/>
    <x v="0"/>
    <x v="18"/>
    <s v="PSES Elem Prog21Duty43 S275"/>
    <x v="1"/>
    <s v="43"/>
    <n v="43"/>
    <m/>
    <s v="   "/>
    <n v="0.75"/>
  </r>
  <r>
    <x v="0"/>
    <s v="Othello School District"/>
    <s v="Personnel"/>
    <s v="H "/>
    <x v="1"/>
    <x v="19"/>
    <s v="PSES High Prog21Duty43 S275"/>
    <x v="1"/>
    <s v="43"/>
    <n v="43"/>
    <m/>
    <s v="   "/>
    <n v="0.25"/>
  </r>
  <r>
    <x v="0"/>
    <s v="Othello School District"/>
    <s v="Personnel"/>
    <s v="E "/>
    <x v="0"/>
    <x v="20"/>
    <s v="PSES Elem Prog21Duty45 S275"/>
    <x v="1"/>
    <s v="45"/>
    <n v="45"/>
    <m/>
    <s v="   "/>
    <n v="2.782"/>
  </r>
  <r>
    <x v="0"/>
    <s v="Othello School District"/>
    <s v="Personnel"/>
    <s v="H "/>
    <x v="1"/>
    <x v="21"/>
    <s v="PSES High Prog21Duty45 S275"/>
    <x v="1"/>
    <s v="45"/>
    <n v="45"/>
    <m/>
    <s v="   "/>
    <n v="0.46"/>
  </r>
  <r>
    <x v="0"/>
    <s v="Othello School District"/>
    <s v="Personnel"/>
    <s v="E "/>
    <x v="0"/>
    <x v="22"/>
    <s v="PSES Elem Prog21Duty46 S275"/>
    <x v="1"/>
    <s v="46"/>
    <n v="46"/>
    <m/>
    <s v="   "/>
    <n v="2"/>
  </r>
  <r>
    <x v="0"/>
    <s v="Othello School District"/>
    <s v="Personnel"/>
    <s v="H "/>
    <x v="1"/>
    <x v="23"/>
    <s v="PSES High Prog21Duty46 S275"/>
    <x v="1"/>
    <s v="46"/>
    <n v="46"/>
    <m/>
    <s v="   "/>
    <n v="1.4"/>
  </r>
  <r>
    <x v="0"/>
    <s v="Othello School District"/>
    <s v="Personnel"/>
    <s v="M "/>
    <x v="2"/>
    <x v="24"/>
    <s v="PSES Mid Prog21Duty46 S275"/>
    <x v="1"/>
    <s v="46"/>
    <n v="46"/>
    <m/>
    <s v="   "/>
    <n v="0.6"/>
  </r>
  <r>
    <x v="0"/>
    <s v="Othello School District"/>
    <s v="Personnel"/>
    <s v="H "/>
    <x v="1"/>
    <x v="25"/>
    <s v="PSES High Prog01Duty47 S275"/>
    <x v="0"/>
    <s v="47"/>
    <n v="47"/>
    <m/>
    <s v="   "/>
    <n v="1"/>
  </r>
  <r>
    <x v="0"/>
    <s v="Othello School District"/>
    <s v="Personnel"/>
    <s v="E "/>
    <x v="0"/>
    <x v="26"/>
    <s v="PSES Elem Prog21Duty49 S275"/>
    <x v="1"/>
    <s v="49"/>
    <n v="49"/>
    <m/>
    <s v="   "/>
    <n v="1"/>
  </r>
  <r>
    <x v="1"/>
    <s v="Lind School District"/>
    <s v="Personnel"/>
    <s v="E "/>
    <x v="0"/>
    <x v="3"/>
    <s v="PSES Elem Prog01Act25 S275"/>
    <x v="0"/>
    <s v="25"/>
    <m/>
    <n v="25"/>
    <s v="   "/>
    <n v="0.17799999999999999"/>
  </r>
  <r>
    <x v="1"/>
    <s v="Lind School District"/>
    <s v="Personnel"/>
    <s v="M "/>
    <x v="2"/>
    <x v="6"/>
    <s v="PSES Mid Prog01Act25 S275"/>
    <x v="0"/>
    <s v="25"/>
    <m/>
    <n v="25"/>
    <s v="   "/>
    <n v="5.6000000000000001E-2"/>
  </r>
  <r>
    <x v="1"/>
    <s v="Lind School District"/>
    <s v="Personnel"/>
    <s v="E "/>
    <x v="0"/>
    <x v="8"/>
    <s v="PSES Elem Prog01Act26 S275"/>
    <x v="0"/>
    <s v="26"/>
    <m/>
    <n v="26"/>
    <s v="   "/>
    <n v="0.27700000000000002"/>
  </r>
  <r>
    <x v="1"/>
    <s v="Lind School District"/>
    <s v="Personnel"/>
    <s v="H "/>
    <x v="1"/>
    <x v="9"/>
    <s v="PSES High Prog01Act26 S275"/>
    <x v="0"/>
    <s v="26"/>
    <m/>
    <n v="26"/>
    <s v="   "/>
    <n v="0.14599999999999999"/>
  </r>
  <r>
    <x v="1"/>
    <s v="Lind School District"/>
    <s v="Personnel"/>
    <s v="M "/>
    <x v="2"/>
    <x v="11"/>
    <s v="PSES Mid Prog01Act26 S275"/>
    <x v="0"/>
    <s v="26"/>
    <m/>
    <n v="26"/>
    <s v="   "/>
    <n v="0.16900000000000001"/>
  </r>
  <r>
    <x v="1"/>
    <s v="Lind School District"/>
    <s v="Personnel"/>
    <s v="E "/>
    <x v="0"/>
    <x v="15"/>
    <s v="PSES Elem Prog01Duty42 S275"/>
    <x v="0"/>
    <s v="42"/>
    <n v="42"/>
    <m/>
    <s v="   "/>
    <n v="0.96199999999999997"/>
  </r>
  <r>
    <x v="1"/>
    <s v="Lind School District"/>
    <s v="Personnel"/>
    <s v="M "/>
    <x v="2"/>
    <x v="17"/>
    <s v="PSES Mid Prog01Duty42 S275"/>
    <x v="0"/>
    <s v="42"/>
    <n v="42"/>
    <m/>
    <s v="   "/>
    <n v="0.755"/>
  </r>
  <r>
    <x v="2"/>
    <s v="Ritzville School District"/>
    <s v="Personnel"/>
    <s v="E "/>
    <x v="0"/>
    <x v="3"/>
    <s v="PSES Elem Prog01Act25 S275"/>
    <x v="0"/>
    <s v="25"/>
    <m/>
    <n v="25"/>
    <s v="   "/>
    <n v="0.86599999999999999"/>
  </r>
  <r>
    <x v="2"/>
    <s v="Ritzville School District"/>
    <s v="Personnel"/>
    <s v="H "/>
    <x v="1"/>
    <x v="5"/>
    <s v="PSES High Prog01Act25 S275"/>
    <x v="0"/>
    <s v="25"/>
    <m/>
    <n v="25"/>
    <s v="   "/>
    <n v="4.2000000000000003E-2"/>
  </r>
  <r>
    <x v="2"/>
    <s v="Ritzville School District"/>
    <s v="Personnel"/>
    <s v="E "/>
    <x v="0"/>
    <x v="8"/>
    <s v="PSES Elem Prog01Act26 S275"/>
    <x v="0"/>
    <s v="26"/>
    <m/>
    <n v="26"/>
    <s v="   "/>
    <n v="0.59899999999999998"/>
  </r>
  <r>
    <x v="2"/>
    <s v="Ritzville School District"/>
    <s v="Personnel"/>
    <s v="H "/>
    <x v="1"/>
    <x v="16"/>
    <s v="PSES High Prog01Duty42 S275"/>
    <x v="0"/>
    <s v="42"/>
    <n v="42"/>
    <m/>
    <s v="   "/>
    <n v="0.625"/>
  </r>
  <r>
    <x v="3"/>
    <s v="Clarkston School District"/>
    <s v="Personnel"/>
    <s v="E "/>
    <x v="0"/>
    <x v="3"/>
    <s v="PSES Elem Prog01Act25 S275"/>
    <x v="0"/>
    <s v="25"/>
    <m/>
    <n v="25"/>
    <s v="   "/>
    <n v="0.14000000000000001"/>
  </r>
  <r>
    <x v="3"/>
    <s v="Clarkston School District"/>
    <s v="Personnel"/>
    <s v="H "/>
    <x v="1"/>
    <x v="4"/>
    <s v="PSES High Prog21Act25 S275"/>
    <x v="1"/>
    <s v="25"/>
    <m/>
    <n v="25"/>
    <s v="   "/>
    <n v="3.9E-2"/>
  </r>
  <r>
    <x v="3"/>
    <s v="Clarkston School District"/>
    <s v="Personnel"/>
    <s v="H "/>
    <x v="1"/>
    <x v="5"/>
    <s v="PSES High Prog01Act25 S275"/>
    <x v="0"/>
    <s v="25"/>
    <m/>
    <n v="25"/>
    <s v="   "/>
    <n v="0.69199999999999995"/>
  </r>
  <r>
    <x v="3"/>
    <s v="Clarkston School District"/>
    <s v="Personnel"/>
    <s v="E "/>
    <x v="0"/>
    <x v="7"/>
    <s v="PSES Elem Prog21Act26 S275"/>
    <x v="1"/>
    <s v="26"/>
    <m/>
    <n v="26"/>
    <s v="   "/>
    <n v="0.496"/>
  </r>
  <r>
    <x v="3"/>
    <s v="Clarkston School District"/>
    <s v="Personnel"/>
    <s v="H "/>
    <x v="1"/>
    <x v="9"/>
    <s v="PSES High Prog01Act26 S275"/>
    <x v="0"/>
    <s v="26"/>
    <m/>
    <n v="26"/>
    <s v="   "/>
    <n v="3.0310000000000001"/>
  </r>
  <r>
    <x v="3"/>
    <s v="Clarkston School District"/>
    <s v="Personnel"/>
    <s v="H "/>
    <x v="1"/>
    <x v="16"/>
    <s v="PSES High Prog01Duty42 S275"/>
    <x v="0"/>
    <s v="42"/>
    <n v="42"/>
    <m/>
    <s v="   "/>
    <n v="1.5"/>
  </r>
  <r>
    <x v="3"/>
    <s v="Clarkston School District"/>
    <s v="Personnel"/>
    <s v="M "/>
    <x v="2"/>
    <x v="17"/>
    <s v="PSES Mid Prog01Duty42 S275"/>
    <x v="0"/>
    <s v="42"/>
    <n v="42"/>
    <m/>
    <s v="   "/>
    <n v="0.6"/>
  </r>
  <r>
    <x v="3"/>
    <s v="Clarkston School District"/>
    <s v="Personnel"/>
    <s v="E "/>
    <x v="0"/>
    <x v="18"/>
    <s v="PSES Elem Prog21Duty43 S275"/>
    <x v="1"/>
    <s v="43"/>
    <n v="43"/>
    <m/>
    <s v="   "/>
    <n v="1.857"/>
  </r>
  <r>
    <x v="3"/>
    <s v="Clarkston School District"/>
    <s v="Personnel"/>
    <s v="H "/>
    <x v="1"/>
    <x v="19"/>
    <s v="PSES High Prog21Duty43 S275"/>
    <x v="1"/>
    <s v="43"/>
    <n v="43"/>
    <m/>
    <s v="   "/>
    <n v="8.3000000000000004E-2"/>
  </r>
  <r>
    <x v="3"/>
    <s v="Clarkston School District"/>
    <s v="Personnel"/>
    <s v="E "/>
    <x v="0"/>
    <x v="20"/>
    <s v="PSES Elem Prog21Duty45 S275"/>
    <x v="1"/>
    <s v="45"/>
    <n v="45"/>
    <m/>
    <s v="   "/>
    <n v="3.581"/>
  </r>
  <r>
    <x v="3"/>
    <s v="Clarkston School District"/>
    <s v="Personnel"/>
    <s v="E "/>
    <x v="0"/>
    <x v="22"/>
    <s v="PSES Elem Prog21Duty46 S275"/>
    <x v="1"/>
    <s v="46"/>
    <n v="46"/>
    <m/>
    <s v="   "/>
    <n v="2.012"/>
  </r>
  <r>
    <x v="3"/>
    <s v="Clarkston School District"/>
    <s v="Personnel"/>
    <s v="H "/>
    <x v="1"/>
    <x v="23"/>
    <s v="PSES High Prog21Duty46 S275"/>
    <x v="1"/>
    <s v="46"/>
    <n v="46"/>
    <m/>
    <s v="   "/>
    <n v="0.70099999999999996"/>
  </r>
  <r>
    <x v="3"/>
    <s v="Clarkston School District"/>
    <s v="Personnel"/>
    <s v="M "/>
    <x v="2"/>
    <x v="24"/>
    <s v="PSES Mid Prog21Duty46 S275"/>
    <x v="1"/>
    <s v="46"/>
    <n v="46"/>
    <m/>
    <s v="   "/>
    <n v="0.28699999999999998"/>
  </r>
  <r>
    <x v="3"/>
    <s v="Clarkston School District"/>
    <s v="Personnel"/>
    <s v="E "/>
    <x v="0"/>
    <x v="27"/>
    <s v="PSES Elem Prog01Duty47 S275"/>
    <x v="0"/>
    <s v="47"/>
    <n v="47"/>
    <m/>
    <s v="   "/>
    <n v="1"/>
  </r>
  <r>
    <x v="4"/>
    <s v="Asotin-Anatone School District"/>
    <s v="Personnel"/>
    <s v="E "/>
    <x v="0"/>
    <x v="3"/>
    <s v="PSES Elem Prog01Act25 S275"/>
    <x v="0"/>
    <s v="25"/>
    <m/>
    <n v="25"/>
    <s v="   "/>
    <n v="1.319"/>
  </r>
  <r>
    <x v="4"/>
    <s v="Asotin-Anatone School District"/>
    <s v="Personnel"/>
    <s v="H "/>
    <x v="1"/>
    <x v="5"/>
    <s v="PSES High Prog01Act25 S275"/>
    <x v="0"/>
    <s v="25"/>
    <m/>
    <n v="25"/>
    <s v="   "/>
    <n v="7.5999999999999998E-2"/>
  </r>
  <r>
    <x v="4"/>
    <s v="Asotin-Anatone School District"/>
    <s v="Personnel"/>
    <s v="M "/>
    <x v="2"/>
    <x v="6"/>
    <s v="PSES Mid Prog01Act25 S275"/>
    <x v="0"/>
    <s v="25"/>
    <m/>
    <n v="25"/>
    <s v="   "/>
    <n v="2E-3"/>
  </r>
  <r>
    <x v="4"/>
    <s v="Asotin-Anatone School District"/>
    <s v="Personnel"/>
    <s v="E "/>
    <x v="0"/>
    <x v="15"/>
    <s v="PSES Elem Prog01Duty42 S275"/>
    <x v="0"/>
    <s v="42"/>
    <n v="42"/>
    <m/>
    <s v="   "/>
    <n v="0.499"/>
  </r>
  <r>
    <x v="4"/>
    <s v="Asotin-Anatone School District"/>
    <s v="Personnel"/>
    <s v="H "/>
    <x v="1"/>
    <x v="16"/>
    <s v="PSES High Prog01Duty42 S275"/>
    <x v="0"/>
    <s v="42"/>
    <n v="42"/>
    <m/>
    <s v="   "/>
    <n v="0.8"/>
  </r>
  <r>
    <x v="4"/>
    <s v="Asotin-Anatone School District"/>
    <s v="Personnel"/>
    <s v="M "/>
    <x v="2"/>
    <x v="17"/>
    <s v="PSES Mid Prog01Duty42 S275"/>
    <x v="0"/>
    <s v="42"/>
    <n v="42"/>
    <m/>
    <s v="   "/>
    <n v="0.2"/>
  </r>
  <r>
    <x v="4"/>
    <s v="Asotin-Anatone School District"/>
    <s v="Personnel"/>
    <s v="E "/>
    <x v="0"/>
    <x v="20"/>
    <s v="PSES Elem Prog21Duty45 S275"/>
    <x v="1"/>
    <s v="45"/>
    <n v="45"/>
    <m/>
    <s v="   "/>
    <n v="0.60799999999999998"/>
  </r>
  <r>
    <x v="4"/>
    <s v="Asotin-Anatone School District"/>
    <s v="Personnel"/>
    <s v="H "/>
    <x v="1"/>
    <x v="21"/>
    <s v="PSES High Prog21Duty45 S275"/>
    <x v="1"/>
    <s v="45"/>
    <n v="45"/>
    <m/>
    <s v="   "/>
    <n v="5.6000000000000001E-2"/>
  </r>
  <r>
    <x v="4"/>
    <s v="Asotin-Anatone School District"/>
    <s v="Personnel"/>
    <s v="M "/>
    <x v="2"/>
    <x v="28"/>
    <s v="PSES Mid Prog21Duty45 S275"/>
    <x v="1"/>
    <s v="45"/>
    <n v="45"/>
    <m/>
    <s v="   "/>
    <n v="0.13600000000000001"/>
  </r>
  <r>
    <x v="4"/>
    <s v="Asotin-Anatone School District"/>
    <s v="Personnel"/>
    <s v="E "/>
    <x v="0"/>
    <x v="22"/>
    <s v="PSES Elem Prog21Duty46 S275"/>
    <x v="1"/>
    <s v="46"/>
    <n v="46"/>
    <m/>
    <s v="   "/>
    <n v="0.16700000000000001"/>
  </r>
  <r>
    <x v="4"/>
    <s v="Asotin-Anatone School District"/>
    <s v="Personnel"/>
    <s v="H "/>
    <x v="1"/>
    <x v="23"/>
    <s v="PSES High Prog21Duty46 S275"/>
    <x v="1"/>
    <s v="46"/>
    <n v="46"/>
    <m/>
    <s v="   "/>
    <n v="0.16700000000000001"/>
  </r>
  <r>
    <x v="4"/>
    <s v="Asotin-Anatone School District"/>
    <s v="Personnel"/>
    <s v="M "/>
    <x v="2"/>
    <x v="24"/>
    <s v="PSES Mid Prog21Duty46 S275"/>
    <x v="1"/>
    <s v="46"/>
    <n v="46"/>
    <m/>
    <s v="   "/>
    <n v="0.16700000000000001"/>
  </r>
  <r>
    <x v="5"/>
    <s v="Kennewick School District"/>
    <s v="Personnel"/>
    <s v="H "/>
    <x v="1"/>
    <x v="1"/>
    <s v="PSES High Prog01Duty96 S275"/>
    <x v="0"/>
    <s v="24"/>
    <n v="96"/>
    <n v="24"/>
    <s v="   "/>
    <n v="2.3610000000000002"/>
  </r>
  <r>
    <x v="5"/>
    <s v="Kennewick School District"/>
    <s v="Personnel"/>
    <s v="H "/>
    <x v="1"/>
    <x v="4"/>
    <s v="PSES High Prog21Act25 S275"/>
    <x v="1"/>
    <s v="25"/>
    <m/>
    <n v="25"/>
    <s v="   "/>
    <n v="6.077"/>
  </r>
  <r>
    <x v="5"/>
    <s v="Kennewick School District"/>
    <s v="Personnel"/>
    <s v="H "/>
    <x v="1"/>
    <x v="5"/>
    <s v="PSES High Prog01Act25 S275"/>
    <x v="0"/>
    <s v="25"/>
    <m/>
    <n v="25"/>
    <s v="   "/>
    <n v="31.879000000000001"/>
  </r>
  <r>
    <x v="5"/>
    <s v="Kennewick School District"/>
    <s v="Personnel"/>
    <s v="H "/>
    <x v="1"/>
    <x v="29"/>
    <s v="PSES High Prog21Act26 S275"/>
    <x v="1"/>
    <s v="26"/>
    <m/>
    <n v="26"/>
    <s v="   "/>
    <n v="5.7409999999999997"/>
  </r>
  <r>
    <x v="5"/>
    <s v="Kennewick School District"/>
    <s v="Personnel"/>
    <s v="H "/>
    <x v="1"/>
    <x v="9"/>
    <s v="PSES High Prog01Act26 S275"/>
    <x v="0"/>
    <s v="26"/>
    <m/>
    <n v="26"/>
    <s v="   "/>
    <n v="4.2389999999999999"/>
  </r>
  <r>
    <x v="5"/>
    <s v="Kennewick School District"/>
    <s v="Personnel"/>
    <s v="E "/>
    <x v="0"/>
    <x v="30"/>
    <s v="PSES Elem Prog97Act35 S275"/>
    <x v="2"/>
    <s v="35"/>
    <m/>
    <n v="35"/>
    <s v="   "/>
    <n v="1.2"/>
  </r>
  <r>
    <x v="5"/>
    <s v="Kennewick School District"/>
    <s v="Personnel"/>
    <s v="H "/>
    <x v="1"/>
    <x v="12"/>
    <s v="PSES High Prog97Act35 S275"/>
    <x v="2"/>
    <s v="35"/>
    <m/>
    <n v="35"/>
    <s v="   "/>
    <n v="10.901"/>
  </r>
  <r>
    <x v="5"/>
    <s v="Kennewick School District"/>
    <s v="Personnel"/>
    <s v="M "/>
    <x v="2"/>
    <x v="13"/>
    <s v="PSES Mid Prog97Act35 S275"/>
    <x v="2"/>
    <s v="35"/>
    <m/>
    <n v="35"/>
    <s v="   "/>
    <n v="2.4350000000000001"/>
  </r>
  <r>
    <x v="5"/>
    <s v="Kennewick School District"/>
    <s v="Personnel"/>
    <s v="E "/>
    <x v="0"/>
    <x v="15"/>
    <s v="PSES Elem Prog01Duty42 S275"/>
    <x v="0"/>
    <s v="42"/>
    <n v="42"/>
    <m/>
    <s v="   "/>
    <n v="20.2"/>
  </r>
  <r>
    <x v="5"/>
    <s v="Kennewick School District"/>
    <s v="Personnel"/>
    <s v="H "/>
    <x v="1"/>
    <x v="16"/>
    <s v="PSES High Prog01Duty42 S275"/>
    <x v="0"/>
    <s v="42"/>
    <n v="42"/>
    <m/>
    <s v="   "/>
    <n v="11.894"/>
  </r>
  <r>
    <x v="5"/>
    <s v="Kennewick School District"/>
    <s v="Personnel"/>
    <s v="M "/>
    <x v="2"/>
    <x v="17"/>
    <s v="PSES Mid Prog01Duty42 S275"/>
    <x v="0"/>
    <s v="42"/>
    <n v="42"/>
    <m/>
    <s v="   "/>
    <n v="6.8"/>
  </r>
  <r>
    <x v="5"/>
    <s v="Kennewick School District"/>
    <s v="Personnel"/>
    <s v="E "/>
    <x v="0"/>
    <x v="18"/>
    <s v="PSES Elem Prog21Duty43 S275"/>
    <x v="1"/>
    <s v="43"/>
    <n v="43"/>
    <m/>
    <s v="   "/>
    <n v="2.754"/>
  </r>
  <r>
    <x v="5"/>
    <s v="Kennewick School District"/>
    <s v="Personnel"/>
    <s v="H "/>
    <x v="1"/>
    <x v="19"/>
    <s v="PSES High Prog21Duty43 S275"/>
    <x v="1"/>
    <s v="43"/>
    <n v="43"/>
    <m/>
    <s v="   "/>
    <n v="0.24"/>
  </r>
  <r>
    <x v="5"/>
    <s v="Kennewick School District"/>
    <s v="Personnel"/>
    <s v="M "/>
    <x v="2"/>
    <x v="31"/>
    <s v="PSES Mid Prog21Duty43 S275"/>
    <x v="1"/>
    <s v="43"/>
    <n v="43"/>
    <m/>
    <s v="   "/>
    <n v="0.126"/>
  </r>
  <r>
    <x v="5"/>
    <s v="Kennewick School District"/>
    <s v="Personnel"/>
    <s v="E "/>
    <x v="0"/>
    <x v="20"/>
    <s v="PSES Elem Prog21Duty45 S275"/>
    <x v="1"/>
    <s v="45"/>
    <n v="45"/>
    <m/>
    <s v="   "/>
    <n v="16.623999999999999"/>
  </r>
  <r>
    <x v="5"/>
    <s v="Kennewick School District"/>
    <s v="Personnel"/>
    <s v="H "/>
    <x v="1"/>
    <x v="21"/>
    <s v="PSES High Prog21Duty45 S275"/>
    <x v="1"/>
    <s v="45"/>
    <n v="45"/>
    <m/>
    <s v="   "/>
    <n v="1.7"/>
  </r>
  <r>
    <x v="5"/>
    <s v="Kennewick School District"/>
    <s v="Personnel"/>
    <s v="M "/>
    <x v="2"/>
    <x v="28"/>
    <s v="PSES Mid Prog21Duty45 S275"/>
    <x v="1"/>
    <s v="45"/>
    <n v="45"/>
    <m/>
    <s v="   "/>
    <n v="1.3819999999999999"/>
  </r>
  <r>
    <x v="5"/>
    <s v="Kennewick School District"/>
    <s v="Personnel"/>
    <s v="E "/>
    <x v="0"/>
    <x v="22"/>
    <s v="PSES Elem Prog21Duty46 S275"/>
    <x v="1"/>
    <s v="46"/>
    <n v="46"/>
    <m/>
    <s v="   "/>
    <n v="6.8739999999999997"/>
  </r>
  <r>
    <x v="5"/>
    <s v="Kennewick School District"/>
    <s v="Personnel"/>
    <s v="H "/>
    <x v="1"/>
    <x v="23"/>
    <s v="PSES High Prog21Duty46 S275"/>
    <x v="1"/>
    <s v="46"/>
    <n v="46"/>
    <m/>
    <s v="   "/>
    <n v="3.75"/>
  </r>
  <r>
    <x v="5"/>
    <s v="Kennewick School District"/>
    <s v="Personnel"/>
    <s v="M "/>
    <x v="2"/>
    <x v="24"/>
    <s v="PSES Mid Prog21Duty46 S275"/>
    <x v="1"/>
    <s v="46"/>
    <n v="46"/>
    <m/>
    <s v="   "/>
    <n v="2.4460000000000002"/>
  </r>
  <r>
    <x v="5"/>
    <s v="Kennewick School District"/>
    <s v="Personnel"/>
    <s v="E "/>
    <x v="0"/>
    <x v="32"/>
    <s v="PSES Elem Prog21Duty47 S275"/>
    <x v="1"/>
    <s v="47"/>
    <n v="47"/>
    <m/>
    <s v="   "/>
    <n v="0.05"/>
  </r>
  <r>
    <x v="5"/>
    <s v="Kennewick School District"/>
    <s v="Personnel"/>
    <s v="E "/>
    <x v="0"/>
    <x v="27"/>
    <s v="PSES Elem Prog01Duty47 S275"/>
    <x v="0"/>
    <s v="47"/>
    <n v="47"/>
    <m/>
    <s v="   "/>
    <n v="8.0860000000000003"/>
  </r>
  <r>
    <x v="5"/>
    <s v="Kennewick School District"/>
    <s v="Personnel"/>
    <s v="H "/>
    <x v="1"/>
    <x v="25"/>
    <s v="PSES High Prog01Duty47 S275"/>
    <x v="0"/>
    <s v="47"/>
    <n v="47"/>
    <m/>
    <s v="   "/>
    <n v="3.35"/>
  </r>
  <r>
    <x v="5"/>
    <s v="Kennewick School District"/>
    <s v="Personnel"/>
    <s v="M "/>
    <x v="2"/>
    <x v="33"/>
    <s v="PSES Mid Prog21Duty47 S275"/>
    <x v="1"/>
    <s v="47"/>
    <n v="47"/>
    <m/>
    <s v="   "/>
    <n v="0.1"/>
  </r>
  <r>
    <x v="5"/>
    <s v="Kennewick School District"/>
    <s v="Personnel"/>
    <s v="M "/>
    <x v="2"/>
    <x v="34"/>
    <s v="PSES Mid Prog01Duty47 S275"/>
    <x v="0"/>
    <s v="47"/>
    <n v="47"/>
    <m/>
    <s v="   "/>
    <n v="7.0140000000000002"/>
  </r>
  <r>
    <x v="5"/>
    <s v="Kennewick School District"/>
    <s v="Personnel"/>
    <s v="E "/>
    <x v="0"/>
    <x v="35"/>
    <s v="PSES Elem Prog21Duty48 S275"/>
    <x v="1"/>
    <s v="48"/>
    <n v="48"/>
    <m/>
    <s v="   "/>
    <n v="2.4700000000000002"/>
  </r>
  <r>
    <x v="5"/>
    <s v="Kennewick School District"/>
    <s v="Personnel"/>
    <s v="H "/>
    <x v="1"/>
    <x v="36"/>
    <s v="PSES High Prog21Duty48 S275"/>
    <x v="1"/>
    <s v="48"/>
    <n v="48"/>
    <m/>
    <s v="   "/>
    <n v="0.2"/>
  </r>
  <r>
    <x v="5"/>
    <s v="Kennewick School District"/>
    <s v="Personnel"/>
    <s v="M "/>
    <x v="2"/>
    <x v="37"/>
    <s v="PSES Mid Prog21Duty48 S275"/>
    <x v="1"/>
    <s v="48"/>
    <n v="48"/>
    <m/>
    <s v="   "/>
    <n v="0.05"/>
  </r>
  <r>
    <x v="6"/>
    <s v="Paterson School District"/>
    <s v="Personnel"/>
    <s v="E "/>
    <x v="0"/>
    <x v="38"/>
    <s v="PSES Elem Prog21Duty64 S275"/>
    <x v="1"/>
    <s v="64"/>
    <n v="64"/>
    <m/>
    <s v="   "/>
    <n v="0.5"/>
  </r>
  <r>
    <x v="6"/>
    <s v="Paterson School District"/>
    <s v="Personnel"/>
    <s v="E "/>
    <x v="0"/>
    <x v="39"/>
    <s v="PSES Elem Prog01Duty64 S275"/>
    <x v="0"/>
    <s v="64"/>
    <n v="64"/>
    <m/>
    <s v="   "/>
    <n v="0.5"/>
  </r>
  <r>
    <x v="7"/>
    <s v="Kiona-Benton City School District"/>
    <s v="Personnel"/>
    <s v="H "/>
    <x v="1"/>
    <x v="5"/>
    <s v="PSES High Prog01Act25 S275"/>
    <x v="0"/>
    <s v="25"/>
    <m/>
    <n v="25"/>
    <s v="   "/>
    <n v="4.1239999999999997"/>
  </r>
  <r>
    <x v="7"/>
    <s v="Kiona-Benton City School District"/>
    <s v="Personnel"/>
    <s v="H "/>
    <x v="1"/>
    <x v="29"/>
    <s v="PSES High Prog21Act26 S275"/>
    <x v="1"/>
    <s v="26"/>
    <m/>
    <n v="26"/>
    <s v="   "/>
    <n v="1.2190000000000001"/>
  </r>
  <r>
    <x v="7"/>
    <s v="Kiona-Benton City School District"/>
    <s v="Personnel"/>
    <s v="H "/>
    <x v="1"/>
    <x v="9"/>
    <s v="PSES High Prog01Act26 S275"/>
    <x v="0"/>
    <s v="26"/>
    <m/>
    <n v="26"/>
    <s v="   "/>
    <n v="0.54800000000000004"/>
  </r>
  <r>
    <x v="7"/>
    <s v="Kiona-Benton City School District"/>
    <s v="Personnel"/>
    <s v="E "/>
    <x v="0"/>
    <x v="15"/>
    <s v="PSES Elem Prog01Duty42 S275"/>
    <x v="0"/>
    <s v="42"/>
    <n v="42"/>
    <m/>
    <s v="   "/>
    <n v="1"/>
  </r>
  <r>
    <x v="7"/>
    <s v="Kiona-Benton City School District"/>
    <s v="Personnel"/>
    <s v="H "/>
    <x v="1"/>
    <x v="16"/>
    <s v="PSES High Prog01Duty42 S275"/>
    <x v="0"/>
    <s v="42"/>
    <n v="42"/>
    <m/>
    <s v="   "/>
    <n v="1.5069999999999999"/>
  </r>
  <r>
    <x v="7"/>
    <s v="Kiona-Benton City School District"/>
    <s v="Personnel"/>
    <s v="E "/>
    <x v="0"/>
    <x v="18"/>
    <s v="PSES Elem Prog21Duty43 S275"/>
    <x v="1"/>
    <s v="43"/>
    <n v="43"/>
    <m/>
    <s v="   "/>
    <n v="0.4"/>
  </r>
  <r>
    <x v="7"/>
    <s v="Kiona-Benton City School District"/>
    <s v="Personnel"/>
    <s v="E "/>
    <x v="0"/>
    <x v="22"/>
    <s v="PSES Elem Prog21Duty46 S275"/>
    <x v="1"/>
    <s v="46"/>
    <n v="46"/>
    <m/>
    <s v="   "/>
    <n v="0.47499999999999998"/>
  </r>
  <r>
    <x v="7"/>
    <s v="Kiona-Benton City School District"/>
    <s v="Personnel"/>
    <s v="H "/>
    <x v="1"/>
    <x v="23"/>
    <s v="PSES High Prog21Duty46 S275"/>
    <x v="1"/>
    <s v="46"/>
    <n v="46"/>
    <m/>
    <s v="   "/>
    <n v="0.20200000000000001"/>
  </r>
  <r>
    <x v="7"/>
    <s v="Kiona-Benton City School District"/>
    <s v="Personnel"/>
    <s v="M "/>
    <x v="2"/>
    <x v="24"/>
    <s v="PSES Mid Prog21Duty46 S275"/>
    <x v="1"/>
    <s v="46"/>
    <n v="46"/>
    <m/>
    <s v="   "/>
    <n v="0.32300000000000001"/>
  </r>
  <r>
    <x v="8"/>
    <s v="Finley School District"/>
    <s v="Personnel"/>
    <s v="E "/>
    <x v="0"/>
    <x v="3"/>
    <s v="PSES Elem Prog01Act25 S275"/>
    <x v="0"/>
    <s v="25"/>
    <m/>
    <n v="25"/>
    <s v="   "/>
    <n v="0.94099999999999995"/>
  </r>
  <r>
    <x v="8"/>
    <s v="Finley School District"/>
    <s v="Personnel"/>
    <s v="H "/>
    <x v="1"/>
    <x v="5"/>
    <s v="PSES High Prog01Act25 S275"/>
    <x v="0"/>
    <s v="25"/>
    <m/>
    <n v="25"/>
    <s v="   "/>
    <n v="0.36799999999999999"/>
  </r>
  <r>
    <x v="8"/>
    <s v="Finley School District"/>
    <s v="Personnel"/>
    <s v="M "/>
    <x v="2"/>
    <x v="6"/>
    <s v="PSES Mid Prog01Act25 S275"/>
    <x v="0"/>
    <s v="25"/>
    <m/>
    <n v="25"/>
    <s v="   "/>
    <n v="0.27500000000000002"/>
  </r>
  <r>
    <x v="8"/>
    <s v="Finley School District"/>
    <s v="Personnel"/>
    <s v="E "/>
    <x v="0"/>
    <x v="8"/>
    <s v="PSES Elem Prog01Act26 S275"/>
    <x v="0"/>
    <s v="26"/>
    <m/>
    <n v="26"/>
    <s v="   "/>
    <n v="0.41299999999999998"/>
  </r>
  <r>
    <x v="8"/>
    <s v="Finley School District"/>
    <s v="Personnel"/>
    <s v="E "/>
    <x v="0"/>
    <x v="15"/>
    <s v="PSES Elem Prog01Duty42 S275"/>
    <x v="0"/>
    <s v="42"/>
    <n v="42"/>
    <m/>
    <s v="   "/>
    <n v="0.4"/>
  </r>
  <r>
    <x v="8"/>
    <s v="Finley School District"/>
    <s v="Personnel"/>
    <s v="H "/>
    <x v="1"/>
    <x v="16"/>
    <s v="PSES High Prog01Duty42 S275"/>
    <x v="0"/>
    <s v="42"/>
    <n v="42"/>
    <m/>
    <s v="   "/>
    <n v="0.8"/>
  </r>
  <r>
    <x v="8"/>
    <s v="Finley School District"/>
    <s v="Personnel"/>
    <s v="M "/>
    <x v="2"/>
    <x v="17"/>
    <s v="PSES Mid Prog01Duty42 S275"/>
    <x v="0"/>
    <s v="42"/>
    <n v="42"/>
    <m/>
    <s v="   "/>
    <n v="0.4"/>
  </r>
  <r>
    <x v="8"/>
    <s v="Finley School District"/>
    <s v="Personnel"/>
    <s v="E "/>
    <x v="0"/>
    <x v="20"/>
    <s v="PSES Elem Prog21Duty45 S275"/>
    <x v="1"/>
    <s v="45"/>
    <n v="45"/>
    <m/>
    <s v="   "/>
    <n v="1"/>
  </r>
  <r>
    <x v="8"/>
    <s v="Finley School District"/>
    <s v="Personnel"/>
    <s v="E "/>
    <x v="0"/>
    <x v="22"/>
    <s v="PSES Elem Prog21Duty46 S275"/>
    <x v="1"/>
    <s v="46"/>
    <n v="46"/>
    <m/>
    <s v="   "/>
    <n v="1"/>
  </r>
  <r>
    <x v="9"/>
    <s v="Prosser School District"/>
    <s v="Personnel"/>
    <s v="E "/>
    <x v="0"/>
    <x v="3"/>
    <s v="PSES Elem Prog01Act25 S275"/>
    <x v="0"/>
    <s v="25"/>
    <m/>
    <n v="25"/>
    <s v="   "/>
    <n v="7.3999999999999996E-2"/>
  </r>
  <r>
    <x v="9"/>
    <s v="Prosser School District"/>
    <s v="Personnel"/>
    <s v="H "/>
    <x v="1"/>
    <x v="5"/>
    <s v="PSES High Prog01Act25 S275"/>
    <x v="0"/>
    <s v="25"/>
    <m/>
    <n v="25"/>
    <s v="   "/>
    <n v="7.532"/>
  </r>
  <r>
    <x v="9"/>
    <s v="Prosser School District"/>
    <s v="Personnel"/>
    <s v="E "/>
    <x v="0"/>
    <x v="7"/>
    <s v="PSES Elem Prog21Act26 S275"/>
    <x v="1"/>
    <s v="26"/>
    <m/>
    <n v="26"/>
    <s v="   "/>
    <n v="0.60599999999999998"/>
  </r>
  <r>
    <x v="9"/>
    <s v="Prosser School District"/>
    <s v="Personnel"/>
    <s v="E "/>
    <x v="0"/>
    <x v="8"/>
    <s v="PSES Elem Prog01Act26 S275"/>
    <x v="0"/>
    <s v="26"/>
    <m/>
    <n v="26"/>
    <s v="   "/>
    <n v="0.63900000000000001"/>
  </r>
  <r>
    <x v="9"/>
    <s v="Prosser School District"/>
    <s v="Personnel"/>
    <s v="H "/>
    <x v="1"/>
    <x v="29"/>
    <s v="PSES High Prog21Act26 S275"/>
    <x v="1"/>
    <s v="26"/>
    <m/>
    <n v="26"/>
    <s v="   "/>
    <n v="1.246"/>
  </r>
  <r>
    <x v="9"/>
    <s v="Prosser School District"/>
    <s v="Personnel"/>
    <s v="H "/>
    <x v="1"/>
    <x v="9"/>
    <s v="PSES High Prog01Act26 S275"/>
    <x v="0"/>
    <s v="26"/>
    <m/>
    <n v="26"/>
    <s v="   "/>
    <n v="3.2559999999999998"/>
  </r>
  <r>
    <x v="9"/>
    <s v="Prosser School District"/>
    <s v="Personnel"/>
    <s v="E "/>
    <x v="0"/>
    <x v="15"/>
    <s v="PSES Elem Prog01Duty42 S275"/>
    <x v="0"/>
    <s v="42"/>
    <n v="42"/>
    <m/>
    <s v="   "/>
    <n v="3"/>
  </r>
  <r>
    <x v="9"/>
    <s v="Prosser School District"/>
    <s v="Personnel"/>
    <s v="H "/>
    <x v="1"/>
    <x v="16"/>
    <s v="PSES High Prog01Duty42 S275"/>
    <x v="0"/>
    <s v="42"/>
    <n v="42"/>
    <m/>
    <s v="   "/>
    <n v="1.52"/>
  </r>
  <r>
    <x v="9"/>
    <s v="Prosser School District"/>
    <s v="Personnel"/>
    <s v="M "/>
    <x v="2"/>
    <x v="17"/>
    <s v="PSES Mid Prog01Duty42 S275"/>
    <x v="0"/>
    <s v="42"/>
    <n v="42"/>
    <m/>
    <s v="   "/>
    <n v="2"/>
  </r>
  <r>
    <x v="9"/>
    <s v="Prosser School District"/>
    <s v="Personnel"/>
    <s v="H "/>
    <x v="1"/>
    <x v="19"/>
    <s v="PSES High Prog21Duty43 S275"/>
    <x v="1"/>
    <s v="43"/>
    <n v="43"/>
    <m/>
    <s v="   "/>
    <n v="1"/>
  </r>
  <r>
    <x v="9"/>
    <s v="Prosser School District"/>
    <s v="Personnel"/>
    <s v="E "/>
    <x v="0"/>
    <x v="20"/>
    <s v="PSES Elem Prog21Duty45 S275"/>
    <x v="1"/>
    <s v="45"/>
    <n v="45"/>
    <m/>
    <s v="   "/>
    <n v="1.04"/>
  </r>
  <r>
    <x v="9"/>
    <s v="Prosser School District"/>
    <s v="Personnel"/>
    <s v="H "/>
    <x v="1"/>
    <x v="21"/>
    <s v="PSES High Prog21Duty45 S275"/>
    <x v="1"/>
    <s v="45"/>
    <n v="45"/>
    <m/>
    <s v="   "/>
    <n v="1.1599999999999999"/>
  </r>
  <r>
    <x v="9"/>
    <s v="Prosser School District"/>
    <s v="Personnel"/>
    <s v="M "/>
    <x v="2"/>
    <x v="28"/>
    <s v="PSES Mid Prog21Duty45 S275"/>
    <x v="1"/>
    <s v="45"/>
    <n v="45"/>
    <m/>
    <s v="   "/>
    <n v="0.8"/>
  </r>
  <r>
    <x v="9"/>
    <s v="Prosser School District"/>
    <s v="Personnel"/>
    <s v="E "/>
    <x v="0"/>
    <x v="35"/>
    <s v="PSES Elem Prog21Duty48 S275"/>
    <x v="1"/>
    <s v="48"/>
    <n v="48"/>
    <m/>
    <s v="   "/>
    <n v="0.34399999999999997"/>
  </r>
  <r>
    <x v="9"/>
    <s v="Prosser School District"/>
    <s v="Personnel"/>
    <s v="H "/>
    <x v="1"/>
    <x v="36"/>
    <s v="PSES High Prog21Duty48 S275"/>
    <x v="1"/>
    <s v="48"/>
    <n v="48"/>
    <m/>
    <s v="   "/>
    <n v="0.31"/>
  </r>
  <r>
    <x v="9"/>
    <s v="Prosser School District"/>
    <s v="Personnel"/>
    <s v="M "/>
    <x v="2"/>
    <x v="37"/>
    <s v="PSES Mid Prog21Duty48 S275"/>
    <x v="1"/>
    <s v="48"/>
    <n v="48"/>
    <m/>
    <s v="   "/>
    <n v="0.20599999999999999"/>
  </r>
  <r>
    <x v="10"/>
    <s v="Richland School District"/>
    <s v="Personnel"/>
    <s v="H "/>
    <x v="1"/>
    <x v="4"/>
    <s v="PSES High Prog21Act25 S275"/>
    <x v="1"/>
    <s v="25"/>
    <m/>
    <n v="25"/>
    <s v="   "/>
    <n v="6.8129999999999997"/>
  </r>
  <r>
    <x v="10"/>
    <s v="Richland School District"/>
    <s v="Personnel"/>
    <s v="H "/>
    <x v="1"/>
    <x v="5"/>
    <s v="PSES High Prog01Act25 S275"/>
    <x v="0"/>
    <s v="25"/>
    <m/>
    <n v="25"/>
    <s v="   "/>
    <n v="3.645"/>
  </r>
  <r>
    <x v="10"/>
    <s v="Richland School District"/>
    <s v="Personnel"/>
    <s v="H "/>
    <x v="1"/>
    <x v="29"/>
    <s v="PSES High Prog21Act26 S275"/>
    <x v="1"/>
    <s v="26"/>
    <m/>
    <n v="26"/>
    <s v="   "/>
    <n v="5.6"/>
  </r>
  <r>
    <x v="10"/>
    <s v="Richland School District"/>
    <s v="Personnel"/>
    <s v="H "/>
    <x v="1"/>
    <x v="9"/>
    <s v="PSES High Prog01Act26 S275"/>
    <x v="0"/>
    <s v="26"/>
    <m/>
    <n v="26"/>
    <s v="   "/>
    <n v="8.9109999999999996"/>
  </r>
  <r>
    <x v="10"/>
    <s v="Richland School District"/>
    <s v="Personnel"/>
    <s v="E "/>
    <x v="0"/>
    <x v="14"/>
    <s v="PSES Elem Prog21Duty39 S275"/>
    <x v="1"/>
    <s v="39"/>
    <n v="39"/>
    <m/>
    <s v="   "/>
    <n v="1"/>
  </r>
  <r>
    <x v="10"/>
    <s v="Richland School District"/>
    <s v="Personnel"/>
    <s v="E "/>
    <x v="0"/>
    <x v="40"/>
    <s v="PSES Elem Prog01Duty39 S275"/>
    <x v="0"/>
    <s v="39"/>
    <n v="39"/>
    <m/>
    <s v="   "/>
    <n v="1"/>
  </r>
  <r>
    <x v="10"/>
    <s v="Richland School District"/>
    <s v="Personnel"/>
    <s v="E "/>
    <x v="0"/>
    <x v="15"/>
    <s v="PSES Elem Prog01Duty42 S275"/>
    <x v="0"/>
    <s v="42"/>
    <n v="42"/>
    <m/>
    <s v="   "/>
    <n v="11.445"/>
  </r>
  <r>
    <x v="10"/>
    <s v="Richland School District"/>
    <s v="Personnel"/>
    <s v="H "/>
    <x v="1"/>
    <x v="16"/>
    <s v="PSES High Prog01Duty42 S275"/>
    <x v="0"/>
    <s v="42"/>
    <n v="42"/>
    <m/>
    <s v="   "/>
    <n v="15"/>
  </r>
  <r>
    <x v="10"/>
    <s v="Richland School District"/>
    <s v="Personnel"/>
    <s v="M "/>
    <x v="2"/>
    <x v="17"/>
    <s v="PSES Mid Prog01Duty42 S275"/>
    <x v="0"/>
    <s v="42"/>
    <n v="42"/>
    <m/>
    <s v="   "/>
    <n v="9.8000000000000007"/>
  </r>
  <r>
    <x v="10"/>
    <s v="Richland School District"/>
    <s v="Personnel"/>
    <s v="E "/>
    <x v="0"/>
    <x v="18"/>
    <s v="PSES Elem Prog21Duty43 S275"/>
    <x v="1"/>
    <s v="43"/>
    <n v="43"/>
    <m/>
    <s v="   "/>
    <n v="8.2129999999999992"/>
  </r>
  <r>
    <x v="10"/>
    <s v="Richland School District"/>
    <s v="Personnel"/>
    <s v="E "/>
    <x v="0"/>
    <x v="41"/>
    <s v="PSES Elem Prog21Duty44 S275"/>
    <x v="1"/>
    <s v="44"/>
    <n v="44"/>
    <m/>
    <s v="   "/>
    <n v="0.5"/>
  </r>
  <r>
    <x v="10"/>
    <s v="Richland School District"/>
    <s v="Personnel"/>
    <s v="E "/>
    <x v="0"/>
    <x v="42"/>
    <s v="PSES Elem Prog01Duty44 S275"/>
    <x v="0"/>
    <s v="44"/>
    <n v="44"/>
    <m/>
    <s v="   "/>
    <n v="0.5"/>
  </r>
  <r>
    <x v="10"/>
    <s v="Richland School District"/>
    <s v="Personnel"/>
    <s v="H "/>
    <x v="1"/>
    <x v="43"/>
    <s v="PSES High Prog21Duty44 S275"/>
    <x v="1"/>
    <s v="44"/>
    <n v="44"/>
    <m/>
    <s v="   "/>
    <n v="0.5"/>
  </r>
  <r>
    <x v="10"/>
    <s v="Richland School District"/>
    <s v="Personnel"/>
    <s v="H "/>
    <x v="1"/>
    <x v="44"/>
    <s v="PSES High Prog01Duty44 S275"/>
    <x v="0"/>
    <s v="44"/>
    <n v="44"/>
    <m/>
    <s v="   "/>
    <n v="2.5"/>
  </r>
  <r>
    <x v="10"/>
    <s v="Richland School District"/>
    <s v="Personnel"/>
    <s v="M "/>
    <x v="2"/>
    <x v="45"/>
    <s v="PSES Mid Prog21Duty44 S275"/>
    <x v="1"/>
    <s v="44"/>
    <n v="44"/>
    <m/>
    <s v="   "/>
    <n v="1"/>
  </r>
  <r>
    <x v="10"/>
    <s v="Richland School District"/>
    <s v="Personnel"/>
    <s v="M "/>
    <x v="2"/>
    <x v="46"/>
    <s v="PSES Mid Prog01Duty44 S275"/>
    <x v="0"/>
    <s v="44"/>
    <n v="44"/>
    <m/>
    <s v="   "/>
    <n v="1"/>
  </r>
  <r>
    <x v="10"/>
    <s v="Richland School District"/>
    <s v="Personnel"/>
    <s v="E "/>
    <x v="0"/>
    <x v="20"/>
    <s v="PSES Elem Prog21Duty45 S275"/>
    <x v="1"/>
    <s v="45"/>
    <n v="45"/>
    <m/>
    <s v="   "/>
    <n v="16.8"/>
  </r>
  <r>
    <x v="10"/>
    <s v="Richland School District"/>
    <s v="Personnel"/>
    <s v="E "/>
    <x v="0"/>
    <x v="47"/>
    <s v="PSES Elem Prog01Duty45 S275"/>
    <x v="0"/>
    <s v="45"/>
    <n v="45"/>
    <m/>
    <s v="   "/>
    <n v="1"/>
  </r>
  <r>
    <x v="10"/>
    <s v="Richland School District"/>
    <s v="Personnel"/>
    <s v="H "/>
    <x v="1"/>
    <x v="21"/>
    <s v="PSES High Prog21Duty45 S275"/>
    <x v="1"/>
    <s v="45"/>
    <n v="45"/>
    <m/>
    <s v="   "/>
    <n v="2"/>
  </r>
  <r>
    <x v="10"/>
    <s v="Richland School District"/>
    <s v="Personnel"/>
    <s v="M "/>
    <x v="2"/>
    <x v="28"/>
    <s v="PSES Mid Prog21Duty45 S275"/>
    <x v="1"/>
    <s v="45"/>
    <n v="45"/>
    <m/>
    <s v="   "/>
    <n v="1.8"/>
  </r>
  <r>
    <x v="10"/>
    <s v="Richland School District"/>
    <s v="Personnel"/>
    <s v="E "/>
    <x v="0"/>
    <x v="22"/>
    <s v="PSES Elem Prog21Duty46 S275"/>
    <x v="1"/>
    <s v="46"/>
    <n v="46"/>
    <m/>
    <s v="   "/>
    <n v="7.9"/>
  </r>
  <r>
    <x v="10"/>
    <s v="Richland School District"/>
    <s v="Personnel"/>
    <s v="E "/>
    <x v="0"/>
    <x v="48"/>
    <s v="PSES Elem Prog01Duty46 S275"/>
    <x v="0"/>
    <s v="46"/>
    <n v="46"/>
    <m/>
    <s v="   "/>
    <n v="4.9000000000000004"/>
  </r>
  <r>
    <x v="10"/>
    <s v="Richland School District"/>
    <s v="Personnel"/>
    <s v="H "/>
    <x v="1"/>
    <x v="23"/>
    <s v="PSES High Prog21Duty46 S275"/>
    <x v="1"/>
    <s v="46"/>
    <n v="46"/>
    <m/>
    <s v="   "/>
    <n v="4"/>
  </r>
  <r>
    <x v="10"/>
    <s v="Richland School District"/>
    <s v="Personnel"/>
    <s v="M "/>
    <x v="2"/>
    <x v="24"/>
    <s v="PSES Mid Prog21Duty46 S275"/>
    <x v="1"/>
    <s v="46"/>
    <n v="46"/>
    <m/>
    <s v="   "/>
    <n v="2.5"/>
  </r>
  <r>
    <x v="10"/>
    <s v="Richland School District"/>
    <s v="Personnel"/>
    <s v="M "/>
    <x v="2"/>
    <x v="49"/>
    <s v="PSES Mid Prog01Duty46 S275"/>
    <x v="0"/>
    <s v="46"/>
    <n v="46"/>
    <m/>
    <s v="   "/>
    <n v="0.5"/>
  </r>
  <r>
    <x v="10"/>
    <s v="Richland School District"/>
    <s v="Personnel"/>
    <s v="E "/>
    <x v="0"/>
    <x v="27"/>
    <s v="PSES Elem Prog01Duty47 S275"/>
    <x v="0"/>
    <s v="47"/>
    <n v="47"/>
    <m/>
    <s v="   "/>
    <n v="9.6"/>
  </r>
  <r>
    <x v="10"/>
    <s v="Richland School District"/>
    <s v="Personnel"/>
    <s v="H "/>
    <x v="1"/>
    <x v="25"/>
    <s v="PSES High Prog01Duty47 S275"/>
    <x v="0"/>
    <s v="47"/>
    <n v="47"/>
    <m/>
    <s v="   "/>
    <n v="3"/>
  </r>
  <r>
    <x v="10"/>
    <s v="Richland School District"/>
    <s v="Personnel"/>
    <s v="M "/>
    <x v="2"/>
    <x v="34"/>
    <s v="PSES Mid Prog01Duty47 S275"/>
    <x v="0"/>
    <s v="47"/>
    <n v="47"/>
    <m/>
    <s v="   "/>
    <n v="3"/>
  </r>
  <r>
    <x v="10"/>
    <s v="Richland School District"/>
    <s v="Personnel"/>
    <s v="E "/>
    <x v="0"/>
    <x v="35"/>
    <s v="PSES Elem Prog21Duty48 S275"/>
    <x v="1"/>
    <s v="48"/>
    <n v="48"/>
    <m/>
    <s v="   "/>
    <n v="4"/>
  </r>
  <r>
    <x v="10"/>
    <s v="Richland School District"/>
    <s v="Personnel"/>
    <s v="M "/>
    <x v="2"/>
    <x v="50"/>
    <s v="PSES Mid Prog21Duty49 S275"/>
    <x v="1"/>
    <s v="49"/>
    <n v="49"/>
    <m/>
    <s v="   "/>
    <n v="1"/>
  </r>
  <r>
    <x v="11"/>
    <s v="Manson School District"/>
    <s v="Personnel"/>
    <s v="H "/>
    <x v="1"/>
    <x v="5"/>
    <s v="PSES High Prog01Act25 S275"/>
    <x v="0"/>
    <s v="25"/>
    <m/>
    <n v="25"/>
    <s v="   "/>
    <n v="0.92700000000000005"/>
  </r>
  <r>
    <x v="11"/>
    <s v="Manson School District"/>
    <s v="Personnel"/>
    <s v="H "/>
    <x v="1"/>
    <x v="9"/>
    <s v="PSES High Prog01Act26 S275"/>
    <x v="0"/>
    <s v="26"/>
    <m/>
    <n v="26"/>
    <s v="   "/>
    <n v="0.67900000000000005"/>
  </r>
  <r>
    <x v="11"/>
    <s v="Manson School District"/>
    <s v="Personnel"/>
    <s v="E "/>
    <x v="0"/>
    <x v="15"/>
    <s v="PSES Elem Prog01Duty42 S275"/>
    <x v="0"/>
    <s v="42"/>
    <n v="42"/>
    <m/>
    <s v="   "/>
    <n v="0.8"/>
  </r>
  <r>
    <x v="11"/>
    <s v="Manson School District"/>
    <s v="Personnel"/>
    <s v="H "/>
    <x v="1"/>
    <x v="16"/>
    <s v="PSES High Prog01Duty42 S275"/>
    <x v="0"/>
    <s v="42"/>
    <n v="42"/>
    <m/>
    <s v="   "/>
    <n v="0.3"/>
  </r>
  <r>
    <x v="11"/>
    <s v="Manson School District"/>
    <s v="Personnel"/>
    <s v="M "/>
    <x v="2"/>
    <x v="17"/>
    <s v="PSES Mid Prog01Duty42 S275"/>
    <x v="0"/>
    <s v="42"/>
    <n v="42"/>
    <m/>
    <s v="   "/>
    <n v="0.43"/>
  </r>
  <r>
    <x v="11"/>
    <s v="Manson School District"/>
    <s v="Personnel"/>
    <s v="E "/>
    <x v="0"/>
    <x v="47"/>
    <s v="PSES Elem Prog01Duty45 S275"/>
    <x v="0"/>
    <s v="45"/>
    <n v="45"/>
    <m/>
    <s v="   "/>
    <n v="0.7"/>
  </r>
  <r>
    <x v="11"/>
    <s v="Manson School District"/>
    <s v="Personnel"/>
    <s v="H "/>
    <x v="1"/>
    <x v="51"/>
    <s v="PSES High Prog01Duty45 S275"/>
    <x v="0"/>
    <s v="45"/>
    <n v="45"/>
    <m/>
    <s v="   "/>
    <n v="7.0000000000000007E-2"/>
  </r>
  <r>
    <x v="11"/>
    <s v="Manson School District"/>
    <s v="Personnel"/>
    <s v="M "/>
    <x v="2"/>
    <x v="52"/>
    <s v="PSES Mid Prog01Duty45 S275"/>
    <x v="0"/>
    <s v="45"/>
    <n v="45"/>
    <m/>
    <s v="   "/>
    <n v="0.23"/>
  </r>
  <r>
    <x v="12"/>
    <s v="Entiat School District"/>
    <s v="Personnel"/>
    <s v="E "/>
    <x v="0"/>
    <x v="3"/>
    <s v="PSES Elem Prog01Act25 S275"/>
    <x v="0"/>
    <s v="25"/>
    <m/>
    <n v="25"/>
    <s v="   "/>
    <n v="0.17199999999999999"/>
  </r>
  <r>
    <x v="12"/>
    <s v="Entiat School District"/>
    <s v="Personnel"/>
    <s v="H "/>
    <x v="1"/>
    <x v="5"/>
    <s v="PSES High Prog01Act25 S275"/>
    <x v="0"/>
    <s v="25"/>
    <m/>
    <n v="25"/>
    <s v="   "/>
    <n v="1.1779999999999999"/>
  </r>
  <r>
    <x v="12"/>
    <s v="Entiat School District"/>
    <s v="Personnel"/>
    <s v="E "/>
    <x v="0"/>
    <x v="15"/>
    <s v="PSES Elem Prog01Duty42 S275"/>
    <x v="0"/>
    <s v="42"/>
    <n v="42"/>
    <m/>
    <s v="   "/>
    <n v="0.5"/>
  </r>
  <r>
    <x v="12"/>
    <s v="Entiat School District"/>
    <s v="Personnel"/>
    <s v="H "/>
    <x v="1"/>
    <x v="16"/>
    <s v="PSES High Prog01Duty42 S275"/>
    <x v="0"/>
    <s v="42"/>
    <n v="42"/>
    <m/>
    <s v="   "/>
    <n v="0.3"/>
  </r>
  <r>
    <x v="12"/>
    <s v="Entiat School District"/>
    <s v="Personnel"/>
    <s v="M "/>
    <x v="2"/>
    <x v="17"/>
    <s v="PSES Mid Prog01Duty42 S275"/>
    <x v="0"/>
    <s v="42"/>
    <n v="42"/>
    <m/>
    <s v="   "/>
    <n v="0.2"/>
  </r>
  <r>
    <x v="13"/>
    <s v="Lake Chelan School District"/>
    <s v="Personnel"/>
    <s v="E "/>
    <x v="0"/>
    <x v="3"/>
    <s v="PSES Elem Prog01Act25 S275"/>
    <x v="0"/>
    <s v="25"/>
    <m/>
    <n v="25"/>
    <s v="   "/>
    <n v="0.82799999999999996"/>
  </r>
  <r>
    <x v="13"/>
    <s v="Lake Chelan School District"/>
    <s v="Personnel"/>
    <s v="H "/>
    <x v="1"/>
    <x v="53"/>
    <s v="PSES High Prog97Act25 S275"/>
    <x v="2"/>
    <s v="25"/>
    <m/>
    <n v="25"/>
    <s v="   "/>
    <n v="0.14699999999999999"/>
  </r>
  <r>
    <x v="13"/>
    <s v="Lake Chelan School District"/>
    <s v="Personnel"/>
    <s v="H "/>
    <x v="1"/>
    <x v="5"/>
    <s v="PSES High Prog01Act25 S275"/>
    <x v="0"/>
    <s v="25"/>
    <m/>
    <n v="25"/>
    <s v="   "/>
    <n v="0.84799999999999998"/>
  </r>
  <r>
    <x v="13"/>
    <s v="Lake Chelan School District"/>
    <s v="Personnel"/>
    <s v="M "/>
    <x v="2"/>
    <x v="6"/>
    <s v="PSES Mid Prog01Act25 S275"/>
    <x v="0"/>
    <s v="25"/>
    <m/>
    <n v="25"/>
    <s v="   "/>
    <n v="6.2E-2"/>
  </r>
  <r>
    <x v="13"/>
    <s v="Lake Chelan School District"/>
    <s v="Personnel"/>
    <s v="E "/>
    <x v="0"/>
    <x v="8"/>
    <s v="PSES Elem Prog01Act26 S275"/>
    <x v="0"/>
    <s v="26"/>
    <m/>
    <n v="26"/>
    <s v="   "/>
    <n v="0.72699999999999998"/>
  </r>
  <r>
    <x v="13"/>
    <s v="Lake Chelan School District"/>
    <s v="Personnel"/>
    <s v="H "/>
    <x v="1"/>
    <x v="9"/>
    <s v="PSES High Prog01Act26 S275"/>
    <x v="0"/>
    <s v="26"/>
    <m/>
    <n v="26"/>
    <s v="   "/>
    <n v="0.46400000000000002"/>
  </r>
  <r>
    <x v="13"/>
    <s v="Lake Chelan School District"/>
    <s v="Personnel"/>
    <s v="M "/>
    <x v="2"/>
    <x v="11"/>
    <s v="PSES Mid Prog01Act26 S275"/>
    <x v="0"/>
    <s v="26"/>
    <m/>
    <n v="26"/>
    <s v="   "/>
    <n v="0.10299999999999999"/>
  </r>
  <r>
    <x v="13"/>
    <s v="Lake Chelan School District"/>
    <s v="Personnel"/>
    <s v="E "/>
    <x v="0"/>
    <x v="15"/>
    <s v="PSES Elem Prog01Duty42 S275"/>
    <x v="0"/>
    <s v="42"/>
    <n v="42"/>
    <m/>
    <s v="   "/>
    <n v="1.33"/>
  </r>
  <r>
    <x v="13"/>
    <s v="Lake Chelan School District"/>
    <s v="Personnel"/>
    <s v="H "/>
    <x v="1"/>
    <x v="16"/>
    <s v="PSES High Prog01Duty42 S275"/>
    <x v="0"/>
    <s v="42"/>
    <n v="42"/>
    <m/>
    <s v="   "/>
    <n v="0.61"/>
  </r>
  <r>
    <x v="13"/>
    <s v="Lake Chelan School District"/>
    <s v="Personnel"/>
    <s v="M "/>
    <x v="2"/>
    <x v="17"/>
    <s v="PSES Mid Prog01Duty42 S275"/>
    <x v="0"/>
    <s v="42"/>
    <n v="42"/>
    <m/>
    <s v="   "/>
    <n v="0.67"/>
  </r>
  <r>
    <x v="13"/>
    <s v="Lake Chelan School District"/>
    <s v="Personnel"/>
    <s v="E "/>
    <x v="0"/>
    <x v="18"/>
    <s v="PSES Elem Prog21Duty43 S275"/>
    <x v="1"/>
    <s v="43"/>
    <n v="43"/>
    <m/>
    <s v="   "/>
    <n v="0.25"/>
  </r>
  <r>
    <x v="13"/>
    <s v="Lake Chelan School District"/>
    <s v="Personnel"/>
    <s v="H "/>
    <x v="1"/>
    <x v="19"/>
    <s v="PSES High Prog21Duty43 S275"/>
    <x v="1"/>
    <s v="43"/>
    <n v="43"/>
    <m/>
    <s v="   "/>
    <n v="0.15"/>
  </r>
  <r>
    <x v="13"/>
    <s v="Lake Chelan School District"/>
    <s v="Personnel"/>
    <s v="M "/>
    <x v="2"/>
    <x v="31"/>
    <s v="PSES Mid Prog21Duty43 S275"/>
    <x v="1"/>
    <s v="43"/>
    <n v="43"/>
    <m/>
    <s v="   "/>
    <n v="0.32"/>
  </r>
  <r>
    <x v="13"/>
    <s v="Lake Chelan School District"/>
    <s v="Personnel"/>
    <s v="E "/>
    <x v="0"/>
    <x v="20"/>
    <s v="PSES Elem Prog21Duty45 S275"/>
    <x v="1"/>
    <s v="45"/>
    <n v="45"/>
    <m/>
    <s v="   "/>
    <n v="0.63300000000000001"/>
  </r>
  <r>
    <x v="13"/>
    <s v="Lake Chelan School District"/>
    <s v="Personnel"/>
    <s v="E "/>
    <x v="0"/>
    <x v="22"/>
    <s v="PSES Elem Prog21Duty46 S275"/>
    <x v="1"/>
    <s v="46"/>
    <n v="46"/>
    <m/>
    <s v="   "/>
    <n v="0.4"/>
  </r>
  <r>
    <x v="13"/>
    <s v="Lake Chelan School District"/>
    <s v="Personnel"/>
    <s v="H "/>
    <x v="1"/>
    <x v="23"/>
    <s v="PSES High Prog21Duty46 S275"/>
    <x v="1"/>
    <s v="46"/>
    <n v="46"/>
    <m/>
    <s v="   "/>
    <n v="0.6"/>
  </r>
  <r>
    <x v="14"/>
    <s v="CASHMERE SCHOOL DISTRICT"/>
    <s v="Personnel"/>
    <s v="H "/>
    <x v="1"/>
    <x v="5"/>
    <s v="PSES High Prog01Act25 S275"/>
    <x v="0"/>
    <s v="25"/>
    <m/>
    <n v="25"/>
    <s v="   "/>
    <n v="0.17499999999999999"/>
  </r>
  <r>
    <x v="14"/>
    <s v="CASHMERE SCHOOL DISTRICT"/>
    <s v="Personnel"/>
    <s v="E "/>
    <x v="0"/>
    <x v="7"/>
    <s v="PSES Elem Prog21Act26 S275"/>
    <x v="1"/>
    <s v="26"/>
    <m/>
    <n v="26"/>
    <s v="   "/>
    <n v="0.33"/>
  </r>
  <r>
    <x v="14"/>
    <s v="CASHMERE SCHOOL DISTRICT"/>
    <s v="Personnel"/>
    <s v="E "/>
    <x v="0"/>
    <x v="8"/>
    <s v="PSES Elem Prog01Act26 S275"/>
    <x v="0"/>
    <s v="26"/>
    <m/>
    <n v="26"/>
    <s v="   "/>
    <n v="0.754"/>
  </r>
  <r>
    <x v="14"/>
    <s v="CASHMERE SCHOOL DISTRICT"/>
    <s v="Personnel"/>
    <s v="H "/>
    <x v="1"/>
    <x v="29"/>
    <s v="PSES High Prog21Act26 S275"/>
    <x v="1"/>
    <s v="26"/>
    <m/>
    <n v="26"/>
    <s v="   "/>
    <n v="6.6000000000000003E-2"/>
  </r>
  <r>
    <x v="14"/>
    <s v="CASHMERE SCHOOL DISTRICT"/>
    <s v="Personnel"/>
    <s v="M "/>
    <x v="2"/>
    <x v="10"/>
    <s v="PSES Mid Prog21Act26 S275"/>
    <x v="1"/>
    <s v="26"/>
    <m/>
    <n v="26"/>
    <s v="   "/>
    <n v="0.26400000000000001"/>
  </r>
  <r>
    <x v="14"/>
    <s v="CASHMERE SCHOOL DISTRICT"/>
    <s v="Personnel"/>
    <s v="E "/>
    <x v="0"/>
    <x v="15"/>
    <s v="PSES Elem Prog01Duty42 S275"/>
    <x v="0"/>
    <s v="42"/>
    <n v="42"/>
    <m/>
    <s v="   "/>
    <n v="1.6379999999999999"/>
  </r>
  <r>
    <x v="14"/>
    <s v="CASHMERE SCHOOL DISTRICT"/>
    <s v="Personnel"/>
    <s v="H "/>
    <x v="1"/>
    <x v="16"/>
    <s v="PSES High Prog01Duty42 S275"/>
    <x v="0"/>
    <s v="42"/>
    <n v="42"/>
    <m/>
    <s v="   "/>
    <n v="1.8"/>
  </r>
  <r>
    <x v="14"/>
    <s v="CASHMERE SCHOOL DISTRICT"/>
    <s v="Personnel"/>
    <s v="M "/>
    <x v="2"/>
    <x v="17"/>
    <s v="PSES Mid Prog01Duty42 S275"/>
    <x v="0"/>
    <s v="42"/>
    <n v="42"/>
    <m/>
    <s v="   "/>
    <n v="0.7"/>
  </r>
  <r>
    <x v="14"/>
    <s v="CASHMERE SCHOOL DISTRICT"/>
    <s v="Personnel"/>
    <s v="E "/>
    <x v="0"/>
    <x v="18"/>
    <s v="PSES Elem Prog21Duty43 S275"/>
    <x v="1"/>
    <s v="43"/>
    <n v="43"/>
    <m/>
    <s v="   "/>
    <n v="0.80600000000000005"/>
  </r>
  <r>
    <x v="14"/>
    <s v="CASHMERE SCHOOL DISTRICT"/>
    <s v="Personnel"/>
    <s v="E "/>
    <x v="0"/>
    <x v="20"/>
    <s v="PSES Elem Prog21Duty45 S275"/>
    <x v="1"/>
    <s v="45"/>
    <n v="45"/>
    <m/>
    <s v="   "/>
    <n v="1.6220000000000001"/>
  </r>
  <r>
    <x v="14"/>
    <s v="CASHMERE SCHOOL DISTRICT"/>
    <s v="Personnel"/>
    <s v="E "/>
    <x v="0"/>
    <x v="22"/>
    <s v="PSES Elem Prog21Duty46 S275"/>
    <x v="1"/>
    <s v="46"/>
    <n v="46"/>
    <m/>
    <s v="   "/>
    <n v="1"/>
  </r>
  <r>
    <x v="14"/>
    <s v="CASHMERE SCHOOL DISTRICT"/>
    <s v="Personnel"/>
    <s v="E "/>
    <x v="0"/>
    <x v="35"/>
    <s v="PSES Elem Prog21Duty48 S275"/>
    <x v="1"/>
    <s v="48"/>
    <n v="48"/>
    <m/>
    <s v="   "/>
    <n v="0.8"/>
  </r>
  <r>
    <x v="15"/>
    <s v="Cascade School District"/>
    <s v="Personnel"/>
    <s v="E "/>
    <x v="0"/>
    <x v="7"/>
    <s v="PSES Elem Prog21Act26 S275"/>
    <x v="1"/>
    <s v="26"/>
    <m/>
    <n v="26"/>
    <s v="   "/>
    <n v="0.128"/>
  </r>
  <r>
    <x v="15"/>
    <s v="Cascade School District"/>
    <s v="Personnel"/>
    <s v="E "/>
    <x v="0"/>
    <x v="8"/>
    <s v="PSES Elem Prog01Act26 S275"/>
    <x v="0"/>
    <s v="26"/>
    <m/>
    <n v="26"/>
    <s v="   "/>
    <n v="0.39200000000000002"/>
  </r>
  <r>
    <x v="15"/>
    <s v="Cascade School District"/>
    <s v="Personnel"/>
    <s v="H "/>
    <x v="1"/>
    <x v="9"/>
    <s v="PSES High Prog01Act26 S275"/>
    <x v="0"/>
    <s v="26"/>
    <m/>
    <n v="26"/>
    <s v="   "/>
    <n v="0.20599999999999999"/>
  </r>
  <r>
    <x v="15"/>
    <s v="Cascade School District"/>
    <s v="Personnel"/>
    <s v="M "/>
    <x v="2"/>
    <x v="11"/>
    <s v="PSES Mid Prog01Act26 S275"/>
    <x v="0"/>
    <s v="26"/>
    <m/>
    <n v="26"/>
    <s v="   "/>
    <n v="0.18099999999999999"/>
  </r>
  <r>
    <x v="15"/>
    <s v="Cascade School District"/>
    <s v="Personnel"/>
    <s v="E "/>
    <x v="0"/>
    <x v="15"/>
    <s v="PSES Elem Prog01Duty42 S275"/>
    <x v="0"/>
    <s v="42"/>
    <n v="42"/>
    <m/>
    <s v="   "/>
    <n v="1.3169999999999999"/>
  </r>
  <r>
    <x v="15"/>
    <s v="Cascade School District"/>
    <s v="Personnel"/>
    <s v="H "/>
    <x v="1"/>
    <x v="16"/>
    <s v="PSES High Prog01Duty42 S275"/>
    <x v="0"/>
    <s v="42"/>
    <n v="42"/>
    <m/>
    <s v="   "/>
    <n v="1"/>
  </r>
  <r>
    <x v="15"/>
    <s v="Cascade School District"/>
    <s v="Personnel"/>
    <s v="M "/>
    <x v="2"/>
    <x v="17"/>
    <s v="PSES Mid Prog01Duty42 S275"/>
    <x v="0"/>
    <s v="42"/>
    <n v="42"/>
    <m/>
    <s v="   "/>
    <n v="0.63300000000000001"/>
  </r>
  <r>
    <x v="15"/>
    <s v="Cascade School District"/>
    <s v="Personnel"/>
    <s v="E "/>
    <x v="0"/>
    <x v="22"/>
    <s v="PSES Elem Prog21Duty46 S275"/>
    <x v="1"/>
    <s v="46"/>
    <n v="46"/>
    <m/>
    <s v="   "/>
    <n v="0.49"/>
  </r>
  <r>
    <x v="15"/>
    <s v="Cascade School District"/>
    <s v="Personnel"/>
    <s v="H "/>
    <x v="1"/>
    <x v="23"/>
    <s v="PSES High Prog21Duty46 S275"/>
    <x v="1"/>
    <s v="46"/>
    <n v="46"/>
    <m/>
    <s v="   "/>
    <n v="0.22"/>
  </r>
  <r>
    <x v="15"/>
    <s v="Cascade School District"/>
    <s v="Personnel"/>
    <s v="M "/>
    <x v="2"/>
    <x v="24"/>
    <s v="PSES Mid Prog21Duty46 S275"/>
    <x v="1"/>
    <s v="46"/>
    <n v="46"/>
    <m/>
    <s v="   "/>
    <n v="0.22"/>
  </r>
  <r>
    <x v="15"/>
    <s v="Cascade School District"/>
    <s v="Personnel"/>
    <s v="E "/>
    <x v="0"/>
    <x v="35"/>
    <s v="PSES Elem Prog21Duty48 S275"/>
    <x v="1"/>
    <s v="48"/>
    <n v="48"/>
    <m/>
    <s v="   "/>
    <n v="0.8"/>
  </r>
  <r>
    <x v="16"/>
    <s v="Wenatchee School District"/>
    <s v="Personnel"/>
    <s v="H "/>
    <x v="1"/>
    <x v="1"/>
    <s v="PSES High Prog01Duty96 S275"/>
    <x v="0"/>
    <s v="24"/>
    <n v="96"/>
    <n v="24"/>
    <s v="   "/>
    <n v="1.0229999999999999"/>
  </r>
  <r>
    <x v="16"/>
    <s v="Wenatchee School District"/>
    <s v="Personnel"/>
    <s v="H "/>
    <x v="1"/>
    <x v="29"/>
    <s v="PSES High Prog21Act26 S275"/>
    <x v="1"/>
    <s v="26"/>
    <m/>
    <n v="26"/>
    <s v="   "/>
    <n v="1.3779999999999999"/>
  </r>
  <r>
    <x v="16"/>
    <s v="Wenatchee School District"/>
    <s v="Personnel"/>
    <s v="H "/>
    <x v="1"/>
    <x v="9"/>
    <s v="PSES High Prog01Act26 S275"/>
    <x v="0"/>
    <s v="26"/>
    <m/>
    <n v="26"/>
    <s v="   "/>
    <n v="0.36699999999999999"/>
  </r>
  <r>
    <x v="16"/>
    <s v="Wenatchee School District"/>
    <s v="Personnel"/>
    <s v="H "/>
    <x v="1"/>
    <x v="54"/>
    <s v="PSES High Prog01Act35 S275"/>
    <x v="0"/>
    <s v="35"/>
    <m/>
    <n v="35"/>
    <s v="   "/>
    <n v="1.343"/>
  </r>
  <r>
    <x v="16"/>
    <s v="Wenatchee School District"/>
    <s v="Personnel"/>
    <s v="E "/>
    <x v="0"/>
    <x v="15"/>
    <s v="PSES Elem Prog01Duty42 S275"/>
    <x v="0"/>
    <s v="42"/>
    <n v="42"/>
    <m/>
    <s v="   "/>
    <n v="6.6210000000000004"/>
  </r>
  <r>
    <x v="16"/>
    <s v="Wenatchee School District"/>
    <s v="Personnel"/>
    <s v="H "/>
    <x v="1"/>
    <x v="16"/>
    <s v="PSES High Prog01Duty42 S275"/>
    <x v="0"/>
    <s v="42"/>
    <n v="42"/>
    <m/>
    <s v="   "/>
    <n v="3.597"/>
  </r>
  <r>
    <x v="16"/>
    <s v="Wenatchee School District"/>
    <s v="Personnel"/>
    <s v="M "/>
    <x v="2"/>
    <x v="17"/>
    <s v="PSES Mid Prog01Duty42 S275"/>
    <x v="0"/>
    <s v="42"/>
    <n v="42"/>
    <m/>
    <s v="   "/>
    <n v="2.9020000000000001"/>
  </r>
  <r>
    <x v="16"/>
    <s v="Wenatchee School District"/>
    <s v="Personnel"/>
    <s v="E "/>
    <x v="0"/>
    <x v="18"/>
    <s v="PSES Elem Prog21Duty43 S275"/>
    <x v="1"/>
    <s v="43"/>
    <n v="43"/>
    <m/>
    <s v="   "/>
    <n v="3.1"/>
  </r>
  <r>
    <x v="16"/>
    <s v="Wenatchee School District"/>
    <s v="Personnel"/>
    <s v="H "/>
    <x v="1"/>
    <x v="19"/>
    <s v="PSES High Prog21Duty43 S275"/>
    <x v="1"/>
    <s v="43"/>
    <n v="43"/>
    <m/>
    <s v="   "/>
    <n v="0.4"/>
  </r>
  <r>
    <x v="16"/>
    <s v="Wenatchee School District"/>
    <s v="Personnel"/>
    <s v="M "/>
    <x v="2"/>
    <x v="31"/>
    <s v="PSES Mid Prog21Duty43 S275"/>
    <x v="1"/>
    <s v="43"/>
    <n v="43"/>
    <m/>
    <s v="   "/>
    <n v="0.5"/>
  </r>
  <r>
    <x v="16"/>
    <s v="Wenatchee School District"/>
    <s v="Personnel"/>
    <s v="E "/>
    <x v="0"/>
    <x v="20"/>
    <s v="PSES Elem Prog21Duty45 S275"/>
    <x v="1"/>
    <s v="45"/>
    <n v="45"/>
    <m/>
    <s v="   "/>
    <n v="6.2930000000000001"/>
  </r>
  <r>
    <x v="16"/>
    <s v="Wenatchee School District"/>
    <s v="Personnel"/>
    <s v="E "/>
    <x v="0"/>
    <x v="47"/>
    <s v="PSES Elem Prog01Duty45 S275"/>
    <x v="0"/>
    <s v="45"/>
    <n v="45"/>
    <m/>
    <s v="   "/>
    <n v="1"/>
  </r>
  <r>
    <x v="16"/>
    <s v="Wenatchee School District"/>
    <s v="Personnel"/>
    <s v="H "/>
    <x v="1"/>
    <x v="21"/>
    <s v="PSES High Prog21Duty45 S275"/>
    <x v="1"/>
    <s v="45"/>
    <n v="45"/>
    <m/>
    <s v="   "/>
    <n v="1"/>
  </r>
  <r>
    <x v="16"/>
    <s v="Wenatchee School District"/>
    <s v="Personnel"/>
    <s v="M "/>
    <x v="2"/>
    <x v="28"/>
    <s v="PSES Mid Prog21Duty45 S275"/>
    <x v="1"/>
    <s v="45"/>
    <n v="45"/>
    <m/>
    <s v="   "/>
    <n v="1"/>
  </r>
  <r>
    <x v="16"/>
    <s v="Wenatchee School District"/>
    <s v="Personnel"/>
    <s v="E "/>
    <x v="0"/>
    <x v="22"/>
    <s v="PSES Elem Prog21Duty46 S275"/>
    <x v="1"/>
    <s v="46"/>
    <n v="46"/>
    <m/>
    <s v="   "/>
    <n v="5.2"/>
  </r>
  <r>
    <x v="16"/>
    <s v="Wenatchee School District"/>
    <s v="Personnel"/>
    <s v="H "/>
    <x v="1"/>
    <x v="23"/>
    <s v="PSES High Prog21Duty46 S275"/>
    <x v="1"/>
    <s v="46"/>
    <n v="46"/>
    <m/>
    <s v="   "/>
    <n v="2.4"/>
  </r>
  <r>
    <x v="16"/>
    <s v="Wenatchee School District"/>
    <s v="Personnel"/>
    <s v="M "/>
    <x v="2"/>
    <x v="24"/>
    <s v="PSES Mid Prog21Duty46 S275"/>
    <x v="1"/>
    <s v="46"/>
    <n v="46"/>
    <m/>
    <s v="   "/>
    <n v="0.8"/>
  </r>
  <r>
    <x v="16"/>
    <s v="Wenatchee School District"/>
    <s v="Personnel"/>
    <s v="E "/>
    <x v="0"/>
    <x v="32"/>
    <s v="PSES Elem Prog21Duty47 S275"/>
    <x v="1"/>
    <s v="47"/>
    <n v="47"/>
    <m/>
    <s v="   "/>
    <n v="1.3"/>
  </r>
  <r>
    <x v="16"/>
    <s v="Wenatchee School District"/>
    <s v="Personnel"/>
    <s v="E "/>
    <x v="0"/>
    <x v="27"/>
    <s v="PSES Elem Prog01Duty47 S275"/>
    <x v="0"/>
    <s v="47"/>
    <n v="47"/>
    <m/>
    <s v="   "/>
    <n v="2.5"/>
  </r>
  <r>
    <x v="16"/>
    <s v="Wenatchee School District"/>
    <s v="Personnel"/>
    <s v="H "/>
    <x v="1"/>
    <x v="25"/>
    <s v="PSES High Prog01Duty47 S275"/>
    <x v="0"/>
    <s v="47"/>
    <n v="47"/>
    <m/>
    <s v="   "/>
    <n v="2.2999999999999998"/>
  </r>
  <r>
    <x v="16"/>
    <s v="Wenatchee School District"/>
    <s v="Personnel"/>
    <s v="M "/>
    <x v="2"/>
    <x v="34"/>
    <s v="PSES Mid Prog01Duty47 S275"/>
    <x v="0"/>
    <s v="47"/>
    <n v="47"/>
    <m/>
    <s v="   "/>
    <n v="1.5"/>
  </r>
  <r>
    <x v="16"/>
    <s v="Wenatchee School District"/>
    <s v="Personnel"/>
    <s v="E "/>
    <x v="0"/>
    <x v="35"/>
    <s v="PSES Elem Prog21Duty48 S275"/>
    <x v="1"/>
    <s v="48"/>
    <n v="48"/>
    <m/>
    <s v="   "/>
    <n v="2.1"/>
  </r>
  <r>
    <x v="16"/>
    <s v="Wenatchee School District"/>
    <s v="Personnel"/>
    <s v="H "/>
    <x v="1"/>
    <x v="36"/>
    <s v="PSES High Prog21Duty48 S275"/>
    <x v="1"/>
    <s v="48"/>
    <n v="48"/>
    <m/>
    <s v="   "/>
    <n v="0.4"/>
  </r>
  <r>
    <x v="16"/>
    <s v="Wenatchee School District"/>
    <s v="Personnel"/>
    <s v="M "/>
    <x v="2"/>
    <x v="37"/>
    <s v="PSES Mid Prog21Duty48 S275"/>
    <x v="1"/>
    <s v="48"/>
    <n v="48"/>
    <m/>
    <s v="   "/>
    <n v="0.5"/>
  </r>
  <r>
    <x v="16"/>
    <s v="Wenatchee School District"/>
    <s v="Personnel"/>
    <s v="E "/>
    <x v="0"/>
    <x v="26"/>
    <s v="PSES Elem Prog21Duty49 S275"/>
    <x v="1"/>
    <s v="49"/>
    <n v="49"/>
    <m/>
    <s v="   "/>
    <n v="1.71"/>
  </r>
  <r>
    <x v="16"/>
    <s v="Wenatchee School District"/>
    <s v="Personnel"/>
    <s v="H "/>
    <x v="1"/>
    <x v="55"/>
    <s v="PSES High Prog21Duty49 S275"/>
    <x v="1"/>
    <s v="49"/>
    <n v="49"/>
    <m/>
    <s v="   "/>
    <n v="0.54"/>
  </r>
  <r>
    <x v="16"/>
    <s v="Wenatchee School District"/>
    <s v="Personnel"/>
    <s v="M "/>
    <x v="2"/>
    <x v="50"/>
    <s v="PSES Mid Prog21Duty49 S275"/>
    <x v="1"/>
    <s v="49"/>
    <n v="49"/>
    <m/>
    <s v="   "/>
    <n v="0.75"/>
  </r>
  <r>
    <x v="17"/>
    <s v="Pinnacles Prep"/>
    <s v="Personnel"/>
    <s v="E "/>
    <x v="0"/>
    <x v="56"/>
    <s v="PSES Elem Prog97Duty96 S275"/>
    <x v="2"/>
    <s v="24"/>
    <n v="96"/>
    <n v="24"/>
    <s v="   "/>
    <n v="0.124"/>
  </r>
  <r>
    <x v="17"/>
    <s v="Pinnacles Prep"/>
    <s v="Personnel"/>
    <s v="H "/>
    <x v="1"/>
    <x v="57"/>
    <s v="PSES High Prog97Duty96 S275"/>
    <x v="2"/>
    <s v="24"/>
    <n v="96"/>
    <n v="24"/>
    <s v="   "/>
    <n v="0.20499999999999999"/>
  </r>
  <r>
    <x v="17"/>
    <s v="Pinnacles Prep"/>
    <s v="Personnel"/>
    <s v="M "/>
    <x v="2"/>
    <x v="58"/>
    <s v="PSES Mid Prog97Duty96 S275"/>
    <x v="2"/>
    <s v="24"/>
    <n v="96"/>
    <n v="24"/>
    <s v="   "/>
    <n v="0.40200000000000002"/>
  </r>
  <r>
    <x v="17"/>
    <s v="Pinnacles Prep"/>
    <s v="Personnel"/>
    <s v="E "/>
    <x v="0"/>
    <x v="8"/>
    <s v="PSES Elem Prog01Act26 S275"/>
    <x v="0"/>
    <s v="26"/>
    <m/>
    <n v="26"/>
    <s v="   "/>
    <n v="0.1"/>
  </r>
  <r>
    <x v="17"/>
    <s v="Pinnacles Prep"/>
    <s v="Personnel"/>
    <s v="H "/>
    <x v="1"/>
    <x v="9"/>
    <s v="PSES High Prog01Act26 S275"/>
    <x v="0"/>
    <s v="26"/>
    <m/>
    <n v="26"/>
    <s v="   "/>
    <n v="0.16300000000000001"/>
  </r>
  <r>
    <x v="17"/>
    <s v="Pinnacles Prep"/>
    <s v="Personnel"/>
    <s v="M "/>
    <x v="2"/>
    <x v="11"/>
    <s v="PSES Mid Prog01Act26 S275"/>
    <x v="0"/>
    <s v="26"/>
    <m/>
    <n v="26"/>
    <s v="   "/>
    <n v="0.32200000000000001"/>
  </r>
  <r>
    <x v="18"/>
    <s v="Port Angeles School District"/>
    <s v="Personnel"/>
    <s v="E "/>
    <x v="0"/>
    <x v="3"/>
    <s v="PSES Elem Prog01Act25 S275"/>
    <x v="0"/>
    <s v="25"/>
    <m/>
    <n v="25"/>
    <s v="   "/>
    <n v="0.88800000000000001"/>
  </r>
  <r>
    <x v="18"/>
    <s v="Port Angeles School District"/>
    <s v="Personnel"/>
    <s v="H "/>
    <x v="1"/>
    <x v="5"/>
    <s v="PSES High Prog01Act25 S275"/>
    <x v="0"/>
    <s v="25"/>
    <m/>
    <n v="25"/>
    <s v="   "/>
    <n v="2.7789999999999999"/>
  </r>
  <r>
    <x v="18"/>
    <s v="Port Angeles School District"/>
    <s v="Personnel"/>
    <s v="H "/>
    <x v="1"/>
    <x v="29"/>
    <s v="PSES High Prog21Act26 S275"/>
    <x v="1"/>
    <s v="26"/>
    <m/>
    <n v="26"/>
    <s v="   "/>
    <n v="1.2410000000000001"/>
  </r>
  <r>
    <x v="18"/>
    <s v="Port Angeles School District"/>
    <s v="Personnel"/>
    <s v="H "/>
    <x v="1"/>
    <x v="9"/>
    <s v="PSES High Prog01Act26 S275"/>
    <x v="0"/>
    <s v="26"/>
    <m/>
    <n v="26"/>
    <s v="   "/>
    <n v="1.335"/>
  </r>
  <r>
    <x v="18"/>
    <s v="Port Angeles School District"/>
    <s v="Personnel"/>
    <s v="E "/>
    <x v="0"/>
    <x v="15"/>
    <s v="PSES Elem Prog01Duty42 S275"/>
    <x v="0"/>
    <s v="42"/>
    <n v="42"/>
    <m/>
    <s v="   "/>
    <n v="3"/>
  </r>
  <r>
    <x v="18"/>
    <s v="Port Angeles School District"/>
    <s v="Personnel"/>
    <s v="H "/>
    <x v="1"/>
    <x v="16"/>
    <s v="PSES High Prog01Duty42 S275"/>
    <x v="0"/>
    <s v="42"/>
    <n v="42"/>
    <m/>
    <s v="   "/>
    <n v="3.55"/>
  </r>
  <r>
    <x v="18"/>
    <s v="Port Angeles School District"/>
    <s v="Personnel"/>
    <s v="E "/>
    <x v="0"/>
    <x v="18"/>
    <s v="PSES Elem Prog21Duty43 S275"/>
    <x v="1"/>
    <s v="43"/>
    <n v="43"/>
    <m/>
    <s v="   "/>
    <n v="0.57199999999999995"/>
  </r>
  <r>
    <x v="18"/>
    <s v="Port Angeles School District"/>
    <s v="Personnel"/>
    <s v="H "/>
    <x v="1"/>
    <x v="19"/>
    <s v="PSES High Prog21Duty43 S275"/>
    <x v="1"/>
    <s v="43"/>
    <n v="43"/>
    <m/>
    <s v="   "/>
    <n v="9.5000000000000001E-2"/>
  </r>
  <r>
    <x v="18"/>
    <s v="Port Angeles School District"/>
    <s v="Personnel"/>
    <s v="M "/>
    <x v="2"/>
    <x v="31"/>
    <s v="PSES Mid Prog21Duty43 S275"/>
    <x v="1"/>
    <s v="43"/>
    <n v="43"/>
    <m/>
    <s v="   "/>
    <n v="0.33300000000000002"/>
  </r>
  <r>
    <x v="18"/>
    <s v="Port Angeles School District"/>
    <s v="Personnel"/>
    <s v="E "/>
    <x v="0"/>
    <x v="20"/>
    <s v="PSES Elem Prog21Duty45 S275"/>
    <x v="1"/>
    <s v="45"/>
    <n v="45"/>
    <m/>
    <s v="   "/>
    <n v="5"/>
  </r>
  <r>
    <x v="18"/>
    <s v="Port Angeles School District"/>
    <s v="Personnel"/>
    <s v="E "/>
    <x v="0"/>
    <x v="22"/>
    <s v="PSES Elem Prog21Duty46 S275"/>
    <x v="1"/>
    <s v="46"/>
    <n v="46"/>
    <m/>
    <s v="   "/>
    <n v="5"/>
  </r>
  <r>
    <x v="18"/>
    <s v="Port Angeles School District"/>
    <s v="Personnel"/>
    <s v="E "/>
    <x v="0"/>
    <x v="27"/>
    <s v="PSES Elem Prog01Duty47 S275"/>
    <x v="0"/>
    <s v="47"/>
    <n v="47"/>
    <m/>
    <s v="   "/>
    <n v="3"/>
  </r>
  <r>
    <x v="19"/>
    <s v="Crescent School District"/>
    <s v="Personnel"/>
    <s v="H "/>
    <x v="1"/>
    <x v="5"/>
    <s v="PSES High Prog01Act25 S275"/>
    <x v="0"/>
    <s v="25"/>
    <m/>
    <n v="25"/>
    <s v="   "/>
    <n v="0.26400000000000001"/>
  </r>
  <r>
    <x v="19"/>
    <s v="Crescent School District"/>
    <s v="Personnel"/>
    <s v="H "/>
    <x v="1"/>
    <x v="16"/>
    <s v="PSES High Prog01Duty42 S275"/>
    <x v="0"/>
    <s v="42"/>
    <n v="42"/>
    <m/>
    <s v="   "/>
    <n v="1"/>
  </r>
  <r>
    <x v="19"/>
    <s v="Crescent School District"/>
    <s v="Personnel"/>
    <s v="E "/>
    <x v="0"/>
    <x v="27"/>
    <s v="PSES Elem Prog01Duty47 S275"/>
    <x v="0"/>
    <s v="47"/>
    <n v="47"/>
    <m/>
    <s v="   "/>
    <n v="1.1259999999999999"/>
  </r>
  <r>
    <x v="20"/>
    <s v="Sequim School District"/>
    <s v="Personnel"/>
    <s v="H "/>
    <x v="1"/>
    <x v="4"/>
    <s v="PSES High Prog21Act25 S275"/>
    <x v="1"/>
    <s v="25"/>
    <m/>
    <n v="25"/>
    <s v="   "/>
    <n v="2.8090000000000002"/>
  </r>
  <r>
    <x v="20"/>
    <s v="Sequim School District"/>
    <s v="Personnel"/>
    <s v="H "/>
    <x v="1"/>
    <x v="5"/>
    <s v="PSES High Prog01Act25 S275"/>
    <x v="0"/>
    <s v="25"/>
    <m/>
    <n v="25"/>
    <s v="   "/>
    <n v="3.149"/>
  </r>
  <r>
    <x v="20"/>
    <s v="Sequim School District"/>
    <s v="Personnel"/>
    <s v="H "/>
    <x v="1"/>
    <x v="29"/>
    <s v="PSES High Prog21Act26 S275"/>
    <x v="1"/>
    <s v="26"/>
    <m/>
    <n v="26"/>
    <s v="   "/>
    <n v="1.4219999999999999"/>
  </r>
  <r>
    <x v="20"/>
    <s v="Sequim School District"/>
    <s v="Personnel"/>
    <s v="H "/>
    <x v="1"/>
    <x v="9"/>
    <s v="PSES High Prog01Act26 S275"/>
    <x v="0"/>
    <s v="26"/>
    <m/>
    <n v="26"/>
    <s v="   "/>
    <n v="2.7690000000000001"/>
  </r>
  <r>
    <x v="20"/>
    <s v="Sequim School District"/>
    <s v="Personnel"/>
    <s v="E "/>
    <x v="0"/>
    <x v="15"/>
    <s v="PSES Elem Prog01Duty42 S275"/>
    <x v="0"/>
    <s v="42"/>
    <n v="42"/>
    <m/>
    <s v="   "/>
    <n v="4.7430000000000003"/>
  </r>
  <r>
    <x v="20"/>
    <s v="Sequim School District"/>
    <s v="Personnel"/>
    <s v="H "/>
    <x v="1"/>
    <x v="16"/>
    <s v="PSES High Prog01Duty42 S275"/>
    <x v="0"/>
    <s v="42"/>
    <n v="42"/>
    <m/>
    <s v="   "/>
    <n v="1.52"/>
  </r>
  <r>
    <x v="20"/>
    <s v="Sequim School District"/>
    <s v="Personnel"/>
    <s v="M "/>
    <x v="2"/>
    <x v="17"/>
    <s v="PSES Mid Prog01Duty42 S275"/>
    <x v="0"/>
    <s v="42"/>
    <n v="42"/>
    <m/>
    <s v="   "/>
    <n v="1.7000000000000001E-2"/>
  </r>
  <r>
    <x v="20"/>
    <s v="Sequim School District"/>
    <s v="Personnel"/>
    <s v="E "/>
    <x v="0"/>
    <x v="20"/>
    <s v="PSES Elem Prog21Duty45 S275"/>
    <x v="1"/>
    <s v="45"/>
    <n v="45"/>
    <m/>
    <s v="   "/>
    <n v="2.6259999999999999"/>
  </r>
  <r>
    <x v="20"/>
    <s v="Sequim School District"/>
    <s v="Personnel"/>
    <s v="E "/>
    <x v="0"/>
    <x v="22"/>
    <s v="PSES Elem Prog21Duty46 S275"/>
    <x v="1"/>
    <s v="46"/>
    <n v="46"/>
    <m/>
    <s v="   "/>
    <n v="2.9950000000000001"/>
  </r>
  <r>
    <x v="20"/>
    <s v="Sequim School District"/>
    <s v="Personnel"/>
    <s v="E "/>
    <x v="0"/>
    <x v="32"/>
    <s v="PSES Elem Prog21Duty47 S275"/>
    <x v="1"/>
    <s v="47"/>
    <n v="47"/>
    <m/>
    <s v="   "/>
    <n v="0.12"/>
  </r>
  <r>
    <x v="20"/>
    <s v="Sequim School District"/>
    <s v="Personnel"/>
    <s v="E "/>
    <x v="0"/>
    <x v="27"/>
    <s v="PSES Elem Prog01Duty47 S275"/>
    <x v="0"/>
    <s v="47"/>
    <n v="47"/>
    <m/>
    <s v="   "/>
    <n v="0.875"/>
  </r>
  <r>
    <x v="20"/>
    <s v="Sequim School District"/>
    <s v="Personnel"/>
    <s v="E "/>
    <x v="0"/>
    <x v="35"/>
    <s v="PSES Elem Prog21Duty48 S275"/>
    <x v="1"/>
    <s v="48"/>
    <n v="48"/>
    <m/>
    <s v="   "/>
    <n v="1"/>
  </r>
  <r>
    <x v="21"/>
    <s v="Cape Flattery School District"/>
    <s v="Personnel"/>
    <s v="E "/>
    <x v="0"/>
    <x v="15"/>
    <s v="PSES Elem Prog01Duty42 S275"/>
    <x v="0"/>
    <s v="42"/>
    <n v="42"/>
    <m/>
    <s v="   "/>
    <n v="0.63800000000000001"/>
  </r>
  <r>
    <x v="21"/>
    <s v="Cape Flattery School District"/>
    <s v="Personnel"/>
    <s v="H "/>
    <x v="1"/>
    <x v="16"/>
    <s v="PSES High Prog01Duty42 S275"/>
    <x v="0"/>
    <s v="42"/>
    <n v="42"/>
    <m/>
    <s v="   "/>
    <n v="1"/>
  </r>
  <r>
    <x v="22"/>
    <s v="Quillayute Valley School District"/>
    <s v="Personnel"/>
    <s v="H "/>
    <x v="1"/>
    <x v="5"/>
    <s v="PSES High Prog01Act25 S275"/>
    <x v="0"/>
    <s v="25"/>
    <m/>
    <n v="25"/>
    <s v="   "/>
    <n v="2.2959999999999998"/>
  </r>
  <r>
    <x v="22"/>
    <s v="Quillayute Valley School District"/>
    <s v="Personnel"/>
    <s v="H "/>
    <x v="1"/>
    <x v="29"/>
    <s v="PSES High Prog21Act26 S275"/>
    <x v="1"/>
    <s v="26"/>
    <m/>
    <n v="26"/>
    <s v="   "/>
    <n v="7.0000000000000007E-2"/>
  </r>
  <r>
    <x v="22"/>
    <s v="Quillayute Valley School District"/>
    <s v="Personnel"/>
    <s v="H "/>
    <x v="1"/>
    <x v="9"/>
    <s v="PSES High Prog01Act26 S275"/>
    <x v="0"/>
    <s v="26"/>
    <m/>
    <n v="26"/>
    <s v="   "/>
    <n v="0.81499999999999995"/>
  </r>
  <r>
    <x v="22"/>
    <s v="Quillayute Valley School District"/>
    <s v="Personnel"/>
    <s v="E "/>
    <x v="0"/>
    <x v="15"/>
    <s v="PSES Elem Prog01Duty42 S275"/>
    <x v="0"/>
    <s v="42"/>
    <n v="42"/>
    <m/>
    <s v="   "/>
    <n v="1.4999999999999999E-2"/>
  </r>
  <r>
    <x v="22"/>
    <s v="Quillayute Valley School District"/>
    <s v="Personnel"/>
    <s v="H "/>
    <x v="1"/>
    <x v="16"/>
    <s v="PSES High Prog01Duty42 S275"/>
    <x v="0"/>
    <s v="42"/>
    <n v="42"/>
    <m/>
    <s v="   "/>
    <n v="0.9"/>
  </r>
  <r>
    <x v="22"/>
    <s v="Quillayute Valley School District"/>
    <s v="Personnel"/>
    <s v="M "/>
    <x v="2"/>
    <x v="17"/>
    <s v="PSES Mid Prog01Duty42 S275"/>
    <x v="0"/>
    <s v="42"/>
    <n v="42"/>
    <m/>
    <s v="   "/>
    <n v="0.88500000000000001"/>
  </r>
  <r>
    <x v="22"/>
    <s v="Quillayute Valley School District"/>
    <s v="Personnel"/>
    <s v="E "/>
    <x v="0"/>
    <x v="18"/>
    <s v="PSES Elem Prog21Duty43 S275"/>
    <x v="1"/>
    <s v="43"/>
    <n v="43"/>
    <m/>
    <s v="   "/>
    <n v="0.65400000000000003"/>
  </r>
  <r>
    <x v="22"/>
    <s v="Quillayute Valley School District"/>
    <s v="Personnel"/>
    <s v="H "/>
    <x v="1"/>
    <x v="19"/>
    <s v="PSES High Prog21Duty43 S275"/>
    <x v="1"/>
    <s v="43"/>
    <n v="43"/>
    <m/>
    <s v="   "/>
    <n v="0.13800000000000001"/>
  </r>
  <r>
    <x v="22"/>
    <s v="Quillayute Valley School District"/>
    <s v="Personnel"/>
    <s v="M "/>
    <x v="2"/>
    <x v="31"/>
    <s v="PSES Mid Prog21Duty43 S275"/>
    <x v="1"/>
    <s v="43"/>
    <n v="43"/>
    <m/>
    <s v="   "/>
    <n v="0.104"/>
  </r>
  <r>
    <x v="22"/>
    <s v="Quillayute Valley School District"/>
    <s v="Personnel"/>
    <s v="E "/>
    <x v="0"/>
    <x v="20"/>
    <s v="PSES Elem Prog21Duty45 S275"/>
    <x v="1"/>
    <s v="45"/>
    <n v="45"/>
    <m/>
    <s v="   "/>
    <n v="0.01"/>
  </r>
  <r>
    <x v="22"/>
    <s v="Quillayute Valley School District"/>
    <s v="Personnel"/>
    <s v="H "/>
    <x v="1"/>
    <x v="21"/>
    <s v="PSES High Prog21Duty45 S275"/>
    <x v="1"/>
    <s v="45"/>
    <n v="45"/>
    <m/>
    <s v="   "/>
    <n v="2E-3"/>
  </r>
  <r>
    <x v="22"/>
    <s v="Quillayute Valley School District"/>
    <s v="Personnel"/>
    <s v="E "/>
    <x v="0"/>
    <x v="38"/>
    <s v="PSES Elem Prog21Duty64 S275"/>
    <x v="1"/>
    <s v="64"/>
    <n v="64"/>
    <m/>
    <s v="   "/>
    <n v="0.33"/>
  </r>
  <r>
    <x v="22"/>
    <s v="Quillayute Valley School District"/>
    <s v="Personnel"/>
    <s v="H "/>
    <x v="1"/>
    <x v="59"/>
    <s v="PSES High Prog21Duty64 S275"/>
    <x v="1"/>
    <s v="64"/>
    <n v="64"/>
    <m/>
    <s v="   "/>
    <n v="0.72299999999999998"/>
  </r>
  <r>
    <x v="22"/>
    <s v="Quillayute Valley School District"/>
    <s v="Personnel"/>
    <s v="M "/>
    <x v="2"/>
    <x v="60"/>
    <s v="PSES Mid Prog21Duty64 S275"/>
    <x v="1"/>
    <s v="64"/>
    <n v="64"/>
    <m/>
    <s v="   "/>
    <n v="0.20899999999999999"/>
  </r>
  <r>
    <x v="23"/>
    <s v="Quileute Tribal School District"/>
    <s v="Personnel"/>
    <s v="E "/>
    <x v="0"/>
    <x v="42"/>
    <s v="PSES Elem Prog01Duty44 S275"/>
    <x v="0"/>
    <s v="44"/>
    <n v="44"/>
    <m/>
    <s v="   "/>
    <n v="1.268"/>
  </r>
  <r>
    <x v="23"/>
    <s v="Quileute Tribal School District"/>
    <s v="Personnel"/>
    <s v="H "/>
    <x v="1"/>
    <x v="44"/>
    <s v="PSES High Prog01Duty44 S275"/>
    <x v="0"/>
    <s v="44"/>
    <n v="44"/>
    <m/>
    <s v="   "/>
    <n v="0.45100000000000001"/>
  </r>
  <r>
    <x v="23"/>
    <s v="Quileute Tribal School District"/>
    <s v="Personnel"/>
    <s v="M "/>
    <x v="2"/>
    <x v="46"/>
    <s v="PSES Mid Prog01Duty44 S275"/>
    <x v="0"/>
    <s v="44"/>
    <n v="44"/>
    <m/>
    <s v="   "/>
    <n v="0.28100000000000003"/>
  </r>
  <r>
    <x v="24"/>
    <s v="Vancouver School District"/>
    <s v="Personnel"/>
    <s v="H "/>
    <x v="1"/>
    <x v="1"/>
    <s v="PSES High Prog01Duty96 S275"/>
    <x v="0"/>
    <s v="24"/>
    <n v="96"/>
    <n v="24"/>
    <s v="   "/>
    <n v="23.869"/>
  </r>
  <r>
    <x v="24"/>
    <s v="Vancouver School District"/>
    <s v="Personnel"/>
    <s v="H "/>
    <x v="1"/>
    <x v="5"/>
    <s v="PSES High Prog01Act25 S275"/>
    <x v="0"/>
    <s v="25"/>
    <m/>
    <n v="25"/>
    <s v="   "/>
    <n v="54.585000000000001"/>
  </r>
  <r>
    <x v="24"/>
    <s v="Vancouver School District"/>
    <s v="Personnel"/>
    <s v="H "/>
    <x v="1"/>
    <x v="29"/>
    <s v="PSES High Prog21Act26 S275"/>
    <x v="1"/>
    <s v="26"/>
    <m/>
    <n v="26"/>
    <s v="   "/>
    <n v="2.2959999999999998"/>
  </r>
  <r>
    <x v="24"/>
    <s v="Vancouver School District"/>
    <s v="Personnel"/>
    <s v="H "/>
    <x v="1"/>
    <x v="9"/>
    <s v="PSES High Prog01Act26 S275"/>
    <x v="0"/>
    <s v="26"/>
    <m/>
    <n v="26"/>
    <s v="   "/>
    <n v="0.42099999999999999"/>
  </r>
  <r>
    <x v="24"/>
    <s v="Vancouver School District"/>
    <s v="Personnel"/>
    <s v="H "/>
    <x v="1"/>
    <x v="12"/>
    <s v="PSES High Prog97Act35 S275"/>
    <x v="2"/>
    <s v="35"/>
    <m/>
    <n v="35"/>
    <s v="   "/>
    <n v="1.8919999999999999"/>
  </r>
  <r>
    <x v="24"/>
    <s v="Vancouver School District"/>
    <s v="Personnel"/>
    <s v="H "/>
    <x v="1"/>
    <x v="54"/>
    <s v="PSES High Prog01Act35 S275"/>
    <x v="0"/>
    <s v="35"/>
    <m/>
    <n v="35"/>
    <s v="   "/>
    <n v="12.811999999999999"/>
  </r>
  <r>
    <x v="24"/>
    <s v="Vancouver School District"/>
    <s v="Personnel"/>
    <s v="E "/>
    <x v="0"/>
    <x v="15"/>
    <s v="PSES Elem Prog01Duty42 S275"/>
    <x v="0"/>
    <s v="42"/>
    <n v="42"/>
    <m/>
    <s v="   "/>
    <n v="31.245000000000001"/>
  </r>
  <r>
    <x v="24"/>
    <s v="Vancouver School District"/>
    <s v="Personnel"/>
    <s v="H "/>
    <x v="1"/>
    <x v="16"/>
    <s v="PSES High Prog01Duty42 S275"/>
    <x v="0"/>
    <s v="42"/>
    <n v="42"/>
    <m/>
    <s v="   "/>
    <n v="22.08"/>
  </r>
  <r>
    <x v="24"/>
    <s v="Vancouver School District"/>
    <s v="Personnel"/>
    <s v="M "/>
    <x v="2"/>
    <x v="17"/>
    <s v="PSES Mid Prog01Duty42 S275"/>
    <x v="0"/>
    <s v="42"/>
    <n v="42"/>
    <m/>
    <s v="   "/>
    <n v="12.244"/>
  </r>
  <r>
    <x v="24"/>
    <s v="Vancouver School District"/>
    <s v="Personnel"/>
    <s v="E "/>
    <x v="0"/>
    <x v="18"/>
    <s v="PSES Elem Prog21Duty43 S275"/>
    <x v="1"/>
    <s v="43"/>
    <n v="43"/>
    <m/>
    <s v="   "/>
    <n v="16.585999999999999"/>
  </r>
  <r>
    <x v="24"/>
    <s v="Vancouver School District"/>
    <s v="Personnel"/>
    <s v="H "/>
    <x v="1"/>
    <x v="19"/>
    <s v="PSES High Prog21Duty43 S275"/>
    <x v="1"/>
    <s v="43"/>
    <n v="43"/>
    <m/>
    <s v="   "/>
    <n v="1.0489999999999999"/>
  </r>
  <r>
    <x v="24"/>
    <s v="Vancouver School District"/>
    <s v="Personnel"/>
    <s v="M "/>
    <x v="2"/>
    <x v="31"/>
    <s v="PSES Mid Prog21Duty43 S275"/>
    <x v="1"/>
    <s v="43"/>
    <n v="43"/>
    <m/>
    <s v="   "/>
    <n v="1.998"/>
  </r>
  <r>
    <x v="24"/>
    <s v="Vancouver School District"/>
    <s v="Personnel"/>
    <s v="E "/>
    <x v="0"/>
    <x v="20"/>
    <s v="PSES Elem Prog21Duty45 S275"/>
    <x v="1"/>
    <s v="45"/>
    <n v="45"/>
    <m/>
    <s v="   "/>
    <n v="34.188000000000002"/>
  </r>
  <r>
    <x v="24"/>
    <s v="Vancouver School District"/>
    <s v="Personnel"/>
    <s v="H "/>
    <x v="1"/>
    <x v="21"/>
    <s v="PSES High Prog21Duty45 S275"/>
    <x v="1"/>
    <s v="45"/>
    <n v="45"/>
    <m/>
    <s v="   "/>
    <n v="7.9340000000000002"/>
  </r>
  <r>
    <x v="24"/>
    <s v="Vancouver School District"/>
    <s v="Personnel"/>
    <s v="M "/>
    <x v="2"/>
    <x v="28"/>
    <s v="PSES Mid Prog21Duty45 S275"/>
    <x v="1"/>
    <s v="45"/>
    <n v="45"/>
    <m/>
    <s v="   "/>
    <n v="4.9930000000000003"/>
  </r>
  <r>
    <x v="24"/>
    <s v="Vancouver School District"/>
    <s v="Personnel"/>
    <s v="E "/>
    <x v="0"/>
    <x v="22"/>
    <s v="PSES Elem Prog21Duty46 S275"/>
    <x v="1"/>
    <s v="46"/>
    <n v="46"/>
    <m/>
    <s v="   "/>
    <n v="12.129"/>
  </r>
  <r>
    <x v="24"/>
    <s v="Vancouver School District"/>
    <s v="Personnel"/>
    <s v="H "/>
    <x v="1"/>
    <x v="23"/>
    <s v="PSES High Prog21Duty46 S275"/>
    <x v="1"/>
    <s v="46"/>
    <n v="46"/>
    <m/>
    <s v="   "/>
    <n v="6.8479999999999999"/>
  </r>
  <r>
    <x v="24"/>
    <s v="Vancouver School District"/>
    <s v="Personnel"/>
    <s v="M "/>
    <x v="2"/>
    <x v="24"/>
    <s v="PSES Mid Prog21Duty46 S275"/>
    <x v="1"/>
    <s v="46"/>
    <n v="46"/>
    <m/>
    <s v="   "/>
    <n v="3.22"/>
  </r>
  <r>
    <x v="24"/>
    <s v="Vancouver School District"/>
    <s v="Personnel"/>
    <s v="E "/>
    <x v="0"/>
    <x v="32"/>
    <s v="PSES Elem Prog21Duty47 S275"/>
    <x v="1"/>
    <s v="47"/>
    <n v="47"/>
    <m/>
    <s v="   "/>
    <n v="0.05"/>
  </r>
  <r>
    <x v="24"/>
    <s v="Vancouver School District"/>
    <s v="Personnel"/>
    <s v="E "/>
    <x v="0"/>
    <x v="27"/>
    <s v="PSES Elem Prog01Duty47 S275"/>
    <x v="0"/>
    <s v="47"/>
    <n v="47"/>
    <m/>
    <s v="   "/>
    <n v="8.76"/>
  </r>
  <r>
    <x v="24"/>
    <s v="Vancouver School District"/>
    <s v="Personnel"/>
    <s v="H "/>
    <x v="1"/>
    <x v="61"/>
    <s v="PSES High Prog21Duty47 S275"/>
    <x v="1"/>
    <s v="47"/>
    <n v="47"/>
    <m/>
    <s v="   "/>
    <n v="2.7E-2"/>
  </r>
  <r>
    <x v="24"/>
    <s v="Vancouver School District"/>
    <s v="Personnel"/>
    <s v="H "/>
    <x v="1"/>
    <x v="25"/>
    <s v="PSES High Prog01Duty47 S275"/>
    <x v="0"/>
    <s v="47"/>
    <n v="47"/>
    <m/>
    <s v="   "/>
    <n v="6.3710000000000004"/>
  </r>
  <r>
    <x v="24"/>
    <s v="Vancouver School District"/>
    <s v="Personnel"/>
    <s v="M "/>
    <x v="2"/>
    <x v="33"/>
    <s v="PSES Mid Prog21Duty47 S275"/>
    <x v="1"/>
    <s v="47"/>
    <n v="47"/>
    <m/>
    <s v="   "/>
    <n v="2.3E-2"/>
  </r>
  <r>
    <x v="24"/>
    <s v="Vancouver School District"/>
    <s v="Personnel"/>
    <s v="M "/>
    <x v="2"/>
    <x v="34"/>
    <s v="PSES Mid Prog01Duty47 S275"/>
    <x v="0"/>
    <s v="47"/>
    <n v="47"/>
    <m/>
    <s v="   "/>
    <n v="3.78"/>
  </r>
  <r>
    <x v="24"/>
    <s v="Vancouver School District"/>
    <s v="Personnel"/>
    <s v="E "/>
    <x v="0"/>
    <x v="35"/>
    <s v="PSES Elem Prog21Duty48 S275"/>
    <x v="1"/>
    <s v="48"/>
    <n v="48"/>
    <m/>
    <s v="   "/>
    <n v="2.823"/>
  </r>
  <r>
    <x v="24"/>
    <s v="Vancouver School District"/>
    <s v="Personnel"/>
    <s v="H "/>
    <x v="1"/>
    <x v="36"/>
    <s v="PSES High Prog21Duty48 S275"/>
    <x v="1"/>
    <s v="48"/>
    <n v="48"/>
    <m/>
    <s v="   "/>
    <n v="0.23699999999999999"/>
  </r>
  <r>
    <x v="24"/>
    <s v="Vancouver School District"/>
    <s v="Personnel"/>
    <s v="M "/>
    <x v="2"/>
    <x v="37"/>
    <s v="PSES Mid Prog21Duty48 S275"/>
    <x v="1"/>
    <s v="48"/>
    <n v="48"/>
    <m/>
    <s v="   "/>
    <n v="0.34"/>
  </r>
  <r>
    <x v="25"/>
    <s v="Hockinson School District"/>
    <s v="Personnel"/>
    <s v="E "/>
    <x v="0"/>
    <x v="62"/>
    <s v="PSES Elem Prog01Act35 S275"/>
    <x v="0"/>
    <s v="35"/>
    <m/>
    <n v="35"/>
    <s v="   "/>
    <n v="0.754"/>
  </r>
  <r>
    <x v="25"/>
    <s v="Hockinson School District"/>
    <s v="Personnel"/>
    <s v="H "/>
    <x v="1"/>
    <x v="54"/>
    <s v="PSES High Prog01Act35 S275"/>
    <x v="0"/>
    <s v="35"/>
    <m/>
    <n v="35"/>
    <s v="   "/>
    <n v="0.754"/>
  </r>
  <r>
    <x v="25"/>
    <s v="Hockinson School District"/>
    <s v="Personnel"/>
    <s v="M "/>
    <x v="2"/>
    <x v="63"/>
    <s v="PSES Mid Prog01Act35 S275"/>
    <x v="0"/>
    <s v="35"/>
    <m/>
    <n v="35"/>
    <s v="   "/>
    <n v="0.754"/>
  </r>
  <r>
    <x v="25"/>
    <s v="Hockinson School District"/>
    <s v="Personnel"/>
    <s v="E "/>
    <x v="0"/>
    <x v="15"/>
    <s v="PSES Elem Prog01Duty42 S275"/>
    <x v="0"/>
    <s v="42"/>
    <n v="42"/>
    <m/>
    <s v="   "/>
    <n v="1"/>
  </r>
  <r>
    <x v="25"/>
    <s v="Hockinson School District"/>
    <s v="Personnel"/>
    <s v="H "/>
    <x v="1"/>
    <x v="16"/>
    <s v="PSES High Prog01Duty42 S275"/>
    <x v="0"/>
    <s v="42"/>
    <n v="42"/>
    <m/>
    <s v="   "/>
    <n v="2"/>
  </r>
  <r>
    <x v="25"/>
    <s v="Hockinson School District"/>
    <s v="Personnel"/>
    <s v="M "/>
    <x v="2"/>
    <x v="17"/>
    <s v="PSES Mid Prog01Duty42 S275"/>
    <x v="0"/>
    <s v="42"/>
    <n v="42"/>
    <m/>
    <s v="   "/>
    <n v="1"/>
  </r>
  <r>
    <x v="25"/>
    <s v="Hockinson School District"/>
    <s v="Personnel"/>
    <s v="E "/>
    <x v="0"/>
    <x v="18"/>
    <s v="PSES Elem Prog21Duty43 S275"/>
    <x v="1"/>
    <s v="43"/>
    <n v="43"/>
    <m/>
    <s v="   "/>
    <n v="3"/>
  </r>
  <r>
    <x v="25"/>
    <s v="Hockinson School District"/>
    <s v="Personnel"/>
    <s v="E "/>
    <x v="0"/>
    <x v="64"/>
    <s v="PSES Elem Prog09Duty44 S275"/>
    <x v="3"/>
    <s v="44"/>
    <n v="44"/>
    <m/>
    <s v="   "/>
    <n v="0.5"/>
  </r>
  <r>
    <x v="25"/>
    <s v="Hockinson School District"/>
    <s v="Personnel"/>
    <s v="E "/>
    <x v="0"/>
    <x v="41"/>
    <s v="PSES Elem Prog21Duty44 S275"/>
    <x v="1"/>
    <s v="44"/>
    <n v="44"/>
    <m/>
    <s v="   "/>
    <n v="0.6"/>
  </r>
  <r>
    <x v="25"/>
    <s v="Hockinson School District"/>
    <s v="Personnel"/>
    <s v="E "/>
    <x v="0"/>
    <x v="42"/>
    <s v="PSES Elem Prog01Duty44 S275"/>
    <x v="0"/>
    <s v="44"/>
    <n v="44"/>
    <m/>
    <s v="   "/>
    <n v="0.4"/>
  </r>
  <r>
    <x v="25"/>
    <s v="Hockinson School District"/>
    <s v="Personnel"/>
    <s v="E "/>
    <x v="0"/>
    <x v="22"/>
    <s v="PSES Elem Prog21Duty46 S275"/>
    <x v="1"/>
    <s v="46"/>
    <n v="46"/>
    <m/>
    <s v="   "/>
    <n v="0.95"/>
  </r>
  <r>
    <x v="25"/>
    <s v="Hockinson School District"/>
    <s v="Personnel"/>
    <s v="H "/>
    <x v="1"/>
    <x v="23"/>
    <s v="PSES High Prog21Duty46 S275"/>
    <x v="1"/>
    <s v="46"/>
    <n v="46"/>
    <m/>
    <s v="   "/>
    <n v="0.45"/>
  </r>
  <r>
    <x v="25"/>
    <s v="Hockinson School District"/>
    <s v="Personnel"/>
    <s v="M "/>
    <x v="2"/>
    <x v="24"/>
    <s v="PSES Mid Prog21Duty46 S275"/>
    <x v="1"/>
    <s v="46"/>
    <n v="46"/>
    <m/>
    <s v="   "/>
    <n v="0.5"/>
  </r>
  <r>
    <x v="25"/>
    <s v="Hockinson School District"/>
    <s v="Personnel"/>
    <s v="E "/>
    <x v="0"/>
    <x v="35"/>
    <s v="PSES Elem Prog21Duty48 S275"/>
    <x v="1"/>
    <s v="48"/>
    <n v="48"/>
    <m/>
    <s v="   "/>
    <n v="0.4"/>
  </r>
  <r>
    <x v="26"/>
    <s v="La Center School District"/>
    <s v="Personnel"/>
    <s v="E "/>
    <x v="0"/>
    <x v="3"/>
    <s v="PSES Elem Prog01Act25 S275"/>
    <x v="0"/>
    <s v="25"/>
    <m/>
    <n v="25"/>
    <s v="   "/>
    <n v="1.7949999999999999"/>
  </r>
  <r>
    <x v="26"/>
    <s v="La Center School District"/>
    <s v="Personnel"/>
    <s v="H "/>
    <x v="1"/>
    <x v="5"/>
    <s v="PSES High Prog01Act25 S275"/>
    <x v="0"/>
    <s v="25"/>
    <m/>
    <n v="25"/>
    <s v="   "/>
    <n v="1.9E-2"/>
  </r>
  <r>
    <x v="26"/>
    <s v="La Center School District"/>
    <s v="Personnel"/>
    <s v="M "/>
    <x v="2"/>
    <x v="6"/>
    <s v="PSES Mid Prog01Act25 S275"/>
    <x v="0"/>
    <s v="25"/>
    <m/>
    <n v="25"/>
    <s v="   "/>
    <n v="0.105"/>
  </r>
  <r>
    <x v="26"/>
    <s v="La Center School District"/>
    <s v="Personnel"/>
    <s v="E "/>
    <x v="0"/>
    <x v="8"/>
    <s v="PSES Elem Prog01Act26 S275"/>
    <x v="0"/>
    <s v="26"/>
    <m/>
    <n v="26"/>
    <s v="   "/>
    <n v="0.69899999999999995"/>
  </r>
  <r>
    <x v="26"/>
    <s v="La Center School District"/>
    <s v="Personnel"/>
    <s v="E "/>
    <x v="0"/>
    <x v="15"/>
    <s v="PSES Elem Prog01Duty42 S275"/>
    <x v="0"/>
    <s v="42"/>
    <n v="42"/>
    <m/>
    <s v="   "/>
    <n v="2.33"/>
  </r>
  <r>
    <x v="26"/>
    <s v="La Center School District"/>
    <s v="Personnel"/>
    <s v="H "/>
    <x v="1"/>
    <x v="16"/>
    <s v="PSES High Prog01Duty42 S275"/>
    <x v="0"/>
    <s v="42"/>
    <n v="42"/>
    <m/>
    <s v="   "/>
    <n v="1.66"/>
  </r>
  <r>
    <x v="26"/>
    <s v="La Center School District"/>
    <s v="Personnel"/>
    <s v="M "/>
    <x v="2"/>
    <x v="17"/>
    <s v="PSES Mid Prog01Duty42 S275"/>
    <x v="0"/>
    <s v="42"/>
    <n v="42"/>
    <m/>
    <s v="   "/>
    <n v="0.56999999999999995"/>
  </r>
  <r>
    <x v="26"/>
    <s v="La Center School District"/>
    <s v="Personnel"/>
    <s v="E "/>
    <x v="0"/>
    <x v="20"/>
    <s v="PSES Elem Prog21Duty45 S275"/>
    <x v="1"/>
    <s v="45"/>
    <n v="45"/>
    <m/>
    <s v="   "/>
    <n v="2.59"/>
  </r>
  <r>
    <x v="26"/>
    <s v="La Center School District"/>
    <s v="Personnel"/>
    <s v="H "/>
    <x v="1"/>
    <x v="21"/>
    <s v="PSES High Prog21Duty45 S275"/>
    <x v="1"/>
    <s v="45"/>
    <n v="45"/>
    <m/>
    <s v="   "/>
    <n v="0.22"/>
  </r>
  <r>
    <x v="26"/>
    <s v="La Center School District"/>
    <s v="Personnel"/>
    <s v="M "/>
    <x v="2"/>
    <x v="28"/>
    <s v="PSES Mid Prog21Duty45 S275"/>
    <x v="1"/>
    <s v="45"/>
    <n v="45"/>
    <m/>
    <s v="   "/>
    <n v="0.19"/>
  </r>
  <r>
    <x v="26"/>
    <s v="La Center School District"/>
    <s v="Personnel"/>
    <s v="E "/>
    <x v="0"/>
    <x v="38"/>
    <s v="PSES Elem Prog21Duty64 S275"/>
    <x v="1"/>
    <s v="64"/>
    <n v="64"/>
    <m/>
    <s v="   "/>
    <n v="0.57099999999999995"/>
  </r>
  <r>
    <x v="27"/>
    <s v="Green Mountain School District"/>
    <s v="Personnel"/>
    <s v="H "/>
    <x v="1"/>
    <x v="5"/>
    <s v="PSES High Prog01Act25 S275"/>
    <x v="0"/>
    <s v="25"/>
    <m/>
    <n v="25"/>
    <s v="   "/>
    <n v="0.55200000000000005"/>
  </r>
  <r>
    <x v="27"/>
    <s v="Green Mountain School District"/>
    <s v="Personnel"/>
    <s v="H "/>
    <x v="1"/>
    <x v="9"/>
    <s v="PSES High Prog01Act26 S275"/>
    <x v="0"/>
    <s v="26"/>
    <m/>
    <n v="26"/>
    <s v="   "/>
    <n v="0.25"/>
  </r>
  <r>
    <x v="27"/>
    <s v="Green Mountain School District"/>
    <s v="Personnel"/>
    <s v="M "/>
    <x v="2"/>
    <x v="17"/>
    <s v="PSES Mid Prog01Duty42 S275"/>
    <x v="0"/>
    <s v="42"/>
    <n v="42"/>
    <m/>
    <s v="   "/>
    <n v="0.34399999999999997"/>
  </r>
  <r>
    <x v="28"/>
    <s v="Washougal School District"/>
    <s v="Personnel"/>
    <s v="E "/>
    <x v="0"/>
    <x v="0"/>
    <s v="PSES Elem Prog01Duty96 S275"/>
    <x v="0"/>
    <s v="24"/>
    <n v="96"/>
    <n v="24"/>
    <s v="   "/>
    <n v="0.61399999999999999"/>
  </r>
  <r>
    <x v="28"/>
    <s v="Washougal School District"/>
    <s v="Personnel"/>
    <s v="H "/>
    <x v="1"/>
    <x v="1"/>
    <s v="PSES High Prog01Duty96 S275"/>
    <x v="0"/>
    <s v="24"/>
    <n v="96"/>
    <n v="24"/>
    <s v="   "/>
    <n v="0.53700000000000003"/>
  </r>
  <r>
    <x v="28"/>
    <s v="Washougal School District"/>
    <s v="Personnel"/>
    <s v="M "/>
    <x v="2"/>
    <x v="2"/>
    <s v="PSES Mid Prog01Duty96 S275"/>
    <x v="0"/>
    <s v="24"/>
    <n v="96"/>
    <n v="24"/>
    <s v="   "/>
    <n v="0.20799999999999999"/>
  </r>
  <r>
    <x v="28"/>
    <s v="Washougal School District"/>
    <s v="Personnel"/>
    <s v="E "/>
    <x v="0"/>
    <x v="3"/>
    <s v="PSES Elem Prog01Act25 S275"/>
    <x v="0"/>
    <s v="25"/>
    <m/>
    <n v="25"/>
    <s v="   "/>
    <n v="2.9620000000000002"/>
  </r>
  <r>
    <x v="28"/>
    <s v="Washougal School District"/>
    <s v="Personnel"/>
    <s v="H "/>
    <x v="1"/>
    <x v="5"/>
    <s v="PSES High Prog01Act25 S275"/>
    <x v="0"/>
    <s v="25"/>
    <m/>
    <n v="25"/>
    <s v="   "/>
    <n v="0.76700000000000002"/>
  </r>
  <r>
    <x v="28"/>
    <s v="Washougal School District"/>
    <s v="Personnel"/>
    <s v="M "/>
    <x v="2"/>
    <x v="6"/>
    <s v="PSES Mid Prog01Act25 S275"/>
    <x v="0"/>
    <s v="25"/>
    <m/>
    <n v="25"/>
    <s v="   "/>
    <n v="0.215"/>
  </r>
  <r>
    <x v="28"/>
    <s v="Washougal School District"/>
    <s v="Personnel"/>
    <s v="H "/>
    <x v="1"/>
    <x v="54"/>
    <s v="PSES High Prog01Act35 S275"/>
    <x v="0"/>
    <s v="35"/>
    <m/>
    <n v="35"/>
    <s v="   "/>
    <n v="1.3340000000000001"/>
  </r>
  <r>
    <x v="28"/>
    <s v="Washougal School District"/>
    <s v="Personnel"/>
    <s v="E "/>
    <x v="0"/>
    <x v="15"/>
    <s v="PSES Elem Prog01Duty42 S275"/>
    <x v="0"/>
    <s v="42"/>
    <n v="42"/>
    <m/>
    <s v="   "/>
    <n v="3.9409999999999998"/>
  </r>
  <r>
    <x v="28"/>
    <s v="Washougal School District"/>
    <s v="Personnel"/>
    <s v="H "/>
    <x v="1"/>
    <x v="16"/>
    <s v="PSES High Prog01Duty42 S275"/>
    <x v="0"/>
    <s v="42"/>
    <n v="42"/>
    <m/>
    <s v="   "/>
    <n v="2.2719999999999998"/>
  </r>
  <r>
    <x v="28"/>
    <s v="Washougal School District"/>
    <s v="Personnel"/>
    <s v="M "/>
    <x v="2"/>
    <x v="17"/>
    <s v="PSES Mid Prog01Duty42 S275"/>
    <x v="0"/>
    <s v="42"/>
    <n v="42"/>
    <m/>
    <s v="   "/>
    <n v="1.0369999999999999"/>
  </r>
  <r>
    <x v="28"/>
    <s v="Washougal School District"/>
    <s v="Personnel"/>
    <s v="E "/>
    <x v="0"/>
    <x v="18"/>
    <s v="PSES Elem Prog21Duty43 S275"/>
    <x v="1"/>
    <s v="43"/>
    <n v="43"/>
    <m/>
    <s v="   "/>
    <n v="0.92"/>
  </r>
  <r>
    <x v="28"/>
    <s v="Washougal School District"/>
    <s v="Personnel"/>
    <s v="H "/>
    <x v="1"/>
    <x v="19"/>
    <s v="PSES High Prog21Duty43 S275"/>
    <x v="1"/>
    <s v="43"/>
    <n v="43"/>
    <m/>
    <s v="   "/>
    <n v="0.48"/>
  </r>
  <r>
    <x v="28"/>
    <s v="Washougal School District"/>
    <s v="Personnel"/>
    <s v="E "/>
    <x v="0"/>
    <x v="20"/>
    <s v="PSES Elem Prog21Duty45 S275"/>
    <x v="1"/>
    <s v="45"/>
    <n v="45"/>
    <m/>
    <s v="   "/>
    <n v="3.9140000000000001"/>
  </r>
  <r>
    <x v="28"/>
    <s v="Washougal School District"/>
    <s v="Personnel"/>
    <s v="H "/>
    <x v="1"/>
    <x v="21"/>
    <s v="PSES High Prog21Duty45 S275"/>
    <x v="1"/>
    <s v="45"/>
    <n v="45"/>
    <m/>
    <s v="   "/>
    <n v="1"/>
  </r>
  <r>
    <x v="28"/>
    <s v="Washougal School District"/>
    <s v="Personnel"/>
    <s v="M "/>
    <x v="2"/>
    <x v="28"/>
    <s v="PSES Mid Prog21Duty45 S275"/>
    <x v="1"/>
    <s v="45"/>
    <n v="45"/>
    <m/>
    <s v="   "/>
    <n v="0.67500000000000004"/>
  </r>
  <r>
    <x v="28"/>
    <s v="Washougal School District"/>
    <s v="Personnel"/>
    <s v="E "/>
    <x v="0"/>
    <x v="35"/>
    <s v="PSES Elem Prog21Duty48 S275"/>
    <x v="1"/>
    <s v="48"/>
    <n v="48"/>
    <m/>
    <s v="   "/>
    <n v="0.2"/>
  </r>
  <r>
    <x v="29"/>
    <s v="Evergreen School District (Clark)"/>
    <s v="Personnel"/>
    <s v="H "/>
    <x v="1"/>
    <x v="4"/>
    <s v="PSES High Prog21Act25 S275"/>
    <x v="1"/>
    <s v="25"/>
    <m/>
    <n v="25"/>
    <s v="   "/>
    <n v="0.83199999999999996"/>
  </r>
  <r>
    <x v="29"/>
    <s v="Evergreen School District (Clark)"/>
    <s v="Personnel"/>
    <s v="H "/>
    <x v="1"/>
    <x v="5"/>
    <s v="PSES High Prog01Act25 S275"/>
    <x v="0"/>
    <s v="25"/>
    <m/>
    <n v="25"/>
    <s v="   "/>
    <n v="36.594999999999999"/>
  </r>
  <r>
    <x v="29"/>
    <s v="Evergreen School District (Clark)"/>
    <s v="Personnel"/>
    <s v="H "/>
    <x v="1"/>
    <x v="29"/>
    <s v="PSES High Prog21Act26 S275"/>
    <x v="1"/>
    <s v="26"/>
    <m/>
    <n v="26"/>
    <s v="   "/>
    <n v="3.3460000000000001"/>
  </r>
  <r>
    <x v="29"/>
    <s v="Evergreen School District (Clark)"/>
    <s v="Personnel"/>
    <s v="H "/>
    <x v="1"/>
    <x v="9"/>
    <s v="PSES High Prog01Act26 S275"/>
    <x v="0"/>
    <s v="26"/>
    <m/>
    <n v="26"/>
    <s v="   "/>
    <n v="6.3860000000000001"/>
  </r>
  <r>
    <x v="29"/>
    <s v="Evergreen School District (Clark)"/>
    <s v="Personnel"/>
    <s v="H "/>
    <x v="1"/>
    <x v="54"/>
    <s v="PSES High Prog01Act35 S275"/>
    <x v="0"/>
    <s v="35"/>
    <m/>
    <n v="35"/>
    <s v="   "/>
    <n v="15.875999999999999"/>
  </r>
  <r>
    <x v="29"/>
    <s v="Evergreen School District (Clark)"/>
    <s v="Personnel"/>
    <s v="E "/>
    <x v="0"/>
    <x v="14"/>
    <s v="PSES Elem Prog21Duty39 S275"/>
    <x v="1"/>
    <s v="39"/>
    <n v="39"/>
    <m/>
    <s v="   "/>
    <n v="1"/>
  </r>
  <r>
    <x v="29"/>
    <s v="Evergreen School District (Clark)"/>
    <s v="Personnel"/>
    <s v="E "/>
    <x v="0"/>
    <x v="15"/>
    <s v="PSES Elem Prog01Duty42 S275"/>
    <x v="0"/>
    <s v="42"/>
    <n v="42"/>
    <m/>
    <s v="   "/>
    <n v="20.745999999999999"/>
  </r>
  <r>
    <x v="29"/>
    <s v="Evergreen School District (Clark)"/>
    <s v="Personnel"/>
    <s v="H "/>
    <x v="1"/>
    <x v="16"/>
    <s v="PSES High Prog01Duty42 S275"/>
    <x v="0"/>
    <s v="42"/>
    <n v="42"/>
    <m/>
    <s v="   "/>
    <n v="20.317"/>
  </r>
  <r>
    <x v="29"/>
    <s v="Evergreen School District (Clark)"/>
    <s v="Personnel"/>
    <s v="M "/>
    <x v="2"/>
    <x v="17"/>
    <s v="PSES Mid Prog01Duty42 S275"/>
    <x v="0"/>
    <s v="42"/>
    <n v="42"/>
    <m/>
    <s v="   "/>
    <n v="9.7539999999999996"/>
  </r>
  <r>
    <x v="29"/>
    <s v="Evergreen School District (Clark)"/>
    <s v="Personnel"/>
    <s v="E "/>
    <x v="0"/>
    <x v="18"/>
    <s v="PSES Elem Prog21Duty43 S275"/>
    <x v="1"/>
    <s v="43"/>
    <n v="43"/>
    <m/>
    <s v="   "/>
    <n v="9.4320000000000004"/>
  </r>
  <r>
    <x v="29"/>
    <s v="Evergreen School District (Clark)"/>
    <s v="Personnel"/>
    <s v="H "/>
    <x v="1"/>
    <x v="19"/>
    <s v="PSES High Prog21Duty43 S275"/>
    <x v="1"/>
    <s v="43"/>
    <n v="43"/>
    <m/>
    <s v="   "/>
    <n v="0.7"/>
  </r>
  <r>
    <x v="29"/>
    <s v="Evergreen School District (Clark)"/>
    <s v="Personnel"/>
    <s v="M "/>
    <x v="2"/>
    <x v="31"/>
    <s v="PSES Mid Prog21Duty43 S275"/>
    <x v="1"/>
    <s v="43"/>
    <n v="43"/>
    <m/>
    <s v="   "/>
    <n v="0.46800000000000003"/>
  </r>
  <r>
    <x v="29"/>
    <s v="Evergreen School District (Clark)"/>
    <s v="Personnel"/>
    <s v="E "/>
    <x v="0"/>
    <x v="42"/>
    <s v="PSES Elem Prog01Duty44 S275"/>
    <x v="0"/>
    <s v="44"/>
    <n v="44"/>
    <m/>
    <s v="   "/>
    <n v="5.6660000000000004"/>
  </r>
  <r>
    <x v="29"/>
    <s v="Evergreen School District (Clark)"/>
    <s v="Personnel"/>
    <s v="M "/>
    <x v="2"/>
    <x v="46"/>
    <s v="PSES Mid Prog01Duty44 S275"/>
    <x v="0"/>
    <s v="44"/>
    <n v="44"/>
    <m/>
    <s v="   "/>
    <n v="1.3340000000000001"/>
  </r>
  <r>
    <x v="29"/>
    <s v="Evergreen School District (Clark)"/>
    <s v="Personnel"/>
    <s v="E "/>
    <x v="0"/>
    <x v="20"/>
    <s v="PSES Elem Prog21Duty45 S275"/>
    <x v="1"/>
    <s v="45"/>
    <n v="45"/>
    <m/>
    <s v="   "/>
    <n v="28.527999999999999"/>
  </r>
  <r>
    <x v="29"/>
    <s v="Evergreen School District (Clark)"/>
    <s v="Personnel"/>
    <s v="H "/>
    <x v="1"/>
    <x v="21"/>
    <s v="PSES High Prog21Duty45 S275"/>
    <x v="1"/>
    <s v="45"/>
    <n v="45"/>
    <m/>
    <s v="   "/>
    <n v="9.3390000000000004"/>
  </r>
  <r>
    <x v="29"/>
    <s v="Evergreen School District (Clark)"/>
    <s v="Personnel"/>
    <s v="M "/>
    <x v="2"/>
    <x v="28"/>
    <s v="PSES Mid Prog21Duty45 S275"/>
    <x v="1"/>
    <s v="45"/>
    <n v="45"/>
    <m/>
    <s v="   "/>
    <n v="4.6719999999999997"/>
  </r>
  <r>
    <x v="29"/>
    <s v="Evergreen School District (Clark)"/>
    <s v="Personnel"/>
    <s v="E "/>
    <x v="0"/>
    <x v="22"/>
    <s v="PSES Elem Prog21Duty46 S275"/>
    <x v="1"/>
    <s v="46"/>
    <n v="46"/>
    <m/>
    <s v="   "/>
    <n v="13.45"/>
  </r>
  <r>
    <x v="29"/>
    <s v="Evergreen School District (Clark)"/>
    <s v="Personnel"/>
    <s v="H "/>
    <x v="1"/>
    <x v="23"/>
    <s v="PSES High Prog21Duty46 S275"/>
    <x v="1"/>
    <s v="46"/>
    <n v="46"/>
    <m/>
    <s v="   "/>
    <n v="4.25"/>
  </r>
  <r>
    <x v="29"/>
    <s v="Evergreen School District (Clark)"/>
    <s v="Personnel"/>
    <s v="M "/>
    <x v="2"/>
    <x v="24"/>
    <s v="PSES Mid Prog21Duty46 S275"/>
    <x v="1"/>
    <s v="46"/>
    <n v="46"/>
    <m/>
    <s v="   "/>
    <n v="3.6"/>
  </r>
  <r>
    <x v="29"/>
    <s v="Evergreen School District (Clark)"/>
    <s v="Personnel"/>
    <s v="E "/>
    <x v="0"/>
    <x v="27"/>
    <s v="PSES Elem Prog01Duty47 S275"/>
    <x v="0"/>
    <s v="47"/>
    <n v="47"/>
    <m/>
    <s v="   "/>
    <n v="7.47"/>
  </r>
  <r>
    <x v="29"/>
    <s v="Evergreen School District (Clark)"/>
    <s v="Personnel"/>
    <s v="H "/>
    <x v="1"/>
    <x v="25"/>
    <s v="PSES High Prog01Duty47 S275"/>
    <x v="0"/>
    <s v="47"/>
    <n v="47"/>
    <m/>
    <s v="   "/>
    <n v="5.085"/>
  </r>
  <r>
    <x v="29"/>
    <s v="Evergreen School District (Clark)"/>
    <s v="Personnel"/>
    <s v="M "/>
    <x v="2"/>
    <x v="34"/>
    <s v="PSES Mid Prog01Duty47 S275"/>
    <x v="0"/>
    <s v="47"/>
    <n v="47"/>
    <m/>
    <s v="   "/>
    <n v="1.9039999999999999"/>
  </r>
  <r>
    <x v="29"/>
    <s v="Evergreen School District (Clark)"/>
    <s v="Personnel"/>
    <s v="E "/>
    <x v="0"/>
    <x v="35"/>
    <s v="PSES Elem Prog21Duty48 S275"/>
    <x v="1"/>
    <s v="48"/>
    <n v="48"/>
    <m/>
    <s v="   "/>
    <n v="3.8730000000000002"/>
  </r>
  <r>
    <x v="29"/>
    <s v="Evergreen School District (Clark)"/>
    <s v="Personnel"/>
    <s v="H "/>
    <x v="1"/>
    <x v="36"/>
    <s v="PSES High Prog21Duty48 S275"/>
    <x v="1"/>
    <s v="48"/>
    <n v="48"/>
    <m/>
    <s v="   "/>
    <n v="0.9"/>
  </r>
  <r>
    <x v="29"/>
    <s v="Evergreen School District (Clark)"/>
    <s v="Personnel"/>
    <s v="M "/>
    <x v="2"/>
    <x v="37"/>
    <s v="PSES Mid Prog21Duty48 S275"/>
    <x v="1"/>
    <s v="48"/>
    <n v="48"/>
    <m/>
    <s v="   "/>
    <n v="0.53100000000000003"/>
  </r>
  <r>
    <x v="29"/>
    <s v="Evergreen School District (Clark)"/>
    <s v="Personnel"/>
    <s v="H "/>
    <x v="1"/>
    <x v="55"/>
    <s v="PSES High Prog21Duty49 S275"/>
    <x v="1"/>
    <s v="49"/>
    <n v="49"/>
    <m/>
    <s v="   "/>
    <n v="3"/>
  </r>
  <r>
    <x v="30"/>
    <s v="Camas School District"/>
    <s v="Personnel"/>
    <s v="E "/>
    <x v="0"/>
    <x v="3"/>
    <s v="PSES Elem Prog01Act25 S275"/>
    <x v="0"/>
    <s v="25"/>
    <m/>
    <n v="25"/>
    <s v="   "/>
    <n v="3.4119999999999999"/>
  </r>
  <r>
    <x v="30"/>
    <s v="Camas School District"/>
    <s v="Personnel"/>
    <s v="H "/>
    <x v="1"/>
    <x v="5"/>
    <s v="PSES High Prog01Act25 S275"/>
    <x v="0"/>
    <s v="25"/>
    <m/>
    <n v="25"/>
    <s v="   "/>
    <n v="7.8719999999999999"/>
  </r>
  <r>
    <x v="30"/>
    <s v="Camas School District"/>
    <s v="Personnel"/>
    <s v="E "/>
    <x v="0"/>
    <x v="7"/>
    <s v="PSES Elem Prog21Act26 S275"/>
    <x v="1"/>
    <s v="26"/>
    <m/>
    <n v="26"/>
    <s v="   "/>
    <n v="5.5E-2"/>
  </r>
  <r>
    <x v="30"/>
    <s v="Camas School District"/>
    <s v="Personnel"/>
    <s v="E "/>
    <x v="0"/>
    <x v="8"/>
    <s v="PSES Elem Prog01Act26 S275"/>
    <x v="0"/>
    <s v="26"/>
    <m/>
    <n v="26"/>
    <s v="   "/>
    <n v="4.8049999999999997"/>
  </r>
  <r>
    <x v="30"/>
    <s v="Camas School District"/>
    <s v="Personnel"/>
    <s v="H "/>
    <x v="1"/>
    <x v="29"/>
    <s v="PSES High Prog21Act26 S275"/>
    <x v="1"/>
    <s v="26"/>
    <m/>
    <n v="26"/>
    <s v="   "/>
    <n v="0.52"/>
  </r>
  <r>
    <x v="30"/>
    <s v="Camas School District"/>
    <s v="Personnel"/>
    <s v="H "/>
    <x v="1"/>
    <x v="9"/>
    <s v="PSES High Prog01Act26 S275"/>
    <x v="0"/>
    <s v="26"/>
    <m/>
    <n v="26"/>
    <s v="   "/>
    <n v="3.37"/>
  </r>
  <r>
    <x v="30"/>
    <s v="Camas School District"/>
    <s v="Personnel"/>
    <s v="M "/>
    <x v="2"/>
    <x v="11"/>
    <s v="PSES Mid Prog01Act26 S275"/>
    <x v="0"/>
    <s v="26"/>
    <m/>
    <n v="26"/>
    <s v="   "/>
    <n v="2.2149999999999999"/>
  </r>
  <r>
    <x v="30"/>
    <s v="Camas School District"/>
    <s v="Personnel"/>
    <s v="H "/>
    <x v="1"/>
    <x v="54"/>
    <s v="PSES High Prog01Act35 S275"/>
    <x v="0"/>
    <s v="35"/>
    <m/>
    <n v="35"/>
    <s v="   "/>
    <n v="0.72599999999999998"/>
  </r>
  <r>
    <x v="30"/>
    <s v="Camas School District"/>
    <s v="Personnel"/>
    <s v="E "/>
    <x v="0"/>
    <x v="15"/>
    <s v="PSES Elem Prog01Duty42 S275"/>
    <x v="0"/>
    <s v="42"/>
    <n v="42"/>
    <m/>
    <s v="   "/>
    <n v="8.266"/>
  </r>
  <r>
    <x v="30"/>
    <s v="Camas School District"/>
    <s v="Personnel"/>
    <s v="H "/>
    <x v="1"/>
    <x v="16"/>
    <s v="PSES High Prog01Duty42 S275"/>
    <x v="0"/>
    <s v="42"/>
    <n v="42"/>
    <m/>
    <s v="   "/>
    <n v="9.5280000000000005"/>
  </r>
  <r>
    <x v="30"/>
    <s v="Camas School District"/>
    <s v="Personnel"/>
    <s v="M "/>
    <x v="2"/>
    <x v="17"/>
    <s v="PSES Mid Prog01Duty42 S275"/>
    <x v="0"/>
    <s v="42"/>
    <n v="42"/>
    <m/>
    <s v="   "/>
    <n v="2.3340000000000001"/>
  </r>
  <r>
    <x v="30"/>
    <s v="Camas School District"/>
    <s v="Personnel"/>
    <s v="E "/>
    <x v="0"/>
    <x v="18"/>
    <s v="PSES Elem Prog21Duty43 S275"/>
    <x v="1"/>
    <s v="43"/>
    <n v="43"/>
    <m/>
    <s v="   "/>
    <n v="2.8"/>
  </r>
  <r>
    <x v="30"/>
    <s v="Camas School District"/>
    <s v="Personnel"/>
    <s v="E "/>
    <x v="0"/>
    <x v="20"/>
    <s v="PSES Elem Prog21Duty45 S275"/>
    <x v="1"/>
    <s v="45"/>
    <n v="45"/>
    <m/>
    <s v="   "/>
    <n v="7.6"/>
  </r>
  <r>
    <x v="30"/>
    <s v="Camas School District"/>
    <s v="Personnel"/>
    <s v="H "/>
    <x v="1"/>
    <x v="21"/>
    <s v="PSES High Prog21Duty45 S275"/>
    <x v="1"/>
    <s v="45"/>
    <n v="45"/>
    <m/>
    <s v="   "/>
    <n v="2"/>
  </r>
  <r>
    <x v="30"/>
    <s v="Camas School District"/>
    <s v="Personnel"/>
    <s v="E "/>
    <x v="0"/>
    <x v="22"/>
    <s v="PSES Elem Prog21Duty46 S275"/>
    <x v="1"/>
    <s v="46"/>
    <n v="46"/>
    <m/>
    <s v="   "/>
    <n v="7"/>
  </r>
  <r>
    <x v="30"/>
    <s v="Camas School District"/>
    <s v="Personnel"/>
    <s v="H "/>
    <x v="1"/>
    <x v="23"/>
    <s v="PSES High Prog21Duty46 S275"/>
    <x v="1"/>
    <s v="46"/>
    <n v="46"/>
    <m/>
    <s v="   "/>
    <n v="0.15"/>
  </r>
  <r>
    <x v="30"/>
    <s v="Camas School District"/>
    <s v="Personnel"/>
    <s v="M "/>
    <x v="2"/>
    <x v="24"/>
    <s v="PSES Mid Prog21Duty46 S275"/>
    <x v="1"/>
    <s v="46"/>
    <n v="46"/>
    <m/>
    <s v="   "/>
    <n v="0.6"/>
  </r>
  <r>
    <x v="30"/>
    <s v="Camas School District"/>
    <s v="Personnel"/>
    <s v="E "/>
    <x v="0"/>
    <x v="35"/>
    <s v="PSES Elem Prog21Duty48 S275"/>
    <x v="1"/>
    <s v="48"/>
    <n v="48"/>
    <m/>
    <s v="   "/>
    <n v="0.5"/>
  </r>
  <r>
    <x v="30"/>
    <s v="Camas School District"/>
    <s v="Personnel"/>
    <s v="M "/>
    <x v="2"/>
    <x v="37"/>
    <s v="PSES Mid Prog21Duty48 S275"/>
    <x v="1"/>
    <s v="48"/>
    <n v="48"/>
    <m/>
    <s v="   "/>
    <n v="1"/>
  </r>
  <r>
    <x v="31"/>
    <s v="Battle Ground School District"/>
    <s v="Personnel"/>
    <s v="H "/>
    <x v="1"/>
    <x v="1"/>
    <s v="PSES High Prog01Duty96 S275"/>
    <x v="0"/>
    <s v="24"/>
    <n v="96"/>
    <n v="24"/>
    <s v="   "/>
    <n v="2.0670000000000002"/>
  </r>
  <r>
    <x v="31"/>
    <s v="Battle Ground School District"/>
    <s v="Personnel"/>
    <s v="M "/>
    <x v="2"/>
    <x v="2"/>
    <s v="PSES Mid Prog01Duty96 S275"/>
    <x v="0"/>
    <s v="24"/>
    <n v="96"/>
    <n v="24"/>
    <s v="   "/>
    <n v="1.845"/>
  </r>
  <r>
    <x v="31"/>
    <s v="Battle Ground School District"/>
    <s v="Personnel"/>
    <s v="E "/>
    <x v="0"/>
    <x v="3"/>
    <s v="PSES Elem Prog01Act25 S275"/>
    <x v="0"/>
    <s v="25"/>
    <m/>
    <n v="25"/>
    <s v="   "/>
    <n v="12.385999999999999"/>
  </r>
  <r>
    <x v="31"/>
    <s v="Battle Ground School District"/>
    <s v="Personnel"/>
    <s v="H "/>
    <x v="1"/>
    <x v="4"/>
    <s v="PSES High Prog21Act25 S275"/>
    <x v="1"/>
    <s v="25"/>
    <m/>
    <n v="25"/>
    <s v="   "/>
    <n v="1.796"/>
  </r>
  <r>
    <x v="31"/>
    <s v="Battle Ground School District"/>
    <s v="Personnel"/>
    <s v="H "/>
    <x v="1"/>
    <x v="5"/>
    <s v="PSES High Prog01Act25 S275"/>
    <x v="0"/>
    <s v="25"/>
    <m/>
    <n v="25"/>
    <s v="   "/>
    <n v="11.167"/>
  </r>
  <r>
    <x v="31"/>
    <s v="Battle Ground School District"/>
    <s v="Personnel"/>
    <s v="M "/>
    <x v="2"/>
    <x v="6"/>
    <s v="PSES Mid Prog01Act25 S275"/>
    <x v="0"/>
    <s v="25"/>
    <m/>
    <n v="25"/>
    <s v="   "/>
    <n v="5.407"/>
  </r>
  <r>
    <x v="31"/>
    <s v="Battle Ground School District"/>
    <s v="Personnel"/>
    <s v="E "/>
    <x v="0"/>
    <x v="7"/>
    <s v="PSES Elem Prog21Act26 S275"/>
    <x v="1"/>
    <s v="26"/>
    <m/>
    <n v="26"/>
    <s v="   "/>
    <n v="0.95299999999999996"/>
  </r>
  <r>
    <x v="31"/>
    <s v="Battle Ground School District"/>
    <s v="Personnel"/>
    <s v="E "/>
    <x v="0"/>
    <x v="8"/>
    <s v="PSES Elem Prog01Act26 S275"/>
    <x v="0"/>
    <s v="26"/>
    <m/>
    <n v="26"/>
    <s v="   "/>
    <n v="5.1669999999999998"/>
  </r>
  <r>
    <x v="31"/>
    <s v="Battle Ground School District"/>
    <s v="Personnel"/>
    <s v="H "/>
    <x v="1"/>
    <x v="29"/>
    <s v="PSES High Prog21Act26 S275"/>
    <x v="1"/>
    <s v="26"/>
    <m/>
    <n v="26"/>
    <s v="   "/>
    <n v="0.81499999999999995"/>
  </r>
  <r>
    <x v="31"/>
    <s v="Battle Ground School District"/>
    <s v="Personnel"/>
    <s v="H "/>
    <x v="1"/>
    <x v="9"/>
    <s v="PSES High Prog01Act26 S275"/>
    <x v="0"/>
    <s v="26"/>
    <m/>
    <n v="26"/>
    <s v="   "/>
    <n v="0.73799999999999999"/>
  </r>
  <r>
    <x v="31"/>
    <s v="Battle Ground School District"/>
    <s v="Personnel"/>
    <s v="M "/>
    <x v="2"/>
    <x v="10"/>
    <s v="PSES Mid Prog21Act26 S275"/>
    <x v="1"/>
    <s v="26"/>
    <m/>
    <n v="26"/>
    <s v="   "/>
    <n v="0.81499999999999995"/>
  </r>
  <r>
    <x v="31"/>
    <s v="Battle Ground School District"/>
    <s v="Personnel"/>
    <s v="M "/>
    <x v="2"/>
    <x v="11"/>
    <s v="PSES Mid Prog01Act26 S275"/>
    <x v="0"/>
    <s v="26"/>
    <m/>
    <n v="26"/>
    <s v="   "/>
    <n v="2.952"/>
  </r>
  <r>
    <x v="31"/>
    <s v="Battle Ground School District"/>
    <s v="Personnel"/>
    <s v="H "/>
    <x v="1"/>
    <x v="12"/>
    <s v="PSES High Prog97Act35 S275"/>
    <x v="2"/>
    <s v="35"/>
    <m/>
    <n v="35"/>
    <s v="   "/>
    <n v="1.9039999999999999"/>
  </r>
  <r>
    <x v="31"/>
    <s v="Battle Ground School District"/>
    <s v="Personnel"/>
    <s v="H "/>
    <x v="1"/>
    <x v="54"/>
    <s v="PSES High Prog01Act35 S275"/>
    <x v="0"/>
    <s v="35"/>
    <m/>
    <n v="35"/>
    <s v="   "/>
    <n v="3.69"/>
  </r>
  <r>
    <x v="31"/>
    <s v="Battle Ground School District"/>
    <s v="Personnel"/>
    <s v="M "/>
    <x v="2"/>
    <x v="63"/>
    <s v="PSES Mid Prog01Act35 S275"/>
    <x v="0"/>
    <s v="35"/>
    <m/>
    <n v="35"/>
    <s v="   "/>
    <n v="5.9039999999999999"/>
  </r>
  <r>
    <x v="31"/>
    <s v="Battle Ground School District"/>
    <s v="Personnel"/>
    <s v="E "/>
    <x v="0"/>
    <x v="15"/>
    <s v="PSES Elem Prog01Duty42 S275"/>
    <x v="0"/>
    <s v="42"/>
    <n v="42"/>
    <m/>
    <s v="   "/>
    <n v="10.5"/>
  </r>
  <r>
    <x v="31"/>
    <s v="Battle Ground School District"/>
    <s v="Personnel"/>
    <s v="H "/>
    <x v="1"/>
    <x v="16"/>
    <s v="PSES High Prog01Duty42 S275"/>
    <x v="0"/>
    <s v="42"/>
    <n v="42"/>
    <m/>
    <s v="   "/>
    <n v="11"/>
  </r>
  <r>
    <x v="31"/>
    <s v="Battle Ground School District"/>
    <s v="Personnel"/>
    <s v="M "/>
    <x v="2"/>
    <x v="17"/>
    <s v="PSES Mid Prog01Duty42 S275"/>
    <x v="0"/>
    <s v="42"/>
    <n v="42"/>
    <m/>
    <s v="   "/>
    <n v="3.5"/>
  </r>
  <r>
    <x v="31"/>
    <s v="Battle Ground School District"/>
    <s v="Personnel"/>
    <s v="E "/>
    <x v="0"/>
    <x v="18"/>
    <s v="PSES Elem Prog21Duty43 S275"/>
    <x v="1"/>
    <s v="43"/>
    <n v="43"/>
    <m/>
    <s v="   "/>
    <n v="6"/>
  </r>
  <r>
    <x v="31"/>
    <s v="Battle Ground School District"/>
    <s v="Personnel"/>
    <s v="H "/>
    <x v="1"/>
    <x v="19"/>
    <s v="PSES High Prog21Duty43 S275"/>
    <x v="1"/>
    <s v="43"/>
    <n v="43"/>
    <m/>
    <s v="   "/>
    <n v="0.2"/>
  </r>
  <r>
    <x v="31"/>
    <s v="Battle Ground School District"/>
    <s v="Personnel"/>
    <s v="M "/>
    <x v="2"/>
    <x v="31"/>
    <s v="PSES Mid Prog21Duty43 S275"/>
    <x v="1"/>
    <s v="43"/>
    <n v="43"/>
    <m/>
    <s v="   "/>
    <n v="0.7"/>
  </r>
  <r>
    <x v="31"/>
    <s v="Battle Ground School District"/>
    <s v="Personnel"/>
    <s v="E "/>
    <x v="0"/>
    <x v="20"/>
    <s v="PSES Elem Prog21Duty45 S275"/>
    <x v="1"/>
    <s v="45"/>
    <n v="45"/>
    <m/>
    <s v="   "/>
    <n v="16.399999999999999"/>
  </r>
  <r>
    <x v="31"/>
    <s v="Battle Ground School District"/>
    <s v="Personnel"/>
    <s v="H "/>
    <x v="1"/>
    <x v="21"/>
    <s v="PSES High Prog21Duty45 S275"/>
    <x v="1"/>
    <s v="45"/>
    <n v="45"/>
    <m/>
    <s v="   "/>
    <n v="3.2"/>
  </r>
  <r>
    <x v="31"/>
    <s v="Battle Ground School District"/>
    <s v="Personnel"/>
    <s v="M "/>
    <x v="2"/>
    <x v="28"/>
    <s v="PSES Mid Prog21Duty45 S275"/>
    <x v="1"/>
    <s v="45"/>
    <n v="45"/>
    <m/>
    <s v="   "/>
    <n v="2"/>
  </r>
  <r>
    <x v="31"/>
    <s v="Battle Ground School District"/>
    <s v="Personnel"/>
    <s v="E "/>
    <x v="0"/>
    <x v="22"/>
    <s v="PSES Elem Prog21Duty46 S275"/>
    <x v="1"/>
    <s v="46"/>
    <n v="46"/>
    <m/>
    <s v="   "/>
    <n v="12"/>
  </r>
  <r>
    <x v="31"/>
    <s v="Battle Ground School District"/>
    <s v="Personnel"/>
    <s v="E "/>
    <x v="0"/>
    <x v="48"/>
    <s v="PSES Elem Prog01Duty46 S275"/>
    <x v="0"/>
    <s v="46"/>
    <n v="46"/>
    <m/>
    <s v="   "/>
    <n v="1"/>
  </r>
  <r>
    <x v="31"/>
    <s v="Battle Ground School District"/>
    <s v="Personnel"/>
    <s v="H "/>
    <x v="1"/>
    <x v="23"/>
    <s v="PSES High Prog21Duty46 S275"/>
    <x v="1"/>
    <s v="46"/>
    <n v="46"/>
    <m/>
    <s v="   "/>
    <n v="3"/>
  </r>
  <r>
    <x v="31"/>
    <s v="Battle Ground School District"/>
    <s v="Personnel"/>
    <s v="M "/>
    <x v="2"/>
    <x v="24"/>
    <s v="PSES Mid Prog21Duty46 S275"/>
    <x v="1"/>
    <s v="46"/>
    <n v="46"/>
    <m/>
    <s v="   "/>
    <n v="1"/>
  </r>
  <r>
    <x v="31"/>
    <s v="Battle Ground School District"/>
    <s v="Personnel"/>
    <s v="E "/>
    <x v="0"/>
    <x v="27"/>
    <s v="PSES Elem Prog01Duty47 S275"/>
    <x v="0"/>
    <s v="47"/>
    <n v="47"/>
    <m/>
    <s v="   "/>
    <n v="2.54"/>
  </r>
  <r>
    <x v="31"/>
    <s v="Battle Ground School District"/>
    <s v="Personnel"/>
    <s v="H "/>
    <x v="1"/>
    <x v="25"/>
    <s v="PSES High Prog01Duty47 S275"/>
    <x v="0"/>
    <s v="47"/>
    <n v="47"/>
    <m/>
    <s v="   "/>
    <n v="1"/>
  </r>
  <r>
    <x v="31"/>
    <s v="Battle Ground School District"/>
    <s v="Personnel"/>
    <s v="M "/>
    <x v="2"/>
    <x v="34"/>
    <s v="PSES Mid Prog01Duty47 S275"/>
    <x v="0"/>
    <s v="47"/>
    <n v="47"/>
    <m/>
    <s v="   "/>
    <n v="1.7929999999999999"/>
  </r>
  <r>
    <x v="31"/>
    <s v="Battle Ground School District"/>
    <s v="Personnel"/>
    <s v="E "/>
    <x v="0"/>
    <x v="35"/>
    <s v="PSES Elem Prog21Duty48 S275"/>
    <x v="1"/>
    <s v="48"/>
    <n v="48"/>
    <m/>
    <s v="   "/>
    <n v="1"/>
  </r>
  <r>
    <x v="32"/>
    <s v="Ridgefield School District"/>
    <s v="Personnel"/>
    <s v="E "/>
    <x v="0"/>
    <x v="3"/>
    <s v="PSES Elem Prog01Act25 S275"/>
    <x v="0"/>
    <s v="25"/>
    <m/>
    <n v="25"/>
    <s v="   "/>
    <n v="1.7589999999999999"/>
  </r>
  <r>
    <x v="32"/>
    <s v="Ridgefield School District"/>
    <s v="Personnel"/>
    <s v="M "/>
    <x v="2"/>
    <x v="6"/>
    <s v="PSES Mid Prog01Act25 S275"/>
    <x v="0"/>
    <s v="25"/>
    <m/>
    <n v="25"/>
    <s v="   "/>
    <n v="0.32200000000000001"/>
  </r>
  <r>
    <x v="32"/>
    <s v="Ridgefield School District"/>
    <s v="Personnel"/>
    <s v="E "/>
    <x v="0"/>
    <x v="7"/>
    <s v="PSES Elem Prog21Act26 S275"/>
    <x v="1"/>
    <s v="26"/>
    <m/>
    <n v="26"/>
    <s v="   "/>
    <n v="0.20699999999999999"/>
  </r>
  <r>
    <x v="32"/>
    <s v="Ridgefield School District"/>
    <s v="Personnel"/>
    <s v="E "/>
    <x v="0"/>
    <x v="8"/>
    <s v="PSES Elem Prog01Act26 S275"/>
    <x v="0"/>
    <s v="26"/>
    <m/>
    <n v="26"/>
    <s v="   "/>
    <n v="2.4569999999999999"/>
  </r>
  <r>
    <x v="32"/>
    <s v="Ridgefield School District"/>
    <s v="Personnel"/>
    <s v="H "/>
    <x v="1"/>
    <x v="29"/>
    <s v="PSES High Prog21Act26 S275"/>
    <x v="1"/>
    <s v="26"/>
    <m/>
    <n v="26"/>
    <s v="   "/>
    <n v="0.94899999999999995"/>
  </r>
  <r>
    <x v="32"/>
    <s v="Ridgefield School District"/>
    <s v="Personnel"/>
    <s v="H "/>
    <x v="1"/>
    <x v="9"/>
    <s v="PSES High Prog01Act26 S275"/>
    <x v="0"/>
    <s v="26"/>
    <m/>
    <n v="26"/>
    <s v="   "/>
    <n v="3.5409999999999999"/>
  </r>
  <r>
    <x v="32"/>
    <s v="Ridgefield School District"/>
    <s v="Personnel"/>
    <s v="M "/>
    <x v="2"/>
    <x v="10"/>
    <s v="PSES Mid Prog21Act26 S275"/>
    <x v="1"/>
    <s v="26"/>
    <m/>
    <n v="26"/>
    <s v="   "/>
    <n v="0.28899999999999998"/>
  </r>
  <r>
    <x v="32"/>
    <s v="Ridgefield School District"/>
    <s v="Personnel"/>
    <s v="M "/>
    <x v="2"/>
    <x v="11"/>
    <s v="PSES Mid Prog01Act26 S275"/>
    <x v="0"/>
    <s v="26"/>
    <m/>
    <n v="26"/>
    <s v="   "/>
    <n v="0.62"/>
  </r>
  <r>
    <x v="32"/>
    <s v="Ridgefield School District"/>
    <s v="Personnel"/>
    <s v="E "/>
    <x v="0"/>
    <x v="15"/>
    <s v="PSES Elem Prog01Duty42 S275"/>
    <x v="0"/>
    <s v="42"/>
    <n v="42"/>
    <m/>
    <s v="   "/>
    <n v="5.6219999999999999"/>
  </r>
  <r>
    <x v="32"/>
    <s v="Ridgefield School District"/>
    <s v="Personnel"/>
    <s v="H "/>
    <x v="1"/>
    <x v="16"/>
    <s v="PSES High Prog01Duty42 S275"/>
    <x v="0"/>
    <s v="42"/>
    <n v="42"/>
    <m/>
    <s v="   "/>
    <n v="2.532"/>
  </r>
  <r>
    <x v="32"/>
    <s v="Ridgefield School District"/>
    <s v="Personnel"/>
    <s v="M "/>
    <x v="2"/>
    <x v="17"/>
    <s v="PSES Mid Prog01Duty42 S275"/>
    <x v="0"/>
    <s v="42"/>
    <n v="42"/>
    <m/>
    <s v="   "/>
    <n v="1.4039999999999999"/>
  </r>
  <r>
    <x v="32"/>
    <s v="Ridgefield School District"/>
    <s v="Personnel"/>
    <s v="E "/>
    <x v="0"/>
    <x v="18"/>
    <s v="PSES Elem Prog21Duty43 S275"/>
    <x v="1"/>
    <s v="43"/>
    <n v="43"/>
    <m/>
    <s v="   "/>
    <n v="0.99199999999999999"/>
  </r>
  <r>
    <x v="32"/>
    <s v="Ridgefield School District"/>
    <s v="Personnel"/>
    <s v="H "/>
    <x v="1"/>
    <x v="19"/>
    <s v="PSES High Prog21Duty43 S275"/>
    <x v="1"/>
    <s v="43"/>
    <n v="43"/>
    <m/>
    <s v="   "/>
    <n v="0.19"/>
  </r>
  <r>
    <x v="32"/>
    <s v="Ridgefield School District"/>
    <s v="Personnel"/>
    <s v="M "/>
    <x v="2"/>
    <x v="31"/>
    <s v="PSES Mid Prog21Duty43 S275"/>
    <x v="1"/>
    <s v="43"/>
    <n v="43"/>
    <m/>
    <s v="   "/>
    <n v="0.18"/>
  </r>
  <r>
    <x v="32"/>
    <s v="Ridgefield School District"/>
    <s v="Personnel"/>
    <s v="E "/>
    <x v="0"/>
    <x v="20"/>
    <s v="PSES Elem Prog21Duty45 S275"/>
    <x v="1"/>
    <s v="45"/>
    <n v="45"/>
    <m/>
    <s v="   "/>
    <n v="4.1020000000000003"/>
  </r>
  <r>
    <x v="32"/>
    <s v="Ridgefield School District"/>
    <s v="Personnel"/>
    <s v="H "/>
    <x v="1"/>
    <x v="21"/>
    <s v="PSES High Prog21Duty45 S275"/>
    <x v="1"/>
    <s v="45"/>
    <n v="45"/>
    <m/>
    <s v="   "/>
    <n v="0.73"/>
  </r>
  <r>
    <x v="32"/>
    <s v="Ridgefield School District"/>
    <s v="Personnel"/>
    <s v="M "/>
    <x v="2"/>
    <x v="28"/>
    <s v="PSES Mid Prog21Duty45 S275"/>
    <x v="1"/>
    <s v="45"/>
    <n v="45"/>
    <m/>
    <s v="   "/>
    <n v="0.69699999999999995"/>
  </r>
  <r>
    <x v="32"/>
    <s v="Ridgefield School District"/>
    <s v="Personnel"/>
    <s v="E "/>
    <x v="0"/>
    <x v="22"/>
    <s v="PSES Elem Prog21Duty46 S275"/>
    <x v="1"/>
    <s v="46"/>
    <n v="46"/>
    <m/>
    <s v="   "/>
    <n v="2.65"/>
  </r>
  <r>
    <x v="32"/>
    <s v="Ridgefield School District"/>
    <s v="Personnel"/>
    <s v="H "/>
    <x v="1"/>
    <x v="23"/>
    <s v="PSES High Prog21Duty46 S275"/>
    <x v="1"/>
    <s v="46"/>
    <n v="46"/>
    <m/>
    <s v="   "/>
    <n v="1.2"/>
  </r>
  <r>
    <x v="32"/>
    <s v="Ridgefield School District"/>
    <s v="Personnel"/>
    <s v="M "/>
    <x v="2"/>
    <x v="24"/>
    <s v="PSES Mid Prog21Duty46 S275"/>
    <x v="1"/>
    <s v="46"/>
    <n v="46"/>
    <m/>
    <s v="   "/>
    <n v="0.53"/>
  </r>
  <r>
    <x v="32"/>
    <s v="Ridgefield School District"/>
    <s v="Personnel"/>
    <s v="E "/>
    <x v="0"/>
    <x v="35"/>
    <s v="PSES Elem Prog21Duty48 S275"/>
    <x v="1"/>
    <s v="48"/>
    <n v="48"/>
    <m/>
    <s v="   "/>
    <n v="0.56000000000000005"/>
  </r>
  <r>
    <x v="32"/>
    <s v="Ridgefield School District"/>
    <s v="Personnel"/>
    <s v="H "/>
    <x v="1"/>
    <x v="36"/>
    <s v="PSES High Prog21Duty48 S275"/>
    <x v="1"/>
    <s v="48"/>
    <n v="48"/>
    <m/>
    <s v="   "/>
    <n v="0.09"/>
  </r>
  <r>
    <x v="32"/>
    <s v="Ridgefield School District"/>
    <s v="Personnel"/>
    <s v="M "/>
    <x v="2"/>
    <x v="37"/>
    <s v="PSES Mid Prog21Duty48 S275"/>
    <x v="1"/>
    <s v="48"/>
    <n v="48"/>
    <m/>
    <s v="   "/>
    <n v="0.06"/>
  </r>
  <r>
    <x v="32"/>
    <s v="Ridgefield School District"/>
    <s v="Personnel"/>
    <s v="E "/>
    <x v="0"/>
    <x v="26"/>
    <s v="PSES Elem Prog21Duty49 S275"/>
    <x v="1"/>
    <s v="49"/>
    <n v="49"/>
    <m/>
    <s v="   "/>
    <n v="0.73"/>
  </r>
  <r>
    <x v="32"/>
    <s v="Ridgefield School District"/>
    <s v="Personnel"/>
    <s v="H "/>
    <x v="1"/>
    <x v="55"/>
    <s v="PSES High Prog21Duty49 S275"/>
    <x v="1"/>
    <s v="49"/>
    <n v="49"/>
    <m/>
    <s v="   "/>
    <n v="0.09"/>
  </r>
  <r>
    <x v="32"/>
    <s v="Ridgefield School District"/>
    <s v="Personnel"/>
    <s v="M "/>
    <x v="2"/>
    <x v="50"/>
    <s v="PSES Mid Prog21Duty49 S275"/>
    <x v="1"/>
    <s v="49"/>
    <n v="49"/>
    <m/>
    <s v="   "/>
    <n v="0.18"/>
  </r>
  <r>
    <x v="33"/>
    <s v="Dayton School District"/>
    <s v="Personnel"/>
    <s v="E "/>
    <x v="0"/>
    <x v="3"/>
    <s v="PSES Elem Prog01Act25 S275"/>
    <x v="0"/>
    <s v="25"/>
    <m/>
    <n v="25"/>
    <s v="   "/>
    <n v="0.442"/>
  </r>
  <r>
    <x v="33"/>
    <s v="Dayton School District"/>
    <s v="Personnel"/>
    <s v="M "/>
    <x v="2"/>
    <x v="6"/>
    <s v="PSES Mid Prog01Act25 S275"/>
    <x v="0"/>
    <s v="25"/>
    <m/>
    <n v="25"/>
    <s v="   "/>
    <n v="0.1"/>
  </r>
  <r>
    <x v="33"/>
    <s v="Dayton School District"/>
    <s v="Personnel"/>
    <s v="H "/>
    <x v="1"/>
    <x v="16"/>
    <s v="PSES High Prog01Duty42 S275"/>
    <x v="0"/>
    <s v="42"/>
    <n v="42"/>
    <m/>
    <s v="   "/>
    <n v="1"/>
  </r>
  <r>
    <x v="34"/>
    <s v="Longview School District"/>
    <s v="Personnel"/>
    <s v="E "/>
    <x v="0"/>
    <x v="3"/>
    <s v="PSES Elem Prog01Act25 S275"/>
    <x v="0"/>
    <s v="25"/>
    <m/>
    <n v="25"/>
    <s v="   "/>
    <n v="8.61"/>
  </r>
  <r>
    <x v="34"/>
    <s v="Longview School District"/>
    <s v="Personnel"/>
    <s v="H "/>
    <x v="1"/>
    <x v="5"/>
    <s v="PSES High Prog01Act25 S275"/>
    <x v="0"/>
    <s v="25"/>
    <m/>
    <n v="25"/>
    <s v="   "/>
    <n v="0.34"/>
  </r>
  <r>
    <x v="34"/>
    <s v="Longview School District"/>
    <s v="Personnel"/>
    <s v="M "/>
    <x v="2"/>
    <x v="6"/>
    <s v="PSES Mid Prog01Act25 S275"/>
    <x v="0"/>
    <s v="25"/>
    <m/>
    <n v="25"/>
    <s v="   "/>
    <n v="1.4870000000000001"/>
  </r>
  <r>
    <x v="34"/>
    <s v="Longview School District"/>
    <s v="Personnel"/>
    <s v="E "/>
    <x v="0"/>
    <x v="8"/>
    <s v="PSES Elem Prog01Act26 S275"/>
    <x v="0"/>
    <s v="26"/>
    <m/>
    <n v="26"/>
    <s v="   "/>
    <n v="5.0659999999999998"/>
  </r>
  <r>
    <x v="34"/>
    <s v="Longview School District"/>
    <s v="Personnel"/>
    <s v="H "/>
    <x v="1"/>
    <x v="29"/>
    <s v="PSES High Prog21Act26 S275"/>
    <x v="1"/>
    <s v="26"/>
    <m/>
    <n v="26"/>
    <s v="   "/>
    <n v="5.0519999999999996"/>
  </r>
  <r>
    <x v="34"/>
    <s v="Longview School District"/>
    <s v="Personnel"/>
    <s v="H "/>
    <x v="1"/>
    <x v="9"/>
    <s v="PSES High Prog01Act26 S275"/>
    <x v="0"/>
    <s v="26"/>
    <m/>
    <n v="26"/>
    <s v="   "/>
    <n v="1.8360000000000001"/>
  </r>
  <r>
    <x v="34"/>
    <s v="Longview School District"/>
    <s v="Personnel"/>
    <s v="M "/>
    <x v="2"/>
    <x v="11"/>
    <s v="PSES Mid Prog01Act26 S275"/>
    <x v="0"/>
    <s v="26"/>
    <m/>
    <n v="26"/>
    <s v="   "/>
    <n v="1.2869999999999999"/>
  </r>
  <r>
    <x v="34"/>
    <s v="Longview School District"/>
    <s v="Personnel"/>
    <s v="E "/>
    <x v="0"/>
    <x v="15"/>
    <s v="PSES Elem Prog01Duty42 S275"/>
    <x v="0"/>
    <s v="42"/>
    <n v="42"/>
    <m/>
    <s v="   "/>
    <n v="11"/>
  </r>
  <r>
    <x v="34"/>
    <s v="Longview School District"/>
    <s v="Personnel"/>
    <s v="H "/>
    <x v="1"/>
    <x v="16"/>
    <s v="PSES High Prog01Duty42 S275"/>
    <x v="0"/>
    <s v="42"/>
    <n v="42"/>
    <m/>
    <s v="   "/>
    <n v="5"/>
  </r>
  <r>
    <x v="34"/>
    <s v="Longview School District"/>
    <s v="Personnel"/>
    <s v="M "/>
    <x v="2"/>
    <x v="17"/>
    <s v="PSES Mid Prog01Duty42 S275"/>
    <x v="0"/>
    <s v="42"/>
    <n v="42"/>
    <m/>
    <s v="   "/>
    <n v="3"/>
  </r>
  <r>
    <x v="34"/>
    <s v="Longview School District"/>
    <s v="Personnel"/>
    <s v="E "/>
    <x v="0"/>
    <x v="18"/>
    <s v="PSES Elem Prog21Duty43 S275"/>
    <x v="1"/>
    <s v="43"/>
    <n v="43"/>
    <m/>
    <s v="   "/>
    <n v="2.3340000000000001"/>
  </r>
  <r>
    <x v="34"/>
    <s v="Longview School District"/>
    <s v="Personnel"/>
    <s v="H "/>
    <x v="1"/>
    <x v="19"/>
    <s v="PSES High Prog21Duty43 S275"/>
    <x v="1"/>
    <s v="43"/>
    <n v="43"/>
    <m/>
    <s v="   "/>
    <n v="0.33400000000000002"/>
  </r>
  <r>
    <x v="34"/>
    <s v="Longview School District"/>
    <s v="Personnel"/>
    <s v="M "/>
    <x v="2"/>
    <x v="31"/>
    <s v="PSES Mid Prog21Duty43 S275"/>
    <x v="1"/>
    <s v="43"/>
    <n v="43"/>
    <m/>
    <s v="   "/>
    <n v="0.33200000000000002"/>
  </r>
  <r>
    <x v="34"/>
    <s v="Longview School District"/>
    <s v="Personnel"/>
    <s v="E "/>
    <x v="0"/>
    <x v="20"/>
    <s v="PSES Elem Prog21Duty45 S275"/>
    <x v="1"/>
    <s v="45"/>
    <n v="45"/>
    <m/>
    <s v="   "/>
    <n v="4.8529999999999998"/>
  </r>
  <r>
    <x v="34"/>
    <s v="Longview School District"/>
    <s v="Personnel"/>
    <s v="H "/>
    <x v="1"/>
    <x v="21"/>
    <s v="PSES High Prog21Duty45 S275"/>
    <x v="1"/>
    <s v="45"/>
    <n v="45"/>
    <m/>
    <s v="   "/>
    <n v="0.72"/>
  </r>
  <r>
    <x v="34"/>
    <s v="Longview School District"/>
    <s v="Personnel"/>
    <s v="M "/>
    <x v="2"/>
    <x v="28"/>
    <s v="PSES Mid Prog21Duty45 S275"/>
    <x v="1"/>
    <s v="45"/>
    <n v="45"/>
    <m/>
    <s v="   "/>
    <n v="0.22700000000000001"/>
  </r>
  <r>
    <x v="34"/>
    <s v="Longview School District"/>
    <s v="Personnel"/>
    <s v="E "/>
    <x v="0"/>
    <x v="22"/>
    <s v="PSES Elem Prog21Duty46 S275"/>
    <x v="1"/>
    <s v="46"/>
    <n v="46"/>
    <m/>
    <s v="   "/>
    <n v="1.4990000000000001"/>
  </r>
  <r>
    <x v="34"/>
    <s v="Longview School District"/>
    <s v="Personnel"/>
    <s v="E "/>
    <x v="0"/>
    <x v="48"/>
    <s v="PSES Elem Prog01Duty46 S275"/>
    <x v="0"/>
    <s v="46"/>
    <n v="46"/>
    <m/>
    <s v="   "/>
    <n v="3"/>
  </r>
  <r>
    <x v="34"/>
    <s v="Longview School District"/>
    <s v="Personnel"/>
    <s v="H "/>
    <x v="1"/>
    <x v="23"/>
    <s v="PSES High Prog21Duty46 S275"/>
    <x v="1"/>
    <s v="46"/>
    <n v="46"/>
    <m/>
    <s v="   "/>
    <n v="0.25"/>
  </r>
  <r>
    <x v="34"/>
    <s v="Longview School District"/>
    <s v="Personnel"/>
    <s v="H "/>
    <x v="1"/>
    <x v="65"/>
    <s v="PSES High Prog01Duty46 S275"/>
    <x v="0"/>
    <s v="46"/>
    <n v="46"/>
    <m/>
    <s v="   "/>
    <n v="0.25"/>
  </r>
  <r>
    <x v="34"/>
    <s v="Longview School District"/>
    <s v="Personnel"/>
    <s v="M "/>
    <x v="2"/>
    <x v="24"/>
    <s v="PSES Mid Prog21Duty46 S275"/>
    <x v="1"/>
    <s v="46"/>
    <n v="46"/>
    <m/>
    <s v="   "/>
    <n v="2.7509999999999999"/>
  </r>
  <r>
    <x v="34"/>
    <s v="Longview School District"/>
    <s v="Personnel"/>
    <s v="M "/>
    <x v="2"/>
    <x v="49"/>
    <s v="PSES Mid Prog01Duty46 S275"/>
    <x v="0"/>
    <s v="46"/>
    <n v="46"/>
    <m/>
    <s v="   "/>
    <n v="0.25"/>
  </r>
  <r>
    <x v="34"/>
    <s v="Longview School District"/>
    <s v="Personnel"/>
    <s v="E "/>
    <x v="0"/>
    <x v="27"/>
    <s v="PSES Elem Prog01Duty47 S275"/>
    <x v="0"/>
    <s v="47"/>
    <n v="47"/>
    <m/>
    <s v="   "/>
    <n v="1.52"/>
  </r>
  <r>
    <x v="34"/>
    <s v="Longview School District"/>
    <s v="Personnel"/>
    <s v="H "/>
    <x v="1"/>
    <x v="25"/>
    <s v="PSES High Prog01Duty47 S275"/>
    <x v="0"/>
    <s v="47"/>
    <n v="47"/>
    <m/>
    <s v="   "/>
    <n v="0.33"/>
  </r>
  <r>
    <x v="34"/>
    <s v="Longview School District"/>
    <s v="Personnel"/>
    <s v="M "/>
    <x v="2"/>
    <x v="34"/>
    <s v="PSES Mid Prog01Duty47 S275"/>
    <x v="0"/>
    <s v="47"/>
    <n v="47"/>
    <m/>
    <s v="   "/>
    <n v="0.15"/>
  </r>
  <r>
    <x v="34"/>
    <s v="Longview School District"/>
    <s v="Personnel"/>
    <s v="E "/>
    <x v="0"/>
    <x v="35"/>
    <s v="PSES Elem Prog21Duty48 S275"/>
    <x v="1"/>
    <s v="48"/>
    <n v="48"/>
    <m/>
    <s v="   "/>
    <n v="0.52"/>
  </r>
  <r>
    <x v="34"/>
    <s v="Longview School District"/>
    <s v="Personnel"/>
    <s v="H "/>
    <x v="1"/>
    <x v="36"/>
    <s v="PSES High Prog21Duty48 S275"/>
    <x v="1"/>
    <s v="48"/>
    <n v="48"/>
    <m/>
    <s v="   "/>
    <n v="0.33"/>
  </r>
  <r>
    <x v="34"/>
    <s v="Longview School District"/>
    <s v="Personnel"/>
    <s v="M "/>
    <x v="2"/>
    <x v="37"/>
    <s v="PSES Mid Prog21Duty48 S275"/>
    <x v="1"/>
    <s v="48"/>
    <n v="48"/>
    <m/>
    <s v="   "/>
    <n v="0.15"/>
  </r>
  <r>
    <x v="35"/>
    <s v="Toutle Lake School District"/>
    <s v="Personnel"/>
    <s v="H "/>
    <x v="1"/>
    <x v="1"/>
    <s v="PSES High Prog01Duty96 S275"/>
    <x v="0"/>
    <s v="24"/>
    <n v="96"/>
    <n v="24"/>
    <s v="   "/>
    <n v="0.75700000000000001"/>
  </r>
  <r>
    <x v="35"/>
    <s v="Toutle Lake School District"/>
    <s v="Personnel"/>
    <s v="H "/>
    <x v="1"/>
    <x v="9"/>
    <s v="PSES High Prog01Act26 S275"/>
    <x v="0"/>
    <s v="26"/>
    <m/>
    <n v="26"/>
    <s v="   "/>
    <n v="0.59699999999999998"/>
  </r>
  <r>
    <x v="35"/>
    <s v="Toutle Lake School District"/>
    <s v="Personnel"/>
    <s v="E "/>
    <x v="0"/>
    <x v="15"/>
    <s v="PSES Elem Prog01Duty42 S275"/>
    <x v="0"/>
    <s v="42"/>
    <n v="42"/>
    <m/>
    <s v="   "/>
    <n v="1"/>
  </r>
  <r>
    <x v="35"/>
    <s v="Toutle Lake School District"/>
    <s v="Personnel"/>
    <s v="H "/>
    <x v="1"/>
    <x v="16"/>
    <s v="PSES High Prog01Duty42 S275"/>
    <x v="0"/>
    <s v="42"/>
    <n v="42"/>
    <m/>
    <s v="   "/>
    <n v="1"/>
  </r>
  <r>
    <x v="36"/>
    <s v="Castle Rock School District"/>
    <s v="Personnel"/>
    <s v="H "/>
    <x v="1"/>
    <x v="5"/>
    <s v="PSES High Prog01Act25 S275"/>
    <x v="0"/>
    <s v="25"/>
    <m/>
    <n v="25"/>
    <s v="   "/>
    <n v="2.6349999999999998"/>
  </r>
  <r>
    <x v="36"/>
    <s v="Castle Rock School District"/>
    <s v="Personnel"/>
    <s v="M "/>
    <x v="2"/>
    <x v="6"/>
    <s v="PSES Mid Prog01Act25 S275"/>
    <x v="0"/>
    <s v="25"/>
    <m/>
    <n v="25"/>
    <s v="   "/>
    <n v="0.54800000000000004"/>
  </r>
  <r>
    <x v="36"/>
    <s v="Castle Rock School District"/>
    <s v="Personnel"/>
    <s v="E "/>
    <x v="0"/>
    <x v="8"/>
    <s v="PSES Elem Prog01Act26 S275"/>
    <x v="0"/>
    <s v="26"/>
    <m/>
    <n v="26"/>
    <s v="   "/>
    <n v="0.95299999999999996"/>
  </r>
  <r>
    <x v="36"/>
    <s v="Castle Rock School District"/>
    <s v="Personnel"/>
    <s v="H "/>
    <x v="1"/>
    <x v="9"/>
    <s v="PSES High Prog01Act26 S275"/>
    <x v="0"/>
    <s v="26"/>
    <m/>
    <n v="26"/>
    <s v="   "/>
    <n v="0.2"/>
  </r>
  <r>
    <x v="36"/>
    <s v="Castle Rock School District"/>
    <s v="Personnel"/>
    <s v="M "/>
    <x v="2"/>
    <x v="11"/>
    <s v="PSES Mid Prog01Act26 S275"/>
    <x v="0"/>
    <s v="26"/>
    <m/>
    <n v="26"/>
    <s v="   "/>
    <n v="0.2"/>
  </r>
  <r>
    <x v="36"/>
    <s v="Castle Rock School District"/>
    <s v="Personnel"/>
    <s v="E "/>
    <x v="0"/>
    <x v="15"/>
    <s v="PSES Elem Prog01Duty42 S275"/>
    <x v="0"/>
    <s v="42"/>
    <n v="42"/>
    <m/>
    <s v="   "/>
    <n v="1"/>
  </r>
  <r>
    <x v="36"/>
    <s v="Castle Rock School District"/>
    <s v="Personnel"/>
    <s v="H "/>
    <x v="1"/>
    <x v="16"/>
    <s v="PSES High Prog01Duty42 S275"/>
    <x v="0"/>
    <s v="42"/>
    <n v="42"/>
    <m/>
    <s v="   "/>
    <n v="1"/>
  </r>
  <r>
    <x v="36"/>
    <s v="Castle Rock School District"/>
    <s v="Personnel"/>
    <s v="M "/>
    <x v="2"/>
    <x v="17"/>
    <s v="PSES Mid Prog01Duty42 S275"/>
    <x v="0"/>
    <s v="42"/>
    <n v="42"/>
    <m/>
    <s v="   "/>
    <n v="1"/>
  </r>
  <r>
    <x v="36"/>
    <s v="Castle Rock School District"/>
    <s v="Personnel"/>
    <s v="E "/>
    <x v="0"/>
    <x v="20"/>
    <s v="PSES Elem Prog21Duty45 S275"/>
    <x v="1"/>
    <s v="45"/>
    <n v="45"/>
    <m/>
    <s v="   "/>
    <n v="1.82"/>
  </r>
  <r>
    <x v="36"/>
    <s v="Castle Rock School District"/>
    <s v="Personnel"/>
    <s v="E "/>
    <x v="0"/>
    <x v="22"/>
    <s v="PSES Elem Prog21Duty46 S275"/>
    <x v="1"/>
    <s v="46"/>
    <n v="46"/>
    <m/>
    <s v="   "/>
    <n v="1"/>
  </r>
  <r>
    <x v="37"/>
    <s v="Kalama School District"/>
    <s v="Personnel"/>
    <s v="E "/>
    <x v="0"/>
    <x v="3"/>
    <s v="PSES Elem Prog01Act25 S275"/>
    <x v="0"/>
    <s v="25"/>
    <m/>
    <n v="25"/>
    <s v="   "/>
    <n v="1.294"/>
  </r>
  <r>
    <x v="37"/>
    <s v="Kalama School District"/>
    <s v="Personnel"/>
    <s v="H "/>
    <x v="1"/>
    <x v="5"/>
    <s v="PSES High Prog01Act25 S275"/>
    <x v="0"/>
    <s v="25"/>
    <m/>
    <n v="25"/>
    <s v="   "/>
    <n v="1.24"/>
  </r>
  <r>
    <x v="37"/>
    <s v="Kalama School District"/>
    <s v="Personnel"/>
    <s v="M "/>
    <x v="2"/>
    <x v="6"/>
    <s v="PSES Mid Prog01Act25 S275"/>
    <x v="0"/>
    <s v="25"/>
    <m/>
    <n v="25"/>
    <s v="   "/>
    <n v="9.0999999999999998E-2"/>
  </r>
  <r>
    <x v="37"/>
    <s v="Kalama School District"/>
    <s v="Personnel"/>
    <s v="E "/>
    <x v="0"/>
    <x v="8"/>
    <s v="PSES Elem Prog01Act26 S275"/>
    <x v="0"/>
    <s v="26"/>
    <m/>
    <n v="26"/>
    <s v="   "/>
    <n v="0.67"/>
  </r>
  <r>
    <x v="37"/>
    <s v="Kalama School District"/>
    <s v="Personnel"/>
    <s v="H "/>
    <x v="1"/>
    <x v="9"/>
    <s v="PSES High Prog01Act26 S275"/>
    <x v="0"/>
    <s v="26"/>
    <m/>
    <n v="26"/>
    <s v="   "/>
    <n v="0.33500000000000002"/>
  </r>
  <r>
    <x v="37"/>
    <s v="Kalama School District"/>
    <s v="Personnel"/>
    <s v="M "/>
    <x v="2"/>
    <x v="11"/>
    <s v="PSES Mid Prog01Act26 S275"/>
    <x v="0"/>
    <s v="26"/>
    <m/>
    <n v="26"/>
    <s v="   "/>
    <n v="0.33500000000000002"/>
  </r>
  <r>
    <x v="37"/>
    <s v="Kalama School District"/>
    <s v="Personnel"/>
    <s v="E "/>
    <x v="0"/>
    <x v="15"/>
    <s v="PSES Elem Prog01Duty42 S275"/>
    <x v="0"/>
    <s v="42"/>
    <n v="42"/>
    <m/>
    <s v="   "/>
    <n v="1.081"/>
  </r>
  <r>
    <x v="37"/>
    <s v="Kalama School District"/>
    <s v="Personnel"/>
    <s v="H "/>
    <x v="1"/>
    <x v="16"/>
    <s v="PSES High Prog01Duty42 S275"/>
    <x v="0"/>
    <s v="42"/>
    <n v="42"/>
    <m/>
    <s v="   "/>
    <n v="1.081"/>
  </r>
  <r>
    <x v="37"/>
    <s v="Kalama School District"/>
    <s v="Personnel"/>
    <s v="M "/>
    <x v="2"/>
    <x v="17"/>
    <s v="PSES Mid Prog01Duty42 S275"/>
    <x v="0"/>
    <s v="42"/>
    <n v="42"/>
    <m/>
    <s v="   "/>
    <n v="1.0329999999999999"/>
  </r>
  <r>
    <x v="37"/>
    <s v="Kalama School District"/>
    <s v="Personnel"/>
    <s v="T"/>
    <x v="0"/>
    <x v="66"/>
    <s v="PSES Elem Prog09Duty25 S275"/>
    <x v="3"/>
    <s v="25"/>
    <n v="91"/>
    <n v="25"/>
    <s v="   "/>
    <n v="0.63600000000000001"/>
  </r>
  <r>
    <x v="37"/>
    <s v="Kalama School District"/>
    <s v="Personnel"/>
    <s v="T"/>
    <x v="0"/>
    <x v="66"/>
    <s v="PSES Elem Prog09Duty25 S275"/>
    <x v="3"/>
    <s v="25"/>
    <n v="91"/>
    <n v="25"/>
    <s v="   "/>
    <n v="0.64600000000000002"/>
  </r>
  <r>
    <x v="38"/>
    <s v="Woodland School District"/>
    <s v="Personnel"/>
    <s v="E "/>
    <x v="0"/>
    <x v="0"/>
    <s v="PSES Elem Prog01Duty96 S275"/>
    <x v="0"/>
    <s v="24"/>
    <n v="96"/>
    <n v="24"/>
    <s v="   "/>
    <n v="0.78500000000000003"/>
  </r>
  <r>
    <x v="38"/>
    <s v="Woodland School District"/>
    <s v="Personnel"/>
    <s v="E "/>
    <x v="0"/>
    <x v="8"/>
    <s v="PSES Elem Prog01Act26 S275"/>
    <x v="0"/>
    <s v="26"/>
    <m/>
    <n v="26"/>
    <s v="   "/>
    <n v="0.45600000000000002"/>
  </r>
  <r>
    <x v="38"/>
    <s v="Woodland School District"/>
    <s v="Personnel"/>
    <s v="M "/>
    <x v="2"/>
    <x v="11"/>
    <s v="PSES Mid Prog01Act26 S275"/>
    <x v="0"/>
    <s v="26"/>
    <m/>
    <n v="26"/>
    <s v="   "/>
    <n v="0.158"/>
  </r>
  <r>
    <x v="38"/>
    <s v="Woodland School District"/>
    <s v="Personnel"/>
    <s v="E "/>
    <x v="0"/>
    <x v="15"/>
    <s v="PSES Elem Prog01Duty42 S275"/>
    <x v="0"/>
    <s v="42"/>
    <n v="42"/>
    <m/>
    <s v="   "/>
    <n v="1.5"/>
  </r>
  <r>
    <x v="38"/>
    <s v="Woodland School District"/>
    <s v="Personnel"/>
    <s v="H "/>
    <x v="1"/>
    <x v="16"/>
    <s v="PSES High Prog01Duty42 S275"/>
    <x v="0"/>
    <s v="42"/>
    <n v="42"/>
    <m/>
    <s v="   "/>
    <n v="1.75"/>
  </r>
  <r>
    <x v="38"/>
    <s v="Woodland School District"/>
    <s v="Personnel"/>
    <s v="M "/>
    <x v="2"/>
    <x v="17"/>
    <s v="PSES Mid Prog01Duty42 S275"/>
    <x v="0"/>
    <s v="42"/>
    <n v="42"/>
    <m/>
    <s v="   "/>
    <n v="1.2"/>
  </r>
  <r>
    <x v="38"/>
    <s v="Woodland School District"/>
    <s v="Personnel"/>
    <s v="E "/>
    <x v="0"/>
    <x v="20"/>
    <s v="PSES Elem Prog21Duty45 S275"/>
    <x v="1"/>
    <s v="45"/>
    <n v="45"/>
    <m/>
    <s v="   "/>
    <n v="3"/>
  </r>
  <r>
    <x v="38"/>
    <s v="Woodland School District"/>
    <s v="Personnel"/>
    <s v="H "/>
    <x v="1"/>
    <x v="21"/>
    <s v="PSES High Prog21Duty45 S275"/>
    <x v="1"/>
    <s v="45"/>
    <n v="45"/>
    <m/>
    <s v="   "/>
    <n v="1"/>
  </r>
  <r>
    <x v="38"/>
    <s v="Woodland School District"/>
    <s v="Personnel"/>
    <s v="M "/>
    <x v="2"/>
    <x v="28"/>
    <s v="PSES Mid Prog21Duty45 S275"/>
    <x v="1"/>
    <s v="45"/>
    <n v="45"/>
    <m/>
    <s v="   "/>
    <n v="1"/>
  </r>
  <r>
    <x v="38"/>
    <s v="Woodland School District"/>
    <s v="Personnel"/>
    <s v="E "/>
    <x v="0"/>
    <x v="22"/>
    <s v="PSES Elem Prog21Duty46 S275"/>
    <x v="1"/>
    <s v="46"/>
    <n v="46"/>
    <m/>
    <s v="   "/>
    <n v="1.5"/>
  </r>
  <r>
    <x v="38"/>
    <s v="Woodland School District"/>
    <s v="Personnel"/>
    <s v="E "/>
    <x v="0"/>
    <x v="48"/>
    <s v="PSES Elem Prog01Duty46 S275"/>
    <x v="0"/>
    <s v="46"/>
    <n v="46"/>
    <m/>
    <s v="   "/>
    <n v="0.5"/>
  </r>
  <r>
    <x v="38"/>
    <s v="Woodland School District"/>
    <s v="Personnel"/>
    <s v="H "/>
    <x v="1"/>
    <x v="23"/>
    <s v="PSES High Prog21Duty46 S275"/>
    <x v="1"/>
    <s v="46"/>
    <n v="46"/>
    <m/>
    <s v="   "/>
    <n v="0.75"/>
  </r>
  <r>
    <x v="38"/>
    <s v="Woodland School District"/>
    <s v="Personnel"/>
    <s v="H "/>
    <x v="1"/>
    <x v="65"/>
    <s v="PSES High Prog01Duty46 S275"/>
    <x v="0"/>
    <s v="46"/>
    <n v="46"/>
    <m/>
    <s v="   "/>
    <n v="0.25"/>
  </r>
  <r>
    <x v="38"/>
    <s v="Woodland School District"/>
    <s v="Personnel"/>
    <s v="M "/>
    <x v="2"/>
    <x v="24"/>
    <s v="PSES Mid Prog21Duty46 S275"/>
    <x v="1"/>
    <s v="46"/>
    <n v="46"/>
    <m/>
    <s v="   "/>
    <n v="0.75"/>
  </r>
  <r>
    <x v="38"/>
    <s v="Woodland School District"/>
    <s v="Personnel"/>
    <s v="M "/>
    <x v="2"/>
    <x v="49"/>
    <s v="PSES Mid Prog01Duty46 S275"/>
    <x v="0"/>
    <s v="46"/>
    <n v="46"/>
    <m/>
    <s v="   "/>
    <n v="0.25"/>
  </r>
  <r>
    <x v="38"/>
    <s v="Woodland School District"/>
    <s v="Personnel"/>
    <s v="E "/>
    <x v="0"/>
    <x v="27"/>
    <s v="PSES Elem Prog01Duty47 S275"/>
    <x v="0"/>
    <s v="47"/>
    <n v="47"/>
    <m/>
    <s v="   "/>
    <n v="0.5"/>
  </r>
  <r>
    <x v="38"/>
    <s v="Woodland School District"/>
    <s v="Personnel"/>
    <s v="H "/>
    <x v="1"/>
    <x v="25"/>
    <s v="PSES High Prog01Duty47 S275"/>
    <x v="0"/>
    <s v="47"/>
    <n v="47"/>
    <m/>
    <s v="   "/>
    <n v="0.25"/>
  </r>
  <r>
    <x v="38"/>
    <s v="Woodland School District"/>
    <s v="Personnel"/>
    <s v="M "/>
    <x v="2"/>
    <x v="34"/>
    <s v="PSES Mid Prog01Duty47 S275"/>
    <x v="0"/>
    <s v="47"/>
    <n v="47"/>
    <m/>
    <s v="   "/>
    <n v="0.25"/>
  </r>
  <r>
    <x v="39"/>
    <s v="Kelso School District"/>
    <s v="Personnel"/>
    <s v="H "/>
    <x v="1"/>
    <x v="1"/>
    <s v="PSES High Prog01Duty96 S275"/>
    <x v="0"/>
    <s v="24"/>
    <n v="96"/>
    <n v="24"/>
    <s v="   "/>
    <n v="0.84599999999999997"/>
  </r>
  <r>
    <x v="39"/>
    <s v="Kelso School District"/>
    <s v="Personnel"/>
    <s v="E "/>
    <x v="0"/>
    <x v="67"/>
    <s v="PSES Elem Prog21Act25 S275"/>
    <x v="1"/>
    <s v="25"/>
    <m/>
    <n v="25"/>
    <s v="   "/>
    <n v="0.29599999999999999"/>
  </r>
  <r>
    <x v="39"/>
    <s v="Kelso School District"/>
    <s v="Personnel"/>
    <s v="E "/>
    <x v="0"/>
    <x v="3"/>
    <s v="PSES Elem Prog01Act25 S275"/>
    <x v="0"/>
    <s v="25"/>
    <m/>
    <n v="25"/>
    <s v="   "/>
    <n v="3.9239999999999999"/>
  </r>
  <r>
    <x v="39"/>
    <s v="Kelso School District"/>
    <s v="Personnel"/>
    <s v="H "/>
    <x v="1"/>
    <x v="4"/>
    <s v="PSES High Prog21Act25 S275"/>
    <x v="1"/>
    <s v="25"/>
    <m/>
    <n v="25"/>
    <s v="   "/>
    <n v="2.1999999999999999E-2"/>
  </r>
  <r>
    <x v="39"/>
    <s v="Kelso School District"/>
    <s v="Personnel"/>
    <s v="M "/>
    <x v="2"/>
    <x v="6"/>
    <s v="PSES Mid Prog01Act25 S275"/>
    <x v="0"/>
    <s v="25"/>
    <m/>
    <n v="25"/>
    <s v="   "/>
    <n v="6.4000000000000001E-2"/>
  </r>
  <r>
    <x v="39"/>
    <s v="Kelso School District"/>
    <s v="Personnel"/>
    <s v="E "/>
    <x v="0"/>
    <x v="7"/>
    <s v="PSES Elem Prog21Act26 S275"/>
    <x v="1"/>
    <s v="26"/>
    <m/>
    <n v="26"/>
    <s v="   "/>
    <n v="1.9"/>
  </r>
  <r>
    <x v="39"/>
    <s v="Kelso School District"/>
    <s v="Personnel"/>
    <s v="E "/>
    <x v="0"/>
    <x v="8"/>
    <s v="PSES Elem Prog01Act26 S275"/>
    <x v="0"/>
    <s v="26"/>
    <m/>
    <n v="26"/>
    <s v="   "/>
    <n v="4.6740000000000004"/>
  </r>
  <r>
    <x v="39"/>
    <s v="Kelso School District"/>
    <s v="Personnel"/>
    <s v="H "/>
    <x v="1"/>
    <x v="29"/>
    <s v="PSES High Prog21Act26 S275"/>
    <x v="1"/>
    <s v="26"/>
    <m/>
    <n v="26"/>
    <s v="   "/>
    <n v="0.59599999999999997"/>
  </r>
  <r>
    <x v="39"/>
    <s v="Kelso School District"/>
    <s v="Personnel"/>
    <s v="H "/>
    <x v="1"/>
    <x v="9"/>
    <s v="PSES High Prog01Act26 S275"/>
    <x v="0"/>
    <s v="26"/>
    <m/>
    <n v="26"/>
    <s v="   "/>
    <n v="0.73399999999999999"/>
  </r>
  <r>
    <x v="39"/>
    <s v="Kelso School District"/>
    <s v="Personnel"/>
    <s v="M "/>
    <x v="2"/>
    <x v="11"/>
    <s v="PSES Mid Prog01Act26 S275"/>
    <x v="0"/>
    <s v="26"/>
    <m/>
    <n v="26"/>
    <s v="   "/>
    <n v="0.89400000000000002"/>
  </r>
  <r>
    <x v="39"/>
    <s v="Kelso School District"/>
    <s v="Personnel"/>
    <s v="H "/>
    <x v="1"/>
    <x v="54"/>
    <s v="PSES High Prog01Act35 S275"/>
    <x v="0"/>
    <s v="35"/>
    <m/>
    <n v="35"/>
    <s v="   "/>
    <n v="0.70799999999999996"/>
  </r>
  <r>
    <x v="39"/>
    <s v="Kelso School District"/>
    <s v="Personnel"/>
    <s v="E "/>
    <x v="0"/>
    <x v="15"/>
    <s v="PSES Elem Prog01Duty42 S275"/>
    <x v="0"/>
    <s v="42"/>
    <n v="42"/>
    <m/>
    <s v="   "/>
    <n v="5.9029999999999996"/>
  </r>
  <r>
    <x v="39"/>
    <s v="Kelso School District"/>
    <s v="Personnel"/>
    <s v="H "/>
    <x v="1"/>
    <x v="16"/>
    <s v="PSES High Prog01Duty42 S275"/>
    <x v="0"/>
    <s v="42"/>
    <n v="42"/>
    <m/>
    <s v="   "/>
    <n v="4"/>
  </r>
  <r>
    <x v="39"/>
    <s v="Kelso School District"/>
    <s v="Personnel"/>
    <s v="M "/>
    <x v="2"/>
    <x v="17"/>
    <s v="PSES Mid Prog01Duty42 S275"/>
    <x v="0"/>
    <s v="42"/>
    <n v="42"/>
    <m/>
    <s v="   "/>
    <n v="4"/>
  </r>
  <r>
    <x v="39"/>
    <s v="Kelso School District"/>
    <s v="Personnel"/>
    <s v="E "/>
    <x v="0"/>
    <x v="18"/>
    <s v="PSES Elem Prog21Duty43 S275"/>
    <x v="1"/>
    <s v="43"/>
    <n v="43"/>
    <m/>
    <s v="   "/>
    <n v="1"/>
  </r>
  <r>
    <x v="39"/>
    <s v="Kelso School District"/>
    <s v="Personnel"/>
    <s v="M "/>
    <x v="2"/>
    <x v="31"/>
    <s v="PSES Mid Prog21Duty43 S275"/>
    <x v="1"/>
    <s v="43"/>
    <n v="43"/>
    <m/>
    <s v="   "/>
    <n v="0.80100000000000005"/>
  </r>
  <r>
    <x v="39"/>
    <s v="Kelso School District"/>
    <s v="Personnel"/>
    <s v="E "/>
    <x v="0"/>
    <x v="20"/>
    <s v="PSES Elem Prog21Duty45 S275"/>
    <x v="1"/>
    <s v="45"/>
    <n v="45"/>
    <m/>
    <s v="   "/>
    <n v="5"/>
  </r>
  <r>
    <x v="39"/>
    <s v="Kelso School District"/>
    <s v="Personnel"/>
    <s v="E "/>
    <x v="0"/>
    <x v="22"/>
    <s v="PSES Elem Prog21Duty46 S275"/>
    <x v="1"/>
    <s v="46"/>
    <n v="46"/>
    <m/>
    <s v="   "/>
    <n v="3"/>
  </r>
  <r>
    <x v="39"/>
    <s v="Kelso School District"/>
    <s v="Personnel"/>
    <s v="E "/>
    <x v="0"/>
    <x v="27"/>
    <s v="PSES Elem Prog01Duty47 S275"/>
    <x v="0"/>
    <s v="47"/>
    <n v="47"/>
    <m/>
    <s v="   "/>
    <n v="2"/>
  </r>
  <r>
    <x v="39"/>
    <s v="Kelso School District"/>
    <s v="Personnel"/>
    <s v="E "/>
    <x v="0"/>
    <x v="35"/>
    <s v="PSES Elem Prog21Duty48 S275"/>
    <x v="1"/>
    <s v="48"/>
    <n v="48"/>
    <m/>
    <s v="   "/>
    <n v="0.58599999999999997"/>
  </r>
  <r>
    <x v="40"/>
    <s v="Orondo School District"/>
    <s v="Personnel"/>
    <s v="E "/>
    <x v="0"/>
    <x v="8"/>
    <s v="PSES Elem Prog01Act26 S275"/>
    <x v="0"/>
    <s v="26"/>
    <m/>
    <n v="26"/>
    <s v="   "/>
    <n v="0.107"/>
  </r>
  <r>
    <x v="40"/>
    <s v="Orondo School District"/>
    <s v="Personnel"/>
    <s v="M "/>
    <x v="2"/>
    <x v="11"/>
    <s v="PSES Mid Prog01Act26 S275"/>
    <x v="0"/>
    <s v="26"/>
    <m/>
    <n v="26"/>
    <s v="   "/>
    <n v="3.2000000000000001E-2"/>
  </r>
  <r>
    <x v="41"/>
    <s v="Bridgeport School District"/>
    <s v="Personnel"/>
    <s v="H "/>
    <x v="1"/>
    <x v="9"/>
    <s v="PSES High Prog01Act26 S275"/>
    <x v="0"/>
    <s v="26"/>
    <m/>
    <n v="26"/>
    <s v="   "/>
    <n v="1.2290000000000001"/>
  </r>
  <r>
    <x v="41"/>
    <s v="Bridgeport School District"/>
    <s v="Personnel"/>
    <s v="H "/>
    <x v="1"/>
    <x v="16"/>
    <s v="PSES High Prog01Duty42 S275"/>
    <x v="0"/>
    <s v="42"/>
    <n v="42"/>
    <m/>
    <s v="   "/>
    <n v="1"/>
  </r>
  <r>
    <x v="41"/>
    <s v="Bridgeport School District"/>
    <s v="Personnel"/>
    <s v="M "/>
    <x v="2"/>
    <x v="17"/>
    <s v="PSES Mid Prog01Duty42 S275"/>
    <x v="0"/>
    <s v="42"/>
    <n v="42"/>
    <m/>
    <s v="   "/>
    <n v="1"/>
  </r>
  <r>
    <x v="42"/>
    <s v="Palisades School District"/>
    <s v="Personnel"/>
    <s v="H "/>
    <x v="1"/>
    <x v="5"/>
    <s v="PSES High Prog01Act25 S275"/>
    <x v="0"/>
    <s v="25"/>
    <m/>
    <n v="25"/>
    <s v="   "/>
    <n v="9.6000000000000002E-2"/>
  </r>
  <r>
    <x v="43"/>
    <s v="Eastmont School District"/>
    <s v="Personnel"/>
    <s v="H "/>
    <x v="1"/>
    <x v="4"/>
    <s v="PSES High Prog21Act25 S275"/>
    <x v="1"/>
    <s v="25"/>
    <m/>
    <n v="25"/>
    <s v="   "/>
    <n v="2.0059999999999998"/>
  </r>
  <r>
    <x v="43"/>
    <s v="Eastmont School District"/>
    <s v="Personnel"/>
    <s v="H "/>
    <x v="1"/>
    <x v="5"/>
    <s v="PSES High Prog01Act25 S275"/>
    <x v="0"/>
    <s v="25"/>
    <m/>
    <n v="25"/>
    <s v="   "/>
    <n v="15.988"/>
  </r>
  <r>
    <x v="43"/>
    <s v="Eastmont School District"/>
    <s v="Personnel"/>
    <s v="H "/>
    <x v="1"/>
    <x v="29"/>
    <s v="PSES High Prog21Act26 S275"/>
    <x v="1"/>
    <s v="26"/>
    <m/>
    <n v="26"/>
    <s v="   "/>
    <n v="1.754"/>
  </r>
  <r>
    <x v="43"/>
    <s v="Eastmont School District"/>
    <s v="Personnel"/>
    <s v="H "/>
    <x v="1"/>
    <x v="9"/>
    <s v="PSES High Prog01Act26 S275"/>
    <x v="0"/>
    <s v="26"/>
    <m/>
    <n v="26"/>
    <s v="   "/>
    <n v="5.5110000000000001"/>
  </r>
  <r>
    <x v="43"/>
    <s v="Eastmont School District"/>
    <s v="Personnel"/>
    <s v="E "/>
    <x v="0"/>
    <x v="15"/>
    <s v="PSES Elem Prog01Duty42 S275"/>
    <x v="0"/>
    <s v="42"/>
    <n v="42"/>
    <m/>
    <s v="   "/>
    <n v="6"/>
  </r>
  <r>
    <x v="43"/>
    <s v="Eastmont School District"/>
    <s v="Personnel"/>
    <s v="H "/>
    <x v="1"/>
    <x v="16"/>
    <s v="PSES High Prog01Duty42 S275"/>
    <x v="0"/>
    <s v="42"/>
    <n v="42"/>
    <m/>
    <s v="   "/>
    <n v="3.0169999999999999"/>
  </r>
  <r>
    <x v="43"/>
    <s v="Eastmont School District"/>
    <s v="Personnel"/>
    <s v="M "/>
    <x v="2"/>
    <x v="17"/>
    <s v="PSES Mid Prog01Duty42 S275"/>
    <x v="0"/>
    <s v="42"/>
    <n v="42"/>
    <m/>
    <s v="   "/>
    <n v="1.333"/>
  </r>
  <r>
    <x v="43"/>
    <s v="Eastmont School District"/>
    <s v="Personnel"/>
    <s v="E "/>
    <x v="0"/>
    <x v="18"/>
    <s v="PSES Elem Prog21Duty43 S275"/>
    <x v="1"/>
    <s v="43"/>
    <n v="43"/>
    <m/>
    <s v="   "/>
    <n v="1.7529999999999999"/>
  </r>
  <r>
    <x v="43"/>
    <s v="Eastmont School District"/>
    <s v="Personnel"/>
    <s v="H "/>
    <x v="1"/>
    <x v="19"/>
    <s v="PSES High Prog21Duty43 S275"/>
    <x v="1"/>
    <s v="43"/>
    <n v="43"/>
    <m/>
    <s v="   "/>
    <n v="0.123"/>
  </r>
  <r>
    <x v="43"/>
    <s v="Eastmont School District"/>
    <s v="Personnel"/>
    <s v="M "/>
    <x v="2"/>
    <x v="31"/>
    <s v="PSES Mid Prog21Duty43 S275"/>
    <x v="1"/>
    <s v="43"/>
    <n v="43"/>
    <m/>
    <s v="   "/>
    <n v="0.52400000000000002"/>
  </r>
  <r>
    <x v="43"/>
    <s v="Eastmont School District"/>
    <s v="Personnel"/>
    <s v="E "/>
    <x v="0"/>
    <x v="20"/>
    <s v="PSES Elem Prog21Duty45 S275"/>
    <x v="1"/>
    <s v="45"/>
    <n v="45"/>
    <m/>
    <s v="   "/>
    <n v="5"/>
  </r>
  <r>
    <x v="43"/>
    <s v="Eastmont School District"/>
    <s v="Personnel"/>
    <s v="H "/>
    <x v="1"/>
    <x v="21"/>
    <s v="PSES High Prog21Duty45 S275"/>
    <x v="1"/>
    <s v="45"/>
    <n v="45"/>
    <m/>
    <s v="   "/>
    <n v="0.33400000000000002"/>
  </r>
  <r>
    <x v="43"/>
    <s v="Eastmont School District"/>
    <s v="Personnel"/>
    <s v="M "/>
    <x v="2"/>
    <x v="28"/>
    <s v="PSES Mid Prog21Duty45 S275"/>
    <x v="1"/>
    <s v="45"/>
    <n v="45"/>
    <m/>
    <s v="   "/>
    <n v="0.66600000000000004"/>
  </r>
  <r>
    <x v="43"/>
    <s v="Eastmont School District"/>
    <s v="Personnel"/>
    <s v="E "/>
    <x v="0"/>
    <x v="22"/>
    <s v="PSES Elem Prog21Duty46 S275"/>
    <x v="1"/>
    <s v="46"/>
    <n v="46"/>
    <m/>
    <s v="   "/>
    <n v="4.75"/>
  </r>
  <r>
    <x v="43"/>
    <s v="Eastmont School District"/>
    <s v="Personnel"/>
    <s v="E "/>
    <x v="0"/>
    <x v="48"/>
    <s v="PSES Elem Prog01Duty46 S275"/>
    <x v="0"/>
    <s v="46"/>
    <n v="46"/>
    <m/>
    <s v="   "/>
    <n v="1.25"/>
  </r>
  <r>
    <x v="43"/>
    <s v="Eastmont School District"/>
    <s v="Personnel"/>
    <s v="H "/>
    <x v="1"/>
    <x v="23"/>
    <s v="PSES High Prog21Duty46 S275"/>
    <x v="1"/>
    <s v="46"/>
    <n v="46"/>
    <m/>
    <s v="   "/>
    <n v="1.8"/>
  </r>
  <r>
    <x v="43"/>
    <s v="Eastmont School District"/>
    <s v="Personnel"/>
    <s v="H "/>
    <x v="1"/>
    <x v="65"/>
    <s v="PSES High Prog01Duty46 S275"/>
    <x v="0"/>
    <s v="46"/>
    <n v="46"/>
    <m/>
    <s v="   "/>
    <n v="0.33300000000000002"/>
  </r>
  <r>
    <x v="43"/>
    <s v="Eastmont School District"/>
    <s v="Personnel"/>
    <s v="M "/>
    <x v="2"/>
    <x v="24"/>
    <s v="PSES Mid Prog21Duty46 S275"/>
    <x v="1"/>
    <s v="46"/>
    <n v="46"/>
    <m/>
    <s v="   "/>
    <n v="0.5"/>
  </r>
  <r>
    <x v="43"/>
    <s v="Eastmont School District"/>
    <s v="Personnel"/>
    <s v="M "/>
    <x v="2"/>
    <x v="49"/>
    <s v="PSES Mid Prog01Duty46 S275"/>
    <x v="0"/>
    <s v="46"/>
    <n v="46"/>
    <m/>
    <s v="   "/>
    <n v="0.16700000000000001"/>
  </r>
  <r>
    <x v="43"/>
    <s v="Eastmont School District"/>
    <s v="Personnel"/>
    <s v="E "/>
    <x v="0"/>
    <x v="32"/>
    <s v="PSES Elem Prog21Duty47 S275"/>
    <x v="1"/>
    <s v="47"/>
    <n v="47"/>
    <m/>
    <s v="   "/>
    <n v="0.42799999999999999"/>
  </r>
  <r>
    <x v="43"/>
    <s v="Eastmont School District"/>
    <s v="Personnel"/>
    <s v="E "/>
    <x v="0"/>
    <x v="27"/>
    <s v="PSES Elem Prog01Duty47 S275"/>
    <x v="0"/>
    <s v="47"/>
    <n v="47"/>
    <m/>
    <s v="   "/>
    <n v="2.84"/>
  </r>
  <r>
    <x v="43"/>
    <s v="Eastmont School District"/>
    <s v="Personnel"/>
    <s v="H "/>
    <x v="1"/>
    <x v="61"/>
    <s v="PSES High Prog21Duty47 S275"/>
    <x v="1"/>
    <s v="47"/>
    <n v="47"/>
    <m/>
    <s v="   "/>
    <n v="0.248"/>
  </r>
  <r>
    <x v="43"/>
    <s v="Eastmont School District"/>
    <s v="Personnel"/>
    <s v="H "/>
    <x v="1"/>
    <x v="25"/>
    <s v="PSES High Prog01Duty47 S275"/>
    <x v="0"/>
    <s v="47"/>
    <n v="47"/>
    <m/>
    <s v="   "/>
    <n v="1.6220000000000001"/>
  </r>
  <r>
    <x v="43"/>
    <s v="Eastmont School District"/>
    <s v="Personnel"/>
    <s v="M "/>
    <x v="2"/>
    <x v="33"/>
    <s v="PSES Mid Prog21Duty47 S275"/>
    <x v="1"/>
    <s v="47"/>
    <n v="47"/>
    <m/>
    <s v="   "/>
    <n v="0.124"/>
  </r>
  <r>
    <x v="43"/>
    <s v="Eastmont School District"/>
    <s v="Personnel"/>
    <s v="M "/>
    <x v="2"/>
    <x v="34"/>
    <s v="PSES Mid Prog01Duty47 S275"/>
    <x v="0"/>
    <s v="47"/>
    <n v="47"/>
    <m/>
    <s v="   "/>
    <n v="0.81100000000000005"/>
  </r>
  <r>
    <x v="43"/>
    <s v="Eastmont School District"/>
    <s v="Personnel"/>
    <s v="E "/>
    <x v="0"/>
    <x v="35"/>
    <s v="PSES Elem Prog21Duty48 S275"/>
    <x v="1"/>
    <s v="48"/>
    <n v="48"/>
    <m/>
    <s v="   "/>
    <n v="1.23"/>
  </r>
  <r>
    <x v="43"/>
    <s v="Eastmont School District"/>
    <s v="Personnel"/>
    <s v="H "/>
    <x v="1"/>
    <x v="36"/>
    <s v="PSES High Prog21Duty48 S275"/>
    <x v="1"/>
    <s v="48"/>
    <n v="48"/>
    <m/>
    <s v="   "/>
    <n v="0.61599999999999999"/>
  </r>
  <r>
    <x v="43"/>
    <s v="Eastmont School District"/>
    <s v="Personnel"/>
    <s v="M "/>
    <x v="2"/>
    <x v="37"/>
    <s v="PSES Mid Prog21Duty48 S275"/>
    <x v="1"/>
    <s v="48"/>
    <n v="48"/>
    <m/>
    <s v="   "/>
    <n v="0.154"/>
  </r>
  <r>
    <x v="43"/>
    <s v="Eastmont School District"/>
    <s v="Personnel"/>
    <s v="E "/>
    <x v="0"/>
    <x v="26"/>
    <s v="PSES Elem Prog21Duty49 S275"/>
    <x v="1"/>
    <s v="49"/>
    <n v="49"/>
    <m/>
    <s v="   "/>
    <n v="0.70799999999999996"/>
  </r>
  <r>
    <x v="43"/>
    <s v="Eastmont School District"/>
    <s v="Personnel"/>
    <s v="H "/>
    <x v="1"/>
    <x v="55"/>
    <s v="PSES High Prog21Duty49 S275"/>
    <x v="1"/>
    <s v="49"/>
    <n v="49"/>
    <m/>
    <s v="   "/>
    <n v="0.154"/>
  </r>
  <r>
    <x v="43"/>
    <s v="Eastmont School District"/>
    <s v="Personnel"/>
    <s v="H "/>
    <x v="1"/>
    <x v="68"/>
    <s v="PSES High Prog01Duty49 S275"/>
    <x v="0"/>
    <s v="49"/>
    <n v="49"/>
    <m/>
    <s v="   "/>
    <n v="0.75"/>
  </r>
  <r>
    <x v="43"/>
    <s v="Eastmont School District"/>
    <s v="Personnel"/>
    <s v="M "/>
    <x v="2"/>
    <x v="50"/>
    <s v="PSES Mid Prog21Duty49 S275"/>
    <x v="1"/>
    <s v="49"/>
    <n v="49"/>
    <m/>
    <s v="   "/>
    <n v="0.14000000000000001"/>
  </r>
  <r>
    <x v="44"/>
    <s v="Mansfield School District"/>
    <s v="Personnel"/>
    <s v="E "/>
    <x v="0"/>
    <x v="3"/>
    <s v="PSES Elem Prog01Act25 S275"/>
    <x v="0"/>
    <s v="25"/>
    <m/>
    <n v="25"/>
    <s v="   "/>
    <n v="0.13300000000000001"/>
  </r>
  <r>
    <x v="44"/>
    <s v="Mansfield School District"/>
    <s v="Personnel"/>
    <s v="H "/>
    <x v="1"/>
    <x v="9"/>
    <s v="PSES High Prog01Act26 S275"/>
    <x v="0"/>
    <s v="26"/>
    <m/>
    <n v="26"/>
    <s v="   "/>
    <n v="0.503"/>
  </r>
  <r>
    <x v="45"/>
    <s v="Waterville School District"/>
    <s v="Personnel"/>
    <s v="H "/>
    <x v="1"/>
    <x v="9"/>
    <s v="PSES High Prog01Act26 S275"/>
    <x v="0"/>
    <s v="26"/>
    <m/>
    <n v="26"/>
    <s v="   "/>
    <n v="0.64600000000000002"/>
  </r>
  <r>
    <x v="45"/>
    <s v="Waterville School District"/>
    <s v="Personnel"/>
    <s v="M "/>
    <x v="2"/>
    <x v="17"/>
    <s v="PSES Mid Prog01Duty42 S275"/>
    <x v="0"/>
    <s v="42"/>
    <n v="42"/>
    <m/>
    <s v="   "/>
    <n v="0.49"/>
  </r>
  <r>
    <x v="46"/>
    <s v="Keller School District"/>
    <s v="Personnel"/>
    <s v="H "/>
    <x v="1"/>
    <x v="9"/>
    <s v="PSES High Prog01Act26 S275"/>
    <x v="0"/>
    <s v="26"/>
    <m/>
    <n v="26"/>
    <s v="   "/>
    <n v="0.22900000000000001"/>
  </r>
  <r>
    <x v="47"/>
    <s v="Curlew School District"/>
    <s v="Personnel"/>
    <s v="M "/>
    <x v="2"/>
    <x v="17"/>
    <s v="PSES Mid Prog01Duty42 S275"/>
    <x v="0"/>
    <s v="42"/>
    <n v="42"/>
    <m/>
    <s v="   "/>
    <n v="0.5"/>
  </r>
  <r>
    <x v="48"/>
    <s v="Orient School District"/>
    <s v="Personnel"/>
    <s v="E "/>
    <x v="0"/>
    <x v="8"/>
    <s v="PSES Elem Prog01Act26 S275"/>
    <x v="0"/>
    <s v="26"/>
    <m/>
    <n v="26"/>
    <s v="   "/>
    <n v="0.11899999999999999"/>
  </r>
  <r>
    <x v="49"/>
    <s v="Inchelium School District"/>
    <s v="Personnel"/>
    <s v="H "/>
    <x v="1"/>
    <x v="9"/>
    <s v="PSES High Prog01Act26 S275"/>
    <x v="0"/>
    <s v="26"/>
    <m/>
    <n v="26"/>
    <s v="   "/>
    <n v="3.7999999999999999E-2"/>
  </r>
  <r>
    <x v="49"/>
    <s v="Inchelium School District"/>
    <s v="Personnel"/>
    <s v="E "/>
    <x v="0"/>
    <x v="15"/>
    <s v="PSES Elem Prog01Duty42 S275"/>
    <x v="0"/>
    <s v="42"/>
    <n v="42"/>
    <m/>
    <s v="   "/>
    <n v="0.3"/>
  </r>
  <r>
    <x v="49"/>
    <s v="Inchelium School District"/>
    <s v="Personnel"/>
    <s v="H "/>
    <x v="1"/>
    <x v="16"/>
    <s v="PSES High Prog01Duty42 S275"/>
    <x v="0"/>
    <s v="42"/>
    <n v="42"/>
    <m/>
    <s v="   "/>
    <n v="1.1499999999999999"/>
  </r>
  <r>
    <x v="49"/>
    <s v="Inchelium School District"/>
    <s v="Personnel"/>
    <s v="M "/>
    <x v="2"/>
    <x v="17"/>
    <s v="PSES Mid Prog01Duty42 S275"/>
    <x v="0"/>
    <s v="42"/>
    <n v="42"/>
    <m/>
    <s v="   "/>
    <n v="0.3"/>
  </r>
  <r>
    <x v="50"/>
    <s v="Republic School District"/>
    <s v="Personnel"/>
    <s v="H "/>
    <x v="1"/>
    <x v="1"/>
    <s v="PSES High Prog01Duty96 S275"/>
    <x v="0"/>
    <s v="24"/>
    <n v="96"/>
    <n v="24"/>
    <s v="   "/>
    <n v="0.63300000000000001"/>
  </r>
  <r>
    <x v="50"/>
    <s v="Republic School District"/>
    <s v="Personnel"/>
    <s v="H "/>
    <x v="1"/>
    <x v="9"/>
    <s v="PSES High Prog01Act26 S275"/>
    <x v="0"/>
    <s v="26"/>
    <m/>
    <n v="26"/>
    <s v="   "/>
    <n v="0.46200000000000002"/>
  </r>
  <r>
    <x v="51"/>
    <s v="Pasco School District"/>
    <s v="Personnel"/>
    <s v="H "/>
    <x v="1"/>
    <x v="1"/>
    <s v="PSES High Prog01Duty96 S275"/>
    <x v="0"/>
    <s v="24"/>
    <n v="96"/>
    <n v="24"/>
    <s v="   "/>
    <n v="2.4820000000000002"/>
  </r>
  <r>
    <x v="51"/>
    <s v="Pasco School District"/>
    <s v="Personnel"/>
    <s v="H "/>
    <x v="1"/>
    <x v="4"/>
    <s v="PSES High Prog21Act25 S275"/>
    <x v="1"/>
    <s v="25"/>
    <m/>
    <n v="25"/>
    <s v="   "/>
    <n v="18.649000000000001"/>
  </r>
  <r>
    <x v="51"/>
    <s v="Pasco School District"/>
    <s v="Personnel"/>
    <s v="H "/>
    <x v="1"/>
    <x v="5"/>
    <s v="PSES High Prog01Act25 S275"/>
    <x v="0"/>
    <s v="25"/>
    <m/>
    <n v="25"/>
    <s v="   "/>
    <n v="42.646000000000001"/>
  </r>
  <r>
    <x v="51"/>
    <s v="Pasco School District"/>
    <s v="Personnel"/>
    <s v="H "/>
    <x v="1"/>
    <x v="29"/>
    <s v="PSES High Prog21Act26 S275"/>
    <x v="1"/>
    <s v="26"/>
    <m/>
    <n v="26"/>
    <s v="   "/>
    <n v="8.2189999999999994"/>
  </r>
  <r>
    <x v="51"/>
    <s v="Pasco School District"/>
    <s v="Personnel"/>
    <s v="H "/>
    <x v="1"/>
    <x v="9"/>
    <s v="PSES High Prog01Act26 S275"/>
    <x v="0"/>
    <s v="26"/>
    <m/>
    <n v="26"/>
    <s v="   "/>
    <n v="1.8160000000000001"/>
  </r>
  <r>
    <x v="51"/>
    <s v="Pasco School District"/>
    <s v="Personnel"/>
    <s v="E "/>
    <x v="0"/>
    <x v="15"/>
    <s v="PSES Elem Prog01Duty42 S275"/>
    <x v="0"/>
    <s v="42"/>
    <n v="42"/>
    <m/>
    <s v="   "/>
    <n v="16"/>
  </r>
  <r>
    <x v="51"/>
    <s v="Pasco School District"/>
    <s v="Personnel"/>
    <s v="H "/>
    <x v="1"/>
    <x v="16"/>
    <s v="PSES High Prog01Duty42 S275"/>
    <x v="0"/>
    <s v="42"/>
    <n v="42"/>
    <m/>
    <s v="   "/>
    <n v="17.654"/>
  </r>
  <r>
    <x v="51"/>
    <s v="Pasco School District"/>
    <s v="Personnel"/>
    <s v="M "/>
    <x v="2"/>
    <x v="17"/>
    <s v="PSES Mid Prog01Duty42 S275"/>
    <x v="0"/>
    <s v="42"/>
    <n v="42"/>
    <m/>
    <s v="   "/>
    <n v="8.02"/>
  </r>
  <r>
    <x v="51"/>
    <s v="Pasco School District"/>
    <s v="Personnel"/>
    <s v="E "/>
    <x v="0"/>
    <x v="18"/>
    <s v="PSES Elem Prog21Duty43 S275"/>
    <x v="1"/>
    <s v="43"/>
    <n v="43"/>
    <m/>
    <s v="   "/>
    <n v="3"/>
  </r>
  <r>
    <x v="51"/>
    <s v="Pasco School District"/>
    <s v="Personnel"/>
    <s v="E "/>
    <x v="0"/>
    <x v="69"/>
    <s v="PSES Elem Prog01Duty43 S275"/>
    <x v="0"/>
    <s v="43"/>
    <n v="43"/>
    <m/>
    <s v="   "/>
    <n v="1.2"/>
  </r>
  <r>
    <x v="51"/>
    <s v="Pasco School District"/>
    <s v="Personnel"/>
    <s v="H "/>
    <x v="1"/>
    <x v="44"/>
    <s v="PSES High Prog01Duty44 S275"/>
    <x v="0"/>
    <s v="44"/>
    <n v="44"/>
    <m/>
    <s v="   "/>
    <n v="1"/>
  </r>
  <r>
    <x v="51"/>
    <s v="Pasco School District"/>
    <s v="Personnel"/>
    <s v="E "/>
    <x v="0"/>
    <x v="20"/>
    <s v="PSES Elem Prog21Duty45 S275"/>
    <x v="1"/>
    <s v="45"/>
    <n v="45"/>
    <m/>
    <s v="   "/>
    <n v="0.79600000000000004"/>
  </r>
  <r>
    <x v="51"/>
    <s v="Pasco School District"/>
    <s v="Personnel"/>
    <s v="H "/>
    <x v="1"/>
    <x v="21"/>
    <s v="PSES High Prog21Duty45 S275"/>
    <x v="1"/>
    <s v="45"/>
    <n v="45"/>
    <m/>
    <s v="   "/>
    <n v="13.222"/>
  </r>
  <r>
    <x v="51"/>
    <s v="Pasco School District"/>
    <s v="Personnel"/>
    <s v="H "/>
    <x v="1"/>
    <x v="23"/>
    <s v="PSES High Prog21Duty46 S275"/>
    <x v="1"/>
    <s v="46"/>
    <n v="46"/>
    <m/>
    <s v="   "/>
    <n v="14.933"/>
  </r>
  <r>
    <x v="51"/>
    <s v="Pasco School District"/>
    <s v="Personnel"/>
    <s v="E "/>
    <x v="0"/>
    <x v="32"/>
    <s v="PSES Elem Prog21Duty47 S275"/>
    <x v="1"/>
    <s v="47"/>
    <n v="47"/>
    <m/>
    <s v="   "/>
    <n v="0.75"/>
  </r>
  <r>
    <x v="51"/>
    <s v="Pasco School District"/>
    <s v="Personnel"/>
    <s v="E "/>
    <x v="0"/>
    <x v="27"/>
    <s v="PSES Elem Prog01Duty47 S275"/>
    <x v="0"/>
    <s v="47"/>
    <n v="47"/>
    <m/>
    <s v="   "/>
    <n v="19.305"/>
  </r>
  <r>
    <x v="51"/>
    <s v="Pasco School District"/>
    <s v="Personnel"/>
    <s v="H "/>
    <x v="1"/>
    <x v="25"/>
    <s v="PSES High Prog01Duty47 S275"/>
    <x v="0"/>
    <s v="47"/>
    <n v="47"/>
    <m/>
    <s v="   "/>
    <n v="2"/>
  </r>
  <r>
    <x v="51"/>
    <s v="Pasco School District"/>
    <s v="Personnel"/>
    <s v="E "/>
    <x v="0"/>
    <x v="35"/>
    <s v="PSES Elem Prog21Duty48 S275"/>
    <x v="1"/>
    <s v="48"/>
    <n v="48"/>
    <m/>
    <s v="   "/>
    <n v="1"/>
  </r>
  <r>
    <x v="52"/>
    <s v="North Franklin School District"/>
    <s v="Personnel"/>
    <s v="H "/>
    <x v="1"/>
    <x v="29"/>
    <s v="PSES High Prog21Act26 S275"/>
    <x v="1"/>
    <s v="26"/>
    <m/>
    <n v="26"/>
    <s v="   "/>
    <n v="2.3879999999999999"/>
  </r>
  <r>
    <x v="52"/>
    <s v="North Franklin School District"/>
    <s v="Personnel"/>
    <s v="H "/>
    <x v="1"/>
    <x v="9"/>
    <s v="PSES High Prog01Act26 S275"/>
    <x v="0"/>
    <s v="26"/>
    <m/>
    <n v="26"/>
    <s v="   "/>
    <n v="2.97"/>
  </r>
  <r>
    <x v="52"/>
    <s v="North Franklin School District"/>
    <s v="Personnel"/>
    <s v="E "/>
    <x v="0"/>
    <x v="15"/>
    <s v="PSES Elem Prog01Duty42 S275"/>
    <x v="0"/>
    <s v="42"/>
    <n v="42"/>
    <m/>
    <s v="   "/>
    <n v="2"/>
  </r>
  <r>
    <x v="52"/>
    <s v="North Franklin School District"/>
    <s v="Personnel"/>
    <s v="H "/>
    <x v="1"/>
    <x v="16"/>
    <s v="PSES High Prog01Duty42 S275"/>
    <x v="0"/>
    <s v="42"/>
    <n v="42"/>
    <m/>
    <s v="   "/>
    <n v="2.98"/>
  </r>
  <r>
    <x v="52"/>
    <s v="North Franklin School District"/>
    <s v="Personnel"/>
    <s v="M "/>
    <x v="2"/>
    <x v="17"/>
    <s v="PSES Mid Prog01Duty42 S275"/>
    <x v="0"/>
    <s v="42"/>
    <n v="42"/>
    <m/>
    <s v="   "/>
    <n v="2.83"/>
  </r>
  <r>
    <x v="52"/>
    <s v="North Franklin School District"/>
    <s v="Personnel"/>
    <s v="E "/>
    <x v="0"/>
    <x v="20"/>
    <s v="PSES Elem Prog21Duty45 S275"/>
    <x v="1"/>
    <s v="45"/>
    <n v="45"/>
    <m/>
    <s v="   "/>
    <n v="1.1950000000000001"/>
  </r>
  <r>
    <x v="52"/>
    <s v="North Franklin School District"/>
    <s v="Personnel"/>
    <s v="H "/>
    <x v="1"/>
    <x v="21"/>
    <s v="PSES High Prog21Duty45 S275"/>
    <x v="1"/>
    <s v="45"/>
    <n v="45"/>
    <m/>
    <s v="   "/>
    <n v="0.28599999999999998"/>
  </r>
  <r>
    <x v="52"/>
    <s v="North Franklin School District"/>
    <s v="Personnel"/>
    <s v="M "/>
    <x v="2"/>
    <x v="28"/>
    <s v="PSES Mid Prog21Duty45 S275"/>
    <x v="1"/>
    <s v="45"/>
    <n v="45"/>
    <m/>
    <s v="   "/>
    <n v="0.14299999999999999"/>
  </r>
  <r>
    <x v="52"/>
    <s v="North Franklin School District"/>
    <s v="Personnel"/>
    <s v="E "/>
    <x v="0"/>
    <x v="22"/>
    <s v="PSES Elem Prog21Duty46 S275"/>
    <x v="1"/>
    <s v="46"/>
    <n v="46"/>
    <m/>
    <s v="   "/>
    <n v="1"/>
  </r>
  <r>
    <x v="52"/>
    <s v="North Franklin School District"/>
    <s v="Personnel"/>
    <s v="H "/>
    <x v="1"/>
    <x v="23"/>
    <s v="PSES High Prog21Duty46 S275"/>
    <x v="1"/>
    <s v="46"/>
    <n v="46"/>
    <m/>
    <s v="   "/>
    <n v="0.57199999999999995"/>
  </r>
  <r>
    <x v="52"/>
    <s v="North Franklin School District"/>
    <s v="Personnel"/>
    <s v="M "/>
    <x v="2"/>
    <x v="24"/>
    <s v="PSES Mid Prog21Duty46 S275"/>
    <x v="1"/>
    <s v="46"/>
    <n v="46"/>
    <m/>
    <s v="   "/>
    <n v="0.28599999999999998"/>
  </r>
  <r>
    <x v="53"/>
    <s v="Kahlotus School District"/>
    <s v="Personnel"/>
    <s v="E "/>
    <x v="0"/>
    <x v="15"/>
    <s v="PSES Elem Prog01Duty42 S275"/>
    <x v="0"/>
    <s v="42"/>
    <n v="42"/>
    <m/>
    <s v="   "/>
    <n v="1"/>
  </r>
  <r>
    <x v="54"/>
    <s v="Pomeroy School District"/>
    <s v="Personnel"/>
    <s v="H "/>
    <x v="1"/>
    <x v="54"/>
    <s v="PSES High Prog01Act35 S275"/>
    <x v="0"/>
    <s v="35"/>
    <m/>
    <n v="35"/>
    <s v="   "/>
    <n v="0.34599999999999997"/>
  </r>
  <r>
    <x v="54"/>
    <s v="Pomeroy School District"/>
    <s v="Personnel"/>
    <s v="E "/>
    <x v="0"/>
    <x v="15"/>
    <s v="PSES Elem Prog01Duty42 S275"/>
    <x v="0"/>
    <s v="42"/>
    <n v="42"/>
    <m/>
    <s v="   "/>
    <n v="0.61699999999999999"/>
  </r>
  <r>
    <x v="54"/>
    <s v="Pomeroy School District"/>
    <s v="Personnel"/>
    <s v="H "/>
    <x v="1"/>
    <x v="16"/>
    <s v="PSES High Prog01Duty42 S275"/>
    <x v="0"/>
    <s v="42"/>
    <n v="42"/>
    <m/>
    <s v="   "/>
    <n v="0.28599999999999998"/>
  </r>
  <r>
    <x v="54"/>
    <s v="Pomeroy School District"/>
    <s v="Personnel"/>
    <s v="M "/>
    <x v="2"/>
    <x v="17"/>
    <s v="PSES Mid Prog01Duty42 S275"/>
    <x v="0"/>
    <s v="42"/>
    <n v="42"/>
    <m/>
    <s v="   "/>
    <n v="0.1"/>
  </r>
  <r>
    <x v="55"/>
    <s v="Wahluke School District"/>
    <s v="Personnel"/>
    <s v="H "/>
    <x v="1"/>
    <x v="53"/>
    <s v="PSES High Prog97Act25 S275"/>
    <x v="2"/>
    <s v="25"/>
    <m/>
    <n v="25"/>
    <s v="   "/>
    <n v="0.76900000000000002"/>
  </r>
  <r>
    <x v="55"/>
    <s v="Wahluke School District"/>
    <s v="Personnel"/>
    <s v="H "/>
    <x v="1"/>
    <x v="9"/>
    <s v="PSES High Prog01Act26 S275"/>
    <x v="0"/>
    <s v="26"/>
    <m/>
    <n v="26"/>
    <s v="   "/>
    <n v="0.76900000000000002"/>
  </r>
  <r>
    <x v="55"/>
    <s v="Wahluke School District"/>
    <s v="Personnel"/>
    <s v="E "/>
    <x v="0"/>
    <x v="15"/>
    <s v="PSES Elem Prog01Duty42 S275"/>
    <x v="0"/>
    <s v="42"/>
    <n v="42"/>
    <m/>
    <s v="   "/>
    <n v="5.36"/>
  </r>
  <r>
    <x v="55"/>
    <s v="Wahluke School District"/>
    <s v="Personnel"/>
    <s v="H "/>
    <x v="1"/>
    <x v="16"/>
    <s v="PSES High Prog01Duty42 S275"/>
    <x v="0"/>
    <s v="42"/>
    <n v="42"/>
    <m/>
    <s v="   "/>
    <n v="4"/>
  </r>
  <r>
    <x v="55"/>
    <s v="Wahluke School District"/>
    <s v="Personnel"/>
    <s v="M "/>
    <x v="2"/>
    <x v="17"/>
    <s v="PSES Mid Prog01Duty42 S275"/>
    <x v="0"/>
    <s v="42"/>
    <n v="42"/>
    <m/>
    <s v="   "/>
    <n v="1.34"/>
  </r>
  <r>
    <x v="55"/>
    <s v="Wahluke School District"/>
    <s v="Personnel"/>
    <s v="E "/>
    <x v="0"/>
    <x v="22"/>
    <s v="PSES Elem Prog21Duty46 S275"/>
    <x v="1"/>
    <s v="46"/>
    <n v="46"/>
    <m/>
    <s v="   "/>
    <n v="2"/>
  </r>
  <r>
    <x v="56"/>
    <s v="Quincy School District"/>
    <s v="Personnel"/>
    <s v="E "/>
    <x v="0"/>
    <x v="3"/>
    <s v="PSES Elem Prog01Act25 S275"/>
    <x v="0"/>
    <s v="25"/>
    <m/>
    <n v="25"/>
    <s v="   "/>
    <n v="0.42399999999999999"/>
  </r>
  <r>
    <x v="56"/>
    <s v="Quincy School District"/>
    <s v="Personnel"/>
    <s v="H "/>
    <x v="1"/>
    <x v="4"/>
    <s v="PSES High Prog21Act25 S275"/>
    <x v="1"/>
    <s v="25"/>
    <m/>
    <n v="25"/>
    <s v="   "/>
    <n v="1.452"/>
  </r>
  <r>
    <x v="56"/>
    <s v="Quincy School District"/>
    <s v="Personnel"/>
    <s v="H "/>
    <x v="1"/>
    <x v="5"/>
    <s v="PSES High Prog01Act25 S275"/>
    <x v="0"/>
    <s v="25"/>
    <m/>
    <n v="25"/>
    <s v="   "/>
    <n v="3.07"/>
  </r>
  <r>
    <x v="56"/>
    <s v="Quincy School District"/>
    <s v="Personnel"/>
    <s v="M "/>
    <x v="2"/>
    <x v="6"/>
    <s v="PSES Mid Prog01Act25 S275"/>
    <x v="0"/>
    <s v="25"/>
    <m/>
    <n v="25"/>
    <s v="   "/>
    <n v="4.2999999999999997E-2"/>
  </r>
  <r>
    <x v="56"/>
    <s v="Quincy School District"/>
    <s v="Personnel"/>
    <s v="H "/>
    <x v="1"/>
    <x v="29"/>
    <s v="PSES High Prog21Act26 S275"/>
    <x v="1"/>
    <s v="26"/>
    <m/>
    <n v="26"/>
    <s v="   "/>
    <n v="0.31"/>
  </r>
  <r>
    <x v="56"/>
    <s v="Quincy School District"/>
    <s v="Personnel"/>
    <s v="H "/>
    <x v="1"/>
    <x v="9"/>
    <s v="PSES High Prog01Act26 S275"/>
    <x v="0"/>
    <s v="26"/>
    <m/>
    <n v="26"/>
    <s v="   "/>
    <n v="0.98299999999999998"/>
  </r>
  <r>
    <x v="56"/>
    <s v="Quincy School District"/>
    <s v="Personnel"/>
    <s v="E "/>
    <x v="0"/>
    <x v="15"/>
    <s v="PSES Elem Prog01Duty42 S275"/>
    <x v="0"/>
    <s v="42"/>
    <n v="42"/>
    <m/>
    <s v="   "/>
    <n v="4.33"/>
  </r>
  <r>
    <x v="56"/>
    <s v="Quincy School District"/>
    <s v="Personnel"/>
    <s v="H "/>
    <x v="1"/>
    <x v="16"/>
    <s v="PSES High Prog01Duty42 S275"/>
    <x v="0"/>
    <s v="42"/>
    <n v="42"/>
    <m/>
    <s v="   "/>
    <n v="3"/>
  </r>
  <r>
    <x v="56"/>
    <s v="Quincy School District"/>
    <s v="Personnel"/>
    <s v="M "/>
    <x v="2"/>
    <x v="17"/>
    <s v="PSES Mid Prog01Duty42 S275"/>
    <x v="0"/>
    <s v="42"/>
    <n v="42"/>
    <m/>
    <s v="   "/>
    <n v="1.67"/>
  </r>
  <r>
    <x v="56"/>
    <s v="Quincy School District"/>
    <s v="Personnel"/>
    <s v="E "/>
    <x v="0"/>
    <x v="42"/>
    <s v="PSES Elem Prog01Duty44 S275"/>
    <x v="0"/>
    <s v="44"/>
    <n v="44"/>
    <m/>
    <s v="   "/>
    <n v="1.5"/>
  </r>
  <r>
    <x v="56"/>
    <s v="Quincy School District"/>
    <s v="Personnel"/>
    <s v="H "/>
    <x v="1"/>
    <x v="44"/>
    <s v="PSES High Prog01Duty44 S275"/>
    <x v="0"/>
    <s v="44"/>
    <n v="44"/>
    <m/>
    <s v="   "/>
    <n v="2.0329999999999999"/>
  </r>
  <r>
    <x v="56"/>
    <s v="Quincy School District"/>
    <s v="Personnel"/>
    <s v="M "/>
    <x v="2"/>
    <x v="46"/>
    <s v="PSES Mid Prog01Duty44 S275"/>
    <x v="0"/>
    <s v="44"/>
    <n v="44"/>
    <m/>
    <s v="   "/>
    <n v="0.16700000000000001"/>
  </r>
  <r>
    <x v="56"/>
    <s v="Quincy School District"/>
    <s v="Personnel"/>
    <s v="H "/>
    <x v="1"/>
    <x v="23"/>
    <s v="PSES High Prog21Duty46 S275"/>
    <x v="1"/>
    <s v="46"/>
    <n v="46"/>
    <m/>
    <s v="   "/>
    <n v="1"/>
  </r>
  <r>
    <x v="56"/>
    <s v="Quincy School District"/>
    <s v="Personnel"/>
    <s v="E "/>
    <x v="0"/>
    <x v="27"/>
    <s v="PSES Elem Prog01Duty47 S275"/>
    <x v="0"/>
    <s v="47"/>
    <n v="47"/>
    <m/>
    <s v="   "/>
    <n v="1.0760000000000001"/>
  </r>
  <r>
    <x v="56"/>
    <s v="Quincy School District"/>
    <s v="Personnel"/>
    <s v="H "/>
    <x v="1"/>
    <x v="25"/>
    <s v="PSES High Prog01Duty47 S275"/>
    <x v="0"/>
    <s v="47"/>
    <n v="47"/>
    <m/>
    <s v="   "/>
    <n v="0.61599999999999999"/>
  </r>
  <r>
    <x v="56"/>
    <s v="Quincy School District"/>
    <s v="Personnel"/>
    <s v="M "/>
    <x v="2"/>
    <x v="34"/>
    <s v="PSES Mid Prog01Duty47 S275"/>
    <x v="0"/>
    <s v="47"/>
    <n v="47"/>
    <m/>
    <s v="   "/>
    <n v="0.308"/>
  </r>
  <r>
    <x v="57"/>
    <s v="Warden School District"/>
    <s v="Personnel"/>
    <s v="E "/>
    <x v="0"/>
    <x v="0"/>
    <s v="PSES Elem Prog01Duty96 S275"/>
    <x v="0"/>
    <s v="24"/>
    <n v="96"/>
    <n v="24"/>
    <s v="   "/>
    <n v="0.318"/>
  </r>
  <r>
    <x v="57"/>
    <s v="Warden School District"/>
    <s v="Personnel"/>
    <s v="E "/>
    <x v="0"/>
    <x v="7"/>
    <s v="PSES Elem Prog21Act26 S275"/>
    <x v="1"/>
    <s v="26"/>
    <m/>
    <n v="26"/>
    <s v="   "/>
    <n v="0.318"/>
  </r>
  <r>
    <x v="57"/>
    <s v="Warden School District"/>
    <s v="Personnel"/>
    <s v="E "/>
    <x v="0"/>
    <x v="15"/>
    <s v="PSES Elem Prog01Duty42 S275"/>
    <x v="0"/>
    <s v="42"/>
    <n v="42"/>
    <m/>
    <s v="   "/>
    <n v="0.65"/>
  </r>
  <r>
    <x v="57"/>
    <s v="Warden School District"/>
    <s v="Personnel"/>
    <s v="H "/>
    <x v="1"/>
    <x v="16"/>
    <s v="PSES High Prog01Duty42 S275"/>
    <x v="0"/>
    <s v="42"/>
    <n v="42"/>
    <m/>
    <s v="   "/>
    <n v="0.5"/>
  </r>
  <r>
    <x v="57"/>
    <s v="Warden School District"/>
    <s v="Personnel"/>
    <s v="M "/>
    <x v="2"/>
    <x v="17"/>
    <s v="PSES Mid Prog01Duty42 S275"/>
    <x v="0"/>
    <s v="42"/>
    <n v="42"/>
    <m/>
    <s v="   "/>
    <n v="0.86"/>
  </r>
  <r>
    <x v="57"/>
    <s v="Warden School District"/>
    <s v="Personnel"/>
    <s v="E "/>
    <x v="0"/>
    <x v="20"/>
    <s v="PSES Elem Prog21Duty45 S275"/>
    <x v="1"/>
    <s v="45"/>
    <n v="45"/>
    <m/>
    <s v="   "/>
    <n v="0.44"/>
  </r>
  <r>
    <x v="57"/>
    <s v="Warden School District"/>
    <s v="Personnel"/>
    <s v="H "/>
    <x v="1"/>
    <x v="21"/>
    <s v="PSES High Prog21Duty45 S275"/>
    <x v="1"/>
    <s v="45"/>
    <n v="45"/>
    <m/>
    <s v="   "/>
    <n v="0.3"/>
  </r>
  <r>
    <x v="57"/>
    <s v="Warden School District"/>
    <s v="Personnel"/>
    <s v="M "/>
    <x v="2"/>
    <x v="28"/>
    <s v="PSES Mid Prog21Duty45 S275"/>
    <x v="1"/>
    <s v="45"/>
    <n v="45"/>
    <m/>
    <s v="   "/>
    <n v="0.26"/>
  </r>
  <r>
    <x v="57"/>
    <s v="Warden School District"/>
    <s v="Personnel"/>
    <s v="E "/>
    <x v="0"/>
    <x v="22"/>
    <s v="PSES Elem Prog21Duty46 S275"/>
    <x v="1"/>
    <s v="46"/>
    <n v="46"/>
    <m/>
    <s v="   "/>
    <n v="0.44"/>
  </r>
  <r>
    <x v="57"/>
    <s v="Warden School District"/>
    <s v="Personnel"/>
    <s v="H "/>
    <x v="1"/>
    <x v="23"/>
    <s v="PSES High Prog21Duty46 S275"/>
    <x v="1"/>
    <s v="46"/>
    <n v="46"/>
    <m/>
    <s v="   "/>
    <n v="0.3"/>
  </r>
  <r>
    <x v="57"/>
    <s v="Warden School District"/>
    <s v="Personnel"/>
    <s v="M "/>
    <x v="2"/>
    <x v="24"/>
    <s v="PSES Mid Prog21Duty46 S275"/>
    <x v="1"/>
    <s v="46"/>
    <n v="46"/>
    <m/>
    <s v="   "/>
    <n v="0.26"/>
  </r>
  <r>
    <x v="58"/>
    <s v="Coulee-Hartline School District"/>
    <s v="Personnel"/>
    <s v="E "/>
    <x v="0"/>
    <x v="15"/>
    <s v="PSES Elem Prog01Duty42 S275"/>
    <x v="0"/>
    <s v="42"/>
    <n v="42"/>
    <m/>
    <s v="   "/>
    <n v="0.14000000000000001"/>
  </r>
  <r>
    <x v="58"/>
    <s v="Coulee-Hartline School District"/>
    <s v="Personnel"/>
    <s v="H "/>
    <x v="1"/>
    <x v="16"/>
    <s v="PSES High Prog01Duty42 S275"/>
    <x v="0"/>
    <s v="42"/>
    <n v="42"/>
    <m/>
    <s v="   "/>
    <n v="0.57999999999999996"/>
  </r>
  <r>
    <x v="59"/>
    <s v="Soap Lake School District"/>
    <s v="Personnel"/>
    <s v="E "/>
    <x v="0"/>
    <x v="8"/>
    <s v="PSES Elem Prog01Act26 S275"/>
    <x v="0"/>
    <s v="26"/>
    <m/>
    <n v="26"/>
    <s v="   "/>
    <n v="0.20200000000000001"/>
  </r>
  <r>
    <x v="59"/>
    <s v="Soap Lake School District"/>
    <s v="Personnel"/>
    <s v="H "/>
    <x v="1"/>
    <x v="29"/>
    <s v="PSES High Prog21Act26 S275"/>
    <x v="1"/>
    <s v="26"/>
    <m/>
    <n v="26"/>
    <s v="   "/>
    <n v="0.63900000000000001"/>
  </r>
  <r>
    <x v="59"/>
    <s v="Soap Lake School District"/>
    <s v="Personnel"/>
    <s v="H "/>
    <x v="1"/>
    <x v="9"/>
    <s v="PSES High Prog01Act26 S275"/>
    <x v="0"/>
    <s v="26"/>
    <m/>
    <n v="26"/>
    <s v="   "/>
    <n v="0.253"/>
  </r>
  <r>
    <x v="59"/>
    <s v="Soap Lake School District"/>
    <s v="Personnel"/>
    <s v="M "/>
    <x v="2"/>
    <x v="11"/>
    <s v="PSES Mid Prog01Act26 S275"/>
    <x v="0"/>
    <s v="26"/>
    <m/>
    <n v="26"/>
    <s v="   "/>
    <n v="0.152"/>
  </r>
  <r>
    <x v="59"/>
    <s v="Soap Lake School District"/>
    <s v="Personnel"/>
    <s v="H "/>
    <x v="1"/>
    <x v="16"/>
    <s v="PSES High Prog01Duty42 S275"/>
    <x v="0"/>
    <s v="42"/>
    <n v="42"/>
    <m/>
    <s v="   "/>
    <n v="0.75"/>
  </r>
  <r>
    <x v="59"/>
    <s v="Soap Lake School District"/>
    <s v="Personnel"/>
    <s v="M "/>
    <x v="2"/>
    <x v="17"/>
    <s v="PSES Mid Prog01Duty42 S275"/>
    <x v="0"/>
    <s v="42"/>
    <n v="42"/>
    <m/>
    <s v="   "/>
    <n v="0.25"/>
  </r>
  <r>
    <x v="60"/>
    <s v="Royal School District"/>
    <s v="Personnel"/>
    <s v="H "/>
    <x v="1"/>
    <x v="9"/>
    <s v="PSES High Prog01Act26 S275"/>
    <x v="0"/>
    <s v="26"/>
    <m/>
    <n v="26"/>
    <s v="   "/>
    <n v="0.98699999999999999"/>
  </r>
  <r>
    <x v="60"/>
    <s v="Royal School District"/>
    <s v="Personnel"/>
    <s v="E "/>
    <x v="0"/>
    <x v="15"/>
    <s v="PSES Elem Prog01Duty42 S275"/>
    <x v="0"/>
    <s v="42"/>
    <n v="42"/>
    <m/>
    <s v="   "/>
    <n v="0.9"/>
  </r>
  <r>
    <x v="60"/>
    <s v="Royal School District"/>
    <s v="Personnel"/>
    <s v="H "/>
    <x v="1"/>
    <x v="16"/>
    <s v="PSES High Prog01Duty42 S275"/>
    <x v="0"/>
    <s v="42"/>
    <n v="42"/>
    <m/>
    <s v="   "/>
    <n v="1.2"/>
  </r>
  <r>
    <x v="60"/>
    <s v="Royal School District"/>
    <s v="Personnel"/>
    <s v="M "/>
    <x v="2"/>
    <x v="17"/>
    <s v="PSES Mid Prog01Duty42 S275"/>
    <x v="0"/>
    <s v="42"/>
    <n v="42"/>
    <m/>
    <s v="   "/>
    <n v="0.93"/>
  </r>
  <r>
    <x v="60"/>
    <s v="Royal School District"/>
    <s v="Personnel"/>
    <s v="E "/>
    <x v="0"/>
    <x v="22"/>
    <s v="PSES Elem Prog21Duty46 S275"/>
    <x v="1"/>
    <s v="46"/>
    <n v="46"/>
    <m/>
    <s v="   "/>
    <n v="1.0780000000000001"/>
  </r>
  <r>
    <x v="60"/>
    <s v="Royal School District"/>
    <s v="Personnel"/>
    <s v="H "/>
    <x v="1"/>
    <x v="23"/>
    <s v="PSES High Prog21Duty46 S275"/>
    <x v="1"/>
    <s v="46"/>
    <n v="46"/>
    <m/>
    <s v="   "/>
    <n v="0.61399999999999999"/>
  </r>
  <r>
    <x v="60"/>
    <s v="Royal School District"/>
    <s v="Personnel"/>
    <s v="M "/>
    <x v="2"/>
    <x v="24"/>
    <s v="PSES Mid Prog21Duty46 S275"/>
    <x v="1"/>
    <s v="46"/>
    <n v="46"/>
    <m/>
    <s v="   "/>
    <n v="0.308"/>
  </r>
  <r>
    <x v="60"/>
    <s v="Royal School District"/>
    <s v="Personnel"/>
    <s v="E "/>
    <x v="0"/>
    <x v="27"/>
    <s v="PSES Elem Prog01Duty47 S275"/>
    <x v="0"/>
    <s v="47"/>
    <n v="47"/>
    <m/>
    <s v="   "/>
    <n v="0.497"/>
  </r>
  <r>
    <x v="60"/>
    <s v="Royal School District"/>
    <s v="Personnel"/>
    <s v="H "/>
    <x v="1"/>
    <x v="25"/>
    <s v="PSES High Prog01Duty47 S275"/>
    <x v="0"/>
    <s v="47"/>
    <n v="47"/>
    <m/>
    <s v="   "/>
    <n v="0.36"/>
  </r>
  <r>
    <x v="60"/>
    <s v="Royal School District"/>
    <s v="Personnel"/>
    <s v="M "/>
    <x v="2"/>
    <x v="34"/>
    <s v="PSES Mid Prog01Duty47 S275"/>
    <x v="0"/>
    <s v="47"/>
    <n v="47"/>
    <m/>
    <s v="   "/>
    <n v="0.14299999999999999"/>
  </r>
  <r>
    <x v="60"/>
    <s v="Royal School District"/>
    <s v="Personnel"/>
    <s v="T"/>
    <x v="0"/>
    <x v="70"/>
    <s v="PSES Elem Prog09Duty442S275"/>
    <x v="3"/>
    <s v="42"/>
    <n v="42"/>
    <n v="24"/>
    <s v="   "/>
    <n v="0.1"/>
  </r>
  <r>
    <x v="61"/>
    <s v="Moses Lake School District"/>
    <s v="Personnel"/>
    <s v="H "/>
    <x v="1"/>
    <x v="4"/>
    <s v="PSES High Prog21Act25 S275"/>
    <x v="1"/>
    <s v="25"/>
    <m/>
    <n v="25"/>
    <s v="   "/>
    <n v="6.4669999999999996"/>
  </r>
  <r>
    <x v="61"/>
    <s v="Moses Lake School District"/>
    <s v="Personnel"/>
    <s v="H "/>
    <x v="1"/>
    <x v="5"/>
    <s v="PSES High Prog01Act25 S275"/>
    <x v="0"/>
    <s v="25"/>
    <m/>
    <n v="25"/>
    <s v="   "/>
    <n v="5.3239999999999998"/>
  </r>
  <r>
    <x v="61"/>
    <s v="Moses Lake School District"/>
    <s v="Personnel"/>
    <s v="H "/>
    <x v="1"/>
    <x v="29"/>
    <s v="PSES High Prog21Act26 S275"/>
    <x v="1"/>
    <s v="26"/>
    <m/>
    <n v="26"/>
    <s v="   "/>
    <n v="3.3929999999999998"/>
  </r>
  <r>
    <x v="61"/>
    <s v="Moses Lake School District"/>
    <s v="Personnel"/>
    <s v="H "/>
    <x v="1"/>
    <x v="9"/>
    <s v="PSES High Prog01Act26 S275"/>
    <x v="0"/>
    <s v="26"/>
    <m/>
    <n v="26"/>
    <s v="   "/>
    <n v="8.1969999999999992"/>
  </r>
  <r>
    <x v="61"/>
    <s v="Moses Lake School District"/>
    <s v="Personnel"/>
    <s v="E "/>
    <x v="0"/>
    <x v="15"/>
    <s v="PSES Elem Prog01Duty42 S275"/>
    <x v="0"/>
    <s v="42"/>
    <n v="42"/>
    <m/>
    <s v="   "/>
    <n v="6.4889999999999999"/>
  </r>
  <r>
    <x v="61"/>
    <s v="Moses Lake School District"/>
    <s v="Personnel"/>
    <s v="H "/>
    <x v="1"/>
    <x v="16"/>
    <s v="PSES High Prog01Duty42 S275"/>
    <x v="0"/>
    <s v="42"/>
    <n v="42"/>
    <m/>
    <s v="   "/>
    <n v="7.4089999999999998"/>
  </r>
  <r>
    <x v="61"/>
    <s v="Moses Lake School District"/>
    <s v="Personnel"/>
    <s v="M "/>
    <x v="2"/>
    <x v="17"/>
    <s v="PSES Mid Prog01Duty42 S275"/>
    <x v="0"/>
    <s v="42"/>
    <n v="42"/>
    <m/>
    <s v="   "/>
    <n v="3.9860000000000002"/>
  </r>
  <r>
    <x v="61"/>
    <s v="Moses Lake School District"/>
    <s v="Personnel"/>
    <s v="E "/>
    <x v="0"/>
    <x v="18"/>
    <s v="PSES Elem Prog21Duty43 S275"/>
    <x v="1"/>
    <s v="43"/>
    <n v="43"/>
    <m/>
    <s v="   "/>
    <n v="4"/>
  </r>
  <r>
    <x v="61"/>
    <s v="Moses Lake School District"/>
    <s v="Personnel"/>
    <s v="E "/>
    <x v="0"/>
    <x v="42"/>
    <s v="PSES Elem Prog01Duty44 S275"/>
    <x v="0"/>
    <s v="44"/>
    <n v="44"/>
    <m/>
    <s v="   "/>
    <n v="4.8"/>
  </r>
  <r>
    <x v="61"/>
    <s v="Moses Lake School District"/>
    <s v="Personnel"/>
    <s v="M "/>
    <x v="2"/>
    <x v="46"/>
    <s v="PSES Mid Prog01Duty44 S275"/>
    <x v="0"/>
    <s v="44"/>
    <n v="44"/>
    <m/>
    <s v="   "/>
    <n v="1"/>
  </r>
  <r>
    <x v="61"/>
    <s v="Moses Lake School District"/>
    <s v="Personnel"/>
    <s v="E "/>
    <x v="0"/>
    <x v="20"/>
    <s v="PSES Elem Prog21Duty45 S275"/>
    <x v="1"/>
    <s v="45"/>
    <n v="45"/>
    <m/>
    <s v="   "/>
    <n v="11.5"/>
  </r>
  <r>
    <x v="61"/>
    <s v="Moses Lake School District"/>
    <s v="Personnel"/>
    <s v="H "/>
    <x v="1"/>
    <x v="21"/>
    <s v="PSES High Prog21Duty45 S275"/>
    <x v="1"/>
    <s v="45"/>
    <n v="45"/>
    <m/>
    <s v="   "/>
    <n v="0.91"/>
  </r>
  <r>
    <x v="61"/>
    <s v="Moses Lake School District"/>
    <s v="Personnel"/>
    <s v="M "/>
    <x v="2"/>
    <x v="28"/>
    <s v="PSES Mid Prog21Duty45 S275"/>
    <x v="1"/>
    <s v="45"/>
    <n v="45"/>
    <m/>
    <s v="   "/>
    <n v="0.41"/>
  </r>
  <r>
    <x v="61"/>
    <s v="Moses Lake School District"/>
    <s v="Personnel"/>
    <s v="E "/>
    <x v="0"/>
    <x v="22"/>
    <s v="PSES Elem Prog21Duty46 S275"/>
    <x v="1"/>
    <s v="46"/>
    <n v="46"/>
    <m/>
    <s v="   "/>
    <n v="6.4180000000000001"/>
  </r>
  <r>
    <x v="61"/>
    <s v="Moses Lake School District"/>
    <s v="Personnel"/>
    <s v="E "/>
    <x v="0"/>
    <x v="32"/>
    <s v="PSES Elem Prog21Duty47 S275"/>
    <x v="1"/>
    <s v="47"/>
    <n v="47"/>
    <m/>
    <s v="   "/>
    <n v="3.5"/>
  </r>
  <r>
    <x v="61"/>
    <s v="Moses Lake School District"/>
    <s v="Personnel"/>
    <s v="E "/>
    <x v="0"/>
    <x v="27"/>
    <s v="PSES Elem Prog01Duty47 S275"/>
    <x v="0"/>
    <s v="47"/>
    <n v="47"/>
    <m/>
    <s v="   "/>
    <n v="3.5"/>
  </r>
  <r>
    <x v="61"/>
    <s v="Moses Lake School District"/>
    <s v="Personnel"/>
    <s v="E "/>
    <x v="0"/>
    <x v="35"/>
    <s v="PSES Elem Prog21Duty48 S275"/>
    <x v="1"/>
    <s v="48"/>
    <n v="48"/>
    <m/>
    <s v="   "/>
    <n v="2"/>
  </r>
  <r>
    <x v="61"/>
    <s v="Moses Lake School District"/>
    <s v="Personnel"/>
    <s v="E "/>
    <x v="0"/>
    <x v="26"/>
    <s v="PSES Elem Prog21Duty49 S275"/>
    <x v="1"/>
    <s v="49"/>
    <n v="49"/>
    <m/>
    <s v="   "/>
    <n v="0.46"/>
  </r>
  <r>
    <x v="61"/>
    <s v="Moses Lake School District"/>
    <s v="Personnel"/>
    <s v="H "/>
    <x v="1"/>
    <x v="55"/>
    <s v="PSES High Prog21Duty49 S275"/>
    <x v="1"/>
    <s v="49"/>
    <n v="49"/>
    <m/>
    <s v="   "/>
    <n v="0.29499999999999998"/>
  </r>
  <r>
    <x v="61"/>
    <s v="Moses Lake School District"/>
    <s v="Personnel"/>
    <s v="M "/>
    <x v="2"/>
    <x v="50"/>
    <s v="PSES Mid Prog21Duty49 S275"/>
    <x v="1"/>
    <s v="49"/>
    <n v="49"/>
    <m/>
    <s v="   "/>
    <n v="0.16500000000000001"/>
  </r>
  <r>
    <x v="62"/>
    <s v="Ephrata School District"/>
    <s v="Personnel"/>
    <s v="H "/>
    <x v="1"/>
    <x v="4"/>
    <s v="PSES High Prog21Act25 S275"/>
    <x v="1"/>
    <s v="25"/>
    <m/>
    <n v="25"/>
    <s v="   "/>
    <n v="0.83099999999999996"/>
  </r>
  <r>
    <x v="62"/>
    <s v="Ephrata School District"/>
    <s v="Personnel"/>
    <s v="H "/>
    <x v="1"/>
    <x v="5"/>
    <s v="PSES High Prog01Act25 S275"/>
    <x v="0"/>
    <s v="25"/>
    <m/>
    <n v="25"/>
    <s v="   "/>
    <n v="4.8869999999999996"/>
  </r>
  <r>
    <x v="62"/>
    <s v="Ephrata School District"/>
    <s v="Personnel"/>
    <s v="M "/>
    <x v="2"/>
    <x v="6"/>
    <s v="PSES Mid Prog01Act25 S275"/>
    <x v="0"/>
    <s v="25"/>
    <m/>
    <n v="25"/>
    <s v="   "/>
    <n v="1.4E-2"/>
  </r>
  <r>
    <x v="62"/>
    <s v="Ephrata School District"/>
    <s v="Personnel"/>
    <s v="H "/>
    <x v="1"/>
    <x v="29"/>
    <s v="PSES High Prog21Act26 S275"/>
    <x v="1"/>
    <s v="26"/>
    <m/>
    <n v="26"/>
    <s v="   "/>
    <n v="0.12"/>
  </r>
  <r>
    <x v="62"/>
    <s v="Ephrata School District"/>
    <s v="Personnel"/>
    <s v="H "/>
    <x v="1"/>
    <x v="9"/>
    <s v="PSES High Prog01Act26 S275"/>
    <x v="0"/>
    <s v="26"/>
    <m/>
    <n v="26"/>
    <s v="   "/>
    <n v="1.08"/>
  </r>
  <r>
    <x v="62"/>
    <s v="Ephrata School District"/>
    <s v="Personnel"/>
    <s v="H "/>
    <x v="1"/>
    <x v="12"/>
    <s v="PSES High Prog97Act35 S275"/>
    <x v="2"/>
    <s v="35"/>
    <m/>
    <n v="35"/>
    <s v="   "/>
    <n v="1.4750000000000001"/>
  </r>
  <r>
    <x v="62"/>
    <s v="Ephrata School District"/>
    <s v="Personnel"/>
    <s v="E "/>
    <x v="0"/>
    <x v="15"/>
    <s v="PSES Elem Prog01Duty42 S275"/>
    <x v="0"/>
    <s v="42"/>
    <n v="42"/>
    <m/>
    <s v="   "/>
    <n v="3"/>
  </r>
  <r>
    <x v="62"/>
    <s v="Ephrata School District"/>
    <s v="Personnel"/>
    <s v="H "/>
    <x v="1"/>
    <x v="16"/>
    <s v="PSES High Prog01Duty42 S275"/>
    <x v="0"/>
    <s v="42"/>
    <n v="42"/>
    <m/>
    <s v="   "/>
    <n v="2"/>
  </r>
  <r>
    <x v="62"/>
    <s v="Ephrata School District"/>
    <s v="Personnel"/>
    <s v="M "/>
    <x v="2"/>
    <x v="17"/>
    <s v="PSES Mid Prog01Duty42 S275"/>
    <x v="0"/>
    <s v="42"/>
    <n v="42"/>
    <m/>
    <s v="   "/>
    <n v="1"/>
  </r>
  <r>
    <x v="62"/>
    <s v="Ephrata School District"/>
    <s v="Personnel"/>
    <s v="E "/>
    <x v="0"/>
    <x v="20"/>
    <s v="PSES Elem Prog21Duty45 S275"/>
    <x v="1"/>
    <s v="45"/>
    <n v="45"/>
    <m/>
    <s v="   "/>
    <n v="1.5249999999999999"/>
  </r>
  <r>
    <x v="62"/>
    <s v="Ephrata School District"/>
    <s v="Personnel"/>
    <s v="H "/>
    <x v="1"/>
    <x v="21"/>
    <s v="PSES High Prog21Duty45 S275"/>
    <x v="1"/>
    <s v="45"/>
    <n v="45"/>
    <m/>
    <s v="   "/>
    <n v="0.86899999999999999"/>
  </r>
  <r>
    <x v="62"/>
    <s v="Ephrata School District"/>
    <s v="Personnel"/>
    <s v="M "/>
    <x v="2"/>
    <x v="28"/>
    <s v="PSES Mid Prog21Duty45 S275"/>
    <x v="1"/>
    <s v="45"/>
    <n v="45"/>
    <m/>
    <s v="   "/>
    <n v="0.436"/>
  </r>
  <r>
    <x v="62"/>
    <s v="Ephrata School District"/>
    <s v="Personnel"/>
    <s v="E "/>
    <x v="0"/>
    <x v="22"/>
    <s v="PSES Elem Prog21Duty46 S275"/>
    <x v="1"/>
    <s v="46"/>
    <n v="46"/>
    <m/>
    <s v="   "/>
    <n v="1.3340000000000001"/>
  </r>
  <r>
    <x v="62"/>
    <s v="Ephrata School District"/>
    <s v="Personnel"/>
    <s v="E "/>
    <x v="0"/>
    <x v="48"/>
    <s v="PSES Elem Prog01Duty46 S275"/>
    <x v="0"/>
    <s v="46"/>
    <n v="46"/>
    <m/>
    <s v="   "/>
    <n v="0.14899999999999999"/>
  </r>
  <r>
    <x v="62"/>
    <s v="Ephrata School District"/>
    <s v="Personnel"/>
    <s v="H "/>
    <x v="1"/>
    <x v="23"/>
    <s v="PSES High Prog21Duty46 S275"/>
    <x v="1"/>
    <s v="46"/>
    <n v="46"/>
    <m/>
    <s v="   "/>
    <n v="0.76200000000000001"/>
  </r>
  <r>
    <x v="62"/>
    <s v="Ephrata School District"/>
    <s v="Personnel"/>
    <s v="H "/>
    <x v="1"/>
    <x v="65"/>
    <s v="PSES High Prog01Duty46 S275"/>
    <x v="0"/>
    <s v="46"/>
    <n v="46"/>
    <m/>
    <s v="   "/>
    <n v="8.5000000000000006E-2"/>
  </r>
  <r>
    <x v="62"/>
    <s v="Ephrata School District"/>
    <s v="Personnel"/>
    <s v="M "/>
    <x v="2"/>
    <x v="24"/>
    <s v="PSES Mid Prog21Duty46 S275"/>
    <x v="1"/>
    <s v="46"/>
    <n v="46"/>
    <m/>
    <s v="   "/>
    <n v="0.38"/>
  </r>
  <r>
    <x v="62"/>
    <s v="Ephrata School District"/>
    <s v="Personnel"/>
    <s v="M "/>
    <x v="2"/>
    <x v="49"/>
    <s v="PSES Mid Prog01Duty46 S275"/>
    <x v="0"/>
    <s v="46"/>
    <n v="46"/>
    <m/>
    <s v="   "/>
    <n v="4.1000000000000002E-2"/>
  </r>
  <r>
    <x v="62"/>
    <s v="Ephrata School District"/>
    <s v="Personnel"/>
    <s v="E "/>
    <x v="0"/>
    <x v="27"/>
    <s v="PSES Elem Prog01Duty47 S275"/>
    <x v="0"/>
    <s v="47"/>
    <n v="47"/>
    <m/>
    <s v="   "/>
    <n v="1.5"/>
  </r>
  <r>
    <x v="62"/>
    <s v="Ephrata School District"/>
    <s v="Personnel"/>
    <s v="H "/>
    <x v="1"/>
    <x v="25"/>
    <s v="PSES High Prog01Duty47 S275"/>
    <x v="0"/>
    <s v="47"/>
    <n v="47"/>
    <m/>
    <s v="   "/>
    <n v="0.61899999999999999"/>
  </r>
  <r>
    <x v="62"/>
    <s v="Ephrata School District"/>
    <s v="Personnel"/>
    <s v="M "/>
    <x v="2"/>
    <x v="34"/>
    <s v="PSES Mid Prog01Duty47 S275"/>
    <x v="0"/>
    <s v="47"/>
    <n v="47"/>
    <m/>
    <s v="   "/>
    <n v="0.5"/>
  </r>
  <r>
    <x v="63"/>
    <s v="Wilson Creek School District"/>
    <s v="Personnel"/>
    <s v="E "/>
    <x v="0"/>
    <x v="8"/>
    <s v="PSES Elem Prog01Act26 S275"/>
    <x v="0"/>
    <s v="26"/>
    <m/>
    <n v="26"/>
    <s v="   "/>
    <n v="0.29199999999999998"/>
  </r>
  <r>
    <x v="63"/>
    <s v="Wilson Creek School District"/>
    <s v="Personnel"/>
    <s v="H "/>
    <x v="1"/>
    <x v="9"/>
    <s v="PSES High Prog01Act26 S275"/>
    <x v="0"/>
    <s v="26"/>
    <m/>
    <n v="26"/>
    <s v="   "/>
    <n v="0.29199999999999998"/>
  </r>
  <r>
    <x v="64"/>
    <s v="Grand Coulee Dam School District"/>
    <s v="Personnel"/>
    <s v="H "/>
    <x v="1"/>
    <x v="5"/>
    <s v="PSES High Prog01Act25 S275"/>
    <x v="0"/>
    <s v="25"/>
    <m/>
    <n v="25"/>
    <s v="   "/>
    <n v="0.61599999999999999"/>
  </r>
  <r>
    <x v="64"/>
    <s v="Grand Coulee Dam School District"/>
    <s v="Personnel"/>
    <s v="H "/>
    <x v="1"/>
    <x v="9"/>
    <s v="PSES High Prog01Act26 S275"/>
    <x v="0"/>
    <s v="26"/>
    <m/>
    <n v="26"/>
    <s v="   "/>
    <n v="1.5820000000000001"/>
  </r>
  <r>
    <x v="64"/>
    <s v="Grand Coulee Dam School District"/>
    <s v="Personnel"/>
    <s v="H "/>
    <x v="1"/>
    <x v="16"/>
    <s v="PSES High Prog01Duty42 S275"/>
    <x v="0"/>
    <s v="42"/>
    <n v="42"/>
    <m/>
    <s v="   "/>
    <n v="1"/>
  </r>
  <r>
    <x v="65"/>
    <s v="Aberdeen School District"/>
    <s v="Personnel"/>
    <s v="E "/>
    <x v="0"/>
    <x v="0"/>
    <s v="PSES Elem Prog01Duty96 S275"/>
    <x v="0"/>
    <s v="24"/>
    <n v="96"/>
    <n v="24"/>
    <s v="   "/>
    <n v="0.499"/>
  </r>
  <r>
    <x v="65"/>
    <s v="Aberdeen School District"/>
    <s v="Personnel"/>
    <s v="H "/>
    <x v="1"/>
    <x v="29"/>
    <s v="PSES High Prog21Act26 S275"/>
    <x v="1"/>
    <s v="26"/>
    <m/>
    <n v="26"/>
    <s v="   "/>
    <n v="3.6259999999999999"/>
  </r>
  <r>
    <x v="65"/>
    <s v="Aberdeen School District"/>
    <s v="Personnel"/>
    <s v="H "/>
    <x v="1"/>
    <x v="9"/>
    <s v="PSES High Prog01Act26 S275"/>
    <x v="0"/>
    <s v="26"/>
    <m/>
    <n v="26"/>
    <s v="   "/>
    <n v="2.57"/>
  </r>
  <r>
    <x v="65"/>
    <s v="Aberdeen School District"/>
    <s v="Personnel"/>
    <s v="E "/>
    <x v="0"/>
    <x v="15"/>
    <s v="PSES Elem Prog01Duty42 S275"/>
    <x v="0"/>
    <s v="42"/>
    <n v="42"/>
    <m/>
    <s v="   "/>
    <n v="3.25"/>
  </r>
  <r>
    <x v="65"/>
    <s v="Aberdeen School District"/>
    <s v="Personnel"/>
    <s v="H "/>
    <x v="1"/>
    <x v="16"/>
    <s v="PSES High Prog01Duty42 S275"/>
    <x v="0"/>
    <s v="42"/>
    <n v="42"/>
    <m/>
    <s v="   "/>
    <n v="3.294"/>
  </r>
  <r>
    <x v="65"/>
    <s v="Aberdeen School District"/>
    <s v="Personnel"/>
    <s v="M "/>
    <x v="2"/>
    <x v="17"/>
    <s v="PSES Mid Prog01Duty42 S275"/>
    <x v="0"/>
    <s v="42"/>
    <n v="42"/>
    <m/>
    <s v="   "/>
    <n v="2.2000000000000002"/>
  </r>
  <r>
    <x v="65"/>
    <s v="Aberdeen School District"/>
    <s v="Personnel"/>
    <s v="E "/>
    <x v="0"/>
    <x v="20"/>
    <s v="PSES Elem Prog21Duty45 S275"/>
    <x v="1"/>
    <s v="45"/>
    <n v="45"/>
    <m/>
    <s v="   "/>
    <n v="0.436"/>
  </r>
  <r>
    <x v="65"/>
    <s v="Aberdeen School District"/>
    <s v="Personnel"/>
    <s v="H "/>
    <x v="1"/>
    <x v="23"/>
    <s v="PSES High Prog21Duty46 S275"/>
    <x v="1"/>
    <s v="46"/>
    <n v="46"/>
    <m/>
    <s v="   "/>
    <n v="0.15"/>
  </r>
  <r>
    <x v="65"/>
    <s v="Aberdeen School District"/>
    <s v="Personnel"/>
    <s v="E "/>
    <x v="0"/>
    <x v="38"/>
    <s v="PSES Elem Prog21Duty64 S275"/>
    <x v="1"/>
    <s v="64"/>
    <n v="64"/>
    <m/>
    <s v="   "/>
    <n v="12"/>
  </r>
  <r>
    <x v="66"/>
    <s v="Hoquiam School District"/>
    <s v="Personnel"/>
    <s v="E "/>
    <x v="0"/>
    <x v="8"/>
    <s v="PSES Elem Prog01Act26 S275"/>
    <x v="0"/>
    <s v="26"/>
    <m/>
    <n v="26"/>
    <s v="   "/>
    <n v="1.2769999999999999"/>
  </r>
  <r>
    <x v="66"/>
    <s v="Hoquiam School District"/>
    <s v="Personnel"/>
    <s v="H "/>
    <x v="1"/>
    <x v="29"/>
    <s v="PSES High Prog21Act26 S275"/>
    <x v="1"/>
    <s v="26"/>
    <m/>
    <n v="26"/>
    <s v="   "/>
    <n v="0.57499999999999996"/>
  </r>
  <r>
    <x v="66"/>
    <s v="Hoquiam School District"/>
    <s v="Personnel"/>
    <s v="H "/>
    <x v="1"/>
    <x v="9"/>
    <s v="PSES High Prog01Act26 S275"/>
    <x v="0"/>
    <s v="26"/>
    <m/>
    <n v="26"/>
    <s v="   "/>
    <n v="0.19"/>
  </r>
  <r>
    <x v="66"/>
    <s v="Hoquiam School District"/>
    <s v="Personnel"/>
    <s v="M "/>
    <x v="2"/>
    <x v="11"/>
    <s v="PSES Mid Prog01Act26 S275"/>
    <x v="0"/>
    <s v="26"/>
    <m/>
    <n v="26"/>
    <s v="   "/>
    <n v="0.127"/>
  </r>
  <r>
    <x v="66"/>
    <s v="Hoquiam School District"/>
    <s v="Personnel"/>
    <s v="E "/>
    <x v="0"/>
    <x v="15"/>
    <s v="PSES Elem Prog01Duty42 S275"/>
    <x v="0"/>
    <s v="42"/>
    <n v="42"/>
    <m/>
    <s v="   "/>
    <n v="1.7989999999999999"/>
  </r>
  <r>
    <x v="66"/>
    <s v="Hoquiam School District"/>
    <s v="Personnel"/>
    <s v="H "/>
    <x v="1"/>
    <x v="16"/>
    <s v="PSES High Prog01Duty42 S275"/>
    <x v="0"/>
    <s v="42"/>
    <n v="42"/>
    <m/>
    <s v="   "/>
    <n v="1.8"/>
  </r>
  <r>
    <x v="66"/>
    <s v="Hoquiam School District"/>
    <s v="Personnel"/>
    <s v="M "/>
    <x v="2"/>
    <x v="17"/>
    <s v="PSES Mid Prog01Duty42 S275"/>
    <x v="0"/>
    <s v="42"/>
    <n v="42"/>
    <m/>
    <s v="   "/>
    <n v="1"/>
  </r>
  <r>
    <x v="66"/>
    <s v="Hoquiam School District"/>
    <s v="Personnel"/>
    <s v="E "/>
    <x v="0"/>
    <x v="22"/>
    <s v="PSES Elem Prog21Duty46 S275"/>
    <x v="1"/>
    <s v="46"/>
    <n v="46"/>
    <m/>
    <s v="   "/>
    <n v="1"/>
  </r>
  <r>
    <x v="66"/>
    <s v="Hoquiam School District"/>
    <s v="Personnel"/>
    <s v="H "/>
    <x v="1"/>
    <x v="23"/>
    <s v="PSES High Prog21Duty46 S275"/>
    <x v="1"/>
    <s v="46"/>
    <n v="46"/>
    <m/>
    <s v="   "/>
    <n v="0.4"/>
  </r>
  <r>
    <x v="66"/>
    <s v="Hoquiam School District"/>
    <s v="Personnel"/>
    <s v="M "/>
    <x v="2"/>
    <x v="24"/>
    <s v="PSES Mid Prog21Duty46 S275"/>
    <x v="1"/>
    <s v="46"/>
    <n v="46"/>
    <m/>
    <s v="   "/>
    <n v="0.6"/>
  </r>
  <r>
    <x v="66"/>
    <s v="Hoquiam School District"/>
    <s v="Personnel"/>
    <s v="E "/>
    <x v="0"/>
    <x v="27"/>
    <s v="PSES Elem Prog01Duty47 S275"/>
    <x v="0"/>
    <s v="47"/>
    <n v="47"/>
    <m/>
    <s v="   "/>
    <n v="1"/>
  </r>
  <r>
    <x v="66"/>
    <s v="Hoquiam School District"/>
    <s v="Personnel"/>
    <s v="E "/>
    <x v="0"/>
    <x v="38"/>
    <s v="PSES Elem Prog21Duty64 S275"/>
    <x v="1"/>
    <s v="64"/>
    <n v="64"/>
    <m/>
    <s v="   "/>
    <n v="5.5389999999999997"/>
  </r>
  <r>
    <x v="66"/>
    <s v="Hoquiam School District"/>
    <s v="Personnel"/>
    <s v="H "/>
    <x v="1"/>
    <x v="59"/>
    <s v="PSES High Prog21Duty64 S275"/>
    <x v="1"/>
    <s v="64"/>
    <n v="64"/>
    <m/>
    <s v="   "/>
    <n v="2.0209999999999999"/>
  </r>
  <r>
    <x v="66"/>
    <s v="Hoquiam School District"/>
    <s v="Personnel"/>
    <s v="M "/>
    <x v="2"/>
    <x v="60"/>
    <s v="PSES Mid Prog21Duty64 S275"/>
    <x v="1"/>
    <s v="64"/>
    <n v="64"/>
    <m/>
    <s v="   "/>
    <n v="1.44"/>
  </r>
  <r>
    <x v="67"/>
    <s v="North Beach School District"/>
    <s v="Personnel"/>
    <s v="H "/>
    <x v="1"/>
    <x v="1"/>
    <s v="PSES High Prog01Duty96 S275"/>
    <x v="0"/>
    <s v="24"/>
    <n v="96"/>
    <n v="24"/>
    <s v="   "/>
    <n v="0.80800000000000005"/>
  </r>
  <r>
    <x v="67"/>
    <s v="North Beach School District"/>
    <s v="Personnel"/>
    <s v="E "/>
    <x v="0"/>
    <x v="15"/>
    <s v="PSES Elem Prog01Duty42 S275"/>
    <x v="0"/>
    <s v="42"/>
    <n v="42"/>
    <m/>
    <s v="   "/>
    <n v="1.1599999999999999"/>
  </r>
  <r>
    <x v="67"/>
    <s v="North Beach School District"/>
    <s v="Personnel"/>
    <s v="H "/>
    <x v="1"/>
    <x v="16"/>
    <s v="PSES High Prog01Duty42 S275"/>
    <x v="0"/>
    <s v="42"/>
    <n v="42"/>
    <m/>
    <s v="   "/>
    <n v="0.46400000000000002"/>
  </r>
  <r>
    <x v="67"/>
    <s v="North Beach School District"/>
    <s v="Personnel"/>
    <s v="E "/>
    <x v="0"/>
    <x v="20"/>
    <s v="PSES Elem Prog21Duty45 S275"/>
    <x v="1"/>
    <s v="45"/>
    <n v="45"/>
    <m/>
    <s v="   "/>
    <n v="0.5"/>
  </r>
  <r>
    <x v="67"/>
    <s v="North Beach School District"/>
    <s v="Personnel"/>
    <s v="H "/>
    <x v="1"/>
    <x v="21"/>
    <s v="PSES High Prog21Duty45 S275"/>
    <x v="1"/>
    <s v="45"/>
    <n v="45"/>
    <m/>
    <s v="   "/>
    <n v="0.25"/>
  </r>
  <r>
    <x v="67"/>
    <s v="North Beach School District"/>
    <s v="Personnel"/>
    <s v="M "/>
    <x v="2"/>
    <x v="28"/>
    <s v="PSES Mid Prog21Duty45 S275"/>
    <x v="1"/>
    <s v="45"/>
    <n v="45"/>
    <m/>
    <s v="   "/>
    <n v="0.25"/>
  </r>
  <r>
    <x v="68"/>
    <s v="McCleary School District"/>
    <s v="Personnel"/>
    <s v="E "/>
    <x v="0"/>
    <x v="3"/>
    <s v="PSES Elem Prog01Act25 S275"/>
    <x v="0"/>
    <s v="25"/>
    <m/>
    <n v="25"/>
    <s v="   "/>
    <n v="0.40699999999999997"/>
  </r>
  <r>
    <x v="68"/>
    <s v="McCleary School District"/>
    <s v="Personnel"/>
    <s v="H "/>
    <x v="1"/>
    <x v="5"/>
    <s v="PSES High Prog01Act25 S275"/>
    <x v="0"/>
    <s v="25"/>
    <m/>
    <n v="25"/>
    <s v="   "/>
    <n v="0.35299999999999998"/>
  </r>
  <r>
    <x v="68"/>
    <s v="McCleary School District"/>
    <s v="Personnel"/>
    <s v="M "/>
    <x v="2"/>
    <x v="6"/>
    <s v="PSES Mid Prog01Act25 S275"/>
    <x v="0"/>
    <s v="25"/>
    <m/>
    <n v="25"/>
    <s v="   "/>
    <n v="6.5000000000000002E-2"/>
  </r>
  <r>
    <x v="68"/>
    <s v="McCleary School District"/>
    <s v="Personnel"/>
    <s v="E "/>
    <x v="0"/>
    <x v="15"/>
    <s v="PSES Elem Prog01Duty42 S275"/>
    <x v="0"/>
    <s v="42"/>
    <n v="42"/>
    <m/>
    <s v="   "/>
    <n v="0.45"/>
  </r>
  <r>
    <x v="68"/>
    <s v="McCleary School District"/>
    <s v="Personnel"/>
    <s v="M "/>
    <x v="2"/>
    <x v="17"/>
    <s v="PSES Mid Prog01Duty42 S275"/>
    <x v="0"/>
    <s v="42"/>
    <n v="42"/>
    <m/>
    <s v="   "/>
    <n v="0.15"/>
  </r>
  <r>
    <x v="69"/>
    <s v="Montesano School District"/>
    <s v="Personnel"/>
    <s v="E "/>
    <x v="0"/>
    <x v="3"/>
    <s v="PSES Elem Prog01Act25 S275"/>
    <x v="0"/>
    <s v="25"/>
    <m/>
    <n v="25"/>
    <s v="   "/>
    <n v="9.4E-2"/>
  </r>
  <r>
    <x v="69"/>
    <s v="Montesano School District"/>
    <s v="Personnel"/>
    <s v="H "/>
    <x v="1"/>
    <x v="4"/>
    <s v="PSES High Prog21Act25 S275"/>
    <x v="1"/>
    <s v="25"/>
    <m/>
    <n v="25"/>
    <s v="   "/>
    <n v="1.4419999999999999"/>
  </r>
  <r>
    <x v="69"/>
    <s v="Montesano School District"/>
    <s v="Personnel"/>
    <s v="H "/>
    <x v="1"/>
    <x v="5"/>
    <s v="PSES High Prog01Act25 S275"/>
    <x v="0"/>
    <s v="25"/>
    <m/>
    <n v="25"/>
    <s v="   "/>
    <n v="2.129"/>
  </r>
  <r>
    <x v="69"/>
    <s v="Montesano School District"/>
    <s v="Personnel"/>
    <s v="H "/>
    <x v="1"/>
    <x v="29"/>
    <s v="PSES High Prog21Act26 S275"/>
    <x v="1"/>
    <s v="26"/>
    <m/>
    <n v="26"/>
    <s v="   "/>
    <n v="0.59399999999999997"/>
  </r>
  <r>
    <x v="69"/>
    <s v="Montesano School District"/>
    <s v="Personnel"/>
    <s v="H "/>
    <x v="1"/>
    <x v="9"/>
    <s v="PSES High Prog01Act26 S275"/>
    <x v="0"/>
    <s v="26"/>
    <m/>
    <n v="26"/>
    <s v="   "/>
    <n v="2.665"/>
  </r>
  <r>
    <x v="69"/>
    <s v="Montesano School District"/>
    <s v="Personnel"/>
    <s v="E "/>
    <x v="0"/>
    <x v="15"/>
    <s v="PSES Elem Prog01Duty42 S275"/>
    <x v="0"/>
    <s v="42"/>
    <n v="42"/>
    <m/>
    <s v="   "/>
    <n v="2"/>
  </r>
  <r>
    <x v="69"/>
    <s v="Montesano School District"/>
    <s v="Personnel"/>
    <s v="M "/>
    <x v="2"/>
    <x v="17"/>
    <s v="PSES Mid Prog01Duty42 S275"/>
    <x v="0"/>
    <s v="42"/>
    <n v="42"/>
    <m/>
    <s v="   "/>
    <n v="1.34"/>
  </r>
  <r>
    <x v="69"/>
    <s v="Montesano School District"/>
    <s v="Personnel"/>
    <s v="E "/>
    <x v="0"/>
    <x v="20"/>
    <s v="PSES Elem Prog21Duty45 S275"/>
    <x v="1"/>
    <s v="45"/>
    <n v="45"/>
    <m/>
    <s v="   "/>
    <n v="1"/>
  </r>
  <r>
    <x v="69"/>
    <s v="Montesano School District"/>
    <s v="Personnel"/>
    <s v="E "/>
    <x v="0"/>
    <x v="22"/>
    <s v="PSES Elem Prog21Duty46 S275"/>
    <x v="1"/>
    <s v="46"/>
    <n v="46"/>
    <m/>
    <s v="   "/>
    <n v="1"/>
  </r>
  <r>
    <x v="69"/>
    <s v="Montesano School District"/>
    <s v="Personnel"/>
    <s v="E "/>
    <x v="0"/>
    <x v="35"/>
    <s v="PSES Elem Prog21Duty48 S275"/>
    <x v="1"/>
    <s v="48"/>
    <n v="48"/>
    <m/>
    <s v="   "/>
    <n v="1"/>
  </r>
  <r>
    <x v="69"/>
    <s v="Montesano School District"/>
    <s v="Personnel"/>
    <m/>
    <x v="0"/>
    <x v="66"/>
    <s v="PSES Elem Prog09Duty25 S275"/>
    <x v="3"/>
    <s v="25"/>
    <n v="91"/>
    <n v="25"/>
    <m/>
    <n v="0.13700000000000001"/>
  </r>
  <r>
    <x v="69"/>
    <s v="Montesano School District"/>
    <s v="Personnel"/>
    <m/>
    <x v="0"/>
    <x v="66"/>
    <s v="PSES Elem Prog09Duty25 S275"/>
    <x v="3"/>
    <s v="25"/>
    <n v="91"/>
    <n v="25"/>
    <m/>
    <n v="0.13700000000000001"/>
  </r>
  <r>
    <x v="69"/>
    <s v="Montesano School District"/>
    <s v="Personnel"/>
    <m/>
    <x v="0"/>
    <x v="66"/>
    <s v="PSES Elem Prog09Duty25 S275"/>
    <x v="3"/>
    <s v="25"/>
    <n v="91"/>
    <n v="25"/>
    <m/>
    <n v="0.13700000000000001"/>
  </r>
  <r>
    <x v="69"/>
    <s v="Montesano School District"/>
    <s v="Personnel"/>
    <m/>
    <x v="0"/>
    <x v="66"/>
    <s v="PSES Elem Prog09Duty25 S275"/>
    <x v="3"/>
    <s v="25"/>
    <n v="91"/>
    <n v="25"/>
    <m/>
    <n v="9.2999999999999999E-2"/>
  </r>
  <r>
    <x v="69"/>
    <s v="Montesano School District"/>
    <s v="Personnel"/>
    <m/>
    <x v="0"/>
    <x v="66"/>
    <s v="PSES Elem Prog09Duty25 S275"/>
    <x v="3"/>
    <s v="25"/>
    <n v="91"/>
    <n v="25"/>
    <m/>
    <n v="0.16"/>
  </r>
  <r>
    <x v="70"/>
    <s v="Elma School District"/>
    <s v="Personnel"/>
    <s v="H "/>
    <x v="1"/>
    <x v="9"/>
    <s v="PSES High Prog01Act26 S275"/>
    <x v="0"/>
    <s v="26"/>
    <m/>
    <n v="26"/>
    <s v="   "/>
    <n v="0.63900000000000001"/>
  </r>
  <r>
    <x v="70"/>
    <s v="Elma School District"/>
    <s v="Personnel"/>
    <s v="M "/>
    <x v="2"/>
    <x v="11"/>
    <s v="PSES Mid Prog01Act26 S275"/>
    <x v="0"/>
    <s v="26"/>
    <m/>
    <n v="26"/>
    <s v="   "/>
    <n v="0.63900000000000001"/>
  </r>
  <r>
    <x v="70"/>
    <s v="Elma School District"/>
    <s v="Personnel"/>
    <s v="E "/>
    <x v="0"/>
    <x v="15"/>
    <s v="PSES Elem Prog01Duty42 S275"/>
    <x v="0"/>
    <s v="42"/>
    <n v="42"/>
    <m/>
    <s v="   "/>
    <n v="1"/>
  </r>
  <r>
    <x v="70"/>
    <s v="Elma School District"/>
    <s v="Personnel"/>
    <s v="H "/>
    <x v="1"/>
    <x v="16"/>
    <s v="PSES High Prog01Duty42 S275"/>
    <x v="0"/>
    <s v="42"/>
    <n v="42"/>
    <m/>
    <s v="   "/>
    <n v="0.78"/>
  </r>
  <r>
    <x v="70"/>
    <s v="Elma School District"/>
    <s v="Personnel"/>
    <s v="M "/>
    <x v="2"/>
    <x v="17"/>
    <s v="PSES Mid Prog01Duty42 S275"/>
    <x v="0"/>
    <s v="42"/>
    <n v="42"/>
    <m/>
    <s v="   "/>
    <n v="0.79"/>
  </r>
  <r>
    <x v="70"/>
    <s v="Elma School District"/>
    <s v="Personnel"/>
    <s v="E "/>
    <x v="0"/>
    <x v="20"/>
    <s v="PSES Elem Prog21Duty45 S275"/>
    <x v="1"/>
    <s v="45"/>
    <n v="45"/>
    <m/>
    <s v="   "/>
    <n v="0.75"/>
  </r>
  <r>
    <x v="70"/>
    <s v="Elma School District"/>
    <s v="Personnel"/>
    <s v="H "/>
    <x v="1"/>
    <x v="21"/>
    <s v="PSES High Prog21Duty45 S275"/>
    <x v="1"/>
    <s v="45"/>
    <n v="45"/>
    <m/>
    <s v="   "/>
    <n v="0.15"/>
  </r>
  <r>
    <x v="70"/>
    <s v="Elma School District"/>
    <s v="Personnel"/>
    <s v="M "/>
    <x v="2"/>
    <x v="28"/>
    <s v="PSES Mid Prog21Duty45 S275"/>
    <x v="1"/>
    <s v="45"/>
    <n v="45"/>
    <m/>
    <s v="   "/>
    <n v="0.1"/>
  </r>
  <r>
    <x v="70"/>
    <s v="Elma School District"/>
    <s v="Personnel"/>
    <s v="E "/>
    <x v="0"/>
    <x v="22"/>
    <s v="PSES Elem Prog21Duty46 S275"/>
    <x v="1"/>
    <s v="46"/>
    <n v="46"/>
    <m/>
    <s v="   "/>
    <n v="0.33"/>
  </r>
  <r>
    <x v="70"/>
    <s v="Elma School District"/>
    <s v="Personnel"/>
    <s v="H "/>
    <x v="1"/>
    <x v="23"/>
    <s v="PSES High Prog21Duty46 S275"/>
    <x v="1"/>
    <s v="46"/>
    <n v="46"/>
    <m/>
    <s v="   "/>
    <n v="0.5"/>
  </r>
  <r>
    <x v="70"/>
    <s v="Elma School District"/>
    <s v="Personnel"/>
    <s v="M "/>
    <x v="2"/>
    <x v="24"/>
    <s v="PSES Mid Prog21Duty46 S275"/>
    <x v="1"/>
    <s v="46"/>
    <n v="46"/>
    <m/>
    <s v="   "/>
    <n v="0.83"/>
  </r>
  <r>
    <x v="71"/>
    <s v="Taholah School District"/>
    <s v="Personnel"/>
    <s v="E "/>
    <x v="0"/>
    <x v="7"/>
    <s v="PSES Elem Prog21Act26 S275"/>
    <x v="1"/>
    <s v="26"/>
    <m/>
    <n v="26"/>
    <s v="   "/>
    <n v="0.222"/>
  </r>
  <r>
    <x v="71"/>
    <s v="Taholah School District"/>
    <s v="Personnel"/>
    <s v="H "/>
    <x v="1"/>
    <x v="9"/>
    <s v="PSES High Prog01Act26 S275"/>
    <x v="0"/>
    <s v="26"/>
    <m/>
    <n v="26"/>
    <s v="   "/>
    <n v="1.224"/>
  </r>
  <r>
    <x v="72"/>
    <s v="Lake Quinault School District"/>
    <s v="Personnel"/>
    <s v="E "/>
    <x v="0"/>
    <x v="3"/>
    <s v="PSES Elem Prog01Act25 S275"/>
    <x v="0"/>
    <s v="25"/>
    <m/>
    <n v="25"/>
    <s v="   "/>
    <n v="0.16800000000000001"/>
  </r>
  <r>
    <x v="72"/>
    <s v="Lake Quinault School District"/>
    <s v="Personnel"/>
    <s v="H "/>
    <x v="1"/>
    <x v="5"/>
    <s v="PSES High Prog01Act25 S275"/>
    <x v="0"/>
    <s v="25"/>
    <m/>
    <n v="25"/>
    <s v="   "/>
    <n v="0.34300000000000003"/>
  </r>
  <r>
    <x v="72"/>
    <s v="Lake Quinault School District"/>
    <s v="Personnel"/>
    <s v="H "/>
    <x v="1"/>
    <x v="16"/>
    <s v="PSES High Prog01Duty42 S275"/>
    <x v="0"/>
    <s v="42"/>
    <n v="42"/>
    <m/>
    <s v="   "/>
    <n v="0.3"/>
  </r>
  <r>
    <x v="73"/>
    <s v="Cosmopolis School District"/>
    <s v="Personnel"/>
    <s v="E "/>
    <x v="0"/>
    <x v="0"/>
    <s v="PSES Elem Prog01Duty96 S275"/>
    <x v="0"/>
    <s v="24"/>
    <n v="96"/>
    <n v="24"/>
    <s v="   "/>
    <n v="0.36299999999999999"/>
  </r>
  <r>
    <x v="73"/>
    <s v="Cosmopolis School District"/>
    <s v="Personnel"/>
    <s v="H "/>
    <x v="1"/>
    <x v="5"/>
    <s v="PSES High Prog01Act25 S275"/>
    <x v="0"/>
    <s v="25"/>
    <m/>
    <n v="25"/>
    <s v="   "/>
    <n v="0.88300000000000001"/>
  </r>
  <r>
    <x v="73"/>
    <s v="Cosmopolis School District"/>
    <s v="Personnel"/>
    <s v="E "/>
    <x v="0"/>
    <x v="15"/>
    <s v="PSES Elem Prog01Duty42 S275"/>
    <x v="0"/>
    <s v="42"/>
    <n v="42"/>
    <m/>
    <s v="   "/>
    <n v="0.57199999999999995"/>
  </r>
  <r>
    <x v="73"/>
    <s v="Cosmopolis School District"/>
    <s v="Personnel"/>
    <s v="E "/>
    <x v="0"/>
    <x v="38"/>
    <s v="PSES Elem Prog21Duty64 S275"/>
    <x v="1"/>
    <s v="64"/>
    <n v="64"/>
    <m/>
    <s v="   "/>
    <n v="0.20599999999999999"/>
  </r>
  <r>
    <x v="74"/>
    <s v="Wishkah Valley School District"/>
    <s v="Personnel"/>
    <s v="H "/>
    <x v="1"/>
    <x v="16"/>
    <s v="PSES High Prog01Duty42 S275"/>
    <x v="0"/>
    <s v="42"/>
    <n v="42"/>
    <m/>
    <s v="   "/>
    <n v="0.53300000000000003"/>
  </r>
  <r>
    <x v="75"/>
    <s v="Ocosta School District"/>
    <s v="Personnel"/>
    <s v="H "/>
    <x v="1"/>
    <x v="5"/>
    <s v="PSES High Prog01Act25 S275"/>
    <x v="0"/>
    <s v="25"/>
    <m/>
    <n v="25"/>
    <s v="   "/>
    <n v="0.626"/>
  </r>
  <r>
    <x v="75"/>
    <s v="Ocosta School District"/>
    <s v="Personnel"/>
    <s v="E "/>
    <x v="0"/>
    <x v="15"/>
    <s v="PSES Elem Prog01Duty42 S275"/>
    <x v="0"/>
    <s v="42"/>
    <n v="42"/>
    <m/>
    <s v="   "/>
    <n v="1"/>
  </r>
  <r>
    <x v="75"/>
    <s v="Ocosta School District"/>
    <s v="Personnel"/>
    <s v="H "/>
    <x v="1"/>
    <x v="16"/>
    <s v="PSES High Prog01Duty42 S275"/>
    <x v="0"/>
    <s v="42"/>
    <n v="42"/>
    <m/>
    <s v="   "/>
    <n v="0.5"/>
  </r>
  <r>
    <x v="75"/>
    <s v="Ocosta School District"/>
    <s v="Personnel"/>
    <s v="M "/>
    <x v="2"/>
    <x v="17"/>
    <s v="PSES Mid Prog01Duty42 S275"/>
    <x v="0"/>
    <s v="42"/>
    <n v="42"/>
    <m/>
    <s v="   "/>
    <n v="0.5"/>
  </r>
  <r>
    <x v="76"/>
    <s v="Oakville School District"/>
    <s v="Personnel"/>
    <s v="H "/>
    <x v="1"/>
    <x v="29"/>
    <s v="PSES High Prog21Act26 S275"/>
    <x v="1"/>
    <s v="26"/>
    <m/>
    <n v="26"/>
    <s v="   "/>
    <n v="0.251"/>
  </r>
  <r>
    <x v="76"/>
    <s v="Oakville School District"/>
    <s v="Personnel"/>
    <s v="E "/>
    <x v="0"/>
    <x v="15"/>
    <s v="PSES Elem Prog01Duty42 S275"/>
    <x v="0"/>
    <s v="42"/>
    <n v="42"/>
    <m/>
    <s v="   "/>
    <n v="0.5"/>
  </r>
  <r>
    <x v="76"/>
    <s v="Oakville School District"/>
    <s v="Personnel"/>
    <s v="H "/>
    <x v="1"/>
    <x v="16"/>
    <s v="PSES High Prog01Duty42 S275"/>
    <x v="0"/>
    <s v="42"/>
    <n v="42"/>
    <m/>
    <s v="   "/>
    <n v="0.33300000000000002"/>
  </r>
  <r>
    <x v="76"/>
    <s v="Oakville School District"/>
    <s v="Personnel"/>
    <s v="M "/>
    <x v="2"/>
    <x v="17"/>
    <s v="PSES Mid Prog01Duty42 S275"/>
    <x v="0"/>
    <s v="42"/>
    <n v="42"/>
    <m/>
    <s v="   "/>
    <n v="0.16700000000000001"/>
  </r>
  <r>
    <x v="76"/>
    <s v="Oakville School District"/>
    <s v="Personnel"/>
    <s v="E "/>
    <x v="0"/>
    <x v="18"/>
    <s v="PSES Elem Prog21Duty43 S275"/>
    <x v="1"/>
    <s v="43"/>
    <n v="43"/>
    <m/>
    <s v="   "/>
    <n v="0.65"/>
  </r>
  <r>
    <x v="76"/>
    <s v="Oakville School District"/>
    <s v="Personnel"/>
    <s v="H "/>
    <x v="1"/>
    <x v="19"/>
    <s v="PSES High Prog21Duty43 S275"/>
    <x v="1"/>
    <s v="43"/>
    <n v="43"/>
    <m/>
    <s v="   "/>
    <n v="0.2"/>
  </r>
  <r>
    <x v="76"/>
    <s v="Oakville School District"/>
    <s v="Personnel"/>
    <s v="M "/>
    <x v="2"/>
    <x v="31"/>
    <s v="PSES Mid Prog21Duty43 S275"/>
    <x v="1"/>
    <s v="43"/>
    <n v="43"/>
    <m/>
    <s v="   "/>
    <n v="0.05"/>
  </r>
  <r>
    <x v="76"/>
    <s v="Oakville School District"/>
    <s v="Personnel"/>
    <s v="E "/>
    <x v="0"/>
    <x v="20"/>
    <s v="PSES Elem Prog21Duty45 S275"/>
    <x v="1"/>
    <s v="45"/>
    <n v="45"/>
    <m/>
    <s v="   "/>
    <n v="0.52"/>
  </r>
  <r>
    <x v="76"/>
    <s v="Oakville School District"/>
    <s v="Personnel"/>
    <s v="H "/>
    <x v="1"/>
    <x v="21"/>
    <s v="PSES High Prog21Duty45 S275"/>
    <x v="1"/>
    <s v="45"/>
    <n v="45"/>
    <m/>
    <s v="   "/>
    <n v="0.16"/>
  </r>
  <r>
    <x v="76"/>
    <s v="Oakville School District"/>
    <s v="Personnel"/>
    <s v="M "/>
    <x v="2"/>
    <x v="28"/>
    <s v="PSES Mid Prog21Duty45 S275"/>
    <x v="1"/>
    <s v="45"/>
    <n v="45"/>
    <m/>
    <s v="   "/>
    <n v="0.04"/>
  </r>
  <r>
    <x v="76"/>
    <s v="Oakville School District"/>
    <s v="Personnel"/>
    <s v="E "/>
    <x v="0"/>
    <x v="22"/>
    <s v="PSES Elem Prog21Duty46 S275"/>
    <x v="1"/>
    <s v="46"/>
    <n v="46"/>
    <m/>
    <s v="   "/>
    <n v="0.32500000000000001"/>
  </r>
  <r>
    <x v="76"/>
    <s v="Oakville School District"/>
    <s v="Personnel"/>
    <s v="H "/>
    <x v="1"/>
    <x v="23"/>
    <s v="PSES High Prog21Duty46 S275"/>
    <x v="1"/>
    <s v="46"/>
    <n v="46"/>
    <m/>
    <s v="   "/>
    <n v="0.1"/>
  </r>
  <r>
    <x v="76"/>
    <s v="Oakville School District"/>
    <s v="Personnel"/>
    <s v="M "/>
    <x v="2"/>
    <x v="24"/>
    <s v="PSES Mid Prog21Duty46 S275"/>
    <x v="1"/>
    <s v="46"/>
    <n v="46"/>
    <m/>
    <s v="   "/>
    <n v="2.5000000000000001E-2"/>
  </r>
  <r>
    <x v="77"/>
    <s v="Oak Harbor School District"/>
    <s v="Personnel"/>
    <s v="H "/>
    <x v="1"/>
    <x v="1"/>
    <s v="PSES High Prog01Duty96 S275"/>
    <x v="0"/>
    <s v="24"/>
    <n v="96"/>
    <n v="24"/>
    <s v="   "/>
    <n v="0.50800000000000001"/>
  </r>
  <r>
    <x v="77"/>
    <s v="Oak Harbor School District"/>
    <s v="Personnel"/>
    <s v="E "/>
    <x v="0"/>
    <x v="7"/>
    <s v="PSES Elem Prog21Act26 S275"/>
    <x v="1"/>
    <s v="26"/>
    <m/>
    <n v="26"/>
    <s v="   "/>
    <n v="0.72899999999999998"/>
  </r>
  <r>
    <x v="77"/>
    <s v="Oak Harbor School District"/>
    <s v="Personnel"/>
    <s v="E "/>
    <x v="0"/>
    <x v="8"/>
    <s v="PSES Elem Prog01Act26 S275"/>
    <x v="0"/>
    <s v="26"/>
    <m/>
    <n v="26"/>
    <s v="   "/>
    <n v="2.7690000000000001"/>
  </r>
  <r>
    <x v="77"/>
    <s v="Oak Harbor School District"/>
    <s v="Personnel"/>
    <s v="H "/>
    <x v="1"/>
    <x v="9"/>
    <s v="PSES High Prog01Act26 S275"/>
    <x v="0"/>
    <s v="26"/>
    <m/>
    <n v="26"/>
    <s v="   "/>
    <n v="0.438"/>
  </r>
  <r>
    <x v="77"/>
    <s v="Oak Harbor School District"/>
    <s v="Personnel"/>
    <s v="M "/>
    <x v="2"/>
    <x v="11"/>
    <s v="PSES Mid Prog01Act26 S275"/>
    <x v="0"/>
    <s v="26"/>
    <m/>
    <n v="26"/>
    <s v="   "/>
    <n v="0.437"/>
  </r>
  <r>
    <x v="77"/>
    <s v="Oak Harbor School District"/>
    <s v="Personnel"/>
    <s v="E "/>
    <x v="0"/>
    <x v="15"/>
    <s v="PSES Elem Prog01Duty42 S275"/>
    <x v="0"/>
    <s v="42"/>
    <n v="42"/>
    <m/>
    <s v="   "/>
    <n v="7"/>
  </r>
  <r>
    <x v="77"/>
    <s v="Oak Harbor School District"/>
    <s v="Personnel"/>
    <s v="H "/>
    <x v="1"/>
    <x v="16"/>
    <s v="PSES High Prog01Duty42 S275"/>
    <x v="0"/>
    <s v="42"/>
    <n v="42"/>
    <m/>
    <s v="   "/>
    <n v="4.7"/>
  </r>
  <r>
    <x v="77"/>
    <s v="Oak Harbor School District"/>
    <s v="Personnel"/>
    <s v="M "/>
    <x v="2"/>
    <x v="17"/>
    <s v="PSES Mid Prog01Duty42 S275"/>
    <x v="0"/>
    <s v="42"/>
    <n v="42"/>
    <m/>
    <s v="   "/>
    <n v="2"/>
  </r>
  <r>
    <x v="77"/>
    <s v="Oak Harbor School District"/>
    <s v="Personnel"/>
    <s v="E "/>
    <x v="0"/>
    <x v="18"/>
    <s v="PSES Elem Prog21Duty43 S275"/>
    <x v="1"/>
    <s v="43"/>
    <n v="43"/>
    <m/>
    <s v="   "/>
    <n v="1.6619999999999999"/>
  </r>
  <r>
    <x v="77"/>
    <s v="Oak Harbor School District"/>
    <s v="Personnel"/>
    <s v="H "/>
    <x v="1"/>
    <x v="19"/>
    <s v="PSES High Prog21Duty43 S275"/>
    <x v="1"/>
    <s v="43"/>
    <n v="43"/>
    <m/>
    <s v="   "/>
    <n v="0.23"/>
  </r>
  <r>
    <x v="77"/>
    <s v="Oak Harbor School District"/>
    <s v="Personnel"/>
    <s v="E "/>
    <x v="0"/>
    <x v="42"/>
    <s v="PSES Elem Prog01Duty44 S275"/>
    <x v="0"/>
    <s v="44"/>
    <n v="44"/>
    <m/>
    <s v="   "/>
    <n v="0.03"/>
  </r>
  <r>
    <x v="77"/>
    <s v="Oak Harbor School District"/>
    <s v="Personnel"/>
    <s v="H "/>
    <x v="1"/>
    <x v="44"/>
    <s v="PSES High Prog01Duty44 S275"/>
    <x v="0"/>
    <s v="44"/>
    <n v="44"/>
    <m/>
    <s v="   "/>
    <n v="0.99"/>
  </r>
  <r>
    <x v="77"/>
    <s v="Oak Harbor School District"/>
    <s v="Personnel"/>
    <s v="M "/>
    <x v="2"/>
    <x v="46"/>
    <s v="PSES Mid Prog01Duty44 S275"/>
    <x v="0"/>
    <s v="44"/>
    <n v="44"/>
    <m/>
    <s v="   "/>
    <n v="0.98"/>
  </r>
  <r>
    <x v="77"/>
    <s v="Oak Harbor School District"/>
    <s v="Personnel"/>
    <s v="E "/>
    <x v="0"/>
    <x v="20"/>
    <s v="PSES Elem Prog21Duty45 S275"/>
    <x v="1"/>
    <s v="45"/>
    <n v="45"/>
    <m/>
    <s v="   "/>
    <n v="7.7640000000000002"/>
  </r>
  <r>
    <x v="77"/>
    <s v="Oak Harbor School District"/>
    <s v="Personnel"/>
    <s v="H "/>
    <x v="1"/>
    <x v="21"/>
    <s v="PSES High Prog21Duty45 S275"/>
    <x v="1"/>
    <s v="45"/>
    <n v="45"/>
    <m/>
    <s v="   "/>
    <n v="0.08"/>
  </r>
  <r>
    <x v="77"/>
    <s v="Oak Harbor School District"/>
    <s v="Personnel"/>
    <s v="M "/>
    <x v="2"/>
    <x v="28"/>
    <s v="PSES Mid Prog21Duty45 S275"/>
    <x v="1"/>
    <s v="45"/>
    <n v="45"/>
    <m/>
    <s v="   "/>
    <n v="1"/>
  </r>
  <r>
    <x v="77"/>
    <s v="Oak Harbor School District"/>
    <s v="Personnel"/>
    <s v="E "/>
    <x v="0"/>
    <x v="22"/>
    <s v="PSES Elem Prog21Duty46 S275"/>
    <x v="1"/>
    <s v="46"/>
    <n v="46"/>
    <m/>
    <s v="   "/>
    <n v="2.2080000000000002"/>
  </r>
  <r>
    <x v="77"/>
    <s v="Oak Harbor School District"/>
    <s v="Personnel"/>
    <s v="H "/>
    <x v="1"/>
    <x v="23"/>
    <s v="PSES High Prog21Duty46 S275"/>
    <x v="1"/>
    <s v="46"/>
    <n v="46"/>
    <m/>
    <s v="   "/>
    <n v="1.5"/>
  </r>
  <r>
    <x v="77"/>
    <s v="Oak Harbor School District"/>
    <s v="Personnel"/>
    <s v="M "/>
    <x v="2"/>
    <x v="24"/>
    <s v="PSES Mid Prog21Duty46 S275"/>
    <x v="1"/>
    <s v="46"/>
    <n v="46"/>
    <m/>
    <s v="   "/>
    <n v="1"/>
  </r>
  <r>
    <x v="77"/>
    <s v="Oak Harbor School District"/>
    <s v="Personnel"/>
    <s v="E "/>
    <x v="0"/>
    <x v="27"/>
    <s v="PSES Elem Prog01Duty47 S275"/>
    <x v="0"/>
    <s v="47"/>
    <n v="47"/>
    <m/>
    <s v="   "/>
    <n v="2.9990000000000001"/>
  </r>
  <r>
    <x v="77"/>
    <s v="Oak Harbor School District"/>
    <s v="Personnel"/>
    <s v="H "/>
    <x v="1"/>
    <x v="25"/>
    <s v="PSES High Prog01Duty47 S275"/>
    <x v="0"/>
    <s v="47"/>
    <n v="47"/>
    <m/>
    <s v="   "/>
    <n v="0.60099999999999998"/>
  </r>
  <r>
    <x v="77"/>
    <s v="Oak Harbor School District"/>
    <s v="Personnel"/>
    <s v="M "/>
    <x v="2"/>
    <x v="34"/>
    <s v="PSES Mid Prog01Duty47 S275"/>
    <x v="0"/>
    <s v="47"/>
    <n v="47"/>
    <m/>
    <s v="   "/>
    <n v="0.4"/>
  </r>
  <r>
    <x v="77"/>
    <s v="Oak Harbor School District"/>
    <s v="Personnel"/>
    <s v="E "/>
    <x v="0"/>
    <x v="35"/>
    <s v="PSES Elem Prog21Duty48 S275"/>
    <x v="1"/>
    <s v="48"/>
    <n v="48"/>
    <m/>
    <s v="   "/>
    <n v="0.80800000000000005"/>
  </r>
  <r>
    <x v="77"/>
    <s v="Oak Harbor School District"/>
    <s v="Personnel"/>
    <s v="H "/>
    <x v="1"/>
    <x v="36"/>
    <s v="PSES High Prog21Duty48 S275"/>
    <x v="1"/>
    <s v="48"/>
    <n v="48"/>
    <m/>
    <s v="   "/>
    <n v="0.192"/>
  </r>
  <r>
    <x v="78"/>
    <s v="Coupeville School District"/>
    <s v="Personnel"/>
    <s v="E "/>
    <x v="0"/>
    <x v="3"/>
    <s v="PSES Elem Prog01Act25 S275"/>
    <x v="0"/>
    <s v="25"/>
    <m/>
    <n v="25"/>
    <s v="   "/>
    <n v="0.20399999999999999"/>
  </r>
  <r>
    <x v="78"/>
    <s v="Coupeville School District"/>
    <s v="Personnel"/>
    <s v="H "/>
    <x v="1"/>
    <x v="5"/>
    <s v="PSES High Prog01Act25 S275"/>
    <x v="0"/>
    <s v="25"/>
    <m/>
    <n v="25"/>
    <s v="   "/>
    <n v="0.104"/>
  </r>
  <r>
    <x v="78"/>
    <s v="Coupeville School District"/>
    <s v="Personnel"/>
    <s v="M "/>
    <x v="2"/>
    <x v="6"/>
    <s v="PSES Mid Prog01Act25 S275"/>
    <x v="0"/>
    <s v="25"/>
    <m/>
    <n v="25"/>
    <s v="   "/>
    <n v="0.13600000000000001"/>
  </r>
  <r>
    <x v="78"/>
    <s v="Coupeville School District"/>
    <s v="Personnel"/>
    <s v="E "/>
    <x v="0"/>
    <x v="15"/>
    <s v="PSES Elem Prog01Duty42 S275"/>
    <x v="0"/>
    <s v="42"/>
    <n v="42"/>
    <m/>
    <s v="   "/>
    <n v="0.05"/>
  </r>
  <r>
    <x v="78"/>
    <s v="Coupeville School District"/>
    <s v="Personnel"/>
    <s v="H "/>
    <x v="1"/>
    <x v="16"/>
    <s v="PSES High Prog01Duty42 S275"/>
    <x v="0"/>
    <s v="42"/>
    <n v="42"/>
    <m/>
    <s v="   "/>
    <n v="1"/>
  </r>
  <r>
    <x v="78"/>
    <s v="Coupeville School District"/>
    <s v="Personnel"/>
    <s v="M "/>
    <x v="2"/>
    <x v="17"/>
    <s v="PSES Mid Prog01Duty42 S275"/>
    <x v="0"/>
    <s v="42"/>
    <n v="42"/>
    <m/>
    <s v="   "/>
    <n v="1"/>
  </r>
  <r>
    <x v="78"/>
    <s v="Coupeville School District"/>
    <s v="Personnel"/>
    <s v="E "/>
    <x v="0"/>
    <x v="20"/>
    <s v="PSES Elem Prog21Duty45 S275"/>
    <x v="1"/>
    <s v="45"/>
    <n v="45"/>
    <m/>
    <s v="   "/>
    <n v="0.52"/>
  </r>
  <r>
    <x v="78"/>
    <s v="Coupeville School District"/>
    <s v="Personnel"/>
    <s v="H "/>
    <x v="1"/>
    <x v="21"/>
    <s v="PSES High Prog21Duty45 S275"/>
    <x v="1"/>
    <s v="45"/>
    <n v="45"/>
    <m/>
    <s v="   "/>
    <n v="0.32"/>
  </r>
  <r>
    <x v="78"/>
    <s v="Coupeville School District"/>
    <s v="Personnel"/>
    <s v="M "/>
    <x v="2"/>
    <x v="28"/>
    <s v="PSES Mid Prog21Duty45 S275"/>
    <x v="1"/>
    <s v="45"/>
    <n v="45"/>
    <m/>
    <s v="   "/>
    <n v="0.16"/>
  </r>
  <r>
    <x v="78"/>
    <s v="Coupeville School District"/>
    <s v="Personnel"/>
    <s v="E "/>
    <x v="0"/>
    <x v="48"/>
    <s v="PSES Elem Prog01Duty46 S275"/>
    <x v="0"/>
    <s v="46"/>
    <n v="46"/>
    <m/>
    <s v="   "/>
    <n v="0.4"/>
  </r>
  <r>
    <x v="78"/>
    <s v="Coupeville School District"/>
    <s v="Personnel"/>
    <s v="H "/>
    <x v="1"/>
    <x v="65"/>
    <s v="PSES High Prog01Duty46 S275"/>
    <x v="0"/>
    <s v="46"/>
    <n v="46"/>
    <m/>
    <s v="   "/>
    <n v="0.1"/>
  </r>
  <r>
    <x v="78"/>
    <s v="Coupeville School District"/>
    <s v="Personnel"/>
    <s v="M "/>
    <x v="2"/>
    <x v="49"/>
    <s v="PSES Mid Prog01Duty46 S275"/>
    <x v="0"/>
    <s v="46"/>
    <n v="46"/>
    <m/>
    <s v="   "/>
    <n v="0.3"/>
  </r>
  <r>
    <x v="79"/>
    <s v="South Whidbey School District"/>
    <s v="Personnel"/>
    <s v="E "/>
    <x v="0"/>
    <x v="8"/>
    <s v="PSES Elem Prog01Act26 S275"/>
    <x v="0"/>
    <s v="26"/>
    <m/>
    <n v="26"/>
    <s v="   "/>
    <n v="0.66400000000000003"/>
  </r>
  <r>
    <x v="79"/>
    <s v="South Whidbey School District"/>
    <s v="Personnel"/>
    <s v="H "/>
    <x v="1"/>
    <x v="16"/>
    <s v="PSES High Prog01Duty42 S275"/>
    <x v="0"/>
    <s v="42"/>
    <n v="42"/>
    <m/>
    <s v="   "/>
    <n v="2"/>
  </r>
  <r>
    <x v="79"/>
    <s v="South Whidbey School District"/>
    <s v="Personnel"/>
    <s v="M "/>
    <x v="2"/>
    <x v="17"/>
    <s v="PSES Mid Prog01Duty42 S275"/>
    <x v="0"/>
    <s v="42"/>
    <n v="42"/>
    <m/>
    <s v="   "/>
    <n v="1"/>
  </r>
  <r>
    <x v="79"/>
    <s v="South Whidbey School District"/>
    <s v="Personnel"/>
    <s v="E "/>
    <x v="0"/>
    <x v="18"/>
    <s v="PSES Elem Prog21Duty43 S275"/>
    <x v="1"/>
    <s v="43"/>
    <n v="43"/>
    <m/>
    <s v="   "/>
    <n v="0.8"/>
  </r>
  <r>
    <x v="79"/>
    <s v="South Whidbey School District"/>
    <s v="Personnel"/>
    <s v="E "/>
    <x v="0"/>
    <x v="20"/>
    <s v="PSES Elem Prog21Duty45 S275"/>
    <x v="1"/>
    <s v="45"/>
    <n v="45"/>
    <m/>
    <s v="   "/>
    <n v="0.46800000000000003"/>
  </r>
  <r>
    <x v="79"/>
    <s v="South Whidbey School District"/>
    <s v="Personnel"/>
    <s v="E "/>
    <x v="0"/>
    <x v="22"/>
    <s v="PSES Elem Prog21Duty46 S275"/>
    <x v="1"/>
    <s v="46"/>
    <n v="46"/>
    <m/>
    <s v="   "/>
    <n v="1"/>
  </r>
  <r>
    <x v="79"/>
    <s v="South Whidbey School District"/>
    <s v="Personnel"/>
    <s v="H "/>
    <x v="1"/>
    <x v="23"/>
    <s v="PSES High Prog21Duty46 S275"/>
    <x v="1"/>
    <s v="46"/>
    <n v="46"/>
    <m/>
    <s v="   "/>
    <n v="0.42"/>
  </r>
  <r>
    <x v="79"/>
    <s v="South Whidbey School District"/>
    <s v="Personnel"/>
    <s v="M "/>
    <x v="2"/>
    <x v="24"/>
    <s v="PSES Mid Prog21Duty46 S275"/>
    <x v="1"/>
    <s v="46"/>
    <n v="46"/>
    <m/>
    <s v="   "/>
    <n v="0.28000000000000003"/>
  </r>
  <r>
    <x v="79"/>
    <s v="South Whidbey School District"/>
    <s v="Personnel"/>
    <s v="H "/>
    <x v="1"/>
    <x v="25"/>
    <s v="PSES High Prog01Duty47 S275"/>
    <x v="0"/>
    <s v="47"/>
    <n v="47"/>
    <m/>
    <s v="   "/>
    <n v="0.7"/>
  </r>
  <r>
    <x v="79"/>
    <s v="South Whidbey School District"/>
    <s v="Personnel"/>
    <s v="M "/>
    <x v="2"/>
    <x v="34"/>
    <s v="PSES Mid Prog01Duty47 S275"/>
    <x v="0"/>
    <s v="47"/>
    <n v="47"/>
    <m/>
    <s v="   "/>
    <n v="0.3"/>
  </r>
  <r>
    <x v="80"/>
    <s v="Queets-Clearwater School District"/>
    <s v="Personnel"/>
    <s v="E "/>
    <x v="0"/>
    <x v="3"/>
    <s v="PSES Elem Prog01Act25 S275"/>
    <x v="0"/>
    <s v="25"/>
    <m/>
    <n v="25"/>
    <s v="   "/>
    <n v="4.5999999999999999E-2"/>
  </r>
  <r>
    <x v="81"/>
    <s v="Brinnon School District"/>
    <s v="Personnel"/>
    <s v="H "/>
    <x v="1"/>
    <x v="5"/>
    <s v="PSES High Prog01Act25 S275"/>
    <x v="0"/>
    <s v="25"/>
    <m/>
    <n v="25"/>
    <s v="   "/>
    <n v="0.30499999999999999"/>
  </r>
  <r>
    <x v="81"/>
    <s v="Brinnon School District"/>
    <s v="Personnel"/>
    <s v="H "/>
    <x v="1"/>
    <x v="29"/>
    <s v="PSES High Prog21Act26 S275"/>
    <x v="1"/>
    <s v="26"/>
    <m/>
    <n v="26"/>
    <s v="   "/>
    <n v="8.0000000000000002E-3"/>
  </r>
  <r>
    <x v="82"/>
    <s v="Quilcene School District"/>
    <s v="Personnel"/>
    <s v="H "/>
    <x v="1"/>
    <x v="5"/>
    <s v="PSES High Prog01Act25 S275"/>
    <x v="0"/>
    <s v="25"/>
    <m/>
    <n v="25"/>
    <s v="   "/>
    <n v="0.84"/>
  </r>
  <r>
    <x v="82"/>
    <s v="Quilcene School District"/>
    <s v="Personnel"/>
    <s v="E "/>
    <x v="0"/>
    <x v="15"/>
    <s v="PSES Elem Prog01Duty42 S275"/>
    <x v="0"/>
    <s v="42"/>
    <n v="42"/>
    <m/>
    <s v="   "/>
    <n v="0.44900000000000001"/>
  </r>
  <r>
    <x v="82"/>
    <s v="Quilcene School District"/>
    <s v="Personnel"/>
    <s v="H "/>
    <x v="1"/>
    <x v="16"/>
    <s v="PSES High Prog01Duty42 S275"/>
    <x v="0"/>
    <s v="42"/>
    <n v="42"/>
    <m/>
    <s v="   "/>
    <n v="0.4"/>
  </r>
  <r>
    <x v="82"/>
    <s v="Quilcene School District"/>
    <s v="Personnel"/>
    <s v="M "/>
    <x v="2"/>
    <x v="17"/>
    <s v="PSES Mid Prog01Duty42 S275"/>
    <x v="0"/>
    <s v="42"/>
    <n v="42"/>
    <m/>
    <s v="   "/>
    <n v="0.151"/>
  </r>
  <r>
    <x v="82"/>
    <s v="Quilcene School District"/>
    <s v="Personnel"/>
    <s v="E "/>
    <x v="0"/>
    <x v="20"/>
    <s v="PSES Elem Prog21Duty45 S275"/>
    <x v="1"/>
    <s v="45"/>
    <n v="45"/>
    <m/>
    <s v="   "/>
    <n v="0.60699999999999998"/>
  </r>
  <r>
    <x v="82"/>
    <s v="Quilcene School District"/>
    <s v="Personnel"/>
    <s v="E "/>
    <x v="0"/>
    <x v="22"/>
    <s v="PSES Elem Prog21Duty46 S275"/>
    <x v="1"/>
    <s v="46"/>
    <n v="46"/>
    <m/>
    <s v="   "/>
    <n v="0.20100000000000001"/>
  </r>
  <r>
    <x v="82"/>
    <s v="Quilcene School District"/>
    <s v="Personnel"/>
    <s v="M "/>
    <x v="2"/>
    <x v="24"/>
    <s v="PSES Mid Prog21Duty46 S275"/>
    <x v="1"/>
    <s v="46"/>
    <n v="46"/>
    <m/>
    <s v="   "/>
    <n v="6.7000000000000004E-2"/>
  </r>
  <r>
    <x v="83"/>
    <s v="Chimacum School District"/>
    <s v="Personnel"/>
    <s v="H "/>
    <x v="1"/>
    <x v="4"/>
    <s v="PSES High Prog21Act25 S275"/>
    <x v="1"/>
    <s v="25"/>
    <m/>
    <n v="25"/>
    <s v="   "/>
    <n v="0.12"/>
  </r>
  <r>
    <x v="83"/>
    <s v="Chimacum School District"/>
    <s v="Personnel"/>
    <s v="H "/>
    <x v="1"/>
    <x v="5"/>
    <s v="PSES High Prog01Act25 S275"/>
    <x v="0"/>
    <s v="25"/>
    <m/>
    <n v="25"/>
    <s v="   "/>
    <n v="0.68799999999999994"/>
  </r>
  <r>
    <x v="83"/>
    <s v="Chimacum School District"/>
    <s v="Personnel"/>
    <s v="E "/>
    <x v="0"/>
    <x v="15"/>
    <s v="PSES Elem Prog01Duty42 S275"/>
    <x v="0"/>
    <s v="42"/>
    <n v="42"/>
    <m/>
    <s v="   "/>
    <n v="1"/>
  </r>
  <r>
    <x v="83"/>
    <s v="Chimacum School District"/>
    <s v="Personnel"/>
    <s v="H "/>
    <x v="1"/>
    <x v="16"/>
    <s v="PSES High Prog01Duty42 S275"/>
    <x v="0"/>
    <s v="42"/>
    <n v="42"/>
    <m/>
    <s v="   "/>
    <n v="0.9"/>
  </r>
  <r>
    <x v="83"/>
    <s v="Chimacum School District"/>
    <s v="Personnel"/>
    <s v="E "/>
    <x v="0"/>
    <x v="18"/>
    <s v="PSES Elem Prog21Duty43 S275"/>
    <x v="1"/>
    <s v="43"/>
    <n v="43"/>
    <m/>
    <s v="   "/>
    <n v="0.46899999999999997"/>
  </r>
  <r>
    <x v="83"/>
    <s v="Chimacum School District"/>
    <s v="Personnel"/>
    <s v="H "/>
    <x v="1"/>
    <x v="19"/>
    <s v="PSES High Prog21Duty43 S275"/>
    <x v="1"/>
    <s v="43"/>
    <n v="43"/>
    <m/>
    <s v="   "/>
    <n v="7.0000000000000007E-2"/>
  </r>
  <r>
    <x v="83"/>
    <s v="Chimacum School District"/>
    <s v="Personnel"/>
    <s v="M "/>
    <x v="2"/>
    <x v="31"/>
    <s v="PSES Mid Prog21Duty43 S275"/>
    <x v="1"/>
    <s v="43"/>
    <n v="43"/>
    <m/>
    <s v="   "/>
    <n v="9.0999999999999998E-2"/>
  </r>
  <r>
    <x v="83"/>
    <s v="Chimacum School District"/>
    <s v="Personnel"/>
    <s v="H "/>
    <x v="1"/>
    <x v="23"/>
    <s v="PSES High Prog21Duty46 S275"/>
    <x v="1"/>
    <s v="46"/>
    <n v="46"/>
    <m/>
    <s v="   "/>
    <n v="0.7"/>
  </r>
  <r>
    <x v="83"/>
    <s v="Chimacum School District"/>
    <s v="Personnel"/>
    <s v="H "/>
    <x v="1"/>
    <x v="65"/>
    <s v="PSES High Prog01Duty46 S275"/>
    <x v="0"/>
    <s v="46"/>
    <n v="46"/>
    <m/>
    <s v="   "/>
    <n v="0.3"/>
  </r>
  <r>
    <x v="83"/>
    <s v="Chimacum School District"/>
    <s v="Personnel"/>
    <s v="E "/>
    <x v="0"/>
    <x v="27"/>
    <s v="PSES Elem Prog01Duty47 S275"/>
    <x v="0"/>
    <s v="47"/>
    <n v="47"/>
    <m/>
    <s v="   "/>
    <n v="1"/>
  </r>
  <r>
    <x v="84"/>
    <s v="Port Townsend School District"/>
    <s v="Personnel"/>
    <s v="E "/>
    <x v="0"/>
    <x v="15"/>
    <s v="PSES Elem Prog01Duty42 S275"/>
    <x v="0"/>
    <s v="42"/>
    <n v="42"/>
    <m/>
    <s v="   "/>
    <n v="1"/>
  </r>
  <r>
    <x v="84"/>
    <s v="Port Townsend School District"/>
    <s v="Personnel"/>
    <s v="H "/>
    <x v="1"/>
    <x v="16"/>
    <s v="PSES High Prog01Duty42 S275"/>
    <x v="0"/>
    <s v="42"/>
    <n v="42"/>
    <m/>
    <s v="   "/>
    <n v="1.6"/>
  </r>
  <r>
    <x v="84"/>
    <s v="Port Townsend School District"/>
    <s v="Personnel"/>
    <s v="M "/>
    <x v="2"/>
    <x v="17"/>
    <s v="PSES Mid Prog01Duty42 S275"/>
    <x v="0"/>
    <s v="42"/>
    <n v="42"/>
    <m/>
    <s v="   "/>
    <n v="0.75"/>
  </r>
  <r>
    <x v="84"/>
    <s v="Port Townsend School District"/>
    <s v="Personnel"/>
    <s v="E "/>
    <x v="0"/>
    <x v="18"/>
    <s v="PSES Elem Prog21Duty43 S275"/>
    <x v="1"/>
    <s v="43"/>
    <n v="43"/>
    <m/>
    <s v="   "/>
    <n v="0.48"/>
  </r>
  <r>
    <x v="84"/>
    <s v="Port Townsend School District"/>
    <s v="Personnel"/>
    <s v="H "/>
    <x v="1"/>
    <x v="19"/>
    <s v="PSES High Prog21Duty43 S275"/>
    <x v="1"/>
    <s v="43"/>
    <n v="43"/>
    <m/>
    <s v="   "/>
    <n v="0.08"/>
  </r>
  <r>
    <x v="84"/>
    <s v="Port Townsend School District"/>
    <s v="Personnel"/>
    <s v="M "/>
    <x v="2"/>
    <x v="31"/>
    <s v="PSES Mid Prog21Duty43 S275"/>
    <x v="1"/>
    <s v="43"/>
    <n v="43"/>
    <m/>
    <s v="   "/>
    <n v="0.24"/>
  </r>
  <r>
    <x v="84"/>
    <s v="Port Townsend School District"/>
    <s v="Personnel"/>
    <s v="E "/>
    <x v="0"/>
    <x v="20"/>
    <s v="PSES Elem Prog21Duty45 S275"/>
    <x v="1"/>
    <s v="45"/>
    <n v="45"/>
    <m/>
    <s v="   "/>
    <n v="1"/>
  </r>
  <r>
    <x v="84"/>
    <s v="Port Townsend School District"/>
    <s v="Personnel"/>
    <s v="H "/>
    <x v="1"/>
    <x v="21"/>
    <s v="PSES High Prog21Duty45 S275"/>
    <x v="1"/>
    <s v="45"/>
    <n v="45"/>
    <m/>
    <s v="   "/>
    <n v="0.5"/>
  </r>
  <r>
    <x v="84"/>
    <s v="Port Townsend School District"/>
    <s v="Personnel"/>
    <s v="M "/>
    <x v="2"/>
    <x v="28"/>
    <s v="PSES Mid Prog21Duty45 S275"/>
    <x v="1"/>
    <s v="45"/>
    <n v="45"/>
    <m/>
    <s v="   "/>
    <n v="0.5"/>
  </r>
  <r>
    <x v="84"/>
    <s v="Port Townsend School District"/>
    <s v="Personnel"/>
    <s v="E "/>
    <x v="0"/>
    <x v="22"/>
    <s v="PSES Elem Prog21Duty46 S275"/>
    <x v="1"/>
    <s v="46"/>
    <n v="46"/>
    <m/>
    <s v="   "/>
    <n v="0.8"/>
  </r>
  <r>
    <x v="84"/>
    <s v="Port Townsend School District"/>
    <s v="Personnel"/>
    <s v="H "/>
    <x v="1"/>
    <x v="23"/>
    <s v="PSES High Prog21Duty46 S275"/>
    <x v="1"/>
    <s v="46"/>
    <n v="46"/>
    <m/>
    <s v="   "/>
    <n v="0.3"/>
  </r>
  <r>
    <x v="84"/>
    <s v="Port Townsend School District"/>
    <s v="Personnel"/>
    <s v="M "/>
    <x v="2"/>
    <x v="24"/>
    <s v="PSES Mid Prog21Duty46 S275"/>
    <x v="1"/>
    <s v="46"/>
    <n v="46"/>
    <m/>
    <s v="   "/>
    <n v="0.3"/>
  </r>
  <r>
    <x v="85"/>
    <s v="Seattle Public Schools"/>
    <s v="Personnel"/>
    <s v="E "/>
    <x v="0"/>
    <x v="0"/>
    <s v="PSES Elem Prog01Duty96 S275"/>
    <x v="0"/>
    <s v="24"/>
    <n v="96"/>
    <n v="24"/>
    <s v="   "/>
    <n v="0.55000000000000004"/>
  </r>
  <r>
    <x v="85"/>
    <s v="Seattle Public Schools"/>
    <s v="Personnel"/>
    <s v="H "/>
    <x v="1"/>
    <x v="1"/>
    <s v="PSES High Prog01Duty96 S275"/>
    <x v="0"/>
    <s v="24"/>
    <n v="96"/>
    <n v="24"/>
    <s v="   "/>
    <n v="1.095"/>
  </r>
  <r>
    <x v="85"/>
    <s v="Seattle Public Schools"/>
    <s v="Personnel"/>
    <s v="M "/>
    <x v="2"/>
    <x v="2"/>
    <s v="PSES Mid Prog01Duty96 S275"/>
    <x v="0"/>
    <s v="24"/>
    <n v="96"/>
    <n v="24"/>
    <s v="   "/>
    <n v="0.14000000000000001"/>
  </r>
  <r>
    <x v="85"/>
    <s v="Seattle Public Schools"/>
    <s v="Personnel"/>
    <s v="E "/>
    <x v="0"/>
    <x v="71"/>
    <s v="PSES Elem Prog97Act25 S275"/>
    <x v="2"/>
    <s v="25"/>
    <m/>
    <n v="25"/>
    <s v="   "/>
    <n v="2.1219999999999999"/>
  </r>
  <r>
    <x v="85"/>
    <s v="Seattle Public Schools"/>
    <s v="Personnel"/>
    <s v="E "/>
    <x v="0"/>
    <x v="3"/>
    <s v="PSES Elem Prog01Act25 S275"/>
    <x v="0"/>
    <s v="25"/>
    <m/>
    <n v="25"/>
    <s v="   "/>
    <n v="0.43"/>
  </r>
  <r>
    <x v="85"/>
    <s v="Seattle Public Schools"/>
    <s v="Personnel"/>
    <s v="H "/>
    <x v="1"/>
    <x v="53"/>
    <s v="PSES High Prog97Act25 S275"/>
    <x v="2"/>
    <s v="25"/>
    <m/>
    <n v="25"/>
    <s v="   "/>
    <n v="1.1970000000000001"/>
  </r>
  <r>
    <x v="85"/>
    <s v="Seattle Public Schools"/>
    <s v="Personnel"/>
    <s v="H "/>
    <x v="1"/>
    <x v="5"/>
    <s v="PSES High Prog01Act25 S275"/>
    <x v="0"/>
    <s v="25"/>
    <m/>
    <n v="25"/>
    <s v="   "/>
    <n v="0.24399999999999999"/>
  </r>
  <r>
    <x v="85"/>
    <s v="Seattle Public Schools"/>
    <s v="Personnel"/>
    <s v="M "/>
    <x v="2"/>
    <x v="72"/>
    <s v="PSES Mid Prog97Act25 S275"/>
    <x v="2"/>
    <s v="25"/>
    <m/>
    <n v="25"/>
    <s v="   "/>
    <n v="0.54"/>
  </r>
  <r>
    <x v="85"/>
    <s v="Seattle Public Schools"/>
    <s v="Personnel"/>
    <s v="M "/>
    <x v="2"/>
    <x v="6"/>
    <s v="PSES Mid Prog01Act25 S275"/>
    <x v="0"/>
    <s v="25"/>
    <m/>
    <n v="25"/>
    <s v="   "/>
    <n v="0.11"/>
  </r>
  <r>
    <x v="85"/>
    <s v="Seattle Public Schools"/>
    <s v="Personnel"/>
    <s v="H "/>
    <x v="1"/>
    <x v="29"/>
    <s v="PSES High Prog21Act26 S275"/>
    <x v="1"/>
    <s v="26"/>
    <m/>
    <n v="26"/>
    <s v="   "/>
    <n v="10.574"/>
  </r>
  <r>
    <x v="85"/>
    <s v="Seattle Public Schools"/>
    <s v="Personnel"/>
    <s v="H "/>
    <x v="1"/>
    <x v="9"/>
    <s v="PSES High Prog01Act26 S275"/>
    <x v="0"/>
    <s v="26"/>
    <m/>
    <n v="26"/>
    <s v="   "/>
    <n v="1.57"/>
  </r>
  <r>
    <x v="85"/>
    <s v="Seattle Public Schools"/>
    <s v="Personnel"/>
    <s v="H "/>
    <x v="1"/>
    <x v="54"/>
    <s v="PSES High Prog01Act35 S275"/>
    <x v="0"/>
    <s v="35"/>
    <m/>
    <n v="35"/>
    <s v="   "/>
    <n v="34.188000000000002"/>
  </r>
  <r>
    <x v="85"/>
    <s v="Seattle Public Schools"/>
    <s v="Personnel"/>
    <s v="E "/>
    <x v="0"/>
    <x v="15"/>
    <s v="PSES Elem Prog01Duty42 S275"/>
    <x v="0"/>
    <s v="42"/>
    <n v="42"/>
    <m/>
    <s v="   "/>
    <n v="36.036999999999999"/>
  </r>
  <r>
    <x v="85"/>
    <s v="Seattle Public Schools"/>
    <s v="Personnel"/>
    <s v="H "/>
    <x v="1"/>
    <x v="16"/>
    <s v="PSES High Prog01Duty42 S275"/>
    <x v="0"/>
    <s v="42"/>
    <n v="42"/>
    <m/>
    <s v="   "/>
    <n v="36.127000000000002"/>
  </r>
  <r>
    <x v="85"/>
    <s v="Seattle Public Schools"/>
    <s v="Personnel"/>
    <s v="M "/>
    <x v="2"/>
    <x v="17"/>
    <s v="PSES Mid Prog01Duty42 S275"/>
    <x v="0"/>
    <s v="42"/>
    <n v="42"/>
    <m/>
    <s v="   "/>
    <n v="19.341000000000001"/>
  </r>
  <r>
    <x v="85"/>
    <s v="Seattle Public Schools"/>
    <s v="Personnel"/>
    <s v="E "/>
    <x v="0"/>
    <x v="18"/>
    <s v="PSES Elem Prog21Duty43 S275"/>
    <x v="1"/>
    <s v="43"/>
    <n v="43"/>
    <m/>
    <s v="   "/>
    <n v="32.9"/>
  </r>
  <r>
    <x v="85"/>
    <s v="Seattle Public Schools"/>
    <s v="Personnel"/>
    <s v="E "/>
    <x v="0"/>
    <x v="69"/>
    <s v="PSES Elem Prog01Duty43 S275"/>
    <x v="0"/>
    <s v="43"/>
    <n v="43"/>
    <m/>
    <s v="   "/>
    <n v="1.1000000000000001"/>
  </r>
  <r>
    <x v="85"/>
    <s v="Seattle Public Schools"/>
    <s v="Personnel"/>
    <s v="H "/>
    <x v="1"/>
    <x v="19"/>
    <s v="PSES High Prog21Duty43 S275"/>
    <x v="1"/>
    <s v="43"/>
    <n v="43"/>
    <m/>
    <s v="   "/>
    <n v="18.88"/>
  </r>
  <r>
    <x v="85"/>
    <s v="Seattle Public Schools"/>
    <s v="Personnel"/>
    <s v="H "/>
    <x v="1"/>
    <x v="73"/>
    <s v="PSES High Prog01Duty43 S275"/>
    <x v="0"/>
    <s v="43"/>
    <n v="43"/>
    <m/>
    <s v="   "/>
    <n v="0.62"/>
  </r>
  <r>
    <x v="85"/>
    <s v="Seattle Public Schools"/>
    <s v="Personnel"/>
    <s v="M "/>
    <x v="2"/>
    <x v="31"/>
    <s v="PSES Mid Prog21Duty43 S275"/>
    <x v="1"/>
    <s v="43"/>
    <n v="43"/>
    <m/>
    <s v="   "/>
    <n v="8.1199999999999992"/>
  </r>
  <r>
    <x v="85"/>
    <s v="Seattle Public Schools"/>
    <s v="Personnel"/>
    <s v="M "/>
    <x v="2"/>
    <x v="74"/>
    <s v="PSES Mid Prog01Duty43 S275"/>
    <x v="0"/>
    <s v="43"/>
    <n v="43"/>
    <m/>
    <s v="   "/>
    <n v="0.28000000000000003"/>
  </r>
  <r>
    <x v="85"/>
    <s v="Seattle Public Schools"/>
    <s v="Personnel"/>
    <s v="E "/>
    <x v="0"/>
    <x v="42"/>
    <s v="PSES Elem Prog01Duty44 S275"/>
    <x v="0"/>
    <s v="44"/>
    <n v="44"/>
    <m/>
    <s v="   "/>
    <n v="25.425000000000001"/>
  </r>
  <r>
    <x v="85"/>
    <s v="Seattle Public Schools"/>
    <s v="Personnel"/>
    <s v="H "/>
    <x v="1"/>
    <x v="43"/>
    <s v="PSES High Prog21Duty44 S275"/>
    <x v="1"/>
    <s v="44"/>
    <n v="44"/>
    <m/>
    <s v="   "/>
    <n v="0.5"/>
  </r>
  <r>
    <x v="85"/>
    <s v="Seattle Public Schools"/>
    <s v="Personnel"/>
    <s v="H "/>
    <x v="1"/>
    <x v="44"/>
    <s v="PSES High Prog01Duty44 S275"/>
    <x v="0"/>
    <s v="44"/>
    <n v="44"/>
    <m/>
    <s v="   "/>
    <n v="6.1"/>
  </r>
  <r>
    <x v="85"/>
    <s v="Seattle Public Schools"/>
    <s v="Personnel"/>
    <s v="M "/>
    <x v="2"/>
    <x v="46"/>
    <s v="PSES Mid Prog01Duty44 S275"/>
    <x v="0"/>
    <s v="44"/>
    <n v="44"/>
    <m/>
    <s v="   "/>
    <n v="6.1230000000000002"/>
  </r>
  <r>
    <x v="85"/>
    <s v="Seattle Public Schools"/>
    <s v="Personnel"/>
    <s v="E "/>
    <x v="0"/>
    <x v="20"/>
    <s v="PSES Elem Prog21Duty45 S275"/>
    <x v="1"/>
    <s v="45"/>
    <n v="45"/>
    <m/>
    <s v="   "/>
    <n v="58.284999999999997"/>
  </r>
  <r>
    <x v="85"/>
    <s v="Seattle Public Schools"/>
    <s v="Personnel"/>
    <s v="E "/>
    <x v="0"/>
    <x v="47"/>
    <s v="PSES Elem Prog01Duty45 S275"/>
    <x v="0"/>
    <s v="45"/>
    <n v="45"/>
    <m/>
    <s v="   "/>
    <n v="0.08"/>
  </r>
  <r>
    <x v="85"/>
    <s v="Seattle Public Schools"/>
    <s v="Personnel"/>
    <s v="H "/>
    <x v="1"/>
    <x v="21"/>
    <s v="PSES High Prog21Duty45 S275"/>
    <x v="1"/>
    <s v="45"/>
    <n v="45"/>
    <m/>
    <s v="   "/>
    <n v="32.023000000000003"/>
  </r>
  <r>
    <x v="85"/>
    <s v="Seattle Public Schools"/>
    <s v="Personnel"/>
    <s v="H "/>
    <x v="1"/>
    <x v="51"/>
    <s v="PSES High Prog01Duty45 S275"/>
    <x v="0"/>
    <s v="45"/>
    <n v="45"/>
    <m/>
    <s v="   "/>
    <n v="0.31"/>
  </r>
  <r>
    <x v="85"/>
    <s v="Seattle Public Schools"/>
    <s v="Personnel"/>
    <s v="M "/>
    <x v="2"/>
    <x v="28"/>
    <s v="PSES Mid Prog21Duty45 S275"/>
    <x v="1"/>
    <s v="45"/>
    <n v="45"/>
    <m/>
    <s v="   "/>
    <n v="14.462"/>
  </r>
  <r>
    <x v="85"/>
    <s v="Seattle Public Schools"/>
    <s v="Personnel"/>
    <s v="M "/>
    <x v="2"/>
    <x v="52"/>
    <s v="PSES Mid Prog01Duty45 S275"/>
    <x v="0"/>
    <s v="45"/>
    <n v="45"/>
    <m/>
    <s v="   "/>
    <n v="0.14000000000000001"/>
  </r>
  <r>
    <x v="85"/>
    <s v="Seattle Public Schools"/>
    <s v="Personnel"/>
    <s v="E "/>
    <x v="0"/>
    <x v="22"/>
    <s v="PSES Elem Prog21Duty46 S275"/>
    <x v="1"/>
    <s v="46"/>
    <n v="46"/>
    <m/>
    <s v="   "/>
    <n v="28.774999999999999"/>
  </r>
  <r>
    <x v="85"/>
    <s v="Seattle Public Schools"/>
    <s v="Personnel"/>
    <s v="E "/>
    <x v="0"/>
    <x v="48"/>
    <s v="PSES Elem Prog01Duty46 S275"/>
    <x v="0"/>
    <s v="46"/>
    <n v="46"/>
    <m/>
    <s v="   "/>
    <n v="0.55000000000000004"/>
  </r>
  <r>
    <x v="85"/>
    <s v="Seattle Public Schools"/>
    <s v="Personnel"/>
    <s v="H "/>
    <x v="1"/>
    <x v="23"/>
    <s v="PSES High Prog21Duty46 S275"/>
    <x v="1"/>
    <s v="46"/>
    <n v="46"/>
    <m/>
    <s v="   "/>
    <n v="15.654999999999999"/>
  </r>
  <r>
    <x v="85"/>
    <s v="Seattle Public Schools"/>
    <s v="Personnel"/>
    <s v="H "/>
    <x v="1"/>
    <x v="65"/>
    <s v="PSES High Prog01Duty46 S275"/>
    <x v="0"/>
    <s v="46"/>
    <n v="46"/>
    <m/>
    <s v="   "/>
    <n v="0.31"/>
  </r>
  <r>
    <x v="85"/>
    <s v="Seattle Public Schools"/>
    <s v="Personnel"/>
    <s v="M "/>
    <x v="2"/>
    <x v="24"/>
    <s v="PSES Mid Prog21Duty46 S275"/>
    <x v="1"/>
    <s v="46"/>
    <n v="46"/>
    <m/>
    <s v="   "/>
    <n v="7.07"/>
  </r>
  <r>
    <x v="85"/>
    <s v="Seattle Public Schools"/>
    <s v="Personnel"/>
    <s v="M "/>
    <x v="2"/>
    <x v="49"/>
    <s v="PSES Mid Prog01Duty46 S275"/>
    <x v="0"/>
    <s v="46"/>
    <n v="46"/>
    <m/>
    <s v="   "/>
    <n v="0.14000000000000001"/>
  </r>
  <r>
    <x v="85"/>
    <s v="Seattle Public Schools"/>
    <s v="Personnel"/>
    <s v="E "/>
    <x v="0"/>
    <x v="32"/>
    <s v="PSES Elem Prog21Duty47 S275"/>
    <x v="1"/>
    <s v="47"/>
    <n v="47"/>
    <m/>
    <s v="   "/>
    <n v="1.9570000000000001"/>
  </r>
  <r>
    <x v="85"/>
    <s v="Seattle Public Schools"/>
    <s v="Personnel"/>
    <s v="E "/>
    <x v="0"/>
    <x v="27"/>
    <s v="PSES Elem Prog01Duty47 S275"/>
    <x v="0"/>
    <s v="47"/>
    <n v="47"/>
    <m/>
    <s v="   "/>
    <n v="30.026"/>
  </r>
  <r>
    <x v="85"/>
    <s v="Seattle Public Schools"/>
    <s v="Personnel"/>
    <s v="H "/>
    <x v="1"/>
    <x v="61"/>
    <s v="PSES High Prog21Duty47 S275"/>
    <x v="1"/>
    <s v="47"/>
    <n v="47"/>
    <m/>
    <s v="   "/>
    <n v="1.2090000000000001"/>
  </r>
  <r>
    <x v="85"/>
    <s v="Seattle Public Schools"/>
    <s v="Personnel"/>
    <s v="H "/>
    <x v="1"/>
    <x v="25"/>
    <s v="PSES High Prog01Duty47 S275"/>
    <x v="0"/>
    <s v="47"/>
    <n v="47"/>
    <m/>
    <s v="   "/>
    <n v="16.556000000000001"/>
  </r>
  <r>
    <x v="85"/>
    <s v="Seattle Public Schools"/>
    <s v="Personnel"/>
    <s v="M "/>
    <x v="2"/>
    <x v="33"/>
    <s v="PSES Mid Prog21Duty47 S275"/>
    <x v="1"/>
    <s v="47"/>
    <n v="47"/>
    <m/>
    <s v="   "/>
    <n v="0.54600000000000004"/>
  </r>
  <r>
    <x v="85"/>
    <s v="Seattle Public Schools"/>
    <s v="Personnel"/>
    <s v="M "/>
    <x v="2"/>
    <x v="34"/>
    <s v="PSES Mid Prog01Duty47 S275"/>
    <x v="0"/>
    <s v="47"/>
    <n v="47"/>
    <m/>
    <s v="   "/>
    <n v="7.4740000000000002"/>
  </r>
  <r>
    <x v="85"/>
    <s v="Seattle Public Schools"/>
    <s v="Personnel"/>
    <s v="E "/>
    <x v="0"/>
    <x v="35"/>
    <s v="PSES Elem Prog21Duty48 S275"/>
    <x v="1"/>
    <s v="48"/>
    <n v="48"/>
    <m/>
    <s v="   "/>
    <n v="6.6"/>
  </r>
  <r>
    <x v="85"/>
    <s v="Seattle Public Schools"/>
    <s v="Personnel"/>
    <s v="H "/>
    <x v="1"/>
    <x v="36"/>
    <s v="PSES High Prog21Duty48 S275"/>
    <x v="1"/>
    <s v="48"/>
    <n v="48"/>
    <m/>
    <s v="   "/>
    <n v="3.72"/>
  </r>
  <r>
    <x v="85"/>
    <s v="Seattle Public Schools"/>
    <s v="Personnel"/>
    <s v="M "/>
    <x v="2"/>
    <x v="37"/>
    <s v="PSES Mid Prog21Duty48 S275"/>
    <x v="1"/>
    <s v="48"/>
    <n v="48"/>
    <m/>
    <s v="   "/>
    <n v="1.68"/>
  </r>
  <r>
    <x v="86"/>
    <s v="Federal Way School District"/>
    <s v="Personnel"/>
    <s v="H "/>
    <x v="1"/>
    <x v="1"/>
    <s v="PSES High Prog01Duty96 S275"/>
    <x v="0"/>
    <s v="24"/>
    <n v="96"/>
    <n v="24"/>
    <s v="   "/>
    <n v="4"/>
  </r>
  <r>
    <x v="86"/>
    <s v="Federal Way School District"/>
    <s v="Personnel"/>
    <s v="H "/>
    <x v="1"/>
    <x v="53"/>
    <s v="PSES High Prog97Act25 S275"/>
    <x v="2"/>
    <s v="25"/>
    <m/>
    <n v="25"/>
    <s v="   "/>
    <n v="1"/>
  </r>
  <r>
    <x v="86"/>
    <s v="Federal Way School District"/>
    <s v="Personnel"/>
    <s v="H "/>
    <x v="1"/>
    <x v="5"/>
    <s v="PSES High Prog01Act25 S275"/>
    <x v="0"/>
    <s v="25"/>
    <m/>
    <n v="25"/>
    <s v="   "/>
    <n v="39.029000000000003"/>
  </r>
  <r>
    <x v="86"/>
    <s v="Federal Way School District"/>
    <s v="Personnel"/>
    <s v="H "/>
    <x v="1"/>
    <x v="29"/>
    <s v="PSES High Prog21Act26 S275"/>
    <x v="1"/>
    <s v="26"/>
    <m/>
    <n v="26"/>
    <s v="   "/>
    <n v="5.3159999999999998"/>
  </r>
  <r>
    <x v="86"/>
    <s v="Federal Way School District"/>
    <s v="Personnel"/>
    <s v="H "/>
    <x v="1"/>
    <x v="9"/>
    <s v="PSES High Prog01Act26 S275"/>
    <x v="0"/>
    <s v="26"/>
    <m/>
    <n v="26"/>
    <s v="   "/>
    <n v="15.58"/>
  </r>
  <r>
    <x v="86"/>
    <s v="Federal Way School District"/>
    <s v="Personnel"/>
    <s v="H "/>
    <x v="1"/>
    <x v="12"/>
    <s v="PSES High Prog97Act35 S275"/>
    <x v="2"/>
    <s v="35"/>
    <m/>
    <n v="35"/>
    <s v="   "/>
    <n v="11.407"/>
  </r>
  <r>
    <x v="86"/>
    <s v="Federal Way School District"/>
    <s v="Personnel"/>
    <s v="E "/>
    <x v="0"/>
    <x v="15"/>
    <s v="PSES Elem Prog01Duty42 S275"/>
    <x v="0"/>
    <s v="42"/>
    <n v="42"/>
    <m/>
    <s v="   "/>
    <n v="20.803999999999998"/>
  </r>
  <r>
    <x v="86"/>
    <s v="Federal Way School District"/>
    <s v="Personnel"/>
    <s v="H "/>
    <x v="1"/>
    <x v="16"/>
    <s v="PSES High Prog01Duty42 S275"/>
    <x v="0"/>
    <s v="42"/>
    <n v="42"/>
    <m/>
    <s v="   "/>
    <n v="10.34"/>
  </r>
  <r>
    <x v="86"/>
    <s v="Federal Way School District"/>
    <s v="Personnel"/>
    <s v="M "/>
    <x v="2"/>
    <x v="17"/>
    <s v="PSES Mid Prog01Duty42 S275"/>
    <x v="0"/>
    <s v="42"/>
    <n v="42"/>
    <m/>
    <s v="   "/>
    <n v="4.9960000000000004"/>
  </r>
  <r>
    <x v="86"/>
    <s v="Federal Way School District"/>
    <s v="Personnel"/>
    <s v="E "/>
    <x v="0"/>
    <x v="18"/>
    <s v="PSES Elem Prog21Duty43 S275"/>
    <x v="1"/>
    <s v="43"/>
    <n v="43"/>
    <m/>
    <s v="   "/>
    <n v="3.2280000000000002"/>
  </r>
  <r>
    <x v="86"/>
    <s v="Federal Way School District"/>
    <s v="Personnel"/>
    <s v="H "/>
    <x v="1"/>
    <x v="19"/>
    <s v="PSES High Prog21Duty43 S275"/>
    <x v="1"/>
    <s v="43"/>
    <n v="43"/>
    <m/>
    <s v="   "/>
    <n v="1.8480000000000001"/>
  </r>
  <r>
    <x v="86"/>
    <s v="Federal Way School District"/>
    <s v="Personnel"/>
    <s v="M "/>
    <x v="2"/>
    <x v="31"/>
    <s v="PSES Mid Prog21Duty43 S275"/>
    <x v="1"/>
    <s v="43"/>
    <n v="43"/>
    <m/>
    <s v="   "/>
    <n v="0.92400000000000004"/>
  </r>
  <r>
    <x v="86"/>
    <s v="Federal Way School District"/>
    <s v="Personnel"/>
    <s v="E "/>
    <x v="0"/>
    <x v="42"/>
    <s v="PSES Elem Prog01Duty44 S275"/>
    <x v="0"/>
    <s v="44"/>
    <n v="44"/>
    <m/>
    <s v="   "/>
    <n v="4.33"/>
  </r>
  <r>
    <x v="86"/>
    <s v="Federal Way School District"/>
    <s v="Personnel"/>
    <s v="H "/>
    <x v="1"/>
    <x v="44"/>
    <s v="PSES High Prog01Duty44 S275"/>
    <x v="0"/>
    <s v="44"/>
    <n v="44"/>
    <m/>
    <s v="   "/>
    <n v="0.34"/>
  </r>
  <r>
    <x v="86"/>
    <s v="Federal Way School District"/>
    <s v="Personnel"/>
    <s v="M "/>
    <x v="2"/>
    <x v="46"/>
    <s v="PSES Mid Prog01Duty44 S275"/>
    <x v="0"/>
    <s v="44"/>
    <n v="44"/>
    <m/>
    <s v="   "/>
    <n v="0.67"/>
  </r>
  <r>
    <x v="86"/>
    <s v="Federal Way School District"/>
    <s v="Personnel"/>
    <s v="E "/>
    <x v="0"/>
    <x v="20"/>
    <s v="PSES Elem Prog21Duty45 S275"/>
    <x v="1"/>
    <s v="45"/>
    <n v="45"/>
    <m/>
    <s v="   "/>
    <n v="20.288"/>
  </r>
  <r>
    <x v="86"/>
    <s v="Federal Way School District"/>
    <s v="Personnel"/>
    <s v="H "/>
    <x v="1"/>
    <x v="21"/>
    <s v="PSES High Prog21Duty45 S275"/>
    <x v="1"/>
    <s v="45"/>
    <n v="45"/>
    <m/>
    <s v="   "/>
    <n v="11.61"/>
  </r>
  <r>
    <x v="86"/>
    <s v="Federal Way School District"/>
    <s v="Personnel"/>
    <s v="M "/>
    <x v="2"/>
    <x v="28"/>
    <s v="PSES Mid Prog21Duty45 S275"/>
    <x v="1"/>
    <s v="45"/>
    <n v="45"/>
    <m/>
    <s v="   "/>
    <n v="5.8049999999999997"/>
  </r>
  <r>
    <x v="86"/>
    <s v="Federal Way School District"/>
    <s v="Personnel"/>
    <s v="E "/>
    <x v="0"/>
    <x v="22"/>
    <s v="PSES Elem Prog21Duty46 S275"/>
    <x v="1"/>
    <s v="46"/>
    <n v="46"/>
    <m/>
    <s v="   "/>
    <n v="16.140999999999998"/>
  </r>
  <r>
    <x v="86"/>
    <s v="Federal Way School District"/>
    <s v="Personnel"/>
    <s v="H "/>
    <x v="1"/>
    <x v="23"/>
    <s v="PSES High Prog21Duty46 S275"/>
    <x v="1"/>
    <s v="46"/>
    <n v="46"/>
    <m/>
    <s v="   "/>
    <n v="9.24"/>
  </r>
  <r>
    <x v="86"/>
    <s v="Federal Way School District"/>
    <s v="Personnel"/>
    <s v="M "/>
    <x v="2"/>
    <x v="24"/>
    <s v="PSES Mid Prog21Duty46 S275"/>
    <x v="1"/>
    <s v="46"/>
    <n v="46"/>
    <m/>
    <s v="   "/>
    <n v="4.6189999999999998"/>
  </r>
  <r>
    <x v="86"/>
    <s v="Federal Way School District"/>
    <s v="Personnel"/>
    <s v="E "/>
    <x v="0"/>
    <x v="27"/>
    <s v="PSES Elem Prog01Duty47 S275"/>
    <x v="0"/>
    <s v="47"/>
    <n v="47"/>
    <m/>
    <s v="   "/>
    <n v="9.42"/>
  </r>
  <r>
    <x v="86"/>
    <s v="Federal Way School District"/>
    <s v="Personnel"/>
    <s v="H "/>
    <x v="1"/>
    <x v="25"/>
    <s v="PSES High Prog01Duty47 S275"/>
    <x v="0"/>
    <s v="47"/>
    <n v="47"/>
    <m/>
    <s v="   "/>
    <n v="5.39"/>
  </r>
  <r>
    <x v="86"/>
    <s v="Federal Way School District"/>
    <s v="Personnel"/>
    <s v="M "/>
    <x v="2"/>
    <x v="34"/>
    <s v="PSES Mid Prog01Duty47 S275"/>
    <x v="0"/>
    <s v="47"/>
    <n v="47"/>
    <m/>
    <s v="   "/>
    <n v="2.6949999999999998"/>
  </r>
  <r>
    <x v="86"/>
    <s v="Federal Way School District"/>
    <s v="Personnel"/>
    <s v="E "/>
    <x v="0"/>
    <x v="35"/>
    <s v="PSES Elem Prog21Duty48 S275"/>
    <x v="1"/>
    <s v="48"/>
    <n v="48"/>
    <m/>
    <s v="   "/>
    <n v="2.69"/>
  </r>
  <r>
    <x v="86"/>
    <s v="Federal Way School District"/>
    <s v="Personnel"/>
    <s v="H "/>
    <x v="1"/>
    <x v="36"/>
    <s v="PSES High Prog21Duty48 S275"/>
    <x v="1"/>
    <s v="48"/>
    <n v="48"/>
    <m/>
    <s v="   "/>
    <n v="1.54"/>
  </r>
  <r>
    <x v="86"/>
    <s v="Federal Way School District"/>
    <s v="Personnel"/>
    <s v="M "/>
    <x v="2"/>
    <x v="37"/>
    <s v="PSES Mid Prog21Duty48 S275"/>
    <x v="1"/>
    <s v="48"/>
    <n v="48"/>
    <m/>
    <s v="   "/>
    <n v="0.77"/>
  </r>
  <r>
    <x v="86"/>
    <s v="Federal Way School District"/>
    <s v="Personnel"/>
    <s v="E "/>
    <x v="0"/>
    <x v="38"/>
    <s v="PSES Elem Prog21Duty64 S275"/>
    <x v="1"/>
    <s v="64"/>
    <n v="64"/>
    <m/>
    <s v="   "/>
    <n v="3.2280000000000002"/>
  </r>
  <r>
    <x v="86"/>
    <s v="Federal Way School District"/>
    <s v="Personnel"/>
    <s v="H "/>
    <x v="1"/>
    <x v="59"/>
    <s v="PSES High Prog21Duty64 S275"/>
    <x v="1"/>
    <s v="64"/>
    <n v="64"/>
    <m/>
    <s v="   "/>
    <n v="1.8480000000000001"/>
  </r>
  <r>
    <x v="86"/>
    <s v="Federal Way School District"/>
    <s v="Personnel"/>
    <s v="M "/>
    <x v="2"/>
    <x v="60"/>
    <s v="PSES Mid Prog21Duty64 S275"/>
    <x v="1"/>
    <s v="64"/>
    <n v="64"/>
    <m/>
    <s v="   "/>
    <n v="0.92400000000000004"/>
  </r>
  <r>
    <x v="87"/>
    <s v="Enumclaw School District"/>
    <s v="Personnel"/>
    <s v="E "/>
    <x v="0"/>
    <x v="3"/>
    <s v="PSES Elem Prog01Act25 S275"/>
    <x v="0"/>
    <s v="25"/>
    <m/>
    <n v="25"/>
    <s v="   "/>
    <n v="1.6759999999999999"/>
  </r>
  <r>
    <x v="87"/>
    <s v="Enumclaw School District"/>
    <s v="Personnel"/>
    <s v="H "/>
    <x v="1"/>
    <x v="5"/>
    <s v="PSES High Prog01Act25 S275"/>
    <x v="0"/>
    <s v="25"/>
    <m/>
    <n v="25"/>
    <s v="   "/>
    <n v="4.0000000000000001E-3"/>
  </r>
  <r>
    <x v="87"/>
    <s v="Enumclaw School District"/>
    <s v="Personnel"/>
    <s v="H "/>
    <x v="1"/>
    <x v="29"/>
    <s v="PSES High Prog21Act26 S275"/>
    <x v="1"/>
    <s v="26"/>
    <m/>
    <n v="26"/>
    <s v="   "/>
    <n v="1.214"/>
  </r>
  <r>
    <x v="87"/>
    <s v="Enumclaw School District"/>
    <s v="Personnel"/>
    <s v="H "/>
    <x v="1"/>
    <x v="9"/>
    <s v="PSES High Prog01Act26 S275"/>
    <x v="0"/>
    <s v="26"/>
    <m/>
    <n v="26"/>
    <s v="   "/>
    <n v="4.8419999999999996"/>
  </r>
  <r>
    <x v="87"/>
    <s v="Enumclaw School District"/>
    <s v="Personnel"/>
    <s v="H "/>
    <x v="1"/>
    <x v="54"/>
    <s v="PSES High Prog01Act35 S275"/>
    <x v="0"/>
    <s v="35"/>
    <m/>
    <n v="35"/>
    <s v="   "/>
    <n v="0.78100000000000003"/>
  </r>
  <r>
    <x v="87"/>
    <s v="Enumclaw School District"/>
    <s v="Personnel"/>
    <s v="E "/>
    <x v="0"/>
    <x v="15"/>
    <s v="PSES Elem Prog01Duty42 S275"/>
    <x v="0"/>
    <s v="42"/>
    <n v="42"/>
    <m/>
    <s v="   "/>
    <n v="5.6820000000000004"/>
  </r>
  <r>
    <x v="87"/>
    <s v="Enumclaw School District"/>
    <s v="Personnel"/>
    <s v="H "/>
    <x v="1"/>
    <x v="16"/>
    <s v="PSES High Prog01Duty42 S275"/>
    <x v="0"/>
    <s v="42"/>
    <n v="42"/>
    <m/>
    <s v="   "/>
    <n v="3"/>
  </r>
  <r>
    <x v="87"/>
    <s v="Enumclaw School District"/>
    <s v="Personnel"/>
    <s v="M "/>
    <x v="2"/>
    <x v="17"/>
    <s v="PSES Mid Prog01Duty42 S275"/>
    <x v="0"/>
    <s v="42"/>
    <n v="42"/>
    <m/>
    <s v="   "/>
    <n v="1.3180000000000001"/>
  </r>
  <r>
    <x v="87"/>
    <s v="Enumclaw School District"/>
    <s v="Personnel"/>
    <s v="E "/>
    <x v="0"/>
    <x v="18"/>
    <s v="PSES Elem Prog21Duty43 S275"/>
    <x v="1"/>
    <s v="43"/>
    <n v="43"/>
    <m/>
    <s v="   "/>
    <n v="1"/>
  </r>
  <r>
    <x v="87"/>
    <s v="Enumclaw School District"/>
    <s v="Personnel"/>
    <s v="E "/>
    <x v="0"/>
    <x v="20"/>
    <s v="PSES Elem Prog21Duty45 S275"/>
    <x v="1"/>
    <s v="45"/>
    <n v="45"/>
    <m/>
    <s v="   "/>
    <n v="5.26"/>
  </r>
  <r>
    <x v="87"/>
    <s v="Enumclaw School District"/>
    <s v="Personnel"/>
    <s v="H "/>
    <x v="1"/>
    <x v="21"/>
    <s v="PSES High Prog21Duty45 S275"/>
    <x v="1"/>
    <s v="45"/>
    <n v="45"/>
    <m/>
    <s v="   "/>
    <n v="0.224"/>
  </r>
  <r>
    <x v="87"/>
    <s v="Enumclaw School District"/>
    <s v="Personnel"/>
    <s v="M "/>
    <x v="2"/>
    <x v="28"/>
    <s v="PSES Mid Prog21Duty45 S275"/>
    <x v="1"/>
    <s v="45"/>
    <n v="45"/>
    <m/>
    <s v="   "/>
    <n v="0.52700000000000002"/>
  </r>
  <r>
    <x v="87"/>
    <s v="Enumclaw School District"/>
    <s v="Personnel"/>
    <s v="E "/>
    <x v="0"/>
    <x v="22"/>
    <s v="PSES Elem Prog21Duty46 S275"/>
    <x v="1"/>
    <s v="46"/>
    <n v="46"/>
    <m/>
    <s v="   "/>
    <n v="2"/>
  </r>
  <r>
    <x v="87"/>
    <s v="Enumclaw School District"/>
    <s v="Personnel"/>
    <s v="E "/>
    <x v="0"/>
    <x v="32"/>
    <s v="PSES Elem Prog21Duty47 S275"/>
    <x v="1"/>
    <s v="47"/>
    <n v="47"/>
    <m/>
    <s v="   "/>
    <n v="7.0000000000000007E-2"/>
  </r>
  <r>
    <x v="87"/>
    <s v="Enumclaw School District"/>
    <s v="Personnel"/>
    <s v="E "/>
    <x v="0"/>
    <x v="27"/>
    <s v="PSES Elem Prog01Duty47 S275"/>
    <x v="0"/>
    <s v="47"/>
    <n v="47"/>
    <m/>
    <s v="   "/>
    <n v="0.39800000000000002"/>
  </r>
  <r>
    <x v="87"/>
    <s v="Enumclaw School District"/>
    <s v="Personnel"/>
    <s v="H "/>
    <x v="1"/>
    <x v="61"/>
    <s v="PSES High Prog21Duty47 S275"/>
    <x v="1"/>
    <s v="47"/>
    <n v="47"/>
    <m/>
    <s v="   "/>
    <n v="4.3999999999999997E-2"/>
  </r>
  <r>
    <x v="87"/>
    <s v="Enumclaw School District"/>
    <s v="Personnel"/>
    <s v="H "/>
    <x v="1"/>
    <x v="25"/>
    <s v="PSES High Prog01Duty47 S275"/>
    <x v="0"/>
    <s v="47"/>
    <n v="47"/>
    <m/>
    <s v="   "/>
    <n v="0.248"/>
  </r>
  <r>
    <x v="87"/>
    <s v="Enumclaw School District"/>
    <s v="Personnel"/>
    <s v="M "/>
    <x v="2"/>
    <x v="33"/>
    <s v="PSES Mid Prog21Duty47 S275"/>
    <x v="1"/>
    <s v="47"/>
    <n v="47"/>
    <m/>
    <s v="   "/>
    <n v="3.5999999999999997E-2"/>
  </r>
  <r>
    <x v="87"/>
    <s v="Enumclaw School District"/>
    <s v="Personnel"/>
    <s v="M "/>
    <x v="2"/>
    <x v="34"/>
    <s v="PSES Mid Prog01Duty47 S275"/>
    <x v="0"/>
    <s v="47"/>
    <n v="47"/>
    <m/>
    <s v="   "/>
    <n v="0.20399999999999999"/>
  </r>
  <r>
    <x v="87"/>
    <s v="Enumclaw School District"/>
    <s v="Personnel"/>
    <s v="E "/>
    <x v="0"/>
    <x v="38"/>
    <s v="PSES Elem Prog21Duty64 S275"/>
    <x v="1"/>
    <s v="64"/>
    <n v="64"/>
    <m/>
    <s v="   "/>
    <n v="1.5329999999999999"/>
  </r>
  <r>
    <x v="87"/>
    <s v="Enumclaw School District"/>
    <s v="Personnel"/>
    <s v="H "/>
    <x v="1"/>
    <x v="59"/>
    <s v="PSES High Prog21Duty64 S275"/>
    <x v="1"/>
    <s v="64"/>
    <n v="64"/>
    <m/>
    <s v="   "/>
    <n v="3"/>
  </r>
  <r>
    <x v="87"/>
    <s v="Enumclaw School District"/>
    <s v="Personnel"/>
    <s v="M "/>
    <x v="2"/>
    <x v="60"/>
    <s v="PSES Mid Prog21Duty64 S275"/>
    <x v="1"/>
    <s v="64"/>
    <n v="64"/>
    <m/>
    <s v="   "/>
    <n v="0.66700000000000004"/>
  </r>
  <r>
    <x v="88"/>
    <s v="Mercer Island School District"/>
    <s v="Personnel"/>
    <s v="H "/>
    <x v="1"/>
    <x v="4"/>
    <s v="PSES High Prog21Act25 S275"/>
    <x v="1"/>
    <s v="25"/>
    <m/>
    <n v="25"/>
    <s v="   "/>
    <n v="7.0000000000000007E-2"/>
  </r>
  <r>
    <x v="88"/>
    <s v="Mercer Island School District"/>
    <s v="Personnel"/>
    <s v="H "/>
    <x v="1"/>
    <x v="5"/>
    <s v="PSES High Prog01Act25 S275"/>
    <x v="0"/>
    <s v="25"/>
    <m/>
    <n v="25"/>
    <s v="   "/>
    <n v="8.6649999999999991"/>
  </r>
  <r>
    <x v="88"/>
    <s v="Mercer Island School District"/>
    <s v="Personnel"/>
    <s v="H "/>
    <x v="1"/>
    <x v="29"/>
    <s v="PSES High Prog21Act26 S275"/>
    <x v="1"/>
    <s v="26"/>
    <m/>
    <n v="26"/>
    <s v="   "/>
    <n v="1.7"/>
  </r>
  <r>
    <x v="88"/>
    <s v="Mercer Island School District"/>
    <s v="Personnel"/>
    <s v="H "/>
    <x v="1"/>
    <x v="9"/>
    <s v="PSES High Prog01Act26 S275"/>
    <x v="0"/>
    <s v="26"/>
    <m/>
    <n v="26"/>
    <s v="   "/>
    <n v="2.9220000000000002"/>
  </r>
  <r>
    <x v="88"/>
    <s v="Mercer Island School District"/>
    <s v="Personnel"/>
    <s v="H "/>
    <x v="1"/>
    <x v="54"/>
    <s v="PSES High Prog01Act35 S275"/>
    <x v="0"/>
    <s v="35"/>
    <m/>
    <n v="35"/>
    <s v="   "/>
    <n v="2.0859999999999999"/>
  </r>
  <r>
    <x v="88"/>
    <s v="Mercer Island School District"/>
    <s v="Personnel"/>
    <s v="H "/>
    <x v="1"/>
    <x v="16"/>
    <s v="PSES High Prog01Duty42 S275"/>
    <x v="0"/>
    <s v="42"/>
    <n v="42"/>
    <m/>
    <s v="   "/>
    <n v="4"/>
  </r>
  <r>
    <x v="88"/>
    <s v="Mercer Island School District"/>
    <s v="Personnel"/>
    <s v="M "/>
    <x v="2"/>
    <x v="75"/>
    <s v="PSES Mid Prog21Duty42 S275"/>
    <x v="1"/>
    <s v="42"/>
    <n v="42"/>
    <m/>
    <s v="   "/>
    <n v="0.3"/>
  </r>
  <r>
    <x v="88"/>
    <s v="Mercer Island School District"/>
    <s v="Personnel"/>
    <s v="M "/>
    <x v="2"/>
    <x v="17"/>
    <s v="PSES Mid Prog01Duty42 S275"/>
    <x v="0"/>
    <s v="42"/>
    <n v="42"/>
    <m/>
    <s v="   "/>
    <n v="3"/>
  </r>
  <r>
    <x v="88"/>
    <s v="Mercer Island School District"/>
    <s v="Personnel"/>
    <s v="E "/>
    <x v="0"/>
    <x v="18"/>
    <s v="PSES Elem Prog21Duty43 S275"/>
    <x v="1"/>
    <s v="43"/>
    <n v="43"/>
    <m/>
    <s v="   "/>
    <n v="1"/>
  </r>
  <r>
    <x v="88"/>
    <s v="Mercer Island School District"/>
    <s v="Personnel"/>
    <s v="E "/>
    <x v="0"/>
    <x v="20"/>
    <s v="PSES Elem Prog21Duty45 S275"/>
    <x v="1"/>
    <s v="45"/>
    <n v="45"/>
    <m/>
    <s v="   "/>
    <n v="2.4300000000000002"/>
  </r>
  <r>
    <x v="88"/>
    <s v="Mercer Island School District"/>
    <s v="Personnel"/>
    <s v="M "/>
    <x v="2"/>
    <x v="28"/>
    <s v="PSES Mid Prog21Duty45 S275"/>
    <x v="1"/>
    <s v="45"/>
    <n v="45"/>
    <m/>
    <s v="   "/>
    <n v="0.56999999999999995"/>
  </r>
  <r>
    <x v="88"/>
    <s v="Mercer Island School District"/>
    <s v="Personnel"/>
    <s v="E "/>
    <x v="0"/>
    <x v="22"/>
    <s v="PSES Elem Prog21Duty46 S275"/>
    <x v="1"/>
    <s v="46"/>
    <n v="46"/>
    <m/>
    <s v="   "/>
    <n v="1.8"/>
  </r>
  <r>
    <x v="88"/>
    <s v="Mercer Island School District"/>
    <s v="Personnel"/>
    <s v="H "/>
    <x v="1"/>
    <x v="23"/>
    <s v="PSES High Prog21Duty46 S275"/>
    <x v="1"/>
    <s v="46"/>
    <n v="46"/>
    <m/>
    <s v="   "/>
    <n v="1"/>
  </r>
  <r>
    <x v="88"/>
    <s v="Mercer Island School District"/>
    <s v="Personnel"/>
    <s v="M "/>
    <x v="2"/>
    <x v="24"/>
    <s v="PSES Mid Prog21Duty46 S275"/>
    <x v="1"/>
    <s v="46"/>
    <n v="46"/>
    <m/>
    <s v="   "/>
    <n v="1"/>
  </r>
  <r>
    <x v="88"/>
    <s v="Mercer Island School District"/>
    <s v="Personnel"/>
    <s v="H "/>
    <x v="1"/>
    <x v="25"/>
    <s v="PSES High Prog01Duty47 S275"/>
    <x v="0"/>
    <s v="47"/>
    <n v="47"/>
    <m/>
    <s v="   "/>
    <n v="1.5"/>
  </r>
  <r>
    <x v="88"/>
    <s v="Mercer Island School District"/>
    <s v="Personnel"/>
    <s v="M "/>
    <x v="2"/>
    <x v="34"/>
    <s v="PSES Mid Prog01Duty47 S275"/>
    <x v="0"/>
    <s v="47"/>
    <n v="47"/>
    <m/>
    <s v="   "/>
    <n v="0.5"/>
  </r>
  <r>
    <x v="88"/>
    <s v="Mercer Island School District"/>
    <s v="Personnel"/>
    <s v="E "/>
    <x v="0"/>
    <x v="35"/>
    <s v="PSES Elem Prog21Duty48 S275"/>
    <x v="1"/>
    <s v="48"/>
    <n v="48"/>
    <m/>
    <s v="   "/>
    <n v="1.4"/>
  </r>
  <r>
    <x v="88"/>
    <s v="Mercer Island School District"/>
    <s v="Personnel"/>
    <s v="E "/>
    <x v="0"/>
    <x v="26"/>
    <s v="PSES Elem Prog21Duty49 S275"/>
    <x v="1"/>
    <s v="49"/>
    <n v="49"/>
    <m/>
    <s v="   "/>
    <n v="1.3240000000000001"/>
  </r>
  <r>
    <x v="88"/>
    <s v="Mercer Island School District"/>
    <s v="Personnel"/>
    <s v="H "/>
    <x v="1"/>
    <x v="55"/>
    <s v="PSES High Prog21Duty49 S275"/>
    <x v="1"/>
    <s v="49"/>
    <n v="49"/>
    <m/>
    <s v="   "/>
    <n v="1.476"/>
  </r>
  <r>
    <x v="89"/>
    <s v="Highline School District"/>
    <s v="Personnel"/>
    <s v="H "/>
    <x v="1"/>
    <x v="1"/>
    <s v="PSES High Prog01Duty96 S275"/>
    <x v="0"/>
    <s v="24"/>
    <n v="96"/>
    <n v="24"/>
    <s v="   "/>
    <n v="1"/>
  </r>
  <r>
    <x v="89"/>
    <s v="Highline School District"/>
    <s v="Personnel"/>
    <s v="H "/>
    <x v="1"/>
    <x v="5"/>
    <s v="PSES High Prog01Act25 S275"/>
    <x v="0"/>
    <s v="25"/>
    <m/>
    <n v="25"/>
    <s v="   "/>
    <n v="32.567999999999998"/>
  </r>
  <r>
    <x v="89"/>
    <s v="Highline School District"/>
    <s v="Personnel"/>
    <s v="H "/>
    <x v="1"/>
    <x v="29"/>
    <s v="PSES High Prog21Act26 S275"/>
    <x v="1"/>
    <s v="26"/>
    <m/>
    <n v="26"/>
    <s v="   "/>
    <n v="12.262"/>
  </r>
  <r>
    <x v="89"/>
    <s v="Highline School District"/>
    <s v="Personnel"/>
    <s v="E "/>
    <x v="0"/>
    <x v="15"/>
    <s v="PSES Elem Prog01Duty42 S275"/>
    <x v="0"/>
    <s v="42"/>
    <n v="42"/>
    <m/>
    <s v="   "/>
    <n v="26.212"/>
  </r>
  <r>
    <x v="89"/>
    <s v="Highline School District"/>
    <s v="Personnel"/>
    <s v="H "/>
    <x v="1"/>
    <x v="16"/>
    <s v="PSES High Prog01Duty42 S275"/>
    <x v="0"/>
    <s v="42"/>
    <n v="42"/>
    <m/>
    <s v="   "/>
    <n v="23.736000000000001"/>
  </r>
  <r>
    <x v="89"/>
    <s v="Highline School District"/>
    <s v="Personnel"/>
    <s v="M "/>
    <x v="2"/>
    <x v="17"/>
    <s v="PSES Mid Prog01Duty42 S275"/>
    <x v="0"/>
    <s v="42"/>
    <n v="42"/>
    <m/>
    <s v="   "/>
    <n v="12.813000000000001"/>
  </r>
  <r>
    <x v="89"/>
    <s v="Highline School District"/>
    <s v="Personnel"/>
    <s v="E "/>
    <x v="0"/>
    <x v="18"/>
    <s v="PSES Elem Prog21Duty43 S275"/>
    <x v="1"/>
    <s v="43"/>
    <n v="43"/>
    <m/>
    <s v="   "/>
    <n v="16.210999999999999"/>
  </r>
  <r>
    <x v="89"/>
    <s v="Highline School District"/>
    <s v="Personnel"/>
    <s v="H "/>
    <x v="1"/>
    <x v="19"/>
    <s v="PSES High Prog21Duty43 S275"/>
    <x v="1"/>
    <s v="43"/>
    <n v="43"/>
    <m/>
    <s v="   "/>
    <n v="4.7"/>
  </r>
  <r>
    <x v="89"/>
    <s v="Highline School District"/>
    <s v="Personnel"/>
    <s v="M "/>
    <x v="2"/>
    <x v="31"/>
    <s v="PSES Mid Prog21Duty43 S275"/>
    <x v="1"/>
    <s v="43"/>
    <n v="43"/>
    <m/>
    <s v="   "/>
    <n v="1.55"/>
  </r>
  <r>
    <x v="89"/>
    <s v="Highline School District"/>
    <s v="Personnel"/>
    <s v="E "/>
    <x v="0"/>
    <x v="41"/>
    <s v="PSES Elem Prog21Duty44 S275"/>
    <x v="1"/>
    <s v="44"/>
    <n v="44"/>
    <m/>
    <s v="   "/>
    <n v="1"/>
  </r>
  <r>
    <x v="89"/>
    <s v="Highline School District"/>
    <s v="Personnel"/>
    <s v="E "/>
    <x v="0"/>
    <x v="42"/>
    <s v="PSES Elem Prog01Duty44 S275"/>
    <x v="0"/>
    <s v="44"/>
    <n v="44"/>
    <m/>
    <s v="   "/>
    <n v="2.8"/>
  </r>
  <r>
    <x v="89"/>
    <s v="Highline School District"/>
    <s v="Personnel"/>
    <s v="H "/>
    <x v="1"/>
    <x v="43"/>
    <s v="PSES High Prog21Duty44 S275"/>
    <x v="1"/>
    <s v="44"/>
    <n v="44"/>
    <m/>
    <s v="   "/>
    <n v="0.5"/>
  </r>
  <r>
    <x v="89"/>
    <s v="Highline School District"/>
    <s v="Personnel"/>
    <s v="H "/>
    <x v="1"/>
    <x v="44"/>
    <s v="PSES High Prog01Duty44 S275"/>
    <x v="0"/>
    <s v="44"/>
    <n v="44"/>
    <m/>
    <s v="   "/>
    <n v="3"/>
  </r>
  <r>
    <x v="89"/>
    <s v="Highline School District"/>
    <s v="Personnel"/>
    <s v="M "/>
    <x v="2"/>
    <x v="45"/>
    <s v="PSES Mid Prog21Duty44 S275"/>
    <x v="1"/>
    <s v="44"/>
    <n v="44"/>
    <m/>
    <s v="   "/>
    <n v="0.5"/>
  </r>
  <r>
    <x v="89"/>
    <s v="Highline School District"/>
    <s v="Personnel"/>
    <s v="M "/>
    <x v="2"/>
    <x v="46"/>
    <s v="PSES Mid Prog01Duty44 S275"/>
    <x v="0"/>
    <s v="44"/>
    <n v="44"/>
    <m/>
    <s v="   "/>
    <n v="1"/>
  </r>
  <r>
    <x v="89"/>
    <s v="Highline School District"/>
    <s v="Personnel"/>
    <s v="E "/>
    <x v="0"/>
    <x v="20"/>
    <s v="PSES Elem Prog21Duty45 S275"/>
    <x v="1"/>
    <s v="45"/>
    <n v="45"/>
    <m/>
    <s v="   "/>
    <n v="34.770000000000003"/>
  </r>
  <r>
    <x v="89"/>
    <s v="Highline School District"/>
    <s v="Personnel"/>
    <s v="H "/>
    <x v="1"/>
    <x v="21"/>
    <s v="PSES High Prog21Duty45 S275"/>
    <x v="1"/>
    <s v="45"/>
    <n v="45"/>
    <m/>
    <s v="   "/>
    <n v="5.4969999999999999"/>
  </r>
  <r>
    <x v="89"/>
    <s v="Highline School District"/>
    <s v="Personnel"/>
    <s v="M "/>
    <x v="2"/>
    <x v="28"/>
    <s v="PSES Mid Prog21Duty45 S275"/>
    <x v="1"/>
    <s v="45"/>
    <n v="45"/>
    <m/>
    <s v="   "/>
    <n v="4.5810000000000004"/>
  </r>
  <r>
    <x v="89"/>
    <s v="Highline School District"/>
    <s v="Personnel"/>
    <s v="E "/>
    <x v="0"/>
    <x v="22"/>
    <s v="PSES Elem Prog21Duty46 S275"/>
    <x v="1"/>
    <s v="46"/>
    <n v="46"/>
    <m/>
    <s v="   "/>
    <n v="12.369"/>
  </r>
  <r>
    <x v="89"/>
    <s v="Highline School District"/>
    <s v="Personnel"/>
    <s v="E "/>
    <x v="0"/>
    <x v="48"/>
    <s v="PSES Elem Prog01Duty46 S275"/>
    <x v="0"/>
    <s v="46"/>
    <n v="46"/>
    <m/>
    <s v="   "/>
    <n v="0.16300000000000001"/>
  </r>
  <r>
    <x v="89"/>
    <s v="Highline School District"/>
    <s v="Personnel"/>
    <s v="H "/>
    <x v="1"/>
    <x v="23"/>
    <s v="PSES High Prog21Duty46 S275"/>
    <x v="1"/>
    <s v="46"/>
    <n v="46"/>
    <m/>
    <s v="   "/>
    <n v="5.6689999999999996"/>
  </r>
  <r>
    <x v="89"/>
    <s v="Highline School District"/>
    <s v="Personnel"/>
    <s v="H "/>
    <x v="1"/>
    <x v="65"/>
    <s v="PSES High Prog01Duty46 S275"/>
    <x v="0"/>
    <s v="46"/>
    <n v="46"/>
    <m/>
    <s v="   "/>
    <n v="0.161"/>
  </r>
  <r>
    <x v="89"/>
    <s v="Highline School District"/>
    <s v="Personnel"/>
    <s v="M "/>
    <x v="2"/>
    <x v="24"/>
    <s v="PSES Mid Prog21Duty46 S275"/>
    <x v="1"/>
    <s v="46"/>
    <n v="46"/>
    <m/>
    <s v="   "/>
    <n v="3.7629999999999999"/>
  </r>
  <r>
    <x v="89"/>
    <s v="Highline School District"/>
    <s v="Personnel"/>
    <s v="M "/>
    <x v="2"/>
    <x v="49"/>
    <s v="PSES Mid Prog01Duty46 S275"/>
    <x v="0"/>
    <s v="46"/>
    <n v="46"/>
    <m/>
    <s v="   "/>
    <n v="0.16300000000000001"/>
  </r>
  <r>
    <x v="89"/>
    <s v="Highline School District"/>
    <s v="Personnel"/>
    <s v="E "/>
    <x v="0"/>
    <x v="27"/>
    <s v="PSES Elem Prog01Duty47 S275"/>
    <x v="0"/>
    <s v="47"/>
    <n v="47"/>
    <m/>
    <s v="   "/>
    <n v="9.1999999999999993"/>
  </r>
  <r>
    <x v="89"/>
    <s v="Highline School District"/>
    <s v="Personnel"/>
    <s v="H "/>
    <x v="1"/>
    <x v="25"/>
    <s v="PSES High Prog01Duty47 S275"/>
    <x v="0"/>
    <s v="47"/>
    <n v="47"/>
    <m/>
    <s v="   "/>
    <n v="8.1059999999999999"/>
  </r>
  <r>
    <x v="89"/>
    <s v="Highline School District"/>
    <s v="Personnel"/>
    <s v="M "/>
    <x v="2"/>
    <x v="34"/>
    <s v="PSES Mid Prog01Duty47 S275"/>
    <x v="0"/>
    <s v="47"/>
    <n v="47"/>
    <m/>
    <s v="   "/>
    <n v="0.90600000000000003"/>
  </r>
  <r>
    <x v="89"/>
    <s v="Highline School District"/>
    <s v="Personnel"/>
    <s v="E "/>
    <x v="0"/>
    <x v="35"/>
    <s v="PSES Elem Prog21Duty48 S275"/>
    <x v="1"/>
    <s v="48"/>
    <n v="48"/>
    <m/>
    <s v="   "/>
    <n v="1.83"/>
  </r>
  <r>
    <x v="89"/>
    <s v="Highline School District"/>
    <s v="Personnel"/>
    <s v="H "/>
    <x v="1"/>
    <x v="36"/>
    <s v="PSES High Prog21Duty48 S275"/>
    <x v="1"/>
    <s v="48"/>
    <n v="48"/>
    <m/>
    <s v="   "/>
    <n v="0.34"/>
  </r>
  <r>
    <x v="89"/>
    <s v="Highline School District"/>
    <s v="Personnel"/>
    <s v="M "/>
    <x v="2"/>
    <x v="37"/>
    <s v="PSES Mid Prog21Duty48 S275"/>
    <x v="1"/>
    <s v="48"/>
    <n v="48"/>
    <m/>
    <s v="   "/>
    <n v="0.33"/>
  </r>
  <r>
    <x v="89"/>
    <s v="Highline School District"/>
    <s v="Personnel"/>
    <s v="E "/>
    <x v="0"/>
    <x v="26"/>
    <s v="PSES Elem Prog21Duty49 S275"/>
    <x v="1"/>
    <s v="49"/>
    <n v="49"/>
    <m/>
    <s v="   "/>
    <n v="2"/>
  </r>
  <r>
    <x v="89"/>
    <s v="Highline School District"/>
    <s v="Personnel"/>
    <s v="H "/>
    <x v="1"/>
    <x v="55"/>
    <s v="PSES High Prog21Duty49 S275"/>
    <x v="1"/>
    <s v="49"/>
    <n v="49"/>
    <m/>
    <s v="   "/>
    <n v="1.1439999999999999"/>
  </r>
  <r>
    <x v="89"/>
    <s v="Highline School District"/>
    <s v="Personnel"/>
    <s v="M "/>
    <x v="2"/>
    <x v="50"/>
    <s v="PSES Mid Prog21Duty49 S275"/>
    <x v="1"/>
    <s v="49"/>
    <n v="49"/>
    <m/>
    <s v="   "/>
    <n v="0.57199999999999995"/>
  </r>
  <r>
    <x v="90"/>
    <s v="Vashon Island School District"/>
    <s v="Personnel"/>
    <s v="H "/>
    <x v="1"/>
    <x v="1"/>
    <s v="PSES High Prog01Duty96 S275"/>
    <x v="0"/>
    <s v="24"/>
    <n v="96"/>
    <n v="24"/>
    <s v="   "/>
    <n v="0.73799999999999999"/>
  </r>
  <r>
    <x v="90"/>
    <s v="Vashon Island School District"/>
    <s v="Personnel"/>
    <s v="H "/>
    <x v="1"/>
    <x v="5"/>
    <s v="PSES High Prog01Act25 S275"/>
    <x v="0"/>
    <s v="25"/>
    <m/>
    <n v="25"/>
    <s v="   "/>
    <n v="1.58"/>
  </r>
  <r>
    <x v="90"/>
    <s v="Vashon Island School District"/>
    <s v="Personnel"/>
    <s v="H "/>
    <x v="1"/>
    <x v="9"/>
    <s v="PSES High Prog01Act26 S275"/>
    <x v="0"/>
    <s v="26"/>
    <m/>
    <n v="26"/>
    <s v="   "/>
    <n v="0.49099999999999999"/>
  </r>
  <r>
    <x v="90"/>
    <s v="Vashon Island School District"/>
    <s v="Personnel"/>
    <s v="H "/>
    <x v="1"/>
    <x v="16"/>
    <s v="PSES High Prog01Duty42 S275"/>
    <x v="0"/>
    <s v="42"/>
    <n v="42"/>
    <m/>
    <s v="   "/>
    <n v="2.3679999999999999"/>
  </r>
  <r>
    <x v="90"/>
    <s v="Vashon Island School District"/>
    <s v="Personnel"/>
    <s v="M "/>
    <x v="2"/>
    <x v="17"/>
    <s v="PSES Mid Prog01Duty42 S275"/>
    <x v="0"/>
    <s v="42"/>
    <n v="42"/>
    <m/>
    <s v="   "/>
    <n v="1.08"/>
  </r>
  <r>
    <x v="90"/>
    <s v="Vashon Island School District"/>
    <s v="Personnel"/>
    <s v="H "/>
    <x v="1"/>
    <x v="23"/>
    <s v="PSES High Prog21Duty46 S275"/>
    <x v="1"/>
    <s v="46"/>
    <n v="46"/>
    <m/>
    <s v="   "/>
    <n v="0.5"/>
  </r>
  <r>
    <x v="90"/>
    <s v="Vashon Island School District"/>
    <s v="Personnel"/>
    <s v="M "/>
    <x v="2"/>
    <x v="24"/>
    <s v="PSES Mid Prog21Duty46 S275"/>
    <x v="1"/>
    <s v="46"/>
    <n v="46"/>
    <m/>
    <s v="   "/>
    <n v="0.5"/>
  </r>
  <r>
    <x v="90"/>
    <s v="Vashon Island School District"/>
    <s v="Personnel"/>
    <s v="E "/>
    <x v="0"/>
    <x v="27"/>
    <s v="PSES Elem Prog01Duty47 S275"/>
    <x v="0"/>
    <s v="47"/>
    <n v="47"/>
    <m/>
    <s v="   "/>
    <n v="0.69"/>
  </r>
  <r>
    <x v="91"/>
    <s v="Renton School District"/>
    <s v="Personnel"/>
    <s v="H "/>
    <x v="1"/>
    <x v="4"/>
    <s v="PSES High Prog21Act25 S275"/>
    <x v="1"/>
    <s v="25"/>
    <m/>
    <n v="25"/>
    <s v="   "/>
    <n v="7.13"/>
  </r>
  <r>
    <x v="91"/>
    <s v="Renton School District"/>
    <s v="Personnel"/>
    <s v="H "/>
    <x v="1"/>
    <x v="53"/>
    <s v="PSES High Prog97Act25 S275"/>
    <x v="2"/>
    <s v="25"/>
    <m/>
    <n v="25"/>
    <s v="   "/>
    <n v="0.16500000000000001"/>
  </r>
  <r>
    <x v="91"/>
    <s v="Renton School District"/>
    <s v="Personnel"/>
    <s v="H "/>
    <x v="1"/>
    <x v="5"/>
    <s v="PSES High Prog01Act25 S275"/>
    <x v="0"/>
    <s v="25"/>
    <m/>
    <n v="25"/>
    <s v="   "/>
    <n v="22.675999999999998"/>
  </r>
  <r>
    <x v="91"/>
    <s v="Renton School District"/>
    <s v="Personnel"/>
    <s v="H "/>
    <x v="1"/>
    <x v="29"/>
    <s v="PSES High Prog21Act26 S275"/>
    <x v="1"/>
    <s v="26"/>
    <m/>
    <n v="26"/>
    <s v="   "/>
    <n v="7.7279999999999998"/>
  </r>
  <r>
    <x v="91"/>
    <s v="Renton School District"/>
    <s v="Personnel"/>
    <s v="H "/>
    <x v="1"/>
    <x v="9"/>
    <s v="PSES High Prog01Act26 S275"/>
    <x v="0"/>
    <s v="26"/>
    <m/>
    <n v="26"/>
    <s v="   "/>
    <n v="19.193999999999999"/>
  </r>
  <r>
    <x v="91"/>
    <s v="Renton School District"/>
    <s v="Personnel"/>
    <s v="H "/>
    <x v="1"/>
    <x v="54"/>
    <s v="PSES High Prog01Act35 S275"/>
    <x v="0"/>
    <s v="35"/>
    <m/>
    <n v="35"/>
    <s v="   "/>
    <n v="8.2059999999999995"/>
  </r>
  <r>
    <x v="91"/>
    <s v="Renton School District"/>
    <s v="Personnel"/>
    <s v="E "/>
    <x v="0"/>
    <x v="76"/>
    <s v="PSES Elem Prog21Duty42 S275"/>
    <x v="1"/>
    <s v="42"/>
    <n v="42"/>
    <m/>
    <s v="   "/>
    <n v="0.33300000000000002"/>
  </r>
  <r>
    <x v="91"/>
    <s v="Renton School District"/>
    <s v="Personnel"/>
    <s v="E "/>
    <x v="0"/>
    <x v="15"/>
    <s v="PSES Elem Prog01Duty42 S275"/>
    <x v="0"/>
    <s v="42"/>
    <n v="42"/>
    <m/>
    <s v="   "/>
    <n v="17.649999999999999"/>
  </r>
  <r>
    <x v="91"/>
    <s v="Renton School District"/>
    <s v="Personnel"/>
    <s v="H "/>
    <x v="1"/>
    <x v="77"/>
    <s v="PSES High Prog21Duty42 S275"/>
    <x v="1"/>
    <s v="42"/>
    <n v="42"/>
    <m/>
    <s v="   "/>
    <n v="0.33300000000000002"/>
  </r>
  <r>
    <x v="91"/>
    <s v="Renton School District"/>
    <s v="Personnel"/>
    <s v="H "/>
    <x v="1"/>
    <x v="16"/>
    <s v="PSES High Prog01Duty42 S275"/>
    <x v="0"/>
    <s v="42"/>
    <n v="42"/>
    <m/>
    <s v="   "/>
    <n v="14"/>
  </r>
  <r>
    <x v="91"/>
    <s v="Renton School District"/>
    <s v="Personnel"/>
    <s v="M "/>
    <x v="2"/>
    <x v="75"/>
    <s v="PSES Mid Prog21Duty42 S275"/>
    <x v="1"/>
    <s v="42"/>
    <n v="42"/>
    <m/>
    <s v="   "/>
    <n v="0.33400000000000002"/>
  </r>
  <r>
    <x v="91"/>
    <s v="Renton School District"/>
    <s v="Personnel"/>
    <s v="M "/>
    <x v="2"/>
    <x v="17"/>
    <s v="PSES Mid Prog01Duty42 S275"/>
    <x v="0"/>
    <s v="42"/>
    <n v="42"/>
    <m/>
    <s v="   "/>
    <n v="5.35"/>
  </r>
  <r>
    <x v="91"/>
    <s v="Renton School District"/>
    <s v="Personnel"/>
    <s v="E "/>
    <x v="0"/>
    <x v="18"/>
    <s v="PSES Elem Prog21Duty43 S275"/>
    <x v="1"/>
    <s v="43"/>
    <n v="43"/>
    <m/>
    <s v="   "/>
    <n v="13.087"/>
  </r>
  <r>
    <x v="91"/>
    <s v="Renton School District"/>
    <s v="Personnel"/>
    <s v="H "/>
    <x v="1"/>
    <x v="19"/>
    <s v="PSES High Prog21Duty43 S275"/>
    <x v="1"/>
    <s v="43"/>
    <n v="43"/>
    <m/>
    <s v="   "/>
    <n v="2.33"/>
  </r>
  <r>
    <x v="91"/>
    <s v="Renton School District"/>
    <s v="Personnel"/>
    <s v="M "/>
    <x v="2"/>
    <x v="31"/>
    <s v="PSES Mid Prog21Duty43 S275"/>
    <x v="1"/>
    <s v="43"/>
    <n v="43"/>
    <m/>
    <s v="   "/>
    <n v="2.343"/>
  </r>
  <r>
    <x v="91"/>
    <s v="Renton School District"/>
    <s v="Personnel"/>
    <s v="E "/>
    <x v="0"/>
    <x v="20"/>
    <s v="PSES Elem Prog21Duty45 S275"/>
    <x v="1"/>
    <s v="45"/>
    <n v="45"/>
    <m/>
    <s v="   "/>
    <n v="16.856999999999999"/>
  </r>
  <r>
    <x v="91"/>
    <s v="Renton School District"/>
    <s v="Personnel"/>
    <s v="E "/>
    <x v="0"/>
    <x v="47"/>
    <s v="PSES Elem Prog01Duty45 S275"/>
    <x v="0"/>
    <s v="45"/>
    <n v="45"/>
    <m/>
    <s v="   "/>
    <n v="0.4"/>
  </r>
  <r>
    <x v="91"/>
    <s v="Renton School District"/>
    <s v="Personnel"/>
    <s v="H "/>
    <x v="1"/>
    <x v="21"/>
    <s v="PSES High Prog21Duty45 S275"/>
    <x v="1"/>
    <s v="45"/>
    <n v="45"/>
    <m/>
    <s v="   "/>
    <n v="4"/>
  </r>
  <r>
    <x v="91"/>
    <s v="Renton School District"/>
    <s v="Personnel"/>
    <s v="M "/>
    <x v="2"/>
    <x v="28"/>
    <s v="PSES Mid Prog21Duty45 S275"/>
    <x v="1"/>
    <s v="45"/>
    <n v="45"/>
    <m/>
    <s v="   "/>
    <n v="3.996"/>
  </r>
  <r>
    <x v="91"/>
    <s v="Renton School District"/>
    <s v="Personnel"/>
    <s v="E "/>
    <x v="0"/>
    <x v="22"/>
    <s v="PSES Elem Prog21Duty46 S275"/>
    <x v="1"/>
    <s v="46"/>
    <n v="46"/>
    <m/>
    <s v="   "/>
    <n v="7.8"/>
  </r>
  <r>
    <x v="91"/>
    <s v="Renton School District"/>
    <s v="Personnel"/>
    <s v="H "/>
    <x v="1"/>
    <x v="23"/>
    <s v="PSES High Prog21Duty46 S275"/>
    <x v="1"/>
    <s v="46"/>
    <n v="46"/>
    <m/>
    <s v="   "/>
    <n v="3.7"/>
  </r>
  <r>
    <x v="91"/>
    <s v="Renton School District"/>
    <s v="Personnel"/>
    <s v="M "/>
    <x v="2"/>
    <x v="24"/>
    <s v="PSES Mid Prog21Duty46 S275"/>
    <x v="1"/>
    <s v="46"/>
    <n v="46"/>
    <m/>
    <s v="   "/>
    <n v="3.8"/>
  </r>
  <r>
    <x v="91"/>
    <s v="Renton School District"/>
    <s v="Personnel"/>
    <s v="E "/>
    <x v="0"/>
    <x v="27"/>
    <s v="PSES Elem Prog01Duty47 S275"/>
    <x v="0"/>
    <s v="47"/>
    <n v="47"/>
    <m/>
    <s v="   "/>
    <n v="6.7389999999999999"/>
  </r>
  <r>
    <x v="91"/>
    <s v="Renton School District"/>
    <s v="Personnel"/>
    <s v="H "/>
    <x v="1"/>
    <x v="25"/>
    <s v="PSES High Prog01Duty47 S275"/>
    <x v="0"/>
    <s v="47"/>
    <n v="47"/>
    <m/>
    <s v="   "/>
    <n v="3.8780000000000001"/>
  </r>
  <r>
    <x v="91"/>
    <s v="Renton School District"/>
    <s v="Personnel"/>
    <s v="M "/>
    <x v="2"/>
    <x v="34"/>
    <s v="PSES Mid Prog01Duty47 S275"/>
    <x v="0"/>
    <s v="47"/>
    <n v="47"/>
    <m/>
    <s v="   "/>
    <n v="3.2"/>
  </r>
  <r>
    <x v="91"/>
    <s v="Renton School District"/>
    <s v="Personnel"/>
    <s v="E "/>
    <x v="0"/>
    <x v="35"/>
    <s v="PSES Elem Prog21Duty48 S275"/>
    <x v="1"/>
    <s v="48"/>
    <n v="48"/>
    <m/>
    <s v="   "/>
    <n v="3.548"/>
  </r>
  <r>
    <x v="91"/>
    <s v="Renton School District"/>
    <s v="Personnel"/>
    <s v="H "/>
    <x v="1"/>
    <x v="36"/>
    <s v="PSES High Prog21Duty48 S275"/>
    <x v="1"/>
    <s v="48"/>
    <n v="48"/>
    <m/>
    <s v="   "/>
    <n v="0.9"/>
  </r>
  <r>
    <x v="91"/>
    <s v="Renton School District"/>
    <s v="Personnel"/>
    <s v="M "/>
    <x v="2"/>
    <x v="37"/>
    <s v="PSES Mid Prog21Duty48 S275"/>
    <x v="1"/>
    <s v="48"/>
    <n v="48"/>
    <m/>
    <s v="   "/>
    <n v="0.753"/>
  </r>
  <r>
    <x v="91"/>
    <s v="Renton School District"/>
    <s v="Personnel"/>
    <m/>
    <x v="0"/>
    <x v="78"/>
    <s v="PSES Elem Prog09Duty35 S275"/>
    <x v="3"/>
    <s v="35"/>
    <n v="99"/>
    <n v="35"/>
    <m/>
    <n v="0.67700000000000005"/>
  </r>
  <r>
    <x v="92"/>
    <s v="Skykomish School District"/>
    <s v="Personnel"/>
    <s v="H "/>
    <x v="1"/>
    <x v="5"/>
    <s v="PSES High Prog01Act25 S275"/>
    <x v="0"/>
    <s v="25"/>
    <m/>
    <n v="25"/>
    <s v="   "/>
    <n v="1"/>
  </r>
  <r>
    <x v="92"/>
    <s v="Skykomish School District"/>
    <s v="Personnel"/>
    <s v="H "/>
    <x v="1"/>
    <x v="9"/>
    <s v="PSES High Prog01Act26 S275"/>
    <x v="0"/>
    <s v="26"/>
    <m/>
    <n v="26"/>
    <s v="   "/>
    <n v="0.435"/>
  </r>
  <r>
    <x v="92"/>
    <s v="Skykomish School District"/>
    <s v="Personnel"/>
    <s v="H "/>
    <x v="1"/>
    <x v="16"/>
    <s v="PSES High Prog01Duty42 S275"/>
    <x v="0"/>
    <s v="42"/>
    <n v="42"/>
    <m/>
    <s v="   "/>
    <n v="1"/>
  </r>
  <r>
    <x v="93"/>
    <s v="Bellevue School District"/>
    <s v="Personnel"/>
    <s v="H "/>
    <x v="1"/>
    <x v="1"/>
    <s v="PSES High Prog01Duty96 S275"/>
    <x v="0"/>
    <s v="24"/>
    <n v="96"/>
    <n v="24"/>
    <s v="   "/>
    <n v="9.3469999999999995"/>
  </r>
  <r>
    <x v="93"/>
    <s v="Bellevue School District"/>
    <s v="Personnel"/>
    <s v="H "/>
    <x v="1"/>
    <x v="5"/>
    <s v="PSES High Prog01Act25 S275"/>
    <x v="0"/>
    <s v="25"/>
    <m/>
    <n v="25"/>
    <s v="   "/>
    <n v="33.963000000000001"/>
  </r>
  <r>
    <x v="93"/>
    <s v="Bellevue School District"/>
    <s v="Personnel"/>
    <s v="H "/>
    <x v="1"/>
    <x v="29"/>
    <s v="PSES High Prog21Act26 S275"/>
    <x v="1"/>
    <s v="26"/>
    <m/>
    <n v="26"/>
    <s v="   "/>
    <n v="21.678000000000001"/>
  </r>
  <r>
    <x v="93"/>
    <s v="Bellevue School District"/>
    <s v="Personnel"/>
    <s v="H "/>
    <x v="1"/>
    <x v="9"/>
    <s v="PSES High Prog01Act26 S275"/>
    <x v="0"/>
    <s v="26"/>
    <m/>
    <n v="26"/>
    <s v="   "/>
    <n v="3.5089999999999999"/>
  </r>
  <r>
    <x v="93"/>
    <s v="Bellevue School District"/>
    <s v="Personnel"/>
    <s v="E "/>
    <x v="0"/>
    <x v="15"/>
    <s v="PSES Elem Prog01Duty42 S275"/>
    <x v="0"/>
    <s v="42"/>
    <n v="42"/>
    <m/>
    <s v="   "/>
    <n v="29.792999999999999"/>
  </r>
  <r>
    <x v="93"/>
    <s v="Bellevue School District"/>
    <s v="Personnel"/>
    <s v="H "/>
    <x v="1"/>
    <x v="16"/>
    <s v="PSES High Prog01Duty42 S275"/>
    <x v="0"/>
    <s v="42"/>
    <n v="42"/>
    <m/>
    <s v="   "/>
    <n v="29.756"/>
  </r>
  <r>
    <x v="93"/>
    <s v="Bellevue School District"/>
    <s v="Personnel"/>
    <s v="M "/>
    <x v="2"/>
    <x v="17"/>
    <s v="PSES Mid Prog01Duty42 S275"/>
    <x v="0"/>
    <s v="42"/>
    <n v="42"/>
    <m/>
    <s v="   "/>
    <n v="12.071"/>
  </r>
  <r>
    <x v="93"/>
    <s v="Bellevue School District"/>
    <s v="Personnel"/>
    <s v="E "/>
    <x v="0"/>
    <x v="18"/>
    <s v="PSES Elem Prog21Duty43 S275"/>
    <x v="1"/>
    <s v="43"/>
    <n v="43"/>
    <m/>
    <s v="   "/>
    <n v="6.72"/>
  </r>
  <r>
    <x v="93"/>
    <s v="Bellevue School District"/>
    <s v="Personnel"/>
    <s v="H "/>
    <x v="1"/>
    <x v="19"/>
    <s v="PSES High Prog21Duty43 S275"/>
    <x v="1"/>
    <s v="43"/>
    <n v="43"/>
    <m/>
    <s v="   "/>
    <n v="5.04"/>
  </r>
  <r>
    <x v="93"/>
    <s v="Bellevue School District"/>
    <s v="Personnel"/>
    <s v="M "/>
    <x v="2"/>
    <x v="31"/>
    <s v="PSES Mid Prog21Duty43 S275"/>
    <x v="1"/>
    <s v="43"/>
    <n v="43"/>
    <m/>
    <s v="   "/>
    <n v="2.2400000000000002"/>
  </r>
  <r>
    <x v="93"/>
    <s v="Bellevue School District"/>
    <s v="Personnel"/>
    <s v="E "/>
    <x v="0"/>
    <x v="41"/>
    <s v="PSES Elem Prog21Duty44 S275"/>
    <x v="1"/>
    <s v="44"/>
    <n v="44"/>
    <m/>
    <s v="   "/>
    <n v="5.2320000000000002"/>
  </r>
  <r>
    <x v="93"/>
    <s v="Bellevue School District"/>
    <s v="Personnel"/>
    <s v="E "/>
    <x v="0"/>
    <x v="42"/>
    <s v="PSES Elem Prog01Duty44 S275"/>
    <x v="0"/>
    <s v="44"/>
    <n v="44"/>
    <m/>
    <s v="   "/>
    <n v="0.48"/>
  </r>
  <r>
    <x v="93"/>
    <s v="Bellevue School District"/>
    <s v="Personnel"/>
    <s v="H "/>
    <x v="1"/>
    <x v="43"/>
    <s v="PSES High Prog21Duty44 S275"/>
    <x v="1"/>
    <s v="44"/>
    <n v="44"/>
    <m/>
    <s v="   "/>
    <n v="3.9239999999999999"/>
  </r>
  <r>
    <x v="93"/>
    <s v="Bellevue School District"/>
    <s v="Personnel"/>
    <s v="H "/>
    <x v="1"/>
    <x v="44"/>
    <s v="PSES High Prog01Duty44 S275"/>
    <x v="0"/>
    <s v="44"/>
    <n v="44"/>
    <m/>
    <s v="   "/>
    <n v="0.36"/>
  </r>
  <r>
    <x v="93"/>
    <s v="Bellevue School District"/>
    <s v="Personnel"/>
    <s v="M "/>
    <x v="2"/>
    <x v="45"/>
    <s v="PSES Mid Prog21Duty44 S275"/>
    <x v="1"/>
    <s v="44"/>
    <n v="44"/>
    <m/>
    <s v="   "/>
    <n v="1.744"/>
  </r>
  <r>
    <x v="93"/>
    <s v="Bellevue School District"/>
    <s v="Personnel"/>
    <s v="M "/>
    <x v="2"/>
    <x v="46"/>
    <s v="PSES Mid Prog01Duty44 S275"/>
    <x v="0"/>
    <s v="44"/>
    <n v="44"/>
    <m/>
    <s v="   "/>
    <n v="0.16"/>
  </r>
  <r>
    <x v="93"/>
    <s v="Bellevue School District"/>
    <s v="Personnel"/>
    <s v="E "/>
    <x v="0"/>
    <x v="20"/>
    <s v="PSES Elem Prog21Duty45 S275"/>
    <x v="1"/>
    <s v="45"/>
    <n v="45"/>
    <m/>
    <s v="   "/>
    <n v="16.416"/>
  </r>
  <r>
    <x v="93"/>
    <s v="Bellevue School District"/>
    <s v="Personnel"/>
    <s v="H "/>
    <x v="1"/>
    <x v="21"/>
    <s v="PSES High Prog21Duty45 S275"/>
    <x v="1"/>
    <s v="45"/>
    <n v="45"/>
    <m/>
    <s v="   "/>
    <n v="12.311999999999999"/>
  </r>
  <r>
    <x v="93"/>
    <s v="Bellevue School District"/>
    <s v="Personnel"/>
    <s v="M "/>
    <x v="2"/>
    <x v="28"/>
    <s v="PSES Mid Prog21Duty45 S275"/>
    <x v="1"/>
    <s v="45"/>
    <n v="45"/>
    <m/>
    <s v="   "/>
    <n v="5.4720000000000004"/>
  </r>
  <r>
    <x v="93"/>
    <s v="Bellevue School District"/>
    <s v="Personnel"/>
    <s v="E "/>
    <x v="0"/>
    <x v="22"/>
    <s v="PSES Elem Prog21Duty46 S275"/>
    <x v="1"/>
    <s v="46"/>
    <n v="46"/>
    <m/>
    <s v="   "/>
    <n v="12.48"/>
  </r>
  <r>
    <x v="93"/>
    <s v="Bellevue School District"/>
    <s v="Personnel"/>
    <s v="H "/>
    <x v="1"/>
    <x v="23"/>
    <s v="PSES High Prog21Duty46 S275"/>
    <x v="1"/>
    <s v="46"/>
    <n v="46"/>
    <m/>
    <s v="   "/>
    <n v="9.36"/>
  </r>
  <r>
    <x v="93"/>
    <s v="Bellevue School District"/>
    <s v="Personnel"/>
    <s v="M "/>
    <x v="2"/>
    <x v="24"/>
    <s v="PSES Mid Prog21Duty46 S275"/>
    <x v="1"/>
    <s v="46"/>
    <n v="46"/>
    <m/>
    <s v="   "/>
    <n v="4.16"/>
  </r>
  <r>
    <x v="93"/>
    <s v="Bellevue School District"/>
    <s v="Personnel"/>
    <s v="E "/>
    <x v="0"/>
    <x v="32"/>
    <s v="PSES Elem Prog21Duty47 S275"/>
    <x v="1"/>
    <s v="47"/>
    <n v="47"/>
    <m/>
    <s v="   "/>
    <n v="0.3"/>
  </r>
  <r>
    <x v="93"/>
    <s v="Bellevue School District"/>
    <s v="Personnel"/>
    <s v="E "/>
    <x v="0"/>
    <x v="27"/>
    <s v="PSES Elem Prog01Duty47 S275"/>
    <x v="0"/>
    <s v="47"/>
    <n v="47"/>
    <m/>
    <s v="   "/>
    <n v="8.7040000000000006"/>
  </r>
  <r>
    <x v="93"/>
    <s v="Bellevue School District"/>
    <s v="Personnel"/>
    <s v="H "/>
    <x v="1"/>
    <x v="25"/>
    <s v="PSES High Prog01Duty47 S275"/>
    <x v="0"/>
    <s v="47"/>
    <n v="47"/>
    <m/>
    <s v="   "/>
    <n v="5.5179999999999998"/>
  </r>
  <r>
    <x v="93"/>
    <s v="Bellevue School District"/>
    <s v="Personnel"/>
    <s v="M "/>
    <x v="2"/>
    <x v="34"/>
    <s v="PSES Mid Prog01Duty47 S275"/>
    <x v="0"/>
    <s v="47"/>
    <n v="47"/>
    <m/>
    <s v="   "/>
    <n v="3.4780000000000002"/>
  </r>
  <r>
    <x v="93"/>
    <s v="Bellevue School District"/>
    <s v="Personnel"/>
    <s v="E "/>
    <x v="0"/>
    <x v="35"/>
    <s v="PSES Elem Prog21Duty48 S275"/>
    <x v="1"/>
    <s v="48"/>
    <n v="48"/>
    <m/>
    <s v="   "/>
    <n v="2.6880000000000002"/>
  </r>
  <r>
    <x v="93"/>
    <s v="Bellevue School District"/>
    <s v="Personnel"/>
    <s v="H "/>
    <x v="1"/>
    <x v="36"/>
    <s v="PSES High Prog21Duty48 S275"/>
    <x v="1"/>
    <s v="48"/>
    <n v="48"/>
    <m/>
    <s v="   "/>
    <n v="2.016"/>
  </r>
  <r>
    <x v="93"/>
    <s v="Bellevue School District"/>
    <s v="Personnel"/>
    <s v="M "/>
    <x v="2"/>
    <x v="37"/>
    <s v="PSES Mid Prog21Duty48 S275"/>
    <x v="1"/>
    <s v="48"/>
    <n v="48"/>
    <m/>
    <s v="   "/>
    <n v="0.89600000000000002"/>
  </r>
  <r>
    <x v="93"/>
    <s v="Bellevue School District"/>
    <s v="Personnel"/>
    <s v="E "/>
    <x v="0"/>
    <x v="26"/>
    <s v="PSES Elem Prog21Duty49 S275"/>
    <x v="1"/>
    <s v="49"/>
    <n v="49"/>
    <m/>
    <s v="   "/>
    <n v="2.4"/>
  </r>
  <r>
    <x v="93"/>
    <s v="Bellevue School District"/>
    <s v="Personnel"/>
    <s v="H "/>
    <x v="1"/>
    <x v="55"/>
    <s v="PSES High Prog21Duty49 S275"/>
    <x v="1"/>
    <s v="49"/>
    <n v="49"/>
    <m/>
    <s v="   "/>
    <n v="1.8"/>
  </r>
  <r>
    <x v="93"/>
    <s v="Bellevue School District"/>
    <s v="Personnel"/>
    <s v="M "/>
    <x v="2"/>
    <x v="50"/>
    <s v="PSES Mid Prog21Duty49 S275"/>
    <x v="1"/>
    <s v="49"/>
    <n v="49"/>
    <m/>
    <s v="   "/>
    <n v="0.8"/>
  </r>
  <r>
    <x v="94"/>
    <s v="Tukwila School District"/>
    <s v="Personnel"/>
    <s v="H "/>
    <x v="1"/>
    <x v="9"/>
    <s v="PSES High Prog01Act26 S275"/>
    <x v="0"/>
    <s v="26"/>
    <m/>
    <n v="26"/>
    <s v="   "/>
    <n v="1.929"/>
  </r>
  <r>
    <x v="94"/>
    <s v="Tukwila School District"/>
    <s v="Personnel"/>
    <s v="H "/>
    <x v="1"/>
    <x v="54"/>
    <s v="PSES High Prog01Act35 S275"/>
    <x v="0"/>
    <s v="35"/>
    <m/>
    <n v="35"/>
    <s v="   "/>
    <n v="2.2050000000000001"/>
  </r>
  <r>
    <x v="94"/>
    <s v="Tukwila School District"/>
    <s v="Personnel"/>
    <s v="E "/>
    <x v="0"/>
    <x v="15"/>
    <s v="PSES Elem Prog01Duty42 S275"/>
    <x v="0"/>
    <s v="42"/>
    <n v="42"/>
    <m/>
    <s v="   "/>
    <n v="0.34"/>
  </r>
  <r>
    <x v="94"/>
    <s v="Tukwila School District"/>
    <s v="Personnel"/>
    <s v="H "/>
    <x v="1"/>
    <x v="16"/>
    <s v="PSES High Prog01Duty42 S275"/>
    <x v="0"/>
    <s v="42"/>
    <n v="42"/>
    <m/>
    <s v="   "/>
    <n v="3.5"/>
  </r>
  <r>
    <x v="94"/>
    <s v="Tukwila School District"/>
    <s v="Personnel"/>
    <s v="M "/>
    <x v="2"/>
    <x v="17"/>
    <s v="PSES Mid Prog01Duty42 S275"/>
    <x v="0"/>
    <s v="42"/>
    <n v="42"/>
    <m/>
    <s v="   "/>
    <n v="0.68200000000000005"/>
  </r>
  <r>
    <x v="94"/>
    <s v="Tukwila School District"/>
    <s v="Personnel"/>
    <s v="E "/>
    <x v="0"/>
    <x v="18"/>
    <s v="PSES Elem Prog21Duty43 S275"/>
    <x v="1"/>
    <s v="43"/>
    <n v="43"/>
    <m/>
    <s v="   "/>
    <n v="0.33400000000000002"/>
  </r>
  <r>
    <x v="94"/>
    <s v="Tukwila School District"/>
    <s v="Personnel"/>
    <s v="H "/>
    <x v="1"/>
    <x v="19"/>
    <s v="PSES High Prog21Duty43 S275"/>
    <x v="1"/>
    <s v="43"/>
    <n v="43"/>
    <m/>
    <s v="   "/>
    <n v="1"/>
  </r>
  <r>
    <x v="94"/>
    <s v="Tukwila School District"/>
    <s v="Personnel"/>
    <s v="M "/>
    <x v="2"/>
    <x v="31"/>
    <s v="PSES Mid Prog21Duty43 S275"/>
    <x v="1"/>
    <s v="43"/>
    <n v="43"/>
    <m/>
    <s v="   "/>
    <n v="0.66600000000000004"/>
  </r>
  <r>
    <x v="94"/>
    <s v="Tukwila School District"/>
    <s v="Personnel"/>
    <s v="E "/>
    <x v="0"/>
    <x v="42"/>
    <s v="PSES Elem Prog01Duty44 S275"/>
    <x v="0"/>
    <s v="44"/>
    <n v="44"/>
    <m/>
    <s v="   "/>
    <n v="3"/>
  </r>
  <r>
    <x v="94"/>
    <s v="Tukwila School District"/>
    <s v="Personnel"/>
    <s v="E "/>
    <x v="0"/>
    <x v="20"/>
    <s v="PSES Elem Prog21Duty45 S275"/>
    <x v="1"/>
    <s v="45"/>
    <n v="45"/>
    <m/>
    <s v="   "/>
    <n v="3.1669999999999998"/>
  </r>
  <r>
    <x v="94"/>
    <s v="Tukwila School District"/>
    <s v="Personnel"/>
    <s v="H "/>
    <x v="1"/>
    <x v="21"/>
    <s v="PSES High Prog21Duty45 S275"/>
    <x v="1"/>
    <s v="45"/>
    <n v="45"/>
    <m/>
    <s v="   "/>
    <n v="1"/>
  </r>
  <r>
    <x v="94"/>
    <s v="Tukwila School District"/>
    <s v="Personnel"/>
    <s v="M "/>
    <x v="2"/>
    <x v="28"/>
    <s v="PSES Mid Prog21Duty45 S275"/>
    <x v="1"/>
    <s v="45"/>
    <n v="45"/>
    <m/>
    <s v="   "/>
    <n v="0.83299999999999996"/>
  </r>
  <r>
    <x v="94"/>
    <s v="Tukwila School District"/>
    <s v="Personnel"/>
    <s v="E "/>
    <x v="0"/>
    <x v="22"/>
    <s v="PSES Elem Prog21Duty46 S275"/>
    <x v="1"/>
    <s v="46"/>
    <n v="46"/>
    <m/>
    <s v="   "/>
    <n v="2.1669999999999998"/>
  </r>
  <r>
    <x v="94"/>
    <s v="Tukwila School District"/>
    <s v="Personnel"/>
    <s v="H "/>
    <x v="1"/>
    <x v="23"/>
    <s v="PSES High Prog21Duty46 S275"/>
    <x v="1"/>
    <s v="46"/>
    <n v="46"/>
    <m/>
    <s v="   "/>
    <n v="1.5"/>
  </r>
  <r>
    <x v="94"/>
    <s v="Tukwila School District"/>
    <s v="Personnel"/>
    <s v="M "/>
    <x v="2"/>
    <x v="24"/>
    <s v="PSES Mid Prog21Duty46 S275"/>
    <x v="1"/>
    <s v="46"/>
    <n v="46"/>
    <m/>
    <s v="   "/>
    <n v="0.33300000000000002"/>
  </r>
  <r>
    <x v="94"/>
    <s v="Tukwila School District"/>
    <s v="Personnel"/>
    <s v="H "/>
    <x v="1"/>
    <x v="25"/>
    <s v="PSES High Prog01Duty47 S275"/>
    <x v="0"/>
    <s v="47"/>
    <n v="47"/>
    <m/>
    <s v="   "/>
    <n v="1"/>
  </r>
  <r>
    <x v="94"/>
    <s v="Tukwila School District"/>
    <s v="Personnel"/>
    <s v="E "/>
    <x v="0"/>
    <x v="35"/>
    <s v="PSES Elem Prog21Duty48 S275"/>
    <x v="1"/>
    <s v="48"/>
    <n v="48"/>
    <m/>
    <s v="   "/>
    <n v="1"/>
  </r>
  <r>
    <x v="95"/>
    <s v="Riverview School District"/>
    <s v="Personnel"/>
    <s v="H "/>
    <x v="1"/>
    <x v="5"/>
    <s v="PSES High Prog01Act25 S275"/>
    <x v="0"/>
    <s v="25"/>
    <m/>
    <n v="25"/>
    <s v="   "/>
    <n v="3.653"/>
  </r>
  <r>
    <x v="95"/>
    <s v="Riverview School District"/>
    <s v="Personnel"/>
    <s v="H "/>
    <x v="1"/>
    <x v="29"/>
    <s v="PSES High Prog21Act26 S275"/>
    <x v="1"/>
    <s v="26"/>
    <m/>
    <n v="26"/>
    <s v="   "/>
    <n v="2.37"/>
  </r>
  <r>
    <x v="95"/>
    <s v="Riverview School District"/>
    <s v="Personnel"/>
    <s v="H "/>
    <x v="1"/>
    <x v="9"/>
    <s v="PSES High Prog01Act26 S275"/>
    <x v="0"/>
    <s v="26"/>
    <m/>
    <n v="26"/>
    <s v="   "/>
    <n v="1.6639999999999999"/>
  </r>
  <r>
    <x v="95"/>
    <s v="Riverview School District"/>
    <s v="Personnel"/>
    <s v="H "/>
    <x v="1"/>
    <x v="54"/>
    <s v="PSES High Prog01Act35 S275"/>
    <x v="0"/>
    <s v="35"/>
    <m/>
    <n v="35"/>
    <s v="   "/>
    <n v="1.5549999999999999"/>
  </r>
  <r>
    <x v="95"/>
    <s v="Riverview School District"/>
    <s v="Personnel"/>
    <s v="E "/>
    <x v="0"/>
    <x v="15"/>
    <s v="PSES Elem Prog01Duty42 S275"/>
    <x v="0"/>
    <s v="42"/>
    <n v="42"/>
    <m/>
    <s v="   "/>
    <n v="3.99"/>
  </r>
  <r>
    <x v="95"/>
    <s v="Riverview School District"/>
    <s v="Personnel"/>
    <s v="H "/>
    <x v="1"/>
    <x v="16"/>
    <s v="PSES High Prog01Duty42 S275"/>
    <x v="0"/>
    <s v="42"/>
    <n v="42"/>
    <m/>
    <s v="   "/>
    <n v="3.02"/>
  </r>
  <r>
    <x v="95"/>
    <s v="Riverview School District"/>
    <s v="Personnel"/>
    <s v="M "/>
    <x v="2"/>
    <x v="17"/>
    <s v="PSES Mid Prog01Duty42 S275"/>
    <x v="0"/>
    <s v="42"/>
    <n v="42"/>
    <m/>
    <s v="   "/>
    <n v="1.49"/>
  </r>
  <r>
    <x v="95"/>
    <s v="Riverview School District"/>
    <s v="Personnel"/>
    <s v="E "/>
    <x v="0"/>
    <x v="20"/>
    <s v="PSES Elem Prog21Duty45 S275"/>
    <x v="1"/>
    <s v="45"/>
    <n v="45"/>
    <m/>
    <s v="   "/>
    <n v="3.35"/>
  </r>
  <r>
    <x v="95"/>
    <s v="Riverview School District"/>
    <s v="Personnel"/>
    <s v="H "/>
    <x v="1"/>
    <x v="21"/>
    <s v="PSES High Prog21Duty45 S275"/>
    <x v="1"/>
    <s v="45"/>
    <n v="45"/>
    <m/>
    <s v="   "/>
    <n v="0.5"/>
  </r>
  <r>
    <x v="95"/>
    <s v="Riverview School District"/>
    <s v="Personnel"/>
    <s v="M "/>
    <x v="2"/>
    <x v="28"/>
    <s v="PSES Mid Prog21Duty45 S275"/>
    <x v="1"/>
    <s v="45"/>
    <n v="45"/>
    <m/>
    <s v="   "/>
    <n v="0.15"/>
  </r>
  <r>
    <x v="95"/>
    <s v="Riverview School District"/>
    <s v="Personnel"/>
    <s v="E "/>
    <x v="0"/>
    <x v="22"/>
    <s v="PSES Elem Prog21Duty46 S275"/>
    <x v="1"/>
    <s v="46"/>
    <n v="46"/>
    <m/>
    <s v="   "/>
    <n v="3.29"/>
  </r>
  <r>
    <x v="95"/>
    <s v="Riverview School District"/>
    <s v="Personnel"/>
    <s v="E "/>
    <x v="0"/>
    <x v="48"/>
    <s v="PSES Elem Prog01Duty46 S275"/>
    <x v="0"/>
    <s v="46"/>
    <n v="46"/>
    <m/>
    <s v="   "/>
    <n v="0.02"/>
  </r>
  <r>
    <x v="95"/>
    <s v="Riverview School District"/>
    <s v="Personnel"/>
    <s v="H "/>
    <x v="1"/>
    <x v="23"/>
    <s v="PSES High Prog21Duty46 S275"/>
    <x v="1"/>
    <s v="46"/>
    <n v="46"/>
    <m/>
    <s v="   "/>
    <n v="1.81"/>
  </r>
  <r>
    <x v="95"/>
    <s v="Riverview School District"/>
    <s v="Personnel"/>
    <s v="E "/>
    <x v="0"/>
    <x v="27"/>
    <s v="PSES Elem Prog01Duty47 S275"/>
    <x v="0"/>
    <s v="47"/>
    <n v="47"/>
    <m/>
    <s v="   "/>
    <n v="2"/>
  </r>
  <r>
    <x v="96"/>
    <s v="Auburn School District"/>
    <s v="Personnel"/>
    <s v="E "/>
    <x v="0"/>
    <x v="3"/>
    <s v="PSES Elem Prog01Act25 S275"/>
    <x v="0"/>
    <s v="25"/>
    <m/>
    <n v="25"/>
    <s v="   "/>
    <n v="6.56"/>
  </r>
  <r>
    <x v="96"/>
    <s v="Auburn School District"/>
    <s v="Personnel"/>
    <s v="H "/>
    <x v="1"/>
    <x v="4"/>
    <s v="PSES High Prog21Act25 S275"/>
    <x v="1"/>
    <s v="25"/>
    <m/>
    <n v="25"/>
    <s v="   "/>
    <n v="5.9790000000000001"/>
  </r>
  <r>
    <x v="96"/>
    <s v="Auburn School District"/>
    <s v="Personnel"/>
    <s v="H "/>
    <x v="1"/>
    <x v="5"/>
    <s v="PSES High Prog01Act25 S275"/>
    <x v="0"/>
    <s v="25"/>
    <m/>
    <n v="25"/>
    <s v="   "/>
    <n v="6.2060000000000004"/>
  </r>
  <r>
    <x v="96"/>
    <s v="Auburn School District"/>
    <s v="Personnel"/>
    <s v="M "/>
    <x v="2"/>
    <x v="6"/>
    <s v="PSES Mid Prog01Act25 S275"/>
    <x v="0"/>
    <s v="25"/>
    <m/>
    <n v="25"/>
    <s v="   "/>
    <n v="2.262"/>
  </r>
  <r>
    <x v="96"/>
    <s v="Auburn School District"/>
    <s v="Personnel"/>
    <s v="E "/>
    <x v="0"/>
    <x v="7"/>
    <s v="PSES Elem Prog21Act26 S275"/>
    <x v="1"/>
    <s v="26"/>
    <m/>
    <n v="26"/>
    <s v="   "/>
    <n v="4.5940000000000003"/>
  </r>
  <r>
    <x v="96"/>
    <s v="Auburn School District"/>
    <s v="Personnel"/>
    <s v="E "/>
    <x v="0"/>
    <x v="8"/>
    <s v="PSES Elem Prog01Act26 S275"/>
    <x v="0"/>
    <s v="26"/>
    <m/>
    <n v="26"/>
    <s v="   "/>
    <n v="10.7"/>
  </r>
  <r>
    <x v="96"/>
    <s v="Auburn School District"/>
    <s v="Personnel"/>
    <s v="H "/>
    <x v="1"/>
    <x v="29"/>
    <s v="PSES High Prog21Act26 S275"/>
    <x v="1"/>
    <s v="26"/>
    <m/>
    <n v="26"/>
    <s v="   "/>
    <n v="3.8079999999999998"/>
  </r>
  <r>
    <x v="96"/>
    <s v="Auburn School District"/>
    <s v="Personnel"/>
    <s v="H "/>
    <x v="1"/>
    <x v="9"/>
    <s v="PSES High Prog01Act26 S275"/>
    <x v="0"/>
    <s v="26"/>
    <m/>
    <n v="26"/>
    <s v="   "/>
    <n v="1.9590000000000001"/>
  </r>
  <r>
    <x v="96"/>
    <s v="Auburn School District"/>
    <s v="Personnel"/>
    <s v="M "/>
    <x v="2"/>
    <x v="10"/>
    <s v="PSES Mid Prog21Act26 S275"/>
    <x v="1"/>
    <s v="26"/>
    <m/>
    <n v="26"/>
    <s v="   "/>
    <n v="1.369"/>
  </r>
  <r>
    <x v="96"/>
    <s v="Auburn School District"/>
    <s v="Personnel"/>
    <s v="M "/>
    <x v="2"/>
    <x v="11"/>
    <s v="PSES Mid Prog01Act26 S275"/>
    <x v="0"/>
    <s v="26"/>
    <m/>
    <n v="26"/>
    <s v="   "/>
    <n v="1.8180000000000001"/>
  </r>
  <r>
    <x v="96"/>
    <s v="Auburn School District"/>
    <s v="Personnel"/>
    <s v="H "/>
    <x v="1"/>
    <x v="12"/>
    <s v="PSES High Prog97Act35 S275"/>
    <x v="2"/>
    <s v="35"/>
    <m/>
    <n v="35"/>
    <s v="   "/>
    <n v="6.742"/>
  </r>
  <r>
    <x v="96"/>
    <s v="Auburn School District"/>
    <s v="Personnel"/>
    <s v="M "/>
    <x v="2"/>
    <x v="13"/>
    <s v="PSES Mid Prog97Act35 S275"/>
    <x v="2"/>
    <s v="35"/>
    <m/>
    <n v="35"/>
    <s v="   "/>
    <n v="3.71"/>
  </r>
  <r>
    <x v="96"/>
    <s v="Auburn School District"/>
    <s v="Personnel"/>
    <s v="E "/>
    <x v="0"/>
    <x v="15"/>
    <s v="PSES Elem Prog01Duty42 S275"/>
    <x v="0"/>
    <s v="42"/>
    <n v="42"/>
    <m/>
    <s v="   "/>
    <n v="23.728999999999999"/>
  </r>
  <r>
    <x v="96"/>
    <s v="Auburn School District"/>
    <s v="Personnel"/>
    <s v="H "/>
    <x v="1"/>
    <x v="16"/>
    <s v="PSES High Prog01Duty42 S275"/>
    <x v="0"/>
    <s v="42"/>
    <n v="42"/>
    <m/>
    <s v="   "/>
    <n v="17"/>
  </r>
  <r>
    <x v="96"/>
    <s v="Auburn School District"/>
    <s v="Personnel"/>
    <s v="M "/>
    <x v="2"/>
    <x v="17"/>
    <s v="PSES Mid Prog01Duty42 S275"/>
    <x v="0"/>
    <s v="42"/>
    <n v="42"/>
    <m/>
    <s v="   "/>
    <n v="8.1039999999999992"/>
  </r>
  <r>
    <x v="96"/>
    <s v="Auburn School District"/>
    <s v="Personnel"/>
    <s v="E "/>
    <x v="0"/>
    <x v="18"/>
    <s v="PSES Elem Prog21Duty43 S275"/>
    <x v="1"/>
    <s v="43"/>
    <n v="43"/>
    <m/>
    <s v="   "/>
    <n v="10.911"/>
  </r>
  <r>
    <x v="96"/>
    <s v="Auburn School District"/>
    <s v="Personnel"/>
    <s v="H "/>
    <x v="1"/>
    <x v="19"/>
    <s v="PSES High Prog21Duty43 S275"/>
    <x v="1"/>
    <s v="43"/>
    <n v="43"/>
    <m/>
    <s v="   "/>
    <n v="0.73"/>
  </r>
  <r>
    <x v="96"/>
    <s v="Auburn School District"/>
    <s v="Personnel"/>
    <s v="M "/>
    <x v="2"/>
    <x v="31"/>
    <s v="PSES Mid Prog21Duty43 S275"/>
    <x v="1"/>
    <s v="43"/>
    <n v="43"/>
    <m/>
    <s v="   "/>
    <n v="0.55900000000000005"/>
  </r>
  <r>
    <x v="96"/>
    <s v="Auburn School District"/>
    <s v="Personnel"/>
    <s v="E "/>
    <x v="0"/>
    <x v="42"/>
    <s v="PSES Elem Prog01Duty44 S275"/>
    <x v="0"/>
    <s v="44"/>
    <n v="44"/>
    <m/>
    <s v="   "/>
    <n v="2"/>
  </r>
  <r>
    <x v="96"/>
    <s v="Auburn School District"/>
    <s v="Personnel"/>
    <s v="H "/>
    <x v="1"/>
    <x v="44"/>
    <s v="PSES High Prog01Duty44 S275"/>
    <x v="0"/>
    <s v="44"/>
    <n v="44"/>
    <m/>
    <s v="   "/>
    <n v="1"/>
  </r>
  <r>
    <x v="96"/>
    <s v="Auburn School District"/>
    <s v="Personnel"/>
    <s v="E "/>
    <x v="0"/>
    <x v="20"/>
    <s v="PSES Elem Prog21Duty45 S275"/>
    <x v="1"/>
    <s v="45"/>
    <n v="45"/>
    <m/>
    <s v="   "/>
    <n v="25.995999999999999"/>
  </r>
  <r>
    <x v="96"/>
    <s v="Auburn School District"/>
    <s v="Personnel"/>
    <s v="E "/>
    <x v="0"/>
    <x v="47"/>
    <s v="PSES Elem Prog01Duty45 S275"/>
    <x v="0"/>
    <s v="45"/>
    <n v="45"/>
    <m/>
    <s v="   "/>
    <n v="0.5"/>
  </r>
  <r>
    <x v="96"/>
    <s v="Auburn School District"/>
    <s v="Personnel"/>
    <s v="H "/>
    <x v="1"/>
    <x v="21"/>
    <s v="PSES High Prog21Duty45 S275"/>
    <x v="1"/>
    <s v="45"/>
    <n v="45"/>
    <m/>
    <s v="   "/>
    <n v="4.3"/>
  </r>
  <r>
    <x v="96"/>
    <s v="Auburn School District"/>
    <s v="Personnel"/>
    <s v="M "/>
    <x v="2"/>
    <x v="28"/>
    <s v="PSES Mid Prog21Duty45 S275"/>
    <x v="1"/>
    <s v="45"/>
    <n v="45"/>
    <m/>
    <s v="   "/>
    <n v="3.004"/>
  </r>
  <r>
    <x v="96"/>
    <s v="Auburn School District"/>
    <s v="Personnel"/>
    <s v="E "/>
    <x v="0"/>
    <x v="22"/>
    <s v="PSES Elem Prog21Duty46 S275"/>
    <x v="1"/>
    <s v="46"/>
    <n v="46"/>
    <m/>
    <s v="   "/>
    <n v="13.272"/>
  </r>
  <r>
    <x v="96"/>
    <s v="Auburn School District"/>
    <s v="Personnel"/>
    <s v="H "/>
    <x v="1"/>
    <x v="23"/>
    <s v="PSES High Prog21Duty46 S275"/>
    <x v="1"/>
    <s v="46"/>
    <n v="46"/>
    <m/>
    <s v="   "/>
    <n v="4.4409999999999998"/>
  </r>
  <r>
    <x v="96"/>
    <s v="Auburn School District"/>
    <s v="Personnel"/>
    <s v="M "/>
    <x v="2"/>
    <x v="24"/>
    <s v="PSES Mid Prog21Duty46 S275"/>
    <x v="1"/>
    <s v="46"/>
    <n v="46"/>
    <m/>
    <s v="   "/>
    <n v="1.998"/>
  </r>
  <r>
    <x v="96"/>
    <s v="Auburn School District"/>
    <s v="Personnel"/>
    <s v="E "/>
    <x v="0"/>
    <x v="27"/>
    <s v="PSES Elem Prog01Duty47 S275"/>
    <x v="0"/>
    <s v="47"/>
    <n v="47"/>
    <m/>
    <s v="   "/>
    <n v="9.7940000000000005"/>
  </r>
  <r>
    <x v="96"/>
    <s v="Auburn School District"/>
    <s v="Personnel"/>
    <s v="H "/>
    <x v="1"/>
    <x v="25"/>
    <s v="PSES High Prog01Duty47 S275"/>
    <x v="0"/>
    <s v="47"/>
    <n v="47"/>
    <m/>
    <s v="   "/>
    <n v="2.2669999999999999"/>
  </r>
  <r>
    <x v="96"/>
    <s v="Auburn School District"/>
    <s v="Personnel"/>
    <s v="M "/>
    <x v="2"/>
    <x v="34"/>
    <s v="PSES Mid Prog01Duty47 S275"/>
    <x v="0"/>
    <s v="47"/>
    <n v="47"/>
    <m/>
    <s v="   "/>
    <n v="3.4169999999999998"/>
  </r>
  <r>
    <x v="96"/>
    <s v="Auburn School District"/>
    <s v="Personnel"/>
    <s v="E "/>
    <x v="0"/>
    <x v="35"/>
    <s v="PSES Elem Prog21Duty48 S275"/>
    <x v="1"/>
    <s v="48"/>
    <n v="48"/>
    <m/>
    <s v="   "/>
    <n v="2.02"/>
  </r>
  <r>
    <x v="96"/>
    <s v="Auburn School District"/>
    <s v="Personnel"/>
    <s v="H "/>
    <x v="1"/>
    <x v="36"/>
    <s v="PSES High Prog21Duty48 S275"/>
    <x v="1"/>
    <s v="48"/>
    <n v="48"/>
    <m/>
    <s v="   "/>
    <n v="0.55000000000000004"/>
  </r>
  <r>
    <x v="96"/>
    <s v="Auburn School District"/>
    <s v="Personnel"/>
    <s v="M "/>
    <x v="2"/>
    <x v="37"/>
    <s v="PSES Mid Prog21Duty48 S275"/>
    <x v="1"/>
    <s v="48"/>
    <n v="48"/>
    <m/>
    <s v="   "/>
    <n v="0.43"/>
  </r>
  <r>
    <x v="96"/>
    <s v="Auburn School District"/>
    <s v="Personnel"/>
    <s v="E "/>
    <x v="0"/>
    <x v="26"/>
    <s v="PSES Elem Prog21Duty49 S275"/>
    <x v="1"/>
    <s v="49"/>
    <n v="49"/>
    <m/>
    <s v="   "/>
    <n v="1.67"/>
  </r>
  <r>
    <x v="96"/>
    <s v="Auburn School District"/>
    <s v="Personnel"/>
    <s v="H "/>
    <x v="1"/>
    <x v="55"/>
    <s v="PSES High Prog21Duty49 S275"/>
    <x v="1"/>
    <s v="49"/>
    <n v="49"/>
    <m/>
    <s v="   "/>
    <n v="1.67"/>
  </r>
  <r>
    <x v="96"/>
    <s v="Auburn School District"/>
    <s v="Personnel"/>
    <s v="M "/>
    <x v="2"/>
    <x v="50"/>
    <s v="PSES Mid Prog21Duty49 S275"/>
    <x v="1"/>
    <s v="49"/>
    <n v="49"/>
    <m/>
    <s v="   "/>
    <n v="0.66"/>
  </r>
  <r>
    <x v="97"/>
    <s v="Tahoma School District"/>
    <s v="Personnel"/>
    <s v="H "/>
    <x v="1"/>
    <x v="5"/>
    <s v="PSES High Prog01Act25 S275"/>
    <x v="0"/>
    <s v="25"/>
    <m/>
    <n v="25"/>
    <s v="   "/>
    <n v="2.5619999999999998"/>
  </r>
  <r>
    <x v="97"/>
    <s v="Tahoma School District"/>
    <s v="Personnel"/>
    <s v="H "/>
    <x v="1"/>
    <x v="29"/>
    <s v="PSES High Prog21Act26 S275"/>
    <x v="1"/>
    <s v="26"/>
    <m/>
    <n v="26"/>
    <s v="   "/>
    <n v="2.081"/>
  </r>
  <r>
    <x v="97"/>
    <s v="Tahoma School District"/>
    <s v="Personnel"/>
    <s v="H "/>
    <x v="1"/>
    <x v="9"/>
    <s v="PSES High Prog01Act26 S275"/>
    <x v="0"/>
    <s v="26"/>
    <m/>
    <n v="26"/>
    <s v="   "/>
    <n v="14.076000000000001"/>
  </r>
  <r>
    <x v="97"/>
    <s v="Tahoma School District"/>
    <s v="Personnel"/>
    <s v="H "/>
    <x v="1"/>
    <x v="12"/>
    <s v="PSES High Prog97Act35 S275"/>
    <x v="2"/>
    <s v="35"/>
    <m/>
    <n v="35"/>
    <s v="   "/>
    <n v="2.113"/>
  </r>
  <r>
    <x v="97"/>
    <s v="Tahoma School District"/>
    <s v="Personnel"/>
    <s v="E "/>
    <x v="0"/>
    <x v="15"/>
    <s v="PSES Elem Prog01Duty42 S275"/>
    <x v="0"/>
    <s v="42"/>
    <n v="42"/>
    <m/>
    <s v="   "/>
    <n v="8.2349999999999994"/>
  </r>
  <r>
    <x v="97"/>
    <s v="Tahoma School District"/>
    <s v="Personnel"/>
    <s v="H "/>
    <x v="1"/>
    <x v="16"/>
    <s v="PSES High Prog01Duty42 S275"/>
    <x v="0"/>
    <s v="42"/>
    <n v="42"/>
    <m/>
    <s v="   "/>
    <n v="6.2"/>
  </r>
  <r>
    <x v="97"/>
    <s v="Tahoma School District"/>
    <s v="Personnel"/>
    <s v="M "/>
    <x v="2"/>
    <x v="17"/>
    <s v="PSES Mid Prog01Duty42 S275"/>
    <x v="0"/>
    <s v="42"/>
    <n v="42"/>
    <m/>
    <s v="   "/>
    <n v="4.7649999999999997"/>
  </r>
  <r>
    <x v="97"/>
    <s v="Tahoma School District"/>
    <s v="Personnel"/>
    <s v="E "/>
    <x v="0"/>
    <x v="18"/>
    <s v="PSES Elem Prog21Duty43 S275"/>
    <x v="1"/>
    <s v="43"/>
    <n v="43"/>
    <m/>
    <s v="   "/>
    <n v="2.1930000000000001"/>
  </r>
  <r>
    <x v="97"/>
    <s v="Tahoma School District"/>
    <s v="Personnel"/>
    <s v="H "/>
    <x v="1"/>
    <x v="19"/>
    <s v="PSES High Prog21Duty43 S275"/>
    <x v="1"/>
    <s v="43"/>
    <n v="43"/>
    <m/>
    <s v="   "/>
    <n v="0.73"/>
  </r>
  <r>
    <x v="97"/>
    <s v="Tahoma School District"/>
    <s v="Personnel"/>
    <s v="M "/>
    <x v="2"/>
    <x v="31"/>
    <s v="PSES Mid Prog21Duty43 S275"/>
    <x v="1"/>
    <s v="43"/>
    <n v="43"/>
    <m/>
    <s v="   "/>
    <n v="0.1"/>
  </r>
  <r>
    <x v="97"/>
    <s v="Tahoma School District"/>
    <s v="Personnel"/>
    <s v="E "/>
    <x v="0"/>
    <x v="20"/>
    <s v="PSES Elem Prog21Duty45 S275"/>
    <x v="1"/>
    <s v="45"/>
    <n v="45"/>
    <m/>
    <s v="   "/>
    <n v="10.795"/>
  </r>
  <r>
    <x v="97"/>
    <s v="Tahoma School District"/>
    <s v="Personnel"/>
    <s v="H "/>
    <x v="1"/>
    <x v="21"/>
    <s v="PSES High Prog21Duty45 S275"/>
    <x v="1"/>
    <s v="45"/>
    <n v="45"/>
    <m/>
    <s v="   "/>
    <n v="1.6120000000000001"/>
  </r>
  <r>
    <x v="97"/>
    <s v="Tahoma School District"/>
    <s v="Personnel"/>
    <s v="M "/>
    <x v="2"/>
    <x v="28"/>
    <s v="PSES Mid Prog21Duty45 S275"/>
    <x v="1"/>
    <s v="45"/>
    <n v="45"/>
    <m/>
    <s v="   "/>
    <n v="1.1000000000000001"/>
  </r>
  <r>
    <x v="97"/>
    <s v="Tahoma School District"/>
    <s v="Personnel"/>
    <s v="E "/>
    <x v="0"/>
    <x v="22"/>
    <s v="PSES Elem Prog21Duty46 S275"/>
    <x v="1"/>
    <s v="46"/>
    <n v="46"/>
    <m/>
    <s v="   "/>
    <n v="5.3029999999999999"/>
  </r>
  <r>
    <x v="97"/>
    <s v="Tahoma School District"/>
    <s v="Personnel"/>
    <s v="H "/>
    <x v="1"/>
    <x v="23"/>
    <s v="PSES High Prog21Duty46 S275"/>
    <x v="1"/>
    <s v="46"/>
    <n v="46"/>
    <m/>
    <s v="   "/>
    <n v="2"/>
  </r>
  <r>
    <x v="97"/>
    <s v="Tahoma School District"/>
    <s v="Personnel"/>
    <s v="M "/>
    <x v="2"/>
    <x v="24"/>
    <s v="PSES Mid Prog21Duty46 S275"/>
    <x v="1"/>
    <s v="46"/>
    <n v="46"/>
    <m/>
    <s v="   "/>
    <n v="0.67"/>
  </r>
  <r>
    <x v="97"/>
    <s v="Tahoma School District"/>
    <s v="Personnel"/>
    <s v="E "/>
    <x v="0"/>
    <x v="27"/>
    <s v="PSES Elem Prog01Duty47 S275"/>
    <x v="0"/>
    <s v="47"/>
    <n v="47"/>
    <m/>
    <s v="   "/>
    <n v="1.06"/>
  </r>
  <r>
    <x v="97"/>
    <s v="Tahoma School District"/>
    <s v="Personnel"/>
    <s v="H "/>
    <x v="1"/>
    <x v="25"/>
    <s v="PSES High Prog01Duty47 S275"/>
    <x v="0"/>
    <s v="47"/>
    <n v="47"/>
    <m/>
    <s v="   "/>
    <n v="0.52"/>
  </r>
  <r>
    <x v="97"/>
    <s v="Tahoma School District"/>
    <s v="Personnel"/>
    <s v="M "/>
    <x v="2"/>
    <x v="34"/>
    <s v="PSES Mid Prog01Duty47 S275"/>
    <x v="0"/>
    <s v="47"/>
    <n v="47"/>
    <m/>
    <s v="   "/>
    <n v="0.32"/>
  </r>
  <r>
    <x v="97"/>
    <s v="Tahoma School District"/>
    <s v="Personnel"/>
    <s v="E "/>
    <x v="0"/>
    <x v="35"/>
    <s v="PSES Elem Prog21Duty48 S275"/>
    <x v="1"/>
    <s v="48"/>
    <n v="48"/>
    <m/>
    <s v="   "/>
    <n v="0.66"/>
  </r>
  <r>
    <x v="97"/>
    <s v="Tahoma School District"/>
    <s v="Personnel"/>
    <s v="H "/>
    <x v="1"/>
    <x v="36"/>
    <s v="PSES High Prog21Duty48 S275"/>
    <x v="1"/>
    <s v="48"/>
    <n v="48"/>
    <m/>
    <s v="   "/>
    <n v="0.26"/>
  </r>
  <r>
    <x v="97"/>
    <s v="Tahoma School District"/>
    <s v="Personnel"/>
    <s v="M "/>
    <x v="2"/>
    <x v="37"/>
    <s v="PSES Mid Prog21Duty48 S275"/>
    <x v="1"/>
    <s v="48"/>
    <n v="48"/>
    <m/>
    <s v="   "/>
    <n v="0.08"/>
  </r>
  <r>
    <x v="98"/>
    <s v="Snoqualmie Valley School District"/>
    <s v="Personnel"/>
    <s v="H "/>
    <x v="1"/>
    <x v="1"/>
    <s v="PSES High Prog01Duty96 S275"/>
    <x v="0"/>
    <s v="24"/>
    <n v="96"/>
    <n v="24"/>
    <s v="   "/>
    <n v="0.70799999999999996"/>
  </r>
  <r>
    <x v="98"/>
    <s v="Snoqualmie Valley School District"/>
    <s v="Personnel"/>
    <s v="H "/>
    <x v="1"/>
    <x v="5"/>
    <s v="PSES High Prog01Act25 S275"/>
    <x v="0"/>
    <s v="25"/>
    <m/>
    <n v="25"/>
    <s v="   "/>
    <n v="6.1740000000000004"/>
  </r>
  <r>
    <x v="98"/>
    <s v="Snoqualmie Valley School District"/>
    <s v="Personnel"/>
    <s v="H "/>
    <x v="1"/>
    <x v="29"/>
    <s v="PSES High Prog21Act26 S275"/>
    <x v="1"/>
    <s v="26"/>
    <m/>
    <n v="26"/>
    <s v="   "/>
    <n v="2.452"/>
  </r>
  <r>
    <x v="98"/>
    <s v="Snoqualmie Valley School District"/>
    <s v="Personnel"/>
    <s v="H "/>
    <x v="1"/>
    <x v="9"/>
    <s v="PSES High Prog01Act26 S275"/>
    <x v="0"/>
    <s v="26"/>
    <m/>
    <n v="26"/>
    <s v="   "/>
    <n v="1.4430000000000001"/>
  </r>
  <r>
    <x v="98"/>
    <s v="Snoqualmie Valley School District"/>
    <s v="Personnel"/>
    <s v="E "/>
    <x v="0"/>
    <x v="15"/>
    <s v="PSES Elem Prog01Duty42 S275"/>
    <x v="0"/>
    <s v="42"/>
    <n v="42"/>
    <m/>
    <s v="   "/>
    <n v="8.75"/>
  </r>
  <r>
    <x v="98"/>
    <s v="Snoqualmie Valley School District"/>
    <s v="Personnel"/>
    <s v="H "/>
    <x v="1"/>
    <x v="16"/>
    <s v="PSES High Prog01Duty42 S275"/>
    <x v="0"/>
    <s v="42"/>
    <n v="42"/>
    <m/>
    <s v="   "/>
    <n v="4.12"/>
  </r>
  <r>
    <x v="98"/>
    <s v="Snoqualmie Valley School District"/>
    <s v="Personnel"/>
    <s v="M "/>
    <x v="2"/>
    <x v="17"/>
    <s v="PSES Mid Prog01Duty42 S275"/>
    <x v="0"/>
    <s v="42"/>
    <n v="42"/>
    <m/>
    <s v="   "/>
    <n v="3.25"/>
  </r>
  <r>
    <x v="98"/>
    <s v="Snoqualmie Valley School District"/>
    <s v="Personnel"/>
    <s v="E "/>
    <x v="0"/>
    <x v="18"/>
    <s v="PSES Elem Prog21Duty43 S275"/>
    <x v="1"/>
    <s v="43"/>
    <n v="43"/>
    <m/>
    <s v="   "/>
    <n v="2.206"/>
  </r>
  <r>
    <x v="98"/>
    <s v="Snoqualmie Valley School District"/>
    <s v="Personnel"/>
    <s v="H "/>
    <x v="1"/>
    <x v="19"/>
    <s v="PSES High Prog21Duty43 S275"/>
    <x v="1"/>
    <s v="43"/>
    <n v="43"/>
    <m/>
    <s v="   "/>
    <n v="0.93500000000000005"/>
  </r>
  <r>
    <x v="98"/>
    <s v="Snoqualmie Valley School District"/>
    <s v="Personnel"/>
    <s v="M "/>
    <x v="2"/>
    <x v="31"/>
    <s v="PSES Mid Prog21Duty43 S275"/>
    <x v="1"/>
    <s v="43"/>
    <n v="43"/>
    <m/>
    <s v="   "/>
    <n v="0.59899999999999998"/>
  </r>
  <r>
    <x v="98"/>
    <s v="Snoqualmie Valley School District"/>
    <s v="Personnel"/>
    <s v="E "/>
    <x v="0"/>
    <x v="42"/>
    <s v="PSES Elem Prog01Duty44 S275"/>
    <x v="0"/>
    <s v="44"/>
    <n v="44"/>
    <m/>
    <s v="   "/>
    <n v="1.7"/>
  </r>
  <r>
    <x v="98"/>
    <s v="Snoqualmie Valley School District"/>
    <s v="Personnel"/>
    <s v="H "/>
    <x v="1"/>
    <x v="44"/>
    <s v="PSES High Prog01Duty44 S275"/>
    <x v="0"/>
    <s v="44"/>
    <n v="44"/>
    <m/>
    <s v="   "/>
    <n v="1"/>
  </r>
  <r>
    <x v="98"/>
    <s v="Snoqualmie Valley School District"/>
    <s v="Personnel"/>
    <s v="M "/>
    <x v="2"/>
    <x v="46"/>
    <s v="PSES Mid Prog01Duty44 S275"/>
    <x v="0"/>
    <s v="44"/>
    <n v="44"/>
    <m/>
    <s v="   "/>
    <n v="1.3"/>
  </r>
  <r>
    <x v="98"/>
    <s v="Snoqualmie Valley School District"/>
    <s v="Personnel"/>
    <s v="E "/>
    <x v="0"/>
    <x v="20"/>
    <s v="PSES Elem Prog21Duty45 S275"/>
    <x v="1"/>
    <s v="45"/>
    <n v="45"/>
    <m/>
    <s v="   "/>
    <n v="5.5030000000000001"/>
  </r>
  <r>
    <x v="98"/>
    <s v="Snoqualmie Valley School District"/>
    <s v="Personnel"/>
    <s v="H "/>
    <x v="1"/>
    <x v="21"/>
    <s v="PSES High Prog21Duty45 S275"/>
    <x v="1"/>
    <s v="45"/>
    <n v="45"/>
    <m/>
    <s v="   "/>
    <n v="3.6"/>
  </r>
  <r>
    <x v="98"/>
    <s v="Snoqualmie Valley School District"/>
    <s v="Personnel"/>
    <s v="E "/>
    <x v="0"/>
    <x v="22"/>
    <s v="PSES Elem Prog21Duty46 S275"/>
    <x v="1"/>
    <s v="46"/>
    <n v="46"/>
    <m/>
    <s v="   "/>
    <n v="8.1720000000000006"/>
  </r>
  <r>
    <x v="98"/>
    <s v="Snoqualmie Valley School District"/>
    <s v="Personnel"/>
    <s v="M "/>
    <x v="2"/>
    <x v="24"/>
    <s v="PSES Mid Prog21Duty46 S275"/>
    <x v="1"/>
    <s v="46"/>
    <n v="46"/>
    <m/>
    <s v="   "/>
    <n v="1.7010000000000001"/>
  </r>
  <r>
    <x v="98"/>
    <s v="Snoqualmie Valley School District"/>
    <s v="Personnel"/>
    <s v="E "/>
    <x v="0"/>
    <x v="27"/>
    <s v="PSES Elem Prog01Duty47 S275"/>
    <x v="0"/>
    <s v="47"/>
    <n v="47"/>
    <m/>
    <s v="   "/>
    <n v="8.9559999999999995"/>
  </r>
  <r>
    <x v="98"/>
    <s v="Snoqualmie Valley School District"/>
    <s v="Personnel"/>
    <s v="H "/>
    <x v="1"/>
    <x v="25"/>
    <s v="PSES High Prog01Duty47 S275"/>
    <x v="0"/>
    <s v="47"/>
    <n v="47"/>
    <m/>
    <s v="   "/>
    <n v="1"/>
  </r>
  <r>
    <x v="98"/>
    <s v="Snoqualmie Valley School District"/>
    <s v="Personnel"/>
    <s v="M "/>
    <x v="2"/>
    <x v="34"/>
    <s v="PSES Mid Prog01Duty47 S275"/>
    <x v="0"/>
    <s v="47"/>
    <n v="47"/>
    <m/>
    <s v="   "/>
    <n v="0.65"/>
  </r>
  <r>
    <x v="98"/>
    <s v="Snoqualmie Valley School District"/>
    <s v="Personnel"/>
    <s v="E "/>
    <x v="0"/>
    <x v="35"/>
    <s v="PSES Elem Prog21Duty48 S275"/>
    <x v="1"/>
    <s v="48"/>
    <n v="48"/>
    <m/>
    <s v="   "/>
    <n v="0.57999999999999996"/>
  </r>
  <r>
    <x v="98"/>
    <s v="Snoqualmie Valley School District"/>
    <s v="Personnel"/>
    <s v="H "/>
    <x v="1"/>
    <x v="36"/>
    <s v="PSES High Prog21Duty48 S275"/>
    <x v="1"/>
    <s v="48"/>
    <n v="48"/>
    <m/>
    <s v="   "/>
    <n v="0.26"/>
  </r>
  <r>
    <x v="98"/>
    <s v="Snoqualmie Valley School District"/>
    <s v="Personnel"/>
    <s v="M "/>
    <x v="2"/>
    <x v="37"/>
    <s v="PSES Mid Prog21Duty48 S275"/>
    <x v="1"/>
    <s v="48"/>
    <n v="48"/>
    <m/>
    <s v="   "/>
    <n v="0.16"/>
  </r>
  <r>
    <x v="98"/>
    <s v="Snoqualmie Valley School District"/>
    <s v="Personnel"/>
    <s v="E "/>
    <x v="0"/>
    <x v="79"/>
    <s v="PSES Elem Prog01Duty49 S275"/>
    <x v="0"/>
    <s v="49"/>
    <n v="49"/>
    <m/>
    <s v="   "/>
    <n v="0.8"/>
  </r>
  <r>
    <x v="99"/>
    <s v="Issaquah School District"/>
    <s v="Personnel"/>
    <s v="H "/>
    <x v="1"/>
    <x v="5"/>
    <s v="PSES High Prog01Act25 S275"/>
    <x v="0"/>
    <s v="25"/>
    <m/>
    <n v="25"/>
    <s v="   "/>
    <n v="19.483000000000001"/>
  </r>
  <r>
    <x v="99"/>
    <s v="Issaquah School District"/>
    <s v="Personnel"/>
    <s v="H "/>
    <x v="1"/>
    <x v="29"/>
    <s v="PSES High Prog21Act26 S275"/>
    <x v="1"/>
    <s v="26"/>
    <m/>
    <n v="26"/>
    <s v="   "/>
    <n v="3.5"/>
  </r>
  <r>
    <x v="99"/>
    <s v="Issaquah School District"/>
    <s v="Personnel"/>
    <s v="H "/>
    <x v="1"/>
    <x v="9"/>
    <s v="PSES High Prog01Act26 S275"/>
    <x v="0"/>
    <s v="26"/>
    <m/>
    <n v="26"/>
    <s v="   "/>
    <n v="40.247999999999998"/>
  </r>
  <r>
    <x v="99"/>
    <s v="Issaquah School District"/>
    <s v="Personnel"/>
    <s v="H "/>
    <x v="1"/>
    <x v="54"/>
    <s v="PSES High Prog01Act35 S275"/>
    <x v="0"/>
    <s v="35"/>
    <m/>
    <n v="35"/>
    <s v="   "/>
    <n v="7.0609999999999999"/>
  </r>
  <r>
    <x v="99"/>
    <s v="Issaquah School District"/>
    <s v="Personnel"/>
    <s v="E "/>
    <x v="0"/>
    <x v="14"/>
    <s v="PSES Elem Prog21Duty39 S275"/>
    <x v="1"/>
    <s v="39"/>
    <n v="39"/>
    <m/>
    <s v="   "/>
    <n v="0.6"/>
  </r>
  <r>
    <x v="99"/>
    <s v="Issaquah School District"/>
    <s v="Personnel"/>
    <s v="E "/>
    <x v="0"/>
    <x v="15"/>
    <s v="PSES Elem Prog01Duty42 S275"/>
    <x v="0"/>
    <s v="42"/>
    <n v="42"/>
    <m/>
    <s v="   "/>
    <n v="16.632999999999999"/>
  </r>
  <r>
    <x v="99"/>
    <s v="Issaquah School District"/>
    <s v="Personnel"/>
    <s v="H "/>
    <x v="1"/>
    <x v="16"/>
    <s v="PSES High Prog01Duty42 S275"/>
    <x v="0"/>
    <s v="42"/>
    <n v="42"/>
    <m/>
    <s v="   "/>
    <n v="14.6"/>
  </r>
  <r>
    <x v="99"/>
    <s v="Issaquah School District"/>
    <s v="Personnel"/>
    <s v="M "/>
    <x v="2"/>
    <x v="17"/>
    <s v="PSES Mid Prog01Duty42 S275"/>
    <x v="0"/>
    <s v="42"/>
    <n v="42"/>
    <m/>
    <s v="   "/>
    <n v="10.467000000000001"/>
  </r>
  <r>
    <x v="99"/>
    <s v="Issaquah School District"/>
    <s v="Personnel"/>
    <s v="E "/>
    <x v="0"/>
    <x v="18"/>
    <s v="PSES Elem Prog21Duty43 S275"/>
    <x v="1"/>
    <s v="43"/>
    <n v="43"/>
    <m/>
    <s v="   "/>
    <n v="4.5"/>
  </r>
  <r>
    <x v="99"/>
    <s v="Issaquah School District"/>
    <s v="Personnel"/>
    <s v="H "/>
    <x v="1"/>
    <x v="19"/>
    <s v="PSES High Prog21Duty43 S275"/>
    <x v="1"/>
    <s v="43"/>
    <n v="43"/>
    <m/>
    <s v="   "/>
    <n v="2.5"/>
  </r>
  <r>
    <x v="99"/>
    <s v="Issaquah School District"/>
    <s v="Personnel"/>
    <s v="M "/>
    <x v="2"/>
    <x v="31"/>
    <s v="PSES Mid Prog21Duty43 S275"/>
    <x v="1"/>
    <s v="43"/>
    <n v="43"/>
    <m/>
    <s v="   "/>
    <n v="2.8"/>
  </r>
  <r>
    <x v="99"/>
    <s v="Issaquah School District"/>
    <s v="Personnel"/>
    <s v="E "/>
    <x v="0"/>
    <x v="42"/>
    <s v="PSES Elem Prog01Duty44 S275"/>
    <x v="0"/>
    <s v="44"/>
    <n v="44"/>
    <m/>
    <s v="   "/>
    <n v="3"/>
  </r>
  <r>
    <x v="99"/>
    <s v="Issaquah School District"/>
    <s v="Personnel"/>
    <s v="H "/>
    <x v="1"/>
    <x v="44"/>
    <s v="PSES High Prog01Duty44 S275"/>
    <x v="0"/>
    <s v="44"/>
    <n v="44"/>
    <m/>
    <s v="   "/>
    <n v="2"/>
  </r>
  <r>
    <x v="99"/>
    <s v="Issaquah School District"/>
    <s v="Personnel"/>
    <s v="M "/>
    <x v="2"/>
    <x v="46"/>
    <s v="PSES Mid Prog01Duty44 S275"/>
    <x v="0"/>
    <s v="44"/>
    <n v="44"/>
    <m/>
    <s v="   "/>
    <n v="3"/>
  </r>
  <r>
    <x v="99"/>
    <s v="Issaquah School District"/>
    <s v="Personnel"/>
    <s v="E "/>
    <x v="0"/>
    <x v="20"/>
    <s v="PSES Elem Prog21Duty45 S275"/>
    <x v="1"/>
    <s v="45"/>
    <n v="45"/>
    <m/>
    <s v="   "/>
    <n v="16.600000000000001"/>
  </r>
  <r>
    <x v="99"/>
    <s v="Issaquah School District"/>
    <s v="Personnel"/>
    <s v="E "/>
    <x v="0"/>
    <x v="47"/>
    <s v="PSES Elem Prog01Duty45 S275"/>
    <x v="0"/>
    <s v="45"/>
    <n v="45"/>
    <m/>
    <s v="   "/>
    <n v="0.4"/>
  </r>
  <r>
    <x v="99"/>
    <s v="Issaquah School District"/>
    <s v="Personnel"/>
    <s v="H "/>
    <x v="1"/>
    <x v="21"/>
    <s v="PSES High Prog21Duty45 S275"/>
    <x v="1"/>
    <s v="45"/>
    <n v="45"/>
    <m/>
    <s v="   "/>
    <n v="4.9000000000000004"/>
  </r>
  <r>
    <x v="99"/>
    <s v="Issaquah School District"/>
    <s v="Personnel"/>
    <s v="M "/>
    <x v="2"/>
    <x v="28"/>
    <s v="PSES Mid Prog21Duty45 S275"/>
    <x v="1"/>
    <s v="45"/>
    <n v="45"/>
    <m/>
    <s v="   "/>
    <n v="3.7"/>
  </r>
  <r>
    <x v="99"/>
    <s v="Issaquah School District"/>
    <s v="Personnel"/>
    <s v="E "/>
    <x v="0"/>
    <x v="27"/>
    <s v="PSES Elem Prog01Duty47 S275"/>
    <x v="0"/>
    <s v="47"/>
    <n v="47"/>
    <m/>
    <s v="   "/>
    <n v="1"/>
  </r>
  <r>
    <x v="99"/>
    <s v="Issaquah School District"/>
    <s v="Personnel"/>
    <s v="H "/>
    <x v="1"/>
    <x v="25"/>
    <s v="PSES High Prog01Duty47 S275"/>
    <x v="0"/>
    <s v="47"/>
    <n v="47"/>
    <m/>
    <s v="   "/>
    <n v="1"/>
  </r>
  <r>
    <x v="99"/>
    <s v="Issaquah School District"/>
    <s v="Personnel"/>
    <s v="M "/>
    <x v="2"/>
    <x v="34"/>
    <s v="PSES Mid Prog01Duty47 S275"/>
    <x v="0"/>
    <s v="47"/>
    <n v="47"/>
    <m/>
    <s v="   "/>
    <n v="1"/>
  </r>
  <r>
    <x v="99"/>
    <s v="Issaquah School District"/>
    <s v="Personnel"/>
    <s v="H "/>
    <x v="1"/>
    <x v="36"/>
    <s v="PSES High Prog21Duty48 S275"/>
    <x v="1"/>
    <s v="48"/>
    <n v="48"/>
    <m/>
    <s v="   "/>
    <n v="2.4"/>
  </r>
  <r>
    <x v="99"/>
    <s v="Issaquah School District"/>
    <s v="Personnel"/>
    <s v="M "/>
    <x v="2"/>
    <x v="37"/>
    <s v="PSES Mid Prog21Duty48 S275"/>
    <x v="1"/>
    <s v="48"/>
    <n v="48"/>
    <m/>
    <s v="   "/>
    <n v="2.4"/>
  </r>
  <r>
    <x v="100"/>
    <s v="Shoreline School District"/>
    <s v="Personnel"/>
    <s v="H "/>
    <x v="1"/>
    <x v="1"/>
    <s v="PSES High Prog01Duty96 S275"/>
    <x v="0"/>
    <s v="24"/>
    <n v="96"/>
    <n v="24"/>
    <s v="   "/>
    <n v="6.6310000000000002"/>
  </r>
  <r>
    <x v="100"/>
    <s v="Shoreline School District"/>
    <s v="Personnel"/>
    <s v="H "/>
    <x v="1"/>
    <x v="4"/>
    <s v="PSES High Prog21Act25 S275"/>
    <x v="1"/>
    <s v="25"/>
    <m/>
    <n v="25"/>
    <s v="   "/>
    <n v="4.87"/>
  </r>
  <r>
    <x v="100"/>
    <s v="Shoreline School District"/>
    <s v="Personnel"/>
    <s v="H "/>
    <x v="1"/>
    <x v="5"/>
    <s v="PSES High Prog01Act25 S275"/>
    <x v="0"/>
    <s v="25"/>
    <m/>
    <n v="25"/>
    <s v="   "/>
    <n v="12.327999999999999"/>
  </r>
  <r>
    <x v="100"/>
    <s v="Shoreline School District"/>
    <s v="Personnel"/>
    <s v="H "/>
    <x v="1"/>
    <x v="29"/>
    <s v="PSES High Prog21Act26 S275"/>
    <x v="1"/>
    <s v="26"/>
    <m/>
    <n v="26"/>
    <s v="   "/>
    <n v="0.626"/>
  </r>
  <r>
    <x v="100"/>
    <s v="Shoreline School District"/>
    <s v="Personnel"/>
    <s v="H "/>
    <x v="1"/>
    <x v="9"/>
    <s v="PSES High Prog01Act26 S275"/>
    <x v="0"/>
    <s v="26"/>
    <m/>
    <n v="26"/>
    <s v="   "/>
    <n v="9.3759999999999994"/>
  </r>
  <r>
    <x v="100"/>
    <s v="Shoreline School District"/>
    <s v="Personnel"/>
    <s v="H "/>
    <x v="1"/>
    <x v="54"/>
    <s v="PSES High Prog01Act35 S275"/>
    <x v="0"/>
    <s v="35"/>
    <m/>
    <n v="35"/>
    <s v="   "/>
    <n v="3"/>
  </r>
  <r>
    <x v="100"/>
    <s v="Shoreline School District"/>
    <s v="Personnel"/>
    <s v="E "/>
    <x v="0"/>
    <x v="15"/>
    <s v="PSES Elem Prog01Duty42 S275"/>
    <x v="0"/>
    <s v="42"/>
    <n v="42"/>
    <m/>
    <s v="   "/>
    <n v="9.76"/>
  </r>
  <r>
    <x v="100"/>
    <s v="Shoreline School District"/>
    <s v="Personnel"/>
    <s v="H "/>
    <x v="1"/>
    <x v="16"/>
    <s v="PSES High Prog01Duty42 S275"/>
    <x v="0"/>
    <s v="42"/>
    <n v="42"/>
    <m/>
    <s v="   "/>
    <n v="9.9979999999999993"/>
  </r>
  <r>
    <x v="100"/>
    <s v="Shoreline School District"/>
    <s v="Personnel"/>
    <s v="M "/>
    <x v="2"/>
    <x v="17"/>
    <s v="PSES Mid Prog01Duty42 S275"/>
    <x v="0"/>
    <s v="42"/>
    <n v="42"/>
    <m/>
    <s v="   "/>
    <n v="6.94"/>
  </r>
  <r>
    <x v="100"/>
    <s v="Shoreline School District"/>
    <s v="Personnel"/>
    <s v="E "/>
    <x v="0"/>
    <x v="18"/>
    <s v="PSES Elem Prog21Duty43 S275"/>
    <x v="1"/>
    <s v="43"/>
    <n v="43"/>
    <m/>
    <s v="   "/>
    <n v="5.18"/>
  </r>
  <r>
    <x v="100"/>
    <s v="Shoreline School District"/>
    <s v="Personnel"/>
    <s v="M "/>
    <x v="2"/>
    <x v="31"/>
    <s v="PSES Mid Prog21Duty43 S275"/>
    <x v="1"/>
    <s v="43"/>
    <n v="43"/>
    <m/>
    <s v="   "/>
    <n v="0.92"/>
  </r>
  <r>
    <x v="100"/>
    <s v="Shoreline School District"/>
    <s v="Personnel"/>
    <s v="E "/>
    <x v="0"/>
    <x v="20"/>
    <s v="PSES Elem Prog21Duty45 S275"/>
    <x v="1"/>
    <s v="45"/>
    <n v="45"/>
    <m/>
    <s v="   "/>
    <n v="10.302"/>
  </r>
  <r>
    <x v="100"/>
    <s v="Shoreline School District"/>
    <s v="Personnel"/>
    <s v="H "/>
    <x v="1"/>
    <x v="21"/>
    <s v="PSES High Prog21Duty45 S275"/>
    <x v="1"/>
    <s v="45"/>
    <n v="45"/>
    <m/>
    <s v="   "/>
    <n v="2.0979999999999999"/>
  </r>
  <r>
    <x v="100"/>
    <s v="Shoreline School District"/>
    <s v="Personnel"/>
    <s v="M "/>
    <x v="2"/>
    <x v="28"/>
    <s v="PSES Mid Prog21Duty45 S275"/>
    <x v="1"/>
    <s v="45"/>
    <n v="45"/>
    <m/>
    <s v="   "/>
    <n v="1.5"/>
  </r>
  <r>
    <x v="100"/>
    <s v="Shoreline School District"/>
    <s v="Personnel"/>
    <s v="E "/>
    <x v="0"/>
    <x v="22"/>
    <s v="PSES Elem Prog21Duty46 S275"/>
    <x v="1"/>
    <s v="46"/>
    <n v="46"/>
    <m/>
    <s v="   "/>
    <n v="0.8"/>
  </r>
  <r>
    <x v="100"/>
    <s v="Shoreline School District"/>
    <s v="Personnel"/>
    <s v="E "/>
    <x v="0"/>
    <x v="35"/>
    <s v="PSES Elem Prog21Duty48 S275"/>
    <x v="1"/>
    <s v="48"/>
    <n v="48"/>
    <m/>
    <s v="   "/>
    <n v="2.87"/>
  </r>
  <r>
    <x v="101"/>
    <s v="Lake Washington School District"/>
    <s v="Personnel"/>
    <s v="H "/>
    <x v="1"/>
    <x v="1"/>
    <s v="PSES High Prog01Duty96 S275"/>
    <x v="0"/>
    <s v="24"/>
    <n v="96"/>
    <n v="24"/>
    <s v="   "/>
    <n v="4.1109999999999998"/>
  </r>
  <r>
    <x v="101"/>
    <s v="Lake Washington School District"/>
    <s v="Personnel"/>
    <s v="H "/>
    <x v="1"/>
    <x v="5"/>
    <s v="PSES High Prog01Act25 S275"/>
    <x v="0"/>
    <s v="25"/>
    <m/>
    <n v="25"/>
    <s v="   "/>
    <n v="66.320999999999998"/>
  </r>
  <r>
    <x v="101"/>
    <s v="Lake Washington School District"/>
    <s v="Personnel"/>
    <s v="H "/>
    <x v="1"/>
    <x v="29"/>
    <s v="PSES High Prog21Act26 S275"/>
    <x v="1"/>
    <s v="26"/>
    <m/>
    <n v="26"/>
    <s v="   "/>
    <n v="4.25"/>
  </r>
  <r>
    <x v="101"/>
    <s v="Lake Washington School District"/>
    <s v="Personnel"/>
    <s v="H "/>
    <x v="1"/>
    <x v="9"/>
    <s v="PSES High Prog01Act26 S275"/>
    <x v="0"/>
    <s v="26"/>
    <m/>
    <n v="26"/>
    <s v="   "/>
    <n v="46.55"/>
  </r>
  <r>
    <x v="101"/>
    <s v="Lake Washington School District"/>
    <s v="Personnel"/>
    <s v="E "/>
    <x v="0"/>
    <x v="15"/>
    <s v="PSES Elem Prog01Duty42 S275"/>
    <x v="0"/>
    <s v="42"/>
    <n v="42"/>
    <m/>
    <s v="   "/>
    <n v="28.943999999999999"/>
  </r>
  <r>
    <x v="101"/>
    <s v="Lake Washington School District"/>
    <s v="Personnel"/>
    <s v="H "/>
    <x v="1"/>
    <x v="16"/>
    <s v="PSES High Prog01Duty42 S275"/>
    <x v="0"/>
    <s v="42"/>
    <n v="42"/>
    <m/>
    <s v="   "/>
    <n v="30.521999999999998"/>
  </r>
  <r>
    <x v="101"/>
    <s v="Lake Washington School District"/>
    <s v="Personnel"/>
    <s v="M "/>
    <x v="2"/>
    <x v="17"/>
    <s v="PSES Mid Prog01Duty42 S275"/>
    <x v="0"/>
    <s v="42"/>
    <n v="42"/>
    <m/>
    <s v="   "/>
    <n v="20.983000000000001"/>
  </r>
  <r>
    <x v="101"/>
    <s v="Lake Washington School District"/>
    <s v="Personnel"/>
    <s v="E "/>
    <x v="0"/>
    <x v="18"/>
    <s v="PSES Elem Prog21Duty43 S275"/>
    <x v="1"/>
    <s v="43"/>
    <n v="43"/>
    <m/>
    <s v="   "/>
    <n v="16.672000000000001"/>
  </r>
  <r>
    <x v="101"/>
    <s v="Lake Washington School District"/>
    <s v="Personnel"/>
    <s v="H "/>
    <x v="1"/>
    <x v="19"/>
    <s v="PSES High Prog21Duty43 S275"/>
    <x v="1"/>
    <s v="43"/>
    <n v="43"/>
    <m/>
    <s v="   "/>
    <n v="2.5289999999999999"/>
  </r>
  <r>
    <x v="101"/>
    <s v="Lake Washington School District"/>
    <s v="Personnel"/>
    <s v="M "/>
    <x v="2"/>
    <x v="31"/>
    <s v="PSES Mid Prog21Duty43 S275"/>
    <x v="1"/>
    <s v="43"/>
    <n v="43"/>
    <m/>
    <s v="   "/>
    <n v="3.57"/>
  </r>
  <r>
    <x v="101"/>
    <s v="Lake Washington School District"/>
    <s v="Personnel"/>
    <s v="E "/>
    <x v="0"/>
    <x v="20"/>
    <s v="PSES Elem Prog21Duty45 S275"/>
    <x v="1"/>
    <s v="45"/>
    <n v="45"/>
    <m/>
    <s v="   "/>
    <n v="17.399999999999999"/>
  </r>
  <r>
    <x v="101"/>
    <s v="Lake Washington School District"/>
    <s v="Personnel"/>
    <s v="H "/>
    <x v="1"/>
    <x v="21"/>
    <s v="PSES High Prog21Duty45 S275"/>
    <x v="1"/>
    <s v="45"/>
    <n v="45"/>
    <m/>
    <s v="   "/>
    <n v="5"/>
  </r>
  <r>
    <x v="101"/>
    <s v="Lake Washington School District"/>
    <s v="Personnel"/>
    <s v="M "/>
    <x v="2"/>
    <x v="28"/>
    <s v="PSES Mid Prog21Duty45 S275"/>
    <x v="1"/>
    <s v="45"/>
    <n v="45"/>
    <m/>
    <s v="   "/>
    <n v="6.2"/>
  </r>
  <r>
    <x v="101"/>
    <s v="Lake Washington School District"/>
    <s v="Personnel"/>
    <s v="E "/>
    <x v="0"/>
    <x v="48"/>
    <s v="PSES Elem Prog01Duty46 S275"/>
    <x v="0"/>
    <s v="46"/>
    <n v="46"/>
    <m/>
    <s v="   "/>
    <n v="15.2"/>
  </r>
  <r>
    <x v="101"/>
    <s v="Lake Washington School District"/>
    <s v="Personnel"/>
    <s v="H "/>
    <x v="1"/>
    <x v="65"/>
    <s v="PSES High Prog01Duty46 S275"/>
    <x v="0"/>
    <s v="46"/>
    <n v="46"/>
    <m/>
    <s v="   "/>
    <n v="9.718"/>
  </r>
  <r>
    <x v="101"/>
    <s v="Lake Washington School District"/>
    <s v="Personnel"/>
    <s v="M "/>
    <x v="2"/>
    <x v="49"/>
    <s v="PSES Mid Prog01Duty46 S275"/>
    <x v="0"/>
    <s v="46"/>
    <n v="46"/>
    <m/>
    <s v="   "/>
    <n v="7.05"/>
  </r>
  <r>
    <x v="101"/>
    <s v="Lake Washington School District"/>
    <s v="Personnel"/>
    <s v="E "/>
    <x v="0"/>
    <x v="35"/>
    <s v="PSES Elem Prog21Duty48 S275"/>
    <x v="1"/>
    <s v="48"/>
    <n v="48"/>
    <m/>
    <s v="   "/>
    <n v="2.7"/>
  </r>
  <r>
    <x v="101"/>
    <s v="Lake Washington School District"/>
    <s v="Personnel"/>
    <s v="H "/>
    <x v="1"/>
    <x v="36"/>
    <s v="PSES High Prog21Duty48 S275"/>
    <x v="1"/>
    <s v="48"/>
    <n v="48"/>
    <m/>
    <s v="   "/>
    <n v="1.1000000000000001"/>
  </r>
  <r>
    <x v="101"/>
    <s v="Lake Washington School District"/>
    <s v="Personnel"/>
    <s v="M "/>
    <x v="2"/>
    <x v="37"/>
    <s v="PSES Mid Prog21Duty48 S275"/>
    <x v="1"/>
    <s v="48"/>
    <n v="48"/>
    <m/>
    <s v="   "/>
    <n v="0.9"/>
  </r>
  <r>
    <x v="102"/>
    <s v="Kent School District"/>
    <s v="Personnel"/>
    <s v="E "/>
    <x v="0"/>
    <x v="3"/>
    <s v="PSES Elem Prog01Act25 S275"/>
    <x v="0"/>
    <s v="25"/>
    <m/>
    <n v="25"/>
    <s v="   "/>
    <n v="5.0410000000000004"/>
  </r>
  <r>
    <x v="102"/>
    <s v="Kent School District"/>
    <s v="Personnel"/>
    <s v="H "/>
    <x v="1"/>
    <x v="5"/>
    <s v="PSES High Prog01Act25 S275"/>
    <x v="0"/>
    <s v="25"/>
    <m/>
    <n v="25"/>
    <s v="   "/>
    <n v="49.628999999999998"/>
  </r>
  <r>
    <x v="102"/>
    <s v="Kent School District"/>
    <s v="Personnel"/>
    <s v="E "/>
    <x v="0"/>
    <x v="8"/>
    <s v="PSES Elem Prog01Act26 S275"/>
    <x v="0"/>
    <s v="26"/>
    <m/>
    <n v="26"/>
    <s v="   "/>
    <n v="2.9"/>
  </r>
  <r>
    <x v="102"/>
    <s v="Kent School District"/>
    <s v="Personnel"/>
    <s v="H "/>
    <x v="1"/>
    <x v="29"/>
    <s v="PSES High Prog21Act26 S275"/>
    <x v="1"/>
    <s v="26"/>
    <m/>
    <n v="26"/>
    <s v="   "/>
    <n v="2.8130000000000002"/>
  </r>
  <r>
    <x v="102"/>
    <s v="Kent School District"/>
    <s v="Personnel"/>
    <s v="H "/>
    <x v="1"/>
    <x v="9"/>
    <s v="PSES High Prog01Act26 S275"/>
    <x v="0"/>
    <s v="26"/>
    <m/>
    <n v="26"/>
    <s v="   "/>
    <n v="22.332999999999998"/>
  </r>
  <r>
    <x v="102"/>
    <s v="Kent School District"/>
    <s v="Personnel"/>
    <s v="M "/>
    <x v="2"/>
    <x v="11"/>
    <s v="PSES Mid Prog01Act26 S275"/>
    <x v="0"/>
    <s v="26"/>
    <m/>
    <n v="26"/>
    <s v="   "/>
    <n v="1.714"/>
  </r>
  <r>
    <x v="102"/>
    <s v="Kent School District"/>
    <s v="Personnel"/>
    <s v="H "/>
    <x v="1"/>
    <x v="54"/>
    <s v="PSES High Prog01Act35 S275"/>
    <x v="0"/>
    <s v="35"/>
    <m/>
    <n v="35"/>
    <s v="   "/>
    <n v="15.925000000000001"/>
  </r>
  <r>
    <x v="102"/>
    <s v="Kent School District"/>
    <s v="Personnel"/>
    <s v="E "/>
    <x v="0"/>
    <x v="15"/>
    <s v="PSES Elem Prog01Duty42 S275"/>
    <x v="0"/>
    <s v="42"/>
    <n v="42"/>
    <m/>
    <s v="   "/>
    <n v="12.494999999999999"/>
  </r>
  <r>
    <x v="102"/>
    <s v="Kent School District"/>
    <s v="Personnel"/>
    <s v="H "/>
    <x v="1"/>
    <x v="16"/>
    <s v="PSES High Prog01Duty42 S275"/>
    <x v="0"/>
    <s v="42"/>
    <n v="42"/>
    <m/>
    <s v="   "/>
    <n v="19.899999999999999"/>
  </r>
  <r>
    <x v="102"/>
    <s v="Kent School District"/>
    <s v="Personnel"/>
    <s v="M "/>
    <x v="2"/>
    <x v="17"/>
    <s v="PSES Mid Prog01Duty42 S275"/>
    <x v="0"/>
    <s v="42"/>
    <n v="42"/>
    <m/>
    <s v="   "/>
    <n v="20"/>
  </r>
  <r>
    <x v="102"/>
    <s v="Kent School District"/>
    <s v="Personnel"/>
    <s v="E "/>
    <x v="0"/>
    <x v="42"/>
    <s v="PSES Elem Prog01Duty44 S275"/>
    <x v="0"/>
    <s v="44"/>
    <n v="44"/>
    <m/>
    <s v="   "/>
    <n v="5"/>
  </r>
  <r>
    <x v="102"/>
    <s v="Kent School District"/>
    <s v="Personnel"/>
    <s v="E "/>
    <x v="0"/>
    <x v="20"/>
    <s v="PSES Elem Prog21Duty45 S275"/>
    <x v="1"/>
    <s v="45"/>
    <n v="45"/>
    <m/>
    <s v="   "/>
    <n v="19.722999999999999"/>
  </r>
  <r>
    <x v="102"/>
    <s v="Kent School District"/>
    <s v="Personnel"/>
    <s v="H "/>
    <x v="1"/>
    <x v="21"/>
    <s v="PSES High Prog21Duty45 S275"/>
    <x v="1"/>
    <s v="45"/>
    <n v="45"/>
    <m/>
    <s v="   "/>
    <n v="24.524999999999999"/>
  </r>
  <r>
    <x v="102"/>
    <s v="Kent School District"/>
    <s v="Personnel"/>
    <s v="M "/>
    <x v="2"/>
    <x v="28"/>
    <s v="PSES Mid Prog21Duty45 S275"/>
    <x v="1"/>
    <s v="45"/>
    <n v="45"/>
    <m/>
    <s v="   "/>
    <n v="1.165"/>
  </r>
  <r>
    <x v="102"/>
    <s v="Kent School District"/>
    <s v="Personnel"/>
    <s v="E "/>
    <x v="0"/>
    <x v="22"/>
    <s v="PSES Elem Prog21Duty46 S275"/>
    <x v="1"/>
    <s v="46"/>
    <n v="46"/>
    <m/>
    <s v="   "/>
    <n v="30.556999999999999"/>
  </r>
  <r>
    <x v="102"/>
    <s v="Kent School District"/>
    <s v="Personnel"/>
    <s v="H "/>
    <x v="1"/>
    <x v="23"/>
    <s v="PSES High Prog21Duty46 S275"/>
    <x v="1"/>
    <s v="46"/>
    <n v="46"/>
    <m/>
    <s v="   "/>
    <n v="1.9770000000000001"/>
  </r>
  <r>
    <x v="102"/>
    <s v="Kent School District"/>
    <s v="Personnel"/>
    <s v="E "/>
    <x v="0"/>
    <x v="27"/>
    <s v="PSES Elem Prog01Duty47 S275"/>
    <x v="0"/>
    <s v="47"/>
    <n v="47"/>
    <m/>
    <s v="   "/>
    <n v="10.714"/>
  </r>
  <r>
    <x v="102"/>
    <s v="Kent School District"/>
    <s v="Personnel"/>
    <s v="H "/>
    <x v="1"/>
    <x v="25"/>
    <s v="PSES High Prog01Duty47 S275"/>
    <x v="0"/>
    <s v="47"/>
    <n v="47"/>
    <m/>
    <s v="   "/>
    <n v="8.74"/>
  </r>
  <r>
    <x v="102"/>
    <s v="Kent School District"/>
    <s v="Personnel"/>
    <s v="E "/>
    <x v="0"/>
    <x v="35"/>
    <s v="PSES Elem Prog21Duty48 S275"/>
    <x v="1"/>
    <s v="48"/>
    <n v="48"/>
    <m/>
    <s v="   "/>
    <n v="4.7699999999999996"/>
  </r>
  <r>
    <x v="102"/>
    <s v="Kent School District"/>
    <s v="Personnel"/>
    <s v="H "/>
    <x v="1"/>
    <x v="55"/>
    <s v="PSES High Prog21Duty49 S275"/>
    <x v="1"/>
    <s v="49"/>
    <n v="49"/>
    <m/>
    <s v="   "/>
    <n v="4"/>
  </r>
  <r>
    <x v="103"/>
    <s v="Northshore School District"/>
    <s v="Personnel"/>
    <s v="E "/>
    <x v="0"/>
    <x v="3"/>
    <s v="PSES Elem Prog01Act25 S275"/>
    <x v="0"/>
    <s v="25"/>
    <m/>
    <n v="25"/>
    <s v="   "/>
    <n v="5.8109999999999999"/>
  </r>
  <r>
    <x v="103"/>
    <s v="Northshore School District"/>
    <s v="Personnel"/>
    <s v="H "/>
    <x v="1"/>
    <x v="5"/>
    <s v="PSES High Prog01Act25 S275"/>
    <x v="0"/>
    <s v="25"/>
    <m/>
    <n v="25"/>
    <s v="   "/>
    <n v="13.73"/>
  </r>
  <r>
    <x v="103"/>
    <s v="Northshore School District"/>
    <s v="Personnel"/>
    <s v="M "/>
    <x v="2"/>
    <x v="6"/>
    <s v="PSES Mid Prog01Act25 S275"/>
    <x v="0"/>
    <s v="25"/>
    <m/>
    <n v="25"/>
    <s v="   "/>
    <n v="0.443"/>
  </r>
  <r>
    <x v="103"/>
    <s v="Northshore School District"/>
    <s v="Personnel"/>
    <s v="E "/>
    <x v="0"/>
    <x v="7"/>
    <s v="PSES Elem Prog21Act26 S275"/>
    <x v="1"/>
    <s v="26"/>
    <m/>
    <n v="26"/>
    <s v="   "/>
    <n v="1.653"/>
  </r>
  <r>
    <x v="103"/>
    <s v="Northshore School District"/>
    <s v="Personnel"/>
    <s v="E "/>
    <x v="0"/>
    <x v="8"/>
    <s v="PSES Elem Prog01Act26 S275"/>
    <x v="0"/>
    <s v="26"/>
    <m/>
    <n v="26"/>
    <s v="   "/>
    <n v="14.01"/>
  </r>
  <r>
    <x v="103"/>
    <s v="Northshore School District"/>
    <s v="Personnel"/>
    <s v="H "/>
    <x v="1"/>
    <x v="29"/>
    <s v="PSES High Prog21Act26 S275"/>
    <x v="1"/>
    <s v="26"/>
    <m/>
    <n v="26"/>
    <s v="   "/>
    <n v="13.842000000000001"/>
  </r>
  <r>
    <x v="103"/>
    <s v="Northshore School District"/>
    <s v="Personnel"/>
    <s v="H "/>
    <x v="1"/>
    <x v="9"/>
    <s v="PSES High Prog01Act26 S275"/>
    <x v="0"/>
    <s v="26"/>
    <m/>
    <n v="26"/>
    <s v="   "/>
    <n v="6.7229999999999999"/>
  </r>
  <r>
    <x v="103"/>
    <s v="Northshore School District"/>
    <s v="Personnel"/>
    <s v="M "/>
    <x v="2"/>
    <x v="10"/>
    <s v="PSES Mid Prog21Act26 S275"/>
    <x v="1"/>
    <s v="26"/>
    <m/>
    <n v="26"/>
    <s v="   "/>
    <n v="0.128"/>
  </r>
  <r>
    <x v="103"/>
    <s v="Northshore School District"/>
    <s v="Personnel"/>
    <s v="M "/>
    <x v="2"/>
    <x v="11"/>
    <s v="PSES Mid Prog01Act26 S275"/>
    <x v="0"/>
    <s v="26"/>
    <m/>
    <n v="26"/>
    <s v="   "/>
    <n v="4.3730000000000002"/>
  </r>
  <r>
    <x v="103"/>
    <s v="Northshore School District"/>
    <s v="Personnel"/>
    <s v="H "/>
    <x v="1"/>
    <x v="54"/>
    <s v="PSES High Prog01Act35 S275"/>
    <x v="0"/>
    <s v="35"/>
    <m/>
    <n v="35"/>
    <s v="   "/>
    <n v="5.1660000000000004"/>
  </r>
  <r>
    <x v="103"/>
    <s v="Northshore School District"/>
    <s v="Personnel"/>
    <s v="E "/>
    <x v="0"/>
    <x v="15"/>
    <s v="PSES Elem Prog01Duty42 S275"/>
    <x v="0"/>
    <s v="42"/>
    <n v="42"/>
    <m/>
    <s v="   "/>
    <n v="28.28"/>
  </r>
  <r>
    <x v="103"/>
    <s v="Northshore School District"/>
    <s v="Personnel"/>
    <s v="H "/>
    <x v="1"/>
    <x v="16"/>
    <s v="PSES High Prog01Duty42 S275"/>
    <x v="0"/>
    <s v="42"/>
    <n v="42"/>
    <m/>
    <s v="   "/>
    <n v="22.1"/>
  </r>
  <r>
    <x v="103"/>
    <s v="Northshore School District"/>
    <s v="Personnel"/>
    <s v="M "/>
    <x v="2"/>
    <x v="17"/>
    <s v="PSES Mid Prog01Duty42 S275"/>
    <x v="0"/>
    <s v="42"/>
    <n v="42"/>
    <m/>
    <s v="   "/>
    <n v="11.702999999999999"/>
  </r>
  <r>
    <x v="103"/>
    <s v="Northshore School District"/>
    <s v="Personnel"/>
    <s v="E "/>
    <x v="0"/>
    <x v="18"/>
    <s v="PSES Elem Prog21Duty43 S275"/>
    <x v="1"/>
    <s v="43"/>
    <n v="43"/>
    <m/>
    <s v="   "/>
    <n v="10.882"/>
  </r>
  <r>
    <x v="103"/>
    <s v="Northshore School District"/>
    <s v="Personnel"/>
    <s v="H "/>
    <x v="1"/>
    <x v="19"/>
    <s v="PSES High Prog21Duty43 S275"/>
    <x v="1"/>
    <s v="43"/>
    <n v="43"/>
    <m/>
    <s v="   "/>
    <n v="0.16"/>
  </r>
  <r>
    <x v="103"/>
    <s v="Northshore School District"/>
    <s v="Personnel"/>
    <s v="M "/>
    <x v="2"/>
    <x v="31"/>
    <s v="PSES Mid Prog21Duty43 S275"/>
    <x v="1"/>
    <s v="43"/>
    <n v="43"/>
    <m/>
    <s v="   "/>
    <n v="1.3160000000000001"/>
  </r>
  <r>
    <x v="103"/>
    <s v="Northshore School District"/>
    <s v="Personnel"/>
    <s v="E "/>
    <x v="0"/>
    <x v="20"/>
    <s v="PSES Elem Prog21Duty45 S275"/>
    <x v="1"/>
    <s v="45"/>
    <n v="45"/>
    <m/>
    <s v="   "/>
    <n v="24.763999999999999"/>
  </r>
  <r>
    <x v="103"/>
    <s v="Northshore School District"/>
    <s v="Personnel"/>
    <s v="H "/>
    <x v="1"/>
    <x v="21"/>
    <s v="PSES High Prog21Duty45 S275"/>
    <x v="1"/>
    <s v="45"/>
    <n v="45"/>
    <m/>
    <s v="   "/>
    <n v="5.1459999999999999"/>
  </r>
  <r>
    <x v="103"/>
    <s v="Northshore School District"/>
    <s v="Personnel"/>
    <s v="M "/>
    <x v="2"/>
    <x v="28"/>
    <s v="PSES Mid Prog21Duty45 S275"/>
    <x v="1"/>
    <s v="45"/>
    <n v="45"/>
    <m/>
    <s v="   "/>
    <n v="3.2210000000000001"/>
  </r>
  <r>
    <x v="103"/>
    <s v="Northshore School District"/>
    <s v="Personnel"/>
    <s v="E "/>
    <x v="0"/>
    <x v="22"/>
    <s v="PSES Elem Prog21Duty46 S275"/>
    <x v="1"/>
    <s v="46"/>
    <n v="46"/>
    <m/>
    <s v="   "/>
    <n v="11.108000000000001"/>
  </r>
  <r>
    <x v="103"/>
    <s v="Northshore School District"/>
    <s v="Personnel"/>
    <s v="H "/>
    <x v="1"/>
    <x v="23"/>
    <s v="PSES High Prog21Duty46 S275"/>
    <x v="1"/>
    <s v="46"/>
    <n v="46"/>
    <m/>
    <s v="   "/>
    <n v="5.19"/>
  </r>
  <r>
    <x v="103"/>
    <s v="Northshore School District"/>
    <s v="Personnel"/>
    <s v="M "/>
    <x v="2"/>
    <x v="24"/>
    <s v="PSES Mid Prog21Duty46 S275"/>
    <x v="1"/>
    <s v="46"/>
    <n v="46"/>
    <m/>
    <s v="   "/>
    <n v="2.4980000000000002"/>
  </r>
  <r>
    <x v="103"/>
    <s v="Northshore School District"/>
    <s v="Personnel"/>
    <s v="E "/>
    <x v="0"/>
    <x v="32"/>
    <s v="PSES Elem Prog21Duty47 S275"/>
    <x v="1"/>
    <s v="47"/>
    <n v="47"/>
    <m/>
    <s v="   "/>
    <n v="0.25"/>
  </r>
  <r>
    <x v="103"/>
    <s v="Northshore School District"/>
    <s v="Personnel"/>
    <s v="E "/>
    <x v="0"/>
    <x v="27"/>
    <s v="PSES Elem Prog01Duty47 S275"/>
    <x v="0"/>
    <s v="47"/>
    <n v="47"/>
    <m/>
    <s v="   "/>
    <n v="0.75"/>
  </r>
  <r>
    <x v="103"/>
    <s v="Northshore School District"/>
    <s v="Personnel"/>
    <s v="E "/>
    <x v="0"/>
    <x v="35"/>
    <s v="PSES Elem Prog21Duty48 S275"/>
    <x v="1"/>
    <s v="48"/>
    <n v="48"/>
    <m/>
    <s v="   "/>
    <n v="7.2569999999999997"/>
  </r>
  <r>
    <x v="103"/>
    <s v="Northshore School District"/>
    <s v="Personnel"/>
    <s v="H "/>
    <x v="1"/>
    <x v="36"/>
    <s v="PSES High Prog21Duty48 S275"/>
    <x v="1"/>
    <s v="48"/>
    <n v="48"/>
    <m/>
    <s v="   "/>
    <n v="0.79600000000000004"/>
  </r>
  <r>
    <x v="103"/>
    <s v="Northshore School District"/>
    <s v="Personnel"/>
    <s v="M "/>
    <x v="2"/>
    <x v="37"/>
    <s v="PSES Mid Prog21Duty48 S275"/>
    <x v="1"/>
    <s v="48"/>
    <n v="48"/>
    <m/>
    <s v="   "/>
    <n v="0.92900000000000005"/>
  </r>
  <r>
    <x v="104"/>
    <s v="Summit Public School: Sierra"/>
    <s v="Personnel"/>
    <s v="H "/>
    <x v="1"/>
    <x v="29"/>
    <s v="PSES High Prog21Act26 S275"/>
    <x v="1"/>
    <s v="26"/>
    <m/>
    <n v="26"/>
    <s v="   "/>
    <n v="0.80800000000000005"/>
  </r>
  <r>
    <x v="104"/>
    <s v="Summit Public School: Sierra"/>
    <s v="Personnel"/>
    <s v="H "/>
    <x v="1"/>
    <x v="25"/>
    <s v="PSES High Prog01Duty47 S275"/>
    <x v="0"/>
    <s v="47"/>
    <n v="47"/>
    <m/>
    <s v="   "/>
    <n v="1"/>
  </r>
  <r>
    <x v="105"/>
    <s v="Muckleshoot Indian Tribe"/>
    <s v="Personnel"/>
    <s v="E "/>
    <x v="0"/>
    <x v="15"/>
    <s v="PSES Elem Prog01Duty42 S275"/>
    <x v="0"/>
    <s v="42"/>
    <n v="42"/>
    <m/>
    <s v="   "/>
    <n v="1"/>
  </r>
  <r>
    <x v="105"/>
    <s v="Muckleshoot Indian Tribe"/>
    <s v="Personnel"/>
    <s v="H "/>
    <x v="1"/>
    <x v="16"/>
    <s v="PSES High Prog01Duty42 S275"/>
    <x v="0"/>
    <s v="42"/>
    <n v="42"/>
    <m/>
    <s v="   "/>
    <n v="2"/>
  </r>
  <r>
    <x v="105"/>
    <s v="Muckleshoot Indian Tribe"/>
    <s v="Personnel"/>
    <s v="H "/>
    <x v="1"/>
    <x v="25"/>
    <s v="PSES High Prog01Duty47 S275"/>
    <x v="0"/>
    <s v="47"/>
    <n v="47"/>
    <m/>
    <s v="   "/>
    <n v="0.498"/>
  </r>
  <r>
    <x v="105"/>
    <s v="Muckleshoot Indian Tribe"/>
    <s v="Personnel"/>
    <s v="M "/>
    <x v="2"/>
    <x v="34"/>
    <s v="PSES Mid Prog01Duty47 S275"/>
    <x v="0"/>
    <s v="47"/>
    <n v="47"/>
    <m/>
    <s v="   "/>
    <n v="0.498"/>
  </r>
  <r>
    <x v="106"/>
    <s v="Summit Public School: Atlas"/>
    <s v="Personnel"/>
    <s v="H "/>
    <x v="1"/>
    <x v="29"/>
    <s v="PSES High Prog21Act26 S275"/>
    <x v="1"/>
    <s v="26"/>
    <m/>
    <n v="26"/>
    <s v="   "/>
    <n v="0.80800000000000005"/>
  </r>
  <r>
    <x v="106"/>
    <s v="Summit Public School: Atlas"/>
    <s v="Personnel"/>
    <s v="H "/>
    <x v="1"/>
    <x v="25"/>
    <s v="PSES High Prog01Duty47 S275"/>
    <x v="0"/>
    <s v="47"/>
    <n v="47"/>
    <m/>
    <s v="   "/>
    <n v="0.45"/>
  </r>
  <r>
    <x v="106"/>
    <s v="Summit Public School: Atlas"/>
    <s v="Personnel"/>
    <s v="M "/>
    <x v="2"/>
    <x v="34"/>
    <s v="PSES Mid Prog01Duty47 S275"/>
    <x v="0"/>
    <s v="47"/>
    <n v="47"/>
    <m/>
    <s v="   "/>
    <n v="0.55000000000000004"/>
  </r>
  <r>
    <x v="107"/>
    <s v="Impact | Puget Sound Elementary"/>
    <s v="Personnel"/>
    <s v="E "/>
    <x v="0"/>
    <x v="0"/>
    <s v="PSES Elem Prog01Duty96 S275"/>
    <x v="0"/>
    <s v="24"/>
    <n v="96"/>
    <n v="24"/>
    <s v="   "/>
    <n v="2"/>
  </r>
  <r>
    <x v="107"/>
    <s v="Impact | Puget Sound Elementary"/>
    <s v="Personnel"/>
    <s v="E "/>
    <x v="0"/>
    <x v="3"/>
    <s v="PSES Elem Prog01Act25 S275"/>
    <x v="0"/>
    <s v="25"/>
    <m/>
    <n v="25"/>
    <s v="   "/>
    <n v="1"/>
  </r>
  <r>
    <x v="107"/>
    <s v="Impact | Puget Sound Elementary"/>
    <s v="Personnel"/>
    <s v="E "/>
    <x v="0"/>
    <x v="38"/>
    <s v="PSES Elem Prog21Duty64 S275"/>
    <x v="1"/>
    <s v="64"/>
    <n v="64"/>
    <m/>
    <s v="   "/>
    <n v="3.1"/>
  </r>
  <r>
    <x v="108"/>
    <s v="Impact | Salish Sea Elementary"/>
    <s v="Personnel"/>
    <s v="E "/>
    <x v="0"/>
    <x v="0"/>
    <s v="PSES Elem Prog01Duty96 S275"/>
    <x v="0"/>
    <s v="24"/>
    <n v="96"/>
    <n v="24"/>
    <s v="   "/>
    <n v="2"/>
  </r>
  <r>
    <x v="108"/>
    <s v="Impact | Salish Sea Elementary"/>
    <s v="Personnel"/>
    <s v="E "/>
    <x v="0"/>
    <x v="3"/>
    <s v="PSES Elem Prog01Act25 S275"/>
    <x v="0"/>
    <s v="25"/>
    <m/>
    <n v="25"/>
    <s v="   "/>
    <n v="1"/>
  </r>
  <r>
    <x v="108"/>
    <s v="Impact | Salish Sea Elementary"/>
    <s v="Personnel"/>
    <s v="E "/>
    <x v="0"/>
    <x v="38"/>
    <s v="PSES Elem Prog21Duty64 S275"/>
    <x v="1"/>
    <s v="64"/>
    <n v="64"/>
    <m/>
    <s v="   "/>
    <n v="1.5"/>
  </r>
  <r>
    <x v="109"/>
    <s v="Why Not You Academy (formerly Cascade: Midway charter)"/>
    <s v="Personnel"/>
    <s v="H "/>
    <x v="1"/>
    <x v="9"/>
    <s v="PSES High Prog01Act26 S275"/>
    <x v="0"/>
    <s v="26"/>
    <m/>
    <n v="26"/>
    <s v="   "/>
    <n v="6.9000000000000006E-2"/>
  </r>
  <r>
    <x v="110"/>
    <s v="Impact | Black River Elementary"/>
    <s v="Personnel"/>
    <s v="E "/>
    <x v="0"/>
    <x v="0"/>
    <s v="PSES Elem Prog01Duty96 S275"/>
    <x v="0"/>
    <s v="24"/>
    <n v="96"/>
    <n v="24"/>
    <s v="   "/>
    <n v="1.175"/>
  </r>
  <r>
    <x v="110"/>
    <s v="Impact | Black River Elementary"/>
    <s v="Personnel"/>
    <s v="E "/>
    <x v="0"/>
    <x v="38"/>
    <s v="PSES Elem Prog21Duty64 S275"/>
    <x v="1"/>
    <s v="64"/>
    <n v="64"/>
    <m/>
    <s v="   "/>
    <n v="1.7"/>
  </r>
  <r>
    <x v="111"/>
    <s v="Bremerton School District"/>
    <s v="Personnel"/>
    <s v="H "/>
    <x v="1"/>
    <x v="4"/>
    <s v="PSES High Prog21Act25 S275"/>
    <x v="1"/>
    <s v="25"/>
    <m/>
    <n v="25"/>
    <s v="   "/>
    <n v="2.3130000000000002"/>
  </r>
  <r>
    <x v="111"/>
    <s v="Bremerton School District"/>
    <s v="Personnel"/>
    <s v="H "/>
    <x v="1"/>
    <x v="53"/>
    <s v="PSES High Prog97Act25 S275"/>
    <x v="2"/>
    <s v="25"/>
    <m/>
    <n v="25"/>
    <s v="   "/>
    <n v="1.101"/>
  </r>
  <r>
    <x v="111"/>
    <s v="Bremerton School District"/>
    <s v="Personnel"/>
    <s v="E "/>
    <x v="0"/>
    <x v="7"/>
    <s v="PSES Elem Prog21Act26 S275"/>
    <x v="1"/>
    <s v="26"/>
    <m/>
    <n v="26"/>
    <s v="   "/>
    <n v="1.603"/>
  </r>
  <r>
    <x v="111"/>
    <s v="Bremerton School District"/>
    <s v="Personnel"/>
    <s v="E "/>
    <x v="0"/>
    <x v="8"/>
    <s v="PSES Elem Prog01Act26 S275"/>
    <x v="0"/>
    <s v="26"/>
    <m/>
    <n v="26"/>
    <s v="   "/>
    <n v="3.2530000000000001"/>
  </r>
  <r>
    <x v="111"/>
    <s v="Bremerton School District"/>
    <s v="Personnel"/>
    <s v="H "/>
    <x v="1"/>
    <x v="29"/>
    <s v="PSES High Prog21Act26 S275"/>
    <x v="1"/>
    <s v="26"/>
    <m/>
    <n v="26"/>
    <s v="   "/>
    <n v="0.7"/>
  </r>
  <r>
    <x v="111"/>
    <s v="Bremerton School District"/>
    <s v="Personnel"/>
    <s v="H "/>
    <x v="1"/>
    <x v="9"/>
    <s v="PSES High Prog01Act26 S275"/>
    <x v="0"/>
    <s v="26"/>
    <m/>
    <n v="26"/>
    <s v="   "/>
    <n v="1.91"/>
  </r>
  <r>
    <x v="111"/>
    <s v="Bremerton School District"/>
    <s v="Personnel"/>
    <s v="M "/>
    <x v="2"/>
    <x v="10"/>
    <s v="PSES Mid Prog21Act26 S275"/>
    <x v="1"/>
    <s v="26"/>
    <m/>
    <n v="26"/>
    <s v="   "/>
    <n v="0.13400000000000001"/>
  </r>
  <r>
    <x v="111"/>
    <s v="Bremerton School District"/>
    <s v="Personnel"/>
    <s v="M "/>
    <x v="2"/>
    <x v="11"/>
    <s v="PSES Mid Prog01Act26 S275"/>
    <x v="0"/>
    <s v="26"/>
    <m/>
    <n v="26"/>
    <s v="   "/>
    <n v="0.72799999999999998"/>
  </r>
  <r>
    <x v="111"/>
    <s v="Bremerton School District"/>
    <s v="Personnel"/>
    <s v="H "/>
    <x v="1"/>
    <x v="54"/>
    <s v="PSES High Prog01Act35 S275"/>
    <x v="0"/>
    <s v="35"/>
    <m/>
    <n v="35"/>
    <s v="   "/>
    <n v="3.9460000000000002"/>
  </r>
  <r>
    <x v="111"/>
    <s v="Bremerton School District"/>
    <s v="Personnel"/>
    <s v="M "/>
    <x v="2"/>
    <x v="63"/>
    <s v="PSES Mid Prog01Act35 S275"/>
    <x v="0"/>
    <s v="35"/>
    <m/>
    <n v="35"/>
    <s v="   "/>
    <n v="1.591"/>
  </r>
  <r>
    <x v="111"/>
    <s v="Bremerton School District"/>
    <s v="Personnel"/>
    <s v="E "/>
    <x v="0"/>
    <x v="15"/>
    <s v="PSES Elem Prog01Duty42 S275"/>
    <x v="0"/>
    <s v="42"/>
    <n v="42"/>
    <m/>
    <s v="   "/>
    <n v="6.2"/>
  </r>
  <r>
    <x v="111"/>
    <s v="Bremerton School District"/>
    <s v="Personnel"/>
    <s v="H "/>
    <x v="1"/>
    <x v="16"/>
    <s v="PSES High Prog01Duty42 S275"/>
    <x v="0"/>
    <s v="42"/>
    <n v="42"/>
    <m/>
    <s v="   "/>
    <n v="3.984"/>
  </r>
  <r>
    <x v="111"/>
    <s v="Bremerton School District"/>
    <s v="Personnel"/>
    <s v="M "/>
    <x v="2"/>
    <x v="17"/>
    <s v="PSES Mid Prog01Duty42 S275"/>
    <x v="0"/>
    <s v="42"/>
    <n v="42"/>
    <m/>
    <s v="   "/>
    <n v="1.2"/>
  </r>
  <r>
    <x v="111"/>
    <s v="Bremerton School District"/>
    <s v="Personnel"/>
    <s v="E "/>
    <x v="0"/>
    <x v="18"/>
    <s v="PSES Elem Prog21Duty43 S275"/>
    <x v="1"/>
    <s v="43"/>
    <n v="43"/>
    <m/>
    <s v="   "/>
    <n v="2.2000000000000002"/>
  </r>
  <r>
    <x v="111"/>
    <s v="Bremerton School District"/>
    <s v="Personnel"/>
    <s v="M "/>
    <x v="2"/>
    <x v="31"/>
    <s v="PSES Mid Prog21Duty43 S275"/>
    <x v="1"/>
    <s v="43"/>
    <n v="43"/>
    <m/>
    <s v="   "/>
    <n v="0.2"/>
  </r>
  <r>
    <x v="111"/>
    <s v="Bremerton School District"/>
    <s v="Personnel"/>
    <s v="E "/>
    <x v="0"/>
    <x v="20"/>
    <s v="PSES Elem Prog21Duty45 S275"/>
    <x v="1"/>
    <s v="45"/>
    <n v="45"/>
    <m/>
    <s v="   "/>
    <n v="6.1289999999999996"/>
  </r>
  <r>
    <x v="111"/>
    <s v="Bremerton School District"/>
    <s v="Personnel"/>
    <s v="H "/>
    <x v="1"/>
    <x v="21"/>
    <s v="PSES High Prog21Duty45 S275"/>
    <x v="1"/>
    <s v="45"/>
    <n v="45"/>
    <m/>
    <s v="   "/>
    <n v="1"/>
  </r>
  <r>
    <x v="111"/>
    <s v="Bremerton School District"/>
    <s v="Personnel"/>
    <s v="M "/>
    <x v="2"/>
    <x v="28"/>
    <s v="PSES Mid Prog21Duty45 S275"/>
    <x v="1"/>
    <s v="45"/>
    <n v="45"/>
    <m/>
    <s v="   "/>
    <n v="0.86599999999999999"/>
  </r>
  <r>
    <x v="111"/>
    <s v="Bremerton School District"/>
    <s v="Personnel"/>
    <s v="E "/>
    <x v="0"/>
    <x v="22"/>
    <s v="PSES Elem Prog21Duty46 S275"/>
    <x v="1"/>
    <s v="46"/>
    <n v="46"/>
    <m/>
    <s v="   "/>
    <n v="2.694"/>
  </r>
  <r>
    <x v="111"/>
    <s v="Bremerton School District"/>
    <s v="Personnel"/>
    <s v="H "/>
    <x v="1"/>
    <x v="23"/>
    <s v="PSES High Prog21Duty46 S275"/>
    <x v="1"/>
    <s v="46"/>
    <n v="46"/>
    <m/>
    <s v="   "/>
    <n v="1"/>
  </r>
  <r>
    <x v="111"/>
    <s v="Bremerton School District"/>
    <s v="Personnel"/>
    <s v="M "/>
    <x v="2"/>
    <x v="24"/>
    <s v="PSES Mid Prog21Duty46 S275"/>
    <x v="1"/>
    <s v="46"/>
    <n v="46"/>
    <m/>
    <s v="   "/>
    <n v="1"/>
  </r>
  <r>
    <x v="111"/>
    <s v="Bremerton School District"/>
    <s v="Personnel"/>
    <s v="E "/>
    <x v="0"/>
    <x v="35"/>
    <s v="PSES Elem Prog21Duty48 S275"/>
    <x v="1"/>
    <s v="48"/>
    <n v="48"/>
    <m/>
    <s v="   "/>
    <n v="0.6"/>
  </r>
  <r>
    <x v="111"/>
    <s v="Bremerton School District"/>
    <s v="Personnel"/>
    <s v="H "/>
    <x v="1"/>
    <x v="36"/>
    <s v="PSES High Prog21Duty48 S275"/>
    <x v="1"/>
    <s v="48"/>
    <n v="48"/>
    <m/>
    <s v="   "/>
    <n v="0.1"/>
  </r>
  <r>
    <x v="111"/>
    <s v="Bremerton School District"/>
    <s v="Personnel"/>
    <s v="M "/>
    <x v="2"/>
    <x v="37"/>
    <s v="PSES Mid Prog21Duty48 S275"/>
    <x v="1"/>
    <s v="48"/>
    <n v="48"/>
    <m/>
    <s v="   "/>
    <n v="0.1"/>
  </r>
  <r>
    <x v="112"/>
    <s v="Bainbridge Island School District"/>
    <s v="Personnel"/>
    <s v="E "/>
    <x v="0"/>
    <x v="3"/>
    <s v="PSES Elem Prog01Act25 S275"/>
    <x v="0"/>
    <s v="25"/>
    <m/>
    <n v="25"/>
    <s v="   "/>
    <n v="0.48899999999999999"/>
  </r>
  <r>
    <x v="112"/>
    <s v="Bainbridge Island School District"/>
    <s v="Personnel"/>
    <s v="H "/>
    <x v="1"/>
    <x v="4"/>
    <s v="PSES High Prog21Act25 S275"/>
    <x v="1"/>
    <s v="25"/>
    <m/>
    <n v="25"/>
    <s v="   "/>
    <n v="0.83499999999999996"/>
  </r>
  <r>
    <x v="112"/>
    <s v="Bainbridge Island School District"/>
    <s v="Personnel"/>
    <s v="H "/>
    <x v="1"/>
    <x v="5"/>
    <s v="PSES High Prog01Act25 S275"/>
    <x v="0"/>
    <s v="25"/>
    <m/>
    <n v="25"/>
    <s v="   "/>
    <n v="4.3940000000000001"/>
  </r>
  <r>
    <x v="112"/>
    <s v="Bainbridge Island School District"/>
    <s v="Personnel"/>
    <s v="H "/>
    <x v="1"/>
    <x v="9"/>
    <s v="PSES High Prog01Act26 S275"/>
    <x v="0"/>
    <s v="26"/>
    <m/>
    <n v="26"/>
    <s v="   "/>
    <n v="3.7679999999999998"/>
  </r>
  <r>
    <x v="112"/>
    <s v="Bainbridge Island School District"/>
    <s v="Personnel"/>
    <s v="E "/>
    <x v="0"/>
    <x v="15"/>
    <s v="PSES Elem Prog01Duty42 S275"/>
    <x v="0"/>
    <s v="42"/>
    <n v="42"/>
    <m/>
    <s v="   "/>
    <n v="4.5659999999999998"/>
  </r>
  <r>
    <x v="112"/>
    <s v="Bainbridge Island School District"/>
    <s v="Personnel"/>
    <s v="H "/>
    <x v="1"/>
    <x v="16"/>
    <s v="PSES High Prog01Duty42 S275"/>
    <x v="0"/>
    <s v="42"/>
    <n v="42"/>
    <m/>
    <s v="   "/>
    <n v="4.8499999999999996"/>
  </r>
  <r>
    <x v="112"/>
    <s v="Bainbridge Island School District"/>
    <s v="Personnel"/>
    <s v="M "/>
    <x v="2"/>
    <x v="17"/>
    <s v="PSES Mid Prog01Duty42 S275"/>
    <x v="0"/>
    <s v="42"/>
    <n v="42"/>
    <m/>
    <s v="   "/>
    <n v="1.6839999999999999"/>
  </r>
  <r>
    <x v="112"/>
    <s v="Bainbridge Island School District"/>
    <s v="Personnel"/>
    <s v="E "/>
    <x v="0"/>
    <x v="18"/>
    <s v="PSES Elem Prog21Duty43 S275"/>
    <x v="1"/>
    <s v="43"/>
    <n v="43"/>
    <m/>
    <s v="   "/>
    <n v="0.8"/>
  </r>
  <r>
    <x v="112"/>
    <s v="Bainbridge Island School District"/>
    <s v="Personnel"/>
    <s v="E "/>
    <x v="0"/>
    <x v="42"/>
    <s v="PSES Elem Prog01Duty44 S275"/>
    <x v="0"/>
    <s v="44"/>
    <n v="44"/>
    <m/>
    <s v="   "/>
    <n v="0.53600000000000003"/>
  </r>
  <r>
    <x v="112"/>
    <s v="Bainbridge Island School District"/>
    <s v="Personnel"/>
    <s v="H "/>
    <x v="1"/>
    <x v="44"/>
    <s v="PSES High Prog01Duty44 S275"/>
    <x v="0"/>
    <s v="44"/>
    <n v="44"/>
    <m/>
    <s v="   "/>
    <n v="0.31"/>
  </r>
  <r>
    <x v="112"/>
    <s v="Bainbridge Island School District"/>
    <s v="Personnel"/>
    <s v="M "/>
    <x v="2"/>
    <x v="46"/>
    <s v="PSES Mid Prog01Duty44 S275"/>
    <x v="0"/>
    <s v="44"/>
    <n v="44"/>
    <m/>
    <s v="   "/>
    <n v="0.154"/>
  </r>
  <r>
    <x v="112"/>
    <s v="Bainbridge Island School District"/>
    <s v="Personnel"/>
    <s v="E "/>
    <x v="0"/>
    <x v="20"/>
    <s v="PSES Elem Prog21Duty45 S275"/>
    <x v="1"/>
    <s v="45"/>
    <n v="45"/>
    <m/>
    <s v="   "/>
    <n v="3.3039999999999998"/>
  </r>
  <r>
    <x v="112"/>
    <s v="Bainbridge Island School District"/>
    <s v="Personnel"/>
    <s v="H "/>
    <x v="1"/>
    <x v="21"/>
    <s v="PSES High Prog21Duty45 S275"/>
    <x v="1"/>
    <s v="45"/>
    <n v="45"/>
    <m/>
    <s v="   "/>
    <n v="1.2170000000000001"/>
  </r>
  <r>
    <x v="112"/>
    <s v="Bainbridge Island School District"/>
    <s v="Personnel"/>
    <s v="M "/>
    <x v="2"/>
    <x v="28"/>
    <s v="PSES Mid Prog21Duty45 S275"/>
    <x v="1"/>
    <s v="45"/>
    <n v="45"/>
    <m/>
    <s v="   "/>
    <n v="0.32900000000000001"/>
  </r>
  <r>
    <x v="112"/>
    <s v="Bainbridge Island School District"/>
    <s v="Personnel"/>
    <s v="E "/>
    <x v="0"/>
    <x v="22"/>
    <s v="PSES Elem Prog21Duty46 S275"/>
    <x v="1"/>
    <s v="46"/>
    <n v="46"/>
    <m/>
    <s v="   "/>
    <n v="1.31"/>
  </r>
  <r>
    <x v="112"/>
    <s v="Bainbridge Island School District"/>
    <s v="Personnel"/>
    <s v="H "/>
    <x v="1"/>
    <x v="23"/>
    <s v="PSES High Prog21Duty46 S275"/>
    <x v="1"/>
    <s v="46"/>
    <n v="46"/>
    <m/>
    <s v="   "/>
    <n v="1.2889999999999999"/>
  </r>
  <r>
    <x v="112"/>
    <s v="Bainbridge Island School District"/>
    <s v="Personnel"/>
    <s v="M "/>
    <x v="2"/>
    <x v="24"/>
    <s v="PSES Mid Prog21Duty46 S275"/>
    <x v="1"/>
    <s v="46"/>
    <n v="46"/>
    <m/>
    <s v="   "/>
    <n v="0.45500000000000002"/>
  </r>
  <r>
    <x v="112"/>
    <s v="Bainbridge Island School District"/>
    <s v="Personnel"/>
    <s v="E "/>
    <x v="0"/>
    <x v="27"/>
    <s v="PSES Elem Prog01Duty47 S275"/>
    <x v="0"/>
    <s v="47"/>
    <n v="47"/>
    <m/>
    <s v="   "/>
    <n v="0.48"/>
  </r>
  <r>
    <x v="112"/>
    <s v="Bainbridge Island School District"/>
    <s v="Personnel"/>
    <s v="H "/>
    <x v="1"/>
    <x v="25"/>
    <s v="PSES High Prog01Duty47 S275"/>
    <x v="0"/>
    <s v="47"/>
    <n v="47"/>
    <m/>
    <s v="   "/>
    <n v="0.96"/>
  </r>
  <r>
    <x v="112"/>
    <s v="Bainbridge Island School District"/>
    <s v="Personnel"/>
    <s v="E "/>
    <x v="0"/>
    <x v="35"/>
    <s v="PSES Elem Prog21Duty48 S275"/>
    <x v="1"/>
    <s v="48"/>
    <n v="48"/>
    <m/>
    <s v="   "/>
    <n v="0.53"/>
  </r>
  <r>
    <x v="112"/>
    <s v="Bainbridge Island School District"/>
    <s v="Personnel"/>
    <s v="H "/>
    <x v="1"/>
    <x v="36"/>
    <s v="PSES High Prog21Duty48 S275"/>
    <x v="1"/>
    <s v="48"/>
    <n v="48"/>
    <m/>
    <s v="   "/>
    <n v="0.09"/>
  </r>
  <r>
    <x v="113"/>
    <s v="North Kitsap School District"/>
    <s v="Personnel"/>
    <s v="E "/>
    <x v="0"/>
    <x v="3"/>
    <s v="PSES Elem Prog01Act25 S275"/>
    <x v="0"/>
    <s v="25"/>
    <m/>
    <n v="25"/>
    <s v="   "/>
    <n v="0.53300000000000003"/>
  </r>
  <r>
    <x v="113"/>
    <s v="North Kitsap School District"/>
    <s v="Personnel"/>
    <s v="H "/>
    <x v="1"/>
    <x v="4"/>
    <s v="PSES High Prog21Act25 S275"/>
    <x v="1"/>
    <s v="25"/>
    <m/>
    <n v="25"/>
    <s v="   "/>
    <n v="9.9220000000000006"/>
  </r>
  <r>
    <x v="113"/>
    <s v="North Kitsap School District"/>
    <s v="Personnel"/>
    <s v="H "/>
    <x v="1"/>
    <x v="5"/>
    <s v="PSES High Prog01Act25 S275"/>
    <x v="0"/>
    <s v="25"/>
    <m/>
    <n v="25"/>
    <s v="   "/>
    <n v="5.992"/>
  </r>
  <r>
    <x v="113"/>
    <s v="North Kitsap School District"/>
    <s v="Personnel"/>
    <s v="H "/>
    <x v="1"/>
    <x v="29"/>
    <s v="PSES High Prog21Act26 S275"/>
    <x v="1"/>
    <s v="26"/>
    <m/>
    <n v="26"/>
    <s v="   "/>
    <n v="3.0390000000000001"/>
  </r>
  <r>
    <x v="113"/>
    <s v="North Kitsap School District"/>
    <s v="Personnel"/>
    <s v="H "/>
    <x v="1"/>
    <x v="9"/>
    <s v="PSES High Prog01Act26 S275"/>
    <x v="0"/>
    <s v="26"/>
    <m/>
    <n v="26"/>
    <s v="   "/>
    <n v="0.40799999999999997"/>
  </r>
  <r>
    <x v="113"/>
    <s v="North Kitsap School District"/>
    <s v="Personnel"/>
    <s v="H "/>
    <x v="1"/>
    <x v="54"/>
    <s v="PSES High Prog01Act35 S275"/>
    <x v="0"/>
    <s v="35"/>
    <m/>
    <n v="35"/>
    <s v="   "/>
    <n v="3.6709999999999998"/>
  </r>
  <r>
    <x v="113"/>
    <s v="North Kitsap School District"/>
    <s v="Personnel"/>
    <s v="E "/>
    <x v="0"/>
    <x v="15"/>
    <s v="PSES Elem Prog01Duty42 S275"/>
    <x v="0"/>
    <s v="42"/>
    <n v="42"/>
    <m/>
    <s v="   "/>
    <n v="7.22"/>
  </r>
  <r>
    <x v="113"/>
    <s v="North Kitsap School District"/>
    <s v="Personnel"/>
    <s v="H "/>
    <x v="1"/>
    <x v="16"/>
    <s v="PSES High Prog01Duty42 S275"/>
    <x v="0"/>
    <s v="42"/>
    <n v="42"/>
    <m/>
    <s v="   "/>
    <n v="4.5"/>
  </r>
  <r>
    <x v="113"/>
    <s v="North Kitsap School District"/>
    <s v="Personnel"/>
    <s v="M "/>
    <x v="2"/>
    <x v="17"/>
    <s v="PSES Mid Prog01Duty42 S275"/>
    <x v="0"/>
    <s v="42"/>
    <n v="42"/>
    <m/>
    <s v="   "/>
    <n v="1.98"/>
  </r>
  <r>
    <x v="113"/>
    <s v="North Kitsap School District"/>
    <s v="Personnel"/>
    <s v="E "/>
    <x v="0"/>
    <x v="18"/>
    <s v="PSES Elem Prog21Duty43 S275"/>
    <x v="1"/>
    <s v="43"/>
    <n v="43"/>
    <m/>
    <s v="   "/>
    <n v="2.895"/>
  </r>
  <r>
    <x v="113"/>
    <s v="North Kitsap School District"/>
    <s v="Personnel"/>
    <s v="H "/>
    <x v="1"/>
    <x v="19"/>
    <s v="PSES High Prog21Duty43 S275"/>
    <x v="1"/>
    <s v="43"/>
    <n v="43"/>
    <m/>
    <s v="   "/>
    <n v="1.04"/>
  </r>
  <r>
    <x v="113"/>
    <s v="North Kitsap School District"/>
    <s v="Personnel"/>
    <s v="M "/>
    <x v="2"/>
    <x v="31"/>
    <s v="PSES Mid Prog21Duty43 S275"/>
    <x v="1"/>
    <s v="43"/>
    <n v="43"/>
    <m/>
    <s v="   "/>
    <n v="0.435"/>
  </r>
  <r>
    <x v="113"/>
    <s v="North Kitsap School District"/>
    <s v="Personnel"/>
    <s v="E "/>
    <x v="0"/>
    <x v="20"/>
    <s v="PSES Elem Prog21Duty45 S275"/>
    <x v="1"/>
    <s v="45"/>
    <n v="45"/>
    <m/>
    <s v="   "/>
    <n v="6.907"/>
  </r>
  <r>
    <x v="113"/>
    <s v="North Kitsap School District"/>
    <s v="Personnel"/>
    <s v="H "/>
    <x v="1"/>
    <x v="21"/>
    <s v="PSES High Prog21Duty45 S275"/>
    <x v="1"/>
    <s v="45"/>
    <n v="45"/>
    <m/>
    <s v="   "/>
    <n v="1.6"/>
  </r>
  <r>
    <x v="113"/>
    <s v="North Kitsap School District"/>
    <s v="Personnel"/>
    <s v="M "/>
    <x v="2"/>
    <x v="28"/>
    <s v="PSES Mid Prog21Duty45 S275"/>
    <x v="1"/>
    <s v="45"/>
    <n v="45"/>
    <m/>
    <s v="   "/>
    <n v="1.224"/>
  </r>
  <r>
    <x v="113"/>
    <s v="North Kitsap School District"/>
    <s v="Personnel"/>
    <s v="E "/>
    <x v="0"/>
    <x v="22"/>
    <s v="PSES Elem Prog21Duty46 S275"/>
    <x v="1"/>
    <s v="46"/>
    <n v="46"/>
    <m/>
    <s v="   "/>
    <n v="3.6179999999999999"/>
  </r>
  <r>
    <x v="113"/>
    <s v="North Kitsap School District"/>
    <s v="Personnel"/>
    <s v="H "/>
    <x v="1"/>
    <x v="23"/>
    <s v="PSES High Prog21Duty46 S275"/>
    <x v="1"/>
    <s v="46"/>
    <n v="46"/>
    <m/>
    <s v="   "/>
    <n v="2"/>
  </r>
  <r>
    <x v="113"/>
    <s v="North Kitsap School District"/>
    <s v="Personnel"/>
    <s v="M "/>
    <x v="2"/>
    <x v="24"/>
    <s v="PSES Mid Prog21Duty46 S275"/>
    <x v="1"/>
    <s v="46"/>
    <n v="46"/>
    <m/>
    <s v="   "/>
    <n v="1.1060000000000001"/>
  </r>
  <r>
    <x v="113"/>
    <s v="North Kitsap School District"/>
    <s v="Personnel"/>
    <s v="E "/>
    <x v="0"/>
    <x v="35"/>
    <s v="PSES Elem Prog21Duty48 S275"/>
    <x v="1"/>
    <s v="48"/>
    <n v="48"/>
    <m/>
    <s v="   "/>
    <n v="0.53900000000000003"/>
  </r>
  <r>
    <x v="113"/>
    <s v="North Kitsap School District"/>
    <s v="Personnel"/>
    <s v="H "/>
    <x v="1"/>
    <x v="36"/>
    <s v="PSES High Prog21Duty48 S275"/>
    <x v="1"/>
    <s v="48"/>
    <n v="48"/>
    <m/>
    <s v="   "/>
    <n v="0.27600000000000002"/>
  </r>
  <r>
    <x v="113"/>
    <s v="North Kitsap School District"/>
    <s v="Personnel"/>
    <s v="M "/>
    <x v="2"/>
    <x v="37"/>
    <s v="PSES Mid Prog21Duty48 S275"/>
    <x v="1"/>
    <s v="48"/>
    <n v="48"/>
    <m/>
    <s v="   "/>
    <n v="0.17199999999999999"/>
  </r>
  <r>
    <x v="114"/>
    <s v="Central Kitsap School District"/>
    <s v="Personnel"/>
    <s v="H "/>
    <x v="1"/>
    <x v="5"/>
    <s v="PSES High Prog01Act25 S275"/>
    <x v="0"/>
    <s v="25"/>
    <m/>
    <n v="25"/>
    <s v="   "/>
    <n v="15.273999999999999"/>
  </r>
  <r>
    <x v="114"/>
    <s v="Central Kitsap School District"/>
    <s v="Personnel"/>
    <s v="H "/>
    <x v="1"/>
    <x v="29"/>
    <s v="PSES High Prog21Act26 S275"/>
    <x v="1"/>
    <s v="26"/>
    <m/>
    <n v="26"/>
    <s v="   "/>
    <n v="3.5640000000000001"/>
  </r>
  <r>
    <x v="114"/>
    <s v="Central Kitsap School District"/>
    <s v="Personnel"/>
    <s v="H "/>
    <x v="1"/>
    <x v="9"/>
    <s v="PSES High Prog01Act26 S275"/>
    <x v="0"/>
    <s v="26"/>
    <m/>
    <n v="26"/>
    <s v="   "/>
    <n v="0.82299999999999995"/>
  </r>
  <r>
    <x v="114"/>
    <s v="Central Kitsap School District"/>
    <s v="Personnel"/>
    <s v="E "/>
    <x v="0"/>
    <x v="15"/>
    <s v="PSES Elem Prog01Duty42 S275"/>
    <x v="0"/>
    <s v="42"/>
    <n v="42"/>
    <m/>
    <s v="   "/>
    <n v="12.627000000000001"/>
  </r>
  <r>
    <x v="114"/>
    <s v="Central Kitsap School District"/>
    <s v="Personnel"/>
    <s v="H "/>
    <x v="1"/>
    <x v="16"/>
    <s v="PSES High Prog01Duty42 S275"/>
    <x v="0"/>
    <s v="42"/>
    <n v="42"/>
    <m/>
    <s v="   "/>
    <n v="11.712999999999999"/>
  </r>
  <r>
    <x v="114"/>
    <s v="Central Kitsap School District"/>
    <s v="Personnel"/>
    <s v="M "/>
    <x v="2"/>
    <x v="17"/>
    <s v="PSES Mid Prog01Duty42 S275"/>
    <x v="0"/>
    <s v="42"/>
    <n v="42"/>
    <m/>
    <s v="   "/>
    <n v="5.36"/>
  </r>
  <r>
    <x v="114"/>
    <s v="Central Kitsap School District"/>
    <s v="Personnel"/>
    <s v="E "/>
    <x v="0"/>
    <x v="18"/>
    <s v="PSES Elem Prog21Duty43 S275"/>
    <x v="1"/>
    <s v="43"/>
    <n v="43"/>
    <m/>
    <s v="   "/>
    <n v="2.9140000000000001"/>
  </r>
  <r>
    <x v="114"/>
    <s v="Central Kitsap School District"/>
    <s v="Personnel"/>
    <s v="H "/>
    <x v="1"/>
    <x v="19"/>
    <s v="PSES High Prog21Duty43 S275"/>
    <x v="1"/>
    <s v="43"/>
    <n v="43"/>
    <m/>
    <s v="   "/>
    <n v="2.1160000000000001"/>
  </r>
  <r>
    <x v="114"/>
    <s v="Central Kitsap School District"/>
    <s v="Personnel"/>
    <s v="M "/>
    <x v="2"/>
    <x v="31"/>
    <s v="PSES Mid Prog21Duty43 S275"/>
    <x v="1"/>
    <s v="43"/>
    <n v="43"/>
    <m/>
    <s v="   "/>
    <n v="0.91500000000000004"/>
  </r>
  <r>
    <x v="114"/>
    <s v="Central Kitsap School District"/>
    <s v="Personnel"/>
    <s v="E "/>
    <x v="0"/>
    <x v="42"/>
    <s v="PSES Elem Prog01Duty44 S275"/>
    <x v="0"/>
    <s v="44"/>
    <n v="44"/>
    <m/>
    <s v="   "/>
    <n v="1"/>
  </r>
  <r>
    <x v="114"/>
    <s v="Central Kitsap School District"/>
    <s v="Personnel"/>
    <s v="E "/>
    <x v="0"/>
    <x v="20"/>
    <s v="PSES Elem Prog21Duty45 S275"/>
    <x v="1"/>
    <s v="45"/>
    <n v="45"/>
    <m/>
    <s v="   "/>
    <n v="6.5"/>
  </r>
  <r>
    <x v="114"/>
    <s v="Central Kitsap School District"/>
    <s v="Personnel"/>
    <s v="H "/>
    <x v="1"/>
    <x v="21"/>
    <s v="PSES High Prog21Duty45 S275"/>
    <x v="1"/>
    <s v="45"/>
    <n v="45"/>
    <m/>
    <s v="   "/>
    <n v="3.718"/>
  </r>
  <r>
    <x v="114"/>
    <s v="Central Kitsap School District"/>
    <s v="Personnel"/>
    <s v="M "/>
    <x v="2"/>
    <x v="28"/>
    <s v="PSES Mid Prog21Duty45 S275"/>
    <x v="1"/>
    <s v="45"/>
    <n v="45"/>
    <m/>
    <s v="   "/>
    <n v="1.859"/>
  </r>
  <r>
    <x v="114"/>
    <s v="Central Kitsap School District"/>
    <s v="Personnel"/>
    <s v="E "/>
    <x v="0"/>
    <x v="22"/>
    <s v="PSES Elem Prog21Duty46 S275"/>
    <x v="1"/>
    <s v="46"/>
    <n v="46"/>
    <m/>
    <s v="   "/>
    <n v="5"/>
  </r>
  <r>
    <x v="114"/>
    <s v="Central Kitsap School District"/>
    <s v="Personnel"/>
    <s v="H "/>
    <x v="1"/>
    <x v="23"/>
    <s v="PSES High Prog21Duty46 S275"/>
    <x v="1"/>
    <s v="46"/>
    <n v="46"/>
    <m/>
    <s v="   "/>
    <n v="2.86"/>
  </r>
  <r>
    <x v="114"/>
    <s v="Central Kitsap School District"/>
    <s v="Personnel"/>
    <s v="M "/>
    <x v="2"/>
    <x v="24"/>
    <s v="PSES Mid Prog21Duty46 S275"/>
    <x v="1"/>
    <s v="46"/>
    <n v="46"/>
    <m/>
    <s v="   "/>
    <n v="1.43"/>
  </r>
  <r>
    <x v="114"/>
    <s v="Central Kitsap School District"/>
    <s v="Personnel"/>
    <s v="E "/>
    <x v="0"/>
    <x v="35"/>
    <s v="PSES Elem Prog21Duty48 S275"/>
    <x v="1"/>
    <s v="48"/>
    <n v="48"/>
    <m/>
    <s v="   "/>
    <n v="0.6"/>
  </r>
  <r>
    <x v="114"/>
    <s v="Central Kitsap School District"/>
    <s v="Personnel"/>
    <s v="H "/>
    <x v="1"/>
    <x v="36"/>
    <s v="PSES High Prog21Duty48 S275"/>
    <x v="1"/>
    <s v="48"/>
    <n v="48"/>
    <m/>
    <s v="   "/>
    <n v="0.34300000000000003"/>
  </r>
  <r>
    <x v="114"/>
    <s v="Central Kitsap School District"/>
    <s v="Personnel"/>
    <s v="M "/>
    <x v="2"/>
    <x v="37"/>
    <s v="PSES Mid Prog21Duty48 S275"/>
    <x v="1"/>
    <s v="48"/>
    <n v="48"/>
    <m/>
    <s v="   "/>
    <n v="0.17199999999999999"/>
  </r>
  <r>
    <x v="114"/>
    <s v="Central Kitsap School District"/>
    <s v="Personnel"/>
    <s v="E "/>
    <x v="0"/>
    <x v="38"/>
    <s v="PSES Elem Prog21Duty64 S275"/>
    <x v="1"/>
    <s v="64"/>
    <n v="64"/>
    <m/>
    <s v="   "/>
    <n v="12.374000000000001"/>
  </r>
  <r>
    <x v="114"/>
    <s v="Central Kitsap School District"/>
    <s v="Personnel"/>
    <s v="E "/>
    <x v="0"/>
    <x v="39"/>
    <s v="PSES Elem Prog01Duty64 S275"/>
    <x v="0"/>
    <s v="64"/>
    <n v="64"/>
    <m/>
    <s v="   "/>
    <n v="0.90400000000000003"/>
  </r>
  <r>
    <x v="114"/>
    <s v="Central Kitsap School District"/>
    <s v="Personnel"/>
    <s v="H "/>
    <x v="1"/>
    <x v="59"/>
    <s v="PSES High Prog21Duty64 S275"/>
    <x v="1"/>
    <s v="64"/>
    <n v="64"/>
    <m/>
    <s v="   "/>
    <n v="7.0750000000000002"/>
  </r>
  <r>
    <x v="114"/>
    <s v="Central Kitsap School District"/>
    <s v="Personnel"/>
    <s v="H "/>
    <x v="1"/>
    <x v="80"/>
    <s v="PSES High Prog01Duty64 S275"/>
    <x v="0"/>
    <s v="64"/>
    <n v="64"/>
    <m/>
    <s v="   "/>
    <n v="0.497"/>
  </r>
  <r>
    <x v="114"/>
    <s v="Central Kitsap School District"/>
    <s v="Personnel"/>
    <s v="M "/>
    <x v="2"/>
    <x v="60"/>
    <s v="PSES Mid Prog21Duty64 S275"/>
    <x v="1"/>
    <s v="64"/>
    <n v="64"/>
    <m/>
    <s v="   "/>
    <n v="3.5390000000000001"/>
  </r>
  <r>
    <x v="114"/>
    <s v="Central Kitsap School District"/>
    <s v="Personnel"/>
    <s v="M "/>
    <x v="2"/>
    <x v="81"/>
    <s v="PSES Mid Prog01Duty64 S275"/>
    <x v="0"/>
    <s v="64"/>
    <n v="64"/>
    <m/>
    <s v="   "/>
    <n v="0.249"/>
  </r>
  <r>
    <x v="115"/>
    <s v="South Kitsap School District"/>
    <s v="Personnel"/>
    <s v="H "/>
    <x v="1"/>
    <x v="5"/>
    <s v="PSES High Prog01Act25 S275"/>
    <x v="0"/>
    <s v="25"/>
    <m/>
    <n v="25"/>
    <s v="   "/>
    <n v="14.869"/>
  </r>
  <r>
    <x v="115"/>
    <s v="South Kitsap School District"/>
    <s v="Personnel"/>
    <s v="E "/>
    <x v="0"/>
    <x v="8"/>
    <s v="PSES Elem Prog01Act26 S275"/>
    <x v="0"/>
    <s v="26"/>
    <m/>
    <n v="26"/>
    <s v="   "/>
    <n v="3.4319999999999999"/>
  </r>
  <r>
    <x v="115"/>
    <s v="South Kitsap School District"/>
    <s v="Personnel"/>
    <s v="H "/>
    <x v="1"/>
    <x v="29"/>
    <s v="PSES High Prog21Act26 S275"/>
    <x v="1"/>
    <s v="26"/>
    <m/>
    <n v="26"/>
    <s v="   "/>
    <n v="5.2069999999999999"/>
  </r>
  <r>
    <x v="115"/>
    <s v="South Kitsap School District"/>
    <s v="Personnel"/>
    <s v="H "/>
    <x v="1"/>
    <x v="9"/>
    <s v="PSES High Prog01Act26 S275"/>
    <x v="0"/>
    <s v="26"/>
    <m/>
    <n v="26"/>
    <s v="   "/>
    <n v="2.8290000000000002"/>
  </r>
  <r>
    <x v="115"/>
    <s v="South Kitsap School District"/>
    <s v="Personnel"/>
    <s v="H "/>
    <x v="1"/>
    <x v="54"/>
    <s v="PSES High Prog01Act35 S275"/>
    <x v="0"/>
    <s v="35"/>
    <m/>
    <n v="35"/>
    <s v="   "/>
    <n v="6.0469999999999997"/>
  </r>
  <r>
    <x v="115"/>
    <s v="South Kitsap School District"/>
    <s v="Personnel"/>
    <s v="E "/>
    <x v="0"/>
    <x v="15"/>
    <s v="PSES Elem Prog01Duty42 S275"/>
    <x v="0"/>
    <s v="42"/>
    <n v="42"/>
    <m/>
    <s v="   "/>
    <n v="12.706"/>
  </r>
  <r>
    <x v="115"/>
    <s v="South Kitsap School District"/>
    <s v="Personnel"/>
    <s v="H "/>
    <x v="1"/>
    <x v="16"/>
    <s v="PSES High Prog01Duty42 S275"/>
    <x v="0"/>
    <s v="42"/>
    <n v="42"/>
    <m/>
    <s v="   "/>
    <n v="8"/>
  </r>
  <r>
    <x v="115"/>
    <s v="South Kitsap School District"/>
    <s v="Personnel"/>
    <s v="M "/>
    <x v="2"/>
    <x v="17"/>
    <s v="PSES Mid Prog01Duty42 S275"/>
    <x v="0"/>
    <s v="42"/>
    <n v="42"/>
    <m/>
    <s v="   "/>
    <n v="3.2959999999999998"/>
  </r>
  <r>
    <x v="115"/>
    <s v="South Kitsap School District"/>
    <s v="Personnel"/>
    <s v="E "/>
    <x v="0"/>
    <x v="42"/>
    <s v="PSES Elem Prog01Duty44 S275"/>
    <x v="0"/>
    <s v="44"/>
    <n v="44"/>
    <m/>
    <s v="   "/>
    <n v="1"/>
  </r>
  <r>
    <x v="115"/>
    <s v="South Kitsap School District"/>
    <s v="Personnel"/>
    <s v="H "/>
    <x v="1"/>
    <x v="44"/>
    <s v="PSES High Prog01Duty44 S275"/>
    <x v="0"/>
    <s v="44"/>
    <n v="44"/>
    <m/>
    <s v="   "/>
    <n v="1"/>
  </r>
  <r>
    <x v="115"/>
    <s v="South Kitsap School District"/>
    <s v="Personnel"/>
    <s v="M "/>
    <x v="2"/>
    <x v="46"/>
    <s v="PSES Mid Prog01Duty44 S275"/>
    <x v="0"/>
    <s v="44"/>
    <n v="44"/>
    <m/>
    <s v="   "/>
    <n v="1"/>
  </r>
  <r>
    <x v="115"/>
    <s v="South Kitsap School District"/>
    <s v="Personnel"/>
    <s v="E "/>
    <x v="0"/>
    <x v="27"/>
    <s v="PSES Elem Prog01Duty47 S275"/>
    <x v="0"/>
    <s v="47"/>
    <n v="47"/>
    <m/>
    <s v="   "/>
    <n v="5.4320000000000004"/>
  </r>
  <r>
    <x v="115"/>
    <s v="South Kitsap School District"/>
    <s v="Personnel"/>
    <s v="H "/>
    <x v="1"/>
    <x v="25"/>
    <s v="PSES High Prog01Duty47 S275"/>
    <x v="0"/>
    <s v="47"/>
    <n v="47"/>
    <m/>
    <s v="   "/>
    <n v="1.3180000000000001"/>
  </r>
  <r>
    <x v="115"/>
    <s v="South Kitsap School District"/>
    <s v="Personnel"/>
    <s v="M "/>
    <x v="2"/>
    <x v="34"/>
    <s v="PSES Mid Prog01Duty47 S275"/>
    <x v="0"/>
    <s v="47"/>
    <n v="47"/>
    <m/>
    <s v="   "/>
    <n v="2.25"/>
  </r>
  <r>
    <x v="116"/>
    <s v="Catalyst Public Schools"/>
    <s v="Personnel"/>
    <s v="H "/>
    <x v="1"/>
    <x v="5"/>
    <s v="PSES High Prog01Act25 S275"/>
    <x v="0"/>
    <s v="25"/>
    <m/>
    <n v="25"/>
    <s v="   "/>
    <n v="0.748"/>
  </r>
  <r>
    <x v="116"/>
    <s v="Catalyst Public Schools"/>
    <s v="Personnel"/>
    <s v="E "/>
    <x v="0"/>
    <x v="22"/>
    <s v="PSES Elem Prog21Duty46 S275"/>
    <x v="1"/>
    <s v="46"/>
    <n v="46"/>
    <m/>
    <s v="   "/>
    <n v="0.34699999999999998"/>
  </r>
  <r>
    <x v="116"/>
    <s v="Catalyst Public Schools"/>
    <s v="Personnel"/>
    <s v="M "/>
    <x v="2"/>
    <x v="24"/>
    <s v="PSES Mid Prog21Duty46 S275"/>
    <x v="1"/>
    <s v="46"/>
    <n v="46"/>
    <m/>
    <s v="   "/>
    <n v="0.153"/>
  </r>
  <r>
    <x v="116"/>
    <s v="Catalyst Public Schools"/>
    <s v="Personnel"/>
    <s v="E "/>
    <x v="0"/>
    <x v="27"/>
    <s v="PSES Elem Prog01Duty47 S275"/>
    <x v="0"/>
    <s v="47"/>
    <n v="47"/>
    <m/>
    <s v="   "/>
    <n v="0.45400000000000001"/>
  </r>
  <r>
    <x v="116"/>
    <s v="Catalyst Public Schools"/>
    <s v="Personnel"/>
    <s v="M "/>
    <x v="2"/>
    <x v="34"/>
    <s v="PSES Mid Prog01Duty47 S275"/>
    <x v="0"/>
    <s v="47"/>
    <n v="47"/>
    <m/>
    <s v="   "/>
    <n v="0.14000000000000001"/>
  </r>
  <r>
    <x v="117"/>
    <s v="Suquamish Tribal Education Department"/>
    <s v="Personnel"/>
    <s v="H "/>
    <x v="1"/>
    <x v="16"/>
    <s v="PSES High Prog01Duty42 S275"/>
    <x v="0"/>
    <s v="42"/>
    <n v="42"/>
    <m/>
    <s v="   "/>
    <n v="1"/>
  </r>
  <r>
    <x v="118"/>
    <s v="Damman School District"/>
    <s v="Personnel"/>
    <s v="H "/>
    <x v="1"/>
    <x v="25"/>
    <s v="PSES High Prog01Duty47 S275"/>
    <x v="0"/>
    <s v="47"/>
    <n v="47"/>
    <m/>
    <s v="   "/>
    <n v="6.9000000000000006E-2"/>
  </r>
  <r>
    <x v="119"/>
    <s v="Easton School District"/>
    <s v="Personnel"/>
    <s v="H "/>
    <x v="1"/>
    <x v="9"/>
    <s v="PSES High Prog01Act26 S275"/>
    <x v="0"/>
    <s v="26"/>
    <m/>
    <n v="26"/>
    <s v="   "/>
    <n v="1.7000000000000001E-2"/>
  </r>
  <r>
    <x v="119"/>
    <s v="Easton School District"/>
    <s v="Personnel"/>
    <s v="E "/>
    <x v="0"/>
    <x v="15"/>
    <s v="PSES Elem Prog01Duty42 S275"/>
    <x v="0"/>
    <s v="42"/>
    <n v="42"/>
    <m/>
    <s v="   "/>
    <n v="0.46"/>
  </r>
  <r>
    <x v="119"/>
    <s v="Easton School District"/>
    <s v="Personnel"/>
    <s v="H "/>
    <x v="1"/>
    <x v="16"/>
    <s v="PSES High Prog01Duty42 S275"/>
    <x v="0"/>
    <s v="42"/>
    <n v="42"/>
    <m/>
    <s v="   "/>
    <n v="0.33"/>
  </r>
  <r>
    <x v="120"/>
    <s v="Thorp School District"/>
    <s v="Personnel"/>
    <s v="H "/>
    <x v="1"/>
    <x v="9"/>
    <s v="PSES High Prog01Act26 S275"/>
    <x v="0"/>
    <s v="26"/>
    <m/>
    <n v="26"/>
    <s v="   "/>
    <n v="0.109"/>
  </r>
  <r>
    <x v="121"/>
    <s v="Ellensburg School District"/>
    <s v="Personnel"/>
    <s v="H "/>
    <x v="1"/>
    <x v="5"/>
    <s v="PSES High Prog01Act25 S275"/>
    <x v="0"/>
    <s v="25"/>
    <m/>
    <n v="25"/>
    <s v="   "/>
    <n v="5.5490000000000004"/>
  </r>
  <r>
    <x v="121"/>
    <s v="Ellensburg School District"/>
    <s v="Personnel"/>
    <s v="E "/>
    <x v="0"/>
    <x v="8"/>
    <s v="PSES Elem Prog01Act26 S275"/>
    <x v="0"/>
    <s v="26"/>
    <m/>
    <n v="26"/>
    <s v="   "/>
    <n v="0.59399999999999997"/>
  </r>
  <r>
    <x v="121"/>
    <s v="Ellensburg School District"/>
    <s v="Personnel"/>
    <s v="H "/>
    <x v="1"/>
    <x v="9"/>
    <s v="PSES High Prog01Act26 S275"/>
    <x v="0"/>
    <s v="26"/>
    <m/>
    <n v="26"/>
    <s v="   "/>
    <n v="3.79"/>
  </r>
  <r>
    <x v="121"/>
    <s v="Ellensburg School District"/>
    <s v="Personnel"/>
    <s v="E "/>
    <x v="0"/>
    <x v="15"/>
    <s v="PSES Elem Prog01Duty42 S275"/>
    <x v="0"/>
    <s v="42"/>
    <n v="42"/>
    <m/>
    <s v="   "/>
    <n v="4"/>
  </r>
  <r>
    <x v="121"/>
    <s v="Ellensburg School District"/>
    <s v="Personnel"/>
    <s v="H "/>
    <x v="1"/>
    <x v="16"/>
    <s v="PSES High Prog01Duty42 S275"/>
    <x v="0"/>
    <s v="42"/>
    <n v="42"/>
    <m/>
    <s v="   "/>
    <n v="2"/>
  </r>
  <r>
    <x v="121"/>
    <s v="Ellensburg School District"/>
    <s v="Personnel"/>
    <s v="M "/>
    <x v="2"/>
    <x v="17"/>
    <s v="PSES Mid Prog01Duty42 S275"/>
    <x v="0"/>
    <s v="42"/>
    <n v="42"/>
    <m/>
    <s v="   "/>
    <n v="2"/>
  </r>
  <r>
    <x v="121"/>
    <s v="Ellensburg School District"/>
    <s v="Personnel"/>
    <s v="E "/>
    <x v="0"/>
    <x v="20"/>
    <s v="PSES Elem Prog21Duty45 S275"/>
    <x v="1"/>
    <s v="45"/>
    <n v="45"/>
    <m/>
    <s v="   "/>
    <n v="0.5"/>
  </r>
  <r>
    <x v="121"/>
    <s v="Ellensburg School District"/>
    <s v="Personnel"/>
    <s v="M "/>
    <x v="2"/>
    <x v="28"/>
    <s v="PSES Mid Prog21Duty45 S275"/>
    <x v="1"/>
    <s v="45"/>
    <n v="45"/>
    <m/>
    <s v="   "/>
    <n v="0.5"/>
  </r>
  <r>
    <x v="121"/>
    <s v="Ellensburg School District"/>
    <s v="Personnel"/>
    <s v="E "/>
    <x v="0"/>
    <x v="22"/>
    <s v="PSES Elem Prog21Duty46 S275"/>
    <x v="1"/>
    <s v="46"/>
    <n v="46"/>
    <m/>
    <s v="   "/>
    <n v="2.5710000000000002"/>
  </r>
  <r>
    <x v="121"/>
    <s v="Ellensburg School District"/>
    <s v="Personnel"/>
    <s v="H "/>
    <x v="1"/>
    <x v="23"/>
    <s v="PSES High Prog21Duty46 S275"/>
    <x v="1"/>
    <s v="46"/>
    <n v="46"/>
    <m/>
    <s v="   "/>
    <n v="1.127"/>
  </r>
  <r>
    <x v="121"/>
    <s v="Ellensburg School District"/>
    <s v="Personnel"/>
    <s v="M "/>
    <x v="2"/>
    <x v="24"/>
    <s v="PSES Mid Prog21Duty46 S275"/>
    <x v="1"/>
    <s v="46"/>
    <n v="46"/>
    <m/>
    <s v="   "/>
    <n v="1.151"/>
  </r>
  <r>
    <x v="121"/>
    <s v="Ellensburg School District"/>
    <s v="Personnel"/>
    <s v="E "/>
    <x v="0"/>
    <x v="38"/>
    <s v="PSES Elem Prog21Duty64 S275"/>
    <x v="1"/>
    <s v="64"/>
    <n v="64"/>
    <m/>
    <s v="   "/>
    <n v="3.7130000000000001"/>
  </r>
  <r>
    <x v="122"/>
    <s v="Kittitas School District"/>
    <s v="Personnel"/>
    <s v="E "/>
    <x v="0"/>
    <x v="67"/>
    <s v="PSES Elem Prog21Act25 S275"/>
    <x v="1"/>
    <s v="25"/>
    <m/>
    <n v="25"/>
    <s v="   "/>
    <n v="0.24199999999999999"/>
  </r>
  <r>
    <x v="122"/>
    <s v="Kittitas School District"/>
    <s v="Personnel"/>
    <s v="E "/>
    <x v="0"/>
    <x v="3"/>
    <s v="PSES Elem Prog01Act25 S275"/>
    <x v="0"/>
    <s v="25"/>
    <m/>
    <n v="25"/>
    <s v="   "/>
    <n v="0.12"/>
  </r>
  <r>
    <x v="122"/>
    <s v="Kittitas School District"/>
    <s v="Personnel"/>
    <s v="H "/>
    <x v="1"/>
    <x v="4"/>
    <s v="PSES High Prog21Act25 S275"/>
    <x v="1"/>
    <s v="25"/>
    <m/>
    <n v="25"/>
    <s v="   "/>
    <n v="0.151"/>
  </r>
  <r>
    <x v="122"/>
    <s v="Kittitas School District"/>
    <s v="Personnel"/>
    <s v="H "/>
    <x v="1"/>
    <x v="5"/>
    <s v="PSES High Prog01Act25 S275"/>
    <x v="0"/>
    <s v="25"/>
    <m/>
    <n v="25"/>
    <s v="   "/>
    <n v="0.58399999999999996"/>
  </r>
  <r>
    <x v="122"/>
    <s v="Kittitas School District"/>
    <s v="Personnel"/>
    <s v="H "/>
    <x v="1"/>
    <x v="29"/>
    <s v="PSES High Prog21Act26 S275"/>
    <x v="1"/>
    <s v="26"/>
    <m/>
    <n v="26"/>
    <s v="   "/>
    <n v="0.50900000000000001"/>
  </r>
  <r>
    <x v="122"/>
    <s v="Kittitas School District"/>
    <s v="Personnel"/>
    <s v="E "/>
    <x v="0"/>
    <x v="15"/>
    <s v="PSES Elem Prog01Duty42 S275"/>
    <x v="0"/>
    <s v="42"/>
    <n v="42"/>
    <m/>
    <s v="   "/>
    <n v="0.57999999999999996"/>
  </r>
  <r>
    <x v="122"/>
    <s v="Kittitas School District"/>
    <s v="Personnel"/>
    <s v="H "/>
    <x v="1"/>
    <x v="16"/>
    <s v="PSES High Prog01Duty42 S275"/>
    <x v="0"/>
    <s v="42"/>
    <n v="42"/>
    <m/>
    <s v="   "/>
    <n v="1"/>
  </r>
  <r>
    <x v="122"/>
    <s v="Kittitas School District"/>
    <s v="Personnel"/>
    <s v="T"/>
    <x v="0"/>
    <x v="70"/>
    <s v="PSES Elem Prog09Duty42 S275"/>
    <x v="3"/>
    <s v="42"/>
    <n v="42"/>
    <n v="24"/>
    <m/>
    <n v="7.0000000000000007E-2"/>
  </r>
  <r>
    <x v="122"/>
    <s v="Kittitas School District"/>
    <s v="Personnel"/>
    <s v="T"/>
    <x v="0"/>
    <x v="66"/>
    <s v="PSES Elem Prog09Duty25 S275"/>
    <x v="3"/>
    <s v="25"/>
    <n v="91"/>
    <n v="25"/>
    <m/>
    <n v="0.151"/>
  </r>
  <r>
    <x v="123"/>
    <s v="Cle Elum-Roslyn School District"/>
    <s v="Personnel"/>
    <s v="E "/>
    <x v="0"/>
    <x v="7"/>
    <s v="PSES Elem Prog21Act26 S275"/>
    <x v="1"/>
    <s v="26"/>
    <m/>
    <n v="26"/>
    <s v="   "/>
    <n v="1.3"/>
  </r>
  <r>
    <x v="123"/>
    <s v="Cle Elum-Roslyn School District"/>
    <s v="Personnel"/>
    <s v="E "/>
    <x v="0"/>
    <x v="15"/>
    <s v="PSES Elem Prog01Duty42 S275"/>
    <x v="0"/>
    <s v="42"/>
    <n v="42"/>
    <m/>
    <s v="   "/>
    <n v="1"/>
  </r>
  <r>
    <x v="123"/>
    <s v="Cle Elum-Roslyn School District"/>
    <s v="Personnel"/>
    <s v="M "/>
    <x v="2"/>
    <x v="17"/>
    <s v="PSES Mid Prog01Duty42 S275"/>
    <x v="0"/>
    <s v="42"/>
    <n v="42"/>
    <m/>
    <s v="   "/>
    <n v="1"/>
  </r>
  <r>
    <x v="123"/>
    <s v="Cle Elum-Roslyn School District"/>
    <s v="Personnel"/>
    <s v="H "/>
    <x v="1"/>
    <x v="44"/>
    <s v="PSES High Prog01Duty44 S275"/>
    <x v="0"/>
    <s v="44"/>
    <n v="44"/>
    <m/>
    <s v="   "/>
    <n v="0.95"/>
  </r>
  <r>
    <x v="123"/>
    <s v="Cle Elum-Roslyn School District"/>
    <s v="Personnel"/>
    <s v="E "/>
    <x v="0"/>
    <x v="22"/>
    <s v="PSES Elem Prog21Duty46 S275"/>
    <x v="1"/>
    <s v="46"/>
    <n v="46"/>
    <m/>
    <s v="   "/>
    <n v="0.46500000000000002"/>
  </r>
  <r>
    <x v="123"/>
    <s v="Cle Elum-Roslyn School District"/>
    <s v="Personnel"/>
    <s v="E "/>
    <x v="0"/>
    <x v="48"/>
    <s v="PSES Elem Prog01Duty46 S275"/>
    <x v="0"/>
    <s v="46"/>
    <n v="46"/>
    <m/>
    <s v="   "/>
    <n v="0.104"/>
  </r>
  <r>
    <x v="123"/>
    <s v="Cle Elum-Roslyn School District"/>
    <s v="Personnel"/>
    <s v="H "/>
    <x v="1"/>
    <x v="23"/>
    <s v="PSES High Prog21Duty46 S275"/>
    <x v="1"/>
    <s v="46"/>
    <n v="46"/>
    <m/>
    <s v="   "/>
    <n v="0.151"/>
  </r>
  <r>
    <x v="123"/>
    <s v="Cle Elum-Roslyn School District"/>
    <s v="Personnel"/>
    <s v="H "/>
    <x v="1"/>
    <x v="65"/>
    <s v="PSES High Prog01Duty46 S275"/>
    <x v="0"/>
    <s v="46"/>
    <n v="46"/>
    <m/>
    <s v="   "/>
    <n v="5.1999999999999998E-2"/>
  </r>
  <r>
    <x v="123"/>
    <s v="Cle Elum-Roslyn School District"/>
    <s v="Personnel"/>
    <s v="M "/>
    <x v="2"/>
    <x v="49"/>
    <s v="PSES Mid Prog01Duty46 S275"/>
    <x v="0"/>
    <s v="46"/>
    <n v="46"/>
    <m/>
    <s v="   "/>
    <n v="5.1999999999999998E-2"/>
  </r>
  <r>
    <x v="124"/>
    <s v="Wishram School District"/>
    <s v="Personnel"/>
    <s v="E "/>
    <x v="0"/>
    <x v="3"/>
    <s v="PSES Elem Prog01Act25 S275"/>
    <x v="0"/>
    <s v="25"/>
    <m/>
    <n v="25"/>
    <s v="   "/>
    <n v="1.7969999999999999"/>
  </r>
  <r>
    <x v="124"/>
    <s v="Wishram School District"/>
    <s v="Personnel"/>
    <s v="E "/>
    <x v="0"/>
    <x v="15"/>
    <s v="PSES Elem Prog01Duty42 S275"/>
    <x v="0"/>
    <s v="42"/>
    <n v="42"/>
    <m/>
    <s v="   "/>
    <n v="0.312"/>
  </r>
  <r>
    <x v="124"/>
    <s v="Wishram School District"/>
    <s v="Personnel"/>
    <s v="H "/>
    <x v="1"/>
    <x v="16"/>
    <s v="PSES High Prog01Duty42 S275"/>
    <x v="0"/>
    <s v="42"/>
    <n v="42"/>
    <m/>
    <s v="   "/>
    <n v="0.156"/>
  </r>
  <r>
    <x v="124"/>
    <s v="Wishram School District"/>
    <s v="Personnel"/>
    <s v="M "/>
    <x v="2"/>
    <x v="17"/>
    <s v="PSES Mid Prog01Duty42 S275"/>
    <x v="0"/>
    <s v="42"/>
    <n v="42"/>
    <m/>
    <s v="   "/>
    <n v="0.156"/>
  </r>
  <r>
    <x v="125"/>
    <s v="Centerville School District"/>
    <s v="Personnel"/>
    <s v="H "/>
    <x v="1"/>
    <x v="9"/>
    <s v="PSES High Prog01Act26 S275"/>
    <x v="0"/>
    <s v="26"/>
    <m/>
    <n v="26"/>
    <s v="   "/>
    <n v="0.56000000000000005"/>
  </r>
  <r>
    <x v="126"/>
    <s v="Trout Lake School District"/>
    <s v="Personnel"/>
    <s v="E "/>
    <x v="0"/>
    <x v="3"/>
    <s v="PSES Elem Prog01Act25 S275"/>
    <x v="0"/>
    <s v="25"/>
    <m/>
    <n v="25"/>
    <s v="   "/>
    <n v="0.26500000000000001"/>
  </r>
  <r>
    <x v="126"/>
    <s v="Trout Lake School District"/>
    <s v="Personnel"/>
    <s v="H "/>
    <x v="1"/>
    <x v="16"/>
    <s v="PSES High Prog01Duty42 S275"/>
    <x v="0"/>
    <s v="42"/>
    <n v="42"/>
    <m/>
    <s v="   "/>
    <n v="0.5"/>
  </r>
  <r>
    <x v="127"/>
    <s v="Glenwood School District"/>
    <s v="Personnel"/>
    <s v="E "/>
    <x v="0"/>
    <x v="15"/>
    <s v="PSES Elem Prog01Duty42 S275"/>
    <x v="0"/>
    <s v="42"/>
    <n v="42"/>
    <m/>
    <s v="   "/>
    <n v="0.46899999999999997"/>
  </r>
  <r>
    <x v="127"/>
    <s v="Glenwood School District"/>
    <s v="Personnel"/>
    <s v="H "/>
    <x v="1"/>
    <x v="16"/>
    <s v="PSES High Prog01Duty42 S275"/>
    <x v="0"/>
    <s v="42"/>
    <n v="42"/>
    <m/>
    <s v="   "/>
    <n v="0.14000000000000001"/>
  </r>
  <r>
    <x v="127"/>
    <s v="Glenwood School District"/>
    <s v="Personnel"/>
    <s v="M "/>
    <x v="2"/>
    <x v="17"/>
    <s v="PSES Mid Prog01Duty42 S275"/>
    <x v="0"/>
    <s v="42"/>
    <n v="42"/>
    <m/>
    <s v="   "/>
    <n v="0.11"/>
  </r>
  <r>
    <x v="128"/>
    <s v="Klickitat School District"/>
    <s v="Personnel"/>
    <s v="E "/>
    <x v="0"/>
    <x v="3"/>
    <s v="PSES Elem Prog01Act25 S275"/>
    <x v="0"/>
    <s v="25"/>
    <m/>
    <n v="25"/>
    <s v="   "/>
    <n v="0.183"/>
  </r>
  <r>
    <x v="128"/>
    <s v="Klickitat School District"/>
    <s v="Personnel"/>
    <s v="E "/>
    <x v="0"/>
    <x v="15"/>
    <s v="PSES Elem Prog01Duty42 S275"/>
    <x v="0"/>
    <s v="42"/>
    <n v="42"/>
    <m/>
    <s v="   "/>
    <n v="0.25700000000000001"/>
  </r>
  <r>
    <x v="128"/>
    <s v="Klickitat School District"/>
    <s v="Personnel"/>
    <s v="H "/>
    <x v="1"/>
    <x v="16"/>
    <s v="PSES High Prog01Duty42 S275"/>
    <x v="0"/>
    <s v="42"/>
    <n v="42"/>
    <m/>
    <s v="   "/>
    <n v="0.14899999999999999"/>
  </r>
  <r>
    <x v="128"/>
    <s v="Klickitat School District"/>
    <s v="Personnel"/>
    <s v="M "/>
    <x v="2"/>
    <x v="17"/>
    <s v="PSES Mid Prog01Duty42 S275"/>
    <x v="0"/>
    <s v="42"/>
    <n v="42"/>
    <m/>
    <s v="   "/>
    <n v="9.5000000000000001E-2"/>
  </r>
  <r>
    <x v="129"/>
    <s v="Roosevelt School District"/>
    <s v="Personnel"/>
    <s v="H "/>
    <x v="1"/>
    <x v="9"/>
    <s v="PSES High Prog01Act26 S275"/>
    <x v="0"/>
    <s v="26"/>
    <m/>
    <n v="26"/>
    <s v="   "/>
    <n v="7.3999999999999996E-2"/>
  </r>
  <r>
    <x v="130"/>
    <s v="Goldendale School District"/>
    <s v="Personnel"/>
    <s v="E "/>
    <x v="0"/>
    <x v="8"/>
    <s v="PSES Elem Prog01Act26 S275"/>
    <x v="0"/>
    <s v="26"/>
    <m/>
    <n v="26"/>
    <s v="   "/>
    <n v="0.64300000000000002"/>
  </r>
  <r>
    <x v="130"/>
    <s v="Goldendale School District"/>
    <s v="Personnel"/>
    <s v="E "/>
    <x v="0"/>
    <x v="15"/>
    <s v="PSES Elem Prog01Duty42 S275"/>
    <x v="0"/>
    <s v="42"/>
    <n v="42"/>
    <m/>
    <s v="   "/>
    <n v="0.75"/>
  </r>
  <r>
    <x v="130"/>
    <s v="Goldendale School District"/>
    <s v="Personnel"/>
    <s v="H "/>
    <x v="1"/>
    <x v="16"/>
    <s v="PSES High Prog01Duty42 S275"/>
    <x v="0"/>
    <s v="42"/>
    <n v="42"/>
    <m/>
    <s v="   "/>
    <n v="0.55000000000000004"/>
  </r>
  <r>
    <x v="130"/>
    <s v="Goldendale School District"/>
    <s v="Personnel"/>
    <s v="M "/>
    <x v="2"/>
    <x v="17"/>
    <s v="PSES Mid Prog01Duty42 S275"/>
    <x v="0"/>
    <s v="42"/>
    <n v="42"/>
    <m/>
    <s v="   "/>
    <n v="1"/>
  </r>
  <r>
    <x v="130"/>
    <s v="Goldendale School District"/>
    <s v="Personnel"/>
    <s v="M "/>
    <x v="2"/>
    <x v="34"/>
    <s v="PSES Mid Prog01Duty47 S275"/>
    <x v="0"/>
    <s v="47"/>
    <n v="47"/>
    <m/>
    <s v="   "/>
    <n v="0.65"/>
  </r>
  <r>
    <x v="131"/>
    <s v="White Salmon Valley School District"/>
    <s v="Personnel"/>
    <s v="E "/>
    <x v="0"/>
    <x v="0"/>
    <s v="PSES Elem Prog01Duty96 S275"/>
    <x v="0"/>
    <s v="24"/>
    <n v="96"/>
    <n v="24"/>
    <s v="   "/>
    <n v="0.79800000000000004"/>
  </r>
  <r>
    <x v="131"/>
    <s v="White Salmon Valley School District"/>
    <s v="Personnel"/>
    <s v="M "/>
    <x v="2"/>
    <x v="2"/>
    <s v="PSES Mid Prog01Duty96 S275"/>
    <x v="0"/>
    <s v="24"/>
    <n v="96"/>
    <n v="24"/>
    <s v="   "/>
    <n v="0.29599999999999999"/>
  </r>
  <r>
    <x v="131"/>
    <s v="White Salmon Valley School District"/>
    <s v="Personnel"/>
    <s v="E "/>
    <x v="0"/>
    <x v="3"/>
    <s v="PSES Elem Prog01Act25 S275"/>
    <x v="0"/>
    <s v="25"/>
    <m/>
    <n v="25"/>
    <s v="   "/>
    <n v="0.98199999999999998"/>
  </r>
  <r>
    <x v="131"/>
    <s v="White Salmon Valley School District"/>
    <s v="Personnel"/>
    <s v="M "/>
    <x v="2"/>
    <x v="6"/>
    <s v="PSES Mid Prog01Act25 S275"/>
    <x v="0"/>
    <s v="25"/>
    <m/>
    <n v="25"/>
    <s v="   "/>
    <n v="4.8000000000000001E-2"/>
  </r>
  <r>
    <x v="131"/>
    <s v="White Salmon Valley School District"/>
    <s v="Personnel"/>
    <s v="H "/>
    <x v="1"/>
    <x v="16"/>
    <s v="PSES High Prog01Duty42 S275"/>
    <x v="0"/>
    <s v="42"/>
    <n v="42"/>
    <m/>
    <s v="   "/>
    <n v="1"/>
  </r>
  <r>
    <x v="132"/>
    <s v="Napavine School District"/>
    <s v="Personnel"/>
    <s v="E "/>
    <x v="0"/>
    <x v="67"/>
    <s v="PSES Elem Prog21Act25 S275"/>
    <x v="1"/>
    <s v="25"/>
    <m/>
    <n v="25"/>
    <s v="   "/>
    <n v="0.36299999999999999"/>
  </r>
  <r>
    <x v="132"/>
    <s v="Napavine School District"/>
    <s v="Personnel"/>
    <s v="E "/>
    <x v="0"/>
    <x v="3"/>
    <s v="PSES Elem Prog01Act25 S275"/>
    <x v="0"/>
    <s v="25"/>
    <m/>
    <n v="25"/>
    <s v="   "/>
    <n v="0.86799999999999999"/>
  </r>
  <r>
    <x v="132"/>
    <s v="Napavine School District"/>
    <s v="Personnel"/>
    <s v="H "/>
    <x v="1"/>
    <x v="4"/>
    <s v="PSES High Prog21Act25 S275"/>
    <x v="1"/>
    <s v="25"/>
    <m/>
    <n v="25"/>
    <s v="   "/>
    <n v="0.26500000000000001"/>
  </r>
  <r>
    <x v="132"/>
    <s v="Napavine School District"/>
    <s v="Personnel"/>
    <s v="H "/>
    <x v="1"/>
    <x v="5"/>
    <s v="PSES High Prog01Act25 S275"/>
    <x v="0"/>
    <s v="25"/>
    <m/>
    <n v="25"/>
    <s v="   "/>
    <n v="0.17100000000000001"/>
  </r>
  <r>
    <x v="132"/>
    <s v="Napavine School District"/>
    <s v="Personnel"/>
    <s v="E "/>
    <x v="0"/>
    <x v="7"/>
    <s v="PSES Elem Prog21Act26 S275"/>
    <x v="1"/>
    <s v="26"/>
    <m/>
    <n v="26"/>
    <s v="   "/>
    <n v="0.51200000000000001"/>
  </r>
  <r>
    <x v="132"/>
    <s v="Napavine School District"/>
    <s v="Personnel"/>
    <s v="E "/>
    <x v="0"/>
    <x v="8"/>
    <s v="PSES Elem Prog01Act26 S275"/>
    <x v="0"/>
    <s v="26"/>
    <m/>
    <n v="26"/>
    <s v="   "/>
    <n v="0.38500000000000001"/>
  </r>
  <r>
    <x v="132"/>
    <s v="Napavine School District"/>
    <s v="Personnel"/>
    <s v="H "/>
    <x v="1"/>
    <x v="29"/>
    <s v="PSES High Prog21Act26 S275"/>
    <x v="1"/>
    <s v="26"/>
    <m/>
    <n v="26"/>
    <s v="   "/>
    <n v="0.123"/>
  </r>
  <r>
    <x v="132"/>
    <s v="Napavine School District"/>
    <s v="Personnel"/>
    <s v="H "/>
    <x v="1"/>
    <x v="9"/>
    <s v="PSES High Prog01Act26 S275"/>
    <x v="0"/>
    <s v="26"/>
    <m/>
    <n v="26"/>
    <s v="   "/>
    <n v="5.5E-2"/>
  </r>
  <r>
    <x v="132"/>
    <s v="Napavine School District"/>
    <s v="Personnel"/>
    <s v="M "/>
    <x v="2"/>
    <x v="11"/>
    <s v="PSES Mid Prog01Act26 S275"/>
    <x v="0"/>
    <s v="26"/>
    <m/>
    <n v="26"/>
    <s v="   "/>
    <n v="5.5E-2"/>
  </r>
  <r>
    <x v="132"/>
    <s v="Napavine School District"/>
    <s v="Personnel"/>
    <s v="E "/>
    <x v="0"/>
    <x v="15"/>
    <s v="PSES Elem Prog01Duty42 S275"/>
    <x v="0"/>
    <s v="42"/>
    <n v="42"/>
    <m/>
    <s v="   "/>
    <n v="0.4"/>
  </r>
  <r>
    <x v="132"/>
    <s v="Napavine School District"/>
    <s v="Personnel"/>
    <s v="H "/>
    <x v="1"/>
    <x v="16"/>
    <s v="PSES High Prog01Duty42 S275"/>
    <x v="0"/>
    <s v="42"/>
    <n v="42"/>
    <m/>
    <s v="   "/>
    <n v="1.4"/>
  </r>
  <r>
    <x v="132"/>
    <s v="Napavine School District"/>
    <s v="Personnel"/>
    <s v="E "/>
    <x v="0"/>
    <x v="38"/>
    <s v="PSES Elem Prog21Duty64 S275"/>
    <x v="1"/>
    <s v="64"/>
    <n v="64"/>
    <m/>
    <s v="   "/>
    <n v="1.875"/>
  </r>
  <r>
    <x v="132"/>
    <s v="Napavine School District"/>
    <s v="Personnel"/>
    <s v="H "/>
    <x v="1"/>
    <x v="59"/>
    <s v="PSES High Prog21Duty64 S275"/>
    <x v="1"/>
    <s v="64"/>
    <n v="64"/>
    <m/>
    <s v="   "/>
    <n v="0.33"/>
  </r>
  <r>
    <x v="132"/>
    <s v="Napavine School District"/>
    <s v="Personnel"/>
    <s v="M "/>
    <x v="2"/>
    <x v="60"/>
    <s v="PSES Mid Prog21Duty64 S275"/>
    <x v="1"/>
    <s v="64"/>
    <n v="64"/>
    <m/>
    <s v="   "/>
    <n v="1.0920000000000001"/>
  </r>
  <r>
    <x v="133"/>
    <s v="Evaline School District"/>
    <s v="Personnel"/>
    <s v="E "/>
    <x v="0"/>
    <x v="3"/>
    <s v="PSES Elem Prog01Act25 S275"/>
    <x v="0"/>
    <s v="25"/>
    <m/>
    <n v="25"/>
    <s v="   "/>
    <n v="0.54600000000000004"/>
  </r>
  <r>
    <x v="133"/>
    <s v="Evaline School District"/>
    <s v="Personnel"/>
    <s v="E "/>
    <x v="0"/>
    <x v="15"/>
    <s v="PSES Elem Prog01Duty42 S275"/>
    <x v="0"/>
    <s v="42"/>
    <n v="42"/>
    <m/>
    <s v="   "/>
    <n v="0.128"/>
  </r>
  <r>
    <x v="133"/>
    <s v="Evaline School District"/>
    <s v="Personnel"/>
    <s v="T"/>
    <x v="0"/>
    <x v="66"/>
    <s v="PSES Elem Prog09Duty25 S275"/>
    <x v="3"/>
    <s v="25"/>
    <n v="91"/>
    <n v="25"/>
    <m/>
    <n v="3.4000000000000002E-2"/>
  </r>
  <r>
    <x v="134"/>
    <s v="Mossyrock School District"/>
    <s v="Personnel"/>
    <s v="E "/>
    <x v="0"/>
    <x v="3"/>
    <s v="PSES Elem Prog01Act25 S275"/>
    <x v="0"/>
    <s v="25"/>
    <m/>
    <n v="25"/>
    <s v="   "/>
    <n v="1.145"/>
  </r>
  <r>
    <x v="134"/>
    <s v="Mossyrock School District"/>
    <s v="Personnel"/>
    <s v="E "/>
    <x v="0"/>
    <x v="8"/>
    <s v="PSES Elem Prog01Act26 S275"/>
    <x v="0"/>
    <s v="26"/>
    <m/>
    <n v="26"/>
    <s v="   "/>
    <n v="0.48499999999999999"/>
  </r>
  <r>
    <x v="134"/>
    <s v="Mossyrock School District"/>
    <s v="Personnel"/>
    <s v="H "/>
    <x v="1"/>
    <x v="9"/>
    <s v="PSES High Prog01Act26 S275"/>
    <x v="0"/>
    <s v="26"/>
    <m/>
    <n v="26"/>
    <s v="   "/>
    <n v="0.121"/>
  </r>
  <r>
    <x v="134"/>
    <s v="Mossyrock School District"/>
    <s v="Personnel"/>
    <s v="H "/>
    <x v="1"/>
    <x v="16"/>
    <s v="PSES High Prog01Duty42 S275"/>
    <x v="0"/>
    <s v="42"/>
    <n v="42"/>
    <m/>
    <s v="   "/>
    <n v="1.06"/>
  </r>
  <r>
    <x v="134"/>
    <s v="Mossyrock School District"/>
    <s v="Personnel"/>
    <s v="M "/>
    <x v="2"/>
    <x v="17"/>
    <s v="PSES Mid Prog01Duty42 S275"/>
    <x v="0"/>
    <s v="42"/>
    <n v="42"/>
    <m/>
    <s v="   "/>
    <n v="0.1"/>
  </r>
  <r>
    <x v="134"/>
    <s v="Mossyrock School District"/>
    <s v="Personnel"/>
    <s v="E "/>
    <x v="0"/>
    <x v="18"/>
    <s v="PSES Elem Prog21Duty43 S275"/>
    <x v="1"/>
    <s v="43"/>
    <n v="43"/>
    <m/>
    <s v="   "/>
    <n v="1.2"/>
  </r>
  <r>
    <x v="134"/>
    <s v="Mossyrock School District"/>
    <s v="Personnel"/>
    <s v="H "/>
    <x v="1"/>
    <x v="19"/>
    <s v="PSES High Prog21Duty43 S275"/>
    <x v="1"/>
    <s v="43"/>
    <n v="43"/>
    <m/>
    <s v="   "/>
    <n v="2.2000000000000002"/>
  </r>
  <r>
    <x v="134"/>
    <s v="Mossyrock School District"/>
    <s v="Personnel"/>
    <s v="H "/>
    <x v="1"/>
    <x v="59"/>
    <s v="PSES High Prog21Duty64 S275"/>
    <x v="1"/>
    <s v="64"/>
    <n v="64"/>
    <m/>
    <s v="   "/>
    <n v="1.212"/>
  </r>
  <r>
    <x v="135"/>
    <s v="Morton School District"/>
    <s v="Personnel"/>
    <s v="E "/>
    <x v="0"/>
    <x v="15"/>
    <s v="PSES Elem Prog01Duty42 S275"/>
    <x v="0"/>
    <s v="42"/>
    <n v="42"/>
    <m/>
    <s v="   "/>
    <n v="0.62"/>
  </r>
  <r>
    <x v="135"/>
    <s v="Morton School District"/>
    <s v="Personnel"/>
    <s v="H "/>
    <x v="1"/>
    <x v="16"/>
    <s v="PSES High Prog01Duty42 S275"/>
    <x v="0"/>
    <s v="42"/>
    <n v="42"/>
    <m/>
    <s v="   "/>
    <n v="0.5"/>
  </r>
  <r>
    <x v="135"/>
    <s v="Morton School District"/>
    <s v="Personnel"/>
    <s v="M "/>
    <x v="2"/>
    <x v="17"/>
    <s v="PSES Mid Prog01Duty42 S275"/>
    <x v="0"/>
    <s v="42"/>
    <n v="42"/>
    <m/>
    <s v="   "/>
    <n v="0.5"/>
  </r>
  <r>
    <x v="135"/>
    <s v="Morton School District"/>
    <s v="Personnel"/>
    <s v="E "/>
    <x v="0"/>
    <x v="27"/>
    <s v="PSES Elem Prog01Duty47 S275"/>
    <x v="0"/>
    <s v="47"/>
    <n v="47"/>
    <m/>
    <s v="   "/>
    <n v="1.026"/>
  </r>
  <r>
    <x v="135"/>
    <s v="Morton School District"/>
    <s v="Personnel"/>
    <s v="H "/>
    <x v="1"/>
    <x v="25"/>
    <s v="PSES High Prog01Duty47 S275"/>
    <x v="0"/>
    <s v="47"/>
    <n v="47"/>
    <m/>
    <s v="   "/>
    <n v="6.8000000000000005E-2"/>
  </r>
  <r>
    <x v="135"/>
    <s v="Morton School District"/>
    <s v="Personnel"/>
    <s v="M "/>
    <x v="2"/>
    <x v="34"/>
    <s v="PSES Mid Prog01Duty47 S275"/>
    <x v="0"/>
    <s v="47"/>
    <n v="47"/>
    <m/>
    <s v="   "/>
    <n v="2.7E-2"/>
  </r>
  <r>
    <x v="136"/>
    <s v="Adna School District"/>
    <s v="Personnel"/>
    <s v="H "/>
    <x v="1"/>
    <x v="5"/>
    <s v="PSES High Prog01Act25 S275"/>
    <x v="0"/>
    <s v="25"/>
    <m/>
    <n v="25"/>
    <s v="   "/>
    <n v="0.73199999999999998"/>
  </r>
  <r>
    <x v="136"/>
    <s v="Adna School District"/>
    <s v="Personnel"/>
    <s v="H "/>
    <x v="1"/>
    <x v="29"/>
    <s v="PSES High Prog21Act26 S275"/>
    <x v="1"/>
    <s v="26"/>
    <m/>
    <n v="26"/>
    <s v="   "/>
    <n v="3.395"/>
  </r>
  <r>
    <x v="136"/>
    <s v="Adna School District"/>
    <s v="Personnel"/>
    <s v="H "/>
    <x v="1"/>
    <x v="9"/>
    <s v="PSES High Prog01Act26 S275"/>
    <x v="0"/>
    <s v="26"/>
    <m/>
    <n v="26"/>
    <s v="   "/>
    <n v="0.46500000000000002"/>
  </r>
  <r>
    <x v="136"/>
    <s v="Adna School District"/>
    <s v="Personnel"/>
    <s v="H "/>
    <x v="1"/>
    <x v="16"/>
    <s v="PSES High Prog01Duty42 S275"/>
    <x v="0"/>
    <s v="42"/>
    <n v="42"/>
    <m/>
    <s v="   "/>
    <n v="1"/>
  </r>
  <r>
    <x v="136"/>
    <s v="Adna School District"/>
    <s v="Personnel"/>
    <s v="H "/>
    <x v="1"/>
    <x v="23"/>
    <s v="PSES High Prog21Duty46 S275"/>
    <x v="1"/>
    <s v="46"/>
    <n v="46"/>
    <m/>
    <s v="   "/>
    <n v="1"/>
  </r>
  <r>
    <x v="136"/>
    <s v="Adna School District"/>
    <s v="Personnel"/>
    <s v="H "/>
    <x v="1"/>
    <x v="59"/>
    <s v="PSES High Prog21Duty64 S275"/>
    <x v="1"/>
    <s v="64"/>
    <n v="64"/>
    <m/>
    <s v="   "/>
    <n v="1.8879999999999999"/>
  </r>
  <r>
    <x v="137"/>
    <s v="Winlock School District"/>
    <s v="Personnel"/>
    <s v="E "/>
    <x v="0"/>
    <x v="67"/>
    <s v="PSES Elem Prog21Act25 S275"/>
    <x v="1"/>
    <s v="25"/>
    <m/>
    <n v="25"/>
    <s v="   "/>
    <n v="0.36899999999999999"/>
  </r>
  <r>
    <x v="137"/>
    <s v="Winlock School District"/>
    <s v="Personnel"/>
    <s v="E "/>
    <x v="0"/>
    <x v="7"/>
    <s v="PSES Elem Prog21Act26 S275"/>
    <x v="1"/>
    <s v="26"/>
    <m/>
    <n v="26"/>
    <s v="   "/>
    <n v="0.73599999999999999"/>
  </r>
  <r>
    <x v="137"/>
    <s v="Winlock School District"/>
    <s v="Personnel"/>
    <s v="H "/>
    <x v="1"/>
    <x v="29"/>
    <s v="PSES High Prog21Act26 S275"/>
    <x v="1"/>
    <s v="26"/>
    <m/>
    <n v="26"/>
    <s v="   "/>
    <n v="1.288"/>
  </r>
  <r>
    <x v="137"/>
    <s v="Winlock School District"/>
    <s v="Personnel"/>
    <s v="E "/>
    <x v="0"/>
    <x v="15"/>
    <s v="PSES Elem Prog01Duty42 S275"/>
    <x v="0"/>
    <s v="42"/>
    <n v="42"/>
    <m/>
    <s v="   "/>
    <n v="0.45"/>
  </r>
  <r>
    <x v="137"/>
    <s v="Winlock School District"/>
    <s v="Personnel"/>
    <s v="H "/>
    <x v="1"/>
    <x v="16"/>
    <s v="PSES High Prog01Duty42 S275"/>
    <x v="0"/>
    <s v="42"/>
    <n v="42"/>
    <m/>
    <s v="   "/>
    <n v="1.05"/>
  </r>
  <r>
    <x v="137"/>
    <s v="Winlock School District"/>
    <s v="Personnel"/>
    <s v="M "/>
    <x v="2"/>
    <x v="17"/>
    <s v="PSES Mid Prog01Duty42 S275"/>
    <x v="0"/>
    <s v="42"/>
    <n v="42"/>
    <m/>
    <s v="   "/>
    <n v="0.5"/>
  </r>
  <r>
    <x v="137"/>
    <s v="Winlock School District"/>
    <s v="Personnel"/>
    <s v="E "/>
    <x v="0"/>
    <x v="18"/>
    <s v="PSES Elem Prog21Duty43 S275"/>
    <x v="1"/>
    <s v="43"/>
    <n v="43"/>
    <m/>
    <s v="   "/>
    <n v="0.5"/>
  </r>
  <r>
    <x v="137"/>
    <s v="Winlock School District"/>
    <s v="Personnel"/>
    <s v="H "/>
    <x v="1"/>
    <x v="19"/>
    <s v="PSES High Prog21Duty43 S275"/>
    <x v="1"/>
    <s v="43"/>
    <n v="43"/>
    <m/>
    <s v="   "/>
    <n v="0.5"/>
  </r>
  <r>
    <x v="137"/>
    <s v="Winlock School District"/>
    <s v="Personnel"/>
    <s v="E "/>
    <x v="0"/>
    <x v="20"/>
    <s v="PSES Elem Prog21Duty45 S275"/>
    <x v="1"/>
    <s v="45"/>
    <n v="45"/>
    <m/>
    <s v="   "/>
    <n v="1.5"/>
  </r>
  <r>
    <x v="137"/>
    <s v="Winlock School District"/>
    <s v="Personnel"/>
    <s v="H "/>
    <x v="1"/>
    <x v="21"/>
    <s v="PSES High Prog21Duty45 S275"/>
    <x v="1"/>
    <s v="45"/>
    <n v="45"/>
    <m/>
    <s v="   "/>
    <n v="1"/>
  </r>
  <r>
    <x v="137"/>
    <s v="Winlock School District"/>
    <s v="Personnel"/>
    <s v="M "/>
    <x v="2"/>
    <x v="28"/>
    <s v="PSES Mid Prog21Duty45 S275"/>
    <x v="1"/>
    <s v="45"/>
    <n v="45"/>
    <m/>
    <s v="   "/>
    <n v="0.5"/>
  </r>
  <r>
    <x v="137"/>
    <s v="Winlock School District"/>
    <s v="Personnel"/>
    <s v="E "/>
    <x v="0"/>
    <x v="22"/>
    <s v="PSES Elem Prog21Duty46 S275"/>
    <x v="1"/>
    <s v="46"/>
    <n v="46"/>
    <m/>
    <s v="   "/>
    <n v="0.5"/>
  </r>
  <r>
    <x v="137"/>
    <s v="Winlock School District"/>
    <s v="Personnel"/>
    <s v="H "/>
    <x v="1"/>
    <x v="23"/>
    <s v="PSES High Prog21Duty46 S275"/>
    <x v="1"/>
    <s v="46"/>
    <n v="46"/>
    <m/>
    <s v="   "/>
    <n v="0.5"/>
  </r>
  <r>
    <x v="138"/>
    <s v="Boistfort School District"/>
    <s v="Personnel"/>
    <s v="H "/>
    <x v="1"/>
    <x v="4"/>
    <s v="PSES High Prog21Act25 S275"/>
    <x v="1"/>
    <s v="25"/>
    <m/>
    <n v="25"/>
    <s v="   "/>
    <n v="0.04"/>
  </r>
  <r>
    <x v="138"/>
    <s v="Boistfort School District"/>
    <s v="Personnel"/>
    <s v="H "/>
    <x v="1"/>
    <x v="9"/>
    <s v="PSES High Prog01Act26 S275"/>
    <x v="0"/>
    <s v="26"/>
    <m/>
    <n v="26"/>
    <s v="   "/>
    <n v="6.2E-2"/>
  </r>
  <r>
    <x v="139"/>
    <s v="Toledo School District"/>
    <s v="Personnel"/>
    <s v="E "/>
    <x v="0"/>
    <x v="3"/>
    <s v="PSES Elem Prog01Act25 S275"/>
    <x v="0"/>
    <s v="25"/>
    <m/>
    <n v="25"/>
    <s v="   "/>
    <n v="0.254"/>
  </r>
  <r>
    <x v="139"/>
    <s v="Toledo School District"/>
    <s v="Personnel"/>
    <s v="H "/>
    <x v="1"/>
    <x v="4"/>
    <s v="PSES High Prog21Act25 S275"/>
    <x v="1"/>
    <s v="25"/>
    <m/>
    <n v="25"/>
    <s v="   "/>
    <n v="0.374"/>
  </r>
  <r>
    <x v="139"/>
    <s v="Toledo School District"/>
    <s v="Personnel"/>
    <s v="H "/>
    <x v="1"/>
    <x v="5"/>
    <s v="PSES High Prog01Act25 S275"/>
    <x v="0"/>
    <s v="25"/>
    <m/>
    <n v="25"/>
    <s v="   "/>
    <n v="1.0069999999999999"/>
  </r>
  <r>
    <x v="139"/>
    <s v="Toledo School District"/>
    <s v="Personnel"/>
    <s v="M "/>
    <x v="2"/>
    <x v="82"/>
    <s v="PSES Mid Prog21Act25 S275"/>
    <x v="1"/>
    <s v="25"/>
    <m/>
    <n v="25"/>
    <s v="   "/>
    <n v="8.7999999999999995E-2"/>
  </r>
  <r>
    <x v="139"/>
    <s v="Toledo School District"/>
    <s v="Personnel"/>
    <s v="E "/>
    <x v="0"/>
    <x v="8"/>
    <s v="PSES Elem Prog01Act26 S275"/>
    <x v="0"/>
    <s v="26"/>
    <m/>
    <n v="26"/>
    <s v="   "/>
    <n v="0.51800000000000002"/>
  </r>
  <r>
    <x v="139"/>
    <s v="Toledo School District"/>
    <s v="Personnel"/>
    <s v="M "/>
    <x v="2"/>
    <x v="11"/>
    <s v="PSES Mid Prog01Act26 S275"/>
    <x v="0"/>
    <s v="26"/>
    <m/>
    <n v="26"/>
    <s v="   "/>
    <n v="0.17699999999999999"/>
  </r>
  <r>
    <x v="139"/>
    <s v="Toledo School District"/>
    <s v="Personnel"/>
    <s v="H "/>
    <x v="1"/>
    <x v="16"/>
    <s v="PSES High Prog01Duty42 S275"/>
    <x v="0"/>
    <s v="42"/>
    <n v="42"/>
    <m/>
    <s v="   "/>
    <n v="0.81399999999999995"/>
  </r>
  <r>
    <x v="140"/>
    <s v="Onalaska School District"/>
    <s v="Personnel"/>
    <s v="E "/>
    <x v="0"/>
    <x v="3"/>
    <s v="PSES Elem Prog01Act25 S275"/>
    <x v="0"/>
    <s v="25"/>
    <m/>
    <n v="25"/>
    <s v="   "/>
    <n v="0.39600000000000002"/>
  </r>
  <r>
    <x v="140"/>
    <s v="Onalaska School District"/>
    <s v="Personnel"/>
    <s v="E "/>
    <x v="0"/>
    <x v="8"/>
    <s v="PSES Elem Prog01Act26 S275"/>
    <x v="0"/>
    <s v="26"/>
    <m/>
    <n v="26"/>
    <s v="   "/>
    <n v="0.13200000000000001"/>
  </r>
  <r>
    <x v="140"/>
    <s v="Onalaska School District"/>
    <s v="Personnel"/>
    <s v="H "/>
    <x v="1"/>
    <x v="9"/>
    <s v="PSES High Prog01Act26 S275"/>
    <x v="0"/>
    <s v="26"/>
    <m/>
    <n v="26"/>
    <s v="   "/>
    <n v="0.13200000000000001"/>
  </r>
  <r>
    <x v="140"/>
    <s v="Onalaska School District"/>
    <s v="Personnel"/>
    <s v="M "/>
    <x v="2"/>
    <x v="11"/>
    <s v="PSES Mid Prog01Act26 S275"/>
    <x v="0"/>
    <s v="26"/>
    <m/>
    <n v="26"/>
    <s v="   "/>
    <n v="0.13200000000000001"/>
  </r>
  <r>
    <x v="140"/>
    <s v="Onalaska School District"/>
    <s v="Personnel"/>
    <s v="E "/>
    <x v="0"/>
    <x v="15"/>
    <s v="PSES Elem Prog01Duty42 S275"/>
    <x v="0"/>
    <s v="42"/>
    <n v="42"/>
    <m/>
    <s v="   "/>
    <n v="0.45200000000000001"/>
  </r>
  <r>
    <x v="140"/>
    <s v="Onalaska School District"/>
    <s v="Personnel"/>
    <s v="H "/>
    <x v="1"/>
    <x v="16"/>
    <s v="PSES High Prog01Duty42 S275"/>
    <x v="0"/>
    <s v="42"/>
    <n v="42"/>
    <m/>
    <s v="   "/>
    <n v="1.151"/>
  </r>
  <r>
    <x v="140"/>
    <s v="Onalaska School District"/>
    <s v="Personnel"/>
    <s v="M "/>
    <x v="2"/>
    <x v="17"/>
    <s v="PSES Mid Prog01Duty42 S275"/>
    <x v="0"/>
    <s v="42"/>
    <n v="42"/>
    <m/>
    <s v="   "/>
    <n v="0.151"/>
  </r>
  <r>
    <x v="141"/>
    <s v="Pe Ell School District"/>
    <s v="Personnel"/>
    <s v="H "/>
    <x v="1"/>
    <x v="16"/>
    <s v="PSES High Prog01Duty42 S275"/>
    <x v="0"/>
    <s v="42"/>
    <n v="42"/>
    <m/>
    <s v="   "/>
    <n v="0.67"/>
  </r>
  <r>
    <x v="141"/>
    <s v="Pe Ell School District"/>
    <s v="Personnel"/>
    <s v="M "/>
    <x v="2"/>
    <x v="17"/>
    <s v="PSES Mid Prog01Duty42 S275"/>
    <x v="0"/>
    <s v="42"/>
    <n v="42"/>
    <m/>
    <s v="   "/>
    <n v="0.33"/>
  </r>
  <r>
    <x v="142"/>
    <s v="Chehalis School District"/>
    <s v="Personnel"/>
    <s v="H "/>
    <x v="1"/>
    <x v="1"/>
    <s v="PSES High Prog01Duty96 S275"/>
    <x v="0"/>
    <s v="24"/>
    <n v="96"/>
    <n v="24"/>
    <s v="   "/>
    <n v="1.242"/>
  </r>
  <r>
    <x v="142"/>
    <s v="Chehalis School District"/>
    <s v="Personnel"/>
    <s v="M "/>
    <x v="2"/>
    <x v="2"/>
    <s v="PSES Mid Prog01Duty96 S275"/>
    <x v="0"/>
    <s v="24"/>
    <n v="96"/>
    <n v="24"/>
    <s v="   "/>
    <n v="0.44600000000000001"/>
  </r>
  <r>
    <x v="142"/>
    <s v="Chehalis School District"/>
    <s v="Personnel"/>
    <s v="E "/>
    <x v="0"/>
    <x v="67"/>
    <s v="PSES Elem Prog21Act25 S275"/>
    <x v="1"/>
    <s v="25"/>
    <m/>
    <n v="25"/>
    <s v="   "/>
    <n v="0.505"/>
  </r>
  <r>
    <x v="142"/>
    <s v="Chehalis School District"/>
    <s v="Personnel"/>
    <s v="H "/>
    <x v="1"/>
    <x v="4"/>
    <s v="PSES High Prog21Act25 S275"/>
    <x v="1"/>
    <s v="25"/>
    <m/>
    <n v="25"/>
    <s v="   "/>
    <n v="0.66500000000000004"/>
  </r>
  <r>
    <x v="142"/>
    <s v="Chehalis School District"/>
    <s v="Personnel"/>
    <s v="H "/>
    <x v="1"/>
    <x v="5"/>
    <s v="PSES High Prog01Act25 S275"/>
    <x v="0"/>
    <s v="25"/>
    <m/>
    <n v="25"/>
    <s v="   "/>
    <n v="3.9470000000000001"/>
  </r>
  <r>
    <x v="142"/>
    <s v="Chehalis School District"/>
    <s v="Personnel"/>
    <s v="H "/>
    <x v="1"/>
    <x v="29"/>
    <s v="PSES High Prog21Act26 S275"/>
    <x v="1"/>
    <s v="26"/>
    <m/>
    <n v="26"/>
    <s v="   "/>
    <n v="1.2809999999999999"/>
  </r>
  <r>
    <x v="142"/>
    <s v="Chehalis School District"/>
    <s v="Personnel"/>
    <s v="H "/>
    <x v="1"/>
    <x v="9"/>
    <s v="PSES High Prog01Act26 S275"/>
    <x v="0"/>
    <s v="26"/>
    <m/>
    <n v="26"/>
    <s v="   "/>
    <n v="2.113"/>
  </r>
  <r>
    <x v="142"/>
    <s v="Chehalis School District"/>
    <s v="Personnel"/>
    <s v="H "/>
    <x v="1"/>
    <x v="12"/>
    <s v="PSES High Prog97Act35 S275"/>
    <x v="2"/>
    <s v="35"/>
    <m/>
    <n v="35"/>
    <s v="   "/>
    <n v="1.462"/>
  </r>
  <r>
    <x v="142"/>
    <s v="Chehalis School District"/>
    <s v="Personnel"/>
    <s v="E "/>
    <x v="0"/>
    <x v="14"/>
    <s v="PSES Elem Prog21Duty39 S275"/>
    <x v="1"/>
    <s v="39"/>
    <n v="39"/>
    <m/>
    <s v="   "/>
    <n v="0.15"/>
  </r>
  <r>
    <x v="142"/>
    <s v="Chehalis School District"/>
    <s v="Personnel"/>
    <s v="H "/>
    <x v="1"/>
    <x v="83"/>
    <s v="PSES High Prog21Duty39 S275"/>
    <x v="1"/>
    <s v="39"/>
    <n v="39"/>
    <m/>
    <s v="   "/>
    <n v="0.15"/>
  </r>
  <r>
    <x v="142"/>
    <s v="Chehalis School District"/>
    <s v="Personnel"/>
    <s v="E "/>
    <x v="0"/>
    <x v="15"/>
    <s v="PSES Elem Prog01Duty42 S275"/>
    <x v="0"/>
    <s v="42"/>
    <n v="42"/>
    <m/>
    <s v="   "/>
    <n v="0.33300000000000002"/>
  </r>
  <r>
    <x v="142"/>
    <s v="Chehalis School District"/>
    <s v="Personnel"/>
    <s v="H "/>
    <x v="1"/>
    <x v="16"/>
    <s v="PSES High Prog01Duty42 S275"/>
    <x v="0"/>
    <s v="42"/>
    <n v="42"/>
    <m/>
    <s v="   "/>
    <n v="2.25"/>
  </r>
  <r>
    <x v="142"/>
    <s v="Chehalis School District"/>
    <s v="Personnel"/>
    <s v="M "/>
    <x v="2"/>
    <x v="17"/>
    <s v="PSES Mid Prog01Duty42 S275"/>
    <x v="0"/>
    <s v="42"/>
    <n v="42"/>
    <m/>
    <s v="   "/>
    <n v="1.667"/>
  </r>
  <r>
    <x v="142"/>
    <s v="Chehalis School District"/>
    <s v="Personnel"/>
    <s v="E "/>
    <x v="0"/>
    <x v="20"/>
    <s v="PSES Elem Prog21Duty45 S275"/>
    <x v="1"/>
    <s v="45"/>
    <n v="45"/>
    <m/>
    <s v="   "/>
    <n v="1.9"/>
  </r>
  <r>
    <x v="142"/>
    <s v="Chehalis School District"/>
    <s v="Personnel"/>
    <s v="H "/>
    <x v="1"/>
    <x v="21"/>
    <s v="PSES High Prog21Duty45 S275"/>
    <x v="1"/>
    <s v="45"/>
    <n v="45"/>
    <m/>
    <s v="   "/>
    <n v="0.1"/>
  </r>
  <r>
    <x v="142"/>
    <s v="Chehalis School District"/>
    <s v="Personnel"/>
    <s v="H "/>
    <x v="1"/>
    <x v="23"/>
    <s v="PSES High Prog21Duty46 S275"/>
    <x v="1"/>
    <s v="46"/>
    <n v="46"/>
    <m/>
    <s v="   "/>
    <n v="1"/>
  </r>
  <r>
    <x v="142"/>
    <s v="Chehalis School District"/>
    <s v="Personnel"/>
    <s v="E "/>
    <x v="0"/>
    <x v="27"/>
    <s v="PSES Elem Prog01Duty47 S275"/>
    <x v="0"/>
    <s v="47"/>
    <n v="47"/>
    <m/>
    <s v="   "/>
    <n v="0.57799999999999996"/>
  </r>
  <r>
    <x v="142"/>
    <s v="Chehalis School District"/>
    <s v="Personnel"/>
    <s v="H "/>
    <x v="1"/>
    <x v="25"/>
    <s v="PSES High Prog01Duty47 S275"/>
    <x v="0"/>
    <s v="47"/>
    <n v="47"/>
    <m/>
    <s v="   "/>
    <n v="0.75"/>
  </r>
  <r>
    <x v="142"/>
    <s v="Chehalis School District"/>
    <s v="Personnel"/>
    <s v="E "/>
    <x v="0"/>
    <x v="35"/>
    <s v="PSES Elem Prog21Duty48 S275"/>
    <x v="1"/>
    <s v="48"/>
    <n v="48"/>
    <m/>
    <s v="   "/>
    <n v="0.66"/>
  </r>
  <r>
    <x v="142"/>
    <s v="Chehalis School District"/>
    <s v="Personnel"/>
    <s v="H "/>
    <x v="1"/>
    <x v="36"/>
    <s v="PSES High Prog21Duty48 S275"/>
    <x v="1"/>
    <s v="48"/>
    <n v="48"/>
    <m/>
    <s v="   "/>
    <n v="0.19"/>
  </r>
  <r>
    <x v="143"/>
    <s v="White Pass School District"/>
    <s v="Personnel"/>
    <s v="E "/>
    <x v="0"/>
    <x v="3"/>
    <s v="PSES Elem Prog01Act25 S275"/>
    <x v="0"/>
    <s v="25"/>
    <m/>
    <n v="25"/>
    <s v="   "/>
    <n v="3.2370000000000001"/>
  </r>
  <r>
    <x v="143"/>
    <s v="White Pass School District"/>
    <s v="Personnel"/>
    <s v="H "/>
    <x v="1"/>
    <x v="5"/>
    <s v="PSES High Prog01Act25 S275"/>
    <x v="0"/>
    <s v="25"/>
    <m/>
    <n v="25"/>
    <s v="   "/>
    <n v="0.372"/>
  </r>
  <r>
    <x v="143"/>
    <s v="White Pass School District"/>
    <s v="Personnel"/>
    <s v="E "/>
    <x v="0"/>
    <x v="15"/>
    <s v="PSES Elem Prog01Duty42 S275"/>
    <x v="0"/>
    <s v="42"/>
    <n v="42"/>
    <m/>
    <s v="   "/>
    <n v="0.313"/>
  </r>
  <r>
    <x v="143"/>
    <s v="White Pass School District"/>
    <s v="Personnel"/>
    <s v="H "/>
    <x v="1"/>
    <x v="16"/>
    <s v="PSES High Prog01Duty42 S275"/>
    <x v="0"/>
    <s v="42"/>
    <n v="42"/>
    <m/>
    <s v="   "/>
    <n v="0.38700000000000001"/>
  </r>
  <r>
    <x v="143"/>
    <s v="White Pass School District"/>
    <s v="Personnel"/>
    <s v="E "/>
    <x v="0"/>
    <x v="27"/>
    <s v="PSES Elem Prog01Duty47 S275"/>
    <x v="0"/>
    <s v="47"/>
    <n v="47"/>
    <m/>
    <s v="   "/>
    <n v="0.23799999999999999"/>
  </r>
  <r>
    <x v="143"/>
    <s v="White Pass School District"/>
    <s v="Personnel"/>
    <s v="H "/>
    <x v="1"/>
    <x v="25"/>
    <s v="PSES High Prog01Duty47 S275"/>
    <x v="0"/>
    <s v="47"/>
    <n v="47"/>
    <m/>
    <s v="   "/>
    <n v="8.1000000000000003E-2"/>
  </r>
  <r>
    <x v="143"/>
    <s v="White Pass School District"/>
    <s v="Personnel"/>
    <s v="M "/>
    <x v="2"/>
    <x v="34"/>
    <s v="PSES Mid Prog01Duty47 S275"/>
    <x v="0"/>
    <s v="47"/>
    <n v="47"/>
    <m/>
    <s v="   "/>
    <n v="8.1000000000000003E-2"/>
  </r>
  <r>
    <x v="144"/>
    <s v="Centralia School District"/>
    <s v="Personnel"/>
    <s v="H "/>
    <x v="1"/>
    <x v="4"/>
    <s v="PSES High Prog21Act25 S275"/>
    <x v="1"/>
    <s v="25"/>
    <m/>
    <n v="25"/>
    <s v="   "/>
    <n v="3.2080000000000002"/>
  </r>
  <r>
    <x v="144"/>
    <s v="Centralia School District"/>
    <s v="Personnel"/>
    <s v="H "/>
    <x v="1"/>
    <x v="5"/>
    <s v="PSES High Prog01Act25 S275"/>
    <x v="0"/>
    <s v="25"/>
    <m/>
    <n v="25"/>
    <s v="   "/>
    <n v="0.75800000000000001"/>
  </r>
  <r>
    <x v="144"/>
    <s v="Centralia School District"/>
    <s v="Personnel"/>
    <s v="E "/>
    <x v="0"/>
    <x v="8"/>
    <s v="PSES Elem Prog01Act26 S275"/>
    <x v="0"/>
    <s v="26"/>
    <m/>
    <n v="26"/>
    <s v="   "/>
    <n v="1.389"/>
  </r>
  <r>
    <x v="144"/>
    <s v="Centralia School District"/>
    <s v="Personnel"/>
    <s v="H "/>
    <x v="1"/>
    <x v="29"/>
    <s v="PSES High Prog21Act26 S275"/>
    <x v="1"/>
    <s v="26"/>
    <m/>
    <n v="26"/>
    <s v="   "/>
    <n v="0.20499999999999999"/>
  </r>
  <r>
    <x v="144"/>
    <s v="Centralia School District"/>
    <s v="Personnel"/>
    <s v="H "/>
    <x v="1"/>
    <x v="9"/>
    <s v="PSES High Prog01Act26 S275"/>
    <x v="0"/>
    <s v="26"/>
    <m/>
    <n v="26"/>
    <s v="   "/>
    <n v="3.718"/>
  </r>
  <r>
    <x v="144"/>
    <s v="Centralia School District"/>
    <s v="Personnel"/>
    <s v="M "/>
    <x v="2"/>
    <x v="10"/>
    <s v="PSES Mid Prog21Act26 S275"/>
    <x v="1"/>
    <s v="26"/>
    <m/>
    <n v="26"/>
    <s v="   "/>
    <n v="0.36899999999999999"/>
  </r>
  <r>
    <x v="144"/>
    <s v="Centralia School District"/>
    <s v="Personnel"/>
    <s v="M "/>
    <x v="2"/>
    <x v="11"/>
    <s v="PSES Mid Prog01Act26 S275"/>
    <x v="0"/>
    <s v="26"/>
    <m/>
    <n v="26"/>
    <s v="   "/>
    <n v="0.752"/>
  </r>
  <r>
    <x v="144"/>
    <s v="Centralia School District"/>
    <s v="Personnel"/>
    <s v="E "/>
    <x v="0"/>
    <x v="15"/>
    <s v="PSES Elem Prog01Duty42 S275"/>
    <x v="0"/>
    <s v="42"/>
    <n v="42"/>
    <m/>
    <s v="   "/>
    <n v="5"/>
  </r>
  <r>
    <x v="144"/>
    <s v="Centralia School District"/>
    <s v="Personnel"/>
    <s v="H "/>
    <x v="1"/>
    <x v="16"/>
    <s v="PSES High Prog01Duty42 S275"/>
    <x v="0"/>
    <s v="42"/>
    <n v="42"/>
    <m/>
    <s v="   "/>
    <n v="3"/>
  </r>
  <r>
    <x v="144"/>
    <s v="Centralia School District"/>
    <s v="Personnel"/>
    <s v="M "/>
    <x v="2"/>
    <x v="17"/>
    <s v="PSES Mid Prog01Duty42 S275"/>
    <x v="0"/>
    <s v="42"/>
    <n v="42"/>
    <m/>
    <s v="   "/>
    <n v="1.5"/>
  </r>
  <r>
    <x v="144"/>
    <s v="Centralia School District"/>
    <s v="Personnel"/>
    <s v="E "/>
    <x v="0"/>
    <x v="18"/>
    <s v="PSES Elem Prog21Duty43 S275"/>
    <x v="1"/>
    <s v="43"/>
    <n v="43"/>
    <m/>
    <s v="   "/>
    <n v="1.5349999999999999"/>
  </r>
  <r>
    <x v="144"/>
    <s v="Centralia School District"/>
    <s v="Personnel"/>
    <s v="H "/>
    <x v="1"/>
    <x v="19"/>
    <s v="PSES High Prog21Duty43 S275"/>
    <x v="1"/>
    <s v="43"/>
    <n v="43"/>
    <m/>
    <s v="   "/>
    <n v="0.311"/>
  </r>
  <r>
    <x v="144"/>
    <s v="Centralia School District"/>
    <s v="Personnel"/>
    <s v="M "/>
    <x v="2"/>
    <x v="31"/>
    <s v="PSES Mid Prog21Duty43 S275"/>
    <x v="1"/>
    <s v="43"/>
    <n v="43"/>
    <m/>
    <s v="   "/>
    <n v="0.154"/>
  </r>
  <r>
    <x v="144"/>
    <s v="Centralia School District"/>
    <s v="Personnel"/>
    <s v="E "/>
    <x v="0"/>
    <x v="20"/>
    <s v="PSES Elem Prog21Duty45 S275"/>
    <x v="1"/>
    <s v="45"/>
    <n v="45"/>
    <m/>
    <s v="   "/>
    <n v="1.21"/>
  </r>
  <r>
    <x v="144"/>
    <s v="Centralia School District"/>
    <s v="Personnel"/>
    <s v="H "/>
    <x v="1"/>
    <x v="21"/>
    <s v="PSES High Prog21Duty45 S275"/>
    <x v="1"/>
    <s v="45"/>
    <n v="45"/>
    <m/>
    <s v="   "/>
    <n v="0.122"/>
  </r>
  <r>
    <x v="144"/>
    <s v="Centralia School District"/>
    <s v="Personnel"/>
    <s v="M "/>
    <x v="2"/>
    <x v="28"/>
    <s v="PSES Mid Prog21Duty45 S275"/>
    <x v="1"/>
    <s v="45"/>
    <n v="45"/>
    <m/>
    <s v="   "/>
    <n v="6.0999999999999999E-2"/>
  </r>
  <r>
    <x v="144"/>
    <s v="Centralia School District"/>
    <s v="Personnel"/>
    <s v="E "/>
    <x v="0"/>
    <x v="22"/>
    <s v="PSES Elem Prog21Duty46 S275"/>
    <x v="1"/>
    <s v="46"/>
    <n v="46"/>
    <m/>
    <s v="   "/>
    <n v="0.25"/>
  </r>
  <r>
    <x v="144"/>
    <s v="Centralia School District"/>
    <s v="Personnel"/>
    <s v="H "/>
    <x v="1"/>
    <x v="23"/>
    <s v="PSES High Prog21Duty46 S275"/>
    <x v="1"/>
    <s v="46"/>
    <n v="46"/>
    <m/>
    <s v="   "/>
    <n v="0.5"/>
  </r>
  <r>
    <x v="144"/>
    <s v="Centralia School District"/>
    <s v="Personnel"/>
    <s v="M "/>
    <x v="2"/>
    <x v="24"/>
    <s v="PSES Mid Prog21Duty46 S275"/>
    <x v="1"/>
    <s v="46"/>
    <n v="46"/>
    <m/>
    <s v="   "/>
    <n v="0.25"/>
  </r>
  <r>
    <x v="144"/>
    <s v="Centralia School District"/>
    <s v="Personnel"/>
    <s v="E "/>
    <x v="0"/>
    <x v="35"/>
    <s v="PSES Elem Prog21Duty48 S275"/>
    <x v="1"/>
    <s v="48"/>
    <n v="48"/>
    <m/>
    <s v="   "/>
    <n v="0.43"/>
  </r>
  <r>
    <x v="144"/>
    <s v="Centralia School District"/>
    <s v="Personnel"/>
    <s v="H "/>
    <x v="1"/>
    <x v="36"/>
    <s v="PSES High Prog21Duty48 S275"/>
    <x v="1"/>
    <s v="48"/>
    <n v="48"/>
    <m/>
    <s v="   "/>
    <n v="0.249"/>
  </r>
  <r>
    <x v="144"/>
    <s v="Centralia School District"/>
    <s v="Personnel"/>
    <s v="M "/>
    <x v="2"/>
    <x v="37"/>
    <s v="PSES Mid Prog21Duty48 S275"/>
    <x v="1"/>
    <s v="48"/>
    <n v="48"/>
    <m/>
    <s v="   "/>
    <n v="0.123"/>
  </r>
  <r>
    <x v="144"/>
    <s v="Centralia School District"/>
    <s v="Personnel"/>
    <s v="E "/>
    <x v="0"/>
    <x v="26"/>
    <s v="PSES Elem Prog21Duty49 S275"/>
    <x v="1"/>
    <s v="49"/>
    <n v="49"/>
    <m/>
    <s v="   "/>
    <n v="0.53500000000000003"/>
  </r>
  <r>
    <x v="144"/>
    <s v="Centralia School District"/>
    <s v="Personnel"/>
    <s v="H "/>
    <x v="1"/>
    <x v="55"/>
    <s v="PSES High Prog21Duty49 S275"/>
    <x v="1"/>
    <s v="49"/>
    <n v="49"/>
    <m/>
    <s v="   "/>
    <n v="0.311"/>
  </r>
  <r>
    <x v="144"/>
    <s v="Centralia School District"/>
    <s v="Personnel"/>
    <s v="M "/>
    <x v="2"/>
    <x v="50"/>
    <s v="PSES Mid Prog21Duty49 S275"/>
    <x v="1"/>
    <s v="49"/>
    <n v="49"/>
    <m/>
    <s v="   "/>
    <n v="0.154"/>
  </r>
  <r>
    <x v="145"/>
    <s v="Sprague School District"/>
    <s v="Personnel"/>
    <s v="E "/>
    <x v="0"/>
    <x v="3"/>
    <s v="PSES Elem Prog01Act25 S275"/>
    <x v="0"/>
    <s v="25"/>
    <m/>
    <n v="25"/>
    <s v="   "/>
    <n v="0.33500000000000002"/>
  </r>
  <r>
    <x v="145"/>
    <s v="Sprague School District"/>
    <s v="Personnel"/>
    <s v="E "/>
    <x v="0"/>
    <x v="15"/>
    <s v="PSES Elem Prog01Duty42 S275"/>
    <x v="0"/>
    <s v="42"/>
    <n v="42"/>
    <m/>
    <s v="   "/>
    <n v="0.5"/>
  </r>
  <r>
    <x v="145"/>
    <s v="Sprague School District"/>
    <s v="Personnel"/>
    <s v="H "/>
    <x v="1"/>
    <x v="16"/>
    <s v="PSES High Prog01Duty42 S275"/>
    <x v="0"/>
    <s v="42"/>
    <n v="42"/>
    <m/>
    <s v="   "/>
    <n v="0.5"/>
  </r>
  <r>
    <x v="146"/>
    <s v="Reardan-Edwall School District"/>
    <s v="Personnel"/>
    <s v="E "/>
    <x v="0"/>
    <x v="3"/>
    <s v="PSES Elem Prog01Act25 S275"/>
    <x v="0"/>
    <s v="25"/>
    <m/>
    <n v="25"/>
    <s v="   "/>
    <n v="0.24299999999999999"/>
  </r>
  <r>
    <x v="146"/>
    <s v="Reardan-Edwall School District"/>
    <s v="Personnel"/>
    <s v="H "/>
    <x v="1"/>
    <x v="5"/>
    <s v="PSES High Prog01Act25 S275"/>
    <x v="0"/>
    <s v="25"/>
    <m/>
    <n v="25"/>
    <s v="   "/>
    <n v="0.40400000000000003"/>
  </r>
  <r>
    <x v="146"/>
    <s v="Reardan-Edwall School District"/>
    <s v="Personnel"/>
    <s v="M "/>
    <x v="2"/>
    <x v="6"/>
    <s v="PSES Mid Prog01Act25 S275"/>
    <x v="0"/>
    <s v="25"/>
    <m/>
    <n v="25"/>
    <s v="   "/>
    <n v="0.161"/>
  </r>
  <r>
    <x v="146"/>
    <s v="Reardan-Edwall School District"/>
    <s v="Personnel"/>
    <s v="H "/>
    <x v="1"/>
    <x v="9"/>
    <s v="PSES High Prog01Act26 S275"/>
    <x v="0"/>
    <s v="26"/>
    <m/>
    <n v="26"/>
    <s v="   "/>
    <n v="0.39800000000000002"/>
  </r>
  <r>
    <x v="146"/>
    <s v="Reardan-Edwall School District"/>
    <s v="Personnel"/>
    <s v="E "/>
    <x v="0"/>
    <x v="15"/>
    <s v="PSES Elem Prog01Duty42 S275"/>
    <x v="0"/>
    <s v="42"/>
    <n v="42"/>
    <m/>
    <s v="   "/>
    <n v="0.8"/>
  </r>
  <r>
    <x v="146"/>
    <s v="Reardan-Edwall School District"/>
    <s v="Personnel"/>
    <s v="H "/>
    <x v="1"/>
    <x v="16"/>
    <s v="PSES High Prog01Duty42 S275"/>
    <x v="0"/>
    <s v="42"/>
    <n v="42"/>
    <m/>
    <s v="   "/>
    <n v="0.75"/>
  </r>
  <r>
    <x v="147"/>
    <s v="Almira School District"/>
    <s v="Personnel"/>
    <s v="H "/>
    <x v="1"/>
    <x v="5"/>
    <s v="PSES High Prog01Act25 S275"/>
    <x v="0"/>
    <s v="25"/>
    <m/>
    <n v="25"/>
    <s v="   "/>
    <n v="0.14399999999999999"/>
  </r>
  <r>
    <x v="147"/>
    <s v="Almira School District"/>
    <s v="Personnel"/>
    <s v="E "/>
    <x v="0"/>
    <x v="15"/>
    <s v="PSES Elem Prog01Duty42 S275"/>
    <x v="0"/>
    <s v="42"/>
    <n v="42"/>
    <m/>
    <s v="   "/>
    <n v="0.48299999999999998"/>
  </r>
  <r>
    <x v="147"/>
    <s v="Almira School District"/>
    <s v="Personnel"/>
    <s v="M "/>
    <x v="2"/>
    <x v="17"/>
    <s v="PSES Mid Prog01Duty42 S275"/>
    <x v="0"/>
    <s v="42"/>
    <n v="42"/>
    <m/>
    <s v="   "/>
    <n v="0.14399999999999999"/>
  </r>
  <r>
    <x v="148"/>
    <s v="Odessa School District"/>
    <s v="Personnel"/>
    <s v="E "/>
    <x v="0"/>
    <x v="3"/>
    <s v="PSES Elem Prog01Act25 S275"/>
    <x v="0"/>
    <s v="25"/>
    <m/>
    <n v="25"/>
    <s v="   "/>
    <n v="0.22"/>
  </r>
  <r>
    <x v="148"/>
    <s v="Odessa School District"/>
    <s v="Personnel"/>
    <s v="H "/>
    <x v="1"/>
    <x v="5"/>
    <s v="PSES High Prog01Act25 S275"/>
    <x v="0"/>
    <s v="25"/>
    <m/>
    <n v="25"/>
    <s v="   "/>
    <n v="0.61099999999999999"/>
  </r>
  <r>
    <x v="148"/>
    <s v="Odessa School District"/>
    <s v="Personnel"/>
    <s v="E "/>
    <x v="0"/>
    <x v="15"/>
    <s v="PSES Elem Prog01Duty42 S275"/>
    <x v="0"/>
    <s v="42"/>
    <n v="42"/>
    <m/>
    <s v="   "/>
    <n v="0.497"/>
  </r>
  <r>
    <x v="148"/>
    <s v="Odessa School District"/>
    <s v="Personnel"/>
    <s v="H "/>
    <x v="1"/>
    <x v="16"/>
    <s v="PSES High Prog01Duty42 S275"/>
    <x v="0"/>
    <s v="42"/>
    <n v="42"/>
    <m/>
    <s v="   "/>
    <n v="0.33100000000000002"/>
  </r>
  <r>
    <x v="148"/>
    <s v="Odessa School District"/>
    <s v="Personnel"/>
    <s v="M "/>
    <x v="2"/>
    <x v="17"/>
    <s v="PSES Mid Prog01Duty42 S275"/>
    <x v="0"/>
    <s v="42"/>
    <n v="42"/>
    <m/>
    <s v="   "/>
    <n v="0.16500000000000001"/>
  </r>
  <r>
    <x v="149"/>
    <s v="Wilbur School District"/>
    <s v="Personnel"/>
    <s v="E "/>
    <x v="0"/>
    <x v="8"/>
    <s v="PSES Elem Prog01Act26 S275"/>
    <x v="0"/>
    <s v="26"/>
    <m/>
    <n v="26"/>
    <s v="   "/>
    <n v="0.33900000000000002"/>
  </r>
  <r>
    <x v="149"/>
    <s v="Wilbur School District"/>
    <s v="Personnel"/>
    <s v="H "/>
    <x v="1"/>
    <x v="9"/>
    <s v="PSES High Prog01Act26 S275"/>
    <x v="0"/>
    <s v="26"/>
    <m/>
    <n v="26"/>
    <s v="   "/>
    <n v="0.33900000000000002"/>
  </r>
  <r>
    <x v="149"/>
    <s v="Wilbur School District"/>
    <s v="Personnel"/>
    <s v="T"/>
    <x v="0"/>
    <x v="84"/>
    <s v="PSES Elem Prog09Duty26 S275"/>
    <x v="3"/>
    <s v="26"/>
    <n v="91"/>
    <n v="26"/>
    <m/>
    <n v="1.4E-2"/>
  </r>
  <r>
    <x v="150"/>
    <s v="Harrington School District"/>
    <s v="Personnel"/>
    <s v="E "/>
    <x v="0"/>
    <x v="3"/>
    <s v="PSES Elem Prog01Act25 S275"/>
    <x v="0"/>
    <s v="25"/>
    <m/>
    <n v="25"/>
    <s v="   "/>
    <n v="4.2000000000000003E-2"/>
  </r>
  <r>
    <x v="150"/>
    <s v="Harrington School District"/>
    <s v="Personnel"/>
    <s v="E "/>
    <x v="0"/>
    <x v="15"/>
    <s v="PSES Elem Prog01Duty42 S275"/>
    <x v="0"/>
    <s v="42"/>
    <n v="42"/>
    <m/>
    <s v="   "/>
    <n v="0.5"/>
  </r>
  <r>
    <x v="150"/>
    <s v="Harrington School District"/>
    <s v="Personnel"/>
    <s v="H "/>
    <x v="1"/>
    <x v="16"/>
    <s v="PSES High Prog01Duty42 S275"/>
    <x v="0"/>
    <s v="42"/>
    <n v="42"/>
    <m/>
    <s v="   "/>
    <n v="0.5"/>
  </r>
  <r>
    <x v="150"/>
    <s v="Harrington School District"/>
    <s v="Personnel"/>
    <s v="E "/>
    <x v="0"/>
    <x v="20"/>
    <s v="PSES Elem Prog21Duty45 S275"/>
    <x v="1"/>
    <s v="45"/>
    <n v="45"/>
    <m/>
    <s v="   "/>
    <n v="0.5"/>
  </r>
  <r>
    <x v="150"/>
    <s v="Harrington School District"/>
    <s v="Personnel"/>
    <s v="H "/>
    <x v="1"/>
    <x v="21"/>
    <s v="PSES High Prog21Duty45 S275"/>
    <x v="1"/>
    <s v="45"/>
    <n v="45"/>
    <m/>
    <s v="   "/>
    <n v="0.5"/>
  </r>
  <r>
    <x v="151"/>
    <s v="Davenport School District"/>
    <s v="Personnel"/>
    <s v="H "/>
    <x v="1"/>
    <x v="5"/>
    <s v="PSES High Prog01Act25 S275"/>
    <x v="0"/>
    <s v="25"/>
    <m/>
    <n v="25"/>
    <s v="   "/>
    <n v="0.72699999999999998"/>
  </r>
  <r>
    <x v="151"/>
    <s v="Davenport School District"/>
    <s v="Personnel"/>
    <s v="E "/>
    <x v="0"/>
    <x v="7"/>
    <s v="PSES Elem Prog21Act26 S275"/>
    <x v="1"/>
    <s v="26"/>
    <m/>
    <n v="26"/>
    <s v="   "/>
    <n v="1.411"/>
  </r>
  <r>
    <x v="151"/>
    <s v="Davenport School District"/>
    <s v="Personnel"/>
    <s v="H "/>
    <x v="1"/>
    <x v="29"/>
    <s v="PSES High Prog21Act26 S275"/>
    <x v="1"/>
    <s v="26"/>
    <m/>
    <n v="26"/>
    <s v="   "/>
    <n v="0.224"/>
  </r>
  <r>
    <x v="151"/>
    <s v="Davenport School District"/>
    <s v="Personnel"/>
    <s v="H "/>
    <x v="1"/>
    <x v="16"/>
    <s v="PSES High Prog01Duty42 S275"/>
    <x v="0"/>
    <s v="42"/>
    <n v="42"/>
    <m/>
    <s v="   "/>
    <n v="0.74"/>
  </r>
  <r>
    <x v="151"/>
    <s v="Davenport School District"/>
    <s v="Personnel"/>
    <s v="E "/>
    <x v="0"/>
    <x v="18"/>
    <s v="PSES Elem Prog21Duty43 S275"/>
    <x v="1"/>
    <s v="43"/>
    <n v="43"/>
    <m/>
    <s v="   "/>
    <n v="1"/>
  </r>
  <r>
    <x v="151"/>
    <s v="Davenport School District"/>
    <s v="Personnel"/>
    <s v="E "/>
    <x v="0"/>
    <x v="20"/>
    <s v="PSES Elem Prog21Duty45 S275"/>
    <x v="1"/>
    <s v="45"/>
    <n v="45"/>
    <m/>
    <s v="   "/>
    <n v="0.4"/>
  </r>
  <r>
    <x v="151"/>
    <s v="Davenport School District"/>
    <s v="Personnel"/>
    <s v="E "/>
    <x v="0"/>
    <x v="27"/>
    <s v="PSES Elem Prog01Duty47 S275"/>
    <x v="0"/>
    <s v="47"/>
    <n v="47"/>
    <m/>
    <s v="   "/>
    <n v="1"/>
  </r>
  <r>
    <x v="152"/>
    <s v="Southside School District"/>
    <s v="Personnel"/>
    <s v="H "/>
    <x v="1"/>
    <x v="9"/>
    <s v="PSES High Prog01Act26 S275"/>
    <x v="0"/>
    <s v="26"/>
    <m/>
    <n v="26"/>
    <s v="   "/>
    <n v="0.17599999999999999"/>
  </r>
  <r>
    <x v="152"/>
    <s v="Southside School District"/>
    <s v="Personnel"/>
    <s v="E "/>
    <x v="0"/>
    <x v="15"/>
    <s v="PSES Elem Prog01Duty42 S275"/>
    <x v="0"/>
    <s v="42"/>
    <n v="42"/>
    <m/>
    <s v="   "/>
    <n v="0.26600000000000001"/>
  </r>
  <r>
    <x v="153"/>
    <s v="Grapeview School District"/>
    <s v="Personnel"/>
    <s v="H "/>
    <x v="1"/>
    <x v="5"/>
    <s v="PSES High Prog01Act25 S275"/>
    <x v="0"/>
    <s v="25"/>
    <m/>
    <n v="25"/>
    <s v="   "/>
    <n v="0.52800000000000002"/>
  </r>
  <r>
    <x v="153"/>
    <s v="Grapeview School District"/>
    <s v="Personnel"/>
    <s v="M "/>
    <x v="2"/>
    <x v="17"/>
    <s v="PSES Mid Prog01Duty42 S275"/>
    <x v="0"/>
    <s v="42"/>
    <n v="42"/>
    <m/>
    <s v="   "/>
    <n v="0.217"/>
  </r>
  <r>
    <x v="153"/>
    <s v="Grapeview School District"/>
    <s v="Personnel"/>
    <m/>
    <x v="0"/>
    <x v="66"/>
    <s v="PSES Elem Prog09Duty25 S275"/>
    <x v="3"/>
    <s v="25"/>
    <n v="91"/>
    <n v="25"/>
    <m/>
    <n v="0.187"/>
  </r>
  <r>
    <x v="154"/>
    <s v="Shelton School District"/>
    <s v="Personnel"/>
    <s v="H "/>
    <x v="1"/>
    <x v="53"/>
    <s v="PSES High Prog97Act25 S275"/>
    <x v="2"/>
    <s v="25"/>
    <m/>
    <n v="25"/>
    <s v="   "/>
    <n v="1.681"/>
  </r>
  <r>
    <x v="154"/>
    <s v="Shelton School District"/>
    <s v="Personnel"/>
    <s v="H "/>
    <x v="1"/>
    <x v="5"/>
    <s v="PSES High Prog01Act25 S275"/>
    <x v="0"/>
    <s v="25"/>
    <m/>
    <n v="25"/>
    <s v="   "/>
    <n v="6.0590000000000002"/>
  </r>
  <r>
    <x v="154"/>
    <s v="Shelton School District"/>
    <s v="Personnel"/>
    <s v="E "/>
    <x v="0"/>
    <x v="8"/>
    <s v="PSES Elem Prog01Act26 S275"/>
    <x v="0"/>
    <s v="26"/>
    <m/>
    <n v="26"/>
    <s v="   "/>
    <n v="0.63600000000000001"/>
  </r>
  <r>
    <x v="154"/>
    <s v="Shelton School District"/>
    <s v="Personnel"/>
    <s v="H "/>
    <x v="1"/>
    <x v="29"/>
    <s v="PSES High Prog21Act26 S275"/>
    <x v="1"/>
    <s v="26"/>
    <m/>
    <n v="26"/>
    <s v="   "/>
    <n v="0.93300000000000005"/>
  </r>
  <r>
    <x v="154"/>
    <s v="Shelton School District"/>
    <s v="Personnel"/>
    <s v="H "/>
    <x v="1"/>
    <x v="9"/>
    <s v="PSES High Prog01Act26 S275"/>
    <x v="0"/>
    <s v="26"/>
    <m/>
    <n v="26"/>
    <s v="   "/>
    <n v="2.7709999999999999"/>
  </r>
  <r>
    <x v="154"/>
    <s v="Shelton School District"/>
    <s v="Personnel"/>
    <s v="M "/>
    <x v="2"/>
    <x v="11"/>
    <s v="PSES Mid Prog01Act26 S275"/>
    <x v="0"/>
    <s v="26"/>
    <m/>
    <n v="26"/>
    <s v="   "/>
    <n v="0.63600000000000001"/>
  </r>
  <r>
    <x v="154"/>
    <s v="Shelton School District"/>
    <s v="Personnel"/>
    <s v="E "/>
    <x v="0"/>
    <x v="15"/>
    <s v="PSES Elem Prog01Duty42 S275"/>
    <x v="0"/>
    <s v="42"/>
    <n v="42"/>
    <m/>
    <s v="   "/>
    <n v="4.5"/>
  </r>
  <r>
    <x v="154"/>
    <s v="Shelton School District"/>
    <s v="Personnel"/>
    <s v="H "/>
    <x v="1"/>
    <x v="16"/>
    <s v="PSES High Prog01Duty42 S275"/>
    <x v="0"/>
    <s v="42"/>
    <n v="42"/>
    <m/>
    <s v="   "/>
    <n v="4.55"/>
  </r>
  <r>
    <x v="154"/>
    <s v="Shelton School District"/>
    <s v="Personnel"/>
    <s v="M "/>
    <x v="2"/>
    <x v="17"/>
    <s v="PSES Mid Prog01Duty42 S275"/>
    <x v="0"/>
    <s v="42"/>
    <n v="42"/>
    <m/>
    <s v="   "/>
    <n v="1.6"/>
  </r>
  <r>
    <x v="154"/>
    <s v="Shelton School District"/>
    <s v="Personnel"/>
    <s v="E "/>
    <x v="0"/>
    <x v="18"/>
    <s v="PSES Elem Prog21Duty43 S275"/>
    <x v="1"/>
    <s v="43"/>
    <n v="43"/>
    <m/>
    <s v="   "/>
    <n v="0.51"/>
  </r>
  <r>
    <x v="154"/>
    <s v="Shelton School District"/>
    <s v="Personnel"/>
    <s v="H "/>
    <x v="1"/>
    <x v="44"/>
    <s v="PSES High Prog01Duty44 S275"/>
    <x v="0"/>
    <s v="44"/>
    <n v="44"/>
    <m/>
    <s v="   "/>
    <n v="1"/>
  </r>
  <r>
    <x v="154"/>
    <s v="Shelton School District"/>
    <s v="Personnel"/>
    <s v="E "/>
    <x v="0"/>
    <x v="20"/>
    <s v="PSES Elem Prog21Duty45 S275"/>
    <x v="1"/>
    <s v="45"/>
    <n v="45"/>
    <m/>
    <s v="   "/>
    <n v="2.65"/>
  </r>
  <r>
    <x v="154"/>
    <s v="Shelton School District"/>
    <s v="Personnel"/>
    <s v="H "/>
    <x v="1"/>
    <x v="21"/>
    <s v="PSES High Prog21Duty45 S275"/>
    <x v="1"/>
    <s v="45"/>
    <n v="45"/>
    <m/>
    <s v="   "/>
    <n v="0.75"/>
  </r>
  <r>
    <x v="154"/>
    <s v="Shelton School District"/>
    <s v="Personnel"/>
    <s v="M "/>
    <x v="2"/>
    <x v="28"/>
    <s v="PSES Mid Prog21Duty45 S275"/>
    <x v="1"/>
    <s v="45"/>
    <n v="45"/>
    <m/>
    <s v="   "/>
    <n v="0.02"/>
  </r>
  <r>
    <x v="154"/>
    <s v="Shelton School District"/>
    <s v="Personnel"/>
    <s v="E "/>
    <x v="0"/>
    <x v="22"/>
    <s v="PSES Elem Prog21Duty46 S275"/>
    <x v="1"/>
    <s v="46"/>
    <n v="46"/>
    <m/>
    <s v="   "/>
    <n v="1.1259999999999999"/>
  </r>
  <r>
    <x v="154"/>
    <s v="Shelton School District"/>
    <s v="Personnel"/>
    <s v="H "/>
    <x v="1"/>
    <x v="23"/>
    <s v="PSES High Prog21Duty46 S275"/>
    <x v="1"/>
    <s v="46"/>
    <n v="46"/>
    <m/>
    <s v="   "/>
    <n v="0.94799999999999995"/>
  </r>
  <r>
    <x v="154"/>
    <s v="Shelton School District"/>
    <s v="Personnel"/>
    <s v="M "/>
    <x v="2"/>
    <x v="24"/>
    <s v="PSES Mid Prog21Duty46 S275"/>
    <x v="1"/>
    <s v="46"/>
    <n v="46"/>
    <m/>
    <s v="   "/>
    <n v="3.5999999999999997E-2"/>
  </r>
  <r>
    <x v="154"/>
    <s v="Shelton School District"/>
    <s v="Personnel"/>
    <s v="E "/>
    <x v="0"/>
    <x v="27"/>
    <s v="PSES Elem Prog01Duty47 S275"/>
    <x v="0"/>
    <s v="47"/>
    <n v="47"/>
    <m/>
    <s v="   "/>
    <n v="1"/>
  </r>
  <r>
    <x v="154"/>
    <s v="Shelton School District"/>
    <s v="Personnel"/>
    <s v="H "/>
    <x v="1"/>
    <x v="25"/>
    <s v="PSES High Prog01Duty47 S275"/>
    <x v="0"/>
    <s v="47"/>
    <n v="47"/>
    <m/>
    <s v="   "/>
    <n v="2.5"/>
  </r>
  <r>
    <x v="154"/>
    <s v="Shelton School District"/>
    <s v="Personnel"/>
    <s v="M "/>
    <x v="2"/>
    <x v="34"/>
    <s v="PSES Mid Prog01Duty47 S275"/>
    <x v="0"/>
    <s v="47"/>
    <n v="47"/>
    <m/>
    <s v="   "/>
    <n v="0.5"/>
  </r>
  <r>
    <x v="154"/>
    <s v="Shelton School District"/>
    <s v="Personnel"/>
    <s v="E "/>
    <x v="0"/>
    <x v="35"/>
    <s v="PSES Elem Prog21Duty48 S275"/>
    <x v="1"/>
    <s v="48"/>
    <n v="48"/>
    <m/>
    <s v="   "/>
    <n v="0.42"/>
  </r>
  <r>
    <x v="154"/>
    <s v="Shelton School District"/>
    <s v="Personnel"/>
    <s v="H "/>
    <x v="1"/>
    <x v="36"/>
    <s v="PSES High Prog21Duty48 S275"/>
    <x v="1"/>
    <s v="48"/>
    <n v="48"/>
    <m/>
    <s v="   "/>
    <n v="0.08"/>
  </r>
  <r>
    <x v="154"/>
    <s v="Shelton School District"/>
    <s v="Personnel"/>
    <s v="M "/>
    <x v="2"/>
    <x v="37"/>
    <s v="PSES Mid Prog21Duty48 S275"/>
    <x v="1"/>
    <s v="48"/>
    <n v="48"/>
    <m/>
    <s v="   "/>
    <n v="0.22"/>
  </r>
  <r>
    <x v="155"/>
    <s v="Mary M Knight School District"/>
    <s v="Personnel"/>
    <s v="H "/>
    <x v="1"/>
    <x v="5"/>
    <s v="PSES High Prog01Act25 S275"/>
    <x v="0"/>
    <s v="25"/>
    <m/>
    <n v="25"/>
    <s v="   "/>
    <n v="0.58699999999999997"/>
  </r>
  <r>
    <x v="155"/>
    <s v="Mary M Knight School District"/>
    <s v="Personnel"/>
    <s v="H "/>
    <x v="1"/>
    <x v="9"/>
    <s v="PSES High Prog01Act26 S275"/>
    <x v="0"/>
    <s v="26"/>
    <m/>
    <n v="26"/>
    <s v="   "/>
    <n v="0.16400000000000001"/>
  </r>
  <r>
    <x v="156"/>
    <s v="Pioneer School District"/>
    <s v="Personnel"/>
    <s v="E "/>
    <x v="0"/>
    <x v="67"/>
    <s v="PSES Elem Prog21Act25 S275"/>
    <x v="1"/>
    <s v="25"/>
    <m/>
    <n v="25"/>
    <s v="   "/>
    <n v="0.58499999999999996"/>
  </r>
  <r>
    <x v="156"/>
    <s v="Pioneer School District"/>
    <s v="Personnel"/>
    <s v="E "/>
    <x v="0"/>
    <x v="3"/>
    <s v="PSES Elem Prog01Act25 S275"/>
    <x v="0"/>
    <s v="25"/>
    <m/>
    <n v="25"/>
    <s v="   "/>
    <n v="0.112"/>
  </r>
  <r>
    <x v="156"/>
    <s v="Pioneer School District"/>
    <s v="Personnel"/>
    <s v="H "/>
    <x v="1"/>
    <x v="5"/>
    <s v="PSES High Prog01Act25 S275"/>
    <x v="0"/>
    <s v="25"/>
    <m/>
    <n v="25"/>
    <s v="   "/>
    <n v="5.8999999999999997E-2"/>
  </r>
  <r>
    <x v="156"/>
    <s v="Pioneer School District"/>
    <s v="Personnel"/>
    <s v="E "/>
    <x v="0"/>
    <x v="15"/>
    <s v="PSES Elem Prog01Duty42 S275"/>
    <x v="0"/>
    <s v="42"/>
    <n v="42"/>
    <m/>
    <s v="   "/>
    <n v="1.34"/>
  </r>
  <r>
    <x v="156"/>
    <s v="Pioneer School District"/>
    <s v="Personnel"/>
    <s v="M "/>
    <x v="2"/>
    <x v="17"/>
    <s v="PSES Mid Prog01Duty42 S275"/>
    <x v="0"/>
    <s v="42"/>
    <n v="42"/>
    <m/>
    <s v="   "/>
    <n v="0.66"/>
  </r>
  <r>
    <x v="157"/>
    <s v="North Mason School District"/>
    <s v="Personnel"/>
    <s v="H "/>
    <x v="1"/>
    <x v="5"/>
    <s v="PSES High Prog01Act25 S275"/>
    <x v="0"/>
    <s v="25"/>
    <m/>
    <n v="25"/>
    <s v="   "/>
    <n v="2.0139999999999998"/>
  </r>
  <r>
    <x v="157"/>
    <s v="North Mason School District"/>
    <s v="Personnel"/>
    <s v="H "/>
    <x v="1"/>
    <x v="54"/>
    <s v="PSES High Prog01Act35 S275"/>
    <x v="0"/>
    <s v="35"/>
    <m/>
    <n v="35"/>
    <s v="   "/>
    <n v="2.0939999999999999"/>
  </r>
  <r>
    <x v="157"/>
    <s v="North Mason School District"/>
    <s v="Personnel"/>
    <s v="E "/>
    <x v="0"/>
    <x v="15"/>
    <s v="PSES Elem Prog01Duty42 S275"/>
    <x v="0"/>
    <s v="42"/>
    <n v="42"/>
    <m/>
    <s v="   "/>
    <n v="3.6619999999999999"/>
  </r>
  <r>
    <x v="157"/>
    <s v="North Mason School District"/>
    <s v="Personnel"/>
    <s v="H "/>
    <x v="1"/>
    <x v="16"/>
    <s v="PSES High Prog01Duty42 S275"/>
    <x v="0"/>
    <s v="42"/>
    <n v="42"/>
    <m/>
    <s v="   "/>
    <n v="2"/>
  </r>
  <r>
    <x v="157"/>
    <s v="North Mason School District"/>
    <s v="Personnel"/>
    <s v="M "/>
    <x v="2"/>
    <x v="17"/>
    <s v="PSES Mid Prog01Duty42 S275"/>
    <x v="0"/>
    <s v="42"/>
    <n v="42"/>
    <m/>
    <s v="   "/>
    <n v="1.3380000000000001"/>
  </r>
  <r>
    <x v="157"/>
    <s v="North Mason School District"/>
    <s v="Personnel"/>
    <s v="E "/>
    <x v="0"/>
    <x v="18"/>
    <s v="PSES Elem Prog21Duty43 S275"/>
    <x v="1"/>
    <s v="43"/>
    <n v="43"/>
    <m/>
    <s v="   "/>
    <n v="0.59599999999999997"/>
  </r>
  <r>
    <x v="157"/>
    <s v="North Mason School District"/>
    <s v="Personnel"/>
    <s v="H "/>
    <x v="1"/>
    <x v="19"/>
    <s v="PSES High Prog21Duty43 S275"/>
    <x v="1"/>
    <s v="43"/>
    <n v="43"/>
    <m/>
    <s v="   "/>
    <n v="0.27800000000000002"/>
  </r>
  <r>
    <x v="157"/>
    <s v="North Mason School District"/>
    <s v="Personnel"/>
    <s v="M "/>
    <x v="2"/>
    <x v="31"/>
    <s v="PSES Mid Prog21Duty43 S275"/>
    <x v="1"/>
    <s v="43"/>
    <n v="43"/>
    <m/>
    <s v="   "/>
    <n v="6.2E-2"/>
  </r>
  <r>
    <x v="157"/>
    <s v="North Mason School District"/>
    <s v="Personnel"/>
    <s v="E "/>
    <x v="0"/>
    <x v="20"/>
    <s v="PSES Elem Prog21Duty45 S275"/>
    <x v="1"/>
    <s v="45"/>
    <n v="45"/>
    <m/>
    <s v="   "/>
    <n v="1.6E-2"/>
  </r>
  <r>
    <x v="158"/>
    <s v="Hood Canal School District"/>
    <s v="Personnel"/>
    <s v="H "/>
    <x v="1"/>
    <x v="5"/>
    <s v="PSES High Prog01Act25 S275"/>
    <x v="0"/>
    <s v="25"/>
    <m/>
    <n v="25"/>
    <s v="   "/>
    <n v="0.51"/>
  </r>
  <r>
    <x v="158"/>
    <s v="Hood Canal School District"/>
    <s v="Personnel"/>
    <s v="E "/>
    <x v="0"/>
    <x v="15"/>
    <s v="PSES Elem Prog01Duty42 S275"/>
    <x v="0"/>
    <s v="42"/>
    <n v="42"/>
    <m/>
    <s v="   "/>
    <n v="0.77800000000000002"/>
  </r>
  <r>
    <x v="158"/>
    <s v="Hood Canal School District"/>
    <s v="Personnel"/>
    <s v="M "/>
    <x v="2"/>
    <x v="17"/>
    <s v="PSES Mid Prog01Duty42 S275"/>
    <x v="0"/>
    <s v="42"/>
    <n v="42"/>
    <m/>
    <s v="   "/>
    <n v="0.222"/>
  </r>
  <r>
    <x v="158"/>
    <s v="Hood Canal School District"/>
    <s v="Personnel"/>
    <s v="E "/>
    <x v="0"/>
    <x v="27"/>
    <s v="PSES Elem Prog01Duty47 S275"/>
    <x v="0"/>
    <s v="47"/>
    <n v="47"/>
    <m/>
    <s v="   "/>
    <n v="0.312"/>
  </r>
  <r>
    <x v="158"/>
    <s v="Hood Canal School District"/>
    <s v="Personnel"/>
    <s v="M "/>
    <x v="2"/>
    <x v="34"/>
    <s v="PSES Mid Prog01Duty47 S275"/>
    <x v="0"/>
    <s v="47"/>
    <n v="47"/>
    <m/>
    <s v="   "/>
    <n v="8.7999999999999995E-2"/>
  </r>
  <r>
    <x v="159"/>
    <s v="Nespelem School District  "/>
    <s v="Personnel"/>
    <s v="H "/>
    <x v="1"/>
    <x v="5"/>
    <s v="PSES High Prog01Act25 S275"/>
    <x v="0"/>
    <s v="25"/>
    <m/>
    <n v="25"/>
    <s v="   "/>
    <n v="0.20200000000000001"/>
  </r>
  <r>
    <x v="159"/>
    <s v="Nespelem School District  "/>
    <s v="Personnel"/>
    <s v="H "/>
    <x v="1"/>
    <x v="9"/>
    <s v="PSES High Prog01Act26 S275"/>
    <x v="0"/>
    <s v="26"/>
    <m/>
    <n v="26"/>
    <s v="   "/>
    <n v="0.74"/>
  </r>
  <r>
    <x v="159"/>
    <s v="Nespelem School District  "/>
    <s v="Personnel"/>
    <s v="E "/>
    <x v="0"/>
    <x v="15"/>
    <s v="PSES Elem Prog01Duty42 S275"/>
    <x v="0"/>
    <s v="42"/>
    <n v="42"/>
    <m/>
    <s v="   "/>
    <n v="0.39500000000000002"/>
  </r>
  <r>
    <x v="159"/>
    <s v="Nespelem School District  "/>
    <s v="Personnel"/>
    <s v="H "/>
    <x v="1"/>
    <x v="16"/>
    <s v="PSES High Prog01Duty42 S275"/>
    <x v="0"/>
    <s v="42"/>
    <n v="42"/>
    <m/>
    <s v="   "/>
    <n v="0.03"/>
  </r>
  <r>
    <x v="159"/>
    <s v="Nespelem School District  "/>
    <s v="Personnel"/>
    <s v="M "/>
    <x v="2"/>
    <x v="17"/>
    <s v="PSES Mid Prog01Duty42 S275"/>
    <x v="0"/>
    <s v="42"/>
    <n v="42"/>
    <m/>
    <s v="   "/>
    <n v="7.4999999999999997E-2"/>
  </r>
  <r>
    <x v="160"/>
    <s v="Omak School District"/>
    <s v="Personnel"/>
    <s v="H "/>
    <x v="1"/>
    <x v="5"/>
    <s v="PSES High Prog01Act25 S275"/>
    <x v="0"/>
    <s v="25"/>
    <m/>
    <n v="25"/>
    <s v="   "/>
    <n v="0.71599999999999997"/>
  </r>
  <r>
    <x v="160"/>
    <s v="Omak School District"/>
    <s v="Personnel"/>
    <s v="H "/>
    <x v="1"/>
    <x v="9"/>
    <s v="PSES High Prog01Act26 S275"/>
    <x v="0"/>
    <s v="26"/>
    <m/>
    <n v="26"/>
    <s v="   "/>
    <n v="0.71499999999999997"/>
  </r>
  <r>
    <x v="160"/>
    <s v="Omak School District"/>
    <s v="Personnel"/>
    <s v="E "/>
    <x v="0"/>
    <x v="15"/>
    <s v="PSES Elem Prog01Duty42 S275"/>
    <x v="0"/>
    <s v="42"/>
    <n v="42"/>
    <m/>
    <s v="   "/>
    <n v="2.3330000000000002"/>
  </r>
  <r>
    <x v="160"/>
    <s v="Omak School District"/>
    <s v="Personnel"/>
    <s v="H "/>
    <x v="1"/>
    <x v="77"/>
    <s v="PSES High Prog21Duty42 S275"/>
    <x v="1"/>
    <s v="42"/>
    <n v="42"/>
    <m/>
    <s v="   "/>
    <n v="1"/>
  </r>
  <r>
    <x v="160"/>
    <s v="Omak School District"/>
    <s v="Personnel"/>
    <s v="H "/>
    <x v="1"/>
    <x v="16"/>
    <s v="PSES High Prog01Duty42 S275"/>
    <x v="0"/>
    <s v="42"/>
    <n v="42"/>
    <m/>
    <s v="   "/>
    <n v="1.5"/>
  </r>
  <r>
    <x v="160"/>
    <s v="Omak School District"/>
    <s v="Personnel"/>
    <s v="M "/>
    <x v="2"/>
    <x v="17"/>
    <s v="PSES Mid Prog01Duty42 S275"/>
    <x v="0"/>
    <s v="42"/>
    <n v="42"/>
    <m/>
    <s v="   "/>
    <n v="0.66700000000000004"/>
  </r>
  <r>
    <x v="160"/>
    <s v="Omak School District"/>
    <s v="Personnel"/>
    <s v="E "/>
    <x v="0"/>
    <x v="20"/>
    <s v="PSES Elem Prog21Duty45 S275"/>
    <x v="1"/>
    <s v="45"/>
    <n v="45"/>
    <m/>
    <s v="   "/>
    <n v="2.8"/>
  </r>
  <r>
    <x v="160"/>
    <s v="Omak School District"/>
    <s v="Personnel"/>
    <s v="E "/>
    <x v="0"/>
    <x v="22"/>
    <s v="PSES Elem Prog21Duty46 S275"/>
    <x v="1"/>
    <s v="46"/>
    <n v="46"/>
    <m/>
    <s v="   "/>
    <n v="1"/>
  </r>
  <r>
    <x v="161"/>
    <s v="Okanogan School District"/>
    <s v="Personnel"/>
    <s v="E "/>
    <x v="0"/>
    <x v="3"/>
    <s v="PSES Elem Prog01Act25 S275"/>
    <x v="0"/>
    <s v="25"/>
    <m/>
    <n v="25"/>
    <s v="   "/>
    <n v="1.0620000000000001"/>
  </r>
  <r>
    <x v="161"/>
    <s v="Okanogan School District"/>
    <s v="Personnel"/>
    <s v="H "/>
    <x v="1"/>
    <x v="5"/>
    <s v="PSES High Prog01Act25 S275"/>
    <x v="0"/>
    <s v="25"/>
    <m/>
    <n v="25"/>
    <s v="   "/>
    <n v="1.571"/>
  </r>
  <r>
    <x v="161"/>
    <s v="Okanogan School District"/>
    <s v="Personnel"/>
    <s v="M "/>
    <x v="2"/>
    <x v="6"/>
    <s v="PSES Mid Prog01Act25 S275"/>
    <x v="0"/>
    <s v="25"/>
    <m/>
    <n v="25"/>
    <s v="   "/>
    <n v="0.45"/>
  </r>
  <r>
    <x v="161"/>
    <s v="Okanogan School District"/>
    <s v="Personnel"/>
    <s v="H "/>
    <x v="1"/>
    <x v="9"/>
    <s v="PSES High Prog01Act26 S275"/>
    <x v="0"/>
    <s v="26"/>
    <m/>
    <n v="26"/>
    <s v="   "/>
    <n v="0.67600000000000005"/>
  </r>
  <r>
    <x v="161"/>
    <s v="Okanogan School District"/>
    <s v="Personnel"/>
    <s v="E "/>
    <x v="0"/>
    <x v="15"/>
    <s v="PSES Elem Prog01Duty42 S275"/>
    <x v="0"/>
    <s v="42"/>
    <n v="42"/>
    <m/>
    <s v="   "/>
    <n v="1"/>
  </r>
  <r>
    <x v="161"/>
    <s v="Okanogan School District"/>
    <s v="Personnel"/>
    <s v="H "/>
    <x v="1"/>
    <x v="16"/>
    <s v="PSES High Prog01Duty42 S275"/>
    <x v="0"/>
    <s v="42"/>
    <n v="42"/>
    <m/>
    <s v="   "/>
    <n v="2"/>
  </r>
  <r>
    <x v="161"/>
    <s v="Okanogan School District"/>
    <s v="Personnel"/>
    <s v="M "/>
    <x v="2"/>
    <x v="17"/>
    <s v="PSES Mid Prog01Duty42 S275"/>
    <x v="0"/>
    <s v="42"/>
    <n v="42"/>
    <m/>
    <s v="   "/>
    <n v="0.5"/>
  </r>
  <r>
    <x v="161"/>
    <s v="Okanogan School District"/>
    <s v="Personnel"/>
    <s v="E "/>
    <x v="0"/>
    <x v="22"/>
    <s v="PSES Elem Prog21Duty46 S275"/>
    <x v="1"/>
    <s v="46"/>
    <n v="46"/>
    <m/>
    <s v="   "/>
    <n v="0.5"/>
  </r>
  <r>
    <x v="161"/>
    <s v="Okanogan School District"/>
    <s v="Personnel"/>
    <s v="H "/>
    <x v="1"/>
    <x v="23"/>
    <s v="PSES High Prog21Duty46 S275"/>
    <x v="1"/>
    <s v="46"/>
    <n v="46"/>
    <m/>
    <s v="   "/>
    <n v="0.25"/>
  </r>
  <r>
    <x v="161"/>
    <s v="Okanogan School District"/>
    <s v="Personnel"/>
    <s v="M "/>
    <x v="2"/>
    <x v="24"/>
    <s v="PSES Mid Prog21Duty46 S275"/>
    <x v="1"/>
    <s v="46"/>
    <n v="46"/>
    <m/>
    <s v="   "/>
    <n v="0.25"/>
  </r>
  <r>
    <x v="162"/>
    <s v="Brewster School District"/>
    <s v="Personnel"/>
    <s v="E "/>
    <x v="0"/>
    <x v="7"/>
    <s v="PSES Elem Prog21Act26 S275"/>
    <x v="1"/>
    <s v="26"/>
    <m/>
    <n v="26"/>
    <s v="   "/>
    <n v="0.54800000000000004"/>
  </r>
  <r>
    <x v="162"/>
    <s v="Brewster School District"/>
    <s v="Personnel"/>
    <s v="E "/>
    <x v="0"/>
    <x v="8"/>
    <s v="PSES Elem Prog01Act26 S275"/>
    <x v="0"/>
    <s v="26"/>
    <m/>
    <n v="26"/>
    <s v="   "/>
    <n v="0.83799999999999997"/>
  </r>
  <r>
    <x v="162"/>
    <s v="Brewster School District"/>
    <s v="Personnel"/>
    <s v="H "/>
    <x v="1"/>
    <x v="29"/>
    <s v="PSES High Prog21Act26 S275"/>
    <x v="1"/>
    <s v="26"/>
    <m/>
    <n v="26"/>
    <s v="   "/>
    <n v="6.9000000000000006E-2"/>
  </r>
  <r>
    <x v="162"/>
    <s v="Brewster School District"/>
    <s v="Personnel"/>
    <s v="H "/>
    <x v="1"/>
    <x v="9"/>
    <s v="PSES High Prog01Act26 S275"/>
    <x v="0"/>
    <s v="26"/>
    <m/>
    <n v="26"/>
    <s v="   "/>
    <n v="5.8999999999999997E-2"/>
  </r>
  <r>
    <x v="162"/>
    <s v="Brewster School District"/>
    <s v="Personnel"/>
    <s v="M "/>
    <x v="2"/>
    <x v="10"/>
    <s v="PSES Mid Prog21Act26 S275"/>
    <x v="1"/>
    <s v="26"/>
    <m/>
    <n v="26"/>
    <s v="   "/>
    <n v="6.9000000000000006E-2"/>
  </r>
  <r>
    <x v="162"/>
    <s v="Brewster School District"/>
    <s v="Personnel"/>
    <s v="M "/>
    <x v="2"/>
    <x v="11"/>
    <s v="PSES Mid Prog01Act26 S275"/>
    <x v="0"/>
    <s v="26"/>
    <m/>
    <n v="26"/>
    <s v="   "/>
    <n v="0.14599999999999999"/>
  </r>
  <r>
    <x v="162"/>
    <s v="Brewster School District"/>
    <s v="Personnel"/>
    <s v="E "/>
    <x v="0"/>
    <x v="15"/>
    <s v="PSES Elem Prog01Duty42 S275"/>
    <x v="0"/>
    <s v="42"/>
    <n v="42"/>
    <m/>
    <s v="   "/>
    <n v="1"/>
  </r>
  <r>
    <x v="162"/>
    <s v="Brewster School District"/>
    <s v="Personnel"/>
    <s v="H "/>
    <x v="1"/>
    <x v="16"/>
    <s v="PSES High Prog01Duty42 S275"/>
    <x v="0"/>
    <s v="42"/>
    <n v="42"/>
    <m/>
    <s v="   "/>
    <n v="1"/>
  </r>
  <r>
    <x v="162"/>
    <s v="Brewster School District"/>
    <s v="Personnel"/>
    <s v="M "/>
    <x v="2"/>
    <x v="17"/>
    <s v="PSES Mid Prog01Duty42 S275"/>
    <x v="0"/>
    <s v="42"/>
    <n v="42"/>
    <m/>
    <s v="   "/>
    <n v="0.75"/>
  </r>
  <r>
    <x v="162"/>
    <s v="Brewster School District"/>
    <s v="Personnel"/>
    <s v="H "/>
    <x v="1"/>
    <x v="44"/>
    <s v="PSES High Prog01Duty44 S275"/>
    <x v="0"/>
    <s v="44"/>
    <n v="44"/>
    <m/>
    <s v="   "/>
    <n v="0.16"/>
  </r>
  <r>
    <x v="162"/>
    <s v="Brewster School District"/>
    <s v="Personnel"/>
    <s v="E "/>
    <x v="0"/>
    <x v="22"/>
    <s v="PSES Elem Prog21Duty46 S275"/>
    <x v="1"/>
    <s v="46"/>
    <n v="46"/>
    <m/>
    <s v="   "/>
    <n v="0.55000000000000004"/>
  </r>
  <r>
    <x v="162"/>
    <s v="Brewster School District"/>
    <s v="Personnel"/>
    <s v="H "/>
    <x v="1"/>
    <x v="23"/>
    <s v="PSES High Prog21Duty46 S275"/>
    <x v="1"/>
    <s v="46"/>
    <n v="46"/>
    <m/>
    <s v="   "/>
    <n v="0.3"/>
  </r>
  <r>
    <x v="162"/>
    <s v="Brewster School District"/>
    <s v="Personnel"/>
    <s v="M "/>
    <x v="2"/>
    <x v="24"/>
    <s v="PSES Mid Prog21Duty46 S275"/>
    <x v="1"/>
    <s v="46"/>
    <n v="46"/>
    <m/>
    <s v="   "/>
    <n v="0.15"/>
  </r>
  <r>
    <x v="163"/>
    <s v="Pateros School District"/>
    <s v="Personnel"/>
    <s v="H "/>
    <x v="1"/>
    <x v="16"/>
    <s v="PSES High Prog01Duty42 S275"/>
    <x v="0"/>
    <s v="42"/>
    <n v="42"/>
    <m/>
    <s v="   "/>
    <n v="0.3"/>
  </r>
  <r>
    <x v="163"/>
    <s v="Pateros School District"/>
    <s v="Personnel"/>
    <s v="M "/>
    <x v="2"/>
    <x v="17"/>
    <s v="PSES Mid Prog01Duty42 S275"/>
    <x v="0"/>
    <s v="42"/>
    <n v="42"/>
    <m/>
    <s v="   "/>
    <n v="0.15"/>
  </r>
  <r>
    <x v="163"/>
    <s v="Pateros School District"/>
    <s v="Personnel"/>
    <s v="E "/>
    <x v="0"/>
    <x v="22"/>
    <s v="PSES Elem Prog21Duty46 S275"/>
    <x v="1"/>
    <s v="46"/>
    <n v="46"/>
    <m/>
    <s v="   "/>
    <n v="0.45"/>
  </r>
  <r>
    <x v="163"/>
    <s v="Pateros School District"/>
    <s v="Personnel"/>
    <s v="H "/>
    <x v="1"/>
    <x v="23"/>
    <s v="PSES High Prog21Duty46 S275"/>
    <x v="1"/>
    <s v="46"/>
    <n v="46"/>
    <m/>
    <s v="   "/>
    <n v="0.22500000000000001"/>
  </r>
  <r>
    <x v="163"/>
    <s v="Pateros School District"/>
    <s v="Personnel"/>
    <s v="M "/>
    <x v="2"/>
    <x v="24"/>
    <s v="PSES Mid Prog21Duty46 S275"/>
    <x v="1"/>
    <s v="46"/>
    <n v="46"/>
    <m/>
    <s v="   "/>
    <n v="0.22500000000000001"/>
  </r>
  <r>
    <x v="163"/>
    <s v="Pateros School District"/>
    <s v="Personnel"/>
    <s v="E "/>
    <x v="0"/>
    <x v="27"/>
    <s v="PSES Elem Prog01Duty47 S275"/>
    <x v="0"/>
    <s v="47"/>
    <n v="47"/>
    <m/>
    <s v="   "/>
    <n v="0.182"/>
  </r>
  <r>
    <x v="163"/>
    <s v="Pateros School District"/>
    <s v="Personnel"/>
    <s v="H "/>
    <x v="1"/>
    <x v="25"/>
    <s v="PSES High Prog01Duty47 S275"/>
    <x v="0"/>
    <s v="47"/>
    <n v="47"/>
    <m/>
    <s v="   "/>
    <n v="0.128"/>
  </r>
  <r>
    <x v="163"/>
    <s v="Pateros School District"/>
    <s v="Personnel"/>
    <s v="M "/>
    <x v="2"/>
    <x v="34"/>
    <s v="PSES Mid Prog01Duty47 S275"/>
    <x v="0"/>
    <s v="47"/>
    <n v="47"/>
    <m/>
    <s v="   "/>
    <n v="6.4000000000000001E-2"/>
  </r>
  <r>
    <x v="163"/>
    <s v="Pateros School District"/>
    <s v="Personnel"/>
    <s v="T"/>
    <x v="0"/>
    <x v="85"/>
    <s v="PSES Elem Prog09Duty47 S275"/>
    <x v="3"/>
    <s v="47"/>
    <n v="47"/>
    <n v="26"/>
    <m/>
    <n v="2.5999999999999999E-2"/>
  </r>
  <r>
    <x v="164"/>
    <s v="Methow Valley School District"/>
    <s v="Personnel"/>
    <s v="H "/>
    <x v="1"/>
    <x v="1"/>
    <s v="PSES High Prog01Duty96 S275"/>
    <x v="0"/>
    <s v="24"/>
    <n v="96"/>
    <n v="24"/>
    <s v="   "/>
    <n v="1.2490000000000001"/>
  </r>
  <r>
    <x v="164"/>
    <s v="Methow Valley School District"/>
    <s v="Personnel"/>
    <s v="H "/>
    <x v="1"/>
    <x v="9"/>
    <s v="PSES High Prog01Act26 S275"/>
    <x v="0"/>
    <s v="26"/>
    <m/>
    <n v="26"/>
    <s v="   "/>
    <n v="0.57199999999999995"/>
  </r>
  <r>
    <x v="164"/>
    <s v="Methow Valley School District"/>
    <s v="Personnel"/>
    <s v="E "/>
    <x v="0"/>
    <x v="15"/>
    <s v="PSES Elem Prog01Duty42 S275"/>
    <x v="0"/>
    <s v="42"/>
    <n v="42"/>
    <m/>
    <s v="   "/>
    <n v="0.9"/>
  </r>
  <r>
    <x v="164"/>
    <s v="Methow Valley School District"/>
    <s v="Personnel"/>
    <s v="H "/>
    <x v="1"/>
    <x v="16"/>
    <s v="PSES High Prog01Duty42 S275"/>
    <x v="0"/>
    <s v="42"/>
    <n v="42"/>
    <m/>
    <s v="   "/>
    <n v="0.5"/>
  </r>
  <r>
    <x v="164"/>
    <s v="Methow Valley School District"/>
    <s v="Personnel"/>
    <s v="M "/>
    <x v="2"/>
    <x v="17"/>
    <s v="PSES Mid Prog01Duty42 S275"/>
    <x v="0"/>
    <s v="42"/>
    <n v="42"/>
    <m/>
    <s v="   "/>
    <n v="0.5"/>
  </r>
  <r>
    <x v="165"/>
    <s v="Tonasket School District"/>
    <s v="Personnel"/>
    <s v="E "/>
    <x v="0"/>
    <x v="7"/>
    <s v="PSES Elem Prog21Act26 S275"/>
    <x v="1"/>
    <s v="26"/>
    <m/>
    <n v="26"/>
    <s v="   "/>
    <n v="0.59599999999999997"/>
  </r>
  <r>
    <x v="165"/>
    <s v="Tonasket School District"/>
    <s v="Personnel"/>
    <s v="E "/>
    <x v="0"/>
    <x v="8"/>
    <s v="PSES Elem Prog01Act26 S275"/>
    <x v="0"/>
    <s v="26"/>
    <m/>
    <n v="26"/>
    <s v="   "/>
    <n v="0.40899999999999997"/>
  </r>
  <r>
    <x v="165"/>
    <s v="Tonasket School District"/>
    <s v="Personnel"/>
    <s v="H "/>
    <x v="1"/>
    <x v="29"/>
    <s v="PSES High Prog21Act26 S275"/>
    <x v="1"/>
    <s v="26"/>
    <m/>
    <n v="26"/>
    <s v="   "/>
    <n v="0.35799999999999998"/>
  </r>
  <r>
    <x v="165"/>
    <s v="Tonasket School District"/>
    <s v="Personnel"/>
    <s v="H "/>
    <x v="1"/>
    <x v="9"/>
    <s v="PSES High Prog01Act26 S275"/>
    <x v="0"/>
    <s v="26"/>
    <m/>
    <n v="26"/>
    <s v="   "/>
    <n v="0.29899999999999999"/>
  </r>
  <r>
    <x v="165"/>
    <s v="Tonasket School District"/>
    <s v="Personnel"/>
    <s v="M "/>
    <x v="2"/>
    <x v="10"/>
    <s v="PSES Mid Prog21Act26 S275"/>
    <x v="1"/>
    <s v="26"/>
    <m/>
    <n v="26"/>
    <s v="   "/>
    <n v="0.182"/>
  </r>
  <r>
    <x v="165"/>
    <s v="Tonasket School District"/>
    <s v="Personnel"/>
    <s v="M "/>
    <x v="2"/>
    <x v="11"/>
    <s v="PSES Mid Prog01Act26 S275"/>
    <x v="0"/>
    <s v="26"/>
    <m/>
    <n v="26"/>
    <s v="   "/>
    <n v="0.219"/>
  </r>
  <r>
    <x v="165"/>
    <s v="Tonasket School District"/>
    <s v="Personnel"/>
    <s v="E "/>
    <x v="0"/>
    <x v="15"/>
    <s v="PSES Elem Prog01Duty42 S275"/>
    <x v="0"/>
    <s v="42"/>
    <n v="42"/>
    <m/>
    <s v="   "/>
    <n v="0.96399999999999997"/>
  </r>
  <r>
    <x v="165"/>
    <s v="Tonasket School District"/>
    <s v="Personnel"/>
    <s v="H "/>
    <x v="1"/>
    <x v="16"/>
    <s v="PSES High Prog01Duty42 S275"/>
    <x v="0"/>
    <s v="42"/>
    <n v="42"/>
    <m/>
    <s v="   "/>
    <n v="0.95399999999999996"/>
  </r>
  <r>
    <x v="165"/>
    <s v="Tonasket School District"/>
    <s v="Personnel"/>
    <s v="M "/>
    <x v="2"/>
    <x v="17"/>
    <s v="PSES Mid Prog01Duty42 S275"/>
    <x v="0"/>
    <s v="42"/>
    <n v="42"/>
    <m/>
    <s v="   "/>
    <n v="0.95399999999999996"/>
  </r>
  <r>
    <x v="166"/>
    <s v="Oroville School District"/>
    <s v="Personnel"/>
    <s v="H "/>
    <x v="1"/>
    <x v="29"/>
    <s v="PSES High Prog21Act26 S275"/>
    <x v="1"/>
    <s v="26"/>
    <m/>
    <n v="26"/>
    <s v="   "/>
    <n v="0.438"/>
  </r>
  <r>
    <x v="166"/>
    <s v="Oroville School District"/>
    <s v="Personnel"/>
    <s v="H "/>
    <x v="1"/>
    <x v="9"/>
    <s v="PSES High Prog01Act26 S275"/>
    <x v="0"/>
    <s v="26"/>
    <m/>
    <n v="26"/>
    <s v="   "/>
    <n v="0.68600000000000005"/>
  </r>
  <r>
    <x v="166"/>
    <s v="Oroville School District"/>
    <s v="Personnel"/>
    <s v="E "/>
    <x v="0"/>
    <x v="15"/>
    <s v="PSES Elem Prog01Duty42 S275"/>
    <x v="0"/>
    <s v="42"/>
    <n v="42"/>
    <m/>
    <s v="   "/>
    <n v="0.85"/>
  </r>
  <r>
    <x v="166"/>
    <s v="Oroville School District"/>
    <s v="Personnel"/>
    <s v="H "/>
    <x v="1"/>
    <x v="16"/>
    <s v="PSES High Prog01Duty42 S275"/>
    <x v="0"/>
    <s v="42"/>
    <n v="42"/>
    <m/>
    <s v="   "/>
    <n v="0.7"/>
  </r>
  <r>
    <x v="166"/>
    <s v="Oroville School District"/>
    <s v="Personnel"/>
    <s v="M "/>
    <x v="2"/>
    <x v="17"/>
    <s v="PSES Mid Prog01Duty42 S275"/>
    <x v="0"/>
    <s v="42"/>
    <n v="42"/>
    <m/>
    <s v="   "/>
    <n v="0.3"/>
  </r>
  <r>
    <x v="166"/>
    <s v="Oroville School District"/>
    <s v="Personnel"/>
    <s v="E "/>
    <x v="0"/>
    <x v="22"/>
    <s v="PSES Elem Prog21Duty46 S275"/>
    <x v="1"/>
    <s v="46"/>
    <n v="46"/>
    <m/>
    <s v="   "/>
    <n v="0.27"/>
  </r>
  <r>
    <x v="166"/>
    <s v="Oroville School District"/>
    <s v="Personnel"/>
    <s v="H "/>
    <x v="1"/>
    <x v="23"/>
    <s v="PSES High Prog21Duty46 S275"/>
    <x v="1"/>
    <s v="46"/>
    <n v="46"/>
    <m/>
    <s v="   "/>
    <n v="0.16200000000000001"/>
  </r>
  <r>
    <x v="166"/>
    <s v="Oroville School District"/>
    <s v="Personnel"/>
    <s v="M "/>
    <x v="2"/>
    <x v="24"/>
    <s v="PSES Mid Prog21Duty46 S275"/>
    <x v="1"/>
    <s v="46"/>
    <n v="46"/>
    <m/>
    <s v="   "/>
    <n v="0.108"/>
  </r>
  <r>
    <x v="167"/>
    <s v="Paschal Sherman Indian School"/>
    <s v="Personnel"/>
    <s v="E "/>
    <x v="0"/>
    <x v="67"/>
    <s v="PSES Elem Prog21Act25 S275"/>
    <x v="1"/>
    <s v="25"/>
    <m/>
    <n v="25"/>
    <s v="   "/>
    <n v="1.39"/>
  </r>
  <r>
    <x v="167"/>
    <s v="Paschal Sherman Indian School"/>
    <s v="Personnel"/>
    <s v="E "/>
    <x v="0"/>
    <x v="3"/>
    <s v="PSES Elem Prog01Act25 S275"/>
    <x v="0"/>
    <s v="25"/>
    <m/>
    <n v="25"/>
    <s v="   "/>
    <n v="5.56"/>
  </r>
  <r>
    <x v="167"/>
    <s v="Paschal Sherman Indian School"/>
    <s v="Personnel"/>
    <s v="M "/>
    <x v="2"/>
    <x v="82"/>
    <s v="PSES Mid Prog21Act25 S275"/>
    <x v="1"/>
    <s v="25"/>
    <m/>
    <n v="25"/>
    <s v="   "/>
    <n v="0.69499999999999995"/>
  </r>
  <r>
    <x v="167"/>
    <s v="Paschal Sherman Indian School"/>
    <s v="Personnel"/>
    <s v="M "/>
    <x v="2"/>
    <x v="6"/>
    <s v="PSES Mid Prog01Act25 S275"/>
    <x v="0"/>
    <s v="25"/>
    <m/>
    <n v="25"/>
    <s v="   "/>
    <n v="0.69499999999999995"/>
  </r>
  <r>
    <x v="168"/>
    <s v="Ocean Beach School District"/>
    <s v="Personnel"/>
    <s v="E "/>
    <x v="0"/>
    <x v="3"/>
    <s v="PSES Elem Prog01Act25 S275"/>
    <x v="0"/>
    <s v="25"/>
    <m/>
    <n v="25"/>
    <s v="   "/>
    <n v="1.0329999999999999"/>
  </r>
  <r>
    <x v="168"/>
    <s v="Ocean Beach School District"/>
    <s v="Personnel"/>
    <s v="H "/>
    <x v="1"/>
    <x v="9"/>
    <s v="PSES High Prog01Act26 S275"/>
    <x v="0"/>
    <s v="26"/>
    <m/>
    <n v="26"/>
    <s v="   "/>
    <n v="0.80400000000000005"/>
  </r>
  <r>
    <x v="168"/>
    <s v="Ocean Beach School District"/>
    <s v="Personnel"/>
    <s v="H "/>
    <x v="1"/>
    <x v="16"/>
    <s v="PSES High Prog01Duty42 S275"/>
    <x v="0"/>
    <s v="42"/>
    <n v="42"/>
    <m/>
    <s v="   "/>
    <n v="1.5"/>
  </r>
  <r>
    <x v="169"/>
    <s v="Raymond School District"/>
    <s v="Personnel"/>
    <s v="H "/>
    <x v="1"/>
    <x v="9"/>
    <s v="PSES High Prog01Act26 S275"/>
    <x v="0"/>
    <s v="26"/>
    <m/>
    <n v="26"/>
    <s v="   "/>
    <n v="0.64600000000000002"/>
  </r>
  <r>
    <x v="169"/>
    <s v="Raymond School District"/>
    <s v="Personnel"/>
    <s v="E "/>
    <x v="0"/>
    <x v="15"/>
    <s v="PSES Elem Prog01Duty42 S275"/>
    <x v="0"/>
    <s v="42"/>
    <n v="42"/>
    <m/>
    <s v="   "/>
    <n v="1.5"/>
  </r>
  <r>
    <x v="170"/>
    <s v="South Bend School District"/>
    <s v="Personnel"/>
    <s v="E "/>
    <x v="0"/>
    <x v="3"/>
    <s v="PSES Elem Prog01Act25 S275"/>
    <x v="0"/>
    <s v="25"/>
    <m/>
    <n v="25"/>
    <s v="   "/>
    <n v="0.10100000000000001"/>
  </r>
  <r>
    <x v="170"/>
    <s v="South Bend School District"/>
    <s v="Personnel"/>
    <s v="H "/>
    <x v="1"/>
    <x v="5"/>
    <s v="PSES High Prog01Act25 S275"/>
    <x v="0"/>
    <s v="25"/>
    <m/>
    <n v="25"/>
    <s v="   "/>
    <n v="0.16900000000000001"/>
  </r>
  <r>
    <x v="170"/>
    <s v="South Bend School District"/>
    <s v="Personnel"/>
    <s v="M "/>
    <x v="2"/>
    <x v="6"/>
    <s v="PSES Mid Prog01Act25 S275"/>
    <x v="0"/>
    <s v="25"/>
    <m/>
    <n v="25"/>
    <s v="   "/>
    <n v="3.3000000000000002E-2"/>
  </r>
  <r>
    <x v="170"/>
    <s v="South Bend School District"/>
    <s v="Personnel"/>
    <s v="E "/>
    <x v="0"/>
    <x v="8"/>
    <s v="PSES Elem Prog01Act26 S275"/>
    <x v="0"/>
    <s v="26"/>
    <m/>
    <n v="26"/>
    <s v="   "/>
    <n v="0.26700000000000002"/>
  </r>
  <r>
    <x v="170"/>
    <s v="South Bend School District"/>
    <s v="Personnel"/>
    <s v="H "/>
    <x v="1"/>
    <x v="9"/>
    <s v="PSES High Prog01Act26 S275"/>
    <x v="0"/>
    <s v="26"/>
    <m/>
    <n v="26"/>
    <s v="   "/>
    <n v="0.53200000000000003"/>
  </r>
  <r>
    <x v="171"/>
    <s v="Naselle-Grays River Valley School District"/>
    <s v="Personnel"/>
    <s v="H "/>
    <x v="1"/>
    <x v="16"/>
    <s v="PSES High Prog01Duty42 S275"/>
    <x v="0"/>
    <s v="42"/>
    <n v="42"/>
    <m/>
    <s v="   "/>
    <n v="1"/>
  </r>
  <r>
    <x v="172"/>
    <s v="Willapa Valley School District"/>
    <s v="Personnel"/>
    <s v="E "/>
    <x v="0"/>
    <x v="3"/>
    <s v="PSES Elem Prog01Act25 S275"/>
    <x v="0"/>
    <s v="25"/>
    <m/>
    <n v="25"/>
    <s v="   "/>
    <n v="0.11799999999999999"/>
  </r>
  <r>
    <x v="172"/>
    <s v="Willapa Valley School District"/>
    <s v="Personnel"/>
    <s v="H "/>
    <x v="1"/>
    <x v="5"/>
    <s v="PSES High Prog01Act25 S275"/>
    <x v="0"/>
    <s v="25"/>
    <m/>
    <n v="25"/>
    <s v="   "/>
    <n v="0.999"/>
  </r>
  <r>
    <x v="172"/>
    <s v="Willapa Valley School District"/>
    <s v="Personnel"/>
    <s v="E "/>
    <x v="0"/>
    <x v="15"/>
    <s v="PSES Elem Prog01Duty42 S275"/>
    <x v="0"/>
    <s v="42"/>
    <n v="42"/>
    <m/>
    <s v="   "/>
    <n v="0.49299999999999999"/>
  </r>
  <r>
    <x v="172"/>
    <s v="Willapa Valley School District"/>
    <s v="Personnel"/>
    <s v="H "/>
    <x v="1"/>
    <x v="16"/>
    <s v="PSES High Prog01Duty42 S275"/>
    <x v="0"/>
    <s v="42"/>
    <n v="42"/>
    <m/>
    <s v="   "/>
    <n v="0.33500000000000002"/>
  </r>
  <r>
    <x v="172"/>
    <s v="Willapa Valley School District"/>
    <s v="Personnel"/>
    <s v="M "/>
    <x v="2"/>
    <x v="17"/>
    <s v="PSES Mid Prog01Duty42 S275"/>
    <x v="0"/>
    <s v="42"/>
    <n v="42"/>
    <m/>
    <s v="   "/>
    <n v="0.157"/>
  </r>
  <r>
    <x v="173"/>
    <s v="Newport School District"/>
    <s v="Personnel"/>
    <s v="E "/>
    <x v="0"/>
    <x v="7"/>
    <s v="PSES Elem Prog21Act26 S275"/>
    <x v="1"/>
    <s v="26"/>
    <m/>
    <n v="26"/>
    <s v="   "/>
    <n v="0.32900000000000001"/>
  </r>
  <r>
    <x v="173"/>
    <s v="Newport School District"/>
    <s v="Personnel"/>
    <s v="H "/>
    <x v="1"/>
    <x v="9"/>
    <s v="PSES High Prog01Act26 S275"/>
    <x v="0"/>
    <s v="26"/>
    <m/>
    <n v="26"/>
    <s v="   "/>
    <n v="1.22"/>
  </r>
  <r>
    <x v="173"/>
    <s v="Newport School District"/>
    <s v="Personnel"/>
    <s v="E "/>
    <x v="0"/>
    <x v="15"/>
    <s v="PSES Elem Prog01Duty42 S275"/>
    <x v="0"/>
    <s v="42"/>
    <n v="42"/>
    <m/>
    <s v="   "/>
    <n v="1"/>
  </r>
  <r>
    <x v="173"/>
    <s v="Newport School District"/>
    <s v="Personnel"/>
    <s v="M "/>
    <x v="2"/>
    <x v="17"/>
    <s v="PSES Mid Prog01Duty42 S275"/>
    <x v="0"/>
    <s v="42"/>
    <n v="42"/>
    <m/>
    <s v="   "/>
    <n v="1"/>
  </r>
  <r>
    <x v="173"/>
    <s v="Newport School District"/>
    <s v="Personnel"/>
    <s v="E "/>
    <x v="0"/>
    <x v="42"/>
    <s v="PSES Elem Prog01Duty44 S275"/>
    <x v="0"/>
    <s v="44"/>
    <n v="44"/>
    <m/>
    <s v="   "/>
    <n v="0.5"/>
  </r>
  <r>
    <x v="173"/>
    <s v="Newport School District"/>
    <s v="Personnel"/>
    <s v="H "/>
    <x v="1"/>
    <x v="44"/>
    <s v="PSES High Prog01Duty44 S275"/>
    <x v="0"/>
    <s v="44"/>
    <n v="44"/>
    <m/>
    <s v="   "/>
    <n v="1.5"/>
  </r>
  <r>
    <x v="173"/>
    <s v="Newport School District"/>
    <s v="Personnel"/>
    <s v="E "/>
    <x v="0"/>
    <x v="20"/>
    <s v="PSES Elem Prog21Duty45 S275"/>
    <x v="1"/>
    <s v="45"/>
    <n v="45"/>
    <m/>
    <s v="   "/>
    <n v="0.68"/>
  </r>
  <r>
    <x v="173"/>
    <s v="Newport School District"/>
    <s v="Personnel"/>
    <s v="H "/>
    <x v="1"/>
    <x v="21"/>
    <s v="PSES High Prog21Duty45 S275"/>
    <x v="1"/>
    <s v="45"/>
    <n v="45"/>
    <m/>
    <s v="   "/>
    <n v="0.66"/>
  </r>
  <r>
    <x v="173"/>
    <s v="Newport School District"/>
    <s v="Personnel"/>
    <s v="M "/>
    <x v="2"/>
    <x v="28"/>
    <s v="PSES Mid Prog21Duty45 S275"/>
    <x v="1"/>
    <s v="45"/>
    <n v="45"/>
    <m/>
    <s v="   "/>
    <n v="0.66"/>
  </r>
  <r>
    <x v="173"/>
    <s v="Newport School District"/>
    <s v="Personnel"/>
    <s v="E "/>
    <x v="0"/>
    <x v="22"/>
    <s v="PSES Elem Prog21Duty46 S275"/>
    <x v="1"/>
    <s v="46"/>
    <n v="46"/>
    <m/>
    <s v="   "/>
    <n v="0.34"/>
  </r>
  <r>
    <x v="173"/>
    <s v="Newport School District"/>
    <s v="Personnel"/>
    <s v="H "/>
    <x v="1"/>
    <x v="23"/>
    <s v="PSES High Prog21Duty46 S275"/>
    <x v="1"/>
    <s v="46"/>
    <n v="46"/>
    <m/>
    <s v="   "/>
    <n v="0.33"/>
  </r>
  <r>
    <x v="173"/>
    <s v="Newport School District"/>
    <s v="Personnel"/>
    <s v="M "/>
    <x v="2"/>
    <x v="24"/>
    <s v="PSES Mid Prog21Duty46 S275"/>
    <x v="1"/>
    <s v="46"/>
    <n v="46"/>
    <m/>
    <s v="   "/>
    <n v="0.33"/>
  </r>
  <r>
    <x v="174"/>
    <s v="Cusick School District"/>
    <s v="Personnel"/>
    <s v="E "/>
    <x v="0"/>
    <x v="3"/>
    <s v="PSES Elem Prog01Act25 S275"/>
    <x v="0"/>
    <s v="25"/>
    <m/>
    <n v="25"/>
    <s v="   "/>
    <n v="0.151"/>
  </r>
  <r>
    <x v="174"/>
    <s v="Cusick School District"/>
    <s v="Personnel"/>
    <s v="H "/>
    <x v="1"/>
    <x v="5"/>
    <s v="PSES High Prog01Act25 S275"/>
    <x v="0"/>
    <s v="25"/>
    <m/>
    <n v="25"/>
    <s v="   "/>
    <n v="1.9410000000000001"/>
  </r>
  <r>
    <x v="174"/>
    <s v="Cusick School District"/>
    <s v="Personnel"/>
    <s v="E "/>
    <x v="0"/>
    <x v="15"/>
    <s v="PSES Elem Prog01Duty42 S275"/>
    <x v="0"/>
    <s v="42"/>
    <n v="42"/>
    <m/>
    <s v="   "/>
    <n v="0.28799999999999998"/>
  </r>
  <r>
    <x v="174"/>
    <s v="Cusick School District"/>
    <s v="Personnel"/>
    <s v="H "/>
    <x v="1"/>
    <x v="16"/>
    <s v="PSES High Prog01Duty42 S275"/>
    <x v="0"/>
    <s v="42"/>
    <n v="42"/>
    <m/>
    <s v="   "/>
    <n v="0.14299999999999999"/>
  </r>
  <r>
    <x v="174"/>
    <s v="Cusick School District"/>
    <s v="Personnel"/>
    <s v="M "/>
    <x v="2"/>
    <x v="17"/>
    <s v="PSES Mid Prog01Duty42 S275"/>
    <x v="0"/>
    <s v="42"/>
    <n v="42"/>
    <m/>
    <s v="   "/>
    <n v="7.0999999999999994E-2"/>
  </r>
  <r>
    <x v="174"/>
    <s v="Cusick School District"/>
    <s v="Personnel"/>
    <s v="E "/>
    <x v="0"/>
    <x v="18"/>
    <s v="PSES Elem Prog21Duty43 S275"/>
    <x v="1"/>
    <s v="43"/>
    <n v="43"/>
    <m/>
    <s v="   "/>
    <n v="0.8"/>
  </r>
  <r>
    <x v="174"/>
    <s v="Cusick School District"/>
    <s v="Personnel"/>
    <s v="M "/>
    <x v="2"/>
    <x v="31"/>
    <s v="PSES Mid Prog21Duty43 S275"/>
    <x v="1"/>
    <s v="43"/>
    <n v="43"/>
    <m/>
    <s v="   "/>
    <n v="0.2"/>
  </r>
  <r>
    <x v="174"/>
    <s v="Cusick School District"/>
    <s v="Personnel"/>
    <s v="E "/>
    <x v="0"/>
    <x v="20"/>
    <s v="PSES Elem Prog21Duty45 S275"/>
    <x v="1"/>
    <s v="45"/>
    <n v="45"/>
    <m/>
    <s v="   "/>
    <n v="0.158"/>
  </r>
  <r>
    <x v="174"/>
    <s v="Cusick School District"/>
    <s v="Personnel"/>
    <s v="H "/>
    <x v="1"/>
    <x v="21"/>
    <s v="PSES High Prog21Duty45 S275"/>
    <x v="1"/>
    <s v="45"/>
    <n v="45"/>
    <m/>
    <s v="   "/>
    <n v="0.158"/>
  </r>
  <r>
    <x v="175"/>
    <s v="Selkirk School District"/>
    <s v="Personnel"/>
    <s v="H "/>
    <x v="1"/>
    <x v="9"/>
    <s v="PSES High Prog01Act26 S275"/>
    <x v="0"/>
    <s v="26"/>
    <m/>
    <n v="26"/>
    <s v="   "/>
    <n v="0.14699999999999999"/>
  </r>
  <r>
    <x v="175"/>
    <s v="Selkirk School District"/>
    <s v="Personnel"/>
    <s v="M "/>
    <x v="2"/>
    <x v="11"/>
    <s v="PSES Mid Prog01Act26 S275"/>
    <x v="0"/>
    <s v="26"/>
    <m/>
    <n v="26"/>
    <s v="   "/>
    <n v="4.3999999999999997E-2"/>
  </r>
  <r>
    <x v="175"/>
    <s v="Selkirk School District"/>
    <s v="Personnel"/>
    <s v="H "/>
    <x v="1"/>
    <x v="12"/>
    <s v="PSES High Prog97Act35 S275"/>
    <x v="2"/>
    <s v="35"/>
    <m/>
    <n v="35"/>
    <s v="   "/>
    <n v="0.38500000000000001"/>
  </r>
  <r>
    <x v="175"/>
    <s v="Selkirk School District"/>
    <s v="Personnel"/>
    <s v="E "/>
    <x v="0"/>
    <x v="20"/>
    <s v="PSES Elem Prog21Duty45 S275"/>
    <x v="1"/>
    <s v="45"/>
    <n v="45"/>
    <m/>
    <s v="   "/>
    <n v="0.92"/>
  </r>
  <r>
    <x v="175"/>
    <s v="Selkirk School District"/>
    <s v="Personnel"/>
    <s v="E "/>
    <x v="0"/>
    <x v="22"/>
    <s v="PSES Elem Prog21Duty46 S275"/>
    <x v="1"/>
    <s v="46"/>
    <n v="46"/>
    <m/>
    <s v="   "/>
    <n v="0.34200000000000003"/>
  </r>
  <r>
    <x v="175"/>
    <s v="Selkirk School District"/>
    <s v="Personnel"/>
    <s v="E "/>
    <x v="0"/>
    <x v="27"/>
    <s v="PSES Elem Prog01Duty47 S275"/>
    <x v="0"/>
    <s v="47"/>
    <n v="47"/>
    <m/>
    <s v="   "/>
    <n v="0.499"/>
  </r>
  <r>
    <x v="175"/>
    <s v="Selkirk School District"/>
    <s v="Personnel"/>
    <s v="H "/>
    <x v="1"/>
    <x v="25"/>
    <s v="PSES High Prog01Duty47 S275"/>
    <x v="0"/>
    <s v="47"/>
    <n v="47"/>
    <m/>
    <s v="   "/>
    <n v="0.28999999999999998"/>
  </r>
  <r>
    <x v="175"/>
    <s v="Selkirk School District"/>
    <s v="Personnel"/>
    <s v="M "/>
    <x v="2"/>
    <x v="34"/>
    <s v="PSES Mid Prog01Duty47 S275"/>
    <x v="0"/>
    <s v="47"/>
    <n v="47"/>
    <m/>
    <s v="   "/>
    <n v="0.21099999999999999"/>
  </r>
  <r>
    <x v="176"/>
    <s v="Steilacoom Hist. School District"/>
    <s v="Personnel"/>
    <s v="H "/>
    <x v="1"/>
    <x v="53"/>
    <s v="PSES High Prog97Act25 S275"/>
    <x v="2"/>
    <s v="25"/>
    <m/>
    <n v="25"/>
    <s v="   "/>
    <n v="0.2"/>
  </r>
  <r>
    <x v="176"/>
    <s v="Steilacoom Hist. School District"/>
    <s v="Personnel"/>
    <s v="H "/>
    <x v="1"/>
    <x v="9"/>
    <s v="PSES High Prog01Act26 S275"/>
    <x v="0"/>
    <s v="26"/>
    <m/>
    <n v="26"/>
    <s v="   "/>
    <n v="4.4909999999999997"/>
  </r>
  <r>
    <x v="176"/>
    <s v="Steilacoom Hist. School District"/>
    <s v="Personnel"/>
    <s v="H "/>
    <x v="1"/>
    <x v="54"/>
    <s v="PSES High Prog01Act35 S275"/>
    <x v="0"/>
    <s v="35"/>
    <m/>
    <n v="35"/>
    <s v="   "/>
    <n v="1.462"/>
  </r>
  <r>
    <x v="176"/>
    <s v="Steilacoom Hist. School District"/>
    <s v="Personnel"/>
    <s v="E "/>
    <x v="0"/>
    <x v="15"/>
    <s v="PSES Elem Prog01Duty42 S275"/>
    <x v="0"/>
    <s v="42"/>
    <n v="42"/>
    <m/>
    <s v="   "/>
    <n v="3"/>
  </r>
  <r>
    <x v="176"/>
    <s v="Steilacoom Hist. School District"/>
    <s v="Personnel"/>
    <s v="H "/>
    <x v="1"/>
    <x v="16"/>
    <s v="PSES High Prog01Duty42 S275"/>
    <x v="0"/>
    <s v="42"/>
    <n v="42"/>
    <m/>
    <s v="   "/>
    <n v="3"/>
  </r>
  <r>
    <x v="176"/>
    <s v="Steilacoom Hist. School District"/>
    <s v="Personnel"/>
    <s v="M "/>
    <x v="2"/>
    <x v="17"/>
    <s v="PSES Mid Prog01Duty42 S275"/>
    <x v="0"/>
    <s v="42"/>
    <n v="42"/>
    <m/>
    <s v="   "/>
    <n v="1"/>
  </r>
  <r>
    <x v="176"/>
    <s v="Steilacoom Hist. School District"/>
    <s v="Personnel"/>
    <s v="E "/>
    <x v="0"/>
    <x v="18"/>
    <s v="PSES Elem Prog21Duty43 S275"/>
    <x v="1"/>
    <s v="43"/>
    <n v="43"/>
    <m/>
    <s v="   "/>
    <n v="1.59"/>
  </r>
  <r>
    <x v="176"/>
    <s v="Steilacoom Hist. School District"/>
    <s v="Personnel"/>
    <s v="H "/>
    <x v="1"/>
    <x v="19"/>
    <s v="PSES High Prog21Duty43 S275"/>
    <x v="1"/>
    <s v="43"/>
    <n v="43"/>
    <m/>
    <s v="   "/>
    <n v="0.25"/>
  </r>
  <r>
    <x v="176"/>
    <s v="Steilacoom Hist. School District"/>
    <s v="Personnel"/>
    <s v="M "/>
    <x v="2"/>
    <x v="31"/>
    <s v="PSES Mid Prog21Duty43 S275"/>
    <x v="1"/>
    <s v="43"/>
    <n v="43"/>
    <m/>
    <s v="   "/>
    <n v="0.16"/>
  </r>
  <r>
    <x v="176"/>
    <s v="Steilacoom Hist. School District"/>
    <s v="Personnel"/>
    <s v="E "/>
    <x v="0"/>
    <x v="42"/>
    <s v="PSES Elem Prog01Duty44 S275"/>
    <x v="0"/>
    <s v="44"/>
    <n v="44"/>
    <m/>
    <s v="   "/>
    <n v="1"/>
  </r>
  <r>
    <x v="176"/>
    <s v="Steilacoom Hist. School District"/>
    <s v="Personnel"/>
    <s v="E "/>
    <x v="0"/>
    <x v="20"/>
    <s v="PSES Elem Prog21Duty45 S275"/>
    <x v="1"/>
    <s v="45"/>
    <n v="45"/>
    <m/>
    <s v="   "/>
    <n v="3.7"/>
  </r>
  <r>
    <x v="176"/>
    <s v="Steilacoom Hist. School District"/>
    <s v="Personnel"/>
    <s v="H "/>
    <x v="1"/>
    <x v="21"/>
    <s v="PSES High Prog21Duty45 S275"/>
    <x v="1"/>
    <s v="45"/>
    <n v="45"/>
    <m/>
    <s v="   "/>
    <n v="0.5"/>
  </r>
  <r>
    <x v="176"/>
    <s v="Steilacoom Hist. School District"/>
    <s v="Personnel"/>
    <s v="M "/>
    <x v="2"/>
    <x v="28"/>
    <s v="PSES Mid Prog21Duty45 S275"/>
    <x v="1"/>
    <s v="45"/>
    <n v="45"/>
    <m/>
    <s v="   "/>
    <n v="0.4"/>
  </r>
  <r>
    <x v="176"/>
    <s v="Steilacoom Hist. School District"/>
    <s v="Personnel"/>
    <s v="E "/>
    <x v="0"/>
    <x v="22"/>
    <s v="PSES Elem Prog21Duty46 S275"/>
    <x v="1"/>
    <s v="46"/>
    <n v="46"/>
    <m/>
    <s v="   "/>
    <n v="2.855"/>
  </r>
  <r>
    <x v="176"/>
    <s v="Steilacoom Hist. School District"/>
    <s v="Personnel"/>
    <s v="H "/>
    <x v="1"/>
    <x v="23"/>
    <s v="PSES High Prog21Duty46 S275"/>
    <x v="1"/>
    <s v="46"/>
    <n v="46"/>
    <m/>
    <s v="   "/>
    <n v="0.5"/>
  </r>
  <r>
    <x v="176"/>
    <s v="Steilacoom Hist. School District"/>
    <s v="Personnel"/>
    <s v="M "/>
    <x v="2"/>
    <x v="24"/>
    <s v="PSES Mid Prog21Duty46 S275"/>
    <x v="1"/>
    <s v="46"/>
    <n v="46"/>
    <m/>
    <s v="   "/>
    <n v="0.245"/>
  </r>
  <r>
    <x v="176"/>
    <s v="Steilacoom Hist. School District"/>
    <s v="Personnel"/>
    <s v="E "/>
    <x v="0"/>
    <x v="27"/>
    <s v="PSES Elem Prog01Duty47 S275"/>
    <x v="0"/>
    <s v="47"/>
    <n v="47"/>
    <m/>
    <s v="   "/>
    <n v="0.6"/>
  </r>
  <r>
    <x v="176"/>
    <s v="Steilacoom Hist. School District"/>
    <s v="Personnel"/>
    <s v="H "/>
    <x v="1"/>
    <x v="25"/>
    <s v="PSES High Prog01Duty47 S275"/>
    <x v="0"/>
    <s v="47"/>
    <n v="47"/>
    <m/>
    <s v="   "/>
    <n v="0.2"/>
  </r>
  <r>
    <x v="176"/>
    <s v="Steilacoom Hist. School District"/>
    <s v="Personnel"/>
    <s v="M "/>
    <x v="2"/>
    <x v="34"/>
    <s v="PSES Mid Prog01Duty47 S275"/>
    <x v="0"/>
    <s v="47"/>
    <n v="47"/>
    <m/>
    <s v="   "/>
    <n v="0.2"/>
  </r>
  <r>
    <x v="176"/>
    <s v="Steilacoom Hist. School District"/>
    <s v="Personnel"/>
    <s v="E "/>
    <x v="0"/>
    <x v="35"/>
    <s v="PSES Elem Prog21Duty48 S275"/>
    <x v="1"/>
    <s v="48"/>
    <n v="48"/>
    <m/>
    <s v="   "/>
    <n v="0.25"/>
  </r>
  <r>
    <x v="176"/>
    <s v="Steilacoom Hist. School District"/>
    <s v="Personnel"/>
    <s v="H "/>
    <x v="1"/>
    <x v="36"/>
    <s v="PSES High Prog21Duty48 S275"/>
    <x v="1"/>
    <s v="48"/>
    <n v="48"/>
    <m/>
    <s v="   "/>
    <n v="0.125"/>
  </r>
  <r>
    <x v="176"/>
    <s v="Steilacoom Hist. School District"/>
    <s v="Personnel"/>
    <s v="M "/>
    <x v="2"/>
    <x v="37"/>
    <s v="PSES Mid Prog21Duty48 S275"/>
    <x v="1"/>
    <s v="48"/>
    <n v="48"/>
    <m/>
    <s v="   "/>
    <n v="0.125"/>
  </r>
  <r>
    <x v="177"/>
    <s v="Puyallup School District"/>
    <s v="Personnel"/>
    <s v="H "/>
    <x v="1"/>
    <x v="86"/>
    <s v="PSES High Prog21Duty96 S275"/>
    <x v="1"/>
    <s v="24"/>
    <n v="96"/>
    <n v="24"/>
    <s v="   "/>
    <n v="3.1949999999999998"/>
  </r>
  <r>
    <x v="177"/>
    <s v="Puyallup School District"/>
    <s v="Personnel"/>
    <s v="H "/>
    <x v="1"/>
    <x v="4"/>
    <s v="PSES High Prog21Act25 S275"/>
    <x v="1"/>
    <s v="25"/>
    <m/>
    <n v="25"/>
    <s v="   "/>
    <n v="1.51"/>
  </r>
  <r>
    <x v="177"/>
    <s v="Puyallup School District"/>
    <s v="Personnel"/>
    <s v="H "/>
    <x v="1"/>
    <x v="5"/>
    <s v="PSES High Prog01Act25 S275"/>
    <x v="0"/>
    <s v="25"/>
    <m/>
    <n v="25"/>
    <s v="   "/>
    <n v="48.835999999999999"/>
  </r>
  <r>
    <x v="177"/>
    <s v="Puyallup School District"/>
    <s v="Personnel"/>
    <s v="H "/>
    <x v="1"/>
    <x v="29"/>
    <s v="PSES High Prog21Act26 S275"/>
    <x v="1"/>
    <s v="26"/>
    <m/>
    <n v="26"/>
    <s v="   "/>
    <n v="5.883"/>
  </r>
  <r>
    <x v="177"/>
    <s v="Puyallup School District"/>
    <s v="Personnel"/>
    <s v="H "/>
    <x v="1"/>
    <x v="9"/>
    <s v="PSES High Prog01Act26 S275"/>
    <x v="0"/>
    <s v="26"/>
    <m/>
    <n v="26"/>
    <s v="   "/>
    <n v="10.586"/>
  </r>
  <r>
    <x v="177"/>
    <s v="Puyallup School District"/>
    <s v="Personnel"/>
    <s v="H "/>
    <x v="1"/>
    <x v="87"/>
    <s v="PSES High Prog21Act35 S275"/>
    <x v="1"/>
    <s v="35"/>
    <m/>
    <n v="35"/>
    <s v="   "/>
    <n v="0.188"/>
  </r>
  <r>
    <x v="177"/>
    <s v="Puyallup School District"/>
    <s v="Personnel"/>
    <s v="H "/>
    <x v="1"/>
    <x v="54"/>
    <s v="PSES High Prog01Act35 S275"/>
    <x v="0"/>
    <s v="35"/>
    <m/>
    <n v="35"/>
    <s v="   "/>
    <n v="10.781000000000001"/>
  </r>
  <r>
    <x v="177"/>
    <s v="Puyallup School District"/>
    <s v="Personnel"/>
    <s v="E "/>
    <x v="0"/>
    <x v="14"/>
    <s v="PSES Elem Prog21Duty39 S275"/>
    <x v="1"/>
    <s v="39"/>
    <n v="39"/>
    <m/>
    <s v="   "/>
    <n v="2.331"/>
  </r>
  <r>
    <x v="177"/>
    <s v="Puyallup School District"/>
    <s v="Personnel"/>
    <s v="H "/>
    <x v="1"/>
    <x v="83"/>
    <s v="PSES High Prog21Duty39 S275"/>
    <x v="1"/>
    <s v="39"/>
    <n v="39"/>
    <m/>
    <s v="   "/>
    <n v="0.33600000000000002"/>
  </r>
  <r>
    <x v="177"/>
    <s v="Puyallup School District"/>
    <s v="Personnel"/>
    <s v="M "/>
    <x v="2"/>
    <x v="88"/>
    <s v="PSES Mid Prog21Duty39 S275"/>
    <x v="1"/>
    <s v="39"/>
    <n v="39"/>
    <m/>
    <s v="   "/>
    <n v="0.33300000000000002"/>
  </r>
  <r>
    <x v="177"/>
    <s v="Puyallup School District"/>
    <s v="Personnel"/>
    <s v="E "/>
    <x v="0"/>
    <x v="15"/>
    <s v="PSES Elem Prog01Duty42 S275"/>
    <x v="0"/>
    <s v="42"/>
    <n v="42"/>
    <m/>
    <s v="   "/>
    <n v="23.74"/>
  </r>
  <r>
    <x v="177"/>
    <s v="Puyallup School District"/>
    <s v="Personnel"/>
    <s v="H "/>
    <x v="1"/>
    <x v="16"/>
    <s v="PSES High Prog01Duty42 S275"/>
    <x v="0"/>
    <s v="42"/>
    <n v="42"/>
    <m/>
    <s v="   "/>
    <n v="19.404"/>
  </r>
  <r>
    <x v="177"/>
    <s v="Puyallup School District"/>
    <s v="Personnel"/>
    <s v="M "/>
    <x v="2"/>
    <x v="17"/>
    <s v="PSES Mid Prog01Duty42 S275"/>
    <x v="0"/>
    <s v="42"/>
    <n v="42"/>
    <m/>
    <s v="   "/>
    <n v="8.4559999999999995"/>
  </r>
  <r>
    <x v="177"/>
    <s v="Puyallup School District"/>
    <s v="Personnel"/>
    <s v="E "/>
    <x v="0"/>
    <x v="18"/>
    <s v="PSES Elem Prog21Duty43 S275"/>
    <x v="1"/>
    <s v="43"/>
    <n v="43"/>
    <m/>
    <s v="   "/>
    <n v="5.8979999999999997"/>
  </r>
  <r>
    <x v="177"/>
    <s v="Puyallup School District"/>
    <s v="Personnel"/>
    <s v="H "/>
    <x v="1"/>
    <x v="19"/>
    <s v="PSES High Prog21Duty43 S275"/>
    <x v="1"/>
    <s v="43"/>
    <n v="43"/>
    <m/>
    <s v="   "/>
    <n v="3.6219999999999999"/>
  </r>
  <r>
    <x v="177"/>
    <s v="Puyallup School District"/>
    <s v="Personnel"/>
    <s v="M "/>
    <x v="2"/>
    <x v="31"/>
    <s v="PSES Mid Prog21Duty43 S275"/>
    <x v="1"/>
    <s v="43"/>
    <n v="43"/>
    <m/>
    <s v="   "/>
    <n v="1.68"/>
  </r>
  <r>
    <x v="177"/>
    <s v="Puyallup School District"/>
    <s v="Personnel"/>
    <s v="E "/>
    <x v="0"/>
    <x v="41"/>
    <s v="PSES Elem Prog21Duty44 S275"/>
    <x v="1"/>
    <s v="44"/>
    <n v="44"/>
    <m/>
    <s v="   "/>
    <n v="0.54"/>
  </r>
  <r>
    <x v="177"/>
    <s v="Puyallup School District"/>
    <s v="Personnel"/>
    <s v="H "/>
    <x v="1"/>
    <x v="43"/>
    <s v="PSES High Prog21Duty44 S275"/>
    <x v="1"/>
    <s v="44"/>
    <n v="44"/>
    <m/>
    <s v="   "/>
    <n v="0.31"/>
  </r>
  <r>
    <x v="177"/>
    <s v="Puyallup School District"/>
    <s v="Personnel"/>
    <s v="M "/>
    <x v="2"/>
    <x v="45"/>
    <s v="PSES Mid Prog21Duty44 S275"/>
    <x v="1"/>
    <s v="44"/>
    <n v="44"/>
    <m/>
    <s v="   "/>
    <n v="0.15"/>
  </r>
  <r>
    <x v="177"/>
    <s v="Puyallup School District"/>
    <s v="Personnel"/>
    <s v="E "/>
    <x v="0"/>
    <x v="20"/>
    <s v="PSES Elem Prog21Duty45 S275"/>
    <x v="1"/>
    <s v="45"/>
    <n v="45"/>
    <m/>
    <s v="   "/>
    <n v="15.39"/>
  </r>
  <r>
    <x v="177"/>
    <s v="Puyallup School District"/>
    <s v="Personnel"/>
    <s v="E "/>
    <x v="0"/>
    <x v="47"/>
    <s v="PSES Elem Prog01Duty45 S275"/>
    <x v="0"/>
    <s v="45"/>
    <n v="45"/>
    <m/>
    <s v="   "/>
    <n v="0.2"/>
  </r>
  <r>
    <x v="177"/>
    <s v="Puyallup School District"/>
    <s v="Personnel"/>
    <s v="H "/>
    <x v="1"/>
    <x v="21"/>
    <s v="PSES High Prog21Duty45 S275"/>
    <x v="1"/>
    <s v="45"/>
    <n v="45"/>
    <m/>
    <s v="   "/>
    <n v="8.8350000000000009"/>
  </r>
  <r>
    <x v="177"/>
    <s v="Puyallup School District"/>
    <s v="Personnel"/>
    <s v="M "/>
    <x v="2"/>
    <x v="28"/>
    <s v="PSES Mid Prog21Duty45 S275"/>
    <x v="1"/>
    <s v="45"/>
    <n v="45"/>
    <m/>
    <s v="   "/>
    <n v="4.2750000000000004"/>
  </r>
  <r>
    <x v="177"/>
    <s v="Puyallup School District"/>
    <s v="Personnel"/>
    <s v="E "/>
    <x v="0"/>
    <x v="22"/>
    <s v="PSES Elem Prog21Duty46 S275"/>
    <x v="1"/>
    <s v="46"/>
    <n v="46"/>
    <m/>
    <s v="   "/>
    <n v="13.068"/>
  </r>
  <r>
    <x v="177"/>
    <s v="Puyallup School District"/>
    <s v="Personnel"/>
    <s v="H "/>
    <x v="1"/>
    <x v="23"/>
    <s v="PSES High Prog21Duty46 S275"/>
    <x v="1"/>
    <s v="46"/>
    <n v="46"/>
    <m/>
    <s v="   "/>
    <n v="7.5019999999999998"/>
  </r>
  <r>
    <x v="177"/>
    <s v="Puyallup School District"/>
    <s v="Personnel"/>
    <s v="M "/>
    <x v="2"/>
    <x v="24"/>
    <s v="PSES Mid Prog21Duty46 S275"/>
    <x v="1"/>
    <s v="46"/>
    <n v="46"/>
    <m/>
    <s v="   "/>
    <n v="3.63"/>
  </r>
  <r>
    <x v="177"/>
    <s v="Puyallup School District"/>
    <s v="Personnel"/>
    <s v="E "/>
    <x v="0"/>
    <x v="27"/>
    <s v="PSES Elem Prog01Duty47 S275"/>
    <x v="0"/>
    <s v="47"/>
    <n v="47"/>
    <m/>
    <s v="   "/>
    <n v="9.36"/>
  </r>
  <r>
    <x v="177"/>
    <s v="Puyallup School District"/>
    <s v="Personnel"/>
    <s v="H "/>
    <x v="1"/>
    <x v="25"/>
    <s v="PSES High Prog01Duty47 S275"/>
    <x v="0"/>
    <s v="47"/>
    <n v="47"/>
    <m/>
    <s v="   "/>
    <n v="4.6929999999999996"/>
  </r>
  <r>
    <x v="177"/>
    <s v="Puyallup School District"/>
    <s v="Personnel"/>
    <s v="M "/>
    <x v="2"/>
    <x v="34"/>
    <s v="PSES Mid Prog01Duty47 S275"/>
    <x v="0"/>
    <s v="47"/>
    <n v="47"/>
    <m/>
    <s v="   "/>
    <n v="2.4470000000000001"/>
  </r>
  <r>
    <x v="177"/>
    <s v="Puyallup School District"/>
    <s v="Personnel"/>
    <s v="E "/>
    <x v="0"/>
    <x v="35"/>
    <s v="PSES Elem Prog21Duty48 S275"/>
    <x v="1"/>
    <s v="48"/>
    <n v="48"/>
    <m/>
    <s v="   "/>
    <n v="1.62"/>
  </r>
  <r>
    <x v="177"/>
    <s v="Puyallup School District"/>
    <s v="Personnel"/>
    <s v="H "/>
    <x v="1"/>
    <x v="36"/>
    <s v="PSES High Prog21Duty48 S275"/>
    <x v="1"/>
    <s v="48"/>
    <n v="48"/>
    <m/>
    <s v="   "/>
    <n v="0.93"/>
  </r>
  <r>
    <x v="177"/>
    <s v="Puyallup School District"/>
    <s v="Personnel"/>
    <s v="M "/>
    <x v="2"/>
    <x v="37"/>
    <s v="PSES Mid Prog21Duty48 S275"/>
    <x v="1"/>
    <s v="48"/>
    <n v="48"/>
    <m/>
    <s v="   "/>
    <n v="0.45"/>
  </r>
  <r>
    <x v="177"/>
    <s v="Puyallup School District"/>
    <s v="Personnel"/>
    <s v="E "/>
    <x v="0"/>
    <x v="26"/>
    <s v="PSES Elem Prog21Duty49 S275"/>
    <x v="1"/>
    <s v="49"/>
    <n v="49"/>
    <m/>
    <s v="   "/>
    <n v="2.7"/>
  </r>
  <r>
    <x v="177"/>
    <s v="Puyallup School District"/>
    <s v="Personnel"/>
    <s v="H "/>
    <x v="1"/>
    <x v="55"/>
    <s v="PSES High Prog21Duty49 S275"/>
    <x v="1"/>
    <s v="49"/>
    <n v="49"/>
    <m/>
    <s v="   "/>
    <n v="1.55"/>
  </r>
  <r>
    <x v="177"/>
    <s v="Puyallup School District"/>
    <s v="Personnel"/>
    <s v="M "/>
    <x v="2"/>
    <x v="50"/>
    <s v="PSES Mid Prog21Duty49 S275"/>
    <x v="1"/>
    <s v="49"/>
    <n v="49"/>
    <m/>
    <s v="   "/>
    <n v="0.75"/>
  </r>
  <r>
    <x v="178"/>
    <s v="Tacoma School District"/>
    <s v="Personnel"/>
    <s v="E "/>
    <x v="0"/>
    <x v="71"/>
    <s v="PSES Elem Prog97Act25 S275"/>
    <x v="2"/>
    <s v="25"/>
    <m/>
    <n v="25"/>
    <s v="   "/>
    <n v="1.3"/>
  </r>
  <r>
    <x v="178"/>
    <s v="Tacoma School District"/>
    <s v="Personnel"/>
    <s v="E "/>
    <x v="0"/>
    <x v="3"/>
    <s v="PSES Elem Prog01Act25 S275"/>
    <x v="0"/>
    <s v="25"/>
    <m/>
    <n v="25"/>
    <s v="   "/>
    <n v="23.221"/>
  </r>
  <r>
    <x v="178"/>
    <s v="Tacoma School District"/>
    <s v="Personnel"/>
    <s v="H "/>
    <x v="1"/>
    <x v="4"/>
    <s v="PSES High Prog21Act25 S275"/>
    <x v="1"/>
    <s v="25"/>
    <m/>
    <n v="25"/>
    <s v="   "/>
    <n v="6.72"/>
  </r>
  <r>
    <x v="178"/>
    <s v="Tacoma School District"/>
    <s v="Personnel"/>
    <s v="E "/>
    <x v="0"/>
    <x v="8"/>
    <s v="PSES Elem Prog01Act26 S275"/>
    <x v="0"/>
    <s v="26"/>
    <m/>
    <n v="26"/>
    <s v="   "/>
    <n v="16.109000000000002"/>
  </r>
  <r>
    <x v="178"/>
    <s v="Tacoma School District"/>
    <s v="Personnel"/>
    <s v="H "/>
    <x v="1"/>
    <x v="29"/>
    <s v="PSES High Prog21Act26 S275"/>
    <x v="1"/>
    <s v="26"/>
    <m/>
    <n v="26"/>
    <s v="   "/>
    <n v="5.944"/>
  </r>
  <r>
    <x v="178"/>
    <s v="Tacoma School District"/>
    <s v="Personnel"/>
    <s v="E "/>
    <x v="0"/>
    <x v="15"/>
    <s v="PSES Elem Prog01Duty42 S275"/>
    <x v="0"/>
    <s v="42"/>
    <n v="42"/>
    <m/>
    <s v="   "/>
    <n v="47.741999999999997"/>
  </r>
  <r>
    <x v="178"/>
    <s v="Tacoma School District"/>
    <s v="Personnel"/>
    <s v="H "/>
    <x v="1"/>
    <x v="16"/>
    <s v="PSES High Prog01Duty42 S275"/>
    <x v="0"/>
    <s v="42"/>
    <n v="42"/>
    <m/>
    <s v="   "/>
    <n v="21"/>
  </r>
  <r>
    <x v="178"/>
    <s v="Tacoma School District"/>
    <s v="Personnel"/>
    <s v="M "/>
    <x v="2"/>
    <x v="17"/>
    <s v="PSES Mid Prog01Duty42 S275"/>
    <x v="0"/>
    <s v="42"/>
    <n v="42"/>
    <m/>
    <s v="   "/>
    <n v="13.438000000000001"/>
  </r>
  <r>
    <x v="178"/>
    <s v="Tacoma School District"/>
    <s v="Personnel"/>
    <s v="E "/>
    <x v="0"/>
    <x v="18"/>
    <s v="PSES Elem Prog21Duty43 S275"/>
    <x v="1"/>
    <s v="43"/>
    <n v="43"/>
    <m/>
    <s v="   "/>
    <n v="10.9"/>
  </r>
  <r>
    <x v="178"/>
    <s v="Tacoma School District"/>
    <s v="Personnel"/>
    <s v="H "/>
    <x v="1"/>
    <x v="19"/>
    <s v="PSES High Prog21Duty43 S275"/>
    <x v="1"/>
    <s v="43"/>
    <n v="43"/>
    <m/>
    <s v="   "/>
    <n v="7.27"/>
  </r>
  <r>
    <x v="178"/>
    <s v="Tacoma School District"/>
    <s v="Personnel"/>
    <s v="M "/>
    <x v="2"/>
    <x v="31"/>
    <s v="PSES Mid Prog21Duty43 S275"/>
    <x v="1"/>
    <s v="43"/>
    <n v="43"/>
    <m/>
    <s v="   "/>
    <n v="3.03"/>
  </r>
  <r>
    <x v="178"/>
    <s v="Tacoma School District"/>
    <s v="Personnel"/>
    <s v="E "/>
    <x v="0"/>
    <x v="42"/>
    <s v="PSES Elem Prog01Duty44 S275"/>
    <x v="0"/>
    <s v="44"/>
    <n v="44"/>
    <m/>
    <s v="   "/>
    <n v="0.4"/>
  </r>
  <r>
    <x v="178"/>
    <s v="Tacoma School District"/>
    <s v="Personnel"/>
    <s v="H "/>
    <x v="1"/>
    <x v="44"/>
    <s v="PSES High Prog01Duty44 S275"/>
    <x v="0"/>
    <s v="44"/>
    <n v="44"/>
    <m/>
    <s v="   "/>
    <n v="3"/>
  </r>
  <r>
    <x v="178"/>
    <s v="Tacoma School District"/>
    <s v="Personnel"/>
    <s v="E "/>
    <x v="0"/>
    <x v="20"/>
    <s v="PSES Elem Prog21Duty45 S275"/>
    <x v="1"/>
    <s v="45"/>
    <n v="45"/>
    <m/>
    <s v="   "/>
    <n v="26.516999999999999"/>
  </r>
  <r>
    <x v="178"/>
    <s v="Tacoma School District"/>
    <s v="Personnel"/>
    <s v="H "/>
    <x v="1"/>
    <x v="21"/>
    <s v="PSES High Prog21Duty45 S275"/>
    <x v="1"/>
    <s v="45"/>
    <n v="45"/>
    <m/>
    <s v="   "/>
    <n v="17.693000000000001"/>
  </r>
  <r>
    <x v="178"/>
    <s v="Tacoma School District"/>
    <s v="Personnel"/>
    <s v="M "/>
    <x v="2"/>
    <x v="28"/>
    <s v="PSES Mid Prog21Duty45 S275"/>
    <x v="1"/>
    <s v="45"/>
    <n v="45"/>
    <m/>
    <s v="   "/>
    <n v="7.3760000000000003"/>
  </r>
  <r>
    <x v="178"/>
    <s v="Tacoma School District"/>
    <s v="Personnel"/>
    <s v="E "/>
    <x v="0"/>
    <x v="22"/>
    <s v="PSES Elem Prog21Duty46 S275"/>
    <x v="1"/>
    <s v="46"/>
    <n v="46"/>
    <m/>
    <s v="   "/>
    <n v="16.690999999999999"/>
  </r>
  <r>
    <x v="178"/>
    <s v="Tacoma School District"/>
    <s v="Personnel"/>
    <s v="H "/>
    <x v="1"/>
    <x v="23"/>
    <s v="PSES High Prog21Duty46 S275"/>
    <x v="1"/>
    <s v="46"/>
    <n v="46"/>
    <m/>
    <s v="   "/>
    <n v="11.137"/>
  </r>
  <r>
    <x v="178"/>
    <s v="Tacoma School District"/>
    <s v="Personnel"/>
    <s v="M "/>
    <x v="2"/>
    <x v="24"/>
    <s v="PSES Mid Prog21Duty46 S275"/>
    <x v="1"/>
    <s v="46"/>
    <n v="46"/>
    <m/>
    <s v="   "/>
    <n v="4.6429999999999998"/>
  </r>
  <r>
    <x v="178"/>
    <s v="Tacoma School District"/>
    <s v="Personnel"/>
    <s v="E "/>
    <x v="0"/>
    <x v="32"/>
    <s v="PSES Elem Prog21Duty47 S275"/>
    <x v="1"/>
    <s v="47"/>
    <n v="47"/>
    <m/>
    <s v="   "/>
    <n v="0.308"/>
  </r>
  <r>
    <x v="178"/>
    <s v="Tacoma School District"/>
    <s v="Personnel"/>
    <s v="E "/>
    <x v="0"/>
    <x v="27"/>
    <s v="PSES Elem Prog01Duty47 S275"/>
    <x v="0"/>
    <s v="47"/>
    <n v="47"/>
    <m/>
    <s v="   "/>
    <n v="15.776999999999999"/>
  </r>
  <r>
    <x v="178"/>
    <s v="Tacoma School District"/>
    <s v="Personnel"/>
    <s v="H "/>
    <x v="1"/>
    <x v="61"/>
    <s v="PSES High Prog21Duty47 S275"/>
    <x v="1"/>
    <s v="47"/>
    <n v="47"/>
    <m/>
    <s v="   "/>
    <n v="0.20599999999999999"/>
  </r>
  <r>
    <x v="178"/>
    <s v="Tacoma School District"/>
    <s v="Personnel"/>
    <s v="H "/>
    <x v="1"/>
    <x v="25"/>
    <s v="PSES High Prog01Duty47 S275"/>
    <x v="0"/>
    <s v="47"/>
    <n v="47"/>
    <m/>
    <s v="   "/>
    <n v="6.7450000000000001"/>
  </r>
  <r>
    <x v="178"/>
    <s v="Tacoma School District"/>
    <s v="Personnel"/>
    <s v="M "/>
    <x v="2"/>
    <x v="33"/>
    <s v="PSES Mid Prog21Duty47 S275"/>
    <x v="1"/>
    <s v="47"/>
    <n v="47"/>
    <m/>
    <s v="   "/>
    <n v="8.5999999999999993E-2"/>
  </r>
  <r>
    <x v="178"/>
    <s v="Tacoma School District"/>
    <s v="Personnel"/>
    <s v="M "/>
    <x v="2"/>
    <x v="34"/>
    <s v="PSES Mid Prog01Duty47 S275"/>
    <x v="0"/>
    <s v="47"/>
    <n v="47"/>
    <m/>
    <s v="   "/>
    <n v="3.758"/>
  </r>
  <r>
    <x v="178"/>
    <s v="Tacoma School District"/>
    <s v="Personnel"/>
    <s v="E "/>
    <x v="0"/>
    <x v="35"/>
    <s v="PSES Elem Prog21Duty48 S275"/>
    <x v="1"/>
    <s v="48"/>
    <n v="48"/>
    <m/>
    <s v="   "/>
    <n v="5.0359999999999996"/>
  </r>
  <r>
    <x v="178"/>
    <s v="Tacoma School District"/>
    <s v="Personnel"/>
    <s v="H "/>
    <x v="1"/>
    <x v="36"/>
    <s v="PSES High Prog21Duty48 S275"/>
    <x v="1"/>
    <s v="48"/>
    <n v="48"/>
    <m/>
    <s v="   "/>
    <n v="3.3620000000000001"/>
  </r>
  <r>
    <x v="178"/>
    <s v="Tacoma School District"/>
    <s v="Personnel"/>
    <s v="M "/>
    <x v="2"/>
    <x v="37"/>
    <s v="PSES Mid Prog21Duty48 S275"/>
    <x v="1"/>
    <s v="48"/>
    <n v="48"/>
    <m/>
    <s v="   "/>
    <n v="1.4019999999999999"/>
  </r>
  <r>
    <x v="178"/>
    <s v="Tacoma School District"/>
    <s v="Personnel"/>
    <s v="E "/>
    <x v="0"/>
    <x v="26"/>
    <s v="PSES Elem Prog21Duty49 S275"/>
    <x v="1"/>
    <s v="49"/>
    <n v="49"/>
    <m/>
    <s v="   "/>
    <n v="2.056"/>
  </r>
  <r>
    <x v="178"/>
    <s v="Tacoma School District"/>
    <s v="Personnel"/>
    <s v="H "/>
    <x v="1"/>
    <x v="55"/>
    <s v="PSES High Prog21Duty49 S275"/>
    <x v="1"/>
    <s v="49"/>
    <n v="49"/>
    <m/>
    <s v="   "/>
    <n v="1.3720000000000001"/>
  </r>
  <r>
    <x v="178"/>
    <s v="Tacoma School District"/>
    <s v="Personnel"/>
    <s v="H "/>
    <x v="1"/>
    <x v="68"/>
    <s v="PSES High Prog01Duty49 S275"/>
    <x v="0"/>
    <s v="49"/>
    <n v="49"/>
    <m/>
    <s v="   "/>
    <n v="1"/>
  </r>
  <r>
    <x v="178"/>
    <s v="Tacoma School District"/>
    <s v="Personnel"/>
    <s v="M "/>
    <x v="2"/>
    <x v="50"/>
    <s v="PSES Mid Prog21Duty49 S275"/>
    <x v="1"/>
    <s v="49"/>
    <n v="49"/>
    <m/>
    <s v="   "/>
    <n v="0.57199999999999995"/>
  </r>
  <r>
    <x v="179"/>
    <s v="University Place School District"/>
    <s v="Personnel"/>
    <s v="H "/>
    <x v="1"/>
    <x v="1"/>
    <s v="PSES High Prog01Duty96 S275"/>
    <x v="0"/>
    <s v="24"/>
    <n v="96"/>
    <n v="24"/>
    <s v="   "/>
    <n v="0.36199999999999999"/>
  </r>
  <r>
    <x v="179"/>
    <s v="University Place School District"/>
    <s v="Personnel"/>
    <s v="H "/>
    <x v="1"/>
    <x v="5"/>
    <s v="PSES High Prog01Act25 S275"/>
    <x v="0"/>
    <s v="25"/>
    <m/>
    <n v="25"/>
    <s v="   "/>
    <n v="9.3239999999999998"/>
  </r>
  <r>
    <x v="179"/>
    <s v="University Place School District"/>
    <s v="Personnel"/>
    <s v="H "/>
    <x v="1"/>
    <x v="29"/>
    <s v="PSES High Prog21Act26 S275"/>
    <x v="1"/>
    <s v="26"/>
    <m/>
    <n v="26"/>
    <s v="   "/>
    <n v="2.3879999999999999"/>
  </r>
  <r>
    <x v="179"/>
    <s v="University Place School District"/>
    <s v="Personnel"/>
    <s v="H "/>
    <x v="1"/>
    <x v="9"/>
    <s v="PSES High Prog01Act26 S275"/>
    <x v="0"/>
    <s v="26"/>
    <m/>
    <n v="26"/>
    <s v="   "/>
    <n v="6.0990000000000002"/>
  </r>
  <r>
    <x v="179"/>
    <s v="University Place School District"/>
    <s v="Personnel"/>
    <s v="H "/>
    <x v="1"/>
    <x v="54"/>
    <s v="PSES High Prog01Act35 S275"/>
    <x v="0"/>
    <s v="35"/>
    <m/>
    <n v="35"/>
    <s v="   "/>
    <n v="0.74299999999999999"/>
  </r>
  <r>
    <x v="179"/>
    <s v="University Place School District"/>
    <s v="Personnel"/>
    <s v="E "/>
    <x v="0"/>
    <x v="15"/>
    <s v="PSES Elem Prog01Duty42 S275"/>
    <x v="0"/>
    <s v="42"/>
    <n v="42"/>
    <m/>
    <s v="   "/>
    <n v="6.59"/>
  </r>
  <r>
    <x v="179"/>
    <s v="University Place School District"/>
    <s v="Personnel"/>
    <s v="H "/>
    <x v="1"/>
    <x v="16"/>
    <s v="PSES High Prog01Duty42 S275"/>
    <x v="0"/>
    <s v="42"/>
    <n v="42"/>
    <m/>
    <s v="   "/>
    <n v="4.53"/>
  </r>
  <r>
    <x v="179"/>
    <s v="University Place School District"/>
    <s v="Personnel"/>
    <s v="M "/>
    <x v="2"/>
    <x v="17"/>
    <s v="PSES Mid Prog01Duty42 S275"/>
    <x v="0"/>
    <s v="42"/>
    <n v="42"/>
    <m/>
    <s v="   "/>
    <n v="2.88"/>
  </r>
  <r>
    <x v="179"/>
    <s v="University Place School District"/>
    <s v="Personnel"/>
    <s v="E "/>
    <x v="0"/>
    <x v="18"/>
    <s v="PSES Elem Prog21Duty43 S275"/>
    <x v="1"/>
    <s v="43"/>
    <n v="43"/>
    <m/>
    <s v="   "/>
    <n v="1.17"/>
  </r>
  <r>
    <x v="179"/>
    <s v="University Place School District"/>
    <s v="Personnel"/>
    <s v="H "/>
    <x v="1"/>
    <x v="19"/>
    <s v="PSES High Prog21Duty43 S275"/>
    <x v="1"/>
    <s v="43"/>
    <n v="43"/>
    <m/>
    <s v="   "/>
    <n v="0.25"/>
  </r>
  <r>
    <x v="179"/>
    <s v="University Place School District"/>
    <s v="Personnel"/>
    <s v="M "/>
    <x v="2"/>
    <x v="31"/>
    <s v="PSES Mid Prog21Duty43 S275"/>
    <x v="1"/>
    <s v="43"/>
    <n v="43"/>
    <m/>
    <s v="   "/>
    <n v="0.25"/>
  </r>
  <r>
    <x v="179"/>
    <s v="University Place School District"/>
    <s v="Personnel"/>
    <s v="E "/>
    <x v="0"/>
    <x v="20"/>
    <s v="PSES Elem Prog21Duty45 S275"/>
    <x v="1"/>
    <s v="45"/>
    <n v="45"/>
    <m/>
    <s v="   "/>
    <n v="7.2"/>
  </r>
  <r>
    <x v="179"/>
    <s v="University Place School District"/>
    <s v="Personnel"/>
    <s v="H "/>
    <x v="1"/>
    <x v="21"/>
    <s v="PSES High Prog21Duty45 S275"/>
    <x v="1"/>
    <s v="45"/>
    <n v="45"/>
    <m/>
    <s v="   "/>
    <n v="0.2"/>
  </r>
  <r>
    <x v="179"/>
    <s v="University Place School District"/>
    <s v="Personnel"/>
    <s v="M "/>
    <x v="2"/>
    <x v="28"/>
    <s v="PSES Mid Prog21Duty45 S275"/>
    <x v="1"/>
    <s v="45"/>
    <n v="45"/>
    <m/>
    <s v="   "/>
    <n v="1.4"/>
  </r>
  <r>
    <x v="179"/>
    <s v="University Place School District"/>
    <s v="Personnel"/>
    <s v="E "/>
    <x v="0"/>
    <x v="35"/>
    <s v="PSES Elem Prog21Duty48 S275"/>
    <x v="1"/>
    <s v="48"/>
    <n v="48"/>
    <m/>
    <s v="   "/>
    <n v="0.64500000000000002"/>
  </r>
  <r>
    <x v="179"/>
    <s v="University Place School District"/>
    <s v="Personnel"/>
    <s v="H "/>
    <x v="1"/>
    <x v="36"/>
    <s v="PSES High Prog21Duty48 S275"/>
    <x v="1"/>
    <s v="48"/>
    <n v="48"/>
    <m/>
    <s v="   "/>
    <n v="0.56999999999999995"/>
  </r>
  <r>
    <x v="179"/>
    <s v="University Place School District"/>
    <s v="Personnel"/>
    <s v="M "/>
    <x v="2"/>
    <x v="37"/>
    <s v="PSES Mid Prog21Duty48 S275"/>
    <x v="1"/>
    <s v="48"/>
    <n v="48"/>
    <m/>
    <s v="   "/>
    <n v="0.14299999999999999"/>
  </r>
  <r>
    <x v="180"/>
    <s v="Sumner-Bonney Lake School District"/>
    <s v="Personnel"/>
    <s v="H "/>
    <x v="1"/>
    <x v="5"/>
    <s v="PSES High Prog01Act25 S275"/>
    <x v="0"/>
    <s v="25"/>
    <m/>
    <n v="25"/>
    <s v="   "/>
    <n v="3.73"/>
  </r>
  <r>
    <x v="180"/>
    <s v="Sumner-Bonney Lake School District"/>
    <s v="Personnel"/>
    <s v="E "/>
    <x v="0"/>
    <x v="7"/>
    <s v="PSES Elem Prog21Act26 S275"/>
    <x v="1"/>
    <s v="26"/>
    <m/>
    <n v="26"/>
    <s v="   "/>
    <n v="0.85"/>
  </r>
  <r>
    <x v="180"/>
    <s v="Sumner-Bonney Lake School District"/>
    <s v="Personnel"/>
    <s v="E "/>
    <x v="0"/>
    <x v="8"/>
    <s v="PSES Elem Prog01Act26 S275"/>
    <x v="0"/>
    <s v="26"/>
    <m/>
    <n v="26"/>
    <s v="   "/>
    <n v="4.0730000000000004"/>
  </r>
  <r>
    <x v="180"/>
    <s v="Sumner-Bonney Lake School District"/>
    <s v="Personnel"/>
    <s v="H "/>
    <x v="1"/>
    <x v="29"/>
    <s v="PSES High Prog21Act26 S275"/>
    <x v="1"/>
    <s v="26"/>
    <m/>
    <n v="26"/>
    <s v="   "/>
    <n v="0.52600000000000002"/>
  </r>
  <r>
    <x v="180"/>
    <s v="Sumner-Bonney Lake School District"/>
    <s v="Personnel"/>
    <s v="H "/>
    <x v="1"/>
    <x v="9"/>
    <s v="PSES High Prog01Act26 S275"/>
    <x v="0"/>
    <s v="26"/>
    <m/>
    <n v="26"/>
    <s v="   "/>
    <n v="6.0780000000000003"/>
  </r>
  <r>
    <x v="180"/>
    <s v="Sumner-Bonney Lake School District"/>
    <s v="Personnel"/>
    <s v="M "/>
    <x v="2"/>
    <x v="10"/>
    <s v="PSES Mid Prog21Act26 S275"/>
    <x v="1"/>
    <s v="26"/>
    <m/>
    <n v="26"/>
    <s v="   "/>
    <n v="0.254"/>
  </r>
  <r>
    <x v="180"/>
    <s v="Sumner-Bonney Lake School District"/>
    <s v="Personnel"/>
    <s v="M "/>
    <x v="2"/>
    <x v="11"/>
    <s v="PSES Mid Prog01Act26 S275"/>
    <x v="0"/>
    <s v="26"/>
    <m/>
    <n v="26"/>
    <s v="   "/>
    <n v="1.3380000000000001"/>
  </r>
  <r>
    <x v="180"/>
    <s v="Sumner-Bonney Lake School District"/>
    <s v="Personnel"/>
    <s v="E "/>
    <x v="0"/>
    <x v="62"/>
    <s v="PSES Elem Prog01Act35 S275"/>
    <x v="0"/>
    <s v="35"/>
    <m/>
    <n v="35"/>
    <s v="   "/>
    <n v="0.25600000000000001"/>
  </r>
  <r>
    <x v="180"/>
    <s v="Sumner-Bonney Lake School District"/>
    <s v="Personnel"/>
    <s v="H "/>
    <x v="1"/>
    <x v="54"/>
    <s v="PSES High Prog01Act35 S275"/>
    <x v="0"/>
    <s v="35"/>
    <m/>
    <n v="35"/>
    <s v="   "/>
    <n v="2.238"/>
  </r>
  <r>
    <x v="180"/>
    <s v="Sumner-Bonney Lake School District"/>
    <s v="Personnel"/>
    <s v="M "/>
    <x v="2"/>
    <x v="63"/>
    <s v="PSES Mid Prog01Act35 S275"/>
    <x v="0"/>
    <s v="35"/>
    <m/>
    <n v="35"/>
    <s v="   "/>
    <n v="0.49"/>
  </r>
  <r>
    <x v="180"/>
    <s v="Sumner-Bonney Lake School District"/>
    <s v="Personnel"/>
    <s v="E "/>
    <x v="0"/>
    <x v="14"/>
    <s v="PSES Elem Prog21Duty39 S275"/>
    <x v="1"/>
    <s v="39"/>
    <n v="39"/>
    <m/>
    <s v="   "/>
    <n v="0.52300000000000002"/>
  </r>
  <r>
    <x v="180"/>
    <s v="Sumner-Bonney Lake School District"/>
    <s v="Personnel"/>
    <s v="H "/>
    <x v="1"/>
    <x v="83"/>
    <s v="PSES High Prog21Duty39 S275"/>
    <x v="1"/>
    <s v="39"/>
    <n v="39"/>
    <m/>
    <s v="   "/>
    <n v="0.33200000000000002"/>
  </r>
  <r>
    <x v="180"/>
    <s v="Sumner-Bonney Lake School District"/>
    <s v="Personnel"/>
    <s v="M "/>
    <x v="2"/>
    <x v="88"/>
    <s v="PSES Mid Prog21Duty39 S275"/>
    <x v="1"/>
    <s v="39"/>
    <n v="39"/>
    <m/>
    <s v="   "/>
    <n v="0.14499999999999999"/>
  </r>
  <r>
    <x v="180"/>
    <s v="Sumner-Bonney Lake School District"/>
    <s v="Personnel"/>
    <s v="E "/>
    <x v="0"/>
    <x v="76"/>
    <s v="PSES Elem Prog21Duty42 S275"/>
    <x v="1"/>
    <s v="42"/>
    <n v="42"/>
    <m/>
    <s v="   "/>
    <n v="1.7430000000000001"/>
  </r>
  <r>
    <x v="180"/>
    <s v="Sumner-Bonney Lake School District"/>
    <s v="Personnel"/>
    <s v="E "/>
    <x v="0"/>
    <x v="15"/>
    <s v="PSES Elem Prog01Duty42 S275"/>
    <x v="0"/>
    <s v="42"/>
    <n v="42"/>
    <m/>
    <s v="   "/>
    <n v="12.516"/>
  </r>
  <r>
    <x v="180"/>
    <s v="Sumner-Bonney Lake School District"/>
    <s v="Personnel"/>
    <s v="H "/>
    <x v="1"/>
    <x v="16"/>
    <s v="PSES High Prog01Duty42 S275"/>
    <x v="0"/>
    <s v="42"/>
    <n v="42"/>
    <m/>
    <s v="   "/>
    <n v="9.5"/>
  </r>
  <r>
    <x v="180"/>
    <s v="Sumner-Bonney Lake School District"/>
    <s v="Personnel"/>
    <s v="M "/>
    <x v="2"/>
    <x v="75"/>
    <s v="PSES Mid Prog21Duty42 S275"/>
    <x v="1"/>
    <s v="42"/>
    <n v="42"/>
    <m/>
    <s v="   "/>
    <n v="0.45700000000000002"/>
  </r>
  <r>
    <x v="180"/>
    <s v="Sumner-Bonney Lake School District"/>
    <s v="Personnel"/>
    <s v="M "/>
    <x v="2"/>
    <x v="17"/>
    <s v="PSES Mid Prog01Duty42 S275"/>
    <x v="0"/>
    <s v="42"/>
    <n v="42"/>
    <m/>
    <s v="   "/>
    <n v="3.8839999999999999"/>
  </r>
  <r>
    <x v="180"/>
    <s v="Sumner-Bonney Lake School District"/>
    <s v="Personnel"/>
    <s v="E "/>
    <x v="0"/>
    <x v="18"/>
    <s v="PSES Elem Prog21Duty43 S275"/>
    <x v="1"/>
    <s v="43"/>
    <n v="43"/>
    <m/>
    <s v="   "/>
    <n v="5.9130000000000003"/>
  </r>
  <r>
    <x v="180"/>
    <s v="Sumner-Bonney Lake School District"/>
    <s v="Personnel"/>
    <s v="H "/>
    <x v="1"/>
    <x v="19"/>
    <s v="PSES High Prog21Duty43 S275"/>
    <x v="1"/>
    <s v="43"/>
    <n v="43"/>
    <m/>
    <s v="   "/>
    <n v="0.63200000000000001"/>
  </r>
  <r>
    <x v="180"/>
    <s v="Sumner-Bonney Lake School District"/>
    <s v="Personnel"/>
    <s v="M "/>
    <x v="2"/>
    <x v="31"/>
    <s v="PSES Mid Prog21Duty43 S275"/>
    <x v="1"/>
    <s v="43"/>
    <n v="43"/>
    <m/>
    <s v="   "/>
    <n v="0.45500000000000002"/>
  </r>
  <r>
    <x v="180"/>
    <s v="Sumner-Bonney Lake School District"/>
    <s v="Personnel"/>
    <s v="E "/>
    <x v="0"/>
    <x v="41"/>
    <s v="PSES Elem Prog21Duty44 S275"/>
    <x v="1"/>
    <s v="44"/>
    <n v="44"/>
    <m/>
    <s v="   "/>
    <n v="4.97"/>
  </r>
  <r>
    <x v="180"/>
    <s v="Sumner-Bonney Lake School District"/>
    <s v="Personnel"/>
    <s v="E "/>
    <x v="0"/>
    <x v="42"/>
    <s v="PSES Elem Prog01Duty44 S275"/>
    <x v="0"/>
    <s v="44"/>
    <n v="44"/>
    <m/>
    <s v="   "/>
    <n v="0.875"/>
  </r>
  <r>
    <x v="180"/>
    <s v="Sumner-Bonney Lake School District"/>
    <s v="Personnel"/>
    <s v="H "/>
    <x v="1"/>
    <x v="43"/>
    <s v="PSES High Prog21Duty44 S275"/>
    <x v="1"/>
    <s v="44"/>
    <n v="44"/>
    <m/>
    <s v="   "/>
    <n v="1.4"/>
  </r>
  <r>
    <x v="180"/>
    <s v="Sumner-Bonney Lake School District"/>
    <s v="Personnel"/>
    <s v="H "/>
    <x v="1"/>
    <x v="44"/>
    <s v="PSES High Prog01Duty44 S275"/>
    <x v="0"/>
    <s v="44"/>
    <n v="44"/>
    <m/>
    <s v="   "/>
    <n v="0.6"/>
  </r>
  <r>
    <x v="180"/>
    <s v="Sumner-Bonney Lake School District"/>
    <s v="Personnel"/>
    <s v="M "/>
    <x v="2"/>
    <x v="45"/>
    <s v="PSES Mid Prog21Duty44 S275"/>
    <x v="1"/>
    <s v="44"/>
    <n v="44"/>
    <m/>
    <s v="   "/>
    <n v="0.92900000000000005"/>
  </r>
  <r>
    <x v="180"/>
    <s v="Sumner-Bonney Lake School District"/>
    <s v="Personnel"/>
    <s v="M "/>
    <x v="2"/>
    <x v="46"/>
    <s v="PSES Mid Prog01Duty44 S275"/>
    <x v="0"/>
    <s v="44"/>
    <n v="44"/>
    <m/>
    <s v="   "/>
    <n v="1.7250000000000001"/>
  </r>
  <r>
    <x v="180"/>
    <s v="Sumner-Bonney Lake School District"/>
    <s v="Personnel"/>
    <s v="E "/>
    <x v="0"/>
    <x v="20"/>
    <s v="PSES Elem Prog21Duty45 S275"/>
    <x v="1"/>
    <s v="45"/>
    <n v="45"/>
    <m/>
    <s v="   "/>
    <n v="12.727"/>
  </r>
  <r>
    <x v="180"/>
    <s v="Sumner-Bonney Lake School District"/>
    <s v="Personnel"/>
    <s v="H "/>
    <x v="1"/>
    <x v="21"/>
    <s v="PSES High Prog21Duty45 S275"/>
    <x v="1"/>
    <s v="45"/>
    <n v="45"/>
    <m/>
    <s v="   "/>
    <n v="2.762"/>
  </r>
  <r>
    <x v="180"/>
    <s v="Sumner-Bonney Lake School District"/>
    <s v="Personnel"/>
    <s v="M "/>
    <x v="2"/>
    <x v="28"/>
    <s v="PSES Mid Prog21Duty45 S275"/>
    <x v="1"/>
    <s v="45"/>
    <n v="45"/>
    <m/>
    <s v="   "/>
    <n v="1.4119999999999999"/>
  </r>
  <r>
    <x v="180"/>
    <s v="Sumner-Bonney Lake School District"/>
    <s v="Personnel"/>
    <s v="E "/>
    <x v="0"/>
    <x v="22"/>
    <s v="PSES Elem Prog21Duty46 S275"/>
    <x v="1"/>
    <s v="46"/>
    <n v="46"/>
    <m/>
    <s v="   "/>
    <n v="7.1980000000000004"/>
  </r>
  <r>
    <x v="180"/>
    <s v="Sumner-Bonney Lake School District"/>
    <s v="Personnel"/>
    <s v="H "/>
    <x v="1"/>
    <x v="23"/>
    <s v="PSES High Prog21Duty46 S275"/>
    <x v="1"/>
    <s v="46"/>
    <n v="46"/>
    <m/>
    <s v="   "/>
    <n v="3.9990000000000001"/>
  </r>
  <r>
    <x v="180"/>
    <s v="Sumner-Bonney Lake School District"/>
    <s v="Personnel"/>
    <s v="M "/>
    <x v="2"/>
    <x v="24"/>
    <s v="PSES Mid Prog21Duty46 S275"/>
    <x v="1"/>
    <s v="46"/>
    <n v="46"/>
    <m/>
    <s v="   "/>
    <n v="1.8049999999999999"/>
  </r>
  <r>
    <x v="180"/>
    <s v="Sumner-Bonney Lake School District"/>
    <s v="Personnel"/>
    <s v="E "/>
    <x v="0"/>
    <x v="27"/>
    <s v="PSES Elem Prog01Duty47 S275"/>
    <x v="0"/>
    <s v="47"/>
    <n v="47"/>
    <m/>
    <s v="   "/>
    <n v="1.548"/>
  </r>
  <r>
    <x v="180"/>
    <s v="Sumner-Bonney Lake School District"/>
    <s v="Personnel"/>
    <s v="H "/>
    <x v="1"/>
    <x v="25"/>
    <s v="PSES High Prog01Duty47 S275"/>
    <x v="0"/>
    <s v="47"/>
    <n v="47"/>
    <m/>
    <s v="   "/>
    <n v="0.996"/>
  </r>
  <r>
    <x v="180"/>
    <s v="Sumner-Bonney Lake School District"/>
    <s v="Personnel"/>
    <s v="M "/>
    <x v="2"/>
    <x v="34"/>
    <s v="PSES Mid Prog01Duty47 S275"/>
    <x v="0"/>
    <s v="47"/>
    <n v="47"/>
    <m/>
    <s v="   "/>
    <n v="0.45600000000000002"/>
  </r>
  <r>
    <x v="180"/>
    <s v="Sumner-Bonney Lake School District"/>
    <s v="Personnel"/>
    <s v="E "/>
    <x v="0"/>
    <x v="35"/>
    <s v="PSES Elem Prog21Duty48 S275"/>
    <x v="1"/>
    <s v="48"/>
    <n v="48"/>
    <m/>
    <s v="   "/>
    <n v="1.6839999999999999"/>
  </r>
  <r>
    <x v="180"/>
    <s v="Sumner-Bonney Lake School District"/>
    <s v="Personnel"/>
    <s v="H "/>
    <x v="1"/>
    <x v="36"/>
    <s v="PSES High Prog21Duty48 S275"/>
    <x v="1"/>
    <s v="48"/>
    <n v="48"/>
    <m/>
    <s v="   "/>
    <n v="0.23300000000000001"/>
  </r>
  <r>
    <x v="180"/>
    <s v="Sumner-Bonney Lake School District"/>
    <s v="Personnel"/>
    <s v="M "/>
    <x v="2"/>
    <x v="37"/>
    <s v="PSES Mid Prog21Duty48 S275"/>
    <x v="1"/>
    <s v="48"/>
    <n v="48"/>
    <m/>
    <s v="   "/>
    <n v="8.3000000000000004E-2"/>
  </r>
  <r>
    <x v="180"/>
    <s v="Sumner-Bonney Lake School District"/>
    <s v="Personnel"/>
    <s v="E "/>
    <x v="0"/>
    <x v="26"/>
    <s v="PSES Elem Prog21Duty49 S275"/>
    <x v="1"/>
    <s v="49"/>
    <n v="49"/>
    <m/>
    <s v="   "/>
    <n v="1"/>
  </r>
  <r>
    <x v="181"/>
    <s v="Dieringer School District"/>
    <s v="Personnel"/>
    <s v="H "/>
    <x v="1"/>
    <x v="4"/>
    <s v="PSES High Prog21Act25 S275"/>
    <x v="1"/>
    <s v="25"/>
    <m/>
    <n v="25"/>
    <s v="   "/>
    <n v="1.36"/>
  </r>
  <r>
    <x v="181"/>
    <s v="Dieringer School District"/>
    <s v="Personnel"/>
    <s v="H "/>
    <x v="1"/>
    <x v="5"/>
    <s v="PSES High Prog01Act25 S275"/>
    <x v="0"/>
    <s v="25"/>
    <m/>
    <n v="25"/>
    <s v="   "/>
    <n v="1.593"/>
  </r>
  <r>
    <x v="181"/>
    <s v="Dieringer School District"/>
    <s v="Personnel"/>
    <s v="M "/>
    <x v="2"/>
    <x v="6"/>
    <s v="PSES Mid Prog01Act25 S275"/>
    <x v="0"/>
    <s v="25"/>
    <m/>
    <n v="25"/>
    <s v="   "/>
    <n v="8.8999999999999996E-2"/>
  </r>
  <r>
    <x v="181"/>
    <s v="Dieringer School District"/>
    <s v="Personnel"/>
    <s v="E "/>
    <x v="0"/>
    <x v="8"/>
    <s v="PSES Elem Prog01Act26 S275"/>
    <x v="0"/>
    <s v="26"/>
    <m/>
    <n v="26"/>
    <s v="   "/>
    <n v="0.89600000000000002"/>
  </r>
  <r>
    <x v="181"/>
    <s v="Dieringer School District"/>
    <s v="Personnel"/>
    <s v="H "/>
    <x v="1"/>
    <x v="29"/>
    <s v="PSES High Prog21Act26 S275"/>
    <x v="1"/>
    <s v="26"/>
    <m/>
    <n v="26"/>
    <s v="   "/>
    <n v="1.52"/>
  </r>
  <r>
    <x v="181"/>
    <s v="Dieringer School District"/>
    <s v="Personnel"/>
    <s v="H "/>
    <x v="1"/>
    <x v="9"/>
    <s v="PSES High Prog01Act26 S275"/>
    <x v="0"/>
    <s v="26"/>
    <m/>
    <n v="26"/>
    <s v="   "/>
    <n v="0.75900000000000001"/>
  </r>
  <r>
    <x v="181"/>
    <s v="Dieringer School District"/>
    <s v="Personnel"/>
    <s v="E "/>
    <x v="0"/>
    <x v="15"/>
    <s v="PSES Elem Prog01Duty42 S275"/>
    <x v="0"/>
    <s v="42"/>
    <n v="42"/>
    <m/>
    <s v="   "/>
    <n v="2.5499999999999998"/>
  </r>
  <r>
    <x v="181"/>
    <s v="Dieringer School District"/>
    <s v="Personnel"/>
    <s v="M "/>
    <x v="2"/>
    <x v="17"/>
    <s v="PSES Mid Prog01Duty42 S275"/>
    <x v="0"/>
    <s v="42"/>
    <n v="42"/>
    <m/>
    <s v="   "/>
    <n v="1.1000000000000001"/>
  </r>
  <r>
    <x v="181"/>
    <s v="Dieringer School District"/>
    <s v="Personnel"/>
    <s v="E "/>
    <x v="0"/>
    <x v="18"/>
    <s v="PSES Elem Prog21Duty43 S275"/>
    <x v="1"/>
    <s v="43"/>
    <n v="43"/>
    <m/>
    <s v="   "/>
    <n v="0.66700000000000004"/>
  </r>
  <r>
    <x v="181"/>
    <s v="Dieringer School District"/>
    <s v="Personnel"/>
    <s v="M "/>
    <x v="2"/>
    <x v="31"/>
    <s v="PSES Mid Prog21Duty43 S275"/>
    <x v="1"/>
    <s v="43"/>
    <n v="43"/>
    <m/>
    <s v="   "/>
    <n v="0.33300000000000002"/>
  </r>
  <r>
    <x v="181"/>
    <s v="Dieringer School District"/>
    <s v="Personnel"/>
    <s v="E "/>
    <x v="0"/>
    <x v="20"/>
    <s v="PSES Elem Prog21Duty45 S275"/>
    <x v="1"/>
    <s v="45"/>
    <n v="45"/>
    <m/>
    <s v="   "/>
    <n v="1.3"/>
  </r>
  <r>
    <x v="181"/>
    <s v="Dieringer School District"/>
    <s v="Personnel"/>
    <s v="E "/>
    <x v="0"/>
    <x v="22"/>
    <s v="PSES Elem Prog21Duty46 S275"/>
    <x v="1"/>
    <s v="46"/>
    <n v="46"/>
    <m/>
    <s v="   "/>
    <n v="1.667"/>
  </r>
  <r>
    <x v="181"/>
    <s v="Dieringer School District"/>
    <s v="Personnel"/>
    <s v="M "/>
    <x v="2"/>
    <x v="24"/>
    <s v="PSES Mid Prog21Duty46 S275"/>
    <x v="1"/>
    <s v="46"/>
    <n v="46"/>
    <m/>
    <s v="   "/>
    <n v="0.33300000000000002"/>
  </r>
  <r>
    <x v="181"/>
    <s v="Dieringer School District"/>
    <s v="Personnel"/>
    <s v="E "/>
    <x v="0"/>
    <x v="27"/>
    <s v="PSES Elem Prog01Duty47 S275"/>
    <x v="0"/>
    <s v="47"/>
    <n v="47"/>
    <m/>
    <s v="   "/>
    <n v="0.66600000000000004"/>
  </r>
  <r>
    <x v="181"/>
    <s v="Dieringer School District"/>
    <s v="Personnel"/>
    <s v="M "/>
    <x v="2"/>
    <x v="34"/>
    <s v="PSES Mid Prog01Duty47 S275"/>
    <x v="0"/>
    <s v="47"/>
    <n v="47"/>
    <m/>
    <s v="   "/>
    <n v="0.33400000000000002"/>
  </r>
  <r>
    <x v="182"/>
    <s v="Orting School District"/>
    <s v="Personnel"/>
    <s v="H "/>
    <x v="1"/>
    <x v="5"/>
    <s v="PSES High Prog01Act25 S275"/>
    <x v="0"/>
    <s v="25"/>
    <m/>
    <n v="25"/>
    <s v="   "/>
    <n v="5.3789999999999996"/>
  </r>
  <r>
    <x v="182"/>
    <s v="Orting School District"/>
    <s v="Personnel"/>
    <s v="H "/>
    <x v="1"/>
    <x v="29"/>
    <s v="PSES High Prog21Act26 S275"/>
    <x v="1"/>
    <s v="26"/>
    <m/>
    <n v="26"/>
    <s v="   "/>
    <n v="2.2719999999999998"/>
  </r>
  <r>
    <x v="182"/>
    <s v="Orting School District"/>
    <s v="Personnel"/>
    <s v="H "/>
    <x v="1"/>
    <x v="9"/>
    <s v="PSES High Prog01Act26 S275"/>
    <x v="0"/>
    <s v="26"/>
    <m/>
    <n v="26"/>
    <s v="   "/>
    <n v="2.5950000000000002"/>
  </r>
  <r>
    <x v="182"/>
    <s v="Orting School District"/>
    <s v="Personnel"/>
    <s v="E "/>
    <x v="0"/>
    <x v="15"/>
    <s v="PSES Elem Prog01Duty42 S275"/>
    <x v="0"/>
    <s v="42"/>
    <n v="42"/>
    <m/>
    <s v="   "/>
    <n v="2.6"/>
  </r>
  <r>
    <x v="182"/>
    <s v="Orting School District"/>
    <s v="Personnel"/>
    <s v="H "/>
    <x v="1"/>
    <x v="16"/>
    <s v="PSES High Prog01Duty42 S275"/>
    <x v="0"/>
    <s v="42"/>
    <n v="42"/>
    <m/>
    <s v="   "/>
    <n v="2.4"/>
  </r>
  <r>
    <x v="182"/>
    <s v="Orting School District"/>
    <s v="Personnel"/>
    <s v="M "/>
    <x v="2"/>
    <x v="17"/>
    <s v="PSES Mid Prog01Duty42 S275"/>
    <x v="0"/>
    <s v="42"/>
    <n v="42"/>
    <m/>
    <s v="   "/>
    <n v="1.2"/>
  </r>
  <r>
    <x v="182"/>
    <s v="Orting School District"/>
    <s v="Personnel"/>
    <s v="E "/>
    <x v="0"/>
    <x v="20"/>
    <s v="PSES Elem Prog21Duty45 S275"/>
    <x v="1"/>
    <s v="45"/>
    <n v="45"/>
    <m/>
    <s v="   "/>
    <n v="1.75"/>
  </r>
  <r>
    <x v="182"/>
    <s v="Orting School District"/>
    <s v="Personnel"/>
    <s v="H "/>
    <x v="1"/>
    <x v="21"/>
    <s v="PSES High Prog21Duty45 S275"/>
    <x v="1"/>
    <s v="45"/>
    <n v="45"/>
    <m/>
    <s v="   "/>
    <n v="0.24"/>
  </r>
  <r>
    <x v="182"/>
    <s v="Orting School District"/>
    <s v="Personnel"/>
    <s v="M "/>
    <x v="2"/>
    <x v="28"/>
    <s v="PSES Mid Prog21Duty45 S275"/>
    <x v="1"/>
    <s v="45"/>
    <n v="45"/>
    <m/>
    <s v="   "/>
    <n v="0.02"/>
  </r>
  <r>
    <x v="182"/>
    <s v="Orting School District"/>
    <s v="Personnel"/>
    <s v="E "/>
    <x v="0"/>
    <x v="27"/>
    <s v="PSES Elem Prog01Duty47 S275"/>
    <x v="0"/>
    <s v="47"/>
    <n v="47"/>
    <m/>
    <s v="   "/>
    <n v="0.52"/>
  </r>
  <r>
    <x v="182"/>
    <s v="Orting School District"/>
    <s v="Personnel"/>
    <s v="H "/>
    <x v="1"/>
    <x v="25"/>
    <s v="PSES High Prog01Duty47 S275"/>
    <x v="0"/>
    <s v="47"/>
    <n v="47"/>
    <m/>
    <s v="   "/>
    <n v="0.32"/>
  </r>
  <r>
    <x v="182"/>
    <s v="Orting School District"/>
    <s v="Personnel"/>
    <s v="M "/>
    <x v="2"/>
    <x v="34"/>
    <s v="PSES Mid Prog01Duty47 S275"/>
    <x v="0"/>
    <s v="47"/>
    <n v="47"/>
    <m/>
    <s v="   "/>
    <n v="0.16"/>
  </r>
  <r>
    <x v="183"/>
    <s v="Clover Park School District"/>
    <s v="Personnel"/>
    <s v="H "/>
    <x v="1"/>
    <x v="5"/>
    <s v="PSES High Prog01Act25 S275"/>
    <x v="0"/>
    <s v="25"/>
    <m/>
    <n v="25"/>
    <s v="   "/>
    <n v="19.68"/>
  </r>
  <r>
    <x v="183"/>
    <s v="Clover Park School District"/>
    <s v="Personnel"/>
    <s v="H "/>
    <x v="1"/>
    <x v="29"/>
    <s v="PSES High Prog21Act26 S275"/>
    <x v="1"/>
    <s v="26"/>
    <m/>
    <n v="26"/>
    <s v="   "/>
    <n v="11.523999999999999"/>
  </r>
  <r>
    <x v="183"/>
    <s v="Clover Park School District"/>
    <s v="Personnel"/>
    <s v="H "/>
    <x v="1"/>
    <x v="9"/>
    <s v="PSES High Prog01Act26 S275"/>
    <x v="0"/>
    <s v="26"/>
    <m/>
    <n v="26"/>
    <s v="   "/>
    <n v="15.032"/>
  </r>
  <r>
    <x v="183"/>
    <s v="Clover Park School District"/>
    <s v="Personnel"/>
    <s v="H "/>
    <x v="1"/>
    <x v="12"/>
    <s v="PSES High Prog97Act35 S275"/>
    <x v="2"/>
    <s v="35"/>
    <m/>
    <n v="35"/>
    <s v="   "/>
    <n v="1"/>
  </r>
  <r>
    <x v="183"/>
    <s v="Clover Park School District"/>
    <s v="Personnel"/>
    <s v="H "/>
    <x v="1"/>
    <x v="54"/>
    <s v="PSES High Prog01Act35 S275"/>
    <x v="0"/>
    <s v="35"/>
    <m/>
    <n v="35"/>
    <s v="   "/>
    <n v="10.936"/>
  </r>
  <r>
    <x v="183"/>
    <s v="Clover Park School District"/>
    <s v="Personnel"/>
    <s v="E "/>
    <x v="0"/>
    <x v="15"/>
    <s v="PSES Elem Prog01Duty42 S275"/>
    <x v="0"/>
    <s v="42"/>
    <n v="42"/>
    <m/>
    <s v="   "/>
    <n v="18.474"/>
  </r>
  <r>
    <x v="183"/>
    <s v="Clover Park School District"/>
    <s v="Personnel"/>
    <s v="H "/>
    <x v="1"/>
    <x v="77"/>
    <s v="PSES High Prog21Duty42 S275"/>
    <x v="1"/>
    <s v="42"/>
    <n v="42"/>
    <m/>
    <s v="   "/>
    <n v="1"/>
  </r>
  <r>
    <x v="183"/>
    <s v="Clover Park School District"/>
    <s v="Personnel"/>
    <s v="H "/>
    <x v="1"/>
    <x v="16"/>
    <s v="PSES High Prog01Duty42 S275"/>
    <x v="0"/>
    <s v="42"/>
    <n v="42"/>
    <m/>
    <s v="   "/>
    <n v="6.5709999999999997"/>
  </r>
  <r>
    <x v="183"/>
    <s v="Clover Park School District"/>
    <s v="Personnel"/>
    <s v="M "/>
    <x v="2"/>
    <x v="17"/>
    <s v="PSES Mid Prog01Duty42 S275"/>
    <x v="0"/>
    <s v="42"/>
    <n v="42"/>
    <m/>
    <s v="   "/>
    <n v="4.9550000000000001"/>
  </r>
  <r>
    <x v="183"/>
    <s v="Clover Park School District"/>
    <s v="Personnel"/>
    <s v="H "/>
    <x v="1"/>
    <x v="19"/>
    <s v="PSES High Prog21Duty43 S275"/>
    <x v="1"/>
    <s v="43"/>
    <n v="43"/>
    <m/>
    <s v="   "/>
    <n v="9"/>
  </r>
  <r>
    <x v="183"/>
    <s v="Clover Park School District"/>
    <s v="Personnel"/>
    <s v="H "/>
    <x v="1"/>
    <x v="43"/>
    <s v="PSES High Prog21Duty44 S275"/>
    <x v="1"/>
    <s v="44"/>
    <n v="44"/>
    <m/>
    <s v="   "/>
    <n v="1"/>
  </r>
  <r>
    <x v="183"/>
    <s v="Clover Park School District"/>
    <s v="Personnel"/>
    <s v="H "/>
    <x v="1"/>
    <x v="21"/>
    <s v="PSES High Prog21Duty45 S275"/>
    <x v="1"/>
    <s v="45"/>
    <n v="45"/>
    <m/>
    <s v="   "/>
    <n v="8"/>
  </r>
  <r>
    <x v="183"/>
    <s v="Clover Park School District"/>
    <s v="Personnel"/>
    <s v="H "/>
    <x v="1"/>
    <x v="23"/>
    <s v="PSES High Prog21Duty46 S275"/>
    <x v="1"/>
    <s v="46"/>
    <n v="46"/>
    <m/>
    <s v="   "/>
    <n v="3"/>
  </r>
  <r>
    <x v="183"/>
    <s v="Clover Park School District"/>
    <s v="Personnel"/>
    <s v="E "/>
    <x v="0"/>
    <x v="32"/>
    <s v="PSES Elem Prog21Duty47 S275"/>
    <x v="1"/>
    <s v="47"/>
    <n v="47"/>
    <m/>
    <s v="   "/>
    <n v="0.2"/>
  </r>
  <r>
    <x v="183"/>
    <s v="Clover Park School District"/>
    <s v="Personnel"/>
    <s v="E "/>
    <x v="0"/>
    <x v="27"/>
    <s v="PSES Elem Prog01Duty47 S275"/>
    <x v="0"/>
    <s v="47"/>
    <n v="47"/>
    <m/>
    <s v="   "/>
    <n v="1.333"/>
  </r>
  <r>
    <x v="183"/>
    <s v="Clover Park School District"/>
    <s v="Personnel"/>
    <s v="H "/>
    <x v="1"/>
    <x v="25"/>
    <s v="PSES High Prog01Duty47 S275"/>
    <x v="0"/>
    <s v="47"/>
    <n v="47"/>
    <m/>
    <s v="   "/>
    <n v="9.5"/>
  </r>
  <r>
    <x v="183"/>
    <s v="Clover Park School District"/>
    <s v="Personnel"/>
    <s v="M "/>
    <x v="2"/>
    <x v="34"/>
    <s v="PSES Mid Prog01Duty47 S275"/>
    <x v="0"/>
    <s v="47"/>
    <n v="47"/>
    <m/>
    <s v="   "/>
    <n v="0.66700000000000004"/>
  </r>
  <r>
    <x v="183"/>
    <s v="Clover Park School District"/>
    <s v="Personnel"/>
    <s v="H "/>
    <x v="1"/>
    <x v="36"/>
    <s v="PSES High Prog21Duty48 S275"/>
    <x v="1"/>
    <s v="48"/>
    <n v="48"/>
    <m/>
    <s v="   "/>
    <n v="4.5"/>
  </r>
  <r>
    <x v="184"/>
    <s v="Peninsula School District"/>
    <s v="Personnel"/>
    <s v="H "/>
    <x v="1"/>
    <x v="5"/>
    <s v="PSES High Prog01Act25 S275"/>
    <x v="0"/>
    <s v="25"/>
    <m/>
    <n v="25"/>
    <s v="   "/>
    <n v="17.452000000000002"/>
  </r>
  <r>
    <x v="184"/>
    <s v="Peninsula School District"/>
    <s v="Personnel"/>
    <s v="H "/>
    <x v="1"/>
    <x v="29"/>
    <s v="PSES High Prog21Act26 S275"/>
    <x v="1"/>
    <s v="26"/>
    <m/>
    <n v="26"/>
    <s v="   "/>
    <n v="2.4990000000000001"/>
  </r>
  <r>
    <x v="184"/>
    <s v="Peninsula School District"/>
    <s v="Personnel"/>
    <s v="H "/>
    <x v="1"/>
    <x v="9"/>
    <s v="PSES High Prog01Act26 S275"/>
    <x v="0"/>
    <s v="26"/>
    <m/>
    <n v="26"/>
    <s v="   "/>
    <n v="10.635999999999999"/>
  </r>
  <r>
    <x v="184"/>
    <s v="Peninsula School District"/>
    <s v="Personnel"/>
    <s v="E "/>
    <x v="0"/>
    <x v="15"/>
    <s v="PSES Elem Prog01Duty42 S275"/>
    <x v="0"/>
    <s v="42"/>
    <n v="42"/>
    <m/>
    <s v="   "/>
    <n v="13.079000000000001"/>
  </r>
  <r>
    <x v="184"/>
    <s v="Peninsula School District"/>
    <s v="Personnel"/>
    <s v="H "/>
    <x v="1"/>
    <x v="16"/>
    <s v="PSES High Prog01Duty42 S275"/>
    <x v="0"/>
    <s v="42"/>
    <n v="42"/>
    <m/>
    <s v="   "/>
    <n v="11.25"/>
  </r>
  <r>
    <x v="184"/>
    <s v="Peninsula School District"/>
    <s v="Personnel"/>
    <s v="M "/>
    <x v="2"/>
    <x v="17"/>
    <s v="PSES Mid Prog01Duty42 S275"/>
    <x v="0"/>
    <s v="42"/>
    <n v="42"/>
    <m/>
    <s v="   "/>
    <n v="5.4710000000000001"/>
  </r>
  <r>
    <x v="184"/>
    <s v="Peninsula School District"/>
    <s v="Personnel"/>
    <s v="E "/>
    <x v="0"/>
    <x v="18"/>
    <s v="PSES Elem Prog21Duty43 S275"/>
    <x v="1"/>
    <s v="43"/>
    <n v="43"/>
    <m/>
    <s v="   "/>
    <n v="6.6520000000000001"/>
  </r>
  <r>
    <x v="184"/>
    <s v="Peninsula School District"/>
    <s v="Personnel"/>
    <s v="H "/>
    <x v="1"/>
    <x v="19"/>
    <s v="PSES High Prog21Duty43 S275"/>
    <x v="1"/>
    <s v="43"/>
    <n v="43"/>
    <m/>
    <s v="   "/>
    <n v="0.93100000000000005"/>
  </r>
  <r>
    <x v="184"/>
    <s v="Peninsula School District"/>
    <s v="Personnel"/>
    <s v="M "/>
    <x v="2"/>
    <x v="31"/>
    <s v="PSES Mid Prog21Duty43 S275"/>
    <x v="1"/>
    <s v="43"/>
    <n v="43"/>
    <m/>
    <s v="   "/>
    <n v="0.81599999999999995"/>
  </r>
  <r>
    <x v="184"/>
    <s v="Peninsula School District"/>
    <s v="Personnel"/>
    <s v="E "/>
    <x v="0"/>
    <x v="41"/>
    <s v="PSES Elem Prog21Duty44 S275"/>
    <x v="1"/>
    <s v="44"/>
    <n v="44"/>
    <m/>
    <s v="   "/>
    <n v="0.44500000000000001"/>
  </r>
  <r>
    <x v="184"/>
    <s v="Peninsula School District"/>
    <s v="Personnel"/>
    <s v="H "/>
    <x v="1"/>
    <x v="43"/>
    <s v="PSES High Prog21Duty44 S275"/>
    <x v="1"/>
    <s v="44"/>
    <n v="44"/>
    <m/>
    <s v="   "/>
    <n v="0.33300000000000002"/>
  </r>
  <r>
    <x v="184"/>
    <s v="Peninsula School District"/>
    <s v="Personnel"/>
    <s v="M "/>
    <x v="2"/>
    <x v="45"/>
    <s v="PSES Mid Prog21Duty44 S275"/>
    <x v="1"/>
    <s v="44"/>
    <n v="44"/>
    <m/>
    <s v="   "/>
    <n v="0.222"/>
  </r>
  <r>
    <x v="184"/>
    <s v="Peninsula School District"/>
    <s v="Personnel"/>
    <s v="E "/>
    <x v="0"/>
    <x v="20"/>
    <s v="PSES Elem Prog21Duty45 S275"/>
    <x v="1"/>
    <s v="45"/>
    <n v="45"/>
    <m/>
    <s v="   "/>
    <n v="14.04"/>
  </r>
  <r>
    <x v="184"/>
    <s v="Peninsula School District"/>
    <s v="Personnel"/>
    <s v="H "/>
    <x v="1"/>
    <x v="21"/>
    <s v="PSES High Prog21Duty45 S275"/>
    <x v="1"/>
    <s v="45"/>
    <n v="45"/>
    <m/>
    <s v="   "/>
    <n v="1.208"/>
  </r>
  <r>
    <x v="184"/>
    <s v="Peninsula School District"/>
    <s v="Personnel"/>
    <s v="M "/>
    <x v="2"/>
    <x v="28"/>
    <s v="PSES Mid Prog21Duty45 S275"/>
    <x v="1"/>
    <s v="45"/>
    <n v="45"/>
    <m/>
    <s v="   "/>
    <n v="0.82099999999999995"/>
  </r>
  <r>
    <x v="184"/>
    <s v="Peninsula School District"/>
    <s v="Personnel"/>
    <s v="E "/>
    <x v="0"/>
    <x v="22"/>
    <s v="PSES Elem Prog21Duty46 S275"/>
    <x v="1"/>
    <s v="46"/>
    <n v="46"/>
    <m/>
    <s v="   "/>
    <n v="6.0620000000000003"/>
  </r>
  <r>
    <x v="184"/>
    <s v="Peninsula School District"/>
    <s v="Personnel"/>
    <s v="H "/>
    <x v="1"/>
    <x v="23"/>
    <s v="PSES High Prog21Duty46 S275"/>
    <x v="1"/>
    <s v="46"/>
    <n v="46"/>
    <m/>
    <s v="   "/>
    <n v="3.3079999999999998"/>
  </r>
  <r>
    <x v="184"/>
    <s v="Peninsula School District"/>
    <s v="Personnel"/>
    <s v="M "/>
    <x v="2"/>
    <x v="24"/>
    <s v="PSES Mid Prog21Duty46 S275"/>
    <x v="1"/>
    <s v="46"/>
    <n v="46"/>
    <m/>
    <s v="   "/>
    <n v="1.8879999999999999"/>
  </r>
  <r>
    <x v="184"/>
    <s v="Peninsula School District"/>
    <s v="Personnel"/>
    <s v="E "/>
    <x v="0"/>
    <x v="32"/>
    <s v="PSES Elem Prog21Duty47 S275"/>
    <x v="1"/>
    <s v="47"/>
    <n v="47"/>
    <m/>
    <s v="   "/>
    <n v="0.64500000000000002"/>
  </r>
  <r>
    <x v="184"/>
    <s v="Peninsula School District"/>
    <s v="Personnel"/>
    <s v="E "/>
    <x v="0"/>
    <x v="27"/>
    <s v="PSES Elem Prog01Duty47 S275"/>
    <x v="0"/>
    <s v="47"/>
    <n v="47"/>
    <m/>
    <s v="   "/>
    <n v="5.8019999999999996"/>
  </r>
  <r>
    <x v="184"/>
    <s v="Peninsula School District"/>
    <s v="Personnel"/>
    <s v="H "/>
    <x v="1"/>
    <x v="61"/>
    <s v="PSES High Prog21Duty47 S275"/>
    <x v="1"/>
    <s v="47"/>
    <n v="47"/>
    <m/>
    <s v="   "/>
    <n v="0.14000000000000001"/>
  </r>
  <r>
    <x v="184"/>
    <s v="Peninsula School District"/>
    <s v="Personnel"/>
    <s v="H "/>
    <x v="1"/>
    <x v="25"/>
    <s v="PSES High Prog01Duty47 S275"/>
    <x v="0"/>
    <s v="47"/>
    <n v="47"/>
    <m/>
    <s v="   "/>
    <n v="1.512"/>
  </r>
  <r>
    <x v="184"/>
    <s v="Peninsula School District"/>
    <s v="Personnel"/>
    <s v="M "/>
    <x v="2"/>
    <x v="33"/>
    <s v="PSES Mid Prog21Duty47 S275"/>
    <x v="1"/>
    <s v="47"/>
    <n v="47"/>
    <m/>
    <s v="   "/>
    <n v="0.122"/>
  </r>
  <r>
    <x v="184"/>
    <s v="Peninsula School District"/>
    <s v="Personnel"/>
    <s v="M "/>
    <x v="2"/>
    <x v="34"/>
    <s v="PSES Mid Prog01Duty47 S275"/>
    <x v="0"/>
    <s v="47"/>
    <n v="47"/>
    <m/>
    <s v="   "/>
    <n v="0.77900000000000003"/>
  </r>
  <r>
    <x v="184"/>
    <s v="Peninsula School District"/>
    <s v="Personnel"/>
    <s v="E "/>
    <x v="0"/>
    <x v="35"/>
    <s v="PSES Elem Prog21Duty48 S275"/>
    <x v="1"/>
    <s v="48"/>
    <n v="48"/>
    <m/>
    <s v="   "/>
    <n v="1.0760000000000001"/>
  </r>
  <r>
    <x v="184"/>
    <s v="Peninsula School District"/>
    <s v="Personnel"/>
    <s v="H "/>
    <x v="1"/>
    <x v="36"/>
    <s v="PSES High Prog21Duty48 S275"/>
    <x v="1"/>
    <s v="48"/>
    <n v="48"/>
    <m/>
    <s v="   "/>
    <n v="0.61599999999999999"/>
  </r>
  <r>
    <x v="184"/>
    <s v="Peninsula School District"/>
    <s v="Personnel"/>
    <s v="M "/>
    <x v="2"/>
    <x v="37"/>
    <s v="PSES Mid Prog21Duty48 S275"/>
    <x v="1"/>
    <s v="48"/>
    <n v="48"/>
    <m/>
    <s v="   "/>
    <n v="0.308"/>
  </r>
  <r>
    <x v="185"/>
    <s v="Franklin Pierce School District"/>
    <s v="Personnel"/>
    <s v="H "/>
    <x v="1"/>
    <x v="1"/>
    <s v="PSES High Prog01Duty96 S275"/>
    <x v="0"/>
    <s v="24"/>
    <n v="96"/>
    <n v="24"/>
    <s v="   "/>
    <n v="0.59099999999999997"/>
  </r>
  <r>
    <x v="185"/>
    <s v="Franklin Pierce School District"/>
    <s v="Personnel"/>
    <s v="H "/>
    <x v="1"/>
    <x v="5"/>
    <s v="PSES High Prog01Act25 S275"/>
    <x v="0"/>
    <s v="25"/>
    <m/>
    <n v="25"/>
    <s v="   "/>
    <n v="11.215"/>
  </r>
  <r>
    <x v="185"/>
    <s v="Franklin Pierce School District"/>
    <s v="Personnel"/>
    <s v="H "/>
    <x v="1"/>
    <x v="29"/>
    <s v="PSES High Prog21Act26 S275"/>
    <x v="1"/>
    <s v="26"/>
    <m/>
    <n v="26"/>
    <s v="   "/>
    <n v="0.76900000000000002"/>
  </r>
  <r>
    <x v="185"/>
    <s v="Franklin Pierce School District"/>
    <s v="Personnel"/>
    <s v="H "/>
    <x v="1"/>
    <x v="9"/>
    <s v="PSES High Prog01Act26 S275"/>
    <x v="0"/>
    <s v="26"/>
    <m/>
    <n v="26"/>
    <s v="   "/>
    <n v="9.8420000000000005"/>
  </r>
  <r>
    <x v="185"/>
    <s v="Franklin Pierce School District"/>
    <s v="Personnel"/>
    <s v="E "/>
    <x v="0"/>
    <x v="76"/>
    <s v="PSES Elem Prog21Duty42 S275"/>
    <x v="1"/>
    <s v="42"/>
    <n v="42"/>
    <m/>
    <s v="   "/>
    <n v="2.83"/>
  </r>
  <r>
    <x v="185"/>
    <s v="Franklin Pierce School District"/>
    <s v="Personnel"/>
    <s v="E "/>
    <x v="0"/>
    <x v="15"/>
    <s v="PSES Elem Prog01Duty42 S275"/>
    <x v="0"/>
    <s v="42"/>
    <n v="42"/>
    <m/>
    <s v="   "/>
    <n v="8.99"/>
  </r>
  <r>
    <x v="185"/>
    <s v="Franklin Pierce School District"/>
    <s v="Personnel"/>
    <s v="H "/>
    <x v="1"/>
    <x v="77"/>
    <s v="PSES High Prog21Duty42 S275"/>
    <x v="1"/>
    <s v="42"/>
    <n v="42"/>
    <m/>
    <s v="   "/>
    <n v="1.25"/>
  </r>
  <r>
    <x v="185"/>
    <s v="Franklin Pierce School District"/>
    <s v="Personnel"/>
    <s v="H "/>
    <x v="1"/>
    <x v="16"/>
    <s v="PSES High Prog01Duty42 S275"/>
    <x v="0"/>
    <s v="42"/>
    <n v="42"/>
    <m/>
    <s v="   "/>
    <n v="9"/>
  </r>
  <r>
    <x v="185"/>
    <s v="Franklin Pierce School District"/>
    <s v="Personnel"/>
    <s v="M "/>
    <x v="2"/>
    <x v="75"/>
    <s v="PSES Mid Prog21Duty42 S275"/>
    <x v="1"/>
    <s v="42"/>
    <n v="42"/>
    <m/>
    <s v="   "/>
    <n v="0.92"/>
  </r>
  <r>
    <x v="185"/>
    <s v="Franklin Pierce School District"/>
    <s v="Personnel"/>
    <s v="M "/>
    <x v="2"/>
    <x v="17"/>
    <s v="PSES Mid Prog01Duty42 S275"/>
    <x v="0"/>
    <s v="42"/>
    <n v="42"/>
    <m/>
    <s v="   "/>
    <n v="5.01"/>
  </r>
  <r>
    <x v="185"/>
    <s v="Franklin Pierce School District"/>
    <s v="Personnel"/>
    <s v="E "/>
    <x v="0"/>
    <x v="18"/>
    <s v="PSES Elem Prog21Duty43 S275"/>
    <x v="1"/>
    <s v="43"/>
    <n v="43"/>
    <m/>
    <s v="   "/>
    <n v="4.2300000000000004"/>
  </r>
  <r>
    <x v="185"/>
    <s v="Franklin Pierce School District"/>
    <s v="Personnel"/>
    <s v="H "/>
    <x v="1"/>
    <x v="19"/>
    <s v="PSES High Prog21Duty43 S275"/>
    <x v="1"/>
    <s v="43"/>
    <n v="43"/>
    <m/>
    <s v="   "/>
    <n v="0.17699999999999999"/>
  </r>
  <r>
    <x v="185"/>
    <s v="Franklin Pierce School District"/>
    <s v="Personnel"/>
    <s v="M "/>
    <x v="2"/>
    <x v="31"/>
    <s v="PSES Mid Prog21Duty43 S275"/>
    <x v="1"/>
    <s v="43"/>
    <n v="43"/>
    <m/>
    <s v="   "/>
    <n v="6.3E-2"/>
  </r>
  <r>
    <x v="185"/>
    <s v="Franklin Pierce School District"/>
    <s v="Personnel"/>
    <s v="E "/>
    <x v="0"/>
    <x v="20"/>
    <s v="PSES Elem Prog21Duty45 S275"/>
    <x v="1"/>
    <s v="45"/>
    <n v="45"/>
    <m/>
    <s v="   "/>
    <n v="7.3490000000000002"/>
  </r>
  <r>
    <x v="185"/>
    <s v="Franklin Pierce School District"/>
    <s v="Personnel"/>
    <s v="H "/>
    <x v="1"/>
    <x v="21"/>
    <s v="PSES High Prog21Duty45 S275"/>
    <x v="1"/>
    <s v="45"/>
    <n v="45"/>
    <m/>
    <s v="   "/>
    <n v="1.5940000000000001"/>
  </r>
  <r>
    <x v="185"/>
    <s v="Franklin Pierce School District"/>
    <s v="Personnel"/>
    <s v="M "/>
    <x v="2"/>
    <x v="28"/>
    <s v="PSES Mid Prog21Duty45 S275"/>
    <x v="1"/>
    <s v="45"/>
    <n v="45"/>
    <m/>
    <s v="   "/>
    <n v="0.45700000000000002"/>
  </r>
  <r>
    <x v="185"/>
    <s v="Franklin Pierce School District"/>
    <s v="Personnel"/>
    <s v="E "/>
    <x v="0"/>
    <x v="22"/>
    <s v="PSES Elem Prog21Duty46 S275"/>
    <x v="1"/>
    <s v="46"/>
    <n v="46"/>
    <m/>
    <s v="   "/>
    <n v="6.4"/>
  </r>
  <r>
    <x v="185"/>
    <s v="Franklin Pierce School District"/>
    <s v="Personnel"/>
    <s v="H "/>
    <x v="1"/>
    <x v="23"/>
    <s v="PSES High Prog21Duty46 S275"/>
    <x v="1"/>
    <s v="46"/>
    <n v="46"/>
    <m/>
    <s v="   "/>
    <n v="3"/>
  </r>
  <r>
    <x v="185"/>
    <s v="Franklin Pierce School District"/>
    <s v="Personnel"/>
    <s v="E "/>
    <x v="0"/>
    <x v="35"/>
    <s v="PSES Elem Prog21Duty48 S275"/>
    <x v="1"/>
    <s v="48"/>
    <n v="48"/>
    <m/>
    <s v="   "/>
    <n v="1.877"/>
  </r>
  <r>
    <x v="185"/>
    <s v="Franklin Pierce School District"/>
    <s v="Personnel"/>
    <s v="H "/>
    <x v="1"/>
    <x v="36"/>
    <s v="PSES High Prog21Duty48 S275"/>
    <x v="1"/>
    <s v="48"/>
    <n v="48"/>
    <m/>
    <s v="   "/>
    <n v="0.23499999999999999"/>
  </r>
  <r>
    <x v="186"/>
    <s v="Bethel School District"/>
    <s v="Personnel"/>
    <s v="H "/>
    <x v="1"/>
    <x v="86"/>
    <s v="PSES High Prog21Duty96 S275"/>
    <x v="1"/>
    <s v="24"/>
    <n v="96"/>
    <n v="24"/>
    <s v="   "/>
    <n v="1"/>
  </r>
  <r>
    <x v="186"/>
    <s v="Bethel School District"/>
    <s v="Personnel"/>
    <s v="H "/>
    <x v="1"/>
    <x v="4"/>
    <s v="PSES High Prog21Act25 S275"/>
    <x v="1"/>
    <s v="25"/>
    <m/>
    <n v="25"/>
    <s v="   "/>
    <n v="18.294"/>
  </r>
  <r>
    <x v="186"/>
    <s v="Bethel School District"/>
    <s v="Personnel"/>
    <s v="H "/>
    <x v="1"/>
    <x v="5"/>
    <s v="PSES High Prog01Act25 S275"/>
    <x v="0"/>
    <s v="25"/>
    <m/>
    <n v="25"/>
    <s v="   "/>
    <n v="20.783999999999999"/>
  </r>
  <r>
    <x v="186"/>
    <s v="Bethel School District"/>
    <s v="Personnel"/>
    <s v="H "/>
    <x v="1"/>
    <x v="29"/>
    <s v="PSES High Prog21Act26 S275"/>
    <x v="1"/>
    <s v="26"/>
    <m/>
    <n v="26"/>
    <s v="   "/>
    <n v="11.35"/>
  </r>
  <r>
    <x v="186"/>
    <s v="Bethel School District"/>
    <s v="Personnel"/>
    <s v="H "/>
    <x v="1"/>
    <x v="9"/>
    <s v="PSES High Prog01Act26 S275"/>
    <x v="0"/>
    <s v="26"/>
    <m/>
    <n v="26"/>
    <s v="   "/>
    <n v="19.962"/>
  </r>
  <r>
    <x v="186"/>
    <s v="Bethel School District"/>
    <s v="Personnel"/>
    <s v="H "/>
    <x v="1"/>
    <x v="54"/>
    <s v="PSES High Prog01Act35 S275"/>
    <x v="0"/>
    <s v="35"/>
    <m/>
    <n v="35"/>
    <s v="   "/>
    <n v="12.162000000000001"/>
  </r>
  <r>
    <x v="186"/>
    <s v="Bethel School District"/>
    <s v="Personnel"/>
    <s v="E "/>
    <x v="0"/>
    <x v="15"/>
    <s v="PSES Elem Prog01Duty42 S275"/>
    <x v="0"/>
    <s v="42"/>
    <n v="42"/>
    <m/>
    <s v="   "/>
    <n v="14.962"/>
  </r>
  <r>
    <x v="186"/>
    <s v="Bethel School District"/>
    <s v="Personnel"/>
    <s v="H "/>
    <x v="1"/>
    <x v="77"/>
    <s v="PSES High Prog21Duty42 S275"/>
    <x v="1"/>
    <s v="42"/>
    <n v="42"/>
    <m/>
    <s v="   "/>
    <n v="1"/>
  </r>
  <r>
    <x v="186"/>
    <s v="Bethel School District"/>
    <s v="Personnel"/>
    <s v="H "/>
    <x v="1"/>
    <x v="16"/>
    <s v="PSES High Prog01Duty42 S275"/>
    <x v="0"/>
    <s v="42"/>
    <n v="42"/>
    <m/>
    <s v="   "/>
    <n v="12.2"/>
  </r>
  <r>
    <x v="186"/>
    <s v="Bethel School District"/>
    <s v="Personnel"/>
    <s v="M "/>
    <x v="2"/>
    <x v="17"/>
    <s v="PSES Mid Prog01Duty42 S275"/>
    <x v="0"/>
    <s v="42"/>
    <n v="42"/>
    <m/>
    <s v="   "/>
    <n v="6.6379999999999999"/>
  </r>
  <r>
    <x v="186"/>
    <s v="Bethel School District"/>
    <s v="Personnel"/>
    <s v="E "/>
    <x v="0"/>
    <x v="18"/>
    <s v="PSES Elem Prog21Duty43 S275"/>
    <x v="1"/>
    <s v="43"/>
    <n v="43"/>
    <m/>
    <s v="   "/>
    <n v="7.3410000000000002"/>
  </r>
  <r>
    <x v="186"/>
    <s v="Bethel School District"/>
    <s v="Personnel"/>
    <s v="H "/>
    <x v="1"/>
    <x v="19"/>
    <s v="PSES High Prog21Duty43 S275"/>
    <x v="1"/>
    <s v="43"/>
    <n v="43"/>
    <m/>
    <s v="   "/>
    <n v="0.307"/>
  </r>
  <r>
    <x v="186"/>
    <s v="Bethel School District"/>
    <s v="Personnel"/>
    <s v="M "/>
    <x v="2"/>
    <x v="31"/>
    <s v="PSES Mid Prog21Duty43 S275"/>
    <x v="1"/>
    <s v="43"/>
    <n v="43"/>
    <m/>
    <s v="   "/>
    <n v="0.73099999999999998"/>
  </r>
  <r>
    <x v="186"/>
    <s v="Bethel School District"/>
    <s v="Personnel"/>
    <s v="E "/>
    <x v="0"/>
    <x v="42"/>
    <s v="PSES Elem Prog01Duty44 S275"/>
    <x v="0"/>
    <s v="44"/>
    <n v="44"/>
    <m/>
    <s v="   "/>
    <n v="8.8179999999999996"/>
  </r>
  <r>
    <x v="186"/>
    <s v="Bethel School District"/>
    <s v="Personnel"/>
    <s v="H "/>
    <x v="1"/>
    <x v="44"/>
    <s v="PSES High Prog01Duty44 S275"/>
    <x v="0"/>
    <s v="44"/>
    <n v="44"/>
    <m/>
    <s v="   "/>
    <n v="3.4"/>
  </r>
  <r>
    <x v="186"/>
    <s v="Bethel School District"/>
    <s v="Personnel"/>
    <s v="M "/>
    <x v="2"/>
    <x v="46"/>
    <s v="PSES Mid Prog01Duty44 S275"/>
    <x v="0"/>
    <s v="44"/>
    <n v="44"/>
    <m/>
    <s v="   "/>
    <n v="2.4820000000000002"/>
  </r>
  <r>
    <x v="186"/>
    <s v="Bethel School District"/>
    <s v="Personnel"/>
    <s v="E "/>
    <x v="0"/>
    <x v="20"/>
    <s v="PSES Elem Prog21Duty45 S275"/>
    <x v="1"/>
    <s v="45"/>
    <n v="45"/>
    <m/>
    <s v="   "/>
    <n v="7.6"/>
  </r>
  <r>
    <x v="186"/>
    <s v="Bethel School District"/>
    <s v="Personnel"/>
    <s v="E "/>
    <x v="0"/>
    <x v="22"/>
    <s v="PSES Elem Prog21Duty46 S275"/>
    <x v="1"/>
    <s v="46"/>
    <n v="46"/>
    <m/>
    <s v="   "/>
    <n v="5.66"/>
  </r>
  <r>
    <x v="186"/>
    <s v="Bethel School District"/>
    <s v="Personnel"/>
    <s v="H "/>
    <x v="1"/>
    <x v="23"/>
    <s v="PSES High Prog21Duty46 S275"/>
    <x v="1"/>
    <s v="46"/>
    <n v="46"/>
    <m/>
    <s v="   "/>
    <n v="1"/>
  </r>
  <r>
    <x v="186"/>
    <s v="Bethel School District"/>
    <s v="Personnel"/>
    <s v="M "/>
    <x v="2"/>
    <x v="24"/>
    <s v="PSES Mid Prog21Duty46 S275"/>
    <x v="1"/>
    <s v="46"/>
    <n v="46"/>
    <m/>
    <s v="   "/>
    <n v="1.34"/>
  </r>
  <r>
    <x v="186"/>
    <s v="Bethel School District"/>
    <s v="Personnel"/>
    <s v="E "/>
    <x v="0"/>
    <x v="27"/>
    <s v="PSES Elem Prog01Duty47 S275"/>
    <x v="0"/>
    <s v="47"/>
    <n v="47"/>
    <m/>
    <s v="   "/>
    <n v="11.964"/>
  </r>
  <r>
    <x v="186"/>
    <s v="Bethel School District"/>
    <s v="Personnel"/>
    <s v="H "/>
    <x v="1"/>
    <x v="25"/>
    <s v="PSES High Prog01Duty47 S275"/>
    <x v="0"/>
    <s v="47"/>
    <n v="47"/>
    <m/>
    <s v="   "/>
    <n v="3.1240000000000001"/>
  </r>
  <r>
    <x v="186"/>
    <s v="Bethel School District"/>
    <s v="Personnel"/>
    <s v="M "/>
    <x v="2"/>
    <x v="34"/>
    <s v="PSES Mid Prog01Duty47 S275"/>
    <x v="0"/>
    <s v="47"/>
    <n v="47"/>
    <m/>
    <s v="   "/>
    <n v="1.712"/>
  </r>
  <r>
    <x v="186"/>
    <s v="Bethel School District"/>
    <s v="Personnel"/>
    <s v="E "/>
    <x v="0"/>
    <x v="35"/>
    <s v="PSES Elem Prog21Duty48 S275"/>
    <x v="1"/>
    <s v="48"/>
    <n v="48"/>
    <m/>
    <s v="   "/>
    <n v="1.62"/>
  </r>
  <r>
    <x v="186"/>
    <s v="Bethel School District"/>
    <s v="Personnel"/>
    <s v="H "/>
    <x v="1"/>
    <x v="36"/>
    <s v="PSES High Prog21Duty48 S275"/>
    <x v="1"/>
    <s v="48"/>
    <n v="48"/>
    <m/>
    <s v="   "/>
    <n v="0.93"/>
  </r>
  <r>
    <x v="186"/>
    <s v="Bethel School District"/>
    <s v="Personnel"/>
    <s v="M "/>
    <x v="2"/>
    <x v="37"/>
    <s v="PSES Mid Prog21Duty48 S275"/>
    <x v="1"/>
    <s v="48"/>
    <n v="48"/>
    <m/>
    <s v="   "/>
    <n v="0.45"/>
  </r>
  <r>
    <x v="186"/>
    <s v="Bethel School District"/>
    <s v="Personnel"/>
    <s v="E "/>
    <x v="0"/>
    <x v="38"/>
    <s v="PSES Elem Prog21Duty64 S275"/>
    <x v="1"/>
    <s v="64"/>
    <n v="64"/>
    <m/>
    <s v="   "/>
    <n v="23.225000000000001"/>
  </r>
  <r>
    <x v="186"/>
    <s v="Bethel School District"/>
    <s v="Personnel"/>
    <s v="H "/>
    <x v="1"/>
    <x v="59"/>
    <s v="PSES High Prog21Duty64 S275"/>
    <x v="1"/>
    <s v="64"/>
    <n v="64"/>
    <m/>
    <s v="   "/>
    <n v="1.9610000000000001"/>
  </r>
  <r>
    <x v="186"/>
    <s v="Bethel School District"/>
    <s v="Personnel"/>
    <s v="M "/>
    <x v="2"/>
    <x v="60"/>
    <s v="PSES Mid Prog21Duty64 S275"/>
    <x v="1"/>
    <s v="64"/>
    <n v="64"/>
    <m/>
    <s v="   "/>
    <n v="7.6139999999999999"/>
  </r>
  <r>
    <x v="186"/>
    <s v="Bethel School District"/>
    <s v="Personnel"/>
    <m/>
    <x v="0"/>
    <x v="84"/>
    <s v="PSES Elem Prog09Duty26 S275"/>
    <x v="3"/>
    <s v="26"/>
    <n v="91"/>
    <n v="26"/>
    <m/>
    <n v="0.36199999999999999"/>
  </r>
  <r>
    <x v="186"/>
    <s v="Bethel School District"/>
    <s v="Personnel"/>
    <m/>
    <x v="0"/>
    <x v="84"/>
    <s v="PSES Elem Prog09Duty26 S275"/>
    <x v="3"/>
    <s v="26"/>
    <n v="91"/>
    <n v="26"/>
    <m/>
    <n v="0.36199999999999999"/>
  </r>
  <r>
    <x v="187"/>
    <s v="Eatonville School District"/>
    <s v="Personnel"/>
    <s v="E "/>
    <x v="0"/>
    <x v="3"/>
    <s v="PSES Elem Prog01Act25 S275"/>
    <x v="0"/>
    <s v="25"/>
    <m/>
    <n v="25"/>
    <s v="   "/>
    <n v="0.83399999999999996"/>
  </r>
  <r>
    <x v="187"/>
    <s v="Eatonville School District"/>
    <s v="Personnel"/>
    <s v="H "/>
    <x v="1"/>
    <x v="4"/>
    <s v="PSES High Prog21Act25 S275"/>
    <x v="1"/>
    <s v="25"/>
    <m/>
    <n v="25"/>
    <s v="   "/>
    <n v="1.0720000000000001"/>
  </r>
  <r>
    <x v="187"/>
    <s v="Eatonville School District"/>
    <s v="Personnel"/>
    <s v="H "/>
    <x v="1"/>
    <x v="5"/>
    <s v="PSES High Prog01Act25 S275"/>
    <x v="0"/>
    <s v="25"/>
    <m/>
    <n v="25"/>
    <s v="   "/>
    <n v="2.028"/>
  </r>
  <r>
    <x v="187"/>
    <s v="Eatonville School District"/>
    <s v="Personnel"/>
    <s v="E "/>
    <x v="0"/>
    <x v="8"/>
    <s v="PSES Elem Prog01Act26 S275"/>
    <x v="0"/>
    <s v="26"/>
    <m/>
    <n v="26"/>
    <s v="   "/>
    <n v="0.872"/>
  </r>
  <r>
    <x v="187"/>
    <s v="Eatonville School District"/>
    <s v="Personnel"/>
    <s v="H "/>
    <x v="1"/>
    <x v="29"/>
    <s v="PSES High Prog21Act26 S275"/>
    <x v="1"/>
    <s v="26"/>
    <m/>
    <n v="26"/>
    <s v="   "/>
    <n v="0.56599999999999995"/>
  </r>
  <r>
    <x v="187"/>
    <s v="Eatonville School District"/>
    <s v="Personnel"/>
    <s v="H "/>
    <x v="1"/>
    <x v="9"/>
    <s v="PSES High Prog01Act26 S275"/>
    <x v="0"/>
    <s v="26"/>
    <m/>
    <n v="26"/>
    <s v="   "/>
    <n v="0.878"/>
  </r>
  <r>
    <x v="187"/>
    <s v="Eatonville School District"/>
    <s v="Personnel"/>
    <s v="M "/>
    <x v="2"/>
    <x v="11"/>
    <s v="PSES Mid Prog01Act26 S275"/>
    <x v="0"/>
    <s v="26"/>
    <m/>
    <n v="26"/>
    <s v="   "/>
    <n v="0.27500000000000002"/>
  </r>
  <r>
    <x v="187"/>
    <s v="Eatonville School District"/>
    <s v="Personnel"/>
    <s v="E "/>
    <x v="0"/>
    <x v="15"/>
    <s v="PSES Elem Prog01Duty42 S275"/>
    <x v="0"/>
    <s v="42"/>
    <n v="42"/>
    <m/>
    <s v="   "/>
    <n v="2.617"/>
  </r>
  <r>
    <x v="187"/>
    <s v="Eatonville School District"/>
    <s v="Personnel"/>
    <s v="H "/>
    <x v="1"/>
    <x v="16"/>
    <s v="PSES High Prog01Duty42 S275"/>
    <x v="0"/>
    <s v="42"/>
    <n v="42"/>
    <m/>
    <s v="   "/>
    <n v="1.3"/>
  </r>
  <r>
    <x v="187"/>
    <s v="Eatonville School District"/>
    <s v="Personnel"/>
    <s v="E "/>
    <x v="0"/>
    <x v="42"/>
    <s v="PSES Elem Prog01Duty44 S275"/>
    <x v="0"/>
    <s v="44"/>
    <n v="44"/>
    <m/>
    <s v="   "/>
    <n v="0.2"/>
  </r>
  <r>
    <x v="187"/>
    <s v="Eatonville School District"/>
    <s v="Personnel"/>
    <s v="M "/>
    <x v="2"/>
    <x v="46"/>
    <s v="PSES Mid Prog01Duty44 S275"/>
    <x v="0"/>
    <s v="44"/>
    <n v="44"/>
    <m/>
    <s v="   "/>
    <n v="1.55"/>
  </r>
  <r>
    <x v="187"/>
    <s v="Eatonville School District"/>
    <s v="Personnel"/>
    <s v="E "/>
    <x v="0"/>
    <x v="20"/>
    <s v="PSES Elem Prog21Duty45 S275"/>
    <x v="1"/>
    <s v="45"/>
    <n v="45"/>
    <m/>
    <s v="   "/>
    <n v="1"/>
  </r>
  <r>
    <x v="187"/>
    <s v="Eatonville School District"/>
    <s v="Personnel"/>
    <s v="E "/>
    <x v="0"/>
    <x v="22"/>
    <s v="PSES Elem Prog21Duty46 S275"/>
    <x v="1"/>
    <s v="46"/>
    <n v="46"/>
    <m/>
    <s v="   "/>
    <n v="0.25"/>
  </r>
  <r>
    <x v="187"/>
    <s v="Eatonville School District"/>
    <s v="Personnel"/>
    <s v="E "/>
    <x v="0"/>
    <x v="48"/>
    <s v="PSES Elem Prog01Duty46 S275"/>
    <x v="0"/>
    <s v="46"/>
    <n v="46"/>
    <m/>
    <s v="   "/>
    <n v="0.1"/>
  </r>
  <r>
    <x v="187"/>
    <s v="Eatonville School District"/>
    <s v="Personnel"/>
    <s v="H "/>
    <x v="1"/>
    <x v="23"/>
    <s v="PSES High Prog21Duty46 S275"/>
    <x v="1"/>
    <s v="46"/>
    <n v="46"/>
    <m/>
    <s v="   "/>
    <n v="0.23"/>
  </r>
  <r>
    <x v="187"/>
    <s v="Eatonville School District"/>
    <s v="Personnel"/>
    <s v="H "/>
    <x v="1"/>
    <x v="65"/>
    <s v="PSES High Prog01Duty46 S275"/>
    <x v="0"/>
    <s v="46"/>
    <n v="46"/>
    <m/>
    <s v="   "/>
    <n v="0.1"/>
  </r>
  <r>
    <x v="187"/>
    <s v="Eatonville School District"/>
    <s v="Personnel"/>
    <s v="M "/>
    <x v="2"/>
    <x v="24"/>
    <s v="PSES Mid Prog21Duty46 S275"/>
    <x v="1"/>
    <s v="46"/>
    <n v="46"/>
    <m/>
    <s v="   "/>
    <n v="0.22"/>
  </r>
  <r>
    <x v="187"/>
    <s v="Eatonville School District"/>
    <s v="Personnel"/>
    <s v="M "/>
    <x v="2"/>
    <x v="49"/>
    <s v="PSES Mid Prog01Duty46 S275"/>
    <x v="0"/>
    <s v="46"/>
    <n v="46"/>
    <m/>
    <s v="   "/>
    <n v="0.1"/>
  </r>
  <r>
    <x v="187"/>
    <s v="Eatonville School District"/>
    <s v="Personnel"/>
    <s v="E "/>
    <x v="0"/>
    <x v="27"/>
    <s v="PSES Elem Prog01Duty47 S275"/>
    <x v="0"/>
    <s v="47"/>
    <n v="47"/>
    <m/>
    <s v="   "/>
    <n v="0.39400000000000002"/>
  </r>
  <r>
    <x v="187"/>
    <s v="Eatonville School District"/>
    <s v="Personnel"/>
    <s v="E "/>
    <x v="0"/>
    <x v="38"/>
    <s v="PSES Elem Prog21Duty64 S275"/>
    <x v="1"/>
    <s v="64"/>
    <n v="64"/>
    <m/>
    <s v="   "/>
    <n v="0.5"/>
  </r>
  <r>
    <x v="188"/>
    <s v="White River School District"/>
    <s v="Personnel"/>
    <s v="H "/>
    <x v="1"/>
    <x v="1"/>
    <s v="PSES High Prog01Duty96 S275"/>
    <x v="0"/>
    <s v="24"/>
    <n v="96"/>
    <n v="24"/>
    <s v="   "/>
    <n v="9.2999999999999999E-2"/>
  </r>
  <r>
    <x v="188"/>
    <s v="White River School District"/>
    <s v="Personnel"/>
    <s v="E "/>
    <x v="0"/>
    <x v="3"/>
    <s v="PSES Elem Prog01Act25 S275"/>
    <x v="0"/>
    <s v="25"/>
    <m/>
    <n v="25"/>
    <s v="   "/>
    <n v="5.0519999999999996"/>
  </r>
  <r>
    <x v="188"/>
    <s v="White River School District"/>
    <s v="Personnel"/>
    <s v="H "/>
    <x v="1"/>
    <x v="4"/>
    <s v="PSES High Prog21Act25 S275"/>
    <x v="1"/>
    <s v="25"/>
    <m/>
    <n v="25"/>
    <s v="   "/>
    <n v="3.0870000000000002"/>
  </r>
  <r>
    <x v="188"/>
    <s v="White River School District"/>
    <s v="Personnel"/>
    <s v="M "/>
    <x v="2"/>
    <x v="6"/>
    <s v="PSES Mid Prog01Act25 S275"/>
    <x v="0"/>
    <s v="25"/>
    <m/>
    <n v="25"/>
    <s v="   "/>
    <n v="0.45300000000000001"/>
  </r>
  <r>
    <x v="188"/>
    <s v="White River School District"/>
    <s v="Personnel"/>
    <s v="E "/>
    <x v="0"/>
    <x v="8"/>
    <s v="PSES Elem Prog01Act26 S275"/>
    <x v="0"/>
    <s v="26"/>
    <m/>
    <n v="26"/>
    <s v="   "/>
    <n v="3.9969999999999999"/>
  </r>
  <r>
    <x v="188"/>
    <s v="White River School District"/>
    <s v="Personnel"/>
    <s v="H "/>
    <x v="1"/>
    <x v="9"/>
    <s v="PSES High Prog01Act26 S275"/>
    <x v="0"/>
    <s v="26"/>
    <m/>
    <n v="26"/>
    <s v="   "/>
    <n v="0.93300000000000005"/>
  </r>
  <r>
    <x v="188"/>
    <s v="White River School District"/>
    <s v="Personnel"/>
    <s v="M "/>
    <x v="2"/>
    <x v="11"/>
    <s v="PSES Mid Prog01Act26 S275"/>
    <x v="0"/>
    <s v="26"/>
    <m/>
    <n v="26"/>
    <s v="   "/>
    <n v="0.56399999999999995"/>
  </r>
  <r>
    <x v="188"/>
    <s v="White River School District"/>
    <s v="Personnel"/>
    <s v="E "/>
    <x v="0"/>
    <x v="62"/>
    <s v="PSES Elem Prog01Act35 S275"/>
    <x v="0"/>
    <s v="35"/>
    <m/>
    <n v="35"/>
    <s v="   "/>
    <n v="0.66700000000000004"/>
  </r>
  <r>
    <x v="188"/>
    <s v="White River School District"/>
    <s v="Personnel"/>
    <s v="H "/>
    <x v="1"/>
    <x v="54"/>
    <s v="PSES High Prog01Act35 S275"/>
    <x v="0"/>
    <s v="35"/>
    <m/>
    <n v="35"/>
    <s v="   "/>
    <n v="1.5529999999999999"/>
  </r>
  <r>
    <x v="188"/>
    <s v="White River School District"/>
    <s v="Personnel"/>
    <s v="M "/>
    <x v="2"/>
    <x v="63"/>
    <s v="PSES Mid Prog01Act35 S275"/>
    <x v="0"/>
    <s v="35"/>
    <m/>
    <n v="35"/>
    <s v="   "/>
    <n v="0.54400000000000004"/>
  </r>
  <r>
    <x v="188"/>
    <s v="White River School District"/>
    <s v="Personnel"/>
    <s v="E "/>
    <x v="0"/>
    <x v="15"/>
    <s v="PSES Elem Prog01Duty42 S275"/>
    <x v="0"/>
    <s v="42"/>
    <n v="42"/>
    <m/>
    <s v="   "/>
    <n v="4.8499999999999996"/>
  </r>
  <r>
    <x v="188"/>
    <s v="White River School District"/>
    <s v="Personnel"/>
    <s v="H "/>
    <x v="1"/>
    <x v="16"/>
    <s v="PSES High Prog01Duty42 S275"/>
    <x v="0"/>
    <s v="42"/>
    <n v="42"/>
    <m/>
    <s v="   "/>
    <n v="3.25"/>
  </r>
  <r>
    <x v="188"/>
    <s v="White River School District"/>
    <s v="Personnel"/>
    <s v="M "/>
    <x v="2"/>
    <x v="17"/>
    <s v="PSES Mid Prog01Duty42 S275"/>
    <x v="0"/>
    <s v="42"/>
    <n v="42"/>
    <m/>
    <s v="   "/>
    <n v="2"/>
  </r>
  <r>
    <x v="188"/>
    <s v="White River School District"/>
    <s v="Personnel"/>
    <s v="E "/>
    <x v="0"/>
    <x v="18"/>
    <s v="PSES Elem Prog21Duty43 S275"/>
    <x v="1"/>
    <s v="43"/>
    <n v="43"/>
    <m/>
    <s v="   "/>
    <n v="1"/>
  </r>
  <r>
    <x v="188"/>
    <s v="White River School District"/>
    <s v="Personnel"/>
    <s v="E "/>
    <x v="0"/>
    <x v="41"/>
    <s v="PSES Elem Prog21Duty44 S275"/>
    <x v="1"/>
    <s v="44"/>
    <n v="44"/>
    <m/>
    <s v="   "/>
    <n v="0.63"/>
  </r>
  <r>
    <x v="188"/>
    <s v="White River School District"/>
    <s v="Personnel"/>
    <s v="H "/>
    <x v="1"/>
    <x v="44"/>
    <s v="PSES High Prog01Duty44 S275"/>
    <x v="0"/>
    <s v="44"/>
    <n v="44"/>
    <m/>
    <s v="   "/>
    <n v="1"/>
  </r>
  <r>
    <x v="188"/>
    <s v="White River School District"/>
    <s v="Personnel"/>
    <s v="E "/>
    <x v="0"/>
    <x v="20"/>
    <s v="PSES Elem Prog21Duty45 S275"/>
    <x v="1"/>
    <s v="45"/>
    <n v="45"/>
    <m/>
    <s v="   "/>
    <n v="5.4630000000000001"/>
  </r>
  <r>
    <x v="188"/>
    <s v="White River School District"/>
    <s v="Personnel"/>
    <s v="H "/>
    <x v="1"/>
    <x v="21"/>
    <s v="PSES High Prog21Duty45 S275"/>
    <x v="1"/>
    <s v="45"/>
    <n v="45"/>
    <m/>
    <s v="   "/>
    <n v="0.313"/>
  </r>
  <r>
    <x v="188"/>
    <s v="White River School District"/>
    <s v="Personnel"/>
    <s v="M "/>
    <x v="2"/>
    <x v="28"/>
    <s v="PSES Mid Prog21Duty45 S275"/>
    <x v="1"/>
    <s v="45"/>
    <n v="45"/>
    <m/>
    <s v="   "/>
    <n v="0.49399999999999999"/>
  </r>
  <r>
    <x v="188"/>
    <s v="White River School District"/>
    <s v="Personnel"/>
    <s v="E "/>
    <x v="0"/>
    <x v="22"/>
    <s v="PSES Elem Prog21Duty46 S275"/>
    <x v="1"/>
    <s v="46"/>
    <n v="46"/>
    <m/>
    <s v="   "/>
    <n v="4.3"/>
  </r>
  <r>
    <x v="188"/>
    <s v="White River School District"/>
    <s v="Personnel"/>
    <s v="H "/>
    <x v="1"/>
    <x v="23"/>
    <s v="PSES High Prog21Duty46 S275"/>
    <x v="1"/>
    <s v="46"/>
    <n v="46"/>
    <m/>
    <s v="   "/>
    <n v="1"/>
  </r>
  <r>
    <x v="188"/>
    <s v="White River School District"/>
    <s v="Personnel"/>
    <s v="M "/>
    <x v="2"/>
    <x v="24"/>
    <s v="PSES Mid Prog21Duty46 S275"/>
    <x v="1"/>
    <s v="46"/>
    <n v="46"/>
    <m/>
    <s v="   "/>
    <n v="1"/>
  </r>
  <r>
    <x v="188"/>
    <s v="White River School District"/>
    <s v="Personnel"/>
    <s v="T"/>
    <x v="0"/>
    <x v="70"/>
    <s v="PSES Elem Prog09Duty42 S275"/>
    <x v="3"/>
    <s v="42"/>
    <n v="42"/>
    <n v="24"/>
    <m/>
    <n v="0.15"/>
  </r>
  <r>
    <x v="189"/>
    <s v="Fife School District"/>
    <s v="Personnel"/>
    <s v="H "/>
    <x v="1"/>
    <x v="4"/>
    <s v="PSES High Prog21Act25 S275"/>
    <x v="1"/>
    <s v="25"/>
    <m/>
    <n v="25"/>
    <s v="   "/>
    <n v="2.589"/>
  </r>
  <r>
    <x v="189"/>
    <s v="Fife School District"/>
    <s v="Personnel"/>
    <s v="H "/>
    <x v="1"/>
    <x v="5"/>
    <s v="PSES High Prog01Act25 S275"/>
    <x v="0"/>
    <s v="25"/>
    <m/>
    <n v="25"/>
    <s v="   "/>
    <n v="2.2919999999999998"/>
  </r>
  <r>
    <x v="189"/>
    <s v="Fife School District"/>
    <s v="Personnel"/>
    <s v="H "/>
    <x v="1"/>
    <x v="29"/>
    <s v="PSES High Prog21Act26 S275"/>
    <x v="1"/>
    <s v="26"/>
    <m/>
    <n v="26"/>
    <s v="   "/>
    <n v="0.68500000000000005"/>
  </r>
  <r>
    <x v="189"/>
    <s v="Fife School District"/>
    <s v="Personnel"/>
    <s v="H "/>
    <x v="1"/>
    <x v="9"/>
    <s v="PSES High Prog01Act26 S275"/>
    <x v="0"/>
    <s v="26"/>
    <m/>
    <n v="26"/>
    <s v="   "/>
    <n v="1.278"/>
  </r>
  <r>
    <x v="189"/>
    <s v="Fife School District"/>
    <s v="Personnel"/>
    <s v="H "/>
    <x v="1"/>
    <x v="54"/>
    <s v="PSES High Prog01Act35 S275"/>
    <x v="0"/>
    <s v="35"/>
    <m/>
    <n v="35"/>
    <s v="   "/>
    <n v="2.2770000000000001"/>
  </r>
  <r>
    <x v="189"/>
    <s v="Fife School District"/>
    <s v="Personnel"/>
    <s v="E "/>
    <x v="0"/>
    <x v="15"/>
    <s v="PSES Elem Prog01Duty42 S275"/>
    <x v="0"/>
    <s v="42"/>
    <n v="42"/>
    <m/>
    <s v="   "/>
    <n v="4"/>
  </r>
  <r>
    <x v="189"/>
    <s v="Fife School District"/>
    <s v="Personnel"/>
    <s v="H "/>
    <x v="1"/>
    <x v="16"/>
    <s v="PSES High Prog01Duty42 S275"/>
    <x v="0"/>
    <s v="42"/>
    <n v="42"/>
    <m/>
    <s v="   "/>
    <n v="3.54"/>
  </r>
  <r>
    <x v="189"/>
    <s v="Fife School District"/>
    <s v="Personnel"/>
    <s v="M "/>
    <x v="2"/>
    <x v="17"/>
    <s v="PSES Mid Prog01Duty42 S275"/>
    <x v="0"/>
    <s v="42"/>
    <n v="42"/>
    <m/>
    <s v="   "/>
    <n v="2.96"/>
  </r>
  <r>
    <x v="189"/>
    <s v="Fife School District"/>
    <s v="Personnel"/>
    <s v="E "/>
    <x v="0"/>
    <x v="18"/>
    <s v="PSES Elem Prog21Duty43 S275"/>
    <x v="1"/>
    <s v="43"/>
    <n v="43"/>
    <m/>
    <s v="   "/>
    <n v="0.54"/>
  </r>
  <r>
    <x v="189"/>
    <s v="Fife School District"/>
    <s v="Personnel"/>
    <s v="H "/>
    <x v="1"/>
    <x v="19"/>
    <s v="PSES High Prog21Duty43 S275"/>
    <x v="1"/>
    <s v="43"/>
    <n v="43"/>
    <m/>
    <s v="   "/>
    <n v="0.31"/>
  </r>
  <r>
    <x v="189"/>
    <s v="Fife School District"/>
    <s v="Personnel"/>
    <s v="M "/>
    <x v="2"/>
    <x v="31"/>
    <s v="PSES Mid Prog21Duty43 S275"/>
    <x v="1"/>
    <s v="43"/>
    <n v="43"/>
    <m/>
    <s v="   "/>
    <n v="0.15"/>
  </r>
  <r>
    <x v="189"/>
    <s v="Fife School District"/>
    <s v="Personnel"/>
    <s v="E "/>
    <x v="0"/>
    <x v="20"/>
    <s v="PSES Elem Prog21Duty45 S275"/>
    <x v="1"/>
    <s v="45"/>
    <n v="45"/>
    <m/>
    <s v="   "/>
    <n v="3.7469999999999999"/>
  </r>
  <r>
    <x v="189"/>
    <s v="Fife School District"/>
    <s v="Personnel"/>
    <s v="H "/>
    <x v="1"/>
    <x v="21"/>
    <s v="PSES High Prog21Duty45 S275"/>
    <x v="1"/>
    <s v="45"/>
    <n v="45"/>
    <m/>
    <s v="   "/>
    <n v="0.5"/>
  </r>
  <r>
    <x v="189"/>
    <s v="Fife School District"/>
    <s v="Personnel"/>
    <s v="M "/>
    <x v="2"/>
    <x v="28"/>
    <s v="PSES Mid Prog21Duty45 S275"/>
    <x v="1"/>
    <s v="45"/>
    <n v="45"/>
    <m/>
    <s v="   "/>
    <n v="1.0469999999999999"/>
  </r>
  <r>
    <x v="189"/>
    <s v="Fife School District"/>
    <s v="Personnel"/>
    <s v="E "/>
    <x v="0"/>
    <x v="22"/>
    <s v="PSES Elem Prog21Duty46 S275"/>
    <x v="1"/>
    <s v="46"/>
    <n v="46"/>
    <m/>
    <s v="   "/>
    <n v="1.75"/>
  </r>
  <r>
    <x v="189"/>
    <s v="Fife School District"/>
    <s v="Personnel"/>
    <s v="H "/>
    <x v="1"/>
    <x v="23"/>
    <s v="PSES High Prog21Duty46 S275"/>
    <x v="1"/>
    <s v="46"/>
    <n v="46"/>
    <m/>
    <s v="   "/>
    <n v="0.5"/>
  </r>
  <r>
    <x v="189"/>
    <s v="Fife School District"/>
    <s v="Personnel"/>
    <s v="M "/>
    <x v="2"/>
    <x v="24"/>
    <s v="PSES Mid Prog21Duty46 S275"/>
    <x v="1"/>
    <s v="46"/>
    <n v="46"/>
    <m/>
    <s v="   "/>
    <n v="1.766"/>
  </r>
  <r>
    <x v="189"/>
    <s v="Fife School District"/>
    <s v="Personnel"/>
    <s v="E "/>
    <x v="0"/>
    <x v="27"/>
    <s v="PSES Elem Prog01Duty47 S275"/>
    <x v="0"/>
    <s v="47"/>
    <n v="47"/>
    <m/>
    <s v="   "/>
    <n v="2"/>
  </r>
  <r>
    <x v="189"/>
    <s v="Fife School District"/>
    <s v="Personnel"/>
    <s v="H "/>
    <x v="1"/>
    <x v="25"/>
    <s v="PSES High Prog01Duty47 S275"/>
    <x v="0"/>
    <s v="47"/>
    <n v="47"/>
    <m/>
    <s v="   "/>
    <n v="0.5"/>
  </r>
  <r>
    <x v="189"/>
    <s v="Fife School District"/>
    <s v="Personnel"/>
    <s v="M "/>
    <x v="2"/>
    <x v="34"/>
    <s v="PSES Mid Prog01Duty47 S275"/>
    <x v="0"/>
    <s v="47"/>
    <n v="47"/>
    <m/>
    <s v="   "/>
    <n v="0.5"/>
  </r>
  <r>
    <x v="189"/>
    <s v="Fife School District"/>
    <s v="Personnel"/>
    <s v="E "/>
    <x v="0"/>
    <x v="35"/>
    <s v="PSES Elem Prog21Duty48 S275"/>
    <x v="1"/>
    <s v="48"/>
    <n v="48"/>
    <m/>
    <s v="   "/>
    <n v="0.27"/>
  </r>
  <r>
    <x v="189"/>
    <s v="Fife School District"/>
    <s v="Personnel"/>
    <s v="H "/>
    <x v="1"/>
    <x v="36"/>
    <s v="PSES High Prog21Duty48 S275"/>
    <x v="1"/>
    <s v="48"/>
    <n v="48"/>
    <m/>
    <s v="   "/>
    <n v="0.155"/>
  </r>
  <r>
    <x v="189"/>
    <s v="Fife School District"/>
    <s v="Personnel"/>
    <s v="M "/>
    <x v="2"/>
    <x v="37"/>
    <s v="PSES Mid Prog21Duty48 S275"/>
    <x v="1"/>
    <s v="48"/>
    <n v="48"/>
    <m/>
    <s v="   "/>
    <n v="7.4999999999999997E-2"/>
  </r>
  <r>
    <x v="190"/>
    <s v="Chief Leschi Tribal Compact"/>
    <s v="Personnel"/>
    <s v="H "/>
    <x v="1"/>
    <x v="29"/>
    <s v="PSES High Prog21Act26 S275"/>
    <x v="1"/>
    <s v="26"/>
    <m/>
    <n v="26"/>
    <s v="   "/>
    <n v="1.462"/>
  </r>
  <r>
    <x v="190"/>
    <s v="Chief Leschi Tribal Compact"/>
    <s v="Personnel"/>
    <s v="H "/>
    <x v="1"/>
    <x v="54"/>
    <s v="PSES High Prog01Act35 S275"/>
    <x v="0"/>
    <s v="35"/>
    <m/>
    <n v="35"/>
    <s v="   "/>
    <n v="2"/>
  </r>
  <r>
    <x v="190"/>
    <s v="Chief Leschi Tribal Compact"/>
    <s v="Personnel"/>
    <s v="H "/>
    <x v="1"/>
    <x v="16"/>
    <s v="PSES High Prog01Duty42 S275"/>
    <x v="0"/>
    <s v="42"/>
    <n v="42"/>
    <m/>
    <s v="   "/>
    <n v="2.0270000000000001"/>
  </r>
  <r>
    <x v="190"/>
    <s v="Chief Leschi Tribal Compact"/>
    <s v="Personnel"/>
    <s v="M "/>
    <x v="2"/>
    <x v="17"/>
    <s v="PSES Mid Prog01Duty42 S275"/>
    <x v="0"/>
    <s v="42"/>
    <n v="42"/>
    <m/>
    <s v="   "/>
    <n v="2.0270000000000001"/>
  </r>
  <r>
    <x v="190"/>
    <s v="Chief Leschi Tribal Compact"/>
    <s v="Personnel"/>
    <s v="E "/>
    <x v="0"/>
    <x v="20"/>
    <s v="PSES Elem Prog21Duty45 S275"/>
    <x v="1"/>
    <s v="45"/>
    <n v="45"/>
    <m/>
    <s v="   "/>
    <n v="0.4"/>
  </r>
  <r>
    <x v="190"/>
    <s v="Chief Leschi Tribal Compact"/>
    <s v="Personnel"/>
    <s v="H "/>
    <x v="1"/>
    <x v="21"/>
    <s v="PSES High Prog21Duty45 S275"/>
    <x v="1"/>
    <s v="45"/>
    <n v="45"/>
    <m/>
    <s v="   "/>
    <n v="0.2"/>
  </r>
  <r>
    <x v="190"/>
    <s v="Chief Leschi Tribal Compact"/>
    <s v="Personnel"/>
    <s v="M "/>
    <x v="2"/>
    <x v="28"/>
    <s v="PSES Mid Prog21Duty45 S275"/>
    <x v="1"/>
    <s v="45"/>
    <n v="45"/>
    <m/>
    <s v="   "/>
    <n v="0.2"/>
  </r>
  <r>
    <x v="191"/>
    <s v="Impact | Commencement Bay Elementary"/>
    <s v="Personnel"/>
    <s v="E "/>
    <x v="0"/>
    <x v="0"/>
    <s v="PSES Elem Prog01Duty96 S275"/>
    <x v="0"/>
    <s v="24"/>
    <n v="96"/>
    <n v="24"/>
    <s v="   "/>
    <n v="1"/>
  </r>
  <r>
    <x v="191"/>
    <s v="Impact | Commencement Bay Elementary"/>
    <s v="Personnel"/>
    <s v="E "/>
    <x v="0"/>
    <x v="38"/>
    <s v="PSES Elem Prog21Duty64 S275"/>
    <x v="1"/>
    <s v="64"/>
    <n v="64"/>
    <m/>
    <s v="   "/>
    <n v="2.6"/>
  </r>
  <r>
    <x v="192"/>
    <s v="Summit Public School: Olympus"/>
    <s v="Personnel"/>
    <s v="H "/>
    <x v="1"/>
    <x v="25"/>
    <s v="PSES High Prog01Duty47 S275"/>
    <x v="0"/>
    <s v="47"/>
    <n v="47"/>
    <m/>
    <s v="   "/>
    <n v="1"/>
  </r>
  <r>
    <x v="193"/>
    <s v="Orcas Island School District"/>
    <s v="Personnel"/>
    <s v="H "/>
    <x v="1"/>
    <x v="29"/>
    <s v="PSES High Prog21Act26 S275"/>
    <x v="1"/>
    <s v="26"/>
    <m/>
    <n v="26"/>
    <s v="   "/>
    <n v="0.19800000000000001"/>
  </r>
  <r>
    <x v="193"/>
    <s v="Orcas Island School District"/>
    <s v="Personnel"/>
    <s v="H "/>
    <x v="1"/>
    <x v="9"/>
    <s v="PSES High Prog01Act26 S275"/>
    <x v="0"/>
    <s v="26"/>
    <m/>
    <n v="26"/>
    <s v="   "/>
    <n v="0.60899999999999999"/>
  </r>
  <r>
    <x v="193"/>
    <s v="Orcas Island School District"/>
    <s v="Personnel"/>
    <s v="H "/>
    <x v="1"/>
    <x v="16"/>
    <s v="PSES High Prog01Duty42 S275"/>
    <x v="0"/>
    <s v="42"/>
    <n v="42"/>
    <m/>
    <s v="   "/>
    <n v="0.8"/>
  </r>
  <r>
    <x v="193"/>
    <s v="Orcas Island School District"/>
    <s v="Personnel"/>
    <s v="M "/>
    <x v="2"/>
    <x v="17"/>
    <s v="PSES Mid Prog01Duty42 S275"/>
    <x v="0"/>
    <s v="42"/>
    <n v="42"/>
    <m/>
    <s v="   "/>
    <n v="0.2"/>
  </r>
  <r>
    <x v="193"/>
    <s v="Orcas Island School District"/>
    <s v="Personnel"/>
    <s v="E "/>
    <x v="0"/>
    <x v="18"/>
    <s v="PSES Elem Prog21Duty43 S275"/>
    <x v="1"/>
    <s v="43"/>
    <n v="43"/>
    <m/>
    <s v="   "/>
    <n v="1"/>
  </r>
  <r>
    <x v="194"/>
    <s v="Lopez School District"/>
    <s v="Personnel"/>
    <s v="H "/>
    <x v="1"/>
    <x v="9"/>
    <s v="PSES High Prog01Act26 S275"/>
    <x v="0"/>
    <s v="26"/>
    <m/>
    <n v="26"/>
    <s v="   "/>
    <n v="0.72299999999999998"/>
  </r>
  <r>
    <x v="194"/>
    <s v="Lopez School District"/>
    <s v="Personnel"/>
    <s v="E "/>
    <x v="0"/>
    <x v="15"/>
    <s v="PSES Elem Prog01Duty42 S275"/>
    <x v="0"/>
    <s v="42"/>
    <n v="42"/>
    <m/>
    <s v="   "/>
    <n v="0.54"/>
  </r>
  <r>
    <x v="194"/>
    <s v="Lopez School District"/>
    <s v="Personnel"/>
    <s v="H "/>
    <x v="1"/>
    <x v="16"/>
    <s v="PSES High Prog01Duty42 S275"/>
    <x v="0"/>
    <s v="42"/>
    <n v="42"/>
    <m/>
    <s v="   "/>
    <n v="0.31"/>
  </r>
  <r>
    <x v="194"/>
    <s v="Lopez School District"/>
    <s v="Personnel"/>
    <s v="M "/>
    <x v="2"/>
    <x v="17"/>
    <s v="PSES Mid Prog01Duty42 S275"/>
    <x v="0"/>
    <s v="42"/>
    <n v="42"/>
    <m/>
    <s v="   "/>
    <n v="0.15"/>
  </r>
  <r>
    <x v="194"/>
    <s v="Lopez School District"/>
    <s v="Personnel"/>
    <s v="E "/>
    <x v="0"/>
    <x v="20"/>
    <s v="PSES Elem Prog21Duty45 S275"/>
    <x v="1"/>
    <s v="45"/>
    <n v="45"/>
    <m/>
    <s v="   "/>
    <n v="0.3"/>
  </r>
  <r>
    <x v="194"/>
    <s v="Lopez School District"/>
    <s v="Personnel"/>
    <s v="H "/>
    <x v="1"/>
    <x v="21"/>
    <s v="PSES High Prog21Duty45 S275"/>
    <x v="1"/>
    <s v="45"/>
    <n v="45"/>
    <m/>
    <s v="   "/>
    <n v="0.18"/>
  </r>
  <r>
    <x v="194"/>
    <s v="Lopez School District"/>
    <s v="Personnel"/>
    <s v="M "/>
    <x v="2"/>
    <x v="28"/>
    <s v="PSES Mid Prog21Duty45 S275"/>
    <x v="1"/>
    <s v="45"/>
    <n v="45"/>
    <m/>
    <s v="   "/>
    <n v="0.12"/>
  </r>
  <r>
    <x v="195"/>
    <s v="San Juan Island School District"/>
    <s v="Personnel"/>
    <s v="H "/>
    <x v="1"/>
    <x v="5"/>
    <s v="PSES High Prog01Act25 S275"/>
    <x v="0"/>
    <s v="25"/>
    <m/>
    <n v="25"/>
    <s v="   "/>
    <n v="9.1999999999999998E-2"/>
  </r>
  <r>
    <x v="195"/>
    <s v="San Juan Island School District"/>
    <s v="Personnel"/>
    <s v="E "/>
    <x v="0"/>
    <x v="15"/>
    <s v="PSES Elem Prog01Duty42 S275"/>
    <x v="0"/>
    <s v="42"/>
    <n v="42"/>
    <m/>
    <s v="   "/>
    <n v="1"/>
  </r>
  <r>
    <x v="195"/>
    <s v="San Juan Island School District"/>
    <s v="Personnel"/>
    <s v="H "/>
    <x v="1"/>
    <x v="16"/>
    <s v="PSES High Prog01Duty42 S275"/>
    <x v="0"/>
    <s v="42"/>
    <n v="42"/>
    <m/>
    <s v="   "/>
    <n v="1"/>
  </r>
  <r>
    <x v="195"/>
    <s v="San Juan Island School District"/>
    <s v="Personnel"/>
    <s v="M "/>
    <x v="2"/>
    <x v="17"/>
    <s v="PSES Mid Prog01Duty42 S275"/>
    <x v="0"/>
    <s v="42"/>
    <n v="42"/>
    <m/>
    <s v="   "/>
    <n v="1"/>
  </r>
  <r>
    <x v="195"/>
    <s v="San Juan Island School District"/>
    <s v="Personnel"/>
    <s v="E "/>
    <x v="0"/>
    <x v="18"/>
    <s v="PSES Elem Prog21Duty43 S275"/>
    <x v="1"/>
    <s v="43"/>
    <n v="43"/>
    <m/>
    <s v="   "/>
    <n v="0.5"/>
  </r>
  <r>
    <x v="195"/>
    <s v="San Juan Island School District"/>
    <s v="Personnel"/>
    <s v="H "/>
    <x v="1"/>
    <x v="19"/>
    <s v="PSES High Prog21Duty43 S275"/>
    <x v="1"/>
    <s v="43"/>
    <n v="43"/>
    <m/>
    <s v="   "/>
    <n v="0.5"/>
  </r>
  <r>
    <x v="195"/>
    <s v="San Juan Island School District"/>
    <s v="Personnel"/>
    <s v="E "/>
    <x v="0"/>
    <x v="20"/>
    <s v="PSES Elem Prog21Duty45 S275"/>
    <x v="1"/>
    <s v="45"/>
    <n v="45"/>
    <m/>
    <s v="   "/>
    <n v="1"/>
  </r>
  <r>
    <x v="195"/>
    <s v="San Juan Island School District"/>
    <s v="Personnel"/>
    <s v="E "/>
    <x v="0"/>
    <x v="27"/>
    <s v="PSES Elem Prog01Duty47 S275"/>
    <x v="0"/>
    <s v="47"/>
    <n v="47"/>
    <m/>
    <s v="   "/>
    <n v="0.35"/>
  </r>
  <r>
    <x v="195"/>
    <s v="San Juan Island School District"/>
    <s v="Personnel"/>
    <s v="H "/>
    <x v="1"/>
    <x v="25"/>
    <s v="PSES High Prog01Duty47 S275"/>
    <x v="0"/>
    <s v="47"/>
    <n v="47"/>
    <m/>
    <s v="   "/>
    <n v="0.3"/>
  </r>
  <r>
    <x v="195"/>
    <s v="San Juan Island School District"/>
    <s v="Personnel"/>
    <s v="M "/>
    <x v="2"/>
    <x v="34"/>
    <s v="PSES Mid Prog01Duty47 S275"/>
    <x v="0"/>
    <s v="47"/>
    <n v="47"/>
    <m/>
    <s v="   "/>
    <n v="0.35"/>
  </r>
  <r>
    <x v="196"/>
    <s v="Concrete School District"/>
    <s v="Personnel"/>
    <s v="H "/>
    <x v="1"/>
    <x v="5"/>
    <s v="PSES High Prog01Act25 S275"/>
    <x v="0"/>
    <s v="25"/>
    <m/>
    <n v="25"/>
    <s v="   "/>
    <n v="0.64200000000000002"/>
  </r>
  <r>
    <x v="196"/>
    <s v="Concrete School District"/>
    <s v="Personnel"/>
    <s v="H "/>
    <x v="1"/>
    <x v="9"/>
    <s v="PSES High Prog01Act26 S275"/>
    <x v="0"/>
    <s v="26"/>
    <m/>
    <n v="26"/>
    <s v="   "/>
    <n v="1.1299999999999999"/>
  </r>
  <r>
    <x v="196"/>
    <s v="Concrete School District"/>
    <s v="Personnel"/>
    <s v="E "/>
    <x v="0"/>
    <x v="15"/>
    <s v="PSES Elem Prog01Duty42 S275"/>
    <x v="0"/>
    <s v="42"/>
    <n v="42"/>
    <m/>
    <s v="   "/>
    <n v="0.8"/>
  </r>
  <r>
    <x v="196"/>
    <s v="Concrete School District"/>
    <s v="Personnel"/>
    <s v="H "/>
    <x v="1"/>
    <x v="16"/>
    <s v="PSES High Prog01Duty42 S275"/>
    <x v="0"/>
    <s v="42"/>
    <n v="42"/>
    <m/>
    <s v="   "/>
    <n v="0.12"/>
  </r>
  <r>
    <x v="196"/>
    <s v="Concrete School District"/>
    <s v="Personnel"/>
    <s v="M "/>
    <x v="2"/>
    <x v="17"/>
    <s v="PSES Mid Prog01Duty42 S275"/>
    <x v="0"/>
    <s v="42"/>
    <n v="42"/>
    <m/>
    <s v="   "/>
    <n v="0.08"/>
  </r>
  <r>
    <x v="196"/>
    <s v="Concrete School District"/>
    <s v="Personnel"/>
    <s v="E "/>
    <x v="0"/>
    <x v="26"/>
    <s v="PSES Elem Prog21Duty49 S275"/>
    <x v="1"/>
    <s v="49"/>
    <n v="49"/>
    <m/>
    <s v="   "/>
    <n v="0.25"/>
  </r>
  <r>
    <x v="196"/>
    <s v="Concrete School District"/>
    <s v="Personnel"/>
    <s v="H "/>
    <x v="1"/>
    <x v="55"/>
    <s v="PSES High Prog21Duty49 S275"/>
    <x v="1"/>
    <s v="49"/>
    <n v="49"/>
    <m/>
    <s v="   "/>
    <n v="0.15"/>
  </r>
  <r>
    <x v="197"/>
    <s v="Burlington-Edison School District"/>
    <s v="Personnel"/>
    <s v="H "/>
    <x v="1"/>
    <x v="1"/>
    <s v="PSES High Prog01Duty96 S275"/>
    <x v="0"/>
    <s v="24"/>
    <n v="96"/>
    <n v="24"/>
    <s v="   "/>
    <n v="2.6629999999999998"/>
  </r>
  <r>
    <x v="197"/>
    <s v="Burlington-Edison School District"/>
    <s v="Personnel"/>
    <s v="E "/>
    <x v="0"/>
    <x v="8"/>
    <s v="PSES Elem Prog01Act26 S275"/>
    <x v="0"/>
    <s v="26"/>
    <m/>
    <n v="26"/>
    <s v="   "/>
    <n v="0.46200000000000002"/>
  </r>
  <r>
    <x v="197"/>
    <s v="Burlington-Edison School District"/>
    <s v="Personnel"/>
    <s v="H "/>
    <x v="1"/>
    <x v="29"/>
    <s v="PSES High Prog21Act26 S275"/>
    <x v="1"/>
    <s v="26"/>
    <m/>
    <n v="26"/>
    <s v="   "/>
    <n v="0.57399999999999995"/>
  </r>
  <r>
    <x v="197"/>
    <s v="Burlington-Edison School District"/>
    <s v="Personnel"/>
    <s v="H "/>
    <x v="1"/>
    <x v="9"/>
    <s v="PSES High Prog01Act26 S275"/>
    <x v="0"/>
    <s v="26"/>
    <m/>
    <n v="26"/>
    <s v="   "/>
    <n v="2.42"/>
  </r>
  <r>
    <x v="197"/>
    <s v="Burlington-Edison School District"/>
    <s v="Personnel"/>
    <s v="H "/>
    <x v="1"/>
    <x v="12"/>
    <s v="PSES High Prog97Act35 S275"/>
    <x v="2"/>
    <s v="35"/>
    <m/>
    <n v="35"/>
    <s v="   "/>
    <n v="1.232"/>
  </r>
  <r>
    <x v="197"/>
    <s v="Burlington-Edison School District"/>
    <s v="Personnel"/>
    <s v="H "/>
    <x v="1"/>
    <x v="54"/>
    <s v="PSES High Prog01Act35 S275"/>
    <x v="0"/>
    <s v="35"/>
    <m/>
    <n v="35"/>
    <s v="   "/>
    <n v="4.3999999999999997E-2"/>
  </r>
  <r>
    <x v="197"/>
    <s v="Burlington-Edison School District"/>
    <s v="Personnel"/>
    <s v="E "/>
    <x v="0"/>
    <x v="15"/>
    <s v="PSES Elem Prog01Duty42 S275"/>
    <x v="0"/>
    <s v="42"/>
    <n v="42"/>
    <m/>
    <s v="   "/>
    <n v="4.2030000000000003"/>
  </r>
  <r>
    <x v="197"/>
    <s v="Burlington-Edison School District"/>
    <s v="Personnel"/>
    <s v="H "/>
    <x v="1"/>
    <x v="16"/>
    <s v="PSES High Prog01Duty42 S275"/>
    <x v="0"/>
    <s v="42"/>
    <n v="42"/>
    <m/>
    <s v="   "/>
    <n v="3.5"/>
  </r>
  <r>
    <x v="197"/>
    <s v="Burlington-Edison School District"/>
    <s v="Personnel"/>
    <s v="M "/>
    <x v="2"/>
    <x v="17"/>
    <s v="PSES Mid Prog01Duty42 S275"/>
    <x v="0"/>
    <s v="42"/>
    <n v="42"/>
    <m/>
    <s v="   "/>
    <n v="1.0169999999999999"/>
  </r>
  <r>
    <x v="197"/>
    <s v="Burlington-Edison School District"/>
    <s v="Personnel"/>
    <s v="E "/>
    <x v="0"/>
    <x v="18"/>
    <s v="PSES Elem Prog21Duty43 S275"/>
    <x v="1"/>
    <s v="43"/>
    <n v="43"/>
    <m/>
    <s v="   "/>
    <n v="1.9590000000000001"/>
  </r>
  <r>
    <x v="197"/>
    <s v="Burlington-Edison School District"/>
    <s v="Personnel"/>
    <s v="H "/>
    <x v="1"/>
    <x v="19"/>
    <s v="PSES High Prog21Duty43 S275"/>
    <x v="1"/>
    <s v="43"/>
    <n v="43"/>
    <m/>
    <s v="   "/>
    <n v="0.16"/>
  </r>
  <r>
    <x v="197"/>
    <s v="Burlington-Edison School District"/>
    <s v="Personnel"/>
    <s v="M "/>
    <x v="2"/>
    <x v="31"/>
    <s v="PSES Mid Prog21Duty43 S275"/>
    <x v="1"/>
    <s v="43"/>
    <n v="43"/>
    <m/>
    <s v="   "/>
    <n v="0.28100000000000003"/>
  </r>
  <r>
    <x v="197"/>
    <s v="Burlington-Edison School District"/>
    <s v="Personnel"/>
    <s v="M "/>
    <x v="2"/>
    <x v="46"/>
    <s v="PSES Mid Prog01Duty44 S275"/>
    <x v="0"/>
    <s v="44"/>
    <n v="44"/>
    <m/>
    <s v="   "/>
    <n v="0.78"/>
  </r>
  <r>
    <x v="197"/>
    <s v="Burlington-Edison School District"/>
    <s v="Personnel"/>
    <s v="E "/>
    <x v="0"/>
    <x v="20"/>
    <s v="PSES Elem Prog21Duty45 S275"/>
    <x v="1"/>
    <s v="45"/>
    <n v="45"/>
    <m/>
    <s v="   "/>
    <n v="4.47"/>
  </r>
  <r>
    <x v="197"/>
    <s v="Burlington-Edison School District"/>
    <s v="Personnel"/>
    <s v="H "/>
    <x v="1"/>
    <x v="21"/>
    <s v="PSES High Prog21Duty45 S275"/>
    <x v="1"/>
    <s v="45"/>
    <n v="45"/>
    <m/>
    <s v="   "/>
    <n v="1"/>
  </r>
  <r>
    <x v="197"/>
    <s v="Burlington-Edison School District"/>
    <s v="Personnel"/>
    <s v="M "/>
    <x v="2"/>
    <x v="28"/>
    <s v="PSES Mid Prog21Duty45 S275"/>
    <x v="1"/>
    <s v="45"/>
    <n v="45"/>
    <m/>
    <s v="   "/>
    <n v="0.52"/>
  </r>
  <r>
    <x v="197"/>
    <s v="Burlington-Edison School District"/>
    <s v="Personnel"/>
    <s v="E "/>
    <x v="0"/>
    <x v="27"/>
    <s v="PSES Elem Prog01Duty47 S275"/>
    <x v="0"/>
    <s v="47"/>
    <n v="47"/>
    <m/>
    <s v="   "/>
    <n v="1.609"/>
  </r>
  <r>
    <x v="197"/>
    <s v="Burlington-Edison School District"/>
    <s v="Personnel"/>
    <s v="H "/>
    <x v="1"/>
    <x v="25"/>
    <s v="PSES High Prog01Duty47 S275"/>
    <x v="0"/>
    <s v="47"/>
    <n v="47"/>
    <m/>
    <s v="   "/>
    <n v="1"/>
  </r>
  <r>
    <x v="197"/>
    <s v="Burlington-Edison School District"/>
    <s v="Personnel"/>
    <s v="M "/>
    <x v="2"/>
    <x v="34"/>
    <s v="PSES Mid Prog01Duty47 S275"/>
    <x v="0"/>
    <s v="47"/>
    <n v="47"/>
    <m/>
    <s v="   "/>
    <n v="0.39100000000000001"/>
  </r>
  <r>
    <x v="197"/>
    <s v="Burlington-Edison School District"/>
    <s v="Personnel"/>
    <s v="E "/>
    <x v="0"/>
    <x v="35"/>
    <s v="PSES Elem Prog21Duty48 S275"/>
    <x v="1"/>
    <s v="48"/>
    <n v="48"/>
    <m/>
    <s v="   "/>
    <n v="0.21"/>
  </r>
  <r>
    <x v="197"/>
    <s v="Burlington-Edison School District"/>
    <s v="Personnel"/>
    <s v="H "/>
    <x v="1"/>
    <x v="36"/>
    <s v="PSES High Prog21Duty48 S275"/>
    <x v="1"/>
    <s v="48"/>
    <n v="48"/>
    <m/>
    <s v="   "/>
    <n v="8.8999999999999996E-2"/>
  </r>
  <r>
    <x v="197"/>
    <s v="Burlington-Edison School District"/>
    <s v="Personnel"/>
    <s v="M "/>
    <x v="2"/>
    <x v="37"/>
    <s v="PSES Mid Prog21Duty48 S275"/>
    <x v="1"/>
    <s v="48"/>
    <n v="48"/>
    <m/>
    <s v="   "/>
    <n v="8.8999999999999996E-2"/>
  </r>
  <r>
    <x v="198"/>
    <s v="Sedro-Woolley School District"/>
    <s v="Personnel"/>
    <s v="H "/>
    <x v="1"/>
    <x v="1"/>
    <s v="PSES High Prog01Duty96 S275"/>
    <x v="0"/>
    <s v="24"/>
    <n v="96"/>
    <n v="24"/>
    <s v="   "/>
    <n v="0.69199999999999995"/>
  </r>
  <r>
    <x v="198"/>
    <s v="Sedro-Woolley School District"/>
    <s v="Personnel"/>
    <s v="E "/>
    <x v="0"/>
    <x v="67"/>
    <s v="PSES Elem Prog21Act25 S275"/>
    <x v="1"/>
    <s v="25"/>
    <m/>
    <n v="25"/>
    <s v="   "/>
    <n v="1.3540000000000001"/>
  </r>
  <r>
    <x v="198"/>
    <s v="Sedro-Woolley School District"/>
    <s v="Personnel"/>
    <s v="E "/>
    <x v="0"/>
    <x v="3"/>
    <s v="PSES Elem Prog01Act25 S275"/>
    <x v="0"/>
    <s v="25"/>
    <m/>
    <n v="25"/>
    <s v="   "/>
    <n v="7.8840000000000003"/>
  </r>
  <r>
    <x v="198"/>
    <s v="Sedro-Woolley School District"/>
    <s v="Personnel"/>
    <s v="H "/>
    <x v="1"/>
    <x v="4"/>
    <s v="PSES High Prog21Act25 S275"/>
    <x v="1"/>
    <s v="25"/>
    <m/>
    <n v="25"/>
    <s v="   "/>
    <n v="1.319"/>
  </r>
  <r>
    <x v="198"/>
    <s v="Sedro-Woolley School District"/>
    <s v="Personnel"/>
    <s v="H "/>
    <x v="1"/>
    <x v="5"/>
    <s v="PSES High Prog01Act25 S275"/>
    <x v="0"/>
    <s v="25"/>
    <m/>
    <n v="25"/>
    <s v="   "/>
    <n v="0.78400000000000003"/>
  </r>
  <r>
    <x v="198"/>
    <s v="Sedro-Woolley School District"/>
    <s v="Personnel"/>
    <s v="M "/>
    <x v="2"/>
    <x v="82"/>
    <s v="PSES Mid Prog21Act25 S275"/>
    <x v="1"/>
    <s v="25"/>
    <m/>
    <n v="25"/>
    <s v="   "/>
    <n v="0.45500000000000002"/>
  </r>
  <r>
    <x v="198"/>
    <s v="Sedro-Woolley School District"/>
    <s v="Personnel"/>
    <s v="M "/>
    <x v="2"/>
    <x v="6"/>
    <s v="PSES Mid Prog01Act25 S275"/>
    <x v="0"/>
    <s v="25"/>
    <m/>
    <n v="25"/>
    <s v="   "/>
    <n v="0.85899999999999999"/>
  </r>
  <r>
    <x v="198"/>
    <s v="Sedro-Woolley School District"/>
    <s v="Personnel"/>
    <s v="E "/>
    <x v="0"/>
    <x v="7"/>
    <s v="PSES Elem Prog21Act26 S275"/>
    <x v="1"/>
    <s v="26"/>
    <m/>
    <n v="26"/>
    <s v="   "/>
    <n v="1.6519999999999999"/>
  </r>
  <r>
    <x v="198"/>
    <s v="Sedro-Woolley School District"/>
    <s v="Personnel"/>
    <s v="E "/>
    <x v="0"/>
    <x v="8"/>
    <s v="PSES Elem Prog01Act26 S275"/>
    <x v="0"/>
    <s v="26"/>
    <m/>
    <n v="26"/>
    <s v="   "/>
    <n v="4.4269999999999996"/>
  </r>
  <r>
    <x v="198"/>
    <s v="Sedro-Woolley School District"/>
    <s v="Personnel"/>
    <s v="H "/>
    <x v="1"/>
    <x v="29"/>
    <s v="PSES High Prog21Act26 S275"/>
    <x v="1"/>
    <s v="26"/>
    <m/>
    <n v="26"/>
    <s v="   "/>
    <n v="0.93500000000000005"/>
  </r>
  <r>
    <x v="198"/>
    <s v="Sedro-Woolley School District"/>
    <s v="Personnel"/>
    <s v="H "/>
    <x v="1"/>
    <x v="9"/>
    <s v="PSES High Prog01Act26 S275"/>
    <x v="0"/>
    <s v="26"/>
    <m/>
    <n v="26"/>
    <s v="   "/>
    <n v="0.878"/>
  </r>
  <r>
    <x v="198"/>
    <s v="Sedro-Woolley School District"/>
    <s v="Personnel"/>
    <s v="M "/>
    <x v="2"/>
    <x v="10"/>
    <s v="PSES Mid Prog21Act26 S275"/>
    <x v="1"/>
    <s v="26"/>
    <m/>
    <n v="26"/>
    <s v="   "/>
    <n v="0.45800000000000002"/>
  </r>
  <r>
    <x v="198"/>
    <s v="Sedro-Woolley School District"/>
    <s v="Personnel"/>
    <s v="M "/>
    <x v="2"/>
    <x v="11"/>
    <s v="PSES Mid Prog01Act26 S275"/>
    <x v="0"/>
    <s v="26"/>
    <m/>
    <n v="26"/>
    <s v="   "/>
    <n v="0.68200000000000005"/>
  </r>
  <r>
    <x v="198"/>
    <s v="Sedro-Woolley School District"/>
    <s v="Personnel"/>
    <s v="E "/>
    <x v="0"/>
    <x v="14"/>
    <s v="PSES Elem Prog21Duty39 S275"/>
    <x v="1"/>
    <s v="39"/>
    <n v="39"/>
    <m/>
    <s v="   "/>
    <n v="0.86"/>
  </r>
  <r>
    <x v="198"/>
    <s v="Sedro-Woolley School District"/>
    <s v="Personnel"/>
    <s v="M "/>
    <x v="2"/>
    <x v="88"/>
    <s v="PSES Mid Prog21Duty39 S275"/>
    <x v="1"/>
    <s v="39"/>
    <n v="39"/>
    <m/>
    <s v="   "/>
    <n v="0.1"/>
  </r>
  <r>
    <x v="198"/>
    <s v="Sedro-Woolley School District"/>
    <s v="Personnel"/>
    <s v="E "/>
    <x v="0"/>
    <x v="15"/>
    <s v="PSES Elem Prog01Duty42 S275"/>
    <x v="0"/>
    <s v="42"/>
    <n v="42"/>
    <m/>
    <s v="   "/>
    <n v="5.0780000000000003"/>
  </r>
  <r>
    <x v="198"/>
    <s v="Sedro-Woolley School District"/>
    <s v="Personnel"/>
    <s v="H "/>
    <x v="1"/>
    <x v="16"/>
    <s v="PSES High Prog01Duty42 S275"/>
    <x v="0"/>
    <s v="42"/>
    <n v="42"/>
    <m/>
    <s v="   "/>
    <n v="3.3690000000000002"/>
  </r>
  <r>
    <x v="198"/>
    <s v="Sedro-Woolley School District"/>
    <s v="Personnel"/>
    <s v="M "/>
    <x v="2"/>
    <x v="17"/>
    <s v="PSES Mid Prog01Duty42 S275"/>
    <x v="0"/>
    <s v="42"/>
    <n v="42"/>
    <m/>
    <s v="   "/>
    <n v="2"/>
  </r>
  <r>
    <x v="198"/>
    <s v="Sedro-Woolley School District"/>
    <s v="Personnel"/>
    <s v="E "/>
    <x v="0"/>
    <x v="18"/>
    <s v="PSES Elem Prog21Duty43 S275"/>
    <x v="1"/>
    <s v="43"/>
    <n v="43"/>
    <m/>
    <s v="   "/>
    <n v="3.06"/>
  </r>
  <r>
    <x v="198"/>
    <s v="Sedro-Woolley School District"/>
    <s v="Personnel"/>
    <s v="H "/>
    <x v="1"/>
    <x v="19"/>
    <s v="PSES High Prog21Duty43 S275"/>
    <x v="1"/>
    <s v="43"/>
    <n v="43"/>
    <m/>
    <s v="   "/>
    <n v="0.22"/>
  </r>
  <r>
    <x v="198"/>
    <s v="Sedro-Woolley School District"/>
    <s v="Personnel"/>
    <s v="M "/>
    <x v="2"/>
    <x v="31"/>
    <s v="PSES Mid Prog21Duty43 S275"/>
    <x v="1"/>
    <s v="43"/>
    <n v="43"/>
    <m/>
    <s v="   "/>
    <n v="0.1"/>
  </r>
  <r>
    <x v="198"/>
    <s v="Sedro-Woolley School District"/>
    <s v="Personnel"/>
    <s v="E "/>
    <x v="0"/>
    <x v="20"/>
    <s v="PSES Elem Prog21Duty45 S275"/>
    <x v="1"/>
    <s v="45"/>
    <n v="45"/>
    <m/>
    <s v="   "/>
    <n v="7.03"/>
  </r>
  <r>
    <x v="198"/>
    <s v="Sedro-Woolley School District"/>
    <s v="Personnel"/>
    <s v="H "/>
    <x v="1"/>
    <x v="21"/>
    <s v="PSES High Prog21Duty45 S275"/>
    <x v="1"/>
    <s v="45"/>
    <n v="45"/>
    <m/>
    <s v="   "/>
    <n v="0.55000000000000004"/>
  </r>
  <r>
    <x v="198"/>
    <s v="Sedro-Woolley School District"/>
    <s v="Personnel"/>
    <s v="M "/>
    <x v="2"/>
    <x v="28"/>
    <s v="PSES Mid Prog21Duty45 S275"/>
    <x v="1"/>
    <s v="45"/>
    <n v="45"/>
    <m/>
    <s v="   "/>
    <n v="0.4"/>
  </r>
  <r>
    <x v="198"/>
    <s v="Sedro-Woolley School District"/>
    <s v="Personnel"/>
    <s v="E "/>
    <x v="0"/>
    <x v="22"/>
    <s v="PSES Elem Prog21Duty46 S275"/>
    <x v="1"/>
    <s v="46"/>
    <n v="46"/>
    <m/>
    <s v="   "/>
    <n v="2.95"/>
  </r>
  <r>
    <x v="198"/>
    <s v="Sedro-Woolley School District"/>
    <s v="Personnel"/>
    <s v="H "/>
    <x v="1"/>
    <x v="23"/>
    <s v="PSES High Prog21Duty46 S275"/>
    <x v="1"/>
    <s v="46"/>
    <n v="46"/>
    <m/>
    <s v="   "/>
    <n v="1.3"/>
  </r>
  <r>
    <x v="198"/>
    <s v="Sedro-Woolley School District"/>
    <s v="Personnel"/>
    <s v="M "/>
    <x v="2"/>
    <x v="24"/>
    <s v="PSES Mid Prog21Duty46 S275"/>
    <x v="1"/>
    <s v="46"/>
    <n v="46"/>
    <m/>
    <s v="   "/>
    <n v="0.9"/>
  </r>
  <r>
    <x v="198"/>
    <s v="Sedro-Woolley School District"/>
    <s v="Personnel"/>
    <s v="E "/>
    <x v="0"/>
    <x v="27"/>
    <s v="PSES Elem Prog01Duty47 S275"/>
    <x v="0"/>
    <s v="47"/>
    <n v="47"/>
    <m/>
    <s v="   "/>
    <n v="0.54300000000000004"/>
  </r>
  <r>
    <x v="198"/>
    <s v="Sedro-Woolley School District"/>
    <s v="Personnel"/>
    <s v="H "/>
    <x v="1"/>
    <x v="25"/>
    <s v="PSES High Prog01Duty47 S275"/>
    <x v="0"/>
    <s v="47"/>
    <n v="47"/>
    <m/>
    <s v="   "/>
    <n v="0.30599999999999999"/>
  </r>
  <r>
    <x v="198"/>
    <s v="Sedro-Woolley School District"/>
    <s v="Personnel"/>
    <s v="M "/>
    <x v="2"/>
    <x v="34"/>
    <s v="PSES Mid Prog01Duty47 S275"/>
    <x v="0"/>
    <s v="47"/>
    <n v="47"/>
    <m/>
    <s v="   "/>
    <n v="0.151"/>
  </r>
  <r>
    <x v="198"/>
    <s v="Sedro-Woolley School District"/>
    <s v="Personnel"/>
    <s v="E "/>
    <x v="0"/>
    <x v="35"/>
    <s v="PSES Elem Prog21Duty48 S275"/>
    <x v="1"/>
    <s v="48"/>
    <n v="48"/>
    <m/>
    <s v="   "/>
    <n v="1.0149999999999999"/>
  </r>
  <r>
    <x v="198"/>
    <s v="Sedro-Woolley School District"/>
    <s v="Personnel"/>
    <s v="H "/>
    <x v="1"/>
    <x v="36"/>
    <s v="PSES High Prog21Duty48 S275"/>
    <x v="1"/>
    <s v="48"/>
    <n v="48"/>
    <m/>
    <s v="   "/>
    <n v="0.161"/>
  </r>
  <r>
    <x v="198"/>
    <s v="Sedro-Woolley School District"/>
    <s v="Personnel"/>
    <s v="M "/>
    <x v="2"/>
    <x v="37"/>
    <s v="PSES Mid Prog21Duty48 S275"/>
    <x v="1"/>
    <s v="48"/>
    <n v="48"/>
    <m/>
    <s v="   "/>
    <n v="0.13300000000000001"/>
  </r>
  <r>
    <x v="198"/>
    <s v="Sedro-Woolley School District"/>
    <s v="Personnel"/>
    <s v="E "/>
    <x v="0"/>
    <x v="26"/>
    <s v="PSES Elem Prog21Duty49 S275"/>
    <x v="1"/>
    <s v="49"/>
    <n v="49"/>
    <m/>
    <s v="   "/>
    <n v="0.184"/>
  </r>
  <r>
    <x v="198"/>
    <s v="Sedro-Woolley School District"/>
    <s v="Personnel"/>
    <s v="E "/>
    <x v="0"/>
    <x v="79"/>
    <s v="PSES Elem Prog01Duty49 S275"/>
    <x v="0"/>
    <s v="49"/>
    <n v="49"/>
    <m/>
    <s v="   "/>
    <n v="0.73599999999999999"/>
  </r>
  <r>
    <x v="198"/>
    <s v="Sedro-Woolley School District"/>
    <s v="Personnel"/>
    <s v="H "/>
    <x v="1"/>
    <x v="55"/>
    <s v="PSES High Prog21Duty49 S275"/>
    <x v="1"/>
    <s v="49"/>
    <n v="49"/>
    <m/>
    <s v="   "/>
    <n v="8.0000000000000002E-3"/>
  </r>
  <r>
    <x v="198"/>
    <s v="Sedro-Woolley School District"/>
    <s v="Personnel"/>
    <s v="H "/>
    <x v="1"/>
    <x v="68"/>
    <s v="PSES High Prog01Duty49 S275"/>
    <x v="0"/>
    <s v="49"/>
    <n v="49"/>
    <m/>
    <s v="   "/>
    <n v="3.2000000000000001E-2"/>
  </r>
  <r>
    <x v="198"/>
    <s v="Sedro-Woolley School District"/>
    <s v="Personnel"/>
    <s v="M "/>
    <x v="2"/>
    <x v="50"/>
    <s v="PSES Mid Prog21Duty49 S275"/>
    <x v="1"/>
    <s v="49"/>
    <n v="49"/>
    <m/>
    <s v="   "/>
    <n v="8.0000000000000002E-3"/>
  </r>
  <r>
    <x v="198"/>
    <s v="Sedro-Woolley School District"/>
    <s v="Personnel"/>
    <s v="M "/>
    <x v="2"/>
    <x v="89"/>
    <s v="PSES Mid Prog01Duty49 S275"/>
    <x v="0"/>
    <s v="49"/>
    <n v="49"/>
    <m/>
    <s v="   "/>
    <n v="3.2000000000000001E-2"/>
  </r>
  <r>
    <x v="199"/>
    <s v="Anacortes School District"/>
    <s v="Personnel"/>
    <s v="H "/>
    <x v="1"/>
    <x v="5"/>
    <s v="PSES High Prog01Act25 S275"/>
    <x v="0"/>
    <s v="25"/>
    <m/>
    <n v="25"/>
    <s v="   "/>
    <n v="5.4260000000000002"/>
  </r>
  <r>
    <x v="199"/>
    <s v="Anacortes School District"/>
    <s v="Personnel"/>
    <s v="H "/>
    <x v="1"/>
    <x v="9"/>
    <s v="PSES High Prog01Act26 S275"/>
    <x v="0"/>
    <s v="26"/>
    <m/>
    <n v="26"/>
    <s v="   "/>
    <n v="3.32"/>
  </r>
  <r>
    <x v="199"/>
    <s v="Anacortes School District"/>
    <s v="Personnel"/>
    <s v="E "/>
    <x v="0"/>
    <x v="15"/>
    <s v="PSES Elem Prog01Duty42 S275"/>
    <x v="0"/>
    <s v="42"/>
    <n v="42"/>
    <m/>
    <s v="   "/>
    <n v="2.4009999999999998"/>
  </r>
  <r>
    <x v="199"/>
    <s v="Anacortes School District"/>
    <s v="Personnel"/>
    <s v="H "/>
    <x v="1"/>
    <x v="16"/>
    <s v="PSES High Prog01Duty42 S275"/>
    <x v="0"/>
    <s v="42"/>
    <n v="42"/>
    <m/>
    <s v="   "/>
    <n v="2.5499999999999998"/>
  </r>
  <r>
    <x v="199"/>
    <s v="Anacortes School District"/>
    <s v="Personnel"/>
    <s v="M "/>
    <x v="2"/>
    <x v="17"/>
    <s v="PSES Mid Prog01Duty42 S275"/>
    <x v="0"/>
    <s v="42"/>
    <n v="42"/>
    <m/>
    <s v="   "/>
    <n v="1.9"/>
  </r>
  <r>
    <x v="199"/>
    <s v="Anacortes School District"/>
    <s v="Personnel"/>
    <s v="E "/>
    <x v="0"/>
    <x v="18"/>
    <s v="PSES Elem Prog21Duty43 S275"/>
    <x v="1"/>
    <s v="43"/>
    <n v="43"/>
    <m/>
    <s v="   "/>
    <n v="1.4019999999999999"/>
  </r>
  <r>
    <x v="199"/>
    <s v="Anacortes School District"/>
    <s v="Personnel"/>
    <s v="M "/>
    <x v="2"/>
    <x v="31"/>
    <s v="PSES Mid Prog21Duty43 S275"/>
    <x v="1"/>
    <s v="43"/>
    <n v="43"/>
    <m/>
    <s v="   "/>
    <n v="0.19800000000000001"/>
  </r>
  <r>
    <x v="199"/>
    <s v="Anacortes School District"/>
    <s v="Personnel"/>
    <s v="H "/>
    <x v="1"/>
    <x v="44"/>
    <s v="PSES High Prog01Duty44 S275"/>
    <x v="0"/>
    <s v="44"/>
    <n v="44"/>
    <m/>
    <s v="   "/>
    <n v="1"/>
  </r>
  <r>
    <x v="199"/>
    <s v="Anacortes School District"/>
    <s v="Personnel"/>
    <s v="M "/>
    <x v="2"/>
    <x v="46"/>
    <s v="PSES Mid Prog01Duty44 S275"/>
    <x v="0"/>
    <s v="44"/>
    <n v="44"/>
    <m/>
    <s v="   "/>
    <n v="1"/>
  </r>
  <r>
    <x v="199"/>
    <s v="Anacortes School District"/>
    <s v="Personnel"/>
    <s v="E "/>
    <x v="0"/>
    <x v="20"/>
    <s v="PSES Elem Prog21Duty45 S275"/>
    <x v="1"/>
    <s v="45"/>
    <n v="45"/>
    <m/>
    <s v="   "/>
    <n v="4.5"/>
  </r>
  <r>
    <x v="199"/>
    <s v="Anacortes School District"/>
    <s v="Personnel"/>
    <s v="M "/>
    <x v="2"/>
    <x v="28"/>
    <s v="PSES Mid Prog21Duty45 S275"/>
    <x v="1"/>
    <s v="45"/>
    <n v="45"/>
    <m/>
    <s v="   "/>
    <n v="0.2"/>
  </r>
  <r>
    <x v="199"/>
    <s v="Anacortes School District"/>
    <s v="Personnel"/>
    <s v="E "/>
    <x v="0"/>
    <x v="22"/>
    <s v="PSES Elem Prog21Duty46 S275"/>
    <x v="1"/>
    <s v="46"/>
    <n v="46"/>
    <m/>
    <s v="   "/>
    <n v="1.3"/>
  </r>
  <r>
    <x v="199"/>
    <s v="Anacortes School District"/>
    <s v="Personnel"/>
    <s v="H "/>
    <x v="1"/>
    <x v="23"/>
    <s v="PSES High Prog21Duty46 S275"/>
    <x v="1"/>
    <s v="46"/>
    <n v="46"/>
    <m/>
    <s v="   "/>
    <n v="0.7"/>
  </r>
  <r>
    <x v="199"/>
    <s v="Anacortes School District"/>
    <s v="Personnel"/>
    <s v="M "/>
    <x v="2"/>
    <x v="24"/>
    <s v="PSES Mid Prog21Duty46 S275"/>
    <x v="1"/>
    <s v="46"/>
    <n v="46"/>
    <m/>
    <s v="   "/>
    <n v="0.6"/>
  </r>
  <r>
    <x v="199"/>
    <s v="Anacortes School District"/>
    <s v="Personnel"/>
    <s v="E "/>
    <x v="0"/>
    <x v="27"/>
    <s v="PSES Elem Prog01Duty47 S275"/>
    <x v="0"/>
    <s v="47"/>
    <n v="47"/>
    <m/>
    <s v="   "/>
    <n v="0.53900000000000003"/>
  </r>
  <r>
    <x v="199"/>
    <s v="Anacortes School District"/>
    <s v="Personnel"/>
    <s v="H "/>
    <x v="1"/>
    <x v="25"/>
    <s v="PSES High Prog01Duty47 S275"/>
    <x v="0"/>
    <s v="47"/>
    <n v="47"/>
    <m/>
    <s v="   "/>
    <n v="0.307"/>
  </r>
  <r>
    <x v="199"/>
    <s v="Anacortes School District"/>
    <s v="Personnel"/>
    <s v="M "/>
    <x v="2"/>
    <x v="34"/>
    <s v="PSES Mid Prog01Duty47 S275"/>
    <x v="0"/>
    <s v="47"/>
    <n v="47"/>
    <m/>
    <s v="   "/>
    <n v="0.154"/>
  </r>
  <r>
    <x v="199"/>
    <s v="Anacortes School District"/>
    <s v="Personnel"/>
    <s v="E "/>
    <x v="0"/>
    <x v="35"/>
    <s v="PSES Elem Prog21Duty48 S275"/>
    <x v="1"/>
    <s v="48"/>
    <n v="48"/>
    <m/>
    <s v="   "/>
    <n v="0.91200000000000003"/>
  </r>
  <r>
    <x v="199"/>
    <s v="Anacortes School District"/>
    <s v="Personnel"/>
    <s v="H "/>
    <x v="1"/>
    <x v="36"/>
    <s v="PSES High Prog21Duty48 S275"/>
    <x v="1"/>
    <s v="48"/>
    <n v="48"/>
    <m/>
    <s v="   "/>
    <n v="2.4E-2"/>
  </r>
  <r>
    <x v="199"/>
    <s v="Anacortes School District"/>
    <s v="Personnel"/>
    <s v="M "/>
    <x v="2"/>
    <x v="37"/>
    <s v="PSES Mid Prog21Duty48 S275"/>
    <x v="1"/>
    <s v="48"/>
    <n v="48"/>
    <m/>
    <s v="   "/>
    <n v="6.4000000000000001E-2"/>
  </r>
  <r>
    <x v="200"/>
    <s v="La Conner School District"/>
    <s v="Personnel"/>
    <s v="E "/>
    <x v="0"/>
    <x v="3"/>
    <s v="PSES Elem Prog01Act25 S275"/>
    <x v="0"/>
    <s v="25"/>
    <m/>
    <n v="25"/>
    <s v="   "/>
    <n v="0.63900000000000001"/>
  </r>
  <r>
    <x v="200"/>
    <s v="La Conner School District"/>
    <s v="Personnel"/>
    <s v="H "/>
    <x v="1"/>
    <x v="5"/>
    <s v="PSES High Prog01Act25 S275"/>
    <x v="0"/>
    <s v="25"/>
    <m/>
    <n v="25"/>
    <s v="   "/>
    <n v="0.14000000000000001"/>
  </r>
  <r>
    <x v="200"/>
    <s v="La Conner School District"/>
    <s v="Personnel"/>
    <s v="M "/>
    <x v="2"/>
    <x v="6"/>
    <s v="PSES Mid Prog01Act25 S275"/>
    <x v="0"/>
    <s v="25"/>
    <m/>
    <n v="25"/>
    <s v="   "/>
    <n v="9.4E-2"/>
  </r>
  <r>
    <x v="200"/>
    <s v="La Conner School District"/>
    <s v="Personnel"/>
    <s v="M "/>
    <x v="2"/>
    <x v="10"/>
    <s v="PSES Mid Prog21Act26 S275"/>
    <x v="1"/>
    <s v="26"/>
    <m/>
    <n v="26"/>
    <s v="   "/>
    <n v="0.67400000000000004"/>
  </r>
  <r>
    <x v="200"/>
    <s v="La Conner School District"/>
    <s v="Personnel"/>
    <s v="H "/>
    <x v="1"/>
    <x v="16"/>
    <s v="PSES High Prog01Duty42 S275"/>
    <x v="0"/>
    <s v="42"/>
    <n v="42"/>
    <m/>
    <s v="   "/>
    <n v="0.5"/>
  </r>
  <r>
    <x v="200"/>
    <s v="La Conner School District"/>
    <s v="Personnel"/>
    <s v="M "/>
    <x v="2"/>
    <x v="17"/>
    <s v="PSES Mid Prog01Duty42 S275"/>
    <x v="0"/>
    <s v="42"/>
    <n v="42"/>
    <m/>
    <s v="   "/>
    <n v="0.5"/>
  </r>
  <r>
    <x v="200"/>
    <s v="La Conner School District"/>
    <s v="Personnel"/>
    <s v="E "/>
    <x v="0"/>
    <x v="20"/>
    <s v="PSES Elem Prog21Duty45 S275"/>
    <x v="1"/>
    <s v="45"/>
    <n v="45"/>
    <m/>
    <s v="   "/>
    <n v="1"/>
  </r>
  <r>
    <x v="200"/>
    <s v="La Conner School District"/>
    <s v="Personnel"/>
    <s v="E "/>
    <x v="0"/>
    <x v="27"/>
    <s v="PSES Elem Prog01Duty47 S275"/>
    <x v="0"/>
    <s v="47"/>
    <n v="47"/>
    <m/>
    <s v="   "/>
    <n v="0.4"/>
  </r>
  <r>
    <x v="201"/>
    <s v="Conway School District"/>
    <s v="Personnel"/>
    <s v="H "/>
    <x v="1"/>
    <x v="5"/>
    <s v="PSES High Prog01Act25 S275"/>
    <x v="0"/>
    <s v="25"/>
    <m/>
    <n v="25"/>
    <s v="   "/>
    <n v="0.874"/>
  </r>
  <r>
    <x v="201"/>
    <s v="Conway School District"/>
    <s v="Personnel"/>
    <s v="H "/>
    <x v="1"/>
    <x v="9"/>
    <s v="PSES High Prog01Act26 S275"/>
    <x v="0"/>
    <s v="26"/>
    <m/>
    <n v="26"/>
    <s v="   "/>
    <n v="5.0999999999999997E-2"/>
  </r>
  <r>
    <x v="201"/>
    <s v="Conway School District"/>
    <s v="Personnel"/>
    <s v="E "/>
    <x v="0"/>
    <x v="15"/>
    <s v="PSES Elem Prog01Duty42 S275"/>
    <x v="0"/>
    <s v="42"/>
    <n v="42"/>
    <m/>
    <s v="   "/>
    <n v="0.8"/>
  </r>
  <r>
    <x v="201"/>
    <s v="Conway School District"/>
    <s v="Personnel"/>
    <s v="E "/>
    <x v="0"/>
    <x v="20"/>
    <s v="PSES Elem Prog21Duty45 S275"/>
    <x v="1"/>
    <s v="45"/>
    <n v="45"/>
    <m/>
    <s v="   "/>
    <n v="0.51600000000000001"/>
  </r>
  <r>
    <x v="201"/>
    <s v="Conway School District"/>
    <s v="Personnel"/>
    <s v="E "/>
    <x v="0"/>
    <x v="22"/>
    <s v="PSES Elem Prog21Duty46 S275"/>
    <x v="1"/>
    <s v="46"/>
    <n v="46"/>
    <m/>
    <s v="   "/>
    <n v="0.4"/>
  </r>
  <r>
    <x v="202"/>
    <s v="Mount Vernon School District"/>
    <s v="Personnel"/>
    <s v="E "/>
    <x v="0"/>
    <x v="3"/>
    <s v="PSES Elem Prog01Act25 S275"/>
    <x v="0"/>
    <s v="25"/>
    <m/>
    <n v="25"/>
    <s v="   "/>
    <n v="7.8520000000000003"/>
  </r>
  <r>
    <x v="202"/>
    <s v="Mount Vernon School District"/>
    <s v="Personnel"/>
    <s v="H "/>
    <x v="1"/>
    <x v="5"/>
    <s v="PSES High Prog01Act25 S275"/>
    <x v="0"/>
    <s v="25"/>
    <m/>
    <n v="25"/>
    <s v="   "/>
    <n v="0.73599999999999999"/>
  </r>
  <r>
    <x v="202"/>
    <s v="Mount Vernon School District"/>
    <s v="Personnel"/>
    <s v="M "/>
    <x v="2"/>
    <x v="6"/>
    <s v="PSES Mid Prog01Act25 S275"/>
    <x v="0"/>
    <s v="25"/>
    <m/>
    <n v="25"/>
    <s v="   "/>
    <n v="0.65300000000000002"/>
  </r>
  <r>
    <x v="202"/>
    <s v="Mount Vernon School District"/>
    <s v="Personnel"/>
    <s v="E "/>
    <x v="0"/>
    <x v="8"/>
    <s v="PSES Elem Prog01Act26 S275"/>
    <x v="0"/>
    <s v="26"/>
    <m/>
    <n v="26"/>
    <s v="   "/>
    <n v="1.8720000000000001"/>
  </r>
  <r>
    <x v="202"/>
    <s v="Mount Vernon School District"/>
    <s v="Personnel"/>
    <s v="H "/>
    <x v="1"/>
    <x v="29"/>
    <s v="PSES High Prog21Act26 S275"/>
    <x v="1"/>
    <s v="26"/>
    <m/>
    <n v="26"/>
    <s v="   "/>
    <n v="1.9379999999999999"/>
  </r>
  <r>
    <x v="202"/>
    <s v="Mount Vernon School District"/>
    <s v="Personnel"/>
    <s v="H "/>
    <x v="1"/>
    <x v="9"/>
    <s v="PSES High Prog01Act26 S275"/>
    <x v="0"/>
    <s v="26"/>
    <m/>
    <n v="26"/>
    <s v="   "/>
    <n v="3.3370000000000002"/>
  </r>
  <r>
    <x v="202"/>
    <s v="Mount Vernon School District"/>
    <s v="Personnel"/>
    <s v="H "/>
    <x v="1"/>
    <x v="54"/>
    <s v="PSES High Prog01Act35 S275"/>
    <x v="0"/>
    <s v="35"/>
    <m/>
    <n v="35"/>
    <s v="   "/>
    <n v="4.4279999999999999"/>
  </r>
  <r>
    <x v="202"/>
    <s v="Mount Vernon School District"/>
    <s v="Personnel"/>
    <s v="E "/>
    <x v="0"/>
    <x v="15"/>
    <s v="PSES Elem Prog01Duty42 S275"/>
    <x v="0"/>
    <s v="42"/>
    <n v="42"/>
    <m/>
    <s v="   "/>
    <n v="6"/>
  </r>
  <r>
    <x v="202"/>
    <s v="Mount Vernon School District"/>
    <s v="Personnel"/>
    <s v="H "/>
    <x v="1"/>
    <x v="16"/>
    <s v="PSES High Prog01Duty42 S275"/>
    <x v="0"/>
    <s v="42"/>
    <n v="42"/>
    <m/>
    <s v="   "/>
    <n v="4.5"/>
  </r>
  <r>
    <x v="202"/>
    <s v="Mount Vernon School District"/>
    <s v="Personnel"/>
    <s v="M "/>
    <x v="2"/>
    <x v="17"/>
    <s v="PSES Mid Prog01Duty42 S275"/>
    <x v="0"/>
    <s v="42"/>
    <n v="42"/>
    <m/>
    <s v="   "/>
    <n v="4"/>
  </r>
  <r>
    <x v="202"/>
    <s v="Mount Vernon School District"/>
    <s v="Personnel"/>
    <s v="E "/>
    <x v="0"/>
    <x v="18"/>
    <s v="PSES Elem Prog21Duty43 S275"/>
    <x v="1"/>
    <s v="43"/>
    <n v="43"/>
    <m/>
    <s v="   "/>
    <n v="1.8"/>
  </r>
  <r>
    <x v="202"/>
    <s v="Mount Vernon School District"/>
    <s v="Personnel"/>
    <s v="H "/>
    <x v="1"/>
    <x v="19"/>
    <s v="PSES High Prog21Duty43 S275"/>
    <x v="1"/>
    <s v="43"/>
    <n v="43"/>
    <m/>
    <s v="   "/>
    <n v="0.2"/>
  </r>
  <r>
    <x v="202"/>
    <s v="Mount Vernon School District"/>
    <s v="Personnel"/>
    <s v="E "/>
    <x v="0"/>
    <x v="42"/>
    <s v="PSES Elem Prog01Duty44 S275"/>
    <x v="0"/>
    <s v="44"/>
    <n v="44"/>
    <m/>
    <s v="   "/>
    <n v="2.25"/>
  </r>
  <r>
    <x v="202"/>
    <s v="Mount Vernon School District"/>
    <s v="Personnel"/>
    <s v="H "/>
    <x v="1"/>
    <x v="44"/>
    <s v="PSES High Prog01Duty44 S275"/>
    <x v="0"/>
    <s v="44"/>
    <n v="44"/>
    <m/>
    <s v="   "/>
    <n v="0.8"/>
  </r>
  <r>
    <x v="202"/>
    <s v="Mount Vernon School District"/>
    <s v="Personnel"/>
    <s v="M "/>
    <x v="2"/>
    <x v="46"/>
    <s v="PSES Mid Prog01Duty44 S275"/>
    <x v="0"/>
    <s v="44"/>
    <n v="44"/>
    <m/>
    <s v="   "/>
    <n v="0.33"/>
  </r>
  <r>
    <x v="202"/>
    <s v="Mount Vernon School District"/>
    <s v="Personnel"/>
    <s v="E "/>
    <x v="0"/>
    <x v="20"/>
    <s v="PSES Elem Prog21Duty45 S275"/>
    <x v="1"/>
    <s v="45"/>
    <n v="45"/>
    <m/>
    <s v="   "/>
    <n v="7.2960000000000003"/>
  </r>
  <r>
    <x v="202"/>
    <s v="Mount Vernon School District"/>
    <s v="Personnel"/>
    <s v="H "/>
    <x v="1"/>
    <x v="21"/>
    <s v="PSES High Prog21Duty45 S275"/>
    <x v="1"/>
    <s v="45"/>
    <n v="45"/>
    <m/>
    <s v="   "/>
    <n v="1.7"/>
  </r>
  <r>
    <x v="202"/>
    <s v="Mount Vernon School District"/>
    <s v="Personnel"/>
    <s v="M "/>
    <x v="2"/>
    <x v="28"/>
    <s v="PSES Mid Prog21Duty45 S275"/>
    <x v="1"/>
    <s v="45"/>
    <n v="45"/>
    <m/>
    <s v="   "/>
    <n v="1.1719999999999999"/>
  </r>
  <r>
    <x v="202"/>
    <s v="Mount Vernon School District"/>
    <s v="Personnel"/>
    <s v="E "/>
    <x v="0"/>
    <x v="27"/>
    <s v="PSES Elem Prog01Duty47 S275"/>
    <x v="0"/>
    <s v="47"/>
    <n v="47"/>
    <m/>
    <s v="   "/>
    <n v="2.347"/>
  </r>
  <r>
    <x v="202"/>
    <s v="Mount Vernon School District"/>
    <s v="Personnel"/>
    <s v="H "/>
    <x v="1"/>
    <x v="25"/>
    <s v="PSES High Prog01Duty47 S275"/>
    <x v="0"/>
    <s v="47"/>
    <n v="47"/>
    <m/>
    <s v="   "/>
    <n v="1.06"/>
  </r>
  <r>
    <x v="202"/>
    <s v="Mount Vernon School District"/>
    <s v="Personnel"/>
    <s v="M "/>
    <x v="2"/>
    <x v="34"/>
    <s v="PSES Mid Prog01Duty47 S275"/>
    <x v="0"/>
    <s v="47"/>
    <n v="47"/>
    <m/>
    <s v="   "/>
    <n v="0.79300000000000004"/>
  </r>
  <r>
    <x v="202"/>
    <s v="Mount Vernon School District"/>
    <s v="Personnel"/>
    <s v="E "/>
    <x v="0"/>
    <x v="35"/>
    <s v="PSES Elem Prog21Duty48 S275"/>
    <x v="1"/>
    <s v="48"/>
    <n v="48"/>
    <m/>
    <s v="   "/>
    <n v="0.33"/>
  </r>
  <r>
    <x v="202"/>
    <s v="Mount Vernon School District"/>
    <s v="Personnel"/>
    <s v="H "/>
    <x v="1"/>
    <x v="36"/>
    <s v="PSES High Prog21Duty48 S275"/>
    <x v="1"/>
    <s v="48"/>
    <n v="48"/>
    <m/>
    <s v="   "/>
    <n v="0.09"/>
  </r>
  <r>
    <x v="202"/>
    <s v="Mount Vernon School District"/>
    <s v="Personnel"/>
    <s v="M "/>
    <x v="2"/>
    <x v="37"/>
    <s v="PSES Mid Prog21Duty48 S275"/>
    <x v="1"/>
    <s v="48"/>
    <n v="48"/>
    <m/>
    <s v="   "/>
    <n v="0.18"/>
  </r>
  <r>
    <x v="203"/>
    <s v="Skamania School District"/>
    <s v="Personnel"/>
    <s v="H "/>
    <x v="1"/>
    <x v="9"/>
    <s v="PSES High Prog01Act26 S275"/>
    <x v="0"/>
    <s v="26"/>
    <m/>
    <n v="26"/>
    <s v="   "/>
    <n v="0.20100000000000001"/>
  </r>
  <r>
    <x v="204"/>
    <s v="Mount Pleasant School District"/>
    <s v="Personnel"/>
    <s v="H "/>
    <x v="1"/>
    <x v="9"/>
    <s v="PSES High Prog01Act26 S275"/>
    <x v="0"/>
    <s v="26"/>
    <m/>
    <n v="26"/>
    <s v="   "/>
    <n v="0.28000000000000003"/>
  </r>
  <r>
    <x v="205"/>
    <s v="Mill A School District"/>
    <s v="Personnel"/>
    <s v="H "/>
    <x v="1"/>
    <x v="16"/>
    <s v="PSES High Prog01Duty42 S275"/>
    <x v="0"/>
    <s v="42"/>
    <n v="42"/>
    <m/>
    <s v="   "/>
    <n v="0.75"/>
  </r>
  <r>
    <x v="206"/>
    <s v="Stevenson-Carson School District"/>
    <s v="Personnel"/>
    <s v="H "/>
    <x v="1"/>
    <x v="5"/>
    <s v="PSES High Prog01Act25 S275"/>
    <x v="0"/>
    <s v="25"/>
    <m/>
    <n v="25"/>
    <s v="   "/>
    <n v="0.88200000000000001"/>
  </r>
  <r>
    <x v="206"/>
    <s v="Stevenson-Carson School District"/>
    <s v="Personnel"/>
    <s v="H "/>
    <x v="1"/>
    <x v="54"/>
    <s v="PSES High Prog01Act35 S275"/>
    <x v="0"/>
    <s v="35"/>
    <m/>
    <n v="35"/>
    <s v="   "/>
    <n v="0.54500000000000004"/>
  </r>
  <r>
    <x v="206"/>
    <s v="Stevenson-Carson School District"/>
    <s v="Personnel"/>
    <s v="E "/>
    <x v="0"/>
    <x v="15"/>
    <s v="PSES Elem Prog01Duty42 S275"/>
    <x v="0"/>
    <s v="42"/>
    <n v="42"/>
    <m/>
    <s v="   "/>
    <n v="0.8"/>
  </r>
  <r>
    <x v="206"/>
    <s v="Stevenson-Carson School District"/>
    <s v="Personnel"/>
    <s v="H "/>
    <x v="1"/>
    <x v="16"/>
    <s v="PSES High Prog01Duty42 S275"/>
    <x v="0"/>
    <s v="42"/>
    <n v="42"/>
    <m/>
    <s v="   "/>
    <n v="1.2"/>
  </r>
  <r>
    <x v="206"/>
    <s v="Stevenson-Carson School District"/>
    <s v="Personnel"/>
    <s v="M "/>
    <x v="2"/>
    <x v="17"/>
    <s v="PSES Mid Prog01Duty42 S275"/>
    <x v="0"/>
    <s v="42"/>
    <n v="42"/>
    <m/>
    <s v="   "/>
    <n v="0.8"/>
  </r>
  <r>
    <x v="207"/>
    <s v="Everett School District"/>
    <s v="Personnel"/>
    <s v="H "/>
    <x v="1"/>
    <x v="1"/>
    <s v="PSES High Prog01Duty96 S275"/>
    <x v="0"/>
    <s v="24"/>
    <n v="96"/>
    <n v="24"/>
    <s v="   "/>
    <n v="0.64300000000000002"/>
  </r>
  <r>
    <x v="207"/>
    <s v="Everett School District"/>
    <s v="Personnel"/>
    <s v="H "/>
    <x v="1"/>
    <x v="4"/>
    <s v="PSES High Prog21Act25 S275"/>
    <x v="1"/>
    <s v="25"/>
    <m/>
    <n v="25"/>
    <s v="   "/>
    <n v="1.294"/>
  </r>
  <r>
    <x v="207"/>
    <s v="Everett School District"/>
    <s v="Personnel"/>
    <s v="H "/>
    <x v="1"/>
    <x v="5"/>
    <s v="PSES High Prog01Act25 S275"/>
    <x v="0"/>
    <s v="25"/>
    <m/>
    <n v="25"/>
    <s v="   "/>
    <n v="33.484000000000002"/>
  </r>
  <r>
    <x v="207"/>
    <s v="Everett School District"/>
    <s v="Personnel"/>
    <s v="H "/>
    <x v="1"/>
    <x v="29"/>
    <s v="PSES High Prog21Act26 S275"/>
    <x v="1"/>
    <s v="26"/>
    <m/>
    <n v="26"/>
    <s v="   "/>
    <n v="5.3150000000000004"/>
  </r>
  <r>
    <x v="207"/>
    <s v="Everett School District"/>
    <s v="Personnel"/>
    <s v="H "/>
    <x v="1"/>
    <x v="9"/>
    <s v="PSES High Prog01Act26 S275"/>
    <x v="0"/>
    <s v="26"/>
    <m/>
    <n v="26"/>
    <s v="   "/>
    <n v="25.937999999999999"/>
  </r>
  <r>
    <x v="207"/>
    <s v="Everett School District"/>
    <s v="Personnel"/>
    <s v="H "/>
    <x v="1"/>
    <x v="54"/>
    <s v="PSES High Prog01Act35 S275"/>
    <x v="0"/>
    <s v="35"/>
    <m/>
    <n v="35"/>
    <s v="   "/>
    <n v="9.19"/>
  </r>
  <r>
    <x v="207"/>
    <s v="Everett School District"/>
    <s v="Personnel"/>
    <s v="E "/>
    <x v="0"/>
    <x v="15"/>
    <s v="PSES Elem Prog01Duty42 S275"/>
    <x v="0"/>
    <s v="42"/>
    <n v="42"/>
    <m/>
    <s v="   "/>
    <n v="23.786000000000001"/>
  </r>
  <r>
    <x v="207"/>
    <s v="Everett School District"/>
    <s v="Personnel"/>
    <s v="H "/>
    <x v="1"/>
    <x v="16"/>
    <s v="PSES High Prog01Duty42 S275"/>
    <x v="0"/>
    <s v="42"/>
    <n v="42"/>
    <m/>
    <s v="   "/>
    <n v="11.76"/>
  </r>
  <r>
    <x v="207"/>
    <s v="Everett School District"/>
    <s v="Personnel"/>
    <s v="M "/>
    <x v="2"/>
    <x v="17"/>
    <s v="PSES Mid Prog01Duty42 S275"/>
    <x v="0"/>
    <s v="42"/>
    <n v="42"/>
    <m/>
    <s v="   "/>
    <n v="12.88"/>
  </r>
  <r>
    <x v="207"/>
    <s v="Everett School District"/>
    <s v="Personnel"/>
    <s v="E "/>
    <x v="0"/>
    <x v="18"/>
    <s v="PSES Elem Prog21Duty43 S275"/>
    <x v="1"/>
    <s v="43"/>
    <n v="43"/>
    <m/>
    <s v="   "/>
    <n v="6.4009999999999998"/>
  </r>
  <r>
    <x v="207"/>
    <s v="Everett School District"/>
    <s v="Personnel"/>
    <s v="H "/>
    <x v="1"/>
    <x v="19"/>
    <s v="PSES High Prog21Duty43 S275"/>
    <x v="1"/>
    <s v="43"/>
    <n v="43"/>
    <m/>
    <s v="   "/>
    <n v="1.6"/>
  </r>
  <r>
    <x v="207"/>
    <s v="Everett School District"/>
    <s v="Personnel"/>
    <s v="M "/>
    <x v="2"/>
    <x v="31"/>
    <s v="PSES Mid Prog21Duty43 S275"/>
    <x v="1"/>
    <s v="43"/>
    <n v="43"/>
    <m/>
    <s v="   "/>
    <n v="0.6"/>
  </r>
  <r>
    <x v="207"/>
    <s v="Everett School District"/>
    <s v="Personnel"/>
    <s v="E "/>
    <x v="0"/>
    <x v="42"/>
    <s v="PSES Elem Prog01Duty44 S275"/>
    <x v="0"/>
    <s v="44"/>
    <n v="44"/>
    <m/>
    <s v="   "/>
    <n v="2.0009999999999999"/>
  </r>
  <r>
    <x v="207"/>
    <s v="Everett School District"/>
    <s v="Personnel"/>
    <s v="H "/>
    <x v="1"/>
    <x v="44"/>
    <s v="PSES High Prog01Duty44 S275"/>
    <x v="0"/>
    <s v="44"/>
    <n v="44"/>
    <m/>
    <s v="   "/>
    <n v="0.44400000000000001"/>
  </r>
  <r>
    <x v="207"/>
    <s v="Everett School District"/>
    <s v="Personnel"/>
    <s v="M "/>
    <x v="2"/>
    <x v="46"/>
    <s v="PSES Mid Prog01Duty44 S275"/>
    <x v="0"/>
    <s v="44"/>
    <n v="44"/>
    <m/>
    <s v="   "/>
    <n v="0.55500000000000005"/>
  </r>
  <r>
    <x v="207"/>
    <s v="Everett School District"/>
    <s v="Personnel"/>
    <s v="E "/>
    <x v="0"/>
    <x v="20"/>
    <s v="PSES Elem Prog21Duty45 S275"/>
    <x v="1"/>
    <s v="45"/>
    <n v="45"/>
    <m/>
    <s v="   "/>
    <n v="20.882000000000001"/>
  </r>
  <r>
    <x v="207"/>
    <s v="Everett School District"/>
    <s v="Personnel"/>
    <s v="E "/>
    <x v="0"/>
    <x v="47"/>
    <s v="PSES Elem Prog01Duty45 S275"/>
    <x v="0"/>
    <s v="45"/>
    <n v="45"/>
    <m/>
    <s v="   "/>
    <n v="0.66600000000000004"/>
  </r>
  <r>
    <x v="207"/>
    <s v="Everett School District"/>
    <s v="Personnel"/>
    <s v="H "/>
    <x v="1"/>
    <x v="21"/>
    <s v="PSES High Prog21Duty45 S275"/>
    <x v="1"/>
    <s v="45"/>
    <n v="45"/>
    <m/>
    <s v="   "/>
    <n v="6.1479999999999997"/>
  </r>
  <r>
    <x v="207"/>
    <s v="Everett School District"/>
    <s v="Personnel"/>
    <s v="H "/>
    <x v="1"/>
    <x v="51"/>
    <s v="PSES High Prog01Duty45 S275"/>
    <x v="0"/>
    <s v="45"/>
    <n v="45"/>
    <m/>
    <s v="   "/>
    <n v="0.14799999999999999"/>
  </r>
  <r>
    <x v="207"/>
    <s v="Everett School District"/>
    <s v="Personnel"/>
    <s v="M "/>
    <x v="2"/>
    <x v="28"/>
    <s v="PSES Mid Prog21Duty45 S275"/>
    <x v="1"/>
    <s v="45"/>
    <n v="45"/>
    <m/>
    <s v="   "/>
    <n v="5.3860000000000001"/>
  </r>
  <r>
    <x v="207"/>
    <s v="Everett School District"/>
    <s v="Personnel"/>
    <s v="M "/>
    <x v="2"/>
    <x v="52"/>
    <s v="PSES Mid Prog01Duty45 S275"/>
    <x v="0"/>
    <s v="45"/>
    <n v="45"/>
    <m/>
    <s v="   "/>
    <n v="0.186"/>
  </r>
  <r>
    <x v="207"/>
    <s v="Everett School District"/>
    <s v="Personnel"/>
    <s v="E "/>
    <x v="0"/>
    <x v="22"/>
    <s v="PSES Elem Prog21Duty46 S275"/>
    <x v="1"/>
    <s v="46"/>
    <n v="46"/>
    <m/>
    <s v="   "/>
    <n v="8.4"/>
  </r>
  <r>
    <x v="207"/>
    <s v="Everett School District"/>
    <s v="Personnel"/>
    <s v="H "/>
    <x v="1"/>
    <x v="23"/>
    <s v="PSES High Prog21Duty46 S275"/>
    <x v="1"/>
    <s v="46"/>
    <n v="46"/>
    <m/>
    <s v="   "/>
    <n v="1.4"/>
  </r>
  <r>
    <x v="207"/>
    <s v="Everett School District"/>
    <s v="Personnel"/>
    <s v="M "/>
    <x v="2"/>
    <x v="24"/>
    <s v="PSES Mid Prog21Duty46 S275"/>
    <x v="1"/>
    <s v="46"/>
    <n v="46"/>
    <m/>
    <s v="   "/>
    <n v="2.4"/>
  </r>
  <r>
    <x v="207"/>
    <s v="Everett School District"/>
    <s v="Personnel"/>
    <s v="E "/>
    <x v="0"/>
    <x v="35"/>
    <s v="PSES Elem Prog21Duty48 S275"/>
    <x v="1"/>
    <s v="48"/>
    <n v="48"/>
    <m/>
    <s v="   "/>
    <n v="5.5010000000000003"/>
  </r>
  <r>
    <x v="207"/>
    <s v="Everett School District"/>
    <s v="Personnel"/>
    <s v="H "/>
    <x v="1"/>
    <x v="36"/>
    <s v="PSES High Prog21Duty48 S275"/>
    <x v="1"/>
    <s v="48"/>
    <n v="48"/>
    <m/>
    <s v="   "/>
    <n v="0.9"/>
  </r>
  <r>
    <x v="207"/>
    <s v="Everett School District"/>
    <s v="Personnel"/>
    <s v="M "/>
    <x v="2"/>
    <x v="37"/>
    <s v="PSES Mid Prog21Duty48 S275"/>
    <x v="1"/>
    <s v="48"/>
    <n v="48"/>
    <m/>
    <s v="   "/>
    <n v="1"/>
  </r>
  <r>
    <x v="207"/>
    <s v="Everett School District"/>
    <s v="Personnel"/>
    <s v="E "/>
    <x v="0"/>
    <x v="26"/>
    <s v="PSES Elem Prog21Duty49 S275"/>
    <x v="1"/>
    <s v="49"/>
    <n v="49"/>
    <m/>
    <s v="   "/>
    <n v="1.3340000000000001"/>
  </r>
  <r>
    <x v="207"/>
    <s v="Everett School District"/>
    <s v="Personnel"/>
    <s v="H "/>
    <x v="1"/>
    <x v="55"/>
    <s v="PSES High Prog21Duty49 S275"/>
    <x v="1"/>
    <s v="49"/>
    <n v="49"/>
    <m/>
    <s v="   "/>
    <n v="0.29599999999999999"/>
  </r>
  <r>
    <x v="207"/>
    <s v="Everett School District"/>
    <s v="Personnel"/>
    <s v="M "/>
    <x v="2"/>
    <x v="50"/>
    <s v="PSES Mid Prog21Duty49 S275"/>
    <x v="1"/>
    <s v="49"/>
    <n v="49"/>
    <m/>
    <s v="   "/>
    <n v="0.37"/>
  </r>
  <r>
    <x v="208"/>
    <s v="Lake Stevens School District"/>
    <s v="Personnel"/>
    <s v="H "/>
    <x v="1"/>
    <x v="1"/>
    <s v="PSES High Prog01Duty96 S275"/>
    <x v="0"/>
    <s v="24"/>
    <n v="96"/>
    <n v="24"/>
    <s v="   "/>
    <n v="4.6349999999999998"/>
  </r>
  <r>
    <x v="208"/>
    <s v="Lake Stevens School District"/>
    <s v="Personnel"/>
    <s v="H "/>
    <x v="1"/>
    <x v="53"/>
    <s v="PSES High Prog97Act25 S275"/>
    <x v="2"/>
    <s v="25"/>
    <m/>
    <n v="25"/>
    <s v="   "/>
    <n v="4.32"/>
  </r>
  <r>
    <x v="208"/>
    <s v="Lake Stevens School District"/>
    <s v="Personnel"/>
    <s v="E "/>
    <x v="0"/>
    <x v="7"/>
    <s v="PSES Elem Prog21Act26 S275"/>
    <x v="1"/>
    <s v="26"/>
    <m/>
    <n v="26"/>
    <s v="   "/>
    <n v="0.48499999999999999"/>
  </r>
  <r>
    <x v="208"/>
    <s v="Lake Stevens School District"/>
    <s v="Personnel"/>
    <s v="H "/>
    <x v="1"/>
    <x v="29"/>
    <s v="PSES High Prog21Act26 S275"/>
    <x v="1"/>
    <s v="26"/>
    <m/>
    <n v="26"/>
    <s v="   "/>
    <n v="3.63"/>
  </r>
  <r>
    <x v="208"/>
    <s v="Lake Stevens School District"/>
    <s v="Personnel"/>
    <s v="H "/>
    <x v="1"/>
    <x v="9"/>
    <s v="PSES High Prog01Act26 S275"/>
    <x v="0"/>
    <s v="26"/>
    <m/>
    <n v="26"/>
    <s v="   "/>
    <n v="15.202999999999999"/>
  </r>
  <r>
    <x v="208"/>
    <s v="Lake Stevens School District"/>
    <s v="Personnel"/>
    <s v="H "/>
    <x v="1"/>
    <x v="12"/>
    <s v="PSES High Prog97Act35 S275"/>
    <x v="2"/>
    <s v="35"/>
    <m/>
    <n v="35"/>
    <s v="   "/>
    <n v="1.278"/>
  </r>
  <r>
    <x v="208"/>
    <s v="Lake Stevens School District"/>
    <s v="Personnel"/>
    <s v="E "/>
    <x v="0"/>
    <x v="15"/>
    <s v="PSES Elem Prog01Duty42 S275"/>
    <x v="0"/>
    <s v="42"/>
    <n v="42"/>
    <m/>
    <s v="   "/>
    <n v="8"/>
  </r>
  <r>
    <x v="208"/>
    <s v="Lake Stevens School District"/>
    <s v="Personnel"/>
    <s v="H "/>
    <x v="1"/>
    <x v="16"/>
    <s v="PSES High Prog01Duty42 S275"/>
    <x v="0"/>
    <s v="42"/>
    <n v="42"/>
    <m/>
    <s v="   "/>
    <n v="10.1"/>
  </r>
  <r>
    <x v="208"/>
    <s v="Lake Stevens School District"/>
    <s v="Personnel"/>
    <s v="M "/>
    <x v="2"/>
    <x v="17"/>
    <s v="PSES Mid Prog01Duty42 S275"/>
    <x v="0"/>
    <s v="42"/>
    <n v="42"/>
    <m/>
    <s v="   "/>
    <n v="4.5940000000000003"/>
  </r>
  <r>
    <x v="208"/>
    <s v="Lake Stevens School District"/>
    <s v="Personnel"/>
    <s v="E "/>
    <x v="0"/>
    <x v="18"/>
    <s v="PSES Elem Prog21Duty43 S275"/>
    <x v="1"/>
    <s v="43"/>
    <n v="43"/>
    <m/>
    <s v="   "/>
    <n v="6.5"/>
  </r>
  <r>
    <x v="208"/>
    <s v="Lake Stevens School District"/>
    <s v="Personnel"/>
    <s v="E "/>
    <x v="0"/>
    <x v="20"/>
    <s v="PSES Elem Prog21Duty45 S275"/>
    <x v="1"/>
    <s v="45"/>
    <n v="45"/>
    <m/>
    <s v="   "/>
    <n v="11"/>
  </r>
  <r>
    <x v="208"/>
    <s v="Lake Stevens School District"/>
    <s v="Personnel"/>
    <s v="H "/>
    <x v="1"/>
    <x v="21"/>
    <s v="PSES High Prog21Duty45 S275"/>
    <x v="1"/>
    <s v="45"/>
    <n v="45"/>
    <m/>
    <s v="   "/>
    <n v="2"/>
  </r>
  <r>
    <x v="208"/>
    <s v="Lake Stevens School District"/>
    <s v="Personnel"/>
    <s v="M "/>
    <x v="2"/>
    <x v="28"/>
    <s v="PSES Mid Prog21Duty45 S275"/>
    <x v="1"/>
    <s v="45"/>
    <n v="45"/>
    <m/>
    <s v="   "/>
    <n v="2"/>
  </r>
  <r>
    <x v="208"/>
    <s v="Lake Stevens School District"/>
    <s v="Personnel"/>
    <s v="E "/>
    <x v="0"/>
    <x v="22"/>
    <s v="PSES Elem Prog21Duty46 S275"/>
    <x v="1"/>
    <s v="46"/>
    <n v="46"/>
    <m/>
    <s v="   "/>
    <n v="5"/>
  </r>
  <r>
    <x v="208"/>
    <s v="Lake Stevens School District"/>
    <s v="Personnel"/>
    <s v="H "/>
    <x v="1"/>
    <x v="23"/>
    <s v="PSES High Prog21Duty46 S275"/>
    <x v="1"/>
    <s v="46"/>
    <n v="46"/>
    <m/>
    <s v="   "/>
    <n v="1"/>
  </r>
  <r>
    <x v="208"/>
    <s v="Lake Stevens School District"/>
    <s v="Personnel"/>
    <s v="M "/>
    <x v="2"/>
    <x v="24"/>
    <s v="PSES Mid Prog21Duty46 S275"/>
    <x v="1"/>
    <s v="46"/>
    <n v="46"/>
    <m/>
    <s v="   "/>
    <n v="3"/>
  </r>
  <r>
    <x v="209"/>
    <s v="Mukilteo School District"/>
    <s v="Personnel"/>
    <s v="H "/>
    <x v="1"/>
    <x v="29"/>
    <s v="PSES High Prog21Act26 S275"/>
    <x v="1"/>
    <s v="26"/>
    <m/>
    <n v="26"/>
    <s v="   "/>
    <n v="1.2330000000000001"/>
  </r>
  <r>
    <x v="209"/>
    <s v="Mukilteo School District"/>
    <s v="Personnel"/>
    <s v="H "/>
    <x v="1"/>
    <x v="9"/>
    <s v="PSES High Prog01Act26 S275"/>
    <x v="0"/>
    <s v="26"/>
    <m/>
    <n v="26"/>
    <s v="   "/>
    <n v="2.4220000000000002"/>
  </r>
  <r>
    <x v="209"/>
    <s v="Mukilteo School District"/>
    <s v="Personnel"/>
    <s v="H "/>
    <x v="1"/>
    <x v="54"/>
    <s v="PSES High Prog01Act35 S275"/>
    <x v="0"/>
    <s v="35"/>
    <m/>
    <n v="35"/>
    <s v="   "/>
    <n v="5.5359999999999996"/>
  </r>
  <r>
    <x v="209"/>
    <s v="Mukilteo School District"/>
    <s v="Personnel"/>
    <s v="E "/>
    <x v="0"/>
    <x v="15"/>
    <s v="PSES Elem Prog01Duty42 S275"/>
    <x v="0"/>
    <s v="42"/>
    <n v="42"/>
    <m/>
    <s v="   "/>
    <n v="6.7759999999999998"/>
  </r>
  <r>
    <x v="209"/>
    <s v="Mukilteo School District"/>
    <s v="Personnel"/>
    <s v="H "/>
    <x v="1"/>
    <x v="16"/>
    <s v="PSES High Prog01Duty42 S275"/>
    <x v="0"/>
    <s v="42"/>
    <n v="42"/>
    <m/>
    <s v="   "/>
    <n v="11.65"/>
  </r>
  <r>
    <x v="209"/>
    <s v="Mukilteo School District"/>
    <s v="Personnel"/>
    <s v="M "/>
    <x v="2"/>
    <x v="17"/>
    <s v="PSES Mid Prog01Duty42 S275"/>
    <x v="0"/>
    <s v="42"/>
    <n v="42"/>
    <m/>
    <s v="   "/>
    <n v="7.556"/>
  </r>
  <r>
    <x v="209"/>
    <s v="Mukilteo School District"/>
    <s v="Personnel"/>
    <s v="E "/>
    <x v="0"/>
    <x v="18"/>
    <s v="PSES Elem Prog21Duty43 S275"/>
    <x v="1"/>
    <s v="43"/>
    <n v="43"/>
    <m/>
    <s v="   "/>
    <n v="13.214"/>
  </r>
  <r>
    <x v="209"/>
    <s v="Mukilteo School District"/>
    <s v="Personnel"/>
    <s v="H "/>
    <x v="1"/>
    <x v="19"/>
    <s v="PSES High Prog21Duty43 S275"/>
    <x v="1"/>
    <s v="43"/>
    <n v="43"/>
    <m/>
    <s v="   "/>
    <n v="1.905"/>
  </r>
  <r>
    <x v="209"/>
    <s v="Mukilteo School District"/>
    <s v="Personnel"/>
    <s v="M "/>
    <x v="2"/>
    <x v="31"/>
    <s v="PSES Mid Prog21Duty43 S275"/>
    <x v="1"/>
    <s v="43"/>
    <n v="43"/>
    <m/>
    <s v="   "/>
    <n v="1.5229999999999999"/>
  </r>
  <r>
    <x v="209"/>
    <s v="Mukilteo School District"/>
    <s v="Personnel"/>
    <s v="E "/>
    <x v="0"/>
    <x v="42"/>
    <s v="PSES Elem Prog01Duty44 S275"/>
    <x v="0"/>
    <s v="44"/>
    <n v="44"/>
    <m/>
    <s v="   "/>
    <n v="7"/>
  </r>
  <r>
    <x v="209"/>
    <s v="Mukilteo School District"/>
    <s v="Personnel"/>
    <s v="E "/>
    <x v="0"/>
    <x v="20"/>
    <s v="PSES Elem Prog21Duty45 S275"/>
    <x v="1"/>
    <s v="45"/>
    <n v="45"/>
    <m/>
    <s v="   "/>
    <n v="21.795999999999999"/>
  </r>
  <r>
    <x v="209"/>
    <s v="Mukilteo School District"/>
    <s v="Personnel"/>
    <s v="H "/>
    <x v="1"/>
    <x v="21"/>
    <s v="PSES High Prog21Duty45 S275"/>
    <x v="1"/>
    <s v="45"/>
    <n v="45"/>
    <m/>
    <s v="   "/>
    <n v="4.7539999999999996"/>
  </r>
  <r>
    <x v="209"/>
    <s v="Mukilteo School District"/>
    <s v="Personnel"/>
    <s v="M "/>
    <x v="2"/>
    <x v="28"/>
    <s v="PSES Mid Prog21Duty45 S275"/>
    <x v="1"/>
    <s v="45"/>
    <n v="45"/>
    <m/>
    <s v="   "/>
    <n v="3.1930000000000001"/>
  </r>
  <r>
    <x v="209"/>
    <s v="Mukilteo School District"/>
    <s v="Personnel"/>
    <s v="E "/>
    <x v="0"/>
    <x v="22"/>
    <s v="PSES Elem Prog21Duty46 S275"/>
    <x v="1"/>
    <s v="46"/>
    <n v="46"/>
    <m/>
    <s v="   "/>
    <n v="8.4930000000000003"/>
  </r>
  <r>
    <x v="209"/>
    <s v="Mukilteo School District"/>
    <s v="Personnel"/>
    <s v="E "/>
    <x v="0"/>
    <x v="48"/>
    <s v="PSES Elem Prog01Duty46 S275"/>
    <x v="0"/>
    <s v="46"/>
    <n v="46"/>
    <m/>
    <s v="   "/>
    <n v="3"/>
  </r>
  <r>
    <x v="209"/>
    <s v="Mukilteo School District"/>
    <s v="Personnel"/>
    <s v="H "/>
    <x v="1"/>
    <x v="23"/>
    <s v="PSES High Prog21Duty46 S275"/>
    <x v="1"/>
    <s v="46"/>
    <n v="46"/>
    <m/>
    <s v="   "/>
    <n v="3"/>
  </r>
  <r>
    <x v="209"/>
    <s v="Mukilteo School District"/>
    <s v="Personnel"/>
    <s v="M "/>
    <x v="2"/>
    <x v="24"/>
    <s v="PSES Mid Prog21Duty46 S275"/>
    <x v="1"/>
    <s v="46"/>
    <n v="46"/>
    <m/>
    <s v="   "/>
    <n v="1.5069999999999999"/>
  </r>
  <r>
    <x v="209"/>
    <s v="Mukilteo School District"/>
    <s v="Personnel"/>
    <s v="E "/>
    <x v="0"/>
    <x v="27"/>
    <s v="PSES Elem Prog01Duty47 S275"/>
    <x v="0"/>
    <s v="47"/>
    <n v="47"/>
    <m/>
    <s v="   "/>
    <n v="8.9589999999999996"/>
  </r>
  <r>
    <x v="209"/>
    <s v="Mukilteo School District"/>
    <s v="Personnel"/>
    <s v="H "/>
    <x v="1"/>
    <x v="25"/>
    <s v="PSES High Prog01Duty47 S275"/>
    <x v="0"/>
    <s v="47"/>
    <n v="47"/>
    <m/>
    <s v="   "/>
    <n v="2.956"/>
  </r>
  <r>
    <x v="209"/>
    <s v="Mukilteo School District"/>
    <s v="Personnel"/>
    <s v="M "/>
    <x v="2"/>
    <x v="34"/>
    <s v="PSES Mid Prog01Duty47 S275"/>
    <x v="0"/>
    <s v="47"/>
    <n v="47"/>
    <m/>
    <s v="   "/>
    <n v="2.7509999999999999"/>
  </r>
  <r>
    <x v="209"/>
    <s v="Mukilteo School District"/>
    <s v="Personnel"/>
    <s v="E "/>
    <x v="0"/>
    <x v="35"/>
    <s v="PSES Elem Prog21Duty48 S275"/>
    <x v="1"/>
    <s v="48"/>
    <n v="48"/>
    <m/>
    <s v="   "/>
    <n v="3.6269999999999998"/>
  </r>
  <r>
    <x v="209"/>
    <s v="Mukilteo School District"/>
    <s v="Personnel"/>
    <s v="H "/>
    <x v="1"/>
    <x v="36"/>
    <s v="PSES High Prog21Duty48 S275"/>
    <x v="1"/>
    <s v="48"/>
    <n v="48"/>
    <m/>
    <s v="   "/>
    <n v="0.55000000000000004"/>
  </r>
  <r>
    <x v="209"/>
    <s v="Mukilteo School District"/>
    <s v="Personnel"/>
    <s v="M "/>
    <x v="2"/>
    <x v="37"/>
    <s v="PSES Mid Prog21Duty48 S275"/>
    <x v="1"/>
    <s v="48"/>
    <n v="48"/>
    <m/>
    <s v="   "/>
    <n v="0.32500000000000001"/>
  </r>
  <r>
    <x v="210"/>
    <s v="Edmonds School District"/>
    <s v="Personnel"/>
    <s v="H "/>
    <x v="1"/>
    <x v="1"/>
    <s v="PSES High Prog01Duty96 S275"/>
    <x v="0"/>
    <s v="24"/>
    <n v="96"/>
    <n v="24"/>
    <s v="   "/>
    <n v="3.3180000000000001"/>
  </r>
  <r>
    <x v="210"/>
    <s v="Edmonds School District"/>
    <s v="Personnel"/>
    <s v="H "/>
    <x v="1"/>
    <x v="4"/>
    <s v="PSES High Prog21Act25 S275"/>
    <x v="1"/>
    <s v="25"/>
    <m/>
    <n v="25"/>
    <s v="   "/>
    <n v="3.42"/>
  </r>
  <r>
    <x v="210"/>
    <s v="Edmonds School District"/>
    <s v="Personnel"/>
    <s v="H "/>
    <x v="1"/>
    <x v="5"/>
    <s v="PSES High Prog01Act25 S275"/>
    <x v="0"/>
    <s v="25"/>
    <m/>
    <n v="25"/>
    <s v="   "/>
    <n v="9.0180000000000007"/>
  </r>
  <r>
    <x v="210"/>
    <s v="Edmonds School District"/>
    <s v="Personnel"/>
    <s v="H "/>
    <x v="1"/>
    <x v="29"/>
    <s v="PSES High Prog21Act26 S275"/>
    <x v="1"/>
    <s v="26"/>
    <m/>
    <n v="26"/>
    <s v="   "/>
    <n v="2.895"/>
  </r>
  <r>
    <x v="210"/>
    <s v="Edmonds School District"/>
    <s v="Personnel"/>
    <s v="H "/>
    <x v="1"/>
    <x v="9"/>
    <s v="PSES High Prog01Act26 S275"/>
    <x v="0"/>
    <s v="26"/>
    <m/>
    <n v="26"/>
    <s v="   "/>
    <n v="4.5069999999999997"/>
  </r>
  <r>
    <x v="210"/>
    <s v="Edmonds School District"/>
    <s v="Personnel"/>
    <s v="H "/>
    <x v="1"/>
    <x v="54"/>
    <s v="PSES High Prog01Act35 S275"/>
    <x v="0"/>
    <s v="35"/>
    <m/>
    <n v="35"/>
    <s v="   "/>
    <n v="3.5489999999999999"/>
  </r>
  <r>
    <x v="210"/>
    <s v="Edmonds School District"/>
    <s v="Personnel"/>
    <s v="E "/>
    <x v="0"/>
    <x v="14"/>
    <s v="PSES Elem Prog21Duty39 S275"/>
    <x v="1"/>
    <s v="39"/>
    <n v="39"/>
    <m/>
    <s v="   "/>
    <n v="1"/>
  </r>
  <r>
    <x v="210"/>
    <s v="Edmonds School District"/>
    <s v="Personnel"/>
    <s v="E "/>
    <x v="0"/>
    <x v="15"/>
    <s v="PSES Elem Prog01Duty42 S275"/>
    <x v="0"/>
    <s v="42"/>
    <n v="42"/>
    <m/>
    <s v="   "/>
    <n v="25.640999999999998"/>
  </r>
  <r>
    <x v="210"/>
    <s v="Edmonds School District"/>
    <s v="Personnel"/>
    <s v="H "/>
    <x v="1"/>
    <x v="16"/>
    <s v="PSES High Prog01Duty42 S275"/>
    <x v="0"/>
    <s v="42"/>
    <n v="42"/>
    <m/>
    <s v="   "/>
    <n v="19.292000000000002"/>
  </r>
  <r>
    <x v="210"/>
    <s v="Edmonds School District"/>
    <s v="Personnel"/>
    <s v="M "/>
    <x v="2"/>
    <x v="17"/>
    <s v="PSES Mid Prog01Duty42 S275"/>
    <x v="0"/>
    <s v="42"/>
    <n v="42"/>
    <m/>
    <s v="   "/>
    <n v="10.6"/>
  </r>
  <r>
    <x v="210"/>
    <s v="Edmonds School District"/>
    <s v="Personnel"/>
    <s v="E "/>
    <x v="0"/>
    <x v="18"/>
    <s v="PSES Elem Prog21Duty43 S275"/>
    <x v="1"/>
    <s v="43"/>
    <n v="43"/>
    <m/>
    <s v="   "/>
    <n v="15.907999999999999"/>
  </r>
  <r>
    <x v="210"/>
    <s v="Edmonds School District"/>
    <s v="Personnel"/>
    <s v="E "/>
    <x v="0"/>
    <x v="20"/>
    <s v="PSES Elem Prog21Duty45 S275"/>
    <x v="1"/>
    <s v="45"/>
    <n v="45"/>
    <m/>
    <s v="   "/>
    <n v="39.203000000000003"/>
  </r>
  <r>
    <x v="210"/>
    <s v="Edmonds School District"/>
    <s v="Personnel"/>
    <s v="E "/>
    <x v="0"/>
    <x v="47"/>
    <s v="PSES Elem Prog01Duty45 S275"/>
    <x v="0"/>
    <s v="45"/>
    <n v="45"/>
    <m/>
    <s v="   "/>
    <n v="0.79200000000000004"/>
  </r>
  <r>
    <x v="210"/>
    <s v="Edmonds School District"/>
    <s v="Personnel"/>
    <s v="H "/>
    <x v="1"/>
    <x v="21"/>
    <s v="PSES High Prog21Duty45 S275"/>
    <x v="1"/>
    <s v="45"/>
    <n v="45"/>
    <m/>
    <s v="   "/>
    <n v="0.2"/>
  </r>
  <r>
    <x v="210"/>
    <s v="Edmonds School District"/>
    <s v="Personnel"/>
    <s v="E "/>
    <x v="0"/>
    <x v="22"/>
    <s v="PSES Elem Prog21Duty46 S275"/>
    <x v="1"/>
    <s v="46"/>
    <n v="46"/>
    <m/>
    <s v="   "/>
    <n v="14.395"/>
  </r>
  <r>
    <x v="210"/>
    <s v="Edmonds School District"/>
    <s v="Personnel"/>
    <s v="H "/>
    <x v="1"/>
    <x v="23"/>
    <s v="PSES High Prog21Duty46 S275"/>
    <x v="1"/>
    <s v="46"/>
    <n v="46"/>
    <m/>
    <s v="   "/>
    <n v="5.9"/>
  </r>
  <r>
    <x v="210"/>
    <s v="Edmonds School District"/>
    <s v="Personnel"/>
    <s v="M "/>
    <x v="2"/>
    <x v="24"/>
    <s v="PSES Mid Prog21Duty46 S275"/>
    <x v="1"/>
    <s v="46"/>
    <n v="46"/>
    <m/>
    <s v="   "/>
    <n v="1.7"/>
  </r>
  <r>
    <x v="210"/>
    <s v="Edmonds School District"/>
    <s v="Personnel"/>
    <s v="E "/>
    <x v="0"/>
    <x v="32"/>
    <s v="PSES Elem Prog21Duty47 S275"/>
    <x v="1"/>
    <s v="47"/>
    <n v="47"/>
    <m/>
    <s v="   "/>
    <n v="0.7"/>
  </r>
  <r>
    <x v="210"/>
    <s v="Edmonds School District"/>
    <s v="Personnel"/>
    <s v="E "/>
    <x v="0"/>
    <x v="27"/>
    <s v="PSES Elem Prog01Duty47 S275"/>
    <x v="0"/>
    <s v="47"/>
    <n v="47"/>
    <m/>
    <s v="   "/>
    <n v="11.59"/>
  </r>
  <r>
    <x v="210"/>
    <s v="Edmonds School District"/>
    <s v="Personnel"/>
    <s v="H "/>
    <x v="1"/>
    <x v="61"/>
    <s v="PSES High Prog21Duty47 S275"/>
    <x v="1"/>
    <s v="47"/>
    <n v="47"/>
    <m/>
    <s v="   "/>
    <n v="0.2"/>
  </r>
  <r>
    <x v="210"/>
    <s v="Edmonds School District"/>
    <s v="Personnel"/>
    <s v="H "/>
    <x v="1"/>
    <x v="25"/>
    <s v="PSES High Prog01Duty47 S275"/>
    <x v="0"/>
    <s v="47"/>
    <n v="47"/>
    <m/>
    <s v="   "/>
    <n v="4.4000000000000004"/>
  </r>
  <r>
    <x v="210"/>
    <s v="Edmonds School District"/>
    <s v="Personnel"/>
    <s v="M "/>
    <x v="2"/>
    <x v="34"/>
    <s v="PSES Mid Prog01Duty47 S275"/>
    <x v="0"/>
    <s v="47"/>
    <n v="47"/>
    <m/>
    <s v="   "/>
    <n v="1.8"/>
  </r>
  <r>
    <x v="210"/>
    <s v="Edmonds School District"/>
    <s v="Personnel"/>
    <s v="E "/>
    <x v="0"/>
    <x v="35"/>
    <s v="PSES Elem Prog21Duty48 S275"/>
    <x v="1"/>
    <s v="48"/>
    <n v="48"/>
    <m/>
    <s v="   "/>
    <n v="6.8"/>
  </r>
  <r>
    <x v="210"/>
    <s v="Edmonds School District"/>
    <s v="Personnel"/>
    <s v="E "/>
    <x v="0"/>
    <x v="26"/>
    <s v="PSES Elem Prog21Duty49 S275"/>
    <x v="1"/>
    <s v="49"/>
    <n v="49"/>
    <m/>
    <s v="   "/>
    <n v="0.46500000000000002"/>
  </r>
  <r>
    <x v="210"/>
    <s v="Edmonds School District"/>
    <s v="Personnel"/>
    <s v="E "/>
    <x v="0"/>
    <x v="79"/>
    <s v="PSES Elem Prog01Duty49 S275"/>
    <x v="0"/>
    <s v="49"/>
    <n v="49"/>
    <m/>
    <s v="   "/>
    <n v="4"/>
  </r>
  <r>
    <x v="211"/>
    <s v="Arlington School District"/>
    <s v="Personnel"/>
    <s v="H "/>
    <x v="1"/>
    <x v="5"/>
    <s v="PSES High Prog01Act25 S275"/>
    <x v="0"/>
    <s v="25"/>
    <m/>
    <n v="25"/>
    <s v="   "/>
    <n v="1.349"/>
  </r>
  <r>
    <x v="211"/>
    <s v="Arlington School District"/>
    <s v="Personnel"/>
    <s v="E "/>
    <x v="0"/>
    <x v="7"/>
    <s v="PSES Elem Prog21Act26 S275"/>
    <x v="1"/>
    <s v="26"/>
    <m/>
    <n v="26"/>
    <s v="   "/>
    <n v="1.454"/>
  </r>
  <r>
    <x v="211"/>
    <s v="Arlington School District"/>
    <s v="Personnel"/>
    <s v="E "/>
    <x v="0"/>
    <x v="8"/>
    <s v="PSES Elem Prog01Act26 S275"/>
    <x v="0"/>
    <s v="26"/>
    <m/>
    <n v="26"/>
    <s v="   "/>
    <n v="2.7839999999999998"/>
  </r>
  <r>
    <x v="211"/>
    <s v="Arlington School District"/>
    <s v="Personnel"/>
    <s v="H "/>
    <x v="1"/>
    <x v="29"/>
    <s v="PSES High Prog21Act26 S275"/>
    <x v="1"/>
    <s v="26"/>
    <m/>
    <n v="26"/>
    <s v="   "/>
    <n v="0.501"/>
  </r>
  <r>
    <x v="211"/>
    <s v="Arlington School District"/>
    <s v="Personnel"/>
    <s v="H "/>
    <x v="1"/>
    <x v="9"/>
    <s v="PSES High Prog01Act26 S275"/>
    <x v="0"/>
    <s v="26"/>
    <m/>
    <n v="26"/>
    <s v="   "/>
    <n v="1.5720000000000001"/>
  </r>
  <r>
    <x v="211"/>
    <s v="Arlington School District"/>
    <s v="Personnel"/>
    <s v="M "/>
    <x v="2"/>
    <x v="10"/>
    <s v="PSES Mid Prog21Act26 S275"/>
    <x v="1"/>
    <s v="26"/>
    <m/>
    <n v="26"/>
    <s v="   "/>
    <n v="0.219"/>
  </r>
  <r>
    <x v="211"/>
    <s v="Arlington School District"/>
    <s v="Personnel"/>
    <s v="M "/>
    <x v="2"/>
    <x v="11"/>
    <s v="PSES Mid Prog01Act26 S275"/>
    <x v="0"/>
    <s v="26"/>
    <m/>
    <n v="26"/>
    <s v="   "/>
    <n v="1.3919999999999999"/>
  </r>
  <r>
    <x v="211"/>
    <s v="Arlington School District"/>
    <s v="Personnel"/>
    <s v="E "/>
    <x v="0"/>
    <x v="15"/>
    <s v="PSES Elem Prog01Duty42 S275"/>
    <x v="0"/>
    <s v="42"/>
    <n v="42"/>
    <m/>
    <s v="   "/>
    <n v="4"/>
  </r>
  <r>
    <x v="211"/>
    <s v="Arlington School District"/>
    <s v="Personnel"/>
    <s v="H "/>
    <x v="1"/>
    <x v="16"/>
    <s v="PSES High Prog01Duty42 S275"/>
    <x v="0"/>
    <s v="42"/>
    <n v="42"/>
    <m/>
    <s v="   "/>
    <n v="5.5"/>
  </r>
  <r>
    <x v="211"/>
    <s v="Arlington School District"/>
    <s v="Personnel"/>
    <s v="M "/>
    <x v="2"/>
    <x v="17"/>
    <s v="PSES Mid Prog01Duty42 S275"/>
    <x v="0"/>
    <s v="42"/>
    <n v="42"/>
    <m/>
    <s v="   "/>
    <n v="1.7"/>
  </r>
  <r>
    <x v="211"/>
    <s v="Arlington School District"/>
    <s v="Personnel"/>
    <s v="E "/>
    <x v="0"/>
    <x v="18"/>
    <s v="PSES Elem Prog21Duty43 S275"/>
    <x v="1"/>
    <s v="43"/>
    <n v="43"/>
    <m/>
    <s v="   "/>
    <n v="3.371"/>
  </r>
  <r>
    <x v="211"/>
    <s v="Arlington School District"/>
    <s v="Personnel"/>
    <s v="H "/>
    <x v="1"/>
    <x v="19"/>
    <s v="PSES High Prog21Duty43 S275"/>
    <x v="1"/>
    <s v="43"/>
    <n v="43"/>
    <m/>
    <s v="   "/>
    <n v="0.47499999999999998"/>
  </r>
  <r>
    <x v="211"/>
    <s v="Arlington School District"/>
    <s v="Personnel"/>
    <s v="M "/>
    <x v="2"/>
    <x v="31"/>
    <s v="PSES Mid Prog21Duty43 S275"/>
    <x v="1"/>
    <s v="43"/>
    <n v="43"/>
    <m/>
    <s v="   "/>
    <n v="0.77300000000000002"/>
  </r>
  <r>
    <x v="211"/>
    <s v="Arlington School District"/>
    <s v="Personnel"/>
    <s v="E "/>
    <x v="0"/>
    <x v="20"/>
    <s v="PSES Elem Prog21Duty45 S275"/>
    <x v="1"/>
    <s v="45"/>
    <n v="45"/>
    <m/>
    <s v="   "/>
    <n v="8.6940000000000008"/>
  </r>
  <r>
    <x v="211"/>
    <s v="Arlington School District"/>
    <s v="Personnel"/>
    <s v="M "/>
    <x v="2"/>
    <x v="28"/>
    <s v="PSES Mid Prog21Duty45 S275"/>
    <x v="1"/>
    <s v="45"/>
    <n v="45"/>
    <m/>
    <s v="   "/>
    <n v="1.006"/>
  </r>
  <r>
    <x v="211"/>
    <s v="Arlington School District"/>
    <s v="Personnel"/>
    <s v="E "/>
    <x v="0"/>
    <x v="22"/>
    <s v="PSES Elem Prog21Duty46 S275"/>
    <x v="1"/>
    <s v="46"/>
    <n v="46"/>
    <m/>
    <s v="   "/>
    <n v="0.3"/>
  </r>
  <r>
    <x v="211"/>
    <s v="Arlington School District"/>
    <s v="Personnel"/>
    <s v="E "/>
    <x v="0"/>
    <x v="27"/>
    <s v="PSES Elem Prog01Duty47 S275"/>
    <x v="0"/>
    <s v="47"/>
    <n v="47"/>
    <m/>
    <s v="   "/>
    <n v="1"/>
  </r>
  <r>
    <x v="211"/>
    <s v="Arlington School District"/>
    <s v="Personnel"/>
    <s v="E "/>
    <x v="0"/>
    <x v="35"/>
    <s v="PSES Elem Prog21Duty48 S275"/>
    <x v="1"/>
    <s v="48"/>
    <n v="48"/>
    <m/>
    <s v="   "/>
    <n v="0.76100000000000001"/>
  </r>
  <r>
    <x v="211"/>
    <s v="Arlington School District"/>
    <s v="Personnel"/>
    <s v="H "/>
    <x v="1"/>
    <x v="36"/>
    <s v="PSES High Prog21Duty48 S275"/>
    <x v="1"/>
    <s v="48"/>
    <n v="48"/>
    <m/>
    <s v="   "/>
    <n v="0.14799999999999999"/>
  </r>
  <r>
    <x v="211"/>
    <s v="Arlington School District"/>
    <s v="Personnel"/>
    <s v="M "/>
    <x v="2"/>
    <x v="37"/>
    <s v="PSES Mid Prog21Duty48 S275"/>
    <x v="1"/>
    <s v="48"/>
    <n v="48"/>
    <m/>
    <s v="   "/>
    <n v="9.0999999999999998E-2"/>
  </r>
  <r>
    <x v="212"/>
    <s v="Marysville School District"/>
    <s v="Personnel"/>
    <s v="H "/>
    <x v="1"/>
    <x v="1"/>
    <s v="PSES High Prog01Duty96 S275"/>
    <x v="0"/>
    <s v="24"/>
    <n v="96"/>
    <n v="24"/>
    <s v="   "/>
    <n v="1.8260000000000001"/>
  </r>
  <r>
    <x v="212"/>
    <s v="Marysville School District"/>
    <s v="Personnel"/>
    <s v="H "/>
    <x v="1"/>
    <x v="4"/>
    <s v="PSES High Prog21Act25 S275"/>
    <x v="1"/>
    <s v="25"/>
    <m/>
    <n v="25"/>
    <s v="   "/>
    <n v="1.117"/>
  </r>
  <r>
    <x v="212"/>
    <s v="Marysville School District"/>
    <s v="Personnel"/>
    <s v="H "/>
    <x v="1"/>
    <x v="5"/>
    <s v="PSES High Prog01Act25 S275"/>
    <x v="0"/>
    <s v="25"/>
    <m/>
    <n v="25"/>
    <s v="   "/>
    <n v="13.766999999999999"/>
  </r>
  <r>
    <x v="212"/>
    <s v="Marysville School District"/>
    <s v="Personnel"/>
    <s v="H "/>
    <x v="1"/>
    <x v="29"/>
    <s v="PSES High Prog21Act26 S275"/>
    <x v="1"/>
    <s v="26"/>
    <m/>
    <n v="26"/>
    <s v="   "/>
    <n v="0.624"/>
  </r>
  <r>
    <x v="212"/>
    <s v="Marysville School District"/>
    <s v="Personnel"/>
    <s v="H "/>
    <x v="1"/>
    <x v="9"/>
    <s v="PSES High Prog01Act26 S275"/>
    <x v="0"/>
    <s v="26"/>
    <m/>
    <n v="26"/>
    <s v="   "/>
    <n v="13.131"/>
  </r>
  <r>
    <x v="212"/>
    <s v="Marysville School District"/>
    <s v="Personnel"/>
    <s v="E "/>
    <x v="0"/>
    <x v="15"/>
    <s v="PSES Elem Prog01Duty42 S275"/>
    <x v="0"/>
    <s v="42"/>
    <n v="42"/>
    <m/>
    <s v="   "/>
    <n v="10.180999999999999"/>
  </r>
  <r>
    <x v="212"/>
    <s v="Marysville School District"/>
    <s v="Personnel"/>
    <s v="H "/>
    <x v="1"/>
    <x v="16"/>
    <s v="PSES High Prog01Duty42 S275"/>
    <x v="0"/>
    <s v="42"/>
    <n v="42"/>
    <m/>
    <s v="   "/>
    <n v="6.4340000000000002"/>
  </r>
  <r>
    <x v="212"/>
    <s v="Marysville School District"/>
    <s v="Personnel"/>
    <s v="M "/>
    <x v="2"/>
    <x v="17"/>
    <s v="PSES Mid Prog01Duty42 S275"/>
    <x v="0"/>
    <s v="42"/>
    <n v="42"/>
    <m/>
    <s v="   "/>
    <n v="2.1259999999999999"/>
  </r>
  <r>
    <x v="212"/>
    <s v="Marysville School District"/>
    <s v="Personnel"/>
    <s v="E "/>
    <x v="0"/>
    <x v="18"/>
    <s v="PSES Elem Prog21Duty43 S275"/>
    <x v="1"/>
    <s v="43"/>
    <n v="43"/>
    <m/>
    <s v="   "/>
    <n v="4.8"/>
  </r>
  <r>
    <x v="212"/>
    <s v="Marysville School District"/>
    <s v="Personnel"/>
    <s v="E "/>
    <x v="0"/>
    <x v="20"/>
    <s v="PSES Elem Prog21Duty45 S275"/>
    <x v="1"/>
    <s v="45"/>
    <n v="45"/>
    <m/>
    <s v="   "/>
    <n v="11.1"/>
  </r>
  <r>
    <x v="212"/>
    <s v="Marysville School District"/>
    <s v="Personnel"/>
    <s v="E "/>
    <x v="0"/>
    <x v="47"/>
    <s v="PSES Elem Prog01Duty45 S275"/>
    <x v="0"/>
    <s v="45"/>
    <n v="45"/>
    <m/>
    <s v="   "/>
    <n v="0.7"/>
  </r>
  <r>
    <x v="212"/>
    <s v="Marysville School District"/>
    <s v="Personnel"/>
    <s v="H "/>
    <x v="1"/>
    <x v="21"/>
    <s v="PSES High Prog21Duty45 S275"/>
    <x v="1"/>
    <s v="45"/>
    <n v="45"/>
    <m/>
    <s v="   "/>
    <n v="1"/>
  </r>
  <r>
    <x v="212"/>
    <s v="Marysville School District"/>
    <s v="Personnel"/>
    <s v="M "/>
    <x v="2"/>
    <x v="28"/>
    <s v="PSES Mid Prog21Duty45 S275"/>
    <x v="1"/>
    <s v="45"/>
    <n v="45"/>
    <m/>
    <s v="   "/>
    <n v="1"/>
  </r>
  <r>
    <x v="212"/>
    <s v="Marysville School District"/>
    <s v="Personnel"/>
    <s v="E "/>
    <x v="0"/>
    <x v="22"/>
    <s v="PSES Elem Prog21Duty46 S275"/>
    <x v="1"/>
    <s v="46"/>
    <n v="46"/>
    <m/>
    <s v="   "/>
    <n v="3.8"/>
  </r>
  <r>
    <x v="212"/>
    <s v="Marysville School District"/>
    <s v="Personnel"/>
    <s v="M "/>
    <x v="2"/>
    <x v="24"/>
    <s v="PSES Mid Prog21Duty46 S275"/>
    <x v="1"/>
    <s v="46"/>
    <n v="46"/>
    <m/>
    <s v="   "/>
    <n v="4"/>
  </r>
  <r>
    <x v="212"/>
    <s v="Marysville School District"/>
    <s v="Personnel"/>
    <s v="E "/>
    <x v="0"/>
    <x v="27"/>
    <s v="PSES Elem Prog01Duty47 S275"/>
    <x v="0"/>
    <s v="47"/>
    <n v="47"/>
    <m/>
    <s v="   "/>
    <n v="0.5"/>
  </r>
  <r>
    <x v="212"/>
    <s v="Marysville School District"/>
    <s v="Personnel"/>
    <s v="E "/>
    <x v="0"/>
    <x v="35"/>
    <s v="PSES Elem Prog21Duty48 S275"/>
    <x v="1"/>
    <s v="48"/>
    <n v="48"/>
    <m/>
    <s v="   "/>
    <n v="3"/>
  </r>
  <r>
    <x v="213"/>
    <s v="Index School District"/>
    <s v="Personnel"/>
    <s v="E "/>
    <x v="0"/>
    <x v="8"/>
    <s v="PSES Elem Prog01Act26 S275"/>
    <x v="0"/>
    <s v="26"/>
    <m/>
    <n v="26"/>
    <s v="   "/>
    <n v="0.127"/>
  </r>
  <r>
    <x v="213"/>
    <s v="Index School District"/>
    <s v="Personnel"/>
    <s v="M "/>
    <x v="2"/>
    <x v="11"/>
    <s v="PSES Mid Prog01Act26 S275"/>
    <x v="0"/>
    <s v="26"/>
    <m/>
    <n v="26"/>
    <s v="   "/>
    <n v="1.2999999999999999E-2"/>
  </r>
  <r>
    <x v="214"/>
    <s v="Monroe School District"/>
    <s v="Personnel"/>
    <s v="E "/>
    <x v="0"/>
    <x v="0"/>
    <s v="PSES Elem Prog01Duty96 S275"/>
    <x v="0"/>
    <s v="24"/>
    <n v="96"/>
    <n v="24"/>
    <s v="   "/>
    <n v="0.248"/>
  </r>
  <r>
    <x v="214"/>
    <s v="Monroe School District"/>
    <s v="Personnel"/>
    <s v="H "/>
    <x v="1"/>
    <x v="1"/>
    <s v="PSES High Prog01Duty96 S275"/>
    <x v="0"/>
    <s v="24"/>
    <n v="96"/>
    <n v="24"/>
    <s v="   "/>
    <n v="0.78"/>
  </r>
  <r>
    <x v="214"/>
    <s v="Monroe School District"/>
    <s v="Personnel"/>
    <s v="M "/>
    <x v="2"/>
    <x v="2"/>
    <s v="PSES Mid Prog01Duty96 S275"/>
    <x v="0"/>
    <s v="24"/>
    <n v="96"/>
    <n v="24"/>
    <s v="   "/>
    <n v="0.52900000000000003"/>
  </r>
  <r>
    <x v="214"/>
    <s v="Monroe School District"/>
    <s v="Personnel"/>
    <s v="E "/>
    <x v="0"/>
    <x v="3"/>
    <s v="PSES Elem Prog01Act25 S275"/>
    <x v="0"/>
    <s v="25"/>
    <m/>
    <n v="25"/>
    <s v="   "/>
    <n v="0.75900000000000001"/>
  </r>
  <r>
    <x v="214"/>
    <s v="Monroe School District"/>
    <s v="Personnel"/>
    <s v="H "/>
    <x v="1"/>
    <x v="5"/>
    <s v="PSES High Prog01Act25 S275"/>
    <x v="0"/>
    <s v="25"/>
    <m/>
    <n v="25"/>
    <s v="   "/>
    <n v="4.3739999999999997"/>
  </r>
  <r>
    <x v="214"/>
    <s v="Monroe School District"/>
    <s v="Personnel"/>
    <s v="M "/>
    <x v="2"/>
    <x v="6"/>
    <s v="PSES Mid Prog01Act25 S275"/>
    <x v="0"/>
    <s v="25"/>
    <m/>
    <n v="25"/>
    <s v="   "/>
    <n v="3.2000000000000001E-2"/>
  </r>
  <r>
    <x v="214"/>
    <s v="Monroe School District"/>
    <s v="Personnel"/>
    <s v="E "/>
    <x v="0"/>
    <x v="8"/>
    <s v="PSES Elem Prog01Act26 S275"/>
    <x v="0"/>
    <s v="26"/>
    <m/>
    <n v="26"/>
    <s v="   "/>
    <n v="2.7149999999999999"/>
  </r>
  <r>
    <x v="214"/>
    <s v="Monroe School District"/>
    <s v="Personnel"/>
    <s v="H "/>
    <x v="1"/>
    <x v="29"/>
    <s v="PSES High Prog21Act26 S275"/>
    <x v="1"/>
    <s v="26"/>
    <m/>
    <n v="26"/>
    <s v="   "/>
    <n v="3.0009999999999999"/>
  </r>
  <r>
    <x v="214"/>
    <s v="Monroe School District"/>
    <s v="Personnel"/>
    <s v="H "/>
    <x v="1"/>
    <x v="9"/>
    <s v="PSES High Prog01Act26 S275"/>
    <x v="0"/>
    <s v="26"/>
    <m/>
    <n v="26"/>
    <s v="   "/>
    <n v="2.2850000000000001"/>
  </r>
  <r>
    <x v="214"/>
    <s v="Monroe School District"/>
    <s v="Personnel"/>
    <s v="H "/>
    <x v="1"/>
    <x v="54"/>
    <s v="PSES High Prog01Act35 S275"/>
    <x v="0"/>
    <s v="35"/>
    <m/>
    <n v="35"/>
    <s v="   "/>
    <n v="2.226"/>
  </r>
  <r>
    <x v="214"/>
    <s v="Monroe School District"/>
    <s v="Personnel"/>
    <s v="E "/>
    <x v="0"/>
    <x v="15"/>
    <s v="PSES Elem Prog01Duty42 S275"/>
    <x v="0"/>
    <s v="42"/>
    <n v="42"/>
    <m/>
    <s v="   "/>
    <n v="5.9569999999999999"/>
  </r>
  <r>
    <x v="214"/>
    <s v="Monroe School District"/>
    <s v="Personnel"/>
    <s v="H "/>
    <x v="1"/>
    <x v="16"/>
    <s v="PSES High Prog01Duty42 S275"/>
    <x v="0"/>
    <s v="42"/>
    <n v="42"/>
    <m/>
    <s v="   "/>
    <n v="3.5169999999999999"/>
  </r>
  <r>
    <x v="214"/>
    <s v="Monroe School District"/>
    <s v="Personnel"/>
    <s v="M "/>
    <x v="2"/>
    <x v="17"/>
    <s v="PSES Mid Prog01Duty42 S275"/>
    <x v="0"/>
    <s v="42"/>
    <n v="42"/>
    <m/>
    <s v="   "/>
    <n v="1.7430000000000001"/>
  </r>
  <r>
    <x v="214"/>
    <s v="Monroe School District"/>
    <s v="Personnel"/>
    <s v="E "/>
    <x v="0"/>
    <x v="18"/>
    <s v="PSES Elem Prog21Duty43 S275"/>
    <x v="1"/>
    <s v="43"/>
    <n v="43"/>
    <m/>
    <s v="   "/>
    <n v="2.6019999999999999"/>
  </r>
  <r>
    <x v="214"/>
    <s v="Monroe School District"/>
    <s v="Personnel"/>
    <s v="H "/>
    <x v="1"/>
    <x v="19"/>
    <s v="PSES High Prog21Duty43 S275"/>
    <x v="1"/>
    <s v="43"/>
    <n v="43"/>
    <m/>
    <s v="   "/>
    <n v="0.251"/>
  </r>
  <r>
    <x v="214"/>
    <s v="Monroe School District"/>
    <s v="Personnel"/>
    <s v="M "/>
    <x v="2"/>
    <x v="31"/>
    <s v="PSES Mid Prog21Duty43 S275"/>
    <x v="1"/>
    <s v="43"/>
    <n v="43"/>
    <m/>
    <s v="   "/>
    <n v="0.505"/>
  </r>
  <r>
    <x v="214"/>
    <s v="Monroe School District"/>
    <s v="Personnel"/>
    <s v="E "/>
    <x v="0"/>
    <x v="41"/>
    <s v="PSES Elem Prog21Duty44 S275"/>
    <x v="1"/>
    <s v="44"/>
    <n v="44"/>
    <m/>
    <s v="   "/>
    <n v="3.0000000000000001E-3"/>
  </r>
  <r>
    <x v="214"/>
    <s v="Monroe School District"/>
    <s v="Personnel"/>
    <s v="E "/>
    <x v="0"/>
    <x v="20"/>
    <s v="PSES Elem Prog21Duty45 S275"/>
    <x v="1"/>
    <s v="45"/>
    <n v="45"/>
    <m/>
    <s v="   "/>
    <n v="3.6720000000000002"/>
  </r>
  <r>
    <x v="214"/>
    <s v="Monroe School District"/>
    <s v="Personnel"/>
    <s v="H "/>
    <x v="1"/>
    <x v="21"/>
    <s v="PSES High Prog21Duty45 S275"/>
    <x v="1"/>
    <s v="45"/>
    <n v="45"/>
    <m/>
    <s v="   "/>
    <n v="1.3009999999999999"/>
  </r>
  <r>
    <x v="214"/>
    <s v="Monroe School District"/>
    <s v="Personnel"/>
    <s v="M "/>
    <x v="2"/>
    <x v="28"/>
    <s v="PSES Mid Prog21Duty45 S275"/>
    <x v="1"/>
    <s v="45"/>
    <n v="45"/>
    <m/>
    <s v="   "/>
    <n v="0.317"/>
  </r>
  <r>
    <x v="214"/>
    <s v="Monroe School District"/>
    <s v="Personnel"/>
    <s v="E "/>
    <x v="0"/>
    <x v="22"/>
    <s v="PSES Elem Prog21Duty46 S275"/>
    <x v="1"/>
    <s v="46"/>
    <n v="46"/>
    <m/>
    <s v="   "/>
    <n v="2.359"/>
  </r>
  <r>
    <x v="214"/>
    <s v="Monroe School District"/>
    <s v="Personnel"/>
    <s v="M "/>
    <x v="2"/>
    <x v="24"/>
    <s v="PSES Mid Prog21Duty46 S275"/>
    <x v="1"/>
    <s v="46"/>
    <n v="46"/>
    <m/>
    <s v="   "/>
    <n v="0.63500000000000001"/>
  </r>
  <r>
    <x v="214"/>
    <s v="Monroe School District"/>
    <s v="Personnel"/>
    <s v="E "/>
    <x v="0"/>
    <x v="27"/>
    <s v="PSES Elem Prog01Duty47 S275"/>
    <x v="0"/>
    <s v="47"/>
    <n v="47"/>
    <m/>
    <s v="   "/>
    <n v="2.5990000000000002"/>
  </r>
  <r>
    <x v="214"/>
    <s v="Monroe School District"/>
    <s v="Personnel"/>
    <s v="H "/>
    <x v="1"/>
    <x v="25"/>
    <s v="PSES High Prog01Duty47 S275"/>
    <x v="0"/>
    <s v="47"/>
    <n v="47"/>
    <m/>
    <s v="   "/>
    <n v="1.0580000000000001"/>
  </r>
  <r>
    <x v="214"/>
    <s v="Monroe School District"/>
    <s v="Personnel"/>
    <s v="M "/>
    <x v="2"/>
    <x v="34"/>
    <s v="PSES Mid Prog01Duty47 S275"/>
    <x v="0"/>
    <s v="47"/>
    <n v="47"/>
    <m/>
    <s v="   "/>
    <n v="0.55500000000000005"/>
  </r>
  <r>
    <x v="214"/>
    <s v="Monroe School District"/>
    <s v="Personnel"/>
    <s v="E "/>
    <x v="0"/>
    <x v="35"/>
    <s v="PSES Elem Prog21Duty48 S275"/>
    <x v="1"/>
    <s v="48"/>
    <n v="48"/>
    <m/>
    <s v="   "/>
    <n v="0.93500000000000005"/>
  </r>
  <r>
    <x v="214"/>
    <s v="Monroe School District"/>
    <s v="Personnel"/>
    <s v="H "/>
    <x v="1"/>
    <x v="36"/>
    <s v="PSES High Prog21Duty48 S275"/>
    <x v="1"/>
    <s v="48"/>
    <n v="48"/>
    <m/>
    <s v="   "/>
    <n v="0.111"/>
  </r>
  <r>
    <x v="214"/>
    <s v="Monroe School District"/>
    <s v="Personnel"/>
    <s v="M "/>
    <x v="2"/>
    <x v="37"/>
    <s v="PSES Mid Prog21Duty48 S275"/>
    <x v="1"/>
    <s v="48"/>
    <n v="48"/>
    <m/>
    <s v="   "/>
    <n v="0.16600000000000001"/>
  </r>
  <r>
    <x v="214"/>
    <s v="Monroe School District"/>
    <s v="Personnel"/>
    <s v="E "/>
    <x v="0"/>
    <x v="38"/>
    <s v="PSES Elem Prog21Duty64 S275"/>
    <x v="1"/>
    <s v="64"/>
    <n v="64"/>
    <m/>
    <s v="   "/>
    <n v="5.5439999999999996"/>
  </r>
  <r>
    <x v="214"/>
    <s v="Monroe School District"/>
    <s v="Personnel"/>
    <s v="H "/>
    <x v="1"/>
    <x v="59"/>
    <s v="PSES High Prog21Duty64 S275"/>
    <x v="1"/>
    <s v="64"/>
    <n v="64"/>
    <m/>
    <s v="   "/>
    <n v="1.673"/>
  </r>
  <r>
    <x v="214"/>
    <s v="Monroe School District"/>
    <s v="Personnel"/>
    <s v="M "/>
    <x v="2"/>
    <x v="60"/>
    <s v="PSES Mid Prog21Duty64 S275"/>
    <x v="1"/>
    <s v="64"/>
    <n v="64"/>
    <m/>
    <s v="   "/>
    <n v="1.982"/>
  </r>
  <r>
    <x v="215"/>
    <s v="Snohomish School District"/>
    <s v="Personnel"/>
    <s v="E "/>
    <x v="0"/>
    <x v="7"/>
    <s v="PSES Elem Prog21Act26 S275"/>
    <x v="1"/>
    <s v="26"/>
    <m/>
    <n v="26"/>
    <s v="   "/>
    <n v="0.94099999999999995"/>
  </r>
  <r>
    <x v="215"/>
    <s v="Snohomish School District"/>
    <s v="Personnel"/>
    <s v="E "/>
    <x v="0"/>
    <x v="8"/>
    <s v="PSES Elem Prog01Act26 S275"/>
    <x v="0"/>
    <s v="26"/>
    <m/>
    <n v="26"/>
    <s v="   "/>
    <n v="2.36"/>
  </r>
  <r>
    <x v="215"/>
    <s v="Snohomish School District"/>
    <s v="Personnel"/>
    <s v="H "/>
    <x v="1"/>
    <x v="29"/>
    <s v="PSES High Prog21Act26 S275"/>
    <x v="1"/>
    <s v="26"/>
    <m/>
    <n v="26"/>
    <s v="   "/>
    <n v="0.63900000000000001"/>
  </r>
  <r>
    <x v="215"/>
    <s v="Snohomish School District"/>
    <s v="Personnel"/>
    <s v="H "/>
    <x v="1"/>
    <x v="9"/>
    <s v="PSES High Prog01Act26 S275"/>
    <x v="0"/>
    <s v="26"/>
    <m/>
    <n v="26"/>
    <s v="   "/>
    <n v="0.54800000000000004"/>
  </r>
  <r>
    <x v="215"/>
    <s v="Snohomish School District"/>
    <s v="Personnel"/>
    <s v="M "/>
    <x v="2"/>
    <x v="10"/>
    <s v="PSES Mid Prog21Act26 S275"/>
    <x v="1"/>
    <s v="26"/>
    <m/>
    <n v="26"/>
    <s v="   "/>
    <n v="0.59399999999999997"/>
  </r>
  <r>
    <x v="215"/>
    <s v="Snohomish School District"/>
    <s v="Personnel"/>
    <s v="M "/>
    <x v="2"/>
    <x v="11"/>
    <s v="PSES Mid Prog01Act26 S275"/>
    <x v="0"/>
    <s v="26"/>
    <m/>
    <n v="26"/>
    <s v="   "/>
    <n v="0.36599999999999999"/>
  </r>
  <r>
    <x v="215"/>
    <s v="Snohomish School District"/>
    <s v="Personnel"/>
    <s v="H "/>
    <x v="1"/>
    <x v="54"/>
    <s v="PSES High Prog01Act35 S275"/>
    <x v="0"/>
    <s v="35"/>
    <m/>
    <n v="35"/>
    <s v="   "/>
    <n v="1.37"/>
  </r>
  <r>
    <x v="215"/>
    <s v="Snohomish School District"/>
    <s v="Personnel"/>
    <s v="E "/>
    <x v="0"/>
    <x v="14"/>
    <s v="PSES Elem Prog21Duty39 S275"/>
    <x v="1"/>
    <s v="39"/>
    <n v="39"/>
    <m/>
    <s v="   "/>
    <n v="1"/>
  </r>
  <r>
    <x v="215"/>
    <s v="Snohomish School District"/>
    <s v="Personnel"/>
    <s v="E "/>
    <x v="0"/>
    <x v="15"/>
    <s v="PSES Elem Prog01Duty42 S275"/>
    <x v="0"/>
    <s v="42"/>
    <n v="42"/>
    <m/>
    <s v="   "/>
    <n v="7.1280000000000001"/>
  </r>
  <r>
    <x v="215"/>
    <s v="Snohomish School District"/>
    <s v="Personnel"/>
    <s v="H "/>
    <x v="1"/>
    <x v="16"/>
    <s v="PSES High Prog01Duty42 S275"/>
    <x v="0"/>
    <s v="42"/>
    <n v="42"/>
    <m/>
    <s v="   "/>
    <n v="9"/>
  </r>
  <r>
    <x v="215"/>
    <s v="Snohomish School District"/>
    <s v="Personnel"/>
    <s v="M "/>
    <x v="2"/>
    <x v="17"/>
    <s v="PSES Mid Prog01Duty42 S275"/>
    <x v="0"/>
    <s v="42"/>
    <n v="42"/>
    <m/>
    <s v="   "/>
    <n v="4"/>
  </r>
  <r>
    <x v="215"/>
    <s v="Snohomish School District"/>
    <s v="Personnel"/>
    <s v="E "/>
    <x v="0"/>
    <x v="18"/>
    <s v="PSES Elem Prog21Duty43 S275"/>
    <x v="1"/>
    <s v="43"/>
    <n v="43"/>
    <m/>
    <s v="   "/>
    <n v="2.5"/>
  </r>
  <r>
    <x v="215"/>
    <s v="Snohomish School District"/>
    <s v="Personnel"/>
    <s v="H "/>
    <x v="1"/>
    <x v="19"/>
    <s v="PSES High Prog21Duty43 S275"/>
    <x v="1"/>
    <s v="43"/>
    <n v="43"/>
    <m/>
    <s v="   "/>
    <n v="1.75"/>
  </r>
  <r>
    <x v="215"/>
    <s v="Snohomish School District"/>
    <s v="Personnel"/>
    <s v="M "/>
    <x v="2"/>
    <x v="31"/>
    <s v="PSES Mid Prog21Duty43 S275"/>
    <x v="1"/>
    <s v="43"/>
    <n v="43"/>
    <m/>
    <s v="   "/>
    <n v="0.75"/>
  </r>
  <r>
    <x v="215"/>
    <s v="Snohomish School District"/>
    <s v="Personnel"/>
    <s v="E "/>
    <x v="0"/>
    <x v="42"/>
    <s v="PSES Elem Prog01Duty44 S275"/>
    <x v="0"/>
    <s v="44"/>
    <n v="44"/>
    <m/>
    <s v="   "/>
    <n v="1"/>
  </r>
  <r>
    <x v="215"/>
    <s v="Snohomish School District"/>
    <s v="Personnel"/>
    <s v="E "/>
    <x v="0"/>
    <x v="20"/>
    <s v="PSES Elem Prog21Duty45 S275"/>
    <x v="1"/>
    <s v="45"/>
    <n v="45"/>
    <m/>
    <s v="   "/>
    <n v="8.0419999999999998"/>
  </r>
  <r>
    <x v="215"/>
    <s v="Snohomish School District"/>
    <s v="Personnel"/>
    <s v="H "/>
    <x v="1"/>
    <x v="21"/>
    <s v="PSES High Prog21Duty45 S275"/>
    <x v="1"/>
    <s v="45"/>
    <n v="45"/>
    <m/>
    <s v="   "/>
    <n v="5.6289999999999996"/>
  </r>
  <r>
    <x v="215"/>
    <s v="Snohomish School District"/>
    <s v="Personnel"/>
    <s v="M "/>
    <x v="2"/>
    <x v="28"/>
    <s v="PSES Mid Prog21Duty45 S275"/>
    <x v="1"/>
    <s v="45"/>
    <n v="45"/>
    <m/>
    <s v="   "/>
    <n v="2.4119999999999999"/>
  </r>
  <r>
    <x v="215"/>
    <s v="Snohomish School District"/>
    <s v="Personnel"/>
    <s v="E "/>
    <x v="0"/>
    <x v="22"/>
    <s v="PSES Elem Prog21Duty46 S275"/>
    <x v="1"/>
    <s v="46"/>
    <n v="46"/>
    <m/>
    <s v="   "/>
    <n v="4.4000000000000004"/>
  </r>
  <r>
    <x v="215"/>
    <s v="Snohomish School District"/>
    <s v="Personnel"/>
    <s v="E "/>
    <x v="0"/>
    <x v="48"/>
    <s v="PSES Elem Prog01Duty46 S275"/>
    <x v="0"/>
    <s v="46"/>
    <n v="46"/>
    <m/>
    <s v="   "/>
    <n v="2"/>
  </r>
  <r>
    <x v="215"/>
    <s v="Snohomish School District"/>
    <s v="Personnel"/>
    <s v="H "/>
    <x v="1"/>
    <x v="23"/>
    <s v="PSES High Prog21Duty46 S275"/>
    <x v="1"/>
    <s v="46"/>
    <n v="46"/>
    <m/>
    <s v="   "/>
    <n v="3.08"/>
  </r>
  <r>
    <x v="215"/>
    <s v="Snohomish School District"/>
    <s v="Personnel"/>
    <s v="H "/>
    <x v="1"/>
    <x v="65"/>
    <s v="PSES High Prog01Duty46 S275"/>
    <x v="0"/>
    <s v="46"/>
    <n v="46"/>
    <m/>
    <s v="   "/>
    <n v="1.4"/>
  </r>
  <r>
    <x v="215"/>
    <s v="Snohomish School District"/>
    <s v="Personnel"/>
    <s v="M "/>
    <x v="2"/>
    <x v="24"/>
    <s v="PSES Mid Prog21Duty46 S275"/>
    <x v="1"/>
    <s v="46"/>
    <n v="46"/>
    <m/>
    <s v="   "/>
    <n v="1.32"/>
  </r>
  <r>
    <x v="215"/>
    <s v="Snohomish School District"/>
    <s v="Personnel"/>
    <s v="M "/>
    <x v="2"/>
    <x v="49"/>
    <s v="PSES Mid Prog01Duty46 S275"/>
    <x v="0"/>
    <s v="46"/>
    <n v="46"/>
    <m/>
    <s v="   "/>
    <n v="0.6"/>
  </r>
  <r>
    <x v="215"/>
    <s v="Snohomish School District"/>
    <s v="Personnel"/>
    <s v="E "/>
    <x v="0"/>
    <x v="27"/>
    <s v="PSES Elem Prog01Duty47 S275"/>
    <x v="0"/>
    <s v="47"/>
    <n v="47"/>
    <m/>
    <s v="   "/>
    <n v="12.46"/>
  </r>
  <r>
    <x v="215"/>
    <s v="Snohomish School District"/>
    <s v="Personnel"/>
    <s v="E "/>
    <x v="0"/>
    <x v="35"/>
    <s v="PSES Elem Prog21Duty48 S275"/>
    <x v="1"/>
    <s v="48"/>
    <n v="48"/>
    <m/>
    <s v="   "/>
    <n v="1"/>
  </r>
  <r>
    <x v="215"/>
    <s v="Snohomish School District"/>
    <s v="Personnel"/>
    <s v="H "/>
    <x v="1"/>
    <x v="36"/>
    <s v="PSES High Prog21Duty48 S275"/>
    <x v="1"/>
    <s v="48"/>
    <n v="48"/>
    <m/>
    <s v="   "/>
    <n v="0.7"/>
  </r>
  <r>
    <x v="215"/>
    <s v="Snohomish School District"/>
    <s v="Personnel"/>
    <s v="M "/>
    <x v="2"/>
    <x v="37"/>
    <s v="PSES Mid Prog21Duty48 S275"/>
    <x v="1"/>
    <s v="48"/>
    <n v="48"/>
    <m/>
    <s v="   "/>
    <n v="0.3"/>
  </r>
  <r>
    <x v="216"/>
    <s v="Lakewood School District"/>
    <s v="Personnel"/>
    <s v="E "/>
    <x v="0"/>
    <x v="3"/>
    <s v="PSES Elem Prog01Act25 S275"/>
    <x v="0"/>
    <s v="25"/>
    <m/>
    <n v="25"/>
    <s v="   "/>
    <n v="0.76700000000000002"/>
  </r>
  <r>
    <x v="216"/>
    <s v="Lakewood School District"/>
    <s v="Personnel"/>
    <s v="H "/>
    <x v="1"/>
    <x v="4"/>
    <s v="PSES High Prog21Act25 S275"/>
    <x v="1"/>
    <s v="25"/>
    <m/>
    <n v="25"/>
    <s v="   "/>
    <n v="0.114"/>
  </r>
  <r>
    <x v="216"/>
    <s v="Lakewood School District"/>
    <s v="Personnel"/>
    <s v="H "/>
    <x v="1"/>
    <x v="5"/>
    <s v="PSES High Prog01Act25 S275"/>
    <x v="0"/>
    <s v="25"/>
    <m/>
    <n v="25"/>
    <s v="   "/>
    <n v="2.871"/>
  </r>
  <r>
    <x v="216"/>
    <s v="Lakewood School District"/>
    <s v="Personnel"/>
    <s v="E "/>
    <x v="0"/>
    <x v="8"/>
    <s v="PSES Elem Prog01Act26 S275"/>
    <x v="0"/>
    <s v="26"/>
    <m/>
    <n v="26"/>
    <s v="   "/>
    <n v="0.65600000000000003"/>
  </r>
  <r>
    <x v="216"/>
    <s v="Lakewood School District"/>
    <s v="Personnel"/>
    <s v="H "/>
    <x v="1"/>
    <x v="29"/>
    <s v="PSES High Prog21Act26 S275"/>
    <x v="1"/>
    <s v="26"/>
    <m/>
    <n v="26"/>
    <s v="   "/>
    <n v="1.1659999999999999"/>
  </r>
  <r>
    <x v="216"/>
    <s v="Lakewood School District"/>
    <s v="Personnel"/>
    <s v="H "/>
    <x v="1"/>
    <x v="9"/>
    <s v="PSES High Prog01Act26 S275"/>
    <x v="0"/>
    <s v="26"/>
    <m/>
    <n v="26"/>
    <s v="   "/>
    <n v="2.6240000000000001"/>
  </r>
  <r>
    <x v="216"/>
    <s v="Lakewood School District"/>
    <s v="Personnel"/>
    <s v="E "/>
    <x v="0"/>
    <x v="15"/>
    <s v="PSES Elem Prog01Duty42 S275"/>
    <x v="0"/>
    <s v="42"/>
    <n v="42"/>
    <m/>
    <s v="   "/>
    <n v="3"/>
  </r>
  <r>
    <x v="216"/>
    <s v="Lakewood School District"/>
    <s v="Personnel"/>
    <s v="H "/>
    <x v="1"/>
    <x v="16"/>
    <s v="PSES High Prog01Duty42 S275"/>
    <x v="0"/>
    <s v="42"/>
    <n v="42"/>
    <m/>
    <s v="   "/>
    <n v="2"/>
  </r>
  <r>
    <x v="216"/>
    <s v="Lakewood School District"/>
    <s v="Personnel"/>
    <s v="M "/>
    <x v="2"/>
    <x v="17"/>
    <s v="PSES Mid Prog01Duty42 S275"/>
    <x v="0"/>
    <s v="42"/>
    <n v="42"/>
    <m/>
    <s v="   "/>
    <n v="1.5"/>
  </r>
  <r>
    <x v="216"/>
    <s v="Lakewood School District"/>
    <s v="Personnel"/>
    <s v="E "/>
    <x v="0"/>
    <x v="18"/>
    <s v="PSES Elem Prog21Duty43 S275"/>
    <x v="1"/>
    <s v="43"/>
    <n v="43"/>
    <m/>
    <s v="   "/>
    <n v="0.9"/>
  </r>
  <r>
    <x v="216"/>
    <s v="Lakewood School District"/>
    <s v="Personnel"/>
    <s v="E "/>
    <x v="0"/>
    <x v="20"/>
    <s v="PSES Elem Prog21Duty45 S275"/>
    <x v="1"/>
    <s v="45"/>
    <n v="45"/>
    <m/>
    <s v="   "/>
    <n v="1"/>
  </r>
  <r>
    <x v="216"/>
    <s v="Lakewood School District"/>
    <s v="Personnel"/>
    <s v="H "/>
    <x v="1"/>
    <x v="21"/>
    <s v="PSES High Prog21Duty45 S275"/>
    <x v="1"/>
    <s v="45"/>
    <n v="45"/>
    <m/>
    <s v="   "/>
    <n v="0.20499999999999999"/>
  </r>
  <r>
    <x v="216"/>
    <s v="Lakewood School District"/>
    <s v="Personnel"/>
    <s v="M "/>
    <x v="2"/>
    <x v="28"/>
    <s v="PSES Mid Prog21Duty45 S275"/>
    <x v="1"/>
    <s v="45"/>
    <n v="45"/>
    <m/>
    <s v="   "/>
    <n v="0.29499999999999998"/>
  </r>
  <r>
    <x v="216"/>
    <s v="Lakewood School District"/>
    <s v="Personnel"/>
    <s v="E "/>
    <x v="0"/>
    <x v="27"/>
    <s v="PSES Elem Prog01Duty47 S275"/>
    <x v="0"/>
    <s v="47"/>
    <n v="47"/>
    <m/>
    <s v="   "/>
    <n v="1"/>
  </r>
  <r>
    <x v="216"/>
    <s v="Lakewood School District"/>
    <s v="Personnel"/>
    <s v="E "/>
    <x v="0"/>
    <x v="35"/>
    <s v="PSES Elem Prog21Duty48 S275"/>
    <x v="1"/>
    <s v="48"/>
    <n v="48"/>
    <m/>
    <s v="   "/>
    <n v="0.4"/>
  </r>
  <r>
    <x v="217"/>
    <s v="Sultan School District"/>
    <s v="Personnel"/>
    <s v="H "/>
    <x v="1"/>
    <x v="1"/>
    <s v="PSES High Prog01Duty96 S275"/>
    <x v="0"/>
    <s v="24"/>
    <n v="96"/>
    <n v="24"/>
    <s v="   "/>
    <n v="1.63"/>
  </r>
  <r>
    <x v="217"/>
    <s v="Sultan School District"/>
    <s v="Personnel"/>
    <s v="H "/>
    <x v="1"/>
    <x v="5"/>
    <s v="PSES High Prog01Act25 S275"/>
    <x v="0"/>
    <s v="25"/>
    <m/>
    <n v="25"/>
    <s v="   "/>
    <n v="5.8000000000000003E-2"/>
  </r>
  <r>
    <x v="217"/>
    <s v="Sultan School District"/>
    <s v="Personnel"/>
    <s v="H "/>
    <x v="1"/>
    <x v="9"/>
    <s v="PSES High Prog01Act26 S275"/>
    <x v="0"/>
    <s v="26"/>
    <m/>
    <n v="26"/>
    <s v="   "/>
    <n v="1.081"/>
  </r>
  <r>
    <x v="217"/>
    <s v="Sultan School District"/>
    <s v="Personnel"/>
    <s v="E "/>
    <x v="0"/>
    <x v="15"/>
    <s v="PSES Elem Prog01Duty42 S275"/>
    <x v="0"/>
    <s v="42"/>
    <n v="42"/>
    <m/>
    <s v="   "/>
    <n v="2"/>
  </r>
  <r>
    <x v="217"/>
    <s v="Sultan School District"/>
    <s v="Personnel"/>
    <s v="H "/>
    <x v="1"/>
    <x v="16"/>
    <s v="PSES High Prog01Duty42 S275"/>
    <x v="0"/>
    <s v="42"/>
    <n v="42"/>
    <m/>
    <s v="   "/>
    <n v="1.9"/>
  </r>
  <r>
    <x v="217"/>
    <s v="Sultan School District"/>
    <s v="Personnel"/>
    <s v="E "/>
    <x v="0"/>
    <x v="18"/>
    <s v="PSES Elem Prog21Duty43 S275"/>
    <x v="1"/>
    <s v="43"/>
    <n v="43"/>
    <m/>
    <s v="   "/>
    <n v="1"/>
  </r>
  <r>
    <x v="217"/>
    <s v="Sultan School District"/>
    <s v="Personnel"/>
    <s v="E "/>
    <x v="0"/>
    <x v="20"/>
    <s v="PSES Elem Prog21Duty45 S275"/>
    <x v="1"/>
    <s v="45"/>
    <n v="45"/>
    <m/>
    <s v="   "/>
    <n v="2.4"/>
  </r>
  <r>
    <x v="217"/>
    <s v="Sultan School District"/>
    <s v="Personnel"/>
    <s v="H "/>
    <x v="1"/>
    <x v="21"/>
    <s v="PSES High Prog21Duty45 S275"/>
    <x v="1"/>
    <s v="45"/>
    <n v="45"/>
    <m/>
    <s v="   "/>
    <n v="1"/>
  </r>
  <r>
    <x v="217"/>
    <s v="Sultan School District"/>
    <s v="Personnel"/>
    <s v="E "/>
    <x v="0"/>
    <x v="22"/>
    <s v="PSES Elem Prog21Duty46 S275"/>
    <x v="1"/>
    <s v="46"/>
    <n v="46"/>
    <m/>
    <s v="   "/>
    <n v="1.012"/>
  </r>
  <r>
    <x v="217"/>
    <s v="Sultan School District"/>
    <s v="Personnel"/>
    <s v="H "/>
    <x v="1"/>
    <x v="23"/>
    <s v="PSES High Prog21Duty46 S275"/>
    <x v="1"/>
    <s v="46"/>
    <n v="46"/>
    <m/>
    <s v="   "/>
    <n v="0.156"/>
  </r>
  <r>
    <x v="217"/>
    <s v="Sultan School District"/>
    <s v="Personnel"/>
    <s v="M "/>
    <x v="2"/>
    <x v="24"/>
    <s v="PSES Mid Prog21Duty46 S275"/>
    <x v="1"/>
    <s v="46"/>
    <n v="46"/>
    <m/>
    <s v="   "/>
    <n v="8.3000000000000004E-2"/>
  </r>
  <r>
    <x v="218"/>
    <s v="Darrington School District"/>
    <s v="Personnel"/>
    <s v="H "/>
    <x v="1"/>
    <x v="5"/>
    <s v="PSES High Prog01Act25 S275"/>
    <x v="0"/>
    <s v="25"/>
    <m/>
    <n v="25"/>
    <s v="   "/>
    <n v="1.0840000000000001"/>
  </r>
  <r>
    <x v="218"/>
    <s v="Darrington School District"/>
    <s v="Personnel"/>
    <s v="H "/>
    <x v="1"/>
    <x v="29"/>
    <s v="PSES High Prog21Act26 S275"/>
    <x v="1"/>
    <s v="26"/>
    <m/>
    <n v="26"/>
    <s v="   "/>
    <n v="0.74"/>
  </r>
  <r>
    <x v="218"/>
    <s v="Darrington School District"/>
    <s v="Personnel"/>
    <s v="H "/>
    <x v="1"/>
    <x v="9"/>
    <s v="PSES High Prog01Act26 S275"/>
    <x v="0"/>
    <s v="26"/>
    <m/>
    <n v="26"/>
    <s v="   "/>
    <n v="0.23799999999999999"/>
  </r>
  <r>
    <x v="219"/>
    <s v="Granite Falls School District"/>
    <s v="Personnel"/>
    <s v="H "/>
    <x v="1"/>
    <x v="4"/>
    <s v="PSES High Prog21Act25 S275"/>
    <x v="1"/>
    <s v="25"/>
    <m/>
    <n v="25"/>
    <s v="   "/>
    <n v="0.80900000000000005"/>
  </r>
  <r>
    <x v="219"/>
    <s v="Granite Falls School District"/>
    <s v="Personnel"/>
    <s v="H "/>
    <x v="1"/>
    <x v="5"/>
    <s v="PSES High Prog01Act25 S275"/>
    <x v="0"/>
    <s v="25"/>
    <m/>
    <n v="25"/>
    <s v="   "/>
    <n v="7.0229999999999997"/>
  </r>
  <r>
    <x v="219"/>
    <s v="Granite Falls School District"/>
    <s v="Personnel"/>
    <s v="H "/>
    <x v="1"/>
    <x v="29"/>
    <s v="PSES High Prog21Act26 S275"/>
    <x v="1"/>
    <s v="26"/>
    <m/>
    <n v="26"/>
    <s v="   "/>
    <n v="2.278"/>
  </r>
  <r>
    <x v="219"/>
    <s v="Granite Falls School District"/>
    <s v="Personnel"/>
    <s v="H "/>
    <x v="1"/>
    <x v="9"/>
    <s v="PSES High Prog01Act26 S275"/>
    <x v="0"/>
    <s v="26"/>
    <m/>
    <n v="26"/>
    <s v="   "/>
    <n v="2.5710000000000002"/>
  </r>
  <r>
    <x v="219"/>
    <s v="Granite Falls School District"/>
    <s v="Personnel"/>
    <s v="E "/>
    <x v="0"/>
    <x v="15"/>
    <s v="PSES Elem Prog01Duty42 S275"/>
    <x v="0"/>
    <s v="42"/>
    <n v="42"/>
    <m/>
    <s v="   "/>
    <n v="2"/>
  </r>
  <r>
    <x v="219"/>
    <s v="Granite Falls School District"/>
    <s v="Personnel"/>
    <s v="H "/>
    <x v="1"/>
    <x v="16"/>
    <s v="PSES High Prog01Duty42 S275"/>
    <x v="0"/>
    <s v="42"/>
    <n v="42"/>
    <m/>
    <s v="   "/>
    <n v="1.5"/>
  </r>
  <r>
    <x v="219"/>
    <s v="Granite Falls School District"/>
    <s v="Personnel"/>
    <s v="M "/>
    <x v="2"/>
    <x v="17"/>
    <s v="PSES Mid Prog01Duty42 S275"/>
    <x v="0"/>
    <s v="42"/>
    <n v="42"/>
    <m/>
    <s v="   "/>
    <n v="0.75"/>
  </r>
  <r>
    <x v="219"/>
    <s v="Granite Falls School District"/>
    <s v="Personnel"/>
    <s v="H "/>
    <x v="1"/>
    <x v="23"/>
    <s v="PSES High Prog21Duty46 S275"/>
    <x v="1"/>
    <s v="46"/>
    <n v="46"/>
    <m/>
    <s v="   "/>
    <n v="1"/>
  </r>
  <r>
    <x v="219"/>
    <s v="Granite Falls School District"/>
    <s v="Personnel"/>
    <s v="E "/>
    <x v="0"/>
    <x v="32"/>
    <s v="PSES Elem Prog21Duty47 S275"/>
    <x v="1"/>
    <s v="47"/>
    <n v="47"/>
    <m/>
    <s v="   "/>
    <n v="0.443"/>
  </r>
  <r>
    <x v="219"/>
    <s v="Granite Falls School District"/>
    <s v="Personnel"/>
    <s v="E "/>
    <x v="0"/>
    <x v="27"/>
    <s v="PSES Elem Prog01Duty47 S275"/>
    <x v="0"/>
    <s v="47"/>
    <n v="47"/>
    <m/>
    <s v="   "/>
    <n v="0.443"/>
  </r>
  <r>
    <x v="219"/>
    <s v="Granite Falls School District"/>
    <s v="Personnel"/>
    <s v="H "/>
    <x v="1"/>
    <x v="61"/>
    <s v="PSES High Prog21Duty47 S275"/>
    <x v="1"/>
    <s v="47"/>
    <n v="47"/>
    <m/>
    <s v="   "/>
    <n v="2.2240000000000002"/>
  </r>
  <r>
    <x v="220"/>
    <s v="Stanwood-Camano School District"/>
    <s v="Personnel"/>
    <s v="E "/>
    <x v="0"/>
    <x v="3"/>
    <s v="PSES Elem Prog01Act25 S275"/>
    <x v="0"/>
    <s v="25"/>
    <m/>
    <n v="25"/>
    <s v="   "/>
    <n v="9.4570000000000007"/>
  </r>
  <r>
    <x v="220"/>
    <s v="Stanwood-Camano School District"/>
    <s v="Personnel"/>
    <s v="H "/>
    <x v="1"/>
    <x v="5"/>
    <s v="PSES High Prog01Act25 S275"/>
    <x v="0"/>
    <s v="25"/>
    <m/>
    <n v="25"/>
    <s v="   "/>
    <n v="2.4E-2"/>
  </r>
  <r>
    <x v="220"/>
    <s v="Stanwood-Camano School District"/>
    <s v="Personnel"/>
    <s v="M "/>
    <x v="2"/>
    <x v="6"/>
    <s v="PSES Mid Prog01Act25 S275"/>
    <x v="0"/>
    <s v="25"/>
    <m/>
    <n v="25"/>
    <s v="   "/>
    <n v="0.90700000000000003"/>
  </r>
  <r>
    <x v="220"/>
    <s v="Stanwood-Camano School District"/>
    <s v="Personnel"/>
    <s v="E "/>
    <x v="0"/>
    <x v="7"/>
    <s v="PSES Elem Prog21Act26 S275"/>
    <x v="1"/>
    <s v="26"/>
    <m/>
    <n v="26"/>
    <s v="   "/>
    <n v="1.0529999999999999"/>
  </r>
  <r>
    <x v="220"/>
    <s v="Stanwood-Camano School District"/>
    <s v="Personnel"/>
    <s v="E "/>
    <x v="0"/>
    <x v="8"/>
    <s v="PSES Elem Prog01Act26 S275"/>
    <x v="0"/>
    <s v="26"/>
    <m/>
    <n v="26"/>
    <s v="   "/>
    <n v="1.712"/>
  </r>
  <r>
    <x v="220"/>
    <s v="Stanwood-Camano School District"/>
    <s v="Personnel"/>
    <s v="H "/>
    <x v="1"/>
    <x v="29"/>
    <s v="PSES High Prog21Act26 S275"/>
    <x v="1"/>
    <s v="26"/>
    <m/>
    <n v="26"/>
    <s v="   "/>
    <n v="1.714"/>
  </r>
  <r>
    <x v="220"/>
    <s v="Stanwood-Camano School District"/>
    <s v="Personnel"/>
    <s v="H "/>
    <x v="1"/>
    <x v="9"/>
    <s v="PSES High Prog01Act26 S275"/>
    <x v="0"/>
    <s v="26"/>
    <m/>
    <n v="26"/>
    <s v="   "/>
    <n v="0.55400000000000005"/>
  </r>
  <r>
    <x v="220"/>
    <s v="Stanwood-Camano School District"/>
    <s v="Personnel"/>
    <s v="M "/>
    <x v="2"/>
    <x v="10"/>
    <s v="PSES Mid Prog21Act26 S275"/>
    <x v="1"/>
    <s v="26"/>
    <m/>
    <n v="26"/>
    <s v="   "/>
    <n v="0.56100000000000005"/>
  </r>
  <r>
    <x v="220"/>
    <s v="Stanwood-Camano School District"/>
    <s v="Personnel"/>
    <s v="M "/>
    <x v="2"/>
    <x v="11"/>
    <s v="PSES Mid Prog01Act26 S275"/>
    <x v="0"/>
    <s v="26"/>
    <m/>
    <n v="26"/>
    <s v="   "/>
    <n v="0.86699999999999999"/>
  </r>
  <r>
    <x v="220"/>
    <s v="Stanwood-Camano School District"/>
    <s v="Personnel"/>
    <s v="H "/>
    <x v="1"/>
    <x v="54"/>
    <s v="PSES High Prog01Act35 S275"/>
    <x v="0"/>
    <s v="35"/>
    <m/>
    <n v="35"/>
    <s v="   "/>
    <n v="0.64300000000000002"/>
  </r>
  <r>
    <x v="220"/>
    <s v="Stanwood-Camano School District"/>
    <s v="Personnel"/>
    <s v="E "/>
    <x v="0"/>
    <x v="15"/>
    <s v="PSES Elem Prog01Duty42 S275"/>
    <x v="0"/>
    <s v="42"/>
    <n v="42"/>
    <m/>
    <s v="   "/>
    <n v="4"/>
  </r>
  <r>
    <x v="220"/>
    <s v="Stanwood-Camano School District"/>
    <s v="Personnel"/>
    <s v="H "/>
    <x v="1"/>
    <x v="16"/>
    <s v="PSES High Prog01Duty42 S275"/>
    <x v="0"/>
    <s v="42"/>
    <n v="42"/>
    <m/>
    <s v="   "/>
    <n v="3.1"/>
  </r>
  <r>
    <x v="220"/>
    <s v="Stanwood-Camano School District"/>
    <s v="Personnel"/>
    <s v="M "/>
    <x v="2"/>
    <x v="17"/>
    <s v="PSES Mid Prog01Duty42 S275"/>
    <x v="0"/>
    <s v="42"/>
    <n v="42"/>
    <m/>
    <s v="   "/>
    <n v="2.5"/>
  </r>
  <r>
    <x v="220"/>
    <s v="Stanwood-Camano School District"/>
    <s v="Personnel"/>
    <s v="E "/>
    <x v="0"/>
    <x v="18"/>
    <s v="PSES Elem Prog21Duty43 S275"/>
    <x v="1"/>
    <s v="43"/>
    <n v="43"/>
    <m/>
    <s v="   "/>
    <n v="0.78300000000000003"/>
  </r>
  <r>
    <x v="220"/>
    <s v="Stanwood-Camano School District"/>
    <s v="Personnel"/>
    <s v="E "/>
    <x v="0"/>
    <x v="42"/>
    <s v="PSES Elem Prog01Duty44 S275"/>
    <x v="0"/>
    <s v="44"/>
    <n v="44"/>
    <m/>
    <s v="   "/>
    <n v="1"/>
  </r>
  <r>
    <x v="220"/>
    <s v="Stanwood-Camano School District"/>
    <s v="Personnel"/>
    <s v="E "/>
    <x v="0"/>
    <x v="20"/>
    <s v="PSES Elem Prog21Duty45 S275"/>
    <x v="1"/>
    <s v="45"/>
    <n v="45"/>
    <m/>
    <s v="   "/>
    <n v="3.44"/>
  </r>
  <r>
    <x v="220"/>
    <s v="Stanwood-Camano School District"/>
    <s v="Personnel"/>
    <s v="M "/>
    <x v="2"/>
    <x v="28"/>
    <s v="PSES Mid Prog21Duty45 S275"/>
    <x v="1"/>
    <s v="45"/>
    <n v="45"/>
    <m/>
    <s v="   "/>
    <n v="1.56"/>
  </r>
  <r>
    <x v="220"/>
    <s v="Stanwood-Camano School District"/>
    <s v="Personnel"/>
    <s v="E "/>
    <x v="0"/>
    <x v="22"/>
    <s v="PSES Elem Prog21Duty46 S275"/>
    <x v="1"/>
    <s v="46"/>
    <n v="46"/>
    <m/>
    <s v="   "/>
    <n v="3.4"/>
  </r>
  <r>
    <x v="220"/>
    <s v="Stanwood-Camano School District"/>
    <s v="Personnel"/>
    <s v="H "/>
    <x v="1"/>
    <x v="23"/>
    <s v="PSES High Prog21Duty46 S275"/>
    <x v="1"/>
    <s v="46"/>
    <n v="46"/>
    <m/>
    <s v="   "/>
    <n v="2"/>
  </r>
  <r>
    <x v="220"/>
    <s v="Stanwood-Camano School District"/>
    <s v="Personnel"/>
    <s v="M "/>
    <x v="2"/>
    <x v="24"/>
    <s v="PSES Mid Prog21Duty46 S275"/>
    <x v="1"/>
    <s v="46"/>
    <n v="46"/>
    <m/>
    <s v="   "/>
    <n v="1"/>
  </r>
  <r>
    <x v="220"/>
    <s v="Stanwood-Camano School District"/>
    <s v="Personnel"/>
    <s v="E "/>
    <x v="0"/>
    <x v="27"/>
    <s v="PSES Elem Prog01Duty47 S275"/>
    <x v="0"/>
    <s v="47"/>
    <n v="47"/>
    <m/>
    <s v="   "/>
    <n v="4.75"/>
  </r>
  <r>
    <x v="220"/>
    <s v="Stanwood-Camano School District"/>
    <s v="Personnel"/>
    <s v="M "/>
    <x v="2"/>
    <x v="34"/>
    <s v="PSES Mid Prog01Duty47 S275"/>
    <x v="0"/>
    <s v="47"/>
    <n v="47"/>
    <m/>
    <s v="   "/>
    <n v="1.6"/>
  </r>
  <r>
    <x v="220"/>
    <s v="Stanwood-Camano School District"/>
    <s v="Personnel"/>
    <s v="E "/>
    <x v="0"/>
    <x v="26"/>
    <s v="PSES Elem Prog21Duty49 S275"/>
    <x v="1"/>
    <s v="49"/>
    <n v="49"/>
    <m/>
    <s v="   "/>
    <n v="2"/>
  </r>
  <r>
    <x v="221"/>
    <s v="Spokane School District"/>
    <s v="Personnel"/>
    <s v="H "/>
    <x v="1"/>
    <x v="1"/>
    <s v="PSES High Prog01Duty96 S275"/>
    <x v="0"/>
    <s v="24"/>
    <n v="96"/>
    <n v="24"/>
    <s v="   "/>
    <n v="0.73099999999999998"/>
  </r>
  <r>
    <x v="221"/>
    <s v="Spokane School District"/>
    <s v="Personnel"/>
    <s v="H "/>
    <x v="1"/>
    <x v="5"/>
    <s v="PSES High Prog01Act25 S275"/>
    <x v="0"/>
    <s v="25"/>
    <m/>
    <n v="25"/>
    <s v="   "/>
    <n v="24.501999999999999"/>
  </r>
  <r>
    <x v="221"/>
    <s v="Spokane School District"/>
    <s v="Personnel"/>
    <s v="E "/>
    <x v="0"/>
    <x v="8"/>
    <s v="PSES Elem Prog01Act26 S275"/>
    <x v="0"/>
    <s v="26"/>
    <m/>
    <n v="26"/>
    <s v="   "/>
    <n v="11.13"/>
  </r>
  <r>
    <x v="221"/>
    <s v="Spokane School District"/>
    <s v="Personnel"/>
    <s v="H "/>
    <x v="1"/>
    <x v="29"/>
    <s v="PSES High Prog21Act26 S275"/>
    <x v="1"/>
    <s v="26"/>
    <m/>
    <n v="26"/>
    <s v="   "/>
    <n v="8.7789999999999999"/>
  </r>
  <r>
    <x v="221"/>
    <s v="Spokane School District"/>
    <s v="Personnel"/>
    <s v="H "/>
    <x v="1"/>
    <x v="9"/>
    <s v="PSES High Prog01Act26 S275"/>
    <x v="0"/>
    <s v="26"/>
    <m/>
    <n v="26"/>
    <s v="   "/>
    <n v="3.7629999999999999"/>
  </r>
  <r>
    <x v="221"/>
    <s v="Spokane School District"/>
    <s v="Personnel"/>
    <s v="M "/>
    <x v="2"/>
    <x v="11"/>
    <s v="PSES Mid Prog01Act26 S275"/>
    <x v="0"/>
    <s v="26"/>
    <m/>
    <n v="26"/>
    <s v="   "/>
    <n v="5.4569999999999999"/>
  </r>
  <r>
    <x v="221"/>
    <s v="Spokane School District"/>
    <s v="Personnel"/>
    <s v="E "/>
    <x v="0"/>
    <x v="62"/>
    <s v="PSES Elem Prog01Act35 S275"/>
    <x v="0"/>
    <s v="35"/>
    <m/>
    <n v="35"/>
    <s v="   "/>
    <n v="0.35499999999999998"/>
  </r>
  <r>
    <x v="221"/>
    <s v="Spokane School District"/>
    <s v="Personnel"/>
    <s v="H "/>
    <x v="1"/>
    <x v="54"/>
    <s v="PSES High Prog01Act35 S275"/>
    <x v="0"/>
    <s v="35"/>
    <m/>
    <n v="35"/>
    <s v="   "/>
    <n v="6.3890000000000002"/>
  </r>
  <r>
    <x v="221"/>
    <s v="Spokane School District"/>
    <s v="Personnel"/>
    <s v="M "/>
    <x v="2"/>
    <x v="63"/>
    <s v="PSES Mid Prog01Act35 S275"/>
    <x v="0"/>
    <s v="35"/>
    <m/>
    <n v="35"/>
    <s v="   "/>
    <n v="6.3289999999999997"/>
  </r>
  <r>
    <x v="221"/>
    <s v="Spokane School District"/>
    <s v="Personnel"/>
    <s v="E "/>
    <x v="0"/>
    <x v="14"/>
    <s v="PSES Elem Prog21Duty39 S275"/>
    <x v="1"/>
    <s v="39"/>
    <n v="39"/>
    <m/>
    <s v="   "/>
    <n v="2.59"/>
  </r>
  <r>
    <x v="221"/>
    <s v="Spokane School District"/>
    <s v="Personnel"/>
    <s v="H "/>
    <x v="1"/>
    <x v="83"/>
    <s v="PSES High Prog21Duty39 S275"/>
    <x v="1"/>
    <s v="39"/>
    <n v="39"/>
    <m/>
    <s v="   "/>
    <n v="1.4750000000000001"/>
  </r>
  <r>
    <x v="221"/>
    <s v="Spokane School District"/>
    <s v="Personnel"/>
    <s v="M "/>
    <x v="2"/>
    <x v="88"/>
    <s v="PSES Mid Prog21Duty39 S275"/>
    <x v="1"/>
    <s v="39"/>
    <n v="39"/>
    <m/>
    <s v="   "/>
    <n v="0.73799999999999999"/>
  </r>
  <r>
    <x v="221"/>
    <s v="Spokane School District"/>
    <s v="Personnel"/>
    <s v="E "/>
    <x v="0"/>
    <x v="15"/>
    <s v="PSES Elem Prog01Duty42 S275"/>
    <x v="0"/>
    <s v="42"/>
    <n v="42"/>
    <m/>
    <s v="   "/>
    <n v="33.729999999999997"/>
  </r>
  <r>
    <x v="221"/>
    <s v="Spokane School District"/>
    <s v="Personnel"/>
    <s v="H "/>
    <x v="1"/>
    <x v="16"/>
    <s v="PSES High Prog01Duty42 S275"/>
    <x v="0"/>
    <s v="42"/>
    <n v="42"/>
    <m/>
    <s v="   "/>
    <n v="30"/>
  </r>
  <r>
    <x v="221"/>
    <s v="Spokane School District"/>
    <s v="Personnel"/>
    <s v="M "/>
    <x v="2"/>
    <x v="17"/>
    <s v="PSES Mid Prog01Duty42 S275"/>
    <x v="0"/>
    <s v="42"/>
    <n v="42"/>
    <m/>
    <s v="   "/>
    <n v="18"/>
  </r>
  <r>
    <x v="221"/>
    <s v="Spokane School District"/>
    <s v="Personnel"/>
    <s v="E "/>
    <x v="0"/>
    <x v="18"/>
    <s v="PSES Elem Prog21Duty43 S275"/>
    <x v="1"/>
    <s v="43"/>
    <n v="43"/>
    <m/>
    <s v="   "/>
    <n v="7.335"/>
  </r>
  <r>
    <x v="221"/>
    <s v="Spokane School District"/>
    <s v="Personnel"/>
    <s v="E "/>
    <x v="0"/>
    <x v="69"/>
    <s v="PSES Elem Prog01Duty43 S275"/>
    <x v="0"/>
    <s v="43"/>
    <n v="43"/>
    <m/>
    <s v="   "/>
    <n v="0.33900000000000002"/>
  </r>
  <r>
    <x v="221"/>
    <s v="Spokane School District"/>
    <s v="Personnel"/>
    <s v="H "/>
    <x v="1"/>
    <x v="19"/>
    <s v="PSES High Prog21Duty43 S275"/>
    <x v="1"/>
    <s v="43"/>
    <n v="43"/>
    <m/>
    <s v="   "/>
    <n v="4.1859999999999999"/>
  </r>
  <r>
    <x v="221"/>
    <s v="Spokane School District"/>
    <s v="Personnel"/>
    <s v="H "/>
    <x v="1"/>
    <x v="73"/>
    <s v="PSES High Prog01Duty43 S275"/>
    <x v="0"/>
    <s v="43"/>
    <n v="43"/>
    <m/>
    <s v="   "/>
    <n v="0.188"/>
  </r>
  <r>
    <x v="221"/>
    <s v="Spokane School District"/>
    <s v="Personnel"/>
    <s v="M "/>
    <x v="2"/>
    <x v="31"/>
    <s v="PSES Mid Prog21Duty43 S275"/>
    <x v="1"/>
    <s v="43"/>
    <n v="43"/>
    <m/>
    <s v="   "/>
    <n v="2.0979999999999999"/>
  </r>
  <r>
    <x v="221"/>
    <s v="Spokane School District"/>
    <s v="Personnel"/>
    <s v="M "/>
    <x v="2"/>
    <x v="74"/>
    <s v="PSES Mid Prog01Duty43 S275"/>
    <x v="0"/>
    <s v="43"/>
    <n v="43"/>
    <m/>
    <s v="   "/>
    <n v="9.9000000000000005E-2"/>
  </r>
  <r>
    <x v="221"/>
    <s v="Spokane School District"/>
    <s v="Personnel"/>
    <s v="E "/>
    <x v="0"/>
    <x v="20"/>
    <s v="PSES Elem Prog21Duty45 S275"/>
    <x v="1"/>
    <s v="45"/>
    <n v="45"/>
    <m/>
    <s v="   "/>
    <n v="49.045000000000002"/>
  </r>
  <r>
    <x v="221"/>
    <s v="Spokane School District"/>
    <s v="Personnel"/>
    <s v="E "/>
    <x v="0"/>
    <x v="47"/>
    <s v="PSES Elem Prog01Duty45 S275"/>
    <x v="0"/>
    <s v="45"/>
    <n v="45"/>
    <m/>
    <s v="   "/>
    <n v="0.214"/>
  </r>
  <r>
    <x v="221"/>
    <s v="Spokane School District"/>
    <s v="Personnel"/>
    <s v="H "/>
    <x v="1"/>
    <x v="21"/>
    <s v="PSES High Prog21Duty45 S275"/>
    <x v="1"/>
    <s v="45"/>
    <n v="45"/>
    <m/>
    <s v="   "/>
    <n v="0.45800000000000002"/>
  </r>
  <r>
    <x v="221"/>
    <s v="Spokane School District"/>
    <s v="Personnel"/>
    <s v="H "/>
    <x v="1"/>
    <x v="51"/>
    <s v="PSES High Prog01Duty45 S275"/>
    <x v="0"/>
    <s v="45"/>
    <n v="45"/>
    <m/>
    <s v="   "/>
    <n v="0.124"/>
  </r>
  <r>
    <x v="221"/>
    <s v="Spokane School District"/>
    <s v="Personnel"/>
    <s v="M "/>
    <x v="2"/>
    <x v="28"/>
    <s v="PSES Mid Prog21Duty45 S275"/>
    <x v="1"/>
    <s v="45"/>
    <n v="45"/>
    <m/>
    <s v="   "/>
    <n v="0.82799999999999996"/>
  </r>
  <r>
    <x v="221"/>
    <s v="Spokane School District"/>
    <s v="Personnel"/>
    <s v="M "/>
    <x v="2"/>
    <x v="52"/>
    <s v="PSES Mid Prog01Duty45 S275"/>
    <x v="0"/>
    <s v="45"/>
    <n v="45"/>
    <m/>
    <s v="   "/>
    <n v="6.2E-2"/>
  </r>
  <r>
    <x v="221"/>
    <s v="Spokane School District"/>
    <s v="Personnel"/>
    <s v="E "/>
    <x v="0"/>
    <x v="22"/>
    <s v="PSES Elem Prog21Duty46 S275"/>
    <x v="1"/>
    <s v="46"/>
    <n v="46"/>
    <m/>
    <s v="   "/>
    <n v="16.672000000000001"/>
  </r>
  <r>
    <x v="221"/>
    <s v="Spokane School District"/>
    <s v="Personnel"/>
    <s v="H "/>
    <x v="1"/>
    <x v="23"/>
    <s v="PSES High Prog21Duty46 S275"/>
    <x v="1"/>
    <s v="46"/>
    <n v="46"/>
    <m/>
    <s v="   "/>
    <n v="6.383"/>
  </r>
  <r>
    <x v="221"/>
    <s v="Spokane School District"/>
    <s v="Personnel"/>
    <s v="M "/>
    <x v="2"/>
    <x v="24"/>
    <s v="PSES Mid Prog21Duty46 S275"/>
    <x v="1"/>
    <s v="46"/>
    <n v="46"/>
    <m/>
    <s v="   "/>
    <n v="6.88"/>
  </r>
  <r>
    <x v="221"/>
    <s v="Spokane School District"/>
    <s v="Personnel"/>
    <s v="E "/>
    <x v="0"/>
    <x v="32"/>
    <s v="PSES Elem Prog21Duty47 S275"/>
    <x v="1"/>
    <s v="47"/>
    <n v="47"/>
    <m/>
    <s v="   "/>
    <n v="0.17799999999999999"/>
  </r>
  <r>
    <x v="221"/>
    <s v="Spokane School District"/>
    <s v="Personnel"/>
    <s v="E "/>
    <x v="0"/>
    <x v="27"/>
    <s v="PSES Elem Prog01Duty47 S275"/>
    <x v="0"/>
    <s v="47"/>
    <n v="47"/>
    <m/>
    <s v="   "/>
    <n v="5.7309999999999999"/>
  </r>
  <r>
    <x v="221"/>
    <s v="Spokane School District"/>
    <s v="Personnel"/>
    <s v="H "/>
    <x v="1"/>
    <x v="61"/>
    <s v="PSES High Prog21Duty47 S275"/>
    <x v="1"/>
    <s v="47"/>
    <n v="47"/>
    <m/>
    <s v="   "/>
    <n v="0.10299999999999999"/>
  </r>
  <r>
    <x v="221"/>
    <s v="Spokane School District"/>
    <s v="Personnel"/>
    <s v="H "/>
    <x v="1"/>
    <x v="25"/>
    <s v="PSES High Prog01Duty47 S275"/>
    <x v="0"/>
    <s v="47"/>
    <n v="47"/>
    <m/>
    <s v="   "/>
    <n v="3.2789999999999999"/>
  </r>
  <r>
    <x v="221"/>
    <s v="Spokane School District"/>
    <s v="Personnel"/>
    <s v="M "/>
    <x v="2"/>
    <x v="33"/>
    <s v="PSES Mid Prog21Duty47 S275"/>
    <x v="1"/>
    <s v="47"/>
    <n v="47"/>
    <m/>
    <s v="   "/>
    <n v="0.05"/>
  </r>
  <r>
    <x v="221"/>
    <s v="Spokane School District"/>
    <s v="Personnel"/>
    <s v="M "/>
    <x v="2"/>
    <x v="34"/>
    <s v="PSES Mid Prog01Duty47 S275"/>
    <x v="0"/>
    <s v="47"/>
    <n v="47"/>
    <m/>
    <s v="   "/>
    <n v="1.6339999999999999"/>
  </r>
  <r>
    <x v="221"/>
    <s v="Spokane School District"/>
    <s v="Personnel"/>
    <s v="E "/>
    <x v="0"/>
    <x v="35"/>
    <s v="PSES Elem Prog21Duty48 S275"/>
    <x v="1"/>
    <s v="48"/>
    <n v="48"/>
    <m/>
    <s v="   "/>
    <n v="3.7669999999999999"/>
  </r>
  <r>
    <x v="221"/>
    <s v="Spokane School District"/>
    <s v="Personnel"/>
    <s v="E "/>
    <x v="0"/>
    <x v="90"/>
    <s v="PSES Elem Prog01Duty48 S275"/>
    <x v="0"/>
    <s v="48"/>
    <n v="48"/>
    <m/>
    <s v="   "/>
    <n v="0.20899999999999999"/>
  </r>
  <r>
    <x v="221"/>
    <s v="Spokane School District"/>
    <s v="Personnel"/>
    <s v="H "/>
    <x v="1"/>
    <x v="36"/>
    <s v="PSES High Prog21Duty48 S275"/>
    <x v="1"/>
    <s v="48"/>
    <n v="48"/>
    <m/>
    <s v="   "/>
    <n v="2.149"/>
  </r>
  <r>
    <x v="221"/>
    <s v="Spokane School District"/>
    <s v="Personnel"/>
    <s v="H "/>
    <x v="1"/>
    <x v="91"/>
    <s v="PSES High Prog01Duty48 S275"/>
    <x v="0"/>
    <s v="48"/>
    <n v="48"/>
    <m/>
    <s v="   "/>
    <n v="0.11700000000000001"/>
  </r>
  <r>
    <x v="221"/>
    <s v="Spokane School District"/>
    <s v="Personnel"/>
    <s v="M "/>
    <x v="2"/>
    <x v="37"/>
    <s v="PSES Mid Prog21Duty48 S275"/>
    <x v="1"/>
    <s v="48"/>
    <n v="48"/>
    <m/>
    <s v="   "/>
    <n v="1.0780000000000001"/>
  </r>
  <r>
    <x v="221"/>
    <s v="Spokane School District"/>
    <s v="Personnel"/>
    <s v="M "/>
    <x v="2"/>
    <x v="92"/>
    <s v="PSES Mid Prog01Duty48 S275"/>
    <x v="0"/>
    <s v="48"/>
    <n v="48"/>
    <m/>
    <s v="   "/>
    <n v="6.3E-2"/>
  </r>
  <r>
    <x v="222"/>
    <s v="Orchard Prairie School District"/>
    <s v="Personnel"/>
    <s v="H "/>
    <x v="1"/>
    <x v="1"/>
    <s v="PSES High Prog01Duty96 S275"/>
    <x v="0"/>
    <s v="24"/>
    <n v="96"/>
    <n v="24"/>
    <s v="   "/>
    <n v="0.13700000000000001"/>
  </r>
  <r>
    <x v="222"/>
    <s v="Orchard Prairie School District"/>
    <s v="Personnel"/>
    <s v="H "/>
    <x v="1"/>
    <x v="9"/>
    <s v="PSES High Prog01Act26 S275"/>
    <x v="0"/>
    <s v="26"/>
    <m/>
    <n v="26"/>
    <s v="   "/>
    <n v="7.6999999999999999E-2"/>
  </r>
  <r>
    <x v="223"/>
    <s v="Great Northern School District"/>
    <s v="Personnel"/>
    <s v="H "/>
    <x v="1"/>
    <x v="9"/>
    <s v="PSES High Prog01Act26 S275"/>
    <x v="0"/>
    <s v="26"/>
    <m/>
    <n v="26"/>
    <s v="   "/>
    <n v="0.28799999999999998"/>
  </r>
  <r>
    <x v="224"/>
    <s v="Nine Mile Falls School District"/>
    <s v="Personnel"/>
    <s v="E "/>
    <x v="0"/>
    <x v="3"/>
    <s v="PSES Elem Prog01Act25 S275"/>
    <x v="0"/>
    <s v="25"/>
    <m/>
    <n v="25"/>
    <s v="   "/>
    <n v="1.696"/>
  </r>
  <r>
    <x v="224"/>
    <s v="Nine Mile Falls School District"/>
    <s v="Personnel"/>
    <s v="M "/>
    <x v="2"/>
    <x v="6"/>
    <s v="PSES Mid Prog01Act25 S275"/>
    <x v="0"/>
    <s v="25"/>
    <m/>
    <n v="25"/>
    <s v="   "/>
    <n v="0.24199999999999999"/>
  </r>
  <r>
    <x v="224"/>
    <s v="Nine Mile Falls School District"/>
    <s v="Personnel"/>
    <s v="E "/>
    <x v="0"/>
    <x v="7"/>
    <s v="PSES Elem Prog21Act26 S275"/>
    <x v="1"/>
    <s v="26"/>
    <m/>
    <n v="26"/>
    <s v="   "/>
    <n v="0.77700000000000002"/>
  </r>
  <r>
    <x v="224"/>
    <s v="Nine Mile Falls School District"/>
    <s v="Personnel"/>
    <s v="H "/>
    <x v="1"/>
    <x v="9"/>
    <s v="PSES High Prog01Act26 S275"/>
    <x v="0"/>
    <s v="26"/>
    <m/>
    <n v="26"/>
    <s v="   "/>
    <n v="0.59099999999999997"/>
  </r>
  <r>
    <x v="224"/>
    <s v="Nine Mile Falls School District"/>
    <s v="Personnel"/>
    <s v="M "/>
    <x v="2"/>
    <x v="10"/>
    <s v="PSES Mid Prog21Act26 S275"/>
    <x v="1"/>
    <s v="26"/>
    <m/>
    <n v="26"/>
    <s v="   "/>
    <n v="0.185"/>
  </r>
  <r>
    <x v="224"/>
    <s v="Nine Mile Falls School District"/>
    <s v="Personnel"/>
    <s v="E "/>
    <x v="0"/>
    <x v="15"/>
    <s v="PSES Elem Prog01Duty42 S275"/>
    <x v="0"/>
    <s v="42"/>
    <n v="42"/>
    <m/>
    <s v="   "/>
    <n v="2"/>
  </r>
  <r>
    <x v="224"/>
    <s v="Nine Mile Falls School District"/>
    <s v="Personnel"/>
    <s v="H "/>
    <x v="1"/>
    <x v="16"/>
    <s v="PSES High Prog01Duty42 S275"/>
    <x v="0"/>
    <s v="42"/>
    <n v="42"/>
    <m/>
    <s v="   "/>
    <n v="1.4"/>
  </r>
  <r>
    <x v="224"/>
    <s v="Nine Mile Falls School District"/>
    <s v="Personnel"/>
    <s v="E "/>
    <x v="0"/>
    <x v="42"/>
    <s v="PSES Elem Prog01Duty44 S275"/>
    <x v="0"/>
    <s v="44"/>
    <n v="44"/>
    <m/>
    <s v="   "/>
    <n v="0.33300000000000002"/>
  </r>
  <r>
    <x v="224"/>
    <s v="Nine Mile Falls School District"/>
    <s v="Personnel"/>
    <s v="M "/>
    <x v="2"/>
    <x v="46"/>
    <s v="PSES Mid Prog01Duty44 S275"/>
    <x v="0"/>
    <s v="44"/>
    <n v="44"/>
    <m/>
    <s v="   "/>
    <n v="0.66700000000000004"/>
  </r>
  <r>
    <x v="224"/>
    <s v="Nine Mile Falls School District"/>
    <s v="Personnel"/>
    <s v="E "/>
    <x v="0"/>
    <x v="20"/>
    <s v="PSES Elem Prog21Duty45 S275"/>
    <x v="1"/>
    <s v="45"/>
    <n v="45"/>
    <m/>
    <s v="   "/>
    <n v="0.8"/>
  </r>
  <r>
    <x v="224"/>
    <s v="Nine Mile Falls School District"/>
    <s v="Personnel"/>
    <s v="E "/>
    <x v="0"/>
    <x v="22"/>
    <s v="PSES Elem Prog21Duty46 S275"/>
    <x v="1"/>
    <s v="46"/>
    <n v="46"/>
    <m/>
    <s v="   "/>
    <n v="1"/>
  </r>
  <r>
    <x v="224"/>
    <s v="Nine Mile Falls School District"/>
    <s v="Personnel"/>
    <s v="E "/>
    <x v="0"/>
    <x v="27"/>
    <s v="PSES Elem Prog01Duty47 S275"/>
    <x v="0"/>
    <s v="47"/>
    <n v="47"/>
    <m/>
    <s v="   "/>
    <n v="1.05"/>
  </r>
  <r>
    <x v="224"/>
    <s v="Nine Mile Falls School District"/>
    <s v="Personnel"/>
    <s v="H "/>
    <x v="1"/>
    <x v="25"/>
    <s v="PSES High Prog01Duty47 S275"/>
    <x v="0"/>
    <s v="47"/>
    <n v="47"/>
    <m/>
    <s v="   "/>
    <n v="0.76"/>
  </r>
  <r>
    <x v="224"/>
    <s v="Nine Mile Falls School District"/>
    <s v="Personnel"/>
    <s v="M "/>
    <x v="2"/>
    <x v="34"/>
    <s v="PSES Mid Prog01Duty47 S275"/>
    <x v="0"/>
    <s v="47"/>
    <n v="47"/>
    <m/>
    <s v="   "/>
    <n v="0.19"/>
  </r>
  <r>
    <x v="225"/>
    <s v="Medical Lake School District"/>
    <s v="Personnel"/>
    <s v="H "/>
    <x v="1"/>
    <x v="5"/>
    <s v="PSES High Prog01Act25 S275"/>
    <x v="0"/>
    <s v="25"/>
    <m/>
    <n v="25"/>
    <s v="   "/>
    <n v="0.63900000000000001"/>
  </r>
  <r>
    <x v="225"/>
    <s v="Medical Lake School District"/>
    <s v="Personnel"/>
    <s v="E "/>
    <x v="0"/>
    <x v="8"/>
    <s v="PSES Elem Prog01Act26 S275"/>
    <x v="0"/>
    <s v="26"/>
    <m/>
    <n v="26"/>
    <s v="   "/>
    <n v="1.3720000000000001"/>
  </r>
  <r>
    <x v="225"/>
    <s v="Medical Lake School District"/>
    <s v="Personnel"/>
    <s v="H "/>
    <x v="1"/>
    <x v="29"/>
    <s v="PSES High Prog21Act26 S275"/>
    <x v="1"/>
    <s v="26"/>
    <m/>
    <n v="26"/>
    <s v="   "/>
    <n v="0.68500000000000005"/>
  </r>
  <r>
    <x v="225"/>
    <s v="Medical Lake School District"/>
    <s v="Personnel"/>
    <s v="H "/>
    <x v="1"/>
    <x v="9"/>
    <s v="PSES High Prog01Act26 S275"/>
    <x v="0"/>
    <s v="26"/>
    <m/>
    <n v="26"/>
    <s v="   "/>
    <n v="1.7310000000000001"/>
  </r>
  <r>
    <x v="225"/>
    <s v="Medical Lake School District"/>
    <s v="Personnel"/>
    <s v="E "/>
    <x v="0"/>
    <x v="15"/>
    <s v="PSES Elem Prog01Duty42 S275"/>
    <x v="0"/>
    <s v="42"/>
    <n v="42"/>
    <m/>
    <s v="   "/>
    <n v="2"/>
  </r>
  <r>
    <x v="225"/>
    <s v="Medical Lake School District"/>
    <s v="Personnel"/>
    <s v="H "/>
    <x v="1"/>
    <x v="16"/>
    <s v="PSES High Prog01Duty42 S275"/>
    <x v="0"/>
    <s v="42"/>
    <n v="42"/>
    <m/>
    <s v="   "/>
    <n v="1.5"/>
  </r>
  <r>
    <x v="225"/>
    <s v="Medical Lake School District"/>
    <s v="Personnel"/>
    <s v="M "/>
    <x v="2"/>
    <x v="17"/>
    <s v="PSES Mid Prog01Duty42 S275"/>
    <x v="0"/>
    <s v="42"/>
    <n v="42"/>
    <m/>
    <s v="   "/>
    <n v="1.5"/>
  </r>
  <r>
    <x v="225"/>
    <s v="Medical Lake School District"/>
    <s v="Personnel"/>
    <s v="E "/>
    <x v="0"/>
    <x v="18"/>
    <s v="PSES Elem Prog21Duty43 S275"/>
    <x v="1"/>
    <s v="43"/>
    <n v="43"/>
    <m/>
    <s v="   "/>
    <n v="0.92"/>
  </r>
  <r>
    <x v="225"/>
    <s v="Medical Lake School District"/>
    <s v="Personnel"/>
    <s v="E "/>
    <x v="0"/>
    <x v="20"/>
    <s v="PSES Elem Prog21Duty45 S275"/>
    <x v="1"/>
    <s v="45"/>
    <n v="45"/>
    <m/>
    <s v="   "/>
    <n v="2.6859999999999999"/>
  </r>
  <r>
    <x v="225"/>
    <s v="Medical Lake School District"/>
    <s v="Personnel"/>
    <s v="H "/>
    <x v="1"/>
    <x v="23"/>
    <s v="PSES High Prog21Duty46 S275"/>
    <x v="1"/>
    <s v="46"/>
    <n v="46"/>
    <m/>
    <s v="   "/>
    <n v="0.92"/>
  </r>
  <r>
    <x v="225"/>
    <s v="Medical Lake School District"/>
    <s v="Personnel"/>
    <s v="M "/>
    <x v="2"/>
    <x v="24"/>
    <s v="PSES Mid Prog21Duty46 S275"/>
    <x v="1"/>
    <s v="46"/>
    <n v="46"/>
    <m/>
    <s v="   "/>
    <n v="1"/>
  </r>
  <r>
    <x v="225"/>
    <s v="Medical Lake School District"/>
    <s v="Personnel"/>
    <s v="E "/>
    <x v="0"/>
    <x v="27"/>
    <s v="PSES Elem Prog01Duty47 S275"/>
    <x v="0"/>
    <s v="47"/>
    <n v="47"/>
    <m/>
    <s v="   "/>
    <n v="1"/>
  </r>
  <r>
    <x v="226"/>
    <s v="Mead School District"/>
    <s v="Personnel"/>
    <s v="H "/>
    <x v="1"/>
    <x v="5"/>
    <s v="PSES High Prog01Act25 S275"/>
    <x v="0"/>
    <s v="25"/>
    <m/>
    <n v="25"/>
    <s v="   "/>
    <n v="0.123"/>
  </r>
  <r>
    <x v="226"/>
    <s v="Mead School District"/>
    <s v="Personnel"/>
    <s v="H "/>
    <x v="1"/>
    <x v="29"/>
    <s v="PSES High Prog21Act26 S275"/>
    <x v="1"/>
    <s v="26"/>
    <m/>
    <n v="26"/>
    <s v="   "/>
    <n v="4.085"/>
  </r>
  <r>
    <x v="226"/>
    <s v="Mead School District"/>
    <s v="Personnel"/>
    <s v="H "/>
    <x v="1"/>
    <x v="9"/>
    <s v="PSES High Prog01Act26 S275"/>
    <x v="0"/>
    <s v="26"/>
    <m/>
    <n v="26"/>
    <s v="   "/>
    <n v="8.9"/>
  </r>
  <r>
    <x v="226"/>
    <s v="Mead School District"/>
    <s v="Personnel"/>
    <s v="E "/>
    <x v="0"/>
    <x v="76"/>
    <s v="PSES Elem Prog21Duty42 S275"/>
    <x v="1"/>
    <s v="42"/>
    <n v="42"/>
    <m/>
    <s v="   "/>
    <n v="0.53800000000000003"/>
  </r>
  <r>
    <x v="226"/>
    <s v="Mead School District"/>
    <s v="Personnel"/>
    <s v="E "/>
    <x v="0"/>
    <x v="15"/>
    <s v="PSES Elem Prog01Duty42 S275"/>
    <x v="0"/>
    <s v="42"/>
    <n v="42"/>
    <m/>
    <s v="   "/>
    <n v="3"/>
  </r>
  <r>
    <x v="226"/>
    <s v="Mead School District"/>
    <s v="Personnel"/>
    <s v="H "/>
    <x v="1"/>
    <x v="16"/>
    <s v="PSES High Prog01Duty42 S275"/>
    <x v="0"/>
    <s v="42"/>
    <n v="42"/>
    <m/>
    <s v="   "/>
    <n v="8"/>
  </r>
  <r>
    <x v="226"/>
    <s v="Mead School District"/>
    <s v="Personnel"/>
    <s v="M "/>
    <x v="2"/>
    <x v="17"/>
    <s v="PSES Mid Prog01Duty42 S275"/>
    <x v="0"/>
    <s v="42"/>
    <n v="42"/>
    <m/>
    <s v="   "/>
    <n v="2"/>
  </r>
  <r>
    <x v="226"/>
    <s v="Mead School District"/>
    <s v="Personnel"/>
    <s v="E "/>
    <x v="0"/>
    <x v="18"/>
    <s v="PSES Elem Prog21Duty43 S275"/>
    <x v="1"/>
    <s v="43"/>
    <n v="43"/>
    <m/>
    <s v="   "/>
    <n v="7.7779999999999996"/>
  </r>
  <r>
    <x v="226"/>
    <s v="Mead School District"/>
    <s v="Personnel"/>
    <s v="H "/>
    <x v="1"/>
    <x v="19"/>
    <s v="PSES High Prog21Duty43 S275"/>
    <x v="1"/>
    <s v="43"/>
    <n v="43"/>
    <m/>
    <s v="   "/>
    <n v="0.91100000000000003"/>
  </r>
  <r>
    <x v="226"/>
    <s v="Mead School District"/>
    <s v="Personnel"/>
    <s v="M "/>
    <x v="2"/>
    <x v="31"/>
    <s v="PSES Mid Prog21Duty43 S275"/>
    <x v="1"/>
    <s v="43"/>
    <n v="43"/>
    <m/>
    <s v="   "/>
    <n v="1.111"/>
  </r>
  <r>
    <x v="226"/>
    <s v="Mead School District"/>
    <s v="Personnel"/>
    <s v="E "/>
    <x v="0"/>
    <x v="42"/>
    <s v="PSES Elem Prog01Duty44 S275"/>
    <x v="0"/>
    <s v="44"/>
    <n v="44"/>
    <m/>
    <s v="   "/>
    <n v="8"/>
  </r>
  <r>
    <x v="226"/>
    <s v="Mead School District"/>
    <s v="Personnel"/>
    <s v="E "/>
    <x v="0"/>
    <x v="20"/>
    <s v="PSES Elem Prog21Duty45 S275"/>
    <x v="1"/>
    <s v="45"/>
    <n v="45"/>
    <m/>
    <s v="   "/>
    <n v="15.456"/>
  </r>
  <r>
    <x v="226"/>
    <s v="Mead School District"/>
    <s v="Personnel"/>
    <s v="H "/>
    <x v="1"/>
    <x v="21"/>
    <s v="PSES High Prog21Duty45 S275"/>
    <x v="1"/>
    <s v="45"/>
    <n v="45"/>
    <m/>
    <s v="   "/>
    <n v="2.2000000000000002"/>
  </r>
  <r>
    <x v="226"/>
    <s v="Mead School District"/>
    <s v="Personnel"/>
    <s v="M "/>
    <x v="2"/>
    <x v="28"/>
    <s v="PSES Mid Prog21Duty45 S275"/>
    <x v="1"/>
    <s v="45"/>
    <n v="45"/>
    <m/>
    <s v="   "/>
    <n v="1.8340000000000001"/>
  </r>
  <r>
    <x v="226"/>
    <s v="Mead School District"/>
    <s v="Personnel"/>
    <s v="E "/>
    <x v="0"/>
    <x v="22"/>
    <s v="PSES Elem Prog21Duty46 S275"/>
    <x v="1"/>
    <s v="46"/>
    <n v="46"/>
    <m/>
    <s v="   "/>
    <n v="6.7549999999999999"/>
  </r>
  <r>
    <x v="226"/>
    <s v="Mead School District"/>
    <s v="Personnel"/>
    <s v="H "/>
    <x v="1"/>
    <x v="23"/>
    <s v="PSES High Prog21Duty46 S275"/>
    <x v="1"/>
    <s v="46"/>
    <n v="46"/>
    <m/>
    <s v="   "/>
    <n v="3.8849999999999998"/>
  </r>
  <r>
    <x v="226"/>
    <s v="Mead School District"/>
    <s v="Personnel"/>
    <s v="M "/>
    <x v="2"/>
    <x v="24"/>
    <s v="PSES Mid Prog21Duty46 S275"/>
    <x v="1"/>
    <s v="46"/>
    <n v="46"/>
    <m/>
    <s v="   "/>
    <n v="1.6"/>
  </r>
  <r>
    <x v="226"/>
    <s v="Mead School District"/>
    <s v="Personnel"/>
    <s v="E "/>
    <x v="0"/>
    <x v="27"/>
    <s v="PSES Elem Prog01Duty47 S275"/>
    <x v="0"/>
    <s v="47"/>
    <n v="47"/>
    <m/>
    <s v="   "/>
    <n v="4.1970000000000001"/>
  </r>
  <r>
    <x v="226"/>
    <s v="Mead School District"/>
    <s v="Personnel"/>
    <s v="H "/>
    <x v="1"/>
    <x v="25"/>
    <s v="PSES High Prog01Duty47 S275"/>
    <x v="0"/>
    <s v="47"/>
    <n v="47"/>
    <m/>
    <s v="   "/>
    <n v="1.595"/>
  </r>
  <r>
    <x v="226"/>
    <s v="Mead School District"/>
    <s v="Personnel"/>
    <s v="M "/>
    <x v="2"/>
    <x v="34"/>
    <s v="PSES Mid Prog01Duty47 S275"/>
    <x v="0"/>
    <s v="47"/>
    <n v="47"/>
    <m/>
    <s v="   "/>
    <n v="0.5"/>
  </r>
  <r>
    <x v="226"/>
    <s v="Mead School District"/>
    <s v="Personnel"/>
    <s v="E "/>
    <x v="0"/>
    <x v="35"/>
    <s v="PSES Elem Prog21Duty48 S275"/>
    <x v="1"/>
    <s v="48"/>
    <n v="48"/>
    <m/>
    <s v="   "/>
    <n v="4.7809999999999997"/>
  </r>
  <r>
    <x v="226"/>
    <s v="Mead School District"/>
    <s v="Personnel"/>
    <s v="E "/>
    <x v="0"/>
    <x v="90"/>
    <s v="PSES Elem Prog01Duty48 S275"/>
    <x v="0"/>
    <s v="48"/>
    <n v="48"/>
    <m/>
    <s v="   "/>
    <n v="0.45600000000000002"/>
  </r>
  <r>
    <x v="226"/>
    <s v="Mead School District"/>
    <s v="Personnel"/>
    <s v="H "/>
    <x v="1"/>
    <x v="36"/>
    <s v="PSES High Prog21Duty48 S275"/>
    <x v="1"/>
    <s v="48"/>
    <n v="48"/>
    <m/>
    <s v="   "/>
    <n v="0.41599999999999998"/>
  </r>
  <r>
    <x v="226"/>
    <s v="Mead School District"/>
    <s v="Personnel"/>
    <s v="H "/>
    <x v="1"/>
    <x v="91"/>
    <s v="PSES High Prog01Duty48 S275"/>
    <x v="0"/>
    <s v="48"/>
    <n v="48"/>
    <m/>
    <s v="   "/>
    <n v="3.5999999999999997E-2"/>
  </r>
  <r>
    <x v="226"/>
    <s v="Mead School District"/>
    <s v="Personnel"/>
    <s v="M "/>
    <x v="2"/>
    <x v="37"/>
    <s v="PSES Mid Prog21Duty48 S275"/>
    <x v="1"/>
    <s v="48"/>
    <n v="48"/>
    <m/>
    <s v="   "/>
    <n v="0.81699999999999995"/>
  </r>
  <r>
    <x v="226"/>
    <s v="Mead School District"/>
    <s v="Personnel"/>
    <s v="M "/>
    <x v="2"/>
    <x v="92"/>
    <s v="PSES Mid Prog01Duty48 S275"/>
    <x v="0"/>
    <s v="48"/>
    <n v="48"/>
    <m/>
    <s v="   "/>
    <n v="3.5999999999999997E-2"/>
  </r>
  <r>
    <x v="227"/>
    <s v="Central Valley School District"/>
    <s v="Personnel"/>
    <s v="H "/>
    <x v="1"/>
    <x v="5"/>
    <s v="PSES High Prog01Act25 S275"/>
    <x v="0"/>
    <s v="25"/>
    <m/>
    <n v="25"/>
    <s v="   "/>
    <n v="35.451000000000001"/>
  </r>
  <r>
    <x v="227"/>
    <s v="Central Valley School District"/>
    <s v="Personnel"/>
    <s v="H "/>
    <x v="1"/>
    <x v="29"/>
    <s v="PSES High Prog21Act26 S275"/>
    <x v="1"/>
    <s v="26"/>
    <m/>
    <n v="26"/>
    <s v="   "/>
    <n v="1.304"/>
  </r>
  <r>
    <x v="227"/>
    <s v="Central Valley School District"/>
    <s v="Personnel"/>
    <s v="H "/>
    <x v="1"/>
    <x v="9"/>
    <s v="PSES High Prog01Act26 S275"/>
    <x v="0"/>
    <s v="26"/>
    <m/>
    <n v="26"/>
    <s v="   "/>
    <n v="5.8220000000000001"/>
  </r>
  <r>
    <x v="227"/>
    <s v="Central Valley School District"/>
    <s v="Personnel"/>
    <s v="H "/>
    <x v="1"/>
    <x v="54"/>
    <s v="PSES High Prog01Act35 S275"/>
    <x v="0"/>
    <s v="35"/>
    <m/>
    <n v="35"/>
    <s v="   "/>
    <n v="2.9239999999999999"/>
  </r>
  <r>
    <x v="227"/>
    <s v="Central Valley School District"/>
    <s v="Personnel"/>
    <s v="E "/>
    <x v="0"/>
    <x v="14"/>
    <s v="PSES Elem Prog21Duty39 S275"/>
    <x v="1"/>
    <s v="39"/>
    <n v="39"/>
    <m/>
    <s v="   "/>
    <n v="1.03"/>
  </r>
  <r>
    <x v="227"/>
    <s v="Central Valley School District"/>
    <s v="Personnel"/>
    <s v="H "/>
    <x v="1"/>
    <x v="83"/>
    <s v="PSES High Prog21Duty39 S275"/>
    <x v="1"/>
    <s v="39"/>
    <n v="39"/>
    <m/>
    <s v="   "/>
    <n v="0.5"/>
  </r>
  <r>
    <x v="227"/>
    <s v="Central Valley School District"/>
    <s v="Personnel"/>
    <s v="M "/>
    <x v="2"/>
    <x v="88"/>
    <s v="PSES Mid Prog21Duty39 S275"/>
    <x v="1"/>
    <s v="39"/>
    <n v="39"/>
    <m/>
    <s v="   "/>
    <n v="0.47"/>
  </r>
  <r>
    <x v="227"/>
    <s v="Central Valley School District"/>
    <s v="Personnel"/>
    <s v="E "/>
    <x v="0"/>
    <x v="76"/>
    <s v="PSES Elem Prog21Duty42 S275"/>
    <x v="1"/>
    <s v="42"/>
    <n v="42"/>
    <m/>
    <s v="   "/>
    <n v="0.5"/>
  </r>
  <r>
    <x v="227"/>
    <s v="Central Valley School District"/>
    <s v="Personnel"/>
    <s v="E "/>
    <x v="0"/>
    <x v="15"/>
    <s v="PSES Elem Prog01Duty42 S275"/>
    <x v="0"/>
    <s v="42"/>
    <n v="42"/>
    <m/>
    <s v="   "/>
    <n v="16.899999999999999"/>
  </r>
  <r>
    <x v="227"/>
    <s v="Central Valley School District"/>
    <s v="Personnel"/>
    <s v="H "/>
    <x v="1"/>
    <x v="16"/>
    <s v="PSES High Prog01Duty42 S275"/>
    <x v="0"/>
    <s v="42"/>
    <n v="42"/>
    <m/>
    <s v="   "/>
    <n v="13.334"/>
  </r>
  <r>
    <x v="227"/>
    <s v="Central Valley School District"/>
    <s v="Personnel"/>
    <s v="M "/>
    <x v="2"/>
    <x v="75"/>
    <s v="PSES Mid Prog21Duty42 S275"/>
    <x v="1"/>
    <s v="42"/>
    <n v="42"/>
    <m/>
    <s v="   "/>
    <n v="0.5"/>
  </r>
  <r>
    <x v="227"/>
    <s v="Central Valley School District"/>
    <s v="Personnel"/>
    <s v="M "/>
    <x v="2"/>
    <x v="17"/>
    <s v="PSES Mid Prog01Duty42 S275"/>
    <x v="0"/>
    <s v="42"/>
    <n v="42"/>
    <m/>
    <s v="   "/>
    <n v="5.2439999999999998"/>
  </r>
  <r>
    <x v="227"/>
    <s v="Central Valley School District"/>
    <s v="Personnel"/>
    <s v="E "/>
    <x v="0"/>
    <x v="18"/>
    <s v="PSES Elem Prog21Duty43 S275"/>
    <x v="1"/>
    <s v="43"/>
    <n v="43"/>
    <m/>
    <s v="   "/>
    <n v="6.3"/>
  </r>
  <r>
    <x v="227"/>
    <s v="Central Valley School District"/>
    <s v="Personnel"/>
    <s v="H "/>
    <x v="1"/>
    <x v="19"/>
    <s v="PSES High Prog21Duty43 S275"/>
    <x v="1"/>
    <s v="43"/>
    <n v="43"/>
    <m/>
    <s v="   "/>
    <n v="3.15"/>
  </r>
  <r>
    <x v="227"/>
    <s v="Central Valley School District"/>
    <s v="Personnel"/>
    <s v="M "/>
    <x v="2"/>
    <x v="31"/>
    <s v="PSES Mid Prog21Duty43 S275"/>
    <x v="1"/>
    <s v="43"/>
    <n v="43"/>
    <m/>
    <s v="   "/>
    <n v="3.15"/>
  </r>
  <r>
    <x v="227"/>
    <s v="Central Valley School District"/>
    <s v="Personnel"/>
    <s v="E "/>
    <x v="0"/>
    <x v="20"/>
    <s v="PSES Elem Prog21Duty45 S275"/>
    <x v="1"/>
    <s v="45"/>
    <n v="45"/>
    <m/>
    <s v="   "/>
    <n v="18.5"/>
  </r>
  <r>
    <x v="227"/>
    <s v="Central Valley School District"/>
    <s v="Personnel"/>
    <s v="H "/>
    <x v="1"/>
    <x v="21"/>
    <s v="PSES High Prog21Duty45 S275"/>
    <x v="1"/>
    <s v="45"/>
    <n v="45"/>
    <m/>
    <s v="   "/>
    <n v="1.5"/>
  </r>
  <r>
    <x v="227"/>
    <s v="Central Valley School District"/>
    <s v="Personnel"/>
    <s v="M "/>
    <x v="2"/>
    <x v="28"/>
    <s v="PSES Mid Prog21Duty45 S275"/>
    <x v="1"/>
    <s v="45"/>
    <n v="45"/>
    <m/>
    <s v="   "/>
    <n v="3.2"/>
  </r>
  <r>
    <x v="227"/>
    <s v="Central Valley School District"/>
    <s v="Personnel"/>
    <s v="E "/>
    <x v="0"/>
    <x v="22"/>
    <s v="PSES Elem Prog21Duty46 S275"/>
    <x v="1"/>
    <s v="46"/>
    <n v="46"/>
    <m/>
    <s v="   "/>
    <n v="7"/>
  </r>
  <r>
    <x v="227"/>
    <s v="Central Valley School District"/>
    <s v="Personnel"/>
    <s v="H "/>
    <x v="1"/>
    <x v="23"/>
    <s v="PSES High Prog21Duty46 S275"/>
    <x v="1"/>
    <s v="46"/>
    <n v="46"/>
    <m/>
    <s v="   "/>
    <n v="3.33"/>
  </r>
  <r>
    <x v="227"/>
    <s v="Central Valley School District"/>
    <s v="Personnel"/>
    <s v="M "/>
    <x v="2"/>
    <x v="24"/>
    <s v="PSES Mid Prog21Duty46 S275"/>
    <x v="1"/>
    <s v="46"/>
    <n v="46"/>
    <m/>
    <s v="   "/>
    <n v="3.67"/>
  </r>
  <r>
    <x v="227"/>
    <s v="Central Valley School District"/>
    <s v="Personnel"/>
    <s v="E "/>
    <x v="0"/>
    <x v="27"/>
    <s v="PSES Elem Prog01Duty47 S275"/>
    <x v="0"/>
    <s v="47"/>
    <n v="47"/>
    <m/>
    <s v="   "/>
    <n v="5.3440000000000003"/>
  </r>
  <r>
    <x v="227"/>
    <s v="Central Valley School District"/>
    <s v="Personnel"/>
    <s v="H "/>
    <x v="1"/>
    <x v="25"/>
    <s v="PSES High Prog01Duty47 S275"/>
    <x v="0"/>
    <s v="47"/>
    <n v="47"/>
    <m/>
    <s v="   "/>
    <n v="5.484"/>
  </r>
  <r>
    <x v="227"/>
    <s v="Central Valley School District"/>
    <s v="Personnel"/>
    <s v="M "/>
    <x v="2"/>
    <x v="34"/>
    <s v="PSES Mid Prog01Duty47 S275"/>
    <x v="0"/>
    <s v="47"/>
    <n v="47"/>
    <m/>
    <s v="   "/>
    <n v="6.6619999999999999"/>
  </r>
  <r>
    <x v="227"/>
    <s v="Central Valley School District"/>
    <s v="Personnel"/>
    <s v="E "/>
    <x v="0"/>
    <x v="35"/>
    <s v="PSES Elem Prog21Duty48 S275"/>
    <x v="1"/>
    <s v="48"/>
    <n v="48"/>
    <m/>
    <s v="   "/>
    <n v="2.6"/>
  </r>
  <r>
    <x v="227"/>
    <s v="Central Valley School District"/>
    <s v="Personnel"/>
    <s v="H "/>
    <x v="1"/>
    <x v="36"/>
    <s v="PSES High Prog21Duty48 S275"/>
    <x v="1"/>
    <s v="48"/>
    <n v="48"/>
    <m/>
    <s v="   "/>
    <n v="1.3"/>
  </r>
  <r>
    <x v="227"/>
    <s v="Central Valley School District"/>
    <s v="Personnel"/>
    <s v="M "/>
    <x v="2"/>
    <x v="37"/>
    <s v="PSES Mid Prog21Duty48 S275"/>
    <x v="1"/>
    <s v="48"/>
    <n v="48"/>
    <m/>
    <s v="   "/>
    <n v="1.3"/>
  </r>
  <r>
    <x v="228"/>
    <s v="Freeman School District"/>
    <s v="Personnel"/>
    <s v="E "/>
    <x v="0"/>
    <x v="15"/>
    <s v="PSES Elem Prog01Duty42 S275"/>
    <x v="0"/>
    <s v="42"/>
    <n v="42"/>
    <m/>
    <s v="   "/>
    <n v="0.7"/>
  </r>
  <r>
    <x v="228"/>
    <s v="Freeman School District"/>
    <s v="Personnel"/>
    <s v="H "/>
    <x v="1"/>
    <x v="16"/>
    <s v="PSES High Prog01Duty42 S275"/>
    <x v="0"/>
    <s v="42"/>
    <n v="42"/>
    <m/>
    <s v="   "/>
    <n v="1"/>
  </r>
  <r>
    <x v="228"/>
    <s v="Freeman School District"/>
    <s v="Personnel"/>
    <s v="M "/>
    <x v="2"/>
    <x v="17"/>
    <s v="PSES Mid Prog01Duty42 S275"/>
    <x v="0"/>
    <s v="42"/>
    <n v="42"/>
    <m/>
    <s v="   "/>
    <n v="0.24"/>
  </r>
  <r>
    <x v="228"/>
    <s v="Freeman School District"/>
    <s v="Personnel"/>
    <s v="E "/>
    <x v="0"/>
    <x v="20"/>
    <s v="PSES Elem Prog21Duty45 S275"/>
    <x v="1"/>
    <s v="45"/>
    <n v="45"/>
    <m/>
    <s v="   "/>
    <n v="1"/>
  </r>
  <r>
    <x v="228"/>
    <s v="Freeman School District"/>
    <s v="Personnel"/>
    <s v="E "/>
    <x v="0"/>
    <x v="22"/>
    <s v="PSES Elem Prog21Duty46 S275"/>
    <x v="1"/>
    <s v="46"/>
    <n v="46"/>
    <m/>
    <s v="   "/>
    <n v="0.5"/>
  </r>
  <r>
    <x v="228"/>
    <s v="Freeman School District"/>
    <s v="Personnel"/>
    <s v="H "/>
    <x v="1"/>
    <x v="23"/>
    <s v="PSES High Prog21Duty46 S275"/>
    <x v="1"/>
    <s v="46"/>
    <n v="46"/>
    <m/>
    <s v="   "/>
    <n v="0.70599999999999996"/>
  </r>
  <r>
    <x v="228"/>
    <s v="Freeman School District"/>
    <s v="Personnel"/>
    <s v="E "/>
    <x v="0"/>
    <x v="27"/>
    <s v="PSES Elem Prog01Duty47 S275"/>
    <x v="0"/>
    <s v="47"/>
    <n v="47"/>
    <m/>
    <s v="   "/>
    <n v="0.39900000000000002"/>
  </r>
  <r>
    <x v="228"/>
    <s v="Freeman School District"/>
    <s v="Personnel"/>
    <s v="H "/>
    <x v="1"/>
    <x v="25"/>
    <s v="PSES High Prog01Duty47 S275"/>
    <x v="0"/>
    <s v="47"/>
    <n v="47"/>
    <m/>
    <s v="   "/>
    <n v="0.39900000000000002"/>
  </r>
  <r>
    <x v="228"/>
    <s v="Freeman School District"/>
    <s v="Personnel"/>
    <s v="E "/>
    <x v="0"/>
    <x v="38"/>
    <s v="PSES Elem Prog21Duty64 S275"/>
    <x v="1"/>
    <s v="64"/>
    <n v="64"/>
    <m/>
    <s v="   "/>
    <n v="1.1439999999999999"/>
  </r>
  <r>
    <x v="228"/>
    <s v="Freeman School District"/>
    <s v="Personnel"/>
    <s v="H "/>
    <x v="1"/>
    <x v="59"/>
    <s v="PSES High Prog21Duty64 S275"/>
    <x v="1"/>
    <s v="64"/>
    <n v="64"/>
    <m/>
    <s v="   "/>
    <n v="0.14299999999999999"/>
  </r>
  <r>
    <x v="228"/>
    <s v="Freeman School District"/>
    <s v="Personnel"/>
    <s v="M "/>
    <x v="2"/>
    <x v="60"/>
    <s v="PSES Mid Prog21Duty64 S275"/>
    <x v="1"/>
    <s v="64"/>
    <n v="64"/>
    <m/>
    <s v="   "/>
    <n v="0.14299999999999999"/>
  </r>
  <r>
    <x v="229"/>
    <s v="Cheney School District"/>
    <s v="Personnel"/>
    <s v="H "/>
    <x v="1"/>
    <x v="4"/>
    <s v="PSES High Prog21Act25 S275"/>
    <x v="1"/>
    <s v="25"/>
    <m/>
    <n v="25"/>
    <s v="   "/>
    <n v="2.42"/>
  </r>
  <r>
    <x v="229"/>
    <s v="Cheney School District"/>
    <s v="Personnel"/>
    <s v="H "/>
    <x v="1"/>
    <x v="5"/>
    <s v="PSES High Prog01Act25 S275"/>
    <x v="0"/>
    <s v="25"/>
    <m/>
    <n v="25"/>
    <s v="   "/>
    <n v="6.9169999999999998"/>
  </r>
  <r>
    <x v="229"/>
    <s v="Cheney School District"/>
    <s v="Personnel"/>
    <s v="H "/>
    <x v="1"/>
    <x v="9"/>
    <s v="PSES High Prog01Act26 S275"/>
    <x v="0"/>
    <s v="26"/>
    <m/>
    <n v="26"/>
    <s v="   "/>
    <n v="5.9690000000000003"/>
  </r>
  <r>
    <x v="229"/>
    <s v="Cheney School District"/>
    <s v="Personnel"/>
    <s v="E "/>
    <x v="0"/>
    <x v="76"/>
    <s v="PSES Elem Prog21Duty42 S275"/>
    <x v="1"/>
    <s v="42"/>
    <n v="42"/>
    <m/>
    <s v="   "/>
    <n v="1"/>
  </r>
  <r>
    <x v="229"/>
    <s v="Cheney School District"/>
    <s v="Personnel"/>
    <s v="E "/>
    <x v="0"/>
    <x v="15"/>
    <s v="PSES Elem Prog01Duty42 S275"/>
    <x v="0"/>
    <s v="42"/>
    <n v="42"/>
    <m/>
    <s v="   "/>
    <n v="5"/>
  </r>
  <r>
    <x v="229"/>
    <s v="Cheney School District"/>
    <s v="Personnel"/>
    <s v="H "/>
    <x v="1"/>
    <x v="16"/>
    <s v="PSES High Prog01Duty42 S275"/>
    <x v="0"/>
    <s v="42"/>
    <n v="42"/>
    <m/>
    <s v="   "/>
    <n v="3.391"/>
  </r>
  <r>
    <x v="229"/>
    <s v="Cheney School District"/>
    <s v="Personnel"/>
    <s v="M "/>
    <x v="2"/>
    <x v="75"/>
    <s v="PSES Mid Prog21Duty42 S275"/>
    <x v="1"/>
    <s v="42"/>
    <n v="42"/>
    <m/>
    <s v="   "/>
    <n v="1"/>
  </r>
  <r>
    <x v="229"/>
    <s v="Cheney School District"/>
    <s v="Personnel"/>
    <s v="M "/>
    <x v="2"/>
    <x v="17"/>
    <s v="PSES Mid Prog01Duty42 S275"/>
    <x v="0"/>
    <s v="42"/>
    <n v="42"/>
    <m/>
    <s v="   "/>
    <n v="4"/>
  </r>
  <r>
    <x v="229"/>
    <s v="Cheney School District"/>
    <s v="Personnel"/>
    <s v="E "/>
    <x v="0"/>
    <x v="18"/>
    <s v="PSES Elem Prog21Duty43 S275"/>
    <x v="1"/>
    <s v="43"/>
    <n v="43"/>
    <m/>
    <s v="   "/>
    <n v="4.83"/>
  </r>
  <r>
    <x v="229"/>
    <s v="Cheney School District"/>
    <s v="Personnel"/>
    <s v="E "/>
    <x v="0"/>
    <x v="20"/>
    <s v="PSES Elem Prog21Duty45 S275"/>
    <x v="1"/>
    <s v="45"/>
    <n v="45"/>
    <m/>
    <s v="   "/>
    <n v="10.5"/>
  </r>
  <r>
    <x v="229"/>
    <s v="Cheney School District"/>
    <s v="Personnel"/>
    <s v="H "/>
    <x v="1"/>
    <x v="21"/>
    <s v="PSES High Prog21Duty45 S275"/>
    <x v="1"/>
    <s v="45"/>
    <n v="45"/>
    <m/>
    <s v="   "/>
    <n v="0.7"/>
  </r>
  <r>
    <x v="229"/>
    <s v="Cheney School District"/>
    <s v="Personnel"/>
    <s v="M "/>
    <x v="2"/>
    <x v="28"/>
    <s v="PSES Mid Prog21Duty45 S275"/>
    <x v="1"/>
    <s v="45"/>
    <n v="45"/>
    <m/>
    <s v="   "/>
    <n v="1.8"/>
  </r>
  <r>
    <x v="229"/>
    <s v="Cheney School District"/>
    <s v="Personnel"/>
    <s v="E "/>
    <x v="0"/>
    <x v="22"/>
    <s v="PSES Elem Prog21Duty46 S275"/>
    <x v="1"/>
    <s v="46"/>
    <n v="46"/>
    <m/>
    <s v="   "/>
    <n v="3.8"/>
  </r>
  <r>
    <x v="229"/>
    <s v="Cheney School District"/>
    <s v="Personnel"/>
    <s v="H "/>
    <x v="1"/>
    <x v="23"/>
    <s v="PSES High Prog21Duty46 S275"/>
    <x v="1"/>
    <s v="46"/>
    <n v="46"/>
    <m/>
    <s v="   "/>
    <n v="0.4"/>
  </r>
  <r>
    <x v="229"/>
    <s v="Cheney School District"/>
    <s v="Personnel"/>
    <s v="M "/>
    <x v="2"/>
    <x v="24"/>
    <s v="PSES Mid Prog21Duty46 S275"/>
    <x v="1"/>
    <s v="46"/>
    <n v="46"/>
    <m/>
    <s v="   "/>
    <n v="1.8"/>
  </r>
  <r>
    <x v="229"/>
    <s v="Cheney School District"/>
    <s v="Personnel"/>
    <s v="E "/>
    <x v="0"/>
    <x v="27"/>
    <s v="PSES Elem Prog01Duty47 S275"/>
    <x v="0"/>
    <s v="47"/>
    <n v="47"/>
    <m/>
    <s v="   "/>
    <n v="3.3"/>
  </r>
  <r>
    <x v="229"/>
    <s v="Cheney School District"/>
    <s v="Personnel"/>
    <s v="H "/>
    <x v="1"/>
    <x v="25"/>
    <s v="PSES High Prog01Duty47 S275"/>
    <x v="0"/>
    <s v="47"/>
    <n v="47"/>
    <m/>
    <s v="   "/>
    <n v="2.2000000000000002"/>
  </r>
  <r>
    <x v="229"/>
    <s v="Cheney School District"/>
    <s v="Personnel"/>
    <s v="M "/>
    <x v="2"/>
    <x v="34"/>
    <s v="PSES Mid Prog01Duty47 S275"/>
    <x v="0"/>
    <s v="47"/>
    <n v="47"/>
    <m/>
    <s v="   "/>
    <n v="1.5"/>
  </r>
  <r>
    <x v="229"/>
    <s v="Cheney School District"/>
    <s v="Personnel"/>
    <s v="E "/>
    <x v="0"/>
    <x v="35"/>
    <s v="PSES Elem Prog21Duty48 S275"/>
    <x v="1"/>
    <s v="48"/>
    <n v="48"/>
    <m/>
    <s v="   "/>
    <n v="2"/>
  </r>
  <r>
    <x v="229"/>
    <s v="Cheney School District"/>
    <s v="Personnel"/>
    <s v="M "/>
    <x v="2"/>
    <x v="37"/>
    <s v="PSES Mid Prog21Duty48 S275"/>
    <x v="1"/>
    <s v="48"/>
    <n v="48"/>
    <m/>
    <s v="   "/>
    <n v="1"/>
  </r>
  <r>
    <x v="230"/>
    <s v="East Valley School District (Spokane)"/>
    <s v="Personnel"/>
    <s v="E "/>
    <x v="0"/>
    <x v="3"/>
    <s v="PSES Elem Prog01Act25 S275"/>
    <x v="0"/>
    <s v="25"/>
    <m/>
    <n v="25"/>
    <s v="   "/>
    <n v="5.7089999999999996"/>
  </r>
  <r>
    <x v="230"/>
    <s v="East Valley School District (Spokane)"/>
    <s v="Personnel"/>
    <s v="H "/>
    <x v="1"/>
    <x v="4"/>
    <s v="PSES High Prog21Act25 S275"/>
    <x v="1"/>
    <s v="25"/>
    <m/>
    <n v="25"/>
    <s v="   "/>
    <n v="3.45"/>
  </r>
  <r>
    <x v="230"/>
    <s v="East Valley School District (Spokane)"/>
    <s v="Personnel"/>
    <s v="H "/>
    <x v="1"/>
    <x v="5"/>
    <s v="PSES High Prog01Act25 S275"/>
    <x v="0"/>
    <s v="25"/>
    <m/>
    <n v="25"/>
    <s v="   "/>
    <n v="0.50900000000000001"/>
  </r>
  <r>
    <x v="230"/>
    <s v="East Valley School District (Spokane)"/>
    <s v="Personnel"/>
    <s v="M "/>
    <x v="2"/>
    <x v="6"/>
    <s v="PSES Mid Prog01Act25 S275"/>
    <x v="0"/>
    <s v="25"/>
    <m/>
    <n v="25"/>
    <s v="   "/>
    <n v="0.70499999999999996"/>
  </r>
  <r>
    <x v="230"/>
    <s v="East Valley School District (Spokane)"/>
    <s v="Personnel"/>
    <s v="E "/>
    <x v="0"/>
    <x v="7"/>
    <s v="PSES Elem Prog21Act26 S275"/>
    <x v="1"/>
    <s v="26"/>
    <m/>
    <n v="26"/>
    <s v="   "/>
    <n v="1.236"/>
  </r>
  <r>
    <x v="230"/>
    <s v="East Valley School District (Spokane)"/>
    <s v="Personnel"/>
    <s v="E "/>
    <x v="0"/>
    <x v="8"/>
    <s v="PSES Elem Prog01Act26 S275"/>
    <x v="0"/>
    <s v="26"/>
    <m/>
    <n v="26"/>
    <s v="   "/>
    <n v="3.512"/>
  </r>
  <r>
    <x v="230"/>
    <s v="East Valley School District (Spokane)"/>
    <s v="Personnel"/>
    <s v="H "/>
    <x v="1"/>
    <x v="29"/>
    <s v="PSES High Prog21Act26 S275"/>
    <x v="1"/>
    <s v="26"/>
    <m/>
    <n v="26"/>
    <s v="   "/>
    <n v="0.64300000000000002"/>
  </r>
  <r>
    <x v="230"/>
    <s v="East Valley School District (Spokane)"/>
    <s v="Personnel"/>
    <s v="H "/>
    <x v="1"/>
    <x v="9"/>
    <s v="PSES High Prog01Act26 S275"/>
    <x v="0"/>
    <s v="26"/>
    <m/>
    <n v="26"/>
    <s v="   "/>
    <n v="1.4339999999999999"/>
  </r>
  <r>
    <x v="230"/>
    <s v="East Valley School District (Spokane)"/>
    <s v="Personnel"/>
    <s v="M "/>
    <x v="2"/>
    <x v="11"/>
    <s v="PSES Mid Prog01Act26 S275"/>
    <x v="0"/>
    <s v="26"/>
    <m/>
    <n v="26"/>
    <s v="   "/>
    <n v="0.66500000000000004"/>
  </r>
  <r>
    <x v="230"/>
    <s v="East Valley School District (Spokane)"/>
    <s v="Personnel"/>
    <s v="H "/>
    <x v="1"/>
    <x v="54"/>
    <s v="PSES High Prog01Act35 S275"/>
    <x v="0"/>
    <s v="35"/>
    <m/>
    <n v="35"/>
    <s v="   "/>
    <n v="0.73499999999999999"/>
  </r>
  <r>
    <x v="230"/>
    <s v="East Valley School District (Spokane)"/>
    <s v="Personnel"/>
    <s v="M "/>
    <x v="2"/>
    <x v="63"/>
    <s v="PSES Mid Prog01Act35 S275"/>
    <x v="0"/>
    <s v="35"/>
    <m/>
    <n v="35"/>
    <s v="   "/>
    <n v="0.73499999999999999"/>
  </r>
  <r>
    <x v="230"/>
    <s v="East Valley School District (Spokane)"/>
    <s v="Personnel"/>
    <s v="E "/>
    <x v="0"/>
    <x v="15"/>
    <s v="PSES Elem Prog01Duty42 S275"/>
    <x v="0"/>
    <s v="42"/>
    <n v="42"/>
    <m/>
    <s v="   "/>
    <n v="4.5"/>
  </r>
  <r>
    <x v="230"/>
    <s v="East Valley School District (Spokane)"/>
    <s v="Personnel"/>
    <s v="H "/>
    <x v="1"/>
    <x v="16"/>
    <s v="PSES High Prog01Duty42 S275"/>
    <x v="0"/>
    <s v="42"/>
    <n v="42"/>
    <m/>
    <s v="   "/>
    <n v="2"/>
  </r>
  <r>
    <x v="230"/>
    <s v="East Valley School District (Spokane)"/>
    <s v="Personnel"/>
    <s v="M "/>
    <x v="2"/>
    <x v="17"/>
    <s v="PSES Mid Prog01Duty42 S275"/>
    <x v="0"/>
    <s v="42"/>
    <n v="42"/>
    <m/>
    <s v="   "/>
    <n v="1"/>
  </r>
  <r>
    <x v="230"/>
    <s v="East Valley School District (Spokane)"/>
    <s v="Personnel"/>
    <s v="E "/>
    <x v="0"/>
    <x v="18"/>
    <s v="PSES Elem Prog21Duty43 S275"/>
    <x v="1"/>
    <s v="43"/>
    <n v="43"/>
    <m/>
    <s v="   "/>
    <n v="4"/>
  </r>
  <r>
    <x v="230"/>
    <s v="East Valley School District (Spokane)"/>
    <s v="Personnel"/>
    <s v="E "/>
    <x v="0"/>
    <x v="20"/>
    <s v="PSES Elem Prog21Duty45 S275"/>
    <x v="1"/>
    <s v="45"/>
    <n v="45"/>
    <m/>
    <s v="   "/>
    <n v="7"/>
  </r>
  <r>
    <x v="230"/>
    <s v="East Valley School District (Spokane)"/>
    <s v="Personnel"/>
    <s v="H "/>
    <x v="1"/>
    <x v="21"/>
    <s v="PSES High Prog21Duty45 S275"/>
    <x v="1"/>
    <s v="45"/>
    <n v="45"/>
    <m/>
    <s v="   "/>
    <n v="0.499"/>
  </r>
  <r>
    <x v="230"/>
    <s v="East Valley School District (Spokane)"/>
    <s v="Personnel"/>
    <s v="M "/>
    <x v="2"/>
    <x v="28"/>
    <s v="PSES Mid Prog21Duty45 S275"/>
    <x v="1"/>
    <s v="45"/>
    <n v="45"/>
    <m/>
    <s v="   "/>
    <n v="1.5009999999999999"/>
  </r>
  <r>
    <x v="230"/>
    <s v="East Valley School District (Spokane)"/>
    <s v="Personnel"/>
    <s v="E "/>
    <x v="0"/>
    <x v="22"/>
    <s v="PSES Elem Prog21Duty46 S275"/>
    <x v="1"/>
    <s v="46"/>
    <n v="46"/>
    <m/>
    <s v="   "/>
    <n v="5"/>
  </r>
  <r>
    <x v="230"/>
    <s v="East Valley School District (Spokane)"/>
    <s v="Personnel"/>
    <s v="H "/>
    <x v="1"/>
    <x v="23"/>
    <s v="PSES High Prog21Duty46 S275"/>
    <x v="1"/>
    <s v="46"/>
    <n v="46"/>
    <m/>
    <s v="   "/>
    <n v="1"/>
  </r>
  <r>
    <x v="230"/>
    <s v="East Valley School District (Spokane)"/>
    <s v="Personnel"/>
    <s v="H "/>
    <x v="1"/>
    <x v="25"/>
    <s v="PSES High Prog01Duty47 S275"/>
    <x v="0"/>
    <s v="47"/>
    <n v="47"/>
    <m/>
    <s v="   "/>
    <n v="1"/>
  </r>
  <r>
    <x v="230"/>
    <s v="East Valley School District (Spokane)"/>
    <s v="Personnel"/>
    <s v="M "/>
    <x v="2"/>
    <x v="34"/>
    <s v="PSES Mid Prog01Duty47 S275"/>
    <x v="0"/>
    <s v="47"/>
    <n v="47"/>
    <m/>
    <s v="   "/>
    <n v="1.7"/>
  </r>
  <r>
    <x v="230"/>
    <s v="East Valley School District (Spokane)"/>
    <s v="Personnel"/>
    <s v="E "/>
    <x v="0"/>
    <x v="35"/>
    <s v="PSES Elem Prog21Duty48 S275"/>
    <x v="1"/>
    <s v="48"/>
    <n v="48"/>
    <m/>
    <s v="   "/>
    <n v="1"/>
  </r>
  <r>
    <x v="231"/>
    <s v="Liberty School District"/>
    <s v="Personnel"/>
    <s v="E "/>
    <x v="0"/>
    <x v="3"/>
    <s v="PSES Elem Prog01Act25 S275"/>
    <x v="0"/>
    <s v="25"/>
    <m/>
    <n v="25"/>
    <s v="   "/>
    <n v="0.65600000000000003"/>
  </r>
  <r>
    <x v="231"/>
    <s v="Liberty School District"/>
    <s v="Personnel"/>
    <s v="H "/>
    <x v="1"/>
    <x v="5"/>
    <s v="PSES High Prog01Act25 S275"/>
    <x v="0"/>
    <s v="25"/>
    <m/>
    <n v="25"/>
    <s v="   "/>
    <n v="0.19900000000000001"/>
  </r>
  <r>
    <x v="231"/>
    <s v="Liberty School District"/>
    <s v="Personnel"/>
    <s v="M "/>
    <x v="2"/>
    <x v="6"/>
    <s v="PSES Mid Prog01Act25 S275"/>
    <x v="0"/>
    <s v="25"/>
    <m/>
    <n v="25"/>
    <s v="   "/>
    <n v="0.311"/>
  </r>
  <r>
    <x v="231"/>
    <s v="Liberty School District"/>
    <s v="Personnel"/>
    <s v="E "/>
    <x v="0"/>
    <x v="15"/>
    <s v="PSES Elem Prog01Duty42 S275"/>
    <x v="0"/>
    <s v="42"/>
    <n v="42"/>
    <m/>
    <s v="   "/>
    <n v="0.9"/>
  </r>
  <r>
    <x v="231"/>
    <s v="Liberty School District"/>
    <s v="Personnel"/>
    <s v="H "/>
    <x v="1"/>
    <x v="16"/>
    <s v="PSES High Prog01Duty42 S275"/>
    <x v="0"/>
    <s v="42"/>
    <n v="42"/>
    <m/>
    <s v="   "/>
    <n v="1.167"/>
  </r>
  <r>
    <x v="231"/>
    <s v="Liberty School District"/>
    <s v="Personnel"/>
    <s v="M "/>
    <x v="2"/>
    <x v="17"/>
    <s v="PSES Mid Prog01Duty42 S275"/>
    <x v="0"/>
    <s v="42"/>
    <n v="42"/>
    <m/>
    <s v="   "/>
    <n v="0.1"/>
  </r>
  <r>
    <x v="231"/>
    <s v="Liberty School District"/>
    <s v="Personnel"/>
    <s v="H "/>
    <x v="1"/>
    <x v="23"/>
    <s v="PSES High Prog21Duty46 S275"/>
    <x v="1"/>
    <s v="46"/>
    <n v="46"/>
    <m/>
    <s v="   "/>
    <n v="0.6"/>
  </r>
  <r>
    <x v="231"/>
    <s v="Liberty School District"/>
    <s v="Personnel"/>
    <s v="M "/>
    <x v="2"/>
    <x v="24"/>
    <s v="PSES Mid Prog21Duty46 S275"/>
    <x v="1"/>
    <s v="46"/>
    <n v="46"/>
    <m/>
    <s v="   "/>
    <n v="0.42499999999999999"/>
  </r>
  <r>
    <x v="231"/>
    <s v="Liberty School District"/>
    <s v="Personnel"/>
    <s v="E "/>
    <x v="0"/>
    <x v="27"/>
    <s v="PSES Elem Prog01Duty47 S275"/>
    <x v="0"/>
    <s v="47"/>
    <n v="47"/>
    <m/>
    <s v="   "/>
    <n v="0.48099999999999998"/>
  </r>
  <r>
    <x v="231"/>
    <s v="Liberty School District"/>
    <s v="Personnel"/>
    <s v="H "/>
    <x v="1"/>
    <x v="25"/>
    <s v="PSES High Prog01Duty47 S275"/>
    <x v="0"/>
    <s v="47"/>
    <n v="47"/>
    <m/>
    <s v="   "/>
    <n v="0.31"/>
  </r>
  <r>
    <x v="231"/>
    <s v="Liberty School District"/>
    <s v="Personnel"/>
    <s v="M "/>
    <x v="2"/>
    <x v="34"/>
    <s v="PSES Mid Prog01Duty47 S275"/>
    <x v="0"/>
    <s v="47"/>
    <n v="47"/>
    <m/>
    <s v="   "/>
    <n v="0.13700000000000001"/>
  </r>
  <r>
    <x v="231"/>
    <s v="Liberty School District"/>
    <s v="Personnel"/>
    <s v="T"/>
    <x v="0"/>
    <x v="85"/>
    <s v="PSES Elem Prog09Duty47 S275"/>
    <x v="3"/>
    <s v="47"/>
    <n v="47"/>
    <n v="26"/>
    <m/>
    <n v="7.1999999999999995E-2"/>
  </r>
  <r>
    <x v="232"/>
    <s v="West Valley School District (Spokane)"/>
    <s v="Personnel"/>
    <s v="H "/>
    <x v="1"/>
    <x v="5"/>
    <s v="PSES High Prog01Act25 S275"/>
    <x v="0"/>
    <s v="25"/>
    <m/>
    <n v="25"/>
    <s v="   "/>
    <n v="9.4E-2"/>
  </r>
  <r>
    <x v="232"/>
    <s v="West Valley School District (Spokane)"/>
    <s v="Personnel"/>
    <s v="H "/>
    <x v="1"/>
    <x v="29"/>
    <s v="PSES High Prog21Act26 S275"/>
    <x v="1"/>
    <s v="26"/>
    <m/>
    <n v="26"/>
    <s v="   "/>
    <n v="0.78900000000000003"/>
  </r>
  <r>
    <x v="232"/>
    <s v="West Valley School District (Spokane)"/>
    <s v="Personnel"/>
    <s v="H "/>
    <x v="1"/>
    <x v="9"/>
    <s v="PSES High Prog01Act26 S275"/>
    <x v="0"/>
    <s v="26"/>
    <m/>
    <n v="26"/>
    <s v="   "/>
    <n v="1.6319999999999999"/>
  </r>
  <r>
    <x v="232"/>
    <s v="West Valley School District (Spokane)"/>
    <s v="Personnel"/>
    <s v="H "/>
    <x v="1"/>
    <x v="54"/>
    <s v="PSES High Prog01Act35 S275"/>
    <x v="0"/>
    <s v="35"/>
    <m/>
    <n v="35"/>
    <s v="   "/>
    <n v="1.538"/>
  </r>
  <r>
    <x v="232"/>
    <s v="West Valley School District (Spokane)"/>
    <s v="Personnel"/>
    <s v="E "/>
    <x v="0"/>
    <x v="15"/>
    <s v="PSES Elem Prog01Duty42 S275"/>
    <x v="0"/>
    <s v="42"/>
    <n v="42"/>
    <m/>
    <s v="   "/>
    <n v="2.68"/>
  </r>
  <r>
    <x v="232"/>
    <s v="West Valley School District (Spokane)"/>
    <s v="Personnel"/>
    <s v="H "/>
    <x v="1"/>
    <x v="16"/>
    <s v="PSES High Prog01Duty42 S275"/>
    <x v="0"/>
    <s v="42"/>
    <n v="42"/>
    <m/>
    <s v="   "/>
    <n v="3.1"/>
  </r>
  <r>
    <x v="232"/>
    <s v="West Valley School District (Spokane)"/>
    <s v="Personnel"/>
    <s v="M "/>
    <x v="2"/>
    <x v="17"/>
    <s v="PSES Mid Prog01Duty42 S275"/>
    <x v="0"/>
    <s v="42"/>
    <n v="42"/>
    <m/>
    <s v="   "/>
    <n v="1.32"/>
  </r>
  <r>
    <x v="232"/>
    <s v="West Valley School District (Spokane)"/>
    <s v="Personnel"/>
    <s v="E "/>
    <x v="0"/>
    <x v="18"/>
    <s v="PSES Elem Prog21Duty43 S275"/>
    <x v="1"/>
    <s v="43"/>
    <n v="43"/>
    <m/>
    <s v="   "/>
    <n v="1.2210000000000001"/>
  </r>
  <r>
    <x v="232"/>
    <s v="West Valley School District (Spokane)"/>
    <s v="Personnel"/>
    <s v="H "/>
    <x v="1"/>
    <x v="19"/>
    <s v="PSES High Prog21Duty43 S275"/>
    <x v="1"/>
    <s v="43"/>
    <n v="43"/>
    <m/>
    <s v="   "/>
    <n v="0.1"/>
  </r>
  <r>
    <x v="232"/>
    <s v="West Valley School District (Spokane)"/>
    <s v="Personnel"/>
    <s v="M "/>
    <x v="2"/>
    <x v="31"/>
    <s v="PSES Mid Prog21Duty43 S275"/>
    <x v="1"/>
    <s v="43"/>
    <n v="43"/>
    <m/>
    <s v="   "/>
    <n v="0.14000000000000001"/>
  </r>
  <r>
    <x v="232"/>
    <s v="West Valley School District (Spokane)"/>
    <s v="Personnel"/>
    <s v="H "/>
    <x v="1"/>
    <x v="44"/>
    <s v="PSES High Prog01Duty44 S275"/>
    <x v="0"/>
    <s v="44"/>
    <n v="44"/>
    <m/>
    <s v="   "/>
    <n v="0.5"/>
  </r>
  <r>
    <x v="232"/>
    <s v="West Valley School District (Spokane)"/>
    <s v="Personnel"/>
    <s v="E "/>
    <x v="0"/>
    <x v="20"/>
    <s v="PSES Elem Prog21Duty45 S275"/>
    <x v="1"/>
    <s v="45"/>
    <n v="45"/>
    <m/>
    <s v="   "/>
    <n v="2.5"/>
  </r>
  <r>
    <x v="232"/>
    <s v="West Valley School District (Spokane)"/>
    <s v="Personnel"/>
    <s v="H "/>
    <x v="1"/>
    <x v="21"/>
    <s v="PSES High Prog21Duty45 S275"/>
    <x v="1"/>
    <s v="45"/>
    <n v="45"/>
    <m/>
    <s v="   "/>
    <n v="0.1"/>
  </r>
  <r>
    <x v="232"/>
    <s v="West Valley School District (Spokane)"/>
    <s v="Personnel"/>
    <s v="E "/>
    <x v="0"/>
    <x v="22"/>
    <s v="PSES Elem Prog21Duty46 S275"/>
    <x v="1"/>
    <s v="46"/>
    <n v="46"/>
    <m/>
    <s v="   "/>
    <n v="1.48"/>
  </r>
  <r>
    <x v="232"/>
    <s v="West Valley School District (Spokane)"/>
    <s v="Personnel"/>
    <s v="H "/>
    <x v="1"/>
    <x v="23"/>
    <s v="PSES High Prog21Duty46 S275"/>
    <x v="1"/>
    <s v="46"/>
    <n v="46"/>
    <m/>
    <s v="   "/>
    <n v="1.8"/>
  </r>
  <r>
    <x v="232"/>
    <s v="West Valley School District (Spokane)"/>
    <s v="Personnel"/>
    <s v="M "/>
    <x v="2"/>
    <x v="24"/>
    <s v="PSES Mid Prog21Duty46 S275"/>
    <x v="1"/>
    <s v="46"/>
    <n v="46"/>
    <m/>
    <s v="   "/>
    <n v="1"/>
  </r>
  <r>
    <x v="232"/>
    <s v="West Valley School District (Spokane)"/>
    <s v="Personnel"/>
    <s v="E "/>
    <x v="0"/>
    <x v="32"/>
    <s v="PSES Elem Prog21Duty47 S275"/>
    <x v="1"/>
    <s v="47"/>
    <n v="47"/>
    <m/>
    <s v="   "/>
    <n v="0.23499999999999999"/>
  </r>
  <r>
    <x v="232"/>
    <s v="West Valley School District (Spokane)"/>
    <s v="Personnel"/>
    <s v="E "/>
    <x v="0"/>
    <x v="27"/>
    <s v="PSES Elem Prog01Duty47 S275"/>
    <x v="0"/>
    <s v="47"/>
    <n v="47"/>
    <m/>
    <s v="   "/>
    <n v="1.33"/>
  </r>
  <r>
    <x v="232"/>
    <s v="West Valley School District (Spokane)"/>
    <s v="Personnel"/>
    <s v="H "/>
    <x v="1"/>
    <x v="61"/>
    <s v="PSES High Prog21Duty47 S275"/>
    <x v="1"/>
    <s v="47"/>
    <n v="47"/>
    <m/>
    <s v="   "/>
    <n v="0.3"/>
  </r>
  <r>
    <x v="232"/>
    <s v="West Valley School District (Spokane)"/>
    <s v="Personnel"/>
    <s v="H "/>
    <x v="1"/>
    <x v="25"/>
    <s v="PSES High Prog01Duty47 S275"/>
    <x v="0"/>
    <s v="47"/>
    <n v="47"/>
    <m/>
    <s v="   "/>
    <n v="1.7"/>
  </r>
  <r>
    <x v="232"/>
    <s v="West Valley School District (Spokane)"/>
    <s v="Personnel"/>
    <s v="E "/>
    <x v="0"/>
    <x v="35"/>
    <s v="PSES Elem Prog21Duty48 S275"/>
    <x v="1"/>
    <s v="48"/>
    <n v="48"/>
    <m/>
    <s v="   "/>
    <n v="0.39"/>
  </r>
  <r>
    <x v="232"/>
    <s v="West Valley School District (Spokane)"/>
    <s v="Personnel"/>
    <s v="H "/>
    <x v="1"/>
    <x v="36"/>
    <s v="PSES High Prog21Duty48 S275"/>
    <x v="1"/>
    <s v="48"/>
    <n v="48"/>
    <m/>
    <s v="   "/>
    <n v="0.01"/>
  </r>
  <r>
    <x v="232"/>
    <s v="West Valley School District (Spokane)"/>
    <s v="Personnel"/>
    <s v="M "/>
    <x v="2"/>
    <x v="37"/>
    <s v="PSES Mid Prog21Duty48 S275"/>
    <x v="1"/>
    <s v="48"/>
    <n v="48"/>
    <m/>
    <s v="   "/>
    <n v="0.15"/>
  </r>
  <r>
    <x v="232"/>
    <s v="West Valley School District (Spokane)"/>
    <s v="Personnel"/>
    <s v="E "/>
    <x v="0"/>
    <x v="26"/>
    <s v="PSES Elem Prog21Duty49 S275"/>
    <x v="1"/>
    <s v="49"/>
    <n v="49"/>
    <m/>
    <s v="   "/>
    <n v="5.3999999999999999E-2"/>
  </r>
  <r>
    <x v="232"/>
    <s v="West Valley School District (Spokane)"/>
    <s v="Personnel"/>
    <s v="E "/>
    <x v="0"/>
    <x v="79"/>
    <s v="PSES Elem Prog01Duty49 S275"/>
    <x v="0"/>
    <s v="49"/>
    <n v="49"/>
    <m/>
    <s v="   "/>
    <n v="0.47599999999999998"/>
  </r>
  <r>
    <x v="232"/>
    <s v="West Valley School District (Spokane)"/>
    <s v="Personnel"/>
    <s v="H "/>
    <x v="1"/>
    <x v="55"/>
    <s v="PSES High Prog21Duty49 S275"/>
    <x v="1"/>
    <s v="49"/>
    <n v="49"/>
    <m/>
    <s v="   "/>
    <n v="1.4999999999999999E-2"/>
  </r>
  <r>
    <x v="232"/>
    <s v="West Valley School District (Spokane)"/>
    <s v="Personnel"/>
    <s v="H "/>
    <x v="1"/>
    <x v="68"/>
    <s v="PSES High Prog01Duty49 S275"/>
    <x v="0"/>
    <s v="49"/>
    <n v="49"/>
    <m/>
    <s v="   "/>
    <n v="0.17"/>
  </r>
  <r>
    <x v="232"/>
    <s v="West Valley School District (Spokane)"/>
    <s v="Personnel"/>
    <s v="M "/>
    <x v="2"/>
    <x v="50"/>
    <s v="PSES Mid Prog21Duty49 S275"/>
    <x v="1"/>
    <s v="49"/>
    <n v="49"/>
    <m/>
    <s v="   "/>
    <n v="2.1000000000000001E-2"/>
  </r>
  <r>
    <x v="232"/>
    <s v="West Valley School District (Spokane)"/>
    <s v="Personnel"/>
    <s v="M "/>
    <x v="2"/>
    <x v="89"/>
    <s v="PSES Mid Prog01Duty49 S275"/>
    <x v="0"/>
    <s v="49"/>
    <n v="49"/>
    <m/>
    <s v="   "/>
    <n v="0.20399999999999999"/>
  </r>
  <r>
    <x v="233"/>
    <s v="Deer Park School District"/>
    <s v="Personnel"/>
    <s v="H "/>
    <x v="1"/>
    <x v="4"/>
    <s v="PSES High Prog21Act25 S275"/>
    <x v="1"/>
    <s v="25"/>
    <m/>
    <n v="25"/>
    <s v="   "/>
    <n v="1.1240000000000001"/>
  </r>
  <r>
    <x v="233"/>
    <s v="Deer Park School District"/>
    <s v="Personnel"/>
    <s v="H "/>
    <x v="1"/>
    <x v="5"/>
    <s v="PSES High Prog01Act25 S275"/>
    <x v="0"/>
    <s v="25"/>
    <m/>
    <n v="25"/>
    <s v="   "/>
    <n v="0.68100000000000005"/>
  </r>
  <r>
    <x v="233"/>
    <s v="Deer Park School District"/>
    <s v="Personnel"/>
    <s v="H "/>
    <x v="1"/>
    <x v="9"/>
    <s v="PSES High Prog01Act26 S275"/>
    <x v="0"/>
    <s v="26"/>
    <m/>
    <n v="26"/>
    <s v="   "/>
    <n v="1.782"/>
  </r>
  <r>
    <x v="233"/>
    <s v="Deer Park School District"/>
    <s v="Personnel"/>
    <s v="E "/>
    <x v="0"/>
    <x v="15"/>
    <s v="PSES Elem Prog01Duty42 S275"/>
    <x v="0"/>
    <s v="42"/>
    <n v="42"/>
    <m/>
    <s v="   "/>
    <n v="2"/>
  </r>
  <r>
    <x v="233"/>
    <s v="Deer Park School District"/>
    <s v="Personnel"/>
    <s v="H "/>
    <x v="1"/>
    <x v="16"/>
    <s v="PSES High Prog01Duty42 S275"/>
    <x v="0"/>
    <s v="42"/>
    <n v="42"/>
    <m/>
    <s v="   "/>
    <n v="2"/>
  </r>
  <r>
    <x v="233"/>
    <s v="Deer Park School District"/>
    <s v="Personnel"/>
    <s v="M "/>
    <x v="2"/>
    <x v="17"/>
    <s v="PSES Mid Prog01Duty42 S275"/>
    <x v="0"/>
    <s v="42"/>
    <n v="42"/>
    <m/>
    <s v="   "/>
    <n v="1"/>
  </r>
  <r>
    <x v="233"/>
    <s v="Deer Park School District"/>
    <s v="Personnel"/>
    <s v="E "/>
    <x v="0"/>
    <x v="18"/>
    <s v="PSES Elem Prog21Duty43 S275"/>
    <x v="1"/>
    <s v="43"/>
    <n v="43"/>
    <m/>
    <s v="   "/>
    <n v="0.8"/>
  </r>
  <r>
    <x v="233"/>
    <s v="Deer Park School District"/>
    <s v="Personnel"/>
    <s v="M "/>
    <x v="2"/>
    <x v="31"/>
    <s v="PSES Mid Prog21Duty43 S275"/>
    <x v="1"/>
    <s v="43"/>
    <n v="43"/>
    <m/>
    <s v="   "/>
    <n v="0.05"/>
  </r>
  <r>
    <x v="233"/>
    <s v="Deer Park School District"/>
    <s v="Personnel"/>
    <s v="E "/>
    <x v="0"/>
    <x v="20"/>
    <s v="PSES Elem Prog21Duty45 S275"/>
    <x v="1"/>
    <s v="45"/>
    <n v="45"/>
    <m/>
    <s v="   "/>
    <n v="2"/>
  </r>
  <r>
    <x v="233"/>
    <s v="Deer Park School District"/>
    <s v="Personnel"/>
    <s v="H "/>
    <x v="1"/>
    <x v="21"/>
    <s v="PSES High Prog21Duty45 S275"/>
    <x v="1"/>
    <s v="45"/>
    <n v="45"/>
    <m/>
    <s v="   "/>
    <n v="0.08"/>
  </r>
  <r>
    <x v="233"/>
    <s v="Deer Park School District"/>
    <s v="Personnel"/>
    <s v="M "/>
    <x v="2"/>
    <x v="28"/>
    <s v="PSES Mid Prog21Duty45 S275"/>
    <x v="1"/>
    <s v="45"/>
    <n v="45"/>
    <m/>
    <s v="   "/>
    <n v="0.16"/>
  </r>
  <r>
    <x v="233"/>
    <s v="Deer Park School District"/>
    <s v="Personnel"/>
    <s v="E "/>
    <x v="0"/>
    <x v="22"/>
    <s v="PSES Elem Prog21Duty46 S275"/>
    <x v="1"/>
    <s v="46"/>
    <n v="46"/>
    <m/>
    <s v="   "/>
    <n v="1.8"/>
  </r>
  <r>
    <x v="233"/>
    <s v="Deer Park School District"/>
    <s v="Personnel"/>
    <s v="E "/>
    <x v="0"/>
    <x v="48"/>
    <s v="PSES Elem Prog01Duty46 S275"/>
    <x v="0"/>
    <s v="46"/>
    <n v="46"/>
    <m/>
    <s v="   "/>
    <n v="0.2"/>
  </r>
  <r>
    <x v="233"/>
    <s v="Deer Park School District"/>
    <s v="Personnel"/>
    <s v="H "/>
    <x v="1"/>
    <x v="23"/>
    <s v="PSES High Prog21Duty46 S275"/>
    <x v="1"/>
    <s v="46"/>
    <n v="46"/>
    <m/>
    <s v="   "/>
    <n v="0.9"/>
  </r>
  <r>
    <x v="233"/>
    <s v="Deer Park School District"/>
    <s v="Personnel"/>
    <s v="M "/>
    <x v="2"/>
    <x v="49"/>
    <s v="PSES Mid Prog01Duty46 S275"/>
    <x v="0"/>
    <s v="46"/>
    <n v="46"/>
    <m/>
    <s v="   "/>
    <n v="0.1"/>
  </r>
  <r>
    <x v="233"/>
    <s v="Deer Park School District"/>
    <s v="Personnel"/>
    <s v="E "/>
    <x v="0"/>
    <x v="27"/>
    <s v="PSES Elem Prog01Duty47 S275"/>
    <x v="0"/>
    <s v="47"/>
    <n v="47"/>
    <m/>
    <s v="   "/>
    <n v="0.56000000000000005"/>
  </r>
  <r>
    <x v="233"/>
    <s v="Deer Park School District"/>
    <s v="Personnel"/>
    <s v="H "/>
    <x v="1"/>
    <x v="25"/>
    <s v="PSES High Prog01Duty47 S275"/>
    <x v="0"/>
    <s v="47"/>
    <n v="47"/>
    <m/>
    <s v="   "/>
    <n v="0.3"/>
  </r>
  <r>
    <x v="233"/>
    <s v="Deer Park School District"/>
    <s v="Personnel"/>
    <s v="M "/>
    <x v="2"/>
    <x v="34"/>
    <s v="PSES Mid Prog01Duty47 S275"/>
    <x v="0"/>
    <s v="47"/>
    <n v="47"/>
    <m/>
    <s v="   "/>
    <n v="0.14000000000000001"/>
  </r>
  <r>
    <x v="233"/>
    <s v="Deer Park School District"/>
    <s v="Personnel"/>
    <s v="E "/>
    <x v="0"/>
    <x v="35"/>
    <s v="PSES Elem Prog21Duty48 S275"/>
    <x v="1"/>
    <s v="48"/>
    <n v="48"/>
    <m/>
    <s v="   "/>
    <n v="0.6"/>
  </r>
  <r>
    <x v="233"/>
    <s v="Deer Park School District"/>
    <s v="Personnel"/>
    <s v="M "/>
    <x v="2"/>
    <x v="37"/>
    <s v="PSES Mid Prog21Duty48 S275"/>
    <x v="1"/>
    <s v="48"/>
    <n v="48"/>
    <m/>
    <s v="   "/>
    <n v="0.09"/>
  </r>
  <r>
    <x v="234"/>
    <s v="Riverside School District"/>
    <s v="Personnel"/>
    <s v="E "/>
    <x v="0"/>
    <x v="3"/>
    <s v="PSES Elem Prog01Act25 S275"/>
    <x v="0"/>
    <s v="25"/>
    <m/>
    <n v="25"/>
    <s v="   "/>
    <n v="0.73899999999999999"/>
  </r>
  <r>
    <x v="234"/>
    <s v="Riverside School District"/>
    <s v="Personnel"/>
    <s v="H "/>
    <x v="1"/>
    <x v="4"/>
    <s v="PSES High Prog21Act25 S275"/>
    <x v="1"/>
    <s v="25"/>
    <m/>
    <n v="25"/>
    <s v="   "/>
    <n v="3.6999999999999998E-2"/>
  </r>
  <r>
    <x v="234"/>
    <s v="Riverside School District"/>
    <s v="Personnel"/>
    <s v="H "/>
    <x v="1"/>
    <x v="5"/>
    <s v="PSES High Prog01Act25 S275"/>
    <x v="0"/>
    <s v="25"/>
    <m/>
    <n v="25"/>
    <s v="   "/>
    <n v="1.9870000000000001"/>
  </r>
  <r>
    <x v="234"/>
    <s v="Riverside School District"/>
    <s v="Personnel"/>
    <s v="H "/>
    <x v="1"/>
    <x v="29"/>
    <s v="PSES High Prog21Act26 S275"/>
    <x v="1"/>
    <s v="26"/>
    <m/>
    <n v="26"/>
    <s v="   "/>
    <n v="0.28899999999999998"/>
  </r>
  <r>
    <x v="234"/>
    <s v="Riverside School District"/>
    <s v="Personnel"/>
    <s v="H "/>
    <x v="1"/>
    <x v="9"/>
    <s v="PSES High Prog01Act26 S275"/>
    <x v="0"/>
    <s v="26"/>
    <m/>
    <n v="26"/>
    <s v="   "/>
    <n v="3.6240000000000001"/>
  </r>
  <r>
    <x v="234"/>
    <s v="Riverside School District"/>
    <s v="Personnel"/>
    <s v="E "/>
    <x v="0"/>
    <x v="15"/>
    <s v="PSES Elem Prog01Duty42 S275"/>
    <x v="0"/>
    <s v="42"/>
    <n v="42"/>
    <m/>
    <s v="   "/>
    <n v="1.6"/>
  </r>
  <r>
    <x v="234"/>
    <s v="Riverside School District"/>
    <s v="Personnel"/>
    <s v="H "/>
    <x v="1"/>
    <x v="16"/>
    <s v="PSES High Prog01Duty42 S275"/>
    <x v="0"/>
    <s v="42"/>
    <n v="42"/>
    <m/>
    <s v="   "/>
    <n v="2.2000000000000002"/>
  </r>
  <r>
    <x v="234"/>
    <s v="Riverside School District"/>
    <s v="Personnel"/>
    <s v="M "/>
    <x v="2"/>
    <x v="17"/>
    <s v="PSES Mid Prog01Duty42 S275"/>
    <x v="0"/>
    <s v="42"/>
    <n v="42"/>
    <m/>
    <s v="   "/>
    <n v="1"/>
  </r>
  <r>
    <x v="234"/>
    <s v="Riverside School District"/>
    <s v="Personnel"/>
    <s v="E "/>
    <x v="0"/>
    <x v="18"/>
    <s v="PSES Elem Prog21Duty43 S275"/>
    <x v="1"/>
    <s v="43"/>
    <n v="43"/>
    <m/>
    <s v="   "/>
    <n v="0.185"/>
  </r>
  <r>
    <x v="234"/>
    <s v="Riverside School District"/>
    <s v="Personnel"/>
    <s v="H "/>
    <x v="1"/>
    <x v="19"/>
    <s v="PSES High Prog21Duty43 S275"/>
    <x v="1"/>
    <s v="43"/>
    <n v="43"/>
    <m/>
    <s v="   "/>
    <n v="0.111"/>
  </r>
  <r>
    <x v="234"/>
    <s v="Riverside School District"/>
    <s v="Personnel"/>
    <s v="M "/>
    <x v="2"/>
    <x v="31"/>
    <s v="PSES Mid Prog21Duty43 S275"/>
    <x v="1"/>
    <s v="43"/>
    <n v="43"/>
    <m/>
    <s v="   "/>
    <n v="0.14799999999999999"/>
  </r>
  <r>
    <x v="234"/>
    <s v="Riverside School District"/>
    <s v="Personnel"/>
    <s v="E "/>
    <x v="0"/>
    <x v="20"/>
    <s v="PSES Elem Prog21Duty45 S275"/>
    <x v="1"/>
    <s v="45"/>
    <n v="45"/>
    <m/>
    <s v="   "/>
    <n v="2"/>
  </r>
  <r>
    <x v="234"/>
    <s v="Riverside School District"/>
    <s v="Personnel"/>
    <s v="E "/>
    <x v="0"/>
    <x v="22"/>
    <s v="PSES Elem Prog21Duty46 S275"/>
    <x v="1"/>
    <s v="46"/>
    <n v="46"/>
    <m/>
    <s v="   "/>
    <n v="1"/>
  </r>
  <r>
    <x v="234"/>
    <s v="Riverside School District"/>
    <s v="Personnel"/>
    <s v="H "/>
    <x v="1"/>
    <x v="23"/>
    <s v="PSES High Prog21Duty46 S275"/>
    <x v="1"/>
    <s v="46"/>
    <n v="46"/>
    <m/>
    <s v="   "/>
    <n v="0.6"/>
  </r>
  <r>
    <x v="234"/>
    <s v="Riverside School District"/>
    <s v="Personnel"/>
    <s v="M "/>
    <x v="2"/>
    <x v="24"/>
    <s v="PSES Mid Prog21Duty46 S275"/>
    <x v="1"/>
    <s v="46"/>
    <n v="46"/>
    <m/>
    <s v="   "/>
    <n v="0.4"/>
  </r>
  <r>
    <x v="234"/>
    <s v="Riverside School District"/>
    <s v="Personnel"/>
    <s v="E "/>
    <x v="0"/>
    <x v="35"/>
    <s v="PSES Elem Prog21Duty48 S275"/>
    <x v="1"/>
    <s v="48"/>
    <n v="48"/>
    <m/>
    <s v="   "/>
    <n v="0.66500000000000004"/>
  </r>
  <r>
    <x v="234"/>
    <s v="Riverside School District"/>
    <s v="Personnel"/>
    <s v="H "/>
    <x v="1"/>
    <x v="36"/>
    <s v="PSES High Prog21Duty48 S275"/>
    <x v="1"/>
    <s v="48"/>
    <n v="48"/>
    <m/>
    <s v="   "/>
    <n v="0.05"/>
  </r>
  <r>
    <x v="234"/>
    <s v="Riverside School District"/>
    <s v="Personnel"/>
    <s v="M "/>
    <x v="2"/>
    <x v="37"/>
    <s v="PSES Mid Prog21Duty48 S275"/>
    <x v="1"/>
    <s v="48"/>
    <n v="48"/>
    <m/>
    <s v="   "/>
    <n v="3.5000000000000003E-2"/>
  </r>
  <r>
    <x v="235"/>
    <s v="Spokane International Academy"/>
    <s v="Personnel"/>
    <s v="H "/>
    <x v="1"/>
    <x v="9"/>
    <s v="PSES High Prog01Act26 S275"/>
    <x v="0"/>
    <s v="26"/>
    <m/>
    <n v="26"/>
    <s v="   "/>
    <n v="0.76200000000000001"/>
  </r>
  <r>
    <x v="235"/>
    <s v="Spokane International Academy"/>
    <s v="Personnel"/>
    <s v="E "/>
    <x v="0"/>
    <x v="15"/>
    <s v="PSES Elem Prog01Duty42 S275"/>
    <x v="0"/>
    <s v="42"/>
    <n v="42"/>
    <m/>
    <s v="   "/>
    <n v="1.5"/>
  </r>
  <r>
    <x v="235"/>
    <s v="Spokane International Academy"/>
    <s v="Personnel"/>
    <s v="H "/>
    <x v="1"/>
    <x v="16"/>
    <s v="PSES High Prog01Duty42 S275"/>
    <x v="0"/>
    <s v="42"/>
    <n v="42"/>
    <m/>
    <s v="   "/>
    <n v="0.5"/>
  </r>
  <r>
    <x v="235"/>
    <s v="Spokane International Academy"/>
    <s v="Personnel"/>
    <s v="M "/>
    <x v="2"/>
    <x v="17"/>
    <s v="PSES Mid Prog01Duty42 S275"/>
    <x v="0"/>
    <s v="42"/>
    <n v="42"/>
    <m/>
    <s v="   "/>
    <n v="1"/>
  </r>
  <r>
    <x v="235"/>
    <s v="Spokane International Academy"/>
    <s v="Personnel"/>
    <s v="E "/>
    <x v="0"/>
    <x v="20"/>
    <s v="PSES Elem Prog21Duty45 S275"/>
    <x v="1"/>
    <s v="45"/>
    <n v="45"/>
    <m/>
    <s v="   "/>
    <n v="1"/>
  </r>
  <r>
    <x v="236"/>
    <s v="Lumen Public School"/>
    <s v="Personnel"/>
    <s v="H "/>
    <x v="1"/>
    <x v="16"/>
    <s v="PSES High Prog01Duty42 S275"/>
    <x v="0"/>
    <s v="42"/>
    <n v="42"/>
    <m/>
    <s v="   "/>
    <n v="0.86"/>
  </r>
  <r>
    <x v="237"/>
    <s v="Innovation Spokane Charter School District "/>
    <s v="Personnel"/>
    <s v="H "/>
    <x v="1"/>
    <x v="57"/>
    <s v="PSES High Prog97Duty96 S275"/>
    <x v="2"/>
    <s v="24"/>
    <n v="96"/>
    <n v="24"/>
    <s v="   "/>
    <n v="1"/>
  </r>
  <r>
    <x v="237"/>
    <s v="Innovation Spokane Charter School District "/>
    <s v="Personnel"/>
    <s v="H "/>
    <x v="1"/>
    <x v="77"/>
    <s v="PSES High Prog21Duty42 S275"/>
    <x v="1"/>
    <s v="42"/>
    <n v="42"/>
    <m/>
    <s v="   "/>
    <n v="0.8"/>
  </r>
  <r>
    <x v="237"/>
    <s v="Innovation Spokane Charter School District "/>
    <s v="Personnel"/>
    <s v="H "/>
    <x v="1"/>
    <x v="16"/>
    <s v="PSES High Prog01Duty42 S275"/>
    <x v="0"/>
    <s v="42"/>
    <n v="42"/>
    <m/>
    <s v="   "/>
    <n v="1"/>
  </r>
  <r>
    <x v="238"/>
    <s v="Onion Creek School District"/>
    <s v="Personnel"/>
    <s v="H "/>
    <x v="1"/>
    <x v="9"/>
    <s v="PSES High Prog01Act26 S275"/>
    <x v="0"/>
    <s v="26"/>
    <m/>
    <n v="26"/>
    <s v="   "/>
    <n v="0.1"/>
  </r>
  <r>
    <x v="239"/>
    <s v="Chewelah School District"/>
    <s v="Personnel"/>
    <s v="H "/>
    <x v="1"/>
    <x v="5"/>
    <s v="PSES High Prog01Act25 S275"/>
    <x v="0"/>
    <s v="25"/>
    <m/>
    <n v="25"/>
    <s v="   "/>
    <n v="0.1"/>
  </r>
  <r>
    <x v="239"/>
    <s v="Chewelah School District"/>
    <s v="Personnel"/>
    <s v="H "/>
    <x v="1"/>
    <x v="9"/>
    <s v="PSES High Prog01Act26 S275"/>
    <x v="0"/>
    <s v="26"/>
    <m/>
    <n v="26"/>
    <s v="   "/>
    <n v="0.65900000000000003"/>
  </r>
  <r>
    <x v="239"/>
    <s v="Chewelah School District"/>
    <s v="Personnel"/>
    <s v="E "/>
    <x v="0"/>
    <x v="15"/>
    <s v="PSES Elem Prog01Duty42 S275"/>
    <x v="0"/>
    <s v="42"/>
    <n v="42"/>
    <m/>
    <s v="   "/>
    <n v="0.55000000000000004"/>
  </r>
  <r>
    <x v="239"/>
    <s v="Chewelah School District"/>
    <s v="Personnel"/>
    <s v="H "/>
    <x v="1"/>
    <x v="16"/>
    <s v="PSES High Prog01Duty42 S275"/>
    <x v="0"/>
    <s v="42"/>
    <n v="42"/>
    <m/>
    <s v="   "/>
    <n v="0.78"/>
  </r>
  <r>
    <x v="239"/>
    <s v="Chewelah School District"/>
    <s v="Personnel"/>
    <s v="E "/>
    <x v="0"/>
    <x v="20"/>
    <s v="PSES Elem Prog21Duty45 S275"/>
    <x v="1"/>
    <s v="45"/>
    <n v="45"/>
    <m/>
    <s v="   "/>
    <n v="0.81200000000000006"/>
  </r>
  <r>
    <x v="239"/>
    <s v="Chewelah School District"/>
    <s v="Personnel"/>
    <s v="H "/>
    <x v="1"/>
    <x v="21"/>
    <s v="PSES High Prog21Duty45 S275"/>
    <x v="1"/>
    <s v="45"/>
    <n v="45"/>
    <m/>
    <s v="   "/>
    <n v="8.3000000000000004E-2"/>
  </r>
  <r>
    <x v="239"/>
    <s v="Chewelah School District"/>
    <s v="Personnel"/>
    <s v="M "/>
    <x v="2"/>
    <x v="28"/>
    <s v="PSES Mid Prog21Duty45 S275"/>
    <x v="1"/>
    <s v="45"/>
    <n v="45"/>
    <m/>
    <s v="   "/>
    <n v="6.3E-2"/>
  </r>
  <r>
    <x v="239"/>
    <s v="Chewelah School District"/>
    <s v="Personnel"/>
    <s v="E "/>
    <x v="0"/>
    <x v="22"/>
    <s v="PSES Elem Prog21Duty46 S275"/>
    <x v="1"/>
    <s v="46"/>
    <n v="46"/>
    <m/>
    <s v="   "/>
    <n v="0.50900000000000001"/>
  </r>
  <r>
    <x v="239"/>
    <s v="Chewelah School District"/>
    <s v="Personnel"/>
    <s v="H "/>
    <x v="1"/>
    <x v="23"/>
    <s v="PSES High Prog21Duty46 S275"/>
    <x v="1"/>
    <s v="46"/>
    <n v="46"/>
    <m/>
    <s v="   "/>
    <n v="0.254"/>
  </r>
  <r>
    <x v="239"/>
    <s v="Chewelah School District"/>
    <s v="Personnel"/>
    <s v="M "/>
    <x v="2"/>
    <x v="24"/>
    <s v="PSES Mid Prog21Duty46 S275"/>
    <x v="1"/>
    <s v="46"/>
    <n v="46"/>
    <m/>
    <s v="   "/>
    <n v="0.221"/>
  </r>
  <r>
    <x v="239"/>
    <s v="Chewelah School District"/>
    <s v="Personnel"/>
    <s v="E "/>
    <x v="0"/>
    <x v="27"/>
    <s v="PSES Elem Prog01Duty47 S275"/>
    <x v="0"/>
    <s v="47"/>
    <n v="47"/>
    <m/>
    <s v="   "/>
    <n v="0.54"/>
  </r>
  <r>
    <x v="239"/>
    <s v="Chewelah School District"/>
    <s v="Personnel"/>
    <s v="H "/>
    <x v="1"/>
    <x v="25"/>
    <s v="PSES High Prog01Duty47 S275"/>
    <x v="0"/>
    <s v="47"/>
    <n v="47"/>
    <m/>
    <s v="   "/>
    <n v="0.31"/>
  </r>
  <r>
    <x v="239"/>
    <s v="Chewelah School District"/>
    <s v="Personnel"/>
    <s v="M "/>
    <x v="2"/>
    <x v="34"/>
    <s v="PSES Mid Prog01Duty47 S275"/>
    <x v="0"/>
    <s v="47"/>
    <n v="47"/>
    <m/>
    <s v="   "/>
    <n v="0.15"/>
  </r>
  <r>
    <x v="240"/>
    <s v="Wellpinit School District"/>
    <s v="Personnel"/>
    <s v="E "/>
    <x v="0"/>
    <x v="15"/>
    <s v="PSES Elem Prog01Duty42 S275"/>
    <x v="0"/>
    <s v="42"/>
    <n v="42"/>
    <m/>
    <s v="   "/>
    <n v="1"/>
  </r>
  <r>
    <x v="240"/>
    <s v="Wellpinit School District"/>
    <s v="Personnel"/>
    <s v="H "/>
    <x v="1"/>
    <x v="16"/>
    <s v="PSES High Prog01Duty42 S275"/>
    <x v="0"/>
    <s v="42"/>
    <n v="42"/>
    <m/>
    <s v="   "/>
    <n v="0.5"/>
  </r>
  <r>
    <x v="240"/>
    <s v="Wellpinit School District"/>
    <s v="Personnel"/>
    <s v="M "/>
    <x v="2"/>
    <x v="17"/>
    <s v="PSES Mid Prog01Duty42 S275"/>
    <x v="0"/>
    <s v="42"/>
    <n v="42"/>
    <m/>
    <s v="   "/>
    <n v="0.5"/>
  </r>
  <r>
    <x v="241"/>
    <s v="Valley School District"/>
    <s v="Personnel"/>
    <s v="H "/>
    <x v="1"/>
    <x v="5"/>
    <s v="PSES High Prog01Act25 S275"/>
    <x v="0"/>
    <s v="25"/>
    <m/>
    <n v="25"/>
    <s v="   "/>
    <n v="1.365"/>
  </r>
  <r>
    <x v="241"/>
    <s v="Valley School District"/>
    <s v="Personnel"/>
    <s v="E "/>
    <x v="0"/>
    <x v="15"/>
    <s v="PSES Elem Prog01Duty42 S275"/>
    <x v="0"/>
    <s v="42"/>
    <n v="42"/>
    <m/>
    <s v="   "/>
    <n v="0.39"/>
  </r>
  <r>
    <x v="241"/>
    <s v="Valley School District"/>
    <s v="Personnel"/>
    <s v="H "/>
    <x v="1"/>
    <x v="16"/>
    <s v="PSES High Prog01Duty42 S275"/>
    <x v="0"/>
    <s v="42"/>
    <n v="42"/>
    <m/>
    <s v="   "/>
    <n v="0.4"/>
  </r>
  <r>
    <x v="241"/>
    <s v="Valley School District"/>
    <s v="Personnel"/>
    <s v="M "/>
    <x v="2"/>
    <x v="17"/>
    <s v="PSES Mid Prog01Duty42 S275"/>
    <x v="0"/>
    <s v="42"/>
    <n v="42"/>
    <m/>
    <s v="   "/>
    <n v="0.21"/>
  </r>
  <r>
    <x v="242"/>
    <s v="Colville School District"/>
    <s v="Personnel"/>
    <s v="E "/>
    <x v="0"/>
    <x v="7"/>
    <s v="PSES Elem Prog21Act26 S275"/>
    <x v="1"/>
    <s v="26"/>
    <m/>
    <n v="26"/>
    <s v="   "/>
    <n v="0.60599999999999998"/>
  </r>
  <r>
    <x v="242"/>
    <s v="Colville School District"/>
    <s v="Personnel"/>
    <s v="E "/>
    <x v="0"/>
    <x v="8"/>
    <s v="PSES Elem Prog01Act26 S275"/>
    <x v="0"/>
    <s v="26"/>
    <m/>
    <n v="26"/>
    <s v="   "/>
    <n v="0.70299999999999996"/>
  </r>
  <r>
    <x v="242"/>
    <s v="Colville School District"/>
    <s v="Personnel"/>
    <s v="H "/>
    <x v="1"/>
    <x v="54"/>
    <s v="PSES High Prog01Act35 S275"/>
    <x v="0"/>
    <s v="35"/>
    <m/>
    <n v="35"/>
    <s v="   "/>
    <n v="0.5"/>
  </r>
  <r>
    <x v="242"/>
    <s v="Colville School District"/>
    <s v="Personnel"/>
    <s v="E "/>
    <x v="0"/>
    <x v="15"/>
    <s v="PSES Elem Prog01Duty42 S275"/>
    <x v="0"/>
    <s v="42"/>
    <n v="42"/>
    <m/>
    <s v="   "/>
    <n v="2.33"/>
  </r>
  <r>
    <x v="242"/>
    <s v="Colville School District"/>
    <s v="Personnel"/>
    <s v="H "/>
    <x v="1"/>
    <x v="16"/>
    <s v="PSES High Prog01Duty42 S275"/>
    <x v="0"/>
    <s v="42"/>
    <n v="42"/>
    <m/>
    <s v="   "/>
    <n v="2"/>
  </r>
  <r>
    <x v="242"/>
    <s v="Colville School District"/>
    <s v="Personnel"/>
    <s v="M "/>
    <x v="2"/>
    <x v="17"/>
    <s v="PSES Mid Prog01Duty42 S275"/>
    <x v="0"/>
    <s v="42"/>
    <n v="42"/>
    <m/>
    <s v="   "/>
    <n v="0.67"/>
  </r>
  <r>
    <x v="242"/>
    <s v="Colville School District"/>
    <s v="Personnel"/>
    <s v="E "/>
    <x v="0"/>
    <x v="20"/>
    <s v="PSES Elem Prog21Duty45 S275"/>
    <x v="1"/>
    <s v="45"/>
    <n v="45"/>
    <m/>
    <s v="   "/>
    <n v="2"/>
  </r>
  <r>
    <x v="242"/>
    <s v="Colville School District"/>
    <s v="Personnel"/>
    <s v="E "/>
    <x v="0"/>
    <x v="27"/>
    <s v="PSES Elem Prog01Duty47 S275"/>
    <x v="0"/>
    <s v="47"/>
    <n v="47"/>
    <m/>
    <s v="   "/>
    <n v="1"/>
  </r>
  <r>
    <x v="242"/>
    <s v="Colville School District"/>
    <s v="Personnel"/>
    <s v="H "/>
    <x v="1"/>
    <x v="25"/>
    <s v="PSES High Prog01Duty47 S275"/>
    <x v="0"/>
    <s v="47"/>
    <n v="47"/>
    <m/>
    <s v="   "/>
    <n v="1"/>
  </r>
  <r>
    <x v="242"/>
    <s v="Colville School District"/>
    <s v="Personnel"/>
    <s v="E "/>
    <x v="0"/>
    <x v="35"/>
    <s v="PSES Elem Prog21Duty48 S275"/>
    <x v="1"/>
    <s v="48"/>
    <n v="48"/>
    <m/>
    <s v="   "/>
    <n v="0.5"/>
  </r>
  <r>
    <x v="242"/>
    <s v="Colville School District"/>
    <s v="Personnel"/>
    <s v="H "/>
    <x v="1"/>
    <x v="36"/>
    <s v="PSES High Prog21Duty48 S275"/>
    <x v="1"/>
    <s v="48"/>
    <n v="48"/>
    <m/>
    <s v="   "/>
    <n v="0.28599999999999998"/>
  </r>
  <r>
    <x v="242"/>
    <s v="Colville School District"/>
    <s v="Personnel"/>
    <s v="M "/>
    <x v="2"/>
    <x v="37"/>
    <s v="PSES Mid Prog21Duty48 S275"/>
    <x v="1"/>
    <s v="48"/>
    <n v="48"/>
    <m/>
    <s v="   "/>
    <n v="0.14299999999999999"/>
  </r>
  <r>
    <x v="243"/>
    <s v="Loon Lake School District"/>
    <s v="Personnel"/>
    <s v="E "/>
    <x v="0"/>
    <x v="0"/>
    <s v="PSES Elem Prog01Duty96 S275"/>
    <x v="0"/>
    <s v="24"/>
    <n v="96"/>
    <n v="24"/>
    <s v="   "/>
    <n v="0.315"/>
  </r>
  <r>
    <x v="244"/>
    <s v="Summit Valley School District"/>
    <s v="Personnel"/>
    <s v="E "/>
    <x v="0"/>
    <x v="15"/>
    <s v="PSES Elem Prog01Duty42 S275"/>
    <x v="0"/>
    <s v="42"/>
    <n v="42"/>
    <m/>
    <s v="   "/>
    <n v="0.19600000000000001"/>
  </r>
  <r>
    <x v="244"/>
    <s v="Summit Valley School District"/>
    <s v="Personnel"/>
    <s v="M "/>
    <x v="2"/>
    <x v="17"/>
    <s v="PSES Mid Prog01Duty42 S275"/>
    <x v="0"/>
    <s v="42"/>
    <n v="42"/>
    <m/>
    <s v="   "/>
    <n v="5.5E-2"/>
  </r>
  <r>
    <x v="245"/>
    <s v="Evergreen School District (Stevens)"/>
    <s v="Personnel"/>
    <s v="E "/>
    <x v="0"/>
    <x v="15"/>
    <s v="PSES Elem Prog01Duty42 S275"/>
    <x v="0"/>
    <s v="42"/>
    <n v="42"/>
    <m/>
    <s v="   "/>
    <n v="0.11899999999999999"/>
  </r>
  <r>
    <x v="246"/>
    <s v="Columbia (Stevens) School District"/>
    <s v="Personnel"/>
    <s v="H "/>
    <x v="1"/>
    <x v="16"/>
    <s v="PSES High Prog01Duty42 S275"/>
    <x v="0"/>
    <s v="42"/>
    <n v="42"/>
    <m/>
    <s v="   "/>
    <n v="0.15"/>
  </r>
  <r>
    <x v="246"/>
    <s v="Columbia (Stevens) School District"/>
    <s v="Personnel"/>
    <s v="E "/>
    <x v="0"/>
    <x v="27"/>
    <s v="PSES Elem Prog01Duty47 S275"/>
    <x v="0"/>
    <s v="47"/>
    <n v="47"/>
    <m/>
    <s v="   "/>
    <n v="0.127"/>
  </r>
  <r>
    <x v="246"/>
    <s v="Columbia (Stevens) School District"/>
    <s v="Personnel"/>
    <s v="H "/>
    <x v="1"/>
    <x v="25"/>
    <s v="PSES High Prog01Duty47 S275"/>
    <x v="0"/>
    <s v="47"/>
    <n v="47"/>
    <m/>
    <s v="   "/>
    <n v="7.2999999999999995E-2"/>
  </r>
  <r>
    <x v="246"/>
    <s v="Columbia (Stevens) School District"/>
    <s v="Personnel"/>
    <s v="M "/>
    <x v="2"/>
    <x v="34"/>
    <s v="PSES Mid Prog01Duty47 S275"/>
    <x v="0"/>
    <s v="47"/>
    <n v="47"/>
    <m/>
    <s v="   "/>
    <n v="3.5000000000000003E-2"/>
  </r>
  <r>
    <x v="247"/>
    <s v="Mary Walker School District"/>
    <s v="Personnel"/>
    <s v="H "/>
    <x v="1"/>
    <x v="9"/>
    <s v="PSES High Prog01Act26 S275"/>
    <x v="0"/>
    <s v="26"/>
    <m/>
    <n v="26"/>
    <s v="   "/>
    <n v="0.38700000000000001"/>
  </r>
  <r>
    <x v="247"/>
    <s v="Mary Walker School District"/>
    <s v="Personnel"/>
    <s v="H "/>
    <x v="1"/>
    <x v="16"/>
    <s v="PSES High Prog01Duty42 S275"/>
    <x v="0"/>
    <s v="42"/>
    <n v="42"/>
    <m/>
    <s v="   "/>
    <n v="0.42299999999999999"/>
  </r>
  <r>
    <x v="248"/>
    <s v="Northport School District"/>
    <s v="Personnel"/>
    <s v="E "/>
    <x v="0"/>
    <x v="7"/>
    <s v="PSES Elem Prog21Act26 S275"/>
    <x v="1"/>
    <s v="26"/>
    <m/>
    <n v="26"/>
    <s v="   "/>
    <n v="0.42399999999999999"/>
  </r>
  <r>
    <x v="248"/>
    <s v="Northport School District"/>
    <s v="Personnel"/>
    <s v="E "/>
    <x v="0"/>
    <x v="8"/>
    <s v="PSES Elem Prog01Act26 S275"/>
    <x v="0"/>
    <s v="26"/>
    <m/>
    <n v="26"/>
    <s v="   "/>
    <n v="0.224"/>
  </r>
  <r>
    <x v="248"/>
    <s v="Northport School District"/>
    <s v="Personnel"/>
    <s v="H "/>
    <x v="1"/>
    <x v="9"/>
    <s v="PSES High Prog01Act26 S275"/>
    <x v="0"/>
    <s v="26"/>
    <m/>
    <n v="26"/>
    <s v="   "/>
    <n v="3.2000000000000001E-2"/>
  </r>
  <r>
    <x v="248"/>
    <s v="Northport School District"/>
    <s v="Personnel"/>
    <s v="M "/>
    <x v="2"/>
    <x v="11"/>
    <s v="PSES Mid Prog01Act26 S275"/>
    <x v="0"/>
    <s v="26"/>
    <m/>
    <n v="26"/>
    <s v="   "/>
    <n v="3.2000000000000001E-2"/>
  </r>
  <r>
    <x v="249"/>
    <s v="Kettle Falls School District"/>
    <s v="Personnel"/>
    <s v="H "/>
    <x v="1"/>
    <x v="29"/>
    <s v="PSES High Prog21Act26 S275"/>
    <x v="1"/>
    <s v="26"/>
    <m/>
    <n v="26"/>
    <s v="   "/>
    <n v="0.39"/>
  </r>
  <r>
    <x v="249"/>
    <s v="Kettle Falls School District"/>
    <s v="Personnel"/>
    <s v="H "/>
    <x v="1"/>
    <x v="9"/>
    <s v="PSES High Prog01Act26 S275"/>
    <x v="0"/>
    <s v="26"/>
    <m/>
    <n v="26"/>
    <s v="   "/>
    <n v="0.72099999999999997"/>
  </r>
  <r>
    <x v="249"/>
    <s v="Kettle Falls School District"/>
    <s v="Personnel"/>
    <s v="H "/>
    <x v="1"/>
    <x v="54"/>
    <s v="PSES High Prog01Act35 S275"/>
    <x v="0"/>
    <s v="35"/>
    <m/>
    <n v="35"/>
    <s v="   "/>
    <n v="1.538"/>
  </r>
  <r>
    <x v="249"/>
    <s v="Kettle Falls School District"/>
    <s v="Personnel"/>
    <s v="E "/>
    <x v="0"/>
    <x v="15"/>
    <s v="PSES Elem Prog01Duty42 S275"/>
    <x v="0"/>
    <s v="42"/>
    <n v="42"/>
    <m/>
    <s v="   "/>
    <n v="1.5"/>
  </r>
  <r>
    <x v="249"/>
    <s v="Kettle Falls School District"/>
    <s v="Personnel"/>
    <s v="H "/>
    <x v="1"/>
    <x v="16"/>
    <s v="PSES High Prog01Duty42 S275"/>
    <x v="0"/>
    <s v="42"/>
    <n v="42"/>
    <m/>
    <s v="   "/>
    <n v="1"/>
  </r>
  <r>
    <x v="249"/>
    <s v="Kettle Falls School District"/>
    <s v="Personnel"/>
    <s v="M "/>
    <x v="2"/>
    <x v="17"/>
    <s v="PSES Mid Prog01Duty42 S275"/>
    <x v="0"/>
    <s v="42"/>
    <n v="42"/>
    <m/>
    <s v="   "/>
    <n v="0.5"/>
  </r>
  <r>
    <x v="249"/>
    <s v="Kettle Falls School District"/>
    <s v="Personnel"/>
    <s v="E "/>
    <x v="0"/>
    <x v="48"/>
    <s v="PSES Elem Prog01Duty46 S275"/>
    <x v="0"/>
    <s v="46"/>
    <n v="46"/>
    <m/>
    <s v="   "/>
    <n v="0.77700000000000002"/>
  </r>
  <r>
    <x v="249"/>
    <s v="Kettle Falls School District"/>
    <s v="Personnel"/>
    <s v="H "/>
    <x v="1"/>
    <x v="23"/>
    <s v="PSES High Prog21Duty46 S275"/>
    <x v="1"/>
    <s v="46"/>
    <n v="46"/>
    <m/>
    <s v="   "/>
    <n v="0.2"/>
  </r>
  <r>
    <x v="249"/>
    <s v="Kettle Falls School District"/>
    <s v="Personnel"/>
    <s v="M "/>
    <x v="2"/>
    <x v="24"/>
    <s v="PSES Mid Prog21Duty46 S275"/>
    <x v="1"/>
    <s v="46"/>
    <n v="46"/>
    <m/>
    <s v="   "/>
    <n v="0.1"/>
  </r>
  <r>
    <x v="249"/>
    <s v="Kettle Falls School District"/>
    <s v="Personnel"/>
    <s v="M "/>
    <x v="2"/>
    <x v="49"/>
    <s v="PSES Mid Prog01Duty46 S275"/>
    <x v="0"/>
    <s v="46"/>
    <n v="46"/>
    <m/>
    <s v="   "/>
    <n v="0.223"/>
  </r>
  <r>
    <x v="250"/>
    <s v="Yelm School District"/>
    <s v="Personnel"/>
    <s v="H "/>
    <x v="1"/>
    <x v="4"/>
    <s v="PSES High Prog21Act25 S275"/>
    <x v="1"/>
    <s v="25"/>
    <m/>
    <n v="25"/>
    <s v="   "/>
    <n v="4.4329999999999998"/>
  </r>
  <r>
    <x v="250"/>
    <s v="Yelm School District"/>
    <s v="Personnel"/>
    <s v="H "/>
    <x v="1"/>
    <x v="5"/>
    <s v="PSES High Prog01Act25 S275"/>
    <x v="0"/>
    <s v="25"/>
    <m/>
    <n v="25"/>
    <s v="   "/>
    <n v="5.9569999999999999"/>
  </r>
  <r>
    <x v="250"/>
    <s v="Yelm School District"/>
    <s v="Personnel"/>
    <s v="H "/>
    <x v="1"/>
    <x v="29"/>
    <s v="PSES High Prog21Act26 S275"/>
    <x v="1"/>
    <s v="26"/>
    <m/>
    <n v="26"/>
    <s v="   "/>
    <n v="0.95899999999999996"/>
  </r>
  <r>
    <x v="250"/>
    <s v="Yelm School District"/>
    <s v="Personnel"/>
    <s v="H "/>
    <x v="1"/>
    <x v="9"/>
    <s v="PSES High Prog01Act26 S275"/>
    <x v="0"/>
    <s v="26"/>
    <m/>
    <n v="26"/>
    <s v="   "/>
    <n v="4.758"/>
  </r>
  <r>
    <x v="250"/>
    <s v="Yelm School District"/>
    <s v="Personnel"/>
    <s v="H "/>
    <x v="1"/>
    <x v="54"/>
    <s v="PSES High Prog01Act35 S275"/>
    <x v="0"/>
    <s v="35"/>
    <m/>
    <n v="35"/>
    <s v="   "/>
    <n v="2.1930000000000001"/>
  </r>
  <r>
    <x v="250"/>
    <s v="Yelm School District"/>
    <s v="Personnel"/>
    <s v="E "/>
    <x v="0"/>
    <x v="15"/>
    <s v="PSES Elem Prog01Duty42 S275"/>
    <x v="0"/>
    <s v="42"/>
    <n v="42"/>
    <m/>
    <s v="   "/>
    <n v="3.29"/>
  </r>
  <r>
    <x v="250"/>
    <s v="Yelm School District"/>
    <s v="Personnel"/>
    <s v="H "/>
    <x v="1"/>
    <x v="16"/>
    <s v="PSES High Prog01Duty42 S275"/>
    <x v="0"/>
    <s v="42"/>
    <n v="42"/>
    <m/>
    <s v="   "/>
    <n v="4"/>
  </r>
  <r>
    <x v="250"/>
    <s v="Yelm School District"/>
    <s v="Personnel"/>
    <s v="M "/>
    <x v="2"/>
    <x v="17"/>
    <s v="PSES Mid Prog01Duty42 S275"/>
    <x v="0"/>
    <s v="42"/>
    <n v="42"/>
    <m/>
    <s v="   "/>
    <n v="3"/>
  </r>
  <r>
    <x v="250"/>
    <s v="Yelm School District"/>
    <s v="Personnel"/>
    <s v="E "/>
    <x v="0"/>
    <x v="18"/>
    <s v="PSES Elem Prog21Duty43 S275"/>
    <x v="1"/>
    <s v="43"/>
    <n v="43"/>
    <m/>
    <s v="   "/>
    <n v="0.66600000000000004"/>
  </r>
  <r>
    <x v="250"/>
    <s v="Yelm School District"/>
    <s v="Personnel"/>
    <s v="H "/>
    <x v="1"/>
    <x v="19"/>
    <s v="PSES High Prog21Duty43 S275"/>
    <x v="1"/>
    <s v="43"/>
    <n v="43"/>
    <m/>
    <s v="   "/>
    <n v="0.112"/>
  </r>
  <r>
    <x v="250"/>
    <s v="Yelm School District"/>
    <s v="Personnel"/>
    <s v="M "/>
    <x v="2"/>
    <x v="31"/>
    <s v="PSES Mid Prog21Duty43 S275"/>
    <x v="1"/>
    <s v="43"/>
    <n v="43"/>
    <m/>
    <s v="   "/>
    <n v="0.111"/>
  </r>
  <r>
    <x v="250"/>
    <s v="Yelm School District"/>
    <s v="Personnel"/>
    <s v="E "/>
    <x v="0"/>
    <x v="20"/>
    <s v="PSES Elem Prog21Duty45 S275"/>
    <x v="1"/>
    <s v="45"/>
    <n v="45"/>
    <m/>
    <s v="   "/>
    <n v="3"/>
  </r>
  <r>
    <x v="250"/>
    <s v="Yelm School District"/>
    <s v="Personnel"/>
    <s v="E "/>
    <x v="0"/>
    <x v="22"/>
    <s v="PSES Elem Prog21Duty46 S275"/>
    <x v="1"/>
    <s v="46"/>
    <n v="46"/>
    <m/>
    <s v="   "/>
    <n v="2.6150000000000002"/>
  </r>
  <r>
    <x v="250"/>
    <s v="Yelm School District"/>
    <s v="Personnel"/>
    <s v="H "/>
    <x v="1"/>
    <x v="23"/>
    <s v="PSES High Prog21Duty46 S275"/>
    <x v="1"/>
    <s v="46"/>
    <n v="46"/>
    <m/>
    <s v="   "/>
    <n v="3.0880000000000001"/>
  </r>
  <r>
    <x v="250"/>
    <s v="Yelm School District"/>
    <s v="Personnel"/>
    <s v="M "/>
    <x v="2"/>
    <x v="24"/>
    <s v="PSES Mid Prog21Duty46 S275"/>
    <x v="1"/>
    <s v="46"/>
    <n v="46"/>
    <m/>
    <s v="   "/>
    <n v="1.1759999999999999"/>
  </r>
  <r>
    <x v="250"/>
    <s v="Yelm School District"/>
    <s v="Personnel"/>
    <s v="E "/>
    <x v="0"/>
    <x v="27"/>
    <s v="PSES Elem Prog01Duty47 S275"/>
    <x v="0"/>
    <s v="47"/>
    <n v="47"/>
    <m/>
    <s v="   "/>
    <n v="1.9379999999999999"/>
  </r>
  <r>
    <x v="250"/>
    <s v="Yelm School District"/>
    <s v="Personnel"/>
    <s v="H "/>
    <x v="1"/>
    <x v="25"/>
    <s v="PSES High Prog01Duty47 S275"/>
    <x v="0"/>
    <s v="47"/>
    <n v="47"/>
    <m/>
    <s v="   "/>
    <n v="1.508"/>
  </r>
  <r>
    <x v="250"/>
    <s v="Yelm School District"/>
    <s v="Personnel"/>
    <s v="M "/>
    <x v="2"/>
    <x v="34"/>
    <s v="PSES Mid Prog01Duty47 S275"/>
    <x v="0"/>
    <s v="47"/>
    <n v="47"/>
    <m/>
    <s v="   "/>
    <n v="0.55400000000000005"/>
  </r>
  <r>
    <x v="250"/>
    <s v="Yelm School District"/>
    <s v="Personnel"/>
    <s v="E "/>
    <x v="0"/>
    <x v="35"/>
    <s v="PSES Elem Prog21Duty48 S275"/>
    <x v="1"/>
    <s v="48"/>
    <n v="48"/>
    <m/>
    <s v="   "/>
    <n v="1"/>
  </r>
  <r>
    <x v="250"/>
    <s v="Yelm School District"/>
    <s v="Personnel"/>
    <m/>
    <x v="0"/>
    <x v="66"/>
    <s v="PSES Elem Prog09Duty25 S275"/>
    <x v="3"/>
    <s v="25"/>
    <n v="91"/>
    <n v="25"/>
    <m/>
    <n v="4.3999999999999997E-2"/>
  </r>
  <r>
    <x v="250"/>
    <s v="Yelm School District"/>
    <s v="Personnel"/>
    <m/>
    <x v="0"/>
    <x v="66"/>
    <s v="PSES Elem Prog09Duty25 S275"/>
    <x v="3"/>
    <s v="25"/>
    <n v="91"/>
    <n v="25"/>
    <m/>
    <n v="6.6000000000000003E-2"/>
  </r>
  <r>
    <x v="251"/>
    <s v="North Thurston Public Schools"/>
    <s v="Personnel"/>
    <s v="H "/>
    <x v="1"/>
    <x v="4"/>
    <s v="PSES High Prog21Act25 S275"/>
    <x v="1"/>
    <s v="25"/>
    <m/>
    <n v="25"/>
    <s v="   "/>
    <n v="5.8140000000000001"/>
  </r>
  <r>
    <x v="251"/>
    <s v="North Thurston Public Schools"/>
    <s v="Personnel"/>
    <s v="H "/>
    <x v="1"/>
    <x v="5"/>
    <s v="PSES High Prog01Act25 S275"/>
    <x v="0"/>
    <s v="25"/>
    <m/>
    <n v="25"/>
    <s v="   "/>
    <n v="24.23"/>
  </r>
  <r>
    <x v="251"/>
    <s v="North Thurston Public Schools"/>
    <s v="Personnel"/>
    <s v="H "/>
    <x v="1"/>
    <x v="29"/>
    <s v="PSES High Prog21Act26 S275"/>
    <x v="1"/>
    <s v="26"/>
    <m/>
    <n v="26"/>
    <s v="   "/>
    <n v="2.8159999999999998"/>
  </r>
  <r>
    <x v="251"/>
    <s v="North Thurston Public Schools"/>
    <s v="Personnel"/>
    <s v="H "/>
    <x v="1"/>
    <x v="9"/>
    <s v="PSES High Prog01Act26 S275"/>
    <x v="0"/>
    <s v="26"/>
    <m/>
    <n v="26"/>
    <s v="   "/>
    <n v="14.686999999999999"/>
  </r>
  <r>
    <x v="251"/>
    <s v="North Thurston Public Schools"/>
    <s v="Personnel"/>
    <s v="H "/>
    <x v="1"/>
    <x v="54"/>
    <s v="PSES High Prog01Act35 S275"/>
    <x v="0"/>
    <s v="35"/>
    <m/>
    <n v="35"/>
    <s v="   "/>
    <n v="2.5449999999999999"/>
  </r>
  <r>
    <x v="251"/>
    <s v="North Thurston Public Schools"/>
    <s v="Personnel"/>
    <s v="E "/>
    <x v="0"/>
    <x v="15"/>
    <s v="PSES Elem Prog01Duty42 S275"/>
    <x v="0"/>
    <s v="42"/>
    <n v="42"/>
    <m/>
    <s v="   "/>
    <n v="16.132999999999999"/>
  </r>
  <r>
    <x v="251"/>
    <s v="North Thurston Public Schools"/>
    <s v="Personnel"/>
    <s v="H "/>
    <x v="1"/>
    <x v="16"/>
    <s v="PSES High Prog01Duty42 S275"/>
    <x v="0"/>
    <s v="42"/>
    <n v="42"/>
    <m/>
    <s v="   "/>
    <n v="12"/>
  </r>
  <r>
    <x v="251"/>
    <s v="North Thurston Public Schools"/>
    <s v="Personnel"/>
    <s v="M "/>
    <x v="2"/>
    <x v="17"/>
    <s v="PSES Mid Prog01Duty42 S275"/>
    <x v="0"/>
    <s v="42"/>
    <n v="42"/>
    <m/>
    <s v="   "/>
    <n v="5.4020000000000001"/>
  </r>
  <r>
    <x v="251"/>
    <s v="North Thurston Public Schools"/>
    <s v="Personnel"/>
    <s v="E "/>
    <x v="0"/>
    <x v="18"/>
    <s v="PSES Elem Prog21Duty43 S275"/>
    <x v="1"/>
    <s v="43"/>
    <n v="43"/>
    <m/>
    <s v="   "/>
    <n v="8.2210000000000001"/>
  </r>
  <r>
    <x v="251"/>
    <s v="North Thurston Public Schools"/>
    <s v="Personnel"/>
    <s v="H "/>
    <x v="1"/>
    <x v="19"/>
    <s v="PSES High Prog21Duty43 S275"/>
    <x v="1"/>
    <s v="43"/>
    <n v="43"/>
    <m/>
    <s v="   "/>
    <n v="1.673"/>
  </r>
  <r>
    <x v="251"/>
    <s v="North Thurston Public Schools"/>
    <s v="Personnel"/>
    <s v="M "/>
    <x v="2"/>
    <x v="31"/>
    <s v="PSES Mid Prog21Duty43 S275"/>
    <x v="1"/>
    <s v="43"/>
    <n v="43"/>
    <m/>
    <s v="   "/>
    <n v="1.1060000000000001"/>
  </r>
  <r>
    <x v="251"/>
    <s v="North Thurston Public Schools"/>
    <s v="Personnel"/>
    <s v="E "/>
    <x v="0"/>
    <x v="20"/>
    <s v="PSES Elem Prog21Duty45 S275"/>
    <x v="1"/>
    <s v="45"/>
    <n v="45"/>
    <m/>
    <s v="   "/>
    <n v="25.202000000000002"/>
  </r>
  <r>
    <x v="251"/>
    <s v="North Thurston Public Schools"/>
    <s v="Personnel"/>
    <s v="H "/>
    <x v="1"/>
    <x v="21"/>
    <s v="PSES High Prog21Duty45 S275"/>
    <x v="1"/>
    <s v="45"/>
    <n v="45"/>
    <m/>
    <s v="   "/>
    <n v="4.5110000000000001"/>
  </r>
  <r>
    <x v="251"/>
    <s v="North Thurston Public Schools"/>
    <s v="Personnel"/>
    <s v="M "/>
    <x v="2"/>
    <x v="28"/>
    <s v="PSES Mid Prog21Duty45 S275"/>
    <x v="1"/>
    <s v="45"/>
    <n v="45"/>
    <m/>
    <s v="   "/>
    <n v="3.3540000000000001"/>
  </r>
  <r>
    <x v="251"/>
    <s v="North Thurston Public Schools"/>
    <s v="Personnel"/>
    <s v="E "/>
    <x v="0"/>
    <x v="22"/>
    <s v="PSES Elem Prog21Duty46 S275"/>
    <x v="1"/>
    <s v="46"/>
    <n v="46"/>
    <m/>
    <s v="   "/>
    <n v="12.516999999999999"/>
  </r>
  <r>
    <x v="251"/>
    <s v="North Thurston Public Schools"/>
    <s v="Personnel"/>
    <s v="H "/>
    <x v="1"/>
    <x v="23"/>
    <s v="PSES High Prog21Duty46 S275"/>
    <x v="1"/>
    <s v="46"/>
    <n v="46"/>
    <m/>
    <s v="   "/>
    <n v="4.9669999999999996"/>
  </r>
  <r>
    <x v="251"/>
    <s v="North Thurston Public Schools"/>
    <s v="Personnel"/>
    <s v="M "/>
    <x v="2"/>
    <x v="24"/>
    <s v="PSES Mid Prog21Duty46 S275"/>
    <x v="1"/>
    <s v="46"/>
    <n v="46"/>
    <m/>
    <s v="   "/>
    <n v="2.2200000000000002"/>
  </r>
  <r>
    <x v="251"/>
    <s v="North Thurston Public Schools"/>
    <s v="Personnel"/>
    <s v="E "/>
    <x v="0"/>
    <x v="27"/>
    <s v="PSES Elem Prog01Duty47 S275"/>
    <x v="0"/>
    <s v="47"/>
    <n v="47"/>
    <m/>
    <s v="   "/>
    <n v="11.327999999999999"/>
  </r>
  <r>
    <x v="251"/>
    <s v="North Thurston Public Schools"/>
    <s v="Personnel"/>
    <s v="H "/>
    <x v="1"/>
    <x v="25"/>
    <s v="PSES High Prog01Duty47 S275"/>
    <x v="0"/>
    <s v="47"/>
    <n v="47"/>
    <m/>
    <s v="   "/>
    <n v="6.2"/>
  </r>
  <r>
    <x v="251"/>
    <s v="North Thurston Public Schools"/>
    <s v="Personnel"/>
    <s v="M "/>
    <x v="2"/>
    <x v="34"/>
    <s v="PSES Mid Prog01Duty47 S275"/>
    <x v="0"/>
    <s v="47"/>
    <n v="47"/>
    <m/>
    <s v="   "/>
    <n v="3.472"/>
  </r>
  <r>
    <x v="251"/>
    <s v="North Thurston Public Schools"/>
    <s v="Personnel"/>
    <s v="E "/>
    <x v="0"/>
    <x v="35"/>
    <s v="PSES Elem Prog21Duty48 S275"/>
    <x v="1"/>
    <s v="48"/>
    <n v="48"/>
    <m/>
    <s v="   "/>
    <n v="3.2029999999999998"/>
  </r>
  <r>
    <x v="251"/>
    <s v="North Thurston Public Schools"/>
    <s v="Personnel"/>
    <s v="H "/>
    <x v="1"/>
    <x v="36"/>
    <s v="PSES High Prog21Duty48 S275"/>
    <x v="1"/>
    <s v="48"/>
    <n v="48"/>
    <m/>
    <s v="   "/>
    <n v="0.70699999999999996"/>
  </r>
  <r>
    <x v="251"/>
    <s v="North Thurston Public Schools"/>
    <s v="Personnel"/>
    <s v="M "/>
    <x v="2"/>
    <x v="37"/>
    <s v="PSES Mid Prog21Duty48 S275"/>
    <x v="1"/>
    <s v="48"/>
    <n v="48"/>
    <m/>
    <s v="   "/>
    <n v="0.79"/>
  </r>
  <r>
    <x v="252"/>
    <s v="Tumwater School District"/>
    <s v="Personnel"/>
    <s v="E "/>
    <x v="0"/>
    <x v="67"/>
    <s v="PSES Elem Prog21Act25 S275"/>
    <x v="1"/>
    <s v="25"/>
    <m/>
    <n v="25"/>
    <s v="   "/>
    <n v="1.3620000000000001"/>
  </r>
  <r>
    <x v="252"/>
    <s v="Tumwater School District"/>
    <s v="Personnel"/>
    <s v="E "/>
    <x v="0"/>
    <x v="3"/>
    <s v="PSES Elem Prog01Act25 S275"/>
    <x v="0"/>
    <s v="25"/>
    <m/>
    <n v="25"/>
    <s v="   "/>
    <n v="4.1340000000000003"/>
  </r>
  <r>
    <x v="252"/>
    <s v="Tumwater School District"/>
    <s v="Personnel"/>
    <s v="H "/>
    <x v="1"/>
    <x v="4"/>
    <s v="PSES High Prog21Act25 S275"/>
    <x v="1"/>
    <s v="25"/>
    <m/>
    <n v="25"/>
    <s v="   "/>
    <n v="9.1999999999999998E-2"/>
  </r>
  <r>
    <x v="252"/>
    <s v="Tumwater School District"/>
    <s v="Personnel"/>
    <s v="H "/>
    <x v="1"/>
    <x v="53"/>
    <s v="PSES High Prog97Act25 S275"/>
    <x v="2"/>
    <s v="25"/>
    <m/>
    <n v="25"/>
    <s v="   "/>
    <n v="1"/>
  </r>
  <r>
    <x v="252"/>
    <s v="Tumwater School District"/>
    <s v="Personnel"/>
    <s v="H "/>
    <x v="1"/>
    <x v="5"/>
    <s v="PSES High Prog01Act25 S275"/>
    <x v="0"/>
    <s v="25"/>
    <m/>
    <n v="25"/>
    <s v="   "/>
    <n v="5.39"/>
  </r>
  <r>
    <x v="252"/>
    <s v="Tumwater School District"/>
    <s v="Personnel"/>
    <s v="M "/>
    <x v="2"/>
    <x v="82"/>
    <s v="PSES Mid Prog21Act25 S275"/>
    <x v="1"/>
    <s v="25"/>
    <m/>
    <n v="25"/>
    <s v="   "/>
    <n v="0.13600000000000001"/>
  </r>
  <r>
    <x v="252"/>
    <s v="Tumwater School District"/>
    <s v="Personnel"/>
    <s v="M "/>
    <x v="2"/>
    <x v="6"/>
    <s v="PSES Mid Prog01Act25 S275"/>
    <x v="0"/>
    <s v="25"/>
    <m/>
    <n v="25"/>
    <s v="   "/>
    <n v="1.2330000000000001"/>
  </r>
  <r>
    <x v="252"/>
    <s v="Tumwater School District"/>
    <s v="Personnel"/>
    <s v="E "/>
    <x v="0"/>
    <x v="7"/>
    <s v="PSES Elem Prog21Act26 S275"/>
    <x v="1"/>
    <s v="26"/>
    <m/>
    <n v="26"/>
    <s v="   "/>
    <n v="6.1379999999999999"/>
  </r>
  <r>
    <x v="252"/>
    <s v="Tumwater School District"/>
    <s v="Personnel"/>
    <s v="E "/>
    <x v="0"/>
    <x v="8"/>
    <s v="PSES Elem Prog01Act26 S275"/>
    <x v="0"/>
    <s v="26"/>
    <m/>
    <n v="26"/>
    <s v="   "/>
    <n v="3.5550000000000002"/>
  </r>
  <r>
    <x v="252"/>
    <s v="Tumwater School District"/>
    <s v="Personnel"/>
    <s v="H "/>
    <x v="1"/>
    <x v="29"/>
    <s v="PSES High Prog21Act26 S275"/>
    <x v="1"/>
    <s v="26"/>
    <m/>
    <n v="26"/>
    <s v="   "/>
    <n v="5.2140000000000004"/>
  </r>
  <r>
    <x v="252"/>
    <s v="Tumwater School District"/>
    <s v="Personnel"/>
    <s v="H "/>
    <x v="1"/>
    <x v="9"/>
    <s v="PSES High Prog01Act26 S275"/>
    <x v="0"/>
    <s v="26"/>
    <m/>
    <n v="26"/>
    <s v="   "/>
    <n v="1.476"/>
  </r>
  <r>
    <x v="252"/>
    <s v="Tumwater School District"/>
    <s v="Personnel"/>
    <s v="M "/>
    <x v="2"/>
    <x v="11"/>
    <s v="PSES Mid Prog01Act26 S275"/>
    <x v="0"/>
    <s v="26"/>
    <m/>
    <n v="26"/>
    <s v="   "/>
    <n v="1.292"/>
  </r>
  <r>
    <x v="252"/>
    <s v="Tumwater School District"/>
    <s v="Personnel"/>
    <s v="E "/>
    <x v="0"/>
    <x v="15"/>
    <s v="PSES Elem Prog01Duty42 S275"/>
    <x v="0"/>
    <s v="42"/>
    <n v="42"/>
    <m/>
    <s v="   "/>
    <n v="8.1660000000000004"/>
  </r>
  <r>
    <x v="252"/>
    <s v="Tumwater School District"/>
    <s v="Personnel"/>
    <s v="H "/>
    <x v="1"/>
    <x v="16"/>
    <s v="PSES High Prog01Duty42 S275"/>
    <x v="0"/>
    <s v="42"/>
    <n v="42"/>
    <m/>
    <s v="   "/>
    <n v="6.2"/>
  </r>
  <r>
    <x v="252"/>
    <s v="Tumwater School District"/>
    <s v="Personnel"/>
    <s v="M "/>
    <x v="2"/>
    <x v="17"/>
    <s v="PSES Mid Prog01Duty42 S275"/>
    <x v="0"/>
    <s v="42"/>
    <n v="42"/>
    <m/>
    <s v="   "/>
    <n v="3.3340000000000001"/>
  </r>
  <r>
    <x v="252"/>
    <s v="Tumwater School District"/>
    <s v="Personnel"/>
    <s v="E "/>
    <x v="0"/>
    <x v="18"/>
    <s v="PSES Elem Prog21Duty43 S275"/>
    <x v="1"/>
    <s v="43"/>
    <n v="43"/>
    <m/>
    <s v="   "/>
    <n v="2.4300000000000002"/>
  </r>
  <r>
    <x v="252"/>
    <s v="Tumwater School District"/>
    <s v="Personnel"/>
    <s v="H "/>
    <x v="1"/>
    <x v="19"/>
    <s v="PSES High Prog21Duty43 S275"/>
    <x v="1"/>
    <s v="43"/>
    <n v="43"/>
    <m/>
    <s v="   "/>
    <n v="0.30399999999999999"/>
  </r>
  <r>
    <x v="252"/>
    <s v="Tumwater School District"/>
    <s v="Personnel"/>
    <s v="M "/>
    <x v="2"/>
    <x v="31"/>
    <s v="PSES Mid Prog21Duty43 S275"/>
    <x v="1"/>
    <s v="43"/>
    <n v="43"/>
    <m/>
    <s v="   "/>
    <n v="0.22600000000000001"/>
  </r>
  <r>
    <x v="252"/>
    <s v="Tumwater School District"/>
    <s v="Personnel"/>
    <s v="E "/>
    <x v="0"/>
    <x v="20"/>
    <s v="PSES Elem Prog21Duty45 S275"/>
    <x v="1"/>
    <s v="45"/>
    <n v="45"/>
    <m/>
    <s v="   "/>
    <n v="4.8540000000000001"/>
  </r>
  <r>
    <x v="252"/>
    <s v="Tumwater School District"/>
    <s v="Personnel"/>
    <s v="H "/>
    <x v="1"/>
    <x v="21"/>
    <s v="PSES High Prog21Duty45 S275"/>
    <x v="1"/>
    <s v="45"/>
    <n v="45"/>
    <m/>
    <s v="   "/>
    <n v="3"/>
  </r>
  <r>
    <x v="252"/>
    <s v="Tumwater School District"/>
    <s v="Personnel"/>
    <s v="M "/>
    <x v="2"/>
    <x v="28"/>
    <s v="PSES Mid Prog21Duty45 S275"/>
    <x v="1"/>
    <s v="45"/>
    <n v="45"/>
    <m/>
    <s v="   "/>
    <n v="0.82"/>
  </r>
  <r>
    <x v="252"/>
    <s v="Tumwater School District"/>
    <s v="Personnel"/>
    <s v="E "/>
    <x v="0"/>
    <x v="22"/>
    <s v="PSES Elem Prog21Duty46 S275"/>
    <x v="1"/>
    <s v="46"/>
    <n v="46"/>
    <m/>
    <s v="   "/>
    <n v="3.1"/>
  </r>
  <r>
    <x v="252"/>
    <s v="Tumwater School District"/>
    <s v="Personnel"/>
    <s v="H "/>
    <x v="1"/>
    <x v="23"/>
    <s v="PSES High Prog21Duty46 S275"/>
    <x v="1"/>
    <s v="46"/>
    <n v="46"/>
    <m/>
    <s v="   "/>
    <n v="3.1"/>
  </r>
  <r>
    <x v="252"/>
    <s v="Tumwater School District"/>
    <s v="Personnel"/>
    <s v="M "/>
    <x v="2"/>
    <x v="24"/>
    <s v="PSES Mid Prog21Duty46 S275"/>
    <x v="1"/>
    <s v="46"/>
    <n v="46"/>
    <m/>
    <s v="   "/>
    <n v="0.5"/>
  </r>
  <r>
    <x v="252"/>
    <s v="Tumwater School District"/>
    <s v="Personnel"/>
    <s v="E "/>
    <x v="0"/>
    <x v="27"/>
    <s v="PSES Elem Prog01Duty47 S275"/>
    <x v="0"/>
    <s v="47"/>
    <n v="47"/>
    <m/>
    <s v="   "/>
    <n v="3.2639999999999998"/>
  </r>
  <r>
    <x v="252"/>
    <s v="Tumwater School District"/>
    <s v="Personnel"/>
    <s v="H "/>
    <x v="1"/>
    <x v="25"/>
    <s v="PSES High Prog01Duty47 S275"/>
    <x v="0"/>
    <s v="47"/>
    <n v="47"/>
    <m/>
    <s v="   "/>
    <n v="0.8"/>
  </r>
  <r>
    <x v="252"/>
    <s v="Tumwater School District"/>
    <s v="Personnel"/>
    <s v="M "/>
    <x v="2"/>
    <x v="34"/>
    <s v="PSES Mid Prog01Duty47 S275"/>
    <x v="0"/>
    <s v="47"/>
    <n v="47"/>
    <m/>
    <s v="   "/>
    <n v="0.93600000000000005"/>
  </r>
  <r>
    <x v="252"/>
    <s v="Tumwater School District"/>
    <s v="Personnel"/>
    <s v="E "/>
    <x v="0"/>
    <x v="26"/>
    <s v="PSES Elem Prog21Duty49 S275"/>
    <x v="1"/>
    <s v="49"/>
    <n v="49"/>
    <m/>
    <s v="   "/>
    <n v="0.54500000000000004"/>
  </r>
  <r>
    <x v="252"/>
    <s v="Tumwater School District"/>
    <s v="Personnel"/>
    <s v="H "/>
    <x v="1"/>
    <x v="55"/>
    <s v="PSES High Prog21Duty49 S275"/>
    <x v="1"/>
    <s v="49"/>
    <n v="49"/>
    <m/>
    <s v="   "/>
    <n v="0.27300000000000002"/>
  </r>
  <r>
    <x v="252"/>
    <s v="Tumwater School District"/>
    <s v="Personnel"/>
    <s v="M "/>
    <x v="2"/>
    <x v="50"/>
    <s v="PSES Mid Prog21Duty49 S275"/>
    <x v="1"/>
    <s v="49"/>
    <n v="49"/>
    <m/>
    <s v="   "/>
    <n v="0.182"/>
  </r>
  <r>
    <x v="253"/>
    <s v="Olympia School District"/>
    <s v="Personnel"/>
    <s v="H "/>
    <x v="1"/>
    <x v="1"/>
    <s v="PSES High Prog01Duty96 S275"/>
    <x v="0"/>
    <s v="24"/>
    <n v="96"/>
    <n v="24"/>
    <s v="   "/>
    <n v="2.37"/>
  </r>
  <r>
    <x v="253"/>
    <s v="Olympia School District"/>
    <s v="Personnel"/>
    <s v="E "/>
    <x v="0"/>
    <x v="3"/>
    <s v="PSES Elem Prog01Act25 S275"/>
    <x v="0"/>
    <s v="25"/>
    <m/>
    <n v="25"/>
    <s v="   "/>
    <n v="0.27100000000000002"/>
  </r>
  <r>
    <x v="253"/>
    <s v="Olympia School District"/>
    <s v="Personnel"/>
    <s v="H "/>
    <x v="1"/>
    <x v="5"/>
    <s v="PSES High Prog01Act25 S275"/>
    <x v="0"/>
    <s v="25"/>
    <m/>
    <n v="25"/>
    <s v="   "/>
    <n v="1.8720000000000001"/>
  </r>
  <r>
    <x v="253"/>
    <s v="Olympia School District"/>
    <s v="Personnel"/>
    <s v="M "/>
    <x v="2"/>
    <x v="6"/>
    <s v="PSES Mid Prog01Act25 S275"/>
    <x v="0"/>
    <s v="25"/>
    <m/>
    <n v="25"/>
    <s v="   "/>
    <n v="0.55200000000000005"/>
  </r>
  <r>
    <x v="253"/>
    <s v="Olympia School District"/>
    <s v="Personnel"/>
    <s v="E "/>
    <x v="0"/>
    <x v="7"/>
    <s v="PSES Elem Prog21Act26 S275"/>
    <x v="1"/>
    <s v="26"/>
    <m/>
    <n v="26"/>
    <s v="   "/>
    <n v="0.60099999999999998"/>
  </r>
  <r>
    <x v="253"/>
    <s v="Olympia School District"/>
    <s v="Personnel"/>
    <s v="E "/>
    <x v="0"/>
    <x v="8"/>
    <s v="PSES Elem Prog01Act26 S275"/>
    <x v="0"/>
    <s v="26"/>
    <m/>
    <n v="26"/>
    <s v="   "/>
    <n v="4.2060000000000004"/>
  </r>
  <r>
    <x v="253"/>
    <s v="Olympia School District"/>
    <s v="Personnel"/>
    <s v="H "/>
    <x v="1"/>
    <x v="29"/>
    <s v="PSES High Prog21Act26 S275"/>
    <x v="1"/>
    <s v="26"/>
    <m/>
    <n v="26"/>
    <s v="   "/>
    <n v="1.3140000000000001"/>
  </r>
  <r>
    <x v="253"/>
    <s v="Olympia School District"/>
    <s v="Personnel"/>
    <s v="H "/>
    <x v="1"/>
    <x v="9"/>
    <s v="PSES High Prog01Act26 S275"/>
    <x v="0"/>
    <s v="26"/>
    <m/>
    <n v="26"/>
    <s v="   "/>
    <n v="2.4159999999999999"/>
  </r>
  <r>
    <x v="253"/>
    <s v="Olympia School District"/>
    <s v="Personnel"/>
    <s v="M "/>
    <x v="2"/>
    <x v="10"/>
    <s v="PSES Mid Prog21Act26 S275"/>
    <x v="1"/>
    <s v="26"/>
    <m/>
    <n v="26"/>
    <s v="   "/>
    <n v="7.6999999999999999E-2"/>
  </r>
  <r>
    <x v="253"/>
    <s v="Olympia School District"/>
    <s v="Personnel"/>
    <s v="M "/>
    <x v="2"/>
    <x v="11"/>
    <s v="PSES Mid Prog01Act26 S275"/>
    <x v="0"/>
    <s v="26"/>
    <m/>
    <n v="26"/>
    <s v="   "/>
    <n v="0.36699999999999999"/>
  </r>
  <r>
    <x v="253"/>
    <s v="Olympia School District"/>
    <s v="Personnel"/>
    <s v="H "/>
    <x v="1"/>
    <x v="54"/>
    <s v="PSES High Prog01Act35 S275"/>
    <x v="0"/>
    <s v="35"/>
    <m/>
    <n v="35"/>
    <s v="   "/>
    <n v="1.0389999999999999"/>
  </r>
  <r>
    <x v="253"/>
    <s v="Olympia School District"/>
    <s v="Personnel"/>
    <s v="E "/>
    <x v="0"/>
    <x v="15"/>
    <s v="PSES Elem Prog01Duty42 S275"/>
    <x v="0"/>
    <s v="42"/>
    <n v="42"/>
    <m/>
    <s v="   "/>
    <n v="1.667"/>
  </r>
  <r>
    <x v="253"/>
    <s v="Olympia School District"/>
    <s v="Personnel"/>
    <s v="H "/>
    <x v="1"/>
    <x v="16"/>
    <s v="PSES High Prog01Duty42 S275"/>
    <x v="0"/>
    <s v="42"/>
    <n v="42"/>
    <m/>
    <s v="   "/>
    <n v="6.9"/>
  </r>
  <r>
    <x v="253"/>
    <s v="Olympia School District"/>
    <s v="Personnel"/>
    <s v="M "/>
    <x v="2"/>
    <x v="17"/>
    <s v="PSES Mid Prog01Duty42 S275"/>
    <x v="0"/>
    <s v="42"/>
    <n v="42"/>
    <m/>
    <s v="   "/>
    <n v="3.629"/>
  </r>
  <r>
    <x v="253"/>
    <s v="Olympia School District"/>
    <s v="Personnel"/>
    <s v="E "/>
    <x v="0"/>
    <x v="18"/>
    <s v="PSES Elem Prog21Duty43 S275"/>
    <x v="1"/>
    <s v="43"/>
    <n v="43"/>
    <m/>
    <s v="   "/>
    <n v="4.8"/>
  </r>
  <r>
    <x v="253"/>
    <s v="Olympia School District"/>
    <s v="Personnel"/>
    <s v="H "/>
    <x v="1"/>
    <x v="19"/>
    <s v="PSES High Prog21Duty43 S275"/>
    <x v="1"/>
    <s v="43"/>
    <n v="43"/>
    <m/>
    <s v="   "/>
    <n v="0.6"/>
  </r>
  <r>
    <x v="253"/>
    <s v="Olympia School District"/>
    <s v="Personnel"/>
    <s v="M "/>
    <x v="2"/>
    <x v="31"/>
    <s v="PSES Mid Prog21Duty43 S275"/>
    <x v="1"/>
    <s v="43"/>
    <n v="43"/>
    <m/>
    <s v="   "/>
    <n v="0.4"/>
  </r>
  <r>
    <x v="253"/>
    <s v="Olympia School District"/>
    <s v="Personnel"/>
    <s v="E "/>
    <x v="0"/>
    <x v="42"/>
    <s v="PSES Elem Prog01Duty44 S275"/>
    <x v="0"/>
    <s v="44"/>
    <n v="44"/>
    <m/>
    <s v="   "/>
    <n v="7.8"/>
  </r>
  <r>
    <x v="253"/>
    <s v="Olympia School District"/>
    <s v="Personnel"/>
    <s v="H "/>
    <x v="1"/>
    <x v="44"/>
    <s v="PSES High Prog01Duty44 S275"/>
    <x v="0"/>
    <s v="44"/>
    <n v="44"/>
    <m/>
    <s v="   "/>
    <n v="2.4"/>
  </r>
  <r>
    <x v="253"/>
    <s v="Olympia School District"/>
    <s v="Personnel"/>
    <s v="M "/>
    <x v="2"/>
    <x v="46"/>
    <s v="PSES Mid Prog01Duty44 S275"/>
    <x v="0"/>
    <s v="44"/>
    <n v="44"/>
    <m/>
    <s v="   "/>
    <n v="1.4"/>
  </r>
  <r>
    <x v="253"/>
    <s v="Olympia School District"/>
    <s v="Personnel"/>
    <s v="E "/>
    <x v="0"/>
    <x v="20"/>
    <s v="PSES Elem Prog21Duty45 S275"/>
    <x v="1"/>
    <s v="45"/>
    <n v="45"/>
    <m/>
    <s v="   "/>
    <n v="11.978"/>
  </r>
  <r>
    <x v="253"/>
    <s v="Olympia School District"/>
    <s v="Personnel"/>
    <s v="H "/>
    <x v="1"/>
    <x v="21"/>
    <s v="PSES High Prog21Duty45 S275"/>
    <x v="1"/>
    <s v="45"/>
    <n v="45"/>
    <m/>
    <s v="   "/>
    <n v="2.8"/>
  </r>
  <r>
    <x v="253"/>
    <s v="Olympia School District"/>
    <s v="Personnel"/>
    <s v="M "/>
    <x v="2"/>
    <x v="28"/>
    <s v="PSES Mid Prog21Duty45 S275"/>
    <x v="1"/>
    <s v="45"/>
    <n v="45"/>
    <m/>
    <s v="   "/>
    <n v="1.6"/>
  </r>
  <r>
    <x v="253"/>
    <s v="Olympia School District"/>
    <s v="Personnel"/>
    <s v="E "/>
    <x v="0"/>
    <x v="22"/>
    <s v="PSES Elem Prog21Duty46 S275"/>
    <x v="1"/>
    <s v="46"/>
    <n v="46"/>
    <m/>
    <s v="   "/>
    <n v="5.2670000000000003"/>
  </r>
  <r>
    <x v="253"/>
    <s v="Olympia School District"/>
    <s v="Personnel"/>
    <s v="E "/>
    <x v="0"/>
    <x v="48"/>
    <s v="PSES Elem Prog01Duty46 S275"/>
    <x v="0"/>
    <s v="46"/>
    <n v="46"/>
    <m/>
    <s v="   "/>
    <n v="0.1"/>
  </r>
  <r>
    <x v="253"/>
    <s v="Olympia School District"/>
    <s v="Personnel"/>
    <s v="H "/>
    <x v="1"/>
    <x v="23"/>
    <s v="PSES High Prog21Duty46 S275"/>
    <x v="1"/>
    <s v="46"/>
    <n v="46"/>
    <m/>
    <s v="   "/>
    <n v="3.2"/>
  </r>
  <r>
    <x v="253"/>
    <s v="Olympia School District"/>
    <s v="Personnel"/>
    <s v="M "/>
    <x v="2"/>
    <x v="24"/>
    <s v="PSES Mid Prog21Duty46 S275"/>
    <x v="1"/>
    <s v="46"/>
    <n v="46"/>
    <m/>
    <s v="   "/>
    <n v="0.93300000000000005"/>
  </r>
  <r>
    <x v="253"/>
    <s v="Olympia School District"/>
    <s v="Personnel"/>
    <s v="E "/>
    <x v="0"/>
    <x v="27"/>
    <s v="PSES Elem Prog01Duty47 S275"/>
    <x v="0"/>
    <s v="47"/>
    <n v="47"/>
    <m/>
    <s v="   "/>
    <n v="3.3679999999999999"/>
  </r>
  <r>
    <x v="253"/>
    <s v="Olympia School District"/>
    <s v="Personnel"/>
    <s v="H "/>
    <x v="1"/>
    <x v="25"/>
    <s v="PSES High Prog01Duty47 S275"/>
    <x v="0"/>
    <s v="47"/>
    <n v="47"/>
    <m/>
    <s v="   "/>
    <n v="1.9"/>
  </r>
  <r>
    <x v="253"/>
    <s v="Olympia School District"/>
    <s v="Personnel"/>
    <s v="M "/>
    <x v="2"/>
    <x v="34"/>
    <s v="PSES Mid Prog01Duty47 S275"/>
    <x v="0"/>
    <s v="47"/>
    <n v="47"/>
    <m/>
    <s v="   "/>
    <n v="0.93300000000000005"/>
  </r>
  <r>
    <x v="253"/>
    <s v="Olympia School District"/>
    <s v="Personnel"/>
    <s v="E "/>
    <x v="0"/>
    <x v="35"/>
    <s v="PSES Elem Prog21Duty48 S275"/>
    <x v="1"/>
    <s v="48"/>
    <n v="48"/>
    <m/>
    <s v="   "/>
    <n v="2.2999999999999998"/>
  </r>
  <r>
    <x v="253"/>
    <s v="Olympia School District"/>
    <s v="Personnel"/>
    <s v="H "/>
    <x v="1"/>
    <x v="36"/>
    <s v="PSES High Prog21Duty48 S275"/>
    <x v="1"/>
    <s v="48"/>
    <n v="48"/>
    <m/>
    <s v="   "/>
    <n v="0.2"/>
  </r>
  <r>
    <x v="253"/>
    <s v="Olympia School District"/>
    <s v="Personnel"/>
    <s v="M "/>
    <x v="2"/>
    <x v="37"/>
    <s v="PSES Mid Prog21Duty48 S275"/>
    <x v="1"/>
    <s v="48"/>
    <n v="48"/>
    <m/>
    <s v="   "/>
    <n v="0.1"/>
  </r>
  <r>
    <x v="254"/>
    <s v="Rainier School District"/>
    <s v="Personnel"/>
    <s v="E "/>
    <x v="0"/>
    <x v="3"/>
    <s v="PSES Elem Prog01Act25 S275"/>
    <x v="0"/>
    <s v="25"/>
    <m/>
    <n v="25"/>
    <s v="   "/>
    <n v="1.1020000000000001"/>
  </r>
  <r>
    <x v="254"/>
    <s v="Rainier School District"/>
    <s v="Personnel"/>
    <s v="H "/>
    <x v="1"/>
    <x v="5"/>
    <s v="PSES High Prog01Act25 S275"/>
    <x v="0"/>
    <s v="25"/>
    <m/>
    <n v="25"/>
    <s v="   "/>
    <n v="4.4999999999999998E-2"/>
  </r>
  <r>
    <x v="254"/>
    <s v="Rainier School District"/>
    <s v="Personnel"/>
    <s v="M "/>
    <x v="2"/>
    <x v="6"/>
    <s v="PSES Mid Prog01Act25 S275"/>
    <x v="0"/>
    <s v="25"/>
    <m/>
    <n v="25"/>
    <s v="   "/>
    <n v="0.13900000000000001"/>
  </r>
  <r>
    <x v="254"/>
    <s v="Rainier School District"/>
    <s v="Personnel"/>
    <s v="E "/>
    <x v="0"/>
    <x v="7"/>
    <s v="PSES Elem Prog21Act26 S275"/>
    <x v="1"/>
    <s v="26"/>
    <m/>
    <n v="26"/>
    <s v="   "/>
    <n v="0.92700000000000005"/>
  </r>
  <r>
    <x v="254"/>
    <s v="Rainier School District"/>
    <s v="Personnel"/>
    <s v="H "/>
    <x v="1"/>
    <x v="29"/>
    <s v="PSES High Prog21Act26 S275"/>
    <x v="1"/>
    <s v="26"/>
    <m/>
    <n v="26"/>
    <s v="   "/>
    <n v="3.5999999999999997E-2"/>
  </r>
  <r>
    <x v="254"/>
    <s v="Rainier School District"/>
    <s v="Personnel"/>
    <s v="M "/>
    <x v="2"/>
    <x v="10"/>
    <s v="PSES Mid Prog21Act26 S275"/>
    <x v="1"/>
    <s v="26"/>
    <m/>
    <n v="26"/>
    <s v="   "/>
    <n v="0.219"/>
  </r>
  <r>
    <x v="254"/>
    <s v="Rainier School District"/>
    <s v="Personnel"/>
    <s v="E "/>
    <x v="0"/>
    <x v="15"/>
    <s v="PSES Elem Prog01Duty42 S275"/>
    <x v="0"/>
    <s v="42"/>
    <n v="42"/>
    <m/>
    <s v="   "/>
    <n v="0.5"/>
  </r>
  <r>
    <x v="254"/>
    <s v="Rainier School District"/>
    <s v="Personnel"/>
    <s v="H "/>
    <x v="1"/>
    <x v="16"/>
    <s v="PSES High Prog01Duty42 S275"/>
    <x v="0"/>
    <s v="42"/>
    <n v="42"/>
    <m/>
    <s v="   "/>
    <n v="1"/>
  </r>
  <r>
    <x v="254"/>
    <s v="Rainier School District"/>
    <s v="Personnel"/>
    <s v="M "/>
    <x v="2"/>
    <x v="17"/>
    <s v="PSES Mid Prog01Duty42 S275"/>
    <x v="0"/>
    <s v="42"/>
    <n v="42"/>
    <m/>
    <s v="   "/>
    <n v="0.5"/>
  </r>
  <r>
    <x v="254"/>
    <s v="Rainier School District"/>
    <s v="Personnel"/>
    <s v="E "/>
    <x v="0"/>
    <x v="18"/>
    <s v="PSES Elem Prog21Duty43 S275"/>
    <x v="1"/>
    <s v="43"/>
    <n v="43"/>
    <m/>
    <s v="   "/>
    <n v="0.67"/>
  </r>
  <r>
    <x v="254"/>
    <s v="Rainier School District"/>
    <s v="Personnel"/>
    <s v="H "/>
    <x v="1"/>
    <x v="19"/>
    <s v="PSES High Prog21Duty43 S275"/>
    <x v="1"/>
    <s v="43"/>
    <n v="43"/>
    <m/>
    <s v="   "/>
    <n v="0.08"/>
  </r>
  <r>
    <x v="254"/>
    <s v="Rainier School District"/>
    <s v="Personnel"/>
    <s v="M "/>
    <x v="2"/>
    <x v="31"/>
    <s v="PSES Mid Prog21Duty43 S275"/>
    <x v="1"/>
    <s v="43"/>
    <n v="43"/>
    <m/>
    <s v="   "/>
    <n v="0.25"/>
  </r>
  <r>
    <x v="254"/>
    <s v="Rainier School District"/>
    <s v="Personnel"/>
    <s v="E "/>
    <x v="0"/>
    <x v="79"/>
    <s v="PSES Elem Prog01Duty49 S275"/>
    <x v="0"/>
    <s v="49"/>
    <n v="49"/>
    <m/>
    <s v="   "/>
    <n v="1"/>
  </r>
  <r>
    <x v="254"/>
    <s v="Rainier School District"/>
    <s v="Personnel"/>
    <s v="M "/>
    <x v="2"/>
    <x v="89"/>
    <s v="PSES Mid Prog01Duty49 S275"/>
    <x v="0"/>
    <s v="49"/>
    <n v="49"/>
    <m/>
    <s v="   "/>
    <n v="0.6"/>
  </r>
  <r>
    <x v="255"/>
    <s v="Griffin School District"/>
    <s v="Personnel"/>
    <s v="H "/>
    <x v="1"/>
    <x v="5"/>
    <s v="PSES High Prog01Act25 S275"/>
    <x v="0"/>
    <s v="25"/>
    <m/>
    <n v="25"/>
    <s v="   "/>
    <n v="1.7230000000000001"/>
  </r>
  <r>
    <x v="255"/>
    <s v="Griffin School District"/>
    <s v="Personnel"/>
    <s v="E "/>
    <x v="0"/>
    <x v="8"/>
    <s v="PSES Elem Prog01Act26 S275"/>
    <x v="0"/>
    <s v="26"/>
    <m/>
    <n v="26"/>
    <s v="   "/>
    <n v="0.32400000000000001"/>
  </r>
  <r>
    <x v="255"/>
    <s v="Griffin School District"/>
    <s v="Personnel"/>
    <s v="M "/>
    <x v="2"/>
    <x v="11"/>
    <s v="PSES Mid Prog01Act26 S275"/>
    <x v="0"/>
    <s v="26"/>
    <m/>
    <n v="26"/>
    <s v="   "/>
    <n v="0.182"/>
  </r>
  <r>
    <x v="255"/>
    <s v="Griffin School District"/>
    <s v="Personnel"/>
    <s v="E "/>
    <x v="0"/>
    <x v="15"/>
    <s v="PSES Elem Prog01Duty42 S275"/>
    <x v="0"/>
    <s v="42"/>
    <n v="42"/>
    <m/>
    <s v="   "/>
    <n v="0.8"/>
  </r>
  <r>
    <x v="255"/>
    <s v="Griffin School District"/>
    <s v="Personnel"/>
    <s v="M "/>
    <x v="2"/>
    <x v="17"/>
    <s v="PSES Mid Prog01Duty42 S275"/>
    <x v="0"/>
    <s v="42"/>
    <n v="42"/>
    <m/>
    <s v="   "/>
    <n v="1"/>
  </r>
  <r>
    <x v="256"/>
    <s v="Rochester School District"/>
    <s v="Personnel"/>
    <s v="H "/>
    <x v="1"/>
    <x v="29"/>
    <s v="PSES High Prog21Act26 S275"/>
    <x v="1"/>
    <s v="26"/>
    <m/>
    <n v="26"/>
    <s v="   "/>
    <n v="0.88100000000000001"/>
  </r>
  <r>
    <x v="256"/>
    <s v="Rochester School District"/>
    <s v="Personnel"/>
    <s v="E "/>
    <x v="0"/>
    <x v="15"/>
    <s v="PSES Elem Prog01Duty42 S275"/>
    <x v="0"/>
    <s v="42"/>
    <n v="42"/>
    <m/>
    <s v="   "/>
    <n v="2.3330000000000002"/>
  </r>
  <r>
    <x v="256"/>
    <s v="Rochester School District"/>
    <s v="Personnel"/>
    <s v="H "/>
    <x v="1"/>
    <x v="16"/>
    <s v="PSES High Prog01Duty42 S275"/>
    <x v="0"/>
    <s v="42"/>
    <n v="42"/>
    <m/>
    <s v="   "/>
    <n v="2"/>
  </r>
  <r>
    <x v="256"/>
    <s v="Rochester School District"/>
    <s v="Personnel"/>
    <s v="M "/>
    <x v="2"/>
    <x v="17"/>
    <s v="PSES Mid Prog01Duty42 S275"/>
    <x v="0"/>
    <s v="42"/>
    <n v="42"/>
    <m/>
    <s v="   "/>
    <n v="0.66700000000000004"/>
  </r>
  <r>
    <x v="256"/>
    <s v="Rochester School District"/>
    <s v="Personnel"/>
    <s v="E "/>
    <x v="0"/>
    <x v="20"/>
    <s v="PSES Elem Prog21Duty45 S275"/>
    <x v="1"/>
    <s v="45"/>
    <n v="45"/>
    <m/>
    <s v="   "/>
    <n v="1.25"/>
  </r>
  <r>
    <x v="256"/>
    <s v="Rochester School District"/>
    <s v="Personnel"/>
    <s v="E "/>
    <x v="0"/>
    <x v="22"/>
    <s v="PSES Elem Prog21Duty46 S275"/>
    <x v="1"/>
    <s v="46"/>
    <n v="46"/>
    <m/>
    <s v="   "/>
    <n v="1.1000000000000001"/>
  </r>
  <r>
    <x v="256"/>
    <s v="Rochester School District"/>
    <s v="Personnel"/>
    <s v="H "/>
    <x v="1"/>
    <x v="23"/>
    <s v="PSES High Prog21Duty46 S275"/>
    <x v="1"/>
    <s v="46"/>
    <n v="46"/>
    <m/>
    <s v="   "/>
    <n v="0.4"/>
  </r>
  <r>
    <x v="257"/>
    <s v="Tenino School District"/>
    <s v="Personnel"/>
    <s v="E "/>
    <x v="0"/>
    <x v="8"/>
    <s v="PSES Elem Prog01Act26 S275"/>
    <x v="0"/>
    <s v="26"/>
    <m/>
    <n v="26"/>
    <s v="   "/>
    <n v="0.75"/>
  </r>
  <r>
    <x v="257"/>
    <s v="Tenino School District"/>
    <s v="Personnel"/>
    <s v="H "/>
    <x v="1"/>
    <x v="9"/>
    <s v="PSES High Prog01Act26 S275"/>
    <x v="0"/>
    <s v="26"/>
    <m/>
    <n v="26"/>
    <s v="   "/>
    <n v="0.375"/>
  </r>
  <r>
    <x v="257"/>
    <s v="Tenino School District"/>
    <s v="Personnel"/>
    <s v="M "/>
    <x v="2"/>
    <x v="11"/>
    <s v="PSES Mid Prog01Act26 S275"/>
    <x v="0"/>
    <s v="26"/>
    <m/>
    <n v="26"/>
    <s v="   "/>
    <n v="0.375"/>
  </r>
  <r>
    <x v="257"/>
    <s v="Tenino School District"/>
    <s v="Personnel"/>
    <s v="E "/>
    <x v="0"/>
    <x v="15"/>
    <s v="PSES Elem Prog01Duty42 S275"/>
    <x v="0"/>
    <s v="42"/>
    <n v="42"/>
    <m/>
    <s v="   "/>
    <n v="1.8"/>
  </r>
  <r>
    <x v="257"/>
    <s v="Tenino School District"/>
    <s v="Personnel"/>
    <s v="H "/>
    <x v="1"/>
    <x v="16"/>
    <s v="PSES High Prog01Duty42 S275"/>
    <x v="0"/>
    <s v="42"/>
    <n v="42"/>
    <m/>
    <s v="   "/>
    <n v="0.75"/>
  </r>
  <r>
    <x v="257"/>
    <s v="Tenino School District"/>
    <s v="Personnel"/>
    <s v="M "/>
    <x v="2"/>
    <x v="17"/>
    <s v="PSES Mid Prog01Duty42 S275"/>
    <x v="0"/>
    <s v="42"/>
    <n v="42"/>
    <m/>
    <s v="   "/>
    <n v="0.6"/>
  </r>
  <r>
    <x v="257"/>
    <s v="Tenino School District"/>
    <s v="Personnel"/>
    <s v="E "/>
    <x v="0"/>
    <x v="20"/>
    <s v="PSES Elem Prog21Duty45 S275"/>
    <x v="1"/>
    <s v="45"/>
    <n v="45"/>
    <m/>
    <s v="   "/>
    <n v="1"/>
  </r>
  <r>
    <x v="258"/>
    <s v="WA HE LUT Indian School Agency"/>
    <s v="Personnel"/>
    <s v="E "/>
    <x v="0"/>
    <x v="15"/>
    <s v="PSES Elem Prog01Duty42 S275"/>
    <x v="0"/>
    <s v="42"/>
    <n v="42"/>
    <m/>
    <s v="   "/>
    <n v="0.67"/>
  </r>
  <r>
    <x v="258"/>
    <s v="WA HE LUT Indian School Agency"/>
    <s v="Personnel"/>
    <s v="M "/>
    <x v="2"/>
    <x v="17"/>
    <s v="PSES Mid Prog01Duty42 S275"/>
    <x v="0"/>
    <s v="42"/>
    <n v="42"/>
    <m/>
    <s v="   "/>
    <n v="0.33"/>
  </r>
  <r>
    <x v="259"/>
    <s v="Wahkiakum School District"/>
    <s v="Personnel"/>
    <s v="E "/>
    <x v="0"/>
    <x v="3"/>
    <s v="PSES Elem Prog01Act25 S275"/>
    <x v="0"/>
    <s v="25"/>
    <m/>
    <n v="25"/>
    <s v="   "/>
    <n v="0.93700000000000006"/>
  </r>
  <r>
    <x v="259"/>
    <s v="Wahkiakum School District"/>
    <s v="Personnel"/>
    <s v="M "/>
    <x v="2"/>
    <x v="6"/>
    <s v="PSES Mid Prog01Act25 S275"/>
    <x v="0"/>
    <s v="25"/>
    <m/>
    <n v="25"/>
    <s v="   "/>
    <n v="0.17699999999999999"/>
  </r>
  <r>
    <x v="260"/>
    <s v="Walla Walla Public Schools"/>
    <s v="Personnel"/>
    <s v="H "/>
    <x v="1"/>
    <x v="4"/>
    <s v="PSES High Prog21Act25 S275"/>
    <x v="1"/>
    <s v="25"/>
    <m/>
    <n v="25"/>
    <s v="   "/>
    <n v="3.7909999999999999"/>
  </r>
  <r>
    <x v="260"/>
    <s v="Walla Walla Public Schools"/>
    <s v="Personnel"/>
    <s v="E "/>
    <x v="0"/>
    <x v="7"/>
    <s v="PSES Elem Prog21Act26 S275"/>
    <x v="1"/>
    <s v="26"/>
    <m/>
    <n v="26"/>
    <s v="   "/>
    <n v="5.6000000000000001E-2"/>
  </r>
  <r>
    <x v="260"/>
    <s v="Walla Walla Public Schools"/>
    <s v="Personnel"/>
    <s v="E "/>
    <x v="0"/>
    <x v="8"/>
    <s v="PSES Elem Prog01Act26 S275"/>
    <x v="0"/>
    <s v="26"/>
    <m/>
    <n v="26"/>
    <s v="   "/>
    <n v="0.13100000000000001"/>
  </r>
  <r>
    <x v="260"/>
    <s v="Walla Walla Public Schools"/>
    <s v="Personnel"/>
    <s v="H "/>
    <x v="1"/>
    <x v="29"/>
    <s v="PSES High Prog21Act26 S275"/>
    <x v="1"/>
    <s v="26"/>
    <m/>
    <n v="26"/>
    <s v="   "/>
    <n v="0.54800000000000004"/>
  </r>
  <r>
    <x v="260"/>
    <s v="Walla Walla Public Schools"/>
    <s v="Personnel"/>
    <s v="H "/>
    <x v="1"/>
    <x v="9"/>
    <s v="PSES High Prog01Act26 S275"/>
    <x v="0"/>
    <s v="26"/>
    <m/>
    <n v="26"/>
    <s v="   "/>
    <n v="3.8679999999999999"/>
  </r>
  <r>
    <x v="260"/>
    <s v="Walla Walla Public Schools"/>
    <s v="Personnel"/>
    <s v="M "/>
    <x v="2"/>
    <x v="11"/>
    <s v="PSES Mid Prog01Act26 S275"/>
    <x v="0"/>
    <s v="26"/>
    <m/>
    <n v="26"/>
    <s v="   "/>
    <n v="0.373"/>
  </r>
  <r>
    <x v="260"/>
    <s v="Walla Walla Public Schools"/>
    <s v="Personnel"/>
    <s v="E "/>
    <x v="0"/>
    <x v="62"/>
    <s v="PSES Elem Prog01Act35 S275"/>
    <x v="0"/>
    <s v="35"/>
    <m/>
    <n v="35"/>
    <s v="   "/>
    <n v="0.48399999999999999"/>
  </r>
  <r>
    <x v="260"/>
    <s v="Walla Walla Public Schools"/>
    <s v="Personnel"/>
    <s v="H "/>
    <x v="1"/>
    <x v="54"/>
    <s v="PSES High Prog01Act35 S275"/>
    <x v="0"/>
    <s v="35"/>
    <m/>
    <n v="35"/>
    <s v="   "/>
    <n v="2.181"/>
  </r>
  <r>
    <x v="260"/>
    <s v="Walla Walla Public Schools"/>
    <s v="Personnel"/>
    <s v="M "/>
    <x v="2"/>
    <x v="63"/>
    <s v="PSES Mid Prog01Act35 S275"/>
    <x v="0"/>
    <s v="35"/>
    <m/>
    <n v="35"/>
    <s v="   "/>
    <n v="0.97"/>
  </r>
  <r>
    <x v="260"/>
    <s v="Walla Walla Public Schools"/>
    <s v="Personnel"/>
    <s v="E "/>
    <x v="0"/>
    <x v="76"/>
    <s v="PSES Elem Prog21Duty42 S275"/>
    <x v="1"/>
    <s v="42"/>
    <n v="42"/>
    <m/>
    <s v="   "/>
    <n v="0.5"/>
  </r>
  <r>
    <x v="260"/>
    <s v="Walla Walla Public Schools"/>
    <s v="Personnel"/>
    <s v="E "/>
    <x v="0"/>
    <x v="15"/>
    <s v="PSES Elem Prog01Duty42 S275"/>
    <x v="0"/>
    <s v="42"/>
    <n v="42"/>
    <m/>
    <s v="   "/>
    <n v="5.82"/>
  </r>
  <r>
    <x v="260"/>
    <s v="Walla Walla Public Schools"/>
    <s v="Personnel"/>
    <s v="H "/>
    <x v="1"/>
    <x v="16"/>
    <s v="PSES High Prog01Duty42 S275"/>
    <x v="0"/>
    <s v="42"/>
    <n v="42"/>
    <m/>
    <s v="   "/>
    <n v="5"/>
  </r>
  <r>
    <x v="260"/>
    <s v="Walla Walla Public Schools"/>
    <s v="Personnel"/>
    <s v="M "/>
    <x v="2"/>
    <x v="17"/>
    <s v="PSES Mid Prog01Duty42 S275"/>
    <x v="0"/>
    <s v="42"/>
    <n v="42"/>
    <m/>
    <s v="   "/>
    <n v="2.68"/>
  </r>
  <r>
    <x v="260"/>
    <s v="Walla Walla Public Schools"/>
    <s v="Personnel"/>
    <s v="E "/>
    <x v="0"/>
    <x v="18"/>
    <s v="PSES Elem Prog21Duty43 S275"/>
    <x v="1"/>
    <s v="43"/>
    <n v="43"/>
    <m/>
    <s v="   "/>
    <n v="1"/>
  </r>
  <r>
    <x v="260"/>
    <s v="Walla Walla Public Schools"/>
    <s v="Personnel"/>
    <s v="E "/>
    <x v="0"/>
    <x v="20"/>
    <s v="PSES Elem Prog21Duty45 S275"/>
    <x v="1"/>
    <s v="45"/>
    <n v="45"/>
    <m/>
    <s v="   "/>
    <n v="5.1159999999999997"/>
  </r>
  <r>
    <x v="260"/>
    <s v="Walla Walla Public Schools"/>
    <s v="Personnel"/>
    <s v="H "/>
    <x v="1"/>
    <x v="21"/>
    <s v="PSES High Prog21Duty45 S275"/>
    <x v="1"/>
    <s v="45"/>
    <n v="45"/>
    <m/>
    <s v="   "/>
    <n v="1.3080000000000001"/>
  </r>
  <r>
    <x v="260"/>
    <s v="Walla Walla Public Schools"/>
    <s v="Personnel"/>
    <s v="M "/>
    <x v="2"/>
    <x v="28"/>
    <s v="PSES Mid Prog21Duty45 S275"/>
    <x v="1"/>
    <s v="45"/>
    <n v="45"/>
    <m/>
    <s v="   "/>
    <n v="1.3759999999999999"/>
  </r>
  <r>
    <x v="260"/>
    <s v="Walla Walla Public Schools"/>
    <s v="Personnel"/>
    <s v="E "/>
    <x v="0"/>
    <x v="22"/>
    <s v="PSES Elem Prog21Duty46 S275"/>
    <x v="1"/>
    <s v="46"/>
    <n v="46"/>
    <m/>
    <s v="   "/>
    <n v="2.556"/>
  </r>
  <r>
    <x v="260"/>
    <s v="Walla Walla Public Schools"/>
    <s v="Personnel"/>
    <s v="H "/>
    <x v="1"/>
    <x v="23"/>
    <s v="PSES High Prog21Duty46 S275"/>
    <x v="1"/>
    <s v="46"/>
    <n v="46"/>
    <m/>
    <s v="   "/>
    <n v="2.15"/>
  </r>
  <r>
    <x v="260"/>
    <s v="Walla Walla Public Schools"/>
    <s v="Personnel"/>
    <s v="M "/>
    <x v="2"/>
    <x v="24"/>
    <s v="PSES Mid Prog21Duty46 S275"/>
    <x v="1"/>
    <s v="46"/>
    <n v="46"/>
    <m/>
    <s v="   "/>
    <n v="0.89400000000000002"/>
  </r>
  <r>
    <x v="260"/>
    <s v="Walla Walla Public Schools"/>
    <s v="Personnel"/>
    <s v="E "/>
    <x v="0"/>
    <x v="32"/>
    <s v="PSES Elem Prog21Duty47 S275"/>
    <x v="1"/>
    <s v="47"/>
    <n v="47"/>
    <m/>
    <s v="   "/>
    <n v="1.25"/>
  </r>
  <r>
    <x v="260"/>
    <s v="Walla Walla Public Schools"/>
    <s v="Personnel"/>
    <s v="E "/>
    <x v="0"/>
    <x v="27"/>
    <s v="PSES Elem Prog01Duty47 S275"/>
    <x v="0"/>
    <s v="47"/>
    <n v="47"/>
    <m/>
    <s v="   "/>
    <n v="1.091"/>
  </r>
  <r>
    <x v="260"/>
    <s v="Walla Walla Public Schools"/>
    <s v="Personnel"/>
    <s v="H "/>
    <x v="1"/>
    <x v="61"/>
    <s v="PSES High Prog21Duty47 S275"/>
    <x v="1"/>
    <s v="47"/>
    <n v="47"/>
    <m/>
    <s v="   "/>
    <n v="9.2999999999999999E-2"/>
  </r>
  <r>
    <x v="260"/>
    <s v="Walla Walla Public Schools"/>
    <s v="Personnel"/>
    <s v="H "/>
    <x v="1"/>
    <x v="25"/>
    <s v="PSES High Prog01Duty47 S275"/>
    <x v="0"/>
    <s v="47"/>
    <n v="47"/>
    <m/>
    <s v="   "/>
    <n v="0.84099999999999997"/>
  </r>
  <r>
    <x v="260"/>
    <s v="Walla Walla Public Schools"/>
    <s v="Personnel"/>
    <s v="M "/>
    <x v="2"/>
    <x v="34"/>
    <s v="PSES Mid Prog01Duty47 S275"/>
    <x v="0"/>
    <s v="47"/>
    <n v="47"/>
    <m/>
    <s v="   "/>
    <n v="0.436"/>
  </r>
  <r>
    <x v="260"/>
    <s v="Walla Walla Public Schools"/>
    <s v="Personnel"/>
    <s v="E "/>
    <x v="0"/>
    <x v="35"/>
    <s v="PSES Elem Prog21Duty48 S275"/>
    <x v="1"/>
    <s v="48"/>
    <n v="48"/>
    <m/>
    <s v="   "/>
    <n v="0.75"/>
  </r>
  <r>
    <x v="260"/>
    <s v="Walla Walla Public Schools"/>
    <s v="Personnel"/>
    <s v="H "/>
    <x v="1"/>
    <x v="36"/>
    <s v="PSES High Prog21Duty48 S275"/>
    <x v="1"/>
    <s v="48"/>
    <n v="48"/>
    <m/>
    <s v="   "/>
    <n v="0.5"/>
  </r>
  <r>
    <x v="260"/>
    <s v="Walla Walla Public Schools"/>
    <s v="Personnel"/>
    <s v="M "/>
    <x v="2"/>
    <x v="37"/>
    <s v="PSES Mid Prog21Duty48 S275"/>
    <x v="1"/>
    <s v="48"/>
    <n v="48"/>
    <m/>
    <s v="   "/>
    <n v="0.5"/>
  </r>
  <r>
    <x v="260"/>
    <s v="Walla Walla Public Schools"/>
    <s v="Personnel"/>
    <s v="E "/>
    <x v="0"/>
    <x v="38"/>
    <s v="PSES Elem Prog21Duty64 S275"/>
    <x v="1"/>
    <s v="64"/>
    <n v="64"/>
    <m/>
    <s v="   "/>
    <n v="2.0960000000000001"/>
  </r>
  <r>
    <x v="260"/>
    <s v="Walla Walla Public Schools"/>
    <s v="Personnel"/>
    <s v="H "/>
    <x v="1"/>
    <x v="59"/>
    <s v="PSES High Prog21Duty64 S275"/>
    <x v="1"/>
    <s v="64"/>
    <n v="64"/>
    <m/>
    <s v="   "/>
    <n v="0.33800000000000002"/>
  </r>
  <r>
    <x v="260"/>
    <s v="Walla Walla Public Schools"/>
    <s v="Personnel"/>
    <s v="M "/>
    <x v="2"/>
    <x v="60"/>
    <s v="PSES Mid Prog21Duty64 S275"/>
    <x v="1"/>
    <s v="64"/>
    <n v="64"/>
    <m/>
    <s v="   "/>
    <n v="0.16900000000000001"/>
  </r>
  <r>
    <x v="260"/>
    <s v="Walla Walla Public Schools"/>
    <s v="Personnel"/>
    <s v="K"/>
    <x v="0"/>
    <x v="85"/>
    <s v="PSES Elem Prog09Duty47 S275"/>
    <x v="3"/>
    <s v="47"/>
    <n v="47"/>
    <n v="26"/>
    <m/>
    <n v="0.223"/>
  </r>
  <r>
    <x v="260"/>
    <s v="Walla Walla Public Schools"/>
    <s v="Personnel"/>
    <m/>
    <x v="0"/>
    <x v="66"/>
    <s v="PSES Elem Prog09Duty25 S275"/>
    <x v="3"/>
    <s v="25"/>
    <n v="91"/>
    <n v="25"/>
    <m/>
    <n v="3.9E-2"/>
  </r>
  <r>
    <x v="260"/>
    <s v="Walla Walla Public Schools"/>
    <s v="Personnel"/>
    <m/>
    <x v="0"/>
    <x v="66"/>
    <s v="PSES Elem Prog09Duty25 S275"/>
    <x v="3"/>
    <s v="25"/>
    <n v="91"/>
    <n v="25"/>
    <m/>
    <n v="0.09"/>
  </r>
  <r>
    <x v="260"/>
    <s v="Walla Walla Public Schools"/>
    <s v="Personnel"/>
    <m/>
    <x v="0"/>
    <x v="66"/>
    <s v="PSES Elem Prog09Duty25 S275"/>
    <x v="3"/>
    <s v="25"/>
    <n v="91"/>
    <n v="25"/>
    <m/>
    <n v="8.5000000000000006E-2"/>
  </r>
  <r>
    <x v="260"/>
    <s v="Walla Walla Public Schools"/>
    <s v="Personnel"/>
    <m/>
    <x v="0"/>
    <x v="66"/>
    <s v="PSES Elem Prog09Duty25 S275"/>
    <x v="3"/>
    <s v="25"/>
    <n v="91"/>
    <n v="25"/>
    <m/>
    <n v="0.25700000000000001"/>
  </r>
  <r>
    <x v="260"/>
    <s v="Walla Walla Public Schools"/>
    <s v="Personnel"/>
    <m/>
    <x v="0"/>
    <x v="66"/>
    <s v="PSES Elem Prog09Duty25 S275"/>
    <x v="3"/>
    <s v="25"/>
    <n v="91"/>
    <n v="25"/>
    <m/>
    <n v="6.2E-2"/>
  </r>
  <r>
    <x v="260"/>
    <s v="Walla Walla Public Schools"/>
    <s v="Personnel"/>
    <m/>
    <x v="0"/>
    <x v="66"/>
    <s v="PSES Elem Prog09Duty25 S275"/>
    <x v="3"/>
    <s v="25"/>
    <n v="91"/>
    <n v="25"/>
    <m/>
    <n v="0.05"/>
  </r>
  <r>
    <x v="260"/>
    <s v="Walla Walla Public Schools"/>
    <s v="Personnel"/>
    <s v="T"/>
    <x v="0"/>
    <x v="84"/>
    <s v="PSES Elem Prog09Duty26 S275"/>
    <x v="3"/>
    <s v="26"/>
    <n v="96"/>
    <n v="26"/>
    <m/>
    <n v="0.504"/>
  </r>
  <r>
    <x v="261"/>
    <s v="College Place School District"/>
    <s v="Personnel"/>
    <s v="E "/>
    <x v="0"/>
    <x v="3"/>
    <s v="PSES Elem Prog01Act25 S275"/>
    <x v="0"/>
    <s v="25"/>
    <m/>
    <n v="25"/>
    <s v="   "/>
    <n v="0.437"/>
  </r>
  <r>
    <x v="261"/>
    <s v="College Place School District"/>
    <s v="Personnel"/>
    <s v="H "/>
    <x v="1"/>
    <x v="4"/>
    <s v="PSES High Prog21Act25 S275"/>
    <x v="1"/>
    <s v="25"/>
    <m/>
    <n v="25"/>
    <s v="   "/>
    <n v="0.91500000000000004"/>
  </r>
  <r>
    <x v="261"/>
    <s v="College Place School District"/>
    <s v="Personnel"/>
    <s v="M "/>
    <x v="2"/>
    <x v="6"/>
    <s v="PSES Mid Prog01Act25 S275"/>
    <x v="0"/>
    <s v="25"/>
    <m/>
    <n v="25"/>
    <s v="   "/>
    <n v="0.23"/>
  </r>
  <r>
    <x v="261"/>
    <s v="College Place School District"/>
    <s v="Personnel"/>
    <s v="E "/>
    <x v="0"/>
    <x v="7"/>
    <s v="PSES Elem Prog21Act26 S275"/>
    <x v="1"/>
    <s v="26"/>
    <m/>
    <n v="26"/>
    <s v="   "/>
    <n v="0.68500000000000005"/>
  </r>
  <r>
    <x v="261"/>
    <s v="College Place School District"/>
    <s v="Personnel"/>
    <s v="E "/>
    <x v="0"/>
    <x v="8"/>
    <s v="PSES Elem Prog01Act26 S275"/>
    <x v="0"/>
    <s v="26"/>
    <m/>
    <n v="26"/>
    <s v="   "/>
    <n v="0.70299999999999996"/>
  </r>
  <r>
    <x v="261"/>
    <s v="College Place School District"/>
    <s v="Personnel"/>
    <s v="H "/>
    <x v="1"/>
    <x v="9"/>
    <s v="PSES High Prog01Act26 S275"/>
    <x v="0"/>
    <s v="26"/>
    <m/>
    <n v="26"/>
    <s v="   "/>
    <n v="1.7030000000000001"/>
  </r>
  <r>
    <x v="261"/>
    <s v="College Place School District"/>
    <s v="Personnel"/>
    <s v="M "/>
    <x v="2"/>
    <x v="11"/>
    <s v="PSES Mid Prog01Act26 S275"/>
    <x v="0"/>
    <s v="26"/>
    <m/>
    <n v="26"/>
    <s v="   "/>
    <n v="0.70299999999999996"/>
  </r>
  <r>
    <x v="261"/>
    <s v="College Place School District"/>
    <s v="Personnel"/>
    <s v="E "/>
    <x v="0"/>
    <x v="15"/>
    <s v="PSES Elem Prog01Duty42 S275"/>
    <x v="0"/>
    <s v="42"/>
    <n v="42"/>
    <m/>
    <s v="   "/>
    <n v="3"/>
  </r>
  <r>
    <x v="261"/>
    <s v="College Place School District"/>
    <s v="Personnel"/>
    <s v="H "/>
    <x v="1"/>
    <x v="16"/>
    <s v="PSES High Prog01Duty42 S275"/>
    <x v="0"/>
    <s v="42"/>
    <n v="42"/>
    <m/>
    <s v="   "/>
    <n v="0.86"/>
  </r>
  <r>
    <x v="261"/>
    <s v="College Place School District"/>
    <s v="Personnel"/>
    <s v="E "/>
    <x v="0"/>
    <x v="42"/>
    <s v="PSES Elem Prog01Duty44 S275"/>
    <x v="0"/>
    <s v="44"/>
    <n v="44"/>
    <m/>
    <s v="   "/>
    <n v="0.5"/>
  </r>
  <r>
    <x v="261"/>
    <s v="College Place School District"/>
    <s v="Personnel"/>
    <s v="H "/>
    <x v="1"/>
    <x v="44"/>
    <s v="PSES High Prog01Duty44 S275"/>
    <x v="0"/>
    <s v="44"/>
    <n v="44"/>
    <m/>
    <s v="   "/>
    <n v="0.25"/>
  </r>
  <r>
    <x v="261"/>
    <s v="College Place School District"/>
    <s v="Personnel"/>
    <s v="M "/>
    <x v="2"/>
    <x v="46"/>
    <s v="PSES Mid Prog01Duty44 S275"/>
    <x v="0"/>
    <s v="44"/>
    <n v="44"/>
    <m/>
    <s v="   "/>
    <n v="0.25"/>
  </r>
  <r>
    <x v="261"/>
    <s v="College Place School District"/>
    <s v="Personnel"/>
    <s v="E "/>
    <x v="0"/>
    <x v="20"/>
    <s v="PSES Elem Prog21Duty45 S275"/>
    <x v="1"/>
    <s v="45"/>
    <n v="45"/>
    <m/>
    <s v="   "/>
    <n v="1"/>
  </r>
  <r>
    <x v="261"/>
    <s v="College Place School District"/>
    <s v="Personnel"/>
    <s v="E "/>
    <x v="0"/>
    <x v="22"/>
    <s v="PSES Elem Prog21Duty46 S275"/>
    <x v="1"/>
    <s v="46"/>
    <n v="46"/>
    <m/>
    <s v="   "/>
    <n v="1"/>
  </r>
  <r>
    <x v="262"/>
    <s v="Touchet School District"/>
    <s v="Personnel"/>
    <s v="E "/>
    <x v="0"/>
    <x v="8"/>
    <s v="PSES Elem Prog01Act26 S275"/>
    <x v="0"/>
    <s v="26"/>
    <m/>
    <n v="26"/>
    <s v="   "/>
    <n v="0.25"/>
  </r>
  <r>
    <x v="262"/>
    <s v="Touchet School District"/>
    <s v="Personnel"/>
    <s v="H "/>
    <x v="1"/>
    <x v="16"/>
    <s v="PSES High Prog01Duty42 S275"/>
    <x v="0"/>
    <s v="42"/>
    <n v="42"/>
    <m/>
    <s v="   "/>
    <n v="0.6"/>
  </r>
  <r>
    <x v="263"/>
    <s v="Columbia (Walla Walla) School District"/>
    <s v="Personnel"/>
    <s v="H "/>
    <x v="1"/>
    <x v="9"/>
    <s v="PSES High Prog01Act26 S275"/>
    <x v="0"/>
    <s v="26"/>
    <m/>
    <n v="26"/>
    <s v="   "/>
    <n v="0.36499999999999999"/>
  </r>
  <r>
    <x v="263"/>
    <s v="Columbia (Walla Walla) School District"/>
    <s v="Personnel"/>
    <s v="M "/>
    <x v="2"/>
    <x v="11"/>
    <s v="PSES Mid Prog01Act26 S275"/>
    <x v="0"/>
    <s v="26"/>
    <m/>
    <n v="26"/>
    <s v="   "/>
    <n v="0.36499999999999999"/>
  </r>
  <r>
    <x v="263"/>
    <s v="Columbia (Walla Walla) School District"/>
    <s v="Personnel"/>
    <s v="H "/>
    <x v="1"/>
    <x v="16"/>
    <s v="PSES High Prog01Duty42 S275"/>
    <x v="0"/>
    <s v="42"/>
    <n v="42"/>
    <m/>
    <s v="   "/>
    <n v="1"/>
  </r>
  <r>
    <x v="263"/>
    <s v="Columbia (Walla Walla) School District"/>
    <s v="Personnel"/>
    <s v="E "/>
    <x v="0"/>
    <x v="22"/>
    <s v="PSES Elem Prog21Duty46 S275"/>
    <x v="1"/>
    <s v="46"/>
    <n v="46"/>
    <m/>
    <s v="   "/>
    <n v="0.25"/>
  </r>
  <r>
    <x v="263"/>
    <s v="Columbia (Walla Walla) School District"/>
    <s v="Personnel"/>
    <s v="E "/>
    <x v="0"/>
    <x v="48"/>
    <s v="PSES Elem Prog01Duty46 S275"/>
    <x v="0"/>
    <s v="46"/>
    <n v="46"/>
    <m/>
    <s v="   "/>
    <n v="0.25"/>
  </r>
  <r>
    <x v="263"/>
    <s v="Columbia (Walla Walla) School District"/>
    <s v="Personnel"/>
    <s v="H "/>
    <x v="1"/>
    <x v="23"/>
    <s v="PSES High Prog21Duty46 S275"/>
    <x v="1"/>
    <s v="46"/>
    <n v="46"/>
    <m/>
    <s v="   "/>
    <n v="0.125"/>
  </r>
  <r>
    <x v="263"/>
    <s v="Columbia (Walla Walla) School District"/>
    <s v="Personnel"/>
    <s v="H "/>
    <x v="1"/>
    <x v="65"/>
    <s v="PSES High Prog01Duty46 S275"/>
    <x v="0"/>
    <s v="46"/>
    <n v="46"/>
    <m/>
    <s v="   "/>
    <n v="0.125"/>
  </r>
  <r>
    <x v="263"/>
    <s v="Columbia (Walla Walla) School District"/>
    <s v="Personnel"/>
    <s v="M "/>
    <x v="2"/>
    <x v="24"/>
    <s v="PSES Mid Prog21Duty46 S275"/>
    <x v="1"/>
    <s v="46"/>
    <n v="46"/>
    <m/>
    <s v="   "/>
    <n v="0.125"/>
  </r>
  <r>
    <x v="263"/>
    <s v="Columbia (Walla Walla) School District"/>
    <s v="Personnel"/>
    <s v="M "/>
    <x v="2"/>
    <x v="49"/>
    <s v="PSES Mid Prog01Duty46 S275"/>
    <x v="0"/>
    <s v="46"/>
    <n v="46"/>
    <m/>
    <s v="   "/>
    <n v="0.125"/>
  </r>
  <r>
    <x v="264"/>
    <s v="Waitsburg School District"/>
    <s v="Personnel"/>
    <s v="E "/>
    <x v="0"/>
    <x v="0"/>
    <s v="PSES Elem Prog01Duty96 S275"/>
    <x v="0"/>
    <s v="24"/>
    <n v="96"/>
    <n v="24"/>
    <s v="   "/>
    <n v="0.23599999999999999"/>
  </r>
  <r>
    <x v="264"/>
    <s v="Waitsburg School District"/>
    <s v="Personnel"/>
    <s v="H "/>
    <x v="1"/>
    <x v="1"/>
    <s v="PSES High Prog01Duty96 S275"/>
    <x v="0"/>
    <s v="24"/>
    <n v="96"/>
    <n v="24"/>
    <s v="   "/>
    <n v="0.23599999999999999"/>
  </r>
  <r>
    <x v="264"/>
    <s v="Waitsburg School District"/>
    <s v="Personnel"/>
    <s v="M "/>
    <x v="2"/>
    <x v="2"/>
    <s v="PSES Mid Prog01Duty96 S275"/>
    <x v="0"/>
    <s v="24"/>
    <n v="96"/>
    <n v="24"/>
    <s v="   "/>
    <n v="0.23599999999999999"/>
  </r>
  <r>
    <x v="264"/>
    <s v="Waitsburg School District"/>
    <s v="Personnel"/>
    <s v="H "/>
    <x v="1"/>
    <x v="4"/>
    <s v="PSES High Prog21Act25 S275"/>
    <x v="1"/>
    <s v="25"/>
    <m/>
    <n v="25"/>
    <s v="   "/>
    <n v="0.16400000000000001"/>
  </r>
  <r>
    <x v="264"/>
    <s v="Waitsburg School District"/>
    <s v="Personnel"/>
    <s v="H "/>
    <x v="1"/>
    <x v="5"/>
    <s v="PSES High Prog01Act25 S275"/>
    <x v="0"/>
    <s v="25"/>
    <m/>
    <n v="25"/>
    <s v="   "/>
    <n v="0.40799999999999997"/>
  </r>
  <r>
    <x v="265"/>
    <s v="Prescott School District"/>
    <s v="Personnel"/>
    <s v="E "/>
    <x v="0"/>
    <x v="8"/>
    <s v="PSES Elem Prog01Act26 S275"/>
    <x v="0"/>
    <s v="26"/>
    <m/>
    <n v="26"/>
    <s v="   "/>
    <n v="1.2999999999999999E-2"/>
  </r>
  <r>
    <x v="265"/>
    <s v="Prescott School District"/>
    <s v="Personnel"/>
    <s v="E "/>
    <x v="0"/>
    <x v="15"/>
    <s v="PSES Elem Prog01Duty42 S275"/>
    <x v="0"/>
    <s v="42"/>
    <n v="42"/>
    <m/>
    <s v="   "/>
    <n v="0.05"/>
  </r>
  <r>
    <x v="265"/>
    <s v="Prescott School District"/>
    <s v="Personnel"/>
    <s v="H "/>
    <x v="1"/>
    <x v="16"/>
    <s v="PSES High Prog01Duty42 S275"/>
    <x v="0"/>
    <s v="42"/>
    <n v="42"/>
    <m/>
    <s v="   "/>
    <n v="0.18"/>
  </r>
  <r>
    <x v="265"/>
    <s v="Prescott School District"/>
    <s v="Personnel"/>
    <s v="M "/>
    <x v="2"/>
    <x v="17"/>
    <s v="PSES Mid Prog01Duty42 S275"/>
    <x v="0"/>
    <s v="42"/>
    <n v="42"/>
    <m/>
    <s v="   "/>
    <n v="0.17"/>
  </r>
  <r>
    <x v="266"/>
    <s v="Bellingham School District"/>
    <s v="Personnel"/>
    <s v="H "/>
    <x v="1"/>
    <x v="1"/>
    <s v="PSES High Prog01Duty96 S275"/>
    <x v="0"/>
    <s v="24"/>
    <n v="96"/>
    <n v="24"/>
    <s v="   "/>
    <n v="3.06"/>
  </r>
  <r>
    <x v="266"/>
    <s v="Bellingham School District"/>
    <s v="Personnel"/>
    <s v="H "/>
    <x v="1"/>
    <x v="5"/>
    <s v="PSES High Prog01Act25 S275"/>
    <x v="0"/>
    <s v="25"/>
    <m/>
    <n v="25"/>
    <s v="   "/>
    <n v="18.640999999999998"/>
  </r>
  <r>
    <x v="266"/>
    <s v="Bellingham School District"/>
    <s v="Personnel"/>
    <s v="H "/>
    <x v="1"/>
    <x v="29"/>
    <s v="PSES High Prog21Act26 S275"/>
    <x v="1"/>
    <s v="26"/>
    <m/>
    <n v="26"/>
    <s v="   "/>
    <n v="1.716"/>
  </r>
  <r>
    <x v="266"/>
    <s v="Bellingham School District"/>
    <s v="Personnel"/>
    <s v="H "/>
    <x v="1"/>
    <x v="9"/>
    <s v="PSES High Prog01Act26 S275"/>
    <x v="0"/>
    <s v="26"/>
    <m/>
    <n v="26"/>
    <s v="   "/>
    <n v="5.1449999999999996"/>
  </r>
  <r>
    <x v="266"/>
    <s v="Bellingham School District"/>
    <s v="Personnel"/>
    <s v="H "/>
    <x v="1"/>
    <x v="12"/>
    <s v="PSES High Prog97Act35 S275"/>
    <x v="2"/>
    <s v="35"/>
    <m/>
    <n v="35"/>
    <s v="   "/>
    <n v="1"/>
  </r>
  <r>
    <x v="266"/>
    <s v="Bellingham School District"/>
    <s v="Personnel"/>
    <s v="E "/>
    <x v="0"/>
    <x v="15"/>
    <s v="PSES Elem Prog01Duty42 S275"/>
    <x v="0"/>
    <s v="42"/>
    <n v="42"/>
    <m/>
    <s v="   "/>
    <n v="5.6"/>
  </r>
  <r>
    <x v="266"/>
    <s v="Bellingham School District"/>
    <s v="Personnel"/>
    <s v="H "/>
    <x v="1"/>
    <x v="16"/>
    <s v="PSES High Prog01Duty42 S275"/>
    <x v="0"/>
    <s v="42"/>
    <n v="42"/>
    <m/>
    <s v="   "/>
    <n v="8.94"/>
  </r>
  <r>
    <x v="266"/>
    <s v="Bellingham School District"/>
    <s v="Personnel"/>
    <s v="M "/>
    <x v="2"/>
    <x v="17"/>
    <s v="PSES Mid Prog01Duty42 S275"/>
    <x v="0"/>
    <s v="42"/>
    <n v="42"/>
    <m/>
    <s v="   "/>
    <n v="5.42"/>
  </r>
  <r>
    <x v="266"/>
    <s v="Bellingham School District"/>
    <s v="Personnel"/>
    <s v="E "/>
    <x v="0"/>
    <x v="18"/>
    <s v="PSES Elem Prog21Duty43 S275"/>
    <x v="1"/>
    <s v="43"/>
    <n v="43"/>
    <m/>
    <s v="   "/>
    <n v="6.4160000000000004"/>
  </r>
  <r>
    <x v="266"/>
    <s v="Bellingham School District"/>
    <s v="Personnel"/>
    <s v="H "/>
    <x v="1"/>
    <x v="19"/>
    <s v="PSES High Prog21Duty43 S275"/>
    <x v="1"/>
    <s v="43"/>
    <n v="43"/>
    <m/>
    <s v="   "/>
    <n v="0.6"/>
  </r>
  <r>
    <x v="266"/>
    <s v="Bellingham School District"/>
    <s v="Personnel"/>
    <s v="M "/>
    <x v="2"/>
    <x v="31"/>
    <s v="PSES Mid Prog21Duty43 S275"/>
    <x v="1"/>
    <s v="43"/>
    <n v="43"/>
    <m/>
    <s v="   "/>
    <n v="1.0840000000000001"/>
  </r>
  <r>
    <x v="266"/>
    <s v="Bellingham School District"/>
    <s v="Personnel"/>
    <s v="E "/>
    <x v="0"/>
    <x v="20"/>
    <s v="PSES Elem Prog21Duty45 S275"/>
    <x v="1"/>
    <s v="45"/>
    <n v="45"/>
    <m/>
    <s v="   "/>
    <n v="13.75"/>
  </r>
  <r>
    <x v="266"/>
    <s v="Bellingham School District"/>
    <s v="Personnel"/>
    <s v="H "/>
    <x v="1"/>
    <x v="21"/>
    <s v="PSES High Prog21Duty45 S275"/>
    <x v="1"/>
    <s v="45"/>
    <n v="45"/>
    <m/>
    <s v="   "/>
    <n v="2.5840000000000001"/>
  </r>
  <r>
    <x v="266"/>
    <s v="Bellingham School District"/>
    <s v="Personnel"/>
    <s v="M "/>
    <x v="2"/>
    <x v="28"/>
    <s v="PSES Mid Prog21Duty45 S275"/>
    <x v="1"/>
    <s v="45"/>
    <n v="45"/>
    <m/>
    <s v="   "/>
    <n v="2.5659999999999998"/>
  </r>
  <r>
    <x v="266"/>
    <s v="Bellingham School District"/>
    <s v="Personnel"/>
    <s v="E "/>
    <x v="0"/>
    <x v="22"/>
    <s v="PSES Elem Prog21Duty46 S275"/>
    <x v="1"/>
    <s v="46"/>
    <n v="46"/>
    <m/>
    <s v="   "/>
    <n v="8.6999999999999993"/>
  </r>
  <r>
    <x v="266"/>
    <s v="Bellingham School District"/>
    <s v="Personnel"/>
    <s v="H "/>
    <x v="1"/>
    <x v="23"/>
    <s v="PSES High Prog21Duty46 S275"/>
    <x v="1"/>
    <s v="46"/>
    <n v="46"/>
    <m/>
    <s v="   "/>
    <n v="3.1669999999999998"/>
  </r>
  <r>
    <x v="266"/>
    <s v="Bellingham School District"/>
    <s v="Personnel"/>
    <s v="M "/>
    <x v="2"/>
    <x v="24"/>
    <s v="PSES Mid Prog21Duty46 S275"/>
    <x v="1"/>
    <s v="46"/>
    <n v="46"/>
    <m/>
    <s v="   "/>
    <n v="2.133"/>
  </r>
  <r>
    <x v="266"/>
    <s v="Bellingham School District"/>
    <s v="Personnel"/>
    <s v="E "/>
    <x v="0"/>
    <x v="27"/>
    <s v="PSES Elem Prog01Duty47 S275"/>
    <x v="0"/>
    <s v="47"/>
    <n v="47"/>
    <m/>
    <s v="   "/>
    <n v="4.8310000000000004"/>
  </r>
  <r>
    <x v="266"/>
    <s v="Bellingham School District"/>
    <s v="Personnel"/>
    <s v="H "/>
    <x v="1"/>
    <x v="25"/>
    <s v="PSES High Prog01Duty47 S275"/>
    <x v="0"/>
    <s v="47"/>
    <n v="47"/>
    <m/>
    <s v="   "/>
    <n v="1.667"/>
  </r>
  <r>
    <x v="266"/>
    <s v="Bellingham School District"/>
    <s v="Personnel"/>
    <s v="M "/>
    <x v="2"/>
    <x v="34"/>
    <s v="PSES Mid Prog01Duty47 S275"/>
    <x v="0"/>
    <s v="47"/>
    <n v="47"/>
    <m/>
    <s v="   "/>
    <n v="1.502"/>
  </r>
  <r>
    <x v="266"/>
    <s v="Bellingham School District"/>
    <s v="Personnel"/>
    <s v="E "/>
    <x v="0"/>
    <x v="35"/>
    <s v="PSES Elem Prog21Duty48 S275"/>
    <x v="1"/>
    <s v="48"/>
    <n v="48"/>
    <m/>
    <s v="   "/>
    <n v="1.17"/>
  </r>
  <r>
    <x v="266"/>
    <s v="Bellingham School District"/>
    <s v="Personnel"/>
    <s v="H "/>
    <x v="1"/>
    <x v="36"/>
    <s v="PSES High Prog21Duty48 S275"/>
    <x v="1"/>
    <s v="48"/>
    <n v="48"/>
    <m/>
    <s v="   "/>
    <n v="0.41499999999999998"/>
  </r>
  <r>
    <x v="266"/>
    <s v="Bellingham School District"/>
    <s v="Personnel"/>
    <s v="M "/>
    <x v="2"/>
    <x v="37"/>
    <s v="PSES Mid Prog21Duty48 S275"/>
    <x v="1"/>
    <s v="48"/>
    <n v="48"/>
    <m/>
    <s v="   "/>
    <n v="0.33200000000000002"/>
  </r>
  <r>
    <x v="267"/>
    <s v="Ferndale School District"/>
    <s v="Personnel"/>
    <s v="H "/>
    <x v="1"/>
    <x v="1"/>
    <s v="PSES High Prog01Duty96 S275"/>
    <x v="0"/>
    <s v="24"/>
    <n v="96"/>
    <n v="24"/>
    <s v="   "/>
    <n v="3.42"/>
  </r>
  <r>
    <x v="267"/>
    <s v="Ferndale School District"/>
    <s v="Personnel"/>
    <s v="H "/>
    <x v="1"/>
    <x v="4"/>
    <s v="PSES High Prog21Act25 S275"/>
    <x v="1"/>
    <s v="25"/>
    <m/>
    <n v="25"/>
    <s v="   "/>
    <n v="0.14000000000000001"/>
  </r>
  <r>
    <x v="267"/>
    <s v="Ferndale School District"/>
    <s v="Personnel"/>
    <s v="H "/>
    <x v="1"/>
    <x v="5"/>
    <s v="PSES High Prog01Act25 S275"/>
    <x v="0"/>
    <s v="25"/>
    <m/>
    <n v="25"/>
    <s v="   "/>
    <n v="6.0730000000000004"/>
  </r>
  <r>
    <x v="267"/>
    <s v="Ferndale School District"/>
    <s v="Personnel"/>
    <s v="H "/>
    <x v="1"/>
    <x v="29"/>
    <s v="PSES High Prog21Act26 S275"/>
    <x v="1"/>
    <s v="26"/>
    <m/>
    <n v="26"/>
    <s v="   "/>
    <n v="1.401"/>
  </r>
  <r>
    <x v="267"/>
    <s v="Ferndale School District"/>
    <s v="Personnel"/>
    <s v="H "/>
    <x v="1"/>
    <x v="9"/>
    <s v="PSES High Prog01Act26 S275"/>
    <x v="0"/>
    <s v="26"/>
    <m/>
    <n v="26"/>
    <s v="   "/>
    <n v="2.2370000000000001"/>
  </r>
  <r>
    <x v="267"/>
    <s v="Ferndale School District"/>
    <s v="Personnel"/>
    <s v="H "/>
    <x v="1"/>
    <x v="16"/>
    <s v="PSES High Prog01Duty42 S275"/>
    <x v="0"/>
    <s v="42"/>
    <n v="42"/>
    <m/>
    <s v="   "/>
    <n v="3"/>
  </r>
  <r>
    <x v="267"/>
    <s v="Ferndale School District"/>
    <s v="Personnel"/>
    <s v="M "/>
    <x v="2"/>
    <x v="17"/>
    <s v="PSES Mid Prog01Duty42 S275"/>
    <x v="0"/>
    <s v="42"/>
    <n v="42"/>
    <m/>
    <s v="   "/>
    <n v="2"/>
  </r>
  <r>
    <x v="267"/>
    <s v="Ferndale School District"/>
    <s v="Personnel"/>
    <s v="E "/>
    <x v="0"/>
    <x v="18"/>
    <s v="PSES Elem Prog21Duty43 S275"/>
    <x v="1"/>
    <s v="43"/>
    <n v="43"/>
    <m/>
    <s v="   "/>
    <n v="1.891"/>
  </r>
  <r>
    <x v="267"/>
    <s v="Ferndale School District"/>
    <s v="Personnel"/>
    <s v="H "/>
    <x v="1"/>
    <x v="19"/>
    <s v="PSES High Prog21Duty43 S275"/>
    <x v="1"/>
    <s v="43"/>
    <n v="43"/>
    <m/>
    <s v="   "/>
    <n v="0.51500000000000001"/>
  </r>
  <r>
    <x v="267"/>
    <s v="Ferndale School District"/>
    <s v="Personnel"/>
    <s v="M "/>
    <x v="2"/>
    <x v="31"/>
    <s v="PSES Mid Prog21Duty43 S275"/>
    <x v="1"/>
    <s v="43"/>
    <n v="43"/>
    <m/>
    <s v="   "/>
    <n v="1.069"/>
  </r>
  <r>
    <x v="267"/>
    <s v="Ferndale School District"/>
    <s v="Personnel"/>
    <s v="E "/>
    <x v="0"/>
    <x v="20"/>
    <s v="PSES Elem Prog21Duty45 S275"/>
    <x v="1"/>
    <s v="45"/>
    <n v="45"/>
    <m/>
    <s v="   "/>
    <n v="5.0999999999999996"/>
  </r>
  <r>
    <x v="267"/>
    <s v="Ferndale School District"/>
    <s v="Personnel"/>
    <s v="H "/>
    <x v="1"/>
    <x v="21"/>
    <s v="PSES High Prog21Duty45 S275"/>
    <x v="1"/>
    <s v="45"/>
    <n v="45"/>
    <m/>
    <s v="   "/>
    <n v="0.5"/>
  </r>
  <r>
    <x v="267"/>
    <s v="Ferndale School District"/>
    <s v="Personnel"/>
    <s v="M "/>
    <x v="2"/>
    <x v="28"/>
    <s v="PSES Mid Prog21Duty45 S275"/>
    <x v="1"/>
    <s v="45"/>
    <n v="45"/>
    <m/>
    <s v="   "/>
    <n v="1.05"/>
  </r>
  <r>
    <x v="267"/>
    <s v="Ferndale School District"/>
    <s v="Personnel"/>
    <s v="M "/>
    <x v="2"/>
    <x v="52"/>
    <s v="PSES Mid Prog01Duty45 S275"/>
    <x v="0"/>
    <s v="45"/>
    <n v="45"/>
    <m/>
    <s v="   "/>
    <n v="0.05"/>
  </r>
  <r>
    <x v="267"/>
    <s v="Ferndale School District"/>
    <s v="Personnel"/>
    <s v="E "/>
    <x v="0"/>
    <x v="22"/>
    <s v="PSES Elem Prog21Duty46 S275"/>
    <x v="1"/>
    <s v="46"/>
    <n v="46"/>
    <m/>
    <s v="   "/>
    <n v="2.5"/>
  </r>
  <r>
    <x v="267"/>
    <s v="Ferndale School District"/>
    <s v="Personnel"/>
    <s v="H "/>
    <x v="1"/>
    <x v="23"/>
    <s v="PSES High Prog21Duty46 S275"/>
    <x v="1"/>
    <s v="46"/>
    <n v="46"/>
    <m/>
    <s v="   "/>
    <n v="2.5"/>
  </r>
  <r>
    <x v="267"/>
    <s v="Ferndale School District"/>
    <s v="Personnel"/>
    <s v="E "/>
    <x v="0"/>
    <x v="27"/>
    <s v="PSES Elem Prog01Duty47 S275"/>
    <x v="0"/>
    <s v="47"/>
    <n v="47"/>
    <m/>
    <s v="   "/>
    <n v="1.5"/>
  </r>
  <r>
    <x v="267"/>
    <s v="Ferndale School District"/>
    <s v="Personnel"/>
    <s v="M "/>
    <x v="2"/>
    <x v="34"/>
    <s v="PSES Mid Prog01Duty47 S275"/>
    <x v="0"/>
    <s v="47"/>
    <n v="47"/>
    <m/>
    <s v="   "/>
    <n v="1.8"/>
  </r>
  <r>
    <x v="267"/>
    <s v="Ferndale School District"/>
    <s v="Personnel"/>
    <s v="E "/>
    <x v="0"/>
    <x v="35"/>
    <s v="PSES Elem Prog21Duty48 S275"/>
    <x v="1"/>
    <s v="48"/>
    <n v="48"/>
    <m/>
    <s v="   "/>
    <n v="1"/>
  </r>
  <r>
    <x v="267"/>
    <s v="Ferndale School District"/>
    <s v="Personnel"/>
    <s v="H "/>
    <x v="1"/>
    <x v="36"/>
    <s v="PSES High Prog21Duty48 S275"/>
    <x v="1"/>
    <s v="48"/>
    <n v="48"/>
    <m/>
    <s v="   "/>
    <n v="0.20100000000000001"/>
  </r>
  <r>
    <x v="267"/>
    <s v="Ferndale School District"/>
    <s v="Personnel"/>
    <s v="M "/>
    <x v="2"/>
    <x v="37"/>
    <s v="PSES Mid Prog21Duty48 S275"/>
    <x v="1"/>
    <s v="48"/>
    <n v="48"/>
    <m/>
    <s v="   "/>
    <n v="0.2"/>
  </r>
  <r>
    <x v="268"/>
    <s v="Blaine School District"/>
    <s v="Personnel"/>
    <s v="E "/>
    <x v="0"/>
    <x v="3"/>
    <s v="PSES Elem Prog01Act25 S275"/>
    <x v="0"/>
    <s v="25"/>
    <m/>
    <n v="25"/>
    <s v="   "/>
    <n v="0.23200000000000001"/>
  </r>
  <r>
    <x v="268"/>
    <s v="Blaine School District"/>
    <s v="Personnel"/>
    <s v="H "/>
    <x v="1"/>
    <x v="4"/>
    <s v="PSES High Prog21Act25 S275"/>
    <x v="1"/>
    <s v="25"/>
    <m/>
    <n v="25"/>
    <s v="   "/>
    <n v="0.03"/>
  </r>
  <r>
    <x v="268"/>
    <s v="Blaine School District"/>
    <s v="Personnel"/>
    <s v="H "/>
    <x v="1"/>
    <x v="5"/>
    <s v="PSES High Prog01Act25 S275"/>
    <x v="0"/>
    <s v="25"/>
    <m/>
    <n v="25"/>
    <s v="   "/>
    <n v="1.6240000000000001"/>
  </r>
  <r>
    <x v="268"/>
    <s v="Blaine School District"/>
    <s v="Personnel"/>
    <s v="E "/>
    <x v="0"/>
    <x v="8"/>
    <s v="PSES Elem Prog01Act26 S275"/>
    <x v="0"/>
    <s v="26"/>
    <m/>
    <n v="26"/>
    <s v="   "/>
    <n v="0.27800000000000002"/>
  </r>
  <r>
    <x v="268"/>
    <s v="Blaine School District"/>
    <s v="Personnel"/>
    <s v="H "/>
    <x v="1"/>
    <x v="29"/>
    <s v="PSES High Prog21Act26 S275"/>
    <x v="1"/>
    <s v="26"/>
    <m/>
    <n v="26"/>
    <s v="   "/>
    <n v="1.286"/>
  </r>
  <r>
    <x v="268"/>
    <s v="Blaine School District"/>
    <s v="Personnel"/>
    <s v="H "/>
    <x v="1"/>
    <x v="9"/>
    <s v="PSES High Prog01Act26 S275"/>
    <x v="0"/>
    <s v="26"/>
    <m/>
    <n v="26"/>
    <s v="   "/>
    <n v="0.55700000000000005"/>
  </r>
  <r>
    <x v="268"/>
    <s v="Blaine School District"/>
    <s v="Personnel"/>
    <s v="M "/>
    <x v="2"/>
    <x v="11"/>
    <s v="PSES Mid Prog01Act26 S275"/>
    <x v="0"/>
    <s v="26"/>
    <m/>
    <n v="26"/>
    <s v="   "/>
    <n v="0.27800000000000002"/>
  </r>
  <r>
    <x v="268"/>
    <s v="Blaine School District"/>
    <s v="Personnel"/>
    <s v="E "/>
    <x v="0"/>
    <x v="15"/>
    <s v="PSES Elem Prog01Duty42 S275"/>
    <x v="0"/>
    <s v="42"/>
    <n v="42"/>
    <m/>
    <s v="   "/>
    <n v="2.31"/>
  </r>
  <r>
    <x v="268"/>
    <s v="Blaine School District"/>
    <s v="Personnel"/>
    <s v="H "/>
    <x v="1"/>
    <x v="16"/>
    <s v="PSES High Prog01Duty42 S275"/>
    <x v="0"/>
    <s v="42"/>
    <n v="42"/>
    <m/>
    <s v="   "/>
    <n v="1.94"/>
  </r>
  <r>
    <x v="268"/>
    <s v="Blaine School District"/>
    <s v="Personnel"/>
    <s v="M "/>
    <x v="2"/>
    <x v="17"/>
    <s v="PSES Mid Prog01Duty42 S275"/>
    <x v="0"/>
    <s v="42"/>
    <n v="42"/>
    <m/>
    <s v="   "/>
    <n v="0.69"/>
  </r>
  <r>
    <x v="268"/>
    <s v="Blaine School District"/>
    <s v="Personnel"/>
    <s v="E "/>
    <x v="0"/>
    <x v="18"/>
    <s v="PSES Elem Prog21Duty43 S275"/>
    <x v="1"/>
    <s v="43"/>
    <n v="43"/>
    <m/>
    <s v="   "/>
    <n v="0.4"/>
  </r>
  <r>
    <x v="268"/>
    <s v="Blaine School District"/>
    <s v="Personnel"/>
    <s v="H "/>
    <x v="1"/>
    <x v="19"/>
    <s v="PSES High Prog21Duty43 S275"/>
    <x v="1"/>
    <s v="43"/>
    <n v="43"/>
    <m/>
    <s v="   "/>
    <n v="0.4"/>
  </r>
  <r>
    <x v="268"/>
    <s v="Blaine School District"/>
    <s v="Personnel"/>
    <s v="M "/>
    <x v="2"/>
    <x v="31"/>
    <s v="PSES Mid Prog21Duty43 S275"/>
    <x v="1"/>
    <s v="43"/>
    <n v="43"/>
    <m/>
    <s v="   "/>
    <n v="0.2"/>
  </r>
  <r>
    <x v="268"/>
    <s v="Blaine School District"/>
    <s v="Personnel"/>
    <s v="E "/>
    <x v="0"/>
    <x v="42"/>
    <s v="PSES Elem Prog01Duty44 S275"/>
    <x v="0"/>
    <s v="44"/>
    <n v="44"/>
    <m/>
    <s v="   "/>
    <n v="3.5999999999999997E-2"/>
  </r>
  <r>
    <x v="268"/>
    <s v="Blaine School District"/>
    <s v="Personnel"/>
    <s v="H "/>
    <x v="1"/>
    <x v="44"/>
    <s v="PSES High Prog01Duty44 S275"/>
    <x v="0"/>
    <s v="44"/>
    <n v="44"/>
    <m/>
    <s v="   "/>
    <n v="4.7E-2"/>
  </r>
  <r>
    <x v="268"/>
    <s v="Blaine School District"/>
    <s v="Personnel"/>
    <s v="M "/>
    <x v="2"/>
    <x v="46"/>
    <s v="PSES Mid Prog01Duty44 S275"/>
    <x v="0"/>
    <s v="44"/>
    <n v="44"/>
    <m/>
    <s v="   "/>
    <n v="1.6E-2"/>
  </r>
  <r>
    <x v="268"/>
    <s v="Blaine School District"/>
    <s v="Personnel"/>
    <s v="E "/>
    <x v="0"/>
    <x v="20"/>
    <s v="PSES Elem Prog21Duty45 S275"/>
    <x v="1"/>
    <s v="45"/>
    <n v="45"/>
    <m/>
    <s v="   "/>
    <n v="4.0039999999999996"/>
  </r>
  <r>
    <x v="268"/>
    <s v="Blaine School District"/>
    <s v="Personnel"/>
    <s v="H "/>
    <x v="1"/>
    <x v="21"/>
    <s v="PSES High Prog21Duty45 S275"/>
    <x v="1"/>
    <s v="45"/>
    <n v="45"/>
    <m/>
    <s v="   "/>
    <n v="0.55000000000000004"/>
  </r>
  <r>
    <x v="268"/>
    <s v="Blaine School District"/>
    <s v="Personnel"/>
    <s v="M "/>
    <x v="2"/>
    <x v="28"/>
    <s v="PSES Mid Prog21Duty45 S275"/>
    <x v="1"/>
    <s v="45"/>
    <n v="45"/>
    <m/>
    <s v="   "/>
    <n v="0.64"/>
  </r>
  <r>
    <x v="268"/>
    <s v="Blaine School District"/>
    <s v="Personnel"/>
    <s v="E "/>
    <x v="0"/>
    <x v="22"/>
    <s v="PSES Elem Prog21Duty46 S275"/>
    <x v="1"/>
    <s v="46"/>
    <n v="46"/>
    <m/>
    <s v="   "/>
    <n v="1.2"/>
  </r>
  <r>
    <x v="268"/>
    <s v="Blaine School District"/>
    <s v="Personnel"/>
    <s v="H "/>
    <x v="1"/>
    <x v="23"/>
    <s v="PSES High Prog21Duty46 S275"/>
    <x v="1"/>
    <s v="46"/>
    <n v="46"/>
    <m/>
    <s v="   "/>
    <n v="0.4"/>
  </r>
  <r>
    <x v="268"/>
    <s v="Blaine School District"/>
    <s v="Personnel"/>
    <s v="M "/>
    <x v="2"/>
    <x v="24"/>
    <s v="PSES Mid Prog21Duty46 S275"/>
    <x v="1"/>
    <s v="46"/>
    <n v="46"/>
    <m/>
    <s v="   "/>
    <n v="0.2"/>
  </r>
  <r>
    <x v="268"/>
    <s v="Blaine School District"/>
    <s v="Personnel"/>
    <s v="E "/>
    <x v="0"/>
    <x v="27"/>
    <s v="PSES Elem Prog01Duty47 S275"/>
    <x v="0"/>
    <s v="47"/>
    <n v="47"/>
    <m/>
    <s v="   "/>
    <n v="0.95"/>
  </r>
  <r>
    <x v="268"/>
    <s v="Blaine School District"/>
    <s v="Personnel"/>
    <s v="H "/>
    <x v="1"/>
    <x v="25"/>
    <s v="PSES High Prog01Duty47 S275"/>
    <x v="0"/>
    <s v="47"/>
    <n v="47"/>
    <m/>
    <s v="   "/>
    <n v="0.56999999999999995"/>
  </r>
  <r>
    <x v="268"/>
    <s v="Blaine School District"/>
    <s v="Personnel"/>
    <s v="M "/>
    <x v="2"/>
    <x v="34"/>
    <s v="PSES Mid Prog01Duty47 S275"/>
    <x v="0"/>
    <s v="47"/>
    <n v="47"/>
    <m/>
    <s v="   "/>
    <n v="0.28000000000000003"/>
  </r>
  <r>
    <x v="268"/>
    <s v="Blaine School District"/>
    <s v="Personnel"/>
    <m/>
    <x v="0"/>
    <x v="66"/>
    <s v="PSES Elem Prog09Duty25 S275"/>
    <x v="3"/>
    <s v="25"/>
    <n v="91"/>
    <n v="25"/>
    <m/>
    <n v="2.3E-2"/>
  </r>
  <r>
    <x v="268"/>
    <s v="Blaine School District"/>
    <s v="Personnel"/>
    <m/>
    <x v="0"/>
    <x v="66"/>
    <s v="PSES Elem Prog09Duty25 S275"/>
    <x v="3"/>
    <s v="25"/>
    <n v="91"/>
    <n v="25"/>
    <m/>
    <n v="2.3E-2"/>
  </r>
  <r>
    <x v="269"/>
    <s v="Lynden School District"/>
    <s v="Personnel"/>
    <s v="H "/>
    <x v="1"/>
    <x v="5"/>
    <s v="PSES High Prog01Act25 S275"/>
    <x v="0"/>
    <s v="25"/>
    <m/>
    <n v="25"/>
    <s v="   "/>
    <n v="4.6319999999999997"/>
  </r>
  <r>
    <x v="269"/>
    <s v="Lynden School District"/>
    <s v="Personnel"/>
    <s v="H "/>
    <x v="1"/>
    <x v="29"/>
    <s v="PSES High Prog21Act26 S275"/>
    <x v="1"/>
    <s v="26"/>
    <m/>
    <n v="26"/>
    <s v="   "/>
    <n v="0.77500000000000002"/>
  </r>
  <r>
    <x v="269"/>
    <s v="Lynden School District"/>
    <s v="Personnel"/>
    <s v="H "/>
    <x v="1"/>
    <x v="9"/>
    <s v="PSES High Prog01Act26 S275"/>
    <x v="0"/>
    <s v="26"/>
    <m/>
    <n v="26"/>
    <s v="   "/>
    <n v="2.2480000000000002"/>
  </r>
  <r>
    <x v="269"/>
    <s v="Lynden School District"/>
    <s v="Personnel"/>
    <s v="E "/>
    <x v="0"/>
    <x v="15"/>
    <s v="PSES Elem Prog01Duty42 S275"/>
    <x v="0"/>
    <s v="42"/>
    <n v="42"/>
    <m/>
    <s v="   "/>
    <n v="3.8"/>
  </r>
  <r>
    <x v="269"/>
    <s v="Lynden School District"/>
    <s v="Personnel"/>
    <s v="H "/>
    <x v="1"/>
    <x v="16"/>
    <s v="PSES High Prog01Duty42 S275"/>
    <x v="0"/>
    <s v="42"/>
    <n v="42"/>
    <m/>
    <s v="   "/>
    <n v="3"/>
  </r>
  <r>
    <x v="269"/>
    <s v="Lynden School District"/>
    <s v="Personnel"/>
    <s v="M "/>
    <x v="2"/>
    <x v="17"/>
    <s v="PSES Mid Prog01Duty42 S275"/>
    <x v="0"/>
    <s v="42"/>
    <n v="42"/>
    <m/>
    <s v="   "/>
    <n v="1.2"/>
  </r>
  <r>
    <x v="269"/>
    <s v="Lynden School District"/>
    <s v="Personnel"/>
    <s v="E "/>
    <x v="0"/>
    <x v="18"/>
    <s v="PSES Elem Prog21Duty43 S275"/>
    <x v="1"/>
    <s v="43"/>
    <n v="43"/>
    <m/>
    <s v="   "/>
    <n v="3.4"/>
  </r>
  <r>
    <x v="269"/>
    <s v="Lynden School District"/>
    <s v="Personnel"/>
    <s v="E "/>
    <x v="0"/>
    <x v="20"/>
    <s v="PSES Elem Prog21Duty45 S275"/>
    <x v="1"/>
    <s v="45"/>
    <n v="45"/>
    <m/>
    <s v="   "/>
    <n v="3.25"/>
  </r>
  <r>
    <x v="269"/>
    <s v="Lynden School District"/>
    <s v="Personnel"/>
    <s v="H "/>
    <x v="1"/>
    <x v="21"/>
    <s v="PSES High Prog21Duty45 S275"/>
    <x v="1"/>
    <s v="45"/>
    <n v="45"/>
    <m/>
    <s v="   "/>
    <n v="1.6"/>
  </r>
  <r>
    <x v="269"/>
    <s v="Lynden School District"/>
    <s v="Personnel"/>
    <s v="M "/>
    <x v="2"/>
    <x v="28"/>
    <s v="PSES Mid Prog21Duty45 S275"/>
    <x v="1"/>
    <s v="45"/>
    <n v="45"/>
    <m/>
    <s v="   "/>
    <n v="1"/>
  </r>
  <r>
    <x v="269"/>
    <s v="Lynden School District"/>
    <s v="Personnel"/>
    <s v="E "/>
    <x v="0"/>
    <x v="22"/>
    <s v="PSES Elem Prog21Duty46 S275"/>
    <x v="1"/>
    <s v="46"/>
    <n v="46"/>
    <m/>
    <s v="   "/>
    <n v="3.33"/>
  </r>
  <r>
    <x v="269"/>
    <s v="Lynden School District"/>
    <s v="Personnel"/>
    <s v="H "/>
    <x v="1"/>
    <x v="23"/>
    <s v="PSES High Prog21Duty46 S275"/>
    <x v="1"/>
    <s v="46"/>
    <n v="46"/>
    <m/>
    <s v="   "/>
    <n v="1"/>
  </r>
  <r>
    <x v="269"/>
    <s v="Lynden School District"/>
    <s v="Personnel"/>
    <s v="M "/>
    <x v="2"/>
    <x v="24"/>
    <s v="PSES Mid Prog21Duty46 S275"/>
    <x v="1"/>
    <s v="46"/>
    <n v="46"/>
    <m/>
    <s v="   "/>
    <n v="0.67"/>
  </r>
  <r>
    <x v="269"/>
    <s v="Lynden School District"/>
    <s v="Personnel"/>
    <s v="E "/>
    <x v="0"/>
    <x v="27"/>
    <s v="PSES Elem Prog01Duty47 S275"/>
    <x v="0"/>
    <s v="47"/>
    <n v="47"/>
    <m/>
    <s v="   "/>
    <n v="1"/>
  </r>
  <r>
    <x v="269"/>
    <s v="Lynden School District"/>
    <s v="Personnel"/>
    <s v="M "/>
    <x v="2"/>
    <x v="34"/>
    <s v="PSES Mid Prog01Duty47 S275"/>
    <x v="0"/>
    <s v="47"/>
    <n v="47"/>
    <m/>
    <s v="   "/>
    <n v="1"/>
  </r>
  <r>
    <x v="270"/>
    <s v="Meridian School District"/>
    <s v="Personnel"/>
    <s v="E "/>
    <x v="0"/>
    <x v="0"/>
    <s v="PSES Elem Prog01Duty96 S275"/>
    <x v="0"/>
    <s v="24"/>
    <n v="96"/>
    <n v="24"/>
    <s v="   "/>
    <n v="0.20599999999999999"/>
  </r>
  <r>
    <x v="270"/>
    <s v="Meridian School District"/>
    <s v="Personnel"/>
    <s v="H "/>
    <x v="1"/>
    <x v="1"/>
    <s v="PSES High Prog01Duty96 S275"/>
    <x v="0"/>
    <s v="24"/>
    <n v="96"/>
    <n v="24"/>
    <s v="   "/>
    <n v="0.90100000000000002"/>
  </r>
  <r>
    <x v="270"/>
    <s v="Meridian School District"/>
    <s v="Personnel"/>
    <s v="M "/>
    <x v="2"/>
    <x v="2"/>
    <s v="PSES Mid Prog01Duty96 S275"/>
    <x v="0"/>
    <s v="24"/>
    <n v="96"/>
    <n v="24"/>
    <s v="   "/>
    <n v="0.10299999999999999"/>
  </r>
  <r>
    <x v="270"/>
    <s v="Meridian School District"/>
    <s v="Personnel"/>
    <s v="E "/>
    <x v="0"/>
    <x v="3"/>
    <s v="PSES Elem Prog01Act25 S275"/>
    <x v="0"/>
    <s v="25"/>
    <m/>
    <n v="25"/>
    <s v="   "/>
    <n v="2.9169999999999998"/>
  </r>
  <r>
    <x v="270"/>
    <s v="Meridian School District"/>
    <s v="Personnel"/>
    <s v="H "/>
    <x v="1"/>
    <x v="4"/>
    <s v="PSES High Prog21Act25 S275"/>
    <x v="1"/>
    <s v="25"/>
    <m/>
    <n v="25"/>
    <s v="   "/>
    <n v="0.84299999999999997"/>
  </r>
  <r>
    <x v="270"/>
    <s v="Meridian School District"/>
    <s v="Personnel"/>
    <s v="M "/>
    <x v="2"/>
    <x v="6"/>
    <s v="PSES Mid Prog01Act25 S275"/>
    <x v="0"/>
    <s v="25"/>
    <m/>
    <n v="25"/>
    <s v="   "/>
    <n v="4.4999999999999998E-2"/>
  </r>
  <r>
    <x v="270"/>
    <s v="Meridian School District"/>
    <s v="Personnel"/>
    <s v="E "/>
    <x v="0"/>
    <x v="8"/>
    <s v="PSES Elem Prog01Act26 S275"/>
    <x v="0"/>
    <s v="26"/>
    <m/>
    <n v="26"/>
    <s v="   "/>
    <n v="0.54100000000000004"/>
  </r>
  <r>
    <x v="270"/>
    <s v="Meridian School District"/>
    <s v="Personnel"/>
    <s v="M "/>
    <x v="2"/>
    <x v="11"/>
    <s v="PSES Mid Prog01Act26 S275"/>
    <x v="0"/>
    <s v="26"/>
    <m/>
    <n v="26"/>
    <s v="   "/>
    <n v="0.54100000000000004"/>
  </r>
  <r>
    <x v="270"/>
    <s v="Meridian School District"/>
    <s v="Personnel"/>
    <s v="E "/>
    <x v="0"/>
    <x v="15"/>
    <s v="PSES Elem Prog01Duty42 S275"/>
    <x v="0"/>
    <s v="42"/>
    <n v="42"/>
    <m/>
    <s v="   "/>
    <n v="2.1869999999999998"/>
  </r>
  <r>
    <x v="270"/>
    <s v="Meridian School District"/>
    <s v="Personnel"/>
    <s v="H "/>
    <x v="1"/>
    <x v="16"/>
    <s v="PSES High Prog01Duty42 S275"/>
    <x v="0"/>
    <s v="42"/>
    <n v="42"/>
    <m/>
    <s v="   "/>
    <n v="1.976"/>
  </r>
  <r>
    <x v="270"/>
    <s v="Meridian School District"/>
    <s v="Personnel"/>
    <s v="M "/>
    <x v="2"/>
    <x v="17"/>
    <s v="PSES Mid Prog01Duty42 S275"/>
    <x v="0"/>
    <s v="42"/>
    <n v="42"/>
    <m/>
    <s v="   "/>
    <n v="1.387"/>
  </r>
  <r>
    <x v="270"/>
    <s v="Meridian School District"/>
    <s v="Personnel"/>
    <s v="E "/>
    <x v="0"/>
    <x v="18"/>
    <s v="PSES Elem Prog21Duty43 S275"/>
    <x v="1"/>
    <s v="43"/>
    <n v="43"/>
    <m/>
    <s v="   "/>
    <n v="0.67500000000000004"/>
  </r>
  <r>
    <x v="270"/>
    <s v="Meridian School District"/>
    <s v="Personnel"/>
    <s v="H "/>
    <x v="1"/>
    <x v="19"/>
    <s v="PSES High Prog21Duty43 S275"/>
    <x v="1"/>
    <s v="43"/>
    <n v="43"/>
    <m/>
    <s v="   "/>
    <n v="0.432"/>
  </r>
  <r>
    <x v="270"/>
    <s v="Meridian School District"/>
    <s v="Personnel"/>
    <s v="M "/>
    <x v="2"/>
    <x v="31"/>
    <s v="PSES Mid Prog21Duty43 S275"/>
    <x v="1"/>
    <s v="43"/>
    <n v="43"/>
    <m/>
    <s v="   "/>
    <n v="0.36799999999999999"/>
  </r>
  <r>
    <x v="270"/>
    <s v="Meridian School District"/>
    <s v="Personnel"/>
    <s v="E "/>
    <x v="0"/>
    <x v="20"/>
    <s v="PSES Elem Prog21Duty45 S275"/>
    <x v="1"/>
    <s v="45"/>
    <n v="45"/>
    <m/>
    <s v="   "/>
    <n v="0.55000000000000004"/>
  </r>
  <r>
    <x v="270"/>
    <s v="Meridian School District"/>
    <s v="Personnel"/>
    <s v="H "/>
    <x v="1"/>
    <x v="21"/>
    <s v="PSES High Prog21Duty45 S275"/>
    <x v="1"/>
    <s v="45"/>
    <n v="45"/>
    <m/>
    <s v="   "/>
    <n v="0.28000000000000003"/>
  </r>
  <r>
    <x v="270"/>
    <s v="Meridian School District"/>
    <s v="Personnel"/>
    <s v="M "/>
    <x v="2"/>
    <x v="28"/>
    <s v="PSES Mid Prog21Duty45 S275"/>
    <x v="1"/>
    <s v="45"/>
    <n v="45"/>
    <m/>
    <s v="   "/>
    <n v="0.17"/>
  </r>
  <r>
    <x v="270"/>
    <s v="Meridian School District"/>
    <s v="Personnel"/>
    <s v="E "/>
    <x v="0"/>
    <x v="22"/>
    <s v="PSES Elem Prog21Duty46 S275"/>
    <x v="1"/>
    <s v="46"/>
    <n v="46"/>
    <m/>
    <s v="   "/>
    <n v="1.1000000000000001"/>
  </r>
  <r>
    <x v="270"/>
    <s v="Meridian School District"/>
    <s v="Personnel"/>
    <s v="H "/>
    <x v="1"/>
    <x v="23"/>
    <s v="PSES High Prog21Duty46 S275"/>
    <x v="1"/>
    <s v="46"/>
    <n v="46"/>
    <m/>
    <s v="   "/>
    <n v="0.56000000000000005"/>
  </r>
  <r>
    <x v="270"/>
    <s v="Meridian School District"/>
    <s v="Personnel"/>
    <s v="M "/>
    <x v="2"/>
    <x v="24"/>
    <s v="PSES Mid Prog21Duty46 S275"/>
    <x v="1"/>
    <s v="46"/>
    <n v="46"/>
    <m/>
    <s v="   "/>
    <n v="0.34"/>
  </r>
  <r>
    <x v="270"/>
    <s v="Meridian School District"/>
    <s v="Personnel"/>
    <s v="E "/>
    <x v="0"/>
    <x v="27"/>
    <s v="PSES Elem Prog01Duty47 S275"/>
    <x v="0"/>
    <s v="47"/>
    <n v="47"/>
    <m/>
    <s v="   "/>
    <n v="1"/>
  </r>
  <r>
    <x v="270"/>
    <s v="Meridian School District"/>
    <s v="Personnel"/>
    <s v="H "/>
    <x v="1"/>
    <x v="25"/>
    <s v="PSES High Prog01Duty47 S275"/>
    <x v="0"/>
    <s v="47"/>
    <n v="47"/>
    <m/>
    <s v="   "/>
    <n v="0.161"/>
  </r>
  <r>
    <x v="270"/>
    <s v="Meridian School District"/>
    <s v="Personnel"/>
    <s v="M "/>
    <x v="2"/>
    <x v="34"/>
    <s v="PSES Mid Prog01Duty47 S275"/>
    <x v="0"/>
    <s v="47"/>
    <n v="47"/>
    <m/>
    <s v="   "/>
    <n v="0.13900000000000001"/>
  </r>
  <r>
    <x v="270"/>
    <s v="Meridian School District"/>
    <s v="Personnel"/>
    <s v="E "/>
    <x v="0"/>
    <x v="35"/>
    <s v="PSES Elem Prog21Duty48 S275"/>
    <x v="1"/>
    <s v="48"/>
    <n v="48"/>
    <m/>
    <s v="   "/>
    <n v="0.6"/>
  </r>
  <r>
    <x v="270"/>
    <s v="Meridian School District"/>
    <s v="Personnel"/>
    <s v="E "/>
    <x v="0"/>
    <x v="90"/>
    <s v="PSES Elem Prog01Duty48 S275"/>
    <x v="0"/>
    <s v="48"/>
    <n v="48"/>
    <m/>
    <s v="   "/>
    <n v="0.4"/>
  </r>
  <r>
    <x v="270"/>
    <s v="Meridian School District"/>
    <s v="Personnel"/>
    <m/>
    <x v="0"/>
    <x v="93"/>
    <s v="PSES Elem Prog09Duty45 S275"/>
    <x v="3"/>
    <s v="45"/>
    <n v="45"/>
    <n v="34"/>
    <m/>
    <n v="1.0999999999999999E-2"/>
  </r>
  <r>
    <x v="270"/>
    <s v="Meridian School District"/>
    <s v="Personnel"/>
    <m/>
    <x v="0"/>
    <x v="93"/>
    <s v="PSES Elem Prog09Duty42 S275"/>
    <x v="3"/>
    <s v="45"/>
    <n v="45"/>
    <n v="26"/>
    <m/>
    <n v="0.48899999999999999"/>
  </r>
  <r>
    <x v="271"/>
    <s v="Nooksack Valley School District"/>
    <s v="Personnel"/>
    <s v="H "/>
    <x v="1"/>
    <x v="1"/>
    <s v="PSES High Prog01Duty96 S275"/>
    <x v="0"/>
    <s v="24"/>
    <n v="96"/>
    <n v="24"/>
    <s v="   "/>
    <n v="0.127"/>
  </r>
  <r>
    <x v="271"/>
    <s v="Nooksack Valley School District"/>
    <s v="Personnel"/>
    <s v="H "/>
    <x v="1"/>
    <x v="29"/>
    <s v="PSES High Prog21Act26 S275"/>
    <x v="1"/>
    <s v="26"/>
    <m/>
    <n v="26"/>
    <s v="   "/>
    <n v="0.98199999999999998"/>
  </r>
  <r>
    <x v="271"/>
    <s v="Nooksack Valley School District"/>
    <s v="Personnel"/>
    <s v="H "/>
    <x v="1"/>
    <x v="9"/>
    <s v="PSES High Prog01Act26 S275"/>
    <x v="0"/>
    <s v="26"/>
    <m/>
    <n v="26"/>
    <s v="   "/>
    <n v="1.5669999999999999"/>
  </r>
  <r>
    <x v="271"/>
    <s v="Nooksack Valley School District"/>
    <s v="Personnel"/>
    <s v="E "/>
    <x v="0"/>
    <x v="15"/>
    <s v="PSES Elem Prog01Duty42 S275"/>
    <x v="0"/>
    <s v="42"/>
    <n v="42"/>
    <m/>
    <s v="   "/>
    <n v="2.9209999999999998"/>
  </r>
  <r>
    <x v="271"/>
    <s v="Nooksack Valley School District"/>
    <s v="Personnel"/>
    <s v="H "/>
    <x v="1"/>
    <x v="16"/>
    <s v="PSES High Prog01Duty42 S275"/>
    <x v="0"/>
    <s v="42"/>
    <n v="42"/>
    <m/>
    <s v="   "/>
    <n v="0.79300000000000004"/>
  </r>
  <r>
    <x v="271"/>
    <s v="Nooksack Valley School District"/>
    <s v="Personnel"/>
    <s v="M "/>
    <x v="2"/>
    <x v="17"/>
    <s v="PSES Mid Prog01Duty42 S275"/>
    <x v="0"/>
    <s v="42"/>
    <n v="42"/>
    <m/>
    <s v="   "/>
    <n v="1.5"/>
  </r>
  <r>
    <x v="271"/>
    <s v="Nooksack Valley School District"/>
    <s v="Personnel"/>
    <s v="E "/>
    <x v="0"/>
    <x v="18"/>
    <s v="PSES Elem Prog21Duty43 S275"/>
    <x v="1"/>
    <s v="43"/>
    <n v="43"/>
    <m/>
    <s v="   "/>
    <n v="1"/>
  </r>
  <r>
    <x v="271"/>
    <s v="Nooksack Valley School District"/>
    <s v="Personnel"/>
    <s v="E "/>
    <x v="0"/>
    <x v="20"/>
    <s v="PSES Elem Prog21Duty45 S275"/>
    <x v="1"/>
    <s v="45"/>
    <n v="45"/>
    <m/>
    <s v="   "/>
    <n v="3.6"/>
  </r>
  <r>
    <x v="271"/>
    <s v="Nooksack Valley School District"/>
    <s v="Personnel"/>
    <s v="E "/>
    <x v="0"/>
    <x v="22"/>
    <s v="PSES Elem Prog21Duty46 S275"/>
    <x v="1"/>
    <s v="46"/>
    <n v="46"/>
    <m/>
    <s v="   "/>
    <n v="0.28799999999999998"/>
  </r>
  <r>
    <x v="271"/>
    <s v="Nooksack Valley School District"/>
    <s v="Personnel"/>
    <s v="H "/>
    <x v="1"/>
    <x v="23"/>
    <s v="PSES High Prog21Duty46 S275"/>
    <x v="1"/>
    <s v="46"/>
    <n v="46"/>
    <m/>
    <s v="   "/>
    <n v="2"/>
  </r>
  <r>
    <x v="272"/>
    <s v="Mount Baker School District"/>
    <s v="Personnel"/>
    <s v="H "/>
    <x v="1"/>
    <x v="1"/>
    <s v="PSES High Prog01Duty96 S275"/>
    <x v="0"/>
    <s v="24"/>
    <n v="96"/>
    <n v="24"/>
    <s v="   "/>
    <n v="0.68799999999999994"/>
  </r>
  <r>
    <x v="272"/>
    <s v="Mount Baker School District"/>
    <s v="Personnel"/>
    <s v="H "/>
    <x v="1"/>
    <x v="4"/>
    <s v="PSES High Prog21Act25 S275"/>
    <x v="1"/>
    <s v="25"/>
    <m/>
    <n v="25"/>
    <s v="   "/>
    <n v="0.253"/>
  </r>
  <r>
    <x v="272"/>
    <s v="Mount Baker School District"/>
    <s v="Personnel"/>
    <s v="H "/>
    <x v="1"/>
    <x v="9"/>
    <s v="PSES High Prog01Act26 S275"/>
    <x v="0"/>
    <s v="26"/>
    <m/>
    <n v="26"/>
    <s v="   "/>
    <n v="1.1299999999999999"/>
  </r>
  <r>
    <x v="272"/>
    <s v="Mount Baker School District"/>
    <s v="Personnel"/>
    <s v="E "/>
    <x v="0"/>
    <x v="15"/>
    <s v="PSES Elem Prog01Duty42 S275"/>
    <x v="0"/>
    <s v="42"/>
    <n v="42"/>
    <m/>
    <s v="   "/>
    <n v="2.3330000000000002"/>
  </r>
  <r>
    <x v="272"/>
    <s v="Mount Baker School District"/>
    <s v="Personnel"/>
    <s v="H "/>
    <x v="1"/>
    <x v="16"/>
    <s v="PSES High Prog01Duty42 S275"/>
    <x v="0"/>
    <s v="42"/>
    <n v="42"/>
    <m/>
    <s v="   "/>
    <n v="1.75"/>
  </r>
  <r>
    <x v="272"/>
    <s v="Mount Baker School District"/>
    <s v="Personnel"/>
    <s v="M "/>
    <x v="2"/>
    <x v="17"/>
    <s v="PSES Mid Prog01Duty42 S275"/>
    <x v="0"/>
    <s v="42"/>
    <n v="42"/>
    <m/>
    <s v="   "/>
    <n v="1"/>
  </r>
  <r>
    <x v="272"/>
    <s v="Mount Baker School District"/>
    <s v="Personnel"/>
    <s v="E "/>
    <x v="0"/>
    <x v="20"/>
    <s v="PSES Elem Prog21Duty45 S275"/>
    <x v="1"/>
    <s v="45"/>
    <n v="45"/>
    <m/>
    <s v="   "/>
    <n v="2.3959999999999999"/>
  </r>
  <r>
    <x v="272"/>
    <s v="Mount Baker School District"/>
    <s v="Personnel"/>
    <s v="H "/>
    <x v="1"/>
    <x v="21"/>
    <s v="PSES High Prog21Duty45 S275"/>
    <x v="1"/>
    <s v="45"/>
    <n v="45"/>
    <m/>
    <s v="   "/>
    <n v="0.40699999999999997"/>
  </r>
  <r>
    <x v="272"/>
    <s v="Mount Baker School District"/>
    <s v="Personnel"/>
    <s v="M "/>
    <x v="2"/>
    <x v="28"/>
    <s v="PSES Mid Prog21Duty45 S275"/>
    <x v="1"/>
    <s v="45"/>
    <n v="45"/>
    <m/>
    <s v="   "/>
    <n v="0.2"/>
  </r>
  <r>
    <x v="272"/>
    <s v="Mount Baker School District"/>
    <s v="Personnel"/>
    <s v="E "/>
    <x v="0"/>
    <x v="22"/>
    <s v="PSES Elem Prog21Duty46 S275"/>
    <x v="1"/>
    <s v="46"/>
    <n v="46"/>
    <m/>
    <s v="   "/>
    <n v="0.73"/>
  </r>
  <r>
    <x v="272"/>
    <s v="Mount Baker School District"/>
    <s v="Personnel"/>
    <s v="H "/>
    <x v="1"/>
    <x v="23"/>
    <s v="PSES High Prog21Duty46 S275"/>
    <x v="1"/>
    <s v="46"/>
    <n v="46"/>
    <m/>
    <s v="   "/>
    <n v="0.5"/>
  </r>
  <r>
    <x v="272"/>
    <s v="Mount Baker School District"/>
    <s v="Personnel"/>
    <s v="M "/>
    <x v="2"/>
    <x v="24"/>
    <s v="PSES Mid Prog21Duty46 S275"/>
    <x v="1"/>
    <s v="46"/>
    <n v="46"/>
    <m/>
    <s v="   "/>
    <n v="0.3"/>
  </r>
  <r>
    <x v="272"/>
    <s v="Mount Baker School District"/>
    <s v="Personnel"/>
    <s v="E "/>
    <x v="0"/>
    <x v="27"/>
    <s v="PSES Elem Prog01Duty47 S275"/>
    <x v="0"/>
    <s v="47"/>
    <n v="47"/>
    <m/>
    <s v="   "/>
    <n v="0.63100000000000001"/>
  </r>
  <r>
    <x v="272"/>
    <s v="Mount Baker School District"/>
    <s v="Personnel"/>
    <s v="H "/>
    <x v="1"/>
    <x v="25"/>
    <s v="PSES High Prog01Duty47 S275"/>
    <x v="0"/>
    <s v="47"/>
    <n v="47"/>
    <m/>
    <s v="   "/>
    <n v="0.378"/>
  </r>
  <r>
    <x v="272"/>
    <s v="Mount Baker School District"/>
    <s v="Personnel"/>
    <s v="M "/>
    <x v="2"/>
    <x v="34"/>
    <s v="PSES Mid Prog01Duty47 S275"/>
    <x v="0"/>
    <s v="47"/>
    <n v="47"/>
    <m/>
    <s v="   "/>
    <n v="0.253"/>
  </r>
  <r>
    <x v="272"/>
    <s v="Mount Baker School District"/>
    <s v="Personnel"/>
    <s v="E "/>
    <x v="0"/>
    <x v="35"/>
    <s v="PSES Elem Prog21Duty48 S275"/>
    <x v="1"/>
    <s v="48"/>
    <n v="48"/>
    <m/>
    <s v="   "/>
    <n v="0.12"/>
  </r>
  <r>
    <x v="272"/>
    <s v="Mount Baker School District"/>
    <s v="Personnel"/>
    <s v="H "/>
    <x v="1"/>
    <x v="36"/>
    <s v="PSES High Prog21Duty48 S275"/>
    <x v="1"/>
    <s v="48"/>
    <n v="48"/>
    <m/>
    <s v="   "/>
    <n v="0.114"/>
  </r>
  <r>
    <x v="272"/>
    <s v="Mount Baker School District"/>
    <s v="Personnel"/>
    <s v="M "/>
    <x v="2"/>
    <x v="37"/>
    <s v="PSES Mid Prog21Duty48 S275"/>
    <x v="1"/>
    <s v="48"/>
    <n v="48"/>
    <m/>
    <s v="   "/>
    <n v="0.114"/>
  </r>
  <r>
    <x v="273"/>
    <s v="Whatcom Intergenerational High School"/>
    <s v="Personnel"/>
    <s v="H "/>
    <x v="1"/>
    <x v="53"/>
    <s v="PSES High Prog97Act25 S275"/>
    <x v="2"/>
    <s v="25"/>
    <m/>
    <n v="25"/>
    <s v="   "/>
    <n v="0.255"/>
  </r>
  <r>
    <x v="274"/>
    <s v="Lummi Tribal Agency"/>
    <s v="Personnel"/>
    <s v="E "/>
    <x v="0"/>
    <x v="27"/>
    <s v="PSES Elem Prog01Duty47 S275"/>
    <x v="0"/>
    <s v="47"/>
    <n v="47"/>
    <m/>
    <s v="   "/>
    <n v="1"/>
  </r>
  <r>
    <x v="275"/>
    <s v="LaCrosse School District"/>
    <s v="Personnel"/>
    <s v="H "/>
    <x v="1"/>
    <x v="9"/>
    <s v="PSES High Prog01Act26 S275"/>
    <x v="0"/>
    <s v="26"/>
    <m/>
    <n v="26"/>
    <s v="   "/>
    <n v="7.4999999999999997E-2"/>
  </r>
  <r>
    <x v="275"/>
    <s v="LaCrosse School District"/>
    <s v="Personnel"/>
    <s v="H "/>
    <x v="1"/>
    <x v="16"/>
    <s v="PSES High Prog01Duty42 S275"/>
    <x v="0"/>
    <s v="42"/>
    <n v="42"/>
    <m/>
    <s v="   "/>
    <n v="0.45"/>
  </r>
  <r>
    <x v="276"/>
    <s v="Tekoa School District"/>
    <s v="Personnel"/>
    <s v="E "/>
    <x v="0"/>
    <x v="15"/>
    <s v="PSES Elem Prog01Duty42 S275"/>
    <x v="0"/>
    <s v="42"/>
    <n v="42"/>
    <m/>
    <s v="   "/>
    <n v="0.5"/>
  </r>
  <r>
    <x v="276"/>
    <s v="Tekoa School District"/>
    <s v="Personnel"/>
    <s v="H "/>
    <x v="1"/>
    <x v="16"/>
    <s v="PSES High Prog01Duty42 S275"/>
    <x v="0"/>
    <s v="42"/>
    <n v="42"/>
    <m/>
    <s v="   "/>
    <n v="0.66"/>
  </r>
  <r>
    <x v="276"/>
    <s v="Tekoa School District"/>
    <s v="Personnel"/>
    <s v="M "/>
    <x v="2"/>
    <x v="17"/>
    <s v="PSES Mid Prog01Duty42 S275"/>
    <x v="0"/>
    <s v="42"/>
    <n v="42"/>
    <m/>
    <s v="   "/>
    <n v="0.22800000000000001"/>
  </r>
  <r>
    <x v="277"/>
    <s v="Pullman School District"/>
    <s v="Personnel"/>
    <s v="H "/>
    <x v="1"/>
    <x v="4"/>
    <s v="PSES High Prog21Act25 S275"/>
    <x v="1"/>
    <s v="25"/>
    <m/>
    <n v="25"/>
    <s v="   "/>
    <n v="1.2729999999999999"/>
  </r>
  <r>
    <x v="277"/>
    <s v="Pullman School District"/>
    <s v="Personnel"/>
    <s v="H "/>
    <x v="1"/>
    <x v="5"/>
    <s v="PSES High Prog01Act25 S275"/>
    <x v="0"/>
    <s v="25"/>
    <m/>
    <n v="25"/>
    <s v="   "/>
    <n v="2.3519999999999999"/>
  </r>
  <r>
    <x v="277"/>
    <s v="Pullman School District"/>
    <s v="Personnel"/>
    <s v="E "/>
    <x v="0"/>
    <x v="8"/>
    <s v="PSES Elem Prog01Act26 S275"/>
    <x v="0"/>
    <s v="26"/>
    <m/>
    <n v="26"/>
    <s v="   "/>
    <n v="1.3420000000000001"/>
  </r>
  <r>
    <x v="277"/>
    <s v="Pullman School District"/>
    <s v="Personnel"/>
    <s v="H "/>
    <x v="1"/>
    <x v="9"/>
    <s v="PSES High Prog01Act26 S275"/>
    <x v="0"/>
    <s v="26"/>
    <m/>
    <n v="26"/>
    <s v="   "/>
    <n v="1.6379999999999999"/>
  </r>
  <r>
    <x v="277"/>
    <s v="Pullman School District"/>
    <s v="Personnel"/>
    <s v="E "/>
    <x v="0"/>
    <x v="15"/>
    <s v="PSES Elem Prog01Duty42 S275"/>
    <x v="0"/>
    <s v="42"/>
    <n v="42"/>
    <m/>
    <s v="   "/>
    <n v="3"/>
  </r>
  <r>
    <x v="277"/>
    <s v="Pullman School District"/>
    <s v="Personnel"/>
    <s v="H "/>
    <x v="1"/>
    <x v="16"/>
    <s v="PSES High Prog01Duty42 S275"/>
    <x v="0"/>
    <s v="42"/>
    <n v="42"/>
    <m/>
    <s v="   "/>
    <n v="2.5"/>
  </r>
  <r>
    <x v="277"/>
    <s v="Pullman School District"/>
    <s v="Personnel"/>
    <s v="M "/>
    <x v="2"/>
    <x v="17"/>
    <s v="PSES Mid Prog01Duty42 S275"/>
    <x v="0"/>
    <s v="42"/>
    <n v="42"/>
    <m/>
    <s v="   "/>
    <n v="1.5"/>
  </r>
  <r>
    <x v="277"/>
    <s v="Pullman School District"/>
    <s v="Personnel"/>
    <s v="E "/>
    <x v="0"/>
    <x v="18"/>
    <s v="PSES Elem Prog21Duty43 S275"/>
    <x v="1"/>
    <s v="43"/>
    <n v="43"/>
    <m/>
    <s v="   "/>
    <n v="1"/>
  </r>
  <r>
    <x v="277"/>
    <s v="Pullman School District"/>
    <s v="Personnel"/>
    <s v="E "/>
    <x v="0"/>
    <x v="20"/>
    <s v="PSES Elem Prog21Duty45 S275"/>
    <x v="1"/>
    <s v="45"/>
    <n v="45"/>
    <m/>
    <s v="   "/>
    <n v="2.8"/>
  </r>
  <r>
    <x v="277"/>
    <s v="Pullman School District"/>
    <s v="Personnel"/>
    <s v="H "/>
    <x v="1"/>
    <x v="21"/>
    <s v="PSES High Prog21Duty45 S275"/>
    <x v="1"/>
    <s v="45"/>
    <n v="45"/>
    <m/>
    <s v="   "/>
    <n v="0.68100000000000005"/>
  </r>
  <r>
    <x v="277"/>
    <s v="Pullman School District"/>
    <s v="Personnel"/>
    <s v="M "/>
    <x v="2"/>
    <x v="28"/>
    <s v="PSES Mid Prog21Duty45 S275"/>
    <x v="1"/>
    <s v="45"/>
    <n v="45"/>
    <m/>
    <s v="   "/>
    <n v="0.56399999999999995"/>
  </r>
  <r>
    <x v="277"/>
    <s v="Pullman School District"/>
    <s v="Personnel"/>
    <s v="E "/>
    <x v="0"/>
    <x v="22"/>
    <s v="PSES Elem Prog21Duty46 S275"/>
    <x v="1"/>
    <s v="46"/>
    <n v="46"/>
    <m/>
    <s v="   "/>
    <n v="1.75"/>
  </r>
  <r>
    <x v="277"/>
    <s v="Pullman School District"/>
    <s v="Personnel"/>
    <s v="H "/>
    <x v="1"/>
    <x v="23"/>
    <s v="PSES High Prog21Duty46 S275"/>
    <x v="1"/>
    <s v="46"/>
    <n v="46"/>
    <m/>
    <s v="   "/>
    <n v="0.5"/>
  </r>
  <r>
    <x v="277"/>
    <s v="Pullman School District"/>
    <s v="Personnel"/>
    <s v="M "/>
    <x v="2"/>
    <x v="24"/>
    <s v="PSES Mid Prog21Duty46 S275"/>
    <x v="1"/>
    <s v="46"/>
    <n v="46"/>
    <m/>
    <s v="   "/>
    <n v="0.5"/>
  </r>
  <r>
    <x v="277"/>
    <s v="Pullman School District"/>
    <s v="Personnel"/>
    <s v="E "/>
    <x v="0"/>
    <x v="26"/>
    <s v="PSES Elem Prog21Duty49 S275"/>
    <x v="1"/>
    <s v="49"/>
    <n v="49"/>
    <m/>
    <s v="   "/>
    <n v="0.153"/>
  </r>
  <r>
    <x v="277"/>
    <s v="Pullman School District"/>
    <s v="Personnel"/>
    <s v="E "/>
    <x v="0"/>
    <x v="79"/>
    <s v="PSES Elem Prog01Duty49 S275"/>
    <x v="0"/>
    <s v="49"/>
    <n v="49"/>
    <m/>
    <s v="   "/>
    <n v="0.153"/>
  </r>
  <r>
    <x v="278"/>
    <s v="Colfax School District"/>
    <s v="Personnel"/>
    <s v="H "/>
    <x v="1"/>
    <x v="5"/>
    <s v="PSES High Prog01Act25 S275"/>
    <x v="0"/>
    <s v="25"/>
    <m/>
    <n v="25"/>
    <s v="   "/>
    <n v="0.54100000000000004"/>
  </r>
  <r>
    <x v="278"/>
    <s v="Colfax School District"/>
    <s v="Personnel"/>
    <s v="E "/>
    <x v="0"/>
    <x v="15"/>
    <s v="PSES Elem Prog01Duty42 S275"/>
    <x v="0"/>
    <s v="42"/>
    <n v="42"/>
    <m/>
    <s v="   "/>
    <n v="0.875"/>
  </r>
  <r>
    <x v="278"/>
    <s v="Colfax School District"/>
    <s v="Personnel"/>
    <s v="H "/>
    <x v="1"/>
    <x v="16"/>
    <s v="PSES High Prog01Duty42 S275"/>
    <x v="0"/>
    <s v="42"/>
    <n v="42"/>
    <m/>
    <s v="   "/>
    <n v="0.56599999999999995"/>
  </r>
  <r>
    <x v="278"/>
    <s v="Colfax School District"/>
    <s v="Personnel"/>
    <s v="M "/>
    <x v="2"/>
    <x v="17"/>
    <s v="PSES Mid Prog01Duty42 S275"/>
    <x v="0"/>
    <s v="42"/>
    <n v="42"/>
    <m/>
    <s v="   "/>
    <n v="0.33400000000000002"/>
  </r>
  <r>
    <x v="278"/>
    <s v="Colfax School District"/>
    <s v="Personnel"/>
    <s v="E "/>
    <x v="0"/>
    <x v="20"/>
    <s v="PSES Elem Prog21Duty45 S275"/>
    <x v="1"/>
    <s v="45"/>
    <n v="45"/>
    <m/>
    <s v="   "/>
    <n v="0.66500000000000004"/>
  </r>
  <r>
    <x v="278"/>
    <s v="Colfax School District"/>
    <s v="Personnel"/>
    <s v="H "/>
    <x v="1"/>
    <x v="21"/>
    <s v="PSES High Prog21Duty45 S275"/>
    <x v="1"/>
    <s v="45"/>
    <n v="45"/>
    <m/>
    <s v="   "/>
    <n v="0.16800000000000001"/>
  </r>
  <r>
    <x v="278"/>
    <s v="Colfax School District"/>
    <s v="Personnel"/>
    <s v="M "/>
    <x v="2"/>
    <x v="28"/>
    <s v="PSES Mid Prog21Duty45 S275"/>
    <x v="1"/>
    <s v="45"/>
    <n v="45"/>
    <m/>
    <s v="   "/>
    <n v="0.16700000000000001"/>
  </r>
  <r>
    <x v="278"/>
    <s v="Colfax School District"/>
    <s v="Personnel"/>
    <s v="T"/>
    <x v="0"/>
    <x v="70"/>
    <s v="PSES Elem Prog09Duty42 S275"/>
    <x v="3"/>
    <s v="42"/>
    <n v="42"/>
    <n v="24"/>
    <m/>
    <n v="0.125"/>
  </r>
  <r>
    <x v="279"/>
    <s v="Palouse School District"/>
    <s v="Personnel"/>
    <s v="E "/>
    <x v="0"/>
    <x v="15"/>
    <s v="PSES Elem Prog01Duty42 S275"/>
    <x v="0"/>
    <s v="42"/>
    <n v="42"/>
    <m/>
    <s v="   "/>
    <n v="0.5"/>
  </r>
  <r>
    <x v="279"/>
    <s v="Palouse School District"/>
    <s v="Personnel"/>
    <s v="H "/>
    <x v="1"/>
    <x v="16"/>
    <s v="PSES High Prog01Duty42 S275"/>
    <x v="0"/>
    <s v="42"/>
    <n v="42"/>
    <m/>
    <s v="   "/>
    <n v="0.5"/>
  </r>
  <r>
    <x v="280"/>
    <s v="Garfield School District"/>
    <s v="Personnel"/>
    <s v="E "/>
    <x v="0"/>
    <x v="8"/>
    <s v="PSES Elem Prog01Act26 S275"/>
    <x v="0"/>
    <s v="26"/>
    <m/>
    <n v="26"/>
    <s v="   "/>
    <n v="4.2000000000000003E-2"/>
  </r>
  <r>
    <x v="280"/>
    <s v="Garfield School District"/>
    <s v="Personnel"/>
    <s v="H "/>
    <x v="1"/>
    <x v="9"/>
    <s v="PSES High Prog01Act26 S275"/>
    <x v="0"/>
    <s v="26"/>
    <m/>
    <n v="26"/>
    <s v="   "/>
    <n v="0.06"/>
  </r>
  <r>
    <x v="280"/>
    <s v="Garfield School District"/>
    <s v="Personnel"/>
    <s v="E "/>
    <x v="0"/>
    <x v="15"/>
    <s v="PSES Elem Prog01Duty42 S275"/>
    <x v="0"/>
    <s v="42"/>
    <n v="42"/>
    <m/>
    <s v="   "/>
    <n v="0.5"/>
  </r>
  <r>
    <x v="280"/>
    <s v="Garfield School District"/>
    <s v="Personnel"/>
    <s v="M "/>
    <x v="2"/>
    <x v="17"/>
    <s v="PSES Mid Prog01Duty42 S275"/>
    <x v="0"/>
    <s v="42"/>
    <n v="42"/>
    <m/>
    <s v="   "/>
    <n v="0.5"/>
  </r>
  <r>
    <x v="281"/>
    <s v="Steptoe School District"/>
    <s v="Personnel"/>
    <s v="H "/>
    <x v="1"/>
    <x v="9"/>
    <s v="PSES High Prog01Act26 S275"/>
    <x v="0"/>
    <s v="26"/>
    <m/>
    <n v="26"/>
    <s v="   "/>
    <n v="3.5000000000000003E-2"/>
  </r>
  <r>
    <x v="282"/>
    <s v="Colton School District"/>
    <s v="Personnel"/>
    <s v="E "/>
    <x v="0"/>
    <x v="15"/>
    <s v="PSES Elem Prog01Duty42 S275"/>
    <x v="0"/>
    <s v="42"/>
    <n v="42"/>
    <m/>
    <s v="   "/>
    <n v="0.128"/>
  </r>
  <r>
    <x v="282"/>
    <s v="Colton School District"/>
    <s v="Personnel"/>
    <s v="H "/>
    <x v="1"/>
    <x v="16"/>
    <s v="PSES High Prog01Duty42 S275"/>
    <x v="0"/>
    <s v="42"/>
    <n v="42"/>
    <m/>
    <s v="   "/>
    <n v="0.16900000000000001"/>
  </r>
  <r>
    <x v="282"/>
    <s v="Colton School District"/>
    <s v="Personnel"/>
    <s v="M "/>
    <x v="2"/>
    <x v="17"/>
    <s v="PSES Mid Prog01Duty42 S275"/>
    <x v="0"/>
    <s v="42"/>
    <n v="42"/>
    <m/>
    <s v="   "/>
    <n v="0.34699999999999998"/>
  </r>
  <r>
    <x v="283"/>
    <s v="Endicott School District"/>
    <s v="Personnel"/>
    <s v="H "/>
    <x v="1"/>
    <x v="1"/>
    <s v="PSES High Prog01Duty96 S275"/>
    <x v="0"/>
    <s v="24"/>
    <n v="96"/>
    <n v="24"/>
    <s v="   "/>
    <n v="0.67100000000000004"/>
  </r>
  <r>
    <x v="283"/>
    <s v="Endicott School District"/>
    <s v="Personnel"/>
    <s v="H "/>
    <x v="1"/>
    <x v="5"/>
    <s v="PSES High Prog01Act25 S275"/>
    <x v="0"/>
    <s v="25"/>
    <m/>
    <n v="25"/>
    <s v="   "/>
    <n v="0.24199999999999999"/>
  </r>
  <r>
    <x v="284"/>
    <s v="Rosalia School District"/>
    <s v="Personnel"/>
    <s v="E "/>
    <x v="0"/>
    <x v="3"/>
    <s v="PSES Elem Prog01Act25 S275"/>
    <x v="0"/>
    <s v="25"/>
    <m/>
    <n v="25"/>
    <s v="   "/>
    <n v="4.4999999999999998E-2"/>
  </r>
  <r>
    <x v="284"/>
    <s v="Rosalia School District"/>
    <s v="Personnel"/>
    <s v="H "/>
    <x v="1"/>
    <x v="5"/>
    <s v="PSES High Prog01Act25 S275"/>
    <x v="0"/>
    <s v="25"/>
    <m/>
    <n v="25"/>
    <s v="   "/>
    <n v="8.8999999999999996E-2"/>
  </r>
  <r>
    <x v="284"/>
    <s v="Rosalia School District"/>
    <s v="Personnel"/>
    <s v="M "/>
    <x v="2"/>
    <x v="6"/>
    <s v="PSES Mid Prog01Act25 S275"/>
    <x v="0"/>
    <s v="25"/>
    <m/>
    <n v="25"/>
    <s v="   "/>
    <n v="0.14399999999999999"/>
  </r>
  <r>
    <x v="284"/>
    <s v="Rosalia School District"/>
    <s v="Personnel"/>
    <s v="E "/>
    <x v="0"/>
    <x v="8"/>
    <s v="PSES Elem Prog01Act26 S275"/>
    <x v="0"/>
    <s v="26"/>
    <m/>
    <n v="26"/>
    <s v="   "/>
    <n v="9.2999999999999999E-2"/>
  </r>
  <r>
    <x v="284"/>
    <s v="Rosalia School District"/>
    <s v="Personnel"/>
    <s v="H "/>
    <x v="1"/>
    <x v="9"/>
    <s v="PSES High Prog01Act26 S275"/>
    <x v="0"/>
    <s v="26"/>
    <m/>
    <n v="26"/>
    <s v="   "/>
    <n v="9.2999999999999999E-2"/>
  </r>
  <r>
    <x v="284"/>
    <s v="Rosalia School District"/>
    <s v="Personnel"/>
    <s v="M "/>
    <x v="2"/>
    <x v="11"/>
    <s v="PSES Mid Prog01Act26 S275"/>
    <x v="0"/>
    <s v="26"/>
    <m/>
    <n v="26"/>
    <s v="   "/>
    <n v="9.2999999999999999E-2"/>
  </r>
  <r>
    <x v="284"/>
    <s v="Rosalia School District"/>
    <s v="Personnel"/>
    <s v="E "/>
    <x v="0"/>
    <x v="79"/>
    <s v="PSES Elem Prog01Duty49 S275"/>
    <x v="0"/>
    <s v="49"/>
    <n v="49"/>
    <m/>
    <s v="   "/>
    <n v="0.20399999999999999"/>
  </r>
  <r>
    <x v="284"/>
    <s v="Rosalia School District"/>
    <s v="Personnel"/>
    <s v="H "/>
    <x v="1"/>
    <x v="68"/>
    <s v="PSES High Prog01Duty49 S275"/>
    <x v="0"/>
    <s v="49"/>
    <n v="49"/>
    <m/>
    <s v="   "/>
    <n v="0.20399999999999999"/>
  </r>
  <r>
    <x v="284"/>
    <s v="Rosalia School District"/>
    <s v="Personnel"/>
    <s v="M "/>
    <x v="2"/>
    <x v="89"/>
    <s v="PSES Mid Prog01Duty49 S275"/>
    <x v="0"/>
    <s v="49"/>
    <n v="49"/>
    <m/>
    <s v="   "/>
    <n v="0.20399999999999999"/>
  </r>
  <r>
    <x v="285"/>
    <s v="St. John School District"/>
    <s v="Personnel"/>
    <s v="E "/>
    <x v="0"/>
    <x v="15"/>
    <s v="PSES Elem Prog01Duty42 S275"/>
    <x v="0"/>
    <s v="42"/>
    <n v="42"/>
    <m/>
    <s v="   "/>
    <n v="0.13"/>
  </r>
  <r>
    <x v="285"/>
    <s v="St. John School District"/>
    <s v="Personnel"/>
    <s v="H "/>
    <x v="1"/>
    <x v="16"/>
    <s v="PSES High Prog01Duty42 S275"/>
    <x v="0"/>
    <s v="42"/>
    <n v="42"/>
    <m/>
    <s v="   "/>
    <n v="0.30299999999999999"/>
  </r>
  <r>
    <x v="286"/>
    <s v="Oakesdale School District"/>
    <s v="Personnel"/>
    <s v="E "/>
    <x v="0"/>
    <x v="8"/>
    <s v="PSES Elem Prog01Act26 S275"/>
    <x v="0"/>
    <s v="26"/>
    <m/>
    <n v="26"/>
    <s v="   "/>
    <n v="0.22700000000000001"/>
  </r>
  <r>
    <x v="286"/>
    <s v="Oakesdale School District"/>
    <s v="Personnel"/>
    <s v="H "/>
    <x v="1"/>
    <x v="9"/>
    <s v="PSES High Prog01Act26 S275"/>
    <x v="0"/>
    <s v="26"/>
    <m/>
    <n v="26"/>
    <s v="   "/>
    <n v="0.113"/>
  </r>
  <r>
    <x v="286"/>
    <s v="Oakesdale School District"/>
    <s v="Personnel"/>
    <s v="M "/>
    <x v="2"/>
    <x v="11"/>
    <s v="PSES Mid Prog01Act26 S275"/>
    <x v="0"/>
    <s v="26"/>
    <m/>
    <n v="26"/>
    <s v="   "/>
    <n v="0.113"/>
  </r>
  <r>
    <x v="286"/>
    <s v="Oakesdale School District"/>
    <s v="Personnel"/>
    <s v="H "/>
    <x v="1"/>
    <x v="16"/>
    <s v="PSES High Prog01Duty42 S275"/>
    <x v="0"/>
    <s v="42"/>
    <n v="42"/>
    <m/>
    <s v="   "/>
    <n v="0.6"/>
  </r>
  <r>
    <x v="287"/>
    <s v="Union Gap School District"/>
    <s v="Personnel"/>
    <s v="H "/>
    <x v="1"/>
    <x v="5"/>
    <s v="PSES High Prog01Act25 S275"/>
    <x v="0"/>
    <s v="25"/>
    <m/>
    <n v="25"/>
    <s v="   "/>
    <n v="3.0939999999999999"/>
  </r>
  <r>
    <x v="287"/>
    <s v="Union Gap School District"/>
    <s v="Personnel"/>
    <s v="H "/>
    <x v="1"/>
    <x v="29"/>
    <s v="PSES High Prog21Act26 S275"/>
    <x v="1"/>
    <s v="26"/>
    <m/>
    <n v="26"/>
    <s v="   "/>
    <n v="0.64600000000000002"/>
  </r>
  <r>
    <x v="287"/>
    <s v="Union Gap School District"/>
    <s v="Personnel"/>
    <s v="H "/>
    <x v="1"/>
    <x v="9"/>
    <s v="PSES High Prog01Act26 S275"/>
    <x v="0"/>
    <s v="26"/>
    <m/>
    <n v="26"/>
    <s v="   "/>
    <n v="0.91100000000000003"/>
  </r>
  <r>
    <x v="287"/>
    <s v="Union Gap School District"/>
    <s v="Personnel"/>
    <s v="E "/>
    <x v="0"/>
    <x v="15"/>
    <s v="PSES Elem Prog01Duty42 S275"/>
    <x v="0"/>
    <s v="42"/>
    <n v="42"/>
    <m/>
    <s v="   "/>
    <n v="0.5"/>
  </r>
  <r>
    <x v="287"/>
    <s v="Union Gap School District"/>
    <s v="Personnel"/>
    <s v="M "/>
    <x v="2"/>
    <x v="17"/>
    <s v="PSES Mid Prog01Duty42 S275"/>
    <x v="0"/>
    <s v="42"/>
    <n v="42"/>
    <m/>
    <s v="   "/>
    <n v="0.5"/>
  </r>
  <r>
    <x v="287"/>
    <s v="Union Gap School District"/>
    <s v="Personnel"/>
    <s v="E "/>
    <x v="0"/>
    <x v="22"/>
    <s v="PSES Elem Prog21Duty46 S275"/>
    <x v="1"/>
    <s v="46"/>
    <n v="46"/>
    <m/>
    <s v="   "/>
    <n v="0.5"/>
  </r>
  <r>
    <x v="287"/>
    <s v="Union Gap School District"/>
    <s v="Personnel"/>
    <s v="M "/>
    <x v="2"/>
    <x v="24"/>
    <s v="PSES Mid Prog21Duty46 S275"/>
    <x v="1"/>
    <s v="46"/>
    <n v="46"/>
    <m/>
    <s v="   "/>
    <n v="0.5"/>
  </r>
  <r>
    <x v="288"/>
    <s v="Naches Valley School District"/>
    <s v="Personnel"/>
    <s v="E "/>
    <x v="0"/>
    <x v="67"/>
    <s v="PSES Elem Prog21Act25 S275"/>
    <x v="1"/>
    <s v="25"/>
    <m/>
    <n v="25"/>
    <s v="   "/>
    <n v="6.9000000000000006E-2"/>
  </r>
  <r>
    <x v="288"/>
    <s v="Naches Valley School District"/>
    <s v="Personnel"/>
    <s v="E "/>
    <x v="0"/>
    <x v="3"/>
    <s v="PSES Elem Prog01Act25 S275"/>
    <x v="0"/>
    <s v="25"/>
    <m/>
    <n v="25"/>
    <s v="   "/>
    <n v="7.3999999999999996E-2"/>
  </r>
  <r>
    <x v="288"/>
    <s v="Naches Valley School District"/>
    <s v="Personnel"/>
    <s v="H "/>
    <x v="1"/>
    <x v="5"/>
    <s v="PSES High Prog01Act25 S275"/>
    <x v="0"/>
    <s v="25"/>
    <m/>
    <n v="25"/>
    <s v="   "/>
    <n v="0.14000000000000001"/>
  </r>
  <r>
    <x v="288"/>
    <s v="Naches Valley School District"/>
    <s v="Personnel"/>
    <s v="M "/>
    <x v="2"/>
    <x v="6"/>
    <s v="PSES Mid Prog01Act25 S275"/>
    <x v="0"/>
    <s v="25"/>
    <m/>
    <n v="25"/>
    <s v="   "/>
    <n v="0.56499999999999995"/>
  </r>
  <r>
    <x v="288"/>
    <s v="Naches Valley School District"/>
    <s v="Personnel"/>
    <s v="E "/>
    <x v="0"/>
    <x v="7"/>
    <s v="PSES Elem Prog21Act26 S275"/>
    <x v="1"/>
    <s v="26"/>
    <m/>
    <n v="26"/>
    <s v="   "/>
    <n v="0.59399999999999997"/>
  </r>
  <r>
    <x v="288"/>
    <s v="Naches Valley School District"/>
    <s v="Personnel"/>
    <s v="E "/>
    <x v="0"/>
    <x v="8"/>
    <s v="PSES Elem Prog01Act26 S275"/>
    <x v="0"/>
    <s v="26"/>
    <m/>
    <n v="26"/>
    <s v="   "/>
    <n v="0.72499999999999998"/>
  </r>
  <r>
    <x v="288"/>
    <s v="Naches Valley School District"/>
    <s v="Personnel"/>
    <s v="E "/>
    <x v="0"/>
    <x v="15"/>
    <s v="PSES Elem Prog01Duty42 S275"/>
    <x v="0"/>
    <s v="42"/>
    <n v="42"/>
    <m/>
    <s v="   "/>
    <n v="1.5"/>
  </r>
  <r>
    <x v="288"/>
    <s v="Naches Valley School District"/>
    <s v="Personnel"/>
    <s v="H "/>
    <x v="1"/>
    <x v="16"/>
    <s v="PSES High Prog01Duty42 S275"/>
    <x v="0"/>
    <s v="42"/>
    <n v="42"/>
    <m/>
    <s v="   "/>
    <n v="1.25"/>
  </r>
  <r>
    <x v="288"/>
    <s v="Naches Valley School District"/>
    <s v="Personnel"/>
    <s v="M "/>
    <x v="2"/>
    <x v="17"/>
    <s v="PSES Mid Prog01Duty42 S275"/>
    <x v="0"/>
    <s v="42"/>
    <n v="42"/>
    <m/>
    <s v="   "/>
    <n v="0.5"/>
  </r>
  <r>
    <x v="288"/>
    <s v="Naches Valley School District"/>
    <s v="Personnel"/>
    <s v="E "/>
    <x v="0"/>
    <x v="20"/>
    <s v="PSES Elem Prog21Duty45 S275"/>
    <x v="1"/>
    <s v="45"/>
    <n v="45"/>
    <m/>
    <s v="   "/>
    <n v="0.33400000000000002"/>
  </r>
  <r>
    <x v="288"/>
    <s v="Naches Valley School District"/>
    <s v="Personnel"/>
    <s v="H "/>
    <x v="1"/>
    <x v="21"/>
    <s v="PSES High Prog21Duty45 S275"/>
    <x v="1"/>
    <s v="45"/>
    <n v="45"/>
    <m/>
    <s v="   "/>
    <n v="1.333"/>
  </r>
  <r>
    <x v="288"/>
    <s v="Naches Valley School District"/>
    <s v="Personnel"/>
    <s v="M "/>
    <x v="2"/>
    <x v="28"/>
    <s v="PSES Mid Prog21Duty45 S275"/>
    <x v="1"/>
    <s v="45"/>
    <n v="45"/>
    <m/>
    <s v="   "/>
    <n v="0.33300000000000002"/>
  </r>
  <r>
    <x v="288"/>
    <s v="Naches Valley School District"/>
    <s v="Personnel"/>
    <s v="E "/>
    <x v="0"/>
    <x v="22"/>
    <s v="PSES Elem Prog21Duty46 S275"/>
    <x v="1"/>
    <s v="46"/>
    <n v="46"/>
    <m/>
    <s v="   "/>
    <n v="0.33400000000000002"/>
  </r>
  <r>
    <x v="288"/>
    <s v="Naches Valley School District"/>
    <s v="Personnel"/>
    <s v="H "/>
    <x v="1"/>
    <x v="23"/>
    <s v="PSES High Prog21Duty46 S275"/>
    <x v="1"/>
    <s v="46"/>
    <n v="46"/>
    <m/>
    <s v="   "/>
    <n v="0.33300000000000002"/>
  </r>
  <r>
    <x v="288"/>
    <s v="Naches Valley School District"/>
    <s v="Personnel"/>
    <s v="M "/>
    <x v="2"/>
    <x v="24"/>
    <s v="PSES Mid Prog21Duty46 S275"/>
    <x v="1"/>
    <s v="46"/>
    <n v="46"/>
    <m/>
    <s v="   "/>
    <n v="0.33300000000000002"/>
  </r>
  <r>
    <x v="288"/>
    <s v="Naches Valley School District"/>
    <s v="Personnel"/>
    <s v="E "/>
    <x v="0"/>
    <x v="27"/>
    <s v="PSES Elem Prog01Duty47 S275"/>
    <x v="0"/>
    <s v="47"/>
    <n v="47"/>
    <m/>
    <s v="   "/>
    <n v="0.43"/>
  </r>
  <r>
    <x v="288"/>
    <s v="Naches Valley School District"/>
    <s v="Personnel"/>
    <s v="H "/>
    <x v="1"/>
    <x v="25"/>
    <s v="PSES High Prog01Duty47 S275"/>
    <x v="0"/>
    <s v="47"/>
    <n v="47"/>
    <m/>
    <s v="   "/>
    <n v="0.43099999999999999"/>
  </r>
  <r>
    <x v="288"/>
    <s v="Naches Valley School District"/>
    <s v="Personnel"/>
    <s v="M "/>
    <x v="2"/>
    <x v="34"/>
    <s v="PSES Mid Prog01Duty47 S275"/>
    <x v="0"/>
    <s v="47"/>
    <n v="47"/>
    <m/>
    <s v="   "/>
    <n v="0.43"/>
  </r>
  <r>
    <x v="288"/>
    <s v="Naches Valley School District"/>
    <s v="Personnel"/>
    <m/>
    <x v="0"/>
    <x v="66"/>
    <s v="PSES Elem Prog09Duty25 S275"/>
    <x v="3"/>
    <s v="25"/>
    <n v="91"/>
    <n v="25"/>
    <m/>
    <n v="6.9000000000000006E-2"/>
  </r>
  <r>
    <x v="289"/>
    <s v="Yakima School District"/>
    <s v="Personnel"/>
    <s v="H "/>
    <x v="1"/>
    <x v="4"/>
    <s v="PSES High Prog21Act25 S275"/>
    <x v="1"/>
    <s v="25"/>
    <m/>
    <n v="25"/>
    <s v="   "/>
    <n v="1"/>
  </r>
  <r>
    <x v="289"/>
    <s v="Yakima School District"/>
    <s v="Personnel"/>
    <s v="H "/>
    <x v="1"/>
    <x v="5"/>
    <s v="PSES High Prog01Act25 S275"/>
    <x v="0"/>
    <s v="25"/>
    <m/>
    <n v="25"/>
    <s v="   "/>
    <n v="19.241"/>
  </r>
  <r>
    <x v="289"/>
    <s v="Yakima School District"/>
    <s v="Personnel"/>
    <s v="H "/>
    <x v="1"/>
    <x v="29"/>
    <s v="PSES High Prog21Act26 S275"/>
    <x v="1"/>
    <s v="26"/>
    <m/>
    <n v="26"/>
    <s v="   "/>
    <n v="19.736999999999998"/>
  </r>
  <r>
    <x v="289"/>
    <s v="Yakima School District"/>
    <s v="Personnel"/>
    <s v="H "/>
    <x v="1"/>
    <x v="9"/>
    <s v="PSES High Prog01Act26 S275"/>
    <x v="0"/>
    <s v="26"/>
    <m/>
    <n v="26"/>
    <s v="   "/>
    <n v="5.2519999999999998"/>
  </r>
  <r>
    <x v="289"/>
    <s v="Yakima School District"/>
    <s v="Personnel"/>
    <s v="H "/>
    <x v="1"/>
    <x v="54"/>
    <s v="PSES High Prog01Act35 S275"/>
    <x v="0"/>
    <s v="35"/>
    <m/>
    <n v="35"/>
    <s v="   "/>
    <n v="13.362"/>
  </r>
  <r>
    <x v="289"/>
    <s v="Yakima School District"/>
    <s v="Personnel"/>
    <s v="E "/>
    <x v="0"/>
    <x v="15"/>
    <s v="PSES Elem Prog01Duty42 S275"/>
    <x v="0"/>
    <s v="42"/>
    <n v="42"/>
    <m/>
    <s v="   "/>
    <n v="3.84"/>
  </r>
  <r>
    <x v="289"/>
    <s v="Yakima School District"/>
    <s v="Personnel"/>
    <s v="H "/>
    <x v="1"/>
    <x v="16"/>
    <s v="PSES High Prog01Duty42 S275"/>
    <x v="0"/>
    <s v="42"/>
    <n v="42"/>
    <m/>
    <s v="   "/>
    <n v="9"/>
  </r>
  <r>
    <x v="289"/>
    <s v="Yakima School District"/>
    <s v="Personnel"/>
    <s v="M "/>
    <x v="2"/>
    <x v="17"/>
    <s v="PSES Mid Prog01Duty42 S275"/>
    <x v="0"/>
    <s v="42"/>
    <n v="42"/>
    <m/>
    <s v="   "/>
    <n v="3.66"/>
  </r>
  <r>
    <x v="289"/>
    <s v="Yakima School District"/>
    <s v="Personnel"/>
    <s v="E "/>
    <x v="0"/>
    <x v="18"/>
    <s v="PSES Elem Prog21Duty43 S275"/>
    <x v="1"/>
    <s v="43"/>
    <n v="43"/>
    <m/>
    <s v="   "/>
    <n v="1.871"/>
  </r>
  <r>
    <x v="289"/>
    <s v="Yakima School District"/>
    <s v="Personnel"/>
    <s v="H "/>
    <x v="1"/>
    <x v="19"/>
    <s v="PSES High Prog21Duty43 S275"/>
    <x v="1"/>
    <s v="43"/>
    <n v="43"/>
    <m/>
    <s v="   "/>
    <n v="0.31"/>
  </r>
  <r>
    <x v="289"/>
    <s v="Yakima School District"/>
    <s v="Personnel"/>
    <s v="M "/>
    <x v="2"/>
    <x v="31"/>
    <s v="PSES Mid Prog21Duty43 S275"/>
    <x v="1"/>
    <s v="43"/>
    <n v="43"/>
    <m/>
    <s v="   "/>
    <n v="3.7970000000000002"/>
  </r>
  <r>
    <x v="289"/>
    <s v="Yakima School District"/>
    <s v="Personnel"/>
    <s v="E "/>
    <x v="0"/>
    <x v="20"/>
    <s v="PSES Elem Prog21Duty45 S275"/>
    <x v="1"/>
    <s v="45"/>
    <n v="45"/>
    <m/>
    <s v="   "/>
    <n v="5.8"/>
  </r>
  <r>
    <x v="289"/>
    <s v="Yakima School District"/>
    <s v="Personnel"/>
    <s v="M "/>
    <x v="2"/>
    <x v="28"/>
    <s v="PSES Mid Prog21Duty45 S275"/>
    <x v="1"/>
    <s v="45"/>
    <n v="45"/>
    <m/>
    <s v="   "/>
    <n v="3"/>
  </r>
  <r>
    <x v="289"/>
    <s v="Yakima School District"/>
    <s v="Personnel"/>
    <s v="E "/>
    <x v="0"/>
    <x v="22"/>
    <s v="PSES Elem Prog21Duty46 S275"/>
    <x v="1"/>
    <s v="46"/>
    <n v="46"/>
    <m/>
    <s v="   "/>
    <n v="5.4"/>
  </r>
  <r>
    <x v="289"/>
    <s v="Yakima School District"/>
    <s v="Personnel"/>
    <s v="H "/>
    <x v="1"/>
    <x v="23"/>
    <s v="PSES High Prog21Duty46 S275"/>
    <x v="1"/>
    <s v="46"/>
    <n v="46"/>
    <m/>
    <s v="   "/>
    <n v="6.8"/>
  </r>
  <r>
    <x v="289"/>
    <s v="Yakima School District"/>
    <s v="Personnel"/>
    <s v="M "/>
    <x v="2"/>
    <x v="24"/>
    <s v="PSES Mid Prog21Duty46 S275"/>
    <x v="1"/>
    <s v="46"/>
    <n v="46"/>
    <m/>
    <s v="   "/>
    <n v="5.4"/>
  </r>
  <r>
    <x v="289"/>
    <s v="Yakima School District"/>
    <s v="Personnel"/>
    <s v="E "/>
    <x v="0"/>
    <x v="27"/>
    <s v="PSES Elem Prog01Duty47 S275"/>
    <x v="0"/>
    <s v="47"/>
    <n v="47"/>
    <m/>
    <s v="   "/>
    <n v="11"/>
  </r>
  <r>
    <x v="289"/>
    <s v="Yakima School District"/>
    <s v="Personnel"/>
    <s v="H "/>
    <x v="1"/>
    <x v="25"/>
    <s v="PSES High Prog01Duty47 S275"/>
    <x v="0"/>
    <s v="47"/>
    <n v="47"/>
    <m/>
    <s v="   "/>
    <n v="4"/>
  </r>
  <r>
    <x v="289"/>
    <s v="Yakima School District"/>
    <s v="Personnel"/>
    <s v="M "/>
    <x v="2"/>
    <x v="34"/>
    <s v="PSES Mid Prog01Duty47 S275"/>
    <x v="0"/>
    <s v="47"/>
    <n v="47"/>
    <m/>
    <s v="   "/>
    <n v="4"/>
  </r>
  <r>
    <x v="290"/>
    <s v="East Valley School District (Yakima)"/>
    <s v="Personnel"/>
    <s v="H "/>
    <x v="1"/>
    <x v="5"/>
    <s v="PSES High Prog01Act25 S275"/>
    <x v="0"/>
    <s v="25"/>
    <m/>
    <n v="25"/>
    <s v="   "/>
    <n v="3.407"/>
  </r>
  <r>
    <x v="290"/>
    <s v="East Valley School District (Yakima)"/>
    <s v="Personnel"/>
    <s v="H "/>
    <x v="1"/>
    <x v="29"/>
    <s v="PSES High Prog21Act26 S275"/>
    <x v="1"/>
    <s v="26"/>
    <m/>
    <n v="26"/>
    <s v="   "/>
    <n v="1.873"/>
  </r>
  <r>
    <x v="290"/>
    <s v="East Valley School District (Yakima)"/>
    <s v="Personnel"/>
    <s v="H "/>
    <x v="1"/>
    <x v="9"/>
    <s v="PSES High Prog01Act26 S275"/>
    <x v="0"/>
    <s v="26"/>
    <m/>
    <n v="26"/>
    <s v="   "/>
    <n v="3.09"/>
  </r>
  <r>
    <x v="290"/>
    <s v="East Valley School District (Yakima)"/>
    <s v="Personnel"/>
    <s v="H "/>
    <x v="1"/>
    <x v="54"/>
    <s v="PSES High Prog01Act35 S275"/>
    <x v="0"/>
    <s v="35"/>
    <m/>
    <n v="35"/>
    <s v="   "/>
    <n v="1.202"/>
  </r>
  <r>
    <x v="290"/>
    <s v="East Valley School District (Yakima)"/>
    <s v="Personnel"/>
    <s v="E "/>
    <x v="0"/>
    <x v="15"/>
    <s v="PSES Elem Prog01Duty42 S275"/>
    <x v="0"/>
    <s v="42"/>
    <n v="42"/>
    <m/>
    <s v="   "/>
    <n v="3"/>
  </r>
  <r>
    <x v="290"/>
    <s v="East Valley School District (Yakima)"/>
    <s v="Personnel"/>
    <s v="H "/>
    <x v="1"/>
    <x v="16"/>
    <s v="PSES High Prog01Duty42 S275"/>
    <x v="0"/>
    <s v="42"/>
    <n v="42"/>
    <m/>
    <s v="   "/>
    <n v="2.5499999999999998"/>
  </r>
  <r>
    <x v="290"/>
    <s v="East Valley School District (Yakima)"/>
    <s v="Personnel"/>
    <s v="M "/>
    <x v="2"/>
    <x v="17"/>
    <s v="PSES Mid Prog01Duty42 S275"/>
    <x v="0"/>
    <s v="42"/>
    <n v="42"/>
    <m/>
    <s v="   "/>
    <n v="2.0009999999999999"/>
  </r>
  <r>
    <x v="290"/>
    <s v="East Valley School District (Yakima)"/>
    <s v="Personnel"/>
    <s v="E "/>
    <x v="0"/>
    <x v="18"/>
    <s v="PSES Elem Prog21Duty43 S275"/>
    <x v="1"/>
    <s v="43"/>
    <n v="43"/>
    <m/>
    <s v="   "/>
    <n v="0.63"/>
  </r>
  <r>
    <x v="290"/>
    <s v="East Valley School District (Yakima)"/>
    <s v="Personnel"/>
    <s v="H "/>
    <x v="1"/>
    <x v="19"/>
    <s v="PSES High Prog21Duty43 S275"/>
    <x v="1"/>
    <s v="43"/>
    <n v="43"/>
    <m/>
    <s v="   "/>
    <n v="0.17"/>
  </r>
  <r>
    <x v="290"/>
    <s v="East Valley School District (Yakima)"/>
    <s v="Personnel"/>
    <s v="M "/>
    <x v="2"/>
    <x v="31"/>
    <s v="PSES Mid Prog21Duty43 S275"/>
    <x v="1"/>
    <s v="43"/>
    <n v="43"/>
    <m/>
    <s v="   "/>
    <n v="0.2"/>
  </r>
  <r>
    <x v="290"/>
    <s v="East Valley School District (Yakima)"/>
    <s v="Personnel"/>
    <s v="E "/>
    <x v="0"/>
    <x v="22"/>
    <s v="PSES Elem Prog21Duty46 S275"/>
    <x v="1"/>
    <s v="46"/>
    <n v="46"/>
    <m/>
    <s v="   "/>
    <n v="3.77"/>
  </r>
  <r>
    <x v="290"/>
    <s v="East Valley School District (Yakima)"/>
    <s v="Personnel"/>
    <s v="H "/>
    <x v="1"/>
    <x v="23"/>
    <s v="PSES High Prog21Duty46 S275"/>
    <x v="1"/>
    <s v="46"/>
    <n v="46"/>
    <m/>
    <s v="   "/>
    <n v="1"/>
  </r>
  <r>
    <x v="290"/>
    <s v="East Valley School District (Yakima)"/>
    <s v="Personnel"/>
    <s v="E "/>
    <x v="0"/>
    <x v="38"/>
    <s v="PSES Elem Prog21Duty64 S275"/>
    <x v="1"/>
    <s v="64"/>
    <n v="64"/>
    <m/>
    <s v="   "/>
    <n v="4.6399999999999997"/>
  </r>
  <r>
    <x v="290"/>
    <s v="East Valley School District (Yakima)"/>
    <s v="Personnel"/>
    <s v="H "/>
    <x v="1"/>
    <x v="59"/>
    <s v="PSES High Prog21Duty64 S275"/>
    <x v="1"/>
    <s v="64"/>
    <n v="64"/>
    <m/>
    <s v="   "/>
    <n v="1"/>
  </r>
  <r>
    <x v="290"/>
    <s v="East Valley School District (Yakima)"/>
    <s v="Personnel"/>
    <s v="M "/>
    <x v="2"/>
    <x v="60"/>
    <s v="PSES Mid Prog21Duty64 S275"/>
    <x v="1"/>
    <s v="64"/>
    <n v="64"/>
    <m/>
    <s v="   "/>
    <n v="1"/>
  </r>
  <r>
    <x v="290"/>
    <s v="East Valley School District (Yakima)"/>
    <s v="Personnel"/>
    <s v="T"/>
    <x v="0"/>
    <x v="94"/>
    <s v="PSES Elem Prog09Duty64 S275"/>
    <x v="3"/>
    <s v="64"/>
    <n v="64"/>
    <n v="26"/>
    <m/>
    <n v="0.04"/>
  </r>
  <r>
    <x v="290"/>
    <s v="East Valley School District (Yakima)"/>
    <s v="Personnel"/>
    <s v="T"/>
    <x v="0"/>
    <x v="94"/>
    <s v="PSES Elem Prog09Duty64 S275"/>
    <x v="3"/>
    <s v="64"/>
    <n v="64"/>
    <n v="26"/>
    <m/>
    <n v="0.3"/>
  </r>
  <r>
    <x v="290"/>
    <s v="East Valley School District (Yakima)"/>
    <s v="Personnel"/>
    <s v="T"/>
    <x v="0"/>
    <x v="94"/>
    <s v="PSES Elem Prog09Duty64 S275"/>
    <x v="3"/>
    <s v="64"/>
    <n v="64"/>
    <n v="26"/>
    <m/>
    <n v="0.02"/>
  </r>
  <r>
    <x v="291"/>
    <s v="Selah School District"/>
    <s v="Personnel"/>
    <s v="H "/>
    <x v="1"/>
    <x v="1"/>
    <s v="PSES High Prog01Duty96 S275"/>
    <x v="0"/>
    <s v="24"/>
    <n v="96"/>
    <n v="24"/>
    <s v="   "/>
    <n v="1.577"/>
  </r>
  <r>
    <x v="291"/>
    <s v="Selah School District"/>
    <s v="Personnel"/>
    <s v="H "/>
    <x v="1"/>
    <x v="5"/>
    <s v="PSES High Prog01Act25 S275"/>
    <x v="0"/>
    <s v="25"/>
    <m/>
    <n v="25"/>
    <s v="   "/>
    <n v="0.36699999999999999"/>
  </r>
  <r>
    <x v="291"/>
    <s v="Selah School District"/>
    <s v="Personnel"/>
    <s v="H "/>
    <x v="1"/>
    <x v="29"/>
    <s v="PSES High Prog21Act26 S275"/>
    <x v="1"/>
    <s v="26"/>
    <m/>
    <n v="26"/>
    <s v="   "/>
    <n v="1.9610000000000001"/>
  </r>
  <r>
    <x v="291"/>
    <s v="Selah School District"/>
    <s v="Personnel"/>
    <s v="H "/>
    <x v="1"/>
    <x v="9"/>
    <s v="PSES High Prog01Act26 S275"/>
    <x v="0"/>
    <s v="26"/>
    <m/>
    <n v="26"/>
    <s v="   "/>
    <n v="1.6060000000000001"/>
  </r>
  <r>
    <x v="291"/>
    <s v="Selah School District"/>
    <s v="Personnel"/>
    <s v="E "/>
    <x v="0"/>
    <x v="15"/>
    <s v="PSES Elem Prog01Duty42 S275"/>
    <x v="0"/>
    <s v="42"/>
    <n v="42"/>
    <m/>
    <s v="   "/>
    <n v="4"/>
  </r>
  <r>
    <x v="291"/>
    <s v="Selah School District"/>
    <s v="Personnel"/>
    <s v="H "/>
    <x v="1"/>
    <x v="16"/>
    <s v="PSES High Prog01Duty42 S275"/>
    <x v="0"/>
    <s v="42"/>
    <n v="42"/>
    <m/>
    <s v="   "/>
    <n v="2.4"/>
  </r>
  <r>
    <x v="291"/>
    <s v="Selah School District"/>
    <s v="Personnel"/>
    <s v="M "/>
    <x v="2"/>
    <x v="17"/>
    <s v="PSES Mid Prog01Duty42 S275"/>
    <x v="0"/>
    <s v="42"/>
    <n v="42"/>
    <m/>
    <s v="   "/>
    <n v="2.4"/>
  </r>
  <r>
    <x v="291"/>
    <s v="Selah School District"/>
    <s v="Personnel"/>
    <s v="E "/>
    <x v="0"/>
    <x v="18"/>
    <s v="PSES Elem Prog21Duty43 S275"/>
    <x v="1"/>
    <s v="43"/>
    <n v="43"/>
    <m/>
    <s v="   "/>
    <n v="0.93200000000000005"/>
  </r>
  <r>
    <x v="291"/>
    <s v="Selah School District"/>
    <s v="Personnel"/>
    <s v="H "/>
    <x v="1"/>
    <x v="19"/>
    <s v="PSES High Prog21Duty43 S275"/>
    <x v="1"/>
    <s v="43"/>
    <n v="43"/>
    <m/>
    <s v="   "/>
    <n v="0.4"/>
  </r>
  <r>
    <x v="291"/>
    <s v="Selah School District"/>
    <s v="Personnel"/>
    <s v="M "/>
    <x v="2"/>
    <x v="31"/>
    <s v="PSES Mid Prog21Duty43 S275"/>
    <x v="1"/>
    <s v="43"/>
    <n v="43"/>
    <m/>
    <s v="   "/>
    <n v="0.26800000000000002"/>
  </r>
  <r>
    <x v="291"/>
    <s v="Selah School District"/>
    <s v="Personnel"/>
    <s v="E "/>
    <x v="0"/>
    <x v="42"/>
    <s v="PSES Elem Prog01Duty44 S275"/>
    <x v="0"/>
    <s v="44"/>
    <n v="44"/>
    <m/>
    <s v="   "/>
    <n v="1"/>
  </r>
  <r>
    <x v="291"/>
    <s v="Selah School District"/>
    <s v="Personnel"/>
    <s v="E "/>
    <x v="0"/>
    <x v="20"/>
    <s v="PSES Elem Prog21Duty45 S275"/>
    <x v="1"/>
    <s v="45"/>
    <n v="45"/>
    <m/>
    <s v="   "/>
    <n v="1.833"/>
  </r>
  <r>
    <x v="291"/>
    <s v="Selah School District"/>
    <s v="Personnel"/>
    <s v="H "/>
    <x v="1"/>
    <x v="21"/>
    <s v="PSES High Prog21Duty45 S275"/>
    <x v="1"/>
    <s v="45"/>
    <n v="45"/>
    <m/>
    <s v="   "/>
    <n v="0.05"/>
  </r>
  <r>
    <x v="291"/>
    <s v="Selah School District"/>
    <s v="Personnel"/>
    <s v="M "/>
    <x v="2"/>
    <x v="28"/>
    <s v="PSES Mid Prog21Duty45 S275"/>
    <x v="1"/>
    <s v="45"/>
    <n v="45"/>
    <m/>
    <s v="   "/>
    <n v="6.7000000000000004E-2"/>
  </r>
  <r>
    <x v="291"/>
    <s v="Selah School District"/>
    <s v="Personnel"/>
    <s v="E "/>
    <x v="0"/>
    <x v="22"/>
    <s v="PSES Elem Prog21Duty46 S275"/>
    <x v="1"/>
    <s v="46"/>
    <n v="46"/>
    <m/>
    <s v="   "/>
    <n v="1.871"/>
  </r>
  <r>
    <x v="291"/>
    <s v="Selah School District"/>
    <s v="Personnel"/>
    <s v="H "/>
    <x v="1"/>
    <x v="23"/>
    <s v="PSES High Prog21Duty46 S275"/>
    <x v="1"/>
    <s v="46"/>
    <n v="46"/>
    <m/>
    <s v="   "/>
    <n v="1"/>
  </r>
  <r>
    <x v="291"/>
    <s v="Selah School District"/>
    <s v="Personnel"/>
    <s v="M "/>
    <x v="2"/>
    <x v="24"/>
    <s v="PSES Mid Prog21Duty46 S275"/>
    <x v="1"/>
    <s v="46"/>
    <n v="46"/>
    <m/>
    <s v="   "/>
    <n v="1.768"/>
  </r>
  <r>
    <x v="291"/>
    <s v="Selah School District"/>
    <s v="Personnel"/>
    <s v="E "/>
    <x v="0"/>
    <x v="32"/>
    <s v="PSES Elem Prog21Duty47 S275"/>
    <x v="1"/>
    <s v="47"/>
    <n v="47"/>
    <m/>
    <s v="   "/>
    <n v="0.14000000000000001"/>
  </r>
  <r>
    <x v="291"/>
    <s v="Selah School District"/>
    <s v="Personnel"/>
    <s v="E "/>
    <x v="0"/>
    <x v="27"/>
    <s v="PSES Elem Prog01Duty47 S275"/>
    <x v="0"/>
    <s v="47"/>
    <n v="47"/>
    <m/>
    <s v="   "/>
    <n v="0.86"/>
  </r>
  <r>
    <x v="291"/>
    <s v="Selah School District"/>
    <s v="Personnel"/>
    <s v="H "/>
    <x v="1"/>
    <x v="61"/>
    <s v="PSES High Prog21Duty47 S275"/>
    <x v="1"/>
    <s v="47"/>
    <n v="47"/>
    <m/>
    <s v="   "/>
    <n v="0.28599999999999998"/>
  </r>
  <r>
    <x v="291"/>
    <s v="Selah School District"/>
    <s v="Personnel"/>
    <s v="H "/>
    <x v="1"/>
    <x v="25"/>
    <s v="PSES High Prog01Duty47 S275"/>
    <x v="0"/>
    <s v="47"/>
    <n v="47"/>
    <m/>
    <s v="   "/>
    <n v="1.714"/>
  </r>
  <r>
    <x v="292"/>
    <s v="Mabton School District"/>
    <s v="Personnel"/>
    <s v="H "/>
    <x v="1"/>
    <x v="9"/>
    <s v="PSES High Prog01Act26 S275"/>
    <x v="0"/>
    <s v="26"/>
    <m/>
    <n v="26"/>
    <s v="   "/>
    <n v="0.60599999999999998"/>
  </r>
  <r>
    <x v="292"/>
    <s v="Mabton School District"/>
    <s v="Personnel"/>
    <s v="E "/>
    <x v="0"/>
    <x v="15"/>
    <s v="PSES Elem Prog01Duty42 S275"/>
    <x v="0"/>
    <s v="42"/>
    <n v="42"/>
    <m/>
    <s v="   "/>
    <n v="0.5"/>
  </r>
  <r>
    <x v="292"/>
    <s v="Mabton School District"/>
    <s v="Personnel"/>
    <s v="H "/>
    <x v="1"/>
    <x v="16"/>
    <s v="PSES High Prog01Duty42 S275"/>
    <x v="0"/>
    <s v="42"/>
    <n v="42"/>
    <m/>
    <s v="   "/>
    <n v="0.5"/>
  </r>
  <r>
    <x v="293"/>
    <s v="Grandview School District"/>
    <s v="Personnel"/>
    <s v="E "/>
    <x v="0"/>
    <x v="3"/>
    <s v="PSES Elem Prog01Act25 S275"/>
    <x v="0"/>
    <s v="25"/>
    <m/>
    <n v="25"/>
    <s v="   "/>
    <n v="1.226"/>
  </r>
  <r>
    <x v="293"/>
    <s v="Grandview School District"/>
    <s v="Personnel"/>
    <s v="H "/>
    <x v="1"/>
    <x v="5"/>
    <s v="PSES High Prog01Act25 S275"/>
    <x v="0"/>
    <s v="25"/>
    <m/>
    <n v="25"/>
    <s v="   "/>
    <n v="0.78500000000000003"/>
  </r>
  <r>
    <x v="293"/>
    <s v="Grandview School District"/>
    <s v="Personnel"/>
    <s v="M "/>
    <x v="2"/>
    <x v="6"/>
    <s v="PSES Mid Prog01Act25 S275"/>
    <x v="0"/>
    <s v="25"/>
    <m/>
    <n v="25"/>
    <s v="   "/>
    <n v="1.3919999999999999"/>
  </r>
  <r>
    <x v="293"/>
    <s v="Grandview School District"/>
    <s v="Personnel"/>
    <s v="E "/>
    <x v="0"/>
    <x v="7"/>
    <s v="PSES Elem Prog21Act26 S275"/>
    <x v="1"/>
    <s v="26"/>
    <m/>
    <n v="26"/>
    <s v="   "/>
    <n v="2.5179999999999998"/>
  </r>
  <r>
    <x v="293"/>
    <s v="Grandview School District"/>
    <s v="Personnel"/>
    <s v="E "/>
    <x v="0"/>
    <x v="8"/>
    <s v="PSES Elem Prog01Act26 S275"/>
    <x v="0"/>
    <s v="26"/>
    <m/>
    <n v="26"/>
    <s v="   "/>
    <n v="1.9530000000000001"/>
  </r>
  <r>
    <x v="293"/>
    <s v="Grandview School District"/>
    <s v="Personnel"/>
    <s v="H "/>
    <x v="1"/>
    <x v="29"/>
    <s v="PSES High Prog21Act26 S275"/>
    <x v="1"/>
    <s v="26"/>
    <m/>
    <n v="26"/>
    <s v="   "/>
    <n v="1.544"/>
  </r>
  <r>
    <x v="293"/>
    <s v="Grandview School District"/>
    <s v="Personnel"/>
    <s v="H "/>
    <x v="1"/>
    <x v="9"/>
    <s v="PSES High Prog01Act26 S275"/>
    <x v="0"/>
    <s v="26"/>
    <m/>
    <n v="26"/>
    <s v="   "/>
    <n v="1.3029999999999999"/>
  </r>
  <r>
    <x v="293"/>
    <s v="Grandview School District"/>
    <s v="Personnel"/>
    <s v="M "/>
    <x v="2"/>
    <x v="10"/>
    <s v="PSES Mid Prog21Act26 S275"/>
    <x v="1"/>
    <s v="26"/>
    <m/>
    <n v="26"/>
    <s v="   "/>
    <n v="0.79"/>
  </r>
  <r>
    <x v="293"/>
    <s v="Grandview School District"/>
    <s v="Personnel"/>
    <s v="H "/>
    <x v="1"/>
    <x v="12"/>
    <s v="PSES High Prog97Act35 S275"/>
    <x v="2"/>
    <s v="35"/>
    <m/>
    <n v="35"/>
    <s v="   "/>
    <n v="3.35"/>
  </r>
  <r>
    <x v="293"/>
    <s v="Grandview School District"/>
    <s v="Personnel"/>
    <s v="M "/>
    <x v="2"/>
    <x v="13"/>
    <s v="PSES Mid Prog97Act35 S275"/>
    <x v="2"/>
    <s v="35"/>
    <m/>
    <n v="35"/>
    <s v="   "/>
    <n v="0.73099999999999998"/>
  </r>
  <r>
    <x v="293"/>
    <s v="Grandview School District"/>
    <s v="Personnel"/>
    <s v="E "/>
    <x v="0"/>
    <x v="15"/>
    <s v="PSES Elem Prog01Duty42 S275"/>
    <x v="0"/>
    <s v="42"/>
    <n v="42"/>
    <m/>
    <s v="   "/>
    <n v="3"/>
  </r>
  <r>
    <x v="293"/>
    <s v="Grandview School District"/>
    <s v="Personnel"/>
    <s v="H "/>
    <x v="1"/>
    <x v="16"/>
    <s v="PSES High Prog01Duty42 S275"/>
    <x v="0"/>
    <s v="42"/>
    <n v="42"/>
    <m/>
    <s v="   "/>
    <n v="2.8"/>
  </r>
  <r>
    <x v="293"/>
    <s v="Grandview School District"/>
    <s v="Personnel"/>
    <s v="M "/>
    <x v="2"/>
    <x v="17"/>
    <s v="PSES Mid Prog01Duty42 S275"/>
    <x v="0"/>
    <s v="42"/>
    <n v="42"/>
    <m/>
    <s v="   "/>
    <n v="2.7"/>
  </r>
  <r>
    <x v="293"/>
    <s v="Grandview School District"/>
    <s v="Personnel"/>
    <s v="E "/>
    <x v="0"/>
    <x v="22"/>
    <s v="PSES Elem Prog21Duty46 S275"/>
    <x v="1"/>
    <s v="46"/>
    <n v="46"/>
    <m/>
    <s v="   "/>
    <n v="2"/>
  </r>
  <r>
    <x v="293"/>
    <s v="Grandview School District"/>
    <s v="Personnel"/>
    <s v="H "/>
    <x v="1"/>
    <x v="23"/>
    <s v="PSES High Prog21Duty46 S275"/>
    <x v="1"/>
    <s v="46"/>
    <n v="46"/>
    <m/>
    <s v="   "/>
    <n v="0.5"/>
  </r>
  <r>
    <x v="293"/>
    <s v="Grandview School District"/>
    <s v="Personnel"/>
    <s v="M "/>
    <x v="2"/>
    <x v="24"/>
    <s v="PSES Mid Prog21Duty46 S275"/>
    <x v="1"/>
    <s v="46"/>
    <n v="46"/>
    <m/>
    <s v="   "/>
    <n v="0.5"/>
  </r>
  <r>
    <x v="293"/>
    <s v="Grandview School District"/>
    <s v="Personnel"/>
    <s v="M "/>
    <x v="2"/>
    <x v="34"/>
    <s v="PSES Mid Prog01Duty47 S275"/>
    <x v="0"/>
    <s v="47"/>
    <n v="47"/>
    <m/>
    <s v="   "/>
    <n v="1"/>
  </r>
  <r>
    <x v="293"/>
    <s v="Grandview School District"/>
    <s v="Personnel"/>
    <s v="E "/>
    <x v="0"/>
    <x v="38"/>
    <s v="PSES Elem Prog21Duty64 S275"/>
    <x v="1"/>
    <s v="64"/>
    <n v="64"/>
    <m/>
    <s v="   "/>
    <n v="3.448"/>
  </r>
  <r>
    <x v="293"/>
    <s v="Grandview School District"/>
    <s v="Personnel"/>
    <s v="H "/>
    <x v="1"/>
    <x v="59"/>
    <s v="PSES High Prog21Duty64 S275"/>
    <x v="1"/>
    <s v="64"/>
    <n v="64"/>
    <m/>
    <s v="   "/>
    <n v="0.189"/>
  </r>
  <r>
    <x v="293"/>
    <s v="Grandview School District"/>
    <s v="Personnel"/>
    <s v="M "/>
    <x v="2"/>
    <x v="60"/>
    <s v="PSES Mid Prog21Duty64 S275"/>
    <x v="1"/>
    <s v="64"/>
    <n v="64"/>
    <m/>
    <s v="   "/>
    <n v="0.58499999999999996"/>
  </r>
  <r>
    <x v="294"/>
    <s v="Sunnyside School District"/>
    <s v="Personnel"/>
    <s v="H "/>
    <x v="1"/>
    <x v="4"/>
    <s v="PSES High Prog21Act25 S275"/>
    <x v="1"/>
    <s v="25"/>
    <m/>
    <n v="25"/>
    <s v="   "/>
    <n v="4.2699999999999996"/>
  </r>
  <r>
    <x v="294"/>
    <s v="Sunnyside School District"/>
    <s v="Personnel"/>
    <s v="H "/>
    <x v="1"/>
    <x v="5"/>
    <s v="PSES High Prog01Act25 S275"/>
    <x v="0"/>
    <s v="25"/>
    <m/>
    <n v="25"/>
    <s v="   "/>
    <n v="7.9580000000000002"/>
  </r>
  <r>
    <x v="294"/>
    <s v="Sunnyside School District"/>
    <s v="Personnel"/>
    <s v="H "/>
    <x v="1"/>
    <x v="29"/>
    <s v="PSES High Prog21Act26 S275"/>
    <x v="1"/>
    <s v="26"/>
    <m/>
    <n v="26"/>
    <s v="   "/>
    <n v="6.3710000000000004"/>
  </r>
  <r>
    <x v="294"/>
    <s v="Sunnyside School District"/>
    <s v="Personnel"/>
    <s v="H "/>
    <x v="1"/>
    <x v="9"/>
    <s v="PSES High Prog01Act26 S275"/>
    <x v="0"/>
    <s v="26"/>
    <m/>
    <n v="26"/>
    <s v="   "/>
    <n v="1.278"/>
  </r>
  <r>
    <x v="294"/>
    <s v="Sunnyside School District"/>
    <s v="Personnel"/>
    <s v="E "/>
    <x v="0"/>
    <x v="15"/>
    <s v="PSES Elem Prog01Duty42 S275"/>
    <x v="0"/>
    <s v="42"/>
    <n v="42"/>
    <m/>
    <s v="   "/>
    <n v="8"/>
  </r>
  <r>
    <x v="294"/>
    <s v="Sunnyside School District"/>
    <s v="Personnel"/>
    <s v="H "/>
    <x v="1"/>
    <x v="16"/>
    <s v="PSES High Prog01Duty42 S275"/>
    <x v="0"/>
    <s v="42"/>
    <n v="42"/>
    <m/>
    <s v="   "/>
    <n v="6"/>
  </r>
  <r>
    <x v="294"/>
    <s v="Sunnyside School District"/>
    <s v="Personnel"/>
    <s v="M "/>
    <x v="2"/>
    <x v="17"/>
    <s v="PSES Mid Prog01Duty42 S275"/>
    <x v="0"/>
    <s v="42"/>
    <n v="42"/>
    <m/>
    <s v="   "/>
    <n v="5"/>
  </r>
  <r>
    <x v="294"/>
    <s v="Sunnyside School District"/>
    <s v="Personnel"/>
    <s v="E "/>
    <x v="0"/>
    <x v="20"/>
    <s v="PSES Elem Prog21Duty45 S275"/>
    <x v="1"/>
    <s v="45"/>
    <n v="45"/>
    <m/>
    <s v="   "/>
    <n v="3"/>
  </r>
  <r>
    <x v="294"/>
    <s v="Sunnyside School District"/>
    <s v="Personnel"/>
    <s v="M "/>
    <x v="2"/>
    <x v="28"/>
    <s v="PSES Mid Prog21Duty45 S275"/>
    <x v="1"/>
    <s v="45"/>
    <n v="45"/>
    <m/>
    <s v="   "/>
    <n v="0.81699999999999995"/>
  </r>
  <r>
    <x v="294"/>
    <s v="Sunnyside School District"/>
    <s v="Personnel"/>
    <s v="E "/>
    <x v="0"/>
    <x v="22"/>
    <s v="PSES Elem Prog21Duty46 S275"/>
    <x v="1"/>
    <s v="46"/>
    <n v="46"/>
    <m/>
    <s v="   "/>
    <n v="4"/>
  </r>
  <r>
    <x v="294"/>
    <s v="Sunnyside School District"/>
    <s v="Personnel"/>
    <s v="H "/>
    <x v="1"/>
    <x v="23"/>
    <s v="PSES High Prog21Duty46 S275"/>
    <x v="1"/>
    <s v="46"/>
    <n v="46"/>
    <m/>
    <s v="   "/>
    <n v="2"/>
  </r>
  <r>
    <x v="294"/>
    <s v="Sunnyside School District"/>
    <s v="Personnel"/>
    <s v="E "/>
    <x v="0"/>
    <x v="27"/>
    <s v="PSES Elem Prog01Duty47 S275"/>
    <x v="0"/>
    <s v="47"/>
    <n v="47"/>
    <m/>
    <s v="   "/>
    <n v="3"/>
  </r>
  <r>
    <x v="294"/>
    <s v="Sunnyside School District"/>
    <s v="Personnel"/>
    <s v="H "/>
    <x v="1"/>
    <x v="25"/>
    <s v="PSES High Prog01Duty47 S275"/>
    <x v="0"/>
    <s v="47"/>
    <n v="47"/>
    <m/>
    <s v="   "/>
    <n v="1.2"/>
  </r>
  <r>
    <x v="294"/>
    <s v="Sunnyside School District"/>
    <s v="Personnel"/>
    <s v="M "/>
    <x v="2"/>
    <x v="34"/>
    <s v="PSES Mid Prog01Duty47 S275"/>
    <x v="0"/>
    <s v="47"/>
    <n v="47"/>
    <m/>
    <s v="   "/>
    <n v="2"/>
  </r>
  <r>
    <x v="294"/>
    <s v="Sunnyside School District"/>
    <s v="Personnel"/>
    <m/>
    <x v="0"/>
    <x v="66"/>
    <s v="PSES Elem Prog09Duty25 S275"/>
    <x v="3"/>
    <s v="25"/>
    <n v="91"/>
    <n v="25"/>
    <m/>
    <n v="0.13700000000000001"/>
  </r>
  <r>
    <x v="294"/>
    <s v="Sunnyside School District"/>
    <s v="Personnel"/>
    <m/>
    <x v="0"/>
    <x v="66"/>
    <s v="PSES Elem Prog09Duty25 S275"/>
    <x v="3"/>
    <s v="25"/>
    <n v="91"/>
    <n v="25"/>
    <m/>
    <n v="0.128"/>
  </r>
  <r>
    <x v="295"/>
    <s v="Toppenish School District"/>
    <s v="Personnel"/>
    <s v="H "/>
    <x v="1"/>
    <x v="1"/>
    <s v="PSES High Prog01Duty96 S275"/>
    <x v="0"/>
    <s v="24"/>
    <n v="96"/>
    <n v="24"/>
    <s v="   "/>
    <n v="0.65"/>
  </r>
  <r>
    <x v="295"/>
    <s v="Toppenish School District"/>
    <s v="Personnel"/>
    <s v="E "/>
    <x v="0"/>
    <x v="8"/>
    <s v="PSES Elem Prog01Act26 S275"/>
    <x v="0"/>
    <s v="26"/>
    <m/>
    <n v="26"/>
    <s v="   "/>
    <n v="1.833"/>
  </r>
  <r>
    <x v="295"/>
    <s v="Toppenish School District"/>
    <s v="Personnel"/>
    <s v="H "/>
    <x v="1"/>
    <x v="29"/>
    <s v="PSES High Prog21Act26 S275"/>
    <x v="1"/>
    <s v="26"/>
    <m/>
    <n v="26"/>
    <s v="   "/>
    <n v="0.63900000000000001"/>
  </r>
  <r>
    <x v="295"/>
    <s v="Toppenish School District"/>
    <s v="Personnel"/>
    <s v="H "/>
    <x v="1"/>
    <x v="9"/>
    <s v="PSES High Prog01Act26 S275"/>
    <x v="0"/>
    <s v="26"/>
    <m/>
    <n v="26"/>
    <s v="   "/>
    <n v="1.7"/>
  </r>
  <r>
    <x v="295"/>
    <s v="Toppenish School District"/>
    <s v="Personnel"/>
    <s v="M "/>
    <x v="2"/>
    <x v="10"/>
    <s v="PSES Mid Prog21Act26 S275"/>
    <x v="1"/>
    <s v="26"/>
    <m/>
    <n v="26"/>
    <s v="   "/>
    <n v="0.59399999999999997"/>
  </r>
  <r>
    <x v="295"/>
    <s v="Toppenish School District"/>
    <s v="Personnel"/>
    <s v="M "/>
    <x v="2"/>
    <x v="11"/>
    <s v="PSES Mid Prog01Act26 S275"/>
    <x v="0"/>
    <s v="26"/>
    <m/>
    <n v="26"/>
    <s v="   "/>
    <n v="0.63900000000000001"/>
  </r>
  <r>
    <x v="295"/>
    <s v="Toppenish School District"/>
    <s v="Personnel"/>
    <s v="E "/>
    <x v="0"/>
    <x v="62"/>
    <s v="PSES Elem Prog01Act35 S275"/>
    <x v="0"/>
    <s v="35"/>
    <m/>
    <n v="35"/>
    <s v="   "/>
    <n v="1.7470000000000001"/>
  </r>
  <r>
    <x v="295"/>
    <s v="Toppenish School District"/>
    <s v="Personnel"/>
    <s v="H "/>
    <x v="1"/>
    <x v="87"/>
    <s v="PSES High Prog21Act35 S275"/>
    <x v="1"/>
    <s v="35"/>
    <m/>
    <n v="35"/>
    <s v="   "/>
    <n v="0.59399999999999997"/>
  </r>
  <r>
    <x v="295"/>
    <s v="Toppenish School District"/>
    <s v="Personnel"/>
    <s v="E "/>
    <x v="0"/>
    <x v="15"/>
    <s v="PSES Elem Prog01Duty42 S275"/>
    <x v="0"/>
    <s v="42"/>
    <n v="42"/>
    <m/>
    <s v="   "/>
    <n v="4.25"/>
  </r>
  <r>
    <x v="295"/>
    <s v="Toppenish School District"/>
    <s v="Personnel"/>
    <s v="H "/>
    <x v="1"/>
    <x v="16"/>
    <s v="PSES High Prog01Duty42 S275"/>
    <x v="0"/>
    <s v="42"/>
    <n v="42"/>
    <m/>
    <s v="   "/>
    <n v="1.75"/>
  </r>
  <r>
    <x v="295"/>
    <s v="Toppenish School District"/>
    <s v="Personnel"/>
    <s v="M "/>
    <x v="2"/>
    <x v="17"/>
    <s v="PSES Mid Prog01Duty42 S275"/>
    <x v="0"/>
    <s v="42"/>
    <n v="42"/>
    <m/>
    <s v="   "/>
    <n v="0.75"/>
  </r>
  <r>
    <x v="295"/>
    <s v="Toppenish School District"/>
    <s v="Personnel"/>
    <s v="E "/>
    <x v="0"/>
    <x v="20"/>
    <s v="PSES Elem Prog21Duty45 S275"/>
    <x v="1"/>
    <s v="45"/>
    <n v="45"/>
    <m/>
    <s v="   "/>
    <n v="1.22"/>
  </r>
  <r>
    <x v="295"/>
    <s v="Toppenish School District"/>
    <s v="Personnel"/>
    <s v="E "/>
    <x v="0"/>
    <x v="47"/>
    <s v="PSES Elem Prog01Duty45 S275"/>
    <x v="0"/>
    <s v="45"/>
    <n v="45"/>
    <m/>
    <s v="   "/>
    <n v="1"/>
  </r>
  <r>
    <x v="295"/>
    <s v="Toppenish School District"/>
    <s v="Personnel"/>
    <s v="H "/>
    <x v="1"/>
    <x v="21"/>
    <s v="PSES High Prog21Duty45 S275"/>
    <x v="1"/>
    <s v="45"/>
    <n v="45"/>
    <m/>
    <s v="   "/>
    <n v="1.4390000000000001"/>
  </r>
  <r>
    <x v="295"/>
    <s v="Toppenish School District"/>
    <s v="Personnel"/>
    <s v="M "/>
    <x v="2"/>
    <x v="28"/>
    <s v="PSES Mid Prog21Duty45 S275"/>
    <x v="1"/>
    <s v="45"/>
    <n v="45"/>
    <m/>
    <s v="   "/>
    <n v="0.22"/>
  </r>
  <r>
    <x v="295"/>
    <s v="Toppenish School District"/>
    <s v="Personnel"/>
    <s v="E "/>
    <x v="0"/>
    <x v="22"/>
    <s v="PSES Elem Prog21Duty46 S275"/>
    <x v="1"/>
    <s v="46"/>
    <n v="46"/>
    <m/>
    <s v="   "/>
    <n v="2.75"/>
  </r>
  <r>
    <x v="295"/>
    <s v="Toppenish School District"/>
    <s v="Personnel"/>
    <s v="H "/>
    <x v="1"/>
    <x v="23"/>
    <s v="PSES High Prog21Duty46 S275"/>
    <x v="1"/>
    <s v="46"/>
    <n v="46"/>
    <m/>
    <s v="   "/>
    <n v="1"/>
  </r>
  <r>
    <x v="295"/>
    <s v="Toppenish School District"/>
    <s v="Personnel"/>
    <s v="M "/>
    <x v="2"/>
    <x v="24"/>
    <s v="PSES Mid Prog21Duty46 S275"/>
    <x v="1"/>
    <s v="46"/>
    <n v="46"/>
    <m/>
    <s v="   "/>
    <n v="0.75"/>
  </r>
  <r>
    <x v="295"/>
    <s v="Toppenish School District"/>
    <s v="Personnel"/>
    <s v="E "/>
    <x v="0"/>
    <x v="35"/>
    <s v="PSES Elem Prog21Duty48 S275"/>
    <x v="1"/>
    <s v="48"/>
    <n v="48"/>
    <m/>
    <s v="   "/>
    <n v="0.5"/>
  </r>
  <r>
    <x v="295"/>
    <s v="Toppenish School District"/>
    <s v="Personnel"/>
    <s v="H "/>
    <x v="1"/>
    <x v="36"/>
    <s v="PSES High Prog21Duty48 S275"/>
    <x v="1"/>
    <s v="48"/>
    <n v="48"/>
    <m/>
    <s v="   "/>
    <n v="0.5"/>
  </r>
  <r>
    <x v="295"/>
    <s v="Toppenish School District"/>
    <s v="Personnel"/>
    <s v="E "/>
    <x v="0"/>
    <x v="26"/>
    <s v="PSES Elem Prog21Duty49 S275"/>
    <x v="1"/>
    <s v="49"/>
    <n v="49"/>
    <m/>
    <s v="   "/>
    <n v="1"/>
  </r>
  <r>
    <x v="295"/>
    <s v="Toppenish School District"/>
    <s v="Personnel"/>
    <s v="H "/>
    <x v="1"/>
    <x v="55"/>
    <s v="PSES High Prog21Duty49 S275"/>
    <x v="1"/>
    <s v="49"/>
    <n v="49"/>
    <m/>
    <s v="   "/>
    <n v="1"/>
  </r>
  <r>
    <x v="296"/>
    <s v="Highland School District"/>
    <s v="Personnel"/>
    <s v="H "/>
    <x v="1"/>
    <x v="9"/>
    <s v="PSES High Prog01Act26 S275"/>
    <x v="0"/>
    <s v="26"/>
    <m/>
    <n v="26"/>
    <s v="   "/>
    <n v="1.01"/>
  </r>
  <r>
    <x v="296"/>
    <s v="Highland School District"/>
    <s v="Personnel"/>
    <s v="E "/>
    <x v="0"/>
    <x v="15"/>
    <s v="PSES Elem Prog01Duty42 S275"/>
    <x v="0"/>
    <s v="42"/>
    <n v="42"/>
    <m/>
    <s v="   "/>
    <n v="1"/>
  </r>
  <r>
    <x v="296"/>
    <s v="Highland School District"/>
    <s v="Personnel"/>
    <s v="H "/>
    <x v="1"/>
    <x v="16"/>
    <s v="PSES High Prog01Duty42 S275"/>
    <x v="0"/>
    <s v="42"/>
    <n v="42"/>
    <m/>
    <s v="   "/>
    <n v="1"/>
  </r>
  <r>
    <x v="296"/>
    <s v="Highland School District"/>
    <s v="Personnel"/>
    <s v="M "/>
    <x v="2"/>
    <x v="17"/>
    <s v="PSES Mid Prog01Duty42 S275"/>
    <x v="0"/>
    <s v="42"/>
    <n v="42"/>
    <m/>
    <s v="   "/>
    <n v="1"/>
  </r>
  <r>
    <x v="296"/>
    <s v="Highland School District"/>
    <s v="Personnel"/>
    <s v="E "/>
    <x v="0"/>
    <x v="20"/>
    <s v="PSES Elem Prog21Duty45 S275"/>
    <x v="1"/>
    <s v="45"/>
    <n v="45"/>
    <m/>
    <s v="   "/>
    <n v="0.5"/>
  </r>
  <r>
    <x v="296"/>
    <s v="Highland School District"/>
    <s v="Personnel"/>
    <s v="M "/>
    <x v="2"/>
    <x v="28"/>
    <s v="PSES Mid Prog21Duty45 S275"/>
    <x v="1"/>
    <s v="45"/>
    <n v="45"/>
    <m/>
    <s v="   "/>
    <n v="0.5"/>
  </r>
  <r>
    <x v="296"/>
    <s v="Highland School District"/>
    <s v="Personnel"/>
    <s v="E "/>
    <x v="0"/>
    <x v="22"/>
    <s v="PSES Elem Prog21Duty46 S275"/>
    <x v="1"/>
    <s v="46"/>
    <n v="46"/>
    <m/>
    <s v="   "/>
    <n v="1"/>
  </r>
  <r>
    <x v="297"/>
    <s v="Granger School District"/>
    <s v="Personnel"/>
    <s v="H "/>
    <x v="1"/>
    <x v="53"/>
    <s v="PSES High Prog97Act25 S275"/>
    <x v="2"/>
    <s v="25"/>
    <m/>
    <n v="25"/>
    <s v="   "/>
    <n v="0.76900000000000002"/>
  </r>
  <r>
    <x v="297"/>
    <s v="Granger School District"/>
    <s v="Personnel"/>
    <s v="H "/>
    <x v="1"/>
    <x v="29"/>
    <s v="PSES High Prog21Act26 S275"/>
    <x v="1"/>
    <s v="26"/>
    <m/>
    <n v="26"/>
    <s v="   "/>
    <n v="1.837"/>
  </r>
  <r>
    <x v="297"/>
    <s v="Granger School District"/>
    <s v="Personnel"/>
    <s v="H "/>
    <x v="1"/>
    <x v="9"/>
    <s v="PSES High Prog01Act26 S275"/>
    <x v="0"/>
    <s v="26"/>
    <m/>
    <n v="26"/>
    <s v="   "/>
    <n v="1.2669999999999999"/>
  </r>
  <r>
    <x v="297"/>
    <s v="Granger School District"/>
    <s v="Personnel"/>
    <s v="E "/>
    <x v="0"/>
    <x v="15"/>
    <s v="PSES Elem Prog01Duty42 S275"/>
    <x v="0"/>
    <s v="42"/>
    <n v="42"/>
    <m/>
    <s v="   "/>
    <n v="2"/>
  </r>
  <r>
    <x v="297"/>
    <s v="Granger School District"/>
    <s v="Personnel"/>
    <s v="H "/>
    <x v="1"/>
    <x v="16"/>
    <s v="PSES High Prog01Duty42 S275"/>
    <x v="0"/>
    <s v="42"/>
    <n v="42"/>
    <m/>
    <s v="   "/>
    <n v="1.38"/>
  </r>
  <r>
    <x v="297"/>
    <s v="Granger School District"/>
    <s v="Personnel"/>
    <s v="M "/>
    <x v="2"/>
    <x v="17"/>
    <s v="PSES Mid Prog01Duty42 S275"/>
    <x v="0"/>
    <s v="42"/>
    <n v="42"/>
    <m/>
    <s v="   "/>
    <n v="1"/>
  </r>
  <r>
    <x v="297"/>
    <s v="Granger School District"/>
    <s v="Personnel"/>
    <s v="E "/>
    <x v="0"/>
    <x v="22"/>
    <s v="PSES Elem Prog21Duty46 S275"/>
    <x v="1"/>
    <s v="46"/>
    <n v="46"/>
    <m/>
    <s v="   "/>
    <n v="0.28399999999999997"/>
  </r>
  <r>
    <x v="297"/>
    <s v="Granger School District"/>
    <s v="Personnel"/>
    <s v="H "/>
    <x v="1"/>
    <x v="23"/>
    <s v="PSES High Prog21Duty46 S275"/>
    <x v="1"/>
    <s v="46"/>
    <n v="46"/>
    <m/>
    <s v="   "/>
    <n v="0.27500000000000002"/>
  </r>
  <r>
    <x v="297"/>
    <s v="Granger School District"/>
    <s v="Personnel"/>
    <s v="M "/>
    <x v="2"/>
    <x v="24"/>
    <s v="PSES Mid Prog21Duty46 S275"/>
    <x v="1"/>
    <s v="46"/>
    <n v="46"/>
    <m/>
    <s v="   "/>
    <n v="0.27500000000000002"/>
  </r>
  <r>
    <x v="298"/>
    <s v="Zillah School District"/>
    <s v="Personnel"/>
    <s v="E "/>
    <x v="0"/>
    <x v="8"/>
    <s v="PSES Elem Prog01Act26 S275"/>
    <x v="0"/>
    <s v="26"/>
    <m/>
    <n v="26"/>
    <s v="   "/>
    <n v="0.32200000000000001"/>
  </r>
  <r>
    <x v="298"/>
    <s v="Zillah School District"/>
    <s v="Personnel"/>
    <s v="H "/>
    <x v="1"/>
    <x v="9"/>
    <s v="PSES High Prog01Act26 S275"/>
    <x v="0"/>
    <s v="26"/>
    <m/>
    <n v="26"/>
    <s v="   "/>
    <n v="0.161"/>
  </r>
  <r>
    <x v="298"/>
    <s v="Zillah School District"/>
    <s v="Personnel"/>
    <s v="M "/>
    <x v="2"/>
    <x v="11"/>
    <s v="PSES Mid Prog01Act26 S275"/>
    <x v="0"/>
    <s v="26"/>
    <m/>
    <n v="26"/>
    <s v="   "/>
    <n v="0.161"/>
  </r>
  <r>
    <x v="298"/>
    <s v="Zillah School District"/>
    <s v="Personnel"/>
    <s v="E "/>
    <x v="0"/>
    <x v="15"/>
    <s v="PSES Elem Prog01Duty42 S275"/>
    <x v="0"/>
    <s v="42"/>
    <n v="42"/>
    <m/>
    <s v="   "/>
    <n v="1"/>
  </r>
  <r>
    <x v="298"/>
    <s v="Zillah School District"/>
    <s v="Personnel"/>
    <s v="H "/>
    <x v="1"/>
    <x v="16"/>
    <s v="PSES High Prog01Duty42 S275"/>
    <x v="0"/>
    <s v="42"/>
    <n v="42"/>
    <m/>
    <s v="   "/>
    <n v="1.4"/>
  </r>
  <r>
    <x v="298"/>
    <s v="Zillah School District"/>
    <s v="Personnel"/>
    <s v="M "/>
    <x v="2"/>
    <x v="17"/>
    <s v="PSES Mid Prog01Duty42 S275"/>
    <x v="0"/>
    <s v="42"/>
    <n v="42"/>
    <m/>
    <s v="   "/>
    <n v="0.8"/>
  </r>
  <r>
    <x v="298"/>
    <s v="Zillah School District"/>
    <s v="Personnel"/>
    <s v="H "/>
    <x v="1"/>
    <x v="51"/>
    <s v="PSES High Prog01Duty45 S275"/>
    <x v="0"/>
    <s v="45"/>
    <n v="45"/>
    <m/>
    <s v="   "/>
    <n v="1.6E-2"/>
  </r>
  <r>
    <x v="298"/>
    <s v="Zillah School District"/>
    <s v="Personnel"/>
    <s v="E "/>
    <x v="0"/>
    <x v="27"/>
    <s v="PSES Elem Prog01Duty47 S275"/>
    <x v="0"/>
    <s v="47"/>
    <n v="47"/>
    <m/>
    <s v="   "/>
    <n v="1"/>
  </r>
  <r>
    <x v="298"/>
    <s v="Zillah School District"/>
    <s v="Personnel"/>
    <s v="H "/>
    <x v="1"/>
    <x v="25"/>
    <s v="PSES High Prog01Duty47 S275"/>
    <x v="0"/>
    <s v="47"/>
    <n v="47"/>
    <m/>
    <s v="   "/>
    <n v="0.5"/>
  </r>
  <r>
    <x v="298"/>
    <s v="Zillah School District"/>
    <s v="Personnel"/>
    <s v="M "/>
    <x v="2"/>
    <x v="34"/>
    <s v="PSES Mid Prog01Duty47 S275"/>
    <x v="0"/>
    <s v="47"/>
    <n v="47"/>
    <m/>
    <s v="   "/>
    <n v="0.5"/>
  </r>
  <r>
    <x v="299"/>
    <s v="Wapato School District"/>
    <s v="Personnel"/>
    <s v="H "/>
    <x v="1"/>
    <x v="1"/>
    <s v="PSES High Prog01Duty96 S275"/>
    <x v="0"/>
    <s v="24"/>
    <n v="96"/>
    <n v="24"/>
    <s v="   "/>
    <n v="3.1749999999999998"/>
  </r>
  <r>
    <x v="299"/>
    <s v="Wapato School District"/>
    <s v="Personnel"/>
    <s v="E "/>
    <x v="0"/>
    <x v="3"/>
    <s v="PSES Elem Prog01Act25 S275"/>
    <x v="0"/>
    <s v="25"/>
    <m/>
    <n v="25"/>
    <s v="   "/>
    <n v="0.34599999999999997"/>
  </r>
  <r>
    <x v="299"/>
    <s v="Wapato School District"/>
    <s v="Personnel"/>
    <s v="H "/>
    <x v="1"/>
    <x v="4"/>
    <s v="PSES High Prog21Act25 S275"/>
    <x v="1"/>
    <s v="25"/>
    <m/>
    <n v="25"/>
    <s v="   "/>
    <n v="1.075"/>
  </r>
  <r>
    <x v="299"/>
    <s v="Wapato School District"/>
    <s v="Personnel"/>
    <s v="H "/>
    <x v="1"/>
    <x v="5"/>
    <s v="PSES High Prog01Act25 S275"/>
    <x v="0"/>
    <s v="25"/>
    <m/>
    <n v="25"/>
    <s v="   "/>
    <n v="3.593"/>
  </r>
  <r>
    <x v="299"/>
    <s v="Wapato School District"/>
    <s v="Personnel"/>
    <s v="H "/>
    <x v="1"/>
    <x v="29"/>
    <s v="PSES High Prog21Act26 S275"/>
    <x v="1"/>
    <s v="26"/>
    <m/>
    <n v="26"/>
    <s v="   "/>
    <n v="1.925"/>
  </r>
  <r>
    <x v="299"/>
    <s v="Wapato School District"/>
    <s v="Personnel"/>
    <s v="H "/>
    <x v="1"/>
    <x v="9"/>
    <s v="PSES High Prog01Act26 S275"/>
    <x v="0"/>
    <s v="26"/>
    <m/>
    <n v="26"/>
    <s v="   "/>
    <n v="3.141"/>
  </r>
  <r>
    <x v="299"/>
    <s v="Wapato School District"/>
    <s v="Personnel"/>
    <s v="E "/>
    <x v="0"/>
    <x v="15"/>
    <s v="PSES Elem Prog01Duty42 S275"/>
    <x v="0"/>
    <s v="42"/>
    <n v="42"/>
    <m/>
    <s v="   "/>
    <n v="4.07"/>
  </r>
  <r>
    <x v="299"/>
    <s v="Wapato School District"/>
    <s v="Personnel"/>
    <s v="H "/>
    <x v="1"/>
    <x v="16"/>
    <s v="PSES High Prog01Duty42 S275"/>
    <x v="0"/>
    <s v="42"/>
    <n v="42"/>
    <m/>
    <s v="   "/>
    <n v="2.875"/>
  </r>
  <r>
    <x v="299"/>
    <s v="Wapato School District"/>
    <s v="Personnel"/>
    <s v="M "/>
    <x v="2"/>
    <x v="17"/>
    <s v="PSES Mid Prog01Duty42 S275"/>
    <x v="0"/>
    <s v="42"/>
    <n v="42"/>
    <m/>
    <s v="   "/>
    <n v="2.5550000000000002"/>
  </r>
  <r>
    <x v="299"/>
    <s v="Wapato School District"/>
    <s v="Personnel"/>
    <s v="E "/>
    <x v="0"/>
    <x v="20"/>
    <s v="PSES Elem Prog21Duty45 S275"/>
    <x v="1"/>
    <s v="45"/>
    <n v="45"/>
    <m/>
    <s v="   "/>
    <n v="1.6879999999999999"/>
  </r>
  <r>
    <x v="299"/>
    <s v="Wapato School District"/>
    <s v="Personnel"/>
    <s v="H "/>
    <x v="1"/>
    <x v="21"/>
    <s v="PSES High Prog21Duty45 S275"/>
    <x v="1"/>
    <s v="45"/>
    <n v="45"/>
    <m/>
    <s v="   "/>
    <n v="0.03"/>
  </r>
  <r>
    <x v="299"/>
    <s v="Wapato School District"/>
    <s v="Personnel"/>
    <s v="E "/>
    <x v="0"/>
    <x v="22"/>
    <s v="PSES Elem Prog21Duty46 S275"/>
    <x v="1"/>
    <s v="46"/>
    <n v="46"/>
    <m/>
    <s v="   "/>
    <n v="0.6"/>
  </r>
  <r>
    <x v="299"/>
    <s v="Wapato School District"/>
    <s v="Personnel"/>
    <s v="H "/>
    <x v="1"/>
    <x v="25"/>
    <s v="PSES High Prog01Duty47 S275"/>
    <x v="0"/>
    <s v="47"/>
    <n v="47"/>
    <m/>
    <s v="   "/>
    <n v="1"/>
  </r>
  <r>
    <x v="300"/>
    <s v="West Valley School District (Yakima)"/>
    <s v="Personnel"/>
    <s v="H "/>
    <x v="1"/>
    <x v="5"/>
    <s v="PSES High Prog01Act25 S275"/>
    <x v="0"/>
    <s v="25"/>
    <m/>
    <n v="25"/>
    <s v="   "/>
    <n v="0.624"/>
  </r>
  <r>
    <x v="300"/>
    <s v="West Valley School District (Yakima)"/>
    <s v="Personnel"/>
    <s v="H "/>
    <x v="1"/>
    <x v="29"/>
    <s v="PSES High Prog21Act26 S275"/>
    <x v="1"/>
    <s v="26"/>
    <m/>
    <n v="26"/>
    <s v="   "/>
    <n v="9.798"/>
  </r>
  <r>
    <x v="300"/>
    <s v="West Valley School District (Yakima)"/>
    <s v="Personnel"/>
    <s v="H "/>
    <x v="1"/>
    <x v="9"/>
    <s v="PSES High Prog01Act26 S275"/>
    <x v="0"/>
    <s v="26"/>
    <m/>
    <n v="26"/>
    <s v="   "/>
    <n v="4.3929999999999998"/>
  </r>
  <r>
    <x v="300"/>
    <s v="West Valley School District (Yakima)"/>
    <s v="Personnel"/>
    <s v="E "/>
    <x v="0"/>
    <x v="15"/>
    <s v="PSES Elem Prog01Duty42 S275"/>
    <x v="0"/>
    <s v="42"/>
    <n v="42"/>
    <m/>
    <s v="   "/>
    <n v="3"/>
  </r>
  <r>
    <x v="300"/>
    <s v="West Valley School District (Yakima)"/>
    <s v="Personnel"/>
    <s v="H "/>
    <x v="1"/>
    <x v="16"/>
    <s v="PSES High Prog01Duty42 S275"/>
    <x v="0"/>
    <s v="42"/>
    <n v="42"/>
    <m/>
    <s v="   "/>
    <n v="3.2"/>
  </r>
  <r>
    <x v="300"/>
    <s v="West Valley School District (Yakima)"/>
    <s v="Personnel"/>
    <s v="M "/>
    <x v="2"/>
    <x v="75"/>
    <s v="PSES Mid Prog21Duty42 S275"/>
    <x v="1"/>
    <s v="42"/>
    <n v="42"/>
    <m/>
    <s v="   "/>
    <n v="1"/>
  </r>
  <r>
    <x v="300"/>
    <s v="West Valley School District (Yakima)"/>
    <s v="Personnel"/>
    <s v="M "/>
    <x v="2"/>
    <x v="17"/>
    <s v="PSES Mid Prog01Duty42 S275"/>
    <x v="0"/>
    <s v="42"/>
    <n v="42"/>
    <m/>
    <s v="   "/>
    <n v="2.6"/>
  </r>
  <r>
    <x v="300"/>
    <s v="West Valley School District (Yakima)"/>
    <s v="Personnel"/>
    <s v="E "/>
    <x v="0"/>
    <x v="20"/>
    <s v="PSES Elem Prog21Duty45 S275"/>
    <x v="1"/>
    <s v="45"/>
    <n v="45"/>
    <m/>
    <s v="   "/>
    <n v="3.4"/>
  </r>
  <r>
    <x v="300"/>
    <s v="West Valley School District (Yakima)"/>
    <s v="Personnel"/>
    <s v="E "/>
    <x v="0"/>
    <x v="22"/>
    <s v="PSES Elem Prog21Duty46 S275"/>
    <x v="1"/>
    <s v="46"/>
    <n v="46"/>
    <m/>
    <s v="   "/>
    <n v="3.75"/>
  </r>
  <r>
    <x v="300"/>
    <s v="West Valley School District (Yakima)"/>
    <s v="Personnel"/>
    <s v="H "/>
    <x v="1"/>
    <x v="23"/>
    <s v="PSES High Prog21Duty46 S275"/>
    <x v="1"/>
    <s v="46"/>
    <n v="46"/>
    <m/>
    <s v="   "/>
    <n v="1.25"/>
  </r>
  <r>
    <x v="300"/>
    <s v="West Valley School District (Yakima)"/>
    <s v="Personnel"/>
    <s v="M "/>
    <x v="2"/>
    <x v="24"/>
    <s v="PSES Mid Prog21Duty46 S275"/>
    <x v="1"/>
    <s v="46"/>
    <n v="46"/>
    <m/>
    <s v="   "/>
    <n v="1"/>
  </r>
  <r>
    <x v="300"/>
    <s v="West Valley School District (Yakima)"/>
    <s v="Personnel"/>
    <s v="E "/>
    <x v="0"/>
    <x v="26"/>
    <s v="PSES Elem Prog21Duty49 S275"/>
    <x v="1"/>
    <s v="49"/>
    <n v="49"/>
    <m/>
    <s v="   "/>
    <n v="1"/>
  </r>
  <r>
    <x v="300"/>
    <s v="West Valley School District (Yakima)"/>
    <s v="Personnel"/>
    <s v="E "/>
    <x v="0"/>
    <x v="79"/>
    <s v="PSES Elem Prog01Duty49 S275"/>
    <x v="0"/>
    <s v="49"/>
    <n v="49"/>
    <m/>
    <s v="   "/>
    <n v="2"/>
  </r>
  <r>
    <x v="301"/>
    <s v="Mount Adams School District"/>
    <s v="Personnel"/>
    <s v="E "/>
    <x v="0"/>
    <x v="7"/>
    <s v="PSES Elem Prog21Act26 S275"/>
    <x v="1"/>
    <s v="26"/>
    <m/>
    <n v="26"/>
    <s v="   "/>
    <n v="0.74199999999999999"/>
  </r>
  <r>
    <x v="301"/>
    <s v="Mount Adams School District"/>
    <s v="Personnel"/>
    <s v="E "/>
    <x v="0"/>
    <x v="8"/>
    <s v="PSES Elem Prog01Act26 S275"/>
    <x v="0"/>
    <s v="26"/>
    <m/>
    <n v="26"/>
    <s v="   "/>
    <n v="0.63900000000000001"/>
  </r>
  <r>
    <x v="301"/>
    <s v="Mount Adams School District"/>
    <s v="Personnel"/>
    <s v="H "/>
    <x v="1"/>
    <x v="29"/>
    <s v="PSES High Prog21Act26 S275"/>
    <x v="1"/>
    <s v="26"/>
    <m/>
    <n v="26"/>
    <s v="   "/>
    <n v="1.4890000000000001"/>
  </r>
  <r>
    <x v="301"/>
    <s v="Mount Adams School District"/>
    <s v="Personnel"/>
    <s v="H "/>
    <x v="1"/>
    <x v="9"/>
    <s v="PSES High Prog01Act26 S275"/>
    <x v="0"/>
    <s v="26"/>
    <m/>
    <n v="26"/>
    <s v="   "/>
    <n v="0.63900000000000001"/>
  </r>
  <r>
    <x v="301"/>
    <s v="Mount Adams School District"/>
    <s v="Personnel"/>
    <s v="M "/>
    <x v="2"/>
    <x v="10"/>
    <s v="PSES Mid Prog21Act26 S275"/>
    <x v="1"/>
    <s v="26"/>
    <m/>
    <n v="26"/>
    <s v="   "/>
    <n v="0.21099999999999999"/>
  </r>
  <r>
    <x v="301"/>
    <s v="Mount Adams School District"/>
    <s v="Personnel"/>
    <s v="M "/>
    <x v="2"/>
    <x v="11"/>
    <s v="PSES Mid Prog01Act26 S275"/>
    <x v="0"/>
    <s v="26"/>
    <m/>
    <n v="26"/>
    <s v="   "/>
    <n v="0.63900000000000001"/>
  </r>
  <r>
    <x v="301"/>
    <s v="Mount Adams School District"/>
    <s v="Personnel"/>
    <s v="E "/>
    <x v="0"/>
    <x v="15"/>
    <s v="PSES Elem Prog01Duty42 S275"/>
    <x v="0"/>
    <s v="42"/>
    <n v="42"/>
    <m/>
    <s v="   "/>
    <n v="0.78"/>
  </r>
  <r>
    <x v="301"/>
    <s v="Mount Adams School District"/>
    <s v="Personnel"/>
    <s v="M "/>
    <x v="2"/>
    <x v="17"/>
    <s v="PSES Mid Prog01Duty42 S275"/>
    <x v="0"/>
    <s v="42"/>
    <n v="42"/>
    <m/>
    <s v="   "/>
    <n v="0.22"/>
  </r>
  <r>
    <x v="301"/>
    <s v="Mount Adams School District"/>
    <s v="Personnel"/>
    <s v="H "/>
    <x v="1"/>
    <x v="44"/>
    <s v="PSES High Prog01Duty44 S275"/>
    <x v="0"/>
    <s v="44"/>
    <n v="44"/>
    <m/>
    <s v="   "/>
    <n v="0.3"/>
  </r>
  <r>
    <x v="302"/>
    <s v="Yakama Nation Tribal Compact"/>
    <s v="Personnel"/>
    <s v="H "/>
    <x v="1"/>
    <x v="53"/>
    <s v="PSES High Prog97Act25 S275"/>
    <x v="2"/>
    <s v="25"/>
    <m/>
    <n v="25"/>
    <s v="   "/>
    <n v="6"/>
  </r>
  <r>
    <x v="302"/>
    <s v="Yakama Nation Tribal Compact"/>
    <s v="Personnel"/>
    <s v="H "/>
    <x v="1"/>
    <x v="12"/>
    <s v="PSES High Prog97Act35 S275"/>
    <x v="2"/>
    <s v="35"/>
    <m/>
    <n v="35"/>
    <s v="   "/>
    <n v="1"/>
  </r>
  <r>
    <x v="303"/>
    <s v="ZZState Summary"/>
    <s v="Personnel"/>
    <s v="E "/>
    <x v="0"/>
    <x v="95"/>
    <s v="PSES Elem Prog21Duty96 S275"/>
    <x v="1"/>
    <s v="24"/>
    <m/>
    <n v="24"/>
    <m/>
    <n v="0"/>
  </r>
  <r>
    <x v="303"/>
    <s v="ZZState Summary"/>
    <s v="Personnel"/>
    <s v="M "/>
    <x v="2"/>
    <x v="96"/>
    <s v="PSES Mid Prog21Duty96 S275"/>
    <x v="1"/>
    <s v="24"/>
    <m/>
    <n v="24"/>
    <m/>
    <n v="0"/>
  </r>
  <r>
    <x v="303"/>
    <s v="ZZState Summary"/>
    <s v="Personnel"/>
    <s v="H "/>
    <x v="1"/>
    <x v="86"/>
    <s v="PSES High Prog21Duty96 S275"/>
    <x v="1"/>
    <s v="24"/>
    <m/>
    <n v="24"/>
    <m/>
    <n v="0"/>
  </r>
  <r>
    <x v="303"/>
    <s v="ZZState Summary"/>
    <s v="Personnel"/>
    <s v="E "/>
    <x v="0"/>
    <x v="56"/>
    <s v="PSES Elem Prog97Duty96 S275"/>
    <x v="2"/>
    <s v="24"/>
    <m/>
    <n v="24"/>
    <m/>
    <n v="0"/>
  </r>
  <r>
    <x v="303"/>
    <s v="ZZState Summary"/>
    <s v="Personnel"/>
    <s v="M "/>
    <x v="2"/>
    <x v="58"/>
    <s v="PSES Mid Prog97Duty96 S275"/>
    <x v="2"/>
    <s v="24"/>
    <m/>
    <n v="24"/>
    <m/>
    <n v="0"/>
  </r>
  <r>
    <x v="303"/>
    <s v="ZZState Summary"/>
    <s v="Personnel"/>
    <s v="H "/>
    <x v="1"/>
    <x v="57"/>
    <s v="PSES High Prog97Duty96 S275"/>
    <x v="2"/>
    <s v="24"/>
    <m/>
    <n v="24"/>
    <m/>
    <n v="0"/>
  </r>
  <r>
    <x v="303"/>
    <s v="ZZState Summary"/>
    <s v="Personnel"/>
    <s v="E "/>
    <x v="0"/>
    <x v="97"/>
    <s v="TK Family Engage-ment Coor-dinator"/>
    <x v="4"/>
    <s v="24"/>
    <m/>
    <n v="24"/>
    <m/>
    <n v="0"/>
  </r>
  <r>
    <x v="303"/>
    <s v="ZZState Summary"/>
    <s v="Personnel"/>
    <s v="E "/>
    <x v="0"/>
    <x v="0"/>
    <s v="PSES Elem Prog01Duty96 S275"/>
    <x v="5"/>
    <s v="24"/>
    <m/>
    <n v="24"/>
    <m/>
    <n v="0"/>
  </r>
  <r>
    <x v="303"/>
    <s v="ZZState Summary"/>
    <s v="Personnel"/>
    <s v="M "/>
    <x v="2"/>
    <x v="2"/>
    <s v="PSES Mid Prog01Duty96 S275"/>
    <x v="5"/>
    <s v="24"/>
    <m/>
    <n v="24"/>
    <m/>
    <n v="0"/>
  </r>
  <r>
    <x v="303"/>
    <s v="ZZState Summary"/>
    <s v="Personnel"/>
    <s v="H "/>
    <x v="1"/>
    <x v="1"/>
    <s v="PSES High Prog01Duty96 S275"/>
    <x v="5"/>
    <s v="24"/>
    <m/>
    <n v="24"/>
    <m/>
    <n v="0"/>
  </r>
  <r>
    <x v="303"/>
    <s v="ZZState Summary"/>
    <s v="Personnel"/>
    <s v="E "/>
    <x v="0"/>
    <x v="67"/>
    <s v="PSES Elem Prog21Act25 S275"/>
    <x v="1"/>
    <s v="25"/>
    <m/>
    <n v="25"/>
    <m/>
    <n v="0"/>
  </r>
  <r>
    <x v="303"/>
    <s v="ZZState Summary"/>
    <s v="Personnel"/>
    <s v="M "/>
    <x v="2"/>
    <x v="82"/>
    <s v="PSES Mid Prog21Act25 S275"/>
    <x v="1"/>
    <s v="25"/>
    <m/>
    <n v="25"/>
    <m/>
    <n v="0"/>
  </r>
  <r>
    <x v="303"/>
    <s v="ZZState Summary"/>
    <s v="Personnel"/>
    <s v="H "/>
    <x v="1"/>
    <x v="4"/>
    <s v="PSES High Prog21Act25 S275"/>
    <x v="1"/>
    <s v="25"/>
    <m/>
    <n v="25"/>
    <m/>
    <n v="0"/>
  </r>
  <r>
    <x v="303"/>
    <s v="ZZState Summary"/>
    <s v="Personnel"/>
    <s v="E "/>
    <x v="0"/>
    <x v="71"/>
    <s v="PSES Elem Prog97Act25 S275"/>
    <x v="2"/>
    <s v="25"/>
    <m/>
    <n v="25"/>
    <m/>
    <n v="0"/>
  </r>
  <r>
    <x v="303"/>
    <s v="ZZState Summary"/>
    <s v="Personnel"/>
    <s v="M "/>
    <x v="2"/>
    <x v="72"/>
    <s v="PSES Mid Prog97Act25 S275"/>
    <x v="2"/>
    <s v="25"/>
    <m/>
    <n v="25"/>
    <m/>
    <n v="0"/>
  </r>
  <r>
    <x v="303"/>
    <s v="ZZState Summary"/>
    <s v="Personnel"/>
    <s v="H "/>
    <x v="1"/>
    <x v="53"/>
    <s v="PSES High Prog97Act25 S275"/>
    <x v="2"/>
    <s v="25"/>
    <m/>
    <n v="25"/>
    <m/>
    <n v="0"/>
  </r>
  <r>
    <x v="303"/>
    <s v="ZZState Summary"/>
    <s v="Personnel"/>
    <s v="E "/>
    <x v="0"/>
    <x v="66"/>
    <s v="TK Pupil Management"/>
    <x v="4"/>
    <s v="25"/>
    <m/>
    <n v="25"/>
    <m/>
    <n v="0"/>
  </r>
  <r>
    <x v="303"/>
    <s v="ZZState Summary"/>
    <s v="Personnel"/>
    <s v="E "/>
    <x v="0"/>
    <x v="3"/>
    <s v="PSES Elem Prog01Act25 S275"/>
    <x v="5"/>
    <s v="25"/>
    <m/>
    <n v="25"/>
    <m/>
    <n v="0"/>
  </r>
  <r>
    <x v="303"/>
    <s v="ZZState Summary"/>
    <s v="Personnel"/>
    <s v="M "/>
    <x v="2"/>
    <x v="6"/>
    <s v="PSES Mid Prog01Act25 S275"/>
    <x v="5"/>
    <s v="25"/>
    <m/>
    <n v="25"/>
    <m/>
    <n v="0"/>
  </r>
  <r>
    <x v="303"/>
    <s v="ZZState Summary"/>
    <s v="Personnel"/>
    <s v="H "/>
    <x v="1"/>
    <x v="5"/>
    <s v="PSES High Prog01Act25 S275"/>
    <x v="5"/>
    <s v="25"/>
    <m/>
    <n v="25"/>
    <m/>
    <n v="0"/>
  </r>
  <r>
    <x v="303"/>
    <s v="ZZState Summary"/>
    <s v="Personnel"/>
    <s v="E "/>
    <x v="0"/>
    <x v="7"/>
    <s v="PSES Elem Prog21Act26 S275"/>
    <x v="1"/>
    <s v="26"/>
    <m/>
    <n v="26"/>
    <m/>
    <n v="0"/>
  </r>
  <r>
    <x v="303"/>
    <s v="ZZState Summary"/>
    <s v="Personnel"/>
    <s v="M "/>
    <x v="2"/>
    <x v="10"/>
    <s v="PSES Mid Prog21Act26 S275"/>
    <x v="1"/>
    <s v="26"/>
    <m/>
    <n v="26"/>
    <m/>
    <n v="0"/>
  </r>
  <r>
    <x v="303"/>
    <s v="ZZState Summary"/>
    <s v="Personnel"/>
    <s v="H "/>
    <x v="1"/>
    <x v="29"/>
    <s v="PSES High Prog21Act26 S275"/>
    <x v="1"/>
    <s v="26"/>
    <m/>
    <n v="26"/>
    <m/>
    <n v="0"/>
  </r>
  <r>
    <x v="303"/>
    <s v="ZZState Summary"/>
    <s v="Personnel"/>
    <s v="E "/>
    <x v="0"/>
    <x v="98"/>
    <s v="Elementary Health/_x000a_Related Services"/>
    <x v="2"/>
    <s v="26"/>
    <m/>
    <n v="26"/>
    <m/>
    <n v="0"/>
  </r>
  <r>
    <x v="303"/>
    <s v="ZZState Summary"/>
    <s v="Personnel"/>
    <s v="M "/>
    <x v="2"/>
    <x v="99"/>
    <s v="Middle Health/_x000a_Related Services"/>
    <x v="2"/>
    <s v="26"/>
    <m/>
    <n v="26"/>
    <m/>
    <n v="0"/>
  </r>
  <r>
    <x v="303"/>
    <s v="ZZState Summary"/>
    <s v="Personnel"/>
    <s v="H "/>
    <x v="1"/>
    <x v="100"/>
    <s v="High Health/_x000a_Related Services"/>
    <x v="2"/>
    <s v="26"/>
    <m/>
    <n v="26"/>
    <m/>
    <n v="0"/>
  </r>
  <r>
    <x v="303"/>
    <s v="ZZState Summary"/>
    <s v="Personnel"/>
    <s v="E "/>
    <x v="0"/>
    <x v="84"/>
    <s v="PSES Elem Prog09Act26 S275"/>
    <x v="4"/>
    <s v="26"/>
    <m/>
    <n v="26"/>
    <m/>
    <n v="0"/>
  </r>
  <r>
    <x v="303"/>
    <s v="ZZState Summary"/>
    <s v="Personnel"/>
    <s v="E "/>
    <x v="0"/>
    <x v="8"/>
    <s v="PSES Elem Prog01Act26 S275"/>
    <x v="5"/>
    <s v="26"/>
    <m/>
    <n v="26"/>
    <m/>
    <n v="0"/>
  </r>
  <r>
    <x v="303"/>
    <s v="ZZState Summary"/>
    <s v="Personnel"/>
    <s v="M "/>
    <x v="2"/>
    <x v="11"/>
    <s v="PSES Mid Prog01Act26 S275"/>
    <x v="5"/>
    <s v="26"/>
    <m/>
    <n v="26"/>
    <m/>
    <n v="0"/>
  </r>
  <r>
    <x v="303"/>
    <s v="ZZState Summary"/>
    <s v="Personnel"/>
    <s v="H "/>
    <x v="1"/>
    <x v="9"/>
    <s v="PSES High Prog01Act26 S275"/>
    <x v="5"/>
    <s v="26"/>
    <m/>
    <n v="26"/>
    <m/>
    <n v="0"/>
  </r>
  <r>
    <x v="303"/>
    <s v="ZZState Summary"/>
    <s v="Personnel"/>
    <s v="E "/>
    <x v="0"/>
    <x v="101"/>
    <s v="Elementary Pupil Safety"/>
    <x v="1"/>
    <s v="35"/>
    <m/>
    <n v="35"/>
    <m/>
    <n v="0"/>
  </r>
  <r>
    <x v="303"/>
    <s v="ZZState Summary"/>
    <s v="Personnel"/>
    <s v="M "/>
    <x v="2"/>
    <x v="102"/>
    <s v="Middle Pupil Safety"/>
    <x v="1"/>
    <s v="35"/>
    <m/>
    <n v="35"/>
    <m/>
    <n v="0"/>
  </r>
  <r>
    <x v="303"/>
    <s v="ZZState Summary"/>
    <s v="Personnel"/>
    <s v="H "/>
    <x v="1"/>
    <x v="87"/>
    <s v="PSES High Prog21Act35 S275"/>
    <x v="1"/>
    <s v="35"/>
    <m/>
    <n v="35"/>
    <m/>
    <n v="0"/>
  </r>
  <r>
    <x v="303"/>
    <s v="ZZState Summary"/>
    <s v="Personnel"/>
    <s v="E "/>
    <x v="0"/>
    <x v="30"/>
    <s v="Elementary Pupil Safety"/>
    <x v="2"/>
    <s v="35"/>
    <m/>
    <n v="35"/>
    <m/>
    <n v="0"/>
  </r>
  <r>
    <x v="303"/>
    <s v="ZZState Summary"/>
    <s v="Personnel"/>
    <s v="M "/>
    <x v="2"/>
    <x v="13"/>
    <s v="PSES Mid Prog97Act35 S275"/>
    <x v="2"/>
    <s v="35"/>
    <m/>
    <n v="35"/>
    <m/>
    <n v="0"/>
  </r>
  <r>
    <x v="303"/>
    <s v="ZZState Summary"/>
    <s v="Personnel"/>
    <s v="H "/>
    <x v="1"/>
    <x v="12"/>
    <s v="PSES High Prog97Act35 S275"/>
    <x v="2"/>
    <s v="35"/>
    <m/>
    <n v="35"/>
    <m/>
    <n v="0"/>
  </r>
  <r>
    <x v="303"/>
    <s v="ZZState Summary"/>
    <s v="Personnel"/>
    <s v="E "/>
    <x v="0"/>
    <x v="78"/>
    <s v="TK Orientation &amp; Mobility Specialist"/>
    <x v="4"/>
    <s v="35"/>
    <m/>
    <n v="35"/>
    <m/>
    <n v="0"/>
  </r>
  <r>
    <x v="303"/>
    <s v="ZZState Summary"/>
    <s v="Personnel"/>
    <s v="E "/>
    <x v="0"/>
    <x v="62"/>
    <s v="PSES Elem Prog01Act35 S275"/>
    <x v="5"/>
    <s v="35"/>
    <m/>
    <n v="35"/>
    <m/>
    <n v="0"/>
  </r>
  <r>
    <x v="303"/>
    <s v="ZZState Summary"/>
    <s v="Personnel"/>
    <s v="M "/>
    <x v="2"/>
    <x v="63"/>
    <s v="PSES Mid Prog01Act35 S275"/>
    <x v="5"/>
    <s v="35"/>
    <m/>
    <n v="35"/>
    <m/>
    <n v="0"/>
  </r>
  <r>
    <x v="303"/>
    <s v="ZZState Summary"/>
    <s v="Personnel"/>
    <s v="H "/>
    <x v="1"/>
    <x v="54"/>
    <s v="PSES High Prog01Act35 S275"/>
    <x v="5"/>
    <s v="35"/>
    <m/>
    <n v="35"/>
    <m/>
    <n v="0"/>
  </r>
  <r>
    <x v="303"/>
    <s v="ZZState Summary"/>
    <s v="Personnel"/>
    <s v="E "/>
    <x v="0"/>
    <x v="14"/>
    <s v="PSES Elem Prog21Duty39 S275"/>
    <x v="1"/>
    <s v="39"/>
    <s v="39"/>
    <m/>
    <m/>
    <n v="0"/>
  </r>
  <r>
    <x v="303"/>
    <s v="ZZState Summary"/>
    <s v="Personnel"/>
    <s v="M "/>
    <x v="2"/>
    <x v="88"/>
    <s v="Middle Orientation &amp; Mobility Specialist"/>
    <x v="1"/>
    <s v="39"/>
    <s v="39"/>
    <m/>
    <m/>
    <n v="0"/>
  </r>
  <r>
    <x v="303"/>
    <s v="ZZState Summary"/>
    <s v="Personnel"/>
    <s v="H "/>
    <x v="1"/>
    <x v="83"/>
    <s v="PSES High Prog21Duty39 S275"/>
    <x v="1"/>
    <s v="39"/>
    <s v="39"/>
    <m/>
    <m/>
    <n v="0"/>
  </r>
  <r>
    <x v="303"/>
    <s v="ZZState Summary"/>
    <s v="Personnel"/>
    <s v="E "/>
    <x v="0"/>
    <x v="103"/>
    <s v="Elementary Orientation &amp; Mobility Specialist"/>
    <x v="2"/>
    <s v="39"/>
    <s v="39"/>
    <m/>
    <m/>
    <n v="0"/>
  </r>
  <r>
    <x v="303"/>
    <s v="ZZState Summary"/>
    <s v="Personnel"/>
    <s v="M "/>
    <x v="2"/>
    <x v="104"/>
    <s v="Middle Orientation &amp; Mobility Specialist"/>
    <x v="2"/>
    <s v="39"/>
    <s v="39"/>
    <m/>
    <m/>
    <n v="0"/>
  </r>
  <r>
    <x v="303"/>
    <s v="ZZState Summary"/>
    <s v="Personnel"/>
    <s v="H "/>
    <x v="1"/>
    <x v="105"/>
    <s v="High Orientation &amp; Mobility Specialist"/>
    <x v="2"/>
    <s v="39"/>
    <s v="39"/>
    <m/>
    <m/>
    <n v="0"/>
  </r>
  <r>
    <x v="303"/>
    <s v="ZZState Summary"/>
    <s v="Personnel"/>
    <s v="E "/>
    <x v="0"/>
    <x v="106"/>
    <s v="TK Orientation &amp; Mobility Specialist"/>
    <x v="4"/>
    <s v="39"/>
    <s v="39"/>
    <m/>
    <m/>
    <n v="0"/>
  </r>
  <r>
    <x v="303"/>
    <s v="ZZState Summary"/>
    <s v="Personnel"/>
    <s v="E "/>
    <x v="0"/>
    <x v="40"/>
    <s v="Elementary Orientation &amp; Mobility Specialist"/>
    <x v="5"/>
    <s v="39"/>
    <s v="39"/>
    <m/>
    <m/>
    <n v="0"/>
  </r>
  <r>
    <x v="303"/>
    <s v="ZZState Summary"/>
    <s v="Personnel"/>
    <s v="M "/>
    <x v="2"/>
    <x v="107"/>
    <s v="Middle Orientation &amp; Mobility Specialist"/>
    <x v="5"/>
    <s v="39"/>
    <s v="39"/>
    <m/>
    <m/>
    <n v="0"/>
  </r>
  <r>
    <x v="303"/>
    <s v="ZZState Summary"/>
    <s v="Personnel"/>
    <s v="H "/>
    <x v="1"/>
    <x v="108"/>
    <s v="High Orientation &amp; Mobility Specialist"/>
    <x v="5"/>
    <s v="39"/>
    <s v="39"/>
    <m/>
    <m/>
    <n v="0"/>
  </r>
  <r>
    <x v="303"/>
    <s v="ZZState Summary"/>
    <s v="Personnel"/>
    <s v="E "/>
    <x v="0"/>
    <x v="76"/>
    <s v="Elementary Counselor"/>
    <x v="1"/>
    <s v="42"/>
    <s v="42"/>
    <m/>
    <m/>
    <n v="0"/>
  </r>
  <r>
    <x v="303"/>
    <s v="ZZState Summary"/>
    <s v="Personnel"/>
    <s v="M "/>
    <x v="2"/>
    <x v="75"/>
    <s v="Middle Counselor"/>
    <x v="1"/>
    <s v="42"/>
    <s v="42"/>
    <m/>
    <m/>
    <n v="0"/>
  </r>
  <r>
    <x v="303"/>
    <s v="ZZState Summary"/>
    <s v="Personnel"/>
    <s v="H "/>
    <x v="1"/>
    <x v="77"/>
    <s v="High Counselor"/>
    <x v="1"/>
    <s v="42"/>
    <s v="42"/>
    <m/>
    <m/>
    <n v="0"/>
  </r>
  <r>
    <x v="303"/>
    <s v="ZZState Summary"/>
    <s v="Personnel"/>
    <s v="E "/>
    <x v="0"/>
    <x v="109"/>
    <s v="Elementary Counselor"/>
    <x v="2"/>
    <s v="42"/>
    <s v="42"/>
    <m/>
    <m/>
    <n v="0"/>
  </r>
  <r>
    <x v="303"/>
    <s v="ZZState Summary"/>
    <s v="Personnel"/>
    <s v="M "/>
    <x v="2"/>
    <x v="110"/>
    <s v="Middle Counselor"/>
    <x v="2"/>
    <s v="42"/>
    <s v="42"/>
    <m/>
    <m/>
    <n v="0"/>
  </r>
  <r>
    <x v="303"/>
    <s v="ZZState Summary"/>
    <s v="Personnel"/>
    <s v="H "/>
    <x v="1"/>
    <x v="111"/>
    <s v="High Counselor"/>
    <x v="2"/>
    <s v="42"/>
    <s v="42"/>
    <m/>
    <m/>
    <n v="0"/>
  </r>
  <r>
    <x v="303"/>
    <s v="ZZState Summary"/>
    <s v="Personnel"/>
    <s v="E "/>
    <x v="0"/>
    <x v="70"/>
    <s v="PSES Elem Prog09Duty42 S275"/>
    <x v="4"/>
    <s v="42"/>
    <s v="42"/>
    <m/>
    <m/>
    <n v="0"/>
  </r>
  <r>
    <x v="303"/>
    <s v="ZZState Summary"/>
    <s v="Personnel"/>
    <s v="E "/>
    <x v="0"/>
    <x v="15"/>
    <s v="Elementary Counselor"/>
    <x v="5"/>
    <s v="42"/>
    <s v="42"/>
    <m/>
    <m/>
    <n v="0"/>
  </r>
  <r>
    <x v="303"/>
    <s v="ZZState Summary"/>
    <s v="Personnel"/>
    <s v="M "/>
    <x v="2"/>
    <x v="17"/>
    <s v="Middle Counselor"/>
    <x v="5"/>
    <s v="42"/>
    <s v="42"/>
    <m/>
    <m/>
    <n v="0"/>
  </r>
  <r>
    <x v="303"/>
    <s v="ZZState Summary"/>
    <s v="Personnel"/>
    <s v="H "/>
    <x v="1"/>
    <x v="16"/>
    <s v="High Counselor"/>
    <x v="5"/>
    <s v="42"/>
    <s v="42"/>
    <m/>
    <m/>
    <n v="0"/>
  </r>
  <r>
    <x v="303"/>
    <s v="ZZState Summary"/>
    <s v="Personnel"/>
    <s v="E "/>
    <x v="0"/>
    <x v="18"/>
    <s v="Elementary occupational Therapist"/>
    <x v="1"/>
    <s v="43"/>
    <s v="43"/>
    <m/>
    <m/>
    <n v="0"/>
  </r>
  <r>
    <x v="303"/>
    <s v="ZZState Summary"/>
    <s v="Personnel"/>
    <s v="M "/>
    <x v="2"/>
    <x v="31"/>
    <s v="Middle occupational Therapist"/>
    <x v="1"/>
    <s v="43"/>
    <s v="43"/>
    <m/>
    <m/>
    <n v="0"/>
  </r>
  <r>
    <x v="303"/>
    <s v="ZZState Summary"/>
    <s v="Personnel"/>
    <s v="H "/>
    <x v="1"/>
    <x v="19"/>
    <s v="High occupational Therapist"/>
    <x v="1"/>
    <s v="43"/>
    <s v="43"/>
    <m/>
    <m/>
    <n v="0"/>
  </r>
  <r>
    <x v="303"/>
    <s v="ZZState Summary"/>
    <s v="Personnel"/>
    <s v="E "/>
    <x v="0"/>
    <x v="112"/>
    <s v="Elementary occupational Therapist"/>
    <x v="2"/>
    <s v="43"/>
    <s v="43"/>
    <m/>
    <m/>
    <n v="0"/>
  </r>
  <r>
    <x v="303"/>
    <s v="ZZState Summary"/>
    <s v="Personnel"/>
    <s v="M "/>
    <x v="2"/>
    <x v="113"/>
    <s v="Middle occupational Therapist"/>
    <x v="2"/>
    <s v="43"/>
    <s v="43"/>
    <m/>
    <m/>
    <n v="0"/>
  </r>
  <r>
    <x v="303"/>
    <s v="ZZState Summary"/>
    <s v="Personnel"/>
    <s v="H "/>
    <x v="1"/>
    <x v="114"/>
    <s v="High occupational Therapist"/>
    <x v="2"/>
    <s v="43"/>
    <s v="43"/>
    <m/>
    <m/>
    <n v="0"/>
  </r>
  <r>
    <x v="303"/>
    <s v="ZZState Summary"/>
    <s v="Personnel"/>
    <s v="E "/>
    <x v="0"/>
    <x v="115"/>
    <s v="TK occupational Therapist"/>
    <x v="4"/>
    <s v="43"/>
    <s v="43"/>
    <m/>
    <m/>
    <n v="0"/>
  </r>
  <r>
    <x v="303"/>
    <s v="ZZState Summary"/>
    <s v="Personnel"/>
    <s v="E "/>
    <x v="0"/>
    <x v="69"/>
    <s v="Elementary occupational Therapist"/>
    <x v="5"/>
    <s v="43"/>
    <s v="43"/>
    <m/>
    <m/>
    <n v="0"/>
  </r>
  <r>
    <x v="303"/>
    <s v="ZZState Summary"/>
    <s v="Personnel"/>
    <s v="M "/>
    <x v="2"/>
    <x v="74"/>
    <s v="Middle occupational Therapist"/>
    <x v="5"/>
    <s v="43"/>
    <s v="43"/>
    <m/>
    <m/>
    <n v="0"/>
  </r>
  <r>
    <x v="303"/>
    <s v="ZZState Summary"/>
    <s v="Personnel"/>
    <s v="H "/>
    <x v="1"/>
    <x v="73"/>
    <s v="High occupational Therapist"/>
    <x v="5"/>
    <s v="43"/>
    <s v="43"/>
    <m/>
    <m/>
    <n v="0"/>
  </r>
  <r>
    <x v="303"/>
    <s v="ZZState Summary"/>
    <s v="Personnel"/>
    <s v="E "/>
    <x v="0"/>
    <x v="41"/>
    <s v="Elementary Social Worker"/>
    <x v="1"/>
    <s v="44"/>
    <s v="44"/>
    <m/>
    <m/>
    <n v="0"/>
  </r>
  <r>
    <x v="303"/>
    <s v="ZZState Summary"/>
    <s v="Personnel"/>
    <s v="M "/>
    <x v="2"/>
    <x v="45"/>
    <s v="Middle Social Worker"/>
    <x v="1"/>
    <s v="44"/>
    <s v="44"/>
    <m/>
    <m/>
    <n v="0"/>
  </r>
  <r>
    <x v="303"/>
    <s v="ZZState Summary"/>
    <s v="Personnel"/>
    <s v="H "/>
    <x v="1"/>
    <x v="43"/>
    <s v="High Social Worker"/>
    <x v="1"/>
    <s v="44"/>
    <s v="44"/>
    <m/>
    <m/>
    <n v="0"/>
  </r>
  <r>
    <x v="303"/>
    <s v="ZZState Summary"/>
    <s v="Personnel"/>
    <s v="E "/>
    <x v="0"/>
    <x v="116"/>
    <s v="Elementary Social Worker"/>
    <x v="2"/>
    <s v="44"/>
    <s v="44"/>
    <m/>
    <m/>
    <n v="0"/>
  </r>
  <r>
    <x v="303"/>
    <s v="ZZState Summary"/>
    <s v="Personnel"/>
    <s v="M "/>
    <x v="2"/>
    <x v="117"/>
    <s v="Middle Social Worker"/>
    <x v="2"/>
    <s v="44"/>
    <s v="44"/>
    <m/>
    <m/>
    <n v="0"/>
  </r>
  <r>
    <x v="303"/>
    <s v="ZZState Summary"/>
    <s v="Personnel"/>
    <s v="H "/>
    <x v="1"/>
    <x v="118"/>
    <s v="High Social Worker"/>
    <x v="2"/>
    <s v="44"/>
    <s v="44"/>
    <m/>
    <m/>
    <n v="0"/>
  </r>
  <r>
    <x v="303"/>
    <s v="ZZState Summary"/>
    <s v="Personnel"/>
    <s v="E "/>
    <x v="0"/>
    <x v="64"/>
    <s v="TK Social Worker"/>
    <x v="4"/>
    <s v="44"/>
    <s v="44"/>
    <m/>
    <m/>
    <n v="0"/>
  </r>
  <r>
    <x v="303"/>
    <s v="ZZState Summary"/>
    <s v="Personnel"/>
    <s v="E "/>
    <x v="0"/>
    <x v="42"/>
    <s v="Elementary Social Worker"/>
    <x v="5"/>
    <s v="44"/>
    <s v="44"/>
    <m/>
    <m/>
    <n v="0"/>
  </r>
  <r>
    <x v="303"/>
    <s v="ZZState Summary"/>
    <s v="Personnel"/>
    <s v="M "/>
    <x v="2"/>
    <x v="46"/>
    <s v="Middle Social Worker"/>
    <x v="5"/>
    <s v="44"/>
    <s v="44"/>
    <m/>
    <m/>
    <n v="0"/>
  </r>
  <r>
    <x v="303"/>
    <s v="ZZState Summary"/>
    <s v="Personnel"/>
    <s v="H "/>
    <x v="1"/>
    <x v="44"/>
    <s v="High Social Worker"/>
    <x v="5"/>
    <s v="44"/>
    <s v="44"/>
    <m/>
    <m/>
    <n v="0"/>
  </r>
  <r>
    <x v="303"/>
    <s v="ZZState Summary"/>
    <s v="Personnel"/>
    <s v="E "/>
    <x v="0"/>
    <x v="20"/>
    <s v="Elementary Speech, Language Pathway/_x000a_Audio"/>
    <x v="1"/>
    <s v="45"/>
    <s v="45"/>
    <m/>
    <m/>
    <n v="0"/>
  </r>
  <r>
    <x v="303"/>
    <s v="ZZState Summary"/>
    <s v="Personnel"/>
    <s v="M "/>
    <x v="2"/>
    <x v="28"/>
    <s v="Middle Speech, Language Pathway/_x000a_Audio"/>
    <x v="1"/>
    <s v="45"/>
    <s v="45"/>
    <m/>
    <m/>
    <n v="0"/>
  </r>
  <r>
    <x v="303"/>
    <s v="ZZState Summary"/>
    <s v="Personnel"/>
    <s v="H "/>
    <x v="1"/>
    <x v="21"/>
    <s v="High Speech, Language Pathway/_x000a_Audio"/>
    <x v="1"/>
    <s v="45"/>
    <s v="45"/>
    <m/>
    <m/>
    <n v="0"/>
  </r>
  <r>
    <x v="303"/>
    <s v="ZZState Summary"/>
    <s v="Personnel"/>
    <s v="E "/>
    <x v="0"/>
    <x v="119"/>
    <s v="Elementary Speech, Language Pathway/_x000a_Audio"/>
    <x v="2"/>
    <s v="45"/>
    <s v="45"/>
    <m/>
    <m/>
    <n v="0"/>
  </r>
  <r>
    <x v="303"/>
    <s v="ZZState Summary"/>
    <s v="Personnel"/>
    <s v="M "/>
    <x v="2"/>
    <x v="120"/>
    <s v="Middle Speech, Language Pathway/_x000a_Audio"/>
    <x v="2"/>
    <s v="45"/>
    <s v="45"/>
    <m/>
    <m/>
    <n v="0"/>
  </r>
  <r>
    <x v="303"/>
    <s v="ZZState Summary"/>
    <s v="Personnel"/>
    <s v="H "/>
    <x v="1"/>
    <x v="121"/>
    <s v="High Speech, Language Pathway/_x000a_Audio"/>
    <x v="2"/>
    <s v="45"/>
    <s v="45"/>
    <m/>
    <m/>
    <n v="0"/>
  </r>
  <r>
    <x v="303"/>
    <s v="ZZState Summary"/>
    <s v="Personnel"/>
    <s v="E "/>
    <x v="0"/>
    <x v="93"/>
    <s v="TK Speech, Language Pathway/_x000a_Audio"/>
    <x v="4"/>
    <s v="45"/>
    <s v="45"/>
    <m/>
    <m/>
    <n v="0"/>
  </r>
  <r>
    <x v="303"/>
    <s v="ZZState Summary"/>
    <s v="Personnel"/>
    <s v="E "/>
    <x v="0"/>
    <x v="47"/>
    <s v="Elementary Speech, Language Pathway/_x000a_Audio"/>
    <x v="5"/>
    <s v="45"/>
    <s v="45"/>
    <m/>
    <m/>
    <n v="0"/>
  </r>
  <r>
    <x v="303"/>
    <s v="ZZState Summary"/>
    <s v="Personnel"/>
    <s v="M "/>
    <x v="2"/>
    <x v="52"/>
    <s v="Middle Speech, Language Pathway/_x000a_Audio"/>
    <x v="5"/>
    <s v="45"/>
    <s v="45"/>
    <m/>
    <m/>
    <n v="0"/>
  </r>
  <r>
    <x v="303"/>
    <s v="ZZState Summary"/>
    <s v="Personnel"/>
    <s v="H "/>
    <x v="1"/>
    <x v="51"/>
    <s v="High Speech, Language Pathway/_x000a_Audio"/>
    <x v="5"/>
    <s v="45"/>
    <s v="45"/>
    <m/>
    <m/>
    <n v="0"/>
  </r>
  <r>
    <x v="303"/>
    <s v="ZZState Summary"/>
    <s v="Personnel"/>
    <s v="E "/>
    <x v="0"/>
    <x v="22"/>
    <s v="Elementary Psycho-logist"/>
    <x v="1"/>
    <s v="46"/>
    <s v="46"/>
    <m/>
    <m/>
    <n v="0"/>
  </r>
  <r>
    <x v="303"/>
    <s v="ZZState Summary"/>
    <s v="Personnel"/>
    <s v="M "/>
    <x v="2"/>
    <x v="24"/>
    <s v="Middle Psycho-logist"/>
    <x v="1"/>
    <s v="46"/>
    <s v="46"/>
    <m/>
    <m/>
    <n v="0"/>
  </r>
  <r>
    <x v="303"/>
    <s v="ZZState Summary"/>
    <s v="Personnel"/>
    <s v="H "/>
    <x v="1"/>
    <x v="23"/>
    <s v="High Psycho-logist"/>
    <x v="1"/>
    <s v="46"/>
    <s v="46"/>
    <m/>
    <m/>
    <n v="0"/>
  </r>
  <r>
    <x v="303"/>
    <s v="ZZState Summary"/>
    <s v="Personnel"/>
    <s v="E "/>
    <x v="0"/>
    <x v="122"/>
    <s v="Elementary Psycho-logist"/>
    <x v="2"/>
    <s v="46"/>
    <s v="46"/>
    <m/>
    <m/>
    <n v="0"/>
  </r>
  <r>
    <x v="303"/>
    <s v="ZZState Summary"/>
    <s v="Personnel"/>
    <s v="M "/>
    <x v="2"/>
    <x v="123"/>
    <s v="Middle Psycho-logist"/>
    <x v="2"/>
    <s v="46"/>
    <s v="46"/>
    <m/>
    <m/>
    <n v="0"/>
  </r>
  <r>
    <x v="303"/>
    <s v="ZZState Summary"/>
    <s v="Personnel"/>
    <s v="H "/>
    <x v="1"/>
    <x v="124"/>
    <s v="High Psycho-logist"/>
    <x v="2"/>
    <s v="46"/>
    <s v="46"/>
    <m/>
    <m/>
    <n v="0"/>
  </r>
  <r>
    <x v="303"/>
    <s v="ZZState Summary"/>
    <s v="Personnel"/>
    <s v="E "/>
    <x v="0"/>
    <x v="125"/>
    <s v="TK Psycho-logist"/>
    <x v="4"/>
    <s v="46"/>
    <s v="46"/>
    <m/>
    <m/>
    <n v="0"/>
  </r>
  <r>
    <x v="303"/>
    <s v="ZZState Summary"/>
    <s v="Personnel"/>
    <s v="E "/>
    <x v="0"/>
    <x v="48"/>
    <s v="Elementary Psycho-logist"/>
    <x v="5"/>
    <s v="46"/>
    <s v="46"/>
    <m/>
    <m/>
    <n v="0"/>
  </r>
  <r>
    <x v="303"/>
    <s v="ZZState Summary"/>
    <s v="Personnel"/>
    <s v="M "/>
    <x v="2"/>
    <x v="49"/>
    <s v="Middle Psycho-logist"/>
    <x v="5"/>
    <s v="46"/>
    <s v="46"/>
    <m/>
    <m/>
    <n v="0"/>
  </r>
  <r>
    <x v="303"/>
    <s v="ZZState Summary"/>
    <s v="Personnel"/>
    <s v="H "/>
    <x v="1"/>
    <x v="65"/>
    <s v="High Psycho-logist"/>
    <x v="5"/>
    <s v="46"/>
    <s v="46"/>
    <m/>
    <m/>
    <n v="0"/>
  </r>
  <r>
    <x v="303"/>
    <s v="ZZState Summary"/>
    <s v="Personnel"/>
    <s v="E "/>
    <x v="0"/>
    <x v="32"/>
    <s v="Elementary Nurse"/>
    <x v="1"/>
    <s v="47"/>
    <s v="47"/>
    <m/>
    <m/>
    <n v="0"/>
  </r>
  <r>
    <x v="303"/>
    <s v="ZZState Summary"/>
    <s v="Personnel"/>
    <s v="M "/>
    <x v="2"/>
    <x v="33"/>
    <s v="Middle Nurse"/>
    <x v="1"/>
    <s v="47"/>
    <s v="47"/>
    <m/>
    <m/>
    <n v="0"/>
  </r>
  <r>
    <x v="303"/>
    <s v="ZZState Summary"/>
    <s v="Personnel"/>
    <s v="H "/>
    <x v="1"/>
    <x v="61"/>
    <s v="PSES High Prog21Duty47 S275"/>
    <x v="1"/>
    <s v="47"/>
    <s v="47"/>
    <m/>
    <m/>
    <n v="0"/>
  </r>
  <r>
    <x v="303"/>
    <s v="ZZState Summary"/>
    <s v="Personnel"/>
    <s v="E "/>
    <x v="0"/>
    <x v="126"/>
    <s v="Elementary Nurse"/>
    <x v="2"/>
    <s v="47"/>
    <s v="47"/>
    <m/>
    <m/>
    <n v="0"/>
  </r>
  <r>
    <x v="303"/>
    <s v="ZZState Summary"/>
    <s v="Personnel"/>
    <s v="M "/>
    <x v="2"/>
    <x v="127"/>
    <s v="Middle Nurse"/>
    <x v="2"/>
    <s v="47"/>
    <s v="47"/>
    <m/>
    <m/>
    <n v="0"/>
  </r>
  <r>
    <x v="303"/>
    <s v="ZZState Summary"/>
    <s v="Personnel"/>
    <s v="H "/>
    <x v="1"/>
    <x v="128"/>
    <s v="High Nurse"/>
    <x v="2"/>
    <s v="47"/>
    <s v="47"/>
    <m/>
    <m/>
    <n v="0"/>
  </r>
  <r>
    <x v="303"/>
    <s v="ZZState Summary"/>
    <s v="Personnel"/>
    <s v="E "/>
    <x v="0"/>
    <x v="85"/>
    <s v="TK Nurse"/>
    <x v="4"/>
    <s v="47"/>
    <s v="47"/>
    <m/>
    <m/>
    <n v="0"/>
  </r>
  <r>
    <x v="303"/>
    <s v="ZZState Summary"/>
    <s v="Personnel"/>
    <s v="E "/>
    <x v="0"/>
    <x v="27"/>
    <s v="PSES Elem Prog01Duty47 S275"/>
    <x v="5"/>
    <s v="47"/>
    <s v="47"/>
    <m/>
    <m/>
    <n v="0"/>
  </r>
  <r>
    <x v="303"/>
    <s v="ZZState Summary"/>
    <s v="Personnel"/>
    <s v="M "/>
    <x v="2"/>
    <x v="34"/>
    <s v="PSES Mid Prog01Duty47 S275"/>
    <x v="5"/>
    <s v="47"/>
    <s v="47"/>
    <m/>
    <m/>
    <n v="0"/>
  </r>
  <r>
    <x v="303"/>
    <s v="ZZState Summary"/>
    <s v="Personnel"/>
    <s v="H "/>
    <x v="1"/>
    <x v="25"/>
    <s v="PSES High Prog01Duty47 S275"/>
    <x v="5"/>
    <s v="47"/>
    <s v="47"/>
    <m/>
    <m/>
    <n v="0"/>
  </r>
  <r>
    <x v="303"/>
    <s v="ZZState Summary"/>
    <s v="Personnel"/>
    <s v="E "/>
    <x v="0"/>
    <x v="35"/>
    <s v="PSES Elem Prog21Duty48 S275"/>
    <x v="1"/>
    <s v="48"/>
    <s v="48"/>
    <m/>
    <m/>
    <n v="0"/>
  </r>
  <r>
    <x v="303"/>
    <s v="ZZState Summary"/>
    <s v="Personnel"/>
    <s v="M "/>
    <x v="2"/>
    <x v="37"/>
    <s v="PSES Mid Prog21Duty48 S275"/>
    <x v="1"/>
    <s v="48"/>
    <s v="48"/>
    <m/>
    <m/>
    <n v="0"/>
  </r>
  <r>
    <x v="303"/>
    <s v="ZZState Summary"/>
    <s v="Personnel"/>
    <s v="H "/>
    <x v="1"/>
    <x v="36"/>
    <s v="PSES High Prog21Duty48 S275"/>
    <x v="1"/>
    <s v="48"/>
    <s v="48"/>
    <m/>
    <m/>
    <n v="0"/>
  </r>
  <r>
    <x v="303"/>
    <s v="ZZState Summary"/>
    <s v="Personnel"/>
    <s v="E "/>
    <x v="0"/>
    <x v="129"/>
    <s v="Elementary Physical Therapist"/>
    <x v="2"/>
    <s v="48"/>
    <s v="48"/>
    <m/>
    <m/>
    <n v="0"/>
  </r>
  <r>
    <x v="303"/>
    <s v="ZZState Summary"/>
    <s v="Personnel"/>
    <s v="M "/>
    <x v="2"/>
    <x v="130"/>
    <s v="Middle Physical Therapist"/>
    <x v="2"/>
    <s v="48"/>
    <s v="48"/>
    <m/>
    <m/>
    <n v="0"/>
  </r>
  <r>
    <x v="303"/>
    <s v="ZZState Summary"/>
    <s v="Personnel"/>
    <s v="H "/>
    <x v="1"/>
    <x v="131"/>
    <s v="High Physical Therapist"/>
    <x v="2"/>
    <s v="48"/>
    <s v="48"/>
    <m/>
    <m/>
    <n v="0"/>
  </r>
  <r>
    <x v="303"/>
    <s v="ZZState Summary"/>
    <s v="Personnel"/>
    <s v="E "/>
    <x v="0"/>
    <x v="132"/>
    <s v="TK Physical Therapist"/>
    <x v="4"/>
    <s v="48"/>
    <s v="48"/>
    <m/>
    <m/>
    <n v="0"/>
  </r>
  <r>
    <x v="303"/>
    <s v="ZZState Summary"/>
    <s v="Personnel"/>
    <s v="E "/>
    <x v="0"/>
    <x v="90"/>
    <s v="PSES Elem Prog01Duty48 S275"/>
    <x v="5"/>
    <s v="48"/>
    <s v="48"/>
    <m/>
    <m/>
    <n v="0"/>
  </r>
  <r>
    <x v="303"/>
    <s v="ZZState Summary"/>
    <s v="Personnel"/>
    <s v="M "/>
    <x v="2"/>
    <x v="92"/>
    <s v="PSES Mid Prog01Duty48 S275"/>
    <x v="5"/>
    <s v="48"/>
    <s v="48"/>
    <m/>
    <m/>
    <n v="0"/>
  </r>
  <r>
    <x v="303"/>
    <s v="ZZState Summary"/>
    <s v="Personnel"/>
    <s v="H "/>
    <x v="1"/>
    <x v="91"/>
    <s v="PSES High Prog01Duty48 S275"/>
    <x v="5"/>
    <s v="48"/>
    <s v="48"/>
    <m/>
    <m/>
    <n v="0"/>
  </r>
  <r>
    <x v="303"/>
    <s v="ZZState Summary"/>
    <s v="Personnel"/>
    <s v="E "/>
    <x v="0"/>
    <x v="26"/>
    <s v="PSES Elem Prog21Duty49 S275"/>
    <x v="1"/>
    <s v="49"/>
    <s v="49"/>
    <m/>
    <m/>
    <n v="0"/>
  </r>
  <r>
    <x v="303"/>
    <s v="ZZState Summary"/>
    <s v="Personnel"/>
    <s v="M "/>
    <x v="2"/>
    <x v="50"/>
    <s v="PSES Mid Prog21Duty49 S275"/>
    <x v="1"/>
    <s v="49"/>
    <s v="49"/>
    <m/>
    <m/>
    <n v="0"/>
  </r>
  <r>
    <x v="303"/>
    <s v="ZZState Summary"/>
    <s v="Personnel"/>
    <s v="H "/>
    <x v="1"/>
    <x v="55"/>
    <s v="PSES High Prog21Duty49 S275"/>
    <x v="1"/>
    <s v="49"/>
    <s v="49"/>
    <m/>
    <m/>
    <n v="0"/>
  </r>
  <r>
    <x v="303"/>
    <s v="ZZState Summary"/>
    <s v="Personnel"/>
    <s v="E "/>
    <x v="0"/>
    <x v="133"/>
    <s v="Elementary Behavior Analyst"/>
    <x v="2"/>
    <s v="49"/>
    <s v="49"/>
    <m/>
    <m/>
    <n v="0"/>
  </r>
  <r>
    <x v="303"/>
    <s v="ZZState Summary"/>
    <s v="Personnel"/>
    <s v="M "/>
    <x v="2"/>
    <x v="134"/>
    <s v="Middle Behavior Analyst"/>
    <x v="2"/>
    <s v="49"/>
    <s v="49"/>
    <m/>
    <m/>
    <n v="0"/>
  </r>
  <r>
    <x v="303"/>
    <s v="ZZState Summary"/>
    <s v="Personnel"/>
    <s v="H "/>
    <x v="1"/>
    <x v="135"/>
    <s v="High Behavior Analyst"/>
    <x v="2"/>
    <s v="49"/>
    <s v="49"/>
    <m/>
    <m/>
    <n v="0"/>
  </r>
  <r>
    <x v="303"/>
    <s v="ZZState Summary"/>
    <s v="Personnel"/>
    <s v="E "/>
    <x v="0"/>
    <x v="136"/>
    <s v="TK Behavior Analyst"/>
    <x v="4"/>
    <s v="49"/>
    <s v="49"/>
    <m/>
    <m/>
    <n v="0"/>
  </r>
  <r>
    <x v="303"/>
    <s v="ZZState Summary"/>
    <s v="Personnel"/>
    <s v="E "/>
    <x v="0"/>
    <x v="79"/>
    <s v="PSES Elem Prog01Duty49 S275"/>
    <x v="5"/>
    <s v="49"/>
    <s v="49"/>
    <m/>
    <m/>
    <n v="0"/>
  </r>
  <r>
    <x v="303"/>
    <s v="ZZState Summary"/>
    <s v="Personnel"/>
    <s v="M "/>
    <x v="2"/>
    <x v="89"/>
    <s v="Middle Behavior Analyst"/>
    <x v="5"/>
    <s v="49"/>
    <s v="49"/>
    <m/>
    <m/>
    <n v="0"/>
  </r>
  <r>
    <x v="303"/>
    <s v="ZZState Summary"/>
    <s v="Personnel"/>
    <s v="H "/>
    <x v="1"/>
    <x v="68"/>
    <s v="PSES High Prog01Duty49 S275"/>
    <x v="5"/>
    <s v="49"/>
    <s v="49"/>
    <m/>
    <m/>
    <n v="0"/>
  </r>
  <r>
    <x v="303"/>
    <s v="ZZState Summary"/>
    <s v="Personnel"/>
    <s v="E "/>
    <x v="0"/>
    <x v="38"/>
    <s v="PSES Elem Prog21Duty64 S275"/>
    <x v="1"/>
    <s v="64"/>
    <s v="64"/>
    <m/>
    <m/>
    <n v="0"/>
  </r>
  <r>
    <x v="303"/>
    <s v="ZZState Summary"/>
    <s v="Personnel"/>
    <s v="M "/>
    <x v="2"/>
    <x v="60"/>
    <s v="PSES Mid Prog21Duty64 S275"/>
    <x v="1"/>
    <s v="64"/>
    <s v="64"/>
    <m/>
    <m/>
    <n v="0"/>
  </r>
  <r>
    <x v="303"/>
    <s v="ZZState Summary"/>
    <s v="Personnel"/>
    <s v="H "/>
    <x v="1"/>
    <x v="59"/>
    <s v="PSES High Prog21Duty64 S275"/>
    <x v="1"/>
    <s v="64"/>
    <s v="64"/>
    <m/>
    <m/>
    <n v="0"/>
  </r>
  <r>
    <x v="303"/>
    <s v="ZZState Summary"/>
    <s v="Personnel"/>
    <s v="E "/>
    <x v="0"/>
    <x v="137"/>
    <s v="Elementary Contractor ESA"/>
    <x v="2"/>
    <s v="64"/>
    <s v="64"/>
    <m/>
    <m/>
    <n v="0"/>
  </r>
  <r>
    <x v="303"/>
    <s v="ZZState Summary"/>
    <s v="Personnel"/>
    <s v="M "/>
    <x v="2"/>
    <x v="138"/>
    <s v="Middle Contractor ESA"/>
    <x v="2"/>
    <s v="64"/>
    <s v="64"/>
    <m/>
    <m/>
    <n v="0"/>
  </r>
  <r>
    <x v="303"/>
    <s v="ZZState Summary"/>
    <s v="Personnel"/>
    <s v="H "/>
    <x v="1"/>
    <x v="139"/>
    <s v="High Contractor ESA"/>
    <x v="2"/>
    <s v="64"/>
    <s v="64"/>
    <m/>
    <m/>
    <n v="0"/>
  </r>
  <r>
    <x v="303"/>
    <s v="ZZState Summary"/>
    <s v="Personnel"/>
    <s v="E "/>
    <x v="0"/>
    <x v="94"/>
    <s v="TK Contractor ESA"/>
    <x v="4"/>
    <s v="64"/>
    <s v="64"/>
    <m/>
    <m/>
    <n v="0"/>
  </r>
  <r>
    <x v="303"/>
    <s v="ZZState Summary"/>
    <s v="Personnel"/>
    <s v="E "/>
    <x v="0"/>
    <x v="39"/>
    <s v="PSES Elem Prog01Duty64 S275"/>
    <x v="5"/>
    <s v="64"/>
    <s v="64"/>
    <m/>
    <m/>
    <n v="0"/>
  </r>
  <r>
    <x v="303"/>
    <s v="ZZState Summary"/>
    <s v="Personnel"/>
    <s v="M "/>
    <x v="2"/>
    <x v="81"/>
    <s v="PSES Mid Prog01Duty64 S275"/>
    <x v="5"/>
    <s v="64"/>
    <s v="64"/>
    <m/>
    <m/>
    <n v="0"/>
  </r>
  <r>
    <x v="303"/>
    <s v="ZZState Summary"/>
    <s v="Personnel"/>
    <s v="H "/>
    <x v="1"/>
    <x v="80"/>
    <s v="PSES High Prog01Duty64 S275"/>
    <x v="5"/>
    <s v="64"/>
    <s v="64"/>
    <m/>
    <m/>
    <n v="0"/>
  </r>
  <r>
    <x v="304"/>
    <m/>
    <m/>
    <m/>
    <x v="3"/>
    <x v="140"/>
    <m/>
    <x v="6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95">
  <r>
    <s v="01147"/>
    <x v="0"/>
    <s v="Personnel"/>
    <s v="E "/>
    <x v="0"/>
    <x v="0"/>
    <s v="PSES Elem Prog01Duty96 S275"/>
    <x v="0"/>
    <s v="24"/>
    <n v="96"/>
    <n v="24"/>
    <s v="   "/>
    <n v="1.387"/>
    <n v="0.24879999999999999"/>
    <n v="0"/>
    <x v="0"/>
  </r>
  <r>
    <s v="01147"/>
    <x v="0"/>
    <s v="Personnel"/>
    <s v="H "/>
    <x v="1"/>
    <x v="1"/>
    <s v="PSES High Prog01Duty96 S275"/>
    <x v="0"/>
    <s v="24"/>
    <n v="96"/>
    <n v="24"/>
    <s v="   "/>
    <n v="0.35199999999999998"/>
    <n v="0.24879999999999999"/>
    <n v="0"/>
    <x v="1"/>
  </r>
  <r>
    <s v="01147"/>
    <x v="0"/>
    <s v="Personnel"/>
    <s v="M "/>
    <x v="2"/>
    <x v="2"/>
    <s v="PSES Mid Prog01Duty96 S275"/>
    <x v="0"/>
    <s v="24"/>
    <n v="96"/>
    <n v="24"/>
    <s v="   "/>
    <n v="0.36299999999999999"/>
    <n v="0.24879999999999999"/>
    <n v="0"/>
    <x v="2"/>
  </r>
  <r>
    <s v="01147"/>
    <x v="0"/>
    <s v="Personnel"/>
    <s v="E "/>
    <x v="0"/>
    <x v="3"/>
    <s v="PSES Elem Prog01Act25 S275"/>
    <x v="0"/>
    <s v="25"/>
    <m/>
    <n v="25"/>
    <s v="   "/>
    <n v="7.2370000000000001"/>
    <n v="0.24879999999999999"/>
    <n v="0"/>
    <x v="3"/>
  </r>
  <r>
    <s v="01147"/>
    <x v="0"/>
    <s v="Personnel"/>
    <s v="H "/>
    <x v="1"/>
    <x v="4"/>
    <s v="PSES High Prog21Act25 S275"/>
    <x v="1"/>
    <s v="25"/>
    <m/>
    <n v="25"/>
    <s v="   "/>
    <n v="3.8879999999999999"/>
    <n v="0.24879999999999999"/>
    <n v="0.96699999999999997"/>
    <x v="4"/>
  </r>
  <r>
    <s v="01147"/>
    <x v="0"/>
    <s v="Personnel"/>
    <s v="H "/>
    <x v="1"/>
    <x v="5"/>
    <s v="PSES High Prog01Act25 S275"/>
    <x v="0"/>
    <s v="25"/>
    <m/>
    <n v="25"/>
    <s v="   "/>
    <n v="0.50600000000000001"/>
    <n v="0.24879999999999999"/>
    <n v="0"/>
    <x v="4"/>
  </r>
  <r>
    <s v="01147"/>
    <x v="0"/>
    <s v="Personnel"/>
    <s v="M "/>
    <x v="2"/>
    <x v="6"/>
    <s v="PSES Mid Prog01Act25 S275"/>
    <x v="0"/>
    <s v="25"/>
    <m/>
    <n v="25"/>
    <s v="   "/>
    <n v="0.495"/>
    <n v="0.24879999999999999"/>
    <n v="0"/>
    <x v="5"/>
  </r>
  <r>
    <s v="01147"/>
    <x v="0"/>
    <s v="Personnel"/>
    <s v="E "/>
    <x v="0"/>
    <x v="7"/>
    <s v="PSES Elem Prog21Act26 S275"/>
    <x v="1"/>
    <s v="26"/>
    <m/>
    <n v="26"/>
    <s v="   "/>
    <n v="1.3140000000000001"/>
    <n v="0.24879999999999999"/>
    <n v="0.32700000000000001"/>
    <x v="6"/>
  </r>
  <r>
    <s v="01147"/>
    <x v="0"/>
    <s v="Personnel"/>
    <s v="E "/>
    <x v="0"/>
    <x v="8"/>
    <s v="PSES Elem Prog01Act26 S275"/>
    <x v="0"/>
    <s v="26"/>
    <m/>
    <n v="26"/>
    <s v="   "/>
    <n v="2.3239999999999998"/>
    <n v="0.24879999999999999"/>
    <n v="0"/>
    <x v="6"/>
  </r>
  <r>
    <s v="01147"/>
    <x v="0"/>
    <s v="Personnel"/>
    <s v="H "/>
    <x v="1"/>
    <x v="9"/>
    <s v="PSES High Prog01Act26 S275"/>
    <x v="0"/>
    <s v="26"/>
    <m/>
    <n v="26"/>
    <s v="   "/>
    <n v="0.2"/>
    <n v="0.24879999999999999"/>
    <n v="0"/>
    <x v="7"/>
  </r>
  <r>
    <s v="01147"/>
    <x v="0"/>
    <s v="Personnel"/>
    <s v="M "/>
    <x v="2"/>
    <x v="10"/>
    <s v="PSES Mid Prog21Act26 S275"/>
    <x v="1"/>
    <s v="26"/>
    <m/>
    <n v="26"/>
    <s v="   "/>
    <n v="0.25"/>
    <n v="0.24879999999999999"/>
    <n v="6.2E-2"/>
    <x v="8"/>
  </r>
  <r>
    <s v="01147"/>
    <x v="0"/>
    <s v="Personnel"/>
    <s v="M "/>
    <x v="2"/>
    <x v="11"/>
    <s v="PSES Mid Prog01Act26 S275"/>
    <x v="0"/>
    <s v="26"/>
    <m/>
    <n v="26"/>
    <s v="   "/>
    <n v="0.58099999999999996"/>
    <n v="0.24879999999999999"/>
    <n v="0"/>
    <x v="8"/>
  </r>
  <r>
    <s v="01147"/>
    <x v="0"/>
    <s v="Personnel"/>
    <s v="H "/>
    <x v="1"/>
    <x v="12"/>
    <s v="PSES High Prog97Act35 S275"/>
    <x v="2"/>
    <s v="35"/>
    <m/>
    <n v="35"/>
    <s v="   "/>
    <n v="1.84"/>
    <n v="0.24879999999999999"/>
    <n v="0"/>
    <x v="9"/>
  </r>
  <r>
    <s v="01147"/>
    <x v="0"/>
    <s v="Personnel"/>
    <s v="M "/>
    <x v="2"/>
    <x v="13"/>
    <s v="PSES Mid Prog97Act35 S275"/>
    <x v="2"/>
    <s v="35"/>
    <m/>
    <n v="35"/>
    <s v="   "/>
    <n v="1.3009999999999999"/>
    <n v="0.24879999999999999"/>
    <n v="0"/>
    <x v="10"/>
  </r>
  <r>
    <s v="01147"/>
    <x v="0"/>
    <s v="Personnel"/>
    <s v="E "/>
    <x v="0"/>
    <x v="14"/>
    <s v="PSES Elem Prog21Duty39 S275"/>
    <x v="1"/>
    <s v="39"/>
    <n v="39"/>
    <m/>
    <s v="   "/>
    <n v="1"/>
    <n v="0.24879999999999999"/>
    <n v="0.249"/>
    <x v="11"/>
  </r>
  <r>
    <s v="01147"/>
    <x v="0"/>
    <s v="Personnel"/>
    <s v="E "/>
    <x v="0"/>
    <x v="15"/>
    <s v="PSES Elem Prog01Duty42 S275"/>
    <x v="0"/>
    <s v="42"/>
    <n v="42"/>
    <m/>
    <s v="   "/>
    <n v="1.8"/>
    <n v="0.24879999999999999"/>
    <n v="0"/>
    <x v="12"/>
  </r>
  <r>
    <s v="01147"/>
    <x v="0"/>
    <s v="Personnel"/>
    <s v="H "/>
    <x v="1"/>
    <x v="16"/>
    <s v="PSES High Prog01Duty42 S275"/>
    <x v="0"/>
    <s v="42"/>
    <n v="42"/>
    <m/>
    <s v="   "/>
    <n v="2.5299999999999998"/>
    <n v="0.24879999999999999"/>
    <n v="0"/>
    <x v="13"/>
  </r>
  <r>
    <s v="01147"/>
    <x v="0"/>
    <s v="Personnel"/>
    <s v="M "/>
    <x v="2"/>
    <x v="17"/>
    <s v="PSES Mid Prog01Duty42 S275"/>
    <x v="0"/>
    <s v="42"/>
    <n v="42"/>
    <m/>
    <s v="   "/>
    <n v="2.25"/>
    <n v="0.24879999999999999"/>
    <n v="0"/>
    <x v="14"/>
  </r>
  <r>
    <s v="01147"/>
    <x v="0"/>
    <s v="Personnel"/>
    <s v="E "/>
    <x v="0"/>
    <x v="18"/>
    <s v="PSES Elem Prog21Duty43 S275"/>
    <x v="1"/>
    <s v="43"/>
    <n v="43"/>
    <m/>
    <s v="   "/>
    <n v="0.75"/>
    <n v="0.24879999999999999"/>
    <n v="0.187"/>
    <x v="15"/>
  </r>
  <r>
    <s v="01147"/>
    <x v="0"/>
    <s v="Personnel"/>
    <s v="H "/>
    <x v="1"/>
    <x v="19"/>
    <s v="PSES High Prog21Duty43 S275"/>
    <x v="1"/>
    <s v="43"/>
    <n v="43"/>
    <m/>
    <s v="   "/>
    <n v="0.25"/>
    <n v="0.24879999999999999"/>
    <n v="6.2E-2"/>
    <x v="16"/>
  </r>
  <r>
    <s v="01147"/>
    <x v="0"/>
    <s v="Personnel"/>
    <s v="E "/>
    <x v="0"/>
    <x v="20"/>
    <s v="PSES Elem Prog21Duty45 S275"/>
    <x v="1"/>
    <s v="45"/>
    <n v="45"/>
    <m/>
    <s v="   "/>
    <n v="2.782"/>
    <n v="0.24879999999999999"/>
    <n v="0.69199999999999995"/>
    <x v="17"/>
  </r>
  <r>
    <s v="01147"/>
    <x v="0"/>
    <s v="Personnel"/>
    <s v="H "/>
    <x v="1"/>
    <x v="21"/>
    <s v="PSES High Prog21Duty45 S275"/>
    <x v="1"/>
    <s v="45"/>
    <n v="45"/>
    <m/>
    <s v="   "/>
    <n v="0.46"/>
    <n v="0.24879999999999999"/>
    <n v="0.114"/>
    <x v="18"/>
  </r>
  <r>
    <s v="01147"/>
    <x v="0"/>
    <s v="Personnel"/>
    <s v="E "/>
    <x v="0"/>
    <x v="22"/>
    <s v="PSES Elem Prog21Duty46 S275"/>
    <x v="1"/>
    <s v="46"/>
    <n v="46"/>
    <m/>
    <s v="   "/>
    <n v="2"/>
    <n v="0.24879999999999999"/>
    <n v="0.498"/>
    <x v="19"/>
  </r>
  <r>
    <s v="01147"/>
    <x v="0"/>
    <s v="Personnel"/>
    <s v="H "/>
    <x v="1"/>
    <x v="23"/>
    <s v="PSES High Prog21Duty46 S275"/>
    <x v="1"/>
    <s v="46"/>
    <n v="46"/>
    <m/>
    <s v="   "/>
    <n v="1.4"/>
    <n v="0.24879999999999999"/>
    <n v="0.34799999999999998"/>
    <x v="20"/>
  </r>
  <r>
    <s v="01147"/>
    <x v="0"/>
    <s v="Personnel"/>
    <s v="M "/>
    <x v="2"/>
    <x v="24"/>
    <s v="PSES Mid Prog21Duty46 S275"/>
    <x v="1"/>
    <s v="46"/>
    <n v="46"/>
    <m/>
    <s v="   "/>
    <n v="0.6"/>
    <n v="0.24879999999999999"/>
    <n v="0.14899999999999999"/>
    <x v="21"/>
  </r>
  <r>
    <s v="01147"/>
    <x v="0"/>
    <s v="Personnel"/>
    <s v="H "/>
    <x v="1"/>
    <x v="25"/>
    <s v="PSES High Prog01Duty47 S275"/>
    <x v="0"/>
    <s v="47"/>
    <n v="47"/>
    <m/>
    <s v="   "/>
    <n v="1"/>
    <n v="0.24879999999999999"/>
    <n v="0"/>
    <x v="22"/>
  </r>
  <r>
    <s v="01147"/>
    <x v="0"/>
    <s v="Personnel"/>
    <s v="E "/>
    <x v="0"/>
    <x v="26"/>
    <s v="PSES Elem Prog21Duty49 S275"/>
    <x v="1"/>
    <s v="49"/>
    <n v="49"/>
    <m/>
    <s v="   "/>
    <n v="1"/>
    <n v="0.24879999999999999"/>
    <n v="0.249"/>
    <x v="23"/>
  </r>
  <r>
    <s v="01158"/>
    <x v="1"/>
    <s v="Personnel"/>
    <s v="E "/>
    <x v="0"/>
    <x v="3"/>
    <s v="PSES Elem Prog01Act25 S275"/>
    <x v="0"/>
    <s v="25"/>
    <m/>
    <n v="25"/>
    <s v="   "/>
    <n v="0.17799999999999999"/>
    <n v="0.14000000000000001"/>
    <n v="0"/>
    <x v="3"/>
  </r>
  <r>
    <s v="01158"/>
    <x v="1"/>
    <s v="Personnel"/>
    <s v="M "/>
    <x v="2"/>
    <x v="6"/>
    <s v="PSES Mid Prog01Act25 S275"/>
    <x v="0"/>
    <s v="25"/>
    <m/>
    <n v="25"/>
    <s v="   "/>
    <n v="5.6000000000000001E-2"/>
    <n v="0.14000000000000001"/>
    <n v="0"/>
    <x v="5"/>
  </r>
  <r>
    <s v="01158"/>
    <x v="1"/>
    <s v="Personnel"/>
    <s v="E "/>
    <x v="0"/>
    <x v="8"/>
    <s v="PSES Elem Prog01Act26 S275"/>
    <x v="0"/>
    <s v="26"/>
    <m/>
    <n v="26"/>
    <s v="   "/>
    <n v="0.27700000000000002"/>
    <n v="0.14000000000000001"/>
    <n v="0"/>
    <x v="6"/>
  </r>
  <r>
    <s v="01158"/>
    <x v="1"/>
    <s v="Personnel"/>
    <s v="H "/>
    <x v="1"/>
    <x v="9"/>
    <s v="PSES High Prog01Act26 S275"/>
    <x v="0"/>
    <s v="26"/>
    <m/>
    <n v="26"/>
    <s v="   "/>
    <n v="0.14599999999999999"/>
    <n v="0.14000000000000001"/>
    <n v="0"/>
    <x v="7"/>
  </r>
  <r>
    <s v="01158"/>
    <x v="1"/>
    <s v="Personnel"/>
    <s v="M "/>
    <x v="2"/>
    <x v="11"/>
    <s v="PSES Mid Prog01Act26 S275"/>
    <x v="0"/>
    <s v="26"/>
    <m/>
    <n v="26"/>
    <s v="   "/>
    <n v="0.16900000000000001"/>
    <n v="0.14000000000000001"/>
    <n v="0"/>
    <x v="8"/>
  </r>
  <r>
    <s v="01158"/>
    <x v="1"/>
    <s v="Personnel"/>
    <s v="E "/>
    <x v="0"/>
    <x v="15"/>
    <s v="PSES Elem Prog01Duty42 S275"/>
    <x v="0"/>
    <s v="42"/>
    <n v="42"/>
    <m/>
    <s v="   "/>
    <n v="0.96199999999999997"/>
    <n v="0.14000000000000001"/>
    <n v="0"/>
    <x v="12"/>
  </r>
  <r>
    <s v="01158"/>
    <x v="1"/>
    <s v="Personnel"/>
    <s v="M "/>
    <x v="2"/>
    <x v="17"/>
    <s v="PSES Mid Prog01Duty42 S275"/>
    <x v="0"/>
    <s v="42"/>
    <n v="42"/>
    <m/>
    <s v="   "/>
    <n v="0.755"/>
    <n v="0.14000000000000001"/>
    <n v="0"/>
    <x v="14"/>
  </r>
  <r>
    <s v="01160"/>
    <x v="2"/>
    <s v="Personnel"/>
    <s v="E "/>
    <x v="0"/>
    <x v="3"/>
    <s v="PSES Elem Prog01Act25 S275"/>
    <x v="0"/>
    <s v="25"/>
    <m/>
    <n v="25"/>
    <s v="   "/>
    <n v="0.86599999999999999"/>
    <n v="0.15029999999999999"/>
    <n v="0"/>
    <x v="3"/>
  </r>
  <r>
    <s v="01160"/>
    <x v="2"/>
    <s v="Personnel"/>
    <s v="H "/>
    <x v="1"/>
    <x v="5"/>
    <s v="PSES High Prog01Act25 S275"/>
    <x v="0"/>
    <s v="25"/>
    <m/>
    <n v="25"/>
    <s v="   "/>
    <n v="4.2000000000000003E-2"/>
    <n v="0.15029999999999999"/>
    <n v="0"/>
    <x v="4"/>
  </r>
  <r>
    <s v="01160"/>
    <x v="2"/>
    <s v="Personnel"/>
    <s v="E "/>
    <x v="0"/>
    <x v="8"/>
    <s v="PSES Elem Prog01Act26 S275"/>
    <x v="0"/>
    <s v="26"/>
    <m/>
    <n v="26"/>
    <s v="   "/>
    <n v="0.59899999999999998"/>
    <n v="0.15029999999999999"/>
    <n v="0"/>
    <x v="6"/>
  </r>
  <r>
    <s v="01160"/>
    <x v="2"/>
    <s v="Personnel"/>
    <s v="H "/>
    <x v="1"/>
    <x v="16"/>
    <s v="PSES High Prog01Duty42 S275"/>
    <x v="0"/>
    <s v="42"/>
    <n v="42"/>
    <m/>
    <s v="   "/>
    <n v="0.625"/>
    <n v="0.15029999999999999"/>
    <n v="0"/>
    <x v="13"/>
  </r>
  <r>
    <s v="02250"/>
    <x v="3"/>
    <s v="Personnel"/>
    <s v="E "/>
    <x v="0"/>
    <x v="3"/>
    <s v="PSES Elem Prog01Act25 S275"/>
    <x v="0"/>
    <s v="25"/>
    <m/>
    <n v="25"/>
    <s v="   "/>
    <n v="0.14000000000000001"/>
    <n v="0.22459999999999999"/>
    <n v="0"/>
    <x v="3"/>
  </r>
  <r>
    <s v="02250"/>
    <x v="3"/>
    <s v="Personnel"/>
    <s v="H "/>
    <x v="1"/>
    <x v="4"/>
    <s v="PSES High Prog21Act25 S275"/>
    <x v="1"/>
    <s v="25"/>
    <m/>
    <n v="25"/>
    <s v="   "/>
    <n v="3.9E-2"/>
    <n v="0.22459999999999999"/>
    <n v="8.9999999999999993E-3"/>
    <x v="4"/>
  </r>
  <r>
    <s v="02250"/>
    <x v="3"/>
    <s v="Personnel"/>
    <s v="H "/>
    <x v="1"/>
    <x v="5"/>
    <s v="PSES High Prog01Act25 S275"/>
    <x v="0"/>
    <s v="25"/>
    <m/>
    <n v="25"/>
    <s v="   "/>
    <n v="0.69199999999999995"/>
    <n v="0.22459999999999999"/>
    <n v="0"/>
    <x v="4"/>
  </r>
  <r>
    <s v="02250"/>
    <x v="3"/>
    <s v="Personnel"/>
    <s v="E "/>
    <x v="0"/>
    <x v="7"/>
    <s v="PSES Elem Prog21Act26 S275"/>
    <x v="1"/>
    <s v="26"/>
    <m/>
    <n v="26"/>
    <s v="   "/>
    <n v="0.496"/>
    <n v="0.22459999999999999"/>
    <n v="0.111"/>
    <x v="6"/>
  </r>
  <r>
    <s v="02250"/>
    <x v="3"/>
    <s v="Personnel"/>
    <s v="H "/>
    <x v="1"/>
    <x v="9"/>
    <s v="PSES High Prog01Act26 S275"/>
    <x v="0"/>
    <s v="26"/>
    <m/>
    <n v="26"/>
    <s v="   "/>
    <n v="3.0310000000000001"/>
    <n v="0.22459999999999999"/>
    <n v="0"/>
    <x v="7"/>
  </r>
  <r>
    <s v="02250"/>
    <x v="3"/>
    <s v="Personnel"/>
    <s v="H "/>
    <x v="1"/>
    <x v="16"/>
    <s v="PSES High Prog01Duty42 S275"/>
    <x v="0"/>
    <s v="42"/>
    <n v="42"/>
    <m/>
    <s v="   "/>
    <n v="1.5"/>
    <n v="0.22459999999999999"/>
    <n v="0"/>
    <x v="13"/>
  </r>
  <r>
    <s v="02250"/>
    <x v="3"/>
    <s v="Personnel"/>
    <s v="M "/>
    <x v="2"/>
    <x v="17"/>
    <s v="PSES Mid Prog01Duty42 S275"/>
    <x v="0"/>
    <s v="42"/>
    <n v="42"/>
    <m/>
    <s v="   "/>
    <n v="0.6"/>
    <n v="0.22459999999999999"/>
    <n v="0"/>
    <x v="14"/>
  </r>
  <r>
    <s v="02250"/>
    <x v="3"/>
    <s v="Personnel"/>
    <s v="E "/>
    <x v="0"/>
    <x v="18"/>
    <s v="PSES Elem Prog21Duty43 S275"/>
    <x v="1"/>
    <s v="43"/>
    <n v="43"/>
    <m/>
    <s v="   "/>
    <n v="1.857"/>
    <n v="0.22459999999999999"/>
    <n v="0.41699999999999998"/>
    <x v="15"/>
  </r>
  <r>
    <s v="02250"/>
    <x v="3"/>
    <s v="Personnel"/>
    <s v="H "/>
    <x v="1"/>
    <x v="19"/>
    <s v="PSES High Prog21Duty43 S275"/>
    <x v="1"/>
    <s v="43"/>
    <n v="43"/>
    <m/>
    <s v="   "/>
    <n v="8.3000000000000004E-2"/>
    <n v="0.22459999999999999"/>
    <n v="1.9E-2"/>
    <x v="16"/>
  </r>
  <r>
    <s v="02250"/>
    <x v="3"/>
    <s v="Personnel"/>
    <s v="E "/>
    <x v="0"/>
    <x v="20"/>
    <s v="PSES Elem Prog21Duty45 S275"/>
    <x v="1"/>
    <s v="45"/>
    <n v="45"/>
    <m/>
    <s v="   "/>
    <n v="3.581"/>
    <n v="0.22459999999999999"/>
    <n v="0.80400000000000005"/>
    <x v="17"/>
  </r>
  <r>
    <s v="02250"/>
    <x v="3"/>
    <s v="Personnel"/>
    <s v="E "/>
    <x v="0"/>
    <x v="22"/>
    <s v="PSES Elem Prog21Duty46 S275"/>
    <x v="1"/>
    <s v="46"/>
    <n v="46"/>
    <m/>
    <s v="   "/>
    <n v="2.012"/>
    <n v="0.22459999999999999"/>
    <n v="0.45200000000000001"/>
    <x v="19"/>
  </r>
  <r>
    <s v="02250"/>
    <x v="3"/>
    <s v="Personnel"/>
    <s v="H "/>
    <x v="1"/>
    <x v="23"/>
    <s v="PSES High Prog21Duty46 S275"/>
    <x v="1"/>
    <s v="46"/>
    <n v="46"/>
    <m/>
    <s v="   "/>
    <n v="0.70099999999999996"/>
    <n v="0.22459999999999999"/>
    <n v="0.157"/>
    <x v="20"/>
  </r>
  <r>
    <s v="02250"/>
    <x v="3"/>
    <s v="Personnel"/>
    <s v="M "/>
    <x v="2"/>
    <x v="24"/>
    <s v="PSES Mid Prog21Duty46 S275"/>
    <x v="1"/>
    <s v="46"/>
    <n v="46"/>
    <m/>
    <s v="   "/>
    <n v="0.28699999999999998"/>
    <n v="0.22459999999999999"/>
    <n v="6.4000000000000001E-2"/>
    <x v="21"/>
  </r>
  <r>
    <s v="02250"/>
    <x v="3"/>
    <s v="Personnel"/>
    <s v="E "/>
    <x v="0"/>
    <x v="27"/>
    <s v="PSES Elem Prog01Duty47 S275"/>
    <x v="0"/>
    <s v="47"/>
    <n v="47"/>
    <m/>
    <s v="   "/>
    <n v="1"/>
    <n v="0.22459999999999999"/>
    <n v="0"/>
    <x v="24"/>
  </r>
  <r>
    <s v="02420"/>
    <x v="4"/>
    <s v="Personnel"/>
    <s v="E "/>
    <x v="0"/>
    <x v="3"/>
    <s v="PSES Elem Prog01Act25 S275"/>
    <x v="0"/>
    <s v="25"/>
    <m/>
    <n v="25"/>
    <s v="   "/>
    <n v="1.319"/>
    <n v="0.21659999999999999"/>
    <n v="0"/>
    <x v="3"/>
  </r>
  <r>
    <s v="02420"/>
    <x v="4"/>
    <s v="Personnel"/>
    <s v="H "/>
    <x v="1"/>
    <x v="5"/>
    <s v="PSES High Prog01Act25 S275"/>
    <x v="0"/>
    <s v="25"/>
    <m/>
    <n v="25"/>
    <s v="   "/>
    <n v="7.5999999999999998E-2"/>
    <n v="0.21659999999999999"/>
    <n v="0"/>
    <x v="4"/>
  </r>
  <r>
    <s v="02420"/>
    <x v="4"/>
    <s v="Personnel"/>
    <s v="M "/>
    <x v="2"/>
    <x v="6"/>
    <s v="PSES Mid Prog01Act25 S275"/>
    <x v="0"/>
    <s v="25"/>
    <m/>
    <n v="25"/>
    <s v="   "/>
    <n v="2E-3"/>
    <n v="0.21659999999999999"/>
    <n v="0"/>
    <x v="5"/>
  </r>
  <r>
    <s v="02420"/>
    <x v="4"/>
    <s v="Personnel"/>
    <s v="E "/>
    <x v="0"/>
    <x v="15"/>
    <s v="PSES Elem Prog01Duty42 S275"/>
    <x v="0"/>
    <s v="42"/>
    <n v="42"/>
    <m/>
    <s v="   "/>
    <n v="0.499"/>
    <n v="0.21659999999999999"/>
    <n v="0"/>
    <x v="12"/>
  </r>
  <r>
    <s v="02420"/>
    <x v="4"/>
    <s v="Personnel"/>
    <s v="H "/>
    <x v="1"/>
    <x v="16"/>
    <s v="PSES High Prog01Duty42 S275"/>
    <x v="0"/>
    <s v="42"/>
    <n v="42"/>
    <m/>
    <s v="   "/>
    <n v="0.8"/>
    <n v="0.21659999999999999"/>
    <n v="0"/>
    <x v="13"/>
  </r>
  <r>
    <s v="02420"/>
    <x v="4"/>
    <s v="Personnel"/>
    <s v="M "/>
    <x v="2"/>
    <x v="17"/>
    <s v="PSES Mid Prog01Duty42 S275"/>
    <x v="0"/>
    <s v="42"/>
    <n v="42"/>
    <m/>
    <s v="   "/>
    <n v="0.2"/>
    <n v="0.21659999999999999"/>
    <n v="0"/>
    <x v="14"/>
  </r>
  <r>
    <s v="02420"/>
    <x v="4"/>
    <s v="Personnel"/>
    <s v="E "/>
    <x v="0"/>
    <x v="20"/>
    <s v="PSES Elem Prog21Duty45 S275"/>
    <x v="1"/>
    <s v="45"/>
    <n v="45"/>
    <m/>
    <s v="   "/>
    <n v="0.60799999999999998"/>
    <n v="0.21659999999999999"/>
    <n v="0.13200000000000001"/>
    <x v="17"/>
  </r>
  <r>
    <s v="02420"/>
    <x v="4"/>
    <s v="Personnel"/>
    <s v="H "/>
    <x v="1"/>
    <x v="21"/>
    <s v="PSES High Prog21Duty45 S275"/>
    <x v="1"/>
    <s v="45"/>
    <n v="45"/>
    <m/>
    <s v="   "/>
    <n v="5.6000000000000001E-2"/>
    <n v="0.21659999999999999"/>
    <n v="1.2E-2"/>
    <x v="18"/>
  </r>
  <r>
    <s v="02420"/>
    <x v="4"/>
    <s v="Personnel"/>
    <s v="M "/>
    <x v="2"/>
    <x v="28"/>
    <s v="PSES Mid Prog21Duty45 S275"/>
    <x v="1"/>
    <s v="45"/>
    <n v="45"/>
    <m/>
    <s v="   "/>
    <n v="0.13600000000000001"/>
    <n v="0.21659999999999999"/>
    <n v="2.9000000000000001E-2"/>
    <x v="25"/>
  </r>
  <r>
    <s v="02420"/>
    <x v="4"/>
    <s v="Personnel"/>
    <s v="E "/>
    <x v="0"/>
    <x v="22"/>
    <s v="PSES Elem Prog21Duty46 S275"/>
    <x v="1"/>
    <s v="46"/>
    <n v="46"/>
    <m/>
    <s v="   "/>
    <n v="0.16700000000000001"/>
    <n v="0.21659999999999999"/>
    <n v="3.5999999999999997E-2"/>
    <x v="19"/>
  </r>
  <r>
    <s v="02420"/>
    <x v="4"/>
    <s v="Personnel"/>
    <s v="H "/>
    <x v="1"/>
    <x v="23"/>
    <s v="PSES High Prog21Duty46 S275"/>
    <x v="1"/>
    <s v="46"/>
    <n v="46"/>
    <m/>
    <s v="   "/>
    <n v="0.16700000000000001"/>
    <n v="0.21659999999999999"/>
    <n v="3.5999999999999997E-2"/>
    <x v="20"/>
  </r>
  <r>
    <s v="02420"/>
    <x v="4"/>
    <s v="Personnel"/>
    <s v="M "/>
    <x v="2"/>
    <x v="24"/>
    <s v="PSES Mid Prog21Duty46 S275"/>
    <x v="1"/>
    <s v="46"/>
    <n v="46"/>
    <m/>
    <s v="   "/>
    <n v="0.16700000000000001"/>
    <n v="0.21659999999999999"/>
    <n v="3.5999999999999997E-2"/>
    <x v="21"/>
  </r>
  <r>
    <s v="03017"/>
    <x v="5"/>
    <s v="Personnel"/>
    <s v="H "/>
    <x v="1"/>
    <x v="1"/>
    <s v="PSES High Prog01Duty96 S275"/>
    <x v="0"/>
    <s v="24"/>
    <n v="96"/>
    <n v="24"/>
    <s v="   "/>
    <n v="2.3610000000000002"/>
    <n v="0.30080000000000001"/>
    <n v="0"/>
    <x v="1"/>
  </r>
  <r>
    <s v="03017"/>
    <x v="5"/>
    <s v="Personnel"/>
    <s v="H "/>
    <x v="1"/>
    <x v="4"/>
    <s v="PSES High Prog21Act25 S275"/>
    <x v="1"/>
    <s v="25"/>
    <m/>
    <n v="25"/>
    <s v="   "/>
    <n v="6.077"/>
    <n v="0.30080000000000001"/>
    <n v="1.8280000000000001"/>
    <x v="4"/>
  </r>
  <r>
    <s v="03017"/>
    <x v="5"/>
    <s v="Personnel"/>
    <s v="H "/>
    <x v="1"/>
    <x v="5"/>
    <s v="PSES High Prog01Act25 S275"/>
    <x v="0"/>
    <s v="25"/>
    <m/>
    <n v="25"/>
    <s v="   "/>
    <n v="31.879000000000001"/>
    <n v="0.30080000000000001"/>
    <n v="0"/>
    <x v="4"/>
  </r>
  <r>
    <s v="03017"/>
    <x v="5"/>
    <s v="Personnel"/>
    <s v="H "/>
    <x v="1"/>
    <x v="29"/>
    <s v="PSES High Prog21Act26 S275"/>
    <x v="1"/>
    <s v="26"/>
    <m/>
    <n v="26"/>
    <s v="   "/>
    <n v="5.7409999999999997"/>
    <n v="0.30080000000000001"/>
    <n v="1.7270000000000001"/>
    <x v="7"/>
  </r>
  <r>
    <s v="03017"/>
    <x v="5"/>
    <s v="Personnel"/>
    <s v="H "/>
    <x v="1"/>
    <x v="9"/>
    <s v="PSES High Prog01Act26 S275"/>
    <x v="0"/>
    <s v="26"/>
    <m/>
    <n v="26"/>
    <s v="   "/>
    <n v="4.2389999999999999"/>
    <n v="0.30080000000000001"/>
    <n v="0"/>
    <x v="7"/>
  </r>
  <r>
    <s v="03017"/>
    <x v="5"/>
    <s v="Personnel"/>
    <s v="E "/>
    <x v="0"/>
    <x v="30"/>
    <s v="PSES Elem Prog97Act35 S275"/>
    <x v="2"/>
    <s v="35"/>
    <m/>
    <n v="35"/>
    <s v="   "/>
    <n v="1.2"/>
    <n v="0.30080000000000001"/>
    <n v="0"/>
    <x v="26"/>
  </r>
  <r>
    <s v="03017"/>
    <x v="5"/>
    <s v="Personnel"/>
    <s v="H "/>
    <x v="1"/>
    <x v="12"/>
    <s v="PSES High Prog97Act35 S275"/>
    <x v="2"/>
    <s v="35"/>
    <m/>
    <n v="35"/>
    <s v="   "/>
    <n v="10.901"/>
    <n v="0.30080000000000001"/>
    <n v="0"/>
    <x v="9"/>
  </r>
  <r>
    <s v="03017"/>
    <x v="5"/>
    <s v="Personnel"/>
    <s v="M "/>
    <x v="2"/>
    <x v="13"/>
    <s v="PSES Mid Prog97Act35 S275"/>
    <x v="2"/>
    <s v="35"/>
    <m/>
    <n v="35"/>
    <s v="   "/>
    <n v="2.4350000000000001"/>
    <n v="0.30080000000000001"/>
    <n v="0"/>
    <x v="10"/>
  </r>
  <r>
    <s v="03017"/>
    <x v="5"/>
    <s v="Personnel"/>
    <s v="E "/>
    <x v="0"/>
    <x v="15"/>
    <s v="PSES Elem Prog01Duty42 S275"/>
    <x v="0"/>
    <s v="42"/>
    <n v="42"/>
    <m/>
    <s v="   "/>
    <n v="20.2"/>
    <n v="0.30080000000000001"/>
    <n v="0"/>
    <x v="12"/>
  </r>
  <r>
    <s v="03017"/>
    <x v="5"/>
    <s v="Personnel"/>
    <s v="H "/>
    <x v="1"/>
    <x v="16"/>
    <s v="PSES High Prog01Duty42 S275"/>
    <x v="0"/>
    <s v="42"/>
    <n v="42"/>
    <m/>
    <s v="   "/>
    <n v="11.894"/>
    <n v="0.30080000000000001"/>
    <n v="0"/>
    <x v="13"/>
  </r>
  <r>
    <s v="03017"/>
    <x v="5"/>
    <s v="Personnel"/>
    <s v="M "/>
    <x v="2"/>
    <x v="17"/>
    <s v="PSES Mid Prog01Duty42 S275"/>
    <x v="0"/>
    <s v="42"/>
    <n v="42"/>
    <m/>
    <s v="   "/>
    <n v="6.8"/>
    <n v="0.30080000000000001"/>
    <n v="0"/>
    <x v="14"/>
  </r>
  <r>
    <s v="03017"/>
    <x v="5"/>
    <s v="Personnel"/>
    <s v="E "/>
    <x v="0"/>
    <x v="18"/>
    <s v="PSES Elem Prog21Duty43 S275"/>
    <x v="1"/>
    <s v="43"/>
    <n v="43"/>
    <m/>
    <s v="   "/>
    <n v="2.754"/>
    <n v="0.30080000000000001"/>
    <n v="0.82799999999999996"/>
    <x v="15"/>
  </r>
  <r>
    <s v="03017"/>
    <x v="5"/>
    <s v="Personnel"/>
    <s v="H "/>
    <x v="1"/>
    <x v="19"/>
    <s v="PSES High Prog21Duty43 S275"/>
    <x v="1"/>
    <s v="43"/>
    <n v="43"/>
    <m/>
    <s v="   "/>
    <n v="0.24"/>
    <n v="0.30080000000000001"/>
    <n v="7.1999999999999995E-2"/>
    <x v="16"/>
  </r>
  <r>
    <s v="03017"/>
    <x v="5"/>
    <s v="Personnel"/>
    <s v="M "/>
    <x v="2"/>
    <x v="31"/>
    <s v="PSES Mid Prog21Duty43 S275"/>
    <x v="1"/>
    <s v="43"/>
    <n v="43"/>
    <m/>
    <s v="   "/>
    <n v="0.126"/>
    <n v="0.30080000000000001"/>
    <n v="3.7999999999999999E-2"/>
    <x v="27"/>
  </r>
  <r>
    <s v="03017"/>
    <x v="5"/>
    <s v="Personnel"/>
    <s v="E "/>
    <x v="0"/>
    <x v="20"/>
    <s v="PSES Elem Prog21Duty45 S275"/>
    <x v="1"/>
    <s v="45"/>
    <n v="45"/>
    <m/>
    <s v="   "/>
    <n v="16.623999999999999"/>
    <n v="0.30080000000000001"/>
    <n v="5"/>
    <x v="17"/>
  </r>
  <r>
    <s v="03017"/>
    <x v="5"/>
    <s v="Personnel"/>
    <s v="H "/>
    <x v="1"/>
    <x v="21"/>
    <s v="PSES High Prog21Duty45 S275"/>
    <x v="1"/>
    <s v="45"/>
    <n v="45"/>
    <m/>
    <s v="   "/>
    <n v="1.7"/>
    <n v="0.30080000000000001"/>
    <n v="0.51100000000000001"/>
    <x v="18"/>
  </r>
  <r>
    <s v="03017"/>
    <x v="5"/>
    <s v="Personnel"/>
    <s v="M "/>
    <x v="2"/>
    <x v="28"/>
    <s v="PSES Mid Prog21Duty45 S275"/>
    <x v="1"/>
    <s v="45"/>
    <n v="45"/>
    <m/>
    <s v="   "/>
    <n v="1.3819999999999999"/>
    <n v="0.30080000000000001"/>
    <n v="0.41599999999999998"/>
    <x v="25"/>
  </r>
  <r>
    <s v="03017"/>
    <x v="5"/>
    <s v="Personnel"/>
    <s v="E "/>
    <x v="0"/>
    <x v="22"/>
    <s v="PSES Elem Prog21Duty46 S275"/>
    <x v="1"/>
    <s v="46"/>
    <n v="46"/>
    <m/>
    <s v="   "/>
    <n v="6.8739999999999997"/>
    <n v="0.30080000000000001"/>
    <n v="2.0680000000000001"/>
    <x v="19"/>
  </r>
  <r>
    <s v="03017"/>
    <x v="5"/>
    <s v="Personnel"/>
    <s v="H "/>
    <x v="1"/>
    <x v="23"/>
    <s v="PSES High Prog21Duty46 S275"/>
    <x v="1"/>
    <s v="46"/>
    <n v="46"/>
    <m/>
    <s v="   "/>
    <n v="3.75"/>
    <n v="0.30080000000000001"/>
    <n v="1.1279999999999999"/>
    <x v="20"/>
  </r>
  <r>
    <s v="03017"/>
    <x v="5"/>
    <s v="Personnel"/>
    <s v="M "/>
    <x v="2"/>
    <x v="24"/>
    <s v="PSES Mid Prog21Duty46 S275"/>
    <x v="1"/>
    <s v="46"/>
    <n v="46"/>
    <m/>
    <s v="   "/>
    <n v="2.4460000000000002"/>
    <n v="0.30080000000000001"/>
    <n v="0.73599999999999999"/>
    <x v="21"/>
  </r>
  <r>
    <s v="03017"/>
    <x v="5"/>
    <s v="Personnel"/>
    <s v="E "/>
    <x v="0"/>
    <x v="32"/>
    <s v="PSES Elem Prog21Duty47 S275"/>
    <x v="1"/>
    <s v="47"/>
    <n v="47"/>
    <m/>
    <s v="   "/>
    <n v="0.05"/>
    <n v="0.30080000000000001"/>
    <n v="1.4999999999999999E-2"/>
    <x v="24"/>
  </r>
  <r>
    <s v="03017"/>
    <x v="5"/>
    <s v="Personnel"/>
    <s v="E "/>
    <x v="0"/>
    <x v="27"/>
    <s v="PSES Elem Prog01Duty47 S275"/>
    <x v="0"/>
    <s v="47"/>
    <n v="47"/>
    <m/>
    <s v="   "/>
    <n v="8.0860000000000003"/>
    <n v="0.30080000000000001"/>
    <n v="0"/>
    <x v="24"/>
  </r>
  <r>
    <s v="03017"/>
    <x v="5"/>
    <s v="Personnel"/>
    <s v="H "/>
    <x v="1"/>
    <x v="25"/>
    <s v="PSES High Prog01Duty47 S275"/>
    <x v="0"/>
    <s v="47"/>
    <n v="47"/>
    <m/>
    <s v="   "/>
    <n v="3.35"/>
    <n v="0.30080000000000001"/>
    <n v="0"/>
    <x v="22"/>
  </r>
  <r>
    <s v="03017"/>
    <x v="5"/>
    <s v="Personnel"/>
    <s v="M "/>
    <x v="2"/>
    <x v="33"/>
    <s v="PSES Mid Prog21Duty47 S275"/>
    <x v="1"/>
    <s v="47"/>
    <n v="47"/>
    <m/>
    <s v="   "/>
    <n v="0.1"/>
    <n v="0.30080000000000001"/>
    <n v="0.03"/>
    <x v="28"/>
  </r>
  <r>
    <s v="03017"/>
    <x v="5"/>
    <s v="Personnel"/>
    <s v="M "/>
    <x v="2"/>
    <x v="34"/>
    <s v="PSES Mid Prog01Duty47 S275"/>
    <x v="0"/>
    <s v="47"/>
    <n v="47"/>
    <m/>
    <s v="   "/>
    <n v="7.0140000000000002"/>
    <n v="0.30080000000000001"/>
    <n v="0"/>
    <x v="28"/>
  </r>
  <r>
    <s v="03017"/>
    <x v="5"/>
    <s v="Personnel"/>
    <s v="E "/>
    <x v="0"/>
    <x v="35"/>
    <s v="PSES Elem Prog21Duty48 S275"/>
    <x v="1"/>
    <s v="48"/>
    <n v="48"/>
    <m/>
    <s v="   "/>
    <n v="2.4700000000000002"/>
    <n v="0.30080000000000001"/>
    <n v="0.74299999999999999"/>
    <x v="29"/>
  </r>
  <r>
    <s v="03017"/>
    <x v="5"/>
    <s v="Personnel"/>
    <s v="H "/>
    <x v="1"/>
    <x v="36"/>
    <s v="PSES High Prog21Duty48 S275"/>
    <x v="1"/>
    <s v="48"/>
    <n v="48"/>
    <m/>
    <s v="   "/>
    <n v="0.2"/>
    <n v="0.30080000000000001"/>
    <n v="0.06"/>
    <x v="30"/>
  </r>
  <r>
    <s v="03017"/>
    <x v="5"/>
    <s v="Personnel"/>
    <s v="M "/>
    <x v="2"/>
    <x v="37"/>
    <s v="PSES Mid Prog21Duty48 S275"/>
    <x v="1"/>
    <s v="48"/>
    <n v="48"/>
    <m/>
    <s v="   "/>
    <n v="0.05"/>
    <n v="0.30080000000000001"/>
    <n v="1.4999999999999999E-2"/>
    <x v="31"/>
  </r>
  <r>
    <s v="03050"/>
    <x v="6"/>
    <s v="Personnel"/>
    <s v="E "/>
    <x v="0"/>
    <x v="38"/>
    <s v="PSES Elem Prog21Duty64 S275"/>
    <x v="1"/>
    <s v="64"/>
    <n v="64"/>
    <m/>
    <s v="   "/>
    <n v="0.5"/>
    <n v="8.4199999999999997E-2"/>
    <n v="4.2000000000000003E-2"/>
    <x v="32"/>
  </r>
  <r>
    <s v="03050"/>
    <x v="6"/>
    <s v="Personnel"/>
    <s v="E "/>
    <x v="0"/>
    <x v="39"/>
    <s v="PSES Elem Prog01Duty64 S275"/>
    <x v="0"/>
    <s v="64"/>
    <n v="64"/>
    <m/>
    <s v="   "/>
    <n v="0.5"/>
    <n v="8.4199999999999997E-2"/>
    <n v="0"/>
    <x v="32"/>
  </r>
  <r>
    <s v="03052"/>
    <x v="7"/>
    <s v="Personnel"/>
    <s v="H "/>
    <x v="1"/>
    <x v="5"/>
    <s v="PSES High Prog01Act25 S275"/>
    <x v="0"/>
    <s v="25"/>
    <m/>
    <n v="25"/>
    <s v="   "/>
    <n v="4.1239999999999997"/>
    <n v="0.21010000000000001"/>
    <n v="0"/>
    <x v="4"/>
  </r>
  <r>
    <s v="03052"/>
    <x v="7"/>
    <s v="Personnel"/>
    <s v="H "/>
    <x v="1"/>
    <x v="29"/>
    <s v="PSES High Prog21Act26 S275"/>
    <x v="1"/>
    <s v="26"/>
    <m/>
    <n v="26"/>
    <s v="   "/>
    <n v="1.2190000000000001"/>
    <n v="0.21010000000000001"/>
    <n v="0.25600000000000001"/>
    <x v="7"/>
  </r>
  <r>
    <s v="03052"/>
    <x v="7"/>
    <s v="Personnel"/>
    <s v="H "/>
    <x v="1"/>
    <x v="9"/>
    <s v="PSES High Prog01Act26 S275"/>
    <x v="0"/>
    <s v="26"/>
    <m/>
    <n v="26"/>
    <s v="   "/>
    <n v="0.54800000000000004"/>
    <n v="0.21010000000000001"/>
    <n v="0"/>
    <x v="7"/>
  </r>
  <r>
    <s v="03052"/>
    <x v="7"/>
    <s v="Personnel"/>
    <s v="E "/>
    <x v="0"/>
    <x v="15"/>
    <s v="PSES Elem Prog01Duty42 S275"/>
    <x v="0"/>
    <s v="42"/>
    <n v="42"/>
    <m/>
    <s v="   "/>
    <n v="1"/>
    <n v="0.21010000000000001"/>
    <n v="0"/>
    <x v="12"/>
  </r>
  <r>
    <s v="03052"/>
    <x v="7"/>
    <s v="Personnel"/>
    <s v="H "/>
    <x v="1"/>
    <x v="16"/>
    <s v="PSES High Prog01Duty42 S275"/>
    <x v="0"/>
    <s v="42"/>
    <n v="42"/>
    <m/>
    <s v="   "/>
    <n v="1.5069999999999999"/>
    <n v="0.21010000000000001"/>
    <n v="0"/>
    <x v="13"/>
  </r>
  <r>
    <s v="03052"/>
    <x v="7"/>
    <s v="Personnel"/>
    <s v="E "/>
    <x v="0"/>
    <x v="18"/>
    <s v="PSES Elem Prog21Duty43 S275"/>
    <x v="1"/>
    <s v="43"/>
    <n v="43"/>
    <m/>
    <s v="   "/>
    <n v="0.4"/>
    <n v="0.21010000000000001"/>
    <n v="8.4000000000000005E-2"/>
    <x v="15"/>
  </r>
  <r>
    <s v="03052"/>
    <x v="7"/>
    <s v="Personnel"/>
    <s v="E "/>
    <x v="0"/>
    <x v="22"/>
    <s v="PSES Elem Prog21Duty46 S275"/>
    <x v="1"/>
    <s v="46"/>
    <n v="46"/>
    <m/>
    <s v="   "/>
    <n v="0.47499999999999998"/>
    <n v="0.21010000000000001"/>
    <n v="0.1"/>
    <x v="19"/>
  </r>
  <r>
    <s v="03052"/>
    <x v="7"/>
    <s v="Personnel"/>
    <s v="H "/>
    <x v="1"/>
    <x v="23"/>
    <s v="PSES High Prog21Duty46 S275"/>
    <x v="1"/>
    <s v="46"/>
    <n v="46"/>
    <m/>
    <s v="   "/>
    <n v="0.20200000000000001"/>
    <n v="0.21010000000000001"/>
    <n v="4.2000000000000003E-2"/>
    <x v="20"/>
  </r>
  <r>
    <s v="03052"/>
    <x v="7"/>
    <s v="Personnel"/>
    <s v="M "/>
    <x v="2"/>
    <x v="24"/>
    <s v="PSES Mid Prog21Duty46 S275"/>
    <x v="1"/>
    <s v="46"/>
    <n v="46"/>
    <m/>
    <s v="   "/>
    <n v="0.32300000000000001"/>
    <n v="0.21010000000000001"/>
    <n v="6.8000000000000005E-2"/>
    <x v="21"/>
  </r>
  <r>
    <s v="03053"/>
    <x v="8"/>
    <s v="Personnel"/>
    <s v="E "/>
    <x v="0"/>
    <x v="3"/>
    <s v="PSES Elem Prog01Act25 S275"/>
    <x v="0"/>
    <s v="25"/>
    <m/>
    <n v="25"/>
    <s v="   "/>
    <n v="0.94099999999999995"/>
    <n v="0.27039999999999997"/>
    <n v="0"/>
    <x v="3"/>
  </r>
  <r>
    <s v="03053"/>
    <x v="8"/>
    <s v="Personnel"/>
    <s v="H "/>
    <x v="1"/>
    <x v="5"/>
    <s v="PSES High Prog01Act25 S275"/>
    <x v="0"/>
    <s v="25"/>
    <m/>
    <n v="25"/>
    <s v="   "/>
    <n v="0.36799999999999999"/>
    <n v="0.27039999999999997"/>
    <n v="0"/>
    <x v="4"/>
  </r>
  <r>
    <s v="03053"/>
    <x v="8"/>
    <s v="Personnel"/>
    <s v="M "/>
    <x v="2"/>
    <x v="6"/>
    <s v="PSES Mid Prog01Act25 S275"/>
    <x v="0"/>
    <s v="25"/>
    <m/>
    <n v="25"/>
    <s v="   "/>
    <n v="0.27500000000000002"/>
    <n v="0.27039999999999997"/>
    <n v="0"/>
    <x v="5"/>
  </r>
  <r>
    <s v="03053"/>
    <x v="8"/>
    <s v="Personnel"/>
    <s v="E "/>
    <x v="0"/>
    <x v="8"/>
    <s v="PSES Elem Prog01Act26 S275"/>
    <x v="0"/>
    <s v="26"/>
    <m/>
    <n v="26"/>
    <s v="   "/>
    <n v="0.41299999999999998"/>
    <n v="0.27039999999999997"/>
    <n v="0"/>
    <x v="6"/>
  </r>
  <r>
    <s v="03053"/>
    <x v="8"/>
    <s v="Personnel"/>
    <s v="E "/>
    <x v="0"/>
    <x v="15"/>
    <s v="PSES Elem Prog01Duty42 S275"/>
    <x v="0"/>
    <s v="42"/>
    <n v="42"/>
    <m/>
    <s v="   "/>
    <n v="0.4"/>
    <n v="0.27039999999999997"/>
    <n v="0"/>
    <x v="12"/>
  </r>
  <r>
    <s v="03053"/>
    <x v="8"/>
    <s v="Personnel"/>
    <s v="H "/>
    <x v="1"/>
    <x v="16"/>
    <s v="PSES High Prog01Duty42 S275"/>
    <x v="0"/>
    <s v="42"/>
    <n v="42"/>
    <m/>
    <s v="   "/>
    <n v="0.8"/>
    <n v="0.27039999999999997"/>
    <n v="0"/>
    <x v="13"/>
  </r>
  <r>
    <s v="03053"/>
    <x v="8"/>
    <s v="Personnel"/>
    <s v="M "/>
    <x v="2"/>
    <x v="17"/>
    <s v="PSES Mid Prog01Duty42 S275"/>
    <x v="0"/>
    <s v="42"/>
    <n v="42"/>
    <m/>
    <s v="   "/>
    <n v="0.4"/>
    <n v="0.27039999999999997"/>
    <n v="0"/>
    <x v="14"/>
  </r>
  <r>
    <s v="03053"/>
    <x v="8"/>
    <s v="Personnel"/>
    <s v="E "/>
    <x v="0"/>
    <x v="20"/>
    <s v="PSES Elem Prog21Duty45 S275"/>
    <x v="1"/>
    <s v="45"/>
    <n v="45"/>
    <m/>
    <s v="   "/>
    <n v="1"/>
    <n v="0.27039999999999997"/>
    <n v="0.27"/>
    <x v="17"/>
  </r>
  <r>
    <s v="03053"/>
    <x v="8"/>
    <s v="Personnel"/>
    <s v="E "/>
    <x v="0"/>
    <x v="22"/>
    <s v="PSES Elem Prog21Duty46 S275"/>
    <x v="1"/>
    <s v="46"/>
    <n v="46"/>
    <m/>
    <s v="   "/>
    <n v="1"/>
    <n v="0.27039999999999997"/>
    <n v="0.27"/>
    <x v="19"/>
  </r>
  <r>
    <s v="03116"/>
    <x v="9"/>
    <s v="Personnel"/>
    <s v="E "/>
    <x v="0"/>
    <x v="3"/>
    <s v="PSES Elem Prog01Act25 S275"/>
    <x v="0"/>
    <s v="25"/>
    <m/>
    <n v="25"/>
    <s v="   "/>
    <n v="7.3999999999999996E-2"/>
    <n v="0.28079999999999999"/>
    <n v="0"/>
    <x v="3"/>
  </r>
  <r>
    <s v="03116"/>
    <x v="9"/>
    <s v="Personnel"/>
    <s v="H "/>
    <x v="1"/>
    <x v="5"/>
    <s v="PSES High Prog01Act25 S275"/>
    <x v="0"/>
    <s v="25"/>
    <m/>
    <n v="25"/>
    <s v="   "/>
    <n v="7.532"/>
    <n v="0.28079999999999999"/>
    <n v="0"/>
    <x v="4"/>
  </r>
  <r>
    <s v="03116"/>
    <x v="9"/>
    <s v="Personnel"/>
    <s v="E "/>
    <x v="0"/>
    <x v="7"/>
    <s v="PSES Elem Prog21Act26 S275"/>
    <x v="1"/>
    <s v="26"/>
    <m/>
    <n v="26"/>
    <s v="   "/>
    <n v="0.60599999999999998"/>
    <n v="0.28079999999999999"/>
    <n v="0.17"/>
    <x v="6"/>
  </r>
  <r>
    <s v="03116"/>
    <x v="9"/>
    <s v="Personnel"/>
    <s v="E "/>
    <x v="0"/>
    <x v="8"/>
    <s v="PSES Elem Prog01Act26 S275"/>
    <x v="0"/>
    <s v="26"/>
    <m/>
    <n v="26"/>
    <s v="   "/>
    <n v="0.63900000000000001"/>
    <n v="0.28079999999999999"/>
    <n v="0"/>
    <x v="6"/>
  </r>
  <r>
    <s v="03116"/>
    <x v="9"/>
    <s v="Personnel"/>
    <s v="H "/>
    <x v="1"/>
    <x v="29"/>
    <s v="PSES High Prog21Act26 S275"/>
    <x v="1"/>
    <s v="26"/>
    <m/>
    <n v="26"/>
    <s v="   "/>
    <n v="1.246"/>
    <n v="0.28079999999999999"/>
    <n v="0.35"/>
    <x v="7"/>
  </r>
  <r>
    <s v="03116"/>
    <x v="9"/>
    <s v="Personnel"/>
    <s v="H "/>
    <x v="1"/>
    <x v="9"/>
    <s v="PSES High Prog01Act26 S275"/>
    <x v="0"/>
    <s v="26"/>
    <m/>
    <n v="26"/>
    <s v="   "/>
    <n v="3.2559999999999998"/>
    <n v="0.28079999999999999"/>
    <n v="0"/>
    <x v="7"/>
  </r>
  <r>
    <s v="03116"/>
    <x v="9"/>
    <s v="Personnel"/>
    <s v="E "/>
    <x v="0"/>
    <x v="15"/>
    <s v="PSES Elem Prog01Duty42 S275"/>
    <x v="0"/>
    <s v="42"/>
    <n v="42"/>
    <m/>
    <s v="   "/>
    <n v="3"/>
    <n v="0.28079999999999999"/>
    <n v="0"/>
    <x v="12"/>
  </r>
  <r>
    <s v="03116"/>
    <x v="9"/>
    <s v="Personnel"/>
    <s v="H "/>
    <x v="1"/>
    <x v="16"/>
    <s v="PSES High Prog01Duty42 S275"/>
    <x v="0"/>
    <s v="42"/>
    <n v="42"/>
    <m/>
    <s v="   "/>
    <n v="1.52"/>
    <n v="0.28079999999999999"/>
    <n v="0"/>
    <x v="13"/>
  </r>
  <r>
    <s v="03116"/>
    <x v="9"/>
    <s v="Personnel"/>
    <s v="M "/>
    <x v="2"/>
    <x v="17"/>
    <s v="PSES Mid Prog01Duty42 S275"/>
    <x v="0"/>
    <s v="42"/>
    <n v="42"/>
    <m/>
    <s v="   "/>
    <n v="2"/>
    <n v="0.28079999999999999"/>
    <n v="0"/>
    <x v="14"/>
  </r>
  <r>
    <s v="03116"/>
    <x v="9"/>
    <s v="Personnel"/>
    <s v="H "/>
    <x v="1"/>
    <x v="19"/>
    <s v="PSES High Prog21Duty43 S275"/>
    <x v="1"/>
    <s v="43"/>
    <n v="43"/>
    <m/>
    <s v="   "/>
    <n v="1"/>
    <n v="0.28079999999999999"/>
    <n v="0.28100000000000003"/>
    <x v="16"/>
  </r>
  <r>
    <s v="03116"/>
    <x v="9"/>
    <s v="Personnel"/>
    <s v="E "/>
    <x v="0"/>
    <x v="20"/>
    <s v="PSES Elem Prog21Duty45 S275"/>
    <x v="1"/>
    <s v="45"/>
    <n v="45"/>
    <m/>
    <s v="   "/>
    <n v="1.04"/>
    <n v="0.28079999999999999"/>
    <n v="0.29199999999999998"/>
    <x v="17"/>
  </r>
  <r>
    <s v="03116"/>
    <x v="9"/>
    <s v="Personnel"/>
    <s v="H "/>
    <x v="1"/>
    <x v="21"/>
    <s v="PSES High Prog21Duty45 S275"/>
    <x v="1"/>
    <s v="45"/>
    <n v="45"/>
    <m/>
    <s v="   "/>
    <n v="1.1599999999999999"/>
    <n v="0.28079999999999999"/>
    <n v="0.32600000000000001"/>
    <x v="18"/>
  </r>
  <r>
    <s v="03116"/>
    <x v="9"/>
    <s v="Personnel"/>
    <s v="M "/>
    <x v="2"/>
    <x v="28"/>
    <s v="PSES Mid Prog21Duty45 S275"/>
    <x v="1"/>
    <s v="45"/>
    <n v="45"/>
    <m/>
    <s v="   "/>
    <n v="0.8"/>
    <n v="0.28079999999999999"/>
    <n v="0.22500000000000001"/>
    <x v="25"/>
  </r>
  <r>
    <s v="03116"/>
    <x v="9"/>
    <s v="Personnel"/>
    <s v="E "/>
    <x v="0"/>
    <x v="35"/>
    <s v="PSES Elem Prog21Duty48 S275"/>
    <x v="1"/>
    <s v="48"/>
    <n v="48"/>
    <m/>
    <s v="   "/>
    <n v="0.34399999999999997"/>
    <n v="0.28079999999999999"/>
    <n v="9.7000000000000003E-2"/>
    <x v="29"/>
  </r>
  <r>
    <s v="03116"/>
    <x v="9"/>
    <s v="Personnel"/>
    <s v="H "/>
    <x v="1"/>
    <x v="36"/>
    <s v="PSES High Prog21Duty48 S275"/>
    <x v="1"/>
    <s v="48"/>
    <n v="48"/>
    <m/>
    <s v="   "/>
    <n v="0.31"/>
    <n v="0.28079999999999999"/>
    <n v="8.6999999999999994E-2"/>
    <x v="30"/>
  </r>
  <r>
    <s v="03116"/>
    <x v="9"/>
    <s v="Personnel"/>
    <s v="M "/>
    <x v="2"/>
    <x v="37"/>
    <s v="PSES Mid Prog21Duty48 S275"/>
    <x v="1"/>
    <s v="48"/>
    <n v="48"/>
    <m/>
    <s v="   "/>
    <n v="0.20599999999999999"/>
    <n v="0.28079999999999999"/>
    <n v="5.8000000000000003E-2"/>
    <x v="31"/>
  </r>
  <r>
    <s v="03400"/>
    <x v="10"/>
    <s v="Personnel"/>
    <s v="H "/>
    <x v="1"/>
    <x v="4"/>
    <s v="PSES High Prog21Act25 S275"/>
    <x v="1"/>
    <s v="25"/>
    <m/>
    <n v="25"/>
    <s v="   "/>
    <n v="6.8129999999999997"/>
    <n v="0.26869999999999999"/>
    <n v="1.831"/>
    <x v="4"/>
  </r>
  <r>
    <s v="03400"/>
    <x v="10"/>
    <s v="Personnel"/>
    <s v="H "/>
    <x v="1"/>
    <x v="5"/>
    <s v="PSES High Prog01Act25 S275"/>
    <x v="0"/>
    <s v="25"/>
    <m/>
    <n v="25"/>
    <s v="   "/>
    <n v="3.645"/>
    <n v="0.26869999999999999"/>
    <n v="0"/>
    <x v="4"/>
  </r>
  <r>
    <s v="03400"/>
    <x v="10"/>
    <s v="Personnel"/>
    <s v="H "/>
    <x v="1"/>
    <x v="29"/>
    <s v="PSES High Prog21Act26 S275"/>
    <x v="1"/>
    <s v="26"/>
    <m/>
    <n v="26"/>
    <s v="   "/>
    <n v="5.6"/>
    <n v="0.26869999999999999"/>
    <n v="1.5049999999999999"/>
    <x v="7"/>
  </r>
  <r>
    <s v="03400"/>
    <x v="10"/>
    <s v="Personnel"/>
    <s v="H "/>
    <x v="1"/>
    <x v="9"/>
    <s v="PSES High Prog01Act26 S275"/>
    <x v="0"/>
    <s v="26"/>
    <m/>
    <n v="26"/>
    <s v="   "/>
    <n v="8.9109999999999996"/>
    <n v="0.26869999999999999"/>
    <n v="0"/>
    <x v="7"/>
  </r>
  <r>
    <s v="03400"/>
    <x v="10"/>
    <s v="Personnel"/>
    <s v="E "/>
    <x v="0"/>
    <x v="14"/>
    <s v="PSES Elem Prog21Duty39 S275"/>
    <x v="1"/>
    <s v="39"/>
    <n v="39"/>
    <m/>
    <s v="   "/>
    <n v="1"/>
    <n v="0.26869999999999999"/>
    <n v="0.26900000000000002"/>
    <x v="11"/>
  </r>
  <r>
    <s v="03400"/>
    <x v="10"/>
    <s v="Personnel"/>
    <s v="E "/>
    <x v="0"/>
    <x v="40"/>
    <s v="PSES Elem Prog01Duty39 S275"/>
    <x v="0"/>
    <s v="39"/>
    <n v="39"/>
    <m/>
    <s v="   "/>
    <n v="1"/>
    <n v="0.26869999999999999"/>
    <n v="0"/>
    <x v="11"/>
  </r>
  <r>
    <s v="03400"/>
    <x v="10"/>
    <s v="Personnel"/>
    <s v="E "/>
    <x v="0"/>
    <x v="15"/>
    <s v="PSES Elem Prog01Duty42 S275"/>
    <x v="0"/>
    <s v="42"/>
    <n v="42"/>
    <m/>
    <s v="   "/>
    <n v="11.445"/>
    <n v="0.26869999999999999"/>
    <n v="0"/>
    <x v="12"/>
  </r>
  <r>
    <s v="03400"/>
    <x v="10"/>
    <s v="Personnel"/>
    <s v="H "/>
    <x v="1"/>
    <x v="16"/>
    <s v="PSES High Prog01Duty42 S275"/>
    <x v="0"/>
    <s v="42"/>
    <n v="42"/>
    <m/>
    <s v="   "/>
    <n v="15"/>
    <n v="0.26869999999999999"/>
    <n v="0"/>
    <x v="13"/>
  </r>
  <r>
    <s v="03400"/>
    <x v="10"/>
    <s v="Personnel"/>
    <s v="M "/>
    <x v="2"/>
    <x v="17"/>
    <s v="PSES Mid Prog01Duty42 S275"/>
    <x v="0"/>
    <s v="42"/>
    <n v="42"/>
    <m/>
    <s v="   "/>
    <n v="9.8000000000000007"/>
    <n v="0.26869999999999999"/>
    <n v="0"/>
    <x v="14"/>
  </r>
  <r>
    <s v="03400"/>
    <x v="10"/>
    <s v="Personnel"/>
    <s v="E "/>
    <x v="0"/>
    <x v="18"/>
    <s v="PSES Elem Prog21Duty43 S275"/>
    <x v="1"/>
    <s v="43"/>
    <n v="43"/>
    <m/>
    <s v="   "/>
    <n v="8.2129999999999992"/>
    <n v="0.26869999999999999"/>
    <n v="2.2069999999999999"/>
    <x v="15"/>
  </r>
  <r>
    <s v="03400"/>
    <x v="10"/>
    <s v="Personnel"/>
    <s v="E "/>
    <x v="0"/>
    <x v="41"/>
    <s v="PSES Elem Prog21Duty44 S275"/>
    <x v="1"/>
    <s v="44"/>
    <n v="44"/>
    <m/>
    <s v="   "/>
    <n v="0.5"/>
    <n v="0.26869999999999999"/>
    <n v="0.13400000000000001"/>
    <x v="33"/>
  </r>
  <r>
    <s v="03400"/>
    <x v="10"/>
    <s v="Personnel"/>
    <s v="E "/>
    <x v="0"/>
    <x v="42"/>
    <s v="PSES Elem Prog01Duty44 S275"/>
    <x v="0"/>
    <s v="44"/>
    <n v="44"/>
    <m/>
    <s v="   "/>
    <n v="0.5"/>
    <n v="0.26869999999999999"/>
    <n v="0"/>
    <x v="33"/>
  </r>
  <r>
    <s v="03400"/>
    <x v="10"/>
    <s v="Personnel"/>
    <s v="H "/>
    <x v="1"/>
    <x v="43"/>
    <s v="PSES High Prog21Duty44 S275"/>
    <x v="1"/>
    <s v="44"/>
    <n v="44"/>
    <m/>
    <s v="   "/>
    <n v="0.5"/>
    <n v="0.26869999999999999"/>
    <n v="0.13400000000000001"/>
    <x v="34"/>
  </r>
  <r>
    <s v="03400"/>
    <x v="10"/>
    <s v="Personnel"/>
    <s v="H "/>
    <x v="1"/>
    <x v="44"/>
    <s v="PSES High Prog01Duty44 S275"/>
    <x v="0"/>
    <s v="44"/>
    <n v="44"/>
    <m/>
    <s v="   "/>
    <n v="2.5"/>
    <n v="0.26869999999999999"/>
    <n v="0"/>
    <x v="34"/>
  </r>
  <r>
    <s v="03400"/>
    <x v="10"/>
    <s v="Personnel"/>
    <s v="M "/>
    <x v="2"/>
    <x v="45"/>
    <s v="PSES Mid Prog21Duty44 S275"/>
    <x v="1"/>
    <s v="44"/>
    <n v="44"/>
    <m/>
    <s v="   "/>
    <n v="1"/>
    <n v="0.26869999999999999"/>
    <n v="0.26900000000000002"/>
    <x v="35"/>
  </r>
  <r>
    <s v="03400"/>
    <x v="10"/>
    <s v="Personnel"/>
    <s v="M "/>
    <x v="2"/>
    <x v="46"/>
    <s v="PSES Mid Prog01Duty44 S275"/>
    <x v="0"/>
    <s v="44"/>
    <n v="44"/>
    <m/>
    <s v="   "/>
    <n v="1"/>
    <n v="0.26869999999999999"/>
    <n v="0"/>
    <x v="35"/>
  </r>
  <r>
    <s v="03400"/>
    <x v="10"/>
    <s v="Personnel"/>
    <s v="E "/>
    <x v="0"/>
    <x v="20"/>
    <s v="PSES Elem Prog21Duty45 S275"/>
    <x v="1"/>
    <s v="45"/>
    <n v="45"/>
    <m/>
    <s v="   "/>
    <n v="16.8"/>
    <n v="0.26869999999999999"/>
    <n v="4.5140000000000002"/>
    <x v="17"/>
  </r>
  <r>
    <s v="03400"/>
    <x v="10"/>
    <s v="Personnel"/>
    <s v="E "/>
    <x v="0"/>
    <x v="47"/>
    <s v="PSES Elem Prog01Duty45 S275"/>
    <x v="0"/>
    <s v="45"/>
    <n v="45"/>
    <m/>
    <s v="   "/>
    <n v="1"/>
    <n v="0.26869999999999999"/>
    <n v="0"/>
    <x v="17"/>
  </r>
  <r>
    <s v="03400"/>
    <x v="10"/>
    <s v="Personnel"/>
    <s v="H "/>
    <x v="1"/>
    <x v="21"/>
    <s v="PSES High Prog21Duty45 S275"/>
    <x v="1"/>
    <s v="45"/>
    <n v="45"/>
    <m/>
    <s v="   "/>
    <n v="2"/>
    <n v="0.26869999999999999"/>
    <n v="0.53700000000000003"/>
    <x v="18"/>
  </r>
  <r>
    <s v="03400"/>
    <x v="10"/>
    <s v="Personnel"/>
    <s v="M "/>
    <x v="2"/>
    <x v="28"/>
    <s v="PSES Mid Prog21Duty45 S275"/>
    <x v="1"/>
    <s v="45"/>
    <n v="45"/>
    <m/>
    <s v="   "/>
    <n v="1.8"/>
    <n v="0.26869999999999999"/>
    <n v="0.48399999999999999"/>
    <x v="25"/>
  </r>
  <r>
    <s v="03400"/>
    <x v="10"/>
    <s v="Personnel"/>
    <s v="E "/>
    <x v="0"/>
    <x v="22"/>
    <s v="PSES Elem Prog21Duty46 S275"/>
    <x v="1"/>
    <s v="46"/>
    <n v="46"/>
    <m/>
    <s v="   "/>
    <n v="7.9"/>
    <n v="0.26869999999999999"/>
    <n v="2.1230000000000002"/>
    <x v="19"/>
  </r>
  <r>
    <s v="03400"/>
    <x v="10"/>
    <s v="Personnel"/>
    <s v="E "/>
    <x v="0"/>
    <x v="48"/>
    <s v="PSES Elem Prog01Duty46 S275"/>
    <x v="0"/>
    <s v="46"/>
    <n v="46"/>
    <m/>
    <s v="   "/>
    <n v="4.9000000000000004"/>
    <n v="0.26869999999999999"/>
    <n v="0"/>
    <x v="19"/>
  </r>
  <r>
    <s v="03400"/>
    <x v="10"/>
    <s v="Personnel"/>
    <s v="H "/>
    <x v="1"/>
    <x v="23"/>
    <s v="PSES High Prog21Duty46 S275"/>
    <x v="1"/>
    <s v="46"/>
    <n v="46"/>
    <m/>
    <s v="   "/>
    <n v="4"/>
    <n v="0.26869999999999999"/>
    <n v="1.075"/>
    <x v="20"/>
  </r>
  <r>
    <s v="03400"/>
    <x v="10"/>
    <s v="Personnel"/>
    <s v="M "/>
    <x v="2"/>
    <x v="24"/>
    <s v="PSES Mid Prog21Duty46 S275"/>
    <x v="1"/>
    <s v="46"/>
    <n v="46"/>
    <m/>
    <s v="   "/>
    <n v="2.5"/>
    <n v="0.26869999999999999"/>
    <n v="0.67200000000000004"/>
    <x v="21"/>
  </r>
  <r>
    <s v="03400"/>
    <x v="10"/>
    <s v="Personnel"/>
    <s v="M "/>
    <x v="2"/>
    <x v="49"/>
    <s v="PSES Mid Prog01Duty46 S275"/>
    <x v="0"/>
    <s v="46"/>
    <n v="46"/>
    <m/>
    <s v="   "/>
    <n v="0.5"/>
    <n v="0.26869999999999999"/>
    <n v="0"/>
    <x v="21"/>
  </r>
  <r>
    <s v="03400"/>
    <x v="10"/>
    <s v="Personnel"/>
    <s v="E "/>
    <x v="0"/>
    <x v="27"/>
    <s v="PSES Elem Prog01Duty47 S275"/>
    <x v="0"/>
    <s v="47"/>
    <n v="47"/>
    <m/>
    <s v="   "/>
    <n v="9.6"/>
    <n v="0.26869999999999999"/>
    <n v="0"/>
    <x v="24"/>
  </r>
  <r>
    <s v="03400"/>
    <x v="10"/>
    <s v="Personnel"/>
    <s v="H "/>
    <x v="1"/>
    <x v="25"/>
    <s v="PSES High Prog01Duty47 S275"/>
    <x v="0"/>
    <s v="47"/>
    <n v="47"/>
    <m/>
    <s v="   "/>
    <n v="3"/>
    <n v="0.26869999999999999"/>
    <n v="0"/>
    <x v="22"/>
  </r>
  <r>
    <s v="03400"/>
    <x v="10"/>
    <s v="Personnel"/>
    <s v="M "/>
    <x v="2"/>
    <x v="34"/>
    <s v="PSES Mid Prog01Duty47 S275"/>
    <x v="0"/>
    <s v="47"/>
    <n v="47"/>
    <m/>
    <s v="   "/>
    <n v="3"/>
    <n v="0.26869999999999999"/>
    <n v="0"/>
    <x v="28"/>
  </r>
  <r>
    <s v="03400"/>
    <x v="10"/>
    <s v="Personnel"/>
    <s v="E "/>
    <x v="0"/>
    <x v="35"/>
    <s v="PSES Elem Prog21Duty48 S275"/>
    <x v="1"/>
    <s v="48"/>
    <n v="48"/>
    <m/>
    <s v="   "/>
    <n v="4"/>
    <n v="0.26869999999999999"/>
    <n v="1.075"/>
    <x v="29"/>
  </r>
  <r>
    <s v="03400"/>
    <x v="10"/>
    <s v="Personnel"/>
    <s v="M "/>
    <x v="2"/>
    <x v="50"/>
    <s v="PSES Mid Prog21Duty49 S275"/>
    <x v="1"/>
    <s v="49"/>
    <n v="49"/>
    <m/>
    <s v="   "/>
    <n v="1"/>
    <n v="0.26869999999999999"/>
    <n v="0.26900000000000002"/>
    <x v="36"/>
  </r>
  <r>
    <s v="04019"/>
    <x v="11"/>
    <s v="Personnel"/>
    <s v="H "/>
    <x v="1"/>
    <x v="5"/>
    <s v="PSES High Prog01Act25 S275"/>
    <x v="0"/>
    <s v="25"/>
    <m/>
    <n v="25"/>
    <s v="   "/>
    <n v="0.92700000000000005"/>
    <n v="0.1913"/>
    <n v="0"/>
    <x v="4"/>
  </r>
  <r>
    <s v="04019"/>
    <x v="11"/>
    <s v="Personnel"/>
    <s v="H "/>
    <x v="1"/>
    <x v="9"/>
    <s v="PSES High Prog01Act26 S275"/>
    <x v="0"/>
    <s v="26"/>
    <m/>
    <n v="26"/>
    <s v="   "/>
    <n v="0.67900000000000005"/>
    <n v="0.1913"/>
    <n v="0"/>
    <x v="7"/>
  </r>
  <r>
    <s v="04019"/>
    <x v="11"/>
    <s v="Personnel"/>
    <s v="E "/>
    <x v="0"/>
    <x v="15"/>
    <s v="PSES Elem Prog01Duty42 S275"/>
    <x v="0"/>
    <s v="42"/>
    <n v="42"/>
    <m/>
    <s v="   "/>
    <n v="0.8"/>
    <n v="0.1913"/>
    <n v="0"/>
    <x v="12"/>
  </r>
  <r>
    <s v="04019"/>
    <x v="11"/>
    <s v="Personnel"/>
    <s v="H "/>
    <x v="1"/>
    <x v="16"/>
    <s v="PSES High Prog01Duty42 S275"/>
    <x v="0"/>
    <s v="42"/>
    <n v="42"/>
    <m/>
    <s v="   "/>
    <n v="0.3"/>
    <n v="0.1913"/>
    <n v="0"/>
    <x v="13"/>
  </r>
  <r>
    <s v="04019"/>
    <x v="11"/>
    <s v="Personnel"/>
    <s v="M "/>
    <x v="2"/>
    <x v="17"/>
    <s v="PSES Mid Prog01Duty42 S275"/>
    <x v="0"/>
    <s v="42"/>
    <n v="42"/>
    <m/>
    <s v="   "/>
    <n v="0.43"/>
    <n v="0.1913"/>
    <n v="0"/>
    <x v="14"/>
  </r>
  <r>
    <s v="04019"/>
    <x v="11"/>
    <s v="Personnel"/>
    <s v="E "/>
    <x v="0"/>
    <x v="47"/>
    <s v="PSES Elem Prog01Duty45 S275"/>
    <x v="0"/>
    <s v="45"/>
    <n v="45"/>
    <m/>
    <s v="   "/>
    <n v="0.7"/>
    <n v="0.1913"/>
    <n v="0"/>
    <x v="17"/>
  </r>
  <r>
    <s v="04019"/>
    <x v="11"/>
    <s v="Personnel"/>
    <s v="H "/>
    <x v="1"/>
    <x v="51"/>
    <s v="PSES High Prog01Duty45 S275"/>
    <x v="0"/>
    <s v="45"/>
    <n v="45"/>
    <m/>
    <s v="   "/>
    <n v="7.0000000000000007E-2"/>
    <n v="0.1913"/>
    <n v="0"/>
    <x v="18"/>
  </r>
  <r>
    <s v="04019"/>
    <x v="11"/>
    <s v="Personnel"/>
    <s v="M "/>
    <x v="2"/>
    <x v="52"/>
    <s v="PSES Mid Prog01Duty45 S275"/>
    <x v="0"/>
    <s v="45"/>
    <n v="45"/>
    <m/>
    <s v="   "/>
    <n v="0.23"/>
    <n v="0.1913"/>
    <n v="0"/>
    <x v="25"/>
  </r>
  <r>
    <s v="04127"/>
    <x v="12"/>
    <s v="Personnel"/>
    <s v="E "/>
    <x v="0"/>
    <x v="3"/>
    <s v="PSES Elem Prog01Act25 S275"/>
    <x v="0"/>
    <s v="25"/>
    <m/>
    <n v="25"/>
    <s v="   "/>
    <n v="0.17199999999999999"/>
    <n v="0.1913"/>
    <n v="0"/>
    <x v="3"/>
  </r>
  <r>
    <s v="04127"/>
    <x v="12"/>
    <s v="Personnel"/>
    <s v="H "/>
    <x v="1"/>
    <x v="5"/>
    <s v="PSES High Prog01Act25 S275"/>
    <x v="0"/>
    <s v="25"/>
    <m/>
    <n v="25"/>
    <s v="   "/>
    <n v="1.1779999999999999"/>
    <n v="0.1913"/>
    <n v="0"/>
    <x v="4"/>
  </r>
  <r>
    <s v="04127"/>
    <x v="12"/>
    <s v="Personnel"/>
    <s v="E "/>
    <x v="0"/>
    <x v="15"/>
    <s v="PSES Elem Prog01Duty42 S275"/>
    <x v="0"/>
    <s v="42"/>
    <n v="42"/>
    <m/>
    <s v="   "/>
    <n v="0.5"/>
    <n v="0.1913"/>
    <n v="0"/>
    <x v="12"/>
  </r>
  <r>
    <s v="04127"/>
    <x v="12"/>
    <s v="Personnel"/>
    <s v="H "/>
    <x v="1"/>
    <x v="16"/>
    <s v="PSES High Prog01Duty42 S275"/>
    <x v="0"/>
    <s v="42"/>
    <n v="42"/>
    <m/>
    <s v="   "/>
    <n v="0.3"/>
    <n v="0.1913"/>
    <n v="0"/>
    <x v="13"/>
  </r>
  <r>
    <s v="04127"/>
    <x v="12"/>
    <s v="Personnel"/>
    <s v="M "/>
    <x v="2"/>
    <x v="17"/>
    <s v="PSES Mid Prog01Duty42 S275"/>
    <x v="0"/>
    <s v="42"/>
    <n v="42"/>
    <m/>
    <s v="   "/>
    <n v="0.2"/>
    <n v="0.1913"/>
    <n v="0"/>
    <x v="14"/>
  </r>
  <r>
    <s v="04129"/>
    <x v="13"/>
    <s v="Personnel"/>
    <s v="E "/>
    <x v="0"/>
    <x v="3"/>
    <s v="PSES Elem Prog01Act25 S275"/>
    <x v="0"/>
    <s v="25"/>
    <m/>
    <n v="25"/>
    <s v="   "/>
    <n v="0.82799999999999996"/>
    <n v="0.15359999999999999"/>
    <n v="0"/>
    <x v="3"/>
  </r>
  <r>
    <s v="04129"/>
    <x v="13"/>
    <s v="Personnel"/>
    <s v="H "/>
    <x v="1"/>
    <x v="53"/>
    <s v="PSES High Prog97Act25 S275"/>
    <x v="2"/>
    <s v="25"/>
    <m/>
    <n v="25"/>
    <s v="   "/>
    <n v="0.14699999999999999"/>
    <n v="0.15359999999999999"/>
    <n v="0"/>
    <x v="4"/>
  </r>
  <r>
    <s v="04129"/>
    <x v="13"/>
    <s v="Personnel"/>
    <s v="H "/>
    <x v="1"/>
    <x v="5"/>
    <s v="PSES High Prog01Act25 S275"/>
    <x v="0"/>
    <s v="25"/>
    <m/>
    <n v="25"/>
    <s v="   "/>
    <n v="0.84799999999999998"/>
    <n v="0.15359999999999999"/>
    <n v="0"/>
    <x v="4"/>
  </r>
  <r>
    <s v="04129"/>
    <x v="13"/>
    <s v="Personnel"/>
    <s v="M "/>
    <x v="2"/>
    <x v="6"/>
    <s v="PSES Mid Prog01Act25 S275"/>
    <x v="0"/>
    <s v="25"/>
    <m/>
    <n v="25"/>
    <s v="   "/>
    <n v="6.2E-2"/>
    <n v="0.15359999999999999"/>
    <n v="0"/>
    <x v="5"/>
  </r>
  <r>
    <s v="04129"/>
    <x v="13"/>
    <s v="Personnel"/>
    <s v="E "/>
    <x v="0"/>
    <x v="8"/>
    <s v="PSES Elem Prog01Act26 S275"/>
    <x v="0"/>
    <s v="26"/>
    <m/>
    <n v="26"/>
    <s v="   "/>
    <n v="0.72699999999999998"/>
    <n v="0.15359999999999999"/>
    <n v="0"/>
    <x v="6"/>
  </r>
  <r>
    <s v="04129"/>
    <x v="13"/>
    <s v="Personnel"/>
    <s v="H "/>
    <x v="1"/>
    <x v="9"/>
    <s v="PSES High Prog01Act26 S275"/>
    <x v="0"/>
    <s v="26"/>
    <m/>
    <n v="26"/>
    <s v="   "/>
    <n v="0.46400000000000002"/>
    <n v="0.15359999999999999"/>
    <n v="0"/>
    <x v="7"/>
  </r>
  <r>
    <s v="04129"/>
    <x v="13"/>
    <s v="Personnel"/>
    <s v="M "/>
    <x v="2"/>
    <x v="11"/>
    <s v="PSES Mid Prog01Act26 S275"/>
    <x v="0"/>
    <s v="26"/>
    <m/>
    <n v="26"/>
    <s v="   "/>
    <n v="0.10299999999999999"/>
    <n v="0.15359999999999999"/>
    <n v="0"/>
    <x v="8"/>
  </r>
  <r>
    <s v="04129"/>
    <x v="13"/>
    <s v="Personnel"/>
    <s v="E "/>
    <x v="0"/>
    <x v="15"/>
    <s v="PSES Elem Prog01Duty42 S275"/>
    <x v="0"/>
    <s v="42"/>
    <n v="42"/>
    <m/>
    <s v="   "/>
    <n v="1.33"/>
    <n v="0.15359999999999999"/>
    <n v="0"/>
    <x v="12"/>
  </r>
  <r>
    <s v="04129"/>
    <x v="13"/>
    <s v="Personnel"/>
    <s v="H "/>
    <x v="1"/>
    <x v="16"/>
    <s v="PSES High Prog01Duty42 S275"/>
    <x v="0"/>
    <s v="42"/>
    <n v="42"/>
    <m/>
    <s v="   "/>
    <n v="0.61"/>
    <n v="0.15359999999999999"/>
    <n v="0"/>
    <x v="13"/>
  </r>
  <r>
    <s v="04129"/>
    <x v="13"/>
    <s v="Personnel"/>
    <s v="M "/>
    <x v="2"/>
    <x v="17"/>
    <s v="PSES Mid Prog01Duty42 S275"/>
    <x v="0"/>
    <s v="42"/>
    <n v="42"/>
    <m/>
    <s v="   "/>
    <n v="0.67"/>
    <n v="0.15359999999999999"/>
    <n v="0"/>
    <x v="14"/>
  </r>
  <r>
    <s v="04129"/>
    <x v="13"/>
    <s v="Personnel"/>
    <s v="E "/>
    <x v="0"/>
    <x v="18"/>
    <s v="PSES Elem Prog21Duty43 S275"/>
    <x v="1"/>
    <s v="43"/>
    <n v="43"/>
    <m/>
    <s v="   "/>
    <n v="0.25"/>
    <n v="0.15359999999999999"/>
    <n v="3.7999999999999999E-2"/>
    <x v="15"/>
  </r>
  <r>
    <s v="04129"/>
    <x v="13"/>
    <s v="Personnel"/>
    <s v="H "/>
    <x v="1"/>
    <x v="19"/>
    <s v="PSES High Prog21Duty43 S275"/>
    <x v="1"/>
    <s v="43"/>
    <n v="43"/>
    <m/>
    <s v="   "/>
    <n v="0.15"/>
    <n v="0.15359999999999999"/>
    <n v="2.3E-2"/>
    <x v="16"/>
  </r>
  <r>
    <s v="04129"/>
    <x v="13"/>
    <s v="Personnel"/>
    <s v="M "/>
    <x v="2"/>
    <x v="31"/>
    <s v="PSES Mid Prog21Duty43 S275"/>
    <x v="1"/>
    <s v="43"/>
    <n v="43"/>
    <m/>
    <s v="   "/>
    <n v="0.32"/>
    <n v="0.15359999999999999"/>
    <n v="4.9000000000000002E-2"/>
    <x v="27"/>
  </r>
  <r>
    <s v="04129"/>
    <x v="13"/>
    <s v="Personnel"/>
    <s v="E "/>
    <x v="0"/>
    <x v="20"/>
    <s v="PSES Elem Prog21Duty45 S275"/>
    <x v="1"/>
    <s v="45"/>
    <n v="45"/>
    <m/>
    <s v="   "/>
    <n v="0.63300000000000001"/>
    <n v="0.15359999999999999"/>
    <n v="9.7000000000000003E-2"/>
    <x v="17"/>
  </r>
  <r>
    <s v="04129"/>
    <x v="13"/>
    <s v="Personnel"/>
    <s v="E "/>
    <x v="0"/>
    <x v="22"/>
    <s v="PSES Elem Prog21Duty46 S275"/>
    <x v="1"/>
    <s v="46"/>
    <n v="46"/>
    <m/>
    <s v="   "/>
    <n v="0.4"/>
    <n v="0.15359999999999999"/>
    <n v="6.0999999999999999E-2"/>
    <x v="19"/>
  </r>
  <r>
    <s v="04129"/>
    <x v="13"/>
    <s v="Personnel"/>
    <s v="H "/>
    <x v="1"/>
    <x v="23"/>
    <s v="PSES High Prog21Duty46 S275"/>
    <x v="1"/>
    <s v="46"/>
    <n v="46"/>
    <m/>
    <s v="   "/>
    <n v="0.6"/>
    <n v="0.15359999999999999"/>
    <n v="9.1999999999999998E-2"/>
    <x v="20"/>
  </r>
  <r>
    <s v="04222"/>
    <x v="14"/>
    <s v="Personnel"/>
    <s v="H "/>
    <x v="1"/>
    <x v="5"/>
    <s v="PSES High Prog01Act25 S275"/>
    <x v="0"/>
    <s v="25"/>
    <m/>
    <n v="25"/>
    <s v="   "/>
    <n v="0.17499999999999999"/>
    <n v="0.15129999999999999"/>
    <n v="0"/>
    <x v="4"/>
  </r>
  <r>
    <s v="04222"/>
    <x v="14"/>
    <s v="Personnel"/>
    <s v="E "/>
    <x v="0"/>
    <x v="7"/>
    <s v="PSES Elem Prog21Act26 S275"/>
    <x v="1"/>
    <s v="26"/>
    <m/>
    <n v="26"/>
    <s v="   "/>
    <n v="0.33"/>
    <n v="0.15129999999999999"/>
    <n v="0.05"/>
    <x v="6"/>
  </r>
  <r>
    <s v="04222"/>
    <x v="14"/>
    <s v="Personnel"/>
    <s v="E "/>
    <x v="0"/>
    <x v="8"/>
    <s v="PSES Elem Prog01Act26 S275"/>
    <x v="0"/>
    <s v="26"/>
    <m/>
    <n v="26"/>
    <s v="   "/>
    <n v="0.754"/>
    <n v="0.15129999999999999"/>
    <n v="0"/>
    <x v="6"/>
  </r>
  <r>
    <s v="04222"/>
    <x v="14"/>
    <s v="Personnel"/>
    <s v="H "/>
    <x v="1"/>
    <x v="29"/>
    <s v="PSES High Prog21Act26 S275"/>
    <x v="1"/>
    <s v="26"/>
    <m/>
    <n v="26"/>
    <s v="   "/>
    <n v="6.6000000000000003E-2"/>
    <n v="0.15129999999999999"/>
    <n v="0.01"/>
    <x v="7"/>
  </r>
  <r>
    <s v="04222"/>
    <x v="14"/>
    <s v="Personnel"/>
    <s v="M "/>
    <x v="2"/>
    <x v="10"/>
    <s v="PSES Mid Prog21Act26 S275"/>
    <x v="1"/>
    <s v="26"/>
    <m/>
    <n v="26"/>
    <s v="   "/>
    <n v="0.26400000000000001"/>
    <n v="0.15129999999999999"/>
    <n v="0.04"/>
    <x v="8"/>
  </r>
  <r>
    <s v="04222"/>
    <x v="14"/>
    <s v="Personnel"/>
    <s v="E "/>
    <x v="0"/>
    <x v="15"/>
    <s v="PSES Elem Prog01Duty42 S275"/>
    <x v="0"/>
    <s v="42"/>
    <n v="42"/>
    <m/>
    <s v="   "/>
    <n v="1.6379999999999999"/>
    <n v="0.15129999999999999"/>
    <n v="0"/>
    <x v="12"/>
  </r>
  <r>
    <s v="04222"/>
    <x v="14"/>
    <s v="Personnel"/>
    <s v="H "/>
    <x v="1"/>
    <x v="16"/>
    <s v="PSES High Prog01Duty42 S275"/>
    <x v="0"/>
    <s v="42"/>
    <n v="42"/>
    <m/>
    <s v="   "/>
    <n v="1.8"/>
    <n v="0.15129999999999999"/>
    <n v="0"/>
    <x v="13"/>
  </r>
  <r>
    <s v="04222"/>
    <x v="14"/>
    <s v="Personnel"/>
    <s v="M "/>
    <x v="2"/>
    <x v="17"/>
    <s v="PSES Mid Prog01Duty42 S275"/>
    <x v="0"/>
    <s v="42"/>
    <n v="42"/>
    <m/>
    <s v="   "/>
    <n v="0.7"/>
    <n v="0.15129999999999999"/>
    <n v="0"/>
    <x v="14"/>
  </r>
  <r>
    <s v="04222"/>
    <x v="14"/>
    <s v="Personnel"/>
    <s v="E "/>
    <x v="0"/>
    <x v="18"/>
    <s v="PSES Elem Prog21Duty43 S275"/>
    <x v="1"/>
    <s v="43"/>
    <n v="43"/>
    <m/>
    <s v="   "/>
    <n v="0.80600000000000005"/>
    <n v="0.15129999999999999"/>
    <n v="0.122"/>
    <x v="15"/>
  </r>
  <r>
    <s v="04222"/>
    <x v="14"/>
    <s v="Personnel"/>
    <s v="E "/>
    <x v="0"/>
    <x v="20"/>
    <s v="PSES Elem Prog21Duty45 S275"/>
    <x v="1"/>
    <s v="45"/>
    <n v="45"/>
    <m/>
    <s v="   "/>
    <n v="1.6220000000000001"/>
    <n v="0.15129999999999999"/>
    <n v="0.245"/>
    <x v="17"/>
  </r>
  <r>
    <s v="04222"/>
    <x v="14"/>
    <s v="Personnel"/>
    <s v="E "/>
    <x v="0"/>
    <x v="22"/>
    <s v="PSES Elem Prog21Duty46 S275"/>
    <x v="1"/>
    <s v="46"/>
    <n v="46"/>
    <m/>
    <s v="   "/>
    <n v="1"/>
    <n v="0.15129999999999999"/>
    <n v="0.151"/>
    <x v="19"/>
  </r>
  <r>
    <s v="04222"/>
    <x v="14"/>
    <s v="Personnel"/>
    <s v="E "/>
    <x v="0"/>
    <x v="35"/>
    <s v="PSES Elem Prog21Duty48 S275"/>
    <x v="1"/>
    <s v="48"/>
    <n v="48"/>
    <m/>
    <s v="   "/>
    <n v="0.8"/>
    <n v="0.15129999999999999"/>
    <n v="0.121"/>
    <x v="29"/>
  </r>
  <r>
    <s v="04228"/>
    <x v="15"/>
    <s v="Personnel"/>
    <s v="E "/>
    <x v="0"/>
    <x v="7"/>
    <s v="PSES Elem Prog21Act26 S275"/>
    <x v="1"/>
    <s v="26"/>
    <m/>
    <n v="26"/>
    <s v="   "/>
    <n v="0.128"/>
    <n v="0.1913"/>
    <n v="2.4E-2"/>
    <x v="6"/>
  </r>
  <r>
    <s v="04228"/>
    <x v="15"/>
    <s v="Personnel"/>
    <s v="E "/>
    <x v="0"/>
    <x v="8"/>
    <s v="PSES Elem Prog01Act26 S275"/>
    <x v="0"/>
    <s v="26"/>
    <m/>
    <n v="26"/>
    <s v="   "/>
    <n v="0.39200000000000002"/>
    <n v="0.1913"/>
    <n v="0"/>
    <x v="6"/>
  </r>
  <r>
    <s v="04228"/>
    <x v="15"/>
    <s v="Personnel"/>
    <s v="H "/>
    <x v="1"/>
    <x v="9"/>
    <s v="PSES High Prog01Act26 S275"/>
    <x v="0"/>
    <s v="26"/>
    <m/>
    <n v="26"/>
    <s v="   "/>
    <n v="0.20599999999999999"/>
    <n v="0.1913"/>
    <n v="0"/>
    <x v="7"/>
  </r>
  <r>
    <s v="04228"/>
    <x v="15"/>
    <s v="Personnel"/>
    <s v="M "/>
    <x v="2"/>
    <x v="11"/>
    <s v="PSES Mid Prog01Act26 S275"/>
    <x v="0"/>
    <s v="26"/>
    <m/>
    <n v="26"/>
    <s v="   "/>
    <n v="0.18099999999999999"/>
    <n v="0.1913"/>
    <n v="0"/>
    <x v="8"/>
  </r>
  <r>
    <s v="04228"/>
    <x v="15"/>
    <s v="Personnel"/>
    <s v="E "/>
    <x v="0"/>
    <x v="15"/>
    <s v="PSES Elem Prog01Duty42 S275"/>
    <x v="0"/>
    <s v="42"/>
    <n v="42"/>
    <m/>
    <s v="   "/>
    <n v="1.3169999999999999"/>
    <n v="0.1913"/>
    <n v="0"/>
    <x v="12"/>
  </r>
  <r>
    <s v="04228"/>
    <x v="15"/>
    <s v="Personnel"/>
    <s v="H "/>
    <x v="1"/>
    <x v="16"/>
    <s v="PSES High Prog01Duty42 S275"/>
    <x v="0"/>
    <s v="42"/>
    <n v="42"/>
    <m/>
    <s v="   "/>
    <n v="1"/>
    <n v="0.1913"/>
    <n v="0"/>
    <x v="13"/>
  </r>
  <r>
    <s v="04228"/>
    <x v="15"/>
    <s v="Personnel"/>
    <s v="M "/>
    <x v="2"/>
    <x v="17"/>
    <s v="PSES Mid Prog01Duty42 S275"/>
    <x v="0"/>
    <s v="42"/>
    <n v="42"/>
    <m/>
    <s v="   "/>
    <n v="0.63300000000000001"/>
    <n v="0.1913"/>
    <n v="0"/>
    <x v="14"/>
  </r>
  <r>
    <s v="04228"/>
    <x v="15"/>
    <s v="Personnel"/>
    <s v="E "/>
    <x v="0"/>
    <x v="22"/>
    <s v="PSES Elem Prog21Duty46 S275"/>
    <x v="1"/>
    <s v="46"/>
    <n v="46"/>
    <m/>
    <s v="   "/>
    <n v="0.49"/>
    <n v="0.1913"/>
    <n v="9.4E-2"/>
    <x v="19"/>
  </r>
  <r>
    <s v="04228"/>
    <x v="15"/>
    <s v="Personnel"/>
    <s v="H "/>
    <x v="1"/>
    <x v="23"/>
    <s v="PSES High Prog21Duty46 S275"/>
    <x v="1"/>
    <s v="46"/>
    <n v="46"/>
    <m/>
    <s v="   "/>
    <n v="0.22"/>
    <n v="0.1913"/>
    <n v="4.2000000000000003E-2"/>
    <x v="20"/>
  </r>
  <r>
    <s v="04228"/>
    <x v="15"/>
    <s v="Personnel"/>
    <s v="M "/>
    <x v="2"/>
    <x v="24"/>
    <s v="PSES Mid Prog21Duty46 S275"/>
    <x v="1"/>
    <s v="46"/>
    <n v="46"/>
    <m/>
    <s v="   "/>
    <n v="0.22"/>
    <n v="0.1913"/>
    <n v="4.2000000000000003E-2"/>
    <x v="21"/>
  </r>
  <r>
    <s v="04228"/>
    <x v="15"/>
    <s v="Personnel"/>
    <s v="E "/>
    <x v="0"/>
    <x v="35"/>
    <s v="PSES Elem Prog21Duty48 S275"/>
    <x v="1"/>
    <s v="48"/>
    <n v="48"/>
    <m/>
    <s v="   "/>
    <n v="0.8"/>
    <n v="0.1913"/>
    <n v="0.153"/>
    <x v="29"/>
  </r>
  <r>
    <s v="04246"/>
    <x v="16"/>
    <s v="Personnel"/>
    <s v="H "/>
    <x v="1"/>
    <x v="1"/>
    <s v="PSES High Prog01Duty96 S275"/>
    <x v="0"/>
    <s v="24"/>
    <n v="96"/>
    <n v="24"/>
    <s v="   "/>
    <n v="1.0229999999999999"/>
    <n v="0.17519999999999999"/>
    <n v="0"/>
    <x v="1"/>
  </r>
  <r>
    <s v="04246"/>
    <x v="16"/>
    <s v="Personnel"/>
    <s v="H "/>
    <x v="1"/>
    <x v="29"/>
    <s v="PSES High Prog21Act26 S275"/>
    <x v="1"/>
    <s v="26"/>
    <m/>
    <n v="26"/>
    <s v="   "/>
    <n v="1.3779999999999999"/>
    <n v="0.17519999999999999"/>
    <n v="0.24099999999999999"/>
    <x v="7"/>
  </r>
  <r>
    <s v="04246"/>
    <x v="16"/>
    <s v="Personnel"/>
    <s v="H "/>
    <x v="1"/>
    <x v="9"/>
    <s v="PSES High Prog01Act26 S275"/>
    <x v="0"/>
    <s v="26"/>
    <m/>
    <n v="26"/>
    <s v="   "/>
    <n v="0.36699999999999999"/>
    <n v="0.17519999999999999"/>
    <n v="0"/>
    <x v="7"/>
  </r>
  <r>
    <s v="04246"/>
    <x v="16"/>
    <s v="Personnel"/>
    <s v="H "/>
    <x v="1"/>
    <x v="54"/>
    <s v="PSES High Prog01Act35 S275"/>
    <x v="0"/>
    <s v="35"/>
    <m/>
    <n v="35"/>
    <s v="   "/>
    <n v="1.343"/>
    <n v="0.17519999999999999"/>
    <n v="0"/>
    <x v="9"/>
  </r>
  <r>
    <s v="04246"/>
    <x v="16"/>
    <s v="Personnel"/>
    <s v="E "/>
    <x v="0"/>
    <x v="15"/>
    <s v="PSES Elem Prog01Duty42 S275"/>
    <x v="0"/>
    <s v="42"/>
    <n v="42"/>
    <m/>
    <s v="   "/>
    <n v="6.6210000000000004"/>
    <n v="0.17519999999999999"/>
    <n v="0"/>
    <x v="12"/>
  </r>
  <r>
    <s v="04246"/>
    <x v="16"/>
    <s v="Personnel"/>
    <s v="H "/>
    <x v="1"/>
    <x v="16"/>
    <s v="PSES High Prog01Duty42 S275"/>
    <x v="0"/>
    <s v="42"/>
    <n v="42"/>
    <m/>
    <s v="   "/>
    <n v="3.597"/>
    <n v="0.17519999999999999"/>
    <n v="0"/>
    <x v="13"/>
  </r>
  <r>
    <s v="04246"/>
    <x v="16"/>
    <s v="Personnel"/>
    <s v="M "/>
    <x v="2"/>
    <x v="17"/>
    <s v="PSES Mid Prog01Duty42 S275"/>
    <x v="0"/>
    <s v="42"/>
    <n v="42"/>
    <m/>
    <s v="   "/>
    <n v="2.9020000000000001"/>
    <n v="0.17519999999999999"/>
    <n v="0"/>
    <x v="14"/>
  </r>
  <r>
    <s v="04246"/>
    <x v="16"/>
    <s v="Personnel"/>
    <s v="E "/>
    <x v="0"/>
    <x v="18"/>
    <s v="PSES Elem Prog21Duty43 S275"/>
    <x v="1"/>
    <s v="43"/>
    <n v="43"/>
    <m/>
    <s v="   "/>
    <n v="3.1"/>
    <n v="0.17519999999999999"/>
    <n v="0.54300000000000004"/>
    <x v="15"/>
  </r>
  <r>
    <s v="04246"/>
    <x v="16"/>
    <s v="Personnel"/>
    <s v="H "/>
    <x v="1"/>
    <x v="19"/>
    <s v="PSES High Prog21Duty43 S275"/>
    <x v="1"/>
    <s v="43"/>
    <n v="43"/>
    <m/>
    <s v="   "/>
    <n v="0.4"/>
    <n v="0.17519999999999999"/>
    <n v="7.0000000000000007E-2"/>
    <x v="16"/>
  </r>
  <r>
    <s v="04246"/>
    <x v="16"/>
    <s v="Personnel"/>
    <s v="M "/>
    <x v="2"/>
    <x v="31"/>
    <s v="PSES Mid Prog21Duty43 S275"/>
    <x v="1"/>
    <s v="43"/>
    <n v="43"/>
    <m/>
    <s v="   "/>
    <n v="0.5"/>
    <n v="0.17519999999999999"/>
    <n v="8.7999999999999995E-2"/>
    <x v="27"/>
  </r>
  <r>
    <s v="04246"/>
    <x v="16"/>
    <s v="Personnel"/>
    <s v="E "/>
    <x v="0"/>
    <x v="20"/>
    <s v="PSES Elem Prog21Duty45 S275"/>
    <x v="1"/>
    <s v="45"/>
    <n v="45"/>
    <m/>
    <s v="   "/>
    <n v="6.2930000000000001"/>
    <n v="0.17519999999999999"/>
    <n v="1.103"/>
    <x v="17"/>
  </r>
  <r>
    <s v="04246"/>
    <x v="16"/>
    <s v="Personnel"/>
    <s v="E "/>
    <x v="0"/>
    <x v="47"/>
    <s v="PSES Elem Prog01Duty45 S275"/>
    <x v="0"/>
    <s v="45"/>
    <n v="45"/>
    <m/>
    <s v="   "/>
    <n v="1"/>
    <n v="0.17519999999999999"/>
    <n v="0"/>
    <x v="17"/>
  </r>
  <r>
    <s v="04246"/>
    <x v="16"/>
    <s v="Personnel"/>
    <s v="H "/>
    <x v="1"/>
    <x v="21"/>
    <s v="PSES High Prog21Duty45 S275"/>
    <x v="1"/>
    <s v="45"/>
    <n v="45"/>
    <m/>
    <s v="   "/>
    <n v="1"/>
    <n v="0.17519999999999999"/>
    <n v="0.17499999999999999"/>
    <x v="18"/>
  </r>
  <r>
    <s v="04246"/>
    <x v="16"/>
    <s v="Personnel"/>
    <s v="M "/>
    <x v="2"/>
    <x v="28"/>
    <s v="PSES Mid Prog21Duty45 S275"/>
    <x v="1"/>
    <s v="45"/>
    <n v="45"/>
    <m/>
    <s v="   "/>
    <n v="1"/>
    <n v="0.17519999999999999"/>
    <n v="0.17499999999999999"/>
    <x v="25"/>
  </r>
  <r>
    <s v="04246"/>
    <x v="16"/>
    <s v="Personnel"/>
    <s v="E "/>
    <x v="0"/>
    <x v="22"/>
    <s v="PSES Elem Prog21Duty46 S275"/>
    <x v="1"/>
    <s v="46"/>
    <n v="46"/>
    <m/>
    <s v="   "/>
    <n v="5.2"/>
    <n v="0.17519999999999999"/>
    <n v="0.91100000000000003"/>
    <x v="19"/>
  </r>
  <r>
    <s v="04246"/>
    <x v="16"/>
    <s v="Personnel"/>
    <s v="H "/>
    <x v="1"/>
    <x v="23"/>
    <s v="PSES High Prog21Duty46 S275"/>
    <x v="1"/>
    <s v="46"/>
    <n v="46"/>
    <m/>
    <s v="   "/>
    <n v="2.4"/>
    <n v="0.17519999999999999"/>
    <n v="0.42"/>
    <x v="20"/>
  </r>
  <r>
    <s v="04246"/>
    <x v="16"/>
    <s v="Personnel"/>
    <s v="M "/>
    <x v="2"/>
    <x v="24"/>
    <s v="PSES Mid Prog21Duty46 S275"/>
    <x v="1"/>
    <s v="46"/>
    <n v="46"/>
    <m/>
    <s v="   "/>
    <n v="0.8"/>
    <n v="0.17519999999999999"/>
    <n v="0.14000000000000001"/>
    <x v="21"/>
  </r>
  <r>
    <s v="04246"/>
    <x v="16"/>
    <s v="Personnel"/>
    <s v="E "/>
    <x v="0"/>
    <x v="32"/>
    <s v="PSES Elem Prog21Duty47 S275"/>
    <x v="1"/>
    <s v="47"/>
    <n v="47"/>
    <m/>
    <s v="   "/>
    <n v="1.3"/>
    <n v="0.17519999999999999"/>
    <n v="0.22800000000000001"/>
    <x v="24"/>
  </r>
  <r>
    <s v="04246"/>
    <x v="16"/>
    <s v="Personnel"/>
    <s v="E "/>
    <x v="0"/>
    <x v="27"/>
    <s v="PSES Elem Prog01Duty47 S275"/>
    <x v="0"/>
    <s v="47"/>
    <n v="47"/>
    <m/>
    <s v="   "/>
    <n v="2.5"/>
    <n v="0.17519999999999999"/>
    <n v="0"/>
    <x v="24"/>
  </r>
  <r>
    <s v="04246"/>
    <x v="16"/>
    <s v="Personnel"/>
    <s v="H "/>
    <x v="1"/>
    <x v="25"/>
    <s v="PSES High Prog01Duty47 S275"/>
    <x v="0"/>
    <s v="47"/>
    <n v="47"/>
    <m/>
    <s v="   "/>
    <n v="2.2999999999999998"/>
    <n v="0.17519999999999999"/>
    <n v="0"/>
    <x v="22"/>
  </r>
  <r>
    <s v="04246"/>
    <x v="16"/>
    <s v="Personnel"/>
    <s v="M "/>
    <x v="2"/>
    <x v="34"/>
    <s v="PSES Mid Prog01Duty47 S275"/>
    <x v="0"/>
    <s v="47"/>
    <n v="47"/>
    <m/>
    <s v="   "/>
    <n v="1.5"/>
    <n v="0.17519999999999999"/>
    <n v="0"/>
    <x v="28"/>
  </r>
  <r>
    <s v="04246"/>
    <x v="16"/>
    <s v="Personnel"/>
    <s v="E "/>
    <x v="0"/>
    <x v="35"/>
    <s v="PSES Elem Prog21Duty48 S275"/>
    <x v="1"/>
    <s v="48"/>
    <n v="48"/>
    <m/>
    <s v="   "/>
    <n v="2.1"/>
    <n v="0.17519999999999999"/>
    <n v="0.36799999999999999"/>
    <x v="29"/>
  </r>
  <r>
    <s v="04246"/>
    <x v="16"/>
    <s v="Personnel"/>
    <s v="H "/>
    <x v="1"/>
    <x v="36"/>
    <s v="PSES High Prog21Duty48 S275"/>
    <x v="1"/>
    <s v="48"/>
    <n v="48"/>
    <m/>
    <s v="   "/>
    <n v="0.4"/>
    <n v="0.17519999999999999"/>
    <n v="7.0000000000000007E-2"/>
    <x v="30"/>
  </r>
  <r>
    <s v="04246"/>
    <x v="16"/>
    <s v="Personnel"/>
    <s v="M "/>
    <x v="2"/>
    <x v="37"/>
    <s v="PSES Mid Prog21Duty48 S275"/>
    <x v="1"/>
    <s v="48"/>
    <n v="48"/>
    <m/>
    <s v="   "/>
    <n v="0.5"/>
    <n v="0.17519999999999999"/>
    <n v="8.7999999999999995E-2"/>
    <x v="31"/>
  </r>
  <r>
    <s v="04246"/>
    <x v="16"/>
    <s v="Personnel"/>
    <s v="E "/>
    <x v="0"/>
    <x v="26"/>
    <s v="PSES Elem Prog21Duty49 S275"/>
    <x v="1"/>
    <s v="49"/>
    <n v="49"/>
    <m/>
    <s v="   "/>
    <n v="1.71"/>
    <n v="0.17519999999999999"/>
    <n v="0.3"/>
    <x v="23"/>
  </r>
  <r>
    <s v="04246"/>
    <x v="16"/>
    <s v="Personnel"/>
    <s v="H "/>
    <x v="1"/>
    <x v="55"/>
    <s v="PSES High Prog21Duty49 S275"/>
    <x v="1"/>
    <s v="49"/>
    <n v="49"/>
    <m/>
    <s v="   "/>
    <n v="0.54"/>
    <n v="0.17519999999999999"/>
    <n v="9.5000000000000001E-2"/>
    <x v="37"/>
  </r>
  <r>
    <s v="04246"/>
    <x v="16"/>
    <s v="Personnel"/>
    <s v="M "/>
    <x v="2"/>
    <x v="50"/>
    <s v="PSES Mid Prog21Duty49 S275"/>
    <x v="1"/>
    <s v="49"/>
    <n v="49"/>
    <m/>
    <s v="   "/>
    <n v="0.75"/>
    <n v="0.17519999999999999"/>
    <n v="0.13100000000000001"/>
    <x v="36"/>
  </r>
  <r>
    <s v="04901"/>
    <x v="17"/>
    <s v="Personnel"/>
    <s v="E "/>
    <x v="0"/>
    <x v="56"/>
    <s v="PSES Elem Prog97Duty96 S275"/>
    <x v="2"/>
    <s v="24"/>
    <n v="96"/>
    <n v="24"/>
    <s v="   "/>
    <n v="0.124"/>
    <n v="0.1235"/>
    <n v="0"/>
    <x v="0"/>
  </r>
  <r>
    <s v="04901"/>
    <x v="17"/>
    <s v="Personnel"/>
    <s v="H "/>
    <x v="1"/>
    <x v="57"/>
    <s v="PSES High Prog97Duty96 S275"/>
    <x v="2"/>
    <s v="24"/>
    <n v="96"/>
    <n v="24"/>
    <s v="   "/>
    <n v="0.20499999999999999"/>
    <n v="0.1235"/>
    <n v="0"/>
    <x v="1"/>
  </r>
  <r>
    <s v="04901"/>
    <x v="17"/>
    <s v="Personnel"/>
    <s v="M "/>
    <x v="2"/>
    <x v="58"/>
    <s v="PSES Mid Prog97Duty96 S275"/>
    <x v="2"/>
    <s v="24"/>
    <n v="96"/>
    <n v="24"/>
    <s v="   "/>
    <n v="0.40200000000000002"/>
    <n v="0.1235"/>
    <n v="0"/>
    <x v="2"/>
  </r>
  <r>
    <s v="04901"/>
    <x v="17"/>
    <s v="Personnel"/>
    <s v="E "/>
    <x v="0"/>
    <x v="8"/>
    <s v="PSES Elem Prog01Act26 S275"/>
    <x v="0"/>
    <s v="26"/>
    <m/>
    <n v="26"/>
    <s v="   "/>
    <n v="0.1"/>
    <n v="0.1235"/>
    <n v="0"/>
    <x v="6"/>
  </r>
  <r>
    <s v="04901"/>
    <x v="17"/>
    <s v="Personnel"/>
    <s v="H "/>
    <x v="1"/>
    <x v="9"/>
    <s v="PSES High Prog01Act26 S275"/>
    <x v="0"/>
    <s v="26"/>
    <m/>
    <n v="26"/>
    <s v="   "/>
    <n v="0.16300000000000001"/>
    <n v="0.1235"/>
    <n v="0"/>
    <x v="7"/>
  </r>
  <r>
    <s v="04901"/>
    <x v="17"/>
    <s v="Personnel"/>
    <s v="M "/>
    <x v="2"/>
    <x v="11"/>
    <s v="PSES Mid Prog01Act26 S275"/>
    <x v="0"/>
    <s v="26"/>
    <m/>
    <n v="26"/>
    <s v="   "/>
    <n v="0.32200000000000001"/>
    <n v="0.1235"/>
    <n v="0"/>
    <x v="8"/>
  </r>
  <r>
    <s v="05121"/>
    <x v="18"/>
    <s v="Personnel"/>
    <s v="E "/>
    <x v="0"/>
    <x v="3"/>
    <s v="PSES Elem Prog01Act25 S275"/>
    <x v="0"/>
    <s v="25"/>
    <m/>
    <n v="25"/>
    <s v="   "/>
    <n v="0.88800000000000001"/>
    <n v="0.25690000000000002"/>
    <n v="0"/>
    <x v="3"/>
  </r>
  <r>
    <s v="05121"/>
    <x v="18"/>
    <s v="Personnel"/>
    <s v="H "/>
    <x v="1"/>
    <x v="5"/>
    <s v="PSES High Prog01Act25 S275"/>
    <x v="0"/>
    <s v="25"/>
    <m/>
    <n v="25"/>
    <s v="   "/>
    <n v="2.7789999999999999"/>
    <n v="0.25690000000000002"/>
    <n v="0"/>
    <x v="4"/>
  </r>
  <r>
    <s v="05121"/>
    <x v="18"/>
    <s v="Personnel"/>
    <s v="H "/>
    <x v="1"/>
    <x v="29"/>
    <s v="PSES High Prog21Act26 S275"/>
    <x v="1"/>
    <s v="26"/>
    <m/>
    <n v="26"/>
    <s v="   "/>
    <n v="1.2410000000000001"/>
    <n v="0.25690000000000002"/>
    <n v="0.31900000000000001"/>
    <x v="7"/>
  </r>
  <r>
    <s v="05121"/>
    <x v="18"/>
    <s v="Personnel"/>
    <s v="H "/>
    <x v="1"/>
    <x v="9"/>
    <s v="PSES High Prog01Act26 S275"/>
    <x v="0"/>
    <s v="26"/>
    <m/>
    <n v="26"/>
    <s v="   "/>
    <n v="1.335"/>
    <n v="0.25690000000000002"/>
    <n v="0"/>
    <x v="7"/>
  </r>
  <r>
    <s v="05121"/>
    <x v="18"/>
    <s v="Personnel"/>
    <s v="E "/>
    <x v="0"/>
    <x v="15"/>
    <s v="PSES Elem Prog01Duty42 S275"/>
    <x v="0"/>
    <s v="42"/>
    <n v="42"/>
    <m/>
    <s v="   "/>
    <n v="3"/>
    <n v="0.25690000000000002"/>
    <n v="0"/>
    <x v="12"/>
  </r>
  <r>
    <s v="05121"/>
    <x v="18"/>
    <s v="Personnel"/>
    <s v="H "/>
    <x v="1"/>
    <x v="16"/>
    <s v="PSES High Prog01Duty42 S275"/>
    <x v="0"/>
    <s v="42"/>
    <n v="42"/>
    <m/>
    <s v="   "/>
    <n v="3.55"/>
    <n v="0.25690000000000002"/>
    <n v="0"/>
    <x v="13"/>
  </r>
  <r>
    <s v="05121"/>
    <x v="18"/>
    <s v="Personnel"/>
    <s v="E "/>
    <x v="0"/>
    <x v="18"/>
    <s v="PSES Elem Prog21Duty43 S275"/>
    <x v="1"/>
    <s v="43"/>
    <n v="43"/>
    <m/>
    <s v="   "/>
    <n v="0.57199999999999995"/>
    <n v="0.25690000000000002"/>
    <n v="0.14699999999999999"/>
    <x v="15"/>
  </r>
  <r>
    <s v="05121"/>
    <x v="18"/>
    <s v="Personnel"/>
    <s v="H "/>
    <x v="1"/>
    <x v="19"/>
    <s v="PSES High Prog21Duty43 S275"/>
    <x v="1"/>
    <s v="43"/>
    <n v="43"/>
    <m/>
    <s v="   "/>
    <n v="9.5000000000000001E-2"/>
    <n v="0.25690000000000002"/>
    <n v="2.4E-2"/>
    <x v="16"/>
  </r>
  <r>
    <s v="05121"/>
    <x v="18"/>
    <s v="Personnel"/>
    <s v="M "/>
    <x v="2"/>
    <x v="31"/>
    <s v="PSES Mid Prog21Duty43 S275"/>
    <x v="1"/>
    <s v="43"/>
    <n v="43"/>
    <m/>
    <s v="   "/>
    <n v="0.33300000000000002"/>
    <n v="0.25690000000000002"/>
    <n v="8.5999999999999993E-2"/>
    <x v="27"/>
  </r>
  <r>
    <s v="05121"/>
    <x v="18"/>
    <s v="Personnel"/>
    <s v="E "/>
    <x v="0"/>
    <x v="20"/>
    <s v="PSES Elem Prog21Duty45 S275"/>
    <x v="1"/>
    <s v="45"/>
    <n v="45"/>
    <m/>
    <s v="   "/>
    <n v="5"/>
    <n v="0.25690000000000002"/>
    <n v="1.2849999999999999"/>
    <x v="17"/>
  </r>
  <r>
    <s v="05121"/>
    <x v="18"/>
    <s v="Personnel"/>
    <s v="E "/>
    <x v="0"/>
    <x v="22"/>
    <s v="PSES Elem Prog21Duty46 S275"/>
    <x v="1"/>
    <s v="46"/>
    <n v="46"/>
    <m/>
    <s v="   "/>
    <n v="5"/>
    <n v="0.25690000000000002"/>
    <n v="1.2849999999999999"/>
    <x v="19"/>
  </r>
  <r>
    <s v="05121"/>
    <x v="18"/>
    <s v="Personnel"/>
    <s v="E "/>
    <x v="0"/>
    <x v="27"/>
    <s v="PSES Elem Prog01Duty47 S275"/>
    <x v="0"/>
    <s v="47"/>
    <n v="47"/>
    <m/>
    <s v="   "/>
    <n v="3"/>
    <n v="0.25690000000000002"/>
    <n v="0"/>
    <x v="24"/>
  </r>
  <r>
    <s v="05313"/>
    <x v="19"/>
    <s v="Personnel"/>
    <s v="H "/>
    <x v="1"/>
    <x v="5"/>
    <s v="PSES High Prog01Act25 S275"/>
    <x v="0"/>
    <s v="25"/>
    <m/>
    <n v="25"/>
    <s v="   "/>
    <n v="0.26400000000000001"/>
    <n v="0.19059999999999999"/>
    <n v="0"/>
    <x v="4"/>
  </r>
  <r>
    <s v="05313"/>
    <x v="19"/>
    <s v="Personnel"/>
    <s v="H "/>
    <x v="1"/>
    <x v="16"/>
    <s v="PSES High Prog01Duty42 S275"/>
    <x v="0"/>
    <s v="42"/>
    <n v="42"/>
    <m/>
    <s v="   "/>
    <n v="1"/>
    <n v="0.19059999999999999"/>
    <n v="0"/>
    <x v="13"/>
  </r>
  <r>
    <s v="05313"/>
    <x v="19"/>
    <s v="Personnel"/>
    <s v="E "/>
    <x v="0"/>
    <x v="27"/>
    <s v="PSES Elem Prog01Duty47 S275"/>
    <x v="0"/>
    <s v="47"/>
    <n v="47"/>
    <m/>
    <s v="   "/>
    <n v="1.1259999999999999"/>
    <n v="0.19059999999999999"/>
    <n v="0"/>
    <x v="24"/>
  </r>
  <r>
    <s v="05323"/>
    <x v="20"/>
    <s v="Personnel"/>
    <s v="H "/>
    <x v="1"/>
    <x v="4"/>
    <s v="PSES High Prog21Act25 S275"/>
    <x v="1"/>
    <s v="25"/>
    <m/>
    <n v="25"/>
    <s v="   "/>
    <n v="2.8090000000000002"/>
    <n v="0.15290000000000001"/>
    <n v="0.42899999999999999"/>
    <x v="4"/>
  </r>
  <r>
    <s v="05323"/>
    <x v="20"/>
    <s v="Personnel"/>
    <s v="H "/>
    <x v="1"/>
    <x v="5"/>
    <s v="PSES High Prog01Act25 S275"/>
    <x v="0"/>
    <s v="25"/>
    <m/>
    <n v="25"/>
    <s v="   "/>
    <n v="3.149"/>
    <n v="0.15290000000000001"/>
    <n v="0"/>
    <x v="4"/>
  </r>
  <r>
    <s v="05323"/>
    <x v="20"/>
    <s v="Personnel"/>
    <s v="H "/>
    <x v="1"/>
    <x v="29"/>
    <s v="PSES High Prog21Act26 S275"/>
    <x v="1"/>
    <s v="26"/>
    <m/>
    <n v="26"/>
    <s v="   "/>
    <n v="1.4219999999999999"/>
    <n v="0.15290000000000001"/>
    <n v="0.217"/>
    <x v="7"/>
  </r>
  <r>
    <s v="05323"/>
    <x v="20"/>
    <s v="Personnel"/>
    <s v="H "/>
    <x v="1"/>
    <x v="9"/>
    <s v="PSES High Prog01Act26 S275"/>
    <x v="0"/>
    <s v="26"/>
    <m/>
    <n v="26"/>
    <s v="   "/>
    <n v="2.7690000000000001"/>
    <n v="0.15290000000000001"/>
    <n v="0"/>
    <x v="7"/>
  </r>
  <r>
    <s v="05323"/>
    <x v="20"/>
    <s v="Personnel"/>
    <s v="E "/>
    <x v="0"/>
    <x v="15"/>
    <s v="PSES Elem Prog01Duty42 S275"/>
    <x v="0"/>
    <s v="42"/>
    <n v="42"/>
    <m/>
    <s v="   "/>
    <n v="4.7430000000000003"/>
    <n v="0.15290000000000001"/>
    <n v="0"/>
    <x v="12"/>
  </r>
  <r>
    <s v="05323"/>
    <x v="20"/>
    <s v="Personnel"/>
    <s v="H "/>
    <x v="1"/>
    <x v="16"/>
    <s v="PSES High Prog01Duty42 S275"/>
    <x v="0"/>
    <s v="42"/>
    <n v="42"/>
    <m/>
    <s v="   "/>
    <n v="1.52"/>
    <n v="0.15290000000000001"/>
    <n v="0"/>
    <x v="13"/>
  </r>
  <r>
    <s v="05323"/>
    <x v="20"/>
    <s v="Personnel"/>
    <s v="M "/>
    <x v="2"/>
    <x v="17"/>
    <s v="PSES Mid Prog01Duty42 S275"/>
    <x v="0"/>
    <s v="42"/>
    <n v="42"/>
    <m/>
    <s v="   "/>
    <n v="1.7000000000000001E-2"/>
    <n v="0.15290000000000001"/>
    <n v="0"/>
    <x v="14"/>
  </r>
  <r>
    <s v="05323"/>
    <x v="20"/>
    <s v="Personnel"/>
    <s v="E "/>
    <x v="0"/>
    <x v="20"/>
    <s v="PSES Elem Prog21Duty45 S275"/>
    <x v="1"/>
    <s v="45"/>
    <n v="45"/>
    <m/>
    <s v="   "/>
    <n v="2.6259999999999999"/>
    <n v="0.15290000000000001"/>
    <n v="0.40200000000000002"/>
    <x v="17"/>
  </r>
  <r>
    <s v="05323"/>
    <x v="20"/>
    <s v="Personnel"/>
    <s v="E "/>
    <x v="0"/>
    <x v="22"/>
    <s v="PSES Elem Prog21Duty46 S275"/>
    <x v="1"/>
    <s v="46"/>
    <n v="46"/>
    <m/>
    <s v="   "/>
    <n v="2.9950000000000001"/>
    <n v="0.15290000000000001"/>
    <n v="0.45800000000000002"/>
    <x v="19"/>
  </r>
  <r>
    <s v="05323"/>
    <x v="20"/>
    <s v="Personnel"/>
    <s v="E "/>
    <x v="0"/>
    <x v="32"/>
    <s v="PSES Elem Prog21Duty47 S275"/>
    <x v="1"/>
    <s v="47"/>
    <n v="47"/>
    <m/>
    <s v="   "/>
    <n v="0.12"/>
    <n v="0.15290000000000001"/>
    <n v="1.7999999999999999E-2"/>
    <x v="24"/>
  </r>
  <r>
    <s v="05323"/>
    <x v="20"/>
    <s v="Personnel"/>
    <s v="E "/>
    <x v="0"/>
    <x v="27"/>
    <s v="PSES Elem Prog01Duty47 S275"/>
    <x v="0"/>
    <s v="47"/>
    <n v="47"/>
    <m/>
    <s v="   "/>
    <n v="0.875"/>
    <n v="0.15290000000000001"/>
    <n v="0"/>
    <x v="24"/>
  </r>
  <r>
    <s v="05323"/>
    <x v="20"/>
    <s v="Personnel"/>
    <s v="E "/>
    <x v="0"/>
    <x v="35"/>
    <s v="PSES Elem Prog21Duty48 S275"/>
    <x v="1"/>
    <s v="48"/>
    <n v="48"/>
    <m/>
    <s v="   "/>
    <n v="1"/>
    <n v="0.15290000000000001"/>
    <n v="0.153"/>
    <x v="29"/>
  </r>
  <r>
    <s v="05401"/>
    <x v="21"/>
    <s v="Personnel"/>
    <s v="E "/>
    <x v="0"/>
    <x v="15"/>
    <s v="PSES Elem Prog01Duty42 S275"/>
    <x v="0"/>
    <s v="42"/>
    <n v="42"/>
    <m/>
    <s v="   "/>
    <n v="0.63800000000000001"/>
    <n v="0.17349999999999999"/>
    <n v="0"/>
    <x v="12"/>
  </r>
  <r>
    <s v="05401"/>
    <x v="21"/>
    <s v="Personnel"/>
    <s v="H "/>
    <x v="1"/>
    <x v="16"/>
    <s v="PSES High Prog01Duty42 S275"/>
    <x v="0"/>
    <s v="42"/>
    <n v="42"/>
    <m/>
    <s v="   "/>
    <n v="1"/>
    <n v="0.17349999999999999"/>
    <n v="0"/>
    <x v="13"/>
  </r>
  <r>
    <s v="05402"/>
    <x v="22"/>
    <s v="Personnel"/>
    <s v="H "/>
    <x v="1"/>
    <x v="5"/>
    <s v="PSES High Prog01Act25 S275"/>
    <x v="0"/>
    <s v="25"/>
    <m/>
    <n v="25"/>
    <s v="   "/>
    <n v="2.2959999999999998"/>
    <n v="0.14960000000000001"/>
    <n v="0"/>
    <x v="4"/>
  </r>
  <r>
    <s v="05402"/>
    <x v="22"/>
    <s v="Personnel"/>
    <s v="H "/>
    <x v="1"/>
    <x v="29"/>
    <s v="PSES High Prog21Act26 S275"/>
    <x v="1"/>
    <s v="26"/>
    <m/>
    <n v="26"/>
    <s v="   "/>
    <n v="7.0000000000000007E-2"/>
    <n v="0.14960000000000001"/>
    <n v="0.01"/>
    <x v="7"/>
  </r>
  <r>
    <s v="05402"/>
    <x v="22"/>
    <s v="Personnel"/>
    <s v="H "/>
    <x v="1"/>
    <x v="9"/>
    <s v="PSES High Prog01Act26 S275"/>
    <x v="0"/>
    <s v="26"/>
    <m/>
    <n v="26"/>
    <s v="   "/>
    <n v="0.81499999999999995"/>
    <n v="0.14960000000000001"/>
    <n v="0"/>
    <x v="7"/>
  </r>
  <r>
    <s v="05402"/>
    <x v="22"/>
    <s v="Personnel"/>
    <s v="E "/>
    <x v="0"/>
    <x v="15"/>
    <s v="PSES Elem Prog01Duty42 S275"/>
    <x v="0"/>
    <s v="42"/>
    <n v="42"/>
    <m/>
    <s v="   "/>
    <n v="1.4999999999999999E-2"/>
    <n v="0.14960000000000001"/>
    <n v="0"/>
    <x v="12"/>
  </r>
  <r>
    <s v="05402"/>
    <x v="22"/>
    <s v="Personnel"/>
    <s v="H "/>
    <x v="1"/>
    <x v="16"/>
    <s v="PSES High Prog01Duty42 S275"/>
    <x v="0"/>
    <s v="42"/>
    <n v="42"/>
    <m/>
    <s v="   "/>
    <n v="0.9"/>
    <n v="0.14960000000000001"/>
    <n v="0"/>
    <x v="13"/>
  </r>
  <r>
    <s v="05402"/>
    <x v="22"/>
    <s v="Personnel"/>
    <s v="M "/>
    <x v="2"/>
    <x v="17"/>
    <s v="PSES Mid Prog01Duty42 S275"/>
    <x v="0"/>
    <s v="42"/>
    <n v="42"/>
    <m/>
    <s v="   "/>
    <n v="0.88500000000000001"/>
    <n v="0.14960000000000001"/>
    <n v="0"/>
    <x v="14"/>
  </r>
  <r>
    <s v="05402"/>
    <x v="22"/>
    <s v="Personnel"/>
    <s v="E "/>
    <x v="0"/>
    <x v="18"/>
    <s v="PSES Elem Prog21Duty43 S275"/>
    <x v="1"/>
    <s v="43"/>
    <n v="43"/>
    <m/>
    <s v="   "/>
    <n v="0.65400000000000003"/>
    <n v="0.14960000000000001"/>
    <n v="9.8000000000000004E-2"/>
    <x v="15"/>
  </r>
  <r>
    <s v="05402"/>
    <x v="22"/>
    <s v="Personnel"/>
    <s v="H "/>
    <x v="1"/>
    <x v="19"/>
    <s v="PSES High Prog21Duty43 S275"/>
    <x v="1"/>
    <s v="43"/>
    <n v="43"/>
    <m/>
    <s v="   "/>
    <n v="0.13800000000000001"/>
    <n v="0.14960000000000001"/>
    <n v="2.1000000000000001E-2"/>
    <x v="16"/>
  </r>
  <r>
    <s v="05402"/>
    <x v="22"/>
    <s v="Personnel"/>
    <s v="M "/>
    <x v="2"/>
    <x v="31"/>
    <s v="PSES Mid Prog21Duty43 S275"/>
    <x v="1"/>
    <s v="43"/>
    <n v="43"/>
    <m/>
    <s v="   "/>
    <n v="0.104"/>
    <n v="0.14960000000000001"/>
    <n v="1.6E-2"/>
    <x v="27"/>
  </r>
  <r>
    <s v="05402"/>
    <x v="22"/>
    <s v="Personnel"/>
    <s v="E "/>
    <x v="0"/>
    <x v="20"/>
    <s v="PSES Elem Prog21Duty45 S275"/>
    <x v="1"/>
    <s v="45"/>
    <n v="45"/>
    <m/>
    <s v="   "/>
    <n v="0.01"/>
    <n v="0.14960000000000001"/>
    <n v="1E-3"/>
    <x v="17"/>
  </r>
  <r>
    <s v="05402"/>
    <x v="22"/>
    <s v="Personnel"/>
    <s v="H "/>
    <x v="1"/>
    <x v="21"/>
    <s v="PSES High Prog21Duty45 S275"/>
    <x v="1"/>
    <s v="45"/>
    <n v="45"/>
    <m/>
    <s v="   "/>
    <n v="2E-3"/>
    <n v="0.14960000000000001"/>
    <n v="0"/>
    <x v="18"/>
  </r>
  <r>
    <s v="05402"/>
    <x v="22"/>
    <s v="Personnel"/>
    <s v="E "/>
    <x v="0"/>
    <x v="38"/>
    <s v="PSES Elem Prog21Duty64 S275"/>
    <x v="1"/>
    <s v="64"/>
    <n v="64"/>
    <m/>
    <s v="   "/>
    <n v="0.33"/>
    <n v="0.14960000000000001"/>
    <n v="4.9000000000000002E-2"/>
    <x v="32"/>
  </r>
  <r>
    <s v="05402"/>
    <x v="22"/>
    <s v="Personnel"/>
    <s v="H "/>
    <x v="1"/>
    <x v="59"/>
    <s v="PSES High Prog21Duty64 S275"/>
    <x v="1"/>
    <s v="64"/>
    <n v="64"/>
    <m/>
    <s v="   "/>
    <n v="0.72299999999999998"/>
    <n v="0.14960000000000001"/>
    <n v="0.108"/>
    <x v="38"/>
  </r>
  <r>
    <s v="05402"/>
    <x v="22"/>
    <s v="Personnel"/>
    <s v="M "/>
    <x v="2"/>
    <x v="60"/>
    <s v="PSES Mid Prog21Duty64 S275"/>
    <x v="1"/>
    <s v="64"/>
    <n v="64"/>
    <m/>
    <s v="   "/>
    <n v="0.20899999999999999"/>
    <n v="0.14960000000000001"/>
    <n v="3.1E-2"/>
    <x v="39"/>
  </r>
  <r>
    <s v="05903"/>
    <x v="23"/>
    <s v="Personnel"/>
    <s v="E "/>
    <x v="0"/>
    <x v="42"/>
    <s v="PSES Elem Prog01Duty44 S275"/>
    <x v="0"/>
    <s v="44"/>
    <n v="44"/>
    <m/>
    <s v="   "/>
    <n v="1.268"/>
    <n v="0.1067"/>
    <n v="0"/>
    <x v="33"/>
  </r>
  <r>
    <s v="05903"/>
    <x v="23"/>
    <s v="Personnel"/>
    <s v="H "/>
    <x v="1"/>
    <x v="44"/>
    <s v="PSES High Prog01Duty44 S275"/>
    <x v="0"/>
    <s v="44"/>
    <n v="44"/>
    <m/>
    <s v="   "/>
    <n v="0.45100000000000001"/>
    <n v="0.1067"/>
    <n v="0"/>
    <x v="34"/>
  </r>
  <r>
    <s v="05903"/>
    <x v="23"/>
    <s v="Personnel"/>
    <s v="M "/>
    <x v="2"/>
    <x v="46"/>
    <s v="PSES Mid Prog01Duty44 S275"/>
    <x v="0"/>
    <s v="44"/>
    <n v="44"/>
    <m/>
    <s v="   "/>
    <n v="0.28100000000000003"/>
    <n v="0.1067"/>
    <n v="0"/>
    <x v="35"/>
  </r>
  <r>
    <s v="06037"/>
    <x v="24"/>
    <s v="Personnel"/>
    <s v="H "/>
    <x v="1"/>
    <x v="1"/>
    <s v="PSES High Prog01Duty96 S275"/>
    <x v="0"/>
    <s v="24"/>
    <n v="96"/>
    <n v="24"/>
    <s v="   "/>
    <n v="23.869"/>
    <n v="0.27689999999999998"/>
    <n v="0"/>
    <x v="1"/>
  </r>
  <r>
    <s v="06037"/>
    <x v="24"/>
    <s v="Personnel"/>
    <s v="H "/>
    <x v="1"/>
    <x v="5"/>
    <s v="PSES High Prog01Act25 S275"/>
    <x v="0"/>
    <s v="25"/>
    <m/>
    <n v="25"/>
    <s v="   "/>
    <n v="54.585000000000001"/>
    <n v="0.27689999999999998"/>
    <n v="0"/>
    <x v="4"/>
  </r>
  <r>
    <s v="06037"/>
    <x v="24"/>
    <s v="Personnel"/>
    <s v="H "/>
    <x v="1"/>
    <x v="29"/>
    <s v="PSES High Prog21Act26 S275"/>
    <x v="1"/>
    <s v="26"/>
    <m/>
    <n v="26"/>
    <s v="   "/>
    <n v="2.2959999999999998"/>
    <n v="0.27689999999999998"/>
    <n v="0.63600000000000001"/>
    <x v="7"/>
  </r>
  <r>
    <s v="06037"/>
    <x v="24"/>
    <s v="Personnel"/>
    <s v="H "/>
    <x v="1"/>
    <x v="9"/>
    <s v="PSES High Prog01Act26 S275"/>
    <x v="0"/>
    <s v="26"/>
    <m/>
    <n v="26"/>
    <s v="   "/>
    <n v="0.42099999999999999"/>
    <n v="0.27689999999999998"/>
    <n v="0"/>
    <x v="7"/>
  </r>
  <r>
    <s v="06037"/>
    <x v="24"/>
    <s v="Personnel"/>
    <s v="H "/>
    <x v="1"/>
    <x v="12"/>
    <s v="PSES High Prog97Act35 S275"/>
    <x v="2"/>
    <s v="35"/>
    <m/>
    <n v="35"/>
    <s v="   "/>
    <n v="1.8919999999999999"/>
    <n v="0.27689999999999998"/>
    <n v="0"/>
    <x v="9"/>
  </r>
  <r>
    <s v="06037"/>
    <x v="24"/>
    <s v="Personnel"/>
    <s v="H "/>
    <x v="1"/>
    <x v="54"/>
    <s v="PSES High Prog01Act35 S275"/>
    <x v="0"/>
    <s v="35"/>
    <m/>
    <n v="35"/>
    <s v="   "/>
    <n v="12.811999999999999"/>
    <n v="0.27689999999999998"/>
    <n v="0"/>
    <x v="9"/>
  </r>
  <r>
    <s v="06037"/>
    <x v="24"/>
    <s v="Personnel"/>
    <s v="E "/>
    <x v="0"/>
    <x v="15"/>
    <s v="PSES Elem Prog01Duty42 S275"/>
    <x v="0"/>
    <s v="42"/>
    <n v="42"/>
    <m/>
    <s v="   "/>
    <n v="31.245000000000001"/>
    <n v="0.27689999999999998"/>
    <n v="0"/>
    <x v="12"/>
  </r>
  <r>
    <s v="06037"/>
    <x v="24"/>
    <s v="Personnel"/>
    <s v="H "/>
    <x v="1"/>
    <x v="16"/>
    <s v="PSES High Prog01Duty42 S275"/>
    <x v="0"/>
    <s v="42"/>
    <n v="42"/>
    <m/>
    <s v="   "/>
    <n v="22.08"/>
    <n v="0.27689999999999998"/>
    <n v="0"/>
    <x v="13"/>
  </r>
  <r>
    <s v="06037"/>
    <x v="24"/>
    <s v="Personnel"/>
    <s v="M "/>
    <x v="2"/>
    <x v="17"/>
    <s v="PSES Mid Prog01Duty42 S275"/>
    <x v="0"/>
    <s v="42"/>
    <n v="42"/>
    <m/>
    <s v="   "/>
    <n v="12.244"/>
    <n v="0.27689999999999998"/>
    <n v="0"/>
    <x v="14"/>
  </r>
  <r>
    <s v="06037"/>
    <x v="24"/>
    <s v="Personnel"/>
    <s v="E "/>
    <x v="0"/>
    <x v="18"/>
    <s v="PSES Elem Prog21Duty43 S275"/>
    <x v="1"/>
    <s v="43"/>
    <n v="43"/>
    <m/>
    <s v="   "/>
    <n v="16.585999999999999"/>
    <n v="0.27689999999999998"/>
    <n v="4.593"/>
    <x v="15"/>
  </r>
  <r>
    <s v="06037"/>
    <x v="24"/>
    <s v="Personnel"/>
    <s v="H "/>
    <x v="1"/>
    <x v="19"/>
    <s v="PSES High Prog21Duty43 S275"/>
    <x v="1"/>
    <s v="43"/>
    <n v="43"/>
    <m/>
    <s v="   "/>
    <n v="1.0489999999999999"/>
    <n v="0.27689999999999998"/>
    <n v="0.28999999999999998"/>
    <x v="16"/>
  </r>
  <r>
    <s v="06037"/>
    <x v="24"/>
    <s v="Personnel"/>
    <s v="M "/>
    <x v="2"/>
    <x v="31"/>
    <s v="PSES Mid Prog21Duty43 S275"/>
    <x v="1"/>
    <s v="43"/>
    <n v="43"/>
    <m/>
    <s v="   "/>
    <n v="1.998"/>
    <n v="0.27689999999999998"/>
    <n v="0.55300000000000005"/>
    <x v="27"/>
  </r>
  <r>
    <s v="06037"/>
    <x v="24"/>
    <s v="Personnel"/>
    <s v="E "/>
    <x v="0"/>
    <x v="20"/>
    <s v="PSES Elem Prog21Duty45 S275"/>
    <x v="1"/>
    <s v="45"/>
    <n v="45"/>
    <m/>
    <s v="   "/>
    <n v="34.188000000000002"/>
    <n v="0.27689999999999998"/>
    <n v="9.4670000000000005"/>
    <x v="17"/>
  </r>
  <r>
    <s v="06037"/>
    <x v="24"/>
    <s v="Personnel"/>
    <s v="H "/>
    <x v="1"/>
    <x v="21"/>
    <s v="PSES High Prog21Duty45 S275"/>
    <x v="1"/>
    <s v="45"/>
    <n v="45"/>
    <m/>
    <s v="   "/>
    <n v="7.9340000000000002"/>
    <n v="0.27689999999999998"/>
    <n v="2.1970000000000001"/>
    <x v="18"/>
  </r>
  <r>
    <s v="06037"/>
    <x v="24"/>
    <s v="Personnel"/>
    <s v="M "/>
    <x v="2"/>
    <x v="28"/>
    <s v="PSES Mid Prog21Duty45 S275"/>
    <x v="1"/>
    <s v="45"/>
    <n v="45"/>
    <m/>
    <s v="   "/>
    <n v="4.9930000000000003"/>
    <n v="0.27689999999999998"/>
    <n v="1.383"/>
    <x v="25"/>
  </r>
  <r>
    <s v="06037"/>
    <x v="24"/>
    <s v="Personnel"/>
    <s v="E "/>
    <x v="0"/>
    <x v="22"/>
    <s v="PSES Elem Prog21Duty46 S275"/>
    <x v="1"/>
    <s v="46"/>
    <n v="46"/>
    <m/>
    <s v="   "/>
    <n v="12.129"/>
    <n v="0.27689999999999998"/>
    <n v="3.359"/>
    <x v="19"/>
  </r>
  <r>
    <s v="06037"/>
    <x v="24"/>
    <s v="Personnel"/>
    <s v="H "/>
    <x v="1"/>
    <x v="23"/>
    <s v="PSES High Prog21Duty46 S275"/>
    <x v="1"/>
    <s v="46"/>
    <n v="46"/>
    <m/>
    <s v="   "/>
    <n v="6.8479999999999999"/>
    <n v="0.27689999999999998"/>
    <n v="1.8959999999999999"/>
    <x v="20"/>
  </r>
  <r>
    <s v="06037"/>
    <x v="24"/>
    <s v="Personnel"/>
    <s v="M "/>
    <x v="2"/>
    <x v="24"/>
    <s v="PSES Mid Prog21Duty46 S275"/>
    <x v="1"/>
    <s v="46"/>
    <n v="46"/>
    <m/>
    <s v="   "/>
    <n v="3.22"/>
    <n v="0.27689999999999998"/>
    <n v="0.89200000000000002"/>
    <x v="21"/>
  </r>
  <r>
    <s v="06037"/>
    <x v="24"/>
    <s v="Personnel"/>
    <s v="E "/>
    <x v="0"/>
    <x v="32"/>
    <s v="PSES Elem Prog21Duty47 S275"/>
    <x v="1"/>
    <s v="47"/>
    <n v="47"/>
    <m/>
    <s v="   "/>
    <n v="0.05"/>
    <n v="0.27689999999999998"/>
    <n v="1.4E-2"/>
    <x v="24"/>
  </r>
  <r>
    <s v="06037"/>
    <x v="24"/>
    <s v="Personnel"/>
    <s v="E "/>
    <x v="0"/>
    <x v="27"/>
    <s v="PSES Elem Prog01Duty47 S275"/>
    <x v="0"/>
    <s v="47"/>
    <n v="47"/>
    <m/>
    <s v="   "/>
    <n v="8.76"/>
    <n v="0.27689999999999998"/>
    <n v="0"/>
    <x v="24"/>
  </r>
  <r>
    <s v="06037"/>
    <x v="24"/>
    <s v="Personnel"/>
    <s v="H "/>
    <x v="1"/>
    <x v="61"/>
    <s v="PSES High Prog21Duty47 S275"/>
    <x v="1"/>
    <s v="47"/>
    <n v="47"/>
    <m/>
    <s v="   "/>
    <n v="2.7E-2"/>
    <n v="0.27689999999999998"/>
    <n v="7.0000000000000001E-3"/>
    <x v="22"/>
  </r>
  <r>
    <s v="06037"/>
    <x v="24"/>
    <s v="Personnel"/>
    <s v="H "/>
    <x v="1"/>
    <x v="25"/>
    <s v="PSES High Prog01Duty47 S275"/>
    <x v="0"/>
    <s v="47"/>
    <n v="47"/>
    <m/>
    <s v="   "/>
    <n v="6.3710000000000004"/>
    <n v="0.27689999999999998"/>
    <n v="0"/>
    <x v="22"/>
  </r>
  <r>
    <s v="06037"/>
    <x v="24"/>
    <s v="Personnel"/>
    <s v="M "/>
    <x v="2"/>
    <x v="33"/>
    <s v="PSES Mid Prog21Duty47 S275"/>
    <x v="1"/>
    <s v="47"/>
    <n v="47"/>
    <m/>
    <s v="   "/>
    <n v="2.3E-2"/>
    <n v="0.27689999999999998"/>
    <n v="6.0000000000000001E-3"/>
    <x v="28"/>
  </r>
  <r>
    <s v="06037"/>
    <x v="24"/>
    <s v="Personnel"/>
    <s v="M "/>
    <x v="2"/>
    <x v="34"/>
    <s v="PSES Mid Prog01Duty47 S275"/>
    <x v="0"/>
    <s v="47"/>
    <n v="47"/>
    <m/>
    <s v="   "/>
    <n v="3.78"/>
    <n v="0.27689999999999998"/>
    <n v="0"/>
    <x v="28"/>
  </r>
  <r>
    <s v="06037"/>
    <x v="24"/>
    <s v="Personnel"/>
    <s v="E "/>
    <x v="0"/>
    <x v="35"/>
    <s v="PSES Elem Prog21Duty48 S275"/>
    <x v="1"/>
    <s v="48"/>
    <n v="48"/>
    <m/>
    <s v="   "/>
    <n v="2.823"/>
    <n v="0.27689999999999998"/>
    <n v="0.78200000000000003"/>
    <x v="29"/>
  </r>
  <r>
    <s v="06037"/>
    <x v="24"/>
    <s v="Personnel"/>
    <s v="H "/>
    <x v="1"/>
    <x v="36"/>
    <s v="PSES High Prog21Duty48 S275"/>
    <x v="1"/>
    <s v="48"/>
    <n v="48"/>
    <m/>
    <s v="   "/>
    <n v="0.23699999999999999"/>
    <n v="0.27689999999999998"/>
    <n v="6.6000000000000003E-2"/>
    <x v="30"/>
  </r>
  <r>
    <s v="06037"/>
    <x v="24"/>
    <s v="Personnel"/>
    <s v="M "/>
    <x v="2"/>
    <x v="37"/>
    <s v="PSES Mid Prog21Duty48 S275"/>
    <x v="1"/>
    <s v="48"/>
    <n v="48"/>
    <m/>
    <s v="   "/>
    <n v="0.34"/>
    <n v="0.27689999999999998"/>
    <n v="9.4E-2"/>
    <x v="31"/>
  </r>
  <r>
    <s v="06098"/>
    <x v="25"/>
    <s v="Personnel"/>
    <s v="E "/>
    <x v="0"/>
    <x v="62"/>
    <s v="PSES Elem Prog01Act35 S275"/>
    <x v="0"/>
    <s v="35"/>
    <m/>
    <n v="35"/>
    <s v="   "/>
    <n v="0.754"/>
    <n v="0.1608"/>
    <n v="0"/>
    <x v="26"/>
  </r>
  <r>
    <s v="06098"/>
    <x v="25"/>
    <s v="Personnel"/>
    <s v="H "/>
    <x v="1"/>
    <x v="54"/>
    <s v="PSES High Prog01Act35 S275"/>
    <x v="0"/>
    <s v="35"/>
    <m/>
    <n v="35"/>
    <s v="   "/>
    <n v="0.754"/>
    <n v="0.1608"/>
    <n v="0"/>
    <x v="9"/>
  </r>
  <r>
    <s v="06098"/>
    <x v="25"/>
    <s v="Personnel"/>
    <s v="M "/>
    <x v="2"/>
    <x v="63"/>
    <s v="PSES Mid Prog01Act35 S275"/>
    <x v="0"/>
    <s v="35"/>
    <m/>
    <n v="35"/>
    <s v="   "/>
    <n v="0.754"/>
    <n v="0.1608"/>
    <n v="0"/>
    <x v="10"/>
  </r>
  <r>
    <s v="06098"/>
    <x v="25"/>
    <s v="Personnel"/>
    <s v="E "/>
    <x v="0"/>
    <x v="15"/>
    <s v="PSES Elem Prog01Duty42 S275"/>
    <x v="0"/>
    <s v="42"/>
    <n v="42"/>
    <m/>
    <s v="   "/>
    <n v="1"/>
    <n v="0.1608"/>
    <n v="0"/>
    <x v="12"/>
  </r>
  <r>
    <s v="06098"/>
    <x v="25"/>
    <s v="Personnel"/>
    <s v="H "/>
    <x v="1"/>
    <x v="16"/>
    <s v="PSES High Prog01Duty42 S275"/>
    <x v="0"/>
    <s v="42"/>
    <n v="42"/>
    <m/>
    <s v="   "/>
    <n v="2"/>
    <n v="0.1608"/>
    <n v="0"/>
    <x v="13"/>
  </r>
  <r>
    <s v="06098"/>
    <x v="25"/>
    <s v="Personnel"/>
    <s v="M "/>
    <x v="2"/>
    <x v="17"/>
    <s v="PSES Mid Prog01Duty42 S275"/>
    <x v="0"/>
    <s v="42"/>
    <n v="42"/>
    <m/>
    <s v="   "/>
    <n v="1"/>
    <n v="0.1608"/>
    <n v="0"/>
    <x v="14"/>
  </r>
  <r>
    <s v="06098"/>
    <x v="25"/>
    <s v="Personnel"/>
    <s v="E "/>
    <x v="0"/>
    <x v="18"/>
    <s v="PSES Elem Prog21Duty43 S275"/>
    <x v="1"/>
    <s v="43"/>
    <n v="43"/>
    <m/>
    <s v="   "/>
    <n v="3"/>
    <n v="0.1608"/>
    <n v="0.48199999999999998"/>
    <x v="15"/>
  </r>
  <r>
    <s v="06098"/>
    <x v="25"/>
    <s v="Personnel"/>
    <s v="E "/>
    <x v="0"/>
    <x v="64"/>
    <s v="PSES Elem Prog09Duty44 S275"/>
    <x v="3"/>
    <s v="44"/>
    <n v="44"/>
    <m/>
    <s v="   "/>
    <n v="0.5"/>
    <n v="0.1608"/>
    <n v="0"/>
    <x v="40"/>
  </r>
  <r>
    <s v="06098"/>
    <x v="25"/>
    <s v="Personnel"/>
    <s v="E "/>
    <x v="0"/>
    <x v="41"/>
    <s v="PSES Elem Prog21Duty44 S275"/>
    <x v="1"/>
    <s v="44"/>
    <n v="44"/>
    <m/>
    <s v="   "/>
    <n v="0.6"/>
    <n v="0.1608"/>
    <n v="9.6000000000000002E-2"/>
    <x v="33"/>
  </r>
  <r>
    <s v="06098"/>
    <x v="25"/>
    <s v="Personnel"/>
    <s v="E "/>
    <x v="0"/>
    <x v="42"/>
    <s v="PSES Elem Prog01Duty44 S275"/>
    <x v="0"/>
    <s v="44"/>
    <n v="44"/>
    <m/>
    <s v="   "/>
    <n v="0.4"/>
    <n v="0.1608"/>
    <n v="0"/>
    <x v="33"/>
  </r>
  <r>
    <s v="06098"/>
    <x v="25"/>
    <s v="Personnel"/>
    <s v="E "/>
    <x v="0"/>
    <x v="22"/>
    <s v="PSES Elem Prog21Duty46 S275"/>
    <x v="1"/>
    <s v="46"/>
    <n v="46"/>
    <m/>
    <s v="   "/>
    <n v="0.95"/>
    <n v="0.1608"/>
    <n v="0.153"/>
    <x v="19"/>
  </r>
  <r>
    <s v="06098"/>
    <x v="25"/>
    <s v="Personnel"/>
    <s v="H "/>
    <x v="1"/>
    <x v="23"/>
    <s v="PSES High Prog21Duty46 S275"/>
    <x v="1"/>
    <s v="46"/>
    <n v="46"/>
    <m/>
    <s v="   "/>
    <n v="0.45"/>
    <n v="0.1608"/>
    <n v="7.1999999999999995E-2"/>
    <x v="20"/>
  </r>
  <r>
    <s v="06098"/>
    <x v="25"/>
    <s v="Personnel"/>
    <s v="M "/>
    <x v="2"/>
    <x v="24"/>
    <s v="PSES Mid Prog21Duty46 S275"/>
    <x v="1"/>
    <s v="46"/>
    <n v="46"/>
    <m/>
    <s v="   "/>
    <n v="0.5"/>
    <n v="0.1608"/>
    <n v="0.08"/>
    <x v="21"/>
  </r>
  <r>
    <s v="06098"/>
    <x v="25"/>
    <s v="Personnel"/>
    <s v="E "/>
    <x v="0"/>
    <x v="35"/>
    <s v="PSES Elem Prog21Duty48 S275"/>
    <x v="1"/>
    <s v="48"/>
    <n v="48"/>
    <m/>
    <s v="   "/>
    <n v="0.4"/>
    <n v="0.1608"/>
    <n v="6.4000000000000001E-2"/>
    <x v="29"/>
  </r>
  <r>
    <s v="06101"/>
    <x v="26"/>
    <s v="Personnel"/>
    <s v="E "/>
    <x v="0"/>
    <x v="3"/>
    <s v="PSES Elem Prog01Act25 S275"/>
    <x v="0"/>
    <s v="25"/>
    <m/>
    <n v="25"/>
    <s v="   "/>
    <n v="1.7949999999999999"/>
    <n v="0.2359"/>
    <n v="0"/>
    <x v="3"/>
  </r>
  <r>
    <s v="06101"/>
    <x v="26"/>
    <s v="Personnel"/>
    <s v="H "/>
    <x v="1"/>
    <x v="5"/>
    <s v="PSES High Prog01Act25 S275"/>
    <x v="0"/>
    <s v="25"/>
    <m/>
    <n v="25"/>
    <s v="   "/>
    <n v="1.9E-2"/>
    <n v="0.2359"/>
    <n v="0"/>
    <x v="4"/>
  </r>
  <r>
    <s v="06101"/>
    <x v="26"/>
    <s v="Personnel"/>
    <s v="M "/>
    <x v="2"/>
    <x v="6"/>
    <s v="PSES Mid Prog01Act25 S275"/>
    <x v="0"/>
    <s v="25"/>
    <m/>
    <n v="25"/>
    <s v="   "/>
    <n v="0.105"/>
    <n v="0.2359"/>
    <n v="0"/>
    <x v="5"/>
  </r>
  <r>
    <s v="06101"/>
    <x v="26"/>
    <s v="Personnel"/>
    <s v="E "/>
    <x v="0"/>
    <x v="8"/>
    <s v="PSES Elem Prog01Act26 S275"/>
    <x v="0"/>
    <s v="26"/>
    <m/>
    <n v="26"/>
    <s v="   "/>
    <n v="0.69899999999999995"/>
    <n v="0.2359"/>
    <n v="0"/>
    <x v="6"/>
  </r>
  <r>
    <s v="06101"/>
    <x v="26"/>
    <s v="Personnel"/>
    <s v="E "/>
    <x v="0"/>
    <x v="15"/>
    <s v="PSES Elem Prog01Duty42 S275"/>
    <x v="0"/>
    <s v="42"/>
    <n v="42"/>
    <m/>
    <s v="   "/>
    <n v="2.33"/>
    <n v="0.2359"/>
    <n v="0"/>
    <x v="12"/>
  </r>
  <r>
    <s v="06101"/>
    <x v="26"/>
    <s v="Personnel"/>
    <s v="H "/>
    <x v="1"/>
    <x v="16"/>
    <s v="PSES High Prog01Duty42 S275"/>
    <x v="0"/>
    <s v="42"/>
    <n v="42"/>
    <m/>
    <s v="   "/>
    <n v="1.66"/>
    <n v="0.2359"/>
    <n v="0"/>
    <x v="13"/>
  </r>
  <r>
    <s v="06101"/>
    <x v="26"/>
    <s v="Personnel"/>
    <s v="M "/>
    <x v="2"/>
    <x v="17"/>
    <s v="PSES Mid Prog01Duty42 S275"/>
    <x v="0"/>
    <s v="42"/>
    <n v="42"/>
    <m/>
    <s v="   "/>
    <n v="0.56999999999999995"/>
    <n v="0.2359"/>
    <n v="0"/>
    <x v="14"/>
  </r>
  <r>
    <s v="06101"/>
    <x v="26"/>
    <s v="Personnel"/>
    <s v="E "/>
    <x v="0"/>
    <x v="20"/>
    <s v="PSES Elem Prog21Duty45 S275"/>
    <x v="1"/>
    <s v="45"/>
    <n v="45"/>
    <m/>
    <s v="   "/>
    <n v="2.59"/>
    <n v="0.2359"/>
    <n v="0.61099999999999999"/>
    <x v="17"/>
  </r>
  <r>
    <s v="06101"/>
    <x v="26"/>
    <s v="Personnel"/>
    <s v="H "/>
    <x v="1"/>
    <x v="21"/>
    <s v="PSES High Prog21Duty45 S275"/>
    <x v="1"/>
    <s v="45"/>
    <n v="45"/>
    <m/>
    <s v="   "/>
    <n v="0.22"/>
    <n v="0.2359"/>
    <n v="5.1999999999999998E-2"/>
    <x v="18"/>
  </r>
  <r>
    <s v="06101"/>
    <x v="26"/>
    <s v="Personnel"/>
    <s v="M "/>
    <x v="2"/>
    <x v="28"/>
    <s v="PSES Mid Prog21Duty45 S275"/>
    <x v="1"/>
    <s v="45"/>
    <n v="45"/>
    <m/>
    <s v="   "/>
    <n v="0.19"/>
    <n v="0.2359"/>
    <n v="4.4999999999999998E-2"/>
    <x v="25"/>
  </r>
  <r>
    <s v="06101"/>
    <x v="26"/>
    <s v="Personnel"/>
    <s v="E "/>
    <x v="0"/>
    <x v="38"/>
    <s v="PSES Elem Prog21Duty64 S275"/>
    <x v="1"/>
    <s v="64"/>
    <n v="64"/>
    <m/>
    <s v="   "/>
    <n v="0.57099999999999995"/>
    <n v="0.2359"/>
    <n v="0.13500000000000001"/>
    <x v="32"/>
  </r>
  <r>
    <s v="06103"/>
    <x v="27"/>
    <s v="Personnel"/>
    <s v="H "/>
    <x v="1"/>
    <x v="5"/>
    <s v="PSES High Prog01Act25 S275"/>
    <x v="0"/>
    <s v="25"/>
    <m/>
    <n v="25"/>
    <s v="   "/>
    <n v="0.55200000000000005"/>
    <n v="0.1913"/>
    <n v="0"/>
    <x v="4"/>
  </r>
  <r>
    <s v="06103"/>
    <x v="27"/>
    <s v="Personnel"/>
    <s v="H "/>
    <x v="1"/>
    <x v="9"/>
    <s v="PSES High Prog01Act26 S275"/>
    <x v="0"/>
    <s v="26"/>
    <m/>
    <n v="26"/>
    <s v="   "/>
    <n v="0.25"/>
    <n v="0.1913"/>
    <n v="0"/>
    <x v="7"/>
  </r>
  <r>
    <s v="06103"/>
    <x v="27"/>
    <s v="Personnel"/>
    <s v="M "/>
    <x v="2"/>
    <x v="17"/>
    <s v="PSES Mid Prog01Duty42 S275"/>
    <x v="0"/>
    <s v="42"/>
    <n v="42"/>
    <m/>
    <s v="   "/>
    <n v="0.34399999999999997"/>
    <n v="0.1913"/>
    <n v="0"/>
    <x v="14"/>
  </r>
  <r>
    <s v="06112"/>
    <x v="28"/>
    <s v="Personnel"/>
    <s v="E "/>
    <x v="0"/>
    <x v="0"/>
    <s v="PSES Elem Prog01Duty96 S275"/>
    <x v="0"/>
    <s v="24"/>
    <n v="96"/>
    <n v="24"/>
    <s v="   "/>
    <n v="0.61399999999999999"/>
    <n v="0.2361"/>
    <n v="0"/>
    <x v="0"/>
  </r>
  <r>
    <s v="06112"/>
    <x v="28"/>
    <s v="Personnel"/>
    <s v="H "/>
    <x v="1"/>
    <x v="1"/>
    <s v="PSES High Prog01Duty96 S275"/>
    <x v="0"/>
    <s v="24"/>
    <n v="96"/>
    <n v="24"/>
    <s v="   "/>
    <n v="0.53700000000000003"/>
    <n v="0.2361"/>
    <n v="0"/>
    <x v="1"/>
  </r>
  <r>
    <s v="06112"/>
    <x v="28"/>
    <s v="Personnel"/>
    <s v="M "/>
    <x v="2"/>
    <x v="2"/>
    <s v="PSES Mid Prog01Duty96 S275"/>
    <x v="0"/>
    <s v="24"/>
    <n v="96"/>
    <n v="24"/>
    <s v="   "/>
    <n v="0.20799999999999999"/>
    <n v="0.2361"/>
    <n v="0"/>
    <x v="2"/>
  </r>
  <r>
    <s v="06112"/>
    <x v="28"/>
    <s v="Personnel"/>
    <s v="E "/>
    <x v="0"/>
    <x v="3"/>
    <s v="PSES Elem Prog01Act25 S275"/>
    <x v="0"/>
    <s v="25"/>
    <m/>
    <n v="25"/>
    <s v="   "/>
    <n v="2.9620000000000002"/>
    <n v="0.2361"/>
    <n v="0"/>
    <x v="3"/>
  </r>
  <r>
    <s v="06112"/>
    <x v="28"/>
    <s v="Personnel"/>
    <s v="H "/>
    <x v="1"/>
    <x v="5"/>
    <s v="PSES High Prog01Act25 S275"/>
    <x v="0"/>
    <s v="25"/>
    <m/>
    <n v="25"/>
    <s v="   "/>
    <n v="0.76700000000000002"/>
    <n v="0.2361"/>
    <n v="0"/>
    <x v="4"/>
  </r>
  <r>
    <s v="06112"/>
    <x v="28"/>
    <s v="Personnel"/>
    <s v="M "/>
    <x v="2"/>
    <x v="6"/>
    <s v="PSES Mid Prog01Act25 S275"/>
    <x v="0"/>
    <s v="25"/>
    <m/>
    <n v="25"/>
    <s v="   "/>
    <n v="0.215"/>
    <n v="0.2361"/>
    <n v="0"/>
    <x v="5"/>
  </r>
  <r>
    <s v="06112"/>
    <x v="28"/>
    <s v="Personnel"/>
    <s v="H "/>
    <x v="1"/>
    <x v="54"/>
    <s v="PSES High Prog01Act35 S275"/>
    <x v="0"/>
    <s v="35"/>
    <m/>
    <n v="35"/>
    <s v="   "/>
    <n v="1.3340000000000001"/>
    <n v="0.2361"/>
    <n v="0"/>
    <x v="9"/>
  </r>
  <r>
    <s v="06112"/>
    <x v="28"/>
    <s v="Personnel"/>
    <s v="E "/>
    <x v="0"/>
    <x v="15"/>
    <s v="PSES Elem Prog01Duty42 S275"/>
    <x v="0"/>
    <s v="42"/>
    <n v="42"/>
    <m/>
    <s v="   "/>
    <n v="3.9409999999999998"/>
    <n v="0.2361"/>
    <n v="0"/>
    <x v="12"/>
  </r>
  <r>
    <s v="06112"/>
    <x v="28"/>
    <s v="Personnel"/>
    <s v="H "/>
    <x v="1"/>
    <x v="16"/>
    <s v="PSES High Prog01Duty42 S275"/>
    <x v="0"/>
    <s v="42"/>
    <n v="42"/>
    <m/>
    <s v="   "/>
    <n v="2.2719999999999998"/>
    <n v="0.2361"/>
    <n v="0"/>
    <x v="13"/>
  </r>
  <r>
    <s v="06112"/>
    <x v="28"/>
    <s v="Personnel"/>
    <s v="M "/>
    <x v="2"/>
    <x v="17"/>
    <s v="PSES Mid Prog01Duty42 S275"/>
    <x v="0"/>
    <s v="42"/>
    <n v="42"/>
    <m/>
    <s v="   "/>
    <n v="1.0369999999999999"/>
    <n v="0.2361"/>
    <n v="0"/>
    <x v="14"/>
  </r>
  <r>
    <s v="06112"/>
    <x v="28"/>
    <s v="Personnel"/>
    <s v="E "/>
    <x v="0"/>
    <x v="18"/>
    <s v="PSES Elem Prog21Duty43 S275"/>
    <x v="1"/>
    <s v="43"/>
    <n v="43"/>
    <m/>
    <s v="   "/>
    <n v="0.92"/>
    <n v="0.2361"/>
    <n v="0.217"/>
    <x v="15"/>
  </r>
  <r>
    <s v="06112"/>
    <x v="28"/>
    <s v="Personnel"/>
    <s v="H "/>
    <x v="1"/>
    <x v="19"/>
    <s v="PSES High Prog21Duty43 S275"/>
    <x v="1"/>
    <s v="43"/>
    <n v="43"/>
    <m/>
    <s v="   "/>
    <n v="0.48"/>
    <n v="0.2361"/>
    <n v="0.113"/>
    <x v="16"/>
  </r>
  <r>
    <s v="06112"/>
    <x v="28"/>
    <s v="Personnel"/>
    <s v="E "/>
    <x v="0"/>
    <x v="20"/>
    <s v="PSES Elem Prog21Duty45 S275"/>
    <x v="1"/>
    <s v="45"/>
    <n v="45"/>
    <m/>
    <s v="   "/>
    <n v="3.9140000000000001"/>
    <n v="0.2361"/>
    <n v="0.92400000000000004"/>
    <x v="17"/>
  </r>
  <r>
    <s v="06112"/>
    <x v="28"/>
    <s v="Personnel"/>
    <s v="H "/>
    <x v="1"/>
    <x v="21"/>
    <s v="PSES High Prog21Duty45 S275"/>
    <x v="1"/>
    <s v="45"/>
    <n v="45"/>
    <m/>
    <s v="   "/>
    <n v="1"/>
    <n v="0.2361"/>
    <n v="0.23599999999999999"/>
    <x v="18"/>
  </r>
  <r>
    <s v="06112"/>
    <x v="28"/>
    <s v="Personnel"/>
    <s v="M "/>
    <x v="2"/>
    <x v="28"/>
    <s v="PSES Mid Prog21Duty45 S275"/>
    <x v="1"/>
    <s v="45"/>
    <n v="45"/>
    <m/>
    <s v="   "/>
    <n v="0.67500000000000004"/>
    <n v="0.2361"/>
    <n v="0.159"/>
    <x v="25"/>
  </r>
  <r>
    <s v="06112"/>
    <x v="28"/>
    <s v="Personnel"/>
    <s v="E "/>
    <x v="0"/>
    <x v="35"/>
    <s v="PSES Elem Prog21Duty48 S275"/>
    <x v="1"/>
    <s v="48"/>
    <n v="48"/>
    <m/>
    <s v="   "/>
    <n v="0.2"/>
    <n v="0.2361"/>
    <n v="4.7E-2"/>
    <x v="29"/>
  </r>
  <r>
    <s v="06114"/>
    <x v="29"/>
    <s v="Personnel"/>
    <s v="H "/>
    <x v="1"/>
    <x v="4"/>
    <s v="PSES High Prog21Act25 S275"/>
    <x v="1"/>
    <s v="25"/>
    <m/>
    <n v="25"/>
    <s v="   "/>
    <n v="0.83199999999999996"/>
    <n v="0.21540000000000001"/>
    <n v="0.17899999999999999"/>
    <x v="4"/>
  </r>
  <r>
    <s v="06114"/>
    <x v="29"/>
    <s v="Personnel"/>
    <s v="H "/>
    <x v="1"/>
    <x v="5"/>
    <s v="PSES High Prog01Act25 S275"/>
    <x v="0"/>
    <s v="25"/>
    <m/>
    <n v="25"/>
    <s v="   "/>
    <n v="36.594999999999999"/>
    <n v="0.21540000000000001"/>
    <n v="0"/>
    <x v="4"/>
  </r>
  <r>
    <s v="06114"/>
    <x v="29"/>
    <s v="Personnel"/>
    <s v="H "/>
    <x v="1"/>
    <x v="29"/>
    <s v="PSES High Prog21Act26 S275"/>
    <x v="1"/>
    <s v="26"/>
    <m/>
    <n v="26"/>
    <s v="   "/>
    <n v="3.3460000000000001"/>
    <n v="0.21540000000000001"/>
    <n v="0.72099999999999997"/>
    <x v="7"/>
  </r>
  <r>
    <s v="06114"/>
    <x v="29"/>
    <s v="Personnel"/>
    <s v="H "/>
    <x v="1"/>
    <x v="9"/>
    <s v="PSES High Prog01Act26 S275"/>
    <x v="0"/>
    <s v="26"/>
    <m/>
    <n v="26"/>
    <s v="   "/>
    <n v="6.3860000000000001"/>
    <n v="0.21540000000000001"/>
    <n v="0"/>
    <x v="7"/>
  </r>
  <r>
    <s v="06114"/>
    <x v="29"/>
    <s v="Personnel"/>
    <s v="H "/>
    <x v="1"/>
    <x v="54"/>
    <s v="PSES High Prog01Act35 S275"/>
    <x v="0"/>
    <s v="35"/>
    <m/>
    <n v="35"/>
    <s v="   "/>
    <n v="15.875999999999999"/>
    <n v="0.21540000000000001"/>
    <n v="0"/>
    <x v="9"/>
  </r>
  <r>
    <s v="06114"/>
    <x v="29"/>
    <s v="Personnel"/>
    <s v="E "/>
    <x v="0"/>
    <x v="14"/>
    <s v="PSES Elem Prog21Duty39 S275"/>
    <x v="1"/>
    <s v="39"/>
    <n v="39"/>
    <m/>
    <s v="   "/>
    <n v="1"/>
    <n v="0.21540000000000001"/>
    <n v="0.215"/>
    <x v="11"/>
  </r>
  <r>
    <s v="06114"/>
    <x v="29"/>
    <s v="Personnel"/>
    <s v="E "/>
    <x v="0"/>
    <x v="15"/>
    <s v="PSES Elem Prog01Duty42 S275"/>
    <x v="0"/>
    <s v="42"/>
    <n v="42"/>
    <m/>
    <s v="   "/>
    <n v="20.745999999999999"/>
    <n v="0.21540000000000001"/>
    <n v="0"/>
    <x v="12"/>
  </r>
  <r>
    <s v="06114"/>
    <x v="29"/>
    <s v="Personnel"/>
    <s v="H "/>
    <x v="1"/>
    <x v="16"/>
    <s v="PSES High Prog01Duty42 S275"/>
    <x v="0"/>
    <s v="42"/>
    <n v="42"/>
    <m/>
    <s v="   "/>
    <n v="20.317"/>
    <n v="0.21540000000000001"/>
    <n v="0"/>
    <x v="13"/>
  </r>
  <r>
    <s v="06114"/>
    <x v="29"/>
    <s v="Personnel"/>
    <s v="M "/>
    <x v="2"/>
    <x v="17"/>
    <s v="PSES Mid Prog01Duty42 S275"/>
    <x v="0"/>
    <s v="42"/>
    <n v="42"/>
    <m/>
    <s v="   "/>
    <n v="9.7539999999999996"/>
    <n v="0.21540000000000001"/>
    <n v="0"/>
    <x v="14"/>
  </r>
  <r>
    <s v="06114"/>
    <x v="29"/>
    <s v="Personnel"/>
    <s v="E "/>
    <x v="0"/>
    <x v="18"/>
    <s v="PSES Elem Prog21Duty43 S275"/>
    <x v="1"/>
    <s v="43"/>
    <n v="43"/>
    <m/>
    <s v="   "/>
    <n v="9.4320000000000004"/>
    <n v="0.21540000000000001"/>
    <n v="2.032"/>
    <x v="15"/>
  </r>
  <r>
    <s v="06114"/>
    <x v="29"/>
    <s v="Personnel"/>
    <s v="H "/>
    <x v="1"/>
    <x v="19"/>
    <s v="PSES High Prog21Duty43 S275"/>
    <x v="1"/>
    <s v="43"/>
    <n v="43"/>
    <m/>
    <s v="   "/>
    <n v="0.7"/>
    <n v="0.21540000000000001"/>
    <n v="0.151"/>
    <x v="16"/>
  </r>
  <r>
    <s v="06114"/>
    <x v="29"/>
    <s v="Personnel"/>
    <s v="M "/>
    <x v="2"/>
    <x v="31"/>
    <s v="PSES Mid Prog21Duty43 S275"/>
    <x v="1"/>
    <s v="43"/>
    <n v="43"/>
    <m/>
    <s v="   "/>
    <n v="0.46800000000000003"/>
    <n v="0.21540000000000001"/>
    <n v="0.10100000000000001"/>
    <x v="27"/>
  </r>
  <r>
    <s v="06114"/>
    <x v="29"/>
    <s v="Personnel"/>
    <s v="E "/>
    <x v="0"/>
    <x v="42"/>
    <s v="PSES Elem Prog01Duty44 S275"/>
    <x v="0"/>
    <s v="44"/>
    <n v="44"/>
    <m/>
    <s v="   "/>
    <n v="5.6660000000000004"/>
    <n v="0.21540000000000001"/>
    <n v="0"/>
    <x v="33"/>
  </r>
  <r>
    <s v="06114"/>
    <x v="29"/>
    <s v="Personnel"/>
    <s v="M "/>
    <x v="2"/>
    <x v="46"/>
    <s v="PSES Mid Prog01Duty44 S275"/>
    <x v="0"/>
    <s v="44"/>
    <n v="44"/>
    <m/>
    <s v="   "/>
    <n v="1.3340000000000001"/>
    <n v="0.21540000000000001"/>
    <n v="0"/>
    <x v="35"/>
  </r>
  <r>
    <s v="06114"/>
    <x v="29"/>
    <s v="Personnel"/>
    <s v="E "/>
    <x v="0"/>
    <x v="20"/>
    <s v="PSES Elem Prog21Duty45 S275"/>
    <x v="1"/>
    <s v="45"/>
    <n v="45"/>
    <m/>
    <s v="   "/>
    <n v="28.527999999999999"/>
    <n v="0.21540000000000001"/>
    <n v="6.1449999999999996"/>
    <x v="17"/>
  </r>
  <r>
    <s v="06114"/>
    <x v="29"/>
    <s v="Personnel"/>
    <s v="H "/>
    <x v="1"/>
    <x v="21"/>
    <s v="PSES High Prog21Duty45 S275"/>
    <x v="1"/>
    <s v="45"/>
    <n v="45"/>
    <m/>
    <s v="   "/>
    <n v="9.3390000000000004"/>
    <n v="0.21540000000000001"/>
    <n v="2.012"/>
    <x v="18"/>
  </r>
  <r>
    <s v="06114"/>
    <x v="29"/>
    <s v="Personnel"/>
    <s v="M "/>
    <x v="2"/>
    <x v="28"/>
    <s v="PSES Mid Prog21Duty45 S275"/>
    <x v="1"/>
    <s v="45"/>
    <n v="45"/>
    <m/>
    <s v="   "/>
    <n v="4.6719999999999997"/>
    <n v="0.21540000000000001"/>
    <n v="1.006"/>
    <x v="25"/>
  </r>
  <r>
    <s v="06114"/>
    <x v="29"/>
    <s v="Personnel"/>
    <s v="E "/>
    <x v="0"/>
    <x v="22"/>
    <s v="PSES Elem Prog21Duty46 S275"/>
    <x v="1"/>
    <s v="46"/>
    <n v="46"/>
    <m/>
    <s v="   "/>
    <n v="13.45"/>
    <n v="0.21540000000000001"/>
    <n v="2.8969999999999998"/>
    <x v="19"/>
  </r>
  <r>
    <s v="06114"/>
    <x v="29"/>
    <s v="Personnel"/>
    <s v="H "/>
    <x v="1"/>
    <x v="23"/>
    <s v="PSES High Prog21Duty46 S275"/>
    <x v="1"/>
    <s v="46"/>
    <n v="46"/>
    <m/>
    <s v="   "/>
    <n v="4.25"/>
    <n v="0.21540000000000001"/>
    <n v="0.91500000000000004"/>
    <x v="20"/>
  </r>
  <r>
    <s v="06114"/>
    <x v="29"/>
    <s v="Personnel"/>
    <s v="M "/>
    <x v="2"/>
    <x v="24"/>
    <s v="PSES Mid Prog21Duty46 S275"/>
    <x v="1"/>
    <s v="46"/>
    <n v="46"/>
    <m/>
    <s v="   "/>
    <n v="3.6"/>
    <n v="0.21540000000000001"/>
    <n v="0.77500000000000002"/>
    <x v="21"/>
  </r>
  <r>
    <s v="06114"/>
    <x v="29"/>
    <s v="Personnel"/>
    <s v="E "/>
    <x v="0"/>
    <x v="27"/>
    <s v="PSES Elem Prog01Duty47 S275"/>
    <x v="0"/>
    <s v="47"/>
    <n v="47"/>
    <m/>
    <s v="   "/>
    <n v="7.47"/>
    <n v="0.21540000000000001"/>
    <n v="0"/>
    <x v="24"/>
  </r>
  <r>
    <s v="06114"/>
    <x v="29"/>
    <s v="Personnel"/>
    <s v="H "/>
    <x v="1"/>
    <x v="25"/>
    <s v="PSES High Prog01Duty47 S275"/>
    <x v="0"/>
    <s v="47"/>
    <n v="47"/>
    <m/>
    <s v="   "/>
    <n v="5.085"/>
    <n v="0.21540000000000001"/>
    <n v="0"/>
    <x v="22"/>
  </r>
  <r>
    <s v="06114"/>
    <x v="29"/>
    <s v="Personnel"/>
    <s v="M "/>
    <x v="2"/>
    <x v="34"/>
    <s v="PSES Mid Prog01Duty47 S275"/>
    <x v="0"/>
    <s v="47"/>
    <n v="47"/>
    <m/>
    <s v="   "/>
    <n v="1.9039999999999999"/>
    <n v="0.21540000000000001"/>
    <n v="0"/>
    <x v="28"/>
  </r>
  <r>
    <s v="06114"/>
    <x v="29"/>
    <s v="Personnel"/>
    <s v="E "/>
    <x v="0"/>
    <x v="35"/>
    <s v="PSES Elem Prog21Duty48 S275"/>
    <x v="1"/>
    <s v="48"/>
    <n v="48"/>
    <m/>
    <s v="   "/>
    <n v="3.8730000000000002"/>
    <n v="0.21540000000000001"/>
    <n v="0.83399999999999996"/>
    <x v="29"/>
  </r>
  <r>
    <s v="06114"/>
    <x v="29"/>
    <s v="Personnel"/>
    <s v="H "/>
    <x v="1"/>
    <x v="36"/>
    <s v="PSES High Prog21Duty48 S275"/>
    <x v="1"/>
    <s v="48"/>
    <n v="48"/>
    <m/>
    <s v="   "/>
    <n v="0.9"/>
    <n v="0.21540000000000001"/>
    <n v="0.19400000000000001"/>
    <x v="30"/>
  </r>
  <r>
    <s v="06114"/>
    <x v="29"/>
    <s v="Personnel"/>
    <s v="M "/>
    <x v="2"/>
    <x v="37"/>
    <s v="PSES Mid Prog21Duty48 S275"/>
    <x v="1"/>
    <s v="48"/>
    <n v="48"/>
    <m/>
    <s v="   "/>
    <n v="0.53100000000000003"/>
    <n v="0.21540000000000001"/>
    <n v="0.114"/>
    <x v="31"/>
  </r>
  <r>
    <s v="06114"/>
    <x v="29"/>
    <s v="Personnel"/>
    <s v="H "/>
    <x v="1"/>
    <x v="55"/>
    <s v="PSES High Prog21Duty49 S275"/>
    <x v="1"/>
    <s v="49"/>
    <n v="49"/>
    <m/>
    <s v="   "/>
    <n v="3"/>
    <n v="0.21540000000000001"/>
    <n v="0.64600000000000002"/>
    <x v="37"/>
  </r>
  <r>
    <s v="06117"/>
    <x v="30"/>
    <s v="Personnel"/>
    <s v="E "/>
    <x v="0"/>
    <x v="3"/>
    <s v="PSES Elem Prog01Act25 S275"/>
    <x v="0"/>
    <s v="25"/>
    <m/>
    <n v="25"/>
    <s v="   "/>
    <n v="3.4119999999999999"/>
    <n v="0.20230000000000001"/>
    <n v="0"/>
    <x v="3"/>
  </r>
  <r>
    <s v="06117"/>
    <x v="30"/>
    <s v="Personnel"/>
    <s v="H "/>
    <x v="1"/>
    <x v="5"/>
    <s v="PSES High Prog01Act25 S275"/>
    <x v="0"/>
    <s v="25"/>
    <m/>
    <n v="25"/>
    <s v="   "/>
    <n v="7.8719999999999999"/>
    <n v="0.20230000000000001"/>
    <n v="0"/>
    <x v="4"/>
  </r>
  <r>
    <s v="06117"/>
    <x v="30"/>
    <s v="Personnel"/>
    <s v="E "/>
    <x v="0"/>
    <x v="7"/>
    <s v="PSES Elem Prog21Act26 S275"/>
    <x v="1"/>
    <s v="26"/>
    <m/>
    <n v="26"/>
    <s v="   "/>
    <n v="5.5E-2"/>
    <n v="0.20230000000000001"/>
    <n v="1.0999999999999999E-2"/>
    <x v="6"/>
  </r>
  <r>
    <s v="06117"/>
    <x v="30"/>
    <s v="Personnel"/>
    <s v="E "/>
    <x v="0"/>
    <x v="8"/>
    <s v="PSES Elem Prog01Act26 S275"/>
    <x v="0"/>
    <s v="26"/>
    <m/>
    <n v="26"/>
    <s v="   "/>
    <n v="4.8049999999999997"/>
    <n v="0.20230000000000001"/>
    <n v="0"/>
    <x v="6"/>
  </r>
  <r>
    <s v="06117"/>
    <x v="30"/>
    <s v="Personnel"/>
    <s v="H "/>
    <x v="1"/>
    <x v="29"/>
    <s v="PSES High Prog21Act26 S275"/>
    <x v="1"/>
    <s v="26"/>
    <m/>
    <n v="26"/>
    <s v="   "/>
    <n v="0.52"/>
    <n v="0.20230000000000001"/>
    <n v="0.105"/>
    <x v="7"/>
  </r>
  <r>
    <s v="06117"/>
    <x v="30"/>
    <s v="Personnel"/>
    <s v="H "/>
    <x v="1"/>
    <x v="9"/>
    <s v="PSES High Prog01Act26 S275"/>
    <x v="0"/>
    <s v="26"/>
    <m/>
    <n v="26"/>
    <s v="   "/>
    <n v="3.37"/>
    <n v="0.20230000000000001"/>
    <n v="0"/>
    <x v="7"/>
  </r>
  <r>
    <s v="06117"/>
    <x v="30"/>
    <s v="Personnel"/>
    <s v="M "/>
    <x v="2"/>
    <x v="11"/>
    <s v="PSES Mid Prog01Act26 S275"/>
    <x v="0"/>
    <s v="26"/>
    <m/>
    <n v="26"/>
    <s v="   "/>
    <n v="2.2149999999999999"/>
    <n v="0.20230000000000001"/>
    <n v="0"/>
    <x v="8"/>
  </r>
  <r>
    <s v="06117"/>
    <x v="30"/>
    <s v="Personnel"/>
    <s v="H "/>
    <x v="1"/>
    <x v="54"/>
    <s v="PSES High Prog01Act35 S275"/>
    <x v="0"/>
    <s v="35"/>
    <m/>
    <n v="35"/>
    <s v="   "/>
    <n v="0.72599999999999998"/>
    <n v="0.20230000000000001"/>
    <n v="0"/>
    <x v="9"/>
  </r>
  <r>
    <s v="06117"/>
    <x v="30"/>
    <s v="Personnel"/>
    <s v="E "/>
    <x v="0"/>
    <x v="15"/>
    <s v="PSES Elem Prog01Duty42 S275"/>
    <x v="0"/>
    <s v="42"/>
    <n v="42"/>
    <m/>
    <s v="   "/>
    <n v="8.266"/>
    <n v="0.20230000000000001"/>
    <n v="0"/>
    <x v="12"/>
  </r>
  <r>
    <s v="06117"/>
    <x v="30"/>
    <s v="Personnel"/>
    <s v="H "/>
    <x v="1"/>
    <x v="16"/>
    <s v="PSES High Prog01Duty42 S275"/>
    <x v="0"/>
    <s v="42"/>
    <n v="42"/>
    <m/>
    <s v="   "/>
    <n v="9.5280000000000005"/>
    <n v="0.20230000000000001"/>
    <n v="0"/>
    <x v="13"/>
  </r>
  <r>
    <s v="06117"/>
    <x v="30"/>
    <s v="Personnel"/>
    <s v="M "/>
    <x v="2"/>
    <x v="17"/>
    <s v="PSES Mid Prog01Duty42 S275"/>
    <x v="0"/>
    <s v="42"/>
    <n v="42"/>
    <m/>
    <s v="   "/>
    <n v="2.3340000000000001"/>
    <n v="0.20230000000000001"/>
    <n v="0"/>
    <x v="14"/>
  </r>
  <r>
    <s v="06117"/>
    <x v="30"/>
    <s v="Personnel"/>
    <s v="E "/>
    <x v="0"/>
    <x v="18"/>
    <s v="PSES Elem Prog21Duty43 S275"/>
    <x v="1"/>
    <s v="43"/>
    <n v="43"/>
    <m/>
    <s v="   "/>
    <n v="2.8"/>
    <n v="0.20230000000000001"/>
    <n v="0.56599999999999995"/>
    <x v="15"/>
  </r>
  <r>
    <s v="06117"/>
    <x v="30"/>
    <s v="Personnel"/>
    <s v="E "/>
    <x v="0"/>
    <x v="20"/>
    <s v="PSES Elem Prog21Duty45 S275"/>
    <x v="1"/>
    <s v="45"/>
    <n v="45"/>
    <m/>
    <s v="   "/>
    <n v="7.6"/>
    <n v="0.20230000000000001"/>
    <n v="1.5369999999999999"/>
    <x v="17"/>
  </r>
  <r>
    <s v="06117"/>
    <x v="30"/>
    <s v="Personnel"/>
    <s v="H "/>
    <x v="1"/>
    <x v="21"/>
    <s v="PSES High Prog21Duty45 S275"/>
    <x v="1"/>
    <s v="45"/>
    <n v="45"/>
    <m/>
    <s v="   "/>
    <n v="2"/>
    <n v="0.20230000000000001"/>
    <n v="0.40500000000000003"/>
    <x v="18"/>
  </r>
  <r>
    <s v="06117"/>
    <x v="30"/>
    <s v="Personnel"/>
    <s v="E "/>
    <x v="0"/>
    <x v="22"/>
    <s v="PSES Elem Prog21Duty46 S275"/>
    <x v="1"/>
    <s v="46"/>
    <n v="46"/>
    <m/>
    <s v="   "/>
    <n v="7"/>
    <n v="0.20230000000000001"/>
    <n v="1.4159999999999999"/>
    <x v="19"/>
  </r>
  <r>
    <s v="06117"/>
    <x v="30"/>
    <s v="Personnel"/>
    <s v="H "/>
    <x v="1"/>
    <x v="23"/>
    <s v="PSES High Prog21Duty46 S275"/>
    <x v="1"/>
    <s v="46"/>
    <n v="46"/>
    <m/>
    <s v="   "/>
    <n v="0.15"/>
    <n v="0.20230000000000001"/>
    <n v="0.03"/>
    <x v="20"/>
  </r>
  <r>
    <s v="06117"/>
    <x v="30"/>
    <s v="Personnel"/>
    <s v="M "/>
    <x v="2"/>
    <x v="24"/>
    <s v="PSES Mid Prog21Duty46 S275"/>
    <x v="1"/>
    <s v="46"/>
    <n v="46"/>
    <m/>
    <s v="   "/>
    <n v="0.6"/>
    <n v="0.20230000000000001"/>
    <n v="0.121"/>
    <x v="21"/>
  </r>
  <r>
    <s v="06117"/>
    <x v="30"/>
    <s v="Personnel"/>
    <s v="E "/>
    <x v="0"/>
    <x v="35"/>
    <s v="PSES Elem Prog21Duty48 S275"/>
    <x v="1"/>
    <s v="48"/>
    <n v="48"/>
    <m/>
    <s v="   "/>
    <n v="0.5"/>
    <n v="0.20230000000000001"/>
    <n v="0.10100000000000001"/>
    <x v="29"/>
  </r>
  <r>
    <s v="06117"/>
    <x v="30"/>
    <s v="Personnel"/>
    <s v="M "/>
    <x v="2"/>
    <x v="37"/>
    <s v="PSES Mid Prog21Duty48 S275"/>
    <x v="1"/>
    <s v="48"/>
    <n v="48"/>
    <m/>
    <s v="   "/>
    <n v="1"/>
    <n v="0.20230000000000001"/>
    <n v="0.20200000000000001"/>
    <x v="31"/>
  </r>
  <r>
    <s v="06119"/>
    <x v="31"/>
    <s v="Personnel"/>
    <s v="H "/>
    <x v="1"/>
    <x v="1"/>
    <s v="PSES High Prog01Duty96 S275"/>
    <x v="0"/>
    <s v="24"/>
    <n v="96"/>
    <n v="24"/>
    <s v="   "/>
    <n v="2.0670000000000002"/>
    <n v="0.22189999999999999"/>
    <n v="0"/>
    <x v="1"/>
  </r>
  <r>
    <s v="06119"/>
    <x v="31"/>
    <s v="Personnel"/>
    <s v="M "/>
    <x v="2"/>
    <x v="2"/>
    <s v="PSES Mid Prog01Duty96 S275"/>
    <x v="0"/>
    <s v="24"/>
    <n v="96"/>
    <n v="24"/>
    <s v="   "/>
    <n v="1.845"/>
    <n v="0.22189999999999999"/>
    <n v="0"/>
    <x v="2"/>
  </r>
  <r>
    <s v="06119"/>
    <x v="31"/>
    <s v="Personnel"/>
    <s v="E "/>
    <x v="0"/>
    <x v="3"/>
    <s v="PSES Elem Prog01Act25 S275"/>
    <x v="0"/>
    <s v="25"/>
    <m/>
    <n v="25"/>
    <s v="   "/>
    <n v="12.385999999999999"/>
    <n v="0.22189999999999999"/>
    <n v="0"/>
    <x v="3"/>
  </r>
  <r>
    <s v="06119"/>
    <x v="31"/>
    <s v="Personnel"/>
    <s v="H "/>
    <x v="1"/>
    <x v="4"/>
    <s v="PSES High Prog21Act25 S275"/>
    <x v="1"/>
    <s v="25"/>
    <m/>
    <n v="25"/>
    <s v="   "/>
    <n v="1.796"/>
    <n v="0.22189999999999999"/>
    <n v="0.39900000000000002"/>
    <x v="4"/>
  </r>
  <r>
    <s v="06119"/>
    <x v="31"/>
    <s v="Personnel"/>
    <s v="H "/>
    <x v="1"/>
    <x v="5"/>
    <s v="PSES High Prog01Act25 S275"/>
    <x v="0"/>
    <s v="25"/>
    <m/>
    <n v="25"/>
    <s v="   "/>
    <n v="11.167"/>
    <n v="0.22189999999999999"/>
    <n v="0"/>
    <x v="4"/>
  </r>
  <r>
    <s v="06119"/>
    <x v="31"/>
    <s v="Personnel"/>
    <s v="M "/>
    <x v="2"/>
    <x v="6"/>
    <s v="PSES Mid Prog01Act25 S275"/>
    <x v="0"/>
    <s v="25"/>
    <m/>
    <n v="25"/>
    <s v="   "/>
    <n v="5.407"/>
    <n v="0.22189999999999999"/>
    <n v="0"/>
    <x v="5"/>
  </r>
  <r>
    <s v="06119"/>
    <x v="31"/>
    <s v="Personnel"/>
    <s v="E "/>
    <x v="0"/>
    <x v="7"/>
    <s v="PSES Elem Prog21Act26 S275"/>
    <x v="1"/>
    <s v="26"/>
    <m/>
    <n v="26"/>
    <s v="   "/>
    <n v="0.95299999999999996"/>
    <n v="0.22189999999999999"/>
    <n v="0.21099999999999999"/>
    <x v="6"/>
  </r>
  <r>
    <s v="06119"/>
    <x v="31"/>
    <s v="Personnel"/>
    <s v="E "/>
    <x v="0"/>
    <x v="8"/>
    <s v="PSES Elem Prog01Act26 S275"/>
    <x v="0"/>
    <s v="26"/>
    <m/>
    <n v="26"/>
    <s v="   "/>
    <n v="5.1669999999999998"/>
    <n v="0.22189999999999999"/>
    <n v="0"/>
    <x v="6"/>
  </r>
  <r>
    <s v="06119"/>
    <x v="31"/>
    <s v="Personnel"/>
    <s v="H "/>
    <x v="1"/>
    <x v="29"/>
    <s v="PSES High Prog21Act26 S275"/>
    <x v="1"/>
    <s v="26"/>
    <m/>
    <n v="26"/>
    <s v="   "/>
    <n v="0.81499999999999995"/>
    <n v="0.22189999999999999"/>
    <n v="0.18099999999999999"/>
    <x v="7"/>
  </r>
  <r>
    <s v="06119"/>
    <x v="31"/>
    <s v="Personnel"/>
    <s v="H "/>
    <x v="1"/>
    <x v="9"/>
    <s v="PSES High Prog01Act26 S275"/>
    <x v="0"/>
    <s v="26"/>
    <m/>
    <n v="26"/>
    <s v="   "/>
    <n v="0.73799999999999999"/>
    <n v="0.22189999999999999"/>
    <n v="0"/>
    <x v="7"/>
  </r>
  <r>
    <s v="06119"/>
    <x v="31"/>
    <s v="Personnel"/>
    <s v="M "/>
    <x v="2"/>
    <x v="10"/>
    <s v="PSES Mid Prog21Act26 S275"/>
    <x v="1"/>
    <s v="26"/>
    <m/>
    <n v="26"/>
    <s v="   "/>
    <n v="0.81499999999999995"/>
    <n v="0.22189999999999999"/>
    <n v="0.18099999999999999"/>
    <x v="8"/>
  </r>
  <r>
    <s v="06119"/>
    <x v="31"/>
    <s v="Personnel"/>
    <s v="M "/>
    <x v="2"/>
    <x v="11"/>
    <s v="PSES Mid Prog01Act26 S275"/>
    <x v="0"/>
    <s v="26"/>
    <m/>
    <n v="26"/>
    <s v="   "/>
    <n v="2.952"/>
    <n v="0.22189999999999999"/>
    <n v="0"/>
    <x v="8"/>
  </r>
  <r>
    <s v="06119"/>
    <x v="31"/>
    <s v="Personnel"/>
    <s v="H "/>
    <x v="1"/>
    <x v="12"/>
    <s v="PSES High Prog97Act35 S275"/>
    <x v="2"/>
    <s v="35"/>
    <m/>
    <n v="35"/>
    <s v="   "/>
    <n v="1.9039999999999999"/>
    <n v="0.22189999999999999"/>
    <n v="0"/>
    <x v="9"/>
  </r>
  <r>
    <s v="06119"/>
    <x v="31"/>
    <s v="Personnel"/>
    <s v="H "/>
    <x v="1"/>
    <x v="54"/>
    <s v="PSES High Prog01Act35 S275"/>
    <x v="0"/>
    <s v="35"/>
    <m/>
    <n v="35"/>
    <s v="   "/>
    <n v="3.69"/>
    <n v="0.22189999999999999"/>
    <n v="0"/>
    <x v="9"/>
  </r>
  <r>
    <s v="06119"/>
    <x v="31"/>
    <s v="Personnel"/>
    <s v="M "/>
    <x v="2"/>
    <x v="63"/>
    <s v="PSES Mid Prog01Act35 S275"/>
    <x v="0"/>
    <s v="35"/>
    <m/>
    <n v="35"/>
    <s v="   "/>
    <n v="5.9039999999999999"/>
    <n v="0.22189999999999999"/>
    <n v="0"/>
    <x v="10"/>
  </r>
  <r>
    <s v="06119"/>
    <x v="31"/>
    <s v="Personnel"/>
    <s v="E "/>
    <x v="0"/>
    <x v="15"/>
    <s v="PSES Elem Prog01Duty42 S275"/>
    <x v="0"/>
    <s v="42"/>
    <n v="42"/>
    <m/>
    <s v="   "/>
    <n v="10.5"/>
    <n v="0.22189999999999999"/>
    <n v="0"/>
    <x v="12"/>
  </r>
  <r>
    <s v="06119"/>
    <x v="31"/>
    <s v="Personnel"/>
    <s v="H "/>
    <x v="1"/>
    <x v="16"/>
    <s v="PSES High Prog01Duty42 S275"/>
    <x v="0"/>
    <s v="42"/>
    <n v="42"/>
    <m/>
    <s v="   "/>
    <n v="11"/>
    <n v="0.22189999999999999"/>
    <n v="0"/>
    <x v="13"/>
  </r>
  <r>
    <s v="06119"/>
    <x v="31"/>
    <s v="Personnel"/>
    <s v="M "/>
    <x v="2"/>
    <x v="17"/>
    <s v="PSES Mid Prog01Duty42 S275"/>
    <x v="0"/>
    <s v="42"/>
    <n v="42"/>
    <m/>
    <s v="   "/>
    <n v="3.5"/>
    <n v="0.22189999999999999"/>
    <n v="0"/>
    <x v="14"/>
  </r>
  <r>
    <s v="06119"/>
    <x v="31"/>
    <s v="Personnel"/>
    <s v="E "/>
    <x v="0"/>
    <x v="18"/>
    <s v="PSES Elem Prog21Duty43 S275"/>
    <x v="1"/>
    <s v="43"/>
    <n v="43"/>
    <m/>
    <s v="   "/>
    <n v="6"/>
    <n v="0.22189999999999999"/>
    <n v="1.331"/>
    <x v="15"/>
  </r>
  <r>
    <s v="06119"/>
    <x v="31"/>
    <s v="Personnel"/>
    <s v="H "/>
    <x v="1"/>
    <x v="19"/>
    <s v="PSES High Prog21Duty43 S275"/>
    <x v="1"/>
    <s v="43"/>
    <n v="43"/>
    <m/>
    <s v="   "/>
    <n v="0.2"/>
    <n v="0.22189999999999999"/>
    <n v="4.3999999999999997E-2"/>
    <x v="16"/>
  </r>
  <r>
    <s v="06119"/>
    <x v="31"/>
    <s v="Personnel"/>
    <s v="M "/>
    <x v="2"/>
    <x v="31"/>
    <s v="PSES Mid Prog21Duty43 S275"/>
    <x v="1"/>
    <s v="43"/>
    <n v="43"/>
    <m/>
    <s v="   "/>
    <n v="0.7"/>
    <n v="0.22189999999999999"/>
    <n v="0.155"/>
    <x v="27"/>
  </r>
  <r>
    <s v="06119"/>
    <x v="31"/>
    <s v="Personnel"/>
    <s v="E "/>
    <x v="0"/>
    <x v="20"/>
    <s v="PSES Elem Prog21Duty45 S275"/>
    <x v="1"/>
    <s v="45"/>
    <n v="45"/>
    <m/>
    <s v="   "/>
    <n v="16.399999999999999"/>
    <n v="0.22189999999999999"/>
    <n v="3.6389999999999998"/>
    <x v="17"/>
  </r>
  <r>
    <s v="06119"/>
    <x v="31"/>
    <s v="Personnel"/>
    <s v="H "/>
    <x v="1"/>
    <x v="21"/>
    <s v="PSES High Prog21Duty45 S275"/>
    <x v="1"/>
    <s v="45"/>
    <n v="45"/>
    <m/>
    <s v="   "/>
    <n v="3.2"/>
    <n v="0.22189999999999999"/>
    <n v="0.71"/>
    <x v="18"/>
  </r>
  <r>
    <s v="06119"/>
    <x v="31"/>
    <s v="Personnel"/>
    <s v="M "/>
    <x v="2"/>
    <x v="28"/>
    <s v="PSES Mid Prog21Duty45 S275"/>
    <x v="1"/>
    <s v="45"/>
    <n v="45"/>
    <m/>
    <s v="   "/>
    <n v="2"/>
    <n v="0.22189999999999999"/>
    <n v="0.44400000000000001"/>
    <x v="25"/>
  </r>
  <r>
    <s v="06119"/>
    <x v="31"/>
    <s v="Personnel"/>
    <s v="E "/>
    <x v="0"/>
    <x v="22"/>
    <s v="PSES Elem Prog21Duty46 S275"/>
    <x v="1"/>
    <s v="46"/>
    <n v="46"/>
    <m/>
    <s v="   "/>
    <n v="12"/>
    <n v="0.22189999999999999"/>
    <n v="2.6629999999999998"/>
    <x v="19"/>
  </r>
  <r>
    <s v="06119"/>
    <x v="31"/>
    <s v="Personnel"/>
    <s v="E "/>
    <x v="0"/>
    <x v="48"/>
    <s v="PSES Elem Prog01Duty46 S275"/>
    <x v="0"/>
    <s v="46"/>
    <n v="46"/>
    <m/>
    <s v="   "/>
    <n v="1"/>
    <n v="0.22189999999999999"/>
    <n v="0"/>
    <x v="19"/>
  </r>
  <r>
    <s v="06119"/>
    <x v="31"/>
    <s v="Personnel"/>
    <s v="H "/>
    <x v="1"/>
    <x v="23"/>
    <s v="PSES High Prog21Duty46 S275"/>
    <x v="1"/>
    <s v="46"/>
    <n v="46"/>
    <m/>
    <s v="   "/>
    <n v="3"/>
    <n v="0.22189999999999999"/>
    <n v="0.66600000000000004"/>
    <x v="20"/>
  </r>
  <r>
    <s v="06119"/>
    <x v="31"/>
    <s v="Personnel"/>
    <s v="M "/>
    <x v="2"/>
    <x v="24"/>
    <s v="PSES Mid Prog21Duty46 S275"/>
    <x v="1"/>
    <s v="46"/>
    <n v="46"/>
    <m/>
    <s v="   "/>
    <n v="1"/>
    <n v="0.22189999999999999"/>
    <n v="0.222"/>
    <x v="21"/>
  </r>
  <r>
    <s v="06119"/>
    <x v="31"/>
    <s v="Personnel"/>
    <s v="E "/>
    <x v="0"/>
    <x v="27"/>
    <s v="PSES Elem Prog01Duty47 S275"/>
    <x v="0"/>
    <s v="47"/>
    <n v="47"/>
    <m/>
    <s v="   "/>
    <n v="2.54"/>
    <n v="0.22189999999999999"/>
    <n v="0"/>
    <x v="24"/>
  </r>
  <r>
    <s v="06119"/>
    <x v="31"/>
    <s v="Personnel"/>
    <s v="H "/>
    <x v="1"/>
    <x v="25"/>
    <s v="PSES High Prog01Duty47 S275"/>
    <x v="0"/>
    <s v="47"/>
    <n v="47"/>
    <m/>
    <s v="   "/>
    <n v="1"/>
    <n v="0.22189999999999999"/>
    <n v="0"/>
    <x v="22"/>
  </r>
  <r>
    <s v="06119"/>
    <x v="31"/>
    <s v="Personnel"/>
    <s v="M "/>
    <x v="2"/>
    <x v="34"/>
    <s v="PSES Mid Prog01Duty47 S275"/>
    <x v="0"/>
    <s v="47"/>
    <n v="47"/>
    <m/>
    <s v="   "/>
    <n v="1.7929999999999999"/>
    <n v="0.22189999999999999"/>
    <n v="0"/>
    <x v="28"/>
  </r>
  <r>
    <s v="06119"/>
    <x v="31"/>
    <s v="Personnel"/>
    <s v="E "/>
    <x v="0"/>
    <x v="35"/>
    <s v="PSES Elem Prog21Duty48 S275"/>
    <x v="1"/>
    <s v="48"/>
    <n v="48"/>
    <m/>
    <s v="   "/>
    <n v="1"/>
    <n v="0.22189999999999999"/>
    <n v="0.222"/>
    <x v="29"/>
  </r>
  <r>
    <s v="06122"/>
    <x v="32"/>
    <s v="Personnel"/>
    <s v="E "/>
    <x v="0"/>
    <x v="3"/>
    <s v="PSES Elem Prog01Act25 S275"/>
    <x v="0"/>
    <s v="25"/>
    <m/>
    <n v="25"/>
    <s v="   "/>
    <n v="1.7589999999999999"/>
    <n v="0.1794"/>
    <n v="0"/>
    <x v="3"/>
  </r>
  <r>
    <s v="06122"/>
    <x v="32"/>
    <s v="Personnel"/>
    <s v="M "/>
    <x v="2"/>
    <x v="6"/>
    <s v="PSES Mid Prog01Act25 S275"/>
    <x v="0"/>
    <s v="25"/>
    <m/>
    <n v="25"/>
    <s v="   "/>
    <n v="0.32200000000000001"/>
    <n v="0.1794"/>
    <n v="0"/>
    <x v="5"/>
  </r>
  <r>
    <s v="06122"/>
    <x v="32"/>
    <s v="Personnel"/>
    <s v="E "/>
    <x v="0"/>
    <x v="7"/>
    <s v="PSES Elem Prog21Act26 S275"/>
    <x v="1"/>
    <s v="26"/>
    <m/>
    <n v="26"/>
    <s v="   "/>
    <n v="0.20699999999999999"/>
    <n v="0.1794"/>
    <n v="3.6999999999999998E-2"/>
    <x v="6"/>
  </r>
  <r>
    <s v="06122"/>
    <x v="32"/>
    <s v="Personnel"/>
    <s v="E "/>
    <x v="0"/>
    <x v="8"/>
    <s v="PSES Elem Prog01Act26 S275"/>
    <x v="0"/>
    <s v="26"/>
    <m/>
    <n v="26"/>
    <s v="   "/>
    <n v="2.4569999999999999"/>
    <n v="0.1794"/>
    <n v="0"/>
    <x v="6"/>
  </r>
  <r>
    <s v="06122"/>
    <x v="32"/>
    <s v="Personnel"/>
    <s v="H "/>
    <x v="1"/>
    <x v="29"/>
    <s v="PSES High Prog21Act26 S275"/>
    <x v="1"/>
    <s v="26"/>
    <m/>
    <n v="26"/>
    <s v="   "/>
    <n v="0.94899999999999995"/>
    <n v="0.1794"/>
    <n v="0.17"/>
    <x v="7"/>
  </r>
  <r>
    <s v="06122"/>
    <x v="32"/>
    <s v="Personnel"/>
    <s v="H "/>
    <x v="1"/>
    <x v="9"/>
    <s v="PSES High Prog01Act26 S275"/>
    <x v="0"/>
    <s v="26"/>
    <m/>
    <n v="26"/>
    <s v="   "/>
    <n v="3.5409999999999999"/>
    <n v="0.1794"/>
    <n v="0"/>
    <x v="7"/>
  </r>
  <r>
    <s v="06122"/>
    <x v="32"/>
    <s v="Personnel"/>
    <s v="M "/>
    <x v="2"/>
    <x v="10"/>
    <s v="PSES Mid Prog21Act26 S275"/>
    <x v="1"/>
    <s v="26"/>
    <m/>
    <n v="26"/>
    <s v="   "/>
    <n v="0.28899999999999998"/>
    <n v="0.1794"/>
    <n v="5.1999999999999998E-2"/>
    <x v="8"/>
  </r>
  <r>
    <s v="06122"/>
    <x v="32"/>
    <s v="Personnel"/>
    <s v="M "/>
    <x v="2"/>
    <x v="11"/>
    <s v="PSES Mid Prog01Act26 S275"/>
    <x v="0"/>
    <s v="26"/>
    <m/>
    <n v="26"/>
    <s v="   "/>
    <n v="0.62"/>
    <n v="0.1794"/>
    <n v="0"/>
    <x v="8"/>
  </r>
  <r>
    <s v="06122"/>
    <x v="32"/>
    <s v="Personnel"/>
    <s v="E "/>
    <x v="0"/>
    <x v="15"/>
    <s v="PSES Elem Prog01Duty42 S275"/>
    <x v="0"/>
    <s v="42"/>
    <n v="42"/>
    <m/>
    <s v="   "/>
    <n v="5.6219999999999999"/>
    <n v="0.1794"/>
    <n v="0"/>
    <x v="12"/>
  </r>
  <r>
    <s v="06122"/>
    <x v="32"/>
    <s v="Personnel"/>
    <s v="H "/>
    <x v="1"/>
    <x v="16"/>
    <s v="PSES High Prog01Duty42 S275"/>
    <x v="0"/>
    <s v="42"/>
    <n v="42"/>
    <m/>
    <s v="   "/>
    <n v="2.532"/>
    <n v="0.1794"/>
    <n v="0"/>
    <x v="13"/>
  </r>
  <r>
    <s v="06122"/>
    <x v="32"/>
    <s v="Personnel"/>
    <s v="M "/>
    <x v="2"/>
    <x v="17"/>
    <s v="PSES Mid Prog01Duty42 S275"/>
    <x v="0"/>
    <s v="42"/>
    <n v="42"/>
    <m/>
    <s v="   "/>
    <n v="1.4039999999999999"/>
    <n v="0.1794"/>
    <n v="0"/>
    <x v="14"/>
  </r>
  <r>
    <s v="06122"/>
    <x v="32"/>
    <s v="Personnel"/>
    <s v="E "/>
    <x v="0"/>
    <x v="18"/>
    <s v="PSES Elem Prog21Duty43 S275"/>
    <x v="1"/>
    <s v="43"/>
    <n v="43"/>
    <m/>
    <s v="   "/>
    <n v="0.99199999999999999"/>
    <n v="0.1794"/>
    <n v="0.17799999999999999"/>
    <x v="15"/>
  </r>
  <r>
    <s v="06122"/>
    <x v="32"/>
    <s v="Personnel"/>
    <s v="H "/>
    <x v="1"/>
    <x v="19"/>
    <s v="PSES High Prog21Duty43 S275"/>
    <x v="1"/>
    <s v="43"/>
    <n v="43"/>
    <m/>
    <s v="   "/>
    <n v="0.19"/>
    <n v="0.1794"/>
    <n v="3.4000000000000002E-2"/>
    <x v="16"/>
  </r>
  <r>
    <s v="06122"/>
    <x v="32"/>
    <s v="Personnel"/>
    <s v="M "/>
    <x v="2"/>
    <x v="31"/>
    <s v="PSES Mid Prog21Duty43 S275"/>
    <x v="1"/>
    <s v="43"/>
    <n v="43"/>
    <m/>
    <s v="   "/>
    <n v="0.18"/>
    <n v="0.1794"/>
    <n v="3.2000000000000001E-2"/>
    <x v="27"/>
  </r>
  <r>
    <s v="06122"/>
    <x v="32"/>
    <s v="Personnel"/>
    <s v="E "/>
    <x v="0"/>
    <x v="20"/>
    <s v="PSES Elem Prog21Duty45 S275"/>
    <x v="1"/>
    <s v="45"/>
    <n v="45"/>
    <m/>
    <s v="   "/>
    <n v="4.1020000000000003"/>
    <n v="0.1794"/>
    <n v="0.73599999999999999"/>
    <x v="17"/>
  </r>
  <r>
    <s v="06122"/>
    <x v="32"/>
    <s v="Personnel"/>
    <s v="H "/>
    <x v="1"/>
    <x v="21"/>
    <s v="PSES High Prog21Duty45 S275"/>
    <x v="1"/>
    <s v="45"/>
    <n v="45"/>
    <m/>
    <s v="   "/>
    <n v="0.73"/>
    <n v="0.1794"/>
    <n v="0.13100000000000001"/>
    <x v="18"/>
  </r>
  <r>
    <s v="06122"/>
    <x v="32"/>
    <s v="Personnel"/>
    <s v="M "/>
    <x v="2"/>
    <x v="28"/>
    <s v="PSES Mid Prog21Duty45 S275"/>
    <x v="1"/>
    <s v="45"/>
    <n v="45"/>
    <m/>
    <s v="   "/>
    <n v="0.69699999999999995"/>
    <n v="0.1794"/>
    <n v="0.125"/>
    <x v="25"/>
  </r>
  <r>
    <s v="06122"/>
    <x v="32"/>
    <s v="Personnel"/>
    <s v="E "/>
    <x v="0"/>
    <x v="22"/>
    <s v="PSES Elem Prog21Duty46 S275"/>
    <x v="1"/>
    <s v="46"/>
    <n v="46"/>
    <m/>
    <s v="   "/>
    <n v="2.65"/>
    <n v="0.1794"/>
    <n v="0.47499999999999998"/>
    <x v="19"/>
  </r>
  <r>
    <s v="06122"/>
    <x v="32"/>
    <s v="Personnel"/>
    <s v="H "/>
    <x v="1"/>
    <x v="23"/>
    <s v="PSES High Prog21Duty46 S275"/>
    <x v="1"/>
    <s v="46"/>
    <n v="46"/>
    <m/>
    <s v="   "/>
    <n v="1.2"/>
    <n v="0.1794"/>
    <n v="0.215"/>
    <x v="20"/>
  </r>
  <r>
    <s v="06122"/>
    <x v="32"/>
    <s v="Personnel"/>
    <s v="M "/>
    <x v="2"/>
    <x v="24"/>
    <s v="PSES Mid Prog21Duty46 S275"/>
    <x v="1"/>
    <s v="46"/>
    <n v="46"/>
    <m/>
    <s v="   "/>
    <n v="0.53"/>
    <n v="0.1794"/>
    <n v="9.5000000000000001E-2"/>
    <x v="21"/>
  </r>
  <r>
    <s v="06122"/>
    <x v="32"/>
    <s v="Personnel"/>
    <s v="E "/>
    <x v="0"/>
    <x v="35"/>
    <s v="PSES Elem Prog21Duty48 S275"/>
    <x v="1"/>
    <s v="48"/>
    <n v="48"/>
    <m/>
    <s v="   "/>
    <n v="0.56000000000000005"/>
    <n v="0.1794"/>
    <n v="0.1"/>
    <x v="29"/>
  </r>
  <r>
    <s v="06122"/>
    <x v="32"/>
    <s v="Personnel"/>
    <s v="H "/>
    <x v="1"/>
    <x v="36"/>
    <s v="PSES High Prog21Duty48 S275"/>
    <x v="1"/>
    <s v="48"/>
    <n v="48"/>
    <m/>
    <s v="   "/>
    <n v="0.09"/>
    <n v="0.1794"/>
    <n v="1.6E-2"/>
    <x v="30"/>
  </r>
  <r>
    <s v="06122"/>
    <x v="32"/>
    <s v="Personnel"/>
    <s v="M "/>
    <x v="2"/>
    <x v="37"/>
    <s v="PSES Mid Prog21Duty48 S275"/>
    <x v="1"/>
    <s v="48"/>
    <n v="48"/>
    <m/>
    <s v="   "/>
    <n v="0.06"/>
    <n v="0.1794"/>
    <n v="1.0999999999999999E-2"/>
    <x v="31"/>
  </r>
  <r>
    <s v="06122"/>
    <x v="32"/>
    <s v="Personnel"/>
    <s v="E "/>
    <x v="0"/>
    <x v="26"/>
    <s v="PSES Elem Prog21Duty49 S275"/>
    <x v="1"/>
    <s v="49"/>
    <n v="49"/>
    <m/>
    <s v="   "/>
    <n v="0.73"/>
    <n v="0.1794"/>
    <n v="0.13100000000000001"/>
    <x v="23"/>
  </r>
  <r>
    <s v="06122"/>
    <x v="32"/>
    <s v="Personnel"/>
    <s v="H "/>
    <x v="1"/>
    <x v="55"/>
    <s v="PSES High Prog21Duty49 S275"/>
    <x v="1"/>
    <s v="49"/>
    <n v="49"/>
    <m/>
    <s v="   "/>
    <n v="0.09"/>
    <n v="0.1794"/>
    <n v="1.6E-2"/>
    <x v="37"/>
  </r>
  <r>
    <s v="06122"/>
    <x v="32"/>
    <s v="Personnel"/>
    <s v="M "/>
    <x v="2"/>
    <x v="50"/>
    <s v="PSES Mid Prog21Duty49 S275"/>
    <x v="1"/>
    <s v="49"/>
    <n v="49"/>
    <m/>
    <s v="   "/>
    <n v="0.18"/>
    <n v="0.1794"/>
    <n v="3.2000000000000001E-2"/>
    <x v="36"/>
  </r>
  <r>
    <s v="07002"/>
    <x v="33"/>
    <s v="Personnel"/>
    <s v="E "/>
    <x v="0"/>
    <x v="3"/>
    <s v="PSES Elem Prog01Act25 S275"/>
    <x v="0"/>
    <s v="25"/>
    <m/>
    <n v="25"/>
    <s v="   "/>
    <n v="0.442"/>
    <n v="0.1913"/>
    <n v="0"/>
    <x v="3"/>
  </r>
  <r>
    <s v="07002"/>
    <x v="33"/>
    <s v="Personnel"/>
    <s v="M "/>
    <x v="2"/>
    <x v="6"/>
    <s v="PSES Mid Prog01Act25 S275"/>
    <x v="0"/>
    <s v="25"/>
    <m/>
    <n v="25"/>
    <s v="   "/>
    <n v="0.1"/>
    <n v="0.1913"/>
    <n v="0"/>
    <x v="5"/>
  </r>
  <r>
    <s v="07002"/>
    <x v="33"/>
    <s v="Personnel"/>
    <s v="H "/>
    <x v="1"/>
    <x v="16"/>
    <s v="PSES High Prog01Duty42 S275"/>
    <x v="0"/>
    <s v="42"/>
    <n v="42"/>
    <m/>
    <s v="   "/>
    <n v="1"/>
    <n v="0.1913"/>
    <n v="0"/>
    <x v="13"/>
  </r>
  <r>
    <s v="08122"/>
    <x v="34"/>
    <s v="Personnel"/>
    <s v="E "/>
    <x v="0"/>
    <x v="3"/>
    <s v="PSES Elem Prog01Act25 S275"/>
    <x v="0"/>
    <s v="25"/>
    <m/>
    <n v="25"/>
    <s v="   "/>
    <n v="8.61"/>
    <n v="0.247"/>
    <n v="0"/>
    <x v="3"/>
  </r>
  <r>
    <s v="08122"/>
    <x v="34"/>
    <s v="Personnel"/>
    <s v="H "/>
    <x v="1"/>
    <x v="5"/>
    <s v="PSES High Prog01Act25 S275"/>
    <x v="0"/>
    <s v="25"/>
    <m/>
    <n v="25"/>
    <s v="   "/>
    <n v="0.34"/>
    <n v="0.247"/>
    <n v="0"/>
    <x v="4"/>
  </r>
  <r>
    <s v="08122"/>
    <x v="34"/>
    <s v="Personnel"/>
    <s v="M "/>
    <x v="2"/>
    <x v="6"/>
    <s v="PSES Mid Prog01Act25 S275"/>
    <x v="0"/>
    <s v="25"/>
    <m/>
    <n v="25"/>
    <s v="   "/>
    <n v="1.4870000000000001"/>
    <n v="0.247"/>
    <n v="0"/>
    <x v="5"/>
  </r>
  <r>
    <s v="08122"/>
    <x v="34"/>
    <s v="Personnel"/>
    <s v="E "/>
    <x v="0"/>
    <x v="8"/>
    <s v="PSES Elem Prog01Act26 S275"/>
    <x v="0"/>
    <s v="26"/>
    <m/>
    <n v="26"/>
    <s v="   "/>
    <n v="5.0659999999999998"/>
    <n v="0.247"/>
    <n v="0"/>
    <x v="6"/>
  </r>
  <r>
    <s v="08122"/>
    <x v="34"/>
    <s v="Personnel"/>
    <s v="H "/>
    <x v="1"/>
    <x v="29"/>
    <s v="PSES High Prog21Act26 S275"/>
    <x v="1"/>
    <s v="26"/>
    <m/>
    <n v="26"/>
    <s v="   "/>
    <n v="5.0519999999999996"/>
    <n v="0.247"/>
    <n v="1.248"/>
    <x v="7"/>
  </r>
  <r>
    <s v="08122"/>
    <x v="34"/>
    <s v="Personnel"/>
    <s v="H "/>
    <x v="1"/>
    <x v="9"/>
    <s v="PSES High Prog01Act26 S275"/>
    <x v="0"/>
    <s v="26"/>
    <m/>
    <n v="26"/>
    <s v="   "/>
    <n v="1.8360000000000001"/>
    <n v="0.247"/>
    <n v="0"/>
    <x v="7"/>
  </r>
  <r>
    <s v="08122"/>
    <x v="34"/>
    <s v="Personnel"/>
    <s v="M "/>
    <x v="2"/>
    <x v="11"/>
    <s v="PSES Mid Prog01Act26 S275"/>
    <x v="0"/>
    <s v="26"/>
    <m/>
    <n v="26"/>
    <s v="   "/>
    <n v="1.2869999999999999"/>
    <n v="0.247"/>
    <n v="0"/>
    <x v="8"/>
  </r>
  <r>
    <s v="08122"/>
    <x v="34"/>
    <s v="Personnel"/>
    <s v="E "/>
    <x v="0"/>
    <x v="15"/>
    <s v="PSES Elem Prog01Duty42 S275"/>
    <x v="0"/>
    <s v="42"/>
    <n v="42"/>
    <m/>
    <s v="   "/>
    <n v="11"/>
    <n v="0.247"/>
    <n v="0"/>
    <x v="12"/>
  </r>
  <r>
    <s v="08122"/>
    <x v="34"/>
    <s v="Personnel"/>
    <s v="H "/>
    <x v="1"/>
    <x v="16"/>
    <s v="PSES High Prog01Duty42 S275"/>
    <x v="0"/>
    <s v="42"/>
    <n v="42"/>
    <m/>
    <s v="   "/>
    <n v="5"/>
    <n v="0.247"/>
    <n v="0"/>
    <x v="13"/>
  </r>
  <r>
    <s v="08122"/>
    <x v="34"/>
    <s v="Personnel"/>
    <s v="M "/>
    <x v="2"/>
    <x v="17"/>
    <s v="PSES Mid Prog01Duty42 S275"/>
    <x v="0"/>
    <s v="42"/>
    <n v="42"/>
    <m/>
    <s v="   "/>
    <n v="3"/>
    <n v="0.247"/>
    <n v="0"/>
    <x v="14"/>
  </r>
  <r>
    <s v="08122"/>
    <x v="34"/>
    <s v="Personnel"/>
    <s v="E "/>
    <x v="0"/>
    <x v="18"/>
    <s v="PSES Elem Prog21Duty43 S275"/>
    <x v="1"/>
    <s v="43"/>
    <n v="43"/>
    <m/>
    <s v="   "/>
    <n v="2.3340000000000001"/>
    <n v="0.247"/>
    <n v="0.57599999999999996"/>
    <x v="15"/>
  </r>
  <r>
    <s v="08122"/>
    <x v="34"/>
    <s v="Personnel"/>
    <s v="H "/>
    <x v="1"/>
    <x v="19"/>
    <s v="PSES High Prog21Duty43 S275"/>
    <x v="1"/>
    <s v="43"/>
    <n v="43"/>
    <m/>
    <s v="   "/>
    <n v="0.33400000000000002"/>
    <n v="0.247"/>
    <n v="8.2000000000000003E-2"/>
    <x v="16"/>
  </r>
  <r>
    <s v="08122"/>
    <x v="34"/>
    <s v="Personnel"/>
    <s v="M "/>
    <x v="2"/>
    <x v="31"/>
    <s v="PSES Mid Prog21Duty43 S275"/>
    <x v="1"/>
    <s v="43"/>
    <n v="43"/>
    <m/>
    <s v="   "/>
    <n v="0.33200000000000002"/>
    <n v="0.247"/>
    <n v="8.2000000000000003E-2"/>
    <x v="27"/>
  </r>
  <r>
    <s v="08122"/>
    <x v="34"/>
    <s v="Personnel"/>
    <s v="E "/>
    <x v="0"/>
    <x v="20"/>
    <s v="PSES Elem Prog21Duty45 S275"/>
    <x v="1"/>
    <s v="45"/>
    <n v="45"/>
    <m/>
    <s v="   "/>
    <n v="4.8529999999999998"/>
    <n v="0.247"/>
    <n v="1.1990000000000001"/>
    <x v="17"/>
  </r>
  <r>
    <s v="08122"/>
    <x v="34"/>
    <s v="Personnel"/>
    <s v="H "/>
    <x v="1"/>
    <x v="21"/>
    <s v="PSES High Prog21Duty45 S275"/>
    <x v="1"/>
    <s v="45"/>
    <n v="45"/>
    <m/>
    <s v="   "/>
    <n v="0.72"/>
    <n v="0.247"/>
    <n v="0.17799999999999999"/>
    <x v="18"/>
  </r>
  <r>
    <s v="08122"/>
    <x v="34"/>
    <s v="Personnel"/>
    <s v="M "/>
    <x v="2"/>
    <x v="28"/>
    <s v="PSES Mid Prog21Duty45 S275"/>
    <x v="1"/>
    <s v="45"/>
    <n v="45"/>
    <m/>
    <s v="   "/>
    <n v="0.22700000000000001"/>
    <n v="0.247"/>
    <n v="5.6000000000000001E-2"/>
    <x v="25"/>
  </r>
  <r>
    <s v="08122"/>
    <x v="34"/>
    <s v="Personnel"/>
    <s v="E "/>
    <x v="0"/>
    <x v="22"/>
    <s v="PSES Elem Prog21Duty46 S275"/>
    <x v="1"/>
    <s v="46"/>
    <n v="46"/>
    <m/>
    <s v="   "/>
    <n v="1.4990000000000001"/>
    <n v="0.247"/>
    <n v="0.37"/>
    <x v="19"/>
  </r>
  <r>
    <s v="08122"/>
    <x v="34"/>
    <s v="Personnel"/>
    <s v="E "/>
    <x v="0"/>
    <x v="48"/>
    <s v="PSES Elem Prog01Duty46 S275"/>
    <x v="0"/>
    <s v="46"/>
    <n v="46"/>
    <m/>
    <s v="   "/>
    <n v="3"/>
    <n v="0.247"/>
    <n v="0"/>
    <x v="19"/>
  </r>
  <r>
    <s v="08122"/>
    <x v="34"/>
    <s v="Personnel"/>
    <s v="H "/>
    <x v="1"/>
    <x v="23"/>
    <s v="PSES High Prog21Duty46 S275"/>
    <x v="1"/>
    <s v="46"/>
    <n v="46"/>
    <m/>
    <s v="   "/>
    <n v="0.25"/>
    <n v="0.247"/>
    <n v="6.2E-2"/>
    <x v="20"/>
  </r>
  <r>
    <s v="08122"/>
    <x v="34"/>
    <s v="Personnel"/>
    <s v="H "/>
    <x v="1"/>
    <x v="65"/>
    <s v="PSES High Prog01Duty46 S275"/>
    <x v="0"/>
    <s v="46"/>
    <n v="46"/>
    <m/>
    <s v="   "/>
    <n v="0.25"/>
    <n v="0.247"/>
    <n v="0"/>
    <x v="20"/>
  </r>
  <r>
    <s v="08122"/>
    <x v="34"/>
    <s v="Personnel"/>
    <s v="M "/>
    <x v="2"/>
    <x v="24"/>
    <s v="PSES Mid Prog21Duty46 S275"/>
    <x v="1"/>
    <s v="46"/>
    <n v="46"/>
    <m/>
    <s v="   "/>
    <n v="2.7509999999999999"/>
    <n v="0.247"/>
    <n v="0.67900000000000005"/>
    <x v="21"/>
  </r>
  <r>
    <s v="08122"/>
    <x v="34"/>
    <s v="Personnel"/>
    <s v="M "/>
    <x v="2"/>
    <x v="49"/>
    <s v="PSES Mid Prog01Duty46 S275"/>
    <x v="0"/>
    <s v="46"/>
    <n v="46"/>
    <m/>
    <s v="   "/>
    <n v="0.25"/>
    <n v="0.247"/>
    <n v="0"/>
    <x v="21"/>
  </r>
  <r>
    <s v="08122"/>
    <x v="34"/>
    <s v="Personnel"/>
    <s v="E "/>
    <x v="0"/>
    <x v="27"/>
    <s v="PSES Elem Prog01Duty47 S275"/>
    <x v="0"/>
    <s v="47"/>
    <n v="47"/>
    <m/>
    <s v="   "/>
    <n v="1.52"/>
    <n v="0.247"/>
    <n v="0"/>
    <x v="24"/>
  </r>
  <r>
    <s v="08122"/>
    <x v="34"/>
    <s v="Personnel"/>
    <s v="H "/>
    <x v="1"/>
    <x v="25"/>
    <s v="PSES High Prog01Duty47 S275"/>
    <x v="0"/>
    <s v="47"/>
    <n v="47"/>
    <m/>
    <s v="   "/>
    <n v="0.33"/>
    <n v="0.247"/>
    <n v="0"/>
    <x v="22"/>
  </r>
  <r>
    <s v="08122"/>
    <x v="34"/>
    <s v="Personnel"/>
    <s v="M "/>
    <x v="2"/>
    <x v="34"/>
    <s v="PSES Mid Prog01Duty47 S275"/>
    <x v="0"/>
    <s v="47"/>
    <n v="47"/>
    <m/>
    <s v="   "/>
    <n v="0.15"/>
    <n v="0.247"/>
    <n v="0"/>
    <x v="28"/>
  </r>
  <r>
    <s v="08122"/>
    <x v="34"/>
    <s v="Personnel"/>
    <s v="E "/>
    <x v="0"/>
    <x v="35"/>
    <s v="PSES Elem Prog21Duty48 S275"/>
    <x v="1"/>
    <s v="48"/>
    <n v="48"/>
    <m/>
    <s v="   "/>
    <n v="0.52"/>
    <n v="0.247"/>
    <n v="0.128"/>
    <x v="29"/>
  </r>
  <r>
    <s v="08122"/>
    <x v="34"/>
    <s v="Personnel"/>
    <s v="H "/>
    <x v="1"/>
    <x v="36"/>
    <s v="PSES High Prog21Duty48 S275"/>
    <x v="1"/>
    <s v="48"/>
    <n v="48"/>
    <m/>
    <s v="   "/>
    <n v="0.33"/>
    <n v="0.247"/>
    <n v="8.2000000000000003E-2"/>
    <x v="30"/>
  </r>
  <r>
    <s v="08122"/>
    <x v="34"/>
    <s v="Personnel"/>
    <s v="M "/>
    <x v="2"/>
    <x v="37"/>
    <s v="PSES Mid Prog21Duty48 S275"/>
    <x v="1"/>
    <s v="48"/>
    <n v="48"/>
    <m/>
    <s v="   "/>
    <n v="0.15"/>
    <n v="0.247"/>
    <n v="3.6999999999999998E-2"/>
    <x v="31"/>
  </r>
  <r>
    <s v="08130"/>
    <x v="35"/>
    <s v="Personnel"/>
    <s v="H "/>
    <x v="1"/>
    <x v="1"/>
    <s v="PSES High Prog01Duty96 S275"/>
    <x v="0"/>
    <s v="24"/>
    <n v="96"/>
    <n v="24"/>
    <s v="   "/>
    <n v="0.75700000000000001"/>
    <n v="0.1913"/>
    <n v="0"/>
    <x v="1"/>
  </r>
  <r>
    <s v="08130"/>
    <x v="35"/>
    <s v="Personnel"/>
    <s v="H "/>
    <x v="1"/>
    <x v="9"/>
    <s v="PSES High Prog01Act26 S275"/>
    <x v="0"/>
    <s v="26"/>
    <m/>
    <n v="26"/>
    <s v="   "/>
    <n v="0.59699999999999998"/>
    <n v="0.1913"/>
    <n v="0"/>
    <x v="7"/>
  </r>
  <r>
    <s v="08130"/>
    <x v="35"/>
    <s v="Personnel"/>
    <s v="E "/>
    <x v="0"/>
    <x v="15"/>
    <s v="PSES Elem Prog01Duty42 S275"/>
    <x v="0"/>
    <s v="42"/>
    <n v="42"/>
    <m/>
    <s v="   "/>
    <n v="1"/>
    <n v="0.1913"/>
    <n v="0"/>
    <x v="12"/>
  </r>
  <r>
    <s v="08130"/>
    <x v="35"/>
    <s v="Personnel"/>
    <s v="H "/>
    <x v="1"/>
    <x v="16"/>
    <s v="PSES High Prog01Duty42 S275"/>
    <x v="0"/>
    <s v="42"/>
    <n v="42"/>
    <m/>
    <s v="   "/>
    <n v="1"/>
    <n v="0.1913"/>
    <n v="0"/>
    <x v="13"/>
  </r>
  <r>
    <s v="08401"/>
    <x v="36"/>
    <s v="Personnel"/>
    <s v="H "/>
    <x v="1"/>
    <x v="5"/>
    <s v="PSES High Prog01Act25 S275"/>
    <x v="0"/>
    <s v="25"/>
    <m/>
    <n v="25"/>
    <s v="   "/>
    <n v="2.6349999999999998"/>
    <n v="0.1804"/>
    <n v="0"/>
    <x v="4"/>
  </r>
  <r>
    <s v="08401"/>
    <x v="36"/>
    <s v="Personnel"/>
    <s v="M "/>
    <x v="2"/>
    <x v="6"/>
    <s v="PSES Mid Prog01Act25 S275"/>
    <x v="0"/>
    <s v="25"/>
    <m/>
    <n v="25"/>
    <s v="   "/>
    <n v="0.54800000000000004"/>
    <n v="0.1804"/>
    <n v="0"/>
    <x v="5"/>
  </r>
  <r>
    <s v="08401"/>
    <x v="36"/>
    <s v="Personnel"/>
    <s v="E "/>
    <x v="0"/>
    <x v="8"/>
    <s v="PSES Elem Prog01Act26 S275"/>
    <x v="0"/>
    <s v="26"/>
    <m/>
    <n v="26"/>
    <s v="   "/>
    <n v="0.95299999999999996"/>
    <n v="0.1804"/>
    <n v="0"/>
    <x v="6"/>
  </r>
  <r>
    <s v="08401"/>
    <x v="36"/>
    <s v="Personnel"/>
    <s v="H "/>
    <x v="1"/>
    <x v="9"/>
    <s v="PSES High Prog01Act26 S275"/>
    <x v="0"/>
    <s v="26"/>
    <m/>
    <n v="26"/>
    <s v="   "/>
    <n v="0.2"/>
    <n v="0.1804"/>
    <n v="0"/>
    <x v="7"/>
  </r>
  <r>
    <s v="08401"/>
    <x v="36"/>
    <s v="Personnel"/>
    <s v="M "/>
    <x v="2"/>
    <x v="11"/>
    <s v="PSES Mid Prog01Act26 S275"/>
    <x v="0"/>
    <s v="26"/>
    <m/>
    <n v="26"/>
    <s v="   "/>
    <n v="0.2"/>
    <n v="0.1804"/>
    <n v="0"/>
    <x v="8"/>
  </r>
  <r>
    <s v="08401"/>
    <x v="36"/>
    <s v="Personnel"/>
    <s v="E "/>
    <x v="0"/>
    <x v="15"/>
    <s v="PSES Elem Prog01Duty42 S275"/>
    <x v="0"/>
    <s v="42"/>
    <n v="42"/>
    <m/>
    <s v="   "/>
    <n v="1"/>
    <n v="0.1804"/>
    <n v="0"/>
    <x v="12"/>
  </r>
  <r>
    <s v="08401"/>
    <x v="36"/>
    <s v="Personnel"/>
    <s v="H "/>
    <x v="1"/>
    <x v="16"/>
    <s v="PSES High Prog01Duty42 S275"/>
    <x v="0"/>
    <s v="42"/>
    <n v="42"/>
    <m/>
    <s v="   "/>
    <n v="1"/>
    <n v="0.1804"/>
    <n v="0"/>
    <x v="13"/>
  </r>
  <r>
    <s v="08401"/>
    <x v="36"/>
    <s v="Personnel"/>
    <s v="M "/>
    <x v="2"/>
    <x v="17"/>
    <s v="PSES Mid Prog01Duty42 S275"/>
    <x v="0"/>
    <s v="42"/>
    <n v="42"/>
    <m/>
    <s v="   "/>
    <n v="1"/>
    <n v="0.1804"/>
    <n v="0"/>
    <x v="14"/>
  </r>
  <r>
    <s v="08401"/>
    <x v="36"/>
    <s v="Personnel"/>
    <s v="E "/>
    <x v="0"/>
    <x v="20"/>
    <s v="PSES Elem Prog21Duty45 S275"/>
    <x v="1"/>
    <s v="45"/>
    <n v="45"/>
    <m/>
    <s v="   "/>
    <n v="1.82"/>
    <n v="0.1804"/>
    <n v="0.32800000000000001"/>
    <x v="17"/>
  </r>
  <r>
    <s v="08401"/>
    <x v="36"/>
    <s v="Personnel"/>
    <s v="E "/>
    <x v="0"/>
    <x v="22"/>
    <s v="PSES Elem Prog21Duty46 S275"/>
    <x v="1"/>
    <s v="46"/>
    <n v="46"/>
    <m/>
    <s v="   "/>
    <n v="1"/>
    <n v="0.1804"/>
    <n v="0.18"/>
    <x v="19"/>
  </r>
  <r>
    <s v="08402"/>
    <x v="37"/>
    <s v="Personnel"/>
    <s v="E "/>
    <x v="0"/>
    <x v="3"/>
    <s v="PSES Elem Prog01Act25 S275"/>
    <x v="0"/>
    <s v="25"/>
    <m/>
    <n v="25"/>
    <s v="   "/>
    <n v="1.294"/>
    <n v="0.1913"/>
    <n v="0"/>
    <x v="3"/>
  </r>
  <r>
    <s v="08402"/>
    <x v="37"/>
    <s v="Personnel"/>
    <s v="H "/>
    <x v="1"/>
    <x v="5"/>
    <s v="PSES High Prog01Act25 S275"/>
    <x v="0"/>
    <s v="25"/>
    <m/>
    <n v="25"/>
    <s v="   "/>
    <n v="1.24"/>
    <n v="0.1913"/>
    <n v="0"/>
    <x v="4"/>
  </r>
  <r>
    <s v="08402"/>
    <x v="37"/>
    <s v="Personnel"/>
    <s v="M "/>
    <x v="2"/>
    <x v="6"/>
    <s v="PSES Mid Prog01Act25 S275"/>
    <x v="0"/>
    <s v="25"/>
    <m/>
    <n v="25"/>
    <s v="   "/>
    <n v="9.0999999999999998E-2"/>
    <n v="0.1913"/>
    <n v="0"/>
    <x v="5"/>
  </r>
  <r>
    <s v="08402"/>
    <x v="37"/>
    <s v="Personnel"/>
    <s v="E "/>
    <x v="0"/>
    <x v="8"/>
    <s v="PSES Elem Prog01Act26 S275"/>
    <x v="0"/>
    <s v="26"/>
    <m/>
    <n v="26"/>
    <s v="   "/>
    <n v="0.67"/>
    <n v="0.1913"/>
    <n v="0"/>
    <x v="6"/>
  </r>
  <r>
    <s v="08402"/>
    <x v="37"/>
    <s v="Personnel"/>
    <s v="H "/>
    <x v="1"/>
    <x v="9"/>
    <s v="PSES High Prog01Act26 S275"/>
    <x v="0"/>
    <s v="26"/>
    <m/>
    <n v="26"/>
    <s v="   "/>
    <n v="0.33500000000000002"/>
    <n v="0.1913"/>
    <n v="0"/>
    <x v="7"/>
  </r>
  <r>
    <s v="08402"/>
    <x v="37"/>
    <s v="Personnel"/>
    <s v="M "/>
    <x v="2"/>
    <x v="11"/>
    <s v="PSES Mid Prog01Act26 S275"/>
    <x v="0"/>
    <s v="26"/>
    <m/>
    <n v="26"/>
    <s v="   "/>
    <n v="0.33500000000000002"/>
    <n v="0.1913"/>
    <n v="0"/>
    <x v="8"/>
  </r>
  <r>
    <s v="08402"/>
    <x v="37"/>
    <s v="Personnel"/>
    <s v="E "/>
    <x v="0"/>
    <x v="15"/>
    <s v="PSES Elem Prog01Duty42 S275"/>
    <x v="0"/>
    <s v="42"/>
    <n v="42"/>
    <m/>
    <s v="   "/>
    <n v="1.081"/>
    <n v="0.1913"/>
    <n v="0"/>
    <x v="12"/>
  </r>
  <r>
    <s v="08402"/>
    <x v="37"/>
    <s v="Personnel"/>
    <s v="H "/>
    <x v="1"/>
    <x v="16"/>
    <s v="PSES High Prog01Duty42 S275"/>
    <x v="0"/>
    <s v="42"/>
    <n v="42"/>
    <m/>
    <s v="   "/>
    <n v="1.081"/>
    <n v="0.1913"/>
    <n v="0"/>
    <x v="13"/>
  </r>
  <r>
    <s v="08402"/>
    <x v="37"/>
    <s v="Personnel"/>
    <s v="M "/>
    <x v="2"/>
    <x v="17"/>
    <s v="PSES Mid Prog01Duty42 S275"/>
    <x v="0"/>
    <s v="42"/>
    <n v="42"/>
    <m/>
    <s v="   "/>
    <n v="1.0329999999999999"/>
    <n v="0.1913"/>
    <n v="0"/>
    <x v="14"/>
  </r>
  <r>
    <s v="08402"/>
    <x v="37"/>
    <s v="Personnel"/>
    <s v="T"/>
    <x v="0"/>
    <x v="66"/>
    <s v="PSES Elem Prog09Duty25 S275"/>
    <x v="3"/>
    <s v="25"/>
    <n v="91"/>
    <n v="25"/>
    <s v="   "/>
    <n v="0.63600000000000001"/>
    <n v="0.1913"/>
    <n v="0"/>
    <x v="41"/>
  </r>
  <r>
    <s v="08402"/>
    <x v="37"/>
    <s v="Personnel"/>
    <s v="T"/>
    <x v="0"/>
    <x v="66"/>
    <s v="PSES Elem Prog09Duty25 S275"/>
    <x v="3"/>
    <s v="25"/>
    <n v="91"/>
    <n v="25"/>
    <s v="   "/>
    <n v="0.64600000000000002"/>
    <n v="0.1913"/>
    <n v="0"/>
    <x v="41"/>
  </r>
  <r>
    <s v="08404"/>
    <x v="38"/>
    <s v="Personnel"/>
    <s v="E "/>
    <x v="0"/>
    <x v="0"/>
    <s v="PSES Elem Prog01Duty96 S275"/>
    <x v="0"/>
    <s v="24"/>
    <n v="96"/>
    <n v="24"/>
    <s v="   "/>
    <n v="0.78500000000000003"/>
    <n v="0.23580000000000001"/>
    <n v="0"/>
    <x v="0"/>
  </r>
  <r>
    <s v="08404"/>
    <x v="38"/>
    <s v="Personnel"/>
    <s v="E "/>
    <x v="0"/>
    <x v="8"/>
    <s v="PSES Elem Prog01Act26 S275"/>
    <x v="0"/>
    <s v="26"/>
    <m/>
    <n v="26"/>
    <s v="   "/>
    <n v="0.45600000000000002"/>
    <n v="0.23580000000000001"/>
    <n v="0"/>
    <x v="6"/>
  </r>
  <r>
    <s v="08404"/>
    <x v="38"/>
    <s v="Personnel"/>
    <s v="M "/>
    <x v="2"/>
    <x v="11"/>
    <s v="PSES Mid Prog01Act26 S275"/>
    <x v="0"/>
    <s v="26"/>
    <m/>
    <n v="26"/>
    <s v="   "/>
    <n v="0.158"/>
    <n v="0.23580000000000001"/>
    <n v="0"/>
    <x v="8"/>
  </r>
  <r>
    <s v="08404"/>
    <x v="38"/>
    <s v="Personnel"/>
    <s v="E "/>
    <x v="0"/>
    <x v="15"/>
    <s v="PSES Elem Prog01Duty42 S275"/>
    <x v="0"/>
    <s v="42"/>
    <n v="42"/>
    <m/>
    <s v="   "/>
    <n v="1.5"/>
    <n v="0.23580000000000001"/>
    <n v="0"/>
    <x v="12"/>
  </r>
  <r>
    <s v="08404"/>
    <x v="38"/>
    <s v="Personnel"/>
    <s v="H "/>
    <x v="1"/>
    <x v="16"/>
    <s v="PSES High Prog01Duty42 S275"/>
    <x v="0"/>
    <s v="42"/>
    <n v="42"/>
    <m/>
    <s v="   "/>
    <n v="1.75"/>
    <n v="0.23580000000000001"/>
    <n v="0"/>
    <x v="13"/>
  </r>
  <r>
    <s v="08404"/>
    <x v="38"/>
    <s v="Personnel"/>
    <s v="M "/>
    <x v="2"/>
    <x v="17"/>
    <s v="PSES Mid Prog01Duty42 S275"/>
    <x v="0"/>
    <s v="42"/>
    <n v="42"/>
    <m/>
    <s v="   "/>
    <n v="1.2"/>
    <n v="0.23580000000000001"/>
    <n v="0"/>
    <x v="14"/>
  </r>
  <r>
    <s v="08404"/>
    <x v="38"/>
    <s v="Personnel"/>
    <s v="E "/>
    <x v="0"/>
    <x v="20"/>
    <s v="PSES Elem Prog21Duty45 S275"/>
    <x v="1"/>
    <s v="45"/>
    <n v="45"/>
    <m/>
    <s v="   "/>
    <n v="3"/>
    <n v="0.23580000000000001"/>
    <n v="0.70699999999999996"/>
    <x v="17"/>
  </r>
  <r>
    <s v="08404"/>
    <x v="38"/>
    <s v="Personnel"/>
    <s v="H "/>
    <x v="1"/>
    <x v="21"/>
    <s v="PSES High Prog21Duty45 S275"/>
    <x v="1"/>
    <s v="45"/>
    <n v="45"/>
    <m/>
    <s v="   "/>
    <n v="1"/>
    <n v="0.23580000000000001"/>
    <n v="0.23599999999999999"/>
    <x v="18"/>
  </r>
  <r>
    <s v="08404"/>
    <x v="38"/>
    <s v="Personnel"/>
    <s v="M "/>
    <x v="2"/>
    <x v="28"/>
    <s v="PSES Mid Prog21Duty45 S275"/>
    <x v="1"/>
    <s v="45"/>
    <n v="45"/>
    <m/>
    <s v="   "/>
    <n v="1"/>
    <n v="0.23580000000000001"/>
    <n v="0.23599999999999999"/>
    <x v="25"/>
  </r>
  <r>
    <s v="08404"/>
    <x v="38"/>
    <s v="Personnel"/>
    <s v="E "/>
    <x v="0"/>
    <x v="22"/>
    <s v="PSES Elem Prog21Duty46 S275"/>
    <x v="1"/>
    <s v="46"/>
    <n v="46"/>
    <m/>
    <s v="   "/>
    <n v="1.5"/>
    <n v="0.23580000000000001"/>
    <n v="0.35399999999999998"/>
    <x v="19"/>
  </r>
  <r>
    <s v="08404"/>
    <x v="38"/>
    <s v="Personnel"/>
    <s v="E "/>
    <x v="0"/>
    <x v="48"/>
    <s v="PSES Elem Prog01Duty46 S275"/>
    <x v="0"/>
    <s v="46"/>
    <n v="46"/>
    <m/>
    <s v="   "/>
    <n v="0.5"/>
    <n v="0.23580000000000001"/>
    <n v="0"/>
    <x v="19"/>
  </r>
  <r>
    <s v="08404"/>
    <x v="38"/>
    <s v="Personnel"/>
    <s v="H "/>
    <x v="1"/>
    <x v="23"/>
    <s v="PSES High Prog21Duty46 S275"/>
    <x v="1"/>
    <s v="46"/>
    <n v="46"/>
    <m/>
    <s v="   "/>
    <n v="0.75"/>
    <n v="0.23580000000000001"/>
    <n v="0.17699999999999999"/>
    <x v="20"/>
  </r>
  <r>
    <s v="08404"/>
    <x v="38"/>
    <s v="Personnel"/>
    <s v="H "/>
    <x v="1"/>
    <x v="65"/>
    <s v="PSES High Prog01Duty46 S275"/>
    <x v="0"/>
    <s v="46"/>
    <n v="46"/>
    <m/>
    <s v="   "/>
    <n v="0.25"/>
    <n v="0.23580000000000001"/>
    <n v="0"/>
    <x v="20"/>
  </r>
  <r>
    <s v="08404"/>
    <x v="38"/>
    <s v="Personnel"/>
    <s v="M "/>
    <x v="2"/>
    <x v="24"/>
    <s v="PSES Mid Prog21Duty46 S275"/>
    <x v="1"/>
    <s v="46"/>
    <n v="46"/>
    <m/>
    <s v="   "/>
    <n v="0.75"/>
    <n v="0.23580000000000001"/>
    <n v="0.17699999999999999"/>
    <x v="21"/>
  </r>
  <r>
    <s v="08404"/>
    <x v="38"/>
    <s v="Personnel"/>
    <s v="M "/>
    <x v="2"/>
    <x v="49"/>
    <s v="PSES Mid Prog01Duty46 S275"/>
    <x v="0"/>
    <s v="46"/>
    <n v="46"/>
    <m/>
    <s v="   "/>
    <n v="0.25"/>
    <n v="0.23580000000000001"/>
    <n v="0"/>
    <x v="21"/>
  </r>
  <r>
    <s v="08404"/>
    <x v="38"/>
    <s v="Personnel"/>
    <s v="E "/>
    <x v="0"/>
    <x v="27"/>
    <s v="PSES Elem Prog01Duty47 S275"/>
    <x v="0"/>
    <s v="47"/>
    <n v="47"/>
    <m/>
    <s v="   "/>
    <n v="0.5"/>
    <n v="0.23580000000000001"/>
    <n v="0"/>
    <x v="24"/>
  </r>
  <r>
    <s v="08404"/>
    <x v="38"/>
    <s v="Personnel"/>
    <s v="H "/>
    <x v="1"/>
    <x v="25"/>
    <s v="PSES High Prog01Duty47 S275"/>
    <x v="0"/>
    <s v="47"/>
    <n v="47"/>
    <m/>
    <s v="   "/>
    <n v="0.25"/>
    <n v="0.23580000000000001"/>
    <n v="0"/>
    <x v="22"/>
  </r>
  <r>
    <s v="08404"/>
    <x v="38"/>
    <s v="Personnel"/>
    <s v="M "/>
    <x v="2"/>
    <x v="34"/>
    <s v="PSES Mid Prog01Duty47 S275"/>
    <x v="0"/>
    <s v="47"/>
    <n v="47"/>
    <m/>
    <s v="   "/>
    <n v="0.25"/>
    <n v="0.23580000000000001"/>
    <n v="0"/>
    <x v="28"/>
  </r>
  <r>
    <s v="08458"/>
    <x v="39"/>
    <s v="Personnel"/>
    <s v="H "/>
    <x v="1"/>
    <x v="1"/>
    <s v="PSES High Prog01Duty96 S275"/>
    <x v="0"/>
    <s v="24"/>
    <n v="96"/>
    <n v="24"/>
    <s v="   "/>
    <n v="0.84599999999999997"/>
    <n v="0.2576"/>
    <n v="0"/>
    <x v="1"/>
  </r>
  <r>
    <s v="08458"/>
    <x v="39"/>
    <s v="Personnel"/>
    <s v="E "/>
    <x v="0"/>
    <x v="67"/>
    <s v="PSES Elem Prog21Act25 S275"/>
    <x v="1"/>
    <s v="25"/>
    <m/>
    <n v="25"/>
    <s v="   "/>
    <n v="0.29599999999999999"/>
    <n v="0.2576"/>
    <n v="7.5999999999999998E-2"/>
    <x v="3"/>
  </r>
  <r>
    <s v="08458"/>
    <x v="39"/>
    <s v="Personnel"/>
    <s v="E "/>
    <x v="0"/>
    <x v="3"/>
    <s v="PSES Elem Prog01Act25 S275"/>
    <x v="0"/>
    <s v="25"/>
    <m/>
    <n v="25"/>
    <s v="   "/>
    <n v="3.9239999999999999"/>
    <n v="0.2576"/>
    <n v="0"/>
    <x v="3"/>
  </r>
  <r>
    <s v="08458"/>
    <x v="39"/>
    <s v="Personnel"/>
    <s v="H "/>
    <x v="1"/>
    <x v="4"/>
    <s v="PSES High Prog21Act25 S275"/>
    <x v="1"/>
    <s v="25"/>
    <m/>
    <n v="25"/>
    <s v="   "/>
    <n v="2.1999999999999999E-2"/>
    <n v="0.2576"/>
    <n v="6.0000000000000001E-3"/>
    <x v="4"/>
  </r>
  <r>
    <s v="08458"/>
    <x v="39"/>
    <s v="Personnel"/>
    <s v="M "/>
    <x v="2"/>
    <x v="6"/>
    <s v="PSES Mid Prog01Act25 S275"/>
    <x v="0"/>
    <s v="25"/>
    <m/>
    <n v="25"/>
    <s v="   "/>
    <n v="6.4000000000000001E-2"/>
    <n v="0.2576"/>
    <n v="0"/>
    <x v="5"/>
  </r>
  <r>
    <s v="08458"/>
    <x v="39"/>
    <s v="Personnel"/>
    <s v="E "/>
    <x v="0"/>
    <x v="7"/>
    <s v="PSES Elem Prog21Act26 S275"/>
    <x v="1"/>
    <s v="26"/>
    <m/>
    <n v="26"/>
    <s v="   "/>
    <n v="1.9"/>
    <n v="0.2576"/>
    <n v="0.48899999999999999"/>
    <x v="6"/>
  </r>
  <r>
    <s v="08458"/>
    <x v="39"/>
    <s v="Personnel"/>
    <s v="E "/>
    <x v="0"/>
    <x v="8"/>
    <s v="PSES Elem Prog01Act26 S275"/>
    <x v="0"/>
    <s v="26"/>
    <m/>
    <n v="26"/>
    <s v="   "/>
    <n v="4.6740000000000004"/>
    <n v="0.2576"/>
    <n v="0"/>
    <x v="6"/>
  </r>
  <r>
    <s v="08458"/>
    <x v="39"/>
    <s v="Personnel"/>
    <s v="H "/>
    <x v="1"/>
    <x v="29"/>
    <s v="PSES High Prog21Act26 S275"/>
    <x v="1"/>
    <s v="26"/>
    <m/>
    <n v="26"/>
    <s v="   "/>
    <n v="0.59599999999999997"/>
    <n v="0.2576"/>
    <n v="0.154"/>
    <x v="7"/>
  </r>
  <r>
    <s v="08458"/>
    <x v="39"/>
    <s v="Personnel"/>
    <s v="H "/>
    <x v="1"/>
    <x v="9"/>
    <s v="PSES High Prog01Act26 S275"/>
    <x v="0"/>
    <s v="26"/>
    <m/>
    <n v="26"/>
    <s v="   "/>
    <n v="0.73399999999999999"/>
    <n v="0.2576"/>
    <n v="0"/>
    <x v="7"/>
  </r>
  <r>
    <s v="08458"/>
    <x v="39"/>
    <s v="Personnel"/>
    <s v="M "/>
    <x v="2"/>
    <x v="11"/>
    <s v="PSES Mid Prog01Act26 S275"/>
    <x v="0"/>
    <s v="26"/>
    <m/>
    <n v="26"/>
    <s v="   "/>
    <n v="0.89400000000000002"/>
    <n v="0.2576"/>
    <n v="0"/>
    <x v="8"/>
  </r>
  <r>
    <s v="08458"/>
    <x v="39"/>
    <s v="Personnel"/>
    <s v="H "/>
    <x v="1"/>
    <x v="54"/>
    <s v="PSES High Prog01Act35 S275"/>
    <x v="0"/>
    <s v="35"/>
    <m/>
    <n v="35"/>
    <s v="   "/>
    <n v="0.70799999999999996"/>
    <n v="0.2576"/>
    <n v="0"/>
    <x v="9"/>
  </r>
  <r>
    <s v="08458"/>
    <x v="39"/>
    <s v="Personnel"/>
    <s v="E "/>
    <x v="0"/>
    <x v="15"/>
    <s v="PSES Elem Prog01Duty42 S275"/>
    <x v="0"/>
    <s v="42"/>
    <n v="42"/>
    <m/>
    <s v="   "/>
    <n v="5.9029999999999996"/>
    <n v="0.2576"/>
    <n v="0"/>
    <x v="12"/>
  </r>
  <r>
    <s v="08458"/>
    <x v="39"/>
    <s v="Personnel"/>
    <s v="H "/>
    <x v="1"/>
    <x v="16"/>
    <s v="PSES High Prog01Duty42 S275"/>
    <x v="0"/>
    <s v="42"/>
    <n v="42"/>
    <m/>
    <s v="   "/>
    <n v="4"/>
    <n v="0.2576"/>
    <n v="0"/>
    <x v="13"/>
  </r>
  <r>
    <s v="08458"/>
    <x v="39"/>
    <s v="Personnel"/>
    <s v="M "/>
    <x v="2"/>
    <x v="17"/>
    <s v="PSES Mid Prog01Duty42 S275"/>
    <x v="0"/>
    <s v="42"/>
    <n v="42"/>
    <m/>
    <s v="   "/>
    <n v="4"/>
    <n v="0.2576"/>
    <n v="0"/>
    <x v="14"/>
  </r>
  <r>
    <s v="08458"/>
    <x v="39"/>
    <s v="Personnel"/>
    <s v="E "/>
    <x v="0"/>
    <x v="18"/>
    <s v="PSES Elem Prog21Duty43 S275"/>
    <x v="1"/>
    <s v="43"/>
    <n v="43"/>
    <m/>
    <s v="   "/>
    <n v="1"/>
    <n v="0.2576"/>
    <n v="0.25800000000000001"/>
    <x v="15"/>
  </r>
  <r>
    <s v="08458"/>
    <x v="39"/>
    <s v="Personnel"/>
    <s v="M "/>
    <x v="2"/>
    <x v="31"/>
    <s v="PSES Mid Prog21Duty43 S275"/>
    <x v="1"/>
    <s v="43"/>
    <n v="43"/>
    <m/>
    <s v="   "/>
    <n v="0.80100000000000005"/>
    <n v="0.2576"/>
    <n v="0.20599999999999999"/>
    <x v="27"/>
  </r>
  <r>
    <s v="08458"/>
    <x v="39"/>
    <s v="Personnel"/>
    <s v="E "/>
    <x v="0"/>
    <x v="20"/>
    <s v="PSES Elem Prog21Duty45 S275"/>
    <x v="1"/>
    <s v="45"/>
    <n v="45"/>
    <m/>
    <s v="   "/>
    <n v="5"/>
    <n v="0.2576"/>
    <n v="1.288"/>
    <x v="17"/>
  </r>
  <r>
    <s v="08458"/>
    <x v="39"/>
    <s v="Personnel"/>
    <s v="E "/>
    <x v="0"/>
    <x v="22"/>
    <s v="PSES Elem Prog21Duty46 S275"/>
    <x v="1"/>
    <s v="46"/>
    <n v="46"/>
    <m/>
    <s v="   "/>
    <n v="3"/>
    <n v="0.2576"/>
    <n v="0.77300000000000002"/>
    <x v="19"/>
  </r>
  <r>
    <s v="08458"/>
    <x v="39"/>
    <s v="Personnel"/>
    <s v="E "/>
    <x v="0"/>
    <x v="27"/>
    <s v="PSES Elem Prog01Duty47 S275"/>
    <x v="0"/>
    <s v="47"/>
    <n v="47"/>
    <m/>
    <s v="   "/>
    <n v="2"/>
    <n v="0.2576"/>
    <n v="0"/>
    <x v="24"/>
  </r>
  <r>
    <s v="08458"/>
    <x v="39"/>
    <s v="Personnel"/>
    <s v="E "/>
    <x v="0"/>
    <x v="35"/>
    <s v="PSES Elem Prog21Duty48 S275"/>
    <x v="1"/>
    <s v="48"/>
    <n v="48"/>
    <m/>
    <s v="   "/>
    <n v="0.58599999999999997"/>
    <n v="0.2576"/>
    <n v="0.151"/>
    <x v="29"/>
  </r>
  <r>
    <s v="09013"/>
    <x v="40"/>
    <s v="Personnel"/>
    <s v="E "/>
    <x v="0"/>
    <x v="8"/>
    <s v="PSES Elem Prog01Act26 S275"/>
    <x v="0"/>
    <s v="26"/>
    <m/>
    <n v="26"/>
    <s v="   "/>
    <n v="0.107"/>
    <n v="0.1913"/>
    <n v="0"/>
    <x v="6"/>
  </r>
  <r>
    <s v="09013"/>
    <x v="40"/>
    <s v="Personnel"/>
    <s v="M "/>
    <x v="2"/>
    <x v="11"/>
    <s v="PSES Mid Prog01Act26 S275"/>
    <x v="0"/>
    <s v="26"/>
    <m/>
    <n v="26"/>
    <s v="   "/>
    <n v="3.2000000000000001E-2"/>
    <n v="0.1913"/>
    <n v="0"/>
    <x v="8"/>
  </r>
  <r>
    <s v="09075"/>
    <x v="41"/>
    <s v="Personnel"/>
    <s v="H "/>
    <x v="1"/>
    <x v="9"/>
    <s v="PSES High Prog01Act26 S275"/>
    <x v="0"/>
    <s v="26"/>
    <m/>
    <n v="26"/>
    <s v="   "/>
    <n v="1.2290000000000001"/>
    <n v="0.1552"/>
    <n v="0"/>
    <x v="7"/>
  </r>
  <r>
    <s v="09075"/>
    <x v="41"/>
    <s v="Personnel"/>
    <s v="H "/>
    <x v="1"/>
    <x v="16"/>
    <s v="PSES High Prog01Duty42 S275"/>
    <x v="0"/>
    <s v="42"/>
    <n v="42"/>
    <m/>
    <s v="   "/>
    <n v="1"/>
    <n v="0.1552"/>
    <n v="0"/>
    <x v="13"/>
  </r>
  <r>
    <s v="09075"/>
    <x v="41"/>
    <s v="Personnel"/>
    <s v="M "/>
    <x v="2"/>
    <x v="17"/>
    <s v="PSES Mid Prog01Duty42 S275"/>
    <x v="0"/>
    <s v="42"/>
    <n v="42"/>
    <m/>
    <s v="   "/>
    <n v="1"/>
    <n v="0.1552"/>
    <n v="0"/>
    <x v="14"/>
  </r>
  <r>
    <s v="09102"/>
    <x v="42"/>
    <s v="Personnel"/>
    <s v="H "/>
    <x v="1"/>
    <x v="5"/>
    <s v="PSES High Prog01Act25 S275"/>
    <x v="0"/>
    <s v="25"/>
    <m/>
    <n v="25"/>
    <s v="   "/>
    <n v="9.6000000000000002E-2"/>
    <n v="0.1913"/>
    <n v="0"/>
    <x v="4"/>
  </r>
  <r>
    <s v="09206"/>
    <x v="43"/>
    <s v="Personnel"/>
    <s v="H "/>
    <x v="1"/>
    <x v="4"/>
    <s v="PSES High Prog21Act25 S275"/>
    <x v="1"/>
    <s v="25"/>
    <m/>
    <n v="25"/>
    <s v="   "/>
    <n v="2.0059999999999998"/>
    <n v="0.2072"/>
    <n v="0.41599999999999998"/>
    <x v="4"/>
  </r>
  <r>
    <s v="09206"/>
    <x v="43"/>
    <s v="Personnel"/>
    <s v="H "/>
    <x v="1"/>
    <x v="5"/>
    <s v="PSES High Prog01Act25 S275"/>
    <x v="0"/>
    <s v="25"/>
    <m/>
    <n v="25"/>
    <s v="   "/>
    <n v="15.988"/>
    <n v="0.2072"/>
    <n v="0"/>
    <x v="4"/>
  </r>
  <r>
    <s v="09206"/>
    <x v="43"/>
    <s v="Personnel"/>
    <s v="H "/>
    <x v="1"/>
    <x v="29"/>
    <s v="PSES High Prog21Act26 S275"/>
    <x v="1"/>
    <s v="26"/>
    <m/>
    <n v="26"/>
    <s v="   "/>
    <n v="1.754"/>
    <n v="0.2072"/>
    <n v="0.36299999999999999"/>
    <x v="7"/>
  </r>
  <r>
    <s v="09206"/>
    <x v="43"/>
    <s v="Personnel"/>
    <s v="H "/>
    <x v="1"/>
    <x v="9"/>
    <s v="PSES High Prog01Act26 S275"/>
    <x v="0"/>
    <s v="26"/>
    <m/>
    <n v="26"/>
    <s v="   "/>
    <n v="5.5110000000000001"/>
    <n v="0.2072"/>
    <n v="0"/>
    <x v="7"/>
  </r>
  <r>
    <s v="09206"/>
    <x v="43"/>
    <s v="Personnel"/>
    <s v="E "/>
    <x v="0"/>
    <x v="15"/>
    <s v="PSES Elem Prog01Duty42 S275"/>
    <x v="0"/>
    <s v="42"/>
    <n v="42"/>
    <m/>
    <s v="   "/>
    <n v="6"/>
    <n v="0.2072"/>
    <n v="0"/>
    <x v="12"/>
  </r>
  <r>
    <s v="09206"/>
    <x v="43"/>
    <s v="Personnel"/>
    <s v="H "/>
    <x v="1"/>
    <x v="16"/>
    <s v="PSES High Prog01Duty42 S275"/>
    <x v="0"/>
    <s v="42"/>
    <n v="42"/>
    <m/>
    <s v="   "/>
    <n v="3.0169999999999999"/>
    <n v="0.2072"/>
    <n v="0"/>
    <x v="13"/>
  </r>
  <r>
    <s v="09206"/>
    <x v="43"/>
    <s v="Personnel"/>
    <s v="M "/>
    <x v="2"/>
    <x v="17"/>
    <s v="PSES Mid Prog01Duty42 S275"/>
    <x v="0"/>
    <s v="42"/>
    <n v="42"/>
    <m/>
    <s v="   "/>
    <n v="1.333"/>
    <n v="0.2072"/>
    <n v="0"/>
    <x v="14"/>
  </r>
  <r>
    <s v="09206"/>
    <x v="43"/>
    <s v="Personnel"/>
    <s v="E "/>
    <x v="0"/>
    <x v="18"/>
    <s v="PSES Elem Prog21Duty43 S275"/>
    <x v="1"/>
    <s v="43"/>
    <n v="43"/>
    <m/>
    <s v="   "/>
    <n v="1.7529999999999999"/>
    <n v="0.2072"/>
    <n v="0.36299999999999999"/>
    <x v="15"/>
  </r>
  <r>
    <s v="09206"/>
    <x v="43"/>
    <s v="Personnel"/>
    <s v="H "/>
    <x v="1"/>
    <x v="19"/>
    <s v="PSES High Prog21Duty43 S275"/>
    <x v="1"/>
    <s v="43"/>
    <n v="43"/>
    <m/>
    <s v="   "/>
    <n v="0.123"/>
    <n v="0.2072"/>
    <n v="2.5000000000000001E-2"/>
    <x v="16"/>
  </r>
  <r>
    <s v="09206"/>
    <x v="43"/>
    <s v="Personnel"/>
    <s v="M "/>
    <x v="2"/>
    <x v="31"/>
    <s v="PSES Mid Prog21Duty43 S275"/>
    <x v="1"/>
    <s v="43"/>
    <n v="43"/>
    <m/>
    <s v="   "/>
    <n v="0.52400000000000002"/>
    <n v="0.2072"/>
    <n v="0.109"/>
    <x v="27"/>
  </r>
  <r>
    <s v="09206"/>
    <x v="43"/>
    <s v="Personnel"/>
    <s v="E "/>
    <x v="0"/>
    <x v="20"/>
    <s v="PSES Elem Prog21Duty45 S275"/>
    <x v="1"/>
    <s v="45"/>
    <n v="45"/>
    <m/>
    <s v="   "/>
    <n v="5"/>
    <n v="0.2072"/>
    <n v="1.036"/>
    <x v="17"/>
  </r>
  <r>
    <s v="09206"/>
    <x v="43"/>
    <s v="Personnel"/>
    <s v="H "/>
    <x v="1"/>
    <x v="21"/>
    <s v="PSES High Prog21Duty45 S275"/>
    <x v="1"/>
    <s v="45"/>
    <n v="45"/>
    <m/>
    <s v="   "/>
    <n v="0.33400000000000002"/>
    <n v="0.2072"/>
    <n v="6.9000000000000006E-2"/>
    <x v="18"/>
  </r>
  <r>
    <s v="09206"/>
    <x v="43"/>
    <s v="Personnel"/>
    <s v="M "/>
    <x v="2"/>
    <x v="28"/>
    <s v="PSES Mid Prog21Duty45 S275"/>
    <x v="1"/>
    <s v="45"/>
    <n v="45"/>
    <m/>
    <s v="   "/>
    <n v="0.66600000000000004"/>
    <n v="0.2072"/>
    <n v="0.13800000000000001"/>
    <x v="25"/>
  </r>
  <r>
    <s v="09206"/>
    <x v="43"/>
    <s v="Personnel"/>
    <s v="E "/>
    <x v="0"/>
    <x v="22"/>
    <s v="PSES Elem Prog21Duty46 S275"/>
    <x v="1"/>
    <s v="46"/>
    <n v="46"/>
    <m/>
    <s v="   "/>
    <n v="4.75"/>
    <n v="0.2072"/>
    <n v="0.98399999999999999"/>
    <x v="19"/>
  </r>
  <r>
    <s v="09206"/>
    <x v="43"/>
    <s v="Personnel"/>
    <s v="E "/>
    <x v="0"/>
    <x v="48"/>
    <s v="PSES Elem Prog01Duty46 S275"/>
    <x v="0"/>
    <s v="46"/>
    <n v="46"/>
    <m/>
    <s v="   "/>
    <n v="1.25"/>
    <n v="0.2072"/>
    <n v="0"/>
    <x v="19"/>
  </r>
  <r>
    <s v="09206"/>
    <x v="43"/>
    <s v="Personnel"/>
    <s v="H "/>
    <x v="1"/>
    <x v="23"/>
    <s v="PSES High Prog21Duty46 S275"/>
    <x v="1"/>
    <s v="46"/>
    <n v="46"/>
    <m/>
    <s v="   "/>
    <n v="1.8"/>
    <n v="0.2072"/>
    <n v="0.373"/>
    <x v="20"/>
  </r>
  <r>
    <s v="09206"/>
    <x v="43"/>
    <s v="Personnel"/>
    <s v="H "/>
    <x v="1"/>
    <x v="65"/>
    <s v="PSES High Prog01Duty46 S275"/>
    <x v="0"/>
    <s v="46"/>
    <n v="46"/>
    <m/>
    <s v="   "/>
    <n v="0.33300000000000002"/>
    <n v="0.2072"/>
    <n v="0"/>
    <x v="20"/>
  </r>
  <r>
    <s v="09206"/>
    <x v="43"/>
    <s v="Personnel"/>
    <s v="M "/>
    <x v="2"/>
    <x v="24"/>
    <s v="PSES Mid Prog21Duty46 S275"/>
    <x v="1"/>
    <s v="46"/>
    <n v="46"/>
    <m/>
    <s v="   "/>
    <n v="0.5"/>
    <n v="0.2072"/>
    <n v="0.104"/>
    <x v="21"/>
  </r>
  <r>
    <s v="09206"/>
    <x v="43"/>
    <s v="Personnel"/>
    <s v="M "/>
    <x v="2"/>
    <x v="49"/>
    <s v="PSES Mid Prog01Duty46 S275"/>
    <x v="0"/>
    <s v="46"/>
    <n v="46"/>
    <m/>
    <s v="   "/>
    <n v="0.16700000000000001"/>
    <n v="0.2072"/>
    <n v="0"/>
    <x v="21"/>
  </r>
  <r>
    <s v="09206"/>
    <x v="43"/>
    <s v="Personnel"/>
    <s v="E "/>
    <x v="0"/>
    <x v="32"/>
    <s v="PSES Elem Prog21Duty47 S275"/>
    <x v="1"/>
    <s v="47"/>
    <n v="47"/>
    <m/>
    <s v="   "/>
    <n v="0.42799999999999999"/>
    <n v="0.2072"/>
    <n v="8.8999999999999996E-2"/>
    <x v="24"/>
  </r>
  <r>
    <s v="09206"/>
    <x v="43"/>
    <s v="Personnel"/>
    <s v="E "/>
    <x v="0"/>
    <x v="27"/>
    <s v="PSES Elem Prog01Duty47 S275"/>
    <x v="0"/>
    <s v="47"/>
    <n v="47"/>
    <m/>
    <s v="   "/>
    <n v="2.84"/>
    <n v="0.2072"/>
    <n v="0"/>
    <x v="24"/>
  </r>
  <r>
    <s v="09206"/>
    <x v="43"/>
    <s v="Personnel"/>
    <s v="H "/>
    <x v="1"/>
    <x v="61"/>
    <s v="PSES High Prog21Duty47 S275"/>
    <x v="1"/>
    <s v="47"/>
    <n v="47"/>
    <m/>
    <s v="   "/>
    <n v="0.248"/>
    <n v="0.2072"/>
    <n v="5.0999999999999997E-2"/>
    <x v="22"/>
  </r>
  <r>
    <s v="09206"/>
    <x v="43"/>
    <s v="Personnel"/>
    <s v="H "/>
    <x v="1"/>
    <x v="25"/>
    <s v="PSES High Prog01Duty47 S275"/>
    <x v="0"/>
    <s v="47"/>
    <n v="47"/>
    <m/>
    <s v="   "/>
    <n v="1.6220000000000001"/>
    <n v="0.2072"/>
    <n v="0"/>
    <x v="22"/>
  </r>
  <r>
    <s v="09206"/>
    <x v="43"/>
    <s v="Personnel"/>
    <s v="M "/>
    <x v="2"/>
    <x v="33"/>
    <s v="PSES Mid Prog21Duty47 S275"/>
    <x v="1"/>
    <s v="47"/>
    <n v="47"/>
    <m/>
    <s v="   "/>
    <n v="0.124"/>
    <n v="0.2072"/>
    <n v="2.5999999999999999E-2"/>
    <x v="28"/>
  </r>
  <r>
    <s v="09206"/>
    <x v="43"/>
    <s v="Personnel"/>
    <s v="M "/>
    <x v="2"/>
    <x v="34"/>
    <s v="PSES Mid Prog01Duty47 S275"/>
    <x v="0"/>
    <s v="47"/>
    <n v="47"/>
    <m/>
    <s v="   "/>
    <n v="0.81100000000000005"/>
    <n v="0.2072"/>
    <n v="0"/>
    <x v="28"/>
  </r>
  <r>
    <s v="09206"/>
    <x v="43"/>
    <s v="Personnel"/>
    <s v="E "/>
    <x v="0"/>
    <x v="35"/>
    <s v="PSES Elem Prog21Duty48 S275"/>
    <x v="1"/>
    <s v="48"/>
    <n v="48"/>
    <m/>
    <s v="   "/>
    <n v="1.23"/>
    <n v="0.2072"/>
    <n v="0.255"/>
    <x v="29"/>
  </r>
  <r>
    <s v="09206"/>
    <x v="43"/>
    <s v="Personnel"/>
    <s v="H "/>
    <x v="1"/>
    <x v="36"/>
    <s v="PSES High Prog21Duty48 S275"/>
    <x v="1"/>
    <s v="48"/>
    <n v="48"/>
    <m/>
    <s v="   "/>
    <n v="0.61599999999999999"/>
    <n v="0.2072"/>
    <n v="0.128"/>
    <x v="30"/>
  </r>
  <r>
    <s v="09206"/>
    <x v="43"/>
    <s v="Personnel"/>
    <s v="M "/>
    <x v="2"/>
    <x v="37"/>
    <s v="PSES Mid Prog21Duty48 S275"/>
    <x v="1"/>
    <s v="48"/>
    <n v="48"/>
    <m/>
    <s v="   "/>
    <n v="0.154"/>
    <n v="0.2072"/>
    <n v="3.2000000000000001E-2"/>
    <x v="31"/>
  </r>
  <r>
    <s v="09206"/>
    <x v="43"/>
    <s v="Personnel"/>
    <s v="E "/>
    <x v="0"/>
    <x v="26"/>
    <s v="PSES Elem Prog21Duty49 S275"/>
    <x v="1"/>
    <s v="49"/>
    <n v="49"/>
    <m/>
    <s v="   "/>
    <n v="0.70799999999999996"/>
    <n v="0.2072"/>
    <n v="0.14699999999999999"/>
    <x v="23"/>
  </r>
  <r>
    <s v="09206"/>
    <x v="43"/>
    <s v="Personnel"/>
    <s v="H "/>
    <x v="1"/>
    <x v="55"/>
    <s v="PSES High Prog21Duty49 S275"/>
    <x v="1"/>
    <s v="49"/>
    <n v="49"/>
    <m/>
    <s v="   "/>
    <n v="0.154"/>
    <n v="0.2072"/>
    <n v="3.2000000000000001E-2"/>
    <x v="37"/>
  </r>
  <r>
    <s v="09206"/>
    <x v="43"/>
    <s v="Personnel"/>
    <s v="H "/>
    <x v="1"/>
    <x v="68"/>
    <s v="PSES High Prog01Duty49 S275"/>
    <x v="0"/>
    <s v="49"/>
    <n v="49"/>
    <m/>
    <s v="   "/>
    <n v="0.75"/>
    <n v="0.2072"/>
    <n v="0"/>
    <x v="37"/>
  </r>
  <r>
    <s v="09206"/>
    <x v="43"/>
    <s v="Personnel"/>
    <s v="M "/>
    <x v="2"/>
    <x v="50"/>
    <s v="PSES Mid Prog21Duty49 S275"/>
    <x v="1"/>
    <s v="49"/>
    <n v="49"/>
    <m/>
    <s v="   "/>
    <n v="0.14000000000000001"/>
    <n v="0.2072"/>
    <n v="2.9000000000000001E-2"/>
    <x v="36"/>
  </r>
  <r>
    <s v="09207"/>
    <x v="44"/>
    <s v="Personnel"/>
    <s v="E "/>
    <x v="0"/>
    <x v="3"/>
    <s v="PSES Elem Prog01Act25 S275"/>
    <x v="0"/>
    <s v="25"/>
    <m/>
    <n v="25"/>
    <s v="   "/>
    <n v="0.13300000000000001"/>
    <n v="0.1913"/>
    <n v="0"/>
    <x v="3"/>
  </r>
  <r>
    <s v="09207"/>
    <x v="44"/>
    <s v="Personnel"/>
    <s v="H "/>
    <x v="1"/>
    <x v="9"/>
    <s v="PSES High Prog01Act26 S275"/>
    <x v="0"/>
    <s v="26"/>
    <m/>
    <n v="26"/>
    <s v="   "/>
    <n v="0.503"/>
    <n v="0.1913"/>
    <n v="0"/>
    <x v="7"/>
  </r>
  <r>
    <s v="09209"/>
    <x v="45"/>
    <s v="Personnel"/>
    <s v="H "/>
    <x v="1"/>
    <x v="9"/>
    <s v="PSES High Prog01Act26 S275"/>
    <x v="0"/>
    <s v="26"/>
    <m/>
    <n v="26"/>
    <s v="   "/>
    <n v="0.64600000000000002"/>
    <n v="0.1913"/>
    <n v="0"/>
    <x v="7"/>
  </r>
  <r>
    <s v="09209"/>
    <x v="45"/>
    <s v="Personnel"/>
    <s v="M "/>
    <x v="2"/>
    <x v="17"/>
    <s v="PSES Mid Prog01Duty42 S275"/>
    <x v="0"/>
    <s v="42"/>
    <n v="42"/>
    <m/>
    <s v="   "/>
    <n v="0.49"/>
    <n v="0.1913"/>
    <n v="0"/>
    <x v="14"/>
  </r>
  <r>
    <s v="10003"/>
    <x v="46"/>
    <s v="Personnel"/>
    <s v="H "/>
    <x v="1"/>
    <x v="9"/>
    <s v="PSES High Prog01Act26 S275"/>
    <x v="0"/>
    <s v="26"/>
    <m/>
    <n v="26"/>
    <s v="   "/>
    <n v="0.22900000000000001"/>
    <n v="0.08"/>
    <n v="0"/>
    <x v="7"/>
  </r>
  <r>
    <s v="10050"/>
    <x v="47"/>
    <s v="Personnel"/>
    <s v="M "/>
    <x v="2"/>
    <x v="17"/>
    <s v="PSES Mid Prog01Duty42 S275"/>
    <x v="0"/>
    <s v="42"/>
    <n v="42"/>
    <m/>
    <s v="   "/>
    <n v="0.5"/>
    <n v="0.15060000000000001"/>
    <n v="0"/>
    <x v="14"/>
  </r>
  <r>
    <s v="10065"/>
    <x v="48"/>
    <s v="Personnel"/>
    <s v="E "/>
    <x v="0"/>
    <x v="8"/>
    <s v="PSES Elem Prog01Act26 S275"/>
    <x v="0"/>
    <s v="26"/>
    <m/>
    <n v="26"/>
    <s v="   "/>
    <n v="0.11899999999999999"/>
    <n v="0.1133"/>
    <n v="0"/>
    <x v="6"/>
  </r>
  <r>
    <s v="10070"/>
    <x v="49"/>
    <s v="Personnel"/>
    <s v="H "/>
    <x v="1"/>
    <x v="9"/>
    <s v="PSES High Prog01Act26 S275"/>
    <x v="0"/>
    <s v="26"/>
    <m/>
    <n v="26"/>
    <s v="   "/>
    <n v="3.7999999999999999E-2"/>
    <n v="0.219"/>
    <n v="0"/>
    <x v="7"/>
  </r>
  <r>
    <s v="10070"/>
    <x v="49"/>
    <s v="Personnel"/>
    <s v="E "/>
    <x v="0"/>
    <x v="15"/>
    <s v="PSES Elem Prog01Duty42 S275"/>
    <x v="0"/>
    <s v="42"/>
    <n v="42"/>
    <m/>
    <s v="   "/>
    <n v="0.3"/>
    <n v="0.219"/>
    <n v="0"/>
    <x v="12"/>
  </r>
  <r>
    <s v="10070"/>
    <x v="49"/>
    <s v="Personnel"/>
    <s v="H "/>
    <x v="1"/>
    <x v="16"/>
    <s v="PSES High Prog01Duty42 S275"/>
    <x v="0"/>
    <s v="42"/>
    <n v="42"/>
    <m/>
    <s v="   "/>
    <n v="1.1499999999999999"/>
    <n v="0.219"/>
    <n v="0"/>
    <x v="13"/>
  </r>
  <r>
    <s v="10070"/>
    <x v="49"/>
    <s v="Personnel"/>
    <s v="M "/>
    <x v="2"/>
    <x v="17"/>
    <s v="PSES Mid Prog01Duty42 S275"/>
    <x v="0"/>
    <s v="42"/>
    <n v="42"/>
    <m/>
    <s v="   "/>
    <n v="0.3"/>
    <n v="0.219"/>
    <n v="0"/>
    <x v="14"/>
  </r>
  <r>
    <s v="10309"/>
    <x v="50"/>
    <s v="Personnel"/>
    <s v="H "/>
    <x v="1"/>
    <x v="1"/>
    <s v="PSES High Prog01Duty96 S275"/>
    <x v="0"/>
    <s v="24"/>
    <n v="96"/>
    <n v="24"/>
    <s v="   "/>
    <n v="0.63300000000000001"/>
    <n v="0.16239999999999999"/>
    <n v="0"/>
    <x v="1"/>
  </r>
  <r>
    <s v="10309"/>
    <x v="50"/>
    <s v="Personnel"/>
    <s v="H "/>
    <x v="1"/>
    <x v="9"/>
    <s v="PSES High Prog01Act26 S275"/>
    <x v="0"/>
    <s v="26"/>
    <m/>
    <n v="26"/>
    <s v="   "/>
    <n v="0.46200000000000002"/>
    <n v="0.16239999999999999"/>
    <n v="0"/>
    <x v="7"/>
  </r>
  <r>
    <s v="11001"/>
    <x v="51"/>
    <s v="Personnel"/>
    <s v="H "/>
    <x v="1"/>
    <x v="1"/>
    <s v="PSES High Prog01Duty96 S275"/>
    <x v="0"/>
    <s v="24"/>
    <n v="96"/>
    <n v="24"/>
    <s v="   "/>
    <n v="2.4820000000000002"/>
    <n v="0.27529999999999999"/>
    <n v="0"/>
    <x v="1"/>
  </r>
  <r>
    <s v="11001"/>
    <x v="51"/>
    <s v="Personnel"/>
    <s v="H "/>
    <x v="1"/>
    <x v="4"/>
    <s v="PSES High Prog21Act25 S275"/>
    <x v="1"/>
    <s v="25"/>
    <m/>
    <n v="25"/>
    <s v="   "/>
    <n v="18.649000000000001"/>
    <n v="0.27529999999999999"/>
    <n v="5.1340000000000003"/>
    <x v="4"/>
  </r>
  <r>
    <s v="11001"/>
    <x v="51"/>
    <s v="Personnel"/>
    <s v="H "/>
    <x v="1"/>
    <x v="5"/>
    <s v="PSES High Prog01Act25 S275"/>
    <x v="0"/>
    <s v="25"/>
    <m/>
    <n v="25"/>
    <s v="   "/>
    <n v="42.646000000000001"/>
    <n v="0.27529999999999999"/>
    <n v="0"/>
    <x v="4"/>
  </r>
  <r>
    <s v="11001"/>
    <x v="51"/>
    <s v="Personnel"/>
    <s v="H "/>
    <x v="1"/>
    <x v="29"/>
    <s v="PSES High Prog21Act26 S275"/>
    <x v="1"/>
    <s v="26"/>
    <m/>
    <n v="26"/>
    <s v="   "/>
    <n v="8.2189999999999994"/>
    <n v="0.27529999999999999"/>
    <n v="2.2629999999999999"/>
    <x v="7"/>
  </r>
  <r>
    <s v="11001"/>
    <x v="51"/>
    <s v="Personnel"/>
    <s v="H "/>
    <x v="1"/>
    <x v="9"/>
    <s v="PSES High Prog01Act26 S275"/>
    <x v="0"/>
    <s v="26"/>
    <m/>
    <n v="26"/>
    <s v="   "/>
    <n v="1.8160000000000001"/>
    <n v="0.27529999999999999"/>
    <n v="0"/>
    <x v="7"/>
  </r>
  <r>
    <s v="11001"/>
    <x v="51"/>
    <s v="Personnel"/>
    <s v="E "/>
    <x v="0"/>
    <x v="15"/>
    <s v="PSES Elem Prog01Duty42 S275"/>
    <x v="0"/>
    <s v="42"/>
    <n v="42"/>
    <m/>
    <s v="   "/>
    <n v="16"/>
    <n v="0.27529999999999999"/>
    <n v="0"/>
    <x v="12"/>
  </r>
  <r>
    <s v="11001"/>
    <x v="51"/>
    <s v="Personnel"/>
    <s v="H "/>
    <x v="1"/>
    <x v="16"/>
    <s v="PSES High Prog01Duty42 S275"/>
    <x v="0"/>
    <s v="42"/>
    <n v="42"/>
    <m/>
    <s v="   "/>
    <n v="17.654"/>
    <n v="0.27529999999999999"/>
    <n v="0"/>
    <x v="13"/>
  </r>
  <r>
    <s v="11001"/>
    <x v="51"/>
    <s v="Personnel"/>
    <s v="M "/>
    <x v="2"/>
    <x v="17"/>
    <s v="PSES Mid Prog01Duty42 S275"/>
    <x v="0"/>
    <s v="42"/>
    <n v="42"/>
    <m/>
    <s v="   "/>
    <n v="8.02"/>
    <n v="0.27529999999999999"/>
    <n v="0"/>
    <x v="14"/>
  </r>
  <r>
    <s v="11001"/>
    <x v="51"/>
    <s v="Personnel"/>
    <s v="E "/>
    <x v="0"/>
    <x v="18"/>
    <s v="PSES Elem Prog21Duty43 S275"/>
    <x v="1"/>
    <s v="43"/>
    <n v="43"/>
    <m/>
    <s v="   "/>
    <n v="3"/>
    <n v="0.27529999999999999"/>
    <n v="0.82599999999999996"/>
    <x v="15"/>
  </r>
  <r>
    <s v="11001"/>
    <x v="51"/>
    <s v="Personnel"/>
    <s v="E "/>
    <x v="0"/>
    <x v="69"/>
    <s v="PSES Elem Prog01Duty43 S275"/>
    <x v="0"/>
    <s v="43"/>
    <n v="43"/>
    <m/>
    <s v="   "/>
    <n v="1.2"/>
    <n v="0.27529999999999999"/>
    <n v="0"/>
    <x v="15"/>
  </r>
  <r>
    <s v="11001"/>
    <x v="51"/>
    <s v="Personnel"/>
    <s v="H "/>
    <x v="1"/>
    <x v="44"/>
    <s v="PSES High Prog01Duty44 S275"/>
    <x v="0"/>
    <s v="44"/>
    <n v="44"/>
    <m/>
    <s v="   "/>
    <n v="1"/>
    <n v="0.27529999999999999"/>
    <n v="0"/>
    <x v="34"/>
  </r>
  <r>
    <s v="11001"/>
    <x v="51"/>
    <s v="Personnel"/>
    <s v="E "/>
    <x v="0"/>
    <x v="20"/>
    <s v="PSES Elem Prog21Duty45 S275"/>
    <x v="1"/>
    <s v="45"/>
    <n v="45"/>
    <m/>
    <s v="   "/>
    <n v="0.79600000000000004"/>
    <n v="0.27529999999999999"/>
    <n v="0.219"/>
    <x v="17"/>
  </r>
  <r>
    <s v="11001"/>
    <x v="51"/>
    <s v="Personnel"/>
    <s v="H "/>
    <x v="1"/>
    <x v="21"/>
    <s v="PSES High Prog21Duty45 S275"/>
    <x v="1"/>
    <s v="45"/>
    <n v="45"/>
    <m/>
    <s v="   "/>
    <n v="13.222"/>
    <n v="0.27529999999999999"/>
    <n v="3.64"/>
    <x v="18"/>
  </r>
  <r>
    <s v="11001"/>
    <x v="51"/>
    <s v="Personnel"/>
    <s v="H "/>
    <x v="1"/>
    <x v="23"/>
    <s v="PSES High Prog21Duty46 S275"/>
    <x v="1"/>
    <s v="46"/>
    <n v="46"/>
    <m/>
    <s v="   "/>
    <n v="14.933"/>
    <n v="0.27529999999999999"/>
    <n v="4.1109999999999998"/>
    <x v="20"/>
  </r>
  <r>
    <s v="11001"/>
    <x v="51"/>
    <s v="Personnel"/>
    <s v="E "/>
    <x v="0"/>
    <x v="32"/>
    <s v="PSES Elem Prog21Duty47 S275"/>
    <x v="1"/>
    <s v="47"/>
    <n v="47"/>
    <m/>
    <s v="   "/>
    <n v="0.75"/>
    <n v="0.27529999999999999"/>
    <n v="0.20599999999999999"/>
    <x v="24"/>
  </r>
  <r>
    <s v="11001"/>
    <x v="51"/>
    <s v="Personnel"/>
    <s v="E "/>
    <x v="0"/>
    <x v="27"/>
    <s v="PSES Elem Prog01Duty47 S275"/>
    <x v="0"/>
    <s v="47"/>
    <n v="47"/>
    <m/>
    <s v="   "/>
    <n v="19.305"/>
    <n v="0.27529999999999999"/>
    <n v="0"/>
    <x v="24"/>
  </r>
  <r>
    <s v="11001"/>
    <x v="51"/>
    <s v="Personnel"/>
    <s v="H "/>
    <x v="1"/>
    <x v="25"/>
    <s v="PSES High Prog01Duty47 S275"/>
    <x v="0"/>
    <s v="47"/>
    <n v="47"/>
    <m/>
    <s v="   "/>
    <n v="2"/>
    <n v="0.27529999999999999"/>
    <n v="0"/>
    <x v="22"/>
  </r>
  <r>
    <s v="11001"/>
    <x v="51"/>
    <s v="Personnel"/>
    <s v="E "/>
    <x v="0"/>
    <x v="35"/>
    <s v="PSES Elem Prog21Duty48 S275"/>
    <x v="1"/>
    <s v="48"/>
    <n v="48"/>
    <m/>
    <s v="   "/>
    <n v="1"/>
    <n v="0.27529999999999999"/>
    <n v="0.27500000000000002"/>
    <x v="29"/>
  </r>
  <r>
    <s v="11051"/>
    <x v="52"/>
    <s v="Personnel"/>
    <s v="H "/>
    <x v="1"/>
    <x v="29"/>
    <s v="PSES High Prog21Act26 S275"/>
    <x v="1"/>
    <s v="26"/>
    <m/>
    <n v="26"/>
    <s v="   "/>
    <n v="2.3879999999999999"/>
    <n v="0.24629999999999999"/>
    <n v="0.58799999999999997"/>
    <x v="7"/>
  </r>
  <r>
    <s v="11051"/>
    <x v="52"/>
    <s v="Personnel"/>
    <s v="H "/>
    <x v="1"/>
    <x v="9"/>
    <s v="PSES High Prog01Act26 S275"/>
    <x v="0"/>
    <s v="26"/>
    <m/>
    <n v="26"/>
    <s v="   "/>
    <n v="2.97"/>
    <n v="0.24629999999999999"/>
    <n v="0"/>
    <x v="7"/>
  </r>
  <r>
    <s v="11051"/>
    <x v="52"/>
    <s v="Personnel"/>
    <s v="E "/>
    <x v="0"/>
    <x v="15"/>
    <s v="PSES Elem Prog01Duty42 S275"/>
    <x v="0"/>
    <s v="42"/>
    <n v="42"/>
    <m/>
    <s v="   "/>
    <n v="2"/>
    <n v="0.24629999999999999"/>
    <n v="0"/>
    <x v="12"/>
  </r>
  <r>
    <s v="11051"/>
    <x v="52"/>
    <s v="Personnel"/>
    <s v="H "/>
    <x v="1"/>
    <x v="16"/>
    <s v="PSES High Prog01Duty42 S275"/>
    <x v="0"/>
    <s v="42"/>
    <n v="42"/>
    <m/>
    <s v="   "/>
    <n v="2.98"/>
    <n v="0.24629999999999999"/>
    <n v="0"/>
    <x v="13"/>
  </r>
  <r>
    <s v="11051"/>
    <x v="52"/>
    <s v="Personnel"/>
    <s v="M "/>
    <x v="2"/>
    <x v="17"/>
    <s v="PSES Mid Prog01Duty42 S275"/>
    <x v="0"/>
    <s v="42"/>
    <n v="42"/>
    <m/>
    <s v="   "/>
    <n v="2.83"/>
    <n v="0.24629999999999999"/>
    <n v="0"/>
    <x v="14"/>
  </r>
  <r>
    <s v="11051"/>
    <x v="52"/>
    <s v="Personnel"/>
    <s v="E "/>
    <x v="0"/>
    <x v="20"/>
    <s v="PSES Elem Prog21Duty45 S275"/>
    <x v="1"/>
    <s v="45"/>
    <n v="45"/>
    <m/>
    <s v="   "/>
    <n v="1.1950000000000001"/>
    <n v="0.24629999999999999"/>
    <n v="0.29399999999999998"/>
    <x v="17"/>
  </r>
  <r>
    <s v="11051"/>
    <x v="52"/>
    <s v="Personnel"/>
    <s v="H "/>
    <x v="1"/>
    <x v="21"/>
    <s v="PSES High Prog21Duty45 S275"/>
    <x v="1"/>
    <s v="45"/>
    <n v="45"/>
    <m/>
    <s v="   "/>
    <n v="0.28599999999999998"/>
    <n v="0.24629999999999999"/>
    <n v="7.0000000000000007E-2"/>
    <x v="18"/>
  </r>
  <r>
    <s v="11051"/>
    <x v="52"/>
    <s v="Personnel"/>
    <s v="M "/>
    <x v="2"/>
    <x v="28"/>
    <s v="PSES Mid Prog21Duty45 S275"/>
    <x v="1"/>
    <s v="45"/>
    <n v="45"/>
    <m/>
    <s v="   "/>
    <n v="0.14299999999999999"/>
    <n v="0.24629999999999999"/>
    <n v="3.5000000000000003E-2"/>
    <x v="25"/>
  </r>
  <r>
    <s v="11051"/>
    <x v="52"/>
    <s v="Personnel"/>
    <s v="E "/>
    <x v="0"/>
    <x v="22"/>
    <s v="PSES Elem Prog21Duty46 S275"/>
    <x v="1"/>
    <s v="46"/>
    <n v="46"/>
    <m/>
    <s v="   "/>
    <n v="1"/>
    <n v="0.24629999999999999"/>
    <n v="0.246"/>
    <x v="19"/>
  </r>
  <r>
    <s v="11051"/>
    <x v="52"/>
    <s v="Personnel"/>
    <s v="H "/>
    <x v="1"/>
    <x v="23"/>
    <s v="PSES High Prog21Duty46 S275"/>
    <x v="1"/>
    <s v="46"/>
    <n v="46"/>
    <m/>
    <s v="   "/>
    <n v="0.57199999999999995"/>
    <n v="0.24629999999999999"/>
    <n v="0.14099999999999999"/>
    <x v="20"/>
  </r>
  <r>
    <s v="11051"/>
    <x v="52"/>
    <s v="Personnel"/>
    <s v="M "/>
    <x v="2"/>
    <x v="24"/>
    <s v="PSES Mid Prog21Duty46 S275"/>
    <x v="1"/>
    <s v="46"/>
    <n v="46"/>
    <m/>
    <s v="   "/>
    <n v="0.28599999999999998"/>
    <n v="0.24629999999999999"/>
    <n v="7.0000000000000007E-2"/>
    <x v="21"/>
  </r>
  <r>
    <s v="11056"/>
    <x v="53"/>
    <s v="Personnel"/>
    <s v="E "/>
    <x v="0"/>
    <x v="15"/>
    <s v="PSES Elem Prog01Duty42 S275"/>
    <x v="0"/>
    <s v="42"/>
    <n v="42"/>
    <m/>
    <s v="   "/>
    <n v="1"/>
    <n v="0.1913"/>
    <n v="0"/>
    <x v="12"/>
  </r>
  <r>
    <s v="12110"/>
    <x v="54"/>
    <s v="Personnel"/>
    <s v="H "/>
    <x v="1"/>
    <x v="54"/>
    <s v="PSES High Prog01Act35 S275"/>
    <x v="0"/>
    <s v="35"/>
    <m/>
    <n v="35"/>
    <s v="   "/>
    <n v="0.34599999999999997"/>
    <n v="0.25159999999999999"/>
    <n v="0"/>
    <x v="9"/>
  </r>
  <r>
    <s v="12110"/>
    <x v="54"/>
    <s v="Personnel"/>
    <s v="E "/>
    <x v="0"/>
    <x v="15"/>
    <s v="PSES Elem Prog01Duty42 S275"/>
    <x v="0"/>
    <s v="42"/>
    <n v="42"/>
    <m/>
    <s v="   "/>
    <n v="0.61699999999999999"/>
    <n v="0.25159999999999999"/>
    <n v="0"/>
    <x v="12"/>
  </r>
  <r>
    <s v="12110"/>
    <x v="54"/>
    <s v="Personnel"/>
    <s v="H "/>
    <x v="1"/>
    <x v="16"/>
    <s v="PSES High Prog01Duty42 S275"/>
    <x v="0"/>
    <s v="42"/>
    <n v="42"/>
    <m/>
    <s v="   "/>
    <n v="0.28599999999999998"/>
    <n v="0.25159999999999999"/>
    <n v="0"/>
    <x v="13"/>
  </r>
  <r>
    <s v="12110"/>
    <x v="54"/>
    <s v="Personnel"/>
    <s v="M "/>
    <x v="2"/>
    <x v="17"/>
    <s v="PSES Mid Prog01Duty42 S275"/>
    <x v="0"/>
    <s v="42"/>
    <n v="42"/>
    <m/>
    <s v="   "/>
    <n v="0.1"/>
    <n v="0.25159999999999999"/>
    <n v="0"/>
    <x v="14"/>
  </r>
  <r>
    <s v="13073"/>
    <x v="55"/>
    <s v="Personnel"/>
    <s v="H "/>
    <x v="1"/>
    <x v="53"/>
    <s v="PSES High Prog97Act25 S275"/>
    <x v="2"/>
    <s v="25"/>
    <m/>
    <n v="25"/>
    <s v="   "/>
    <n v="0.76900000000000002"/>
    <n v="0.2472"/>
    <n v="0"/>
    <x v="4"/>
  </r>
  <r>
    <s v="13073"/>
    <x v="55"/>
    <s v="Personnel"/>
    <s v="H "/>
    <x v="1"/>
    <x v="9"/>
    <s v="PSES High Prog01Act26 S275"/>
    <x v="0"/>
    <s v="26"/>
    <m/>
    <n v="26"/>
    <s v="   "/>
    <n v="0.76900000000000002"/>
    <n v="0.2472"/>
    <n v="0"/>
    <x v="7"/>
  </r>
  <r>
    <s v="13073"/>
    <x v="55"/>
    <s v="Personnel"/>
    <s v="E "/>
    <x v="0"/>
    <x v="15"/>
    <s v="PSES Elem Prog01Duty42 S275"/>
    <x v="0"/>
    <s v="42"/>
    <n v="42"/>
    <m/>
    <s v="   "/>
    <n v="5.36"/>
    <n v="0.2472"/>
    <n v="0"/>
    <x v="12"/>
  </r>
  <r>
    <s v="13073"/>
    <x v="55"/>
    <s v="Personnel"/>
    <s v="H "/>
    <x v="1"/>
    <x v="16"/>
    <s v="PSES High Prog01Duty42 S275"/>
    <x v="0"/>
    <s v="42"/>
    <n v="42"/>
    <m/>
    <s v="   "/>
    <n v="4"/>
    <n v="0.2472"/>
    <n v="0"/>
    <x v="13"/>
  </r>
  <r>
    <s v="13073"/>
    <x v="55"/>
    <s v="Personnel"/>
    <s v="M "/>
    <x v="2"/>
    <x v="17"/>
    <s v="PSES Mid Prog01Duty42 S275"/>
    <x v="0"/>
    <s v="42"/>
    <n v="42"/>
    <m/>
    <s v="   "/>
    <n v="1.34"/>
    <n v="0.2472"/>
    <n v="0"/>
    <x v="14"/>
  </r>
  <r>
    <s v="13073"/>
    <x v="55"/>
    <s v="Personnel"/>
    <s v="E "/>
    <x v="0"/>
    <x v="22"/>
    <s v="PSES Elem Prog21Duty46 S275"/>
    <x v="1"/>
    <s v="46"/>
    <n v="46"/>
    <m/>
    <s v="   "/>
    <n v="2"/>
    <n v="0.2472"/>
    <n v="0.49399999999999999"/>
    <x v="19"/>
  </r>
  <r>
    <s v="13144"/>
    <x v="56"/>
    <s v="Personnel"/>
    <s v="E "/>
    <x v="0"/>
    <x v="3"/>
    <s v="PSES Elem Prog01Act25 S275"/>
    <x v="0"/>
    <s v="25"/>
    <m/>
    <n v="25"/>
    <s v="   "/>
    <n v="0.42399999999999999"/>
    <n v="0.2253"/>
    <n v="0"/>
    <x v="3"/>
  </r>
  <r>
    <s v="13144"/>
    <x v="56"/>
    <s v="Personnel"/>
    <s v="H "/>
    <x v="1"/>
    <x v="4"/>
    <s v="PSES High Prog21Act25 S275"/>
    <x v="1"/>
    <s v="25"/>
    <m/>
    <n v="25"/>
    <s v="   "/>
    <n v="1.452"/>
    <n v="0.2253"/>
    <n v="0.32700000000000001"/>
    <x v="4"/>
  </r>
  <r>
    <s v="13144"/>
    <x v="56"/>
    <s v="Personnel"/>
    <s v="H "/>
    <x v="1"/>
    <x v="5"/>
    <s v="PSES High Prog01Act25 S275"/>
    <x v="0"/>
    <s v="25"/>
    <m/>
    <n v="25"/>
    <s v="   "/>
    <n v="3.07"/>
    <n v="0.2253"/>
    <n v="0"/>
    <x v="4"/>
  </r>
  <r>
    <s v="13144"/>
    <x v="56"/>
    <s v="Personnel"/>
    <s v="M "/>
    <x v="2"/>
    <x v="6"/>
    <s v="PSES Mid Prog01Act25 S275"/>
    <x v="0"/>
    <s v="25"/>
    <m/>
    <n v="25"/>
    <s v="   "/>
    <n v="4.2999999999999997E-2"/>
    <n v="0.2253"/>
    <n v="0"/>
    <x v="5"/>
  </r>
  <r>
    <s v="13144"/>
    <x v="56"/>
    <s v="Personnel"/>
    <s v="H "/>
    <x v="1"/>
    <x v="29"/>
    <s v="PSES High Prog21Act26 S275"/>
    <x v="1"/>
    <s v="26"/>
    <m/>
    <n v="26"/>
    <s v="   "/>
    <n v="0.31"/>
    <n v="0.2253"/>
    <n v="7.0000000000000007E-2"/>
    <x v="7"/>
  </r>
  <r>
    <s v="13144"/>
    <x v="56"/>
    <s v="Personnel"/>
    <s v="H "/>
    <x v="1"/>
    <x v="9"/>
    <s v="PSES High Prog01Act26 S275"/>
    <x v="0"/>
    <s v="26"/>
    <m/>
    <n v="26"/>
    <s v="   "/>
    <n v="0.98299999999999998"/>
    <n v="0.2253"/>
    <n v="0"/>
    <x v="7"/>
  </r>
  <r>
    <s v="13144"/>
    <x v="56"/>
    <s v="Personnel"/>
    <s v="E "/>
    <x v="0"/>
    <x v="15"/>
    <s v="PSES Elem Prog01Duty42 S275"/>
    <x v="0"/>
    <s v="42"/>
    <n v="42"/>
    <m/>
    <s v="   "/>
    <n v="4.33"/>
    <n v="0.2253"/>
    <n v="0"/>
    <x v="12"/>
  </r>
  <r>
    <s v="13144"/>
    <x v="56"/>
    <s v="Personnel"/>
    <s v="H "/>
    <x v="1"/>
    <x v="16"/>
    <s v="PSES High Prog01Duty42 S275"/>
    <x v="0"/>
    <s v="42"/>
    <n v="42"/>
    <m/>
    <s v="   "/>
    <n v="3"/>
    <n v="0.2253"/>
    <n v="0"/>
    <x v="13"/>
  </r>
  <r>
    <s v="13144"/>
    <x v="56"/>
    <s v="Personnel"/>
    <s v="M "/>
    <x v="2"/>
    <x v="17"/>
    <s v="PSES Mid Prog01Duty42 S275"/>
    <x v="0"/>
    <s v="42"/>
    <n v="42"/>
    <m/>
    <s v="   "/>
    <n v="1.67"/>
    <n v="0.2253"/>
    <n v="0"/>
    <x v="14"/>
  </r>
  <r>
    <s v="13144"/>
    <x v="56"/>
    <s v="Personnel"/>
    <s v="E "/>
    <x v="0"/>
    <x v="42"/>
    <s v="PSES Elem Prog01Duty44 S275"/>
    <x v="0"/>
    <s v="44"/>
    <n v="44"/>
    <m/>
    <s v="   "/>
    <n v="1.5"/>
    <n v="0.2253"/>
    <n v="0"/>
    <x v="33"/>
  </r>
  <r>
    <s v="13144"/>
    <x v="56"/>
    <s v="Personnel"/>
    <s v="H "/>
    <x v="1"/>
    <x v="44"/>
    <s v="PSES High Prog01Duty44 S275"/>
    <x v="0"/>
    <s v="44"/>
    <n v="44"/>
    <m/>
    <s v="   "/>
    <n v="2.0329999999999999"/>
    <n v="0.2253"/>
    <n v="0"/>
    <x v="34"/>
  </r>
  <r>
    <s v="13144"/>
    <x v="56"/>
    <s v="Personnel"/>
    <s v="M "/>
    <x v="2"/>
    <x v="46"/>
    <s v="PSES Mid Prog01Duty44 S275"/>
    <x v="0"/>
    <s v="44"/>
    <n v="44"/>
    <m/>
    <s v="   "/>
    <n v="0.16700000000000001"/>
    <n v="0.2253"/>
    <n v="0"/>
    <x v="35"/>
  </r>
  <r>
    <s v="13144"/>
    <x v="56"/>
    <s v="Personnel"/>
    <s v="H "/>
    <x v="1"/>
    <x v="23"/>
    <s v="PSES High Prog21Duty46 S275"/>
    <x v="1"/>
    <s v="46"/>
    <n v="46"/>
    <m/>
    <s v="   "/>
    <n v="1"/>
    <n v="0.2253"/>
    <n v="0.22500000000000001"/>
    <x v="20"/>
  </r>
  <r>
    <s v="13144"/>
    <x v="56"/>
    <s v="Personnel"/>
    <s v="E "/>
    <x v="0"/>
    <x v="27"/>
    <s v="PSES Elem Prog01Duty47 S275"/>
    <x v="0"/>
    <s v="47"/>
    <n v="47"/>
    <m/>
    <s v="   "/>
    <n v="1.0760000000000001"/>
    <n v="0.2253"/>
    <n v="0"/>
    <x v="24"/>
  </r>
  <r>
    <s v="13144"/>
    <x v="56"/>
    <s v="Personnel"/>
    <s v="H "/>
    <x v="1"/>
    <x v="25"/>
    <s v="PSES High Prog01Duty47 S275"/>
    <x v="0"/>
    <s v="47"/>
    <n v="47"/>
    <m/>
    <s v="   "/>
    <n v="0.61599999999999999"/>
    <n v="0.2253"/>
    <n v="0"/>
    <x v="22"/>
  </r>
  <r>
    <s v="13144"/>
    <x v="56"/>
    <s v="Personnel"/>
    <s v="M "/>
    <x v="2"/>
    <x v="34"/>
    <s v="PSES Mid Prog01Duty47 S275"/>
    <x v="0"/>
    <s v="47"/>
    <n v="47"/>
    <m/>
    <s v="   "/>
    <n v="0.308"/>
    <n v="0.2253"/>
    <n v="0"/>
    <x v="28"/>
  </r>
  <r>
    <s v="13146"/>
    <x v="57"/>
    <s v="Personnel"/>
    <s v="E "/>
    <x v="0"/>
    <x v="0"/>
    <s v="PSES Elem Prog01Duty96 S275"/>
    <x v="0"/>
    <s v="24"/>
    <n v="96"/>
    <n v="24"/>
    <s v="   "/>
    <n v="0.318"/>
    <n v="0.32650000000000001"/>
    <n v="0"/>
    <x v="0"/>
  </r>
  <r>
    <s v="13146"/>
    <x v="57"/>
    <s v="Personnel"/>
    <s v="E "/>
    <x v="0"/>
    <x v="7"/>
    <s v="PSES Elem Prog21Act26 S275"/>
    <x v="1"/>
    <s v="26"/>
    <m/>
    <n v="26"/>
    <s v="   "/>
    <n v="0.318"/>
    <n v="0.32650000000000001"/>
    <n v="0.104"/>
    <x v="6"/>
  </r>
  <r>
    <s v="13146"/>
    <x v="57"/>
    <s v="Personnel"/>
    <s v="E "/>
    <x v="0"/>
    <x v="15"/>
    <s v="PSES Elem Prog01Duty42 S275"/>
    <x v="0"/>
    <s v="42"/>
    <n v="42"/>
    <m/>
    <s v="   "/>
    <n v="0.65"/>
    <n v="0.32650000000000001"/>
    <n v="0"/>
    <x v="12"/>
  </r>
  <r>
    <s v="13146"/>
    <x v="57"/>
    <s v="Personnel"/>
    <s v="H "/>
    <x v="1"/>
    <x v="16"/>
    <s v="PSES High Prog01Duty42 S275"/>
    <x v="0"/>
    <s v="42"/>
    <n v="42"/>
    <m/>
    <s v="   "/>
    <n v="0.5"/>
    <n v="0.32650000000000001"/>
    <n v="0"/>
    <x v="13"/>
  </r>
  <r>
    <s v="13146"/>
    <x v="57"/>
    <s v="Personnel"/>
    <s v="M "/>
    <x v="2"/>
    <x v="17"/>
    <s v="PSES Mid Prog01Duty42 S275"/>
    <x v="0"/>
    <s v="42"/>
    <n v="42"/>
    <m/>
    <s v="   "/>
    <n v="0.86"/>
    <n v="0.32650000000000001"/>
    <n v="0"/>
    <x v="14"/>
  </r>
  <r>
    <s v="13146"/>
    <x v="57"/>
    <s v="Personnel"/>
    <s v="E "/>
    <x v="0"/>
    <x v="20"/>
    <s v="PSES Elem Prog21Duty45 S275"/>
    <x v="1"/>
    <s v="45"/>
    <n v="45"/>
    <m/>
    <s v="   "/>
    <n v="0.44"/>
    <n v="0.32650000000000001"/>
    <n v="0.14399999999999999"/>
    <x v="17"/>
  </r>
  <r>
    <s v="13146"/>
    <x v="57"/>
    <s v="Personnel"/>
    <s v="H "/>
    <x v="1"/>
    <x v="21"/>
    <s v="PSES High Prog21Duty45 S275"/>
    <x v="1"/>
    <s v="45"/>
    <n v="45"/>
    <m/>
    <s v="   "/>
    <n v="0.3"/>
    <n v="0.32650000000000001"/>
    <n v="9.8000000000000004E-2"/>
    <x v="18"/>
  </r>
  <r>
    <s v="13146"/>
    <x v="57"/>
    <s v="Personnel"/>
    <s v="M "/>
    <x v="2"/>
    <x v="28"/>
    <s v="PSES Mid Prog21Duty45 S275"/>
    <x v="1"/>
    <s v="45"/>
    <n v="45"/>
    <m/>
    <s v="   "/>
    <n v="0.26"/>
    <n v="0.32650000000000001"/>
    <n v="8.5000000000000006E-2"/>
    <x v="25"/>
  </r>
  <r>
    <s v="13146"/>
    <x v="57"/>
    <s v="Personnel"/>
    <s v="E "/>
    <x v="0"/>
    <x v="22"/>
    <s v="PSES Elem Prog21Duty46 S275"/>
    <x v="1"/>
    <s v="46"/>
    <n v="46"/>
    <m/>
    <s v="   "/>
    <n v="0.44"/>
    <n v="0.32650000000000001"/>
    <n v="0.14399999999999999"/>
    <x v="19"/>
  </r>
  <r>
    <s v="13146"/>
    <x v="57"/>
    <s v="Personnel"/>
    <s v="H "/>
    <x v="1"/>
    <x v="23"/>
    <s v="PSES High Prog21Duty46 S275"/>
    <x v="1"/>
    <s v="46"/>
    <n v="46"/>
    <m/>
    <s v="   "/>
    <n v="0.3"/>
    <n v="0.32650000000000001"/>
    <n v="9.8000000000000004E-2"/>
    <x v="20"/>
  </r>
  <r>
    <s v="13146"/>
    <x v="57"/>
    <s v="Personnel"/>
    <s v="M "/>
    <x v="2"/>
    <x v="24"/>
    <s v="PSES Mid Prog21Duty46 S275"/>
    <x v="1"/>
    <s v="46"/>
    <n v="46"/>
    <m/>
    <s v="   "/>
    <n v="0.26"/>
    <n v="0.32650000000000001"/>
    <n v="8.5000000000000006E-2"/>
    <x v="21"/>
  </r>
  <r>
    <s v="13151"/>
    <x v="58"/>
    <s v="Personnel"/>
    <s v="E "/>
    <x v="0"/>
    <x v="15"/>
    <s v="PSES Elem Prog01Duty42 S275"/>
    <x v="0"/>
    <s v="42"/>
    <n v="42"/>
    <m/>
    <s v="   "/>
    <n v="0.14000000000000001"/>
    <n v="0.22289999999999999"/>
    <n v="0"/>
    <x v="12"/>
  </r>
  <r>
    <s v="13151"/>
    <x v="58"/>
    <s v="Personnel"/>
    <s v="H "/>
    <x v="1"/>
    <x v="16"/>
    <s v="PSES High Prog01Duty42 S275"/>
    <x v="0"/>
    <s v="42"/>
    <n v="42"/>
    <m/>
    <s v="   "/>
    <n v="0.57999999999999996"/>
    <n v="0.22289999999999999"/>
    <n v="0"/>
    <x v="13"/>
  </r>
  <r>
    <s v="13156"/>
    <x v="59"/>
    <s v="Personnel"/>
    <s v="E "/>
    <x v="0"/>
    <x v="8"/>
    <s v="PSES Elem Prog01Act26 S275"/>
    <x v="0"/>
    <s v="26"/>
    <m/>
    <n v="26"/>
    <s v="   "/>
    <n v="0.20200000000000001"/>
    <n v="0.25950000000000001"/>
    <n v="0"/>
    <x v="6"/>
  </r>
  <r>
    <s v="13156"/>
    <x v="59"/>
    <s v="Personnel"/>
    <s v="H "/>
    <x v="1"/>
    <x v="29"/>
    <s v="PSES High Prog21Act26 S275"/>
    <x v="1"/>
    <s v="26"/>
    <m/>
    <n v="26"/>
    <s v="   "/>
    <n v="0.63900000000000001"/>
    <n v="0.25950000000000001"/>
    <n v="0.16600000000000001"/>
    <x v="7"/>
  </r>
  <r>
    <s v="13156"/>
    <x v="59"/>
    <s v="Personnel"/>
    <s v="H "/>
    <x v="1"/>
    <x v="9"/>
    <s v="PSES High Prog01Act26 S275"/>
    <x v="0"/>
    <s v="26"/>
    <m/>
    <n v="26"/>
    <s v="   "/>
    <n v="0.253"/>
    <n v="0.25950000000000001"/>
    <n v="0"/>
    <x v="7"/>
  </r>
  <r>
    <s v="13156"/>
    <x v="59"/>
    <s v="Personnel"/>
    <s v="M "/>
    <x v="2"/>
    <x v="11"/>
    <s v="PSES Mid Prog01Act26 S275"/>
    <x v="0"/>
    <s v="26"/>
    <m/>
    <n v="26"/>
    <s v="   "/>
    <n v="0.152"/>
    <n v="0.25950000000000001"/>
    <n v="0"/>
    <x v="8"/>
  </r>
  <r>
    <s v="13156"/>
    <x v="59"/>
    <s v="Personnel"/>
    <s v="H "/>
    <x v="1"/>
    <x v="16"/>
    <s v="PSES High Prog01Duty42 S275"/>
    <x v="0"/>
    <s v="42"/>
    <n v="42"/>
    <m/>
    <s v="   "/>
    <n v="0.75"/>
    <n v="0.25950000000000001"/>
    <n v="0"/>
    <x v="13"/>
  </r>
  <r>
    <s v="13156"/>
    <x v="59"/>
    <s v="Personnel"/>
    <s v="M "/>
    <x v="2"/>
    <x v="17"/>
    <s v="PSES Mid Prog01Duty42 S275"/>
    <x v="0"/>
    <s v="42"/>
    <n v="42"/>
    <m/>
    <s v="   "/>
    <n v="0.25"/>
    <n v="0.25950000000000001"/>
    <n v="0"/>
    <x v="14"/>
  </r>
  <r>
    <s v="13160"/>
    <x v="60"/>
    <s v="Personnel"/>
    <s v="H "/>
    <x v="1"/>
    <x v="9"/>
    <s v="PSES High Prog01Act26 S275"/>
    <x v="0"/>
    <s v="26"/>
    <m/>
    <n v="26"/>
    <s v="   "/>
    <n v="0.98699999999999999"/>
    <n v="0.20280000000000001"/>
    <n v="0"/>
    <x v="7"/>
  </r>
  <r>
    <s v="13160"/>
    <x v="60"/>
    <s v="Personnel"/>
    <s v="E "/>
    <x v="0"/>
    <x v="15"/>
    <s v="PSES Elem Prog01Duty42 S275"/>
    <x v="0"/>
    <s v="42"/>
    <n v="42"/>
    <m/>
    <s v="   "/>
    <n v="0.9"/>
    <n v="0.20280000000000001"/>
    <n v="0"/>
    <x v="12"/>
  </r>
  <r>
    <s v="13160"/>
    <x v="60"/>
    <s v="Personnel"/>
    <s v="H "/>
    <x v="1"/>
    <x v="16"/>
    <s v="PSES High Prog01Duty42 S275"/>
    <x v="0"/>
    <s v="42"/>
    <n v="42"/>
    <m/>
    <s v="   "/>
    <n v="1.2"/>
    <n v="0.20280000000000001"/>
    <n v="0"/>
    <x v="13"/>
  </r>
  <r>
    <s v="13160"/>
    <x v="60"/>
    <s v="Personnel"/>
    <s v="M "/>
    <x v="2"/>
    <x v="17"/>
    <s v="PSES Mid Prog01Duty42 S275"/>
    <x v="0"/>
    <s v="42"/>
    <n v="42"/>
    <m/>
    <s v="   "/>
    <n v="0.93"/>
    <n v="0.20280000000000001"/>
    <n v="0"/>
    <x v="14"/>
  </r>
  <r>
    <s v="13160"/>
    <x v="60"/>
    <s v="Personnel"/>
    <s v="E "/>
    <x v="0"/>
    <x v="22"/>
    <s v="PSES Elem Prog21Duty46 S275"/>
    <x v="1"/>
    <s v="46"/>
    <n v="46"/>
    <m/>
    <s v="   "/>
    <n v="1.0780000000000001"/>
    <n v="0.20280000000000001"/>
    <n v="0.219"/>
    <x v="19"/>
  </r>
  <r>
    <s v="13160"/>
    <x v="60"/>
    <s v="Personnel"/>
    <s v="H "/>
    <x v="1"/>
    <x v="23"/>
    <s v="PSES High Prog21Duty46 S275"/>
    <x v="1"/>
    <s v="46"/>
    <n v="46"/>
    <m/>
    <s v="   "/>
    <n v="0.61399999999999999"/>
    <n v="0.20280000000000001"/>
    <n v="0.125"/>
    <x v="20"/>
  </r>
  <r>
    <s v="13160"/>
    <x v="60"/>
    <s v="Personnel"/>
    <s v="M "/>
    <x v="2"/>
    <x v="24"/>
    <s v="PSES Mid Prog21Duty46 S275"/>
    <x v="1"/>
    <s v="46"/>
    <n v="46"/>
    <m/>
    <s v="   "/>
    <n v="0.308"/>
    <n v="0.20280000000000001"/>
    <n v="6.2E-2"/>
    <x v="21"/>
  </r>
  <r>
    <s v="13160"/>
    <x v="60"/>
    <s v="Personnel"/>
    <s v="E "/>
    <x v="0"/>
    <x v="27"/>
    <s v="PSES Elem Prog01Duty47 S275"/>
    <x v="0"/>
    <s v="47"/>
    <n v="47"/>
    <m/>
    <s v="   "/>
    <n v="0.497"/>
    <n v="0.20280000000000001"/>
    <n v="0"/>
    <x v="24"/>
  </r>
  <r>
    <s v="13160"/>
    <x v="60"/>
    <s v="Personnel"/>
    <s v="H "/>
    <x v="1"/>
    <x v="25"/>
    <s v="PSES High Prog01Duty47 S275"/>
    <x v="0"/>
    <s v="47"/>
    <n v="47"/>
    <m/>
    <s v="   "/>
    <n v="0.36"/>
    <n v="0.20280000000000001"/>
    <n v="0"/>
    <x v="22"/>
  </r>
  <r>
    <s v="13160"/>
    <x v="60"/>
    <s v="Personnel"/>
    <s v="M "/>
    <x v="2"/>
    <x v="34"/>
    <s v="PSES Mid Prog01Duty47 S275"/>
    <x v="0"/>
    <s v="47"/>
    <n v="47"/>
    <m/>
    <s v="   "/>
    <n v="0.14299999999999999"/>
    <n v="0.20280000000000001"/>
    <n v="0"/>
    <x v="28"/>
  </r>
  <r>
    <s v="13160"/>
    <x v="60"/>
    <s v="Personnel"/>
    <s v="T"/>
    <x v="0"/>
    <x v="70"/>
    <s v="PSES Elem Prog09Duty442S275"/>
    <x v="3"/>
    <s v="42"/>
    <n v="42"/>
    <n v="24"/>
    <s v="   "/>
    <n v="0.1"/>
    <n v="0.20280000000000001"/>
    <n v="0"/>
    <x v="42"/>
  </r>
  <r>
    <s v="13161"/>
    <x v="61"/>
    <s v="Personnel"/>
    <s v="H "/>
    <x v="1"/>
    <x v="4"/>
    <s v="PSES High Prog21Act25 S275"/>
    <x v="1"/>
    <s v="25"/>
    <m/>
    <n v="25"/>
    <s v="   "/>
    <n v="6.4669999999999996"/>
    <n v="0.25059999999999999"/>
    <n v="1.621"/>
    <x v="4"/>
  </r>
  <r>
    <s v="13161"/>
    <x v="61"/>
    <s v="Personnel"/>
    <s v="H "/>
    <x v="1"/>
    <x v="5"/>
    <s v="PSES High Prog01Act25 S275"/>
    <x v="0"/>
    <s v="25"/>
    <m/>
    <n v="25"/>
    <s v="   "/>
    <n v="5.3239999999999998"/>
    <n v="0.25059999999999999"/>
    <n v="0"/>
    <x v="4"/>
  </r>
  <r>
    <s v="13161"/>
    <x v="61"/>
    <s v="Personnel"/>
    <s v="H "/>
    <x v="1"/>
    <x v="29"/>
    <s v="PSES High Prog21Act26 S275"/>
    <x v="1"/>
    <s v="26"/>
    <m/>
    <n v="26"/>
    <s v="   "/>
    <n v="3.3929999999999998"/>
    <n v="0.25059999999999999"/>
    <n v="0.85"/>
    <x v="7"/>
  </r>
  <r>
    <s v="13161"/>
    <x v="61"/>
    <s v="Personnel"/>
    <s v="H "/>
    <x v="1"/>
    <x v="9"/>
    <s v="PSES High Prog01Act26 S275"/>
    <x v="0"/>
    <s v="26"/>
    <m/>
    <n v="26"/>
    <s v="   "/>
    <n v="8.1969999999999992"/>
    <n v="0.25059999999999999"/>
    <n v="0"/>
    <x v="7"/>
  </r>
  <r>
    <s v="13161"/>
    <x v="61"/>
    <s v="Personnel"/>
    <s v="E "/>
    <x v="0"/>
    <x v="15"/>
    <s v="PSES Elem Prog01Duty42 S275"/>
    <x v="0"/>
    <s v="42"/>
    <n v="42"/>
    <m/>
    <s v="   "/>
    <n v="6.4889999999999999"/>
    <n v="0.25059999999999999"/>
    <n v="0"/>
    <x v="12"/>
  </r>
  <r>
    <s v="13161"/>
    <x v="61"/>
    <s v="Personnel"/>
    <s v="H "/>
    <x v="1"/>
    <x v="16"/>
    <s v="PSES High Prog01Duty42 S275"/>
    <x v="0"/>
    <s v="42"/>
    <n v="42"/>
    <m/>
    <s v="   "/>
    <n v="7.4089999999999998"/>
    <n v="0.25059999999999999"/>
    <n v="0"/>
    <x v="13"/>
  </r>
  <r>
    <s v="13161"/>
    <x v="61"/>
    <s v="Personnel"/>
    <s v="M "/>
    <x v="2"/>
    <x v="17"/>
    <s v="PSES Mid Prog01Duty42 S275"/>
    <x v="0"/>
    <s v="42"/>
    <n v="42"/>
    <m/>
    <s v="   "/>
    <n v="3.9860000000000002"/>
    <n v="0.25059999999999999"/>
    <n v="0"/>
    <x v="14"/>
  </r>
  <r>
    <s v="13161"/>
    <x v="61"/>
    <s v="Personnel"/>
    <s v="E "/>
    <x v="0"/>
    <x v="18"/>
    <s v="PSES Elem Prog21Duty43 S275"/>
    <x v="1"/>
    <s v="43"/>
    <n v="43"/>
    <m/>
    <s v="   "/>
    <n v="4"/>
    <n v="0.25059999999999999"/>
    <n v="1.002"/>
    <x v="15"/>
  </r>
  <r>
    <s v="13161"/>
    <x v="61"/>
    <s v="Personnel"/>
    <s v="E "/>
    <x v="0"/>
    <x v="42"/>
    <s v="PSES Elem Prog01Duty44 S275"/>
    <x v="0"/>
    <s v="44"/>
    <n v="44"/>
    <m/>
    <s v="   "/>
    <n v="4.8"/>
    <n v="0.25059999999999999"/>
    <n v="0"/>
    <x v="33"/>
  </r>
  <r>
    <s v="13161"/>
    <x v="61"/>
    <s v="Personnel"/>
    <s v="M "/>
    <x v="2"/>
    <x v="46"/>
    <s v="PSES Mid Prog01Duty44 S275"/>
    <x v="0"/>
    <s v="44"/>
    <n v="44"/>
    <m/>
    <s v="   "/>
    <n v="1"/>
    <n v="0.25059999999999999"/>
    <n v="0"/>
    <x v="35"/>
  </r>
  <r>
    <s v="13161"/>
    <x v="61"/>
    <s v="Personnel"/>
    <s v="E "/>
    <x v="0"/>
    <x v="20"/>
    <s v="PSES Elem Prog21Duty45 S275"/>
    <x v="1"/>
    <s v="45"/>
    <n v="45"/>
    <m/>
    <s v="   "/>
    <n v="11.5"/>
    <n v="0.25059999999999999"/>
    <n v="2.8820000000000001"/>
    <x v="17"/>
  </r>
  <r>
    <s v="13161"/>
    <x v="61"/>
    <s v="Personnel"/>
    <s v="H "/>
    <x v="1"/>
    <x v="21"/>
    <s v="PSES High Prog21Duty45 S275"/>
    <x v="1"/>
    <s v="45"/>
    <n v="45"/>
    <m/>
    <s v="   "/>
    <n v="0.91"/>
    <n v="0.25059999999999999"/>
    <n v="0.22800000000000001"/>
    <x v="18"/>
  </r>
  <r>
    <s v="13161"/>
    <x v="61"/>
    <s v="Personnel"/>
    <s v="M "/>
    <x v="2"/>
    <x v="28"/>
    <s v="PSES Mid Prog21Duty45 S275"/>
    <x v="1"/>
    <s v="45"/>
    <n v="45"/>
    <m/>
    <s v="   "/>
    <n v="0.41"/>
    <n v="0.25059999999999999"/>
    <n v="0.10299999999999999"/>
    <x v="25"/>
  </r>
  <r>
    <s v="13161"/>
    <x v="61"/>
    <s v="Personnel"/>
    <s v="E "/>
    <x v="0"/>
    <x v="22"/>
    <s v="PSES Elem Prog21Duty46 S275"/>
    <x v="1"/>
    <s v="46"/>
    <n v="46"/>
    <m/>
    <s v="   "/>
    <n v="6.4180000000000001"/>
    <n v="0.25059999999999999"/>
    <n v="1.6080000000000001"/>
    <x v="19"/>
  </r>
  <r>
    <s v="13161"/>
    <x v="61"/>
    <s v="Personnel"/>
    <s v="E "/>
    <x v="0"/>
    <x v="32"/>
    <s v="PSES Elem Prog21Duty47 S275"/>
    <x v="1"/>
    <s v="47"/>
    <n v="47"/>
    <m/>
    <s v="   "/>
    <n v="3.5"/>
    <n v="0.25059999999999999"/>
    <n v="0.877"/>
    <x v="24"/>
  </r>
  <r>
    <s v="13161"/>
    <x v="61"/>
    <s v="Personnel"/>
    <s v="E "/>
    <x v="0"/>
    <x v="27"/>
    <s v="PSES Elem Prog01Duty47 S275"/>
    <x v="0"/>
    <s v="47"/>
    <n v="47"/>
    <m/>
    <s v="   "/>
    <n v="3.5"/>
    <n v="0.25059999999999999"/>
    <n v="0"/>
    <x v="24"/>
  </r>
  <r>
    <s v="13161"/>
    <x v="61"/>
    <s v="Personnel"/>
    <s v="E "/>
    <x v="0"/>
    <x v="35"/>
    <s v="PSES Elem Prog21Duty48 S275"/>
    <x v="1"/>
    <s v="48"/>
    <n v="48"/>
    <m/>
    <s v="   "/>
    <n v="2"/>
    <n v="0.25059999999999999"/>
    <n v="0.501"/>
    <x v="29"/>
  </r>
  <r>
    <s v="13161"/>
    <x v="61"/>
    <s v="Personnel"/>
    <s v="E "/>
    <x v="0"/>
    <x v="26"/>
    <s v="PSES Elem Prog21Duty49 S275"/>
    <x v="1"/>
    <s v="49"/>
    <n v="49"/>
    <m/>
    <s v="   "/>
    <n v="0.46"/>
    <n v="0.25059999999999999"/>
    <n v="0.115"/>
    <x v="23"/>
  </r>
  <r>
    <s v="13161"/>
    <x v="61"/>
    <s v="Personnel"/>
    <s v="H "/>
    <x v="1"/>
    <x v="55"/>
    <s v="PSES High Prog21Duty49 S275"/>
    <x v="1"/>
    <s v="49"/>
    <n v="49"/>
    <m/>
    <s v="   "/>
    <n v="0.29499999999999998"/>
    <n v="0.25059999999999999"/>
    <n v="7.3999999999999996E-2"/>
    <x v="37"/>
  </r>
  <r>
    <s v="13161"/>
    <x v="61"/>
    <s v="Personnel"/>
    <s v="M "/>
    <x v="2"/>
    <x v="50"/>
    <s v="PSES Mid Prog21Duty49 S275"/>
    <x v="1"/>
    <s v="49"/>
    <n v="49"/>
    <m/>
    <s v="   "/>
    <n v="0.16500000000000001"/>
    <n v="0.25059999999999999"/>
    <n v="4.1000000000000002E-2"/>
    <x v="36"/>
  </r>
  <r>
    <s v="13165"/>
    <x v="62"/>
    <s v="Personnel"/>
    <s v="H "/>
    <x v="1"/>
    <x v="4"/>
    <s v="PSES High Prog21Act25 S275"/>
    <x v="1"/>
    <s v="25"/>
    <m/>
    <n v="25"/>
    <s v="   "/>
    <n v="0.83099999999999996"/>
    <n v="0.2374"/>
    <n v="0.19700000000000001"/>
    <x v="4"/>
  </r>
  <r>
    <s v="13165"/>
    <x v="62"/>
    <s v="Personnel"/>
    <s v="H "/>
    <x v="1"/>
    <x v="5"/>
    <s v="PSES High Prog01Act25 S275"/>
    <x v="0"/>
    <s v="25"/>
    <m/>
    <n v="25"/>
    <s v="   "/>
    <n v="4.8869999999999996"/>
    <n v="0.2374"/>
    <n v="0"/>
    <x v="4"/>
  </r>
  <r>
    <s v="13165"/>
    <x v="62"/>
    <s v="Personnel"/>
    <s v="M "/>
    <x v="2"/>
    <x v="6"/>
    <s v="PSES Mid Prog01Act25 S275"/>
    <x v="0"/>
    <s v="25"/>
    <m/>
    <n v="25"/>
    <s v="   "/>
    <n v="1.4E-2"/>
    <n v="0.2374"/>
    <n v="0"/>
    <x v="5"/>
  </r>
  <r>
    <s v="13165"/>
    <x v="62"/>
    <s v="Personnel"/>
    <s v="H "/>
    <x v="1"/>
    <x v="29"/>
    <s v="PSES High Prog21Act26 S275"/>
    <x v="1"/>
    <s v="26"/>
    <m/>
    <n v="26"/>
    <s v="   "/>
    <n v="0.12"/>
    <n v="0.2374"/>
    <n v="2.8000000000000001E-2"/>
    <x v="7"/>
  </r>
  <r>
    <s v="13165"/>
    <x v="62"/>
    <s v="Personnel"/>
    <s v="H "/>
    <x v="1"/>
    <x v="9"/>
    <s v="PSES High Prog01Act26 S275"/>
    <x v="0"/>
    <s v="26"/>
    <m/>
    <n v="26"/>
    <s v="   "/>
    <n v="1.08"/>
    <n v="0.2374"/>
    <n v="0"/>
    <x v="7"/>
  </r>
  <r>
    <s v="13165"/>
    <x v="62"/>
    <s v="Personnel"/>
    <s v="H "/>
    <x v="1"/>
    <x v="12"/>
    <s v="PSES High Prog97Act35 S275"/>
    <x v="2"/>
    <s v="35"/>
    <m/>
    <n v="35"/>
    <s v="   "/>
    <n v="1.4750000000000001"/>
    <n v="0.2374"/>
    <n v="0"/>
    <x v="9"/>
  </r>
  <r>
    <s v="13165"/>
    <x v="62"/>
    <s v="Personnel"/>
    <s v="E "/>
    <x v="0"/>
    <x v="15"/>
    <s v="PSES Elem Prog01Duty42 S275"/>
    <x v="0"/>
    <s v="42"/>
    <n v="42"/>
    <m/>
    <s v="   "/>
    <n v="3"/>
    <n v="0.2374"/>
    <n v="0"/>
    <x v="12"/>
  </r>
  <r>
    <s v="13165"/>
    <x v="62"/>
    <s v="Personnel"/>
    <s v="H "/>
    <x v="1"/>
    <x v="16"/>
    <s v="PSES High Prog01Duty42 S275"/>
    <x v="0"/>
    <s v="42"/>
    <n v="42"/>
    <m/>
    <s v="   "/>
    <n v="2"/>
    <n v="0.2374"/>
    <n v="0"/>
    <x v="13"/>
  </r>
  <r>
    <s v="13165"/>
    <x v="62"/>
    <s v="Personnel"/>
    <s v="M "/>
    <x v="2"/>
    <x v="17"/>
    <s v="PSES Mid Prog01Duty42 S275"/>
    <x v="0"/>
    <s v="42"/>
    <n v="42"/>
    <m/>
    <s v="   "/>
    <n v="1"/>
    <n v="0.2374"/>
    <n v="0"/>
    <x v="14"/>
  </r>
  <r>
    <s v="13165"/>
    <x v="62"/>
    <s v="Personnel"/>
    <s v="E "/>
    <x v="0"/>
    <x v="20"/>
    <s v="PSES Elem Prog21Duty45 S275"/>
    <x v="1"/>
    <s v="45"/>
    <n v="45"/>
    <m/>
    <s v="   "/>
    <n v="1.5249999999999999"/>
    <n v="0.2374"/>
    <n v="0.36199999999999999"/>
    <x v="17"/>
  </r>
  <r>
    <s v="13165"/>
    <x v="62"/>
    <s v="Personnel"/>
    <s v="H "/>
    <x v="1"/>
    <x v="21"/>
    <s v="PSES High Prog21Duty45 S275"/>
    <x v="1"/>
    <s v="45"/>
    <n v="45"/>
    <m/>
    <s v="   "/>
    <n v="0.86899999999999999"/>
    <n v="0.2374"/>
    <n v="0.20599999999999999"/>
    <x v="18"/>
  </r>
  <r>
    <s v="13165"/>
    <x v="62"/>
    <s v="Personnel"/>
    <s v="M "/>
    <x v="2"/>
    <x v="28"/>
    <s v="PSES Mid Prog21Duty45 S275"/>
    <x v="1"/>
    <s v="45"/>
    <n v="45"/>
    <m/>
    <s v="   "/>
    <n v="0.436"/>
    <n v="0.2374"/>
    <n v="0.104"/>
    <x v="25"/>
  </r>
  <r>
    <s v="13165"/>
    <x v="62"/>
    <s v="Personnel"/>
    <s v="E "/>
    <x v="0"/>
    <x v="22"/>
    <s v="PSES Elem Prog21Duty46 S275"/>
    <x v="1"/>
    <s v="46"/>
    <n v="46"/>
    <m/>
    <s v="   "/>
    <n v="1.3340000000000001"/>
    <n v="0.2374"/>
    <n v="0.317"/>
    <x v="19"/>
  </r>
  <r>
    <s v="13165"/>
    <x v="62"/>
    <s v="Personnel"/>
    <s v="E "/>
    <x v="0"/>
    <x v="48"/>
    <s v="PSES Elem Prog01Duty46 S275"/>
    <x v="0"/>
    <s v="46"/>
    <n v="46"/>
    <m/>
    <s v="   "/>
    <n v="0.14899999999999999"/>
    <n v="0.2374"/>
    <n v="0"/>
    <x v="19"/>
  </r>
  <r>
    <s v="13165"/>
    <x v="62"/>
    <s v="Personnel"/>
    <s v="H "/>
    <x v="1"/>
    <x v="23"/>
    <s v="PSES High Prog21Duty46 S275"/>
    <x v="1"/>
    <s v="46"/>
    <n v="46"/>
    <m/>
    <s v="   "/>
    <n v="0.76200000000000001"/>
    <n v="0.2374"/>
    <n v="0.18099999999999999"/>
    <x v="20"/>
  </r>
  <r>
    <s v="13165"/>
    <x v="62"/>
    <s v="Personnel"/>
    <s v="H "/>
    <x v="1"/>
    <x v="65"/>
    <s v="PSES High Prog01Duty46 S275"/>
    <x v="0"/>
    <s v="46"/>
    <n v="46"/>
    <m/>
    <s v="   "/>
    <n v="8.5000000000000006E-2"/>
    <n v="0.2374"/>
    <n v="0"/>
    <x v="20"/>
  </r>
  <r>
    <s v="13165"/>
    <x v="62"/>
    <s v="Personnel"/>
    <s v="M "/>
    <x v="2"/>
    <x v="24"/>
    <s v="PSES Mid Prog21Duty46 S275"/>
    <x v="1"/>
    <s v="46"/>
    <n v="46"/>
    <m/>
    <s v="   "/>
    <n v="0.38"/>
    <n v="0.2374"/>
    <n v="0.09"/>
    <x v="21"/>
  </r>
  <r>
    <s v="13165"/>
    <x v="62"/>
    <s v="Personnel"/>
    <s v="M "/>
    <x v="2"/>
    <x v="49"/>
    <s v="PSES Mid Prog01Duty46 S275"/>
    <x v="0"/>
    <s v="46"/>
    <n v="46"/>
    <m/>
    <s v="   "/>
    <n v="4.1000000000000002E-2"/>
    <n v="0.2374"/>
    <n v="0"/>
    <x v="21"/>
  </r>
  <r>
    <s v="13165"/>
    <x v="62"/>
    <s v="Personnel"/>
    <s v="E "/>
    <x v="0"/>
    <x v="27"/>
    <s v="PSES Elem Prog01Duty47 S275"/>
    <x v="0"/>
    <s v="47"/>
    <n v="47"/>
    <m/>
    <s v="   "/>
    <n v="1.5"/>
    <n v="0.2374"/>
    <n v="0"/>
    <x v="24"/>
  </r>
  <r>
    <s v="13165"/>
    <x v="62"/>
    <s v="Personnel"/>
    <s v="H "/>
    <x v="1"/>
    <x v="25"/>
    <s v="PSES High Prog01Duty47 S275"/>
    <x v="0"/>
    <s v="47"/>
    <n v="47"/>
    <m/>
    <s v="   "/>
    <n v="0.61899999999999999"/>
    <n v="0.2374"/>
    <n v="0"/>
    <x v="22"/>
  </r>
  <r>
    <s v="13165"/>
    <x v="62"/>
    <s v="Personnel"/>
    <s v="M "/>
    <x v="2"/>
    <x v="34"/>
    <s v="PSES Mid Prog01Duty47 S275"/>
    <x v="0"/>
    <s v="47"/>
    <n v="47"/>
    <m/>
    <s v="   "/>
    <n v="0.5"/>
    <n v="0.2374"/>
    <n v="0"/>
    <x v="28"/>
  </r>
  <r>
    <s v="13167"/>
    <x v="63"/>
    <s v="Personnel"/>
    <s v="E "/>
    <x v="0"/>
    <x v="8"/>
    <s v="PSES Elem Prog01Act26 S275"/>
    <x v="0"/>
    <s v="26"/>
    <m/>
    <n v="26"/>
    <s v="   "/>
    <n v="0.29199999999999998"/>
    <n v="0.1656"/>
    <n v="0"/>
    <x v="6"/>
  </r>
  <r>
    <s v="13167"/>
    <x v="63"/>
    <s v="Personnel"/>
    <s v="H "/>
    <x v="1"/>
    <x v="9"/>
    <s v="PSES High Prog01Act26 S275"/>
    <x v="0"/>
    <s v="26"/>
    <m/>
    <n v="26"/>
    <s v="   "/>
    <n v="0.29199999999999998"/>
    <n v="0.1656"/>
    <n v="0"/>
    <x v="7"/>
  </r>
  <r>
    <s v="13301"/>
    <x v="64"/>
    <s v="Personnel"/>
    <s v="H "/>
    <x v="1"/>
    <x v="5"/>
    <s v="PSES High Prog01Act25 S275"/>
    <x v="0"/>
    <s v="25"/>
    <m/>
    <n v="25"/>
    <s v="   "/>
    <n v="0.61599999999999999"/>
    <n v="0.2505"/>
    <n v="0"/>
    <x v="4"/>
  </r>
  <r>
    <s v="13301"/>
    <x v="64"/>
    <s v="Personnel"/>
    <s v="H "/>
    <x v="1"/>
    <x v="9"/>
    <s v="PSES High Prog01Act26 S275"/>
    <x v="0"/>
    <s v="26"/>
    <m/>
    <n v="26"/>
    <s v="   "/>
    <n v="1.5820000000000001"/>
    <n v="0.2505"/>
    <n v="0"/>
    <x v="7"/>
  </r>
  <r>
    <s v="13301"/>
    <x v="64"/>
    <s v="Personnel"/>
    <s v="H "/>
    <x v="1"/>
    <x v="16"/>
    <s v="PSES High Prog01Duty42 S275"/>
    <x v="0"/>
    <s v="42"/>
    <n v="42"/>
    <m/>
    <s v="   "/>
    <n v="1"/>
    <n v="0.2505"/>
    <n v="0"/>
    <x v="13"/>
  </r>
  <r>
    <s v="14005"/>
    <x v="65"/>
    <s v="Personnel"/>
    <s v="E "/>
    <x v="0"/>
    <x v="0"/>
    <s v="PSES Elem Prog01Duty96 S275"/>
    <x v="0"/>
    <s v="24"/>
    <n v="96"/>
    <n v="24"/>
    <s v="   "/>
    <n v="0.499"/>
    <n v="0.26869999999999999"/>
    <n v="0"/>
    <x v="0"/>
  </r>
  <r>
    <s v="14005"/>
    <x v="65"/>
    <s v="Personnel"/>
    <s v="H "/>
    <x v="1"/>
    <x v="29"/>
    <s v="PSES High Prog21Act26 S275"/>
    <x v="1"/>
    <s v="26"/>
    <m/>
    <n v="26"/>
    <s v="   "/>
    <n v="3.6259999999999999"/>
    <n v="0.26869999999999999"/>
    <n v="0.97399999999999998"/>
    <x v="7"/>
  </r>
  <r>
    <s v="14005"/>
    <x v="65"/>
    <s v="Personnel"/>
    <s v="H "/>
    <x v="1"/>
    <x v="9"/>
    <s v="PSES High Prog01Act26 S275"/>
    <x v="0"/>
    <s v="26"/>
    <m/>
    <n v="26"/>
    <s v="   "/>
    <n v="2.57"/>
    <n v="0.26869999999999999"/>
    <n v="0"/>
    <x v="7"/>
  </r>
  <r>
    <s v="14005"/>
    <x v="65"/>
    <s v="Personnel"/>
    <s v="E "/>
    <x v="0"/>
    <x v="15"/>
    <s v="PSES Elem Prog01Duty42 S275"/>
    <x v="0"/>
    <s v="42"/>
    <n v="42"/>
    <m/>
    <s v="   "/>
    <n v="3.25"/>
    <n v="0.26869999999999999"/>
    <n v="0"/>
    <x v="12"/>
  </r>
  <r>
    <s v="14005"/>
    <x v="65"/>
    <s v="Personnel"/>
    <s v="H "/>
    <x v="1"/>
    <x v="16"/>
    <s v="PSES High Prog01Duty42 S275"/>
    <x v="0"/>
    <s v="42"/>
    <n v="42"/>
    <m/>
    <s v="   "/>
    <n v="3.294"/>
    <n v="0.26869999999999999"/>
    <n v="0"/>
    <x v="13"/>
  </r>
  <r>
    <s v="14005"/>
    <x v="65"/>
    <s v="Personnel"/>
    <s v="M "/>
    <x v="2"/>
    <x v="17"/>
    <s v="PSES Mid Prog01Duty42 S275"/>
    <x v="0"/>
    <s v="42"/>
    <n v="42"/>
    <m/>
    <s v="   "/>
    <n v="2.2000000000000002"/>
    <n v="0.26869999999999999"/>
    <n v="0"/>
    <x v="14"/>
  </r>
  <r>
    <s v="14005"/>
    <x v="65"/>
    <s v="Personnel"/>
    <s v="E "/>
    <x v="0"/>
    <x v="20"/>
    <s v="PSES Elem Prog21Duty45 S275"/>
    <x v="1"/>
    <s v="45"/>
    <n v="45"/>
    <m/>
    <s v="   "/>
    <n v="0.436"/>
    <n v="0.26869999999999999"/>
    <n v="0.11700000000000001"/>
    <x v="17"/>
  </r>
  <r>
    <s v="14005"/>
    <x v="65"/>
    <s v="Personnel"/>
    <s v="H "/>
    <x v="1"/>
    <x v="23"/>
    <s v="PSES High Prog21Duty46 S275"/>
    <x v="1"/>
    <s v="46"/>
    <n v="46"/>
    <m/>
    <s v="   "/>
    <n v="0.15"/>
    <n v="0.26869999999999999"/>
    <n v="0.04"/>
    <x v="20"/>
  </r>
  <r>
    <s v="14005"/>
    <x v="65"/>
    <s v="Personnel"/>
    <s v="E "/>
    <x v="0"/>
    <x v="38"/>
    <s v="PSES Elem Prog21Duty64 S275"/>
    <x v="1"/>
    <s v="64"/>
    <n v="64"/>
    <m/>
    <s v="   "/>
    <n v="12"/>
    <n v="0.26869999999999999"/>
    <n v="3.2240000000000002"/>
    <x v="32"/>
  </r>
  <r>
    <s v="14028"/>
    <x v="66"/>
    <s v="Personnel"/>
    <s v="E "/>
    <x v="0"/>
    <x v="8"/>
    <s v="PSES Elem Prog01Act26 S275"/>
    <x v="0"/>
    <s v="26"/>
    <m/>
    <n v="26"/>
    <s v="   "/>
    <n v="1.2769999999999999"/>
    <n v="0.20039999999999999"/>
    <n v="0"/>
    <x v="6"/>
  </r>
  <r>
    <s v="14028"/>
    <x v="66"/>
    <s v="Personnel"/>
    <s v="H "/>
    <x v="1"/>
    <x v="29"/>
    <s v="PSES High Prog21Act26 S275"/>
    <x v="1"/>
    <s v="26"/>
    <m/>
    <n v="26"/>
    <s v="   "/>
    <n v="0.57499999999999996"/>
    <n v="0.20039999999999999"/>
    <n v="0.115"/>
    <x v="7"/>
  </r>
  <r>
    <s v="14028"/>
    <x v="66"/>
    <s v="Personnel"/>
    <s v="H "/>
    <x v="1"/>
    <x v="9"/>
    <s v="PSES High Prog01Act26 S275"/>
    <x v="0"/>
    <s v="26"/>
    <m/>
    <n v="26"/>
    <s v="   "/>
    <n v="0.19"/>
    <n v="0.20039999999999999"/>
    <n v="0"/>
    <x v="7"/>
  </r>
  <r>
    <s v="14028"/>
    <x v="66"/>
    <s v="Personnel"/>
    <s v="M "/>
    <x v="2"/>
    <x v="11"/>
    <s v="PSES Mid Prog01Act26 S275"/>
    <x v="0"/>
    <s v="26"/>
    <m/>
    <n v="26"/>
    <s v="   "/>
    <n v="0.127"/>
    <n v="0.20039999999999999"/>
    <n v="0"/>
    <x v="8"/>
  </r>
  <r>
    <s v="14028"/>
    <x v="66"/>
    <s v="Personnel"/>
    <s v="E "/>
    <x v="0"/>
    <x v="15"/>
    <s v="PSES Elem Prog01Duty42 S275"/>
    <x v="0"/>
    <s v="42"/>
    <n v="42"/>
    <m/>
    <s v="   "/>
    <n v="1.7989999999999999"/>
    <n v="0.20039999999999999"/>
    <n v="0"/>
    <x v="12"/>
  </r>
  <r>
    <s v="14028"/>
    <x v="66"/>
    <s v="Personnel"/>
    <s v="H "/>
    <x v="1"/>
    <x v="16"/>
    <s v="PSES High Prog01Duty42 S275"/>
    <x v="0"/>
    <s v="42"/>
    <n v="42"/>
    <m/>
    <s v="   "/>
    <n v="1.8"/>
    <n v="0.20039999999999999"/>
    <n v="0"/>
    <x v="13"/>
  </r>
  <r>
    <s v="14028"/>
    <x v="66"/>
    <s v="Personnel"/>
    <s v="M "/>
    <x v="2"/>
    <x v="17"/>
    <s v="PSES Mid Prog01Duty42 S275"/>
    <x v="0"/>
    <s v="42"/>
    <n v="42"/>
    <m/>
    <s v="   "/>
    <n v="1"/>
    <n v="0.20039999999999999"/>
    <n v="0"/>
    <x v="14"/>
  </r>
  <r>
    <s v="14028"/>
    <x v="66"/>
    <s v="Personnel"/>
    <s v="E "/>
    <x v="0"/>
    <x v="22"/>
    <s v="PSES Elem Prog21Duty46 S275"/>
    <x v="1"/>
    <s v="46"/>
    <n v="46"/>
    <m/>
    <s v="   "/>
    <n v="1"/>
    <n v="0.20039999999999999"/>
    <n v="0.2"/>
    <x v="19"/>
  </r>
  <r>
    <s v="14028"/>
    <x v="66"/>
    <s v="Personnel"/>
    <s v="H "/>
    <x v="1"/>
    <x v="23"/>
    <s v="PSES High Prog21Duty46 S275"/>
    <x v="1"/>
    <s v="46"/>
    <n v="46"/>
    <m/>
    <s v="   "/>
    <n v="0.4"/>
    <n v="0.20039999999999999"/>
    <n v="0.08"/>
    <x v="20"/>
  </r>
  <r>
    <s v="14028"/>
    <x v="66"/>
    <s v="Personnel"/>
    <s v="M "/>
    <x v="2"/>
    <x v="24"/>
    <s v="PSES Mid Prog21Duty46 S275"/>
    <x v="1"/>
    <s v="46"/>
    <n v="46"/>
    <m/>
    <s v="   "/>
    <n v="0.6"/>
    <n v="0.20039999999999999"/>
    <n v="0.12"/>
    <x v="21"/>
  </r>
  <r>
    <s v="14028"/>
    <x v="66"/>
    <s v="Personnel"/>
    <s v="E "/>
    <x v="0"/>
    <x v="27"/>
    <s v="PSES Elem Prog01Duty47 S275"/>
    <x v="0"/>
    <s v="47"/>
    <n v="47"/>
    <m/>
    <s v="   "/>
    <n v="1"/>
    <n v="0.20039999999999999"/>
    <n v="0"/>
    <x v="24"/>
  </r>
  <r>
    <s v="14028"/>
    <x v="66"/>
    <s v="Personnel"/>
    <s v="E "/>
    <x v="0"/>
    <x v="38"/>
    <s v="PSES Elem Prog21Duty64 S275"/>
    <x v="1"/>
    <s v="64"/>
    <n v="64"/>
    <m/>
    <s v="   "/>
    <n v="5.5389999999999997"/>
    <n v="0.20039999999999999"/>
    <n v="1.1100000000000001"/>
    <x v="32"/>
  </r>
  <r>
    <s v="14028"/>
    <x v="66"/>
    <s v="Personnel"/>
    <s v="H "/>
    <x v="1"/>
    <x v="59"/>
    <s v="PSES High Prog21Duty64 S275"/>
    <x v="1"/>
    <s v="64"/>
    <n v="64"/>
    <m/>
    <s v="   "/>
    <n v="2.0209999999999999"/>
    <n v="0.20039999999999999"/>
    <n v="0.40500000000000003"/>
    <x v="38"/>
  </r>
  <r>
    <s v="14028"/>
    <x v="66"/>
    <s v="Personnel"/>
    <s v="M "/>
    <x v="2"/>
    <x v="60"/>
    <s v="PSES Mid Prog21Duty64 S275"/>
    <x v="1"/>
    <s v="64"/>
    <n v="64"/>
    <m/>
    <s v="   "/>
    <n v="1.44"/>
    <n v="0.20039999999999999"/>
    <n v="0.28899999999999998"/>
    <x v="39"/>
  </r>
  <r>
    <s v="14064"/>
    <x v="67"/>
    <s v="Personnel"/>
    <s v="H "/>
    <x v="1"/>
    <x v="1"/>
    <s v="PSES High Prog01Duty96 S275"/>
    <x v="0"/>
    <s v="24"/>
    <n v="96"/>
    <n v="24"/>
    <s v="   "/>
    <n v="0.80800000000000005"/>
    <n v="0.20499999999999999"/>
    <n v="0"/>
    <x v="1"/>
  </r>
  <r>
    <s v="14064"/>
    <x v="67"/>
    <s v="Personnel"/>
    <s v="E "/>
    <x v="0"/>
    <x v="15"/>
    <s v="PSES Elem Prog01Duty42 S275"/>
    <x v="0"/>
    <s v="42"/>
    <n v="42"/>
    <m/>
    <s v="   "/>
    <n v="1.1599999999999999"/>
    <n v="0.20499999999999999"/>
    <n v="0"/>
    <x v="12"/>
  </r>
  <r>
    <s v="14064"/>
    <x v="67"/>
    <s v="Personnel"/>
    <s v="H "/>
    <x v="1"/>
    <x v="16"/>
    <s v="PSES High Prog01Duty42 S275"/>
    <x v="0"/>
    <s v="42"/>
    <n v="42"/>
    <m/>
    <s v="   "/>
    <n v="0.46400000000000002"/>
    <n v="0.20499999999999999"/>
    <n v="0"/>
    <x v="13"/>
  </r>
  <r>
    <s v="14064"/>
    <x v="67"/>
    <s v="Personnel"/>
    <s v="E "/>
    <x v="0"/>
    <x v="20"/>
    <s v="PSES Elem Prog21Duty45 S275"/>
    <x v="1"/>
    <s v="45"/>
    <n v="45"/>
    <m/>
    <s v="   "/>
    <n v="0.5"/>
    <n v="0.20499999999999999"/>
    <n v="0.10299999999999999"/>
    <x v="17"/>
  </r>
  <r>
    <s v="14064"/>
    <x v="67"/>
    <s v="Personnel"/>
    <s v="H "/>
    <x v="1"/>
    <x v="21"/>
    <s v="PSES High Prog21Duty45 S275"/>
    <x v="1"/>
    <s v="45"/>
    <n v="45"/>
    <m/>
    <s v="   "/>
    <n v="0.25"/>
    <n v="0.20499999999999999"/>
    <n v="5.0999999999999997E-2"/>
    <x v="18"/>
  </r>
  <r>
    <s v="14064"/>
    <x v="67"/>
    <s v="Personnel"/>
    <s v="M "/>
    <x v="2"/>
    <x v="28"/>
    <s v="PSES Mid Prog21Duty45 S275"/>
    <x v="1"/>
    <s v="45"/>
    <n v="45"/>
    <m/>
    <s v="   "/>
    <n v="0.25"/>
    <n v="0.20499999999999999"/>
    <n v="5.0999999999999997E-2"/>
    <x v="25"/>
  </r>
  <r>
    <s v="14065"/>
    <x v="68"/>
    <s v="Personnel"/>
    <s v="E "/>
    <x v="0"/>
    <x v="3"/>
    <s v="PSES Elem Prog01Act25 S275"/>
    <x v="0"/>
    <s v="25"/>
    <m/>
    <n v="25"/>
    <s v="   "/>
    <n v="0.40699999999999997"/>
    <n v="0.17599999999999999"/>
    <n v="0"/>
    <x v="3"/>
  </r>
  <r>
    <s v="14065"/>
    <x v="68"/>
    <s v="Personnel"/>
    <s v="H "/>
    <x v="1"/>
    <x v="5"/>
    <s v="PSES High Prog01Act25 S275"/>
    <x v="0"/>
    <s v="25"/>
    <m/>
    <n v="25"/>
    <s v="   "/>
    <n v="0.35299999999999998"/>
    <n v="0.17599999999999999"/>
    <n v="0"/>
    <x v="4"/>
  </r>
  <r>
    <s v="14065"/>
    <x v="68"/>
    <s v="Personnel"/>
    <s v="M "/>
    <x v="2"/>
    <x v="6"/>
    <s v="PSES Mid Prog01Act25 S275"/>
    <x v="0"/>
    <s v="25"/>
    <m/>
    <n v="25"/>
    <s v="   "/>
    <n v="6.5000000000000002E-2"/>
    <n v="0.17599999999999999"/>
    <n v="0"/>
    <x v="5"/>
  </r>
  <r>
    <s v="14065"/>
    <x v="68"/>
    <s v="Personnel"/>
    <s v="E "/>
    <x v="0"/>
    <x v="15"/>
    <s v="PSES Elem Prog01Duty42 S275"/>
    <x v="0"/>
    <s v="42"/>
    <n v="42"/>
    <m/>
    <s v="   "/>
    <n v="0.45"/>
    <n v="0.17599999999999999"/>
    <n v="0"/>
    <x v="12"/>
  </r>
  <r>
    <s v="14065"/>
    <x v="68"/>
    <s v="Personnel"/>
    <s v="M "/>
    <x v="2"/>
    <x v="17"/>
    <s v="PSES Mid Prog01Duty42 S275"/>
    <x v="0"/>
    <s v="42"/>
    <n v="42"/>
    <m/>
    <s v="   "/>
    <n v="0.15"/>
    <n v="0.17599999999999999"/>
    <n v="0"/>
    <x v="14"/>
  </r>
  <r>
    <s v="14066"/>
    <x v="69"/>
    <s v="Personnel"/>
    <s v="E "/>
    <x v="0"/>
    <x v="3"/>
    <s v="PSES Elem Prog01Act25 S275"/>
    <x v="0"/>
    <s v="25"/>
    <m/>
    <n v="25"/>
    <s v="   "/>
    <n v="9.4E-2"/>
    <n v="0.2341"/>
    <n v="0"/>
    <x v="3"/>
  </r>
  <r>
    <s v="14066"/>
    <x v="69"/>
    <s v="Personnel"/>
    <s v="H "/>
    <x v="1"/>
    <x v="4"/>
    <s v="PSES High Prog21Act25 S275"/>
    <x v="1"/>
    <s v="25"/>
    <m/>
    <n v="25"/>
    <s v="   "/>
    <n v="1.4419999999999999"/>
    <n v="0.2341"/>
    <n v="0.33800000000000002"/>
    <x v="4"/>
  </r>
  <r>
    <s v="14066"/>
    <x v="69"/>
    <s v="Personnel"/>
    <s v="H "/>
    <x v="1"/>
    <x v="5"/>
    <s v="PSES High Prog01Act25 S275"/>
    <x v="0"/>
    <s v="25"/>
    <m/>
    <n v="25"/>
    <s v="   "/>
    <n v="2.129"/>
    <n v="0.2341"/>
    <n v="0"/>
    <x v="4"/>
  </r>
  <r>
    <s v="14066"/>
    <x v="69"/>
    <s v="Personnel"/>
    <s v="H "/>
    <x v="1"/>
    <x v="29"/>
    <s v="PSES High Prog21Act26 S275"/>
    <x v="1"/>
    <s v="26"/>
    <m/>
    <n v="26"/>
    <s v="   "/>
    <n v="0.59399999999999997"/>
    <n v="0.2341"/>
    <n v="0.13900000000000001"/>
    <x v="7"/>
  </r>
  <r>
    <s v="14066"/>
    <x v="69"/>
    <s v="Personnel"/>
    <s v="H "/>
    <x v="1"/>
    <x v="9"/>
    <s v="PSES High Prog01Act26 S275"/>
    <x v="0"/>
    <s v="26"/>
    <m/>
    <n v="26"/>
    <s v="   "/>
    <n v="2.665"/>
    <n v="0.2341"/>
    <n v="0"/>
    <x v="7"/>
  </r>
  <r>
    <s v="14066"/>
    <x v="69"/>
    <s v="Personnel"/>
    <s v="E "/>
    <x v="0"/>
    <x v="15"/>
    <s v="PSES Elem Prog01Duty42 S275"/>
    <x v="0"/>
    <s v="42"/>
    <n v="42"/>
    <m/>
    <s v="   "/>
    <n v="2"/>
    <n v="0.2341"/>
    <n v="0"/>
    <x v="12"/>
  </r>
  <r>
    <s v="14066"/>
    <x v="69"/>
    <s v="Personnel"/>
    <s v="M "/>
    <x v="2"/>
    <x v="17"/>
    <s v="PSES Mid Prog01Duty42 S275"/>
    <x v="0"/>
    <s v="42"/>
    <n v="42"/>
    <m/>
    <s v="   "/>
    <n v="1.34"/>
    <n v="0.2341"/>
    <n v="0"/>
    <x v="14"/>
  </r>
  <r>
    <s v="14066"/>
    <x v="69"/>
    <s v="Personnel"/>
    <s v="E "/>
    <x v="0"/>
    <x v="20"/>
    <s v="PSES Elem Prog21Duty45 S275"/>
    <x v="1"/>
    <s v="45"/>
    <n v="45"/>
    <m/>
    <s v="   "/>
    <n v="1"/>
    <n v="0.2341"/>
    <n v="0.23400000000000001"/>
    <x v="17"/>
  </r>
  <r>
    <s v="14066"/>
    <x v="69"/>
    <s v="Personnel"/>
    <s v="E "/>
    <x v="0"/>
    <x v="22"/>
    <s v="PSES Elem Prog21Duty46 S275"/>
    <x v="1"/>
    <s v="46"/>
    <n v="46"/>
    <m/>
    <s v="   "/>
    <n v="1"/>
    <n v="0.2341"/>
    <n v="0.23400000000000001"/>
    <x v="19"/>
  </r>
  <r>
    <s v="14066"/>
    <x v="69"/>
    <s v="Personnel"/>
    <s v="E "/>
    <x v="0"/>
    <x v="35"/>
    <s v="PSES Elem Prog21Duty48 S275"/>
    <x v="1"/>
    <s v="48"/>
    <n v="48"/>
    <m/>
    <s v="   "/>
    <n v="1"/>
    <n v="0.2341"/>
    <n v="0.23400000000000001"/>
    <x v="29"/>
  </r>
  <r>
    <s v="14066"/>
    <x v="69"/>
    <s v="Personnel"/>
    <m/>
    <x v="0"/>
    <x v="66"/>
    <s v="PSES Elem Prog09Duty25 S275"/>
    <x v="3"/>
    <s v="25"/>
    <n v="91"/>
    <n v="25"/>
    <m/>
    <n v="0.13700000000000001"/>
    <n v="0.2341"/>
    <n v="0"/>
    <x v="41"/>
  </r>
  <r>
    <s v="14066"/>
    <x v="69"/>
    <s v="Personnel"/>
    <m/>
    <x v="0"/>
    <x v="66"/>
    <s v="PSES Elem Prog09Duty25 S275"/>
    <x v="3"/>
    <s v="25"/>
    <n v="91"/>
    <n v="25"/>
    <m/>
    <n v="0.13700000000000001"/>
    <n v="0.2341"/>
    <n v="0"/>
    <x v="41"/>
  </r>
  <r>
    <s v="14066"/>
    <x v="69"/>
    <s v="Personnel"/>
    <m/>
    <x v="0"/>
    <x v="66"/>
    <s v="PSES Elem Prog09Duty25 S275"/>
    <x v="3"/>
    <s v="25"/>
    <n v="91"/>
    <n v="25"/>
    <m/>
    <n v="0.13700000000000001"/>
    <n v="0.2341"/>
    <n v="0"/>
    <x v="41"/>
  </r>
  <r>
    <s v="14066"/>
    <x v="69"/>
    <s v="Personnel"/>
    <m/>
    <x v="0"/>
    <x v="66"/>
    <s v="PSES Elem Prog09Duty25 S275"/>
    <x v="3"/>
    <s v="25"/>
    <n v="91"/>
    <n v="25"/>
    <m/>
    <n v="9.2999999999999999E-2"/>
    <n v="0.2341"/>
    <n v="0"/>
    <x v="41"/>
  </r>
  <r>
    <s v="14066"/>
    <x v="69"/>
    <s v="Personnel"/>
    <m/>
    <x v="0"/>
    <x v="66"/>
    <s v="PSES Elem Prog09Duty25 S275"/>
    <x v="3"/>
    <s v="25"/>
    <n v="91"/>
    <n v="25"/>
    <m/>
    <n v="0.16"/>
    <n v="0.2341"/>
    <n v="0"/>
    <x v="41"/>
  </r>
  <r>
    <s v="14068"/>
    <x v="70"/>
    <s v="Personnel"/>
    <s v="H "/>
    <x v="1"/>
    <x v="9"/>
    <s v="PSES High Prog01Act26 S275"/>
    <x v="0"/>
    <s v="26"/>
    <m/>
    <n v="26"/>
    <s v="   "/>
    <n v="0.63900000000000001"/>
    <n v="0.25609999999999999"/>
    <n v="0"/>
    <x v="7"/>
  </r>
  <r>
    <s v="14068"/>
    <x v="70"/>
    <s v="Personnel"/>
    <s v="M "/>
    <x v="2"/>
    <x v="11"/>
    <s v="PSES Mid Prog01Act26 S275"/>
    <x v="0"/>
    <s v="26"/>
    <m/>
    <n v="26"/>
    <s v="   "/>
    <n v="0.63900000000000001"/>
    <n v="0.25609999999999999"/>
    <n v="0"/>
    <x v="8"/>
  </r>
  <r>
    <s v="14068"/>
    <x v="70"/>
    <s v="Personnel"/>
    <s v="E "/>
    <x v="0"/>
    <x v="15"/>
    <s v="PSES Elem Prog01Duty42 S275"/>
    <x v="0"/>
    <s v="42"/>
    <n v="42"/>
    <m/>
    <s v="   "/>
    <n v="1"/>
    <n v="0.25609999999999999"/>
    <n v="0"/>
    <x v="12"/>
  </r>
  <r>
    <s v="14068"/>
    <x v="70"/>
    <s v="Personnel"/>
    <s v="H "/>
    <x v="1"/>
    <x v="16"/>
    <s v="PSES High Prog01Duty42 S275"/>
    <x v="0"/>
    <s v="42"/>
    <n v="42"/>
    <m/>
    <s v="   "/>
    <n v="0.78"/>
    <n v="0.25609999999999999"/>
    <n v="0"/>
    <x v="13"/>
  </r>
  <r>
    <s v="14068"/>
    <x v="70"/>
    <s v="Personnel"/>
    <s v="M "/>
    <x v="2"/>
    <x v="17"/>
    <s v="PSES Mid Prog01Duty42 S275"/>
    <x v="0"/>
    <s v="42"/>
    <n v="42"/>
    <m/>
    <s v="   "/>
    <n v="0.79"/>
    <n v="0.25609999999999999"/>
    <n v="0"/>
    <x v="14"/>
  </r>
  <r>
    <s v="14068"/>
    <x v="70"/>
    <s v="Personnel"/>
    <s v="E "/>
    <x v="0"/>
    <x v="20"/>
    <s v="PSES Elem Prog21Duty45 S275"/>
    <x v="1"/>
    <s v="45"/>
    <n v="45"/>
    <m/>
    <s v="   "/>
    <n v="0.75"/>
    <n v="0.25609999999999999"/>
    <n v="0.192"/>
    <x v="17"/>
  </r>
  <r>
    <s v="14068"/>
    <x v="70"/>
    <s v="Personnel"/>
    <s v="H "/>
    <x v="1"/>
    <x v="21"/>
    <s v="PSES High Prog21Duty45 S275"/>
    <x v="1"/>
    <s v="45"/>
    <n v="45"/>
    <m/>
    <s v="   "/>
    <n v="0.15"/>
    <n v="0.25609999999999999"/>
    <n v="3.7999999999999999E-2"/>
    <x v="18"/>
  </r>
  <r>
    <s v="14068"/>
    <x v="70"/>
    <s v="Personnel"/>
    <s v="M "/>
    <x v="2"/>
    <x v="28"/>
    <s v="PSES Mid Prog21Duty45 S275"/>
    <x v="1"/>
    <s v="45"/>
    <n v="45"/>
    <m/>
    <s v="   "/>
    <n v="0.1"/>
    <n v="0.25609999999999999"/>
    <n v="2.5999999999999999E-2"/>
    <x v="25"/>
  </r>
  <r>
    <s v="14068"/>
    <x v="70"/>
    <s v="Personnel"/>
    <s v="E "/>
    <x v="0"/>
    <x v="22"/>
    <s v="PSES Elem Prog21Duty46 S275"/>
    <x v="1"/>
    <s v="46"/>
    <n v="46"/>
    <m/>
    <s v="   "/>
    <n v="0.33"/>
    <n v="0.25609999999999999"/>
    <n v="8.5000000000000006E-2"/>
    <x v="19"/>
  </r>
  <r>
    <s v="14068"/>
    <x v="70"/>
    <s v="Personnel"/>
    <s v="H "/>
    <x v="1"/>
    <x v="23"/>
    <s v="PSES High Prog21Duty46 S275"/>
    <x v="1"/>
    <s v="46"/>
    <n v="46"/>
    <m/>
    <s v="   "/>
    <n v="0.5"/>
    <n v="0.25609999999999999"/>
    <n v="0.128"/>
    <x v="20"/>
  </r>
  <r>
    <s v="14068"/>
    <x v="70"/>
    <s v="Personnel"/>
    <s v="M "/>
    <x v="2"/>
    <x v="24"/>
    <s v="PSES Mid Prog21Duty46 S275"/>
    <x v="1"/>
    <s v="46"/>
    <n v="46"/>
    <m/>
    <s v="   "/>
    <n v="0.83"/>
    <n v="0.25609999999999999"/>
    <n v="0.21299999999999999"/>
    <x v="21"/>
  </r>
  <r>
    <s v="14077"/>
    <x v="71"/>
    <s v="Personnel"/>
    <s v="E "/>
    <x v="0"/>
    <x v="7"/>
    <s v="PSES Elem Prog21Act26 S275"/>
    <x v="1"/>
    <s v="26"/>
    <m/>
    <n v="26"/>
    <s v="   "/>
    <n v="0.222"/>
    <n v="0.1137"/>
    <n v="2.5000000000000001E-2"/>
    <x v="6"/>
  </r>
  <r>
    <s v="14077"/>
    <x v="71"/>
    <s v="Personnel"/>
    <s v="H "/>
    <x v="1"/>
    <x v="9"/>
    <s v="PSES High Prog01Act26 S275"/>
    <x v="0"/>
    <s v="26"/>
    <m/>
    <n v="26"/>
    <s v="   "/>
    <n v="1.224"/>
    <n v="0.1137"/>
    <n v="0"/>
    <x v="7"/>
  </r>
  <r>
    <s v="14097"/>
    <x v="72"/>
    <s v="Personnel"/>
    <s v="E "/>
    <x v="0"/>
    <x v="3"/>
    <s v="PSES Elem Prog01Act25 S275"/>
    <x v="0"/>
    <s v="25"/>
    <m/>
    <n v="25"/>
    <s v="   "/>
    <n v="0.16800000000000001"/>
    <n v="0.1913"/>
    <n v="0"/>
    <x v="3"/>
  </r>
  <r>
    <s v="14097"/>
    <x v="72"/>
    <s v="Personnel"/>
    <s v="H "/>
    <x v="1"/>
    <x v="5"/>
    <s v="PSES High Prog01Act25 S275"/>
    <x v="0"/>
    <s v="25"/>
    <m/>
    <n v="25"/>
    <s v="   "/>
    <n v="0.34300000000000003"/>
    <n v="0.1913"/>
    <n v="0"/>
    <x v="4"/>
  </r>
  <r>
    <s v="14097"/>
    <x v="72"/>
    <s v="Personnel"/>
    <s v="H "/>
    <x v="1"/>
    <x v="16"/>
    <s v="PSES High Prog01Duty42 S275"/>
    <x v="0"/>
    <s v="42"/>
    <n v="42"/>
    <m/>
    <s v="   "/>
    <n v="0.3"/>
    <n v="0.1913"/>
    <n v="0"/>
    <x v="13"/>
  </r>
  <r>
    <s v="14099"/>
    <x v="73"/>
    <s v="Personnel"/>
    <s v="E "/>
    <x v="0"/>
    <x v="0"/>
    <s v="PSES Elem Prog01Duty96 S275"/>
    <x v="0"/>
    <s v="24"/>
    <n v="96"/>
    <n v="24"/>
    <s v="   "/>
    <n v="0.36299999999999999"/>
    <n v="0.26879999999999998"/>
    <n v="0"/>
    <x v="0"/>
  </r>
  <r>
    <s v="14099"/>
    <x v="73"/>
    <s v="Personnel"/>
    <s v="H "/>
    <x v="1"/>
    <x v="5"/>
    <s v="PSES High Prog01Act25 S275"/>
    <x v="0"/>
    <s v="25"/>
    <m/>
    <n v="25"/>
    <s v="   "/>
    <n v="0.88300000000000001"/>
    <n v="0.26879999999999998"/>
    <n v="0"/>
    <x v="4"/>
  </r>
  <r>
    <s v="14099"/>
    <x v="73"/>
    <s v="Personnel"/>
    <s v="E "/>
    <x v="0"/>
    <x v="15"/>
    <s v="PSES Elem Prog01Duty42 S275"/>
    <x v="0"/>
    <s v="42"/>
    <n v="42"/>
    <m/>
    <s v="   "/>
    <n v="0.57199999999999995"/>
    <n v="0.26879999999999998"/>
    <n v="0"/>
    <x v="12"/>
  </r>
  <r>
    <s v="14099"/>
    <x v="73"/>
    <s v="Personnel"/>
    <s v="E "/>
    <x v="0"/>
    <x v="38"/>
    <s v="PSES Elem Prog21Duty64 S275"/>
    <x v="1"/>
    <s v="64"/>
    <n v="64"/>
    <m/>
    <s v="   "/>
    <n v="0.20599999999999999"/>
    <n v="0.26879999999999998"/>
    <n v="5.5E-2"/>
    <x v="32"/>
  </r>
  <r>
    <s v="14117"/>
    <x v="74"/>
    <s v="Personnel"/>
    <s v="H "/>
    <x v="1"/>
    <x v="16"/>
    <s v="PSES High Prog01Duty42 S275"/>
    <x v="0"/>
    <s v="42"/>
    <n v="42"/>
    <m/>
    <s v="   "/>
    <n v="0.53300000000000003"/>
    <n v="0.1414"/>
    <n v="0"/>
    <x v="13"/>
  </r>
  <r>
    <s v="14172"/>
    <x v="75"/>
    <s v="Personnel"/>
    <s v="H "/>
    <x v="1"/>
    <x v="5"/>
    <s v="PSES High Prog01Act25 S275"/>
    <x v="0"/>
    <s v="25"/>
    <m/>
    <n v="25"/>
    <s v="   "/>
    <n v="0.626"/>
    <n v="0.16159999999999999"/>
    <n v="0"/>
    <x v="4"/>
  </r>
  <r>
    <s v="14172"/>
    <x v="75"/>
    <s v="Personnel"/>
    <s v="E "/>
    <x v="0"/>
    <x v="15"/>
    <s v="PSES Elem Prog01Duty42 S275"/>
    <x v="0"/>
    <s v="42"/>
    <n v="42"/>
    <m/>
    <s v="   "/>
    <n v="1"/>
    <n v="0.16159999999999999"/>
    <n v="0"/>
    <x v="12"/>
  </r>
  <r>
    <s v="14172"/>
    <x v="75"/>
    <s v="Personnel"/>
    <s v="H "/>
    <x v="1"/>
    <x v="16"/>
    <s v="PSES High Prog01Duty42 S275"/>
    <x v="0"/>
    <s v="42"/>
    <n v="42"/>
    <m/>
    <s v="   "/>
    <n v="0.5"/>
    <n v="0.16159999999999999"/>
    <n v="0"/>
    <x v="13"/>
  </r>
  <r>
    <s v="14172"/>
    <x v="75"/>
    <s v="Personnel"/>
    <s v="M "/>
    <x v="2"/>
    <x v="17"/>
    <s v="PSES Mid Prog01Duty42 S275"/>
    <x v="0"/>
    <s v="42"/>
    <n v="42"/>
    <m/>
    <s v="   "/>
    <n v="0.5"/>
    <n v="0.16159999999999999"/>
    <n v="0"/>
    <x v="14"/>
  </r>
  <r>
    <s v="14400"/>
    <x v="76"/>
    <s v="Personnel"/>
    <s v="H "/>
    <x v="1"/>
    <x v="29"/>
    <s v="PSES High Prog21Act26 S275"/>
    <x v="1"/>
    <s v="26"/>
    <m/>
    <n v="26"/>
    <s v="   "/>
    <n v="0.251"/>
    <n v="0.18340000000000001"/>
    <n v="4.5999999999999999E-2"/>
    <x v="7"/>
  </r>
  <r>
    <s v="14400"/>
    <x v="76"/>
    <s v="Personnel"/>
    <s v="E "/>
    <x v="0"/>
    <x v="15"/>
    <s v="PSES Elem Prog01Duty42 S275"/>
    <x v="0"/>
    <s v="42"/>
    <n v="42"/>
    <m/>
    <s v="   "/>
    <n v="0.5"/>
    <n v="0.18340000000000001"/>
    <n v="0"/>
    <x v="12"/>
  </r>
  <r>
    <s v="14400"/>
    <x v="76"/>
    <s v="Personnel"/>
    <s v="H "/>
    <x v="1"/>
    <x v="16"/>
    <s v="PSES High Prog01Duty42 S275"/>
    <x v="0"/>
    <s v="42"/>
    <n v="42"/>
    <m/>
    <s v="   "/>
    <n v="0.33300000000000002"/>
    <n v="0.18340000000000001"/>
    <n v="0"/>
    <x v="13"/>
  </r>
  <r>
    <s v="14400"/>
    <x v="76"/>
    <s v="Personnel"/>
    <s v="M "/>
    <x v="2"/>
    <x v="17"/>
    <s v="PSES Mid Prog01Duty42 S275"/>
    <x v="0"/>
    <s v="42"/>
    <n v="42"/>
    <m/>
    <s v="   "/>
    <n v="0.16700000000000001"/>
    <n v="0.18340000000000001"/>
    <n v="0"/>
    <x v="14"/>
  </r>
  <r>
    <s v="14400"/>
    <x v="76"/>
    <s v="Personnel"/>
    <s v="E "/>
    <x v="0"/>
    <x v="18"/>
    <s v="PSES Elem Prog21Duty43 S275"/>
    <x v="1"/>
    <s v="43"/>
    <n v="43"/>
    <m/>
    <s v="   "/>
    <n v="0.65"/>
    <n v="0.18340000000000001"/>
    <n v="0.11899999999999999"/>
    <x v="15"/>
  </r>
  <r>
    <s v="14400"/>
    <x v="76"/>
    <s v="Personnel"/>
    <s v="H "/>
    <x v="1"/>
    <x v="19"/>
    <s v="PSES High Prog21Duty43 S275"/>
    <x v="1"/>
    <s v="43"/>
    <n v="43"/>
    <m/>
    <s v="   "/>
    <n v="0.2"/>
    <n v="0.18340000000000001"/>
    <n v="3.6999999999999998E-2"/>
    <x v="16"/>
  </r>
  <r>
    <s v="14400"/>
    <x v="76"/>
    <s v="Personnel"/>
    <s v="M "/>
    <x v="2"/>
    <x v="31"/>
    <s v="PSES Mid Prog21Duty43 S275"/>
    <x v="1"/>
    <s v="43"/>
    <n v="43"/>
    <m/>
    <s v="   "/>
    <n v="0.05"/>
    <n v="0.18340000000000001"/>
    <n v="8.9999999999999993E-3"/>
    <x v="27"/>
  </r>
  <r>
    <s v="14400"/>
    <x v="76"/>
    <s v="Personnel"/>
    <s v="E "/>
    <x v="0"/>
    <x v="20"/>
    <s v="PSES Elem Prog21Duty45 S275"/>
    <x v="1"/>
    <s v="45"/>
    <n v="45"/>
    <m/>
    <s v="   "/>
    <n v="0.52"/>
    <n v="0.18340000000000001"/>
    <n v="9.5000000000000001E-2"/>
    <x v="17"/>
  </r>
  <r>
    <s v="14400"/>
    <x v="76"/>
    <s v="Personnel"/>
    <s v="H "/>
    <x v="1"/>
    <x v="21"/>
    <s v="PSES High Prog21Duty45 S275"/>
    <x v="1"/>
    <s v="45"/>
    <n v="45"/>
    <m/>
    <s v="   "/>
    <n v="0.16"/>
    <n v="0.18340000000000001"/>
    <n v="2.9000000000000001E-2"/>
    <x v="18"/>
  </r>
  <r>
    <s v="14400"/>
    <x v="76"/>
    <s v="Personnel"/>
    <s v="M "/>
    <x v="2"/>
    <x v="28"/>
    <s v="PSES Mid Prog21Duty45 S275"/>
    <x v="1"/>
    <s v="45"/>
    <n v="45"/>
    <m/>
    <s v="   "/>
    <n v="0.04"/>
    <n v="0.18340000000000001"/>
    <n v="7.0000000000000001E-3"/>
    <x v="25"/>
  </r>
  <r>
    <s v="14400"/>
    <x v="76"/>
    <s v="Personnel"/>
    <s v="E "/>
    <x v="0"/>
    <x v="22"/>
    <s v="PSES Elem Prog21Duty46 S275"/>
    <x v="1"/>
    <s v="46"/>
    <n v="46"/>
    <m/>
    <s v="   "/>
    <n v="0.32500000000000001"/>
    <n v="0.18340000000000001"/>
    <n v="0.06"/>
    <x v="19"/>
  </r>
  <r>
    <s v="14400"/>
    <x v="76"/>
    <s v="Personnel"/>
    <s v="H "/>
    <x v="1"/>
    <x v="23"/>
    <s v="PSES High Prog21Duty46 S275"/>
    <x v="1"/>
    <s v="46"/>
    <n v="46"/>
    <m/>
    <s v="   "/>
    <n v="0.1"/>
    <n v="0.18340000000000001"/>
    <n v="1.7999999999999999E-2"/>
    <x v="20"/>
  </r>
  <r>
    <s v="14400"/>
    <x v="76"/>
    <s v="Personnel"/>
    <s v="M "/>
    <x v="2"/>
    <x v="24"/>
    <s v="PSES Mid Prog21Duty46 S275"/>
    <x v="1"/>
    <s v="46"/>
    <n v="46"/>
    <m/>
    <s v="   "/>
    <n v="2.5000000000000001E-2"/>
    <n v="0.18340000000000001"/>
    <n v="5.0000000000000001E-3"/>
    <x v="21"/>
  </r>
  <r>
    <s v="15201"/>
    <x v="77"/>
    <s v="Personnel"/>
    <s v="H "/>
    <x v="1"/>
    <x v="1"/>
    <s v="PSES High Prog01Duty96 S275"/>
    <x v="0"/>
    <s v="24"/>
    <n v="96"/>
    <n v="24"/>
    <s v="   "/>
    <n v="0.50800000000000001"/>
    <n v="0.2848"/>
    <n v="0"/>
    <x v="1"/>
  </r>
  <r>
    <s v="15201"/>
    <x v="77"/>
    <s v="Personnel"/>
    <s v="E "/>
    <x v="0"/>
    <x v="7"/>
    <s v="PSES Elem Prog21Act26 S275"/>
    <x v="1"/>
    <s v="26"/>
    <m/>
    <n v="26"/>
    <s v="   "/>
    <n v="0.72899999999999998"/>
    <n v="0.2848"/>
    <n v="0.20799999999999999"/>
    <x v="6"/>
  </r>
  <r>
    <s v="15201"/>
    <x v="77"/>
    <s v="Personnel"/>
    <s v="E "/>
    <x v="0"/>
    <x v="8"/>
    <s v="PSES Elem Prog01Act26 S275"/>
    <x v="0"/>
    <s v="26"/>
    <m/>
    <n v="26"/>
    <s v="   "/>
    <n v="2.7690000000000001"/>
    <n v="0.2848"/>
    <n v="0"/>
    <x v="6"/>
  </r>
  <r>
    <s v="15201"/>
    <x v="77"/>
    <s v="Personnel"/>
    <s v="H "/>
    <x v="1"/>
    <x v="9"/>
    <s v="PSES High Prog01Act26 S275"/>
    <x v="0"/>
    <s v="26"/>
    <m/>
    <n v="26"/>
    <s v="   "/>
    <n v="0.438"/>
    <n v="0.2848"/>
    <n v="0"/>
    <x v="7"/>
  </r>
  <r>
    <s v="15201"/>
    <x v="77"/>
    <s v="Personnel"/>
    <s v="M "/>
    <x v="2"/>
    <x v="11"/>
    <s v="PSES Mid Prog01Act26 S275"/>
    <x v="0"/>
    <s v="26"/>
    <m/>
    <n v="26"/>
    <s v="   "/>
    <n v="0.437"/>
    <n v="0.2848"/>
    <n v="0"/>
    <x v="8"/>
  </r>
  <r>
    <s v="15201"/>
    <x v="77"/>
    <s v="Personnel"/>
    <s v="E "/>
    <x v="0"/>
    <x v="15"/>
    <s v="PSES Elem Prog01Duty42 S275"/>
    <x v="0"/>
    <s v="42"/>
    <n v="42"/>
    <m/>
    <s v="   "/>
    <n v="7"/>
    <n v="0.2848"/>
    <n v="0"/>
    <x v="12"/>
  </r>
  <r>
    <s v="15201"/>
    <x v="77"/>
    <s v="Personnel"/>
    <s v="H "/>
    <x v="1"/>
    <x v="16"/>
    <s v="PSES High Prog01Duty42 S275"/>
    <x v="0"/>
    <s v="42"/>
    <n v="42"/>
    <m/>
    <s v="   "/>
    <n v="4.7"/>
    <n v="0.2848"/>
    <n v="0"/>
    <x v="13"/>
  </r>
  <r>
    <s v="15201"/>
    <x v="77"/>
    <s v="Personnel"/>
    <s v="M "/>
    <x v="2"/>
    <x v="17"/>
    <s v="PSES Mid Prog01Duty42 S275"/>
    <x v="0"/>
    <s v="42"/>
    <n v="42"/>
    <m/>
    <s v="   "/>
    <n v="2"/>
    <n v="0.2848"/>
    <n v="0"/>
    <x v="14"/>
  </r>
  <r>
    <s v="15201"/>
    <x v="77"/>
    <s v="Personnel"/>
    <s v="E "/>
    <x v="0"/>
    <x v="18"/>
    <s v="PSES Elem Prog21Duty43 S275"/>
    <x v="1"/>
    <s v="43"/>
    <n v="43"/>
    <m/>
    <s v="   "/>
    <n v="1.6619999999999999"/>
    <n v="0.2848"/>
    <n v="0.47299999999999998"/>
    <x v="15"/>
  </r>
  <r>
    <s v="15201"/>
    <x v="77"/>
    <s v="Personnel"/>
    <s v="H "/>
    <x v="1"/>
    <x v="19"/>
    <s v="PSES High Prog21Duty43 S275"/>
    <x v="1"/>
    <s v="43"/>
    <n v="43"/>
    <m/>
    <s v="   "/>
    <n v="0.23"/>
    <n v="0.2848"/>
    <n v="6.6000000000000003E-2"/>
    <x v="16"/>
  </r>
  <r>
    <s v="15201"/>
    <x v="77"/>
    <s v="Personnel"/>
    <s v="E "/>
    <x v="0"/>
    <x v="42"/>
    <s v="PSES Elem Prog01Duty44 S275"/>
    <x v="0"/>
    <s v="44"/>
    <n v="44"/>
    <m/>
    <s v="   "/>
    <n v="0.03"/>
    <n v="0.2848"/>
    <n v="0"/>
    <x v="33"/>
  </r>
  <r>
    <s v="15201"/>
    <x v="77"/>
    <s v="Personnel"/>
    <s v="H "/>
    <x v="1"/>
    <x v="44"/>
    <s v="PSES High Prog01Duty44 S275"/>
    <x v="0"/>
    <s v="44"/>
    <n v="44"/>
    <m/>
    <s v="   "/>
    <n v="0.99"/>
    <n v="0.2848"/>
    <n v="0"/>
    <x v="34"/>
  </r>
  <r>
    <s v="15201"/>
    <x v="77"/>
    <s v="Personnel"/>
    <s v="M "/>
    <x v="2"/>
    <x v="46"/>
    <s v="PSES Mid Prog01Duty44 S275"/>
    <x v="0"/>
    <s v="44"/>
    <n v="44"/>
    <m/>
    <s v="   "/>
    <n v="0.98"/>
    <n v="0.2848"/>
    <n v="0"/>
    <x v="35"/>
  </r>
  <r>
    <s v="15201"/>
    <x v="77"/>
    <s v="Personnel"/>
    <s v="E "/>
    <x v="0"/>
    <x v="20"/>
    <s v="PSES Elem Prog21Duty45 S275"/>
    <x v="1"/>
    <s v="45"/>
    <n v="45"/>
    <m/>
    <s v="   "/>
    <n v="7.7640000000000002"/>
    <n v="0.2848"/>
    <n v="2.2109999999999999"/>
    <x v="17"/>
  </r>
  <r>
    <s v="15201"/>
    <x v="77"/>
    <s v="Personnel"/>
    <s v="H "/>
    <x v="1"/>
    <x v="21"/>
    <s v="PSES High Prog21Duty45 S275"/>
    <x v="1"/>
    <s v="45"/>
    <n v="45"/>
    <m/>
    <s v="   "/>
    <n v="0.08"/>
    <n v="0.2848"/>
    <n v="2.3E-2"/>
    <x v="18"/>
  </r>
  <r>
    <s v="15201"/>
    <x v="77"/>
    <s v="Personnel"/>
    <s v="M "/>
    <x v="2"/>
    <x v="28"/>
    <s v="PSES Mid Prog21Duty45 S275"/>
    <x v="1"/>
    <s v="45"/>
    <n v="45"/>
    <m/>
    <s v="   "/>
    <n v="1"/>
    <n v="0.2848"/>
    <n v="0.28499999999999998"/>
    <x v="25"/>
  </r>
  <r>
    <s v="15201"/>
    <x v="77"/>
    <s v="Personnel"/>
    <s v="E "/>
    <x v="0"/>
    <x v="22"/>
    <s v="PSES Elem Prog21Duty46 S275"/>
    <x v="1"/>
    <s v="46"/>
    <n v="46"/>
    <m/>
    <s v="   "/>
    <n v="2.2080000000000002"/>
    <n v="0.2848"/>
    <n v="0.629"/>
    <x v="19"/>
  </r>
  <r>
    <s v="15201"/>
    <x v="77"/>
    <s v="Personnel"/>
    <s v="H "/>
    <x v="1"/>
    <x v="23"/>
    <s v="PSES High Prog21Duty46 S275"/>
    <x v="1"/>
    <s v="46"/>
    <n v="46"/>
    <m/>
    <s v="   "/>
    <n v="1.5"/>
    <n v="0.2848"/>
    <n v="0.42699999999999999"/>
    <x v="20"/>
  </r>
  <r>
    <s v="15201"/>
    <x v="77"/>
    <s v="Personnel"/>
    <s v="M "/>
    <x v="2"/>
    <x v="24"/>
    <s v="PSES Mid Prog21Duty46 S275"/>
    <x v="1"/>
    <s v="46"/>
    <n v="46"/>
    <m/>
    <s v="   "/>
    <n v="1"/>
    <n v="0.2848"/>
    <n v="0.28499999999999998"/>
    <x v="21"/>
  </r>
  <r>
    <s v="15201"/>
    <x v="77"/>
    <s v="Personnel"/>
    <s v="E "/>
    <x v="0"/>
    <x v="27"/>
    <s v="PSES Elem Prog01Duty47 S275"/>
    <x v="0"/>
    <s v="47"/>
    <n v="47"/>
    <m/>
    <s v="   "/>
    <n v="2.9990000000000001"/>
    <n v="0.2848"/>
    <n v="0"/>
    <x v="24"/>
  </r>
  <r>
    <s v="15201"/>
    <x v="77"/>
    <s v="Personnel"/>
    <s v="H "/>
    <x v="1"/>
    <x v="25"/>
    <s v="PSES High Prog01Duty47 S275"/>
    <x v="0"/>
    <s v="47"/>
    <n v="47"/>
    <m/>
    <s v="   "/>
    <n v="0.60099999999999998"/>
    <n v="0.2848"/>
    <n v="0"/>
    <x v="22"/>
  </r>
  <r>
    <s v="15201"/>
    <x v="77"/>
    <s v="Personnel"/>
    <s v="M "/>
    <x v="2"/>
    <x v="34"/>
    <s v="PSES Mid Prog01Duty47 S275"/>
    <x v="0"/>
    <s v="47"/>
    <n v="47"/>
    <m/>
    <s v="   "/>
    <n v="0.4"/>
    <n v="0.2848"/>
    <n v="0"/>
    <x v="28"/>
  </r>
  <r>
    <s v="15201"/>
    <x v="77"/>
    <s v="Personnel"/>
    <s v="E "/>
    <x v="0"/>
    <x v="35"/>
    <s v="PSES Elem Prog21Duty48 S275"/>
    <x v="1"/>
    <s v="48"/>
    <n v="48"/>
    <m/>
    <s v="   "/>
    <n v="0.80800000000000005"/>
    <n v="0.2848"/>
    <n v="0.23"/>
    <x v="29"/>
  </r>
  <r>
    <s v="15201"/>
    <x v="77"/>
    <s v="Personnel"/>
    <s v="H "/>
    <x v="1"/>
    <x v="36"/>
    <s v="PSES High Prog21Duty48 S275"/>
    <x v="1"/>
    <s v="48"/>
    <n v="48"/>
    <m/>
    <s v="   "/>
    <n v="0.192"/>
    <n v="0.2848"/>
    <n v="5.5E-2"/>
    <x v="30"/>
  </r>
  <r>
    <s v="15204"/>
    <x v="78"/>
    <s v="Personnel"/>
    <s v="E "/>
    <x v="0"/>
    <x v="3"/>
    <s v="PSES Elem Prog01Act25 S275"/>
    <x v="0"/>
    <s v="25"/>
    <m/>
    <n v="25"/>
    <s v="   "/>
    <n v="0.20399999999999999"/>
    <n v="0.22170000000000001"/>
    <n v="0"/>
    <x v="3"/>
  </r>
  <r>
    <s v="15204"/>
    <x v="78"/>
    <s v="Personnel"/>
    <s v="H "/>
    <x v="1"/>
    <x v="5"/>
    <s v="PSES High Prog01Act25 S275"/>
    <x v="0"/>
    <s v="25"/>
    <m/>
    <n v="25"/>
    <s v="   "/>
    <n v="0.104"/>
    <n v="0.22170000000000001"/>
    <n v="0"/>
    <x v="4"/>
  </r>
  <r>
    <s v="15204"/>
    <x v="78"/>
    <s v="Personnel"/>
    <s v="M "/>
    <x v="2"/>
    <x v="6"/>
    <s v="PSES Mid Prog01Act25 S275"/>
    <x v="0"/>
    <s v="25"/>
    <m/>
    <n v="25"/>
    <s v="   "/>
    <n v="0.13600000000000001"/>
    <n v="0.22170000000000001"/>
    <n v="0"/>
    <x v="5"/>
  </r>
  <r>
    <s v="15204"/>
    <x v="78"/>
    <s v="Personnel"/>
    <s v="E "/>
    <x v="0"/>
    <x v="15"/>
    <s v="PSES Elem Prog01Duty42 S275"/>
    <x v="0"/>
    <s v="42"/>
    <n v="42"/>
    <m/>
    <s v="   "/>
    <n v="0.05"/>
    <n v="0.22170000000000001"/>
    <n v="0"/>
    <x v="12"/>
  </r>
  <r>
    <s v="15204"/>
    <x v="78"/>
    <s v="Personnel"/>
    <s v="H "/>
    <x v="1"/>
    <x v="16"/>
    <s v="PSES High Prog01Duty42 S275"/>
    <x v="0"/>
    <s v="42"/>
    <n v="42"/>
    <m/>
    <s v="   "/>
    <n v="1"/>
    <n v="0.22170000000000001"/>
    <n v="0"/>
    <x v="13"/>
  </r>
  <r>
    <s v="15204"/>
    <x v="78"/>
    <s v="Personnel"/>
    <s v="M "/>
    <x v="2"/>
    <x v="17"/>
    <s v="PSES Mid Prog01Duty42 S275"/>
    <x v="0"/>
    <s v="42"/>
    <n v="42"/>
    <m/>
    <s v="   "/>
    <n v="1"/>
    <n v="0.22170000000000001"/>
    <n v="0"/>
    <x v="14"/>
  </r>
  <r>
    <s v="15204"/>
    <x v="78"/>
    <s v="Personnel"/>
    <s v="E "/>
    <x v="0"/>
    <x v="20"/>
    <s v="PSES Elem Prog21Duty45 S275"/>
    <x v="1"/>
    <s v="45"/>
    <n v="45"/>
    <m/>
    <s v="   "/>
    <n v="0.52"/>
    <n v="0.22170000000000001"/>
    <n v="0.115"/>
    <x v="17"/>
  </r>
  <r>
    <s v="15204"/>
    <x v="78"/>
    <s v="Personnel"/>
    <s v="H "/>
    <x v="1"/>
    <x v="21"/>
    <s v="PSES High Prog21Duty45 S275"/>
    <x v="1"/>
    <s v="45"/>
    <n v="45"/>
    <m/>
    <s v="   "/>
    <n v="0.32"/>
    <n v="0.22170000000000001"/>
    <n v="7.0999999999999994E-2"/>
    <x v="18"/>
  </r>
  <r>
    <s v="15204"/>
    <x v="78"/>
    <s v="Personnel"/>
    <s v="M "/>
    <x v="2"/>
    <x v="28"/>
    <s v="PSES Mid Prog21Duty45 S275"/>
    <x v="1"/>
    <s v="45"/>
    <n v="45"/>
    <m/>
    <s v="   "/>
    <n v="0.16"/>
    <n v="0.22170000000000001"/>
    <n v="3.5000000000000003E-2"/>
    <x v="25"/>
  </r>
  <r>
    <s v="15204"/>
    <x v="78"/>
    <s v="Personnel"/>
    <s v="E "/>
    <x v="0"/>
    <x v="48"/>
    <s v="PSES Elem Prog01Duty46 S275"/>
    <x v="0"/>
    <s v="46"/>
    <n v="46"/>
    <m/>
    <s v="   "/>
    <n v="0.4"/>
    <n v="0.22170000000000001"/>
    <n v="0"/>
    <x v="19"/>
  </r>
  <r>
    <s v="15204"/>
    <x v="78"/>
    <s v="Personnel"/>
    <s v="H "/>
    <x v="1"/>
    <x v="65"/>
    <s v="PSES High Prog01Duty46 S275"/>
    <x v="0"/>
    <s v="46"/>
    <n v="46"/>
    <m/>
    <s v="   "/>
    <n v="0.1"/>
    <n v="0.22170000000000001"/>
    <n v="0"/>
    <x v="20"/>
  </r>
  <r>
    <s v="15204"/>
    <x v="78"/>
    <s v="Personnel"/>
    <s v="M "/>
    <x v="2"/>
    <x v="49"/>
    <s v="PSES Mid Prog01Duty46 S275"/>
    <x v="0"/>
    <s v="46"/>
    <n v="46"/>
    <m/>
    <s v="   "/>
    <n v="0.3"/>
    <n v="0.22170000000000001"/>
    <n v="0"/>
    <x v="21"/>
  </r>
  <r>
    <s v="15206"/>
    <x v="79"/>
    <s v="Personnel"/>
    <s v="E "/>
    <x v="0"/>
    <x v="8"/>
    <s v="PSES Elem Prog01Act26 S275"/>
    <x v="0"/>
    <s v="26"/>
    <m/>
    <n v="26"/>
    <s v="   "/>
    <n v="0.66400000000000003"/>
    <n v="0.22600000000000001"/>
    <n v="0"/>
    <x v="6"/>
  </r>
  <r>
    <s v="15206"/>
    <x v="79"/>
    <s v="Personnel"/>
    <s v="H "/>
    <x v="1"/>
    <x v="16"/>
    <s v="PSES High Prog01Duty42 S275"/>
    <x v="0"/>
    <s v="42"/>
    <n v="42"/>
    <m/>
    <s v="   "/>
    <n v="2"/>
    <n v="0.22600000000000001"/>
    <n v="0"/>
    <x v="13"/>
  </r>
  <r>
    <s v="15206"/>
    <x v="79"/>
    <s v="Personnel"/>
    <s v="M "/>
    <x v="2"/>
    <x v="17"/>
    <s v="PSES Mid Prog01Duty42 S275"/>
    <x v="0"/>
    <s v="42"/>
    <n v="42"/>
    <m/>
    <s v="   "/>
    <n v="1"/>
    <n v="0.22600000000000001"/>
    <n v="0"/>
    <x v="14"/>
  </r>
  <r>
    <s v="15206"/>
    <x v="79"/>
    <s v="Personnel"/>
    <s v="E "/>
    <x v="0"/>
    <x v="18"/>
    <s v="PSES Elem Prog21Duty43 S275"/>
    <x v="1"/>
    <s v="43"/>
    <n v="43"/>
    <m/>
    <s v="   "/>
    <n v="0.8"/>
    <n v="0.22600000000000001"/>
    <n v="0.18099999999999999"/>
    <x v="15"/>
  </r>
  <r>
    <s v="15206"/>
    <x v="79"/>
    <s v="Personnel"/>
    <s v="E "/>
    <x v="0"/>
    <x v="20"/>
    <s v="PSES Elem Prog21Duty45 S275"/>
    <x v="1"/>
    <s v="45"/>
    <n v="45"/>
    <m/>
    <s v="   "/>
    <n v="0.46800000000000003"/>
    <n v="0.22600000000000001"/>
    <n v="0.106"/>
    <x v="17"/>
  </r>
  <r>
    <s v="15206"/>
    <x v="79"/>
    <s v="Personnel"/>
    <s v="E "/>
    <x v="0"/>
    <x v="22"/>
    <s v="PSES Elem Prog21Duty46 S275"/>
    <x v="1"/>
    <s v="46"/>
    <n v="46"/>
    <m/>
    <s v="   "/>
    <n v="1"/>
    <n v="0.22600000000000001"/>
    <n v="0.22600000000000001"/>
    <x v="19"/>
  </r>
  <r>
    <s v="15206"/>
    <x v="79"/>
    <s v="Personnel"/>
    <s v="H "/>
    <x v="1"/>
    <x v="23"/>
    <s v="PSES High Prog21Duty46 S275"/>
    <x v="1"/>
    <s v="46"/>
    <n v="46"/>
    <m/>
    <s v="   "/>
    <n v="0.42"/>
    <n v="0.22600000000000001"/>
    <n v="9.5000000000000001E-2"/>
    <x v="20"/>
  </r>
  <r>
    <s v="15206"/>
    <x v="79"/>
    <s v="Personnel"/>
    <s v="M "/>
    <x v="2"/>
    <x v="24"/>
    <s v="PSES Mid Prog21Duty46 S275"/>
    <x v="1"/>
    <s v="46"/>
    <n v="46"/>
    <m/>
    <s v="   "/>
    <n v="0.28000000000000003"/>
    <n v="0.22600000000000001"/>
    <n v="6.3E-2"/>
    <x v="21"/>
  </r>
  <r>
    <s v="15206"/>
    <x v="79"/>
    <s v="Personnel"/>
    <s v="H "/>
    <x v="1"/>
    <x v="25"/>
    <s v="PSES High Prog01Duty47 S275"/>
    <x v="0"/>
    <s v="47"/>
    <n v="47"/>
    <m/>
    <s v="   "/>
    <n v="0.7"/>
    <n v="0.22600000000000001"/>
    <n v="0"/>
    <x v="22"/>
  </r>
  <r>
    <s v="15206"/>
    <x v="79"/>
    <s v="Personnel"/>
    <s v="M "/>
    <x v="2"/>
    <x v="34"/>
    <s v="PSES Mid Prog01Duty47 S275"/>
    <x v="0"/>
    <s v="47"/>
    <n v="47"/>
    <m/>
    <s v="   "/>
    <n v="0.3"/>
    <n v="0.22600000000000001"/>
    <n v="0"/>
    <x v="28"/>
  </r>
  <r>
    <s v="16020"/>
    <x v="80"/>
    <s v="Personnel"/>
    <s v="E "/>
    <x v="0"/>
    <x v="3"/>
    <s v="PSES Elem Prog01Act25 S275"/>
    <x v="0"/>
    <s v="25"/>
    <m/>
    <n v="25"/>
    <s v="   "/>
    <n v="4.5999999999999999E-2"/>
    <n v="9.2499999999999999E-2"/>
    <n v="0"/>
    <x v="3"/>
  </r>
  <r>
    <s v="16046"/>
    <x v="81"/>
    <s v="Personnel"/>
    <s v="H "/>
    <x v="1"/>
    <x v="5"/>
    <s v="PSES High Prog01Act25 S275"/>
    <x v="0"/>
    <s v="25"/>
    <m/>
    <n v="25"/>
    <s v="   "/>
    <n v="0.30499999999999999"/>
    <n v="9.8699999999999996E-2"/>
    <n v="0"/>
    <x v="4"/>
  </r>
  <r>
    <s v="16046"/>
    <x v="81"/>
    <s v="Personnel"/>
    <s v="H "/>
    <x v="1"/>
    <x v="29"/>
    <s v="PSES High Prog21Act26 S275"/>
    <x v="1"/>
    <s v="26"/>
    <m/>
    <n v="26"/>
    <s v="   "/>
    <n v="8.0000000000000002E-3"/>
    <n v="9.8699999999999996E-2"/>
    <n v="1E-3"/>
    <x v="7"/>
  </r>
  <r>
    <s v="16048"/>
    <x v="82"/>
    <s v="Personnel"/>
    <s v="H "/>
    <x v="1"/>
    <x v="5"/>
    <s v="PSES High Prog01Act25 S275"/>
    <x v="0"/>
    <s v="25"/>
    <m/>
    <n v="25"/>
    <s v="   "/>
    <n v="0.84"/>
    <n v="0.1036"/>
    <n v="0"/>
    <x v="4"/>
  </r>
  <r>
    <s v="16048"/>
    <x v="82"/>
    <s v="Personnel"/>
    <s v="E "/>
    <x v="0"/>
    <x v="15"/>
    <s v="PSES Elem Prog01Duty42 S275"/>
    <x v="0"/>
    <s v="42"/>
    <n v="42"/>
    <m/>
    <s v="   "/>
    <n v="0.44900000000000001"/>
    <n v="0.1036"/>
    <n v="0"/>
    <x v="12"/>
  </r>
  <r>
    <s v="16048"/>
    <x v="82"/>
    <s v="Personnel"/>
    <s v="H "/>
    <x v="1"/>
    <x v="16"/>
    <s v="PSES High Prog01Duty42 S275"/>
    <x v="0"/>
    <s v="42"/>
    <n v="42"/>
    <m/>
    <s v="   "/>
    <n v="0.4"/>
    <n v="0.1036"/>
    <n v="0"/>
    <x v="13"/>
  </r>
  <r>
    <s v="16048"/>
    <x v="82"/>
    <s v="Personnel"/>
    <s v="M "/>
    <x v="2"/>
    <x v="17"/>
    <s v="PSES Mid Prog01Duty42 S275"/>
    <x v="0"/>
    <s v="42"/>
    <n v="42"/>
    <m/>
    <s v="   "/>
    <n v="0.151"/>
    <n v="0.1036"/>
    <n v="0"/>
    <x v="14"/>
  </r>
  <r>
    <s v="16048"/>
    <x v="82"/>
    <s v="Personnel"/>
    <s v="E "/>
    <x v="0"/>
    <x v="20"/>
    <s v="PSES Elem Prog21Duty45 S275"/>
    <x v="1"/>
    <s v="45"/>
    <n v="45"/>
    <m/>
    <s v="   "/>
    <n v="0.60699999999999998"/>
    <n v="0.1036"/>
    <n v="6.3E-2"/>
    <x v="17"/>
  </r>
  <r>
    <s v="16048"/>
    <x v="82"/>
    <s v="Personnel"/>
    <s v="E "/>
    <x v="0"/>
    <x v="22"/>
    <s v="PSES Elem Prog21Duty46 S275"/>
    <x v="1"/>
    <s v="46"/>
    <n v="46"/>
    <m/>
    <s v="   "/>
    <n v="0.20100000000000001"/>
    <n v="0.1036"/>
    <n v="2.1000000000000001E-2"/>
    <x v="19"/>
  </r>
  <r>
    <s v="16048"/>
    <x v="82"/>
    <s v="Personnel"/>
    <s v="M "/>
    <x v="2"/>
    <x v="24"/>
    <s v="PSES Mid Prog21Duty46 S275"/>
    <x v="1"/>
    <s v="46"/>
    <n v="46"/>
    <m/>
    <s v="   "/>
    <n v="6.7000000000000004E-2"/>
    <n v="0.1036"/>
    <n v="7.0000000000000001E-3"/>
    <x v="21"/>
  </r>
  <r>
    <s v="16049"/>
    <x v="83"/>
    <s v="Personnel"/>
    <s v="H "/>
    <x v="1"/>
    <x v="4"/>
    <s v="PSES High Prog21Act25 S275"/>
    <x v="1"/>
    <s v="25"/>
    <m/>
    <n v="25"/>
    <s v="   "/>
    <n v="0.12"/>
    <n v="0.26960000000000001"/>
    <n v="3.2000000000000001E-2"/>
    <x v="4"/>
  </r>
  <r>
    <s v="16049"/>
    <x v="83"/>
    <s v="Personnel"/>
    <s v="H "/>
    <x v="1"/>
    <x v="5"/>
    <s v="PSES High Prog01Act25 S275"/>
    <x v="0"/>
    <s v="25"/>
    <m/>
    <n v="25"/>
    <s v="   "/>
    <n v="0.68799999999999994"/>
    <n v="0.26960000000000001"/>
    <n v="0"/>
    <x v="4"/>
  </r>
  <r>
    <s v="16049"/>
    <x v="83"/>
    <s v="Personnel"/>
    <s v="E "/>
    <x v="0"/>
    <x v="15"/>
    <s v="PSES Elem Prog01Duty42 S275"/>
    <x v="0"/>
    <s v="42"/>
    <n v="42"/>
    <m/>
    <s v="   "/>
    <n v="1"/>
    <n v="0.26960000000000001"/>
    <n v="0"/>
    <x v="12"/>
  </r>
  <r>
    <s v="16049"/>
    <x v="83"/>
    <s v="Personnel"/>
    <s v="H "/>
    <x v="1"/>
    <x v="16"/>
    <s v="PSES High Prog01Duty42 S275"/>
    <x v="0"/>
    <s v="42"/>
    <n v="42"/>
    <m/>
    <s v="   "/>
    <n v="0.9"/>
    <n v="0.26960000000000001"/>
    <n v="0"/>
    <x v="13"/>
  </r>
  <r>
    <s v="16049"/>
    <x v="83"/>
    <s v="Personnel"/>
    <s v="E "/>
    <x v="0"/>
    <x v="18"/>
    <s v="PSES Elem Prog21Duty43 S275"/>
    <x v="1"/>
    <s v="43"/>
    <n v="43"/>
    <m/>
    <s v="   "/>
    <n v="0.46899999999999997"/>
    <n v="0.26960000000000001"/>
    <n v="0.126"/>
    <x v="15"/>
  </r>
  <r>
    <s v="16049"/>
    <x v="83"/>
    <s v="Personnel"/>
    <s v="H "/>
    <x v="1"/>
    <x v="19"/>
    <s v="PSES High Prog21Duty43 S275"/>
    <x v="1"/>
    <s v="43"/>
    <n v="43"/>
    <m/>
    <s v="   "/>
    <n v="7.0000000000000007E-2"/>
    <n v="0.26960000000000001"/>
    <n v="1.9E-2"/>
    <x v="16"/>
  </r>
  <r>
    <s v="16049"/>
    <x v="83"/>
    <s v="Personnel"/>
    <s v="M "/>
    <x v="2"/>
    <x v="31"/>
    <s v="PSES Mid Prog21Duty43 S275"/>
    <x v="1"/>
    <s v="43"/>
    <n v="43"/>
    <m/>
    <s v="   "/>
    <n v="9.0999999999999998E-2"/>
    <n v="0.26960000000000001"/>
    <n v="2.5000000000000001E-2"/>
    <x v="27"/>
  </r>
  <r>
    <s v="16049"/>
    <x v="83"/>
    <s v="Personnel"/>
    <s v="H "/>
    <x v="1"/>
    <x v="23"/>
    <s v="PSES High Prog21Duty46 S275"/>
    <x v="1"/>
    <s v="46"/>
    <n v="46"/>
    <m/>
    <s v="   "/>
    <n v="0.7"/>
    <n v="0.26960000000000001"/>
    <n v="0.189"/>
    <x v="20"/>
  </r>
  <r>
    <s v="16049"/>
    <x v="83"/>
    <s v="Personnel"/>
    <s v="H "/>
    <x v="1"/>
    <x v="65"/>
    <s v="PSES High Prog01Duty46 S275"/>
    <x v="0"/>
    <s v="46"/>
    <n v="46"/>
    <m/>
    <s v="   "/>
    <n v="0.3"/>
    <n v="0.26960000000000001"/>
    <n v="0"/>
    <x v="20"/>
  </r>
  <r>
    <s v="16049"/>
    <x v="83"/>
    <s v="Personnel"/>
    <s v="E "/>
    <x v="0"/>
    <x v="27"/>
    <s v="PSES Elem Prog01Duty47 S275"/>
    <x v="0"/>
    <s v="47"/>
    <n v="47"/>
    <m/>
    <s v="   "/>
    <n v="1"/>
    <n v="0.26960000000000001"/>
    <n v="0"/>
    <x v="24"/>
  </r>
  <r>
    <s v="16050"/>
    <x v="84"/>
    <s v="Personnel"/>
    <s v="E "/>
    <x v="0"/>
    <x v="15"/>
    <s v="PSES Elem Prog01Duty42 S275"/>
    <x v="0"/>
    <s v="42"/>
    <n v="42"/>
    <m/>
    <s v="   "/>
    <n v="1"/>
    <n v="0.20430000000000001"/>
    <n v="0"/>
    <x v="12"/>
  </r>
  <r>
    <s v="16050"/>
    <x v="84"/>
    <s v="Personnel"/>
    <s v="H "/>
    <x v="1"/>
    <x v="16"/>
    <s v="PSES High Prog01Duty42 S275"/>
    <x v="0"/>
    <s v="42"/>
    <n v="42"/>
    <m/>
    <s v="   "/>
    <n v="1.6"/>
    <n v="0.20430000000000001"/>
    <n v="0"/>
    <x v="13"/>
  </r>
  <r>
    <s v="16050"/>
    <x v="84"/>
    <s v="Personnel"/>
    <s v="M "/>
    <x v="2"/>
    <x v="17"/>
    <s v="PSES Mid Prog01Duty42 S275"/>
    <x v="0"/>
    <s v="42"/>
    <n v="42"/>
    <m/>
    <s v="   "/>
    <n v="0.75"/>
    <n v="0.20430000000000001"/>
    <n v="0"/>
    <x v="14"/>
  </r>
  <r>
    <s v="16050"/>
    <x v="84"/>
    <s v="Personnel"/>
    <s v="E "/>
    <x v="0"/>
    <x v="18"/>
    <s v="PSES Elem Prog21Duty43 S275"/>
    <x v="1"/>
    <s v="43"/>
    <n v="43"/>
    <m/>
    <s v="   "/>
    <n v="0.48"/>
    <n v="0.20430000000000001"/>
    <n v="9.8000000000000004E-2"/>
    <x v="15"/>
  </r>
  <r>
    <s v="16050"/>
    <x v="84"/>
    <s v="Personnel"/>
    <s v="H "/>
    <x v="1"/>
    <x v="19"/>
    <s v="PSES High Prog21Duty43 S275"/>
    <x v="1"/>
    <s v="43"/>
    <n v="43"/>
    <m/>
    <s v="   "/>
    <n v="0.08"/>
    <n v="0.20430000000000001"/>
    <n v="1.6E-2"/>
    <x v="16"/>
  </r>
  <r>
    <s v="16050"/>
    <x v="84"/>
    <s v="Personnel"/>
    <s v="M "/>
    <x v="2"/>
    <x v="31"/>
    <s v="PSES Mid Prog21Duty43 S275"/>
    <x v="1"/>
    <s v="43"/>
    <n v="43"/>
    <m/>
    <s v="   "/>
    <n v="0.24"/>
    <n v="0.20430000000000001"/>
    <n v="4.9000000000000002E-2"/>
    <x v="27"/>
  </r>
  <r>
    <s v="16050"/>
    <x v="84"/>
    <s v="Personnel"/>
    <s v="E "/>
    <x v="0"/>
    <x v="20"/>
    <s v="PSES Elem Prog21Duty45 S275"/>
    <x v="1"/>
    <s v="45"/>
    <n v="45"/>
    <m/>
    <s v="   "/>
    <n v="1"/>
    <n v="0.20430000000000001"/>
    <n v="0.20399999999999999"/>
    <x v="17"/>
  </r>
  <r>
    <s v="16050"/>
    <x v="84"/>
    <s v="Personnel"/>
    <s v="H "/>
    <x v="1"/>
    <x v="21"/>
    <s v="PSES High Prog21Duty45 S275"/>
    <x v="1"/>
    <s v="45"/>
    <n v="45"/>
    <m/>
    <s v="   "/>
    <n v="0.5"/>
    <n v="0.20430000000000001"/>
    <n v="0.10199999999999999"/>
    <x v="18"/>
  </r>
  <r>
    <s v="16050"/>
    <x v="84"/>
    <s v="Personnel"/>
    <s v="M "/>
    <x v="2"/>
    <x v="28"/>
    <s v="PSES Mid Prog21Duty45 S275"/>
    <x v="1"/>
    <s v="45"/>
    <n v="45"/>
    <m/>
    <s v="   "/>
    <n v="0.5"/>
    <n v="0.20430000000000001"/>
    <n v="0.10199999999999999"/>
    <x v="25"/>
  </r>
  <r>
    <s v="16050"/>
    <x v="84"/>
    <s v="Personnel"/>
    <s v="E "/>
    <x v="0"/>
    <x v="22"/>
    <s v="PSES Elem Prog21Duty46 S275"/>
    <x v="1"/>
    <s v="46"/>
    <n v="46"/>
    <m/>
    <s v="   "/>
    <n v="0.8"/>
    <n v="0.20430000000000001"/>
    <n v="0.16300000000000001"/>
    <x v="19"/>
  </r>
  <r>
    <s v="16050"/>
    <x v="84"/>
    <s v="Personnel"/>
    <s v="H "/>
    <x v="1"/>
    <x v="23"/>
    <s v="PSES High Prog21Duty46 S275"/>
    <x v="1"/>
    <s v="46"/>
    <n v="46"/>
    <m/>
    <s v="   "/>
    <n v="0.3"/>
    <n v="0.20430000000000001"/>
    <n v="6.0999999999999999E-2"/>
    <x v="20"/>
  </r>
  <r>
    <s v="16050"/>
    <x v="84"/>
    <s v="Personnel"/>
    <s v="M "/>
    <x v="2"/>
    <x v="24"/>
    <s v="PSES Mid Prog21Duty46 S275"/>
    <x v="1"/>
    <s v="46"/>
    <n v="46"/>
    <m/>
    <s v="   "/>
    <n v="0.3"/>
    <n v="0.20430000000000001"/>
    <n v="6.0999999999999999E-2"/>
    <x v="21"/>
  </r>
  <r>
    <s v="17001"/>
    <x v="85"/>
    <s v="Personnel"/>
    <s v="E "/>
    <x v="0"/>
    <x v="0"/>
    <s v="PSES Elem Prog01Duty96 S275"/>
    <x v="0"/>
    <s v="24"/>
    <n v="96"/>
    <n v="24"/>
    <s v="   "/>
    <n v="0.55000000000000004"/>
    <n v="0.22739999999999999"/>
    <n v="0"/>
    <x v="0"/>
  </r>
  <r>
    <s v="17001"/>
    <x v="85"/>
    <s v="Personnel"/>
    <s v="H "/>
    <x v="1"/>
    <x v="1"/>
    <s v="PSES High Prog01Duty96 S275"/>
    <x v="0"/>
    <s v="24"/>
    <n v="96"/>
    <n v="24"/>
    <s v="   "/>
    <n v="1.095"/>
    <n v="0.22739999999999999"/>
    <n v="0"/>
    <x v="1"/>
  </r>
  <r>
    <s v="17001"/>
    <x v="85"/>
    <s v="Personnel"/>
    <s v="M "/>
    <x v="2"/>
    <x v="2"/>
    <s v="PSES Mid Prog01Duty96 S275"/>
    <x v="0"/>
    <s v="24"/>
    <n v="96"/>
    <n v="24"/>
    <s v="   "/>
    <n v="0.14000000000000001"/>
    <n v="0.22739999999999999"/>
    <n v="0"/>
    <x v="2"/>
  </r>
  <r>
    <s v="17001"/>
    <x v="85"/>
    <s v="Personnel"/>
    <s v="E "/>
    <x v="0"/>
    <x v="71"/>
    <s v="PSES Elem Prog97Act25 S275"/>
    <x v="2"/>
    <s v="25"/>
    <m/>
    <n v="25"/>
    <s v="   "/>
    <n v="2.1219999999999999"/>
    <n v="0.22739999999999999"/>
    <n v="0"/>
    <x v="3"/>
  </r>
  <r>
    <s v="17001"/>
    <x v="85"/>
    <s v="Personnel"/>
    <s v="E "/>
    <x v="0"/>
    <x v="3"/>
    <s v="PSES Elem Prog01Act25 S275"/>
    <x v="0"/>
    <s v="25"/>
    <m/>
    <n v="25"/>
    <s v="   "/>
    <n v="0.43"/>
    <n v="0.22739999999999999"/>
    <n v="0"/>
    <x v="3"/>
  </r>
  <r>
    <s v="17001"/>
    <x v="85"/>
    <s v="Personnel"/>
    <s v="H "/>
    <x v="1"/>
    <x v="53"/>
    <s v="PSES High Prog97Act25 S275"/>
    <x v="2"/>
    <s v="25"/>
    <m/>
    <n v="25"/>
    <s v="   "/>
    <n v="1.1970000000000001"/>
    <n v="0.22739999999999999"/>
    <n v="0"/>
    <x v="4"/>
  </r>
  <r>
    <s v="17001"/>
    <x v="85"/>
    <s v="Personnel"/>
    <s v="H "/>
    <x v="1"/>
    <x v="5"/>
    <s v="PSES High Prog01Act25 S275"/>
    <x v="0"/>
    <s v="25"/>
    <m/>
    <n v="25"/>
    <s v="   "/>
    <n v="0.24399999999999999"/>
    <n v="0.22739999999999999"/>
    <n v="0"/>
    <x v="4"/>
  </r>
  <r>
    <s v="17001"/>
    <x v="85"/>
    <s v="Personnel"/>
    <s v="M "/>
    <x v="2"/>
    <x v="72"/>
    <s v="PSES Mid Prog97Act25 S275"/>
    <x v="2"/>
    <s v="25"/>
    <m/>
    <n v="25"/>
    <s v="   "/>
    <n v="0.54"/>
    <n v="0.22739999999999999"/>
    <n v="0"/>
    <x v="5"/>
  </r>
  <r>
    <s v="17001"/>
    <x v="85"/>
    <s v="Personnel"/>
    <s v="M "/>
    <x v="2"/>
    <x v="6"/>
    <s v="PSES Mid Prog01Act25 S275"/>
    <x v="0"/>
    <s v="25"/>
    <m/>
    <n v="25"/>
    <s v="   "/>
    <n v="0.11"/>
    <n v="0.22739999999999999"/>
    <n v="0"/>
    <x v="5"/>
  </r>
  <r>
    <s v="17001"/>
    <x v="85"/>
    <s v="Personnel"/>
    <s v="H "/>
    <x v="1"/>
    <x v="29"/>
    <s v="PSES High Prog21Act26 S275"/>
    <x v="1"/>
    <s v="26"/>
    <m/>
    <n v="26"/>
    <s v="   "/>
    <n v="10.574"/>
    <n v="0.22739999999999999"/>
    <n v="2.4049999999999998"/>
    <x v="7"/>
  </r>
  <r>
    <s v="17001"/>
    <x v="85"/>
    <s v="Personnel"/>
    <s v="H "/>
    <x v="1"/>
    <x v="9"/>
    <s v="PSES High Prog01Act26 S275"/>
    <x v="0"/>
    <s v="26"/>
    <m/>
    <n v="26"/>
    <s v="   "/>
    <n v="1.57"/>
    <n v="0.22739999999999999"/>
    <n v="0"/>
    <x v="7"/>
  </r>
  <r>
    <s v="17001"/>
    <x v="85"/>
    <s v="Personnel"/>
    <s v="H "/>
    <x v="1"/>
    <x v="54"/>
    <s v="PSES High Prog01Act35 S275"/>
    <x v="0"/>
    <s v="35"/>
    <m/>
    <n v="35"/>
    <s v="   "/>
    <n v="34.188000000000002"/>
    <n v="0.22739999999999999"/>
    <n v="0"/>
    <x v="9"/>
  </r>
  <r>
    <s v="17001"/>
    <x v="85"/>
    <s v="Personnel"/>
    <s v="E "/>
    <x v="0"/>
    <x v="15"/>
    <s v="PSES Elem Prog01Duty42 S275"/>
    <x v="0"/>
    <s v="42"/>
    <n v="42"/>
    <m/>
    <s v="   "/>
    <n v="36.036999999999999"/>
    <n v="0.22739999999999999"/>
    <n v="0"/>
    <x v="12"/>
  </r>
  <r>
    <s v="17001"/>
    <x v="85"/>
    <s v="Personnel"/>
    <s v="H "/>
    <x v="1"/>
    <x v="16"/>
    <s v="PSES High Prog01Duty42 S275"/>
    <x v="0"/>
    <s v="42"/>
    <n v="42"/>
    <m/>
    <s v="   "/>
    <n v="36.127000000000002"/>
    <n v="0.22739999999999999"/>
    <n v="0"/>
    <x v="13"/>
  </r>
  <r>
    <s v="17001"/>
    <x v="85"/>
    <s v="Personnel"/>
    <s v="M "/>
    <x v="2"/>
    <x v="17"/>
    <s v="PSES Mid Prog01Duty42 S275"/>
    <x v="0"/>
    <s v="42"/>
    <n v="42"/>
    <m/>
    <s v="   "/>
    <n v="19.341000000000001"/>
    <n v="0.22739999999999999"/>
    <n v="0"/>
    <x v="14"/>
  </r>
  <r>
    <s v="17001"/>
    <x v="85"/>
    <s v="Personnel"/>
    <s v="E "/>
    <x v="0"/>
    <x v="18"/>
    <s v="PSES Elem Prog21Duty43 S275"/>
    <x v="1"/>
    <s v="43"/>
    <n v="43"/>
    <m/>
    <s v="   "/>
    <n v="32.9"/>
    <n v="0.22739999999999999"/>
    <n v="7.4809999999999999"/>
    <x v="15"/>
  </r>
  <r>
    <s v="17001"/>
    <x v="85"/>
    <s v="Personnel"/>
    <s v="E "/>
    <x v="0"/>
    <x v="69"/>
    <s v="PSES Elem Prog01Duty43 S275"/>
    <x v="0"/>
    <s v="43"/>
    <n v="43"/>
    <m/>
    <s v="   "/>
    <n v="1.1000000000000001"/>
    <n v="0.22739999999999999"/>
    <n v="0"/>
    <x v="15"/>
  </r>
  <r>
    <s v="17001"/>
    <x v="85"/>
    <s v="Personnel"/>
    <s v="H "/>
    <x v="1"/>
    <x v="19"/>
    <s v="PSES High Prog21Duty43 S275"/>
    <x v="1"/>
    <s v="43"/>
    <n v="43"/>
    <m/>
    <s v="   "/>
    <n v="18.88"/>
    <n v="0.22739999999999999"/>
    <n v="4.2930000000000001"/>
    <x v="16"/>
  </r>
  <r>
    <s v="17001"/>
    <x v="85"/>
    <s v="Personnel"/>
    <s v="H "/>
    <x v="1"/>
    <x v="73"/>
    <s v="PSES High Prog01Duty43 S275"/>
    <x v="0"/>
    <s v="43"/>
    <n v="43"/>
    <m/>
    <s v="   "/>
    <n v="0.62"/>
    <n v="0.22739999999999999"/>
    <n v="0"/>
    <x v="16"/>
  </r>
  <r>
    <s v="17001"/>
    <x v="85"/>
    <s v="Personnel"/>
    <s v="M "/>
    <x v="2"/>
    <x v="31"/>
    <s v="PSES Mid Prog21Duty43 S275"/>
    <x v="1"/>
    <s v="43"/>
    <n v="43"/>
    <m/>
    <s v="   "/>
    <n v="8.1199999999999992"/>
    <n v="0.22739999999999999"/>
    <n v="1.8460000000000001"/>
    <x v="27"/>
  </r>
  <r>
    <s v="17001"/>
    <x v="85"/>
    <s v="Personnel"/>
    <s v="M "/>
    <x v="2"/>
    <x v="74"/>
    <s v="PSES Mid Prog01Duty43 S275"/>
    <x v="0"/>
    <s v="43"/>
    <n v="43"/>
    <m/>
    <s v="   "/>
    <n v="0.28000000000000003"/>
    <n v="0.22739999999999999"/>
    <n v="0"/>
    <x v="27"/>
  </r>
  <r>
    <s v="17001"/>
    <x v="85"/>
    <s v="Personnel"/>
    <s v="E "/>
    <x v="0"/>
    <x v="42"/>
    <s v="PSES Elem Prog01Duty44 S275"/>
    <x v="0"/>
    <s v="44"/>
    <n v="44"/>
    <m/>
    <s v="   "/>
    <n v="25.425000000000001"/>
    <n v="0.22739999999999999"/>
    <n v="0"/>
    <x v="33"/>
  </r>
  <r>
    <s v="17001"/>
    <x v="85"/>
    <s v="Personnel"/>
    <s v="H "/>
    <x v="1"/>
    <x v="43"/>
    <s v="PSES High Prog21Duty44 S275"/>
    <x v="1"/>
    <s v="44"/>
    <n v="44"/>
    <m/>
    <s v="   "/>
    <n v="0.5"/>
    <n v="0.22739999999999999"/>
    <n v="0.114"/>
    <x v="34"/>
  </r>
  <r>
    <s v="17001"/>
    <x v="85"/>
    <s v="Personnel"/>
    <s v="H "/>
    <x v="1"/>
    <x v="44"/>
    <s v="PSES High Prog01Duty44 S275"/>
    <x v="0"/>
    <s v="44"/>
    <n v="44"/>
    <m/>
    <s v="   "/>
    <n v="6.1"/>
    <n v="0.22739999999999999"/>
    <n v="0"/>
    <x v="34"/>
  </r>
  <r>
    <s v="17001"/>
    <x v="85"/>
    <s v="Personnel"/>
    <s v="M "/>
    <x v="2"/>
    <x v="46"/>
    <s v="PSES Mid Prog01Duty44 S275"/>
    <x v="0"/>
    <s v="44"/>
    <n v="44"/>
    <m/>
    <s v="   "/>
    <n v="6.1230000000000002"/>
    <n v="0.22739999999999999"/>
    <n v="0"/>
    <x v="35"/>
  </r>
  <r>
    <s v="17001"/>
    <x v="85"/>
    <s v="Personnel"/>
    <s v="E "/>
    <x v="0"/>
    <x v="20"/>
    <s v="PSES Elem Prog21Duty45 S275"/>
    <x v="1"/>
    <s v="45"/>
    <n v="45"/>
    <m/>
    <s v="   "/>
    <n v="58.284999999999997"/>
    <n v="0.22739999999999999"/>
    <n v="13.254"/>
    <x v="17"/>
  </r>
  <r>
    <s v="17001"/>
    <x v="85"/>
    <s v="Personnel"/>
    <s v="E "/>
    <x v="0"/>
    <x v="47"/>
    <s v="PSES Elem Prog01Duty45 S275"/>
    <x v="0"/>
    <s v="45"/>
    <n v="45"/>
    <m/>
    <s v="   "/>
    <n v="0.08"/>
    <n v="0.22739999999999999"/>
    <n v="0"/>
    <x v="17"/>
  </r>
  <r>
    <s v="17001"/>
    <x v="85"/>
    <s v="Personnel"/>
    <s v="H "/>
    <x v="1"/>
    <x v="21"/>
    <s v="PSES High Prog21Duty45 S275"/>
    <x v="1"/>
    <s v="45"/>
    <n v="45"/>
    <m/>
    <s v="   "/>
    <n v="32.023000000000003"/>
    <n v="0.22739999999999999"/>
    <n v="7.282"/>
    <x v="18"/>
  </r>
  <r>
    <s v="17001"/>
    <x v="85"/>
    <s v="Personnel"/>
    <s v="H "/>
    <x v="1"/>
    <x v="51"/>
    <s v="PSES High Prog01Duty45 S275"/>
    <x v="0"/>
    <s v="45"/>
    <n v="45"/>
    <m/>
    <s v="   "/>
    <n v="0.31"/>
    <n v="0.22739999999999999"/>
    <n v="0"/>
    <x v="18"/>
  </r>
  <r>
    <s v="17001"/>
    <x v="85"/>
    <s v="Personnel"/>
    <s v="M "/>
    <x v="2"/>
    <x v="28"/>
    <s v="PSES Mid Prog21Duty45 S275"/>
    <x v="1"/>
    <s v="45"/>
    <n v="45"/>
    <m/>
    <s v="   "/>
    <n v="14.462"/>
    <n v="0.22739999999999999"/>
    <n v="3.2890000000000001"/>
    <x v="25"/>
  </r>
  <r>
    <s v="17001"/>
    <x v="85"/>
    <s v="Personnel"/>
    <s v="M "/>
    <x v="2"/>
    <x v="52"/>
    <s v="PSES Mid Prog01Duty45 S275"/>
    <x v="0"/>
    <s v="45"/>
    <n v="45"/>
    <m/>
    <s v="   "/>
    <n v="0.14000000000000001"/>
    <n v="0.22739999999999999"/>
    <n v="0"/>
    <x v="25"/>
  </r>
  <r>
    <s v="17001"/>
    <x v="85"/>
    <s v="Personnel"/>
    <s v="E "/>
    <x v="0"/>
    <x v="22"/>
    <s v="PSES Elem Prog21Duty46 S275"/>
    <x v="1"/>
    <s v="46"/>
    <n v="46"/>
    <m/>
    <s v="   "/>
    <n v="28.774999999999999"/>
    <n v="0.22739999999999999"/>
    <n v="6.5430000000000001"/>
    <x v="19"/>
  </r>
  <r>
    <s v="17001"/>
    <x v="85"/>
    <s v="Personnel"/>
    <s v="E "/>
    <x v="0"/>
    <x v="48"/>
    <s v="PSES Elem Prog01Duty46 S275"/>
    <x v="0"/>
    <s v="46"/>
    <n v="46"/>
    <m/>
    <s v="   "/>
    <n v="0.55000000000000004"/>
    <n v="0.22739999999999999"/>
    <n v="0"/>
    <x v="19"/>
  </r>
  <r>
    <s v="17001"/>
    <x v="85"/>
    <s v="Personnel"/>
    <s v="H "/>
    <x v="1"/>
    <x v="23"/>
    <s v="PSES High Prog21Duty46 S275"/>
    <x v="1"/>
    <s v="46"/>
    <n v="46"/>
    <m/>
    <s v="   "/>
    <n v="15.654999999999999"/>
    <n v="0.22739999999999999"/>
    <n v="3.56"/>
    <x v="20"/>
  </r>
  <r>
    <s v="17001"/>
    <x v="85"/>
    <s v="Personnel"/>
    <s v="H "/>
    <x v="1"/>
    <x v="65"/>
    <s v="PSES High Prog01Duty46 S275"/>
    <x v="0"/>
    <s v="46"/>
    <n v="46"/>
    <m/>
    <s v="   "/>
    <n v="0.31"/>
    <n v="0.22739999999999999"/>
    <n v="0"/>
    <x v="20"/>
  </r>
  <r>
    <s v="17001"/>
    <x v="85"/>
    <s v="Personnel"/>
    <s v="M "/>
    <x v="2"/>
    <x v="24"/>
    <s v="PSES Mid Prog21Duty46 S275"/>
    <x v="1"/>
    <s v="46"/>
    <n v="46"/>
    <m/>
    <s v="   "/>
    <n v="7.07"/>
    <n v="0.22739999999999999"/>
    <n v="1.6080000000000001"/>
    <x v="21"/>
  </r>
  <r>
    <s v="17001"/>
    <x v="85"/>
    <s v="Personnel"/>
    <s v="M "/>
    <x v="2"/>
    <x v="49"/>
    <s v="PSES Mid Prog01Duty46 S275"/>
    <x v="0"/>
    <s v="46"/>
    <n v="46"/>
    <m/>
    <s v="   "/>
    <n v="0.14000000000000001"/>
    <n v="0.22739999999999999"/>
    <n v="0"/>
    <x v="21"/>
  </r>
  <r>
    <s v="17001"/>
    <x v="85"/>
    <s v="Personnel"/>
    <s v="E "/>
    <x v="0"/>
    <x v="32"/>
    <s v="PSES Elem Prog21Duty47 S275"/>
    <x v="1"/>
    <s v="47"/>
    <n v="47"/>
    <m/>
    <s v="   "/>
    <n v="1.9570000000000001"/>
    <n v="0.22739999999999999"/>
    <n v="0.44500000000000001"/>
    <x v="24"/>
  </r>
  <r>
    <s v="17001"/>
    <x v="85"/>
    <s v="Personnel"/>
    <s v="E "/>
    <x v="0"/>
    <x v="27"/>
    <s v="PSES Elem Prog01Duty47 S275"/>
    <x v="0"/>
    <s v="47"/>
    <n v="47"/>
    <m/>
    <s v="   "/>
    <n v="30.026"/>
    <n v="0.22739999999999999"/>
    <n v="0"/>
    <x v="24"/>
  </r>
  <r>
    <s v="17001"/>
    <x v="85"/>
    <s v="Personnel"/>
    <s v="H "/>
    <x v="1"/>
    <x v="61"/>
    <s v="PSES High Prog21Duty47 S275"/>
    <x v="1"/>
    <s v="47"/>
    <n v="47"/>
    <m/>
    <s v="   "/>
    <n v="1.2090000000000001"/>
    <n v="0.22739999999999999"/>
    <n v="0.27500000000000002"/>
    <x v="22"/>
  </r>
  <r>
    <s v="17001"/>
    <x v="85"/>
    <s v="Personnel"/>
    <s v="H "/>
    <x v="1"/>
    <x v="25"/>
    <s v="PSES High Prog01Duty47 S275"/>
    <x v="0"/>
    <s v="47"/>
    <n v="47"/>
    <m/>
    <s v="   "/>
    <n v="16.556000000000001"/>
    <n v="0.22739999999999999"/>
    <n v="0"/>
    <x v="22"/>
  </r>
  <r>
    <s v="17001"/>
    <x v="85"/>
    <s v="Personnel"/>
    <s v="M "/>
    <x v="2"/>
    <x v="33"/>
    <s v="PSES Mid Prog21Duty47 S275"/>
    <x v="1"/>
    <s v="47"/>
    <n v="47"/>
    <m/>
    <s v="   "/>
    <n v="0.54600000000000004"/>
    <n v="0.22739999999999999"/>
    <n v="0.124"/>
    <x v="28"/>
  </r>
  <r>
    <s v="17001"/>
    <x v="85"/>
    <s v="Personnel"/>
    <s v="M "/>
    <x v="2"/>
    <x v="34"/>
    <s v="PSES Mid Prog01Duty47 S275"/>
    <x v="0"/>
    <s v="47"/>
    <n v="47"/>
    <m/>
    <s v="   "/>
    <n v="7.4740000000000002"/>
    <n v="0.22739999999999999"/>
    <n v="0"/>
    <x v="28"/>
  </r>
  <r>
    <s v="17001"/>
    <x v="85"/>
    <s v="Personnel"/>
    <s v="E "/>
    <x v="0"/>
    <x v="35"/>
    <s v="PSES Elem Prog21Duty48 S275"/>
    <x v="1"/>
    <s v="48"/>
    <n v="48"/>
    <m/>
    <s v="   "/>
    <n v="6.6"/>
    <n v="0.22739999999999999"/>
    <n v="1.5009999999999999"/>
    <x v="29"/>
  </r>
  <r>
    <s v="17001"/>
    <x v="85"/>
    <s v="Personnel"/>
    <s v="H "/>
    <x v="1"/>
    <x v="36"/>
    <s v="PSES High Prog21Duty48 S275"/>
    <x v="1"/>
    <s v="48"/>
    <n v="48"/>
    <m/>
    <s v="   "/>
    <n v="3.72"/>
    <n v="0.22739999999999999"/>
    <n v="0.84599999999999997"/>
    <x v="30"/>
  </r>
  <r>
    <s v="17001"/>
    <x v="85"/>
    <s v="Personnel"/>
    <s v="M "/>
    <x v="2"/>
    <x v="37"/>
    <s v="PSES Mid Prog21Duty48 S275"/>
    <x v="1"/>
    <s v="48"/>
    <n v="48"/>
    <m/>
    <s v="   "/>
    <n v="1.68"/>
    <n v="0.22739999999999999"/>
    <n v="0.38200000000000001"/>
    <x v="31"/>
  </r>
  <r>
    <s v="17210"/>
    <x v="86"/>
    <s v="Personnel"/>
    <s v="H "/>
    <x v="1"/>
    <x v="1"/>
    <s v="PSES High Prog01Duty96 S275"/>
    <x v="0"/>
    <s v="24"/>
    <n v="96"/>
    <n v="24"/>
    <s v="   "/>
    <n v="4"/>
    <n v="0.29709999999999998"/>
    <n v="0"/>
    <x v="1"/>
  </r>
  <r>
    <s v="17210"/>
    <x v="86"/>
    <s v="Personnel"/>
    <s v="H "/>
    <x v="1"/>
    <x v="53"/>
    <s v="PSES High Prog97Act25 S275"/>
    <x v="2"/>
    <s v="25"/>
    <m/>
    <n v="25"/>
    <s v="   "/>
    <n v="1"/>
    <n v="0.29709999999999998"/>
    <n v="0"/>
    <x v="4"/>
  </r>
  <r>
    <s v="17210"/>
    <x v="86"/>
    <s v="Personnel"/>
    <s v="H "/>
    <x v="1"/>
    <x v="5"/>
    <s v="PSES High Prog01Act25 S275"/>
    <x v="0"/>
    <s v="25"/>
    <m/>
    <n v="25"/>
    <s v="   "/>
    <n v="39.029000000000003"/>
    <n v="0.29709999999999998"/>
    <n v="0"/>
    <x v="4"/>
  </r>
  <r>
    <s v="17210"/>
    <x v="86"/>
    <s v="Personnel"/>
    <s v="H "/>
    <x v="1"/>
    <x v="29"/>
    <s v="PSES High Prog21Act26 S275"/>
    <x v="1"/>
    <s v="26"/>
    <m/>
    <n v="26"/>
    <s v="   "/>
    <n v="5.3159999999999998"/>
    <n v="0.29709999999999998"/>
    <n v="1.579"/>
    <x v="7"/>
  </r>
  <r>
    <s v="17210"/>
    <x v="86"/>
    <s v="Personnel"/>
    <s v="H "/>
    <x v="1"/>
    <x v="9"/>
    <s v="PSES High Prog01Act26 S275"/>
    <x v="0"/>
    <s v="26"/>
    <m/>
    <n v="26"/>
    <s v="   "/>
    <n v="15.58"/>
    <n v="0.29709999999999998"/>
    <n v="0"/>
    <x v="7"/>
  </r>
  <r>
    <s v="17210"/>
    <x v="86"/>
    <s v="Personnel"/>
    <s v="H "/>
    <x v="1"/>
    <x v="12"/>
    <s v="PSES High Prog97Act35 S275"/>
    <x v="2"/>
    <s v="35"/>
    <m/>
    <n v="35"/>
    <s v="   "/>
    <n v="11.407"/>
    <n v="0.29709999999999998"/>
    <n v="0"/>
    <x v="9"/>
  </r>
  <r>
    <s v="17210"/>
    <x v="86"/>
    <s v="Personnel"/>
    <s v="E "/>
    <x v="0"/>
    <x v="15"/>
    <s v="PSES Elem Prog01Duty42 S275"/>
    <x v="0"/>
    <s v="42"/>
    <n v="42"/>
    <m/>
    <s v="   "/>
    <n v="20.803999999999998"/>
    <n v="0.29709999999999998"/>
    <n v="0"/>
    <x v="12"/>
  </r>
  <r>
    <s v="17210"/>
    <x v="86"/>
    <s v="Personnel"/>
    <s v="H "/>
    <x v="1"/>
    <x v="16"/>
    <s v="PSES High Prog01Duty42 S275"/>
    <x v="0"/>
    <s v="42"/>
    <n v="42"/>
    <m/>
    <s v="   "/>
    <n v="10.34"/>
    <n v="0.29709999999999998"/>
    <n v="0"/>
    <x v="13"/>
  </r>
  <r>
    <s v="17210"/>
    <x v="86"/>
    <s v="Personnel"/>
    <s v="M "/>
    <x v="2"/>
    <x v="17"/>
    <s v="PSES Mid Prog01Duty42 S275"/>
    <x v="0"/>
    <s v="42"/>
    <n v="42"/>
    <m/>
    <s v="   "/>
    <n v="4.9960000000000004"/>
    <n v="0.29709999999999998"/>
    <n v="0"/>
    <x v="14"/>
  </r>
  <r>
    <s v="17210"/>
    <x v="86"/>
    <s v="Personnel"/>
    <s v="E "/>
    <x v="0"/>
    <x v="18"/>
    <s v="PSES Elem Prog21Duty43 S275"/>
    <x v="1"/>
    <s v="43"/>
    <n v="43"/>
    <m/>
    <s v="   "/>
    <n v="3.2280000000000002"/>
    <n v="0.29709999999999998"/>
    <n v="0.95899999999999996"/>
    <x v="15"/>
  </r>
  <r>
    <s v="17210"/>
    <x v="86"/>
    <s v="Personnel"/>
    <s v="H "/>
    <x v="1"/>
    <x v="19"/>
    <s v="PSES High Prog21Duty43 S275"/>
    <x v="1"/>
    <s v="43"/>
    <n v="43"/>
    <m/>
    <s v="   "/>
    <n v="1.8480000000000001"/>
    <n v="0.29709999999999998"/>
    <n v="0.54900000000000004"/>
    <x v="16"/>
  </r>
  <r>
    <s v="17210"/>
    <x v="86"/>
    <s v="Personnel"/>
    <s v="M "/>
    <x v="2"/>
    <x v="31"/>
    <s v="PSES Mid Prog21Duty43 S275"/>
    <x v="1"/>
    <s v="43"/>
    <n v="43"/>
    <m/>
    <s v="   "/>
    <n v="0.92400000000000004"/>
    <n v="0.29709999999999998"/>
    <n v="0.27500000000000002"/>
    <x v="27"/>
  </r>
  <r>
    <s v="17210"/>
    <x v="86"/>
    <s v="Personnel"/>
    <s v="E "/>
    <x v="0"/>
    <x v="42"/>
    <s v="PSES Elem Prog01Duty44 S275"/>
    <x v="0"/>
    <s v="44"/>
    <n v="44"/>
    <m/>
    <s v="   "/>
    <n v="4.33"/>
    <n v="0.29709999999999998"/>
    <n v="0"/>
    <x v="33"/>
  </r>
  <r>
    <s v="17210"/>
    <x v="86"/>
    <s v="Personnel"/>
    <s v="H "/>
    <x v="1"/>
    <x v="44"/>
    <s v="PSES High Prog01Duty44 S275"/>
    <x v="0"/>
    <s v="44"/>
    <n v="44"/>
    <m/>
    <s v="   "/>
    <n v="0.34"/>
    <n v="0.29709999999999998"/>
    <n v="0"/>
    <x v="34"/>
  </r>
  <r>
    <s v="17210"/>
    <x v="86"/>
    <s v="Personnel"/>
    <s v="M "/>
    <x v="2"/>
    <x v="46"/>
    <s v="PSES Mid Prog01Duty44 S275"/>
    <x v="0"/>
    <s v="44"/>
    <n v="44"/>
    <m/>
    <s v="   "/>
    <n v="0.67"/>
    <n v="0.29709999999999998"/>
    <n v="0"/>
    <x v="35"/>
  </r>
  <r>
    <s v="17210"/>
    <x v="86"/>
    <s v="Personnel"/>
    <s v="E "/>
    <x v="0"/>
    <x v="20"/>
    <s v="PSES Elem Prog21Duty45 S275"/>
    <x v="1"/>
    <s v="45"/>
    <n v="45"/>
    <m/>
    <s v="   "/>
    <n v="20.288"/>
    <n v="0.29709999999999998"/>
    <n v="6.0279999999999996"/>
    <x v="17"/>
  </r>
  <r>
    <s v="17210"/>
    <x v="86"/>
    <s v="Personnel"/>
    <s v="H "/>
    <x v="1"/>
    <x v="21"/>
    <s v="PSES High Prog21Duty45 S275"/>
    <x v="1"/>
    <s v="45"/>
    <n v="45"/>
    <m/>
    <s v="   "/>
    <n v="11.61"/>
    <n v="0.29709999999999998"/>
    <n v="3.4489999999999998"/>
    <x v="18"/>
  </r>
  <r>
    <s v="17210"/>
    <x v="86"/>
    <s v="Personnel"/>
    <s v="M "/>
    <x v="2"/>
    <x v="28"/>
    <s v="PSES Mid Prog21Duty45 S275"/>
    <x v="1"/>
    <s v="45"/>
    <n v="45"/>
    <m/>
    <s v="   "/>
    <n v="5.8049999999999997"/>
    <n v="0.29709999999999998"/>
    <n v="1.7250000000000001"/>
    <x v="25"/>
  </r>
  <r>
    <s v="17210"/>
    <x v="86"/>
    <s v="Personnel"/>
    <s v="E "/>
    <x v="0"/>
    <x v="22"/>
    <s v="PSES Elem Prog21Duty46 S275"/>
    <x v="1"/>
    <s v="46"/>
    <n v="46"/>
    <m/>
    <s v="   "/>
    <n v="16.140999999999998"/>
    <n v="0.29709999999999998"/>
    <n v="4.7949999999999999"/>
    <x v="19"/>
  </r>
  <r>
    <s v="17210"/>
    <x v="86"/>
    <s v="Personnel"/>
    <s v="H "/>
    <x v="1"/>
    <x v="23"/>
    <s v="PSES High Prog21Duty46 S275"/>
    <x v="1"/>
    <s v="46"/>
    <n v="46"/>
    <m/>
    <s v="   "/>
    <n v="9.24"/>
    <n v="0.29709999999999998"/>
    <n v="2.7450000000000001"/>
    <x v="20"/>
  </r>
  <r>
    <s v="17210"/>
    <x v="86"/>
    <s v="Personnel"/>
    <s v="M "/>
    <x v="2"/>
    <x v="24"/>
    <s v="PSES Mid Prog21Duty46 S275"/>
    <x v="1"/>
    <s v="46"/>
    <n v="46"/>
    <m/>
    <s v="   "/>
    <n v="4.6189999999999998"/>
    <n v="0.29709999999999998"/>
    <n v="1.3720000000000001"/>
    <x v="21"/>
  </r>
  <r>
    <s v="17210"/>
    <x v="86"/>
    <s v="Personnel"/>
    <s v="E "/>
    <x v="0"/>
    <x v="27"/>
    <s v="PSES Elem Prog01Duty47 S275"/>
    <x v="0"/>
    <s v="47"/>
    <n v="47"/>
    <m/>
    <s v="   "/>
    <n v="9.42"/>
    <n v="0.29709999999999998"/>
    <n v="0"/>
    <x v="24"/>
  </r>
  <r>
    <s v="17210"/>
    <x v="86"/>
    <s v="Personnel"/>
    <s v="H "/>
    <x v="1"/>
    <x v="25"/>
    <s v="PSES High Prog01Duty47 S275"/>
    <x v="0"/>
    <s v="47"/>
    <n v="47"/>
    <m/>
    <s v="   "/>
    <n v="5.39"/>
    <n v="0.29709999999999998"/>
    <n v="0"/>
    <x v="22"/>
  </r>
  <r>
    <s v="17210"/>
    <x v="86"/>
    <s v="Personnel"/>
    <s v="M "/>
    <x v="2"/>
    <x v="34"/>
    <s v="PSES Mid Prog01Duty47 S275"/>
    <x v="0"/>
    <s v="47"/>
    <n v="47"/>
    <m/>
    <s v="   "/>
    <n v="2.6949999999999998"/>
    <n v="0.29709999999999998"/>
    <n v="0"/>
    <x v="28"/>
  </r>
  <r>
    <s v="17210"/>
    <x v="86"/>
    <s v="Personnel"/>
    <s v="E "/>
    <x v="0"/>
    <x v="35"/>
    <s v="PSES Elem Prog21Duty48 S275"/>
    <x v="1"/>
    <s v="48"/>
    <n v="48"/>
    <m/>
    <s v="   "/>
    <n v="2.69"/>
    <n v="0.29709999999999998"/>
    <n v="0.79900000000000004"/>
    <x v="29"/>
  </r>
  <r>
    <s v="17210"/>
    <x v="86"/>
    <s v="Personnel"/>
    <s v="H "/>
    <x v="1"/>
    <x v="36"/>
    <s v="PSES High Prog21Duty48 S275"/>
    <x v="1"/>
    <s v="48"/>
    <n v="48"/>
    <m/>
    <s v="   "/>
    <n v="1.54"/>
    <n v="0.29709999999999998"/>
    <n v="0.45800000000000002"/>
    <x v="30"/>
  </r>
  <r>
    <s v="17210"/>
    <x v="86"/>
    <s v="Personnel"/>
    <s v="M "/>
    <x v="2"/>
    <x v="37"/>
    <s v="PSES Mid Prog21Duty48 S275"/>
    <x v="1"/>
    <s v="48"/>
    <n v="48"/>
    <m/>
    <s v="   "/>
    <n v="0.77"/>
    <n v="0.29709999999999998"/>
    <n v="0.22900000000000001"/>
    <x v="31"/>
  </r>
  <r>
    <s v="17210"/>
    <x v="86"/>
    <s v="Personnel"/>
    <s v="E "/>
    <x v="0"/>
    <x v="38"/>
    <s v="PSES Elem Prog21Duty64 S275"/>
    <x v="1"/>
    <s v="64"/>
    <n v="64"/>
    <m/>
    <s v="   "/>
    <n v="3.2280000000000002"/>
    <n v="0.29709999999999998"/>
    <n v="0.95899999999999996"/>
    <x v="32"/>
  </r>
  <r>
    <s v="17210"/>
    <x v="86"/>
    <s v="Personnel"/>
    <s v="H "/>
    <x v="1"/>
    <x v="59"/>
    <s v="PSES High Prog21Duty64 S275"/>
    <x v="1"/>
    <s v="64"/>
    <n v="64"/>
    <m/>
    <s v="   "/>
    <n v="1.8480000000000001"/>
    <n v="0.29709999999999998"/>
    <n v="0.54900000000000004"/>
    <x v="38"/>
  </r>
  <r>
    <s v="17210"/>
    <x v="86"/>
    <s v="Personnel"/>
    <s v="M "/>
    <x v="2"/>
    <x v="60"/>
    <s v="PSES Mid Prog21Duty64 S275"/>
    <x v="1"/>
    <s v="64"/>
    <n v="64"/>
    <m/>
    <s v="   "/>
    <n v="0.92400000000000004"/>
    <n v="0.29709999999999998"/>
    <n v="0.27500000000000002"/>
    <x v="39"/>
  </r>
  <r>
    <s v="17216"/>
    <x v="87"/>
    <s v="Personnel"/>
    <s v="E "/>
    <x v="0"/>
    <x v="3"/>
    <s v="PSES Elem Prog01Act25 S275"/>
    <x v="0"/>
    <s v="25"/>
    <m/>
    <n v="25"/>
    <s v="   "/>
    <n v="1.6759999999999999"/>
    <n v="0.25290000000000001"/>
    <n v="0"/>
    <x v="3"/>
  </r>
  <r>
    <s v="17216"/>
    <x v="87"/>
    <s v="Personnel"/>
    <s v="H "/>
    <x v="1"/>
    <x v="5"/>
    <s v="PSES High Prog01Act25 S275"/>
    <x v="0"/>
    <s v="25"/>
    <m/>
    <n v="25"/>
    <s v="   "/>
    <n v="4.0000000000000001E-3"/>
    <n v="0.25290000000000001"/>
    <n v="0"/>
    <x v="4"/>
  </r>
  <r>
    <s v="17216"/>
    <x v="87"/>
    <s v="Personnel"/>
    <s v="H "/>
    <x v="1"/>
    <x v="29"/>
    <s v="PSES High Prog21Act26 S275"/>
    <x v="1"/>
    <s v="26"/>
    <m/>
    <n v="26"/>
    <s v="   "/>
    <n v="1.214"/>
    <n v="0.25290000000000001"/>
    <n v="0.307"/>
    <x v="7"/>
  </r>
  <r>
    <s v="17216"/>
    <x v="87"/>
    <s v="Personnel"/>
    <s v="H "/>
    <x v="1"/>
    <x v="9"/>
    <s v="PSES High Prog01Act26 S275"/>
    <x v="0"/>
    <s v="26"/>
    <m/>
    <n v="26"/>
    <s v="   "/>
    <n v="4.8419999999999996"/>
    <n v="0.25290000000000001"/>
    <n v="0"/>
    <x v="7"/>
  </r>
  <r>
    <s v="17216"/>
    <x v="87"/>
    <s v="Personnel"/>
    <s v="H "/>
    <x v="1"/>
    <x v="54"/>
    <s v="PSES High Prog01Act35 S275"/>
    <x v="0"/>
    <s v="35"/>
    <m/>
    <n v="35"/>
    <s v="   "/>
    <n v="0.78100000000000003"/>
    <n v="0.25290000000000001"/>
    <n v="0"/>
    <x v="9"/>
  </r>
  <r>
    <s v="17216"/>
    <x v="87"/>
    <s v="Personnel"/>
    <s v="E "/>
    <x v="0"/>
    <x v="15"/>
    <s v="PSES Elem Prog01Duty42 S275"/>
    <x v="0"/>
    <s v="42"/>
    <n v="42"/>
    <m/>
    <s v="   "/>
    <n v="5.6820000000000004"/>
    <n v="0.25290000000000001"/>
    <n v="0"/>
    <x v="12"/>
  </r>
  <r>
    <s v="17216"/>
    <x v="87"/>
    <s v="Personnel"/>
    <s v="H "/>
    <x v="1"/>
    <x v="16"/>
    <s v="PSES High Prog01Duty42 S275"/>
    <x v="0"/>
    <s v="42"/>
    <n v="42"/>
    <m/>
    <s v="   "/>
    <n v="3"/>
    <n v="0.25290000000000001"/>
    <n v="0"/>
    <x v="13"/>
  </r>
  <r>
    <s v="17216"/>
    <x v="87"/>
    <s v="Personnel"/>
    <s v="M "/>
    <x v="2"/>
    <x v="17"/>
    <s v="PSES Mid Prog01Duty42 S275"/>
    <x v="0"/>
    <s v="42"/>
    <n v="42"/>
    <m/>
    <s v="   "/>
    <n v="1.3180000000000001"/>
    <n v="0.25290000000000001"/>
    <n v="0"/>
    <x v="14"/>
  </r>
  <r>
    <s v="17216"/>
    <x v="87"/>
    <s v="Personnel"/>
    <s v="E "/>
    <x v="0"/>
    <x v="18"/>
    <s v="PSES Elem Prog21Duty43 S275"/>
    <x v="1"/>
    <s v="43"/>
    <n v="43"/>
    <m/>
    <s v="   "/>
    <n v="1"/>
    <n v="0.25290000000000001"/>
    <n v="0.253"/>
    <x v="15"/>
  </r>
  <r>
    <s v="17216"/>
    <x v="87"/>
    <s v="Personnel"/>
    <s v="E "/>
    <x v="0"/>
    <x v="20"/>
    <s v="PSES Elem Prog21Duty45 S275"/>
    <x v="1"/>
    <s v="45"/>
    <n v="45"/>
    <m/>
    <s v="   "/>
    <n v="5.26"/>
    <n v="0.25290000000000001"/>
    <n v="1.33"/>
    <x v="17"/>
  </r>
  <r>
    <s v="17216"/>
    <x v="87"/>
    <s v="Personnel"/>
    <s v="H "/>
    <x v="1"/>
    <x v="21"/>
    <s v="PSES High Prog21Duty45 S275"/>
    <x v="1"/>
    <s v="45"/>
    <n v="45"/>
    <m/>
    <s v="   "/>
    <n v="0.224"/>
    <n v="0.25290000000000001"/>
    <n v="5.7000000000000002E-2"/>
    <x v="18"/>
  </r>
  <r>
    <s v="17216"/>
    <x v="87"/>
    <s v="Personnel"/>
    <s v="M "/>
    <x v="2"/>
    <x v="28"/>
    <s v="PSES Mid Prog21Duty45 S275"/>
    <x v="1"/>
    <s v="45"/>
    <n v="45"/>
    <m/>
    <s v="   "/>
    <n v="0.52700000000000002"/>
    <n v="0.25290000000000001"/>
    <n v="0.13300000000000001"/>
    <x v="25"/>
  </r>
  <r>
    <s v="17216"/>
    <x v="87"/>
    <s v="Personnel"/>
    <s v="E "/>
    <x v="0"/>
    <x v="22"/>
    <s v="PSES Elem Prog21Duty46 S275"/>
    <x v="1"/>
    <s v="46"/>
    <n v="46"/>
    <m/>
    <s v="   "/>
    <n v="2"/>
    <n v="0.25290000000000001"/>
    <n v="0.50600000000000001"/>
    <x v="19"/>
  </r>
  <r>
    <s v="17216"/>
    <x v="87"/>
    <s v="Personnel"/>
    <s v="E "/>
    <x v="0"/>
    <x v="32"/>
    <s v="PSES Elem Prog21Duty47 S275"/>
    <x v="1"/>
    <s v="47"/>
    <n v="47"/>
    <m/>
    <s v="   "/>
    <n v="7.0000000000000007E-2"/>
    <n v="0.25290000000000001"/>
    <n v="1.7999999999999999E-2"/>
    <x v="24"/>
  </r>
  <r>
    <s v="17216"/>
    <x v="87"/>
    <s v="Personnel"/>
    <s v="E "/>
    <x v="0"/>
    <x v="27"/>
    <s v="PSES Elem Prog01Duty47 S275"/>
    <x v="0"/>
    <s v="47"/>
    <n v="47"/>
    <m/>
    <s v="   "/>
    <n v="0.39800000000000002"/>
    <n v="0.25290000000000001"/>
    <n v="0"/>
    <x v="24"/>
  </r>
  <r>
    <s v="17216"/>
    <x v="87"/>
    <s v="Personnel"/>
    <s v="H "/>
    <x v="1"/>
    <x v="61"/>
    <s v="PSES High Prog21Duty47 S275"/>
    <x v="1"/>
    <s v="47"/>
    <n v="47"/>
    <m/>
    <s v="   "/>
    <n v="4.3999999999999997E-2"/>
    <n v="0.25290000000000001"/>
    <n v="1.0999999999999999E-2"/>
    <x v="22"/>
  </r>
  <r>
    <s v="17216"/>
    <x v="87"/>
    <s v="Personnel"/>
    <s v="H "/>
    <x v="1"/>
    <x v="25"/>
    <s v="PSES High Prog01Duty47 S275"/>
    <x v="0"/>
    <s v="47"/>
    <n v="47"/>
    <m/>
    <s v="   "/>
    <n v="0.248"/>
    <n v="0.25290000000000001"/>
    <n v="0"/>
    <x v="22"/>
  </r>
  <r>
    <s v="17216"/>
    <x v="87"/>
    <s v="Personnel"/>
    <s v="M "/>
    <x v="2"/>
    <x v="33"/>
    <s v="PSES Mid Prog21Duty47 S275"/>
    <x v="1"/>
    <s v="47"/>
    <n v="47"/>
    <m/>
    <s v="   "/>
    <n v="3.5999999999999997E-2"/>
    <n v="0.25290000000000001"/>
    <n v="8.9999999999999993E-3"/>
    <x v="28"/>
  </r>
  <r>
    <s v="17216"/>
    <x v="87"/>
    <s v="Personnel"/>
    <s v="M "/>
    <x v="2"/>
    <x v="34"/>
    <s v="PSES Mid Prog01Duty47 S275"/>
    <x v="0"/>
    <s v="47"/>
    <n v="47"/>
    <m/>
    <s v="   "/>
    <n v="0.20399999999999999"/>
    <n v="0.25290000000000001"/>
    <n v="0"/>
    <x v="28"/>
  </r>
  <r>
    <s v="17216"/>
    <x v="87"/>
    <s v="Personnel"/>
    <s v="E "/>
    <x v="0"/>
    <x v="38"/>
    <s v="PSES Elem Prog21Duty64 S275"/>
    <x v="1"/>
    <s v="64"/>
    <n v="64"/>
    <m/>
    <s v="   "/>
    <n v="1.5329999999999999"/>
    <n v="0.25290000000000001"/>
    <n v="0.38800000000000001"/>
    <x v="32"/>
  </r>
  <r>
    <s v="17216"/>
    <x v="87"/>
    <s v="Personnel"/>
    <s v="H "/>
    <x v="1"/>
    <x v="59"/>
    <s v="PSES High Prog21Duty64 S275"/>
    <x v="1"/>
    <s v="64"/>
    <n v="64"/>
    <m/>
    <s v="   "/>
    <n v="3"/>
    <n v="0.25290000000000001"/>
    <n v="0.75900000000000001"/>
    <x v="38"/>
  </r>
  <r>
    <s v="17216"/>
    <x v="87"/>
    <s v="Personnel"/>
    <s v="M "/>
    <x v="2"/>
    <x v="60"/>
    <s v="PSES Mid Prog21Duty64 S275"/>
    <x v="1"/>
    <s v="64"/>
    <n v="64"/>
    <m/>
    <s v="   "/>
    <n v="0.66700000000000004"/>
    <n v="0.25290000000000001"/>
    <n v="0.16900000000000001"/>
    <x v="39"/>
  </r>
  <r>
    <s v="17400"/>
    <x v="88"/>
    <s v="Personnel"/>
    <s v="H "/>
    <x v="1"/>
    <x v="4"/>
    <s v="PSES High Prog21Act25 S275"/>
    <x v="1"/>
    <s v="25"/>
    <m/>
    <n v="25"/>
    <s v="   "/>
    <n v="7.0000000000000007E-2"/>
    <n v="0.19489999999999999"/>
    <n v="1.4E-2"/>
    <x v="4"/>
  </r>
  <r>
    <s v="17400"/>
    <x v="88"/>
    <s v="Personnel"/>
    <s v="H "/>
    <x v="1"/>
    <x v="5"/>
    <s v="PSES High Prog01Act25 S275"/>
    <x v="0"/>
    <s v="25"/>
    <m/>
    <n v="25"/>
    <s v="   "/>
    <n v="8.6649999999999991"/>
    <n v="0.19489999999999999"/>
    <n v="0"/>
    <x v="4"/>
  </r>
  <r>
    <s v="17400"/>
    <x v="88"/>
    <s v="Personnel"/>
    <s v="H "/>
    <x v="1"/>
    <x v="29"/>
    <s v="PSES High Prog21Act26 S275"/>
    <x v="1"/>
    <s v="26"/>
    <m/>
    <n v="26"/>
    <s v="   "/>
    <n v="1.7"/>
    <n v="0.19489999999999999"/>
    <n v="0.33100000000000002"/>
    <x v="7"/>
  </r>
  <r>
    <s v="17400"/>
    <x v="88"/>
    <s v="Personnel"/>
    <s v="H "/>
    <x v="1"/>
    <x v="9"/>
    <s v="PSES High Prog01Act26 S275"/>
    <x v="0"/>
    <s v="26"/>
    <m/>
    <n v="26"/>
    <s v="   "/>
    <n v="2.9220000000000002"/>
    <n v="0.19489999999999999"/>
    <n v="0"/>
    <x v="7"/>
  </r>
  <r>
    <s v="17400"/>
    <x v="88"/>
    <s v="Personnel"/>
    <s v="H "/>
    <x v="1"/>
    <x v="54"/>
    <s v="PSES High Prog01Act35 S275"/>
    <x v="0"/>
    <s v="35"/>
    <m/>
    <n v="35"/>
    <s v="   "/>
    <n v="2.0859999999999999"/>
    <n v="0.19489999999999999"/>
    <n v="0"/>
    <x v="9"/>
  </r>
  <r>
    <s v="17400"/>
    <x v="88"/>
    <s v="Personnel"/>
    <s v="H "/>
    <x v="1"/>
    <x v="16"/>
    <s v="PSES High Prog01Duty42 S275"/>
    <x v="0"/>
    <s v="42"/>
    <n v="42"/>
    <m/>
    <s v="   "/>
    <n v="4"/>
    <n v="0.19489999999999999"/>
    <n v="0"/>
    <x v="13"/>
  </r>
  <r>
    <s v="17400"/>
    <x v="88"/>
    <s v="Personnel"/>
    <s v="M "/>
    <x v="2"/>
    <x v="75"/>
    <s v="PSES Mid Prog21Duty42 S275"/>
    <x v="1"/>
    <s v="42"/>
    <n v="42"/>
    <m/>
    <s v="   "/>
    <n v="0.3"/>
    <n v="0.19489999999999999"/>
    <n v="5.8000000000000003E-2"/>
    <x v="14"/>
  </r>
  <r>
    <s v="17400"/>
    <x v="88"/>
    <s v="Personnel"/>
    <s v="M "/>
    <x v="2"/>
    <x v="17"/>
    <s v="PSES Mid Prog01Duty42 S275"/>
    <x v="0"/>
    <s v="42"/>
    <n v="42"/>
    <m/>
    <s v="   "/>
    <n v="3"/>
    <n v="0.19489999999999999"/>
    <n v="0"/>
    <x v="14"/>
  </r>
  <r>
    <s v="17400"/>
    <x v="88"/>
    <s v="Personnel"/>
    <s v="E "/>
    <x v="0"/>
    <x v="18"/>
    <s v="PSES Elem Prog21Duty43 S275"/>
    <x v="1"/>
    <s v="43"/>
    <n v="43"/>
    <m/>
    <s v="   "/>
    <n v="1"/>
    <n v="0.19489999999999999"/>
    <n v="0.19500000000000001"/>
    <x v="15"/>
  </r>
  <r>
    <s v="17400"/>
    <x v="88"/>
    <s v="Personnel"/>
    <s v="E "/>
    <x v="0"/>
    <x v="20"/>
    <s v="PSES Elem Prog21Duty45 S275"/>
    <x v="1"/>
    <s v="45"/>
    <n v="45"/>
    <m/>
    <s v="   "/>
    <n v="2.4300000000000002"/>
    <n v="0.19489999999999999"/>
    <n v="0.47399999999999998"/>
    <x v="17"/>
  </r>
  <r>
    <s v="17400"/>
    <x v="88"/>
    <s v="Personnel"/>
    <s v="M "/>
    <x v="2"/>
    <x v="28"/>
    <s v="PSES Mid Prog21Duty45 S275"/>
    <x v="1"/>
    <s v="45"/>
    <n v="45"/>
    <m/>
    <s v="   "/>
    <n v="0.56999999999999995"/>
    <n v="0.19489999999999999"/>
    <n v="0.111"/>
    <x v="25"/>
  </r>
  <r>
    <s v="17400"/>
    <x v="88"/>
    <s v="Personnel"/>
    <s v="E "/>
    <x v="0"/>
    <x v="22"/>
    <s v="PSES Elem Prog21Duty46 S275"/>
    <x v="1"/>
    <s v="46"/>
    <n v="46"/>
    <m/>
    <s v="   "/>
    <n v="1.8"/>
    <n v="0.19489999999999999"/>
    <n v="0.35099999999999998"/>
    <x v="19"/>
  </r>
  <r>
    <s v="17400"/>
    <x v="88"/>
    <s v="Personnel"/>
    <s v="H "/>
    <x v="1"/>
    <x v="23"/>
    <s v="PSES High Prog21Duty46 S275"/>
    <x v="1"/>
    <s v="46"/>
    <n v="46"/>
    <m/>
    <s v="   "/>
    <n v="1"/>
    <n v="0.19489999999999999"/>
    <n v="0.19500000000000001"/>
    <x v="20"/>
  </r>
  <r>
    <s v="17400"/>
    <x v="88"/>
    <s v="Personnel"/>
    <s v="M "/>
    <x v="2"/>
    <x v="24"/>
    <s v="PSES Mid Prog21Duty46 S275"/>
    <x v="1"/>
    <s v="46"/>
    <n v="46"/>
    <m/>
    <s v="   "/>
    <n v="1"/>
    <n v="0.19489999999999999"/>
    <n v="0.19500000000000001"/>
    <x v="21"/>
  </r>
  <r>
    <s v="17400"/>
    <x v="88"/>
    <s v="Personnel"/>
    <s v="H "/>
    <x v="1"/>
    <x v="25"/>
    <s v="PSES High Prog01Duty47 S275"/>
    <x v="0"/>
    <s v="47"/>
    <n v="47"/>
    <m/>
    <s v="   "/>
    <n v="1.5"/>
    <n v="0.19489999999999999"/>
    <n v="0"/>
    <x v="22"/>
  </r>
  <r>
    <s v="17400"/>
    <x v="88"/>
    <s v="Personnel"/>
    <s v="M "/>
    <x v="2"/>
    <x v="34"/>
    <s v="PSES Mid Prog01Duty47 S275"/>
    <x v="0"/>
    <s v="47"/>
    <n v="47"/>
    <m/>
    <s v="   "/>
    <n v="0.5"/>
    <n v="0.19489999999999999"/>
    <n v="0"/>
    <x v="28"/>
  </r>
  <r>
    <s v="17400"/>
    <x v="88"/>
    <s v="Personnel"/>
    <s v="E "/>
    <x v="0"/>
    <x v="35"/>
    <s v="PSES Elem Prog21Duty48 S275"/>
    <x v="1"/>
    <s v="48"/>
    <n v="48"/>
    <m/>
    <s v="   "/>
    <n v="1.4"/>
    <n v="0.19489999999999999"/>
    <n v="0.27300000000000002"/>
    <x v="29"/>
  </r>
  <r>
    <s v="17400"/>
    <x v="88"/>
    <s v="Personnel"/>
    <s v="E "/>
    <x v="0"/>
    <x v="26"/>
    <s v="PSES Elem Prog21Duty49 S275"/>
    <x v="1"/>
    <s v="49"/>
    <n v="49"/>
    <m/>
    <s v="   "/>
    <n v="1.3240000000000001"/>
    <n v="0.19489999999999999"/>
    <n v="0.25800000000000001"/>
    <x v="23"/>
  </r>
  <r>
    <s v="17400"/>
    <x v="88"/>
    <s v="Personnel"/>
    <s v="H "/>
    <x v="1"/>
    <x v="55"/>
    <s v="PSES High Prog21Duty49 S275"/>
    <x v="1"/>
    <s v="49"/>
    <n v="49"/>
    <m/>
    <s v="   "/>
    <n v="1.476"/>
    <n v="0.19489999999999999"/>
    <n v="0.28799999999999998"/>
    <x v="37"/>
  </r>
  <r>
    <s v="17401"/>
    <x v="89"/>
    <s v="Personnel"/>
    <s v="H "/>
    <x v="1"/>
    <x v="1"/>
    <s v="PSES High Prog01Duty96 S275"/>
    <x v="0"/>
    <s v="24"/>
    <n v="96"/>
    <n v="24"/>
    <s v="   "/>
    <n v="1"/>
    <n v="0.2424"/>
    <n v="0"/>
    <x v="1"/>
  </r>
  <r>
    <s v="17401"/>
    <x v="89"/>
    <s v="Personnel"/>
    <s v="H "/>
    <x v="1"/>
    <x v="5"/>
    <s v="PSES High Prog01Act25 S275"/>
    <x v="0"/>
    <s v="25"/>
    <m/>
    <n v="25"/>
    <s v="   "/>
    <n v="32.567999999999998"/>
    <n v="0.2424"/>
    <n v="0"/>
    <x v="4"/>
  </r>
  <r>
    <s v="17401"/>
    <x v="89"/>
    <s v="Personnel"/>
    <s v="H "/>
    <x v="1"/>
    <x v="29"/>
    <s v="PSES High Prog21Act26 S275"/>
    <x v="1"/>
    <s v="26"/>
    <m/>
    <n v="26"/>
    <s v="   "/>
    <n v="12.262"/>
    <n v="0.2424"/>
    <n v="2.972"/>
    <x v="7"/>
  </r>
  <r>
    <s v="17401"/>
    <x v="89"/>
    <s v="Personnel"/>
    <s v="E "/>
    <x v="0"/>
    <x v="15"/>
    <s v="PSES Elem Prog01Duty42 S275"/>
    <x v="0"/>
    <s v="42"/>
    <n v="42"/>
    <m/>
    <s v="   "/>
    <n v="26.212"/>
    <n v="0.2424"/>
    <n v="0"/>
    <x v="12"/>
  </r>
  <r>
    <s v="17401"/>
    <x v="89"/>
    <s v="Personnel"/>
    <s v="H "/>
    <x v="1"/>
    <x v="16"/>
    <s v="PSES High Prog01Duty42 S275"/>
    <x v="0"/>
    <s v="42"/>
    <n v="42"/>
    <m/>
    <s v="   "/>
    <n v="23.736000000000001"/>
    <n v="0.2424"/>
    <n v="0"/>
    <x v="13"/>
  </r>
  <r>
    <s v="17401"/>
    <x v="89"/>
    <s v="Personnel"/>
    <s v="M "/>
    <x v="2"/>
    <x v="17"/>
    <s v="PSES Mid Prog01Duty42 S275"/>
    <x v="0"/>
    <s v="42"/>
    <n v="42"/>
    <m/>
    <s v="   "/>
    <n v="12.813000000000001"/>
    <n v="0.2424"/>
    <n v="0"/>
    <x v="14"/>
  </r>
  <r>
    <s v="17401"/>
    <x v="89"/>
    <s v="Personnel"/>
    <s v="E "/>
    <x v="0"/>
    <x v="18"/>
    <s v="PSES Elem Prog21Duty43 S275"/>
    <x v="1"/>
    <s v="43"/>
    <n v="43"/>
    <m/>
    <s v="   "/>
    <n v="16.210999999999999"/>
    <n v="0.2424"/>
    <n v="3.93"/>
    <x v="15"/>
  </r>
  <r>
    <s v="17401"/>
    <x v="89"/>
    <s v="Personnel"/>
    <s v="H "/>
    <x v="1"/>
    <x v="19"/>
    <s v="PSES High Prog21Duty43 S275"/>
    <x v="1"/>
    <s v="43"/>
    <n v="43"/>
    <m/>
    <s v="   "/>
    <n v="4.7"/>
    <n v="0.2424"/>
    <n v="1.139"/>
    <x v="16"/>
  </r>
  <r>
    <s v="17401"/>
    <x v="89"/>
    <s v="Personnel"/>
    <s v="M "/>
    <x v="2"/>
    <x v="31"/>
    <s v="PSES Mid Prog21Duty43 S275"/>
    <x v="1"/>
    <s v="43"/>
    <n v="43"/>
    <m/>
    <s v="   "/>
    <n v="1.55"/>
    <n v="0.2424"/>
    <n v="0.376"/>
    <x v="27"/>
  </r>
  <r>
    <s v="17401"/>
    <x v="89"/>
    <s v="Personnel"/>
    <s v="E "/>
    <x v="0"/>
    <x v="41"/>
    <s v="PSES Elem Prog21Duty44 S275"/>
    <x v="1"/>
    <s v="44"/>
    <n v="44"/>
    <m/>
    <s v="   "/>
    <n v="1"/>
    <n v="0.2424"/>
    <n v="0.24199999999999999"/>
    <x v="33"/>
  </r>
  <r>
    <s v="17401"/>
    <x v="89"/>
    <s v="Personnel"/>
    <s v="E "/>
    <x v="0"/>
    <x v="42"/>
    <s v="PSES Elem Prog01Duty44 S275"/>
    <x v="0"/>
    <s v="44"/>
    <n v="44"/>
    <m/>
    <s v="   "/>
    <n v="2.8"/>
    <n v="0.2424"/>
    <n v="0"/>
    <x v="33"/>
  </r>
  <r>
    <s v="17401"/>
    <x v="89"/>
    <s v="Personnel"/>
    <s v="H "/>
    <x v="1"/>
    <x v="43"/>
    <s v="PSES High Prog21Duty44 S275"/>
    <x v="1"/>
    <s v="44"/>
    <n v="44"/>
    <m/>
    <s v="   "/>
    <n v="0.5"/>
    <n v="0.2424"/>
    <n v="0.121"/>
    <x v="34"/>
  </r>
  <r>
    <s v="17401"/>
    <x v="89"/>
    <s v="Personnel"/>
    <s v="H "/>
    <x v="1"/>
    <x v="44"/>
    <s v="PSES High Prog01Duty44 S275"/>
    <x v="0"/>
    <s v="44"/>
    <n v="44"/>
    <m/>
    <s v="   "/>
    <n v="3"/>
    <n v="0.2424"/>
    <n v="0"/>
    <x v="34"/>
  </r>
  <r>
    <s v="17401"/>
    <x v="89"/>
    <s v="Personnel"/>
    <s v="M "/>
    <x v="2"/>
    <x v="45"/>
    <s v="PSES Mid Prog21Duty44 S275"/>
    <x v="1"/>
    <s v="44"/>
    <n v="44"/>
    <m/>
    <s v="   "/>
    <n v="0.5"/>
    <n v="0.2424"/>
    <n v="0.121"/>
    <x v="35"/>
  </r>
  <r>
    <s v="17401"/>
    <x v="89"/>
    <s v="Personnel"/>
    <s v="M "/>
    <x v="2"/>
    <x v="46"/>
    <s v="PSES Mid Prog01Duty44 S275"/>
    <x v="0"/>
    <s v="44"/>
    <n v="44"/>
    <m/>
    <s v="   "/>
    <n v="1"/>
    <n v="0.2424"/>
    <n v="0"/>
    <x v="35"/>
  </r>
  <r>
    <s v="17401"/>
    <x v="89"/>
    <s v="Personnel"/>
    <s v="E "/>
    <x v="0"/>
    <x v="20"/>
    <s v="PSES Elem Prog21Duty45 S275"/>
    <x v="1"/>
    <s v="45"/>
    <n v="45"/>
    <m/>
    <s v="   "/>
    <n v="34.770000000000003"/>
    <n v="0.2424"/>
    <n v="8.4280000000000008"/>
    <x v="17"/>
  </r>
  <r>
    <s v="17401"/>
    <x v="89"/>
    <s v="Personnel"/>
    <s v="H "/>
    <x v="1"/>
    <x v="21"/>
    <s v="PSES High Prog21Duty45 S275"/>
    <x v="1"/>
    <s v="45"/>
    <n v="45"/>
    <m/>
    <s v="   "/>
    <n v="5.4969999999999999"/>
    <n v="0.2424"/>
    <n v="1.3320000000000001"/>
    <x v="18"/>
  </r>
  <r>
    <s v="17401"/>
    <x v="89"/>
    <s v="Personnel"/>
    <s v="M "/>
    <x v="2"/>
    <x v="28"/>
    <s v="PSES Mid Prog21Duty45 S275"/>
    <x v="1"/>
    <s v="45"/>
    <n v="45"/>
    <m/>
    <s v="   "/>
    <n v="4.5810000000000004"/>
    <n v="0.2424"/>
    <n v="1.1100000000000001"/>
    <x v="25"/>
  </r>
  <r>
    <s v="17401"/>
    <x v="89"/>
    <s v="Personnel"/>
    <s v="E "/>
    <x v="0"/>
    <x v="22"/>
    <s v="PSES Elem Prog21Duty46 S275"/>
    <x v="1"/>
    <s v="46"/>
    <n v="46"/>
    <m/>
    <s v="   "/>
    <n v="12.369"/>
    <n v="0.2424"/>
    <n v="2.9980000000000002"/>
    <x v="19"/>
  </r>
  <r>
    <s v="17401"/>
    <x v="89"/>
    <s v="Personnel"/>
    <s v="E "/>
    <x v="0"/>
    <x v="48"/>
    <s v="PSES Elem Prog01Duty46 S275"/>
    <x v="0"/>
    <s v="46"/>
    <n v="46"/>
    <m/>
    <s v="   "/>
    <n v="0.16300000000000001"/>
    <n v="0.2424"/>
    <n v="0"/>
    <x v="19"/>
  </r>
  <r>
    <s v="17401"/>
    <x v="89"/>
    <s v="Personnel"/>
    <s v="H "/>
    <x v="1"/>
    <x v="23"/>
    <s v="PSES High Prog21Duty46 S275"/>
    <x v="1"/>
    <s v="46"/>
    <n v="46"/>
    <m/>
    <s v="   "/>
    <n v="5.6689999999999996"/>
    <n v="0.2424"/>
    <n v="1.3740000000000001"/>
    <x v="20"/>
  </r>
  <r>
    <s v="17401"/>
    <x v="89"/>
    <s v="Personnel"/>
    <s v="H "/>
    <x v="1"/>
    <x v="65"/>
    <s v="PSES High Prog01Duty46 S275"/>
    <x v="0"/>
    <s v="46"/>
    <n v="46"/>
    <m/>
    <s v="   "/>
    <n v="0.161"/>
    <n v="0.2424"/>
    <n v="0"/>
    <x v="20"/>
  </r>
  <r>
    <s v="17401"/>
    <x v="89"/>
    <s v="Personnel"/>
    <s v="M "/>
    <x v="2"/>
    <x v="24"/>
    <s v="PSES Mid Prog21Duty46 S275"/>
    <x v="1"/>
    <s v="46"/>
    <n v="46"/>
    <m/>
    <s v="   "/>
    <n v="3.7629999999999999"/>
    <n v="0.2424"/>
    <n v="0.91200000000000003"/>
    <x v="21"/>
  </r>
  <r>
    <s v="17401"/>
    <x v="89"/>
    <s v="Personnel"/>
    <s v="M "/>
    <x v="2"/>
    <x v="49"/>
    <s v="PSES Mid Prog01Duty46 S275"/>
    <x v="0"/>
    <s v="46"/>
    <n v="46"/>
    <m/>
    <s v="   "/>
    <n v="0.16300000000000001"/>
    <n v="0.2424"/>
    <n v="0"/>
    <x v="21"/>
  </r>
  <r>
    <s v="17401"/>
    <x v="89"/>
    <s v="Personnel"/>
    <s v="E "/>
    <x v="0"/>
    <x v="27"/>
    <s v="PSES Elem Prog01Duty47 S275"/>
    <x v="0"/>
    <s v="47"/>
    <n v="47"/>
    <m/>
    <s v="   "/>
    <n v="9.1999999999999993"/>
    <n v="0.2424"/>
    <n v="0"/>
    <x v="24"/>
  </r>
  <r>
    <s v="17401"/>
    <x v="89"/>
    <s v="Personnel"/>
    <s v="H "/>
    <x v="1"/>
    <x v="25"/>
    <s v="PSES High Prog01Duty47 S275"/>
    <x v="0"/>
    <s v="47"/>
    <n v="47"/>
    <m/>
    <s v="   "/>
    <n v="8.1059999999999999"/>
    <n v="0.2424"/>
    <n v="0"/>
    <x v="22"/>
  </r>
  <r>
    <s v="17401"/>
    <x v="89"/>
    <s v="Personnel"/>
    <s v="M "/>
    <x v="2"/>
    <x v="34"/>
    <s v="PSES Mid Prog01Duty47 S275"/>
    <x v="0"/>
    <s v="47"/>
    <n v="47"/>
    <m/>
    <s v="   "/>
    <n v="0.90600000000000003"/>
    <n v="0.2424"/>
    <n v="0"/>
    <x v="28"/>
  </r>
  <r>
    <s v="17401"/>
    <x v="89"/>
    <s v="Personnel"/>
    <s v="E "/>
    <x v="0"/>
    <x v="35"/>
    <s v="PSES Elem Prog21Duty48 S275"/>
    <x v="1"/>
    <s v="48"/>
    <n v="48"/>
    <m/>
    <s v="   "/>
    <n v="1.83"/>
    <n v="0.2424"/>
    <n v="0.44400000000000001"/>
    <x v="29"/>
  </r>
  <r>
    <s v="17401"/>
    <x v="89"/>
    <s v="Personnel"/>
    <s v="H "/>
    <x v="1"/>
    <x v="36"/>
    <s v="PSES High Prog21Duty48 S275"/>
    <x v="1"/>
    <s v="48"/>
    <n v="48"/>
    <m/>
    <s v="   "/>
    <n v="0.34"/>
    <n v="0.2424"/>
    <n v="8.2000000000000003E-2"/>
    <x v="30"/>
  </r>
  <r>
    <s v="17401"/>
    <x v="89"/>
    <s v="Personnel"/>
    <s v="M "/>
    <x v="2"/>
    <x v="37"/>
    <s v="PSES Mid Prog21Duty48 S275"/>
    <x v="1"/>
    <s v="48"/>
    <n v="48"/>
    <m/>
    <s v="   "/>
    <n v="0.33"/>
    <n v="0.2424"/>
    <n v="0.08"/>
    <x v="31"/>
  </r>
  <r>
    <s v="17401"/>
    <x v="89"/>
    <s v="Personnel"/>
    <s v="E "/>
    <x v="0"/>
    <x v="26"/>
    <s v="PSES Elem Prog21Duty49 S275"/>
    <x v="1"/>
    <s v="49"/>
    <n v="49"/>
    <m/>
    <s v="   "/>
    <n v="2"/>
    <n v="0.2424"/>
    <n v="0.48499999999999999"/>
    <x v="23"/>
  </r>
  <r>
    <s v="17401"/>
    <x v="89"/>
    <s v="Personnel"/>
    <s v="H "/>
    <x v="1"/>
    <x v="55"/>
    <s v="PSES High Prog21Duty49 S275"/>
    <x v="1"/>
    <s v="49"/>
    <n v="49"/>
    <m/>
    <s v="   "/>
    <n v="1.1439999999999999"/>
    <n v="0.2424"/>
    <n v="0.27700000000000002"/>
    <x v="37"/>
  </r>
  <r>
    <s v="17401"/>
    <x v="89"/>
    <s v="Personnel"/>
    <s v="M "/>
    <x v="2"/>
    <x v="50"/>
    <s v="PSES Mid Prog21Duty49 S275"/>
    <x v="1"/>
    <s v="49"/>
    <n v="49"/>
    <m/>
    <s v="   "/>
    <n v="0.57199999999999995"/>
    <n v="0.2424"/>
    <n v="0.13900000000000001"/>
    <x v="36"/>
  </r>
  <r>
    <s v="17402"/>
    <x v="90"/>
    <s v="Personnel"/>
    <s v="H "/>
    <x v="1"/>
    <x v="1"/>
    <s v="PSES High Prog01Duty96 S275"/>
    <x v="0"/>
    <s v="24"/>
    <n v="96"/>
    <n v="24"/>
    <s v="   "/>
    <n v="0.73799999999999999"/>
    <n v="0.2157"/>
    <n v="0"/>
    <x v="1"/>
  </r>
  <r>
    <s v="17402"/>
    <x v="90"/>
    <s v="Personnel"/>
    <s v="H "/>
    <x v="1"/>
    <x v="5"/>
    <s v="PSES High Prog01Act25 S275"/>
    <x v="0"/>
    <s v="25"/>
    <m/>
    <n v="25"/>
    <s v="   "/>
    <n v="1.58"/>
    <n v="0.2157"/>
    <n v="0"/>
    <x v="4"/>
  </r>
  <r>
    <s v="17402"/>
    <x v="90"/>
    <s v="Personnel"/>
    <s v="H "/>
    <x v="1"/>
    <x v="9"/>
    <s v="PSES High Prog01Act26 S275"/>
    <x v="0"/>
    <s v="26"/>
    <m/>
    <n v="26"/>
    <s v="   "/>
    <n v="0.49099999999999999"/>
    <n v="0.2157"/>
    <n v="0"/>
    <x v="7"/>
  </r>
  <r>
    <s v="17402"/>
    <x v="90"/>
    <s v="Personnel"/>
    <s v="H "/>
    <x v="1"/>
    <x v="16"/>
    <s v="PSES High Prog01Duty42 S275"/>
    <x v="0"/>
    <s v="42"/>
    <n v="42"/>
    <m/>
    <s v="   "/>
    <n v="2.3679999999999999"/>
    <n v="0.2157"/>
    <n v="0"/>
    <x v="13"/>
  </r>
  <r>
    <s v="17402"/>
    <x v="90"/>
    <s v="Personnel"/>
    <s v="M "/>
    <x v="2"/>
    <x v="17"/>
    <s v="PSES Mid Prog01Duty42 S275"/>
    <x v="0"/>
    <s v="42"/>
    <n v="42"/>
    <m/>
    <s v="   "/>
    <n v="1.08"/>
    <n v="0.2157"/>
    <n v="0"/>
    <x v="14"/>
  </r>
  <r>
    <s v="17402"/>
    <x v="90"/>
    <s v="Personnel"/>
    <s v="H "/>
    <x v="1"/>
    <x v="23"/>
    <s v="PSES High Prog21Duty46 S275"/>
    <x v="1"/>
    <s v="46"/>
    <n v="46"/>
    <m/>
    <s v="   "/>
    <n v="0.5"/>
    <n v="0.2157"/>
    <n v="0.108"/>
    <x v="20"/>
  </r>
  <r>
    <s v="17402"/>
    <x v="90"/>
    <s v="Personnel"/>
    <s v="M "/>
    <x v="2"/>
    <x v="24"/>
    <s v="PSES Mid Prog21Duty46 S275"/>
    <x v="1"/>
    <s v="46"/>
    <n v="46"/>
    <m/>
    <s v="   "/>
    <n v="0.5"/>
    <n v="0.2157"/>
    <n v="0.108"/>
    <x v="21"/>
  </r>
  <r>
    <s v="17402"/>
    <x v="90"/>
    <s v="Personnel"/>
    <s v="E "/>
    <x v="0"/>
    <x v="27"/>
    <s v="PSES Elem Prog01Duty47 S275"/>
    <x v="0"/>
    <s v="47"/>
    <n v="47"/>
    <m/>
    <s v="   "/>
    <n v="0.69"/>
    <n v="0.2157"/>
    <n v="0"/>
    <x v="24"/>
  </r>
  <r>
    <s v="17403"/>
    <x v="91"/>
    <s v="Personnel"/>
    <s v="H "/>
    <x v="1"/>
    <x v="4"/>
    <s v="PSES High Prog21Act25 S275"/>
    <x v="1"/>
    <s v="25"/>
    <m/>
    <n v="25"/>
    <s v="   "/>
    <n v="7.13"/>
    <n v="0.29559999999999997"/>
    <n v="2.1080000000000001"/>
    <x v="4"/>
  </r>
  <r>
    <s v="17403"/>
    <x v="91"/>
    <s v="Personnel"/>
    <s v="H "/>
    <x v="1"/>
    <x v="53"/>
    <s v="PSES High Prog97Act25 S275"/>
    <x v="2"/>
    <s v="25"/>
    <m/>
    <n v="25"/>
    <s v="   "/>
    <n v="0.16500000000000001"/>
    <n v="0.29559999999999997"/>
    <n v="0"/>
    <x v="4"/>
  </r>
  <r>
    <s v="17403"/>
    <x v="91"/>
    <s v="Personnel"/>
    <s v="H "/>
    <x v="1"/>
    <x v="5"/>
    <s v="PSES High Prog01Act25 S275"/>
    <x v="0"/>
    <s v="25"/>
    <m/>
    <n v="25"/>
    <s v="   "/>
    <n v="22.675999999999998"/>
    <n v="0.29559999999999997"/>
    <n v="0"/>
    <x v="4"/>
  </r>
  <r>
    <s v="17403"/>
    <x v="91"/>
    <s v="Personnel"/>
    <s v="H "/>
    <x v="1"/>
    <x v="29"/>
    <s v="PSES High Prog21Act26 S275"/>
    <x v="1"/>
    <s v="26"/>
    <m/>
    <n v="26"/>
    <s v="   "/>
    <n v="7.7279999999999998"/>
    <n v="0.29559999999999997"/>
    <n v="2.2839999999999998"/>
    <x v="7"/>
  </r>
  <r>
    <s v="17403"/>
    <x v="91"/>
    <s v="Personnel"/>
    <s v="H "/>
    <x v="1"/>
    <x v="9"/>
    <s v="PSES High Prog01Act26 S275"/>
    <x v="0"/>
    <s v="26"/>
    <m/>
    <n v="26"/>
    <s v="   "/>
    <n v="19.193999999999999"/>
    <n v="0.29559999999999997"/>
    <n v="0"/>
    <x v="7"/>
  </r>
  <r>
    <s v="17403"/>
    <x v="91"/>
    <s v="Personnel"/>
    <s v="H "/>
    <x v="1"/>
    <x v="54"/>
    <s v="PSES High Prog01Act35 S275"/>
    <x v="0"/>
    <s v="35"/>
    <m/>
    <n v="35"/>
    <s v="   "/>
    <n v="8.2059999999999995"/>
    <n v="0.29559999999999997"/>
    <n v="0"/>
    <x v="9"/>
  </r>
  <r>
    <s v="17403"/>
    <x v="91"/>
    <s v="Personnel"/>
    <s v="E "/>
    <x v="0"/>
    <x v="76"/>
    <s v="PSES Elem Prog21Duty42 S275"/>
    <x v="1"/>
    <s v="42"/>
    <n v="42"/>
    <m/>
    <s v="   "/>
    <n v="0.33300000000000002"/>
    <n v="0.29559999999999997"/>
    <n v="9.8000000000000004E-2"/>
    <x v="12"/>
  </r>
  <r>
    <s v="17403"/>
    <x v="91"/>
    <s v="Personnel"/>
    <s v="E "/>
    <x v="0"/>
    <x v="15"/>
    <s v="PSES Elem Prog01Duty42 S275"/>
    <x v="0"/>
    <s v="42"/>
    <n v="42"/>
    <m/>
    <s v="   "/>
    <n v="17.649999999999999"/>
    <n v="0.29559999999999997"/>
    <n v="0"/>
    <x v="12"/>
  </r>
  <r>
    <s v="17403"/>
    <x v="91"/>
    <s v="Personnel"/>
    <s v="H "/>
    <x v="1"/>
    <x v="77"/>
    <s v="PSES High Prog21Duty42 S275"/>
    <x v="1"/>
    <s v="42"/>
    <n v="42"/>
    <m/>
    <s v="   "/>
    <n v="0.33300000000000002"/>
    <n v="0.29559999999999997"/>
    <n v="9.8000000000000004E-2"/>
    <x v="13"/>
  </r>
  <r>
    <s v="17403"/>
    <x v="91"/>
    <s v="Personnel"/>
    <s v="H "/>
    <x v="1"/>
    <x v="16"/>
    <s v="PSES High Prog01Duty42 S275"/>
    <x v="0"/>
    <s v="42"/>
    <n v="42"/>
    <m/>
    <s v="   "/>
    <n v="14"/>
    <n v="0.29559999999999997"/>
    <n v="0"/>
    <x v="13"/>
  </r>
  <r>
    <s v="17403"/>
    <x v="91"/>
    <s v="Personnel"/>
    <s v="M "/>
    <x v="2"/>
    <x v="75"/>
    <s v="PSES Mid Prog21Duty42 S275"/>
    <x v="1"/>
    <s v="42"/>
    <n v="42"/>
    <m/>
    <s v="   "/>
    <n v="0.33400000000000002"/>
    <n v="0.29559999999999997"/>
    <n v="9.9000000000000005E-2"/>
    <x v="14"/>
  </r>
  <r>
    <s v="17403"/>
    <x v="91"/>
    <s v="Personnel"/>
    <s v="M "/>
    <x v="2"/>
    <x v="17"/>
    <s v="PSES Mid Prog01Duty42 S275"/>
    <x v="0"/>
    <s v="42"/>
    <n v="42"/>
    <m/>
    <s v="   "/>
    <n v="5.35"/>
    <n v="0.29559999999999997"/>
    <n v="0"/>
    <x v="14"/>
  </r>
  <r>
    <s v="17403"/>
    <x v="91"/>
    <s v="Personnel"/>
    <s v="E "/>
    <x v="0"/>
    <x v="18"/>
    <s v="PSES Elem Prog21Duty43 S275"/>
    <x v="1"/>
    <s v="43"/>
    <n v="43"/>
    <m/>
    <s v="   "/>
    <n v="13.087"/>
    <n v="0.29559999999999997"/>
    <n v="3.8690000000000002"/>
    <x v="15"/>
  </r>
  <r>
    <s v="17403"/>
    <x v="91"/>
    <s v="Personnel"/>
    <s v="H "/>
    <x v="1"/>
    <x v="19"/>
    <s v="PSES High Prog21Duty43 S275"/>
    <x v="1"/>
    <s v="43"/>
    <n v="43"/>
    <m/>
    <s v="   "/>
    <n v="2.33"/>
    <n v="0.29559999999999997"/>
    <n v="0.68899999999999995"/>
    <x v="16"/>
  </r>
  <r>
    <s v="17403"/>
    <x v="91"/>
    <s v="Personnel"/>
    <s v="M "/>
    <x v="2"/>
    <x v="31"/>
    <s v="PSES Mid Prog21Duty43 S275"/>
    <x v="1"/>
    <s v="43"/>
    <n v="43"/>
    <m/>
    <s v="   "/>
    <n v="2.343"/>
    <n v="0.29559999999999997"/>
    <n v="0.69299999999999995"/>
    <x v="27"/>
  </r>
  <r>
    <s v="17403"/>
    <x v="91"/>
    <s v="Personnel"/>
    <s v="E "/>
    <x v="0"/>
    <x v="20"/>
    <s v="PSES Elem Prog21Duty45 S275"/>
    <x v="1"/>
    <s v="45"/>
    <n v="45"/>
    <m/>
    <s v="   "/>
    <n v="16.856999999999999"/>
    <n v="0.29559999999999997"/>
    <n v="4.9829999999999997"/>
    <x v="17"/>
  </r>
  <r>
    <s v="17403"/>
    <x v="91"/>
    <s v="Personnel"/>
    <s v="E "/>
    <x v="0"/>
    <x v="47"/>
    <s v="PSES Elem Prog01Duty45 S275"/>
    <x v="0"/>
    <s v="45"/>
    <n v="45"/>
    <m/>
    <s v="   "/>
    <n v="0.4"/>
    <n v="0.29559999999999997"/>
    <n v="0"/>
    <x v="17"/>
  </r>
  <r>
    <s v="17403"/>
    <x v="91"/>
    <s v="Personnel"/>
    <s v="H "/>
    <x v="1"/>
    <x v="21"/>
    <s v="PSES High Prog21Duty45 S275"/>
    <x v="1"/>
    <s v="45"/>
    <n v="45"/>
    <m/>
    <s v="   "/>
    <n v="4"/>
    <n v="0.29559999999999997"/>
    <n v="1.1819999999999999"/>
    <x v="18"/>
  </r>
  <r>
    <s v="17403"/>
    <x v="91"/>
    <s v="Personnel"/>
    <s v="M "/>
    <x v="2"/>
    <x v="28"/>
    <s v="PSES Mid Prog21Duty45 S275"/>
    <x v="1"/>
    <s v="45"/>
    <n v="45"/>
    <m/>
    <s v="   "/>
    <n v="3.996"/>
    <n v="0.29559999999999997"/>
    <n v="1.181"/>
    <x v="25"/>
  </r>
  <r>
    <s v="17403"/>
    <x v="91"/>
    <s v="Personnel"/>
    <s v="E "/>
    <x v="0"/>
    <x v="22"/>
    <s v="PSES Elem Prog21Duty46 S275"/>
    <x v="1"/>
    <s v="46"/>
    <n v="46"/>
    <m/>
    <s v="   "/>
    <n v="7.8"/>
    <n v="0.29559999999999997"/>
    <n v="2.306"/>
    <x v="19"/>
  </r>
  <r>
    <s v="17403"/>
    <x v="91"/>
    <s v="Personnel"/>
    <s v="H "/>
    <x v="1"/>
    <x v="23"/>
    <s v="PSES High Prog21Duty46 S275"/>
    <x v="1"/>
    <s v="46"/>
    <n v="46"/>
    <m/>
    <s v="   "/>
    <n v="3.7"/>
    <n v="0.29559999999999997"/>
    <n v="1.0940000000000001"/>
    <x v="20"/>
  </r>
  <r>
    <s v="17403"/>
    <x v="91"/>
    <s v="Personnel"/>
    <s v="M "/>
    <x v="2"/>
    <x v="24"/>
    <s v="PSES Mid Prog21Duty46 S275"/>
    <x v="1"/>
    <s v="46"/>
    <n v="46"/>
    <m/>
    <s v="   "/>
    <n v="3.8"/>
    <n v="0.29559999999999997"/>
    <n v="1.123"/>
    <x v="21"/>
  </r>
  <r>
    <s v="17403"/>
    <x v="91"/>
    <s v="Personnel"/>
    <s v="E "/>
    <x v="0"/>
    <x v="27"/>
    <s v="PSES Elem Prog01Duty47 S275"/>
    <x v="0"/>
    <s v="47"/>
    <n v="47"/>
    <m/>
    <s v="   "/>
    <n v="6.7389999999999999"/>
    <n v="0.29559999999999997"/>
    <n v="0"/>
    <x v="24"/>
  </r>
  <r>
    <s v="17403"/>
    <x v="91"/>
    <s v="Personnel"/>
    <s v="H "/>
    <x v="1"/>
    <x v="25"/>
    <s v="PSES High Prog01Duty47 S275"/>
    <x v="0"/>
    <s v="47"/>
    <n v="47"/>
    <m/>
    <s v="   "/>
    <n v="3.8780000000000001"/>
    <n v="0.29559999999999997"/>
    <n v="0"/>
    <x v="22"/>
  </r>
  <r>
    <s v="17403"/>
    <x v="91"/>
    <s v="Personnel"/>
    <s v="M "/>
    <x v="2"/>
    <x v="34"/>
    <s v="PSES Mid Prog01Duty47 S275"/>
    <x v="0"/>
    <s v="47"/>
    <n v="47"/>
    <m/>
    <s v="   "/>
    <n v="3.2"/>
    <n v="0.29559999999999997"/>
    <n v="0"/>
    <x v="28"/>
  </r>
  <r>
    <s v="17403"/>
    <x v="91"/>
    <s v="Personnel"/>
    <s v="E "/>
    <x v="0"/>
    <x v="35"/>
    <s v="PSES Elem Prog21Duty48 S275"/>
    <x v="1"/>
    <s v="48"/>
    <n v="48"/>
    <m/>
    <s v="   "/>
    <n v="3.548"/>
    <n v="0.29559999999999997"/>
    <n v="1.0489999999999999"/>
    <x v="29"/>
  </r>
  <r>
    <s v="17403"/>
    <x v="91"/>
    <s v="Personnel"/>
    <s v="H "/>
    <x v="1"/>
    <x v="36"/>
    <s v="PSES High Prog21Duty48 S275"/>
    <x v="1"/>
    <s v="48"/>
    <n v="48"/>
    <m/>
    <s v="   "/>
    <n v="0.9"/>
    <n v="0.29559999999999997"/>
    <n v="0.26600000000000001"/>
    <x v="30"/>
  </r>
  <r>
    <s v="17403"/>
    <x v="91"/>
    <s v="Personnel"/>
    <s v="M "/>
    <x v="2"/>
    <x v="37"/>
    <s v="PSES Mid Prog21Duty48 S275"/>
    <x v="1"/>
    <s v="48"/>
    <n v="48"/>
    <m/>
    <s v="   "/>
    <n v="0.753"/>
    <n v="0.29559999999999997"/>
    <n v="0.223"/>
    <x v="31"/>
  </r>
  <r>
    <s v="17403"/>
    <x v="91"/>
    <s v="Personnel"/>
    <m/>
    <x v="0"/>
    <x v="78"/>
    <s v="PSES Elem Prog09Duty35 S275"/>
    <x v="3"/>
    <s v="35"/>
    <n v="99"/>
    <n v="35"/>
    <m/>
    <n v="0.67700000000000005"/>
    <n v="0.29559999999999997"/>
    <n v="0"/>
    <x v="43"/>
  </r>
  <r>
    <s v="17404"/>
    <x v="92"/>
    <s v="Personnel"/>
    <s v="H "/>
    <x v="1"/>
    <x v="5"/>
    <s v="PSES High Prog01Act25 S275"/>
    <x v="0"/>
    <s v="25"/>
    <m/>
    <n v="25"/>
    <s v="   "/>
    <n v="1"/>
    <n v="0.1133"/>
    <n v="0"/>
    <x v="4"/>
  </r>
  <r>
    <s v="17404"/>
    <x v="92"/>
    <s v="Personnel"/>
    <s v="H "/>
    <x v="1"/>
    <x v="9"/>
    <s v="PSES High Prog01Act26 S275"/>
    <x v="0"/>
    <s v="26"/>
    <m/>
    <n v="26"/>
    <s v="   "/>
    <n v="0.435"/>
    <n v="0.1133"/>
    <n v="0"/>
    <x v="7"/>
  </r>
  <r>
    <s v="17404"/>
    <x v="92"/>
    <s v="Personnel"/>
    <s v="H "/>
    <x v="1"/>
    <x v="16"/>
    <s v="PSES High Prog01Duty42 S275"/>
    <x v="0"/>
    <s v="42"/>
    <n v="42"/>
    <m/>
    <s v="   "/>
    <n v="1"/>
    <n v="0.1133"/>
    <n v="0"/>
    <x v="13"/>
  </r>
  <r>
    <s v="17405"/>
    <x v="93"/>
    <s v="Personnel"/>
    <s v="H "/>
    <x v="1"/>
    <x v="1"/>
    <s v="PSES High Prog01Duty96 S275"/>
    <x v="0"/>
    <s v="24"/>
    <n v="96"/>
    <n v="24"/>
    <s v="   "/>
    <n v="9.3469999999999995"/>
    <n v="0.21929999999999999"/>
    <n v="0"/>
    <x v="1"/>
  </r>
  <r>
    <s v="17405"/>
    <x v="93"/>
    <s v="Personnel"/>
    <s v="H "/>
    <x v="1"/>
    <x v="5"/>
    <s v="PSES High Prog01Act25 S275"/>
    <x v="0"/>
    <s v="25"/>
    <m/>
    <n v="25"/>
    <s v="   "/>
    <n v="33.963000000000001"/>
    <n v="0.21929999999999999"/>
    <n v="0"/>
    <x v="4"/>
  </r>
  <r>
    <s v="17405"/>
    <x v="93"/>
    <s v="Personnel"/>
    <s v="H "/>
    <x v="1"/>
    <x v="29"/>
    <s v="PSES High Prog21Act26 S275"/>
    <x v="1"/>
    <s v="26"/>
    <m/>
    <n v="26"/>
    <s v="   "/>
    <n v="21.678000000000001"/>
    <n v="0.21929999999999999"/>
    <n v="4.7539999999999996"/>
    <x v="7"/>
  </r>
  <r>
    <s v="17405"/>
    <x v="93"/>
    <s v="Personnel"/>
    <s v="H "/>
    <x v="1"/>
    <x v="9"/>
    <s v="PSES High Prog01Act26 S275"/>
    <x v="0"/>
    <s v="26"/>
    <m/>
    <n v="26"/>
    <s v="   "/>
    <n v="3.5089999999999999"/>
    <n v="0.21929999999999999"/>
    <n v="0"/>
    <x v="7"/>
  </r>
  <r>
    <s v="17405"/>
    <x v="93"/>
    <s v="Personnel"/>
    <s v="E "/>
    <x v="0"/>
    <x v="15"/>
    <s v="PSES Elem Prog01Duty42 S275"/>
    <x v="0"/>
    <s v="42"/>
    <n v="42"/>
    <m/>
    <s v="   "/>
    <n v="29.792999999999999"/>
    <n v="0.21929999999999999"/>
    <n v="0"/>
    <x v="12"/>
  </r>
  <r>
    <s v="17405"/>
    <x v="93"/>
    <s v="Personnel"/>
    <s v="H "/>
    <x v="1"/>
    <x v="16"/>
    <s v="PSES High Prog01Duty42 S275"/>
    <x v="0"/>
    <s v="42"/>
    <n v="42"/>
    <m/>
    <s v="   "/>
    <n v="29.756"/>
    <n v="0.21929999999999999"/>
    <n v="0"/>
    <x v="13"/>
  </r>
  <r>
    <s v="17405"/>
    <x v="93"/>
    <s v="Personnel"/>
    <s v="M "/>
    <x v="2"/>
    <x v="17"/>
    <s v="PSES Mid Prog01Duty42 S275"/>
    <x v="0"/>
    <s v="42"/>
    <n v="42"/>
    <m/>
    <s v="   "/>
    <n v="12.071"/>
    <n v="0.21929999999999999"/>
    <n v="0"/>
    <x v="14"/>
  </r>
  <r>
    <s v="17405"/>
    <x v="93"/>
    <s v="Personnel"/>
    <s v="E "/>
    <x v="0"/>
    <x v="18"/>
    <s v="PSES Elem Prog21Duty43 S275"/>
    <x v="1"/>
    <s v="43"/>
    <n v="43"/>
    <m/>
    <s v="   "/>
    <n v="6.72"/>
    <n v="0.21929999999999999"/>
    <n v="1.474"/>
    <x v="15"/>
  </r>
  <r>
    <s v="17405"/>
    <x v="93"/>
    <s v="Personnel"/>
    <s v="H "/>
    <x v="1"/>
    <x v="19"/>
    <s v="PSES High Prog21Duty43 S275"/>
    <x v="1"/>
    <s v="43"/>
    <n v="43"/>
    <m/>
    <s v="   "/>
    <n v="5.04"/>
    <n v="0.21929999999999999"/>
    <n v="1.105"/>
    <x v="16"/>
  </r>
  <r>
    <s v="17405"/>
    <x v="93"/>
    <s v="Personnel"/>
    <s v="M "/>
    <x v="2"/>
    <x v="31"/>
    <s v="PSES Mid Prog21Duty43 S275"/>
    <x v="1"/>
    <s v="43"/>
    <n v="43"/>
    <m/>
    <s v="   "/>
    <n v="2.2400000000000002"/>
    <n v="0.21929999999999999"/>
    <n v="0.49099999999999999"/>
    <x v="27"/>
  </r>
  <r>
    <s v="17405"/>
    <x v="93"/>
    <s v="Personnel"/>
    <s v="E "/>
    <x v="0"/>
    <x v="41"/>
    <s v="PSES Elem Prog21Duty44 S275"/>
    <x v="1"/>
    <s v="44"/>
    <n v="44"/>
    <m/>
    <s v="   "/>
    <n v="5.2320000000000002"/>
    <n v="0.21929999999999999"/>
    <n v="1.147"/>
    <x v="33"/>
  </r>
  <r>
    <s v="17405"/>
    <x v="93"/>
    <s v="Personnel"/>
    <s v="E "/>
    <x v="0"/>
    <x v="42"/>
    <s v="PSES Elem Prog01Duty44 S275"/>
    <x v="0"/>
    <s v="44"/>
    <n v="44"/>
    <m/>
    <s v="   "/>
    <n v="0.48"/>
    <n v="0.21929999999999999"/>
    <n v="0"/>
    <x v="33"/>
  </r>
  <r>
    <s v="17405"/>
    <x v="93"/>
    <s v="Personnel"/>
    <s v="H "/>
    <x v="1"/>
    <x v="43"/>
    <s v="PSES High Prog21Duty44 S275"/>
    <x v="1"/>
    <s v="44"/>
    <n v="44"/>
    <m/>
    <s v="   "/>
    <n v="3.9239999999999999"/>
    <n v="0.21929999999999999"/>
    <n v="0.86099999999999999"/>
    <x v="34"/>
  </r>
  <r>
    <s v="17405"/>
    <x v="93"/>
    <s v="Personnel"/>
    <s v="H "/>
    <x v="1"/>
    <x v="44"/>
    <s v="PSES High Prog01Duty44 S275"/>
    <x v="0"/>
    <s v="44"/>
    <n v="44"/>
    <m/>
    <s v="   "/>
    <n v="0.36"/>
    <n v="0.21929999999999999"/>
    <n v="0"/>
    <x v="34"/>
  </r>
  <r>
    <s v="17405"/>
    <x v="93"/>
    <s v="Personnel"/>
    <s v="M "/>
    <x v="2"/>
    <x v="45"/>
    <s v="PSES Mid Prog21Duty44 S275"/>
    <x v="1"/>
    <s v="44"/>
    <n v="44"/>
    <m/>
    <s v="   "/>
    <n v="1.744"/>
    <n v="0.21929999999999999"/>
    <n v="0.38200000000000001"/>
    <x v="35"/>
  </r>
  <r>
    <s v="17405"/>
    <x v="93"/>
    <s v="Personnel"/>
    <s v="M "/>
    <x v="2"/>
    <x v="46"/>
    <s v="PSES Mid Prog01Duty44 S275"/>
    <x v="0"/>
    <s v="44"/>
    <n v="44"/>
    <m/>
    <s v="   "/>
    <n v="0.16"/>
    <n v="0.21929999999999999"/>
    <n v="0"/>
    <x v="35"/>
  </r>
  <r>
    <s v="17405"/>
    <x v="93"/>
    <s v="Personnel"/>
    <s v="E "/>
    <x v="0"/>
    <x v="20"/>
    <s v="PSES Elem Prog21Duty45 S275"/>
    <x v="1"/>
    <s v="45"/>
    <n v="45"/>
    <m/>
    <s v="   "/>
    <n v="16.416"/>
    <n v="0.21929999999999999"/>
    <n v="3.6"/>
    <x v="17"/>
  </r>
  <r>
    <s v="17405"/>
    <x v="93"/>
    <s v="Personnel"/>
    <s v="H "/>
    <x v="1"/>
    <x v="21"/>
    <s v="PSES High Prog21Duty45 S275"/>
    <x v="1"/>
    <s v="45"/>
    <n v="45"/>
    <m/>
    <s v="   "/>
    <n v="12.311999999999999"/>
    <n v="0.21929999999999999"/>
    <n v="2.7"/>
    <x v="18"/>
  </r>
  <r>
    <s v="17405"/>
    <x v="93"/>
    <s v="Personnel"/>
    <s v="M "/>
    <x v="2"/>
    <x v="28"/>
    <s v="PSES Mid Prog21Duty45 S275"/>
    <x v="1"/>
    <s v="45"/>
    <n v="45"/>
    <m/>
    <s v="   "/>
    <n v="5.4720000000000004"/>
    <n v="0.21929999999999999"/>
    <n v="1.2"/>
    <x v="25"/>
  </r>
  <r>
    <s v="17405"/>
    <x v="93"/>
    <s v="Personnel"/>
    <s v="E "/>
    <x v="0"/>
    <x v="22"/>
    <s v="PSES Elem Prog21Duty46 S275"/>
    <x v="1"/>
    <s v="46"/>
    <n v="46"/>
    <m/>
    <s v="   "/>
    <n v="12.48"/>
    <n v="0.21929999999999999"/>
    <n v="2.7370000000000001"/>
    <x v="19"/>
  </r>
  <r>
    <s v="17405"/>
    <x v="93"/>
    <s v="Personnel"/>
    <s v="H "/>
    <x v="1"/>
    <x v="23"/>
    <s v="PSES High Prog21Duty46 S275"/>
    <x v="1"/>
    <s v="46"/>
    <n v="46"/>
    <m/>
    <s v="   "/>
    <n v="9.36"/>
    <n v="0.21929999999999999"/>
    <n v="2.0529999999999999"/>
    <x v="20"/>
  </r>
  <r>
    <s v="17405"/>
    <x v="93"/>
    <s v="Personnel"/>
    <s v="M "/>
    <x v="2"/>
    <x v="24"/>
    <s v="PSES Mid Prog21Duty46 S275"/>
    <x v="1"/>
    <s v="46"/>
    <n v="46"/>
    <m/>
    <s v="   "/>
    <n v="4.16"/>
    <n v="0.21929999999999999"/>
    <n v="0.91200000000000003"/>
    <x v="21"/>
  </r>
  <r>
    <s v="17405"/>
    <x v="93"/>
    <s v="Personnel"/>
    <s v="E "/>
    <x v="0"/>
    <x v="32"/>
    <s v="PSES Elem Prog21Duty47 S275"/>
    <x v="1"/>
    <s v="47"/>
    <n v="47"/>
    <m/>
    <s v="   "/>
    <n v="0.3"/>
    <n v="0.21929999999999999"/>
    <n v="6.6000000000000003E-2"/>
    <x v="24"/>
  </r>
  <r>
    <s v="17405"/>
    <x v="93"/>
    <s v="Personnel"/>
    <s v="E "/>
    <x v="0"/>
    <x v="27"/>
    <s v="PSES Elem Prog01Duty47 S275"/>
    <x v="0"/>
    <s v="47"/>
    <n v="47"/>
    <m/>
    <s v="   "/>
    <n v="8.7040000000000006"/>
    <n v="0.21929999999999999"/>
    <n v="0"/>
    <x v="24"/>
  </r>
  <r>
    <s v="17405"/>
    <x v="93"/>
    <s v="Personnel"/>
    <s v="H "/>
    <x v="1"/>
    <x v="25"/>
    <s v="PSES High Prog01Duty47 S275"/>
    <x v="0"/>
    <s v="47"/>
    <n v="47"/>
    <m/>
    <s v="   "/>
    <n v="5.5179999999999998"/>
    <n v="0.21929999999999999"/>
    <n v="0"/>
    <x v="22"/>
  </r>
  <r>
    <s v="17405"/>
    <x v="93"/>
    <s v="Personnel"/>
    <s v="M "/>
    <x v="2"/>
    <x v="34"/>
    <s v="PSES Mid Prog01Duty47 S275"/>
    <x v="0"/>
    <s v="47"/>
    <n v="47"/>
    <m/>
    <s v="   "/>
    <n v="3.4780000000000002"/>
    <n v="0.21929999999999999"/>
    <n v="0"/>
    <x v="28"/>
  </r>
  <r>
    <s v="17405"/>
    <x v="93"/>
    <s v="Personnel"/>
    <s v="E "/>
    <x v="0"/>
    <x v="35"/>
    <s v="PSES Elem Prog21Duty48 S275"/>
    <x v="1"/>
    <s v="48"/>
    <n v="48"/>
    <m/>
    <s v="   "/>
    <n v="2.6880000000000002"/>
    <n v="0.21929999999999999"/>
    <n v="0.58899999999999997"/>
    <x v="29"/>
  </r>
  <r>
    <s v="17405"/>
    <x v="93"/>
    <s v="Personnel"/>
    <s v="H "/>
    <x v="1"/>
    <x v="36"/>
    <s v="PSES High Prog21Duty48 S275"/>
    <x v="1"/>
    <s v="48"/>
    <n v="48"/>
    <m/>
    <s v="   "/>
    <n v="2.016"/>
    <n v="0.21929999999999999"/>
    <n v="0.442"/>
    <x v="30"/>
  </r>
  <r>
    <s v="17405"/>
    <x v="93"/>
    <s v="Personnel"/>
    <s v="M "/>
    <x v="2"/>
    <x v="37"/>
    <s v="PSES Mid Prog21Duty48 S275"/>
    <x v="1"/>
    <s v="48"/>
    <n v="48"/>
    <m/>
    <s v="   "/>
    <n v="0.89600000000000002"/>
    <n v="0.21929999999999999"/>
    <n v="0.19600000000000001"/>
    <x v="31"/>
  </r>
  <r>
    <s v="17405"/>
    <x v="93"/>
    <s v="Personnel"/>
    <s v="E "/>
    <x v="0"/>
    <x v="26"/>
    <s v="PSES Elem Prog21Duty49 S275"/>
    <x v="1"/>
    <s v="49"/>
    <n v="49"/>
    <m/>
    <s v="   "/>
    <n v="2.4"/>
    <n v="0.21929999999999999"/>
    <n v="0.52600000000000002"/>
    <x v="23"/>
  </r>
  <r>
    <s v="17405"/>
    <x v="93"/>
    <s v="Personnel"/>
    <s v="H "/>
    <x v="1"/>
    <x v="55"/>
    <s v="PSES High Prog21Duty49 S275"/>
    <x v="1"/>
    <s v="49"/>
    <n v="49"/>
    <m/>
    <s v="   "/>
    <n v="1.8"/>
    <n v="0.21929999999999999"/>
    <n v="0.39500000000000002"/>
    <x v="37"/>
  </r>
  <r>
    <s v="17405"/>
    <x v="93"/>
    <s v="Personnel"/>
    <s v="M "/>
    <x v="2"/>
    <x v="50"/>
    <s v="PSES Mid Prog21Duty49 S275"/>
    <x v="1"/>
    <s v="49"/>
    <n v="49"/>
    <m/>
    <s v="   "/>
    <n v="0.8"/>
    <n v="0.21929999999999999"/>
    <n v="0.17499999999999999"/>
    <x v="36"/>
  </r>
  <r>
    <s v="17406"/>
    <x v="94"/>
    <s v="Personnel"/>
    <s v="H "/>
    <x v="1"/>
    <x v="9"/>
    <s v="PSES High Prog01Act26 S275"/>
    <x v="0"/>
    <s v="26"/>
    <m/>
    <n v="26"/>
    <s v="   "/>
    <n v="1.929"/>
    <n v="0.26540000000000002"/>
    <n v="0"/>
    <x v="7"/>
  </r>
  <r>
    <s v="17406"/>
    <x v="94"/>
    <s v="Personnel"/>
    <s v="H "/>
    <x v="1"/>
    <x v="54"/>
    <s v="PSES High Prog01Act35 S275"/>
    <x v="0"/>
    <s v="35"/>
    <m/>
    <n v="35"/>
    <s v="   "/>
    <n v="2.2050000000000001"/>
    <n v="0.26540000000000002"/>
    <n v="0"/>
    <x v="9"/>
  </r>
  <r>
    <s v="17406"/>
    <x v="94"/>
    <s v="Personnel"/>
    <s v="E "/>
    <x v="0"/>
    <x v="15"/>
    <s v="PSES Elem Prog01Duty42 S275"/>
    <x v="0"/>
    <s v="42"/>
    <n v="42"/>
    <m/>
    <s v="   "/>
    <n v="0.34"/>
    <n v="0.26540000000000002"/>
    <n v="0"/>
    <x v="12"/>
  </r>
  <r>
    <s v="17406"/>
    <x v="94"/>
    <s v="Personnel"/>
    <s v="H "/>
    <x v="1"/>
    <x v="16"/>
    <s v="PSES High Prog01Duty42 S275"/>
    <x v="0"/>
    <s v="42"/>
    <n v="42"/>
    <m/>
    <s v="   "/>
    <n v="3.5"/>
    <n v="0.26540000000000002"/>
    <n v="0"/>
    <x v="13"/>
  </r>
  <r>
    <s v="17406"/>
    <x v="94"/>
    <s v="Personnel"/>
    <s v="M "/>
    <x v="2"/>
    <x v="17"/>
    <s v="PSES Mid Prog01Duty42 S275"/>
    <x v="0"/>
    <s v="42"/>
    <n v="42"/>
    <m/>
    <s v="   "/>
    <n v="0.68200000000000005"/>
    <n v="0.26540000000000002"/>
    <n v="0"/>
    <x v="14"/>
  </r>
  <r>
    <s v="17406"/>
    <x v="94"/>
    <s v="Personnel"/>
    <s v="E "/>
    <x v="0"/>
    <x v="18"/>
    <s v="PSES Elem Prog21Duty43 S275"/>
    <x v="1"/>
    <s v="43"/>
    <n v="43"/>
    <m/>
    <s v="   "/>
    <n v="0.33400000000000002"/>
    <n v="0.26540000000000002"/>
    <n v="8.8999999999999996E-2"/>
    <x v="15"/>
  </r>
  <r>
    <s v="17406"/>
    <x v="94"/>
    <s v="Personnel"/>
    <s v="H "/>
    <x v="1"/>
    <x v="19"/>
    <s v="PSES High Prog21Duty43 S275"/>
    <x v="1"/>
    <s v="43"/>
    <n v="43"/>
    <m/>
    <s v="   "/>
    <n v="1"/>
    <n v="0.26540000000000002"/>
    <n v="0.26500000000000001"/>
    <x v="16"/>
  </r>
  <r>
    <s v="17406"/>
    <x v="94"/>
    <s v="Personnel"/>
    <s v="M "/>
    <x v="2"/>
    <x v="31"/>
    <s v="PSES Mid Prog21Duty43 S275"/>
    <x v="1"/>
    <s v="43"/>
    <n v="43"/>
    <m/>
    <s v="   "/>
    <n v="0.66600000000000004"/>
    <n v="0.26540000000000002"/>
    <n v="0.17699999999999999"/>
    <x v="27"/>
  </r>
  <r>
    <s v="17406"/>
    <x v="94"/>
    <s v="Personnel"/>
    <s v="E "/>
    <x v="0"/>
    <x v="42"/>
    <s v="PSES Elem Prog01Duty44 S275"/>
    <x v="0"/>
    <s v="44"/>
    <n v="44"/>
    <m/>
    <s v="   "/>
    <n v="3"/>
    <n v="0.26540000000000002"/>
    <n v="0"/>
    <x v="33"/>
  </r>
  <r>
    <s v="17406"/>
    <x v="94"/>
    <s v="Personnel"/>
    <s v="E "/>
    <x v="0"/>
    <x v="20"/>
    <s v="PSES Elem Prog21Duty45 S275"/>
    <x v="1"/>
    <s v="45"/>
    <n v="45"/>
    <m/>
    <s v="   "/>
    <n v="3.1669999999999998"/>
    <n v="0.26540000000000002"/>
    <n v="0.84099999999999997"/>
    <x v="17"/>
  </r>
  <r>
    <s v="17406"/>
    <x v="94"/>
    <s v="Personnel"/>
    <s v="H "/>
    <x v="1"/>
    <x v="21"/>
    <s v="PSES High Prog21Duty45 S275"/>
    <x v="1"/>
    <s v="45"/>
    <n v="45"/>
    <m/>
    <s v="   "/>
    <n v="1"/>
    <n v="0.26540000000000002"/>
    <n v="0.26500000000000001"/>
    <x v="18"/>
  </r>
  <r>
    <s v="17406"/>
    <x v="94"/>
    <s v="Personnel"/>
    <s v="M "/>
    <x v="2"/>
    <x v="28"/>
    <s v="PSES Mid Prog21Duty45 S275"/>
    <x v="1"/>
    <s v="45"/>
    <n v="45"/>
    <m/>
    <s v="   "/>
    <n v="0.83299999999999996"/>
    <n v="0.26540000000000002"/>
    <n v="0.221"/>
    <x v="25"/>
  </r>
  <r>
    <s v="17406"/>
    <x v="94"/>
    <s v="Personnel"/>
    <s v="E "/>
    <x v="0"/>
    <x v="22"/>
    <s v="PSES Elem Prog21Duty46 S275"/>
    <x v="1"/>
    <s v="46"/>
    <n v="46"/>
    <m/>
    <s v="   "/>
    <n v="2.1669999999999998"/>
    <n v="0.26540000000000002"/>
    <n v="0.57499999999999996"/>
    <x v="19"/>
  </r>
  <r>
    <s v="17406"/>
    <x v="94"/>
    <s v="Personnel"/>
    <s v="H "/>
    <x v="1"/>
    <x v="23"/>
    <s v="PSES High Prog21Duty46 S275"/>
    <x v="1"/>
    <s v="46"/>
    <n v="46"/>
    <m/>
    <s v="   "/>
    <n v="1.5"/>
    <n v="0.26540000000000002"/>
    <n v="0.39800000000000002"/>
    <x v="20"/>
  </r>
  <r>
    <s v="17406"/>
    <x v="94"/>
    <s v="Personnel"/>
    <s v="M "/>
    <x v="2"/>
    <x v="24"/>
    <s v="PSES Mid Prog21Duty46 S275"/>
    <x v="1"/>
    <s v="46"/>
    <n v="46"/>
    <m/>
    <s v="   "/>
    <n v="0.33300000000000002"/>
    <n v="0.26540000000000002"/>
    <n v="8.7999999999999995E-2"/>
    <x v="21"/>
  </r>
  <r>
    <s v="17406"/>
    <x v="94"/>
    <s v="Personnel"/>
    <s v="H "/>
    <x v="1"/>
    <x v="25"/>
    <s v="PSES High Prog01Duty47 S275"/>
    <x v="0"/>
    <s v="47"/>
    <n v="47"/>
    <m/>
    <s v="   "/>
    <n v="1"/>
    <n v="0.26540000000000002"/>
    <n v="0"/>
    <x v="22"/>
  </r>
  <r>
    <s v="17406"/>
    <x v="94"/>
    <s v="Personnel"/>
    <s v="E "/>
    <x v="0"/>
    <x v="35"/>
    <s v="PSES Elem Prog21Duty48 S275"/>
    <x v="1"/>
    <s v="48"/>
    <n v="48"/>
    <m/>
    <s v="   "/>
    <n v="1"/>
    <n v="0.26540000000000002"/>
    <n v="0.26500000000000001"/>
    <x v="29"/>
  </r>
  <r>
    <s v="17407"/>
    <x v="95"/>
    <s v="Personnel"/>
    <s v="H "/>
    <x v="1"/>
    <x v="5"/>
    <s v="PSES High Prog01Act25 S275"/>
    <x v="0"/>
    <s v="25"/>
    <m/>
    <n v="25"/>
    <s v="   "/>
    <n v="3.653"/>
    <n v="0.20519999999999999"/>
    <n v="0"/>
    <x v="4"/>
  </r>
  <r>
    <s v="17407"/>
    <x v="95"/>
    <s v="Personnel"/>
    <s v="H "/>
    <x v="1"/>
    <x v="29"/>
    <s v="PSES High Prog21Act26 S275"/>
    <x v="1"/>
    <s v="26"/>
    <m/>
    <n v="26"/>
    <s v="   "/>
    <n v="2.37"/>
    <n v="0.20519999999999999"/>
    <n v="0.48599999999999999"/>
    <x v="7"/>
  </r>
  <r>
    <s v="17407"/>
    <x v="95"/>
    <s v="Personnel"/>
    <s v="H "/>
    <x v="1"/>
    <x v="9"/>
    <s v="PSES High Prog01Act26 S275"/>
    <x v="0"/>
    <s v="26"/>
    <m/>
    <n v="26"/>
    <s v="   "/>
    <n v="1.6639999999999999"/>
    <n v="0.20519999999999999"/>
    <n v="0"/>
    <x v="7"/>
  </r>
  <r>
    <s v="17407"/>
    <x v="95"/>
    <s v="Personnel"/>
    <s v="H "/>
    <x v="1"/>
    <x v="54"/>
    <s v="PSES High Prog01Act35 S275"/>
    <x v="0"/>
    <s v="35"/>
    <m/>
    <n v="35"/>
    <s v="   "/>
    <n v="1.5549999999999999"/>
    <n v="0.20519999999999999"/>
    <n v="0"/>
    <x v="9"/>
  </r>
  <r>
    <s v="17407"/>
    <x v="95"/>
    <s v="Personnel"/>
    <s v="E "/>
    <x v="0"/>
    <x v="15"/>
    <s v="PSES Elem Prog01Duty42 S275"/>
    <x v="0"/>
    <s v="42"/>
    <n v="42"/>
    <m/>
    <s v="   "/>
    <n v="3.99"/>
    <n v="0.20519999999999999"/>
    <n v="0"/>
    <x v="12"/>
  </r>
  <r>
    <s v="17407"/>
    <x v="95"/>
    <s v="Personnel"/>
    <s v="H "/>
    <x v="1"/>
    <x v="16"/>
    <s v="PSES High Prog01Duty42 S275"/>
    <x v="0"/>
    <s v="42"/>
    <n v="42"/>
    <m/>
    <s v="   "/>
    <n v="3.02"/>
    <n v="0.20519999999999999"/>
    <n v="0"/>
    <x v="13"/>
  </r>
  <r>
    <s v="17407"/>
    <x v="95"/>
    <s v="Personnel"/>
    <s v="M "/>
    <x v="2"/>
    <x v="17"/>
    <s v="PSES Mid Prog01Duty42 S275"/>
    <x v="0"/>
    <s v="42"/>
    <n v="42"/>
    <m/>
    <s v="   "/>
    <n v="1.49"/>
    <n v="0.20519999999999999"/>
    <n v="0"/>
    <x v="14"/>
  </r>
  <r>
    <s v="17407"/>
    <x v="95"/>
    <s v="Personnel"/>
    <s v="E "/>
    <x v="0"/>
    <x v="20"/>
    <s v="PSES Elem Prog21Duty45 S275"/>
    <x v="1"/>
    <s v="45"/>
    <n v="45"/>
    <m/>
    <s v="   "/>
    <n v="3.35"/>
    <n v="0.20519999999999999"/>
    <n v="0.68700000000000006"/>
    <x v="17"/>
  </r>
  <r>
    <s v="17407"/>
    <x v="95"/>
    <s v="Personnel"/>
    <s v="H "/>
    <x v="1"/>
    <x v="21"/>
    <s v="PSES High Prog21Duty45 S275"/>
    <x v="1"/>
    <s v="45"/>
    <n v="45"/>
    <m/>
    <s v="   "/>
    <n v="0.5"/>
    <n v="0.20519999999999999"/>
    <n v="0.10299999999999999"/>
    <x v="18"/>
  </r>
  <r>
    <s v="17407"/>
    <x v="95"/>
    <s v="Personnel"/>
    <s v="M "/>
    <x v="2"/>
    <x v="28"/>
    <s v="PSES Mid Prog21Duty45 S275"/>
    <x v="1"/>
    <s v="45"/>
    <n v="45"/>
    <m/>
    <s v="   "/>
    <n v="0.15"/>
    <n v="0.20519999999999999"/>
    <n v="3.1E-2"/>
    <x v="25"/>
  </r>
  <r>
    <s v="17407"/>
    <x v="95"/>
    <s v="Personnel"/>
    <s v="E "/>
    <x v="0"/>
    <x v="22"/>
    <s v="PSES Elem Prog21Duty46 S275"/>
    <x v="1"/>
    <s v="46"/>
    <n v="46"/>
    <m/>
    <s v="   "/>
    <n v="3.29"/>
    <n v="0.20519999999999999"/>
    <n v="0.67500000000000004"/>
    <x v="19"/>
  </r>
  <r>
    <s v="17407"/>
    <x v="95"/>
    <s v="Personnel"/>
    <s v="E "/>
    <x v="0"/>
    <x v="48"/>
    <s v="PSES Elem Prog01Duty46 S275"/>
    <x v="0"/>
    <s v="46"/>
    <n v="46"/>
    <m/>
    <s v="   "/>
    <n v="0.02"/>
    <n v="0.20519999999999999"/>
    <n v="0"/>
    <x v="19"/>
  </r>
  <r>
    <s v="17407"/>
    <x v="95"/>
    <s v="Personnel"/>
    <s v="H "/>
    <x v="1"/>
    <x v="23"/>
    <s v="PSES High Prog21Duty46 S275"/>
    <x v="1"/>
    <s v="46"/>
    <n v="46"/>
    <m/>
    <s v="   "/>
    <n v="1.81"/>
    <n v="0.20519999999999999"/>
    <n v="0.371"/>
    <x v="20"/>
  </r>
  <r>
    <s v="17407"/>
    <x v="95"/>
    <s v="Personnel"/>
    <s v="E "/>
    <x v="0"/>
    <x v="27"/>
    <s v="PSES Elem Prog01Duty47 S275"/>
    <x v="0"/>
    <s v="47"/>
    <n v="47"/>
    <m/>
    <s v="   "/>
    <n v="2"/>
    <n v="0.20519999999999999"/>
    <n v="0"/>
    <x v="24"/>
  </r>
  <r>
    <s v="17408"/>
    <x v="96"/>
    <s v="Personnel"/>
    <s v="E "/>
    <x v="0"/>
    <x v="3"/>
    <s v="PSES Elem Prog01Act25 S275"/>
    <x v="0"/>
    <s v="25"/>
    <m/>
    <n v="25"/>
    <s v="   "/>
    <n v="6.56"/>
    <n v="0.24790000000000001"/>
    <n v="0"/>
    <x v="3"/>
  </r>
  <r>
    <s v="17408"/>
    <x v="96"/>
    <s v="Personnel"/>
    <s v="H "/>
    <x v="1"/>
    <x v="4"/>
    <s v="PSES High Prog21Act25 S275"/>
    <x v="1"/>
    <s v="25"/>
    <m/>
    <n v="25"/>
    <s v="   "/>
    <n v="5.9790000000000001"/>
    <n v="0.24790000000000001"/>
    <n v="1.482"/>
    <x v="4"/>
  </r>
  <r>
    <s v="17408"/>
    <x v="96"/>
    <s v="Personnel"/>
    <s v="H "/>
    <x v="1"/>
    <x v="5"/>
    <s v="PSES High Prog01Act25 S275"/>
    <x v="0"/>
    <s v="25"/>
    <m/>
    <n v="25"/>
    <s v="   "/>
    <n v="6.2060000000000004"/>
    <n v="0.24790000000000001"/>
    <n v="0"/>
    <x v="4"/>
  </r>
  <r>
    <s v="17408"/>
    <x v="96"/>
    <s v="Personnel"/>
    <s v="M "/>
    <x v="2"/>
    <x v="6"/>
    <s v="PSES Mid Prog01Act25 S275"/>
    <x v="0"/>
    <s v="25"/>
    <m/>
    <n v="25"/>
    <s v="   "/>
    <n v="2.262"/>
    <n v="0.24790000000000001"/>
    <n v="0"/>
    <x v="5"/>
  </r>
  <r>
    <s v="17408"/>
    <x v="96"/>
    <s v="Personnel"/>
    <s v="E "/>
    <x v="0"/>
    <x v="7"/>
    <s v="PSES Elem Prog21Act26 S275"/>
    <x v="1"/>
    <s v="26"/>
    <m/>
    <n v="26"/>
    <s v="   "/>
    <n v="4.5940000000000003"/>
    <n v="0.24790000000000001"/>
    <n v="1.139"/>
    <x v="6"/>
  </r>
  <r>
    <s v="17408"/>
    <x v="96"/>
    <s v="Personnel"/>
    <s v="E "/>
    <x v="0"/>
    <x v="8"/>
    <s v="PSES Elem Prog01Act26 S275"/>
    <x v="0"/>
    <s v="26"/>
    <m/>
    <n v="26"/>
    <s v="   "/>
    <n v="10.7"/>
    <n v="0.24790000000000001"/>
    <n v="0"/>
    <x v="6"/>
  </r>
  <r>
    <s v="17408"/>
    <x v="96"/>
    <s v="Personnel"/>
    <s v="H "/>
    <x v="1"/>
    <x v="29"/>
    <s v="PSES High Prog21Act26 S275"/>
    <x v="1"/>
    <s v="26"/>
    <m/>
    <n v="26"/>
    <s v="   "/>
    <n v="3.8079999999999998"/>
    <n v="0.24790000000000001"/>
    <n v="0.94399999999999995"/>
    <x v="7"/>
  </r>
  <r>
    <s v="17408"/>
    <x v="96"/>
    <s v="Personnel"/>
    <s v="H "/>
    <x v="1"/>
    <x v="9"/>
    <s v="PSES High Prog01Act26 S275"/>
    <x v="0"/>
    <s v="26"/>
    <m/>
    <n v="26"/>
    <s v="   "/>
    <n v="1.9590000000000001"/>
    <n v="0.24790000000000001"/>
    <n v="0"/>
    <x v="7"/>
  </r>
  <r>
    <s v="17408"/>
    <x v="96"/>
    <s v="Personnel"/>
    <s v="M "/>
    <x v="2"/>
    <x v="10"/>
    <s v="PSES Mid Prog21Act26 S275"/>
    <x v="1"/>
    <s v="26"/>
    <m/>
    <n v="26"/>
    <s v="   "/>
    <n v="1.369"/>
    <n v="0.24790000000000001"/>
    <n v="0.33900000000000002"/>
    <x v="8"/>
  </r>
  <r>
    <s v="17408"/>
    <x v="96"/>
    <s v="Personnel"/>
    <s v="M "/>
    <x v="2"/>
    <x v="11"/>
    <s v="PSES Mid Prog01Act26 S275"/>
    <x v="0"/>
    <s v="26"/>
    <m/>
    <n v="26"/>
    <s v="   "/>
    <n v="1.8180000000000001"/>
    <n v="0.24790000000000001"/>
    <n v="0"/>
    <x v="8"/>
  </r>
  <r>
    <s v="17408"/>
    <x v="96"/>
    <s v="Personnel"/>
    <s v="H "/>
    <x v="1"/>
    <x v="12"/>
    <s v="PSES High Prog97Act35 S275"/>
    <x v="2"/>
    <s v="35"/>
    <m/>
    <n v="35"/>
    <s v="   "/>
    <n v="6.742"/>
    <n v="0.24790000000000001"/>
    <n v="0"/>
    <x v="9"/>
  </r>
  <r>
    <s v="17408"/>
    <x v="96"/>
    <s v="Personnel"/>
    <s v="M "/>
    <x v="2"/>
    <x v="13"/>
    <s v="PSES Mid Prog97Act35 S275"/>
    <x v="2"/>
    <s v="35"/>
    <m/>
    <n v="35"/>
    <s v="   "/>
    <n v="3.71"/>
    <n v="0.24790000000000001"/>
    <n v="0"/>
    <x v="10"/>
  </r>
  <r>
    <s v="17408"/>
    <x v="96"/>
    <s v="Personnel"/>
    <s v="E "/>
    <x v="0"/>
    <x v="15"/>
    <s v="PSES Elem Prog01Duty42 S275"/>
    <x v="0"/>
    <s v="42"/>
    <n v="42"/>
    <m/>
    <s v="   "/>
    <n v="23.728999999999999"/>
    <n v="0.24790000000000001"/>
    <n v="0"/>
    <x v="12"/>
  </r>
  <r>
    <s v="17408"/>
    <x v="96"/>
    <s v="Personnel"/>
    <s v="H "/>
    <x v="1"/>
    <x v="16"/>
    <s v="PSES High Prog01Duty42 S275"/>
    <x v="0"/>
    <s v="42"/>
    <n v="42"/>
    <m/>
    <s v="   "/>
    <n v="17"/>
    <n v="0.24790000000000001"/>
    <n v="0"/>
    <x v="13"/>
  </r>
  <r>
    <s v="17408"/>
    <x v="96"/>
    <s v="Personnel"/>
    <s v="M "/>
    <x v="2"/>
    <x v="17"/>
    <s v="PSES Mid Prog01Duty42 S275"/>
    <x v="0"/>
    <s v="42"/>
    <n v="42"/>
    <m/>
    <s v="   "/>
    <n v="8.1039999999999992"/>
    <n v="0.24790000000000001"/>
    <n v="0"/>
    <x v="14"/>
  </r>
  <r>
    <s v="17408"/>
    <x v="96"/>
    <s v="Personnel"/>
    <s v="E "/>
    <x v="0"/>
    <x v="18"/>
    <s v="PSES Elem Prog21Duty43 S275"/>
    <x v="1"/>
    <s v="43"/>
    <n v="43"/>
    <m/>
    <s v="   "/>
    <n v="10.911"/>
    <n v="0.24790000000000001"/>
    <n v="2.7050000000000001"/>
    <x v="15"/>
  </r>
  <r>
    <s v="17408"/>
    <x v="96"/>
    <s v="Personnel"/>
    <s v="H "/>
    <x v="1"/>
    <x v="19"/>
    <s v="PSES High Prog21Duty43 S275"/>
    <x v="1"/>
    <s v="43"/>
    <n v="43"/>
    <m/>
    <s v="   "/>
    <n v="0.73"/>
    <n v="0.24790000000000001"/>
    <n v="0.18099999999999999"/>
    <x v="16"/>
  </r>
  <r>
    <s v="17408"/>
    <x v="96"/>
    <s v="Personnel"/>
    <s v="M "/>
    <x v="2"/>
    <x v="31"/>
    <s v="PSES Mid Prog21Duty43 S275"/>
    <x v="1"/>
    <s v="43"/>
    <n v="43"/>
    <m/>
    <s v="   "/>
    <n v="0.55900000000000005"/>
    <n v="0.24790000000000001"/>
    <n v="0.13900000000000001"/>
    <x v="27"/>
  </r>
  <r>
    <s v="17408"/>
    <x v="96"/>
    <s v="Personnel"/>
    <s v="E "/>
    <x v="0"/>
    <x v="42"/>
    <s v="PSES Elem Prog01Duty44 S275"/>
    <x v="0"/>
    <s v="44"/>
    <n v="44"/>
    <m/>
    <s v="   "/>
    <n v="2"/>
    <n v="0.24790000000000001"/>
    <n v="0"/>
    <x v="33"/>
  </r>
  <r>
    <s v="17408"/>
    <x v="96"/>
    <s v="Personnel"/>
    <s v="H "/>
    <x v="1"/>
    <x v="44"/>
    <s v="PSES High Prog01Duty44 S275"/>
    <x v="0"/>
    <s v="44"/>
    <n v="44"/>
    <m/>
    <s v="   "/>
    <n v="1"/>
    <n v="0.24790000000000001"/>
    <n v="0"/>
    <x v="34"/>
  </r>
  <r>
    <s v="17408"/>
    <x v="96"/>
    <s v="Personnel"/>
    <s v="E "/>
    <x v="0"/>
    <x v="20"/>
    <s v="PSES Elem Prog21Duty45 S275"/>
    <x v="1"/>
    <s v="45"/>
    <n v="45"/>
    <m/>
    <s v="   "/>
    <n v="25.995999999999999"/>
    <n v="0.24790000000000001"/>
    <n v="6.444"/>
    <x v="17"/>
  </r>
  <r>
    <s v="17408"/>
    <x v="96"/>
    <s v="Personnel"/>
    <s v="E "/>
    <x v="0"/>
    <x v="47"/>
    <s v="PSES Elem Prog01Duty45 S275"/>
    <x v="0"/>
    <s v="45"/>
    <n v="45"/>
    <m/>
    <s v="   "/>
    <n v="0.5"/>
    <n v="0.24790000000000001"/>
    <n v="0"/>
    <x v="17"/>
  </r>
  <r>
    <s v="17408"/>
    <x v="96"/>
    <s v="Personnel"/>
    <s v="H "/>
    <x v="1"/>
    <x v="21"/>
    <s v="PSES High Prog21Duty45 S275"/>
    <x v="1"/>
    <s v="45"/>
    <n v="45"/>
    <m/>
    <s v="   "/>
    <n v="4.3"/>
    <n v="0.24790000000000001"/>
    <n v="1.0660000000000001"/>
    <x v="18"/>
  </r>
  <r>
    <s v="17408"/>
    <x v="96"/>
    <s v="Personnel"/>
    <s v="M "/>
    <x v="2"/>
    <x v="28"/>
    <s v="PSES Mid Prog21Duty45 S275"/>
    <x v="1"/>
    <s v="45"/>
    <n v="45"/>
    <m/>
    <s v="   "/>
    <n v="3.004"/>
    <n v="0.24790000000000001"/>
    <n v="0.745"/>
    <x v="25"/>
  </r>
  <r>
    <s v="17408"/>
    <x v="96"/>
    <s v="Personnel"/>
    <s v="E "/>
    <x v="0"/>
    <x v="22"/>
    <s v="PSES Elem Prog21Duty46 S275"/>
    <x v="1"/>
    <s v="46"/>
    <n v="46"/>
    <m/>
    <s v="   "/>
    <n v="13.272"/>
    <n v="0.24790000000000001"/>
    <n v="3.29"/>
    <x v="19"/>
  </r>
  <r>
    <s v="17408"/>
    <x v="96"/>
    <s v="Personnel"/>
    <s v="H "/>
    <x v="1"/>
    <x v="23"/>
    <s v="PSES High Prog21Duty46 S275"/>
    <x v="1"/>
    <s v="46"/>
    <n v="46"/>
    <m/>
    <s v="   "/>
    <n v="4.4409999999999998"/>
    <n v="0.24790000000000001"/>
    <n v="1.101"/>
    <x v="20"/>
  </r>
  <r>
    <s v="17408"/>
    <x v="96"/>
    <s v="Personnel"/>
    <s v="M "/>
    <x v="2"/>
    <x v="24"/>
    <s v="PSES Mid Prog21Duty46 S275"/>
    <x v="1"/>
    <s v="46"/>
    <n v="46"/>
    <m/>
    <s v="   "/>
    <n v="1.998"/>
    <n v="0.24790000000000001"/>
    <n v="0.495"/>
    <x v="21"/>
  </r>
  <r>
    <s v="17408"/>
    <x v="96"/>
    <s v="Personnel"/>
    <s v="E "/>
    <x v="0"/>
    <x v="27"/>
    <s v="PSES Elem Prog01Duty47 S275"/>
    <x v="0"/>
    <s v="47"/>
    <n v="47"/>
    <m/>
    <s v="   "/>
    <n v="9.7940000000000005"/>
    <n v="0.24790000000000001"/>
    <n v="0"/>
    <x v="24"/>
  </r>
  <r>
    <s v="17408"/>
    <x v="96"/>
    <s v="Personnel"/>
    <s v="H "/>
    <x v="1"/>
    <x v="25"/>
    <s v="PSES High Prog01Duty47 S275"/>
    <x v="0"/>
    <s v="47"/>
    <n v="47"/>
    <m/>
    <s v="   "/>
    <n v="2.2669999999999999"/>
    <n v="0.24790000000000001"/>
    <n v="0"/>
    <x v="22"/>
  </r>
  <r>
    <s v="17408"/>
    <x v="96"/>
    <s v="Personnel"/>
    <s v="M "/>
    <x v="2"/>
    <x v="34"/>
    <s v="PSES Mid Prog01Duty47 S275"/>
    <x v="0"/>
    <s v="47"/>
    <n v="47"/>
    <m/>
    <s v="   "/>
    <n v="3.4169999999999998"/>
    <n v="0.24790000000000001"/>
    <n v="0"/>
    <x v="28"/>
  </r>
  <r>
    <s v="17408"/>
    <x v="96"/>
    <s v="Personnel"/>
    <s v="E "/>
    <x v="0"/>
    <x v="35"/>
    <s v="PSES Elem Prog21Duty48 S275"/>
    <x v="1"/>
    <s v="48"/>
    <n v="48"/>
    <m/>
    <s v="   "/>
    <n v="2.02"/>
    <n v="0.24790000000000001"/>
    <n v="0.501"/>
    <x v="29"/>
  </r>
  <r>
    <s v="17408"/>
    <x v="96"/>
    <s v="Personnel"/>
    <s v="H "/>
    <x v="1"/>
    <x v="36"/>
    <s v="PSES High Prog21Duty48 S275"/>
    <x v="1"/>
    <s v="48"/>
    <n v="48"/>
    <m/>
    <s v="   "/>
    <n v="0.55000000000000004"/>
    <n v="0.24790000000000001"/>
    <n v="0.13600000000000001"/>
    <x v="30"/>
  </r>
  <r>
    <s v="17408"/>
    <x v="96"/>
    <s v="Personnel"/>
    <s v="M "/>
    <x v="2"/>
    <x v="37"/>
    <s v="PSES Mid Prog21Duty48 S275"/>
    <x v="1"/>
    <s v="48"/>
    <n v="48"/>
    <m/>
    <s v="   "/>
    <n v="0.43"/>
    <n v="0.24790000000000001"/>
    <n v="0.107"/>
    <x v="31"/>
  </r>
  <r>
    <s v="17408"/>
    <x v="96"/>
    <s v="Personnel"/>
    <s v="E "/>
    <x v="0"/>
    <x v="26"/>
    <s v="PSES Elem Prog21Duty49 S275"/>
    <x v="1"/>
    <s v="49"/>
    <n v="49"/>
    <m/>
    <s v="   "/>
    <n v="1.67"/>
    <n v="0.24790000000000001"/>
    <n v="0.41399999999999998"/>
    <x v="23"/>
  </r>
  <r>
    <s v="17408"/>
    <x v="96"/>
    <s v="Personnel"/>
    <s v="H "/>
    <x v="1"/>
    <x v="55"/>
    <s v="PSES High Prog21Duty49 S275"/>
    <x v="1"/>
    <s v="49"/>
    <n v="49"/>
    <m/>
    <s v="   "/>
    <n v="1.67"/>
    <n v="0.24790000000000001"/>
    <n v="0.41399999999999998"/>
    <x v="37"/>
  </r>
  <r>
    <s v="17408"/>
    <x v="96"/>
    <s v="Personnel"/>
    <s v="M "/>
    <x v="2"/>
    <x v="50"/>
    <s v="PSES Mid Prog21Duty49 S275"/>
    <x v="1"/>
    <s v="49"/>
    <n v="49"/>
    <m/>
    <s v="   "/>
    <n v="0.66"/>
    <n v="0.24790000000000001"/>
    <n v="0.16400000000000001"/>
    <x v="36"/>
  </r>
  <r>
    <s v="17409"/>
    <x v="97"/>
    <s v="Personnel"/>
    <s v="H "/>
    <x v="1"/>
    <x v="5"/>
    <s v="PSES High Prog01Act25 S275"/>
    <x v="0"/>
    <s v="25"/>
    <m/>
    <n v="25"/>
    <s v="   "/>
    <n v="2.5619999999999998"/>
    <n v="0.2366"/>
    <n v="0"/>
    <x v="4"/>
  </r>
  <r>
    <s v="17409"/>
    <x v="97"/>
    <s v="Personnel"/>
    <s v="H "/>
    <x v="1"/>
    <x v="29"/>
    <s v="PSES High Prog21Act26 S275"/>
    <x v="1"/>
    <s v="26"/>
    <m/>
    <n v="26"/>
    <s v="   "/>
    <n v="2.081"/>
    <n v="0.2366"/>
    <n v="0.49199999999999999"/>
    <x v="7"/>
  </r>
  <r>
    <s v="17409"/>
    <x v="97"/>
    <s v="Personnel"/>
    <s v="H "/>
    <x v="1"/>
    <x v="9"/>
    <s v="PSES High Prog01Act26 S275"/>
    <x v="0"/>
    <s v="26"/>
    <m/>
    <n v="26"/>
    <s v="   "/>
    <n v="14.076000000000001"/>
    <n v="0.2366"/>
    <n v="0"/>
    <x v="7"/>
  </r>
  <r>
    <s v="17409"/>
    <x v="97"/>
    <s v="Personnel"/>
    <s v="H "/>
    <x v="1"/>
    <x v="12"/>
    <s v="PSES High Prog97Act35 S275"/>
    <x v="2"/>
    <s v="35"/>
    <m/>
    <n v="35"/>
    <s v="   "/>
    <n v="2.113"/>
    <n v="0.2366"/>
    <n v="0"/>
    <x v="9"/>
  </r>
  <r>
    <s v="17409"/>
    <x v="97"/>
    <s v="Personnel"/>
    <s v="E "/>
    <x v="0"/>
    <x v="15"/>
    <s v="PSES Elem Prog01Duty42 S275"/>
    <x v="0"/>
    <s v="42"/>
    <n v="42"/>
    <m/>
    <s v="   "/>
    <n v="8.2349999999999994"/>
    <n v="0.2366"/>
    <n v="0"/>
    <x v="12"/>
  </r>
  <r>
    <s v="17409"/>
    <x v="97"/>
    <s v="Personnel"/>
    <s v="H "/>
    <x v="1"/>
    <x v="16"/>
    <s v="PSES High Prog01Duty42 S275"/>
    <x v="0"/>
    <s v="42"/>
    <n v="42"/>
    <m/>
    <s v="   "/>
    <n v="6.2"/>
    <n v="0.2366"/>
    <n v="0"/>
    <x v="13"/>
  </r>
  <r>
    <s v="17409"/>
    <x v="97"/>
    <s v="Personnel"/>
    <s v="M "/>
    <x v="2"/>
    <x v="17"/>
    <s v="PSES Mid Prog01Duty42 S275"/>
    <x v="0"/>
    <s v="42"/>
    <n v="42"/>
    <m/>
    <s v="   "/>
    <n v="4.7649999999999997"/>
    <n v="0.2366"/>
    <n v="0"/>
    <x v="14"/>
  </r>
  <r>
    <s v="17409"/>
    <x v="97"/>
    <s v="Personnel"/>
    <s v="E "/>
    <x v="0"/>
    <x v="18"/>
    <s v="PSES Elem Prog21Duty43 S275"/>
    <x v="1"/>
    <s v="43"/>
    <n v="43"/>
    <m/>
    <s v="   "/>
    <n v="2.1930000000000001"/>
    <n v="0.2366"/>
    <n v="0.51900000000000002"/>
    <x v="15"/>
  </r>
  <r>
    <s v="17409"/>
    <x v="97"/>
    <s v="Personnel"/>
    <s v="H "/>
    <x v="1"/>
    <x v="19"/>
    <s v="PSES High Prog21Duty43 S275"/>
    <x v="1"/>
    <s v="43"/>
    <n v="43"/>
    <m/>
    <s v="   "/>
    <n v="0.73"/>
    <n v="0.2366"/>
    <n v="0.17299999999999999"/>
    <x v="16"/>
  </r>
  <r>
    <s v="17409"/>
    <x v="97"/>
    <s v="Personnel"/>
    <s v="M "/>
    <x v="2"/>
    <x v="31"/>
    <s v="PSES Mid Prog21Duty43 S275"/>
    <x v="1"/>
    <s v="43"/>
    <n v="43"/>
    <m/>
    <s v="   "/>
    <n v="0.1"/>
    <n v="0.2366"/>
    <n v="2.4E-2"/>
    <x v="27"/>
  </r>
  <r>
    <s v="17409"/>
    <x v="97"/>
    <s v="Personnel"/>
    <s v="E "/>
    <x v="0"/>
    <x v="20"/>
    <s v="PSES Elem Prog21Duty45 S275"/>
    <x v="1"/>
    <s v="45"/>
    <n v="45"/>
    <m/>
    <s v="   "/>
    <n v="10.795"/>
    <n v="0.2366"/>
    <n v="2.5539999999999998"/>
    <x v="17"/>
  </r>
  <r>
    <s v="17409"/>
    <x v="97"/>
    <s v="Personnel"/>
    <s v="H "/>
    <x v="1"/>
    <x v="21"/>
    <s v="PSES High Prog21Duty45 S275"/>
    <x v="1"/>
    <s v="45"/>
    <n v="45"/>
    <m/>
    <s v="   "/>
    <n v="1.6120000000000001"/>
    <n v="0.2366"/>
    <n v="0.38100000000000001"/>
    <x v="18"/>
  </r>
  <r>
    <s v="17409"/>
    <x v="97"/>
    <s v="Personnel"/>
    <s v="M "/>
    <x v="2"/>
    <x v="28"/>
    <s v="PSES Mid Prog21Duty45 S275"/>
    <x v="1"/>
    <s v="45"/>
    <n v="45"/>
    <m/>
    <s v="   "/>
    <n v="1.1000000000000001"/>
    <n v="0.2366"/>
    <n v="0.26"/>
    <x v="25"/>
  </r>
  <r>
    <s v="17409"/>
    <x v="97"/>
    <s v="Personnel"/>
    <s v="E "/>
    <x v="0"/>
    <x v="22"/>
    <s v="PSES Elem Prog21Duty46 S275"/>
    <x v="1"/>
    <s v="46"/>
    <n v="46"/>
    <m/>
    <s v="   "/>
    <n v="5.3029999999999999"/>
    <n v="0.2366"/>
    <n v="1.2549999999999999"/>
    <x v="19"/>
  </r>
  <r>
    <s v="17409"/>
    <x v="97"/>
    <s v="Personnel"/>
    <s v="H "/>
    <x v="1"/>
    <x v="23"/>
    <s v="PSES High Prog21Duty46 S275"/>
    <x v="1"/>
    <s v="46"/>
    <n v="46"/>
    <m/>
    <s v="   "/>
    <n v="2"/>
    <n v="0.2366"/>
    <n v="0.47299999999999998"/>
    <x v="20"/>
  </r>
  <r>
    <s v="17409"/>
    <x v="97"/>
    <s v="Personnel"/>
    <s v="M "/>
    <x v="2"/>
    <x v="24"/>
    <s v="PSES Mid Prog21Duty46 S275"/>
    <x v="1"/>
    <s v="46"/>
    <n v="46"/>
    <m/>
    <s v="   "/>
    <n v="0.67"/>
    <n v="0.2366"/>
    <n v="0.159"/>
    <x v="21"/>
  </r>
  <r>
    <s v="17409"/>
    <x v="97"/>
    <s v="Personnel"/>
    <s v="E "/>
    <x v="0"/>
    <x v="27"/>
    <s v="PSES Elem Prog01Duty47 S275"/>
    <x v="0"/>
    <s v="47"/>
    <n v="47"/>
    <m/>
    <s v="   "/>
    <n v="1.06"/>
    <n v="0.2366"/>
    <n v="0"/>
    <x v="24"/>
  </r>
  <r>
    <s v="17409"/>
    <x v="97"/>
    <s v="Personnel"/>
    <s v="H "/>
    <x v="1"/>
    <x v="25"/>
    <s v="PSES High Prog01Duty47 S275"/>
    <x v="0"/>
    <s v="47"/>
    <n v="47"/>
    <m/>
    <s v="   "/>
    <n v="0.52"/>
    <n v="0.2366"/>
    <n v="0"/>
    <x v="22"/>
  </r>
  <r>
    <s v="17409"/>
    <x v="97"/>
    <s v="Personnel"/>
    <s v="M "/>
    <x v="2"/>
    <x v="34"/>
    <s v="PSES Mid Prog01Duty47 S275"/>
    <x v="0"/>
    <s v="47"/>
    <n v="47"/>
    <m/>
    <s v="   "/>
    <n v="0.32"/>
    <n v="0.2366"/>
    <n v="0"/>
    <x v="28"/>
  </r>
  <r>
    <s v="17409"/>
    <x v="97"/>
    <s v="Personnel"/>
    <s v="E "/>
    <x v="0"/>
    <x v="35"/>
    <s v="PSES Elem Prog21Duty48 S275"/>
    <x v="1"/>
    <s v="48"/>
    <n v="48"/>
    <m/>
    <s v="   "/>
    <n v="0.66"/>
    <n v="0.2366"/>
    <n v="0.156"/>
    <x v="29"/>
  </r>
  <r>
    <s v="17409"/>
    <x v="97"/>
    <s v="Personnel"/>
    <s v="H "/>
    <x v="1"/>
    <x v="36"/>
    <s v="PSES High Prog21Duty48 S275"/>
    <x v="1"/>
    <s v="48"/>
    <n v="48"/>
    <m/>
    <s v="   "/>
    <n v="0.26"/>
    <n v="0.2366"/>
    <n v="6.2E-2"/>
    <x v="30"/>
  </r>
  <r>
    <s v="17409"/>
    <x v="97"/>
    <s v="Personnel"/>
    <s v="M "/>
    <x v="2"/>
    <x v="37"/>
    <s v="PSES Mid Prog21Duty48 S275"/>
    <x v="1"/>
    <s v="48"/>
    <n v="48"/>
    <m/>
    <s v="   "/>
    <n v="0.08"/>
    <n v="0.2366"/>
    <n v="1.9E-2"/>
    <x v="31"/>
  </r>
  <r>
    <s v="17410"/>
    <x v="98"/>
    <s v="Personnel"/>
    <s v="H "/>
    <x v="1"/>
    <x v="1"/>
    <s v="PSES High Prog01Duty96 S275"/>
    <x v="0"/>
    <s v="24"/>
    <n v="96"/>
    <n v="24"/>
    <s v="   "/>
    <n v="0.70799999999999996"/>
    <n v="0.23169999999999999"/>
    <n v="0"/>
    <x v="1"/>
  </r>
  <r>
    <s v="17410"/>
    <x v="98"/>
    <s v="Personnel"/>
    <s v="H "/>
    <x v="1"/>
    <x v="5"/>
    <s v="PSES High Prog01Act25 S275"/>
    <x v="0"/>
    <s v="25"/>
    <m/>
    <n v="25"/>
    <s v="   "/>
    <n v="6.1740000000000004"/>
    <n v="0.23169999999999999"/>
    <n v="0"/>
    <x v="4"/>
  </r>
  <r>
    <s v="17410"/>
    <x v="98"/>
    <s v="Personnel"/>
    <s v="H "/>
    <x v="1"/>
    <x v="29"/>
    <s v="PSES High Prog21Act26 S275"/>
    <x v="1"/>
    <s v="26"/>
    <m/>
    <n v="26"/>
    <s v="   "/>
    <n v="2.452"/>
    <n v="0.23169999999999999"/>
    <n v="0.56799999999999995"/>
    <x v="7"/>
  </r>
  <r>
    <s v="17410"/>
    <x v="98"/>
    <s v="Personnel"/>
    <s v="H "/>
    <x v="1"/>
    <x v="9"/>
    <s v="PSES High Prog01Act26 S275"/>
    <x v="0"/>
    <s v="26"/>
    <m/>
    <n v="26"/>
    <s v="   "/>
    <n v="1.4430000000000001"/>
    <n v="0.23169999999999999"/>
    <n v="0"/>
    <x v="7"/>
  </r>
  <r>
    <s v="17410"/>
    <x v="98"/>
    <s v="Personnel"/>
    <s v="E "/>
    <x v="0"/>
    <x v="15"/>
    <s v="PSES Elem Prog01Duty42 S275"/>
    <x v="0"/>
    <s v="42"/>
    <n v="42"/>
    <m/>
    <s v="   "/>
    <n v="8.75"/>
    <n v="0.23169999999999999"/>
    <n v="0"/>
    <x v="12"/>
  </r>
  <r>
    <s v="17410"/>
    <x v="98"/>
    <s v="Personnel"/>
    <s v="H "/>
    <x v="1"/>
    <x v="16"/>
    <s v="PSES High Prog01Duty42 S275"/>
    <x v="0"/>
    <s v="42"/>
    <n v="42"/>
    <m/>
    <s v="   "/>
    <n v="4.12"/>
    <n v="0.23169999999999999"/>
    <n v="0"/>
    <x v="13"/>
  </r>
  <r>
    <s v="17410"/>
    <x v="98"/>
    <s v="Personnel"/>
    <s v="M "/>
    <x v="2"/>
    <x v="17"/>
    <s v="PSES Mid Prog01Duty42 S275"/>
    <x v="0"/>
    <s v="42"/>
    <n v="42"/>
    <m/>
    <s v="   "/>
    <n v="3.25"/>
    <n v="0.23169999999999999"/>
    <n v="0"/>
    <x v="14"/>
  </r>
  <r>
    <s v="17410"/>
    <x v="98"/>
    <s v="Personnel"/>
    <s v="E "/>
    <x v="0"/>
    <x v="18"/>
    <s v="PSES Elem Prog21Duty43 S275"/>
    <x v="1"/>
    <s v="43"/>
    <n v="43"/>
    <m/>
    <s v="   "/>
    <n v="2.206"/>
    <n v="0.23169999999999999"/>
    <n v="0.51100000000000001"/>
    <x v="15"/>
  </r>
  <r>
    <s v="17410"/>
    <x v="98"/>
    <s v="Personnel"/>
    <s v="H "/>
    <x v="1"/>
    <x v="19"/>
    <s v="PSES High Prog21Duty43 S275"/>
    <x v="1"/>
    <s v="43"/>
    <n v="43"/>
    <m/>
    <s v="   "/>
    <n v="0.93500000000000005"/>
    <n v="0.23169999999999999"/>
    <n v="0.217"/>
    <x v="16"/>
  </r>
  <r>
    <s v="17410"/>
    <x v="98"/>
    <s v="Personnel"/>
    <s v="M "/>
    <x v="2"/>
    <x v="31"/>
    <s v="PSES Mid Prog21Duty43 S275"/>
    <x v="1"/>
    <s v="43"/>
    <n v="43"/>
    <m/>
    <s v="   "/>
    <n v="0.59899999999999998"/>
    <n v="0.23169999999999999"/>
    <n v="0.13900000000000001"/>
    <x v="27"/>
  </r>
  <r>
    <s v="17410"/>
    <x v="98"/>
    <s v="Personnel"/>
    <s v="E "/>
    <x v="0"/>
    <x v="42"/>
    <s v="PSES Elem Prog01Duty44 S275"/>
    <x v="0"/>
    <s v="44"/>
    <n v="44"/>
    <m/>
    <s v="   "/>
    <n v="1.7"/>
    <n v="0.23169999999999999"/>
    <n v="0"/>
    <x v="33"/>
  </r>
  <r>
    <s v="17410"/>
    <x v="98"/>
    <s v="Personnel"/>
    <s v="H "/>
    <x v="1"/>
    <x v="44"/>
    <s v="PSES High Prog01Duty44 S275"/>
    <x v="0"/>
    <s v="44"/>
    <n v="44"/>
    <m/>
    <s v="   "/>
    <n v="1"/>
    <n v="0.23169999999999999"/>
    <n v="0"/>
    <x v="34"/>
  </r>
  <r>
    <s v="17410"/>
    <x v="98"/>
    <s v="Personnel"/>
    <s v="M "/>
    <x v="2"/>
    <x v="46"/>
    <s v="PSES Mid Prog01Duty44 S275"/>
    <x v="0"/>
    <s v="44"/>
    <n v="44"/>
    <m/>
    <s v="   "/>
    <n v="1.3"/>
    <n v="0.23169999999999999"/>
    <n v="0"/>
    <x v="35"/>
  </r>
  <r>
    <s v="17410"/>
    <x v="98"/>
    <s v="Personnel"/>
    <s v="E "/>
    <x v="0"/>
    <x v="20"/>
    <s v="PSES Elem Prog21Duty45 S275"/>
    <x v="1"/>
    <s v="45"/>
    <n v="45"/>
    <m/>
    <s v="   "/>
    <n v="5.5030000000000001"/>
    <n v="0.23169999999999999"/>
    <n v="1.2749999999999999"/>
    <x v="17"/>
  </r>
  <r>
    <s v="17410"/>
    <x v="98"/>
    <s v="Personnel"/>
    <s v="H "/>
    <x v="1"/>
    <x v="21"/>
    <s v="PSES High Prog21Duty45 S275"/>
    <x v="1"/>
    <s v="45"/>
    <n v="45"/>
    <m/>
    <s v="   "/>
    <n v="3.6"/>
    <n v="0.23169999999999999"/>
    <n v="0.83399999999999996"/>
    <x v="18"/>
  </r>
  <r>
    <s v="17410"/>
    <x v="98"/>
    <s v="Personnel"/>
    <s v="E "/>
    <x v="0"/>
    <x v="22"/>
    <s v="PSES Elem Prog21Duty46 S275"/>
    <x v="1"/>
    <s v="46"/>
    <n v="46"/>
    <m/>
    <s v="   "/>
    <n v="8.1720000000000006"/>
    <n v="0.23169999999999999"/>
    <n v="1.893"/>
    <x v="19"/>
  </r>
  <r>
    <s v="17410"/>
    <x v="98"/>
    <s v="Personnel"/>
    <s v="M "/>
    <x v="2"/>
    <x v="24"/>
    <s v="PSES Mid Prog21Duty46 S275"/>
    <x v="1"/>
    <s v="46"/>
    <n v="46"/>
    <m/>
    <s v="   "/>
    <n v="1.7010000000000001"/>
    <n v="0.23169999999999999"/>
    <n v="0.39400000000000002"/>
    <x v="21"/>
  </r>
  <r>
    <s v="17410"/>
    <x v="98"/>
    <s v="Personnel"/>
    <s v="E "/>
    <x v="0"/>
    <x v="27"/>
    <s v="PSES Elem Prog01Duty47 S275"/>
    <x v="0"/>
    <s v="47"/>
    <n v="47"/>
    <m/>
    <s v="   "/>
    <n v="8.9559999999999995"/>
    <n v="0.23169999999999999"/>
    <n v="0"/>
    <x v="24"/>
  </r>
  <r>
    <s v="17410"/>
    <x v="98"/>
    <s v="Personnel"/>
    <s v="H "/>
    <x v="1"/>
    <x v="25"/>
    <s v="PSES High Prog01Duty47 S275"/>
    <x v="0"/>
    <s v="47"/>
    <n v="47"/>
    <m/>
    <s v="   "/>
    <n v="1"/>
    <n v="0.23169999999999999"/>
    <n v="0"/>
    <x v="22"/>
  </r>
  <r>
    <s v="17410"/>
    <x v="98"/>
    <s v="Personnel"/>
    <s v="M "/>
    <x v="2"/>
    <x v="34"/>
    <s v="PSES Mid Prog01Duty47 S275"/>
    <x v="0"/>
    <s v="47"/>
    <n v="47"/>
    <m/>
    <s v="   "/>
    <n v="0.65"/>
    <n v="0.23169999999999999"/>
    <n v="0"/>
    <x v="28"/>
  </r>
  <r>
    <s v="17410"/>
    <x v="98"/>
    <s v="Personnel"/>
    <s v="E "/>
    <x v="0"/>
    <x v="35"/>
    <s v="PSES Elem Prog21Duty48 S275"/>
    <x v="1"/>
    <s v="48"/>
    <n v="48"/>
    <m/>
    <s v="   "/>
    <n v="0.57999999999999996"/>
    <n v="0.23169999999999999"/>
    <n v="0.13400000000000001"/>
    <x v="29"/>
  </r>
  <r>
    <s v="17410"/>
    <x v="98"/>
    <s v="Personnel"/>
    <s v="H "/>
    <x v="1"/>
    <x v="36"/>
    <s v="PSES High Prog21Duty48 S275"/>
    <x v="1"/>
    <s v="48"/>
    <n v="48"/>
    <m/>
    <s v="   "/>
    <n v="0.26"/>
    <n v="0.23169999999999999"/>
    <n v="0.06"/>
    <x v="30"/>
  </r>
  <r>
    <s v="17410"/>
    <x v="98"/>
    <s v="Personnel"/>
    <s v="M "/>
    <x v="2"/>
    <x v="37"/>
    <s v="PSES Mid Prog21Duty48 S275"/>
    <x v="1"/>
    <s v="48"/>
    <n v="48"/>
    <m/>
    <s v="   "/>
    <n v="0.16"/>
    <n v="0.23169999999999999"/>
    <n v="3.6999999999999998E-2"/>
    <x v="31"/>
  </r>
  <r>
    <s v="17410"/>
    <x v="98"/>
    <s v="Personnel"/>
    <s v="E "/>
    <x v="0"/>
    <x v="79"/>
    <s v="PSES Elem Prog01Duty49 S275"/>
    <x v="0"/>
    <s v="49"/>
    <n v="49"/>
    <m/>
    <s v="   "/>
    <n v="0.8"/>
    <n v="0.23169999999999999"/>
    <n v="0"/>
    <x v="23"/>
  </r>
  <r>
    <s v="17411"/>
    <x v="99"/>
    <s v="Personnel"/>
    <s v="H "/>
    <x v="1"/>
    <x v="5"/>
    <s v="PSES High Prog01Act25 S275"/>
    <x v="0"/>
    <s v="25"/>
    <m/>
    <n v="25"/>
    <s v="   "/>
    <n v="19.483000000000001"/>
    <n v="0.23300000000000001"/>
    <n v="0"/>
    <x v="4"/>
  </r>
  <r>
    <s v="17411"/>
    <x v="99"/>
    <s v="Personnel"/>
    <s v="H "/>
    <x v="1"/>
    <x v="29"/>
    <s v="PSES High Prog21Act26 S275"/>
    <x v="1"/>
    <s v="26"/>
    <m/>
    <n v="26"/>
    <s v="   "/>
    <n v="3.5"/>
    <n v="0.23300000000000001"/>
    <n v="0.81599999999999995"/>
    <x v="7"/>
  </r>
  <r>
    <s v="17411"/>
    <x v="99"/>
    <s v="Personnel"/>
    <s v="H "/>
    <x v="1"/>
    <x v="9"/>
    <s v="PSES High Prog01Act26 S275"/>
    <x v="0"/>
    <s v="26"/>
    <m/>
    <n v="26"/>
    <s v="   "/>
    <n v="40.247999999999998"/>
    <n v="0.23300000000000001"/>
    <n v="0"/>
    <x v="7"/>
  </r>
  <r>
    <s v="17411"/>
    <x v="99"/>
    <s v="Personnel"/>
    <s v="H "/>
    <x v="1"/>
    <x v="54"/>
    <s v="PSES High Prog01Act35 S275"/>
    <x v="0"/>
    <s v="35"/>
    <m/>
    <n v="35"/>
    <s v="   "/>
    <n v="7.0609999999999999"/>
    <n v="0.23300000000000001"/>
    <n v="0"/>
    <x v="9"/>
  </r>
  <r>
    <s v="17411"/>
    <x v="99"/>
    <s v="Personnel"/>
    <s v="E "/>
    <x v="0"/>
    <x v="14"/>
    <s v="PSES Elem Prog21Duty39 S275"/>
    <x v="1"/>
    <s v="39"/>
    <n v="39"/>
    <m/>
    <s v="   "/>
    <n v="0.6"/>
    <n v="0.23300000000000001"/>
    <n v="0.14000000000000001"/>
    <x v="11"/>
  </r>
  <r>
    <s v="17411"/>
    <x v="99"/>
    <s v="Personnel"/>
    <s v="E "/>
    <x v="0"/>
    <x v="15"/>
    <s v="PSES Elem Prog01Duty42 S275"/>
    <x v="0"/>
    <s v="42"/>
    <n v="42"/>
    <m/>
    <s v="   "/>
    <n v="16.632999999999999"/>
    <n v="0.23300000000000001"/>
    <n v="0"/>
    <x v="12"/>
  </r>
  <r>
    <s v="17411"/>
    <x v="99"/>
    <s v="Personnel"/>
    <s v="H "/>
    <x v="1"/>
    <x v="16"/>
    <s v="PSES High Prog01Duty42 S275"/>
    <x v="0"/>
    <s v="42"/>
    <n v="42"/>
    <m/>
    <s v="   "/>
    <n v="14.6"/>
    <n v="0.23300000000000001"/>
    <n v="0"/>
    <x v="13"/>
  </r>
  <r>
    <s v="17411"/>
    <x v="99"/>
    <s v="Personnel"/>
    <s v="M "/>
    <x v="2"/>
    <x v="17"/>
    <s v="PSES Mid Prog01Duty42 S275"/>
    <x v="0"/>
    <s v="42"/>
    <n v="42"/>
    <m/>
    <s v="   "/>
    <n v="10.467000000000001"/>
    <n v="0.23300000000000001"/>
    <n v="0"/>
    <x v="14"/>
  </r>
  <r>
    <s v="17411"/>
    <x v="99"/>
    <s v="Personnel"/>
    <s v="E "/>
    <x v="0"/>
    <x v="18"/>
    <s v="PSES Elem Prog21Duty43 S275"/>
    <x v="1"/>
    <s v="43"/>
    <n v="43"/>
    <m/>
    <s v="   "/>
    <n v="4.5"/>
    <n v="0.23300000000000001"/>
    <n v="1.0489999999999999"/>
    <x v="15"/>
  </r>
  <r>
    <s v="17411"/>
    <x v="99"/>
    <s v="Personnel"/>
    <s v="H "/>
    <x v="1"/>
    <x v="19"/>
    <s v="PSES High Prog21Duty43 S275"/>
    <x v="1"/>
    <s v="43"/>
    <n v="43"/>
    <m/>
    <s v="   "/>
    <n v="2.5"/>
    <n v="0.23300000000000001"/>
    <n v="0.58299999999999996"/>
    <x v="16"/>
  </r>
  <r>
    <s v="17411"/>
    <x v="99"/>
    <s v="Personnel"/>
    <s v="M "/>
    <x v="2"/>
    <x v="31"/>
    <s v="PSES Mid Prog21Duty43 S275"/>
    <x v="1"/>
    <s v="43"/>
    <n v="43"/>
    <m/>
    <s v="   "/>
    <n v="2.8"/>
    <n v="0.23300000000000001"/>
    <n v="0.65200000000000002"/>
    <x v="27"/>
  </r>
  <r>
    <s v="17411"/>
    <x v="99"/>
    <s v="Personnel"/>
    <s v="E "/>
    <x v="0"/>
    <x v="42"/>
    <s v="PSES Elem Prog01Duty44 S275"/>
    <x v="0"/>
    <s v="44"/>
    <n v="44"/>
    <m/>
    <s v="   "/>
    <n v="3"/>
    <n v="0.23300000000000001"/>
    <n v="0"/>
    <x v="33"/>
  </r>
  <r>
    <s v="17411"/>
    <x v="99"/>
    <s v="Personnel"/>
    <s v="H "/>
    <x v="1"/>
    <x v="44"/>
    <s v="PSES High Prog01Duty44 S275"/>
    <x v="0"/>
    <s v="44"/>
    <n v="44"/>
    <m/>
    <s v="   "/>
    <n v="2"/>
    <n v="0.23300000000000001"/>
    <n v="0"/>
    <x v="34"/>
  </r>
  <r>
    <s v="17411"/>
    <x v="99"/>
    <s v="Personnel"/>
    <s v="M "/>
    <x v="2"/>
    <x v="46"/>
    <s v="PSES Mid Prog01Duty44 S275"/>
    <x v="0"/>
    <s v="44"/>
    <n v="44"/>
    <m/>
    <s v="   "/>
    <n v="3"/>
    <n v="0.23300000000000001"/>
    <n v="0"/>
    <x v="35"/>
  </r>
  <r>
    <s v="17411"/>
    <x v="99"/>
    <s v="Personnel"/>
    <s v="E "/>
    <x v="0"/>
    <x v="20"/>
    <s v="PSES Elem Prog21Duty45 S275"/>
    <x v="1"/>
    <s v="45"/>
    <n v="45"/>
    <m/>
    <s v="   "/>
    <n v="16.600000000000001"/>
    <n v="0.23300000000000001"/>
    <n v="3.8679999999999999"/>
    <x v="17"/>
  </r>
  <r>
    <s v="17411"/>
    <x v="99"/>
    <s v="Personnel"/>
    <s v="E "/>
    <x v="0"/>
    <x v="47"/>
    <s v="PSES Elem Prog01Duty45 S275"/>
    <x v="0"/>
    <s v="45"/>
    <n v="45"/>
    <m/>
    <s v="   "/>
    <n v="0.4"/>
    <n v="0.23300000000000001"/>
    <n v="0"/>
    <x v="17"/>
  </r>
  <r>
    <s v="17411"/>
    <x v="99"/>
    <s v="Personnel"/>
    <s v="H "/>
    <x v="1"/>
    <x v="21"/>
    <s v="PSES High Prog21Duty45 S275"/>
    <x v="1"/>
    <s v="45"/>
    <n v="45"/>
    <m/>
    <s v="   "/>
    <n v="4.9000000000000004"/>
    <n v="0.23300000000000001"/>
    <n v="1.1419999999999999"/>
    <x v="18"/>
  </r>
  <r>
    <s v="17411"/>
    <x v="99"/>
    <s v="Personnel"/>
    <s v="M "/>
    <x v="2"/>
    <x v="28"/>
    <s v="PSES Mid Prog21Duty45 S275"/>
    <x v="1"/>
    <s v="45"/>
    <n v="45"/>
    <m/>
    <s v="   "/>
    <n v="3.7"/>
    <n v="0.23300000000000001"/>
    <n v="0.86199999999999999"/>
    <x v="25"/>
  </r>
  <r>
    <s v="17411"/>
    <x v="99"/>
    <s v="Personnel"/>
    <s v="E "/>
    <x v="0"/>
    <x v="27"/>
    <s v="PSES Elem Prog01Duty47 S275"/>
    <x v="0"/>
    <s v="47"/>
    <n v="47"/>
    <m/>
    <s v="   "/>
    <n v="1"/>
    <n v="0.23300000000000001"/>
    <n v="0"/>
    <x v="24"/>
  </r>
  <r>
    <s v="17411"/>
    <x v="99"/>
    <s v="Personnel"/>
    <s v="H "/>
    <x v="1"/>
    <x v="25"/>
    <s v="PSES High Prog01Duty47 S275"/>
    <x v="0"/>
    <s v="47"/>
    <n v="47"/>
    <m/>
    <s v="   "/>
    <n v="1"/>
    <n v="0.23300000000000001"/>
    <n v="0"/>
    <x v="22"/>
  </r>
  <r>
    <s v="17411"/>
    <x v="99"/>
    <s v="Personnel"/>
    <s v="M "/>
    <x v="2"/>
    <x v="34"/>
    <s v="PSES Mid Prog01Duty47 S275"/>
    <x v="0"/>
    <s v="47"/>
    <n v="47"/>
    <m/>
    <s v="   "/>
    <n v="1"/>
    <n v="0.23300000000000001"/>
    <n v="0"/>
    <x v="28"/>
  </r>
  <r>
    <s v="17411"/>
    <x v="99"/>
    <s v="Personnel"/>
    <s v="H "/>
    <x v="1"/>
    <x v="36"/>
    <s v="PSES High Prog21Duty48 S275"/>
    <x v="1"/>
    <s v="48"/>
    <n v="48"/>
    <m/>
    <s v="   "/>
    <n v="2.4"/>
    <n v="0.23300000000000001"/>
    <n v="0.55900000000000005"/>
    <x v="30"/>
  </r>
  <r>
    <s v="17411"/>
    <x v="99"/>
    <s v="Personnel"/>
    <s v="M "/>
    <x v="2"/>
    <x v="37"/>
    <s v="PSES Mid Prog21Duty48 S275"/>
    <x v="1"/>
    <s v="48"/>
    <n v="48"/>
    <m/>
    <s v="   "/>
    <n v="2.4"/>
    <n v="0.23300000000000001"/>
    <n v="0.55900000000000005"/>
    <x v="31"/>
  </r>
  <r>
    <s v="17412"/>
    <x v="100"/>
    <s v="Personnel"/>
    <s v="H "/>
    <x v="1"/>
    <x v="1"/>
    <s v="PSES High Prog01Duty96 S275"/>
    <x v="0"/>
    <s v="24"/>
    <n v="96"/>
    <n v="24"/>
    <s v="   "/>
    <n v="6.6310000000000002"/>
    <n v="0.23469999999999999"/>
    <n v="0"/>
    <x v="1"/>
  </r>
  <r>
    <s v="17412"/>
    <x v="100"/>
    <s v="Personnel"/>
    <s v="H "/>
    <x v="1"/>
    <x v="4"/>
    <s v="PSES High Prog21Act25 S275"/>
    <x v="1"/>
    <s v="25"/>
    <m/>
    <n v="25"/>
    <s v="   "/>
    <n v="4.87"/>
    <n v="0.23469999999999999"/>
    <n v="1.143"/>
    <x v="4"/>
  </r>
  <r>
    <s v="17412"/>
    <x v="100"/>
    <s v="Personnel"/>
    <s v="H "/>
    <x v="1"/>
    <x v="5"/>
    <s v="PSES High Prog01Act25 S275"/>
    <x v="0"/>
    <s v="25"/>
    <m/>
    <n v="25"/>
    <s v="   "/>
    <n v="12.327999999999999"/>
    <n v="0.23469999999999999"/>
    <n v="0"/>
    <x v="4"/>
  </r>
  <r>
    <s v="17412"/>
    <x v="100"/>
    <s v="Personnel"/>
    <s v="H "/>
    <x v="1"/>
    <x v="29"/>
    <s v="PSES High Prog21Act26 S275"/>
    <x v="1"/>
    <s v="26"/>
    <m/>
    <n v="26"/>
    <s v="   "/>
    <n v="0.626"/>
    <n v="0.23469999999999999"/>
    <n v="0.14699999999999999"/>
    <x v="7"/>
  </r>
  <r>
    <s v="17412"/>
    <x v="100"/>
    <s v="Personnel"/>
    <s v="H "/>
    <x v="1"/>
    <x v="9"/>
    <s v="PSES High Prog01Act26 S275"/>
    <x v="0"/>
    <s v="26"/>
    <m/>
    <n v="26"/>
    <s v="   "/>
    <n v="9.3759999999999994"/>
    <n v="0.23469999999999999"/>
    <n v="0"/>
    <x v="7"/>
  </r>
  <r>
    <s v="17412"/>
    <x v="100"/>
    <s v="Personnel"/>
    <s v="H "/>
    <x v="1"/>
    <x v="54"/>
    <s v="PSES High Prog01Act35 S275"/>
    <x v="0"/>
    <s v="35"/>
    <m/>
    <n v="35"/>
    <s v="   "/>
    <n v="3"/>
    <n v="0.23469999999999999"/>
    <n v="0"/>
    <x v="9"/>
  </r>
  <r>
    <s v="17412"/>
    <x v="100"/>
    <s v="Personnel"/>
    <s v="E "/>
    <x v="0"/>
    <x v="15"/>
    <s v="PSES Elem Prog01Duty42 S275"/>
    <x v="0"/>
    <s v="42"/>
    <n v="42"/>
    <m/>
    <s v="   "/>
    <n v="9.76"/>
    <n v="0.23469999999999999"/>
    <n v="0"/>
    <x v="12"/>
  </r>
  <r>
    <s v="17412"/>
    <x v="100"/>
    <s v="Personnel"/>
    <s v="H "/>
    <x v="1"/>
    <x v="16"/>
    <s v="PSES High Prog01Duty42 S275"/>
    <x v="0"/>
    <s v="42"/>
    <n v="42"/>
    <m/>
    <s v="   "/>
    <n v="9.9979999999999993"/>
    <n v="0.23469999999999999"/>
    <n v="0"/>
    <x v="13"/>
  </r>
  <r>
    <s v="17412"/>
    <x v="100"/>
    <s v="Personnel"/>
    <s v="M "/>
    <x v="2"/>
    <x v="17"/>
    <s v="PSES Mid Prog01Duty42 S275"/>
    <x v="0"/>
    <s v="42"/>
    <n v="42"/>
    <m/>
    <s v="   "/>
    <n v="6.94"/>
    <n v="0.23469999999999999"/>
    <n v="0"/>
    <x v="14"/>
  </r>
  <r>
    <s v="17412"/>
    <x v="100"/>
    <s v="Personnel"/>
    <s v="E "/>
    <x v="0"/>
    <x v="18"/>
    <s v="PSES Elem Prog21Duty43 S275"/>
    <x v="1"/>
    <s v="43"/>
    <n v="43"/>
    <m/>
    <s v="   "/>
    <n v="5.18"/>
    <n v="0.23469999999999999"/>
    <n v="1.216"/>
    <x v="15"/>
  </r>
  <r>
    <s v="17412"/>
    <x v="100"/>
    <s v="Personnel"/>
    <s v="M "/>
    <x v="2"/>
    <x v="31"/>
    <s v="PSES Mid Prog21Duty43 S275"/>
    <x v="1"/>
    <s v="43"/>
    <n v="43"/>
    <m/>
    <s v="   "/>
    <n v="0.92"/>
    <n v="0.23469999999999999"/>
    <n v="0.216"/>
    <x v="27"/>
  </r>
  <r>
    <s v="17412"/>
    <x v="100"/>
    <s v="Personnel"/>
    <s v="E "/>
    <x v="0"/>
    <x v="20"/>
    <s v="PSES Elem Prog21Duty45 S275"/>
    <x v="1"/>
    <s v="45"/>
    <n v="45"/>
    <m/>
    <s v="   "/>
    <n v="10.302"/>
    <n v="0.23469999999999999"/>
    <n v="2.4180000000000001"/>
    <x v="17"/>
  </r>
  <r>
    <s v="17412"/>
    <x v="100"/>
    <s v="Personnel"/>
    <s v="H "/>
    <x v="1"/>
    <x v="21"/>
    <s v="PSES High Prog21Duty45 S275"/>
    <x v="1"/>
    <s v="45"/>
    <n v="45"/>
    <m/>
    <s v="   "/>
    <n v="2.0979999999999999"/>
    <n v="0.23469999999999999"/>
    <n v="0.49199999999999999"/>
    <x v="18"/>
  </r>
  <r>
    <s v="17412"/>
    <x v="100"/>
    <s v="Personnel"/>
    <s v="M "/>
    <x v="2"/>
    <x v="28"/>
    <s v="PSES Mid Prog21Duty45 S275"/>
    <x v="1"/>
    <s v="45"/>
    <n v="45"/>
    <m/>
    <s v="   "/>
    <n v="1.5"/>
    <n v="0.23469999999999999"/>
    <n v="0.35199999999999998"/>
    <x v="25"/>
  </r>
  <r>
    <s v="17412"/>
    <x v="100"/>
    <s v="Personnel"/>
    <s v="E "/>
    <x v="0"/>
    <x v="22"/>
    <s v="PSES Elem Prog21Duty46 S275"/>
    <x v="1"/>
    <s v="46"/>
    <n v="46"/>
    <m/>
    <s v="   "/>
    <n v="0.8"/>
    <n v="0.23469999999999999"/>
    <n v="0.188"/>
    <x v="19"/>
  </r>
  <r>
    <s v="17412"/>
    <x v="100"/>
    <s v="Personnel"/>
    <s v="E "/>
    <x v="0"/>
    <x v="35"/>
    <s v="PSES Elem Prog21Duty48 S275"/>
    <x v="1"/>
    <s v="48"/>
    <n v="48"/>
    <m/>
    <s v="   "/>
    <n v="2.87"/>
    <n v="0.23469999999999999"/>
    <n v="0.67400000000000004"/>
    <x v="29"/>
  </r>
  <r>
    <s v="17414"/>
    <x v="101"/>
    <s v="Personnel"/>
    <s v="H "/>
    <x v="1"/>
    <x v="1"/>
    <s v="PSES High Prog01Duty96 S275"/>
    <x v="0"/>
    <s v="24"/>
    <n v="96"/>
    <n v="24"/>
    <s v="   "/>
    <n v="4.1109999999999998"/>
    <n v="0.22600000000000001"/>
    <n v="0"/>
    <x v="1"/>
  </r>
  <r>
    <s v="17414"/>
    <x v="101"/>
    <s v="Personnel"/>
    <s v="H "/>
    <x v="1"/>
    <x v="5"/>
    <s v="PSES High Prog01Act25 S275"/>
    <x v="0"/>
    <s v="25"/>
    <m/>
    <n v="25"/>
    <s v="   "/>
    <n v="66.320999999999998"/>
    <n v="0.22600000000000001"/>
    <n v="0"/>
    <x v="4"/>
  </r>
  <r>
    <s v="17414"/>
    <x v="101"/>
    <s v="Personnel"/>
    <s v="H "/>
    <x v="1"/>
    <x v="29"/>
    <s v="PSES High Prog21Act26 S275"/>
    <x v="1"/>
    <s v="26"/>
    <m/>
    <n v="26"/>
    <s v="   "/>
    <n v="4.25"/>
    <n v="0.22600000000000001"/>
    <n v="0.96099999999999997"/>
    <x v="7"/>
  </r>
  <r>
    <s v="17414"/>
    <x v="101"/>
    <s v="Personnel"/>
    <s v="H "/>
    <x v="1"/>
    <x v="9"/>
    <s v="PSES High Prog01Act26 S275"/>
    <x v="0"/>
    <s v="26"/>
    <m/>
    <n v="26"/>
    <s v="   "/>
    <n v="46.55"/>
    <n v="0.22600000000000001"/>
    <n v="0"/>
    <x v="7"/>
  </r>
  <r>
    <s v="17414"/>
    <x v="101"/>
    <s v="Personnel"/>
    <s v="E "/>
    <x v="0"/>
    <x v="15"/>
    <s v="PSES Elem Prog01Duty42 S275"/>
    <x v="0"/>
    <s v="42"/>
    <n v="42"/>
    <m/>
    <s v="   "/>
    <n v="28.943999999999999"/>
    <n v="0.22600000000000001"/>
    <n v="0"/>
    <x v="12"/>
  </r>
  <r>
    <s v="17414"/>
    <x v="101"/>
    <s v="Personnel"/>
    <s v="H "/>
    <x v="1"/>
    <x v="16"/>
    <s v="PSES High Prog01Duty42 S275"/>
    <x v="0"/>
    <s v="42"/>
    <n v="42"/>
    <m/>
    <s v="   "/>
    <n v="30.521999999999998"/>
    <n v="0.22600000000000001"/>
    <n v="0"/>
    <x v="13"/>
  </r>
  <r>
    <s v="17414"/>
    <x v="101"/>
    <s v="Personnel"/>
    <s v="M "/>
    <x v="2"/>
    <x v="17"/>
    <s v="PSES Mid Prog01Duty42 S275"/>
    <x v="0"/>
    <s v="42"/>
    <n v="42"/>
    <m/>
    <s v="   "/>
    <n v="20.983000000000001"/>
    <n v="0.22600000000000001"/>
    <n v="0"/>
    <x v="14"/>
  </r>
  <r>
    <s v="17414"/>
    <x v="101"/>
    <s v="Personnel"/>
    <s v="E "/>
    <x v="0"/>
    <x v="18"/>
    <s v="PSES Elem Prog21Duty43 S275"/>
    <x v="1"/>
    <s v="43"/>
    <n v="43"/>
    <m/>
    <s v="   "/>
    <n v="16.672000000000001"/>
    <n v="0.22600000000000001"/>
    <n v="3.7679999999999998"/>
    <x v="15"/>
  </r>
  <r>
    <s v="17414"/>
    <x v="101"/>
    <s v="Personnel"/>
    <s v="H "/>
    <x v="1"/>
    <x v="19"/>
    <s v="PSES High Prog21Duty43 S275"/>
    <x v="1"/>
    <s v="43"/>
    <n v="43"/>
    <m/>
    <s v="   "/>
    <n v="2.5289999999999999"/>
    <n v="0.22600000000000001"/>
    <n v="0.57199999999999995"/>
    <x v="16"/>
  </r>
  <r>
    <s v="17414"/>
    <x v="101"/>
    <s v="Personnel"/>
    <s v="M "/>
    <x v="2"/>
    <x v="31"/>
    <s v="PSES Mid Prog21Duty43 S275"/>
    <x v="1"/>
    <s v="43"/>
    <n v="43"/>
    <m/>
    <s v="   "/>
    <n v="3.57"/>
    <n v="0.22600000000000001"/>
    <n v="0.80700000000000005"/>
    <x v="27"/>
  </r>
  <r>
    <s v="17414"/>
    <x v="101"/>
    <s v="Personnel"/>
    <s v="E "/>
    <x v="0"/>
    <x v="20"/>
    <s v="PSES Elem Prog21Duty45 S275"/>
    <x v="1"/>
    <s v="45"/>
    <n v="45"/>
    <m/>
    <s v="   "/>
    <n v="17.399999999999999"/>
    <n v="0.22600000000000001"/>
    <n v="3.9319999999999999"/>
    <x v="17"/>
  </r>
  <r>
    <s v="17414"/>
    <x v="101"/>
    <s v="Personnel"/>
    <s v="H "/>
    <x v="1"/>
    <x v="21"/>
    <s v="PSES High Prog21Duty45 S275"/>
    <x v="1"/>
    <s v="45"/>
    <n v="45"/>
    <m/>
    <s v="   "/>
    <n v="5"/>
    <n v="0.22600000000000001"/>
    <n v="1.1299999999999999"/>
    <x v="18"/>
  </r>
  <r>
    <s v="17414"/>
    <x v="101"/>
    <s v="Personnel"/>
    <s v="M "/>
    <x v="2"/>
    <x v="28"/>
    <s v="PSES Mid Prog21Duty45 S275"/>
    <x v="1"/>
    <s v="45"/>
    <n v="45"/>
    <m/>
    <s v="   "/>
    <n v="6.2"/>
    <n v="0.22600000000000001"/>
    <n v="1.401"/>
    <x v="25"/>
  </r>
  <r>
    <s v="17414"/>
    <x v="101"/>
    <s v="Personnel"/>
    <s v="E "/>
    <x v="0"/>
    <x v="48"/>
    <s v="PSES Elem Prog01Duty46 S275"/>
    <x v="0"/>
    <s v="46"/>
    <n v="46"/>
    <m/>
    <s v="   "/>
    <n v="15.2"/>
    <n v="0.22600000000000001"/>
    <n v="0"/>
    <x v="19"/>
  </r>
  <r>
    <s v="17414"/>
    <x v="101"/>
    <s v="Personnel"/>
    <s v="H "/>
    <x v="1"/>
    <x v="65"/>
    <s v="PSES High Prog01Duty46 S275"/>
    <x v="0"/>
    <s v="46"/>
    <n v="46"/>
    <m/>
    <s v="   "/>
    <n v="9.718"/>
    <n v="0.22600000000000001"/>
    <n v="0"/>
    <x v="20"/>
  </r>
  <r>
    <s v="17414"/>
    <x v="101"/>
    <s v="Personnel"/>
    <s v="M "/>
    <x v="2"/>
    <x v="49"/>
    <s v="PSES Mid Prog01Duty46 S275"/>
    <x v="0"/>
    <s v="46"/>
    <n v="46"/>
    <m/>
    <s v="   "/>
    <n v="7.05"/>
    <n v="0.22600000000000001"/>
    <n v="0"/>
    <x v="21"/>
  </r>
  <r>
    <s v="17414"/>
    <x v="101"/>
    <s v="Personnel"/>
    <s v="E "/>
    <x v="0"/>
    <x v="35"/>
    <s v="PSES Elem Prog21Duty48 S275"/>
    <x v="1"/>
    <s v="48"/>
    <n v="48"/>
    <m/>
    <s v="   "/>
    <n v="2.7"/>
    <n v="0.22600000000000001"/>
    <n v="0.61"/>
    <x v="29"/>
  </r>
  <r>
    <s v="17414"/>
    <x v="101"/>
    <s v="Personnel"/>
    <s v="H "/>
    <x v="1"/>
    <x v="36"/>
    <s v="PSES High Prog21Duty48 S275"/>
    <x v="1"/>
    <s v="48"/>
    <n v="48"/>
    <m/>
    <s v="   "/>
    <n v="1.1000000000000001"/>
    <n v="0.22600000000000001"/>
    <n v="0.249"/>
    <x v="30"/>
  </r>
  <r>
    <s v="17414"/>
    <x v="101"/>
    <s v="Personnel"/>
    <s v="M "/>
    <x v="2"/>
    <x v="37"/>
    <s v="PSES Mid Prog21Duty48 S275"/>
    <x v="1"/>
    <s v="48"/>
    <n v="48"/>
    <m/>
    <s v="   "/>
    <n v="0.9"/>
    <n v="0.22600000000000001"/>
    <n v="0.20300000000000001"/>
    <x v="31"/>
  </r>
  <r>
    <s v="17415"/>
    <x v="102"/>
    <s v="Personnel"/>
    <s v="E "/>
    <x v="0"/>
    <x v="3"/>
    <s v="PSES Elem Prog01Act25 S275"/>
    <x v="0"/>
    <s v="25"/>
    <m/>
    <n v="25"/>
    <s v="   "/>
    <n v="5.0410000000000004"/>
    <n v="0.30840000000000001"/>
    <n v="0"/>
    <x v="3"/>
  </r>
  <r>
    <s v="17415"/>
    <x v="102"/>
    <s v="Personnel"/>
    <s v="H "/>
    <x v="1"/>
    <x v="5"/>
    <s v="PSES High Prog01Act25 S275"/>
    <x v="0"/>
    <s v="25"/>
    <m/>
    <n v="25"/>
    <s v="   "/>
    <n v="49.628999999999998"/>
    <n v="0.30840000000000001"/>
    <n v="0"/>
    <x v="4"/>
  </r>
  <r>
    <s v="17415"/>
    <x v="102"/>
    <s v="Personnel"/>
    <s v="E "/>
    <x v="0"/>
    <x v="8"/>
    <s v="PSES Elem Prog01Act26 S275"/>
    <x v="0"/>
    <s v="26"/>
    <m/>
    <n v="26"/>
    <s v="   "/>
    <n v="2.9"/>
    <n v="0.30840000000000001"/>
    <n v="0"/>
    <x v="6"/>
  </r>
  <r>
    <s v="17415"/>
    <x v="102"/>
    <s v="Personnel"/>
    <s v="H "/>
    <x v="1"/>
    <x v="29"/>
    <s v="PSES High Prog21Act26 S275"/>
    <x v="1"/>
    <s v="26"/>
    <m/>
    <n v="26"/>
    <s v="   "/>
    <n v="2.8130000000000002"/>
    <n v="0.30840000000000001"/>
    <n v="0.86799999999999999"/>
    <x v="7"/>
  </r>
  <r>
    <s v="17415"/>
    <x v="102"/>
    <s v="Personnel"/>
    <s v="H "/>
    <x v="1"/>
    <x v="9"/>
    <s v="PSES High Prog01Act26 S275"/>
    <x v="0"/>
    <s v="26"/>
    <m/>
    <n v="26"/>
    <s v="   "/>
    <n v="22.332999999999998"/>
    <n v="0.30840000000000001"/>
    <n v="0"/>
    <x v="7"/>
  </r>
  <r>
    <s v="17415"/>
    <x v="102"/>
    <s v="Personnel"/>
    <s v="M "/>
    <x v="2"/>
    <x v="11"/>
    <s v="PSES Mid Prog01Act26 S275"/>
    <x v="0"/>
    <s v="26"/>
    <m/>
    <n v="26"/>
    <s v="   "/>
    <n v="1.714"/>
    <n v="0.30840000000000001"/>
    <n v="0"/>
    <x v="8"/>
  </r>
  <r>
    <s v="17415"/>
    <x v="102"/>
    <s v="Personnel"/>
    <s v="H "/>
    <x v="1"/>
    <x v="54"/>
    <s v="PSES High Prog01Act35 S275"/>
    <x v="0"/>
    <s v="35"/>
    <m/>
    <n v="35"/>
    <s v="   "/>
    <n v="15.925000000000001"/>
    <n v="0.30840000000000001"/>
    <n v="0"/>
    <x v="9"/>
  </r>
  <r>
    <s v="17415"/>
    <x v="102"/>
    <s v="Personnel"/>
    <s v="E "/>
    <x v="0"/>
    <x v="15"/>
    <s v="PSES Elem Prog01Duty42 S275"/>
    <x v="0"/>
    <s v="42"/>
    <n v="42"/>
    <m/>
    <s v="   "/>
    <n v="12.494999999999999"/>
    <n v="0.30840000000000001"/>
    <n v="0"/>
    <x v="12"/>
  </r>
  <r>
    <s v="17415"/>
    <x v="102"/>
    <s v="Personnel"/>
    <s v="H "/>
    <x v="1"/>
    <x v="16"/>
    <s v="PSES High Prog01Duty42 S275"/>
    <x v="0"/>
    <s v="42"/>
    <n v="42"/>
    <m/>
    <s v="   "/>
    <n v="19.899999999999999"/>
    <n v="0.30840000000000001"/>
    <n v="0"/>
    <x v="13"/>
  </r>
  <r>
    <s v="17415"/>
    <x v="102"/>
    <s v="Personnel"/>
    <s v="M "/>
    <x v="2"/>
    <x v="17"/>
    <s v="PSES Mid Prog01Duty42 S275"/>
    <x v="0"/>
    <s v="42"/>
    <n v="42"/>
    <m/>
    <s v="   "/>
    <n v="20"/>
    <n v="0.30840000000000001"/>
    <n v="0"/>
    <x v="14"/>
  </r>
  <r>
    <s v="17415"/>
    <x v="102"/>
    <s v="Personnel"/>
    <s v="E "/>
    <x v="0"/>
    <x v="42"/>
    <s v="PSES Elem Prog01Duty44 S275"/>
    <x v="0"/>
    <s v="44"/>
    <n v="44"/>
    <m/>
    <s v="   "/>
    <n v="5"/>
    <n v="0.30840000000000001"/>
    <n v="0"/>
    <x v="33"/>
  </r>
  <r>
    <s v="17415"/>
    <x v="102"/>
    <s v="Personnel"/>
    <s v="E "/>
    <x v="0"/>
    <x v="20"/>
    <s v="PSES Elem Prog21Duty45 S275"/>
    <x v="1"/>
    <s v="45"/>
    <n v="45"/>
    <m/>
    <s v="   "/>
    <n v="19.722999999999999"/>
    <n v="0.30840000000000001"/>
    <n v="6.0830000000000002"/>
    <x v="17"/>
  </r>
  <r>
    <s v="17415"/>
    <x v="102"/>
    <s v="Personnel"/>
    <s v="H "/>
    <x v="1"/>
    <x v="21"/>
    <s v="PSES High Prog21Duty45 S275"/>
    <x v="1"/>
    <s v="45"/>
    <n v="45"/>
    <m/>
    <s v="   "/>
    <n v="24.524999999999999"/>
    <n v="0.30840000000000001"/>
    <n v="7.5640000000000001"/>
    <x v="18"/>
  </r>
  <r>
    <s v="17415"/>
    <x v="102"/>
    <s v="Personnel"/>
    <s v="M "/>
    <x v="2"/>
    <x v="28"/>
    <s v="PSES Mid Prog21Duty45 S275"/>
    <x v="1"/>
    <s v="45"/>
    <n v="45"/>
    <m/>
    <s v="   "/>
    <n v="1.165"/>
    <n v="0.30840000000000001"/>
    <n v="0.35899999999999999"/>
    <x v="25"/>
  </r>
  <r>
    <s v="17415"/>
    <x v="102"/>
    <s v="Personnel"/>
    <s v="E "/>
    <x v="0"/>
    <x v="22"/>
    <s v="PSES Elem Prog21Duty46 S275"/>
    <x v="1"/>
    <s v="46"/>
    <n v="46"/>
    <m/>
    <s v="   "/>
    <n v="30.556999999999999"/>
    <n v="0.30840000000000001"/>
    <n v="9.4239999999999995"/>
    <x v="19"/>
  </r>
  <r>
    <s v="17415"/>
    <x v="102"/>
    <s v="Personnel"/>
    <s v="H "/>
    <x v="1"/>
    <x v="23"/>
    <s v="PSES High Prog21Duty46 S275"/>
    <x v="1"/>
    <s v="46"/>
    <n v="46"/>
    <m/>
    <s v="   "/>
    <n v="1.9770000000000001"/>
    <n v="0.30840000000000001"/>
    <n v="0.61"/>
    <x v="20"/>
  </r>
  <r>
    <s v="17415"/>
    <x v="102"/>
    <s v="Personnel"/>
    <s v="E "/>
    <x v="0"/>
    <x v="27"/>
    <s v="PSES Elem Prog01Duty47 S275"/>
    <x v="0"/>
    <s v="47"/>
    <n v="47"/>
    <m/>
    <s v="   "/>
    <n v="10.714"/>
    <n v="0.30840000000000001"/>
    <n v="0"/>
    <x v="24"/>
  </r>
  <r>
    <s v="17415"/>
    <x v="102"/>
    <s v="Personnel"/>
    <s v="H "/>
    <x v="1"/>
    <x v="25"/>
    <s v="PSES High Prog01Duty47 S275"/>
    <x v="0"/>
    <s v="47"/>
    <n v="47"/>
    <m/>
    <s v="   "/>
    <n v="8.74"/>
    <n v="0.30840000000000001"/>
    <n v="0"/>
    <x v="22"/>
  </r>
  <r>
    <s v="17415"/>
    <x v="102"/>
    <s v="Personnel"/>
    <s v="E "/>
    <x v="0"/>
    <x v="35"/>
    <s v="PSES Elem Prog21Duty48 S275"/>
    <x v="1"/>
    <s v="48"/>
    <n v="48"/>
    <m/>
    <s v="   "/>
    <n v="4.7699999999999996"/>
    <n v="0.30840000000000001"/>
    <n v="1.4710000000000001"/>
    <x v="29"/>
  </r>
  <r>
    <s v="17415"/>
    <x v="102"/>
    <s v="Personnel"/>
    <s v="H "/>
    <x v="1"/>
    <x v="55"/>
    <s v="PSES High Prog21Duty49 S275"/>
    <x v="1"/>
    <s v="49"/>
    <n v="49"/>
    <m/>
    <s v="   "/>
    <n v="4"/>
    <n v="0.30840000000000001"/>
    <n v="1.234"/>
    <x v="37"/>
  </r>
  <r>
    <s v="17417"/>
    <x v="103"/>
    <s v="Personnel"/>
    <s v="E "/>
    <x v="0"/>
    <x v="3"/>
    <s v="PSES Elem Prog01Act25 S275"/>
    <x v="0"/>
    <s v="25"/>
    <m/>
    <n v="25"/>
    <s v="   "/>
    <n v="5.8109999999999999"/>
    <n v="0.20830000000000001"/>
    <n v="0"/>
    <x v="3"/>
  </r>
  <r>
    <s v="17417"/>
    <x v="103"/>
    <s v="Personnel"/>
    <s v="H "/>
    <x v="1"/>
    <x v="5"/>
    <s v="PSES High Prog01Act25 S275"/>
    <x v="0"/>
    <s v="25"/>
    <m/>
    <n v="25"/>
    <s v="   "/>
    <n v="13.73"/>
    <n v="0.20830000000000001"/>
    <n v="0"/>
    <x v="4"/>
  </r>
  <r>
    <s v="17417"/>
    <x v="103"/>
    <s v="Personnel"/>
    <s v="M "/>
    <x v="2"/>
    <x v="6"/>
    <s v="PSES Mid Prog01Act25 S275"/>
    <x v="0"/>
    <s v="25"/>
    <m/>
    <n v="25"/>
    <s v="   "/>
    <n v="0.443"/>
    <n v="0.20830000000000001"/>
    <n v="0"/>
    <x v="5"/>
  </r>
  <r>
    <s v="17417"/>
    <x v="103"/>
    <s v="Personnel"/>
    <s v="E "/>
    <x v="0"/>
    <x v="7"/>
    <s v="PSES Elem Prog21Act26 S275"/>
    <x v="1"/>
    <s v="26"/>
    <m/>
    <n v="26"/>
    <s v="   "/>
    <n v="1.653"/>
    <n v="0.20830000000000001"/>
    <n v="0.34399999999999997"/>
    <x v="6"/>
  </r>
  <r>
    <s v="17417"/>
    <x v="103"/>
    <s v="Personnel"/>
    <s v="E "/>
    <x v="0"/>
    <x v="8"/>
    <s v="PSES Elem Prog01Act26 S275"/>
    <x v="0"/>
    <s v="26"/>
    <m/>
    <n v="26"/>
    <s v="   "/>
    <n v="14.01"/>
    <n v="0.20830000000000001"/>
    <n v="0"/>
    <x v="6"/>
  </r>
  <r>
    <s v="17417"/>
    <x v="103"/>
    <s v="Personnel"/>
    <s v="H "/>
    <x v="1"/>
    <x v="29"/>
    <s v="PSES High Prog21Act26 S275"/>
    <x v="1"/>
    <s v="26"/>
    <m/>
    <n v="26"/>
    <s v="   "/>
    <n v="13.842000000000001"/>
    <n v="0.20830000000000001"/>
    <n v="2.883"/>
    <x v="7"/>
  </r>
  <r>
    <s v="17417"/>
    <x v="103"/>
    <s v="Personnel"/>
    <s v="H "/>
    <x v="1"/>
    <x v="9"/>
    <s v="PSES High Prog01Act26 S275"/>
    <x v="0"/>
    <s v="26"/>
    <m/>
    <n v="26"/>
    <s v="   "/>
    <n v="6.7229999999999999"/>
    <n v="0.20830000000000001"/>
    <n v="0"/>
    <x v="7"/>
  </r>
  <r>
    <s v="17417"/>
    <x v="103"/>
    <s v="Personnel"/>
    <s v="M "/>
    <x v="2"/>
    <x v="10"/>
    <s v="PSES Mid Prog21Act26 S275"/>
    <x v="1"/>
    <s v="26"/>
    <m/>
    <n v="26"/>
    <s v="   "/>
    <n v="0.128"/>
    <n v="0.20830000000000001"/>
    <n v="2.7E-2"/>
    <x v="8"/>
  </r>
  <r>
    <s v="17417"/>
    <x v="103"/>
    <s v="Personnel"/>
    <s v="M "/>
    <x v="2"/>
    <x v="11"/>
    <s v="PSES Mid Prog01Act26 S275"/>
    <x v="0"/>
    <s v="26"/>
    <m/>
    <n v="26"/>
    <s v="   "/>
    <n v="4.3730000000000002"/>
    <n v="0.20830000000000001"/>
    <n v="0"/>
    <x v="8"/>
  </r>
  <r>
    <s v="17417"/>
    <x v="103"/>
    <s v="Personnel"/>
    <s v="H "/>
    <x v="1"/>
    <x v="54"/>
    <s v="PSES High Prog01Act35 S275"/>
    <x v="0"/>
    <s v="35"/>
    <m/>
    <n v="35"/>
    <s v="   "/>
    <n v="5.1660000000000004"/>
    <n v="0.20830000000000001"/>
    <n v="0"/>
    <x v="9"/>
  </r>
  <r>
    <s v="17417"/>
    <x v="103"/>
    <s v="Personnel"/>
    <s v="E "/>
    <x v="0"/>
    <x v="15"/>
    <s v="PSES Elem Prog01Duty42 S275"/>
    <x v="0"/>
    <s v="42"/>
    <n v="42"/>
    <m/>
    <s v="   "/>
    <n v="28.28"/>
    <n v="0.20830000000000001"/>
    <n v="0"/>
    <x v="12"/>
  </r>
  <r>
    <s v="17417"/>
    <x v="103"/>
    <s v="Personnel"/>
    <s v="H "/>
    <x v="1"/>
    <x v="16"/>
    <s v="PSES High Prog01Duty42 S275"/>
    <x v="0"/>
    <s v="42"/>
    <n v="42"/>
    <m/>
    <s v="   "/>
    <n v="22.1"/>
    <n v="0.20830000000000001"/>
    <n v="0"/>
    <x v="13"/>
  </r>
  <r>
    <s v="17417"/>
    <x v="103"/>
    <s v="Personnel"/>
    <s v="M "/>
    <x v="2"/>
    <x v="17"/>
    <s v="PSES Mid Prog01Duty42 S275"/>
    <x v="0"/>
    <s v="42"/>
    <n v="42"/>
    <m/>
    <s v="   "/>
    <n v="11.702999999999999"/>
    <n v="0.20830000000000001"/>
    <n v="0"/>
    <x v="14"/>
  </r>
  <r>
    <s v="17417"/>
    <x v="103"/>
    <s v="Personnel"/>
    <s v="E "/>
    <x v="0"/>
    <x v="18"/>
    <s v="PSES Elem Prog21Duty43 S275"/>
    <x v="1"/>
    <s v="43"/>
    <n v="43"/>
    <m/>
    <s v="   "/>
    <n v="10.882"/>
    <n v="0.20830000000000001"/>
    <n v="2.2669999999999999"/>
    <x v="15"/>
  </r>
  <r>
    <s v="17417"/>
    <x v="103"/>
    <s v="Personnel"/>
    <s v="H "/>
    <x v="1"/>
    <x v="19"/>
    <s v="PSES High Prog21Duty43 S275"/>
    <x v="1"/>
    <s v="43"/>
    <n v="43"/>
    <m/>
    <s v="   "/>
    <n v="0.16"/>
    <n v="0.20830000000000001"/>
    <n v="3.3000000000000002E-2"/>
    <x v="16"/>
  </r>
  <r>
    <s v="17417"/>
    <x v="103"/>
    <s v="Personnel"/>
    <s v="M "/>
    <x v="2"/>
    <x v="31"/>
    <s v="PSES Mid Prog21Duty43 S275"/>
    <x v="1"/>
    <s v="43"/>
    <n v="43"/>
    <m/>
    <s v="   "/>
    <n v="1.3160000000000001"/>
    <n v="0.20830000000000001"/>
    <n v="0.27400000000000002"/>
    <x v="27"/>
  </r>
  <r>
    <s v="17417"/>
    <x v="103"/>
    <s v="Personnel"/>
    <s v="E "/>
    <x v="0"/>
    <x v="20"/>
    <s v="PSES Elem Prog21Duty45 S275"/>
    <x v="1"/>
    <s v="45"/>
    <n v="45"/>
    <m/>
    <s v="   "/>
    <n v="24.763999999999999"/>
    <n v="0.20830000000000001"/>
    <n v="5.1580000000000004"/>
    <x v="17"/>
  </r>
  <r>
    <s v="17417"/>
    <x v="103"/>
    <s v="Personnel"/>
    <s v="H "/>
    <x v="1"/>
    <x v="21"/>
    <s v="PSES High Prog21Duty45 S275"/>
    <x v="1"/>
    <s v="45"/>
    <n v="45"/>
    <m/>
    <s v="   "/>
    <n v="5.1459999999999999"/>
    <n v="0.20830000000000001"/>
    <n v="1.0720000000000001"/>
    <x v="18"/>
  </r>
  <r>
    <s v="17417"/>
    <x v="103"/>
    <s v="Personnel"/>
    <s v="M "/>
    <x v="2"/>
    <x v="28"/>
    <s v="PSES Mid Prog21Duty45 S275"/>
    <x v="1"/>
    <s v="45"/>
    <n v="45"/>
    <m/>
    <s v="   "/>
    <n v="3.2210000000000001"/>
    <n v="0.20830000000000001"/>
    <n v="0.67100000000000004"/>
    <x v="25"/>
  </r>
  <r>
    <s v="17417"/>
    <x v="103"/>
    <s v="Personnel"/>
    <s v="E "/>
    <x v="0"/>
    <x v="22"/>
    <s v="PSES Elem Prog21Duty46 S275"/>
    <x v="1"/>
    <s v="46"/>
    <n v="46"/>
    <m/>
    <s v="   "/>
    <n v="11.108000000000001"/>
    <n v="0.20830000000000001"/>
    <n v="2.3140000000000001"/>
    <x v="19"/>
  </r>
  <r>
    <s v="17417"/>
    <x v="103"/>
    <s v="Personnel"/>
    <s v="H "/>
    <x v="1"/>
    <x v="23"/>
    <s v="PSES High Prog21Duty46 S275"/>
    <x v="1"/>
    <s v="46"/>
    <n v="46"/>
    <m/>
    <s v="   "/>
    <n v="5.19"/>
    <n v="0.20830000000000001"/>
    <n v="1.081"/>
    <x v="20"/>
  </r>
  <r>
    <s v="17417"/>
    <x v="103"/>
    <s v="Personnel"/>
    <s v="M "/>
    <x v="2"/>
    <x v="24"/>
    <s v="PSES Mid Prog21Duty46 S275"/>
    <x v="1"/>
    <s v="46"/>
    <n v="46"/>
    <m/>
    <s v="   "/>
    <n v="2.4980000000000002"/>
    <n v="0.20830000000000001"/>
    <n v="0.52"/>
    <x v="21"/>
  </r>
  <r>
    <s v="17417"/>
    <x v="103"/>
    <s v="Personnel"/>
    <s v="E "/>
    <x v="0"/>
    <x v="32"/>
    <s v="PSES Elem Prog21Duty47 S275"/>
    <x v="1"/>
    <s v="47"/>
    <n v="47"/>
    <m/>
    <s v="   "/>
    <n v="0.25"/>
    <n v="0.20830000000000001"/>
    <n v="5.1999999999999998E-2"/>
    <x v="24"/>
  </r>
  <r>
    <s v="17417"/>
    <x v="103"/>
    <s v="Personnel"/>
    <s v="E "/>
    <x v="0"/>
    <x v="27"/>
    <s v="PSES Elem Prog01Duty47 S275"/>
    <x v="0"/>
    <s v="47"/>
    <n v="47"/>
    <m/>
    <s v="   "/>
    <n v="0.75"/>
    <n v="0.20830000000000001"/>
    <n v="0"/>
    <x v="24"/>
  </r>
  <r>
    <s v="17417"/>
    <x v="103"/>
    <s v="Personnel"/>
    <s v="E "/>
    <x v="0"/>
    <x v="35"/>
    <s v="PSES Elem Prog21Duty48 S275"/>
    <x v="1"/>
    <s v="48"/>
    <n v="48"/>
    <m/>
    <s v="   "/>
    <n v="7.2569999999999997"/>
    <n v="0.20830000000000001"/>
    <n v="1.512"/>
    <x v="29"/>
  </r>
  <r>
    <s v="17417"/>
    <x v="103"/>
    <s v="Personnel"/>
    <s v="H "/>
    <x v="1"/>
    <x v="36"/>
    <s v="PSES High Prog21Duty48 S275"/>
    <x v="1"/>
    <s v="48"/>
    <n v="48"/>
    <m/>
    <s v="   "/>
    <n v="0.79600000000000004"/>
    <n v="0.20830000000000001"/>
    <n v="0.16600000000000001"/>
    <x v="30"/>
  </r>
  <r>
    <s v="17417"/>
    <x v="103"/>
    <s v="Personnel"/>
    <s v="M "/>
    <x v="2"/>
    <x v="37"/>
    <s v="PSES Mid Prog21Duty48 S275"/>
    <x v="1"/>
    <s v="48"/>
    <n v="48"/>
    <m/>
    <s v="   "/>
    <n v="0.92900000000000005"/>
    <n v="0.20830000000000001"/>
    <n v="0.19400000000000001"/>
    <x v="31"/>
  </r>
  <r>
    <s v="17902"/>
    <x v="104"/>
    <s v="Personnel"/>
    <s v="H "/>
    <x v="1"/>
    <x v="29"/>
    <s v="PSES High Prog21Act26 S275"/>
    <x v="1"/>
    <s v="26"/>
    <m/>
    <n v="26"/>
    <s v="   "/>
    <n v="0.80800000000000005"/>
    <n v="0.13"/>
    <n v="0.105"/>
    <x v="7"/>
  </r>
  <r>
    <s v="17902"/>
    <x v="104"/>
    <s v="Personnel"/>
    <s v="H "/>
    <x v="1"/>
    <x v="25"/>
    <s v="PSES High Prog01Duty47 S275"/>
    <x v="0"/>
    <s v="47"/>
    <n v="47"/>
    <m/>
    <s v="   "/>
    <n v="1"/>
    <n v="0.13"/>
    <n v="0"/>
    <x v="22"/>
  </r>
  <r>
    <s v="17903"/>
    <x v="105"/>
    <s v="Personnel"/>
    <s v="E "/>
    <x v="0"/>
    <x v="15"/>
    <s v="PSES Elem Prog01Duty42 S275"/>
    <x v="0"/>
    <s v="42"/>
    <n v="42"/>
    <m/>
    <s v="   "/>
    <n v="1"/>
    <n v="0.14760000000000001"/>
    <n v="0"/>
    <x v="12"/>
  </r>
  <r>
    <s v="17903"/>
    <x v="105"/>
    <s v="Personnel"/>
    <s v="H "/>
    <x v="1"/>
    <x v="16"/>
    <s v="PSES High Prog01Duty42 S275"/>
    <x v="0"/>
    <s v="42"/>
    <n v="42"/>
    <m/>
    <s v="   "/>
    <n v="2"/>
    <n v="0.14760000000000001"/>
    <n v="0"/>
    <x v="13"/>
  </r>
  <r>
    <s v="17903"/>
    <x v="105"/>
    <s v="Personnel"/>
    <s v="H "/>
    <x v="1"/>
    <x v="25"/>
    <s v="PSES High Prog01Duty47 S275"/>
    <x v="0"/>
    <s v="47"/>
    <n v="47"/>
    <m/>
    <s v="   "/>
    <n v="0.498"/>
    <n v="0.14760000000000001"/>
    <n v="0"/>
    <x v="22"/>
  </r>
  <r>
    <s v="17903"/>
    <x v="105"/>
    <s v="Personnel"/>
    <s v="M "/>
    <x v="2"/>
    <x v="34"/>
    <s v="PSES Mid Prog01Duty47 S275"/>
    <x v="0"/>
    <s v="47"/>
    <n v="47"/>
    <m/>
    <s v="   "/>
    <n v="0.498"/>
    <n v="0.14760000000000001"/>
    <n v="0"/>
    <x v="28"/>
  </r>
  <r>
    <s v="17905"/>
    <x v="106"/>
    <s v="Personnel"/>
    <s v="H "/>
    <x v="1"/>
    <x v="29"/>
    <s v="PSES High Prog21Act26 S275"/>
    <x v="1"/>
    <s v="26"/>
    <m/>
    <n v="26"/>
    <s v="   "/>
    <n v="0.80800000000000005"/>
    <n v="0.13150000000000001"/>
    <n v="0.106"/>
    <x v="7"/>
  </r>
  <r>
    <s v="17905"/>
    <x v="106"/>
    <s v="Personnel"/>
    <s v="H "/>
    <x v="1"/>
    <x v="25"/>
    <s v="PSES High Prog01Duty47 S275"/>
    <x v="0"/>
    <s v="47"/>
    <n v="47"/>
    <m/>
    <s v="   "/>
    <n v="0.45"/>
    <n v="0.13150000000000001"/>
    <n v="0"/>
    <x v="22"/>
  </r>
  <r>
    <s v="17905"/>
    <x v="106"/>
    <s v="Personnel"/>
    <s v="M "/>
    <x v="2"/>
    <x v="34"/>
    <s v="PSES Mid Prog01Duty47 S275"/>
    <x v="0"/>
    <s v="47"/>
    <n v="47"/>
    <m/>
    <s v="   "/>
    <n v="0.55000000000000004"/>
    <n v="0.13150000000000001"/>
    <n v="0"/>
    <x v="28"/>
  </r>
  <r>
    <s v="17911"/>
    <x v="107"/>
    <s v="Personnel"/>
    <s v="E "/>
    <x v="0"/>
    <x v="0"/>
    <s v="PSES Elem Prog01Duty96 S275"/>
    <x v="0"/>
    <s v="24"/>
    <n v="96"/>
    <n v="24"/>
    <s v="   "/>
    <n v="2"/>
    <n v="0.13150000000000001"/>
    <n v="0"/>
    <x v="0"/>
  </r>
  <r>
    <s v="17911"/>
    <x v="107"/>
    <s v="Personnel"/>
    <s v="E "/>
    <x v="0"/>
    <x v="3"/>
    <s v="PSES Elem Prog01Act25 S275"/>
    <x v="0"/>
    <s v="25"/>
    <m/>
    <n v="25"/>
    <s v="   "/>
    <n v="1"/>
    <n v="0.13150000000000001"/>
    <n v="0"/>
    <x v="3"/>
  </r>
  <r>
    <s v="17911"/>
    <x v="107"/>
    <s v="Personnel"/>
    <s v="E "/>
    <x v="0"/>
    <x v="38"/>
    <s v="PSES Elem Prog21Duty64 S275"/>
    <x v="1"/>
    <s v="64"/>
    <n v="64"/>
    <m/>
    <s v="   "/>
    <n v="3.1"/>
    <n v="0.13150000000000001"/>
    <n v="0.40799999999999997"/>
    <x v="32"/>
  </r>
  <r>
    <s v="17916"/>
    <x v="108"/>
    <s v="Personnel"/>
    <s v="E "/>
    <x v="0"/>
    <x v="0"/>
    <s v="PSES Elem Prog01Duty96 S275"/>
    <x v="0"/>
    <s v="24"/>
    <n v="96"/>
    <n v="24"/>
    <s v="   "/>
    <n v="2"/>
    <n v="0.1"/>
    <n v="0"/>
    <x v="0"/>
  </r>
  <r>
    <s v="17916"/>
    <x v="108"/>
    <s v="Personnel"/>
    <s v="E "/>
    <x v="0"/>
    <x v="3"/>
    <s v="PSES Elem Prog01Act25 S275"/>
    <x v="0"/>
    <s v="25"/>
    <m/>
    <n v="25"/>
    <s v="   "/>
    <n v="1"/>
    <n v="0.1"/>
    <n v="0"/>
    <x v="3"/>
  </r>
  <r>
    <s v="17916"/>
    <x v="108"/>
    <s v="Personnel"/>
    <s v="E "/>
    <x v="0"/>
    <x v="38"/>
    <s v="PSES Elem Prog21Duty64 S275"/>
    <x v="1"/>
    <s v="64"/>
    <n v="64"/>
    <m/>
    <s v="   "/>
    <n v="1.5"/>
    <n v="0.1"/>
    <n v="0.15"/>
    <x v="32"/>
  </r>
  <r>
    <s v="17917"/>
    <x v="109"/>
    <s v="Personnel"/>
    <s v="H "/>
    <x v="1"/>
    <x v="9"/>
    <s v="PSES High Prog01Act26 S275"/>
    <x v="0"/>
    <s v="26"/>
    <m/>
    <n v="26"/>
    <s v="   "/>
    <n v="6.9000000000000006E-2"/>
    <n v="0.13880000000000001"/>
    <n v="0"/>
    <x v="7"/>
  </r>
  <r>
    <s v="17919"/>
    <x v="110"/>
    <s v="Personnel"/>
    <s v="E "/>
    <x v="0"/>
    <x v="0"/>
    <s v="PSES Elem Prog01Duty96 S275"/>
    <x v="0"/>
    <s v="24"/>
    <n v="96"/>
    <n v="24"/>
    <s v="   "/>
    <n v="1.175"/>
    <n v="0.08"/>
    <n v="0"/>
    <x v="0"/>
  </r>
  <r>
    <s v="17919"/>
    <x v="110"/>
    <s v="Personnel"/>
    <s v="E "/>
    <x v="0"/>
    <x v="38"/>
    <s v="PSES Elem Prog21Duty64 S275"/>
    <x v="1"/>
    <s v="64"/>
    <n v="64"/>
    <m/>
    <s v="   "/>
    <n v="1.7"/>
    <n v="0.08"/>
    <n v="0.13600000000000001"/>
    <x v="32"/>
  </r>
  <r>
    <s v="18100"/>
    <x v="111"/>
    <s v="Personnel"/>
    <s v="H "/>
    <x v="1"/>
    <x v="4"/>
    <s v="PSES High Prog21Act25 S275"/>
    <x v="1"/>
    <s v="25"/>
    <m/>
    <n v="25"/>
    <s v="   "/>
    <n v="2.3130000000000002"/>
    <n v="0.27089999999999997"/>
    <n v="0.627"/>
    <x v="4"/>
  </r>
  <r>
    <s v="18100"/>
    <x v="111"/>
    <s v="Personnel"/>
    <s v="H "/>
    <x v="1"/>
    <x v="53"/>
    <s v="PSES High Prog97Act25 S275"/>
    <x v="2"/>
    <s v="25"/>
    <m/>
    <n v="25"/>
    <s v="   "/>
    <n v="1.101"/>
    <n v="0.27089999999999997"/>
    <n v="0"/>
    <x v="4"/>
  </r>
  <r>
    <s v="18100"/>
    <x v="111"/>
    <s v="Personnel"/>
    <s v="E "/>
    <x v="0"/>
    <x v="7"/>
    <s v="PSES Elem Prog21Act26 S275"/>
    <x v="1"/>
    <s v="26"/>
    <m/>
    <n v="26"/>
    <s v="   "/>
    <n v="1.603"/>
    <n v="0.27089999999999997"/>
    <n v="0.434"/>
    <x v="6"/>
  </r>
  <r>
    <s v="18100"/>
    <x v="111"/>
    <s v="Personnel"/>
    <s v="E "/>
    <x v="0"/>
    <x v="8"/>
    <s v="PSES Elem Prog01Act26 S275"/>
    <x v="0"/>
    <s v="26"/>
    <m/>
    <n v="26"/>
    <s v="   "/>
    <n v="3.2530000000000001"/>
    <n v="0.27089999999999997"/>
    <n v="0"/>
    <x v="6"/>
  </r>
  <r>
    <s v="18100"/>
    <x v="111"/>
    <s v="Personnel"/>
    <s v="H "/>
    <x v="1"/>
    <x v="29"/>
    <s v="PSES High Prog21Act26 S275"/>
    <x v="1"/>
    <s v="26"/>
    <m/>
    <n v="26"/>
    <s v="   "/>
    <n v="0.7"/>
    <n v="0.27089999999999997"/>
    <n v="0.19"/>
    <x v="7"/>
  </r>
  <r>
    <s v="18100"/>
    <x v="111"/>
    <s v="Personnel"/>
    <s v="H "/>
    <x v="1"/>
    <x v="9"/>
    <s v="PSES High Prog01Act26 S275"/>
    <x v="0"/>
    <s v="26"/>
    <m/>
    <n v="26"/>
    <s v="   "/>
    <n v="1.91"/>
    <n v="0.27089999999999997"/>
    <n v="0"/>
    <x v="7"/>
  </r>
  <r>
    <s v="18100"/>
    <x v="111"/>
    <s v="Personnel"/>
    <s v="M "/>
    <x v="2"/>
    <x v="10"/>
    <s v="PSES Mid Prog21Act26 S275"/>
    <x v="1"/>
    <s v="26"/>
    <m/>
    <n v="26"/>
    <s v="   "/>
    <n v="0.13400000000000001"/>
    <n v="0.27089999999999997"/>
    <n v="3.5999999999999997E-2"/>
    <x v="8"/>
  </r>
  <r>
    <s v="18100"/>
    <x v="111"/>
    <s v="Personnel"/>
    <s v="M "/>
    <x v="2"/>
    <x v="11"/>
    <s v="PSES Mid Prog01Act26 S275"/>
    <x v="0"/>
    <s v="26"/>
    <m/>
    <n v="26"/>
    <s v="   "/>
    <n v="0.72799999999999998"/>
    <n v="0.27089999999999997"/>
    <n v="0"/>
    <x v="8"/>
  </r>
  <r>
    <s v="18100"/>
    <x v="111"/>
    <s v="Personnel"/>
    <s v="H "/>
    <x v="1"/>
    <x v="54"/>
    <s v="PSES High Prog01Act35 S275"/>
    <x v="0"/>
    <s v="35"/>
    <m/>
    <n v="35"/>
    <s v="   "/>
    <n v="3.9460000000000002"/>
    <n v="0.27089999999999997"/>
    <n v="0"/>
    <x v="9"/>
  </r>
  <r>
    <s v="18100"/>
    <x v="111"/>
    <s v="Personnel"/>
    <s v="M "/>
    <x v="2"/>
    <x v="63"/>
    <s v="PSES Mid Prog01Act35 S275"/>
    <x v="0"/>
    <s v="35"/>
    <m/>
    <n v="35"/>
    <s v="   "/>
    <n v="1.591"/>
    <n v="0.27089999999999997"/>
    <n v="0"/>
    <x v="10"/>
  </r>
  <r>
    <s v="18100"/>
    <x v="111"/>
    <s v="Personnel"/>
    <s v="E "/>
    <x v="0"/>
    <x v="15"/>
    <s v="PSES Elem Prog01Duty42 S275"/>
    <x v="0"/>
    <s v="42"/>
    <n v="42"/>
    <m/>
    <s v="   "/>
    <n v="6.2"/>
    <n v="0.27089999999999997"/>
    <n v="0"/>
    <x v="12"/>
  </r>
  <r>
    <s v="18100"/>
    <x v="111"/>
    <s v="Personnel"/>
    <s v="H "/>
    <x v="1"/>
    <x v="16"/>
    <s v="PSES High Prog01Duty42 S275"/>
    <x v="0"/>
    <s v="42"/>
    <n v="42"/>
    <m/>
    <s v="   "/>
    <n v="3.984"/>
    <n v="0.27089999999999997"/>
    <n v="0"/>
    <x v="13"/>
  </r>
  <r>
    <s v="18100"/>
    <x v="111"/>
    <s v="Personnel"/>
    <s v="M "/>
    <x v="2"/>
    <x v="17"/>
    <s v="PSES Mid Prog01Duty42 S275"/>
    <x v="0"/>
    <s v="42"/>
    <n v="42"/>
    <m/>
    <s v="   "/>
    <n v="1.2"/>
    <n v="0.27089999999999997"/>
    <n v="0"/>
    <x v="14"/>
  </r>
  <r>
    <s v="18100"/>
    <x v="111"/>
    <s v="Personnel"/>
    <s v="E "/>
    <x v="0"/>
    <x v="18"/>
    <s v="PSES Elem Prog21Duty43 S275"/>
    <x v="1"/>
    <s v="43"/>
    <n v="43"/>
    <m/>
    <s v="   "/>
    <n v="2.2000000000000002"/>
    <n v="0.27089999999999997"/>
    <n v="0.59599999999999997"/>
    <x v="15"/>
  </r>
  <r>
    <s v="18100"/>
    <x v="111"/>
    <s v="Personnel"/>
    <s v="M "/>
    <x v="2"/>
    <x v="31"/>
    <s v="PSES Mid Prog21Duty43 S275"/>
    <x v="1"/>
    <s v="43"/>
    <n v="43"/>
    <m/>
    <s v="   "/>
    <n v="0.2"/>
    <n v="0.27089999999999997"/>
    <n v="5.3999999999999999E-2"/>
    <x v="27"/>
  </r>
  <r>
    <s v="18100"/>
    <x v="111"/>
    <s v="Personnel"/>
    <s v="E "/>
    <x v="0"/>
    <x v="20"/>
    <s v="PSES Elem Prog21Duty45 S275"/>
    <x v="1"/>
    <s v="45"/>
    <n v="45"/>
    <m/>
    <s v="   "/>
    <n v="6.1289999999999996"/>
    <n v="0.27089999999999997"/>
    <n v="1.66"/>
    <x v="17"/>
  </r>
  <r>
    <s v="18100"/>
    <x v="111"/>
    <s v="Personnel"/>
    <s v="H "/>
    <x v="1"/>
    <x v="21"/>
    <s v="PSES High Prog21Duty45 S275"/>
    <x v="1"/>
    <s v="45"/>
    <n v="45"/>
    <m/>
    <s v="   "/>
    <n v="1"/>
    <n v="0.27089999999999997"/>
    <n v="0.27100000000000002"/>
    <x v="18"/>
  </r>
  <r>
    <s v="18100"/>
    <x v="111"/>
    <s v="Personnel"/>
    <s v="M "/>
    <x v="2"/>
    <x v="28"/>
    <s v="PSES Mid Prog21Duty45 S275"/>
    <x v="1"/>
    <s v="45"/>
    <n v="45"/>
    <m/>
    <s v="   "/>
    <n v="0.86599999999999999"/>
    <n v="0.27089999999999997"/>
    <n v="0.23499999999999999"/>
    <x v="25"/>
  </r>
  <r>
    <s v="18100"/>
    <x v="111"/>
    <s v="Personnel"/>
    <s v="E "/>
    <x v="0"/>
    <x v="22"/>
    <s v="PSES Elem Prog21Duty46 S275"/>
    <x v="1"/>
    <s v="46"/>
    <n v="46"/>
    <m/>
    <s v="   "/>
    <n v="2.694"/>
    <n v="0.27089999999999997"/>
    <n v="0.73"/>
    <x v="19"/>
  </r>
  <r>
    <s v="18100"/>
    <x v="111"/>
    <s v="Personnel"/>
    <s v="H "/>
    <x v="1"/>
    <x v="23"/>
    <s v="PSES High Prog21Duty46 S275"/>
    <x v="1"/>
    <s v="46"/>
    <n v="46"/>
    <m/>
    <s v="   "/>
    <n v="1"/>
    <n v="0.27089999999999997"/>
    <n v="0.27100000000000002"/>
    <x v="20"/>
  </r>
  <r>
    <s v="18100"/>
    <x v="111"/>
    <s v="Personnel"/>
    <s v="M "/>
    <x v="2"/>
    <x v="24"/>
    <s v="PSES Mid Prog21Duty46 S275"/>
    <x v="1"/>
    <s v="46"/>
    <n v="46"/>
    <m/>
    <s v="   "/>
    <n v="1"/>
    <n v="0.27089999999999997"/>
    <n v="0.27100000000000002"/>
    <x v="21"/>
  </r>
  <r>
    <s v="18100"/>
    <x v="111"/>
    <s v="Personnel"/>
    <s v="E "/>
    <x v="0"/>
    <x v="35"/>
    <s v="PSES Elem Prog21Duty48 S275"/>
    <x v="1"/>
    <s v="48"/>
    <n v="48"/>
    <m/>
    <s v="   "/>
    <n v="0.6"/>
    <n v="0.27089999999999997"/>
    <n v="0.16300000000000001"/>
    <x v="29"/>
  </r>
  <r>
    <s v="18100"/>
    <x v="111"/>
    <s v="Personnel"/>
    <s v="H "/>
    <x v="1"/>
    <x v="36"/>
    <s v="PSES High Prog21Duty48 S275"/>
    <x v="1"/>
    <s v="48"/>
    <n v="48"/>
    <m/>
    <s v="   "/>
    <n v="0.1"/>
    <n v="0.27089999999999997"/>
    <n v="2.7E-2"/>
    <x v="30"/>
  </r>
  <r>
    <s v="18100"/>
    <x v="111"/>
    <s v="Personnel"/>
    <s v="M "/>
    <x v="2"/>
    <x v="37"/>
    <s v="PSES Mid Prog21Duty48 S275"/>
    <x v="1"/>
    <s v="48"/>
    <n v="48"/>
    <m/>
    <s v="   "/>
    <n v="0.1"/>
    <n v="0.27089999999999997"/>
    <n v="2.7E-2"/>
    <x v="31"/>
  </r>
  <r>
    <s v="18303"/>
    <x v="112"/>
    <s v="Personnel"/>
    <s v="E "/>
    <x v="0"/>
    <x v="3"/>
    <s v="PSES Elem Prog01Act25 S275"/>
    <x v="0"/>
    <s v="25"/>
    <m/>
    <n v="25"/>
    <s v="   "/>
    <n v="0.48899999999999999"/>
    <n v="0.20349999999999999"/>
    <n v="0"/>
    <x v="3"/>
  </r>
  <r>
    <s v="18303"/>
    <x v="112"/>
    <s v="Personnel"/>
    <s v="H "/>
    <x v="1"/>
    <x v="4"/>
    <s v="PSES High Prog21Act25 S275"/>
    <x v="1"/>
    <s v="25"/>
    <m/>
    <n v="25"/>
    <s v="   "/>
    <n v="0.83499999999999996"/>
    <n v="0.20349999999999999"/>
    <n v="0.17"/>
    <x v="4"/>
  </r>
  <r>
    <s v="18303"/>
    <x v="112"/>
    <s v="Personnel"/>
    <s v="H "/>
    <x v="1"/>
    <x v="5"/>
    <s v="PSES High Prog01Act25 S275"/>
    <x v="0"/>
    <s v="25"/>
    <m/>
    <n v="25"/>
    <s v="   "/>
    <n v="4.3940000000000001"/>
    <n v="0.20349999999999999"/>
    <n v="0"/>
    <x v="4"/>
  </r>
  <r>
    <s v="18303"/>
    <x v="112"/>
    <s v="Personnel"/>
    <s v="H "/>
    <x v="1"/>
    <x v="9"/>
    <s v="PSES High Prog01Act26 S275"/>
    <x v="0"/>
    <s v="26"/>
    <m/>
    <n v="26"/>
    <s v="   "/>
    <n v="3.7679999999999998"/>
    <n v="0.20349999999999999"/>
    <n v="0"/>
    <x v="7"/>
  </r>
  <r>
    <s v="18303"/>
    <x v="112"/>
    <s v="Personnel"/>
    <s v="E "/>
    <x v="0"/>
    <x v="15"/>
    <s v="PSES Elem Prog01Duty42 S275"/>
    <x v="0"/>
    <s v="42"/>
    <n v="42"/>
    <m/>
    <s v="   "/>
    <n v="4.5659999999999998"/>
    <n v="0.20349999999999999"/>
    <n v="0"/>
    <x v="12"/>
  </r>
  <r>
    <s v="18303"/>
    <x v="112"/>
    <s v="Personnel"/>
    <s v="H "/>
    <x v="1"/>
    <x v="16"/>
    <s v="PSES High Prog01Duty42 S275"/>
    <x v="0"/>
    <s v="42"/>
    <n v="42"/>
    <m/>
    <s v="   "/>
    <n v="4.8499999999999996"/>
    <n v="0.20349999999999999"/>
    <n v="0"/>
    <x v="13"/>
  </r>
  <r>
    <s v="18303"/>
    <x v="112"/>
    <s v="Personnel"/>
    <s v="M "/>
    <x v="2"/>
    <x v="17"/>
    <s v="PSES Mid Prog01Duty42 S275"/>
    <x v="0"/>
    <s v="42"/>
    <n v="42"/>
    <m/>
    <s v="   "/>
    <n v="1.6839999999999999"/>
    <n v="0.20349999999999999"/>
    <n v="0"/>
    <x v="14"/>
  </r>
  <r>
    <s v="18303"/>
    <x v="112"/>
    <s v="Personnel"/>
    <s v="E "/>
    <x v="0"/>
    <x v="18"/>
    <s v="PSES Elem Prog21Duty43 S275"/>
    <x v="1"/>
    <s v="43"/>
    <n v="43"/>
    <m/>
    <s v="   "/>
    <n v="0.8"/>
    <n v="0.20349999999999999"/>
    <n v="0.16300000000000001"/>
    <x v="15"/>
  </r>
  <r>
    <s v="18303"/>
    <x v="112"/>
    <s v="Personnel"/>
    <s v="E "/>
    <x v="0"/>
    <x v="42"/>
    <s v="PSES Elem Prog01Duty44 S275"/>
    <x v="0"/>
    <s v="44"/>
    <n v="44"/>
    <m/>
    <s v="   "/>
    <n v="0.53600000000000003"/>
    <n v="0.20349999999999999"/>
    <n v="0"/>
    <x v="33"/>
  </r>
  <r>
    <s v="18303"/>
    <x v="112"/>
    <s v="Personnel"/>
    <s v="H "/>
    <x v="1"/>
    <x v="44"/>
    <s v="PSES High Prog01Duty44 S275"/>
    <x v="0"/>
    <s v="44"/>
    <n v="44"/>
    <m/>
    <s v="   "/>
    <n v="0.31"/>
    <n v="0.20349999999999999"/>
    <n v="0"/>
    <x v="34"/>
  </r>
  <r>
    <s v="18303"/>
    <x v="112"/>
    <s v="Personnel"/>
    <s v="M "/>
    <x v="2"/>
    <x v="46"/>
    <s v="PSES Mid Prog01Duty44 S275"/>
    <x v="0"/>
    <s v="44"/>
    <n v="44"/>
    <m/>
    <s v="   "/>
    <n v="0.154"/>
    <n v="0.20349999999999999"/>
    <n v="0"/>
    <x v="35"/>
  </r>
  <r>
    <s v="18303"/>
    <x v="112"/>
    <s v="Personnel"/>
    <s v="E "/>
    <x v="0"/>
    <x v="20"/>
    <s v="PSES Elem Prog21Duty45 S275"/>
    <x v="1"/>
    <s v="45"/>
    <n v="45"/>
    <m/>
    <s v="   "/>
    <n v="3.3039999999999998"/>
    <n v="0.20349999999999999"/>
    <n v="0.67200000000000004"/>
    <x v="17"/>
  </r>
  <r>
    <s v="18303"/>
    <x v="112"/>
    <s v="Personnel"/>
    <s v="H "/>
    <x v="1"/>
    <x v="21"/>
    <s v="PSES High Prog21Duty45 S275"/>
    <x v="1"/>
    <s v="45"/>
    <n v="45"/>
    <m/>
    <s v="   "/>
    <n v="1.2170000000000001"/>
    <n v="0.20349999999999999"/>
    <n v="0.248"/>
    <x v="18"/>
  </r>
  <r>
    <s v="18303"/>
    <x v="112"/>
    <s v="Personnel"/>
    <s v="M "/>
    <x v="2"/>
    <x v="28"/>
    <s v="PSES Mid Prog21Duty45 S275"/>
    <x v="1"/>
    <s v="45"/>
    <n v="45"/>
    <m/>
    <s v="   "/>
    <n v="0.32900000000000001"/>
    <n v="0.20349999999999999"/>
    <n v="6.7000000000000004E-2"/>
    <x v="25"/>
  </r>
  <r>
    <s v="18303"/>
    <x v="112"/>
    <s v="Personnel"/>
    <s v="E "/>
    <x v="0"/>
    <x v="22"/>
    <s v="PSES Elem Prog21Duty46 S275"/>
    <x v="1"/>
    <s v="46"/>
    <n v="46"/>
    <m/>
    <s v="   "/>
    <n v="1.31"/>
    <n v="0.20349999999999999"/>
    <n v="0.26700000000000002"/>
    <x v="19"/>
  </r>
  <r>
    <s v="18303"/>
    <x v="112"/>
    <s v="Personnel"/>
    <s v="H "/>
    <x v="1"/>
    <x v="23"/>
    <s v="PSES High Prog21Duty46 S275"/>
    <x v="1"/>
    <s v="46"/>
    <n v="46"/>
    <m/>
    <s v="   "/>
    <n v="1.2889999999999999"/>
    <n v="0.20349999999999999"/>
    <n v="0.26200000000000001"/>
    <x v="20"/>
  </r>
  <r>
    <s v="18303"/>
    <x v="112"/>
    <s v="Personnel"/>
    <s v="M "/>
    <x v="2"/>
    <x v="24"/>
    <s v="PSES Mid Prog21Duty46 S275"/>
    <x v="1"/>
    <s v="46"/>
    <n v="46"/>
    <m/>
    <s v="   "/>
    <n v="0.45500000000000002"/>
    <n v="0.20349999999999999"/>
    <n v="9.2999999999999999E-2"/>
    <x v="21"/>
  </r>
  <r>
    <s v="18303"/>
    <x v="112"/>
    <s v="Personnel"/>
    <s v="E "/>
    <x v="0"/>
    <x v="27"/>
    <s v="PSES Elem Prog01Duty47 S275"/>
    <x v="0"/>
    <s v="47"/>
    <n v="47"/>
    <m/>
    <s v="   "/>
    <n v="0.48"/>
    <n v="0.20349999999999999"/>
    <n v="0"/>
    <x v="24"/>
  </r>
  <r>
    <s v="18303"/>
    <x v="112"/>
    <s v="Personnel"/>
    <s v="H "/>
    <x v="1"/>
    <x v="25"/>
    <s v="PSES High Prog01Duty47 S275"/>
    <x v="0"/>
    <s v="47"/>
    <n v="47"/>
    <m/>
    <s v="   "/>
    <n v="0.96"/>
    <n v="0.20349999999999999"/>
    <n v="0"/>
    <x v="22"/>
  </r>
  <r>
    <s v="18303"/>
    <x v="112"/>
    <s v="Personnel"/>
    <s v="E "/>
    <x v="0"/>
    <x v="35"/>
    <s v="PSES Elem Prog21Duty48 S275"/>
    <x v="1"/>
    <s v="48"/>
    <n v="48"/>
    <m/>
    <s v="   "/>
    <n v="0.53"/>
    <n v="0.20349999999999999"/>
    <n v="0.108"/>
    <x v="29"/>
  </r>
  <r>
    <s v="18303"/>
    <x v="112"/>
    <s v="Personnel"/>
    <s v="H "/>
    <x v="1"/>
    <x v="36"/>
    <s v="PSES High Prog21Duty48 S275"/>
    <x v="1"/>
    <s v="48"/>
    <n v="48"/>
    <m/>
    <s v="   "/>
    <n v="0.09"/>
    <n v="0.20349999999999999"/>
    <n v="1.7999999999999999E-2"/>
    <x v="30"/>
  </r>
  <r>
    <s v="18400"/>
    <x v="113"/>
    <s v="Personnel"/>
    <s v="E "/>
    <x v="0"/>
    <x v="3"/>
    <s v="PSES Elem Prog01Act25 S275"/>
    <x v="0"/>
    <s v="25"/>
    <m/>
    <n v="25"/>
    <s v="   "/>
    <n v="0.53300000000000003"/>
    <n v="0.20019999999999999"/>
    <n v="0"/>
    <x v="3"/>
  </r>
  <r>
    <s v="18400"/>
    <x v="113"/>
    <s v="Personnel"/>
    <s v="H "/>
    <x v="1"/>
    <x v="4"/>
    <s v="PSES High Prog21Act25 S275"/>
    <x v="1"/>
    <s v="25"/>
    <m/>
    <n v="25"/>
    <s v="   "/>
    <n v="9.9220000000000006"/>
    <n v="0.20019999999999999"/>
    <n v="1.986"/>
    <x v="4"/>
  </r>
  <r>
    <s v="18400"/>
    <x v="113"/>
    <s v="Personnel"/>
    <s v="H "/>
    <x v="1"/>
    <x v="5"/>
    <s v="PSES High Prog01Act25 S275"/>
    <x v="0"/>
    <s v="25"/>
    <m/>
    <n v="25"/>
    <s v="   "/>
    <n v="5.992"/>
    <n v="0.20019999999999999"/>
    <n v="0"/>
    <x v="4"/>
  </r>
  <r>
    <s v="18400"/>
    <x v="113"/>
    <s v="Personnel"/>
    <s v="H "/>
    <x v="1"/>
    <x v="29"/>
    <s v="PSES High Prog21Act26 S275"/>
    <x v="1"/>
    <s v="26"/>
    <m/>
    <n v="26"/>
    <s v="   "/>
    <n v="3.0390000000000001"/>
    <n v="0.20019999999999999"/>
    <n v="0.60799999999999998"/>
    <x v="7"/>
  </r>
  <r>
    <s v="18400"/>
    <x v="113"/>
    <s v="Personnel"/>
    <s v="H "/>
    <x v="1"/>
    <x v="9"/>
    <s v="PSES High Prog01Act26 S275"/>
    <x v="0"/>
    <s v="26"/>
    <m/>
    <n v="26"/>
    <s v="   "/>
    <n v="0.40799999999999997"/>
    <n v="0.20019999999999999"/>
    <n v="0"/>
    <x v="7"/>
  </r>
  <r>
    <s v="18400"/>
    <x v="113"/>
    <s v="Personnel"/>
    <s v="H "/>
    <x v="1"/>
    <x v="54"/>
    <s v="PSES High Prog01Act35 S275"/>
    <x v="0"/>
    <s v="35"/>
    <m/>
    <n v="35"/>
    <s v="   "/>
    <n v="3.6709999999999998"/>
    <n v="0.20019999999999999"/>
    <n v="0"/>
    <x v="9"/>
  </r>
  <r>
    <s v="18400"/>
    <x v="113"/>
    <s v="Personnel"/>
    <s v="E "/>
    <x v="0"/>
    <x v="15"/>
    <s v="PSES Elem Prog01Duty42 S275"/>
    <x v="0"/>
    <s v="42"/>
    <n v="42"/>
    <m/>
    <s v="   "/>
    <n v="7.22"/>
    <n v="0.20019999999999999"/>
    <n v="0"/>
    <x v="12"/>
  </r>
  <r>
    <s v="18400"/>
    <x v="113"/>
    <s v="Personnel"/>
    <s v="H "/>
    <x v="1"/>
    <x v="16"/>
    <s v="PSES High Prog01Duty42 S275"/>
    <x v="0"/>
    <s v="42"/>
    <n v="42"/>
    <m/>
    <s v="   "/>
    <n v="4.5"/>
    <n v="0.20019999999999999"/>
    <n v="0"/>
    <x v="13"/>
  </r>
  <r>
    <s v="18400"/>
    <x v="113"/>
    <s v="Personnel"/>
    <s v="M "/>
    <x v="2"/>
    <x v="17"/>
    <s v="PSES Mid Prog01Duty42 S275"/>
    <x v="0"/>
    <s v="42"/>
    <n v="42"/>
    <m/>
    <s v="   "/>
    <n v="1.98"/>
    <n v="0.20019999999999999"/>
    <n v="0"/>
    <x v="14"/>
  </r>
  <r>
    <s v="18400"/>
    <x v="113"/>
    <s v="Personnel"/>
    <s v="E "/>
    <x v="0"/>
    <x v="18"/>
    <s v="PSES Elem Prog21Duty43 S275"/>
    <x v="1"/>
    <s v="43"/>
    <n v="43"/>
    <m/>
    <s v="   "/>
    <n v="2.895"/>
    <n v="0.20019999999999999"/>
    <n v="0.57999999999999996"/>
    <x v="15"/>
  </r>
  <r>
    <s v="18400"/>
    <x v="113"/>
    <s v="Personnel"/>
    <s v="H "/>
    <x v="1"/>
    <x v="19"/>
    <s v="PSES High Prog21Duty43 S275"/>
    <x v="1"/>
    <s v="43"/>
    <n v="43"/>
    <m/>
    <s v="   "/>
    <n v="1.04"/>
    <n v="0.20019999999999999"/>
    <n v="0.20799999999999999"/>
    <x v="16"/>
  </r>
  <r>
    <s v="18400"/>
    <x v="113"/>
    <s v="Personnel"/>
    <s v="M "/>
    <x v="2"/>
    <x v="31"/>
    <s v="PSES Mid Prog21Duty43 S275"/>
    <x v="1"/>
    <s v="43"/>
    <n v="43"/>
    <m/>
    <s v="   "/>
    <n v="0.435"/>
    <n v="0.20019999999999999"/>
    <n v="8.6999999999999994E-2"/>
    <x v="27"/>
  </r>
  <r>
    <s v="18400"/>
    <x v="113"/>
    <s v="Personnel"/>
    <s v="E "/>
    <x v="0"/>
    <x v="20"/>
    <s v="PSES Elem Prog21Duty45 S275"/>
    <x v="1"/>
    <s v="45"/>
    <n v="45"/>
    <m/>
    <s v="   "/>
    <n v="6.907"/>
    <n v="0.20019999999999999"/>
    <n v="1.383"/>
    <x v="17"/>
  </r>
  <r>
    <s v="18400"/>
    <x v="113"/>
    <s v="Personnel"/>
    <s v="H "/>
    <x v="1"/>
    <x v="21"/>
    <s v="PSES High Prog21Duty45 S275"/>
    <x v="1"/>
    <s v="45"/>
    <n v="45"/>
    <m/>
    <s v="   "/>
    <n v="1.6"/>
    <n v="0.20019999999999999"/>
    <n v="0.32"/>
    <x v="18"/>
  </r>
  <r>
    <s v="18400"/>
    <x v="113"/>
    <s v="Personnel"/>
    <s v="M "/>
    <x v="2"/>
    <x v="28"/>
    <s v="PSES Mid Prog21Duty45 S275"/>
    <x v="1"/>
    <s v="45"/>
    <n v="45"/>
    <m/>
    <s v="   "/>
    <n v="1.224"/>
    <n v="0.20019999999999999"/>
    <n v="0.245"/>
    <x v="25"/>
  </r>
  <r>
    <s v="18400"/>
    <x v="113"/>
    <s v="Personnel"/>
    <s v="E "/>
    <x v="0"/>
    <x v="22"/>
    <s v="PSES Elem Prog21Duty46 S275"/>
    <x v="1"/>
    <s v="46"/>
    <n v="46"/>
    <m/>
    <s v="   "/>
    <n v="3.6179999999999999"/>
    <n v="0.20019999999999999"/>
    <n v="0.72399999999999998"/>
    <x v="19"/>
  </r>
  <r>
    <s v="18400"/>
    <x v="113"/>
    <s v="Personnel"/>
    <s v="H "/>
    <x v="1"/>
    <x v="23"/>
    <s v="PSES High Prog21Duty46 S275"/>
    <x v="1"/>
    <s v="46"/>
    <n v="46"/>
    <m/>
    <s v="   "/>
    <n v="2"/>
    <n v="0.20019999999999999"/>
    <n v="0.4"/>
    <x v="20"/>
  </r>
  <r>
    <s v="18400"/>
    <x v="113"/>
    <s v="Personnel"/>
    <s v="M "/>
    <x v="2"/>
    <x v="24"/>
    <s v="PSES Mid Prog21Duty46 S275"/>
    <x v="1"/>
    <s v="46"/>
    <n v="46"/>
    <m/>
    <s v="   "/>
    <n v="1.1060000000000001"/>
    <n v="0.20019999999999999"/>
    <n v="0.221"/>
    <x v="21"/>
  </r>
  <r>
    <s v="18400"/>
    <x v="113"/>
    <s v="Personnel"/>
    <s v="E "/>
    <x v="0"/>
    <x v="35"/>
    <s v="PSES Elem Prog21Duty48 S275"/>
    <x v="1"/>
    <s v="48"/>
    <n v="48"/>
    <m/>
    <s v="   "/>
    <n v="0.53900000000000003"/>
    <n v="0.20019999999999999"/>
    <n v="0.108"/>
    <x v="29"/>
  </r>
  <r>
    <s v="18400"/>
    <x v="113"/>
    <s v="Personnel"/>
    <s v="H "/>
    <x v="1"/>
    <x v="36"/>
    <s v="PSES High Prog21Duty48 S275"/>
    <x v="1"/>
    <s v="48"/>
    <n v="48"/>
    <m/>
    <s v="   "/>
    <n v="0.27600000000000002"/>
    <n v="0.20019999999999999"/>
    <n v="5.5E-2"/>
    <x v="30"/>
  </r>
  <r>
    <s v="18400"/>
    <x v="113"/>
    <s v="Personnel"/>
    <s v="M "/>
    <x v="2"/>
    <x v="37"/>
    <s v="PSES Mid Prog21Duty48 S275"/>
    <x v="1"/>
    <s v="48"/>
    <n v="48"/>
    <m/>
    <s v="   "/>
    <n v="0.17199999999999999"/>
    <n v="0.20019999999999999"/>
    <n v="3.4000000000000002E-2"/>
    <x v="31"/>
  </r>
  <r>
    <s v="18401"/>
    <x v="114"/>
    <s v="Personnel"/>
    <s v="H "/>
    <x v="1"/>
    <x v="5"/>
    <s v="PSES High Prog01Act25 S275"/>
    <x v="0"/>
    <s v="25"/>
    <m/>
    <n v="25"/>
    <s v="   "/>
    <n v="15.273999999999999"/>
    <n v="0.26369999999999999"/>
    <n v="0"/>
    <x v="4"/>
  </r>
  <r>
    <s v="18401"/>
    <x v="114"/>
    <s v="Personnel"/>
    <s v="H "/>
    <x v="1"/>
    <x v="29"/>
    <s v="PSES High Prog21Act26 S275"/>
    <x v="1"/>
    <s v="26"/>
    <m/>
    <n v="26"/>
    <s v="   "/>
    <n v="3.5640000000000001"/>
    <n v="0.26369999999999999"/>
    <n v="0.94"/>
    <x v="7"/>
  </r>
  <r>
    <s v="18401"/>
    <x v="114"/>
    <s v="Personnel"/>
    <s v="H "/>
    <x v="1"/>
    <x v="9"/>
    <s v="PSES High Prog01Act26 S275"/>
    <x v="0"/>
    <s v="26"/>
    <m/>
    <n v="26"/>
    <s v="   "/>
    <n v="0.82299999999999995"/>
    <n v="0.26369999999999999"/>
    <n v="0"/>
    <x v="7"/>
  </r>
  <r>
    <s v="18401"/>
    <x v="114"/>
    <s v="Personnel"/>
    <s v="E "/>
    <x v="0"/>
    <x v="15"/>
    <s v="PSES Elem Prog01Duty42 S275"/>
    <x v="0"/>
    <s v="42"/>
    <n v="42"/>
    <m/>
    <s v="   "/>
    <n v="12.627000000000001"/>
    <n v="0.26369999999999999"/>
    <n v="0"/>
    <x v="12"/>
  </r>
  <r>
    <s v="18401"/>
    <x v="114"/>
    <s v="Personnel"/>
    <s v="H "/>
    <x v="1"/>
    <x v="16"/>
    <s v="PSES High Prog01Duty42 S275"/>
    <x v="0"/>
    <s v="42"/>
    <n v="42"/>
    <m/>
    <s v="   "/>
    <n v="11.712999999999999"/>
    <n v="0.26369999999999999"/>
    <n v="0"/>
    <x v="13"/>
  </r>
  <r>
    <s v="18401"/>
    <x v="114"/>
    <s v="Personnel"/>
    <s v="M "/>
    <x v="2"/>
    <x v="17"/>
    <s v="PSES Mid Prog01Duty42 S275"/>
    <x v="0"/>
    <s v="42"/>
    <n v="42"/>
    <m/>
    <s v="   "/>
    <n v="5.36"/>
    <n v="0.26369999999999999"/>
    <n v="0"/>
    <x v="14"/>
  </r>
  <r>
    <s v="18401"/>
    <x v="114"/>
    <s v="Personnel"/>
    <s v="E "/>
    <x v="0"/>
    <x v="18"/>
    <s v="PSES Elem Prog21Duty43 S275"/>
    <x v="1"/>
    <s v="43"/>
    <n v="43"/>
    <m/>
    <s v="   "/>
    <n v="2.9140000000000001"/>
    <n v="0.26369999999999999"/>
    <n v="0.76800000000000002"/>
    <x v="15"/>
  </r>
  <r>
    <s v="18401"/>
    <x v="114"/>
    <s v="Personnel"/>
    <s v="H "/>
    <x v="1"/>
    <x v="19"/>
    <s v="PSES High Prog21Duty43 S275"/>
    <x v="1"/>
    <s v="43"/>
    <n v="43"/>
    <m/>
    <s v="   "/>
    <n v="2.1160000000000001"/>
    <n v="0.26369999999999999"/>
    <n v="0.55800000000000005"/>
    <x v="16"/>
  </r>
  <r>
    <s v="18401"/>
    <x v="114"/>
    <s v="Personnel"/>
    <s v="M "/>
    <x v="2"/>
    <x v="31"/>
    <s v="PSES Mid Prog21Duty43 S275"/>
    <x v="1"/>
    <s v="43"/>
    <n v="43"/>
    <m/>
    <s v="   "/>
    <n v="0.91500000000000004"/>
    <n v="0.26369999999999999"/>
    <n v="0.24099999999999999"/>
    <x v="27"/>
  </r>
  <r>
    <s v="18401"/>
    <x v="114"/>
    <s v="Personnel"/>
    <s v="E "/>
    <x v="0"/>
    <x v="42"/>
    <s v="PSES Elem Prog01Duty44 S275"/>
    <x v="0"/>
    <s v="44"/>
    <n v="44"/>
    <m/>
    <s v="   "/>
    <n v="1"/>
    <n v="0.26369999999999999"/>
    <n v="0"/>
    <x v="33"/>
  </r>
  <r>
    <s v="18401"/>
    <x v="114"/>
    <s v="Personnel"/>
    <s v="E "/>
    <x v="0"/>
    <x v="20"/>
    <s v="PSES Elem Prog21Duty45 S275"/>
    <x v="1"/>
    <s v="45"/>
    <n v="45"/>
    <m/>
    <s v="   "/>
    <n v="6.5"/>
    <n v="0.26369999999999999"/>
    <n v="1.714"/>
    <x v="17"/>
  </r>
  <r>
    <s v="18401"/>
    <x v="114"/>
    <s v="Personnel"/>
    <s v="H "/>
    <x v="1"/>
    <x v="21"/>
    <s v="PSES High Prog21Duty45 S275"/>
    <x v="1"/>
    <s v="45"/>
    <n v="45"/>
    <m/>
    <s v="   "/>
    <n v="3.718"/>
    <n v="0.26369999999999999"/>
    <n v="0.98"/>
    <x v="18"/>
  </r>
  <r>
    <s v="18401"/>
    <x v="114"/>
    <s v="Personnel"/>
    <s v="M "/>
    <x v="2"/>
    <x v="28"/>
    <s v="PSES Mid Prog21Duty45 S275"/>
    <x v="1"/>
    <s v="45"/>
    <n v="45"/>
    <m/>
    <s v="   "/>
    <n v="1.859"/>
    <n v="0.26369999999999999"/>
    <n v="0.49"/>
    <x v="25"/>
  </r>
  <r>
    <s v="18401"/>
    <x v="114"/>
    <s v="Personnel"/>
    <s v="E "/>
    <x v="0"/>
    <x v="22"/>
    <s v="PSES Elem Prog21Duty46 S275"/>
    <x v="1"/>
    <s v="46"/>
    <n v="46"/>
    <m/>
    <s v="   "/>
    <n v="5"/>
    <n v="0.26369999999999999"/>
    <n v="1.319"/>
    <x v="19"/>
  </r>
  <r>
    <s v="18401"/>
    <x v="114"/>
    <s v="Personnel"/>
    <s v="H "/>
    <x v="1"/>
    <x v="23"/>
    <s v="PSES High Prog21Duty46 S275"/>
    <x v="1"/>
    <s v="46"/>
    <n v="46"/>
    <m/>
    <s v="   "/>
    <n v="2.86"/>
    <n v="0.26369999999999999"/>
    <n v="0.754"/>
    <x v="20"/>
  </r>
  <r>
    <s v="18401"/>
    <x v="114"/>
    <s v="Personnel"/>
    <s v="M "/>
    <x v="2"/>
    <x v="24"/>
    <s v="PSES Mid Prog21Duty46 S275"/>
    <x v="1"/>
    <s v="46"/>
    <n v="46"/>
    <m/>
    <s v="   "/>
    <n v="1.43"/>
    <n v="0.26369999999999999"/>
    <n v="0.377"/>
    <x v="21"/>
  </r>
  <r>
    <s v="18401"/>
    <x v="114"/>
    <s v="Personnel"/>
    <s v="E "/>
    <x v="0"/>
    <x v="35"/>
    <s v="PSES Elem Prog21Duty48 S275"/>
    <x v="1"/>
    <s v="48"/>
    <n v="48"/>
    <m/>
    <s v="   "/>
    <n v="0.6"/>
    <n v="0.26369999999999999"/>
    <n v="0.158"/>
    <x v="29"/>
  </r>
  <r>
    <s v="18401"/>
    <x v="114"/>
    <s v="Personnel"/>
    <s v="H "/>
    <x v="1"/>
    <x v="36"/>
    <s v="PSES High Prog21Duty48 S275"/>
    <x v="1"/>
    <s v="48"/>
    <n v="48"/>
    <m/>
    <s v="   "/>
    <n v="0.34300000000000003"/>
    <n v="0.26369999999999999"/>
    <n v="0.09"/>
    <x v="30"/>
  </r>
  <r>
    <s v="18401"/>
    <x v="114"/>
    <s v="Personnel"/>
    <s v="M "/>
    <x v="2"/>
    <x v="37"/>
    <s v="PSES Mid Prog21Duty48 S275"/>
    <x v="1"/>
    <s v="48"/>
    <n v="48"/>
    <m/>
    <s v="   "/>
    <n v="0.17199999999999999"/>
    <n v="0.26369999999999999"/>
    <n v="4.4999999999999998E-2"/>
    <x v="31"/>
  </r>
  <r>
    <s v="18401"/>
    <x v="114"/>
    <s v="Personnel"/>
    <s v="E "/>
    <x v="0"/>
    <x v="38"/>
    <s v="PSES Elem Prog21Duty64 S275"/>
    <x v="1"/>
    <s v="64"/>
    <n v="64"/>
    <m/>
    <s v="   "/>
    <n v="12.374000000000001"/>
    <n v="0.26369999999999999"/>
    <n v="3.2629999999999999"/>
    <x v="32"/>
  </r>
  <r>
    <s v="18401"/>
    <x v="114"/>
    <s v="Personnel"/>
    <s v="E "/>
    <x v="0"/>
    <x v="39"/>
    <s v="PSES Elem Prog01Duty64 S275"/>
    <x v="0"/>
    <s v="64"/>
    <n v="64"/>
    <m/>
    <s v="   "/>
    <n v="0.90400000000000003"/>
    <n v="0.26369999999999999"/>
    <n v="0"/>
    <x v="32"/>
  </r>
  <r>
    <s v="18401"/>
    <x v="114"/>
    <s v="Personnel"/>
    <s v="H "/>
    <x v="1"/>
    <x v="59"/>
    <s v="PSES High Prog21Duty64 S275"/>
    <x v="1"/>
    <s v="64"/>
    <n v="64"/>
    <m/>
    <s v="   "/>
    <n v="7.0750000000000002"/>
    <n v="0.26369999999999999"/>
    <n v="1.8660000000000001"/>
    <x v="38"/>
  </r>
  <r>
    <s v="18401"/>
    <x v="114"/>
    <s v="Personnel"/>
    <s v="H "/>
    <x v="1"/>
    <x v="80"/>
    <s v="PSES High Prog01Duty64 S275"/>
    <x v="0"/>
    <s v="64"/>
    <n v="64"/>
    <m/>
    <s v="   "/>
    <n v="0.497"/>
    <n v="0.26369999999999999"/>
    <n v="0"/>
    <x v="38"/>
  </r>
  <r>
    <s v="18401"/>
    <x v="114"/>
    <s v="Personnel"/>
    <s v="M "/>
    <x v="2"/>
    <x v="60"/>
    <s v="PSES Mid Prog21Duty64 S275"/>
    <x v="1"/>
    <s v="64"/>
    <n v="64"/>
    <m/>
    <s v="   "/>
    <n v="3.5390000000000001"/>
    <n v="0.26369999999999999"/>
    <n v="0.93300000000000005"/>
    <x v="39"/>
  </r>
  <r>
    <s v="18401"/>
    <x v="114"/>
    <s v="Personnel"/>
    <s v="M "/>
    <x v="2"/>
    <x v="81"/>
    <s v="PSES Mid Prog01Duty64 S275"/>
    <x v="0"/>
    <s v="64"/>
    <n v="64"/>
    <m/>
    <s v="   "/>
    <n v="0.249"/>
    <n v="0.26369999999999999"/>
    <n v="0"/>
    <x v="39"/>
  </r>
  <r>
    <s v="18402"/>
    <x v="115"/>
    <s v="Personnel"/>
    <s v="H "/>
    <x v="1"/>
    <x v="5"/>
    <s v="PSES High Prog01Act25 S275"/>
    <x v="0"/>
    <s v="25"/>
    <m/>
    <n v="25"/>
    <s v="   "/>
    <n v="14.869"/>
    <n v="0.28220000000000001"/>
    <n v="0"/>
    <x v="4"/>
  </r>
  <r>
    <s v="18402"/>
    <x v="115"/>
    <s v="Personnel"/>
    <s v="E "/>
    <x v="0"/>
    <x v="8"/>
    <s v="PSES Elem Prog01Act26 S275"/>
    <x v="0"/>
    <s v="26"/>
    <m/>
    <n v="26"/>
    <s v="   "/>
    <n v="3.4319999999999999"/>
    <n v="0.28220000000000001"/>
    <n v="0"/>
    <x v="6"/>
  </r>
  <r>
    <s v="18402"/>
    <x v="115"/>
    <s v="Personnel"/>
    <s v="H "/>
    <x v="1"/>
    <x v="29"/>
    <s v="PSES High Prog21Act26 S275"/>
    <x v="1"/>
    <s v="26"/>
    <m/>
    <n v="26"/>
    <s v="   "/>
    <n v="5.2069999999999999"/>
    <n v="0.28220000000000001"/>
    <n v="1.4690000000000001"/>
    <x v="7"/>
  </r>
  <r>
    <s v="18402"/>
    <x v="115"/>
    <s v="Personnel"/>
    <s v="H "/>
    <x v="1"/>
    <x v="9"/>
    <s v="PSES High Prog01Act26 S275"/>
    <x v="0"/>
    <s v="26"/>
    <m/>
    <n v="26"/>
    <s v="   "/>
    <n v="2.8290000000000002"/>
    <n v="0.28220000000000001"/>
    <n v="0"/>
    <x v="7"/>
  </r>
  <r>
    <s v="18402"/>
    <x v="115"/>
    <s v="Personnel"/>
    <s v="H "/>
    <x v="1"/>
    <x v="54"/>
    <s v="PSES High Prog01Act35 S275"/>
    <x v="0"/>
    <s v="35"/>
    <m/>
    <n v="35"/>
    <s v="   "/>
    <n v="6.0469999999999997"/>
    <n v="0.28220000000000001"/>
    <n v="0"/>
    <x v="9"/>
  </r>
  <r>
    <s v="18402"/>
    <x v="115"/>
    <s v="Personnel"/>
    <s v="E "/>
    <x v="0"/>
    <x v="15"/>
    <s v="PSES Elem Prog01Duty42 S275"/>
    <x v="0"/>
    <s v="42"/>
    <n v="42"/>
    <m/>
    <s v="   "/>
    <n v="12.706"/>
    <n v="0.28220000000000001"/>
    <n v="0"/>
    <x v="12"/>
  </r>
  <r>
    <s v="18402"/>
    <x v="115"/>
    <s v="Personnel"/>
    <s v="H "/>
    <x v="1"/>
    <x v="16"/>
    <s v="PSES High Prog01Duty42 S275"/>
    <x v="0"/>
    <s v="42"/>
    <n v="42"/>
    <m/>
    <s v="   "/>
    <n v="8"/>
    <n v="0.28220000000000001"/>
    <n v="0"/>
    <x v="13"/>
  </r>
  <r>
    <s v="18402"/>
    <x v="115"/>
    <s v="Personnel"/>
    <s v="M "/>
    <x v="2"/>
    <x v="17"/>
    <s v="PSES Mid Prog01Duty42 S275"/>
    <x v="0"/>
    <s v="42"/>
    <n v="42"/>
    <m/>
    <s v="   "/>
    <n v="3.2959999999999998"/>
    <n v="0.28220000000000001"/>
    <n v="0"/>
    <x v="14"/>
  </r>
  <r>
    <s v="18402"/>
    <x v="115"/>
    <s v="Personnel"/>
    <s v="E "/>
    <x v="0"/>
    <x v="42"/>
    <s v="PSES Elem Prog01Duty44 S275"/>
    <x v="0"/>
    <s v="44"/>
    <n v="44"/>
    <m/>
    <s v="   "/>
    <n v="1"/>
    <n v="0.28220000000000001"/>
    <n v="0"/>
    <x v="33"/>
  </r>
  <r>
    <s v="18402"/>
    <x v="115"/>
    <s v="Personnel"/>
    <s v="H "/>
    <x v="1"/>
    <x v="44"/>
    <s v="PSES High Prog01Duty44 S275"/>
    <x v="0"/>
    <s v="44"/>
    <n v="44"/>
    <m/>
    <s v="   "/>
    <n v="1"/>
    <n v="0.28220000000000001"/>
    <n v="0"/>
    <x v="34"/>
  </r>
  <r>
    <s v="18402"/>
    <x v="115"/>
    <s v="Personnel"/>
    <s v="M "/>
    <x v="2"/>
    <x v="46"/>
    <s v="PSES Mid Prog01Duty44 S275"/>
    <x v="0"/>
    <s v="44"/>
    <n v="44"/>
    <m/>
    <s v="   "/>
    <n v="1"/>
    <n v="0.28220000000000001"/>
    <n v="0"/>
    <x v="35"/>
  </r>
  <r>
    <s v="18402"/>
    <x v="115"/>
    <s v="Personnel"/>
    <s v="E "/>
    <x v="0"/>
    <x v="27"/>
    <s v="PSES Elem Prog01Duty47 S275"/>
    <x v="0"/>
    <s v="47"/>
    <n v="47"/>
    <m/>
    <s v="   "/>
    <n v="5.4320000000000004"/>
    <n v="0.28220000000000001"/>
    <n v="0"/>
    <x v="24"/>
  </r>
  <r>
    <s v="18402"/>
    <x v="115"/>
    <s v="Personnel"/>
    <s v="H "/>
    <x v="1"/>
    <x v="25"/>
    <s v="PSES High Prog01Duty47 S275"/>
    <x v="0"/>
    <s v="47"/>
    <n v="47"/>
    <m/>
    <s v="   "/>
    <n v="1.3180000000000001"/>
    <n v="0.28220000000000001"/>
    <n v="0"/>
    <x v="22"/>
  </r>
  <r>
    <s v="18402"/>
    <x v="115"/>
    <s v="Personnel"/>
    <s v="M "/>
    <x v="2"/>
    <x v="34"/>
    <s v="PSES Mid Prog01Duty47 S275"/>
    <x v="0"/>
    <s v="47"/>
    <n v="47"/>
    <m/>
    <s v="   "/>
    <n v="2.25"/>
    <n v="0.28220000000000001"/>
    <n v="0"/>
    <x v="28"/>
  </r>
  <r>
    <s v="18901"/>
    <x v="116"/>
    <s v="Personnel"/>
    <s v="H "/>
    <x v="1"/>
    <x v="5"/>
    <s v="PSES High Prog01Act25 S275"/>
    <x v="0"/>
    <s v="25"/>
    <m/>
    <n v="25"/>
    <s v="   "/>
    <n v="0.748"/>
    <n v="0.1003"/>
    <n v="0"/>
    <x v="4"/>
  </r>
  <r>
    <s v="18901"/>
    <x v="116"/>
    <s v="Personnel"/>
    <s v="E "/>
    <x v="0"/>
    <x v="22"/>
    <s v="PSES Elem Prog21Duty46 S275"/>
    <x v="1"/>
    <s v="46"/>
    <n v="46"/>
    <m/>
    <s v="   "/>
    <n v="0.34699999999999998"/>
    <n v="0.1003"/>
    <n v="3.5000000000000003E-2"/>
    <x v="19"/>
  </r>
  <r>
    <s v="18901"/>
    <x v="116"/>
    <s v="Personnel"/>
    <s v="M "/>
    <x v="2"/>
    <x v="24"/>
    <s v="PSES Mid Prog21Duty46 S275"/>
    <x v="1"/>
    <s v="46"/>
    <n v="46"/>
    <m/>
    <s v="   "/>
    <n v="0.153"/>
    <n v="0.1003"/>
    <n v="1.4999999999999999E-2"/>
    <x v="21"/>
  </r>
  <r>
    <s v="18901"/>
    <x v="116"/>
    <s v="Personnel"/>
    <s v="E "/>
    <x v="0"/>
    <x v="27"/>
    <s v="PSES Elem Prog01Duty47 S275"/>
    <x v="0"/>
    <s v="47"/>
    <n v="47"/>
    <m/>
    <s v="   "/>
    <n v="0.45400000000000001"/>
    <n v="0.1003"/>
    <n v="0"/>
    <x v="24"/>
  </r>
  <r>
    <s v="18901"/>
    <x v="116"/>
    <s v="Personnel"/>
    <s v="M "/>
    <x v="2"/>
    <x v="34"/>
    <s v="PSES Mid Prog01Duty47 S275"/>
    <x v="0"/>
    <s v="47"/>
    <n v="47"/>
    <m/>
    <s v="   "/>
    <n v="0.14000000000000001"/>
    <n v="0.1003"/>
    <n v="0"/>
    <x v="28"/>
  </r>
  <r>
    <s v="18902"/>
    <x v="117"/>
    <s v="Personnel"/>
    <s v="H "/>
    <x v="1"/>
    <x v="16"/>
    <s v="PSES High Prog01Duty42 S275"/>
    <x v="0"/>
    <s v="42"/>
    <n v="42"/>
    <m/>
    <s v="   "/>
    <n v="1"/>
    <n v="0.13900000000000001"/>
    <n v="0"/>
    <x v="13"/>
  </r>
  <r>
    <s v="19007"/>
    <x v="118"/>
    <s v="Personnel"/>
    <s v="H "/>
    <x v="1"/>
    <x v="25"/>
    <s v="PSES High Prog01Duty47 S275"/>
    <x v="0"/>
    <s v="47"/>
    <n v="47"/>
    <m/>
    <s v="   "/>
    <n v="6.9000000000000006E-2"/>
    <n v="0.08"/>
    <n v="0"/>
    <x v="22"/>
  </r>
  <r>
    <s v="19028"/>
    <x v="119"/>
    <s v="Personnel"/>
    <s v="H "/>
    <x v="1"/>
    <x v="9"/>
    <s v="PSES High Prog01Act26 S275"/>
    <x v="0"/>
    <s v="26"/>
    <m/>
    <n v="26"/>
    <s v="   "/>
    <n v="1.7000000000000001E-2"/>
    <n v="0.16139999999999999"/>
    <n v="0"/>
    <x v="7"/>
  </r>
  <r>
    <s v="19028"/>
    <x v="119"/>
    <s v="Personnel"/>
    <s v="E "/>
    <x v="0"/>
    <x v="15"/>
    <s v="PSES Elem Prog01Duty42 S275"/>
    <x v="0"/>
    <s v="42"/>
    <n v="42"/>
    <m/>
    <s v="   "/>
    <n v="0.46"/>
    <n v="0.16139999999999999"/>
    <n v="0"/>
    <x v="12"/>
  </r>
  <r>
    <s v="19028"/>
    <x v="119"/>
    <s v="Personnel"/>
    <s v="H "/>
    <x v="1"/>
    <x v="16"/>
    <s v="PSES High Prog01Duty42 S275"/>
    <x v="0"/>
    <s v="42"/>
    <n v="42"/>
    <m/>
    <s v="   "/>
    <n v="0.33"/>
    <n v="0.16139999999999999"/>
    <n v="0"/>
    <x v="13"/>
  </r>
  <r>
    <s v="19400"/>
    <x v="120"/>
    <s v="Personnel"/>
    <s v="H "/>
    <x v="1"/>
    <x v="9"/>
    <s v="PSES High Prog01Act26 S275"/>
    <x v="0"/>
    <s v="26"/>
    <m/>
    <n v="26"/>
    <s v="   "/>
    <n v="0.109"/>
    <n v="9.8900000000000002E-2"/>
    <n v="0"/>
    <x v="7"/>
  </r>
  <r>
    <s v="19401"/>
    <x v="121"/>
    <s v="Personnel"/>
    <s v="H "/>
    <x v="1"/>
    <x v="5"/>
    <s v="PSES High Prog01Act25 S275"/>
    <x v="0"/>
    <s v="25"/>
    <m/>
    <n v="25"/>
    <s v="   "/>
    <n v="5.5490000000000004"/>
    <n v="0.22750000000000001"/>
    <n v="0"/>
    <x v="4"/>
  </r>
  <r>
    <s v="19401"/>
    <x v="121"/>
    <s v="Personnel"/>
    <s v="E "/>
    <x v="0"/>
    <x v="8"/>
    <s v="PSES Elem Prog01Act26 S275"/>
    <x v="0"/>
    <s v="26"/>
    <m/>
    <n v="26"/>
    <s v="   "/>
    <n v="0.59399999999999997"/>
    <n v="0.22750000000000001"/>
    <n v="0"/>
    <x v="6"/>
  </r>
  <r>
    <s v="19401"/>
    <x v="121"/>
    <s v="Personnel"/>
    <s v="H "/>
    <x v="1"/>
    <x v="9"/>
    <s v="PSES High Prog01Act26 S275"/>
    <x v="0"/>
    <s v="26"/>
    <m/>
    <n v="26"/>
    <s v="   "/>
    <n v="3.79"/>
    <n v="0.22750000000000001"/>
    <n v="0"/>
    <x v="7"/>
  </r>
  <r>
    <s v="19401"/>
    <x v="121"/>
    <s v="Personnel"/>
    <s v="E "/>
    <x v="0"/>
    <x v="15"/>
    <s v="PSES Elem Prog01Duty42 S275"/>
    <x v="0"/>
    <s v="42"/>
    <n v="42"/>
    <m/>
    <s v="   "/>
    <n v="4"/>
    <n v="0.22750000000000001"/>
    <n v="0"/>
    <x v="12"/>
  </r>
  <r>
    <s v="19401"/>
    <x v="121"/>
    <s v="Personnel"/>
    <s v="H "/>
    <x v="1"/>
    <x v="16"/>
    <s v="PSES High Prog01Duty42 S275"/>
    <x v="0"/>
    <s v="42"/>
    <n v="42"/>
    <m/>
    <s v="   "/>
    <n v="2"/>
    <n v="0.22750000000000001"/>
    <n v="0"/>
    <x v="13"/>
  </r>
  <r>
    <s v="19401"/>
    <x v="121"/>
    <s v="Personnel"/>
    <s v="M "/>
    <x v="2"/>
    <x v="17"/>
    <s v="PSES Mid Prog01Duty42 S275"/>
    <x v="0"/>
    <s v="42"/>
    <n v="42"/>
    <m/>
    <s v="   "/>
    <n v="2"/>
    <n v="0.22750000000000001"/>
    <n v="0"/>
    <x v="14"/>
  </r>
  <r>
    <s v="19401"/>
    <x v="121"/>
    <s v="Personnel"/>
    <s v="E "/>
    <x v="0"/>
    <x v="20"/>
    <s v="PSES Elem Prog21Duty45 S275"/>
    <x v="1"/>
    <s v="45"/>
    <n v="45"/>
    <m/>
    <s v="   "/>
    <n v="0.5"/>
    <n v="0.22750000000000001"/>
    <n v="0.114"/>
    <x v="17"/>
  </r>
  <r>
    <s v="19401"/>
    <x v="121"/>
    <s v="Personnel"/>
    <s v="M "/>
    <x v="2"/>
    <x v="28"/>
    <s v="PSES Mid Prog21Duty45 S275"/>
    <x v="1"/>
    <s v="45"/>
    <n v="45"/>
    <m/>
    <s v="   "/>
    <n v="0.5"/>
    <n v="0.22750000000000001"/>
    <n v="0.114"/>
    <x v="25"/>
  </r>
  <r>
    <s v="19401"/>
    <x v="121"/>
    <s v="Personnel"/>
    <s v="E "/>
    <x v="0"/>
    <x v="22"/>
    <s v="PSES Elem Prog21Duty46 S275"/>
    <x v="1"/>
    <s v="46"/>
    <n v="46"/>
    <m/>
    <s v="   "/>
    <n v="2.5710000000000002"/>
    <n v="0.22750000000000001"/>
    <n v="0.58499999999999996"/>
    <x v="19"/>
  </r>
  <r>
    <s v="19401"/>
    <x v="121"/>
    <s v="Personnel"/>
    <s v="H "/>
    <x v="1"/>
    <x v="23"/>
    <s v="PSES High Prog21Duty46 S275"/>
    <x v="1"/>
    <s v="46"/>
    <n v="46"/>
    <m/>
    <s v="   "/>
    <n v="1.127"/>
    <n v="0.22750000000000001"/>
    <n v="0.25600000000000001"/>
    <x v="20"/>
  </r>
  <r>
    <s v="19401"/>
    <x v="121"/>
    <s v="Personnel"/>
    <s v="M "/>
    <x v="2"/>
    <x v="24"/>
    <s v="PSES Mid Prog21Duty46 S275"/>
    <x v="1"/>
    <s v="46"/>
    <n v="46"/>
    <m/>
    <s v="   "/>
    <n v="1.151"/>
    <n v="0.22750000000000001"/>
    <n v="0.26200000000000001"/>
    <x v="21"/>
  </r>
  <r>
    <s v="19401"/>
    <x v="121"/>
    <s v="Personnel"/>
    <s v="E "/>
    <x v="0"/>
    <x v="38"/>
    <s v="PSES Elem Prog21Duty64 S275"/>
    <x v="1"/>
    <s v="64"/>
    <n v="64"/>
    <m/>
    <s v="   "/>
    <n v="3.7130000000000001"/>
    <n v="0.22750000000000001"/>
    <n v="0.84499999999999997"/>
    <x v="32"/>
  </r>
  <r>
    <s v="19403"/>
    <x v="122"/>
    <s v="Personnel"/>
    <s v="E "/>
    <x v="0"/>
    <x v="67"/>
    <s v="PSES Elem Prog21Act25 S275"/>
    <x v="1"/>
    <s v="25"/>
    <m/>
    <n v="25"/>
    <s v="   "/>
    <n v="0.24199999999999999"/>
    <n v="0.21870000000000001"/>
    <n v="5.2999999999999999E-2"/>
    <x v="3"/>
  </r>
  <r>
    <s v="19403"/>
    <x v="122"/>
    <s v="Personnel"/>
    <s v="E "/>
    <x v="0"/>
    <x v="3"/>
    <s v="PSES Elem Prog01Act25 S275"/>
    <x v="0"/>
    <s v="25"/>
    <m/>
    <n v="25"/>
    <s v="   "/>
    <n v="0.12"/>
    <n v="0.21870000000000001"/>
    <n v="0"/>
    <x v="3"/>
  </r>
  <r>
    <s v="19403"/>
    <x v="122"/>
    <s v="Personnel"/>
    <s v="H "/>
    <x v="1"/>
    <x v="4"/>
    <s v="PSES High Prog21Act25 S275"/>
    <x v="1"/>
    <s v="25"/>
    <m/>
    <n v="25"/>
    <s v="   "/>
    <n v="0.151"/>
    <n v="0.21870000000000001"/>
    <n v="3.3000000000000002E-2"/>
    <x v="4"/>
  </r>
  <r>
    <s v="19403"/>
    <x v="122"/>
    <s v="Personnel"/>
    <s v="H "/>
    <x v="1"/>
    <x v="5"/>
    <s v="PSES High Prog01Act25 S275"/>
    <x v="0"/>
    <s v="25"/>
    <m/>
    <n v="25"/>
    <s v="   "/>
    <n v="0.58399999999999996"/>
    <n v="0.21870000000000001"/>
    <n v="0"/>
    <x v="4"/>
  </r>
  <r>
    <s v="19403"/>
    <x v="122"/>
    <s v="Personnel"/>
    <s v="H "/>
    <x v="1"/>
    <x v="29"/>
    <s v="PSES High Prog21Act26 S275"/>
    <x v="1"/>
    <s v="26"/>
    <m/>
    <n v="26"/>
    <s v="   "/>
    <n v="0.50900000000000001"/>
    <n v="0.21870000000000001"/>
    <n v="0.111"/>
    <x v="7"/>
  </r>
  <r>
    <s v="19403"/>
    <x v="122"/>
    <s v="Personnel"/>
    <s v="E "/>
    <x v="0"/>
    <x v="15"/>
    <s v="PSES Elem Prog01Duty42 S275"/>
    <x v="0"/>
    <s v="42"/>
    <n v="42"/>
    <m/>
    <s v="   "/>
    <n v="0.57999999999999996"/>
    <n v="0.21870000000000001"/>
    <n v="0"/>
    <x v="12"/>
  </r>
  <r>
    <s v="19403"/>
    <x v="122"/>
    <s v="Personnel"/>
    <s v="H "/>
    <x v="1"/>
    <x v="16"/>
    <s v="PSES High Prog01Duty42 S275"/>
    <x v="0"/>
    <s v="42"/>
    <n v="42"/>
    <m/>
    <s v="   "/>
    <n v="1"/>
    <n v="0.21870000000000001"/>
    <n v="0"/>
    <x v="13"/>
  </r>
  <r>
    <s v="19403"/>
    <x v="122"/>
    <s v="Personnel"/>
    <s v="T"/>
    <x v="0"/>
    <x v="70"/>
    <s v="PSES Elem Prog09Duty42 S275"/>
    <x v="3"/>
    <s v="42"/>
    <n v="42"/>
    <n v="24"/>
    <m/>
    <n v="7.0000000000000007E-2"/>
    <n v="0.21870000000000001"/>
    <n v="0"/>
    <x v="42"/>
  </r>
  <r>
    <s v="19403"/>
    <x v="122"/>
    <s v="Personnel"/>
    <s v="T"/>
    <x v="0"/>
    <x v="66"/>
    <s v="PSES Elem Prog09Duty25 S275"/>
    <x v="3"/>
    <s v="25"/>
    <n v="91"/>
    <n v="25"/>
    <m/>
    <n v="0.151"/>
    <n v="0.21870000000000001"/>
    <n v="0"/>
    <x v="41"/>
  </r>
  <r>
    <s v="19404"/>
    <x v="123"/>
    <s v="Personnel"/>
    <s v="E "/>
    <x v="0"/>
    <x v="7"/>
    <s v="PSES Elem Prog21Act26 S275"/>
    <x v="1"/>
    <s v="26"/>
    <m/>
    <n v="26"/>
    <s v="   "/>
    <n v="1.3"/>
    <n v="0.17499999999999999"/>
    <n v="0.22800000000000001"/>
    <x v="6"/>
  </r>
  <r>
    <s v="19404"/>
    <x v="123"/>
    <s v="Personnel"/>
    <s v="E "/>
    <x v="0"/>
    <x v="15"/>
    <s v="PSES Elem Prog01Duty42 S275"/>
    <x v="0"/>
    <s v="42"/>
    <n v="42"/>
    <m/>
    <s v="   "/>
    <n v="1"/>
    <n v="0.17499999999999999"/>
    <n v="0"/>
    <x v="12"/>
  </r>
  <r>
    <s v="19404"/>
    <x v="123"/>
    <s v="Personnel"/>
    <s v="M "/>
    <x v="2"/>
    <x v="17"/>
    <s v="PSES Mid Prog01Duty42 S275"/>
    <x v="0"/>
    <s v="42"/>
    <n v="42"/>
    <m/>
    <s v="   "/>
    <n v="1"/>
    <n v="0.17499999999999999"/>
    <n v="0"/>
    <x v="14"/>
  </r>
  <r>
    <s v="19404"/>
    <x v="123"/>
    <s v="Personnel"/>
    <s v="H "/>
    <x v="1"/>
    <x v="44"/>
    <s v="PSES High Prog01Duty44 S275"/>
    <x v="0"/>
    <s v="44"/>
    <n v="44"/>
    <m/>
    <s v="   "/>
    <n v="0.95"/>
    <n v="0.17499999999999999"/>
    <n v="0"/>
    <x v="34"/>
  </r>
  <r>
    <s v="19404"/>
    <x v="123"/>
    <s v="Personnel"/>
    <s v="E "/>
    <x v="0"/>
    <x v="22"/>
    <s v="PSES Elem Prog21Duty46 S275"/>
    <x v="1"/>
    <s v="46"/>
    <n v="46"/>
    <m/>
    <s v="   "/>
    <n v="0.46500000000000002"/>
    <n v="0.17499999999999999"/>
    <n v="8.1000000000000003E-2"/>
    <x v="19"/>
  </r>
  <r>
    <s v="19404"/>
    <x v="123"/>
    <s v="Personnel"/>
    <s v="E "/>
    <x v="0"/>
    <x v="48"/>
    <s v="PSES Elem Prog01Duty46 S275"/>
    <x v="0"/>
    <s v="46"/>
    <n v="46"/>
    <m/>
    <s v="   "/>
    <n v="0.104"/>
    <n v="0.17499999999999999"/>
    <n v="0"/>
    <x v="19"/>
  </r>
  <r>
    <s v="19404"/>
    <x v="123"/>
    <s v="Personnel"/>
    <s v="H "/>
    <x v="1"/>
    <x v="23"/>
    <s v="PSES High Prog21Duty46 S275"/>
    <x v="1"/>
    <s v="46"/>
    <n v="46"/>
    <m/>
    <s v="   "/>
    <n v="0.151"/>
    <n v="0.17499999999999999"/>
    <n v="2.5999999999999999E-2"/>
    <x v="20"/>
  </r>
  <r>
    <s v="19404"/>
    <x v="123"/>
    <s v="Personnel"/>
    <s v="H "/>
    <x v="1"/>
    <x v="65"/>
    <s v="PSES High Prog01Duty46 S275"/>
    <x v="0"/>
    <s v="46"/>
    <n v="46"/>
    <m/>
    <s v="   "/>
    <n v="5.1999999999999998E-2"/>
    <n v="0.17499999999999999"/>
    <n v="0"/>
    <x v="20"/>
  </r>
  <r>
    <s v="19404"/>
    <x v="123"/>
    <s v="Personnel"/>
    <s v="M "/>
    <x v="2"/>
    <x v="49"/>
    <s v="PSES Mid Prog01Duty46 S275"/>
    <x v="0"/>
    <s v="46"/>
    <n v="46"/>
    <m/>
    <s v="   "/>
    <n v="5.1999999999999998E-2"/>
    <n v="0.17499999999999999"/>
    <n v="0"/>
    <x v="21"/>
  </r>
  <r>
    <s v="20094"/>
    <x v="124"/>
    <s v="Personnel"/>
    <s v="E "/>
    <x v="0"/>
    <x v="3"/>
    <s v="PSES Elem Prog01Act25 S275"/>
    <x v="0"/>
    <s v="25"/>
    <m/>
    <n v="25"/>
    <s v="   "/>
    <n v="1.7969999999999999"/>
    <n v="0.1913"/>
    <n v="0"/>
    <x v="3"/>
  </r>
  <r>
    <s v="20094"/>
    <x v="124"/>
    <s v="Personnel"/>
    <s v="E "/>
    <x v="0"/>
    <x v="15"/>
    <s v="PSES Elem Prog01Duty42 S275"/>
    <x v="0"/>
    <s v="42"/>
    <n v="42"/>
    <m/>
    <s v="   "/>
    <n v="0.312"/>
    <n v="0.1913"/>
    <n v="0"/>
    <x v="12"/>
  </r>
  <r>
    <s v="20094"/>
    <x v="124"/>
    <s v="Personnel"/>
    <s v="H "/>
    <x v="1"/>
    <x v="16"/>
    <s v="PSES High Prog01Duty42 S275"/>
    <x v="0"/>
    <s v="42"/>
    <n v="42"/>
    <m/>
    <s v="   "/>
    <n v="0.156"/>
    <n v="0.1913"/>
    <n v="0"/>
    <x v="13"/>
  </r>
  <r>
    <s v="20094"/>
    <x v="124"/>
    <s v="Personnel"/>
    <s v="M "/>
    <x v="2"/>
    <x v="17"/>
    <s v="PSES Mid Prog01Duty42 S275"/>
    <x v="0"/>
    <s v="42"/>
    <n v="42"/>
    <m/>
    <s v="   "/>
    <n v="0.156"/>
    <n v="0.1913"/>
    <n v="0"/>
    <x v="14"/>
  </r>
  <r>
    <s v="20215"/>
    <x v="125"/>
    <s v="Personnel"/>
    <s v="H "/>
    <x v="1"/>
    <x v="9"/>
    <s v="PSES High Prog01Act26 S275"/>
    <x v="0"/>
    <s v="26"/>
    <m/>
    <n v="26"/>
    <s v="   "/>
    <n v="0.56000000000000005"/>
    <n v="0.1913"/>
    <n v="0"/>
    <x v="7"/>
  </r>
  <r>
    <s v="20400"/>
    <x v="126"/>
    <s v="Personnel"/>
    <s v="E "/>
    <x v="0"/>
    <x v="3"/>
    <s v="PSES Elem Prog01Act25 S275"/>
    <x v="0"/>
    <s v="25"/>
    <m/>
    <n v="25"/>
    <s v="   "/>
    <n v="0.26500000000000001"/>
    <n v="0.1913"/>
    <n v="0"/>
    <x v="3"/>
  </r>
  <r>
    <s v="20400"/>
    <x v="126"/>
    <s v="Personnel"/>
    <s v="H "/>
    <x v="1"/>
    <x v="16"/>
    <s v="PSES High Prog01Duty42 S275"/>
    <x v="0"/>
    <s v="42"/>
    <n v="42"/>
    <m/>
    <s v="   "/>
    <n v="0.5"/>
    <n v="0.1913"/>
    <n v="0"/>
    <x v="13"/>
  </r>
  <r>
    <s v="20401"/>
    <x v="127"/>
    <s v="Personnel"/>
    <s v="E "/>
    <x v="0"/>
    <x v="15"/>
    <s v="PSES Elem Prog01Duty42 S275"/>
    <x v="0"/>
    <s v="42"/>
    <n v="42"/>
    <m/>
    <s v="   "/>
    <n v="0.46899999999999997"/>
    <n v="0.1913"/>
    <n v="0"/>
    <x v="12"/>
  </r>
  <r>
    <s v="20401"/>
    <x v="127"/>
    <s v="Personnel"/>
    <s v="H "/>
    <x v="1"/>
    <x v="16"/>
    <s v="PSES High Prog01Duty42 S275"/>
    <x v="0"/>
    <s v="42"/>
    <n v="42"/>
    <m/>
    <s v="   "/>
    <n v="0.14000000000000001"/>
    <n v="0.1913"/>
    <n v="0"/>
    <x v="13"/>
  </r>
  <r>
    <s v="20401"/>
    <x v="127"/>
    <s v="Personnel"/>
    <s v="M "/>
    <x v="2"/>
    <x v="17"/>
    <s v="PSES Mid Prog01Duty42 S275"/>
    <x v="0"/>
    <s v="42"/>
    <n v="42"/>
    <m/>
    <s v="   "/>
    <n v="0.11"/>
    <n v="0.1913"/>
    <n v="0"/>
    <x v="14"/>
  </r>
  <r>
    <s v="20402"/>
    <x v="128"/>
    <s v="Personnel"/>
    <s v="E "/>
    <x v="0"/>
    <x v="3"/>
    <s v="PSES Elem Prog01Act25 S275"/>
    <x v="0"/>
    <s v="25"/>
    <m/>
    <n v="25"/>
    <s v="   "/>
    <n v="0.183"/>
    <n v="0.1913"/>
    <n v="0"/>
    <x v="3"/>
  </r>
  <r>
    <s v="20402"/>
    <x v="128"/>
    <s v="Personnel"/>
    <s v="E "/>
    <x v="0"/>
    <x v="15"/>
    <s v="PSES Elem Prog01Duty42 S275"/>
    <x v="0"/>
    <s v="42"/>
    <n v="42"/>
    <m/>
    <s v="   "/>
    <n v="0.25700000000000001"/>
    <n v="0.1913"/>
    <n v="0"/>
    <x v="12"/>
  </r>
  <r>
    <s v="20402"/>
    <x v="128"/>
    <s v="Personnel"/>
    <s v="H "/>
    <x v="1"/>
    <x v="16"/>
    <s v="PSES High Prog01Duty42 S275"/>
    <x v="0"/>
    <s v="42"/>
    <n v="42"/>
    <m/>
    <s v="   "/>
    <n v="0.14899999999999999"/>
    <n v="0.1913"/>
    <n v="0"/>
    <x v="13"/>
  </r>
  <r>
    <s v="20402"/>
    <x v="128"/>
    <s v="Personnel"/>
    <s v="M "/>
    <x v="2"/>
    <x v="17"/>
    <s v="PSES Mid Prog01Duty42 S275"/>
    <x v="0"/>
    <s v="42"/>
    <n v="42"/>
    <m/>
    <s v="   "/>
    <n v="9.5000000000000001E-2"/>
    <n v="0.1913"/>
    <n v="0"/>
    <x v="14"/>
  </r>
  <r>
    <s v="20403"/>
    <x v="129"/>
    <s v="Personnel"/>
    <s v="H "/>
    <x v="1"/>
    <x v="9"/>
    <s v="PSES High Prog01Act26 S275"/>
    <x v="0"/>
    <s v="26"/>
    <m/>
    <n v="26"/>
    <s v="   "/>
    <n v="7.3999999999999996E-2"/>
    <n v="0.1913"/>
    <n v="0"/>
    <x v="7"/>
  </r>
  <r>
    <s v="20404"/>
    <x v="130"/>
    <s v="Personnel"/>
    <s v="E "/>
    <x v="0"/>
    <x v="8"/>
    <s v="PSES Elem Prog01Act26 S275"/>
    <x v="0"/>
    <s v="26"/>
    <m/>
    <n v="26"/>
    <s v="   "/>
    <n v="0.64300000000000002"/>
    <n v="0.1913"/>
    <n v="0"/>
    <x v="6"/>
  </r>
  <r>
    <s v="20404"/>
    <x v="130"/>
    <s v="Personnel"/>
    <s v="E "/>
    <x v="0"/>
    <x v="15"/>
    <s v="PSES Elem Prog01Duty42 S275"/>
    <x v="0"/>
    <s v="42"/>
    <n v="42"/>
    <m/>
    <s v="   "/>
    <n v="0.75"/>
    <n v="0.1913"/>
    <n v="0"/>
    <x v="12"/>
  </r>
  <r>
    <s v="20404"/>
    <x v="130"/>
    <s v="Personnel"/>
    <s v="H "/>
    <x v="1"/>
    <x v="16"/>
    <s v="PSES High Prog01Duty42 S275"/>
    <x v="0"/>
    <s v="42"/>
    <n v="42"/>
    <m/>
    <s v="   "/>
    <n v="0.55000000000000004"/>
    <n v="0.1913"/>
    <n v="0"/>
    <x v="13"/>
  </r>
  <r>
    <s v="20404"/>
    <x v="130"/>
    <s v="Personnel"/>
    <s v="M "/>
    <x v="2"/>
    <x v="17"/>
    <s v="PSES Mid Prog01Duty42 S275"/>
    <x v="0"/>
    <s v="42"/>
    <n v="42"/>
    <m/>
    <s v="   "/>
    <n v="1"/>
    <n v="0.1913"/>
    <n v="0"/>
    <x v="14"/>
  </r>
  <r>
    <s v="20404"/>
    <x v="130"/>
    <s v="Personnel"/>
    <s v="M "/>
    <x v="2"/>
    <x v="34"/>
    <s v="PSES Mid Prog01Duty47 S275"/>
    <x v="0"/>
    <s v="47"/>
    <n v="47"/>
    <m/>
    <s v="   "/>
    <n v="0.65"/>
    <n v="0.1913"/>
    <n v="0"/>
    <x v="28"/>
  </r>
  <r>
    <s v="20405"/>
    <x v="131"/>
    <s v="Personnel"/>
    <s v="E "/>
    <x v="0"/>
    <x v="0"/>
    <s v="PSES Elem Prog01Duty96 S275"/>
    <x v="0"/>
    <s v="24"/>
    <n v="96"/>
    <n v="24"/>
    <s v="   "/>
    <n v="0.79800000000000004"/>
    <n v="0.1913"/>
    <n v="0"/>
    <x v="0"/>
  </r>
  <r>
    <s v="20405"/>
    <x v="131"/>
    <s v="Personnel"/>
    <s v="M "/>
    <x v="2"/>
    <x v="2"/>
    <s v="PSES Mid Prog01Duty96 S275"/>
    <x v="0"/>
    <s v="24"/>
    <n v="96"/>
    <n v="24"/>
    <s v="   "/>
    <n v="0.29599999999999999"/>
    <n v="0.1913"/>
    <n v="0"/>
    <x v="2"/>
  </r>
  <r>
    <s v="20405"/>
    <x v="131"/>
    <s v="Personnel"/>
    <s v="E "/>
    <x v="0"/>
    <x v="3"/>
    <s v="PSES Elem Prog01Act25 S275"/>
    <x v="0"/>
    <s v="25"/>
    <m/>
    <n v="25"/>
    <s v="   "/>
    <n v="0.98199999999999998"/>
    <n v="0.1913"/>
    <n v="0"/>
    <x v="3"/>
  </r>
  <r>
    <s v="20405"/>
    <x v="131"/>
    <s v="Personnel"/>
    <s v="M "/>
    <x v="2"/>
    <x v="6"/>
    <s v="PSES Mid Prog01Act25 S275"/>
    <x v="0"/>
    <s v="25"/>
    <m/>
    <n v="25"/>
    <s v="   "/>
    <n v="4.8000000000000001E-2"/>
    <n v="0.1913"/>
    <n v="0"/>
    <x v="5"/>
  </r>
  <r>
    <s v="20405"/>
    <x v="131"/>
    <s v="Personnel"/>
    <s v="H "/>
    <x v="1"/>
    <x v="16"/>
    <s v="PSES High Prog01Duty42 S275"/>
    <x v="0"/>
    <s v="42"/>
    <n v="42"/>
    <m/>
    <s v="   "/>
    <n v="1"/>
    <n v="0.1913"/>
    <n v="0"/>
    <x v="13"/>
  </r>
  <r>
    <s v="21014"/>
    <x v="132"/>
    <s v="Personnel"/>
    <s v="E "/>
    <x v="0"/>
    <x v="67"/>
    <s v="PSES Elem Prog21Act25 S275"/>
    <x v="1"/>
    <s v="25"/>
    <m/>
    <n v="25"/>
    <s v="   "/>
    <n v="0.36299999999999999"/>
    <n v="0.18229999999999999"/>
    <n v="6.6000000000000003E-2"/>
    <x v="3"/>
  </r>
  <r>
    <s v="21014"/>
    <x v="132"/>
    <s v="Personnel"/>
    <s v="E "/>
    <x v="0"/>
    <x v="3"/>
    <s v="PSES Elem Prog01Act25 S275"/>
    <x v="0"/>
    <s v="25"/>
    <m/>
    <n v="25"/>
    <s v="   "/>
    <n v="0.86799999999999999"/>
    <n v="0.18229999999999999"/>
    <n v="0"/>
    <x v="3"/>
  </r>
  <r>
    <s v="21014"/>
    <x v="132"/>
    <s v="Personnel"/>
    <s v="H "/>
    <x v="1"/>
    <x v="4"/>
    <s v="PSES High Prog21Act25 S275"/>
    <x v="1"/>
    <s v="25"/>
    <m/>
    <n v="25"/>
    <s v="   "/>
    <n v="0.26500000000000001"/>
    <n v="0.18229999999999999"/>
    <n v="4.8000000000000001E-2"/>
    <x v="4"/>
  </r>
  <r>
    <s v="21014"/>
    <x v="132"/>
    <s v="Personnel"/>
    <s v="H "/>
    <x v="1"/>
    <x v="5"/>
    <s v="PSES High Prog01Act25 S275"/>
    <x v="0"/>
    <s v="25"/>
    <m/>
    <n v="25"/>
    <s v="   "/>
    <n v="0.17100000000000001"/>
    <n v="0.18229999999999999"/>
    <n v="0"/>
    <x v="4"/>
  </r>
  <r>
    <s v="21014"/>
    <x v="132"/>
    <s v="Personnel"/>
    <s v="E "/>
    <x v="0"/>
    <x v="7"/>
    <s v="PSES Elem Prog21Act26 S275"/>
    <x v="1"/>
    <s v="26"/>
    <m/>
    <n v="26"/>
    <s v="   "/>
    <n v="0.51200000000000001"/>
    <n v="0.18229999999999999"/>
    <n v="9.2999999999999999E-2"/>
    <x v="6"/>
  </r>
  <r>
    <s v="21014"/>
    <x v="132"/>
    <s v="Personnel"/>
    <s v="E "/>
    <x v="0"/>
    <x v="8"/>
    <s v="PSES Elem Prog01Act26 S275"/>
    <x v="0"/>
    <s v="26"/>
    <m/>
    <n v="26"/>
    <s v="   "/>
    <n v="0.38500000000000001"/>
    <n v="0.18229999999999999"/>
    <n v="0"/>
    <x v="6"/>
  </r>
  <r>
    <s v="21014"/>
    <x v="132"/>
    <s v="Personnel"/>
    <s v="H "/>
    <x v="1"/>
    <x v="29"/>
    <s v="PSES High Prog21Act26 S275"/>
    <x v="1"/>
    <s v="26"/>
    <m/>
    <n v="26"/>
    <s v="   "/>
    <n v="0.123"/>
    <n v="0.18229999999999999"/>
    <n v="2.1999999999999999E-2"/>
    <x v="7"/>
  </r>
  <r>
    <s v="21014"/>
    <x v="132"/>
    <s v="Personnel"/>
    <s v="H "/>
    <x v="1"/>
    <x v="9"/>
    <s v="PSES High Prog01Act26 S275"/>
    <x v="0"/>
    <s v="26"/>
    <m/>
    <n v="26"/>
    <s v="   "/>
    <n v="5.5E-2"/>
    <n v="0.18229999999999999"/>
    <n v="0"/>
    <x v="7"/>
  </r>
  <r>
    <s v="21014"/>
    <x v="132"/>
    <s v="Personnel"/>
    <s v="M "/>
    <x v="2"/>
    <x v="11"/>
    <s v="PSES Mid Prog01Act26 S275"/>
    <x v="0"/>
    <s v="26"/>
    <m/>
    <n v="26"/>
    <s v="   "/>
    <n v="5.5E-2"/>
    <n v="0.18229999999999999"/>
    <n v="0"/>
    <x v="8"/>
  </r>
  <r>
    <s v="21014"/>
    <x v="132"/>
    <s v="Personnel"/>
    <s v="E "/>
    <x v="0"/>
    <x v="15"/>
    <s v="PSES Elem Prog01Duty42 S275"/>
    <x v="0"/>
    <s v="42"/>
    <n v="42"/>
    <m/>
    <s v="   "/>
    <n v="0.4"/>
    <n v="0.18229999999999999"/>
    <n v="0"/>
    <x v="12"/>
  </r>
  <r>
    <s v="21014"/>
    <x v="132"/>
    <s v="Personnel"/>
    <s v="H "/>
    <x v="1"/>
    <x v="16"/>
    <s v="PSES High Prog01Duty42 S275"/>
    <x v="0"/>
    <s v="42"/>
    <n v="42"/>
    <m/>
    <s v="   "/>
    <n v="1.4"/>
    <n v="0.18229999999999999"/>
    <n v="0"/>
    <x v="13"/>
  </r>
  <r>
    <s v="21014"/>
    <x v="132"/>
    <s v="Personnel"/>
    <s v="E "/>
    <x v="0"/>
    <x v="38"/>
    <s v="PSES Elem Prog21Duty64 S275"/>
    <x v="1"/>
    <s v="64"/>
    <n v="64"/>
    <m/>
    <s v="   "/>
    <n v="1.875"/>
    <n v="0.18229999999999999"/>
    <n v="0.34200000000000003"/>
    <x v="32"/>
  </r>
  <r>
    <s v="21014"/>
    <x v="132"/>
    <s v="Personnel"/>
    <s v="H "/>
    <x v="1"/>
    <x v="59"/>
    <s v="PSES High Prog21Duty64 S275"/>
    <x v="1"/>
    <s v="64"/>
    <n v="64"/>
    <m/>
    <s v="   "/>
    <n v="0.33"/>
    <n v="0.18229999999999999"/>
    <n v="0.06"/>
    <x v="38"/>
  </r>
  <r>
    <s v="21014"/>
    <x v="132"/>
    <s v="Personnel"/>
    <s v="M "/>
    <x v="2"/>
    <x v="60"/>
    <s v="PSES Mid Prog21Duty64 S275"/>
    <x v="1"/>
    <s v="64"/>
    <n v="64"/>
    <m/>
    <s v="   "/>
    <n v="1.0920000000000001"/>
    <n v="0.18229999999999999"/>
    <n v="0.19900000000000001"/>
    <x v="39"/>
  </r>
  <r>
    <s v="21036"/>
    <x v="133"/>
    <s v="Personnel"/>
    <s v="E "/>
    <x v="0"/>
    <x v="3"/>
    <s v="PSES Elem Prog01Act25 S275"/>
    <x v="0"/>
    <s v="25"/>
    <m/>
    <n v="25"/>
    <s v="   "/>
    <n v="0.54600000000000004"/>
    <n v="0.08"/>
    <n v="0"/>
    <x v="3"/>
  </r>
  <r>
    <s v="21036"/>
    <x v="133"/>
    <s v="Personnel"/>
    <s v="E "/>
    <x v="0"/>
    <x v="15"/>
    <s v="PSES Elem Prog01Duty42 S275"/>
    <x v="0"/>
    <s v="42"/>
    <n v="42"/>
    <m/>
    <s v="   "/>
    <n v="0.128"/>
    <n v="0.08"/>
    <n v="0"/>
    <x v="12"/>
  </r>
  <r>
    <s v="21036"/>
    <x v="133"/>
    <s v="Personnel"/>
    <s v="T"/>
    <x v="0"/>
    <x v="66"/>
    <s v="PSES Elem Prog09Duty25 S275"/>
    <x v="3"/>
    <s v="25"/>
    <n v="91"/>
    <n v="25"/>
    <m/>
    <n v="3.4000000000000002E-2"/>
    <n v="0.08"/>
    <n v="0"/>
    <x v="41"/>
  </r>
  <r>
    <s v="21206"/>
    <x v="134"/>
    <s v="Personnel"/>
    <s v="E "/>
    <x v="0"/>
    <x v="3"/>
    <s v="PSES Elem Prog01Act25 S275"/>
    <x v="0"/>
    <s v="25"/>
    <m/>
    <n v="25"/>
    <s v="   "/>
    <n v="1.145"/>
    <n v="0.31069999999999998"/>
    <n v="0"/>
    <x v="3"/>
  </r>
  <r>
    <s v="21206"/>
    <x v="134"/>
    <s v="Personnel"/>
    <s v="E "/>
    <x v="0"/>
    <x v="8"/>
    <s v="PSES Elem Prog01Act26 S275"/>
    <x v="0"/>
    <s v="26"/>
    <m/>
    <n v="26"/>
    <s v="   "/>
    <n v="0.48499999999999999"/>
    <n v="0.31069999999999998"/>
    <n v="0"/>
    <x v="6"/>
  </r>
  <r>
    <s v="21206"/>
    <x v="134"/>
    <s v="Personnel"/>
    <s v="H "/>
    <x v="1"/>
    <x v="9"/>
    <s v="PSES High Prog01Act26 S275"/>
    <x v="0"/>
    <s v="26"/>
    <m/>
    <n v="26"/>
    <s v="   "/>
    <n v="0.121"/>
    <n v="0.31069999999999998"/>
    <n v="0"/>
    <x v="7"/>
  </r>
  <r>
    <s v="21206"/>
    <x v="134"/>
    <s v="Personnel"/>
    <s v="H "/>
    <x v="1"/>
    <x v="16"/>
    <s v="PSES High Prog01Duty42 S275"/>
    <x v="0"/>
    <s v="42"/>
    <n v="42"/>
    <m/>
    <s v="   "/>
    <n v="1.06"/>
    <n v="0.31069999999999998"/>
    <n v="0"/>
    <x v="13"/>
  </r>
  <r>
    <s v="21206"/>
    <x v="134"/>
    <s v="Personnel"/>
    <s v="M "/>
    <x v="2"/>
    <x v="17"/>
    <s v="PSES Mid Prog01Duty42 S275"/>
    <x v="0"/>
    <s v="42"/>
    <n v="42"/>
    <m/>
    <s v="   "/>
    <n v="0.1"/>
    <n v="0.31069999999999998"/>
    <n v="0"/>
    <x v="14"/>
  </r>
  <r>
    <s v="21206"/>
    <x v="134"/>
    <s v="Personnel"/>
    <s v="E "/>
    <x v="0"/>
    <x v="18"/>
    <s v="PSES Elem Prog21Duty43 S275"/>
    <x v="1"/>
    <s v="43"/>
    <n v="43"/>
    <m/>
    <s v="   "/>
    <n v="1.2"/>
    <n v="0.31069999999999998"/>
    <n v="0.373"/>
    <x v="15"/>
  </r>
  <r>
    <s v="21206"/>
    <x v="134"/>
    <s v="Personnel"/>
    <s v="H "/>
    <x v="1"/>
    <x v="19"/>
    <s v="PSES High Prog21Duty43 S275"/>
    <x v="1"/>
    <s v="43"/>
    <n v="43"/>
    <m/>
    <s v="   "/>
    <n v="2.2000000000000002"/>
    <n v="0.31069999999999998"/>
    <n v="0.68400000000000005"/>
    <x v="16"/>
  </r>
  <r>
    <s v="21206"/>
    <x v="134"/>
    <s v="Personnel"/>
    <s v="H "/>
    <x v="1"/>
    <x v="59"/>
    <s v="PSES High Prog21Duty64 S275"/>
    <x v="1"/>
    <s v="64"/>
    <n v="64"/>
    <m/>
    <s v="   "/>
    <n v="1.212"/>
    <n v="0.31069999999999998"/>
    <n v="0.377"/>
    <x v="38"/>
  </r>
  <r>
    <s v="21214"/>
    <x v="135"/>
    <s v="Personnel"/>
    <s v="E "/>
    <x v="0"/>
    <x v="15"/>
    <s v="PSES Elem Prog01Duty42 S275"/>
    <x v="0"/>
    <s v="42"/>
    <n v="42"/>
    <m/>
    <s v="   "/>
    <n v="0.62"/>
    <n v="0.31480000000000002"/>
    <n v="0"/>
    <x v="12"/>
  </r>
  <r>
    <s v="21214"/>
    <x v="135"/>
    <s v="Personnel"/>
    <s v="H "/>
    <x v="1"/>
    <x v="16"/>
    <s v="PSES High Prog01Duty42 S275"/>
    <x v="0"/>
    <s v="42"/>
    <n v="42"/>
    <m/>
    <s v="   "/>
    <n v="0.5"/>
    <n v="0.31480000000000002"/>
    <n v="0"/>
    <x v="13"/>
  </r>
  <r>
    <s v="21214"/>
    <x v="135"/>
    <s v="Personnel"/>
    <s v="M "/>
    <x v="2"/>
    <x v="17"/>
    <s v="PSES Mid Prog01Duty42 S275"/>
    <x v="0"/>
    <s v="42"/>
    <n v="42"/>
    <m/>
    <s v="   "/>
    <n v="0.5"/>
    <n v="0.31480000000000002"/>
    <n v="0"/>
    <x v="14"/>
  </r>
  <r>
    <s v="21214"/>
    <x v="135"/>
    <s v="Personnel"/>
    <s v="E "/>
    <x v="0"/>
    <x v="27"/>
    <s v="PSES Elem Prog01Duty47 S275"/>
    <x v="0"/>
    <s v="47"/>
    <n v="47"/>
    <m/>
    <s v="   "/>
    <n v="1.026"/>
    <n v="0.31480000000000002"/>
    <n v="0"/>
    <x v="24"/>
  </r>
  <r>
    <s v="21214"/>
    <x v="135"/>
    <s v="Personnel"/>
    <s v="H "/>
    <x v="1"/>
    <x v="25"/>
    <s v="PSES High Prog01Duty47 S275"/>
    <x v="0"/>
    <s v="47"/>
    <n v="47"/>
    <m/>
    <s v="   "/>
    <n v="6.8000000000000005E-2"/>
    <n v="0.31480000000000002"/>
    <n v="0"/>
    <x v="22"/>
  </r>
  <r>
    <s v="21214"/>
    <x v="135"/>
    <s v="Personnel"/>
    <s v="M "/>
    <x v="2"/>
    <x v="34"/>
    <s v="PSES Mid Prog01Duty47 S275"/>
    <x v="0"/>
    <s v="47"/>
    <n v="47"/>
    <m/>
    <s v="   "/>
    <n v="2.7E-2"/>
    <n v="0.31480000000000002"/>
    <n v="0"/>
    <x v="28"/>
  </r>
  <r>
    <s v="21226"/>
    <x v="136"/>
    <s v="Personnel"/>
    <s v="H "/>
    <x v="1"/>
    <x v="5"/>
    <s v="PSES High Prog01Act25 S275"/>
    <x v="0"/>
    <s v="25"/>
    <m/>
    <n v="25"/>
    <s v="   "/>
    <n v="0.73199999999999998"/>
    <n v="0.2039"/>
    <n v="0"/>
    <x v="4"/>
  </r>
  <r>
    <s v="21226"/>
    <x v="136"/>
    <s v="Personnel"/>
    <s v="H "/>
    <x v="1"/>
    <x v="29"/>
    <s v="PSES High Prog21Act26 S275"/>
    <x v="1"/>
    <s v="26"/>
    <m/>
    <n v="26"/>
    <s v="   "/>
    <n v="3.395"/>
    <n v="0.2039"/>
    <n v="0.69199999999999995"/>
    <x v="7"/>
  </r>
  <r>
    <s v="21226"/>
    <x v="136"/>
    <s v="Personnel"/>
    <s v="H "/>
    <x v="1"/>
    <x v="9"/>
    <s v="PSES High Prog01Act26 S275"/>
    <x v="0"/>
    <s v="26"/>
    <m/>
    <n v="26"/>
    <s v="   "/>
    <n v="0.46500000000000002"/>
    <n v="0.2039"/>
    <n v="0"/>
    <x v="7"/>
  </r>
  <r>
    <s v="21226"/>
    <x v="136"/>
    <s v="Personnel"/>
    <s v="H "/>
    <x v="1"/>
    <x v="16"/>
    <s v="PSES High Prog01Duty42 S275"/>
    <x v="0"/>
    <s v="42"/>
    <n v="42"/>
    <m/>
    <s v="   "/>
    <n v="1"/>
    <n v="0.2039"/>
    <n v="0"/>
    <x v="13"/>
  </r>
  <r>
    <s v="21226"/>
    <x v="136"/>
    <s v="Personnel"/>
    <s v="H "/>
    <x v="1"/>
    <x v="23"/>
    <s v="PSES High Prog21Duty46 S275"/>
    <x v="1"/>
    <s v="46"/>
    <n v="46"/>
    <m/>
    <s v="   "/>
    <n v="1"/>
    <n v="0.2039"/>
    <n v="0.20399999999999999"/>
    <x v="20"/>
  </r>
  <r>
    <s v="21226"/>
    <x v="136"/>
    <s v="Personnel"/>
    <s v="H "/>
    <x v="1"/>
    <x v="59"/>
    <s v="PSES High Prog21Duty64 S275"/>
    <x v="1"/>
    <s v="64"/>
    <n v="64"/>
    <m/>
    <s v="   "/>
    <n v="1.8879999999999999"/>
    <n v="0.2039"/>
    <n v="0.38500000000000001"/>
    <x v="38"/>
  </r>
  <r>
    <s v="21232"/>
    <x v="137"/>
    <s v="Personnel"/>
    <s v="E "/>
    <x v="0"/>
    <x v="67"/>
    <s v="PSES Elem Prog21Act25 S275"/>
    <x v="1"/>
    <s v="25"/>
    <m/>
    <n v="25"/>
    <s v="   "/>
    <n v="0.36899999999999999"/>
    <n v="0.19120000000000001"/>
    <n v="7.0999999999999994E-2"/>
    <x v="3"/>
  </r>
  <r>
    <s v="21232"/>
    <x v="137"/>
    <s v="Personnel"/>
    <s v="E "/>
    <x v="0"/>
    <x v="7"/>
    <s v="PSES Elem Prog21Act26 S275"/>
    <x v="1"/>
    <s v="26"/>
    <m/>
    <n v="26"/>
    <s v="   "/>
    <n v="0.73599999999999999"/>
    <n v="0.19120000000000001"/>
    <n v="0.14099999999999999"/>
    <x v="6"/>
  </r>
  <r>
    <s v="21232"/>
    <x v="137"/>
    <s v="Personnel"/>
    <s v="H "/>
    <x v="1"/>
    <x v="29"/>
    <s v="PSES High Prog21Act26 S275"/>
    <x v="1"/>
    <s v="26"/>
    <m/>
    <n v="26"/>
    <s v="   "/>
    <n v="1.288"/>
    <n v="0.19120000000000001"/>
    <n v="0.246"/>
    <x v="7"/>
  </r>
  <r>
    <s v="21232"/>
    <x v="137"/>
    <s v="Personnel"/>
    <s v="E "/>
    <x v="0"/>
    <x v="15"/>
    <s v="PSES Elem Prog01Duty42 S275"/>
    <x v="0"/>
    <s v="42"/>
    <n v="42"/>
    <m/>
    <s v="   "/>
    <n v="0.45"/>
    <n v="0.19120000000000001"/>
    <n v="0"/>
    <x v="12"/>
  </r>
  <r>
    <s v="21232"/>
    <x v="137"/>
    <s v="Personnel"/>
    <s v="H "/>
    <x v="1"/>
    <x v="16"/>
    <s v="PSES High Prog01Duty42 S275"/>
    <x v="0"/>
    <s v="42"/>
    <n v="42"/>
    <m/>
    <s v="   "/>
    <n v="1.05"/>
    <n v="0.19120000000000001"/>
    <n v="0"/>
    <x v="13"/>
  </r>
  <r>
    <s v="21232"/>
    <x v="137"/>
    <s v="Personnel"/>
    <s v="M "/>
    <x v="2"/>
    <x v="17"/>
    <s v="PSES Mid Prog01Duty42 S275"/>
    <x v="0"/>
    <s v="42"/>
    <n v="42"/>
    <m/>
    <s v="   "/>
    <n v="0.5"/>
    <n v="0.19120000000000001"/>
    <n v="0"/>
    <x v="14"/>
  </r>
  <r>
    <s v="21232"/>
    <x v="137"/>
    <s v="Personnel"/>
    <s v="E "/>
    <x v="0"/>
    <x v="18"/>
    <s v="PSES Elem Prog21Duty43 S275"/>
    <x v="1"/>
    <s v="43"/>
    <n v="43"/>
    <m/>
    <s v="   "/>
    <n v="0.5"/>
    <n v="0.19120000000000001"/>
    <n v="9.6000000000000002E-2"/>
    <x v="15"/>
  </r>
  <r>
    <s v="21232"/>
    <x v="137"/>
    <s v="Personnel"/>
    <s v="H "/>
    <x v="1"/>
    <x v="19"/>
    <s v="PSES High Prog21Duty43 S275"/>
    <x v="1"/>
    <s v="43"/>
    <n v="43"/>
    <m/>
    <s v="   "/>
    <n v="0.5"/>
    <n v="0.19120000000000001"/>
    <n v="9.6000000000000002E-2"/>
    <x v="16"/>
  </r>
  <r>
    <s v="21232"/>
    <x v="137"/>
    <s v="Personnel"/>
    <s v="E "/>
    <x v="0"/>
    <x v="20"/>
    <s v="PSES Elem Prog21Duty45 S275"/>
    <x v="1"/>
    <s v="45"/>
    <n v="45"/>
    <m/>
    <s v="   "/>
    <n v="1.5"/>
    <n v="0.19120000000000001"/>
    <n v="0.28699999999999998"/>
    <x v="17"/>
  </r>
  <r>
    <s v="21232"/>
    <x v="137"/>
    <s v="Personnel"/>
    <s v="H "/>
    <x v="1"/>
    <x v="21"/>
    <s v="PSES High Prog21Duty45 S275"/>
    <x v="1"/>
    <s v="45"/>
    <n v="45"/>
    <m/>
    <s v="   "/>
    <n v="1"/>
    <n v="0.19120000000000001"/>
    <n v="0.191"/>
    <x v="18"/>
  </r>
  <r>
    <s v="21232"/>
    <x v="137"/>
    <s v="Personnel"/>
    <s v="M "/>
    <x v="2"/>
    <x v="28"/>
    <s v="PSES Mid Prog21Duty45 S275"/>
    <x v="1"/>
    <s v="45"/>
    <n v="45"/>
    <m/>
    <s v="   "/>
    <n v="0.5"/>
    <n v="0.19120000000000001"/>
    <n v="9.6000000000000002E-2"/>
    <x v="25"/>
  </r>
  <r>
    <s v="21232"/>
    <x v="137"/>
    <s v="Personnel"/>
    <s v="E "/>
    <x v="0"/>
    <x v="22"/>
    <s v="PSES Elem Prog21Duty46 S275"/>
    <x v="1"/>
    <s v="46"/>
    <n v="46"/>
    <m/>
    <s v="   "/>
    <n v="0.5"/>
    <n v="0.19120000000000001"/>
    <n v="9.6000000000000002E-2"/>
    <x v="19"/>
  </r>
  <r>
    <s v="21232"/>
    <x v="137"/>
    <s v="Personnel"/>
    <s v="H "/>
    <x v="1"/>
    <x v="23"/>
    <s v="PSES High Prog21Duty46 S275"/>
    <x v="1"/>
    <s v="46"/>
    <n v="46"/>
    <m/>
    <s v="   "/>
    <n v="0.5"/>
    <n v="0.19120000000000001"/>
    <n v="9.6000000000000002E-2"/>
    <x v="20"/>
  </r>
  <r>
    <s v="21234"/>
    <x v="138"/>
    <s v="Personnel"/>
    <s v="H "/>
    <x v="1"/>
    <x v="4"/>
    <s v="PSES High Prog21Act25 S275"/>
    <x v="1"/>
    <s v="25"/>
    <m/>
    <n v="25"/>
    <s v="   "/>
    <n v="0.04"/>
    <n v="0.20449999999999999"/>
    <n v="8.0000000000000002E-3"/>
    <x v="4"/>
  </r>
  <r>
    <s v="21234"/>
    <x v="138"/>
    <s v="Personnel"/>
    <s v="H "/>
    <x v="1"/>
    <x v="9"/>
    <s v="PSES High Prog01Act26 S275"/>
    <x v="0"/>
    <s v="26"/>
    <m/>
    <n v="26"/>
    <s v="   "/>
    <n v="6.2E-2"/>
    <n v="0.20449999999999999"/>
    <n v="0"/>
    <x v="7"/>
  </r>
  <r>
    <s v="21237"/>
    <x v="139"/>
    <s v="Personnel"/>
    <s v="E "/>
    <x v="0"/>
    <x v="3"/>
    <s v="PSES Elem Prog01Act25 S275"/>
    <x v="0"/>
    <s v="25"/>
    <m/>
    <n v="25"/>
    <s v="   "/>
    <n v="0.254"/>
    <n v="0.28620000000000001"/>
    <n v="0"/>
    <x v="3"/>
  </r>
  <r>
    <s v="21237"/>
    <x v="139"/>
    <s v="Personnel"/>
    <s v="H "/>
    <x v="1"/>
    <x v="4"/>
    <s v="PSES High Prog21Act25 S275"/>
    <x v="1"/>
    <s v="25"/>
    <m/>
    <n v="25"/>
    <s v="   "/>
    <n v="0.374"/>
    <n v="0.28620000000000001"/>
    <n v="0.107"/>
    <x v="4"/>
  </r>
  <r>
    <s v="21237"/>
    <x v="139"/>
    <s v="Personnel"/>
    <s v="H "/>
    <x v="1"/>
    <x v="5"/>
    <s v="PSES High Prog01Act25 S275"/>
    <x v="0"/>
    <s v="25"/>
    <m/>
    <n v="25"/>
    <s v="   "/>
    <n v="1.0069999999999999"/>
    <n v="0.28620000000000001"/>
    <n v="0"/>
    <x v="4"/>
  </r>
  <r>
    <s v="21237"/>
    <x v="139"/>
    <s v="Personnel"/>
    <s v="M "/>
    <x v="2"/>
    <x v="82"/>
    <s v="PSES Mid Prog21Act25 S275"/>
    <x v="1"/>
    <s v="25"/>
    <m/>
    <n v="25"/>
    <s v="   "/>
    <n v="8.7999999999999995E-2"/>
    <n v="0.28620000000000001"/>
    <n v="2.5000000000000001E-2"/>
    <x v="5"/>
  </r>
  <r>
    <s v="21237"/>
    <x v="139"/>
    <s v="Personnel"/>
    <s v="E "/>
    <x v="0"/>
    <x v="8"/>
    <s v="PSES Elem Prog01Act26 S275"/>
    <x v="0"/>
    <s v="26"/>
    <m/>
    <n v="26"/>
    <s v="   "/>
    <n v="0.51800000000000002"/>
    <n v="0.28620000000000001"/>
    <n v="0"/>
    <x v="6"/>
  </r>
  <r>
    <s v="21237"/>
    <x v="139"/>
    <s v="Personnel"/>
    <s v="M "/>
    <x v="2"/>
    <x v="11"/>
    <s v="PSES Mid Prog01Act26 S275"/>
    <x v="0"/>
    <s v="26"/>
    <m/>
    <n v="26"/>
    <s v="   "/>
    <n v="0.17699999999999999"/>
    <n v="0.28620000000000001"/>
    <n v="0"/>
    <x v="8"/>
  </r>
  <r>
    <s v="21237"/>
    <x v="139"/>
    <s v="Personnel"/>
    <s v="H "/>
    <x v="1"/>
    <x v="16"/>
    <s v="PSES High Prog01Duty42 S275"/>
    <x v="0"/>
    <s v="42"/>
    <n v="42"/>
    <m/>
    <s v="   "/>
    <n v="0.81399999999999995"/>
    <n v="0.28620000000000001"/>
    <n v="0"/>
    <x v="13"/>
  </r>
  <r>
    <s v="21300"/>
    <x v="140"/>
    <s v="Personnel"/>
    <s v="E "/>
    <x v="0"/>
    <x v="3"/>
    <s v="PSES Elem Prog01Act25 S275"/>
    <x v="0"/>
    <s v="25"/>
    <m/>
    <n v="25"/>
    <s v="   "/>
    <n v="0.39600000000000002"/>
    <n v="0.25719999999999998"/>
    <n v="0"/>
    <x v="3"/>
  </r>
  <r>
    <s v="21300"/>
    <x v="140"/>
    <s v="Personnel"/>
    <s v="E "/>
    <x v="0"/>
    <x v="8"/>
    <s v="PSES Elem Prog01Act26 S275"/>
    <x v="0"/>
    <s v="26"/>
    <m/>
    <n v="26"/>
    <s v="   "/>
    <n v="0.13200000000000001"/>
    <n v="0.25719999999999998"/>
    <n v="0"/>
    <x v="6"/>
  </r>
  <r>
    <s v="21300"/>
    <x v="140"/>
    <s v="Personnel"/>
    <s v="H "/>
    <x v="1"/>
    <x v="9"/>
    <s v="PSES High Prog01Act26 S275"/>
    <x v="0"/>
    <s v="26"/>
    <m/>
    <n v="26"/>
    <s v="   "/>
    <n v="0.13200000000000001"/>
    <n v="0.25719999999999998"/>
    <n v="0"/>
    <x v="7"/>
  </r>
  <r>
    <s v="21300"/>
    <x v="140"/>
    <s v="Personnel"/>
    <s v="M "/>
    <x v="2"/>
    <x v="11"/>
    <s v="PSES Mid Prog01Act26 S275"/>
    <x v="0"/>
    <s v="26"/>
    <m/>
    <n v="26"/>
    <s v="   "/>
    <n v="0.13200000000000001"/>
    <n v="0.25719999999999998"/>
    <n v="0"/>
    <x v="8"/>
  </r>
  <r>
    <s v="21300"/>
    <x v="140"/>
    <s v="Personnel"/>
    <s v="E "/>
    <x v="0"/>
    <x v="15"/>
    <s v="PSES Elem Prog01Duty42 S275"/>
    <x v="0"/>
    <s v="42"/>
    <n v="42"/>
    <m/>
    <s v="   "/>
    <n v="0.45200000000000001"/>
    <n v="0.25719999999999998"/>
    <n v="0"/>
    <x v="12"/>
  </r>
  <r>
    <s v="21300"/>
    <x v="140"/>
    <s v="Personnel"/>
    <s v="H "/>
    <x v="1"/>
    <x v="16"/>
    <s v="PSES High Prog01Duty42 S275"/>
    <x v="0"/>
    <s v="42"/>
    <n v="42"/>
    <m/>
    <s v="   "/>
    <n v="1.151"/>
    <n v="0.25719999999999998"/>
    <n v="0"/>
    <x v="13"/>
  </r>
  <r>
    <s v="21300"/>
    <x v="140"/>
    <s v="Personnel"/>
    <s v="M "/>
    <x v="2"/>
    <x v="17"/>
    <s v="PSES Mid Prog01Duty42 S275"/>
    <x v="0"/>
    <s v="42"/>
    <n v="42"/>
    <m/>
    <s v="   "/>
    <n v="0.151"/>
    <n v="0.25719999999999998"/>
    <n v="0"/>
    <x v="14"/>
  </r>
  <r>
    <s v="21301"/>
    <x v="141"/>
    <s v="Personnel"/>
    <s v="H "/>
    <x v="1"/>
    <x v="16"/>
    <s v="PSES High Prog01Duty42 S275"/>
    <x v="0"/>
    <s v="42"/>
    <n v="42"/>
    <m/>
    <s v="   "/>
    <n v="0.67"/>
    <n v="0.19239999999999999"/>
    <n v="0"/>
    <x v="13"/>
  </r>
  <r>
    <s v="21301"/>
    <x v="141"/>
    <s v="Personnel"/>
    <s v="M "/>
    <x v="2"/>
    <x v="17"/>
    <s v="PSES Mid Prog01Duty42 S275"/>
    <x v="0"/>
    <s v="42"/>
    <n v="42"/>
    <m/>
    <s v="   "/>
    <n v="0.33"/>
    <n v="0.19239999999999999"/>
    <n v="0"/>
    <x v="14"/>
  </r>
  <r>
    <s v="21302"/>
    <x v="142"/>
    <s v="Personnel"/>
    <s v="H "/>
    <x v="1"/>
    <x v="1"/>
    <s v="PSES High Prog01Duty96 S275"/>
    <x v="0"/>
    <s v="24"/>
    <n v="96"/>
    <n v="24"/>
    <s v="   "/>
    <n v="1.242"/>
    <n v="0.24959999999999999"/>
    <n v="0"/>
    <x v="1"/>
  </r>
  <r>
    <s v="21302"/>
    <x v="142"/>
    <s v="Personnel"/>
    <s v="M "/>
    <x v="2"/>
    <x v="2"/>
    <s v="PSES Mid Prog01Duty96 S275"/>
    <x v="0"/>
    <s v="24"/>
    <n v="96"/>
    <n v="24"/>
    <s v="   "/>
    <n v="0.44600000000000001"/>
    <n v="0.24959999999999999"/>
    <n v="0"/>
    <x v="2"/>
  </r>
  <r>
    <s v="21302"/>
    <x v="142"/>
    <s v="Personnel"/>
    <s v="E "/>
    <x v="0"/>
    <x v="67"/>
    <s v="PSES Elem Prog21Act25 S275"/>
    <x v="1"/>
    <s v="25"/>
    <m/>
    <n v="25"/>
    <s v="   "/>
    <n v="0.505"/>
    <n v="0.24959999999999999"/>
    <n v="0.126"/>
    <x v="3"/>
  </r>
  <r>
    <s v="21302"/>
    <x v="142"/>
    <s v="Personnel"/>
    <s v="H "/>
    <x v="1"/>
    <x v="4"/>
    <s v="PSES High Prog21Act25 S275"/>
    <x v="1"/>
    <s v="25"/>
    <m/>
    <n v="25"/>
    <s v="   "/>
    <n v="0.66500000000000004"/>
    <n v="0.24959999999999999"/>
    <n v="0.16600000000000001"/>
    <x v="4"/>
  </r>
  <r>
    <s v="21302"/>
    <x v="142"/>
    <s v="Personnel"/>
    <s v="H "/>
    <x v="1"/>
    <x v="5"/>
    <s v="PSES High Prog01Act25 S275"/>
    <x v="0"/>
    <s v="25"/>
    <m/>
    <n v="25"/>
    <s v="   "/>
    <n v="3.9470000000000001"/>
    <n v="0.24959999999999999"/>
    <n v="0"/>
    <x v="4"/>
  </r>
  <r>
    <s v="21302"/>
    <x v="142"/>
    <s v="Personnel"/>
    <s v="H "/>
    <x v="1"/>
    <x v="29"/>
    <s v="PSES High Prog21Act26 S275"/>
    <x v="1"/>
    <s v="26"/>
    <m/>
    <n v="26"/>
    <s v="   "/>
    <n v="1.2809999999999999"/>
    <n v="0.24959999999999999"/>
    <n v="0.32"/>
    <x v="7"/>
  </r>
  <r>
    <s v="21302"/>
    <x v="142"/>
    <s v="Personnel"/>
    <s v="H "/>
    <x v="1"/>
    <x v="9"/>
    <s v="PSES High Prog01Act26 S275"/>
    <x v="0"/>
    <s v="26"/>
    <m/>
    <n v="26"/>
    <s v="   "/>
    <n v="2.113"/>
    <n v="0.24959999999999999"/>
    <n v="0"/>
    <x v="7"/>
  </r>
  <r>
    <s v="21302"/>
    <x v="142"/>
    <s v="Personnel"/>
    <s v="H "/>
    <x v="1"/>
    <x v="12"/>
    <s v="PSES High Prog97Act35 S275"/>
    <x v="2"/>
    <s v="35"/>
    <m/>
    <n v="35"/>
    <s v="   "/>
    <n v="1.462"/>
    <n v="0.24959999999999999"/>
    <n v="0"/>
    <x v="9"/>
  </r>
  <r>
    <s v="21302"/>
    <x v="142"/>
    <s v="Personnel"/>
    <s v="E "/>
    <x v="0"/>
    <x v="14"/>
    <s v="PSES Elem Prog21Duty39 S275"/>
    <x v="1"/>
    <s v="39"/>
    <n v="39"/>
    <m/>
    <s v="   "/>
    <n v="0.15"/>
    <n v="0.24959999999999999"/>
    <n v="3.6999999999999998E-2"/>
    <x v="11"/>
  </r>
  <r>
    <s v="21302"/>
    <x v="142"/>
    <s v="Personnel"/>
    <s v="H "/>
    <x v="1"/>
    <x v="83"/>
    <s v="PSES High Prog21Duty39 S275"/>
    <x v="1"/>
    <s v="39"/>
    <n v="39"/>
    <m/>
    <s v="   "/>
    <n v="0.15"/>
    <n v="0.24959999999999999"/>
    <n v="3.6999999999999998E-2"/>
    <x v="44"/>
  </r>
  <r>
    <s v="21302"/>
    <x v="142"/>
    <s v="Personnel"/>
    <s v="E "/>
    <x v="0"/>
    <x v="15"/>
    <s v="PSES Elem Prog01Duty42 S275"/>
    <x v="0"/>
    <s v="42"/>
    <n v="42"/>
    <m/>
    <s v="   "/>
    <n v="0.33300000000000002"/>
    <n v="0.24959999999999999"/>
    <n v="0"/>
    <x v="12"/>
  </r>
  <r>
    <s v="21302"/>
    <x v="142"/>
    <s v="Personnel"/>
    <s v="H "/>
    <x v="1"/>
    <x v="16"/>
    <s v="PSES High Prog01Duty42 S275"/>
    <x v="0"/>
    <s v="42"/>
    <n v="42"/>
    <m/>
    <s v="   "/>
    <n v="2.25"/>
    <n v="0.24959999999999999"/>
    <n v="0"/>
    <x v="13"/>
  </r>
  <r>
    <s v="21302"/>
    <x v="142"/>
    <s v="Personnel"/>
    <s v="M "/>
    <x v="2"/>
    <x v="17"/>
    <s v="PSES Mid Prog01Duty42 S275"/>
    <x v="0"/>
    <s v="42"/>
    <n v="42"/>
    <m/>
    <s v="   "/>
    <n v="1.667"/>
    <n v="0.24959999999999999"/>
    <n v="0"/>
    <x v="14"/>
  </r>
  <r>
    <s v="21302"/>
    <x v="142"/>
    <s v="Personnel"/>
    <s v="E "/>
    <x v="0"/>
    <x v="20"/>
    <s v="PSES Elem Prog21Duty45 S275"/>
    <x v="1"/>
    <s v="45"/>
    <n v="45"/>
    <m/>
    <s v="   "/>
    <n v="1.9"/>
    <n v="0.24959999999999999"/>
    <n v="0.47399999999999998"/>
    <x v="17"/>
  </r>
  <r>
    <s v="21302"/>
    <x v="142"/>
    <s v="Personnel"/>
    <s v="H "/>
    <x v="1"/>
    <x v="21"/>
    <s v="PSES High Prog21Duty45 S275"/>
    <x v="1"/>
    <s v="45"/>
    <n v="45"/>
    <m/>
    <s v="   "/>
    <n v="0.1"/>
    <n v="0.24959999999999999"/>
    <n v="2.5000000000000001E-2"/>
    <x v="18"/>
  </r>
  <r>
    <s v="21302"/>
    <x v="142"/>
    <s v="Personnel"/>
    <s v="H "/>
    <x v="1"/>
    <x v="23"/>
    <s v="PSES High Prog21Duty46 S275"/>
    <x v="1"/>
    <s v="46"/>
    <n v="46"/>
    <m/>
    <s v="   "/>
    <n v="1"/>
    <n v="0.24959999999999999"/>
    <n v="0.25"/>
    <x v="20"/>
  </r>
  <r>
    <s v="21302"/>
    <x v="142"/>
    <s v="Personnel"/>
    <s v="E "/>
    <x v="0"/>
    <x v="27"/>
    <s v="PSES Elem Prog01Duty47 S275"/>
    <x v="0"/>
    <s v="47"/>
    <n v="47"/>
    <m/>
    <s v="   "/>
    <n v="0.57799999999999996"/>
    <n v="0.24959999999999999"/>
    <n v="0"/>
    <x v="24"/>
  </r>
  <r>
    <s v="21302"/>
    <x v="142"/>
    <s v="Personnel"/>
    <s v="H "/>
    <x v="1"/>
    <x v="25"/>
    <s v="PSES High Prog01Duty47 S275"/>
    <x v="0"/>
    <s v="47"/>
    <n v="47"/>
    <m/>
    <s v="   "/>
    <n v="0.75"/>
    <n v="0.24959999999999999"/>
    <n v="0"/>
    <x v="22"/>
  </r>
  <r>
    <s v="21302"/>
    <x v="142"/>
    <s v="Personnel"/>
    <s v="E "/>
    <x v="0"/>
    <x v="35"/>
    <s v="PSES Elem Prog21Duty48 S275"/>
    <x v="1"/>
    <s v="48"/>
    <n v="48"/>
    <m/>
    <s v="   "/>
    <n v="0.66"/>
    <n v="0.24959999999999999"/>
    <n v="0.16500000000000001"/>
    <x v="29"/>
  </r>
  <r>
    <s v="21302"/>
    <x v="142"/>
    <s v="Personnel"/>
    <s v="H "/>
    <x v="1"/>
    <x v="36"/>
    <s v="PSES High Prog21Duty48 S275"/>
    <x v="1"/>
    <s v="48"/>
    <n v="48"/>
    <m/>
    <s v="   "/>
    <n v="0.19"/>
    <n v="0.24959999999999999"/>
    <n v="4.7E-2"/>
    <x v="30"/>
  </r>
  <r>
    <s v="21303"/>
    <x v="143"/>
    <s v="Personnel"/>
    <s v="E "/>
    <x v="0"/>
    <x v="3"/>
    <s v="PSES Elem Prog01Act25 S275"/>
    <x v="0"/>
    <s v="25"/>
    <m/>
    <n v="25"/>
    <s v="   "/>
    <n v="3.2370000000000001"/>
    <n v="0.2132"/>
    <n v="0"/>
    <x v="3"/>
  </r>
  <r>
    <s v="21303"/>
    <x v="143"/>
    <s v="Personnel"/>
    <s v="H "/>
    <x v="1"/>
    <x v="5"/>
    <s v="PSES High Prog01Act25 S275"/>
    <x v="0"/>
    <s v="25"/>
    <m/>
    <n v="25"/>
    <s v="   "/>
    <n v="0.372"/>
    <n v="0.2132"/>
    <n v="0"/>
    <x v="4"/>
  </r>
  <r>
    <s v="21303"/>
    <x v="143"/>
    <s v="Personnel"/>
    <s v="E "/>
    <x v="0"/>
    <x v="15"/>
    <s v="PSES Elem Prog01Duty42 S275"/>
    <x v="0"/>
    <s v="42"/>
    <n v="42"/>
    <m/>
    <s v="   "/>
    <n v="0.313"/>
    <n v="0.2132"/>
    <n v="0"/>
    <x v="12"/>
  </r>
  <r>
    <s v="21303"/>
    <x v="143"/>
    <s v="Personnel"/>
    <s v="H "/>
    <x v="1"/>
    <x v="16"/>
    <s v="PSES High Prog01Duty42 S275"/>
    <x v="0"/>
    <s v="42"/>
    <n v="42"/>
    <m/>
    <s v="   "/>
    <n v="0.38700000000000001"/>
    <n v="0.2132"/>
    <n v="0"/>
    <x v="13"/>
  </r>
  <r>
    <s v="21303"/>
    <x v="143"/>
    <s v="Personnel"/>
    <s v="E "/>
    <x v="0"/>
    <x v="27"/>
    <s v="PSES Elem Prog01Duty47 S275"/>
    <x v="0"/>
    <s v="47"/>
    <n v="47"/>
    <m/>
    <s v="   "/>
    <n v="0.23799999999999999"/>
    <n v="0.2132"/>
    <n v="0"/>
    <x v="24"/>
  </r>
  <r>
    <s v="21303"/>
    <x v="143"/>
    <s v="Personnel"/>
    <s v="H "/>
    <x v="1"/>
    <x v="25"/>
    <s v="PSES High Prog01Duty47 S275"/>
    <x v="0"/>
    <s v="47"/>
    <n v="47"/>
    <m/>
    <s v="   "/>
    <n v="8.1000000000000003E-2"/>
    <n v="0.2132"/>
    <n v="0"/>
    <x v="22"/>
  </r>
  <r>
    <s v="21303"/>
    <x v="143"/>
    <s v="Personnel"/>
    <s v="M "/>
    <x v="2"/>
    <x v="34"/>
    <s v="PSES Mid Prog01Duty47 S275"/>
    <x v="0"/>
    <s v="47"/>
    <n v="47"/>
    <m/>
    <s v="   "/>
    <n v="8.1000000000000003E-2"/>
    <n v="0.2132"/>
    <n v="0"/>
    <x v="28"/>
  </r>
  <r>
    <s v="21401"/>
    <x v="144"/>
    <s v="Personnel"/>
    <s v="H "/>
    <x v="1"/>
    <x v="4"/>
    <s v="PSES High Prog21Act25 S275"/>
    <x v="1"/>
    <s v="25"/>
    <m/>
    <n v="25"/>
    <s v="   "/>
    <n v="3.2080000000000002"/>
    <n v="0.2707"/>
    <n v="0.86799999999999999"/>
    <x v="4"/>
  </r>
  <r>
    <s v="21401"/>
    <x v="144"/>
    <s v="Personnel"/>
    <s v="H "/>
    <x v="1"/>
    <x v="5"/>
    <s v="PSES High Prog01Act25 S275"/>
    <x v="0"/>
    <s v="25"/>
    <m/>
    <n v="25"/>
    <s v="   "/>
    <n v="0.75800000000000001"/>
    <n v="0.2707"/>
    <n v="0"/>
    <x v="4"/>
  </r>
  <r>
    <s v="21401"/>
    <x v="144"/>
    <s v="Personnel"/>
    <s v="E "/>
    <x v="0"/>
    <x v="8"/>
    <s v="PSES Elem Prog01Act26 S275"/>
    <x v="0"/>
    <s v="26"/>
    <m/>
    <n v="26"/>
    <s v="   "/>
    <n v="1.389"/>
    <n v="0.2707"/>
    <n v="0"/>
    <x v="6"/>
  </r>
  <r>
    <s v="21401"/>
    <x v="144"/>
    <s v="Personnel"/>
    <s v="H "/>
    <x v="1"/>
    <x v="29"/>
    <s v="PSES High Prog21Act26 S275"/>
    <x v="1"/>
    <s v="26"/>
    <m/>
    <n v="26"/>
    <s v="   "/>
    <n v="0.20499999999999999"/>
    <n v="0.2707"/>
    <n v="5.5E-2"/>
    <x v="7"/>
  </r>
  <r>
    <s v="21401"/>
    <x v="144"/>
    <s v="Personnel"/>
    <s v="H "/>
    <x v="1"/>
    <x v="9"/>
    <s v="PSES High Prog01Act26 S275"/>
    <x v="0"/>
    <s v="26"/>
    <m/>
    <n v="26"/>
    <s v="   "/>
    <n v="3.718"/>
    <n v="0.2707"/>
    <n v="0"/>
    <x v="7"/>
  </r>
  <r>
    <s v="21401"/>
    <x v="144"/>
    <s v="Personnel"/>
    <s v="M "/>
    <x v="2"/>
    <x v="10"/>
    <s v="PSES Mid Prog21Act26 S275"/>
    <x v="1"/>
    <s v="26"/>
    <m/>
    <n v="26"/>
    <s v="   "/>
    <n v="0.36899999999999999"/>
    <n v="0.2707"/>
    <n v="0.1"/>
    <x v="8"/>
  </r>
  <r>
    <s v="21401"/>
    <x v="144"/>
    <s v="Personnel"/>
    <s v="M "/>
    <x v="2"/>
    <x v="11"/>
    <s v="PSES Mid Prog01Act26 S275"/>
    <x v="0"/>
    <s v="26"/>
    <m/>
    <n v="26"/>
    <s v="   "/>
    <n v="0.752"/>
    <n v="0.2707"/>
    <n v="0"/>
    <x v="8"/>
  </r>
  <r>
    <s v="21401"/>
    <x v="144"/>
    <s v="Personnel"/>
    <s v="E "/>
    <x v="0"/>
    <x v="15"/>
    <s v="PSES Elem Prog01Duty42 S275"/>
    <x v="0"/>
    <s v="42"/>
    <n v="42"/>
    <m/>
    <s v="   "/>
    <n v="5"/>
    <n v="0.2707"/>
    <n v="0"/>
    <x v="12"/>
  </r>
  <r>
    <s v="21401"/>
    <x v="144"/>
    <s v="Personnel"/>
    <s v="H "/>
    <x v="1"/>
    <x v="16"/>
    <s v="PSES High Prog01Duty42 S275"/>
    <x v="0"/>
    <s v="42"/>
    <n v="42"/>
    <m/>
    <s v="   "/>
    <n v="3"/>
    <n v="0.2707"/>
    <n v="0"/>
    <x v="13"/>
  </r>
  <r>
    <s v="21401"/>
    <x v="144"/>
    <s v="Personnel"/>
    <s v="M "/>
    <x v="2"/>
    <x v="17"/>
    <s v="PSES Mid Prog01Duty42 S275"/>
    <x v="0"/>
    <s v="42"/>
    <n v="42"/>
    <m/>
    <s v="   "/>
    <n v="1.5"/>
    <n v="0.2707"/>
    <n v="0"/>
    <x v="14"/>
  </r>
  <r>
    <s v="21401"/>
    <x v="144"/>
    <s v="Personnel"/>
    <s v="E "/>
    <x v="0"/>
    <x v="18"/>
    <s v="PSES Elem Prog21Duty43 S275"/>
    <x v="1"/>
    <s v="43"/>
    <n v="43"/>
    <m/>
    <s v="   "/>
    <n v="1.5349999999999999"/>
    <n v="0.2707"/>
    <n v="0.41599999999999998"/>
    <x v="15"/>
  </r>
  <r>
    <s v="21401"/>
    <x v="144"/>
    <s v="Personnel"/>
    <s v="H "/>
    <x v="1"/>
    <x v="19"/>
    <s v="PSES High Prog21Duty43 S275"/>
    <x v="1"/>
    <s v="43"/>
    <n v="43"/>
    <m/>
    <s v="   "/>
    <n v="0.311"/>
    <n v="0.2707"/>
    <n v="8.4000000000000005E-2"/>
    <x v="16"/>
  </r>
  <r>
    <s v="21401"/>
    <x v="144"/>
    <s v="Personnel"/>
    <s v="M "/>
    <x v="2"/>
    <x v="31"/>
    <s v="PSES Mid Prog21Duty43 S275"/>
    <x v="1"/>
    <s v="43"/>
    <n v="43"/>
    <m/>
    <s v="   "/>
    <n v="0.154"/>
    <n v="0.2707"/>
    <n v="4.2000000000000003E-2"/>
    <x v="27"/>
  </r>
  <r>
    <s v="21401"/>
    <x v="144"/>
    <s v="Personnel"/>
    <s v="E "/>
    <x v="0"/>
    <x v="20"/>
    <s v="PSES Elem Prog21Duty45 S275"/>
    <x v="1"/>
    <s v="45"/>
    <n v="45"/>
    <m/>
    <s v="   "/>
    <n v="1.21"/>
    <n v="0.2707"/>
    <n v="0.32800000000000001"/>
    <x v="17"/>
  </r>
  <r>
    <s v="21401"/>
    <x v="144"/>
    <s v="Personnel"/>
    <s v="H "/>
    <x v="1"/>
    <x v="21"/>
    <s v="PSES High Prog21Duty45 S275"/>
    <x v="1"/>
    <s v="45"/>
    <n v="45"/>
    <m/>
    <s v="   "/>
    <n v="0.122"/>
    <n v="0.2707"/>
    <n v="3.3000000000000002E-2"/>
    <x v="18"/>
  </r>
  <r>
    <s v="21401"/>
    <x v="144"/>
    <s v="Personnel"/>
    <s v="M "/>
    <x v="2"/>
    <x v="28"/>
    <s v="PSES Mid Prog21Duty45 S275"/>
    <x v="1"/>
    <s v="45"/>
    <n v="45"/>
    <m/>
    <s v="   "/>
    <n v="6.0999999999999999E-2"/>
    <n v="0.2707"/>
    <n v="1.7000000000000001E-2"/>
    <x v="25"/>
  </r>
  <r>
    <s v="21401"/>
    <x v="144"/>
    <s v="Personnel"/>
    <s v="E "/>
    <x v="0"/>
    <x v="22"/>
    <s v="PSES Elem Prog21Duty46 S275"/>
    <x v="1"/>
    <s v="46"/>
    <n v="46"/>
    <m/>
    <s v="   "/>
    <n v="0.25"/>
    <n v="0.2707"/>
    <n v="6.8000000000000005E-2"/>
    <x v="19"/>
  </r>
  <r>
    <s v="21401"/>
    <x v="144"/>
    <s v="Personnel"/>
    <s v="H "/>
    <x v="1"/>
    <x v="23"/>
    <s v="PSES High Prog21Duty46 S275"/>
    <x v="1"/>
    <s v="46"/>
    <n v="46"/>
    <m/>
    <s v="   "/>
    <n v="0.5"/>
    <n v="0.2707"/>
    <n v="0.13500000000000001"/>
    <x v="20"/>
  </r>
  <r>
    <s v="21401"/>
    <x v="144"/>
    <s v="Personnel"/>
    <s v="M "/>
    <x v="2"/>
    <x v="24"/>
    <s v="PSES Mid Prog21Duty46 S275"/>
    <x v="1"/>
    <s v="46"/>
    <n v="46"/>
    <m/>
    <s v="   "/>
    <n v="0.25"/>
    <n v="0.2707"/>
    <n v="6.8000000000000005E-2"/>
    <x v="21"/>
  </r>
  <r>
    <s v="21401"/>
    <x v="144"/>
    <s v="Personnel"/>
    <s v="E "/>
    <x v="0"/>
    <x v="35"/>
    <s v="PSES Elem Prog21Duty48 S275"/>
    <x v="1"/>
    <s v="48"/>
    <n v="48"/>
    <m/>
    <s v="   "/>
    <n v="0.43"/>
    <n v="0.2707"/>
    <n v="0.11600000000000001"/>
    <x v="29"/>
  </r>
  <r>
    <s v="21401"/>
    <x v="144"/>
    <s v="Personnel"/>
    <s v="H "/>
    <x v="1"/>
    <x v="36"/>
    <s v="PSES High Prog21Duty48 S275"/>
    <x v="1"/>
    <s v="48"/>
    <n v="48"/>
    <m/>
    <s v="   "/>
    <n v="0.249"/>
    <n v="0.2707"/>
    <n v="6.7000000000000004E-2"/>
    <x v="30"/>
  </r>
  <r>
    <s v="21401"/>
    <x v="144"/>
    <s v="Personnel"/>
    <s v="M "/>
    <x v="2"/>
    <x v="37"/>
    <s v="PSES Mid Prog21Duty48 S275"/>
    <x v="1"/>
    <s v="48"/>
    <n v="48"/>
    <m/>
    <s v="   "/>
    <n v="0.123"/>
    <n v="0.2707"/>
    <n v="3.3000000000000002E-2"/>
    <x v="31"/>
  </r>
  <r>
    <s v="21401"/>
    <x v="144"/>
    <s v="Personnel"/>
    <s v="E "/>
    <x v="0"/>
    <x v="26"/>
    <s v="PSES Elem Prog21Duty49 S275"/>
    <x v="1"/>
    <s v="49"/>
    <n v="49"/>
    <m/>
    <s v="   "/>
    <n v="0.53500000000000003"/>
    <n v="0.2707"/>
    <n v="0.14499999999999999"/>
    <x v="23"/>
  </r>
  <r>
    <s v="21401"/>
    <x v="144"/>
    <s v="Personnel"/>
    <s v="H "/>
    <x v="1"/>
    <x v="55"/>
    <s v="PSES High Prog21Duty49 S275"/>
    <x v="1"/>
    <s v="49"/>
    <n v="49"/>
    <m/>
    <s v="   "/>
    <n v="0.311"/>
    <n v="0.2707"/>
    <n v="8.4000000000000005E-2"/>
    <x v="37"/>
  </r>
  <r>
    <s v="21401"/>
    <x v="144"/>
    <s v="Personnel"/>
    <s v="M "/>
    <x v="2"/>
    <x v="50"/>
    <s v="PSES Mid Prog21Duty49 S275"/>
    <x v="1"/>
    <s v="49"/>
    <n v="49"/>
    <m/>
    <s v="   "/>
    <n v="0.154"/>
    <n v="0.2707"/>
    <n v="4.2000000000000003E-2"/>
    <x v="36"/>
  </r>
  <r>
    <s v="22008"/>
    <x v="145"/>
    <s v="Personnel"/>
    <s v="E "/>
    <x v="0"/>
    <x v="3"/>
    <s v="PSES Elem Prog01Act25 S275"/>
    <x v="0"/>
    <s v="25"/>
    <m/>
    <n v="25"/>
    <s v="   "/>
    <n v="0.33500000000000002"/>
    <n v="0.14849999999999999"/>
    <n v="0"/>
    <x v="3"/>
  </r>
  <r>
    <s v="22008"/>
    <x v="145"/>
    <s v="Personnel"/>
    <s v="E "/>
    <x v="0"/>
    <x v="15"/>
    <s v="PSES Elem Prog01Duty42 S275"/>
    <x v="0"/>
    <s v="42"/>
    <n v="42"/>
    <m/>
    <s v="   "/>
    <n v="0.5"/>
    <n v="0.14849999999999999"/>
    <n v="0"/>
    <x v="12"/>
  </r>
  <r>
    <s v="22008"/>
    <x v="145"/>
    <s v="Personnel"/>
    <s v="H "/>
    <x v="1"/>
    <x v="16"/>
    <s v="PSES High Prog01Duty42 S275"/>
    <x v="0"/>
    <s v="42"/>
    <n v="42"/>
    <m/>
    <s v="   "/>
    <n v="0.5"/>
    <n v="0.14849999999999999"/>
    <n v="0"/>
    <x v="13"/>
  </r>
  <r>
    <s v="22009"/>
    <x v="146"/>
    <s v="Personnel"/>
    <s v="E "/>
    <x v="0"/>
    <x v="3"/>
    <s v="PSES Elem Prog01Act25 S275"/>
    <x v="0"/>
    <s v="25"/>
    <m/>
    <n v="25"/>
    <s v="   "/>
    <n v="0.24299999999999999"/>
    <n v="0.2621"/>
    <n v="0"/>
    <x v="3"/>
  </r>
  <r>
    <s v="22009"/>
    <x v="146"/>
    <s v="Personnel"/>
    <s v="H "/>
    <x v="1"/>
    <x v="5"/>
    <s v="PSES High Prog01Act25 S275"/>
    <x v="0"/>
    <s v="25"/>
    <m/>
    <n v="25"/>
    <s v="   "/>
    <n v="0.40400000000000003"/>
    <n v="0.2621"/>
    <n v="0"/>
    <x v="4"/>
  </r>
  <r>
    <s v="22009"/>
    <x v="146"/>
    <s v="Personnel"/>
    <s v="M "/>
    <x v="2"/>
    <x v="6"/>
    <s v="PSES Mid Prog01Act25 S275"/>
    <x v="0"/>
    <s v="25"/>
    <m/>
    <n v="25"/>
    <s v="   "/>
    <n v="0.161"/>
    <n v="0.2621"/>
    <n v="0"/>
    <x v="5"/>
  </r>
  <r>
    <s v="22009"/>
    <x v="146"/>
    <s v="Personnel"/>
    <s v="H "/>
    <x v="1"/>
    <x v="9"/>
    <s v="PSES High Prog01Act26 S275"/>
    <x v="0"/>
    <s v="26"/>
    <m/>
    <n v="26"/>
    <s v="   "/>
    <n v="0.39800000000000002"/>
    <n v="0.2621"/>
    <n v="0"/>
    <x v="7"/>
  </r>
  <r>
    <s v="22009"/>
    <x v="146"/>
    <s v="Personnel"/>
    <s v="E "/>
    <x v="0"/>
    <x v="15"/>
    <s v="PSES Elem Prog01Duty42 S275"/>
    <x v="0"/>
    <s v="42"/>
    <n v="42"/>
    <m/>
    <s v="   "/>
    <n v="0.8"/>
    <n v="0.2621"/>
    <n v="0"/>
    <x v="12"/>
  </r>
  <r>
    <s v="22009"/>
    <x v="146"/>
    <s v="Personnel"/>
    <s v="H "/>
    <x v="1"/>
    <x v="16"/>
    <s v="PSES High Prog01Duty42 S275"/>
    <x v="0"/>
    <s v="42"/>
    <n v="42"/>
    <m/>
    <s v="   "/>
    <n v="0.75"/>
    <n v="0.2621"/>
    <n v="0"/>
    <x v="13"/>
  </r>
  <r>
    <s v="22017"/>
    <x v="147"/>
    <s v="Personnel"/>
    <s v="H "/>
    <x v="1"/>
    <x v="5"/>
    <s v="PSES High Prog01Act25 S275"/>
    <x v="0"/>
    <s v="25"/>
    <m/>
    <n v="25"/>
    <s v="   "/>
    <n v="0.14399999999999999"/>
    <n v="0.16059999999999999"/>
    <n v="0"/>
    <x v="4"/>
  </r>
  <r>
    <s v="22017"/>
    <x v="147"/>
    <s v="Personnel"/>
    <s v="E "/>
    <x v="0"/>
    <x v="15"/>
    <s v="PSES Elem Prog01Duty42 S275"/>
    <x v="0"/>
    <s v="42"/>
    <n v="42"/>
    <m/>
    <s v="   "/>
    <n v="0.48299999999999998"/>
    <n v="0.16059999999999999"/>
    <n v="0"/>
    <x v="12"/>
  </r>
  <r>
    <s v="22017"/>
    <x v="147"/>
    <s v="Personnel"/>
    <s v="M "/>
    <x v="2"/>
    <x v="17"/>
    <s v="PSES Mid Prog01Duty42 S275"/>
    <x v="0"/>
    <s v="42"/>
    <n v="42"/>
    <m/>
    <s v="   "/>
    <n v="0.14399999999999999"/>
    <n v="0.16059999999999999"/>
    <n v="0"/>
    <x v="14"/>
  </r>
  <r>
    <s v="22105"/>
    <x v="148"/>
    <s v="Personnel"/>
    <s v="E "/>
    <x v="0"/>
    <x v="3"/>
    <s v="PSES Elem Prog01Act25 S275"/>
    <x v="0"/>
    <s v="25"/>
    <m/>
    <n v="25"/>
    <s v="   "/>
    <n v="0.22"/>
    <n v="0.24740000000000001"/>
    <n v="0"/>
    <x v="3"/>
  </r>
  <r>
    <s v="22105"/>
    <x v="148"/>
    <s v="Personnel"/>
    <s v="H "/>
    <x v="1"/>
    <x v="5"/>
    <s v="PSES High Prog01Act25 S275"/>
    <x v="0"/>
    <s v="25"/>
    <m/>
    <n v="25"/>
    <s v="   "/>
    <n v="0.61099999999999999"/>
    <n v="0.24740000000000001"/>
    <n v="0"/>
    <x v="4"/>
  </r>
  <r>
    <s v="22105"/>
    <x v="148"/>
    <s v="Personnel"/>
    <s v="E "/>
    <x v="0"/>
    <x v="15"/>
    <s v="PSES Elem Prog01Duty42 S275"/>
    <x v="0"/>
    <s v="42"/>
    <n v="42"/>
    <m/>
    <s v="   "/>
    <n v="0.497"/>
    <n v="0.24740000000000001"/>
    <n v="0"/>
    <x v="12"/>
  </r>
  <r>
    <s v="22105"/>
    <x v="148"/>
    <s v="Personnel"/>
    <s v="H "/>
    <x v="1"/>
    <x v="16"/>
    <s v="PSES High Prog01Duty42 S275"/>
    <x v="0"/>
    <s v="42"/>
    <n v="42"/>
    <m/>
    <s v="   "/>
    <n v="0.33100000000000002"/>
    <n v="0.24740000000000001"/>
    <n v="0"/>
    <x v="13"/>
  </r>
  <r>
    <s v="22105"/>
    <x v="148"/>
    <s v="Personnel"/>
    <s v="M "/>
    <x v="2"/>
    <x v="17"/>
    <s v="PSES Mid Prog01Duty42 S275"/>
    <x v="0"/>
    <s v="42"/>
    <n v="42"/>
    <m/>
    <s v="   "/>
    <n v="0.16500000000000001"/>
    <n v="0.24740000000000001"/>
    <n v="0"/>
    <x v="14"/>
  </r>
  <r>
    <s v="22200"/>
    <x v="149"/>
    <s v="Personnel"/>
    <s v="E "/>
    <x v="0"/>
    <x v="8"/>
    <s v="PSES Elem Prog01Act26 S275"/>
    <x v="0"/>
    <s v="26"/>
    <m/>
    <n v="26"/>
    <s v="   "/>
    <n v="0.33900000000000002"/>
    <n v="0.16489999999999999"/>
    <n v="0"/>
    <x v="6"/>
  </r>
  <r>
    <s v="22200"/>
    <x v="149"/>
    <s v="Personnel"/>
    <s v="H "/>
    <x v="1"/>
    <x v="9"/>
    <s v="PSES High Prog01Act26 S275"/>
    <x v="0"/>
    <s v="26"/>
    <m/>
    <n v="26"/>
    <s v="   "/>
    <n v="0.33900000000000002"/>
    <n v="0.16489999999999999"/>
    <n v="0"/>
    <x v="7"/>
  </r>
  <r>
    <s v="22200"/>
    <x v="149"/>
    <s v="Personnel"/>
    <s v="T"/>
    <x v="0"/>
    <x v="84"/>
    <s v="PSES Elem Prog09Duty26 S275"/>
    <x v="3"/>
    <s v="26"/>
    <n v="91"/>
    <n v="26"/>
    <m/>
    <n v="1.4E-2"/>
    <n v="0.16489999999999999"/>
    <n v="0"/>
    <x v="45"/>
  </r>
  <r>
    <s v="22204"/>
    <x v="150"/>
    <s v="Personnel"/>
    <s v="E "/>
    <x v="0"/>
    <x v="3"/>
    <s v="PSES Elem Prog01Act25 S275"/>
    <x v="0"/>
    <s v="25"/>
    <m/>
    <n v="25"/>
    <s v="   "/>
    <n v="4.2000000000000003E-2"/>
    <n v="0.11119999999999999"/>
    <n v="0"/>
    <x v="3"/>
  </r>
  <r>
    <s v="22204"/>
    <x v="150"/>
    <s v="Personnel"/>
    <s v="E "/>
    <x v="0"/>
    <x v="15"/>
    <s v="PSES Elem Prog01Duty42 S275"/>
    <x v="0"/>
    <s v="42"/>
    <n v="42"/>
    <m/>
    <s v="   "/>
    <n v="0.5"/>
    <n v="0.11119999999999999"/>
    <n v="0"/>
    <x v="12"/>
  </r>
  <r>
    <s v="22204"/>
    <x v="150"/>
    <s v="Personnel"/>
    <s v="H "/>
    <x v="1"/>
    <x v="16"/>
    <s v="PSES High Prog01Duty42 S275"/>
    <x v="0"/>
    <s v="42"/>
    <n v="42"/>
    <m/>
    <s v="   "/>
    <n v="0.5"/>
    <n v="0.11119999999999999"/>
    <n v="0"/>
    <x v="13"/>
  </r>
  <r>
    <s v="22204"/>
    <x v="150"/>
    <s v="Personnel"/>
    <s v="E "/>
    <x v="0"/>
    <x v="20"/>
    <s v="PSES Elem Prog21Duty45 S275"/>
    <x v="1"/>
    <s v="45"/>
    <n v="45"/>
    <m/>
    <s v="   "/>
    <n v="0.5"/>
    <n v="0.11119999999999999"/>
    <n v="5.6000000000000001E-2"/>
    <x v="17"/>
  </r>
  <r>
    <s v="22204"/>
    <x v="150"/>
    <s v="Personnel"/>
    <s v="H "/>
    <x v="1"/>
    <x v="21"/>
    <s v="PSES High Prog21Duty45 S275"/>
    <x v="1"/>
    <s v="45"/>
    <n v="45"/>
    <m/>
    <s v="   "/>
    <n v="0.5"/>
    <n v="0.11119999999999999"/>
    <n v="5.6000000000000001E-2"/>
    <x v="18"/>
  </r>
  <r>
    <s v="22207"/>
    <x v="151"/>
    <s v="Personnel"/>
    <s v="H "/>
    <x v="1"/>
    <x v="5"/>
    <s v="PSES High Prog01Act25 S275"/>
    <x v="0"/>
    <s v="25"/>
    <m/>
    <n v="25"/>
    <s v="   "/>
    <n v="0.72699999999999998"/>
    <n v="0.1583"/>
    <n v="0"/>
    <x v="4"/>
  </r>
  <r>
    <s v="22207"/>
    <x v="151"/>
    <s v="Personnel"/>
    <s v="E "/>
    <x v="0"/>
    <x v="7"/>
    <s v="PSES Elem Prog21Act26 S275"/>
    <x v="1"/>
    <s v="26"/>
    <m/>
    <n v="26"/>
    <s v="   "/>
    <n v="1.411"/>
    <n v="0.1583"/>
    <n v="0.223"/>
    <x v="6"/>
  </r>
  <r>
    <s v="22207"/>
    <x v="151"/>
    <s v="Personnel"/>
    <s v="H "/>
    <x v="1"/>
    <x v="29"/>
    <s v="PSES High Prog21Act26 S275"/>
    <x v="1"/>
    <s v="26"/>
    <m/>
    <n v="26"/>
    <s v="   "/>
    <n v="0.224"/>
    <n v="0.1583"/>
    <n v="3.5000000000000003E-2"/>
    <x v="7"/>
  </r>
  <r>
    <s v="22207"/>
    <x v="151"/>
    <s v="Personnel"/>
    <s v="H "/>
    <x v="1"/>
    <x v="16"/>
    <s v="PSES High Prog01Duty42 S275"/>
    <x v="0"/>
    <s v="42"/>
    <n v="42"/>
    <m/>
    <s v="   "/>
    <n v="0.74"/>
    <n v="0.1583"/>
    <n v="0"/>
    <x v="13"/>
  </r>
  <r>
    <s v="22207"/>
    <x v="151"/>
    <s v="Personnel"/>
    <s v="E "/>
    <x v="0"/>
    <x v="18"/>
    <s v="PSES Elem Prog21Duty43 S275"/>
    <x v="1"/>
    <s v="43"/>
    <n v="43"/>
    <m/>
    <s v="   "/>
    <n v="1"/>
    <n v="0.1583"/>
    <n v="0.158"/>
    <x v="15"/>
  </r>
  <r>
    <s v="22207"/>
    <x v="151"/>
    <s v="Personnel"/>
    <s v="E "/>
    <x v="0"/>
    <x v="20"/>
    <s v="PSES Elem Prog21Duty45 S275"/>
    <x v="1"/>
    <s v="45"/>
    <n v="45"/>
    <m/>
    <s v="   "/>
    <n v="0.4"/>
    <n v="0.1583"/>
    <n v="6.3E-2"/>
    <x v="17"/>
  </r>
  <r>
    <s v="22207"/>
    <x v="151"/>
    <s v="Personnel"/>
    <s v="E "/>
    <x v="0"/>
    <x v="27"/>
    <s v="PSES Elem Prog01Duty47 S275"/>
    <x v="0"/>
    <s v="47"/>
    <n v="47"/>
    <m/>
    <s v="   "/>
    <n v="1"/>
    <n v="0.1583"/>
    <n v="0"/>
    <x v="24"/>
  </r>
  <r>
    <s v="23042"/>
    <x v="152"/>
    <s v="Personnel"/>
    <s v="H "/>
    <x v="1"/>
    <x v="9"/>
    <s v="PSES High Prog01Act26 S275"/>
    <x v="0"/>
    <s v="26"/>
    <m/>
    <n v="26"/>
    <s v="   "/>
    <n v="0.17599999999999999"/>
    <n v="0.16089999999999999"/>
    <n v="0"/>
    <x v="7"/>
  </r>
  <r>
    <s v="23042"/>
    <x v="152"/>
    <s v="Personnel"/>
    <s v="E "/>
    <x v="0"/>
    <x v="15"/>
    <s v="PSES Elem Prog01Duty42 S275"/>
    <x v="0"/>
    <s v="42"/>
    <n v="42"/>
    <m/>
    <s v="   "/>
    <n v="0.26600000000000001"/>
    <n v="0.16089999999999999"/>
    <n v="0"/>
    <x v="12"/>
  </r>
  <r>
    <s v="23054"/>
    <x v="153"/>
    <s v="Personnel"/>
    <s v="H "/>
    <x v="1"/>
    <x v="5"/>
    <s v="PSES High Prog01Act25 S275"/>
    <x v="0"/>
    <s v="25"/>
    <m/>
    <n v="25"/>
    <s v="   "/>
    <n v="0.52800000000000002"/>
    <n v="9.8000000000000004E-2"/>
    <n v="0"/>
    <x v="4"/>
  </r>
  <r>
    <s v="23054"/>
    <x v="153"/>
    <s v="Personnel"/>
    <s v="M "/>
    <x v="2"/>
    <x v="17"/>
    <s v="PSES Mid Prog01Duty42 S275"/>
    <x v="0"/>
    <s v="42"/>
    <n v="42"/>
    <m/>
    <s v="   "/>
    <n v="0.217"/>
    <n v="9.8000000000000004E-2"/>
    <n v="0"/>
    <x v="14"/>
  </r>
  <r>
    <s v="23054"/>
    <x v="153"/>
    <s v="Personnel"/>
    <m/>
    <x v="0"/>
    <x v="66"/>
    <s v="PSES Elem Prog09Duty25 S275"/>
    <x v="3"/>
    <s v="25"/>
    <n v="91"/>
    <n v="25"/>
    <m/>
    <n v="0.187"/>
    <n v="9.8000000000000004E-2"/>
    <n v="0"/>
    <x v="41"/>
  </r>
  <r>
    <s v="23309"/>
    <x v="154"/>
    <s v="Personnel"/>
    <s v="H "/>
    <x v="1"/>
    <x v="53"/>
    <s v="PSES High Prog97Act25 S275"/>
    <x v="2"/>
    <s v="25"/>
    <m/>
    <n v="25"/>
    <s v="   "/>
    <n v="1.681"/>
    <n v="0.18729999999999999"/>
    <n v="0"/>
    <x v="4"/>
  </r>
  <r>
    <s v="23309"/>
    <x v="154"/>
    <s v="Personnel"/>
    <s v="H "/>
    <x v="1"/>
    <x v="5"/>
    <s v="PSES High Prog01Act25 S275"/>
    <x v="0"/>
    <s v="25"/>
    <m/>
    <n v="25"/>
    <s v="   "/>
    <n v="6.0590000000000002"/>
    <n v="0.18729999999999999"/>
    <n v="0"/>
    <x v="4"/>
  </r>
  <r>
    <s v="23309"/>
    <x v="154"/>
    <s v="Personnel"/>
    <s v="E "/>
    <x v="0"/>
    <x v="8"/>
    <s v="PSES Elem Prog01Act26 S275"/>
    <x v="0"/>
    <s v="26"/>
    <m/>
    <n v="26"/>
    <s v="   "/>
    <n v="0.63600000000000001"/>
    <n v="0.18729999999999999"/>
    <n v="0"/>
    <x v="6"/>
  </r>
  <r>
    <s v="23309"/>
    <x v="154"/>
    <s v="Personnel"/>
    <s v="H "/>
    <x v="1"/>
    <x v="29"/>
    <s v="PSES High Prog21Act26 S275"/>
    <x v="1"/>
    <s v="26"/>
    <m/>
    <n v="26"/>
    <s v="   "/>
    <n v="0.93300000000000005"/>
    <n v="0.18729999999999999"/>
    <n v="0.17499999999999999"/>
    <x v="7"/>
  </r>
  <r>
    <s v="23309"/>
    <x v="154"/>
    <s v="Personnel"/>
    <s v="H "/>
    <x v="1"/>
    <x v="9"/>
    <s v="PSES High Prog01Act26 S275"/>
    <x v="0"/>
    <s v="26"/>
    <m/>
    <n v="26"/>
    <s v="   "/>
    <n v="2.7709999999999999"/>
    <n v="0.18729999999999999"/>
    <n v="0"/>
    <x v="7"/>
  </r>
  <r>
    <s v="23309"/>
    <x v="154"/>
    <s v="Personnel"/>
    <s v="M "/>
    <x v="2"/>
    <x v="11"/>
    <s v="PSES Mid Prog01Act26 S275"/>
    <x v="0"/>
    <s v="26"/>
    <m/>
    <n v="26"/>
    <s v="   "/>
    <n v="0.63600000000000001"/>
    <n v="0.18729999999999999"/>
    <n v="0"/>
    <x v="8"/>
  </r>
  <r>
    <s v="23309"/>
    <x v="154"/>
    <s v="Personnel"/>
    <s v="E "/>
    <x v="0"/>
    <x v="15"/>
    <s v="PSES Elem Prog01Duty42 S275"/>
    <x v="0"/>
    <s v="42"/>
    <n v="42"/>
    <m/>
    <s v="   "/>
    <n v="4.5"/>
    <n v="0.18729999999999999"/>
    <n v="0"/>
    <x v="12"/>
  </r>
  <r>
    <s v="23309"/>
    <x v="154"/>
    <s v="Personnel"/>
    <s v="H "/>
    <x v="1"/>
    <x v="16"/>
    <s v="PSES High Prog01Duty42 S275"/>
    <x v="0"/>
    <s v="42"/>
    <n v="42"/>
    <m/>
    <s v="   "/>
    <n v="4.55"/>
    <n v="0.18729999999999999"/>
    <n v="0"/>
    <x v="13"/>
  </r>
  <r>
    <s v="23309"/>
    <x v="154"/>
    <s v="Personnel"/>
    <s v="M "/>
    <x v="2"/>
    <x v="17"/>
    <s v="PSES Mid Prog01Duty42 S275"/>
    <x v="0"/>
    <s v="42"/>
    <n v="42"/>
    <m/>
    <s v="   "/>
    <n v="1.6"/>
    <n v="0.18729999999999999"/>
    <n v="0"/>
    <x v="14"/>
  </r>
  <r>
    <s v="23309"/>
    <x v="154"/>
    <s v="Personnel"/>
    <s v="E "/>
    <x v="0"/>
    <x v="18"/>
    <s v="PSES Elem Prog21Duty43 S275"/>
    <x v="1"/>
    <s v="43"/>
    <n v="43"/>
    <m/>
    <s v="   "/>
    <n v="0.51"/>
    <n v="0.18729999999999999"/>
    <n v="9.6000000000000002E-2"/>
    <x v="15"/>
  </r>
  <r>
    <s v="23309"/>
    <x v="154"/>
    <s v="Personnel"/>
    <s v="H "/>
    <x v="1"/>
    <x v="44"/>
    <s v="PSES High Prog01Duty44 S275"/>
    <x v="0"/>
    <s v="44"/>
    <n v="44"/>
    <m/>
    <s v="   "/>
    <n v="1"/>
    <n v="0.18729999999999999"/>
    <n v="0"/>
    <x v="34"/>
  </r>
  <r>
    <s v="23309"/>
    <x v="154"/>
    <s v="Personnel"/>
    <s v="E "/>
    <x v="0"/>
    <x v="20"/>
    <s v="PSES Elem Prog21Duty45 S275"/>
    <x v="1"/>
    <s v="45"/>
    <n v="45"/>
    <m/>
    <s v="   "/>
    <n v="2.65"/>
    <n v="0.18729999999999999"/>
    <n v="0.496"/>
    <x v="17"/>
  </r>
  <r>
    <s v="23309"/>
    <x v="154"/>
    <s v="Personnel"/>
    <s v="H "/>
    <x v="1"/>
    <x v="21"/>
    <s v="PSES High Prog21Duty45 S275"/>
    <x v="1"/>
    <s v="45"/>
    <n v="45"/>
    <m/>
    <s v="   "/>
    <n v="0.75"/>
    <n v="0.18729999999999999"/>
    <n v="0.14000000000000001"/>
    <x v="18"/>
  </r>
  <r>
    <s v="23309"/>
    <x v="154"/>
    <s v="Personnel"/>
    <s v="M "/>
    <x v="2"/>
    <x v="28"/>
    <s v="PSES Mid Prog21Duty45 S275"/>
    <x v="1"/>
    <s v="45"/>
    <n v="45"/>
    <m/>
    <s v="   "/>
    <n v="0.02"/>
    <n v="0.18729999999999999"/>
    <n v="4.0000000000000001E-3"/>
    <x v="25"/>
  </r>
  <r>
    <s v="23309"/>
    <x v="154"/>
    <s v="Personnel"/>
    <s v="E "/>
    <x v="0"/>
    <x v="22"/>
    <s v="PSES Elem Prog21Duty46 S275"/>
    <x v="1"/>
    <s v="46"/>
    <n v="46"/>
    <m/>
    <s v="   "/>
    <n v="1.1259999999999999"/>
    <n v="0.18729999999999999"/>
    <n v="0.21099999999999999"/>
    <x v="19"/>
  </r>
  <r>
    <s v="23309"/>
    <x v="154"/>
    <s v="Personnel"/>
    <s v="H "/>
    <x v="1"/>
    <x v="23"/>
    <s v="PSES High Prog21Duty46 S275"/>
    <x v="1"/>
    <s v="46"/>
    <n v="46"/>
    <m/>
    <s v="   "/>
    <n v="0.94799999999999995"/>
    <n v="0.18729999999999999"/>
    <n v="0.17799999999999999"/>
    <x v="20"/>
  </r>
  <r>
    <s v="23309"/>
    <x v="154"/>
    <s v="Personnel"/>
    <s v="M "/>
    <x v="2"/>
    <x v="24"/>
    <s v="PSES Mid Prog21Duty46 S275"/>
    <x v="1"/>
    <s v="46"/>
    <n v="46"/>
    <m/>
    <s v="   "/>
    <n v="3.5999999999999997E-2"/>
    <n v="0.18729999999999999"/>
    <n v="7.0000000000000001E-3"/>
    <x v="21"/>
  </r>
  <r>
    <s v="23309"/>
    <x v="154"/>
    <s v="Personnel"/>
    <s v="E "/>
    <x v="0"/>
    <x v="27"/>
    <s v="PSES Elem Prog01Duty47 S275"/>
    <x v="0"/>
    <s v="47"/>
    <n v="47"/>
    <m/>
    <s v="   "/>
    <n v="1"/>
    <n v="0.18729999999999999"/>
    <n v="0"/>
    <x v="24"/>
  </r>
  <r>
    <s v="23309"/>
    <x v="154"/>
    <s v="Personnel"/>
    <s v="H "/>
    <x v="1"/>
    <x v="25"/>
    <s v="PSES High Prog01Duty47 S275"/>
    <x v="0"/>
    <s v="47"/>
    <n v="47"/>
    <m/>
    <s v="   "/>
    <n v="2.5"/>
    <n v="0.18729999999999999"/>
    <n v="0"/>
    <x v="22"/>
  </r>
  <r>
    <s v="23309"/>
    <x v="154"/>
    <s v="Personnel"/>
    <s v="M "/>
    <x v="2"/>
    <x v="34"/>
    <s v="PSES Mid Prog01Duty47 S275"/>
    <x v="0"/>
    <s v="47"/>
    <n v="47"/>
    <m/>
    <s v="   "/>
    <n v="0.5"/>
    <n v="0.18729999999999999"/>
    <n v="0"/>
    <x v="28"/>
  </r>
  <r>
    <s v="23309"/>
    <x v="154"/>
    <s v="Personnel"/>
    <s v="E "/>
    <x v="0"/>
    <x v="35"/>
    <s v="PSES Elem Prog21Duty48 S275"/>
    <x v="1"/>
    <s v="48"/>
    <n v="48"/>
    <m/>
    <s v="   "/>
    <n v="0.42"/>
    <n v="0.18729999999999999"/>
    <n v="7.9000000000000001E-2"/>
    <x v="29"/>
  </r>
  <r>
    <s v="23309"/>
    <x v="154"/>
    <s v="Personnel"/>
    <s v="H "/>
    <x v="1"/>
    <x v="36"/>
    <s v="PSES High Prog21Duty48 S275"/>
    <x v="1"/>
    <s v="48"/>
    <n v="48"/>
    <m/>
    <s v="   "/>
    <n v="0.08"/>
    <n v="0.18729999999999999"/>
    <n v="1.4999999999999999E-2"/>
    <x v="30"/>
  </r>
  <r>
    <s v="23309"/>
    <x v="154"/>
    <s v="Personnel"/>
    <s v="M "/>
    <x v="2"/>
    <x v="37"/>
    <s v="PSES Mid Prog21Duty48 S275"/>
    <x v="1"/>
    <s v="48"/>
    <n v="48"/>
    <m/>
    <s v="   "/>
    <n v="0.22"/>
    <n v="0.18729999999999999"/>
    <n v="4.1000000000000002E-2"/>
    <x v="31"/>
  </r>
  <r>
    <s v="23311"/>
    <x v="155"/>
    <s v="Personnel"/>
    <s v="H "/>
    <x v="1"/>
    <x v="5"/>
    <s v="PSES High Prog01Act25 S275"/>
    <x v="0"/>
    <s v="25"/>
    <m/>
    <n v="25"/>
    <s v="   "/>
    <n v="0.58699999999999997"/>
    <n v="0.19819999999999999"/>
    <n v="0"/>
    <x v="4"/>
  </r>
  <r>
    <s v="23311"/>
    <x v="155"/>
    <s v="Personnel"/>
    <s v="H "/>
    <x v="1"/>
    <x v="9"/>
    <s v="PSES High Prog01Act26 S275"/>
    <x v="0"/>
    <s v="26"/>
    <m/>
    <n v="26"/>
    <s v="   "/>
    <n v="0.16400000000000001"/>
    <n v="0.19819999999999999"/>
    <n v="0"/>
    <x v="7"/>
  </r>
  <r>
    <s v="23402"/>
    <x v="156"/>
    <s v="Personnel"/>
    <s v="E "/>
    <x v="0"/>
    <x v="67"/>
    <s v="PSES Elem Prog21Act25 S275"/>
    <x v="1"/>
    <s v="25"/>
    <m/>
    <n v="25"/>
    <s v="   "/>
    <n v="0.58499999999999996"/>
    <n v="0.2099"/>
    <n v="0.123"/>
    <x v="3"/>
  </r>
  <r>
    <s v="23402"/>
    <x v="156"/>
    <s v="Personnel"/>
    <s v="E "/>
    <x v="0"/>
    <x v="3"/>
    <s v="PSES Elem Prog01Act25 S275"/>
    <x v="0"/>
    <s v="25"/>
    <m/>
    <n v="25"/>
    <s v="   "/>
    <n v="0.112"/>
    <n v="0.2099"/>
    <n v="0"/>
    <x v="3"/>
  </r>
  <r>
    <s v="23402"/>
    <x v="156"/>
    <s v="Personnel"/>
    <s v="H "/>
    <x v="1"/>
    <x v="5"/>
    <s v="PSES High Prog01Act25 S275"/>
    <x v="0"/>
    <s v="25"/>
    <m/>
    <n v="25"/>
    <s v="   "/>
    <n v="5.8999999999999997E-2"/>
    <n v="0.2099"/>
    <n v="0"/>
    <x v="4"/>
  </r>
  <r>
    <s v="23402"/>
    <x v="156"/>
    <s v="Personnel"/>
    <s v="E "/>
    <x v="0"/>
    <x v="15"/>
    <s v="PSES Elem Prog01Duty42 S275"/>
    <x v="0"/>
    <s v="42"/>
    <n v="42"/>
    <m/>
    <s v="   "/>
    <n v="1.34"/>
    <n v="0.2099"/>
    <n v="0"/>
    <x v="12"/>
  </r>
  <r>
    <s v="23402"/>
    <x v="156"/>
    <s v="Personnel"/>
    <s v="M "/>
    <x v="2"/>
    <x v="17"/>
    <s v="PSES Mid Prog01Duty42 S275"/>
    <x v="0"/>
    <s v="42"/>
    <n v="42"/>
    <m/>
    <s v="   "/>
    <n v="0.66"/>
    <n v="0.2099"/>
    <n v="0"/>
    <x v="14"/>
  </r>
  <r>
    <s v="23403"/>
    <x v="157"/>
    <s v="Personnel"/>
    <s v="H "/>
    <x v="1"/>
    <x v="5"/>
    <s v="PSES High Prog01Act25 S275"/>
    <x v="0"/>
    <s v="25"/>
    <m/>
    <n v="25"/>
    <s v="   "/>
    <n v="2.0139999999999998"/>
    <n v="0.18140000000000001"/>
    <n v="0"/>
    <x v="4"/>
  </r>
  <r>
    <s v="23403"/>
    <x v="157"/>
    <s v="Personnel"/>
    <s v="H "/>
    <x v="1"/>
    <x v="54"/>
    <s v="PSES High Prog01Act35 S275"/>
    <x v="0"/>
    <s v="35"/>
    <m/>
    <n v="35"/>
    <s v="   "/>
    <n v="2.0939999999999999"/>
    <n v="0.18140000000000001"/>
    <n v="0"/>
    <x v="9"/>
  </r>
  <r>
    <s v="23403"/>
    <x v="157"/>
    <s v="Personnel"/>
    <s v="E "/>
    <x v="0"/>
    <x v="15"/>
    <s v="PSES Elem Prog01Duty42 S275"/>
    <x v="0"/>
    <s v="42"/>
    <n v="42"/>
    <m/>
    <s v="   "/>
    <n v="3.6619999999999999"/>
    <n v="0.18140000000000001"/>
    <n v="0"/>
    <x v="12"/>
  </r>
  <r>
    <s v="23403"/>
    <x v="157"/>
    <s v="Personnel"/>
    <s v="H "/>
    <x v="1"/>
    <x v="16"/>
    <s v="PSES High Prog01Duty42 S275"/>
    <x v="0"/>
    <s v="42"/>
    <n v="42"/>
    <m/>
    <s v="   "/>
    <n v="2"/>
    <n v="0.18140000000000001"/>
    <n v="0"/>
    <x v="13"/>
  </r>
  <r>
    <s v="23403"/>
    <x v="157"/>
    <s v="Personnel"/>
    <s v="M "/>
    <x v="2"/>
    <x v="17"/>
    <s v="PSES Mid Prog01Duty42 S275"/>
    <x v="0"/>
    <s v="42"/>
    <n v="42"/>
    <m/>
    <s v="   "/>
    <n v="1.3380000000000001"/>
    <n v="0.18140000000000001"/>
    <n v="0"/>
    <x v="14"/>
  </r>
  <r>
    <s v="23403"/>
    <x v="157"/>
    <s v="Personnel"/>
    <s v="E "/>
    <x v="0"/>
    <x v="18"/>
    <s v="PSES Elem Prog21Duty43 S275"/>
    <x v="1"/>
    <s v="43"/>
    <n v="43"/>
    <m/>
    <s v="   "/>
    <n v="0.59599999999999997"/>
    <n v="0.18140000000000001"/>
    <n v="0.108"/>
    <x v="15"/>
  </r>
  <r>
    <s v="23403"/>
    <x v="157"/>
    <s v="Personnel"/>
    <s v="H "/>
    <x v="1"/>
    <x v="19"/>
    <s v="PSES High Prog21Duty43 S275"/>
    <x v="1"/>
    <s v="43"/>
    <n v="43"/>
    <m/>
    <s v="   "/>
    <n v="0.27800000000000002"/>
    <n v="0.18140000000000001"/>
    <n v="0.05"/>
    <x v="16"/>
  </r>
  <r>
    <s v="23403"/>
    <x v="157"/>
    <s v="Personnel"/>
    <s v="M "/>
    <x v="2"/>
    <x v="31"/>
    <s v="PSES Mid Prog21Duty43 S275"/>
    <x v="1"/>
    <s v="43"/>
    <n v="43"/>
    <m/>
    <s v="   "/>
    <n v="6.2E-2"/>
    <n v="0.18140000000000001"/>
    <n v="1.0999999999999999E-2"/>
    <x v="27"/>
  </r>
  <r>
    <s v="23403"/>
    <x v="157"/>
    <s v="Personnel"/>
    <s v="E "/>
    <x v="0"/>
    <x v="20"/>
    <s v="PSES Elem Prog21Duty45 S275"/>
    <x v="1"/>
    <s v="45"/>
    <n v="45"/>
    <m/>
    <s v="   "/>
    <n v="1.6E-2"/>
    <n v="0.18140000000000001"/>
    <n v="3.0000000000000001E-3"/>
    <x v="17"/>
  </r>
  <r>
    <s v="23404"/>
    <x v="158"/>
    <s v="Personnel"/>
    <s v="H "/>
    <x v="1"/>
    <x v="5"/>
    <s v="PSES High Prog01Act25 S275"/>
    <x v="0"/>
    <s v="25"/>
    <m/>
    <n v="25"/>
    <s v="   "/>
    <n v="0.51"/>
    <n v="0.13730000000000001"/>
    <n v="0"/>
    <x v="4"/>
  </r>
  <r>
    <s v="23404"/>
    <x v="158"/>
    <s v="Personnel"/>
    <s v="E "/>
    <x v="0"/>
    <x v="15"/>
    <s v="PSES Elem Prog01Duty42 S275"/>
    <x v="0"/>
    <s v="42"/>
    <n v="42"/>
    <m/>
    <s v="   "/>
    <n v="0.77800000000000002"/>
    <n v="0.13730000000000001"/>
    <n v="0"/>
    <x v="12"/>
  </r>
  <r>
    <s v="23404"/>
    <x v="158"/>
    <s v="Personnel"/>
    <s v="M "/>
    <x v="2"/>
    <x v="17"/>
    <s v="PSES Mid Prog01Duty42 S275"/>
    <x v="0"/>
    <s v="42"/>
    <n v="42"/>
    <m/>
    <s v="   "/>
    <n v="0.222"/>
    <n v="0.13730000000000001"/>
    <n v="0"/>
    <x v="14"/>
  </r>
  <r>
    <s v="23404"/>
    <x v="158"/>
    <s v="Personnel"/>
    <s v="E "/>
    <x v="0"/>
    <x v="27"/>
    <s v="PSES Elem Prog01Duty47 S275"/>
    <x v="0"/>
    <s v="47"/>
    <n v="47"/>
    <m/>
    <s v="   "/>
    <n v="0.312"/>
    <n v="0.13730000000000001"/>
    <n v="0"/>
    <x v="24"/>
  </r>
  <r>
    <s v="23404"/>
    <x v="158"/>
    <s v="Personnel"/>
    <s v="M "/>
    <x v="2"/>
    <x v="34"/>
    <s v="PSES Mid Prog01Duty47 S275"/>
    <x v="0"/>
    <s v="47"/>
    <n v="47"/>
    <m/>
    <s v="   "/>
    <n v="8.7999999999999995E-2"/>
    <n v="0.13730000000000001"/>
    <n v="0"/>
    <x v="28"/>
  </r>
  <r>
    <s v="24014"/>
    <x v="159"/>
    <s v="Personnel"/>
    <s v="H "/>
    <x v="1"/>
    <x v="5"/>
    <s v="PSES High Prog01Act25 S275"/>
    <x v="0"/>
    <s v="25"/>
    <m/>
    <n v="25"/>
    <s v="   "/>
    <n v="0.20200000000000001"/>
    <n v="0.1547"/>
    <n v="0"/>
    <x v="4"/>
  </r>
  <r>
    <s v="24014"/>
    <x v="159"/>
    <s v="Personnel"/>
    <s v="H "/>
    <x v="1"/>
    <x v="9"/>
    <s v="PSES High Prog01Act26 S275"/>
    <x v="0"/>
    <s v="26"/>
    <m/>
    <n v="26"/>
    <s v="   "/>
    <n v="0.74"/>
    <n v="0.1547"/>
    <n v="0"/>
    <x v="7"/>
  </r>
  <r>
    <s v="24014"/>
    <x v="159"/>
    <s v="Personnel"/>
    <s v="E "/>
    <x v="0"/>
    <x v="15"/>
    <s v="PSES Elem Prog01Duty42 S275"/>
    <x v="0"/>
    <s v="42"/>
    <n v="42"/>
    <m/>
    <s v="   "/>
    <n v="0.39500000000000002"/>
    <n v="0.1547"/>
    <n v="0"/>
    <x v="12"/>
  </r>
  <r>
    <s v="24014"/>
    <x v="159"/>
    <s v="Personnel"/>
    <s v="H "/>
    <x v="1"/>
    <x v="16"/>
    <s v="PSES High Prog01Duty42 S275"/>
    <x v="0"/>
    <s v="42"/>
    <n v="42"/>
    <m/>
    <s v="   "/>
    <n v="0.03"/>
    <n v="0.1547"/>
    <n v="0"/>
    <x v="13"/>
  </r>
  <r>
    <s v="24014"/>
    <x v="159"/>
    <s v="Personnel"/>
    <s v="M "/>
    <x v="2"/>
    <x v="17"/>
    <s v="PSES Mid Prog01Duty42 S275"/>
    <x v="0"/>
    <s v="42"/>
    <n v="42"/>
    <m/>
    <s v="   "/>
    <n v="7.4999999999999997E-2"/>
    <n v="0.1547"/>
    <n v="0"/>
    <x v="14"/>
  </r>
  <r>
    <s v="24019"/>
    <x v="160"/>
    <s v="Personnel"/>
    <s v="H "/>
    <x v="1"/>
    <x v="5"/>
    <s v="PSES High Prog01Act25 S275"/>
    <x v="0"/>
    <s v="25"/>
    <m/>
    <n v="25"/>
    <s v="   "/>
    <n v="0.71599999999999997"/>
    <n v="0.1875"/>
    <n v="0"/>
    <x v="4"/>
  </r>
  <r>
    <s v="24019"/>
    <x v="160"/>
    <s v="Personnel"/>
    <s v="H "/>
    <x v="1"/>
    <x v="9"/>
    <s v="PSES High Prog01Act26 S275"/>
    <x v="0"/>
    <s v="26"/>
    <m/>
    <n v="26"/>
    <s v="   "/>
    <n v="0.71499999999999997"/>
    <n v="0.1875"/>
    <n v="0"/>
    <x v="7"/>
  </r>
  <r>
    <s v="24019"/>
    <x v="160"/>
    <s v="Personnel"/>
    <s v="E "/>
    <x v="0"/>
    <x v="15"/>
    <s v="PSES Elem Prog01Duty42 S275"/>
    <x v="0"/>
    <s v="42"/>
    <n v="42"/>
    <m/>
    <s v="   "/>
    <n v="2.3330000000000002"/>
    <n v="0.1875"/>
    <n v="0"/>
    <x v="12"/>
  </r>
  <r>
    <s v="24019"/>
    <x v="160"/>
    <s v="Personnel"/>
    <s v="H "/>
    <x v="1"/>
    <x v="77"/>
    <s v="PSES High Prog21Duty42 S275"/>
    <x v="1"/>
    <s v="42"/>
    <n v="42"/>
    <m/>
    <s v="   "/>
    <n v="1"/>
    <n v="0.1875"/>
    <n v="0.188"/>
    <x v="13"/>
  </r>
  <r>
    <s v="24019"/>
    <x v="160"/>
    <s v="Personnel"/>
    <s v="H "/>
    <x v="1"/>
    <x v="16"/>
    <s v="PSES High Prog01Duty42 S275"/>
    <x v="0"/>
    <s v="42"/>
    <n v="42"/>
    <m/>
    <s v="   "/>
    <n v="1.5"/>
    <n v="0.1875"/>
    <n v="0"/>
    <x v="13"/>
  </r>
  <r>
    <s v="24019"/>
    <x v="160"/>
    <s v="Personnel"/>
    <s v="M "/>
    <x v="2"/>
    <x v="17"/>
    <s v="PSES Mid Prog01Duty42 S275"/>
    <x v="0"/>
    <s v="42"/>
    <n v="42"/>
    <m/>
    <s v="   "/>
    <n v="0.66700000000000004"/>
    <n v="0.1875"/>
    <n v="0"/>
    <x v="14"/>
  </r>
  <r>
    <s v="24019"/>
    <x v="160"/>
    <s v="Personnel"/>
    <s v="E "/>
    <x v="0"/>
    <x v="20"/>
    <s v="PSES Elem Prog21Duty45 S275"/>
    <x v="1"/>
    <s v="45"/>
    <n v="45"/>
    <m/>
    <s v="   "/>
    <n v="2.8"/>
    <n v="0.1875"/>
    <n v="0.52500000000000002"/>
    <x v="17"/>
  </r>
  <r>
    <s v="24019"/>
    <x v="160"/>
    <s v="Personnel"/>
    <s v="E "/>
    <x v="0"/>
    <x v="22"/>
    <s v="PSES Elem Prog21Duty46 S275"/>
    <x v="1"/>
    <s v="46"/>
    <n v="46"/>
    <m/>
    <s v="   "/>
    <n v="1"/>
    <n v="0.1875"/>
    <n v="0.188"/>
    <x v="19"/>
  </r>
  <r>
    <s v="24105"/>
    <x v="161"/>
    <s v="Personnel"/>
    <s v="E "/>
    <x v="0"/>
    <x v="3"/>
    <s v="PSES Elem Prog01Act25 S275"/>
    <x v="0"/>
    <s v="25"/>
    <m/>
    <n v="25"/>
    <s v="   "/>
    <n v="1.0620000000000001"/>
    <n v="0.15989999999999999"/>
    <n v="0"/>
    <x v="3"/>
  </r>
  <r>
    <s v="24105"/>
    <x v="161"/>
    <s v="Personnel"/>
    <s v="H "/>
    <x v="1"/>
    <x v="5"/>
    <s v="PSES High Prog01Act25 S275"/>
    <x v="0"/>
    <s v="25"/>
    <m/>
    <n v="25"/>
    <s v="   "/>
    <n v="1.571"/>
    <n v="0.15989999999999999"/>
    <n v="0"/>
    <x v="4"/>
  </r>
  <r>
    <s v="24105"/>
    <x v="161"/>
    <s v="Personnel"/>
    <s v="M "/>
    <x v="2"/>
    <x v="6"/>
    <s v="PSES Mid Prog01Act25 S275"/>
    <x v="0"/>
    <s v="25"/>
    <m/>
    <n v="25"/>
    <s v="   "/>
    <n v="0.45"/>
    <n v="0.15989999999999999"/>
    <n v="0"/>
    <x v="5"/>
  </r>
  <r>
    <s v="24105"/>
    <x v="161"/>
    <s v="Personnel"/>
    <s v="H "/>
    <x v="1"/>
    <x v="9"/>
    <s v="PSES High Prog01Act26 S275"/>
    <x v="0"/>
    <s v="26"/>
    <m/>
    <n v="26"/>
    <s v="   "/>
    <n v="0.67600000000000005"/>
    <n v="0.15989999999999999"/>
    <n v="0"/>
    <x v="7"/>
  </r>
  <r>
    <s v="24105"/>
    <x v="161"/>
    <s v="Personnel"/>
    <s v="E "/>
    <x v="0"/>
    <x v="15"/>
    <s v="PSES Elem Prog01Duty42 S275"/>
    <x v="0"/>
    <s v="42"/>
    <n v="42"/>
    <m/>
    <s v="   "/>
    <n v="1"/>
    <n v="0.15989999999999999"/>
    <n v="0"/>
    <x v="12"/>
  </r>
  <r>
    <s v="24105"/>
    <x v="161"/>
    <s v="Personnel"/>
    <s v="H "/>
    <x v="1"/>
    <x v="16"/>
    <s v="PSES High Prog01Duty42 S275"/>
    <x v="0"/>
    <s v="42"/>
    <n v="42"/>
    <m/>
    <s v="   "/>
    <n v="2"/>
    <n v="0.15989999999999999"/>
    <n v="0"/>
    <x v="13"/>
  </r>
  <r>
    <s v="24105"/>
    <x v="161"/>
    <s v="Personnel"/>
    <s v="M "/>
    <x v="2"/>
    <x v="17"/>
    <s v="PSES Mid Prog01Duty42 S275"/>
    <x v="0"/>
    <s v="42"/>
    <n v="42"/>
    <m/>
    <s v="   "/>
    <n v="0.5"/>
    <n v="0.15989999999999999"/>
    <n v="0"/>
    <x v="14"/>
  </r>
  <r>
    <s v="24105"/>
    <x v="161"/>
    <s v="Personnel"/>
    <s v="E "/>
    <x v="0"/>
    <x v="22"/>
    <s v="PSES Elem Prog21Duty46 S275"/>
    <x v="1"/>
    <s v="46"/>
    <n v="46"/>
    <m/>
    <s v="   "/>
    <n v="0.5"/>
    <n v="0.15989999999999999"/>
    <n v="0.08"/>
    <x v="19"/>
  </r>
  <r>
    <s v="24105"/>
    <x v="161"/>
    <s v="Personnel"/>
    <s v="H "/>
    <x v="1"/>
    <x v="23"/>
    <s v="PSES High Prog21Duty46 S275"/>
    <x v="1"/>
    <s v="46"/>
    <n v="46"/>
    <m/>
    <s v="   "/>
    <n v="0.25"/>
    <n v="0.15989999999999999"/>
    <n v="0.04"/>
    <x v="20"/>
  </r>
  <r>
    <s v="24105"/>
    <x v="161"/>
    <s v="Personnel"/>
    <s v="M "/>
    <x v="2"/>
    <x v="24"/>
    <s v="PSES Mid Prog21Duty46 S275"/>
    <x v="1"/>
    <s v="46"/>
    <n v="46"/>
    <m/>
    <s v="   "/>
    <n v="0.25"/>
    <n v="0.15989999999999999"/>
    <n v="0.04"/>
    <x v="21"/>
  </r>
  <r>
    <s v="24111"/>
    <x v="162"/>
    <s v="Personnel"/>
    <s v="E "/>
    <x v="0"/>
    <x v="7"/>
    <s v="PSES Elem Prog21Act26 S275"/>
    <x v="1"/>
    <s v="26"/>
    <m/>
    <n v="26"/>
    <s v="   "/>
    <n v="0.54800000000000004"/>
    <n v="0.21379999999999999"/>
    <n v="0.11700000000000001"/>
    <x v="6"/>
  </r>
  <r>
    <s v="24111"/>
    <x v="162"/>
    <s v="Personnel"/>
    <s v="E "/>
    <x v="0"/>
    <x v="8"/>
    <s v="PSES Elem Prog01Act26 S275"/>
    <x v="0"/>
    <s v="26"/>
    <m/>
    <n v="26"/>
    <s v="   "/>
    <n v="0.83799999999999997"/>
    <n v="0.21379999999999999"/>
    <n v="0"/>
    <x v="6"/>
  </r>
  <r>
    <s v="24111"/>
    <x v="162"/>
    <s v="Personnel"/>
    <s v="H "/>
    <x v="1"/>
    <x v="29"/>
    <s v="PSES High Prog21Act26 S275"/>
    <x v="1"/>
    <s v="26"/>
    <m/>
    <n v="26"/>
    <s v="   "/>
    <n v="6.9000000000000006E-2"/>
    <n v="0.21379999999999999"/>
    <n v="1.4999999999999999E-2"/>
    <x v="7"/>
  </r>
  <r>
    <s v="24111"/>
    <x v="162"/>
    <s v="Personnel"/>
    <s v="H "/>
    <x v="1"/>
    <x v="9"/>
    <s v="PSES High Prog01Act26 S275"/>
    <x v="0"/>
    <s v="26"/>
    <m/>
    <n v="26"/>
    <s v="   "/>
    <n v="5.8999999999999997E-2"/>
    <n v="0.21379999999999999"/>
    <n v="0"/>
    <x v="7"/>
  </r>
  <r>
    <s v="24111"/>
    <x v="162"/>
    <s v="Personnel"/>
    <s v="M "/>
    <x v="2"/>
    <x v="10"/>
    <s v="PSES Mid Prog21Act26 S275"/>
    <x v="1"/>
    <s v="26"/>
    <m/>
    <n v="26"/>
    <s v="   "/>
    <n v="6.9000000000000006E-2"/>
    <n v="0.21379999999999999"/>
    <n v="1.4999999999999999E-2"/>
    <x v="8"/>
  </r>
  <r>
    <s v="24111"/>
    <x v="162"/>
    <s v="Personnel"/>
    <s v="M "/>
    <x v="2"/>
    <x v="11"/>
    <s v="PSES Mid Prog01Act26 S275"/>
    <x v="0"/>
    <s v="26"/>
    <m/>
    <n v="26"/>
    <s v="   "/>
    <n v="0.14599999999999999"/>
    <n v="0.21379999999999999"/>
    <n v="0"/>
    <x v="8"/>
  </r>
  <r>
    <s v="24111"/>
    <x v="162"/>
    <s v="Personnel"/>
    <s v="E "/>
    <x v="0"/>
    <x v="15"/>
    <s v="PSES Elem Prog01Duty42 S275"/>
    <x v="0"/>
    <s v="42"/>
    <n v="42"/>
    <m/>
    <s v="   "/>
    <n v="1"/>
    <n v="0.21379999999999999"/>
    <n v="0"/>
    <x v="12"/>
  </r>
  <r>
    <s v="24111"/>
    <x v="162"/>
    <s v="Personnel"/>
    <s v="H "/>
    <x v="1"/>
    <x v="16"/>
    <s v="PSES High Prog01Duty42 S275"/>
    <x v="0"/>
    <s v="42"/>
    <n v="42"/>
    <m/>
    <s v="   "/>
    <n v="1"/>
    <n v="0.21379999999999999"/>
    <n v="0"/>
    <x v="13"/>
  </r>
  <r>
    <s v="24111"/>
    <x v="162"/>
    <s v="Personnel"/>
    <s v="M "/>
    <x v="2"/>
    <x v="17"/>
    <s v="PSES Mid Prog01Duty42 S275"/>
    <x v="0"/>
    <s v="42"/>
    <n v="42"/>
    <m/>
    <s v="   "/>
    <n v="0.75"/>
    <n v="0.21379999999999999"/>
    <n v="0"/>
    <x v="14"/>
  </r>
  <r>
    <s v="24111"/>
    <x v="162"/>
    <s v="Personnel"/>
    <s v="H "/>
    <x v="1"/>
    <x v="44"/>
    <s v="PSES High Prog01Duty44 S275"/>
    <x v="0"/>
    <s v="44"/>
    <n v="44"/>
    <m/>
    <s v="   "/>
    <n v="0.16"/>
    <n v="0.21379999999999999"/>
    <n v="0"/>
    <x v="34"/>
  </r>
  <r>
    <s v="24111"/>
    <x v="162"/>
    <s v="Personnel"/>
    <s v="E "/>
    <x v="0"/>
    <x v="22"/>
    <s v="PSES Elem Prog21Duty46 S275"/>
    <x v="1"/>
    <s v="46"/>
    <n v="46"/>
    <m/>
    <s v="   "/>
    <n v="0.55000000000000004"/>
    <n v="0.21379999999999999"/>
    <n v="0.11799999999999999"/>
    <x v="19"/>
  </r>
  <r>
    <s v="24111"/>
    <x v="162"/>
    <s v="Personnel"/>
    <s v="H "/>
    <x v="1"/>
    <x v="23"/>
    <s v="PSES High Prog21Duty46 S275"/>
    <x v="1"/>
    <s v="46"/>
    <n v="46"/>
    <m/>
    <s v="   "/>
    <n v="0.3"/>
    <n v="0.21379999999999999"/>
    <n v="6.4000000000000001E-2"/>
    <x v="20"/>
  </r>
  <r>
    <s v="24111"/>
    <x v="162"/>
    <s v="Personnel"/>
    <s v="M "/>
    <x v="2"/>
    <x v="24"/>
    <s v="PSES Mid Prog21Duty46 S275"/>
    <x v="1"/>
    <s v="46"/>
    <n v="46"/>
    <m/>
    <s v="   "/>
    <n v="0.15"/>
    <n v="0.21379999999999999"/>
    <n v="3.2000000000000001E-2"/>
    <x v="21"/>
  </r>
  <r>
    <s v="24122"/>
    <x v="163"/>
    <s v="Personnel"/>
    <s v="H "/>
    <x v="1"/>
    <x v="16"/>
    <s v="PSES High Prog01Duty42 S275"/>
    <x v="0"/>
    <s v="42"/>
    <n v="42"/>
    <m/>
    <s v="   "/>
    <n v="0.3"/>
    <n v="0.25440000000000002"/>
    <n v="0"/>
    <x v="13"/>
  </r>
  <r>
    <s v="24122"/>
    <x v="163"/>
    <s v="Personnel"/>
    <s v="M "/>
    <x v="2"/>
    <x v="17"/>
    <s v="PSES Mid Prog01Duty42 S275"/>
    <x v="0"/>
    <s v="42"/>
    <n v="42"/>
    <m/>
    <s v="   "/>
    <n v="0.15"/>
    <n v="0.25440000000000002"/>
    <n v="0"/>
    <x v="14"/>
  </r>
  <r>
    <s v="24122"/>
    <x v="163"/>
    <s v="Personnel"/>
    <s v="E "/>
    <x v="0"/>
    <x v="22"/>
    <s v="PSES Elem Prog21Duty46 S275"/>
    <x v="1"/>
    <s v="46"/>
    <n v="46"/>
    <m/>
    <s v="   "/>
    <n v="0.45"/>
    <n v="0.25440000000000002"/>
    <n v="0.114"/>
    <x v="19"/>
  </r>
  <r>
    <s v="24122"/>
    <x v="163"/>
    <s v="Personnel"/>
    <s v="H "/>
    <x v="1"/>
    <x v="23"/>
    <s v="PSES High Prog21Duty46 S275"/>
    <x v="1"/>
    <s v="46"/>
    <n v="46"/>
    <m/>
    <s v="   "/>
    <n v="0.22500000000000001"/>
    <n v="0.25440000000000002"/>
    <n v="5.7000000000000002E-2"/>
    <x v="20"/>
  </r>
  <r>
    <s v="24122"/>
    <x v="163"/>
    <s v="Personnel"/>
    <s v="M "/>
    <x v="2"/>
    <x v="24"/>
    <s v="PSES Mid Prog21Duty46 S275"/>
    <x v="1"/>
    <s v="46"/>
    <n v="46"/>
    <m/>
    <s v="   "/>
    <n v="0.22500000000000001"/>
    <n v="0.25440000000000002"/>
    <n v="5.7000000000000002E-2"/>
    <x v="21"/>
  </r>
  <r>
    <s v="24122"/>
    <x v="163"/>
    <s v="Personnel"/>
    <s v="E "/>
    <x v="0"/>
    <x v="27"/>
    <s v="PSES Elem Prog01Duty47 S275"/>
    <x v="0"/>
    <s v="47"/>
    <n v="47"/>
    <m/>
    <s v="   "/>
    <n v="0.182"/>
    <n v="0.25440000000000002"/>
    <n v="0"/>
    <x v="24"/>
  </r>
  <r>
    <s v="24122"/>
    <x v="163"/>
    <s v="Personnel"/>
    <s v="H "/>
    <x v="1"/>
    <x v="25"/>
    <s v="PSES High Prog01Duty47 S275"/>
    <x v="0"/>
    <s v="47"/>
    <n v="47"/>
    <m/>
    <s v="   "/>
    <n v="0.128"/>
    <n v="0.25440000000000002"/>
    <n v="0"/>
    <x v="22"/>
  </r>
  <r>
    <s v="24122"/>
    <x v="163"/>
    <s v="Personnel"/>
    <s v="M "/>
    <x v="2"/>
    <x v="34"/>
    <s v="PSES Mid Prog01Duty47 S275"/>
    <x v="0"/>
    <s v="47"/>
    <n v="47"/>
    <m/>
    <s v="   "/>
    <n v="6.4000000000000001E-2"/>
    <n v="0.25440000000000002"/>
    <n v="0"/>
    <x v="28"/>
  </r>
  <r>
    <s v="24122"/>
    <x v="163"/>
    <s v="Personnel"/>
    <s v="T"/>
    <x v="0"/>
    <x v="85"/>
    <s v="PSES Elem Prog09Duty47 S275"/>
    <x v="3"/>
    <s v="47"/>
    <n v="47"/>
    <n v="26"/>
    <m/>
    <n v="2.5999999999999999E-2"/>
    <n v="0.25440000000000002"/>
    <n v="0"/>
    <x v="46"/>
  </r>
  <r>
    <s v="24350"/>
    <x v="164"/>
    <s v="Personnel"/>
    <s v="H "/>
    <x v="1"/>
    <x v="1"/>
    <s v="PSES High Prog01Duty96 S275"/>
    <x v="0"/>
    <s v="24"/>
    <n v="96"/>
    <n v="24"/>
    <s v="   "/>
    <n v="1.2490000000000001"/>
    <n v="0.1913"/>
    <n v="0"/>
    <x v="1"/>
  </r>
  <r>
    <s v="24350"/>
    <x v="164"/>
    <s v="Personnel"/>
    <s v="H "/>
    <x v="1"/>
    <x v="9"/>
    <s v="PSES High Prog01Act26 S275"/>
    <x v="0"/>
    <s v="26"/>
    <m/>
    <n v="26"/>
    <s v="   "/>
    <n v="0.57199999999999995"/>
    <n v="0.1913"/>
    <n v="0"/>
    <x v="7"/>
  </r>
  <r>
    <s v="24350"/>
    <x v="164"/>
    <s v="Personnel"/>
    <s v="E "/>
    <x v="0"/>
    <x v="15"/>
    <s v="PSES Elem Prog01Duty42 S275"/>
    <x v="0"/>
    <s v="42"/>
    <n v="42"/>
    <m/>
    <s v="   "/>
    <n v="0.9"/>
    <n v="0.1913"/>
    <n v="0"/>
    <x v="12"/>
  </r>
  <r>
    <s v="24350"/>
    <x v="164"/>
    <s v="Personnel"/>
    <s v="H "/>
    <x v="1"/>
    <x v="16"/>
    <s v="PSES High Prog01Duty42 S275"/>
    <x v="0"/>
    <s v="42"/>
    <n v="42"/>
    <m/>
    <s v="   "/>
    <n v="0.5"/>
    <n v="0.1913"/>
    <n v="0"/>
    <x v="13"/>
  </r>
  <r>
    <s v="24350"/>
    <x v="164"/>
    <s v="Personnel"/>
    <s v="M "/>
    <x v="2"/>
    <x v="17"/>
    <s v="PSES Mid Prog01Duty42 S275"/>
    <x v="0"/>
    <s v="42"/>
    <n v="42"/>
    <m/>
    <s v="   "/>
    <n v="0.5"/>
    <n v="0.1913"/>
    <n v="0"/>
    <x v="14"/>
  </r>
  <r>
    <s v="24404"/>
    <x v="165"/>
    <s v="Personnel"/>
    <s v="E "/>
    <x v="0"/>
    <x v="7"/>
    <s v="PSES Elem Prog21Act26 S275"/>
    <x v="1"/>
    <s v="26"/>
    <m/>
    <n v="26"/>
    <s v="   "/>
    <n v="0.59599999999999997"/>
    <n v="0.155"/>
    <n v="9.1999999999999998E-2"/>
    <x v="6"/>
  </r>
  <r>
    <s v="24404"/>
    <x v="165"/>
    <s v="Personnel"/>
    <s v="E "/>
    <x v="0"/>
    <x v="8"/>
    <s v="PSES Elem Prog01Act26 S275"/>
    <x v="0"/>
    <s v="26"/>
    <m/>
    <n v="26"/>
    <s v="   "/>
    <n v="0.40899999999999997"/>
    <n v="0.155"/>
    <n v="0"/>
    <x v="6"/>
  </r>
  <r>
    <s v="24404"/>
    <x v="165"/>
    <s v="Personnel"/>
    <s v="H "/>
    <x v="1"/>
    <x v="29"/>
    <s v="PSES High Prog21Act26 S275"/>
    <x v="1"/>
    <s v="26"/>
    <m/>
    <n v="26"/>
    <s v="   "/>
    <n v="0.35799999999999998"/>
    <n v="0.155"/>
    <n v="5.5E-2"/>
    <x v="7"/>
  </r>
  <r>
    <s v="24404"/>
    <x v="165"/>
    <s v="Personnel"/>
    <s v="H "/>
    <x v="1"/>
    <x v="9"/>
    <s v="PSES High Prog01Act26 S275"/>
    <x v="0"/>
    <s v="26"/>
    <m/>
    <n v="26"/>
    <s v="   "/>
    <n v="0.29899999999999999"/>
    <n v="0.155"/>
    <n v="0"/>
    <x v="7"/>
  </r>
  <r>
    <s v="24404"/>
    <x v="165"/>
    <s v="Personnel"/>
    <s v="M "/>
    <x v="2"/>
    <x v="10"/>
    <s v="PSES Mid Prog21Act26 S275"/>
    <x v="1"/>
    <s v="26"/>
    <m/>
    <n v="26"/>
    <s v="   "/>
    <n v="0.182"/>
    <n v="0.155"/>
    <n v="2.8000000000000001E-2"/>
    <x v="8"/>
  </r>
  <r>
    <s v="24404"/>
    <x v="165"/>
    <s v="Personnel"/>
    <s v="M "/>
    <x v="2"/>
    <x v="11"/>
    <s v="PSES Mid Prog01Act26 S275"/>
    <x v="0"/>
    <s v="26"/>
    <m/>
    <n v="26"/>
    <s v="   "/>
    <n v="0.219"/>
    <n v="0.155"/>
    <n v="0"/>
    <x v="8"/>
  </r>
  <r>
    <s v="24404"/>
    <x v="165"/>
    <s v="Personnel"/>
    <s v="E "/>
    <x v="0"/>
    <x v="15"/>
    <s v="PSES Elem Prog01Duty42 S275"/>
    <x v="0"/>
    <s v="42"/>
    <n v="42"/>
    <m/>
    <s v="   "/>
    <n v="0.96399999999999997"/>
    <n v="0.155"/>
    <n v="0"/>
    <x v="12"/>
  </r>
  <r>
    <s v="24404"/>
    <x v="165"/>
    <s v="Personnel"/>
    <s v="H "/>
    <x v="1"/>
    <x v="16"/>
    <s v="PSES High Prog01Duty42 S275"/>
    <x v="0"/>
    <s v="42"/>
    <n v="42"/>
    <m/>
    <s v="   "/>
    <n v="0.95399999999999996"/>
    <n v="0.155"/>
    <n v="0"/>
    <x v="13"/>
  </r>
  <r>
    <s v="24404"/>
    <x v="165"/>
    <s v="Personnel"/>
    <s v="M "/>
    <x v="2"/>
    <x v="17"/>
    <s v="PSES Mid Prog01Duty42 S275"/>
    <x v="0"/>
    <s v="42"/>
    <n v="42"/>
    <m/>
    <s v="   "/>
    <n v="0.95399999999999996"/>
    <n v="0.155"/>
    <n v="0"/>
    <x v="14"/>
  </r>
  <r>
    <s v="24410"/>
    <x v="166"/>
    <s v="Personnel"/>
    <s v="H "/>
    <x v="1"/>
    <x v="29"/>
    <s v="PSES High Prog21Act26 S275"/>
    <x v="1"/>
    <s v="26"/>
    <m/>
    <n v="26"/>
    <s v="   "/>
    <n v="0.438"/>
    <n v="0.20669999999999999"/>
    <n v="9.0999999999999998E-2"/>
    <x v="7"/>
  </r>
  <r>
    <s v="24410"/>
    <x v="166"/>
    <s v="Personnel"/>
    <s v="H "/>
    <x v="1"/>
    <x v="9"/>
    <s v="PSES High Prog01Act26 S275"/>
    <x v="0"/>
    <s v="26"/>
    <m/>
    <n v="26"/>
    <s v="   "/>
    <n v="0.68600000000000005"/>
    <n v="0.20669999999999999"/>
    <n v="0"/>
    <x v="7"/>
  </r>
  <r>
    <s v="24410"/>
    <x v="166"/>
    <s v="Personnel"/>
    <s v="E "/>
    <x v="0"/>
    <x v="15"/>
    <s v="PSES Elem Prog01Duty42 S275"/>
    <x v="0"/>
    <s v="42"/>
    <n v="42"/>
    <m/>
    <s v="   "/>
    <n v="0.85"/>
    <n v="0.20669999999999999"/>
    <n v="0"/>
    <x v="12"/>
  </r>
  <r>
    <s v="24410"/>
    <x v="166"/>
    <s v="Personnel"/>
    <s v="H "/>
    <x v="1"/>
    <x v="16"/>
    <s v="PSES High Prog01Duty42 S275"/>
    <x v="0"/>
    <s v="42"/>
    <n v="42"/>
    <m/>
    <s v="   "/>
    <n v="0.7"/>
    <n v="0.20669999999999999"/>
    <n v="0"/>
    <x v="13"/>
  </r>
  <r>
    <s v="24410"/>
    <x v="166"/>
    <s v="Personnel"/>
    <s v="M "/>
    <x v="2"/>
    <x v="17"/>
    <s v="PSES Mid Prog01Duty42 S275"/>
    <x v="0"/>
    <s v="42"/>
    <n v="42"/>
    <m/>
    <s v="   "/>
    <n v="0.3"/>
    <n v="0.20669999999999999"/>
    <n v="0"/>
    <x v="14"/>
  </r>
  <r>
    <s v="24410"/>
    <x v="166"/>
    <s v="Personnel"/>
    <s v="E "/>
    <x v="0"/>
    <x v="22"/>
    <s v="PSES Elem Prog21Duty46 S275"/>
    <x v="1"/>
    <s v="46"/>
    <n v="46"/>
    <m/>
    <s v="   "/>
    <n v="0.27"/>
    <n v="0.20669999999999999"/>
    <n v="5.6000000000000001E-2"/>
    <x v="19"/>
  </r>
  <r>
    <s v="24410"/>
    <x v="166"/>
    <s v="Personnel"/>
    <s v="H "/>
    <x v="1"/>
    <x v="23"/>
    <s v="PSES High Prog21Duty46 S275"/>
    <x v="1"/>
    <s v="46"/>
    <n v="46"/>
    <m/>
    <s v="   "/>
    <n v="0.16200000000000001"/>
    <n v="0.20669999999999999"/>
    <n v="3.3000000000000002E-2"/>
    <x v="20"/>
  </r>
  <r>
    <s v="24410"/>
    <x v="166"/>
    <s v="Personnel"/>
    <s v="M "/>
    <x v="2"/>
    <x v="24"/>
    <s v="PSES Mid Prog21Duty46 S275"/>
    <x v="1"/>
    <s v="46"/>
    <n v="46"/>
    <m/>
    <s v="   "/>
    <n v="0.108"/>
    <n v="0.20669999999999999"/>
    <n v="2.1999999999999999E-2"/>
    <x v="21"/>
  </r>
  <r>
    <s v="24915"/>
    <x v="167"/>
    <s v="Personnel"/>
    <s v="E "/>
    <x v="0"/>
    <x v="67"/>
    <s v="PSES Elem Prog21Act25 S275"/>
    <x v="1"/>
    <s v="25"/>
    <m/>
    <n v="25"/>
    <s v="   "/>
    <n v="1.39"/>
    <n v="0.14849999999999999"/>
    <n v="0.20599999999999999"/>
    <x v="3"/>
  </r>
  <r>
    <s v="24915"/>
    <x v="167"/>
    <s v="Personnel"/>
    <s v="E "/>
    <x v="0"/>
    <x v="3"/>
    <s v="PSES Elem Prog01Act25 S275"/>
    <x v="0"/>
    <s v="25"/>
    <m/>
    <n v="25"/>
    <s v="   "/>
    <n v="5.56"/>
    <n v="0.14849999999999999"/>
    <n v="0"/>
    <x v="3"/>
  </r>
  <r>
    <s v="24915"/>
    <x v="167"/>
    <s v="Personnel"/>
    <s v="M "/>
    <x v="2"/>
    <x v="82"/>
    <s v="PSES Mid Prog21Act25 S275"/>
    <x v="1"/>
    <s v="25"/>
    <m/>
    <n v="25"/>
    <s v="   "/>
    <n v="0.69499999999999995"/>
    <n v="0.14849999999999999"/>
    <n v="0.10299999999999999"/>
    <x v="5"/>
  </r>
  <r>
    <s v="24915"/>
    <x v="167"/>
    <s v="Personnel"/>
    <s v="M "/>
    <x v="2"/>
    <x v="6"/>
    <s v="PSES Mid Prog01Act25 S275"/>
    <x v="0"/>
    <s v="25"/>
    <m/>
    <n v="25"/>
    <s v="   "/>
    <n v="0.69499999999999995"/>
    <n v="0.14849999999999999"/>
    <n v="0"/>
    <x v="5"/>
  </r>
  <r>
    <s v="25101"/>
    <x v="168"/>
    <s v="Personnel"/>
    <s v="E "/>
    <x v="0"/>
    <x v="3"/>
    <s v="PSES Elem Prog01Act25 S275"/>
    <x v="0"/>
    <s v="25"/>
    <m/>
    <n v="25"/>
    <s v="   "/>
    <n v="1.0329999999999999"/>
    <n v="0.1913"/>
    <n v="0"/>
    <x v="3"/>
  </r>
  <r>
    <s v="25101"/>
    <x v="168"/>
    <s v="Personnel"/>
    <s v="H "/>
    <x v="1"/>
    <x v="9"/>
    <s v="PSES High Prog01Act26 S275"/>
    <x v="0"/>
    <s v="26"/>
    <m/>
    <n v="26"/>
    <s v="   "/>
    <n v="0.80400000000000005"/>
    <n v="0.1913"/>
    <n v="0"/>
    <x v="7"/>
  </r>
  <r>
    <s v="25101"/>
    <x v="168"/>
    <s v="Personnel"/>
    <s v="H "/>
    <x v="1"/>
    <x v="16"/>
    <s v="PSES High Prog01Duty42 S275"/>
    <x v="0"/>
    <s v="42"/>
    <n v="42"/>
    <m/>
    <s v="   "/>
    <n v="1.5"/>
    <n v="0.1913"/>
    <n v="0"/>
    <x v="13"/>
  </r>
  <r>
    <s v="25116"/>
    <x v="169"/>
    <s v="Personnel"/>
    <s v="H "/>
    <x v="1"/>
    <x v="9"/>
    <s v="PSES High Prog01Act26 S275"/>
    <x v="0"/>
    <s v="26"/>
    <m/>
    <n v="26"/>
    <s v="   "/>
    <n v="0.64600000000000002"/>
    <n v="0.20669999999999999"/>
    <n v="0"/>
    <x v="7"/>
  </r>
  <r>
    <s v="25116"/>
    <x v="169"/>
    <s v="Personnel"/>
    <s v="E "/>
    <x v="0"/>
    <x v="15"/>
    <s v="PSES Elem Prog01Duty42 S275"/>
    <x v="0"/>
    <s v="42"/>
    <n v="42"/>
    <m/>
    <s v="   "/>
    <n v="1.5"/>
    <n v="0.20669999999999999"/>
    <n v="0"/>
    <x v="12"/>
  </r>
  <r>
    <s v="25118"/>
    <x v="170"/>
    <s v="Personnel"/>
    <s v="E "/>
    <x v="0"/>
    <x v="3"/>
    <s v="PSES Elem Prog01Act25 S275"/>
    <x v="0"/>
    <s v="25"/>
    <m/>
    <n v="25"/>
    <s v="   "/>
    <n v="0.10100000000000001"/>
    <n v="0.29899999999999999"/>
    <n v="0"/>
    <x v="3"/>
  </r>
  <r>
    <s v="25118"/>
    <x v="170"/>
    <s v="Personnel"/>
    <s v="H "/>
    <x v="1"/>
    <x v="5"/>
    <s v="PSES High Prog01Act25 S275"/>
    <x v="0"/>
    <s v="25"/>
    <m/>
    <n v="25"/>
    <s v="   "/>
    <n v="0.16900000000000001"/>
    <n v="0.29899999999999999"/>
    <n v="0"/>
    <x v="4"/>
  </r>
  <r>
    <s v="25118"/>
    <x v="170"/>
    <s v="Personnel"/>
    <s v="M "/>
    <x v="2"/>
    <x v="6"/>
    <s v="PSES Mid Prog01Act25 S275"/>
    <x v="0"/>
    <s v="25"/>
    <m/>
    <n v="25"/>
    <s v="   "/>
    <n v="3.3000000000000002E-2"/>
    <n v="0.29899999999999999"/>
    <n v="0"/>
    <x v="5"/>
  </r>
  <r>
    <s v="25118"/>
    <x v="170"/>
    <s v="Personnel"/>
    <s v="E "/>
    <x v="0"/>
    <x v="8"/>
    <s v="PSES Elem Prog01Act26 S275"/>
    <x v="0"/>
    <s v="26"/>
    <m/>
    <n v="26"/>
    <s v="   "/>
    <n v="0.26700000000000002"/>
    <n v="0.29899999999999999"/>
    <n v="0"/>
    <x v="6"/>
  </r>
  <r>
    <s v="25118"/>
    <x v="170"/>
    <s v="Personnel"/>
    <s v="H "/>
    <x v="1"/>
    <x v="9"/>
    <s v="PSES High Prog01Act26 S275"/>
    <x v="0"/>
    <s v="26"/>
    <m/>
    <n v="26"/>
    <s v="   "/>
    <n v="0.53200000000000003"/>
    <n v="0.29899999999999999"/>
    <n v="0"/>
    <x v="7"/>
  </r>
  <r>
    <s v="25155"/>
    <x v="171"/>
    <s v="Personnel"/>
    <s v="H "/>
    <x v="1"/>
    <x v="16"/>
    <s v="PSES High Prog01Duty42 S275"/>
    <x v="0"/>
    <s v="42"/>
    <n v="42"/>
    <m/>
    <s v="   "/>
    <n v="1"/>
    <n v="0.1913"/>
    <n v="0"/>
    <x v="13"/>
  </r>
  <r>
    <s v="25160"/>
    <x v="172"/>
    <s v="Personnel"/>
    <s v="E "/>
    <x v="0"/>
    <x v="3"/>
    <s v="PSES Elem Prog01Act25 S275"/>
    <x v="0"/>
    <s v="25"/>
    <m/>
    <n v="25"/>
    <s v="   "/>
    <n v="0.11799999999999999"/>
    <n v="0.18310000000000001"/>
    <n v="0"/>
    <x v="3"/>
  </r>
  <r>
    <s v="25160"/>
    <x v="172"/>
    <s v="Personnel"/>
    <s v="H "/>
    <x v="1"/>
    <x v="5"/>
    <s v="PSES High Prog01Act25 S275"/>
    <x v="0"/>
    <s v="25"/>
    <m/>
    <n v="25"/>
    <s v="   "/>
    <n v="0.999"/>
    <n v="0.18310000000000001"/>
    <n v="0"/>
    <x v="4"/>
  </r>
  <r>
    <s v="25160"/>
    <x v="172"/>
    <s v="Personnel"/>
    <s v="E "/>
    <x v="0"/>
    <x v="15"/>
    <s v="PSES Elem Prog01Duty42 S275"/>
    <x v="0"/>
    <s v="42"/>
    <n v="42"/>
    <m/>
    <s v="   "/>
    <n v="0.49299999999999999"/>
    <n v="0.18310000000000001"/>
    <n v="0"/>
    <x v="12"/>
  </r>
  <r>
    <s v="25160"/>
    <x v="172"/>
    <s v="Personnel"/>
    <s v="H "/>
    <x v="1"/>
    <x v="16"/>
    <s v="PSES High Prog01Duty42 S275"/>
    <x v="0"/>
    <s v="42"/>
    <n v="42"/>
    <m/>
    <s v="   "/>
    <n v="0.33500000000000002"/>
    <n v="0.18310000000000001"/>
    <n v="0"/>
    <x v="13"/>
  </r>
  <r>
    <s v="25160"/>
    <x v="172"/>
    <s v="Personnel"/>
    <s v="M "/>
    <x v="2"/>
    <x v="17"/>
    <s v="PSES Mid Prog01Duty42 S275"/>
    <x v="0"/>
    <s v="42"/>
    <n v="42"/>
    <m/>
    <s v="   "/>
    <n v="0.157"/>
    <n v="0.18310000000000001"/>
    <n v="0"/>
    <x v="14"/>
  </r>
  <r>
    <s v="26056"/>
    <x v="173"/>
    <s v="Personnel"/>
    <s v="E "/>
    <x v="0"/>
    <x v="7"/>
    <s v="PSES Elem Prog21Act26 S275"/>
    <x v="1"/>
    <s v="26"/>
    <m/>
    <n v="26"/>
    <s v="   "/>
    <n v="0.32900000000000001"/>
    <n v="0.24210000000000001"/>
    <n v="0.08"/>
    <x v="6"/>
  </r>
  <r>
    <s v="26056"/>
    <x v="173"/>
    <s v="Personnel"/>
    <s v="H "/>
    <x v="1"/>
    <x v="9"/>
    <s v="PSES High Prog01Act26 S275"/>
    <x v="0"/>
    <s v="26"/>
    <m/>
    <n v="26"/>
    <s v="   "/>
    <n v="1.22"/>
    <n v="0.24210000000000001"/>
    <n v="0"/>
    <x v="7"/>
  </r>
  <r>
    <s v="26056"/>
    <x v="173"/>
    <s v="Personnel"/>
    <s v="E "/>
    <x v="0"/>
    <x v="15"/>
    <s v="PSES Elem Prog01Duty42 S275"/>
    <x v="0"/>
    <s v="42"/>
    <n v="42"/>
    <m/>
    <s v="   "/>
    <n v="1"/>
    <n v="0.24210000000000001"/>
    <n v="0"/>
    <x v="12"/>
  </r>
  <r>
    <s v="26056"/>
    <x v="173"/>
    <s v="Personnel"/>
    <s v="M "/>
    <x v="2"/>
    <x v="17"/>
    <s v="PSES Mid Prog01Duty42 S275"/>
    <x v="0"/>
    <s v="42"/>
    <n v="42"/>
    <m/>
    <s v="   "/>
    <n v="1"/>
    <n v="0.24210000000000001"/>
    <n v="0"/>
    <x v="14"/>
  </r>
  <r>
    <s v="26056"/>
    <x v="173"/>
    <s v="Personnel"/>
    <s v="E "/>
    <x v="0"/>
    <x v="42"/>
    <s v="PSES Elem Prog01Duty44 S275"/>
    <x v="0"/>
    <s v="44"/>
    <n v="44"/>
    <m/>
    <s v="   "/>
    <n v="0.5"/>
    <n v="0.24210000000000001"/>
    <n v="0"/>
    <x v="33"/>
  </r>
  <r>
    <s v="26056"/>
    <x v="173"/>
    <s v="Personnel"/>
    <s v="H "/>
    <x v="1"/>
    <x v="44"/>
    <s v="PSES High Prog01Duty44 S275"/>
    <x v="0"/>
    <s v="44"/>
    <n v="44"/>
    <m/>
    <s v="   "/>
    <n v="1.5"/>
    <n v="0.24210000000000001"/>
    <n v="0"/>
    <x v="34"/>
  </r>
  <r>
    <s v="26056"/>
    <x v="173"/>
    <s v="Personnel"/>
    <s v="E "/>
    <x v="0"/>
    <x v="20"/>
    <s v="PSES Elem Prog21Duty45 S275"/>
    <x v="1"/>
    <s v="45"/>
    <n v="45"/>
    <m/>
    <s v="   "/>
    <n v="0.68"/>
    <n v="0.24210000000000001"/>
    <n v="0.16500000000000001"/>
    <x v="17"/>
  </r>
  <r>
    <s v="26056"/>
    <x v="173"/>
    <s v="Personnel"/>
    <s v="H "/>
    <x v="1"/>
    <x v="21"/>
    <s v="PSES High Prog21Duty45 S275"/>
    <x v="1"/>
    <s v="45"/>
    <n v="45"/>
    <m/>
    <s v="   "/>
    <n v="0.66"/>
    <n v="0.24210000000000001"/>
    <n v="0.16"/>
    <x v="18"/>
  </r>
  <r>
    <s v="26056"/>
    <x v="173"/>
    <s v="Personnel"/>
    <s v="M "/>
    <x v="2"/>
    <x v="28"/>
    <s v="PSES Mid Prog21Duty45 S275"/>
    <x v="1"/>
    <s v="45"/>
    <n v="45"/>
    <m/>
    <s v="   "/>
    <n v="0.66"/>
    <n v="0.24210000000000001"/>
    <n v="0.16"/>
    <x v="25"/>
  </r>
  <r>
    <s v="26056"/>
    <x v="173"/>
    <s v="Personnel"/>
    <s v="E "/>
    <x v="0"/>
    <x v="22"/>
    <s v="PSES Elem Prog21Duty46 S275"/>
    <x v="1"/>
    <s v="46"/>
    <n v="46"/>
    <m/>
    <s v="   "/>
    <n v="0.34"/>
    <n v="0.24210000000000001"/>
    <n v="8.2000000000000003E-2"/>
    <x v="19"/>
  </r>
  <r>
    <s v="26056"/>
    <x v="173"/>
    <s v="Personnel"/>
    <s v="H "/>
    <x v="1"/>
    <x v="23"/>
    <s v="PSES High Prog21Duty46 S275"/>
    <x v="1"/>
    <s v="46"/>
    <n v="46"/>
    <m/>
    <s v="   "/>
    <n v="0.33"/>
    <n v="0.24210000000000001"/>
    <n v="0.08"/>
    <x v="20"/>
  </r>
  <r>
    <s v="26056"/>
    <x v="173"/>
    <s v="Personnel"/>
    <s v="M "/>
    <x v="2"/>
    <x v="24"/>
    <s v="PSES Mid Prog21Duty46 S275"/>
    <x v="1"/>
    <s v="46"/>
    <n v="46"/>
    <m/>
    <s v="   "/>
    <n v="0.33"/>
    <n v="0.24210000000000001"/>
    <n v="0.08"/>
    <x v="21"/>
  </r>
  <r>
    <s v="26059"/>
    <x v="174"/>
    <s v="Personnel"/>
    <s v="E "/>
    <x v="0"/>
    <x v="3"/>
    <s v="PSES Elem Prog01Act25 S275"/>
    <x v="0"/>
    <s v="25"/>
    <m/>
    <n v="25"/>
    <s v="   "/>
    <n v="0.151"/>
    <n v="0.1951"/>
    <n v="0"/>
    <x v="3"/>
  </r>
  <r>
    <s v="26059"/>
    <x v="174"/>
    <s v="Personnel"/>
    <s v="H "/>
    <x v="1"/>
    <x v="5"/>
    <s v="PSES High Prog01Act25 S275"/>
    <x v="0"/>
    <s v="25"/>
    <m/>
    <n v="25"/>
    <s v="   "/>
    <n v="1.9410000000000001"/>
    <n v="0.1951"/>
    <n v="0"/>
    <x v="4"/>
  </r>
  <r>
    <s v="26059"/>
    <x v="174"/>
    <s v="Personnel"/>
    <s v="E "/>
    <x v="0"/>
    <x v="15"/>
    <s v="PSES Elem Prog01Duty42 S275"/>
    <x v="0"/>
    <s v="42"/>
    <n v="42"/>
    <m/>
    <s v="   "/>
    <n v="0.28799999999999998"/>
    <n v="0.1951"/>
    <n v="0"/>
    <x v="12"/>
  </r>
  <r>
    <s v="26059"/>
    <x v="174"/>
    <s v="Personnel"/>
    <s v="H "/>
    <x v="1"/>
    <x v="16"/>
    <s v="PSES High Prog01Duty42 S275"/>
    <x v="0"/>
    <s v="42"/>
    <n v="42"/>
    <m/>
    <s v="   "/>
    <n v="0.14299999999999999"/>
    <n v="0.1951"/>
    <n v="0"/>
    <x v="13"/>
  </r>
  <r>
    <s v="26059"/>
    <x v="174"/>
    <s v="Personnel"/>
    <s v="M "/>
    <x v="2"/>
    <x v="17"/>
    <s v="PSES Mid Prog01Duty42 S275"/>
    <x v="0"/>
    <s v="42"/>
    <n v="42"/>
    <m/>
    <s v="   "/>
    <n v="7.0999999999999994E-2"/>
    <n v="0.1951"/>
    <n v="0"/>
    <x v="14"/>
  </r>
  <r>
    <s v="26059"/>
    <x v="174"/>
    <s v="Personnel"/>
    <s v="E "/>
    <x v="0"/>
    <x v="18"/>
    <s v="PSES Elem Prog21Duty43 S275"/>
    <x v="1"/>
    <s v="43"/>
    <n v="43"/>
    <m/>
    <s v="   "/>
    <n v="0.8"/>
    <n v="0.1951"/>
    <n v="0.156"/>
    <x v="15"/>
  </r>
  <r>
    <s v="26059"/>
    <x v="174"/>
    <s v="Personnel"/>
    <s v="M "/>
    <x v="2"/>
    <x v="31"/>
    <s v="PSES Mid Prog21Duty43 S275"/>
    <x v="1"/>
    <s v="43"/>
    <n v="43"/>
    <m/>
    <s v="   "/>
    <n v="0.2"/>
    <n v="0.1951"/>
    <n v="3.9E-2"/>
    <x v="27"/>
  </r>
  <r>
    <s v="26059"/>
    <x v="174"/>
    <s v="Personnel"/>
    <s v="E "/>
    <x v="0"/>
    <x v="20"/>
    <s v="PSES Elem Prog21Duty45 S275"/>
    <x v="1"/>
    <s v="45"/>
    <n v="45"/>
    <m/>
    <s v="   "/>
    <n v="0.158"/>
    <n v="0.1951"/>
    <n v="3.1E-2"/>
    <x v="17"/>
  </r>
  <r>
    <s v="26059"/>
    <x v="174"/>
    <s v="Personnel"/>
    <s v="H "/>
    <x v="1"/>
    <x v="21"/>
    <s v="PSES High Prog21Duty45 S275"/>
    <x v="1"/>
    <s v="45"/>
    <n v="45"/>
    <m/>
    <s v="   "/>
    <n v="0.158"/>
    <n v="0.1951"/>
    <n v="3.1E-2"/>
    <x v="18"/>
  </r>
  <r>
    <s v="26070"/>
    <x v="175"/>
    <s v="Personnel"/>
    <s v="H "/>
    <x v="1"/>
    <x v="9"/>
    <s v="PSES High Prog01Act26 S275"/>
    <x v="0"/>
    <s v="26"/>
    <m/>
    <n v="26"/>
    <s v="   "/>
    <n v="0.14699999999999999"/>
    <n v="0.182"/>
    <n v="0"/>
    <x v="7"/>
  </r>
  <r>
    <s v="26070"/>
    <x v="175"/>
    <s v="Personnel"/>
    <s v="M "/>
    <x v="2"/>
    <x v="11"/>
    <s v="PSES Mid Prog01Act26 S275"/>
    <x v="0"/>
    <s v="26"/>
    <m/>
    <n v="26"/>
    <s v="   "/>
    <n v="4.3999999999999997E-2"/>
    <n v="0.182"/>
    <n v="0"/>
    <x v="8"/>
  </r>
  <r>
    <s v="26070"/>
    <x v="175"/>
    <s v="Personnel"/>
    <s v="H "/>
    <x v="1"/>
    <x v="12"/>
    <s v="PSES High Prog97Act35 S275"/>
    <x v="2"/>
    <s v="35"/>
    <m/>
    <n v="35"/>
    <s v="   "/>
    <n v="0.38500000000000001"/>
    <n v="0.182"/>
    <n v="0"/>
    <x v="9"/>
  </r>
  <r>
    <s v="26070"/>
    <x v="175"/>
    <s v="Personnel"/>
    <s v="E "/>
    <x v="0"/>
    <x v="20"/>
    <s v="PSES Elem Prog21Duty45 S275"/>
    <x v="1"/>
    <s v="45"/>
    <n v="45"/>
    <m/>
    <s v="   "/>
    <n v="0.92"/>
    <n v="0.182"/>
    <n v="0.16700000000000001"/>
    <x v="17"/>
  </r>
  <r>
    <s v="26070"/>
    <x v="175"/>
    <s v="Personnel"/>
    <s v="E "/>
    <x v="0"/>
    <x v="22"/>
    <s v="PSES Elem Prog21Duty46 S275"/>
    <x v="1"/>
    <s v="46"/>
    <n v="46"/>
    <m/>
    <s v="   "/>
    <n v="0.34200000000000003"/>
    <n v="0.182"/>
    <n v="6.2E-2"/>
    <x v="19"/>
  </r>
  <r>
    <s v="26070"/>
    <x v="175"/>
    <s v="Personnel"/>
    <s v="E "/>
    <x v="0"/>
    <x v="27"/>
    <s v="PSES Elem Prog01Duty47 S275"/>
    <x v="0"/>
    <s v="47"/>
    <n v="47"/>
    <m/>
    <s v="   "/>
    <n v="0.499"/>
    <n v="0.182"/>
    <n v="0"/>
    <x v="24"/>
  </r>
  <r>
    <s v="26070"/>
    <x v="175"/>
    <s v="Personnel"/>
    <s v="H "/>
    <x v="1"/>
    <x v="25"/>
    <s v="PSES High Prog01Duty47 S275"/>
    <x v="0"/>
    <s v="47"/>
    <n v="47"/>
    <m/>
    <s v="   "/>
    <n v="0.28999999999999998"/>
    <n v="0.182"/>
    <n v="0"/>
    <x v="22"/>
  </r>
  <r>
    <s v="26070"/>
    <x v="175"/>
    <s v="Personnel"/>
    <s v="M "/>
    <x v="2"/>
    <x v="34"/>
    <s v="PSES Mid Prog01Duty47 S275"/>
    <x v="0"/>
    <s v="47"/>
    <n v="47"/>
    <m/>
    <s v="   "/>
    <n v="0.21099999999999999"/>
    <n v="0.182"/>
    <n v="0"/>
    <x v="28"/>
  </r>
  <r>
    <s v="27001"/>
    <x v="176"/>
    <s v="Personnel"/>
    <s v="H "/>
    <x v="1"/>
    <x v="53"/>
    <s v="PSES High Prog97Act25 S275"/>
    <x v="2"/>
    <s v="25"/>
    <m/>
    <n v="25"/>
    <s v="   "/>
    <n v="0.2"/>
    <n v="0.2147"/>
    <n v="0"/>
    <x v="4"/>
  </r>
  <r>
    <s v="27001"/>
    <x v="176"/>
    <s v="Personnel"/>
    <s v="H "/>
    <x v="1"/>
    <x v="9"/>
    <s v="PSES High Prog01Act26 S275"/>
    <x v="0"/>
    <s v="26"/>
    <m/>
    <n v="26"/>
    <s v="   "/>
    <n v="4.4909999999999997"/>
    <n v="0.2147"/>
    <n v="0"/>
    <x v="7"/>
  </r>
  <r>
    <s v="27001"/>
    <x v="176"/>
    <s v="Personnel"/>
    <s v="H "/>
    <x v="1"/>
    <x v="54"/>
    <s v="PSES High Prog01Act35 S275"/>
    <x v="0"/>
    <s v="35"/>
    <m/>
    <n v="35"/>
    <s v="   "/>
    <n v="1.462"/>
    <n v="0.2147"/>
    <n v="0"/>
    <x v="9"/>
  </r>
  <r>
    <s v="27001"/>
    <x v="176"/>
    <s v="Personnel"/>
    <s v="E "/>
    <x v="0"/>
    <x v="15"/>
    <s v="PSES Elem Prog01Duty42 S275"/>
    <x v="0"/>
    <s v="42"/>
    <n v="42"/>
    <m/>
    <s v="   "/>
    <n v="3"/>
    <n v="0.2147"/>
    <n v="0"/>
    <x v="12"/>
  </r>
  <r>
    <s v="27001"/>
    <x v="176"/>
    <s v="Personnel"/>
    <s v="H "/>
    <x v="1"/>
    <x v="16"/>
    <s v="PSES High Prog01Duty42 S275"/>
    <x v="0"/>
    <s v="42"/>
    <n v="42"/>
    <m/>
    <s v="   "/>
    <n v="3"/>
    <n v="0.2147"/>
    <n v="0"/>
    <x v="13"/>
  </r>
  <r>
    <s v="27001"/>
    <x v="176"/>
    <s v="Personnel"/>
    <s v="M "/>
    <x v="2"/>
    <x v="17"/>
    <s v="PSES Mid Prog01Duty42 S275"/>
    <x v="0"/>
    <s v="42"/>
    <n v="42"/>
    <m/>
    <s v="   "/>
    <n v="1"/>
    <n v="0.2147"/>
    <n v="0"/>
    <x v="14"/>
  </r>
  <r>
    <s v="27001"/>
    <x v="176"/>
    <s v="Personnel"/>
    <s v="E "/>
    <x v="0"/>
    <x v="18"/>
    <s v="PSES Elem Prog21Duty43 S275"/>
    <x v="1"/>
    <s v="43"/>
    <n v="43"/>
    <m/>
    <s v="   "/>
    <n v="1.59"/>
    <n v="0.2147"/>
    <n v="0.34100000000000003"/>
    <x v="15"/>
  </r>
  <r>
    <s v="27001"/>
    <x v="176"/>
    <s v="Personnel"/>
    <s v="H "/>
    <x v="1"/>
    <x v="19"/>
    <s v="PSES High Prog21Duty43 S275"/>
    <x v="1"/>
    <s v="43"/>
    <n v="43"/>
    <m/>
    <s v="   "/>
    <n v="0.25"/>
    <n v="0.2147"/>
    <n v="5.3999999999999999E-2"/>
    <x v="16"/>
  </r>
  <r>
    <s v="27001"/>
    <x v="176"/>
    <s v="Personnel"/>
    <s v="M "/>
    <x v="2"/>
    <x v="31"/>
    <s v="PSES Mid Prog21Duty43 S275"/>
    <x v="1"/>
    <s v="43"/>
    <n v="43"/>
    <m/>
    <s v="   "/>
    <n v="0.16"/>
    <n v="0.2147"/>
    <n v="3.4000000000000002E-2"/>
    <x v="27"/>
  </r>
  <r>
    <s v="27001"/>
    <x v="176"/>
    <s v="Personnel"/>
    <s v="E "/>
    <x v="0"/>
    <x v="42"/>
    <s v="PSES Elem Prog01Duty44 S275"/>
    <x v="0"/>
    <s v="44"/>
    <n v="44"/>
    <m/>
    <s v="   "/>
    <n v="1"/>
    <n v="0.2147"/>
    <n v="0"/>
    <x v="33"/>
  </r>
  <r>
    <s v="27001"/>
    <x v="176"/>
    <s v="Personnel"/>
    <s v="E "/>
    <x v="0"/>
    <x v="20"/>
    <s v="PSES Elem Prog21Duty45 S275"/>
    <x v="1"/>
    <s v="45"/>
    <n v="45"/>
    <m/>
    <s v="   "/>
    <n v="3.7"/>
    <n v="0.2147"/>
    <n v="0.79400000000000004"/>
    <x v="17"/>
  </r>
  <r>
    <s v="27001"/>
    <x v="176"/>
    <s v="Personnel"/>
    <s v="H "/>
    <x v="1"/>
    <x v="21"/>
    <s v="PSES High Prog21Duty45 S275"/>
    <x v="1"/>
    <s v="45"/>
    <n v="45"/>
    <m/>
    <s v="   "/>
    <n v="0.5"/>
    <n v="0.2147"/>
    <n v="0.107"/>
    <x v="18"/>
  </r>
  <r>
    <s v="27001"/>
    <x v="176"/>
    <s v="Personnel"/>
    <s v="M "/>
    <x v="2"/>
    <x v="28"/>
    <s v="PSES Mid Prog21Duty45 S275"/>
    <x v="1"/>
    <s v="45"/>
    <n v="45"/>
    <m/>
    <s v="   "/>
    <n v="0.4"/>
    <n v="0.2147"/>
    <n v="8.5999999999999993E-2"/>
    <x v="25"/>
  </r>
  <r>
    <s v="27001"/>
    <x v="176"/>
    <s v="Personnel"/>
    <s v="E "/>
    <x v="0"/>
    <x v="22"/>
    <s v="PSES Elem Prog21Duty46 S275"/>
    <x v="1"/>
    <s v="46"/>
    <n v="46"/>
    <m/>
    <s v="   "/>
    <n v="2.855"/>
    <n v="0.2147"/>
    <n v="0.61299999999999999"/>
    <x v="19"/>
  </r>
  <r>
    <s v="27001"/>
    <x v="176"/>
    <s v="Personnel"/>
    <s v="H "/>
    <x v="1"/>
    <x v="23"/>
    <s v="PSES High Prog21Duty46 S275"/>
    <x v="1"/>
    <s v="46"/>
    <n v="46"/>
    <m/>
    <s v="   "/>
    <n v="0.5"/>
    <n v="0.2147"/>
    <n v="0.107"/>
    <x v="20"/>
  </r>
  <r>
    <s v="27001"/>
    <x v="176"/>
    <s v="Personnel"/>
    <s v="M "/>
    <x v="2"/>
    <x v="24"/>
    <s v="PSES Mid Prog21Duty46 S275"/>
    <x v="1"/>
    <s v="46"/>
    <n v="46"/>
    <m/>
    <s v="   "/>
    <n v="0.245"/>
    <n v="0.2147"/>
    <n v="5.2999999999999999E-2"/>
    <x v="21"/>
  </r>
  <r>
    <s v="27001"/>
    <x v="176"/>
    <s v="Personnel"/>
    <s v="E "/>
    <x v="0"/>
    <x v="27"/>
    <s v="PSES Elem Prog01Duty47 S275"/>
    <x v="0"/>
    <s v="47"/>
    <n v="47"/>
    <m/>
    <s v="   "/>
    <n v="0.6"/>
    <n v="0.2147"/>
    <n v="0"/>
    <x v="24"/>
  </r>
  <r>
    <s v="27001"/>
    <x v="176"/>
    <s v="Personnel"/>
    <s v="H "/>
    <x v="1"/>
    <x v="25"/>
    <s v="PSES High Prog01Duty47 S275"/>
    <x v="0"/>
    <s v="47"/>
    <n v="47"/>
    <m/>
    <s v="   "/>
    <n v="0.2"/>
    <n v="0.2147"/>
    <n v="0"/>
    <x v="22"/>
  </r>
  <r>
    <s v="27001"/>
    <x v="176"/>
    <s v="Personnel"/>
    <s v="M "/>
    <x v="2"/>
    <x v="34"/>
    <s v="PSES Mid Prog01Duty47 S275"/>
    <x v="0"/>
    <s v="47"/>
    <n v="47"/>
    <m/>
    <s v="   "/>
    <n v="0.2"/>
    <n v="0.2147"/>
    <n v="0"/>
    <x v="28"/>
  </r>
  <r>
    <s v="27001"/>
    <x v="176"/>
    <s v="Personnel"/>
    <s v="E "/>
    <x v="0"/>
    <x v="35"/>
    <s v="PSES Elem Prog21Duty48 S275"/>
    <x v="1"/>
    <s v="48"/>
    <n v="48"/>
    <m/>
    <s v="   "/>
    <n v="0.25"/>
    <n v="0.2147"/>
    <n v="5.3999999999999999E-2"/>
    <x v="29"/>
  </r>
  <r>
    <s v="27001"/>
    <x v="176"/>
    <s v="Personnel"/>
    <s v="H "/>
    <x v="1"/>
    <x v="36"/>
    <s v="PSES High Prog21Duty48 S275"/>
    <x v="1"/>
    <s v="48"/>
    <n v="48"/>
    <m/>
    <s v="   "/>
    <n v="0.125"/>
    <n v="0.2147"/>
    <n v="2.7E-2"/>
    <x v="30"/>
  </r>
  <r>
    <s v="27001"/>
    <x v="176"/>
    <s v="Personnel"/>
    <s v="M "/>
    <x v="2"/>
    <x v="37"/>
    <s v="PSES Mid Prog21Duty48 S275"/>
    <x v="1"/>
    <s v="48"/>
    <n v="48"/>
    <m/>
    <s v="   "/>
    <n v="0.125"/>
    <n v="0.2147"/>
    <n v="2.7E-2"/>
    <x v="31"/>
  </r>
  <r>
    <s v="27003"/>
    <x v="177"/>
    <s v="Personnel"/>
    <s v="H "/>
    <x v="1"/>
    <x v="86"/>
    <s v="PSES High Prog21Duty96 S275"/>
    <x v="1"/>
    <s v="24"/>
    <n v="96"/>
    <n v="24"/>
    <s v="   "/>
    <n v="3.1949999999999998"/>
    <n v="0.30399999999999999"/>
    <n v="0.97099999999999997"/>
    <x v="1"/>
  </r>
  <r>
    <s v="27003"/>
    <x v="177"/>
    <s v="Personnel"/>
    <s v="H "/>
    <x v="1"/>
    <x v="4"/>
    <s v="PSES High Prog21Act25 S275"/>
    <x v="1"/>
    <s v="25"/>
    <m/>
    <n v="25"/>
    <s v="   "/>
    <n v="1.51"/>
    <n v="0.30399999999999999"/>
    <n v="0.45900000000000002"/>
    <x v="4"/>
  </r>
  <r>
    <s v="27003"/>
    <x v="177"/>
    <s v="Personnel"/>
    <s v="H "/>
    <x v="1"/>
    <x v="5"/>
    <s v="PSES High Prog01Act25 S275"/>
    <x v="0"/>
    <s v="25"/>
    <m/>
    <n v="25"/>
    <s v="   "/>
    <n v="48.835999999999999"/>
    <n v="0.30399999999999999"/>
    <n v="0"/>
    <x v="4"/>
  </r>
  <r>
    <s v="27003"/>
    <x v="177"/>
    <s v="Personnel"/>
    <s v="H "/>
    <x v="1"/>
    <x v="29"/>
    <s v="PSES High Prog21Act26 S275"/>
    <x v="1"/>
    <s v="26"/>
    <m/>
    <n v="26"/>
    <s v="   "/>
    <n v="5.883"/>
    <n v="0.30399999999999999"/>
    <n v="1.788"/>
    <x v="7"/>
  </r>
  <r>
    <s v="27003"/>
    <x v="177"/>
    <s v="Personnel"/>
    <s v="H "/>
    <x v="1"/>
    <x v="9"/>
    <s v="PSES High Prog01Act26 S275"/>
    <x v="0"/>
    <s v="26"/>
    <m/>
    <n v="26"/>
    <s v="   "/>
    <n v="10.586"/>
    <n v="0.30399999999999999"/>
    <n v="0"/>
    <x v="7"/>
  </r>
  <r>
    <s v="27003"/>
    <x v="177"/>
    <s v="Personnel"/>
    <s v="H "/>
    <x v="1"/>
    <x v="87"/>
    <s v="PSES High Prog21Act35 S275"/>
    <x v="1"/>
    <s v="35"/>
    <m/>
    <n v="35"/>
    <s v="   "/>
    <n v="0.188"/>
    <n v="0.30399999999999999"/>
    <n v="5.7000000000000002E-2"/>
    <x v="9"/>
  </r>
  <r>
    <s v="27003"/>
    <x v="177"/>
    <s v="Personnel"/>
    <s v="H "/>
    <x v="1"/>
    <x v="54"/>
    <s v="PSES High Prog01Act35 S275"/>
    <x v="0"/>
    <s v="35"/>
    <m/>
    <n v="35"/>
    <s v="   "/>
    <n v="10.781000000000001"/>
    <n v="0.30399999999999999"/>
    <n v="0"/>
    <x v="9"/>
  </r>
  <r>
    <s v="27003"/>
    <x v="177"/>
    <s v="Personnel"/>
    <s v="E "/>
    <x v="0"/>
    <x v="14"/>
    <s v="PSES Elem Prog21Duty39 S275"/>
    <x v="1"/>
    <s v="39"/>
    <n v="39"/>
    <m/>
    <s v="   "/>
    <n v="2.331"/>
    <n v="0.30399999999999999"/>
    <n v="0.70899999999999996"/>
    <x v="11"/>
  </r>
  <r>
    <s v="27003"/>
    <x v="177"/>
    <s v="Personnel"/>
    <s v="H "/>
    <x v="1"/>
    <x v="83"/>
    <s v="PSES High Prog21Duty39 S275"/>
    <x v="1"/>
    <s v="39"/>
    <n v="39"/>
    <m/>
    <s v="   "/>
    <n v="0.33600000000000002"/>
    <n v="0.30399999999999999"/>
    <n v="0.10199999999999999"/>
    <x v="44"/>
  </r>
  <r>
    <s v="27003"/>
    <x v="177"/>
    <s v="Personnel"/>
    <s v="M "/>
    <x v="2"/>
    <x v="88"/>
    <s v="PSES Mid Prog21Duty39 S275"/>
    <x v="1"/>
    <s v="39"/>
    <n v="39"/>
    <m/>
    <s v="   "/>
    <n v="0.33300000000000002"/>
    <n v="0.30399999999999999"/>
    <n v="0.10100000000000001"/>
    <x v="47"/>
  </r>
  <r>
    <s v="27003"/>
    <x v="177"/>
    <s v="Personnel"/>
    <s v="E "/>
    <x v="0"/>
    <x v="15"/>
    <s v="PSES Elem Prog01Duty42 S275"/>
    <x v="0"/>
    <s v="42"/>
    <n v="42"/>
    <m/>
    <s v="   "/>
    <n v="23.74"/>
    <n v="0.30399999999999999"/>
    <n v="0"/>
    <x v="12"/>
  </r>
  <r>
    <s v="27003"/>
    <x v="177"/>
    <s v="Personnel"/>
    <s v="H "/>
    <x v="1"/>
    <x v="16"/>
    <s v="PSES High Prog01Duty42 S275"/>
    <x v="0"/>
    <s v="42"/>
    <n v="42"/>
    <m/>
    <s v="   "/>
    <n v="19.404"/>
    <n v="0.30399999999999999"/>
    <n v="0"/>
    <x v="13"/>
  </r>
  <r>
    <s v="27003"/>
    <x v="177"/>
    <s v="Personnel"/>
    <s v="M "/>
    <x v="2"/>
    <x v="17"/>
    <s v="PSES Mid Prog01Duty42 S275"/>
    <x v="0"/>
    <s v="42"/>
    <n v="42"/>
    <m/>
    <s v="   "/>
    <n v="8.4559999999999995"/>
    <n v="0.30399999999999999"/>
    <n v="0"/>
    <x v="14"/>
  </r>
  <r>
    <s v="27003"/>
    <x v="177"/>
    <s v="Personnel"/>
    <s v="E "/>
    <x v="0"/>
    <x v="18"/>
    <s v="PSES Elem Prog21Duty43 S275"/>
    <x v="1"/>
    <s v="43"/>
    <n v="43"/>
    <m/>
    <s v="   "/>
    <n v="5.8979999999999997"/>
    <n v="0.30399999999999999"/>
    <n v="1.7929999999999999"/>
    <x v="15"/>
  </r>
  <r>
    <s v="27003"/>
    <x v="177"/>
    <s v="Personnel"/>
    <s v="H "/>
    <x v="1"/>
    <x v="19"/>
    <s v="PSES High Prog21Duty43 S275"/>
    <x v="1"/>
    <s v="43"/>
    <n v="43"/>
    <m/>
    <s v="   "/>
    <n v="3.6219999999999999"/>
    <n v="0.30399999999999999"/>
    <n v="1.101"/>
    <x v="16"/>
  </r>
  <r>
    <s v="27003"/>
    <x v="177"/>
    <s v="Personnel"/>
    <s v="M "/>
    <x v="2"/>
    <x v="31"/>
    <s v="PSES Mid Prog21Duty43 S275"/>
    <x v="1"/>
    <s v="43"/>
    <n v="43"/>
    <m/>
    <s v="   "/>
    <n v="1.68"/>
    <n v="0.30399999999999999"/>
    <n v="0.51100000000000001"/>
    <x v="27"/>
  </r>
  <r>
    <s v="27003"/>
    <x v="177"/>
    <s v="Personnel"/>
    <s v="E "/>
    <x v="0"/>
    <x v="41"/>
    <s v="PSES Elem Prog21Duty44 S275"/>
    <x v="1"/>
    <s v="44"/>
    <n v="44"/>
    <m/>
    <s v="   "/>
    <n v="0.54"/>
    <n v="0.30399999999999999"/>
    <n v="0.16400000000000001"/>
    <x v="33"/>
  </r>
  <r>
    <s v="27003"/>
    <x v="177"/>
    <s v="Personnel"/>
    <s v="H "/>
    <x v="1"/>
    <x v="43"/>
    <s v="PSES High Prog21Duty44 S275"/>
    <x v="1"/>
    <s v="44"/>
    <n v="44"/>
    <m/>
    <s v="   "/>
    <n v="0.31"/>
    <n v="0.30399999999999999"/>
    <n v="9.4E-2"/>
    <x v="34"/>
  </r>
  <r>
    <s v="27003"/>
    <x v="177"/>
    <s v="Personnel"/>
    <s v="M "/>
    <x v="2"/>
    <x v="45"/>
    <s v="PSES Mid Prog21Duty44 S275"/>
    <x v="1"/>
    <s v="44"/>
    <n v="44"/>
    <m/>
    <s v="   "/>
    <n v="0.15"/>
    <n v="0.30399999999999999"/>
    <n v="4.5999999999999999E-2"/>
    <x v="35"/>
  </r>
  <r>
    <s v="27003"/>
    <x v="177"/>
    <s v="Personnel"/>
    <s v="E "/>
    <x v="0"/>
    <x v="20"/>
    <s v="PSES Elem Prog21Duty45 S275"/>
    <x v="1"/>
    <s v="45"/>
    <n v="45"/>
    <m/>
    <s v="   "/>
    <n v="15.39"/>
    <n v="0.30399999999999999"/>
    <n v="4.6790000000000003"/>
    <x v="17"/>
  </r>
  <r>
    <s v="27003"/>
    <x v="177"/>
    <s v="Personnel"/>
    <s v="E "/>
    <x v="0"/>
    <x v="47"/>
    <s v="PSES Elem Prog01Duty45 S275"/>
    <x v="0"/>
    <s v="45"/>
    <n v="45"/>
    <m/>
    <s v="   "/>
    <n v="0.2"/>
    <n v="0.30399999999999999"/>
    <n v="0"/>
    <x v="17"/>
  </r>
  <r>
    <s v="27003"/>
    <x v="177"/>
    <s v="Personnel"/>
    <s v="H "/>
    <x v="1"/>
    <x v="21"/>
    <s v="PSES High Prog21Duty45 S275"/>
    <x v="1"/>
    <s v="45"/>
    <n v="45"/>
    <m/>
    <s v="   "/>
    <n v="8.8350000000000009"/>
    <n v="0.30399999999999999"/>
    <n v="2.6859999999999999"/>
    <x v="18"/>
  </r>
  <r>
    <s v="27003"/>
    <x v="177"/>
    <s v="Personnel"/>
    <s v="M "/>
    <x v="2"/>
    <x v="28"/>
    <s v="PSES Mid Prog21Duty45 S275"/>
    <x v="1"/>
    <s v="45"/>
    <n v="45"/>
    <m/>
    <s v="   "/>
    <n v="4.2750000000000004"/>
    <n v="0.30399999999999999"/>
    <n v="1.3"/>
    <x v="25"/>
  </r>
  <r>
    <s v="27003"/>
    <x v="177"/>
    <s v="Personnel"/>
    <s v="E "/>
    <x v="0"/>
    <x v="22"/>
    <s v="PSES Elem Prog21Duty46 S275"/>
    <x v="1"/>
    <s v="46"/>
    <n v="46"/>
    <m/>
    <s v="   "/>
    <n v="13.068"/>
    <n v="0.30399999999999999"/>
    <n v="3.9729999999999999"/>
    <x v="19"/>
  </r>
  <r>
    <s v="27003"/>
    <x v="177"/>
    <s v="Personnel"/>
    <s v="H "/>
    <x v="1"/>
    <x v="23"/>
    <s v="PSES High Prog21Duty46 S275"/>
    <x v="1"/>
    <s v="46"/>
    <n v="46"/>
    <m/>
    <s v="   "/>
    <n v="7.5019999999999998"/>
    <n v="0.30399999999999999"/>
    <n v="2.2810000000000001"/>
    <x v="20"/>
  </r>
  <r>
    <s v="27003"/>
    <x v="177"/>
    <s v="Personnel"/>
    <s v="M "/>
    <x v="2"/>
    <x v="24"/>
    <s v="PSES Mid Prog21Duty46 S275"/>
    <x v="1"/>
    <s v="46"/>
    <n v="46"/>
    <m/>
    <s v="   "/>
    <n v="3.63"/>
    <n v="0.30399999999999999"/>
    <n v="1.1040000000000001"/>
    <x v="21"/>
  </r>
  <r>
    <s v="27003"/>
    <x v="177"/>
    <s v="Personnel"/>
    <s v="E "/>
    <x v="0"/>
    <x v="27"/>
    <s v="PSES Elem Prog01Duty47 S275"/>
    <x v="0"/>
    <s v="47"/>
    <n v="47"/>
    <m/>
    <s v="   "/>
    <n v="9.36"/>
    <n v="0.30399999999999999"/>
    <n v="0"/>
    <x v="24"/>
  </r>
  <r>
    <s v="27003"/>
    <x v="177"/>
    <s v="Personnel"/>
    <s v="H "/>
    <x v="1"/>
    <x v="25"/>
    <s v="PSES High Prog01Duty47 S275"/>
    <x v="0"/>
    <s v="47"/>
    <n v="47"/>
    <m/>
    <s v="   "/>
    <n v="4.6929999999999996"/>
    <n v="0.30399999999999999"/>
    <n v="0"/>
    <x v="22"/>
  </r>
  <r>
    <s v="27003"/>
    <x v="177"/>
    <s v="Personnel"/>
    <s v="M "/>
    <x v="2"/>
    <x v="34"/>
    <s v="PSES Mid Prog01Duty47 S275"/>
    <x v="0"/>
    <s v="47"/>
    <n v="47"/>
    <m/>
    <s v="   "/>
    <n v="2.4470000000000001"/>
    <n v="0.30399999999999999"/>
    <n v="0"/>
    <x v="28"/>
  </r>
  <r>
    <s v="27003"/>
    <x v="177"/>
    <s v="Personnel"/>
    <s v="E "/>
    <x v="0"/>
    <x v="35"/>
    <s v="PSES Elem Prog21Duty48 S275"/>
    <x v="1"/>
    <s v="48"/>
    <n v="48"/>
    <m/>
    <s v="   "/>
    <n v="1.62"/>
    <n v="0.30399999999999999"/>
    <n v="0.49199999999999999"/>
    <x v="29"/>
  </r>
  <r>
    <s v="27003"/>
    <x v="177"/>
    <s v="Personnel"/>
    <s v="H "/>
    <x v="1"/>
    <x v="36"/>
    <s v="PSES High Prog21Duty48 S275"/>
    <x v="1"/>
    <s v="48"/>
    <n v="48"/>
    <m/>
    <s v="   "/>
    <n v="0.93"/>
    <n v="0.30399999999999999"/>
    <n v="0.28299999999999997"/>
    <x v="30"/>
  </r>
  <r>
    <s v="27003"/>
    <x v="177"/>
    <s v="Personnel"/>
    <s v="M "/>
    <x v="2"/>
    <x v="37"/>
    <s v="PSES Mid Prog21Duty48 S275"/>
    <x v="1"/>
    <s v="48"/>
    <n v="48"/>
    <m/>
    <s v="   "/>
    <n v="0.45"/>
    <n v="0.30399999999999999"/>
    <n v="0.13700000000000001"/>
    <x v="31"/>
  </r>
  <r>
    <s v="27003"/>
    <x v="177"/>
    <s v="Personnel"/>
    <s v="E "/>
    <x v="0"/>
    <x v="26"/>
    <s v="PSES Elem Prog21Duty49 S275"/>
    <x v="1"/>
    <s v="49"/>
    <n v="49"/>
    <m/>
    <s v="   "/>
    <n v="2.7"/>
    <n v="0.30399999999999999"/>
    <n v="0.82099999999999995"/>
    <x v="23"/>
  </r>
  <r>
    <s v="27003"/>
    <x v="177"/>
    <s v="Personnel"/>
    <s v="H "/>
    <x v="1"/>
    <x v="55"/>
    <s v="PSES High Prog21Duty49 S275"/>
    <x v="1"/>
    <s v="49"/>
    <n v="49"/>
    <m/>
    <s v="   "/>
    <n v="1.55"/>
    <n v="0.30399999999999999"/>
    <n v="0.47099999999999997"/>
    <x v="37"/>
  </r>
  <r>
    <s v="27003"/>
    <x v="177"/>
    <s v="Personnel"/>
    <s v="M "/>
    <x v="2"/>
    <x v="50"/>
    <s v="PSES Mid Prog21Duty49 S275"/>
    <x v="1"/>
    <s v="49"/>
    <n v="49"/>
    <m/>
    <s v="   "/>
    <n v="0.75"/>
    <n v="0.30399999999999999"/>
    <n v="0.22800000000000001"/>
    <x v="36"/>
  </r>
  <r>
    <s v="27010"/>
    <x v="178"/>
    <s v="Personnel"/>
    <s v="E "/>
    <x v="0"/>
    <x v="71"/>
    <s v="PSES Elem Prog97Act25 S275"/>
    <x v="2"/>
    <s v="25"/>
    <m/>
    <n v="25"/>
    <s v="   "/>
    <n v="1.3"/>
    <n v="0.27760000000000001"/>
    <n v="0"/>
    <x v="3"/>
  </r>
  <r>
    <s v="27010"/>
    <x v="178"/>
    <s v="Personnel"/>
    <s v="E "/>
    <x v="0"/>
    <x v="3"/>
    <s v="PSES Elem Prog01Act25 S275"/>
    <x v="0"/>
    <s v="25"/>
    <m/>
    <n v="25"/>
    <s v="   "/>
    <n v="23.221"/>
    <n v="0.27760000000000001"/>
    <n v="0"/>
    <x v="3"/>
  </r>
  <r>
    <s v="27010"/>
    <x v="178"/>
    <s v="Personnel"/>
    <s v="H "/>
    <x v="1"/>
    <x v="4"/>
    <s v="PSES High Prog21Act25 S275"/>
    <x v="1"/>
    <s v="25"/>
    <m/>
    <n v="25"/>
    <s v="   "/>
    <n v="6.72"/>
    <n v="0.27760000000000001"/>
    <n v="1.865"/>
    <x v="4"/>
  </r>
  <r>
    <s v="27010"/>
    <x v="178"/>
    <s v="Personnel"/>
    <s v="E "/>
    <x v="0"/>
    <x v="8"/>
    <s v="PSES Elem Prog01Act26 S275"/>
    <x v="0"/>
    <s v="26"/>
    <m/>
    <n v="26"/>
    <s v="   "/>
    <n v="16.109000000000002"/>
    <n v="0.27760000000000001"/>
    <n v="0"/>
    <x v="6"/>
  </r>
  <r>
    <s v="27010"/>
    <x v="178"/>
    <s v="Personnel"/>
    <s v="H "/>
    <x v="1"/>
    <x v="29"/>
    <s v="PSES High Prog21Act26 S275"/>
    <x v="1"/>
    <s v="26"/>
    <m/>
    <n v="26"/>
    <s v="   "/>
    <n v="5.944"/>
    <n v="0.27760000000000001"/>
    <n v="1.65"/>
    <x v="7"/>
  </r>
  <r>
    <s v="27010"/>
    <x v="178"/>
    <s v="Personnel"/>
    <s v="E "/>
    <x v="0"/>
    <x v="15"/>
    <s v="PSES Elem Prog01Duty42 S275"/>
    <x v="0"/>
    <s v="42"/>
    <n v="42"/>
    <m/>
    <s v="   "/>
    <n v="47.741999999999997"/>
    <n v="0.27760000000000001"/>
    <n v="0"/>
    <x v="12"/>
  </r>
  <r>
    <s v="27010"/>
    <x v="178"/>
    <s v="Personnel"/>
    <s v="H "/>
    <x v="1"/>
    <x v="16"/>
    <s v="PSES High Prog01Duty42 S275"/>
    <x v="0"/>
    <s v="42"/>
    <n v="42"/>
    <m/>
    <s v="   "/>
    <n v="21"/>
    <n v="0.27760000000000001"/>
    <n v="0"/>
    <x v="13"/>
  </r>
  <r>
    <s v="27010"/>
    <x v="178"/>
    <s v="Personnel"/>
    <s v="M "/>
    <x v="2"/>
    <x v="17"/>
    <s v="PSES Mid Prog01Duty42 S275"/>
    <x v="0"/>
    <s v="42"/>
    <n v="42"/>
    <m/>
    <s v="   "/>
    <n v="13.438000000000001"/>
    <n v="0.27760000000000001"/>
    <n v="0"/>
    <x v="14"/>
  </r>
  <r>
    <s v="27010"/>
    <x v="178"/>
    <s v="Personnel"/>
    <s v="E "/>
    <x v="0"/>
    <x v="18"/>
    <s v="PSES Elem Prog21Duty43 S275"/>
    <x v="1"/>
    <s v="43"/>
    <n v="43"/>
    <m/>
    <s v="   "/>
    <n v="10.9"/>
    <n v="0.27760000000000001"/>
    <n v="3.0259999999999998"/>
    <x v="15"/>
  </r>
  <r>
    <s v="27010"/>
    <x v="178"/>
    <s v="Personnel"/>
    <s v="H "/>
    <x v="1"/>
    <x v="19"/>
    <s v="PSES High Prog21Duty43 S275"/>
    <x v="1"/>
    <s v="43"/>
    <n v="43"/>
    <m/>
    <s v="   "/>
    <n v="7.27"/>
    <n v="0.27760000000000001"/>
    <n v="2.0179999999999998"/>
    <x v="16"/>
  </r>
  <r>
    <s v="27010"/>
    <x v="178"/>
    <s v="Personnel"/>
    <s v="M "/>
    <x v="2"/>
    <x v="31"/>
    <s v="PSES Mid Prog21Duty43 S275"/>
    <x v="1"/>
    <s v="43"/>
    <n v="43"/>
    <m/>
    <s v="   "/>
    <n v="3.03"/>
    <n v="0.27760000000000001"/>
    <n v="0.84099999999999997"/>
    <x v="27"/>
  </r>
  <r>
    <s v="27010"/>
    <x v="178"/>
    <s v="Personnel"/>
    <s v="E "/>
    <x v="0"/>
    <x v="42"/>
    <s v="PSES Elem Prog01Duty44 S275"/>
    <x v="0"/>
    <s v="44"/>
    <n v="44"/>
    <m/>
    <s v="   "/>
    <n v="0.4"/>
    <n v="0.27760000000000001"/>
    <n v="0"/>
    <x v="33"/>
  </r>
  <r>
    <s v="27010"/>
    <x v="178"/>
    <s v="Personnel"/>
    <s v="H "/>
    <x v="1"/>
    <x v="44"/>
    <s v="PSES High Prog01Duty44 S275"/>
    <x v="0"/>
    <s v="44"/>
    <n v="44"/>
    <m/>
    <s v="   "/>
    <n v="3"/>
    <n v="0.27760000000000001"/>
    <n v="0"/>
    <x v="34"/>
  </r>
  <r>
    <s v="27010"/>
    <x v="178"/>
    <s v="Personnel"/>
    <s v="E "/>
    <x v="0"/>
    <x v="20"/>
    <s v="PSES Elem Prog21Duty45 S275"/>
    <x v="1"/>
    <s v="45"/>
    <n v="45"/>
    <m/>
    <s v="   "/>
    <n v="26.516999999999999"/>
    <n v="0.27760000000000001"/>
    <n v="7.3609999999999998"/>
    <x v="17"/>
  </r>
  <r>
    <s v="27010"/>
    <x v="178"/>
    <s v="Personnel"/>
    <s v="H "/>
    <x v="1"/>
    <x v="21"/>
    <s v="PSES High Prog21Duty45 S275"/>
    <x v="1"/>
    <s v="45"/>
    <n v="45"/>
    <m/>
    <s v="   "/>
    <n v="17.693000000000001"/>
    <n v="0.27760000000000001"/>
    <n v="4.9119999999999999"/>
    <x v="18"/>
  </r>
  <r>
    <s v="27010"/>
    <x v="178"/>
    <s v="Personnel"/>
    <s v="M "/>
    <x v="2"/>
    <x v="28"/>
    <s v="PSES Mid Prog21Duty45 S275"/>
    <x v="1"/>
    <s v="45"/>
    <n v="45"/>
    <m/>
    <s v="   "/>
    <n v="7.3760000000000003"/>
    <n v="0.27760000000000001"/>
    <n v="2.048"/>
    <x v="25"/>
  </r>
  <r>
    <s v="27010"/>
    <x v="178"/>
    <s v="Personnel"/>
    <s v="E "/>
    <x v="0"/>
    <x v="22"/>
    <s v="PSES Elem Prog21Duty46 S275"/>
    <x v="1"/>
    <s v="46"/>
    <n v="46"/>
    <m/>
    <s v="   "/>
    <n v="16.690999999999999"/>
    <n v="0.27760000000000001"/>
    <n v="4.633"/>
    <x v="19"/>
  </r>
  <r>
    <s v="27010"/>
    <x v="178"/>
    <s v="Personnel"/>
    <s v="H "/>
    <x v="1"/>
    <x v="23"/>
    <s v="PSES High Prog21Duty46 S275"/>
    <x v="1"/>
    <s v="46"/>
    <n v="46"/>
    <m/>
    <s v="   "/>
    <n v="11.137"/>
    <n v="0.27760000000000001"/>
    <n v="3.0920000000000001"/>
    <x v="20"/>
  </r>
  <r>
    <s v="27010"/>
    <x v="178"/>
    <s v="Personnel"/>
    <s v="M "/>
    <x v="2"/>
    <x v="24"/>
    <s v="PSES Mid Prog21Duty46 S275"/>
    <x v="1"/>
    <s v="46"/>
    <n v="46"/>
    <m/>
    <s v="   "/>
    <n v="4.6429999999999998"/>
    <n v="0.27760000000000001"/>
    <n v="1.2889999999999999"/>
    <x v="21"/>
  </r>
  <r>
    <s v="27010"/>
    <x v="178"/>
    <s v="Personnel"/>
    <s v="E "/>
    <x v="0"/>
    <x v="32"/>
    <s v="PSES Elem Prog21Duty47 S275"/>
    <x v="1"/>
    <s v="47"/>
    <n v="47"/>
    <m/>
    <s v="   "/>
    <n v="0.308"/>
    <n v="0.27760000000000001"/>
    <n v="8.5999999999999993E-2"/>
    <x v="24"/>
  </r>
  <r>
    <s v="27010"/>
    <x v="178"/>
    <s v="Personnel"/>
    <s v="E "/>
    <x v="0"/>
    <x v="27"/>
    <s v="PSES Elem Prog01Duty47 S275"/>
    <x v="0"/>
    <s v="47"/>
    <n v="47"/>
    <m/>
    <s v="   "/>
    <n v="15.776999999999999"/>
    <n v="0.27760000000000001"/>
    <n v="0"/>
    <x v="24"/>
  </r>
  <r>
    <s v="27010"/>
    <x v="178"/>
    <s v="Personnel"/>
    <s v="H "/>
    <x v="1"/>
    <x v="61"/>
    <s v="PSES High Prog21Duty47 S275"/>
    <x v="1"/>
    <s v="47"/>
    <n v="47"/>
    <m/>
    <s v="   "/>
    <n v="0.20599999999999999"/>
    <n v="0.27760000000000001"/>
    <n v="5.7000000000000002E-2"/>
    <x v="22"/>
  </r>
  <r>
    <s v="27010"/>
    <x v="178"/>
    <s v="Personnel"/>
    <s v="H "/>
    <x v="1"/>
    <x v="25"/>
    <s v="PSES High Prog01Duty47 S275"/>
    <x v="0"/>
    <s v="47"/>
    <n v="47"/>
    <m/>
    <s v="   "/>
    <n v="6.7450000000000001"/>
    <n v="0.27760000000000001"/>
    <n v="0"/>
    <x v="22"/>
  </r>
  <r>
    <s v="27010"/>
    <x v="178"/>
    <s v="Personnel"/>
    <s v="M "/>
    <x v="2"/>
    <x v="33"/>
    <s v="PSES Mid Prog21Duty47 S275"/>
    <x v="1"/>
    <s v="47"/>
    <n v="47"/>
    <m/>
    <s v="   "/>
    <n v="8.5999999999999993E-2"/>
    <n v="0.27760000000000001"/>
    <n v="2.4E-2"/>
    <x v="28"/>
  </r>
  <r>
    <s v="27010"/>
    <x v="178"/>
    <s v="Personnel"/>
    <s v="M "/>
    <x v="2"/>
    <x v="34"/>
    <s v="PSES Mid Prog01Duty47 S275"/>
    <x v="0"/>
    <s v="47"/>
    <n v="47"/>
    <m/>
    <s v="   "/>
    <n v="3.758"/>
    <n v="0.27760000000000001"/>
    <n v="0"/>
    <x v="28"/>
  </r>
  <r>
    <s v="27010"/>
    <x v="178"/>
    <s v="Personnel"/>
    <s v="E "/>
    <x v="0"/>
    <x v="35"/>
    <s v="PSES Elem Prog21Duty48 S275"/>
    <x v="1"/>
    <s v="48"/>
    <n v="48"/>
    <m/>
    <s v="   "/>
    <n v="5.0359999999999996"/>
    <n v="0.27760000000000001"/>
    <n v="1.3979999999999999"/>
    <x v="29"/>
  </r>
  <r>
    <s v="27010"/>
    <x v="178"/>
    <s v="Personnel"/>
    <s v="H "/>
    <x v="1"/>
    <x v="36"/>
    <s v="PSES High Prog21Duty48 S275"/>
    <x v="1"/>
    <s v="48"/>
    <n v="48"/>
    <m/>
    <s v="   "/>
    <n v="3.3620000000000001"/>
    <n v="0.27760000000000001"/>
    <n v="0.93300000000000005"/>
    <x v="30"/>
  </r>
  <r>
    <s v="27010"/>
    <x v="178"/>
    <s v="Personnel"/>
    <s v="M "/>
    <x v="2"/>
    <x v="37"/>
    <s v="PSES Mid Prog21Duty48 S275"/>
    <x v="1"/>
    <s v="48"/>
    <n v="48"/>
    <m/>
    <s v="   "/>
    <n v="1.4019999999999999"/>
    <n v="0.27760000000000001"/>
    <n v="0.38900000000000001"/>
    <x v="31"/>
  </r>
  <r>
    <s v="27010"/>
    <x v="178"/>
    <s v="Personnel"/>
    <s v="E "/>
    <x v="0"/>
    <x v="26"/>
    <s v="PSES Elem Prog21Duty49 S275"/>
    <x v="1"/>
    <s v="49"/>
    <n v="49"/>
    <m/>
    <s v="   "/>
    <n v="2.056"/>
    <n v="0.27760000000000001"/>
    <n v="0.57099999999999995"/>
    <x v="23"/>
  </r>
  <r>
    <s v="27010"/>
    <x v="178"/>
    <s v="Personnel"/>
    <s v="H "/>
    <x v="1"/>
    <x v="55"/>
    <s v="PSES High Prog21Duty49 S275"/>
    <x v="1"/>
    <s v="49"/>
    <n v="49"/>
    <m/>
    <s v="   "/>
    <n v="1.3720000000000001"/>
    <n v="0.27760000000000001"/>
    <n v="0.38100000000000001"/>
    <x v="37"/>
  </r>
  <r>
    <s v="27010"/>
    <x v="178"/>
    <s v="Personnel"/>
    <s v="H "/>
    <x v="1"/>
    <x v="68"/>
    <s v="PSES High Prog01Duty49 S275"/>
    <x v="0"/>
    <s v="49"/>
    <n v="49"/>
    <m/>
    <s v="   "/>
    <n v="1"/>
    <n v="0.27760000000000001"/>
    <n v="0"/>
    <x v="37"/>
  </r>
  <r>
    <s v="27010"/>
    <x v="178"/>
    <s v="Personnel"/>
    <s v="M "/>
    <x v="2"/>
    <x v="50"/>
    <s v="PSES Mid Prog21Duty49 S275"/>
    <x v="1"/>
    <s v="49"/>
    <n v="49"/>
    <m/>
    <s v="   "/>
    <n v="0.57199999999999995"/>
    <n v="0.27760000000000001"/>
    <n v="0.159"/>
    <x v="36"/>
  </r>
  <r>
    <s v="27083"/>
    <x v="179"/>
    <s v="Personnel"/>
    <s v="H "/>
    <x v="1"/>
    <x v="1"/>
    <s v="PSES High Prog01Duty96 S275"/>
    <x v="0"/>
    <s v="24"/>
    <n v="96"/>
    <n v="24"/>
    <s v="   "/>
    <n v="0.36199999999999999"/>
    <n v="0.3145"/>
    <n v="0"/>
    <x v="1"/>
  </r>
  <r>
    <s v="27083"/>
    <x v="179"/>
    <s v="Personnel"/>
    <s v="H "/>
    <x v="1"/>
    <x v="5"/>
    <s v="PSES High Prog01Act25 S275"/>
    <x v="0"/>
    <s v="25"/>
    <m/>
    <n v="25"/>
    <s v="   "/>
    <n v="9.3239999999999998"/>
    <n v="0.3145"/>
    <n v="0"/>
    <x v="4"/>
  </r>
  <r>
    <s v="27083"/>
    <x v="179"/>
    <s v="Personnel"/>
    <s v="H "/>
    <x v="1"/>
    <x v="29"/>
    <s v="PSES High Prog21Act26 S275"/>
    <x v="1"/>
    <s v="26"/>
    <m/>
    <n v="26"/>
    <s v="   "/>
    <n v="2.3879999999999999"/>
    <n v="0.3145"/>
    <n v="0.751"/>
    <x v="7"/>
  </r>
  <r>
    <s v="27083"/>
    <x v="179"/>
    <s v="Personnel"/>
    <s v="H "/>
    <x v="1"/>
    <x v="9"/>
    <s v="PSES High Prog01Act26 S275"/>
    <x v="0"/>
    <s v="26"/>
    <m/>
    <n v="26"/>
    <s v="   "/>
    <n v="6.0990000000000002"/>
    <n v="0.3145"/>
    <n v="0"/>
    <x v="7"/>
  </r>
  <r>
    <s v="27083"/>
    <x v="179"/>
    <s v="Personnel"/>
    <s v="H "/>
    <x v="1"/>
    <x v="54"/>
    <s v="PSES High Prog01Act35 S275"/>
    <x v="0"/>
    <s v="35"/>
    <m/>
    <n v="35"/>
    <s v="   "/>
    <n v="0.74299999999999999"/>
    <n v="0.3145"/>
    <n v="0"/>
    <x v="9"/>
  </r>
  <r>
    <s v="27083"/>
    <x v="179"/>
    <s v="Personnel"/>
    <s v="E "/>
    <x v="0"/>
    <x v="15"/>
    <s v="PSES Elem Prog01Duty42 S275"/>
    <x v="0"/>
    <s v="42"/>
    <n v="42"/>
    <m/>
    <s v="   "/>
    <n v="6.59"/>
    <n v="0.3145"/>
    <n v="0"/>
    <x v="12"/>
  </r>
  <r>
    <s v="27083"/>
    <x v="179"/>
    <s v="Personnel"/>
    <s v="H "/>
    <x v="1"/>
    <x v="16"/>
    <s v="PSES High Prog01Duty42 S275"/>
    <x v="0"/>
    <s v="42"/>
    <n v="42"/>
    <m/>
    <s v="   "/>
    <n v="4.53"/>
    <n v="0.3145"/>
    <n v="0"/>
    <x v="13"/>
  </r>
  <r>
    <s v="27083"/>
    <x v="179"/>
    <s v="Personnel"/>
    <s v="M "/>
    <x v="2"/>
    <x v="17"/>
    <s v="PSES Mid Prog01Duty42 S275"/>
    <x v="0"/>
    <s v="42"/>
    <n v="42"/>
    <m/>
    <s v="   "/>
    <n v="2.88"/>
    <n v="0.3145"/>
    <n v="0"/>
    <x v="14"/>
  </r>
  <r>
    <s v="27083"/>
    <x v="179"/>
    <s v="Personnel"/>
    <s v="E "/>
    <x v="0"/>
    <x v="18"/>
    <s v="PSES Elem Prog21Duty43 S275"/>
    <x v="1"/>
    <s v="43"/>
    <n v="43"/>
    <m/>
    <s v="   "/>
    <n v="1.17"/>
    <n v="0.3145"/>
    <n v="0.36799999999999999"/>
    <x v="15"/>
  </r>
  <r>
    <s v="27083"/>
    <x v="179"/>
    <s v="Personnel"/>
    <s v="H "/>
    <x v="1"/>
    <x v="19"/>
    <s v="PSES High Prog21Duty43 S275"/>
    <x v="1"/>
    <s v="43"/>
    <n v="43"/>
    <m/>
    <s v="   "/>
    <n v="0.25"/>
    <n v="0.3145"/>
    <n v="7.9000000000000001E-2"/>
    <x v="16"/>
  </r>
  <r>
    <s v="27083"/>
    <x v="179"/>
    <s v="Personnel"/>
    <s v="M "/>
    <x v="2"/>
    <x v="31"/>
    <s v="PSES Mid Prog21Duty43 S275"/>
    <x v="1"/>
    <s v="43"/>
    <n v="43"/>
    <m/>
    <s v="   "/>
    <n v="0.25"/>
    <n v="0.3145"/>
    <n v="7.9000000000000001E-2"/>
    <x v="27"/>
  </r>
  <r>
    <s v="27083"/>
    <x v="179"/>
    <s v="Personnel"/>
    <s v="E "/>
    <x v="0"/>
    <x v="20"/>
    <s v="PSES Elem Prog21Duty45 S275"/>
    <x v="1"/>
    <s v="45"/>
    <n v="45"/>
    <m/>
    <s v="   "/>
    <n v="7.2"/>
    <n v="0.3145"/>
    <n v="2.2639999999999998"/>
    <x v="17"/>
  </r>
  <r>
    <s v="27083"/>
    <x v="179"/>
    <s v="Personnel"/>
    <s v="H "/>
    <x v="1"/>
    <x v="21"/>
    <s v="PSES High Prog21Duty45 S275"/>
    <x v="1"/>
    <s v="45"/>
    <n v="45"/>
    <m/>
    <s v="   "/>
    <n v="0.2"/>
    <n v="0.3145"/>
    <n v="6.3E-2"/>
    <x v="18"/>
  </r>
  <r>
    <s v="27083"/>
    <x v="179"/>
    <s v="Personnel"/>
    <s v="M "/>
    <x v="2"/>
    <x v="28"/>
    <s v="PSES Mid Prog21Duty45 S275"/>
    <x v="1"/>
    <s v="45"/>
    <n v="45"/>
    <m/>
    <s v="   "/>
    <n v="1.4"/>
    <n v="0.3145"/>
    <n v="0.44"/>
    <x v="25"/>
  </r>
  <r>
    <s v="27083"/>
    <x v="179"/>
    <s v="Personnel"/>
    <s v="E "/>
    <x v="0"/>
    <x v="35"/>
    <s v="PSES Elem Prog21Duty48 S275"/>
    <x v="1"/>
    <s v="48"/>
    <n v="48"/>
    <m/>
    <s v="   "/>
    <n v="0.64500000000000002"/>
    <n v="0.3145"/>
    <n v="0.20300000000000001"/>
    <x v="29"/>
  </r>
  <r>
    <s v="27083"/>
    <x v="179"/>
    <s v="Personnel"/>
    <s v="H "/>
    <x v="1"/>
    <x v="36"/>
    <s v="PSES High Prog21Duty48 S275"/>
    <x v="1"/>
    <s v="48"/>
    <n v="48"/>
    <m/>
    <s v="   "/>
    <n v="0.56999999999999995"/>
    <n v="0.3145"/>
    <n v="0.17899999999999999"/>
    <x v="30"/>
  </r>
  <r>
    <s v="27083"/>
    <x v="179"/>
    <s v="Personnel"/>
    <s v="M "/>
    <x v="2"/>
    <x v="37"/>
    <s v="PSES Mid Prog21Duty48 S275"/>
    <x v="1"/>
    <s v="48"/>
    <n v="48"/>
    <m/>
    <s v="   "/>
    <n v="0.14299999999999999"/>
    <n v="0.3145"/>
    <n v="4.4999999999999998E-2"/>
    <x v="31"/>
  </r>
  <r>
    <s v="27320"/>
    <x v="180"/>
    <s v="Personnel"/>
    <s v="H "/>
    <x v="1"/>
    <x v="5"/>
    <s v="PSES High Prog01Act25 S275"/>
    <x v="0"/>
    <s v="25"/>
    <m/>
    <n v="25"/>
    <s v="   "/>
    <n v="3.73"/>
    <n v="0.2747"/>
    <n v="0"/>
    <x v="4"/>
  </r>
  <r>
    <s v="27320"/>
    <x v="180"/>
    <s v="Personnel"/>
    <s v="E "/>
    <x v="0"/>
    <x v="7"/>
    <s v="PSES Elem Prog21Act26 S275"/>
    <x v="1"/>
    <s v="26"/>
    <m/>
    <n v="26"/>
    <s v="   "/>
    <n v="0.85"/>
    <n v="0.2747"/>
    <n v="0.23300000000000001"/>
    <x v="6"/>
  </r>
  <r>
    <s v="27320"/>
    <x v="180"/>
    <s v="Personnel"/>
    <s v="E "/>
    <x v="0"/>
    <x v="8"/>
    <s v="PSES Elem Prog01Act26 S275"/>
    <x v="0"/>
    <s v="26"/>
    <m/>
    <n v="26"/>
    <s v="   "/>
    <n v="4.0730000000000004"/>
    <n v="0.2747"/>
    <n v="0"/>
    <x v="6"/>
  </r>
  <r>
    <s v="27320"/>
    <x v="180"/>
    <s v="Personnel"/>
    <s v="H "/>
    <x v="1"/>
    <x v="29"/>
    <s v="PSES High Prog21Act26 S275"/>
    <x v="1"/>
    <s v="26"/>
    <m/>
    <n v="26"/>
    <s v="   "/>
    <n v="0.52600000000000002"/>
    <n v="0.2747"/>
    <n v="0.14399999999999999"/>
    <x v="7"/>
  </r>
  <r>
    <s v="27320"/>
    <x v="180"/>
    <s v="Personnel"/>
    <s v="H "/>
    <x v="1"/>
    <x v="9"/>
    <s v="PSES High Prog01Act26 S275"/>
    <x v="0"/>
    <s v="26"/>
    <m/>
    <n v="26"/>
    <s v="   "/>
    <n v="6.0780000000000003"/>
    <n v="0.2747"/>
    <n v="0"/>
    <x v="7"/>
  </r>
  <r>
    <s v="27320"/>
    <x v="180"/>
    <s v="Personnel"/>
    <s v="M "/>
    <x v="2"/>
    <x v="10"/>
    <s v="PSES Mid Prog21Act26 S275"/>
    <x v="1"/>
    <s v="26"/>
    <m/>
    <n v="26"/>
    <s v="   "/>
    <n v="0.254"/>
    <n v="0.2747"/>
    <n v="7.0000000000000007E-2"/>
    <x v="8"/>
  </r>
  <r>
    <s v="27320"/>
    <x v="180"/>
    <s v="Personnel"/>
    <s v="M "/>
    <x v="2"/>
    <x v="11"/>
    <s v="PSES Mid Prog01Act26 S275"/>
    <x v="0"/>
    <s v="26"/>
    <m/>
    <n v="26"/>
    <s v="   "/>
    <n v="1.3380000000000001"/>
    <n v="0.2747"/>
    <n v="0"/>
    <x v="8"/>
  </r>
  <r>
    <s v="27320"/>
    <x v="180"/>
    <s v="Personnel"/>
    <s v="E "/>
    <x v="0"/>
    <x v="62"/>
    <s v="PSES Elem Prog01Act35 S275"/>
    <x v="0"/>
    <s v="35"/>
    <m/>
    <n v="35"/>
    <s v="   "/>
    <n v="0.25600000000000001"/>
    <n v="0.2747"/>
    <n v="0"/>
    <x v="26"/>
  </r>
  <r>
    <s v="27320"/>
    <x v="180"/>
    <s v="Personnel"/>
    <s v="H "/>
    <x v="1"/>
    <x v="54"/>
    <s v="PSES High Prog01Act35 S275"/>
    <x v="0"/>
    <s v="35"/>
    <m/>
    <n v="35"/>
    <s v="   "/>
    <n v="2.238"/>
    <n v="0.2747"/>
    <n v="0"/>
    <x v="9"/>
  </r>
  <r>
    <s v="27320"/>
    <x v="180"/>
    <s v="Personnel"/>
    <s v="M "/>
    <x v="2"/>
    <x v="63"/>
    <s v="PSES Mid Prog01Act35 S275"/>
    <x v="0"/>
    <s v="35"/>
    <m/>
    <n v="35"/>
    <s v="   "/>
    <n v="0.49"/>
    <n v="0.2747"/>
    <n v="0"/>
    <x v="10"/>
  </r>
  <r>
    <s v="27320"/>
    <x v="180"/>
    <s v="Personnel"/>
    <s v="E "/>
    <x v="0"/>
    <x v="14"/>
    <s v="PSES Elem Prog21Duty39 S275"/>
    <x v="1"/>
    <s v="39"/>
    <n v="39"/>
    <m/>
    <s v="   "/>
    <n v="0.52300000000000002"/>
    <n v="0.2747"/>
    <n v="0.14399999999999999"/>
    <x v="11"/>
  </r>
  <r>
    <s v="27320"/>
    <x v="180"/>
    <s v="Personnel"/>
    <s v="H "/>
    <x v="1"/>
    <x v="83"/>
    <s v="PSES High Prog21Duty39 S275"/>
    <x v="1"/>
    <s v="39"/>
    <n v="39"/>
    <m/>
    <s v="   "/>
    <n v="0.33200000000000002"/>
    <n v="0.2747"/>
    <n v="9.0999999999999998E-2"/>
    <x v="44"/>
  </r>
  <r>
    <s v="27320"/>
    <x v="180"/>
    <s v="Personnel"/>
    <s v="M "/>
    <x v="2"/>
    <x v="88"/>
    <s v="PSES Mid Prog21Duty39 S275"/>
    <x v="1"/>
    <s v="39"/>
    <n v="39"/>
    <m/>
    <s v="   "/>
    <n v="0.14499999999999999"/>
    <n v="0.2747"/>
    <n v="0.04"/>
    <x v="47"/>
  </r>
  <r>
    <s v="27320"/>
    <x v="180"/>
    <s v="Personnel"/>
    <s v="E "/>
    <x v="0"/>
    <x v="76"/>
    <s v="PSES Elem Prog21Duty42 S275"/>
    <x v="1"/>
    <s v="42"/>
    <n v="42"/>
    <m/>
    <s v="   "/>
    <n v="1.7430000000000001"/>
    <n v="0.2747"/>
    <n v="0.47899999999999998"/>
    <x v="12"/>
  </r>
  <r>
    <s v="27320"/>
    <x v="180"/>
    <s v="Personnel"/>
    <s v="E "/>
    <x v="0"/>
    <x v="15"/>
    <s v="PSES Elem Prog01Duty42 S275"/>
    <x v="0"/>
    <s v="42"/>
    <n v="42"/>
    <m/>
    <s v="   "/>
    <n v="12.516"/>
    <n v="0.2747"/>
    <n v="0"/>
    <x v="12"/>
  </r>
  <r>
    <s v="27320"/>
    <x v="180"/>
    <s v="Personnel"/>
    <s v="H "/>
    <x v="1"/>
    <x v="16"/>
    <s v="PSES High Prog01Duty42 S275"/>
    <x v="0"/>
    <s v="42"/>
    <n v="42"/>
    <m/>
    <s v="   "/>
    <n v="9.5"/>
    <n v="0.2747"/>
    <n v="0"/>
    <x v="13"/>
  </r>
  <r>
    <s v="27320"/>
    <x v="180"/>
    <s v="Personnel"/>
    <s v="M "/>
    <x v="2"/>
    <x v="75"/>
    <s v="PSES Mid Prog21Duty42 S275"/>
    <x v="1"/>
    <s v="42"/>
    <n v="42"/>
    <m/>
    <s v="   "/>
    <n v="0.45700000000000002"/>
    <n v="0.2747"/>
    <n v="0.126"/>
    <x v="14"/>
  </r>
  <r>
    <s v="27320"/>
    <x v="180"/>
    <s v="Personnel"/>
    <s v="M "/>
    <x v="2"/>
    <x v="17"/>
    <s v="PSES Mid Prog01Duty42 S275"/>
    <x v="0"/>
    <s v="42"/>
    <n v="42"/>
    <m/>
    <s v="   "/>
    <n v="3.8839999999999999"/>
    <n v="0.2747"/>
    <n v="0"/>
    <x v="14"/>
  </r>
  <r>
    <s v="27320"/>
    <x v="180"/>
    <s v="Personnel"/>
    <s v="E "/>
    <x v="0"/>
    <x v="18"/>
    <s v="PSES Elem Prog21Duty43 S275"/>
    <x v="1"/>
    <s v="43"/>
    <n v="43"/>
    <m/>
    <s v="   "/>
    <n v="5.9130000000000003"/>
    <n v="0.2747"/>
    <n v="1.6240000000000001"/>
    <x v="15"/>
  </r>
  <r>
    <s v="27320"/>
    <x v="180"/>
    <s v="Personnel"/>
    <s v="H "/>
    <x v="1"/>
    <x v="19"/>
    <s v="PSES High Prog21Duty43 S275"/>
    <x v="1"/>
    <s v="43"/>
    <n v="43"/>
    <m/>
    <s v="   "/>
    <n v="0.63200000000000001"/>
    <n v="0.2747"/>
    <n v="0.17399999999999999"/>
    <x v="16"/>
  </r>
  <r>
    <s v="27320"/>
    <x v="180"/>
    <s v="Personnel"/>
    <s v="M "/>
    <x v="2"/>
    <x v="31"/>
    <s v="PSES Mid Prog21Duty43 S275"/>
    <x v="1"/>
    <s v="43"/>
    <n v="43"/>
    <m/>
    <s v="   "/>
    <n v="0.45500000000000002"/>
    <n v="0.2747"/>
    <n v="0.125"/>
    <x v="27"/>
  </r>
  <r>
    <s v="27320"/>
    <x v="180"/>
    <s v="Personnel"/>
    <s v="E "/>
    <x v="0"/>
    <x v="41"/>
    <s v="PSES Elem Prog21Duty44 S275"/>
    <x v="1"/>
    <s v="44"/>
    <n v="44"/>
    <m/>
    <s v="   "/>
    <n v="4.97"/>
    <n v="0.2747"/>
    <n v="1.365"/>
    <x v="33"/>
  </r>
  <r>
    <s v="27320"/>
    <x v="180"/>
    <s v="Personnel"/>
    <s v="E "/>
    <x v="0"/>
    <x v="42"/>
    <s v="PSES Elem Prog01Duty44 S275"/>
    <x v="0"/>
    <s v="44"/>
    <n v="44"/>
    <m/>
    <s v="   "/>
    <n v="0.875"/>
    <n v="0.2747"/>
    <n v="0"/>
    <x v="33"/>
  </r>
  <r>
    <s v="27320"/>
    <x v="180"/>
    <s v="Personnel"/>
    <s v="H "/>
    <x v="1"/>
    <x v="43"/>
    <s v="PSES High Prog21Duty44 S275"/>
    <x v="1"/>
    <s v="44"/>
    <n v="44"/>
    <m/>
    <s v="   "/>
    <n v="1.4"/>
    <n v="0.2747"/>
    <n v="0.38500000000000001"/>
    <x v="34"/>
  </r>
  <r>
    <s v="27320"/>
    <x v="180"/>
    <s v="Personnel"/>
    <s v="H "/>
    <x v="1"/>
    <x v="44"/>
    <s v="PSES High Prog01Duty44 S275"/>
    <x v="0"/>
    <s v="44"/>
    <n v="44"/>
    <m/>
    <s v="   "/>
    <n v="0.6"/>
    <n v="0.2747"/>
    <n v="0"/>
    <x v="34"/>
  </r>
  <r>
    <s v="27320"/>
    <x v="180"/>
    <s v="Personnel"/>
    <s v="M "/>
    <x v="2"/>
    <x v="45"/>
    <s v="PSES Mid Prog21Duty44 S275"/>
    <x v="1"/>
    <s v="44"/>
    <n v="44"/>
    <m/>
    <s v="   "/>
    <n v="0.92900000000000005"/>
    <n v="0.2747"/>
    <n v="0.255"/>
    <x v="35"/>
  </r>
  <r>
    <s v="27320"/>
    <x v="180"/>
    <s v="Personnel"/>
    <s v="M "/>
    <x v="2"/>
    <x v="46"/>
    <s v="PSES Mid Prog01Duty44 S275"/>
    <x v="0"/>
    <s v="44"/>
    <n v="44"/>
    <m/>
    <s v="   "/>
    <n v="1.7250000000000001"/>
    <n v="0.2747"/>
    <n v="0"/>
    <x v="35"/>
  </r>
  <r>
    <s v="27320"/>
    <x v="180"/>
    <s v="Personnel"/>
    <s v="E "/>
    <x v="0"/>
    <x v="20"/>
    <s v="PSES Elem Prog21Duty45 S275"/>
    <x v="1"/>
    <s v="45"/>
    <n v="45"/>
    <m/>
    <s v="   "/>
    <n v="12.727"/>
    <n v="0.2747"/>
    <n v="3.496"/>
    <x v="17"/>
  </r>
  <r>
    <s v="27320"/>
    <x v="180"/>
    <s v="Personnel"/>
    <s v="H "/>
    <x v="1"/>
    <x v="21"/>
    <s v="PSES High Prog21Duty45 S275"/>
    <x v="1"/>
    <s v="45"/>
    <n v="45"/>
    <m/>
    <s v="   "/>
    <n v="2.762"/>
    <n v="0.2747"/>
    <n v="0.75900000000000001"/>
    <x v="18"/>
  </r>
  <r>
    <s v="27320"/>
    <x v="180"/>
    <s v="Personnel"/>
    <s v="M "/>
    <x v="2"/>
    <x v="28"/>
    <s v="PSES Mid Prog21Duty45 S275"/>
    <x v="1"/>
    <s v="45"/>
    <n v="45"/>
    <m/>
    <s v="   "/>
    <n v="1.4119999999999999"/>
    <n v="0.2747"/>
    <n v="0.38800000000000001"/>
    <x v="25"/>
  </r>
  <r>
    <s v="27320"/>
    <x v="180"/>
    <s v="Personnel"/>
    <s v="E "/>
    <x v="0"/>
    <x v="22"/>
    <s v="PSES Elem Prog21Duty46 S275"/>
    <x v="1"/>
    <s v="46"/>
    <n v="46"/>
    <m/>
    <s v="   "/>
    <n v="7.1980000000000004"/>
    <n v="0.2747"/>
    <n v="1.9770000000000001"/>
    <x v="19"/>
  </r>
  <r>
    <s v="27320"/>
    <x v="180"/>
    <s v="Personnel"/>
    <s v="H "/>
    <x v="1"/>
    <x v="23"/>
    <s v="PSES High Prog21Duty46 S275"/>
    <x v="1"/>
    <s v="46"/>
    <n v="46"/>
    <m/>
    <s v="   "/>
    <n v="3.9990000000000001"/>
    <n v="0.2747"/>
    <n v="1.099"/>
    <x v="20"/>
  </r>
  <r>
    <s v="27320"/>
    <x v="180"/>
    <s v="Personnel"/>
    <s v="M "/>
    <x v="2"/>
    <x v="24"/>
    <s v="PSES Mid Prog21Duty46 S275"/>
    <x v="1"/>
    <s v="46"/>
    <n v="46"/>
    <m/>
    <s v="   "/>
    <n v="1.8049999999999999"/>
    <n v="0.2747"/>
    <n v="0.496"/>
    <x v="21"/>
  </r>
  <r>
    <s v="27320"/>
    <x v="180"/>
    <s v="Personnel"/>
    <s v="E "/>
    <x v="0"/>
    <x v="27"/>
    <s v="PSES Elem Prog01Duty47 S275"/>
    <x v="0"/>
    <s v="47"/>
    <n v="47"/>
    <m/>
    <s v="   "/>
    <n v="1.548"/>
    <n v="0.2747"/>
    <n v="0"/>
    <x v="24"/>
  </r>
  <r>
    <s v="27320"/>
    <x v="180"/>
    <s v="Personnel"/>
    <s v="H "/>
    <x v="1"/>
    <x v="25"/>
    <s v="PSES High Prog01Duty47 S275"/>
    <x v="0"/>
    <s v="47"/>
    <n v="47"/>
    <m/>
    <s v="   "/>
    <n v="0.996"/>
    <n v="0.2747"/>
    <n v="0"/>
    <x v="22"/>
  </r>
  <r>
    <s v="27320"/>
    <x v="180"/>
    <s v="Personnel"/>
    <s v="M "/>
    <x v="2"/>
    <x v="34"/>
    <s v="PSES Mid Prog01Duty47 S275"/>
    <x v="0"/>
    <s v="47"/>
    <n v="47"/>
    <m/>
    <s v="   "/>
    <n v="0.45600000000000002"/>
    <n v="0.2747"/>
    <n v="0"/>
    <x v="28"/>
  </r>
  <r>
    <s v="27320"/>
    <x v="180"/>
    <s v="Personnel"/>
    <s v="E "/>
    <x v="0"/>
    <x v="35"/>
    <s v="PSES Elem Prog21Duty48 S275"/>
    <x v="1"/>
    <s v="48"/>
    <n v="48"/>
    <m/>
    <s v="   "/>
    <n v="1.6839999999999999"/>
    <n v="0.2747"/>
    <n v="0.46300000000000002"/>
    <x v="29"/>
  </r>
  <r>
    <s v="27320"/>
    <x v="180"/>
    <s v="Personnel"/>
    <s v="H "/>
    <x v="1"/>
    <x v="36"/>
    <s v="PSES High Prog21Duty48 S275"/>
    <x v="1"/>
    <s v="48"/>
    <n v="48"/>
    <m/>
    <s v="   "/>
    <n v="0.23300000000000001"/>
    <n v="0.2747"/>
    <n v="6.4000000000000001E-2"/>
    <x v="30"/>
  </r>
  <r>
    <s v="27320"/>
    <x v="180"/>
    <s v="Personnel"/>
    <s v="M "/>
    <x v="2"/>
    <x v="37"/>
    <s v="PSES Mid Prog21Duty48 S275"/>
    <x v="1"/>
    <s v="48"/>
    <n v="48"/>
    <m/>
    <s v="   "/>
    <n v="8.3000000000000004E-2"/>
    <n v="0.2747"/>
    <n v="2.3E-2"/>
    <x v="31"/>
  </r>
  <r>
    <s v="27320"/>
    <x v="180"/>
    <s v="Personnel"/>
    <s v="E "/>
    <x v="0"/>
    <x v="26"/>
    <s v="PSES Elem Prog21Duty49 S275"/>
    <x v="1"/>
    <s v="49"/>
    <n v="49"/>
    <m/>
    <s v="   "/>
    <n v="1"/>
    <n v="0.2747"/>
    <n v="0.27500000000000002"/>
    <x v="23"/>
  </r>
  <r>
    <s v="27343"/>
    <x v="181"/>
    <s v="Personnel"/>
    <s v="H "/>
    <x v="1"/>
    <x v="4"/>
    <s v="PSES High Prog21Act25 S275"/>
    <x v="1"/>
    <s v="25"/>
    <m/>
    <n v="25"/>
    <s v="   "/>
    <n v="1.36"/>
    <n v="0.308"/>
    <n v="0.41899999999999998"/>
    <x v="4"/>
  </r>
  <r>
    <s v="27343"/>
    <x v="181"/>
    <s v="Personnel"/>
    <s v="H "/>
    <x v="1"/>
    <x v="5"/>
    <s v="PSES High Prog01Act25 S275"/>
    <x v="0"/>
    <s v="25"/>
    <m/>
    <n v="25"/>
    <s v="   "/>
    <n v="1.593"/>
    <n v="0.308"/>
    <n v="0"/>
    <x v="4"/>
  </r>
  <r>
    <s v="27343"/>
    <x v="181"/>
    <s v="Personnel"/>
    <s v="M "/>
    <x v="2"/>
    <x v="6"/>
    <s v="PSES Mid Prog01Act25 S275"/>
    <x v="0"/>
    <s v="25"/>
    <m/>
    <n v="25"/>
    <s v="   "/>
    <n v="8.8999999999999996E-2"/>
    <n v="0.308"/>
    <n v="0"/>
    <x v="5"/>
  </r>
  <r>
    <s v="27343"/>
    <x v="181"/>
    <s v="Personnel"/>
    <s v="E "/>
    <x v="0"/>
    <x v="8"/>
    <s v="PSES Elem Prog01Act26 S275"/>
    <x v="0"/>
    <s v="26"/>
    <m/>
    <n v="26"/>
    <s v="   "/>
    <n v="0.89600000000000002"/>
    <n v="0.308"/>
    <n v="0"/>
    <x v="6"/>
  </r>
  <r>
    <s v="27343"/>
    <x v="181"/>
    <s v="Personnel"/>
    <s v="H "/>
    <x v="1"/>
    <x v="29"/>
    <s v="PSES High Prog21Act26 S275"/>
    <x v="1"/>
    <s v="26"/>
    <m/>
    <n v="26"/>
    <s v="   "/>
    <n v="1.52"/>
    <n v="0.308"/>
    <n v="0.46800000000000003"/>
    <x v="7"/>
  </r>
  <r>
    <s v="27343"/>
    <x v="181"/>
    <s v="Personnel"/>
    <s v="H "/>
    <x v="1"/>
    <x v="9"/>
    <s v="PSES High Prog01Act26 S275"/>
    <x v="0"/>
    <s v="26"/>
    <m/>
    <n v="26"/>
    <s v="   "/>
    <n v="0.75900000000000001"/>
    <n v="0.308"/>
    <n v="0"/>
    <x v="7"/>
  </r>
  <r>
    <s v="27343"/>
    <x v="181"/>
    <s v="Personnel"/>
    <s v="E "/>
    <x v="0"/>
    <x v="15"/>
    <s v="PSES Elem Prog01Duty42 S275"/>
    <x v="0"/>
    <s v="42"/>
    <n v="42"/>
    <m/>
    <s v="   "/>
    <n v="2.5499999999999998"/>
    <n v="0.308"/>
    <n v="0"/>
    <x v="12"/>
  </r>
  <r>
    <s v="27343"/>
    <x v="181"/>
    <s v="Personnel"/>
    <s v="M "/>
    <x v="2"/>
    <x v="17"/>
    <s v="PSES Mid Prog01Duty42 S275"/>
    <x v="0"/>
    <s v="42"/>
    <n v="42"/>
    <m/>
    <s v="   "/>
    <n v="1.1000000000000001"/>
    <n v="0.308"/>
    <n v="0"/>
    <x v="14"/>
  </r>
  <r>
    <s v="27343"/>
    <x v="181"/>
    <s v="Personnel"/>
    <s v="E "/>
    <x v="0"/>
    <x v="18"/>
    <s v="PSES Elem Prog21Duty43 S275"/>
    <x v="1"/>
    <s v="43"/>
    <n v="43"/>
    <m/>
    <s v="   "/>
    <n v="0.66700000000000004"/>
    <n v="0.308"/>
    <n v="0.20499999999999999"/>
    <x v="15"/>
  </r>
  <r>
    <s v="27343"/>
    <x v="181"/>
    <s v="Personnel"/>
    <s v="M "/>
    <x v="2"/>
    <x v="31"/>
    <s v="PSES Mid Prog21Duty43 S275"/>
    <x v="1"/>
    <s v="43"/>
    <n v="43"/>
    <m/>
    <s v="   "/>
    <n v="0.33300000000000002"/>
    <n v="0.308"/>
    <n v="0.10299999999999999"/>
    <x v="27"/>
  </r>
  <r>
    <s v="27343"/>
    <x v="181"/>
    <s v="Personnel"/>
    <s v="E "/>
    <x v="0"/>
    <x v="20"/>
    <s v="PSES Elem Prog21Duty45 S275"/>
    <x v="1"/>
    <s v="45"/>
    <n v="45"/>
    <m/>
    <s v="   "/>
    <n v="1.3"/>
    <n v="0.308"/>
    <n v="0.4"/>
    <x v="17"/>
  </r>
  <r>
    <s v="27343"/>
    <x v="181"/>
    <s v="Personnel"/>
    <s v="E "/>
    <x v="0"/>
    <x v="22"/>
    <s v="PSES Elem Prog21Duty46 S275"/>
    <x v="1"/>
    <s v="46"/>
    <n v="46"/>
    <m/>
    <s v="   "/>
    <n v="1.667"/>
    <n v="0.308"/>
    <n v="0.51300000000000001"/>
    <x v="19"/>
  </r>
  <r>
    <s v="27343"/>
    <x v="181"/>
    <s v="Personnel"/>
    <s v="M "/>
    <x v="2"/>
    <x v="24"/>
    <s v="PSES Mid Prog21Duty46 S275"/>
    <x v="1"/>
    <s v="46"/>
    <n v="46"/>
    <m/>
    <s v="   "/>
    <n v="0.33300000000000002"/>
    <n v="0.308"/>
    <n v="0.10299999999999999"/>
    <x v="21"/>
  </r>
  <r>
    <s v="27343"/>
    <x v="181"/>
    <s v="Personnel"/>
    <s v="E "/>
    <x v="0"/>
    <x v="27"/>
    <s v="PSES Elem Prog01Duty47 S275"/>
    <x v="0"/>
    <s v="47"/>
    <n v="47"/>
    <m/>
    <s v="   "/>
    <n v="0.66600000000000004"/>
    <n v="0.308"/>
    <n v="0"/>
    <x v="24"/>
  </r>
  <r>
    <s v="27343"/>
    <x v="181"/>
    <s v="Personnel"/>
    <s v="M "/>
    <x v="2"/>
    <x v="34"/>
    <s v="PSES Mid Prog01Duty47 S275"/>
    <x v="0"/>
    <s v="47"/>
    <n v="47"/>
    <m/>
    <s v="   "/>
    <n v="0.33400000000000002"/>
    <n v="0.308"/>
    <n v="0"/>
    <x v="28"/>
  </r>
  <r>
    <s v="27344"/>
    <x v="182"/>
    <s v="Personnel"/>
    <s v="H "/>
    <x v="1"/>
    <x v="5"/>
    <s v="PSES High Prog01Act25 S275"/>
    <x v="0"/>
    <s v="25"/>
    <m/>
    <n v="25"/>
    <s v="   "/>
    <n v="5.3789999999999996"/>
    <n v="0.26050000000000001"/>
    <n v="0"/>
    <x v="4"/>
  </r>
  <r>
    <s v="27344"/>
    <x v="182"/>
    <s v="Personnel"/>
    <s v="H "/>
    <x v="1"/>
    <x v="29"/>
    <s v="PSES High Prog21Act26 S275"/>
    <x v="1"/>
    <s v="26"/>
    <m/>
    <n v="26"/>
    <s v="   "/>
    <n v="2.2719999999999998"/>
    <n v="0.26050000000000001"/>
    <n v="0.59199999999999997"/>
    <x v="7"/>
  </r>
  <r>
    <s v="27344"/>
    <x v="182"/>
    <s v="Personnel"/>
    <s v="H "/>
    <x v="1"/>
    <x v="9"/>
    <s v="PSES High Prog01Act26 S275"/>
    <x v="0"/>
    <s v="26"/>
    <m/>
    <n v="26"/>
    <s v="   "/>
    <n v="2.5950000000000002"/>
    <n v="0.26050000000000001"/>
    <n v="0"/>
    <x v="7"/>
  </r>
  <r>
    <s v="27344"/>
    <x v="182"/>
    <s v="Personnel"/>
    <s v="E "/>
    <x v="0"/>
    <x v="15"/>
    <s v="PSES Elem Prog01Duty42 S275"/>
    <x v="0"/>
    <s v="42"/>
    <n v="42"/>
    <m/>
    <s v="   "/>
    <n v="2.6"/>
    <n v="0.26050000000000001"/>
    <n v="0"/>
    <x v="12"/>
  </r>
  <r>
    <s v="27344"/>
    <x v="182"/>
    <s v="Personnel"/>
    <s v="H "/>
    <x v="1"/>
    <x v="16"/>
    <s v="PSES High Prog01Duty42 S275"/>
    <x v="0"/>
    <s v="42"/>
    <n v="42"/>
    <m/>
    <s v="   "/>
    <n v="2.4"/>
    <n v="0.26050000000000001"/>
    <n v="0"/>
    <x v="13"/>
  </r>
  <r>
    <s v="27344"/>
    <x v="182"/>
    <s v="Personnel"/>
    <s v="M "/>
    <x v="2"/>
    <x v="17"/>
    <s v="PSES Mid Prog01Duty42 S275"/>
    <x v="0"/>
    <s v="42"/>
    <n v="42"/>
    <m/>
    <s v="   "/>
    <n v="1.2"/>
    <n v="0.26050000000000001"/>
    <n v="0"/>
    <x v="14"/>
  </r>
  <r>
    <s v="27344"/>
    <x v="182"/>
    <s v="Personnel"/>
    <s v="E "/>
    <x v="0"/>
    <x v="20"/>
    <s v="PSES Elem Prog21Duty45 S275"/>
    <x v="1"/>
    <s v="45"/>
    <n v="45"/>
    <m/>
    <s v="   "/>
    <n v="1.75"/>
    <n v="0.26050000000000001"/>
    <n v="0.45600000000000002"/>
    <x v="17"/>
  </r>
  <r>
    <s v="27344"/>
    <x v="182"/>
    <s v="Personnel"/>
    <s v="H "/>
    <x v="1"/>
    <x v="21"/>
    <s v="PSES High Prog21Duty45 S275"/>
    <x v="1"/>
    <s v="45"/>
    <n v="45"/>
    <m/>
    <s v="   "/>
    <n v="0.24"/>
    <n v="0.26050000000000001"/>
    <n v="6.3E-2"/>
    <x v="18"/>
  </r>
  <r>
    <s v="27344"/>
    <x v="182"/>
    <s v="Personnel"/>
    <s v="M "/>
    <x v="2"/>
    <x v="28"/>
    <s v="PSES Mid Prog21Duty45 S275"/>
    <x v="1"/>
    <s v="45"/>
    <n v="45"/>
    <m/>
    <s v="   "/>
    <n v="0.02"/>
    <n v="0.26050000000000001"/>
    <n v="5.0000000000000001E-3"/>
    <x v="25"/>
  </r>
  <r>
    <s v="27344"/>
    <x v="182"/>
    <s v="Personnel"/>
    <s v="E "/>
    <x v="0"/>
    <x v="27"/>
    <s v="PSES Elem Prog01Duty47 S275"/>
    <x v="0"/>
    <s v="47"/>
    <n v="47"/>
    <m/>
    <s v="   "/>
    <n v="0.52"/>
    <n v="0.26050000000000001"/>
    <n v="0"/>
    <x v="24"/>
  </r>
  <r>
    <s v="27344"/>
    <x v="182"/>
    <s v="Personnel"/>
    <s v="H "/>
    <x v="1"/>
    <x v="25"/>
    <s v="PSES High Prog01Duty47 S275"/>
    <x v="0"/>
    <s v="47"/>
    <n v="47"/>
    <m/>
    <s v="   "/>
    <n v="0.32"/>
    <n v="0.26050000000000001"/>
    <n v="0"/>
    <x v="22"/>
  </r>
  <r>
    <s v="27344"/>
    <x v="182"/>
    <s v="Personnel"/>
    <s v="M "/>
    <x v="2"/>
    <x v="34"/>
    <s v="PSES Mid Prog01Duty47 S275"/>
    <x v="0"/>
    <s v="47"/>
    <n v="47"/>
    <m/>
    <s v="   "/>
    <n v="0.16"/>
    <n v="0.26050000000000001"/>
    <n v="0"/>
    <x v="28"/>
  </r>
  <r>
    <s v="27400"/>
    <x v="183"/>
    <s v="Personnel"/>
    <s v="H "/>
    <x v="1"/>
    <x v="5"/>
    <s v="PSES High Prog01Act25 S275"/>
    <x v="0"/>
    <s v="25"/>
    <m/>
    <n v="25"/>
    <s v="   "/>
    <n v="19.68"/>
    <n v="0.34"/>
    <n v="0"/>
    <x v="4"/>
  </r>
  <r>
    <s v="27400"/>
    <x v="183"/>
    <s v="Personnel"/>
    <s v="H "/>
    <x v="1"/>
    <x v="29"/>
    <s v="PSES High Prog21Act26 S275"/>
    <x v="1"/>
    <s v="26"/>
    <m/>
    <n v="26"/>
    <s v="   "/>
    <n v="11.523999999999999"/>
    <n v="0.34"/>
    <n v="3.9180000000000001"/>
    <x v="7"/>
  </r>
  <r>
    <s v="27400"/>
    <x v="183"/>
    <s v="Personnel"/>
    <s v="H "/>
    <x v="1"/>
    <x v="9"/>
    <s v="PSES High Prog01Act26 S275"/>
    <x v="0"/>
    <s v="26"/>
    <m/>
    <n v="26"/>
    <s v="   "/>
    <n v="15.032"/>
    <n v="0.34"/>
    <n v="0"/>
    <x v="7"/>
  </r>
  <r>
    <s v="27400"/>
    <x v="183"/>
    <s v="Personnel"/>
    <s v="H "/>
    <x v="1"/>
    <x v="12"/>
    <s v="PSES High Prog97Act35 S275"/>
    <x v="2"/>
    <s v="35"/>
    <m/>
    <n v="35"/>
    <s v="   "/>
    <n v="1"/>
    <n v="0.34"/>
    <n v="0"/>
    <x v="9"/>
  </r>
  <r>
    <s v="27400"/>
    <x v="183"/>
    <s v="Personnel"/>
    <s v="H "/>
    <x v="1"/>
    <x v="54"/>
    <s v="PSES High Prog01Act35 S275"/>
    <x v="0"/>
    <s v="35"/>
    <m/>
    <n v="35"/>
    <s v="   "/>
    <n v="10.936"/>
    <n v="0.34"/>
    <n v="0"/>
    <x v="9"/>
  </r>
  <r>
    <s v="27400"/>
    <x v="183"/>
    <s v="Personnel"/>
    <s v="E "/>
    <x v="0"/>
    <x v="15"/>
    <s v="PSES Elem Prog01Duty42 S275"/>
    <x v="0"/>
    <s v="42"/>
    <n v="42"/>
    <m/>
    <s v="   "/>
    <n v="18.474"/>
    <n v="0.34"/>
    <n v="0"/>
    <x v="12"/>
  </r>
  <r>
    <s v="27400"/>
    <x v="183"/>
    <s v="Personnel"/>
    <s v="H "/>
    <x v="1"/>
    <x v="77"/>
    <s v="PSES High Prog21Duty42 S275"/>
    <x v="1"/>
    <s v="42"/>
    <n v="42"/>
    <m/>
    <s v="   "/>
    <n v="1"/>
    <n v="0.34"/>
    <n v="0.34"/>
    <x v="13"/>
  </r>
  <r>
    <s v="27400"/>
    <x v="183"/>
    <s v="Personnel"/>
    <s v="H "/>
    <x v="1"/>
    <x v="16"/>
    <s v="PSES High Prog01Duty42 S275"/>
    <x v="0"/>
    <s v="42"/>
    <n v="42"/>
    <m/>
    <s v="   "/>
    <n v="6.5709999999999997"/>
    <n v="0.34"/>
    <n v="0"/>
    <x v="13"/>
  </r>
  <r>
    <s v="27400"/>
    <x v="183"/>
    <s v="Personnel"/>
    <s v="M "/>
    <x v="2"/>
    <x v="17"/>
    <s v="PSES Mid Prog01Duty42 S275"/>
    <x v="0"/>
    <s v="42"/>
    <n v="42"/>
    <m/>
    <s v="   "/>
    <n v="4.9550000000000001"/>
    <n v="0.34"/>
    <n v="0"/>
    <x v="14"/>
  </r>
  <r>
    <s v="27400"/>
    <x v="183"/>
    <s v="Personnel"/>
    <s v="H "/>
    <x v="1"/>
    <x v="19"/>
    <s v="PSES High Prog21Duty43 S275"/>
    <x v="1"/>
    <s v="43"/>
    <n v="43"/>
    <m/>
    <s v="   "/>
    <n v="9"/>
    <n v="0.34"/>
    <n v="3.06"/>
    <x v="16"/>
  </r>
  <r>
    <s v="27400"/>
    <x v="183"/>
    <s v="Personnel"/>
    <s v="H "/>
    <x v="1"/>
    <x v="43"/>
    <s v="PSES High Prog21Duty44 S275"/>
    <x v="1"/>
    <s v="44"/>
    <n v="44"/>
    <m/>
    <s v="   "/>
    <n v="1"/>
    <n v="0.34"/>
    <n v="0.34"/>
    <x v="34"/>
  </r>
  <r>
    <s v="27400"/>
    <x v="183"/>
    <s v="Personnel"/>
    <s v="H "/>
    <x v="1"/>
    <x v="21"/>
    <s v="PSES High Prog21Duty45 S275"/>
    <x v="1"/>
    <s v="45"/>
    <n v="45"/>
    <m/>
    <s v="   "/>
    <n v="8"/>
    <n v="0.34"/>
    <n v="2.72"/>
    <x v="18"/>
  </r>
  <r>
    <s v="27400"/>
    <x v="183"/>
    <s v="Personnel"/>
    <s v="H "/>
    <x v="1"/>
    <x v="23"/>
    <s v="PSES High Prog21Duty46 S275"/>
    <x v="1"/>
    <s v="46"/>
    <n v="46"/>
    <m/>
    <s v="   "/>
    <n v="3"/>
    <n v="0.34"/>
    <n v="1.02"/>
    <x v="20"/>
  </r>
  <r>
    <s v="27400"/>
    <x v="183"/>
    <s v="Personnel"/>
    <s v="E "/>
    <x v="0"/>
    <x v="32"/>
    <s v="PSES Elem Prog21Duty47 S275"/>
    <x v="1"/>
    <s v="47"/>
    <n v="47"/>
    <m/>
    <s v="   "/>
    <n v="0.2"/>
    <n v="0.34"/>
    <n v="6.8000000000000005E-2"/>
    <x v="24"/>
  </r>
  <r>
    <s v="27400"/>
    <x v="183"/>
    <s v="Personnel"/>
    <s v="E "/>
    <x v="0"/>
    <x v="27"/>
    <s v="PSES Elem Prog01Duty47 S275"/>
    <x v="0"/>
    <s v="47"/>
    <n v="47"/>
    <m/>
    <s v="   "/>
    <n v="1.333"/>
    <n v="0.34"/>
    <n v="0"/>
    <x v="24"/>
  </r>
  <r>
    <s v="27400"/>
    <x v="183"/>
    <s v="Personnel"/>
    <s v="H "/>
    <x v="1"/>
    <x v="25"/>
    <s v="PSES High Prog01Duty47 S275"/>
    <x v="0"/>
    <s v="47"/>
    <n v="47"/>
    <m/>
    <s v="   "/>
    <n v="9.5"/>
    <n v="0.34"/>
    <n v="0"/>
    <x v="22"/>
  </r>
  <r>
    <s v="27400"/>
    <x v="183"/>
    <s v="Personnel"/>
    <s v="M "/>
    <x v="2"/>
    <x v="34"/>
    <s v="PSES Mid Prog01Duty47 S275"/>
    <x v="0"/>
    <s v="47"/>
    <n v="47"/>
    <m/>
    <s v="   "/>
    <n v="0.66700000000000004"/>
    <n v="0.34"/>
    <n v="0"/>
    <x v="28"/>
  </r>
  <r>
    <s v="27400"/>
    <x v="183"/>
    <s v="Personnel"/>
    <s v="H "/>
    <x v="1"/>
    <x v="36"/>
    <s v="PSES High Prog21Duty48 S275"/>
    <x v="1"/>
    <s v="48"/>
    <n v="48"/>
    <m/>
    <s v="   "/>
    <n v="4.5"/>
    <n v="0.34"/>
    <n v="1.53"/>
    <x v="30"/>
  </r>
  <r>
    <s v="27401"/>
    <x v="184"/>
    <s v="Personnel"/>
    <s v="H "/>
    <x v="1"/>
    <x v="5"/>
    <s v="PSES High Prog01Act25 S275"/>
    <x v="0"/>
    <s v="25"/>
    <m/>
    <n v="25"/>
    <s v="   "/>
    <n v="17.452000000000002"/>
    <n v="0.2195"/>
    <n v="0"/>
    <x v="4"/>
  </r>
  <r>
    <s v="27401"/>
    <x v="184"/>
    <s v="Personnel"/>
    <s v="H "/>
    <x v="1"/>
    <x v="29"/>
    <s v="PSES High Prog21Act26 S275"/>
    <x v="1"/>
    <s v="26"/>
    <m/>
    <n v="26"/>
    <s v="   "/>
    <n v="2.4990000000000001"/>
    <n v="0.2195"/>
    <n v="0.54900000000000004"/>
    <x v="7"/>
  </r>
  <r>
    <s v="27401"/>
    <x v="184"/>
    <s v="Personnel"/>
    <s v="H "/>
    <x v="1"/>
    <x v="9"/>
    <s v="PSES High Prog01Act26 S275"/>
    <x v="0"/>
    <s v="26"/>
    <m/>
    <n v="26"/>
    <s v="   "/>
    <n v="10.635999999999999"/>
    <n v="0.2195"/>
    <n v="0"/>
    <x v="7"/>
  </r>
  <r>
    <s v="27401"/>
    <x v="184"/>
    <s v="Personnel"/>
    <s v="E "/>
    <x v="0"/>
    <x v="15"/>
    <s v="PSES Elem Prog01Duty42 S275"/>
    <x v="0"/>
    <s v="42"/>
    <n v="42"/>
    <m/>
    <s v="   "/>
    <n v="13.079000000000001"/>
    <n v="0.2195"/>
    <n v="0"/>
    <x v="12"/>
  </r>
  <r>
    <s v="27401"/>
    <x v="184"/>
    <s v="Personnel"/>
    <s v="H "/>
    <x v="1"/>
    <x v="16"/>
    <s v="PSES High Prog01Duty42 S275"/>
    <x v="0"/>
    <s v="42"/>
    <n v="42"/>
    <m/>
    <s v="   "/>
    <n v="11.25"/>
    <n v="0.2195"/>
    <n v="0"/>
    <x v="13"/>
  </r>
  <r>
    <s v="27401"/>
    <x v="184"/>
    <s v="Personnel"/>
    <s v="M "/>
    <x v="2"/>
    <x v="17"/>
    <s v="PSES Mid Prog01Duty42 S275"/>
    <x v="0"/>
    <s v="42"/>
    <n v="42"/>
    <m/>
    <s v="   "/>
    <n v="5.4710000000000001"/>
    <n v="0.2195"/>
    <n v="0"/>
    <x v="14"/>
  </r>
  <r>
    <s v="27401"/>
    <x v="184"/>
    <s v="Personnel"/>
    <s v="E "/>
    <x v="0"/>
    <x v="18"/>
    <s v="PSES Elem Prog21Duty43 S275"/>
    <x v="1"/>
    <s v="43"/>
    <n v="43"/>
    <m/>
    <s v="   "/>
    <n v="6.6520000000000001"/>
    <n v="0.2195"/>
    <n v="1.46"/>
    <x v="15"/>
  </r>
  <r>
    <s v="27401"/>
    <x v="184"/>
    <s v="Personnel"/>
    <s v="H "/>
    <x v="1"/>
    <x v="19"/>
    <s v="PSES High Prog21Duty43 S275"/>
    <x v="1"/>
    <s v="43"/>
    <n v="43"/>
    <m/>
    <s v="   "/>
    <n v="0.93100000000000005"/>
    <n v="0.2195"/>
    <n v="0.20399999999999999"/>
    <x v="16"/>
  </r>
  <r>
    <s v="27401"/>
    <x v="184"/>
    <s v="Personnel"/>
    <s v="M "/>
    <x v="2"/>
    <x v="31"/>
    <s v="PSES Mid Prog21Duty43 S275"/>
    <x v="1"/>
    <s v="43"/>
    <n v="43"/>
    <m/>
    <s v="   "/>
    <n v="0.81599999999999995"/>
    <n v="0.2195"/>
    <n v="0.17899999999999999"/>
    <x v="27"/>
  </r>
  <r>
    <s v="27401"/>
    <x v="184"/>
    <s v="Personnel"/>
    <s v="E "/>
    <x v="0"/>
    <x v="41"/>
    <s v="PSES Elem Prog21Duty44 S275"/>
    <x v="1"/>
    <s v="44"/>
    <n v="44"/>
    <m/>
    <s v="   "/>
    <n v="0.44500000000000001"/>
    <n v="0.2195"/>
    <n v="9.8000000000000004E-2"/>
    <x v="33"/>
  </r>
  <r>
    <s v="27401"/>
    <x v="184"/>
    <s v="Personnel"/>
    <s v="H "/>
    <x v="1"/>
    <x v="43"/>
    <s v="PSES High Prog21Duty44 S275"/>
    <x v="1"/>
    <s v="44"/>
    <n v="44"/>
    <m/>
    <s v="   "/>
    <n v="0.33300000000000002"/>
    <n v="0.2195"/>
    <n v="7.2999999999999995E-2"/>
    <x v="34"/>
  </r>
  <r>
    <s v="27401"/>
    <x v="184"/>
    <s v="Personnel"/>
    <s v="M "/>
    <x v="2"/>
    <x v="45"/>
    <s v="PSES Mid Prog21Duty44 S275"/>
    <x v="1"/>
    <s v="44"/>
    <n v="44"/>
    <m/>
    <s v="   "/>
    <n v="0.222"/>
    <n v="0.2195"/>
    <n v="4.9000000000000002E-2"/>
    <x v="35"/>
  </r>
  <r>
    <s v="27401"/>
    <x v="184"/>
    <s v="Personnel"/>
    <s v="E "/>
    <x v="0"/>
    <x v="20"/>
    <s v="PSES Elem Prog21Duty45 S275"/>
    <x v="1"/>
    <s v="45"/>
    <n v="45"/>
    <m/>
    <s v="   "/>
    <n v="14.04"/>
    <n v="0.2195"/>
    <n v="3.0819999999999999"/>
    <x v="17"/>
  </r>
  <r>
    <s v="27401"/>
    <x v="184"/>
    <s v="Personnel"/>
    <s v="H "/>
    <x v="1"/>
    <x v="21"/>
    <s v="PSES High Prog21Duty45 S275"/>
    <x v="1"/>
    <s v="45"/>
    <n v="45"/>
    <m/>
    <s v="   "/>
    <n v="1.208"/>
    <n v="0.2195"/>
    <n v="0.26500000000000001"/>
    <x v="18"/>
  </r>
  <r>
    <s v="27401"/>
    <x v="184"/>
    <s v="Personnel"/>
    <s v="M "/>
    <x v="2"/>
    <x v="28"/>
    <s v="PSES Mid Prog21Duty45 S275"/>
    <x v="1"/>
    <s v="45"/>
    <n v="45"/>
    <m/>
    <s v="   "/>
    <n v="0.82099999999999995"/>
    <n v="0.2195"/>
    <n v="0.18"/>
    <x v="25"/>
  </r>
  <r>
    <s v="27401"/>
    <x v="184"/>
    <s v="Personnel"/>
    <s v="E "/>
    <x v="0"/>
    <x v="22"/>
    <s v="PSES Elem Prog21Duty46 S275"/>
    <x v="1"/>
    <s v="46"/>
    <n v="46"/>
    <m/>
    <s v="   "/>
    <n v="6.0620000000000003"/>
    <n v="0.2195"/>
    <n v="1.331"/>
    <x v="19"/>
  </r>
  <r>
    <s v="27401"/>
    <x v="184"/>
    <s v="Personnel"/>
    <s v="H "/>
    <x v="1"/>
    <x v="23"/>
    <s v="PSES High Prog21Duty46 S275"/>
    <x v="1"/>
    <s v="46"/>
    <n v="46"/>
    <m/>
    <s v="   "/>
    <n v="3.3079999999999998"/>
    <n v="0.2195"/>
    <n v="0.72599999999999998"/>
    <x v="20"/>
  </r>
  <r>
    <s v="27401"/>
    <x v="184"/>
    <s v="Personnel"/>
    <s v="M "/>
    <x v="2"/>
    <x v="24"/>
    <s v="PSES Mid Prog21Duty46 S275"/>
    <x v="1"/>
    <s v="46"/>
    <n v="46"/>
    <m/>
    <s v="   "/>
    <n v="1.8879999999999999"/>
    <n v="0.2195"/>
    <n v="0.41399999999999998"/>
    <x v="21"/>
  </r>
  <r>
    <s v="27401"/>
    <x v="184"/>
    <s v="Personnel"/>
    <s v="E "/>
    <x v="0"/>
    <x v="32"/>
    <s v="PSES Elem Prog21Duty47 S275"/>
    <x v="1"/>
    <s v="47"/>
    <n v="47"/>
    <m/>
    <s v="   "/>
    <n v="0.64500000000000002"/>
    <n v="0.2195"/>
    <n v="0.14199999999999999"/>
    <x v="24"/>
  </r>
  <r>
    <s v="27401"/>
    <x v="184"/>
    <s v="Personnel"/>
    <s v="E "/>
    <x v="0"/>
    <x v="27"/>
    <s v="PSES Elem Prog01Duty47 S275"/>
    <x v="0"/>
    <s v="47"/>
    <n v="47"/>
    <m/>
    <s v="   "/>
    <n v="5.8019999999999996"/>
    <n v="0.2195"/>
    <n v="0"/>
    <x v="24"/>
  </r>
  <r>
    <s v="27401"/>
    <x v="184"/>
    <s v="Personnel"/>
    <s v="H "/>
    <x v="1"/>
    <x v="61"/>
    <s v="PSES High Prog21Duty47 S275"/>
    <x v="1"/>
    <s v="47"/>
    <n v="47"/>
    <m/>
    <s v="   "/>
    <n v="0.14000000000000001"/>
    <n v="0.2195"/>
    <n v="3.1E-2"/>
    <x v="22"/>
  </r>
  <r>
    <s v="27401"/>
    <x v="184"/>
    <s v="Personnel"/>
    <s v="H "/>
    <x v="1"/>
    <x v="25"/>
    <s v="PSES High Prog01Duty47 S275"/>
    <x v="0"/>
    <s v="47"/>
    <n v="47"/>
    <m/>
    <s v="   "/>
    <n v="1.512"/>
    <n v="0.2195"/>
    <n v="0"/>
    <x v="22"/>
  </r>
  <r>
    <s v="27401"/>
    <x v="184"/>
    <s v="Personnel"/>
    <s v="M "/>
    <x v="2"/>
    <x v="33"/>
    <s v="PSES Mid Prog21Duty47 S275"/>
    <x v="1"/>
    <s v="47"/>
    <n v="47"/>
    <m/>
    <s v="   "/>
    <n v="0.122"/>
    <n v="0.2195"/>
    <n v="2.7E-2"/>
    <x v="28"/>
  </r>
  <r>
    <s v="27401"/>
    <x v="184"/>
    <s v="Personnel"/>
    <s v="M "/>
    <x v="2"/>
    <x v="34"/>
    <s v="PSES Mid Prog01Duty47 S275"/>
    <x v="0"/>
    <s v="47"/>
    <n v="47"/>
    <m/>
    <s v="   "/>
    <n v="0.77900000000000003"/>
    <n v="0.2195"/>
    <n v="0"/>
    <x v="28"/>
  </r>
  <r>
    <s v="27401"/>
    <x v="184"/>
    <s v="Personnel"/>
    <s v="E "/>
    <x v="0"/>
    <x v="35"/>
    <s v="PSES Elem Prog21Duty48 S275"/>
    <x v="1"/>
    <s v="48"/>
    <n v="48"/>
    <m/>
    <s v="   "/>
    <n v="1.0760000000000001"/>
    <n v="0.2195"/>
    <n v="0.23599999999999999"/>
    <x v="29"/>
  </r>
  <r>
    <s v="27401"/>
    <x v="184"/>
    <s v="Personnel"/>
    <s v="H "/>
    <x v="1"/>
    <x v="36"/>
    <s v="PSES High Prog21Duty48 S275"/>
    <x v="1"/>
    <s v="48"/>
    <n v="48"/>
    <m/>
    <s v="   "/>
    <n v="0.61599999999999999"/>
    <n v="0.2195"/>
    <n v="0.13500000000000001"/>
    <x v="30"/>
  </r>
  <r>
    <s v="27401"/>
    <x v="184"/>
    <s v="Personnel"/>
    <s v="M "/>
    <x v="2"/>
    <x v="37"/>
    <s v="PSES Mid Prog21Duty48 S275"/>
    <x v="1"/>
    <s v="48"/>
    <n v="48"/>
    <m/>
    <s v="   "/>
    <n v="0.308"/>
    <n v="0.2195"/>
    <n v="6.8000000000000005E-2"/>
    <x v="31"/>
  </r>
  <r>
    <s v="27402"/>
    <x v="185"/>
    <s v="Personnel"/>
    <s v="H "/>
    <x v="1"/>
    <x v="1"/>
    <s v="PSES High Prog01Duty96 S275"/>
    <x v="0"/>
    <s v="24"/>
    <n v="96"/>
    <n v="24"/>
    <s v="   "/>
    <n v="0.59099999999999997"/>
    <n v="0.31130000000000002"/>
    <n v="0"/>
    <x v="1"/>
  </r>
  <r>
    <s v="27402"/>
    <x v="185"/>
    <s v="Personnel"/>
    <s v="H "/>
    <x v="1"/>
    <x v="5"/>
    <s v="PSES High Prog01Act25 S275"/>
    <x v="0"/>
    <s v="25"/>
    <m/>
    <n v="25"/>
    <s v="   "/>
    <n v="11.215"/>
    <n v="0.31130000000000002"/>
    <n v="0"/>
    <x v="4"/>
  </r>
  <r>
    <s v="27402"/>
    <x v="185"/>
    <s v="Personnel"/>
    <s v="H "/>
    <x v="1"/>
    <x v="29"/>
    <s v="PSES High Prog21Act26 S275"/>
    <x v="1"/>
    <s v="26"/>
    <m/>
    <n v="26"/>
    <s v="   "/>
    <n v="0.76900000000000002"/>
    <n v="0.31130000000000002"/>
    <n v="0.23899999999999999"/>
    <x v="7"/>
  </r>
  <r>
    <s v="27402"/>
    <x v="185"/>
    <s v="Personnel"/>
    <s v="H "/>
    <x v="1"/>
    <x v="9"/>
    <s v="PSES High Prog01Act26 S275"/>
    <x v="0"/>
    <s v="26"/>
    <m/>
    <n v="26"/>
    <s v="   "/>
    <n v="9.8420000000000005"/>
    <n v="0.31130000000000002"/>
    <n v="0"/>
    <x v="7"/>
  </r>
  <r>
    <s v="27402"/>
    <x v="185"/>
    <s v="Personnel"/>
    <s v="E "/>
    <x v="0"/>
    <x v="76"/>
    <s v="PSES Elem Prog21Duty42 S275"/>
    <x v="1"/>
    <s v="42"/>
    <n v="42"/>
    <m/>
    <s v="   "/>
    <n v="2.83"/>
    <n v="0.31130000000000002"/>
    <n v="0.88100000000000001"/>
    <x v="12"/>
  </r>
  <r>
    <s v="27402"/>
    <x v="185"/>
    <s v="Personnel"/>
    <s v="E "/>
    <x v="0"/>
    <x v="15"/>
    <s v="PSES Elem Prog01Duty42 S275"/>
    <x v="0"/>
    <s v="42"/>
    <n v="42"/>
    <m/>
    <s v="   "/>
    <n v="8.99"/>
    <n v="0.31130000000000002"/>
    <n v="0"/>
    <x v="12"/>
  </r>
  <r>
    <s v="27402"/>
    <x v="185"/>
    <s v="Personnel"/>
    <s v="H "/>
    <x v="1"/>
    <x v="77"/>
    <s v="PSES High Prog21Duty42 S275"/>
    <x v="1"/>
    <s v="42"/>
    <n v="42"/>
    <m/>
    <s v="   "/>
    <n v="1.25"/>
    <n v="0.31130000000000002"/>
    <n v="0.38900000000000001"/>
    <x v="13"/>
  </r>
  <r>
    <s v="27402"/>
    <x v="185"/>
    <s v="Personnel"/>
    <s v="H "/>
    <x v="1"/>
    <x v="16"/>
    <s v="PSES High Prog01Duty42 S275"/>
    <x v="0"/>
    <s v="42"/>
    <n v="42"/>
    <m/>
    <s v="   "/>
    <n v="9"/>
    <n v="0.31130000000000002"/>
    <n v="0"/>
    <x v="13"/>
  </r>
  <r>
    <s v="27402"/>
    <x v="185"/>
    <s v="Personnel"/>
    <s v="M "/>
    <x v="2"/>
    <x v="75"/>
    <s v="PSES Mid Prog21Duty42 S275"/>
    <x v="1"/>
    <s v="42"/>
    <n v="42"/>
    <m/>
    <s v="   "/>
    <n v="0.92"/>
    <n v="0.31130000000000002"/>
    <n v="0.28599999999999998"/>
    <x v="14"/>
  </r>
  <r>
    <s v="27402"/>
    <x v="185"/>
    <s v="Personnel"/>
    <s v="M "/>
    <x v="2"/>
    <x v="17"/>
    <s v="PSES Mid Prog01Duty42 S275"/>
    <x v="0"/>
    <s v="42"/>
    <n v="42"/>
    <m/>
    <s v="   "/>
    <n v="5.01"/>
    <n v="0.31130000000000002"/>
    <n v="0"/>
    <x v="14"/>
  </r>
  <r>
    <s v="27402"/>
    <x v="185"/>
    <s v="Personnel"/>
    <s v="E "/>
    <x v="0"/>
    <x v="18"/>
    <s v="PSES Elem Prog21Duty43 S275"/>
    <x v="1"/>
    <s v="43"/>
    <n v="43"/>
    <m/>
    <s v="   "/>
    <n v="4.2300000000000004"/>
    <n v="0.31130000000000002"/>
    <n v="1.3169999999999999"/>
    <x v="15"/>
  </r>
  <r>
    <s v="27402"/>
    <x v="185"/>
    <s v="Personnel"/>
    <s v="H "/>
    <x v="1"/>
    <x v="19"/>
    <s v="PSES High Prog21Duty43 S275"/>
    <x v="1"/>
    <s v="43"/>
    <n v="43"/>
    <m/>
    <s v="   "/>
    <n v="0.17699999999999999"/>
    <n v="0.31130000000000002"/>
    <n v="5.5E-2"/>
    <x v="16"/>
  </r>
  <r>
    <s v="27402"/>
    <x v="185"/>
    <s v="Personnel"/>
    <s v="M "/>
    <x v="2"/>
    <x v="31"/>
    <s v="PSES Mid Prog21Duty43 S275"/>
    <x v="1"/>
    <s v="43"/>
    <n v="43"/>
    <m/>
    <s v="   "/>
    <n v="6.3E-2"/>
    <n v="0.31130000000000002"/>
    <n v="0.02"/>
    <x v="27"/>
  </r>
  <r>
    <s v="27402"/>
    <x v="185"/>
    <s v="Personnel"/>
    <s v="E "/>
    <x v="0"/>
    <x v="20"/>
    <s v="PSES Elem Prog21Duty45 S275"/>
    <x v="1"/>
    <s v="45"/>
    <n v="45"/>
    <m/>
    <s v="   "/>
    <n v="7.3490000000000002"/>
    <n v="0.31130000000000002"/>
    <n v="2.2879999999999998"/>
    <x v="17"/>
  </r>
  <r>
    <s v="27402"/>
    <x v="185"/>
    <s v="Personnel"/>
    <s v="H "/>
    <x v="1"/>
    <x v="21"/>
    <s v="PSES High Prog21Duty45 S275"/>
    <x v="1"/>
    <s v="45"/>
    <n v="45"/>
    <m/>
    <s v="   "/>
    <n v="1.5940000000000001"/>
    <n v="0.31130000000000002"/>
    <n v="0.496"/>
    <x v="18"/>
  </r>
  <r>
    <s v="27402"/>
    <x v="185"/>
    <s v="Personnel"/>
    <s v="M "/>
    <x v="2"/>
    <x v="28"/>
    <s v="PSES Mid Prog21Duty45 S275"/>
    <x v="1"/>
    <s v="45"/>
    <n v="45"/>
    <m/>
    <s v="   "/>
    <n v="0.45700000000000002"/>
    <n v="0.31130000000000002"/>
    <n v="0.14199999999999999"/>
    <x v="25"/>
  </r>
  <r>
    <s v="27402"/>
    <x v="185"/>
    <s v="Personnel"/>
    <s v="E "/>
    <x v="0"/>
    <x v="22"/>
    <s v="PSES Elem Prog21Duty46 S275"/>
    <x v="1"/>
    <s v="46"/>
    <n v="46"/>
    <m/>
    <s v="   "/>
    <n v="6.4"/>
    <n v="0.31130000000000002"/>
    <n v="1.992"/>
    <x v="19"/>
  </r>
  <r>
    <s v="27402"/>
    <x v="185"/>
    <s v="Personnel"/>
    <s v="H "/>
    <x v="1"/>
    <x v="23"/>
    <s v="PSES High Prog21Duty46 S275"/>
    <x v="1"/>
    <s v="46"/>
    <n v="46"/>
    <m/>
    <s v="   "/>
    <n v="3"/>
    <n v="0.31130000000000002"/>
    <n v="0.93400000000000005"/>
    <x v="20"/>
  </r>
  <r>
    <s v="27402"/>
    <x v="185"/>
    <s v="Personnel"/>
    <s v="E "/>
    <x v="0"/>
    <x v="35"/>
    <s v="PSES Elem Prog21Duty48 S275"/>
    <x v="1"/>
    <s v="48"/>
    <n v="48"/>
    <m/>
    <s v="   "/>
    <n v="1.877"/>
    <n v="0.31130000000000002"/>
    <n v="0.58399999999999996"/>
    <x v="29"/>
  </r>
  <r>
    <s v="27402"/>
    <x v="185"/>
    <s v="Personnel"/>
    <s v="H "/>
    <x v="1"/>
    <x v="36"/>
    <s v="PSES High Prog21Duty48 S275"/>
    <x v="1"/>
    <s v="48"/>
    <n v="48"/>
    <m/>
    <s v="   "/>
    <n v="0.23499999999999999"/>
    <n v="0.31130000000000002"/>
    <n v="7.2999999999999995E-2"/>
    <x v="30"/>
  </r>
  <r>
    <s v="27403"/>
    <x v="186"/>
    <s v="Personnel"/>
    <s v="H "/>
    <x v="1"/>
    <x v="86"/>
    <s v="PSES High Prog21Duty96 S275"/>
    <x v="1"/>
    <s v="24"/>
    <n v="96"/>
    <n v="24"/>
    <s v="   "/>
    <n v="1"/>
    <n v="0.31690000000000002"/>
    <n v="0.317"/>
    <x v="1"/>
  </r>
  <r>
    <s v="27403"/>
    <x v="186"/>
    <s v="Personnel"/>
    <s v="H "/>
    <x v="1"/>
    <x v="4"/>
    <s v="PSES High Prog21Act25 S275"/>
    <x v="1"/>
    <s v="25"/>
    <m/>
    <n v="25"/>
    <s v="   "/>
    <n v="18.294"/>
    <n v="0.31690000000000002"/>
    <n v="5.7969999999999997"/>
    <x v="4"/>
  </r>
  <r>
    <s v="27403"/>
    <x v="186"/>
    <s v="Personnel"/>
    <s v="H "/>
    <x v="1"/>
    <x v="5"/>
    <s v="PSES High Prog01Act25 S275"/>
    <x v="0"/>
    <s v="25"/>
    <m/>
    <n v="25"/>
    <s v="   "/>
    <n v="20.783999999999999"/>
    <n v="0.31690000000000002"/>
    <n v="0"/>
    <x v="4"/>
  </r>
  <r>
    <s v="27403"/>
    <x v="186"/>
    <s v="Personnel"/>
    <s v="H "/>
    <x v="1"/>
    <x v="29"/>
    <s v="PSES High Prog21Act26 S275"/>
    <x v="1"/>
    <s v="26"/>
    <m/>
    <n v="26"/>
    <s v="   "/>
    <n v="11.35"/>
    <n v="0.31690000000000002"/>
    <n v="3.597"/>
    <x v="7"/>
  </r>
  <r>
    <s v="27403"/>
    <x v="186"/>
    <s v="Personnel"/>
    <s v="H "/>
    <x v="1"/>
    <x v="9"/>
    <s v="PSES High Prog01Act26 S275"/>
    <x v="0"/>
    <s v="26"/>
    <m/>
    <n v="26"/>
    <s v="   "/>
    <n v="19.962"/>
    <n v="0.31690000000000002"/>
    <n v="0"/>
    <x v="7"/>
  </r>
  <r>
    <s v="27403"/>
    <x v="186"/>
    <s v="Personnel"/>
    <s v="H "/>
    <x v="1"/>
    <x v="54"/>
    <s v="PSES High Prog01Act35 S275"/>
    <x v="0"/>
    <s v="35"/>
    <m/>
    <n v="35"/>
    <s v="   "/>
    <n v="12.162000000000001"/>
    <n v="0.31690000000000002"/>
    <n v="0"/>
    <x v="9"/>
  </r>
  <r>
    <s v="27403"/>
    <x v="186"/>
    <s v="Personnel"/>
    <s v="E "/>
    <x v="0"/>
    <x v="15"/>
    <s v="PSES Elem Prog01Duty42 S275"/>
    <x v="0"/>
    <s v="42"/>
    <n v="42"/>
    <m/>
    <s v="   "/>
    <n v="14.962"/>
    <n v="0.31690000000000002"/>
    <n v="0"/>
    <x v="12"/>
  </r>
  <r>
    <s v="27403"/>
    <x v="186"/>
    <s v="Personnel"/>
    <s v="H "/>
    <x v="1"/>
    <x v="77"/>
    <s v="PSES High Prog21Duty42 S275"/>
    <x v="1"/>
    <s v="42"/>
    <n v="42"/>
    <m/>
    <s v="   "/>
    <n v="1"/>
    <n v="0.31690000000000002"/>
    <n v="0.317"/>
    <x v="13"/>
  </r>
  <r>
    <s v="27403"/>
    <x v="186"/>
    <s v="Personnel"/>
    <s v="H "/>
    <x v="1"/>
    <x v="16"/>
    <s v="PSES High Prog01Duty42 S275"/>
    <x v="0"/>
    <s v="42"/>
    <n v="42"/>
    <m/>
    <s v="   "/>
    <n v="12.2"/>
    <n v="0.31690000000000002"/>
    <n v="0"/>
    <x v="13"/>
  </r>
  <r>
    <s v="27403"/>
    <x v="186"/>
    <s v="Personnel"/>
    <s v="M "/>
    <x v="2"/>
    <x v="17"/>
    <s v="PSES Mid Prog01Duty42 S275"/>
    <x v="0"/>
    <s v="42"/>
    <n v="42"/>
    <m/>
    <s v="   "/>
    <n v="6.6379999999999999"/>
    <n v="0.31690000000000002"/>
    <n v="0"/>
    <x v="14"/>
  </r>
  <r>
    <s v="27403"/>
    <x v="186"/>
    <s v="Personnel"/>
    <s v="E "/>
    <x v="0"/>
    <x v="18"/>
    <s v="PSES Elem Prog21Duty43 S275"/>
    <x v="1"/>
    <s v="43"/>
    <n v="43"/>
    <m/>
    <s v="   "/>
    <n v="7.3410000000000002"/>
    <n v="0.31690000000000002"/>
    <n v="2.3260000000000001"/>
    <x v="15"/>
  </r>
  <r>
    <s v="27403"/>
    <x v="186"/>
    <s v="Personnel"/>
    <s v="H "/>
    <x v="1"/>
    <x v="19"/>
    <s v="PSES High Prog21Duty43 S275"/>
    <x v="1"/>
    <s v="43"/>
    <n v="43"/>
    <m/>
    <s v="   "/>
    <n v="0.307"/>
    <n v="0.31690000000000002"/>
    <n v="9.7000000000000003E-2"/>
    <x v="16"/>
  </r>
  <r>
    <s v="27403"/>
    <x v="186"/>
    <s v="Personnel"/>
    <s v="M "/>
    <x v="2"/>
    <x v="31"/>
    <s v="PSES Mid Prog21Duty43 S275"/>
    <x v="1"/>
    <s v="43"/>
    <n v="43"/>
    <m/>
    <s v="   "/>
    <n v="0.73099999999999998"/>
    <n v="0.31690000000000002"/>
    <n v="0.23200000000000001"/>
    <x v="27"/>
  </r>
  <r>
    <s v="27403"/>
    <x v="186"/>
    <s v="Personnel"/>
    <s v="E "/>
    <x v="0"/>
    <x v="42"/>
    <s v="PSES Elem Prog01Duty44 S275"/>
    <x v="0"/>
    <s v="44"/>
    <n v="44"/>
    <m/>
    <s v="   "/>
    <n v="8.8179999999999996"/>
    <n v="0.31690000000000002"/>
    <n v="0"/>
    <x v="33"/>
  </r>
  <r>
    <s v="27403"/>
    <x v="186"/>
    <s v="Personnel"/>
    <s v="H "/>
    <x v="1"/>
    <x v="44"/>
    <s v="PSES High Prog01Duty44 S275"/>
    <x v="0"/>
    <s v="44"/>
    <n v="44"/>
    <m/>
    <s v="   "/>
    <n v="3.4"/>
    <n v="0.31690000000000002"/>
    <n v="0"/>
    <x v="34"/>
  </r>
  <r>
    <s v="27403"/>
    <x v="186"/>
    <s v="Personnel"/>
    <s v="M "/>
    <x v="2"/>
    <x v="46"/>
    <s v="PSES Mid Prog01Duty44 S275"/>
    <x v="0"/>
    <s v="44"/>
    <n v="44"/>
    <m/>
    <s v="   "/>
    <n v="2.4820000000000002"/>
    <n v="0.31690000000000002"/>
    <n v="0"/>
    <x v="35"/>
  </r>
  <r>
    <s v="27403"/>
    <x v="186"/>
    <s v="Personnel"/>
    <s v="E "/>
    <x v="0"/>
    <x v="20"/>
    <s v="PSES Elem Prog21Duty45 S275"/>
    <x v="1"/>
    <s v="45"/>
    <n v="45"/>
    <m/>
    <s v="   "/>
    <n v="7.6"/>
    <n v="0.31690000000000002"/>
    <n v="2.4079999999999999"/>
    <x v="17"/>
  </r>
  <r>
    <s v="27403"/>
    <x v="186"/>
    <s v="Personnel"/>
    <s v="E "/>
    <x v="0"/>
    <x v="22"/>
    <s v="PSES Elem Prog21Duty46 S275"/>
    <x v="1"/>
    <s v="46"/>
    <n v="46"/>
    <m/>
    <s v="   "/>
    <n v="5.66"/>
    <n v="0.31690000000000002"/>
    <n v="1.794"/>
    <x v="19"/>
  </r>
  <r>
    <s v="27403"/>
    <x v="186"/>
    <s v="Personnel"/>
    <s v="H "/>
    <x v="1"/>
    <x v="23"/>
    <s v="PSES High Prog21Duty46 S275"/>
    <x v="1"/>
    <s v="46"/>
    <n v="46"/>
    <m/>
    <s v="   "/>
    <n v="1"/>
    <n v="0.31690000000000002"/>
    <n v="0.317"/>
    <x v="20"/>
  </r>
  <r>
    <s v="27403"/>
    <x v="186"/>
    <s v="Personnel"/>
    <s v="M "/>
    <x v="2"/>
    <x v="24"/>
    <s v="PSES Mid Prog21Duty46 S275"/>
    <x v="1"/>
    <s v="46"/>
    <n v="46"/>
    <m/>
    <s v="   "/>
    <n v="1.34"/>
    <n v="0.31690000000000002"/>
    <n v="0.42499999999999999"/>
    <x v="21"/>
  </r>
  <r>
    <s v="27403"/>
    <x v="186"/>
    <s v="Personnel"/>
    <s v="E "/>
    <x v="0"/>
    <x v="27"/>
    <s v="PSES Elem Prog01Duty47 S275"/>
    <x v="0"/>
    <s v="47"/>
    <n v="47"/>
    <m/>
    <s v="   "/>
    <n v="11.964"/>
    <n v="0.31690000000000002"/>
    <n v="0"/>
    <x v="24"/>
  </r>
  <r>
    <s v="27403"/>
    <x v="186"/>
    <s v="Personnel"/>
    <s v="H "/>
    <x v="1"/>
    <x v="25"/>
    <s v="PSES High Prog01Duty47 S275"/>
    <x v="0"/>
    <s v="47"/>
    <n v="47"/>
    <m/>
    <s v="   "/>
    <n v="3.1240000000000001"/>
    <n v="0.31690000000000002"/>
    <n v="0"/>
    <x v="22"/>
  </r>
  <r>
    <s v="27403"/>
    <x v="186"/>
    <s v="Personnel"/>
    <s v="M "/>
    <x v="2"/>
    <x v="34"/>
    <s v="PSES Mid Prog01Duty47 S275"/>
    <x v="0"/>
    <s v="47"/>
    <n v="47"/>
    <m/>
    <s v="   "/>
    <n v="1.712"/>
    <n v="0.31690000000000002"/>
    <n v="0"/>
    <x v="28"/>
  </r>
  <r>
    <s v="27403"/>
    <x v="186"/>
    <s v="Personnel"/>
    <s v="E "/>
    <x v="0"/>
    <x v="35"/>
    <s v="PSES Elem Prog21Duty48 S275"/>
    <x v="1"/>
    <s v="48"/>
    <n v="48"/>
    <m/>
    <s v="   "/>
    <n v="1.62"/>
    <n v="0.31690000000000002"/>
    <n v="0.51300000000000001"/>
    <x v="29"/>
  </r>
  <r>
    <s v="27403"/>
    <x v="186"/>
    <s v="Personnel"/>
    <s v="H "/>
    <x v="1"/>
    <x v="36"/>
    <s v="PSES High Prog21Duty48 S275"/>
    <x v="1"/>
    <s v="48"/>
    <n v="48"/>
    <m/>
    <s v="   "/>
    <n v="0.93"/>
    <n v="0.31690000000000002"/>
    <n v="0.29499999999999998"/>
    <x v="30"/>
  </r>
  <r>
    <s v="27403"/>
    <x v="186"/>
    <s v="Personnel"/>
    <s v="M "/>
    <x v="2"/>
    <x v="37"/>
    <s v="PSES Mid Prog21Duty48 S275"/>
    <x v="1"/>
    <s v="48"/>
    <n v="48"/>
    <m/>
    <s v="   "/>
    <n v="0.45"/>
    <n v="0.31690000000000002"/>
    <n v="0.14299999999999999"/>
    <x v="31"/>
  </r>
  <r>
    <s v="27403"/>
    <x v="186"/>
    <s v="Personnel"/>
    <s v="E "/>
    <x v="0"/>
    <x v="38"/>
    <s v="PSES Elem Prog21Duty64 S275"/>
    <x v="1"/>
    <s v="64"/>
    <n v="64"/>
    <m/>
    <s v="   "/>
    <n v="23.225000000000001"/>
    <n v="0.31690000000000002"/>
    <n v="7.36"/>
    <x v="32"/>
  </r>
  <r>
    <s v="27403"/>
    <x v="186"/>
    <s v="Personnel"/>
    <s v="H "/>
    <x v="1"/>
    <x v="59"/>
    <s v="PSES High Prog21Duty64 S275"/>
    <x v="1"/>
    <s v="64"/>
    <n v="64"/>
    <m/>
    <s v="   "/>
    <n v="1.9610000000000001"/>
    <n v="0.31690000000000002"/>
    <n v="0.621"/>
    <x v="38"/>
  </r>
  <r>
    <s v="27403"/>
    <x v="186"/>
    <s v="Personnel"/>
    <s v="M "/>
    <x v="2"/>
    <x v="60"/>
    <s v="PSES Mid Prog21Duty64 S275"/>
    <x v="1"/>
    <s v="64"/>
    <n v="64"/>
    <m/>
    <s v="   "/>
    <n v="7.6139999999999999"/>
    <n v="0.31690000000000002"/>
    <n v="2.4129999999999998"/>
    <x v="39"/>
  </r>
  <r>
    <s v="27403"/>
    <x v="186"/>
    <s v="Personnel"/>
    <m/>
    <x v="0"/>
    <x v="84"/>
    <s v="PSES Elem Prog09Duty26 S275"/>
    <x v="3"/>
    <s v="26"/>
    <n v="91"/>
    <n v="26"/>
    <m/>
    <n v="0.36199999999999999"/>
    <n v="0.31690000000000002"/>
    <n v="0"/>
    <x v="45"/>
  </r>
  <r>
    <s v="27403"/>
    <x v="186"/>
    <s v="Personnel"/>
    <m/>
    <x v="0"/>
    <x v="84"/>
    <s v="PSES Elem Prog09Duty26 S275"/>
    <x v="3"/>
    <s v="26"/>
    <n v="91"/>
    <n v="26"/>
    <m/>
    <n v="0.36199999999999999"/>
    <n v="0.31690000000000002"/>
    <n v="0"/>
    <x v="45"/>
  </r>
  <r>
    <s v="27404"/>
    <x v="187"/>
    <s v="Personnel"/>
    <s v="E "/>
    <x v="0"/>
    <x v="3"/>
    <s v="PSES Elem Prog01Act25 S275"/>
    <x v="0"/>
    <s v="25"/>
    <m/>
    <n v="25"/>
    <s v="   "/>
    <n v="0.83399999999999996"/>
    <n v="0.26800000000000002"/>
    <n v="0"/>
    <x v="3"/>
  </r>
  <r>
    <s v="27404"/>
    <x v="187"/>
    <s v="Personnel"/>
    <s v="H "/>
    <x v="1"/>
    <x v="4"/>
    <s v="PSES High Prog21Act25 S275"/>
    <x v="1"/>
    <s v="25"/>
    <m/>
    <n v="25"/>
    <s v="   "/>
    <n v="1.0720000000000001"/>
    <n v="0.26800000000000002"/>
    <n v="0.28699999999999998"/>
    <x v="4"/>
  </r>
  <r>
    <s v="27404"/>
    <x v="187"/>
    <s v="Personnel"/>
    <s v="H "/>
    <x v="1"/>
    <x v="5"/>
    <s v="PSES High Prog01Act25 S275"/>
    <x v="0"/>
    <s v="25"/>
    <m/>
    <n v="25"/>
    <s v="   "/>
    <n v="2.028"/>
    <n v="0.26800000000000002"/>
    <n v="0"/>
    <x v="4"/>
  </r>
  <r>
    <s v="27404"/>
    <x v="187"/>
    <s v="Personnel"/>
    <s v="E "/>
    <x v="0"/>
    <x v="8"/>
    <s v="PSES Elem Prog01Act26 S275"/>
    <x v="0"/>
    <s v="26"/>
    <m/>
    <n v="26"/>
    <s v="   "/>
    <n v="0.872"/>
    <n v="0.26800000000000002"/>
    <n v="0"/>
    <x v="6"/>
  </r>
  <r>
    <s v="27404"/>
    <x v="187"/>
    <s v="Personnel"/>
    <s v="H "/>
    <x v="1"/>
    <x v="29"/>
    <s v="PSES High Prog21Act26 S275"/>
    <x v="1"/>
    <s v="26"/>
    <m/>
    <n v="26"/>
    <s v="   "/>
    <n v="0.56599999999999995"/>
    <n v="0.26800000000000002"/>
    <n v="0.152"/>
    <x v="7"/>
  </r>
  <r>
    <s v="27404"/>
    <x v="187"/>
    <s v="Personnel"/>
    <s v="H "/>
    <x v="1"/>
    <x v="9"/>
    <s v="PSES High Prog01Act26 S275"/>
    <x v="0"/>
    <s v="26"/>
    <m/>
    <n v="26"/>
    <s v="   "/>
    <n v="0.878"/>
    <n v="0.26800000000000002"/>
    <n v="0"/>
    <x v="7"/>
  </r>
  <r>
    <s v="27404"/>
    <x v="187"/>
    <s v="Personnel"/>
    <s v="M "/>
    <x v="2"/>
    <x v="11"/>
    <s v="PSES Mid Prog01Act26 S275"/>
    <x v="0"/>
    <s v="26"/>
    <m/>
    <n v="26"/>
    <s v="   "/>
    <n v="0.27500000000000002"/>
    <n v="0.26800000000000002"/>
    <n v="0"/>
    <x v="8"/>
  </r>
  <r>
    <s v="27404"/>
    <x v="187"/>
    <s v="Personnel"/>
    <s v="E "/>
    <x v="0"/>
    <x v="15"/>
    <s v="PSES Elem Prog01Duty42 S275"/>
    <x v="0"/>
    <s v="42"/>
    <n v="42"/>
    <m/>
    <s v="   "/>
    <n v="2.617"/>
    <n v="0.26800000000000002"/>
    <n v="0"/>
    <x v="12"/>
  </r>
  <r>
    <s v="27404"/>
    <x v="187"/>
    <s v="Personnel"/>
    <s v="H "/>
    <x v="1"/>
    <x v="16"/>
    <s v="PSES High Prog01Duty42 S275"/>
    <x v="0"/>
    <s v="42"/>
    <n v="42"/>
    <m/>
    <s v="   "/>
    <n v="1.3"/>
    <n v="0.26800000000000002"/>
    <n v="0"/>
    <x v="13"/>
  </r>
  <r>
    <s v="27404"/>
    <x v="187"/>
    <s v="Personnel"/>
    <s v="E "/>
    <x v="0"/>
    <x v="42"/>
    <s v="PSES Elem Prog01Duty44 S275"/>
    <x v="0"/>
    <s v="44"/>
    <n v="44"/>
    <m/>
    <s v="   "/>
    <n v="0.2"/>
    <n v="0.26800000000000002"/>
    <n v="0"/>
    <x v="33"/>
  </r>
  <r>
    <s v="27404"/>
    <x v="187"/>
    <s v="Personnel"/>
    <s v="M "/>
    <x v="2"/>
    <x v="46"/>
    <s v="PSES Mid Prog01Duty44 S275"/>
    <x v="0"/>
    <s v="44"/>
    <n v="44"/>
    <m/>
    <s v="   "/>
    <n v="1.55"/>
    <n v="0.26800000000000002"/>
    <n v="0"/>
    <x v="35"/>
  </r>
  <r>
    <s v="27404"/>
    <x v="187"/>
    <s v="Personnel"/>
    <s v="E "/>
    <x v="0"/>
    <x v="20"/>
    <s v="PSES Elem Prog21Duty45 S275"/>
    <x v="1"/>
    <s v="45"/>
    <n v="45"/>
    <m/>
    <s v="   "/>
    <n v="1"/>
    <n v="0.26800000000000002"/>
    <n v="0.26800000000000002"/>
    <x v="17"/>
  </r>
  <r>
    <s v="27404"/>
    <x v="187"/>
    <s v="Personnel"/>
    <s v="E "/>
    <x v="0"/>
    <x v="22"/>
    <s v="PSES Elem Prog21Duty46 S275"/>
    <x v="1"/>
    <s v="46"/>
    <n v="46"/>
    <m/>
    <s v="   "/>
    <n v="0.25"/>
    <n v="0.26800000000000002"/>
    <n v="6.7000000000000004E-2"/>
    <x v="19"/>
  </r>
  <r>
    <s v="27404"/>
    <x v="187"/>
    <s v="Personnel"/>
    <s v="E "/>
    <x v="0"/>
    <x v="48"/>
    <s v="PSES Elem Prog01Duty46 S275"/>
    <x v="0"/>
    <s v="46"/>
    <n v="46"/>
    <m/>
    <s v="   "/>
    <n v="0.1"/>
    <n v="0.26800000000000002"/>
    <n v="0"/>
    <x v="19"/>
  </r>
  <r>
    <s v="27404"/>
    <x v="187"/>
    <s v="Personnel"/>
    <s v="H "/>
    <x v="1"/>
    <x v="23"/>
    <s v="PSES High Prog21Duty46 S275"/>
    <x v="1"/>
    <s v="46"/>
    <n v="46"/>
    <m/>
    <s v="   "/>
    <n v="0.23"/>
    <n v="0.26800000000000002"/>
    <n v="6.2E-2"/>
    <x v="20"/>
  </r>
  <r>
    <s v="27404"/>
    <x v="187"/>
    <s v="Personnel"/>
    <s v="H "/>
    <x v="1"/>
    <x v="65"/>
    <s v="PSES High Prog01Duty46 S275"/>
    <x v="0"/>
    <s v="46"/>
    <n v="46"/>
    <m/>
    <s v="   "/>
    <n v="0.1"/>
    <n v="0.26800000000000002"/>
    <n v="0"/>
    <x v="20"/>
  </r>
  <r>
    <s v="27404"/>
    <x v="187"/>
    <s v="Personnel"/>
    <s v="M "/>
    <x v="2"/>
    <x v="24"/>
    <s v="PSES Mid Prog21Duty46 S275"/>
    <x v="1"/>
    <s v="46"/>
    <n v="46"/>
    <m/>
    <s v="   "/>
    <n v="0.22"/>
    <n v="0.26800000000000002"/>
    <n v="5.8999999999999997E-2"/>
    <x v="21"/>
  </r>
  <r>
    <s v="27404"/>
    <x v="187"/>
    <s v="Personnel"/>
    <s v="M "/>
    <x v="2"/>
    <x v="49"/>
    <s v="PSES Mid Prog01Duty46 S275"/>
    <x v="0"/>
    <s v="46"/>
    <n v="46"/>
    <m/>
    <s v="   "/>
    <n v="0.1"/>
    <n v="0.26800000000000002"/>
    <n v="0"/>
    <x v="21"/>
  </r>
  <r>
    <s v="27404"/>
    <x v="187"/>
    <s v="Personnel"/>
    <s v="E "/>
    <x v="0"/>
    <x v="27"/>
    <s v="PSES Elem Prog01Duty47 S275"/>
    <x v="0"/>
    <s v="47"/>
    <n v="47"/>
    <m/>
    <s v="   "/>
    <n v="0.39400000000000002"/>
    <n v="0.26800000000000002"/>
    <n v="0"/>
    <x v="24"/>
  </r>
  <r>
    <s v="27404"/>
    <x v="187"/>
    <s v="Personnel"/>
    <s v="E "/>
    <x v="0"/>
    <x v="38"/>
    <s v="PSES Elem Prog21Duty64 S275"/>
    <x v="1"/>
    <s v="64"/>
    <n v="64"/>
    <m/>
    <s v="   "/>
    <n v="0.5"/>
    <n v="0.26800000000000002"/>
    <n v="0.13400000000000001"/>
    <x v="32"/>
  </r>
  <r>
    <s v="27416"/>
    <x v="188"/>
    <s v="Personnel"/>
    <s v="H "/>
    <x v="1"/>
    <x v="1"/>
    <s v="PSES High Prog01Duty96 S275"/>
    <x v="0"/>
    <s v="24"/>
    <n v="96"/>
    <n v="24"/>
    <s v="   "/>
    <n v="9.2999999999999999E-2"/>
    <n v="0.24840000000000001"/>
    <n v="0"/>
    <x v="1"/>
  </r>
  <r>
    <s v="27416"/>
    <x v="188"/>
    <s v="Personnel"/>
    <s v="E "/>
    <x v="0"/>
    <x v="3"/>
    <s v="PSES Elem Prog01Act25 S275"/>
    <x v="0"/>
    <s v="25"/>
    <m/>
    <n v="25"/>
    <s v="   "/>
    <n v="5.0519999999999996"/>
    <n v="0.24840000000000001"/>
    <n v="0"/>
    <x v="3"/>
  </r>
  <r>
    <s v="27416"/>
    <x v="188"/>
    <s v="Personnel"/>
    <s v="H "/>
    <x v="1"/>
    <x v="4"/>
    <s v="PSES High Prog21Act25 S275"/>
    <x v="1"/>
    <s v="25"/>
    <m/>
    <n v="25"/>
    <s v="   "/>
    <n v="3.0870000000000002"/>
    <n v="0.24840000000000001"/>
    <n v="0.76700000000000002"/>
    <x v="4"/>
  </r>
  <r>
    <s v="27416"/>
    <x v="188"/>
    <s v="Personnel"/>
    <s v="M "/>
    <x v="2"/>
    <x v="6"/>
    <s v="PSES Mid Prog01Act25 S275"/>
    <x v="0"/>
    <s v="25"/>
    <m/>
    <n v="25"/>
    <s v="   "/>
    <n v="0.45300000000000001"/>
    <n v="0.24840000000000001"/>
    <n v="0"/>
    <x v="5"/>
  </r>
  <r>
    <s v="27416"/>
    <x v="188"/>
    <s v="Personnel"/>
    <s v="E "/>
    <x v="0"/>
    <x v="8"/>
    <s v="PSES Elem Prog01Act26 S275"/>
    <x v="0"/>
    <s v="26"/>
    <m/>
    <n v="26"/>
    <s v="   "/>
    <n v="3.9969999999999999"/>
    <n v="0.24840000000000001"/>
    <n v="0"/>
    <x v="6"/>
  </r>
  <r>
    <s v="27416"/>
    <x v="188"/>
    <s v="Personnel"/>
    <s v="H "/>
    <x v="1"/>
    <x v="9"/>
    <s v="PSES High Prog01Act26 S275"/>
    <x v="0"/>
    <s v="26"/>
    <m/>
    <n v="26"/>
    <s v="   "/>
    <n v="0.93300000000000005"/>
    <n v="0.24840000000000001"/>
    <n v="0"/>
    <x v="7"/>
  </r>
  <r>
    <s v="27416"/>
    <x v="188"/>
    <s v="Personnel"/>
    <s v="M "/>
    <x v="2"/>
    <x v="11"/>
    <s v="PSES Mid Prog01Act26 S275"/>
    <x v="0"/>
    <s v="26"/>
    <m/>
    <n v="26"/>
    <s v="   "/>
    <n v="0.56399999999999995"/>
    <n v="0.24840000000000001"/>
    <n v="0"/>
    <x v="8"/>
  </r>
  <r>
    <s v="27416"/>
    <x v="188"/>
    <s v="Personnel"/>
    <s v="E "/>
    <x v="0"/>
    <x v="62"/>
    <s v="PSES Elem Prog01Act35 S275"/>
    <x v="0"/>
    <s v="35"/>
    <m/>
    <n v="35"/>
    <s v="   "/>
    <n v="0.66700000000000004"/>
    <n v="0.24840000000000001"/>
    <n v="0"/>
    <x v="26"/>
  </r>
  <r>
    <s v="27416"/>
    <x v="188"/>
    <s v="Personnel"/>
    <s v="H "/>
    <x v="1"/>
    <x v="54"/>
    <s v="PSES High Prog01Act35 S275"/>
    <x v="0"/>
    <s v="35"/>
    <m/>
    <n v="35"/>
    <s v="   "/>
    <n v="1.5529999999999999"/>
    <n v="0.24840000000000001"/>
    <n v="0"/>
    <x v="9"/>
  </r>
  <r>
    <s v="27416"/>
    <x v="188"/>
    <s v="Personnel"/>
    <s v="M "/>
    <x v="2"/>
    <x v="63"/>
    <s v="PSES Mid Prog01Act35 S275"/>
    <x v="0"/>
    <s v="35"/>
    <m/>
    <n v="35"/>
    <s v="   "/>
    <n v="0.54400000000000004"/>
    <n v="0.24840000000000001"/>
    <n v="0"/>
    <x v="10"/>
  </r>
  <r>
    <s v="27416"/>
    <x v="188"/>
    <s v="Personnel"/>
    <s v="E "/>
    <x v="0"/>
    <x v="15"/>
    <s v="PSES Elem Prog01Duty42 S275"/>
    <x v="0"/>
    <s v="42"/>
    <n v="42"/>
    <m/>
    <s v="   "/>
    <n v="4.8499999999999996"/>
    <n v="0.24840000000000001"/>
    <n v="0"/>
    <x v="12"/>
  </r>
  <r>
    <s v="27416"/>
    <x v="188"/>
    <s v="Personnel"/>
    <s v="H "/>
    <x v="1"/>
    <x v="16"/>
    <s v="PSES High Prog01Duty42 S275"/>
    <x v="0"/>
    <s v="42"/>
    <n v="42"/>
    <m/>
    <s v="   "/>
    <n v="3.25"/>
    <n v="0.24840000000000001"/>
    <n v="0"/>
    <x v="13"/>
  </r>
  <r>
    <s v="27416"/>
    <x v="188"/>
    <s v="Personnel"/>
    <s v="M "/>
    <x v="2"/>
    <x v="17"/>
    <s v="PSES Mid Prog01Duty42 S275"/>
    <x v="0"/>
    <s v="42"/>
    <n v="42"/>
    <m/>
    <s v="   "/>
    <n v="2"/>
    <n v="0.24840000000000001"/>
    <n v="0"/>
    <x v="14"/>
  </r>
  <r>
    <s v="27416"/>
    <x v="188"/>
    <s v="Personnel"/>
    <s v="E "/>
    <x v="0"/>
    <x v="18"/>
    <s v="PSES Elem Prog21Duty43 S275"/>
    <x v="1"/>
    <s v="43"/>
    <n v="43"/>
    <m/>
    <s v="   "/>
    <n v="1"/>
    <n v="0.24840000000000001"/>
    <n v="0.248"/>
    <x v="15"/>
  </r>
  <r>
    <s v="27416"/>
    <x v="188"/>
    <s v="Personnel"/>
    <s v="E "/>
    <x v="0"/>
    <x v="41"/>
    <s v="PSES Elem Prog21Duty44 S275"/>
    <x v="1"/>
    <s v="44"/>
    <n v="44"/>
    <m/>
    <s v="   "/>
    <n v="0.63"/>
    <n v="0.24840000000000001"/>
    <n v="0.156"/>
    <x v="33"/>
  </r>
  <r>
    <s v="27416"/>
    <x v="188"/>
    <s v="Personnel"/>
    <s v="H "/>
    <x v="1"/>
    <x v="44"/>
    <s v="PSES High Prog01Duty44 S275"/>
    <x v="0"/>
    <s v="44"/>
    <n v="44"/>
    <m/>
    <s v="   "/>
    <n v="1"/>
    <n v="0.24840000000000001"/>
    <n v="0"/>
    <x v="34"/>
  </r>
  <r>
    <s v="27416"/>
    <x v="188"/>
    <s v="Personnel"/>
    <s v="E "/>
    <x v="0"/>
    <x v="20"/>
    <s v="PSES Elem Prog21Duty45 S275"/>
    <x v="1"/>
    <s v="45"/>
    <n v="45"/>
    <m/>
    <s v="   "/>
    <n v="5.4630000000000001"/>
    <n v="0.24840000000000001"/>
    <n v="1.357"/>
    <x v="17"/>
  </r>
  <r>
    <s v="27416"/>
    <x v="188"/>
    <s v="Personnel"/>
    <s v="H "/>
    <x v="1"/>
    <x v="21"/>
    <s v="PSES High Prog21Duty45 S275"/>
    <x v="1"/>
    <s v="45"/>
    <n v="45"/>
    <m/>
    <s v="   "/>
    <n v="0.313"/>
    <n v="0.24840000000000001"/>
    <n v="7.8E-2"/>
    <x v="18"/>
  </r>
  <r>
    <s v="27416"/>
    <x v="188"/>
    <s v="Personnel"/>
    <s v="M "/>
    <x v="2"/>
    <x v="28"/>
    <s v="PSES Mid Prog21Duty45 S275"/>
    <x v="1"/>
    <s v="45"/>
    <n v="45"/>
    <m/>
    <s v="   "/>
    <n v="0.49399999999999999"/>
    <n v="0.24840000000000001"/>
    <n v="0.123"/>
    <x v="25"/>
  </r>
  <r>
    <s v="27416"/>
    <x v="188"/>
    <s v="Personnel"/>
    <s v="E "/>
    <x v="0"/>
    <x v="22"/>
    <s v="PSES Elem Prog21Duty46 S275"/>
    <x v="1"/>
    <s v="46"/>
    <n v="46"/>
    <m/>
    <s v="   "/>
    <n v="4.3"/>
    <n v="0.24840000000000001"/>
    <n v="1.0680000000000001"/>
    <x v="19"/>
  </r>
  <r>
    <s v="27416"/>
    <x v="188"/>
    <s v="Personnel"/>
    <s v="H "/>
    <x v="1"/>
    <x v="23"/>
    <s v="PSES High Prog21Duty46 S275"/>
    <x v="1"/>
    <s v="46"/>
    <n v="46"/>
    <m/>
    <s v="   "/>
    <n v="1"/>
    <n v="0.24840000000000001"/>
    <n v="0.248"/>
    <x v="20"/>
  </r>
  <r>
    <s v="27416"/>
    <x v="188"/>
    <s v="Personnel"/>
    <s v="M "/>
    <x v="2"/>
    <x v="24"/>
    <s v="PSES Mid Prog21Duty46 S275"/>
    <x v="1"/>
    <s v="46"/>
    <n v="46"/>
    <m/>
    <s v="   "/>
    <n v="1"/>
    <n v="0.24840000000000001"/>
    <n v="0.248"/>
    <x v="21"/>
  </r>
  <r>
    <s v="27416"/>
    <x v="188"/>
    <s v="Personnel"/>
    <s v="T"/>
    <x v="0"/>
    <x v="70"/>
    <s v="PSES Elem Prog09Duty42 S275"/>
    <x v="3"/>
    <s v="42"/>
    <n v="42"/>
    <n v="24"/>
    <m/>
    <n v="0.15"/>
    <n v="0.24840000000000001"/>
    <n v="0"/>
    <x v="42"/>
  </r>
  <r>
    <s v="27417"/>
    <x v="189"/>
    <s v="Personnel"/>
    <s v="H "/>
    <x v="1"/>
    <x v="4"/>
    <s v="PSES High Prog21Act25 S275"/>
    <x v="1"/>
    <s v="25"/>
    <m/>
    <n v="25"/>
    <s v="   "/>
    <n v="2.589"/>
    <n v="0.31140000000000001"/>
    <n v="0.80600000000000005"/>
    <x v="4"/>
  </r>
  <r>
    <s v="27417"/>
    <x v="189"/>
    <s v="Personnel"/>
    <s v="H "/>
    <x v="1"/>
    <x v="5"/>
    <s v="PSES High Prog01Act25 S275"/>
    <x v="0"/>
    <s v="25"/>
    <m/>
    <n v="25"/>
    <s v="   "/>
    <n v="2.2919999999999998"/>
    <n v="0.31140000000000001"/>
    <n v="0"/>
    <x v="4"/>
  </r>
  <r>
    <s v="27417"/>
    <x v="189"/>
    <s v="Personnel"/>
    <s v="H "/>
    <x v="1"/>
    <x v="29"/>
    <s v="PSES High Prog21Act26 S275"/>
    <x v="1"/>
    <s v="26"/>
    <m/>
    <n v="26"/>
    <s v="   "/>
    <n v="0.68500000000000005"/>
    <n v="0.31140000000000001"/>
    <n v="0.21299999999999999"/>
    <x v="7"/>
  </r>
  <r>
    <s v="27417"/>
    <x v="189"/>
    <s v="Personnel"/>
    <s v="H "/>
    <x v="1"/>
    <x v="9"/>
    <s v="PSES High Prog01Act26 S275"/>
    <x v="0"/>
    <s v="26"/>
    <m/>
    <n v="26"/>
    <s v="   "/>
    <n v="1.278"/>
    <n v="0.31140000000000001"/>
    <n v="0"/>
    <x v="7"/>
  </r>
  <r>
    <s v="27417"/>
    <x v="189"/>
    <s v="Personnel"/>
    <s v="H "/>
    <x v="1"/>
    <x v="54"/>
    <s v="PSES High Prog01Act35 S275"/>
    <x v="0"/>
    <s v="35"/>
    <m/>
    <n v="35"/>
    <s v="   "/>
    <n v="2.2770000000000001"/>
    <n v="0.31140000000000001"/>
    <n v="0"/>
    <x v="9"/>
  </r>
  <r>
    <s v="27417"/>
    <x v="189"/>
    <s v="Personnel"/>
    <s v="E "/>
    <x v="0"/>
    <x v="15"/>
    <s v="PSES Elem Prog01Duty42 S275"/>
    <x v="0"/>
    <s v="42"/>
    <n v="42"/>
    <m/>
    <s v="   "/>
    <n v="4"/>
    <n v="0.31140000000000001"/>
    <n v="0"/>
    <x v="12"/>
  </r>
  <r>
    <s v="27417"/>
    <x v="189"/>
    <s v="Personnel"/>
    <s v="H "/>
    <x v="1"/>
    <x v="16"/>
    <s v="PSES High Prog01Duty42 S275"/>
    <x v="0"/>
    <s v="42"/>
    <n v="42"/>
    <m/>
    <s v="   "/>
    <n v="3.54"/>
    <n v="0.31140000000000001"/>
    <n v="0"/>
    <x v="13"/>
  </r>
  <r>
    <s v="27417"/>
    <x v="189"/>
    <s v="Personnel"/>
    <s v="M "/>
    <x v="2"/>
    <x v="17"/>
    <s v="PSES Mid Prog01Duty42 S275"/>
    <x v="0"/>
    <s v="42"/>
    <n v="42"/>
    <m/>
    <s v="   "/>
    <n v="2.96"/>
    <n v="0.31140000000000001"/>
    <n v="0"/>
    <x v="14"/>
  </r>
  <r>
    <s v="27417"/>
    <x v="189"/>
    <s v="Personnel"/>
    <s v="E "/>
    <x v="0"/>
    <x v="18"/>
    <s v="PSES Elem Prog21Duty43 S275"/>
    <x v="1"/>
    <s v="43"/>
    <n v="43"/>
    <m/>
    <s v="   "/>
    <n v="0.54"/>
    <n v="0.31140000000000001"/>
    <n v="0.16800000000000001"/>
    <x v="15"/>
  </r>
  <r>
    <s v="27417"/>
    <x v="189"/>
    <s v="Personnel"/>
    <s v="H "/>
    <x v="1"/>
    <x v="19"/>
    <s v="PSES High Prog21Duty43 S275"/>
    <x v="1"/>
    <s v="43"/>
    <n v="43"/>
    <m/>
    <s v="   "/>
    <n v="0.31"/>
    <n v="0.31140000000000001"/>
    <n v="9.7000000000000003E-2"/>
    <x v="16"/>
  </r>
  <r>
    <s v="27417"/>
    <x v="189"/>
    <s v="Personnel"/>
    <s v="M "/>
    <x v="2"/>
    <x v="31"/>
    <s v="PSES Mid Prog21Duty43 S275"/>
    <x v="1"/>
    <s v="43"/>
    <n v="43"/>
    <m/>
    <s v="   "/>
    <n v="0.15"/>
    <n v="0.31140000000000001"/>
    <n v="4.7E-2"/>
    <x v="27"/>
  </r>
  <r>
    <s v="27417"/>
    <x v="189"/>
    <s v="Personnel"/>
    <s v="E "/>
    <x v="0"/>
    <x v="20"/>
    <s v="PSES Elem Prog21Duty45 S275"/>
    <x v="1"/>
    <s v="45"/>
    <n v="45"/>
    <m/>
    <s v="   "/>
    <n v="3.7469999999999999"/>
    <n v="0.31140000000000001"/>
    <n v="1.167"/>
    <x v="17"/>
  </r>
  <r>
    <s v="27417"/>
    <x v="189"/>
    <s v="Personnel"/>
    <s v="H "/>
    <x v="1"/>
    <x v="21"/>
    <s v="PSES High Prog21Duty45 S275"/>
    <x v="1"/>
    <s v="45"/>
    <n v="45"/>
    <m/>
    <s v="   "/>
    <n v="0.5"/>
    <n v="0.31140000000000001"/>
    <n v="0.156"/>
    <x v="18"/>
  </r>
  <r>
    <s v="27417"/>
    <x v="189"/>
    <s v="Personnel"/>
    <s v="M "/>
    <x v="2"/>
    <x v="28"/>
    <s v="PSES Mid Prog21Duty45 S275"/>
    <x v="1"/>
    <s v="45"/>
    <n v="45"/>
    <m/>
    <s v="   "/>
    <n v="1.0469999999999999"/>
    <n v="0.31140000000000001"/>
    <n v="0.32600000000000001"/>
    <x v="25"/>
  </r>
  <r>
    <s v="27417"/>
    <x v="189"/>
    <s v="Personnel"/>
    <s v="E "/>
    <x v="0"/>
    <x v="22"/>
    <s v="PSES Elem Prog21Duty46 S275"/>
    <x v="1"/>
    <s v="46"/>
    <n v="46"/>
    <m/>
    <s v="   "/>
    <n v="1.75"/>
    <n v="0.31140000000000001"/>
    <n v="0.54500000000000004"/>
    <x v="19"/>
  </r>
  <r>
    <s v="27417"/>
    <x v="189"/>
    <s v="Personnel"/>
    <s v="H "/>
    <x v="1"/>
    <x v="23"/>
    <s v="PSES High Prog21Duty46 S275"/>
    <x v="1"/>
    <s v="46"/>
    <n v="46"/>
    <m/>
    <s v="   "/>
    <n v="0.5"/>
    <n v="0.31140000000000001"/>
    <n v="0.156"/>
    <x v="20"/>
  </r>
  <r>
    <s v="27417"/>
    <x v="189"/>
    <s v="Personnel"/>
    <s v="M "/>
    <x v="2"/>
    <x v="24"/>
    <s v="PSES Mid Prog21Duty46 S275"/>
    <x v="1"/>
    <s v="46"/>
    <n v="46"/>
    <m/>
    <s v="   "/>
    <n v="1.766"/>
    <n v="0.31140000000000001"/>
    <n v="0.55000000000000004"/>
    <x v="21"/>
  </r>
  <r>
    <s v="27417"/>
    <x v="189"/>
    <s v="Personnel"/>
    <s v="E "/>
    <x v="0"/>
    <x v="27"/>
    <s v="PSES Elem Prog01Duty47 S275"/>
    <x v="0"/>
    <s v="47"/>
    <n v="47"/>
    <m/>
    <s v="   "/>
    <n v="2"/>
    <n v="0.31140000000000001"/>
    <n v="0"/>
    <x v="24"/>
  </r>
  <r>
    <s v="27417"/>
    <x v="189"/>
    <s v="Personnel"/>
    <s v="H "/>
    <x v="1"/>
    <x v="25"/>
    <s v="PSES High Prog01Duty47 S275"/>
    <x v="0"/>
    <s v="47"/>
    <n v="47"/>
    <m/>
    <s v="   "/>
    <n v="0.5"/>
    <n v="0.31140000000000001"/>
    <n v="0"/>
    <x v="22"/>
  </r>
  <r>
    <s v="27417"/>
    <x v="189"/>
    <s v="Personnel"/>
    <s v="M "/>
    <x v="2"/>
    <x v="34"/>
    <s v="PSES Mid Prog01Duty47 S275"/>
    <x v="0"/>
    <s v="47"/>
    <n v="47"/>
    <m/>
    <s v="   "/>
    <n v="0.5"/>
    <n v="0.31140000000000001"/>
    <n v="0"/>
    <x v="28"/>
  </r>
  <r>
    <s v="27417"/>
    <x v="189"/>
    <s v="Personnel"/>
    <s v="E "/>
    <x v="0"/>
    <x v="35"/>
    <s v="PSES Elem Prog21Duty48 S275"/>
    <x v="1"/>
    <s v="48"/>
    <n v="48"/>
    <m/>
    <s v="   "/>
    <n v="0.27"/>
    <n v="0.31140000000000001"/>
    <n v="8.4000000000000005E-2"/>
    <x v="29"/>
  </r>
  <r>
    <s v="27417"/>
    <x v="189"/>
    <s v="Personnel"/>
    <s v="H "/>
    <x v="1"/>
    <x v="36"/>
    <s v="PSES High Prog21Duty48 S275"/>
    <x v="1"/>
    <s v="48"/>
    <n v="48"/>
    <m/>
    <s v="   "/>
    <n v="0.155"/>
    <n v="0.31140000000000001"/>
    <n v="4.8000000000000001E-2"/>
    <x v="30"/>
  </r>
  <r>
    <s v="27417"/>
    <x v="189"/>
    <s v="Personnel"/>
    <s v="M "/>
    <x v="2"/>
    <x v="37"/>
    <s v="PSES Mid Prog21Duty48 S275"/>
    <x v="1"/>
    <s v="48"/>
    <n v="48"/>
    <m/>
    <s v="   "/>
    <n v="7.4999999999999997E-2"/>
    <n v="0.31140000000000001"/>
    <n v="2.3E-2"/>
    <x v="31"/>
  </r>
  <r>
    <s v="27901"/>
    <x v="190"/>
    <s v="Personnel"/>
    <s v="H "/>
    <x v="1"/>
    <x v="29"/>
    <s v="PSES High Prog21Act26 S275"/>
    <x v="1"/>
    <s v="26"/>
    <m/>
    <n v="26"/>
    <s v="   "/>
    <n v="1.462"/>
    <n v="0.14860000000000001"/>
    <n v="0.217"/>
    <x v="7"/>
  </r>
  <r>
    <s v="27901"/>
    <x v="190"/>
    <s v="Personnel"/>
    <s v="H "/>
    <x v="1"/>
    <x v="54"/>
    <s v="PSES High Prog01Act35 S275"/>
    <x v="0"/>
    <s v="35"/>
    <m/>
    <n v="35"/>
    <s v="   "/>
    <n v="2"/>
    <n v="0.14860000000000001"/>
    <n v="0"/>
    <x v="9"/>
  </r>
  <r>
    <s v="27901"/>
    <x v="190"/>
    <s v="Personnel"/>
    <s v="H "/>
    <x v="1"/>
    <x v="16"/>
    <s v="PSES High Prog01Duty42 S275"/>
    <x v="0"/>
    <s v="42"/>
    <n v="42"/>
    <m/>
    <s v="   "/>
    <n v="2.0270000000000001"/>
    <n v="0.14860000000000001"/>
    <n v="0"/>
    <x v="13"/>
  </r>
  <r>
    <s v="27901"/>
    <x v="190"/>
    <s v="Personnel"/>
    <s v="M "/>
    <x v="2"/>
    <x v="17"/>
    <s v="PSES Mid Prog01Duty42 S275"/>
    <x v="0"/>
    <s v="42"/>
    <n v="42"/>
    <m/>
    <s v="   "/>
    <n v="2.0270000000000001"/>
    <n v="0.14860000000000001"/>
    <n v="0"/>
    <x v="14"/>
  </r>
  <r>
    <s v="27901"/>
    <x v="190"/>
    <s v="Personnel"/>
    <s v="E "/>
    <x v="0"/>
    <x v="20"/>
    <s v="PSES Elem Prog21Duty45 S275"/>
    <x v="1"/>
    <s v="45"/>
    <n v="45"/>
    <m/>
    <s v="   "/>
    <n v="0.4"/>
    <n v="0.14860000000000001"/>
    <n v="5.8999999999999997E-2"/>
    <x v="17"/>
  </r>
  <r>
    <s v="27901"/>
    <x v="190"/>
    <s v="Personnel"/>
    <s v="H "/>
    <x v="1"/>
    <x v="21"/>
    <s v="PSES High Prog21Duty45 S275"/>
    <x v="1"/>
    <s v="45"/>
    <n v="45"/>
    <m/>
    <s v="   "/>
    <n v="0.2"/>
    <n v="0.14860000000000001"/>
    <n v="0.03"/>
    <x v="18"/>
  </r>
  <r>
    <s v="27901"/>
    <x v="190"/>
    <s v="Personnel"/>
    <s v="M "/>
    <x v="2"/>
    <x v="28"/>
    <s v="PSES Mid Prog21Duty45 S275"/>
    <x v="1"/>
    <s v="45"/>
    <n v="45"/>
    <m/>
    <s v="   "/>
    <n v="0.2"/>
    <n v="0.14860000000000001"/>
    <n v="0.03"/>
    <x v="25"/>
  </r>
  <r>
    <s v="27902"/>
    <x v="191"/>
    <s v="Personnel"/>
    <s v="E "/>
    <x v="0"/>
    <x v="0"/>
    <s v="PSES Elem Prog01Duty96 S275"/>
    <x v="0"/>
    <s v="24"/>
    <n v="96"/>
    <n v="24"/>
    <s v="   "/>
    <n v="1"/>
    <n v="0.15"/>
    <n v="0"/>
    <x v="0"/>
  </r>
  <r>
    <s v="27902"/>
    <x v="191"/>
    <s v="Personnel"/>
    <s v="E "/>
    <x v="0"/>
    <x v="38"/>
    <s v="PSES Elem Prog21Duty64 S275"/>
    <x v="1"/>
    <s v="64"/>
    <n v="64"/>
    <m/>
    <s v="   "/>
    <n v="2.6"/>
    <n v="0.15"/>
    <n v="0.39"/>
    <x v="32"/>
  </r>
  <r>
    <s v="27905"/>
    <x v="192"/>
    <s v="Personnel"/>
    <s v="H "/>
    <x v="1"/>
    <x v="25"/>
    <s v="PSES High Prog01Duty47 S275"/>
    <x v="0"/>
    <s v="47"/>
    <n v="47"/>
    <m/>
    <s v="   "/>
    <n v="1"/>
    <n v="0.13"/>
    <n v="0"/>
    <x v="22"/>
  </r>
  <r>
    <s v="28137"/>
    <x v="193"/>
    <s v="Personnel"/>
    <s v="H "/>
    <x v="1"/>
    <x v="29"/>
    <s v="PSES High Prog21Act26 S275"/>
    <x v="1"/>
    <s v="26"/>
    <m/>
    <n v="26"/>
    <s v="   "/>
    <n v="0.19800000000000001"/>
    <n v="0.1227"/>
    <n v="2.4E-2"/>
    <x v="7"/>
  </r>
  <r>
    <s v="28137"/>
    <x v="193"/>
    <s v="Personnel"/>
    <s v="H "/>
    <x v="1"/>
    <x v="9"/>
    <s v="PSES High Prog01Act26 S275"/>
    <x v="0"/>
    <s v="26"/>
    <m/>
    <n v="26"/>
    <s v="   "/>
    <n v="0.60899999999999999"/>
    <n v="0.1227"/>
    <n v="0"/>
    <x v="7"/>
  </r>
  <r>
    <s v="28137"/>
    <x v="193"/>
    <s v="Personnel"/>
    <s v="H "/>
    <x v="1"/>
    <x v="16"/>
    <s v="PSES High Prog01Duty42 S275"/>
    <x v="0"/>
    <s v="42"/>
    <n v="42"/>
    <m/>
    <s v="   "/>
    <n v="0.8"/>
    <n v="0.1227"/>
    <n v="0"/>
    <x v="13"/>
  </r>
  <r>
    <s v="28137"/>
    <x v="193"/>
    <s v="Personnel"/>
    <s v="M "/>
    <x v="2"/>
    <x v="17"/>
    <s v="PSES Mid Prog01Duty42 S275"/>
    <x v="0"/>
    <s v="42"/>
    <n v="42"/>
    <m/>
    <s v="   "/>
    <n v="0.2"/>
    <n v="0.1227"/>
    <n v="0"/>
    <x v="14"/>
  </r>
  <r>
    <s v="28137"/>
    <x v="193"/>
    <s v="Personnel"/>
    <s v="E "/>
    <x v="0"/>
    <x v="18"/>
    <s v="PSES Elem Prog21Duty43 S275"/>
    <x v="1"/>
    <s v="43"/>
    <n v="43"/>
    <m/>
    <s v="   "/>
    <n v="1"/>
    <n v="0.1227"/>
    <n v="0.123"/>
    <x v="15"/>
  </r>
  <r>
    <s v="28144"/>
    <x v="194"/>
    <s v="Personnel"/>
    <s v="H "/>
    <x v="1"/>
    <x v="9"/>
    <s v="PSES High Prog01Act26 S275"/>
    <x v="0"/>
    <s v="26"/>
    <m/>
    <n v="26"/>
    <s v="   "/>
    <n v="0.72299999999999998"/>
    <n v="0.1832"/>
    <n v="0"/>
    <x v="7"/>
  </r>
  <r>
    <s v="28144"/>
    <x v="194"/>
    <s v="Personnel"/>
    <s v="E "/>
    <x v="0"/>
    <x v="15"/>
    <s v="PSES Elem Prog01Duty42 S275"/>
    <x v="0"/>
    <s v="42"/>
    <n v="42"/>
    <m/>
    <s v="   "/>
    <n v="0.54"/>
    <n v="0.1832"/>
    <n v="0"/>
    <x v="12"/>
  </r>
  <r>
    <s v="28144"/>
    <x v="194"/>
    <s v="Personnel"/>
    <s v="H "/>
    <x v="1"/>
    <x v="16"/>
    <s v="PSES High Prog01Duty42 S275"/>
    <x v="0"/>
    <s v="42"/>
    <n v="42"/>
    <m/>
    <s v="   "/>
    <n v="0.31"/>
    <n v="0.1832"/>
    <n v="0"/>
    <x v="13"/>
  </r>
  <r>
    <s v="28144"/>
    <x v="194"/>
    <s v="Personnel"/>
    <s v="M "/>
    <x v="2"/>
    <x v="17"/>
    <s v="PSES Mid Prog01Duty42 S275"/>
    <x v="0"/>
    <s v="42"/>
    <n v="42"/>
    <m/>
    <s v="   "/>
    <n v="0.15"/>
    <n v="0.1832"/>
    <n v="0"/>
    <x v="14"/>
  </r>
  <r>
    <s v="28144"/>
    <x v="194"/>
    <s v="Personnel"/>
    <s v="E "/>
    <x v="0"/>
    <x v="20"/>
    <s v="PSES Elem Prog21Duty45 S275"/>
    <x v="1"/>
    <s v="45"/>
    <n v="45"/>
    <m/>
    <s v="   "/>
    <n v="0.3"/>
    <n v="0.1832"/>
    <n v="5.5E-2"/>
    <x v="17"/>
  </r>
  <r>
    <s v="28144"/>
    <x v="194"/>
    <s v="Personnel"/>
    <s v="H "/>
    <x v="1"/>
    <x v="21"/>
    <s v="PSES High Prog21Duty45 S275"/>
    <x v="1"/>
    <s v="45"/>
    <n v="45"/>
    <m/>
    <s v="   "/>
    <n v="0.18"/>
    <n v="0.1832"/>
    <n v="3.3000000000000002E-2"/>
    <x v="18"/>
  </r>
  <r>
    <s v="28144"/>
    <x v="194"/>
    <s v="Personnel"/>
    <s v="M "/>
    <x v="2"/>
    <x v="28"/>
    <s v="PSES Mid Prog21Duty45 S275"/>
    <x v="1"/>
    <s v="45"/>
    <n v="45"/>
    <m/>
    <s v="   "/>
    <n v="0.12"/>
    <n v="0.1832"/>
    <n v="2.1999999999999999E-2"/>
    <x v="25"/>
  </r>
  <r>
    <s v="28149"/>
    <x v="195"/>
    <s v="Personnel"/>
    <s v="H "/>
    <x v="1"/>
    <x v="5"/>
    <s v="PSES High Prog01Act25 S275"/>
    <x v="0"/>
    <s v="25"/>
    <m/>
    <n v="25"/>
    <s v="   "/>
    <n v="9.1999999999999998E-2"/>
    <n v="0.15529999999999999"/>
    <n v="0"/>
    <x v="4"/>
  </r>
  <r>
    <s v="28149"/>
    <x v="195"/>
    <s v="Personnel"/>
    <s v="E "/>
    <x v="0"/>
    <x v="15"/>
    <s v="PSES Elem Prog01Duty42 S275"/>
    <x v="0"/>
    <s v="42"/>
    <n v="42"/>
    <m/>
    <s v="   "/>
    <n v="1"/>
    <n v="0.15529999999999999"/>
    <n v="0"/>
    <x v="12"/>
  </r>
  <r>
    <s v="28149"/>
    <x v="195"/>
    <s v="Personnel"/>
    <s v="H "/>
    <x v="1"/>
    <x v="16"/>
    <s v="PSES High Prog01Duty42 S275"/>
    <x v="0"/>
    <s v="42"/>
    <n v="42"/>
    <m/>
    <s v="   "/>
    <n v="1"/>
    <n v="0.15529999999999999"/>
    <n v="0"/>
    <x v="13"/>
  </r>
  <r>
    <s v="28149"/>
    <x v="195"/>
    <s v="Personnel"/>
    <s v="M "/>
    <x v="2"/>
    <x v="17"/>
    <s v="PSES Mid Prog01Duty42 S275"/>
    <x v="0"/>
    <s v="42"/>
    <n v="42"/>
    <m/>
    <s v="   "/>
    <n v="1"/>
    <n v="0.15529999999999999"/>
    <n v="0"/>
    <x v="14"/>
  </r>
  <r>
    <s v="28149"/>
    <x v="195"/>
    <s v="Personnel"/>
    <s v="E "/>
    <x v="0"/>
    <x v="18"/>
    <s v="PSES Elem Prog21Duty43 S275"/>
    <x v="1"/>
    <s v="43"/>
    <n v="43"/>
    <m/>
    <s v="   "/>
    <n v="0.5"/>
    <n v="0.15529999999999999"/>
    <n v="7.8E-2"/>
    <x v="15"/>
  </r>
  <r>
    <s v="28149"/>
    <x v="195"/>
    <s v="Personnel"/>
    <s v="H "/>
    <x v="1"/>
    <x v="19"/>
    <s v="PSES High Prog21Duty43 S275"/>
    <x v="1"/>
    <s v="43"/>
    <n v="43"/>
    <m/>
    <s v="   "/>
    <n v="0.5"/>
    <n v="0.15529999999999999"/>
    <n v="7.8E-2"/>
    <x v="16"/>
  </r>
  <r>
    <s v="28149"/>
    <x v="195"/>
    <s v="Personnel"/>
    <s v="E "/>
    <x v="0"/>
    <x v="20"/>
    <s v="PSES Elem Prog21Duty45 S275"/>
    <x v="1"/>
    <s v="45"/>
    <n v="45"/>
    <m/>
    <s v="   "/>
    <n v="1"/>
    <n v="0.15529999999999999"/>
    <n v="0.155"/>
    <x v="17"/>
  </r>
  <r>
    <s v="28149"/>
    <x v="195"/>
    <s v="Personnel"/>
    <s v="E "/>
    <x v="0"/>
    <x v="27"/>
    <s v="PSES Elem Prog01Duty47 S275"/>
    <x v="0"/>
    <s v="47"/>
    <n v="47"/>
    <m/>
    <s v="   "/>
    <n v="0.35"/>
    <n v="0.15529999999999999"/>
    <n v="0"/>
    <x v="24"/>
  </r>
  <r>
    <s v="28149"/>
    <x v="195"/>
    <s v="Personnel"/>
    <s v="H "/>
    <x v="1"/>
    <x v="25"/>
    <s v="PSES High Prog01Duty47 S275"/>
    <x v="0"/>
    <s v="47"/>
    <n v="47"/>
    <m/>
    <s v="   "/>
    <n v="0.3"/>
    <n v="0.15529999999999999"/>
    <n v="0"/>
    <x v="22"/>
  </r>
  <r>
    <s v="28149"/>
    <x v="195"/>
    <s v="Personnel"/>
    <s v="M "/>
    <x v="2"/>
    <x v="34"/>
    <s v="PSES Mid Prog01Duty47 S275"/>
    <x v="0"/>
    <s v="47"/>
    <n v="47"/>
    <m/>
    <s v="   "/>
    <n v="0.35"/>
    <n v="0.15529999999999999"/>
    <n v="0"/>
    <x v="28"/>
  </r>
  <r>
    <s v="29011"/>
    <x v="196"/>
    <s v="Personnel"/>
    <s v="H "/>
    <x v="1"/>
    <x v="5"/>
    <s v="PSES High Prog01Act25 S275"/>
    <x v="0"/>
    <s v="25"/>
    <m/>
    <n v="25"/>
    <s v="   "/>
    <n v="0.64200000000000002"/>
    <n v="0.17449999999999999"/>
    <n v="0"/>
    <x v="4"/>
  </r>
  <r>
    <s v="29011"/>
    <x v="196"/>
    <s v="Personnel"/>
    <s v="H "/>
    <x v="1"/>
    <x v="9"/>
    <s v="PSES High Prog01Act26 S275"/>
    <x v="0"/>
    <s v="26"/>
    <m/>
    <n v="26"/>
    <s v="   "/>
    <n v="1.1299999999999999"/>
    <n v="0.17449999999999999"/>
    <n v="0"/>
    <x v="7"/>
  </r>
  <r>
    <s v="29011"/>
    <x v="196"/>
    <s v="Personnel"/>
    <s v="E "/>
    <x v="0"/>
    <x v="15"/>
    <s v="PSES Elem Prog01Duty42 S275"/>
    <x v="0"/>
    <s v="42"/>
    <n v="42"/>
    <m/>
    <s v="   "/>
    <n v="0.8"/>
    <n v="0.17449999999999999"/>
    <n v="0"/>
    <x v="12"/>
  </r>
  <r>
    <s v="29011"/>
    <x v="196"/>
    <s v="Personnel"/>
    <s v="H "/>
    <x v="1"/>
    <x v="16"/>
    <s v="PSES High Prog01Duty42 S275"/>
    <x v="0"/>
    <s v="42"/>
    <n v="42"/>
    <m/>
    <s v="   "/>
    <n v="0.12"/>
    <n v="0.17449999999999999"/>
    <n v="0"/>
    <x v="13"/>
  </r>
  <r>
    <s v="29011"/>
    <x v="196"/>
    <s v="Personnel"/>
    <s v="M "/>
    <x v="2"/>
    <x v="17"/>
    <s v="PSES Mid Prog01Duty42 S275"/>
    <x v="0"/>
    <s v="42"/>
    <n v="42"/>
    <m/>
    <s v="   "/>
    <n v="0.08"/>
    <n v="0.17449999999999999"/>
    <n v="0"/>
    <x v="14"/>
  </r>
  <r>
    <s v="29011"/>
    <x v="196"/>
    <s v="Personnel"/>
    <s v="E "/>
    <x v="0"/>
    <x v="26"/>
    <s v="PSES Elem Prog21Duty49 S275"/>
    <x v="1"/>
    <s v="49"/>
    <n v="49"/>
    <m/>
    <s v="   "/>
    <n v="0.25"/>
    <n v="0.17449999999999999"/>
    <n v="4.3999999999999997E-2"/>
    <x v="23"/>
  </r>
  <r>
    <s v="29011"/>
    <x v="196"/>
    <s v="Personnel"/>
    <s v="H "/>
    <x v="1"/>
    <x v="55"/>
    <s v="PSES High Prog21Duty49 S275"/>
    <x v="1"/>
    <s v="49"/>
    <n v="49"/>
    <m/>
    <s v="   "/>
    <n v="0.15"/>
    <n v="0.17449999999999999"/>
    <n v="2.5999999999999999E-2"/>
    <x v="37"/>
  </r>
  <r>
    <s v="29100"/>
    <x v="197"/>
    <s v="Personnel"/>
    <s v="H "/>
    <x v="1"/>
    <x v="1"/>
    <s v="PSES High Prog01Duty96 S275"/>
    <x v="0"/>
    <s v="24"/>
    <n v="96"/>
    <n v="24"/>
    <s v="   "/>
    <n v="2.6629999999999998"/>
    <n v="0.21199999999999999"/>
    <n v="0"/>
    <x v="1"/>
  </r>
  <r>
    <s v="29100"/>
    <x v="197"/>
    <s v="Personnel"/>
    <s v="E "/>
    <x v="0"/>
    <x v="8"/>
    <s v="PSES Elem Prog01Act26 S275"/>
    <x v="0"/>
    <s v="26"/>
    <m/>
    <n v="26"/>
    <s v="   "/>
    <n v="0.46200000000000002"/>
    <n v="0.21199999999999999"/>
    <n v="0"/>
    <x v="6"/>
  </r>
  <r>
    <s v="29100"/>
    <x v="197"/>
    <s v="Personnel"/>
    <s v="H "/>
    <x v="1"/>
    <x v="29"/>
    <s v="PSES High Prog21Act26 S275"/>
    <x v="1"/>
    <s v="26"/>
    <m/>
    <n v="26"/>
    <s v="   "/>
    <n v="0.57399999999999995"/>
    <n v="0.21199999999999999"/>
    <n v="0.122"/>
    <x v="7"/>
  </r>
  <r>
    <s v="29100"/>
    <x v="197"/>
    <s v="Personnel"/>
    <s v="H "/>
    <x v="1"/>
    <x v="9"/>
    <s v="PSES High Prog01Act26 S275"/>
    <x v="0"/>
    <s v="26"/>
    <m/>
    <n v="26"/>
    <s v="   "/>
    <n v="2.42"/>
    <n v="0.21199999999999999"/>
    <n v="0"/>
    <x v="7"/>
  </r>
  <r>
    <s v="29100"/>
    <x v="197"/>
    <s v="Personnel"/>
    <s v="H "/>
    <x v="1"/>
    <x v="12"/>
    <s v="PSES High Prog97Act35 S275"/>
    <x v="2"/>
    <s v="35"/>
    <m/>
    <n v="35"/>
    <s v="   "/>
    <n v="1.232"/>
    <n v="0.21199999999999999"/>
    <n v="0"/>
    <x v="9"/>
  </r>
  <r>
    <s v="29100"/>
    <x v="197"/>
    <s v="Personnel"/>
    <s v="H "/>
    <x v="1"/>
    <x v="54"/>
    <s v="PSES High Prog01Act35 S275"/>
    <x v="0"/>
    <s v="35"/>
    <m/>
    <n v="35"/>
    <s v="   "/>
    <n v="4.3999999999999997E-2"/>
    <n v="0.21199999999999999"/>
    <n v="0"/>
    <x v="9"/>
  </r>
  <r>
    <s v="29100"/>
    <x v="197"/>
    <s v="Personnel"/>
    <s v="E "/>
    <x v="0"/>
    <x v="15"/>
    <s v="PSES Elem Prog01Duty42 S275"/>
    <x v="0"/>
    <s v="42"/>
    <n v="42"/>
    <m/>
    <s v="   "/>
    <n v="4.2030000000000003"/>
    <n v="0.21199999999999999"/>
    <n v="0"/>
    <x v="12"/>
  </r>
  <r>
    <s v="29100"/>
    <x v="197"/>
    <s v="Personnel"/>
    <s v="H "/>
    <x v="1"/>
    <x v="16"/>
    <s v="PSES High Prog01Duty42 S275"/>
    <x v="0"/>
    <s v="42"/>
    <n v="42"/>
    <m/>
    <s v="   "/>
    <n v="3.5"/>
    <n v="0.21199999999999999"/>
    <n v="0"/>
    <x v="13"/>
  </r>
  <r>
    <s v="29100"/>
    <x v="197"/>
    <s v="Personnel"/>
    <s v="M "/>
    <x v="2"/>
    <x v="17"/>
    <s v="PSES Mid Prog01Duty42 S275"/>
    <x v="0"/>
    <s v="42"/>
    <n v="42"/>
    <m/>
    <s v="   "/>
    <n v="1.0169999999999999"/>
    <n v="0.21199999999999999"/>
    <n v="0"/>
    <x v="14"/>
  </r>
  <r>
    <s v="29100"/>
    <x v="197"/>
    <s v="Personnel"/>
    <s v="E "/>
    <x v="0"/>
    <x v="18"/>
    <s v="PSES Elem Prog21Duty43 S275"/>
    <x v="1"/>
    <s v="43"/>
    <n v="43"/>
    <m/>
    <s v="   "/>
    <n v="1.9590000000000001"/>
    <n v="0.21199999999999999"/>
    <n v="0.41499999999999998"/>
    <x v="15"/>
  </r>
  <r>
    <s v="29100"/>
    <x v="197"/>
    <s v="Personnel"/>
    <s v="H "/>
    <x v="1"/>
    <x v="19"/>
    <s v="PSES High Prog21Duty43 S275"/>
    <x v="1"/>
    <s v="43"/>
    <n v="43"/>
    <m/>
    <s v="   "/>
    <n v="0.16"/>
    <n v="0.21199999999999999"/>
    <n v="3.4000000000000002E-2"/>
    <x v="16"/>
  </r>
  <r>
    <s v="29100"/>
    <x v="197"/>
    <s v="Personnel"/>
    <s v="M "/>
    <x v="2"/>
    <x v="31"/>
    <s v="PSES Mid Prog21Duty43 S275"/>
    <x v="1"/>
    <s v="43"/>
    <n v="43"/>
    <m/>
    <s v="   "/>
    <n v="0.28100000000000003"/>
    <n v="0.21199999999999999"/>
    <n v="0.06"/>
    <x v="27"/>
  </r>
  <r>
    <s v="29100"/>
    <x v="197"/>
    <s v="Personnel"/>
    <s v="M "/>
    <x v="2"/>
    <x v="46"/>
    <s v="PSES Mid Prog01Duty44 S275"/>
    <x v="0"/>
    <s v="44"/>
    <n v="44"/>
    <m/>
    <s v="   "/>
    <n v="0.78"/>
    <n v="0.21199999999999999"/>
    <n v="0"/>
    <x v="35"/>
  </r>
  <r>
    <s v="29100"/>
    <x v="197"/>
    <s v="Personnel"/>
    <s v="E "/>
    <x v="0"/>
    <x v="20"/>
    <s v="PSES Elem Prog21Duty45 S275"/>
    <x v="1"/>
    <s v="45"/>
    <n v="45"/>
    <m/>
    <s v="   "/>
    <n v="4.47"/>
    <n v="0.21199999999999999"/>
    <n v="0.94799999999999995"/>
    <x v="17"/>
  </r>
  <r>
    <s v="29100"/>
    <x v="197"/>
    <s v="Personnel"/>
    <s v="H "/>
    <x v="1"/>
    <x v="21"/>
    <s v="PSES High Prog21Duty45 S275"/>
    <x v="1"/>
    <s v="45"/>
    <n v="45"/>
    <m/>
    <s v="   "/>
    <n v="1"/>
    <n v="0.21199999999999999"/>
    <n v="0.21199999999999999"/>
    <x v="18"/>
  </r>
  <r>
    <s v="29100"/>
    <x v="197"/>
    <s v="Personnel"/>
    <s v="M "/>
    <x v="2"/>
    <x v="28"/>
    <s v="PSES Mid Prog21Duty45 S275"/>
    <x v="1"/>
    <s v="45"/>
    <n v="45"/>
    <m/>
    <s v="   "/>
    <n v="0.52"/>
    <n v="0.21199999999999999"/>
    <n v="0.11"/>
    <x v="25"/>
  </r>
  <r>
    <s v="29100"/>
    <x v="197"/>
    <s v="Personnel"/>
    <s v="E "/>
    <x v="0"/>
    <x v="27"/>
    <s v="PSES Elem Prog01Duty47 S275"/>
    <x v="0"/>
    <s v="47"/>
    <n v="47"/>
    <m/>
    <s v="   "/>
    <n v="1.609"/>
    <n v="0.21199999999999999"/>
    <n v="0"/>
    <x v="24"/>
  </r>
  <r>
    <s v="29100"/>
    <x v="197"/>
    <s v="Personnel"/>
    <s v="H "/>
    <x v="1"/>
    <x v="25"/>
    <s v="PSES High Prog01Duty47 S275"/>
    <x v="0"/>
    <s v="47"/>
    <n v="47"/>
    <m/>
    <s v="   "/>
    <n v="1"/>
    <n v="0.21199999999999999"/>
    <n v="0"/>
    <x v="22"/>
  </r>
  <r>
    <s v="29100"/>
    <x v="197"/>
    <s v="Personnel"/>
    <s v="M "/>
    <x v="2"/>
    <x v="34"/>
    <s v="PSES Mid Prog01Duty47 S275"/>
    <x v="0"/>
    <s v="47"/>
    <n v="47"/>
    <m/>
    <s v="   "/>
    <n v="0.39100000000000001"/>
    <n v="0.21199999999999999"/>
    <n v="0"/>
    <x v="28"/>
  </r>
  <r>
    <s v="29100"/>
    <x v="197"/>
    <s v="Personnel"/>
    <s v="E "/>
    <x v="0"/>
    <x v="35"/>
    <s v="PSES Elem Prog21Duty48 S275"/>
    <x v="1"/>
    <s v="48"/>
    <n v="48"/>
    <m/>
    <s v="   "/>
    <n v="0.21"/>
    <n v="0.21199999999999999"/>
    <n v="4.4999999999999998E-2"/>
    <x v="29"/>
  </r>
  <r>
    <s v="29100"/>
    <x v="197"/>
    <s v="Personnel"/>
    <s v="H "/>
    <x v="1"/>
    <x v="36"/>
    <s v="PSES High Prog21Duty48 S275"/>
    <x v="1"/>
    <s v="48"/>
    <n v="48"/>
    <m/>
    <s v="   "/>
    <n v="8.8999999999999996E-2"/>
    <n v="0.21199999999999999"/>
    <n v="1.9E-2"/>
    <x v="30"/>
  </r>
  <r>
    <s v="29100"/>
    <x v="197"/>
    <s v="Personnel"/>
    <s v="M "/>
    <x v="2"/>
    <x v="37"/>
    <s v="PSES Mid Prog21Duty48 S275"/>
    <x v="1"/>
    <s v="48"/>
    <n v="48"/>
    <m/>
    <s v="   "/>
    <n v="8.8999999999999996E-2"/>
    <n v="0.21199999999999999"/>
    <n v="1.9E-2"/>
    <x v="31"/>
  </r>
  <r>
    <s v="29101"/>
    <x v="198"/>
    <s v="Personnel"/>
    <s v="H "/>
    <x v="1"/>
    <x v="1"/>
    <s v="PSES High Prog01Duty96 S275"/>
    <x v="0"/>
    <s v="24"/>
    <n v="96"/>
    <n v="24"/>
    <s v="   "/>
    <n v="0.69199999999999995"/>
    <n v="0.23139999999999999"/>
    <n v="0"/>
    <x v="1"/>
  </r>
  <r>
    <s v="29101"/>
    <x v="198"/>
    <s v="Personnel"/>
    <s v="E "/>
    <x v="0"/>
    <x v="67"/>
    <s v="PSES Elem Prog21Act25 S275"/>
    <x v="1"/>
    <s v="25"/>
    <m/>
    <n v="25"/>
    <s v="   "/>
    <n v="1.3540000000000001"/>
    <n v="0.23139999999999999"/>
    <n v="0.313"/>
    <x v="3"/>
  </r>
  <r>
    <s v="29101"/>
    <x v="198"/>
    <s v="Personnel"/>
    <s v="E "/>
    <x v="0"/>
    <x v="3"/>
    <s v="PSES Elem Prog01Act25 S275"/>
    <x v="0"/>
    <s v="25"/>
    <m/>
    <n v="25"/>
    <s v="   "/>
    <n v="7.8840000000000003"/>
    <n v="0.23139999999999999"/>
    <n v="0"/>
    <x v="3"/>
  </r>
  <r>
    <s v="29101"/>
    <x v="198"/>
    <s v="Personnel"/>
    <s v="H "/>
    <x v="1"/>
    <x v="4"/>
    <s v="PSES High Prog21Act25 S275"/>
    <x v="1"/>
    <s v="25"/>
    <m/>
    <n v="25"/>
    <s v="   "/>
    <n v="1.319"/>
    <n v="0.23139999999999999"/>
    <n v="0.30499999999999999"/>
    <x v="4"/>
  </r>
  <r>
    <s v="29101"/>
    <x v="198"/>
    <s v="Personnel"/>
    <s v="H "/>
    <x v="1"/>
    <x v="5"/>
    <s v="PSES High Prog01Act25 S275"/>
    <x v="0"/>
    <s v="25"/>
    <m/>
    <n v="25"/>
    <s v="   "/>
    <n v="0.78400000000000003"/>
    <n v="0.23139999999999999"/>
    <n v="0"/>
    <x v="4"/>
  </r>
  <r>
    <s v="29101"/>
    <x v="198"/>
    <s v="Personnel"/>
    <s v="M "/>
    <x v="2"/>
    <x v="82"/>
    <s v="PSES Mid Prog21Act25 S275"/>
    <x v="1"/>
    <s v="25"/>
    <m/>
    <n v="25"/>
    <s v="   "/>
    <n v="0.45500000000000002"/>
    <n v="0.23139999999999999"/>
    <n v="0.105"/>
    <x v="5"/>
  </r>
  <r>
    <s v="29101"/>
    <x v="198"/>
    <s v="Personnel"/>
    <s v="M "/>
    <x v="2"/>
    <x v="6"/>
    <s v="PSES Mid Prog01Act25 S275"/>
    <x v="0"/>
    <s v="25"/>
    <m/>
    <n v="25"/>
    <s v="   "/>
    <n v="0.85899999999999999"/>
    <n v="0.23139999999999999"/>
    <n v="0"/>
    <x v="5"/>
  </r>
  <r>
    <s v="29101"/>
    <x v="198"/>
    <s v="Personnel"/>
    <s v="E "/>
    <x v="0"/>
    <x v="7"/>
    <s v="PSES Elem Prog21Act26 S275"/>
    <x v="1"/>
    <s v="26"/>
    <m/>
    <n v="26"/>
    <s v="   "/>
    <n v="1.6519999999999999"/>
    <n v="0.23139999999999999"/>
    <n v="0.38200000000000001"/>
    <x v="6"/>
  </r>
  <r>
    <s v="29101"/>
    <x v="198"/>
    <s v="Personnel"/>
    <s v="E "/>
    <x v="0"/>
    <x v="8"/>
    <s v="PSES Elem Prog01Act26 S275"/>
    <x v="0"/>
    <s v="26"/>
    <m/>
    <n v="26"/>
    <s v="   "/>
    <n v="4.4269999999999996"/>
    <n v="0.23139999999999999"/>
    <n v="0"/>
    <x v="6"/>
  </r>
  <r>
    <s v="29101"/>
    <x v="198"/>
    <s v="Personnel"/>
    <s v="H "/>
    <x v="1"/>
    <x v="29"/>
    <s v="PSES High Prog21Act26 S275"/>
    <x v="1"/>
    <s v="26"/>
    <m/>
    <n v="26"/>
    <s v="   "/>
    <n v="0.93500000000000005"/>
    <n v="0.23139999999999999"/>
    <n v="0.216"/>
    <x v="7"/>
  </r>
  <r>
    <s v="29101"/>
    <x v="198"/>
    <s v="Personnel"/>
    <s v="H "/>
    <x v="1"/>
    <x v="9"/>
    <s v="PSES High Prog01Act26 S275"/>
    <x v="0"/>
    <s v="26"/>
    <m/>
    <n v="26"/>
    <s v="   "/>
    <n v="0.878"/>
    <n v="0.23139999999999999"/>
    <n v="0"/>
    <x v="7"/>
  </r>
  <r>
    <s v="29101"/>
    <x v="198"/>
    <s v="Personnel"/>
    <s v="M "/>
    <x v="2"/>
    <x v="10"/>
    <s v="PSES Mid Prog21Act26 S275"/>
    <x v="1"/>
    <s v="26"/>
    <m/>
    <n v="26"/>
    <s v="   "/>
    <n v="0.45800000000000002"/>
    <n v="0.23139999999999999"/>
    <n v="0.106"/>
    <x v="8"/>
  </r>
  <r>
    <s v="29101"/>
    <x v="198"/>
    <s v="Personnel"/>
    <s v="M "/>
    <x v="2"/>
    <x v="11"/>
    <s v="PSES Mid Prog01Act26 S275"/>
    <x v="0"/>
    <s v="26"/>
    <m/>
    <n v="26"/>
    <s v="   "/>
    <n v="0.68200000000000005"/>
    <n v="0.23139999999999999"/>
    <n v="0"/>
    <x v="8"/>
  </r>
  <r>
    <s v="29101"/>
    <x v="198"/>
    <s v="Personnel"/>
    <s v="E "/>
    <x v="0"/>
    <x v="14"/>
    <s v="PSES Elem Prog21Duty39 S275"/>
    <x v="1"/>
    <s v="39"/>
    <n v="39"/>
    <m/>
    <s v="   "/>
    <n v="0.86"/>
    <n v="0.23139999999999999"/>
    <n v="0.19900000000000001"/>
    <x v="11"/>
  </r>
  <r>
    <s v="29101"/>
    <x v="198"/>
    <s v="Personnel"/>
    <s v="M "/>
    <x v="2"/>
    <x v="88"/>
    <s v="PSES Mid Prog21Duty39 S275"/>
    <x v="1"/>
    <s v="39"/>
    <n v="39"/>
    <m/>
    <s v="   "/>
    <n v="0.1"/>
    <n v="0.23139999999999999"/>
    <n v="2.3E-2"/>
    <x v="47"/>
  </r>
  <r>
    <s v="29101"/>
    <x v="198"/>
    <s v="Personnel"/>
    <s v="E "/>
    <x v="0"/>
    <x v="15"/>
    <s v="PSES Elem Prog01Duty42 S275"/>
    <x v="0"/>
    <s v="42"/>
    <n v="42"/>
    <m/>
    <s v="   "/>
    <n v="5.0780000000000003"/>
    <n v="0.23139999999999999"/>
    <n v="0"/>
    <x v="12"/>
  </r>
  <r>
    <s v="29101"/>
    <x v="198"/>
    <s v="Personnel"/>
    <s v="H "/>
    <x v="1"/>
    <x v="16"/>
    <s v="PSES High Prog01Duty42 S275"/>
    <x v="0"/>
    <s v="42"/>
    <n v="42"/>
    <m/>
    <s v="   "/>
    <n v="3.3690000000000002"/>
    <n v="0.23139999999999999"/>
    <n v="0"/>
    <x v="13"/>
  </r>
  <r>
    <s v="29101"/>
    <x v="198"/>
    <s v="Personnel"/>
    <s v="M "/>
    <x v="2"/>
    <x v="17"/>
    <s v="PSES Mid Prog01Duty42 S275"/>
    <x v="0"/>
    <s v="42"/>
    <n v="42"/>
    <m/>
    <s v="   "/>
    <n v="2"/>
    <n v="0.23139999999999999"/>
    <n v="0"/>
    <x v="14"/>
  </r>
  <r>
    <s v="29101"/>
    <x v="198"/>
    <s v="Personnel"/>
    <s v="E "/>
    <x v="0"/>
    <x v="18"/>
    <s v="PSES Elem Prog21Duty43 S275"/>
    <x v="1"/>
    <s v="43"/>
    <n v="43"/>
    <m/>
    <s v="   "/>
    <n v="3.06"/>
    <n v="0.23139999999999999"/>
    <n v="0.70799999999999996"/>
    <x v="15"/>
  </r>
  <r>
    <s v="29101"/>
    <x v="198"/>
    <s v="Personnel"/>
    <s v="H "/>
    <x v="1"/>
    <x v="19"/>
    <s v="PSES High Prog21Duty43 S275"/>
    <x v="1"/>
    <s v="43"/>
    <n v="43"/>
    <m/>
    <s v="   "/>
    <n v="0.22"/>
    <n v="0.23139999999999999"/>
    <n v="5.0999999999999997E-2"/>
    <x v="16"/>
  </r>
  <r>
    <s v="29101"/>
    <x v="198"/>
    <s v="Personnel"/>
    <s v="M "/>
    <x v="2"/>
    <x v="31"/>
    <s v="PSES Mid Prog21Duty43 S275"/>
    <x v="1"/>
    <s v="43"/>
    <n v="43"/>
    <m/>
    <s v="   "/>
    <n v="0.1"/>
    <n v="0.23139999999999999"/>
    <n v="2.3E-2"/>
    <x v="27"/>
  </r>
  <r>
    <s v="29101"/>
    <x v="198"/>
    <s v="Personnel"/>
    <s v="E "/>
    <x v="0"/>
    <x v="20"/>
    <s v="PSES Elem Prog21Duty45 S275"/>
    <x v="1"/>
    <s v="45"/>
    <n v="45"/>
    <m/>
    <s v="   "/>
    <n v="7.03"/>
    <n v="0.23139999999999999"/>
    <n v="1.627"/>
    <x v="17"/>
  </r>
  <r>
    <s v="29101"/>
    <x v="198"/>
    <s v="Personnel"/>
    <s v="H "/>
    <x v="1"/>
    <x v="21"/>
    <s v="PSES High Prog21Duty45 S275"/>
    <x v="1"/>
    <s v="45"/>
    <n v="45"/>
    <m/>
    <s v="   "/>
    <n v="0.55000000000000004"/>
    <n v="0.23139999999999999"/>
    <n v="0.127"/>
    <x v="18"/>
  </r>
  <r>
    <s v="29101"/>
    <x v="198"/>
    <s v="Personnel"/>
    <s v="M "/>
    <x v="2"/>
    <x v="28"/>
    <s v="PSES Mid Prog21Duty45 S275"/>
    <x v="1"/>
    <s v="45"/>
    <n v="45"/>
    <m/>
    <s v="   "/>
    <n v="0.4"/>
    <n v="0.23139999999999999"/>
    <n v="9.2999999999999999E-2"/>
    <x v="25"/>
  </r>
  <r>
    <s v="29101"/>
    <x v="198"/>
    <s v="Personnel"/>
    <s v="E "/>
    <x v="0"/>
    <x v="22"/>
    <s v="PSES Elem Prog21Duty46 S275"/>
    <x v="1"/>
    <s v="46"/>
    <n v="46"/>
    <m/>
    <s v="   "/>
    <n v="2.95"/>
    <n v="0.23139999999999999"/>
    <n v="0.68300000000000005"/>
    <x v="19"/>
  </r>
  <r>
    <s v="29101"/>
    <x v="198"/>
    <s v="Personnel"/>
    <s v="H "/>
    <x v="1"/>
    <x v="23"/>
    <s v="PSES High Prog21Duty46 S275"/>
    <x v="1"/>
    <s v="46"/>
    <n v="46"/>
    <m/>
    <s v="   "/>
    <n v="1.3"/>
    <n v="0.23139999999999999"/>
    <n v="0.30099999999999999"/>
    <x v="20"/>
  </r>
  <r>
    <s v="29101"/>
    <x v="198"/>
    <s v="Personnel"/>
    <s v="M "/>
    <x v="2"/>
    <x v="24"/>
    <s v="PSES Mid Prog21Duty46 S275"/>
    <x v="1"/>
    <s v="46"/>
    <n v="46"/>
    <m/>
    <s v="   "/>
    <n v="0.9"/>
    <n v="0.23139999999999999"/>
    <n v="0.20799999999999999"/>
    <x v="21"/>
  </r>
  <r>
    <s v="29101"/>
    <x v="198"/>
    <s v="Personnel"/>
    <s v="E "/>
    <x v="0"/>
    <x v="27"/>
    <s v="PSES Elem Prog01Duty47 S275"/>
    <x v="0"/>
    <s v="47"/>
    <n v="47"/>
    <m/>
    <s v="   "/>
    <n v="0.54300000000000004"/>
    <n v="0.23139999999999999"/>
    <n v="0"/>
    <x v="24"/>
  </r>
  <r>
    <s v="29101"/>
    <x v="198"/>
    <s v="Personnel"/>
    <s v="H "/>
    <x v="1"/>
    <x v="25"/>
    <s v="PSES High Prog01Duty47 S275"/>
    <x v="0"/>
    <s v="47"/>
    <n v="47"/>
    <m/>
    <s v="   "/>
    <n v="0.30599999999999999"/>
    <n v="0.23139999999999999"/>
    <n v="0"/>
    <x v="22"/>
  </r>
  <r>
    <s v="29101"/>
    <x v="198"/>
    <s v="Personnel"/>
    <s v="M "/>
    <x v="2"/>
    <x v="34"/>
    <s v="PSES Mid Prog01Duty47 S275"/>
    <x v="0"/>
    <s v="47"/>
    <n v="47"/>
    <m/>
    <s v="   "/>
    <n v="0.151"/>
    <n v="0.23139999999999999"/>
    <n v="0"/>
    <x v="28"/>
  </r>
  <r>
    <s v="29101"/>
    <x v="198"/>
    <s v="Personnel"/>
    <s v="E "/>
    <x v="0"/>
    <x v="35"/>
    <s v="PSES Elem Prog21Duty48 S275"/>
    <x v="1"/>
    <s v="48"/>
    <n v="48"/>
    <m/>
    <s v="   "/>
    <n v="1.0149999999999999"/>
    <n v="0.23139999999999999"/>
    <n v="0.23499999999999999"/>
    <x v="29"/>
  </r>
  <r>
    <s v="29101"/>
    <x v="198"/>
    <s v="Personnel"/>
    <s v="H "/>
    <x v="1"/>
    <x v="36"/>
    <s v="PSES High Prog21Duty48 S275"/>
    <x v="1"/>
    <s v="48"/>
    <n v="48"/>
    <m/>
    <s v="   "/>
    <n v="0.161"/>
    <n v="0.23139999999999999"/>
    <n v="3.6999999999999998E-2"/>
    <x v="30"/>
  </r>
  <r>
    <s v="29101"/>
    <x v="198"/>
    <s v="Personnel"/>
    <s v="M "/>
    <x v="2"/>
    <x v="37"/>
    <s v="PSES Mid Prog21Duty48 S275"/>
    <x v="1"/>
    <s v="48"/>
    <n v="48"/>
    <m/>
    <s v="   "/>
    <n v="0.13300000000000001"/>
    <n v="0.23139999999999999"/>
    <n v="3.1E-2"/>
    <x v="31"/>
  </r>
  <r>
    <s v="29101"/>
    <x v="198"/>
    <s v="Personnel"/>
    <s v="E "/>
    <x v="0"/>
    <x v="26"/>
    <s v="PSES Elem Prog21Duty49 S275"/>
    <x v="1"/>
    <s v="49"/>
    <n v="49"/>
    <m/>
    <s v="   "/>
    <n v="0.184"/>
    <n v="0.23139999999999999"/>
    <n v="4.2999999999999997E-2"/>
    <x v="23"/>
  </r>
  <r>
    <s v="29101"/>
    <x v="198"/>
    <s v="Personnel"/>
    <s v="E "/>
    <x v="0"/>
    <x v="79"/>
    <s v="PSES Elem Prog01Duty49 S275"/>
    <x v="0"/>
    <s v="49"/>
    <n v="49"/>
    <m/>
    <s v="   "/>
    <n v="0.73599999999999999"/>
    <n v="0.23139999999999999"/>
    <n v="0"/>
    <x v="23"/>
  </r>
  <r>
    <s v="29101"/>
    <x v="198"/>
    <s v="Personnel"/>
    <s v="H "/>
    <x v="1"/>
    <x v="55"/>
    <s v="PSES High Prog21Duty49 S275"/>
    <x v="1"/>
    <s v="49"/>
    <n v="49"/>
    <m/>
    <s v="   "/>
    <n v="8.0000000000000002E-3"/>
    <n v="0.23139999999999999"/>
    <n v="2E-3"/>
    <x v="37"/>
  </r>
  <r>
    <s v="29101"/>
    <x v="198"/>
    <s v="Personnel"/>
    <s v="H "/>
    <x v="1"/>
    <x v="68"/>
    <s v="PSES High Prog01Duty49 S275"/>
    <x v="0"/>
    <s v="49"/>
    <n v="49"/>
    <m/>
    <s v="   "/>
    <n v="3.2000000000000001E-2"/>
    <n v="0.23139999999999999"/>
    <n v="0"/>
    <x v="37"/>
  </r>
  <r>
    <s v="29101"/>
    <x v="198"/>
    <s v="Personnel"/>
    <s v="M "/>
    <x v="2"/>
    <x v="50"/>
    <s v="PSES Mid Prog21Duty49 S275"/>
    <x v="1"/>
    <s v="49"/>
    <n v="49"/>
    <m/>
    <s v="   "/>
    <n v="8.0000000000000002E-3"/>
    <n v="0.23139999999999999"/>
    <n v="2E-3"/>
    <x v="36"/>
  </r>
  <r>
    <s v="29101"/>
    <x v="198"/>
    <s v="Personnel"/>
    <s v="M "/>
    <x v="2"/>
    <x v="89"/>
    <s v="PSES Mid Prog01Duty49 S275"/>
    <x v="0"/>
    <s v="49"/>
    <n v="49"/>
    <m/>
    <s v="   "/>
    <n v="3.2000000000000001E-2"/>
    <n v="0.23139999999999999"/>
    <n v="0"/>
    <x v="36"/>
  </r>
  <r>
    <s v="29103"/>
    <x v="199"/>
    <s v="Personnel"/>
    <s v="H "/>
    <x v="1"/>
    <x v="5"/>
    <s v="PSES High Prog01Act25 S275"/>
    <x v="0"/>
    <s v="25"/>
    <m/>
    <n v="25"/>
    <s v="   "/>
    <n v="5.4260000000000002"/>
    <n v="0.20030000000000001"/>
    <n v="0"/>
    <x v="4"/>
  </r>
  <r>
    <s v="29103"/>
    <x v="199"/>
    <s v="Personnel"/>
    <s v="H "/>
    <x v="1"/>
    <x v="9"/>
    <s v="PSES High Prog01Act26 S275"/>
    <x v="0"/>
    <s v="26"/>
    <m/>
    <n v="26"/>
    <s v="   "/>
    <n v="3.32"/>
    <n v="0.20030000000000001"/>
    <n v="0"/>
    <x v="7"/>
  </r>
  <r>
    <s v="29103"/>
    <x v="199"/>
    <s v="Personnel"/>
    <s v="E "/>
    <x v="0"/>
    <x v="15"/>
    <s v="PSES Elem Prog01Duty42 S275"/>
    <x v="0"/>
    <s v="42"/>
    <n v="42"/>
    <m/>
    <s v="   "/>
    <n v="2.4009999999999998"/>
    <n v="0.20030000000000001"/>
    <n v="0"/>
    <x v="12"/>
  </r>
  <r>
    <s v="29103"/>
    <x v="199"/>
    <s v="Personnel"/>
    <s v="H "/>
    <x v="1"/>
    <x v="16"/>
    <s v="PSES High Prog01Duty42 S275"/>
    <x v="0"/>
    <s v="42"/>
    <n v="42"/>
    <m/>
    <s v="   "/>
    <n v="2.5499999999999998"/>
    <n v="0.20030000000000001"/>
    <n v="0"/>
    <x v="13"/>
  </r>
  <r>
    <s v="29103"/>
    <x v="199"/>
    <s v="Personnel"/>
    <s v="M "/>
    <x v="2"/>
    <x v="17"/>
    <s v="PSES Mid Prog01Duty42 S275"/>
    <x v="0"/>
    <s v="42"/>
    <n v="42"/>
    <m/>
    <s v="   "/>
    <n v="1.9"/>
    <n v="0.20030000000000001"/>
    <n v="0"/>
    <x v="14"/>
  </r>
  <r>
    <s v="29103"/>
    <x v="199"/>
    <s v="Personnel"/>
    <s v="E "/>
    <x v="0"/>
    <x v="18"/>
    <s v="PSES Elem Prog21Duty43 S275"/>
    <x v="1"/>
    <s v="43"/>
    <n v="43"/>
    <m/>
    <s v="   "/>
    <n v="1.4019999999999999"/>
    <n v="0.20030000000000001"/>
    <n v="0.28100000000000003"/>
    <x v="15"/>
  </r>
  <r>
    <s v="29103"/>
    <x v="199"/>
    <s v="Personnel"/>
    <s v="M "/>
    <x v="2"/>
    <x v="31"/>
    <s v="PSES Mid Prog21Duty43 S275"/>
    <x v="1"/>
    <s v="43"/>
    <n v="43"/>
    <m/>
    <s v="   "/>
    <n v="0.19800000000000001"/>
    <n v="0.20030000000000001"/>
    <n v="0.04"/>
    <x v="27"/>
  </r>
  <r>
    <s v="29103"/>
    <x v="199"/>
    <s v="Personnel"/>
    <s v="H "/>
    <x v="1"/>
    <x v="44"/>
    <s v="PSES High Prog01Duty44 S275"/>
    <x v="0"/>
    <s v="44"/>
    <n v="44"/>
    <m/>
    <s v="   "/>
    <n v="1"/>
    <n v="0.20030000000000001"/>
    <n v="0"/>
    <x v="34"/>
  </r>
  <r>
    <s v="29103"/>
    <x v="199"/>
    <s v="Personnel"/>
    <s v="M "/>
    <x v="2"/>
    <x v="46"/>
    <s v="PSES Mid Prog01Duty44 S275"/>
    <x v="0"/>
    <s v="44"/>
    <n v="44"/>
    <m/>
    <s v="   "/>
    <n v="1"/>
    <n v="0.20030000000000001"/>
    <n v="0"/>
    <x v="35"/>
  </r>
  <r>
    <s v="29103"/>
    <x v="199"/>
    <s v="Personnel"/>
    <s v="E "/>
    <x v="0"/>
    <x v="20"/>
    <s v="PSES Elem Prog21Duty45 S275"/>
    <x v="1"/>
    <s v="45"/>
    <n v="45"/>
    <m/>
    <s v="   "/>
    <n v="4.5"/>
    <n v="0.20030000000000001"/>
    <n v="0.90100000000000002"/>
    <x v="17"/>
  </r>
  <r>
    <s v="29103"/>
    <x v="199"/>
    <s v="Personnel"/>
    <s v="M "/>
    <x v="2"/>
    <x v="28"/>
    <s v="PSES Mid Prog21Duty45 S275"/>
    <x v="1"/>
    <s v="45"/>
    <n v="45"/>
    <m/>
    <s v="   "/>
    <n v="0.2"/>
    <n v="0.20030000000000001"/>
    <n v="0.04"/>
    <x v="25"/>
  </r>
  <r>
    <s v="29103"/>
    <x v="199"/>
    <s v="Personnel"/>
    <s v="E "/>
    <x v="0"/>
    <x v="22"/>
    <s v="PSES Elem Prog21Duty46 S275"/>
    <x v="1"/>
    <s v="46"/>
    <n v="46"/>
    <m/>
    <s v="   "/>
    <n v="1.3"/>
    <n v="0.20030000000000001"/>
    <n v="0.26"/>
    <x v="19"/>
  </r>
  <r>
    <s v="29103"/>
    <x v="199"/>
    <s v="Personnel"/>
    <s v="H "/>
    <x v="1"/>
    <x v="23"/>
    <s v="PSES High Prog21Duty46 S275"/>
    <x v="1"/>
    <s v="46"/>
    <n v="46"/>
    <m/>
    <s v="   "/>
    <n v="0.7"/>
    <n v="0.20030000000000001"/>
    <n v="0.14000000000000001"/>
    <x v="20"/>
  </r>
  <r>
    <s v="29103"/>
    <x v="199"/>
    <s v="Personnel"/>
    <s v="M "/>
    <x v="2"/>
    <x v="24"/>
    <s v="PSES Mid Prog21Duty46 S275"/>
    <x v="1"/>
    <s v="46"/>
    <n v="46"/>
    <m/>
    <s v="   "/>
    <n v="0.6"/>
    <n v="0.20030000000000001"/>
    <n v="0.12"/>
    <x v="21"/>
  </r>
  <r>
    <s v="29103"/>
    <x v="199"/>
    <s v="Personnel"/>
    <s v="E "/>
    <x v="0"/>
    <x v="27"/>
    <s v="PSES Elem Prog01Duty47 S275"/>
    <x v="0"/>
    <s v="47"/>
    <n v="47"/>
    <m/>
    <s v="   "/>
    <n v="0.53900000000000003"/>
    <n v="0.20030000000000001"/>
    <n v="0"/>
    <x v="24"/>
  </r>
  <r>
    <s v="29103"/>
    <x v="199"/>
    <s v="Personnel"/>
    <s v="H "/>
    <x v="1"/>
    <x v="25"/>
    <s v="PSES High Prog01Duty47 S275"/>
    <x v="0"/>
    <s v="47"/>
    <n v="47"/>
    <m/>
    <s v="   "/>
    <n v="0.307"/>
    <n v="0.20030000000000001"/>
    <n v="0"/>
    <x v="22"/>
  </r>
  <r>
    <s v="29103"/>
    <x v="199"/>
    <s v="Personnel"/>
    <s v="M "/>
    <x v="2"/>
    <x v="34"/>
    <s v="PSES Mid Prog01Duty47 S275"/>
    <x v="0"/>
    <s v="47"/>
    <n v="47"/>
    <m/>
    <s v="   "/>
    <n v="0.154"/>
    <n v="0.20030000000000001"/>
    <n v="0"/>
    <x v="28"/>
  </r>
  <r>
    <s v="29103"/>
    <x v="199"/>
    <s v="Personnel"/>
    <s v="E "/>
    <x v="0"/>
    <x v="35"/>
    <s v="PSES Elem Prog21Duty48 S275"/>
    <x v="1"/>
    <s v="48"/>
    <n v="48"/>
    <m/>
    <s v="   "/>
    <n v="0.91200000000000003"/>
    <n v="0.20030000000000001"/>
    <n v="0.183"/>
    <x v="29"/>
  </r>
  <r>
    <s v="29103"/>
    <x v="199"/>
    <s v="Personnel"/>
    <s v="H "/>
    <x v="1"/>
    <x v="36"/>
    <s v="PSES High Prog21Duty48 S275"/>
    <x v="1"/>
    <s v="48"/>
    <n v="48"/>
    <m/>
    <s v="   "/>
    <n v="2.4E-2"/>
    <n v="0.20030000000000001"/>
    <n v="5.0000000000000001E-3"/>
    <x v="30"/>
  </r>
  <r>
    <s v="29103"/>
    <x v="199"/>
    <s v="Personnel"/>
    <s v="M "/>
    <x v="2"/>
    <x v="37"/>
    <s v="PSES Mid Prog21Duty48 S275"/>
    <x v="1"/>
    <s v="48"/>
    <n v="48"/>
    <m/>
    <s v="   "/>
    <n v="6.4000000000000001E-2"/>
    <n v="0.20030000000000001"/>
    <n v="1.2999999999999999E-2"/>
    <x v="31"/>
  </r>
  <r>
    <s v="29311"/>
    <x v="200"/>
    <s v="Personnel"/>
    <s v="E "/>
    <x v="0"/>
    <x v="3"/>
    <s v="PSES Elem Prog01Act25 S275"/>
    <x v="0"/>
    <s v="25"/>
    <m/>
    <n v="25"/>
    <s v="   "/>
    <n v="0.63900000000000001"/>
    <n v="0.22489999999999999"/>
    <n v="0"/>
    <x v="3"/>
  </r>
  <r>
    <s v="29311"/>
    <x v="200"/>
    <s v="Personnel"/>
    <s v="H "/>
    <x v="1"/>
    <x v="5"/>
    <s v="PSES High Prog01Act25 S275"/>
    <x v="0"/>
    <s v="25"/>
    <m/>
    <n v="25"/>
    <s v="   "/>
    <n v="0.14000000000000001"/>
    <n v="0.22489999999999999"/>
    <n v="0"/>
    <x v="4"/>
  </r>
  <r>
    <s v="29311"/>
    <x v="200"/>
    <s v="Personnel"/>
    <s v="M "/>
    <x v="2"/>
    <x v="6"/>
    <s v="PSES Mid Prog01Act25 S275"/>
    <x v="0"/>
    <s v="25"/>
    <m/>
    <n v="25"/>
    <s v="   "/>
    <n v="9.4E-2"/>
    <n v="0.22489999999999999"/>
    <n v="0"/>
    <x v="5"/>
  </r>
  <r>
    <s v="29311"/>
    <x v="200"/>
    <s v="Personnel"/>
    <s v="M "/>
    <x v="2"/>
    <x v="10"/>
    <s v="PSES Mid Prog21Act26 S275"/>
    <x v="1"/>
    <s v="26"/>
    <m/>
    <n v="26"/>
    <s v="   "/>
    <n v="0.67400000000000004"/>
    <n v="0.22489999999999999"/>
    <n v="0.152"/>
    <x v="8"/>
  </r>
  <r>
    <s v="29311"/>
    <x v="200"/>
    <s v="Personnel"/>
    <s v="H "/>
    <x v="1"/>
    <x v="16"/>
    <s v="PSES High Prog01Duty42 S275"/>
    <x v="0"/>
    <s v="42"/>
    <n v="42"/>
    <m/>
    <s v="   "/>
    <n v="0.5"/>
    <n v="0.22489999999999999"/>
    <n v="0"/>
    <x v="13"/>
  </r>
  <r>
    <s v="29311"/>
    <x v="200"/>
    <s v="Personnel"/>
    <s v="M "/>
    <x v="2"/>
    <x v="17"/>
    <s v="PSES Mid Prog01Duty42 S275"/>
    <x v="0"/>
    <s v="42"/>
    <n v="42"/>
    <m/>
    <s v="   "/>
    <n v="0.5"/>
    <n v="0.22489999999999999"/>
    <n v="0"/>
    <x v="14"/>
  </r>
  <r>
    <s v="29311"/>
    <x v="200"/>
    <s v="Personnel"/>
    <s v="E "/>
    <x v="0"/>
    <x v="20"/>
    <s v="PSES Elem Prog21Duty45 S275"/>
    <x v="1"/>
    <s v="45"/>
    <n v="45"/>
    <m/>
    <s v="   "/>
    <n v="1"/>
    <n v="0.22489999999999999"/>
    <n v="0.22500000000000001"/>
    <x v="17"/>
  </r>
  <r>
    <s v="29311"/>
    <x v="200"/>
    <s v="Personnel"/>
    <s v="E "/>
    <x v="0"/>
    <x v="27"/>
    <s v="PSES Elem Prog01Duty47 S275"/>
    <x v="0"/>
    <s v="47"/>
    <n v="47"/>
    <m/>
    <s v="   "/>
    <n v="0.4"/>
    <n v="0.22489999999999999"/>
    <n v="0"/>
    <x v="24"/>
  </r>
  <r>
    <s v="29317"/>
    <x v="201"/>
    <s v="Personnel"/>
    <s v="H "/>
    <x v="1"/>
    <x v="5"/>
    <s v="PSES High Prog01Act25 S275"/>
    <x v="0"/>
    <s v="25"/>
    <m/>
    <n v="25"/>
    <s v="   "/>
    <n v="0.874"/>
    <n v="0.12709999999999999"/>
    <n v="0"/>
    <x v="4"/>
  </r>
  <r>
    <s v="29317"/>
    <x v="201"/>
    <s v="Personnel"/>
    <s v="H "/>
    <x v="1"/>
    <x v="9"/>
    <s v="PSES High Prog01Act26 S275"/>
    <x v="0"/>
    <s v="26"/>
    <m/>
    <n v="26"/>
    <s v="   "/>
    <n v="5.0999999999999997E-2"/>
    <n v="0.12709999999999999"/>
    <n v="0"/>
    <x v="7"/>
  </r>
  <r>
    <s v="29317"/>
    <x v="201"/>
    <s v="Personnel"/>
    <s v="E "/>
    <x v="0"/>
    <x v="15"/>
    <s v="PSES Elem Prog01Duty42 S275"/>
    <x v="0"/>
    <s v="42"/>
    <n v="42"/>
    <m/>
    <s v="   "/>
    <n v="0.8"/>
    <n v="0.12709999999999999"/>
    <n v="0"/>
    <x v="12"/>
  </r>
  <r>
    <s v="29317"/>
    <x v="201"/>
    <s v="Personnel"/>
    <s v="E "/>
    <x v="0"/>
    <x v="20"/>
    <s v="PSES Elem Prog21Duty45 S275"/>
    <x v="1"/>
    <s v="45"/>
    <n v="45"/>
    <m/>
    <s v="   "/>
    <n v="0.51600000000000001"/>
    <n v="0.12709999999999999"/>
    <n v="6.6000000000000003E-2"/>
    <x v="17"/>
  </r>
  <r>
    <s v="29317"/>
    <x v="201"/>
    <s v="Personnel"/>
    <s v="E "/>
    <x v="0"/>
    <x v="22"/>
    <s v="PSES Elem Prog21Duty46 S275"/>
    <x v="1"/>
    <s v="46"/>
    <n v="46"/>
    <m/>
    <s v="   "/>
    <n v="0.4"/>
    <n v="0.12709999999999999"/>
    <n v="5.0999999999999997E-2"/>
    <x v="19"/>
  </r>
  <r>
    <s v="29320"/>
    <x v="202"/>
    <s v="Personnel"/>
    <s v="E "/>
    <x v="0"/>
    <x v="3"/>
    <s v="PSES Elem Prog01Act25 S275"/>
    <x v="0"/>
    <s v="25"/>
    <m/>
    <n v="25"/>
    <s v="   "/>
    <n v="7.8520000000000003"/>
    <n v="0.26129999999999998"/>
    <n v="0"/>
    <x v="3"/>
  </r>
  <r>
    <s v="29320"/>
    <x v="202"/>
    <s v="Personnel"/>
    <s v="H "/>
    <x v="1"/>
    <x v="5"/>
    <s v="PSES High Prog01Act25 S275"/>
    <x v="0"/>
    <s v="25"/>
    <m/>
    <n v="25"/>
    <s v="   "/>
    <n v="0.73599999999999999"/>
    <n v="0.26129999999999998"/>
    <n v="0"/>
    <x v="4"/>
  </r>
  <r>
    <s v="29320"/>
    <x v="202"/>
    <s v="Personnel"/>
    <s v="M "/>
    <x v="2"/>
    <x v="6"/>
    <s v="PSES Mid Prog01Act25 S275"/>
    <x v="0"/>
    <s v="25"/>
    <m/>
    <n v="25"/>
    <s v="   "/>
    <n v="0.65300000000000002"/>
    <n v="0.26129999999999998"/>
    <n v="0"/>
    <x v="5"/>
  </r>
  <r>
    <s v="29320"/>
    <x v="202"/>
    <s v="Personnel"/>
    <s v="E "/>
    <x v="0"/>
    <x v="8"/>
    <s v="PSES Elem Prog01Act26 S275"/>
    <x v="0"/>
    <s v="26"/>
    <m/>
    <n v="26"/>
    <s v="   "/>
    <n v="1.8720000000000001"/>
    <n v="0.26129999999999998"/>
    <n v="0"/>
    <x v="6"/>
  </r>
  <r>
    <s v="29320"/>
    <x v="202"/>
    <s v="Personnel"/>
    <s v="H "/>
    <x v="1"/>
    <x v="29"/>
    <s v="PSES High Prog21Act26 S275"/>
    <x v="1"/>
    <s v="26"/>
    <m/>
    <n v="26"/>
    <s v="   "/>
    <n v="1.9379999999999999"/>
    <n v="0.26129999999999998"/>
    <n v="0.50600000000000001"/>
    <x v="7"/>
  </r>
  <r>
    <s v="29320"/>
    <x v="202"/>
    <s v="Personnel"/>
    <s v="H "/>
    <x v="1"/>
    <x v="9"/>
    <s v="PSES High Prog01Act26 S275"/>
    <x v="0"/>
    <s v="26"/>
    <m/>
    <n v="26"/>
    <s v="   "/>
    <n v="3.3370000000000002"/>
    <n v="0.26129999999999998"/>
    <n v="0"/>
    <x v="7"/>
  </r>
  <r>
    <s v="29320"/>
    <x v="202"/>
    <s v="Personnel"/>
    <s v="H "/>
    <x v="1"/>
    <x v="54"/>
    <s v="PSES High Prog01Act35 S275"/>
    <x v="0"/>
    <s v="35"/>
    <m/>
    <n v="35"/>
    <s v="   "/>
    <n v="4.4279999999999999"/>
    <n v="0.26129999999999998"/>
    <n v="0"/>
    <x v="9"/>
  </r>
  <r>
    <s v="29320"/>
    <x v="202"/>
    <s v="Personnel"/>
    <s v="E "/>
    <x v="0"/>
    <x v="15"/>
    <s v="PSES Elem Prog01Duty42 S275"/>
    <x v="0"/>
    <s v="42"/>
    <n v="42"/>
    <m/>
    <s v="   "/>
    <n v="6"/>
    <n v="0.26129999999999998"/>
    <n v="0"/>
    <x v="12"/>
  </r>
  <r>
    <s v="29320"/>
    <x v="202"/>
    <s v="Personnel"/>
    <s v="H "/>
    <x v="1"/>
    <x v="16"/>
    <s v="PSES High Prog01Duty42 S275"/>
    <x v="0"/>
    <s v="42"/>
    <n v="42"/>
    <m/>
    <s v="   "/>
    <n v="4.5"/>
    <n v="0.26129999999999998"/>
    <n v="0"/>
    <x v="13"/>
  </r>
  <r>
    <s v="29320"/>
    <x v="202"/>
    <s v="Personnel"/>
    <s v="M "/>
    <x v="2"/>
    <x v="17"/>
    <s v="PSES Mid Prog01Duty42 S275"/>
    <x v="0"/>
    <s v="42"/>
    <n v="42"/>
    <m/>
    <s v="   "/>
    <n v="4"/>
    <n v="0.26129999999999998"/>
    <n v="0"/>
    <x v="14"/>
  </r>
  <r>
    <s v="29320"/>
    <x v="202"/>
    <s v="Personnel"/>
    <s v="E "/>
    <x v="0"/>
    <x v="18"/>
    <s v="PSES Elem Prog21Duty43 S275"/>
    <x v="1"/>
    <s v="43"/>
    <n v="43"/>
    <m/>
    <s v="   "/>
    <n v="1.8"/>
    <n v="0.26129999999999998"/>
    <n v="0.47"/>
    <x v="15"/>
  </r>
  <r>
    <s v="29320"/>
    <x v="202"/>
    <s v="Personnel"/>
    <s v="H "/>
    <x v="1"/>
    <x v="19"/>
    <s v="PSES High Prog21Duty43 S275"/>
    <x v="1"/>
    <s v="43"/>
    <n v="43"/>
    <m/>
    <s v="   "/>
    <n v="0.2"/>
    <n v="0.26129999999999998"/>
    <n v="5.1999999999999998E-2"/>
    <x v="16"/>
  </r>
  <r>
    <s v="29320"/>
    <x v="202"/>
    <s v="Personnel"/>
    <s v="E "/>
    <x v="0"/>
    <x v="42"/>
    <s v="PSES Elem Prog01Duty44 S275"/>
    <x v="0"/>
    <s v="44"/>
    <n v="44"/>
    <m/>
    <s v="   "/>
    <n v="2.25"/>
    <n v="0.26129999999999998"/>
    <n v="0"/>
    <x v="33"/>
  </r>
  <r>
    <s v="29320"/>
    <x v="202"/>
    <s v="Personnel"/>
    <s v="H "/>
    <x v="1"/>
    <x v="44"/>
    <s v="PSES High Prog01Duty44 S275"/>
    <x v="0"/>
    <s v="44"/>
    <n v="44"/>
    <m/>
    <s v="   "/>
    <n v="0.8"/>
    <n v="0.26129999999999998"/>
    <n v="0"/>
    <x v="34"/>
  </r>
  <r>
    <s v="29320"/>
    <x v="202"/>
    <s v="Personnel"/>
    <s v="M "/>
    <x v="2"/>
    <x v="46"/>
    <s v="PSES Mid Prog01Duty44 S275"/>
    <x v="0"/>
    <s v="44"/>
    <n v="44"/>
    <m/>
    <s v="   "/>
    <n v="0.33"/>
    <n v="0.26129999999999998"/>
    <n v="0"/>
    <x v="35"/>
  </r>
  <r>
    <s v="29320"/>
    <x v="202"/>
    <s v="Personnel"/>
    <s v="E "/>
    <x v="0"/>
    <x v="20"/>
    <s v="PSES Elem Prog21Duty45 S275"/>
    <x v="1"/>
    <s v="45"/>
    <n v="45"/>
    <m/>
    <s v="   "/>
    <n v="7.2960000000000003"/>
    <n v="0.26129999999999998"/>
    <n v="1.9059999999999999"/>
    <x v="17"/>
  </r>
  <r>
    <s v="29320"/>
    <x v="202"/>
    <s v="Personnel"/>
    <s v="H "/>
    <x v="1"/>
    <x v="21"/>
    <s v="PSES High Prog21Duty45 S275"/>
    <x v="1"/>
    <s v="45"/>
    <n v="45"/>
    <m/>
    <s v="   "/>
    <n v="1.7"/>
    <n v="0.26129999999999998"/>
    <n v="0.44400000000000001"/>
    <x v="18"/>
  </r>
  <r>
    <s v="29320"/>
    <x v="202"/>
    <s v="Personnel"/>
    <s v="M "/>
    <x v="2"/>
    <x v="28"/>
    <s v="PSES Mid Prog21Duty45 S275"/>
    <x v="1"/>
    <s v="45"/>
    <n v="45"/>
    <m/>
    <s v="   "/>
    <n v="1.1719999999999999"/>
    <n v="0.26129999999999998"/>
    <n v="0.30599999999999999"/>
    <x v="25"/>
  </r>
  <r>
    <s v="29320"/>
    <x v="202"/>
    <s v="Personnel"/>
    <s v="E "/>
    <x v="0"/>
    <x v="27"/>
    <s v="PSES Elem Prog01Duty47 S275"/>
    <x v="0"/>
    <s v="47"/>
    <n v="47"/>
    <m/>
    <s v="   "/>
    <n v="2.347"/>
    <n v="0.26129999999999998"/>
    <n v="0"/>
    <x v="24"/>
  </r>
  <r>
    <s v="29320"/>
    <x v="202"/>
    <s v="Personnel"/>
    <s v="H "/>
    <x v="1"/>
    <x v="25"/>
    <s v="PSES High Prog01Duty47 S275"/>
    <x v="0"/>
    <s v="47"/>
    <n v="47"/>
    <m/>
    <s v="   "/>
    <n v="1.06"/>
    <n v="0.26129999999999998"/>
    <n v="0"/>
    <x v="22"/>
  </r>
  <r>
    <s v="29320"/>
    <x v="202"/>
    <s v="Personnel"/>
    <s v="M "/>
    <x v="2"/>
    <x v="34"/>
    <s v="PSES Mid Prog01Duty47 S275"/>
    <x v="0"/>
    <s v="47"/>
    <n v="47"/>
    <m/>
    <s v="   "/>
    <n v="0.79300000000000004"/>
    <n v="0.26129999999999998"/>
    <n v="0"/>
    <x v="28"/>
  </r>
  <r>
    <s v="29320"/>
    <x v="202"/>
    <s v="Personnel"/>
    <s v="E "/>
    <x v="0"/>
    <x v="35"/>
    <s v="PSES Elem Prog21Duty48 S275"/>
    <x v="1"/>
    <s v="48"/>
    <n v="48"/>
    <m/>
    <s v="   "/>
    <n v="0.33"/>
    <n v="0.26129999999999998"/>
    <n v="8.5999999999999993E-2"/>
    <x v="29"/>
  </r>
  <r>
    <s v="29320"/>
    <x v="202"/>
    <s v="Personnel"/>
    <s v="H "/>
    <x v="1"/>
    <x v="36"/>
    <s v="PSES High Prog21Duty48 S275"/>
    <x v="1"/>
    <s v="48"/>
    <n v="48"/>
    <m/>
    <s v="   "/>
    <n v="0.09"/>
    <n v="0.26129999999999998"/>
    <n v="2.4E-2"/>
    <x v="30"/>
  </r>
  <r>
    <s v="29320"/>
    <x v="202"/>
    <s v="Personnel"/>
    <s v="M "/>
    <x v="2"/>
    <x v="37"/>
    <s v="PSES Mid Prog21Duty48 S275"/>
    <x v="1"/>
    <s v="48"/>
    <n v="48"/>
    <m/>
    <s v="   "/>
    <n v="0.18"/>
    <n v="0.26129999999999998"/>
    <n v="4.7E-2"/>
    <x v="31"/>
  </r>
  <r>
    <s v="30002"/>
    <x v="203"/>
    <s v="Personnel"/>
    <s v="H "/>
    <x v="1"/>
    <x v="9"/>
    <s v="PSES High Prog01Act26 S275"/>
    <x v="0"/>
    <s v="26"/>
    <m/>
    <n v="26"/>
    <s v="   "/>
    <n v="0.20100000000000001"/>
    <n v="0.1913"/>
    <n v="0"/>
    <x v="7"/>
  </r>
  <r>
    <s v="30029"/>
    <x v="204"/>
    <s v="Personnel"/>
    <s v="H "/>
    <x v="1"/>
    <x v="9"/>
    <s v="PSES High Prog01Act26 S275"/>
    <x v="0"/>
    <s v="26"/>
    <m/>
    <n v="26"/>
    <s v="   "/>
    <n v="0.28000000000000003"/>
    <n v="0.1913"/>
    <n v="0"/>
    <x v="7"/>
  </r>
  <r>
    <s v="30031"/>
    <x v="205"/>
    <s v="Personnel"/>
    <s v="H "/>
    <x v="1"/>
    <x v="16"/>
    <s v="PSES High Prog01Duty42 S275"/>
    <x v="0"/>
    <s v="42"/>
    <n v="42"/>
    <m/>
    <s v="   "/>
    <n v="0.75"/>
    <n v="0.1913"/>
    <n v="0"/>
    <x v="13"/>
  </r>
  <r>
    <s v="30303"/>
    <x v="206"/>
    <s v="Personnel"/>
    <s v="H "/>
    <x v="1"/>
    <x v="5"/>
    <s v="PSES High Prog01Act25 S275"/>
    <x v="0"/>
    <s v="25"/>
    <m/>
    <n v="25"/>
    <s v="   "/>
    <n v="0.88200000000000001"/>
    <n v="0.1913"/>
    <n v="0"/>
    <x v="4"/>
  </r>
  <r>
    <s v="30303"/>
    <x v="206"/>
    <s v="Personnel"/>
    <s v="H "/>
    <x v="1"/>
    <x v="54"/>
    <s v="PSES High Prog01Act35 S275"/>
    <x v="0"/>
    <s v="35"/>
    <m/>
    <n v="35"/>
    <s v="   "/>
    <n v="0.54500000000000004"/>
    <n v="0.1913"/>
    <n v="0"/>
    <x v="9"/>
  </r>
  <r>
    <s v="30303"/>
    <x v="206"/>
    <s v="Personnel"/>
    <s v="E "/>
    <x v="0"/>
    <x v="15"/>
    <s v="PSES Elem Prog01Duty42 S275"/>
    <x v="0"/>
    <s v="42"/>
    <n v="42"/>
    <m/>
    <s v="   "/>
    <n v="0.8"/>
    <n v="0.1913"/>
    <n v="0"/>
    <x v="12"/>
  </r>
  <r>
    <s v="30303"/>
    <x v="206"/>
    <s v="Personnel"/>
    <s v="H "/>
    <x v="1"/>
    <x v="16"/>
    <s v="PSES High Prog01Duty42 S275"/>
    <x v="0"/>
    <s v="42"/>
    <n v="42"/>
    <m/>
    <s v="   "/>
    <n v="1.2"/>
    <n v="0.1913"/>
    <n v="0"/>
    <x v="13"/>
  </r>
  <r>
    <s v="30303"/>
    <x v="206"/>
    <s v="Personnel"/>
    <s v="M "/>
    <x v="2"/>
    <x v="17"/>
    <s v="PSES Mid Prog01Duty42 S275"/>
    <x v="0"/>
    <s v="42"/>
    <n v="42"/>
    <m/>
    <s v="   "/>
    <n v="0.8"/>
    <n v="0.1913"/>
    <n v="0"/>
    <x v="14"/>
  </r>
  <r>
    <s v="31002"/>
    <x v="207"/>
    <s v="Personnel"/>
    <s v="H "/>
    <x v="1"/>
    <x v="1"/>
    <s v="PSES High Prog01Duty96 S275"/>
    <x v="0"/>
    <s v="24"/>
    <n v="96"/>
    <n v="24"/>
    <s v="   "/>
    <n v="0.64300000000000002"/>
    <n v="0.29820000000000002"/>
    <n v="0"/>
    <x v="1"/>
  </r>
  <r>
    <s v="31002"/>
    <x v="207"/>
    <s v="Personnel"/>
    <s v="H "/>
    <x v="1"/>
    <x v="4"/>
    <s v="PSES High Prog21Act25 S275"/>
    <x v="1"/>
    <s v="25"/>
    <m/>
    <n v="25"/>
    <s v="   "/>
    <n v="1.294"/>
    <n v="0.29820000000000002"/>
    <n v="0.38600000000000001"/>
    <x v="4"/>
  </r>
  <r>
    <s v="31002"/>
    <x v="207"/>
    <s v="Personnel"/>
    <s v="H "/>
    <x v="1"/>
    <x v="5"/>
    <s v="PSES High Prog01Act25 S275"/>
    <x v="0"/>
    <s v="25"/>
    <m/>
    <n v="25"/>
    <s v="   "/>
    <n v="33.484000000000002"/>
    <n v="0.29820000000000002"/>
    <n v="0"/>
    <x v="4"/>
  </r>
  <r>
    <s v="31002"/>
    <x v="207"/>
    <s v="Personnel"/>
    <s v="H "/>
    <x v="1"/>
    <x v="29"/>
    <s v="PSES High Prog21Act26 S275"/>
    <x v="1"/>
    <s v="26"/>
    <m/>
    <n v="26"/>
    <s v="   "/>
    <n v="5.3150000000000004"/>
    <n v="0.29820000000000002"/>
    <n v="1.585"/>
    <x v="7"/>
  </r>
  <r>
    <s v="31002"/>
    <x v="207"/>
    <s v="Personnel"/>
    <s v="H "/>
    <x v="1"/>
    <x v="9"/>
    <s v="PSES High Prog01Act26 S275"/>
    <x v="0"/>
    <s v="26"/>
    <m/>
    <n v="26"/>
    <s v="   "/>
    <n v="25.937999999999999"/>
    <n v="0.29820000000000002"/>
    <n v="0"/>
    <x v="7"/>
  </r>
  <r>
    <s v="31002"/>
    <x v="207"/>
    <s v="Personnel"/>
    <s v="H "/>
    <x v="1"/>
    <x v="54"/>
    <s v="PSES High Prog01Act35 S275"/>
    <x v="0"/>
    <s v="35"/>
    <m/>
    <n v="35"/>
    <s v="   "/>
    <n v="9.19"/>
    <n v="0.29820000000000002"/>
    <n v="0"/>
    <x v="9"/>
  </r>
  <r>
    <s v="31002"/>
    <x v="207"/>
    <s v="Personnel"/>
    <s v="E "/>
    <x v="0"/>
    <x v="15"/>
    <s v="PSES Elem Prog01Duty42 S275"/>
    <x v="0"/>
    <s v="42"/>
    <n v="42"/>
    <m/>
    <s v="   "/>
    <n v="23.786000000000001"/>
    <n v="0.29820000000000002"/>
    <n v="0"/>
    <x v="12"/>
  </r>
  <r>
    <s v="31002"/>
    <x v="207"/>
    <s v="Personnel"/>
    <s v="H "/>
    <x v="1"/>
    <x v="16"/>
    <s v="PSES High Prog01Duty42 S275"/>
    <x v="0"/>
    <s v="42"/>
    <n v="42"/>
    <m/>
    <s v="   "/>
    <n v="11.76"/>
    <n v="0.29820000000000002"/>
    <n v="0"/>
    <x v="13"/>
  </r>
  <r>
    <s v="31002"/>
    <x v="207"/>
    <s v="Personnel"/>
    <s v="M "/>
    <x v="2"/>
    <x v="17"/>
    <s v="PSES Mid Prog01Duty42 S275"/>
    <x v="0"/>
    <s v="42"/>
    <n v="42"/>
    <m/>
    <s v="   "/>
    <n v="12.88"/>
    <n v="0.29820000000000002"/>
    <n v="0"/>
    <x v="14"/>
  </r>
  <r>
    <s v="31002"/>
    <x v="207"/>
    <s v="Personnel"/>
    <s v="E "/>
    <x v="0"/>
    <x v="18"/>
    <s v="PSES Elem Prog21Duty43 S275"/>
    <x v="1"/>
    <s v="43"/>
    <n v="43"/>
    <m/>
    <s v="   "/>
    <n v="6.4009999999999998"/>
    <n v="0.29820000000000002"/>
    <n v="1.909"/>
    <x v="15"/>
  </r>
  <r>
    <s v="31002"/>
    <x v="207"/>
    <s v="Personnel"/>
    <s v="H "/>
    <x v="1"/>
    <x v="19"/>
    <s v="PSES High Prog21Duty43 S275"/>
    <x v="1"/>
    <s v="43"/>
    <n v="43"/>
    <m/>
    <s v="   "/>
    <n v="1.6"/>
    <n v="0.29820000000000002"/>
    <n v="0.47699999999999998"/>
    <x v="16"/>
  </r>
  <r>
    <s v="31002"/>
    <x v="207"/>
    <s v="Personnel"/>
    <s v="M "/>
    <x v="2"/>
    <x v="31"/>
    <s v="PSES Mid Prog21Duty43 S275"/>
    <x v="1"/>
    <s v="43"/>
    <n v="43"/>
    <m/>
    <s v="   "/>
    <n v="0.6"/>
    <n v="0.29820000000000002"/>
    <n v="0.17899999999999999"/>
    <x v="27"/>
  </r>
  <r>
    <s v="31002"/>
    <x v="207"/>
    <s v="Personnel"/>
    <s v="E "/>
    <x v="0"/>
    <x v="42"/>
    <s v="PSES Elem Prog01Duty44 S275"/>
    <x v="0"/>
    <s v="44"/>
    <n v="44"/>
    <m/>
    <s v="   "/>
    <n v="2.0009999999999999"/>
    <n v="0.29820000000000002"/>
    <n v="0"/>
    <x v="33"/>
  </r>
  <r>
    <s v="31002"/>
    <x v="207"/>
    <s v="Personnel"/>
    <s v="H "/>
    <x v="1"/>
    <x v="44"/>
    <s v="PSES High Prog01Duty44 S275"/>
    <x v="0"/>
    <s v="44"/>
    <n v="44"/>
    <m/>
    <s v="   "/>
    <n v="0.44400000000000001"/>
    <n v="0.29820000000000002"/>
    <n v="0"/>
    <x v="34"/>
  </r>
  <r>
    <s v="31002"/>
    <x v="207"/>
    <s v="Personnel"/>
    <s v="M "/>
    <x v="2"/>
    <x v="46"/>
    <s v="PSES Mid Prog01Duty44 S275"/>
    <x v="0"/>
    <s v="44"/>
    <n v="44"/>
    <m/>
    <s v="   "/>
    <n v="0.55500000000000005"/>
    <n v="0.29820000000000002"/>
    <n v="0"/>
    <x v="35"/>
  </r>
  <r>
    <s v="31002"/>
    <x v="207"/>
    <s v="Personnel"/>
    <s v="E "/>
    <x v="0"/>
    <x v="20"/>
    <s v="PSES Elem Prog21Duty45 S275"/>
    <x v="1"/>
    <s v="45"/>
    <n v="45"/>
    <m/>
    <s v="   "/>
    <n v="20.882000000000001"/>
    <n v="0.29820000000000002"/>
    <n v="6.2270000000000003"/>
    <x v="17"/>
  </r>
  <r>
    <s v="31002"/>
    <x v="207"/>
    <s v="Personnel"/>
    <s v="E "/>
    <x v="0"/>
    <x v="47"/>
    <s v="PSES Elem Prog01Duty45 S275"/>
    <x v="0"/>
    <s v="45"/>
    <n v="45"/>
    <m/>
    <s v="   "/>
    <n v="0.66600000000000004"/>
    <n v="0.29820000000000002"/>
    <n v="0"/>
    <x v="17"/>
  </r>
  <r>
    <s v="31002"/>
    <x v="207"/>
    <s v="Personnel"/>
    <s v="H "/>
    <x v="1"/>
    <x v="21"/>
    <s v="PSES High Prog21Duty45 S275"/>
    <x v="1"/>
    <s v="45"/>
    <n v="45"/>
    <m/>
    <s v="   "/>
    <n v="6.1479999999999997"/>
    <n v="0.29820000000000002"/>
    <n v="1.833"/>
    <x v="18"/>
  </r>
  <r>
    <s v="31002"/>
    <x v="207"/>
    <s v="Personnel"/>
    <s v="H "/>
    <x v="1"/>
    <x v="51"/>
    <s v="PSES High Prog01Duty45 S275"/>
    <x v="0"/>
    <s v="45"/>
    <n v="45"/>
    <m/>
    <s v="   "/>
    <n v="0.14799999999999999"/>
    <n v="0.29820000000000002"/>
    <n v="0"/>
    <x v="18"/>
  </r>
  <r>
    <s v="31002"/>
    <x v="207"/>
    <s v="Personnel"/>
    <s v="M "/>
    <x v="2"/>
    <x v="28"/>
    <s v="PSES Mid Prog21Duty45 S275"/>
    <x v="1"/>
    <s v="45"/>
    <n v="45"/>
    <m/>
    <s v="   "/>
    <n v="5.3860000000000001"/>
    <n v="0.29820000000000002"/>
    <n v="1.6060000000000001"/>
    <x v="25"/>
  </r>
  <r>
    <s v="31002"/>
    <x v="207"/>
    <s v="Personnel"/>
    <s v="M "/>
    <x v="2"/>
    <x v="52"/>
    <s v="PSES Mid Prog01Duty45 S275"/>
    <x v="0"/>
    <s v="45"/>
    <n v="45"/>
    <m/>
    <s v="   "/>
    <n v="0.186"/>
    <n v="0.29820000000000002"/>
    <n v="0"/>
    <x v="25"/>
  </r>
  <r>
    <s v="31002"/>
    <x v="207"/>
    <s v="Personnel"/>
    <s v="E "/>
    <x v="0"/>
    <x v="22"/>
    <s v="PSES Elem Prog21Duty46 S275"/>
    <x v="1"/>
    <s v="46"/>
    <n v="46"/>
    <m/>
    <s v="   "/>
    <n v="8.4"/>
    <n v="0.29820000000000002"/>
    <n v="2.5049999999999999"/>
    <x v="19"/>
  </r>
  <r>
    <s v="31002"/>
    <x v="207"/>
    <s v="Personnel"/>
    <s v="H "/>
    <x v="1"/>
    <x v="23"/>
    <s v="PSES High Prog21Duty46 S275"/>
    <x v="1"/>
    <s v="46"/>
    <n v="46"/>
    <m/>
    <s v="   "/>
    <n v="1.4"/>
    <n v="0.29820000000000002"/>
    <n v="0.41699999999999998"/>
    <x v="20"/>
  </r>
  <r>
    <s v="31002"/>
    <x v="207"/>
    <s v="Personnel"/>
    <s v="M "/>
    <x v="2"/>
    <x v="24"/>
    <s v="PSES Mid Prog21Duty46 S275"/>
    <x v="1"/>
    <s v="46"/>
    <n v="46"/>
    <m/>
    <s v="   "/>
    <n v="2.4"/>
    <n v="0.29820000000000002"/>
    <n v="0.71599999999999997"/>
    <x v="21"/>
  </r>
  <r>
    <s v="31002"/>
    <x v="207"/>
    <s v="Personnel"/>
    <s v="E "/>
    <x v="0"/>
    <x v="35"/>
    <s v="PSES Elem Prog21Duty48 S275"/>
    <x v="1"/>
    <s v="48"/>
    <n v="48"/>
    <m/>
    <s v="   "/>
    <n v="5.5010000000000003"/>
    <n v="0.29820000000000002"/>
    <n v="1.64"/>
    <x v="29"/>
  </r>
  <r>
    <s v="31002"/>
    <x v="207"/>
    <s v="Personnel"/>
    <s v="H "/>
    <x v="1"/>
    <x v="36"/>
    <s v="PSES High Prog21Duty48 S275"/>
    <x v="1"/>
    <s v="48"/>
    <n v="48"/>
    <m/>
    <s v="   "/>
    <n v="0.9"/>
    <n v="0.29820000000000002"/>
    <n v="0.26800000000000002"/>
    <x v="30"/>
  </r>
  <r>
    <s v="31002"/>
    <x v="207"/>
    <s v="Personnel"/>
    <s v="M "/>
    <x v="2"/>
    <x v="37"/>
    <s v="PSES Mid Prog21Duty48 S275"/>
    <x v="1"/>
    <s v="48"/>
    <n v="48"/>
    <m/>
    <s v="   "/>
    <n v="1"/>
    <n v="0.29820000000000002"/>
    <n v="0.29799999999999999"/>
    <x v="31"/>
  </r>
  <r>
    <s v="31002"/>
    <x v="207"/>
    <s v="Personnel"/>
    <s v="E "/>
    <x v="0"/>
    <x v="26"/>
    <s v="PSES Elem Prog21Duty49 S275"/>
    <x v="1"/>
    <s v="49"/>
    <n v="49"/>
    <m/>
    <s v="   "/>
    <n v="1.3340000000000001"/>
    <n v="0.29820000000000002"/>
    <n v="0.39800000000000002"/>
    <x v="23"/>
  </r>
  <r>
    <s v="31002"/>
    <x v="207"/>
    <s v="Personnel"/>
    <s v="H "/>
    <x v="1"/>
    <x v="55"/>
    <s v="PSES High Prog21Duty49 S275"/>
    <x v="1"/>
    <s v="49"/>
    <n v="49"/>
    <m/>
    <s v="   "/>
    <n v="0.29599999999999999"/>
    <n v="0.29820000000000002"/>
    <n v="8.7999999999999995E-2"/>
    <x v="37"/>
  </r>
  <r>
    <s v="31002"/>
    <x v="207"/>
    <s v="Personnel"/>
    <s v="M "/>
    <x v="2"/>
    <x v="50"/>
    <s v="PSES Mid Prog21Duty49 S275"/>
    <x v="1"/>
    <s v="49"/>
    <n v="49"/>
    <m/>
    <s v="   "/>
    <n v="0.37"/>
    <n v="0.29820000000000002"/>
    <n v="0.11"/>
    <x v="36"/>
  </r>
  <r>
    <s v="31004"/>
    <x v="208"/>
    <s v="Personnel"/>
    <s v="H "/>
    <x v="1"/>
    <x v="1"/>
    <s v="PSES High Prog01Duty96 S275"/>
    <x v="0"/>
    <s v="24"/>
    <n v="96"/>
    <n v="24"/>
    <s v="   "/>
    <n v="4.6349999999999998"/>
    <n v="0.2656"/>
    <n v="0"/>
    <x v="1"/>
  </r>
  <r>
    <s v="31004"/>
    <x v="208"/>
    <s v="Personnel"/>
    <s v="H "/>
    <x v="1"/>
    <x v="53"/>
    <s v="PSES High Prog97Act25 S275"/>
    <x v="2"/>
    <s v="25"/>
    <m/>
    <n v="25"/>
    <s v="   "/>
    <n v="4.32"/>
    <n v="0.2656"/>
    <n v="0"/>
    <x v="4"/>
  </r>
  <r>
    <s v="31004"/>
    <x v="208"/>
    <s v="Personnel"/>
    <s v="E "/>
    <x v="0"/>
    <x v="7"/>
    <s v="PSES Elem Prog21Act26 S275"/>
    <x v="1"/>
    <s v="26"/>
    <m/>
    <n v="26"/>
    <s v="   "/>
    <n v="0.48499999999999999"/>
    <n v="0.2656"/>
    <n v="0.129"/>
    <x v="6"/>
  </r>
  <r>
    <s v="31004"/>
    <x v="208"/>
    <s v="Personnel"/>
    <s v="H "/>
    <x v="1"/>
    <x v="29"/>
    <s v="PSES High Prog21Act26 S275"/>
    <x v="1"/>
    <s v="26"/>
    <m/>
    <n v="26"/>
    <s v="   "/>
    <n v="3.63"/>
    <n v="0.2656"/>
    <n v="0.96399999999999997"/>
    <x v="7"/>
  </r>
  <r>
    <s v="31004"/>
    <x v="208"/>
    <s v="Personnel"/>
    <s v="H "/>
    <x v="1"/>
    <x v="9"/>
    <s v="PSES High Prog01Act26 S275"/>
    <x v="0"/>
    <s v="26"/>
    <m/>
    <n v="26"/>
    <s v="   "/>
    <n v="15.202999999999999"/>
    <n v="0.2656"/>
    <n v="0"/>
    <x v="7"/>
  </r>
  <r>
    <s v="31004"/>
    <x v="208"/>
    <s v="Personnel"/>
    <s v="H "/>
    <x v="1"/>
    <x v="12"/>
    <s v="PSES High Prog97Act35 S275"/>
    <x v="2"/>
    <s v="35"/>
    <m/>
    <n v="35"/>
    <s v="   "/>
    <n v="1.278"/>
    <n v="0.2656"/>
    <n v="0"/>
    <x v="9"/>
  </r>
  <r>
    <s v="31004"/>
    <x v="208"/>
    <s v="Personnel"/>
    <s v="E "/>
    <x v="0"/>
    <x v="15"/>
    <s v="PSES Elem Prog01Duty42 S275"/>
    <x v="0"/>
    <s v="42"/>
    <n v="42"/>
    <m/>
    <s v="   "/>
    <n v="8"/>
    <n v="0.2656"/>
    <n v="0"/>
    <x v="12"/>
  </r>
  <r>
    <s v="31004"/>
    <x v="208"/>
    <s v="Personnel"/>
    <s v="H "/>
    <x v="1"/>
    <x v="16"/>
    <s v="PSES High Prog01Duty42 S275"/>
    <x v="0"/>
    <s v="42"/>
    <n v="42"/>
    <m/>
    <s v="   "/>
    <n v="10.1"/>
    <n v="0.2656"/>
    <n v="0"/>
    <x v="13"/>
  </r>
  <r>
    <s v="31004"/>
    <x v="208"/>
    <s v="Personnel"/>
    <s v="M "/>
    <x v="2"/>
    <x v="17"/>
    <s v="PSES Mid Prog01Duty42 S275"/>
    <x v="0"/>
    <s v="42"/>
    <n v="42"/>
    <m/>
    <s v="   "/>
    <n v="4.5940000000000003"/>
    <n v="0.2656"/>
    <n v="0"/>
    <x v="14"/>
  </r>
  <r>
    <s v="31004"/>
    <x v="208"/>
    <s v="Personnel"/>
    <s v="E "/>
    <x v="0"/>
    <x v="18"/>
    <s v="PSES Elem Prog21Duty43 S275"/>
    <x v="1"/>
    <s v="43"/>
    <n v="43"/>
    <m/>
    <s v="   "/>
    <n v="6.5"/>
    <n v="0.2656"/>
    <n v="1.726"/>
    <x v="15"/>
  </r>
  <r>
    <s v="31004"/>
    <x v="208"/>
    <s v="Personnel"/>
    <s v="E "/>
    <x v="0"/>
    <x v="20"/>
    <s v="PSES Elem Prog21Duty45 S275"/>
    <x v="1"/>
    <s v="45"/>
    <n v="45"/>
    <m/>
    <s v="   "/>
    <n v="11"/>
    <n v="0.2656"/>
    <n v="2.9220000000000002"/>
    <x v="17"/>
  </r>
  <r>
    <s v="31004"/>
    <x v="208"/>
    <s v="Personnel"/>
    <s v="H "/>
    <x v="1"/>
    <x v="21"/>
    <s v="PSES High Prog21Duty45 S275"/>
    <x v="1"/>
    <s v="45"/>
    <n v="45"/>
    <m/>
    <s v="   "/>
    <n v="2"/>
    <n v="0.2656"/>
    <n v="0.53100000000000003"/>
    <x v="18"/>
  </r>
  <r>
    <s v="31004"/>
    <x v="208"/>
    <s v="Personnel"/>
    <s v="M "/>
    <x v="2"/>
    <x v="28"/>
    <s v="PSES Mid Prog21Duty45 S275"/>
    <x v="1"/>
    <s v="45"/>
    <n v="45"/>
    <m/>
    <s v="   "/>
    <n v="2"/>
    <n v="0.2656"/>
    <n v="0.53100000000000003"/>
    <x v="25"/>
  </r>
  <r>
    <s v="31004"/>
    <x v="208"/>
    <s v="Personnel"/>
    <s v="E "/>
    <x v="0"/>
    <x v="22"/>
    <s v="PSES Elem Prog21Duty46 S275"/>
    <x v="1"/>
    <s v="46"/>
    <n v="46"/>
    <m/>
    <s v="   "/>
    <n v="5"/>
    <n v="0.2656"/>
    <n v="1.3280000000000001"/>
    <x v="19"/>
  </r>
  <r>
    <s v="31004"/>
    <x v="208"/>
    <s v="Personnel"/>
    <s v="H "/>
    <x v="1"/>
    <x v="23"/>
    <s v="PSES High Prog21Duty46 S275"/>
    <x v="1"/>
    <s v="46"/>
    <n v="46"/>
    <m/>
    <s v="   "/>
    <n v="1"/>
    <n v="0.2656"/>
    <n v="0.26600000000000001"/>
    <x v="20"/>
  </r>
  <r>
    <s v="31004"/>
    <x v="208"/>
    <s v="Personnel"/>
    <s v="M "/>
    <x v="2"/>
    <x v="24"/>
    <s v="PSES Mid Prog21Duty46 S275"/>
    <x v="1"/>
    <s v="46"/>
    <n v="46"/>
    <m/>
    <s v="   "/>
    <n v="3"/>
    <n v="0.2656"/>
    <n v="0.79700000000000004"/>
    <x v="21"/>
  </r>
  <r>
    <s v="31006"/>
    <x v="209"/>
    <s v="Personnel"/>
    <s v="H "/>
    <x v="1"/>
    <x v="29"/>
    <s v="PSES High Prog21Act26 S275"/>
    <x v="1"/>
    <s v="26"/>
    <m/>
    <n v="26"/>
    <s v="   "/>
    <n v="1.2330000000000001"/>
    <n v="0.28149999999999997"/>
    <n v="0.34699999999999998"/>
    <x v="7"/>
  </r>
  <r>
    <s v="31006"/>
    <x v="209"/>
    <s v="Personnel"/>
    <s v="H "/>
    <x v="1"/>
    <x v="9"/>
    <s v="PSES High Prog01Act26 S275"/>
    <x v="0"/>
    <s v="26"/>
    <m/>
    <n v="26"/>
    <s v="   "/>
    <n v="2.4220000000000002"/>
    <n v="0.28149999999999997"/>
    <n v="0"/>
    <x v="7"/>
  </r>
  <r>
    <s v="31006"/>
    <x v="209"/>
    <s v="Personnel"/>
    <s v="H "/>
    <x v="1"/>
    <x v="54"/>
    <s v="PSES High Prog01Act35 S275"/>
    <x v="0"/>
    <s v="35"/>
    <m/>
    <n v="35"/>
    <s v="   "/>
    <n v="5.5359999999999996"/>
    <n v="0.28149999999999997"/>
    <n v="0"/>
    <x v="9"/>
  </r>
  <r>
    <s v="31006"/>
    <x v="209"/>
    <s v="Personnel"/>
    <s v="E "/>
    <x v="0"/>
    <x v="15"/>
    <s v="PSES Elem Prog01Duty42 S275"/>
    <x v="0"/>
    <s v="42"/>
    <n v="42"/>
    <m/>
    <s v="   "/>
    <n v="6.7759999999999998"/>
    <n v="0.28149999999999997"/>
    <n v="0"/>
    <x v="12"/>
  </r>
  <r>
    <s v="31006"/>
    <x v="209"/>
    <s v="Personnel"/>
    <s v="H "/>
    <x v="1"/>
    <x v="16"/>
    <s v="PSES High Prog01Duty42 S275"/>
    <x v="0"/>
    <s v="42"/>
    <n v="42"/>
    <m/>
    <s v="   "/>
    <n v="11.65"/>
    <n v="0.28149999999999997"/>
    <n v="0"/>
    <x v="13"/>
  </r>
  <r>
    <s v="31006"/>
    <x v="209"/>
    <s v="Personnel"/>
    <s v="M "/>
    <x v="2"/>
    <x v="17"/>
    <s v="PSES Mid Prog01Duty42 S275"/>
    <x v="0"/>
    <s v="42"/>
    <n v="42"/>
    <m/>
    <s v="   "/>
    <n v="7.556"/>
    <n v="0.28149999999999997"/>
    <n v="0"/>
    <x v="14"/>
  </r>
  <r>
    <s v="31006"/>
    <x v="209"/>
    <s v="Personnel"/>
    <s v="E "/>
    <x v="0"/>
    <x v="18"/>
    <s v="PSES Elem Prog21Duty43 S275"/>
    <x v="1"/>
    <s v="43"/>
    <n v="43"/>
    <m/>
    <s v="   "/>
    <n v="13.214"/>
    <n v="0.28149999999999997"/>
    <n v="3.72"/>
    <x v="15"/>
  </r>
  <r>
    <s v="31006"/>
    <x v="209"/>
    <s v="Personnel"/>
    <s v="H "/>
    <x v="1"/>
    <x v="19"/>
    <s v="PSES High Prog21Duty43 S275"/>
    <x v="1"/>
    <s v="43"/>
    <n v="43"/>
    <m/>
    <s v="   "/>
    <n v="1.905"/>
    <n v="0.28149999999999997"/>
    <n v="0.53600000000000003"/>
    <x v="16"/>
  </r>
  <r>
    <s v="31006"/>
    <x v="209"/>
    <s v="Personnel"/>
    <s v="M "/>
    <x v="2"/>
    <x v="31"/>
    <s v="PSES Mid Prog21Duty43 S275"/>
    <x v="1"/>
    <s v="43"/>
    <n v="43"/>
    <m/>
    <s v="   "/>
    <n v="1.5229999999999999"/>
    <n v="0.28149999999999997"/>
    <n v="0.42899999999999999"/>
    <x v="27"/>
  </r>
  <r>
    <s v="31006"/>
    <x v="209"/>
    <s v="Personnel"/>
    <s v="E "/>
    <x v="0"/>
    <x v="42"/>
    <s v="PSES Elem Prog01Duty44 S275"/>
    <x v="0"/>
    <s v="44"/>
    <n v="44"/>
    <m/>
    <s v="   "/>
    <n v="7"/>
    <n v="0.28149999999999997"/>
    <n v="0"/>
    <x v="33"/>
  </r>
  <r>
    <s v="31006"/>
    <x v="209"/>
    <s v="Personnel"/>
    <s v="E "/>
    <x v="0"/>
    <x v="20"/>
    <s v="PSES Elem Prog21Duty45 S275"/>
    <x v="1"/>
    <s v="45"/>
    <n v="45"/>
    <m/>
    <s v="   "/>
    <n v="21.795999999999999"/>
    <n v="0.28149999999999997"/>
    <n v="6.1360000000000001"/>
    <x v="17"/>
  </r>
  <r>
    <s v="31006"/>
    <x v="209"/>
    <s v="Personnel"/>
    <s v="H "/>
    <x v="1"/>
    <x v="21"/>
    <s v="PSES High Prog21Duty45 S275"/>
    <x v="1"/>
    <s v="45"/>
    <n v="45"/>
    <m/>
    <s v="   "/>
    <n v="4.7539999999999996"/>
    <n v="0.28149999999999997"/>
    <n v="1.3380000000000001"/>
    <x v="18"/>
  </r>
  <r>
    <s v="31006"/>
    <x v="209"/>
    <s v="Personnel"/>
    <s v="M "/>
    <x v="2"/>
    <x v="28"/>
    <s v="PSES Mid Prog21Duty45 S275"/>
    <x v="1"/>
    <s v="45"/>
    <n v="45"/>
    <m/>
    <s v="   "/>
    <n v="3.1930000000000001"/>
    <n v="0.28149999999999997"/>
    <n v="0.89900000000000002"/>
    <x v="25"/>
  </r>
  <r>
    <s v="31006"/>
    <x v="209"/>
    <s v="Personnel"/>
    <s v="E "/>
    <x v="0"/>
    <x v="22"/>
    <s v="PSES Elem Prog21Duty46 S275"/>
    <x v="1"/>
    <s v="46"/>
    <n v="46"/>
    <m/>
    <s v="   "/>
    <n v="8.4930000000000003"/>
    <n v="0.28149999999999997"/>
    <n v="2.391"/>
    <x v="19"/>
  </r>
  <r>
    <s v="31006"/>
    <x v="209"/>
    <s v="Personnel"/>
    <s v="E "/>
    <x v="0"/>
    <x v="48"/>
    <s v="PSES Elem Prog01Duty46 S275"/>
    <x v="0"/>
    <s v="46"/>
    <n v="46"/>
    <m/>
    <s v="   "/>
    <n v="3"/>
    <n v="0.28149999999999997"/>
    <n v="0"/>
    <x v="19"/>
  </r>
  <r>
    <s v="31006"/>
    <x v="209"/>
    <s v="Personnel"/>
    <s v="H "/>
    <x v="1"/>
    <x v="23"/>
    <s v="PSES High Prog21Duty46 S275"/>
    <x v="1"/>
    <s v="46"/>
    <n v="46"/>
    <m/>
    <s v="   "/>
    <n v="3"/>
    <n v="0.28149999999999997"/>
    <n v="0.84499999999999997"/>
    <x v="20"/>
  </r>
  <r>
    <s v="31006"/>
    <x v="209"/>
    <s v="Personnel"/>
    <s v="M "/>
    <x v="2"/>
    <x v="24"/>
    <s v="PSES Mid Prog21Duty46 S275"/>
    <x v="1"/>
    <s v="46"/>
    <n v="46"/>
    <m/>
    <s v="   "/>
    <n v="1.5069999999999999"/>
    <n v="0.28149999999999997"/>
    <n v="0.42399999999999999"/>
    <x v="21"/>
  </r>
  <r>
    <s v="31006"/>
    <x v="209"/>
    <s v="Personnel"/>
    <s v="E "/>
    <x v="0"/>
    <x v="27"/>
    <s v="PSES Elem Prog01Duty47 S275"/>
    <x v="0"/>
    <s v="47"/>
    <n v="47"/>
    <m/>
    <s v="   "/>
    <n v="8.9589999999999996"/>
    <n v="0.28149999999999997"/>
    <n v="0"/>
    <x v="24"/>
  </r>
  <r>
    <s v="31006"/>
    <x v="209"/>
    <s v="Personnel"/>
    <s v="H "/>
    <x v="1"/>
    <x v="25"/>
    <s v="PSES High Prog01Duty47 S275"/>
    <x v="0"/>
    <s v="47"/>
    <n v="47"/>
    <m/>
    <s v="   "/>
    <n v="2.956"/>
    <n v="0.28149999999999997"/>
    <n v="0"/>
    <x v="22"/>
  </r>
  <r>
    <s v="31006"/>
    <x v="209"/>
    <s v="Personnel"/>
    <s v="M "/>
    <x v="2"/>
    <x v="34"/>
    <s v="PSES Mid Prog01Duty47 S275"/>
    <x v="0"/>
    <s v="47"/>
    <n v="47"/>
    <m/>
    <s v="   "/>
    <n v="2.7509999999999999"/>
    <n v="0.28149999999999997"/>
    <n v="0"/>
    <x v="28"/>
  </r>
  <r>
    <s v="31006"/>
    <x v="209"/>
    <s v="Personnel"/>
    <s v="E "/>
    <x v="0"/>
    <x v="35"/>
    <s v="PSES Elem Prog21Duty48 S275"/>
    <x v="1"/>
    <s v="48"/>
    <n v="48"/>
    <m/>
    <s v="   "/>
    <n v="3.6269999999999998"/>
    <n v="0.28149999999999997"/>
    <n v="1.0209999999999999"/>
    <x v="29"/>
  </r>
  <r>
    <s v="31006"/>
    <x v="209"/>
    <s v="Personnel"/>
    <s v="H "/>
    <x v="1"/>
    <x v="36"/>
    <s v="PSES High Prog21Duty48 S275"/>
    <x v="1"/>
    <s v="48"/>
    <n v="48"/>
    <m/>
    <s v="   "/>
    <n v="0.55000000000000004"/>
    <n v="0.28149999999999997"/>
    <n v="0.155"/>
    <x v="30"/>
  </r>
  <r>
    <s v="31006"/>
    <x v="209"/>
    <s v="Personnel"/>
    <s v="M "/>
    <x v="2"/>
    <x v="37"/>
    <s v="PSES Mid Prog21Duty48 S275"/>
    <x v="1"/>
    <s v="48"/>
    <n v="48"/>
    <m/>
    <s v="   "/>
    <n v="0.32500000000000001"/>
    <n v="0.28149999999999997"/>
    <n v="9.0999999999999998E-2"/>
    <x v="31"/>
  </r>
  <r>
    <s v="31015"/>
    <x v="210"/>
    <s v="Personnel"/>
    <s v="H "/>
    <x v="1"/>
    <x v="1"/>
    <s v="PSES High Prog01Duty96 S275"/>
    <x v="0"/>
    <s v="24"/>
    <n v="96"/>
    <n v="24"/>
    <s v="   "/>
    <n v="3.3180000000000001"/>
    <n v="0.29459999999999997"/>
    <n v="0"/>
    <x v="1"/>
  </r>
  <r>
    <s v="31015"/>
    <x v="210"/>
    <s v="Personnel"/>
    <s v="H "/>
    <x v="1"/>
    <x v="4"/>
    <s v="PSES High Prog21Act25 S275"/>
    <x v="1"/>
    <s v="25"/>
    <m/>
    <n v="25"/>
    <s v="   "/>
    <n v="3.42"/>
    <n v="0.29459999999999997"/>
    <n v="1.008"/>
    <x v="4"/>
  </r>
  <r>
    <s v="31015"/>
    <x v="210"/>
    <s v="Personnel"/>
    <s v="H "/>
    <x v="1"/>
    <x v="5"/>
    <s v="PSES High Prog01Act25 S275"/>
    <x v="0"/>
    <s v="25"/>
    <m/>
    <n v="25"/>
    <s v="   "/>
    <n v="9.0180000000000007"/>
    <n v="0.29459999999999997"/>
    <n v="0"/>
    <x v="4"/>
  </r>
  <r>
    <s v="31015"/>
    <x v="210"/>
    <s v="Personnel"/>
    <s v="H "/>
    <x v="1"/>
    <x v="29"/>
    <s v="PSES High Prog21Act26 S275"/>
    <x v="1"/>
    <s v="26"/>
    <m/>
    <n v="26"/>
    <s v="   "/>
    <n v="2.895"/>
    <n v="0.29459999999999997"/>
    <n v="0.85299999999999998"/>
    <x v="7"/>
  </r>
  <r>
    <s v="31015"/>
    <x v="210"/>
    <s v="Personnel"/>
    <s v="H "/>
    <x v="1"/>
    <x v="9"/>
    <s v="PSES High Prog01Act26 S275"/>
    <x v="0"/>
    <s v="26"/>
    <m/>
    <n v="26"/>
    <s v="   "/>
    <n v="4.5069999999999997"/>
    <n v="0.29459999999999997"/>
    <n v="0"/>
    <x v="7"/>
  </r>
  <r>
    <s v="31015"/>
    <x v="210"/>
    <s v="Personnel"/>
    <s v="H "/>
    <x v="1"/>
    <x v="54"/>
    <s v="PSES High Prog01Act35 S275"/>
    <x v="0"/>
    <s v="35"/>
    <m/>
    <n v="35"/>
    <s v="   "/>
    <n v="3.5489999999999999"/>
    <n v="0.29459999999999997"/>
    <n v="0"/>
    <x v="9"/>
  </r>
  <r>
    <s v="31015"/>
    <x v="210"/>
    <s v="Personnel"/>
    <s v="E "/>
    <x v="0"/>
    <x v="14"/>
    <s v="PSES Elem Prog21Duty39 S275"/>
    <x v="1"/>
    <s v="39"/>
    <n v="39"/>
    <m/>
    <s v="   "/>
    <n v="1"/>
    <n v="0.29459999999999997"/>
    <n v="0.29499999999999998"/>
    <x v="11"/>
  </r>
  <r>
    <s v="31015"/>
    <x v="210"/>
    <s v="Personnel"/>
    <s v="E "/>
    <x v="0"/>
    <x v="15"/>
    <s v="PSES Elem Prog01Duty42 S275"/>
    <x v="0"/>
    <s v="42"/>
    <n v="42"/>
    <m/>
    <s v="   "/>
    <n v="25.640999999999998"/>
    <n v="0.29459999999999997"/>
    <n v="0"/>
    <x v="12"/>
  </r>
  <r>
    <s v="31015"/>
    <x v="210"/>
    <s v="Personnel"/>
    <s v="H "/>
    <x v="1"/>
    <x v="16"/>
    <s v="PSES High Prog01Duty42 S275"/>
    <x v="0"/>
    <s v="42"/>
    <n v="42"/>
    <m/>
    <s v="   "/>
    <n v="19.292000000000002"/>
    <n v="0.29459999999999997"/>
    <n v="0"/>
    <x v="13"/>
  </r>
  <r>
    <s v="31015"/>
    <x v="210"/>
    <s v="Personnel"/>
    <s v="M "/>
    <x v="2"/>
    <x v="17"/>
    <s v="PSES Mid Prog01Duty42 S275"/>
    <x v="0"/>
    <s v="42"/>
    <n v="42"/>
    <m/>
    <s v="   "/>
    <n v="10.6"/>
    <n v="0.29459999999999997"/>
    <n v="0"/>
    <x v="14"/>
  </r>
  <r>
    <s v="31015"/>
    <x v="210"/>
    <s v="Personnel"/>
    <s v="E "/>
    <x v="0"/>
    <x v="18"/>
    <s v="PSES Elem Prog21Duty43 S275"/>
    <x v="1"/>
    <s v="43"/>
    <n v="43"/>
    <m/>
    <s v="   "/>
    <n v="15.907999999999999"/>
    <n v="0.29459999999999997"/>
    <n v="4.6859999999999999"/>
    <x v="15"/>
  </r>
  <r>
    <s v="31015"/>
    <x v="210"/>
    <s v="Personnel"/>
    <s v="E "/>
    <x v="0"/>
    <x v="20"/>
    <s v="PSES Elem Prog21Duty45 S275"/>
    <x v="1"/>
    <s v="45"/>
    <n v="45"/>
    <m/>
    <s v="   "/>
    <n v="39.203000000000003"/>
    <n v="0.29459999999999997"/>
    <n v="11.548999999999999"/>
    <x v="17"/>
  </r>
  <r>
    <s v="31015"/>
    <x v="210"/>
    <s v="Personnel"/>
    <s v="E "/>
    <x v="0"/>
    <x v="47"/>
    <s v="PSES Elem Prog01Duty45 S275"/>
    <x v="0"/>
    <s v="45"/>
    <n v="45"/>
    <m/>
    <s v="   "/>
    <n v="0.79200000000000004"/>
    <n v="0.29459999999999997"/>
    <n v="0"/>
    <x v="17"/>
  </r>
  <r>
    <s v="31015"/>
    <x v="210"/>
    <s v="Personnel"/>
    <s v="H "/>
    <x v="1"/>
    <x v="21"/>
    <s v="PSES High Prog21Duty45 S275"/>
    <x v="1"/>
    <s v="45"/>
    <n v="45"/>
    <m/>
    <s v="   "/>
    <n v="0.2"/>
    <n v="0.29459999999999997"/>
    <n v="5.8999999999999997E-2"/>
    <x v="18"/>
  </r>
  <r>
    <s v="31015"/>
    <x v="210"/>
    <s v="Personnel"/>
    <s v="E "/>
    <x v="0"/>
    <x v="22"/>
    <s v="PSES Elem Prog21Duty46 S275"/>
    <x v="1"/>
    <s v="46"/>
    <n v="46"/>
    <m/>
    <s v="   "/>
    <n v="14.395"/>
    <n v="0.29459999999999997"/>
    <n v="4.2409999999999997"/>
    <x v="19"/>
  </r>
  <r>
    <s v="31015"/>
    <x v="210"/>
    <s v="Personnel"/>
    <s v="H "/>
    <x v="1"/>
    <x v="23"/>
    <s v="PSES High Prog21Duty46 S275"/>
    <x v="1"/>
    <s v="46"/>
    <n v="46"/>
    <m/>
    <s v="   "/>
    <n v="5.9"/>
    <n v="0.29459999999999997"/>
    <n v="1.738"/>
    <x v="20"/>
  </r>
  <r>
    <s v="31015"/>
    <x v="210"/>
    <s v="Personnel"/>
    <s v="M "/>
    <x v="2"/>
    <x v="24"/>
    <s v="PSES Mid Prog21Duty46 S275"/>
    <x v="1"/>
    <s v="46"/>
    <n v="46"/>
    <m/>
    <s v="   "/>
    <n v="1.7"/>
    <n v="0.29459999999999997"/>
    <n v="0.501"/>
    <x v="21"/>
  </r>
  <r>
    <s v="31015"/>
    <x v="210"/>
    <s v="Personnel"/>
    <s v="E "/>
    <x v="0"/>
    <x v="32"/>
    <s v="PSES Elem Prog21Duty47 S275"/>
    <x v="1"/>
    <s v="47"/>
    <n v="47"/>
    <m/>
    <s v="   "/>
    <n v="0.7"/>
    <n v="0.29459999999999997"/>
    <n v="0.20599999999999999"/>
    <x v="24"/>
  </r>
  <r>
    <s v="31015"/>
    <x v="210"/>
    <s v="Personnel"/>
    <s v="E "/>
    <x v="0"/>
    <x v="27"/>
    <s v="PSES Elem Prog01Duty47 S275"/>
    <x v="0"/>
    <s v="47"/>
    <n v="47"/>
    <m/>
    <s v="   "/>
    <n v="11.59"/>
    <n v="0.29459999999999997"/>
    <n v="0"/>
    <x v="24"/>
  </r>
  <r>
    <s v="31015"/>
    <x v="210"/>
    <s v="Personnel"/>
    <s v="H "/>
    <x v="1"/>
    <x v="61"/>
    <s v="PSES High Prog21Duty47 S275"/>
    <x v="1"/>
    <s v="47"/>
    <n v="47"/>
    <m/>
    <s v="   "/>
    <n v="0.2"/>
    <n v="0.29459999999999997"/>
    <n v="5.8999999999999997E-2"/>
    <x v="22"/>
  </r>
  <r>
    <s v="31015"/>
    <x v="210"/>
    <s v="Personnel"/>
    <s v="H "/>
    <x v="1"/>
    <x v="25"/>
    <s v="PSES High Prog01Duty47 S275"/>
    <x v="0"/>
    <s v="47"/>
    <n v="47"/>
    <m/>
    <s v="   "/>
    <n v="4.4000000000000004"/>
    <n v="0.29459999999999997"/>
    <n v="0"/>
    <x v="22"/>
  </r>
  <r>
    <s v="31015"/>
    <x v="210"/>
    <s v="Personnel"/>
    <s v="M "/>
    <x v="2"/>
    <x v="34"/>
    <s v="PSES Mid Prog01Duty47 S275"/>
    <x v="0"/>
    <s v="47"/>
    <n v="47"/>
    <m/>
    <s v="   "/>
    <n v="1.8"/>
    <n v="0.29459999999999997"/>
    <n v="0"/>
    <x v="28"/>
  </r>
  <r>
    <s v="31015"/>
    <x v="210"/>
    <s v="Personnel"/>
    <s v="E "/>
    <x v="0"/>
    <x v="35"/>
    <s v="PSES Elem Prog21Duty48 S275"/>
    <x v="1"/>
    <s v="48"/>
    <n v="48"/>
    <m/>
    <s v="   "/>
    <n v="6.8"/>
    <n v="0.29459999999999997"/>
    <n v="2.0030000000000001"/>
    <x v="29"/>
  </r>
  <r>
    <s v="31015"/>
    <x v="210"/>
    <s v="Personnel"/>
    <s v="E "/>
    <x v="0"/>
    <x v="26"/>
    <s v="PSES Elem Prog21Duty49 S275"/>
    <x v="1"/>
    <s v="49"/>
    <n v="49"/>
    <m/>
    <s v="   "/>
    <n v="0.46500000000000002"/>
    <n v="0.29459999999999997"/>
    <n v="0.13700000000000001"/>
    <x v="23"/>
  </r>
  <r>
    <s v="31015"/>
    <x v="210"/>
    <s v="Personnel"/>
    <s v="E "/>
    <x v="0"/>
    <x v="79"/>
    <s v="PSES Elem Prog01Duty49 S275"/>
    <x v="0"/>
    <s v="49"/>
    <n v="49"/>
    <m/>
    <s v="   "/>
    <n v="4"/>
    <n v="0.29459999999999997"/>
    <n v="0"/>
    <x v="23"/>
  </r>
  <r>
    <s v="31016"/>
    <x v="211"/>
    <s v="Personnel"/>
    <s v="H "/>
    <x v="1"/>
    <x v="5"/>
    <s v="PSES High Prog01Act25 S275"/>
    <x v="0"/>
    <s v="25"/>
    <m/>
    <n v="25"/>
    <s v="   "/>
    <n v="1.349"/>
    <n v="0.2326"/>
    <n v="0"/>
    <x v="4"/>
  </r>
  <r>
    <s v="31016"/>
    <x v="211"/>
    <s v="Personnel"/>
    <s v="E "/>
    <x v="0"/>
    <x v="7"/>
    <s v="PSES Elem Prog21Act26 S275"/>
    <x v="1"/>
    <s v="26"/>
    <m/>
    <n v="26"/>
    <s v="   "/>
    <n v="1.454"/>
    <n v="0.2326"/>
    <n v="0.33800000000000002"/>
    <x v="6"/>
  </r>
  <r>
    <s v="31016"/>
    <x v="211"/>
    <s v="Personnel"/>
    <s v="E "/>
    <x v="0"/>
    <x v="8"/>
    <s v="PSES Elem Prog01Act26 S275"/>
    <x v="0"/>
    <s v="26"/>
    <m/>
    <n v="26"/>
    <s v="   "/>
    <n v="2.7839999999999998"/>
    <n v="0.2326"/>
    <n v="0"/>
    <x v="6"/>
  </r>
  <r>
    <s v="31016"/>
    <x v="211"/>
    <s v="Personnel"/>
    <s v="H "/>
    <x v="1"/>
    <x v="29"/>
    <s v="PSES High Prog21Act26 S275"/>
    <x v="1"/>
    <s v="26"/>
    <m/>
    <n v="26"/>
    <s v="   "/>
    <n v="0.501"/>
    <n v="0.2326"/>
    <n v="0.11700000000000001"/>
    <x v="7"/>
  </r>
  <r>
    <s v="31016"/>
    <x v="211"/>
    <s v="Personnel"/>
    <s v="H "/>
    <x v="1"/>
    <x v="9"/>
    <s v="PSES High Prog01Act26 S275"/>
    <x v="0"/>
    <s v="26"/>
    <m/>
    <n v="26"/>
    <s v="   "/>
    <n v="1.5720000000000001"/>
    <n v="0.2326"/>
    <n v="0"/>
    <x v="7"/>
  </r>
  <r>
    <s v="31016"/>
    <x v="211"/>
    <s v="Personnel"/>
    <s v="M "/>
    <x v="2"/>
    <x v="10"/>
    <s v="PSES Mid Prog21Act26 S275"/>
    <x v="1"/>
    <s v="26"/>
    <m/>
    <n v="26"/>
    <s v="   "/>
    <n v="0.219"/>
    <n v="0.2326"/>
    <n v="5.0999999999999997E-2"/>
    <x v="8"/>
  </r>
  <r>
    <s v="31016"/>
    <x v="211"/>
    <s v="Personnel"/>
    <s v="M "/>
    <x v="2"/>
    <x v="11"/>
    <s v="PSES Mid Prog01Act26 S275"/>
    <x v="0"/>
    <s v="26"/>
    <m/>
    <n v="26"/>
    <s v="   "/>
    <n v="1.3919999999999999"/>
    <n v="0.2326"/>
    <n v="0"/>
    <x v="8"/>
  </r>
  <r>
    <s v="31016"/>
    <x v="211"/>
    <s v="Personnel"/>
    <s v="E "/>
    <x v="0"/>
    <x v="15"/>
    <s v="PSES Elem Prog01Duty42 S275"/>
    <x v="0"/>
    <s v="42"/>
    <n v="42"/>
    <m/>
    <s v="   "/>
    <n v="4"/>
    <n v="0.2326"/>
    <n v="0"/>
    <x v="12"/>
  </r>
  <r>
    <s v="31016"/>
    <x v="211"/>
    <s v="Personnel"/>
    <s v="H "/>
    <x v="1"/>
    <x v="16"/>
    <s v="PSES High Prog01Duty42 S275"/>
    <x v="0"/>
    <s v="42"/>
    <n v="42"/>
    <m/>
    <s v="   "/>
    <n v="5.5"/>
    <n v="0.2326"/>
    <n v="0"/>
    <x v="13"/>
  </r>
  <r>
    <s v="31016"/>
    <x v="211"/>
    <s v="Personnel"/>
    <s v="M "/>
    <x v="2"/>
    <x v="17"/>
    <s v="PSES Mid Prog01Duty42 S275"/>
    <x v="0"/>
    <s v="42"/>
    <n v="42"/>
    <m/>
    <s v="   "/>
    <n v="1.7"/>
    <n v="0.2326"/>
    <n v="0"/>
    <x v="14"/>
  </r>
  <r>
    <s v="31016"/>
    <x v="211"/>
    <s v="Personnel"/>
    <s v="E "/>
    <x v="0"/>
    <x v="18"/>
    <s v="PSES Elem Prog21Duty43 S275"/>
    <x v="1"/>
    <s v="43"/>
    <n v="43"/>
    <m/>
    <s v="   "/>
    <n v="3.371"/>
    <n v="0.2326"/>
    <n v="0.78400000000000003"/>
    <x v="15"/>
  </r>
  <r>
    <s v="31016"/>
    <x v="211"/>
    <s v="Personnel"/>
    <s v="H "/>
    <x v="1"/>
    <x v="19"/>
    <s v="PSES High Prog21Duty43 S275"/>
    <x v="1"/>
    <s v="43"/>
    <n v="43"/>
    <m/>
    <s v="   "/>
    <n v="0.47499999999999998"/>
    <n v="0.2326"/>
    <n v="0.11"/>
    <x v="16"/>
  </r>
  <r>
    <s v="31016"/>
    <x v="211"/>
    <s v="Personnel"/>
    <s v="M "/>
    <x v="2"/>
    <x v="31"/>
    <s v="PSES Mid Prog21Duty43 S275"/>
    <x v="1"/>
    <s v="43"/>
    <n v="43"/>
    <m/>
    <s v="   "/>
    <n v="0.77300000000000002"/>
    <n v="0.2326"/>
    <n v="0.18"/>
    <x v="27"/>
  </r>
  <r>
    <s v="31016"/>
    <x v="211"/>
    <s v="Personnel"/>
    <s v="E "/>
    <x v="0"/>
    <x v="20"/>
    <s v="PSES Elem Prog21Duty45 S275"/>
    <x v="1"/>
    <s v="45"/>
    <n v="45"/>
    <m/>
    <s v="   "/>
    <n v="8.6940000000000008"/>
    <n v="0.2326"/>
    <n v="2.0219999999999998"/>
    <x v="17"/>
  </r>
  <r>
    <s v="31016"/>
    <x v="211"/>
    <s v="Personnel"/>
    <s v="M "/>
    <x v="2"/>
    <x v="28"/>
    <s v="PSES Mid Prog21Duty45 S275"/>
    <x v="1"/>
    <s v="45"/>
    <n v="45"/>
    <m/>
    <s v="   "/>
    <n v="1.006"/>
    <n v="0.2326"/>
    <n v="0.23400000000000001"/>
    <x v="25"/>
  </r>
  <r>
    <s v="31016"/>
    <x v="211"/>
    <s v="Personnel"/>
    <s v="E "/>
    <x v="0"/>
    <x v="22"/>
    <s v="PSES Elem Prog21Duty46 S275"/>
    <x v="1"/>
    <s v="46"/>
    <n v="46"/>
    <m/>
    <s v="   "/>
    <n v="0.3"/>
    <n v="0.2326"/>
    <n v="7.0000000000000007E-2"/>
    <x v="19"/>
  </r>
  <r>
    <s v="31016"/>
    <x v="211"/>
    <s v="Personnel"/>
    <s v="E "/>
    <x v="0"/>
    <x v="27"/>
    <s v="PSES Elem Prog01Duty47 S275"/>
    <x v="0"/>
    <s v="47"/>
    <n v="47"/>
    <m/>
    <s v="   "/>
    <n v="1"/>
    <n v="0.2326"/>
    <n v="0"/>
    <x v="24"/>
  </r>
  <r>
    <s v="31016"/>
    <x v="211"/>
    <s v="Personnel"/>
    <s v="E "/>
    <x v="0"/>
    <x v="35"/>
    <s v="PSES Elem Prog21Duty48 S275"/>
    <x v="1"/>
    <s v="48"/>
    <n v="48"/>
    <m/>
    <s v="   "/>
    <n v="0.76100000000000001"/>
    <n v="0.2326"/>
    <n v="0.17699999999999999"/>
    <x v="29"/>
  </r>
  <r>
    <s v="31016"/>
    <x v="211"/>
    <s v="Personnel"/>
    <s v="H "/>
    <x v="1"/>
    <x v="36"/>
    <s v="PSES High Prog21Duty48 S275"/>
    <x v="1"/>
    <s v="48"/>
    <n v="48"/>
    <m/>
    <s v="   "/>
    <n v="0.14799999999999999"/>
    <n v="0.2326"/>
    <n v="3.4000000000000002E-2"/>
    <x v="30"/>
  </r>
  <r>
    <s v="31016"/>
    <x v="211"/>
    <s v="Personnel"/>
    <s v="M "/>
    <x v="2"/>
    <x v="37"/>
    <s v="PSES Mid Prog21Duty48 S275"/>
    <x v="1"/>
    <s v="48"/>
    <n v="48"/>
    <m/>
    <s v="   "/>
    <n v="9.0999999999999998E-2"/>
    <n v="0.2326"/>
    <n v="2.1000000000000001E-2"/>
    <x v="31"/>
  </r>
  <r>
    <s v="31025"/>
    <x v="212"/>
    <s v="Personnel"/>
    <s v="H "/>
    <x v="1"/>
    <x v="1"/>
    <s v="PSES High Prog01Duty96 S275"/>
    <x v="0"/>
    <s v="24"/>
    <n v="96"/>
    <n v="24"/>
    <s v="   "/>
    <n v="1.8260000000000001"/>
    <n v="0.30270000000000002"/>
    <n v="0"/>
    <x v="1"/>
  </r>
  <r>
    <s v="31025"/>
    <x v="212"/>
    <s v="Personnel"/>
    <s v="H "/>
    <x v="1"/>
    <x v="4"/>
    <s v="PSES High Prog21Act25 S275"/>
    <x v="1"/>
    <s v="25"/>
    <m/>
    <n v="25"/>
    <s v="   "/>
    <n v="1.117"/>
    <n v="0.30270000000000002"/>
    <n v="0.33800000000000002"/>
    <x v="4"/>
  </r>
  <r>
    <s v="31025"/>
    <x v="212"/>
    <s v="Personnel"/>
    <s v="H "/>
    <x v="1"/>
    <x v="5"/>
    <s v="PSES High Prog01Act25 S275"/>
    <x v="0"/>
    <s v="25"/>
    <m/>
    <n v="25"/>
    <s v="   "/>
    <n v="13.766999999999999"/>
    <n v="0.30270000000000002"/>
    <n v="0"/>
    <x v="4"/>
  </r>
  <r>
    <s v="31025"/>
    <x v="212"/>
    <s v="Personnel"/>
    <s v="H "/>
    <x v="1"/>
    <x v="29"/>
    <s v="PSES High Prog21Act26 S275"/>
    <x v="1"/>
    <s v="26"/>
    <m/>
    <n v="26"/>
    <s v="   "/>
    <n v="0.624"/>
    <n v="0.30270000000000002"/>
    <n v="0.189"/>
    <x v="7"/>
  </r>
  <r>
    <s v="31025"/>
    <x v="212"/>
    <s v="Personnel"/>
    <s v="H "/>
    <x v="1"/>
    <x v="9"/>
    <s v="PSES High Prog01Act26 S275"/>
    <x v="0"/>
    <s v="26"/>
    <m/>
    <n v="26"/>
    <s v="   "/>
    <n v="13.131"/>
    <n v="0.30270000000000002"/>
    <n v="0"/>
    <x v="7"/>
  </r>
  <r>
    <s v="31025"/>
    <x v="212"/>
    <s v="Personnel"/>
    <s v="E "/>
    <x v="0"/>
    <x v="15"/>
    <s v="PSES Elem Prog01Duty42 S275"/>
    <x v="0"/>
    <s v="42"/>
    <n v="42"/>
    <m/>
    <s v="   "/>
    <n v="10.180999999999999"/>
    <n v="0.30270000000000002"/>
    <n v="0"/>
    <x v="12"/>
  </r>
  <r>
    <s v="31025"/>
    <x v="212"/>
    <s v="Personnel"/>
    <s v="H "/>
    <x v="1"/>
    <x v="16"/>
    <s v="PSES High Prog01Duty42 S275"/>
    <x v="0"/>
    <s v="42"/>
    <n v="42"/>
    <m/>
    <s v="   "/>
    <n v="6.4340000000000002"/>
    <n v="0.30270000000000002"/>
    <n v="0"/>
    <x v="13"/>
  </r>
  <r>
    <s v="31025"/>
    <x v="212"/>
    <s v="Personnel"/>
    <s v="M "/>
    <x v="2"/>
    <x v="17"/>
    <s v="PSES Mid Prog01Duty42 S275"/>
    <x v="0"/>
    <s v="42"/>
    <n v="42"/>
    <m/>
    <s v="   "/>
    <n v="2.1259999999999999"/>
    <n v="0.30270000000000002"/>
    <n v="0"/>
    <x v="14"/>
  </r>
  <r>
    <s v="31025"/>
    <x v="212"/>
    <s v="Personnel"/>
    <s v="E "/>
    <x v="0"/>
    <x v="18"/>
    <s v="PSES Elem Prog21Duty43 S275"/>
    <x v="1"/>
    <s v="43"/>
    <n v="43"/>
    <m/>
    <s v="   "/>
    <n v="4.8"/>
    <n v="0.30270000000000002"/>
    <n v="1.4530000000000001"/>
    <x v="15"/>
  </r>
  <r>
    <s v="31025"/>
    <x v="212"/>
    <s v="Personnel"/>
    <s v="E "/>
    <x v="0"/>
    <x v="20"/>
    <s v="PSES Elem Prog21Duty45 S275"/>
    <x v="1"/>
    <s v="45"/>
    <n v="45"/>
    <m/>
    <s v="   "/>
    <n v="11.1"/>
    <n v="0.30270000000000002"/>
    <n v="3.36"/>
    <x v="17"/>
  </r>
  <r>
    <s v="31025"/>
    <x v="212"/>
    <s v="Personnel"/>
    <s v="E "/>
    <x v="0"/>
    <x v="47"/>
    <s v="PSES Elem Prog01Duty45 S275"/>
    <x v="0"/>
    <s v="45"/>
    <n v="45"/>
    <m/>
    <s v="   "/>
    <n v="0.7"/>
    <n v="0.30270000000000002"/>
    <n v="0"/>
    <x v="17"/>
  </r>
  <r>
    <s v="31025"/>
    <x v="212"/>
    <s v="Personnel"/>
    <s v="H "/>
    <x v="1"/>
    <x v="21"/>
    <s v="PSES High Prog21Duty45 S275"/>
    <x v="1"/>
    <s v="45"/>
    <n v="45"/>
    <m/>
    <s v="   "/>
    <n v="1"/>
    <n v="0.30270000000000002"/>
    <n v="0.30299999999999999"/>
    <x v="18"/>
  </r>
  <r>
    <s v="31025"/>
    <x v="212"/>
    <s v="Personnel"/>
    <s v="M "/>
    <x v="2"/>
    <x v="28"/>
    <s v="PSES Mid Prog21Duty45 S275"/>
    <x v="1"/>
    <s v="45"/>
    <n v="45"/>
    <m/>
    <s v="   "/>
    <n v="1"/>
    <n v="0.30270000000000002"/>
    <n v="0.30299999999999999"/>
    <x v="25"/>
  </r>
  <r>
    <s v="31025"/>
    <x v="212"/>
    <s v="Personnel"/>
    <s v="E "/>
    <x v="0"/>
    <x v="22"/>
    <s v="PSES Elem Prog21Duty46 S275"/>
    <x v="1"/>
    <s v="46"/>
    <n v="46"/>
    <m/>
    <s v="   "/>
    <n v="3.8"/>
    <n v="0.30270000000000002"/>
    <n v="1.1499999999999999"/>
    <x v="19"/>
  </r>
  <r>
    <s v="31025"/>
    <x v="212"/>
    <s v="Personnel"/>
    <s v="M "/>
    <x v="2"/>
    <x v="24"/>
    <s v="PSES Mid Prog21Duty46 S275"/>
    <x v="1"/>
    <s v="46"/>
    <n v="46"/>
    <m/>
    <s v="   "/>
    <n v="4"/>
    <n v="0.30270000000000002"/>
    <n v="1.2110000000000001"/>
    <x v="21"/>
  </r>
  <r>
    <s v="31025"/>
    <x v="212"/>
    <s v="Personnel"/>
    <s v="E "/>
    <x v="0"/>
    <x v="27"/>
    <s v="PSES Elem Prog01Duty47 S275"/>
    <x v="0"/>
    <s v="47"/>
    <n v="47"/>
    <m/>
    <s v="   "/>
    <n v="0.5"/>
    <n v="0.30270000000000002"/>
    <n v="0"/>
    <x v="24"/>
  </r>
  <r>
    <s v="31025"/>
    <x v="212"/>
    <s v="Personnel"/>
    <s v="E "/>
    <x v="0"/>
    <x v="35"/>
    <s v="PSES Elem Prog21Duty48 S275"/>
    <x v="1"/>
    <s v="48"/>
    <n v="48"/>
    <m/>
    <s v="   "/>
    <n v="3"/>
    <n v="0.30270000000000002"/>
    <n v="0.90800000000000003"/>
    <x v="29"/>
  </r>
  <r>
    <s v="31063"/>
    <x v="213"/>
    <s v="Personnel"/>
    <s v="E "/>
    <x v="0"/>
    <x v="8"/>
    <s v="PSES Elem Prog01Act26 S275"/>
    <x v="0"/>
    <s v="26"/>
    <m/>
    <n v="26"/>
    <s v="   "/>
    <n v="0.127"/>
    <n v="0.08"/>
    <n v="0"/>
    <x v="6"/>
  </r>
  <r>
    <s v="31063"/>
    <x v="213"/>
    <s v="Personnel"/>
    <s v="M "/>
    <x v="2"/>
    <x v="11"/>
    <s v="PSES Mid Prog01Act26 S275"/>
    <x v="0"/>
    <s v="26"/>
    <m/>
    <n v="26"/>
    <s v="   "/>
    <n v="1.2999999999999999E-2"/>
    <n v="0.08"/>
    <n v="0"/>
    <x v="8"/>
  </r>
  <r>
    <s v="31103"/>
    <x v="214"/>
    <s v="Personnel"/>
    <s v="E "/>
    <x v="0"/>
    <x v="0"/>
    <s v="PSES Elem Prog01Duty96 S275"/>
    <x v="0"/>
    <s v="24"/>
    <n v="96"/>
    <n v="24"/>
    <s v="   "/>
    <n v="0.248"/>
    <n v="0.2051"/>
    <n v="0"/>
    <x v="0"/>
  </r>
  <r>
    <s v="31103"/>
    <x v="214"/>
    <s v="Personnel"/>
    <s v="H "/>
    <x v="1"/>
    <x v="1"/>
    <s v="PSES High Prog01Duty96 S275"/>
    <x v="0"/>
    <s v="24"/>
    <n v="96"/>
    <n v="24"/>
    <s v="   "/>
    <n v="0.78"/>
    <n v="0.2051"/>
    <n v="0"/>
    <x v="1"/>
  </r>
  <r>
    <s v="31103"/>
    <x v="214"/>
    <s v="Personnel"/>
    <s v="M "/>
    <x v="2"/>
    <x v="2"/>
    <s v="PSES Mid Prog01Duty96 S275"/>
    <x v="0"/>
    <s v="24"/>
    <n v="96"/>
    <n v="24"/>
    <s v="   "/>
    <n v="0.52900000000000003"/>
    <n v="0.2051"/>
    <n v="0"/>
    <x v="2"/>
  </r>
  <r>
    <s v="31103"/>
    <x v="214"/>
    <s v="Personnel"/>
    <s v="E "/>
    <x v="0"/>
    <x v="3"/>
    <s v="PSES Elem Prog01Act25 S275"/>
    <x v="0"/>
    <s v="25"/>
    <m/>
    <n v="25"/>
    <s v="   "/>
    <n v="0.75900000000000001"/>
    <n v="0.2051"/>
    <n v="0"/>
    <x v="3"/>
  </r>
  <r>
    <s v="31103"/>
    <x v="214"/>
    <s v="Personnel"/>
    <s v="H "/>
    <x v="1"/>
    <x v="5"/>
    <s v="PSES High Prog01Act25 S275"/>
    <x v="0"/>
    <s v="25"/>
    <m/>
    <n v="25"/>
    <s v="   "/>
    <n v="4.3739999999999997"/>
    <n v="0.2051"/>
    <n v="0"/>
    <x v="4"/>
  </r>
  <r>
    <s v="31103"/>
    <x v="214"/>
    <s v="Personnel"/>
    <s v="M "/>
    <x v="2"/>
    <x v="6"/>
    <s v="PSES Mid Prog01Act25 S275"/>
    <x v="0"/>
    <s v="25"/>
    <m/>
    <n v="25"/>
    <s v="   "/>
    <n v="3.2000000000000001E-2"/>
    <n v="0.2051"/>
    <n v="0"/>
    <x v="5"/>
  </r>
  <r>
    <s v="31103"/>
    <x v="214"/>
    <s v="Personnel"/>
    <s v="E "/>
    <x v="0"/>
    <x v="8"/>
    <s v="PSES Elem Prog01Act26 S275"/>
    <x v="0"/>
    <s v="26"/>
    <m/>
    <n v="26"/>
    <s v="   "/>
    <n v="2.7149999999999999"/>
    <n v="0.2051"/>
    <n v="0"/>
    <x v="6"/>
  </r>
  <r>
    <s v="31103"/>
    <x v="214"/>
    <s v="Personnel"/>
    <s v="H "/>
    <x v="1"/>
    <x v="29"/>
    <s v="PSES High Prog21Act26 S275"/>
    <x v="1"/>
    <s v="26"/>
    <m/>
    <n v="26"/>
    <s v="   "/>
    <n v="3.0009999999999999"/>
    <n v="0.2051"/>
    <n v="0.61599999999999999"/>
    <x v="7"/>
  </r>
  <r>
    <s v="31103"/>
    <x v="214"/>
    <s v="Personnel"/>
    <s v="H "/>
    <x v="1"/>
    <x v="9"/>
    <s v="PSES High Prog01Act26 S275"/>
    <x v="0"/>
    <s v="26"/>
    <m/>
    <n v="26"/>
    <s v="   "/>
    <n v="2.2850000000000001"/>
    <n v="0.2051"/>
    <n v="0"/>
    <x v="7"/>
  </r>
  <r>
    <s v="31103"/>
    <x v="214"/>
    <s v="Personnel"/>
    <s v="H "/>
    <x v="1"/>
    <x v="54"/>
    <s v="PSES High Prog01Act35 S275"/>
    <x v="0"/>
    <s v="35"/>
    <m/>
    <n v="35"/>
    <s v="   "/>
    <n v="2.226"/>
    <n v="0.2051"/>
    <n v="0"/>
    <x v="9"/>
  </r>
  <r>
    <s v="31103"/>
    <x v="214"/>
    <s v="Personnel"/>
    <s v="E "/>
    <x v="0"/>
    <x v="15"/>
    <s v="PSES Elem Prog01Duty42 S275"/>
    <x v="0"/>
    <s v="42"/>
    <n v="42"/>
    <m/>
    <s v="   "/>
    <n v="5.9569999999999999"/>
    <n v="0.2051"/>
    <n v="0"/>
    <x v="12"/>
  </r>
  <r>
    <s v="31103"/>
    <x v="214"/>
    <s v="Personnel"/>
    <s v="H "/>
    <x v="1"/>
    <x v="16"/>
    <s v="PSES High Prog01Duty42 S275"/>
    <x v="0"/>
    <s v="42"/>
    <n v="42"/>
    <m/>
    <s v="   "/>
    <n v="3.5169999999999999"/>
    <n v="0.2051"/>
    <n v="0"/>
    <x v="13"/>
  </r>
  <r>
    <s v="31103"/>
    <x v="214"/>
    <s v="Personnel"/>
    <s v="M "/>
    <x v="2"/>
    <x v="17"/>
    <s v="PSES Mid Prog01Duty42 S275"/>
    <x v="0"/>
    <s v="42"/>
    <n v="42"/>
    <m/>
    <s v="   "/>
    <n v="1.7430000000000001"/>
    <n v="0.2051"/>
    <n v="0"/>
    <x v="14"/>
  </r>
  <r>
    <s v="31103"/>
    <x v="214"/>
    <s v="Personnel"/>
    <s v="E "/>
    <x v="0"/>
    <x v="18"/>
    <s v="PSES Elem Prog21Duty43 S275"/>
    <x v="1"/>
    <s v="43"/>
    <n v="43"/>
    <m/>
    <s v="   "/>
    <n v="2.6019999999999999"/>
    <n v="0.2051"/>
    <n v="0.53400000000000003"/>
    <x v="15"/>
  </r>
  <r>
    <s v="31103"/>
    <x v="214"/>
    <s v="Personnel"/>
    <s v="H "/>
    <x v="1"/>
    <x v="19"/>
    <s v="PSES High Prog21Duty43 S275"/>
    <x v="1"/>
    <s v="43"/>
    <n v="43"/>
    <m/>
    <s v="   "/>
    <n v="0.251"/>
    <n v="0.2051"/>
    <n v="5.0999999999999997E-2"/>
    <x v="16"/>
  </r>
  <r>
    <s v="31103"/>
    <x v="214"/>
    <s v="Personnel"/>
    <s v="M "/>
    <x v="2"/>
    <x v="31"/>
    <s v="PSES Mid Prog21Duty43 S275"/>
    <x v="1"/>
    <s v="43"/>
    <n v="43"/>
    <m/>
    <s v="   "/>
    <n v="0.505"/>
    <n v="0.2051"/>
    <n v="0.104"/>
    <x v="27"/>
  </r>
  <r>
    <s v="31103"/>
    <x v="214"/>
    <s v="Personnel"/>
    <s v="E "/>
    <x v="0"/>
    <x v="41"/>
    <s v="PSES Elem Prog21Duty44 S275"/>
    <x v="1"/>
    <s v="44"/>
    <n v="44"/>
    <m/>
    <s v="   "/>
    <n v="3.0000000000000001E-3"/>
    <n v="0.2051"/>
    <n v="1E-3"/>
    <x v="33"/>
  </r>
  <r>
    <s v="31103"/>
    <x v="214"/>
    <s v="Personnel"/>
    <s v="E "/>
    <x v="0"/>
    <x v="20"/>
    <s v="PSES Elem Prog21Duty45 S275"/>
    <x v="1"/>
    <s v="45"/>
    <n v="45"/>
    <m/>
    <s v="   "/>
    <n v="3.6720000000000002"/>
    <n v="0.2051"/>
    <n v="0.753"/>
    <x v="17"/>
  </r>
  <r>
    <s v="31103"/>
    <x v="214"/>
    <s v="Personnel"/>
    <s v="H "/>
    <x v="1"/>
    <x v="21"/>
    <s v="PSES High Prog21Duty45 S275"/>
    <x v="1"/>
    <s v="45"/>
    <n v="45"/>
    <m/>
    <s v="   "/>
    <n v="1.3009999999999999"/>
    <n v="0.2051"/>
    <n v="0.26700000000000002"/>
    <x v="18"/>
  </r>
  <r>
    <s v="31103"/>
    <x v="214"/>
    <s v="Personnel"/>
    <s v="M "/>
    <x v="2"/>
    <x v="28"/>
    <s v="PSES Mid Prog21Duty45 S275"/>
    <x v="1"/>
    <s v="45"/>
    <n v="45"/>
    <m/>
    <s v="   "/>
    <n v="0.317"/>
    <n v="0.2051"/>
    <n v="6.5000000000000002E-2"/>
    <x v="25"/>
  </r>
  <r>
    <s v="31103"/>
    <x v="214"/>
    <s v="Personnel"/>
    <s v="E "/>
    <x v="0"/>
    <x v="22"/>
    <s v="PSES Elem Prog21Duty46 S275"/>
    <x v="1"/>
    <s v="46"/>
    <n v="46"/>
    <m/>
    <s v="   "/>
    <n v="2.359"/>
    <n v="0.2051"/>
    <n v="0.48399999999999999"/>
    <x v="19"/>
  </r>
  <r>
    <s v="31103"/>
    <x v="214"/>
    <s v="Personnel"/>
    <s v="M "/>
    <x v="2"/>
    <x v="24"/>
    <s v="PSES Mid Prog21Duty46 S275"/>
    <x v="1"/>
    <s v="46"/>
    <n v="46"/>
    <m/>
    <s v="   "/>
    <n v="0.63500000000000001"/>
    <n v="0.2051"/>
    <n v="0.13"/>
    <x v="21"/>
  </r>
  <r>
    <s v="31103"/>
    <x v="214"/>
    <s v="Personnel"/>
    <s v="E "/>
    <x v="0"/>
    <x v="27"/>
    <s v="PSES Elem Prog01Duty47 S275"/>
    <x v="0"/>
    <s v="47"/>
    <n v="47"/>
    <m/>
    <s v="   "/>
    <n v="2.5990000000000002"/>
    <n v="0.2051"/>
    <n v="0"/>
    <x v="24"/>
  </r>
  <r>
    <s v="31103"/>
    <x v="214"/>
    <s v="Personnel"/>
    <s v="H "/>
    <x v="1"/>
    <x v="25"/>
    <s v="PSES High Prog01Duty47 S275"/>
    <x v="0"/>
    <s v="47"/>
    <n v="47"/>
    <m/>
    <s v="   "/>
    <n v="1.0580000000000001"/>
    <n v="0.2051"/>
    <n v="0"/>
    <x v="22"/>
  </r>
  <r>
    <s v="31103"/>
    <x v="214"/>
    <s v="Personnel"/>
    <s v="M "/>
    <x v="2"/>
    <x v="34"/>
    <s v="PSES Mid Prog01Duty47 S275"/>
    <x v="0"/>
    <s v="47"/>
    <n v="47"/>
    <m/>
    <s v="   "/>
    <n v="0.55500000000000005"/>
    <n v="0.2051"/>
    <n v="0"/>
    <x v="28"/>
  </r>
  <r>
    <s v="31103"/>
    <x v="214"/>
    <s v="Personnel"/>
    <s v="E "/>
    <x v="0"/>
    <x v="35"/>
    <s v="PSES Elem Prog21Duty48 S275"/>
    <x v="1"/>
    <s v="48"/>
    <n v="48"/>
    <m/>
    <s v="   "/>
    <n v="0.93500000000000005"/>
    <n v="0.2051"/>
    <n v="0.192"/>
    <x v="29"/>
  </r>
  <r>
    <s v="31103"/>
    <x v="214"/>
    <s v="Personnel"/>
    <s v="H "/>
    <x v="1"/>
    <x v="36"/>
    <s v="PSES High Prog21Duty48 S275"/>
    <x v="1"/>
    <s v="48"/>
    <n v="48"/>
    <m/>
    <s v="   "/>
    <n v="0.111"/>
    <n v="0.2051"/>
    <n v="2.3E-2"/>
    <x v="30"/>
  </r>
  <r>
    <s v="31103"/>
    <x v="214"/>
    <s v="Personnel"/>
    <s v="M "/>
    <x v="2"/>
    <x v="37"/>
    <s v="PSES Mid Prog21Duty48 S275"/>
    <x v="1"/>
    <s v="48"/>
    <n v="48"/>
    <m/>
    <s v="   "/>
    <n v="0.16600000000000001"/>
    <n v="0.2051"/>
    <n v="3.4000000000000002E-2"/>
    <x v="31"/>
  </r>
  <r>
    <s v="31103"/>
    <x v="214"/>
    <s v="Personnel"/>
    <s v="E "/>
    <x v="0"/>
    <x v="38"/>
    <s v="PSES Elem Prog21Duty64 S275"/>
    <x v="1"/>
    <s v="64"/>
    <n v="64"/>
    <m/>
    <s v="   "/>
    <n v="5.5439999999999996"/>
    <n v="0.2051"/>
    <n v="1.137"/>
    <x v="32"/>
  </r>
  <r>
    <s v="31103"/>
    <x v="214"/>
    <s v="Personnel"/>
    <s v="H "/>
    <x v="1"/>
    <x v="59"/>
    <s v="PSES High Prog21Duty64 S275"/>
    <x v="1"/>
    <s v="64"/>
    <n v="64"/>
    <m/>
    <s v="   "/>
    <n v="1.673"/>
    <n v="0.2051"/>
    <n v="0.34300000000000003"/>
    <x v="38"/>
  </r>
  <r>
    <s v="31103"/>
    <x v="214"/>
    <s v="Personnel"/>
    <s v="M "/>
    <x v="2"/>
    <x v="60"/>
    <s v="PSES Mid Prog21Duty64 S275"/>
    <x v="1"/>
    <s v="64"/>
    <n v="64"/>
    <m/>
    <s v="   "/>
    <n v="1.982"/>
    <n v="0.2051"/>
    <n v="0.40699999999999997"/>
    <x v="39"/>
  </r>
  <r>
    <s v="31201"/>
    <x v="215"/>
    <s v="Personnel"/>
    <s v="E "/>
    <x v="0"/>
    <x v="7"/>
    <s v="PSES Elem Prog21Act26 S275"/>
    <x v="1"/>
    <s v="26"/>
    <m/>
    <n v="26"/>
    <s v="   "/>
    <n v="0.94099999999999995"/>
    <n v="0.23119999999999999"/>
    <n v="0.218"/>
    <x v="6"/>
  </r>
  <r>
    <s v="31201"/>
    <x v="215"/>
    <s v="Personnel"/>
    <s v="E "/>
    <x v="0"/>
    <x v="8"/>
    <s v="PSES Elem Prog01Act26 S275"/>
    <x v="0"/>
    <s v="26"/>
    <m/>
    <n v="26"/>
    <s v="   "/>
    <n v="2.36"/>
    <n v="0.23119999999999999"/>
    <n v="0"/>
    <x v="6"/>
  </r>
  <r>
    <s v="31201"/>
    <x v="215"/>
    <s v="Personnel"/>
    <s v="H "/>
    <x v="1"/>
    <x v="29"/>
    <s v="PSES High Prog21Act26 S275"/>
    <x v="1"/>
    <s v="26"/>
    <m/>
    <n v="26"/>
    <s v="   "/>
    <n v="0.63900000000000001"/>
    <n v="0.23119999999999999"/>
    <n v="0.14799999999999999"/>
    <x v="7"/>
  </r>
  <r>
    <s v="31201"/>
    <x v="215"/>
    <s v="Personnel"/>
    <s v="H "/>
    <x v="1"/>
    <x v="9"/>
    <s v="PSES High Prog01Act26 S275"/>
    <x v="0"/>
    <s v="26"/>
    <m/>
    <n v="26"/>
    <s v="   "/>
    <n v="0.54800000000000004"/>
    <n v="0.23119999999999999"/>
    <n v="0"/>
    <x v="7"/>
  </r>
  <r>
    <s v="31201"/>
    <x v="215"/>
    <s v="Personnel"/>
    <s v="M "/>
    <x v="2"/>
    <x v="10"/>
    <s v="PSES Mid Prog21Act26 S275"/>
    <x v="1"/>
    <s v="26"/>
    <m/>
    <n v="26"/>
    <s v="   "/>
    <n v="0.59399999999999997"/>
    <n v="0.23119999999999999"/>
    <n v="0.13700000000000001"/>
    <x v="8"/>
  </r>
  <r>
    <s v="31201"/>
    <x v="215"/>
    <s v="Personnel"/>
    <s v="M "/>
    <x v="2"/>
    <x v="11"/>
    <s v="PSES Mid Prog01Act26 S275"/>
    <x v="0"/>
    <s v="26"/>
    <m/>
    <n v="26"/>
    <s v="   "/>
    <n v="0.36599999999999999"/>
    <n v="0.23119999999999999"/>
    <n v="0"/>
    <x v="8"/>
  </r>
  <r>
    <s v="31201"/>
    <x v="215"/>
    <s v="Personnel"/>
    <s v="H "/>
    <x v="1"/>
    <x v="54"/>
    <s v="PSES High Prog01Act35 S275"/>
    <x v="0"/>
    <s v="35"/>
    <m/>
    <n v="35"/>
    <s v="   "/>
    <n v="1.37"/>
    <n v="0.23119999999999999"/>
    <n v="0"/>
    <x v="9"/>
  </r>
  <r>
    <s v="31201"/>
    <x v="215"/>
    <s v="Personnel"/>
    <s v="E "/>
    <x v="0"/>
    <x v="14"/>
    <s v="PSES Elem Prog21Duty39 S275"/>
    <x v="1"/>
    <s v="39"/>
    <n v="39"/>
    <m/>
    <s v="   "/>
    <n v="1"/>
    <n v="0.23119999999999999"/>
    <n v="0.23100000000000001"/>
    <x v="11"/>
  </r>
  <r>
    <s v="31201"/>
    <x v="215"/>
    <s v="Personnel"/>
    <s v="E "/>
    <x v="0"/>
    <x v="15"/>
    <s v="PSES Elem Prog01Duty42 S275"/>
    <x v="0"/>
    <s v="42"/>
    <n v="42"/>
    <m/>
    <s v="   "/>
    <n v="7.1280000000000001"/>
    <n v="0.23119999999999999"/>
    <n v="0"/>
    <x v="12"/>
  </r>
  <r>
    <s v="31201"/>
    <x v="215"/>
    <s v="Personnel"/>
    <s v="H "/>
    <x v="1"/>
    <x v="16"/>
    <s v="PSES High Prog01Duty42 S275"/>
    <x v="0"/>
    <s v="42"/>
    <n v="42"/>
    <m/>
    <s v="   "/>
    <n v="9"/>
    <n v="0.23119999999999999"/>
    <n v="0"/>
    <x v="13"/>
  </r>
  <r>
    <s v="31201"/>
    <x v="215"/>
    <s v="Personnel"/>
    <s v="M "/>
    <x v="2"/>
    <x v="17"/>
    <s v="PSES Mid Prog01Duty42 S275"/>
    <x v="0"/>
    <s v="42"/>
    <n v="42"/>
    <m/>
    <s v="   "/>
    <n v="4"/>
    <n v="0.23119999999999999"/>
    <n v="0"/>
    <x v="14"/>
  </r>
  <r>
    <s v="31201"/>
    <x v="215"/>
    <s v="Personnel"/>
    <s v="E "/>
    <x v="0"/>
    <x v="18"/>
    <s v="PSES Elem Prog21Duty43 S275"/>
    <x v="1"/>
    <s v="43"/>
    <n v="43"/>
    <m/>
    <s v="   "/>
    <n v="2.5"/>
    <n v="0.23119999999999999"/>
    <n v="0.57799999999999996"/>
    <x v="15"/>
  </r>
  <r>
    <s v="31201"/>
    <x v="215"/>
    <s v="Personnel"/>
    <s v="H "/>
    <x v="1"/>
    <x v="19"/>
    <s v="PSES High Prog21Duty43 S275"/>
    <x v="1"/>
    <s v="43"/>
    <n v="43"/>
    <m/>
    <s v="   "/>
    <n v="1.75"/>
    <n v="0.23119999999999999"/>
    <n v="0.40500000000000003"/>
    <x v="16"/>
  </r>
  <r>
    <s v="31201"/>
    <x v="215"/>
    <s v="Personnel"/>
    <s v="M "/>
    <x v="2"/>
    <x v="31"/>
    <s v="PSES Mid Prog21Duty43 S275"/>
    <x v="1"/>
    <s v="43"/>
    <n v="43"/>
    <m/>
    <s v="   "/>
    <n v="0.75"/>
    <n v="0.23119999999999999"/>
    <n v="0.17299999999999999"/>
    <x v="27"/>
  </r>
  <r>
    <s v="31201"/>
    <x v="215"/>
    <s v="Personnel"/>
    <s v="E "/>
    <x v="0"/>
    <x v="42"/>
    <s v="PSES Elem Prog01Duty44 S275"/>
    <x v="0"/>
    <s v="44"/>
    <n v="44"/>
    <m/>
    <s v="   "/>
    <n v="1"/>
    <n v="0.23119999999999999"/>
    <n v="0"/>
    <x v="33"/>
  </r>
  <r>
    <s v="31201"/>
    <x v="215"/>
    <s v="Personnel"/>
    <s v="E "/>
    <x v="0"/>
    <x v="20"/>
    <s v="PSES Elem Prog21Duty45 S275"/>
    <x v="1"/>
    <s v="45"/>
    <n v="45"/>
    <m/>
    <s v="   "/>
    <n v="8.0419999999999998"/>
    <n v="0.23119999999999999"/>
    <n v="1.859"/>
    <x v="17"/>
  </r>
  <r>
    <s v="31201"/>
    <x v="215"/>
    <s v="Personnel"/>
    <s v="H "/>
    <x v="1"/>
    <x v="21"/>
    <s v="PSES High Prog21Duty45 S275"/>
    <x v="1"/>
    <s v="45"/>
    <n v="45"/>
    <m/>
    <s v="   "/>
    <n v="5.6289999999999996"/>
    <n v="0.23119999999999999"/>
    <n v="1.3009999999999999"/>
    <x v="18"/>
  </r>
  <r>
    <s v="31201"/>
    <x v="215"/>
    <s v="Personnel"/>
    <s v="M "/>
    <x v="2"/>
    <x v="28"/>
    <s v="PSES Mid Prog21Duty45 S275"/>
    <x v="1"/>
    <s v="45"/>
    <n v="45"/>
    <m/>
    <s v="   "/>
    <n v="2.4119999999999999"/>
    <n v="0.23119999999999999"/>
    <n v="0.55800000000000005"/>
    <x v="25"/>
  </r>
  <r>
    <s v="31201"/>
    <x v="215"/>
    <s v="Personnel"/>
    <s v="E "/>
    <x v="0"/>
    <x v="22"/>
    <s v="PSES Elem Prog21Duty46 S275"/>
    <x v="1"/>
    <s v="46"/>
    <n v="46"/>
    <m/>
    <s v="   "/>
    <n v="4.4000000000000004"/>
    <n v="0.23119999999999999"/>
    <n v="1.0169999999999999"/>
    <x v="19"/>
  </r>
  <r>
    <s v="31201"/>
    <x v="215"/>
    <s v="Personnel"/>
    <s v="E "/>
    <x v="0"/>
    <x v="48"/>
    <s v="PSES Elem Prog01Duty46 S275"/>
    <x v="0"/>
    <s v="46"/>
    <n v="46"/>
    <m/>
    <s v="   "/>
    <n v="2"/>
    <n v="0.23119999999999999"/>
    <n v="0"/>
    <x v="19"/>
  </r>
  <r>
    <s v="31201"/>
    <x v="215"/>
    <s v="Personnel"/>
    <s v="H "/>
    <x v="1"/>
    <x v="23"/>
    <s v="PSES High Prog21Duty46 S275"/>
    <x v="1"/>
    <s v="46"/>
    <n v="46"/>
    <m/>
    <s v="   "/>
    <n v="3.08"/>
    <n v="0.23119999999999999"/>
    <n v="0.71199999999999997"/>
    <x v="20"/>
  </r>
  <r>
    <s v="31201"/>
    <x v="215"/>
    <s v="Personnel"/>
    <s v="H "/>
    <x v="1"/>
    <x v="65"/>
    <s v="PSES High Prog01Duty46 S275"/>
    <x v="0"/>
    <s v="46"/>
    <n v="46"/>
    <m/>
    <s v="   "/>
    <n v="1.4"/>
    <n v="0.23119999999999999"/>
    <n v="0"/>
    <x v="20"/>
  </r>
  <r>
    <s v="31201"/>
    <x v="215"/>
    <s v="Personnel"/>
    <s v="M "/>
    <x v="2"/>
    <x v="24"/>
    <s v="PSES Mid Prog21Duty46 S275"/>
    <x v="1"/>
    <s v="46"/>
    <n v="46"/>
    <m/>
    <s v="   "/>
    <n v="1.32"/>
    <n v="0.23119999999999999"/>
    <n v="0.30499999999999999"/>
    <x v="21"/>
  </r>
  <r>
    <s v="31201"/>
    <x v="215"/>
    <s v="Personnel"/>
    <s v="M "/>
    <x v="2"/>
    <x v="49"/>
    <s v="PSES Mid Prog01Duty46 S275"/>
    <x v="0"/>
    <s v="46"/>
    <n v="46"/>
    <m/>
    <s v="   "/>
    <n v="0.6"/>
    <n v="0.23119999999999999"/>
    <n v="0"/>
    <x v="21"/>
  </r>
  <r>
    <s v="31201"/>
    <x v="215"/>
    <s v="Personnel"/>
    <s v="E "/>
    <x v="0"/>
    <x v="27"/>
    <s v="PSES Elem Prog01Duty47 S275"/>
    <x v="0"/>
    <s v="47"/>
    <n v="47"/>
    <m/>
    <s v="   "/>
    <n v="12.46"/>
    <n v="0.23119999999999999"/>
    <n v="0"/>
    <x v="24"/>
  </r>
  <r>
    <s v="31201"/>
    <x v="215"/>
    <s v="Personnel"/>
    <s v="E "/>
    <x v="0"/>
    <x v="35"/>
    <s v="PSES Elem Prog21Duty48 S275"/>
    <x v="1"/>
    <s v="48"/>
    <n v="48"/>
    <m/>
    <s v="   "/>
    <n v="1"/>
    <n v="0.23119999999999999"/>
    <n v="0.23100000000000001"/>
    <x v="29"/>
  </r>
  <r>
    <s v="31201"/>
    <x v="215"/>
    <s v="Personnel"/>
    <s v="H "/>
    <x v="1"/>
    <x v="36"/>
    <s v="PSES High Prog21Duty48 S275"/>
    <x v="1"/>
    <s v="48"/>
    <n v="48"/>
    <m/>
    <s v="   "/>
    <n v="0.7"/>
    <n v="0.23119999999999999"/>
    <n v="0.16200000000000001"/>
    <x v="30"/>
  </r>
  <r>
    <s v="31201"/>
    <x v="215"/>
    <s v="Personnel"/>
    <s v="M "/>
    <x v="2"/>
    <x v="37"/>
    <s v="PSES Mid Prog21Duty48 S275"/>
    <x v="1"/>
    <s v="48"/>
    <n v="48"/>
    <m/>
    <s v="   "/>
    <n v="0.3"/>
    <n v="0.23119999999999999"/>
    <n v="6.9000000000000006E-2"/>
    <x v="31"/>
  </r>
  <r>
    <s v="31306"/>
    <x v="216"/>
    <s v="Personnel"/>
    <s v="E "/>
    <x v="0"/>
    <x v="3"/>
    <s v="PSES Elem Prog01Act25 S275"/>
    <x v="0"/>
    <s v="25"/>
    <m/>
    <n v="25"/>
    <s v="   "/>
    <n v="0.76700000000000002"/>
    <n v="0.27289999999999998"/>
    <n v="0"/>
    <x v="3"/>
  </r>
  <r>
    <s v="31306"/>
    <x v="216"/>
    <s v="Personnel"/>
    <s v="H "/>
    <x v="1"/>
    <x v="4"/>
    <s v="PSES High Prog21Act25 S275"/>
    <x v="1"/>
    <s v="25"/>
    <m/>
    <n v="25"/>
    <s v="   "/>
    <n v="0.114"/>
    <n v="0.27289999999999998"/>
    <n v="3.1E-2"/>
    <x v="4"/>
  </r>
  <r>
    <s v="31306"/>
    <x v="216"/>
    <s v="Personnel"/>
    <s v="H "/>
    <x v="1"/>
    <x v="5"/>
    <s v="PSES High Prog01Act25 S275"/>
    <x v="0"/>
    <s v="25"/>
    <m/>
    <n v="25"/>
    <s v="   "/>
    <n v="2.871"/>
    <n v="0.27289999999999998"/>
    <n v="0"/>
    <x v="4"/>
  </r>
  <r>
    <s v="31306"/>
    <x v="216"/>
    <s v="Personnel"/>
    <s v="E "/>
    <x v="0"/>
    <x v="8"/>
    <s v="PSES Elem Prog01Act26 S275"/>
    <x v="0"/>
    <s v="26"/>
    <m/>
    <n v="26"/>
    <s v="   "/>
    <n v="0.65600000000000003"/>
    <n v="0.27289999999999998"/>
    <n v="0"/>
    <x v="6"/>
  </r>
  <r>
    <s v="31306"/>
    <x v="216"/>
    <s v="Personnel"/>
    <s v="H "/>
    <x v="1"/>
    <x v="29"/>
    <s v="PSES High Prog21Act26 S275"/>
    <x v="1"/>
    <s v="26"/>
    <m/>
    <n v="26"/>
    <s v="   "/>
    <n v="1.1659999999999999"/>
    <n v="0.27289999999999998"/>
    <n v="0.318"/>
    <x v="7"/>
  </r>
  <r>
    <s v="31306"/>
    <x v="216"/>
    <s v="Personnel"/>
    <s v="H "/>
    <x v="1"/>
    <x v="9"/>
    <s v="PSES High Prog01Act26 S275"/>
    <x v="0"/>
    <s v="26"/>
    <m/>
    <n v="26"/>
    <s v="   "/>
    <n v="2.6240000000000001"/>
    <n v="0.27289999999999998"/>
    <n v="0"/>
    <x v="7"/>
  </r>
  <r>
    <s v="31306"/>
    <x v="216"/>
    <s v="Personnel"/>
    <s v="E "/>
    <x v="0"/>
    <x v="15"/>
    <s v="PSES Elem Prog01Duty42 S275"/>
    <x v="0"/>
    <s v="42"/>
    <n v="42"/>
    <m/>
    <s v="   "/>
    <n v="3"/>
    <n v="0.27289999999999998"/>
    <n v="0"/>
    <x v="12"/>
  </r>
  <r>
    <s v="31306"/>
    <x v="216"/>
    <s v="Personnel"/>
    <s v="H "/>
    <x v="1"/>
    <x v="16"/>
    <s v="PSES High Prog01Duty42 S275"/>
    <x v="0"/>
    <s v="42"/>
    <n v="42"/>
    <m/>
    <s v="   "/>
    <n v="2"/>
    <n v="0.27289999999999998"/>
    <n v="0"/>
    <x v="13"/>
  </r>
  <r>
    <s v="31306"/>
    <x v="216"/>
    <s v="Personnel"/>
    <s v="M "/>
    <x v="2"/>
    <x v="17"/>
    <s v="PSES Mid Prog01Duty42 S275"/>
    <x v="0"/>
    <s v="42"/>
    <n v="42"/>
    <m/>
    <s v="   "/>
    <n v="1.5"/>
    <n v="0.27289999999999998"/>
    <n v="0"/>
    <x v="14"/>
  </r>
  <r>
    <s v="31306"/>
    <x v="216"/>
    <s v="Personnel"/>
    <s v="E "/>
    <x v="0"/>
    <x v="18"/>
    <s v="PSES Elem Prog21Duty43 S275"/>
    <x v="1"/>
    <s v="43"/>
    <n v="43"/>
    <m/>
    <s v="   "/>
    <n v="0.9"/>
    <n v="0.27289999999999998"/>
    <n v="0.246"/>
    <x v="15"/>
  </r>
  <r>
    <s v="31306"/>
    <x v="216"/>
    <s v="Personnel"/>
    <s v="E "/>
    <x v="0"/>
    <x v="20"/>
    <s v="PSES Elem Prog21Duty45 S275"/>
    <x v="1"/>
    <s v="45"/>
    <n v="45"/>
    <m/>
    <s v="   "/>
    <n v="1"/>
    <n v="0.27289999999999998"/>
    <n v="0.27300000000000002"/>
    <x v="17"/>
  </r>
  <r>
    <s v="31306"/>
    <x v="216"/>
    <s v="Personnel"/>
    <s v="H "/>
    <x v="1"/>
    <x v="21"/>
    <s v="PSES High Prog21Duty45 S275"/>
    <x v="1"/>
    <s v="45"/>
    <n v="45"/>
    <m/>
    <s v="   "/>
    <n v="0.20499999999999999"/>
    <n v="0.27289999999999998"/>
    <n v="5.6000000000000001E-2"/>
    <x v="18"/>
  </r>
  <r>
    <s v="31306"/>
    <x v="216"/>
    <s v="Personnel"/>
    <s v="M "/>
    <x v="2"/>
    <x v="28"/>
    <s v="PSES Mid Prog21Duty45 S275"/>
    <x v="1"/>
    <s v="45"/>
    <n v="45"/>
    <m/>
    <s v="   "/>
    <n v="0.29499999999999998"/>
    <n v="0.27289999999999998"/>
    <n v="8.1000000000000003E-2"/>
    <x v="25"/>
  </r>
  <r>
    <s v="31306"/>
    <x v="216"/>
    <s v="Personnel"/>
    <s v="E "/>
    <x v="0"/>
    <x v="27"/>
    <s v="PSES Elem Prog01Duty47 S275"/>
    <x v="0"/>
    <s v="47"/>
    <n v="47"/>
    <m/>
    <s v="   "/>
    <n v="1"/>
    <n v="0.27289999999999998"/>
    <n v="0"/>
    <x v="24"/>
  </r>
  <r>
    <s v="31306"/>
    <x v="216"/>
    <s v="Personnel"/>
    <s v="E "/>
    <x v="0"/>
    <x v="35"/>
    <s v="PSES Elem Prog21Duty48 S275"/>
    <x v="1"/>
    <s v="48"/>
    <n v="48"/>
    <m/>
    <s v="   "/>
    <n v="0.4"/>
    <n v="0.27289999999999998"/>
    <n v="0.109"/>
    <x v="29"/>
  </r>
  <r>
    <s v="31311"/>
    <x v="217"/>
    <s v="Personnel"/>
    <s v="H "/>
    <x v="1"/>
    <x v="1"/>
    <s v="PSES High Prog01Duty96 S275"/>
    <x v="0"/>
    <s v="24"/>
    <n v="96"/>
    <n v="24"/>
    <s v="   "/>
    <n v="1.63"/>
    <n v="0.30230000000000001"/>
    <n v="0"/>
    <x v="1"/>
  </r>
  <r>
    <s v="31311"/>
    <x v="217"/>
    <s v="Personnel"/>
    <s v="H "/>
    <x v="1"/>
    <x v="5"/>
    <s v="PSES High Prog01Act25 S275"/>
    <x v="0"/>
    <s v="25"/>
    <m/>
    <n v="25"/>
    <s v="   "/>
    <n v="5.8000000000000003E-2"/>
    <n v="0.30230000000000001"/>
    <n v="0"/>
    <x v="4"/>
  </r>
  <r>
    <s v="31311"/>
    <x v="217"/>
    <s v="Personnel"/>
    <s v="H "/>
    <x v="1"/>
    <x v="9"/>
    <s v="PSES High Prog01Act26 S275"/>
    <x v="0"/>
    <s v="26"/>
    <m/>
    <n v="26"/>
    <s v="   "/>
    <n v="1.081"/>
    <n v="0.30230000000000001"/>
    <n v="0"/>
    <x v="7"/>
  </r>
  <r>
    <s v="31311"/>
    <x v="217"/>
    <s v="Personnel"/>
    <s v="E "/>
    <x v="0"/>
    <x v="15"/>
    <s v="PSES Elem Prog01Duty42 S275"/>
    <x v="0"/>
    <s v="42"/>
    <n v="42"/>
    <m/>
    <s v="   "/>
    <n v="2"/>
    <n v="0.30230000000000001"/>
    <n v="0"/>
    <x v="12"/>
  </r>
  <r>
    <s v="31311"/>
    <x v="217"/>
    <s v="Personnel"/>
    <s v="H "/>
    <x v="1"/>
    <x v="16"/>
    <s v="PSES High Prog01Duty42 S275"/>
    <x v="0"/>
    <s v="42"/>
    <n v="42"/>
    <m/>
    <s v="   "/>
    <n v="1.9"/>
    <n v="0.30230000000000001"/>
    <n v="0"/>
    <x v="13"/>
  </r>
  <r>
    <s v="31311"/>
    <x v="217"/>
    <s v="Personnel"/>
    <s v="E "/>
    <x v="0"/>
    <x v="18"/>
    <s v="PSES Elem Prog21Duty43 S275"/>
    <x v="1"/>
    <s v="43"/>
    <n v="43"/>
    <m/>
    <s v="   "/>
    <n v="1"/>
    <n v="0.30230000000000001"/>
    <n v="0.30199999999999999"/>
    <x v="15"/>
  </r>
  <r>
    <s v="31311"/>
    <x v="217"/>
    <s v="Personnel"/>
    <s v="E "/>
    <x v="0"/>
    <x v="20"/>
    <s v="PSES Elem Prog21Duty45 S275"/>
    <x v="1"/>
    <s v="45"/>
    <n v="45"/>
    <m/>
    <s v="   "/>
    <n v="2.4"/>
    <n v="0.30230000000000001"/>
    <n v="0.72599999999999998"/>
    <x v="17"/>
  </r>
  <r>
    <s v="31311"/>
    <x v="217"/>
    <s v="Personnel"/>
    <s v="H "/>
    <x v="1"/>
    <x v="21"/>
    <s v="PSES High Prog21Duty45 S275"/>
    <x v="1"/>
    <s v="45"/>
    <n v="45"/>
    <m/>
    <s v="   "/>
    <n v="1"/>
    <n v="0.30230000000000001"/>
    <n v="0.30199999999999999"/>
    <x v="18"/>
  </r>
  <r>
    <s v="31311"/>
    <x v="217"/>
    <s v="Personnel"/>
    <s v="E "/>
    <x v="0"/>
    <x v="22"/>
    <s v="PSES Elem Prog21Duty46 S275"/>
    <x v="1"/>
    <s v="46"/>
    <n v="46"/>
    <m/>
    <s v="   "/>
    <n v="1.012"/>
    <n v="0.30230000000000001"/>
    <n v="0.30599999999999999"/>
    <x v="19"/>
  </r>
  <r>
    <s v="31311"/>
    <x v="217"/>
    <s v="Personnel"/>
    <s v="H "/>
    <x v="1"/>
    <x v="23"/>
    <s v="PSES High Prog21Duty46 S275"/>
    <x v="1"/>
    <s v="46"/>
    <n v="46"/>
    <m/>
    <s v="   "/>
    <n v="0.156"/>
    <n v="0.30230000000000001"/>
    <n v="4.7E-2"/>
    <x v="20"/>
  </r>
  <r>
    <s v="31311"/>
    <x v="217"/>
    <s v="Personnel"/>
    <s v="M "/>
    <x v="2"/>
    <x v="24"/>
    <s v="PSES Mid Prog21Duty46 S275"/>
    <x v="1"/>
    <s v="46"/>
    <n v="46"/>
    <m/>
    <s v="   "/>
    <n v="8.3000000000000004E-2"/>
    <n v="0.30230000000000001"/>
    <n v="2.5000000000000001E-2"/>
    <x v="21"/>
  </r>
  <r>
    <s v="31330"/>
    <x v="218"/>
    <s v="Personnel"/>
    <s v="H "/>
    <x v="1"/>
    <x v="5"/>
    <s v="PSES High Prog01Act25 S275"/>
    <x v="0"/>
    <s v="25"/>
    <m/>
    <n v="25"/>
    <s v="   "/>
    <n v="1.0840000000000001"/>
    <n v="0.1636"/>
    <n v="0"/>
    <x v="4"/>
  </r>
  <r>
    <s v="31330"/>
    <x v="218"/>
    <s v="Personnel"/>
    <s v="H "/>
    <x v="1"/>
    <x v="29"/>
    <s v="PSES High Prog21Act26 S275"/>
    <x v="1"/>
    <s v="26"/>
    <m/>
    <n v="26"/>
    <s v="   "/>
    <n v="0.74"/>
    <n v="0.1636"/>
    <n v="0.121"/>
    <x v="7"/>
  </r>
  <r>
    <s v="31330"/>
    <x v="218"/>
    <s v="Personnel"/>
    <s v="H "/>
    <x v="1"/>
    <x v="9"/>
    <s v="PSES High Prog01Act26 S275"/>
    <x v="0"/>
    <s v="26"/>
    <m/>
    <n v="26"/>
    <s v="   "/>
    <n v="0.23799999999999999"/>
    <n v="0.1636"/>
    <n v="0"/>
    <x v="7"/>
  </r>
  <r>
    <s v="31332"/>
    <x v="219"/>
    <s v="Personnel"/>
    <s v="H "/>
    <x v="1"/>
    <x v="4"/>
    <s v="PSES High Prog21Act25 S275"/>
    <x v="1"/>
    <s v="25"/>
    <m/>
    <n v="25"/>
    <s v="   "/>
    <n v="0.80900000000000005"/>
    <n v="0.27300000000000002"/>
    <n v="0.221"/>
    <x v="4"/>
  </r>
  <r>
    <s v="31332"/>
    <x v="219"/>
    <s v="Personnel"/>
    <s v="H "/>
    <x v="1"/>
    <x v="5"/>
    <s v="PSES High Prog01Act25 S275"/>
    <x v="0"/>
    <s v="25"/>
    <m/>
    <n v="25"/>
    <s v="   "/>
    <n v="7.0229999999999997"/>
    <n v="0.27300000000000002"/>
    <n v="0"/>
    <x v="4"/>
  </r>
  <r>
    <s v="31332"/>
    <x v="219"/>
    <s v="Personnel"/>
    <s v="H "/>
    <x v="1"/>
    <x v="29"/>
    <s v="PSES High Prog21Act26 S275"/>
    <x v="1"/>
    <s v="26"/>
    <m/>
    <n v="26"/>
    <s v="   "/>
    <n v="2.278"/>
    <n v="0.27300000000000002"/>
    <n v="0.622"/>
    <x v="7"/>
  </r>
  <r>
    <s v="31332"/>
    <x v="219"/>
    <s v="Personnel"/>
    <s v="H "/>
    <x v="1"/>
    <x v="9"/>
    <s v="PSES High Prog01Act26 S275"/>
    <x v="0"/>
    <s v="26"/>
    <m/>
    <n v="26"/>
    <s v="   "/>
    <n v="2.5710000000000002"/>
    <n v="0.27300000000000002"/>
    <n v="0"/>
    <x v="7"/>
  </r>
  <r>
    <s v="31332"/>
    <x v="219"/>
    <s v="Personnel"/>
    <s v="E "/>
    <x v="0"/>
    <x v="15"/>
    <s v="PSES Elem Prog01Duty42 S275"/>
    <x v="0"/>
    <s v="42"/>
    <n v="42"/>
    <m/>
    <s v="   "/>
    <n v="2"/>
    <n v="0.27300000000000002"/>
    <n v="0"/>
    <x v="12"/>
  </r>
  <r>
    <s v="31332"/>
    <x v="219"/>
    <s v="Personnel"/>
    <s v="H "/>
    <x v="1"/>
    <x v="16"/>
    <s v="PSES High Prog01Duty42 S275"/>
    <x v="0"/>
    <s v="42"/>
    <n v="42"/>
    <m/>
    <s v="   "/>
    <n v="1.5"/>
    <n v="0.27300000000000002"/>
    <n v="0"/>
    <x v="13"/>
  </r>
  <r>
    <s v="31332"/>
    <x v="219"/>
    <s v="Personnel"/>
    <s v="M "/>
    <x v="2"/>
    <x v="17"/>
    <s v="PSES Mid Prog01Duty42 S275"/>
    <x v="0"/>
    <s v="42"/>
    <n v="42"/>
    <m/>
    <s v="   "/>
    <n v="0.75"/>
    <n v="0.27300000000000002"/>
    <n v="0"/>
    <x v="14"/>
  </r>
  <r>
    <s v="31332"/>
    <x v="219"/>
    <s v="Personnel"/>
    <s v="H "/>
    <x v="1"/>
    <x v="23"/>
    <s v="PSES High Prog21Duty46 S275"/>
    <x v="1"/>
    <s v="46"/>
    <n v="46"/>
    <m/>
    <s v="   "/>
    <n v="1"/>
    <n v="0.27300000000000002"/>
    <n v="0.27300000000000002"/>
    <x v="20"/>
  </r>
  <r>
    <s v="31332"/>
    <x v="219"/>
    <s v="Personnel"/>
    <s v="E "/>
    <x v="0"/>
    <x v="32"/>
    <s v="PSES Elem Prog21Duty47 S275"/>
    <x v="1"/>
    <s v="47"/>
    <n v="47"/>
    <m/>
    <s v="   "/>
    <n v="0.443"/>
    <n v="0.27300000000000002"/>
    <n v="0.121"/>
    <x v="24"/>
  </r>
  <r>
    <s v="31332"/>
    <x v="219"/>
    <s v="Personnel"/>
    <s v="E "/>
    <x v="0"/>
    <x v="27"/>
    <s v="PSES Elem Prog01Duty47 S275"/>
    <x v="0"/>
    <s v="47"/>
    <n v="47"/>
    <m/>
    <s v="   "/>
    <n v="0.443"/>
    <n v="0.27300000000000002"/>
    <n v="0"/>
    <x v="24"/>
  </r>
  <r>
    <s v="31332"/>
    <x v="219"/>
    <s v="Personnel"/>
    <s v="H "/>
    <x v="1"/>
    <x v="61"/>
    <s v="PSES High Prog21Duty47 S275"/>
    <x v="1"/>
    <s v="47"/>
    <n v="47"/>
    <m/>
    <s v="   "/>
    <n v="2.2240000000000002"/>
    <n v="0.27300000000000002"/>
    <n v="0.60699999999999998"/>
    <x v="22"/>
  </r>
  <r>
    <s v="31401"/>
    <x v="220"/>
    <s v="Personnel"/>
    <s v="E "/>
    <x v="0"/>
    <x v="3"/>
    <s v="PSES Elem Prog01Act25 S275"/>
    <x v="0"/>
    <s v="25"/>
    <m/>
    <n v="25"/>
    <s v="   "/>
    <n v="9.4570000000000007"/>
    <n v="0.2298"/>
    <n v="0"/>
    <x v="3"/>
  </r>
  <r>
    <s v="31401"/>
    <x v="220"/>
    <s v="Personnel"/>
    <s v="H "/>
    <x v="1"/>
    <x v="5"/>
    <s v="PSES High Prog01Act25 S275"/>
    <x v="0"/>
    <s v="25"/>
    <m/>
    <n v="25"/>
    <s v="   "/>
    <n v="2.4E-2"/>
    <n v="0.2298"/>
    <n v="0"/>
    <x v="4"/>
  </r>
  <r>
    <s v="31401"/>
    <x v="220"/>
    <s v="Personnel"/>
    <s v="M "/>
    <x v="2"/>
    <x v="6"/>
    <s v="PSES Mid Prog01Act25 S275"/>
    <x v="0"/>
    <s v="25"/>
    <m/>
    <n v="25"/>
    <s v="   "/>
    <n v="0.90700000000000003"/>
    <n v="0.2298"/>
    <n v="0"/>
    <x v="5"/>
  </r>
  <r>
    <s v="31401"/>
    <x v="220"/>
    <s v="Personnel"/>
    <s v="E "/>
    <x v="0"/>
    <x v="7"/>
    <s v="PSES Elem Prog21Act26 S275"/>
    <x v="1"/>
    <s v="26"/>
    <m/>
    <n v="26"/>
    <s v="   "/>
    <n v="1.0529999999999999"/>
    <n v="0.2298"/>
    <n v="0.24199999999999999"/>
    <x v="6"/>
  </r>
  <r>
    <s v="31401"/>
    <x v="220"/>
    <s v="Personnel"/>
    <s v="E "/>
    <x v="0"/>
    <x v="8"/>
    <s v="PSES Elem Prog01Act26 S275"/>
    <x v="0"/>
    <s v="26"/>
    <m/>
    <n v="26"/>
    <s v="   "/>
    <n v="1.712"/>
    <n v="0.2298"/>
    <n v="0"/>
    <x v="6"/>
  </r>
  <r>
    <s v="31401"/>
    <x v="220"/>
    <s v="Personnel"/>
    <s v="H "/>
    <x v="1"/>
    <x v="29"/>
    <s v="PSES High Prog21Act26 S275"/>
    <x v="1"/>
    <s v="26"/>
    <m/>
    <n v="26"/>
    <s v="   "/>
    <n v="1.714"/>
    <n v="0.2298"/>
    <n v="0.39400000000000002"/>
    <x v="7"/>
  </r>
  <r>
    <s v="31401"/>
    <x v="220"/>
    <s v="Personnel"/>
    <s v="H "/>
    <x v="1"/>
    <x v="9"/>
    <s v="PSES High Prog01Act26 S275"/>
    <x v="0"/>
    <s v="26"/>
    <m/>
    <n v="26"/>
    <s v="   "/>
    <n v="0.55400000000000005"/>
    <n v="0.2298"/>
    <n v="0"/>
    <x v="7"/>
  </r>
  <r>
    <s v="31401"/>
    <x v="220"/>
    <s v="Personnel"/>
    <s v="M "/>
    <x v="2"/>
    <x v="10"/>
    <s v="PSES Mid Prog21Act26 S275"/>
    <x v="1"/>
    <s v="26"/>
    <m/>
    <n v="26"/>
    <s v="   "/>
    <n v="0.56100000000000005"/>
    <n v="0.2298"/>
    <n v="0.129"/>
    <x v="8"/>
  </r>
  <r>
    <s v="31401"/>
    <x v="220"/>
    <s v="Personnel"/>
    <s v="M "/>
    <x v="2"/>
    <x v="11"/>
    <s v="PSES Mid Prog01Act26 S275"/>
    <x v="0"/>
    <s v="26"/>
    <m/>
    <n v="26"/>
    <s v="   "/>
    <n v="0.86699999999999999"/>
    <n v="0.2298"/>
    <n v="0"/>
    <x v="8"/>
  </r>
  <r>
    <s v="31401"/>
    <x v="220"/>
    <s v="Personnel"/>
    <s v="H "/>
    <x v="1"/>
    <x v="54"/>
    <s v="PSES High Prog01Act35 S275"/>
    <x v="0"/>
    <s v="35"/>
    <m/>
    <n v="35"/>
    <s v="   "/>
    <n v="0.64300000000000002"/>
    <n v="0.2298"/>
    <n v="0"/>
    <x v="9"/>
  </r>
  <r>
    <s v="31401"/>
    <x v="220"/>
    <s v="Personnel"/>
    <s v="E "/>
    <x v="0"/>
    <x v="15"/>
    <s v="PSES Elem Prog01Duty42 S275"/>
    <x v="0"/>
    <s v="42"/>
    <n v="42"/>
    <m/>
    <s v="   "/>
    <n v="4"/>
    <n v="0.2298"/>
    <n v="0"/>
    <x v="12"/>
  </r>
  <r>
    <s v="31401"/>
    <x v="220"/>
    <s v="Personnel"/>
    <s v="H "/>
    <x v="1"/>
    <x v="16"/>
    <s v="PSES High Prog01Duty42 S275"/>
    <x v="0"/>
    <s v="42"/>
    <n v="42"/>
    <m/>
    <s v="   "/>
    <n v="3.1"/>
    <n v="0.2298"/>
    <n v="0"/>
    <x v="13"/>
  </r>
  <r>
    <s v="31401"/>
    <x v="220"/>
    <s v="Personnel"/>
    <s v="M "/>
    <x v="2"/>
    <x v="17"/>
    <s v="PSES Mid Prog01Duty42 S275"/>
    <x v="0"/>
    <s v="42"/>
    <n v="42"/>
    <m/>
    <s v="   "/>
    <n v="2.5"/>
    <n v="0.2298"/>
    <n v="0"/>
    <x v="14"/>
  </r>
  <r>
    <s v="31401"/>
    <x v="220"/>
    <s v="Personnel"/>
    <s v="E "/>
    <x v="0"/>
    <x v="18"/>
    <s v="PSES Elem Prog21Duty43 S275"/>
    <x v="1"/>
    <s v="43"/>
    <n v="43"/>
    <m/>
    <s v="   "/>
    <n v="0.78300000000000003"/>
    <n v="0.2298"/>
    <n v="0.18"/>
    <x v="15"/>
  </r>
  <r>
    <s v="31401"/>
    <x v="220"/>
    <s v="Personnel"/>
    <s v="E "/>
    <x v="0"/>
    <x v="42"/>
    <s v="PSES Elem Prog01Duty44 S275"/>
    <x v="0"/>
    <s v="44"/>
    <n v="44"/>
    <m/>
    <s v="   "/>
    <n v="1"/>
    <n v="0.2298"/>
    <n v="0"/>
    <x v="33"/>
  </r>
  <r>
    <s v="31401"/>
    <x v="220"/>
    <s v="Personnel"/>
    <s v="E "/>
    <x v="0"/>
    <x v="20"/>
    <s v="PSES Elem Prog21Duty45 S275"/>
    <x v="1"/>
    <s v="45"/>
    <n v="45"/>
    <m/>
    <s v="   "/>
    <n v="3.44"/>
    <n v="0.2298"/>
    <n v="0.79100000000000004"/>
    <x v="17"/>
  </r>
  <r>
    <s v="31401"/>
    <x v="220"/>
    <s v="Personnel"/>
    <s v="M "/>
    <x v="2"/>
    <x v="28"/>
    <s v="PSES Mid Prog21Duty45 S275"/>
    <x v="1"/>
    <s v="45"/>
    <n v="45"/>
    <m/>
    <s v="   "/>
    <n v="1.56"/>
    <n v="0.2298"/>
    <n v="0.35799999999999998"/>
    <x v="25"/>
  </r>
  <r>
    <s v="31401"/>
    <x v="220"/>
    <s v="Personnel"/>
    <s v="E "/>
    <x v="0"/>
    <x v="22"/>
    <s v="PSES Elem Prog21Duty46 S275"/>
    <x v="1"/>
    <s v="46"/>
    <n v="46"/>
    <m/>
    <s v="   "/>
    <n v="3.4"/>
    <n v="0.2298"/>
    <n v="0.78100000000000003"/>
    <x v="19"/>
  </r>
  <r>
    <s v="31401"/>
    <x v="220"/>
    <s v="Personnel"/>
    <s v="H "/>
    <x v="1"/>
    <x v="23"/>
    <s v="PSES High Prog21Duty46 S275"/>
    <x v="1"/>
    <s v="46"/>
    <n v="46"/>
    <m/>
    <s v="   "/>
    <n v="2"/>
    <n v="0.2298"/>
    <n v="0.46"/>
    <x v="20"/>
  </r>
  <r>
    <s v="31401"/>
    <x v="220"/>
    <s v="Personnel"/>
    <s v="M "/>
    <x v="2"/>
    <x v="24"/>
    <s v="PSES Mid Prog21Duty46 S275"/>
    <x v="1"/>
    <s v="46"/>
    <n v="46"/>
    <m/>
    <s v="   "/>
    <n v="1"/>
    <n v="0.2298"/>
    <n v="0.23"/>
    <x v="21"/>
  </r>
  <r>
    <s v="31401"/>
    <x v="220"/>
    <s v="Personnel"/>
    <s v="E "/>
    <x v="0"/>
    <x v="27"/>
    <s v="PSES Elem Prog01Duty47 S275"/>
    <x v="0"/>
    <s v="47"/>
    <n v="47"/>
    <m/>
    <s v="   "/>
    <n v="4.75"/>
    <n v="0.2298"/>
    <n v="0"/>
    <x v="24"/>
  </r>
  <r>
    <s v="31401"/>
    <x v="220"/>
    <s v="Personnel"/>
    <s v="M "/>
    <x v="2"/>
    <x v="34"/>
    <s v="PSES Mid Prog01Duty47 S275"/>
    <x v="0"/>
    <s v="47"/>
    <n v="47"/>
    <m/>
    <s v="   "/>
    <n v="1.6"/>
    <n v="0.2298"/>
    <n v="0"/>
    <x v="28"/>
  </r>
  <r>
    <s v="31401"/>
    <x v="220"/>
    <s v="Personnel"/>
    <s v="E "/>
    <x v="0"/>
    <x v="26"/>
    <s v="PSES Elem Prog21Duty49 S275"/>
    <x v="1"/>
    <s v="49"/>
    <n v="49"/>
    <m/>
    <s v="   "/>
    <n v="2"/>
    <n v="0.2298"/>
    <n v="0.46"/>
    <x v="23"/>
  </r>
  <r>
    <s v="32081"/>
    <x v="221"/>
    <s v="Personnel"/>
    <s v="H "/>
    <x v="1"/>
    <x v="1"/>
    <s v="PSES High Prog01Duty96 S275"/>
    <x v="0"/>
    <s v="24"/>
    <n v="96"/>
    <n v="24"/>
    <s v="   "/>
    <n v="0.73099999999999998"/>
    <n v="0.2429"/>
    <n v="0"/>
    <x v="1"/>
  </r>
  <r>
    <s v="32081"/>
    <x v="221"/>
    <s v="Personnel"/>
    <s v="H "/>
    <x v="1"/>
    <x v="5"/>
    <s v="PSES High Prog01Act25 S275"/>
    <x v="0"/>
    <s v="25"/>
    <m/>
    <n v="25"/>
    <s v="   "/>
    <n v="24.501999999999999"/>
    <n v="0.2429"/>
    <n v="0"/>
    <x v="4"/>
  </r>
  <r>
    <s v="32081"/>
    <x v="221"/>
    <s v="Personnel"/>
    <s v="E "/>
    <x v="0"/>
    <x v="8"/>
    <s v="PSES Elem Prog01Act26 S275"/>
    <x v="0"/>
    <s v="26"/>
    <m/>
    <n v="26"/>
    <s v="   "/>
    <n v="11.13"/>
    <n v="0.2429"/>
    <n v="0"/>
    <x v="6"/>
  </r>
  <r>
    <s v="32081"/>
    <x v="221"/>
    <s v="Personnel"/>
    <s v="H "/>
    <x v="1"/>
    <x v="29"/>
    <s v="PSES High Prog21Act26 S275"/>
    <x v="1"/>
    <s v="26"/>
    <m/>
    <n v="26"/>
    <s v="   "/>
    <n v="8.7789999999999999"/>
    <n v="0.2429"/>
    <n v="2.1320000000000001"/>
    <x v="7"/>
  </r>
  <r>
    <s v="32081"/>
    <x v="221"/>
    <s v="Personnel"/>
    <s v="H "/>
    <x v="1"/>
    <x v="9"/>
    <s v="PSES High Prog01Act26 S275"/>
    <x v="0"/>
    <s v="26"/>
    <m/>
    <n v="26"/>
    <s v="   "/>
    <n v="3.7629999999999999"/>
    <n v="0.2429"/>
    <n v="0"/>
    <x v="7"/>
  </r>
  <r>
    <s v="32081"/>
    <x v="221"/>
    <s v="Personnel"/>
    <s v="M "/>
    <x v="2"/>
    <x v="11"/>
    <s v="PSES Mid Prog01Act26 S275"/>
    <x v="0"/>
    <s v="26"/>
    <m/>
    <n v="26"/>
    <s v="   "/>
    <n v="5.4569999999999999"/>
    <n v="0.2429"/>
    <n v="0"/>
    <x v="8"/>
  </r>
  <r>
    <s v="32081"/>
    <x v="221"/>
    <s v="Personnel"/>
    <s v="E "/>
    <x v="0"/>
    <x v="62"/>
    <s v="PSES Elem Prog01Act35 S275"/>
    <x v="0"/>
    <s v="35"/>
    <m/>
    <n v="35"/>
    <s v="   "/>
    <n v="0.35499999999999998"/>
    <n v="0.2429"/>
    <n v="0"/>
    <x v="26"/>
  </r>
  <r>
    <s v="32081"/>
    <x v="221"/>
    <s v="Personnel"/>
    <s v="H "/>
    <x v="1"/>
    <x v="54"/>
    <s v="PSES High Prog01Act35 S275"/>
    <x v="0"/>
    <s v="35"/>
    <m/>
    <n v="35"/>
    <s v="   "/>
    <n v="6.3890000000000002"/>
    <n v="0.2429"/>
    <n v="0"/>
    <x v="9"/>
  </r>
  <r>
    <s v="32081"/>
    <x v="221"/>
    <s v="Personnel"/>
    <s v="M "/>
    <x v="2"/>
    <x v="63"/>
    <s v="PSES Mid Prog01Act35 S275"/>
    <x v="0"/>
    <s v="35"/>
    <m/>
    <n v="35"/>
    <s v="   "/>
    <n v="6.3289999999999997"/>
    <n v="0.2429"/>
    <n v="0"/>
    <x v="10"/>
  </r>
  <r>
    <s v="32081"/>
    <x v="221"/>
    <s v="Personnel"/>
    <s v="E "/>
    <x v="0"/>
    <x v="14"/>
    <s v="PSES Elem Prog21Duty39 S275"/>
    <x v="1"/>
    <s v="39"/>
    <n v="39"/>
    <m/>
    <s v="   "/>
    <n v="2.59"/>
    <n v="0.2429"/>
    <n v="0.629"/>
    <x v="11"/>
  </r>
  <r>
    <s v="32081"/>
    <x v="221"/>
    <s v="Personnel"/>
    <s v="H "/>
    <x v="1"/>
    <x v="83"/>
    <s v="PSES High Prog21Duty39 S275"/>
    <x v="1"/>
    <s v="39"/>
    <n v="39"/>
    <m/>
    <s v="   "/>
    <n v="1.4750000000000001"/>
    <n v="0.2429"/>
    <n v="0.35799999999999998"/>
    <x v="44"/>
  </r>
  <r>
    <s v="32081"/>
    <x v="221"/>
    <s v="Personnel"/>
    <s v="M "/>
    <x v="2"/>
    <x v="88"/>
    <s v="PSES Mid Prog21Duty39 S275"/>
    <x v="1"/>
    <s v="39"/>
    <n v="39"/>
    <m/>
    <s v="   "/>
    <n v="0.73799999999999999"/>
    <n v="0.2429"/>
    <n v="0.17899999999999999"/>
    <x v="47"/>
  </r>
  <r>
    <s v="32081"/>
    <x v="221"/>
    <s v="Personnel"/>
    <s v="E "/>
    <x v="0"/>
    <x v="15"/>
    <s v="PSES Elem Prog01Duty42 S275"/>
    <x v="0"/>
    <s v="42"/>
    <n v="42"/>
    <m/>
    <s v="   "/>
    <n v="33.729999999999997"/>
    <n v="0.2429"/>
    <n v="0"/>
    <x v="12"/>
  </r>
  <r>
    <s v="32081"/>
    <x v="221"/>
    <s v="Personnel"/>
    <s v="H "/>
    <x v="1"/>
    <x v="16"/>
    <s v="PSES High Prog01Duty42 S275"/>
    <x v="0"/>
    <s v="42"/>
    <n v="42"/>
    <m/>
    <s v="   "/>
    <n v="30"/>
    <n v="0.2429"/>
    <n v="0"/>
    <x v="13"/>
  </r>
  <r>
    <s v="32081"/>
    <x v="221"/>
    <s v="Personnel"/>
    <s v="M "/>
    <x v="2"/>
    <x v="17"/>
    <s v="PSES Mid Prog01Duty42 S275"/>
    <x v="0"/>
    <s v="42"/>
    <n v="42"/>
    <m/>
    <s v="   "/>
    <n v="18"/>
    <n v="0.2429"/>
    <n v="0"/>
    <x v="14"/>
  </r>
  <r>
    <s v="32081"/>
    <x v="221"/>
    <s v="Personnel"/>
    <s v="E "/>
    <x v="0"/>
    <x v="18"/>
    <s v="PSES Elem Prog21Duty43 S275"/>
    <x v="1"/>
    <s v="43"/>
    <n v="43"/>
    <m/>
    <s v="   "/>
    <n v="7.335"/>
    <n v="0.2429"/>
    <n v="1.782"/>
    <x v="15"/>
  </r>
  <r>
    <s v="32081"/>
    <x v="221"/>
    <s v="Personnel"/>
    <s v="E "/>
    <x v="0"/>
    <x v="69"/>
    <s v="PSES Elem Prog01Duty43 S275"/>
    <x v="0"/>
    <s v="43"/>
    <n v="43"/>
    <m/>
    <s v="   "/>
    <n v="0.33900000000000002"/>
    <n v="0.2429"/>
    <n v="0"/>
    <x v="15"/>
  </r>
  <r>
    <s v="32081"/>
    <x v="221"/>
    <s v="Personnel"/>
    <s v="H "/>
    <x v="1"/>
    <x v="19"/>
    <s v="PSES High Prog21Duty43 S275"/>
    <x v="1"/>
    <s v="43"/>
    <n v="43"/>
    <m/>
    <s v="   "/>
    <n v="4.1859999999999999"/>
    <n v="0.2429"/>
    <n v="1.0169999999999999"/>
    <x v="16"/>
  </r>
  <r>
    <s v="32081"/>
    <x v="221"/>
    <s v="Personnel"/>
    <s v="H "/>
    <x v="1"/>
    <x v="73"/>
    <s v="PSES High Prog01Duty43 S275"/>
    <x v="0"/>
    <s v="43"/>
    <n v="43"/>
    <m/>
    <s v="   "/>
    <n v="0.188"/>
    <n v="0.2429"/>
    <n v="0"/>
    <x v="16"/>
  </r>
  <r>
    <s v="32081"/>
    <x v="221"/>
    <s v="Personnel"/>
    <s v="M "/>
    <x v="2"/>
    <x v="31"/>
    <s v="PSES Mid Prog21Duty43 S275"/>
    <x v="1"/>
    <s v="43"/>
    <n v="43"/>
    <m/>
    <s v="   "/>
    <n v="2.0979999999999999"/>
    <n v="0.2429"/>
    <n v="0.51"/>
    <x v="27"/>
  </r>
  <r>
    <s v="32081"/>
    <x v="221"/>
    <s v="Personnel"/>
    <s v="M "/>
    <x v="2"/>
    <x v="74"/>
    <s v="PSES Mid Prog01Duty43 S275"/>
    <x v="0"/>
    <s v="43"/>
    <n v="43"/>
    <m/>
    <s v="   "/>
    <n v="9.9000000000000005E-2"/>
    <n v="0.2429"/>
    <n v="0"/>
    <x v="27"/>
  </r>
  <r>
    <s v="32081"/>
    <x v="221"/>
    <s v="Personnel"/>
    <s v="E "/>
    <x v="0"/>
    <x v="20"/>
    <s v="PSES Elem Prog21Duty45 S275"/>
    <x v="1"/>
    <s v="45"/>
    <n v="45"/>
    <m/>
    <s v="   "/>
    <n v="49.045000000000002"/>
    <n v="0.2429"/>
    <n v="11.913"/>
    <x v="17"/>
  </r>
  <r>
    <s v="32081"/>
    <x v="221"/>
    <s v="Personnel"/>
    <s v="E "/>
    <x v="0"/>
    <x v="47"/>
    <s v="PSES Elem Prog01Duty45 S275"/>
    <x v="0"/>
    <s v="45"/>
    <n v="45"/>
    <m/>
    <s v="   "/>
    <n v="0.214"/>
    <n v="0.2429"/>
    <n v="0"/>
    <x v="17"/>
  </r>
  <r>
    <s v="32081"/>
    <x v="221"/>
    <s v="Personnel"/>
    <s v="H "/>
    <x v="1"/>
    <x v="21"/>
    <s v="PSES High Prog21Duty45 S275"/>
    <x v="1"/>
    <s v="45"/>
    <n v="45"/>
    <m/>
    <s v="   "/>
    <n v="0.45800000000000002"/>
    <n v="0.2429"/>
    <n v="0.111"/>
    <x v="18"/>
  </r>
  <r>
    <s v="32081"/>
    <x v="221"/>
    <s v="Personnel"/>
    <s v="H "/>
    <x v="1"/>
    <x v="51"/>
    <s v="PSES High Prog01Duty45 S275"/>
    <x v="0"/>
    <s v="45"/>
    <n v="45"/>
    <m/>
    <s v="   "/>
    <n v="0.124"/>
    <n v="0.2429"/>
    <n v="0"/>
    <x v="18"/>
  </r>
  <r>
    <s v="32081"/>
    <x v="221"/>
    <s v="Personnel"/>
    <s v="M "/>
    <x v="2"/>
    <x v="28"/>
    <s v="PSES Mid Prog21Duty45 S275"/>
    <x v="1"/>
    <s v="45"/>
    <n v="45"/>
    <m/>
    <s v="   "/>
    <n v="0.82799999999999996"/>
    <n v="0.2429"/>
    <n v="0.20100000000000001"/>
    <x v="25"/>
  </r>
  <r>
    <s v="32081"/>
    <x v="221"/>
    <s v="Personnel"/>
    <s v="M "/>
    <x v="2"/>
    <x v="52"/>
    <s v="PSES Mid Prog01Duty45 S275"/>
    <x v="0"/>
    <s v="45"/>
    <n v="45"/>
    <m/>
    <s v="   "/>
    <n v="6.2E-2"/>
    <n v="0.2429"/>
    <n v="0"/>
    <x v="25"/>
  </r>
  <r>
    <s v="32081"/>
    <x v="221"/>
    <s v="Personnel"/>
    <s v="E "/>
    <x v="0"/>
    <x v="22"/>
    <s v="PSES Elem Prog21Duty46 S275"/>
    <x v="1"/>
    <s v="46"/>
    <n v="46"/>
    <m/>
    <s v="   "/>
    <n v="16.672000000000001"/>
    <n v="0.2429"/>
    <n v="4.05"/>
    <x v="19"/>
  </r>
  <r>
    <s v="32081"/>
    <x v="221"/>
    <s v="Personnel"/>
    <s v="H "/>
    <x v="1"/>
    <x v="23"/>
    <s v="PSES High Prog21Duty46 S275"/>
    <x v="1"/>
    <s v="46"/>
    <n v="46"/>
    <m/>
    <s v="   "/>
    <n v="6.383"/>
    <n v="0.2429"/>
    <n v="1.55"/>
    <x v="20"/>
  </r>
  <r>
    <s v="32081"/>
    <x v="221"/>
    <s v="Personnel"/>
    <s v="M "/>
    <x v="2"/>
    <x v="24"/>
    <s v="PSES Mid Prog21Duty46 S275"/>
    <x v="1"/>
    <s v="46"/>
    <n v="46"/>
    <m/>
    <s v="   "/>
    <n v="6.88"/>
    <n v="0.2429"/>
    <n v="1.671"/>
    <x v="21"/>
  </r>
  <r>
    <s v="32081"/>
    <x v="221"/>
    <s v="Personnel"/>
    <s v="E "/>
    <x v="0"/>
    <x v="32"/>
    <s v="PSES Elem Prog21Duty47 S275"/>
    <x v="1"/>
    <s v="47"/>
    <n v="47"/>
    <m/>
    <s v="   "/>
    <n v="0.17799999999999999"/>
    <n v="0.2429"/>
    <n v="4.2999999999999997E-2"/>
    <x v="24"/>
  </r>
  <r>
    <s v="32081"/>
    <x v="221"/>
    <s v="Personnel"/>
    <s v="E "/>
    <x v="0"/>
    <x v="27"/>
    <s v="PSES Elem Prog01Duty47 S275"/>
    <x v="0"/>
    <s v="47"/>
    <n v="47"/>
    <m/>
    <s v="   "/>
    <n v="5.7309999999999999"/>
    <n v="0.2429"/>
    <n v="0"/>
    <x v="24"/>
  </r>
  <r>
    <s v="32081"/>
    <x v="221"/>
    <s v="Personnel"/>
    <s v="H "/>
    <x v="1"/>
    <x v="61"/>
    <s v="PSES High Prog21Duty47 S275"/>
    <x v="1"/>
    <s v="47"/>
    <n v="47"/>
    <m/>
    <s v="   "/>
    <n v="0.10299999999999999"/>
    <n v="0.2429"/>
    <n v="2.5000000000000001E-2"/>
    <x v="22"/>
  </r>
  <r>
    <s v="32081"/>
    <x v="221"/>
    <s v="Personnel"/>
    <s v="H "/>
    <x v="1"/>
    <x v="25"/>
    <s v="PSES High Prog01Duty47 S275"/>
    <x v="0"/>
    <s v="47"/>
    <n v="47"/>
    <m/>
    <s v="   "/>
    <n v="3.2789999999999999"/>
    <n v="0.2429"/>
    <n v="0"/>
    <x v="22"/>
  </r>
  <r>
    <s v="32081"/>
    <x v="221"/>
    <s v="Personnel"/>
    <s v="M "/>
    <x v="2"/>
    <x v="33"/>
    <s v="PSES Mid Prog21Duty47 S275"/>
    <x v="1"/>
    <s v="47"/>
    <n v="47"/>
    <m/>
    <s v="   "/>
    <n v="0.05"/>
    <n v="0.2429"/>
    <n v="1.2E-2"/>
    <x v="28"/>
  </r>
  <r>
    <s v="32081"/>
    <x v="221"/>
    <s v="Personnel"/>
    <s v="M "/>
    <x v="2"/>
    <x v="34"/>
    <s v="PSES Mid Prog01Duty47 S275"/>
    <x v="0"/>
    <s v="47"/>
    <n v="47"/>
    <m/>
    <s v="   "/>
    <n v="1.6339999999999999"/>
    <n v="0.2429"/>
    <n v="0"/>
    <x v="28"/>
  </r>
  <r>
    <s v="32081"/>
    <x v="221"/>
    <s v="Personnel"/>
    <s v="E "/>
    <x v="0"/>
    <x v="35"/>
    <s v="PSES Elem Prog21Duty48 S275"/>
    <x v="1"/>
    <s v="48"/>
    <n v="48"/>
    <m/>
    <s v="   "/>
    <n v="3.7669999999999999"/>
    <n v="0.2429"/>
    <n v="0.91500000000000004"/>
    <x v="29"/>
  </r>
  <r>
    <s v="32081"/>
    <x v="221"/>
    <s v="Personnel"/>
    <s v="E "/>
    <x v="0"/>
    <x v="90"/>
    <s v="PSES Elem Prog01Duty48 S275"/>
    <x v="0"/>
    <s v="48"/>
    <n v="48"/>
    <m/>
    <s v="   "/>
    <n v="0.20899999999999999"/>
    <n v="0.2429"/>
    <n v="0"/>
    <x v="29"/>
  </r>
  <r>
    <s v="32081"/>
    <x v="221"/>
    <s v="Personnel"/>
    <s v="H "/>
    <x v="1"/>
    <x v="36"/>
    <s v="PSES High Prog21Duty48 S275"/>
    <x v="1"/>
    <s v="48"/>
    <n v="48"/>
    <m/>
    <s v="   "/>
    <n v="2.149"/>
    <n v="0.2429"/>
    <n v="0.52200000000000002"/>
    <x v="30"/>
  </r>
  <r>
    <s v="32081"/>
    <x v="221"/>
    <s v="Personnel"/>
    <s v="H "/>
    <x v="1"/>
    <x v="91"/>
    <s v="PSES High Prog01Duty48 S275"/>
    <x v="0"/>
    <s v="48"/>
    <n v="48"/>
    <m/>
    <s v="   "/>
    <n v="0.11700000000000001"/>
    <n v="0.2429"/>
    <n v="0"/>
    <x v="30"/>
  </r>
  <r>
    <s v="32081"/>
    <x v="221"/>
    <s v="Personnel"/>
    <s v="M "/>
    <x v="2"/>
    <x v="37"/>
    <s v="PSES Mid Prog21Duty48 S275"/>
    <x v="1"/>
    <s v="48"/>
    <n v="48"/>
    <m/>
    <s v="   "/>
    <n v="1.0780000000000001"/>
    <n v="0.2429"/>
    <n v="0.26200000000000001"/>
    <x v="31"/>
  </r>
  <r>
    <s v="32081"/>
    <x v="221"/>
    <s v="Personnel"/>
    <s v="M "/>
    <x v="2"/>
    <x v="92"/>
    <s v="PSES Mid Prog01Duty48 S275"/>
    <x v="0"/>
    <s v="48"/>
    <n v="48"/>
    <m/>
    <s v="   "/>
    <n v="6.3E-2"/>
    <n v="0.2429"/>
    <n v="0"/>
    <x v="31"/>
  </r>
  <r>
    <s v="32123"/>
    <x v="222"/>
    <s v="Personnel"/>
    <s v="H "/>
    <x v="1"/>
    <x v="1"/>
    <s v="PSES High Prog01Duty96 S275"/>
    <x v="0"/>
    <s v="24"/>
    <n v="96"/>
    <n v="24"/>
    <s v="   "/>
    <n v="0.13700000000000001"/>
    <n v="0.115"/>
    <n v="0"/>
    <x v="1"/>
  </r>
  <r>
    <s v="32123"/>
    <x v="222"/>
    <s v="Personnel"/>
    <s v="H "/>
    <x v="1"/>
    <x v="9"/>
    <s v="PSES High Prog01Act26 S275"/>
    <x v="0"/>
    <s v="26"/>
    <m/>
    <n v="26"/>
    <s v="   "/>
    <n v="7.6999999999999999E-2"/>
    <n v="0.115"/>
    <n v="0"/>
    <x v="7"/>
  </r>
  <r>
    <s v="32312"/>
    <x v="223"/>
    <s v="Personnel"/>
    <s v="H "/>
    <x v="1"/>
    <x v="9"/>
    <s v="PSES High Prog01Act26 S275"/>
    <x v="0"/>
    <s v="26"/>
    <m/>
    <n v="26"/>
    <s v="   "/>
    <n v="0.28799999999999998"/>
    <n v="8.7099999999999997E-2"/>
    <n v="0"/>
    <x v="7"/>
  </r>
  <r>
    <s v="32325"/>
    <x v="224"/>
    <s v="Personnel"/>
    <s v="E "/>
    <x v="0"/>
    <x v="3"/>
    <s v="PSES Elem Prog01Act25 S275"/>
    <x v="0"/>
    <s v="25"/>
    <m/>
    <n v="25"/>
    <s v="   "/>
    <n v="1.696"/>
    <n v="0.2059"/>
    <n v="0"/>
    <x v="3"/>
  </r>
  <r>
    <s v="32325"/>
    <x v="224"/>
    <s v="Personnel"/>
    <s v="M "/>
    <x v="2"/>
    <x v="6"/>
    <s v="PSES Mid Prog01Act25 S275"/>
    <x v="0"/>
    <s v="25"/>
    <m/>
    <n v="25"/>
    <s v="   "/>
    <n v="0.24199999999999999"/>
    <n v="0.2059"/>
    <n v="0"/>
    <x v="5"/>
  </r>
  <r>
    <s v="32325"/>
    <x v="224"/>
    <s v="Personnel"/>
    <s v="E "/>
    <x v="0"/>
    <x v="7"/>
    <s v="PSES Elem Prog21Act26 S275"/>
    <x v="1"/>
    <s v="26"/>
    <m/>
    <n v="26"/>
    <s v="   "/>
    <n v="0.77700000000000002"/>
    <n v="0.2059"/>
    <n v="0.16"/>
    <x v="6"/>
  </r>
  <r>
    <s v="32325"/>
    <x v="224"/>
    <s v="Personnel"/>
    <s v="H "/>
    <x v="1"/>
    <x v="9"/>
    <s v="PSES High Prog01Act26 S275"/>
    <x v="0"/>
    <s v="26"/>
    <m/>
    <n v="26"/>
    <s v="   "/>
    <n v="0.59099999999999997"/>
    <n v="0.2059"/>
    <n v="0"/>
    <x v="7"/>
  </r>
  <r>
    <s v="32325"/>
    <x v="224"/>
    <s v="Personnel"/>
    <s v="M "/>
    <x v="2"/>
    <x v="10"/>
    <s v="PSES Mid Prog21Act26 S275"/>
    <x v="1"/>
    <s v="26"/>
    <m/>
    <n v="26"/>
    <s v="   "/>
    <n v="0.185"/>
    <n v="0.2059"/>
    <n v="3.7999999999999999E-2"/>
    <x v="8"/>
  </r>
  <r>
    <s v="32325"/>
    <x v="224"/>
    <s v="Personnel"/>
    <s v="E "/>
    <x v="0"/>
    <x v="15"/>
    <s v="PSES Elem Prog01Duty42 S275"/>
    <x v="0"/>
    <s v="42"/>
    <n v="42"/>
    <m/>
    <s v="   "/>
    <n v="2"/>
    <n v="0.2059"/>
    <n v="0"/>
    <x v="12"/>
  </r>
  <r>
    <s v="32325"/>
    <x v="224"/>
    <s v="Personnel"/>
    <s v="H "/>
    <x v="1"/>
    <x v="16"/>
    <s v="PSES High Prog01Duty42 S275"/>
    <x v="0"/>
    <s v="42"/>
    <n v="42"/>
    <m/>
    <s v="   "/>
    <n v="1.4"/>
    <n v="0.2059"/>
    <n v="0"/>
    <x v="13"/>
  </r>
  <r>
    <s v="32325"/>
    <x v="224"/>
    <s v="Personnel"/>
    <s v="E "/>
    <x v="0"/>
    <x v="42"/>
    <s v="PSES Elem Prog01Duty44 S275"/>
    <x v="0"/>
    <s v="44"/>
    <n v="44"/>
    <m/>
    <s v="   "/>
    <n v="0.33300000000000002"/>
    <n v="0.2059"/>
    <n v="0"/>
    <x v="33"/>
  </r>
  <r>
    <s v="32325"/>
    <x v="224"/>
    <s v="Personnel"/>
    <s v="M "/>
    <x v="2"/>
    <x v="46"/>
    <s v="PSES Mid Prog01Duty44 S275"/>
    <x v="0"/>
    <s v="44"/>
    <n v="44"/>
    <m/>
    <s v="   "/>
    <n v="0.66700000000000004"/>
    <n v="0.2059"/>
    <n v="0"/>
    <x v="35"/>
  </r>
  <r>
    <s v="32325"/>
    <x v="224"/>
    <s v="Personnel"/>
    <s v="E "/>
    <x v="0"/>
    <x v="20"/>
    <s v="PSES Elem Prog21Duty45 S275"/>
    <x v="1"/>
    <s v="45"/>
    <n v="45"/>
    <m/>
    <s v="   "/>
    <n v="0.8"/>
    <n v="0.2059"/>
    <n v="0.16500000000000001"/>
    <x v="17"/>
  </r>
  <r>
    <s v="32325"/>
    <x v="224"/>
    <s v="Personnel"/>
    <s v="E "/>
    <x v="0"/>
    <x v="22"/>
    <s v="PSES Elem Prog21Duty46 S275"/>
    <x v="1"/>
    <s v="46"/>
    <n v="46"/>
    <m/>
    <s v="   "/>
    <n v="1"/>
    <n v="0.2059"/>
    <n v="0.20599999999999999"/>
    <x v="19"/>
  </r>
  <r>
    <s v="32325"/>
    <x v="224"/>
    <s v="Personnel"/>
    <s v="E "/>
    <x v="0"/>
    <x v="27"/>
    <s v="PSES Elem Prog01Duty47 S275"/>
    <x v="0"/>
    <s v="47"/>
    <n v="47"/>
    <m/>
    <s v="   "/>
    <n v="1.05"/>
    <n v="0.2059"/>
    <n v="0"/>
    <x v="24"/>
  </r>
  <r>
    <s v="32325"/>
    <x v="224"/>
    <s v="Personnel"/>
    <s v="H "/>
    <x v="1"/>
    <x v="25"/>
    <s v="PSES High Prog01Duty47 S275"/>
    <x v="0"/>
    <s v="47"/>
    <n v="47"/>
    <m/>
    <s v="   "/>
    <n v="0.76"/>
    <n v="0.2059"/>
    <n v="0"/>
    <x v="22"/>
  </r>
  <r>
    <s v="32325"/>
    <x v="224"/>
    <s v="Personnel"/>
    <s v="M "/>
    <x v="2"/>
    <x v="34"/>
    <s v="PSES Mid Prog01Duty47 S275"/>
    <x v="0"/>
    <s v="47"/>
    <n v="47"/>
    <m/>
    <s v="   "/>
    <n v="0.19"/>
    <n v="0.2059"/>
    <n v="0"/>
    <x v="28"/>
  </r>
  <r>
    <s v="32326"/>
    <x v="225"/>
    <s v="Personnel"/>
    <s v="H "/>
    <x v="1"/>
    <x v="5"/>
    <s v="PSES High Prog01Act25 S275"/>
    <x v="0"/>
    <s v="25"/>
    <m/>
    <n v="25"/>
    <s v="   "/>
    <n v="0.63900000000000001"/>
    <n v="0.1764"/>
    <n v="0"/>
    <x v="4"/>
  </r>
  <r>
    <s v="32326"/>
    <x v="225"/>
    <s v="Personnel"/>
    <s v="E "/>
    <x v="0"/>
    <x v="8"/>
    <s v="PSES Elem Prog01Act26 S275"/>
    <x v="0"/>
    <s v="26"/>
    <m/>
    <n v="26"/>
    <s v="   "/>
    <n v="1.3720000000000001"/>
    <n v="0.1764"/>
    <n v="0"/>
    <x v="6"/>
  </r>
  <r>
    <s v="32326"/>
    <x v="225"/>
    <s v="Personnel"/>
    <s v="H "/>
    <x v="1"/>
    <x v="29"/>
    <s v="PSES High Prog21Act26 S275"/>
    <x v="1"/>
    <s v="26"/>
    <m/>
    <n v="26"/>
    <s v="   "/>
    <n v="0.68500000000000005"/>
    <n v="0.1764"/>
    <n v="0.121"/>
    <x v="7"/>
  </r>
  <r>
    <s v="32326"/>
    <x v="225"/>
    <s v="Personnel"/>
    <s v="H "/>
    <x v="1"/>
    <x v="9"/>
    <s v="PSES High Prog01Act26 S275"/>
    <x v="0"/>
    <s v="26"/>
    <m/>
    <n v="26"/>
    <s v="   "/>
    <n v="1.7310000000000001"/>
    <n v="0.1764"/>
    <n v="0"/>
    <x v="7"/>
  </r>
  <r>
    <s v="32326"/>
    <x v="225"/>
    <s v="Personnel"/>
    <s v="E "/>
    <x v="0"/>
    <x v="15"/>
    <s v="PSES Elem Prog01Duty42 S275"/>
    <x v="0"/>
    <s v="42"/>
    <n v="42"/>
    <m/>
    <s v="   "/>
    <n v="2"/>
    <n v="0.1764"/>
    <n v="0"/>
    <x v="12"/>
  </r>
  <r>
    <s v="32326"/>
    <x v="225"/>
    <s v="Personnel"/>
    <s v="H "/>
    <x v="1"/>
    <x v="16"/>
    <s v="PSES High Prog01Duty42 S275"/>
    <x v="0"/>
    <s v="42"/>
    <n v="42"/>
    <m/>
    <s v="   "/>
    <n v="1.5"/>
    <n v="0.1764"/>
    <n v="0"/>
    <x v="13"/>
  </r>
  <r>
    <s v="32326"/>
    <x v="225"/>
    <s v="Personnel"/>
    <s v="M "/>
    <x v="2"/>
    <x v="17"/>
    <s v="PSES Mid Prog01Duty42 S275"/>
    <x v="0"/>
    <s v="42"/>
    <n v="42"/>
    <m/>
    <s v="   "/>
    <n v="1.5"/>
    <n v="0.1764"/>
    <n v="0"/>
    <x v="14"/>
  </r>
  <r>
    <s v="32326"/>
    <x v="225"/>
    <s v="Personnel"/>
    <s v="E "/>
    <x v="0"/>
    <x v="18"/>
    <s v="PSES Elem Prog21Duty43 S275"/>
    <x v="1"/>
    <s v="43"/>
    <n v="43"/>
    <m/>
    <s v="   "/>
    <n v="0.92"/>
    <n v="0.1764"/>
    <n v="0.16200000000000001"/>
    <x v="15"/>
  </r>
  <r>
    <s v="32326"/>
    <x v="225"/>
    <s v="Personnel"/>
    <s v="E "/>
    <x v="0"/>
    <x v="20"/>
    <s v="PSES Elem Prog21Duty45 S275"/>
    <x v="1"/>
    <s v="45"/>
    <n v="45"/>
    <m/>
    <s v="   "/>
    <n v="2.6859999999999999"/>
    <n v="0.1764"/>
    <n v="0.47399999999999998"/>
    <x v="17"/>
  </r>
  <r>
    <s v="32326"/>
    <x v="225"/>
    <s v="Personnel"/>
    <s v="H "/>
    <x v="1"/>
    <x v="23"/>
    <s v="PSES High Prog21Duty46 S275"/>
    <x v="1"/>
    <s v="46"/>
    <n v="46"/>
    <m/>
    <s v="   "/>
    <n v="0.92"/>
    <n v="0.1764"/>
    <n v="0.16200000000000001"/>
    <x v="20"/>
  </r>
  <r>
    <s v="32326"/>
    <x v="225"/>
    <s v="Personnel"/>
    <s v="M "/>
    <x v="2"/>
    <x v="24"/>
    <s v="PSES Mid Prog21Duty46 S275"/>
    <x v="1"/>
    <s v="46"/>
    <n v="46"/>
    <m/>
    <s v="   "/>
    <n v="1"/>
    <n v="0.1764"/>
    <n v="0.17599999999999999"/>
    <x v="21"/>
  </r>
  <r>
    <s v="32326"/>
    <x v="225"/>
    <s v="Personnel"/>
    <s v="E "/>
    <x v="0"/>
    <x v="27"/>
    <s v="PSES Elem Prog01Duty47 S275"/>
    <x v="0"/>
    <s v="47"/>
    <n v="47"/>
    <m/>
    <s v="   "/>
    <n v="1"/>
    <n v="0.1764"/>
    <n v="0"/>
    <x v="24"/>
  </r>
  <r>
    <s v="32354"/>
    <x v="226"/>
    <s v="Personnel"/>
    <s v="H "/>
    <x v="1"/>
    <x v="5"/>
    <s v="PSES High Prog01Act25 S275"/>
    <x v="0"/>
    <s v="25"/>
    <m/>
    <n v="25"/>
    <s v="   "/>
    <n v="0.123"/>
    <n v="0.2863"/>
    <n v="0"/>
    <x v="4"/>
  </r>
  <r>
    <s v="32354"/>
    <x v="226"/>
    <s v="Personnel"/>
    <s v="H "/>
    <x v="1"/>
    <x v="29"/>
    <s v="PSES High Prog21Act26 S275"/>
    <x v="1"/>
    <s v="26"/>
    <m/>
    <n v="26"/>
    <s v="   "/>
    <n v="4.085"/>
    <n v="0.2863"/>
    <n v="1.17"/>
    <x v="7"/>
  </r>
  <r>
    <s v="32354"/>
    <x v="226"/>
    <s v="Personnel"/>
    <s v="H "/>
    <x v="1"/>
    <x v="9"/>
    <s v="PSES High Prog01Act26 S275"/>
    <x v="0"/>
    <s v="26"/>
    <m/>
    <n v="26"/>
    <s v="   "/>
    <n v="8.9"/>
    <n v="0.2863"/>
    <n v="0"/>
    <x v="7"/>
  </r>
  <r>
    <s v="32354"/>
    <x v="226"/>
    <s v="Personnel"/>
    <s v="E "/>
    <x v="0"/>
    <x v="76"/>
    <s v="PSES Elem Prog21Duty42 S275"/>
    <x v="1"/>
    <s v="42"/>
    <n v="42"/>
    <m/>
    <s v="   "/>
    <n v="0.53800000000000003"/>
    <n v="0.2863"/>
    <n v="0.154"/>
    <x v="12"/>
  </r>
  <r>
    <s v="32354"/>
    <x v="226"/>
    <s v="Personnel"/>
    <s v="E "/>
    <x v="0"/>
    <x v="15"/>
    <s v="PSES Elem Prog01Duty42 S275"/>
    <x v="0"/>
    <s v="42"/>
    <n v="42"/>
    <m/>
    <s v="   "/>
    <n v="3"/>
    <n v="0.2863"/>
    <n v="0"/>
    <x v="12"/>
  </r>
  <r>
    <s v="32354"/>
    <x v="226"/>
    <s v="Personnel"/>
    <s v="H "/>
    <x v="1"/>
    <x v="16"/>
    <s v="PSES High Prog01Duty42 S275"/>
    <x v="0"/>
    <s v="42"/>
    <n v="42"/>
    <m/>
    <s v="   "/>
    <n v="8"/>
    <n v="0.2863"/>
    <n v="0"/>
    <x v="13"/>
  </r>
  <r>
    <s v="32354"/>
    <x v="226"/>
    <s v="Personnel"/>
    <s v="M "/>
    <x v="2"/>
    <x v="17"/>
    <s v="PSES Mid Prog01Duty42 S275"/>
    <x v="0"/>
    <s v="42"/>
    <n v="42"/>
    <m/>
    <s v="   "/>
    <n v="2"/>
    <n v="0.2863"/>
    <n v="0"/>
    <x v="14"/>
  </r>
  <r>
    <s v="32354"/>
    <x v="226"/>
    <s v="Personnel"/>
    <s v="E "/>
    <x v="0"/>
    <x v="18"/>
    <s v="PSES Elem Prog21Duty43 S275"/>
    <x v="1"/>
    <s v="43"/>
    <n v="43"/>
    <m/>
    <s v="   "/>
    <n v="7.7779999999999996"/>
    <n v="0.2863"/>
    <n v="2.2269999999999999"/>
    <x v="15"/>
  </r>
  <r>
    <s v="32354"/>
    <x v="226"/>
    <s v="Personnel"/>
    <s v="H "/>
    <x v="1"/>
    <x v="19"/>
    <s v="PSES High Prog21Duty43 S275"/>
    <x v="1"/>
    <s v="43"/>
    <n v="43"/>
    <m/>
    <s v="   "/>
    <n v="0.91100000000000003"/>
    <n v="0.2863"/>
    <n v="0.26100000000000001"/>
    <x v="16"/>
  </r>
  <r>
    <s v="32354"/>
    <x v="226"/>
    <s v="Personnel"/>
    <s v="M "/>
    <x v="2"/>
    <x v="31"/>
    <s v="PSES Mid Prog21Duty43 S275"/>
    <x v="1"/>
    <s v="43"/>
    <n v="43"/>
    <m/>
    <s v="   "/>
    <n v="1.111"/>
    <n v="0.2863"/>
    <n v="0.318"/>
    <x v="27"/>
  </r>
  <r>
    <s v="32354"/>
    <x v="226"/>
    <s v="Personnel"/>
    <s v="E "/>
    <x v="0"/>
    <x v="42"/>
    <s v="PSES Elem Prog01Duty44 S275"/>
    <x v="0"/>
    <s v="44"/>
    <n v="44"/>
    <m/>
    <s v="   "/>
    <n v="8"/>
    <n v="0.2863"/>
    <n v="0"/>
    <x v="33"/>
  </r>
  <r>
    <s v="32354"/>
    <x v="226"/>
    <s v="Personnel"/>
    <s v="E "/>
    <x v="0"/>
    <x v="20"/>
    <s v="PSES Elem Prog21Duty45 S275"/>
    <x v="1"/>
    <s v="45"/>
    <n v="45"/>
    <m/>
    <s v="   "/>
    <n v="15.456"/>
    <n v="0.2863"/>
    <n v="4.4249999999999998"/>
    <x v="17"/>
  </r>
  <r>
    <s v="32354"/>
    <x v="226"/>
    <s v="Personnel"/>
    <s v="H "/>
    <x v="1"/>
    <x v="21"/>
    <s v="PSES High Prog21Duty45 S275"/>
    <x v="1"/>
    <s v="45"/>
    <n v="45"/>
    <m/>
    <s v="   "/>
    <n v="2.2000000000000002"/>
    <n v="0.2863"/>
    <n v="0.63"/>
    <x v="18"/>
  </r>
  <r>
    <s v="32354"/>
    <x v="226"/>
    <s v="Personnel"/>
    <s v="M "/>
    <x v="2"/>
    <x v="28"/>
    <s v="PSES Mid Prog21Duty45 S275"/>
    <x v="1"/>
    <s v="45"/>
    <n v="45"/>
    <m/>
    <s v="   "/>
    <n v="1.8340000000000001"/>
    <n v="0.2863"/>
    <n v="0.52500000000000002"/>
    <x v="25"/>
  </r>
  <r>
    <s v="32354"/>
    <x v="226"/>
    <s v="Personnel"/>
    <s v="E "/>
    <x v="0"/>
    <x v="22"/>
    <s v="PSES Elem Prog21Duty46 S275"/>
    <x v="1"/>
    <s v="46"/>
    <n v="46"/>
    <m/>
    <s v="   "/>
    <n v="6.7549999999999999"/>
    <n v="0.2863"/>
    <n v="1.9339999999999999"/>
    <x v="19"/>
  </r>
  <r>
    <s v="32354"/>
    <x v="226"/>
    <s v="Personnel"/>
    <s v="H "/>
    <x v="1"/>
    <x v="23"/>
    <s v="PSES High Prog21Duty46 S275"/>
    <x v="1"/>
    <s v="46"/>
    <n v="46"/>
    <m/>
    <s v="   "/>
    <n v="3.8849999999999998"/>
    <n v="0.2863"/>
    <n v="1.1120000000000001"/>
    <x v="20"/>
  </r>
  <r>
    <s v="32354"/>
    <x v="226"/>
    <s v="Personnel"/>
    <s v="M "/>
    <x v="2"/>
    <x v="24"/>
    <s v="PSES Mid Prog21Duty46 S275"/>
    <x v="1"/>
    <s v="46"/>
    <n v="46"/>
    <m/>
    <s v="   "/>
    <n v="1.6"/>
    <n v="0.2863"/>
    <n v="0.45800000000000002"/>
    <x v="21"/>
  </r>
  <r>
    <s v="32354"/>
    <x v="226"/>
    <s v="Personnel"/>
    <s v="E "/>
    <x v="0"/>
    <x v="27"/>
    <s v="PSES Elem Prog01Duty47 S275"/>
    <x v="0"/>
    <s v="47"/>
    <n v="47"/>
    <m/>
    <s v="   "/>
    <n v="4.1970000000000001"/>
    <n v="0.2863"/>
    <n v="0"/>
    <x v="24"/>
  </r>
  <r>
    <s v="32354"/>
    <x v="226"/>
    <s v="Personnel"/>
    <s v="H "/>
    <x v="1"/>
    <x v="25"/>
    <s v="PSES High Prog01Duty47 S275"/>
    <x v="0"/>
    <s v="47"/>
    <n v="47"/>
    <m/>
    <s v="   "/>
    <n v="1.595"/>
    <n v="0.2863"/>
    <n v="0"/>
    <x v="22"/>
  </r>
  <r>
    <s v="32354"/>
    <x v="226"/>
    <s v="Personnel"/>
    <s v="M "/>
    <x v="2"/>
    <x v="34"/>
    <s v="PSES Mid Prog01Duty47 S275"/>
    <x v="0"/>
    <s v="47"/>
    <n v="47"/>
    <m/>
    <s v="   "/>
    <n v="0.5"/>
    <n v="0.2863"/>
    <n v="0"/>
    <x v="28"/>
  </r>
  <r>
    <s v="32354"/>
    <x v="226"/>
    <s v="Personnel"/>
    <s v="E "/>
    <x v="0"/>
    <x v="35"/>
    <s v="PSES Elem Prog21Duty48 S275"/>
    <x v="1"/>
    <s v="48"/>
    <n v="48"/>
    <m/>
    <s v="   "/>
    <n v="4.7809999999999997"/>
    <n v="0.2863"/>
    <n v="1.369"/>
    <x v="29"/>
  </r>
  <r>
    <s v="32354"/>
    <x v="226"/>
    <s v="Personnel"/>
    <s v="E "/>
    <x v="0"/>
    <x v="90"/>
    <s v="PSES Elem Prog01Duty48 S275"/>
    <x v="0"/>
    <s v="48"/>
    <n v="48"/>
    <m/>
    <s v="   "/>
    <n v="0.45600000000000002"/>
    <n v="0.2863"/>
    <n v="0"/>
    <x v="29"/>
  </r>
  <r>
    <s v="32354"/>
    <x v="226"/>
    <s v="Personnel"/>
    <s v="H "/>
    <x v="1"/>
    <x v="36"/>
    <s v="PSES High Prog21Duty48 S275"/>
    <x v="1"/>
    <s v="48"/>
    <n v="48"/>
    <m/>
    <s v="   "/>
    <n v="0.41599999999999998"/>
    <n v="0.2863"/>
    <n v="0.11899999999999999"/>
    <x v="30"/>
  </r>
  <r>
    <s v="32354"/>
    <x v="226"/>
    <s v="Personnel"/>
    <s v="H "/>
    <x v="1"/>
    <x v="91"/>
    <s v="PSES High Prog01Duty48 S275"/>
    <x v="0"/>
    <s v="48"/>
    <n v="48"/>
    <m/>
    <s v="   "/>
    <n v="3.5999999999999997E-2"/>
    <n v="0.2863"/>
    <n v="0"/>
    <x v="30"/>
  </r>
  <r>
    <s v="32354"/>
    <x v="226"/>
    <s v="Personnel"/>
    <s v="M "/>
    <x v="2"/>
    <x v="37"/>
    <s v="PSES Mid Prog21Duty48 S275"/>
    <x v="1"/>
    <s v="48"/>
    <n v="48"/>
    <m/>
    <s v="   "/>
    <n v="0.81699999999999995"/>
    <n v="0.2863"/>
    <n v="0.23400000000000001"/>
    <x v="31"/>
  </r>
  <r>
    <s v="32354"/>
    <x v="226"/>
    <s v="Personnel"/>
    <s v="M "/>
    <x v="2"/>
    <x v="92"/>
    <s v="PSES Mid Prog01Duty48 S275"/>
    <x v="0"/>
    <s v="48"/>
    <n v="48"/>
    <m/>
    <s v="   "/>
    <n v="3.5999999999999997E-2"/>
    <n v="0.2863"/>
    <n v="0"/>
    <x v="31"/>
  </r>
  <r>
    <s v="32356"/>
    <x v="227"/>
    <s v="Personnel"/>
    <s v="H "/>
    <x v="1"/>
    <x v="5"/>
    <s v="PSES High Prog01Act25 S275"/>
    <x v="0"/>
    <s v="25"/>
    <m/>
    <n v="25"/>
    <s v="   "/>
    <n v="35.451000000000001"/>
    <n v="0.34910000000000002"/>
    <n v="0"/>
    <x v="4"/>
  </r>
  <r>
    <s v="32356"/>
    <x v="227"/>
    <s v="Personnel"/>
    <s v="H "/>
    <x v="1"/>
    <x v="29"/>
    <s v="PSES High Prog21Act26 S275"/>
    <x v="1"/>
    <s v="26"/>
    <m/>
    <n v="26"/>
    <s v="   "/>
    <n v="1.304"/>
    <n v="0.34910000000000002"/>
    <n v="0.45500000000000002"/>
    <x v="7"/>
  </r>
  <r>
    <s v="32356"/>
    <x v="227"/>
    <s v="Personnel"/>
    <s v="H "/>
    <x v="1"/>
    <x v="9"/>
    <s v="PSES High Prog01Act26 S275"/>
    <x v="0"/>
    <s v="26"/>
    <m/>
    <n v="26"/>
    <s v="   "/>
    <n v="5.8220000000000001"/>
    <n v="0.34910000000000002"/>
    <n v="0"/>
    <x v="7"/>
  </r>
  <r>
    <s v="32356"/>
    <x v="227"/>
    <s v="Personnel"/>
    <s v="H "/>
    <x v="1"/>
    <x v="54"/>
    <s v="PSES High Prog01Act35 S275"/>
    <x v="0"/>
    <s v="35"/>
    <m/>
    <n v="35"/>
    <s v="   "/>
    <n v="2.9239999999999999"/>
    <n v="0.34910000000000002"/>
    <n v="0"/>
    <x v="9"/>
  </r>
  <r>
    <s v="32356"/>
    <x v="227"/>
    <s v="Personnel"/>
    <s v="E "/>
    <x v="0"/>
    <x v="14"/>
    <s v="PSES Elem Prog21Duty39 S275"/>
    <x v="1"/>
    <s v="39"/>
    <n v="39"/>
    <m/>
    <s v="   "/>
    <n v="1.03"/>
    <n v="0.34910000000000002"/>
    <n v="0.36"/>
    <x v="11"/>
  </r>
  <r>
    <s v="32356"/>
    <x v="227"/>
    <s v="Personnel"/>
    <s v="H "/>
    <x v="1"/>
    <x v="83"/>
    <s v="PSES High Prog21Duty39 S275"/>
    <x v="1"/>
    <s v="39"/>
    <n v="39"/>
    <m/>
    <s v="   "/>
    <n v="0.5"/>
    <n v="0.34910000000000002"/>
    <n v="0.17499999999999999"/>
    <x v="44"/>
  </r>
  <r>
    <s v="32356"/>
    <x v="227"/>
    <s v="Personnel"/>
    <s v="M "/>
    <x v="2"/>
    <x v="88"/>
    <s v="PSES Mid Prog21Duty39 S275"/>
    <x v="1"/>
    <s v="39"/>
    <n v="39"/>
    <m/>
    <s v="   "/>
    <n v="0.47"/>
    <n v="0.34910000000000002"/>
    <n v="0.16400000000000001"/>
    <x v="47"/>
  </r>
  <r>
    <s v="32356"/>
    <x v="227"/>
    <s v="Personnel"/>
    <s v="E "/>
    <x v="0"/>
    <x v="76"/>
    <s v="PSES Elem Prog21Duty42 S275"/>
    <x v="1"/>
    <s v="42"/>
    <n v="42"/>
    <m/>
    <s v="   "/>
    <n v="0.5"/>
    <n v="0.34910000000000002"/>
    <n v="0.17499999999999999"/>
    <x v="12"/>
  </r>
  <r>
    <s v="32356"/>
    <x v="227"/>
    <s v="Personnel"/>
    <s v="E "/>
    <x v="0"/>
    <x v="15"/>
    <s v="PSES Elem Prog01Duty42 S275"/>
    <x v="0"/>
    <s v="42"/>
    <n v="42"/>
    <m/>
    <s v="   "/>
    <n v="16.899999999999999"/>
    <n v="0.34910000000000002"/>
    <n v="0"/>
    <x v="12"/>
  </r>
  <r>
    <s v="32356"/>
    <x v="227"/>
    <s v="Personnel"/>
    <s v="H "/>
    <x v="1"/>
    <x v="16"/>
    <s v="PSES High Prog01Duty42 S275"/>
    <x v="0"/>
    <s v="42"/>
    <n v="42"/>
    <m/>
    <s v="   "/>
    <n v="13.334"/>
    <n v="0.34910000000000002"/>
    <n v="0"/>
    <x v="13"/>
  </r>
  <r>
    <s v="32356"/>
    <x v="227"/>
    <s v="Personnel"/>
    <s v="M "/>
    <x v="2"/>
    <x v="75"/>
    <s v="PSES Mid Prog21Duty42 S275"/>
    <x v="1"/>
    <s v="42"/>
    <n v="42"/>
    <m/>
    <s v="   "/>
    <n v="0.5"/>
    <n v="0.34910000000000002"/>
    <n v="0.17499999999999999"/>
    <x v="14"/>
  </r>
  <r>
    <s v="32356"/>
    <x v="227"/>
    <s v="Personnel"/>
    <s v="M "/>
    <x v="2"/>
    <x v="17"/>
    <s v="PSES Mid Prog01Duty42 S275"/>
    <x v="0"/>
    <s v="42"/>
    <n v="42"/>
    <m/>
    <s v="   "/>
    <n v="5.2439999999999998"/>
    <n v="0.34910000000000002"/>
    <n v="0"/>
    <x v="14"/>
  </r>
  <r>
    <s v="32356"/>
    <x v="227"/>
    <s v="Personnel"/>
    <s v="E "/>
    <x v="0"/>
    <x v="18"/>
    <s v="PSES Elem Prog21Duty43 S275"/>
    <x v="1"/>
    <s v="43"/>
    <n v="43"/>
    <m/>
    <s v="   "/>
    <n v="6.3"/>
    <n v="0.34910000000000002"/>
    <n v="2.1989999999999998"/>
    <x v="15"/>
  </r>
  <r>
    <s v="32356"/>
    <x v="227"/>
    <s v="Personnel"/>
    <s v="H "/>
    <x v="1"/>
    <x v="19"/>
    <s v="PSES High Prog21Duty43 S275"/>
    <x v="1"/>
    <s v="43"/>
    <n v="43"/>
    <m/>
    <s v="   "/>
    <n v="3.15"/>
    <n v="0.34910000000000002"/>
    <n v="1.1000000000000001"/>
    <x v="16"/>
  </r>
  <r>
    <s v="32356"/>
    <x v="227"/>
    <s v="Personnel"/>
    <s v="M "/>
    <x v="2"/>
    <x v="31"/>
    <s v="PSES Mid Prog21Duty43 S275"/>
    <x v="1"/>
    <s v="43"/>
    <n v="43"/>
    <m/>
    <s v="   "/>
    <n v="3.15"/>
    <n v="0.34910000000000002"/>
    <n v="1.1000000000000001"/>
    <x v="27"/>
  </r>
  <r>
    <s v="32356"/>
    <x v="227"/>
    <s v="Personnel"/>
    <s v="E "/>
    <x v="0"/>
    <x v="20"/>
    <s v="PSES Elem Prog21Duty45 S275"/>
    <x v="1"/>
    <s v="45"/>
    <n v="45"/>
    <m/>
    <s v="   "/>
    <n v="18.5"/>
    <n v="0.34910000000000002"/>
    <n v="6.4580000000000002"/>
    <x v="17"/>
  </r>
  <r>
    <s v="32356"/>
    <x v="227"/>
    <s v="Personnel"/>
    <s v="H "/>
    <x v="1"/>
    <x v="21"/>
    <s v="PSES High Prog21Duty45 S275"/>
    <x v="1"/>
    <s v="45"/>
    <n v="45"/>
    <m/>
    <s v="   "/>
    <n v="1.5"/>
    <n v="0.34910000000000002"/>
    <n v="0.52400000000000002"/>
    <x v="18"/>
  </r>
  <r>
    <s v="32356"/>
    <x v="227"/>
    <s v="Personnel"/>
    <s v="M "/>
    <x v="2"/>
    <x v="28"/>
    <s v="PSES Mid Prog21Duty45 S275"/>
    <x v="1"/>
    <s v="45"/>
    <n v="45"/>
    <m/>
    <s v="   "/>
    <n v="3.2"/>
    <n v="0.34910000000000002"/>
    <n v="1.117"/>
    <x v="25"/>
  </r>
  <r>
    <s v="32356"/>
    <x v="227"/>
    <s v="Personnel"/>
    <s v="E "/>
    <x v="0"/>
    <x v="22"/>
    <s v="PSES Elem Prog21Duty46 S275"/>
    <x v="1"/>
    <s v="46"/>
    <n v="46"/>
    <m/>
    <s v="   "/>
    <n v="7"/>
    <n v="0.34910000000000002"/>
    <n v="2.444"/>
    <x v="19"/>
  </r>
  <r>
    <s v="32356"/>
    <x v="227"/>
    <s v="Personnel"/>
    <s v="H "/>
    <x v="1"/>
    <x v="23"/>
    <s v="PSES High Prog21Duty46 S275"/>
    <x v="1"/>
    <s v="46"/>
    <n v="46"/>
    <m/>
    <s v="   "/>
    <n v="3.33"/>
    <n v="0.34910000000000002"/>
    <n v="1.163"/>
    <x v="20"/>
  </r>
  <r>
    <s v="32356"/>
    <x v="227"/>
    <s v="Personnel"/>
    <s v="M "/>
    <x v="2"/>
    <x v="24"/>
    <s v="PSES Mid Prog21Duty46 S275"/>
    <x v="1"/>
    <s v="46"/>
    <n v="46"/>
    <m/>
    <s v="   "/>
    <n v="3.67"/>
    <n v="0.34910000000000002"/>
    <n v="1.2809999999999999"/>
    <x v="21"/>
  </r>
  <r>
    <s v="32356"/>
    <x v="227"/>
    <s v="Personnel"/>
    <s v="E "/>
    <x v="0"/>
    <x v="27"/>
    <s v="PSES Elem Prog01Duty47 S275"/>
    <x v="0"/>
    <s v="47"/>
    <n v="47"/>
    <m/>
    <s v="   "/>
    <n v="5.3440000000000003"/>
    <n v="0.34910000000000002"/>
    <n v="0"/>
    <x v="24"/>
  </r>
  <r>
    <s v="32356"/>
    <x v="227"/>
    <s v="Personnel"/>
    <s v="H "/>
    <x v="1"/>
    <x v="25"/>
    <s v="PSES High Prog01Duty47 S275"/>
    <x v="0"/>
    <s v="47"/>
    <n v="47"/>
    <m/>
    <s v="   "/>
    <n v="5.484"/>
    <n v="0.34910000000000002"/>
    <n v="0"/>
    <x v="22"/>
  </r>
  <r>
    <s v="32356"/>
    <x v="227"/>
    <s v="Personnel"/>
    <s v="M "/>
    <x v="2"/>
    <x v="34"/>
    <s v="PSES Mid Prog01Duty47 S275"/>
    <x v="0"/>
    <s v="47"/>
    <n v="47"/>
    <m/>
    <s v="   "/>
    <n v="6.6619999999999999"/>
    <n v="0.34910000000000002"/>
    <n v="0"/>
    <x v="28"/>
  </r>
  <r>
    <s v="32356"/>
    <x v="227"/>
    <s v="Personnel"/>
    <s v="E "/>
    <x v="0"/>
    <x v="35"/>
    <s v="PSES Elem Prog21Duty48 S275"/>
    <x v="1"/>
    <s v="48"/>
    <n v="48"/>
    <m/>
    <s v="   "/>
    <n v="2.6"/>
    <n v="0.34910000000000002"/>
    <n v="0.90800000000000003"/>
    <x v="29"/>
  </r>
  <r>
    <s v="32356"/>
    <x v="227"/>
    <s v="Personnel"/>
    <s v="H "/>
    <x v="1"/>
    <x v="36"/>
    <s v="PSES High Prog21Duty48 S275"/>
    <x v="1"/>
    <s v="48"/>
    <n v="48"/>
    <m/>
    <s v="   "/>
    <n v="1.3"/>
    <n v="0.34910000000000002"/>
    <n v="0.45400000000000001"/>
    <x v="30"/>
  </r>
  <r>
    <s v="32356"/>
    <x v="227"/>
    <s v="Personnel"/>
    <s v="M "/>
    <x v="2"/>
    <x v="37"/>
    <s v="PSES Mid Prog21Duty48 S275"/>
    <x v="1"/>
    <s v="48"/>
    <n v="48"/>
    <m/>
    <s v="   "/>
    <n v="1.3"/>
    <n v="0.34910000000000002"/>
    <n v="0.45400000000000001"/>
    <x v="31"/>
  </r>
  <r>
    <s v="32358"/>
    <x v="228"/>
    <s v="Personnel"/>
    <s v="E "/>
    <x v="0"/>
    <x v="15"/>
    <s v="PSES Elem Prog01Duty42 S275"/>
    <x v="0"/>
    <s v="42"/>
    <n v="42"/>
    <m/>
    <s v="   "/>
    <n v="0.7"/>
    <n v="0.20019999999999999"/>
    <n v="0"/>
    <x v="12"/>
  </r>
  <r>
    <s v="32358"/>
    <x v="228"/>
    <s v="Personnel"/>
    <s v="H "/>
    <x v="1"/>
    <x v="16"/>
    <s v="PSES High Prog01Duty42 S275"/>
    <x v="0"/>
    <s v="42"/>
    <n v="42"/>
    <m/>
    <s v="   "/>
    <n v="1"/>
    <n v="0.20019999999999999"/>
    <n v="0"/>
    <x v="13"/>
  </r>
  <r>
    <s v="32358"/>
    <x v="228"/>
    <s v="Personnel"/>
    <s v="M "/>
    <x v="2"/>
    <x v="17"/>
    <s v="PSES Mid Prog01Duty42 S275"/>
    <x v="0"/>
    <s v="42"/>
    <n v="42"/>
    <m/>
    <s v="   "/>
    <n v="0.24"/>
    <n v="0.20019999999999999"/>
    <n v="0"/>
    <x v="14"/>
  </r>
  <r>
    <s v="32358"/>
    <x v="228"/>
    <s v="Personnel"/>
    <s v="E "/>
    <x v="0"/>
    <x v="20"/>
    <s v="PSES Elem Prog21Duty45 S275"/>
    <x v="1"/>
    <s v="45"/>
    <n v="45"/>
    <m/>
    <s v="   "/>
    <n v="1"/>
    <n v="0.20019999999999999"/>
    <n v="0.2"/>
    <x v="17"/>
  </r>
  <r>
    <s v="32358"/>
    <x v="228"/>
    <s v="Personnel"/>
    <s v="E "/>
    <x v="0"/>
    <x v="22"/>
    <s v="PSES Elem Prog21Duty46 S275"/>
    <x v="1"/>
    <s v="46"/>
    <n v="46"/>
    <m/>
    <s v="   "/>
    <n v="0.5"/>
    <n v="0.20019999999999999"/>
    <n v="0.1"/>
    <x v="19"/>
  </r>
  <r>
    <s v="32358"/>
    <x v="228"/>
    <s v="Personnel"/>
    <s v="H "/>
    <x v="1"/>
    <x v="23"/>
    <s v="PSES High Prog21Duty46 S275"/>
    <x v="1"/>
    <s v="46"/>
    <n v="46"/>
    <m/>
    <s v="   "/>
    <n v="0.70599999999999996"/>
    <n v="0.20019999999999999"/>
    <n v="0.14099999999999999"/>
    <x v="20"/>
  </r>
  <r>
    <s v="32358"/>
    <x v="228"/>
    <s v="Personnel"/>
    <s v="E "/>
    <x v="0"/>
    <x v="27"/>
    <s v="PSES Elem Prog01Duty47 S275"/>
    <x v="0"/>
    <s v="47"/>
    <n v="47"/>
    <m/>
    <s v="   "/>
    <n v="0.39900000000000002"/>
    <n v="0.20019999999999999"/>
    <n v="0"/>
    <x v="24"/>
  </r>
  <r>
    <s v="32358"/>
    <x v="228"/>
    <s v="Personnel"/>
    <s v="H "/>
    <x v="1"/>
    <x v="25"/>
    <s v="PSES High Prog01Duty47 S275"/>
    <x v="0"/>
    <s v="47"/>
    <n v="47"/>
    <m/>
    <s v="   "/>
    <n v="0.39900000000000002"/>
    <n v="0.20019999999999999"/>
    <n v="0"/>
    <x v="22"/>
  </r>
  <r>
    <s v="32358"/>
    <x v="228"/>
    <s v="Personnel"/>
    <s v="E "/>
    <x v="0"/>
    <x v="38"/>
    <s v="PSES Elem Prog21Duty64 S275"/>
    <x v="1"/>
    <s v="64"/>
    <n v="64"/>
    <m/>
    <s v="   "/>
    <n v="1.1439999999999999"/>
    <n v="0.20019999999999999"/>
    <n v="0.22900000000000001"/>
    <x v="32"/>
  </r>
  <r>
    <s v="32358"/>
    <x v="228"/>
    <s v="Personnel"/>
    <s v="H "/>
    <x v="1"/>
    <x v="59"/>
    <s v="PSES High Prog21Duty64 S275"/>
    <x v="1"/>
    <s v="64"/>
    <n v="64"/>
    <m/>
    <s v="   "/>
    <n v="0.14299999999999999"/>
    <n v="0.20019999999999999"/>
    <n v="2.9000000000000001E-2"/>
    <x v="38"/>
  </r>
  <r>
    <s v="32358"/>
    <x v="228"/>
    <s v="Personnel"/>
    <s v="M "/>
    <x v="2"/>
    <x v="60"/>
    <s v="PSES Mid Prog21Duty64 S275"/>
    <x v="1"/>
    <s v="64"/>
    <n v="64"/>
    <m/>
    <s v="   "/>
    <n v="0.14299999999999999"/>
    <n v="0.20019999999999999"/>
    <n v="2.9000000000000001E-2"/>
    <x v="39"/>
  </r>
  <r>
    <s v="32360"/>
    <x v="229"/>
    <s v="Personnel"/>
    <s v="H "/>
    <x v="1"/>
    <x v="4"/>
    <s v="PSES High Prog21Act25 S275"/>
    <x v="1"/>
    <s v="25"/>
    <m/>
    <n v="25"/>
    <s v="   "/>
    <n v="2.42"/>
    <n v="0.20580000000000001"/>
    <n v="0.498"/>
    <x v="4"/>
  </r>
  <r>
    <s v="32360"/>
    <x v="229"/>
    <s v="Personnel"/>
    <s v="H "/>
    <x v="1"/>
    <x v="5"/>
    <s v="PSES High Prog01Act25 S275"/>
    <x v="0"/>
    <s v="25"/>
    <m/>
    <n v="25"/>
    <s v="   "/>
    <n v="6.9169999999999998"/>
    <n v="0.20580000000000001"/>
    <n v="0"/>
    <x v="4"/>
  </r>
  <r>
    <s v="32360"/>
    <x v="229"/>
    <s v="Personnel"/>
    <s v="H "/>
    <x v="1"/>
    <x v="9"/>
    <s v="PSES High Prog01Act26 S275"/>
    <x v="0"/>
    <s v="26"/>
    <m/>
    <n v="26"/>
    <s v="   "/>
    <n v="5.9690000000000003"/>
    <n v="0.20580000000000001"/>
    <n v="0"/>
    <x v="7"/>
  </r>
  <r>
    <s v="32360"/>
    <x v="229"/>
    <s v="Personnel"/>
    <s v="E "/>
    <x v="0"/>
    <x v="76"/>
    <s v="PSES Elem Prog21Duty42 S275"/>
    <x v="1"/>
    <s v="42"/>
    <n v="42"/>
    <m/>
    <s v="   "/>
    <n v="1"/>
    <n v="0.20580000000000001"/>
    <n v="0.20599999999999999"/>
    <x v="12"/>
  </r>
  <r>
    <s v="32360"/>
    <x v="229"/>
    <s v="Personnel"/>
    <s v="E "/>
    <x v="0"/>
    <x v="15"/>
    <s v="PSES Elem Prog01Duty42 S275"/>
    <x v="0"/>
    <s v="42"/>
    <n v="42"/>
    <m/>
    <s v="   "/>
    <n v="5"/>
    <n v="0.20580000000000001"/>
    <n v="0"/>
    <x v="12"/>
  </r>
  <r>
    <s v="32360"/>
    <x v="229"/>
    <s v="Personnel"/>
    <s v="H "/>
    <x v="1"/>
    <x v="16"/>
    <s v="PSES High Prog01Duty42 S275"/>
    <x v="0"/>
    <s v="42"/>
    <n v="42"/>
    <m/>
    <s v="   "/>
    <n v="3.391"/>
    <n v="0.20580000000000001"/>
    <n v="0"/>
    <x v="13"/>
  </r>
  <r>
    <s v="32360"/>
    <x v="229"/>
    <s v="Personnel"/>
    <s v="M "/>
    <x v="2"/>
    <x v="75"/>
    <s v="PSES Mid Prog21Duty42 S275"/>
    <x v="1"/>
    <s v="42"/>
    <n v="42"/>
    <m/>
    <s v="   "/>
    <n v="1"/>
    <n v="0.20580000000000001"/>
    <n v="0.20599999999999999"/>
    <x v="14"/>
  </r>
  <r>
    <s v="32360"/>
    <x v="229"/>
    <s v="Personnel"/>
    <s v="M "/>
    <x v="2"/>
    <x v="17"/>
    <s v="PSES Mid Prog01Duty42 S275"/>
    <x v="0"/>
    <s v="42"/>
    <n v="42"/>
    <m/>
    <s v="   "/>
    <n v="4"/>
    <n v="0.20580000000000001"/>
    <n v="0"/>
    <x v="14"/>
  </r>
  <r>
    <s v="32360"/>
    <x v="229"/>
    <s v="Personnel"/>
    <s v="E "/>
    <x v="0"/>
    <x v="18"/>
    <s v="PSES Elem Prog21Duty43 S275"/>
    <x v="1"/>
    <s v="43"/>
    <n v="43"/>
    <m/>
    <s v="   "/>
    <n v="4.83"/>
    <n v="0.20580000000000001"/>
    <n v="0.99399999999999999"/>
    <x v="15"/>
  </r>
  <r>
    <s v="32360"/>
    <x v="229"/>
    <s v="Personnel"/>
    <s v="E "/>
    <x v="0"/>
    <x v="20"/>
    <s v="PSES Elem Prog21Duty45 S275"/>
    <x v="1"/>
    <s v="45"/>
    <n v="45"/>
    <m/>
    <s v="   "/>
    <n v="10.5"/>
    <n v="0.20580000000000001"/>
    <n v="2.161"/>
    <x v="17"/>
  </r>
  <r>
    <s v="32360"/>
    <x v="229"/>
    <s v="Personnel"/>
    <s v="H "/>
    <x v="1"/>
    <x v="21"/>
    <s v="PSES High Prog21Duty45 S275"/>
    <x v="1"/>
    <s v="45"/>
    <n v="45"/>
    <m/>
    <s v="   "/>
    <n v="0.7"/>
    <n v="0.20580000000000001"/>
    <n v="0.14399999999999999"/>
    <x v="18"/>
  </r>
  <r>
    <s v="32360"/>
    <x v="229"/>
    <s v="Personnel"/>
    <s v="M "/>
    <x v="2"/>
    <x v="28"/>
    <s v="PSES Mid Prog21Duty45 S275"/>
    <x v="1"/>
    <s v="45"/>
    <n v="45"/>
    <m/>
    <s v="   "/>
    <n v="1.8"/>
    <n v="0.20580000000000001"/>
    <n v="0.37"/>
    <x v="25"/>
  </r>
  <r>
    <s v="32360"/>
    <x v="229"/>
    <s v="Personnel"/>
    <s v="E "/>
    <x v="0"/>
    <x v="22"/>
    <s v="PSES Elem Prog21Duty46 S275"/>
    <x v="1"/>
    <s v="46"/>
    <n v="46"/>
    <m/>
    <s v="   "/>
    <n v="3.8"/>
    <n v="0.20580000000000001"/>
    <n v="0.78200000000000003"/>
    <x v="19"/>
  </r>
  <r>
    <s v="32360"/>
    <x v="229"/>
    <s v="Personnel"/>
    <s v="H "/>
    <x v="1"/>
    <x v="23"/>
    <s v="PSES High Prog21Duty46 S275"/>
    <x v="1"/>
    <s v="46"/>
    <n v="46"/>
    <m/>
    <s v="   "/>
    <n v="0.4"/>
    <n v="0.20580000000000001"/>
    <n v="8.2000000000000003E-2"/>
    <x v="20"/>
  </r>
  <r>
    <s v="32360"/>
    <x v="229"/>
    <s v="Personnel"/>
    <s v="M "/>
    <x v="2"/>
    <x v="24"/>
    <s v="PSES Mid Prog21Duty46 S275"/>
    <x v="1"/>
    <s v="46"/>
    <n v="46"/>
    <m/>
    <s v="   "/>
    <n v="1.8"/>
    <n v="0.20580000000000001"/>
    <n v="0.37"/>
    <x v="21"/>
  </r>
  <r>
    <s v="32360"/>
    <x v="229"/>
    <s v="Personnel"/>
    <s v="E "/>
    <x v="0"/>
    <x v="27"/>
    <s v="PSES Elem Prog01Duty47 S275"/>
    <x v="0"/>
    <s v="47"/>
    <n v="47"/>
    <m/>
    <s v="   "/>
    <n v="3.3"/>
    <n v="0.20580000000000001"/>
    <n v="0"/>
    <x v="24"/>
  </r>
  <r>
    <s v="32360"/>
    <x v="229"/>
    <s v="Personnel"/>
    <s v="H "/>
    <x v="1"/>
    <x v="25"/>
    <s v="PSES High Prog01Duty47 S275"/>
    <x v="0"/>
    <s v="47"/>
    <n v="47"/>
    <m/>
    <s v="   "/>
    <n v="2.2000000000000002"/>
    <n v="0.20580000000000001"/>
    <n v="0"/>
    <x v="22"/>
  </r>
  <r>
    <s v="32360"/>
    <x v="229"/>
    <s v="Personnel"/>
    <s v="M "/>
    <x v="2"/>
    <x v="34"/>
    <s v="PSES Mid Prog01Duty47 S275"/>
    <x v="0"/>
    <s v="47"/>
    <n v="47"/>
    <m/>
    <s v="   "/>
    <n v="1.5"/>
    <n v="0.20580000000000001"/>
    <n v="0"/>
    <x v="28"/>
  </r>
  <r>
    <s v="32360"/>
    <x v="229"/>
    <s v="Personnel"/>
    <s v="E "/>
    <x v="0"/>
    <x v="35"/>
    <s v="PSES Elem Prog21Duty48 S275"/>
    <x v="1"/>
    <s v="48"/>
    <n v="48"/>
    <m/>
    <s v="   "/>
    <n v="2"/>
    <n v="0.20580000000000001"/>
    <n v="0.41199999999999998"/>
    <x v="29"/>
  </r>
  <r>
    <s v="32360"/>
    <x v="229"/>
    <s v="Personnel"/>
    <s v="M "/>
    <x v="2"/>
    <x v="37"/>
    <s v="PSES Mid Prog21Duty48 S275"/>
    <x v="1"/>
    <s v="48"/>
    <n v="48"/>
    <m/>
    <s v="   "/>
    <n v="1"/>
    <n v="0.20580000000000001"/>
    <n v="0.20599999999999999"/>
    <x v="31"/>
  </r>
  <r>
    <s v="32361"/>
    <x v="230"/>
    <s v="Personnel"/>
    <s v="E "/>
    <x v="0"/>
    <x v="3"/>
    <s v="PSES Elem Prog01Act25 S275"/>
    <x v="0"/>
    <s v="25"/>
    <m/>
    <n v="25"/>
    <s v="   "/>
    <n v="5.7089999999999996"/>
    <n v="0.31380000000000002"/>
    <n v="0"/>
    <x v="3"/>
  </r>
  <r>
    <s v="32361"/>
    <x v="230"/>
    <s v="Personnel"/>
    <s v="H "/>
    <x v="1"/>
    <x v="4"/>
    <s v="PSES High Prog21Act25 S275"/>
    <x v="1"/>
    <s v="25"/>
    <m/>
    <n v="25"/>
    <s v="   "/>
    <n v="3.45"/>
    <n v="0.31380000000000002"/>
    <n v="1.083"/>
    <x v="4"/>
  </r>
  <r>
    <s v="32361"/>
    <x v="230"/>
    <s v="Personnel"/>
    <s v="H "/>
    <x v="1"/>
    <x v="5"/>
    <s v="PSES High Prog01Act25 S275"/>
    <x v="0"/>
    <s v="25"/>
    <m/>
    <n v="25"/>
    <s v="   "/>
    <n v="0.50900000000000001"/>
    <n v="0.31380000000000002"/>
    <n v="0"/>
    <x v="4"/>
  </r>
  <r>
    <s v="32361"/>
    <x v="230"/>
    <s v="Personnel"/>
    <s v="M "/>
    <x v="2"/>
    <x v="6"/>
    <s v="PSES Mid Prog01Act25 S275"/>
    <x v="0"/>
    <s v="25"/>
    <m/>
    <n v="25"/>
    <s v="   "/>
    <n v="0.70499999999999996"/>
    <n v="0.31380000000000002"/>
    <n v="0"/>
    <x v="5"/>
  </r>
  <r>
    <s v="32361"/>
    <x v="230"/>
    <s v="Personnel"/>
    <s v="E "/>
    <x v="0"/>
    <x v="7"/>
    <s v="PSES Elem Prog21Act26 S275"/>
    <x v="1"/>
    <s v="26"/>
    <m/>
    <n v="26"/>
    <s v="   "/>
    <n v="1.236"/>
    <n v="0.31380000000000002"/>
    <n v="0.38800000000000001"/>
    <x v="6"/>
  </r>
  <r>
    <s v="32361"/>
    <x v="230"/>
    <s v="Personnel"/>
    <s v="E "/>
    <x v="0"/>
    <x v="8"/>
    <s v="PSES Elem Prog01Act26 S275"/>
    <x v="0"/>
    <s v="26"/>
    <m/>
    <n v="26"/>
    <s v="   "/>
    <n v="3.512"/>
    <n v="0.31380000000000002"/>
    <n v="0"/>
    <x v="6"/>
  </r>
  <r>
    <s v="32361"/>
    <x v="230"/>
    <s v="Personnel"/>
    <s v="H "/>
    <x v="1"/>
    <x v="29"/>
    <s v="PSES High Prog21Act26 S275"/>
    <x v="1"/>
    <s v="26"/>
    <m/>
    <n v="26"/>
    <s v="   "/>
    <n v="0.64300000000000002"/>
    <n v="0.31380000000000002"/>
    <n v="0.20200000000000001"/>
    <x v="7"/>
  </r>
  <r>
    <s v="32361"/>
    <x v="230"/>
    <s v="Personnel"/>
    <s v="H "/>
    <x v="1"/>
    <x v="9"/>
    <s v="PSES High Prog01Act26 S275"/>
    <x v="0"/>
    <s v="26"/>
    <m/>
    <n v="26"/>
    <s v="   "/>
    <n v="1.4339999999999999"/>
    <n v="0.31380000000000002"/>
    <n v="0"/>
    <x v="7"/>
  </r>
  <r>
    <s v="32361"/>
    <x v="230"/>
    <s v="Personnel"/>
    <s v="M "/>
    <x v="2"/>
    <x v="11"/>
    <s v="PSES Mid Prog01Act26 S275"/>
    <x v="0"/>
    <s v="26"/>
    <m/>
    <n v="26"/>
    <s v="   "/>
    <n v="0.66500000000000004"/>
    <n v="0.31380000000000002"/>
    <n v="0"/>
    <x v="8"/>
  </r>
  <r>
    <s v="32361"/>
    <x v="230"/>
    <s v="Personnel"/>
    <s v="H "/>
    <x v="1"/>
    <x v="54"/>
    <s v="PSES High Prog01Act35 S275"/>
    <x v="0"/>
    <s v="35"/>
    <m/>
    <n v="35"/>
    <s v="   "/>
    <n v="0.73499999999999999"/>
    <n v="0.31380000000000002"/>
    <n v="0"/>
    <x v="9"/>
  </r>
  <r>
    <s v="32361"/>
    <x v="230"/>
    <s v="Personnel"/>
    <s v="M "/>
    <x v="2"/>
    <x v="63"/>
    <s v="PSES Mid Prog01Act35 S275"/>
    <x v="0"/>
    <s v="35"/>
    <m/>
    <n v="35"/>
    <s v="   "/>
    <n v="0.73499999999999999"/>
    <n v="0.31380000000000002"/>
    <n v="0"/>
    <x v="10"/>
  </r>
  <r>
    <s v="32361"/>
    <x v="230"/>
    <s v="Personnel"/>
    <s v="E "/>
    <x v="0"/>
    <x v="15"/>
    <s v="PSES Elem Prog01Duty42 S275"/>
    <x v="0"/>
    <s v="42"/>
    <n v="42"/>
    <m/>
    <s v="   "/>
    <n v="4.5"/>
    <n v="0.31380000000000002"/>
    <n v="0"/>
    <x v="12"/>
  </r>
  <r>
    <s v="32361"/>
    <x v="230"/>
    <s v="Personnel"/>
    <s v="H "/>
    <x v="1"/>
    <x v="16"/>
    <s v="PSES High Prog01Duty42 S275"/>
    <x v="0"/>
    <s v="42"/>
    <n v="42"/>
    <m/>
    <s v="   "/>
    <n v="2"/>
    <n v="0.31380000000000002"/>
    <n v="0"/>
    <x v="13"/>
  </r>
  <r>
    <s v="32361"/>
    <x v="230"/>
    <s v="Personnel"/>
    <s v="M "/>
    <x v="2"/>
    <x v="17"/>
    <s v="PSES Mid Prog01Duty42 S275"/>
    <x v="0"/>
    <s v="42"/>
    <n v="42"/>
    <m/>
    <s v="   "/>
    <n v="1"/>
    <n v="0.31380000000000002"/>
    <n v="0"/>
    <x v="14"/>
  </r>
  <r>
    <s v="32361"/>
    <x v="230"/>
    <s v="Personnel"/>
    <s v="E "/>
    <x v="0"/>
    <x v="18"/>
    <s v="PSES Elem Prog21Duty43 S275"/>
    <x v="1"/>
    <s v="43"/>
    <n v="43"/>
    <m/>
    <s v="   "/>
    <n v="4"/>
    <n v="0.31380000000000002"/>
    <n v="1.2549999999999999"/>
    <x v="15"/>
  </r>
  <r>
    <s v="32361"/>
    <x v="230"/>
    <s v="Personnel"/>
    <s v="E "/>
    <x v="0"/>
    <x v="20"/>
    <s v="PSES Elem Prog21Duty45 S275"/>
    <x v="1"/>
    <s v="45"/>
    <n v="45"/>
    <m/>
    <s v="   "/>
    <n v="7"/>
    <n v="0.31380000000000002"/>
    <n v="2.1970000000000001"/>
    <x v="17"/>
  </r>
  <r>
    <s v="32361"/>
    <x v="230"/>
    <s v="Personnel"/>
    <s v="H "/>
    <x v="1"/>
    <x v="21"/>
    <s v="PSES High Prog21Duty45 S275"/>
    <x v="1"/>
    <s v="45"/>
    <n v="45"/>
    <m/>
    <s v="   "/>
    <n v="0.499"/>
    <n v="0.31380000000000002"/>
    <n v="0.157"/>
    <x v="18"/>
  </r>
  <r>
    <s v="32361"/>
    <x v="230"/>
    <s v="Personnel"/>
    <s v="M "/>
    <x v="2"/>
    <x v="28"/>
    <s v="PSES Mid Prog21Duty45 S275"/>
    <x v="1"/>
    <s v="45"/>
    <n v="45"/>
    <m/>
    <s v="   "/>
    <n v="1.5009999999999999"/>
    <n v="0.31380000000000002"/>
    <n v="0.47099999999999997"/>
    <x v="25"/>
  </r>
  <r>
    <s v="32361"/>
    <x v="230"/>
    <s v="Personnel"/>
    <s v="E "/>
    <x v="0"/>
    <x v="22"/>
    <s v="PSES Elem Prog21Duty46 S275"/>
    <x v="1"/>
    <s v="46"/>
    <n v="46"/>
    <m/>
    <s v="   "/>
    <n v="5"/>
    <n v="0.31380000000000002"/>
    <n v="1.569"/>
    <x v="19"/>
  </r>
  <r>
    <s v="32361"/>
    <x v="230"/>
    <s v="Personnel"/>
    <s v="H "/>
    <x v="1"/>
    <x v="23"/>
    <s v="PSES High Prog21Duty46 S275"/>
    <x v="1"/>
    <s v="46"/>
    <n v="46"/>
    <m/>
    <s v="   "/>
    <n v="1"/>
    <n v="0.31380000000000002"/>
    <n v="0.314"/>
    <x v="20"/>
  </r>
  <r>
    <s v="32361"/>
    <x v="230"/>
    <s v="Personnel"/>
    <s v="H "/>
    <x v="1"/>
    <x v="25"/>
    <s v="PSES High Prog01Duty47 S275"/>
    <x v="0"/>
    <s v="47"/>
    <n v="47"/>
    <m/>
    <s v="   "/>
    <n v="1"/>
    <n v="0.31380000000000002"/>
    <n v="0"/>
    <x v="22"/>
  </r>
  <r>
    <s v="32361"/>
    <x v="230"/>
    <s v="Personnel"/>
    <s v="M "/>
    <x v="2"/>
    <x v="34"/>
    <s v="PSES Mid Prog01Duty47 S275"/>
    <x v="0"/>
    <s v="47"/>
    <n v="47"/>
    <m/>
    <s v="   "/>
    <n v="1.7"/>
    <n v="0.31380000000000002"/>
    <n v="0"/>
    <x v="28"/>
  </r>
  <r>
    <s v="32361"/>
    <x v="230"/>
    <s v="Personnel"/>
    <s v="E "/>
    <x v="0"/>
    <x v="35"/>
    <s v="PSES Elem Prog21Duty48 S275"/>
    <x v="1"/>
    <s v="48"/>
    <n v="48"/>
    <m/>
    <s v="   "/>
    <n v="1"/>
    <n v="0.31380000000000002"/>
    <n v="0.314"/>
    <x v="29"/>
  </r>
  <r>
    <s v="32362"/>
    <x v="231"/>
    <s v="Personnel"/>
    <s v="E "/>
    <x v="0"/>
    <x v="3"/>
    <s v="PSES Elem Prog01Act25 S275"/>
    <x v="0"/>
    <s v="25"/>
    <m/>
    <n v="25"/>
    <s v="   "/>
    <n v="0.65600000000000003"/>
    <n v="0.27629999999999999"/>
    <n v="0"/>
    <x v="3"/>
  </r>
  <r>
    <s v="32362"/>
    <x v="231"/>
    <s v="Personnel"/>
    <s v="H "/>
    <x v="1"/>
    <x v="5"/>
    <s v="PSES High Prog01Act25 S275"/>
    <x v="0"/>
    <s v="25"/>
    <m/>
    <n v="25"/>
    <s v="   "/>
    <n v="0.19900000000000001"/>
    <n v="0.27629999999999999"/>
    <n v="0"/>
    <x v="4"/>
  </r>
  <r>
    <s v="32362"/>
    <x v="231"/>
    <s v="Personnel"/>
    <s v="M "/>
    <x v="2"/>
    <x v="6"/>
    <s v="PSES Mid Prog01Act25 S275"/>
    <x v="0"/>
    <s v="25"/>
    <m/>
    <n v="25"/>
    <s v="   "/>
    <n v="0.311"/>
    <n v="0.27629999999999999"/>
    <n v="0"/>
    <x v="5"/>
  </r>
  <r>
    <s v="32362"/>
    <x v="231"/>
    <s v="Personnel"/>
    <s v="E "/>
    <x v="0"/>
    <x v="15"/>
    <s v="PSES Elem Prog01Duty42 S275"/>
    <x v="0"/>
    <s v="42"/>
    <n v="42"/>
    <m/>
    <s v="   "/>
    <n v="0.9"/>
    <n v="0.27629999999999999"/>
    <n v="0"/>
    <x v="12"/>
  </r>
  <r>
    <s v="32362"/>
    <x v="231"/>
    <s v="Personnel"/>
    <s v="H "/>
    <x v="1"/>
    <x v="16"/>
    <s v="PSES High Prog01Duty42 S275"/>
    <x v="0"/>
    <s v="42"/>
    <n v="42"/>
    <m/>
    <s v="   "/>
    <n v="1.167"/>
    <n v="0.27629999999999999"/>
    <n v="0"/>
    <x v="13"/>
  </r>
  <r>
    <s v="32362"/>
    <x v="231"/>
    <s v="Personnel"/>
    <s v="M "/>
    <x v="2"/>
    <x v="17"/>
    <s v="PSES Mid Prog01Duty42 S275"/>
    <x v="0"/>
    <s v="42"/>
    <n v="42"/>
    <m/>
    <s v="   "/>
    <n v="0.1"/>
    <n v="0.27629999999999999"/>
    <n v="0"/>
    <x v="14"/>
  </r>
  <r>
    <s v="32362"/>
    <x v="231"/>
    <s v="Personnel"/>
    <s v="H "/>
    <x v="1"/>
    <x v="23"/>
    <s v="PSES High Prog21Duty46 S275"/>
    <x v="1"/>
    <s v="46"/>
    <n v="46"/>
    <m/>
    <s v="   "/>
    <n v="0.6"/>
    <n v="0.27629999999999999"/>
    <n v="0.16600000000000001"/>
    <x v="20"/>
  </r>
  <r>
    <s v="32362"/>
    <x v="231"/>
    <s v="Personnel"/>
    <s v="M "/>
    <x v="2"/>
    <x v="24"/>
    <s v="PSES Mid Prog21Duty46 S275"/>
    <x v="1"/>
    <s v="46"/>
    <n v="46"/>
    <m/>
    <s v="   "/>
    <n v="0.42499999999999999"/>
    <n v="0.27629999999999999"/>
    <n v="0.11700000000000001"/>
    <x v="21"/>
  </r>
  <r>
    <s v="32362"/>
    <x v="231"/>
    <s v="Personnel"/>
    <s v="E "/>
    <x v="0"/>
    <x v="27"/>
    <s v="PSES Elem Prog01Duty47 S275"/>
    <x v="0"/>
    <s v="47"/>
    <n v="47"/>
    <m/>
    <s v="   "/>
    <n v="0.48099999999999998"/>
    <n v="0.27629999999999999"/>
    <n v="0"/>
    <x v="24"/>
  </r>
  <r>
    <s v="32362"/>
    <x v="231"/>
    <s v="Personnel"/>
    <s v="H "/>
    <x v="1"/>
    <x v="25"/>
    <s v="PSES High Prog01Duty47 S275"/>
    <x v="0"/>
    <s v="47"/>
    <n v="47"/>
    <m/>
    <s v="   "/>
    <n v="0.31"/>
    <n v="0.27629999999999999"/>
    <n v="0"/>
    <x v="22"/>
  </r>
  <r>
    <s v="32362"/>
    <x v="231"/>
    <s v="Personnel"/>
    <s v="M "/>
    <x v="2"/>
    <x v="34"/>
    <s v="PSES Mid Prog01Duty47 S275"/>
    <x v="0"/>
    <s v="47"/>
    <n v="47"/>
    <m/>
    <s v="   "/>
    <n v="0.13700000000000001"/>
    <n v="0.27629999999999999"/>
    <n v="0"/>
    <x v="28"/>
  </r>
  <r>
    <s v="32362"/>
    <x v="231"/>
    <s v="Personnel"/>
    <s v="T"/>
    <x v="0"/>
    <x v="85"/>
    <s v="PSES Elem Prog09Duty47 S275"/>
    <x v="3"/>
    <s v="47"/>
    <n v="47"/>
    <n v="26"/>
    <m/>
    <n v="7.1999999999999995E-2"/>
    <n v="0.27629999999999999"/>
    <n v="0"/>
    <x v="46"/>
  </r>
  <r>
    <s v="32363"/>
    <x v="232"/>
    <s v="Personnel"/>
    <s v="H "/>
    <x v="1"/>
    <x v="5"/>
    <s v="PSES High Prog01Act25 S275"/>
    <x v="0"/>
    <s v="25"/>
    <m/>
    <n v="25"/>
    <s v="   "/>
    <n v="9.4E-2"/>
    <n v="0.2019"/>
    <n v="0"/>
    <x v="4"/>
  </r>
  <r>
    <s v="32363"/>
    <x v="232"/>
    <s v="Personnel"/>
    <s v="H "/>
    <x v="1"/>
    <x v="29"/>
    <s v="PSES High Prog21Act26 S275"/>
    <x v="1"/>
    <s v="26"/>
    <m/>
    <n v="26"/>
    <s v="   "/>
    <n v="0.78900000000000003"/>
    <n v="0.2019"/>
    <n v="0.159"/>
    <x v="7"/>
  </r>
  <r>
    <s v="32363"/>
    <x v="232"/>
    <s v="Personnel"/>
    <s v="H "/>
    <x v="1"/>
    <x v="9"/>
    <s v="PSES High Prog01Act26 S275"/>
    <x v="0"/>
    <s v="26"/>
    <m/>
    <n v="26"/>
    <s v="   "/>
    <n v="1.6319999999999999"/>
    <n v="0.2019"/>
    <n v="0"/>
    <x v="7"/>
  </r>
  <r>
    <s v="32363"/>
    <x v="232"/>
    <s v="Personnel"/>
    <s v="H "/>
    <x v="1"/>
    <x v="54"/>
    <s v="PSES High Prog01Act35 S275"/>
    <x v="0"/>
    <s v="35"/>
    <m/>
    <n v="35"/>
    <s v="   "/>
    <n v="1.538"/>
    <n v="0.2019"/>
    <n v="0"/>
    <x v="9"/>
  </r>
  <r>
    <s v="32363"/>
    <x v="232"/>
    <s v="Personnel"/>
    <s v="E "/>
    <x v="0"/>
    <x v="15"/>
    <s v="PSES Elem Prog01Duty42 S275"/>
    <x v="0"/>
    <s v="42"/>
    <n v="42"/>
    <m/>
    <s v="   "/>
    <n v="2.68"/>
    <n v="0.2019"/>
    <n v="0"/>
    <x v="12"/>
  </r>
  <r>
    <s v="32363"/>
    <x v="232"/>
    <s v="Personnel"/>
    <s v="H "/>
    <x v="1"/>
    <x v="16"/>
    <s v="PSES High Prog01Duty42 S275"/>
    <x v="0"/>
    <s v="42"/>
    <n v="42"/>
    <m/>
    <s v="   "/>
    <n v="3.1"/>
    <n v="0.2019"/>
    <n v="0"/>
    <x v="13"/>
  </r>
  <r>
    <s v="32363"/>
    <x v="232"/>
    <s v="Personnel"/>
    <s v="M "/>
    <x v="2"/>
    <x v="17"/>
    <s v="PSES Mid Prog01Duty42 S275"/>
    <x v="0"/>
    <s v="42"/>
    <n v="42"/>
    <m/>
    <s v="   "/>
    <n v="1.32"/>
    <n v="0.2019"/>
    <n v="0"/>
    <x v="14"/>
  </r>
  <r>
    <s v="32363"/>
    <x v="232"/>
    <s v="Personnel"/>
    <s v="E "/>
    <x v="0"/>
    <x v="18"/>
    <s v="PSES Elem Prog21Duty43 S275"/>
    <x v="1"/>
    <s v="43"/>
    <n v="43"/>
    <m/>
    <s v="   "/>
    <n v="1.2210000000000001"/>
    <n v="0.2019"/>
    <n v="0.247"/>
    <x v="15"/>
  </r>
  <r>
    <s v="32363"/>
    <x v="232"/>
    <s v="Personnel"/>
    <s v="H "/>
    <x v="1"/>
    <x v="19"/>
    <s v="PSES High Prog21Duty43 S275"/>
    <x v="1"/>
    <s v="43"/>
    <n v="43"/>
    <m/>
    <s v="   "/>
    <n v="0.1"/>
    <n v="0.2019"/>
    <n v="0.02"/>
    <x v="16"/>
  </r>
  <r>
    <s v="32363"/>
    <x v="232"/>
    <s v="Personnel"/>
    <s v="M "/>
    <x v="2"/>
    <x v="31"/>
    <s v="PSES Mid Prog21Duty43 S275"/>
    <x v="1"/>
    <s v="43"/>
    <n v="43"/>
    <m/>
    <s v="   "/>
    <n v="0.14000000000000001"/>
    <n v="0.2019"/>
    <n v="2.8000000000000001E-2"/>
    <x v="27"/>
  </r>
  <r>
    <s v="32363"/>
    <x v="232"/>
    <s v="Personnel"/>
    <s v="H "/>
    <x v="1"/>
    <x v="44"/>
    <s v="PSES High Prog01Duty44 S275"/>
    <x v="0"/>
    <s v="44"/>
    <n v="44"/>
    <m/>
    <s v="   "/>
    <n v="0.5"/>
    <n v="0.2019"/>
    <n v="0"/>
    <x v="34"/>
  </r>
  <r>
    <s v="32363"/>
    <x v="232"/>
    <s v="Personnel"/>
    <s v="E "/>
    <x v="0"/>
    <x v="20"/>
    <s v="PSES Elem Prog21Duty45 S275"/>
    <x v="1"/>
    <s v="45"/>
    <n v="45"/>
    <m/>
    <s v="   "/>
    <n v="2.5"/>
    <n v="0.2019"/>
    <n v="0.505"/>
    <x v="17"/>
  </r>
  <r>
    <s v="32363"/>
    <x v="232"/>
    <s v="Personnel"/>
    <s v="H "/>
    <x v="1"/>
    <x v="21"/>
    <s v="PSES High Prog21Duty45 S275"/>
    <x v="1"/>
    <s v="45"/>
    <n v="45"/>
    <m/>
    <s v="   "/>
    <n v="0.1"/>
    <n v="0.2019"/>
    <n v="0.02"/>
    <x v="18"/>
  </r>
  <r>
    <s v="32363"/>
    <x v="232"/>
    <s v="Personnel"/>
    <s v="E "/>
    <x v="0"/>
    <x v="22"/>
    <s v="PSES Elem Prog21Duty46 S275"/>
    <x v="1"/>
    <s v="46"/>
    <n v="46"/>
    <m/>
    <s v="   "/>
    <n v="1.48"/>
    <n v="0.2019"/>
    <n v="0.29899999999999999"/>
    <x v="19"/>
  </r>
  <r>
    <s v="32363"/>
    <x v="232"/>
    <s v="Personnel"/>
    <s v="H "/>
    <x v="1"/>
    <x v="23"/>
    <s v="PSES High Prog21Duty46 S275"/>
    <x v="1"/>
    <s v="46"/>
    <n v="46"/>
    <m/>
    <s v="   "/>
    <n v="1.8"/>
    <n v="0.2019"/>
    <n v="0.36299999999999999"/>
    <x v="20"/>
  </r>
  <r>
    <s v="32363"/>
    <x v="232"/>
    <s v="Personnel"/>
    <s v="M "/>
    <x v="2"/>
    <x v="24"/>
    <s v="PSES Mid Prog21Duty46 S275"/>
    <x v="1"/>
    <s v="46"/>
    <n v="46"/>
    <m/>
    <s v="   "/>
    <n v="1"/>
    <n v="0.2019"/>
    <n v="0.20200000000000001"/>
    <x v="21"/>
  </r>
  <r>
    <s v="32363"/>
    <x v="232"/>
    <s v="Personnel"/>
    <s v="E "/>
    <x v="0"/>
    <x v="32"/>
    <s v="PSES Elem Prog21Duty47 S275"/>
    <x v="1"/>
    <s v="47"/>
    <n v="47"/>
    <m/>
    <s v="   "/>
    <n v="0.23499999999999999"/>
    <n v="0.2019"/>
    <n v="4.7E-2"/>
    <x v="24"/>
  </r>
  <r>
    <s v="32363"/>
    <x v="232"/>
    <s v="Personnel"/>
    <s v="E "/>
    <x v="0"/>
    <x v="27"/>
    <s v="PSES Elem Prog01Duty47 S275"/>
    <x v="0"/>
    <s v="47"/>
    <n v="47"/>
    <m/>
    <s v="   "/>
    <n v="1.33"/>
    <n v="0.2019"/>
    <n v="0"/>
    <x v="24"/>
  </r>
  <r>
    <s v="32363"/>
    <x v="232"/>
    <s v="Personnel"/>
    <s v="H "/>
    <x v="1"/>
    <x v="61"/>
    <s v="PSES High Prog21Duty47 S275"/>
    <x v="1"/>
    <s v="47"/>
    <n v="47"/>
    <m/>
    <s v="   "/>
    <n v="0.3"/>
    <n v="0.2019"/>
    <n v="6.0999999999999999E-2"/>
    <x v="22"/>
  </r>
  <r>
    <s v="32363"/>
    <x v="232"/>
    <s v="Personnel"/>
    <s v="H "/>
    <x v="1"/>
    <x v="25"/>
    <s v="PSES High Prog01Duty47 S275"/>
    <x v="0"/>
    <s v="47"/>
    <n v="47"/>
    <m/>
    <s v="   "/>
    <n v="1.7"/>
    <n v="0.2019"/>
    <n v="0"/>
    <x v="22"/>
  </r>
  <r>
    <s v="32363"/>
    <x v="232"/>
    <s v="Personnel"/>
    <s v="E "/>
    <x v="0"/>
    <x v="35"/>
    <s v="PSES Elem Prog21Duty48 S275"/>
    <x v="1"/>
    <s v="48"/>
    <n v="48"/>
    <m/>
    <s v="   "/>
    <n v="0.39"/>
    <n v="0.2019"/>
    <n v="7.9000000000000001E-2"/>
    <x v="29"/>
  </r>
  <r>
    <s v="32363"/>
    <x v="232"/>
    <s v="Personnel"/>
    <s v="H "/>
    <x v="1"/>
    <x v="36"/>
    <s v="PSES High Prog21Duty48 S275"/>
    <x v="1"/>
    <s v="48"/>
    <n v="48"/>
    <m/>
    <s v="   "/>
    <n v="0.01"/>
    <n v="0.2019"/>
    <n v="2E-3"/>
    <x v="30"/>
  </r>
  <r>
    <s v="32363"/>
    <x v="232"/>
    <s v="Personnel"/>
    <s v="M "/>
    <x v="2"/>
    <x v="37"/>
    <s v="PSES Mid Prog21Duty48 S275"/>
    <x v="1"/>
    <s v="48"/>
    <n v="48"/>
    <m/>
    <s v="   "/>
    <n v="0.15"/>
    <n v="0.2019"/>
    <n v="0.03"/>
    <x v="31"/>
  </r>
  <r>
    <s v="32363"/>
    <x v="232"/>
    <s v="Personnel"/>
    <s v="E "/>
    <x v="0"/>
    <x v="26"/>
    <s v="PSES Elem Prog21Duty49 S275"/>
    <x v="1"/>
    <s v="49"/>
    <n v="49"/>
    <m/>
    <s v="   "/>
    <n v="5.3999999999999999E-2"/>
    <n v="0.2019"/>
    <n v="1.0999999999999999E-2"/>
    <x v="23"/>
  </r>
  <r>
    <s v="32363"/>
    <x v="232"/>
    <s v="Personnel"/>
    <s v="E "/>
    <x v="0"/>
    <x v="79"/>
    <s v="PSES Elem Prog01Duty49 S275"/>
    <x v="0"/>
    <s v="49"/>
    <n v="49"/>
    <m/>
    <s v="   "/>
    <n v="0.47599999999999998"/>
    <n v="0.2019"/>
    <n v="0"/>
    <x v="23"/>
  </r>
  <r>
    <s v="32363"/>
    <x v="232"/>
    <s v="Personnel"/>
    <s v="H "/>
    <x v="1"/>
    <x v="55"/>
    <s v="PSES High Prog21Duty49 S275"/>
    <x v="1"/>
    <s v="49"/>
    <n v="49"/>
    <m/>
    <s v="   "/>
    <n v="1.4999999999999999E-2"/>
    <n v="0.2019"/>
    <n v="3.0000000000000001E-3"/>
    <x v="37"/>
  </r>
  <r>
    <s v="32363"/>
    <x v="232"/>
    <s v="Personnel"/>
    <s v="H "/>
    <x v="1"/>
    <x v="68"/>
    <s v="PSES High Prog01Duty49 S275"/>
    <x v="0"/>
    <s v="49"/>
    <n v="49"/>
    <m/>
    <s v="   "/>
    <n v="0.17"/>
    <n v="0.2019"/>
    <n v="0"/>
    <x v="37"/>
  </r>
  <r>
    <s v="32363"/>
    <x v="232"/>
    <s v="Personnel"/>
    <s v="M "/>
    <x v="2"/>
    <x v="50"/>
    <s v="PSES Mid Prog21Duty49 S275"/>
    <x v="1"/>
    <s v="49"/>
    <n v="49"/>
    <m/>
    <s v="   "/>
    <n v="2.1000000000000001E-2"/>
    <n v="0.2019"/>
    <n v="4.0000000000000001E-3"/>
    <x v="36"/>
  </r>
  <r>
    <s v="32363"/>
    <x v="232"/>
    <s v="Personnel"/>
    <s v="M "/>
    <x v="2"/>
    <x v="89"/>
    <s v="PSES Mid Prog01Duty49 S275"/>
    <x v="0"/>
    <s v="49"/>
    <n v="49"/>
    <m/>
    <s v="   "/>
    <n v="0.20399999999999999"/>
    <n v="0.2019"/>
    <n v="0"/>
    <x v="36"/>
  </r>
  <r>
    <s v="32414"/>
    <x v="233"/>
    <s v="Personnel"/>
    <s v="H "/>
    <x v="1"/>
    <x v="4"/>
    <s v="PSES High Prog21Act25 S275"/>
    <x v="1"/>
    <s v="25"/>
    <m/>
    <n v="25"/>
    <s v="   "/>
    <n v="1.1240000000000001"/>
    <n v="0.23830000000000001"/>
    <n v="0.26800000000000002"/>
    <x v="4"/>
  </r>
  <r>
    <s v="32414"/>
    <x v="233"/>
    <s v="Personnel"/>
    <s v="H "/>
    <x v="1"/>
    <x v="5"/>
    <s v="PSES High Prog01Act25 S275"/>
    <x v="0"/>
    <s v="25"/>
    <m/>
    <n v="25"/>
    <s v="   "/>
    <n v="0.68100000000000005"/>
    <n v="0.23830000000000001"/>
    <n v="0"/>
    <x v="4"/>
  </r>
  <r>
    <s v="32414"/>
    <x v="233"/>
    <s v="Personnel"/>
    <s v="H "/>
    <x v="1"/>
    <x v="9"/>
    <s v="PSES High Prog01Act26 S275"/>
    <x v="0"/>
    <s v="26"/>
    <m/>
    <n v="26"/>
    <s v="   "/>
    <n v="1.782"/>
    <n v="0.23830000000000001"/>
    <n v="0"/>
    <x v="7"/>
  </r>
  <r>
    <s v="32414"/>
    <x v="233"/>
    <s v="Personnel"/>
    <s v="E "/>
    <x v="0"/>
    <x v="15"/>
    <s v="PSES Elem Prog01Duty42 S275"/>
    <x v="0"/>
    <s v="42"/>
    <n v="42"/>
    <m/>
    <s v="   "/>
    <n v="2"/>
    <n v="0.23830000000000001"/>
    <n v="0"/>
    <x v="12"/>
  </r>
  <r>
    <s v="32414"/>
    <x v="233"/>
    <s v="Personnel"/>
    <s v="H "/>
    <x v="1"/>
    <x v="16"/>
    <s v="PSES High Prog01Duty42 S275"/>
    <x v="0"/>
    <s v="42"/>
    <n v="42"/>
    <m/>
    <s v="   "/>
    <n v="2"/>
    <n v="0.23830000000000001"/>
    <n v="0"/>
    <x v="13"/>
  </r>
  <r>
    <s v="32414"/>
    <x v="233"/>
    <s v="Personnel"/>
    <s v="M "/>
    <x v="2"/>
    <x v="17"/>
    <s v="PSES Mid Prog01Duty42 S275"/>
    <x v="0"/>
    <s v="42"/>
    <n v="42"/>
    <m/>
    <s v="   "/>
    <n v="1"/>
    <n v="0.23830000000000001"/>
    <n v="0"/>
    <x v="14"/>
  </r>
  <r>
    <s v="32414"/>
    <x v="233"/>
    <s v="Personnel"/>
    <s v="E "/>
    <x v="0"/>
    <x v="18"/>
    <s v="PSES Elem Prog21Duty43 S275"/>
    <x v="1"/>
    <s v="43"/>
    <n v="43"/>
    <m/>
    <s v="   "/>
    <n v="0.8"/>
    <n v="0.23830000000000001"/>
    <n v="0.191"/>
    <x v="15"/>
  </r>
  <r>
    <s v="32414"/>
    <x v="233"/>
    <s v="Personnel"/>
    <s v="M "/>
    <x v="2"/>
    <x v="31"/>
    <s v="PSES Mid Prog21Duty43 S275"/>
    <x v="1"/>
    <s v="43"/>
    <n v="43"/>
    <m/>
    <s v="   "/>
    <n v="0.05"/>
    <n v="0.23830000000000001"/>
    <n v="1.2E-2"/>
    <x v="27"/>
  </r>
  <r>
    <s v="32414"/>
    <x v="233"/>
    <s v="Personnel"/>
    <s v="E "/>
    <x v="0"/>
    <x v="20"/>
    <s v="PSES Elem Prog21Duty45 S275"/>
    <x v="1"/>
    <s v="45"/>
    <n v="45"/>
    <m/>
    <s v="   "/>
    <n v="2"/>
    <n v="0.23830000000000001"/>
    <n v="0.47699999999999998"/>
    <x v="17"/>
  </r>
  <r>
    <s v="32414"/>
    <x v="233"/>
    <s v="Personnel"/>
    <s v="H "/>
    <x v="1"/>
    <x v="21"/>
    <s v="PSES High Prog21Duty45 S275"/>
    <x v="1"/>
    <s v="45"/>
    <n v="45"/>
    <m/>
    <s v="   "/>
    <n v="0.08"/>
    <n v="0.23830000000000001"/>
    <n v="1.9E-2"/>
    <x v="18"/>
  </r>
  <r>
    <s v="32414"/>
    <x v="233"/>
    <s v="Personnel"/>
    <s v="M "/>
    <x v="2"/>
    <x v="28"/>
    <s v="PSES Mid Prog21Duty45 S275"/>
    <x v="1"/>
    <s v="45"/>
    <n v="45"/>
    <m/>
    <s v="   "/>
    <n v="0.16"/>
    <n v="0.23830000000000001"/>
    <n v="3.7999999999999999E-2"/>
    <x v="25"/>
  </r>
  <r>
    <s v="32414"/>
    <x v="233"/>
    <s v="Personnel"/>
    <s v="E "/>
    <x v="0"/>
    <x v="22"/>
    <s v="PSES Elem Prog21Duty46 S275"/>
    <x v="1"/>
    <s v="46"/>
    <n v="46"/>
    <m/>
    <s v="   "/>
    <n v="1.8"/>
    <n v="0.23830000000000001"/>
    <n v="0.42899999999999999"/>
    <x v="19"/>
  </r>
  <r>
    <s v="32414"/>
    <x v="233"/>
    <s v="Personnel"/>
    <s v="E "/>
    <x v="0"/>
    <x v="48"/>
    <s v="PSES Elem Prog01Duty46 S275"/>
    <x v="0"/>
    <s v="46"/>
    <n v="46"/>
    <m/>
    <s v="   "/>
    <n v="0.2"/>
    <n v="0.23830000000000001"/>
    <n v="0"/>
    <x v="19"/>
  </r>
  <r>
    <s v="32414"/>
    <x v="233"/>
    <s v="Personnel"/>
    <s v="H "/>
    <x v="1"/>
    <x v="23"/>
    <s v="PSES High Prog21Duty46 S275"/>
    <x v="1"/>
    <s v="46"/>
    <n v="46"/>
    <m/>
    <s v="   "/>
    <n v="0.9"/>
    <n v="0.23830000000000001"/>
    <n v="0.214"/>
    <x v="20"/>
  </r>
  <r>
    <s v="32414"/>
    <x v="233"/>
    <s v="Personnel"/>
    <s v="M "/>
    <x v="2"/>
    <x v="49"/>
    <s v="PSES Mid Prog01Duty46 S275"/>
    <x v="0"/>
    <s v="46"/>
    <n v="46"/>
    <m/>
    <s v="   "/>
    <n v="0.1"/>
    <n v="0.23830000000000001"/>
    <n v="0"/>
    <x v="21"/>
  </r>
  <r>
    <s v="32414"/>
    <x v="233"/>
    <s v="Personnel"/>
    <s v="E "/>
    <x v="0"/>
    <x v="27"/>
    <s v="PSES Elem Prog01Duty47 S275"/>
    <x v="0"/>
    <s v="47"/>
    <n v="47"/>
    <m/>
    <s v="   "/>
    <n v="0.56000000000000005"/>
    <n v="0.23830000000000001"/>
    <n v="0"/>
    <x v="24"/>
  </r>
  <r>
    <s v="32414"/>
    <x v="233"/>
    <s v="Personnel"/>
    <s v="H "/>
    <x v="1"/>
    <x v="25"/>
    <s v="PSES High Prog01Duty47 S275"/>
    <x v="0"/>
    <s v="47"/>
    <n v="47"/>
    <m/>
    <s v="   "/>
    <n v="0.3"/>
    <n v="0.23830000000000001"/>
    <n v="0"/>
    <x v="22"/>
  </r>
  <r>
    <s v="32414"/>
    <x v="233"/>
    <s v="Personnel"/>
    <s v="M "/>
    <x v="2"/>
    <x v="34"/>
    <s v="PSES Mid Prog01Duty47 S275"/>
    <x v="0"/>
    <s v="47"/>
    <n v="47"/>
    <m/>
    <s v="   "/>
    <n v="0.14000000000000001"/>
    <n v="0.23830000000000001"/>
    <n v="0"/>
    <x v="28"/>
  </r>
  <r>
    <s v="32414"/>
    <x v="233"/>
    <s v="Personnel"/>
    <s v="E "/>
    <x v="0"/>
    <x v="35"/>
    <s v="PSES Elem Prog21Duty48 S275"/>
    <x v="1"/>
    <s v="48"/>
    <n v="48"/>
    <m/>
    <s v="   "/>
    <n v="0.6"/>
    <n v="0.23830000000000001"/>
    <n v="0.14299999999999999"/>
    <x v="29"/>
  </r>
  <r>
    <s v="32414"/>
    <x v="233"/>
    <s v="Personnel"/>
    <s v="M "/>
    <x v="2"/>
    <x v="37"/>
    <s v="PSES Mid Prog21Duty48 S275"/>
    <x v="1"/>
    <s v="48"/>
    <n v="48"/>
    <m/>
    <s v="   "/>
    <n v="0.09"/>
    <n v="0.23830000000000001"/>
    <n v="2.1000000000000001E-2"/>
    <x v="31"/>
  </r>
  <r>
    <s v="32416"/>
    <x v="234"/>
    <s v="Personnel"/>
    <s v="E "/>
    <x v="0"/>
    <x v="3"/>
    <s v="PSES Elem Prog01Act25 S275"/>
    <x v="0"/>
    <s v="25"/>
    <m/>
    <n v="25"/>
    <s v="   "/>
    <n v="0.73899999999999999"/>
    <n v="0.2944"/>
    <n v="0"/>
    <x v="3"/>
  </r>
  <r>
    <s v="32416"/>
    <x v="234"/>
    <s v="Personnel"/>
    <s v="H "/>
    <x v="1"/>
    <x v="4"/>
    <s v="PSES High Prog21Act25 S275"/>
    <x v="1"/>
    <s v="25"/>
    <m/>
    <n v="25"/>
    <s v="   "/>
    <n v="3.6999999999999998E-2"/>
    <n v="0.2944"/>
    <n v="1.0999999999999999E-2"/>
    <x v="4"/>
  </r>
  <r>
    <s v="32416"/>
    <x v="234"/>
    <s v="Personnel"/>
    <s v="H "/>
    <x v="1"/>
    <x v="5"/>
    <s v="PSES High Prog01Act25 S275"/>
    <x v="0"/>
    <s v="25"/>
    <m/>
    <n v="25"/>
    <s v="   "/>
    <n v="1.9870000000000001"/>
    <n v="0.2944"/>
    <n v="0"/>
    <x v="4"/>
  </r>
  <r>
    <s v="32416"/>
    <x v="234"/>
    <s v="Personnel"/>
    <s v="H "/>
    <x v="1"/>
    <x v="29"/>
    <s v="PSES High Prog21Act26 S275"/>
    <x v="1"/>
    <s v="26"/>
    <m/>
    <n v="26"/>
    <s v="   "/>
    <n v="0.28899999999999998"/>
    <n v="0.2944"/>
    <n v="8.5000000000000006E-2"/>
    <x v="7"/>
  </r>
  <r>
    <s v="32416"/>
    <x v="234"/>
    <s v="Personnel"/>
    <s v="H "/>
    <x v="1"/>
    <x v="9"/>
    <s v="PSES High Prog01Act26 S275"/>
    <x v="0"/>
    <s v="26"/>
    <m/>
    <n v="26"/>
    <s v="   "/>
    <n v="3.6240000000000001"/>
    <n v="0.2944"/>
    <n v="0"/>
    <x v="7"/>
  </r>
  <r>
    <s v="32416"/>
    <x v="234"/>
    <s v="Personnel"/>
    <s v="E "/>
    <x v="0"/>
    <x v="15"/>
    <s v="PSES Elem Prog01Duty42 S275"/>
    <x v="0"/>
    <s v="42"/>
    <n v="42"/>
    <m/>
    <s v="   "/>
    <n v="1.6"/>
    <n v="0.2944"/>
    <n v="0"/>
    <x v="12"/>
  </r>
  <r>
    <s v="32416"/>
    <x v="234"/>
    <s v="Personnel"/>
    <s v="H "/>
    <x v="1"/>
    <x v="16"/>
    <s v="PSES High Prog01Duty42 S275"/>
    <x v="0"/>
    <s v="42"/>
    <n v="42"/>
    <m/>
    <s v="   "/>
    <n v="2.2000000000000002"/>
    <n v="0.2944"/>
    <n v="0"/>
    <x v="13"/>
  </r>
  <r>
    <s v="32416"/>
    <x v="234"/>
    <s v="Personnel"/>
    <s v="M "/>
    <x v="2"/>
    <x v="17"/>
    <s v="PSES Mid Prog01Duty42 S275"/>
    <x v="0"/>
    <s v="42"/>
    <n v="42"/>
    <m/>
    <s v="   "/>
    <n v="1"/>
    <n v="0.2944"/>
    <n v="0"/>
    <x v="14"/>
  </r>
  <r>
    <s v="32416"/>
    <x v="234"/>
    <s v="Personnel"/>
    <s v="E "/>
    <x v="0"/>
    <x v="18"/>
    <s v="PSES Elem Prog21Duty43 S275"/>
    <x v="1"/>
    <s v="43"/>
    <n v="43"/>
    <m/>
    <s v="   "/>
    <n v="0.185"/>
    <n v="0.2944"/>
    <n v="5.3999999999999999E-2"/>
    <x v="15"/>
  </r>
  <r>
    <s v="32416"/>
    <x v="234"/>
    <s v="Personnel"/>
    <s v="H "/>
    <x v="1"/>
    <x v="19"/>
    <s v="PSES High Prog21Duty43 S275"/>
    <x v="1"/>
    <s v="43"/>
    <n v="43"/>
    <m/>
    <s v="   "/>
    <n v="0.111"/>
    <n v="0.2944"/>
    <n v="3.3000000000000002E-2"/>
    <x v="16"/>
  </r>
  <r>
    <s v="32416"/>
    <x v="234"/>
    <s v="Personnel"/>
    <s v="M "/>
    <x v="2"/>
    <x v="31"/>
    <s v="PSES Mid Prog21Duty43 S275"/>
    <x v="1"/>
    <s v="43"/>
    <n v="43"/>
    <m/>
    <s v="   "/>
    <n v="0.14799999999999999"/>
    <n v="0.2944"/>
    <n v="4.3999999999999997E-2"/>
    <x v="27"/>
  </r>
  <r>
    <s v="32416"/>
    <x v="234"/>
    <s v="Personnel"/>
    <s v="E "/>
    <x v="0"/>
    <x v="20"/>
    <s v="PSES Elem Prog21Duty45 S275"/>
    <x v="1"/>
    <s v="45"/>
    <n v="45"/>
    <m/>
    <s v="   "/>
    <n v="2"/>
    <n v="0.2944"/>
    <n v="0.58899999999999997"/>
    <x v="17"/>
  </r>
  <r>
    <s v="32416"/>
    <x v="234"/>
    <s v="Personnel"/>
    <s v="E "/>
    <x v="0"/>
    <x v="22"/>
    <s v="PSES Elem Prog21Duty46 S275"/>
    <x v="1"/>
    <s v="46"/>
    <n v="46"/>
    <m/>
    <s v="   "/>
    <n v="1"/>
    <n v="0.2944"/>
    <n v="0.29399999999999998"/>
    <x v="19"/>
  </r>
  <r>
    <s v="32416"/>
    <x v="234"/>
    <s v="Personnel"/>
    <s v="H "/>
    <x v="1"/>
    <x v="23"/>
    <s v="PSES High Prog21Duty46 S275"/>
    <x v="1"/>
    <s v="46"/>
    <n v="46"/>
    <m/>
    <s v="   "/>
    <n v="0.6"/>
    <n v="0.2944"/>
    <n v="0.17699999999999999"/>
    <x v="20"/>
  </r>
  <r>
    <s v="32416"/>
    <x v="234"/>
    <s v="Personnel"/>
    <s v="M "/>
    <x v="2"/>
    <x v="24"/>
    <s v="PSES Mid Prog21Duty46 S275"/>
    <x v="1"/>
    <s v="46"/>
    <n v="46"/>
    <m/>
    <s v="   "/>
    <n v="0.4"/>
    <n v="0.2944"/>
    <n v="0.11799999999999999"/>
    <x v="21"/>
  </r>
  <r>
    <s v="32416"/>
    <x v="234"/>
    <s v="Personnel"/>
    <s v="E "/>
    <x v="0"/>
    <x v="35"/>
    <s v="PSES Elem Prog21Duty48 S275"/>
    <x v="1"/>
    <s v="48"/>
    <n v="48"/>
    <m/>
    <s v="   "/>
    <n v="0.66500000000000004"/>
    <n v="0.2944"/>
    <n v="0.19600000000000001"/>
    <x v="29"/>
  </r>
  <r>
    <s v="32416"/>
    <x v="234"/>
    <s v="Personnel"/>
    <s v="H "/>
    <x v="1"/>
    <x v="36"/>
    <s v="PSES High Prog21Duty48 S275"/>
    <x v="1"/>
    <s v="48"/>
    <n v="48"/>
    <m/>
    <s v="   "/>
    <n v="0.05"/>
    <n v="0.2944"/>
    <n v="1.4999999999999999E-2"/>
    <x v="30"/>
  </r>
  <r>
    <s v="32416"/>
    <x v="234"/>
    <s v="Personnel"/>
    <s v="M "/>
    <x v="2"/>
    <x v="37"/>
    <s v="PSES Mid Prog21Duty48 S275"/>
    <x v="1"/>
    <s v="48"/>
    <n v="48"/>
    <m/>
    <s v="   "/>
    <n v="3.5000000000000003E-2"/>
    <n v="0.2944"/>
    <n v="0.01"/>
    <x v="31"/>
  </r>
  <r>
    <s v="32901"/>
    <x v="235"/>
    <s v="Personnel"/>
    <s v="H "/>
    <x v="1"/>
    <x v="9"/>
    <s v="PSES High Prog01Act26 S275"/>
    <x v="0"/>
    <s v="26"/>
    <m/>
    <n v="26"/>
    <s v="   "/>
    <n v="0.76200000000000001"/>
    <n v="9.5299999999999996E-2"/>
    <n v="0"/>
    <x v="7"/>
  </r>
  <r>
    <s v="32901"/>
    <x v="235"/>
    <s v="Personnel"/>
    <s v="E "/>
    <x v="0"/>
    <x v="15"/>
    <s v="PSES Elem Prog01Duty42 S275"/>
    <x v="0"/>
    <s v="42"/>
    <n v="42"/>
    <m/>
    <s v="   "/>
    <n v="1.5"/>
    <n v="9.5299999999999996E-2"/>
    <n v="0"/>
    <x v="12"/>
  </r>
  <r>
    <s v="32901"/>
    <x v="235"/>
    <s v="Personnel"/>
    <s v="H "/>
    <x v="1"/>
    <x v="16"/>
    <s v="PSES High Prog01Duty42 S275"/>
    <x v="0"/>
    <s v="42"/>
    <n v="42"/>
    <m/>
    <s v="   "/>
    <n v="0.5"/>
    <n v="9.5299999999999996E-2"/>
    <n v="0"/>
    <x v="13"/>
  </r>
  <r>
    <s v="32901"/>
    <x v="235"/>
    <s v="Personnel"/>
    <s v="M "/>
    <x v="2"/>
    <x v="17"/>
    <s v="PSES Mid Prog01Duty42 S275"/>
    <x v="0"/>
    <s v="42"/>
    <n v="42"/>
    <m/>
    <s v="   "/>
    <n v="1"/>
    <n v="9.5299999999999996E-2"/>
    <n v="0"/>
    <x v="14"/>
  </r>
  <r>
    <s v="32901"/>
    <x v="235"/>
    <s v="Personnel"/>
    <s v="E "/>
    <x v="0"/>
    <x v="20"/>
    <s v="PSES Elem Prog21Duty45 S275"/>
    <x v="1"/>
    <s v="45"/>
    <n v="45"/>
    <m/>
    <s v="   "/>
    <n v="1"/>
    <n v="9.5299999999999996E-2"/>
    <n v="9.5000000000000001E-2"/>
    <x v="17"/>
  </r>
  <r>
    <s v="32903"/>
    <x v="236"/>
    <s v="Personnel"/>
    <s v="H "/>
    <x v="1"/>
    <x v="16"/>
    <s v="PSES High Prog01Duty42 S275"/>
    <x v="0"/>
    <s v="42"/>
    <n v="42"/>
    <m/>
    <s v="   "/>
    <n v="0.86"/>
    <n v="0.13"/>
    <n v="0"/>
    <x v="13"/>
  </r>
  <r>
    <s v="32907"/>
    <x v="237"/>
    <s v="Personnel"/>
    <s v="H "/>
    <x v="1"/>
    <x v="57"/>
    <s v="PSES High Prog97Duty96 S275"/>
    <x v="2"/>
    <s v="24"/>
    <n v="96"/>
    <n v="24"/>
    <s v="   "/>
    <n v="1"/>
    <n v="0.12429999999999999"/>
    <n v="0"/>
    <x v="1"/>
  </r>
  <r>
    <s v="32907"/>
    <x v="237"/>
    <s v="Personnel"/>
    <s v="H "/>
    <x v="1"/>
    <x v="77"/>
    <s v="PSES High Prog21Duty42 S275"/>
    <x v="1"/>
    <s v="42"/>
    <n v="42"/>
    <m/>
    <s v="   "/>
    <n v="0.8"/>
    <n v="0.12429999999999999"/>
    <n v="9.9000000000000005E-2"/>
    <x v="13"/>
  </r>
  <r>
    <s v="32907"/>
    <x v="237"/>
    <s v="Personnel"/>
    <s v="H "/>
    <x v="1"/>
    <x v="16"/>
    <s v="PSES High Prog01Duty42 S275"/>
    <x v="0"/>
    <s v="42"/>
    <n v="42"/>
    <m/>
    <s v="   "/>
    <n v="1"/>
    <n v="0.12429999999999999"/>
    <n v="0"/>
    <x v="13"/>
  </r>
  <r>
    <s v="33030"/>
    <x v="238"/>
    <s v="Personnel"/>
    <s v="H "/>
    <x v="1"/>
    <x v="9"/>
    <s v="PSES High Prog01Act26 S275"/>
    <x v="0"/>
    <s v="26"/>
    <m/>
    <n v="26"/>
    <s v="   "/>
    <n v="0.1"/>
    <n v="0.17330000000000001"/>
    <n v="0"/>
    <x v="7"/>
  </r>
  <r>
    <s v="33036"/>
    <x v="239"/>
    <s v="Personnel"/>
    <s v="H "/>
    <x v="1"/>
    <x v="5"/>
    <s v="PSES High Prog01Act25 S275"/>
    <x v="0"/>
    <s v="25"/>
    <m/>
    <n v="25"/>
    <s v="   "/>
    <n v="0.1"/>
    <n v="0.2671"/>
    <n v="0"/>
    <x v="4"/>
  </r>
  <r>
    <s v="33036"/>
    <x v="239"/>
    <s v="Personnel"/>
    <s v="H "/>
    <x v="1"/>
    <x v="9"/>
    <s v="PSES High Prog01Act26 S275"/>
    <x v="0"/>
    <s v="26"/>
    <m/>
    <n v="26"/>
    <s v="   "/>
    <n v="0.65900000000000003"/>
    <n v="0.2671"/>
    <n v="0"/>
    <x v="7"/>
  </r>
  <r>
    <s v="33036"/>
    <x v="239"/>
    <s v="Personnel"/>
    <s v="E "/>
    <x v="0"/>
    <x v="15"/>
    <s v="PSES Elem Prog01Duty42 S275"/>
    <x v="0"/>
    <s v="42"/>
    <n v="42"/>
    <m/>
    <s v="   "/>
    <n v="0.55000000000000004"/>
    <n v="0.2671"/>
    <n v="0"/>
    <x v="12"/>
  </r>
  <r>
    <s v="33036"/>
    <x v="239"/>
    <s v="Personnel"/>
    <s v="H "/>
    <x v="1"/>
    <x v="16"/>
    <s v="PSES High Prog01Duty42 S275"/>
    <x v="0"/>
    <s v="42"/>
    <n v="42"/>
    <m/>
    <s v="   "/>
    <n v="0.78"/>
    <n v="0.2671"/>
    <n v="0"/>
    <x v="13"/>
  </r>
  <r>
    <s v="33036"/>
    <x v="239"/>
    <s v="Personnel"/>
    <s v="E "/>
    <x v="0"/>
    <x v="20"/>
    <s v="PSES Elem Prog21Duty45 S275"/>
    <x v="1"/>
    <s v="45"/>
    <n v="45"/>
    <m/>
    <s v="   "/>
    <n v="0.81200000000000006"/>
    <n v="0.2671"/>
    <n v="0.217"/>
    <x v="17"/>
  </r>
  <r>
    <s v="33036"/>
    <x v="239"/>
    <s v="Personnel"/>
    <s v="H "/>
    <x v="1"/>
    <x v="21"/>
    <s v="PSES High Prog21Duty45 S275"/>
    <x v="1"/>
    <s v="45"/>
    <n v="45"/>
    <m/>
    <s v="   "/>
    <n v="8.3000000000000004E-2"/>
    <n v="0.2671"/>
    <n v="2.1999999999999999E-2"/>
    <x v="18"/>
  </r>
  <r>
    <s v="33036"/>
    <x v="239"/>
    <s v="Personnel"/>
    <s v="M "/>
    <x v="2"/>
    <x v="28"/>
    <s v="PSES Mid Prog21Duty45 S275"/>
    <x v="1"/>
    <s v="45"/>
    <n v="45"/>
    <m/>
    <s v="   "/>
    <n v="6.3E-2"/>
    <n v="0.2671"/>
    <n v="1.7000000000000001E-2"/>
    <x v="25"/>
  </r>
  <r>
    <s v="33036"/>
    <x v="239"/>
    <s v="Personnel"/>
    <s v="E "/>
    <x v="0"/>
    <x v="22"/>
    <s v="PSES Elem Prog21Duty46 S275"/>
    <x v="1"/>
    <s v="46"/>
    <n v="46"/>
    <m/>
    <s v="   "/>
    <n v="0.50900000000000001"/>
    <n v="0.2671"/>
    <n v="0.13600000000000001"/>
    <x v="19"/>
  </r>
  <r>
    <s v="33036"/>
    <x v="239"/>
    <s v="Personnel"/>
    <s v="H "/>
    <x v="1"/>
    <x v="23"/>
    <s v="PSES High Prog21Duty46 S275"/>
    <x v="1"/>
    <s v="46"/>
    <n v="46"/>
    <m/>
    <s v="   "/>
    <n v="0.254"/>
    <n v="0.2671"/>
    <n v="6.8000000000000005E-2"/>
    <x v="20"/>
  </r>
  <r>
    <s v="33036"/>
    <x v="239"/>
    <s v="Personnel"/>
    <s v="M "/>
    <x v="2"/>
    <x v="24"/>
    <s v="PSES Mid Prog21Duty46 S275"/>
    <x v="1"/>
    <s v="46"/>
    <n v="46"/>
    <m/>
    <s v="   "/>
    <n v="0.221"/>
    <n v="0.2671"/>
    <n v="5.8999999999999997E-2"/>
    <x v="21"/>
  </r>
  <r>
    <s v="33036"/>
    <x v="239"/>
    <s v="Personnel"/>
    <s v="E "/>
    <x v="0"/>
    <x v="27"/>
    <s v="PSES Elem Prog01Duty47 S275"/>
    <x v="0"/>
    <s v="47"/>
    <n v="47"/>
    <m/>
    <s v="   "/>
    <n v="0.54"/>
    <n v="0.2671"/>
    <n v="0"/>
    <x v="24"/>
  </r>
  <r>
    <s v="33036"/>
    <x v="239"/>
    <s v="Personnel"/>
    <s v="H "/>
    <x v="1"/>
    <x v="25"/>
    <s v="PSES High Prog01Duty47 S275"/>
    <x v="0"/>
    <s v="47"/>
    <n v="47"/>
    <m/>
    <s v="   "/>
    <n v="0.31"/>
    <n v="0.2671"/>
    <n v="0"/>
    <x v="22"/>
  </r>
  <r>
    <s v="33036"/>
    <x v="239"/>
    <s v="Personnel"/>
    <s v="M "/>
    <x v="2"/>
    <x v="34"/>
    <s v="PSES Mid Prog01Duty47 S275"/>
    <x v="0"/>
    <s v="47"/>
    <n v="47"/>
    <m/>
    <s v="   "/>
    <n v="0.15"/>
    <n v="0.2671"/>
    <n v="0"/>
    <x v="28"/>
  </r>
  <r>
    <s v="33049"/>
    <x v="240"/>
    <s v="Personnel"/>
    <s v="E "/>
    <x v="0"/>
    <x v="15"/>
    <s v="PSES Elem Prog01Duty42 S275"/>
    <x v="0"/>
    <s v="42"/>
    <n v="42"/>
    <m/>
    <s v="   "/>
    <n v="1"/>
    <n v="0.151"/>
    <n v="0"/>
    <x v="12"/>
  </r>
  <r>
    <s v="33049"/>
    <x v="240"/>
    <s v="Personnel"/>
    <s v="H "/>
    <x v="1"/>
    <x v="16"/>
    <s v="PSES High Prog01Duty42 S275"/>
    <x v="0"/>
    <s v="42"/>
    <n v="42"/>
    <m/>
    <s v="   "/>
    <n v="0.5"/>
    <n v="0.151"/>
    <n v="0"/>
    <x v="13"/>
  </r>
  <r>
    <s v="33049"/>
    <x v="240"/>
    <s v="Personnel"/>
    <s v="M "/>
    <x v="2"/>
    <x v="17"/>
    <s v="PSES Mid Prog01Duty42 S275"/>
    <x v="0"/>
    <s v="42"/>
    <n v="42"/>
    <m/>
    <s v="   "/>
    <n v="0.5"/>
    <n v="0.151"/>
    <n v="0"/>
    <x v="14"/>
  </r>
  <r>
    <s v="33070"/>
    <x v="241"/>
    <s v="Personnel"/>
    <s v="H "/>
    <x v="1"/>
    <x v="5"/>
    <s v="PSES High Prog01Act25 S275"/>
    <x v="0"/>
    <s v="25"/>
    <m/>
    <n v="25"/>
    <s v="   "/>
    <n v="1.365"/>
    <n v="0.1128"/>
    <n v="0"/>
    <x v="4"/>
  </r>
  <r>
    <s v="33070"/>
    <x v="241"/>
    <s v="Personnel"/>
    <s v="E "/>
    <x v="0"/>
    <x v="15"/>
    <s v="PSES Elem Prog01Duty42 S275"/>
    <x v="0"/>
    <s v="42"/>
    <n v="42"/>
    <m/>
    <s v="   "/>
    <n v="0.39"/>
    <n v="0.1128"/>
    <n v="0"/>
    <x v="12"/>
  </r>
  <r>
    <s v="33070"/>
    <x v="241"/>
    <s v="Personnel"/>
    <s v="H "/>
    <x v="1"/>
    <x v="16"/>
    <s v="PSES High Prog01Duty42 S275"/>
    <x v="0"/>
    <s v="42"/>
    <n v="42"/>
    <m/>
    <s v="   "/>
    <n v="0.4"/>
    <n v="0.1128"/>
    <n v="0"/>
    <x v="13"/>
  </r>
  <r>
    <s v="33070"/>
    <x v="241"/>
    <s v="Personnel"/>
    <s v="M "/>
    <x v="2"/>
    <x v="17"/>
    <s v="PSES Mid Prog01Duty42 S275"/>
    <x v="0"/>
    <s v="42"/>
    <n v="42"/>
    <m/>
    <s v="   "/>
    <n v="0.21"/>
    <n v="0.1128"/>
    <n v="0"/>
    <x v="14"/>
  </r>
  <r>
    <s v="33115"/>
    <x v="242"/>
    <s v="Personnel"/>
    <s v="E "/>
    <x v="0"/>
    <x v="7"/>
    <s v="PSES Elem Prog21Act26 S275"/>
    <x v="1"/>
    <s v="26"/>
    <m/>
    <n v="26"/>
    <s v="   "/>
    <n v="0.60599999999999998"/>
    <n v="0.22"/>
    <n v="0.13300000000000001"/>
    <x v="6"/>
  </r>
  <r>
    <s v="33115"/>
    <x v="242"/>
    <s v="Personnel"/>
    <s v="E "/>
    <x v="0"/>
    <x v="8"/>
    <s v="PSES Elem Prog01Act26 S275"/>
    <x v="0"/>
    <s v="26"/>
    <m/>
    <n v="26"/>
    <s v="   "/>
    <n v="0.70299999999999996"/>
    <n v="0.22"/>
    <n v="0"/>
    <x v="6"/>
  </r>
  <r>
    <s v="33115"/>
    <x v="242"/>
    <s v="Personnel"/>
    <s v="H "/>
    <x v="1"/>
    <x v="54"/>
    <s v="PSES High Prog01Act35 S275"/>
    <x v="0"/>
    <s v="35"/>
    <m/>
    <n v="35"/>
    <s v="   "/>
    <n v="0.5"/>
    <n v="0.22"/>
    <n v="0"/>
    <x v="9"/>
  </r>
  <r>
    <s v="33115"/>
    <x v="242"/>
    <s v="Personnel"/>
    <s v="E "/>
    <x v="0"/>
    <x v="15"/>
    <s v="PSES Elem Prog01Duty42 S275"/>
    <x v="0"/>
    <s v="42"/>
    <n v="42"/>
    <m/>
    <s v="   "/>
    <n v="2.33"/>
    <n v="0.22"/>
    <n v="0"/>
    <x v="12"/>
  </r>
  <r>
    <s v="33115"/>
    <x v="242"/>
    <s v="Personnel"/>
    <s v="H "/>
    <x v="1"/>
    <x v="16"/>
    <s v="PSES High Prog01Duty42 S275"/>
    <x v="0"/>
    <s v="42"/>
    <n v="42"/>
    <m/>
    <s v="   "/>
    <n v="2"/>
    <n v="0.22"/>
    <n v="0"/>
    <x v="13"/>
  </r>
  <r>
    <s v="33115"/>
    <x v="242"/>
    <s v="Personnel"/>
    <s v="M "/>
    <x v="2"/>
    <x v="17"/>
    <s v="PSES Mid Prog01Duty42 S275"/>
    <x v="0"/>
    <s v="42"/>
    <n v="42"/>
    <m/>
    <s v="   "/>
    <n v="0.67"/>
    <n v="0.22"/>
    <n v="0"/>
    <x v="14"/>
  </r>
  <r>
    <s v="33115"/>
    <x v="242"/>
    <s v="Personnel"/>
    <s v="E "/>
    <x v="0"/>
    <x v="20"/>
    <s v="PSES Elem Prog21Duty45 S275"/>
    <x v="1"/>
    <s v="45"/>
    <n v="45"/>
    <m/>
    <s v="   "/>
    <n v="2"/>
    <n v="0.22"/>
    <n v="0.44"/>
    <x v="17"/>
  </r>
  <r>
    <s v="33115"/>
    <x v="242"/>
    <s v="Personnel"/>
    <s v="E "/>
    <x v="0"/>
    <x v="27"/>
    <s v="PSES Elem Prog01Duty47 S275"/>
    <x v="0"/>
    <s v="47"/>
    <n v="47"/>
    <m/>
    <s v="   "/>
    <n v="1"/>
    <n v="0.22"/>
    <n v="0"/>
    <x v="24"/>
  </r>
  <r>
    <s v="33115"/>
    <x v="242"/>
    <s v="Personnel"/>
    <s v="H "/>
    <x v="1"/>
    <x v="25"/>
    <s v="PSES High Prog01Duty47 S275"/>
    <x v="0"/>
    <s v="47"/>
    <n v="47"/>
    <m/>
    <s v="   "/>
    <n v="1"/>
    <n v="0.22"/>
    <n v="0"/>
    <x v="22"/>
  </r>
  <r>
    <s v="33115"/>
    <x v="242"/>
    <s v="Personnel"/>
    <s v="E "/>
    <x v="0"/>
    <x v="35"/>
    <s v="PSES Elem Prog21Duty48 S275"/>
    <x v="1"/>
    <s v="48"/>
    <n v="48"/>
    <m/>
    <s v="   "/>
    <n v="0.5"/>
    <n v="0.22"/>
    <n v="0.11"/>
    <x v="29"/>
  </r>
  <r>
    <s v="33115"/>
    <x v="242"/>
    <s v="Personnel"/>
    <s v="H "/>
    <x v="1"/>
    <x v="36"/>
    <s v="PSES High Prog21Duty48 S275"/>
    <x v="1"/>
    <s v="48"/>
    <n v="48"/>
    <m/>
    <s v="   "/>
    <n v="0.28599999999999998"/>
    <n v="0.22"/>
    <n v="6.3E-2"/>
    <x v="30"/>
  </r>
  <r>
    <s v="33115"/>
    <x v="242"/>
    <s v="Personnel"/>
    <s v="M "/>
    <x v="2"/>
    <x v="37"/>
    <s v="PSES Mid Prog21Duty48 S275"/>
    <x v="1"/>
    <s v="48"/>
    <n v="48"/>
    <m/>
    <s v="   "/>
    <n v="0.14299999999999999"/>
    <n v="0.22"/>
    <n v="3.1E-2"/>
    <x v="31"/>
  </r>
  <r>
    <s v="33183"/>
    <x v="243"/>
    <s v="Personnel"/>
    <s v="E "/>
    <x v="0"/>
    <x v="0"/>
    <s v="PSES Elem Prog01Duty96 S275"/>
    <x v="0"/>
    <s v="24"/>
    <n v="96"/>
    <n v="24"/>
    <s v="   "/>
    <n v="0.315"/>
    <n v="0.23269999999999999"/>
    <n v="0"/>
    <x v="0"/>
  </r>
  <r>
    <s v="33202"/>
    <x v="244"/>
    <s v="Personnel"/>
    <s v="E "/>
    <x v="0"/>
    <x v="15"/>
    <s v="PSES Elem Prog01Duty42 S275"/>
    <x v="0"/>
    <s v="42"/>
    <n v="42"/>
    <m/>
    <s v="   "/>
    <n v="0.19600000000000001"/>
    <n v="0.10150000000000001"/>
    <n v="0"/>
    <x v="12"/>
  </r>
  <r>
    <s v="33202"/>
    <x v="244"/>
    <s v="Personnel"/>
    <s v="M "/>
    <x v="2"/>
    <x v="17"/>
    <s v="PSES Mid Prog01Duty42 S275"/>
    <x v="0"/>
    <s v="42"/>
    <n v="42"/>
    <m/>
    <s v="   "/>
    <n v="5.5E-2"/>
    <n v="0.10150000000000001"/>
    <n v="0"/>
    <x v="14"/>
  </r>
  <r>
    <s v="33205"/>
    <x v="245"/>
    <s v="Personnel"/>
    <s v="E "/>
    <x v="0"/>
    <x v="15"/>
    <s v="PSES Elem Prog01Duty42 S275"/>
    <x v="0"/>
    <s v="42"/>
    <n v="42"/>
    <m/>
    <s v="   "/>
    <n v="0.11899999999999999"/>
    <n v="0.08"/>
    <n v="0"/>
    <x v="12"/>
  </r>
  <r>
    <s v="33206"/>
    <x v="246"/>
    <s v="Personnel"/>
    <s v="H "/>
    <x v="1"/>
    <x v="16"/>
    <s v="PSES High Prog01Duty42 S275"/>
    <x v="0"/>
    <s v="42"/>
    <n v="42"/>
    <m/>
    <s v="   "/>
    <n v="0.15"/>
    <n v="0.1386"/>
    <n v="0"/>
    <x v="13"/>
  </r>
  <r>
    <s v="33206"/>
    <x v="246"/>
    <s v="Personnel"/>
    <s v="E "/>
    <x v="0"/>
    <x v="27"/>
    <s v="PSES Elem Prog01Duty47 S275"/>
    <x v="0"/>
    <s v="47"/>
    <n v="47"/>
    <m/>
    <s v="   "/>
    <n v="0.127"/>
    <n v="0.1386"/>
    <n v="0"/>
    <x v="24"/>
  </r>
  <r>
    <s v="33206"/>
    <x v="246"/>
    <s v="Personnel"/>
    <s v="H "/>
    <x v="1"/>
    <x v="25"/>
    <s v="PSES High Prog01Duty47 S275"/>
    <x v="0"/>
    <s v="47"/>
    <n v="47"/>
    <m/>
    <s v="   "/>
    <n v="7.2999999999999995E-2"/>
    <n v="0.1386"/>
    <n v="0"/>
    <x v="22"/>
  </r>
  <r>
    <s v="33206"/>
    <x v="246"/>
    <s v="Personnel"/>
    <s v="M "/>
    <x v="2"/>
    <x v="34"/>
    <s v="PSES Mid Prog01Duty47 S275"/>
    <x v="0"/>
    <s v="47"/>
    <n v="47"/>
    <m/>
    <s v="   "/>
    <n v="3.5000000000000003E-2"/>
    <n v="0.1386"/>
    <n v="0"/>
    <x v="28"/>
  </r>
  <r>
    <s v="33207"/>
    <x v="247"/>
    <s v="Personnel"/>
    <s v="H "/>
    <x v="1"/>
    <x v="9"/>
    <s v="PSES High Prog01Act26 S275"/>
    <x v="0"/>
    <s v="26"/>
    <m/>
    <n v="26"/>
    <s v="   "/>
    <n v="0.38700000000000001"/>
    <n v="0.16839999999999999"/>
    <n v="0"/>
    <x v="7"/>
  </r>
  <r>
    <s v="33207"/>
    <x v="247"/>
    <s v="Personnel"/>
    <s v="H "/>
    <x v="1"/>
    <x v="16"/>
    <s v="PSES High Prog01Duty42 S275"/>
    <x v="0"/>
    <s v="42"/>
    <n v="42"/>
    <m/>
    <s v="   "/>
    <n v="0.42299999999999999"/>
    <n v="0.16839999999999999"/>
    <n v="0"/>
    <x v="13"/>
  </r>
  <r>
    <s v="33211"/>
    <x v="248"/>
    <s v="Personnel"/>
    <s v="E "/>
    <x v="0"/>
    <x v="7"/>
    <s v="PSES Elem Prog21Act26 S275"/>
    <x v="1"/>
    <s v="26"/>
    <m/>
    <n v="26"/>
    <s v="   "/>
    <n v="0.42399999999999999"/>
    <n v="0.15840000000000001"/>
    <n v="6.7000000000000004E-2"/>
    <x v="6"/>
  </r>
  <r>
    <s v="33211"/>
    <x v="248"/>
    <s v="Personnel"/>
    <s v="E "/>
    <x v="0"/>
    <x v="8"/>
    <s v="PSES Elem Prog01Act26 S275"/>
    <x v="0"/>
    <s v="26"/>
    <m/>
    <n v="26"/>
    <s v="   "/>
    <n v="0.224"/>
    <n v="0.15840000000000001"/>
    <n v="0"/>
    <x v="6"/>
  </r>
  <r>
    <s v="33211"/>
    <x v="248"/>
    <s v="Personnel"/>
    <s v="H "/>
    <x v="1"/>
    <x v="9"/>
    <s v="PSES High Prog01Act26 S275"/>
    <x v="0"/>
    <s v="26"/>
    <m/>
    <n v="26"/>
    <s v="   "/>
    <n v="3.2000000000000001E-2"/>
    <n v="0.15840000000000001"/>
    <n v="0"/>
    <x v="7"/>
  </r>
  <r>
    <s v="33211"/>
    <x v="248"/>
    <s v="Personnel"/>
    <s v="M "/>
    <x v="2"/>
    <x v="11"/>
    <s v="PSES Mid Prog01Act26 S275"/>
    <x v="0"/>
    <s v="26"/>
    <m/>
    <n v="26"/>
    <s v="   "/>
    <n v="3.2000000000000001E-2"/>
    <n v="0.15840000000000001"/>
    <n v="0"/>
    <x v="8"/>
  </r>
  <r>
    <s v="33212"/>
    <x v="249"/>
    <s v="Personnel"/>
    <s v="H "/>
    <x v="1"/>
    <x v="29"/>
    <s v="PSES High Prog21Act26 S275"/>
    <x v="1"/>
    <s v="26"/>
    <m/>
    <n v="26"/>
    <s v="   "/>
    <n v="0.39"/>
    <n v="0.2165"/>
    <n v="8.4000000000000005E-2"/>
    <x v="7"/>
  </r>
  <r>
    <s v="33212"/>
    <x v="249"/>
    <s v="Personnel"/>
    <s v="H "/>
    <x v="1"/>
    <x v="9"/>
    <s v="PSES High Prog01Act26 S275"/>
    <x v="0"/>
    <s v="26"/>
    <m/>
    <n v="26"/>
    <s v="   "/>
    <n v="0.72099999999999997"/>
    <n v="0.2165"/>
    <n v="0"/>
    <x v="7"/>
  </r>
  <r>
    <s v="33212"/>
    <x v="249"/>
    <s v="Personnel"/>
    <s v="H "/>
    <x v="1"/>
    <x v="54"/>
    <s v="PSES High Prog01Act35 S275"/>
    <x v="0"/>
    <s v="35"/>
    <m/>
    <n v="35"/>
    <s v="   "/>
    <n v="1.538"/>
    <n v="0.2165"/>
    <n v="0"/>
    <x v="9"/>
  </r>
  <r>
    <s v="33212"/>
    <x v="249"/>
    <s v="Personnel"/>
    <s v="E "/>
    <x v="0"/>
    <x v="15"/>
    <s v="PSES Elem Prog01Duty42 S275"/>
    <x v="0"/>
    <s v="42"/>
    <n v="42"/>
    <m/>
    <s v="   "/>
    <n v="1.5"/>
    <n v="0.2165"/>
    <n v="0"/>
    <x v="12"/>
  </r>
  <r>
    <s v="33212"/>
    <x v="249"/>
    <s v="Personnel"/>
    <s v="H "/>
    <x v="1"/>
    <x v="16"/>
    <s v="PSES High Prog01Duty42 S275"/>
    <x v="0"/>
    <s v="42"/>
    <n v="42"/>
    <m/>
    <s v="   "/>
    <n v="1"/>
    <n v="0.2165"/>
    <n v="0"/>
    <x v="13"/>
  </r>
  <r>
    <s v="33212"/>
    <x v="249"/>
    <s v="Personnel"/>
    <s v="M "/>
    <x v="2"/>
    <x v="17"/>
    <s v="PSES Mid Prog01Duty42 S275"/>
    <x v="0"/>
    <s v="42"/>
    <n v="42"/>
    <m/>
    <s v="   "/>
    <n v="0.5"/>
    <n v="0.2165"/>
    <n v="0"/>
    <x v="14"/>
  </r>
  <r>
    <s v="33212"/>
    <x v="249"/>
    <s v="Personnel"/>
    <s v="E "/>
    <x v="0"/>
    <x v="48"/>
    <s v="PSES Elem Prog01Duty46 S275"/>
    <x v="0"/>
    <s v="46"/>
    <n v="46"/>
    <m/>
    <s v="   "/>
    <n v="0.77700000000000002"/>
    <n v="0.2165"/>
    <n v="0"/>
    <x v="19"/>
  </r>
  <r>
    <s v="33212"/>
    <x v="249"/>
    <s v="Personnel"/>
    <s v="H "/>
    <x v="1"/>
    <x v="23"/>
    <s v="PSES High Prog21Duty46 S275"/>
    <x v="1"/>
    <s v="46"/>
    <n v="46"/>
    <m/>
    <s v="   "/>
    <n v="0.2"/>
    <n v="0.2165"/>
    <n v="4.2999999999999997E-2"/>
    <x v="20"/>
  </r>
  <r>
    <s v="33212"/>
    <x v="249"/>
    <s v="Personnel"/>
    <s v="M "/>
    <x v="2"/>
    <x v="24"/>
    <s v="PSES Mid Prog21Duty46 S275"/>
    <x v="1"/>
    <s v="46"/>
    <n v="46"/>
    <m/>
    <s v="   "/>
    <n v="0.1"/>
    <n v="0.2165"/>
    <n v="2.1999999999999999E-2"/>
    <x v="21"/>
  </r>
  <r>
    <s v="33212"/>
    <x v="249"/>
    <s v="Personnel"/>
    <s v="M "/>
    <x v="2"/>
    <x v="49"/>
    <s v="PSES Mid Prog01Duty46 S275"/>
    <x v="0"/>
    <s v="46"/>
    <n v="46"/>
    <m/>
    <s v="   "/>
    <n v="0.223"/>
    <n v="0.2165"/>
    <n v="0"/>
    <x v="21"/>
  </r>
  <r>
    <s v="34002"/>
    <x v="250"/>
    <s v="Personnel"/>
    <s v="H "/>
    <x v="1"/>
    <x v="4"/>
    <s v="PSES High Prog21Act25 S275"/>
    <x v="1"/>
    <s v="25"/>
    <m/>
    <n v="25"/>
    <s v="   "/>
    <n v="4.4329999999999998"/>
    <n v="0.24759999999999999"/>
    <n v="1.0980000000000001"/>
    <x v="4"/>
  </r>
  <r>
    <s v="34002"/>
    <x v="250"/>
    <s v="Personnel"/>
    <s v="H "/>
    <x v="1"/>
    <x v="5"/>
    <s v="PSES High Prog01Act25 S275"/>
    <x v="0"/>
    <s v="25"/>
    <m/>
    <n v="25"/>
    <s v="   "/>
    <n v="5.9569999999999999"/>
    <n v="0.24759999999999999"/>
    <n v="0"/>
    <x v="4"/>
  </r>
  <r>
    <s v="34002"/>
    <x v="250"/>
    <s v="Personnel"/>
    <s v="H "/>
    <x v="1"/>
    <x v="29"/>
    <s v="PSES High Prog21Act26 S275"/>
    <x v="1"/>
    <s v="26"/>
    <m/>
    <n v="26"/>
    <s v="   "/>
    <n v="0.95899999999999996"/>
    <n v="0.24759999999999999"/>
    <n v="0.23699999999999999"/>
    <x v="7"/>
  </r>
  <r>
    <s v="34002"/>
    <x v="250"/>
    <s v="Personnel"/>
    <s v="H "/>
    <x v="1"/>
    <x v="9"/>
    <s v="PSES High Prog01Act26 S275"/>
    <x v="0"/>
    <s v="26"/>
    <m/>
    <n v="26"/>
    <s v="   "/>
    <n v="4.758"/>
    <n v="0.24759999999999999"/>
    <n v="0"/>
    <x v="7"/>
  </r>
  <r>
    <s v="34002"/>
    <x v="250"/>
    <s v="Personnel"/>
    <s v="H "/>
    <x v="1"/>
    <x v="54"/>
    <s v="PSES High Prog01Act35 S275"/>
    <x v="0"/>
    <s v="35"/>
    <m/>
    <n v="35"/>
    <s v="   "/>
    <n v="2.1930000000000001"/>
    <n v="0.24759999999999999"/>
    <n v="0"/>
    <x v="9"/>
  </r>
  <r>
    <s v="34002"/>
    <x v="250"/>
    <s v="Personnel"/>
    <s v="E "/>
    <x v="0"/>
    <x v="15"/>
    <s v="PSES Elem Prog01Duty42 S275"/>
    <x v="0"/>
    <s v="42"/>
    <n v="42"/>
    <m/>
    <s v="   "/>
    <n v="3.29"/>
    <n v="0.24759999999999999"/>
    <n v="0"/>
    <x v="12"/>
  </r>
  <r>
    <s v="34002"/>
    <x v="250"/>
    <s v="Personnel"/>
    <s v="H "/>
    <x v="1"/>
    <x v="16"/>
    <s v="PSES High Prog01Duty42 S275"/>
    <x v="0"/>
    <s v="42"/>
    <n v="42"/>
    <m/>
    <s v="   "/>
    <n v="4"/>
    <n v="0.24759999999999999"/>
    <n v="0"/>
    <x v="13"/>
  </r>
  <r>
    <s v="34002"/>
    <x v="250"/>
    <s v="Personnel"/>
    <s v="M "/>
    <x v="2"/>
    <x v="17"/>
    <s v="PSES Mid Prog01Duty42 S275"/>
    <x v="0"/>
    <s v="42"/>
    <n v="42"/>
    <m/>
    <s v="   "/>
    <n v="3"/>
    <n v="0.24759999999999999"/>
    <n v="0"/>
    <x v="14"/>
  </r>
  <r>
    <s v="34002"/>
    <x v="250"/>
    <s v="Personnel"/>
    <s v="E "/>
    <x v="0"/>
    <x v="18"/>
    <s v="PSES Elem Prog21Duty43 S275"/>
    <x v="1"/>
    <s v="43"/>
    <n v="43"/>
    <m/>
    <s v="   "/>
    <n v="0.66600000000000004"/>
    <n v="0.24759999999999999"/>
    <n v="0.16500000000000001"/>
    <x v="15"/>
  </r>
  <r>
    <s v="34002"/>
    <x v="250"/>
    <s v="Personnel"/>
    <s v="H "/>
    <x v="1"/>
    <x v="19"/>
    <s v="PSES High Prog21Duty43 S275"/>
    <x v="1"/>
    <s v="43"/>
    <n v="43"/>
    <m/>
    <s v="   "/>
    <n v="0.112"/>
    <n v="0.24759999999999999"/>
    <n v="2.8000000000000001E-2"/>
    <x v="16"/>
  </r>
  <r>
    <s v="34002"/>
    <x v="250"/>
    <s v="Personnel"/>
    <s v="M "/>
    <x v="2"/>
    <x v="31"/>
    <s v="PSES Mid Prog21Duty43 S275"/>
    <x v="1"/>
    <s v="43"/>
    <n v="43"/>
    <m/>
    <s v="   "/>
    <n v="0.111"/>
    <n v="0.24759999999999999"/>
    <n v="2.7E-2"/>
    <x v="27"/>
  </r>
  <r>
    <s v="34002"/>
    <x v="250"/>
    <s v="Personnel"/>
    <s v="E "/>
    <x v="0"/>
    <x v="20"/>
    <s v="PSES Elem Prog21Duty45 S275"/>
    <x v="1"/>
    <s v="45"/>
    <n v="45"/>
    <m/>
    <s v="   "/>
    <n v="3"/>
    <n v="0.24759999999999999"/>
    <n v="0.74299999999999999"/>
    <x v="17"/>
  </r>
  <r>
    <s v="34002"/>
    <x v="250"/>
    <s v="Personnel"/>
    <s v="E "/>
    <x v="0"/>
    <x v="22"/>
    <s v="PSES Elem Prog21Duty46 S275"/>
    <x v="1"/>
    <s v="46"/>
    <n v="46"/>
    <m/>
    <s v="   "/>
    <n v="2.6150000000000002"/>
    <n v="0.24759999999999999"/>
    <n v="0.64700000000000002"/>
    <x v="19"/>
  </r>
  <r>
    <s v="34002"/>
    <x v="250"/>
    <s v="Personnel"/>
    <s v="H "/>
    <x v="1"/>
    <x v="23"/>
    <s v="PSES High Prog21Duty46 S275"/>
    <x v="1"/>
    <s v="46"/>
    <n v="46"/>
    <m/>
    <s v="   "/>
    <n v="3.0880000000000001"/>
    <n v="0.24759999999999999"/>
    <n v="0.76500000000000001"/>
    <x v="20"/>
  </r>
  <r>
    <s v="34002"/>
    <x v="250"/>
    <s v="Personnel"/>
    <s v="M "/>
    <x v="2"/>
    <x v="24"/>
    <s v="PSES Mid Prog21Duty46 S275"/>
    <x v="1"/>
    <s v="46"/>
    <n v="46"/>
    <m/>
    <s v="   "/>
    <n v="1.1759999999999999"/>
    <n v="0.24759999999999999"/>
    <n v="0.29099999999999998"/>
    <x v="21"/>
  </r>
  <r>
    <s v="34002"/>
    <x v="250"/>
    <s v="Personnel"/>
    <s v="E "/>
    <x v="0"/>
    <x v="27"/>
    <s v="PSES Elem Prog01Duty47 S275"/>
    <x v="0"/>
    <s v="47"/>
    <n v="47"/>
    <m/>
    <s v="   "/>
    <n v="1.9379999999999999"/>
    <n v="0.24759999999999999"/>
    <n v="0"/>
    <x v="24"/>
  </r>
  <r>
    <s v="34002"/>
    <x v="250"/>
    <s v="Personnel"/>
    <s v="H "/>
    <x v="1"/>
    <x v="25"/>
    <s v="PSES High Prog01Duty47 S275"/>
    <x v="0"/>
    <s v="47"/>
    <n v="47"/>
    <m/>
    <s v="   "/>
    <n v="1.508"/>
    <n v="0.24759999999999999"/>
    <n v="0"/>
    <x v="22"/>
  </r>
  <r>
    <s v="34002"/>
    <x v="250"/>
    <s v="Personnel"/>
    <s v="M "/>
    <x v="2"/>
    <x v="34"/>
    <s v="PSES Mid Prog01Duty47 S275"/>
    <x v="0"/>
    <s v="47"/>
    <n v="47"/>
    <m/>
    <s v="   "/>
    <n v="0.55400000000000005"/>
    <n v="0.24759999999999999"/>
    <n v="0"/>
    <x v="28"/>
  </r>
  <r>
    <s v="34002"/>
    <x v="250"/>
    <s v="Personnel"/>
    <s v="E "/>
    <x v="0"/>
    <x v="35"/>
    <s v="PSES Elem Prog21Duty48 S275"/>
    <x v="1"/>
    <s v="48"/>
    <n v="48"/>
    <m/>
    <s v="   "/>
    <n v="1"/>
    <n v="0.24759999999999999"/>
    <n v="0.248"/>
    <x v="29"/>
  </r>
  <r>
    <s v="34002"/>
    <x v="250"/>
    <s v="Personnel"/>
    <m/>
    <x v="0"/>
    <x v="66"/>
    <s v="PSES Elem Prog09Duty25 S275"/>
    <x v="3"/>
    <s v="25"/>
    <n v="91"/>
    <n v="25"/>
    <m/>
    <n v="4.3999999999999997E-2"/>
    <n v="0.24759999999999999"/>
    <n v="0"/>
    <x v="41"/>
  </r>
  <r>
    <s v="34002"/>
    <x v="250"/>
    <s v="Personnel"/>
    <m/>
    <x v="0"/>
    <x v="66"/>
    <s v="PSES Elem Prog09Duty25 S275"/>
    <x v="3"/>
    <s v="25"/>
    <n v="91"/>
    <n v="25"/>
    <m/>
    <n v="6.6000000000000003E-2"/>
    <n v="0.24759999999999999"/>
    <n v="0"/>
    <x v="41"/>
  </r>
  <r>
    <s v="34003"/>
    <x v="251"/>
    <s v="Personnel"/>
    <s v="H "/>
    <x v="1"/>
    <x v="4"/>
    <s v="PSES High Prog21Act25 S275"/>
    <x v="1"/>
    <s v="25"/>
    <m/>
    <n v="25"/>
    <s v="   "/>
    <n v="5.8140000000000001"/>
    <n v="0.25950000000000001"/>
    <n v="1.5089999999999999"/>
    <x v="4"/>
  </r>
  <r>
    <s v="34003"/>
    <x v="251"/>
    <s v="Personnel"/>
    <s v="H "/>
    <x v="1"/>
    <x v="5"/>
    <s v="PSES High Prog01Act25 S275"/>
    <x v="0"/>
    <s v="25"/>
    <m/>
    <n v="25"/>
    <s v="   "/>
    <n v="24.23"/>
    <n v="0.25950000000000001"/>
    <n v="0"/>
    <x v="4"/>
  </r>
  <r>
    <s v="34003"/>
    <x v="251"/>
    <s v="Personnel"/>
    <s v="H "/>
    <x v="1"/>
    <x v="29"/>
    <s v="PSES High Prog21Act26 S275"/>
    <x v="1"/>
    <s v="26"/>
    <m/>
    <n v="26"/>
    <s v="   "/>
    <n v="2.8159999999999998"/>
    <n v="0.25950000000000001"/>
    <n v="0.73099999999999998"/>
    <x v="7"/>
  </r>
  <r>
    <s v="34003"/>
    <x v="251"/>
    <s v="Personnel"/>
    <s v="H "/>
    <x v="1"/>
    <x v="9"/>
    <s v="PSES High Prog01Act26 S275"/>
    <x v="0"/>
    <s v="26"/>
    <m/>
    <n v="26"/>
    <s v="   "/>
    <n v="14.686999999999999"/>
    <n v="0.25950000000000001"/>
    <n v="0"/>
    <x v="7"/>
  </r>
  <r>
    <s v="34003"/>
    <x v="251"/>
    <s v="Personnel"/>
    <s v="H "/>
    <x v="1"/>
    <x v="54"/>
    <s v="PSES High Prog01Act35 S275"/>
    <x v="0"/>
    <s v="35"/>
    <m/>
    <n v="35"/>
    <s v="   "/>
    <n v="2.5449999999999999"/>
    <n v="0.25950000000000001"/>
    <n v="0"/>
    <x v="9"/>
  </r>
  <r>
    <s v="34003"/>
    <x v="251"/>
    <s v="Personnel"/>
    <s v="E "/>
    <x v="0"/>
    <x v="15"/>
    <s v="PSES Elem Prog01Duty42 S275"/>
    <x v="0"/>
    <s v="42"/>
    <n v="42"/>
    <m/>
    <s v="   "/>
    <n v="16.132999999999999"/>
    <n v="0.25950000000000001"/>
    <n v="0"/>
    <x v="12"/>
  </r>
  <r>
    <s v="34003"/>
    <x v="251"/>
    <s v="Personnel"/>
    <s v="H "/>
    <x v="1"/>
    <x v="16"/>
    <s v="PSES High Prog01Duty42 S275"/>
    <x v="0"/>
    <s v="42"/>
    <n v="42"/>
    <m/>
    <s v="   "/>
    <n v="12"/>
    <n v="0.25950000000000001"/>
    <n v="0"/>
    <x v="13"/>
  </r>
  <r>
    <s v="34003"/>
    <x v="251"/>
    <s v="Personnel"/>
    <s v="M "/>
    <x v="2"/>
    <x v="17"/>
    <s v="PSES Mid Prog01Duty42 S275"/>
    <x v="0"/>
    <s v="42"/>
    <n v="42"/>
    <m/>
    <s v="   "/>
    <n v="5.4020000000000001"/>
    <n v="0.25950000000000001"/>
    <n v="0"/>
    <x v="14"/>
  </r>
  <r>
    <s v="34003"/>
    <x v="251"/>
    <s v="Personnel"/>
    <s v="E "/>
    <x v="0"/>
    <x v="18"/>
    <s v="PSES Elem Prog21Duty43 S275"/>
    <x v="1"/>
    <s v="43"/>
    <n v="43"/>
    <m/>
    <s v="   "/>
    <n v="8.2210000000000001"/>
    <n v="0.25950000000000001"/>
    <n v="2.133"/>
    <x v="15"/>
  </r>
  <r>
    <s v="34003"/>
    <x v="251"/>
    <s v="Personnel"/>
    <s v="H "/>
    <x v="1"/>
    <x v="19"/>
    <s v="PSES High Prog21Duty43 S275"/>
    <x v="1"/>
    <s v="43"/>
    <n v="43"/>
    <m/>
    <s v="   "/>
    <n v="1.673"/>
    <n v="0.25950000000000001"/>
    <n v="0.434"/>
    <x v="16"/>
  </r>
  <r>
    <s v="34003"/>
    <x v="251"/>
    <s v="Personnel"/>
    <s v="M "/>
    <x v="2"/>
    <x v="31"/>
    <s v="PSES Mid Prog21Duty43 S275"/>
    <x v="1"/>
    <s v="43"/>
    <n v="43"/>
    <m/>
    <s v="   "/>
    <n v="1.1060000000000001"/>
    <n v="0.25950000000000001"/>
    <n v="0.28699999999999998"/>
    <x v="27"/>
  </r>
  <r>
    <s v="34003"/>
    <x v="251"/>
    <s v="Personnel"/>
    <s v="E "/>
    <x v="0"/>
    <x v="20"/>
    <s v="PSES Elem Prog21Duty45 S275"/>
    <x v="1"/>
    <s v="45"/>
    <n v="45"/>
    <m/>
    <s v="   "/>
    <n v="25.202000000000002"/>
    <n v="0.25950000000000001"/>
    <n v="6.54"/>
    <x v="17"/>
  </r>
  <r>
    <s v="34003"/>
    <x v="251"/>
    <s v="Personnel"/>
    <s v="H "/>
    <x v="1"/>
    <x v="21"/>
    <s v="PSES High Prog21Duty45 S275"/>
    <x v="1"/>
    <s v="45"/>
    <n v="45"/>
    <m/>
    <s v="   "/>
    <n v="4.5110000000000001"/>
    <n v="0.25950000000000001"/>
    <n v="1.171"/>
    <x v="18"/>
  </r>
  <r>
    <s v="34003"/>
    <x v="251"/>
    <s v="Personnel"/>
    <s v="M "/>
    <x v="2"/>
    <x v="28"/>
    <s v="PSES Mid Prog21Duty45 S275"/>
    <x v="1"/>
    <s v="45"/>
    <n v="45"/>
    <m/>
    <s v="   "/>
    <n v="3.3540000000000001"/>
    <n v="0.25950000000000001"/>
    <n v="0.87"/>
    <x v="25"/>
  </r>
  <r>
    <s v="34003"/>
    <x v="251"/>
    <s v="Personnel"/>
    <s v="E "/>
    <x v="0"/>
    <x v="22"/>
    <s v="PSES Elem Prog21Duty46 S275"/>
    <x v="1"/>
    <s v="46"/>
    <n v="46"/>
    <m/>
    <s v="   "/>
    <n v="12.516999999999999"/>
    <n v="0.25950000000000001"/>
    <n v="3.2480000000000002"/>
    <x v="19"/>
  </r>
  <r>
    <s v="34003"/>
    <x v="251"/>
    <s v="Personnel"/>
    <s v="H "/>
    <x v="1"/>
    <x v="23"/>
    <s v="PSES High Prog21Duty46 S275"/>
    <x v="1"/>
    <s v="46"/>
    <n v="46"/>
    <m/>
    <s v="   "/>
    <n v="4.9669999999999996"/>
    <n v="0.25950000000000001"/>
    <n v="1.2889999999999999"/>
    <x v="20"/>
  </r>
  <r>
    <s v="34003"/>
    <x v="251"/>
    <s v="Personnel"/>
    <s v="M "/>
    <x v="2"/>
    <x v="24"/>
    <s v="PSES Mid Prog21Duty46 S275"/>
    <x v="1"/>
    <s v="46"/>
    <n v="46"/>
    <m/>
    <s v="   "/>
    <n v="2.2200000000000002"/>
    <n v="0.25950000000000001"/>
    <n v="0.57599999999999996"/>
    <x v="21"/>
  </r>
  <r>
    <s v="34003"/>
    <x v="251"/>
    <s v="Personnel"/>
    <s v="E "/>
    <x v="0"/>
    <x v="27"/>
    <s v="PSES Elem Prog01Duty47 S275"/>
    <x v="0"/>
    <s v="47"/>
    <n v="47"/>
    <m/>
    <s v="   "/>
    <n v="11.327999999999999"/>
    <n v="0.25950000000000001"/>
    <n v="0"/>
    <x v="24"/>
  </r>
  <r>
    <s v="34003"/>
    <x v="251"/>
    <s v="Personnel"/>
    <s v="H "/>
    <x v="1"/>
    <x v="25"/>
    <s v="PSES High Prog01Duty47 S275"/>
    <x v="0"/>
    <s v="47"/>
    <n v="47"/>
    <m/>
    <s v="   "/>
    <n v="6.2"/>
    <n v="0.25950000000000001"/>
    <n v="0"/>
    <x v="22"/>
  </r>
  <r>
    <s v="34003"/>
    <x v="251"/>
    <s v="Personnel"/>
    <s v="M "/>
    <x v="2"/>
    <x v="34"/>
    <s v="PSES Mid Prog01Duty47 S275"/>
    <x v="0"/>
    <s v="47"/>
    <n v="47"/>
    <m/>
    <s v="   "/>
    <n v="3.472"/>
    <n v="0.25950000000000001"/>
    <n v="0"/>
    <x v="28"/>
  </r>
  <r>
    <s v="34003"/>
    <x v="251"/>
    <s v="Personnel"/>
    <s v="E "/>
    <x v="0"/>
    <x v="35"/>
    <s v="PSES Elem Prog21Duty48 S275"/>
    <x v="1"/>
    <s v="48"/>
    <n v="48"/>
    <m/>
    <s v="   "/>
    <n v="3.2029999999999998"/>
    <n v="0.25950000000000001"/>
    <n v="0.83099999999999996"/>
    <x v="29"/>
  </r>
  <r>
    <s v="34003"/>
    <x v="251"/>
    <s v="Personnel"/>
    <s v="H "/>
    <x v="1"/>
    <x v="36"/>
    <s v="PSES High Prog21Duty48 S275"/>
    <x v="1"/>
    <s v="48"/>
    <n v="48"/>
    <m/>
    <s v="   "/>
    <n v="0.70699999999999996"/>
    <n v="0.25950000000000001"/>
    <n v="0.183"/>
    <x v="30"/>
  </r>
  <r>
    <s v="34003"/>
    <x v="251"/>
    <s v="Personnel"/>
    <s v="M "/>
    <x v="2"/>
    <x v="37"/>
    <s v="PSES Mid Prog21Duty48 S275"/>
    <x v="1"/>
    <s v="48"/>
    <n v="48"/>
    <m/>
    <s v="   "/>
    <n v="0.79"/>
    <n v="0.25950000000000001"/>
    <n v="0.20499999999999999"/>
    <x v="31"/>
  </r>
  <r>
    <s v="34033"/>
    <x v="252"/>
    <s v="Personnel"/>
    <s v="E "/>
    <x v="0"/>
    <x v="67"/>
    <s v="PSES Elem Prog21Act25 S275"/>
    <x v="1"/>
    <s v="25"/>
    <m/>
    <n v="25"/>
    <s v="   "/>
    <n v="1.3620000000000001"/>
    <n v="0.2641"/>
    <n v="0.36"/>
    <x v="3"/>
  </r>
  <r>
    <s v="34033"/>
    <x v="252"/>
    <s v="Personnel"/>
    <s v="E "/>
    <x v="0"/>
    <x v="3"/>
    <s v="PSES Elem Prog01Act25 S275"/>
    <x v="0"/>
    <s v="25"/>
    <m/>
    <n v="25"/>
    <s v="   "/>
    <n v="4.1340000000000003"/>
    <n v="0.2641"/>
    <n v="0"/>
    <x v="3"/>
  </r>
  <r>
    <s v="34033"/>
    <x v="252"/>
    <s v="Personnel"/>
    <s v="H "/>
    <x v="1"/>
    <x v="4"/>
    <s v="PSES High Prog21Act25 S275"/>
    <x v="1"/>
    <s v="25"/>
    <m/>
    <n v="25"/>
    <s v="   "/>
    <n v="9.1999999999999998E-2"/>
    <n v="0.2641"/>
    <n v="2.4E-2"/>
    <x v="4"/>
  </r>
  <r>
    <s v="34033"/>
    <x v="252"/>
    <s v="Personnel"/>
    <s v="H "/>
    <x v="1"/>
    <x v="53"/>
    <s v="PSES High Prog97Act25 S275"/>
    <x v="2"/>
    <s v="25"/>
    <m/>
    <n v="25"/>
    <s v="   "/>
    <n v="1"/>
    <n v="0.2641"/>
    <n v="0"/>
    <x v="4"/>
  </r>
  <r>
    <s v="34033"/>
    <x v="252"/>
    <s v="Personnel"/>
    <s v="H "/>
    <x v="1"/>
    <x v="5"/>
    <s v="PSES High Prog01Act25 S275"/>
    <x v="0"/>
    <s v="25"/>
    <m/>
    <n v="25"/>
    <s v="   "/>
    <n v="5.39"/>
    <n v="0.2641"/>
    <n v="0"/>
    <x v="4"/>
  </r>
  <r>
    <s v="34033"/>
    <x v="252"/>
    <s v="Personnel"/>
    <s v="M "/>
    <x v="2"/>
    <x v="82"/>
    <s v="PSES Mid Prog21Act25 S275"/>
    <x v="1"/>
    <s v="25"/>
    <m/>
    <n v="25"/>
    <s v="   "/>
    <n v="0.13600000000000001"/>
    <n v="0.2641"/>
    <n v="3.5999999999999997E-2"/>
    <x v="5"/>
  </r>
  <r>
    <s v="34033"/>
    <x v="252"/>
    <s v="Personnel"/>
    <s v="M "/>
    <x v="2"/>
    <x v="6"/>
    <s v="PSES Mid Prog01Act25 S275"/>
    <x v="0"/>
    <s v="25"/>
    <m/>
    <n v="25"/>
    <s v="   "/>
    <n v="1.2330000000000001"/>
    <n v="0.2641"/>
    <n v="0"/>
    <x v="5"/>
  </r>
  <r>
    <s v="34033"/>
    <x v="252"/>
    <s v="Personnel"/>
    <s v="E "/>
    <x v="0"/>
    <x v="7"/>
    <s v="PSES Elem Prog21Act26 S275"/>
    <x v="1"/>
    <s v="26"/>
    <m/>
    <n v="26"/>
    <s v="   "/>
    <n v="6.1379999999999999"/>
    <n v="0.2641"/>
    <n v="1.621"/>
    <x v="6"/>
  </r>
  <r>
    <s v="34033"/>
    <x v="252"/>
    <s v="Personnel"/>
    <s v="E "/>
    <x v="0"/>
    <x v="8"/>
    <s v="PSES Elem Prog01Act26 S275"/>
    <x v="0"/>
    <s v="26"/>
    <m/>
    <n v="26"/>
    <s v="   "/>
    <n v="3.5550000000000002"/>
    <n v="0.2641"/>
    <n v="0"/>
    <x v="6"/>
  </r>
  <r>
    <s v="34033"/>
    <x v="252"/>
    <s v="Personnel"/>
    <s v="H "/>
    <x v="1"/>
    <x v="29"/>
    <s v="PSES High Prog21Act26 S275"/>
    <x v="1"/>
    <s v="26"/>
    <m/>
    <n v="26"/>
    <s v="   "/>
    <n v="5.2140000000000004"/>
    <n v="0.2641"/>
    <n v="1.377"/>
    <x v="7"/>
  </r>
  <r>
    <s v="34033"/>
    <x v="252"/>
    <s v="Personnel"/>
    <s v="H "/>
    <x v="1"/>
    <x v="9"/>
    <s v="PSES High Prog01Act26 S275"/>
    <x v="0"/>
    <s v="26"/>
    <m/>
    <n v="26"/>
    <s v="   "/>
    <n v="1.476"/>
    <n v="0.2641"/>
    <n v="0"/>
    <x v="7"/>
  </r>
  <r>
    <s v="34033"/>
    <x v="252"/>
    <s v="Personnel"/>
    <s v="M "/>
    <x v="2"/>
    <x v="11"/>
    <s v="PSES Mid Prog01Act26 S275"/>
    <x v="0"/>
    <s v="26"/>
    <m/>
    <n v="26"/>
    <s v="   "/>
    <n v="1.292"/>
    <n v="0.2641"/>
    <n v="0"/>
    <x v="8"/>
  </r>
  <r>
    <s v="34033"/>
    <x v="252"/>
    <s v="Personnel"/>
    <s v="E "/>
    <x v="0"/>
    <x v="15"/>
    <s v="PSES Elem Prog01Duty42 S275"/>
    <x v="0"/>
    <s v="42"/>
    <n v="42"/>
    <m/>
    <s v="   "/>
    <n v="8.1660000000000004"/>
    <n v="0.2641"/>
    <n v="0"/>
    <x v="12"/>
  </r>
  <r>
    <s v="34033"/>
    <x v="252"/>
    <s v="Personnel"/>
    <s v="H "/>
    <x v="1"/>
    <x v="16"/>
    <s v="PSES High Prog01Duty42 S275"/>
    <x v="0"/>
    <s v="42"/>
    <n v="42"/>
    <m/>
    <s v="   "/>
    <n v="6.2"/>
    <n v="0.2641"/>
    <n v="0"/>
    <x v="13"/>
  </r>
  <r>
    <s v="34033"/>
    <x v="252"/>
    <s v="Personnel"/>
    <s v="M "/>
    <x v="2"/>
    <x v="17"/>
    <s v="PSES Mid Prog01Duty42 S275"/>
    <x v="0"/>
    <s v="42"/>
    <n v="42"/>
    <m/>
    <s v="   "/>
    <n v="3.3340000000000001"/>
    <n v="0.2641"/>
    <n v="0"/>
    <x v="14"/>
  </r>
  <r>
    <s v="34033"/>
    <x v="252"/>
    <s v="Personnel"/>
    <s v="E "/>
    <x v="0"/>
    <x v="18"/>
    <s v="PSES Elem Prog21Duty43 S275"/>
    <x v="1"/>
    <s v="43"/>
    <n v="43"/>
    <m/>
    <s v="   "/>
    <n v="2.4300000000000002"/>
    <n v="0.2641"/>
    <n v="0.64200000000000002"/>
    <x v="15"/>
  </r>
  <r>
    <s v="34033"/>
    <x v="252"/>
    <s v="Personnel"/>
    <s v="H "/>
    <x v="1"/>
    <x v="19"/>
    <s v="PSES High Prog21Duty43 S275"/>
    <x v="1"/>
    <s v="43"/>
    <n v="43"/>
    <m/>
    <s v="   "/>
    <n v="0.30399999999999999"/>
    <n v="0.2641"/>
    <n v="0.08"/>
    <x v="16"/>
  </r>
  <r>
    <s v="34033"/>
    <x v="252"/>
    <s v="Personnel"/>
    <s v="M "/>
    <x v="2"/>
    <x v="31"/>
    <s v="PSES Mid Prog21Duty43 S275"/>
    <x v="1"/>
    <s v="43"/>
    <n v="43"/>
    <m/>
    <s v="   "/>
    <n v="0.22600000000000001"/>
    <n v="0.2641"/>
    <n v="0.06"/>
    <x v="27"/>
  </r>
  <r>
    <s v="34033"/>
    <x v="252"/>
    <s v="Personnel"/>
    <s v="E "/>
    <x v="0"/>
    <x v="20"/>
    <s v="PSES Elem Prog21Duty45 S275"/>
    <x v="1"/>
    <s v="45"/>
    <n v="45"/>
    <m/>
    <s v="   "/>
    <n v="4.8540000000000001"/>
    <n v="0.2641"/>
    <n v="1.282"/>
    <x v="17"/>
  </r>
  <r>
    <s v="34033"/>
    <x v="252"/>
    <s v="Personnel"/>
    <s v="H "/>
    <x v="1"/>
    <x v="21"/>
    <s v="PSES High Prog21Duty45 S275"/>
    <x v="1"/>
    <s v="45"/>
    <n v="45"/>
    <m/>
    <s v="   "/>
    <n v="3"/>
    <n v="0.2641"/>
    <n v="0.79200000000000004"/>
    <x v="18"/>
  </r>
  <r>
    <s v="34033"/>
    <x v="252"/>
    <s v="Personnel"/>
    <s v="M "/>
    <x v="2"/>
    <x v="28"/>
    <s v="PSES Mid Prog21Duty45 S275"/>
    <x v="1"/>
    <s v="45"/>
    <n v="45"/>
    <m/>
    <s v="   "/>
    <n v="0.82"/>
    <n v="0.2641"/>
    <n v="0.217"/>
    <x v="25"/>
  </r>
  <r>
    <s v="34033"/>
    <x v="252"/>
    <s v="Personnel"/>
    <s v="E "/>
    <x v="0"/>
    <x v="22"/>
    <s v="PSES Elem Prog21Duty46 S275"/>
    <x v="1"/>
    <s v="46"/>
    <n v="46"/>
    <m/>
    <s v="   "/>
    <n v="3.1"/>
    <n v="0.2641"/>
    <n v="0.81899999999999995"/>
    <x v="19"/>
  </r>
  <r>
    <s v="34033"/>
    <x v="252"/>
    <s v="Personnel"/>
    <s v="H "/>
    <x v="1"/>
    <x v="23"/>
    <s v="PSES High Prog21Duty46 S275"/>
    <x v="1"/>
    <s v="46"/>
    <n v="46"/>
    <m/>
    <s v="   "/>
    <n v="3.1"/>
    <n v="0.2641"/>
    <n v="0.81899999999999995"/>
    <x v="20"/>
  </r>
  <r>
    <s v="34033"/>
    <x v="252"/>
    <s v="Personnel"/>
    <s v="M "/>
    <x v="2"/>
    <x v="24"/>
    <s v="PSES Mid Prog21Duty46 S275"/>
    <x v="1"/>
    <s v="46"/>
    <n v="46"/>
    <m/>
    <s v="   "/>
    <n v="0.5"/>
    <n v="0.2641"/>
    <n v="0.13200000000000001"/>
    <x v="21"/>
  </r>
  <r>
    <s v="34033"/>
    <x v="252"/>
    <s v="Personnel"/>
    <s v="E "/>
    <x v="0"/>
    <x v="27"/>
    <s v="PSES Elem Prog01Duty47 S275"/>
    <x v="0"/>
    <s v="47"/>
    <n v="47"/>
    <m/>
    <s v="   "/>
    <n v="3.2639999999999998"/>
    <n v="0.2641"/>
    <n v="0"/>
    <x v="24"/>
  </r>
  <r>
    <s v="34033"/>
    <x v="252"/>
    <s v="Personnel"/>
    <s v="H "/>
    <x v="1"/>
    <x v="25"/>
    <s v="PSES High Prog01Duty47 S275"/>
    <x v="0"/>
    <s v="47"/>
    <n v="47"/>
    <m/>
    <s v="   "/>
    <n v="0.8"/>
    <n v="0.2641"/>
    <n v="0"/>
    <x v="22"/>
  </r>
  <r>
    <s v="34033"/>
    <x v="252"/>
    <s v="Personnel"/>
    <s v="M "/>
    <x v="2"/>
    <x v="34"/>
    <s v="PSES Mid Prog01Duty47 S275"/>
    <x v="0"/>
    <s v="47"/>
    <n v="47"/>
    <m/>
    <s v="   "/>
    <n v="0.93600000000000005"/>
    <n v="0.2641"/>
    <n v="0"/>
    <x v="28"/>
  </r>
  <r>
    <s v="34033"/>
    <x v="252"/>
    <s v="Personnel"/>
    <s v="E "/>
    <x v="0"/>
    <x v="26"/>
    <s v="PSES Elem Prog21Duty49 S275"/>
    <x v="1"/>
    <s v="49"/>
    <n v="49"/>
    <m/>
    <s v="   "/>
    <n v="0.54500000000000004"/>
    <n v="0.2641"/>
    <n v="0.14399999999999999"/>
    <x v="23"/>
  </r>
  <r>
    <s v="34033"/>
    <x v="252"/>
    <s v="Personnel"/>
    <s v="H "/>
    <x v="1"/>
    <x v="55"/>
    <s v="PSES High Prog21Duty49 S275"/>
    <x v="1"/>
    <s v="49"/>
    <n v="49"/>
    <m/>
    <s v="   "/>
    <n v="0.27300000000000002"/>
    <n v="0.2641"/>
    <n v="7.1999999999999995E-2"/>
    <x v="37"/>
  </r>
  <r>
    <s v="34033"/>
    <x v="252"/>
    <s v="Personnel"/>
    <s v="M "/>
    <x v="2"/>
    <x v="50"/>
    <s v="PSES Mid Prog21Duty49 S275"/>
    <x v="1"/>
    <s v="49"/>
    <n v="49"/>
    <m/>
    <s v="   "/>
    <n v="0.182"/>
    <n v="0.2641"/>
    <n v="4.8000000000000001E-2"/>
    <x v="36"/>
  </r>
  <r>
    <s v="34111"/>
    <x v="253"/>
    <s v="Personnel"/>
    <s v="H "/>
    <x v="1"/>
    <x v="1"/>
    <s v="PSES High Prog01Duty96 S275"/>
    <x v="0"/>
    <s v="24"/>
    <n v="96"/>
    <n v="24"/>
    <s v="   "/>
    <n v="2.37"/>
    <n v="0.26419999999999999"/>
    <n v="0"/>
    <x v="1"/>
  </r>
  <r>
    <s v="34111"/>
    <x v="253"/>
    <s v="Personnel"/>
    <s v="E "/>
    <x v="0"/>
    <x v="3"/>
    <s v="PSES Elem Prog01Act25 S275"/>
    <x v="0"/>
    <s v="25"/>
    <m/>
    <n v="25"/>
    <s v="   "/>
    <n v="0.27100000000000002"/>
    <n v="0.26419999999999999"/>
    <n v="0"/>
    <x v="3"/>
  </r>
  <r>
    <s v="34111"/>
    <x v="253"/>
    <s v="Personnel"/>
    <s v="H "/>
    <x v="1"/>
    <x v="5"/>
    <s v="PSES High Prog01Act25 S275"/>
    <x v="0"/>
    <s v="25"/>
    <m/>
    <n v="25"/>
    <s v="   "/>
    <n v="1.8720000000000001"/>
    <n v="0.26419999999999999"/>
    <n v="0"/>
    <x v="4"/>
  </r>
  <r>
    <s v="34111"/>
    <x v="253"/>
    <s v="Personnel"/>
    <s v="M "/>
    <x v="2"/>
    <x v="6"/>
    <s v="PSES Mid Prog01Act25 S275"/>
    <x v="0"/>
    <s v="25"/>
    <m/>
    <n v="25"/>
    <s v="   "/>
    <n v="0.55200000000000005"/>
    <n v="0.26419999999999999"/>
    <n v="0"/>
    <x v="5"/>
  </r>
  <r>
    <s v="34111"/>
    <x v="253"/>
    <s v="Personnel"/>
    <s v="E "/>
    <x v="0"/>
    <x v="7"/>
    <s v="PSES Elem Prog21Act26 S275"/>
    <x v="1"/>
    <s v="26"/>
    <m/>
    <n v="26"/>
    <s v="   "/>
    <n v="0.60099999999999998"/>
    <n v="0.26419999999999999"/>
    <n v="0.159"/>
    <x v="6"/>
  </r>
  <r>
    <s v="34111"/>
    <x v="253"/>
    <s v="Personnel"/>
    <s v="E "/>
    <x v="0"/>
    <x v="8"/>
    <s v="PSES Elem Prog01Act26 S275"/>
    <x v="0"/>
    <s v="26"/>
    <m/>
    <n v="26"/>
    <s v="   "/>
    <n v="4.2060000000000004"/>
    <n v="0.26419999999999999"/>
    <n v="0"/>
    <x v="6"/>
  </r>
  <r>
    <s v="34111"/>
    <x v="253"/>
    <s v="Personnel"/>
    <s v="H "/>
    <x v="1"/>
    <x v="29"/>
    <s v="PSES High Prog21Act26 S275"/>
    <x v="1"/>
    <s v="26"/>
    <m/>
    <n v="26"/>
    <s v="   "/>
    <n v="1.3140000000000001"/>
    <n v="0.26419999999999999"/>
    <n v="0.34699999999999998"/>
    <x v="7"/>
  </r>
  <r>
    <s v="34111"/>
    <x v="253"/>
    <s v="Personnel"/>
    <s v="H "/>
    <x v="1"/>
    <x v="9"/>
    <s v="PSES High Prog01Act26 S275"/>
    <x v="0"/>
    <s v="26"/>
    <m/>
    <n v="26"/>
    <s v="   "/>
    <n v="2.4159999999999999"/>
    <n v="0.26419999999999999"/>
    <n v="0"/>
    <x v="7"/>
  </r>
  <r>
    <s v="34111"/>
    <x v="253"/>
    <s v="Personnel"/>
    <s v="M "/>
    <x v="2"/>
    <x v="10"/>
    <s v="PSES Mid Prog21Act26 S275"/>
    <x v="1"/>
    <s v="26"/>
    <m/>
    <n v="26"/>
    <s v="   "/>
    <n v="7.6999999999999999E-2"/>
    <n v="0.26419999999999999"/>
    <n v="0.02"/>
    <x v="8"/>
  </r>
  <r>
    <s v="34111"/>
    <x v="253"/>
    <s v="Personnel"/>
    <s v="M "/>
    <x v="2"/>
    <x v="11"/>
    <s v="PSES Mid Prog01Act26 S275"/>
    <x v="0"/>
    <s v="26"/>
    <m/>
    <n v="26"/>
    <s v="   "/>
    <n v="0.36699999999999999"/>
    <n v="0.26419999999999999"/>
    <n v="0"/>
    <x v="8"/>
  </r>
  <r>
    <s v="34111"/>
    <x v="253"/>
    <s v="Personnel"/>
    <s v="H "/>
    <x v="1"/>
    <x v="54"/>
    <s v="PSES High Prog01Act35 S275"/>
    <x v="0"/>
    <s v="35"/>
    <m/>
    <n v="35"/>
    <s v="   "/>
    <n v="1.0389999999999999"/>
    <n v="0.26419999999999999"/>
    <n v="0"/>
    <x v="9"/>
  </r>
  <r>
    <s v="34111"/>
    <x v="253"/>
    <s v="Personnel"/>
    <s v="E "/>
    <x v="0"/>
    <x v="15"/>
    <s v="PSES Elem Prog01Duty42 S275"/>
    <x v="0"/>
    <s v="42"/>
    <n v="42"/>
    <m/>
    <s v="   "/>
    <n v="1.667"/>
    <n v="0.26419999999999999"/>
    <n v="0"/>
    <x v="12"/>
  </r>
  <r>
    <s v="34111"/>
    <x v="253"/>
    <s v="Personnel"/>
    <s v="H "/>
    <x v="1"/>
    <x v="16"/>
    <s v="PSES High Prog01Duty42 S275"/>
    <x v="0"/>
    <s v="42"/>
    <n v="42"/>
    <m/>
    <s v="   "/>
    <n v="6.9"/>
    <n v="0.26419999999999999"/>
    <n v="0"/>
    <x v="13"/>
  </r>
  <r>
    <s v="34111"/>
    <x v="253"/>
    <s v="Personnel"/>
    <s v="M "/>
    <x v="2"/>
    <x v="17"/>
    <s v="PSES Mid Prog01Duty42 S275"/>
    <x v="0"/>
    <s v="42"/>
    <n v="42"/>
    <m/>
    <s v="   "/>
    <n v="3.629"/>
    <n v="0.26419999999999999"/>
    <n v="0"/>
    <x v="14"/>
  </r>
  <r>
    <s v="34111"/>
    <x v="253"/>
    <s v="Personnel"/>
    <s v="E "/>
    <x v="0"/>
    <x v="18"/>
    <s v="PSES Elem Prog21Duty43 S275"/>
    <x v="1"/>
    <s v="43"/>
    <n v="43"/>
    <m/>
    <s v="   "/>
    <n v="4.8"/>
    <n v="0.26419999999999999"/>
    <n v="1.268"/>
    <x v="15"/>
  </r>
  <r>
    <s v="34111"/>
    <x v="253"/>
    <s v="Personnel"/>
    <s v="H "/>
    <x v="1"/>
    <x v="19"/>
    <s v="PSES High Prog21Duty43 S275"/>
    <x v="1"/>
    <s v="43"/>
    <n v="43"/>
    <m/>
    <s v="   "/>
    <n v="0.6"/>
    <n v="0.26419999999999999"/>
    <n v="0.159"/>
    <x v="16"/>
  </r>
  <r>
    <s v="34111"/>
    <x v="253"/>
    <s v="Personnel"/>
    <s v="M "/>
    <x v="2"/>
    <x v="31"/>
    <s v="PSES Mid Prog21Duty43 S275"/>
    <x v="1"/>
    <s v="43"/>
    <n v="43"/>
    <m/>
    <s v="   "/>
    <n v="0.4"/>
    <n v="0.26419999999999999"/>
    <n v="0.106"/>
    <x v="27"/>
  </r>
  <r>
    <s v="34111"/>
    <x v="253"/>
    <s v="Personnel"/>
    <s v="E "/>
    <x v="0"/>
    <x v="42"/>
    <s v="PSES Elem Prog01Duty44 S275"/>
    <x v="0"/>
    <s v="44"/>
    <n v="44"/>
    <m/>
    <s v="   "/>
    <n v="7.8"/>
    <n v="0.26419999999999999"/>
    <n v="0"/>
    <x v="33"/>
  </r>
  <r>
    <s v="34111"/>
    <x v="253"/>
    <s v="Personnel"/>
    <s v="H "/>
    <x v="1"/>
    <x v="44"/>
    <s v="PSES High Prog01Duty44 S275"/>
    <x v="0"/>
    <s v="44"/>
    <n v="44"/>
    <m/>
    <s v="   "/>
    <n v="2.4"/>
    <n v="0.26419999999999999"/>
    <n v="0"/>
    <x v="34"/>
  </r>
  <r>
    <s v="34111"/>
    <x v="253"/>
    <s v="Personnel"/>
    <s v="M "/>
    <x v="2"/>
    <x v="46"/>
    <s v="PSES Mid Prog01Duty44 S275"/>
    <x v="0"/>
    <s v="44"/>
    <n v="44"/>
    <m/>
    <s v="   "/>
    <n v="1.4"/>
    <n v="0.26419999999999999"/>
    <n v="0"/>
    <x v="35"/>
  </r>
  <r>
    <s v="34111"/>
    <x v="253"/>
    <s v="Personnel"/>
    <s v="E "/>
    <x v="0"/>
    <x v="20"/>
    <s v="PSES Elem Prog21Duty45 S275"/>
    <x v="1"/>
    <s v="45"/>
    <n v="45"/>
    <m/>
    <s v="   "/>
    <n v="11.978"/>
    <n v="0.26419999999999999"/>
    <n v="3.165"/>
    <x v="17"/>
  </r>
  <r>
    <s v="34111"/>
    <x v="253"/>
    <s v="Personnel"/>
    <s v="H "/>
    <x v="1"/>
    <x v="21"/>
    <s v="PSES High Prog21Duty45 S275"/>
    <x v="1"/>
    <s v="45"/>
    <n v="45"/>
    <m/>
    <s v="   "/>
    <n v="2.8"/>
    <n v="0.26419999999999999"/>
    <n v="0.74"/>
    <x v="18"/>
  </r>
  <r>
    <s v="34111"/>
    <x v="253"/>
    <s v="Personnel"/>
    <s v="M "/>
    <x v="2"/>
    <x v="28"/>
    <s v="PSES Mid Prog21Duty45 S275"/>
    <x v="1"/>
    <s v="45"/>
    <n v="45"/>
    <m/>
    <s v="   "/>
    <n v="1.6"/>
    <n v="0.26419999999999999"/>
    <n v="0.42299999999999999"/>
    <x v="25"/>
  </r>
  <r>
    <s v="34111"/>
    <x v="253"/>
    <s v="Personnel"/>
    <s v="E "/>
    <x v="0"/>
    <x v="22"/>
    <s v="PSES Elem Prog21Duty46 S275"/>
    <x v="1"/>
    <s v="46"/>
    <n v="46"/>
    <m/>
    <s v="   "/>
    <n v="5.2670000000000003"/>
    <n v="0.26419999999999999"/>
    <n v="1.3919999999999999"/>
    <x v="19"/>
  </r>
  <r>
    <s v="34111"/>
    <x v="253"/>
    <s v="Personnel"/>
    <s v="E "/>
    <x v="0"/>
    <x v="48"/>
    <s v="PSES Elem Prog01Duty46 S275"/>
    <x v="0"/>
    <s v="46"/>
    <n v="46"/>
    <m/>
    <s v="   "/>
    <n v="0.1"/>
    <n v="0.26419999999999999"/>
    <n v="0"/>
    <x v="19"/>
  </r>
  <r>
    <s v="34111"/>
    <x v="253"/>
    <s v="Personnel"/>
    <s v="H "/>
    <x v="1"/>
    <x v="23"/>
    <s v="PSES High Prog21Duty46 S275"/>
    <x v="1"/>
    <s v="46"/>
    <n v="46"/>
    <m/>
    <s v="   "/>
    <n v="3.2"/>
    <n v="0.26419999999999999"/>
    <n v="0.84499999999999997"/>
    <x v="20"/>
  </r>
  <r>
    <s v="34111"/>
    <x v="253"/>
    <s v="Personnel"/>
    <s v="M "/>
    <x v="2"/>
    <x v="24"/>
    <s v="PSES Mid Prog21Duty46 S275"/>
    <x v="1"/>
    <s v="46"/>
    <n v="46"/>
    <m/>
    <s v="   "/>
    <n v="0.93300000000000005"/>
    <n v="0.26419999999999999"/>
    <n v="0.246"/>
    <x v="21"/>
  </r>
  <r>
    <s v="34111"/>
    <x v="253"/>
    <s v="Personnel"/>
    <s v="E "/>
    <x v="0"/>
    <x v="27"/>
    <s v="PSES Elem Prog01Duty47 S275"/>
    <x v="0"/>
    <s v="47"/>
    <n v="47"/>
    <m/>
    <s v="   "/>
    <n v="3.3679999999999999"/>
    <n v="0.26419999999999999"/>
    <n v="0"/>
    <x v="24"/>
  </r>
  <r>
    <s v="34111"/>
    <x v="253"/>
    <s v="Personnel"/>
    <s v="H "/>
    <x v="1"/>
    <x v="25"/>
    <s v="PSES High Prog01Duty47 S275"/>
    <x v="0"/>
    <s v="47"/>
    <n v="47"/>
    <m/>
    <s v="   "/>
    <n v="1.9"/>
    <n v="0.26419999999999999"/>
    <n v="0"/>
    <x v="22"/>
  </r>
  <r>
    <s v="34111"/>
    <x v="253"/>
    <s v="Personnel"/>
    <s v="M "/>
    <x v="2"/>
    <x v="34"/>
    <s v="PSES Mid Prog01Duty47 S275"/>
    <x v="0"/>
    <s v="47"/>
    <n v="47"/>
    <m/>
    <s v="   "/>
    <n v="0.93300000000000005"/>
    <n v="0.26419999999999999"/>
    <n v="0"/>
    <x v="28"/>
  </r>
  <r>
    <s v="34111"/>
    <x v="253"/>
    <s v="Personnel"/>
    <s v="E "/>
    <x v="0"/>
    <x v="35"/>
    <s v="PSES Elem Prog21Duty48 S275"/>
    <x v="1"/>
    <s v="48"/>
    <n v="48"/>
    <m/>
    <s v="   "/>
    <n v="2.2999999999999998"/>
    <n v="0.26419999999999999"/>
    <n v="0.60799999999999998"/>
    <x v="29"/>
  </r>
  <r>
    <s v="34111"/>
    <x v="253"/>
    <s v="Personnel"/>
    <s v="H "/>
    <x v="1"/>
    <x v="36"/>
    <s v="PSES High Prog21Duty48 S275"/>
    <x v="1"/>
    <s v="48"/>
    <n v="48"/>
    <m/>
    <s v="   "/>
    <n v="0.2"/>
    <n v="0.26419999999999999"/>
    <n v="5.2999999999999999E-2"/>
    <x v="30"/>
  </r>
  <r>
    <s v="34111"/>
    <x v="253"/>
    <s v="Personnel"/>
    <s v="M "/>
    <x v="2"/>
    <x v="37"/>
    <s v="PSES Mid Prog21Duty48 S275"/>
    <x v="1"/>
    <s v="48"/>
    <n v="48"/>
    <m/>
    <s v="   "/>
    <n v="0.1"/>
    <n v="0.26419999999999999"/>
    <n v="2.5999999999999999E-2"/>
    <x v="31"/>
  </r>
  <r>
    <s v="34307"/>
    <x v="254"/>
    <s v="Personnel"/>
    <s v="E "/>
    <x v="0"/>
    <x v="3"/>
    <s v="PSES Elem Prog01Act25 S275"/>
    <x v="0"/>
    <s v="25"/>
    <m/>
    <n v="25"/>
    <s v="   "/>
    <n v="1.1020000000000001"/>
    <n v="0.23139999999999999"/>
    <n v="0"/>
    <x v="3"/>
  </r>
  <r>
    <s v="34307"/>
    <x v="254"/>
    <s v="Personnel"/>
    <s v="H "/>
    <x v="1"/>
    <x v="5"/>
    <s v="PSES High Prog01Act25 S275"/>
    <x v="0"/>
    <s v="25"/>
    <m/>
    <n v="25"/>
    <s v="   "/>
    <n v="4.4999999999999998E-2"/>
    <n v="0.23139999999999999"/>
    <n v="0"/>
    <x v="4"/>
  </r>
  <r>
    <s v="34307"/>
    <x v="254"/>
    <s v="Personnel"/>
    <s v="M "/>
    <x v="2"/>
    <x v="6"/>
    <s v="PSES Mid Prog01Act25 S275"/>
    <x v="0"/>
    <s v="25"/>
    <m/>
    <n v="25"/>
    <s v="   "/>
    <n v="0.13900000000000001"/>
    <n v="0.23139999999999999"/>
    <n v="0"/>
    <x v="5"/>
  </r>
  <r>
    <s v="34307"/>
    <x v="254"/>
    <s v="Personnel"/>
    <s v="E "/>
    <x v="0"/>
    <x v="7"/>
    <s v="PSES Elem Prog21Act26 S275"/>
    <x v="1"/>
    <s v="26"/>
    <m/>
    <n v="26"/>
    <s v="   "/>
    <n v="0.92700000000000005"/>
    <n v="0.23139999999999999"/>
    <n v="0.215"/>
    <x v="6"/>
  </r>
  <r>
    <s v="34307"/>
    <x v="254"/>
    <s v="Personnel"/>
    <s v="H "/>
    <x v="1"/>
    <x v="29"/>
    <s v="PSES High Prog21Act26 S275"/>
    <x v="1"/>
    <s v="26"/>
    <m/>
    <n v="26"/>
    <s v="   "/>
    <n v="3.5999999999999997E-2"/>
    <n v="0.23139999999999999"/>
    <n v="8.0000000000000002E-3"/>
    <x v="7"/>
  </r>
  <r>
    <s v="34307"/>
    <x v="254"/>
    <s v="Personnel"/>
    <s v="M "/>
    <x v="2"/>
    <x v="10"/>
    <s v="PSES Mid Prog21Act26 S275"/>
    <x v="1"/>
    <s v="26"/>
    <m/>
    <n v="26"/>
    <s v="   "/>
    <n v="0.219"/>
    <n v="0.23139999999999999"/>
    <n v="5.0999999999999997E-2"/>
    <x v="8"/>
  </r>
  <r>
    <s v="34307"/>
    <x v="254"/>
    <s v="Personnel"/>
    <s v="E "/>
    <x v="0"/>
    <x v="15"/>
    <s v="PSES Elem Prog01Duty42 S275"/>
    <x v="0"/>
    <s v="42"/>
    <n v="42"/>
    <m/>
    <s v="   "/>
    <n v="0.5"/>
    <n v="0.23139999999999999"/>
    <n v="0"/>
    <x v="12"/>
  </r>
  <r>
    <s v="34307"/>
    <x v="254"/>
    <s v="Personnel"/>
    <s v="H "/>
    <x v="1"/>
    <x v="16"/>
    <s v="PSES High Prog01Duty42 S275"/>
    <x v="0"/>
    <s v="42"/>
    <n v="42"/>
    <m/>
    <s v="   "/>
    <n v="1"/>
    <n v="0.23139999999999999"/>
    <n v="0"/>
    <x v="13"/>
  </r>
  <r>
    <s v="34307"/>
    <x v="254"/>
    <s v="Personnel"/>
    <s v="M "/>
    <x v="2"/>
    <x v="17"/>
    <s v="PSES Mid Prog01Duty42 S275"/>
    <x v="0"/>
    <s v="42"/>
    <n v="42"/>
    <m/>
    <s v="   "/>
    <n v="0.5"/>
    <n v="0.23139999999999999"/>
    <n v="0"/>
    <x v="14"/>
  </r>
  <r>
    <s v="34307"/>
    <x v="254"/>
    <s v="Personnel"/>
    <s v="E "/>
    <x v="0"/>
    <x v="18"/>
    <s v="PSES Elem Prog21Duty43 S275"/>
    <x v="1"/>
    <s v="43"/>
    <n v="43"/>
    <m/>
    <s v="   "/>
    <n v="0.67"/>
    <n v="0.23139999999999999"/>
    <n v="0.155"/>
    <x v="15"/>
  </r>
  <r>
    <s v="34307"/>
    <x v="254"/>
    <s v="Personnel"/>
    <s v="H "/>
    <x v="1"/>
    <x v="19"/>
    <s v="PSES High Prog21Duty43 S275"/>
    <x v="1"/>
    <s v="43"/>
    <n v="43"/>
    <m/>
    <s v="   "/>
    <n v="0.08"/>
    <n v="0.23139999999999999"/>
    <n v="1.9E-2"/>
    <x v="16"/>
  </r>
  <r>
    <s v="34307"/>
    <x v="254"/>
    <s v="Personnel"/>
    <s v="M "/>
    <x v="2"/>
    <x v="31"/>
    <s v="PSES Mid Prog21Duty43 S275"/>
    <x v="1"/>
    <s v="43"/>
    <n v="43"/>
    <m/>
    <s v="   "/>
    <n v="0.25"/>
    <n v="0.23139999999999999"/>
    <n v="5.8000000000000003E-2"/>
    <x v="27"/>
  </r>
  <r>
    <s v="34307"/>
    <x v="254"/>
    <s v="Personnel"/>
    <s v="E "/>
    <x v="0"/>
    <x v="79"/>
    <s v="PSES Elem Prog01Duty49 S275"/>
    <x v="0"/>
    <s v="49"/>
    <n v="49"/>
    <m/>
    <s v="   "/>
    <n v="1"/>
    <n v="0.23139999999999999"/>
    <n v="0"/>
    <x v="23"/>
  </r>
  <r>
    <s v="34307"/>
    <x v="254"/>
    <s v="Personnel"/>
    <s v="M "/>
    <x v="2"/>
    <x v="89"/>
    <s v="PSES Mid Prog01Duty49 S275"/>
    <x v="0"/>
    <s v="49"/>
    <n v="49"/>
    <m/>
    <s v="   "/>
    <n v="0.6"/>
    <n v="0.23139999999999999"/>
    <n v="0"/>
    <x v="36"/>
  </r>
  <r>
    <s v="34324"/>
    <x v="255"/>
    <s v="Personnel"/>
    <s v="H "/>
    <x v="1"/>
    <x v="5"/>
    <s v="PSES High Prog01Act25 S275"/>
    <x v="0"/>
    <s v="25"/>
    <m/>
    <n v="25"/>
    <s v="   "/>
    <n v="1.7230000000000001"/>
    <n v="0.153"/>
    <n v="0"/>
    <x v="4"/>
  </r>
  <r>
    <s v="34324"/>
    <x v="255"/>
    <s v="Personnel"/>
    <s v="E "/>
    <x v="0"/>
    <x v="8"/>
    <s v="PSES Elem Prog01Act26 S275"/>
    <x v="0"/>
    <s v="26"/>
    <m/>
    <n v="26"/>
    <s v="   "/>
    <n v="0.32400000000000001"/>
    <n v="0.153"/>
    <n v="0"/>
    <x v="6"/>
  </r>
  <r>
    <s v="34324"/>
    <x v="255"/>
    <s v="Personnel"/>
    <s v="M "/>
    <x v="2"/>
    <x v="11"/>
    <s v="PSES Mid Prog01Act26 S275"/>
    <x v="0"/>
    <s v="26"/>
    <m/>
    <n v="26"/>
    <s v="   "/>
    <n v="0.182"/>
    <n v="0.153"/>
    <n v="0"/>
    <x v="8"/>
  </r>
  <r>
    <s v="34324"/>
    <x v="255"/>
    <s v="Personnel"/>
    <s v="E "/>
    <x v="0"/>
    <x v="15"/>
    <s v="PSES Elem Prog01Duty42 S275"/>
    <x v="0"/>
    <s v="42"/>
    <n v="42"/>
    <m/>
    <s v="   "/>
    <n v="0.8"/>
    <n v="0.153"/>
    <n v="0"/>
    <x v="12"/>
  </r>
  <r>
    <s v="34324"/>
    <x v="255"/>
    <s v="Personnel"/>
    <s v="M "/>
    <x v="2"/>
    <x v="17"/>
    <s v="PSES Mid Prog01Duty42 S275"/>
    <x v="0"/>
    <s v="42"/>
    <n v="42"/>
    <m/>
    <s v="   "/>
    <n v="1"/>
    <n v="0.153"/>
    <n v="0"/>
    <x v="14"/>
  </r>
  <r>
    <s v="34401"/>
    <x v="256"/>
    <s v="Personnel"/>
    <s v="H "/>
    <x v="1"/>
    <x v="29"/>
    <s v="PSES High Prog21Act26 S275"/>
    <x v="1"/>
    <s v="26"/>
    <m/>
    <n v="26"/>
    <s v="   "/>
    <n v="0.88100000000000001"/>
    <n v="0.2341"/>
    <n v="0.20599999999999999"/>
    <x v="7"/>
  </r>
  <r>
    <s v="34401"/>
    <x v="256"/>
    <s v="Personnel"/>
    <s v="E "/>
    <x v="0"/>
    <x v="15"/>
    <s v="PSES Elem Prog01Duty42 S275"/>
    <x v="0"/>
    <s v="42"/>
    <n v="42"/>
    <m/>
    <s v="   "/>
    <n v="2.3330000000000002"/>
    <n v="0.2341"/>
    <n v="0"/>
    <x v="12"/>
  </r>
  <r>
    <s v="34401"/>
    <x v="256"/>
    <s v="Personnel"/>
    <s v="H "/>
    <x v="1"/>
    <x v="16"/>
    <s v="PSES High Prog01Duty42 S275"/>
    <x v="0"/>
    <s v="42"/>
    <n v="42"/>
    <m/>
    <s v="   "/>
    <n v="2"/>
    <n v="0.2341"/>
    <n v="0"/>
    <x v="13"/>
  </r>
  <r>
    <s v="34401"/>
    <x v="256"/>
    <s v="Personnel"/>
    <s v="M "/>
    <x v="2"/>
    <x v="17"/>
    <s v="PSES Mid Prog01Duty42 S275"/>
    <x v="0"/>
    <s v="42"/>
    <n v="42"/>
    <m/>
    <s v="   "/>
    <n v="0.66700000000000004"/>
    <n v="0.2341"/>
    <n v="0"/>
    <x v="14"/>
  </r>
  <r>
    <s v="34401"/>
    <x v="256"/>
    <s v="Personnel"/>
    <s v="E "/>
    <x v="0"/>
    <x v="20"/>
    <s v="PSES Elem Prog21Duty45 S275"/>
    <x v="1"/>
    <s v="45"/>
    <n v="45"/>
    <m/>
    <s v="   "/>
    <n v="1.25"/>
    <n v="0.2341"/>
    <n v="0.29299999999999998"/>
    <x v="17"/>
  </r>
  <r>
    <s v="34401"/>
    <x v="256"/>
    <s v="Personnel"/>
    <s v="E "/>
    <x v="0"/>
    <x v="22"/>
    <s v="PSES Elem Prog21Duty46 S275"/>
    <x v="1"/>
    <s v="46"/>
    <n v="46"/>
    <m/>
    <s v="   "/>
    <n v="1.1000000000000001"/>
    <n v="0.2341"/>
    <n v="0.25800000000000001"/>
    <x v="19"/>
  </r>
  <r>
    <s v="34401"/>
    <x v="256"/>
    <s v="Personnel"/>
    <s v="H "/>
    <x v="1"/>
    <x v="23"/>
    <s v="PSES High Prog21Duty46 S275"/>
    <x v="1"/>
    <s v="46"/>
    <n v="46"/>
    <m/>
    <s v="   "/>
    <n v="0.4"/>
    <n v="0.2341"/>
    <n v="9.4E-2"/>
    <x v="20"/>
  </r>
  <r>
    <s v="34402"/>
    <x v="257"/>
    <s v="Personnel"/>
    <s v="E "/>
    <x v="0"/>
    <x v="8"/>
    <s v="PSES Elem Prog01Act26 S275"/>
    <x v="0"/>
    <s v="26"/>
    <m/>
    <n v="26"/>
    <s v="   "/>
    <n v="0.75"/>
    <n v="0.2487"/>
    <n v="0"/>
    <x v="6"/>
  </r>
  <r>
    <s v="34402"/>
    <x v="257"/>
    <s v="Personnel"/>
    <s v="H "/>
    <x v="1"/>
    <x v="9"/>
    <s v="PSES High Prog01Act26 S275"/>
    <x v="0"/>
    <s v="26"/>
    <m/>
    <n v="26"/>
    <s v="   "/>
    <n v="0.375"/>
    <n v="0.2487"/>
    <n v="0"/>
    <x v="7"/>
  </r>
  <r>
    <s v="34402"/>
    <x v="257"/>
    <s v="Personnel"/>
    <s v="M "/>
    <x v="2"/>
    <x v="11"/>
    <s v="PSES Mid Prog01Act26 S275"/>
    <x v="0"/>
    <s v="26"/>
    <m/>
    <n v="26"/>
    <s v="   "/>
    <n v="0.375"/>
    <n v="0.2487"/>
    <n v="0"/>
    <x v="8"/>
  </r>
  <r>
    <s v="34402"/>
    <x v="257"/>
    <s v="Personnel"/>
    <s v="E "/>
    <x v="0"/>
    <x v="15"/>
    <s v="PSES Elem Prog01Duty42 S275"/>
    <x v="0"/>
    <s v="42"/>
    <n v="42"/>
    <m/>
    <s v="   "/>
    <n v="1.8"/>
    <n v="0.2487"/>
    <n v="0"/>
    <x v="12"/>
  </r>
  <r>
    <s v="34402"/>
    <x v="257"/>
    <s v="Personnel"/>
    <s v="H "/>
    <x v="1"/>
    <x v="16"/>
    <s v="PSES High Prog01Duty42 S275"/>
    <x v="0"/>
    <s v="42"/>
    <n v="42"/>
    <m/>
    <s v="   "/>
    <n v="0.75"/>
    <n v="0.2487"/>
    <n v="0"/>
    <x v="13"/>
  </r>
  <r>
    <s v="34402"/>
    <x v="257"/>
    <s v="Personnel"/>
    <s v="M "/>
    <x v="2"/>
    <x v="17"/>
    <s v="PSES Mid Prog01Duty42 S275"/>
    <x v="0"/>
    <s v="42"/>
    <n v="42"/>
    <m/>
    <s v="   "/>
    <n v="0.6"/>
    <n v="0.2487"/>
    <n v="0"/>
    <x v="14"/>
  </r>
  <r>
    <s v="34402"/>
    <x v="257"/>
    <s v="Personnel"/>
    <s v="E "/>
    <x v="0"/>
    <x v="20"/>
    <s v="PSES Elem Prog21Duty45 S275"/>
    <x v="1"/>
    <s v="45"/>
    <n v="45"/>
    <m/>
    <s v="   "/>
    <n v="1"/>
    <n v="0.2487"/>
    <n v="0.249"/>
    <x v="17"/>
  </r>
  <r>
    <s v="34901"/>
    <x v="258"/>
    <s v="Personnel"/>
    <s v="E "/>
    <x v="0"/>
    <x v="15"/>
    <s v="PSES Elem Prog01Duty42 S275"/>
    <x v="0"/>
    <s v="42"/>
    <n v="42"/>
    <m/>
    <s v="   "/>
    <n v="0.67"/>
    <n v="0.19539999999999999"/>
    <n v="0"/>
    <x v="12"/>
  </r>
  <r>
    <s v="34901"/>
    <x v="258"/>
    <s v="Personnel"/>
    <s v="M "/>
    <x v="2"/>
    <x v="17"/>
    <s v="PSES Mid Prog01Duty42 S275"/>
    <x v="0"/>
    <s v="42"/>
    <n v="42"/>
    <m/>
    <s v="   "/>
    <n v="0.33"/>
    <n v="0.19539999999999999"/>
    <n v="0"/>
    <x v="14"/>
  </r>
  <r>
    <s v="35200"/>
    <x v="259"/>
    <s v="Personnel"/>
    <s v="E "/>
    <x v="0"/>
    <x v="3"/>
    <s v="PSES Elem Prog01Act25 S275"/>
    <x v="0"/>
    <s v="25"/>
    <m/>
    <n v="25"/>
    <s v="   "/>
    <n v="0.93700000000000006"/>
    <n v="0.1913"/>
    <n v="0"/>
    <x v="3"/>
  </r>
  <r>
    <s v="35200"/>
    <x v="259"/>
    <s v="Personnel"/>
    <s v="M "/>
    <x v="2"/>
    <x v="6"/>
    <s v="PSES Mid Prog01Act25 S275"/>
    <x v="0"/>
    <s v="25"/>
    <m/>
    <n v="25"/>
    <s v="   "/>
    <n v="0.17699999999999999"/>
    <n v="0.1913"/>
    <n v="0"/>
    <x v="5"/>
  </r>
  <r>
    <s v="36140"/>
    <x v="260"/>
    <s v="Personnel"/>
    <s v="H "/>
    <x v="1"/>
    <x v="4"/>
    <s v="PSES High Prog21Act25 S275"/>
    <x v="1"/>
    <s v="25"/>
    <m/>
    <n v="25"/>
    <s v="   "/>
    <n v="3.7909999999999999"/>
    <n v="0.2253"/>
    <n v="0.85399999999999998"/>
    <x v="4"/>
  </r>
  <r>
    <s v="36140"/>
    <x v="260"/>
    <s v="Personnel"/>
    <s v="E "/>
    <x v="0"/>
    <x v="7"/>
    <s v="PSES Elem Prog21Act26 S275"/>
    <x v="1"/>
    <s v="26"/>
    <m/>
    <n v="26"/>
    <s v="   "/>
    <n v="5.6000000000000001E-2"/>
    <n v="0.2253"/>
    <n v="1.2999999999999999E-2"/>
    <x v="6"/>
  </r>
  <r>
    <s v="36140"/>
    <x v="260"/>
    <s v="Personnel"/>
    <s v="E "/>
    <x v="0"/>
    <x v="8"/>
    <s v="PSES Elem Prog01Act26 S275"/>
    <x v="0"/>
    <s v="26"/>
    <m/>
    <n v="26"/>
    <s v="   "/>
    <n v="0.13100000000000001"/>
    <n v="0.2253"/>
    <n v="0"/>
    <x v="6"/>
  </r>
  <r>
    <s v="36140"/>
    <x v="260"/>
    <s v="Personnel"/>
    <s v="H "/>
    <x v="1"/>
    <x v="29"/>
    <s v="PSES High Prog21Act26 S275"/>
    <x v="1"/>
    <s v="26"/>
    <m/>
    <n v="26"/>
    <s v="   "/>
    <n v="0.54800000000000004"/>
    <n v="0.2253"/>
    <n v="0.123"/>
    <x v="7"/>
  </r>
  <r>
    <s v="36140"/>
    <x v="260"/>
    <s v="Personnel"/>
    <s v="H "/>
    <x v="1"/>
    <x v="9"/>
    <s v="PSES High Prog01Act26 S275"/>
    <x v="0"/>
    <s v="26"/>
    <m/>
    <n v="26"/>
    <s v="   "/>
    <n v="3.8679999999999999"/>
    <n v="0.2253"/>
    <n v="0"/>
    <x v="7"/>
  </r>
  <r>
    <s v="36140"/>
    <x v="260"/>
    <s v="Personnel"/>
    <s v="M "/>
    <x v="2"/>
    <x v="11"/>
    <s v="PSES Mid Prog01Act26 S275"/>
    <x v="0"/>
    <s v="26"/>
    <m/>
    <n v="26"/>
    <s v="   "/>
    <n v="0.373"/>
    <n v="0.2253"/>
    <n v="0"/>
    <x v="8"/>
  </r>
  <r>
    <s v="36140"/>
    <x v="260"/>
    <s v="Personnel"/>
    <s v="E "/>
    <x v="0"/>
    <x v="62"/>
    <s v="PSES Elem Prog01Act35 S275"/>
    <x v="0"/>
    <s v="35"/>
    <m/>
    <n v="35"/>
    <s v="   "/>
    <n v="0.48399999999999999"/>
    <n v="0.2253"/>
    <n v="0"/>
    <x v="26"/>
  </r>
  <r>
    <s v="36140"/>
    <x v="260"/>
    <s v="Personnel"/>
    <s v="H "/>
    <x v="1"/>
    <x v="54"/>
    <s v="PSES High Prog01Act35 S275"/>
    <x v="0"/>
    <s v="35"/>
    <m/>
    <n v="35"/>
    <s v="   "/>
    <n v="2.181"/>
    <n v="0.2253"/>
    <n v="0"/>
    <x v="9"/>
  </r>
  <r>
    <s v="36140"/>
    <x v="260"/>
    <s v="Personnel"/>
    <s v="M "/>
    <x v="2"/>
    <x v="63"/>
    <s v="PSES Mid Prog01Act35 S275"/>
    <x v="0"/>
    <s v="35"/>
    <m/>
    <n v="35"/>
    <s v="   "/>
    <n v="0.97"/>
    <n v="0.2253"/>
    <n v="0"/>
    <x v="10"/>
  </r>
  <r>
    <s v="36140"/>
    <x v="260"/>
    <s v="Personnel"/>
    <s v="E "/>
    <x v="0"/>
    <x v="76"/>
    <s v="PSES Elem Prog21Duty42 S275"/>
    <x v="1"/>
    <s v="42"/>
    <n v="42"/>
    <m/>
    <s v="   "/>
    <n v="0.5"/>
    <n v="0.2253"/>
    <n v="0.113"/>
    <x v="12"/>
  </r>
  <r>
    <s v="36140"/>
    <x v="260"/>
    <s v="Personnel"/>
    <s v="E "/>
    <x v="0"/>
    <x v="15"/>
    <s v="PSES Elem Prog01Duty42 S275"/>
    <x v="0"/>
    <s v="42"/>
    <n v="42"/>
    <m/>
    <s v="   "/>
    <n v="5.82"/>
    <n v="0.2253"/>
    <n v="0"/>
    <x v="12"/>
  </r>
  <r>
    <s v="36140"/>
    <x v="260"/>
    <s v="Personnel"/>
    <s v="H "/>
    <x v="1"/>
    <x v="16"/>
    <s v="PSES High Prog01Duty42 S275"/>
    <x v="0"/>
    <s v="42"/>
    <n v="42"/>
    <m/>
    <s v="   "/>
    <n v="5"/>
    <n v="0.2253"/>
    <n v="0"/>
    <x v="13"/>
  </r>
  <r>
    <s v="36140"/>
    <x v="260"/>
    <s v="Personnel"/>
    <s v="M "/>
    <x v="2"/>
    <x v="17"/>
    <s v="PSES Mid Prog01Duty42 S275"/>
    <x v="0"/>
    <s v="42"/>
    <n v="42"/>
    <m/>
    <s v="   "/>
    <n v="2.68"/>
    <n v="0.2253"/>
    <n v="0"/>
    <x v="14"/>
  </r>
  <r>
    <s v="36140"/>
    <x v="260"/>
    <s v="Personnel"/>
    <s v="E "/>
    <x v="0"/>
    <x v="18"/>
    <s v="PSES Elem Prog21Duty43 S275"/>
    <x v="1"/>
    <s v="43"/>
    <n v="43"/>
    <m/>
    <s v="   "/>
    <n v="1"/>
    <n v="0.2253"/>
    <n v="0.22500000000000001"/>
    <x v="15"/>
  </r>
  <r>
    <s v="36140"/>
    <x v="260"/>
    <s v="Personnel"/>
    <s v="E "/>
    <x v="0"/>
    <x v="20"/>
    <s v="PSES Elem Prog21Duty45 S275"/>
    <x v="1"/>
    <s v="45"/>
    <n v="45"/>
    <m/>
    <s v="   "/>
    <n v="5.1159999999999997"/>
    <n v="0.2253"/>
    <n v="1.153"/>
    <x v="17"/>
  </r>
  <r>
    <s v="36140"/>
    <x v="260"/>
    <s v="Personnel"/>
    <s v="H "/>
    <x v="1"/>
    <x v="21"/>
    <s v="PSES High Prog21Duty45 S275"/>
    <x v="1"/>
    <s v="45"/>
    <n v="45"/>
    <m/>
    <s v="   "/>
    <n v="1.3080000000000001"/>
    <n v="0.2253"/>
    <n v="0.29499999999999998"/>
    <x v="18"/>
  </r>
  <r>
    <s v="36140"/>
    <x v="260"/>
    <s v="Personnel"/>
    <s v="M "/>
    <x v="2"/>
    <x v="28"/>
    <s v="PSES Mid Prog21Duty45 S275"/>
    <x v="1"/>
    <s v="45"/>
    <n v="45"/>
    <m/>
    <s v="   "/>
    <n v="1.3759999999999999"/>
    <n v="0.2253"/>
    <n v="0.31"/>
    <x v="25"/>
  </r>
  <r>
    <s v="36140"/>
    <x v="260"/>
    <s v="Personnel"/>
    <s v="E "/>
    <x v="0"/>
    <x v="22"/>
    <s v="PSES Elem Prog21Duty46 S275"/>
    <x v="1"/>
    <s v="46"/>
    <n v="46"/>
    <m/>
    <s v="   "/>
    <n v="2.556"/>
    <n v="0.2253"/>
    <n v="0.57599999999999996"/>
    <x v="19"/>
  </r>
  <r>
    <s v="36140"/>
    <x v="260"/>
    <s v="Personnel"/>
    <s v="H "/>
    <x v="1"/>
    <x v="23"/>
    <s v="PSES High Prog21Duty46 S275"/>
    <x v="1"/>
    <s v="46"/>
    <n v="46"/>
    <m/>
    <s v="   "/>
    <n v="2.15"/>
    <n v="0.2253"/>
    <n v="0.48399999999999999"/>
    <x v="20"/>
  </r>
  <r>
    <s v="36140"/>
    <x v="260"/>
    <s v="Personnel"/>
    <s v="M "/>
    <x v="2"/>
    <x v="24"/>
    <s v="PSES Mid Prog21Duty46 S275"/>
    <x v="1"/>
    <s v="46"/>
    <n v="46"/>
    <m/>
    <s v="   "/>
    <n v="0.89400000000000002"/>
    <n v="0.2253"/>
    <n v="0.20100000000000001"/>
    <x v="21"/>
  </r>
  <r>
    <s v="36140"/>
    <x v="260"/>
    <s v="Personnel"/>
    <s v="E "/>
    <x v="0"/>
    <x v="32"/>
    <s v="PSES Elem Prog21Duty47 S275"/>
    <x v="1"/>
    <s v="47"/>
    <n v="47"/>
    <m/>
    <s v="   "/>
    <n v="1.25"/>
    <n v="0.2253"/>
    <n v="0.28199999999999997"/>
    <x v="24"/>
  </r>
  <r>
    <s v="36140"/>
    <x v="260"/>
    <s v="Personnel"/>
    <s v="E "/>
    <x v="0"/>
    <x v="27"/>
    <s v="PSES Elem Prog01Duty47 S275"/>
    <x v="0"/>
    <s v="47"/>
    <n v="47"/>
    <m/>
    <s v="   "/>
    <n v="1.091"/>
    <n v="0.2253"/>
    <n v="0"/>
    <x v="24"/>
  </r>
  <r>
    <s v="36140"/>
    <x v="260"/>
    <s v="Personnel"/>
    <s v="H "/>
    <x v="1"/>
    <x v="61"/>
    <s v="PSES High Prog21Duty47 S275"/>
    <x v="1"/>
    <s v="47"/>
    <n v="47"/>
    <m/>
    <s v="   "/>
    <n v="9.2999999999999999E-2"/>
    <n v="0.2253"/>
    <n v="2.1000000000000001E-2"/>
    <x v="22"/>
  </r>
  <r>
    <s v="36140"/>
    <x v="260"/>
    <s v="Personnel"/>
    <s v="H "/>
    <x v="1"/>
    <x v="25"/>
    <s v="PSES High Prog01Duty47 S275"/>
    <x v="0"/>
    <s v="47"/>
    <n v="47"/>
    <m/>
    <s v="   "/>
    <n v="0.84099999999999997"/>
    <n v="0.2253"/>
    <n v="0"/>
    <x v="22"/>
  </r>
  <r>
    <s v="36140"/>
    <x v="260"/>
    <s v="Personnel"/>
    <s v="M "/>
    <x v="2"/>
    <x v="34"/>
    <s v="PSES Mid Prog01Duty47 S275"/>
    <x v="0"/>
    <s v="47"/>
    <n v="47"/>
    <m/>
    <s v="   "/>
    <n v="0.436"/>
    <n v="0.2253"/>
    <n v="0"/>
    <x v="28"/>
  </r>
  <r>
    <s v="36140"/>
    <x v="260"/>
    <s v="Personnel"/>
    <s v="E "/>
    <x v="0"/>
    <x v="35"/>
    <s v="PSES Elem Prog21Duty48 S275"/>
    <x v="1"/>
    <s v="48"/>
    <n v="48"/>
    <m/>
    <s v="   "/>
    <n v="0.75"/>
    <n v="0.2253"/>
    <n v="0.16900000000000001"/>
    <x v="29"/>
  </r>
  <r>
    <s v="36140"/>
    <x v="260"/>
    <s v="Personnel"/>
    <s v="H "/>
    <x v="1"/>
    <x v="36"/>
    <s v="PSES High Prog21Duty48 S275"/>
    <x v="1"/>
    <s v="48"/>
    <n v="48"/>
    <m/>
    <s v="   "/>
    <n v="0.5"/>
    <n v="0.2253"/>
    <n v="0.113"/>
    <x v="30"/>
  </r>
  <r>
    <s v="36140"/>
    <x v="260"/>
    <s v="Personnel"/>
    <s v="M "/>
    <x v="2"/>
    <x v="37"/>
    <s v="PSES Mid Prog21Duty48 S275"/>
    <x v="1"/>
    <s v="48"/>
    <n v="48"/>
    <m/>
    <s v="   "/>
    <n v="0.5"/>
    <n v="0.2253"/>
    <n v="0.113"/>
    <x v="31"/>
  </r>
  <r>
    <s v="36140"/>
    <x v="260"/>
    <s v="Personnel"/>
    <s v="E "/>
    <x v="0"/>
    <x v="38"/>
    <s v="PSES Elem Prog21Duty64 S275"/>
    <x v="1"/>
    <s v="64"/>
    <n v="64"/>
    <m/>
    <s v="   "/>
    <n v="2.0960000000000001"/>
    <n v="0.2253"/>
    <n v="0.47199999999999998"/>
    <x v="32"/>
  </r>
  <r>
    <s v="36140"/>
    <x v="260"/>
    <s v="Personnel"/>
    <s v="H "/>
    <x v="1"/>
    <x v="59"/>
    <s v="PSES High Prog21Duty64 S275"/>
    <x v="1"/>
    <s v="64"/>
    <n v="64"/>
    <m/>
    <s v="   "/>
    <n v="0.33800000000000002"/>
    <n v="0.2253"/>
    <n v="7.5999999999999998E-2"/>
    <x v="38"/>
  </r>
  <r>
    <s v="36140"/>
    <x v="260"/>
    <s v="Personnel"/>
    <s v="M "/>
    <x v="2"/>
    <x v="60"/>
    <s v="PSES Mid Prog21Duty64 S275"/>
    <x v="1"/>
    <s v="64"/>
    <n v="64"/>
    <m/>
    <s v="   "/>
    <n v="0.16900000000000001"/>
    <n v="0.2253"/>
    <n v="3.7999999999999999E-2"/>
    <x v="39"/>
  </r>
  <r>
    <s v="36140"/>
    <x v="260"/>
    <s v="Personnel"/>
    <s v="K"/>
    <x v="0"/>
    <x v="85"/>
    <s v="PSES Elem Prog09Duty47 S275"/>
    <x v="3"/>
    <s v="47"/>
    <n v="47"/>
    <n v="26"/>
    <m/>
    <n v="0.223"/>
    <n v="0.2253"/>
    <n v="0"/>
    <x v="46"/>
  </r>
  <r>
    <s v="36140"/>
    <x v="260"/>
    <s v="Personnel"/>
    <m/>
    <x v="0"/>
    <x v="66"/>
    <s v="PSES Elem Prog09Duty25 S275"/>
    <x v="3"/>
    <s v="25"/>
    <n v="91"/>
    <n v="25"/>
    <m/>
    <n v="3.9E-2"/>
    <n v="0.2253"/>
    <n v="0"/>
    <x v="41"/>
  </r>
  <r>
    <s v="36140"/>
    <x v="260"/>
    <s v="Personnel"/>
    <m/>
    <x v="0"/>
    <x v="66"/>
    <s v="PSES Elem Prog09Duty25 S275"/>
    <x v="3"/>
    <s v="25"/>
    <n v="91"/>
    <n v="25"/>
    <m/>
    <n v="0.09"/>
    <n v="0.2253"/>
    <n v="0"/>
    <x v="41"/>
  </r>
  <r>
    <s v="36140"/>
    <x v="260"/>
    <s v="Personnel"/>
    <m/>
    <x v="0"/>
    <x v="66"/>
    <s v="PSES Elem Prog09Duty25 S275"/>
    <x v="3"/>
    <s v="25"/>
    <n v="91"/>
    <n v="25"/>
    <m/>
    <n v="8.5000000000000006E-2"/>
    <n v="0.2253"/>
    <n v="0"/>
    <x v="41"/>
  </r>
  <r>
    <s v="36140"/>
    <x v="260"/>
    <s v="Personnel"/>
    <m/>
    <x v="0"/>
    <x v="66"/>
    <s v="PSES Elem Prog09Duty25 S275"/>
    <x v="3"/>
    <s v="25"/>
    <n v="91"/>
    <n v="25"/>
    <m/>
    <n v="0.25700000000000001"/>
    <n v="0.2253"/>
    <n v="0"/>
    <x v="41"/>
  </r>
  <r>
    <s v="36140"/>
    <x v="260"/>
    <s v="Personnel"/>
    <m/>
    <x v="0"/>
    <x v="66"/>
    <s v="PSES Elem Prog09Duty25 S275"/>
    <x v="3"/>
    <s v="25"/>
    <n v="91"/>
    <n v="25"/>
    <m/>
    <n v="6.2E-2"/>
    <n v="0.2253"/>
    <n v="0"/>
    <x v="41"/>
  </r>
  <r>
    <s v="36140"/>
    <x v="260"/>
    <s v="Personnel"/>
    <m/>
    <x v="0"/>
    <x v="66"/>
    <s v="PSES Elem Prog09Duty25 S275"/>
    <x v="3"/>
    <s v="25"/>
    <n v="91"/>
    <n v="25"/>
    <m/>
    <n v="0.05"/>
    <n v="0.2253"/>
    <n v="0"/>
    <x v="41"/>
  </r>
  <r>
    <s v="36140"/>
    <x v="260"/>
    <s v="Personnel"/>
    <s v="T"/>
    <x v="0"/>
    <x v="84"/>
    <s v="PSES Elem Prog09Duty26 S275"/>
    <x v="3"/>
    <s v="26"/>
    <n v="96"/>
    <n v="26"/>
    <m/>
    <n v="0.504"/>
    <n v="0.2253"/>
    <n v="0"/>
    <x v="45"/>
  </r>
  <r>
    <s v="36250"/>
    <x v="261"/>
    <s v="Personnel"/>
    <s v="E "/>
    <x v="0"/>
    <x v="3"/>
    <s v="PSES Elem Prog01Act25 S275"/>
    <x v="0"/>
    <s v="25"/>
    <m/>
    <n v="25"/>
    <s v="   "/>
    <n v="0.437"/>
    <n v="0.27229999999999999"/>
    <n v="0"/>
    <x v="3"/>
  </r>
  <r>
    <s v="36250"/>
    <x v="261"/>
    <s v="Personnel"/>
    <s v="H "/>
    <x v="1"/>
    <x v="4"/>
    <s v="PSES High Prog21Act25 S275"/>
    <x v="1"/>
    <s v="25"/>
    <m/>
    <n v="25"/>
    <s v="   "/>
    <n v="0.91500000000000004"/>
    <n v="0.27229999999999999"/>
    <n v="0.249"/>
    <x v="4"/>
  </r>
  <r>
    <s v="36250"/>
    <x v="261"/>
    <s v="Personnel"/>
    <s v="M "/>
    <x v="2"/>
    <x v="6"/>
    <s v="PSES Mid Prog01Act25 S275"/>
    <x v="0"/>
    <s v="25"/>
    <m/>
    <n v="25"/>
    <s v="   "/>
    <n v="0.23"/>
    <n v="0.27229999999999999"/>
    <n v="0"/>
    <x v="5"/>
  </r>
  <r>
    <s v="36250"/>
    <x v="261"/>
    <s v="Personnel"/>
    <s v="E "/>
    <x v="0"/>
    <x v="7"/>
    <s v="PSES Elem Prog21Act26 S275"/>
    <x v="1"/>
    <s v="26"/>
    <m/>
    <n v="26"/>
    <s v="   "/>
    <n v="0.68500000000000005"/>
    <n v="0.27229999999999999"/>
    <n v="0.187"/>
    <x v="6"/>
  </r>
  <r>
    <s v="36250"/>
    <x v="261"/>
    <s v="Personnel"/>
    <s v="E "/>
    <x v="0"/>
    <x v="8"/>
    <s v="PSES Elem Prog01Act26 S275"/>
    <x v="0"/>
    <s v="26"/>
    <m/>
    <n v="26"/>
    <s v="   "/>
    <n v="0.70299999999999996"/>
    <n v="0.27229999999999999"/>
    <n v="0"/>
    <x v="6"/>
  </r>
  <r>
    <s v="36250"/>
    <x v="261"/>
    <s v="Personnel"/>
    <s v="H "/>
    <x v="1"/>
    <x v="9"/>
    <s v="PSES High Prog01Act26 S275"/>
    <x v="0"/>
    <s v="26"/>
    <m/>
    <n v="26"/>
    <s v="   "/>
    <n v="1.7030000000000001"/>
    <n v="0.27229999999999999"/>
    <n v="0"/>
    <x v="7"/>
  </r>
  <r>
    <s v="36250"/>
    <x v="261"/>
    <s v="Personnel"/>
    <s v="M "/>
    <x v="2"/>
    <x v="11"/>
    <s v="PSES Mid Prog01Act26 S275"/>
    <x v="0"/>
    <s v="26"/>
    <m/>
    <n v="26"/>
    <s v="   "/>
    <n v="0.70299999999999996"/>
    <n v="0.27229999999999999"/>
    <n v="0"/>
    <x v="8"/>
  </r>
  <r>
    <s v="36250"/>
    <x v="261"/>
    <s v="Personnel"/>
    <s v="E "/>
    <x v="0"/>
    <x v="15"/>
    <s v="PSES Elem Prog01Duty42 S275"/>
    <x v="0"/>
    <s v="42"/>
    <n v="42"/>
    <m/>
    <s v="   "/>
    <n v="3"/>
    <n v="0.27229999999999999"/>
    <n v="0"/>
    <x v="12"/>
  </r>
  <r>
    <s v="36250"/>
    <x v="261"/>
    <s v="Personnel"/>
    <s v="H "/>
    <x v="1"/>
    <x v="16"/>
    <s v="PSES High Prog01Duty42 S275"/>
    <x v="0"/>
    <s v="42"/>
    <n v="42"/>
    <m/>
    <s v="   "/>
    <n v="0.86"/>
    <n v="0.27229999999999999"/>
    <n v="0"/>
    <x v="13"/>
  </r>
  <r>
    <s v="36250"/>
    <x v="261"/>
    <s v="Personnel"/>
    <s v="E "/>
    <x v="0"/>
    <x v="42"/>
    <s v="PSES Elem Prog01Duty44 S275"/>
    <x v="0"/>
    <s v="44"/>
    <n v="44"/>
    <m/>
    <s v="   "/>
    <n v="0.5"/>
    <n v="0.27229999999999999"/>
    <n v="0"/>
    <x v="33"/>
  </r>
  <r>
    <s v="36250"/>
    <x v="261"/>
    <s v="Personnel"/>
    <s v="H "/>
    <x v="1"/>
    <x v="44"/>
    <s v="PSES High Prog01Duty44 S275"/>
    <x v="0"/>
    <s v="44"/>
    <n v="44"/>
    <m/>
    <s v="   "/>
    <n v="0.25"/>
    <n v="0.27229999999999999"/>
    <n v="0"/>
    <x v="34"/>
  </r>
  <r>
    <s v="36250"/>
    <x v="261"/>
    <s v="Personnel"/>
    <s v="M "/>
    <x v="2"/>
    <x v="46"/>
    <s v="PSES Mid Prog01Duty44 S275"/>
    <x v="0"/>
    <s v="44"/>
    <n v="44"/>
    <m/>
    <s v="   "/>
    <n v="0.25"/>
    <n v="0.27229999999999999"/>
    <n v="0"/>
    <x v="35"/>
  </r>
  <r>
    <s v="36250"/>
    <x v="261"/>
    <s v="Personnel"/>
    <s v="E "/>
    <x v="0"/>
    <x v="20"/>
    <s v="PSES Elem Prog21Duty45 S275"/>
    <x v="1"/>
    <s v="45"/>
    <n v="45"/>
    <m/>
    <s v="   "/>
    <n v="1"/>
    <n v="0.27229999999999999"/>
    <n v="0.27200000000000002"/>
    <x v="17"/>
  </r>
  <r>
    <s v="36250"/>
    <x v="261"/>
    <s v="Personnel"/>
    <s v="E "/>
    <x v="0"/>
    <x v="22"/>
    <s v="PSES Elem Prog21Duty46 S275"/>
    <x v="1"/>
    <s v="46"/>
    <n v="46"/>
    <m/>
    <s v="   "/>
    <n v="1"/>
    <n v="0.27229999999999999"/>
    <n v="0.27200000000000002"/>
    <x v="19"/>
  </r>
  <r>
    <s v="36300"/>
    <x v="262"/>
    <s v="Personnel"/>
    <s v="E "/>
    <x v="0"/>
    <x v="8"/>
    <s v="PSES Elem Prog01Act26 S275"/>
    <x v="0"/>
    <s v="26"/>
    <m/>
    <n v="26"/>
    <s v="   "/>
    <n v="0.25"/>
    <n v="0.105"/>
    <n v="0"/>
    <x v="6"/>
  </r>
  <r>
    <s v="36300"/>
    <x v="262"/>
    <s v="Personnel"/>
    <s v="H "/>
    <x v="1"/>
    <x v="16"/>
    <s v="PSES High Prog01Duty42 S275"/>
    <x v="0"/>
    <s v="42"/>
    <n v="42"/>
    <m/>
    <s v="   "/>
    <n v="0.6"/>
    <n v="0.105"/>
    <n v="0"/>
    <x v="13"/>
  </r>
  <r>
    <s v="36400"/>
    <x v="263"/>
    <s v="Personnel"/>
    <s v="H "/>
    <x v="1"/>
    <x v="9"/>
    <s v="PSES High Prog01Act26 S275"/>
    <x v="0"/>
    <s v="26"/>
    <m/>
    <n v="26"/>
    <s v="   "/>
    <n v="0.36499999999999999"/>
    <n v="0.24610000000000001"/>
    <n v="0"/>
    <x v="7"/>
  </r>
  <r>
    <s v="36400"/>
    <x v="263"/>
    <s v="Personnel"/>
    <s v="M "/>
    <x v="2"/>
    <x v="11"/>
    <s v="PSES Mid Prog01Act26 S275"/>
    <x v="0"/>
    <s v="26"/>
    <m/>
    <n v="26"/>
    <s v="   "/>
    <n v="0.36499999999999999"/>
    <n v="0.24610000000000001"/>
    <n v="0"/>
    <x v="8"/>
  </r>
  <r>
    <s v="36400"/>
    <x v="263"/>
    <s v="Personnel"/>
    <s v="H "/>
    <x v="1"/>
    <x v="16"/>
    <s v="PSES High Prog01Duty42 S275"/>
    <x v="0"/>
    <s v="42"/>
    <n v="42"/>
    <m/>
    <s v="   "/>
    <n v="1"/>
    <n v="0.24610000000000001"/>
    <n v="0"/>
    <x v="13"/>
  </r>
  <r>
    <s v="36400"/>
    <x v="263"/>
    <s v="Personnel"/>
    <s v="E "/>
    <x v="0"/>
    <x v="22"/>
    <s v="PSES Elem Prog21Duty46 S275"/>
    <x v="1"/>
    <s v="46"/>
    <n v="46"/>
    <m/>
    <s v="   "/>
    <n v="0.25"/>
    <n v="0.24610000000000001"/>
    <n v="6.2E-2"/>
    <x v="19"/>
  </r>
  <r>
    <s v="36400"/>
    <x v="263"/>
    <s v="Personnel"/>
    <s v="E "/>
    <x v="0"/>
    <x v="48"/>
    <s v="PSES Elem Prog01Duty46 S275"/>
    <x v="0"/>
    <s v="46"/>
    <n v="46"/>
    <m/>
    <s v="   "/>
    <n v="0.25"/>
    <n v="0.24610000000000001"/>
    <n v="0"/>
    <x v="19"/>
  </r>
  <r>
    <s v="36400"/>
    <x v="263"/>
    <s v="Personnel"/>
    <s v="H "/>
    <x v="1"/>
    <x v="23"/>
    <s v="PSES High Prog21Duty46 S275"/>
    <x v="1"/>
    <s v="46"/>
    <n v="46"/>
    <m/>
    <s v="   "/>
    <n v="0.125"/>
    <n v="0.24610000000000001"/>
    <n v="3.1E-2"/>
    <x v="20"/>
  </r>
  <r>
    <s v="36400"/>
    <x v="263"/>
    <s v="Personnel"/>
    <s v="H "/>
    <x v="1"/>
    <x v="65"/>
    <s v="PSES High Prog01Duty46 S275"/>
    <x v="0"/>
    <s v="46"/>
    <n v="46"/>
    <m/>
    <s v="   "/>
    <n v="0.125"/>
    <n v="0.24610000000000001"/>
    <n v="0"/>
    <x v="20"/>
  </r>
  <r>
    <s v="36400"/>
    <x v="263"/>
    <s v="Personnel"/>
    <s v="M "/>
    <x v="2"/>
    <x v="24"/>
    <s v="PSES Mid Prog21Duty46 S275"/>
    <x v="1"/>
    <s v="46"/>
    <n v="46"/>
    <m/>
    <s v="   "/>
    <n v="0.125"/>
    <n v="0.24610000000000001"/>
    <n v="3.1E-2"/>
    <x v="21"/>
  </r>
  <r>
    <s v="36400"/>
    <x v="263"/>
    <s v="Personnel"/>
    <s v="M "/>
    <x v="2"/>
    <x v="49"/>
    <s v="PSES Mid Prog01Duty46 S275"/>
    <x v="0"/>
    <s v="46"/>
    <n v="46"/>
    <m/>
    <s v="   "/>
    <n v="0.125"/>
    <n v="0.24610000000000001"/>
    <n v="0"/>
    <x v="21"/>
  </r>
  <r>
    <s v="36401"/>
    <x v="264"/>
    <s v="Personnel"/>
    <s v="E "/>
    <x v="0"/>
    <x v="0"/>
    <s v="PSES Elem Prog01Duty96 S275"/>
    <x v="0"/>
    <s v="24"/>
    <n v="96"/>
    <n v="24"/>
    <s v="   "/>
    <n v="0.23599999999999999"/>
    <n v="0.1913"/>
    <n v="0"/>
    <x v="0"/>
  </r>
  <r>
    <s v="36401"/>
    <x v="264"/>
    <s v="Personnel"/>
    <s v="H "/>
    <x v="1"/>
    <x v="1"/>
    <s v="PSES High Prog01Duty96 S275"/>
    <x v="0"/>
    <s v="24"/>
    <n v="96"/>
    <n v="24"/>
    <s v="   "/>
    <n v="0.23599999999999999"/>
    <n v="0.1913"/>
    <n v="0"/>
    <x v="1"/>
  </r>
  <r>
    <s v="36401"/>
    <x v="264"/>
    <s v="Personnel"/>
    <s v="M "/>
    <x v="2"/>
    <x v="2"/>
    <s v="PSES Mid Prog01Duty96 S275"/>
    <x v="0"/>
    <s v="24"/>
    <n v="96"/>
    <n v="24"/>
    <s v="   "/>
    <n v="0.23599999999999999"/>
    <n v="0.1913"/>
    <n v="0"/>
    <x v="2"/>
  </r>
  <r>
    <s v="36401"/>
    <x v="264"/>
    <s v="Personnel"/>
    <s v="H "/>
    <x v="1"/>
    <x v="4"/>
    <s v="PSES High Prog21Act25 S275"/>
    <x v="1"/>
    <s v="25"/>
    <m/>
    <n v="25"/>
    <s v="   "/>
    <n v="0.16400000000000001"/>
    <n v="0.1913"/>
    <n v="3.1E-2"/>
    <x v="4"/>
  </r>
  <r>
    <s v="36401"/>
    <x v="264"/>
    <s v="Personnel"/>
    <s v="H "/>
    <x v="1"/>
    <x v="5"/>
    <s v="PSES High Prog01Act25 S275"/>
    <x v="0"/>
    <s v="25"/>
    <m/>
    <n v="25"/>
    <s v="   "/>
    <n v="0.40799999999999997"/>
    <n v="0.1913"/>
    <n v="0"/>
    <x v="4"/>
  </r>
  <r>
    <s v="36402"/>
    <x v="265"/>
    <s v="Personnel"/>
    <s v="E "/>
    <x v="0"/>
    <x v="8"/>
    <s v="PSES Elem Prog01Act26 S275"/>
    <x v="0"/>
    <s v="26"/>
    <m/>
    <n v="26"/>
    <s v="   "/>
    <n v="1.2999999999999999E-2"/>
    <n v="0.17299999999999999"/>
    <n v="0"/>
    <x v="6"/>
  </r>
  <r>
    <s v="36402"/>
    <x v="265"/>
    <s v="Personnel"/>
    <s v="E "/>
    <x v="0"/>
    <x v="15"/>
    <s v="PSES Elem Prog01Duty42 S275"/>
    <x v="0"/>
    <s v="42"/>
    <n v="42"/>
    <m/>
    <s v="   "/>
    <n v="0.05"/>
    <n v="0.17299999999999999"/>
    <n v="0"/>
    <x v="12"/>
  </r>
  <r>
    <s v="36402"/>
    <x v="265"/>
    <s v="Personnel"/>
    <s v="H "/>
    <x v="1"/>
    <x v="16"/>
    <s v="PSES High Prog01Duty42 S275"/>
    <x v="0"/>
    <s v="42"/>
    <n v="42"/>
    <m/>
    <s v="   "/>
    <n v="0.18"/>
    <n v="0.17299999999999999"/>
    <n v="0"/>
    <x v="13"/>
  </r>
  <r>
    <s v="36402"/>
    <x v="265"/>
    <s v="Personnel"/>
    <s v="M "/>
    <x v="2"/>
    <x v="17"/>
    <s v="PSES Mid Prog01Duty42 S275"/>
    <x v="0"/>
    <s v="42"/>
    <n v="42"/>
    <m/>
    <s v="   "/>
    <n v="0.17"/>
    <n v="0.17299999999999999"/>
    <n v="0"/>
    <x v="14"/>
  </r>
  <r>
    <s v="37501"/>
    <x v="266"/>
    <s v="Personnel"/>
    <s v="H "/>
    <x v="1"/>
    <x v="1"/>
    <s v="PSES High Prog01Duty96 S275"/>
    <x v="0"/>
    <s v="24"/>
    <n v="96"/>
    <n v="24"/>
    <s v="   "/>
    <n v="3.06"/>
    <n v="0.1875"/>
    <n v="0"/>
    <x v="1"/>
  </r>
  <r>
    <s v="37501"/>
    <x v="266"/>
    <s v="Personnel"/>
    <s v="H "/>
    <x v="1"/>
    <x v="5"/>
    <s v="PSES High Prog01Act25 S275"/>
    <x v="0"/>
    <s v="25"/>
    <m/>
    <n v="25"/>
    <s v="   "/>
    <n v="18.640999999999998"/>
    <n v="0.1875"/>
    <n v="0"/>
    <x v="4"/>
  </r>
  <r>
    <s v="37501"/>
    <x v="266"/>
    <s v="Personnel"/>
    <s v="H "/>
    <x v="1"/>
    <x v="29"/>
    <s v="PSES High Prog21Act26 S275"/>
    <x v="1"/>
    <s v="26"/>
    <m/>
    <n v="26"/>
    <s v="   "/>
    <n v="1.716"/>
    <n v="0.1875"/>
    <n v="0.32200000000000001"/>
    <x v="7"/>
  </r>
  <r>
    <s v="37501"/>
    <x v="266"/>
    <s v="Personnel"/>
    <s v="H "/>
    <x v="1"/>
    <x v="9"/>
    <s v="PSES High Prog01Act26 S275"/>
    <x v="0"/>
    <s v="26"/>
    <m/>
    <n v="26"/>
    <s v="   "/>
    <n v="5.1449999999999996"/>
    <n v="0.1875"/>
    <n v="0"/>
    <x v="7"/>
  </r>
  <r>
    <s v="37501"/>
    <x v="266"/>
    <s v="Personnel"/>
    <s v="H "/>
    <x v="1"/>
    <x v="12"/>
    <s v="PSES High Prog97Act35 S275"/>
    <x v="2"/>
    <s v="35"/>
    <m/>
    <n v="35"/>
    <s v="   "/>
    <n v="1"/>
    <n v="0.1875"/>
    <n v="0"/>
    <x v="9"/>
  </r>
  <r>
    <s v="37501"/>
    <x v="266"/>
    <s v="Personnel"/>
    <s v="E "/>
    <x v="0"/>
    <x v="15"/>
    <s v="PSES Elem Prog01Duty42 S275"/>
    <x v="0"/>
    <s v="42"/>
    <n v="42"/>
    <m/>
    <s v="   "/>
    <n v="5.6"/>
    <n v="0.1875"/>
    <n v="0"/>
    <x v="12"/>
  </r>
  <r>
    <s v="37501"/>
    <x v="266"/>
    <s v="Personnel"/>
    <s v="H "/>
    <x v="1"/>
    <x v="16"/>
    <s v="PSES High Prog01Duty42 S275"/>
    <x v="0"/>
    <s v="42"/>
    <n v="42"/>
    <m/>
    <s v="   "/>
    <n v="8.94"/>
    <n v="0.1875"/>
    <n v="0"/>
    <x v="13"/>
  </r>
  <r>
    <s v="37501"/>
    <x v="266"/>
    <s v="Personnel"/>
    <s v="M "/>
    <x v="2"/>
    <x v="17"/>
    <s v="PSES Mid Prog01Duty42 S275"/>
    <x v="0"/>
    <s v="42"/>
    <n v="42"/>
    <m/>
    <s v="   "/>
    <n v="5.42"/>
    <n v="0.1875"/>
    <n v="0"/>
    <x v="14"/>
  </r>
  <r>
    <s v="37501"/>
    <x v="266"/>
    <s v="Personnel"/>
    <s v="E "/>
    <x v="0"/>
    <x v="18"/>
    <s v="PSES Elem Prog21Duty43 S275"/>
    <x v="1"/>
    <s v="43"/>
    <n v="43"/>
    <m/>
    <s v="   "/>
    <n v="6.4160000000000004"/>
    <n v="0.1875"/>
    <n v="1.2030000000000001"/>
    <x v="15"/>
  </r>
  <r>
    <s v="37501"/>
    <x v="266"/>
    <s v="Personnel"/>
    <s v="H "/>
    <x v="1"/>
    <x v="19"/>
    <s v="PSES High Prog21Duty43 S275"/>
    <x v="1"/>
    <s v="43"/>
    <n v="43"/>
    <m/>
    <s v="   "/>
    <n v="0.6"/>
    <n v="0.1875"/>
    <n v="0.113"/>
    <x v="16"/>
  </r>
  <r>
    <s v="37501"/>
    <x v="266"/>
    <s v="Personnel"/>
    <s v="M "/>
    <x v="2"/>
    <x v="31"/>
    <s v="PSES Mid Prog21Duty43 S275"/>
    <x v="1"/>
    <s v="43"/>
    <n v="43"/>
    <m/>
    <s v="   "/>
    <n v="1.0840000000000001"/>
    <n v="0.1875"/>
    <n v="0.20300000000000001"/>
    <x v="27"/>
  </r>
  <r>
    <s v="37501"/>
    <x v="266"/>
    <s v="Personnel"/>
    <s v="E "/>
    <x v="0"/>
    <x v="20"/>
    <s v="PSES Elem Prog21Duty45 S275"/>
    <x v="1"/>
    <s v="45"/>
    <n v="45"/>
    <m/>
    <s v="   "/>
    <n v="13.75"/>
    <n v="0.1875"/>
    <n v="2.5779999999999998"/>
    <x v="17"/>
  </r>
  <r>
    <s v="37501"/>
    <x v="266"/>
    <s v="Personnel"/>
    <s v="H "/>
    <x v="1"/>
    <x v="21"/>
    <s v="PSES High Prog21Duty45 S275"/>
    <x v="1"/>
    <s v="45"/>
    <n v="45"/>
    <m/>
    <s v="   "/>
    <n v="2.5840000000000001"/>
    <n v="0.1875"/>
    <n v="0.48499999999999999"/>
    <x v="18"/>
  </r>
  <r>
    <s v="37501"/>
    <x v="266"/>
    <s v="Personnel"/>
    <s v="M "/>
    <x v="2"/>
    <x v="28"/>
    <s v="PSES Mid Prog21Duty45 S275"/>
    <x v="1"/>
    <s v="45"/>
    <n v="45"/>
    <m/>
    <s v="   "/>
    <n v="2.5659999999999998"/>
    <n v="0.1875"/>
    <n v="0.48099999999999998"/>
    <x v="25"/>
  </r>
  <r>
    <s v="37501"/>
    <x v="266"/>
    <s v="Personnel"/>
    <s v="E "/>
    <x v="0"/>
    <x v="22"/>
    <s v="PSES Elem Prog21Duty46 S275"/>
    <x v="1"/>
    <s v="46"/>
    <n v="46"/>
    <m/>
    <s v="   "/>
    <n v="8.6999999999999993"/>
    <n v="0.1875"/>
    <n v="1.631"/>
    <x v="19"/>
  </r>
  <r>
    <s v="37501"/>
    <x v="266"/>
    <s v="Personnel"/>
    <s v="H "/>
    <x v="1"/>
    <x v="23"/>
    <s v="PSES High Prog21Duty46 S275"/>
    <x v="1"/>
    <s v="46"/>
    <n v="46"/>
    <m/>
    <s v="   "/>
    <n v="3.1669999999999998"/>
    <n v="0.1875"/>
    <n v="0.59399999999999997"/>
    <x v="20"/>
  </r>
  <r>
    <s v="37501"/>
    <x v="266"/>
    <s v="Personnel"/>
    <s v="M "/>
    <x v="2"/>
    <x v="24"/>
    <s v="PSES Mid Prog21Duty46 S275"/>
    <x v="1"/>
    <s v="46"/>
    <n v="46"/>
    <m/>
    <s v="   "/>
    <n v="2.133"/>
    <n v="0.1875"/>
    <n v="0.4"/>
    <x v="21"/>
  </r>
  <r>
    <s v="37501"/>
    <x v="266"/>
    <s v="Personnel"/>
    <s v="E "/>
    <x v="0"/>
    <x v="27"/>
    <s v="PSES Elem Prog01Duty47 S275"/>
    <x v="0"/>
    <s v="47"/>
    <n v="47"/>
    <m/>
    <s v="   "/>
    <n v="4.8310000000000004"/>
    <n v="0.1875"/>
    <n v="0"/>
    <x v="24"/>
  </r>
  <r>
    <s v="37501"/>
    <x v="266"/>
    <s v="Personnel"/>
    <s v="H "/>
    <x v="1"/>
    <x v="25"/>
    <s v="PSES High Prog01Duty47 S275"/>
    <x v="0"/>
    <s v="47"/>
    <n v="47"/>
    <m/>
    <s v="   "/>
    <n v="1.667"/>
    <n v="0.1875"/>
    <n v="0"/>
    <x v="22"/>
  </r>
  <r>
    <s v="37501"/>
    <x v="266"/>
    <s v="Personnel"/>
    <s v="M "/>
    <x v="2"/>
    <x v="34"/>
    <s v="PSES Mid Prog01Duty47 S275"/>
    <x v="0"/>
    <s v="47"/>
    <n v="47"/>
    <m/>
    <s v="   "/>
    <n v="1.502"/>
    <n v="0.1875"/>
    <n v="0"/>
    <x v="28"/>
  </r>
  <r>
    <s v="37501"/>
    <x v="266"/>
    <s v="Personnel"/>
    <s v="E "/>
    <x v="0"/>
    <x v="35"/>
    <s v="PSES Elem Prog21Duty48 S275"/>
    <x v="1"/>
    <s v="48"/>
    <n v="48"/>
    <m/>
    <s v="   "/>
    <n v="1.17"/>
    <n v="0.1875"/>
    <n v="0.219"/>
    <x v="29"/>
  </r>
  <r>
    <s v="37501"/>
    <x v="266"/>
    <s v="Personnel"/>
    <s v="H "/>
    <x v="1"/>
    <x v="36"/>
    <s v="PSES High Prog21Duty48 S275"/>
    <x v="1"/>
    <s v="48"/>
    <n v="48"/>
    <m/>
    <s v="   "/>
    <n v="0.41499999999999998"/>
    <n v="0.1875"/>
    <n v="7.8E-2"/>
    <x v="30"/>
  </r>
  <r>
    <s v="37501"/>
    <x v="266"/>
    <s v="Personnel"/>
    <s v="M "/>
    <x v="2"/>
    <x v="37"/>
    <s v="PSES Mid Prog21Duty48 S275"/>
    <x v="1"/>
    <s v="48"/>
    <n v="48"/>
    <m/>
    <s v="   "/>
    <n v="0.33200000000000002"/>
    <n v="0.1875"/>
    <n v="6.2E-2"/>
    <x v="31"/>
  </r>
  <r>
    <s v="37502"/>
    <x v="267"/>
    <s v="Personnel"/>
    <s v="H "/>
    <x v="1"/>
    <x v="1"/>
    <s v="PSES High Prog01Duty96 S275"/>
    <x v="0"/>
    <s v="24"/>
    <n v="96"/>
    <n v="24"/>
    <s v="   "/>
    <n v="3.42"/>
    <n v="0.23380000000000001"/>
    <n v="0"/>
    <x v="1"/>
  </r>
  <r>
    <s v="37502"/>
    <x v="267"/>
    <s v="Personnel"/>
    <s v="H "/>
    <x v="1"/>
    <x v="4"/>
    <s v="PSES High Prog21Act25 S275"/>
    <x v="1"/>
    <s v="25"/>
    <m/>
    <n v="25"/>
    <s v="   "/>
    <n v="0.14000000000000001"/>
    <n v="0.23380000000000001"/>
    <n v="3.3000000000000002E-2"/>
    <x v="4"/>
  </r>
  <r>
    <s v="37502"/>
    <x v="267"/>
    <s v="Personnel"/>
    <s v="H "/>
    <x v="1"/>
    <x v="5"/>
    <s v="PSES High Prog01Act25 S275"/>
    <x v="0"/>
    <s v="25"/>
    <m/>
    <n v="25"/>
    <s v="   "/>
    <n v="6.0730000000000004"/>
    <n v="0.23380000000000001"/>
    <n v="0"/>
    <x v="4"/>
  </r>
  <r>
    <s v="37502"/>
    <x v="267"/>
    <s v="Personnel"/>
    <s v="H "/>
    <x v="1"/>
    <x v="29"/>
    <s v="PSES High Prog21Act26 S275"/>
    <x v="1"/>
    <s v="26"/>
    <m/>
    <n v="26"/>
    <s v="   "/>
    <n v="1.401"/>
    <n v="0.23380000000000001"/>
    <n v="0.32800000000000001"/>
    <x v="7"/>
  </r>
  <r>
    <s v="37502"/>
    <x v="267"/>
    <s v="Personnel"/>
    <s v="H "/>
    <x v="1"/>
    <x v="9"/>
    <s v="PSES High Prog01Act26 S275"/>
    <x v="0"/>
    <s v="26"/>
    <m/>
    <n v="26"/>
    <s v="   "/>
    <n v="2.2370000000000001"/>
    <n v="0.23380000000000001"/>
    <n v="0"/>
    <x v="7"/>
  </r>
  <r>
    <s v="37502"/>
    <x v="267"/>
    <s v="Personnel"/>
    <s v="H "/>
    <x v="1"/>
    <x v="16"/>
    <s v="PSES High Prog01Duty42 S275"/>
    <x v="0"/>
    <s v="42"/>
    <n v="42"/>
    <m/>
    <s v="   "/>
    <n v="3"/>
    <n v="0.23380000000000001"/>
    <n v="0"/>
    <x v="13"/>
  </r>
  <r>
    <s v="37502"/>
    <x v="267"/>
    <s v="Personnel"/>
    <s v="M "/>
    <x v="2"/>
    <x v="17"/>
    <s v="PSES Mid Prog01Duty42 S275"/>
    <x v="0"/>
    <s v="42"/>
    <n v="42"/>
    <m/>
    <s v="   "/>
    <n v="2"/>
    <n v="0.23380000000000001"/>
    <n v="0"/>
    <x v="14"/>
  </r>
  <r>
    <s v="37502"/>
    <x v="267"/>
    <s v="Personnel"/>
    <s v="E "/>
    <x v="0"/>
    <x v="18"/>
    <s v="PSES Elem Prog21Duty43 S275"/>
    <x v="1"/>
    <s v="43"/>
    <n v="43"/>
    <m/>
    <s v="   "/>
    <n v="1.891"/>
    <n v="0.23380000000000001"/>
    <n v="0.442"/>
    <x v="15"/>
  </r>
  <r>
    <s v="37502"/>
    <x v="267"/>
    <s v="Personnel"/>
    <s v="H "/>
    <x v="1"/>
    <x v="19"/>
    <s v="PSES High Prog21Duty43 S275"/>
    <x v="1"/>
    <s v="43"/>
    <n v="43"/>
    <m/>
    <s v="   "/>
    <n v="0.51500000000000001"/>
    <n v="0.23380000000000001"/>
    <n v="0.12"/>
    <x v="16"/>
  </r>
  <r>
    <s v="37502"/>
    <x v="267"/>
    <s v="Personnel"/>
    <s v="M "/>
    <x v="2"/>
    <x v="31"/>
    <s v="PSES Mid Prog21Duty43 S275"/>
    <x v="1"/>
    <s v="43"/>
    <n v="43"/>
    <m/>
    <s v="   "/>
    <n v="1.069"/>
    <n v="0.23380000000000001"/>
    <n v="0.25"/>
    <x v="27"/>
  </r>
  <r>
    <s v="37502"/>
    <x v="267"/>
    <s v="Personnel"/>
    <s v="E "/>
    <x v="0"/>
    <x v="20"/>
    <s v="PSES Elem Prog21Duty45 S275"/>
    <x v="1"/>
    <s v="45"/>
    <n v="45"/>
    <m/>
    <s v="   "/>
    <n v="5.0999999999999996"/>
    <n v="0.23380000000000001"/>
    <n v="1.1919999999999999"/>
    <x v="17"/>
  </r>
  <r>
    <s v="37502"/>
    <x v="267"/>
    <s v="Personnel"/>
    <s v="H "/>
    <x v="1"/>
    <x v="21"/>
    <s v="PSES High Prog21Duty45 S275"/>
    <x v="1"/>
    <s v="45"/>
    <n v="45"/>
    <m/>
    <s v="   "/>
    <n v="0.5"/>
    <n v="0.23380000000000001"/>
    <n v="0.11700000000000001"/>
    <x v="18"/>
  </r>
  <r>
    <s v="37502"/>
    <x v="267"/>
    <s v="Personnel"/>
    <s v="M "/>
    <x v="2"/>
    <x v="28"/>
    <s v="PSES Mid Prog21Duty45 S275"/>
    <x v="1"/>
    <s v="45"/>
    <n v="45"/>
    <m/>
    <s v="   "/>
    <n v="1.05"/>
    <n v="0.23380000000000001"/>
    <n v="0.245"/>
    <x v="25"/>
  </r>
  <r>
    <s v="37502"/>
    <x v="267"/>
    <s v="Personnel"/>
    <s v="M "/>
    <x v="2"/>
    <x v="52"/>
    <s v="PSES Mid Prog01Duty45 S275"/>
    <x v="0"/>
    <s v="45"/>
    <n v="45"/>
    <m/>
    <s v="   "/>
    <n v="0.05"/>
    <n v="0.23380000000000001"/>
    <n v="0"/>
    <x v="25"/>
  </r>
  <r>
    <s v="37502"/>
    <x v="267"/>
    <s v="Personnel"/>
    <s v="E "/>
    <x v="0"/>
    <x v="22"/>
    <s v="PSES Elem Prog21Duty46 S275"/>
    <x v="1"/>
    <s v="46"/>
    <n v="46"/>
    <m/>
    <s v="   "/>
    <n v="2.5"/>
    <n v="0.23380000000000001"/>
    <n v="0.58499999999999996"/>
    <x v="19"/>
  </r>
  <r>
    <s v="37502"/>
    <x v="267"/>
    <s v="Personnel"/>
    <s v="H "/>
    <x v="1"/>
    <x v="23"/>
    <s v="PSES High Prog21Duty46 S275"/>
    <x v="1"/>
    <s v="46"/>
    <n v="46"/>
    <m/>
    <s v="   "/>
    <n v="2.5"/>
    <n v="0.23380000000000001"/>
    <n v="0.58499999999999996"/>
    <x v="20"/>
  </r>
  <r>
    <s v="37502"/>
    <x v="267"/>
    <s v="Personnel"/>
    <s v="E "/>
    <x v="0"/>
    <x v="27"/>
    <s v="PSES Elem Prog01Duty47 S275"/>
    <x v="0"/>
    <s v="47"/>
    <n v="47"/>
    <m/>
    <s v="   "/>
    <n v="1.5"/>
    <n v="0.23380000000000001"/>
    <n v="0"/>
    <x v="24"/>
  </r>
  <r>
    <s v="37502"/>
    <x v="267"/>
    <s v="Personnel"/>
    <s v="M "/>
    <x v="2"/>
    <x v="34"/>
    <s v="PSES Mid Prog01Duty47 S275"/>
    <x v="0"/>
    <s v="47"/>
    <n v="47"/>
    <m/>
    <s v="   "/>
    <n v="1.8"/>
    <n v="0.23380000000000001"/>
    <n v="0"/>
    <x v="28"/>
  </r>
  <r>
    <s v="37502"/>
    <x v="267"/>
    <s v="Personnel"/>
    <s v="E "/>
    <x v="0"/>
    <x v="35"/>
    <s v="PSES Elem Prog21Duty48 S275"/>
    <x v="1"/>
    <s v="48"/>
    <n v="48"/>
    <m/>
    <s v="   "/>
    <n v="1"/>
    <n v="0.23380000000000001"/>
    <n v="0.23400000000000001"/>
    <x v="29"/>
  </r>
  <r>
    <s v="37502"/>
    <x v="267"/>
    <s v="Personnel"/>
    <s v="H "/>
    <x v="1"/>
    <x v="36"/>
    <s v="PSES High Prog21Duty48 S275"/>
    <x v="1"/>
    <s v="48"/>
    <n v="48"/>
    <m/>
    <s v="   "/>
    <n v="0.20100000000000001"/>
    <n v="0.23380000000000001"/>
    <n v="4.7E-2"/>
    <x v="30"/>
  </r>
  <r>
    <s v="37502"/>
    <x v="267"/>
    <s v="Personnel"/>
    <s v="M "/>
    <x v="2"/>
    <x v="37"/>
    <s v="PSES Mid Prog21Duty48 S275"/>
    <x v="1"/>
    <s v="48"/>
    <n v="48"/>
    <m/>
    <s v="   "/>
    <n v="0.2"/>
    <n v="0.23380000000000001"/>
    <n v="4.7E-2"/>
    <x v="31"/>
  </r>
  <r>
    <s v="37503"/>
    <x v="268"/>
    <s v="Personnel"/>
    <s v="E "/>
    <x v="0"/>
    <x v="3"/>
    <s v="PSES Elem Prog01Act25 S275"/>
    <x v="0"/>
    <s v="25"/>
    <m/>
    <n v="25"/>
    <s v="   "/>
    <n v="0.23200000000000001"/>
    <n v="0.1777"/>
    <n v="0"/>
    <x v="3"/>
  </r>
  <r>
    <s v="37503"/>
    <x v="268"/>
    <s v="Personnel"/>
    <s v="H "/>
    <x v="1"/>
    <x v="4"/>
    <s v="PSES High Prog21Act25 S275"/>
    <x v="1"/>
    <s v="25"/>
    <m/>
    <n v="25"/>
    <s v="   "/>
    <n v="0.03"/>
    <n v="0.1777"/>
    <n v="5.0000000000000001E-3"/>
    <x v="4"/>
  </r>
  <r>
    <s v="37503"/>
    <x v="268"/>
    <s v="Personnel"/>
    <s v="H "/>
    <x v="1"/>
    <x v="5"/>
    <s v="PSES High Prog01Act25 S275"/>
    <x v="0"/>
    <s v="25"/>
    <m/>
    <n v="25"/>
    <s v="   "/>
    <n v="1.6240000000000001"/>
    <n v="0.1777"/>
    <n v="0"/>
    <x v="4"/>
  </r>
  <r>
    <s v="37503"/>
    <x v="268"/>
    <s v="Personnel"/>
    <s v="E "/>
    <x v="0"/>
    <x v="8"/>
    <s v="PSES Elem Prog01Act26 S275"/>
    <x v="0"/>
    <s v="26"/>
    <m/>
    <n v="26"/>
    <s v="   "/>
    <n v="0.27800000000000002"/>
    <n v="0.1777"/>
    <n v="0"/>
    <x v="6"/>
  </r>
  <r>
    <s v="37503"/>
    <x v="268"/>
    <s v="Personnel"/>
    <s v="H "/>
    <x v="1"/>
    <x v="29"/>
    <s v="PSES High Prog21Act26 S275"/>
    <x v="1"/>
    <s v="26"/>
    <m/>
    <n v="26"/>
    <s v="   "/>
    <n v="1.286"/>
    <n v="0.1777"/>
    <n v="0.22900000000000001"/>
    <x v="7"/>
  </r>
  <r>
    <s v="37503"/>
    <x v="268"/>
    <s v="Personnel"/>
    <s v="H "/>
    <x v="1"/>
    <x v="9"/>
    <s v="PSES High Prog01Act26 S275"/>
    <x v="0"/>
    <s v="26"/>
    <m/>
    <n v="26"/>
    <s v="   "/>
    <n v="0.55700000000000005"/>
    <n v="0.1777"/>
    <n v="0"/>
    <x v="7"/>
  </r>
  <r>
    <s v="37503"/>
    <x v="268"/>
    <s v="Personnel"/>
    <s v="M "/>
    <x v="2"/>
    <x v="11"/>
    <s v="PSES Mid Prog01Act26 S275"/>
    <x v="0"/>
    <s v="26"/>
    <m/>
    <n v="26"/>
    <s v="   "/>
    <n v="0.27800000000000002"/>
    <n v="0.1777"/>
    <n v="0"/>
    <x v="8"/>
  </r>
  <r>
    <s v="37503"/>
    <x v="268"/>
    <s v="Personnel"/>
    <s v="E "/>
    <x v="0"/>
    <x v="15"/>
    <s v="PSES Elem Prog01Duty42 S275"/>
    <x v="0"/>
    <s v="42"/>
    <n v="42"/>
    <m/>
    <s v="   "/>
    <n v="2.31"/>
    <n v="0.1777"/>
    <n v="0"/>
    <x v="12"/>
  </r>
  <r>
    <s v="37503"/>
    <x v="268"/>
    <s v="Personnel"/>
    <s v="H "/>
    <x v="1"/>
    <x v="16"/>
    <s v="PSES High Prog01Duty42 S275"/>
    <x v="0"/>
    <s v="42"/>
    <n v="42"/>
    <m/>
    <s v="   "/>
    <n v="1.94"/>
    <n v="0.1777"/>
    <n v="0"/>
    <x v="13"/>
  </r>
  <r>
    <s v="37503"/>
    <x v="268"/>
    <s v="Personnel"/>
    <s v="M "/>
    <x v="2"/>
    <x v="17"/>
    <s v="PSES Mid Prog01Duty42 S275"/>
    <x v="0"/>
    <s v="42"/>
    <n v="42"/>
    <m/>
    <s v="   "/>
    <n v="0.69"/>
    <n v="0.1777"/>
    <n v="0"/>
    <x v="14"/>
  </r>
  <r>
    <s v="37503"/>
    <x v="268"/>
    <s v="Personnel"/>
    <s v="E "/>
    <x v="0"/>
    <x v="18"/>
    <s v="PSES Elem Prog21Duty43 S275"/>
    <x v="1"/>
    <s v="43"/>
    <n v="43"/>
    <m/>
    <s v="   "/>
    <n v="0.4"/>
    <n v="0.1777"/>
    <n v="7.0999999999999994E-2"/>
    <x v="15"/>
  </r>
  <r>
    <s v="37503"/>
    <x v="268"/>
    <s v="Personnel"/>
    <s v="H "/>
    <x v="1"/>
    <x v="19"/>
    <s v="PSES High Prog21Duty43 S275"/>
    <x v="1"/>
    <s v="43"/>
    <n v="43"/>
    <m/>
    <s v="   "/>
    <n v="0.4"/>
    <n v="0.1777"/>
    <n v="7.0999999999999994E-2"/>
    <x v="16"/>
  </r>
  <r>
    <s v="37503"/>
    <x v="268"/>
    <s v="Personnel"/>
    <s v="M "/>
    <x v="2"/>
    <x v="31"/>
    <s v="PSES Mid Prog21Duty43 S275"/>
    <x v="1"/>
    <s v="43"/>
    <n v="43"/>
    <m/>
    <s v="   "/>
    <n v="0.2"/>
    <n v="0.1777"/>
    <n v="3.5999999999999997E-2"/>
    <x v="27"/>
  </r>
  <r>
    <s v="37503"/>
    <x v="268"/>
    <s v="Personnel"/>
    <s v="E "/>
    <x v="0"/>
    <x v="42"/>
    <s v="PSES Elem Prog01Duty44 S275"/>
    <x v="0"/>
    <s v="44"/>
    <n v="44"/>
    <m/>
    <s v="   "/>
    <n v="3.5999999999999997E-2"/>
    <n v="0.1777"/>
    <n v="0"/>
    <x v="33"/>
  </r>
  <r>
    <s v="37503"/>
    <x v="268"/>
    <s v="Personnel"/>
    <s v="H "/>
    <x v="1"/>
    <x v="44"/>
    <s v="PSES High Prog01Duty44 S275"/>
    <x v="0"/>
    <s v="44"/>
    <n v="44"/>
    <m/>
    <s v="   "/>
    <n v="4.7E-2"/>
    <n v="0.1777"/>
    <n v="0"/>
    <x v="34"/>
  </r>
  <r>
    <s v="37503"/>
    <x v="268"/>
    <s v="Personnel"/>
    <s v="M "/>
    <x v="2"/>
    <x v="46"/>
    <s v="PSES Mid Prog01Duty44 S275"/>
    <x v="0"/>
    <s v="44"/>
    <n v="44"/>
    <m/>
    <s v="   "/>
    <n v="1.6E-2"/>
    <n v="0.1777"/>
    <n v="0"/>
    <x v="35"/>
  </r>
  <r>
    <s v="37503"/>
    <x v="268"/>
    <s v="Personnel"/>
    <s v="E "/>
    <x v="0"/>
    <x v="20"/>
    <s v="PSES Elem Prog21Duty45 S275"/>
    <x v="1"/>
    <s v="45"/>
    <n v="45"/>
    <m/>
    <s v="   "/>
    <n v="4.0039999999999996"/>
    <n v="0.1777"/>
    <n v="0.71199999999999997"/>
    <x v="17"/>
  </r>
  <r>
    <s v="37503"/>
    <x v="268"/>
    <s v="Personnel"/>
    <s v="H "/>
    <x v="1"/>
    <x v="21"/>
    <s v="PSES High Prog21Duty45 S275"/>
    <x v="1"/>
    <s v="45"/>
    <n v="45"/>
    <m/>
    <s v="   "/>
    <n v="0.55000000000000004"/>
    <n v="0.1777"/>
    <n v="9.8000000000000004E-2"/>
    <x v="18"/>
  </r>
  <r>
    <s v="37503"/>
    <x v="268"/>
    <s v="Personnel"/>
    <s v="M "/>
    <x v="2"/>
    <x v="28"/>
    <s v="PSES Mid Prog21Duty45 S275"/>
    <x v="1"/>
    <s v="45"/>
    <n v="45"/>
    <m/>
    <s v="   "/>
    <n v="0.64"/>
    <n v="0.1777"/>
    <n v="0.114"/>
    <x v="25"/>
  </r>
  <r>
    <s v="37503"/>
    <x v="268"/>
    <s v="Personnel"/>
    <s v="E "/>
    <x v="0"/>
    <x v="22"/>
    <s v="PSES Elem Prog21Duty46 S275"/>
    <x v="1"/>
    <s v="46"/>
    <n v="46"/>
    <m/>
    <s v="   "/>
    <n v="1.2"/>
    <n v="0.1777"/>
    <n v="0.21299999999999999"/>
    <x v="19"/>
  </r>
  <r>
    <s v="37503"/>
    <x v="268"/>
    <s v="Personnel"/>
    <s v="H "/>
    <x v="1"/>
    <x v="23"/>
    <s v="PSES High Prog21Duty46 S275"/>
    <x v="1"/>
    <s v="46"/>
    <n v="46"/>
    <m/>
    <s v="   "/>
    <n v="0.4"/>
    <n v="0.1777"/>
    <n v="7.0999999999999994E-2"/>
    <x v="20"/>
  </r>
  <r>
    <s v="37503"/>
    <x v="268"/>
    <s v="Personnel"/>
    <s v="M "/>
    <x v="2"/>
    <x v="24"/>
    <s v="PSES Mid Prog21Duty46 S275"/>
    <x v="1"/>
    <s v="46"/>
    <n v="46"/>
    <m/>
    <s v="   "/>
    <n v="0.2"/>
    <n v="0.1777"/>
    <n v="3.5999999999999997E-2"/>
    <x v="21"/>
  </r>
  <r>
    <s v="37503"/>
    <x v="268"/>
    <s v="Personnel"/>
    <s v="E "/>
    <x v="0"/>
    <x v="27"/>
    <s v="PSES Elem Prog01Duty47 S275"/>
    <x v="0"/>
    <s v="47"/>
    <n v="47"/>
    <m/>
    <s v="   "/>
    <n v="0.95"/>
    <n v="0.1777"/>
    <n v="0"/>
    <x v="24"/>
  </r>
  <r>
    <s v="37503"/>
    <x v="268"/>
    <s v="Personnel"/>
    <s v="H "/>
    <x v="1"/>
    <x v="25"/>
    <s v="PSES High Prog01Duty47 S275"/>
    <x v="0"/>
    <s v="47"/>
    <n v="47"/>
    <m/>
    <s v="   "/>
    <n v="0.56999999999999995"/>
    <n v="0.1777"/>
    <n v="0"/>
    <x v="22"/>
  </r>
  <r>
    <s v="37503"/>
    <x v="268"/>
    <s v="Personnel"/>
    <s v="M "/>
    <x v="2"/>
    <x v="34"/>
    <s v="PSES Mid Prog01Duty47 S275"/>
    <x v="0"/>
    <s v="47"/>
    <n v="47"/>
    <m/>
    <s v="   "/>
    <n v="0.28000000000000003"/>
    <n v="0.1777"/>
    <n v="0"/>
    <x v="28"/>
  </r>
  <r>
    <s v="37503"/>
    <x v="268"/>
    <s v="Personnel"/>
    <m/>
    <x v="0"/>
    <x v="66"/>
    <s v="PSES Elem Prog09Duty25 S275"/>
    <x v="3"/>
    <s v="25"/>
    <n v="91"/>
    <n v="25"/>
    <m/>
    <n v="2.3E-2"/>
    <n v="0.1777"/>
    <n v="0"/>
    <x v="41"/>
  </r>
  <r>
    <s v="37503"/>
    <x v="268"/>
    <s v="Personnel"/>
    <m/>
    <x v="0"/>
    <x v="66"/>
    <s v="PSES Elem Prog09Duty25 S275"/>
    <x v="3"/>
    <s v="25"/>
    <n v="91"/>
    <n v="25"/>
    <m/>
    <n v="2.3E-2"/>
    <n v="0.1777"/>
    <n v="0"/>
    <x v="41"/>
  </r>
  <r>
    <s v="37504"/>
    <x v="269"/>
    <s v="Personnel"/>
    <s v="H "/>
    <x v="1"/>
    <x v="5"/>
    <s v="PSES High Prog01Act25 S275"/>
    <x v="0"/>
    <s v="25"/>
    <m/>
    <n v="25"/>
    <s v="   "/>
    <n v="4.6319999999999997"/>
    <n v="0.18790000000000001"/>
    <n v="0"/>
    <x v="4"/>
  </r>
  <r>
    <s v="37504"/>
    <x v="269"/>
    <s v="Personnel"/>
    <s v="H "/>
    <x v="1"/>
    <x v="29"/>
    <s v="PSES High Prog21Act26 S275"/>
    <x v="1"/>
    <s v="26"/>
    <m/>
    <n v="26"/>
    <s v="   "/>
    <n v="0.77500000000000002"/>
    <n v="0.18790000000000001"/>
    <n v="0.14599999999999999"/>
    <x v="7"/>
  </r>
  <r>
    <s v="37504"/>
    <x v="269"/>
    <s v="Personnel"/>
    <s v="H "/>
    <x v="1"/>
    <x v="9"/>
    <s v="PSES High Prog01Act26 S275"/>
    <x v="0"/>
    <s v="26"/>
    <m/>
    <n v="26"/>
    <s v="   "/>
    <n v="2.2480000000000002"/>
    <n v="0.18790000000000001"/>
    <n v="0"/>
    <x v="7"/>
  </r>
  <r>
    <s v="37504"/>
    <x v="269"/>
    <s v="Personnel"/>
    <s v="E "/>
    <x v="0"/>
    <x v="15"/>
    <s v="PSES Elem Prog01Duty42 S275"/>
    <x v="0"/>
    <s v="42"/>
    <n v="42"/>
    <m/>
    <s v="   "/>
    <n v="3.8"/>
    <n v="0.18790000000000001"/>
    <n v="0"/>
    <x v="12"/>
  </r>
  <r>
    <s v="37504"/>
    <x v="269"/>
    <s v="Personnel"/>
    <s v="H "/>
    <x v="1"/>
    <x v="16"/>
    <s v="PSES High Prog01Duty42 S275"/>
    <x v="0"/>
    <s v="42"/>
    <n v="42"/>
    <m/>
    <s v="   "/>
    <n v="3"/>
    <n v="0.18790000000000001"/>
    <n v="0"/>
    <x v="13"/>
  </r>
  <r>
    <s v="37504"/>
    <x v="269"/>
    <s v="Personnel"/>
    <s v="M "/>
    <x v="2"/>
    <x v="17"/>
    <s v="PSES Mid Prog01Duty42 S275"/>
    <x v="0"/>
    <s v="42"/>
    <n v="42"/>
    <m/>
    <s v="   "/>
    <n v="1.2"/>
    <n v="0.18790000000000001"/>
    <n v="0"/>
    <x v="14"/>
  </r>
  <r>
    <s v="37504"/>
    <x v="269"/>
    <s v="Personnel"/>
    <s v="E "/>
    <x v="0"/>
    <x v="18"/>
    <s v="PSES Elem Prog21Duty43 S275"/>
    <x v="1"/>
    <s v="43"/>
    <n v="43"/>
    <m/>
    <s v="   "/>
    <n v="3.4"/>
    <n v="0.18790000000000001"/>
    <n v="0.63900000000000001"/>
    <x v="15"/>
  </r>
  <r>
    <s v="37504"/>
    <x v="269"/>
    <s v="Personnel"/>
    <s v="E "/>
    <x v="0"/>
    <x v="20"/>
    <s v="PSES Elem Prog21Duty45 S275"/>
    <x v="1"/>
    <s v="45"/>
    <n v="45"/>
    <m/>
    <s v="   "/>
    <n v="3.25"/>
    <n v="0.18790000000000001"/>
    <n v="0.61099999999999999"/>
    <x v="17"/>
  </r>
  <r>
    <s v="37504"/>
    <x v="269"/>
    <s v="Personnel"/>
    <s v="H "/>
    <x v="1"/>
    <x v="21"/>
    <s v="PSES High Prog21Duty45 S275"/>
    <x v="1"/>
    <s v="45"/>
    <n v="45"/>
    <m/>
    <s v="   "/>
    <n v="1.6"/>
    <n v="0.18790000000000001"/>
    <n v="0.30099999999999999"/>
    <x v="18"/>
  </r>
  <r>
    <s v="37504"/>
    <x v="269"/>
    <s v="Personnel"/>
    <s v="M "/>
    <x v="2"/>
    <x v="28"/>
    <s v="PSES Mid Prog21Duty45 S275"/>
    <x v="1"/>
    <s v="45"/>
    <n v="45"/>
    <m/>
    <s v="   "/>
    <n v="1"/>
    <n v="0.18790000000000001"/>
    <n v="0.188"/>
    <x v="25"/>
  </r>
  <r>
    <s v="37504"/>
    <x v="269"/>
    <s v="Personnel"/>
    <s v="E "/>
    <x v="0"/>
    <x v="22"/>
    <s v="PSES Elem Prog21Duty46 S275"/>
    <x v="1"/>
    <s v="46"/>
    <n v="46"/>
    <m/>
    <s v="   "/>
    <n v="3.33"/>
    <n v="0.18790000000000001"/>
    <n v="0.626"/>
    <x v="19"/>
  </r>
  <r>
    <s v="37504"/>
    <x v="269"/>
    <s v="Personnel"/>
    <s v="H "/>
    <x v="1"/>
    <x v="23"/>
    <s v="PSES High Prog21Duty46 S275"/>
    <x v="1"/>
    <s v="46"/>
    <n v="46"/>
    <m/>
    <s v="   "/>
    <n v="1"/>
    <n v="0.18790000000000001"/>
    <n v="0.188"/>
    <x v="20"/>
  </r>
  <r>
    <s v="37504"/>
    <x v="269"/>
    <s v="Personnel"/>
    <s v="M "/>
    <x v="2"/>
    <x v="24"/>
    <s v="PSES Mid Prog21Duty46 S275"/>
    <x v="1"/>
    <s v="46"/>
    <n v="46"/>
    <m/>
    <s v="   "/>
    <n v="0.67"/>
    <n v="0.18790000000000001"/>
    <n v="0.126"/>
    <x v="21"/>
  </r>
  <r>
    <s v="37504"/>
    <x v="269"/>
    <s v="Personnel"/>
    <s v="E "/>
    <x v="0"/>
    <x v="27"/>
    <s v="PSES Elem Prog01Duty47 S275"/>
    <x v="0"/>
    <s v="47"/>
    <n v="47"/>
    <m/>
    <s v="   "/>
    <n v="1"/>
    <n v="0.18790000000000001"/>
    <n v="0"/>
    <x v="24"/>
  </r>
  <r>
    <s v="37504"/>
    <x v="269"/>
    <s v="Personnel"/>
    <s v="M "/>
    <x v="2"/>
    <x v="34"/>
    <s v="PSES Mid Prog01Duty47 S275"/>
    <x v="0"/>
    <s v="47"/>
    <n v="47"/>
    <m/>
    <s v="   "/>
    <n v="1"/>
    <n v="0.18790000000000001"/>
    <n v="0"/>
    <x v="28"/>
  </r>
  <r>
    <s v="37505"/>
    <x v="270"/>
    <s v="Personnel"/>
    <s v="E "/>
    <x v="0"/>
    <x v="0"/>
    <s v="PSES Elem Prog01Duty96 S275"/>
    <x v="0"/>
    <s v="24"/>
    <n v="96"/>
    <n v="24"/>
    <s v="   "/>
    <n v="0.20599999999999999"/>
    <n v="0.1925"/>
    <n v="0"/>
    <x v="0"/>
  </r>
  <r>
    <s v="37505"/>
    <x v="270"/>
    <s v="Personnel"/>
    <s v="H "/>
    <x v="1"/>
    <x v="1"/>
    <s v="PSES High Prog01Duty96 S275"/>
    <x v="0"/>
    <s v="24"/>
    <n v="96"/>
    <n v="24"/>
    <s v="   "/>
    <n v="0.90100000000000002"/>
    <n v="0.1925"/>
    <n v="0"/>
    <x v="1"/>
  </r>
  <r>
    <s v="37505"/>
    <x v="270"/>
    <s v="Personnel"/>
    <s v="M "/>
    <x v="2"/>
    <x v="2"/>
    <s v="PSES Mid Prog01Duty96 S275"/>
    <x v="0"/>
    <s v="24"/>
    <n v="96"/>
    <n v="24"/>
    <s v="   "/>
    <n v="0.10299999999999999"/>
    <n v="0.1925"/>
    <n v="0"/>
    <x v="2"/>
  </r>
  <r>
    <s v="37505"/>
    <x v="270"/>
    <s v="Personnel"/>
    <s v="E "/>
    <x v="0"/>
    <x v="3"/>
    <s v="PSES Elem Prog01Act25 S275"/>
    <x v="0"/>
    <s v="25"/>
    <m/>
    <n v="25"/>
    <s v="   "/>
    <n v="2.9169999999999998"/>
    <n v="0.1925"/>
    <n v="0"/>
    <x v="3"/>
  </r>
  <r>
    <s v="37505"/>
    <x v="270"/>
    <s v="Personnel"/>
    <s v="H "/>
    <x v="1"/>
    <x v="4"/>
    <s v="PSES High Prog21Act25 S275"/>
    <x v="1"/>
    <s v="25"/>
    <m/>
    <n v="25"/>
    <s v="   "/>
    <n v="0.84299999999999997"/>
    <n v="0.1925"/>
    <n v="0.16200000000000001"/>
    <x v="4"/>
  </r>
  <r>
    <s v="37505"/>
    <x v="270"/>
    <s v="Personnel"/>
    <s v="M "/>
    <x v="2"/>
    <x v="6"/>
    <s v="PSES Mid Prog01Act25 S275"/>
    <x v="0"/>
    <s v="25"/>
    <m/>
    <n v="25"/>
    <s v="   "/>
    <n v="4.4999999999999998E-2"/>
    <n v="0.1925"/>
    <n v="0"/>
    <x v="5"/>
  </r>
  <r>
    <s v="37505"/>
    <x v="270"/>
    <s v="Personnel"/>
    <s v="E "/>
    <x v="0"/>
    <x v="8"/>
    <s v="PSES Elem Prog01Act26 S275"/>
    <x v="0"/>
    <s v="26"/>
    <m/>
    <n v="26"/>
    <s v="   "/>
    <n v="0.54100000000000004"/>
    <n v="0.1925"/>
    <n v="0"/>
    <x v="6"/>
  </r>
  <r>
    <s v="37505"/>
    <x v="270"/>
    <s v="Personnel"/>
    <s v="M "/>
    <x v="2"/>
    <x v="11"/>
    <s v="PSES Mid Prog01Act26 S275"/>
    <x v="0"/>
    <s v="26"/>
    <m/>
    <n v="26"/>
    <s v="   "/>
    <n v="0.54100000000000004"/>
    <n v="0.1925"/>
    <n v="0"/>
    <x v="8"/>
  </r>
  <r>
    <s v="37505"/>
    <x v="270"/>
    <s v="Personnel"/>
    <s v="E "/>
    <x v="0"/>
    <x v="15"/>
    <s v="PSES Elem Prog01Duty42 S275"/>
    <x v="0"/>
    <s v="42"/>
    <n v="42"/>
    <m/>
    <s v="   "/>
    <n v="2.1869999999999998"/>
    <n v="0.1925"/>
    <n v="0"/>
    <x v="12"/>
  </r>
  <r>
    <s v="37505"/>
    <x v="270"/>
    <s v="Personnel"/>
    <s v="H "/>
    <x v="1"/>
    <x v="16"/>
    <s v="PSES High Prog01Duty42 S275"/>
    <x v="0"/>
    <s v="42"/>
    <n v="42"/>
    <m/>
    <s v="   "/>
    <n v="1.976"/>
    <n v="0.1925"/>
    <n v="0"/>
    <x v="13"/>
  </r>
  <r>
    <s v="37505"/>
    <x v="270"/>
    <s v="Personnel"/>
    <s v="M "/>
    <x v="2"/>
    <x v="17"/>
    <s v="PSES Mid Prog01Duty42 S275"/>
    <x v="0"/>
    <s v="42"/>
    <n v="42"/>
    <m/>
    <s v="   "/>
    <n v="1.387"/>
    <n v="0.1925"/>
    <n v="0"/>
    <x v="14"/>
  </r>
  <r>
    <s v="37505"/>
    <x v="270"/>
    <s v="Personnel"/>
    <s v="E "/>
    <x v="0"/>
    <x v="18"/>
    <s v="PSES Elem Prog21Duty43 S275"/>
    <x v="1"/>
    <s v="43"/>
    <n v="43"/>
    <m/>
    <s v="   "/>
    <n v="0.67500000000000004"/>
    <n v="0.1925"/>
    <n v="0.13"/>
    <x v="15"/>
  </r>
  <r>
    <s v="37505"/>
    <x v="270"/>
    <s v="Personnel"/>
    <s v="H "/>
    <x v="1"/>
    <x v="19"/>
    <s v="PSES High Prog21Duty43 S275"/>
    <x v="1"/>
    <s v="43"/>
    <n v="43"/>
    <m/>
    <s v="   "/>
    <n v="0.432"/>
    <n v="0.1925"/>
    <n v="8.3000000000000004E-2"/>
    <x v="16"/>
  </r>
  <r>
    <s v="37505"/>
    <x v="270"/>
    <s v="Personnel"/>
    <s v="M "/>
    <x v="2"/>
    <x v="31"/>
    <s v="PSES Mid Prog21Duty43 S275"/>
    <x v="1"/>
    <s v="43"/>
    <n v="43"/>
    <m/>
    <s v="   "/>
    <n v="0.36799999999999999"/>
    <n v="0.1925"/>
    <n v="7.0999999999999994E-2"/>
    <x v="27"/>
  </r>
  <r>
    <s v="37505"/>
    <x v="270"/>
    <s v="Personnel"/>
    <s v="E "/>
    <x v="0"/>
    <x v="20"/>
    <s v="PSES Elem Prog21Duty45 S275"/>
    <x v="1"/>
    <s v="45"/>
    <n v="45"/>
    <m/>
    <s v="   "/>
    <n v="0.55000000000000004"/>
    <n v="0.1925"/>
    <n v="0.106"/>
    <x v="17"/>
  </r>
  <r>
    <s v="37505"/>
    <x v="270"/>
    <s v="Personnel"/>
    <s v="H "/>
    <x v="1"/>
    <x v="21"/>
    <s v="PSES High Prog21Duty45 S275"/>
    <x v="1"/>
    <s v="45"/>
    <n v="45"/>
    <m/>
    <s v="   "/>
    <n v="0.28000000000000003"/>
    <n v="0.1925"/>
    <n v="5.3999999999999999E-2"/>
    <x v="18"/>
  </r>
  <r>
    <s v="37505"/>
    <x v="270"/>
    <s v="Personnel"/>
    <s v="M "/>
    <x v="2"/>
    <x v="28"/>
    <s v="PSES Mid Prog21Duty45 S275"/>
    <x v="1"/>
    <s v="45"/>
    <n v="45"/>
    <m/>
    <s v="   "/>
    <n v="0.17"/>
    <n v="0.1925"/>
    <n v="3.3000000000000002E-2"/>
    <x v="25"/>
  </r>
  <r>
    <s v="37505"/>
    <x v="270"/>
    <s v="Personnel"/>
    <s v="E "/>
    <x v="0"/>
    <x v="22"/>
    <s v="PSES Elem Prog21Duty46 S275"/>
    <x v="1"/>
    <s v="46"/>
    <n v="46"/>
    <m/>
    <s v="   "/>
    <n v="1.1000000000000001"/>
    <n v="0.1925"/>
    <n v="0.21199999999999999"/>
    <x v="19"/>
  </r>
  <r>
    <s v="37505"/>
    <x v="270"/>
    <s v="Personnel"/>
    <s v="H "/>
    <x v="1"/>
    <x v="23"/>
    <s v="PSES High Prog21Duty46 S275"/>
    <x v="1"/>
    <s v="46"/>
    <n v="46"/>
    <m/>
    <s v="   "/>
    <n v="0.56000000000000005"/>
    <n v="0.1925"/>
    <n v="0.108"/>
    <x v="20"/>
  </r>
  <r>
    <s v="37505"/>
    <x v="270"/>
    <s v="Personnel"/>
    <s v="M "/>
    <x v="2"/>
    <x v="24"/>
    <s v="PSES Mid Prog21Duty46 S275"/>
    <x v="1"/>
    <s v="46"/>
    <n v="46"/>
    <m/>
    <s v="   "/>
    <n v="0.34"/>
    <n v="0.1925"/>
    <n v="6.5000000000000002E-2"/>
    <x v="21"/>
  </r>
  <r>
    <s v="37505"/>
    <x v="270"/>
    <s v="Personnel"/>
    <s v="E "/>
    <x v="0"/>
    <x v="27"/>
    <s v="PSES Elem Prog01Duty47 S275"/>
    <x v="0"/>
    <s v="47"/>
    <n v="47"/>
    <m/>
    <s v="   "/>
    <n v="1"/>
    <n v="0.1925"/>
    <n v="0"/>
    <x v="24"/>
  </r>
  <r>
    <s v="37505"/>
    <x v="270"/>
    <s v="Personnel"/>
    <s v="H "/>
    <x v="1"/>
    <x v="25"/>
    <s v="PSES High Prog01Duty47 S275"/>
    <x v="0"/>
    <s v="47"/>
    <n v="47"/>
    <m/>
    <s v="   "/>
    <n v="0.161"/>
    <n v="0.1925"/>
    <n v="0"/>
    <x v="22"/>
  </r>
  <r>
    <s v="37505"/>
    <x v="270"/>
    <s v="Personnel"/>
    <s v="M "/>
    <x v="2"/>
    <x v="34"/>
    <s v="PSES Mid Prog01Duty47 S275"/>
    <x v="0"/>
    <s v="47"/>
    <n v="47"/>
    <m/>
    <s v="   "/>
    <n v="0.13900000000000001"/>
    <n v="0.1925"/>
    <n v="0"/>
    <x v="28"/>
  </r>
  <r>
    <s v="37505"/>
    <x v="270"/>
    <s v="Personnel"/>
    <s v="E "/>
    <x v="0"/>
    <x v="35"/>
    <s v="PSES Elem Prog21Duty48 S275"/>
    <x v="1"/>
    <s v="48"/>
    <n v="48"/>
    <m/>
    <s v="   "/>
    <n v="0.6"/>
    <n v="0.1925"/>
    <n v="0.11600000000000001"/>
    <x v="29"/>
  </r>
  <r>
    <s v="37505"/>
    <x v="270"/>
    <s v="Personnel"/>
    <s v="E "/>
    <x v="0"/>
    <x v="90"/>
    <s v="PSES Elem Prog01Duty48 S275"/>
    <x v="0"/>
    <s v="48"/>
    <n v="48"/>
    <m/>
    <s v="   "/>
    <n v="0.4"/>
    <n v="0.1925"/>
    <n v="0"/>
    <x v="29"/>
  </r>
  <r>
    <s v="37505"/>
    <x v="270"/>
    <s v="Personnel"/>
    <m/>
    <x v="0"/>
    <x v="93"/>
    <s v="PSES Elem Prog09Duty45 S275"/>
    <x v="3"/>
    <s v="45"/>
    <n v="45"/>
    <n v="34"/>
    <m/>
    <n v="1.0999999999999999E-2"/>
    <n v="0.1925"/>
    <n v="0"/>
    <x v="48"/>
  </r>
  <r>
    <s v="37505"/>
    <x v="270"/>
    <s v="Personnel"/>
    <m/>
    <x v="0"/>
    <x v="93"/>
    <s v="PSES Elem Prog09Duty42 S275"/>
    <x v="3"/>
    <s v="45"/>
    <n v="45"/>
    <n v="26"/>
    <m/>
    <n v="0.48899999999999999"/>
    <n v="0.1925"/>
    <n v="0"/>
    <x v="48"/>
  </r>
  <r>
    <s v="37506"/>
    <x v="271"/>
    <s v="Personnel"/>
    <s v="H "/>
    <x v="1"/>
    <x v="1"/>
    <s v="PSES High Prog01Duty96 S275"/>
    <x v="0"/>
    <s v="24"/>
    <n v="96"/>
    <n v="24"/>
    <s v="   "/>
    <n v="0.127"/>
    <n v="0.255"/>
    <n v="0"/>
    <x v="1"/>
  </r>
  <r>
    <s v="37506"/>
    <x v="271"/>
    <s v="Personnel"/>
    <s v="H "/>
    <x v="1"/>
    <x v="29"/>
    <s v="PSES High Prog21Act26 S275"/>
    <x v="1"/>
    <s v="26"/>
    <m/>
    <n v="26"/>
    <s v="   "/>
    <n v="0.98199999999999998"/>
    <n v="0.255"/>
    <n v="0.25"/>
    <x v="7"/>
  </r>
  <r>
    <s v="37506"/>
    <x v="271"/>
    <s v="Personnel"/>
    <s v="H "/>
    <x v="1"/>
    <x v="9"/>
    <s v="PSES High Prog01Act26 S275"/>
    <x v="0"/>
    <s v="26"/>
    <m/>
    <n v="26"/>
    <s v="   "/>
    <n v="1.5669999999999999"/>
    <n v="0.255"/>
    <n v="0"/>
    <x v="7"/>
  </r>
  <r>
    <s v="37506"/>
    <x v="271"/>
    <s v="Personnel"/>
    <s v="E "/>
    <x v="0"/>
    <x v="15"/>
    <s v="PSES Elem Prog01Duty42 S275"/>
    <x v="0"/>
    <s v="42"/>
    <n v="42"/>
    <m/>
    <s v="   "/>
    <n v="2.9209999999999998"/>
    <n v="0.255"/>
    <n v="0"/>
    <x v="12"/>
  </r>
  <r>
    <s v="37506"/>
    <x v="271"/>
    <s v="Personnel"/>
    <s v="H "/>
    <x v="1"/>
    <x v="16"/>
    <s v="PSES High Prog01Duty42 S275"/>
    <x v="0"/>
    <s v="42"/>
    <n v="42"/>
    <m/>
    <s v="   "/>
    <n v="0.79300000000000004"/>
    <n v="0.255"/>
    <n v="0"/>
    <x v="13"/>
  </r>
  <r>
    <s v="37506"/>
    <x v="271"/>
    <s v="Personnel"/>
    <s v="M "/>
    <x v="2"/>
    <x v="17"/>
    <s v="PSES Mid Prog01Duty42 S275"/>
    <x v="0"/>
    <s v="42"/>
    <n v="42"/>
    <m/>
    <s v="   "/>
    <n v="1.5"/>
    <n v="0.255"/>
    <n v="0"/>
    <x v="14"/>
  </r>
  <r>
    <s v="37506"/>
    <x v="271"/>
    <s v="Personnel"/>
    <s v="E "/>
    <x v="0"/>
    <x v="18"/>
    <s v="PSES Elem Prog21Duty43 S275"/>
    <x v="1"/>
    <s v="43"/>
    <n v="43"/>
    <m/>
    <s v="   "/>
    <n v="1"/>
    <n v="0.255"/>
    <n v="0.255"/>
    <x v="15"/>
  </r>
  <r>
    <s v="37506"/>
    <x v="271"/>
    <s v="Personnel"/>
    <s v="E "/>
    <x v="0"/>
    <x v="20"/>
    <s v="PSES Elem Prog21Duty45 S275"/>
    <x v="1"/>
    <s v="45"/>
    <n v="45"/>
    <m/>
    <s v="   "/>
    <n v="3.6"/>
    <n v="0.255"/>
    <n v="0.91800000000000004"/>
    <x v="17"/>
  </r>
  <r>
    <s v="37506"/>
    <x v="271"/>
    <s v="Personnel"/>
    <s v="E "/>
    <x v="0"/>
    <x v="22"/>
    <s v="PSES Elem Prog21Duty46 S275"/>
    <x v="1"/>
    <s v="46"/>
    <n v="46"/>
    <m/>
    <s v="   "/>
    <n v="0.28799999999999998"/>
    <n v="0.255"/>
    <n v="7.2999999999999995E-2"/>
    <x v="19"/>
  </r>
  <r>
    <s v="37506"/>
    <x v="271"/>
    <s v="Personnel"/>
    <s v="H "/>
    <x v="1"/>
    <x v="23"/>
    <s v="PSES High Prog21Duty46 S275"/>
    <x v="1"/>
    <s v="46"/>
    <n v="46"/>
    <m/>
    <s v="   "/>
    <n v="2"/>
    <n v="0.255"/>
    <n v="0.51"/>
    <x v="20"/>
  </r>
  <r>
    <s v="37507"/>
    <x v="272"/>
    <s v="Personnel"/>
    <s v="H "/>
    <x v="1"/>
    <x v="1"/>
    <s v="PSES High Prog01Duty96 S275"/>
    <x v="0"/>
    <s v="24"/>
    <n v="96"/>
    <n v="24"/>
    <s v="   "/>
    <n v="0.68799999999999994"/>
    <n v="0.20949999999999999"/>
    <n v="0"/>
    <x v="1"/>
  </r>
  <r>
    <s v="37507"/>
    <x v="272"/>
    <s v="Personnel"/>
    <s v="H "/>
    <x v="1"/>
    <x v="4"/>
    <s v="PSES High Prog21Act25 S275"/>
    <x v="1"/>
    <s v="25"/>
    <m/>
    <n v="25"/>
    <s v="   "/>
    <n v="0.253"/>
    <n v="0.20949999999999999"/>
    <n v="5.2999999999999999E-2"/>
    <x v="4"/>
  </r>
  <r>
    <s v="37507"/>
    <x v="272"/>
    <s v="Personnel"/>
    <s v="H "/>
    <x v="1"/>
    <x v="9"/>
    <s v="PSES High Prog01Act26 S275"/>
    <x v="0"/>
    <s v="26"/>
    <m/>
    <n v="26"/>
    <s v="   "/>
    <n v="1.1299999999999999"/>
    <n v="0.20949999999999999"/>
    <n v="0"/>
    <x v="7"/>
  </r>
  <r>
    <s v="37507"/>
    <x v="272"/>
    <s v="Personnel"/>
    <s v="E "/>
    <x v="0"/>
    <x v="15"/>
    <s v="PSES Elem Prog01Duty42 S275"/>
    <x v="0"/>
    <s v="42"/>
    <n v="42"/>
    <m/>
    <s v="   "/>
    <n v="2.3330000000000002"/>
    <n v="0.20949999999999999"/>
    <n v="0"/>
    <x v="12"/>
  </r>
  <r>
    <s v="37507"/>
    <x v="272"/>
    <s v="Personnel"/>
    <s v="H "/>
    <x v="1"/>
    <x v="16"/>
    <s v="PSES High Prog01Duty42 S275"/>
    <x v="0"/>
    <s v="42"/>
    <n v="42"/>
    <m/>
    <s v="   "/>
    <n v="1.75"/>
    <n v="0.20949999999999999"/>
    <n v="0"/>
    <x v="13"/>
  </r>
  <r>
    <s v="37507"/>
    <x v="272"/>
    <s v="Personnel"/>
    <s v="M "/>
    <x v="2"/>
    <x v="17"/>
    <s v="PSES Mid Prog01Duty42 S275"/>
    <x v="0"/>
    <s v="42"/>
    <n v="42"/>
    <m/>
    <s v="   "/>
    <n v="1"/>
    <n v="0.20949999999999999"/>
    <n v="0"/>
    <x v="14"/>
  </r>
  <r>
    <s v="37507"/>
    <x v="272"/>
    <s v="Personnel"/>
    <s v="E "/>
    <x v="0"/>
    <x v="20"/>
    <s v="PSES Elem Prog21Duty45 S275"/>
    <x v="1"/>
    <s v="45"/>
    <n v="45"/>
    <m/>
    <s v="   "/>
    <n v="2.3959999999999999"/>
    <n v="0.20949999999999999"/>
    <n v="0.502"/>
    <x v="17"/>
  </r>
  <r>
    <s v="37507"/>
    <x v="272"/>
    <s v="Personnel"/>
    <s v="H "/>
    <x v="1"/>
    <x v="21"/>
    <s v="PSES High Prog21Duty45 S275"/>
    <x v="1"/>
    <s v="45"/>
    <n v="45"/>
    <m/>
    <s v="   "/>
    <n v="0.40699999999999997"/>
    <n v="0.20949999999999999"/>
    <n v="8.5000000000000006E-2"/>
    <x v="18"/>
  </r>
  <r>
    <s v="37507"/>
    <x v="272"/>
    <s v="Personnel"/>
    <s v="M "/>
    <x v="2"/>
    <x v="28"/>
    <s v="PSES Mid Prog21Duty45 S275"/>
    <x v="1"/>
    <s v="45"/>
    <n v="45"/>
    <m/>
    <s v="   "/>
    <n v="0.2"/>
    <n v="0.20949999999999999"/>
    <n v="4.2000000000000003E-2"/>
    <x v="25"/>
  </r>
  <r>
    <s v="37507"/>
    <x v="272"/>
    <s v="Personnel"/>
    <s v="E "/>
    <x v="0"/>
    <x v="22"/>
    <s v="PSES Elem Prog21Duty46 S275"/>
    <x v="1"/>
    <s v="46"/>
    <n v="46"/>
    <m/>
    <s v="   "/>
    <n v="0.73"/>
    <n v="0.20949999999999999"/>
    <n v="0.153"/>
    <x v="19"/>
  </r>
  <r>
    <s v="37507"/>
    <x v="272"/>
    <s v="Personnel"/>
    <s v="H "/>
    <x v="1"/>
    <x v="23"/>
    <s v="PSES High Prog21Duty46 S275"/>
    <x v="1"/>
    <s v="46"/>
    <n v="46"/>
    <m/>
    <s v="   "/>
    <n v="0.5"/>
    <n v="0.20949999999999999"/>
    <n v="0.105"/>
    <x v="20"/>
  </r>
  <r>
    <s v="37507"/>
    <x v="272"/>
    <s v="Personnel"/>
    <s v="M "/>
    <x v="2"/>
    <x v="24"/>
    <s v="PSES Mid Prog21Duty46 S275"/>
    <x v="1"/>
    <s v="46"/>
    <n v="46"/>
    <m/>
    <s v="   "/>
    <n v="0.3"/>
    <n v="0.20949999999999999"/>
    <n v="6.3E-2"/>
    <x v="21"/>
  </r>
  <r>
    <s v="37507"/>
    <x v="272"/>
    <s v="Personnel"/>
    <s v="E "/>
    <x v="0"/>
    <x v="27"/>
    <s v="PSES Elem Prog01Duty47 S275"/>
    <x v="0"/>
    <s v="47"/>
    <n v="47"/>
    <m/>
    <s v="   "/>
    <n v="0.63100000000000001"/>
    <n v="0.20949999999999999"/>
    <n v="0"/>
    <x v="24"/>
  </r>
  <r>
    <s v="37507"/>
    <x v="272"/>
    <s v="Personnel"/>
    <s v="H "/>
    <x v="1"/>
    <x v="25"/>
    <s v="PSES High Prog01Duty47 S275"/>
    <x v="0"/>
    <s v="47"/>
    <n v="47"/>
    <m/>
    <s v="   "/>
    <n v="0.378"/>
    <n v="0.20949999999999999"/>
    <n v="0"/>
    <x v="22"/>
  </r>
  <r>
    <s v="37507"/>
    <x v="272"/>
    <s v="Personnel"/>
    <s v="M "/>
    <x v="2"/>
    <x v="34"/>
    <s v="PSES Mid Prog01Duty47 S275"/>
    <x v="0"/>
    <s v="47"/>
    <n v="47"/>
    <m/>
    <s v="   "/>
    <n v="0.253"/>
    <n v="0.20949999999999999"/>
    <n v="0"/>
    <x v="28"/>
  </r>
  <r>
    <s v="37507"/>
    <x v="272"/>
    <s v="Personnel"/>
    <s v="E "/>
    <x v="0"/>
    <x v="35"/>
    <s v="PSES Elem Prog21Duty48 S275"/>
    <x v="1"/>
    <s v="48"/>
    <n v="48"/>
    <m/>
    <s v="   "/>
    <n v="0.12"/>
    <n v="0.20949999999999999"/>
    <n v="2.5000000000000001E-2"/>
    <x v="29"/>
  </r>
  <r>
    <s v="37507"/>
    <x v="272"/>
    <s v="Personnel"/>
    <s v="H "/>
    <x v="1"/>
    <x v="36"/>
    <s v="PSES High Prog21Duty48 S275"/>
    <x v="1"/>
    <s v="48"/>
    <n v="48"/>
    <m/>
    <s v="   "/>
    <n v="0.114"/>
    <n v="0.20949999999999999"/>
    <n v="2.4E-2"/>
    <x v="30"/>
  </r>
  <r>
    <s v="37507"/>
    <x v="272"/>
    <s v="Personnel"/>
    <s v="M "/>
    <x v="2"/>
    <x v="37"/>
    <s v="PSES Mid Prog21Duty48 S275"/>
    <x v="1"/>
    <s v="48"/>
    <n v="48"/>
    <m/>
    <s v="   "/>
    <n v="0.114"/>
    <n v="0.20949999999999999"/>
    <n v="2.4E-2"/>
    <x v="31"/>
  </r>
  <r>
    <s v="37902"/>
    <x v="273"/>
    <s v="Personnel"/>
    <s v="H "/>
    <x v="1"/>
    <x v="53"/>
    <s v="PSES High Prog97Act25 S275"/>
    <x v="2"/>
    <s v="25"/>
    <m/>
    <n v="25"/>
    <s v="   "/>
    <n v="0.255"/>
    <n v="0.13"/>
    <n v="0"/>
    <x v="4"/>
  </r>
  <r>
    <s v="37903"/>
    <x v="274"/>
    <s v="Personnel"/>
    <s v="E "/>
    <x v="0"/>
    <x v="27"/>
    <s v="PSES Elem Prog01Duty47 S275"/>
    <x v="0"/>
    <s v="47"/>
    <n v="47"/>
    <m/>
    <s v="   "/>
    <n v="1"/>
    <n v="0.14660000000000001"/>
    <n v="0"/>
    <x v="24"/>
  </r>
  <r>
    <s v="38126"/>
    <x v="275"/>
    <s v="Personnel"/>
    <s v="H "/>
    <x v="1"/>
    <x v="9"/>
    <s v="PSES High Prog01Act26 S275"/>
    <x v="0"/>
    <s v="26"/>
    <m/>
    <n v="26"/>
    <s v="   "/>
    <n v="7.4999999999999997E-2"/>
    <n v="0.1"/>
    <n v="0"/>
    <x v="7"/>
  </r>
  <r>
    <s v="38126"/>
    <x v="275"/>
    <s v="Personnel"/>
    <s v="H "/>
    <x v="1"/>
    <x v="16"/>
    <s v="PSES High Prog01Duty42 S275"/>
    <x v="0"/>
    <s v="42"/>
    <n v="42"/>
    <m/>
    <s v="   "/>
    <n v="0.45"/>
    <n v="0.1"/>
    <n v="0"/>
    <x v="13"/>
  </r>
  <r>
    <s v="38265"/>
    <x v="276"/>
    <s v="Personnel"/>
    <s v="E "/>
    <x v="0"/>
    <x v="15"/>
    <s v="PSES Elem Prog01Duty42 S275"/>
    <x v="0"/>
    <s v="42"/>
    <n v="42"/>
    <m/>
    <s v="   "/>
    <n v="0.5"/>
    <n v="0.1351"/>
    <n v="0"/>
    <x v="12"/>
  </r>
  <r>
    <s v="38265"/>
    <x v="276"/>
    <s v="Personnel"/>
    <s v="H "/>
    <x v="1"/>
    <x v="16"/>
    <s v="PSES High Prog01Duty42 S275"/>
    <x v="0"/>
    <s v="42"/>
    <n v="42"/>
    <m/>
    <s v="   "/>
    <n v="0.66"/>
    <n v="0.1351"/>
    <n v="0"/>
    <x v="13"/>
  </r>
  <r>
    <s v="38265"/>
    <x v="276"/>
    <s v="Personnel"/>
    <s v="M "/>
    <x v="2"/>
    <x v="17"/>
    <s v="PSES Mid Prog01Duty42 S275"/>
    <x v="0"/>
    <s v="42"/>
    <n v="42"/>
    <m/>
    <s v="   "/>
    <n v="0.22800000000000001"/>
    <n v="0.1351"/>
    <n v="0"/>
    <x v="14"/>
  </r>
  <r>
    <s v="38267"/>
    <x v="277"/>
    <s v="Personnel"/>
    <s v="H "/>
    <x v="1"/>
    <x v="4"/>
    <s v="PSES High Prog21Act25 S275"/>
    <x v="1"/>
    <s v="25"/>
    <m/>
    <n v="25"/>
    <s v="   "/>
    <n v="1.2729999999999999"/>
    <n v="0.20910000000000001"/>
    <n v="0.26600000000000001"/>
    <x v="4"/>
  </r>
  <r>
    <s v="38267"/>
    <x v="277"/>
    <s v="Personnel"/>
    <s v="H "/>
    <x v="1"/>
    <x v="5"/>
    <s v="PSES High Prog01Act25 S275"/>
    <x v="0"/>
    <s v="25"/>
    <m/>
    <n v="25"/>
    <s v="   "/>
    <n v="2.3519999999999999"/>
    <n v="0.20910000000000001"/>
    <n v="0"/>
    <x v="4"/>
  </r>
  <r>
    <s v="38267"/>
    <x v="277"/>
    <s v="Personnel"/>
    <s v="E "/>
    <x v="0"/>
    <x v="8"/>
    <s v="PSES Elem Prog01Act26 S275"/>
    <x v="0"/>
    <s v="26"/>
    <m/>
    <n v="26"/>
    <s v="   "/>
    <n v="1.3420000000000001"/>
    <n v="0.20910000000000001"/>
    <n v="0"/>
    <x v="6"/>
  </r>
  <r>
    <s v="38267"/>
    <x v="277"/>
    <s v="Personnel"/>
    <s v="H "/>
    <x v="1"/>
    <x v="9"/>
    <s v="PSES High Prog01Act26 S275"/>
    <x v="0"/>
    <s v="26"/>
    <m/>
    <n v="26"/>
    <s v="   "/>
    <n v="1.6379999999999999"/>
    <n v="0.20910000000000001"/>
    <n v="0"/>
    <x v="7"/>
  </r>
  <r>
    <s v="38267"/>
    <x v="277"/>
    <s v="Personnel"/>
    <s v="E "/>
    <x v="0"/>
    <x v="15"/>
    <s v="PSES Elem Prog01Duty42 S275"/>
    <x v="0"/>
    <s v="42"/>
    <n v="42"/>
    <m/>
    <s v="   "/>
    <n v="3"/>
    <n v="0.20910000000000001"/>
    <n v="0"/>
    <x v="12"/>
  </r>
  <r>
    <s v="38267"/>
    <x v="277"/>
    <s v="Personnel"/>
    <s v="H "/>
    <x v="1"/>
    <x v="16"/>
    <s v="PSES High Prog01Duty42 S275"/>
    <x v="0"/>
    <s v="42"/>
    <n v="42"/>
    <m/>
    <s v="   "/>
    <n v="2.5"/>
    <n v="0.20910000000000001"/>
    <n v="0"/>
    <x v="13"/>
  </r>
  <r>
    <s v="38267"/>
    <x v="277"/>
    <s v="Personnel"/>
    <s v="M "/>
    <x v="2"/>
    <x v="17"/>
    <s v="PSES Mid Prog01Duty42 S275"/>
    <x v="0"/>
    <s v="42"/>
    <n v="42"/>
    <m/>
    <s v="   "/>
    <n v="1.5"/>
    <n v="0.20910000000000001"/>
    <n v="0"/>
    <x v="14"/>
  </r>
  <r>
    <s v="38267"/>
    <x v="277"/>
    <s v="Personnel"/>
    <s v="E "/>
    <x v="0"/>
    <x v="18"/>
    <s v="PSES Elem Prog21Duty43 S275"/>
    <x v="1"/>
    <s v="43"/>
    <n v="43"/>
    <m/>
    <s v="   "/>
    <n v="1"/>
    <n v="0.20910000000000001"/>
    <n v="0.20899999999999999"/>
    <x v="15"/>
  </r>
  <r>
    <s v="38267"/>
    <x v="277"/>
    <s v="Personnel"/>
    <s v="E "/>
    <x v="0"/>
    <x v="20"/>
    <s v="PSES Elem Prog21Duty45 S275"/>
    <x v="1"/>
    <s v="45"/>
    <n v="45"/>
    <m/>
    <s v="   "/>
    <n v="2.8"/>
    <n v="0.20910000000000001"/>
    <n v="0.58499999999999996"/>
    <x v="17"/>
  </r>
  <r>
    <s v="38267"/>
    <x v="277"/>
    <s v="Personnel"/>
    <s v="H "/>
    <x v="1"/>
    <x v="21"/>
    <s v="PSES High Prog21Duty45 S275"/>
    <x v="1"/>
    <s v="45"/>
    <n v="45"/>
    <m/>
    <s v="   "/>
    <n v="0.68100000000000005"/>
    <n v="0.20910000000000001"/>
    <n v="0.14199999999999999"/>
    <x v="18"/>
  </r>
  <r>
    <s v="38267"/>
    <x v="277"/>
    <s v="Personnel"/>
    <s v="M "/>
    <x v="2"/>
    <x v="28"/>
    <s v="PSES Mid Prog21Duty45 S275"/>
    <x v="1"/>
    <s v="45"/>
    <n v="45"/>
    <m/>
    <s v="   "/>
    <n v="0.56399999999999995"/>
    <n v="0.20910000000000001"/>
    <n v="0.11799999999999999"/>
    <x v="25"/>
  </r>
  <r>
    <s v="38267"/>
    <x v="277"/>
    <s v="Personnel"/>
    <s v="E "/>
    <x v="0"/>
    <x v="22"/>
    <s v="PSES Elem Prog21Duty46 S275"/>
    <x v="1"/>
    <s v="46"/>
    <n v="46"/>
    <m/>
    <s v="   "/>
    <n v="1.75"/>
    <n v="0.20910000000000001"/>
    <n v="0.36599999999999999"/>
    <x v="19"/>
  </r>
  <r>
    <s v="38267"/>
    <x v="277"/>
    <s v="Personnel"/>
    <s v="H "/>
    <x v="1"/>
    <x v="23"/>
    <s v="PSES High Prog21Duty46 S275"/>
    <x v="1"/>
    <s v="46"/>
    <n v="46"/>
    <m/>
    <s v="   "/>
    <n v="0.5"/>
    <n v="0.20910000000000001"/>
    <n v="0.105"/>
    <x v="20"/>
  </r>
  <r>
    <s v="38267"/>
    <x v="277"/>
    <s v="Personnel"/>
    <s v="M "/>
    <x v="2"/>
    <x v="24"/>
    <s v="PSES Mid Prog21Duty46 S275"/>
    <x v="1"/>
    <s v="46"/>
    <n v="46"/>
    <m/>
    <s v="   "/>
    <n v="0.5"/>
    <n v="0.20910000000000001"/>
    <n v="0.105"/>
    <x v="21"/>
  </r>
  <r>
    <s v="38267"/>
    <x v="277"/>
    <s v="Personnel"/>
    <s v="E "/>
    <x v="0"/>
    <x v="26"/>
    <s v="PSES Elem Prog21Duty49 S275"/>
    <x v="1"/>
    <s v="49"/>
    <n v="49"/>
    <m/>
    <s v="   "/>
    <n v="0.153"/>
    <n v="0.20910000000000001"/>
    <n v="3.2000000000000001E-2"/>
    <x v="23"/>
  </r>
  <r>
    <s v="38267"/>
    <x v="277"/>
    <s v="Personnel"/>
    <s v="E "/>
    <x v="0"/>
    <x v="79"/>
    <s v="PSES Elem Prog01Duty49 S275"/>
    <x v="0"/>
    <s v="49"/>
    <n v="49"/>
    <m/>
    <s v="   "/>
    <n v="0.153"/>
    <n v="0.20910000000000001"/>
    <n v="0"/>
    <x v="23"/>
  </r>
  <r>
    <s v="38300"/>
    <x v="278"/>
    <s v="Personnel"/>
    <s v="H "/>
    <x v="1"/>
    <x v="5"/>
    <s v="PSES High Prog01Act25 S275"/>
    <x v="0"/>
    <s v="25"/>
    <m/>
    <n v="25"/>
    <s v="   "/>
    <n v="0.54100000000000004"/>
    <n v="0.18340000000000001"/>
    <n v="0"/>
    <x v="4"/>
  </r>
  <r>
    <s v="38300"/>
    <x v="278"/>
    <s v="Personnel"/>
    <s v="E "/>
    <x v="0"/>
    <x v="15"/>
    <s v="PSES Elem Prog01Duty42 S275"/>
    <x v="0"/>
    <s v="42"/>
    <n v="42"/>
    <m/>
    <s v="   "/>
    <n v="0.875"/>
    <n v="0.18340000000000001"/>
    <n v="0"/>
    <x v="12"/>
  </r>
  <r>
    <s v="38300"/>
    <x v="278"/>
    <s v="Personnel"/>
    <s v="H "/>
    <x v="1"/>
    <x v="16"/>
    <s v="PSES High Prog01Duty42 S275"/>
    <x v="0"/>
    <s v="42"/>
    <n v="42"/>
    <m/>
    <s v="   "/>
    <n v="0.56599999999999995"/>
    <n v="0.18340000000000001"/>
    <n v="0"/>
    <x v="13"/>
  </r>
  <r>
    <s v="38300"/>
    <x v="278"/>
    <s v="Personnel"/>
    <s v="M "/>
    <x v="2"/>
    <x v="17"/>
    <s v="PSES Mid Prog01Duty42 S275"/>
    <x v="0"/>
    <s v="42"/>
    <n v="42"/>
    <m/>
    <s v="   "/>
    <n v="0.33400000000000002"/>
    <n v="0.18340000000000001"/>
    <n v="0"/>
    <x v="14"/>
  </r>
  <r>
    <s v="38300"/>
    <x v="278"/>
    <s v="Personnel"/>
    <s v="E "/>
    <x v="0"/>
    <x v="20"/>
    <s v="PSES Elem Prog21Duty45 S275"/>
    <x v="1"/>
    <s v="45"/>
    <n v="45"/>
    <m/>
    <s v="   "/>
    <n v="0.66500000000000004"/>
    <n v="0.18340000000000001"/>
    <n v="0.122"/>
    <x v="17"/>
  </r>
  <r>
    <s v="38300"/>
    <x v="278"/>
    <s v="Personnel"/>
    <s v="H "/>
    <x v="1"/>
    <x v="21"/>
    <s v="PSES High Prog21Duty45 S275"/>
    <x v="1"/>
    <s v="45"/>
    <n v="45"/>
    <m/>
    <s v="   "/>
    <n v="0.16800000000000001"/>
    <n v="0.18340000000000001"/>
    <n v="3.1E-2"/>
    <x v="18"/>
  </r>
  <r>
    <s v="38300"/>
    <x v="278"/>
    <s v="Personnel"/>
    <s v="M "/>
    <x v="2"/>
    <x v="28"/>
    <s v="PSES Mid Prog21Duty45 S275"/>
    <x v="1"/>
    <s v="45"/>
    <n v="45"/>
    <m/>
    <s v="   "/>
    <n v="0.16700000000000001"/>
    <n v="0.18340000000000001"/>
    <n v="3.1E-2"/>
    <x v="25"/>
  </r>
  <r>
    <s v="38300"/>
    <x v="278"/>
    <s v="Personnel"/>
    <s v="T"/>
    <x v="0"/>
    <x v="70"/>
    <s v="PSES Elem Prog09Duty42 S275"/>
    <x v="3"/>
    <s v="42"/>
    <n v="42"/>
    <n v="24"/>
    <m/>
    <n v="0.125"/>
    <n v="0.18340000000000001"/>
    <n v="0"/>
    <x v="42"/>
  </r>
  <r>
    <s v="38301"/>
    <x v="279"/>
    <s v="Personnel"/>
    <s v="E "/>
    <x v="0"/>
    <x v="15"/>
    <s v="PSES Elem Prog01Duty42 S275"/>
    <x v="0"/>
    <s v="42"/>
    <n v="42"/>
    <m/>
    <s v="   "/>
    <n v="0.5"/>
    <n v="0.14169999999999999"/>
    <n v="0"/>
    <x v="12"/>
  </r>
  <r>
    <s v="38301"/>
    <x v="279"/>
    <s v="Personnel"/>
    <s v="H "/>
    <x v="1"/>
    <x v="16"/>
    <s v="PSES High Prog01Duty42 S275"/>
    <x v="0"/>
    <s v="42"/>
    <n v="42"/>
    <m/>
    <s v="   "/>
    <n v="0.5"/>
    <n v="0.14169999999999999"/>
    <n v="0"/>
    <x v="13"/>
  </r>
  <r>
    <s v="38302"/>
    <x v="280"/>
    <s v="Personnel"/>
    <s v="E "/>
    <x v="0"/>
    <x v="8"/>
    <s v="PSES Elem Prog01Act26 S275"/>
    <x v="0"/>
    <s v="26"/>
    <m/>
    <n v="26"/>
    <s v="   "/>
    <n v="4.2000000000000003E-2"/>
    <n v="0.1741"/>
    <n v="0"/>
    <x v="6"/>
  </r>
  <r>
    <s v="38302"/>
    <x v="280"/>
    <s v="Personnel"/>
    <s v="H "/>
    <x v="1"/>
    <x v="9"/>
    <s v="PSES High Prog01Act26 S275"/>
    <x v="0"/>
    <s v="26"/>
    <m/>
    <n v="26"/>
    <s v="   "/>
    <n v="0.06"/>
    <n v="0.1741"/>
    <n v="0"/>
    <x v="7"/>
  </r>
  <r>
    <s v="38302"/>
    <x v="280"/>
    <s v="Personnel"/>
    <s v="E "/>
    <x v="0"/>
    <x v="15"/>
    <s v="PSES Elem Prog01Duty42 S275"/>
    <x v="0"/>
    <s v="42"/>
    <n v="42"/>
    <m/>
    <s v="   "/>
    <n v="0.5"/>
    <n v="0.1741"/>
    <n v="0"/>
    <x v="12"/>
  </r>
  <r>
    <s v="38302"/>
    <x v="280"/>
    <s v="Personnel"/>
    <s v="M "/>
    <x v="2"/>
    <x v="17"/>
    <s v="PSES Mid Prog01Duty42 S275"/>
    <x v="0"/>
    <s v="42"/>
    <n v="42"/>
    <m/>
    <s v="   "/>
    <n v="0.5"/>
    <n v="0.1741"/>
    <n v="0"/>
    <x v="14"/>
  </r>
  <r>
    <s v="38304"/>
    <x v="281"/>
    <s v="Personnel"/>
    <s v="H "/>
    <x v="1"/>
    <x v="9"/>
    <s v="PSES High Prog01Act26 S275"/>
    <x v="0"/>
    <s v="26"/>
    <m/>
    <n v="26"/>
    <s v="   "/>
    <n v="3.5000000000000003E-2"/>
    <n v="0.1014"/>
    <n v="0"/>
    <x v="7"/>
  </r>
  <r>
    <s v="38306"/>
    <x v="282"/>
    <s v="Personnel"/>
    <s v="E "/>
    <x v="0"/>
    <x v="15"/>
    <s v="PSES Elem Prog01Duty42 S275"/>
    <x v="0"/>
    <s v="42"/>
    <n v="42"/>
    <m/>
    <s v="   "/>
    <n v="0.128"/>
    <n v="0.14729999999999999"/>
    <n v="0"/>
    <x v="12"/>
  </r>
  <r>
    <s v="38306"/>
    <x v="282"/>
    <s v="Personnel"/>
    <s v="H "/>
    <x v="1"/>
    <x v="16"/>
    <s v="PSES High Prog01Duty42 S275"/>
    <x v="0"/>
    <s v="42"/>
    <n v="42"/>
    <m/>
    <s v="   "/>
    <n v="0.16900000000000001"/>
    <n v="0.14729999999999999"/>
    <n v="0"/>
    <x v="13"/>
  </r>
  <r>
    <s v="38306"/>
    <x v="282"/>
    <s v="Personnel"/>
    <s v="M "/>
    <x v="2"/>
    <x v="17"/>
    <s v="PSES Mid Prog01Duty42 S275"/>
    <x v="0"/>
    <s v="42"/>
    <n v="42"/>
    <m/>
    <s v="   "/>
    <n v="0.34699999999999998"/>
    <n v="0.14729999999999999"/>
    <n v="0"/>
    <x v="14"/>
  </r>
  <r>
    <s v="38308"/>
    <x v="283"/>
    <s v="Personnel"/>
    <s v="H "/>
    <x v="1"/>
    <x v="1"/>
    <s v="PSES High Prog01Duty96 S275"/>
    <x v="0"/>
    <s v="24"/>
    <n v="96"/>
    <n v="24"/>
    <s v="   "/>
    <n v="0.67100000000000004"/>
    <n v="0.15140000000000001"/>
    <n v="0"/>
    <x v="1"/>
  </r>
  <r>
    <s v="38308"/>
    <x v="283"/>
    <s v="Personnel"/>
    <s v="H "/>
    <x v="1"/>
    <x v="5"/>
    <s v="PSES High Prog01Act25 S275"/>
    <x v="0"/>
    <s v="25"/>
    <m/>
    <n v="25"/>
    <s v="   "/>
    <n v="0.24199999999999999"/>
    <n v="0.15140000000000001"/>
    <n v="0"/>
    <x v="4"/>
  </r>
  <r>
    <s v="38320"/>
    <x v="284"/>
    <s v="Personnel"/>
    <s v="E "/>
    <x v="0"/>
    <x v="3"/>
    <s v="PSES Elem Prog01Act25 S275"/>
    <x v="0"/>
    <s v="25"/>
    <m/>
    <n v="25"/>
    <s v="   "/>
    <n v="4.4999999999999998E-2"/>
    <n v="0.1187"/>
    <n v="0"/>
    <x v="3"/>
  </r>
  <r>
    <s v="38320"/>
    <x v="284"/>
    <s v="Personnel"/>
    <s v="H "/>
    <x v="1"/>
    <x v="5"/>
    <s v="PSES High Prog01Act25 S275"/>
    <x v="0"/>
    <s v="25"/>
    <m/>
    <n v="25"/>
    <s v="   "/>
    <n v="8.8999999999999996E-2"/>
    <n v="0.1187"/>
    <n v="0"/>
    <x v="4"/>
  </r>
  <r>
    <s v="38320"/>
    <x v="284"/>
    <s v="Personnel"/>
    <s v="M "/>
    <x v="2"/>
    <x v="6"/>
    <s v="PSES Mid Prog01Act25 S275"/>
    <x v="0"/>
    <s v="25"/>
    <m/>
    <n v="25"/>
    <s v="   "/>
    <n v="0.14399999999999999"/>
    <n v="0.1187"/>
    <n v="0"/>
    <x v="5"/>
  </r>
  <r>
    <s v="38320"/>
    <x v="284"/>
    <s v="Personnel"/>
    <s v="E "/>
    <x v="0"/>
    <x v="8"/>
    <s v="PSES Elem Prog01Act26 S275"/>
    <x v="0"/>
    <s v="26"/>
    <m/>
    <n v="26"/>
    <s v="   "/>
    <n v="9.2999999999999999E-2"/>
    <n v="0.1187"/>
    <n v="0"/>
    <x v="6"/>
  </r>
  <r>
    <s v="38320"/>
    <x v="284"/>
    <s v="Personnel"/>
    <s v="H "/>
    <x v="1"/>
    <x v="9"/>
    <s v="PSES High Prog01Act26 S275"/>
    <x v="0"/>
    <s v="26"/>
    <m/>
    <n v="26"/>
    <s v="   "/>
    <n v="9.2999999999999999E-2"/>
    <n v="0.1187"/>
    <n v="0"/>
    <x v="7"/>
  </r>
  <r>
    <s v="38320"/>
    <x v="284"/>
    <s v="Personnel"/>
    <s v="M "/>
    <x v="2"/>
    <x v="11"/>
    <s v="PSES Mid Prog01Act26 S275"/>
    <x v="0"/>
    <s v="26"/>
    <m/>
    <n v="26"/>
    <s v="   "/>
    <n v="9.2999999999999999E-2"/>
    <n v="0.1187"/>
    <n v="0"/>
    <x v="8"/>
  </r>
  <r>
    <s v="38320"/>
    <x v="284"/>
    <s v="Personnel"/>
    <s v="E "/>
    <x v="0"/>
    <x v="79"/>
    <s v="PSES Elem Prog01Duty49 S275"/>
    <x v="0"/>
    <s v="49"/>
    <n v="49"/>
    <m/>
    <s v="   "/>
    <n v="0.20399999999999999"/>
    <n v="0.1187"/>
    <n v="0"/>
    <x v="23"/>
  </r>
  <r>
    <s v="38320"/>
    <x v="284"/>
    <s v="Personnel"/>
    <s v="H "/>
    <x v="1"/>
    <x v="68"/>
    <s v="PSES High Prog01Duty49 S275"/>
    <x v="0"/>
    <s v="49"/>
    <n v="49"/>
    <m/>
    <s v="   "/>
    <n v="0.20399999999999999"/>
    <n v="0.1187"/>
    <n v="0"/>
    <x v="37"/>
  </r>
  <r>
    <s v="38320"/>
    <x v="284"/>
    <s v="Personnel"/>
    <s v="M "/>
    <x v="2"/>
    <x v="89"/>
    <s v="PSES Mid Prog01Duty49 S275"/>
    <x v="0"/>
    <s v="49"/>
    <n v="49"/>
    <m/>
    <s v="   "/>
    <n v="0.20399999999999999"/>
    <n v="0.1187"/>
    <n v="0"/>
    <x v="36"/>
  </r>
  <r>
    <s v="38322"/>
    <x v="285"/>
    <s v="Personnel"/>
    <s v="E "/>
    <x v="0"/>
    <x v="15"/>
    <s v="PSES Elem Prog01Duty42 S275"/>
    <x v="0"/>
    <s v="42"/>
    <n v="42"/>
    <m/>
    <s v="   "/>
    <n v="0.13"/>
    <n v="0.13819999999999999"/>
    <n v="0"/>
    <x v="12"/>
  </r>
  <r>
    <s v="38322"/>
    <x v="285"/>
    <s v="Personnel"/>
    <s v="H "/>
    <x v="1"/>
    <x v="16"/>
    <s v="PSES High Prog01Duty42 S275"/>
    <x v="0"/>
    <s v="42"/>
    <n v="42"/>
    <m/>
    <s v="   "/>
    <n v="0.30299999999999999"/>
    <n v="0.13819999999999999"/>
    <n v="0"/>
    <x v="13"/>
  </r>
  <r>
    <s v="38324"/>
    <x v="286"/>
    <s v="Personnel"/>
    <s v="E "/>
    <x v="0"/>
    <x v="8"/>
    <s v="PSES Elem Prog01Act26 S275"/>
    <x v="0"/>
    <s v="26"/>
    <m/>
    <n v="26"/>
    <s v="   "/>
    <n v="0.22700000000000001"/>
    <n v="0.16189999999999999"/>
    <n v="0"/>
    <x v="6"/>
  </r>
  <r>
    <s v="38324"/>
    <x v="286"/>
    <s v="Personnel"/>
    <s v="H "/>
    <x v="1"/>
    <x v="9"/>
    <s v="PSES High Prog01Act26 S275"/>
    <x v="0"/>
    <s v="26"/>
    <m/>
    <n v="26"/>
    <s v="   "/>
    <n v="0.113"/>
    <n v="0.16189999999999999"/>
    <n v="0"/>
    <x v="7"/>
  </r>
  <r>
    <s v="38324"/>
    <x v="286"/>
    <s v="Personnel"/>
    <s v="M "/>
    <x v="2"/>
    <x v="11"/>
    <s v="PSES Mid Prog01Act26 S275"/>
    <x v="0"/>
    <s v="26"/>
    <m/>
    <n v="26"/>
    <s v="   "/>
    <n v="0.113"/>
    <n v="0.16189999999999999"/>
    <n v="0"/>
    <x v="8"/>
  </r>
  <r>
    <s v="38324"/>
    <x v="286"/>
    <s v="Personnel"/>
    <s v="H "/>
    <x v="1"/>
    <x v="16"/>
    <s v="PSES High Prog01Duty42 S275"/>
    <x v="0"/>
    <s v="42"/>
    <n v="42"/>
    <m/>
    <s v="   "/>
    <n v="0.6"/>
    <n v="0.16189999999999999"/>
    <n v="0"/>
    <x v="13"/>
  </r>
  <r>
    <s v="39002"/>
    <x v="287"/>
    <s v="Personnel"/>
    <s v="H "/>
    <x v="1"/>
    <x v="5"/>
    <s v="PSES High Prog01Act25 S275"/>
    <x v="0"/>
    <s v="25"/>
    <m/>
    <n v="25"/>
    <s v="   "/>
    <n v="3.0939999999999999"/>
    <n v="0.19009999999999999"/>
    <n v="0"/>
    <x v="4"/>
  </r>
  <r>
    <s v="39002"/>
    <x v="287"/>
    <s v="Personnel"/>
    <s v="H "/>
    <x v="1"/>
    <x v="29"/>
    <s v="PSES High Prog21Act26 S275"/>
    <x v="1"/>
    <s v="26"/>
    <m/>
    <n v="26"/>
    <s v="   "/>
    <n v="0.64600000000000002"/>
    <n v="0.19009999999999999"/>
    <n v="0.123"/>
    <x v="7"/>
  </r>
  <r>
    <s v="39002"/>
    <x v="287"/>
    <s v="Personnel"/>
    <s v="H "/>
    <x v="1"/>
    <x v="9"/>
    <s v="PSES High Prog01Act26 S275"/>
    <x v="0"/>
    <s v="26"/>
    <m/>
    <n v="26"/>
    <s v="   "/>
    <n v="0.91100000000000003"/>
    <n v="0.19009999999999999"/>
    <n v="0"/>
    <x v="7"/>
  </r>
  <r>
    <s v="39002"/>
    <x v="287"/>
    <s v="Personnel"/>
    <s v="E "/>
    <x v="0"/>
    <x v="15"/>
    <s v="PSES Elem Prog01Duty42 S275"/>
    <x v="0"/>
    <s v="42"/>
    <n v="42"/>
    <m/>
    <s v="   "/>
    <n v="0.5"/>
    <n v="0.19009999999999999"/>
    <n v="0"/>
    <x v="12"/>
  </r>
  <r>
    <s v="39002"/>
    <x v="287"/>
    <s v="Personnel"/>
    <s v="M "/>
    <x v="2"/>
    <x v="17"/>
    <s v="PSES Mid Prog01Duty42 S275"/>
    <x v="0"/>
    <s v="42"/>
    <n v="42"/>
    <m/>
    <s v="   "/>
    <n v="0.5"/>
    <n v="0.19009999999999999"/>
    <n v="0"/>
    <x v="14"/>
  </r>
  <r>
    <s v="39002"/>
    <x v="287"/>
    <s v="Personnel"/>
    <s v="E "/>
    <x v="0"/>
    <x v="22"/>
    <s v="PSES Elem Prog21Duty46 S275"/>
    <x v="1"/>
    <s v="46"/>
    <n v="46"/>
    <m/>
    <s v="   "/>
    <n v="0.5"/>
    <n v="0.19009999999999999"/>
    <n v="9.5000000000000001E-2"/>
    <x v="19"/>
  </r>
  <r>
    <s v="39002"/>
    <x v="287"/>
    <s v="Personnel"/>
    <s v="M "/>
    <x v="2"/>
    <x v="24"/>
    <s v="PSES Mid Prog21Duty46 S275"/>
    <x v="1"/>
    <s v="46"/>
    <n v="46"/>
    <m/>
    <s v="   "/>
    <n v="0.5"/>
    <n v="0.19009999999999999"/>
    <n v="9.5000000000000001E-2"/>
    <x v="21"/>
  </r>
  <r>
    <s v="39003"/>
    <x v="288"/>
    <s v="Personnel"/>
    <s v="E "/>
    <x v="0"/>
    <x v="67"/>
    <s v="PSES Elem Prog21Act25 S275"/>
    <x v="1"/>
    <s v="25"/>
    <m/>
    <n v="25"/>
    <s v="   "/>
    <n v="6.9000000000000006E-2"/>
    <n v="0.15840000000000001"/>
    <n v="1.0999999999999999E-2"/>
    <x v="3"/>
  </r>
  <r>
    <s v="39003"/>
    <x v="288"/>
    <s v="Personnel"/>
    <s v="E "/>
    <x v="0"/>
    <x v="3"/>
    <s v="PSES Elem Prog01Act25 S275"/>
    <x v="0"/>
    <s v="25"/>
    <m/>
    <n v="25"/>
    <s v="   "/>
    <n v="7.3999999999999996E-2"/>
    <n v="0.15840000000000001"/>
    <n v="0"/>
    <x v="3"/>
  </r>
  <r>
    <s v="39003"/>
    <x v="288"/>
    <s v="Personnel"/>
    <s v="H "/>
    <x v="1"/>
    <x v="5"/>
    <s v="PSES High Prog01Act25 S275"/>
    <x v="0"/>
    <s v="25"/>
    <m/>
    <n v="25"/>
    <s v="   "/>
    <n v="0.14000000000000001"/>
    <n v="0.15840000000000001"/>
    <n v="0"/>
    <x v="4"/>
  </r>
  <r>
    <s v="39003"/>
    <x v="288"/>
    <s v="Personnel"/>
    <s v="M "/>
    <x v="2"/>
    <x v="6"/>
    <s v="PSES Mid Prog01Act25 S275"/>
    <x v="0"/>
    <s v="25"/>
    <m/>
    <n v="25"/>
    <s v="   "/>
    <n v="0.56499999999999995"/>
    <n v="0.15840000000000001"/>
    <n v="0"/>
    <x v="5"/>
  </r>
  <r>
    <s v="39003"/>
    <x v="288"/>
    <s v="Personnel"/>
    <s v="E "/>
    <x v="0"/>
    <x v="7"/>
    <s v="PSES Elem Prog21Act26 S275"/>
    <x v="1"/>
    <s v="26"/>
    <m/>
    <n v="26"/>
    <s v="   "/>
    <n v="0.59399999999999997"/>
    <n v="0.15840000000000001"/>
    <n v="9.4E-2"/>
    <x v="6"/>
  </r>
  <r>
    <s v="39003"/>
    <x v="288"/>
    <s v="Personnel"/>
    <s v="E "/>
    <x v="0"/>
    <x v="8"/>
    <s v="PSES Elem Prog01Act26 S275"/>
    <x v="0"/>
    <s v="26"/>
    <m/>
    <n v="26"/>
    <s v="   "/>
    <n v="0.72499999999999998"/>
    <n v="0.15840000000000001"/>
    <n v="0"/>
    <x v="6"/>
  </r>
  <r>
    <s v="39003"/>
    <x v="288"/>
    <s v="Personnel"/>
    <s v="E "/>
    <x v="0"/>
    <x v="15"/>
    <s v="PSES Elem Prog01Duty42 S275"/>
    <x v="0"/>
    <s v="42"/>
    <n v="42"/>
    <m/>
    <s v="   "/>
    <n v="1.5"/>
    <n v="0.15840000000000001"/>
    <n v="0"/>
    <x v="12"/>
  </r>
  <r>
    <s v="39003"/>
    <x v="288"/>
    <s v="Personnel"/>
    <s v="H "/>
    <x v="1"/>
    <x v="16"/>
    <s v="PSES High Prog01Duty42 S275"/>
    <x v="0"/>
    <s v="42"/>
    <n v="42"/>
    <m/>
    <s v="   "/>
    <n v="1.25"/>
    <n v="0.15840000000000001"/>
    <n v="0"/>
    <x v="13"/>
  </r>
  <r>
    <s v="39003"/>
    <x v="288"/>
    <s v="Personnel"/>
    <s v="M "/>
    <x v="2"/>
    <x v="17"/>
    <s v="PSES Mid Prog01Duty42 S275"/>
    <x v="0"/>
    <s v="42"/>
    <n v="42"/>
    <m/>
    <s v="   "/>
    <n v="0.5"/>
    <n v="0.15840000000000001"/>
    <n v="0"/>
    <x v="14"/>
  </r>
  <r>
    <s v="39003"/>
    <x v="288"/>
    <s v="Personnel"/>
    <s v="E "/>
    <x v="0"/>
    <x v="20"/>
    <s v="PSES Elem Prog21Duty45 S275"/>
    <x v="1"/>
    <s v="45"/>
    <n v="45"/>
    <m/>
    <s v="   "/>
    <n v="0.33400000000000002"/>
    <n v="0.15840000000000001"/>
    <n v="5.2999999999999999E-2"/>
    <x v="17"/>
  </r>
  <r>
    <s v="39003"/>
    <x v="288"/>
    <s v="Personnel"/>
    <s v="H "/>
    <x v="1"/>
    <x v="21"/>
    <s v="PSES High Prog21Duty45 S275"/>
    <x v="1"/>
    <s v="45"/>
    <n v="45"/>
    <m/>
    <s v="   "/>
    <n v="1.333"/>
    <n v="0.15840000000000001"/>
    <n v="0.21099999999999999"/>
    <x v="18"/>
  </r>
  <r>
    <s v="39003"/>
    <x v="288"/>
    <s v="Personnel"/>
    <s v="M "/>
    <x v="2"/>
    <x v="28"/>
    <s v="PSES Mid Prog21Duty45 S275"/>
    <x v="1"/>
    <s v="45"/>
    <n v="45"/>
    <m/>
    <s v="   "/>
    <n v="0.33300000000000002"/>
    <n v="0.15840000000000001"/>
    <n v="5.2999999999999999E-2"/>
    <x v="25"/>
  </r>
  <r>
    <s v="39003"/>
    <x v="288"/>
    <s v="Personnel"/>
    <s v="E "/>
    <x v="0"/>
    <x v="22"/>
    <s v="PSES Elem Prog21Duty46 S275"/>
    <x v="1"/>
    <s v="46"/>
    <n v="46"/>
    <m/>
    <s v="   "/>
    <n v="0.33400000000000002"/>
    <n v="0.15840000000000001"/>
    <n v="5.2999999999999999E-2"/>
    <x v="19"/>
  </r>
  <r>
    <s v="39003"/>
    <x v="288"/>
    <s v="Personnel"/>
    <s v="H "/>
    <x v="1"/>
    <x v="23"/>
    <s v="PSES High Prog21Duty46 S275"/>
    <x v="1"/>
    <s v="46"/>
    <n v="46"/>
    <m/>
    <s v="   "/>
    <n v="0.33300000000000002"/>
    <n v="0.15840000000000001"/>
    <n v="5.2999999999999999E-2"/>
    <x v="20"/>
  </r>
  <r>
    <s v="39003"/>
    <x v="288"/>
    <s v="Personnel"/>
    <s v="M "/>
    <x v="2"/>
    <x v="24"/>
    <s v="PSES Mid Prog21Duty46 S275"/>
    <x v="1"/>
    <s v="46"/>
    <n v="46"/>
    <m/>
    <s v="   "/>
    <n v="0.33300000000000002"/>
    <n v="0.15840000000000001"/>
    <n v="5.2999999999999999E-2"/>
    <x v="21"/>
  </r>
  <r>
    <s v="39003"/>
    <x v="288"/>
    <s v="Personnel"/>
    <s v="E "/>
    <x v="0"/>
    <x v="27"/>
    <s v="PSES Elem Prog01Duty47 S275"/>
    <x v="0"/>
    <s v="47"/>
    <n v="47"/>
    <m/>
    <s v="   "/>
    <n v="0.43"/>
    <n v="0.15840000000000001"/>
    <n v="0"/>
    <x v="24"/>
  </r>
  <r>
    <s v="39003"/>
    <x v="288"/>
    <s v="Personnel"/>
    <s v="H "/>
    <x v="1"/>
    <x v="25"/>
    <s v="PSES High Prog01Duty47 S275"/>
    <x v="0"/>
    <s v="47"/>
    <n v="47"/>
    <m/>
    <s v="   "/>
    <n v="0.43099999999999999"/>
    <n v="0.15840000000000001"/>
    <n v="0"/>
    <x v="22"/>
  </r>
  <r>
    <s v="39003"/>
    <x v="288"/>
    <s v="Personnel"/>
    <s v="M "/>
    <x v="2"/>
    <x v="34"/>
    <s v="PSES Mid Prog01Duty47 S275"/>
    <x v="0"/>
    <s v="47"/>
    <n v="47"/>
    <m/>
    <s v="   "/>
    <n v="0.43"/>
    <n v="0.15840000000000001"/>
    <n v="0"/>
    <x v="28"/>
  </r>
  <r>
    <s v="39003"/>
    <x v="288"/>
    <s v="Personnel"/>
    <m/>
    <x v="0"/>
    <x v="66"/>
    <s v="PSES Elem Prog09Duty25 S275"/>
    <x v="3"/>
    <s v="25"/>
    <n v="91"/>
    <n v="25"/>
    <m/>
    <n v="6.9000000000000006E-2"/>
    <n v="0.15840000000000001"/>
    <n v="0"/>
    <x v="41"/>
  </r>
  <r>
    <s v="39007"/>
    <x v="289"/>
    <s v="Personnel"/>
    <s v="H "/>
    <x v="1"/>
    <x v="4"/>
    <s v="PSES High Prog21Act25 S275"/>
    <x v="1"/>
    <s v="25"/>
    <m/>
    <n v="25"/>
    <s v="   "/>
    <n v="1"/>
    <n v="0.32019999999999998"/>
    <n v="0.32"/>
    <x v="4"/>
  </r>
  <r>
    <s v="39007"/>
    <x v="289"/>
    <s v="Personnel"/>
    <s v="H "/>
    <x v="1"/>
    <x v="5"/>
    <s v="PSES High Prog01Act25 S275"/>
    <x v="0"/>
    <s v="25"/>
    <m/>
    <n v="25"/>
    <s v="   "/>
    <n v="19.241"/>
    <n v="0.32019999999999998"/>
    <n v="0"/>
    <x v="4"/>
  </r>
  <r>
    <s v="39007"/>
    <x v="289"/>
    <s v="Personnel"/>
    <s v="H "/>
    <x v="1"/>
    <x v="29"/>
    <s v="PSES High Prog21Act26 S275"/>
    <x v="1"/>
    <s v="26"/>
    <m/>
    <n v="26"/>
    <s v="   "/>
    <n v="19.736999999999998"/>
    <n v="0.32019999999999998"/>
    <n v="6.32"/>
    <x v="7"/>
  </r>
  <r>
    <s v="39007"/>
    <x v="289"/>
    <s v="Personnel"/>
    <s v="H "/>
    <x v="1"/>
    <x v="9"/>
    <s v="PSES High Prog01Act26 S275"/>
    <x v="0"/>
    <s v="26"/>
    <m/>
    <n v="26"/>
    <s v="   "/>
    <n v="5.2519999999999998"/>
    <n v="0.32019999999999998"/>
    <n v="0"/>
    <x v="7"/>
  </r>
  <r>
    <s v="39007"/>
    <x v="289"/>
    <s v="Personnel"/>
    <s v="H "/>
    <x v="1"/>
    <x v="54"/>
    <s v="PSES High Prog01Act35 S275"/>
    <x v="0"/>
    <s v="35"/>
    <m/>
    <n v="35"/>
    <s v="   "/>
    <n v="13.362"/>
    <n v="0.32019999999999998"/>
    <n v="0"/>
    <x v="9"/>
  </r>
  <r>
    <s v="39007"/>
    <x v="289"/>
    <s v="Personnel"/>
    <s v="E "/>
    <x v="0"/>
    <x v="15"/>
    <s v="PSES Elem Prog01Duty42 S275"/>
    <x v="0"/>
    <s v="42"/>
    <n v="42"/>
    <m/>
    <s v="   "/>
    <n v="3.84"/>
    <n v="0.32019999999999998"/>
    <n v="0"/>
    <x v="12"/>
  </r>
  <r>
    <s v="39007"/>
    <x v="289"/>
    <s v="Personnel"/>
    <s v="H "/>
    <x v="1"/>
    <x v="16"/>
    <s v="PSES High Prog01Duty42 S275"/>
    <x v="0"/>
    <s v="42"/>
    <n v="42"/>
    <m/>
    <s v="   "/>
    <n v="9"/>
    <n v="0.32019999999999998"/>
    <n v="0"/>
    <x v="13"/>
  </r>
  <r>
    <s v="39007"/>
    <x v="289"/>
    <s v="Personnel"/>
    <s v="M "/>
    <x v="2"/>
    <x v="17"/>
    <s v="PSES Mid Prog01Duty42 S275"/>
    <x v="0"/>
    <s v="42"/>
    <n v="42"/>
    <m/>
    <s v="   "/>
    <n v="3.66"/>
    <n v="0.32019999999999998"/>
    <n v="0"/>
    <x v="14"/>
  </r>
  <r>
    <s v="39007"/>
    <x v="289"/>
    <s v="Personnel"/>
    <s v="E "/>
    <x v="0"/>
    <x v="18"/>
    <s v="PSES Elem Prog21Duty43 S275"/>
    <x v="1"/>
    <s v="43"/>
    <n v="43"/>
    <m/>
    <s v="   "/>
    <n v="1.871"/>
    <n v="0.32019999999999998"/>
    <n v="0.59899999999999998"/>
    <x v="15"/>
  </r>
  <r>
    <s v="39007"/>
    <x v="289"/>
    <s v="Personnel"/>
    <s v="H "/>
    <x v="1"/>
    <x v="19"/>
    <s v="PSES High Prog21Duty43 S275"/>
    <x v="1"/>
    <s v="43"/>
    <n v="43"/>
    <m/>
    <s v="   "/>
    <n v="0.31"/>
    <n v="0.32019999999999998"/>
    <n v="9.9000000000000005E-2"/>
    <x v="16"/>
  </r>
  <r>
    <s v="39007"/>
    <x v="289"/>
    <s v="Personnel"/>
    <s v="M "/>
    <x v="2"/>
    <x v="31"/>
    <s v="PSES Mid Prog21Duty43 S275"/>
    <x v="1"/>
    <s v="43"/>
    <n v="43"/>
    <m/>
    <s v="   "/>
    <n v="3.7970000000000002"/>
    <n v="0.32019999999999998"/>
    <n v="1.216"/>
    <x v="27"/>
  </r>
  <r>
    <s v="39007"/>
    <x v="289"/>
    <s v="Personnel"/>
    <s v="E "/>
    <x v="0"/>
    <x v="20"/>
    <s v="PSES Elem Prog21Duty45 S275"/>
    <x v="1"/>
    <s v="45"/>
    <n v="45"/>
    <m/>
    <s v="   "/>
    <n v="5.8"/>
    <n v="0.32019999999999998"/>
    <n v="1.857"/>
    <x v="17"/>
  </r>
  <r>
    <s v="39007"/>
    <x v="289"/>
    <s v="Personnel"/>
    <s v="M "/>
    <x v="2"/>
    <x v="28"/>
    <s v="PSES Mid Prog21Duty45 S275"/>
    <x v="1"/>
    <s v="45"/>
    <n v="45"/>
    <m/>
    <s v="   "/>
    <n v="3"/>
    <n v="0.32019999999999998"/>
    <n v="0.96099999999999997"/>
    <x v="25"/>
  </r>
  <r>
    <s v="39007"/>
    <x v="289"/>
    <s v="Personnel"/>
    <s v="E "/>
    <x v="0"/>
    <x v="22"/>
    <s v="PSES Elem Prog21Duty46 S275"/>
    <x v="1"/>
    <s v="46"/>
    <n v="46"/>
    <m/>
    <s v="   "/>
    <n v="5.4"/>
    <n v="0.32019999999999998"/>
    <n v="1.7290000000000001"/>
    <x v="19"/>
  </r>
  <r>
    <s v="39007"/>
    <x v="289"/>
    <s v="Personnel"/>
    <s v="H "/>
    <x v="1"/>
    <x v="23"/>
    <s v="PSES High Prog21Duty46 S275"/>
    <x v="1"/>
    <s v="46"/>
    <n v="46"/>
    <m/>
    <s v="   "/>
    <n v="6.8"/>
    <n v="0.32019999999999998"/>
    <n v="2.177"/>
    <x v="20"/>
  </r>
  <r>
    <s v="39007"/>
    <x v="289"/>
    <s v="Personnel"/>
    <s v="M "/>
    <x v="2"/>
    <x v="24"/>
    <s v="PSES Mid Prog21Duty46 S275"/>
    <x v="1"/>
    <s v="46"/>
    <n v="46"/>
    <m/>
    <s v="   "/>
    <n v="5.4"/>
    <n v="0.32019999999999998"/>
    <n v="1.7290000000000001"/>
    <x v="21"/>
  </r>
  <r>
    <s v="39007"/>
    <x v="289"/>
    <s v="Personnel"/>
    <s v="E "/>
    <x v="0"/>
    <x v="27"/>
    <s v="PSES Elem Prog01Duty47 S275"/>
    <x v="0"/>
    <s v="47"/>
    <n v="47"/>
    <m/>
    <s v="   "/>
    <n v="11"/>
    <n v="0.32019999999999998"/>
    <n v="0"/>
    <x v="24"/>
  </r>
  <r>
    <s v="39007"/>
    <x v="289"/>
    <s v="Personnel"/>
    <s v="H "/>
    <x v="1"/>
    <x v="25"/>
    <s v="PSES High Prog01Duty47 S275"/>
    <x v="0"/>
    <s v="47"/>
    <n v="47"/>
    <m/>
    <s v="   "/>
    <n v="4"/>
    <n v="0.32019999999999998"/>
    <n v="0"/>
    <x v="22"/>
  </r>
  <r>
    <s v="39007"/>
    <x v="289"/>
    <s v="Personnel"/>
    <s v="M "/>
    <x v="2"/>
    <x v="34"/>
    <s v="PSES Mid Prog01Duty47 S275"/>
    <x v="0"/>
    <s v="47"/>
    <n v="47"/>
    <m/>
    <s v="   "/>
    <n v="4"/>
    <n v="0.32019999999999998"/>
    <n v="0"/>
    <x v="28"/>
  </r>
  <r>
    <s v="39090"/>
    <x v="290"/>
    <s v="Personnel"/>
    <s v="H "/>
    <x v="1"/>
    <x v="5"/>
    <s v="PSES High Prog01Act25 S275"/>
    <x v="0"/>
    <s v="25"/>
    <m/>
    <n v="25"/>
    <s v="   "/>
    <n v="3.407"/>
    <n v="0.219"/>
    <n v="0"/>
    <x v="4"/>
  </r>
  <r>
    <s v="39090"/>
    <x v="290"/>
    <s v="Personnel"/>
    <s v="H "/>
    <x v="1"/>
    <x v="29"/>
    <s v="PSES High Prog21Act26 S275"/>
    <x v="1"/>
    <s v="26"/>
    <m/>
    <n v="26"/>
    <s v="   "/>
    <n v="1.873"/>
    <n v="0.219"/>
    <n v="0.41"/>
    <x v="7"/>
  </r>
  <r>
    <s v="39090"/>
    <x v="290"/>
    <s v="Personnel"/>
    <s v="H "/>
    <x v="1"/>
    <x v="9"/>
    <s v="PSES High Prog01Act26 S275"/>
    <x v="0"/>
    <s v="26"/>
    <m/>
    <n v="26"/>
    <s v="   "/>
    <n v="3.09"/>
    <n v="0.219"/>
    <n v="0"/>
    <x v="7"/>
  </r>
  <r>
    <s v="39090"/>
    <x v="290"/>
    <s v="Personnel"/>
    <s v="H "/>
    <x v="1"/>
    <x v="54"/>
    <s v="PSES High Prog01Act35 S275"/>
    <x v="0"/>
    <s v="35"/>
    <m/>
    <n v="35"/>
    <s v="   "/>
    <n v="1.202"/>
    <n v="0.219"/>
    <n v="0"/>
    <x v="9"/>
  </r>
  <r>
    <s v="39090"/>
    <x v="290"/>
    <s v="Personnel"/>
    <s v="E "/>
    <x v="0"/>
    <x v="15"/>
    <s v="PSES Elem Prog01Duty42 S275"/>
    <x v="0"/>
    <s v="42"/>
    <n v="42"/>
    <m/>
    <s v="   "/>
    <n v="3"/>
    <n v="0.219"/>
    <n v="0"/>
    <x v="12"/>
  </r>
  <r>
    <s v="39090"/>
    <x v="290"/>
    <s v="Personnel"/>
    <s v="H "/>
    <x v="1"/>
    <x v="16"/>
    <s v="PSES High Prog01Duty42 S275"/>
    <x v="0"/>
    <s v="42"/>
    <n v="42"/>
    <m/>
    <s v="   "/>
    <n v="2.5499999999999998"/>
    <n v="0.219"/>
    <n v="0"/>
    <x v="13"/>
  </r>
  <r>
    <s v="39090"/>
    <x v="290"/>
    <s v="Personnel"/>
    <s v="M "/>
    <x v="2"/>
    <x v="17"/>
    <s v="PSES Mid Prog01Duty42 S275"/>
    <x v="0"/>
    <s v="42"/>
    <n v="42"/>
    <m/>
    <s v="   "/>
    <n v="2.0009999999999999"/>
    <n v="0.219"/>
    <n v="0"/>
    <x v="14"/>
  </r>
  <r>
    <s v="39090"/>
    <x v="290"/>
    <s v="Personnel"/>
    <s v="E "/>
    <x v="0"/>
    <x v="18"/>
    <s v="PSES Elem Prog21Duty43 S275"/>
    <x v="1"/>
    <s v="43"/>
    <n v="43"/>
    <m/>
    <s v="   "/>
    <n v="0.63"/>
    <n v="0.219"/>
    <n v="0.13800000000000001"/>
    <x v="15"/>
  </r>
  <r>
    <s v="39090"/>
    <x v="290"/>
    <s v="Personnel"/>
    <s v="H "/>
    <x v="1"/>
    <x v="19"/>
    <s v="PSES High Prog21Duty43 S275"/>
    <x v="1"/>
    <s v="43"/>
    <n v="43"/>
    <m/>
    <s v="   "/>
    <n v="0.17"/>
    <n v="0.219"/>
    <n v="3.6999999999999998E-2"/>
    <x v="16"/>
  </r>
  <r>
    <s v="39090"/>
    <x v="290"/>
    <s v="Personnel"/>
    <s v="M "/>
    <x v="2"/>
    <x v="31"/>
    <s v="PSES Mid Prog21Duty43 S275"/>
    <x v="1"/>
    <s v="43"/>
    <n v="43"/>
    <m/>
    <s v="   "/>
    <n v="0.2"/>
    <n v="0.219"/>
    <n v="4.3999999999999997E-2"/>
    <x v="27"/>
  </r>
  <r>
    <s v="39090"/>
    <x v="290"/>
    <s v="Personnel"/>
    <s v="E "/>
    <x v="0"/>
    <x v="22"/>
    <s v="PSES Elem Prog21Duty46 S275"/>
    <x v="1"/>
    <s v="46"/>
    <n v="46"/>
    <m/>
    <s v="   "/>
    <n v="3.77"/>
    <n v="0.219"/>
    <n v="0.82599999999999996"/>
    <x v="19"/>
  </r>
  <r>
    <s v="39090"/>
    <x v="290"/>
    <s v="Personnel"/>
    <s v="H "/>
    <x v="1"/>
    <x v="23"/>
    <s v="PSES High Prog21Duty46 S275"/>
    <x v="1"/>
    <s v="46"/>
    <n v="46"/>
    <m/>
    <s v="   "/>
    <n v="1"/>
    <n v="0.219"/>
    <n v="0.219"/>
    <x v="20"/>
  </r>
  <r>
    <s v="39090"/>
    <x v="290"/>
    <s v="Personnel"/>
    <s v="E "/>
    <x v="0"/>
    <x v="38"/>
    <s v="PSES Elem Prog21Duty64 S275"/>
    <x v="1"/>
    <s v="64"/>
    <n v="64"/>
    <m/>
    <s v="   "/>
    <n v="4.6399999999999997"/>
    <n v="0.219"/>
    <n v="1.016"/>
    <x v="32"/>
  </r>
  <r>
    <s v="39090"/>
    <x v="290"/>
    <s v="Personnel"/>
    <s v="H "/>
    <x v="1"/>
    <x v="59"/>
    <s v="PSES High Prog21Duty64 S275"/>
    <x v="1"/>
    <s v="64"/>
    <n v="64"/>
    <m/>
    <s v="   "/>
    <n v="1"/>
    <n v="0.219"/>
    <n v="0.219"/>
    <x v="38"/>
  </r>
  <r>
    <s v="39090"/>
    <x v="290"/>
    <s v="Personnel"/>
    <s v="M "/>
    <x v="2"/>
    <x v="60"/>
    <s v="PSES Mid Prog21Duty64 S275"/>
    <x v="1"/>
    <s v="64"/>
    <n v="64"/>
    <m/>
    <s v="   "/>
    <n v="1"/>
    <n v="0.219"/>
    <n v="0.219"/>
    <x v="39"/>
  </r>
  <r>
    <s v="39090"/>
    <x v="290"/>
    <s v="Personnel"/>
    <s v="T"/>
    <x v="0"/>
    <x v="94"/>
    <s v="PSES Elem Prog09Duty64 S275"/>
    <x v="3"/>
    <s v="64"/>
    <n v="64"/>
    <n v="26"/>
    <m/>
    <n v="0.04"/>
    <n v="0.219"/>
    <n v="0"/>
    <x v="49"/>
  </r>
  <r>
    <s v="39090"/>
    <x v="290"/>
    <s v="Personnel"/>
    <s v="T"/>
    <x v="0"/>
    <x v="94"/>
    <s v="PSES Elem Prog09Duty64 S275"/>
    <x v="3"/>
    <s v="64"/>
    <n v="64"/>
    <n v="26"/>
    <m/>
    <n v="0.3"/>
    <n v="0.219"/>
    <n v="0"/>
    <x v="49"/>
  </r>
  <r>
    <s v="39090"/>
    <x v="290"/>
    <s v="Personnel"/>
    <s v="T"/>
    <x v="0"/>
    <x v="94"/>
    <s v="PSES Elem Prog09Duty64 S275"/>
    <x v="3"/>
    <s v="64"/>
    <n v="64"/>
    <n v="26"/>
    <m/>
    <n v="0.02"/>
    <n v="0.219"/>
    <n v="0"/>
    <x v="49"/>
  </r>
  <r>
    <s v="39119"/>
    <x v="291"/>
    <s v="Personnel"/>
    <s v="H "/>
    <x v="1"/>
    <x v="1"/>
    <s v="PSES High Prog01Duty96 S275"/>
    <x v="0"/>
    <s v="24"/>
    <n v="96"/>
    <n v="24"/>
    <s v="   "/>
    <n v="1.577"/>
    <n v="0.1996"/>
    <n v="0"/>
    <x v="1"/>
  </r>
  <r>
    <s v="39119"/>
    <x v="291"/>
    <s v="Personnel"/>
    <s v="H "/>
    <x v="1"/>
    <x v="5"/>
    <s v="PSES High Prog01Act25 S275"/>
    <x v="0"/>
    <s v="25"/>
    <m/>
    <n v="25"/>
    <s v="   "/>
    <n v="0.36699999999999999"/>
    <n v="0.1996"/>
    <n v="0"/>
    <x v="4"/>
  </r>
  <r>
    <s v="39119"/>
    <x v="291"/>
    <s v="Personnel"/>
    <s v="H "/>
    <x v="1"/>
    <x v="29"/>
    <s v="PSES High Prog21Act26 S275"/>
    <x v="1"/>
    <s v="26"/>
    <m/>
    <n v="26"/>
    <s v="   "/>
    <n v="1.9610000000000001"/>
    <n v="0.1996"/>
    <n v="0.39100000000000001"/>
    <x v="7"/>
  </r>
  <r>
    <s v="39119"/>
    <x v="291"/>
    <s v="Personnel"/>
    <s v="H "/>
    <x v="1"/>
    <x v="9"/>
    <s v="PSES High Prog01Act26 S275"/>
    <x v="0"/>
    <s v="26"/>
    <m/>
    <n v="26"/>
    <s v="   "/>
    <n v="1.6060000000000001"/>
    <n v="0.1996"/>
    <n v="0"/>
    <x v="7"/>
  </r>
  <r>
    <s v="39119"/>
    <x v="291"/>
    <s v="Personnel"/>
    <s v="E "/>
    <x v="0"/>
    <x v="15"/>
    <s v="PSES Elem Prog01Duty42 S275"/>
    <x v="0"/>
    <s v="42"/>
    <n v="42"/>
    <m/>
    <s v="   "/>
    <n v="4"/>
    <n v="0.1996"/>
    <n v="0"/>
    <x v="12"/>
  </r>
  <r>
    <s v="39119"/>
    <x v="291"/>
    <s v="Personnel"/>
    <s v="H "/>
    <x v="1"/>
    <x v="16"/>
    <s v="PSES High Prog01Duty42 S275"/>
    <x v="0"/>
    <s v="42"/>
    <n v="42"/>
    <m/>
    <s v="   "/>
    <n v="2.4"/>
    <n v="0.1996"/>
    <n v="0"/>
    <x v="13"/>
  </r>
  <r>
    <s v="39119"/>
    <x v="291"/>
    <s v="Personnel"/>
    <s v="M "/>
    <x v="2"/>
    <x v="17"/>
    <s v="PSES Mid Prog01Duty42 S275"/>
    <x v="0"/>
    <s v="42"/>
    <n v="42"/>
    <m/>
    <s v="   "/>
    <n v="2.4"/>
    <n v="0.1996"/>
    <n v="0"/>
    <x v="14"/>
  </r>
  <r>
    <s v="39119"/>
    <x v="291"/>
    <s v="Personnel"/>
    <s v="E "/>
    <x v="0"/>
    <x v="18"/>
    <s v="PSES Elem Prog21Duty43 S275"/>
    <x v="1"/>
    <s v="43"/>
    <n v="43"/>
    <m/>
    <s v="   "/>
    <n v="0.93200000000000005"/>
    <n v="0.1996"/>
    <n v="0.186"/>
    <x v="15"/>
  </r>
  <r>
    <s v="39119"/>
    <x v="291"/>
    <s v="Personnel"/>
    <s v="H "/>
    <x v="1"/>
    <x v="19"/>
    <s v="PSES High Prog21Duty43 S275"/>
    <x v="1"/>
    <s v="43"/>
    <n v="43"/>
    <m/>
    <s v="   "/>
    <n v="0.4"/>
    <n v="0.1996"/>
    <n v="0.08"/>
    <x v="16"/>
  </r>
  <r>
    <s v="39119"/>
    <x v="291"/>
    <s v="Personnel"/>
    <s v="M "/>
    <x v="2"/>
    <x v="31"/>
    <s v="PSES Mid Prog21Duty43 S275"/>
    <x v="1"/>
    <s v="43"/>
    <n v="43"/>
    <m/>
    <s v="   "/>
    <n v="0.26800000000000002"/>
    <n v="0.1996"/>
    <n v="5.2999999999999999E-2"/>
    <x v="27"/>
  </r>
  <r>
    <s v="39119"/>
    <x v="291"/>
    <s v="Personnel"/>
    <s v="E "/>
    <x v="0"/>
    <x v="42"/>
    <s v="PSES Elem Prog01Duty44 S275"/>
    <x v="0"/>
    <s v="44"/>
    <n v="44"/>
    <m/>
    <s v="   "/>
    <n v="1"/>
    <n v="0.1996"/>
    <n v="0"/>
    <x v="33"/>
  </r>
  <r>
    <s v="39119"/>
    <x v="291"/>
    <s v="Personnel"/>
    <s v="E "/>
    <x v="0"/>
    <x v="20"/>
    <s v="PSES Elem Prog21Duty45 S275"/>
    <x v="1"/>
    <s v="45"/>
    <n v="45"/>
    <m/>
    <s v="   "/>
    <n v="1.833"/>
    <n v="0.1996"/>
    <n v="0.36599999999999999"/>
    <x v="17"/>
  </r>
  <r>
    <s v="39119"/>
    <x v="291"/>
    <s v="Personnel"/>
    <s v="H "/>
    <x v="1"/>
    <x v="21"/>
    <s v="PSES High Prog21Duty45 S275"/>
    <x v="1"/>
    <s v="45"/>
    <n v="45"/>
    <m/>
    <s v="   "/>
    <n v="0.05"/>
    <n v="0.1996"/>
    <n v="0.01"/>
    <x v="18"/>
  </r>
  <r>
    <s v="39119"/>
    <x v="291"/>
    <s v="Personnel"/>
    <s v="M "/>
    <x v="2"/>
    <x v="28"/>
    <s v="PSES Mid Prog21Duty45 S275"/>
    <x v="1"/>
    <s v="45"/>
    <n v="45"/>
    <m/>
    <s v="   "/>
    <n v="6.7000000000000004E-2"/>
    <n v="0.1996"/>
    <n v="1.2999999999999999E-2"/>
    <x v="25"/>
  </r>
  <r>
    <s v="39119"/>
    <x v="291"/>
    <s v="Personnel"/>
    <s v="E "/>
    <x v="0"/>
    <x v="22"/>
    <s v="PSES Elem Prog21Duty46 S275"/>
    <x v="1"/>
    <s v="46"/>
    <n v="46"/>
    <m/>
    <s v="   "/>
    <n v="1.871"/>
    <n v="0.1996"/>
    <n v="0.373"/>
    <x v="19"/>
  </r>
  <r>
    <s v="39119"/>
    <x v="291"/>
    <s v="Personnel"/>
    <s v="H "/>
    <x v="1"/>
    <x v="23"/>
    <s v="PSES High Prog21Duty46 S275"/>
    <x v="1"/>
    <s v="46"/>
    <n v="46"/>
    <m/>
    <s v="   "/>
    <n v="1"/>
    <n v="0.1996"/>
    <n v="0.2"/>
    <x v="20"/>
  </r>
  <r>
    <s v="39119"/>
    <x v="291"/>
    <s v="Personnel"/>
    <s v="M "/>
    <x v="2"/>
    <x v="24"/>
    <s v="PSES Mid Prog21Duty46 S275"/>
    <x v="1"/>
    <s v="46"/>
    <n v="46"/>
    <m/>
    <s v="   "/>
    <n v="1.768"/>
    <n v="0.1996"/>
    <n v="0.35299999999999998"/>
    <x v="21"/>
  </r>
  <r>
    <s v="39119"/>
    <x v="291"/>
    <s v="Personnel"/>
    <s v="E "/>
    <x v="0"/>
    <x v="32"/>
    <s v="PSES Elem Prog21Duty47 S275"/>
    <x v="1"/>
    <s v="47"/>
    <n v="47"/>
    <m/>
    <s v="   "/>
    <n v="0.14000000000000001"/>
    <n v="0.1996"/>
    <n v="2.8000000000000001E-2"/>
    <x v="24"/>
  </r>
  <r>
    <s v="39119"/>
    <x v="291"/>
    <s v="Personnel"/>
    <s v="E "/>
    <x v="0"/>
    <x v="27"/>
    <s v="PSES Elem Prog01Duty47 S275"/>
    <x v="0"/>
    <s v="47"/>
    <n v="47"/>
    <m/>
    <s v="   "/>
    <n v="0.86"/>
    <n v="0.1996"/>
    <n v="0"/>
    <x v="24"/>
  </r>
  <r>
    <s v="39119"/>
    <x v="291"/>
    <s v="Personnel"/>
    <s v="H "/>
    <x v="1"/>
    <x v="61"/>
    <s v="PSES High Prog21Duty47 S275"/>
    <x v="1"/>
    <s v="47"/>
    <n v="47"/>
    <m/>
    <s v="   "/>
    <n v="0.28599999999999998"/>
    <n v="0.1996"/>
    <n v="5.7000000000000002E-2"/>
    <x v="22"/>
  </r>
  <r>
    <s v="39119"/>
    <x v="291"/>
    <s v="Personnel"/>
    <s v="H "/>
    <x v="1"/>
    <x v="25"/>
    <s v="PSES High Prog01Duty47 S275"/>
    <x v="0"/>
    <s v="47"/>
    <n v="47"/>
    <m/>
    <s v="   "/>
    <n v="1.714"/>
    <n v="0.1996"/>
    <n v="0"/>
    <x v="22"/>
  </r>
  <r>
    <s v="39120"/>
    <x v="292"/>
    <s v="Personnel"/>
    <s v="H "/>
    <x v="1"/>
    <x v="9"/>
    <s v="PSES High Prog01Act26 S275"/>
    <x v="0"/>
    <s v="26"/>
    <m/>
    <n v="26"/>
    <s v="   "/>
    <n v="0.60599999999999998"/>
    <n v="0.252"/>
    <n v="0"/>
    <x v="7"/>
  </r>
  <r>
    <s v="39120"/>
    <x v="292"/>
    <s v="Personnel"/>
    <s v="E "/>
    <x v="0"/>
    <x v="15"/>
    <s v="PSES Elem Prog01Duty42 S275"/>
    <x v="0"/>
    <s v="42"/>
    <n v="42"/>
    <m/>
    <s v="   "/>
    <n v="0.5"/>
    <n v="0.252"/>
    <n v="0"/>
    <x v="12"/>
  </r>
  <r>
    <s v="39120"/>
    <x v="292"/>
    <s v="Personnel"/>
    <s v="H "/>
    <x v="1"/>
    <x v="16"/>
    <s v="PSES High Prog01Duty42 S275"/>
    <x v="0"/>
    <s v="42"/>
    <n v="42"/>
    <m/>
    <s v="   "/>
    <n v="0.5"/>
    <n v="0.252"/>
    <n v="0"/>
    <x v="13"/>
  </r>
  <r>
    <s v="39200"/>
    <x v="293"/>
    <s v="Personnel"/>
    <s v="E "/>
    <x v="0"/>
    <x v="3"/>
    <s v="PSES Elem Prog01Act25 S275"/>
    <x v="0"/>
    <s v="25"/>
    <m/>
    <n v="25"/>
    <s v="   "/>
    <n v="1.226"/>
    <n v="0.30709999999999998"/>
    <n v="0"/>
    <x v="3"/>
  </r>
  <r>
    <s v="39200"/>
    <x v="293"/>
    <s v="Personnel"/>
    <s v="H "/>
    <x v="1"/>
    <x v="5"/>
    <s v="PSES High Prog01Act25 S275"/>
    <x v="0"/>
    <s v="25"/>
    <m/>
    <n v="25"/>
    <s v="   "/>
    <n v="0.78500000000000003"/>
    <n v="0.30709999999999998"/>
    <n v="0"/>
    <x v="4"/>
  </r>
  <r>
    <s v="39200"/>
    <x v="293"/>
    <s v="Personnel"/>
    <s v="M "/>
    <x v="2"/>
    <x v="6"/>
    <s v="PSES Mid Prog01Act25 S275"/>
    <x v="0"/>
    <s v="25"/>
    <m/>
    <n v="25"/>
    <s v="   "/>
    <n v="1.3919999999999999"/>
    <n v="0.30709999999999998"/>
    <n v="0"/>
    <x v="5"/>
  </r>
  <r>
    <s v="39200"/>
    <x v="293"/>
    <s v="Personnel"/>
    <s v="E "/>
    <x v="0"/>
    <x v="7"/>
    <s v="PSES Elem Prog21Act26 S275"/>
    <x v="1"/>
    <s v="26"/>
    <m/>
    <n v="26"/>
    <s v="   "/>
    <n v="2.5179999999999998"/>
    <n v="0.30709999999999998"/>
    <n v="0.77300000000000002"/>
    <x v="6"/>
  </r>
  <r>
    <s v="39200"/>
    <x v="293"/>
    <s v="Personnel"/>
    <s v="E "/>
    <x v="0"/>
    <x v="8"/>
    <s v="PSES Elem Prog01Act26 S275"/>
    <x v="0"/>
    <s v="26"/>
    <m/>
    <n v="26"/>
    <s v="   "/>
    <n v="1.9530000000000001"/>
    <n v="0.30709999999999998"/>
    <n v="0"/>
    <x v="6"/>
  </r>
  <r>
    <s v="39200"/>
    <x v="293"/>
    <s v="Personnel"/>
    <s v="H "/>
    <x v="1"/>
    <x v="29"/>
    <s v="PSES High Prog21Act26 S275"/>
    <x v="1"/>
    <s v="26"/>
    <m/>
    <n v="26"/>
    <s v="   "/>
    <n v="1.544"/>
    <n v="0.30709999999999998"/>
    <n v="0.47399999999999998"/>
    <x v="7"/>
  </r>
  <r>
    <s v="39200"/>
    <x v="293"/>
    <s v="Personnel"/>
    <s v="H "/>
    <x v="1"/>
    <x v="9"/>
    <s v="PSES High Prog01Act26 S275"/>
    <x v="0"/>
    <s v="26"/>
    <m/>
    <n v="26"/>
    <s v="   "/>
    <n v="1.3029999999999999"/>
    <n v="0.30709999999999998"/>
    <n v="0"/>
    <x v="7"/>
  </r>
  <r>
    <s v="39200"/>
    <x v="293"/>
    <s v="Personnel"/>
    <s v="M "/>
    <x v="2"/>
    <x v="10"/>
    <s v="PSES Mid Prog21Act26 S275"/>
    <x v="1"/>
    <s v="26"/>
    <m/>
    <n v="26"/>
    <s v="   "/>
    <n v="0.79"/>
    <n v="0.30709999999999998"/>
    <n v="0.24299999999999999"/>
    <x v="8"/>
  </r>
  <r>
    <s v="39200"/>
    <x v="293"/>
    <s v="Personnel"/>
    <s v="H "/>
    <x v="1"/>
    <x v="12"/>
    <s v="PSES High Prog97Act35 S275"/>
    <x v="2"/>
    <s v="35"/>
    <m/>
    <n v="35"/>
    <s v="   "/>
    <n v="3.35"/>
    <n v="0.30709999999999998"/>
    <n v="0"/>
    <x v="9"/>
  </r>
  <r>
    <s v="39200"/>
    <x v="293"/>
    <s v="Personnel"/>
    <s v="M "/>
    <x v="2"/>
    <x v="13"/>
    <s v="PSES Mid Prog97Act35 S275"/>
    <x v="2"/>
    <s v="35"/>
    <m/>
    <n v="35"/>
    <s v="   "/>
    <n v="0.73099999999999998"/>
    <n v="0.30709999999999998"/>
    <n v="0"/>
    <x v="10"/>
  </r>
  <r>
    <s v="39200"/>
    <x v="293"/>
    <s v="Personnel"/>
    <s v="E "/>
    <x v="0"/>
    <x v="15"/>
    <s v="PSES Elem Prog01Duty42 S275"/>
    <x v="0"/>
    <s v="42"/>
    <n v="42"/>
    <m/>
    <s v="   "/>
    <n v="3"/>
    <n v="0.30709999999999998"/>
    <n v="0"/>
    <x v="12"/>
  </r>
  <r>
    <s v="39200"/>
    <x v="293"/>
    <s v="Personnel"/>
    <s v="H "/>
    <x v="1"/>
    <x v="16"/>
    <s v="PSES High Prog01Duty42 S275"/>
    <x v="0"/>
    <s v="42"/>
    <n v="42"/>
    <m/>
    <s v="   "/>
    <n v="2.8"/>
    <n v="0.30709999999999998"/>
    <n v="0"/>
    <x v="13"/>
  </r>
  <r>
    <s v="39200"/>
    <x v="293"/>
    <s v="Personnel"/>
    <s v="M "/>
    <x v="2"/>
    <x v="17"/>
    <s v="PSES Mid Prog01Duty42 S275"/>
    <x v="0"/>
    <s v="42"/>
    <n v="42"/>
    <m/>
    <s v="   "/>
    <n v="2.7"/>
    <n v="0.30709999999999998"/>
    <n v="0"/>
    <x v="14"/>
  </r>
  <r>
    <s v="39200"/>
    <x v="293"/>
    <s v="Personnel"/>
    <s v="E "/>
    <x v="0"/>
    <x v="22"/>
    <s v="PSES Elem Prog21Duty46 S275"/>
    <x v="1"/>
    <s v="46"/>
    <n v="46"/>
    <m/>
    <s v="   "/>
    <n v="2"/>
    <n v="0.30709999999999998"/>
    <n v="0.61399999999999999"/>
    <x v="19"/>
  </r>
  <r>
    <s v="39200"/>
    <x v="293"/>
    <s v="Personnel"/>
    <s v="H "/>
    <x v="1"/>
    <x v="23"/>
    <s v="PSES High Prog21Duty46 S275"/>
    <x v="1"/>
    <s v="46"/>
    <n v="46"/>
    <m/>
    <s v="   "/>
    <n v="0.5"/>
    <n v="0.30709999999999998"/>
    <n v="0.154"/>
    <x v="20"/>
  </r>
  <r>
    <s v="39200"/>
    <x v="293"/>
    <s v="Personnel"/>
    <s v="M "/>
    <x v="2"/>
    <x v="24"/>
    <s v="PSES Mid Prog21Duty46 S275"/>
    <x v="1"/>
    <s v="46"/>
    <n v="46"/>
    <m/>
    <s v="   "/>
    <n v="0.5"/>
    <n v="0.30709999999999998"/>
    <n v="0.154"/>
    <x v="21"/>
  </r>
  <r>
    <s v="39200"/>
    <x v="293"/>
    <s v="Personnel"/>
    <s v="M "/>
    <x v="2"/>
    <x v="34"/>
    <s v="PSES Mid Prog01Duty47 S275"/>
    <x v="0"/>
    <s v="47"/>
    <n v="47"/>
    <m/>
    <s v="   "/>
    <n v="1"/>
    <n v="0.30709999999999998"/>
    <n v="0"/>
    <x v="28"/>
  </r>
  <r>
    <s v="39200"/>
    <x v="293"/>
    <s v="Personnel"/>
    <s v="E "/>
    <x v="0"/>
    <x v="38"/>
    <s v="PSES Elem Prog21Duty64 S275"/>
    <x v="1"/>
    <s v="64"/>
    <n v="64"/>
    <m/>
    <s v="   "/>
    <n v="3.448"/>
    <n v="0.30709999999999998"/>
    <n v="1.0589999999999999"/>
    <x v="32"/>
  </r>
  <r>
    <s v="39200"/>
    <x v="293"/>
    <s v="Personnel"/>
    <s v="H "/>
    <x v="1"/>
    <x v="59"/>
    <s v="PSES High Prog21Duty64 S275"/>
    <x v="1"/>
    <s v="64"/>
    <n v="64"/>
    <m/>
    <s v="   "/>
    <n v="0.189"/>
    <n v="0.30709999999999998"/>
    <n v="5.8000000000000003E-2"/>
    <x v="38"/>
  </r>
  <r>
    <s v="39200"/>
    <x v="293"/>
    <s v="Personnel"/>
    <s v="M "/>
    <x v="2"/>
    <x v="60"/>
    <s v="PSES Mid Prog21Duty64 S275"/>
    <x v="1"/>
    <s v="64"/>
    <n v="64"/>
    <m/>
    <s v="   "/>
    <n v="0.58499999999999996"/>
    <n v="0.30709999999999998"/>
    <n v="0.18"/>
    <x v="39"/>
  </r>
  <r>
    <s v="39201"/>
    <x v="294"/>
    <s v="Personnel"/>
    <s v="H "/>
    <x v="1"/>
    <x v="4"/>
    <s v="PSES High Prog21Act25 S275"/>
    <x v="1"/>
    <s v="25"/>
    <m/>
    <n v="25"/>
    <s v="   "/>
    <n v="4.2699999999999996"/>
    <n v="0.28639999999999999"/>
    <n v="1.2230000000000001"/>
    <x v="4"/>
  </r>
  <r>
    <s v="39201"/>
    <x v="294"/>
    <s v="Personnel"/>
    <s v="H "/>
    <x v="1"/>
    <x v="5"/>
    <s v="PSES High Prog01Act25 S275"/>
    <x v="0"/>
    <s v="25"/>
    <m/>
    <n v="25"/>
    <s v="   "/>
    <n v="7.9580000000000002"/>
    <n v="0.28639999999999999"/>
    <n v="0"/>
    <x v="4"/>
  </r>
  <r>
    <s v="39201"/>
    <x v="294"/>
    <s v="Personnel"/>
    <s v="H "/>
    <x v="1"/>
    <x v="29"/>
    <s v="PSES High Prog21Act26 S275"/>
    <x v="1"/>
    <s v="26"/>
    <m/>
    <n v="26"/>
    <s v="   "/>
    <n v="6.3710000000000004"/>
    <n v="0.28639999999999999"/>
    <n v="1.825"/>
    <x v="7"/>
  </r>
  <r>
    <s v="39201"/>
    <x v="294"/>
    <s v="Personnel"/>
    <s v="H "/>
    <x v="1"/>
    <x v="9"/>
    <s v="PSES High Prog01Act26 S275"/>
    <x v="0"/>
    <s v="26"/>
    <m/>
    <n v="26"/>
    <s v="   "/>
    <n v="1.278"/>
    <n v="0.28639999999999999"/>
    <n v="0"/>
    <x v="7"/>
  </r>
  <r>
    <s v="39201"/>
    <x v="294"/>
    <s v="Personnel"/>
    <s v="E "/>
    <x v="0"/>
    <x v="15"/>
    <s v="PSES Elem Prog01Duty42 S275"/>
    <x v="0"/>
    <s v="42"/>
    <n v="42"/>
    <m/>
    <s v="   "/>
    <n v="8"/>
    <n v="0.28639999999999999"/>
    <n v="0"/>
    <x v="12"/>
  </r>
  <r>
    <s v="39201"/>
    <x v="294"/>
    <s v="Personnel"/>
    <s v="H "/>
    <x v="1"/>
    <x v="16"/>
    <s v="PSES High Prog01Duty42 S275"/>
    <x v="0"/>
    <s v="42"/>
    <n v="42"/>
    <m/>
    <s v="   "/>
    <n v="6"/>
    <n v="0.28639999999999999"/>
    <n v="0"/>
    <x v="13"/>
  </r>
  <r>
    <s v="39201"/>
    <x v="294"/>
    <s v="Personnel"/>
    <s v="M "/>
    <x v="2"/>
    <x v="17"/>
    <s v="PSES Mid Prog01Duty42 S275"/>
    <x v="0"/>
    <s v="42"/>
    <n v="42"/>
    <m/>
    <s v="   "/>
    <n v="5"/>
    <n v="0.28639999999999999"/>
    <n v="0"/>
    <x v="14"/>
  </r>
  <r>
    <s v="39201"/>
    <x v="294"/>
    <s v="Personnel"/>
    <s v="E "/>
    <x v="0"/>
    <x v="20"/>
    <s v="PSES Elem Prog21Duty45 S275"/>
    <x v="1"/>
    <s v="45"/>
    <n v="45"/>
    <m/>
    <s v="   "/>
    <n v="3"/>
    <n v="0.28639999999999999"/>
    <n v="0.85899999999999999"/>
    <x v="17"/>
  </r>
  <r>
    <s v="39201"/>
    <x v="294"/>
    <s v="Personnel"/>
    <s v="M "/>
    <x v="2"/>
    <x v="28"/>
    <s v="PSES Mid Prog21Duty45 S275"/>
    <x v="1"/>
    <s v="45"/>
    <n v="45"/>
    <m/>
    <s v="   "/>
    <n v="0.81699999999999995"/>
    <n v="0.28639999999999999"/>
    <n v="0.23400000000000001"/>
    <x v="25"/>
  </r>
  <r>
    <s v="39201"/>
    <x v="294"/>
    <s v="Personnel"/>
    <s v="E "/>
    <x v="0"/>
    <x v="22"/>
    <s v="PSES Elem Prog21Duty46 S275"/>
    <x v="1"/>
    <s v="46"/>
    <n v="46"/>
    <m/>
    <s v="   "/>
    <n v="4"/>
    <n v="0.28639999999999999"/>
    <n v="1.1459999999999999"/>
    <x v="19"/>
  </r>
  <r>
    <s v="39201"/>
    <x v="294"/>
    <s v="Personnel"/>
    <s v="H "/>
    <x v="1"/>
    <x v="23"/>
    <s v="PSES High Prog21Duty46 S275"/>
    <x v="1"/>
    <s v="46"/>
    <n v="46"/>
    <m/>
    <s v="   "/>
    <n v="2"/>
    <n v="0.28639999999999999"/>
    <n v="0.57299999999999995"/>
    <x v="20"/>
  </r>
  <r>
    <s v="39201"/>
    <x v="294"/>
    <s v="Personnel"/>
    <s v="E "/>
    <x v="0"/>
    <x v="27"/>
    <s v="PSES Elem Prog01Duty47 S275"/>
    <x v="0"/>
    <s v="47"/>
    <n v="47"/>
    <m/>
    <s v="   "/>
    <n v="3"/>
    <n v="0.28639999999999999"/>
    <n v="0"/>
    <x v="24"/>
  </r>
  <r>
    <s v="39201"/>
    <x v="294"/>
    <s v="Personnel"/>
    <s v="H "/>
    <x v="1"/>
    <x v="25"/>
    <s v="PSES High Prog01Duty47 S275"/>
    <x v="0"/>
    <s v="47"/>
    <n v="47"/>
    <m/>
    <s v="   "/>
    <n v="1.2"/>
    <n v="0.28639999999999999"/>
    <n v="0"/>
    <x v="22"/>
  </r>
  <r>
    <s v="39201"/>
    <x v="294"/>
    <s v="Personnel"/>
    <s v="M "/>
    <x v="2"/>
    <x v="34"/>
    <s v="PSES Mid Prog01Duty47 S275"/>
    <x v="0"/>
    <s v="47"/>
    <n v="47"/>
    <m/>
    <s v="   "/>
    <n v="2"/>
    <n v="0.28639999999999999"/>
    <n v="0"/>
    <x v="28"/>
  </r>
  <r>
    <s v="39201"/>
    <x v="294"/>
    <s v="Personnel"/>
    <m/>
    <x v="0"/>
    <x v="66"/>
    <s v="PSES Elem Prog09Duty25 S275"/>
    <x v="3"/>
    <s v="25"/>
    <n v="91"/>
    <n v="25"/>
    <m/>
    <n v="0.13700000000000001"/>
    <n v="0.28639999999999999"/>
    <n v="0"/>
    <x v="41"/>
  </r>
  <r>
    <s v="39201"/>
    <x v="294"/>
    <s v="Personnel"/>
    <m/>
    <x v="0"/>
    <x v="66"/>
    <s v="PSES Elem Prog09Duty25 S275"/>
    <x v="3"/>
    <s v="25"/>
    <n v="91"/>
    <n v="25"/>
    <m/>
    <n v="0.128"/>
    <n v="0.28639999999999999"/>
    <n v="0"/>
    <x v="41"/>
  </r>
  <r>
    <s v="39202"/>
    <x v="295"/>
    <s v="Personnel"/>
    <s v="H "/>
    <x v="1"/>
    <x v="1"/>
    <s v="PSES High Prog01Duty96 S275"/>
    <x v="0"/>
    <s v="24"/>
    <n v="96"/>
    <n v="24"/>
    <s v="   "/>
    <n v="0.65"/>
    <n v="0.15629999999999999"/>
    <n v="0"/>
    <x v="1"/>
  </r>
  <r>
    <s v="39202"/>
    <x v="295"/>
    <s v="Personnel"/>
    <s v="E "/>
    <x v="0"/>
    <x v="8"/>
    <s v="PSES Elem Prog01Act26 S275"/>
    <x v="0"/>
    <s v="26"/>
    <m/>
    <n v="26"/>
    <s v="   "/>
    <n v="1.833"/>
    <n v="0.15629999999999999"/>
    <n v="0"/>
    <x v="6"/>
  </r>
  <r>
    <s v="39202"/>
    <x v="295"/>
    <s v="Personnel"/>
    <s v="H "/>
    <x v="1"/>
    <x v="29"/>
    <s v="PSES High Prog21Act26 S275"/>
    <x v="1"/>
    <s v="26"/>
    <m/>
    <n v="26"/>
    <s v="   "/>
    <n v="0.63900000000000001"/>
    <n v="0.15629999999999999"/>
    <n v="0.1"/>
    <x v="7"/>
  </r>
  <r>
    <s v="39202"/>
    <x v="295"/>
    <s v="Personnel"/>
    <s v="H "/>
    <x v="1"/>
    <x v="9"/>
    <s v="PSES High Prog01Act26 S275"/>
    <x v="0"/>
    <s v="26"/>
    <m/>
    <n v="26"/>
    <s v="   "/>
    <n v="1.7"/>
    <n v="0.15629999999999999"/>
    <n v="0"/>
    <x v="7"/>
  </r>
  <r>
    <s v="39202"/>
    <x v="295"/>
    <s v="Personnel"/>
    <s v="M "/>
    <x v="2"/>
    <x v="10"/>
    <s v="PSES Mid Prog21Act26 S275"/>
    <x v="1"/>
    <s v="26"/>
    <m/>
    <n v="26"/>
    <s v="   "/>
    <n v="0.59399999999999997"/>
    <n v="0.15629999999999999"/>
    <n v="9.2999999999999999E-2"/>
    <x v="8"/>
  </r>
  <r>
    <s v="39202"/>
    <x v="295"/>
    <s v="Personnel"/>
    <s v="M "/>
    <x v="2"/>
    <x v="11"/>
    <s v="PSES Mid Prog01Act26 S275"/>
    <x v="0"/>
    <s v="26"/>
    <m/>
    <n v="26"/>
    <s v="   "/>
    <n v="0.63900000000000001"/>
    <n v="0.15629999999999999"/>
    <n v="0"/>
    <x v="8"/>
  </r>
  <r>
    <s v="39202"/>
    <x v="295"/>
    <s v="Personnel"/>
    <s v="E "/>
    <x v="0"/>
    <x v="62"/>
    <s v="PSES Elem Prog01Act35 S275"/>
    <x v="0"/>
    <s v="35"/>
    <m/>
    <n v="35"/>
    <s v="   "/>
    <n v="1.7470000000000001"/>
    <n v="0.15629999999999999"/>
    <n v="0"/>
    <x v="26"/>
  </r>
  <r>
    <s v="39202"/>
    <x v="295"/>
    <s v="Personnel"/>
    <s v="H "/>
    <x v="1"/>
    <x v="87"/>
    <s v="PSES High Prog21Act35 S275"/>
    <x v="1"/>
    <s v="35"/>
    <m/>
    <n v="35"/>
    <s v="   "/>
    <n v="0.59399999999999997"/>
    <n v="0.15629999999999999"/>
    <n v="9.2999999999999999E-2"/>
    <x v="9"/>
  </r>
  <r>
    <s v="39202"/>
    <x v="295"/>
    <s v="Personnel"/>
    <s v="E "/>
    <x v="0"/>
    <x v="15"/>
    <s v="PSES Elem Prog01Duty42 S275"/>
    <x v="0"/>
    <s v="42"/>
    <n v="42"/>
    <m/>
    <s v="   "/>
    <n v="4.25"/>
    <n v="0.15629999999999999"/>
    <n v="0"/>
    <x v="12"/>
  </r>
  <r>
    <s v="39202"/>
    <x v="295"/>
    <s v="Personnel"/>
    <s v="H "/>
    <x v="1"/>
    <x v="16"/>
    <s v="PSES High Prog01Duty42 S275"/>
    <x v="0"/>
    <s v="42"/>
    <n v="42"/>
    <m/>
    <s v="   "/>
    <n v="1.75"/>
    <n v="0.15629999999999999"/>
    <n v="0"/>
    <x v="13"/>
  </r>
  <r>
    <s v="39202"/>
    <x v="295"/>
    <s v="Personnel"/>
    <s v="M "/>
    <x v="2"/>
    <x v="17"/>
    <s v="PSES Mid Prog01Duty42 S275"/>
    <x v="0"/>
    <s v="42"/>
    <n v="42"/>
    <m/>
    <s v="   "/>
    <n v="0.75"/>
    <n v="0.15629999999999999"/>
    <n v="0"/>
    <x v="14"/>
  </r>
  <r>
    <s v="39202"/>
    <x v="295"/>
    <s v="Personnel"/>
    <s v="E "/>
    <x v="0"/>
    <x v="20"/>
    <s v="PSES Elem Prog21Duty45 S275"/>
    <x v="1"/>
    <s v="45"/>
    <n v="45"/>
    <m/>
    <s v="   "/>
    <n v="1.22"/>
    <n v="0.15629999999999999"/>
    <n v="0.191"/>
    <x v="17"/>
  </r>
  <r>
    <s v="39202"/>
    <x v="295"/>
    <s v="Personnel"/>
    <s v="E "/>
    <x v="0"/>
    <x v="47"/>
    <s v="PSES Elem Prog01Duty45 S275"/>
    <x v="0"/>
    <s v="45"/>
    <n v="45"/>
    <m/>
    <s v="   "/>
    <n v="1"/>
    <n v="0.15629999999999999"/>
    <n v="0"/>
    <x v="17"/>
  </r>
  <r>
    <s v="39202"/>
    <x v="295"/>
    <s v="Personnel"/>
    <s v="H "/>
    <x v="1"/>
    <x v="21"/>
    <s v="PSES High Prog21Duty45 S275"/>
    <x v="1"/>
    <s v="45"/>
    <n v="45"/>
    <m/>
    <s v="   "/>
    <n v="1.4390000000000001"/>
    <n v="0.15629999999999999"/>
    <n v="0.22500000000000001"/>
    <x v="18"/>
  </r>
  <r>
    <s v="39202"/>
    <x v="295"/>
    <s v="Personnel"/>
    <s v="M "/>
    <x v="2"/>
    <x v="28"/>
    <s v="PSES Mid Prog21Duty45 S275"/>
    <x v="1"/>
    <s v="45"/>
    <n v="45"/>
    <m/>
    <s v="   "/>
    <n v="0.22"/>
    <n v="0.15629999999999999"/>
    <n v="3.4000000000000002E-2"/>
    <x v="25"/>
  </r>
  <r>
    <s v="39202"/>
    <x v="295"/>
    <s v="Personnel"/>
    <s v="E "/>
    <x v="0"/>
    <x v="22"/>
    <s v="PSES Elem Prog21Duty46 S275"/>
    <x v="1"/>
    <s v="46"/>
    <n v="46"/>
    <m/>
    <s v="   "/>
    <n v="2.75"/>
    <n v="0.15629999999999999"/>
    <n v="0.43"/>
    <x v="19"/>
  </r>
  <r>
    <s v="39202"/>
    <x v="295"/>
    <s v="Personnel"/>
    <s v="H "/>
    <x v="1"/>
    <x v="23"/>
    <s v="PSES High Prog21Duty46 S275"/>
    <x v="1"/>
    <s v="46"/>
    <n v="46"/>
    <m/>
    <s v="   "/>
    <n v="1"/>
    <n v="0.15629999999999999"/>
    <n v="0.156"/>
    <x v="20"/>
  </r>
  <r>
    <s v="39202"/>
    <x v="295"/>
    <s v="Personnel"/>
    <s v="M "/>
    <x v="2"/>
    <x v="24"/>
    <s v="PSES Mid Prog21Duty46 S275"/>
    <x v="1"/>
    <s v="46"/>
    <n v="46"/>
    <m/>
    <s v="   "/>
    <n v="0.75"/>
    <n v="0.15629999999999999"/>
    <n v="0.11700000000000001"/>
    <x v="21"/>
  </r>
  <r>
    <s v="39202"/>
    <x v="295"/>
    <s v="Personnel"/>
    <s v="E "/>
    <x v="0"/>
    <x v="35"/>
    <s v="PSES Elem Prog21Duty48 S275"/>
    <x v="1"/>
    <s v="48"/>
    <n v="48"/>
    <m/>
    <s v="   "/>
    <n v="0.5"/>
    <n v="0.15629999999999999"/>
    <n v="7.8E-2"/>
    <x v="29"/>
  </r>
  <r>
    <s v="39202"/>
    <x v="295"/>
    <s v="Personnel"/>
    <s v="H "/>
    <x v="1"/>
    <x v="36"/>
    <s v="PSES High Prog21Duty48 S275"/>
    <x v="1"/>
    <s v="48"/>
    <n v="48"/>
    <m/>
    <s v="   "/>
    <n v="0.5"/>
    <n v="0.15629999999999999"/>
    <n v="7.8E-2"/>
    <x v="30"/>
  </r>
  <r>
    <s v="39202"/>
    <x v="295"/>
    <s v="Personnel"/>
    <s v="E "/>
    <x v="0"/>
    <x v="26"/>
    <s v="PSES Elem Prog21Duty49 S275"/>
    <x v="1"/>
    <s v="49"/>
    <n v="49"/>
    <m/>
    <s v="   "/>
    <n v="1"/>
    <n v="0.15629999999999999"/>
    <n v="0.156"/>
    <x v="23"/>
  </r>
  <r>
    <s v="39202"/>
    <x v="295"/>
    <s v="Personnel"/>
    <s v="H "/>
    <x v="1"/>
    <x v="55"/>
    <s v="PSES High Prog21Duty49 S275"/>
    <x v="1"/>
    <s v="49"/>
    <n v="49"/>
    <m/>
    <s v="   "/>
    <n v="1"/>
    <n v="0.15629999999999999"/>
    <n v="0.156"/>
    <x v="37"/>
  </r>
  <r>
    <s v="39203"/>
    <x v="296"/>
    <s v="Personnel"/>
    <s v="H "/>
    <x v="1"/>
    <x v="9"/>
    <s v="PSES High Prog01Act26 S275"/>
    <x v="0"/>
    <s v="26"/>
    <m/>
    <n v="26"/>
    <s v="   "/>
    <n v="1.01"/>
    <n v="0.25080000000000002"/>
    <n v="0"/>
    <x v="7"/>
  </r>
  <r>
    <s v="39203"/>
    <x v="296"/>
    <s v="Personnel"/>
    <s v="E "/>
    <x v="0"/>
    <x v="15"/>
    <s v="PSES Elem Prog01Duty42 S275"/>
    <x v="0"/>
    <s v="42"/>
    <n v="42"/>
    <m/>
    <s v="   "/>
    <n v="1"/>
    <n v="0.25080000000000002"/>
    <n v="0"/>
    <x v="12"/>
  </r>
  <r>
    <s v="39203"/>
    <x v="296"/>
    <s v="Personnel"/>
    <s v="H "/>
    <x v="1"/>
    <x v="16"/>
    <s v="PSES High Prog01Duty42 S275"/>
    <x v="0"/>
    <s v="42"/>
    <n v="42"/>
    <m/>
    <s v="   "/>
    <n v="1"/>
    <n v="0.25080000000000002"/>
    <n v="0"/>
    <x v="13"/>
  </r>
  <r>
    <s v="39203"/>
    <x v="296"/>
    <s v="Personnel"/>
    <s v="M "/>
    <x v="2"/>
    <x v="17"/>
    <s v="PSES Mid Prog01Duty42 S275"/>
    <x v="0"/>
    <s v="42"/>
    <n v="42"/>
    <m/>
    <s v="   "/>
    <n v="1"/>
    <n v="0.25080000000000002"/>
    <n v="0"/>
    <x v="14"/>
  </r>
  <r>
    <s v="39203"/>
    <x v="296"/>
    <s v="Personnel"/>
    <s v="E "/>
    <x v="0"/>
    <x v="20"/>
    <s v="PSES Elem Prog21Duty45 S275"/>
    <x v="1"/>
    <s v="45"/>
    <n v="45"/>
    <m/>
    <s v="   "/>
    <n v="0.5"/>
    <n v="0.25080000000000002"/>
    <n v="0.125"/>
    <x v="17"/>
  </r>
  <r>
    <s v="39203"/>
    <x v="296"/>
    <s v="Personnel"/>
    <s v="M "/>
    <x v="2"/>
    <x v="28"/>
    <s v="PSES Mid Prog21Duty45 S275"/>
    <x v="1"/>
    <s v="45"/>
    <n v="45"/>
    <m/>
    <s v="   "/>
    <n v="0.5"/>
    <n v="0.25080000000000002"/>
    <n v="0.125"/>
    <x v="25"/>
  </r>
  <r>
    <s v="39203"/>
    <x v="296"/>
    <s v="Personnel"/>
    <s v="E "/>
    <x v="0"/>
    <x v="22"/>
    <s v="PSES Elem Prog21Duty46 S275"/>
    <x v="1"/>
    <s v="46"/>
    <n v="46"/>
    <m/>
    <s v="   "/>
    <n v="1"/>
    <n v="0.25080000000000002"/>
    <n v="0.251"/>
    <x v="19"/>
  </r>
  <r>
    <s v="39204"/>
    <x v="297"/>
    <s v="Personnel"/>
    <s v="H "/>
    <x v="1"/>
    <x v="53"/>
    <s v="PSES High Prog97Act25 S275"/>
    <x v="2"/>
    <s v="25"/>
    <m/>
    <n v="25"/>
    <s v="   "/>
    <n v="0.76900000000000002"/>
    <n v="0.27610000000000001"/>
    <n v="0"/>
    <x v="4"/>
  </r>
  <r>
    <s v="39204"/>
    <x v="297"/>
    <s v="Personnel"/>
    <s v="H "/>
    <x v="1"/>
    <x v="29"/>
    <s v="PSES High Prog21Act26 S275"/>
    <x v="1"/>
    <s v="26"/>
    <m/>
    <n v="26"/>
    <s v="   "/>
    <n v="1.837"/>
    <n v="0.27610000000000001"/>
    <n v="0.50700000000000001"/>
    <x v="7"/>
  </r>
  <r>
    <s v="39204"/>
    <x v="297"/>
    <s v="Personnel"/>
    <s v="H "/>
    <x v="1"/>
    <x v="9"/>
    <s v="PSES High Prog01Act26 S275"/>
    <x v="0"/>
    <s v="26"/>
    <m/>
    <n v="26"/>
    <s v="   "/>
    <n v="1.2669999999999999"/>
    <n v="0.27610000000000001"/>
    <n v="0"/>
    <x v="7"/>
  </r>
  <r>
    <s v="39204"/>
    <x v="297"/>
    <s v="Personnel"/>
    <s v="E "/>
    <x v="0"/>
    <x v="15"/>
    <s v="PSES Elem Prog01Duty42 S275"/>
    <x v="0"/>
    <s v="42"/>
    <n v="42"/>
    <m/>
    <s v="   "/>
    <n v="2"/>
    <n v="0.27610000000000001"/>
    <n v="0"/>
    <x v="12"/>
  </r>
  <r>
    <s v="39204"/>
    <x v="297"/>
    <s v="Personnel"/>
    <s v="H "/>
    <x v="1"/>
    <x v="16"/>
    <s v="PSES High Prog01Duty42 S275"/>
    <x v="0"/>
    <s v="42"/>
    <n v="42"/>
    <m/>
    <s v="   "/>
    <n v="1.38"/>
    <n v="0.27610000000000001"/>
    <n v="0"/>
    <x v="13"/>
  </r>
  <r>
    <s v="39204"/>
    <x v="297"/>
    <s v="Personnel"/>
    <s v="M "/>
    <x v="2"/>
    <x v="17"/>
    <s v="PSES Mid Prog01Duty42 S275"/>
    <x v="0"/>
    <s v="42"/>
    <n v="42"/>
    <m/>
    <s v="   "/>
    <n v="1"/>
    <n v="0.27610000000000001"/>
    <n v="0"/>
    <x v="14"/>
  </r>
  <r>
    <s v="39204"/>
    <x v="297"/>
    <s v="Personnel"/>
    <s v="E "/>
    <x v="0"/>
    <x v="22"/>
    <s v="PSES Elem Prog21Duty46 S275"/>
    <x v="1"/>
    <s v="46"/>
    <n v="46"/>
    <m/>
    <s v="   "/>
    <n v="0.28399999999999997"/>
    <n v="0.27610000000000001"/>
    <n v="7.8E-2"/>
    <x v="19"/>
  </r>
  <r>
    <s v="39204"/>
    <x v="297"/>
    <s v="Personnel"/>
    <s v="H "/>
    <x v="1"/>
    <x v="23"/>
    <s v="PSES High Prog21Duty46 S275"/>
    <x v="1"/>
    <s v="46"/>
    <n v="46"/>
    <m/>
    <s v="   "/>
    <n v="0.27500000000000002"/>
    <n v="0.27610000000000001"/>
    <n v="7.5999999999999998E-2"/>
    <x v="20"/>
  </r>
  <r>
    <s v="39204"/>
    <x v="297"/>
    <s v="Personnel"/>
    <s v="M "/>
    <x v="2"/>
    <x v="24"/>
    <s v="PSES Mid Prog21Duty46 S275"/>
    <x v="1"/>
    <s v="46"/>
    <n v="46"/>
    <m/>
    <s v="   "/>
    <n v="0.27500000000000002"/>
    <n v="0.27610000000000001"/>
    <n v="7.5999999999999998E-2"/>
    <x v="21"/>
  </r>
  <r>
    <s v="39205"/>
    <x v="298"/>
    <s v="Personnel"/>
    <s v="E "/>
    <x v="0"/>
    <x v="8"/>
    <s v="PSES Elem Prog01Act26 S275"/>
    <x v="0"/>
    <s v="26"/>
    <m/>
    <n v="26"/>
    <s v="   "/>
    <n v="0.32200000000000001"/>
    <n v="0.18459999999999999"/>
    <n v="0"/>
    <x v="6"/>
  </r>
  <r>
    <s v="39205"/>
    <x v="298"/>
    <s v="Personnel"/>
    <s v="H "/>
    <x v="1"/>
    <x v="9"/>
    <s v="PSES High Prog01Act26 S275"/>
    <x v="0"/>
    <s v="26"/>
    <m/>
    <n v="26"/>
    <s v="   "/>
    <n v="0.161"/>
    <n v="0.18459999999999999"/>
    <n v="0"/>
    <x v="7"/>
  </r>
  <r>
    <s v="39205"/>
    <x v="298"/>
    <s v="Personnel"/>
    <s v="M "/>
    <x v="2"/>
    <x v="11"/>
    <s v="PSES Mid Prog01Act26 S275"/>
    <x v="0"/>
    <s v="26"/>
    <m/>
    <n v="26"/>
    <s v="   "/>
    <n v="0.161"/>
    <n v="0.18459999999999999"/>
    <n v="0"/>
    <x v="8"/>
  </r>
  <r>
    <s v="39205"/>
    <x v="298"/>
    <s v="Personnel"/>
    <s v="E "/>
    <x v="0"/>
    <x v="15"/>
    <s v="PSES Elem Prog01Duty42 S275"/>
    <x v="0"/>
    <s v="42"/>
    <n v="42"/>
    <m/>
    <s v="   "/>
    <n v="1"/>
    <n v="0.18459999999999999"/>
    <n v="0"/>
    <x v="12"/>
  </r>
  <r>
    <s v="39205"/>
    <x v="298"/>
    <s v="Personnel"/>
    <s v="H "/>
    <x v="1"/>
    <x v="16"/>
    <s v="PSES High Prog01Duty42 S275"/>
    <x v="0"/>
    <s v="42"/>
    <n v="42"/>
    <m/>
    <s v="   "/>
    <n v="1.4"/>
    <n v="0.18459999999999999"/>
    <n v="0"/>
    <x v="13"/>
  </r>
  <r>
    <s v="39205"/>
    <x v="298"/>
    <s v="Personnel"/>
    <s v="M "/>
    <x v="2"/>
    <x v="17"/>
    <s v="PSES Mid Prog01Duty42 S275"/>
    <x v="0"/>
    <s v="42"/>
    <n v="42"/>
    <m/>
    <s v="   "/>
    <n v="0.8"/>
    <n v="0.18459999999999999"/>
    <n v="0"/>
    <x v="14"/>
  </r>
  <r>
    <s v="39205"/>
    <x v="298"/>
    <s v="Personnel"/>
    <s v="H "/>
    <x v="1"/>
    <x v="51"/>
    <s v="PSES High Prog01Duty45 S275"/>
    <x v="0"/>
    <s v="45"/>
    <n v="45"/>
    <m/>
    <s v="   "/>
    <n v="1.6E-2"/>
    <n v="0.18459999999999999"/>
    <n v="0"/>
    <x v="18"/>
  </r>
  <r>
    <s v="39205"/>
    <x v="298"/>
    <s v="Personnel"/>
    <s v="E "/>
    <x v="0"/>
    <x v="27"/>
    <s v="PSES Elem Prog01Duty47 S275"/>
    <x v="0"/>
    <s v="47"/>
    <n v="47"/>
    <m/>
    <s v="   "/>
    <n v="1"/>
    <n v="0.18459999999999999"/>
    <n v="0"/>
    <x v="24"/>
  </r>
  <r>
    <s v="39205"/>
    <x v="298"/>
    <s v="Personnel"/>
    <s v="H "/>
    <x v="1"/>
    <x v="25"/>
    <s v="PSES High Prog01Duty47 S275"/>
    <x v="0"/>
    <s v="47"/>
    <n v="47"/>
    <m/>
    <s v="   "/>
    <n v="0.5"/>
    <n v="0.18459999999999999"/>
    <n v="0"/>
    <x v="22"/>
  </r>
  <r>
    <s v="39205"/>
    <x v="298"/>
    <s v="Personnel"/>
    <s v="M "/>
    <x v="2"/>
    <x v="34"/>
    <s v="PSES Mid Prog01Duty47 S275"/>
    <x v="0"/>
    <s v="47"/>
    <n v="47"/>
    <m/>
    <s v="   "/>
    <n v="0.5"/>
    <n v="0.18459999999999999"/>
    <n v="0"/>
    <x v="28"/>
  </r>
  <r>
    <s v="39207"/>
    <x v="299"/>
    <s v="Personnel"/>
    <s v="H "/>
    <x v="1"/>
    <x v="1"/>
    <s v="PSES High Prog01Duty96 S275"/>
    <x v="0"/>
    <s v="24"/>
    <n v="96"/>
    <n v="24"/>
    <s v="   "/>
    <n v="3.1749999999999998"/>
    <n v="0.2258"/>
    <n v="0"/>
    <x v="1"/>
  </r>
  <r>
    <s v="39207"/>
    <x v="299"/>
    <s v="Personnel"/>
    <s v="E "/>
    <x v="0"/>
    <x v="3"/>
    <s v="PSES Elem Prog01Act25 S275"/>
    <x v="0"/>
    <s v="25"/>
    <m/>
    <n v="25"/>
    <s v="   "/>
    <n v="0.34599999999999997"/>
    <n v="0.2258"/>
    <n v="0"/>
    <x v="3"/>
  </r>
  <r>
    <s v="39207"/>
    <x v="299"/>
    <s v="Personnel"/>
    <s v="H "/>
    <x v="1"/>
    <x v="4"/>
    <s v="PSES High Prog21Act25 S275"/>
    <x v="1"/>
    <s v="25"/>
    <m/>
    <n v="25"/>
    <s v="   "/>
    <n v="1.075"/>
    <n v="0.2258"/>
    <n v="0.24299999999999999"/>
    <x v="4"/>
  </r>
  <r>
    <s v="39207"/>
    <x v="299"/>
    <s v="Personnel"/>
    <s v="H "/>
    <x v="1"/>
    <x v="5"/>
    <s v="PSES High Prog01Act25 S275"/>
    <x v="0"/>
    <s v="25"/>
    <m/>
    <n v="25"/>
    <s v="   "/>
    <n v="3.593"/>
    <n v="0.2258"/>
    <n v="0"/>
    <x v="4"/>
  </r>
  <r>
    <s v="39207"/>
    <x v="299"/>
    <s v="Personnel"/>
    <s v="H "/>
    <x v="1"/>
    <x v="29"/>
    <s v="PSES High Prog21Act26 S275"/>
    <x v="1"/>
    <s v="26"/>
    <m/>
    <n v="26"/>
    <s v="   "/>
    <n v="1.925"/>
    <n v="0.2258"/>
    <n v="0.435"/>
    <x v="7"/>
  </r>
  <r>
    <s v="39207"/>
    <x v="299"/>
    <s v="Personnel"/>
    <s v="H "/>
    <x v="1"/>
    <x v="9"/>
    <s v="PSES High Prog01Act26 S275"/>
    <x v="0"/>
    <s v="26"/>
    <m/>
    <n v="26"/>
    <s v="   "/>
    <n v="3.141"/>
    <n v="0.2258"/>
    <n v="0"/>
    <x v="7"/>
  </r>
  <r>
    <s v="39207"/>
    <x v="299"/>
    <s v="Personnel"/>
    <s v="E "/>
    <x v="0"/>
    <x v="15"/>
    <s v="PSES Elem Prog01Duty42 S275"/>
    <x v="0"/>
    <s v="42"/>
    <n v="42"/>
    <m/>
    <s v="   "/>
    <n v="4.07"/>
    <n v="0.2258"/>
    <n v="0"/>
    <x v="12"/>
  </r>
  <r>
    <s v="39207"/>
    <x v="299"/>
    <s v="Personnel"/>
    <s v="H "/>
    <x v="1"/>
    <x v="16"/>
    <s v="PSES High Prog01Duty42 S275"/>
    <x v="0"/>
    <s v="42"/>
    <n v="42"/>
    <m/>
    <s v="   "/>
    <n v="2.875"/>
    <n v="0.2258"/>
    <n v="0"/>
    <x v="13"/>
  </r>
  <r>
    <s v="39207"/>
    <x v="299"/>
    <s v="Personnel"/>
    <s v="M "/>
    <x v="2"/>
    <x v="17"/>
    <s v="PSES Mid Prog01Duty42 S275"/>
    <x v="0"/>
    <s v="42"/>
    <n v="42"/>
    <m/>
    <s v="   "/>
    <n v="2.5550000000000002"/>
    <n v="0.2258"/>
    <n v="0"/>
    <x v="14"/>
  </r>
  <r>
    <s v="39207"/>
    <x v="299"/>
    <s v="Personnel"/>
    <s v="E "/>
    <x v="0"/>
    <x v="20"/>
    <s v="PSES Elem Prog21Duty45 S275"/>
    <x v="1"/>
    <s v="45"/>
    <n v="45"/>
    <m/>
    <s v="   "/>
    <n v="1.6879999999999999"/>
    <n v="0.2258"/>
    <n v="0.38100000000000001"/>
    <x v="17"/>
  </r>
  <r>
    <s v="39207"/>
    <x v="299"/>
    <s v="Personnel"/>
    <s v="H "/>
    <x v="1"/>
    <x v="21"/>
    <s v="PSES High Prog21Duty45 S275"/>
    <x v="1"/>
    <s v="45"/>
    <n v="45"/>
    <m/>
    <s v="   "/>
    <n v="0.03"/>
    <n v="0.2258"/>
    <n v="7.0000000000000001E-3"/>
    <x v="18"/>
  </r>
  <r>
    <s v="39207"/>
    <x v="299"/>
    <s v="Personnel"/>
    <s v="E "/>
    <x v="0"/>
    <x v="22"/>
    <s v="PSES Elem Prog21Duty46 S275"/>
    <x v="1"/>
    <s v="46"/>
    <n v="46"/>
    <m/>
    <s v="   "/>
    <n v="0.6"/>
    <n v="0.2258"/>
    <n v="0.13500000000000001"/>
    <x v="19"/>
  </r>
  <r>
    <s v="39207"/>
    <x v="299"/>
    <s v="Personnel"/>
    <s v="H "/>
    <x v="1"/>
    <x v="25"/>
    <s v="PSES High Prog01Duty47 S275"/>
    <x v="0"/>
    <s v="47"/>
    <n v="47"/>
    <m/>
    <s v="   "/>
    <n v="1"/>
    <n v="0.2258"/>
    <n v="0"/>
    <x v="22"/>
  </r>
  <r>
    <s v="39208"/>
    <x v="300"/>
    <s v="Personnel"/>
    <s v="H "/>
    <x v="1"/>
    <x v="5"/>
    <s v="PSES High Prog01Act25 S275"/>
    <x v="0"/>
    <s v="25"/>
    <m/>
    <n v="25"/>
    <s v="   "/>
    <n v="0.624"/>
    <n v="0.21990000000000001"/>
    <n v="0"/>
    <x v="4"/>
  </r>
  <r>
    <s v="39208"/>
    <x v="300"/>
    <s v="Personnel"/>
    <s v="H "/>
    <x v="1"/>
    <x v="29"/>
    <s v="PSES High Prog21Act26 S275"/>
    <x v="1"/>
    <s v="26"/>
    <m/>
    <n v="26"/>
    <s v="   "/>
    <n v="9.798"/>
    <n v="0.21990000000000001"/>
    <n v="2.1549999999999998"/>
    <x v="7"/>
  </r>
  <r>
    <s v="39208"/>
    <x v="300"/>
    <s v="Personnel"/>
    <s v="H "/>
    <x v="1"/>
    <x v="9"/>
    <s v="PSES High Prog01Act26 S275"/>
    <x v="0"/>
    <s v="26"/>
    <m/>
    <n v="26"/>
    <s v="   "/>
    <n v="4.3929999999999998"/>
    <n v="0.21990000000000001"/>
    <n v="0"/>
    <x v="7"/>
  </r>
  <r>
    <s v="39208"/>
    <x v="300"/>
    <s v="Personnel"/>
    <s v="E "/>
    <x v="0"/>
    <x v="15"/>
    <s v="PSES Elem Prog01Duty42 S275"/>
    <x v="0"/>
    <s v="42"/>
    <n v="42"/>
    <m/>
    <s v="   "/>
    <n v="3"/>
    <n v="0.21990000000000001"/>
    <n v="0"/>
    <x v="12"/>
  </r>
  <r>
    <s v="39208"/>
    <x v="300"/>
    <s v="Personnel"/>
    <s v="H "/>
    <x v="1"/>
    <x v="16"/>
    <s v="PSES High Prog01Duty42 S275"/>
    <x v="0"/>
    <s v="42"/>
    <n v="42"/>
    <m/>
    <s v="   "/>
    <n v="3.2"/>
    <n v="0.21990000000000001"/>
    <n v="0"/>
    <x v="13"/>
  </r>
  <r>
    <s v="39208"/>
    <x v="300"/>
    <s v="Personnel"/>
    <s v="M "/>
    <x v="2"/>
    <x v="75"/>
    <s v="PSES Mid Prog21Duty42 S275"/>
    <x v="1"/>
    <s v="42"/>
    <n v="42"/>
    <m/>
    <s v="   "/>
    <n v="1"/>
    <n v="0.21990000000000001"/>
    <n v="0.22"/>
    <x v="14"/>
  </r>
  <r>
    <s v="39208"/>
    <x v="300"/>
    <s v="Personnel"/>
    <s v="M "/>
    <x v="2"/>
    <x v="17"/>
    <s v="PSES Mid Prog01Duty42 S275"/>
    <x v="0"/>
    <s v="42"/>
    <n v="42"/>
    <m/>
    <s v="   "/>
    <n v="2.6"/>
    <n v="0.21990000000000001"/>
    <n v="0"/>
    <x v="14"/>
  </r>
  <r>
    <s v="39208"/>
    <x v="300"/>
    <s v="Personnel"/>
    <s v="E "/>
    <x v="0"/>
    <x v="20"/>
    <s v="PSES Elem Prog21Duty45 S275"/>
    <x v="1"/>
    <s v="45"/>
    <n v="45"/>
    <m/>
    <s v="   "/>
    <n v="3.4"/>
    <n v="0.21990000000000001"/>
    <n v="0.748"/>
    <x v="17"/>
  </r>
  <r>
    <s v="39208"/>
    <x v="300"/>
    <s v="Personnel"/>
    <s v="E "/>
    <x v="0"/>
    <x v="22"/>
    <s v="PSES Elem Prog21Duty46 S275"/>
    <x v="1"/>
    <s v="46"/>
    <n v="46"/>
    <m/>
    <s v="   "/>
    <n v="3.75"/>
    <n v="0.21990000000000001"/>
    <n v="0.82499999999999996"/>
    <x v="19"/>
  </r>
  <r>
    <s v="39208"/>
    <x v="300"/>
    <s v="Personnel"/>
    <s v="H "/>
    <x v="1"/>
    <x v="23"/>
    <s v="PSES High Prog21Duty46 S275"/>
    <x v="1"/>
    <s v="46"/>
    <n v="46"/>
    <m/>
    <s v="   "/>
    <n v="1.25"/>
    <n v="0.21990000000000001"/>
    <n v="0.27500000000000002"/>
    <x v="20"/>
  </r>
  <r>
    <s v="39208"/>
    <x v="300"/>
    <s v="Personnel"/>
    <s v="M "/>
    <x v="2"/>
    <x v="24"/>
    <s v="PSES Mid Prog21Duty46 S275"/>
    <x v="1"/>
    <s v="46"/>
    <n v="46"/>
    <m/>
    <s v="   "/>
    <n v="1"/>
    <n v="0.21990000000000001"/>
    <n v="0.22"/>
    <x v="21"/>
  </r>
  <r>
    <s v="39208"/>
    <x v="300"/>
    <s v="Personnel"/>
    <s v="E "/>
    <x v="0"/>
    <x v="26"/>
    <s v="PSES Elem Prog21Duty49 S275"/>
    <x v="1"/>
    <s v="49"/>
    <n v="49"/>
    <m/>
    <s v="   "/>
    <n v="1"/>
    <n v="0.21990000000000001"/>
    <n v="0.22"/>
    <x v="23"/>
  </r>
  <r>
    <s v="39208"/>
    <x v="300"/>
    <s v="Personnel"/>
    <s v="E "/>
    <x v="0"/>
    <x v="79"/>
    <s v="PSES Elem Prog01Duty49 S275"/>
    <x v="0"/>
    <s v="49"/>
    <n v="49"/>
    <m/>
    <s v="   "/>
    <n v="2"/>
    <n v="0.21990000000000001"/>
    <n v="0"/>
    <x v="23"/>
  </r>
  <r>
    <s v="39209"/>
    <x v="301"/>
    <s v="Personnel"/>
    <s v="E "/>
    <x v="0"/>
    <x v="7"/>
    <s v="PSES Elem Prog21Act26 S275"/>
    <x v="1"/>
    <s v="26"/>
    <m/>
    <n v="26"/>
    <s v="   "/>
    <n v="0.74199999999999999"/>
    <n v="0.20219999999999999"/>
    <n v="0.15"/>
    <x v="6"/>
  </r>
  <r>
    <s v="39209"/>
    <x v="301"/>
    <s v="Personnel"/>
    <s v="E "/>
    <x v="0"/>
    <x v="8"/>
    <s v="PSES Elem Prog01Act26 S275"/>
    <x v="0"/>
    <s v="26"/>
    <m/>
    <n v="26"/>
    <s v="   "/>
    <n v="0.63900000000000001"/>
    <n v="0.20219999999999999"/>
    <n v="0"/>
    <x v="6"/>
  </r>
  <r>
    <s v="39209"/>
    <x v="301"/>
    <s v="Personnel"/>
    <s v="H "/>
    <x v="1"/>
    <x v="29"/>
    <s v="PSES High Prog21Act26 S275"/>
    <x v="1"/>
    <s v="26"/>
    <m/>
    <n v="26"/>
    <s v="   "/>
    <n v="1.4890000000000001"/>
    <n v="0.20219999999999999"/>
    <n v="0.30099999999999999"/>
    <x v="7"/>
  </r>
  <r>
    <s v="39209"/>
    <x v="301"/>
    <s v="Personnel"/>
    <s v="H "/>
    <x v="1"/>
    <x v="9"/>
    <s v="PSES High Prog01Act26 S275"/>
    <x v="0"/>
    <s v="26"/>
    <m/>
    <n v="26"/>
    <s v="   "/>
    <n v="0.63900000000000001"/>
    <n v="0.20219999999999999"/>
    <n v="0"/>
    <x v="7"/>
  </r>
  <r>
    <s v="39209"/>
    <x v="301"/>
    <s v="Personnel"/>
    <s v="M "/>
    <x v="2"/>
    <x v="10"/>
    <s v="PSES Mid Prog21Act26 S275"/>
    <x v="1"/>
    <s v="26"/>
    <m/>
    <n v="26"/>
    <s v="   "/>
    <n v="0.21099999999999999"/>
    <n v="0.20219999999999999"/>
    <n v="4.2999999999999997E-2"/>
    <x v="8"/>
  </r>
  <r>
    <s v="39209"/>
    <x v="301"/>
    <s v="Personnel"/>
    <s v="M "/>
    <x v="2"/>
    <x v="11"/>
    <s v="PSES Mid Prog01Act26 S275"/>
    <x v="0"/>
    <s v="26"/>
    <m/>
    <n v="26"/>
    <s v="   "/>
    <n v="0.63900000000000001"/>
    <n v="0.20219999999999999"/>
    <n v="0"/>
    <x v="8"/>
  </r>
  <r>
    <s v="39209"/>
    <x v="301"/>
    <s v="Personnel"/>
    <s v="E "/>
    <x v="0"/>
    <x v="15"/>
    <s v="PSES Elem Prog01Duty42 S275"/>
    <x v="0"/>
    <s v="42"/>
    <n v="42"/>
    <m/>
    <s v="   "/>
    <n v="0.78"/>
    <n v="0.20219999999999999"/>
    <n v="0"/>
    <x v="12"/>
  </r>
  <r>
    <s v="39209"/>
    <x v="301"/>
    <s v="Personnel"/>
    <s v="M "/>
    <x v="2"/>
    <x v="17"/>
    <s v="PSES Mid Prog01Duty42 S275"/>
    <x v="0"/>
    <s v="42"/>
    <n v="42"/>
    <m/>
    <s v="   "/>
    <n v="0.22"/>
    <n v="0.20219999999999999"/>
    <n v="0"/>
    <x v="14"/>
  </r>
  <r>
    <s v="39209"/>
    <x v="301"/>
    <s v="Personnel"/>
    <s v="H "/>
    <x v="1"/>
    <x v="44"/>
    <s v="PSES High Prog01Duty44 S275"/>
    <x v="0"/>
    <s v="44"/>
    <n v="44"/>
    <m/>
    <s v="   "/>
    <n v="0.3"/>
    <n v="0.20219999999999999"/>
    <n v="0"/>
    <x v="34"/>
  </r>
  <r>
    <s v="39901"/>
    <x v="302"/>
    <s v="Personnel"/>
    <s v="H "/>
    <x v="1"/>
    <x v="53"/>
    <s v="PSES High Prog97Act25 S275"/>
    <x v="2"/>
    <s v="25"/>
    <m/>
    <n v="25"/>
    <s v="   "/>
    <n v="6"/>
    <n v="0.21360000000000001"/>
    <n v="0"/>
    <x v="4"/>
  </r>
  <r>
    <s v="39901"/>
    <x v="302"/>
    <s v="Personnel"/>
    <s v="H "/>
    <x v="1"/>
    <x v="12"/>
    <s v="PSES High Prog97Act35 S275"/>
    <x v="2"/>
    <s v="35"/>
    <m/>
    <n v="35"/>
    <s v="   "/>
    <n v="1"/>
    <n v="0.21360000000000001"/>
    <n v="0"/>
    <x v="9"/>
  </r>
  <r>
    <s v="00000"/>
    <x v="303"/>
    <s v="Personnel"/>
    <s v="E "/>
    <x v="0"/>
    <x v="95"/>
    <s v="PSES Elem Prog21Duty96 S275"/>
    <x v="1"/>
    <s v="24"/>
    <m/>
    <n v="24"/>
    <m/>
    <n v="0"/>
    <m/>
    <n v="0"/>
    <x v="0"/>
  </r>
  <r>
    <s v="00000"/>
    <x v="303"/>
    <s v="Personnel"/>
    <s v="M "/>
    <x v="2"/>
    <x v="96"/>
    <s v="PSES Mid Prog21Duty96 S275"/>
    <x v="1"/>
    <s v="24"/>
    <m/>
    <n v="24"/>
    <m/>
    <n v="0"/>
    <m/>
    <n v="0"/>
    <x v="2"/>
  </r>
  <r>
    <s v="00000"/>
    <x v="303"/>
    <s v="Personnel"/>
    <s v="H "/>
    <x v="1"/>
    <x v="86"/>
    <s v="PSES High Prog21Duty96 S275"/>
    <x v="1"/>
    <s v="24"/>
    <m/>
    <n v="24"/>
    <m/>
    <n v="0"/>
    <m/>
    <n v="0"/>
    <x v="1"/>
  </r>
  <r>
    <s v="00000"/>
    <x v="303"/>
    <s v="Personnel"/>
    <s v="E "/>
    <x v="0"/>
    <x v="56"/>
    <s v="PSES Elem Prog97Duty96 S275"/>
    <x v="2"/>
    <s v="24"/>
    <m/>
    <n v="24"/>
    <m/>
    <n v="0"/>
    <m/>
    <n v="0"/>
    <x v="0"/>
  </r>
  <r>
    <s v="00000"/>
    <x v="303"/>
    <s v="Personnel"/>
    <s v="M "/>
    <x v="2"/>
    <x v="58"/>
    <s v="PSES Mid Prog97Duty96 S275"/>
    <x v="2"/>
    <s v="24"/>
    <m/>
    <n v="24"/>
    <m/>
    <n v="0"/>
    <m/>
    <n v="0"/>
    <x v="2"/>
  </r>
  <r>
    <s v="00000"/>
    <x v="303"/>
    <s v="Personnel"/>
    <s v="H "/>
    <x v="1"/>
    <x v="57"/>
    <s v="PSES High Prog97Duty96 S275"/>
    <x v="2"/>
    <s v="24"/>
    <m/>
    <n v="24"/>
    <m/>
    <n v="0"/>
    <m/>
    <n v="0"/>
    <x v="1"/>
  </r>
  <r>
    <s v="00000"/>
    <x v="303"/>
    <s v="Personnel"/>
    <s v="E "/>
    <x v="0"/>
    <x v="97"/>
    <s v="TK Family Engage-ment Coor-dinator"/>
    <x v="4"/>
    <s v="24"/>
    <m/>
    <n v="24"/>
    <m/>
    <n v="0"/>
    <m/>
    <n v="0"/>
    <x v="50"/>
  </r>
  <r>
    <s v="00000"/>
    <x v="303"/>
    <s v="Personnel"/>
    <s v="E "/>
    <x v="0"/>
    <x v="0"/>
    <s v="PSES Elem Prog01Duty96 S275"/>
    <x v="5"/>
    <s v="24"/>
    <m/>
    <n v="24"/>
    <m/>
    <n v="0"/>
    <m/>
    <n v="0"/>
    <x v="0"/>
  </r>
  <r>
    <s v="00000"/>
    <x v="303"/>
    <s v="Personnel"/>
    <s v="M "/>
    <x v="2"/>
    <x v="2"/>
    <s v="PSES Mid Prog01Duty96 S275"/>
    <x v="5"/>
    <s v="24"/>
    <m/>
    <n v="24"/>
    <m/>
    <n v="0"/>
    <m/>
    <n v="0"/>
    <x v="2"/>
  </r>
  <r>
    <s v="00000"/>
    <x v="303"/>
    <s v="Personnel"/>
    <s v="H "/>
    <x v="1"/>
    <x v="1"/>
    <s v="PSES High Prog01Duty96 S275"/>
    <x v="5"/>
    <s v="24"/>
    <m/>
    <n v="24"/>
    <m/>
    <n v="0"/>
    <m/>
    <n v="0"/>
    <x v="1"/>
  </r>
  <r>
    <s v="00000"/>
    <x v="303"/>
    <s v="Personnel"/>
    <s v="E "/>
    <x v="0"/>
    <x v="67"/>
    <s v="PSES Elem Prog21Act25 S275"/>
    <x v="1"/>
    <s v="25"/>
    <m/>
    <n v="25"/>
    <m/>
    <n v="0"/>
    <m/>
    <n v="0"/>
    <x v="3"/>
  </r>
  <r>
    <s v="00000"/>
    <x v="303"/>
    <s v="Personnel"/>
    <s v="M "/>
    <x v="2"/>
    <x v="82"/>
    <s v="PSES Mid Prog21Act25 S275"/>
    <x v="1"/>
    <s v="25"/>
    <m/>
    <n v="25"/>
    <m/>
    <n v="0"/>
    <m/>
    <n v="0"/>
    <x v="5"/>
  </r>
  <r>
    <s v="00000"/>
    <x v="303"/>
    <s v="Personnel"/>
    <s v="H "/>
    <x v="1"/>
    <x v="4"/>
    <s v="PSES High Prog21Act25 S275"/>
    <x v="1"/>
    <s v="25"/>
    <m/>
    <n v="25"/>
    <m/>
    <n v="0"/>
    <m/>
    <n v="0"/>
    <x v="4"/>
  </r>
  <r>
    <s v="00000"/>
    <x v="303"/>
    <s v="Personnel"/>
    <s v="E "/>
    <x v="0"/>
    <x v="71"/>
    <s v="PSES Elem Prog97Act25 S275"/>
    <x v="2"/>
    <s v="25"/>
    <m/>
    <n v="25"/>
    <m/>
    <n v="0"/>
    <m/>
    <n v="0"/>
    <x v="3"/>
  </r>
  <r>
    <s v="00000"/>
    <x v="303"/>
    <s v="Personnel"/>
    <s v="M "/>
    <x v="2"/>
    <x v="72"/>
    <s v="PSES Mid Prog97Act25 S275"/>
    <x v="2"/>
    <s v="25"/>
    <m/>
    <n v="25"/>
    <m/>
    <n v="0"/>
    <m/>
    <n v="0"/>
    <x v="5"/>
  </r>
  <r>
    <s v="00000"/>
    <x v="303"/>
    <s v="Personnel"/>
    <s v="H "/>
    <x v="1"/>
    <x v="53"/>
    <s v="PSES High Prog97Act25 S275"/>
    <x v="2"/>
    <s v="25"/>
    <m/>
    <n v="25"/>
    <m/>
    <n v="0"/>
    <m/>
    <n v="0"/>
    <x v="4"/>
  </r>
  <r>
    <s v="00000"/>
    <x v="303"/>
    <s v="Personnel"/>
    <s v="E "/>
    <x v="0"/>
    <x v="66"/>
    <s v="TK Pupil Management"/>
    <x v="4"/>
    <s v="25"/>
    <m/>
    <n v="25"/>
    <m/>
    <n v="0"/>
    <m/>
    <n v="0"/>
    <x v="41"/>
  </r>
  <r>
    <s v="00000"/>
    <x v="303"/>
    <s v="Personnel"/>
    <s v="E "/>
    <x v="0"/>
    <x v="3"/>
    <s v="PSES Elem Prog01Act25 S275"/>
    <x v="5"/>
    <s v="25"/>
    <m/>
    <n v="25"/>
    <m/>
    <n v="0"/>
    <m/>
    <n v="0"/>
    <x v="3"/>
  </r>
  <r>
    <s v="00000"/>
    <x v="303"/>
    <s v="Personnel"/>
    <s v="M "/>
    <x v="2"/>
    <x v="6"/>
    <s v="PSES Mid Prog01Act25 S275"/>
    <x v="5"/>
    <s v="25"/>
    <m/>
    <n v="25"/>
    <m/>
    <n v="0"/>
    <m/>
    <n v="0"/>
    <x v="5"/>
  </r>
  <r>
    <s v="00000"/>
    <x v="303"/>
    <s v="Personnel"/>
    <s v="H "/>
    <x v="1"/>
    <x v="5"/>
    <s v="PSES High Prog01Act25 S275"/>
    <x v="5"/>
    <s v="25"/>
    <m/>
    <n v="25"/>
    <m/>
    <n v="0"/>
    <m/>
    <n v="0"/>
    <x v="4"/>
  </r>
  <r>
    <s v="00000"/>
    <x v="303"/>
    <s v="Personnel"/>
    <s v="E "/>
    <x v="0"/>
    <x v="7"/>
    <s v="PSES Elem Prog21Act26 S275"/>
    <x v="1"/>
    <s v="26"/>
    <m/>
    <n v="26"/>
    <m/>
    <n v="0"/>
    <m/>
    <n v="0"/>
    <x v="6"/>
  </r>
  <r>
    <s v="00000"/>
    <x v="303"/>
    <s v="Personnel"/>
    <s v="M "/>
    <x v="2"/>
    <x v="10"/>
    <s v="PSES Mid Prog21Act26 S275"/>
    <x v="1"/>
    <s v="26"/>
    <m/>
    <n v="26"/>
    <m/>
    <n v="0"/>
    <m/>
    <n v="0"/>
    <x v="8"/>
  </r>
  <r>
    <s v="00000"/>
    <x v="303"/>
    <s v="Personnel"/>
    <s v="H "/>
    <x v="1"/>
    <x v="29"/>
    <s v="PSES High Prog21Act26 S275"/>
    <x v="1"/>
    <s v="26"/>
    <m/>
    <n v="26"/>
    <m/>
    <n v="0"/>
    <m/>
    <n v="0"/>
    <x v="7"/>
  </r>
  <r>
    <s v="00000"/>
    <x v="303"/>
    <s v="Personnel"/>
    <s v="E "/>
    <x v="0"/>
    <x v="98"/>
    <s v="Elementary Health/_x000a_Related Services"/>
    <x v="2"/>
    <s v="26"/>
    <m/>
    <n v="26"/>
    <m/>
    <n v="0"/>
    <m/>
    <n v="0"/>
    <x v="6"/>
  </r>
  <r>
    <s v="00000"/>
    <x v="303"/>
    <s v="Personnel"/>
    <s v="M "/>
    <x v="2"/>
    <x v="99"/>
    <s v="Middle Health/_x000a_Related Services"/>
    <x v="2"/>
    <s v="26"/>
    <m/>
    <n v="26"/>
    <m/>
    <n v="0"/>
    <m/>
    <n v="0"/>
    <x v="8"/>
  </r>
  <r>
    <s v="00000"/>
    <x v="303"/>
    <s v="Personnel"/>
    <s v="H "/>
    <x v="1"/>
    <x v="100"/>
    <s v="High Health/_x000a_Related Services"/>
    <x v="2"/>
    <s v="26"/>
    <m/>
    <n v="26"/>
    <m/>
    <n v="0"/>
    <m/>
    <n v="0"/>
    <x v="7"/>
  </r>
  <r>
    <s v="00000"/>
    <x v="303"/>
    <s v="Personnel"/>
    <s v="E "/>
    <x v="0"/>
    <x v="84"/>
    <s v="PSES Elem Prog09Act26 S275"/>
    <x v="4"/>
    <s v="26"/>
    <m/>
    <n v="26"/>
    <m/>
    <n v="0"/>
    <m/>
    <n v="0"/>
    <x v="45"/>
  </r>
  <r>
    <s v="00000"/>
    <x v="303"/>
    <s v="Personnel"/>
    <s v="E "/>
    <x v="0"/>
    <x v="8"/>
    <s v="PSES Elem Prog01Act26 S275"/>
    <x v="5"/>
    <s v="26"/>
    <m/>
    <n v="26"/>
    <m/>
    <n v="0"/>
    <m/>
    <n v="0"/>
    <x v="6"/>
  </r>
  <r>
    <s v="00000"/>
    <x v="303"/>
    <s v="Personnel"/>
    <s v="M "/>
    <x v="2"/>
    <x v="11"/>
    <s v="PSES Mid Prog01Act26 S275"/>
    <x v="5"/>
    <s v="26"/>
    <m/>
    <n v="26"/>
    <m/>
    <n v="0"/>
    <m/>
    <n v="0"/>
    <x v="8"/>
  </r>
  <r>
    <s v="00000"/>
    <x v="303"/>
    <s v="Personnel"/>
    <s v="H "/>
    <x v="1"/>
    <x v="9"/>
    <s v="PSES High Prog01Act26 S275"/>
    <x v="5"/>
    <s v="26"/>
    <m/>
    <n v="26"/>
    <m/>
    <n v="0"/>
    <m/>
    <n v="0"/>
    <x v="7"/>
  </r>
  <r>
    <s v="00000"/>
    <x v="303"/>
    <s v="Personnel"/>
    <s v="E "/>
    <x v="0"/>
    <x v="101"/>
    <s v="Elementary Pupil Safety"/>
    <x v="1"/>
    <s v="35"/>
    <m/>
    <n v="35"/>
    <m/>
    <n v="0"/>
    <m/>
    <n v="0"/>
    <x v="26"/>
  </r>
  <r>
    <s v="00000"/>
    <x v="303"/>
    <s v="Personnel"/>
    <s v="M "/>
    <x v="2"/>
    <x v="102"/>
    <s v="Middle Pupil Safety"/>
    <x v="1"/>
    <s v="35"/>
    <m/>
    <n v="35"/>
    <m/>
    <n v="0"/>
    <m/>
    <n v="0"/>
    <x v="10"/>
  </r>
  <r>
    <s v="00000"/>
    <x v="303"/>
    <s v="Personnel"/>
    <s v="H "/>
    <x v="1"/>
    <x v="87"/>
    <s v="PSES High Prog21Act35 S275"/>
    <x v="1"/>
    <s v="35"/>
    <m/>
    <n v="35"/>
    <m/>
    <n v="0"/>
    <m/>
    <n v="0"/>
    <x v="9"/>
  </r>
  <r>
    <s v="00000"/>
    <x v="303"/>
    <s v="Personnel"/>
    <s v="E "/>
    <x v="0"/>
    <x v="30"/>
    <s v="Elementary Pupil Safety"/>
    <x v="2"/>
    <s v="35"/>
    <m/>
    <n v="35"/>
    <m/>
    <n v="0"/>
    <m/>
    <n v="0"/>
    <x v="26"/>
  </r>
  <r>
    <s v="00000"/>
    <x v="303"/>
    <s v="Personnel"/>
    <s v="M "/>
    <x v="2"/>
    <x v="13"/>
    <s v="PSES Mid Prog97Act35 S275"/>
    <x v="2"/>
    <s v="35"/>
    <m/>
    <n v="35"/>
    <m/>
    <n v="0"/>
    <m/>
    <n v="0"/>
    <x v="10"/>
  </r>
  <r>
    <s v="00000"/>
    <x v="303"/>
    <s v="Personnel"/>
    <s v="H "/>
    <x v="1"/>
    <x v="12"/>
    <s v="PSES High Prog97Act35 S275"/>
    <x v="2"/>
    <s v="35"/>
    <m/>
    <n v="35"/>
    <m/>
    <n v="0"/>
    <m/>
    <n v="0"/>
    <x v="9"/>
  </r>
  <r>
    <s v="00000"/>
    <x v="303"/>
    <s v="Personnel"/>
    <s v="E "/>
    <x v="0"/>
    <x v="78"/>
    <s v="TK Orientation &amp; Mobility Specialist"/>
    <x v="4"/>
    <s v="35"/>
    <m/>
    <n v="35"/>
    <m/>
    <n v="0"/>
    <m/>
    <n v="0"/>
    <x v="43"/>
  </r>
  <r>
    <s v="00000"/>
    <x v="303"/>
    <s v="Personnel"/>
    <s v="E "/>
    <x v="0"/>
    <x v="62"/>
    <s v="PSES Elem Prog01Act35 S275"/>
    <x v="5"/>
    <s v="35"/>
    <m/>
    <n v="35"/>
    <m/>
    <n v="0"/>
    <m/>
    <n v="0"/>
    <x v="26"/>
  </r>
  <r>
    <s v="00000"/>
    <x v="303"/>
    <s v="Personnel"/>
    <s v="M "/>
    <x v="2"/>
    <x v="63"/>
    <s v="PSES Mid Prog01Act35 S275"/>
    <x v="5"/>
    <s v="35"/>
    <m/>
    <n v="35"/>
    <m/>
    <n v="0"/>
    <m/>
    <n v="0"/>
    <x v="10"/>
  </r>
  <r>
    <s v="00000"/>
    <x v="303"/>
    <s v="Personnel"/>
    <s v="H "/>
    <x v="1"/>
    <x v="54"/>
    <s v="PSES High Prog01Act35 S275"/>
    <x v="5"/>
    <s v="35"/>
    <m/>
    <n v="35"/>
    <m/>
    <n v="0"/>
    <m/>
    <n v="0"/>
    <x v="9"/>
  </r>
  <r>
    <s v="00000"/>
    <x v="303"/>
    <s v="Personnel"/>
    <s v="E "/>
    <x v="0"/>
    <x v="14"/>
    <s v="PSES Elem Prog21Duty39 S275"/>
    <x v="1"/>
    <s v="39"/>
    <s v="39"/>
    <m/>
    <m/>
    <n v="0"/>
    <m/>
    <n v="0"/>
    <x v="11"/>
  </r>
  <r>
    <s v="00000"/>
    <x v="303"/>
    <s v="Personnel"/>
    <s v="M "/>
    <x v="2"/>
    <x v="88"/>
    <s v="Middle Orientation &amp; Mobility Specialist"/>
    <x v="1"/>
    <s v="39"/>
    <s v="39"/>
    <m/>
    <m/>
    <n v="0"/>
    <m/>
    <n v="0"/>
    <x v="47"/>
  </r>
  <r>
    <s v="00000"/>
    <x v="303"/>
    <s v="Personnel"/>
    <s v="H "/>
    <x v="1"/>
    <x v="83"/>
    <s v="PSES High Prog21Duty39 S275"/>
    <x v="1"/>
    <s v="39"/>
    <s v="39"/>
    <m/>
    <m/>
    <n v="0"/>
    <m/>
    <n v="0"/>
    <x v="44"/>
  </r>
  <r>
    <s v="00000"/>
    <x v="303"/>
    <s v="Personnel"/>
    <s v="E "/>
    <x v="0"/>
    <x v="103"/>
    <s v="Elementary Orientation &amp; Mobility Specialist"/>
    <x v="2"/>
    <s v="39"/>
    <s v="39"/>
    <m/>
    <m/>
    <n v="0"/>
    <m/>
    <n v="0"/>
    <x v="11"/>
  </r>
  <r>
    <s v="00000"/>
    <x v="303"/>
    <s v="Personnel"/>
    <s v="M "/>
    <x v="2"/>
    <x v="104"/>
    <s v="Middle Orientation &amp; Mobility Specialist"/>
    <x v="2"/>
    <s v="39"/>
    <s v="39"/>
    <m/>
    <m/>
    <n v="0"/>
    <m/>
    <n v="0"/>
    <x v="47"/>
  </r>
  <r>
    <s v="00000"/>
    <x v="303"/>
    <s v="Personnel"/>
    <s v="H "/>
    <x v="1"/>
    <x v="105"/>
    <s v="High Orientation &amp; Mobility Specialist"/>
    <x v="2"/>
    <s v="39"/>
    <s v="39"/>
    <m/>
    <m/>
    <n v="0"/>
    <m/>
    <n v="0"/>
    <x v="44"/>
  </r>
  <r>
    <s v="00000"/>
    <x v="303"/>
    <s v="Personnel"/>
    <s v="E "/>
    <x v="0"/>
    <x v="106"/>
    <s v="TK Orientation &amp; Mobility Specialist"/>
    <x v="4"/>
    <s v="39"/>
    <s v="39"/>
    <m/>
    <m/>
    <n v="0"/>
    <m/>
    <n v="0"/>
    <x v="51"/>
  </r>
  <r>
    <s v="00000"/>
    <x v="303"/>
    <s v="Personnel"/>
    <s v="E "/>
    <x v="0"/>
    <x v="40"/>
    <s v="Elementary Orientation &amp; Mobility Specialist"/>
    <x v="5"/>
    <s v="39"/>
    <s v="39"/>
    <m/>
    <m/>
    <n v="0"/>
    <m/>
    <n v="0"/>
    <x v="11"/>
  </r>
  <r>
    <s v="00000"/>
    <x v="303"/>
    <s v="Personnel"/>
    <s v="M "/>
    <x v="2"/>
    <x v="107"/>
    <s v="Middle Orientation &amp; Mobility Specialist"/>
    <x v="5"/>
    <s v="39"/>
    <s v="39"/>
    <m/>
    <m/>
    <n v="0"/>
    <m/>
    <n v="0"/>
    <x v="47"/>
  </r>
  <r>
    <s v="00000"/>
    <x v="303"/>
    <s v="Personnel"/>
    <s v="H "/>
    <x v="1"/>
    <x v="108"/>
    <s v="High Orientation &amp; Mobility Specialist"/>
    <x v="5"/>
    <s v="39"/>
    <s v="39"/>
    <m/>
    <m/>
    <n v="0"/>
    <m/>
    <n v="0"/>
    <x v="44"/>
  </r>
  <r>
    <s v="00000"/>
    <x v="303"/>
    <s v="Personnel"/>
    <s v="E "/>
    <x v="0"/>
    <x v="76"/>
    <s v="Elementary Counselor"/>
    <x v="1"/>
    <s v="42"/>
    <s v="42"/>
    <m/>
    <m/>
    <n v="0"/>
    <m/>
    <n v="0"/>
    <x v="12"/>
  </r>
  <r>
    <s v="00000"/>
    <x v="303"/>
    <s v="Personnel"/>
    <s v="M "/>
    <x v="2"/>
    <x v="75"/>
    <s v="Middle Counselor"/>
    <x v="1"/>
    <s v="42"/>
    <s v="42"/>
    <m/>
    <m/>
    <n v="0"/>
    <m/>
    <n v="0"/>
    <x v="14"/>
  </r>
  <r>
    <s v="00000"/>
    <x v="303"/>
    <s v="Personnel"/>
    <s v="H "/>
    <x v="1"/>
    <x v="77"/>
    <s v="High Counselor"/>
    <x v="1"/>
    <s v="42"/>
    <s v="42"/>
    <m/>
    <m/>
    <n v="0"/>
    <m/>
    <n v="0"/>
    <x v="13"/>
  </r>
  <r>
    <s v="00000"/>
    <x v="303"/>
    <s v="Personnel"/>
    <s v="E "/>
    <x v="0"/>
    <x v="109"/>
    <s v="Elementary Counselor"/>
    <x v="2"/>
    <s v="42"/>
    <s v="42"/>
    <m/>
    <m/>
    <n v="0"/>
    <m/>
    <n v="0"/>
    <x v="12"/>
  </r>
  <r>
    <s v="00000"/>
    <x v="303"/>
    <s v="Personnel"/>
    <s v="M "/>
    <x v="2"/>
    <x v="110"/>
    <s v="Middle Counselor"/>
    <x v="2"/>
    <s v="42"/>
    <s v="42"/>
    <m/>
    <m/>
    <n v="0"/>
    <m/>
    <n v="0"/>
    <x v="14"/>
  </r>
  <r>
    <s v="00000"/>
    <x v="303"/>
    <s v="Personnel"/>
    <s v="H "/>
    <x v="1"/>
    <x v="111"/>
    <s v="High Counselor"/>
    <x v="2"/>
    <s v="42"/>
    <s v="42"/>
    <m/>
    <m/>
    <n v="0"/>
    <m/>
    <n v="0"/>
    <x v="13"/>
  </r>
  <r>
    <s v="00000"/>
    <x v="303"/>
    <s v="Personnel"/>
    <s v="E "/>
    <x v="0"/>
    <x v="70"/>
    <s v="PSES Elem Prog09Duty42 S275"/>
    <x v="4"/>
    <s v="42"/>
    <s v="42"/>
    <m/>
    <m/>
    <n v="0"/>
    <m/>
    <n v="0"/>
    <x v="42"/>
  </r>
  <r>
    <s v="00000"/>
    <x v="303"/>
    <s v="Personnel"/>
    <s v="E "/>
    <x v="0"/>
    <x v="15"/>
    <s v="Elementary Counselor"/>
    <x v="5"/>
    <s v="42"/>
    <s v="42"/>
    <m/>
    <m/>
    <n v="0"/>
    <m/>
    <n v="0"/>
    <x v="12"/>
  </r>
  <r>
    <s v="00000"/>
    <x v="303"/>
    <s v="Personnel"/>
    <s v="M "/>
    <x v="2"/>
    <x v="17"/>
    <s v="Middle Counselor"/>
    <x v="5"/>
    <s v="42"/>
    <s v="42"/>
    <m/>
    <m/>
    <n v="0"/>
    <m/>
    <n v="0"/>
    <x v="14"/>
  </r>
  <r>
    <s v="00000"/>
    <x v="303"/>
    <s v="Personnel"/>
    <s v="H "/>
    <x v="1"/>
    <x v="16"/>
    <s v="High Counselor"/>
    <x v="5"/>
    <s v="42"/>
    <s v="42"/>
    <m/>
    <m/>
    <n v="0"/>
    <m/>
    <n v="0"/>
    <x v="13"/>
  </r>
  <r>
    <s v="00000"/>
    <x v="303"/>
    <s v="Personnel"/>
    <s v="E "/>
    <x v="0"/>
    <x v="18"/>
    <s v="Elementary occupational Therapist"/>
    <x v="1"/>
    <s v="43"/>
    <s v="43"/>
    <m/>
    <m/>
    <n v="0"/>
    <m/>
    <n v="0"/>
    <x v="15"/>
  </r>
  <r>
    <s v="00000"/>
    <x v="303"/>
    <s v="Personnel"/>
    <s v="M "/>
    <x v="2"/>
    <x v="31"/>
    <s v="Middle occupational Therapist"/>
    <x v="1"/>
    <s v="43"/>
    <s v="43"/>
    <m/>
    <m/>
    <n v="0"/>
    <m/>
    <n v="0"/>
    <x v="27"/>
  </r>
  <r>
    <s v="00000"/>
    <x v="303"/>
    <s v="Personnel"/>
    <s v="H "/>
    <x v="1"/>
    <x v="19"/>
    <s v="High occupational Therapist"/>
    <x v="1"/>
    <s v="43"/>
    <s v="43"/>
    <m/>
    <m/>
    <n v="0"/>
    <m/>
    <n v="0"/>
    <x v="16"/>
  </r>
  <r>
    <s v="00000"/>
    <x v="303"/>
    <s v="Personnel"/>
    <s v="E "/>
    <x v="0"/>
    <x v="112"/>
    <s v="Elementary occupational Therapist"/>
    <x v="2"/>
    <s v="43"/>
    <s v="43"/>
    <m/>
    <m/>
    <n v="0"/>
    <m/>
    <n v="0"/>
    <x v="15"/>
  </r>
  <r>
    <s v="00000"/>
    <x v="303"/>
    <s v="Personnel"/>
    <s v="M "/>
    <x v="2"/>
    <x v="113"/>
    <s v="Middle occupational Therapist"/>
    <x v="2"/>
    <s v="43"/>
    <s v="43"/>
    <m/>
    <m/>
    <n v="0"/>
    <m/>
    <n v="0"/>
    <x v="27"/>
  </r>
  <r>
    <s v="00000"/>
    <x v="303"/>
    <s v="Personnel"/>
    <s v="H "/>
    <x v="1"/>
    <x v="114"/>
    <s v="High occupational Therapist"/>
    <x v="2"/>
    <s v="43"/>
    <s v="43"/>
    <m/>
    <m/>
    <n v="0"/>
    <m/>
    <n v="0"/>
    <x v="16"/>
  </r>
  <r>
    <s v="00000"/>
    <x v="303"/>
    <s v="Personnel"/>
    <s v="E "/>
    <x v="0"/>
    <x v="115"/>
    <s v="TK occupational Therapist"/>
    <x v="4"/>
    <s v="43"/>
    <s v="43"/>
    <m/>
    <m/>
    <n v="0"/>
    <m/>
    <n v="0"/>
    <x v="52"/>
  </r>
  <r>
    <s v="00000"/>
    <x v="303"/>
    <s v="Personnel"/>
    <s v="E "/>
    <x v="0"/>
    <x v="69"/>
    <s v="Elementary occupational Therapist"/>
    <x v="5"/>
    <s v="43"/>
    <s v="43"/>
    <m/>
    <m/>
    <n v="0"/>
    <m/>
    <n v="0"/>
    <x v="15"/>
  </r>
  <r>
    <s v="00000"/>
    <x v="303"/>
    <s v="Personnel"/>
    <s v="M "/>
    <x v="2"/>
    <x v="74"/>
    <s v="Middle occupational Therapist"/>
    <x v="5"/>
    <s v="43"/>
    <s v="43"/>
    <m/>
    <m/>
    <n v="0"/>
    <m/>
    <n v="0"/>
    <x v="27"/>
  </r>
  <r>
    <s v="00000"/>
    <x v="303"/>
    <s v="Personnel"/>
    <s v="H "/>
    <x v="1"/>
    <x v="73"/>
    <s v="High occupational Therapist"/>
    <x v="5"/>
    <s v="43"/>
    <s v="43"/>
    <m/>
    <m/>
    <n v="0"/>
    <m/>
    <n v="0"/>
    <x v="16"/>
  </r>
  <r>
    <s v="00000"/>
    <x v="303"/>
    <s v="Personnel"/>
    <s v="E "/>
    <x v="0"/>
    <x v="41"/>
    <s v="Elementary Social Worker"/>
    <x v="1"/>
    <s v="44"/>
    <s v="44"/>
    <m/>
    <m/>
    <n v="0"/>
    <m/>
    <n v="0"/>
    <x v="33"/>
  </r>
  <r>
    <s v="00000"/>
    <x v="303"/>
    <s v="Personnel"/>
    <s v="M "/>
    <x v="2"/>
    <x v="45"/>
    <s v="Middle Social Worker"/>
    <x v="1"/>
    <s v="44"/>
    <s v="44"/>
    <m/>
    <m/>
    <n v="0"/>
    <m/>
    <n v="0"/>
    <x v="35"/>
  </r>
  <r>
    <s v="00000"/>
    <x v="303"/>
    <s v="Personnel"/>
    <s v="H "/>
    <x v="1"/>
    <x v="43"/>
    <s v="High Social Worker"/>
    <x v="1"/>
    <s v="44"/>
    <s v="44"/>
    <m/>
    <m/>
    <n v="0"/>
    <m/>
    <n v="0"/>
    <x v="34"/>
  </r>
  <r>
    <s v="00000"/>
    <x v="303"/>
    <s v="Personnel"/>
    <s v="E "/>
    <x v="0"/>
    <x v="116"/>
    <s v="Elementary Social Worker"/>
    <x v="2"/>
    <s v="44"/>
    <s v="44"/>
    <m/>
    <m/>
    <n v="0"/>
    <m/>
    <n v="0"/>
    <x v="33"/>
  </r>
  <r>
    <s v="00000"/>
    <x v="303"/>
    <s v="Personnel"/>
    <s v="M "/>
    <x v="2"/>
    <x v="117"/>
    <s v="Middle Social Worker"/>
    <x v="2"/>
    <s v="44"/>
    <s v="44"/>
    <m/>
    <m/>
    <n v="0"/>
    <m/>
    <n v="0"/>
    <x v="35"/>
  </r>
  <r>
    <s v="00000"/>
    <x v="303"/>
    <s v="Personnel"/>
    <s v="H "/>
    <x v="1"/>
    <x v="118"/>
    <s v="High Social Worker"/>
    <x v="2"/>
    <s v="44"/>
    <s v="44"/>
    <m/>
    <m/>
    <n v="0"/>
    <m/>
    <n v="0"/>
    <x v="34"/>
  </r>
  <r>
    <s v="00000"/>
    <x v="303"/>
    <s v="Personnel"/>
    <s v="E "/>
    <x v="0"/>
    <x v="64"/>
    <s v="TK Social Worker"/>
    <x v="4"/>
    <s v="44"/>
    <s v="44"/>
    <m/>
    <m/>
    <n v="0"/>
    <m/>
    <n v="0"/>
    <x v="40"/>
  </r>
  <r>
    <s v="00000"/>
    <x v="303"/>
    <s v="Personnel"/>
    <s v="E "/>
    <x v="0"/>
    <x v="42"/>
    <s v="Elementary Social Worker"/>
    <x v="5"/>
    <s v="44"/>
    <s v="44"/>
    <m/>
    <m/>
    <n v="0"/>
    <m/>
    <n v="0"/>
    <x v="33"/>
  </r>
  <r>
    <s v="00000"/>
    <x v="303"/>
    <s v="Personnel"/>
    <s v="M "/>
    <x v="2"/>
    <x v="46"/>
    <s v="Middle Social Worker"/>
    <x v="5"/>
    <s v="44"/>
    <s v="44"/>
    <m/>
    <m/>
    <n v="0"/>
    <m/>
    <n v="0"/>
    <x v="35"/>
  </r>
  <r>
    <s v="00000"/>
    <x v="303"/>
    <s v="Personnel"/>
    <s v="H "/>
    <x v="1"/>
    <x v="44"/>
    <s v="High Social Worker"/>
    <x v="5"/>
    <s v="44"/>
    <s v="44"/>
    <m/>
    <m/>
    <n v="0"/>
    <m/>
    <n v="0"/>
    <x v="34"/>
  </r>
  <r>
    <s v="00000"/>
    <x v="303"/>
    <s v="Personnel"/>
    <s v="E "/>
    <x v="0"/>
    <x v="20"/>
    <s v="Elementary Speech, Language Pathway/_x000a_Audio"/>
    <x v="1"/>
    <s v="45"/>
    <s v="45"/>
    <m/>
    <m/>
    <n v="0"/>
    <m/>
    <n v="0"/>
    <x v="17"/>
  </r>
  <r>
    <s v="00000"/>
    <x v="303"/>
    <s v="Personnel"/>
    <s v="M "/>
    <x v="2"/>
    <x v="28"/>
    <s v="Middle Speech, Language Pathway/_x000a_Audio"/>
    <x v="1"/>
    <s v="45"/>
    <s v="45"/>
    <m/>
    <m/>
    <n v="0"/>
    <m/>
    <n v="0"/>
    <x v="25"/>
  </r>
  <r>
    <s v="00000"/>
    <x v="303"/>
    <s v="Personnel"/>
    <s v="H "/>
    <x v="1"/>
    <x v="21"/>
    <s v="High Speech, Language Pathway/_x000a_Audio"/>
    <x v="1"/>
    <s v="45"/>
    <s v="45"/>
    <m/>
    <m/>
    <n v="0"/>
    <m/>
    <n v="0"/>
    <x v="18"/>
  </r>
  <r>
    <s v="00000"/>
    <x v="303"/>
    <s v="Personnel"/>
    <s v="E "/>
    <x v="0"/>
    <x v="119"/>
    <s v="Elementary Speech, Language Pathway/_x000a_Audio"/>
    <x v="2"/>
    <s v="45"/>
    <s v="45"/>
    <m/>
    <m/>
    <n v="0"/>
    <m/>
    <n v="0"/>
    <x v="17"/>
  </r>
  <r>
    <s v="00000"/>
    <x v="303"/>
    <s v="Personnel"/>
    <s v="M "/>
    <x v="2"/>
    <x v="120"/>
    <s v="Middle Speech, Language Pathway/_x000a_Audio"/>
    <x v="2"/>
    <s v="45"/>
    <s v="45"/>
    <m/>
    <m/>
    <n v="0"/>
    <m/>
    <n v="0"/>
    <x v="25"/>
  </r>
  <r>
    <s v="00000"/>
    <x v="303"/>
    <s v="Personnel"/>
    <s v="H "/>
    <x v="1"/>
    <x v="121"/>
    <s v="High Speech, Language Pathway/_x000a_Audio"/>
    <x v="2"/>
    <s v="45"/>
    <s v="45"/>
    <m/>
    <m/>
    <n v="0"/>
    <m/>
    <n v="0"/>
    <x v="18"/>
  </r>
  <r>
    <s v="00000"/>
    <x v="303"/>
    <s v="Personnel"/>
    <s v="E "/>
    <x v="0"/>
    <x v="93"/>
    <s v="TK Speech, Language Pathway/_x000a_Audio"/>
    <x v="4"/>
    <s v="45"/>
    <s v="45"/>
    <m/>
    <m/>
    <n v="0"/>
    <m/>
    <n v="0"/>
    <x v="48"/>
  </r>
  <r>
    <s v="00000"/>
    <x v="303"/>
    <s v="Personnel"/>
    <s v="E "/>
    <x v="0"/>
    <x v="47"/>
    <s v="Elementary Speech, Language Pathway/_x000a_Audio"/>
    <x v="5"/>
    <s v="45"/>
    <s v="45"/>
    <m/>
    <m/>
    <n v="0"/>
    <m/>
    <n v="0"/>
    <x v="17"/>
  </r>
  <r>
    <s v="00000"/>
    <x v="303"/>
    <s v="Personnel"/>
    <s v="M "/>
    <x v="2"/>
    <x v="52"/>
    <s v="Middle Speech, Language Pathway/_x000a_Audio"/>
    <x v="5"/>
    <s v="45"/>
    <s v="45"/>
    <m/>
    <m/>
    <n v="0"/>
    <m/>
    <n v="0"/>
    <x v="25"/>
  </r>
  <r>
    <s v="00000"/>
    <x v="303"/>
    <s v="Personnel"/>
    <s v="H "/>
    <x v="1"/>
    <x v="51"/>
    <s v="High Speech, Language Pathway/_x000a_Audio"/>
    <x v="5"/>
    <s v="45"/>
    <s v="45"/>
    <m/>
    <m/>
    <n v="0"/>
    <m/>
    <n v="0"/>
    <x v="18"/>
  </r>
  <r>
    <s v="00000"/>
    <x v="303"/>
    <s v="Personnel"/>
    <s v="E "/>
    <x v="0"/>
    <x v="22"/>
    <s v="Elementary Psycho-logist"/>
    <x v="1"/>
    <s v="46"/>
    <s v="46"/>
    <m/>
    <m/>
    <n v="0"/>
    <m/>
    <n v="0"/>
    <x v="19"/>
  </r>
  <r>
    <s v="00000"/>
    <x v="303"/>
    <s v="Personnel"/>
    <s v="M "/>
    <x v="2"/>
    <x v="24"/>
    <s v="Middle Psycho-logist"/>
    <x v="1"/>
    <s v="46"/>
    <s v="46"/>
    <m/>
    <m/>
    <n v="0"/>
    <m/>
    <n v="0"/>
    <x v="21"/>
  </r>
  <r>
    <s v="00000"/>
    <x v="303"/>
    <s v="Personnel"/>
    <s v="H "/>
    <x v="1"/>
    <x v="23"/>
    <s v="High Psycho-logist"/>
    <x v="1"/>
    <s v="46"/>
    <s v="46"/>
    <m/>
    <m/>
    <n v="0"/>
    <m/>
    <n v="0"/>
    <x v="20"/>
  </r>
  <r>
    <s v="00000"/>
    <x v="303"/>
    <s v="Personnel"/>
    <s v="E "/>
    <x v="0"/>
    <x v="122"/>
    <s v="Elementary Psycho-logist"/>
    <x v="2"/>
    <s v="46"/>
    <s v="46"/>
    <m/>
    <m/>
    <n v="0"/>
    <m/>
    <n v="0"/>
    <x v="19"/>
  </r>
  <r>
    <s v="00000"/>
    <x v="303"/>
    <s v="Personnel"/>
    <s v="M "/>
    <x v="2"/>
    <x v="123"/>
    <s v="Middle Psycho-logist"/>
    <x v="2"/>
    <s v="46"/>
    <s v="46"/>
    <m/>
    <m/>
    <n v="0"/>
    <m/>
    <n v="0"/>
    <x v="21"/>
  </r>
  <r>
    <s v="00000"/>
    <x v="303"/>
    <s v="Personnel"/>
    <s v="H "/>
    <x v="1"/>
    <x v="124"/>
    <s v="High Psycho-logist"/>
    <x v="2"/>
    <s v="46"/>
    <s v="46"/>
    <m/>
    <m/>
    <n v="0"/>
    <m/>
    <n v="0"/>
    <x v="20"/>
  </r>
  <r>
    <s v="00000"/>
    <x v="303"/>
    <s v="Personnel"/>
    <s v="E "/>
    <x v="0"/>
    <x v="125"/>
    <s v="TK Psycho-logist"/>
    <x v="4"/>
    <s v="46"/>
    <s v="46"/>
    <m/>
    <m/>
    <n v="0"/>
    <m/>
    <n v="0"/>
    <x v="53"/>
  </r>
  <r>
    <s v="00000"/>
    <x v="303"/>
    <s v="Personnel"/>
    <s v="E "/>
    <x v="0"/>
    <x v="48"/>
    <s v="Elementary Psycho-logist"/>
    <x v="5"/>
    <s v="46"/>
    <s v="46"/>
    <m/>
    <m/>
    <n v="0"/>
    <m/>
    <n v="0"/>
    <x v="19"/>
  </r>
  <r>
    <s v="00000"/>
    <x v="303"/>
    <s v="Personnel"/>
    <s v="M "/>
    <x v="2"/>
    <x v="49"/>
    <s v="Middle Psycho-logist"/>
    <x v="5"/>
    <s v="46"/>
    <s v="46"/>
    <m/>
    <m/>
    <n v="0"/>
    <m/>
    <n v="0"/>
    <x v="21"/>
  </r>
  <r>
    <s v="00000"/>
    <x v="303"/>
    <s v="Personnel"/>
    <s v="H "/>
    <x v="1"/>
    <x v="65"/>
    <s v="High Psycho-logist"/>
    <x v="5"/>
    <s v="46"/>
    <s v="46"/>
    <m/>
    <m/>
    <n v="0"/>
    <m/>
    <n v="0"/>
    <x v="20"/>
  </r>
  <r>
    <s v="00000"/>
    <x v="303"/>
    <s v="Personnel"/>
    <s v="E "/>
    <x v="0"/>
    <x v="32"/>
    <s v="Elementary Nurse"/>
    <x v="1"/>
    <s v="47"/>
    <s v="47"/>
    <m/>
    <m/>
    <n v="0"/>
    <m/>
    <n v="0"/>
    <x v="24"/>
  </r>
  <r>
    <s v="00000"/>
    <x v="303"/>
    <s v="Personnel"/>
    <s v="M "/>
    <x v="2"/>
    <x v="33"/>
    <s v="Middle Nurse"/>
    <x v="1"/>
    <s v="47"/>
    <s v="47"/>
    <m/>
    <m/>
    <n v="0"/>
    <m/>
    <n v="0"/>
    <x v="28"/>
  </r>
  <r>
    <s v="00000"/>
    <x v="303"/>
    <s v="Personnel"/>
    <s v="H "/>
    <x v="1"/>
    <x v="61"/>
    <s v="PSES High Prog21Duty47 S275"/>
    <x v="1"/>
    <s v="47"/>
    <s v="47"/>
    <m/>
    <m/>
    <n v="0"/>
    <m/>
    <n v="0"/>
    <x v="22"/>
  </r>
  <r>
    <s v="00000"/>
    <x v="303"/>
    <s v="Personnel"/>
    <s v="E "/>
    <x v="0"/>
    <x v="126"/>
    <s v="Elementary Nurse"/>
    <x v="2"/>
    <s v="47"/>
    <s v="47"/>
    <m/>
    <m/>
    <n v="0"/>
    <m/>
    <n v="0"/>
    <x v="24"/>
  </r>
  <r>
    <s v="00000"/>
    <x v="303"/>
    <s v="Personnel"/>
    <s v="M "/>
    <x v="2"/>
    <x v="127"/>
    <s v="Middle Nurse"/>
    <x v="2"/>
    <s v="47"/>
    <s v="47"/>
    <m/>
    <m/>
    <n v="0"/>
    <m/>
    <n v="0"/>
    <x v="28"/>
  </r>
  <r>
    <s v="00000"/>
    <x v="303"/>
    <s v="Personnel"/>
    <s v="H "/>
    <x v="1"/>
    <x v="128"/>
    <s v="High Nurse"/>
    <x v="2"/>
    <s v="47"/>
    <s v="47"/>
    <m/>
    <m/>
    <n v="0"/>
    <m/>
    <n v="0"/>
    <x v="22"/>
  </r>
  <r>
    <s v="00000"/>
    <x v="303"/>
    <s v="Personnel"/>
    <s v="E "/>
    <x v="0"/>
    <x v="85"/>
    <s v="TK Nurse"/>
    <x v="4"/>
    <s v="47"/>
    <s v="47"/>
    <m/>
    <m/>
    <n v="0"/>
    <m/>
    <n v="0"/>
    <x v="46"/>
  </r>
  <r>
    <s v="00000"/>
    <x v="303"/>
    <s v="Personnel"/>
    <s v="E "/>
    <x v="0"/>
    <x v="27"/>
    <s v="PSES Elem Prog01Duty47 S275"/>
    <x v="5"/>
    <s v="47"/>
    <s v="47"/>
    <m/>
    <m/>
    <n v="0"/>
    <m/>
    <n v="0"/>
    <x v="24"/>
  </r>
  <r>
    <s v="00000"/>
    <x v="303"/>
    <s v="Personnel"/>
    <s v="M "/>
    <x v="2"/>
    <x v="34"/>
    <s v="PSES Mid Prog01Duty47 S275"/>
    <x v="5"/>
    <s v="47"/>
    <s v="47"/>
    <m/>
    <m/>
    <n v="0"/>
    <m/>
    <n v="0"/>
    <x v="28"/>
  </r>
  <r>
    <s v="00000"/>
    <x v="303"/>
    <s v="Personnel"/>
    <s v="H "/>
    <x v="1"/>
    <x v="25"/>
    <s v="PSES High Prog01Duty47 S275"/>
    <x v="5"/>
    <s v="47"/>
    <s v="47"/>
    <m/>
    <m/>
    <n v="0"/>
    <m/>
    <n v="0"/>
    <x v="22"/>
  </r>
  <r>
    <s v="00000"/>
    <x v="303"/>
    <s v="Personnel"/>
    <s v="E "/>
    <x v="0"/>
    <x v="35"/>
    <s v="PSES Elem Prog21Duty48 S275"/>
    <x v="1"/>
    <s v="48"/>
    <s v="48"/>
    <m/>
    <m/>
    <n v="0"/>
    <m/>
    <n v="0"/>
    <x v="29"/>
  </r>
  <r>
    <s v="00000"/>
    <x v="303"/>
    <s v="Personnel"/>
    <s v="M "/>
    <x v="2"/>
    <x v="37"/>
    <s v="PSES Mid Prog21Duty48 S275"/>
    <x v="1"/>
    <s v="48"/>
    <s v="48"/>
    <m/>
    <m/>
    <n v="0"/>
    <m/>
    <n v="0"/>
    <x v="31"/>
  </r>
  <r>
    <s v="00000"/>
    <x v="303"/>
    <s v="Personnel"/>
    <s v="H "/>
    <x v="1"/>
    <x v="36"/>
    <s v="PSES High Prog21Duty48 S275"/>
    <x v="1"/>
    <s v="48"/>
    <s v="48"/>
    <m/>
    <m/>
    <n v="0"/>
    <m/>
    <n v="0"/>
    <x v="30"/>
  </r>
  <r>
    <s v="00000"/>
    <x v="303"/>
    <s v="Personnel"/>
    <s v="E "/>
    <x v="0"/>
    <x v="129"/>
    <s v="Elementary Physical Therapist"/>
    <x v="2"/>
    <s v="48"/>
    <s v="48"/>
    <m/>
    <m/>
    <n v="0"/>
    <m/>
    <n v="0"/>
    <x v="29"/>
  </r>
  <r>
    <s v="00000"/>
    <x v="303"/>
    <s v="Personnel"/>
    <s v="M "/>
    <x v="2"/>
    <x v="130"/>
    <s v="Middle Physical Therapist"/>
    <x v="2"/>
    <s v="48"/>
    <s v="48"/>
    <m/>
    <m/>
    <n v="0"/>
    <m/>
    <n v="0"/>
    <x v="31"/>
  </r>
  <r>
    <s v="00000"/>
    <x v="303"/>
    <s v="Personnel"/>
    <s v="H "/>
    <x v="1"/>
    <x v="131"/>
    <s v="High Physical Therapist"/>
    <x v="2"/>
    <s v="48"/>
    <s v="48"/>
    <m/>
    <m/>
    <n v="0"/>
    <m/>
    <n v="0"/>
    <x v="30"/>
  </r>
  <r>
    <s v="00000"/>
    <x v="303"/>
    <s v="Personnel"/>
    <s v="E "/>
    <x v="0"/>
    <x v="132"/>
    <s v="TK Physical Therapist"/>
    <x v="4"/>
    <s v="48"/>
    <s v="48"/>
    <m/>
    <m/>
    <n v="0"/>
    <m/>
    <n v="0"/>
    <x v="54"/>
  </r>
  <r>
    <s v="00000"/>
    <x v="303"/>
    <s v="Personnel"/>
    <s v="E "/>
    <x v="0"/>
    <x v="90"/>
    <s v="PSES Elem Prog01Duty48 S275"/>
    <x v="5"/>
    <s v="48"/>
    <s v="48"/>
    <m/>
    <m/>
    <n v="0"/>
    <m/>
    <n v="0"/>
    <x v="29"/>
  </r>
  <r>
    <s v="00000"/>
    <x v="303"/>
    <s v="Personnel"/>
    <s v="M "/>
    <x v="2"/>
    <x v="92"/>
    <s v="PSES Mid Prog01Duty48 S275"/>
    <x v="5"/>
    <s v="48"/>
    <s v="48"/>
    <m/>
    <m/>
    <n v="0"/>
    <m/>
    <n v="0"/>
    <x v="31"/>
  </r>
  <r>
    <s v="00000"/>
    <x v="303"/>
    <s v="Personnel"/>
    <s v="H "/>
    <x v="1"/>
    <x v="91"/>
    <s v="PSES High Prog01Duty48 S275"/>
    <x v="5"/>
    <s v="48"/>
    <s v="48"/>
    <m/>
    <m/>
    <n v="0"/>
    <m/>
    <n v="0"/>
    <x v="30"/>
  </r>
  <r>
    <s v="00000"/>
    <x v="303"/>
    <s v="Personnel"/>
    <s v="E "/>
    <x v="0"/>
    <x v="26"/>
    <s v="PSES Elem Prog21Duty49 S275"/>
    <x v="1"/>
    <s v="49"/>
    <s v="49"/>
    <m/>
    <m/>
    <n v="0"/>
    <m/>
    <n v="0"/>
    <x v="23"/>
  </r>
  <r>
    <s v="00000"/>
    <x v="303"/>
    <s v="Personnel"/>
    <s v="M "/>
    <x v="2"/>
    <x v="50"/>
    <s v="PSES Mid Prog21Duty49 S275"/>
    <x v="1"/>
    <s v="49"/>
    <s v="49"/>
    <m/>
    <m/>
    <n v="0"/>
    <m/>
    <n v="0"/>
    <x v="36"/>
  </r>
  <r>
    <s v="00000"/>
    <x v="303"/>
    <s v="Personnel"/>
    <s v="H "/>
    <x v="1"/>
    <x v="55"/>
    <s v="PSES High Prog21Duty49 S275"/>
    <x v="1"/>
    <s v="49"/>
    <s v="49"/>
    <m/>
    <m/>
    <n v="0"/>
    <m/>
    <n v="0"/>
    <x v="37"/>
  </r>
  <r>
    <s v="00000"/>
    <x v="303"/>
    <s v="Personnel"/>
    <s v="E "/>
    <x v="0"/>
    <x v="133"/>
    <s v="Elementary Behavior Analyst"/>
    <x v="2"/>
    <s v="49"/>
    <s v="49"/>
    <m/>
    <m/>
    <n v="0"/>
    <m/>
    <n v="0"/>
    <x v="23"/>
  </r>
  <r>
    <s v="00000"/>
    <x v="303"/>
    <s v="Personnel"/>
    <s v="M "/>
    <x v="2"/>
    <x v="134"/>
    <s v="Middle Behavior Analyst"/>
    <x v="2"/>
    <s v="49"/>
    <s v="49"/>
    <m/>
    <m/>
    <n v="0"/>
    <m/>
    <n v="0"/>
    <x v="36"/>
  </r>
  <r>
    <s v="00000"/>
    <x v="303"/>
    <s v="Personnel"/>
    <s v="H "/>
    <x v="1"/>
    <x v="135"/>
    <s v="High Behavior Analyst"/>
    <x v="2"/>
    <s v="49"/>
    <s v="49"/>
    <m/>
    <m/>
    <n v="0"/>
    <m/>
    <n v="0"/>
    <x v="37"/>
  </r>
  <r>
    <s v="00000"/>
    <x v="303"/>
    <s v="Personnel"/>
    <s v="E "/>
    <x v="0"/>
    <x v="136"/>
    <s v="TK Behavior Analyst"/>
    <x v="4"/>
    <s v="49"/>
    <s v="49"/>
    <m/>
    <m/>
    <n v="0"/>
    <m/>
    <n v="0"/>
    <x v="55"/>
  </r>
  <r>
    <s v="00000"/>
    <x v="303"/>
    <s v="Personnel"/>
    <s v="E "/>
    <x v="0"/>
    <x v="79"/>
    <s v="PSES Elem Prog01Duty49 S275"/>
    <x v="5"/>
    <s v="49"/>
    <s v="49"/>
    <m/>
    <m/>
    <n v="0"/>
    <m/>
    <n v="0"/>
    <x v="23"/>
  </r>
  <r>
    <s v="00000"/>
    <x v="303"/>
    <s v="Personnel"/>
    <s v="M "/>
    <x v="2"/>
    <x v="89"/>
    <s v="Middle Behavior Analyst"/>
    <x v="5"/>
    <s v="49"/>
    <s v="49"/>
    <m/>
    <m/>
    <n v="0"/>
    <m/>
    <n v="0"/>
    <x v="36"/>
  </r>
  <r>
    <s v="00000"/>
    <x v="303"/>
    <s v="Personnel"/>
    <s v="H "/>
    <x v="1"/>
    <x v="68"/>
    <s v="PSES High Prog01Duty49 S275"/>
    <x v="5"/>
    <s v="49"/>
    <s v="49"/>
    <m/>
    <m/>
    <n v="0"/>
    <m/>
    <n v="0"/>
    <x v="37"/>
  </r>
  <r>
    <s v="00000"/>
    <x v="303"/>
    <s v="Personnel"/>
    <s v="E "/>
    <x v="0"/>
    <x v="38"/>
    <s v="PSES Elem Prog21Duty64 S275"/>
    <x v="1"/>
    <s v="64"/>
    <s v="64"/>
    <m/>
    <m/>
    <n v="0"/>
    <m/>
    <n v="0"/>
    <x v="32"/>
  </r>
  <r>
    <s v="00000"/>
    <x v="303"/>
    <s v="Personnel"/>
    <s v="M "/>
    <x v="2"/>
    <x v="60"/>
    <s v="PSES Mid Prog21Duty64 S275"/>
    <x v="1"/>
    <s v="64"/>
    <s v="64"/>
    <m/>
    <m/>
    <n v="0"/>
    <m/>
    <n v="0"/>
    <x v="39"/>
  </r>
  <r>
    <s v="00000"/>
    <x v="303"/>
    <s v="Personnel"/>
    <s v="H "/>
    <x v="1"/>
    <x v="59"/>
    <s v="PSES High Prog21Duty64 S275"/>
    <x v="1"/>
    <s v="64"/>
    <s v="64"/>
    <m/>
    <m/>
    <n v="0"/>
    <m/>
    <n v="0"/>
    <x v="38"/>
  </r>
  <r>
    <s v="00000"/>
    <x v="303"/>
    <s v="Personnel"/>
    <s v="E "/>
    <x v="0"/>
    <x v="137"/>
    <s v="Elementary Contractor ESA"/>
    <x v="2"/>
    <s v="64"/>
    <s v="64"/>
    <m/>
    <m/>
    <n v="0"/>
    <m/>
    <n v="0"/>
    <x v="32"/>
  </r>
  <r>
    <s v="00000"/>
    <x v="303"/>
    <s v="Personnel"/>
    <s v="M "/>
    <x v="2"/>
    <x v="138"/>
    <s v="Middle Contractor ESA"/>
    <x v="2"/>
    <s v="64"/>
    <s v="64"/>
    <m/>
    <m/>
    <n v="0"/>
    <m/>
    <n v="0"/>
    <x v="39"/>
  </r>
  <r>
    <s v="00000"/>
    <x v="303"/>
    <s v="Personnel"/>
    <s v="H "/>
    <x v="1"/>
    <x v="139"/>
    <s v="High Contractor ESA"/>
    <x v="2"/>
    <s v="64"/>
    <s v="64"/>
    <m/>
    <m/>
    <n v="0"/>
    <m/>
    <n v="0"/>
    <x v="38"/>
  </r>
  <r>
    <s v="00000"/>
    <x v="303"/>
    <s v="Personnel"/>
    <s v="E "/>
    <x v="0"/>
    <x v="94"/>
    <s v="TK Contractor ESA"/>
    <x v="4"/>
    <s v="64"/>
    <s v="64"/>
    <m/>
    <m/>
    <n v="0"/>
    <m/>
    <n v="0"/>
    <x v="49"/>
  </r>
  <r>
    <s v="00000"/>
    <x v="303"/>
    <s v="Personnel"/>
    <s v="E "/>
    <x v="0"/>
    <x v="39"/>
    <s v="PSES Elem Prog01Duty64 S275"/>
    <x v="5"/>
    <s v="64"/>
    <s v="64"/>
    <m/>
    <m/>
    <n v="0"/>
    <m/>
    <n v="0"/>
    <x v="32"/>
  </r>
  <r>
    <s v="00000"/>
    <x v="303"/>
    <s v="Personnel"/>
    <s v="M "/>
    <x v="2"/>
    <x v="81"/>
    <s v="PSES Mid Prog01Duty64 S275"/>
    <x v="5"/>
    <s v="64"/>
    <s v="64"/>
    <m/>
    <m/>
    <n v="0"/>
    <m/>
    <n v="0"/>
    <x v="39"/>
  </r>
  <r>
    <s v="00000"/>
    <x v="303"/>
    <s v="Personnel"/>
    <s v="H "/>
    <x v="1"/>
    <x v="80"/>
    <s v="PSES High Prog01Duty64 S275"/>
    <x v="5"/>
    <s v="64"/>
    <s v="64"/>
    <m/>
    <m/>
    <n v="0"/>
    <m/>
    <n v="0"/>
    <x v="38"/>
  </r>
  <r>
    <m/>
    <x v="304"/>
    <m/>
    <m/>
    <x v="3"/>
    <x v="140"/>
    <m/>
    <x v="6"/>
    <m/>
    <m/>
    <m/>
    <m/>
    <m/>
    <m/>
    <m/>
    <x v="56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">
  <r>
    <x v="0"/>
    <s v="Freeman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"/>
    <n v="0"/>
    <n v="0"/>
    <n v="0"/>
    <n v="0"/>
    <n v="0"/>
    <n v="0"/>
    <n v="0"/>
    <n v="0"/>
    <n v="0"/>
    <n v="0"/>
    <n v="0"/>
    <n v="0"/>
    <n v="0"/>
    <n v="0.2"/>
    <n v="0"/>
    <n v="0"/>
    <n v="0"/>
    <n v="0"/>
    <n v="0"/>
    <n v="0"/>
    <n v="0"/>
    <n v="0"/>
    <n v="0"/>
    <n v="0"/>
    <n v="0"/>
    <n v="0"/>
    <n v="0"/>
    <n v="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North Franklin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099999999999995"/>
    <n v="0"/>
    <n v="1.667"/>
    <n v="0.57099999999999995"/>
    <n v="0.57099999999999995"/>
    <n v="0.57099999999999995"/>
    <n v="0"/>
    <n v="0"/>
    <n v="0"/>
    <n v="0"/>
    <n v="1"/>
    <n v="0"/>
    <n v="0"/>
    <n v="0"/>
    <n v="0.14299999999999999"/>
    <n v="0"/>
    <n v="0"/>
    <n v="0.14299999999999999"/>
    <n v="0.14299999999999999"/>
    <n v="0.14299999999999999"/>
    <n v="0"/>
    <n v="0"/>
    <n v="0"/>
    <n v="0"/>
    <n v="0"/>
    <n v="0"/>
    <n v="0"/>
    <n v="0"/>
    <n v="0.28599999999999998"/>
    <n v="0"/>
    <n v="0.33300000000000002"/>
    <n v="0.28599999999999998"/>
    <n v="0.28599999999999998"/>
    <n v="0.28599999999999998"/>
    <n v="0"/>
    <n v="0"/>
    <n v="0"/>
    <n v="0"/>
    <n v="0"/>
    <n v="0"/>
  </r>
  <r>
    <x v="2"/>
    <s v="West Valley (Yak)"/>
    <m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950000000000001"/>
    <n v="0"/>
    <n v="0"/>
    <n v="0"/>
    <n v="0"/>
    <n v="0"/>
    <n v="0"/>
    <n v="0"/>
    <n v="0"/>
    <n v="0"/>
    <n v="0"/>
    <n v="0"/>
    <n v="0"/>
    <n v="0"/>
    <n v="1.4950000000000001"/>
    <n v="0"/>
    <n v="0"/>
    <n v="0"/>
    <n v="0"/>
    <n v="0"/>
    <n v="0"/>
    <n v="0"/>
    <n v="0"/>
    <n v="0"/>
    <n v="0"/>
    <n v="0"/>
    <n v="0"/>
    <n v="0"/>
    <n v="1.4950000000000001"/>
    <n v="0"/>
    <n v="0"/>
    <n v="0"/>
    <n v="0"/>
  </r>
  <r>
    <x v="3"/>
    <s v="Colfax"/>
    <m/>
    <n v="0"/>
    <n v="0"/>
    <n v="0"/>
    <n v="0"/>
    <n v="0"/>
    <n v="0"/>
    <n v="0.65"/>
    <n v="0"/>
    <n v="0"/>
    <n v="0"/>
    <n v="0"/>
    <n v="0"/>
    <n v="0"/>
    <n v="0"/>
    <n v="0"/>
    <n v="0.33"/>
    <n v="0"/>
    <n v="0"/>
    <n v="0"/>
    <n v="0"/>
    <n v="0.18"/>
    <n v="0"/>
    <n v="0"/>
    <n v="0"/>
    <n v="0"/>
    <n v="0"/>
    <n v="0"/>
    <n v="0"/>
    <n v="0"/>
    <n v="0.67"/>
    <n v="0"/>
    <n v="0"/>
    <n v="0"/>
    <n v="0"/>
    <n v="0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000000000000001"/>
    <n v="0"/>
    <n v="0"/>
    <n v="0.24"/>
    <n v="0"/>
    <n v="0.06"/>
    <n v="0"/>
    <n v="0"/>
    <n v="0"/>
    <n v="0"/>
    <n v="0"/>
    <n v="0"/>
    <n v="0"/>
    <n v="0"/>
    <n v="0.02"/>
    <n v="0"/>
    <n v="0"/>
    <n v="0.08"/>
    <n v="0"/>
    <n v="0"/>
    <n v="0"/>
    <n v="0"/>
    <n v="0"/>
    <n v="0"/>
    <n v="0"/>
    <n v="0"/>
    <n v="0"/>
    <n v="0"/>
    <n v="0.06"/>
    <n v="0"/>
    <n v="0"/>
    <n v="0.19"/>
    <n v="0"/>
    <n v="0.04"/>
    <n v="0"/>
    <n v="0"/>
    <n v="0"/>
    <n v="0"/>
    <n v="0"/>
    <n v="0"/>
  </r>
  <r>
    <x v="4"/>
    <s v="Northport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8"/>
    <n v="0.02"/>
    <n v="0"/>
    <n v="0.08"/>
    <n v="0"/>
    <n v="0"/>
    <n v="0"/>
    <n v="0"/>
    <n v="0"/>
    <n v="0"/>
    <n v="0"/>
    <n v="0"/>
    <n v="0"/>
    <n v="0"/>
    <n v="0.08"/>
    <n v="0.02"/>
    <n v="0"/>
    <n v="0.08"/>
    <n v="0"/>
    <n v="0"/>
    <n v="0"/>
    <n v="0"/>
    <n v="0"/>
    <n v="0"/>
    <n v="0"/>
    <n v="0"/>
    <n v="0"/>
    <n v="0"/>
    <n v="0.08"/>
    <n v="0.02"/>
    <n v="0"/>
    <n v="0.08"/>
    <n v="0"/>
    <n v="0"/>
    <n v="0"/>
    <n v="0"/>
    <n v="0"/>
    <n v="0"/>
    <n v="0"/>
    <n v="0"/>
    <n v="0"/>
  </r>
  <r>
    <x v="5"/>
    <s v="Morton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"/>
    <n v="0"/>
    <n v="0.6"/>
    <n v="0"/>
    <n v="0"/>
    <n v="0.2"/>
    <n v="0"/>
    <n v="0"/>
    <n v="0"/>
    <n v="0"/>
    <n v="0"/>
    <n v="0"/>
    <n v="0"/>
    <n v="0"/>
    <n v="0"/>
    <n v="0"/>
    <n v="0.2"/>
    <n v="0"/>
    <n v="0"/>
    <n v="0"/>
    <n v="0"/>
    <n v="0"/>
    <n v="0"/>
    <n v="0"/>
    <n v="0"/>
    <n v="0"/>
    <n v="0"/>
    <n v="0"/>
    <n v="0.14000000000000001"/>
    <n v="0"/>
    <n v="0.4"/>
    <n v="0"/>
    <n v="0"/>
    <n v="0"/>
    <n v="0"/>
    <n v="0"/>
    <n v="0"/>
    <n v="0"/>
    <n v="0"/>
    <n v="0"/>
  </r>
  <r>
    <x v="6"/>
    <s v="Pioneer"/>
    <m/>
    <n v="0"/>
    <n v="0"/>
    <n v="0"/>
    <n v="0"/>
    <n v="0"/>
    <n v="0"/>
    <n v="0.46"/>
    <n v="0"/>
    <n v="0"/>
    <n v="0"/>
    <n v="0"/>
    <n v="0"/>
    <n v="0"/>
    <n v="0"/>
    <n v="0"/>
    <n v="0"/>
    <n v="0"/>
    <n v="0"/>
    <n v="0"/>
    <n v="0"/>
    <n v="0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0"/>
    <n v="1"/>
    <n v="0.66"/>
    <n v="0"/>
    <n v="0.125"/>
    <n v="0"/>
    <n v="0"/>
    <n v="0"/>
    <n v="0.46"/>
    <n v="0"/>
    <n v="0"/>
    <n v="0"/>
    <n v="0"/>
    <n v="0.34"/>
    <n v="0"/>
    <n v="0.7"/>
    <n v="0.34"/>
    <n v="0"/>
    <n v="0.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Ridgefield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Mary M Knight"/>
    <m/>
    <n v="0"/>
    <n v="0"/>
    <n v="0"/>
    <n v="0"/>
    <n v="0"/>
    <n v="0"/>
    <n v="0"/>
    <n v="0"/>
    <n v="0"/>
    <n v="0"/>
    <n v="0"/>
    <n v="0"/>
    <n v="0.25"/>
    <n v="0"/>
    <n v="0"/>
    <n v="0"/>
    <n v="0"/>
    <n v="0"/>
    <n v="0"/>
    <n v="0"/>
    <n v="0"/>
    <n v="0"/>
    <n v="0"/>
    <n v="0"/>
    <n v="0"/>
    <n v="0"/>
    <n v="9.2999999999999999E-2"/>
    <n v="0"/>
    <n v="0"/>
    <n v="0"/>
    <n v="0"/>
    <n v="0"/>
    <n v="0"/>
    <n v="0"/>
    <n v="0"/>
    <n v="0"/>
    <n v="0"/>
    <n v="0"/>
    <n v="0"/>
    <n v="0"/>
    <n v="0.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s v="Toledo"/>
    <m/>
    <n v="0"/>
    <n v="0"/>
    <n v="0"/>
    <n v="0"/>
    <n v="0"/>
    <n v="0"/>
    <n v="0.27"/>
    <n v="0"/>
    <n v="0"/>
    <n v="0"/>
    <n v="0"/>
    <n v="0.32"/>
    <n v="0"/>
    <n v="0"/>
    <n v="0"/>
    <n v="0"/>
    <n v="0"/>
    <n v="0"/>
    <n v="0"/>
    <n v="0"/>
    <n v="0.27"/>
    <n v="0"/>
    <n v="0"/>
    <n v="0"/>
    <n v="0"/>
    <n v="0.32"/>
    <n v="0"/>
    <n v="0"/>
    <n v="0"/>
    <n v="0"/>
    <n v="0"/>
    <n v="0"/>
    <n v="0"/>
    <n v="0"/>
    <n v="0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0"/>
    <n v="0.7"/>
    <n v="0.6"/>
    <n v="0"/>
    <n v="0.25"/>
    <n v="0"/>
    <n v="0"/>
    <n v="0"/>
    <n v="0.16"/>
    <n v="0"/>
    <n v="0"/>
    <n v="0"/>
    <n v="0"/>
    <n v="0.3"/>
    <n v="0"/>
    <n v="0.35"/>
    <n v="0.15"/>
    <n v="0"/>
    <n v="0"/>
    <n v="0"/>
    <n v="0"/>
    <n v="0"/>
    <n v="0.16"/>
    <n v="0"/>
    <n v="0"/>
    <n v="0"/>
    <n v="0"/>
    <n v="0.3"/>
    <n v="0"/>
    <n v="0.35"/>
    <n v="0.25"/>
    <n v="0"/>
    <n v="0"/>
    <n v="0"/>
    <n v="0"/>
    <n v="0"/>
    <n v="0.16"/>
    <n v="0"/>
    <n v="0"/>
  </r>
  <r>
    <x v="10"/>
    <s v="Washtucna"/>
    <m/>
    <n v="0"/>
    <n v="6.0999999999999999E-2"/>
    <n v="0"/>
    <n v="0"/>
    <n v="0"/>
    <n v="0"/>
    <n v="4.9000000000000002E-2"/>
    <n v="0"/>
    <n v="0"/>
    <n v="0"/>
    <n v="0"/>
    <n v="0"/>
    <n v="0"/>
    <n v="0"/>
    <n v="0"/>
    <n v="6.0999999999999999E-2"/>
    <n v="0"/>
    <n v="0"/>
    <n v="0"/>
    <n v="0"/>
    <n v="4.9000000000000002E-2"/>
    <n v="0"/>
    <n v="0"/>
    <n v="0"/>
    <n v="0"/>
    <n v="0"/>
    <n v="4.9000000000000002E-2"/>
    <n v="0"/>
    <n v="0"/>
    <n v="6.099999999999999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000000000000001E-2"/>
    <n v="0"/>
    <n v="3.2000000000000001E-2"/>
    <n v="0.01"/>
    <n v="0"/>
    <n v="0"/>
    <n v="0"/>
    <n v="0"/>
    <n v="0"/>
    <n v="0"/>
    <n v="0"/>
    <n v="0"/>
    <n v="0"/>
    <n v="0"/>
    <n v="0"/>
    <n v="0"/>
    <n v="3.1E-2"/>
    <n v="8.9999999999999993E-3"/>
    <n v="0"/>
    <n v="0"/>
    <n v="0"/>
    <n v="0"/>
    <n v="0"/>
    <n v="0"/>
    <n v="0"/>
    <n v="0"/>
    <n v="0"/>
    <n v="0"/>
    <n v="0"/>
    <n v="0"/>
    <n v="3.1E-2"/>
    <n v="8.9999999999999993E-3"/>
    <n v="0"/>
    <n v="0"/>
    <n v="0"/>
    <n v="0"/>
    <n v="0"/>
    <n v="0"/>
    <n v="0"/>
    <n v="0"/>
  </r>
  <r>
    <x v="11"/>
    <s v="Union Gap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000000000000003E-2"/>
    <n v="0"/>
    <n v="0"/>
    <n v="0"/>
    <n v="0"/>
    <n v="0"/>
    <n v="0"/>
    <n v="0"/>
    <n v="0"/>
    <n v="0"/>
    <n v="0"/>
    <n v="0"/>
    <n v="0"/>
    <n v="0"/>
    <n v="3.599999999999999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299999999999999"/>
    <n v="0"/>
    <n v="0"/>
    <n v="0"/>
    <n v="0.11"/>
    <n v="0"/>
    <n v="0"/>
    <n v="0"/>
    <n v="0"/>
    <n v="0"/>
    <n v="0"/>
    <n v="0"/>
    <n v="0"/>
    <n v="0"/>
    <n v="0.14299999999999999"/>
    <n v="0"/>
    <n v="0"/>
    <n v="0"/>
    <n v="0.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s v="Onalaska"/>
    <m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1"/>
    <n v="0.5"/>
    <n v="0"/>
    <n v="0.125"/>
    <n v="0"/>
    <n v="0"/>
    <n v="0"/>
    <n v="0"/>
    <n v="0"/>
    <n v="0"/>
    <n v="0"/>
    <n v="0"/>
    <n v="0.3"/>
    <n v="0"/>
    <n v="0.6"/>
    <n v="0.3"/>
    <n v="0"/>
    <n v="0"/>
    <n v="0"/>
    <n v="0"/>
    <n v="0"/>
    <n v="0"/>
    <n v="0"/>
    <n v="0"/>
    <n v="0"/>
    <n v="0"/>
    <n v="0.2"/>
    <n v="0"/>
    <n v="0.6"/>
    <n v="0.2"/>
    <n v="0"/>
    <n v="0"/>
    <n v="0"/>
    <n v="0"/>
    <n v="0"/>
    <n v="0"/>
    <n v="0"/>
    <n v="0"/>
  </r>
  <r>
    <x v="13"/>
    <s v="Satsop"/>
    <m/>
    <n v="0"/>
    <n v="0"/>
    <n v="0"/>
    <n v="0"/>
    <n v="0"/>
    <n v="0"/>
    <n v="0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"/>
    <n v="0"/>
    <n v="0.20599999999999999"/>
    <n v="0.12"/>
    <n v="0"/>
    <n v="0"/>
    <n v="0"/>
    <n v="1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Colton"/>
    <m/>
    <n v="0"/>
    <n v="1.4E-2"/>
    <n v="0"/>
    <n v="0"/>
    <n v="0"/>
    <n v="0"/>
    <n v="0"/>
    <n v="0"/>
    <n v="0"/>
    <n v="0"/>
    <n v="0"/>
    <n v="0"/>
    <n v="0"/>
    <n v="0"/>
    <n v="0"/>
    <n v="0.43"/>
    <n v="0"/>
    <n v="0"/>
    <n v="0"/>
    <n v="0"/>
    <n v="0"/>
    <n v="0"/>
    <n v="0"/>
    <n v="0"/>
    <n v="0"/>
    <n v="0"/>
    <n v="0"/>
    <n v="0"/>
    <n v="0"/>
    <n v="0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2"/>
    <n v="0"/>
    <n v="0.47"/>
    <n v="0.14000000000000001"/>
    <n v="0.28999999999999998"/>
    <n v="0"/>
    <n v="0"/>
    <n v="0"/>
    <n v="0"/>
    <n v="0"/>
    <n v="0"/>
    <n v="0"/>
    <n v="0"/>
    <n v="0"/>
    <n v="0.02"/>
    <n v="0"/>
    <n v="0"/>
    <n v="0.02"/>
    <n v="0.04"/>
    <n v="0"/>
    <n v="0"/>
    <n v="0"/>
    <n v="0"/>
    <n v="0"/>
    <n v="0"/>
    <n v="0"/>
    <n v="0"/>
    <n v="0"/>
    <n v="0"/>
    <n v="0"/>
    <n v="0"/>
    <n v="0.03"/>
    <n v="7.0000000000000007E-2"/>
    <n v="0"/>
    <n v="0"/>
    <n v="0"/>
    <n v="0"/>
    <n v="0"/>
    <n v="0"/>
    <n v="0"/>
  </r>
  <r>
    <x v="15"/>
    <s v="Naches Valley"/>
    <m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.3970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</r>
  <r>
    <x v="16"/>
    <s v="Tenino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0"/>
    <n v="1.35"/>
    <n v="1"/>
    <n v="0"/>
    <n v="0"/>
    <n v="0"/>
    <n v="0"/>
    <n v="0"/>
    <n v="0"/>
    <n v="0"/>
    <n v="0"/>
    <n v="0"/>
    <n v="0"/>
    <n v="0.2"/>
    <n v="0"/>
    <n v="0.69199999999999995"/>
    <n v="0"/>
    <n v="0"/>
    <n v="0"/>
    <n v="0"/>
    <n v="0"/>
    <n v="0"/>
    <n v="0"/>
    <n v="0"/>
    <n v="0"/>
    <n v="0"/>
    <n v="0"/>
    <n v="0.2"/>
    <n v="0"/>
    <n v="0.51800000000000002"/>
    <n v="1"/>
    <n v="0"/>
    <n v="0"/>
    <n v="1.05"/>
    <n v="0"/>
    <n v="0"/>
    <n v="0"/>
    <n v="0"/>
    <n v="0"/>
  </r>
  <r>
    <x v="17"/>
    <s v="Coupeville"/>
    <m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s v="Mc Cleary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00000000000002"/>
    <n v="0"/>
    <n v="0.35399999999999998"/>
    <n v="0.35399999999999998"/>
    <n v="0.11"/>
    <n v="0.17299999999999999"/>
    <n v="0"/>
    <n v="0"/>
    <n v="0"/>
    <n v="0"/>
    <n v="0"/>
    <n v="0"/>
    <n v="0"/>
    <n v="0"/>
    <n v="7.2999999999999995E-2"/>
    <n v="0"/>
    <n v="9.6000000000000002E-2"/>
    <n v="9.6000000000000002E-2"/>
    <n v="0.03"/>
    <n v="4.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s v="Oakville"/>
    <m/>
    <n v="0"/>
    <n v="0.33"/>
    <n v="0"/>
    <n v="0"/>
    <n v="0"/>
    <n v="0"/>
    <n v="0.108"/>
    <n v="0"/>
    <n v="0"/>
    <n v="0"/>
    <n v="0"/>
    <n v="0"/>
    <n v="0"/>
    <n v="0"/>
    <n v="0"/>
    <n v="0.33"/>
    <n v="0"/>
    <n v="0"/>
    <n v="0"/>
    <n v="0"/>
    <n v="0.03"/>
    <n v="0"/>
    <n v="0"/>
    <n v="0"/>
    <n v="0"/>
    <n v="0"/>
    <n v="0"/>
    <n v="0"/>
    <n v="0"/>
    <n v="0.33"/>
    <n v="0"/>
    <n v="0"/>
    <n v="0"/>
    <n v="0"/>
    <n v="6.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s v="Rainier"/>
    <m/>
    <n v="0"/>
    <n v="0"/>
    <n v="0"/>
    <n v="0"/>
    <n v="0"/>
    <n v="0"/>
    <n v="0.17"/>
    <n v="0"/>
    <n v="0"/>
    <n v="0"/>
    <n v="0"/>
    <n v="0"/>
    <n v="0"/>
    <n v="0"/>
    <n v="0"/>
    <n v="0"/>
    <n v="0"/>
    <n v="0"/>
    <n v="0"/>
    <n v="0"/>
    <n v="0.17"/>
    <n v="0"/>
    <n v="0"/>
    <n v="0"/>
    <n v="0"/>
    <n v="0"/>
    <n v="0"/>
    <n v="0"/>
    <n v="0"/>
    <n v="0"/>
    <n v="0"/>
    <n v="0"/>
    <n v="0"/>
    <n v="0"/>
    <n v="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"/>
    <n v="0"/>
    <n v="0.5"/>
    <n v="0.33"/>
    <n v="0"/>
    <n v="0.1"/>
    <n v="0"/>
    <n v="0"/>
    <n v="0"/>
    <n v="0"/>
    <n v="0"/>
    <n v="0"/>
    <n v="0"/>
    <n v="0"/>
    <n v="0"/>
    <n v="0"/>
    <n v="0.25"/>
    <n v="0.33"/>
    <n v="0"/>
    <n v="0.1"/>
    <n v="0"/>
    <n v="0"/>
    <n v="0"/>
    <n v="0"/>
    <n v="0"/>
    <n v="0"/>
    <n v="0"/>
    <n v="0"/>
    <n v="0"/>
    <n v="0"/>
    <n v="0"/>
    <n v="0.34"/>
    <n v="0"/>
    <n v="0.1"/>
    <n v="0"/>
    <n v="0"/>
    <n v="0"/>
    <n v="0"/>
    <n v="0"/>
    <n v="0"/>
  </r>
  <r>
    <x v="21"/>
    <s v="South Bend"/>
    <m/>
    <n v="0"/>
    <n v="0"/>
    <n v="0"/>
    <n v="0"/>
    <n v="0"/>
    <n v="0"/>
    <n v="0.26700000000000002"/>
    <n v="0"/>
    <n v="0"/>
    <n v="0"/>
    <n v="0"/>
    <n v="0"/>
    <n v="0"/>
    <n v="0"/>
    <n v="0"/>
    <n v="0"/>
    <n v="0"/>
    <n v="0"/>
    <n v="0"/>
    <n v="0"/>
    <n v="3.3000000000000002E-2"/>
    <n v="0"/>
    <n v="0"/>
    <n v="0"/>
    <n v="0"/>
    <n v="0"/>
    <n v="0"/>
    <n v="0"/>
    <n v="0"/>
    <n v="0"/>
    <n v="0"/>
    <n v="0"/>
    <n v="0"/>
    <n v="0"/>
    <n v="3.300000000000000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0.2"/>
    <n v="0"/>
    <n v="0.25"/>
    <n v="0"/>
    <n v="0"/>
    <n v="0"/>
    <n v="0"/>
    <n v="0"/>
    <n v="0"/>
    <n v="0"/>
    <n v="0"/>
    <n v="0"/>
    <n v="0"/>
    <n v="7.1999999999999995E-2"/>
    <n v="2.5000000000000001E-2"/>
    <n v="0"/>
    <n v="3.1E-2"/>
    <n v="0"/>
    <n v="0"/>
    <n v="0"/>
    <n v="0"/>
    <n v="0"/>
    <n v="0"/>
    <n v="0"/>
    <n v="0"/>
    <n v="0"/>
    <n v="0"/>
    <n v="7.1999999999999995E-2"/>
    <n v="2.5000000000000001E-2"/>
    <n v="0"/>
    <n v="3.1E-2"/>
    <n v="0"/>
    <n v="0"/>
    <n v="0"/>
    <n v="0"/>
    <n v="0"/>
    <n v="0"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m/>
    <n v="0"/>
    <n v="0"/>
    <n v="0.40500000000000003"/>
    <n v="0"/>
    <n v="0"/>
    <n v="0"/>
    <n v="0"/>
    <n v="3.1740000000000004"/>
    <n v="0"/>
    <n v="0"/>
    <n v="2"/>
    <n v="0"/>
    <n v="0.32"/>
    <n v="0.75"/>
    <n v="0"/>
    <n v="0"/>
    <n v="1.651"/>
    <n v="0"/>
    <n v="0"/>
    <n v="0"/>
    <n v="0"/>
    <n v="1.1919999999999999"/>
    <n v="0"/>
    <n v="0"/>
    <n v="3"/>
    <n v="1"/>
    <n v="0.32"/>
    <n v="0.14200000000000002"/>
    <n v="0"/>
    <n v="0"/>
    <n v="1.8780000000000001"/>
    <n v="0"/>
    <n v="0"/>
    <n v="0"/>
    <n v="0"/>
    <n v="0.91499999999999992"/>
    <n v="0"/>
    <n v="0"/>
    <n v="2"/>
    <n v="0"/>
    <n v="0"/>
    <n v="0.6069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3.5000000000000003E-2"/>
    <n v="0"/>
    <n v="0"/>
    <n v="0"/>
    <n v="0"/>
    <n v="0"/>
    <n v="0"/>
    <n v="0"/>
    <n v="0"/>
    <n v="0"/>
    <n v="0"/>
    <n v="0.7"/>
    <n v="0"/>
    <n v="0"/>
    <n v="3.5999999999999997E-2"/>
    <n v="0"/>
    <n v="0"/>
    <n v="0"/>
    <n v="0"/>
    <n v="0"/>
    <n v="0"/>
    <n v="0"/>
    <n v="0"/>
    <n v="0"/>
    <n v="0"/>
    <n v="0.7"/>
    <n v="0"/>
    <n v="0"/>
    <n v="0"/>
    <n v="0"/>
    <n v="0"/>
    <n v="0"/>
    <n v="0"/>
    <n v="0"/>
    <n v="0"/>
    <n v="0"/>
    <n v="0"/>
    <n v="0"/>
    <n v="0"/>
    <n v="2.4"/>
    <n v="0"/>
    <n v="0.08"/>
    <n v="5.2540000000000004"/>
    <n v="0"/>
    <n v="9.6769999999999978"/>
    <n v="4.7250000000000005"/>
    <n v="0.97099999999999997"/>
    <n v="1.8540000000000001"/>
    <n v="0.11"/>
    <n v="3.7050000000000001"/>
    <n v="0"/>
    <n v="0.62"/>
    <n v="1"/>
    <n v="0"/>
    <n v="0"/>
    <n v="0.08"/>
    <n v="1.4159999999999999"/>
    <n v="0"/>
    <n v="3.2140000000000004"/>
    <n v="1.4930000000000001"/>
    <n v="0.21299999999999999"/>
    <n v="0.44600000000000006"/>
    <n v="0.111"/>
    <n v="1.4950000000000001"/>
    <n v="0"/>
    <n v="0.16"/>
    <n v="0"/>
    <n v="0"/>
    <n v="0"/>
    <n v="0.08"/>
    <n v="1.206"/>
    <n v="0"/>
    <n v="2.3840000000000003"/>
    <n v="2.33"/>
    <n v="0.35599999999999998"/>
    <n v="0.45699999999999996"/>
    <n v="1.2"/>
    <n v="1.4950000000000001"/>
    <n v="0"/>
    <n v="0.16"/>
    <n v="0"/>
    <n v="0"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95">
  <r>
    <x v="0"/>
    <s v="Personnel"/>
    <s v="E "/>
    <x v="0"/>
    <x v="0"/>
    <s v="PSES Elem Prog01Duty96 S275"/>
    <x v="0"/>
    <s v="24"/>
    <n v="96"/>
    <n v="24"/>
    <s v="   "/>
    <n v="1.387"/>
    <n v="0.24879999999999999"/>
    <n v="0"/>
    <s v="Elementary Family Engagement Coordinator"/>
  </r>
  <r>
    <x v="0"/>
    <s v="Personnel"/>
    <s v="H "/>
    <x v="1"/>
    <x v="1"/>
    <s v="PSES High Prog01Duty96 S275"/>
    <x v="0"/>
    <s v="24"/>
    <n v="96"/>
    <n v="24"/>
    <s v="   "/>
    <n v="0.35199999999999998"/>
    <n v="0.24879999999999999"/>
    <n v="0"/>
    <s v="High Family Engagement Coordinator"/>
  </r>
  <r>
    <x v="0"/>
    <s v="Personnel"/>
    <s v="M "/>
    <x v="2"/>
    <x v="2"/>
    <s v="PSES Mid Prog01Duty96 S275"/>
    <x v="0"/>
    <s v="24"/>
    <n v="96"/>
    <n v="24"/>
    <s v="   "/>
    <n v="0.36299999999999999"/>
    <n v="0.24879999999999999"/>
    <n v="0"/>
    <s v="Middle Family Engagement Coordinator"/>
  </r>
  <r>
    <x v="0"/>
    <s v="Personnel"/>
    <s v="E "/>
    <x v="0"/>
    <x v="3"/>
    <s v="PSES Elem Prog01Act25 S275"/>
    <x v="0"/>
    <s v="25"/>
    <m/>
    <n v="25"/>
    <s v="   "/>
    <n v="7.2370000000000001"/>
    <n v="0.24879999999999999"/>
    <n v="0"/>
    <s v="Elementary Pupil Management"/>
  </r>
  <r>
    <x v="0"/>
    <s v="Personnel"/>
    <s v="H "/>
    <x v="1"/>
    <x v="4"/>
    <s v="PSES High Prog21Act25 S275"/>
    <x v="1"/>
    <s v="25"/>
    <m/>
    <n v="25"/>
    <s v="   "/>
    <n v="3.8879999999999999"/>
    <n v="0.24879999999999999"/>
    <n v="0.96699999999999997"/>
    <s v="High Pupil Management"/>
  </r>
  <r>
    <x v="0"/>
    <s v="Personnel"/>
    <s v="H "/>
    <x v="1"/>
    <x v="5"/>
    <s v="PSES High Prog01Act25 S275"/>
    <x v="0"/>
    <s v="25"/>
    <m/>
    <n v="25"/>
    <s v="   "/>
    <n v="0.50600000000000001"/>
    <n v="0.24879999999999999"/>
    <n v="0"/>
    <s v="High Pupil Management"/>
  </r>
  <r>
    <x v="0"/>
    <s v="Personnel"/>
    <s v="M "/>
    <x v="2"/>
    <x v="6"/>
    <s v="PSES Mid Prog01Act25 S275"/>
    <x v="0"/>
    <s v="25"/>
    <m/>
    <n v="25"/>
    <s v="   "/>
    <n v="0.495"/>
    <n v="0.24879999999999999"/>
    <n v="0"/>
    <s v="Middle Pupil Management"/>
  </r>
  <r>
    <x v="0"/>
    <s v="Personnel"/>
    <s v="E "/>
    <x v="0"/>
    <x v="7"/>
    <s v="PSES Elem Prog21Act26 S275"/>
    <x v="1"/>
    <s v="26"/>
    <m/>
    <n v="26"/>
    <s v="   "/>
    <n v="1.3140000000000001"/>
    <n v="0.24879999999999999"/>
    <n v="0.32700000000000001"/>
    <s v="Elementary Health/_x000a_Related Services"/>
  </r>
  <r>
    <x v="0"/>
    <s v="Personnel"/>
    <s v="E "/>
    <x v="0"/>
    <x v="8"/>
    <s v="PSES Elem Prog01Act26 S275"/>
    <x v="0"/>
    <s v="26"/>
    <m/>
    <n v="26"/>
    <s v="   "/>
    <n v="2.3239999999999998"/>
    <n v="0.24879999999999999"/>
    <n v="0"/>
    <s v="Elementary Health/_x000a_Related Services"/>
  </r>
  <r>
    <x v="0"/>
    <s v="Personnel"/>
    <s v="H "/>
    <x v="1"/>
    <x v="9"/>
    <s v="PSES High Prog01Act26 S275"/>
    <x v="0"/>
    <s v="26"/>
    <m/>
    <n v="26"/>
    <s v="   "/>
    <n v="0.2"/>
    <n v="0.24879999999999999"/>
    <n v="0"/>
    <s v="High Health/_x000a_Related Services"/>
  </r>
  <r>
    <x v="0"/>
    <s v="Personnel"/>
    <s v="M "/>
    <x v="2"/>
    <x v="10"/>
    <s v="PSES Mid Prog21Act26 S275"/>
    <x v="1"/>
    <s v="26"/>
    <m/>
    <n v="26"/>
    <s v="   "/>
    <n v="0.25"/>
    <n v="0.24879999999999999"/>
    <n v="6.2E-2"/>
    <s v="Middle Health/_x000a_Related Services"/>
  </r>
  <r>
    <x v="0"/>
    <s v="Personnel"/>
    <s v="M "/>
    <x v="2"/>
    <x v="11"/>
    <s v="PSES Mid Prog01Act26 S275"/>
    <x v="0"/>
    <s v="26"/>
    <m/>
    <n v="26"/>
    <s v="   "/>
    <n v="0.58099999999999996"/>
    <n v="0.24879999999999999"/>
    <n v="0"/>
    <s v="Middle Health/_x000a_Related Services"/>
  </r>
  <r>
    <x v="0"/>
    <s v="Personnel"/>
    <s v="H "/>
    <x v="1"/>
    <x v="12"/>
    <s v="PSES High Prog97Act35 S275"/>
    <x v="2"/>
    <s v="35"/>
    <m/>
    <n v="35"/>
    <s v="   "/>
    <n v="1.84"/>
    <n v="0.24879999999999999"/>
    <n v="0"/>
    <s v="High Pupil Safety"/>
  </r>
  <r>
    <x v="0"/>
    <s v="Personnel"/>
    <s v="M "/>
    <x v="2"/>
    <x v="13"/>
    <s v="PSES Mid Prog97Act35 S275"/>
    <x v="2"/>
    <s v="35"/>
    <m/>
    <n v="35"/>
    <s v="   "/>
    <n v="1.3009999999999999"/>
    <n v="0.24879999999999999"/>
    <n v="0"/>
    <s v="Middle Pupil Safety"/>
  </r>
  <r>
    <x v="0"/>
    <s v="Personnel"/>
    <s v="E "/>
    <x v="0"/>
    <x v="14"/>
    <s v="PSES Elem Prog21Duty39 S275"/>
    <x v="1"/>
    <s v="39"/>
    <n v="39"/>
    <m/>
    <s v="   "/>
    <n v="1"/>
    <n v="0.24879999999999999"/>
    <n v="0.249"/>
    <s v="Elementary Orientation &amp; Mobility Specialist"/>
  </r>
  <r>
    <x v="0"/>
    <s v="Personnel"/>
    <s v="E "/>
    <x v="0"/>
    <x v="15"/>
    <s v="PSES Elem Prog01Duty42 S275"/>
    <x v="0"/>
    <s v="42"/>
    <n v="42"/>
    <m/>
    <s v="   "/>
    <n v="1.8"/>
    <n v="0.24879999999999999"/>
    <n v="0"/>
    <s v="Elementary Counselor"/>
  </r>
  <r>
    <x v="0"/>
    <s v="Personnel"/>
    <s v="H "/>
    <x v="1"/>
    <x v="16"/>
    <s v="PSES High Prog01Duty42 S275"/>
    <x v="0"/>
    <s v="42"/>
    <n v="42"/>
    <m/>
    <s v="   "/>
    <n v="2.5299999999999998"/>
    <n v="0.24879999999999999"/>
    <n v="0"/>
    <s v="High Counselor"/>
  </r>
  <r>
    <x v="0"/>
    <s v="Personnel"/>
    <s v="M "/>
    <x v="2"/>
    <x v="17"/>
    <s v="PSES Mid Prog01Duty42 S275"/>
    <x v="0"/>
    <s v="42"/>
    <n v="42"/>
    <m/>
    <s v="   "/>
    <n v="2.25"/>
    <n v="0.24879999999999999"/>
    <n v="0"/>
    <s v="Middle Counselor"/>
  </r>
  <r>
    <x v="0"/>
    <s v="Personnel"/>
    <s v="E "/>
    <x v="0"/>
    <x v="18"/>
    <s v="PSES Elem Prog21Duty43 S275"/>
    <x v="1"/>
    <s v="43"/>
    <n v="43"/>
    <m/>
    <s v="   "/>
    <n v="0.75"/>
    <n v="0.24879999999999999"/>
    <n v="0.187"/>
    <s v="Elementary Occupational Therapist"/>
  </r>
  <r>
    <x v="0"/>
    <s v="Personnel"/>
    <s v="H "/>
    <x v="1"/>
    <x v="19"/>
    <s v="PSES High Prog21Duty43 S275"/>
    <x v="1"/>
    <s v="43"/>
    <n v="43"/>
    <m/>
    <s v="   "/>
    <n v="0.25"/>
    <n v="0.24879999999999999"/>
    <n v="6.2E-2"/>
    <s v="High Occupational Therapist"/>
  </r>
  <r>
    <x v="0"/>
    <s v="Personnel"/>
    <s v="E "/>
    <x v="0"/>
    <x v="20"/>
    <s v="PSES Elem Prog21Duty45 S275"/>
    <x v="1"/>
    <s v="45"/>
    <n v="45"/>
    <m/>
    <s v="   "/>
    <n v="2.782"/>
    <n v="0.24879999999999999"/>
    <n v="0.69199999999999995"/>
    <s v="Elementary Speech, Language Pathway/_x000a_Audio"/>
  </r>
  <r>
    <x v="0"/>
    <s v="Personnel"/>
    <s v="H "/>
    <x v="1"/>
    <x v="21"/>
    <s v="PSES High Prog21Duty45 S275"/>
    <x v="1"/>
    <s v="45"/>
    <n v="45"/>
    <m/>
    <s v="   "/>
    <n v="0.46"/>
    <n v="0.24879999999999999"/>
    <n v="0.114"/>
    <s v="High Speech, Language Pathway/_x000a_Audio"/>
  </r>
  <r>
    <x v="0"/>
    <s v="Personnel"/>
    <s v="E "/>
    <x v="0"/>
    <x v="22"/>
    <s v="PSES Elem Prog21Duty46 S275"/>
    <x v="1"/>
    <s v="46"/>
    <n v="46"/>
    <m/>
    <s v="   "/>
    <n v="2"/>
    <n v="0.24879999999999999"/>
    <n v="0.498"/>
    <s v="Elementary Psychologist"/>
  </r>
  <r>
    <x v="0"/>
    <s v="Personnel"/>
    <s v="H "/>
    <x v="1"/>
    <x v="23"/>
    <s v="PSES High Prog21Duty46 S275"/>
    <x v="1"/>
    <s v="46"/>
    <n v="46"/>
    <m/>
    <s v="   "/>
    <n v="1.4"/>
    <n v="0.24879999999999999"/>
    <n v="0.34799999999999998"/>
    <s v="High Psychologist"/>
  </r>
  <r>
    <x v="0"/>
    <s v="Personnel"/>
    <s v="M "/>
    <x v="2"/>
    <x v="24"/>
    <s v="PSES Mid Prog21Duty46 S275"/>
    <x v="1"/>
    <s v="46"/>
    <n v="46"/>
    <m/>
    <s v="   "/>
    <n v="0.6"/>
    <n v="0.24879999999999999"/>
    <n v="0.14899999999999999"/>
    <s v="Middle Psychologist"/>
  </r>
  <r>
    <x v="0"/>
    <s v="Personnel"/>
    <s v="H "/>
    <x v="1"/>
    <x v="25"/>
    <s v="PSES High Prog01Duty47 S275"/>
    <x v="0"/>
    <s v="47"/>
    <n v="47"/>
    <m/>
    <s v="   "/>
    <n v="1"/>
    <n v="0.24879999999999999"/>
    <n v="0"/>
    <s v="High Nurse"/>
  </r>
  <r>
    <x v="0"/>
    <s v="Personnel"/>
    <s v="E "/>
    <x v="0"/>
    <x v="26"/>
    <s v="PSES Elem Prog21Duty49 S275"/>
    <x v="1"/>
    <s v="49"/>
    <n v="49"/>
    <m/>
    <s v="   "/>
    <n v="1"/>
    <n v="0.24879999999999999"/>
    <n v="0.249"/>
    <s v="Elementary Behavior Analyst"/>
  </r>
  <r>
    <x v="1"/>
    <s v="Personnel"/>
    <s v="E "/>
    <x v="0"/>
    <x v="3"/>
    <s v="PSES Elem Prog01Act25 S275"/>
    <x v="0"/>
    <s v="25"/>
    <m/>
    <n v="25"/>
    <s v="   "/>
    <n v="0.17799999999999999"/>
    <n v="0.14000000000000001"/>
    <n v="0"/>
    <s v="Elementary Pupil Management"/>
  </r>
  <r>
    <x v="1"/>
    <s v="Personnel"/>
    <s v="M "/>
    <x v="2"/>
    <x v="6"/>
    <s v="PSES Mid Prog01Act25 S275"/>
    <x v="0"/>
    <s v="25"/>
    <m/>
    <n v="25"/>
    <s v="   "/>
    <n v="5.6000000000000001E-2"/>
    <n v="0.14000000000000001"/>
    <n v="0"/>
    <s v="Middle Pupil Management"/>
  </r>
  <r>
    <x v="1"/>
    <s v="Personnel"/>
    <s v="E "/>
    <x v="0"/>
    <x v="8"/>
    <s v="PSES Elem Prog01Act26 S275"/>
    <x v="0"/>
    <s v="26"/>
    <m/>
    <n v="26"/>
    <s v="   "/>
    <n v="0.27700000000000002"/>
    <n v="0.14000000000000001"/>
    <n v="0"/>
    <s v="Elementary Health/_x000a_Related Services"/>
  </r>
  <r>
    <x v="1"/>
    <s v="Personnel"/>
    <s v="H "/>
    <x v="1"/>
    <x v="9"/>
    <s v="PSES High Prog01Act26 S275"/>
    <x v="0"/>
    <s v="26"/>
    <m/>
    <n v="26"/>
    <s v="   "/>
    <n v="0.14599999999999999"/>
    <n v="0.14000000000000001"/>
    <n v="0"/>
    <s v="High Health/_x000a_Related Services"/>
  </r>
  <r>
    <x v="1"/>
    <s v="Personnel"/>
    <s v="M "/>
    <x v="2"/>
    <x v="11"/>
    <s v="PSES Mid Prog01Act26 S275"/>
    <x v="0"/>
    <s v="26"/>
    <m/>
    <n v="26"/>
    <s v="   "/>
    <n v="0.16900000000000001"/>
    <n v="0.14000000000000001"/>
    <n v="0"/>
    <s v="Middle Health/_x000a_Related Services"/>
  </r>
  <r>
    <x v="1"/>
    <s v="Personnel"/>
    <s v="E "/>
    <x v="0"/>
    <x v="15"/>
    <s v="PSES Elem Prog01Duty42 S275"/>
    <x v="0"/>
    <s v="42"/>
    <n v="42"/>
    <m/>
    <s v="   "/>
    <n v="0.96199999999999997"/>
    <n v="0.14000000000000001"/>
    <n v="0"/>
    <s v="Elementary Counselor"/>
  </r>
  <r>
    <x v="1"/>
    <s v="Personnel"/>
    <s v="M "/>
    <x v="2"/>
    <x v="17"/>
    <s v="PSES Mid Prog01Duty42 S275"/>
    <x v="0"/>
    <s v="42"/>
    <n v="42"/>
    <m/>
    <s v="   "/>
    <n v="0.755"/>
    <n v="0.14000000000000001"/>
    <n v="0"/>
    <s v="Middle Counselor"/>
  </r>
  <r>
    <x v="2"/>
    <s v="Personnel"/>
    <s v="E "/>
    <x v="0"/>
    <x v="3"/>
    <s v="PSES Elem Prog01Act25 S275"/>
    <x v="0"/>
    <s v="25"/>
    <m/>
    <n v="25"/>
    <s v="   "/>
    <n v="0.86599999999999999"/>
    <n v="0.15029999999999999"/>
    <n v="0"/>
    <s v="Elementary Pupil Management"/>
  </r>
  <r>
    <x v="2"/>
    <s v="Personnel"/>
    <s v="H "/>
    <x v="1"/>
    <x v="5"/>
    <s v="PSES High Prog01Act25 S275"/>
    <x v="0"/>
    <s v="25"/>
    <m/>
    <n v="25"/>
    <s v="   "/>
    <n v="4.2000000000000003E-2"/>
    <n v="0.15029999999999999"/>
    <n v="0"/>
    <s v="High Pupil Management"/>
  </r>
  <r>
    <x v="2"/>
    <s v="Personnel"/>
    <s v="E "/>
    <x v="0"/>
    <x v="8"/>
    <s v="PSES Elem Prog01Act26 S275"/>
    <x v="0"/>
    <s v="26"/>
    <m/>
    <n v="26"/>
    <s v="   "/>
    <n v="0.59899999999999998"/>
    <n v="0.15029999999999999"/>
    <n v="0"/>
    <s v="Elementary Health/_x000a_Related Services"/>
  </r>
  <r>
    <x v="2"/>
    <s v="Personnel"/>
    <s v="H "/>
    <x v="1"/>
    <x v="16"/>
    <s v="PSES High Prog01Duty42 S275"/>
    <x v="0"/>
    <s v="42"/>
    <n v="42"/>
    <m/>
    <s v="   "/>
    <n v="0.625"/>
    <n v="0.15029999999999999"/>
    <n v="0"/>
    <s v="High Counselor"/>
  </r>
  <r>
    <x v="3"/>
    <s v="Personnel"/>
    <s v="E "/>
    <x v="0"/>
    <x v="3"/>
    <s v="PSES Elem Prog01Act25 S275"/>
    <x v="0"/>
    <s v="25"/>
    <m/>
    <n v="25"/>
    <s v="   "/>
    <n v="0.14000000000000001"/>
    <n v="0.22459999999999999"/>
    <n v="0"/>
    <s v="Elementary Pupil Management"/>
  </r>
  <r>
    <x v="3"/>
    <s v="Personnel"/>
    <s v="H "/>
    <x v="1"/>
    <x v="4"/>
    <s v="PSES High Prog21Act25 S275"/>
    <x v="1"/>
    <s v="25"/>
    <m/>
    <n v="25"/>
    <s v="   "/>
    <n v="3.9E-2"/>
    <n v="0.22459999999999999"/>
    <n v="8.9999999999999993E-3"/>
    <s v="High Pupil Management"/>
  </r>
  <r>
    <x v="3"/>
    <s v="Personnel"/>
    <s v="H "/>
    <x v="1"/>
    <x v="5"/>
    <s v="PSES High Prog01Act25 S275"/>
    <x v="0"/>
    <s v="25"/>
    <m/>
    <n v="25"/>
    <s v="   "/>
    <n v="0.69199999999999995"/>
    <n v="0.22459999999999999"/>
    <n v="0"/>
    <s v="High Pupil Management"/>
  </r>
  <r>
    <x v="3"/>
    <s v="Personnel"/>
    <s v="E "/>
    <x v="0"/>
    <x v="7"/>
    <s v="PSES Elem Prog21Act26 S275"/>
    <x v="1"/>
    <s v="26"/>
    <m/>
    <n v="26"/>
    <s v="   "/>
    <n v="0.496"/>
    <n v="0.22459999999999999"/>
    <n v="0.111"/>
    <s v="Elementary Health/_x000a_Related Services"/>
  </r>
  <r>
    <x v="3"/>
    <s v="Personnel"/>
    <s v="H "/>
    <x v="1"/>
    <x v="9"/>
    <s v="PSES High Prog01Act26 S275"/>
    <x v="0"/>
    <s v="26"/>
    <m/>
    <n v="26"/>
    <s v="   "/>
    <n v="3.0310000000000001"/>
    <n v="0.22459999999999999"/>
    <n v="0"/>
    <s v="High Health/_x000a_Related Services"/>
  </r>
  <r>
    <x v="3"/>
    <s v="Personnel"/>
    <s v="H "/>
    <x v="1"/>
    <x v="16"/>
    <s v="PSES High Prog01Duty42 S275"/>
    <x v="0"/>
    <s v="42"/>
    <n v="42"/>
    <m/>
    <s v="   "/>
    <n v="1.5"/>
    <n v="0.22459999999999999"/>
    <n v="0"/>
    <s v="High Counselor"/>
  </r>
  <r>
    <x v="3"/>
    <s v="Personnel"/>
    <s v="M "/>
    <x v="2"/>
    <x v="17"/>
    <s v="PSES Mid Prog01Duty42 S275"/>
    <x v="0"/>
    <s v="42"/>
    <n v="42"/>
    <m/>
    <s v="   "/>
    <n v="0.6"/>
    <n v="0.22459999999999999"/>
    <n v="0"/>
    <s v="Middle Counselor"/>
  </r>
  <r>
    <x v="3"/>
    <s v="Personnel"/>
    <s v="E "/>
    <x v="0"/>
    <x v="18"/>
    <s v="PSES Elem Prog21Duty43 S275"/>
    <x v="1"/>
    <s v="43"/>
    <n v="43"/>
    <m/>
    <s v="   "/>
    <n v="1.857"/>
    <n v="0.22459999999999999"/>
    <n v="0.41699999999999998"/>
    <s v="Elementary Occupational Therapist"/>
  </r>
  <r>
    <x v="3"/>
    <s v="Personnel"/>
    <s v="H "/>
    <x v="1"/>
    <x v="19"/>
    <s v="PSES High Prog21Duty43 S275"/>
    <x v="1"/>
    <s v="43"/>
    <n v="43"/>
    <m/>
    <s v="   "/>
    <n v="8.3000000000000004E-2"/>
    <n v="0.22459999999999999"/>
    <n v="1.9E-2"/>
    <s v="High Occupational Therapist"/>
  </r>
  <r>
    <x v="3"/>
    <s v="Personnel"/>
    <s v="E "/>
    <x v="0"/>
    <x v="20"/>
    <s v="PSES Elem Prog21Duty45 S275"/>
    <x v="1"/>
    <s v="45"/>
    <n v="45"/>
    <m/>
    <s v="   "/>
    <n v="3.581"/>
    <n v="0.22459999999999999"/>
    <n v="0.80400000000000005"/>
    <s v="Elementary Speech, Language Pathway/_x000a_Audio"/>
  </r>
  <r>
    <x v="3"/>
    <s v="Personnel"/>
    <s v="E "/>
    <x v="0"/>
    <x v="22"/>
    <s v="PSES Elem Prog21Duty46 S275"/>
    <x v="1"/>
    <s v="46"/>
    <n v="46"/>
    <m/>
    <s v="   "/>
    <n v="2.012"/>
    <n v="0.22459999999999999"/>
    <n v="0.45200000000000001"/>
    <s v="Elementary Psychologist"/>
  </r>
  <r>
    <x v="3"/>
    <s v="Personnel"/>
    <s v="H "/>
    <x v="1"/>
    <x v="23"/>
    <s v="PSES High Prog21Duty46 S275"/>
    <x v="1"/>
    <s v="46"/>
    <n v="46"/>
    <m/>
    <s v="   "/>
    <n v="0.70099999999999996"/>
    <n v="0.22459999999999999"/>
    <n v="0.157"/>
    <s v="High Psychologist"/>
  </r>
  <r>
    <x v="3"/>
    <s v="Personnel"/>
    <s v="M "/>
    <x v="2"/>
    <x v="24"/>
    <s v="PSES Mid Prog21Duty46 S275"/>
    <x v="1"/>
    <s v="46"/>
    <n v="46"/>
    <m/>
    <s v="   "/>
    <n v="0.28699999999999998"/>
    <n v="0.22459999999999999"/>
    <n v="6.4000000000000001E-2"/>
    <s v="Middle Psychologist"/>
  </r>
  <r>
    <x v="3"/>
    <s v="Personnel"/>
    <s v="E "/>
    <x v="0"/>
    <x v="27"/>
    <s v="PSES Elem Prog01Duty47 S275"/>
    <x v="0"/>
    <s v="47"/>
    <n v="47"/>
    <m/>
    <s v="   "/>
    <n v="1"/>
    <n v="0.22459999999999999"/>
    <n v="0"/>
    <s v="Elementary Nurse"/>
  </r>
  <r>
    <x v="4"/>
    <s v="Personnel"/>
    <s v="E "/>
    <x v="0"/>
    <x v="3"/>
    <s v="PSES Elem Prog01Act25 S275"/>
    <x v="0"/>
    <s v="25"/>
    <m/>
    <n v="25"/>
    <s v="   "/>
    <n v="1.319"/>
    <n v="0.21659999999999999"/>
    <n v="0"/>
    <s v="Elementary Pupil Management"/>
  </r>
  <r>
    <x v="4"/>
    <s v="Personnel"/>
    <s v="H "/>
    <x v="1"/>
    <x v="5"/>
    <s v="PSES High Prog01Act25 S275"/>
    <x v="0"/>
    <s v="25"/>
    <m/>
    <n v="25"/>
    <s v="   "/>
    <n v="7.5999999999999998E-2"/>
    <n v="0.21659999999999999"/>
    <n v="0"/>
    <s v="High Pupil Management"/>
  </r>
  <r>
    <x v="4"/>
    <s v="Personnel"/>
    <s v="M "/>
    <x v="2"/>
    <x v="6"/>
    <s v="PSES Mid Prog01Act25 S275"/>
    <x v="0"/>
    <s v="25"/>
    <m/>
    <n v="25"/>
    <s v="   "/>
    <n v="2E-3"/>
    <n v="0.21659999999999999"/>
    <n v="0"/>
    <s v="Middle Pupil Management"/>
  </r>
  <r>
    <x v="4"/>
    <s v="Personnel"/>
    <s v="E "/>
    <x v="0"/>
    <x v="15"/>
    <s v="PSES Elem Prog01Duty42 S275"/>
    <x v="0"/>
    <s v="42"/>
    <n v="42"/>
    <m/>
    <s v="   "/>
    <n v="0.499"/>
    <n v="0.21659999999999999"/>
    <n v="0"/>
    <s v="Elementary Counselor"/>
  </r>
  <r>
    <x v="4"/>
    <s v="Personnel"/>
    <s v="H "/>
    <x v="1"/>
    <x v="16"/>
    <s v="PSES High Prog01Duty42 S275"/>
    <x v="0"/>
    <s v="42"/>
    <n v="42"/>
    <m/>
    <s v="   "/>
    <n v="0.8"/>
    <n v="0.21659999999999999"/>
    <n v="0"/>
    <s v="High Counselor"/>
  </r>
  <r>
    <x v="4"/>
    <s v="Personnel"/>
    <s v="M "/>
    <x v="2"/>
    <x v="17"/>
    <s v="PSES Mid Prog01Duty42 S275"/>
    <x v="0"/>
    <s v="42"/>
    <n v="42"/>
    <m/>
    <s v="   "/>
    <n v="0.2"/>
    <n v="0.21659999999999999"/>
    <n v="0"/>
    <s v="Middle Counselor"/>
  </r>
  <r>
    <x v="4"/>
    <s v="Personnel"/>
    <s v="E "/>
    <x v="0"/>
    <x v="20"/>
    <s v="PSES Elem Prog21Duty45 S275"/>
    <x v="1"/>
    <s v="45"/>
    <n v="45"/>
    <m/>
    <s v="   "/>
    <n v="0.60799999999999998"/>
    <n v="0.21659999999999999"/>
    <n v="0.13200000000000001"/>
    <s v="Elementary Speech, Language Pathway/_x000a_Audio"/>
  </r>
  <r>
    <x v="4"/>
    <s v="Personnel"/>
    <s v="H "/>
    <x v="1"/>
    <x v="21"/>
    <s v="PSES High Prog21Duty45 S275"/>
    <x v="1"/>
    <s v="45"/>
    <n v="45"/>
    <m/>
    <s v="   "/>
    <n v="5.6000000000000001E-2"/>
    <n v="0.21659999999999999"/>
    <n v="1.2E-2"/>
    <s v="High Speech, Language Pathway/_x000a_Audio"/>
  </r>
  <r>
    <x v="4"/>
    <s v="Personnel"/>
    <s v="M "/>
    <x v="2"/>
    <x v="28"/>
    <s v="PSES Mid Prog21Duty45 S275"/>
    <x v="1"/>
    <s v="45"/>
    <n v="45"/>
    <m/>
    <s v="   "/>
    <n v="0.13600000000000001"/>
    <n v="0.21659999999999999"/>
    <n v="2.9000000000000001E-2"/>
    <s v="Middle Speech, Language Pathway/_x000a_Audio"/>
  </r>
  <r>
    <x v="4"/>
    <s v="Personnel"/>
    <s v="E "/>
    <x v="0"/>
    <x v="22"/>
    <s v="PSES Elem Prog21Duty46 S275"/>
    <x v="1"/>
    <s v="46"/>
    <n v="46"/>
    <m/>
    <s v="   "/>
    <n v="0.16700000000000001"/>
    <n v="0.21659999999999999"/>
    <n v="3.5999999999999997E-2"/>
    <s v="Elementary Psychologist"/>
  </r>
  <r>
    <x v="4"/>
    <s v="Personnel"/>
    <s v="H "/>
    <x v="1"/>
    <x v="23"/>
    <s v="PSES High Prog21Duty46 S275"/>
    <x v="1"/>
    <s v="46"/>
    <n v="46"/>
    <m/>
    <s v="   "/>
    <n v="0.16700000000000001"/>
    <n v="0.21659999999999999"/>
    <n v="3.5999999999999997E-2"/>
    <s v="High Psychologist"/>
  </r>
  <r>
    <x v="4"/>
    <s v="Personnel"/>
    <s v="M "/>
    <x v="2"/>
    <x v="24"/>
    <s v="PSES Mid Prog21Duty46 S275"/>
    <x v="1"/>
    <s v="46"/>
    <n v="46"/>
    <m/>
    <s v="   "/>
    <n v="0.16700000000000001"/>
    <n v="0.21659999999999999"/>
    <n v="3.5999999999999997E-2"/>
    <s v="Middle Psychologist"/>
  </r>
  <r>
    <x v="5"/>
    <s v="Personnel"/>
    <s v="H "/>
    <x v="1"/>
    <x v="1"/>
    <s v="PSES High Prog01Duty96 S275"/>
    <x v="0"/>
    <s v="24"/>
    <n v="96"/>
    <n v="24"/>
    <s v="   "/>
    <n v="2.3610000000000002"/>
    <n v="0.30080000000000001"/>
    <n v="0"/>
    <s v="High Family Engagement Coordinator"/>
  </r>
  <r>
    <x v="5"/>
    <s v="Personnel"/>
    <s v="H "/>
    <x v="1"/>
    <x v="4"/>
    <s v="PSES High Prog21Act25 S275"/>
    <x v="1"/>
    <s v="25"/>
    <m/>
    <n v="25"/>
    <s v="   "/>
    <n v="6.077"/>
    <n v="0.30080000000000001"/>
    <n v="1.8280000000000001"/>
    <s v="High Pupil Management"/>
  </r>
  <r>
    <x v="5"/>
    <s v="Personnel"/>
    <s v="H "/>
    <x v="1"/>
    <x v="5"/>
    <s v="PSES High Prog01Act25 S275"/>
    <x v="0"/>
    <s v="25"/>
    <m/>
    <n v="25"/>
    <s v="   "/>
    <n v="31.879000000000001"/>
    <n v="0.30080000000000001"/>
    <n v="0"/>
    <s v="High Pupil Management"/>
  </r>
  <r>
    <x v="5"/>
    <s v="Personnel"/>
    <s v="H "/>
    <x v="1"/>
    <x v="29"/>
    <s v="PSES High Prog21Act26 S275"/>
    <x v="1"/>
    <s v="26"/>
    <m/>
    <n v="26"/>
    <s v="   "/>
    <n v="5.7409999999999997"/>
    <n v="0.30080000000000001"/>
    <n v="1.7270000000000001"/>
    <s v="High Health/_x000a_Related Services"/>
  </r>
  <r>
    <x v="5"/>
    <s v="Personnel"/>
    <s v="H "/>
    <x v="1"/>
    <x v="9"/>
    <s v="PSES High Prog01Act26 S275"/>
    <x v="0"/>
    <s v="26"/>
    <m/>
    <n v="26"/>
    <s v="   "/>
    <n v="4.2389999999999999"/>
    <n v="0.30080000000000001"/>
    <n v="0"/>
    <s v="High Health/_x000a_Related Services"/>
  </r>
  <r>
    <x v="5"/>
    <s v="Personnel"/>
    <s v="E "/>
    <x v="0"/>
    <x v="30"/>
    <s v="PSES Elem Prog97Act35 S275"/>
    <x v="2"/>
    <s v="35"/>
    <m/>
    <n v="35"/>
    <s v="   "/>
    <n v="1.2"/>
    <n v="0.30080000000000001"/>
    <n v="0"/>
    <s v="Elementary Pupil Safety"/>
  </r>
  <r>
    <x v="5"/>
    <s v="Personnel"/>
    <s v="H "/>
    <x v="1"/>
    <x v="12"/>
    <s v="PSES High Prog97Act35 S275"/>
    <x v="2"/>
    <s v="35"/>
    <m/>
    <n v="35"/>
    <s v="   "/>
    <n v="10.901"/>
    <n v="0.30080000000000001"/>
    <n v="0"/>
    <s v="High Pupil Safety"/>
  </r>
  <r>
    <x v="5"/>
    <s v="Personnel"/>
    <s v="M "/>
    <x v="2"/>
    <x v="13"/>
    <s v="PSES Mid Prog97Act35 S275"/>
    <x v="2"/>
    <s v="35"/>
    <m/>
    <n v="35"/>
    <s v="   "/>
    <n v="2.4350000000000001"/>
    <n v="0.30080000000000001"/>
    <n v="0"/>
    <s v="Middle Pupil Safety"/>
  </r>
  <r>
    <x v="5"/>
    <s v="Personnel"/>
    <s v="E "/>
    <x v="0"/>
    <x v="15"/>
    <s v="PSES Elem Prog01Duty42 S275"/>
    <x v="0"/>
    <s v="42"/>
    <n v="42"/>
    <m/>
    <s v="   "/>
    <n v="20.2"/>
    <n v="0.30080000000000001"/>
    <n v="0"/>
    <s v="Elementary Counselor"/>
  </r>
  <r>
    <x v="5"/>
    <s v="Personnel"/>
    <s v="H "/>
    <x v="1"/>
    <x v="16"/>
    <s v="PSES High Prog01Duty42 S275"/>
    <x v="0"/>
    <s v="42"/>
    <n v="42"/>
    <m/>
    <s v="   "/>
    <n v="11.894"/>
    <n v="0.30080000000000001"/>
    <n v="0"/>
    <s v="High Counselor"/>
  </r>
  <r>
    <x v="5"/>
    <s v="Personnel"/>
    <s v="M "/>
    <x v="2"/>
    <x v="17"/>
    <s v="PSES Mid Prog01Duty42 S275"/>
    <x v="0"/>
    <s v="42"/>
    <n v="42"/>
    <m/>
    <s v="   "/>
    <n v="6.8"/>
    <n v="0.30080000000000001"/>
    <n v="0"/>
    <s v="Middle Counselor"/>
  </r>
  <r>
    <x v="5"/>
    <s v="Personnel"/>
    <s v="E "/>
    <x v="0"/>
    <x v="18"/>
    <s v="PSES Elem Prog21Duty43 S275"/>
    <x v="1"/>
    <s v="43"/>
    <n v="43"/>
    <m/>
    <s v="   "/>
    <n v="2.754"/>
    <n v="0.30080000000000001"/>
    <n v="0.82799999999999996"/>
    <s v="Elementary Occupational Therapist"/>
  </r>
  <r>
    <x v="5"/>
    <s v="Personnel"/>
    <s v="H "/>
    <x v="1"/>
    <x v="19"/>
    <s v="PSES High Prog21Duty43 S275"/>
    <x v="1"/>
    <s v="43"/>
    <n v="43"/>
    <m/>
    <s v="   "/>
    <n v="0.24"/>
    <n v="0.30080000000000001"/>
    <n v="7.1999999999999995E-2"/>
    <s v="High Occupational Therapist"/>
  </r>
  <r>
    <x v="5"/>
    <s v="Personnel"/>
    <s v="M "/>
    <x v="2"/>
    <x v="31"/>
    <s v="PSES Mid Prog21Duty43 S275"/>
    <x v="1"/>
    <s v="43"/>
    <n v="43"/>
    <m/>
    <s v="   "/>
    <n v="0.126"/>
    <n v="0.30080000000000001"/>
    <n v="3.7999999999999999E-2"/>
    <s v="Middle Occupational Therapist"/>
  </r>
  <r>
    <x v="5"/>
    <s v="Personnel"/>
    <s v="E "/>
    <x v="0"/>
    <x v="20"/>
    <s v="PSES Elem Prog21Duty45 S275"/>
    <x v="1"/>
    <s v="45"/>
    <n v="45"/>
    <m/>
    <s v="   "/>
    <n v="16.623999999999999"/>
    <n v="0.30080000000000001"/>
    <n v="5"/>
    <s v="Elementary Speech, Language Pathway/_x000a_Audio"/>
  </r>
  <r>
    <x v="5"/>
    <s v="Personnel"/>
    <s v="H "/>
    <x v="1"/>
    <x v="21"/>
    <s v="PSES High Prog21Duty45 S275"/>
    <x v="1"/>
    <s v="45"/>
    <n v="45"/>
    <m/>
    <s v="   "/>
    <n v="1.7"/>
    <n v="0.30080000000000001"/>
    <n v="0.51100000000000001"/>
    <s v="High Speech, Language Pathway/_x000a_Audio"/>
  </r>
  <r>
    <x v="5"/>
    <s v="Personnel"/>
    <s v="M "/>
    <x v="2"/>
    <x v="28"/>
    <s v="PSES Mid Prog21Duty45 S275"/>
    <x v="1"/>
    <s v="45"/>
    <n v="45"/>
    <m/>
    <s v="   "/>
    <n v="1.3819999999999999"/>
    <n v="0.30080000000000001"/>
    <n v="0.41599999999999998"/>
    <s v="Middle Speech, Language Pathway/_x000a_Audio"/>
  </r>
  <r>
    <x v="5"/>
    <s v="Personnel"/>
    <s v="E "/>
    <x v="0"/>
    <x v="22"/>
    <s v="PSES Elem Prog21Duty46 S275"/>
    <x v="1"/>
    <s v="46"/>
    <n v="46"/>
    <m/>
    <s v="   "/>
    <n v="6.8739999999999997"/>
    <n v="0.30080000000000001"/>
    <n v="2.0680000000000001"/>
    <s v="Elementary Psychologist"/>
  </r>
  <r>
    <x v="5"/>
    <s v="Personnel"/>
    <s v="H "/>
    <x v="1"/>
    <x v="23"/>
    <s v="PSES High Prog21Duty46 S275"/>
    <x v="1"/>
    <s v="46"/>
    <n v="46"/>
    <m/>
    <s v="   "/>
    <n v="3.75"/>
    <n v="0.30080000000000001"/>
    <n v="1.1279999999999999"/>
    <s v="High Psychologist"/>
  </r>
  <r>
    <x v="5"/>
    <s v="Personnel"/>
    <s v="M "/>
    <x v="2"/>
    <x v="24"/>
    <s v="PSES Mid Prog21Duty46 S275"/>
    <x v="1"/>
    <s v="46"/>
    <n v="46"/>
    <m/>
    <s v="   "/>
    <n v="2.4460000000000002"/>
    <n v="0.30080000000000001"/>
    <n v="0.73599999999999999"/>
    <s v="Middle Psychologist"/>
  </r>
  <r>
    <x v="5"/>
    <s v="Personnel"/>
    <s v="E "/>
    <x v="0"/>
    <x v="32"/>
    <s v="PSES Elem Prog21Duty47 S275"/>
    <x v="1"/>
    <s v="47"/>
    <n v="47"/>
    <m/>
    <s v="   "/>
    <n v="0.05"/>
    <n v="0.30080000000000001"/>
    <n v="1.4999999999999999E-2"/>
    <s v="Elementary Nurse"/>
  </r>
  <r>
    <x v="5"/>
    <s v="Personnel"/>
    <s v="E "/>
    <x v="0"/>
    <x v="27"/>
    <s v="PSES Elem Prog01Duty47 S275"/>
    <x v="0"/>
    <s v="47"/>
    <n v="47"/>
    <m/>
    <s v="   "/>
    <n v="8.0860000000000003"/>
    <n v="0.30080000000000001"/>
    <n v="0"/>
    <s v="Elementary Nurse"/>
  </r>
  <r>
    <x v="5"/>
    <s v="Personnel"/>
    <s v="H "/>
    <x v="1"/>
    <x v="25"/>
    <s v="PSES High Prog01Duty47 S275"/>
    <x v="0"/>
    <s v="47"/>
    <n v="47"/>
    <m/>
    <s v="   "/>
    <n v="3.35"/>
    <n v="0.30080000000000001"/>
    <n v="0"/>
    <s v="High Nurse"/>
  </r>
  <r>
    <x v="5"/>
    <s v="Personnel"/>
    <s v="M "/>
    <x v="2"/>
    <x v="33"/>
    <s v="PSES Mid Prog21Duty47 S275"/>
    <x v="1"/>
    <s v="47"/>
    <n v="47"/>
    <m/>
    <s v="   "/>
    <n v="0.1"/>
    <n v="0.30080000000000001"/>
    <n v="0.03"/>
    <s v="Middle Nurse"/>
  </r>
  <r>
    <x v="5"/>
    <s v="Personnel"/>
    <s v="M "/>
    <x v="2"/>
    <x v="34"/>
    <s v="PSES Mid Prog01Duty47 S275"/>
    <x v="0"/>
    <s v="47"/>
    <n v="47"/>
    <m/>
    <s v="   "/>
    <n v="7.0140000000000002"/>
    <n v="0.30080000000000001"/>
    <n v="0"/>
    <s v="Middle Nurse"/>
  </r>
  <r>
    <x v="5"/>
    <s v="Personnel"/>
    <s v="E "/>
    <x v="0"/>
    <x v="35"/>
    <s v="PSES Elem Prog21Duty48 S275"/>
    <x v="1"/>
    <s v="48"/>
    <n v="48"/>
    <m/>
    <s v="   "/>
    <n v="2.4700000000000002"/>
    <n v="0.30080000000000001"/>
    <n v="0.74299999999999999"/>
    <s v="Elementary Physical Therapist"/>
  </r>
  <r>
    <x v="5"/>
    <s v="Personnel"/>
    <s v="H "/>
    <x v="1"/>
    <x v="36"/>
    <s v="PSES High Prog21Duty48 S275"/>
    <x v="1"/>
    <s v="48"/>
    <n v="48"/>
    <m/>
    <s v="   "/>
    <n v="0.2"/>
    <n v="0.30080000000000001"/>
    <n v="0.06"/>
    <s v="High Physical Therapist"/>
  </r>
  <r>
    <x v="5"/>
    <s v="Personnel"/>
    <s v="M "/>
    <x v="2"/>
    <x v="37"/>
    <s v="PSES Mid Prog21Duty48 S275"/>
    <x v="1"/>
    <s v="48"/>
    <n v="48"/>
    <m/>
    <s v="   "/>
    <n v="0.05"/>
    <n v="0.30080000000000001"/>
    <n v="1.4999999999999999E-2"/>
    <s v="Middle Physical Therapist"/>
  </r>
  <r>
    <x v="6"/>
    <s v="Personnel"/>
    <s v="E "/>
    <x v="0"/>
    <x v="38"/>
    <s v="PSES Elem Prog21Duty64 S275"/>
    <x v="1"/>
    <s v="64"/>
    <n v="64"/>
    <m/>
    <s v="   "/>
    <n v="0.5"/>
    <n v="8.4199999999999997E-2"/>
    <n v="4.2000000000000003E-2"/>
    <s v="Elementary Contractor ESA"/>
  </r>
  <r>
    <x v="6"/>
    <s v="Personnel"/>
    <s v="E "/>
    <x v="0"/>
    <x v="39"/>
    <s v="PSES Elem Prog01Duty64 S275"/>
    <x v="0"/>
    <s v="64"/>
    <n v="64"/>
    <m/>
    <s v="   "/>
    <n v="0.5"/>
    <n v="8.4199999999999997E-2"/>
    <n v="0"/>
    <s v="Elementary Contractor ESA"/>
  </r>
  <r>
    <x v="7"/>
    <s v="Personnel"/>
    <s v="H "/>
    <x v="1"/>
    <x v="5"/>
    <s v="PSES High Prog01Act25 S275"/>
    <x v="0"/>
    <s v="25"/>
    <m/>
    <n v="25"/>
    <s v="   "/>
    <n v="4.1239999999999997"/>
    <n v="0.21010000000000001"/>
    <n v="0"/>
    <s v="High Pupil Management"/>
  </r>
  <r>
    <x v="7"/>
    <s v="Personnel"/>
    <s v="H "/>
    <x v="1"/>
    <x v="29"/>
    <s v="PSES High Prog21Act26 S275"/>
    <x v="1"/>
    <s v="26"/>
    <m/>
    <n v="26"/>
    <s v="   "/>
    <n v="1.2190000000000001"/>
    <n v="0.21010000000000001"/>
    <n v="0.25600000000000001"/>
    <s v="High Health/_x000a_Related Services"/>
  </r>
  <r>
    <x v="7"/>
    <s v="Personnel"/>
    <s v="H "/>
    <x v="1"/>
    <x v="9"/>
    <s v="PSES High Prog01Act26 S275"/>
    <x v="0"/>
    <s v="26"/>
    <m/>
    <n v="26"/>
    <s v="   "/>
    <n v="0.54800000000000004"/>
    <n v="0.21010000000000001"/>
    <n v="0"/>
    <s v="High Health/_x000a_Related Services"/>
  </r>
  <r>
    <x v="7"/>
    <s v="Personnel"/>
    <s v="E "/>
    <x v="0"/>
    <x v="15"/>
    <s v="PSES Elem Prog01Duty42 S275"/>
    <x v="0"/>
    <s v="42"/>
    <n v="42"/>
    <m/>
    <s v="   "/>
    <n v="1"/>
    <n v="0.21010000000000001"/>
    <n v="0"/>
    <s v="Elementary Counselor"/>
  </r>
  <r>
    <x v="7"/>
    <s v="Personnel"/>
    <s v="H "/>
    <x v="1"/>
    <x v="16"/>
    <s v="PSES High Prog01Duty42 S275"/>
    <x v="0"/>
    <s v="42"/>
    <n v="42"/>
    <m/>
    <s v="   "/>
    <n v="1.5069999999999999"/>
    <n v="0.21010000000000001"/>
    <n v="0"/>
    <s v="High Counselor"/>
  </r>
  <r>
    <x v="7"/>
    <s v="Personnel"/>
    <s v="E "/>
    <x v="0"/>
    <x v="18"/>
    <s v="PSES Elem Prog21Duty43 S275"/>
    <x v="1"/>
    <s v="43"/>
    <n v="43"/>
    <m/>
    <s v="   "/>
    <n v="0.4"/>
    <n v="0.21010000000000001"/>
    <n v="8.4000000000000005E-2"/>
    <s v="Elementary Occupational Therapist"/>
  </r>
  <r>
    <x v="7"/>
    <s v="Personnel"/>
    <s v="E "/>
    <x v="0"/>
    <x v="22"/>
    <s v="PSES Elem Prog21Duty46 S275"/>
    <x v="1"/>
    <s v="46"/>
    <n v="46"/>
    <m/>
    <s v="   "/>
    <n v="0.47499999999999998"/>
    <n v="0.21010000000000001"/>
    <n v="0.1"/>
    <s v="Elementary Psychologist"/>
  </r>
  <r>
    <x v="7"/>
    <s v="Personnel"/>
    <s v="H "/>
    <x v="1"/>
    <x v="23"/>
    <s v="PSES High Prog21Duty46 S275"/>
    <x v="1"/>
    <s v="46"/>
    <n v="46"/>
    <m/>
    <s v="   "/>
    <n v="0.20200000000000001"/>
    <n v="0.21010000000000001"/>
    <n v="4.2000000000000003E-2"/>
    <s v="High Psychologist"/>
  </r>
  <r>
    <x v="7"/>
    <s v="Personnel"/>
    <s v="M "/>
    <x v="2"/>
    <x v="24"/>
    <s v="PSES Mid Prog21Duty46 S275"/>
    <x v="1"/>
    <s v="46"/>
    <n v="46"/>
    <m/>
    <s v="   "/>
    <n v="0.32300000000000001"/>
    <n v="0.21010000000000001"/>
    <n v="6.8000000000000005E-2"/>
    <s v="Middle Psychologist"/>
  </r>
  <r>
    <x v="8"/>
    <s v="Personnel"/>
    <s v="E "/>
    <x v="0"/>
    <x v="3"/>
    <s v="PSES Elem Prog01Act25 S275"/>
    <x v="0"/>
    <s v="25"/>
    <m/>
    <n v="25"/>
    <s v="   "/>
    <n v="0.94099999999999995"/>
    <n v="0.27039999999999997"/>
    <n v="0"/>
    <s v="Elementary Pupil Management"/>
  </r>
  <r>
    <x v="8"/>
    <s v="Personnel"/>
    <s v="H "/>
    <x v="1"/>
    <x v="5"/>
    <s v="PSES High Prog01Act25 S275"/>
    <x v="0"/>
    <s v="25"/>
    <m/>
    <n v="25"/>
    <s v="   "/>
    <n v="0.36799999999999999"/>
    <n v="0.27039999999999997"/>
    <n v="0"/>
    <s v="High Pupil Management"/>
  </r>
  <r>
    <x v="8"/>
    <s v="Personnel"/>
    <s v="M "/>
    <x v="2"/>
    <x v="6"/>
    <s v="PSES Mid Prog01Act25 S275"/>
    <x v="0"/>
    <s v="25"/>
    <m/>
    <n v="25"/>
    <s v="   "/>
    <n v="0.27500000000000002"/>
    <n v="0.27039999999999997"/>
    <n v="0"/>
    <s v="Middle Pupil Management"/>
  </r>
  <r>
    <x v="8"/>
    <s v="Personnel"/>
    <s v="E "/>
    <x v="0"/>
    <x v="8"/>
    <s v="PSES Elem Prog01Act26 S275"/>
    <x v="0"/>
    <s v="26"/>
    <m/>
    <n v="26"/>
    <s v="   "/>
    <n v="0.41299999999999998"/>
    <n v="0.27039999999999997"/>
    <n v="0"/>
    <s v="Elementary Health/_x000a_Related Services"/>
  </r>
  <r>
    <x v="8"/>
    <s v="Personnel"/>
    <s v="E "/>
    <x v="0"/>
    <x v="15"/>
    <s v="PSES Elem Prog01Duty42 S275"/>
    <x v="0"/>
    <s v="42"/>
    <n v="42"/>
    <m/>
    <s v="   "/>
    <n v="0.4"/>
    <n v="0.27039999999999997"/>
    <n v="0"/>
    <s v="Elementary Counselor"/>
  </r>
  <r>
    <x v="8"/>
    <s v="Personnel"/>
    <s v="H "/>
    <x v="1"/>
    <x v="16"/>
    <s v="PSES High Prog01Duty42 S275"/>
    <x v="0"/>
    <s v="42"/>
    <n v="42"/>
    <m/>
    <s v="   "/>
    <n v="0.8"/>
    <n v="0.27039999999999997"/>
    <n v="0"/>
    <s v="High Counselor"/>
  </r>
  <r>
    <x v="8"/>
    <s v="Personnel"/>
    <s v="M "/>
    <x v="2"/>
    <x v="17"/>
    <s v="PSES Mid Prog01Duty42 S275"/>
    <x v="0"/>
    <s v="42"/>
    <n v="42"/>
    <m/>
    <s v="   "/>
    <n v="0.4"/>
    <n v="0.27039999999999997"/>
    <n v="0"/>
    <s v="Middle Counselor"/>
  </r>
  <r>
    <x v="8"/>
    <s v="Personnel"/>
    <s v="E "/>
    <x v="0"/>
    <x v="20"/>
    <s v="PSES Elem Prog21Duty45 S275"/>
    <x v="1"/>
    <s v="45"/>
    <n v="45"/>
    <m/>
    <s v="   "/>
    <n v="1"/>
    <n v="0.27039999999999997"/>
    <n v="0.27"/>
    <s v="Elementary Speech, Language Pathway/_x000a_Audio"/>
  </r>
  <r>
    <x v="8"/>
    <s v="Personnel"/>
    <s v="E "/>
    <x v="0"/>
    <x v="22"/>
    <s v="PSES Elem Prog21Duty46 S275"/>
    <x v="1"/>
    <s v="46"/>
    <n v="46"/>
    <m/>
    <s v="   "/>
    <n v="1"/>
    <n v="0.27039999999999997"/>
    <n v="0.27"/>
    <s v="Elementary Psychologist"/>
  </r>
  <r>
    <x v="9"/>
    <s v="Personnel"/>
    <s v="E "/>
    <x v="0"/>
    <x v="3"/>
    <s v="PSES Elem Prog01Act25 S275"/>
    <x v="0"/>
    <s v="25"/>
    <m/>
    <n v="25"/>
    <s v="   "/>
    <n v="7.3999999999999996E-2"/>
    <n v="0.28079999999999999"/>
    <n v="0"/>
    <s v="Elementary Pupil Management"/>
  </r>
  <r>
    <x v="9"/>
    <s v="Personnel"/>
    <s v="H "/>
    <x v="1"/>
    <x v="5"/>
    <s v="PSES High Prog01Act25 S275"/>
    <x v="0"/>
    <s v="25"/>
    <m/>
    <n v="25"/>
    <s v="   "/>
    <n v="7.532"/>
    <n v="0.28079999999999999"/>
    <n v="0"/>
    <s v="High Pupil Management"/>
  </r>
  <r>
    <x v="9"/>
    <s v="Personnel"/>
    <s v="E "/>
    <x v="0"/>
    <x v="7"/>
    <s v="PSES Elem Prog21Act26 S275"/>
    <x v="1"/>
    <s v="26"/>
    <m/>
    <n v="26"/>
    <s v="   "/>
    <n v="0.60599999999999998"/>
    <n v="0.28079999999999999"/>
    <n v="0.17"/>
    <s v="Elementary Health/_x000a_Related Services"/>
  </r>
  <r>
    <x v="9"/>
    <s v="Personnel"/>
    <s v="E "/>
    <x v="0"/>
    <x v="8"/>
    <s v="PSES Elem Prog01Act26 S275"/>
    <x v="0"/>
    <s v="26"/>
    <m/>
    <n v="26"/>
    <s v="   "/>
    <n v="0.63900000000000001"/>
    <n v="0.28079999999999999"/>
    <n v="0"/>
    <s v="Elementary Health/_x000a_Related Services"/>
  </r>
  <r>
    <x v="9"/>
    <s v="Personnel"/>
    <s v="H "/>
    <x v="1"/>
    <x v="29"/>
    <s v="PSES High Prog21Act26 S275"/>
    <x v="1"/>
    <s v="26"/>
    <m/>
    <n v="26"/>
    <s v="   "/>
    <n v="1.246"/>
    <n v="0.28079999999999999"/>
    <n v="0.35"/>
    <s v="High Health/_x000a_Related Services"/>
  </r>
  <r>
    <x v="9"/>
    <s v="Personnel"/>
    <s v="H "/>
    <x v="1"/>
    <x v="9"/>
    <s v="PSES High Prog01Act26 S275"/>
    <x v="0"/>
    <s v="26"/>
    <m/>
    <n v="26"/>
    <s v="   "/>
    <n v="3.2559999999999998"/>
    <n v="0.28079999999999999"/>
    <n v="0"/>
    <s v="High Health/_x000a_Related Services"/>
  </r>
  <r>
    <x v="9"/>
    <s v="Personnel"/>
    <s v="E "/>
    <x v="0"/>
    <x v="15"/>
    <s v="PSES Elem Prog01Duty42 S275"/>
    <x v="0"/>
    <s v="42"/>
    <n v="42"/>
    <m/>
    <s v="   "/>
    <n v="3"/>
    <n v="0.28079999999999999"/>
    <n v="0"/>
    <s v="Elementary Counselor"/>
  </r>
  <r>
    <x v="9"/>
    <s v="Personnel"/>
    <s v="H "/>
    <x v="1"/>
    <x v="16"/>
    <s v="PSES High Prog01Duty42 S275"/>
    <x v="0"/>
    <s v="42"/>
    <n v="42"/>
    <m/>
    <s v="   "/>
    <n v="1.52"/>
    <n v="0.28079999999999999"/>
    <n v="0"/>
    <s v="High Counselor"/>
  </r>
  <r>
    <x v="9"/>
    <s v="Personnel"/>
    <s v="M "/>
    <x v="2"/>
    <x v="17"/>
    <s v="PSES Mid Prog01Duty42 S275"/>
    <x v="0"/>
    <s v="42"/>
    <n v="42"/>
    <m/>
    <s v="   "/>
    <n v="2"/>
    <n v="0.28079999999999999"/>
    <n v="0"/>
    <s v="Middle Counselor"/>
  </r>
  <r>
    <x v="9"/>
    <s v="Personnel"/>
    <s v="H "/>
    <x v="1"/>
    <x v="19"/>
    <s v="PSES High Prog21Duty43 S275"/>
    <x v="1"/>
    <s v="43"/>
    <n v="43"/>
    <m/>
    <s v="   "/>
    <n v="1"/>
    <n v="0.28079999999999999"/>
    <n v="0.28100000000000003"/>
    <s v="High Occupational Therapist"/>
  </r>
  <r>
    <x v="9"/>
    <s v="Personnel"/>
    <s v="E "/>
    <x v="0"/>
    <x v="20"/>
    <s v="PSES Elem Prog21Duty45 S275"/>
    <x v="1"/>
    <s v="45"/>
    <n v="45"/>
    <m/>
    <s v="   "/>
    <n v="1.04"/>
    <n v="0.28079999999999999"/>
    <n v="0.29199999999999998"/>
    <s v="Elementary Speech, Language Pathway/_x000a_Audio"/>
  </r>
  <r>
    <x v="9"/>
    <s v="Personnel"/>
    <s v="H "/>
    <x v="1"/>
    <x v="21"/>
    <s v="PSES High Prog21Duty45 S275"/>
    <x v="1"/>
    <s v="45"/>
    <n v="45"/>
    <m/>
    <s v="   "/>
    <n v="1.1599999999999999"/>
    <n v="0.28079999999999999"/>
    <n v="0.32600000000000001"/>
    <s v="High Speech, Language Pathway/_x000a_Audio"/>
  </r>
  <r>
    <x v="9"/>
    <s v="Personnel"/>
    <s v="M "/>
    <x v="2"/>
    <x v="28"/>
    <s v="PSES Mid Prog21Duty45 S275"/>
    <x v="1"/>
    <s v="45"/>
    <n v="45"/>
    <m/>
    <s v="   "/>
    <n v="0.8"/>
    <n v="0.28079999999999999"/>
    <n v="0.22500000000000001"/>
    <s v="Middle Speech, Language Pathway/_x000a_Audio"/>
  </r>
  <r>
    <x v="9"/>
    <s v="Personnel"/>
    <s v="E "/>
    <x v="0"/>
    <x v="35"/>
    <s v="PSES Elem Prog21Duty48 S275"/>
    <x v="1"/>
    <s v="48"/>
    <n v="48"/>
    <m/>
    <s v="   "/>
    <n v="0.34399999999999997"/>
    <n v="0.28079999999999999"/>
    <n v="9.7000000000000003E-2"/>
    <s v="Elementary Physical Therapist"/>
  </r>
  <r>
    <x v="9"/>
    <s v="Personnel"/>
    <s v="H "/>
    <x v="1"/>
    <x v="36"/>
    <s v="PSES High Prog21Duty48 S275"/>
    <x v="1"/>
    <s v="48"/>
    <n v="48"/>
    <m/>
    <s v="   "/>
    <n v="0.31"/>
    <n v="0.28079999999999999"/>
    <n v="8.6999999999999994E-2"/>
    <s v="High Physical Therapist"/>
  </r>
  <r>
    <x v="9"/>
    <s v="Personnel"/>
    <s v="M "/>
    <x v="2"/>
    <x v="37"/>
    <s v="PSES Mid Prog21Duty48 S275"/>
    <x v="1"/>
    <s v="48"/>
    <n v="48"/>
    <m/>
    <s v="   "/>
    <n v="0.20599999999999999"/>
    <n v="0.28079999999999999"/>
    <n v="5.8000000000000003E-2"/>
    <s v="Middle Physical Therapist"/>
  </r>
  <r>
    <x v="10"/>
    <s v="Personnel"/>
    <s v="H "/>
    <x v="1"/>
    <x v="4"/>
    <s v="PSES High Prog21Act25 S275"/>
    <x v="1"/>
    <s v="25"/>
    <m/>
    <n v="25"/>
    <s v="   "/>
    <n v="6.8129999999999997"/>
    <n v="0.26869999999999999"/>
    <n v="1.831"/>
    <s v="High Pupil Management"/>
  </r>
  <r>
    <x v="10"/>
    <s v="Personnel"/>
    <s v="H "/>
    <x v="1"/>
    <x v="5"/>
    <s v="PSES High Prog01Act25 S275"/>
    <x v="0"/>
    <s v="25"/>
    <m/>
    <n v="25"/>
    <s v="   "/>
    <n v="3.645"/>
    <n v="0.26869999999999999"/>
    <n v="0"/>
    <s v="High Pupil Management"/>
  </r>
  <r>
    <x v="10"/>
    <s v="Personnel"/>
    <s v="H "/>
    <x v="1"/>
    <x v="29"/>
    <s v="PSES High Prog21Act26 S275"/>
    <x v="1"/>
    <s v="26"/>
    <m/>
    <n v="26"/>
    <s v="   "/>
    <n v="5.6"/>
    <n v="0.26869999999999999"/>
    <n v="1.5049999999999999"/>
    <s v="High Health/_x000a_Related Services"/>
  </r>
  <r>
    <x v="10"/>
    <s v="Personnel"/>
    <s v="H "/>
    <x v="1"/>
    <x v="9"/>
    <s v="PSES High Prog01Act26 S275"/>
    <x v="0"/>
    <s v="26"/>
    <m/>
    <n v="26"/>
    <s v="   "/>
    <n v="8.9109999999999996"/>
    <n v="0.26869999999999999"/>
    <n v="0"/>
    <s v="High Health/_x000a_Related Services"/>
  </r>
  <r>
    <x v="10"/>
    <s v="Personnel"/>
    <s v="E "/>
    <x v="0"/>
    <x v="14"/>
    <s v="PSES Elem Prog21Duty39 S275"/>
    <x v="1"/>
    <s v="39"/>
    <n v="39"/>
    <m/>
    <s v="   "/>
    <n v="1"/>
    <n v="0.26869999999999999"/>
    <n v="0.26900000000000002"/>
    <s v="Elementary Orientation &amp; Mobility Specialist"/>
  </r>
  <r>
    <x v="10"/>
    <s v="Personnel"/>
    <s v="E "/>
    <x v="0"/>
    <x v="40"/>
    <s v="PSES Elem Prog01Duty39 S275"/>
    <x v="0"/>
    <s v="39"/>
    <n v="39"/>
    <m/>
    <s v="   "/>
    <n v="1"/>
    <n v="0.26869999999999999"/>
    <n v="0"/>
    <s v="Elementary Orientation &amp; Mobility Specialist"/>
  </r>
  <r>
    <x v="10"/>
    <s v="Personnel"/>
    <s v="E "/>
    <x v="0"/>
    <x v="15"/>
    <s v="PSES Elem Prog01Duty42 S275"/>
    <x v="0"/>
    <s v="42"/>
    <n v="42"/>
    <m/>
    <s v="   "/>
    <n v="11.445"/>
    <n v="0.26869999999999999"/>
    <n v="0"/>
    <s v="Elementary Counselor"/>
  </r>
  <r>
    <x v="10"/>
    <s v="Personnel"/>
    <s v="H "/>
    <x v="1"/>
    <x v="16"/>
    <s v="PSES High Prog01Duty42 S275"/>
    <x v="0"/>
    <s v="42"/>
    <n v="42"/>
    <m/>
    <s v="   "/>
    <n v="15"/>
    <n v="0.26869999999999999"/>
    <n v="0"/>
    <s v="High Counselor"/>
  </r>
  <r>
    <x v="10"/>
    <s v="Personnel"/>
    <s v="M "/>
    <x v="2"/>
    <x v="17"/>
    <s v="PSES Mid Prog01Duty42 S275"/>
    <x v="0"/>
    <s v="42"/>
    <n v="42"/>
    <m/>
    <s v="   "/>
    <n v="9.8000000000000007"/>
    <n v="0.26869999999999999"/>
    <n v="0"/>
    <s v="Middle Counselor"/>
  </r>
  <r>
    <x v="10"/>
    <s v="Personnel"/>
    <s v="E "/>
    <x v="0"/>
    <x v="18"/>
    <s v="PSES Elem Prog21Duty43 S275"/>
    <x v="1"/>
    <s v="43"/>
    <n v="43"/>
    <m/>
    <s v="   "/>
    <n v="8.2129999999999992"/>
    <n v="0.26869999999999999"/>
    <n v="2.2069999999999999"/>
    <s v="Elementary Occupational Therapist"/>
  </r>
  <r>
    <x v="10"/>
    <s v="Personnel"/>
    <s v="E "/>
    <x v="0"/>
    <x v="41"/>
    <s v="PSES Elem Prog21Duty44 S275"/>
    <x v="1"/>
    <s v="44"/>
    <n v="44"/>
    <m/>
    <s v="   "/>
    <n v="0.5"/>
    <n v="0.26869999999999999"/>
    <n v="0.13400000000000001"/>
    <s v="Elementary Social Worker"/>
  </r>
  <r>
    <x v="10"/>
    <s v="Personnel"/>
    <s v="E "/>
    <x v="0"/>
    <x v="42"/>
    <s v="PSES Elem Prog01Duty44 S275"/>
    <x v="0"/>
    <s v="44"/>
    <n v="44"/>
    <m/>
    <s v="   "/>
    <n v="0.5"/>
    <n v="0.26869999999999999"/>
    <n v="0"/>
    <s v="Elementary Social Worker"/>
  </r>
  <r>
    <x v="10"/>
    <s v="Personnel"/>
    <s v="H "/>
    <x v="1"/>
    <x v="43"/>
    <s v="PSES High Prog21Duty44 S275"/>
    <x v="1"/>
    <s v="44"/>
    <n v="44"/>
    <m/>
    <s v="   "/>
    <n v="0.5"/>
    <n v="0.26869999999999999"/>
    <n v="0.13400000000000001"/>
    <s v="High Social Worker"/>
  </r>
  <r>
    <x v="10"/>
    <s v="Personnel"/>
    <s v="H "/>
    <x v="1"/>
    <x v="44"/>
    <s v="PSES High Prog01Duty44 S275"/>
    <x v="0"/>
    <s v="44"/>
    <n v="44"/>
    <m/>
    <s v="   "/>
    <n v="2.5"/>
    <n v="0.26869999999999999"/>
    <n v="0"/>
    <s v="High Social Worker"/>
  </r>
  <r>
    <x v="10"/>
    <s v="Personnel"/>
    <s v="M "/>
    <x v="2"/>
    <x v="45"/>
    <s v="PSES Mid Prog21Duty44 S275"/>
    <x v="1"/>
    <s v="44"/>
    <n v="44"/>
    <m/>
    <s v="   "/>
    <n v="1"/>
    <n v="0.26869999999999999"/>
    <n v="0.26900000000000002"/>
    <s v="Middle Social Worker"/>
  </r>
  <r>
    <x v="10"/>
    <s v="Personnel"/>
    <s v="M "/>
    <x v="2"/>
    <x v="46"/>
    <s v="PSES Mid Prog01Duty44 S275"/>
    <x v="0"/>
    <s v="44"/>
    <n v="44"/>
    <m/>
    <s v="   "/>
    <n v="1"/>
    <n v="0.26869999999999999"/>
    <n v="0"/>
    <s v="Middle Social Worker"/>
  </r>
  <r>
    <x v="10"/>
    <s v="Personnel"/>
    <s v="E "/>
    <x v="0"/>
    <x v="20"/>
    <s v="PSES Elem Prog21Duty45 S275"/>
    <x v="1"/>
    <s v="45"/>
    <n v="45"/>
    <m/>
    <s v="   "/>
    <n v="16.8"/>
    <n v="0.26869999999999999"/>
    <n v="4.5140000000000002"/>
    <s v="Elementary Speech, Language Pathway/_x000a_Audio"/>
  </r>
  <r>
    <x v="10"/>
    <s v="Personnel"/>
    <s v="E "/>
    <x v="0"/>
    <x v="47"/>
    <s v="PSES Elem Prog01Duty45 S275"/>
    <x v="0"/>
    <s v="45"/>
    <n v="45"/>
    <m/>
    <s v="   "/>
    <n v="1"/>
    <n v="0.26869999999999999"/>
    <n v="0"/>
    <s v="Elementary Speech, Language Pathway/_x000a_Audio"/>
  </r>
  <r>
    <x v="10"/>
    <s v="Personnel"/>
    <s v="H "/>
    <x v="1"/>
    <x v="21"/>
    <s v="PSES High Prog21Duty45 S275"/>
    <x v="1"/>
    <s v="45"/>
    <n v="45"/>
    <m/>
    <s v="   "/>
    <n v="2"/>
    <n v="0.26869999999999999"/>
    <n v="0.53700000000000003"/>
    <s v="High Speech, Language Pathway/_x000a_Audio"/>
  </r>
  <r>
    <x v="10"/>
    <s v="Personnel"/>
    <s v="M "/>
    <x v="2"/>
    <x v="28"/>
    <s v="PSES Mid Prog21Duty45 S275"/>
    <x v="1"/>
    <s v="45"/>
    <n v="45"/>
    <m/>
    <s v="   "/>
    <n v="1.8"/>
    <n v="0.26869999999999999"/>
    <n v="0.48399999999999999"/>
    <s v="Middle Speech, Language Pathway/_x000a_Audio"/>
  </r>
  <r>
    <x v="10"/>
    <s v="Personnel"/>
    <s v="E "/>
    <x v="0"/>
    <x v="22"/>
    <s v="PSES Elem Prog21Duty46 S275"/>
    <x v="1"/>
    <s v="46"/>
    <n v="46"/>
    <m/>
    <s v="   "/>
    <n v="7.9"/>
    <n v="0.26869999999999999"/>
    <n v="2.1230000000000002"/>
    <s v="Elementary Psychologist"/>
  </r>
  <r>
    <x v="10"/>
    <s v="Personnel"/>
    <s v="E "/>
    <x v="0"/>
    <x v="48"/>
    <s v="PSES Elem Prog01Duty46 S275"/>
    <x v="0"/>
    <s v="46"/>
    <n v="46"/>
    <m/>
    <s v="   "/>
    <n v="4.9000000000000004"/>
    <n v="0.26869999999999999"/>
    <n v="0"/>
    <s v="Elementary Psychologist"/>
  </r>
  <r>
    <x v="10"/>
    <s v="Personnel"/>
    <s v="H "/>
    <x v="1"/>
    <x v="23"/>
    <s v="PSES High Prog21Duty46 S275"/>
    <x v="1"/>
    <s v="46"/>
    <n v="46"/>
    <m/>
    <s v="   "/>
    <n v="4"/>
    <n v="0.26869999999999999"/>
    <n v="1.075"/>
    <s v="High Psychologist"/>
  </r>
  <r>
    <x v="10"/>
    <s v="Personnel"/>
    <s v="M "/>
    <x v="2"/>
    <x v="24"/>
    <s v="PSES Mid Prog21Duty46 S275"/>
    <x v="1"/>
    <s v="46"/>
    <n v="46"/>
    <m/>
    <s v="   "/>
    <n v="2.5"/>
    <n v="0.26869999999999999"/>
    <n v="0.67200000000000004"/>
    <s v="Middle Psychologist"/>
  </r>
  <r>
    <x v="10"/>
    <s v="Personnel"/>
    <s v="M "/>
    <x v="2"/>
    <x v="49"/>
    <s v="PSES Mid Prog01Duty46 S275"/>
    <x v="0"/>
    <s v="46"/>
    <n v="46"/>
    <m/>
    <s v="   "/>
    <n v="0.5"/>
    <n v="0.26869999999999999"/>
    <n v="0"/>
    <s v="Middle Psychologist"/>
  </r>
  <r>
    <x v="10"/>
    <s v="Personnel"/>
    <s v="E "/>
    <x v="0"/>
    <x v="27"/>
    <s v="PSES Elem Prog01Duty47 S275"/>
    <x v="0"/>
    <s v="47"/>
    <n v="47"/>
    <m/>
    <s v="   "/>
    <n v="9.6"/>
    <n v="0.26869999999999999"/>
    <n v="0"/>
    <s v="Elementary Nurse"/>
  </r>
  <r>
    <x v="10"/>
    <s v="Personnel"/>
    <s v="H "/>
    <x v="1"/>
    <x v="25"/>
    <s v="PSES High Prog01Duty47 S275"/>
    <x v="0"/>
    <s v="47"/>
    <n v="47"/>
    <m/>
    <s v="   "/>
    <n v="3"/>
    <n v="0.26869999999999999"/>
    <n v="0"/>
    <s v="High Nurse"/>
  </r>
  <r>
    <x v="10"/>
    <s v="Personnel"/>
    <s v="M "/>
    <x v="2"/>
    <x v="34"/>
    <s v="PSES Mid Prog01Duty47 S275"/>
    <x v="0"/>
    <s v="47"/>
    <n v="47"/>
    <m/>
    <s v="   "/>
    <n v="3"/>
    <n v="0.26869999999999999"/>
    <n v="0"/>
    <s v="Middle Nurse"/>
  </r>
  <r>
    <x v="10"/>
    <s v="Personnel"/>
    <s v="E "/>
    <x v="0"/>
    <x v="35"/>
    <s v="PSES Elem Prog21Duty48 S275"/>
    <x v="1"/>
    <s v="48"/>
    <n v="48"/>
    <m/>
    <s v="   "/>
    <n v="4"/>
    <n v="0.26869999999999999"/>
    <n v="1.075"/>
    <s v="Elementary Physical Therapist"/>
  </r>
  <r>
    <x v="10"/>
    <s v="Personnel"/>
    <s v="M "/>
    <x v="2"/>
    <x v="50"/>
    <s v="PSES Mid Prog21Duty49 S275"/>
    <x v="1"/>
    <s v="49"/>
    <n v="49"/>
    <m/>
    <s v="   "/>
    <n v="1"/>
    <n v="0.26869999999999999"/>
    <n v="0.26900000000000002"/>
    <s v="Middle Behavior Analyst"/>
  </r>
  <r>
    <x v="11"/>
    <s v="Personnel"/>
    <s v="H "/>
    <x v="1"/>
    <x v="5"/>
    <s v="PSES High Prog01Act25 S275"/>
    <x v="0"/>
    <s v="25"/>
    <m/>
    <n v="25"/>
    <s v="   "/>
    <n v="0.92700000000000005"/>
    <n v="0.1913"/>
    <n v="0"/>
    <s v="High Pupil Management"/>
  </r>
  <r>
    <x v="11"/>
    <s v="Personnel"/>
    <s v="H "/>
    <x v="1"/>
    <x v="9"/>
    <s v="PSES High Prog01Act26 S275"/>
    <x v="0"/>
    <s v="26"/>
    <m/>
    <n v="26"/>
    <s v="   "/>
    <n v="0.67900000000000005"/>
    <n v="0.1913"/>
    <n v="0"/>
    <s v="High Health/_x000a_Related Services"/>
  </r>
  <r>
    <x v="11"/>
    <s v="Personnel"/>
    <s v="E "/>
    <x v="0"/>
    <x v="15"/>
    <s v="PSES Elem Prog01Duty42 S275"/>
    <x v="0"/>
    <s v="42"/>
    <n v="42"/>
    <m/>
    <s v="   "/>
    <n v="0.8"/>
    <n v="0.1913"/>
    <n v="0"/>
    <s v="Elementary Counselor"/>
  </r>
  <r>
    <x v="11"/>
    <s v="Personnel"/>
    <s v="H "/>
    <x v="1"/>
    <x v="16"/>
    <s v="PSES High Prog01Duty42 S275"/>
    <x v="0"/>
    <s v="42"/>
    <n v="42"/>
    <m/>
    <s v="   "/>
    <n v="0.3"/>
    <n v="0.1913"/>
    <n v="0"/>
    <s v="High Counselor"/>
  </r>
  <r>
    <x v="11"/>
    <s v="Personnel"/>
    <s v="M "/>
    <x v="2"/>
    <x v="17"/>
    <s v="PSES Mid Prog01Duty42 S275"/>
    <x v="0"/>
    <s v="42"/>
    <n v="42"/>
    <m/>
    <s v="   "/>
    <n v="0.43"/>
    <n v="0.1913"/>
    <n v="0"/>
    <s v="Middle Counselor"/>
  </r>
  <r>
    <x v="11"/>
    <s v="Personnel"/>
    <s v="E "/>
    <x v="0"/>
    <x v="47"/>
    <s v="PSES Elem Prog01Duty45 S275"/>
    <x v="0"/>
    <s v="45"/>
    <n v="45"/>
    <m/>
    <s v="   "/>
    <n v="0.7"/>
    <n v="0.1913"/>
    <n v="0"/>
    <s v="Elementary Speech, Language Pathway/_x000a_Audio"/>
  </r>
  <r>
    <x v="11"/>
    <s v="Personnel"/>
    <s v="H "/>
    <x v="1"/>
    <x v="51"/>
    <s v="PSES High Prog01Duty45 S275"/>
    <x v="0"/>
    <s v="45"/>
    <n v="45"/>
    <m/>
    <s v="   "/>
    <n v="7.0000000000000007E-2"/>
    <n v="0.1913"/>
    <n v="0"/>
    <s v="High Speech, Language Pathway/_x000a_Audio"/>
  </r>
  <r>
    <x v="11"/>
    <s v="Personnel"/>
    <s v="M "/>
    <x v="2"/>
    <x v="52"/>
    <s v="PSES Mid Prog01Duty45 S275"/>
    <x v="0"/>
    <s v="45"/>
    <n v="45"/>
    <m/>
    <s v="   "/>
    <n v="0.23"/>
    <n v="0.1913"/>
    <n v="0"/>
    <s v="Middle Speech, Language Pathway/_x000a_Audio"/>
  </r>
  <r>
    <x v="12"/>
    <s v="Personnel"/>
    <s v="E "/>
    <x v="0"/>
    <x v="3"/>
    <s v="PSES Elem Prog01Act25 S275"/>
    <x v="0"/>
    <s v="25"/>
    <m/>
    <n v="25"/>
    <s v="   "/>
    <n v="0.17199999999999999"/>
    <n v="0.1913"/>
    <n v="0"/>
    <s v="Elementary Pupil Management"/>
  </r>
  <r>
    <x v="12"/>
    <s v="Personnel"/>
    <s v="H "/>
    <x v="1"/>
    <x v="5"/>
    <s v="PSES High Prog01Act25 S275"/>
    <x v="0"/>
    <s v="25"/>
    <m/>
    <n v="25"/>
    <s v="   "/>
    <n v="1.1779999999999999"/>
    <n v="0.1913"/>
    <n v="0"/>
    <s v="High Pupil Management"/>
  </r>
  <r>
    <x v="12"/>
    <s v="Personnel"/>
    <s v="E "/>
    <x v="0"/>
    <x v="15"/>
    <s v="PSES Elem Prog01Duty42 S275"/>
    <x v="0"/>
    <s v="42"/>
    <n v="42"/>
    <m/>
    <s v="   "/>
    <n v="0.5"/>
    <n v="0.1913"/>
    <n v="0"/>
    <s v="Elementary Counselor"/>
  </r>
  <r>
    <x v="12"/>
    <s v="Personnel"/>
    <s v="H "/>
    <x v="1"/>
    <x v="16"/>
    <s v="PSES High Prog01Duty42 S275"/>
    <x v="0"/>
    <s v="42"/>
    <n v="42"/>
    <m/>
    <s v="   "/>
    <n v="0.3"/>
    <n v="0.1913"/>
    <n v="0"/>
    <s v="High Counselor"/>
  </r>
  <r>
    <x v="12"/>
    <s v="Personnel"/>
    <s v="M "/>
    <x v="2"/>
    <x v="17"/>
    <s v="PSES Mid Prog01Duty42 S275"/>
    <x v="0"/>
    <s v="42"/>
    <n v="42"/>
    <m/>
    <s v="   "/>
    <n v="0.2"/>
    <n v="0.1913"/>
    <n v="0"/>
    <s v="Middle Counselor"/>
  </r>
  <r>
    <x v="13"/>
    <s v="Personnel"/>
    <s v="E "/>
    <x v="0"/>
    <x v="3"/>
    <s v="PSES Elem Prog01Act25 S275"/>
    <x v="0"/>
    <s v="25"/>
    <m/>
    <n v="25"/>
    <s v="   "/>
    <n v="0.82799999999999996"/>
    <n v="0.15359999999999999"/>
    <n v="0"/>
    <s v="Elementary Pupil Management"/>
  </r>
  <r>
    <x v="13"/>
    <s v="Personnel"/>
    <s v="H "/>
    <x v="1"/>
    <x v="53"/>
    <s v="PSES High Prog97Act25 S275"/>
    <x v="2"/>
    <s v="25"/>
    <m/>
    <n v="25"/>
    <s v="   "/>
    <n v="0.14699999999999999"/>
    <n v="0.15359999999999999"/>
    <n v="0"/>
    <s v="High Pupil Management"/>
  </r>
  <r>
    <x v="13"/>
    <s v="Personnel"/>
    <s v="H "/>
    <x v="1"/>
    <x v="5"/>
    <s v="PSES High Prog01Act25 S275"/>
    <x v="0"/>
    <s v="25"/>
    <m/>
    <n v="25"/>
    <s v="   "/>
    <n v="0.84799999999999998"/>
    <n v="0.15359999999999999"/>
    <n v="0"/>
    <s v="High Pupil Management"/>
  </r>
  <r>
    <x v="13"/>
    <s v="Personnel"/>
    <s v="M "/>
    <x v="2"/>
    <x v="6"/>
    <s v="PSES Mid Prog01Act25 S275"/>
    <x v="0"/>
    <s v="25"/>
    <m/>
    <n v="25"/>
    <s v="   "/>
    <n v="6.2E-2"/>
    <n v="0.15359999999999999"/>
    <n v="0"/>
    <s v="Middle Pupil Management"/>
  </r>
  <r>
    <x v="13"/>
    <s v="Personnel"/>
    <s v="E "/>
    <x v="0"/>
    <x v="8"/>
    <s v="PSES Elem Prog01Act26 S275"/>
    <x v="0"/>
    <s v="26"/>
    <m/>
    <n v="26"/>
    <s v="   "/>
    <n v="0.72699999999999998"/>
    <n v="0.15359999999999999"/>
    <n v="0"/>
    <s v="Elementary Health/_x000a_Related Services"/>
  </r>
  <r>
    <x v="13"/>
    <s v="Personnel"/>
    <s v="H "/>
    <x v="1"/>
    <x v="9"/>
    <s v="PSES High Prog01Act26 S275"/>
    <x v="0"/>
    <s v="26"/>
    <m/>
    <n v="26"/>
    <s v="   "/>
    <n v="0.46400000000000002"/>
    <n v="0.15359999999999999"/>
    <n v="0"/>
    <s v="High Health/_x000a_Related Services"/>
  </r>
  <r>
    <x v="13"/>
    <s v="Personnel"/>
    <s v="M "/>
    <x v="2"/>
    <x v="11"/>
    <s v="PSES Mid Prog01Act26 S275"/>
    <x v="0"/>
    <s v="26"/>
    <m/>
    <n v="26"/>
    <s v="   "/>
    <n v="0.10299999999999999"/>
    <n v="0.15359999999999999"/>
    <n v="0"/>
    <s v="Middle Health/_x000a_Related Services"/>
  </r>
  <r>
    <x v="13"/>
    <s v="Personnel"/>
    <s v="E "/>
    <x v="0"/>
    <x v="15"/>
    <s v="PSES Elem Prog01Duty42 S275"/>
    <x v="0"/>
    <s v="42"/>
    <n v="42"/>
    <m/>
    <s v="   "/>
    <n v="1.33"/>
    <n v="0.15359999999999999"/>
    <n v="0"/>
    <s v="Elementary Counselor"/>
  </r>
  <r>
    <x v="13"/>
    <s v="Personnel"/>
    <s v="H "/>
    <x v="1"/>
    <x v="16"/>
    <s v="PSES High Prog01Duty42 S275"/>
    <x v="0"/>
    <s v="42"/>
    <n v="42"/>
    <m/>
    <s v="   "/>
    <n v="0.61"/>
    <n v="0.15359999999999999"/>
    <n v="0"/>
    <s v="High Counselor"/>
  </r>
  <r>
    <x v="13"/>
    <s v="Personnel"/>
    <s v="M "/>
    <x v="2"/>
    <x v="17"/>
    <s v="PSES Mid Prog01Duty42 S275"/>
    <x v="0"/>
    <s v="42"/>
    <n v="42"/>
    <m/>
    <s v="   "/>
    <n v="0.67"/>
    <n v="0.15359999999999999"/>
    <n v="0"/>
    <s v="Middle Counselor"/>
  </r>
  <r>
    <x v="13"/>
    <s v="Personnel"/>
    <s v="E "/>
    <x v="0"/>
    <x v="18"/>
    <s v="PSES Elem Prog21Duty43 S275"/>
    <x v="1"/>
    <s v="43"/>
    <n v="43"/>
    <m/>
    <s v="   "/>
    <n v="0.25"/>
    <n v="0.15359999999999999"/>
    <n v="3.7999999999999999E-2"/>
    <s v="Elementary Occupational Therapist"/>
  </r>
  <r>
    <x v="13"/>
    <s v="Personnel"/>
    <s v="H "/>
    <x v="1"/>
    <x v="19"/>
    <s v="PSES High Prog21Duty43 S275"/>
    <x v="1"/>
    <s v="43"/>
    <n v="43"/>
    <m/>
    <s v="   "/>
    <n v="0.15"/>
    <n v="0.15359999999999999"/>
    <n v="2.3E-2"/>
    <s v="High Occupational Therapist"/>
  </r>
  <r>
    <x v="13"/>
    <s v="Personnel"/>
    <s v="M "/>
    <x v="2"/>
    <x v="31"/>
    <s v="PSES Mid Prog21Duty43 S275"/>
    <x v="1"/>
    <s v="43"/>
    <n v="43"/>
    <m/>
    <s v="   "/>
    <n v="0.32"/>
    <n v="0.15359999999999999"/>
    <n v="4.9000000000000002E-2"/>
    <s v="Middle Occupational Therapist"/>
  </r>
  <r>
    <x v="13"/>
    <s v="Personnel"/>
    <s v="E "/>
    <x v="0"/>
    <x v="20"/>
    <s v="PSES Elem Prog21Duty45 S275"/>
    <x v="1"/>
    <s v="45"/>
    <n v="45"/>
    <m/>
    <s v="   "/>
    <n v="0.63300000000000001"/>
    <n v="0.15359999999999999"/>
    <n v="9.7000000000000003E-2"/>
    <s v="Elementary Speech, Language Pathway/_x000a_Audio"/>
  </r>
  <r>
    <x v="13"/>
    <s v="Personnel"/>
    <s v="E "/>
    <x v="0"/>
    <x v="22"/>
    <s v="PSES Elem Prog21Duty46 S275"/>
    <x v="1"/>
    <s v="46"/>
    <n v="46"/>
    <m/>
    <s v="   "/>
    <n v="0.4"/>
    <n v="0.15359999999999999"/>
    <n v="6.0999999999999999E-2"/>
    <s v="Elementary Psychologist"/>
  </r>
  <r>
    <x v="13"/>
    <s v="Personnel"/>
    <s v="H "/>
    <x v="1"/>
    <x v="23"/>
    <s v="PSES High Prog21Duty46 S275"/>
    <x v="1"/>
    <s v="46"/>
    <n v="46"/>
    <m/>
    <s v="   "/>
    <n v="0.6"/>
    <n v="0.15359999999999999"/>
    <n v="9.1999999999999998E-2"/>
    <s v="High Psychologist"/>
  </r>
  <r>
    <x v="14"/>
    <s v="Personnel"/>
    <s v="H "/>
    <x v="1"/>
    <x v="5"/>
    <s v="PSES High Prog01Act25 S275"/>
    <x v="0"/>
    <s v="25"/>
    <m/>
    <n v="25"/>
    <s v="   "/>
    <n v="0.17499999999999999"/>
    <n v="0.15129999999999999"/>
    <n v="0"/>
    <s v="High Pupil Management"/>
  </r>
  <r>
    <x v="14"/>
    <s v="Personnel"/>
    <s v="E "/>
    <x v="0"/>
    <x v="7"/>
    <s v="PSES Elem Prog21Act26 S275"/>
    <x v="1"/>
    <s v="26"/>
    <m/>
    <n v="26"/>
    <s v="   "/>
    <n v="0.33"/>
    <n v="0.15129999999999999"/>
    <n v="0.05"/>
    <s v="Elementary Health/_x000a_Related Services"/>
  </r>
  <r>
    <x v="14"/>
    <s v="Personnel"/>
    <s v="E "/>
    <x v="0"/>
    <x v="8"/>
    <s v="PSES Elem Prog01Act26 S275"/>
    <x v="0"/>
    <s v="26"/>
    <m/>
    <n v="26"/>
    <s v="   "/>
    <n v="0.754"/>
    <n v="0.15129999999999999"/>
    <n v="0"/>
    <s v="Elementary Health/_x000a_Related Services"/>
  </r>
  <r>
    <x v="14"/>
    <s v="Personnel"/>
    <s v="H "/>
    <x v="1"/>
    <x v="29"/>
    <s v="PSES High Prog21Act26 S275"/>
    <x v="1"/>
    <s v="26"/>
    <m/>
    <n v="26"/>
    <s v="   "/>
    <n v="6.6000000000000003E-2"/>
    <n v="0.15129999999999999"/>
    <n v="0.01"/>
    <s v="High Health/_x000a_Related Services"/>
  </r>
  <r>
    <x v="14"/>
    <s v="Personnel"/>
    <s v="M "/>
    <x v="2"/>
    <x v="10"/>
    <s v="PSES Mid Prog21Act26 S275"/>
    <x v="1"/>
    <s v="26"/>
    <m/>
    <n v="26"/>
    <s v="   "/>
    <n v="0.26400000000000001"/>
    <n v="0.15129999999999999"/>
    <n v="0.04"/>
    <s v="Middle Health/_x000a_Related Services"/>
  </r>
  <r>
    <x v="14"/>
    <s v="Personnel"/>
    <s v="E "/>
    <x v="0"/>
    <x v="15"/>
    <s v="PSES Elem Prog01Duty42 S275"/>
    <x v="0"/>
    <s v="42"/>
    <n v="42"/>
    <m/>
    <s v="   "/>
    <n v="1.6379999999999999"/>
    <n v="0.15129999999999999"/>
    <n v="0"/>
    <s v="Elementary Counselor"/>
  </r>
  <r>
    <x v="14"/>
    <s v="Personnel"/>
    <s v="H "/>
    <x v="1"/>
    <x v="16"/>
    <s v="PSES High Prog01Duty42 S275"/>
    <x v="0"/>
    <s v="42"/>
    <n v="42"/>
    <m/>
    <s v="   "/>
    <n v="1.8"/>
    <n v="0.15129999999999999"/>
    <n v="0"/>
    <s v="High Counselor"/>
  </r>
  <r>
    <x v="14"/>
    <s v="Personnel"/>
    <s v="M "/>
    <x v="2"/>
    <x v="17"/>
    <s v="PSES Mid Prog01Duty42 S275"/>
    <x v="0"/>
    <s v="42"/>
    <n v="42"/>
    <m/>
    <s v="   "/>
    <n v="0.7"/>
    <n v="0.15129999999999999"/>
    <n v="0"/>
    <s v="Middle Counselor"/>
  </r>
  <r>
    <x v="14"/>
    <s v="Personnel"/>
    <s v="E "/>
    <x v="0"/>
    <x v="18"/>
    <s v="PSES Elem Prog21Duty43 S275"/>
    <x v="1"/>
    <s v="43"/>
    <n v="43"/>
    <m/>
    <s v="   "/>
    <n v="0.80600000000000005"/>
    <n v="0.15129999999999999"/>
    <n v="0.122"/>
    <s v="Elementary Occupational Therapist"/>
  </r>
  <r>
    <x v="14"/>
    <s v="Personnel"/>
    <s v="E "/>
    <x v="0"/>
    <x v="20"/>
    <s v="PSES Elem Prog21Duty45 S275"/>
    <x v="1"/>
    <s v="45"/>
    <n v="45"/>
    <m/>
    <s v="   "/>
    <n v="1.6220000000000001"/>
    <n v="0.15129999999999999"/>
    <n v="0.245"/>
    <s v="Elementary Speech, Language Pathway/_x000a_Audio"/>
  </r>
  <r>
    <x v="14"/>
    <s v="Personnel"/>
    <s v="E "/>
    <x v="0"/>
    <x v="22"/>
    <s v="PSES Elem Prog21Duty46 S275"/>
    <x v="1"/>
    <s v="46"/>
    <n v="46"/>
    <m/>
    <s v="   "/>
    <n v="1"/>
    <n v="0.15129999999999999"/>
    <n v="0.151"/>
    <s v="Elementary Psychologist"/>
  </r>
  <r>
    <x v="14"/>
    <s v="Personnel"/>
    <s v="E "/>
    <x v="0"/>
    <x v="35"/>
    <s v="PSES Elem Prog21Duty48 S275"/>
    <x v="1"/>
    <s v="48"/>
    <n v="48"/>
    <m/>
    <s v="   "/>
    <n v="0.8"/>
    <n v="0.15129999999999999"/>
    <n v="0.121"/>
    <s v="Elementary Physical Therapist"/>
  </r>
  <r>
    <x v="15"/>
    <s v="Personnel"/>
    <s v="E "/>
    <x v="0"/>
    <x v="7"/>
    <s v="PSES Elem Prog21Act26 S275"/>
    <x v="1"/>
    <s v="26"/>
    <m/>
    <n v="26"/>
    <s v="   "/>
    <n v="0.128"/>
    <n v="0.1913"/>
    <n v="2.4E-2"/>
    <s v="Elementary Health/_x000a_Related Services"/>
  </r>
  <r>
    <x v="15"/>
    <s v="Personnel"/>
    <s v="E "/>
    <x v="0"/>
    <x v="8"/>
    <s v="PSES Elem Prog01Act26 S275"/>
    <x v="0"/>
    <s v="26"/>
    <m/>
    <n v="26"/>
    <s v="   "/>
    <n v="0.39200000000000002"/>
    <n v="0.1913"/>
    <n v="0"/>
    <s v="Elementary Health/_x000a_Related Services"/>
  </r>
  <r>
    <x v="15"/>
    <s v="Personnel"/>
    <s v="H "/>
    <x v="1"/>
    <x v="9"/>
    <s v="PSES High Prog01Act26 S275"/>
    <x v="0"/>
    <s v="26"/>
    <m/>
    <n v="26"/>
    <s v="   "/>
    <n v="0.20599999999999999"/>
    <n v="0.1913"/>
    <n v="0"/>
    <s v="High Health/_x000a_Related Services"/>
  </r>
  <r>
    <x v="15"/>
    <s v="Personnel"/>
    <s v="M "/>
    <x v="2"/>
    <x v="11"/>
    <s v="PSES Mid Prog01Act26 S275"/>
    <x v="0"/>
    <s v="26"/>
    <m/>
    <n v="26"/>
    <s v="   "/>
    <n v="0.18099999999999999"/>
    <n v="0.1913"/>
    <n v="0"/>
    <s v="Middle Health/_x000a_Related Services"/>
  </r>
  <r>
    <x v="15"/>
    <s v="Personnel"/>
    <s v="E "/>
    <x v="0"/>
    <x v="15"/>
    <s v="PSES Elem Prog01Duty42 S275"/>
    <x v="0"/>
    <s v="42"/>
    <n v="42"/>
    <m/>
    <s v="   "/>
    <n v="1.3169999999999999"/>
    <n v="0.1913"/>
    <n v="0"/>
    <s v="Elementary Counselor"/>
  </r>
  <r>
    <x v="15"/>
    <s v="Personnel"/>
    <s v="H "/>
    <x v="1"/>
    <x v="16"/>
    <s v="PSES High Prog01Duty42 S275"/>
    <x v="0"/>
    <s v="42"/>
    <n v="42"/>
    <m/>
    <s v="   "/>
    <n v="1"/>
    <n v="0.1913"/>
    <n v="0"/>
    <s v="High Counselor"/>
  </r>
  <r>
    <x v="15"/>
    <s v="Personnel"/>
    <s v="M "/>
    <x v="2"/>
    <x v="17"/>
    <s v="PSES Mid Prog01Duty42 S275"/>
    <x v="0"/>
    <s v="42"/>
    <n v="42"/>
    <m/>
    <s v="   "/>
    <n v="0.63300000000000001"/>
    <n v="0.1913"/>
    <n v="0"/>
    <s v="Middle Counselor"/>
  </r>
  <r>
    <x v="15"/>
    <s v="Personnel"/>
    <s v="E "/>
    <x v="0"/>
    <x v="22"/>
    <s v="PSES Elem Prog21Duty46 S275"/>
    <x v="1"/>
    <s v="46"/>
    <n v="46"/>
    <m/>
    <s v="   "/>
    <n v="0.49"/>
    <n v="0.1913"/>
    <n v="9.4E-2"/>
    <s v="Elementary Psychologist"/>
  </r>
  <r>
    <x v="15"/>
    <s v="Personnel"/>
    <s v="H "/>
    <x v="1"/>
    <x v="23"/>
    <s v="PSES High Prog21Duty46 S275"/>
    <x v="1"/>
    <s v="46"/>
    <n v="46"/>
    <m/>
    <s v="   "/>
    <n v="0.22"/>
    <n v="0.1913"/>
    <n v="4.2000000000000003E-2"/>
    <s v="High Psychologist"/>
  </r>
  <r>
    <x v="15"/>
    <s v="Personnel"/>
    <s v="M "/>
    <x v="2"/>
    <x v="24"/>
    <s v="PSES Mid Prog21Duty46 S275"/>
    <x v="1"/>
    <s v="46"/>
    <n v="46"/>
    <m/>
    <s v="   "/>
    <n v="0.22"/>
    <n v="0.1913"/>
    <n v="4.2000000000000003E-2"/>
    <s v="Middle Psychologist"/>
  </r>
  <r>
    <x v="15"/>
    <s v="Personnel"/>
    <s v="E "/>
    <x v="0"/>
    <x v="35"/>
    <s v="PSES Elem Prog21Duty48 S275"/>
    <x v="1"/>
    <s v="48"/>
    <n v="48"/>
    <m/>
    <s v="   "/>
    <n v="0.8"/>
    <n v="0.1913"/>
    <n v="0.153"/>
    <s v="Elementary Physical Therapist"/>
  </r>
  <r>
    <x v="16"/>
    <s v="Personnel"/>
    <s v="H "/>
    <x v="1"/>
    <x v="1"/>
    <s v="PSES High Prog01Duty96 S275"/>
    <x v="0"/>
    <s v="24"/>
    <n v="96"/>
    <n v="24"/>
    <s v="   "/>
    <n v="1.0229999999999999"/>
    <n v="0.17519999999999999"/>
    <n v="0"/>
    <s v="High Family Engagement Coordinator"/>
  </r>
  <r>
    <x v="16"/>
    <s v="Personnel"/>
    <s v="H "/>
    <x v="1"/>
    <x v="29"/>
    <s v="PSES High Prog21Act26 S275"/>
    <x v="1"/>
    <s v="26"/>
    <m/>
    <n v="26"/>
    <s v="   "/>
    <n v="1.3779999999999999"/>
    <n v="0.17519999999999999"/>
    <n v="0.24099999999999999"/>
    <s v="High Health/_x000a_Related Services"/>
  </r>
  <r>
    <x v="16"/>
    <s v="Personnel"/>
    <s v="H "/>
    <x v="1"/>
    <x v="9"/>
    <s v="PSES High Prog01Act26 S275"/>
    <x v="0"/>
    <s v="26"/>
    <m/>
    <n v="26"/>
    <s v="   "/>
    <n v="0.36699999999999999"/>
    <n v="0.17519999999999999"/>
    <n v="0"/>
    <s v="High Health/_x000a_Related Services"/>
  </r>
  <r>
    <x v="16"/>
    <s v="Personnel"/>
    <s v="H "/>
    <x v="1"/>
    <x v="54"/>
    <s v="PSES High Prog01Act35 S275"/>
    <x v="0"/>
    <s v="35"/>
    <m/>
    <n v="35"/>
    <s v="   "/>
    <n v="1.343"/>
    <n v="0.17519999999999999"/>
    <n v="0"/>
    <s v="High Pupil Safety"/>
  </r>
  <r>
    <x v="16"/>
    <s v="Personnel"/>
    <s v="E "/>
    <x v="0"/>
    <x v="15"/>
    <s v="PSES Elem Prog01Duty42 S275"/>
    <x v="0"/>
    <s v="42"/>
    <n v="42"/>
    <m/>
    <s v="   "/>
    <n v="6.6210000000000004"/>
    <n v="0.17519999999999999"/>
    <n v="0"/>
    <s v="Elementary Counselor"/>
  </r>
  <r>
    <x v="16"/>
    <s v="Personnel"/>
    <s v="H "/>
    <x v="1"/>
    <x v="16"/>
    <s v="PSES High Prog01Duty42 S275"/>
    <x v="0"/>
    <s v="42"/>
    <n v="42"/>
    <m/>
    <s v="   "/>
    <n v="3.597"/>
    <n v="0.17519999999999999"/>
    <n v="0"/>
    <s v="High Counselor"/>
  </r>
  <r>
    <x v="16"/>
    <s v="Personnel"/>
    <s v="M "/>
    <x v="2"/>
    <x v="17"/>
    <s v="PSES Mid Prog01Duty42 S275"/>
    <x v="0"/>
    <s v="42"/>
    <n v="42"/>
    <m/>
    <s v="   "/>
    <n v="2.9020000000000001"/>
    <n v="0.17519999999999999"/>
    <n v="0"/>
    <s v="Middle Counselor"/>
  </r>
  <r>
    <x v="16"/>
    <s v="Personnel"/>
    <s v="E "/>
    <x v="0"/>
    <x v="18"/>
    <s v="PSES Elem Prog21Duty43 S275"/>
    <x v="1"/>
    <s v="43"/>
    <n v="43"/>
    <m/>
    <s v="   "/>
    <n v="3.1"/>
    <n v="0.17519999999999999"/>
    <n v="0.54300000000000004"/>
    <s v="Elementary Occupational Therapist"/>
  </r>
  <r>
    <x v="16"/>
    <s v="Personnel"/>
    <s v="H "/>
    <x v="1"/>
    <x v="19"/>
    <s v="PSES High Prog21Duty43 S275"/>
    <x v="1"/>
    <s v="43"/>
    <n v="43"/>
    <m/>
    <s v="   "/>
    <n v="0.4"/>
    <n v="0.17519999999999999"/>
    <n v="7.0000000000000007E-2"/>
    <s v="High Occupational Therapist"/>
  </r>
  <r>
    <x v="16"/>
    <s v="Personnel"/>
    <s v="M "/>
    <x v="2"/>
    <x v="31"/>
    <s v="PSES Mid Prog21Duty43 S275"/>
    <x v="1"/>
    <s v="43"/>
    <n v="43"/>
    <m/>
    <s v="   "/>
    <n v="0.5"/>
    <n v="0.17519999999999999"/>
    <n v="8.7999999999999995E-2"/>
    <s v="Middle Occupational Therapist"/>
  </r>
  <r>
    <x v="16"/>
    <s v="Personnel"/>
    <s v="E "/>
    <x v="0"/>
    <x v="20"/>
    <s v="PSES Elem Prog21Duty45 S275"/>
    <x v="1"/>
    <s v="45"/>
    <n v="45"/>
    <m/>
    <s v="   "/>
    <n v="6.2930000000000001"/>
    <n v="0.17519999999999999"/>
    <n v="1.103"/>
    <s v="Elementary Speech, Language Pathway/_x000a_Audio"/>
  </r>
  <r>
    <x v="16"/>
    <s v="Personnel"/>
    <s v="E "/>
    <x v="0"/>
    <x v="47"/>
    <s v="PSES Elem Prog01Duty45 S275"/>
    <x v="0"/>
    <s v="45"/>
    <n v="45"/>
    <m/>
    <s v="   "/>
    <n v="1"/>
    <n v="0.17519999999999999"/>
    <n v="0"/>
    <s v="Elementary Speech, Language Pathway/_x000a_Audio"/>
  </r>
  <r>
    <x v="16"/>
    <s v="Personnel"/>
    <s v="H "/>
    <x v="1"/>
    <x v="21"/>
    <s v="PSES High Prog21Duty45 S275"/>
    <x v="1"/>
    <s v="45"/>
    <n v="45"/>
    <m/>
    <s v="   "/>
    <n v="1"/>
    <n v="0.17519999999999999"/>
    <n v="0.17499999999999999"/>
    <s v="High Speech, Language Pathway/_x000a_Audio"/>
  </r>
  <r>
    <x v="16"/>
    <s v="Personnel"/>
    <s v="M "/>
    <x v="2"/>
    <x v="28"/>
    <s v="PSES Mid Prog21Duty45 S275"/>
    <x v="1"/>
    <s v="45"/>
    <n v="45"/>
    <m/>
    <s v="   "/>
    <n v="1"/>
    <n v="0.17519999999999999"/>
    <n v="0.17499999999999999"/>
    <s v="Middle Speech, Language Pathway/_x000a_Audio"/>
  </r>
  <r>
    <x v="16"/>
    <s v="Personnel"/>
    <s v="E "/>
    <x v="0"/>
    <x v="22"/>
    <s v="PSES Elem Prog21Duty46 S275"/>
    <x v="1"/>
    <s v="46"/>
    <n v="46"/>
    <m/>
    <s v="   "/>
    <n v="5.2"/>
    <n v="0.17519999999999999"/>
    <n v="0.91100000000000003"/>
    <s v="Elementary Psychologist"/>
  </r>
  <r>
    <x v="16"/>
    <s v="Personnel"/>
    <s v="H "/>
    <x v="1"/>
    <x v="23"/>
    <s v="PSES High Prog21Duty46 S275"/>
    <x v="1"/>
    <s v="46"/>
    <n v="46"/>
    <m/>
    <s v="   "/>
    <n v="2.4"/>
    <n v="0.17519999999999999"/>
    <n v="0.42"/>
    <s v="High Psychologist"/>
  </r>
  <r>
    <x v="16"/>
    <s v="Personnel"/>
    <s v="M "/>
    <x v="2"/>
    <x v="24"/>
    <s v="PSES Mid Prog21Duty46 S275"/>
    <x v="1"/>
    <s v="46"/>
    <n v="46"/>
    <m/>
    <s v="   "/>
    <n v="0.8"/>
    <n v="0.17519999999999999"/>
    <n v="0.14000000000000001"/>
    <s v="Middle Psychologist"/>
  </r>
  <r>
    <x v="16"/>
    <s v="Personnel"/>
    <s v="E "/>
    <x v="0"/>
    <x v="32"/>
    <s v="PSES Elem Prog21Duty47 S275"/>
    <x v="1"/>
    <s v="47"/>
    <n v="47"/>
    <m/>
    <s v="   "/>
    <n v="1.3"/>
    <n v="0.17519999999999999"/>
    <n v="0.22800000000000001"/>
    <s v="Elementary Nurse"/>
  </r>
  <r>
    <x v="16"/>
    <s v="Personnel"/>
    <s v="E "/>
    <x v="0"/>
    <x v="27"/>
    <s v="PSES Elem Prog01Duty47 S275"/>
    <x v="0"/>
    <s v="47"/>
    <n v="47"/>
    <m/>
    <s v="   "/>
    <n v="2.5"/>
    <n v="0.17519999999999999"/>
    <n v="0"/>
    <s v="Elementary Nurse"/>
  </r>
  <r>
    <x v="16"/>
    <s v="Personnel"/>
    <s v="H "/>
    <x v="1"/>
    <x v="25"/>
    <s v="PSES High Prog01Duty47 S275"/>
    <x v="0"/>
    <s v="47"/>
    <n v="47"/>
    <m/>
    <s v="   "/>
    <n v="2.2999999999999998"/>
    <n v="0.17519999999999999"/>
    <n v="0"/>
    <s v="High Nurse"/>
  </r>
  <r>
    <x v="16"/>
    <s v="Personnel"/>
    <s v="M "/>
    <x v="2"/>
    <x v="34"/>
    <s v="PSES Mid Prog01Duty47 S275"/>
    <x v="0"/>
    <s v="47"/>
    <n v="47"/>
    <m/>
    <s v="   "/>
    <n v="1.5"/>
    <n v="0.17519999999999999"/>
    <n v="0"/>
    <s v="Middle Nurse"/>
  </r>
  <r>
    <x v="16"/>
    <s v="Personnel"/>
    <s v="E "/>
    <x v="0"/>
    <x v="35"/>
    <s v="PSES Elem Prog21Duty48 S275"/>
    <x v="1"/>
    <s v="48"/>
    <n v="48"/>
    <m/>
    <s v="   "/>
    <n v="2.1"/>
    <n v="0.17519999999999999"/>
    <n v="0.36799999999999999"/>
    <s v="Elementary Physical Therapist"/>
  </r>
  <r>
    <x v="16"/>
    <s v="Personnel"/>
    <s v="H "/>
    <x v="1"/>
    <x v="36"/>
    <s v="PSES High Prog21Duty48 S275"/>
    <x v="1"/>
    <s v="48"/>
    <n v="48"/>
    <m/>
    <s v="   "/>
    <n v="0.4"/>
    <n v="0.17519999999999999"/>
    <n v="7.0000000000000007E-2"/>
    <s v="High Physical Therapist"/>
  </r>
  <r>
    <x v="16"/>
    <s v="Personnel"/>
    <s v="M "/>
    <x v="2"/>
    <x v="37"/>
    <s v="PSES Mid Prog21Duty48 S275"/>
    <x v="1"/>
    <s v="48"/>
    <n v="48"/>
    <m/>
    <s v="   "/>
    <n v="0.5"/>
    <n v="0.17519999999999999"/>
    <n v="8.7999999999999995E-2"/>
    <s v="Middle Physical Therapist"/>
  </r>
  <r>
    <x v="16"/>
    <s v="Personnel"/>
    <s v="E "/>
    <x v="0"/>
    <x v="26"/>
    <s v="PSES Elem Prog21Duty49 S275"/>
    <x v="1"/>
    <s v="49"/>
    <n v="49"/>
    <m/>
    <s v="   "/>
    <n v="1.71"/>
    <n v="0.17519999999999999"/>
    <n v="0.3"/>
    <s v="Elementary Behavior Analyst"/>
  </r>
  <r>
    <x v="16"/>
    <s v="Personnel"/>
    <s v="H "/>
    <x v="1"/>
    <x v="55"/>
    <s v="PSES High Prog21Duty49 S275"/>
    <x v="1"/>
    <s v="49"/>
    <n v="49"/>
    <m/>
    <s v="   "/>
    <n v="0.54"/>
    <n v="0.17519999999999999"/>
    <n v="9.5000000000000001E-2"/>
    <s v="High Behavior Analyst"/>
  </r>
  <r>
    <x v="16"/>
    <s v="Personnel"/>
    <s v="M "/>
    <x v="2"/>
    <x v="50"/>
    <s v="PSES Mid Prog21Duty49 S275"/>
    <x v="1"/>
    <s v="49"/>
    <n v="49"/>
    <m/>
    <s v="   "/>
    <n v="0.75"/>
    <n v="0.17519999999999999"/>
    <n v="0.13100000000000001"/>
    <s v="Middle Behavior Analyst"/>
  </r>
  <r>
    <x v="17"/>
    <s v="Personnel"/>
    <s v="E "/>
    <x v="0"/>
    <x v="56"/>
    <s v="PSES Elem Prog97Duty96 S275"/>
    <x v="2"/>
    <s v="24"/>
    <n v="96"/>
    <n v="24"/>
    <s v="   "/>
    <n v="0.124"/>
    <n v="0.1235"/>
    <n v="0"/>
    <s v="Elementary Family Engagement Coordinator"/>
  </r>
  <r>
    <x v="17"/>
    <s v="Personnel"/>
    <s v="H "/>
    <x v="1"/>
    <x v="57"/>
    <s v="PSES High Prog97Duty96 S275"/>
    <x v="2"/>
    <s v="24"/>
    <n v="96"/>
    <n v="24"/>
    <s v="   "/>
    <n v="0.20499999999999999"/>
    <n v="0.1235"/>
    <n v="0"/>
    <s v="High Family Engagement Coordinator"/>
  </r>
  <r>
    <x v="17"/>
    <s v="Personnel"/>
    <s v="M "/>
    <x v="2"/>
    <x v="58"/>
    <s v="PSES Mid Prog97Duty96 S275"/>
    <x v="2"/>
    <s v="24"/>
    <n v="96"/>
    <n v="24"/>
    <s v="   "/>
    <n v="0.40200000000000002"/>
    <n v="0.1235"/>
    <n v="0"/>
    <s v="Middle Family Engagement Coordinator"/>
  </r>
  <r>
    <x v="17"/>
    <s v="Personnel"/>
    <s v="E "/>
    <x v="0"/>
    <x v="8"/>
    <s v="PSES Elem Prog01Act26 S275"/>
    <x v="0"/>
    <s v="26"/>
    <m/>
    <n v="26"/>
    <s v="   "/>
    <n v="0.1"/>
    <n v="0.1235"/>
    <n v="0"/>
    <s v="Elementary Health/_x000a_Related Services"/>
  </r>
  <r>
    <x v="17"/>
    <s v="Personnel"/>
    <s v="H "/>
    <x v="1"/>
    <x v="9"/>
    <s v="PSES High Prog01Act26 S275"/>
    <x v="0"/>
    <s v="26"/>
    <m/>
    <n v="26"/>
    <s v="   "/>
    <n v="0.16300000000000001"/>
    <n v="0.1235"/>
    <n v="0"/>
    <s v="High Health/_x000a_Related Services"/>
  </r>
  <r>
    <x v="17"/>
    <s v="Personnel"/>
    <s v="M "/>
    <x v="2"/>
    <x v="11"/>
    <s v="PSES Mid Prog01Act26 S275"/>
    <x v="0"/>
    <s v="26"/>
    <m/>
    <n v="26"/>
    <s v="   "/>
    <n v="0.32200000000000001"/>
    <n v="0.1235"/>
    <n v="0"/>
    <s v="Middle Health/_x000a_Related Services"/>
  </r>
  <r>
    <x v="18"/>
    <s v="Personnel"/>
    <s v="E "/>
    <x v="0"/>
    <x v="3"/>
    <s v="PSES Elem Prog01Act25 S275"/>
    <x v="0"/>
    <s v="25"/>
    <m/>
    <n v="25"/>
    <s v="   "/>
    <n v="0.88800000000000001"/>
    <n v="0.25690000000000002"/>
    <n v="0"/>
    <s v="Elementary Pupil Management"/>
  </r>
  <r>
    <x v="18"/>
    <s v="Personnel"/>
    <s v="H "/>
    <x v="1"/>
    <x v="5"/>
    <s v="PSES High Prog01Act25 S275"/>
    <x v="0"/>
    <s v="25"/>
    <m/>
    <n v="25"/>
    <s v="   "/>
    <n v="2.7789999999999999"/>
    <n v="0.25690000000000002"/>
    <n v="0"/>
    <s v="High Pupil Management"/>
  </r>
  <r>
    <x v="18"/>
    <s v="Personnel"/>
    <s v="H "/>
    <x v="1"/>
    <x v="29"/>
    <s v="PSES High Prog21Act26 S275"/>
    <x v="1"/>
    <s v="26"/>
    <m/>
    <n v="26"/>
    <s v="   "/>
    <n v="1.2410000000000001"/>
    <n v="0.25690000000000002"/>
    <n v="0.31900000000000001"/>
    <s v="High Health/_x000a_Related Services"/>
  </r>
  <r>
    <x v="18"/>
    <s v="Personnel"/>
    <s v="H "/>
    <x v="1"/>
    <x v="9"/>
    <s v="PSES High Prog01Act26 S275"/>
    <x v="0"/>
    <s v="26"/>
    <m/>
    <n v="26"/>
    <s v="   "/>
    <n v="1.335"/>
    <n v="0.25690000000000002"/>
    <n v="0"/>
    <s v="High Health/_x000a_Related Services"/>
  </r>
  <r>
    <x v="18"/>
    <s v="Personnel"/>
    <s v="E "/>
    <x v="0"/>
    <x v="15"/>
    <s v="PSES Elem Prog01Duty42 S275"/>
    <x v="0"/>
    <s v="42"/>
    <n v="42"/>
    <m/>
    <s v="   "/>
    <n v="3"/>
    <n v="0.25690000000000002"/>
    <n v="0"/>
    <s v="Elementary Counselor"/>
  </r>
  <r>
    <x v="18"/>
    <s v="Personnel"/>
    <s v="H "/>
    <x v="1"/>
    <x v="16"/>
    <s v="PSES High Prog01Duty42 S275"/>
    <x v="0"/>
    <s v="42"/>
    <n v="42"/>
    <m/>
    <s v="   "/>
    <n v="3.55"/>
    <n v="0.25690000000000002"/>
    <n v="0"/>
    <s v="High Counselor"/>
  </r>
  <r>
    <x v="18"/>
    <s v="Personnel"/>
    <s v="E "/>
    <x v="0"/>
    <x v="18"/>
    <s v="PSES Elem Prog21Duty43 S275"/>
    <x v="1"/>
    <s v="43"/>
    <n v="43"/>
    <m/>
    <s v="   "/>
    <n v="0.57199999999999995"/>
    <n v="0.25690000000000002"/>
    <n v="0.14699999999999999"/>
    <s v="Elementary Occupational Therapist"/>
  </r>
  <r>
    <x v="18"/>
    <s v="Personnel"/>
    <s v="H "/>
    <x v="1"/>
    <x v="19"/>
    <s v="PSES High Prog21Duty43 S275"/>
    <x v="1"/>
    <s v="43"/>
    <n v="43"/>
    <m/>
    <s v="   "/>
    <n v="9.5000000000000001E-2"/>
    <n v="0.25690000000000002"/>
    <n v="2.4E-2"/>
    <s v="High Occupational Therapist"/>
  </r>
  <r>
    <x v="18"/>
    <s v="Personnel"/>
    <s v="M "/>
    <x v="2"/>
    <x v="31"/>
    <s v="PSES Mid Prog21Duty43 S275"/>
    <x v="1"/>
    <s v="43"/>
    <n v="43"/>
    <m/>
    <s v="   "/>
    <n v="0.33300000000000002"/>
    <n v="0.25690000000000002"/>
    <n v="8.5999999999999993E-2"/>
    <s v="Middle Occupational Therapist"/>
  </r>
  <r>
    <x v="18"/>
    <s v="Personnel"/>
    <s v="E "/>
    <x v="0"/>
    <x v="20"/>
    <s v="PSES Elem Prog21Duty45 S275"/>
    <x v="1"/>
    <s v="45"/>
    <n v="45"/>
    <m/>
    <s v="   "/>
    <n v="5"/>
    <n v="0.25690000000000002"/>
    <n v="1.2849999999999999"/>
    <s v="Elementary Speech, Language Pathway/_x000a_Audio"/>
  </r>
  <r>
    <x v="18"/>
    <s v="Personnel"/>
    <s v="E "/>
    <x v="0"/>
    <x v="22"/>
    <s v="PSES Elem Prog21Duty46 S275"/>
    <x v="1"/>
    <s v="46"/>
    <n v="46"/>
    <m/>
    <s v="   "/>
    <n v="5"/>
    <n v="0.25690000000000002"/>
    <n v="1.2849999999999999"/>
    <s v="Elementary Psychologist"/>
  </r>
  <r>
    <x v="18"/>
    <s v="Personnel"/>
    <s v="E "/>
    <x v="0"/>
    <x v="27"/>
    <s v="PSES Elem Prog01Duty47 S275"/>
    <x v="0"/>
    <s v="47"/>
    <n v="47"/>
    <m/>
    <s v="   "/>
    <n v="3"/>
    <n v="0.25690000000000002"/>
    <n v="0"/>
    <s v="Elementary Nurse"/>
  </r>
  <r>
    <x v="19"/>
    <s v="Personnel"/>
    <s v="H "/>
    <x v="1"/>
    <x v="5"/>
    <s v="PSES High Prog01Act25 S275"/>
    <x v="0"/>
    <s v="25"/>
    <m/>
    <n v="25"/>
    <s v="   "/>
    <n v="0.26400000000000001"/>
    <n v="0.19059999999999999"/>
    <n v="0"/>
    <s v="High Pupil Management"/>
  </r>
  <r>
    <x v="19"/>
    <s v="Personnel"/>
    <s v="H "/>
    <x v="1"/>
    <x v="16"/>
    <s v="PSES High Prog01Duty42 S275"/>
    <x v="0"/>
    <s v="42"/>
    <n v="42"/>
    <m/>
    <s v="   "/>
    <n v="1"/>
    <n v="0.19059999999999999"/>
    <n v="0"/>
    <s v="High Counselor"/>
  </r>
  <r>
    <x v="19"/>
    <s v="Personnel"/>
    <s v="E "/>
    <x v="0"/>
    <x v="27"/>
    <s v="PSES Elem Prog01Duty47 S275"/>
    <x v="0"/>
    <s v="47"/>
    <n v="47"/>
    <m/>
    <s v="   "/>
    <n v="1.1259999999999999"/>
    <n v="0.19059999999999999"/>
    <n v="0"/>
    <s v="Elementary Nurse"/>
  </r>
  <r>
    <x v="20"/>
    <s v="Personnel"/>
    <s v="H "/>
    <x v="1"/>
    <x v="4"/>
    <s v="PSES High Prog21Act25 S275"/>
    <x v="1"/>
    <s v="25"/>
    <m/>
    <n v="25"/>
    <s v="   "/>
    <n v="2.8090000000000002"/>
    <n v="0.15290000000000001"/>
    <n v="0.42899999999999999"/>
    <s v="High Pupil Management"/>
  </r>
  <r>
    <x v="20"/>
    <s v="Personnel"/>
    <s v="H "/>
    <x v="1"/>
    <x v="5"/>
    <s v="PSES High Prog01Act25 S275"/>
    <x v="0"/>
    <s v="25"/>
    <m/>
    <n v="25"/>
    <s v="   "/>
    <n v="3.149"/>
    <n v="0.15290000000000001"/>
    <n v="0"/>
    <s v="High Pupil Management"/>
  </r>
  <r>
    <x v="20"/>
    <s v="Personnel"/>
    <s v="H "/>
    <x v="1"/>
    <x v="29"/>
    <s v="PSES High Prog21Act26 S275"/>
    <x v="1"/>
    <s v="26"/>
    <m/>
    <n v="26"/>
    <s v="   "/>
    <n v="1.4219999999999999"/>
    <n v="0.15290000000000001"/>
    <n v="0.217"/>
    <s v="High Health/_x000a_Related Services"/>
  </r>
  <r>
    <x v="20"/>
    <s v="Personnel"/>
    <s v="H "/>
    <x v="1"/>
    <x v="9"/>
    <s v="PSES High Prog01Act26 S275"/>
    <x v="0"/>
    <s v="26"/>
    <m/>
    <n v="26"/>
    <s v="   "/>
    <n v="2.7690000000000001"/>
    <n v="0.15290000000000001"/>
    <n v="0"/>
    <s v="High Health/_x000a_Related Services"/>
  </r>
  <r>
    <x v="20"/>
    <s v="Personnel"/>
    <s v="E "/>
    <x v="0"/>
    <x v="15"/>
    <s v="PSES Elem Prog01Duty42 S275"/>
    <x v="0"/>
    <s v="42"/>
    <n v="42"/>
    <m/>
    <s v="   "/>
    <n v="4.7430000000000003"/>
    <n v="0.15290000000000001"/>
    <n v="0"/>
    <s v="Elementary Counselor"/>
  </r>
  <r>
    <x v="20"/>
    <s v="Personnel"/>
    <s v="H "/>
    <x v="1"/>
    <x v="16"/>
    <s v="PSES High Prog01Duty42 S275"/>
    <x v="0"/>
    <s v="42"/>
    <n v="42"/>
    <m/>
    <s v="   "/>
    <n v="1.52"/>
    <n v="0.15290000000000001"/>
    <n v="0"/>
    <s v="High Counselor"/>
  </r>
  <r>
    <x v="20"/>
    <s v="Personnel"/>
    <s v="M "/>
    <x v="2"/>
    <x v="17"/>
    <s v="PSES Mid Prog01Duty42 S275"/>
    <x v="0"/>
    <s v="42"/>
    <n v="42"/>
    <m/>
    <s v="   "/>
    <n v="1.7000000000000001E-2"/>
    <n v="0.15290000000000001"/>
    <n v="0"/>
    <s v="Middle Counselor"/>
  </r>
  <r>
    <x v="20"/>
    <s v="Personnel"/>
    <s v="E "/>
    <x v="0"/>
    <x v="20"/>
    <s v="PSES Elem Prog21Duty45 S275"/>
    <x v="1"/>
    <s v="45"/>
    <n v="45"/>
    <m/>
    <s v="   "/>
    <n v="2.6259999999999999"/>
    <n v="0.15290000000000001"/>
    <n v="0.40200000000000002"/>
    <s v="Elementary Speech, Language Pathway/_x000a_Audio"/>
  </r>
  <r>
    <x v="20"/>
    <s v="Personnel"/>
    <s v="E "/>
    <x v="0"/>
    <x v="22"/>
    <s v="PSES Elem Prog21Duty46 S275"/>
    <x v="1"/>
    <s v="46"/>
    <n v="46"/>
    <m/>
    <s v="   "/>
    <n v="2.9950000000000001"/>
    <n v="0.15290000000000001"/>
    <n v="0.45800000000000002"/>
    <s v="Elementary Psychologist"/>
  </r>
  <r>
    <x v="20"/>
    <s v="Personnel"/>
    <s v="E "/>
    <x v="0"/>
    <x v="32"/>
    <s v="PSES Elem Prog21Duty47 S275"/>
    <x v="1"/>
    <s v="47"/>
    <n v="47"/>
    <m/>
    <s v="   "/>
    <n v="0.12"/>
    <n v="0.15290000000000001"/>
    <n v="1.7999999999999999E-2"/>
    <s v="Elementary Nurse"/>
  </r>
  <r>
    <x v="20"/>
    <s v="Personnel"/>
    <s v="E "/>
    <x v="0"/>
    <x v="27"/>
    <s v="PSES Elem Prog01Duty47 S275"/>
    <x v="0"/>
    <s v="47"/>
    <n v="47"/>
    <m/>
    <s v="   "/>
    <n v="0.875"/>
    <n v="0.15290000000000001"/>
    <n v="0"/>
    <s v="Elementary Nurse"/>
  </r>
  <r>
    <x v="20"/>
    <s v="Personnel"/>
    <s v="E "/>
    <x v="0"/>
    <x v="35"/>
    <s v="PSES Elem Prog21Duty48 S275"/>
    <x v="1"/>
    <s v="48"/>
    <n v="48"/>
    <m/>
    <s v="   "/>
    <n v="1"/>
    <n v="0.15290000000000001"/>
    <n v="0.153"/>
    <s v="Elementary Physical Therapist"/>
  </r>
  <r>
    <x v="21"/>
    <s v="Personnel"/>
    <s v="E "/>
    <x v="0"/>
    <x v="15"/>
    <s v="PSES Elem Prog01Duty42 S275"/>
    <x v="0"/>
    <s v="42"/>
    <n v="42"/>
    <m/>
    <s v="   "/>
    <n v="0.63800000000000001"/>
    <n v="0.17349999999999999"/>
    <n v="0"/>
    <s v="Elementary Counselor"/>
  </r>
  <r>
    <x v="21"/>
    <s v="Personnel"/>
    <s v="H "/>
    <x v="1"/>
    <x v="16"/>
    <s v="PSES High Prog01Duty42 S275"/>
    <x v="0"/>
    <s v="42"/>
    <n v="42"/>
    <m/>
    <s v="   "/>
    <n v="1"/>
    <n v="0.17349999999999999"/>
    <n v="0"/>
    <s v="High Counselor"/>
  </r>
  <r>
    <x v="22"/>
    <s v="Personnel"/>
    <s v="H "/>
    <x v="1"/>
    <x v="5"/>
    <s v="PSES High Prog01Act25 S275"/>
    <x v="0"/>
    <s v="25"/>
    <m/>
    <n v="25"/>
    <s v="   "/>
    <n v="2.2959999999999998"/>
    <n v="0.14960000000000001"/>
    <n v="0"/>
    <s v="High Pupil Management"/>
  </r>
  <r>
    <x v="22"/>
    <s v="Personnel"/>
    <s v="H "/>
    <x v="1"/>
    <x v="29"/>
    <s v="PSES High Prog21Act26 S275"/>
    <x v="1"/>
    <s v="26"/>
    <m/>
    <n v="26"/>
    <s v="   "/>
    <n v="7.0000000000000007E-2"/>
    <n v="0.14960000000000001"/>
    <n v="0.01"/>
    <s v="High Health/_x000a_Related Services"/>
  </r>
  <r>
    <x v="22"/>
    <s v="Personnel"/>
    <s v="H "/>
    <x v="1"/>
    <x v="9"/>
    <s v="PSES High Prog01Act26 S275"/>
    <x v="0"/>
    <s v="26"/>
    <m/>
    <n v="26"/>
    <s v="   "/>
    <n v="0.81499999999999995"/>
    <n v="0.14960000000000001"/>
    <n v="0"/>
    <s v="High Health/_x000a_Related Services"/>
  </r>
  <r>
    <x v="22"/>
    <s v="Personnel"/>
    <s v="E "/>
    <x v="0"/>
    <x v="15"/>
    <s v="PSES Elem Prog01Duty42 S275"/>
    <x v="0"/>
    <s v="42"/>
    <n v="42"/>
    <m/>
    <s v="   "/>
    <n v="1.4999999999999999E-2"/>
    <n v="0.14960000000000001"/>
    <n v="0"/>
    <s v="Elementary Counselor"/>
  </r>
  <r>
    <x v="22"/>
    <s v="Personnel"/>
    <s v="H "/>
    <x v="1"/>
    <x v="16"/>
    <s v="PSES High Prog01Duty42 S275"/>
    <x v="0"/>
    <s v="42"/>
    <n v="42"/>
    <m/>
    <s v="   "/>
    <n v="0.9"/>
    <n v="0.14960000000000001"/>
    <n v="0"/>
    <s v="High Counselor"/>
  </r>
  <r>
    <x v="22"/>
    <s v="Personnel"/>
    <s v="M "/>
    <x v="2"/>
    <x v="17"/>
    <s v="PSES Mid Prog01Duty42 S275"/>
    <x v="0"/>
    <s v="42"/>
    <n v="42"/>
    <m/>
    <s v="   "/>
    <n v="0.88500000000000001"/>
    <n v="0.14960000000000001"/>
    <n v="0"/>
    <s v="Middle Counselor"/>
  </r>
  <r>
    <x v="22"/>
    <s v="Personnel"/>
    <s v="E "/>
    <x v="0"/>
    <x v="18"/>
    <s v="PSES Elem Prog21Duty43 S275"/>
    <x v="1"/>
    <s v="43"/>
    <n v="43"/>
    <m/>
    <s v="   "/>
    <n v="0.65400000000000003"/>
    <n v="0.14960000000000001"/>
    <n v="9.8000000000000004E-2"/>
    <s v="Elementary Occupational Therapist"/>
  </r>
  <r>
    <x v="22"/>
    <s v="Personnel"/>
    <s v="H "/>
    <x v="1"/>
    <x v="19"/>
    <s v="PSES High Prog21Duty43 S275"/>
    <x v="1"/>
    <s v="43"/>
    <n v="43"/>
    <m/>
    <s v="   "/>
    <n v="0.13800000000000001"/>
    <n v="0.14960000000000001"/>
    <n v="2.1000000000000001E-2"/>
    <s v="High Occupational Therapist"/>
  </r>
  <r>
    <x v="22"/>
    <s v="Personnel"/>
    <s v="M "/>
    <x v="2"/>
    <x v="31"/>
    <s v="PSES Mid Prog21Duty43 S275"/>
    <x v="1"/>
    <s v="43"/>
    <n v="43"/>
    <m/>
    <s v="   "/>
    <n v="0.104"/>
    <n v="0.14960000000000001"/>
    <n v="1.6E-2"/>
    <s v="Middle Occupational Therapist"/>
  </r>
  <r>
    <x v="22"/>
    <s v="Personnel"/>
    <s v="E "/>
    <x v="0"/>
    <x v="20"/>
    <s v="PSES Elem Prog21Duty45 S275"/>
    <x v="1"/>
    <s v="45"/>
    <n v="45"/>
    <m/>
    <s v="   "/>
    <n v="0.01"/>
    <n v="0.14960000000000001"/>
    <n v="1E-3"/>
    <s v="Elementary Speech, Language Pathway/_x000a_Audio"/>
  </r>
  <r>
    <x v="22"/>
    <s v="Personnel"/>
    <s v="H "/>
    <x v="1"/>
    <x v="21"/>
    <s v="PSES High Prog21Duty45 S275"/>
    <x v="1"/>
    <s v="45"/>
    <n v="45"/>
    <m/>
    <s v="   "/>
    <n v="2E-3"/>
    <n v="0.14960000000000001"/>
    <n v="0"/>
    <s v="High Speech, Language Pathway/_x000a_Audio"/>
  </r>
  <r>
    <x v="22"/>
    <s v="Personnel"/>
    <s v="E "/>
    <x v="0"/>
    <x v="38"/>
    <s v="PSES Elem Prog21Duty64 S275"/>
    <x v="1"/>
    <s v="64"/>
    <n v="64"/>
    <m/>
    <s v="   "/>
    <n v="0.33"/>
    <n v="0.14960000000000001"/>
    <n v="4.9000000000000002E-2"/>
    <s v="Elementary Contractor ESA"/>
  </r>
  <r>
    <x v="22"/>
    <s v="Personnel"/>
    <s v="H "/>
    <x v="1"/>
    <x v="59"/>
    <s v="PSES High Prog21Duty64 S275"/>
    <x v="1"/>
    <s v="64"/>
    <n v="64"/>
    <m/>
    <s v="   "/>
    <n v="0.72299999999999998"/>
    <n v="0.14960000000000001"/>
    <n v="0.108"/>
    <s v="High Contractor ESA"/>
  </r>
  <r>
    <x v="22"/>
    <s v="Personnel"/>
    <s v="M "/>
    <x v="2"/>
    <x v="60"/>
    <s v="PSES Mid Prog21Duty64 S275"/>
    <x v="1"/>
    <s v="64"/>
    <n v="64"/>
    <m/>
    <s v="   "/>
    <n v="0.20899999999999999"/>
    <n v="0.14960000000000001"/>
    <n v="3.1E-2"/>
    <s v="Middle Contractor ESA"/>
  </r>
  <r>
    <x v="23"/>
    <s v="Personnel"/>
    <s v="E "/>
    <x v="0"/>
    <x v="42"/>
    <s v="PSES Elem Prog01Duty44 S275"/>
    <x v="0"/>
    <s v="44"/>
    <n v="44"/>
    <m/>
    <s v="   "/>
    <n v="1.268"/>
    <n v="0.1067"/>
    <n v="0"/>
    <s v="Elementary Social Worker"/>
  </r>
  <r>
    <x v="23"/>
    <s v="Personnel"/>
    <s v="H "/>
    <x v="1"/>
    <x v="44"/>
    <s v="PSES High Prog01Duty44 S275"/>
    <x v="0"/>
    <s v="44"/>
    <n v="44"/>
    <m/>
    <s v="   "/>
    <n v="0.45100000000000001"/>
    <n v="0.1067"/>
    <n v="0"/>
    <s v="High Social Worker"/>
  </r>
  <r>
    <x v="23"/>
    <s v="Personnel"/>
    <s v="M "/>
    <x v="2"/>
    <x v="46"/>
    <s v="PSES Mid Prog01Duty44 S275"/>
    <x v="0"/>
    <s v="44"/>
    <n v="44"/>
    <m/>
    <s v="   "/>
    <n v="0.28100000000000003"/>
    <n v="0.1067"/>
    <n v="0"/>
    <s v="Middle Social Worker"/>
  </r>
  <r>
    <x v="24"/>
    <s v="Personnel"/>
    <s v="H "/>
    <x v="1"/>
    <x v="1"/>
    <s v="PSES High Prog01Duty96 S275"/>
    <x v="0"/>
    <s v="24"/>
    <n v="96"/>
    <n v="24"/>
    <s v="   "/>
    <n v="23.869"/>
    <n v="0.27689999999999998"/>
    <n v="0"/>
    <s v="High Family Engagement Coordinator"/>
  </r>
  <r>
    <x v="24"/>
    <s v="Personnel"/>
    <s v="H "/>
    <x v="1"/>
    <x v="5"/>
    <s v="PSES High Prog01Act25 S275"/>
    <x v="0"/>
    <s v="25"/>
    <m/>
    <n v="25"/>
    <s v="   "/>
    <n v="54.585000000000001"/>
    <n v="0.27689999999999998"/>
    <n v="0"/>
    <s v="High Pupil Management"/>
  </r>
  <r>
    <x v="24"/>
    <s v="Personnel"/>
    <s v="H "/>
    <x v="1"/>
    <x v="29"/>
    <s v="PSES High Prog21Act26 S275"/>
    <x v="1"/>
    <s v="26"/>
    <m/>
    <n v="26"/>
    <s v="   "/>
    <n v="2.2959999999999998"/>
    <n v="0.27689999999999998"/>
    <n v="0.63600000000000001"/>
    <s v="High Health/_x000a_Related Services"/>
  </r>
  <r>
    <x v="24"/>
    <s v="Personnel"/>
    <s v="H "/>
    <x v="1"/>
    <x v="9"/>
    <s v="PSES High Prog01Act26 S275"/>
    <x v="0"/>
    <s v="26"/>
    <m/>
    <n v="26"/>
    <s v="   "/>
    <n v="0.42099999999999999"/>
    <n v="0.27689999999999998"/>
    <n v="0"/>
    <s v="High Health/_x000a_Related Services"/>
  </r>
  <r>
    <x v="24"/>
    <s v="Personnel"/>
    <s v="H "/>
    <x v="1"/>
    <x v="12"/>
    <s v="PSES High Prog97Act35 S275"/>
    <x v="2"/>
    <s v="35"/>
    <m/>
    <n v="35"/>
    <s v="   "/>
    <n v="1.8919999999999999"/>
    <n v="0.27689999999999998"/>
    <n v="0"/>
    <s v="High Pupil Safety"/>
  </r>
  <r>
    <x v="24"/>
    <s v="Personnel"/>
    <s v="H "/>
    <x v="1"/>
    <x v="54"/>
    <s v="PSES High Prog01Act35 S275"/>
    <x v="0"/>
    <s v="35"/>
    <m/>
    <n v="35"/>
    <s v="   "/>
    <n v="12.811999999999999"/>
    <n v="0.27689999999999998"/>
    <n v="0"/>
    <s v="High Pupil Safety"/>
  </r>
  <r>
    <x v="24"/>
    <s v="Personnel"/>
    <s v="E "/>
    <x v="0"/>
    <x v="15"/>
    <s v="PSES Elem Prog01Duty42 S275"/>
    <x v="0"/>
    <s v="42"/>
    <n v="42"/>
    <m/>
    <s v="   "/>
    <n v="31.245000000000001"/>
    <n v="0.27689999999999998"/>
    <n v="0"/>
    <s v="Elementary Counselor"/>
  </r>
  <r>
    <x v="24"/>
    <s v="Personnel"/>
    <s v="H "/>
    <x v="1"/>
    <x v="16"/>
    <s v="PSES High Prog01Duty42 S275"/>
    <x v="0"/>
    <s v="42"/>
    <n v="42"/>
    <m/>
    <s v="   "/>
    <n v="22.08"/>
    <n v="0.27689999999999998"/>
    <n v="0"/>
    <s v="High Counselor"/>
  </r>
  <r>
    <x v="24"/>
    <s v="Personnel"/>
    <s v="M "/>
    <x v="2"/>
    <x v="17"/>
    <s v="PSES Mid Prog01Duty42 S275"/>
    <x v="0"/>
    <s v="42"/>
    <n v="42"/>
    <m/>
    <s v="   "/>
    <n v="12.244"/>
    <n v="0.27689999999999998"/>
    <n v="0"/>
    <s v="Middle Counselor"/>
  </r>
  <r>
    <x v="24"/>
    <s v="Personnel"/>
    <s v="E "/>
    <x v="0"/>
    <x v="18"/>
    <s v="PSES Elem Prog21Duty43 S275"/>
    <x v="1"/>
    <s v="43"/>
    <n v="43"/>
    <m/>
    <s v="   "/>
    <n v="16.585999999999999"/>
    <n v="0.27689999999999998"/>
    <n v="4.593"/>
    <s v="Elementary Occupational Therapist"/>
  </r>
  <r>
    <x v="24"/>
    <s v="Personnel"/>
    <s v="H "/>
    <x v="1"/>
    <x v="19"/>
    <s v="PSES High Prog21Duty43 S275"/>
    <x v="1"/>
    <s v="43"/>
    <n v="43"/>
    <m/>
    <s v="   "/>
    <n v="1.0489999999999999"/>
    <n v="0.27689999999999998"/>
    <n v="0.28999999999999998"/>
    <s v="High Occupational Therapist"/>
  </r>
  <r>
    <x v="24"/>
    <s v="Personnel"/>
    <s v="M "/>
    <x v="2"/>
    <x v="31"/>
    <s v="PSES Mid Prog21Duty43 S275"/>
    <x v="1"/>
    <s v="43"/>
    <n v="43"/>
    <m/>
    <s v="   "/>
    <n v="1.998"/>
    <n v="0.27689999999999998"/>
    <n v="0.55300000000000005"/>
    <s v="Middle Occupational Therapist"/>
  </r>
  <r>
    <x v="24"/>
    <s v="Personnel"/>
    <s v="E "/>
    <x v="0"/>
    <x v="20"/>
    <s v="PSES Elem Prog21Duty45 S275"/>
    <x v="1"/>
    <s v="45"/>
    <n v="45"/>
    <m/>
    <s v="   "/>
    <n v="34.188000000000002"/>
    <n v="0.27689999999999998"/>
    <n v="9.4670000000000005"/>
    <s v="Elementary Speech, Language Pathway/_x000a_Audio"/>
  </r>
  <r>
    <x v="24"/>
    <s v="Personnel"/>
    <s v="H "/>
    <x v="1"/>
    <x v="21"/>
    <s v="PSES High Prog21Duty45 S275"/>
    <x v="1"/>
    <s v="45"/>
    <n v="45"/>
    <m/>
    <s v="   "/>
    <n v="7.9340000000000002"/>
    <n v="0.27689999999999998"/>
    <n v="2.1970000000000001"/>
    <s v="High Speech, Language Pathway/_x000a_Audio"/>
  </r>
  <r>
    <x v="24"/>
    <s v="Personnel"/>
    <s v="M "/>
    <x v="2"/>
    <x v="28"/>
    <s v="PSES Mid Prog21Duty45 S275"/>
    <x v="1"/>
    <s v="45"/>
    <n v="45"/>
    <m/>
    <s v="   "/>
    <n v="4.9930000000000003"/>
    <n v="0.27689999999999998"/>
    <n v="1.383"/>
    <s v="Middle Speech, Language Pathway/_x000a_Audio"/>
  </r>
  <r>
    <x v="24"/>
    <s v="Personnel"/>
    <s v="E "/>
    <x v="0"/>
    <x v="22"/>
    <s v="PSES Elem Prog21Duty46 S275"/>
    <x v="1"/>
    <s v="46"/>
    <n v="46"/>
    <m/>
    <s v="   "/>
    <n v="12.129"/>
    <n v="0.27689999999999998"/>
    <n v="3.359"/>
    <s v="Elementary Psychologist"/>
  </r>
  <r>
    <x v="24"/>
    <s v="Personnel"/>
    <s v="H "/>
    <x v="1"/>
    <x v="23"/>
    <s v="PSES High Prog21Duty46 S275"/>
    <x v="1"/>
    <s v="46"/>
    <n v="46"/>
    <m/>
    <s v="   "/>
    <n v="6.8479999999999999"/>
    <n v="0.27689999999999998"/>
    <n v="1.8959999999999999"/>
    <s v="High Psychologist"/>
  </r>
  <r>
    <x v="24"/>
    <s v="Personnel"/>
    <s v="M "/>
    <x v="2"/>
    <x v="24"/>
    <s v="PSES Mid Prog21Duty46 S275"/>
    <x v="1"/>
    <s v="46"/>
    <n v="46"/>
    <m/>
    <s v="   "/>
    <n v="3.22"/>
    <n v="0.27689999999999998"/>
    <n v="0.89200000000000002"/>
    <s v="Middle Psychologist"/>
  </r>
  <r>
    <x v="24"/>
    <s v="Personnel"/>
    <s v="E "/>
    <x v="0"/>
    <x v="32"/>
    <s v="PSES Elem Prog21Duty47 S275"/>
    <x v="1"/>
    <s v="47"/>
    <n v="47"/>
    <m/>
    <s v="   "/>
    <n v="0.05"/>
    <n v="0.27689999999999998"/>
    <n v="1.4E-2"/>
    <s v="Elementary Nurse"/>
  </r>
  <r>
    <x v="24"/>
    <s v="Personnel"/>
    <s v="E "/>
    <x v="0"/>
    <x v="27"/>
    <s v="PSES Elem Prog01Duty47 S275"/>
    <x v="0"/>
    <s v="47"/>
    <n v="47"/>
    <m/>
    <s v="   "/>
    <n v="8.76"/>
    <n v="0.27689999999999998"/>
    <n v="0"/>
    <s v="Elementary Nurse"/>
  </r>
  <r>
    <x v="24"/>
    <s v="Personnel"/>
    <s v="H "/>
    <x v="1"/>
    <x v="61"/>
    <s v="PSES High Prog21Duty47 S275"/>
    <x v="1"/>
    <s v="47"/>
    <n v="47"/>
    <m/>
    <s v="   "/>
    <n v="2.7E-2"/>
    <n v="0.27689999999999998"/>
    <n v="7.0000000000000001E-3"/>
    <s v="High Nurse"/>
  </r>
  <r>
    <x v="24"/>
    <s v="Personnel"/>
    <s v="H "/>
    <x v="1"/>
    <x v="25"/>
    <s v="PSES High Prog01Duty47 S275"/>
    <x v="0"/>
    <s v="47"/>
    <n v="47"/>
    <m/>
    <s v="   "/>
    <n v="6.3710000000000004"/>
    <n v="0.27689999999999998"/>
    <n v="0"/>
    <s v="High Nurse"/>
  </r>
  <r>
    <x v="24"/>
    <s v="Personnel"/>
    <s v="M "/>
    <x v="2"/>
    <x v="33"/>
    <s v="PSES Mid Prog21Duty47 S275"/>
    <x v="1"/>
    <s v="47"/>
    <n v="47"/>
    <m/>
    <s v="   "/>
    <n v="2.3E-2"/>
    <n v="0.27689999999999998"/>
    <n v="6.0000000000000001E-3"/>
    <s v="Middle Nurse"/>
  </r>
  <r>
    <x v="24"/>
    <s v="Personnel"/>
    <s v="M "/>
    <x v="2"/>
    <x v="34"/>
    <s v="PSES Mid Prog01Duty47 S275"/>
    <x v="0"/>
    <s v="47"/>
    <n v="47"/>
    <m/>
    <s v="   "/>
    <n v="3.78"/>
    <n v="0.27689999999999998"/>
    <n v="0"/>
    <s v="Middle Nurse"/>
  </r>
  <r>
    <x v="24"/>
    <s v="Personnel"/>
    <s v="E "/>
    <x v="0"/>
    <x v="35"/>
    <s v="PSES Elem Prog21Duty48 S275"/>
    <x v="1"/>
    <s v="48"/>
    <n v="48"/>
    <m/>
    <s v="   "/>
    <n v="2.823"/>
    <n v="0.27689999999999998"/>
    <n v="0.78200000000000003"/>
    <s v="Elementary Physical Therapist"/>
  </r>
  <r>
    <x v="24"/>
    <s v="Personnel"/>
    <s v="H "/>
    <x v="1"/>
    <x v="36"/>
    <s v="PSES High Prog21Duty48 S275"/>
    <x v="1"/>
    <s v="48"/>
    <n v="48"/>
    <m/>
    <s v="   "/>
    <n v="0.23699999999999999"/>
    <n v="0.27689999999999998"/>
    <n v="6.6000000000000003E-2"/>
    <s v="High Physical Therapist"/>
  </r>
  <r>
    <x v="24"/>
    <s v="Personnel"/>
    <s v="M "/>
    <x v="2"/>
    <x v="37"/>
    <s v="PSES Mid Prog21Duty48 S275"/>
    <x v="1"/>
    <s v="48"/>
    <n v="48"/>
    <m/>
    <s v="   "/>
    <n v="0.34"/>
    <n v="0.27689999999999998"/>
    <n v="9.4E-2"/>
    <s v="Middle Physical Therapist"/>
  </r>
  <r>
    <x v="25"/>
    <s v="Personnel"/>
    <s v="E "/>
    <x v="0"/>
    <x v="62"/>
    <s v="PSES Elem Prog01Act35 S275"/>
    <x v="0"/>
    <s v="35"/>
    <m/>
    <n v="35"/>
    <s v="   "/>
    <n v="0.754"/>
    <n v="0.1608"/>
    <n v="0"/>
    <s v="Elementary Pupil Safety"/>
  </r>
  <r>
    <x v="25"/>
    <s v="Personnel"/>
    <s v="H "/>
    <x v="1"/>
    <x v="54"/>
    <s v="PSES High Prog01Act35 S275"/>
    <x v="0"/>
    <s v="35"/>
    <m/>
    <n v="35"/>
    <s v="   "/>
    <n v="0.754"/>
    <n v="0.1608"/>
    <n v="0"/>
    <s v="High Pupil Safety"/>
  </r>
  <r>
    <x v="25"/>
    <s v="Personnel"/>
    <s v="M "/>
    <x v="2"/>
    <x v="63"/>
    <s v="PSES Mid Prog01Act35 S275"/>
    <x v="0"/>
    <s v="35"/>
    <m/>
    <n v="35"/>
    <s v="   "/>
    <n v="0.754"/>
    <n v="0.1608"/>
    <n v="0"/>
    <s v="Middle Pupil Safety"/>
  </r>
  <r>
    <x v="25"/>
    <s v="Personnel"/>
    <s v="E "/>
    <x v="0"/>
    <x v="15"/>
    <s v="PSES Elem Prog01Duty42 S275"/>
    <x v="0"/>
    <s v="42"/>
    <n v="42"/>
    <m/>
    <s v="   "/>
    <n v="1"/>
    <n v="0.1608"/>
    <n v="0"/>
    <s v="Elementary Counselor"/>
  </r>
  <r>
    <x v="25"/>
    <s v="Personnel"/>
    <s v="H "/>
    <x v="1"/>
    <x v="16"/>
    <s v="PSES High Prog01Duty42 S275"/>
    <x v="0"/>
    <s v="42"/>
    <n v="42"/>
    <m/>
    <s v="   "/>
    <n v="2"/>
    <n v="0.1608"/>
    <n v="0"/>
    <s v="High Counselor"/>
  </r>
  <r>
    <x v="25"/>
    <s v="Personnel"/>
    <s v="M "/>
    <x v="2"/>
    <x v="17"/>
    <s v="PSES Mid Prog01Duty42 S275"/>
    <x v="0"/>
    <s v="42"/>
    <n v="42"/>
    <m/>
    <s v="   "/>
    <n v="1"/>
    <n v="0.1608"/>
    <n v="0"/>
    <s v="Middle Counselor"/>
  </r>
  <r>
    <x v="25"/>
    <s v="Personnel"/>
    <s v="E "/>
    <x v="0"/>
    <x v="18"/>
    <s v="PSES Elem Prog21Duty43 S275"/>
    <x v="1"/>
    <s v="43"/>
    <n v="43"/>
    <m/>
    <s v="   "/>
    <n v="3"/>
    <n v="0.1608"/>
    <n v="0.48199999999999998"/>
    <s v="Elementary Occupational Therapist"/>
  </r>
  <r>
    <x v="25"/>
    <s v="Personnel"/>
    <s v="E "/>
    <x v="0"/>
    <x v="64"/>
    <s v="PSES Elem Prog09Duty44 S275"/>
    <x v="3"/>
    <s v="44"/>
    <n v="44"/>
    <m/>
    <s v="   "/>
    <n v="0.5"/>
    <n v="0.1608"/>
    <n v="0"/>
    <s v="TK Social Worker"/>
  </r>
  <r>
    <x v="25"/>
    <s v="Personnel"/>
    <s v="E "/>
    <x v="0"/>
    <x v="41"/>
    <s v="PSES Elem Prog21Duty44 S275"/>
    <x v="1"/>
    <s v="44"/>
    <n v="44"/>
    <m/>
    <s v="   "/>
    <n v="0.6"/>
    <n v="0.1608"/>
    <n v="9.6000000000000002E-2"/>
    <s v="Elementary Social Worker"/>
  </r>
  <r>
    <x v="25"/>
    <s v="Personnel"/>
    <s v="E "/>
    <x v="0"/>
    <x v="42"/>
    <s v="PSES Elem Prog01Duty44 S275"/>
    <x v="0"/>
    <s v="44"/>
    <n v="44"/>
    <m/>
    <s v="   "/>
    <n v="0.4"/>
    <n v="0.1608"/>
    <n v="0"/>
    <s v="Elementary Social Worker"/>
  </r>
  <r>
    <x v="25"/>
    <s v="Personnel"/>
    <s v="E "/>
    <x v="0"/>
    <x v="22"/>
    <s v="PSES Elem Prog21Duty46 S275"/>
    <x v="1"/>
    <s v="46"/>
    <n v="46"/>
    <m/>
    <s v="   "/>
    <n v="0.95"/>
    <n v="0.1608"/>
    <n v="0.153"/>
    <s v="Elementary Psychologist"/>
  </r>
  <r>
    <x v="25"/>
    <s v="Personnel"/>
    <s v="H "/>
    <x v="1"/>
    <x v="23"/>
    <s v="PSES High Prog21Duty46 S275"/>
    <x v="1"/>
    <s v="46"/>
    <n v="46"/>
    <m/>
    <s v="   "/>
    <n v="0.45"/>
    <n v="0.1608"/>
    <n v="7.1999999999999995E-2"/>
    <s v="High Psychologist"/>
  </r>
  <r>
    <x v="25"/>
    <s v="Personnel"/>
    <s v="M "/>
    <x v="2"/>
    <x v="24"/>
    <s v="PSES Mid Prog21Duty46 S275"/>
    <x v="1"/>
    <s v="46"/>
    <n v="46"/>
    <m/>
    <s v="   "/>
    <n v="0.5"/>
    <n v="0.1608"/>
    <n v="0.08"/>
    <s v="Middle Psychologist"/>
  </r>
  <r>
    <x v="25"/>
    <s v="Personnel"/>
    <s v="E "/>
    <x v="0"/>
    <x v="35"/>
    <s v="PSES Elem Prog21Duty48 S275"/>
    <x v="1"/>
    <s v="48"/>
    <n v="48"/>
    <m/>
    <s v="   "/>
    <n v="0.4"/>
    <n v="0.1608"/>
    <n v="6.4000000000000001E-2"/>
    <s v="Elementary Physical Therapist"/>
  </r>
  <r>
    <x v="26"/>
    <s v="Personnel"/>
    <s v="E "/>
    <x v="0"/>
    <x v="3"/>
    <s v="PSES Elem Prog01Act25 S275"/>
    <x v="0"/>
    <s v="25"/>
    <m/>
    <n v="25"/>
    <s v="   "/>
    <n v="1.7949999999999999"/>
    <n v="0.2359"/>
    <n v="0"/>
    <s v="Elementary Pupil Management"/>
  </r>
  <r>
    <x v="26"/>
    <s v="Personnel"/>
    <s v="H "/>
    <x v="1"/>
    <x v="5"/>
    <s v="PSES High Prog01Act25 S275"/>
    <x v="0"/>
    <s v="25"/>
    <m/>
    <n v="25"/>
    <s v="   "/>
    <n v="1.9E-2"/>
    <n v="0.2359"/>
    <n v="0"/>
    <s v="High Pupil Management"/>
  </r>
  <r>
    <x v="26"/>
    <s v="Personnel"/>
    <s v="M "/>
    <x v="2"/>
    <x v="6"/>
    <s v="PSES Mid Prog01Act25 S275"/>
    <x v="0"/>
    <s v="25"/>
    <m/>
    <n v="25"/>
    <s v="   "/>
    <n v="0.105"/>
    <n v="0.2359"/>
    <n v="0"/>
    <s v="Middle Pupil Management"/>
  </r>
  <r>
    <x v="26"/>
    <s v="Personnel"/>
    <s v="E "/>
    <x v="0"/>
    <x v="8"/>
    <s v="PSES Elem Prog01Act26 S275"/>
    <x v="0"/>
    <s v="26"/>
    <m/>
    <n v="26"/>
    <s v="   "/>
    <n v="0.69899999999999995"/>
    <n v="0.2359"/>
    <n v="0"/>
    <s v="Elementary Health/_x000a_Related Services"/>
  </r>
  <r>
    <x v="26"/>
    <s v="Personnel"/>
    <s v="E "/>
    <x v="0"/>
    <x v="15"/>
    <s v="PSES Elem Prog01Duty42 S275"/>
    <x v="0"/>
    <s v="42"/>
    <n v="42"/>
    <m/>
    <s v="   "/>
    <n v="2.33"/>
    <n v="0.2359"/>
    <n v="0"/>
    <s v="Elementary Counselor"/>
  </r>
  <r>
    <x v="26"/>
    <s v="Personnel"/>
    <s v="H "/>
    <x v="1"/>
    <x v="16"/>
    <s v="PSES High Prog01Duty42 S275"/>
    <x v="0"/>
    <s v="42"/>
    <n v="42"/>
    <m/>
    <s v="   "/>
    <n v="1.66"/>
    <n v="0.2359"/>
    <n v="0"/>
    <s v="High Counselor"/>
  </r>
  <r>
    <x v="26"/>
    <s v="Personnel"/>
    <s v="M "/>
    <x v="2"/>
    <x v="17"/>
    <s v="PSES Mid Prog01Duty42 S275"/>
    <x v="0"/>
    <s v="42"/>
    <n v="42"/>
    <m/>
    <s v="   "/>
    <n v="0.56999999999999995"/>
    <n v="0.2359"/>
    <n v="0"/>
    <s v="Middle Counselor"/>
  </r>
  <r>
    <x v="26"/>
    <s v="Personnel"/>
    <s v="E "/>
    <x v="0"/>
    <x v="20"/>
    <s v="PSES Elem Prog21Duty45 S275"/>
    <x v="1"/>
    <s v="45"/>
    <n v="45"/>
    <m/>
    <s v="   "/>
    <n v="2.59"/>
    <n v="0.2359"/>
    <n v="0.61099999999999999"/>
    <s v="Elementary Speech, Language Pathway/_x000a_Audio"/>
  </r>
  <r>
    <x v="26"/>
    <s v="Personnel"/>
    <s v="H "/>
    <x v="1"/>
    <x v="21"/>
    <s v="PSES High Prog21Duty45 S275"/>
    <x v="1"/>
    <s v="45"/>
    <n v="45"/>
    <m/>
    <s v="   "/>
    <n v="0.22"/>
    <n v="0.2359"/>
    <n v="5.1999999999999998E-2"/>
    <s v="High Speech, Language Pathway/_x000a_Audio"/>
  </r>
  <r>
    <x v="26"/>
    <s v="Personnel"/>
    <s v="M "/>
    <x v="2"/>
    <x v="28"/>
    <s v="PSES Mid Prog21Duty45 S275"/>
    <x v="1"/>
    <s v="45"/>
    <n v="45"/>
    <m/>
    <s v="   "/>
    <n v="0.19"/>
    <n v="0.2359"/>
    <n v="4.4999999999999998E-2"/>
    <s v="Middle Speech, Language Pathway/_x000a_Audio"/>
  </r>
  <r>
    <x v="26"/>
    <s v="Personnel"/>
    <s v="E "/>
    <x v="0"/>
    <x v="38"/>
    <s v="PSES Elem Prog21Duty64 S275"/>
    <x v="1"/>
    <s v="64"/>
    <n v="64"/>
    <m/>
    <s v="   "/>
    <n v="0.57099999999999995"/>
    <n v="0.2359"/>
    <n v="0.13500000000000001"/>
    <s v="Elementary Contractor ESA"/>
  </r>
  <r>
    <x v="27"/>
    <s v="Personnel"/>
    <s v="H "/>
    <x v="1"/>
    <x v="5"/>
    <s v="PSES High Prog01Act25 S275"/>
    <x v="0"/>
    <s v="25"/>
    <m/>
    <n v="25"/>
    <s v="   "/>
    <n v="0.55200000000000005"/>
    <n v="0.1913"/>
    <n v="0"/>
    <s v="High Pupil Management"/>
  </r>
  <r>
    <x v="27"/>
    <s v="Personnel"/>
    <s v="H "/>
    <x v="1"/>
    <x v="9"/>
    <s v="PSES High Prog01Act26 S275"/>
    <x v="0"/>
    <s v="26"/>
    <m/>
    <n v="26"/>
    <s v="   "/>
    <n v="0.25"/>
    <n v="0.1913"/>
    <n v="0"/>
    <s v="High Health/_x000a_Related Services"/>
  </r>
  <r>
    <x v="27"/>
    <s v="Personnel"/>
    <s v="M "/>
    <x v="2"/>
    <x v="17"/>
    <s v="PSES Mid Prog01Duty42 S275"/>
    <x v="0"/>
    <s v="42"/>
    <n v="42"/>
    <m/>
    <s v="   "/>
    <n v="0.34399999999999997"/>
    <n v="0.1913"/>
    <n v="0"/>
    <s v="Middle Counselor"/>
  </r>
  <r>
    <x v="28"/>
    <s v="Personnel"/>
    <s v="E "/>
    <x v="0"/>
    <x v="0"/>
    <s v="PSES Elem Prog01Duty96 S275"/>
    <x v="0"/>
    <s v="24"/>
    <n v="96"/>
    <n v="24"/>
    <s v="   "/>
    <n v="0.61399999999999999"/>
    <n v="0.2361"/>
    <n v="0"/>
    <s v="Elementary Family Engagement Coordinator"/>
  </r>
  <r>
    <x v="28"/>
    <s v="Personnel"/>
    <s v="H "/>
    <x v="1"/>
    <x v="1"/>
    <s v="PSES High Prog01Duty96 S275"/>
    <x v="0"/>
    <s v="24"/>
    <n v="96"/>
    <n v="24"/>
    <s v="   "/>
    <n v="0.53700000000000003"/>
    <n v="0.2361"/>
    <n v="0"/>
    <s v="High Family Engagement Coordinator"/>
  </r>
  <r>
    <x v="28"/>
    <s v="Personnel"/>
    <s v="M "/>
    <x v="2"/>
    <x v="2"/>
    <s v="PSES Mid Prog01Duty96 S275"/>
    <x v="0"/>
    <s v="24"/>
    <n v="96"/>
    <n v="24"/>
    <s v="   "/>
    <n v="0.20799999999999999"/>
    <n v="0.2361"/>
    <n v="0"/>
    <s v="Middle Family Engagement Coordinator"/>
  </r>
  <r>
    <x v="28"/>
    <s v="Personnel"/>
    <s v="E "/>
    <x v="0"/>
    <x v="3"/>
    <s v="PSES Elem Prog01Act25 S275"/>
    <x v="0"/>
    <s v="25"/>
    <m/>
    <n v="25"/>
    <s v="   "/>
    <n v="2.9620000000000002"/>
    <n v="0.2361"/>
    <n v="0"/>
    <s v="Elementary Pupil Management"/>
  </r>
  <r>
    <x v="28"/>
    <s v="Personnel"/>
    <s v="H "/>
    <x v="1"/>
    <x v="5"/>
    <s v="PSES High Prog01Act25 S275"/>
    <x v="0"/>
    <s v="25"/>
    <m/>
    <n v="25"/>
    <s v="   "/>
    <n v="0.76700000000000002"/>
    <n v="0.2361"/>
    <n v="0"/>
    <s v="High Pupil Management"/>
  </r>
  <r>
    <x v="28"/>
    <s v="Personnel"/>
    <s v="M "/>
    <x v="2"/>
    <x v="6"/>
    <s v="PSES Mid Prog01Act25 S275"/>
    <x v="0"/>
    <s v="25"/>
    <m/>
    <n v="25"/>
    <s v="   "/>
    <n v="0.215"/>
    <n v="0.2361"/>
    <n v="0"/>
    <s v="Middle Pupil Management"/>
  </r>
  <r>
    <x v="28"/>
    <s v="Personnel"/>
    <s v="H "/>
    <x v="1"/>
    <x v="54"/>
    <s v="PSES High Prog01Act35 S275"/>
    <x v="0"/>
    <s v="35"/>
    <m/>
    <n v="35"/>
    <s v="   "/>
    <n v="1.3340000000000001"/>
    <n v="0.2361"/>
    <n v="0"/>
    <s v="High Pupil Safety"/>
  </r>
  <r>
    <x v="28"/>
    <s v="Personnel"/>
    <s v="E "/>
    <x v="0"/>
    <x v="15"/>
    <s v="PSES Elem Prog01Duty42 S275"/>
    <x v="0"/>
    <s v="42"/>
    <n v="42"/>
    <m/>
    <s v="   "/>
    <n v="3.9409999999999998"/>
    <n v="0.2361"/>
    <n v="0"/>
    <s v="Elementary Counselor"/>
  </r>
  <r>
    <x v="28"/>
    <s v="Personnel"/>
    <s v="H "/>
    <x v="1"/>
    <x v="16"/>
    <s v="PSES High Prog01Duty42 S275"/>
    <x v="0"/>
    <s v="42"/>
    <n v="42"/>
    <m/>
    <s v="   "/>
    <n v="2.2719999999999998"/>
    <n v="0.2361"/>
    <n v="0"/>
    <s v="High Counselor"/>
  </r>
  <r>
    <x v="28"/>
    <s v="Personnel"/>
    <s v="M "/>
    <x v="2"/>
    <x v="17"/>
    <s v="PSES Mid Prog01Duty42 S275"/>
    <x v="0"/>
    <s v="42"/>
    <n v="42"/>
    <m/>
    <s v="   "/>
    <n v="1.0369999999999999"/>
    <n v="0.2361"/>
    <n v="0"/>
    <s v="Middle Counselor"/>
  </r>
  <r>
    <x v="28"/>
    <s v="Personnel"/>
    <s v="E "/>
    <x v="0"/>
    <x v="18"/>
    <s v="PSES Elem Prog21Duty43 S275"/>
    <x v="1"/>
    <s v="43"/>
    <n v="43"/>
    <m/>
    <s v="   "/>
    <n v="0.92"/>
    <n v="0.2361"/>
    <n v="0.217"/>
    <s v="Elementary Occupational Therapist"/>
  </r>
  <r>
    <x v="28"/>
    <s v="Personnel"/>
    <s v="H "/>
    <x v="1"/>
    <x v="19"/>
    <s v="PSES High Prog21Duty43 S275"/>
    <x v="1"/>
    <s v="43"/>
    <n v="43"/>
    <m/>
    <s v="   "/>
    <n v="0.48"/>
    <n v="0.2361"/>
    <n v="0.113"/>
    <s v="High Occupational Therapist"/>
  </r>
  <r>
    <x v="28"/>
    <s v="Personnel"/>
    <s v="E "/>
    <x v="0"/>
    <x v="20"/>
    <s v="PSES Elem Prog21Duty45 S275"/>
    <x v="1"/>
    <s v="45"/>
    <n v="45"/>
    <m/>
    <s v="   "/>
    <n v="3.9140000000000001"/>
    <n v="0.2361"/>
    <n v="0.92400000000000004"/>
    <s v="Elementary Speech, Language Pathway/_x000a_Audio"/>
  </r>
  <r>
    <x v="28"/>
    <s v="Personnel"/>
    <s v="H "/>
    <x v="1"/>
    <x v="21"/>
    <s v="PSES High Prog21Duty45 S275"/>
    <x v="1"/>
    <s v="45"/>
    <n v="45"/>
    <m/>
    <s v="   "/>
    <n v="1"/>
    <n v="0.2361"/>
    <n v="0.23599999999999999"/>
    <s v="High Speech, Language Pathway/_x000a_Audio"/>
  </r>
  <r>
    <x v="28"/>
    <s v="Personnel"/>
    <s v="M "/>
    <x v="2"/>
    <x v="28"/>
    <s v="PSES Mid Prog21Duty45 S275"/>
    <x v="1"/>
    <s v="45"/>
    <n v="45"/>
    <m/>
    <s v="   "/>
    <n v="0.67500000000000004"/>
    <n v="0.2361"/>
    <n v="0.159"/>
    <s v="Middle Speech, Language Pathway/_x000a_Audio"/>
  </r>
  <r>
    <x v="28"/>
    <s v="Personnel"/>
    <s v="E "/>
    <x v="0"/>
    <x v="35"/>
    <s v="PSES Elem Prog21Duty48 S275"/>
    <x v="1"/>
    <s v="48"/>
    <n v="48"/>
    <m/>
    <s v="   "/>
    <n v="0.2"/>
    <n v="0.2361"/>
    <n v="4.7E-2"/>
    <s v="Elementary Physical Therapist"/>
  </r>
  <r>
    <x v="29"/>
    <s v="Personnel"/>
    <s v="H "/>
    <x v="1"/>
    <x v="4"/>
    <s v="PSES High Prog21Act25 S275"/>
    <x v="1"/>
    <s v="25"/>
    <m/>
    <n v="25"/>
    <s v="   "/>
    <n v="0.83199999999999996"/>
    <n v="0.21540000000000001"/>
    <n v="0.17899999999999999"/>
    <s v="High Pupil Management"/>
  </r>
  <r>
    <x v="29"/>
    <s v="Personnel"/>
    <s v="H "/>
    <x v="1"/>
    <x v="5"/>
    <s v="PSES High Prog01Act25 S275"/>
    <x v="0"/>
    <s v="25"/>
    <m/>
    <n v="25"/>
    <s v="   "/>
    <n v="36.594999999999999"/>
    <n v="0.21540000000000001"/>
    <n v="0"/>
    <s v="High Pupil Management"/>
  </r>
  <r>
    <x v="29"/>
    <s v="Personnel"/>
    <s v="H "/>
    <x v="1"/>
    <x v="29"/>
    <s v="PSES High Prog21Act26 S275"/>
    <x v="1"/>
    <s v="26"/>
    <m/>
    <n v="26"/>
    <s v="   "/>
    <n v="3.3460000000000001"/>
    <n v="0.21540000000000001"/>
    <n v="0.72099999999999997"/>
    <s v="High Health/_x000a_Related Services"/>
  </r>
  <r>
    <x v="29"/>
    <s v="Personnel"/>
    <s v="H "/>
    <x v="1"/>
    <x v="9"/>
    <s v="PSES High Prog01Act26 S275"/>
    <x v="0"/>
    <s v="26"/>
    <m/>
    <n v="26"/>
    <s v="   "/>
    <n v="6.3860000000000001"/>
    <n v="0.21540000000000001"/>
    <n v="0"/>
    <s v="High Health/_x000a_Related Services"/>
  </r>
  <r>
    <x v="29"/>
    <s v="Personnel"/>
    <s v="H "/>
    <x v="1"/>
    <x v="54"/>
    <s v="PSES High Prog01Act35 S275"/>
    <x v="0"/>
    <s v="35"/>
    <m/>
    <n v="35"/>
    <s v="   "/>
    <n v="15.875999999999999"/>
    <n v="0.21540000000000001"/>
    <n v="0"/>
    <s v="High Pupil Safety"/>
  </r>
  <r>
    <x v="29"/>
    <s v="Personnel"/>
    <s v="E "/>
    <x v="0"/>
    <x v="14"/>
    <s v="PSES Elem Prog21Duty39 S275"/>
    <x v="1"/>
    <s v="39"/>
    <n v="39"/>
    <m/>
    <s v="   "/>
    <n v="1"/>
    <n v="0.21540000000000001"/>
    <n v="0.215"/>
    <s v="Elementary Orientation &amp; Mobility Specialist"/>
  </r>
  <r>
    <x v="29"/>
    <s v="Personnel"/>
    <s v="E "/>
    <x v="0"/>
    <x v="15"/>
    <s v="PSES Elem Prog01Duty42 S275"/>
    <x v="0"/>
    <s v="42"/>
    <n v="42"/>
    <m/>
    <s v="   "/>
    <n v="20.745999999999999"/>
    <n v="0.21540000000000001"/>
    <n v="0"/>
    <s v="Elementary Counselor"/>
  </r>
  <r>
    <x v="29"/>
    <s v="Personnel"/>
    <s v="H "/>
    <x v="1"/>
    <x v="16"/>
    <s v="PSES High Prog01Duty42 S275"/>
    <x v="0"/>
    <s v="42"/>
    <n v="42"/>
    <m/>
    <s v="   "/>
    <n v="20.317"/>
    <n v="0.21540000000000001"/>
    <n v="0"/>
    <s v="High Counselor"/>
  </r>
  <r>
    <x v="29"/>
    <s v="Personnel"/>
    <s v="M "/>
    <x v="2"/>
    <x v="17"/>
    <s v="PSES Mid Prog01Duty42 S275"/>
    <x v="0"/>
    <s v="42"/>
    <n v="42"/>
    <m/>
    <s v="   "/>
    <n v="9.7539999999999996"/>
    <n v="0.21540000000000001"/>
    <n v="0"/>
    <s v="Middle Counselor"/>
  </r>
  <r>
    <x v="29"/>
    <s v="Personnel"/>
    <s v="E "/>
    <x v="0"/>
    <x v="18"/>
    <s v="PSES Elem Prog21Duty43 S275"/>
    <x v="1"/>
    <s v="43"/>
    <n v="43"/>
    <m/>
    <s v="   "/>
    <n v="9.4320000000000004"/>
    <n v="0.21540000000000001"/>
    <n v="2.032"/>
    <s v="Elementary Occupational Therapist"/>
  </r>
  <r>
    <x v="29"/>
    <s v="Personnel"/>
    <s v="H "/>
    <x v="1"/>
    <x v="19"/>
    <s v="PSES High Prog21Duty43 S275"/>
    <x v="1"/>
    <s v="43"/>
    <n v="43"/>
    <m/>
    <s v="   "/>
    <n v="0.7"/>
    <n v="0.21540000000000001"/>
    <n v="0.151"/>
    <s v="High Occupational Therapist"/>
  </r>
  <r>
    <x v="29"/>
    <s v="Personnel"/>
    <s v="M "/>
    <x v="2"/>
    <x v="31"/>
    <s v="PSES Mid Prog21Duty43 S275"/>
    <x v="1"/>
    <s v="43"/>
    <n v="43"/>
    <m/>
    <s v="   "/>
    <n v="0.46800000000000003"/>
    <n v="0.21540000000000001"/>
    <n v="0.10100000000000001"/>
    <s v="Middle Occupational Therapist"/>
  </r>
  <r>
    <x v="29"/>
    <s v="Personnel"/>
    <s v="E "/>
    <x v="0"/>
    <x v="42"/>
    <s v="PSES Elem Prog01Duty44 S275"/>
    <x v="0"/>
    <s v="44"/>
    <n v="44"/>
    <m/>
    <s v="   "/>
    <n v="5.6660000000000004"/>
    <n v="0.21540000000000001"/>
    <n v="0"/>
    <s v="Elementary Social Worker"/>
  </r>
  <r>
    <x v="29"/>
    <s v="Personnel"/>
    <s v="M "/>
    <x v="2"/>
    <x v="46"/>
    <s v="PSES Mid Prog01Duty44 S275"/>
    <x v="0"/>
    <s v="44"/>
    <n v="44"/>
    <m/>
    <s v="   "/>
    <n v="1.3340000000000001"/>
    <n v="0.21540000000000001"/>
    <n v="0"/>
    <s v="Middle Social Worker"/>
  </r>
  <r>
    <x v="29"/>
    <s v="Personnel"/>
    <s v="E "/>
    <x v="0"/>
    <x v="20"/>
    <s v="PSES Elem Prog21Duty45 S275"/>
    <x v="1"/>
    <s v="45"/>
    <n v="45"/>
    <m/>
    <s v="   "/>
    <n v="28.527999999999999"/>
    <n v="0.21540000000000001"/>
    <n v="6.1449999999999996"/>
    <s v="Elementary Speech, Language Pathway/_x000a_Audio"/>
  </r>
  <r>
    <x v="29"/>
    <s v="Personnel"/>
    <s v="H "/>
    <x v="1"/>
    <x v="21"/>
    <s v="PSES High Prog21Duty45 S275"/>
    <x v="1"/>
    <s v="45"/>
    <n v="45"/>
    <m/>
    <s v="   "/>
    <n v="9.3390000000000004"/>
    <n v="0.21540000000000001"/>
    <n v="2.012"/>
    <s v="High Speech, Language Pathway/_x000a_Audio"/>
  </r>
  <r>
    <x v="29"/>
    <s v="Personnel"/>
    <s v="M "/>
    <x v="2"/>
    <x v="28"/>
    <s v="PSES Mid Prog21Duty45 S275"/>
    <x v="1"/>
    <s v="45"/>
    <n v="45"/>
    <m/>
    <s v="   "/>
    <n v="4.6719999999999997"/>
    <n v="0.21540000000000001"/>
    <n v="1.006"/>
    <s v="Middle Speech, Language Pathway/_x000a_Audio"/>
  </r>
  <r>
    <x v="29"/>
    <s v="Personnel"/>
    <s v="E "/>
    <x v="0"/>
    <x v="22"/>
    <s v="PSES Elem Prog21Duty46 S275"/>
    <x v="1"/>
    <s v="46"/>
    <n v="46"/>
    <m/>
    <s v="   "/>
    <n v="13.45"/>
    <n v="0.21540000000000001"/>
    <n v="2.8969999999999998"/>
    <s v="Elementary Psychologist"/>
  </r>
  <r>
    <x v="29"/>
    <s v="Personnel"/>
    <s v="H "/>
    <x v="1"/>
    <x v="23"/>
    <s v="PSES High Prog21Duty46 S275"/>
    <x v="1"/>
    <s v="46"/>
    <n v="46"/>
    <m/>
    <s v="   "/>
    <n v="4.25"/>
    <n v="0.21540000000000001"/>
    <n v="0.91500000000000004"/>
    <s v="High Psychologist"/>
  </r>
  <r>
    <x v="29"/>
    <s v="Personnel"/>
    <s v="M "/>
    <x v="2"/>
    <x v="24"/>
    <s v="PSES Mid Prog21Duty46 S275"/>
    <x v="1"/>
    <s v="46"/>
    <n v="46"/>
    <m/>
    <s v="   "/>
    <n v="3.6"/>
    <n v="0.21540000000000001"/>
    <n v="0.77500000000000002"/>
    <s v="Middle Psychologist"/>
  </r>
  <r>
    <x v="29"/>
    <s v="Personnel"/>
    <s v="E "/>
    <x v="0"/>
    <x v="27"/>
    <s v="PSES Elem Prog01Duty47 S275"/>
    <x v="0"/>
    <s v="47"/>
    <n v="47"/>
    <m/>
    <s v="   "/>
    <n v="7.47"/>
    <n v="0.21540000000000001"/>
    <n v="0"/>
    <s v="Elementary Nurse"/>
  </r>
  <r>
    <x v="29"/>
    <s v="Personnel"/>
    <s v="H "/>
    <x v="1"/>
    <x v="25"/>
    <s v="PSES High Prog01Duty47 S275"/>
    <x v="0"/>
    <s v="47"/>
    <n v="47"/>
    <m/>
    <s v="   "/>
    <n v="5.085"/>
    <n v="0.21540000000000001"/>
    <n v="0"/>
    <s v="High Nurse"/>
  </r>
  <r>
    <x v="29"/>
    <s v="Personnel"/>
    <s v="M "/>
    <x v="2"/>
    <x v="34"/>
    <s v="PSES Mid Prog01Duty47 S275"/>
    <x v="0"/>
    <s v="47"/>
    <n v="47"/>
    <m/>
    <s v="   "/>
    <n v="1.9039999999999999"/>
    <n v="0.21540000000000001"/>
    <n v="0"/>
    <s v="Middle Nurse"/>
  </r>
  <r>
    <x v="29"/>
    <s v="Personnel"/>
    <s v="E "/>
    <x v="0"/>
    <x v="35"/>
    <s v="PSES Elem Prog21Duty48 S275"/>
    <x v="1"/>
    <s v="48"/>
    <n v="48"/>
    <m/>
    <s v="   "/>
    <n v="3.8730000000000002"/>
    <n v="0.21540000000000001"/>
    <n v="0.83399999999999996"/>
    <s v="Elementary Physical Therapist"/>
  </r>
  <r>
    <x v="29"/>
    <s v="Personnel"/>
    <s v="H "/>
    <x v="1"/>
    <x v="36"/>
    <s v="PSES High Prog21Duty48 S275"/>
    <x v="1"/>
    <s v="48"/>
    <n v="48"/>
    <m/>
    <s v="   "/>
    <n v="0.9"/>
    <n v="0.21540000000000001"/>
    <n v="0.19400000000000001"/>
    <s v="High Physical Therapist"/>
  </r>
  <r>
    <x v="29"/>
    <s v="Personnel"/>
    <s v="M "/>
    <x v="2"/>
    <x v="37"/>
    <s v="PSES Mid Prog21Duty48 S275"/>
    <x v="1"/>
    <s v="48"/>
    <n v="48"/>
    <m/>
    <s v="   "/>
    <n v="0.53100000000000003"/>
    <n v="0.21540000000000001"/>
    <n v="0.114"/>
    <s v="Middle Physical Therapist"/>
  </r>
  <r>
    <x v="29"/>
    <s v="Personnel"/>
    <s v="H "/>
    <x v="1"/>
    <x v="55"/>
    <s v="PSES High Prog21Duty49 S275"/>
    <x v="1"/>
    <s v="49"/>
    <n v="49"/>
    <m/>
    <s v="   "/>
    <n v="3"/>
    <n v="0.21540000000000001"/>
    <n v="0.64600000000000002"/>
    <s v="High Behavior Analyst"/>
  </r>
  <r>
    <x v="30"/>
    <s v="Personnel"/>
    <s v="E "/>
    <x v="0"/>
    <x v="3"/>
    <s v="PSES Elem Prog01Act25 S275"/>
    <x v="0"/>
    <s v="25"/>
    <m/>
    <n v="25"/>
    <s v="   "/>
    <n v="3.4119999999999999"/>
    <n v="0.20230000000000001"/>
    <n v="0"/>
    <s v="Elementary Pupil Management"/>
  </r>
  <r>
    <x v="30"/>
    <s v="Personnel"/>
    <s v="H "/>
    <x v="1"/>
    <x v="5"/>
    <s v="PSES High Prog01Act25 S275"/>
    <x v="0"/>
    <s v="25"/>
    <m/>
    <n v="25"/>
    <s v="   "/>
    <n v="7.8719999999999999"/>
    <n v="0.20230000000000001"/>
    <n v="0"/>
    <s v="High Pupil Management"/>
  </r>
  <r>
    <x v="30"/>
    <s v="Personnel"/>
    <s v="E "/>
    <x v="0"/>
    <x v="7"/>
    <s v="PSES Elem Prog21Act26 S275"/>
    <x v="1"/>
    <s v="26"/>
    <m/>
    <n v="26"/>
    <s v="   "/>
    <n v="5.5E-2"/>
    <n v="0.20230000000000001"/>
    <n v="1.0999999999999999E-2"/>
    <s v="Elementary Health/_x000a_Related Services"/>
  </r>
  <r>
    <x v="30"/>
    <s v="Personnel"/>
    <s v="E "/>
    <x v="0"/>
    <x v="8"/>
    <s v="PSES Elem Prog01Act26 S275"/>
    <x v="0"/>
    <s v="26"/>
    <m/>
    <n v="26"/>
    <s v="   "/>
    <n v="4.8049999999999997"/>
    <n v="0.20230000000000001"/>
    <n v="0"/>
    <s v="Elementary Health/_x000a_Related Services"/>
  </r>
  <r>
    <x v="30"/>
    <s v="Personnel"/>
    <s v="H "/>
    <x v="1"/>
    <x v="29"/>
    <s v="PSES High Prog21Act26 S275"/>
    <x v="1"/>
    <s v="26"/>
    <m/>
    <n v="26"/>
    <s v="   "/>
    <n v="0.52"/>
    <n v="0.20230000000000001"/>
    <n v="0.105"/>
    <s v="High Health/_x000a_Related Services"/>
  </r>
  <r>
    <x v="30"/>
    <s v="Personnel"/>
    <s v="H "/>
    <x v="1"/>
    <x v="9"/>
    <s v="PSES High Prog01Act26 S275"/>
    <x v="0"/>
    <s v="26"/>
    <m/>
    <n v="26"/>
    <s v="   "/>
    <n v="3.37"/>
    <n v="0.20230000000000001"/>
    <n v="0"/>
    <s v="High Health/_x000a_Related Services"/>
  </r>
  <r>
    <x v="30"/>
    <s v="Personnel"/>
    <s v="M "/>
    <x v="2"/>
    <x v="11"/>
    <s v="PSES Mid Prog01Act26 S275"/>
    <x v="0"/>
    <s v="26"/>
    <m/>
    <n v="26"/>
    <s v="   "/>
    <n v="2.2149999999999999"/>
    <n v="0.20230000000000001"/>
    <n v="0"/>
    <s v="Middle Health/_x000a_Related Services"/>
  </r>
  <r>
    <x v="30"/>
    <s v="Personnel"/>
    <s v="H "/>
    <x v="1"/>
    <x v="54"/>
    <s v="PSES High Prog01Act35 S275"/>
    <x v="0"/>
    <s v="35"/>
    <m/>
    <n v="35"/>
    <s v="   "/>
    <n v="0.72599999999999998"/>
    <n v="0.20230000000000001"/>
    <n v="0"/>
    <s v="High Pupil Safety"/>
  </r>
  <r>
    <x v="30"/>
    <s v="Personnel"/>
    <s v="E "/>
    <x v="0"/>
    <x v="15"/>
    <s v="PSES Elem Prog01Duty42 S275"/>
    <x v="0"/>
    <s v="42"/>
    <n v="42"/>
    <m/>
    <s v="   "/>
    <n v="8.266"/>
    <n v="0.20230000000000001"/>
    <n v="0"/>
    <s v="Elementary Counselor"/>
  </r>
  <r>
    <x v="30"/>
    <s v="Personnel"/>
    <s v="H "/>
    <x v="1"/>
    <x v="16"/>
    <s v="PSES High Prog01Duty42 S275"/>
    <x v="0"/>
    <s v="42"/>
    <n v="42"/>
    <m/>
    <s v="   "/>
    <n v="9.5280000000000005"/>
    <n v="0.20230000000000001"/>
    <n v="0"/>
    <s v="High Counselor"/>
  </r>
  <r>
    <x v="30"/>
    <s v="Personnel"/>
    <s v="M "/>
    <x v="2"/>
    <x v="17"/>
    <s v="PSES Mid Prog01Duty42 S275"/>
    <x v="0"/>
    <s v="42"/>
    <n v="42"/>
    <m/>
    <s v="   "/>
    <n v="2.3340000000000001"/>
    <n v="0.20230000000000001"/>
    <n v="0"/>
    <s v="Middle Counselor"/>
  </r>
  <r>
    <x v="30"/>
    <s v="Personnel"/>
    <s v="E "/>
    <x v="0"/>
    <x v="18"/>
    <s v="PSES Elem Prog21Duty43 S275"/>
    <x v="1"/>
    <s v="43"/>
    <n v="43"/>
    <m/>
    <s v="   "/>
    <n v="2.8"/>
    <n v="0.20230000000000001"/>
    <n v="0.56599999999999995"/>
    <s v="Elementary Occupational Therapist"/>
  </r>
  <r>
    <x v="30"/>
    <s v="Personnel"/>
    <s v="E "/>
    <x v="0"/>
    <x v="20"/>
    <s v="PSES Elem Prog21Duty45 S275"/>
    <x v="1"/>
    <s v="45"/>
    <n v="45"/>
    <m/>
    <s v="   "/>
    <n v="7.6"/>
    <n v="0.20230000000000001"/>
    <n v="1.5369999999999999"/>
    <s v="Elementary Speech, Language Pathway/_x000a_Audio"/>
  </r>
  <r>
    <x v="30"/>
    <s v="Personnel"/>
    <s v="H "/>
    <x v="1"/>
    <x v="21"/>
    <s v="PSES High Prog21Duty45 S275"/>
    <x v="1"/>
    <s v="45"/>
    <n v="45"/>
    <m/>
    <s v="   "/>
    <n v="2"/>
    <n v="0.20230000000000001"/>
    <n v="0.40500000000000003"/>
    <s v="High Speech, Language Pathway/_x000a_Audio"/>
  </r>
  <r>
    <x v="30"/>
    <s v="Personnel"/>
    <s v="E "/>
    <x v="0"/>
    <x v="22"/>
    <s v="PSES Elem Prog21Duty46 S275"/>
    <x v="1"/>
    <s v="46"/>
    <n v="46"/>
    <m/>
    <s v="   "/>
    <n v="7"/>
    <n v="0.20230000000000001"/>
    <n v="1.4159999999999999"/>
    <s v="Elementary Psychologist"/>
  </r>
  <r>
    <x v="30"/>
    <s v="Personnel"/>
    <s v="H "/>
    <x v="1"/>
    <x v="23"/>
    <s v="PSES High Prog21Duty46 S275"/>
    <x v="1"/>
    <s v="46"/>
    <n v="46"/>
    <m/>
    <s v="   "/>
    <n v="0.15"/>
    <n v="0.20230000000000001"/>
    <n v="0.03"/>
    <s v="High Psychologist"/>
  </r>
  <r>
    <x v="30"/>
    <s v="Personnel"/>
    <s v="M "/>
    <x v="2"/>
    <x v="24"/>
    <s v="PSES Mid Prog21Duty46 S275"/>
    <x v="1"/>
    <s v="46"/>
    <n v="46"/>
    <m/>
    <s v="   "/>
    <n v="0.6"/>
    <n v="0.20230000000000001"/>
    <n v="0.121"/>
    <s v="Middle Psychologist"/>
  </r>
  <r>
    <x v="30"/>
    <s v="Personnel"/>
    <s v="E "/>
    <x v="0"/>
    <x v="35"/>
    <s v="PSES Elem Prog21Duty48 S275"/>
    <x v="1"/>
    <s v="48"/>
    <n v="48"/>
    <m/>
    <s v="   "/>
    <n v="0.5"/>
    <n v="0.20230000000000001"/>
    <n v="0.10100000000000001"/>
    <s v="Elementary Physical Therapist"/>
  </r>
  <r>
    <x v="30"/>
    <s v="Personnel"/>
    <s v="M "/>
    <x v="2"/>
    <x v="37"/>
    <s v="PSES Mid Prog21Duty48 S275"/>
    <x v="1"/>
    <s v="48"/>
    <n v="48"/>
    <m/>
    <s v="   "/>
    <n v="1"/>
    <n v="0.20230000000000001"/>
    <n v="0.20200000000000001"/>
    <s v="Middle Physical Therapist"/>
  </r>
  <r>
    <x v="31"/>
    <s v="Personnel"/>
    <s v="H "/>
    <x v="1"/>
    <x v="1"/>
    <s v="PSES High Prog01Duty96 S275"/>
    <x v="0"/>
    <s v="24"/>
    <n v="96"/>
    <n v="24"/>
    <s v="   "/>
    <n v="2.0670000000000002"/>
    <n v="0.22189999999999999"/>
    <n v="0"/>
    <s v="High Family Engagement Coordinator"/>
  </r>
  <r>
    <x v="31"/>
    <s v="Personnel"/>
    <s v="M "/>
    <x v="2"/>
    <x v="2"/>
    <s v="PSES Mid Prog01Duty96 S275"/>
    <x v="0"/>
    <s v="24"/>
    <n v="96"/>
    <n v="24"/>
    <s v="   "/>
    <n v="1.845"/>
    <n v="0.22189999999999999"/>
    <n v="0"/>
    <s v="Middle Family Engagement Coordinator"/>
  </r>
  <r>
    <x v="31"/>
    <s v="Personnel"/>
    <s v="E "/>
    <x v="0"/>
    <x v="3"/>
    <s v="PSES Elem Prog01Act25 S275"/>
    <x v="0"/>
    <s v="25"/>
    <m/>
    <n v="25"/>
    <s v="   "/>
    <n v="12.385999999999999"/>
    <n v="0.22189999999999999"/>
    <n v="0"/>
    <s v="Elementary Pupil Management"/>
  </r>
  <r>
    <x v="31"/>
    <s v="Personnel"/>
    <s v="H "/>
    <x v="1"/>
    <x v="4"/>
    <s v="PSES High Prog21Act25 S275"/>
    <x v="1"/>
    <s v="25"/>
    <m/>
    <n v="25"/>
    <s v="   "/>
    <n v="1.796"/>
    <n v="0.22189999999999999"/>
    <n v="0.39900000000000002"/>
    <s v="High Pupil Management"/>
  </r>
  <r>
    <x v="31"/>
    <s v="Personnel"/>
    <s v="H "/>
    <x v="1"/>
    <x v="5"/>
    <s v="PSES High Prog01Act25 S275"/>
    <x v="0"/>
    <s v="25"/>
    <m/>
    <n v="25"/>
    <s v="   "/>
    <n v="11.167"/>
    <n v="0.22189999999999999"/>
    <n v="0"/>
    <s v="High Pupil Management"/>
  </r>
  <r>
    <x v="31"/>
    <s v="Personnel"/>
    <s v="M "/>
    <x v="2"/>
    <x v="6"/>
    <s v="PSES Mid Prog01Act25 S275"/>
    <x v="0"/>
    <s v="25"/>
    <m/>
    <n v="25"/>
    <s v="   "/>
    <n v="5.407"/>
    <n v="0.22189999999999999"/>
    <n v="0"/>
    <s v="Middle Pupil Management"/>
  </r>
  <r>
    <x v="31"/>
    <s v="Personnel"/>
    <s v="E "/>
    <x v="0"/>
    <x v="7"/>
    <s v="PSES Elem Prog21Act26 S275"/>
    <x v="1"/>
    <s v="26"/>
    <m/>
    <n v="26"/>
    <s v="   "/>
    <n v="0.95299999999999996"/>
    <n v="0.22189999999999999"/>
    <n v="0.21099999999999999"/>
    <s v="Elementary Health/_x000a_Related Services"/>
  </r>
  <r>
    <x v="31"/>
    <s v="Personnel"/>
    <s v="E "/>
    <x v="0"/>
    <x v="8"/>
    <s v="PSES Elem Prog01Act26 S275"/>
    <x v="0"/>
    <s v="26"/>
    <m/>
    <n v="26"/>
    <s v="   "/>
    <n v="5.1669999999999998"/>
    <n v="0.22189999999999999"/>
    <n v="0"/>
    <s v="Elementary Health/_x000a_Related Services"/>
  </r>
  <r>
    <x v="31"/>
    <s v="Personnel"/>
    <s v="H "/>
    <x v="1"/>
    <x v="29"/>
    <s v="PSES High Prog21Act26 S275"/>
    <x v="1"/>
    <s v="26"/>
    <m/>
    <n v="26"/>
    <s v="   "/>
    <n v="0.81499999999999995"/>
    <n v="0.22189999999999999"/>
    <n v="0.18099999999999999"/>
    <s v="High Health/_x000a_Related Services"/>
  </r>
  <r>
    <x v="31"/>
    <s v="Personnel"/>
    <s v="H "/>
    <x v="1"/>
    <x v="9"/>
    <s v="PSES High Prog01Act26 S275"/>
    <x v="0"/>
    <s v="26"/>
    <m/>
    <n v="26"/>
    <s v="   "/>
    <n v="0.73799999999999999"/>
    <n v="0.22189999999999999"/>
    <n v="0"/>
    <s v="High Health/_x000a_Related Services"/>
  </r>
  <r>
    <x v="31"/>
    <s v="Personnel"/>
    <s v="M "/>
    <x v="2"/>
    <x v="10"/>
    <s v="PSES Mid Prog21Act26 S275"/>
    <x v="1"/>
    <s v="26"/>
    <m/>
    <n v="26"/>
    <s v="   "/>
    <n v="0.81499999999999995"/>
    <n v="0.22189999999999999"/>
    <n v="0.18099999999999999"/>
    <s v="Middle Health/_x000a_Related Services"/>
  </r>
  <r>
    <x v="31"/>
    <s v="Personnel"/>
    <s v="M "/>
    <x v="2"/>
    <x v="11"/>
    <s v="PSES Mid Prog01Act26 S275"/>
    <x v="0"/>
    <s v="26"/>
    <m/>
    <n v="26"/>
    <s v="   "/>
    <n v="2.952"/>
    <n v="0.22189999999999999"/>
    <n v="0"/>
    <s v="Middle Health/_x000a_Related Services"/>
  </r>
  <r>
    <x v="31"/>
    <s v="Personnel"/>
    <s v="H "/>
    <x v="1"/>
    <x v="12"/>
    <s v="PSES High Prog97Act35 S275"/>
    <x v="2"/>
    <s v="35"/>
    <m/>
    <n v="35"/>
    <s v="   "/>
    <n v="1.9039999999999999"/>
    <n v="0.22189999999999999"/>
    <n v="0"/>
    <s v="High Pupil Safety"/>
  </r>
  <r>
    <x v="31"/>
    <s v="Personnel"/>
    <s v="H "/>
    <x v="1"/>
    <x v="54"/>
    <s v="PSES High Prog01Act35 S275"/>
    <x v="0"/>
    <s v="35"/>
    <m/>
    <n v="35"/>
    <s v="   "/>
    <n v="3.69"/>
    <n v="0.22189999999999999"/>
    <n v="0"/>
    <s v="High Pupil Safety"/>
  </r>
  <r>
    <x v="31"/>
    <s v="Personnel"/>
    <s v="M "/>
    <x v="2"/>
    <x v="63"/>
    <s v="PSES Mid Prog01Act35 S275"/>
    <x v="0"/>
    <s v="35"/>
    <m/>
    <n v="35"/>
    <s v="   "/>
    <n v="5.9039999999999999"/>
    <n v="0.22189999999999999"/>
    <n v="0"/>
    <s v="Middle Pupil Safety"/>
  </r>
  <r>
    <x v="31"/>
    <s v="Personnel"/>
    <s v="E "/>
    <x v="0"/>
    <x v="15"/>
    <s v="PSES Elem Prog01Duty42 S275"/>
    <x v="0"/>
    <s v="42"/>
    <n v="42"/>
    <m/>
    <s v="   "/>
    <n v="10.5"/>
    <n v="0.22189999999999999"/>
    <n v="0"/>
    <s v="Elementary Counselor"/>
  </r>
  <r>
    <x v="31"/>
    <s v="Personnel"/>
    <s v="H "/>
    <x v="1"/>
    <x v="16"/>
    <s v="PSES High Prog01Duty42 S275"/>
    <x v="0"/>
    <s v="42"/>
    <n v="42"/>
    <m/>
    <s v="   "/>
    <n v="11"/>
    <n v="0.22189999999999999"/>
    <n v="0"/>
    <s v="High Counselor"/>
  </r>
  <r>
    <x v="31"/>
    <s v="Personnel"/>
    <s v="M "/>
    <x v="2"/>
    <x v="17"/>
    <s v="PSES Mid Prog01Duty42 S275"/>
    <x v="0"/>
    <s v="42"/>
    <n v="42"/>
    <m/>
    <s v="   "/>
    <n v="3.5"/>
    <n v="0.22189999999999999"/>
    <n v="0"/>
    <s v="Middle Counselor"/>
  </r>
  <r>
    <x v="31"/>
    <s v="Personnel"/>
    <s v="E "/>
    <x v="0"/>
    <x v="18"/>
    <s v="PSES Elem Prog21Duty43 S275"/>
    <x v="1"/>
    <s v="43"/>
    <n v="43"/>
    <m/>
    <s v="   "/>
    <n v="6"/>
    <n v="0.22189999999999999"/>
    <n v="1.331"/>
    <s v="Elementary Occupational Therapist"/>
  </r>
  <r>
    <x v="31"/>
    <s v="Personnel"/>
    <s v="H "/>
    <x v="1"/>
    <x v="19"/>
    <s v="PSES High Prog21Duty43 S275"/>
    <x v="1"/>
    <s v="43"/>
    <n v="43"/>
    <m/>
    <s v="   "/>
    <n v="0.2"/>
    <n v="0.22189999999999999"/>
    <n v="4.3999999999999997E-2"/>
    <s v="High Occupational Therapist"/>
  </r>
  <r>
    <x v="31"/>
    <s v="Personnel"/>
    <s v="M "/>
    <x v="2"/>
    <x v="31"/>
    <s v="PSES Mid Prog21Duty43 S275"/>
    <x v="1"/>
    <s v="43"/>
    <n v="43"/>
    <m/>
    <s v="   "/>
    <n v="0.7"/>
    <n v="0.22189999999999999"/>
    <n v="0.155"/>
    <s v="Middle Occupational Therapist"/>
  </r>
  <r>
    <x v="31"/>
    <s v="Personnel"/>
    <s v="E "/>
    <x v="0"/>
    <x v="20"/>
    <s v="PSES Elem Prog21Duty45 S275"/>
    <x v="1"/>
    <s v="45"/>
    <n v="45"/>
    <m/>
    <s v="   "/>
    <n v="16.399999999999999"/>
    <n v="0.22189999999999999"/>
    <n v="3.6389999999999998"/>
    <s v="Elementary Speech, Language Pathway/_x000a_Audio"/>
  </r>
  <r>
    <x v="31"/>
    <s v="Personnel"/>
    <s v="H "/>
    <x v="1"/>
    <x v="21"/>
    <s v="PSES High Prog21Duty45 S275"/>
    <x v="1"/>
    <s v="45"/>
    <n v="45"/>
    <m/>
    <s v="   "/>
    <n v="3.2"/>
    <n v="0.22189999999999999"/>
    <n v="0.71"/>
    <s v="High Speech, Language Pathway/_x000a_Audio"/>
  </r>
  <r>
    <x v="31"/>
    <s v="Personnel"/>
    <s v="M "/>
    <x v="2"/>
    <x v="28"/>
    <s v="PSES Mid Prog21Duty45 S275"/>
    <x v="1"/>
    <s v="45"/>
    <n v="45"/>
    <m/>
    <s v="   "/>
    <n v="2"/>
    <n v="0.22189999999999999"/>
    <n v="0.44400000000000001"/>
    <s v="Middle Speech, Language Pathway/_x000a_Audio"/>
  </r>
  <r>
    <x v="31"/>
    <s v="Personnel"/>
    <s v="E "/>
    <x v="0"/>
    <x v="22"/>
    <s v="PSES Elem Prog21Duty46 S275"/>
    <x v="1"/>
    <s v="46"/>
    <n v="46"/>
    <m/>
    <s v="   "/>
    <n v="12"/>
    <n v="0.22189999999999999"/>
    <n v="2.6629999999999998"/>
    <s v="Elementary Psychologist"/>
  </r>
  <r>
    <x v="31"/>
    <s v="Personnel"/>
    <s v="E "/>
    <x v="0"/>
    <x v="48"/>
    <s v="PSES Elem Prog01Duty46 S275"/>
    <x v="0"/>
    <s v="46"/>
    <n v="46"/>
    <m/>
    <s v="   "/>
    <n v="1"/>
    <n v="0.22189999999999999"/>
    <n v="0"/>
    <s v="Elementary Psychologist"/>
  </r>
  <r>
    <x v="31"/>
    <s v="Personnel"/>
    <s v="H "/>
    <x v="1"/>
    <x v="23"/>
    <s v="PSES High Prog21Duty46 S275"/>
    <x v="1"/>
    <s v="46"/>
    <n v="46"/>
    <m/>
    <s v="   "/>
    <n v="3"/>
    <n v="0.22189999999999999"/>
    <n v="0.66600000000000004"/>
    <s v="High Psychologist"/>
  </r>
  <r>
    <x v="31"/>
    <s v="Personnel"/>
    <s v="M "/>
    <x v="2"/>
    <x v="24"/>
    <s v="PSES Mid Prog21Duty46 S275"/>
    <x v="1"/>
    <s v="46"/>
    <n v="46"/>
    <m/>
    <s v="   "/>
    <n v="1"/>
    <n v="0.22189999999999999"/>
    <n v="0.222"/>
    <s v="Middle Psychologist"/>
  </r>
  <r>
    <x v="31"/>
    <s v="Personnel"/>
    <s v="E "/>
    <x v="0"/>
    <x v="27"/>
    <s v="PSES Elem Prog01Duty47 S275"/>
    <x v="0"/>
    <s v="47"/>
    <n v="47"/>
    <m/>
    <s v="   "/>
    <n v="2.54"/>
    <n v="0.22189999999999999"/>
    <n v="0"/>
    <s v="Elementary Nurse"/>
  </r>
  <r>
    <x v="31"/>
    <s v="Personnel"/>
    <s v="H "/>
    <x v="1"/>
    <x v="25"/>
    <s v="PSES High Prog01Duty47 S275"/>
    <x v="0"/>
    <s v="47"/>
    <n v="47"/>
    <m/>
    <s v="   "/>
    <n v="1"/>
    <n v="0.22189999999999999"/>
    <n v="0"/>
    <s v="High Nurse"/>
  </r>
  <r>
    <x v="31"/>
    <s v="Personnel"/>
    <s v="M "/>
    <x v="2"/>
    <x v="34"/>
    <s v="PSES Mid Prog01Duty47 S275"/>
    <x v="0"/>
    <s v="47"/>
    <n v="47"/>
    <m/>
    <s v="   "/>
    <n v="1.7929999999999999"/>
    <n v="0.22189999999999999"/>
    <n v="0"/>
    <s v="Middle Nurse"/>
  </r>
  <r>
    <x v="31"/>
    <s v="Personnel"/>
    <s v="E "/>
    <x v="0"/>
    <x v="35"/>
    <s v="PSES Elem Prog21Duty48 S275"/>
    <x v="1"/>
    <s v="48"/>
    <n v="48"/>
    <m/>
    <s v="   "/>
    <n v="1"/>
    <n v="0.22189999999999999"/>
    <n v="0.222"/>
    <s v="Elementary Physical Therapist"/>
  </r>
  <r>
    <x v="32"/>
    <s v="Personnel"/>
    <s v="E "/>
    <x v="0"/>
    <x v="3"/>
    <s v="PSES Elem Prog01Act25 S275"/>
    <x v="0"/>
    <s v="25"/>
    <m/>
    <n v="25"/>
    <s v="   "/>
    <n v="1.7589999999999999"/>
    <n v="0.1794"/>
    <n v="0"/>
    <s v="Elementary Pupil Management"/>
  </r>
  <r>
    <x v="32"/>
    <s v="Personnel"/>
    <s v="M "/>
    <x v="2"/>
    <x v="6"/>
    <s v="PSES Mid Prog01Act25 S275"/>
    <x v="0"/>
    <s v="25"/>
    <m/>
    <n v="25"/>
    <s v="   "/>
    <n v="0.32200000000000001"/>
    <n v="0.1794"/>
    <n v="0"/>
    <s v="Middle Pupil Management"/>
  </r>
  <r>
    <x v="32"/>
    <s v="Personnel"/>
    <s v="E "/>
    <x v="0"/>
    <x v="7"/>
    <s v="PSES Elem Prog21Act26 S275"/>
    <x v="1"/>
    <s v="26"/>
    <m/>
    <n v="26"/>
    <s v="   "/>
    <n v="0.20699999999999999"/>
    <n v="0.1794"/>
    <n v="3.6999999999999998E-2"/>
    <s v="Elementary Health/_x000a_Related Services"/>
  </r>
  <r>
    <x v="32"/>
    <s v="Personnel"/>
    <s v="E "/>
    <x v="0"/>
    <x v="8"/>
    <s v="PSES Elem Prog01Act26 S275"/>
    <x v="0"/>
    <s v="26"/>
    <m/>
    <n v="26"/>
    <s v="   "/>
    <n v="2.4569999999999999"/>
    <n v="0.1794"/>
    <n v="0"/>
    <s v="Elementary Health/_x000a_Related Services"/>
  </r>
  <r>
    <x v="32"/>
    <s v="Personnel"/>
    <s v="H "/>
    <x v="1"/>
    <x v="29"/>
    <s v="PSES High Prog21Act26 S275"/>
    <x v="1"/>
    <s v="26"/>
    <m/>
    <n v="26"/>
    <s v="   "/>
    <n v="0.94899999999999995"/>
    <n v="0.1794"/>
    <n v="0.17"/>
    <s v="High Health/_x000a_Related Services"/>
  </r>
  <r>
    <x v="32"/>
    <s v="Personnel"/>
    <s v="H "/>
    <x v="1"/>
    <x v="9"/>
    <s v="PSES High Prog01Act26 S275"/>
    <x v="0"/>
    <s v="26"/>
    <m/>
    <n v="26"/>
    <s v="   "/>
    <n v="3.5409999999999999"/>
    <n v="0.1794"/>
    <n v="0"/>
    <s v="High Health/_x000a_Related Services"/>
  </r>
  <r>
    <x v="32"/>
    <s v="Personnel"/>
    <s v="M "/>
    <x v="2"/>
    <x v="10"/>
    <s v="PSES Mid Prog21Act26 S275"/>
    <x v="1"/>
    <s v="26"/>
    <m/>
    <n v="26"/>
    <s v="   "/>
    <n v="0.28899999999999998"/>
    <n v="0.1794"/>
    <n v="5.1999999999999998E-2"/>
    <s v="Middle Health/_x000a_Related Services"/>
  </r>
  <r>
    <x v="32"/>
    <s v="Personnel"/>
    <s v="M "/>
    <x v="2"/>
    <x v="11"/>
    <s v="PSES Mid Prog01Act26 S275"/>
    <x v="0"/>
    <s v="26"/>
    <m/>
    <n v="26"/>
    <s v="   "/>
    <n v="0.62"/>
    <n v="0.1794"/>
    <n v="0"/>
    <s v="Middle Health/_x000a_Related Services"/>
  </r>
  <r>
    <x v="32"/>
    <s v="Personnel"/>
    <s v="E "/>
    <x v="0"/>
    <x v="15"/>
    <s v="PSES Elem Prog01Duty42 S275"/>
    <x v="0"/>
    <s v="42"/>
    <n v="42"/>
    <m/>
    <s v="   "/>
    <n v="5.6219999999999999"/>
    <n v="0.1794"/>
    <n v="0"/>
    <s v="Elementary Counselor"/>
  </r>
  <r>
    <x v="32"/>
    <s v="Personnel"/>
    <s v="H "/>
    <x v="1"/>
    <x v="16"/>
    <s v="PSES High Prog01Duty42 S275"/>
    <x v="0"/>
    <s v="42"/>
    <n v="42"/>
    <m/>
    <s v="   "/>
    <n v="2.532"/>
    <n v="0.1794"/>
    <n v="0"/>
    <s v="High Counselor"/>
  </r>
  <r>
    <x v="32"/>
    <s v="Personnel"/>
    <s v="M "/>
    <x v="2"/>
    <x v="17"/>
    <s v="PSES Mid Prog01Duty42 S275"/>
    <x v="0"/>
    <s v="42"/>
    <n v="42"/>
    <m/>
    <s v="   "/>
    <n v="1.4039999999999999"/>
    <n v="0.1794"/>
    <n v="0"/>
    <s v="Middle Counselor"/>
  </r>
  <r>
    <x v="32"/>
    <s v="Personnel"/>
    <s v="E "/>
    <x v="0"/>
    <x v="18"/>
    <s v="PSES Elem Prog21Duty43 S275"/>
    <x v="1"/>
    <s v="43"/>
    <n v="43"/>
    <m/>
    <s v="   "/>
    <n v="0.99199999999999999"/>
    <n v="0.1794"/>
    <n v="0.17799999999999999"/>
    <s v="Elementary Occupational Therapist"/>
  </r>
  <r>
    <x v="32"/>
    <s v="Personnel"/>
    <s v="H "/>
    <x v="1"/>
    <x v="19"/>
    <s v="PSES High Prog21Duty43 S275"/>
    <x v="1"/>
    <s v="43"/>
    <n v="43"/>
    <m/>
    <s v="   "/>
    <n v="0.19"/>
    <n v="0.1794"/>
    <n v="3.4000000000000002E-2"/>
    <s v="High Occupational Therapist"/>
  </r>
  <r>
    <x v="32"/>
    <s v="Personnel"/>
    <s v="M "/>
    <x v="2"/>
    <x v="31"/>
    <s v="PSES Mid Prog21Duty43 S275"/>
    <x v="1"/>
    <s v="43"/>
    <n v="43"/>
    <m/>
    <s v="   "/>
    <n v="0.18"/>
    <n v="0.1794"/>
    <n v="3.2000000000000001E-2"/>
    <s v="Middle Occupational Therapist"/>
  </r>
  <r>
    <x v="32"/>
    <s v="Personnel"/>
    <s v="E "/>
    <x v="0"/>
    <x v="20"/>
    <s v="PSES Elem Prog21Duty45 S275"/>
    <x v="1"/>
    <s v="45"/>
    <n v="45"/>
    <m/>
    <s v="   "/>
    <n v="4.1020000000000003"/>
    <n v="0.1794"/>
    <n v="0.73599999999999999"/>
    <s v="Elementary Speech, Language Pathway/_x000a_Audio"/>
  </r>
  <r>
    <x v="32"/>
    <s v="Personnel"/>
    <s v="H "/>
    <x v="1"/>
    <x v="21"/>
    <s v="PSES High Prog21Duty45 S275"/>
    <x v="1"/>
    <s v="45"/>
    <n v="45"/>
    <m/>
    <s v="   "/>
    <n v="0.73"/>
    <n v="0.1794"/>
    <n v="0.13100000000000001"/>
    <s v="High Speech, Language Pathway/_x000a_Audio"/>
  </r>
  <r>
    <x v="32"/>
    <s v="Personnel"/>
    <s v="M "/>
    <x v="2"/>
    <x v="28"/>
    <s v="PSES Mid Prog21Duty45 S275"/>
    <x v="1"/>
    <s v="45"/>
    <n v="45"/>
    <m/>
    <s v="   "/>
    <n v="0.69699999999999995"/>
    <n v="0.1794"/>
    <n v="0.125"/>
    <s v="Middle Speech, Language Pathway/_x000a_Audio"/>
  </r>
  <r>
    <x v="32"/>
    <s v="Personnel"/>
    <s v="E "/>
    <x v="0"/>
    <x v="22"/>
    <s v="PSES Elem Prog21Duty46 S275"/>
    <x v="1"/>
    <s v="46"/>
    <n v="46"/>
    <m/>
    <s v="   "/>
    <n v="2.65"/>
    <n v="0.1794"/>
    <n v="0.47499999999999998"/>
    <s v="Elementary Psychologist"/>
  </r>
  <r>
    <x v="32"/>
    <s v="Personnel"/>
    <s v="H "/>
    <x v="1"/>
    <x v="23"/>
    <s v="PSES High Prog21Duty46 S275"/>
    <x v="1"/>
    <s v="46"/>
    <n v="46"/>
    <m/>
    <s v="   "/>
    <n v="1.2"/>
    <n v="0.1794"/>
    <n v="0.215"/>
    <s v="High Psychologist"/>
  </r>
  <r>
    <x v="32"/>
    <s v="Personnel"/>
    <s v="M "/>
    <x v="2"/>
    <x v="24"/>
    <s v="PSES Mid Prog21Duty46 S275"/>
    <x v="1"/>
    <s v="46"/>
    <n v="46"/>
    <m/>
    <s v="   "/>
    <n v="0.53"/>
    <n v="0.1794"/>
    <n v="9.5000000000000001E-2"/>
    <s v="Middle Psychologist"/>
  </r>
  <r>
    <x v="32"/>
    <s v="Personnel"/>
    <s v="E "/>
    <x v="0"/>
    <x v="35"/>
    <s v="PSES Elem Prog21Duty48 S275"/>
    <x v="1"/>
    <s v="48"/>
    <n v="48"/>
    <m/>
    <s v="   "/>
    <n v="0.56000000000000005"/>
    <n v="0.1794"/>
    <n v="0.1"/>
    <s v="Elementary Physical Therapist"/>
  </r>
  <r>
    <x v="32"/>
    <s v="Personnel"/>
    <s v="H "/>
    <x v="1"/>
    <x v="36"/>
    <s v="PSES High Prog21Duty48 S275"/>
    <x v="1"/>
    <s v="48"/>
    <n v="48"/>
    <m/>
    <s v="   "/>
    <n v="0.09"/>
    <n v="0.1794"/>
    <n v="1.6E-2"/>
    <s v="High Physical Therapist"/>
  </r>
  <r>
    <x v="32"/>
    <s v="Personnel"/>
    <s v="M "/>
    <x v="2"/>
    <x v="37"/>
    <s v="PSES Mid Prog21Duty48 S275"/>
    <x v="1"/>
    <s v="48"/>
    <n v="48"/>
    <m/>
    <s v="   "/>
    <n v="0.06"/>
    <n v="0.1794"/>
    <n v="1.0999999999999999E-2"/>
    <s v="Middle Physical Therapist"/>
  </r>
  <r>
    <x v="32"/>
    <s v="Personnel"/>
    <s v="E "/>
    <x v="0"/>
    <x v="26"/>
    <s v="PSES Elem Prog21Duty49 S275"/>
    <x v="1"/>
    <s v="49"/>
    <n v="49"/>
    <m/>
    <s v="   "/>
    <n v="0.73"/>
    <n v="0.1794"/>
    <n v="0.13100000000000001"/>
    <s v="Elementary Behavior Analyst"/>
  </r>
  <r>
    <x v="32"/>
    <s v="Personnel"/>
    <s v="H "/>
    <x v="1"/>
    <x v="55"/>
    <s v="PSES High Prog21Duty49 S275"/>
    <x v="1"/>
    <s v="49"/>
    <n v="49"/>
    <m/>
    <s v="   "/>
    <n v="0.09"/>
    <n v="0.1794"/>
    <n v="1.6E-2"/>
    <s v="High Behavior Analyst"/>
  </r>
  <r>
    <x v="32"/>
    <s v="Personnel"/>
    <s v="M "/>
    <x v="2"/>
    <x v="50"/>
    <s v="PSES Mid Prog21Duty49 S275"/>
    <x v="1"/>
    <s v="49"/>
    <n v="49"/>
    <m/>
    <s v="   "/>
    <n v="0.18"/>
    <n v="0.1794"/>
    <n v="3.2000000000000001E-2"/>
    <s v="Middle Behavior Analyst"/>
  </r>
  <r>
    <x v="33"/>
    <s v="Personnel"/>
    <s v="E "/>
    <x v="0"/>
    <x v="3"/>
    <s v="PSES Elem Prog01Act25 S275"/>
    <x v="0"/>
    <s v="25"/>
    <m/>
    <n v="25"/>
    <s v="   "/>
    <n v="0.442"/>
    <n v="0.1913"/>
    <n v="0"/>
    <s v="Elementary Pupil Management"/>
  </r>
  <r>
    <x v="33"/>
    <s v="Personnel"/>
    <s v="M "/>
    <x v="2"/>
    <x v="6"/>
    <s v="PSES Mid Prog01Act25 S275"/>
    <x v="0"/>
    <s v="25"/>
    <m/>
    <n v="25"/>
    <s v="   "/>
    <n v="0.1"/>
    <n v="0.1913"/>
    <n v="0"/>
    <s v="Middle Pupil Management"/>
  </r>
  <r>
    <x v="33"/>
    <s v="Personnel"/>
    <s v="H "/>
    <x v="1"/>
    <x v="16"/>
    <s v="PSES High Prog01Duty42 S275"/>
    <x v="0"/>
    <s v="42"/>
    <n v="42"/>
    <m/>
    <s v="   "/>
    <n v="1"/>
    <n v="0.1913"/>
    <n v="0"/>
    <s v="High Counselor"/>
  </r>
  <r>
    <x v="34"/>
    <s v="Personnel"/>
    <s v="E "/>
    <x v="0"/>
    <x v="3"/>
    <s v="PSES Elem Prog01Act25 S275"/>
    <x v="0"/>
    <s v="25"/>
    <m/>
    <n v="25"/>
    <s v="   "/>
    <n v="8.61"/>
    <n v="0.247"/>
    <n v="0"/>
    <s v="Elementary Pupil Management"/>
  </r>
  <r>
    <x v="34"/>
    <s v="Personnel"/>
    <s v="H "/>
    <x v="1"/>
    <x v="5"/>
    <s v="PSES High Prog01Act25 S275"/>
    <x v="0"/>
    <s v="25"/>
    <m/>
    <n v="25"/>
    <s v="   "/>
    <n v="0.34"/>
    <n v="0.247"/>
    <n v="0"/>
    <s v="High Pupil Management"/>
  </r>
  <r>
    <x v="34"/>
    <s v="Personnel"/>
    <s v="M "/>
    <x v="2"/>
    <x v="6"/>
    <s v="PSES Mid Prog01Act25 S275"/>
    <x v="0"/>
    <s v="25"/>
    <m/>
    <n v="25"/>
    <s v="   "/>
    <n v="1.4870000000000001"/>
    <n v="0.247"/>
    <n v="0"/>
    <s v="Middle Pupil Management"/>
  </r>
  <r>
    <x v="34"/>
    <s v="Personnel"/>
    <s v="E "/>
    <x v="0"/>
    <x v="8"/>
    <s v="PSES Elem Prog01Act26 S275"/>
    <x v="0"/>
    <s v="26"/>
    <m/>
    <n v="26"/>
    <s v="   "/>
    <n v="5.0659999999999998"/>
    <n v="0.247"/>
    <n v="0"/>
    <s v="Elementary Health/_x000a_Related Services"/>
  </r>
  <r>
    <x v="34"/>
    <s v="Personnel"/>
    <s v="H "/>
    <x v="1"/>
    <x v="29"/>
    <s v="PSES High Prog21Act26 S275"/>
    <x v="1"/>
    <s v="26"/>
    <m/>
    <n v="26"/>
    <s v="   "/>
    <n v="5.0519999999999996"/>
    <n v="0.247"/>
    <n v="1.248"/>
    <s v="High Health/_x000a_Related Services"/>
  </r>
  <r>
    <x v="34"/>
    <s v="Personnel"/>
    <s v="H "/>
    <x v="1"/>
    <x v="9"/>
    <s v="PSES High Prog01Act26 S275"/>
    <x v="0"/>
    <s v="26"/>
    <m/>
    <n v="26"/>
    <s v="   "/>
    <n v="1.8360000000000001"/>
    <n v="0.247"/>
    <n v="0"/>
    <s v="High Health/_x000a_Related Services"/>
  </r>
  <r>
    <x v="34"/>
    <s v="Personnel"/>
    <s v="M "/>
    <x v="2"/>
    <x v="11"/>
    <s v="PSES Mid Prog01Act26 S275"/>
    <x v="0"/>
    <s v="26"/>
    <m/>
    <n v="26"/>
    <s v="   "/>
    <n v="1.2869999999999999"/>
    <n v="0.247"/>
    <n v="0"/>
    <s v="Middle Health/_x000a_Related Services"/>
  </r>
  <r>
    <x v="34"/>
    <s v="Personnel"/>
    <s v="E "/>
    <x v="0"/>
    <x v="15"/>
    <s v="PSES Elem Prog01Duty42 S275"/>
    <x v="0"/>
    <s v="42"/>
    <n v="42"/>
    <m/>
    <s v="   "/>
    <n v="11"/>
    <n v="0.247"/>
    <n v="0"/>
    <s v="Elementary Counselor"/>
  </r>
  <r>
    <x v="34"/>
    <s v="Personnel"/>
    <s v="H "/>
    <x v="1"/>
    <x v="16"/>
    <s v="PSES High Prog01Duty42 S275"/>
    <x v="0"/>
    <s v="42"/>
    <n v="42"/>
    <m/>
    <s v="   "/>
    <n v="5"/>
    <n v="0.247"/>
    <n v="0"/>
    <s v="High Counselor"/>
  </r>
  <r>
    <x v="34"/>
    <s v="Personnel"/>
    <s v="M "/>
    <x v="2"/>
    <x v="17"/>
    <s v="PSES Mid Prog01Duty42 S275"/>
    <x v="0"/>
    <s v="42"/>
    <n v="42"/>
    <m/>
    <s v="   "/>
    <n v="3"/>
    <n v="0.247"/>
    <n v="0"/>
    <s v="Middle Counselor"/>
  </r>
  <r>
    <x v="34"/>
    <s v="Personnel"/>
    <s v="E "/>
    <x v="0"/>
    <x v="18"/>
    <s v="PSES Elem Prog21Duty43 S275"/>
    <x v="1"/>
    <s v="43"/>
    <n v="43"/>
    <m/>
    <s v="   "/>
    <n v="2.3340000000000001"/>
    <n v="0.247"/>
    <n v="0.57599999999999996"/>
    <s v="Elementary Occupational Therapist"/>
  </r>
  <r>
    <x v="34"/>
    <s v="Personnel"/>
    <s v="H "/>
    <x v="1"/>
    <x v="19"/>
    <s v="PSES High Prog21Duty43 S275"/>
    <x v="1"/>
    <s v="43"/>
    <n v="43"/>
    <m/>
    <s v="   "/>
    <n v="0.33400000000000002"/>
    <n v="0.247"/>
    <n v="8.2000000000000003E-2"/>
    <s v="High Occupational Therapist"/>
  </r>
  <r>
    <x v="34"/>
    <s v="Personnel"/>
    <s v="M "/>
    <x v="2"/>
    <x v="31"/>
    <s v="PSES Mid Prog21Duty43 S275"/>
    <x v="1"/>
    <s v="43"/>
    <n v="43"/>
    <m/>
    <s v="   "/>
    <n v="0.33200000000000002"/>
    <n v="0.247"/>
    <n v="8.2000000000000003E-2"/>
    <s v="Middle Occupational Therapist"/>
  </r>
  <r>
    <x v="34"/>
    <s v="Personnel"/>
    <s v="E "/>
    <x v="0"/>
    <x v="20"/>
    <s v="PSES Elem Prog21Duty45 S275"/>
    <x v="1"/>
    <s v="45"/>
    <n v="45"/>
    <m/>
    <s v="   "/>
    <n v="4.8529999999999998"/>
    <n v="0.247"/>
    <n v="1.1990000000000001"/>
    <s v="Elementary Speech, Language Pathway/_x000a_Audio"/>
  </r>
  <r>
    <x v="34"/>
    <s v="Personnel"/>
    <s v="H "/>
    <x v="1"/>
    <x v="21"/>
    <s v="PSES High Prog21Duty45 S275"/>
    <x v="1"/>
    <s v="45"/>
    <n v="45"/>
    <m/>
    <s v="   "/>
    <n v="0.72"/>
    <n v="0.247"/>
    <n v="0.17799999999999999"/>
    <s v="High Speech, Language Pathway/_x000a_Audio"/>
  </r>
  <r>
    <x v="34"/>
    <s v="Personnel"/>
    <s v="M "/>
    <x v="2"/>
    <x v="28"/>
    <s v="PSES Mid Prog21Duty45 S275"/>
    <x v="1"/>
    <s v="45"/>
    <n v="45"/>
    <m/>
    <s v="   "/>
    <n v="0.22700000000000001"/>
    <n v="0.247"/>
    <n v="5.6000000000000001E-2"/>
    <s v="Middle Speech, Language Pathway/_x000a_Audio"/>
  </r>
  <r>
    <x v="34"/>
    <s v="Personnel"/>
    <s v="E "/>
    <x v="0"/>
    <x v="22"/>
    <s v="PSES Elem Prog21Duty46 S275"/>
    <x v="1"/>
    <s v="46"/>
    <n v="46"/>
    <m/>
    <s v="   "/>
    <n v="1.4990000000000001"/>
    <n v="0.247"/>
    <n v="0.37"/>
    <s v="Elementary Psychologist"/>
  </r>
  <r>
    <x v="34"/>
    <s v="Personnel"/>
    <s v="E "/>
    <x v="0"/>
    <x v="48"/>
    <s v="PSES Elem Prog01Duty46 S275"/>
    <x v="0"/>
    <s v="46"/>
    <n v="46"/>
    <m/>
    <s v="   "/>
    <n v="3"/>
    <n v="0.247"/>
    <n v="0"/>
    <s v="Elementary Psychologist"/>
  </r>
  <r>
    <x v="34"/>
    <s v="Personnel"/>
    <s v="H "/>
    <x v="1"/>
    <x v="23"/>
    <s v="PSES High Prog21Duty46 S275"/>
    <x v="1"/>
    <s v="46"/>
    <n v="46"/>
    <m/>
    <s v="   "/>
    <n v="0.25"/>
    <n v="0.247"/>
    <n v="6.2E-2"/>
    <s v="High Psychologist"/>
  </r>
  <r>
    <x v="34"/>
    <s v="Personnel"/>
    <s v="H "/>
    <x v="1"/>
    <x v="65"/>
    <s v="PSES High Prog01Duty46 S275"/>
    <x v="0"/>
    <s v="46"/>
    <n v="46"/>
    <m/>
    <s v="   "/>
    <n v="0.25"/>
    <n v="0.247"/>
    <n v="0"/>
    <s v="High Psychologist"/>
  </r>
  <r>
    <x v="34"/>
    <s v="Personnel"/>
    <s v="M "/>
    <x v="2"/>
    <x v="24"/>
    <s v="PSES Mid Prog21Duty46 S275"/>
    <x v="1"/>
    <s v="46"/>
    <n v="46"/>
    <m/>
    <s v="   "/>
    <n v="2.7509999999999999"/>
    <n v="0.247"/>
    <n v="0.67900000000000005"/>
    <s v="Middle Psychologist"/>
  </r>
  <r>
    <x v="34"/>
    <s v="Personnel"/>
    <s v="M "/>
    <x v="2"/>
    <x v="49"/>
    <s v="PSES Mid Prog01Duty46 S275"/>
    <x v="0"/>
    <s v="46"/>
    <n v="46"/>
    <m/>
    <s v="   "/>
    <n v="0.25"/>
    <n v="0.247"/>
    <n v="0"/>
    <s v="Middle Psychologist"/>
  </r>
  <r>
    <x v="34"/>
    <s v="Personnel"/>
    <s v="E "/>
    <x v="0"/>
    <x v="27"/>
    <s v="PSES Elem Prog01Duty47 S275"/>
    <x v="0"/>
    <s v="47"/>
    <n v="47"/>
    <m/>
    <s v="   "/>
    <n v="1.52"/>
    <n v="0.247"/>
    <n v="0"/>
    <s v="Elementary Nurse"/>
  </r>
  <r>
    <x v="34"/>
    <s v="Personnel"/>
    <s v="H "/>
    <x v="1"/>
    <x v="25"/>
    <s v="PSES High Prog01Duty47 S275"/>
    <x v="0"/>
    <s v="47"/>
    <n v="47"/>
    <m/>
    <s v="   "/>
    <n v="0.33"/>
    <n v="0.247"/>
    <n v="0"/>
    <s v="High Nurse"/>
  </r>
  <r>
    <x v="34"/>
    <s v="Personnel"/>
    <s v="M "/>
    <x v="2"/>
    <x v="34"/>
    <s v="PSES Mid Prog01Duty47 S275"/>
    <x v="0"/>
    <s v="47"/>
    <n v="47"/>
    <m/>
    <s v="   "/>
    <n v="0.15"/>
    <n v="0.247"/>
    <n v="0"/>
    <s v="Middle Nurse"/>
  </r>
  <r>
    <x v="34"/>
    <s v="Personnel"/>
    <s v="E "/>
    <x v="0"/>
    <x v="35"/>
    <s v="PSES Elem Prog21Duty48 S275"/>
    <x v="1"/>
    <s v="48"/>
    <n v="48"/>
    <m/>
    <s v="   "/>
    <n v="0.52"/>
    <n v="0.247"/>
    <n v="0.128"/>
    <s v="Elementary Physical Therapist"/>
  </r>
  <r>
    <x v="34"/>
    <s v="Personnel"/>
    <s v="H "/>
    <x v="1"/>
    <x v="36"/>
    <s v="PSES High Prog21Duty48 S275"/>
    <x v="1"/>
    <s v="48"/>
    <n v="48"/>
    <m/>
    <s v="   "/>
    <n v="0.33"/>
    <n v="0.247"/>
    <n v="8.2000000000000003E-2"/>
    <s v="High Physical Therapist"/>
  </r>
  <r>
    <x v="34"/>
    <s v="Personnel"/>
    <s v="M "/>
    <x v="2"/>
    <x v="37"/>
    <s v="PSES Mid Prog21Duty48 S275"/>
    <x v="1"/>
    <s v="48"/>
    <n v="48"/>
    <m/>
    <s v="   "/>
    <n v="0.15"/>
    <n v="0.247"/>
    <n v="3.6999999999999998E-2"/>
    <s v="Middle Physical Therapist"/>
  </r>
  <r>
    <x v="35"/>
    <s v="Personnel"/>
    <s v="H "/>
    <x v="1"/>
    <x v="1"/>
    <s v="PSES High Prog01Duty96 S275"/>
    <x v="0"/>
    <s v="24"/>
    <n v="96"/>
    <n v="24"/>
    <s v="   "/>
    <n v="0.75700000000000001"/>
    <n v="0.1913"/>
    <n v="0"/>
    <s v="High Family Engagement Coordinator"/>
  </r>
  <r>
    <x v="35"/>
    <s v="Personnel"/>
    <s v="H "/>
    <x v="1"/>
    <x v="9"/>
    <s v="PSES High Prog01Act26 S275"/>
    <x v="0"/>
    <s v="26"/>
    <m/>
    <n v="26"/>
    <s v="   "/>
    <n v="0.59699999999999998"/>
    <n v="0.1913"/>
    <n v="0"/>
    <s v="High Health/_x000a_Related Services"/>
  </r>
  <r>
    <x v="35"/>
    <s v="Personnel"/>
    <s v="E "/>
    <x v="0"/>
    <x v="15"/>
    <s v="PSES Elem Prog01Duty42 S275"/>
    <x v="0"/>
    <s v="42"/>
    <n v="42"/>
    <m/>
    <s v="   "/>
    <n v="1"/>
    <n v="0.1913"/>
    <n v="0"/>
    <s v="Elementary Counselor"/>
  </r>
  <r>
    <x v="35"/>
    <s v="Personnel"/>
    <s v="H "/>
    <x v="1"/>
    <x v="16"/>
    <s v="PSES High Prog01Duty42 S275"/>
    <x v="0"/>
    <s v="42"/>
    <n v="42"/>
    <m/>
    <s v="   "/>
    <n v="1"/>
    <n v="0.1913"/>
    <n v="0"/>
    <s v="High Counselor"/>
  </r>
  <r>
    <x v="36"/>
    <s v="Personnel"/>
    <s v="H "/>
    <x v="1"/>
    <x v="5"/>
    <s v="PSES High Prog01Act25 S275"/>
    <x v="0"/>
    <s v="25"/>
    <m/>
    <n v="25"/>
    <s v="   "/>
    <n v="2.6349999999999998"/>
    <n v="0.1804"/>
    <n v="0"/>
    <s v="High Pupil Management"/>
  </r>
  <r>
    <x v="36"/>
    <s v="Personnel"/>
    <s v="M "/>
    <x v="2"/>
    <x v="6"/>
    <s v="PSES Mid Prog01Act25 S275"/>
    <x v="0"/>
    <s v="25"/>
    <m/>
    <n v="25"/>
    <s v="   "/>
    <n v="0.54800000000000004"/>
    <n v="0.1804"/>
    <n v="0"/>
    <s v="Middle Pupil Management"/>
  </r>
  <r>
    <x v="36"/>
    <s v="Personnel"/>
    <s v="E "/>
    <x v="0"/>
    <x v="8"/>
    <s v="PSES Elem Prog01Act26 S275"/>
    <x v="0"/>
    <s v="26"/>
    <m/>
    <n v="26"/>
    <s v="   "/>
    <n v="0.95299999999999996"/>
    <n v="0.1804"/>
    <n v="0"/>
    <s v="Elementary Health/_x000a_Related Services"/>
  </r>
  <r>
    <x v="36"/>
    <s v="Personnel"/>
    <s v="H "/>
    <x v="1"/>
    <x v="9"/>
    <s v="PSES High Prog01Act26 S275"/>
    <x v="0"/>
    <s v="26"/>
    <m/>
    <n v="26"/>
    <s v="   "/>
    <n v="0.2"/>
    <n v="0.1804"/>
    <n v="0"/>
    <s v="High Health/_x000a_Related Services"/>
  </r>
  <r>
    <x v="36"/>
    <s v="Personnel"/>
    <s v="M "/>
    <x v="2"/>
    <x v="11"/>
    <s v="PSES Mid Prog01Act26 S275"/>
    <x v="0"/>
    <s v="26"/>
    <m/>
    <n v="26"/>
    <s v="   "/>
    <n v="0.2"/>
    <n v="0.1804"/>
    <n v="0"/>
    <s v="Middle Health/_x000a_Related Services"/>
  </r>
  <r>
    <x v="36"/>
    <s v="Personnel"/>
    <s v="E "/>
    <x v="0"/>
    <x v="15"/>
    <s v="PSES Elem Prog01Duty42 S275"/>
    <x v="0"/>
    <s v="42"/>
    <n v="42"/>
    <m/>
    <s v="   "/>
    <n v="1"/>
    <n v="0.1804"/>
    <n v="0"/>
    <s v="Elementary Counselor"/>
  </r>
  <r>
    <x v="36"/>
    <s v="Personnel"/>
    <s v="H "/>
    <x v="1"/>
    <x v="16"/>
    <s v="PSES High Prog01Duty42 S275"/>
    <x v="0"/>
    <s v="42"/>
    <n v="42"/>
    <m/>
    <s v="   "/>
    <n v="1"/>
    <n v="0.1804"/>
    <n v="0"/>
    <s v="High Counselor"/>
  </r>
  <r>
    <x v="36"/>
    <s v="Personnel"/>
    <s v="M "/>
    <x v="2"/>
    <x v="17"/>
    <s v="PSES Mid Prog01Duty42 S275"/>
    <x v="0"/>
    <s v="42"/>
    <n v="42"/>
    <m/>
    <s v="   "/>
    <n v="1"/>
    <n v="0.1804"/>
    <n v="0"/>
    <s v="Middle Counselor"/>
  </r>
  <r>
    <x v="36"/>
    <s v="Personnel"/>
    <s v="E "/>
    <x v="0"/>
    <x v="20"/>
    <s v="PSES Elem Prog21Duty45 S275"/>
    <x v="1"/>
    <s v="45"/>
    <n v="45"/>
    <m/>
    <s v="   "/>
    <n v="1.82"/>
    <n v="0.1804"/>
    <n v="0.32800000000000001"/>
    <s v="Elementary Speech, Language Pathway/_x000a_Audio"/>
  </r>
  <r>
    <x v="36"/>
    <s v="Personnel"/>
    <s v="E "/>
    <x v="0"/>
    <x v="22"/>
    <s v="PSES Elem Prog21Duty46 S275"/>
    <x v="1"/>
    <s v="46"/>
    <n v="46"/>
    <m/>
    <s v="   "/>
    <n v="1"/>
    <n v="0.1804"/>
    <n v="0.18"/>
    <s v="Elementary Psychologist"/>
  </r>
  <r>
    <x v="37"/>
    <s v="Personnel"/>
    <s v="E "/>
    <x v="0"/>
    <x v="3"/>
    <s v="PSES Elem Prog01Act25 S275"/>
    <x v="0"/>
    <s v="25"/>
    <m/>
    <n v="25"/>
    <s v="   "/>
    <n v="1.294"/>
    <n v="0.1913"/>
    <n v="0"/>
    <s v="Elementary Pupil Management"/>
  </r>
  <r>
    <x v="37"/>
    <s v="Personnel"/>
    <s v="H "/>
    <x v="1"/>
    <x v="5"/>
    <s v="PSES High Prog01Act25 S275"/>
    <x v="0"/>
    <s v="25"/>
    <m/>
    <n v="25"/>
    <s v="   "/>
    <n v="1.24"/>
    <n v="0.1913"/>
    <n v="0"/>
    <s v="High Pupil Management"/>
  </r>
  <r>
    <x v="37"/>
    <s v="Personnel"/>
    <s v="M "/>
    <x v="2"/>
    <x v="6"/>
    <s v="PSES Mid Prog01Act25 S275"/>
    <x v="0"/>
    <s v="25"/>
    <m/>
    <n v="25"/>
    <s v="   "/>
    <n v="9.0999999999999998E-2"/>
    <n v="0.1913"/>
    <n v="0"/>
    <s v="Middle Pupil Management"/>
  </r>
  <r>
    <x v="37"/>
    <s v="Personnel"/>
    <s v="E "/>
    <x v="0"/>
    <x v="8"/>
    <s v="PSES Elem Prog01Act26 S275"/>
    <x v="0"/>
    <s v="26"/>
    <m/>
    <n v="26"/>
    <s v="   "/>
    <n v="0.67"/>
    <n v="0.1913"/>
    <n v="0"/>
    <s v="Elementary Health/_x000a_Related Services"/>
  </r>
  <r>
    <x v="37"/>
    <s v="Personnel"/>
    <s v="H "/>
    <x v="1"/>
    <x v="9"/>
    <s v="PSES High Prog01Act26 S275"/>
    <x v="0"/>
    <s v="26"/>
    <m/>
    <n v="26"/>
    <s v="   "/>
    <n v="0.33500000000000002"/>
    <n v="0.1913"/>
    <n v="0"/>
    <s v="High Health/_x000a_Related Services"/>
  </r>
  <r>
    <x v="37"/>
    <s v="Personnel"/>
    <s v="M "/>
    <x v="2"/>
    <x v="11"/>
    <s v="PSES Mid Prog01Act26 S275"/>
    <x v="0"/>
    <s v="26"/>
    <m/>
    <n v="26"/>
    <s v="   "/>
    <n v="0.33500000000000002"/>
    <n v="0.1913"/>
    <n v="0"/>
    <s v="Middle Health/_x000a_Related Services"/>
  </r>
  <r>
    <x v="37"/>
    <s v="Personnel"/>
    <s v="E "/>
    <x v="0"/>
    <x v="15"/>
    <s v="PSES Elem Prog01Duty42 S275"/>
    <x v="0"/>
    <s v="42"/>
    <n v="42"/>
    <m/>
    <s v="   "/>
    <n v="1.081"/>
    <n v="0.1913"/>
    <n v="0"/>
    <s v="Elementary Counselor"/>
  </r>
  <r>
    <x v="37"/>
    <s v="Personnel"/>
    <s v="H "/>
    <x v="1"/>
    <x v="16"/>
    <s v="PSES High Prog01Duty42 S275"/>
    <x v="0"/>
    <s v="42"/>
    <n v="42"/>
    <m/>
    <s v="   "/>
    <n v="1.081"/>
    <n v="0.1913"/>
    <n v="0"/>
    <s v="High Counselor"/>
  </r>
  <r>
    <x v="37"/>
    <s v="Personnel"/>
    <s v="M "/>
    <x v="2"/>
    <x v="17"/>
    <s v="PSES Mid Prog01Duty42 S275"/>
    <x v="0"/>
    <s v="42"/>
    <n v="42"/>
    <m/>
    <s v="   "/>
    <n v="1.0329999999999999"/>
    <n v="0.1913"/>
    <n v="0"/>
    <s v="Middle Counselor"/>
  </r>
  <r>
    <x v="37"/>
    <s v="Personnel"/>
    <s v="T"/>
    <x v="0"/>
    <x v="66"/>
    <s v="PSES Elem Prog09Duty25 S275"/>
    <x v="3"/>
    <s v="25"/>
    <n v="91"/>
    <n v="25"/>
    <s v="   "/>
    <n v="0.63600000000000001"/>
    <n v="0.1913"/>
    <n v="0"/>
    <s v="TK Pupil Management"/>
  </r>
  <r>
    <x v="37"/>
    <s v="Personnel"/>
    <s v="T"/>
    <x v="0"/>
    <x v="66"/>
    <s v="PSES Elem Prog09Duty25 S275"/>
    <x v="3"/>
    <s v="25"/>
    <n v="91"/>
    <n v="25"/>
    <s v="   "/>
    <n v="0.64600000000000002"/>
    <n v="0.1913"/>
    <n v="0"/>
    <s v="TK Pupil Management"/>
  </r>
  <r>
    <x v="38"/>
    <s v="Personnel"/>
    <s v="E "/>
    <x v="0"/>
    <x v="0"/>
    <s v="PSES Elem Prog01Duty96 S275"/>
    <x v="0"/>
    <s v="24"/>
    <n v="96"/>
    <n v="24"/>
    <s v="   "/>
    <n v="0.78500000000000003"/>
    <n v="0.23580000000000001"/>
    <n v="0"/>
    <s v="Elementary Family Engagement Coordinator"/>
  </r>
  <r>
    <x v="38"/>
    <s v="Personnel"/>
    <s v="E "/>
    <x v="0"/>
    <x v="8"/>
    <s v="PSES Elem Prog01Act26 S275"/>
    <x v="0"/>
    <s v="26"/>
    <m/>
    <n v="26"/>
    <s v="   "/>
    <n v="0.45600000000000002"/>
    <n v="0.23580000000000001"/>
    <n v="0"/>
    <s v="Elementary Health/_x000a_Related Services"/>
  </r>
  <r>
    <x v="38"/>
    <s v="Personnel"/>
    <s v="M "/>
    <x v="2"/>
    <x v="11"/>
    <s v="PSES Mid Prog01Act26 S275"/>
    <x v="0"/>
    <s v="26"/>
    <m/>
    <n v="26"/>
    <s v="   "/>
    <n v="0.158"/>
    <n v="0.23580000000000001"/>
    <n v="0"/>
    <s v="Middle Health/_x000a_Related Services"/>
  </r>
  <r>
    <x v="38"/>
    <s v="Personnel"/>
    <s v="E "/>
    <x v="0"/>
    <x v="15"/>
    <s v="PSES Elem Prog01Duty42 S275"/>
    <x v="0"/>
    <s v="42"/>
    <n v="42"/>
    <m/>
    <s v="   "/>
    <n v="1.5"/>
    <n v="0.23580000000000001"/>
    <n v="0"/>
    <s v="Elementary Counselor"/>
  </r>
  <r>
    <x v="38"/>
    <s v="Personnel"/>
    <s v="H "/>
    <x v="1"/>
    <x v="16"/>
    <s v="PSES High Prog01Duty42 S275"/>
    <x v="0"/>
    <s v="42"/>
    <n v="42"/>
    <m/>
    <s v="   "/>
    <n v="1.75"/>
    <n v="0.23580000000000001"/>
    <n v="0"/>
    <s v="High Counselor"/>
  </r>
  <r>
    <x v="38"/>
    <s v="Personnel"/>
    <s v="M "/>
    <x v="2"/>
    <x v="17"/>
    <s v="PSES Mid Prog01Duty42 S275"/>
    <x v="0"/>
    <s v="42"/>
    <n v="42"/>
    <m/>
    <s v="   "/>
    <n v="1.2"/>
    <n v="0.23580000000000001"/>
    <n v="0"/>
    <s v="Middle Counselor"/>
  </r>
  <r>
    <x v="38"/>
    <s v="Personnel"/>
    <s v="E "/>
    <x v="0"/>
    <x v="20"/>
    <s v="PSES Elem Prog21Duty45 S275"/>
    <x v="1"/>
    <s v="45"/>
    <n v="45"/>
    <m/>
    <s v="   "/>
    <n v="3"/>
    <n v="0.23580000000000001"/>
    <n v="0.70699999999999996"/>
    <s v="Elementary Speech, Language Pathway/_x000a_Audio"/>
  </r>
  <r>
    <x v="38"/>
    <s v="Personnel"/>
    <s v="H "/>
    <x v="1"/>
    <x v="21"/>
    <s v="PSES High Prog21Duty45 S275"/>
    <x v="1"/>
    <s v="45"/>
    <n v="45"/>
    <m/>
    <s v="   "/>
    <n v="1"/>
    <n v="0.23580000000000001"/>
    <n v="0.23599999999999999"/>
    <s v="High Speech, Language Pathway/_x000a_Audio"/>
  </r>
  <r>
    <x v="38"/>
    <s v="Personnel"/>
    <s v="M "/>
    <x v="2"/>
    <x v="28"/>
    <s v="PSES Mid Prog21Duty45 S275"/>
    <x v="1"/>
    <s v="45"/>
    <n v="45"/>
    <m/>
    <s v="   "/>
    <n v="1"/>
    <n v="0.23580000000000001"/>
    <n v="0.23599999999999999"/>
    <s v="Middle Speech, Language Pathway/_x000a_Audio"/>
  </r>
  <r>
    <x v="38"/>
    <s v="Personnel"/>
    <s v="E "/>
    <x v="0"/>
    <x v="22"/>
    <s v="PSES Elem Prog21Duty46 S275"/>
    <x v="1"/>
    <s v="46"/>
    <n v="46"/>
    <m/>
    <s v="   "/>
    <n v="1.5"/>
    <n v="0.23580000000000001"/>
    <n v="0.35399999999999998"/>
    <s v="Elementary Psychologist"/>
  </r>
  <r>
    <x v="38"/>
    <s v="Personnel"/>
    <s v="E "/>
    <x v="0"/>
    <x v="48"/>
    <s v="PSES Elem Prog01Duty46 S275"/>
    <x v="0"/>
    <s v="46"/>
    <n v="46"/>
    <m/>
    <s v="   "/>
    <n v="0.5"/>
    <n v="0.23580000000000001"/>
    <n v="0"/>
    <s v="Elementary Psychologist"/>
  </r>
  <r>
    <x v="38"/>
    <s v="Personnel"/>
    <s v="H "/>
    <x v="1"/>
    <x v="23"/>
    <s v="PSES High Prog21Duty46 S275"/>
    <x v="1"/>
    <s v="46"/>
    <n v="46"/>
    <m/>
    <s v="   "/>
    <n v="0.75"/>
    <n v="0.23580000000000001"/>
    <n v="0.17699999999999999"/>
    <s v="High Psychologist"/>
  </r>
  <r>
    <x v="38"/>
    <s v="Personnel"/>
    <s v="H "/>
    <x v="1"/>
    <x v="65"/>
    <s v="PSES High Prog01Duty46 S275"/>
    <x v="0"/>
    <s v="46"/>
    <n v="46"/>
    <m/>
    <s v="   "/>
    <n v="0.25"/>
    <n v="0.23580000000000001"/>
    <n v="0"/>
    <s v="High Psychologist"/>
  </r>
  <r>
    <x v="38"/>
    <s v="Personnel"/>
    <s v="M "/>
    <x v="2"/>
    <x v="24"/>
    <s v="PSES Mid Prog21Duty46 S275"/>
    <x v="1"/>
    <s v="46"/>
    <n v="46"/>
    <m/>
    <s v="   "/>
    <n v="0.75"/>
    <n v="0.23580000000000001"/>
    <n v="0.17699999999999999"/>
    <s v="Middle Psychologist"/>
  </r>
  <r>
    <x v="38"/>
    <s v="Personnel"/>
    <s v="M "/>
    <x v="2"/>
    <x v="49"/>
    <s v="PSES Mid Prog01Duty46 S275"/>
    <x v="0"/>
    <s v="46"/>
    <n v="46"/>
    <m/>
    <s v="   "/>
    <n v="0.25"/>
    <n v="0.23580000000000001"/>
    <n v="0"/>
    <s v="Middle Psychologist"/>
  </r>
  <r>
    <x v="38"/>
    <s v="Personnel"/>
    <s v="E "/>
    <x v="0"/>
    <x v="27"/>
    <s v="PSES Elem Prog01Duty47 S275"/>
    <x v="0"/>
    <s v="47"/>
    <n v="47"/>
    <m/>
    <s v="   "/>
    <n v="0.5"/>
    <n v="0.23580000000000001"/>
    <n v="0"/>
    <s v="Elementary Nurse"/>
  </r>
  <r>
    <x v="38"/>
    <s v="Personnel"/>
    <s v="H "/>
    <x v="1"/>
    <x v="25"/>
    <s v="PSES High Prog01Duty47 S275"/>
    <x v="0"/>
    <s v="47"/>
    <n v="47"/>
    <m/>
    <s v="   "/>
    <n v="0.25"/>
    <n v="0.23580000000000001"/>
    <n v="0"/>
    <s v="High Nurse"/>
  </r>
  <r>
    <x v="38"/>
    <s v="Personnel"/>
    <s v="M "/>
    <x v="2"/>
    <x v="34"/>
    <s v="PSES Mid Prog01Duty47 S275"/>
    <x v="0"/>
    <s v="47"/>
    <n v="47"/>
    <m/>
    <s v="   "/>
    <n v="0.25"/>
    <n v="0.23580000000000001"/>
    <n v="0"/>
    <s v="Middle Nurse"/>
  </r>
  <r>
    <x v="39"/>
    <s v="Personnel"/>
    <s v="H "/>
    <x v="1"/>
    <x v="1"/>
    <s v="PSES High Prog01Duty96 S275"/>
    <x v="0"/>
    <s v="24"/>
    <n v="96"/>
    <n v="24"/>
    <s v="   "/>
    <n v="0.84599999999999997"/>
    <n v="0.2576"/>
    <n v="0"/>
    <s v="High Family Engagement Coordinator"/>
  </r>
  <r>
    <x v="39"/>
    <s v="Personnel"/>
    <s v="E "/>
    <x v="0"/>
    <x v="67"/>
    <s v="PSES Elem Prog21Act25 S275"/>
    <x v="1"/>
    <s v="25"/>
    <m/>
    <n v="25"/>
    <s v="   "/>
    <n v="0.29599999999999999"/>
    <n v="0.2576"/>
    <n v="7.5999999999999998E-2"/>
    <s v="Elementary Pupil Management"/>
  </r>
  <r>
    <x v="39"/>
    <s v="Personnel"/>
    <s v="E "/>
    <x v="0"/>
    <x v="3"/>
    <s v="PSES Elem Prog01Act25 S275"/>
    <x v="0"/>
    <s v="25"/>
    <m/>
    <n v="25"/>
    <s v="   "/>
    <n v="3.9239999999999999"/>
    <n v="0.2576"/>
    <n v="0"/>
    <s v="Elementary Pupil Management"/>
  </r>
  <r>
    <x v="39"/>
    <s v="Personnel"/>
    <s v="H "/>
    <x v="1"/>
    <x v="4"/>
    <s v="PSES High Prog21Act25 S275"/>
    <x v="1"/>
    <s v="25"/>
    <m/>
    <n v="25"/>
    <s v="   "/>
    <n v="2.1999999999999999E-2"/>
    <n v="0.2576"/>
    <n v="6.0000000000000001E-3"/>
    <s v="High Pupil Management"/>
  </r>
  <r>
    <x v="39"/>
    <s v="Personnel"/>
    <s v="M "/>
    <x v="2"/>
    <x v="6"/>
    <s v="PSES Mid Prog01Act25 S275"/>
    <x v="0"/>
    <s v="25"/>
    <m/>
    <n v="25"/>
    <s v="   "/>
    <n v="6.4000000000000001E-2"/>
    <n v="0.2576"/>
    <n v="0"/>
    <s v="Middle Pupil Management"/>
  </r>
  <r>
    <x v="39"/>
    <s v="Personnel"/>
    <s v="E "/>
    <x v="0"/>
    <x v="7"/>
    <s v="PSES Elem Prog21Act26 S275"/>
    <x v="1"/>
    <s v="26"/>
    <m/>
    <n v="26"/>
    <s v="   "/>
    <n v="1.9"/>
    <n v="0.2576"/>
    <n v="0.48899999999999999"/>
    <s v="Elementary Health/_x000a_Related Services"/>
  </r>
  <r>
    <x v="39"/>
    <s v="Personnel"/>
    <s v="E "/>
    <x v="0"/>
    <x v="8"/>
    <s v="PSES Elem Prog01Act26 S275"/>
    <x v="0"/>
    <s v="26"/>
    <m/>
    <n v="26"/>
    <s v="   "/>
    <n v="4.6740000000000004"/>
    <n v="0.2576"/>
    <n v="0"/>
    <s v="Elementary Health/_x000a_Related Services"/>
  </r>
  <r>
    <x v="39"/>
    <s v="Personnel"/>
    <s v="H "/>
    <x v="1"/>
    <x v="29"/>
    <s v="PSES High Prog21Act26 S275"/>
    <x v="1"/>
    <s v="26"/>
    <m/>
    <n v="26"/>
    <s v="   "/>
    <n v="0.59599999999999997"/>
    <n v="0.2576"/>
    <n v="0.154"/>
    <s v="High Health/_x000a_Related Services"/>
  </r>
  <r>
    <x v="39"/>
    <s v="Personnel"/>
    <s v="H "/>
    <x v="1"/>
    <x v="9"/>
    <s v="PSES High Prog01Act26 S275"/>
    <x v="0"/>
    <s v="26"/>
    <m/>
    <n v="26"/>
    <s v="   "/>
    <n v="0.73399999999999999"/>
    <n v="0.2576"/>
    <n v="0"/>
    <s v="High Health/_x000a_Related Services"/>
  </r>
  <r>
    <x v="39"/>
    <s v="Personnel"/>
    <s v="M "/>
    <x v="2"/>
    <x v="11"/>
    <s v="PSES Mid Prog01Act26 S275"/>
    <x v="0"/>
    <s v="26"/>
    <m/>
    <n v="26"/>
    <s v="   "/>
    <n v="0.89400000000000002"/>
    <n v="0.2576"/>
    <n v="0"/>
    <s v="Middle Health/_x000a_Related Services"/>
  </r>
  <r>
    <x v="39"/>
    <s v="Personnel"/>
    <s v="H "/>
    <x v="1"/>
    <x v="54"/>
    <s v="PSES High Prog01Act35 S275"/>
    <x v="0"/>
    <s v="35"/>
    <m/>
    <n v="35"/>
    <s v="   "/>
    <n v="0.70799999999999996"/>
    <n v="0.2576"/>
    <n v="0"/>
    <s v="High Pupil Safety"/>
  </r>
  <r>
    <x v="39"/>
    <s v="Personnel"/>
    <s v="E "/>
    <x v="0"/>
    <x v="15"/>
    <s v="PSES Elem Prog01Duty42 S275"/>
    <x v="0"/>
    <s v="42"/>
    <n v="42"/>
    <m/>
    <s v="   "/>
    <n v="5.9029999999999996"/>
    <n v="0.2576"/>
    <n v="0"/>
    <s v="Elementary Counselor"/>
  </r>
  <r>
    <x v="39"/>
    <s v="Personnel"/>
    <s v="H "/>
    <x v="1"/>
    <x v="16"/>
    <s v="PSES High Prog01Duty42 S275"/>
    <x v="0"/>
    <s v="42"/>
    <n v="42"/>
    <m/>
    <s v="   "/>
    <n v="4"/>
    <n v="0.2576"/>
    <n v="0"/>
    <s v="High Counselor"/>
  </r>
  <r>
    <x v="39"/>
    <s v="Personnel"/>
    <s v="M "/>
    <x v="2"/>
    <x v="17"/>
    <s v="PSES Mid Prog01Duty42 S275"/>
    <x v="0"/>
    <s v="42"/>
    <n v="42"/>
    <m/>
    <s v="   "/>
    <n v="4"/>
    <n v="0.2576"/>
    <n v="0"/>
    <s v="Middle Counselor"/>
  </r>
  <r>
    <x v="39"/>
    <s v="Personnel"/>
    <s v="E "/>
    <x v="0"/>
    <x v="18"/>
    <s v="PSES Elem Prog21Duty43 S275"/>
    <x v="1"/>
    <s v="43"/>
    <n v="43"/>
    <m/>
    <s v="   "/>
    <n v="1"/>
    <n v="0.2576"/>
    <n v="0.25800000000000001"/>
    <s v="Elementary Occupational Therapist"/>
  </r>
  <r>
    <x v="39"/>
    <s v="Personnel"/>
    <s v="M "/>
    <x v="2"/>
    <x v="31"/>
    <s v="PSES Mid Prog21Duty43 S275"/>
    <x v="1"/>
    <s v="43"/>
    <n v="43"/>
    <m/>
    <s v="   "/>
    <n v="0.80100000000000005"/>
    <n v="0.2576"/>
    <n v="0.20599999999999999"/>
    <s v="Middle Occupational Therapist"/>
  </r>
  <r>
    <x v="39"/>
    <s v="Personnel"/>
    <s v="E "/>
    <x v="0"/>
    <x v="20"/>
    <s v="PSES Elem Prog21Duty45 S275"/>
    <x v="1"/>
    <s v="45"/>
    <n v="45"/>
    <m/>
    <s v="   "/>
    <n v="5"/>
    <n v="0.2576"/>
    <n v="1.288"/>
    <s v="Elementary Speech, Language Pathway/_x000a_Audio"/>
  </r>
  <r>
    <x v="39"/>
    <s v="Personnel"/>
    <s v="E "/>
    <x v="0"/>
    <x v="22"/>
    <s v="PSES Elem Prog21Duty46 S275"/>
    <x v="1"/>
    <s v="46"/>
    <n v="46"/>
    <m/>
    <s v="   "/>
    <n v="3"/>
    <n v="0.2576"/>
    <n v="0.77300000000000002"/>
    <s v="Elementary Psychologist"/>
  </r>
  <r>
    <x v="39"/>
    <s v="Personnel"/>
    <s v="E "/>
    <x v="0"/>
    <x v="27"/>
    <s v="PSES Elem Prog01Duty47 S275"/>
    <x v="0"/>
    <s v="47"/>
    <n v="47"/>
    <m/>
    <s v="   "/>
    <n v="2"/>
    <n v="0.2576"/>
    <n v="0"/>
    <s v="Elementary Nurse"/>
  </r>
  <r>
    <x v="39"/>
    <s v="Personnel"/>
    <s v="E "/>
    <x v="0"/>
    <x v="35"/>
    <s v="PSES Elem Prog21Duty48 S275"/>
    <x v="1"/>
    <s v="48"/>
    <n v="48"/>
    <m/>
    <s v="   "/>
    <n v="0.58599999999999997"/>
    <n v="0.2576"/>
    <n v="0.151"/>
    <s v="Elementary Physical Therapist"/>
  </r>
  <r>
    <x v="40"/>
    <s v="Personnel"/>
    <s v="E "/>
    <x v="0"/>
    <x v="8"/>
    <s v="PSES Elem Prog01Act26 S275"/>
    <x v="0"/>
    <s v="26"/>
    <m/>
    <n v="26"/>
    <s v="   "/>
    <n v="0.107"/>
    <n v="0.1913"/>
    <n v="0"/>
    <s v="Elementary Health/_x000a_Related Services"/>
  </r>
  <r>
    <x v="40"/>
    <s v="Personnel"/>
    <s v="M "/>
    <x v="2"/>
    <x v="11"/>
    <s v="PSES Mid Prog01Act26 S275"/>
    <x v="0"/>
    <s v="26"/>
    <m/>
    <n v="26"/>
    <s v="   "/>
    <n v="3.2000000000000001E-2"/>
    <n v="0.1913"/>
    <n v="0"/>
    <s v="Middle Health/_x000a_Related Services"/>
  </r>
  <r>
    <x v="41"/>
    <s v="Personnel"/>
    <s v="H "/>
    <x v="1"/>
    <x v="9"/>
    <s v="PSES High Prog01Act26 S275"/>
    <x v="0"/>
    <s v="26"/>
    <m/>
    <n v="26"/>
    <s v="   "/>
    <n v="1.2290000000000001"/>
    <n v="0.1552"/>
    <n v="0"/>
    <s v="High Health/_x000a_Related Services"/>
  </r>
  <r>
    <x v="41"/>
    <s v="Personnel"/>
    <s v="H "/>
    <x v="1"/>
    <x v="16"/>
    <s v="PSES High Prog01Duty42 S275"/>
    <x v="0"/>
    <s v="42"/>
    <n v="42"/>
    <m/>
    <s v="   "/>
    <n v="1"/>
    <n v="0.1552"/>
    <n v="0"/>
    <s v="High Counselor"/>
  </r>
  <r>
    <x v="41"/>
    <s v="Personnel"/>
    <s v="M "/>
    <x v="2"/>
    <x v="17"/>
    <s v="PSES Mid Prog01Duty42 S275"/>
    <x v="0"/>
    <s v="42"/>
    <n v="42"/>
    <m/>
    <s v="   "/>
    <n v="1"/>
    <n v="0.1552"/>
    <n v="0"/>
    <s v="Middle Counselor"/>
  </r>
  <r>
    <x v="42"/>
    <s v="Personnel"/>
    <s v="H "/>
    <x v="1"/>
    <x v="5"/>
    <s v="PSES High Prog01Act25 S275"/>
    <x v="0"/>
    <s v="25"/>
    <m/>
    <n v="25"/>
    <s v="   "/>
    <n v="9.6000000000000002E-2"/>
    <n v="0.1913"/>
    <n v="0"/>
    <s v="High Pupil Management"/>
  </r>
  <r>
    <x v="43"/>
    <s v="Personnel"/>
    <s v="H "/>
    <x v="1"/>
    <x v="4"/>
    <s v="PSES High Prog21Act25 S275"/>
    <x v="1"/>
    <s v="25"/>
    <m/>
    <n v="25"/>
    <s v="   "/>
    <n v="2.0059999999999998"/>
    <n v="0.2072"/>
    <n v="0.41599999999999998"/>
    <s v="High Pupil Management"/>
  </r>
  <r>
    <x v="43"/>
    <s v="Personnel"/>
    <s v="H "/>
    <x v="1"/>
    <x v="5"/>
    <s v="PSES High Prog01Act25 S275"/>
    <x v="0"/>
    <s v="25"/>
    <m/>
    <n v="25"/>
    <s v="   "/>
    <n v="15.988"/>
    <n v="0.2072"/>
    <n v="0"/>
    <s v="High Pupil Management"/>
  </r>
  <r>
    <x v="43"/>
    <s v="Personnel"/>
    <s v="H "/>
    <x v="1"/>
    <x v="29"/>
    <s v="PSES High Prog21Act26 S275"/>
    <x v="1"/>
    <s v="26"/>
    <m/>
    <n v="26"/>
    <s v="   "/>
    <n v="1.754"/>
    <n v="0.2072"/>
    <n v="0.36299999999999999"/>
    <s v="High Health/_x000a_Related Services"/>
  </r>
  <r>
    <x v="43"/>
    <s v="Personnel"/>
    <s v="H "/>
    <x v="1"/>
    <x v="9"/>
    <s v="PSES High Prog01Act26 S275"/>
    <x v="0"/>
    <s v="26"/>
    <m/>
    <n v="26"/>
    <s v="   "/>
    <n v="5.5110000000000001"/>
    <n v="0.2072"/>
    <n v="0"/>
    <s v="High Health/_x000a_Related Services"/>
  </r>
  <r>
    <x v="43"/>
    <s v="Personnel"/>
    <s v="E "/>
    <x v="0"/>
    <x v="15"/>
    <s v="PSES Elem Prog01Duty42 S275"/>
    <x v="0"/>
    <s v="42"/>
    <n v="42"/>
    <m/>
    <s v="   "/>
    <n v="6"/>
    <n v="0.2072"/>
    <n v="0"/>
    <s v="Elementary Counselor"/>
  </r>
  <r>
    <x v="43"/>
    <s v="Personnel"/>
    <s v="H "/>
    <x v="1"/>
    <x v="16"/>
    <s v="PSES High Prog01Duty42 S275"/>
    <x v="0"/>
    <s v="42"/>
    <n v="42"/>
    <m/>
    <s v="   "/>
    <n v="3.0169999999999999"/>
    <n v="0.2072"/>
    <n v="0"/>
    <s v="High Counselor"/>
  </r>
  <r>
    <x v="43"/>
    <s v="Personnel"/>
    <s v="M "/>
    <x v="2"/>
    <x v="17"/>
    <s v="PSES Mid Prog01Duty42 S275"/>
    <x v="0"/>
    <s v="42"/>
    <n v="42"/>
    <m/>
    <s v="   "/>
    <n v="1.333"/>
    <n v="0.2072"/>
    <n v="0"/>
    <s v="Middle Counselor"/>
  </r>
  <r>
    <x v="43"/>
    <s v="Personnel"/>
    <s v="E "/>
    <x v="0"/>
    <x v="18"/>
    <s v="PSES Elem Prog21Duty43 S275"/>
    <x v="1"/>
    <s v="43"/>
    <n v="43"/>
    <m/>
    <s v="   "/>
    <n v="1.7529999999999999"/>
    <n v="0.2072"/>
    <n v="0.36299999999999999"/>
    <s v="Elementary Occupational Therapist"/>
  </r>
  <r>
    <x v="43"/>
    <s v="Personnel"/>
    <s v="H "/>
    <x v="1"/>
    <x v="19"/>
    <s v="PSES High Prog21Duty43 S275"/>
    <x v="1"/>
    <s v="43"/>
    <n v="43"/>
    <m/>
    <s v="   "/>
    <n v="0.123"/>
    <n v="0.2072"/>
    <n v="2.5000000000000001E-2"/>
    <s v="High Occupational Therapist"/>
  </r>
  <r>
    <x v="43"/>
    <s v="Personnel"/>
    <s v="M "/>
    <x v="2"/>
    <x v="31"/>
    <s v="PSES Mid Prog21Duty43 S275"/>
    <x v="1"/>
    <s v="43"/>
    <n v="43"/>
    <m/>
    <s v="   "/>
    <n v="0.52400000000000002"/>
    <n v="0.2072"/>
    <n v="0.109"/>
    <s v="Middle Occupational Therapist"/>
  </r>
  <r>
    <x v="43"/>
    <s v="Personnel"/>
    <s v="E "/>
    <x v="0"/>
    <x v="20"/>
    <s v="PSES Elem Prog21Duty45 S275"/>
    <x v="1"/>
    <s v="45"/>
    <n v="45"/>
    <m/>
    <s v="   "/>
    <n v="5"/>
    <n v="0.2072"/>
    <n v="1.036"/>
    <s v="Elementary Speech, Language Pathway/_x000a_Audio"/>
  </r>
  <r>
    <x v="43"/>
    <s v="Personnel"/>
    <s v="H "/>
    <x v="1"/>
    <x v="21"/>
    <s v="PSES High Prog21Duty45 S275"/>
    <x v="1"/>
    <s v="45"/>
    <n v="45"/>
    <m/>
    <s v="   "/>
    <n v="0.33400000000000002"/>
    <n v="0.2072"/>
    <n v="6.9000000000000006E-2"/>
    <s v="High Speech, Language Pathway/_x000a_Audio"/>
  </r>
  <r>
    <x v="43"/>
    <s v="Personnel"/>
    <s v="M "/>
    <x v="2"/>
    <x v="28"/>
    <s v="PSES Mid Prog21Duty45 S275"/>
    <x v="1"/>
    <s v="45"/>
    <n v="45"/>
    <m/>
    <s v="   "/>
    <n v="0.66600000000000004"/>
    <n v="0.2072"/>
    <n v="0.13800000000000001"/>
    <s v="Middle Speech, Language Pathway/_x000a_Audio"/>
  </r>
  <r>
    <x v="43"/>
    <s v="Personnel"/>
    <s v="E "/>
    <x v="0"/>
    <x v="22"/>
    <s v="PSES Elem Prog21Duty46 S275"/>
    <x v="1"/>
    <s v="46"/>
    <n v="46"/>
    <m/>
    <s v="   "/>
    <n v="4.75"/>
    <n v="0.2072"/>
    <n v="0.98399999999999999"/>
    <s v="Elementary Psychologist"/>
  </r>
  <r>
    <x v="43"/>
    <s v="Personnel"/>
    <s v="E "/>
    <x v="0"/>
    <x v="48"/>
    <s v="PSES Elem Prog01Duty46 S275"/>
    <x v="0"/>
    <s v="46"/>
    <n v="46"/>
    <m/>
    <s v="   "/>
    <n v="1.25"/>
    <n v="0.2072"/>
    <n v="0"/>
    <s v="Elementary Psychologist"/>
  </r>
  <r>
    <x v="43"/>
    <s v="Personnel"/>
    <s v="H "/>
    <x v="1"/>
    <x v="23"/>
    <s v="PSES High Prog21Duty46 S275"/>
    <x v="1"/>
    <s v="46"/>
    <n v="46"/>
    <m/>
    <s v="   "/>
    <n v="1.8"/>
    <n v="0.2072"/>
    <n v="0.373"/>
    <s v="High Psychologist"/>
  </r>
  <r>
    <x v="43"/>
    <s v="Personnel"/>
    <s v="H "/>
    <x v="1"/>
    <x v="65"/>
    <s v="PSES High Prog01Duty46 S275"/>
    <x v="0"/>
    <s v="46"/>
    <n v="46"/>
    <m/>
    <s v="   "/>
    <n v="0.33300000000000002"/>
    <n v="0.2072"/>
    <n v="0"/>
    <s v="High Psychologist"/>
  </r>
  <r>
    <x v="43"/>
    <s v="Personnel"/>
    <s v="M "/>
    <x v="2"/>
    <x v="24"/>
    <s v="PSES Mid Prog21Duty46 S275"/>
    <x v="1"/>
    <s v="46"/>
    <n v="46"/>
    <m/>
    <s v="   "/>
    <n v="0.5"/>
    <n v="0.2072"/>
    <n v="0.104"/>
    <s v="Middle Psychologist"/>
  </r>
  <r>
    <x v="43"/>
    <s v="Personnel"/>
    <s v="M "/>
    <x v="2"/>
    <x v="49"/>
    <s v="PSES Mid Prog01Duty46 S275"/>
    <x v="0"/>
    <s v="46"/>
    <n v="46"/>
    <m/>
    <s v="   "/>
    <n v="0.16700000000000001"/>
    <n v="0.2072"/>
    <n v="0"/>
    <s v="Middle Psychologist"/>
  </r>
  <r>
    <x v="43"/>
    <s v="Personnel"/>
    <s v="E "/>
    <x v="0"/>
    <x v="32"/>
    <s v="PSES Elem Prog21Duty47 S275"/>
    <x v="1"/>
    <s v="47"/>
    <n v="47"/>
    <m/>
    <s v="   "/>
    <n v="0.42799999999999999"/>
    <n v="0.2072"/>
    <n v="8.8999999999999996E-2"/>
    <s v="Elementary Nurse"/>
  </r>
  <r>
    <x v="43"/>
    <s v="Personnel"/>
    <s v="E "/>
    <x v="0"/>
    <x v="27"/>
    <s v="PSES Elem Prog01Duty47 S275"/>
    <x v="0"/>
    <s v="47"/>
    <n v="47"/>
    <m/>
    <s v="   "/>
    <n v="2.84"/>
    <n v="0.2072"/>
    <n v="0"/>
    <s v="Elementary Nurse"/>
  </r>
  <r>
    <x v="43"/>
    <s v="Personnel"/>
    <s v="H "/>
    <x v="1"/>
    <x v="61"/>
    <s v="PSES High Prog21Duty47 S275"/>
    <x v="1"/>
    <s v="47"/>
    <n v="47"/>
    <m/>
    <s v="   "/>
    <n v="0.248"/>
    <n v="0.2072"/>
    <n v="5.0999999999999997E-2"/>
    <s v="High Nurse"/>
  </r>
  <r>
    <x v="43"/>
    <s v="Personnel"/>
    <s v="H "/>
    <x v="1"/>
    <x v="25"/>
    <s v="PSES High Prog01Duty47 S275"/>
    <x v="0"/>
    <s v="47"/>
    <n v="47"/>
    <m/>
    <s v="   "/>
    <n v="1.6220000000000001"/>
    <n v="0.2072"/>
    <n v="0"/>
    <s v="High Nurse"/>
  </r>
  <r>
    <x v="43"/>
    <s v="Personnel"/>
    <s v="M "/>
    <x v="2"/>
    <x v="33"/>
    <s v="PSES Mid Prog21Duty47 S275"/>
    <x v="1"/>
    <s v="47"/>
    <n v="47"/>
    <m/>
    <s v="   "/>
    <n v="0.124"/>
    <n v="0.2072"/>
    <n v="2.5999999999999999E-2"/>
    <s v="Middle Nurse"/>
  </r>
  <r>
    <x v="43"/>
    <s v="Personnel"/>
    <s v="M "/>
    <x v="2"/>
    <x v="34"/>
    <s v="PSES Mid Prog01Duty47 S275"/>
    <x v="0"/>
    <s v="47"/>
    <n v="47"/>
    <m/>
    <s v="   "/>
    <n v="0.81100000000000005"/>
    <n v="0.2072"/>
    <n v="0"/>
    <s v="Middle Nurse"/>
  </r>
  <r>
    <x v="43"/>
    <s v="Personnel"/>
    <s v="E "/>
    <x v="0"/>
    <x v="35"/>
    <s v="PSES Elem Prog21Duty48 S275"/>
    <x v="1"/>
    <s v="48"/>
    <n v="48"/>
    <m/>
    <s v="   "/>
    <n v="1.23"/>
    <n v="0.2072"/>
    <n v="0.255"/>
    <s v="Elementary Physical Therapist"/>
  </r>
  <r>
    <x v="43"/>
    <s v="Personnel"/>
    <s v="H "/>
    <x v="1"/>
    <x v="36"/>
    <s v="PSES High Prog21Duty48 S275"/>
    <x v="1"/>
    <s v="48"/>
    <n v="48"/>
    <m/>
    <s v="   "/>
    <n v="0.61599999999999999"/>
    <n v="0.2072"/>
    <n v="0.128"/>
    <s v="High Physical Therapist"/>
  </r>
  <r>
    <x v="43"/>
    <s v="Personnel"/>
    <s v="M "/>
    <x v="2"/>
    <x v="37"/>
    <s v="PSES Mid Prog21Duty48 S275"/>
    <x v="1"/>
    <s v="48"/>
    <n v="48"/>
    <m/>
    <s v="   "/>
    <n v="0.154"/>
    <n v="0.2072"/>
    <n v="3.2000000000000001E-2"/>
    <s v="Middle Physical Therapist"/>
  </r>
  <r>
    <x v="43"/>
    <s v="Personnel"/>
    <s v="E "/>
    <x v="0"/>
    <x v="26"/>
    <s v="PSES Elem Prog21Duty49 S275"/>
    <x v="1"/>
    <s v="49"/>
    <n v="49"/>
    <m/>
    <s v="   "/>
    <n v="0.70799999999999996"/>
    <n v="0.2072"/>
    <n v="0.14699999999999999"/>
    <s v="Elementary Behavior Analyst"/>
  </r>
  <r>
    <x v="43"/>
    <s v="Personnel"/>
    <s v="H "/>
    <x v="1"/>
    <x v="55"/>
    <s v="PSES High Prog21Duty49 S275"/>
    <x v="1"/>
    <s v="49"/>
    <n v="49"/>
    <m/>
    <s v="   "/>
    <n v="0.154"/>
    <n v="0.2072"/>
    <n v="3.2000000000000001E-2"/>
    <s v="High Behavior Analyst"/>
  </r>
  <r>
    <x v="43"/>
    <s v="Personnel"/>
    <s v="H "/>
    <x v="1"/>
    <x v="68"/>
    <s v="PSES High Prog01Duty49 S275"/>
    <x v="0"/>
    <s v="49"/>
    <n v="49"/>
    <m/>
    <s v="   "/>
    <n v="0.75"/>
    <n v="0.2072"/>
    <n v="0"/>
    <s v="High Behavior Analyst"/>
  </r>
  <r>
    <x v="43"/>
    <s v="Personnel"/>
    <s v="M "/>
    <x v="2"/>
    <x v="50"/>
    <s v="PSES Mid Prog21Duty49 S275"/>
    <x v="1"/>
    <s v="49"/>
    <n v="49"/>
    <m/>
    <s v="   "/>
    <n v="0.14000000000000001"/>
    <n v="0.2072"/>
    <n v="2.9000000000000001E-2"/>
    <s v="Middle Behavior Analyst"/>
  </r>
  <r>
    <x v="44"/>
    <s v="Personnel"/>
    <s v="E "/>
    <x v="0"/>
    <x v="3"/>
    <s v="PSES Elem Prog01Act25 S275"/>
    <x v="0"/>
    <s v="25"/>
    <m/>
    <n v="25"/>
    <s v="   "/>
    <n v="0.13300000000000001"/>
    <n v="0.1913"/>
    <n v="0"/>
    <s v="Elementary Pupil Management"/>
  </r>
  <r>
    <x v="44"/>
    <s v="Personnel"/>
    <s v="H "/>
    <x v="1"/>
    <x v="9"/>
    <s v="PSES High Prog01Act26 S275"/>
    <x v="0"/>
    <s v="26"/>
    <m/>
    <n v="26"/>
    <s v="   "/>
    <n v="0.503"/>
    <n v="0.1913"/>
    <n v="0"/>
    <s v="High Health/_x000a_Related Services"/>
  </r>
  <r>
    <x v="45"/>
    <s v="Personnel"/>
    <s v="H "/>
    <x v="1"/>
    <x v="9"/>
    <s v="PSES High Prog01Act26 S275"/>
    <x v="0"/>
    <s v="26"/>
    <m/>
    <n v="26"/>
    <s v="   "/>
    <n v="0.64600000000000002"/>
    <n v="0.1913"/>
    <n v="0"/>
    <s v="High Health/_x000a_Related Services"/>
  </r>
  <r>
    <x v="45"/>
    <s v="Personnel"/>
    <s v="M "/>
    <x v="2"/>
    <x v="17"/>
    <s v="PSES Mid Prog01Duty42 S275"/>
    <x v="0"/>
    <s v="42"/>
    <n v="42"/>
    <m/>
    <s v="   "/>
    <n v="0.49"/>
    <n v="0.1913"/>
    <n v="0"/>
    <s v="Middle Counselor"/>
  </r>
  <r>
    <x v="46"/>
    <s v="Personnel"/>
    <s v="H "/>
    <x v="1"/>
    <x v="9"/>
    <s v="PSES High Prog01Act26 S275"/>
    <x v="0"/>
    <s v="26"/>
    <m/>
    <n v="26"/>
    <s v="   "/>
    <n v="0.22900000000000001"/>
    <n v="0.08"/>
    <n v="0"/>
    <s v="High Health/_x000a_Related Services"/>
  </r>
  <r>
    <x v="47"/>
    <s v="Personnel"/>
    <s v="M "/>
    <x v="2"/>
    <x v="17"/>
    <s v="PSES Mid Prog01Duty42 S275"/>
    <x v="0"/>
    <s v="42"/>
    <n v="42"/>
    <m/>
    <s v="   "/>
    <n v="0.5"/>
    <n v="0.15060000000000001"/>
    <n v="0"/>
    <s v="Middle Counselor"/>
  </r>
  <r>
    <x v="48"/>
    <s v="Personnel"/>
    <s v="E "/>
    <x v="0"/>
    <x v="8"/>
    <s v="PSES Elem Prog01Act26 S275"/>
    <x v="0"/>
    <s v="26"/>
    <m/>
    <n v="26"/>
    <s v="   "/>
    <n v="0.11899999999999999"/>
    <n v="0.1133"/>
    <n v="0"/>
    <s v="Elementary Health/_x000a_Related Services"/>
  </r>
  <r>
    <x v="49"/>
    <s v="Personnel"/>
    <s v="H "/>
    <x v="1"/>
    <x v="9"/>
    <s v="PSES High Prog01Act26 S275"/>
    <x v="0"/>
    <s v="26"/>
    <m/>
    <n v="26"/>
    <s v="   "/>
    <n v="3.7999999999999999E-2"/>
    <n v="0.219"/>
    <n v="0"/>
    <s v="High Health/_x000a_Related Services"/>
  </r>
  <r>
    <x v="49"/>
    <s v="Personnel"/>
    <s v="E "/>
    <x v="0"/>
    <x v="15"/>
    <s v="PSES Elem Prog01Duty42 S275"/>
    <x v="0"/>
    <s v="42"/>
    <n v="42"/>
    <m/>
    <s v="   "/>
    <n v="0.3"/>
    <n v="0.219"/>
    <n v="0"/>
    <s v="Elementary Counselor"/>
  </r>
  <r>
    <x v="49"/>
    <s v="Personnel"/>
    <s v="H "/>
    <x v="1"/>
    <x v="16"/>
    <s v="PSES High Prog01Duty42 S275"/>
    <x v="0"/>
    <s v="42"/>
    <n v="42"/>
    <m/>
    <s v="   "/>
    <n v="1.1499999999999999"/>
    <n v="0.219"/>
    <n v="0"/>
    <s v="High Counselor"/>
  </r>
  <r>
    <x v="49"/>
    <s v="Personnel"/>
    <s v="M "/>
    <x v="2"/>
    <x v="17"/>
    <s v="PSES Mid Prog01Duty42 S275"/>
    <x v="0"/>
    <s v="42"/>
    <n v="42"/>
    <m/>
    <s v="   "/>
    <n v="0.3"/>
    <n v="0.219"/>
    <n v="0"/>
    <s v="Middle Counselor"/>
  </r>
  <r>
    <x v="50"/>
    <s v="Personnel"/>
    <s v="H "/>
    <x v="1"/>
    <x v="1"/>
    <s v="PSES High Prog01Duty96 S275"/>
    <x v="0"/>
    <s v="24"/>
    <n v="96"/>
    <n v="24"/>
    <s v="   "/>
    <n v="0.63300000000000001"/>
    <n v="0.16239999999999999"/>
    <n v="0"/>
    <s v="High Family Engagement Coordinator"/>
  </r>
  <r>
    <x v="50"/>
    <s v="Personnel"/>
    <s v="H "/>
    <x v="1"/>
    <x v="9"/>
    <s v="PSES High Prog01Act26 S275"/>
    <x v="0"/>
    <s v="26"/>
    <m/>
    <n v="26"/>
    <s v="   "/>
    <n v="0.46200000000000002"/>
    <n v="0.16239999999999999"/>
    <n v="0"/>
    <s v="High Health/_x000a_Related Services"/>
  </r>
  <r>
    <x v="51"/>
    <s v="Personnel"/>
    <s v="H "/>
    <x v="1"/>
    <x v="1"/>
    <s v="PSES High Prog01Duty96 S275"/>
    <x v="0"/>
    <s v="24"/>
    <n v="96"/>
    <n v="24"/>
    <s v="   "/>
    <n v="2.4820000000000002"/>
    <n v="0.27529999999999999"/>
    <n v="0"/>
    <s v="High Family Engagement Coordinator"/>
  </r>
  <r>
    <x v="51"/>
    <s v="Personnel"/>
    <s v="H "/>
    <x v="1"/>
    <x v="4"/>
    <s v="PSES High Prog21Act25 S275"/>
    <x v="1"/>
    <s v="25"/>
    <m/>
    <n v="25"/>
    <s v="   "/>
    <n v="18.649000000000001"/>
    <n v="0.27529999999999999"/>
    <n v="5.1340000000000003"/>
    <s v="High Pupil Management"/>
  </r>
  <r>
    <x v="51"/>
    <s v="Personnel"/>
    <s v="H "/>
    <x v="1"/>
    <x v="5"/>
    <s v="PSES High Prog01Act25 S275"/>
    <x v="0"/>
    <s v="25"/>
    <m/>
    <n v="25"/>
    <s v="   "/>
    <n v="42.646000000000001"/>
    <n v="0.27529999999999999"/>
    <n v="0"/>
    <s v="High Pupil Management"/>
  </r>
  <r>
    <x v="51"/>
    <s v="Personnel"/>
    <s v="H "/>
    <x v="1"/>
    <x v="29"/>
    <s v="PSES High Prog21Act26 S275"/>
    <x v="1"/>
    <s v="26"/>
    <m/>
    <n v="26"/>
    <s v="   "/>
    <n v="8.2189999999999994"/>
    <n v="0.27529999999999999"/>
    <n v="2.2629999999999999"/>
    <s v="High Health/_x000a_Related Services"/>
  </r>
  <r>
    <x v="51"/>
    <s v="Personnel"/>
    <s v="H "/>
    <x v="1"/>
    <x v="9"/>
    <s v="PSES High Prog01Act26 S275"/>
    <x v="0"/>
    <s v="26"/>
    <m/>
    <n v="26"/>
    <s v="   "/>
    <n v="1.8160000000000001"/>
    <n v="0.27529999999999999"/>
    <n v="0"/>
    <s v="High Health/_x000a_Related Services"/>
  </r>
  <r>
    <x v="51"/>
    <s v="Personnel"/>
    <s v="E "/>
    <x v="0"/>
    <x v="15"/>
    <s v="PSES Elem Prog01Duty42 S275"/>
    <x v="0"/>
    <s v="42"/>
    <n v="42"/>
    <m/>
    <s v="   "/>
    <n v="16"/>
    <n v="0.27529999999999999"/>
    <n v="0"/>
    <s v="Elementary Counselor"/>
  </r>
  <r>
    <x v="51"/>
    <s v="Personnel"/>
    <s v="H "/>
    <x v="1"/>
    <x v="16"/>
    <s v="PSES High Prog01Duty42 S275"/>
    <x v="0"/>
    <s v="42"/>
    <n v="42"/>
    <m/>
    <s v="   "/>
    <n v="17.654"/>
    <n v="0.27529999999999999"/>
    <n v="0"/>
    <s v="High Counselor"/>
  </r>
  <r>
    <x v="51"/>
    <s v="Personnel"/>
    <s v="M "/>
    <x v="2"/>
    <x v="17"/>
    <s v="PSES Mid Prog01Duty42 S275"/>
    <x v="0"/>
    <s v="42"/>
    <n v="42"/>
    <m/>
    <s v="   "/>
    <n v="8.02"/>
    <n v="0.27529999999999999"/>
    <n v="0"/>
    <s v="Middle Counselor"/>
  </r>
  <r>
    <x v="51"/>
    <s v="Personnel"/>
    <s v="E "/>
    <x v="0"/>
    <x v="18"/>
    <s v="PSES Elem Prog21Duty43 S275"/>
    <x v="1"/>
    <s v="43"/>
    <n v="43"/>
    <m/>
    <s v="   "/>
    <n v="3"/>
    <n v="0.27529999999999999"/>
    <n v="0.82599999999999996"/>
    <s v="Elementary Occupational Therapist"/>
  </r>
  <r>
    <x v="51"/>
    <s v="Personnel"/>
    <s v="E "/>
    <x v="0"/>
    <x v="69"/>
    <s v="PSES Elem Prog01Duty43 S275"/>
    <x v="0"/>
    <s v="43"/>
    <n v="43"/>
    <m/>
    <s v="   "/>
    <n v="1.2"/>
    <n v="0.27529999999999999"/>
    <n v="0"/>
    <s v="Elementary Occupational Therapist"/>
  </r>
  <r>
    <x v="51"/>
    <s v="Personnel"/>
    <s v="H "/>
    <x v="1"/>
    <x v="44"/>
    <s v="PSES High Prog01Duty44 S275"/>
    <x v="0"/>
    <s v="44"/>
    <n v="44"/>
    <m/>
    <s v="   "/>
    <n v="1"/>
    <n v="0.27529999999999999"/>
    <n v="0"/>
    <s v="High Social Worker"/>
  </r>
  <r>
    <x v="51"/>
    <s v="Personnel"/>
    <s v="E "/>
    <x v="0"/>
    <x v="20"/>
    <s v="PSES Elem Prog21Duty45 S275"/>
    <x v="1"/>
    <s v="45"/>
    <n v="45"/>
    <m/>
    <s v="   "/>
    <n v="0.79600000000000004"/>
    <n v="0.27529999999999999"/>
    <n v="0.219"/>
    <s v="Elementary Speech, Language Pathway/_x000a_Audio"/>
  </r>
  <r>
    <x v="51"/>
    <s v="Personnel"/>
    <s v="H "/>
    <x v="1"/>
    <x v="21"/>
    <s v="PSES High Prog21Duty45 S275"/>
    <x v="1"/>
    <s v="45"/>
    <n v="45"/>
    <m/>
    <s v="   "/>
    <n v="13.222"/>
    <n v="0.27529999999999999"/>
    <n v="3.64"/>
    <s v="High Speech, Language Pathway/_x000a_Audio"/>
  </r>
  <r>
    <x v="51"/>
    <s v="Personnel"/>
    <s v="H "/>
    <x v="1"/>
    <x v="23"/>
    <s v="PSES High Prog21Duty46 S275"/>
    <x v="1"/>
    <s v="46"/>
    <n v="46"/>
    <m/>
    <s v="   "/>
    <n v="14.933"/>
    <n v="0.27529999999999999"/>
    <n v="4.1109999999999998"/>
    <s v="High Psychologist"/>
  </r>
  <r>
    <x v="51"/>
    <s v="Personnel"/>
    <s v="E "/>
    <x v="0"/>
    <x v="32"/>
    <s v="PSES Elem Prog21Duty47 S275"/>
    <x v="1"/>
    <s v="47"/>
    <n v="47"/>
    <m/>
    <s v="   "/>
    <n v="0.75"/>
    <n v="0.27529999999999999"/>
    <n v="0.20599999999999999"/>
    <s v="Elementary Nurse"/>
  </r>
  <r>
    <x v="51"/>
    <s v="Personnel"/>
    <s v="E "/>
    <x v="0"/>
    <x v="27"/>
    <s v="PSES Elem Prog01Duty47 S275"/>
    <x v="0"/>
    <s v="47"/>
    <n v="47"/>
    <m/>
    <s v="   "/>
    <n v="19.305"/>
    <n v="0.27529999999999999"/>
    <n v="0"/>
    <s v="Elementary Nurse"/>
  </r>
  <r>
    <x v="51"/>
    <s v="Personnel"/>
    <s v="H "/>
    <x v="1"/>
    <x v="25"/>
    <s v="PSES High Prog01Duty47 S275"/>
    <x v="0"/>
    <s v="47"/>
    <n v="47"/>
    <m/>
    <s v="   "/>
    <n v="2"/>
    <n v="0.27529999999999999"/>
    <n v="0"/>
    <s v="High Nurse"/>
  </r>
  <r>
    <x v="51"/>
    <s v="Personnel"/>
    <s v="E "/>
    <x v="0"/>
    <x v="35"/>
    <s v="PSES Elem Prog21Duty48 S275"/>
    <x v="1"/>
    <s v="48"/>
    <n v="48"/>
    <m/>
    <s v="   "/>
    <n v="1"/>
    <n v="0.27529999999999999"/>
    <n v="0.27500000000000002"/>
    <s v="Elementary Physical Therapist"/>
  </r>
  <r>
    <x v="52"/>
    <s v="Personnel"/>
    <s v="H "/>
    <x v="1"/>
    <x v="29"/>
    <s v="PSES High Prog21Act26 S275"/>
    <x v="1"/>
    <s v="26"/>
    <m/>
    <n v="26"/>
    <s v="   "/>
    <n v="2.3879999999999999"/>
    <n v="0.24629999999999999"/>
    <n v="0.58799999999999997"/>
    <s v="High Health/_x000a_Related Services"/>
  </r>
  <r>
    <x v="52"/>
    <s v="Personnel"/>
    <s v="H "/>
    <x v="1"/>
    <x v="9"/>
    <s v="PSES High Prog01Act26 S275"/>
    <x v="0"/>
    <s v="26"/>
    <m/>
    <n v="26"/>
    <s v="   "/>
    <n v="2.97"/>
    <n v="0.24629999999999999"/>
    <n v="0"/>
    <s v="High Health/_x000a_Related Services"/>
  </r>
  <r>
    <x v="52"/>
    <s v="Personnel"/>
    <s v="E "/>
    <x v="0"/>
    <x v="15"/>
    <s v="PSES Elem Prog01Duty42 S275"/>
    <x v="0"/>
    <s v="42"/>
    <n v="42"/>
    <m/>
    <s v="   "/>
    <n v="2"/>
    <n v="0.24629999999999999"/>
    <n v="0"/>
    <s v="Elementary Counselor"/>
  </r>
  <r>
    <x v="52"/>
    <s v="Personnel"/>
    <s v="H "/>
    <x v="1"/>
    <x v="16"/>
    <s v="PSES High Prog01Duty42 S275"/>
    <x v="0"/>
    <s v="42"/>
    <n v="42"/>
    <m/>
    <s v="   "/>
    <n v="2.98"/>
    <n v="0.24629999999999999"/>
    <n v="0"/>
    <s v="High Counselor"/>
  </r>
  <r>
    <x v="52"/>
    <s v="Personnel"/>
    <s v="M "/>
    <x v="2"/>
    <x v="17"/>
    <s v="PSES Mid Prog01Duty42 S275"/>
    <x v="0"/>
    <s v="42"/>
    <n v="42"/>
    <m/>
    <s v="   "/>
    <n v="2.83"/>
    <n v="0.24629999999999999"/>
    <n v="0"/>
    <s v="Middle Counselor"/>
  </r>
  <r>
    <x v="52"/>
    <s v="Personnel"/>
    <s v="E "/>
    <x v="0"/>
    <x v="20"/>
    <s v="PSES Elem Prog21Duty45 S275"/>
    <x v="1"/>
    <s v="45"/>
    <n v="45"/>
    <m/>
    <s v="   "/>
    <n v="1.1950000000000001"/>
    <n v="0.24629999999999999"/>
    <n v="0.29399999999999998"/>
    <s v="Elementary Speech, Language Pathway/_x000a_Audio"/>
  </r>
  <r>
    <x v="52"/>
    <s v="Personnel"/>
    <s v="H "/>
    <x v="1"/>
    <x v="21"/>
    <s v="PSES High Prog21Duty45 S275"/>
    <x v="1"/>
    <s v="45"/>
    <n v="45"/>
    <m/>
    <s v="   "/>
    <n v="0.28599999999999998"/>
    <n v="0.24629999999999999"/>
    <n v="7.0000000000000007E-2"/>
    <s v="High Speech, Language Pathway/_x000a_Audio"/>
  </r>
  <r>
    <x v="52"/>
    <s v="Personnel"/>
    <s v="M "/>
    <x v="2"/>
    <x v="28"/>
    <s v="PSES Mid Prog21Duty45 S275"/>
    <x v="1"/>
    <s v="45"/>
    <n v="45"/>
    <m/>
    <s v="   "/>
    <n v="0.14299999999999999"/>
    <n v="0.24629999999999999"/>
    <n v="3.5000000000000003E-2"/>
    <s v="Middle Speech, Language Pathway/_x000a_Audio"/>
  </r>
  <r>
    <x v="52"/>
    <s v="Personnel"/>
    <s v="E "/>
    <x v="0"/>
    <x v="22"/>
    <s v="PSES Elem Prog21Duty46 S275"/>
    <x v="1"/>
    <s v="46"/>
    <n v="46"/>
    <m/>
    <s v="   "/>
    <n v="1"/>
    <n v="0.24629999999999999"/>
    <n v="0.246"/>
    <s v="Elementary Psychologist"/>
  </r>
  <r>
    <x v="52"/>
    <s v="Personnel"/>
    <s v="H "/>
    <x v="1"/>
    <x v="23"/>
    <s v="PSES High Prog21Duty46 S275"/>
    <x v="1"/>
    <s v="46"/>
    <n v="46"/>
    <m/>
    <s v="   "/>
    <n v="0.57199999999999995"/>
    <n v="0.24629999999999999"/>
    <n v="0.14099999999999999"/>
    <s v="High Psychologist"/>
  </r>
  <r>
    <x v="52"/>
    <s v="Personnel"/>
    <s v="M "/>
    <x v="2"/>
    <x v="24"/>
    <s v="PSES Mid Prog21Duty46 S275"/>
    <x v="1"/>
    <s v="46"/>
    <n v="46"/>
    <m/>
    <s v="   "/>
    <n v="0.28599999999999998"/>
    <n v="0.24629999999999999"/>
    <n v="7.0000000000000007E-2"/>
    <s v="Middle Psychologist"/>
  </r>
  <r>
    <x v="53"/>
    <s v="Personnel"/>
    <s v="E "/>
    <x v="0"/>
    <x v="15"/>
    <s v="PSES Elem Prog01Duty42 S275"/>
    <x v="0"/>
    <s v="42"/>
    <n v="42"/>
    <m/>
    <s v="   "/>
    <n v="1"/>
    <n v="0.1913"/>
    <n v="0"/>
    <s v="Elementary Counselor"/>
  </r>
  <r>
    <x v="54"/>
    <s v="Personnel"/>
    <s v="H "/>
    <x v="1"/>
    <x v="54"/>
    <s v="PSES High Prog01Act35 S275"/>
    <x v="0"/>
    <s v="35"/>
    <m/>
    <n v="35"/>
    <s v="   "/>
    <n v="0.34599999999999997"/>
    <n v="0.25159999999999999"/>
    <n v="0"/>
    <s v="High Pupil Safety"/>
  </r>
  <r>
    <x v="54"/>
    <s v="Personnel"/>
    <s v="E "/>
    <x v="0"/>
    <x v="15"/>
    <s v="PSES Elem Prog01Duty42 S275"/>
    <x v="0"/>
    <s v="42"/>
    <n v="42"/>
    <m/>
    <s v="   "/>
    <n v="0.61699999999999999"/>
    <n v="0.25159999999999999"/>
    <n v="0"/>
    <s v="Elementary Counselor"/>
  </r>
  <r>
    <x v="54"/>
    <s v="Personnel"/>
    <s v="H "/>
    <x v="1"/>
    <x v="16"/>
    <s v="PSES High Prog01Duty42 S275"/>
    <x v="0"/>
    <s v="42"/>
    <n v="42"/>
    <m/>
    <s v="   "/>
    <n v="0.28599999999999998"/>
    <n v="0.25159999999999999"/>
    <n v="0"/>
    <s v="High Counselor"/>
  </r>
  <r>
    <x v="54"/>
    <s v="Personnel"/>
    <s v="M "/>
    <x v="2"/>
    <x v="17"/>
    <s v="PSES Mid Prog01Duty42 S275"/>
    <x v="0"/>
    <s v="42"/>
    <n v="42"/>
    <m/>
    <s v="   "/>
    <n v="0.1"/>
    <n v="0.25159999999999999"/>
    <n v="0"/>
    <s v="Middle Counselor"/>
  </r>
  <r>
    <x v="55"/>
    <s v="Personnel"/>
    <s v="H "/>
    <x v="1"/>
    <x v="53"/>
    <s v="PSES High Prog97Act25 S275"/>
    <x v="2"/>
    <s v="25"/>
    <m/>
    <n v="25"/>
    <s v="   "/>
    <n v="0.76900000000000002"/>
    <n v="0.2472"/>
    <n v="0"/>
    <s v="High Pupil Management"/>
  </r>
  <r>
    <x v="55"/>
    <s v="Personnel"/>
    <s v="H "/>
    <x v="1"/>
    <x v="9"/>
    <s v="PSES High Prog01Act26 S275"/>
    <x v="0"/>
    <s v="26"/>
    <m/>
    <n v="26"/>
    <s v="   "/>
    <n v="0.76900000000000002"/>
    <n v="0.2472"/>
    <n v="0"/>
    <s v="High Health/_x000a_Related Services"/>
  </r>
  <r>
    <x v="55"/>
    <s v="Personnel"/>
    <s v="E "/>
    <x v="0"/>
    <x v="15"/>
    <s v="PSES Elem Prog01Duty42 S275"/>
    <x v="0"/>
    <s v="42"/>
    <n v="42"/>
    <m/>
    <s v="   "/>
    <n v="5.36"/>
    <n v="0.2472"/>
    <n v="0"/>
    <s v="Elementary Counselor"/>
  </r>
  <r>
    <x v="55"/>
    <s v="Personnel"/>
    <s v="H "/>
    <x v="1"/>
    <x v="16"/>
    <s v="PSES High Prog01Duty42 S275"/>
    <x v="0"/>
    <s v="42"/>
    <n v="42"/>
    <m/>
    <s v="   "/>
    <n v="4"/>
    <n v="0.2472"/>
    <n v="0"/>
    <s v="High Counselor"/>
  </r>
  <r>
    <x v="55"/>
    <s v="Personnel"/>
    <s v="M "/>
    <x v="2"/>
    <x v="17"/>
    <s v="PSES Mid Prog01Duty42 S275"/>
    <x v="0"/>
    <s v="42"/>
    <n v="42"/>
    <m/>
    <s v="   "/>
    <n v="1.34"/>
    <n v="0.2472"/>
    <n v="0"/>
    <s v="Middle Counselor"/>
  </r>
  <r>
    <x v="55"/>
    <s v="Personnel"/>
    <s v="E "/>
    <x v="0"/>
    <x v="22"/>
    <s v="PSES Elem Prog21Duty46 S275"/>
    <x v="1"/>
    <s v="46"/>
    <n v="46"/>
    <m/>
    <s v="   "/>
    <n v="2"/>
    <n v="0.2472"/>
    <n v="0.49399999999999999"/>
    <s v="Elementary Psychologist"/>
  </r>
  <r>
    <x v="56"/>
    <s v="Personnel"/>
    <s v="E "/>
    <x v="0"/>
    <x v="3"/>
    <s v="PSES Elem Prog01Act25 S275"/>
    <x v="0"/>
    <s v="25"/>
    <m/>
    <n v="25"/>
    <s v="   "/>
    <n v="0.42399999999999999"/>
    <n v="0.2253"/>
    <n v="0"/>
    <s v="Elementary Pupil Management"/>
  </r>
  <r>
    <x v="56"/>
    <s v="Personnel"/>
    <s v="H "/>
    <x v="1"/>
    <x v="4"/>
    <s v="PSES High Prog21Act25 S275"/>
    <x v="1"/>
    <s v="25"/>
    <m/>
    <n v="25"/>
    <s v="   "/>
    <n v="1.452"/>
    <n v="0.2253"/>
    <n v="0.32700000000000001"/>
    <s v="High Pupil Management"/>
  </r>
  <r>
    <x v="56"/>
    <s v="Personnel"/>
    <s v="H "/>
    <x v="1"/>
    <x v="5"/>
    <s v="PSES High Prog01Act25 S275"/>
    <x v="0"/>
    <s v="25"/>
    <m/>
    <n v="25"/>
    <s v="   "/>
    <n v="3.07"/>
    <n v="0.2253"/>
    <n v="0"/>
    <s v="High Pupil Management"/>
  </r>
  <r>
    <x v="56"/>
    <s v="Personnel"/>
    <s v="M "/>
    <x v="2"/>
    <x v="6"/>
    <s v="PSES Mid Prog01Act25 S275"/>
    <x v="0"/>
    <s v="25"/>
    <m/>
    <n v="25"/>
    <s v="   "/>
    <n v="4.2999999999999997E-2"/>
    <n v="0.2253"/>
    <n v="0"/>
    <s v="Middle Pupil Management"/>
  </r>
  <r>
    <x v="56"/>
    <s v="Personnel"/>
    <s v="H "/>
    <x v="1"/>
    <x v="29"/>
    <s v="PSES High Prog21Act26 S275"/>
    <x v="1"/>
    <s v="26"/>
    <m/>
    <n v="26"/>
    <s v="   "/>
    <n v="0.31"/>
    <n v="0.2253"/>
    <n v="7.0000000000000007E-2"/>
    <s v="High Health/_x000a_Related Services"/>
  </r>
  <r>
    <x v="56"/>
    <s v="Personnel"/>
    <s v="H "/>
    <x v="1"/>
    <x v="9"/>
    <s v="PSES High Prog01Act26 S275"/>
    <x v="0"/>
    <s v="26"/>
    <m/>
    <n v="26"/>
    <s v="   "/>
    <n v="0.98299999999999998"/>
    <n v="0.2253"/>
    <n v="0"/>
    <s v="High Health/_x000a_Related Services"/>
  </r>
  <r>
    <x v="56"/>
    <s v="Personnel"/>
    <s v="E "/>
    <x v="0"/>
    <x v="15"/>
    <s v="PSES Elem Prog01Duty42 S275"/>
    <x v="0"/>
    <s v="42"/>
    <n v="42"/>
    <m/>
    <s v="   "/>
    <n v="4.33"/>
    <n v="0.2253"/>
    <n v="0"/>
    <s v="Elementary Counselor"/>
  </r>
  <r>
    <x v="56"/>
    <s v="Personnel"/>
    <s v="H "/>
    <x v="1"/>
    <x v="16"/>
    <s v="PSES High Prog01Duty42 S275"/>
    <x v="0"/>
    <s v="42"/>
    <n v="42"/>
    <m/>
    <s v="   "/>
    <n v="3"/>
    <n v="0.2253"/>
    <n v="0"/>
    <s v="High Counselor"/>
  </r>
  <r>
    <x v="56"/>
    <s v="Personnel"/>
    <s v="M "/>
    <x v="2"/>
    <x v="17"/>
    <s v="PSES Mid Prog01Duty42 S275"/>
    <x v="0"/>
    <s v="42"/>
    <n v="42"/>
    <m/>
    <s v="   "/>
    <n v="1.67"/>
    <n v="0.2253"/>
    <n v="0"/>
    <s v="Middle Counselor"/>
  </r>
  <r>
    <x v="56"/>
    <s v="Personnel"/>
    <s v="E "/>
    <x v="0"/>
    <x v="42"/>
    <s v="PSES Elem Prog01Duty44 S275"/>
    <x v="0"/>
    <s v="44"/>
    <n v="44"/>
    <m/>
    <s v="   "/>
    <n v="1.5"/>
    <n v="0.2253"/>
    <n v="0"/>
    <s v="Elementary Social Worker"/>
  </r>
  <r>
    <x v="56"/>
    <s v="Personnel"/>
    <s v="H "/>
    <x v="1"/>
    <x v="44"/>
    <s v="PSES High Prog01Duty44 S275"/>
    <x v="0"/>
    <s v="44"/>
    <n v="44"/>
    <m/>
    <s v="   "/>
    <n v="2.0329999999999999"/>
    <n v="0.2253"/>
    <n v="0"/>
    <s v="High Social Worker"/>
  </r>
  <r>
    <x v="56"/>
    <s v="Personnel"/>
    <s v="M "/>
    <x v="2"/>
    <x v="46"/>
    <s v="PSES Mid Prog01Duty44 S275"/>
    <x v="0"/>
    <s v="44"/>
    <n v="44"/>
    <m/>
    <s v="   "/>
    <n v="0.16700000000000001"/>
    <n v="0.2253"/>
    <n v="0"/>
    <s v="Middle Social Worker"/>
  </r>
  <r>
    <x v="56"/>
    <s v="Personnel"/>
    <s v="H "/>
    <x v="1"/>
    <x v="23"/>
    <s v="PSES High Prog21Duty46 S275"/>
    <x v="1"/>
    <s v="46"/>
    <n v="46"/>
    <m/>
    <s v="   "/>
    <n v="1"/>
    <n v="0.2253"/>
    <n v="0.22500000000000001"/>
    <s v="High Psychologist"/>
  </r>
  <r>
    <x v="56"/>
    <s v="Personnel"/>
    <s v="E "/>
    <x v="0"/>
    <x v="27"/>
    <s v="PSES Elem Prog01Duty47 S275"/>
    <x v="0"/>
    <s v="47"/>
    <n v="47"/>
    <m/>
    <s v="   "/>
    <n v="1.0760000000000001"/>
    <n v="0.2253"/>
    <n v="0"/>
    <s v="Elementary Nurse"/>
  </r>
  <r>
    <x v="56"/>
    <s v="Personnel"/>
    <s v="H "/>
    <x v="1"/>
    <x v="25"/>
    <s v="PSES High Prog01Duty47 S275"/>
    <x v="0"/>
    <s v="47"/>
    <n v="47"/>
    <m/>
    <s v="   "/>
    <n v="0.61599999999999999"/>
    <n v="0.2253"/>
    <n v="0"/>
    <s v="High Nurse"/>
  </r>
  <r>
    <x v="56"/>
    <s v="Personnel"/>
    <s v="M "/>
    <x v="2"/>
    <x v="34"/>
    <s v="PSES Mid Prog01Duty47 S275"/>
    <x v="0"/>
    <s v="47"/>
    <n v="47"/>
    <m/>
    <s v="   "/>
    <n v="0.308"/>
    <n v="0.2253"/>
    <n v="0"/>
    <s v="Middle Nurse"/>
  </r>
  <r>
    <x v="57"/>
    <s v="Personnel"/>
    <s v="E "/>
    <x v="0"/>
    <x v="0"/>
    <s v="PSES Elem Prog01Duty96 S275"/>
    <x v="0"/>
    <s v="24"/>
    <n v="96"/>
    <n v="24"/>
    <s v="   "/>
    <n v="0.318"/>
    <n v="0.32650000000000001"/>
    <n v="0"/>
    <s v="Elementary Family Engagement Coordinator"/>
  </r>
  <r>
    <x v="57"/>
    <s v="Personnel"/>
    <s v="E "/>
    <x v="0"/>
    <x v="7"/>
    <s v="PSES Elem Prog21Act26 S275"/>
    <x v="1"/>
    <s v="26"/>
    <m/>
    <n v="26"/>
    <s v="   "/>
    <n v="0.318"/>
    <n v="0.32650000000000001"/>
    <n v="0.104"/>
    <s v="Elementary Health/_x000a_Related Services"/>
  </r>
  <r>
    <x v="57"/>
    <s v="Personnel"/>
    <s v="E "/>
    <x v="0"/>
    <x v="15"/>
    <s v="PSES Elem Prog01Duty42 S275"/>
    <x v="0"/>
    <s v="42"/>
    <n v="42"/>
    <m/>
    <s v="   "/>
    <n v="0.65"/>
    <n v="0.32650000000000001"/>
    <n v="0"/>
    <s v="Elementary Counselor"/>
  </r>
  <r>
    <x v="57"/>
    <s v="Personnel"/>
    <s v="H "/>
    <x v="1"/>
    <x v="16"/>
    <s v="PSES High Prog01Duty42 S275"/>
    <x v="0"/>
    <s v="42"/>
    <n v="42"/>
    <m/>
    <s v="   "/>
    <n v="0.5"/>
    <n v="0.32650000000000001"/>
    <n v="0"/>
    <s v="High Counselor"/>
  </r>
  <r>
    <x v="57"/>
    <s v="Personnel"/>
    <s v="M "/>
    <x v="2"/>
    <x v="17"/>
    <s v="PSES Mid Prog01Duty42 S275"/>
    <x v="0"/>
    <s v="42"/>
    <n v="42"/>
    <m/>
    <s v="   "/>
    <n v="0.86"/>
    <n v="0.32650000000000001"/>
    <n v="0"/>
    <s v="Middle Counselor"/>
  </r>
  <r>
    <x v="57"/>
    <s v="Personnel"/>
    <s v="E "/>
    <x v="0"/>
    <x v="20"/>
    <s v="PSES Elem Prog21Duty45 S275"/>
    <x v="1"/>
    <s v="45"/>
    <n v="45"/>
    <m/>
    <s v="   "/>
    <n v="0.44"/>
    <n v="0.32650000000000001"/>
    <n v="0.14399999999999999"/>
    <s v="Elementary Speech, Language Pathway/_x000a_Audio"/>
  </r>
  <r>
    <x v="57"/>
    <s v="Personnel"/>
    <s v="H "/>
    <x v="1"/>
    <x v="21"/>
    <s v="PSES High Prog21Duty45 S275"/>
    <x v="1"/>
    <s v="45"/>
    <n v="45"/>
    <m/>
    <s v="   "/>
    <n v="0.3"/>
    <n v="0.32650000000000001"/>
    <n v="9.8000000000000004E-2"/>
    <s v="High Speech, Language Pathway/_x000a_Audio"/>
  </r>
  <r>
    <x v="57"/>
    <s v="Personnel"/>
    <s v="M "/>
    <x v="2"/>
    <x v="28"/>
    <s v="PSES Mid Prog21Duty45 S275"/>
    <x v="1"/>
    <s v="45"/>
    <n v="45"/>
    <m/>
    <s v="   "/>
    <n v="0.26"/>
    <n v="0.32650000000000001"/>
    <n v="8.5000000000000006E-2"/>
    <s v="Middle Speech, Language Pathway/_x000a_Audio"/>
  </r>
  <r>
    <x v="57"/>
    <s v="Personnel"/>
    <s v="E "/>
    <x v="0"/>
    <x v="22"/>
    <s v="PSES Elem Prog21Duty46 S275"/>
    <x v="1"/>
    <s v="46"/>
    <n v="46"/>
    <m/>
    <s v="   "/>
    <n v="0.44"/>
    <n v="0.32650000000000001"/>
    <n v="0.14399999999999999"/>
    <s v="Elementary Psychologist"/>
  </r>
  <r>
    <x v="57"/>
    <s v="Personnel"/>
    <s v="H "/>
    <x v="1"/>
    <x v="23"/>
    <s v="PSES High Prog21Duty46 S275"/>
    <x v="1"/>
    <s v="46"/>
    <n v="46"/>
    <m/>
    <s v="   "/>
    <n v="0.3"/>
    <n v="0.32650000000000001"/>
    <n v="9.8000000000000004E-2"/>
    <s v="High Psychologist"/>
  </r>
  <r>
    <x v="57"/>
    <s v="Personnel"/>
    <s v="M "/>
    <x v="2"/>
    <x v="24"/>
    <s v="PSES Mid Prog21Duty46 S275"/>
    <x v="1"/>
    <s v="46"/>
    <n v="46"/>
    <m/>
    <s v="   "/>
    <n v="0.26"/>
    <n v="0.32650000000000001"/>
    <n v="8.5000000000000006E-2"/>
    <s v="Middle Psychologist"/>
  </r>
  <r>
    <x v="58"/>
    <s v="Personnel"/>
    <s v="E "/>
    <x v="0"/>
    <x v="15"/>
    <s v="PSES Elem Prog01Duty42 S275"/>
    <x v="0"/>
    <s v="42"/>
    <n v="42"/>
    <m/>
    <s v="   "/>
    <n v="0.14000000000000001"/>
    <n v="0.22289999999999999"/>
    <n v="0"/>
    <s v="Elementary Counselor"/>
  </r>
  <r>
    <x v="58"/>
    <s v="Personnel"/>
    <s v="H "/>
    <x v="1"/>
    <x v="16"/>
    <s v="PSES High Prog01Duty42 S275"/>
    <x v="0"/>
    <s v="42"/>
    <n v="42"/>
    <m/>
    <s v="   "/>
    <n v="0.57999999999999996"/>
    <n v="0.22289999999999999"/>
    <n v="0"/>
    <s v="High Counselor"/>
  </r>
  <r>
    <x v="59"/>
    <s v="Personnel"/>
    <s v="E "/>
    <x v="0"/>
    <x v="8"/>
    <s v="PSES Elem Prog01Act26 S275"/>
    <x v="0"/>
    <s v="26"/>
    <m/>
    <n v="26"/>
    <s v="   "/>
    <n v="0.20200000000000001"/>
    <n v="0.25950000000000001"/>
    <n v="0"/>
    <s v="Elementary Health/_x000a_Related Services"/>
  </r>
  <r>
    <x v="59"/>
    <s v="Personnel"/>
    <s v="H "/>
    <x v="1"/>
    <x v="29"/>
    <s v="PSES High Prog21Act26 S275"/>
    <x v="1"/>
    <s v="26"/>
    <m/>
    <n v="26"/>
    <s v="   "/>
    <n v="0.63900000000000001"/>
    <n v="0.25950000000000001"/>
    <n v="0.16600000000000001"/>
    <s v="High Health/_x000a_Related Services"/>
  </r>
  <r>
    <x v="59"/>
    <s v="Personnel"/>
    <s v="H "/>
    <x v="1"/>
    <x v="9"/>
    <s v="PSES High Prog01Act26 S275"/>
    <x v="0"/>
    <s v="26"/>
    <m/>
    <n v="26"/>
    <s v="   "/>
    <n v="0.253"/>
    <n v="0.25950000000000001"/>
    <n v="0"/>
    <s v="High Health/_x000a_Related Services"/>
  </r>
  <r>
    <x v="59"/>
    <s v="Personnel"/>
    <s v="M "/>
    <x v="2"/>
    <x v="11"/>
    <s v="PSES Mid Prog01Act26 S275"/>
    <x v="0"/>
    <s v="26"/>
    <m/>
    <n v="26"/>
    <s v="   "/>
    <n v="0.152"/>
    <n v="0.25950000000000001"/>
    <n v="0"/>
    <s v="Middle Health/_x000a_Related Services"/>
  </r>
  <r>
    <x v="59"/>
    <s v="Personnel"/>
    <s v="H "/>
    <x v="1"/>
    <x v="16"/>
    <s v="PSES High Prog01Duty42 S275"/>
    <x v="0"/>
    <s v="42"/>
    <n v="42"/>
    <m/>
    <s v="   "/>
    <n v="0.75"/>
    <n v="0.25950000000000001"/>
    <n v="0"/>
    <s v="High Counselor"/>
  </r>
  <r>
    <x v="59"/>
    <s v="Personnel"/>
    <s v="M "/>
    <x v="2"/>
    <x v="17"/>
    <s v="PSES Mid Prog01Duty42 S275"/>
    <x v="0"/>
    <s v="42"/>
    <n v="42"/>
    <m/>
    <s v="   "/>
    <n v="0.25"/>
    <n v="0.25950000000000001"/>
    <n v="0"/>
    <s v="Middle Counselor"/>
  </r>
  <r>
    <x v="60"/>
    <s v="Personnel"/>
    <s v="H "/>
    <x v="1"/>
    <x v="9"/>
    <s v="PSES High Prog01Act26 S275"/>
    <x v="0"/>
    <s v="26"/>
    <m/>
    <n v="26"/>
    <s v="   "/>
    <n v="0.98699999999999999"/>
    <n v="0.20280000000000001"/>
    <n v="0"/>
    <s v="High Health/_x000a_Related Services"/>
  </r>
  <r>
    <x v="60"/>
    <s v="Personnel"/>
    <s v="E "/>
    <x v="0"/>
    <x v="15"/>
    <s v="PSES Elem Prog01Duty42 S275"/>
    <x v="0"/>
    <s v="42"/>
    <n v="42"/>
    <m/>
    <s v="   "/>
    <n v="0.9"/>
    <n v="0.20280000000000001"/>
    <n v="0"/>
    <s v="Elementary Counselor"/>
  </r>
  <r>
    <x v="60"/>
    <s v="Personnel"/>
    <s v="H "/>
    <x v="1"/>
    <x v="16"/>
    <s v="PSES High Prog01Duty42 S275"/>
    <x v="0"/>
    <s v="42"/>
    <n v="42"/>
    <m/>
    <s v="   "/>
    <n v="1.2"/>
    <n v="0.20280000000000001"/>
    <n v="0"/>
    <s v="High Counselor"/>
  </r>
  <r>
    <x v="60"/>
    <s v="Personnel"/>
    <s v="M "/>
    <x v="2"/>
    <x v="17"/>
    <s v="PSES Mid Prog01Duty42 S275"/>
    <x v="0"/>
    <s v="42"/>
    <n v="42"/>
    <m/>
    <s v="   "/>
    <n v="0.93"/>
    <n v="0.20280000000000001"/>
    <n v="0"/>
    <s v="Middle Counselor"/>
  </r>
  <r>
    <x v="60"/>
    <s v="Personnel"/>
    <s v="E "/>
    <x v="0"/>
    <x v="22"/>
    <s v="PSES Elem Prog21Duty46 S275"/>
    <x v="1"/>
    <s v="46"/>
    <n v="46"/>
    <m/>
    <s v="   "/>
    <n v="1.0780000000000001"/>
    <n v="0.20280000000000001"/>
    <n v="0.219"/>
    <s v="Elementary Psychologist"/>
  </r>
  <r>
    <x v="60"/>
    <s v="Personnel"/>
    <s v="H "/>
    <x v="1"/>
    <x v="23"/>
    <s v="PSES High Prog21Duty46 S275"/>
    <x v="1"/>
    <s v="46"/>
    <n v="46"/>
    <m/>
    <s v="   "/>
    <n v="0.61399999999999999"/>
    <n v="0.20280000000000001"/>
    <n v="0.125"/>
    <s v="High Psychologist"/>
  </r>
  <r>
    <x v="60"/>
    <s v="Personnel"/>
    <s v="M "/>
    <x v="2"/>
    <x v="24"/>
    <s v="PSES Mid Prog21Duty46 S275"/>
    <x v="1"/>
    <s v="46"/>
    <n v="46"/>
    <m/>
    <s v="   "/>
    <n v="0.308"/>
    <n v="0.20280000000000001"/>
    <n v="6.2E-2"/>
    <s v="Middle Psychologist"/>
  </r>
  <r>
    <x v="60"/>
    <s v="Personnel"/>
    <s v="E "/>
    <x v="0"/>
    <x v="27"/>
    <s v="PSES Elem Prog01Duty47 S275"/>
    <x v="0"/>
    <s v="47"/>
    <n v="47"/>
    <m/>
    <s v="   "/>
    <n v="0.497"/>
    <n v="0.20280000000000001"/>
    <n v="0"/>
    <s v="Elementary Nurse"/>
  </r>
  <r>
    <x v="60"/>
    <s v="Personnel"/>
    <s v="H "/>
    <x v="1"/>
    <x v="25"/>
    <s v="PSES High Prog01Duty47 S275"/>
    <x v="0"/>
    <s v="47"/>
    <n v="47"/>
    <m/>
    <s v="   "/>
    <n v="0.36"/>
    <n v="0.20280000000000001"/>
    <n v="0"/>
    <s v="High Nurse"/>
  </r>
  <r>
    <x v="60"/>
    <s v="Personnel"/>
    <s v="M "/>
    <x v="2"/>
    <x v="34"/>
    <s v="PSES Mid Prog01Duty47 S275"/>
    <x v="0"/>
    <s v="47"/>
    <n v="47"/>
    <m/>
    <s v="   "/>
    <n v="0.14299999999999999"/>
    <n v="0.20280000000000001"/>
    <n v="0"/>
    <s v="Middle Nurse"/>
  </r>
  <r>
    <x v="60"/>
    <s v="Personnel"/>
    <s v="T"/>
    <x v="0"/>
    <x v="70"/>
    <s v="PSES Elem Prog09Duty442S275"/>
    <x v="3"/>
    <s v="42"/>
    <n v="42"/>
    <n v="24"/>
    <s v="   "/>
    <n v="0.1"/>
    <n v="0.20280000000000001"/>
    <n v="0"/>
    <s v="TK Counselor"/>
  </r>
  <r>
    <x v="61"/>
    <s v="Personnel"/>
    <s v="H "/>
    <x v="1"/>
    <x v="4"/>
    <s v="PSES High Prog21Act25 S275"/>
    <x v="1"/>
    <s v="25"/>
    <m/>
    <n v="25"/>
    <s v="   "/>
    <n v="6.4669999999999996"/>
    <n v="0.25059999999999999"/>
    <n v="1.621"/>
    <s v="High Pupil Management"/>
  </r>
  <r>
    <x v="61"/>
    <s v="Personnel"/>
    <s v="H "/>
    <x v="1"/>
    <x v="5"/>
    <s v="PSES High Prog01Act25 S275"/>
    <x v="0"/>
    <s v="25"/>
    <m/>
    <n v="25"/>
    <s v="   "/>
    <n v="5.3239999999999998"/>
    <n v="0.25059999999999999"/>
    <n v="0"/>
    <s v="High Pupil Management"/>
  </r>
  <r>
    <x v="61"/>
    <s v="Personnel"/>
    <s v="H "/>
    <x v="1"/>
    <x v="29"/>
    <s v="PSES High Prog21Act26 S275"/>
    <x v="1"/>
    <s v="26"/>
    <m/>
    <n v="26"/>
    <s v="   "/>
    <n v="3.3929999999999998"/>
    <n v="0.25059999999999999"/>
    <n v="0.85"/>
    <s v="High Health/_x000a_Related Services"/>
  </r>
  <r>
    <x v="61"/>
    <s v="Personnel"/>
    <s v="H "/>
    <x v="1"/>
    <x v="9"/>
    <s v="PSES High Prog01Act26 S275"/>
    <x v="0"/>
    <s v="26"/>
    <m/>
    <n v="26"/>
    <s v="   "/>
    <n v="8.1969999999999992"/>
    <n v="0.25059999999999999"/>
    <n v="0"/>
    <s v="High Health/_x000a_Related Services"/>
  </r>
  <r>
    <x v="61"/>
    <s v="Personnel"/>
    <s v="E "/>
    <x v="0"/>
    <x v="15"/>
    <s v="PSES Elem Prog01Duty42 S275"/>
    <x v="0"/>
    <s v="42"/>
    <n v="42"/>
    <m/>
    <s v="   "/>
    <n v="6.4889999999999999"/>
    <n v="0.25059999999999999"/>
    <n v="0"/>
    <s v="Elementary Counselor"/>
  </r>
  <r>
    <x v="61"/>
    <s v="Personnel"/>
    <s v="H "/>
    <x v="1"/>
    <x v="16"/>
    <s v="PSES High Prog01Duty42 S275"/>
    <x v="0"/>
    <s v="42"/>
    <n v="42"/>
    <m/>
    <s v="   "/>
    <n v="7.4089999999999998"/>
    <n v="0.25059999999999999"/>
    <n v="0"/>
    <s v="High Counselor"/>
  </r>
  <r>
    <x v="61"/>
    <s v="Personnel"/>
    <s v="M "/>
    <x v="2"/>
    <x v="17"/>
    <s v="PSES Mid Prog01Duty42 S275"/>
    <x v="0"/>
    <s v="42"/>
    <n v="42"/>
    <m/>
    <s v="   "/>
    <n v="3.9860000000000002"/>
    <n v="0.25059999999999999"/>
    <n v="0"/>
    <s v="Middle Counselor"/>
  </r>
  <r>
    <x v="61"/>
    <s v="Personnel"/>
    <s v="E "/>
    <x v="0"/>
    <x v="18"/>
    <s v="PSES Elem Prog21Duty43 S275"/>
    <x v="1"/>
    <s v="43"/>
    <n v="43"/>
    <m/>
    <s v="   "/>
    <n v="4"/>
    <n v="0.25059999999999999"/>
    <n v="1.002"/>
    <s v="Elementary Occupational Therapist"/>
  </r>
  <r>
    <x v="61"/>
    <s v="Personnel"/>
    <s v="E "/>
    <x v="0"/>
    <x v="42"/>
    <s v="PSES Elem Prog01Duty44 S275"/>
    <x v="0"/>
    <s v="44"/>
    <n v="44"/>
    <m/>
    <s v="   "/>
    <n v="4.8"/>
    <n v="0.25059999999999999"/>
    <n v="0"/>
    <s v="Elementary Social Worker"/>
  </r>
  <r>
    <x v="61"/>
    <s v="Personnel"/>
    <s v="M "/>
    <x v="2"/>
    <x v="46"/>
    <s v="PSES Mid Prog01Duty44 S275"/>
    <x v="0"/>
    <s v="44"/>
    <n v="44"/>
    <m/>
    <s v="   "/>
    <n v="1"/>
    <n v="0.25059999999999999"/>
    <n v="0"/>
    <s v="Middle Social Worker"/>
  </r>
  <r>
    <x v="61"/>
    <s v="Personnel"/>
    <s v="E "/>
    <x v="0"/>
    <x v="20"/>
    <s v="PSES Elem Prog21Duty45 S275"/>
    <x v="1"/>
    <s v="45"/>
    <n v="45"/>
    <m/>
    <s v="   "/>
    <n v="11.5"/>
    <n v="0.25059999999999999"/>
    <n v="2.8820000000000001"/>
    <s v="Elementary Speech, Language Pathway/_x000a_Audio"/>
  </r>
  <r>
    <x v="61"/>
    <s v="Personnel"/>
    <s v="H "/>
    <x v="1"/>
    <x v="21"/>
    <s v="PSES High Prog21Duty45 S275"/>
    <x v="1"/>
    <s v="45"/>
    <n v="45"/>
    <m/>
    <s v="   "/>
    <n v="0.91"/>
    <n v="0.25059999999999999"/>
    <n v="0.22800000000000001"/>
    <s v="High Speech, Language Pathway/_x000a_Audio"/>
  </r>
  <r>
    <x v="61"/>
    <s v="Personnel"/>
    <s v="M "/>
    <x v="2"/>
    <x v="28"/>
    <s v="PSES Mid Prog21Duty45 S275"/>
    <x v="1"/>
    <s v="45"/>
    <n v="45"/>
    <m/>
    <s v="   "/>
    <n v="0.41"/>
    <n v="0.25059999999999999"/>
    <n v="0.10299999999999999"/>
    <s v="Middle Speech, Language Pathway/_x000a_Audio"/>
  </r>
  <r>
    <x v="61"/>
    <s v="Personnel"/>
    <s v="E "/>
    <x v="0"/>
    <x v="22"/>
    <s v="PSES Elem Prog21Duty46 S275"/>
    <x v="1"/>
    <s v="46"/>
    <n v="46"/>
    <m/>
    <s v="   "/>
    <n v="6.4180000000000001"/>
    <n v="0.25059999999999999"/>
    <n v="1.6080000000000001"/>
    <s v="Elementary Psychologist"/>
  </r>
  <r>
    <x v="61"/>
    <s v="Personnel"/>
    <s v="E "/>
    <x v="0"/>
    <x v="32"/>
    <s v="PSES Elem Prog21Duty47 S275"/>
    <x v="1"/>
    <s v="47"/>
    <n v="47"/>
    <m/>
    <s v="   "/>
    <n v="3.5"/>
    <n v="0.25059999999999999"/>
    <n v="0.877"/>
    <s v="Elementary Nurse"/>
  </r>
  <r>
    <x v="61"/>
    <s v="Personnel"/>
    <s v="E "/>
    <x v="0"/>
    <x v="27"/>
    <s v="PSES Elem Prog01Duty47 S275"/>
    <x v="0"/>
    <s v="47"/>
    <n v="47"/>
    <m/>
    <s v="   "/>
    <n v="3.5"/>
    <n v="0.25059999999999999"/>
    <n v="0"/>
    <s v="Elementary Nurse"/>
  </r>
  <r>
    <x v="61"/>
    <s v="Personnel"/>
    <s v="E "/>
    <x v="0"/>
    <x v="35"/>
    <s v="PSES Elem Prog21Duty48 S275"/>
    <x v="1"/>
    <s v="48"/>
    <n v="48"/>
    <m/>
    <s v="   "/>
    <n v="2"/>
    <n v="0.25059999999999999"/>
    <n v="0.501"/>
    <s v="Elementary Physical Therapist"/>
  </r>
  <r>
    <x v="61"/>
    <s v="Personnel"/>
    <s v="E "/>
    <x v="0"/>
    <x v="26"/>
    <s v="PSES Elem Prog21Duty49 S275"/>
    <x v="1"/>
    <s v="49"/>
    <n v="49"/>
    <m/>
    <s v="   "/>
    <n v="0.46"/>
    <n v="0.25059999999999999"/>
    <n v="0.115"/>
    <s v="Elementary Behavior Analyst"/>
  </r>
  <r>
    <x v="61"/>
    <s v="Personnel"/>
    <s v="H "/>
    <x v="1"/>
    <x v="55"/>
    <s v="PSES High Prog21Duty49 S275"/>
    <x v="1"/>
    <s v="49"/>
    <n v="49"/>
    <m/>
    <s v="   "/>
    <n v="0.29499999999999998"/>
    <n v="0.25059999999999999"/>
    <n v="7.3999999999999996E-2"/>
    <s v="High Behavior Analyst"/>
  </r>
  <r>
    <x v="61"/>
    <s v="Personnel"/>
    <s v="M "/>
    <x v="2"/>
    <x v="50"/>
    <s v="PSES Mid Prog21Duty49 S275"/>
    <x v="1"/>
    <s v="49"/>
    <n v="49"/>
    <m/>
    <s v="   "/>
    <n v="0.16500000000000001"/>
    <n v="0.25059999999999999"/>
    <n v="4.1000000000000002E-2"/>
    <s v="Middle Behavior Analyst"/>
  </r>
  <r>
    <x v="62"/>
    <s v="Personnel"/>
    <s v="H "/>
    <x v="1"/>
    <x v="4"/>
    <s v="PSES High Prog21Act25 S275"/>
    <x v="1"/>
    <s v="25"/>
    <m/>
    <n v="25"/>
    <s v="   "/>
    <n v="0.83099999999999996"/>
    <n v="0.2374"/>
    <n v="0.19700000000000001"/>
    <s v="High Pupil Management"/>
  </r>
  <r>
    <x v="62"/>
    <s v="Personnel"/>
    <s v="H "/>
    <x v="1"/>
    <x v="5"/>
    <s v="PSES High Prog01Act25 S275"/>
    <x v="0"/>
    <s v="25"/>
    <m/>
    <n v="25"/>
    <s v="   "/>
    <n v="4.8869999999999996"/>
    <n v="0.2374"/>
    <n v="0"/>
    <s v="High Pupil Management"/>
  </r>
  <r>
    <x v="62"/>
    <s v="Personnel"/>
    <s v="M "/>
    <x v="2"/>
    <x v="6"/>
    <s v="PSES Mid Prog01Act25 S275"/>
    <x v="0"/>
    <s v="25"/>
    <m/>
    <n v="25"/>
    <s v="   "/>
    <n v="1.4E-2"/>
    <n v="0.2374"/>
    <n v="0"/>
    <s v="Middle Pupil Management"/>
  </r>
  <r>
    <x v="62"/>
    <s v="Personnel"/>
    <s v="H "/>
    <x v="1"/>
    <x v="29"/>
    <s v="PSES High Prog21Act26 S275"/>
    <x v="1"/>
    <s v="26"/>
    <m/>
    <n v="26"/>
    <s v="   "/>
    <n v="0.12"/>
    <n v="0.2374"/>
    <n v="2.8000000000000001E-2"/>
    <s v="High Health/_x000a_Related Services"/>
  </r>
  <r>
    <x v="62"/>
    <s v="Personnel"/>
    <s v="H "/>
    <x v="1"/>
    <x v="9"/>
    <s v="PSES High Prog01Act26 S275"/>
    <x v="0"/>
    <s v="26"/>
    <m/>
    <n v="26"/>
    <s v="   "/>
    <n v="1.08"/>
    <n v="0.2374"/>
    <n v="0"/>
    <s v="High Health/_x000a_Related Services"/>
  </r>
  <r>
    <x v="62"/>
    <s v="Personnel"/>
    <s v="H "/>
    <x v="1"/>
    <x v="12"/>
    <s v="PSES High Prog97Act35 S275"/>
    <x v="2"/>
    <s v="35"/>
    <m/>
    <n v="35"/>
    <s v="   "/>
    <n v="1.4750000000000001"/>
    <n v="0.2374"/>
    <n v="0"/>
    <s v="High Pupil Safety"/>
  </r>
  <r>
    <x v="62"/>
    <s v="Personnel"/>
    <s v="E "/>
    <x v="0"/>
    <x v="15"/>
    <s v="PSES Elem Prog01Duty42 S275"/>
    <x v="0"/>
    <s v="42"/>
    <n v="42"/>
    <m/>
    <s v="   "/>
    <n v="3"/>
    <n v="0.2374"/>
    <n v="0"/>
    <s v="Elementary Counselor"/>
  </r>
  <r>
    <x v="62"/>
    <s v="Personnel"/>
    <s v="H "/>
    <x v="1"/>
    <x v="16"/>
    <s v="PSES High Prog01Duty42 S275"/>
    <x v="0"/>
    <s v="42"/>
    <n v="42"/>
    <m/>
    <s v="   "/>
    <n v="2"/>
    <n v="0.2374"/>
    <n v="0"/>
    <s v="High Counselor"/>
  </r>
  <r>
    <x v="62"/>
    <s v="Personnel"/>
    <s v="M "/>
    <x v="2"/>
    <x v="17"/>
    <s v="PSES Mid Prog01Duty42 S275"/>
    <x v="0"/>
    <s v="42"/>
    <n v="42"/>
    <m/>
    <s v="   "/>
    <n v="1"/>
    <n v="0.2374"/>
    <n v="0"/>
    <s v="Middle Counselor"/>
  </r>
  <r>
    <x v="62"/>
    <s v="Personnel"/>
    <s v="E "/>
    <x v="0"/>
    <x v="20"/>
    <s v="PSES Elem Prog21Duty45 S275"/>
    <x v="1"/>
    <s v="45"/>
    <n v="45"/>
    <m/>
    <s v="   "/>
    <n v="1.5249999999999999"/>
    <n v="0.2374"/>
    <n v="0.36199999999999999"/>
    <s v="Elementary Speech, Language Pathway/_x000a_Audio"/>
  </r>
  <r>
    <x v="62"/>
    <s v="Personnel"/>
    <s v="H "/>
    <x v="1"/>
    <x v="21"/>
    <s v="PSES High Prog21Duty45 S275"/>
    <x v="1"/>
    <s v="45"/>
    <n v="45"/>
    <m/>
    <s v="   "/>
    <n v="0.86899999999999999"/>
    <n v="0.2374"/>
    <n v="0.20599999999999999"/>
    <s v="High Speech, Language Pathway/_x000a_Audio"/>
  </r>
  <r>
    <x v="62"/>
    <s v="Personnel"/>
    <s v="M "/>
    <x v="2"/>
    <x v="28"/>
    <s v="PSES Mid Prog21Duty45 S275"/>
    <x v="1"/>
    <s v="45"/>
    <n v="45"/>
    <m/>
    <s v="   "/>
    <n v="0.436"/>
    <n v="0.2374"/>
    <n v="0.104"/>
    <s v="Middle Speech, Language Pathway/_x000a_Audio"/>
  </r>
  <r>
    <x v="62"/>
    <s v="Personnel"/>
    <s v="E "/>
    <x v="0"/>
    <x v="22"/>
    <s v="PSES Elem Prog21Duty46 S275"/>
    <x v="1"/>
    <s v="46"/>
    <n v="46"/>
    <m/>
    <s v="   "/>
    <n v="1.3340000000000001"/>
    <n v="0.2374"/>
    <n v="0.317"/>
    <s v="Elementary Psychologist"/>
  </r>
  <r>
    <x v="62"/>
    <s v="Personnel"/>
    <s v="E "/>
    <x v="0"/>
    <x v="48"/>
    <s v="PSES Elem Prog01Duty46 S275"/>
    <x v="0"/>
    <s v="46"/>
    <n v="46"/>
    <m/>
    <s v="   "/>
    <n v="0.14899999999999999"/>
    <n v="0.2374"/>
    <n v="0"/>
    <s v="Elementary Psychologist"/>
  </r>
  <r>
    <x v="62"/>
    <s v="Personnel"/>
    <s v="H "/>
    <x v="1"/>
    <x v="23"/>
    <s v="PSES High Prog21Duty46 S275"/>
    <x v="1"/>
    <s v="46"/>
    <n v="46"/>
    <m/>
    <s v="   "/>
    <n v="0.76200000000000001"/>
    <n v="0.2374"/>
    <n v="0.18099999999999999"/>
    <s v="High Psychologist"/>
  </r>
  <r>
    <x v="62"/>
    <s v="Personnel"/>
    <s v="H "/>
    <x v="1"/>
    <x v="65"/>
    <s v="PSES High Prog01Duty46 S275"/>
    <x v="0"/>
    <s v="46"/>
    <n v="46"/>
    <m/>
    <s v="   "/>
    <n v="8.5000000000000006E-2"/>
    <n v="0.2374"/>
    <n v="0"/>
    <s v="High Psychologist"/>
  </r>
  <r>
    <x v="62"/>
    <s v="Personnel"/>
    <s v="M "/>
    <x v="2"/>
    <x v="24"/>
    <s v="PSES Mid Prog21Duty46 S275"/>
    <x v="1"/>
    <s v="46"/>
    <n v="46"/>
    <m/>
    <s v="   "/>
    <n v="0.38"/>
    <n v="0.2374"/>
    <n v="0.09"/>
    <s v="Middle Psychologist"/>
  </r>
  <r>
    <x v="62"/>
    <s v="Personnel"/>
    <s v="M "/>
    <x v="2"/>
    <x v="49"/>
    <s v="PSES Mid Prog01Duty46 S275"/>
    <x v="0"/>
    <s v="46"/>
    <n v="46"/>
    <m/>
    <s v="   "/>
    <n v="4.1000000000000002E-2"/>
    <n v="0.2374"/>
    <n v="0"/>
    <s v="Middle Psychologist"/>
  </r>
  <r>
    <x v="62"/>
    <s v="Personnel"/>
    <s v="E "/>
    <x v="0"/>
    <x v="27"/>
    <s v="PSES Elem Prog01Duty47 S275"/>
    <x v="0"/>
    <s v="47"/>
    <n v="47"/>
    <m/>
    <s v="   "/>
    <n v="1.5"/>
    <n v="0.2374"/>
    <n v="0"/>
    <s v="Elementary Nurse"/>
  </r>
  <r>
    <x v="62"/>
    <s v="Personnel"/>
    <s v="H "/>
    <x v="1"/>
    <x v="25"/>
    <s v="PSES High Prog01Duty47 S275"/>
    <x v="0"/>
    <s v="47"/>
    <n v="47"/>
    <m/>
    <s v="   "/>
    <n v="0.61899999999999999"/>
    <n v="0.2374"/>
    <n v="0"/>
    <s v="High Nurse"/>
  </r>
  <r>
    <x v="62"/>
    <s v="Personnel"/>
    <s v="M "/>
    <x v="2"/>
    <x v="34"/>
    <s v="PSES Mid Prog01Duty47 S275"/>
    <x v="0"/>
    <s v="47"/>
    <n v="47"/>
    <m/>
    <s v="   "/>
    <n v="0.5"/>
    <n v="0.2374"/>
    <n v="0"/>
    <s v="Middle Nurse"/>
  </r>
  <r>
    <x v="63"/>
    <s v="Personnel"/>
    <s v="E "/>
    <x v="0"/>
    <x v="8"/>
    <s v="PSES Elem Prog01Act26 S275"/>
    <x v="0"/>
    <s v="26"/>
    <m/>
    <n v="26"/>
    <s v="   "/>
    <n v="0.29199999999999998"/>
    <n v="0.1656"/>
    <n v="0"/>
    <s v="Elementary Health/_x000a_Related Services"/>
  </r>
  <r>
    <x v="63"/>
    <s v="Personnel"/>
    <s v="H "/>
    <x v="1"/>
    <x v="9"/>
    <s v="PSES High Prog01Act26 S275"/>
    <x v="0"/>
    <s v="26"/>
    <m/>
    <n v="26"/>
    <s v="   "/>
    <n v="0.29199999999999998"/>
    <n v="0.1656"/>
    <n v="0"/>
    <s v="High Health/_x000a_Related Services"/>
  </r>
  <r>
    <x v="64"/>
    <s v="Personnel"/>
    <s v="H "/>
    <x v="1"/>
    <x v="5"/>
    <s v="PSES High Prog01Act25 S275"/>
    <x v="0"/>
    <s v="25"/>
    <m/>
    <n v="25"/>
    <s v="   "/>
    <n v="0.61599999999999999"/>
    <n v="0.2505"/>
    <n v="0"/>
    <s v="High Pupil Management"/>
  </r>
  <r>
    <x v="64"/>
    <s v="Personnel"/>
    <s v="H "/>
    <x v="1"/>
    <x v="9"/>
    <s v="PSES High Prog01Act26 S275"/>
    <x v="0"/>
    <s v="26"/>
    <m/>
    <n v="26"/>
    <s v="   "/>
    <n v="1.5820000000000001"/>
    <n v="0.2505"/>
    <n v="0"/>
    <s v="High Health/_x000a_Related Services"/>
  </r>
  <r>
    <x v="64"/>
    <s v="Personnel"/>
    <s v="H "/>
    <x v="1"/>
    <x v="16"/>
    <s v="PSES High Prog01Duty42 S275"/>
    <x v="0"/>
    <s v="42"/>
    <n v="42"/>
    <m/>
    <s v="   "/>
    <n v="1"/>
    <n v="0.2505"/>
    <n v="0"/>
    <s v="High Counselor"/>
  </r>
  <r>
    <x v="65"/>
    <s v="Personnel"/>
    <s v="E "/>
    <x v="0"/>
    <x v="0"/>
    <s v="PSES Elem Prog01Duty96 S275"/>
    <x v="0"/>
    <s v="24"/>
    <n v="96"/>
    <n v="24"/>
    <s v="   "/>
    <n v="0.499"/>
    <n v="0.26869999999999999"/>
    <n v="0"/>
    <s v="Elementary Family Engagement Coordinator"/>
  </r>
  <r>
    <x v="65"/>
    <s v="Personnel"/>
    <s v="H "/>
    <x v="1"/>
    <x v="29"/>
    <s v="PSES High Prog21Act26 S275"/>
    <x v="1"/>
    <s v="26"/>
    <m/>
    <n v="26"/>
    <s v="   "/>
    <n v="3.6259999999999999"/>
    <n v="0.26869999999999999"/>
    <n v="0.97399999999999998"/>
    <s v="High Health/_x000a_Related Services"/>
  </r>
  <r>
    <x v="65"/>
    <s v="Personnel"/>
    <s v="H "/>
    <x v="1"/>
    <x v="9"/>
    <s v="PSES High Prog01Act26 S275"/>
    <x v="0"/>
    <s v="26"/>
    <m/>
    <n v="26"/>
    <s v="   "/>
    <n v="2.57"/>
    <n v="0.26869999999999999"/>
    <n v="0"/>
    <s v="High Health/_x000a_Related Services"/>
  </r>
  <r>
    <x v="65"/>
    <s v="Personnel"/>
    <s v="E "/>
    <x v="0"/>
    <x v="15"/>
    <s v="PSES Elem Prog01Duty42 S275"/>
    <x v="0"/>
    <s v="42"/>
    <n v="42"/>
    <m/>
    <s v="   "/>
    <n v="3.25"/>
    <n v="0.26869999999999999"/>
    <n v="0"/>
    <s v="Elementary Counselor"/>
  </r>
  <r>
    <x v="65"/>
    <s v="Personnel"/>
    <s v="H "/>
    <x v="1"/>
    <x v="16"/>
    <s v="PSES High Prog01Duty42 S275"/>
    <x v="0"/>
    <s v="42"/>
    <n v="42"/>
    <m/>
    <s v="   "/>
    <n v="3.294"/>
    <n v="0.26869999999999999"/>
    <n v="0"/>
    <s v="High Counselor"/>
  </r>
  <r>
    <x v="65"/>
    <s v="Personnel"/>
    <s v="M "/>
    <x v="2"/>
    <x v="17"/>
    <s v="PSES Mid Prog01Duty42 S275"/>
    <x v="0"/>
    <s v="42"/>
    <n v="42"/>
    <m/>
    <s v="   "/>
    <n v="2.2000000000000002"/>
    <n v="0.26869999999999999"/>
    <n v="0"/>
    <s v="Middle Counselor"/>
  </r>
  <r>
    <x v="65"/>
    <s v="Personnel"/>
    <s v="E "/>
    <x v="0"/>
    <x v="20"/>
    <s v="PSES Elem Prog21Duty45 S275"/>
    <x v="1"/>
    <s v="45"/>
    <n v="45"/>
    <m/>
    <s v="   "/>
    <n v="0.436"/>
    <n v="0.26869999999999999"/>
    <n v="0.11700000000000001"/>
    <s v="Elementary Speech, Language Pathway/_x000a_Audio"/>
  </r>
  <r>
    <x v="65"/>
    <s v="Personnel"/>
    <s v="H "/>
    <x v="1"/>
    <x v="23"/>
    <s v="PSES High Prog21Duty46 S275"/>
    <x v="1"/>
    <s v="46"/>
    <n v="46"/>
    <m/>
    <s v="   "/>
    <n v="0.15"/>
    <n v="0.26869999999999999"/>
    <n v="0.04"/>
    <s v="High Psychologist"/>
  </r>
  <r>
    <x v="65"/>
    <s v="Personnel"/>
    <s v="E "/>
    <x v="0"/>
    <x v="38"/>
    <s v="PSES Elem Prog21Duty64 S275"/>
    <x v="1"/>
    <s v="64"/>
    <n v="64"/>
    <m/>
    <s v="   "/>
    <n v="12"/>
    <n v="0.26869999999999999"/>
    <n v="3.2240000000000002"/>
    <s v="Elementary Contractor ESA"/>
  </r>
  <r>
    <x v="66"/>
    <s v="Personnel"/>
    <s v="E "/>
    <x v="0"/>
    <x v="8"/>
    <s v="PSES Elem Prog01Act26 S275"/>
    <x v="0"/>
    <s v="26"/>
    <m/>
    <n v="26"/>
    <s v="   "/>
    <n v="1.2769999999999999"/>
    <n v="0.20039999999999999"/>
    <n v="0"/>
    <s v="Elementary Health/_x000a_Related Services"/>
  </r>
  <r>
    <x v="66"/>
    <s v="Personnel"/>
    <s v="H "/>
    <x v="1"/>
    <x v="29"/>
    <s v="PSES High Prog21Act26 S275"/>
    <x v="1"/>
    <s v="26"/>
    <m/>
    <n v="26"/>
    <s v="   "/>
    <n v="0.57499999999999996"/>
    <n v="0.20039999999999999"/>
    <n v="0.115"/>
    <s v="High Health/_x000a_Related Services"/>
  </r>
  <r>
    <x v="66"/>
    <s v="Personnel"/>
    <s v="H "/>
    <x v="1"/>
    <x v="9"/>
    <s v="PSES High Prog01Act26 S275"/>
    <x v="0"/>
    <s v="26"/>
    <m/>
    <n v="26"/>
    <s v="   "/>
    <n v="0.19"/>
    <n v="0.20039999999999999"/>
    <n v="0"/>
    <s v="High Health/_x000a_Related Services"/>
  </r>
  <r>
    <x v="66"/>
    <s v="Personnel"/>
    <s v="M "/>
    <x v="2"/>
    <x v="11"/>
    <s v="PSES Mid Prog01Act26 S275"/>
    <x v="0"/>
    <s v="26"/>
    <m/>
    <n v="26"/>
    <s v="   "/>
    <n v="0.127"/>
    <n v="0.20039999999999999"/>
    <n v="0"/>
    <s v="Middle Health/_x000a_Related Services"/>
  </r>
  <r>
    <x v="66"/>
    <s v="Personnel"/>
    <s v="E "/>
    <x v="0"/>
    <x v="15"/>
    <s v="PSES Elem Prog01Duty42 S275"/>
    <x v="0"/>
    <s v="42"/>
    <n v="42"/>
    <m/>
    <s v="   "/>
    <n v="1.7989999999999999"/>
    <n v="0.20039999999999999"/>
    <n v="0"/>
    <s v="Elementary Counselor"/>
  </r>
  <r>
    <x v="66"/>
    <s v="Personnel"/>
    <s v="H "/>
    <x v="1"/>
    <x v="16"/>
    <s v="PSES High Prog01Duty42 S275"/>
    <x v="0"/>
    <s v="42"/>
    <n v="42"/>
    <m/>
    <s v="   "/>
    <n v="1.8"/>
    <n v="0.20039999999999999"/>
    <n v="0"/>
    <s v="High Counselor"/>
  </r>
  <r>
    <x v="66"/>
    <s v="Personnel"/>
    <s v="M "/>
    <x v="2"/>
    <x v="17"/>
    <s v="PSES Mid Prog01Duty42 S275"/>
    <x v="0"/>
    <s v="42"/>
    <n v="42"/>
    <m/>
    <s v="   "/>
    <n v="1"/>
    <n v="0.20039999999999999"/>
    <n v="0"/>
    <s v="Middle Counselor"/>
  </r>
  <r>
    <x v="66"/>
    <s v="Personnel"/>
    <s v="E "/>
    <x v="0"/>
    <x v="22"/>
    <s v="PSES Elem Prog21Duty46 S275"/>
    <x v="1"/>
    <s v="46"/>
    <n v="46"/>
    <m/>
    <s v="   "/>
    <n v="1"/>
    <n v="0.20039999999999999"/>
    <n v="0.2"/>
    <s v="Elementary Psychologist"/>
  </r>
  <r>
    <x v="66"/>
    <s v="Personnel"/>
    <s v="H "/>
    <x v="1"/>
    <x v="23"/>
    <s v="PSES High Prog21Duty46 S275"/>
    <x v="1"/>
    <s v="46"/>
    <n v="46"/>
    <m/>
    <s v="   "/>
    <n v="0.4"/>
    <n v="0.20039999999999999"/>
    <n v="0.08"/>
    <s v="High Psychologist"/>
  </r>
  <r>
    <x v="66"/>
    <s v="Personnel"/>
    <s v="M "/>
    <x v="2"/>
    <x v="24"/>
    <s v="PSES Mid Prog21Duty46 S275"/>
    <x v="1"/>
    <s v="46"/>
    <n v="46"/>
    <m/>
    <s v="   "/>
    <n v="0.6"/>
    <n v="0.20039999999999999"/>
    <n v="0.12"/>
    <s v="Middle Psychologist"/>
  </r>
  <r>
    <x v="66"/>
    <s v="Personnel"/>
    <s v="E "/>
    <x v="0"/>
    <x v="27"/>
    <s v="PSES Elem Prog01Duty47 S275"/>
    <x v="0"/>
    <s v="47"/>
    <n v="47"/>
    <m/>
    <s v="   "/>
    <n v="1"/>
    <n v="0.20039999999999999"/>
    <n v="0"/>
    <s v="Elementary Nurse"/>
  </r>
  <r>
    <x v="66"/>
    <s v="Personnel"/>
    <s v="E "/>
    <x v="0"/>
    <x v="38"/>
    <s v="PSES Elem Prog21Duty64 S275"/>
    <x v="1"/>
    <s v="64"/>
    <n v="64"/>
    <m/>
    <s v="   "/>
    <n v="5.5389999999999997"/>
    <n v="0.20039999999999999"/>
    <n v="1.1100000000000001"/>
    <s v="Elementary Contractor ESA"/>
  </r>
  <r>
    <x v="66"/>
    <s v="Personnel"/>
    <s v="H "/>
    <x v="1"/>
    <x v="59"/>
    <s v="PSES High Prog21Duty64 S275"/>
    <x v="1"/>
    <s v="64"/>
    <n v="64"/>
    <m/>
    <s v="   "/>
    <n v="2.0209999999999999"/>
    <n v="0.20039999999999999"/>
    <n v="0.40500000000000003"/>
    <s v="High Contractor ESA"/>
  </r>
  <r>
    <x v="66"/>
    <s v="Personnel"/>
    <s v="M "/>
    <x v="2"/>
    <x v="60"/>
    <s v="PSES Mid Prog21Duty64 S275"/>
    <x v="1"/>
    <s v="64"/>
    <n v="64"/>
    <m/>
    <s v="   "/>
    <n v="1.44"/>
    <n v="0.20039999999999999"/>
    <n v="0.28899999999999998"/>
    <s v="Middle Contractor ESA"/>
  </r>
  <r>
    <x v="67"/>
    <s v="Personnel"/>
    <s v="H "/>
    <x v="1"/>
    <x v="1"/>
    <s v="PSES High Prog01Duty96 S275"/>
    <x v="0"/>
    <s v="24"/>
    <n v="96"/>
    <n v="24"/>
    <s v="   "/>
    <n v="0.80800000000000005"/>
    <n v="0.20499999999999999"/>
    <n v="0"/>
    <s v="High Family Engagement Coordinator"/>
  </r>
  <r>
    <x v="67"/>
    <s v="Personnel"/>
    <s v="E "/>
    <x v="0"/>
    <x v="15"/>
    <s v="PSES Elem Prog01Duty42 S275"/>
    <x v="0"/>
    <s v="42"/>
    <n v="42"/>
    <m/>
    <s v="   "/>
    <n v="1.1599999999999999"/>
    <n v="0.20499999999999999"/>
    <n v="0"/>
    <s v="Elementary Counselor"/>
  </r>
  <r>
    <x v="67"/>
    <s v="Personnel"/>
    <s v="H "/>
    <x v="1"/>
    <x v="16"/>
    <s v="PSES High Prog01Duty42 S275"/>
    <x v="0"/>
    <s v="42"/>
    <n v="42"/>
    <m/>
    <s v="   "/>
    <n v="0.46400000000000002"/>
    <n v="0.20499999999999999"/>
    <n v="0"/>
    <s v="High Counselor"/>
  </r>
  <r>
    <x v="67"/>
    <s v="Personnel"/>
    <s v="E "/>
    <x v="0"/>
    <x v="20"/>
    <s v="PSES Elem Prog21Duty45 S275"/>
    <x v="1"/>
    <s v="45"/>
    <n v="45"/>
    <m/>
    <s v="   "/>
    <n v="0.5"/>
    <n v="0.20499999999999999"/>
    <n v="0.10299999999999999"/>
    <s v="Elementary Speech, Language Pathway/_x000a_Audio"/>
  </r>
  <r>
    <x v="67"/>
    <s v="Personnel"/>
    <s v="H "/>
    <x v="1"/>
    <x v="21"/>
    <s v="PSES High Prog21Duty45 S275"/>
    <x v="1"/>
    <s v="45"/>
    <n v="45"/>
    <m/>
    <s v="   "/>
    <n v="0.25"/>
    <n v="0.20499999999999999"/>
    <n v="5.0999999999999997E-2"/>
    <s v="High Speech, Language Pathway/_x000a_Audio"/>
  </r>
  <r>
    <x v="67"/>
    <s v="Personnel"/>
    <s v="M "/>
    <x v="2"/>
    <x v="28"/>
    <s v="PSES Mid Prog21Duty45 S275"/>
    <x v="1"/>
    <s v="45"/>
    <n v="45"/>
    <m/>
    <s v="   "/>
    <n v="0.25"/>
    <n v="0.20499999999999999"/>
    <n v="5.0999999999999997E-2"/>
    <s v="Middle Speech, Language Pathway/_x000a_Audio"/>
  </r>
  <r>
    <x v="68"/>
    <s v="Personnel"/>
    <s v="E "/>
    <x v="0"/>
    <x v="3"/>
    <s v="PSES Elem Prog01Act25 S275"/>
    <x v="0"/>
    <s v="25"/>
    <m/>
    <n v="25"/>
    <s v="   "/>
    <n v="0.40699999999999997"/>
    <n v="0.17599999999999999"/>
    <n v="0"/>
    <s v="Elementary Pupil Management"/>
  </r>
  <r>
    <x v="68"/>
    <s v="Personnel"/>
    <s v="H "/>
    <x v="1"/>
    <x v="5"/>
    <s v="PSES High Prog01Act25 S275"/>
    <x v="0"/>
    <s v="25"/>
    <m/>
    <n v="25"/>
    <s v="   "/>
    <n v="0.35299999999999998"/>
    <n v="0.17599999999999999"/>
    <n v="0"/>
    <s v="High Pupil Management"/>
  </r>
  <r>
    <x v="68"/>
    <s v="Personnel"/>
    <s v="M "/>
    <x v="2"/>
    <x v="6"/>
    <s v="PSES Mid Prog01Act25 S275"/>
    <x v="0"/>
    <s v="25"/>
    <m/>
    <n v="25"/>
    <s v="   "/>
    <n v="6.5000000000000002E-2"/>
    <n v="0.17599999999999999"/>
    <n v="0"/>
    <s v="Middle Pupil Management"/>
  </r>
  <r>
    <x v="68"/>
    <s v="Personnel"/>
    <s v="E "/>
    <x v="0"/>
    <x v="15"/>
    <s v="PSES Elem Prog01Duty42 S275"/>
    <x v="0"/>
    <s v="42"/>
    <n v="42"/>
    <m/>
    <s v="   "/>
    <n v="0.45"/>
    <n v="0.17599999999999999"/>
    <n v="0"/>
    <s v="Elementary Counselor"/>
  </r>
  <r>
    <x v="68"/>
    <s v="Personnel"/>
    <s v="M "/>
    <x v="2"/>
    <x v="17"/>
    <s v="PSES Mid Prog01Duty42 S275"/>
    <x v="0"/>
    <s v="42"/>
    <n v="42"/>
    <m/>
    <s v="   "/>
    <n v="0.15"/>
    <n v="0.17599999999999999"/>
    <n v="0"/>
    <s v="Middle Counselor"/>
  </r>
  <r>
    <x v="69"/>
    <s v="Personnel"/>
    <s v="E "/>
    <x v="0"/>
    <x v="3"/>
    <s v="PSES Elem Prog01Act25 S275"/>
    <x v="0"/>
    <s v="25"/>
    <m/>
    <n v="25"/>
    <s v="   "/>
    <n v="9.4E-2"/>
    <n v="0.2341"/>
    <n v="0"/>
    <s v="Elementary Pupil Management"/>
  </r>
  <r>
    <x v="69"/>
    <s v="Personnel"/>
    <s v="H "/>
    <x v="1"/>
    <x v="4"/>
    <s v="PSES High Prog21Act25 S275"/>
    <x v="1"/>
    <s v="25"/>
    <m/>
    <n v="25"/>
    <s v="   "/>
    <n v="1.4419999999999999"/>
    <n v="0.2341"/>
    <n v="0.33800000000000002"/>
    <s v="High Pupil Management"/>
  </r>
  <r>
    <x v="69"/>
    <s v="Personnel"/>
    <s v="H "/>
    <x v="1"/>
    <x v="5"/>
    <s v="PSES High Prog01Act25 S275"/>
    <x v="0"/>
    <s v="25"/>
    <m/>
    <n v="25"/>
    <s v="   "/>
    <n v="2.129"/>
    <n v="0.2341"/>
    <n v="0"/>
    <s v="High Pupil Management"/>
  </r>
  <r>
    <x v="69"/>
    <s v="Personnel"/>
    <s v="H "/>
    <x v="1"/>
    <x v="29"/>
    <s v="PSES High Prog21Act26 S275"/>
    <x v="1"/>
    <s v="26"/>
    <m/>
    <n v="26"/>
    <s v="   "/>
    <n v="0.59399999999999997"/>
    <n v="0.2341"/>
    <n v="0.13900000000000001"/>
    <s v="High Health/_x000a_Related Services"/>
  </r>
  <r>
    <x v="69"/>
    <s v="Personnel"/>
    <s v="H "/>
    <x v="1"/>
    <x v="9"/>
    <s v="PSES High Prog01Act26 S275"/>
    <x v="0"/>
    <s v="26"/>
    <m/>
    <n v="26"/>
    <s v="   "/>
    <n v="2.665"/>
    <n v="0.2341"/>
    <n v="0"/>
    <s v="High Health/_x000a_Related Services"/>
  </r>
  <r>
    <x v="69"/>
    <s v="Personnel"/>
    <s v="E "/>
    <x v="0"/>
    <x v="15"/>
    <s v="PSES Elem Prog01Duty42 S275"/>
    <x v="0"/>
    <s v="42"/>
    <n v="42"/>
    <m/>
    <s v="   "/>
    <n v="2"/>
    <n v="0.2341"/>
    <n v="0"/>
    <s v="Elementary Counselor"/>
  </r>
  <r>
    <x v="69"/>
    <s v="Personnel"/>
    <s v="M "/>
    <x v="2"/>
    <x v="17"/>
    <s v="PSES Mid Prog01Duty42 S275"/>
    <x v="0"/>
    <s v="42"/>
    <n v="42"/>
    <m/>
    <s v="   "/>
    <n v="1.34"/>
    <n v="0.2341"/>
    <n v="0"/>
    <s v="Middle Counselor"/>
  </r>
  <r>
    <x v="69"/>
    <s v="Personnel"/>
    <s v="E "/>
    <x v="0"/>
    <x v="20"/>
    <s v="PSES Elem Prog21Duty45 S275"/>
    <x v="1"/>
    <s v="45"/>
    <n v="45"/>
    <m/>
    <s v="   "/>
    <n v="1"/>
    <n v="0.2341"/>
    <n v="0.23400000000000001"/>
    <s v="Elementary Speech, Language Pathway/_x000a_Audio"/>
  </r>
  <r>
    <x v="69"/>
    <s v="Personnel"/>
    <s v="E "/>
    <x v="0"/>
    <x v="22"/>
    <s v="PSES Elem Prog21Duty46 S275"/>
    <x v="1"/>
    <s v="46"/>
    <n v="46"/>
    <m/>
    <s v="   "/>
    <n v="1"/>
    <n v="0.2341"/>
    <n v="0.23400000000000001"/>
    <s v="Elementary Psychologist"/>
  </r>
  <r>
    <x v="69"/>
    <s v="Personnel"/>
    <s v="E "/>
    <x v="0"/>
    <x v="35"/>
    <s v="PSES Elem Prog21Duty48 S275"/>
    <x v="1"/>
    <s v="48"/>
    <n v="48"/>
    <m/>
    <s v="   "/>
    <n v="1"/>
    <n v="0.2341"/>
    <n v="0.23400000000000001"/>
    <s v="Elementary Physical Therapist"/>
  </r>
  <r>
    <x v="69"/>
    <s v="Personnel"/>
    <m/>
    <x v="0"/>
    <x v="66"/>
    <s v="PSES Elem Prog09Duty25 S275"/>
    <x v="3"/>
    <s v="25"/>
    <n v="91"/>
    <n v="25"/>
    <m/>
    <n v="0.13700000000000001"/>
    <n v="0.2341"/>
    <n v="0"/>
    <s v="TK Pupil Management"/>
  </r>
  <r>
    <x v="69"/>
    <s v="Personnel"/>
    <m/>
    <x v="0"/>
    <x v="66"/>
    <s v="PSES Elem Prog09Duty25 S275"/>
    <x v="3"/>
    <s v="25"/>
    <n v="91"/>
    <n v="25"/>
    <m/>
    <n v="0.13700000000000001"/>
    <n v="0.2341"/>
    <n v="0"/>
    <s v="TK Pupil Management"/>
  </r>
  <r>
    <x v="69"/>
    <s v="Personnel"/>
    <m/>
    <x v="0"/>
    <x v="66"/>
    <s v="PSES Elem Prog09Duty25 S275"/>
    <x v="3"/>
    <s v="25"/>
    <n v="91"/>
    <n v="25"/>
    <m/>
    <n v="0.13700000000000001"/>
    <n v="0.2341"/>
    <n v="0"/>
    <s v="TK Pupil Management"/>
  </r>
  <r>
    <x v="69"/>
    <s v="Personnel"/>
    <m/>
    <x v="0"/>
    <x v="66"/>
    <s v="PSES Elem Prog09Duty25 S275"/>
    <x v="3"/>
    <s v="25"/>
    <n v="91"/>
    <n v="25"/>
    <m/>
    <n v="9.2999999999999999E-2"/>
    <n v="0.2341"/>
    <n v="0"/>
    <s v="TK Pupil Management"/>
  </r>
  <r>
    <x v="69"/>
    <s v="Personnel"/>
    <m/>
    <x v="0"/>
    <x v="66"/>
    <s v="PSES Elem Prog09Duty25 S275"/>
    <x v="3"/>
    <s v="25"/>
    <n v="91"/>
    <n v="25"/>
    <m/>
    <n v="0.16"/>
    <n v="0.2341"/>
    <n v="0"/>
    <s v="TK Pupil Management"/>
  </r>
  <r>
    <x v="70"/>
    <s v="Personnel"/>
    <s v="H "/>
    <x v="1"/>
    <x v="9"/>
    <s v="PSES High Prog01Act26 S275"/>
    <x v="0"/>
    <s v="26"/>
    <m/>
    <n v="26"/>
    <s v="   "/>
    <n v="0.63900000000000001"/>
    <n v="0.25609999999999999"/>
    <n v="0"/>
    <s v="High Health/_x000a_Related Services"/>
  </r>
  <r>
    <x v="70"/>
    <s v="Personnel"/>
    <s v="M "/>
    <x v="2"/>
    <x v="11"/>
    <s v="PSES Mid Prog01Act26 S275"/>
    <x v="0"/>
    <s v="26"/>
    <m/>
    <n v="26"/>
    <s v="   "/>
    <n v="0.63900000000000001"/>
    <n v="0.25609999999999999"/>
    <n v="0"/>
    <s v="Middle Health/_x000a_Related Services"/>
  </r>
  <r>
    <x v="70"/>
    <s v="Personnel"/>
    <s v="E "/>
    <x v="0"/>
    <x v="15"/>
    <s v="PSES Elem Prog01Duty42 S275"/>
    <x v="0"/>
    <s v="42"/>
    <n v="42"/>
    <m/>
    <s v="   "/>
    <n v="1"/>
    <n v="0.25609999999999999"/>
    <n v="0"/>
    <s v="Elementary Counselor"/>
  </r>
  <r>
    <x v="70"/>
    <s v="Personnel"/>
    <s v="H "/>
    <x v="1"/>
    <x v="16"/>
    <s v="PSES High Prog01Duty42 S275"/>
    <x v="0"/>
    <s v="42"/>
    <n v="42"/>
    <m/>
    <s v="   "/>
    <n v="0.78"/>
    <n v="0.25609999999999999"/>
    <n v="0"/>
    <s v="High Counselor"/>
  </r>
  <r>
    <x v="70"/>
    <s v="Personnel"/>
    <s v="M "/>
    <x v="2"/>
    <x v="17"/>
    <s v="PSES Mid Prog01Duty42 S275"/>
    <x v="0"/>
    <s v="42"/>
    <n v="42"/>
    <m/>
    <s v="   "/>
    <n v="0.79"/>
    <n v="0.25609999999999999"/>
    <n v="0"/>
    <s v="Middle Counselor"/>
  </r>
  <r>
    <x v="70"/>
    <s v="Personnel"/>
    <s v="E "/>
    <x v="0"/>
    <x v="20"/>
    <s v="PSES Elem Prog21Duty45 S275"/>
    <x v="1"/>
    <s v="45"/>
    <n v="45"/>
    <m/>
    <s v="   "/>
    <n v="0.75"/>
    <n v="0.25609999999999999"/>
    <n v="0.192"/>
    <s v="Elementary Speech, Language Pathway/_x000a_Audio"/>
  </r>
  <r>
    <x v="70"/>
    <s v="Personnel"/>
    <s v="H "/>
    <x v="1"/>
    <x v="21"/>
    <s v="PSES High Prog21Duty45 S275"/>
    <x v="1"/>
    <s v="45"/>
    <n v="45"/>
    <m/>
    <s v="   "/>
    <n v="0.15"/>
    <n v="0.25609999999999999"/>
    <n v="3.7999999999999999E-2"/>
    <s v="High Speech, Language Pathway/_x000a_Audio"/>
  </r>
  <r>
    <x v="70"/>
    <s v="Personnel"/>
    <s v="M "/>
    <x v="2"/>
    <x v="28"/>
    <s v="PSES Mid Prog21Duty45 S275"/>
    <x v="1"/>
    <s v="45"/>
    <n v="45"/>
    <m/>
    <s v="   "/>
    <n v="0.1"/>
    <n v="0.25609999999999999"/>
    <n v="2.5999999999999999E-2"/>
    <s v="Middle Speech, Language Pathway/_x000a_Audio"/>
  </r>
  <r>
    <x v="70"/>
    <s v="Personnel"/>
    <s v="E "/>
    <x v="0"/>
    <x v="22"/>
    <s v="PSES Elem Prog21Duty46 S275"/>
    <x v="1"/>
    <s v="46"/>
    <n v="46"/>
    <m/>
    <s v="   "/>
    <n v="0.33"/>
    <n v="0.25609999999999999"/>
    <n v="8.5000000000000006E-2"/>
    <s v="Elementary Psychologist"/>
  </r>
  <r>
    <x v="70"/>
    <s v="Personnel"/>
    <s v="H "/>
    <x v="1"/>
    <x v="23"/>
    <s v="PSES High Prog21Duty46 S275"/>
    <x v="1"/>
    <s v="46"/>
    <n v="46"/>
    <m/>
    <s v="   "/>
    <n v="0.5"/>
    <n v="0.25609999999999999"/>
    <n v="0.128"/>
    <s v="High Psychologist"/>
  </r>
  <r>
    <x v="70"/>
    <s v="Personnel"/>
    <s v="M "/>
    <x v="2"/>
    <x v="24"/>
    <s v="PSES Mid Prog21Duty46 S275"/>
    <x v="1"/>
    <s v="46"/>
    <n v="46"/>
    <m/>
    <s v="   "/>
    <n v="0.83"/>
    <n v="0.25609999999999999"/>
    <n v="0.21299999999999999"/>
    <s v="Middle Psychologist"/>
  </r>
  <r>
    <x v="71"/>
    <s v="Personnel"/>
    <s v="E "/>
    <x v="0"/>
    <x v="7"/>
    <s v="PSES Elem Prog21Act26 S275"/>
    <x v="1"/>
    <s v="26"/>
    <m/>
    <n v="26"/>
    <s v="   "/>
    <n v="0.222"/>
    <n v="0.1137"/>
    <n v="2.5000000000000001E-2"/>
    <s v="Elementary Health/_x000a_Related Services"/>
  </r>
  <r>
    <x v="71"/>
    <s v="Personnel"/>
    <s v="H "/>
    <x v="1"/>
    <x v="9"/>
    <s v="PSES High Prog01Act26 S275"/>
    <x v="0"/>
    <s v="26"/>
    <m/>
    <n v="26"/>
    <s v="   "/>
    <n v="1.224"/>
    <n v="0.1137"/>
    <n v="0"/>
    <s v="High Health/_x000a_Related Services"/>
  </r>
  <r>
    <x v="72"/>
    <s v="Personnel"/>
    <s v="E "/>
    <x v="0"/>
    <x v="3"/>
    <s v="PSES Elem Prog01Act25 S275"/>
    <x v="0"/>
    <s v="25"/>
    <m/>
    <n v="25"/>
    <s v="   "/>
    <n v="0.16800000000000001"/>
    <n v="0.1913"/>
    <n v="0"/>
    <s v="Elementary Pupil Management"/>
  </r>
  <r>
    <x v="72"/>
    <s v="Personnel"/>
    <s v="H "/>
    <x v="1"/>
    <x v="5"/>
    <s v="PSES High Prog01Act25 S275"/>
    <x v="0"/>
    <s v="25"/>
    <m/>
    <n v="25"/>
    <s v="   "/>
    <n v="0.34300000000000003"/>
    <n v="0.1913"/>
    <n v="0"/>
    <s v="High Pupil Management"/>
  </r>
  <r>
    <x v="72"/>
    <s v="Personnel"/>
    <s v="H "/>
    <x v="1"/>
    <x v="16"/>
    <s v="PSES High Prog01Duty42 S275"/>
    <x v="0"/>
    <s v="42"/>
    <n v="42"/>
    <m/>
    <s v="   "/>
    <n v="0.3"/>
    <n v="0.1913"/>
    <n v="0"/>
    <s v="High Counselor"/>
  </r>
  <r>
    <x v="73"/>
    <s v="Personnel"/>
    <s v="E "/>
    <x v="0"/>
    <x v="0"/>
    <s v="PSES Elem Prog01Duty96 S275"/>
    <x v="0"/>
    <s v="24"/>
    <n v="96"/>
    <n v="24"/>
    <s v="   "/>
    <n v="0.36299999999999999"/>
    <n v="0.26879999999999998"/>
    <n v="0"/>
    <s v="Elementary Family Engagement Coordinator"/>
  </r>
  <r>
    <x v="73"/>
    <s v="Personnel"/>
    <s v="H "/>
    <x v="1"/>
    <x v="5"/>
    <s v="PSES High Prog01Act25 S275"/>
    <x v="0"/>
    <s v="25"/>
    <m/>
    <n v="25"/>
    <s v="   "/>
    <n v="0.88300000000000001"/>
    <n v="0.26879999999999998"/>
    <n v="0"/>
    <s v="High Pupil Management"/>
  </r>
  <r>
    <x v="73"/>
    <s v="Personnel"/>
    <s v="E "/>
    <x v="0"/>
    <x v="15"/>
    <s v="PSES Elem Prog01Duty42 S275"/>
    <x v="0"/>
    <s v="42"/>
    <n v="42"/>
    <m/>
    <s v="   "/>
    <n v="0.57199999999999995"/>
    <n v="0.26879999999999998"/>
    <n v="0"/>
    <s v="Elementary Counselor"/>
  </r>
  <r>
    <x v="73"/>
    <s v="Personnel"/>
    <s v="E "/>
    <x v="0"/>
    <x v="38"/>
    <s v="PSES Elem Prog21Duty64 S275"/>
    <x v="1"/>
    <s v="64"/>
    <n v="64"/>
    <m/>
    <s v="   "/>
    <n v="0.20599999999999999"/>
    <n v="0.26879999999999998"/>
    <n v="5.5E-2"/>
    <s v="Elementary Contractor ESA"/>
  </r>
  <r>
    <x v="74"/>
    <s v="Personnel"/>
    <s v="H "/>
    <x v="1"/>
    <x v="16"/>
    <s v="PSES High Prog01Duty42 S275"/>
    <x v="0"/>
    <s v="42"/>
    <n v="42"/>
    <m/>
    <s v="   "/>
    <n v="0.53300000000000003"/>
    <n v="0.1414"/>
    <n v="0"/>
    <s v="High Counselor"/>
  </r>
  <r>
    <x v="75"/>
    <s v="Personnel"/>
    <s v="H "/>
    <x v="1"/>
    <x v="5"/>
    <s v="PSES High Prog01Act25 S275"/>
    <x v="0"/>
    <s v="25"/>
    <m/>
    <n v="25"/>
    <s v="   "/>
    <n v="0.626"/>
    <n v="0.16159999999999999"/>
    <n v="0"/>
    <s v="High Pupil Management"/>
  </r>
  <r>
    <x v="75"/>
    <s v="Personnel"/>
    <s v="E "/>
    <x v="0"/>
    <x v="15"/>
    <s v="PSES Elem Prog01Duty42 S275"/>
    <x v="0"/>
    <s v="42"/>
    <n v="42"/>
    <m/>
    <s v="   "/>
    <n v="1"/>
    <n v="0.16159999999999999"/>
    <n v="0"/>
    <s v="Elementary Counselor"/>
  </r>
  <r>
    <x v="75"/>
    <s v="Personnel"/>
    <s v="H "/>
    <x v="1"/>
    <x v="16"/>
    <s v="PSES High Prog01Duty42 S275"/>
    <x v="0"/>
    <s v="42"/>
    <n v="42"/>
    <m/>
    <s v="   "/>
    <n v="0.5"/>
    <n v="0.16159999999999999"/>
    <n v="0"/>
    <s v="High Counselor"/>
  </r>
  <r>
    <x v="75"/>
    <s v="Personnel"/>
    <s v="M "/>
    <x v="2"/>
    <x v="17"/>
    <s v="PSES Mid Prog01Duty42 S275"/>
    <x v="0"/>
    <s v="42"/>
    <n v="42"/>
    <m/>
    <s v="   "/>
    <n v="0.5"/>
    <n v="0.16159999999999999"/>
    <n v="0"/>
    <s v="Middle Counselor"/>
  </r>
  <r>
    <x v="76"/>
    <s v="Personnel"/>
    <s v="H "/>
    <x v="1"/>
    <x v="29"/>
    <s v="PSES High Prog21Act26 S275"/>
    <x v="1"/>
    <s v="26"/>
    <m/>
    <n v="26"/>
    <s v="   "/>
    <n v="0.251"/>
    <n v="0.18340000000000001"/>
    <n v="4.5999999999999999E-2"/>
    <s v="High Health/_x000a_Related Services"/>
  </r>
  <r>
    <x v="76"/>
    <s v="Personnel"/>
    <s v="E "/>
    <x v="0"/>
    <x v="15"/>
    <s v="PSES Elem Prog01Duty42 S275"/>
    <x v="0"/>
    <s v="42"/>
    <n v="42"/>
    <m/>
    <s v="   "/>
    <n v="0.5"/>
    <n v="0.18340000000000001"/>
    <n v="0"/>
    <s v="Elementary Counselor"/>
  </r>
  <r>
    <x v="76"/>
    <s v="Personnel"/>
    <s v="H "/>
    <x v="1"/>
    <x v="16"/>
    <s v="PSES High Prog01Duty42 S275"/>
    <x v="0"/>
    <s v="42"/>
    <n v="42"/>
    <m/>
    <s v="   "/>
    <n v="0.33300000000000002"/>
    <n v="0.18340000000000001"/>
    <n v="0"/>
    <s v="High Counselor"/>
  </r>
  <r>
    <x v="76"/>
    <s v="Personnel"/>
    <s v="M "/>
    <x v="2"/>
    <x v="17"/>
    <s v="PSES Mid Prog01Duty42 S275"/>
    <x v="0"/>
    <s v="42"/>
    <n v="42"/>
    <m/>
    <s v="   "/>
    <n v="0.16700000000000001"/>
    <n v="0.18340000000000001"/>
    <n v="0"/>
    <s v="Middle Counselor"/>
  </r>
  <r>
    <x v="76"/>
    <s v="Personnel"/>
    <s v="E "/>
    <x v="0"/>
    <x v="18"/>
    <s v="PSES Elem Prog21Duty43 S275"/>
    <x v="1"/>
    <s v="43"/>
    <n v="43"/>
    <m/>
    <s v="   "/>
    <n v="0.65"/>
    <n v="0.18340000000000001"/>
    <n v="0.11899999999999999"/>
    <s v="Elementary Occupational Therapist"/>
  </r>
  <r>
    <x v="76"/>
    <s v="Personnel"/>
    <s v="H "/>
    <x v="1"/>
    <x v="19"/>
    <s v="PSES High Prog21Duty43 S275"/>
    <x v="1"/>
    <s v="43"/>
    <n v="43"/>
    <m/>
    <s v="   "/>
    <n v="0.2"/>
    <n v="0.18340000000000001"/>
    <n v="3.6999999999999998E-2"/>
    <s v="High Occupational Therapist"/>
  </r>
  <r>
    <x v="76"/>
    <s v="Personnel"/>
    <s v="M "/>
    <x v="2"/>
    <x v="31"/>
    <s v="PSES Mid Prog21Duty43 S275"/>
    <x v="1"/>
    <s v="43"/>
    <n v="43"/>
    <m/>
    <s v="   "/>
    <n v="0.05"/>
    <n v="0.18340000000000001"/>
    <n v="8.9999999999999993E-3"/>
    <s v="Middle Occupational Therapist"/>
  </r>
  <r>
    <x v="76"/>
    <s v="Personnel"/>
    <s v="E "/>
    <x v="0"/>
    <x v="20"/>
    <s v="PSES Elem Prog21Duty45 S275"/>
    <x v="1"/>
    <s v="45"/>
    <n v="45"/>
    <m/>
    <s v="   "/>
    <n v="0.52"/>
    <n v="0.18340000000000001"/>
    <n v="9.5000000000000001E-2"/>
    <s v="Elementary Speech, Language Pathway/_x000a_Audio"/>
  </r>
  <r>
    <x v="76"/>
    <s v="Personnel"/>
    <s v="H "/>
    <x v="1"/>
    <x v="21"/>
    <s v="PSES High Prog21Duty45 S275"/>
    <x v="1"/>
    <s v="45"/>
    <n v="45"/>
    <m/>
    <s v="   "/>
    <n v="0.16"/>
    <n v="0.18340000000000001"/>
    <n v="2.9000000000000001E-2"/>
    <s v="High Speech, Language Pathway/_x000a_Audio"/>
  </r>
  <r>
    <x v="76"/>
    <s v="Personnel"/>
    <s v="M "/>
    <x v="2"/>
    <x v="28"/>
    <s v="PSES Mid Prog21Duty45 S275"/>
    <x v="1"/>
    <s v="45"/>
    <n v="45"/>
    <m/>
    <s v="   "/>
    <n v="0.04"/>
    <n v="0.18340000000000001"/>
    <n v="7.0000000000000001E-3"/>
    <s v="Middle Speech, Language Pathway/_x000a_Audio"/>
  </r>
  <r>
    <x v="76"/>
    <s v="Personnel"/>
    <s v="E "/>
    <x v="0"/>
    <x v="22"/>
    <s v="PSES Elem Prog21Duty46 S275"/>
    <x v="1"/>
    <s v="46"/>
    <n v="46"/>
    <m/>
    <s v="   "/>
    <n v="0.32500000000000001"/>
    <n v="0.18340000000000001"/>
    <n v="0.06"/>
    <s v="Elementary Psychologist"/>
  </r>
  <r>
    <x v="76"/>
    <s v="Personnel"/>
    <s v="H "/>
    <x v="1"/>
    <x v="23"/>
    <s v="PSES High Prog21Duty46 S275"/>
    <x v="1"/>
    <s v="46"/>
    <n v="46"/>
    <m/>
    <s v="   "/>
    <n v="0.1"/>
    <n v="0.18340000000000001"/>
    <n v="1.7999999999999999E-2"/>
    <s v="High Psychologist"/>
  </r>
  <r>
    <x v="76"/>
    <s v="Personnel"/>
    <s v="M "/>
    <x v="2"/>
    <x v="24"/>
    <s v="PSES Mid Prog21Duty46 S275"/>
    <x v="1"/>
    <s v="46"/>
    <n v="46"/>
    <m/>
    <s v="   "/>
    <n v="2.5000000000000001E-2"/>
    <n v="0.18340000000000001"/>
    <n v="5.0000000000000001E-3"/>
    <s v="Middle Psychologist"/>
  </r>
  <r>
    <x v="77"/>
    <s v="Personnel"/>
    <s v="H "/>
    <x v="1"/>
    <x v="1"/>
    <s v="PSES High Prog01Duty96 S275"/>
    <x v="0"/>
    <s v="24"/>
    <n v="96"/>
    <n v="24"/>
    <s v="   "/>
    <n v="0.50800000000000001"/>
    <n v="0.2848"/>
    <n v="0"/>
    <s v="High Family Engagement Coordinator"/>
  </r>
  <r>
    <x v="77"/>
    <s v="Personnel"/>
    <s v="E "/>
    <x v="0"/>
    <x v="7"/>
    <s v="PSES Elem Prog21Act26 S275"/>
    <x v="1"/>
    <s v="26"/>
    <m/>
    <n v="26"/>
    <s v="   "/>
    <n v="0.72899999999999998"/>
    <n v="0.2848"/>
    <n v="0.20799999999999999"/>
    <s v="Elementary Health/_x000a_Related Services"/>
  </r>
  <r>
    <x v="77"/>
    <s v="Personnel"/>
    <s v="E "/>
    <x v="0"/>
    <x v="8"/>
    <s v="PSES Elem Prog01Act26 S275"/>
    <x v="0"/>
    <s v="26"/>
    <m/>
    <n v="26"/>
    <s v="   "/>
    <n v="2.7690000000000001"/>
    <n v="0.2848"/>
    <n v="0"/>
    <s v="Elementary Health/_x000a_Related Services"/>
  </r>
  <r>
    <x v="77"/>
    <s v="Personnel"/>
    <s v="H "/>
    <x v="1"/>
    <x v="9"/>
    <s v="PSES High Prog01Act26 S275"/>
    <x v="0"/>
    <s v="26"/>
    <m/>
    <n v="26"/>
    <s v="   "/>
    <n v="0.438"/>
    <n v="0.2848"/>
    <n v="0"/>
    <s v="High Health/_x000a_Related Services"/>
  </r>
  <r>
    <x v="77"/>
    <s v="Personnel"/>
    <s v="M "/>
    <x v="2"/>
    <x v="11"/>
    <s v="PSES Mid Prog01Act26 S275"/>
    <x v="0"/>
    <s v="26"/>
    <m/>
    <n v="26"/>
    <s v="   "/>
    <n v="0.437"/>
    <n v="0.2848"/>
    <n v="0"/>
    <s v="Middle Health/_x000a_Related Services"/>
  </r>
  <r>
    <x v="77"/>
    <s v="Personnel"/>
    <s v="E "/>
    <x v="0"/>
    <x v="15"/>
    <s v="PSES Elem Prog01Duty42 S275"/>
    <x v="0"/>
    <s v="42"/>
    <n v="42"/>
    <m/>
    <s v="   "/>
    <n v="7"/>
    <n v="0.2848"/>
    <n v="0"/>
    <s v="Elementary Counselor"/>
  </r>
  <r>
    <x v="77"/>
    <s v="Personnel"/>
    <s v="H "/>
    <x v="1"/>
    <x v="16"/>
    <s v="PSES High Prog01Duty42 S275"/>
    <x v="0"/>
    <s v="42"/>
    <n v="42"/>
    <m/>
    <s v="   "/>
    <n v="4.7"/>
    <n v="0.2848"/>
    <n v="0"/>
    <s v="High Counselor"/>
  </r>
  <r>
    <x v="77"/>
    <s v="Personnel"/>
    <s v="M "/>
    <x v="2"/>
    <x v="17"/>
    <s v="PSES Mid Prog01Duty42 S275"/>
    <x v="0"/>
    <s v="42"/>
    <n v="42"/>
    <m/>
    <s v="   "/>
    <n v="2"/>
    <n v="0.2848"/>
    <n v="0"/>
    <s v="Middle Counselor"/>
  </r>
  <r>
    <x v="77"/>
    <s v="Personnel"/>
    <s v="E "/>
    <x v="0"/>
    <x v="18"/>
    <s v="PSES Elem Prog21Duty43 S275"/>
    <x v="1"/>
    <s v="43"/>
    <n v="43"/>
    <m/>
    <s v="   "/>
    <n v="1.6619999999999999"/>
    <n v="0.2848"/>
    <n v="0.47299999999999998"/>
    <s v="Elementary Occupational Therapist"/>
  </r>
  <r>
    <x v="77"/>
    <s v="Personnel"/>
    <s v="H "/>
    <x v="1"/>
    <x v="19"/>
    <s v="PSES High Prog21Duty43 S275"/>
    <x v="1"/>
    <s v="43"/>
    <n v="43"/>
    <m/>
    <s v="   "/>
    <n v="0.23"/>
    <n v="0.2848"/>
    <n v="6.6000000000000003E-2"/>
    <s v="High Occupational Therapist"/>
  </r>
  <r>
    <x v="77"/>
    <s v="Personnel"/>
    <s v="E "/>
    <x v="0"/>
    <x v="42"/>
    <s v="PSES Elem Prog01Duty44 S275"/>
    <x v="0"/>
    <s v="44"/>
    <n v="44"/>
    <m/>
    <s v="   "/>
    <n v="0.03"/>
    <n v="0.2848"/>
    <n v="0"/>
    <s v="Elementary Social Worker"/>
  </r>
  <r>
    <x v="77"/>
    <s v="Personnel"/>
    <s v="H "/>
    <x v="1"/>
    <x v="44"/>
    <s v="PSES High Prog01Duty44 S275"/>
    <x v="0"/>
    <s v="44"/>
    <n v="44"/>
    <m/>
    <s v="   "/>
    <n v="0.99"/>
    <n v="0.2848"/>
    <n v="0"/>
    <s v="High Social Worker"/>
  </r>
  <r>
    <x v="77"/>
    <s v="Personnel"/>
    <s v="M "/>
    <x v="2"/>
    <x v="46"/>
    <s v="PSES Mid Prog01Duty44 S275"/>
    <x v="0"/>
    <s v="44"/>
    <n v="44"/>
    <m/>
    <s v="   "/>
    <n v="0.98"/>
    <n v="0.2848"/>
    <n v="0"/>
    <s v="Middle Social Worker"/>
  </r>
  <r>
    <x v="77"/>
    <s v="Personnel"/>
    <s v="E "/>
    <x v="0"/>
    <x v="20"/>
    <s v="PSES Elem Prog21Duty45 S275"/>
    <x v="1"/>
    <s v="45"/>
    <n v="45"/>
    <m/>
    <s v="   "/>
    <n v="7.7640000000000002"/>
    <n v="0.2848"/>
    <n v="2.2109999999999999"/>
    <s v="Elementary Speech, Language Pathway/_x000a_Audio"/>
  </r>
  <r>
    <x v="77"/>
    <s v="Personnel"/>
    <s v="H "/>
    <x v="1"/>
    <x v="21"/>
    <s v="PSES High Prog21Duty45 S275"/>
    <x v="1"/>
    <s v="45"/>
    <n v="45"/>
    <m/>
    <s v="   "/>
    <n v="0.08"/>
    <n v="0.2848"/>
    <n v="2.3E-2"/>
    <s v="High Speech, Language Pathway/_x000a_Audio"/>
  </r>
  <r>
    <x v="77"/>
    <s v="Personnel"/>
    <s v="M "/>
    <x v="2"/>
    <x v="28"/>
    <s v="PSES Mid Prog21Duty45 S275"/>
    <x v="1"/>
    <s v="45"/>
    <n v="45"/>
    <m/>
    <s v="   "/>
    <n v="1"/>
    <n v="0.2848"/>
    <n v="0.28499999999999998"/>
    <s v="Middle Speech, Language Pathway/_x000a_Audio"/>
  </r>
  <r>
    <x v="77"/>
    <s v="Personnel"/>
    <s v="E "/>
    <x v="0"/>
    <x v="22"/>
    <s v="PSES Elem Prog21Duty46 S275"/>
    <x v="1"/>
    <s v="46"/>
    <n v="46"/>
    <m/>
    <s v="   "/>
    <n v="2.2080000000000002"/>
    <n v="0.2848"/>
    <n v="0.629"/>
    <s v="Elementary Psychologist"/>
  </r>
  <r>
    <x v="77"/>
    <s v="Personnel"/>
    <s v="H "/>
    <x v="1"/>
    <x v="23"/>
    <s v="PSES High Prog21Duty46 S275"/>
    <x v="1"/>
    <s v="46"/>
    <n v="46"/>
    <m/>
    <s v="   "/>
    <n v="1.5"/>
    <n v="0.2848"/>
    <n v="0.42699999999999999"/>
    <s v="High Psychologist"/>
  </r>
  <r>
    <x v="77"/>
    <s v="Personnel"/>
    <s v="M "/>
    <x v="2"/>
    <x v="24"/>
    <s v="PSES Mid Prog21Duty46 S275"/>
    <x v="1"/>
    <s v="46"/>
    <n v="46"/>
    <m/>
    <s v="   "/>
    <n v="1"/>
    <n v="0.2848"/>
    <n v="0.28499999999999998"/>
    <s v="Middle Psychologist"/>
  </r>
  <r>
    <x v="77"/>
    <s v="Personnel"/>
    <s v="E "/>
    <x v="0"/>
    <x v="27"/>
    <s v="PSES Elem Prog01Duty47 S275"/>
    <x v="0"/>
    <s v="47"/>
    <n v="47"/>
    <m/>
    <s v="   "/>
    <n v="2.9990000000000001"/>
    <n v="0.2848"/>
    <n v="0"/>
    <s v="Elementary Nurse"/>
  </r>
  <r>
    <x v="77"/>
    <s v="Personnel"/>
    <s v="H "/>
    <x v="1"/>
    <x v="25"/>
    <s v="PSES High Prog01Duty47 S275"/>
    <x v="0"/>
    <s v="47"/>
    <n v="47"/>
    <m/>
    <s v="   "/>
    <n v="0.60099999999999998"/>
    <n v="0.2848"/>
    <n v="0"/>
    <s v="High Nurse"/>
  </r>
  <r>
    <x v="77"/>
    <s v="Personnel"/>
    <s v="M "/>
    <x v="2"/>
    <x v="34"/>
    <s v="PSES Mid Prog01Duty47 S275"/>
    <x v="0"/>
    <s v="47"/>
    <n v="47"/>
    <m/>
    <s v="   "/>
    <n v="0.4"/>
    <n v="0.2848"/>
    <n v="0"/>
    <s v="Middle Nurse"/>
  </r>
  <r>
    <x v="77"/>
    <s v="Personnel"/>
    <s v="E "/>
    <x v="0"/>
    <x v="35"/>
    <s v="PSES Elem Prog21Duty48 S275"/>
    <x v="1"/>
    <s v="48"/>
    <n v="48"/>
    <m/>
    <s v="   "/>
    <n v="0.80800000000000005"/>
    <n v="0.2848"/>
    <n v="0.23"/>
    <s v="Elementary Physical Therapist"/>
  </r>
  <r>
    <x v="77"/>
    <s v="Personnel"/>
    <s v="H "/>
    <x v="1"/>
    <x v="36"/>
    <s v="PSES High Prog21Duty48 S275"/>
    <x v="1"/>
    <s v="48"/>
    <n v="48"/>
    <m/>
    <s v="   "/>
    <n v="0.192"/>
    <n v="0.2848"/>
    <n v="5.5E-2"/>
    <s v="High Physical Therapist"/>
  </r>
  <r>
    <x v="78"/>
    <s v="Personnel"/>
    <s v="E "/>
    <x v="0"/>
    <x v="3"/>
    <s v="PSES Elem Prog01Act25 S275"/>
    <x v="0"/>
    <s v="25"/>
    <m/>
    <n v="25"/>
    <s v="   "/>
    <n v="0.20399999999999999"/>
    <n v="0.22170000000000001"/>
    <n v="0"/>
    <s v="Elementary Pupil Management"/>
  </r>
  <r>
    <x v="78"/>
    <s v="Personnel"/>
    <s v="H "/>
    <x v="1"/>
    <x v="5"/>
    <s v="PSES High Prog01Act25 S275"/>
    <x v="0"/>
    <s v="25"/>
    <m/>
    <n v="25"/>
    <s v="   "/>
    <n v="0.104"/>
    <n v="0.22170000000000001"/>
    <n v="0"/>
    <s v="High Pupil Management"/>
  </r>
  <r>
    <x v="78"/>
    <s v="Personnel"/>
    <s v="M "/>
    <x v="2"/>
    <x v="6"/>
    <s v="PSES Mid Prog01Act25 S275"/>
    <x v="0"/>
    <s v="25"/>
    <m/>
    <n v="25"/>
    <s v="   "/>
    <n v="0.13600000000000001"/>
    <n v="0.22170000000000001"/>
    <n v="0"/>
    <s v="Middle Pupil Management"/>
  </r>
  <r>
    <x v="78"/>
    <s v="Personnel"/>
    <s v="E "/>
    <x v="0"/>
    <x v="15"/>
    <s v="PSES Elem Prog01Duty42 S275"/>
    <x v="0"/>
    <s v="42"/>
    <n v="42"/>
    <m/>
    <s v="   "/>
    <n v="0.05"/>
    <n v="0.22170000000000001"/>
    <n v="0"/>
    <s v="Elementary Counselor"/>
  </r>
  <r>
    <x v="78"/>
    <s v="Personnel"/>
    <s v="H "/>
    <x v="1"/>
    <x v="16"/>
    <s v="PSES High Prog01Duty42 S275"/>
    <x v="0"/>
    <s v="42"/>
    <n v="42"/>
    <m/>
    <s v="   "/>
    <n v="1"/>
    <n v="0.22170000000000001"/>
    <n v="0"/>
    <s v="High Counselor"/>
  </r>
  <r>
    <x v="78"/>
    <s v="Personnel"/>
    <s v="M "/>
    <x v="2"/>
    <x v="17"/>
    <s v="PSES Mid Prog01Duty42 S275"/>
    <x v="0"/>
    <s v="42"/>
    <n v="42"/>
    <m/>
    <s v="   "/>
    <n v="1"/>
    <n v="0.22170000000000001"/>
    <n v="0"/>
    <s v="Middle Counselor"/>
  </r>
  <r>
    <x v="78"/>
    <s v="Personnel"/>
    <s v="E "/>
    <x v="0"/>
    <x v="20"/>
    <s v="PSES Elem Prog21Duty45 S275"/>
    <x v="1"/>
    <s v="45"/>
    <n v="45"/>
    <m/>
    <s v="   "/>
    <n v="0.52"/>
    <n v="0.22170000000000001"/>
    <n v="0.115"/>
    <s v="Elementary Speech, Language Pathway/_x000a_Audio"/>
  </r>
  <r>
    <x v="78"/>
    <s v="Personnel"/>
    <s v="H "/>
    <x v="1"/>
    <x v="21"/>
    <s v="PSES High Prog21Duty45 S275"/>
    <x v="1"/>
    <s v="45"/>
    <n v="45"/>
    <m/>
    <s v="   "/>
    <n v="0.32"/>
    <n v="0.22170000000000001"/>
    <n v="7.0999999999999994E-2"/>
    <s v="High Speech, Language Pathway/_x000a_Audio"/>
  </r>
  <r>
    <x v="78"/>
    <s v="Personnel"/>
    <s v="M "/>
    <x v="2"/>
    <x v="28"/>
    <s v="PSES Mid Prog21Duty45 S275"/>
    <x v="1"/>
    <s v="45"/>
    <n v="45"/>
    <m/>
    <s v="   "/>
    <n v="0.16"/>
    <n v="0.22170000000000001"/>
    <n v="3.5000000000000003E-2"/>
    <s v="Middle Speech, Language Pathway/_x000a_Audio"/>
  </r>
  <r>
    <x v="78"/>
    <s v="Personnel"/>
    <s v="E "/>
    <x v="0"/>
    <x v="48"/>
    <s v="PSES Elem Prog01Duty46 S275"/>
    <x v="0"/>
    <s v="46"/>
    <n v="46"/>
    <m/>
    <s v="   "/>
    <n v="0.4"/>
    <n v="0.22170000000000001"/>
    <n v="0"/>
    <s v="Elementary Psychologist"/>
  </r>
  <r>
    <x v="78"/>
    <s v="Personnel"/>
    <s v="H "/>
    <x v="1"/>
    <x v="65"/>
    <s v="PSES High Prog01Duty46 S275"/>
    <x v="0"/>
    <s v="46"/>
    <n v="46"/>
    <m/>
    <s v="   "/>
    <n v="0.1"/>
    <n v="0.22170000000000001"/>
    <n v="0"/>
    <s v="High Psychologist"/>
  </r>
  <r>
    <x v="78"/>
    <s v="Personnel"/>
    <s v="M "/>
    <x v="2"/>
    <x v="49"/>
    <s v="PSES Mid Prog01Duty46 S275"/>
    <x v="0"/>
    <s v="46"/>
    <n v="46"/>
    <m/>
    <s v="   "/>
    <n v="0.3"/>
    <n v="0.22170000000000001"/>
    <n v="0"/>
    <s v="Middle Psychologist"/>
  </r>
  <r>
    <x v="79"/>
    <s v="Personnel"/>
    <s v="E "/>
    <x v="0"/>
    <x v="8"/>
    <s v="PSES Elem Prog01Act26 S275"/>
    <x v="0"/>
    <s v="26"/>
    <m/>
    <n v="26"/>
    <s v="   "/>
    <n v="0.66400000000000003"/>
    <n v="0.22600000000000001"/>
    <n v="0"/>
    <s v="Elementary Health/_x000a_Related Services"/>
  </r>
  <r>
    <x v="79"/>
    <s v="Personnel"/>
    <s v="H "/>
    <x v="1"/>
    <x v="16"/>
    <s v="PSES High Prog01Duty42 S275"/>
    <x v="0"/>
    <s v="42"/>
    <n v="42"/>
    <m/>
    <s v="   "/>
    <n v="2"/>
    <n v="0.22600000000000001"/>
    <n v="0"/>
    <s v="High Counselor"/>
  </r>
  <r>
    <x v="79"/>
    <s v="Personnel"/>
    <s v="M "/>
    <x v="2"/>
    <x v="17"/>
    <s v="PSES Mid Prog01Duty42 S275"/>
    <x v="0"/>
    <s v="42"/>
    <n v="42"/>
    <m/>
    <s v="   "/>
    <n v="1"/>
    <n v="0.22600000000000001"/>
    <n v="0"/>
    <s v="Middle Counselor"/>
  </r>
  <r>
    <x v="79"/>
    <s v="Personnel"/>
    <s v="E "/>
    <x v="0"/>
    <x v="18"/>
    <s v="PSES Elem Prog21Duty43 S275"/>
    <x v="1"/>
    <s v="43"/>
    <n v="43"/>
    <m/>
    <s v="   "/>
    <n v="0.8"/>
    <n v="0.22600000000000001"/>
    <n v="0.18099999999999999"/>
    <s v="Elementary Occupational Therapist"/>
  </r>
  <r>
    <x v="79"/>
    <s v="Personnel"/>
    <s v="E "/>
    <x v="0"/>
    <x v="20"/>
    <s v="PSES Elem Prog21Duty45 S275"/>
    <x v="1"/>
    <s v="45"/>
    <n v="45"/>
    <m/>
    <s v="   "/>
    <n v="0.46800000000000003"/>
    <n v="0.22600000000000001"/>
    <n v="0.106"/>
    <s v="Elementary Speech, Language Pathway/_x000a_Audio"/>
  </r>
  <r>
    <x v="79"/>
    <s v="Personnel"/>
    <s v="E "/>
    <x v="0"/>
    <x v="22"/>
    <s v="PSES Elem Prog21Duty46 S275"/>
    <x v="1"/>
    <s v="46"/>
    <n v="46"/>
    <m/>
    <s v="   "/>
    <n v="1"/>
    <n v="0.22600000000000001"/>
    <n v="0.22600000000000001"/>
    <s v="Elementary Psychologist"/>
  </r>
  <r>
    <x v="79"/>
    <s v="Personnel"/>
    <s v="H "/>
    <x v="1"/>
    <x v="23"/>
    <s v="PSES High Prog21Duty46 S275"/>
    <x v="1"/>
    <s v="46"/>
    <n v="46"/>
    <m/>
    <s v="   "/>
    <n v="0.42"/>
    <n v="0.22600000000000001"/>
    <n v="9.5000000000000001E-2"/>
    <s v="High Psychologist"/>
  </r>
  <r>
    <x v="79"/>
    <s v="Personnel"/>
    <s v="M "/>
    <x v="2"/>
    <x v="24"/>
    <s v="PSES Mid Prog21Duty46 S275"/>
    <x v="1"/>
    <s v="46"/>
    <n v="46"/>
    <m/>
    <s v="   "/>
    <n v="0.28000000000000003"/>
    <n v="0.22600000000000001"/>
    <n v="6.3E-2"/>
    <s v="Middle Psychologist"/>
  </r>
  <r>
    <x v="79"/>
    <s v="Personnel"/>
    <s v="H "/>
    <x v="1"/>
    <x v="25"/>
    <s v="PSES High Prog01Duty47 S275"/>
    <x v="0"/>
    <s v="47"/>
    <n v="47"/>
    <m/>
    <s v="   "/>
    <n v="0.7"/>
    <n v="0.22600000000000001"/>
    <n v="0"/>
    <s v="High Nurse"/>
  </r>
  <r>
    <x v="79"/>
    <s v="Personnel"/>
    <s v="M "/>
    <x v="2"/>
    <x v="34"/>
    <s v="PSES Mid Prog01Duty47 S275"/>
    <x v="0"/>
    <s v="47"/>
    <n v="47"/>
    <m/>
    <s v="   "/>
    <n v="0.3"/>
    <n v="0.22600000000000001"/>
    <n v="0"/>
    <s v="Middle Nurse"/>
  </r>
  <r>
    <x v="80"/>
    <s v="Personnel"/>
    <s v="E "/>
    <x v="0"/>
    <x v="3"/>
    <s v="PSES Elem Prog01Act25 S275"/>
    <x v="0"/>
    <s v="25"/>
    <m/>
    <n v="25"/>
    <s v="   "/>
    <n v="4.5999999999999999E-2"/>
    <n v="9.2499999999999999E-2"/>
    <n v="0"/>
    <s v="Elementary Pupil Management"/>
  </r>
  <r>
    <x v="81"/>
    <s v="Personnel"/>
    <s v="H "/>
    <x v="1"/>
    <x v="5"/>
    <s v="PSES High Prog01Act25 S275"/>
    <x v="0"/>
    <s v="25"/>
    <m/>
    <n v="25"/>
    <s v="   "/>
    <n v="0.30499999999999999"/>
    <n v="9.8699999999999996E-2"/>
    <n v="0"/>
    <s v="High Pupil Management"/>
  </r>
  <r>
    <x v="81"/>
    <s v="Personnel"/>
    <s v="H "/>
    <x v="1"/>
    <x v="29"/>
    <s v="PSES High Prog21Act26 S275"/>
    <x v="1"/>
    <s v="26"/>
    <m/>
    <n v="26"/>
    <s v="   "/>
    <n v="8.0000000000000002E-3"/>
    <n v="9.8699999999999996E-2"/>
    <n v="1E-3"/>
    <s v="High Health/_x000a_Related Services"/>
  </r>
  <r>
    <x v="82"/>
    <s v="Personnel"/>
    <s v="H "/>
    <x v="1"/>
    <x v="5"/>
    <s v="PSES High Prog01Act25 S275"/>
    <x v="0"/>
    <s v="25"/>
    <m/>
    <n v="25"/>
    <s v="   "/>
    <n v="0.84"/>
    <n v="0.1036"/>
    <n v="0"/>
    <s v="High Pupil Management"/>
  </r>
  <r>
    <x v="82"/>
    <s v="Personnel"/>
    <s v="E "/>
    <x v="0"/>
    <x v="15"/>
    <s v="PSES Elem Prog01Duty42 S275"/>
    <x v="0"/>
    <s v="42"/>
    <n v="42"/>
    <m/>
    <s v="   "/>
    <n v="0.44900000000000001"/>
    <n v="0.1036"/>
    <n v="0"/>
    <s v="Elementary Counselor"/>
  </r>
  <r>
    <x v="82"/>
    <s v="Personnel"/>
    <s v="H "/>
    <x v="1"/>
    <x v="16"/>
    <s v="PSES High Prog01Duty42 S275"/>
    <x v="0"/>
    <s v="42"/>
    <n v="42"/>
    <m/>
    <s v="   "/>
    <n v="0.4"/>
    <n v="0.1036"/>
    <n v="0"/>
    <s v="High Counselor"/>
  </r>
  <r>
    <x v="82"/>
    <s v="Personnel"/>
    <s v="M "/>
    <x v="2"/>
    <x v="17"/>
    <s v="PSES Mid Prog01Duty42 S275"/>
    <x v="0"/>
    <s v="42"/>
    <n v="42"/>
    <m/>
    <s v="   "/>
    <n v="0.151"/>
    <n v="0.1036"/>
    <n v="0"/>
    <s v="Middle Counselor"/>
  </r>
  <r>
    <x v="82"/>
    <s v="Personnel"/>
    <s v="E "/>
    <x v="0"/>
    <x v="20"/>
    <s v="PSES Elem Prog21Duty45 S275"/>
    <x v="1"/>
    <s v="45"/>
    <n v="45"/>
    <m/>
    <s v="   "/>
    <n v="0.60699999999999998"/>
    <n v="0.1036"/>
    <n v="6.3E-2"/>
    <s v="Elementary Speech, Language Pathway/_x000a_Audio"/>
  </r>
  <r>
    <x v="82"/>
    <s v="Personnel"/>
    <s v="E "/>
    <x v="0"/>
    <x v="22"/>
    <s v="PSES Elem Prog21Duty46 S275"/>
    <x v="1"/>
    <s v="46"/>
    <n v="46"/>
    <m/>
    <s v="   "/>
    <n v="0.20100000000000001"/>
    <n v="0.1036"/>
    <n v="2.1000000000000001E-2"/>
    <s v="Elementary Psychologist"/>
  </r>
  <r>
    <x v="82"/>
    <s v="Personnel"/>
    <s v="M "/>
    <x v="2"/>
    <x v="24"/>
    <s v="PSES Mid Prog21Duty46 S275"/>
    <x v="1"/>
    <s v="46"/>
    <n v="46"/>
    <m/>
    <s v="   "/>
    <n v="6.7000000000000004E-2"/>
    <n v="0.1036"/>
    <n v="7.0000000000000001E-3"/>
    <s v="Middle Psychologist"/>
  </r>
  <r>
    <x v="83"/>
    <s v="Personnel"/>
    <s v="H "/>
    <x v="1"/>
    <x v="4"/>
    <s v="PSES High Prog21Act25 S275"/>
    <x v="1"/>
    <s v="25"/>
    <m/>
    <n v="25"/>
    <s v="   "/>
    <n v="0.12"/>
    <n v="0.26960000000000001"/>
    <n v="3.2000000000000001E-2"/>
    <s v="High Pupil Management"/>
  </r>
  <r>
    <x v="83"/>
    <s v="Personnel"/>
    <s v="H "/>
    <x v="1"/>
    <x v="5"/>
    <s v="PSES High Prog01Act25 S275"/>
    <x v="0"/>
    <s v="25"/>
    <m/>
    <n v="25"/>
    <s v="   "/>
    <n v="0.68799999999999994"/>
    <n v="0.26960000000000001"/>
    <n v="0"/>
    <s v="High Pupil Management"/>
  </r>
  <r>
    <x v="83"/>
    <s v="Personnel"/>
    <s v="E "/>
    <x v="0"/>
    <x v="15"/>
    <s v="PSES Elem Prog01Duty42 S275"/>
    <x v="0"/>
    <s v="42"/>
    <n v="42"/>
    <m/>
    <s v="   "/>
    <n v="1"/>
    <n v="0.26960000000000001"/>
    <n v="0"/>
    <s v="Elementary Counselor"/>
  </r>
  <r>
    <x v="83"/>
    <s v="Personnel"/>
    <s v="H "/>
    <x v="1"/>
    <x v="16"/>
    <s v="PSES High Prog01Duty42 S275"/>
    <x v="0"/>
    <s v="42"/>
    <n v="42"/>
    <m/>
    <s v="   "/>
    <n v="0.9"/>
    <n v="0.26960000000000001"/>
    <n v="0"/>
    <s v="High Counselor"/>
  </r>
  <r>
    <x v="83"/>
    <s v="Personnel"/>
    <s v="E "/>
    <x v="0"/>
    <x v="18"/>
    <s v="PSES Elem Prog21Duty43 S275"/>
    <x v="1"/>
    <s v="43"/>
    <n v="43"/>
    <m/>
    <s v="   "/>
    <n v="0.46899999999999997"/>
    <n v="0.26960000000000001"/>
    <n v="0.126"/>
    <s v="Elementary Occupational Therapist"/>
  </r>
  <r>
    <x v="83"/>
    <s v="Personnel"/>
    <s v="H "/>
    <x v="1"/>
    <x v="19"/>
    <s v="PSES High Prog21Duty43 S275"/>
    <x v="1"/>
    <s v="43"/>
    <n v="43"/>
    <m/>
    <s v="   "/>
    <n v="7.0000000000000007E-2"/>
    <n v="0.26960000000000001"/>
    <n v="1.9E-2"/>
    <s v="High Occupational Therapist"/>
  </r>
  <r>
    <x v="83"/>
    <s v="Personnel"/>
    <s v="M "/>
    <x v="2"/>
    <x v="31"/>
    <s v="PSES Mid Prog21Duty43 S275"/>
    <x v="1"/>
    <s v="43"/>
    <n v="43"/>
    <m/>
    <s v="   "/>
    <n v="9.0999999999999998E-2"/>
    <n v="0.26960000000000001"/>
    <n v="2.5000000000000001E-2"/>
    <s v="Middle Occupational Therapist"/>
  </r>
  <r>
    <x v="83"/>
    <s v="Personnel"/>
    <s v="H "/>
    <x v="1"/>
    <x v="23"/>
    <s v="PSES High Prog21Duty46 S275"/>
    <x v="1"/>
    <s v="46"/>
    <n v="46"/>
    <m/>
    <s v="   "/>
    <n v="0.7"/>
    <n v="0.26960000000000001"/>
    <n v="0.189"/>
    <s v="High Psychologist"/>
  </r>
  <r>
    <x v="83"/>
    <s v="Personnel"/>
    <s v="H "/>
    <x v="1"/>
    <x v="65"/>
    <s v="PSES High Prog01Duty46 S275"/>
    <x v="0"/>
    <s v="46"/>
    <n v="46"/>
    <m/>
    <s v="   "/>
    <n v="0.3"/>
    <n v="0.26960000000000001"/>
    <n v="0"/>
    <s v="High Psychologist"/>
  </r>
  <r>
    <x v="83"/>
    <s v="Personnel"/>
    <s v="E "/>
    <x v="0"/>
    <x v="27"/>
    <s v="PSES Elem Prog01Duty47 S275"/>
    <x v="0"/>
    <s v="47"/>
    <n v="47"/>
    <m/>
    <s v="   "/>
    <n v="1"/>
    <n v="0.26960000000000001"/>
    <n v="0"/>
    <s v="Elementary Nurse"/>
  </r>
  <r>
    <x v="84"/>
    <s v="Personnel"/>
    <s v="E "/>
    <x v="0"/>
    <x v="15"/>
    <s v="PSES Elem Prog01Duty42 S275"/>
    <x v="0"/>
    <s v="42"/>
    <n v="42"/>
    <m/>
    <s v="   "/>
    <n v="1"/>
    <n v="0.20430000000000001"/>
    <n v="0"/>
    <s v="Elementary Counselor"/>
  </r>
  <r>
    <x v="84"/>
    <s v="Personnel"/>
    <s v="H "/>
    <x v="1"/>
    <x v="16"/>
    <s v="PSES High Prog01Duty42 S275"/>
    <x v="0"/>
    <s v="42"/>
    <n v="42"/>
    <m/>
    <s v="   "/>
    <n v="1.6"/>
    <n v="0.20430000000000001"/>
    <n v="0"/>
    <s v="High Counselor"/>
  </r>
  <r>
    <x v="84"/>
    <s v="Personnel"/>
    <s v="M "/>
    <x v="2"/>
    <x v="17"/>
    <s v="PSES Mid Prog01Duty42 S275"/>
    <x v="0"/>
    <s v="42"/>
    <n v="42"/>
    <m/>
    <s v="   "/>
    <n v="0.75"/>
    <n v="0.20430000000000001"/>
    <n v="0"/>
    <s v="Middle Counselor"/>
  </r>
  <r>
    <x v="84"/>
    <s v="Personnel"/>
    <s v="E "/>
    <x v="0"/>
    <x v="18"/>
    <s v="PSES Elem Prog21Duty43 S275"/>
    <x v="1"/>
    <s v="43"/>
    <n v="43"/>
    <m/>
    <s v="   "/>
    <n v="0.48"/>
    <n v="0.20430000000000001"/>
    <n v="9.8000000000000004E-2"/>
    <s v="Elementary Occupational Therapist"/>
  </r>
  <r>
    <x v="84"/>
    <s v="Personnel"/>
    <s v="H "/>
    <x v="1"/>
    <x v="19"/>
    <s v="PSES High Prog21Duty43 S275"/>
    <x v="1"/>
    <s v="43"/>
    <n v="43"/>
    <m/>
    <s v="   "/>
    <n v="0.08"/>
    <n v="0.20430000000000001"/>
    <n v="1.6E-2"/>
    <s v="High Occupational Therapist"/>
  </r>
  <r>
    <x v="84"/>
    <s v="Personnel"/>
    <s v="M "/>
    <x v="2"/>
    <x v="31"/>
    <s v="PSES Mid Prog21Duty43 S275"/>
    <x v="1"/>
    <s v="43"/>
    <n v="43"/>
    <m/>
    <s v="   "/>
    <n v="0.24"/>
    <n v="0.20430000000000001"/>
    <n v="4.9000000000000002E-2"/>
    <s v="Middle Occupational Therapist"/>
  </r>
  <r>
    <x v="84"/>
    <s v="Personnel"/>
    <s v="E "/>
    <x v="0"/>
    <x v="20"/>
    <s v="PSES Elem Prog21Duty45 S275"/>
    <x v="1"/>
    <s v="45"/>
    <n v="45"/>
    <m/>
    <s v="   "/>
    <n v="1"/>
    <n v="0.20430000000000001"/>
    <n v="0.20399999999999999"/>
    <s v="Elementary Speech, Language Pathway/_x000a_Audio"/>
  </r>
  <r>
    <x v="84"/>
    <s v="Personnel"/>
    <s v="H "/>
    <x v="1"/>
    <x v="21"/>
    <s v="PSES High Prog21Duty45 S275"/>
    <x v="1"/>
    <s v="45"/>
    <n v="45"/>
    <m/>
    <s v="   "/>
    <n v="0.5"/>
    <n v="0.20430000000000001"/>
    <n v="0.10199999999999999"/>
    <s v="High Speech, Language Pathway/_x000a_Audio"/>
  </r>
  <r>
    <x v="84"/>
    <s v="Personnel"/>
    <s v="M "/>
    <x v="2"/>
    <x v="28"/>
    <s v="PSES Mid Prog21Duty45 S275"/>
    <x v="1"/>
    <s v="45"/>
    <n v="45"/>
    <m/>
    <s v="   "/>
    <n v="0.5"/>
    <n v="0.20430000000000001"/>
    <n v="0.10199999999999999"/>
    <s v="Middle Speech, Language Pathway/_x000a_Audio"/>
  </r>
  <r>
    <x v="84"/>
    <s v="Personnel"/>
    <s v="E "/>
    <x v="0"/>
    <x v="22"/>
    <s v="PSES Elem Prog21Duty46 S275"/>
    <x v="1"/>
    <s v="46"/>
    <n v="46"/>
    <m/>
    <s v="   "/>
    <n v="0.8"/>
    <n v="0.20430000000000001"/>
    <n v="0.16300000000000001"/>
    <s v="Elementary Psychologist"/>
  </r>
  <r>
    <x v="84"/>
    <s v="Personnel"/>
    <s v="H "/>
    <x v="1"/>
    <x v="23"/>
    <s v="PSES High Prog21Duty46 S275"/>
    <x v="1"/>
    <s v="46"/>
    <n v="46"/>
    <m/>
    <s v="   "/>
    <n v="0.3"/>
    <n v="0.20430000000000001"/>
    <n v="6.0999999999999999E-2"/>
    <s v="High Psychologist"/>
  </r>
  <r>
    <x v="84"/>
    <s v="Personnel"/>
    <s v="M "/>
    <x v="2"/>
    <x v="24"/>
    <s v="PSES Mid Prog21Duty46 S275"/>
    <x v="1"/>
    <s v="46"/>
    <n v="46"/>
    <m/>
    <s v="   "/>
    <n v="0.3"/>
    <n v="0.20430000000000001"/>
    <n v="6.0999999999999999E-2"/>
    <s v="Middle Psychologist"/>
  </r>
  <r>
    <x v="85"/>
    <s v="Personnel"/>
    <s v="E "/>
    <x v="0"/>
    <x v="0"/>
    <s v="PSES Elem Prog01Duty96 S275"/>
    <x v="0"/>
    <s v="24"/>
    <n v="96"/>
    <n v="24"/>
    <s v="   "/>
    <n v="0.55000000000000004"/>
    <n v="0.22739999999999999"/>
    <n v="0"/>
    <s v="Elementary Family Engagement Coordinator"/>
  </r>
  <r>
    <x v="85"/>
    <s v="Personnel"/>
    <s v="H "/>
    <x v="1"/>
    <x v="1"/>
    <s v="PSES High Prog01Duty96 S275"/>
    <x v="0"/>
    <s v="24"/>
    <n v="96"/>
    <n v="24"/>
    <s v="   "/>
    <n v="1.095"/>
    <n v="0.22739999999999999"/>
    <n v="0"/>
    <s v="High Family Engagement Coordinator"/>
  </r>
  <r>
    <x v="85"/>
    <s v="Personnel"/>
    <s v="M "/>
    <x v="2"/>
    <x v="2"/>
    <s v="PSES Mid Prog01Duty96 S275"/>
    <x v="0"/>
    <s v="24"/>
    <n v="96"/>
    <n v="24"/>
    <s v="   "/>
    <n v="0.14000000000000001"/>
    <n v="0.22739999999999999"/>
    <n v="0"/>
    <s v="Middle Family Engagement Coordinator"/>
  </r>
  <r>
    <x v="85"/>
    <s v="Personnel"/>
    <s v="E "/>
    <x v="0"/>
    <x v="71"/>
    <s v="PSES Elem Prog97Act25 S275"/>
    <x v="2"/>
    <s v="25"/>
    <m/>
    <n v="25"/>
    <s v="   "/>
    <n v="2.1219999999999999"/>
    <n v="0.22739999999999999"/>
    <n v="0"/>
    <s v="Elementary Pupil Management"/>
  </r>
  <r>
    <x v="85"/>
    <s v="Personnel"/>
    <s v="E "/>
    <x v="0"/>
    <x v="3"/>
    <s v="PSES Elem Prog01Act25 S275"/>
    <x v="0"/>
    <s v="25"/>
    <m/>
    <n v="25"/>
    <s v="   "/>
    <n v="0.43"/>
    <n v="0.22739999999999999"/>
    <n v="0"/>
    <s v="Elementary Pupil Management"/>
  </r>
  <r>
    <x v="85"/>
    <s v="Personnel"/>
    <s v="H "/>
    <x v="1"/>
    <x v="53"/>
    <s v="PSES High Prog97Act25 S275"/>
    <x v="2"/>
    <s v="25"/>
    <m/>
    <n v="25"/>
    <s v="   "/>
    <n v="1.1970000000000001"/>
    <n v="0.22739999999999999"/>
    <n v="0"/>
    <s v="High Pupil Management"/>
  </r>
  <r>
    <x v="85"/>
    <s v="Personnel"/>
    <s v="H "/>
    <x v="1"/>
    <x v="5"/>
    <s v="PSES High Prog01Act25 S275"/>
    <x v="0"/>
    <s v="25"/>
    <m/>
    <n v="25"/>
    <s v="   "/>
    <n v="0.24399999999999999"/>
    <n v="0.22739999999999999"/>
    <n v="0"/>
    <s v="High Pupil Management"/>
  </r>
  <r>
    <x v="85"/>
    <s v="Personnel"/>
    <s v="M "/>
    <x v="2"/>
    <x v="72"/>
    <s v="PSES Mid Prog97Act25 S275"/>
    <x v="2"/>
    <s v="25"/>
    <m/>
    <n v="25"/>
    <s v="   "/>
    <n v="0.54"/>
    <n v="0.22739999999999999"/>
    <n v="0"/>
    <s v="Middle Pupil Management"/>
  </r>
  <r>
    <x v="85"/>
    <s v="Personnel"/>
    <s v="M "/>
    <x v="2"/>
    <x v="6"/>
    <s v="PSES Mid Prog01Act25 S275"/>
    <x v="0"/>
    <s v="25"/>
    <m/>
    <n v="25"/>
    <s v="   "/>
    <n v="0.11"/>
    <n v="0.22739999999999999"/>
    <n v="0"/>
    <s v="Middle Pupil Management"/>
  </r>
  <r>
    <x v="85"/>
    <s v="Personnel"/>
    <s v="H "/>
    <x v="1"/>
    <x v="29"/>
    <s v="PSES High Prog21Act26 S275"/>
    <x v="1"/>
    <s v="26"/>
    <m/>
    <n v="26"/>
    <s v="   "/>
    <n v="10.574"/>
    <n v="0.22739999999999999"/>
    <n v="2.4049999999999998"/>
    <s v="High Health/_x000a_Related Services"/>
  </r>
  <r>
    <x v="85"/>
    <s v="Personnel"/>
    <s v="H "/>
    <x v="1"/>
    <x v="9"/>
    <s v="PSES High Prog01Act26 S275"/>
    <x v="0"/>
    <s v="26"/>
    <m/>
    <n v="26"/>
    <s v="   "/>
    <n v="1.57"/>
    <n v="0.22739999999999999"/>
    <n v="0"/>
    <s v="High Health/_x000a_Related Services"/>
  </r>
  <r>
    <x v="85"/>
    <s v="Personnel"/>
    <s v="H "/>
    <x v="1"/>
    <x v="54"/>
    <s v="PSES High Prog01Act35 S275"/>
    <x v="0"/>
    <s v="35"/>
    <m/>
    <n v="35"/>
    <s v="   "/>
    <n v="34.188000000000002"/>
    <n v="0.22739999999999999"/>
    <n v="0"/>
    <s v="High Pupil Safety"/>
  </r>
  <r>
    <x v="85"/>
    <s v="Personnel"/>
    <s v="E "/>
    <x v="0"/>
    <x v="15"/>
    <s v="PSES Elem Prog01Duty42 S275"/>
    <x v="0"/>
    <s v="42"/>
    <n v="42"/>
    <m/>
    <s v="   "/>
    <n v="36.036999999999999"/>
    <n v="0.22739999999999999"/>
    <n v="0"/>
    <s v="Elementary Counselor"/>
  </r>
  <r>
    <x v="85"/>
    <s v="Personnel"/>
    <s v="H "/>
    <x v="1"/>
    <x v="16"/>
    <s v="PSES High Prog01Duty42 S275"/>
    <x v="0"/>
    <s v="42"/>
    <n v="42"/>
    <m/>
    <s v="   "/>
    <n v="36.127000000000002"/>
    <n v="0.22739999999999999"/>
    <n v="0"/>
    <s v="High Counselor"/>
  </r>
  <r>
    <x v="85"/>
    <s v="Personnel"/>
    <s v="M "/>
    <x v="2"/>
    <x v="17"/>
    <s v="PSES Mid Prog01Duty42 S275"/>
    <x v="0"/>
    <s v="42"/>
    <n v="42"/>
    <m/>
    <s v="   "/>
    <n v="19.341000000000001"/>
    <n v="0.22739999999999999"/>
    <n v="0"/>
    <s v="Middle Counselor"/>
  </r>
  <r>
    <x v="85"/>
    <s v="Personnel"/>
    <s v="E "/>
    <x v="0"/>
    <x v="18"/>
    <s v="PSES Elem Prog21Duty43 S275"/>
    <x v="1"/>
    <s v="43"/>
    <n v="43"/>
    <m/>
    <s v="   "/>
    <n v="32.9"/>
    <n v="0.22739999999999999"/>
    <n v="7.4809999999999999"/>
    <s v="Elementary Occupational Therapist"/>
  </r>
  <r>
    <x v="85"/>
    <s v="Personnel"/>
    <s v="E "/>
    <x v="0"/>
    <x v="69"/>
    <s v="PSES Elem Prog01Duty43 S275"/>
    <x v="0"/>
    <s v="43"/>
    <n v="43"/>
    <m/>
    <s v="   "/>
    <n v="1.1000000000000001"/>
    <n v="0.22739999999999999"/>
    <n v="0"/>
    <s v="Elementary Occupational Therapist"/>
  </r>
  <r>
    <x v="85"/>
    <s v="Personnel"/>
    <s v="H "/>
    <x v="1"/>
    <x v="19"/>
    <s v="PSES High Prog21Duty43 S275"/>
    <x v="1"/>
    <s v="43"/>
    <n v="43"/>
    <m/>
    <s v="   "/>
    <n v="18.88"/>
    <n v="0.22739999999999999"/>
    <n v="4.2930000000000001"/>
    <s v="High Occupational Therapist"/>
  </r>
  <r>
    <x v="85"/>
    <s v="Personnel"/>
    <s v="H "/>
    <x v="1"/>
    <x v="73"/>
    <s v="PSES High Prog01Duty43 S275"/>
    <x v="0"/>
    <s v="43"/>
    <n v="43"/>
    <m/>
    <s v="   "/>
    <n v="0.62"/>
    <n v="0.22739999999999999"/>
    <n v="0"/>
    <s v="High Occupational Therapist"/>
  </r>
  <r>
    <x v="85"/>
    <s v="Personnel"/>
    <s v="M "/>
    <x v="2"/>
    <x v="31"/>
    <s v="PSES Mid Prog21Duty43 S275"/>
    <x v="1"/>
    <s v="43"/>
    <n v="43"/>
    <m/>
    <s v="   "/>
    <n v="8.1199999999999992"/>
    <n v="0.22739999999999999"/>
    <n v="1.8460000000000001"/>
    <s v="Middle Occupational Therapist"/>
  </r>
  <r>
    <x v="85"/>
    <s v="Personnel"/>
    <s v="M "/>
    <x v="2"/>
    <x v="74"/>
    <s v="PSES Mid Prog01Duty43 S275"/>
    <x v="0"/>
    <s v="43"/>
    <n v="43"/>
    <m/>
    <s v="   "/>
    <n v="0.28000000000000003"/>
    <n v="0.22739999999999999"/>
    <n v="0"/>
    <s v="Middle Occupational Therapist"/>
  </r>
  <r>
    <x v="85"/>
    <s v="Personnel"/>
    <s v="E "/>
    <x v="0"/>
    <x v="42"/>
    <s v="PSES Elem Prog01Duty44 S275"/>
    <x v="0"/>
    <s v="44"/>
    <n v="44"/>
    <m/>
    <s v="   "/>
    <n v="25.425000000000001"/>
    <n v="0.22739999999999999"/>
    <n v="0"/>
    <s v="Elementary Social Worker"/>
  </r>
  <r>
    <x v="85"/>
    <s v="Personnel"/>
    <s v="H "/>
    <x v="1"/>
    <x v="43"/>
    <s v="PSES High Prog21Duty44 S275"/>
    <x v="1"/>
    <s v="44"/>
    <n v="44"/>
    <m/>
    <s v="   "/>
    <n v="0.5"/>
    <n v="0.22739999999999999"/>
    <n v="0.114"/>
    <s v="High Social Worker"/>
  </r>
  <r>
    <x v="85"/>
    <s v="Personnel"/>
    <s v="H "/>
    <x v="1"/>
    <x v="44"/>
    <s v="PSES High Prog01Duty44 S275"/>
    <x v="0"/>
    <s v="44"/>
    <n v="44"/>
    <m/>
    <s v="   "/>
    <n v="6.1"/>
    <n v="0.22739999999999999"/>
    <n v="0"/>
    <s v="High Social Worker"/>
  </r>
  <r>
    <x v="85"/>
    <s v="Personnel"/>
    <s v="M "/>
    <x v="2"/>
    <x v="46"/>
    <s v="PSES Mid Prog01Duty44 S275"/>
    <x v="0"/>
    <s v="44"/>
    <n v="44"/>
    <m/>
    <s v="   "/>
    <n v="6.1230000000000002"/>
    <n v="0.22739999999999999"/>
    <n v="0"/>
    <s v="Middle Social Worker"/>
  </r>
  <r>
    <x v="85"/>
    <s v="Personnel"/>
    <s v="E "/>
    <x v="0"/>
    <x v="20"/>
    <s v="PSES Elem Prog21Duty45 S275"/>
    <x v="1"/>
    <s v="45"/>
    <n v="45"/>
    <m/>
    <s v="   "/>
    <n v="58.284999999999997"/>
    <n v="0.22739999999999999"/>
    <n v="13.254"/>
    <s v="Elementary Speech, Language Pathway/_x000a_Audio"/>
  </r>
  <r>
    <x v="85"/>
    <s v="Personnel"/>
    <s v="E "/>
    <x v="0"/>
    <x v="47"/>
    <s v="PSES Elem Prog01Duty45 S275"/>
    <x v="0"/>
    <s v="45"/>
    <n v="45"/>
    <m/>
    <s v="   "/>
    <n v="0.08"/>
    <n v="0.22739999999999999"/>
    <n v="0"/>
    <s v="Elementary Speech, Language Pathway/_x000a_Audio"/>
  </r>
  <r>
    <x v="85"/>
    <s v="Personnel"/>
    <s v="H "/>
    <x v="1"/>
    <x v="21"/>
    <s v="PSES High Prog21Duty45 S275"/>
    <x v="1"/>
    <s v="45"/>
    <n v="45"/>
    <m/>
    <s v="   "/>
    <n v="32.023000000000003"/>
    <n v="0.22739999999999999"/>
    <n v="7.282"/>
    <s v="High Speech, Language Pathway/_x000a_Audio"/>
  </r>
  <r>
    <x v="85"/>
    <s v="Personnel"/>
    <s v="H "/>
    <x v="1"/>
    <x v="51"/>
    <s v="PSES High Prog01Duty45 S275"/>
    <x v="0"/>
    <s v="45"/>
    <n v="45"/>
    <m/>
    <s v="   "/>
    <n v="0.31"/>
    <n v="0.22739999999999999"/>
    <n v="0"/>
    <s v="High Speech, Language Pathway/_x000a_Audio"/>
  </r>
  <r>
    <x v="85"/>
    <s v="Personnel"/>
    <s v="M "/>
    <x v="2"/>
    <x v="28"/>
    <s v="PSES Mid Prog21Duty45 S275"/>
    <x v="1"/>
    <s v="45"/>
    <n v="45"/>
    <m/>
    <s v="   "/>
    <n v="14.462"/>
    <n v="0.22739999999999999"/>
    <n v="3.2890000000000001"/>
    <s v="Middle Speech, Language Pathway/_x000a_Audio"/>
  </r>
  <r>
    <x v="85"/>
    <s v="Personnel"/>
    <s v="M "/>
    <x v="2"/>
    <x v="52"/>
    <s v="PSES Mid Prog01Duty45 S275"/>
    <x v="0"/>
    <s v="45"/>
    <n v="45"/>
    <m/>
    <s v="   "/>
    <n v="0.14000000000000001"/>
    <n v="0.22739999999999999"/>
    <n v="0"/>
    <s v="Middle Speech, Language Pathway/_x000a_Audio"/>
  </r>
  <r>
    <x v="85"/>
    <s v="Personnel"/>
    <s v="E "/>
    <x v="0"/>
    <x v="22"/>
    <s v="PSES Elem Prog21Duty46 S275"/>
    <x v="1"/>
    <s v="46"/>
    <n v="46"/>
    <m/>
    <s v="   "/>
    <n v="28.774999999999999"/>
    <n v="0.22739999999999999"/>
    <n v="6.5430000000000001"/>
    <s v="Elementary Psychologist"/>
  </r>
  <r>
    <x v="85"/>
    <s v="Personnel"/>
    <s v="E "/>
    <x v="0"/>
    <x v="48"/>
    <s v="PSES Elem Prog01Duty46 S275"/>
    <x v="0"/>
    <s v="46"/>
    <n v="46"/>
    <m/>
    <s v="   "/>
    <n v="0.55000000000000004"/>
    <n v="0.22739999999999999"/>
    <n v="0"/>
    <s v="Elementary Psychologist"/>
  </r>
  <r>
    <x v="85"/>
    <s v="Personnel"/>
    <s v="H "/>
    <x v="1"/>
    <x v="23"/>
    <s v="PSES High Prog21Duty46 S275"/>
    <x v="1"/>
    <s v="46"/>
    <n v="46"/>
    <m/>
    <s v="   "/>
    <n v="15.654999999999999"/>
    <n v="0.22739999999999999"/>
    <n v="3.56"/>
    <s v="High Psychologist"/>
  </r>
  <r>
    <x v="85"/>
    <s v="Personnel"/>
    <s v="H "/>
    <x v="1"/>
    <x v="65"/>
    <s v="PSES High Prog01Duty46 S275"/>
    <x v="0"/>
    <s v="46"/>
    <n v="46"/>
    <m/>
    <s v="   "/>
    <n v="0.31"/>
    <n v="0.22739999999999999"/>
    <n v="0"/>
    <s v="High Psychologist"/>
  </r>
  <r>
    <x v="85"/>
    <s v="Personnel"/>
    <s v="M "/>
    <x v="2"/>
    <x v="24"/>
    <s v="PSES Mid Prog21Duty46 S275"/>
    <x v="1"/>
    <s v="46"/>
    <n v="46"/>
    <m/>
    <s v="   "/>
    <n v="7.07"/>
    <n v="0.22739999999999999"/>
    <n v="1.6080000000000001"/>
    <s v="Middle Psychologist"/>
  </r>
  <r>
    <x v="85"/>
    <s v="Personnel"/>
    <s v="M "/>
    <x v="2"/>
    <x v="49"/>
    <s v="PSES Mid Prog01Duty46 S275"/>
    <x v="0"/>
    <s v="46"/>
    <n v="46"/>
    <m/>
    <s v="   "/>
    <n v="0.14000000000000001"/>
    <n v="0.22739999999999999"/>
    <n v="0"/>
    <s v="Middle Psychologist"/>
  </r>
  <r>
    <x v="85"/>
    <s v="Personnel"/>
    <s v="E "/>
    <x v="0"/>
    <x v="32"/>
    <s v="PSES Elem Prog21Duty47 S275"/>
    <x v="1"/>
    <s v="47"/>
    <n v="47"/>
    <m/>
    <s v="   "/>
    <n v="1.9570000000000001"/>
    <n v="0.22739999999999999"/>
    <n v="0.44500000000000001"/>
    <s v="Elementary Nurse"/>
  </r>
  <r>
    <x v="85"/>
    <s v="Personnel"/>
    <s v="E "/>
    <x v="0"/>
    <x v="27"/>
    <s v="PSES Elem Prog01Duty47 S275"/>
    <x v="0"/>
    <s v="47"/>
    <n v="47"/>
    <m/>
    <s v="   "/>
    <n v="30.026"/>
    <n v="0.22739999999999999"/>
    <n v="0"/>
    <s v="Elementary Nurse"/>
  </r>
  <r>
    <x v="85"/>
    <s v="Personnel"/>
    <s v="H "/>
    <x v="1"/>
    <x v="61"/>
    <s v="PSES High Prog21Duty47 S275"/>
    <x v="1"/>
    <s v="47"/>
    <n v="47"/>
    <m/>
    <s v="   "/>
    <n v="1.2090000000000001"/>
    <n v="0.22739999999999999"/>
    <n v="0.27500000000000002"/>
    <s v="High Nurse"/>
  </r>
  <r>
    <x v="85"/>
    <s v="Personnel"/>
    <s v="H "/>
    <x v="1"/>
    <x v="25"/>
    <s v="PSES High Prog01Duty47 S275"/>
    <x v="0"/>
    <s v="47"/>
    <n v="47"/>
    <m/>
    <s v="   "/>
    <n v="16.556000000000001"/>
    <n v="0.22739999999999999"/>
    <n v="0"/>
    <s v="High Nurse"/>
  </r>
  <r>
    <x v="85"/>
    <s v="Personnel"/>
    <s v="M "/>
    <x v="2"/>
    <x v="33"/>
    <s v="PSES Mid Prog21Duty47 S275"/>
    <x v="1"/>
    <s v="47"/>
    <n v="47"/>
    <m/>
    <s v="   "/>
    <n v="0.54600000000000004"/>
    <n v="0.22739999999999999"/>
    <n v="0.124"/>
    <s v="Middle Nurse"/>
  </r>
  <r>
    <x v="85"/>
    <s v="Personnel"/>
    <s v="M "/>
    <x v="2"/>
    <x v="34"/>
    <s v="PSES Mid Prog01Duty47 S275"/>
    <x v="0"/>
    <s v="47"/>
    <n v="47"/>
    <m/>
    <s v="   "/>
    <n v="7.4740000000000002"/>
    <n v="0.22739999999999999"/>
    <n v="0"/>
    <s v="Middle Nurse"/>
  </r>
  <r>
    <x v="85"/>
    <s v="Personnel"/>
    <s v="E "/>
    <x v="0"/>
    <x v="35"/>
    <s v="PSES Elem Prog21Duty48 S275"/>
    <x v="1"/>
    <s v="48"/>
    <n v="48"/>
    <m/>
    <s v="   "/>
    <n v="6.6"/>
    <n v="0.22739999999999999"/>
    <n v="1.5009999999999999"/>
    <s v="Elementary Physical Therapist"/>
  </r>
  <r>
    <x v="85"/>
    <s v="Personnel"/>
    <s v="H "/>
    <x v="1"/>
    <x v="36"/>
    <s v="PSES High Prog21Duty48 S275"/>
    <x v="1"/>
    <s v="48"/>
    <n v="48"/>
    <m/>
    <s v="   "/>
    <n v="3.72"/>
    <n v="0.22739999999999999"/>
    <n v="0.84599999999999997"/>
    <s v="High Physical Therapist"/>
  </r>
  <r>
    <x v="85"/>
    <s v="Personnel"/>
    <s v="M "/>
    <x v="2"/>
    <x v="37"/>
    <s v="PSES Mid Prog21Duty48 S275"/>
    <x v="1"/>
    <s v="48"/>
    <n v="48"/>
    <m/>
    <s v="   "/>
    <n v="1.68"/>
    <n v="0.22739999999999999"/>
    <n v="0.38200000000000001"/>
    <s v="Middle Physical Therapist"/>
  </r>
  <r>
    <x v="86"/>
    <s v="Personnel"/>
    <s v="H "/>
    <x v="1"/>
    <x v="1"/>
    <s v="PSES High Prog01Duty96 S275"/>
    <x v="0"/>
    <s v="24"/>
    <n v="96"/>
    <n v="24"/>
    <s v="   "/>
    <n v="4"/>
    <n v="0.29709999999999998"/>
    <n v="0"/>
    <s v="High Family Engagement Coordinator"/>
  </r>
  <r>
    <x v="86"/>
    <s v="Personnel"/>
    <s v="H "/>
    <x v="1"/>
    <x v="53"/>
    <s v="PSES High Prog97Act25 S275"/>
    <x v="2"/>
    <s v="25"/>
    <m/>
    <n v="25"/>
    <s v="   "/>
    <n v="1"/>
    <n v="0.29709999999999998"/>
    <n v="0"/>
    <s v="High Pupil Management"/>
  </r>
  <r>
    <x v="86"/>
    <s v="Personnel"/>
    <s v="H "/>
    <x v="1"/>
    <x v="5"/>
    <s v="PSES High Prog01Act25 S275"/>
    <x v="0"/>
    <s v="25"/>
    <m/>
    <n v="25"/>
    <s v="   "/>
    <n v="39.029000000000003"/>
    <n v="0.29709999999999998"/>
    <n v="0"/>
    <s v="High Pupil Management"/>
  </r>
  <r>
    <x v="86"/>
    <s v="Personnel"/>
    <s v="H "/>
    <x v="1"/>
    <x v="29"/>
    <s v="PSES High Prog21Act26 S275"/>
    <x v="1"/>
    <s v="26"/>
    <m/>
    <n v="26"/>
    <s v="   "/>
    <n v="5.3159999999999998"/>
    <n v="0.29709999999999998"/>
    <n v="1.579"/>
    <s v="High Health/_x000a_Related Services"/>
  </r>
  <r>
    <x v="86"/>
    <s v="Personnel"/>
    <s v="H "/>
    <x v="1"/>
    <x v="9"/>
    <s v="PSES High Prog01Act26 S275"/>
    <x v="0"/>
    <s v="26"/>
    <m/>
    <n v="26"/>
    <s v="   "/>
    <n v="15.58"/>
    <n v="0.29709999999999998"/>
    <n v="0"/>
    <s v="High Health/_x000a_Related Services"/>
  </r>
  <r>
    <x v="86"/>
    <s v="Personnel"/>
    <s v="H "/>
    <x v="1"/>
    <x v="12"/>
    <s v="PSES High Prog97Act35 S275"/>
    <x v="2"/>
    <s v="35"/>
    <m/>
    <n v="35"/>
    <s v="   "/>
    <n v="11.407"/>
    <n v="0.29709999999999998"/>
    <n v="0"/>
    <s v="High Pupil Safety"/>
  </r>
  <r>
    <x v="86"/>
    <s v="Personnel"/>
    <s v="E "/>
    <x v="0"/>
    <x v="15"/>
    <s v="PSES Elem Prog01Duty42 S275"/>
    <x v="0"/>
    <s v="42"/>
    <n v="42"/>
    <m/>
    <s v="   "/>
    <n v="20.803999999999998"/>
    <n v="0.29709999999999998"/>
    <n v="0"/>
    <s v="Elementary Counselor"/>
  </r>
  <r>
    <x v="86"/>
    <s v="Personnel"/>
    <s v="H "/>
    <x v="1"/>
    <x v="16"/>
    <s v="PSES High Prog01Duty42 S275"/>
    <x v="0"/>
    <s v="42"/>
    <n v="42"/>
    <m/>
    <s v="   "/>
    <n v="10.34"/>
    <n v="0.29709999999999998"/>
    <n v="0"/>
    <s v="High Counselor"/>
  </r>
  <r>
    <x v="86"/>
    <s v="Personnel"/>
    <s v="M "/>
    <x v="2"/>
    <x v="17"/>
    <s v="PSES Mid Prog01Duty42 S275"/>
    <x v="0"/>
    <s v="42"/>
    <n v="42"/>
    <m/>
    <s v="   "/>
    <n v="4.9960000000000004"/>
    <n v="0.29709999999999998"/>
    <n v="0"/>
    <s v="Middle Counselor"/>
  </r>
  <r>
    <x v="86"/>
    <s v="Personnel"/>
    <s v="E "/>
    <x v="0"/>
    <x v="18"/>
    <s v="PSES Elem Prog21Duty43 S275"/>
    <x v="1"/>
    <s v="43"/>
    <n v="43"/>
    <m/>
    <s v="   "/>
    <n v="3.2280000000000002"/>
    <n v="0.29709999999999998"/>
    <n v="0.95899999999999996"/>
    <s v="Elementary Occupational Therapist"/>
  </r>
  <r>
    <x v="86"/>
    <s v="Personnel"/>
    <s v="H "/>
    <x v="1"/>
    <x v="19"/>
    <s v="PSES High Prog21Duty43 S275"/>
    <x v="1"/>
    <s v="43"/>
    <n v="43"/>
    <m/>
    <s v="   "/>
    <n v="1.8480000000000001"/>
    <n v="0.29709999999999998"/>
    <n v="0.54900000000000004"/>
    <s v="High Occupational Therapist"/>
  </r>
  <r>
    <x v="86"/>
    <s v="Personnel"/>
    <s v="M "/>
    <x v="2"/>
    <x v="31"/>
    <s v="PSES Mid Prog21Duty43 S275"/>
    <x v="1"/>
    <s v="43"/>
    <n v="43"/>
    <m/>
    <s v="   "/>
    <n v="0.92400000000000004"/>
    <n v="0.29709999999999998"/>
    <n v="0.27500000000000002"/>
    <s v="Middle Occupational Therapist"/>
  </r>
  <r>
    <x v="86"/>
    <s v="Personnel"/>
    <s v="E "/>
    <x v="0"/>
    <x v="42"/>
    <s v="PSES Elem Prog01Duty44 S275"/>
    <x v="0"/>
    <s v="44"/>
    <n v="44"/>
    <m/>
    <s v="   "/>
    <n v="4.33"/>
    <n v="0.29709999999999998"/>
    <n v="0"/>
    <s v="Elementary Social Worker"/>
  </r>
  <r>
    <x v="86"/>
    <s v="Personnel"/>
    <s v="H "/>
    <x v="1"/>
    <x v="44"/>
    <s v="PSES High Prog01Duty44 S275"/>
    <x v="0"/>
    <s v="44"/>
    <n v="44"/>
    <m/>
    <s v="   "/>
    <n v="0.34"/>
    <n v="0.29709999999999998"/>
    <n v="0"/>
    <s v="High Social Worker"/>
  </r>
  <r>
    <x v="86"/>
    <s v="Personnel"/>
    <s v="M "/>
    <x v="2"/>
    <x v="46"/>
    <s v="PSES Mid Prog01Duty44 S275"/>
    <x v="0"/>
    <s v="44"/>
    <n v="44"/>
    <m/>
    <s v="   "/>
    <n v="0.67"/>
    <n v="0.29709999999999998"/>
    <n v="0"/>
    <s v="Middle Social Worker"/>
  </r>
  <r>
    <x v="86"/>
    <s v="Personnel"/>
    <s v="E "/>
    <x v="0"/>
    <x v="20"/>
    <s v="PSES Elem Prog21Duty45 S275"/>
    <x v="1"/>
    <s v="45"/>
    <n v="45"/>
    <m/>
    <s v="   "/>
    <n v="20.288"/>
    <n v="0.29709999999999998"/>
    <n v="6.0279999999999996"/>
    <s v="Elementary Speech, Language Pathway/_x000a_Audio"/>
  </r>
  <r>
    <x v="86"/>
    <s v="Personnel"/>
    <s v="H "/>
    <x v="1"/>
    <x v="21"/>
    <s v="PSES High Prog21Duty45 S275"/>
    <x v="1"/>
    <s v="45"/>
    <n v="45"/>
    <m/>
    <s v="   "/>
    <n v="11.61"/>
    <n v="0.29709999999999998"/>
    <n v="3.4489999999999998"/>
    <s v="High Speech, Language Pathway/_x000a_Audio"/>
  </r>
  <r>
    <x v="86"/>
    <s v="Personnel"/>
    <s v="M "/>
    <x v="2"/>
    <x v="28"/>
    <s v="PSES Mid Prog21Duty45 S275"/>
    <x v="1"/>
    <s v="45"/>
    <n v="45"/>
    <m/>
    <s v="   "/>
    <n v="5.8049999999999997"/>
    <n v="0.29709999999999998"/>
    <n v="1.7250000000000001"/>
    <s v="Middle Speech, Language Pathway/_x000a_Audio"/>
  </r>
  <r>
    <x v="86"/>
    <s v="Personnel"/>
    <s v="E "/>
    <x v="0"/>
    <x v="22"/>
    <s v="PSES Elem Prog21Duty46 S275"/>
    <x v="1"/>
    <s v="46"/>
    <n v="46"/>
    <m/>
    <s v="   "/>
    <n v="16.140999999999998"/>
    <n v="0.29709999999999998"/>
    <n v="4.7949999999999999"/>
    <s v="Elementary Psychologist"/>
  </r>
  <r>
    <x v="86"/>
    <s v="Personnel"/>
    <s v="H "/>
    <x v="1"/>
    <x v="23"/>
    <s v="PSES High Prog21Duty46 S275"/>
    <x v="1"/>
    <s v="46"/>
    <n v="46"/>
    <m/>
    <s v="   "/>
    <n v="9.24"/>
    <n v="0.29709999999999998"/>
    <n v="2.7450000000000001"/>
    <s v="High Psychologist"/>
  </r>
  <r>
    <x v="86"/>
    <s v="Personnel"/>
    <s v="M "/>
    <x v="2"/>
    <x v="24"/>
    <s v="PSES Mid Prog21Duty46 S275"/>
    <x v="1"/>
    <s v="46"/>
    <n v="46"/>
    <m/>
    <s v="   "/>
    <n v="4.6189999999999998"/>
    <n v="0.29709999999999998"/>
    <n v="1.3720000000000001"/>
    <s v="Middle Psychologist"/>
  </r>
  <r>
    <x v="86"/>
    <s v="Personnel"/>
    <s v="E "/>
    <x v="0"/>
    <x v="27"/>
    <s v="PSES Elem Prog01Duty47 S275"/>
    <x v="0"/>
    <s v="47"/>
    <n v="47"/>
    <m/>
    <s v="   "/>
    <n v="9.42"/>
    <n v="0.29709999999999998"/>
    <n v="0"/>
    <s v="Elementary Nurse"/>
  </r>
  <r>
    <x v="86"/>
    <s v="Personnel"/>
    <s v="H "/>
    <x v="1"/>
    <x v="25"/>
    <s v="PSES High Prog01Duty47 S275"/>
    <x v="0"/>
    <s v="47"/>
    <n v="47"/>
    <m/>
    <s v="   "/>
    <n v="5.39"/>
    <n v="0.29709999999999998"/>
    <n v="0"/>
    <s v="High Nurse"/>
  </r>
  <r>
    <x v="86"/>
    <s v="Personnel"/>
    <s v="M "/>
    <x v="2"/>
    <x v="34"/>
    <s v="PSES Mid Prog01Duty47 S275"/>
    <x v="0"/>
    <s v="47"/>
    <n v="47"/>
    <m/>
    <s v="   "/>
    <n v="2.6949999999999998"/>
    <n v="0.29709999999999998"/>
    <n v="0"/>
    <s v="Middle Nurse"/>
  </r>
  <r>
    <x v="86"/>
    <s v="Personnel"/>
    <s v="E "/>
    <x v="0"/>
    <x v="35"/>
    <s v="PSES Elem Prog21Duty48 S275"/>
    <x v="1"/>
    <s v="48"/>
    <n v="48"/>
    <m/>
    <s v="   "/>
    <n v="2.69"/>
    <n v="0.29709999999999998"/>
    <n v="0.79900000000000004"/>
    <s v="Elementary Physical Therapist"/>
  </r>
  <r>
    <x v="86"/>
    <s v="Personnel"/>
    <s v="H "/>
    <x v="1"/>
    <x v="36"/>
    <s v="PSES High Prog21Duty48 S275"/>
    <x v="1"/>
    <s v="48"/>
    <n v="48"/>
    <m/>
    <s v="   "/>
    <n v="1.54"/>
    <n v="0.29709999999999998"/>
    <n v="0.45800000000000002"/>
    <s v="High Physical Therapist"/>
  </r>
  <r>
    <x v="86"/>
    <s v="Personnel"/>
    <s v="M "/>
    <x v="2"/>
    <x v="37"/>
    <s v="PSES Mid Prog21Duty48 S275"/>
    <x v="1"/>
    <s v="48"/>
    <n v="48"/>
    <m/>
    <s v="   "/>
    <n v="0.77"/>
    <n v="0.29709999999999998"/>
    <n v="0.22900000000000001"/>
    <s v="Middle Physical Therapist"/>
  </r>
  <r>
    <x v="86"/>
    <s v="Personnel"/>
    <s v="E "/>
    <x v="0"/>
    <x v="38"/>
    <s v="PSES Elem Prog21Duty64 S275"/>
    <x v="1"/>
    <s v="64"/>
    <n v="64"/>
    <m/>
    <s v="   "/>
    <n v="3.2280000000000002"/>
    <n v="0.29709999999999998"/>
    <n v="0.95899999999999996"/>
    <s v="Elementary Contractor ESA"/>
  </r>
  <r>
    <x v="86"/>
    <s v="Personnel"/>
    <s v="H "/>
    <x v="1"/>
    <x v="59"/>
    <s v="PSES High Prog21Duty64 S275"/>
    <x v="1"/>
    <s v="64"/>
    <n v="64"/>
    <m/>
    <s v="   "/>
    <n v="1.8480000000000001"/>
    <n v="0.29709999999999998"/>
    <n v="0.54900000000000004"/>
    <s v="High Contractor ESA"/>
  </r>
  <r>
    <x v="86"/>
    <s v="Personnel"/>
    <s v="M "/>
    <x v="2"/>
    <x v="60"/>
    <s v="PSES Mid Prog21Duty64 S275"/>
    <x v="1"/>
    <s v="64"/>
    <n v="64"/>
    <m/>
    <s v="   "/>
    <n v="0.92400000000000004"/>
    <n v="0.29709999999999998"/>
    <n v="0.27500000000000002"/>
    <s v="Middle Contractor ESA"/>
  </r>
  <r>
    <x v="87"/>
    <s v="Personnel"/>
    <s v="E "/>
    <x v="0"/>
    <x v="3"/>
    <s v="PSES Elem Prog01Act25 S275"/>
    <x v="0"/>
    <s v="25"/>
    <m/>
    <n v="25"/>
    <s v="   "/>
    <n v="1.6759999999999999"/>
    <n v="0.25290000000000001"/>
    <n v="0"/>
    <s v="Elementary Pupil Management"/>
  </r>
  <r>
    <x v="87"/>
    <s v="Personnel"/>
    <s v="H "/>
    <x v="1"/>
    <x v="5"/>
    <s v="PSES High Prog01Act25 S275"/>
    <x v="0"/>
    <s v="25"/>
    <m/>
    <n v="25"/>
    <s v="   "/>
    <n v="4.0000000000000001E-3"/>
    <n v="0.25290000000000001"/>
    <n v="0"/>
    <s v="High Pupil Management"/>
  </r>
  <r>
    <x v="87"/>
    <s v="Personnel"/>
    <s v="H "/>
    <x v="1"/>
    <x v="29"/>
    <s v="PSES High Prog21Act26 S275"/>
    <x v="1"/>
    <s v="26"/>
    <m/>
    <n v="26"/>
    <s v="   "/>
    <n v="1.214"/>
    <n v="0.25290000000000001"/>
    <n v="0.307"/>
    <s v="High Health/_x000a_Related Services"/>
  </r>
  <r>
    <x v="87"/>
    <s v="Personnel"/>
    <s v="H "/>
    <x v="1"/>
    <x v="9"/>
    <s v="PSES High Prog01Act26 S275"/>
    <x v="0"/>
    <s v="26"/>
    <m/>
    <n v="26"/>
    <s v="   "/>
    <n v="4.8419999999999996"/>
    <n v="0.25290000000000001"/>
    <n v="0"/>
    <s v="High Health/_x000a_Related Services"/>
  </r>
  <r>
    <x v="87"/>
    <s v="Personnel"/>
    <s v="H "/>
    <x v="1"/>
    <x v="54"/>
    <s v="PSES High Prog01Act35 S275"/>
    <x v="0"/>
    <s v="35"/>
    <m/>
    <n v="35"/>
    <s v="   "/>
    <n v="0.78100000000000003"/>
    <n v="0.25290000000000001"/>
    <n v="0"/>
    <s v="High Pupil Safety"/>
  </r>
  <r>
    <x v="87"/>
    <s v="Personnel"/>
    <s v="E "/>
    <x v="0"/>
    <x v="15"/>
    <s v="PSES Elem Prog01Duty42 S275"/>
    <x v="0"/>
    <s v="42"/>
    <n v="42"/>
    <m/>
    <s v="   "/>
    <n v="5.6820000000000004"/>
    <n v="0.25290000000000001"/>
    <n v="0"/>
    <s v="Elementary Counselor"/>
  </r>
  <r>
    <x v="87"/>
    <s v="Personnel"/>
    <s v="H "/>
    <x v="1"/>
    <x v="16"/>
    <s v="PSES High Prog01Duty42 S275"/>
    <x v="0"/>
    <s v="42"/>
    <n v="42"/>
    <m/>
    <s v="   "/>
    <n v="3"/>
    <n v="0.25290000000000001"/>
    <n v="0"/>
    <s v="High Counselor"/>
  </r>
  <r>
    <x v="87"/>
    <s v="Personnel"/>
    <s v="M "/>
    <x v="2"/>
    <x v="17"/>
    <s v="PSES Mid Prog01Duty42 S275"/>
    <x v="0"/>
    <s v="42"/>
    <n v="42"/>
    <m/>
    <s v="   "/>
    <n v="1.3180000000000001"/>
    <n v="0.25290000000000001"/>
    <n v="0"/>
    <s v="Middle Counselor"/>
  </r>
  <r>
    <x v="87"/>
    <s v="Personnel"/>
    <s v="E "/>
    <x v="0"/>
    <x v="18"/>
    <s v="PSES Elem Prog21Duty43 S275"/>
    <x v="1"/>
    <s v="43"/>
    <n v="43"/>
    <m/>
    <s v="   "/>
    <n v="1"/>
    <n v="0.25290000000000001"/>
    <n v="0.253"/>
    <s v="Elementary Occupational Therapist"/>
  </r>
  <r>
    <x v="87"/>
    <s v="Personnel"/>
    <s v="E "/>
    <x v="0"/>
    <x v="20"/>
    <s v="PSES Elem Prog21Duty45 S275"/>
    <x v="1"/>
    <s v="45"/>
    <n v="45"/>
    <m/>
    <s v="   "/>
    <n v="5.26"/>
    <n v="0.25290000000000001"/>
    <n v="1.33"/>
    <s v="Elementary Speech, Language Pathway/_x000a_Audio"/>
  </r>
  <r>
    <x v="87"/>
    <s v="Personnel"/>
    <s v="H "/>
    <x v="1"/>
    <x v="21"/>
    <s v="PSES High Prog21Duty45 S275"/>
    <x v="1"/>
    <s v="45"/>
    <n v="45"/>
    <m/>
    <s v="   "/>
    <n v="0.224"/>
    <n v="0.25290000000000001"/>
    <n v="5.7000000000000002E-2"/>
    <s v="High Speech, Language Pathway/_x000a_Audio"/>
  </r>
  <r>
    <x v="87"/>
    <s v="Personnel"/>
    <s v="M "/>
    <x v="2"/>
    <x v="28"/>
    <s v="PSES Mid Prog21Duty45 S275"/>
    <x v="1"/>
    <s v="45"/>
    <n v="45"/>
    <m/>
    <s v="   "/>
    <n v="0.52700000000000002"/>
    <n v="0.25290000000000001"/>
    <n v="0.13300000000000001"/>
    <s v="Middle Speech, Language Pathway/_x000a_Audio"/>
  </r>
  <r>
    <x v="87"/>
    <s v="Personnel"/>
    <s v="E "/>
    <x v="0"/>
    <x v="22"/>
    <s v="PSES Elem Prog21Duty46 S275"/>
    <x v="1"/>
    <s v="46"/>
    <n v="46"/>
    <m/>
    <s v="   "/>
    <n v="2"/>
    <n v="0.25290000000000001"/>
    <n v="0.50600000000000001"/>
    <s v="Elementary Psychologist"/>
  </r>
  <r>
    <x v="87"/>
    <s v="Personnel"/>
    <s v="E "/>
    <x v="0"/>
    <x v="32"/>
    <s v="PSES Elem Prog21Duty47 S275"/>
    <x v="1"/>
    <s v="47"/>
    <n v="47"/>
    <m/>
    <s v="   "/>
    <n v="7.0000000000000007E-2"/>
    <n v="0.25290000000000001"/>
    <n v="1.7999999999999999E-2"/>
    <s v="Elementary Nurse"/>
  </r>
  <r>
    <x v="87"/>
    <s v="Personnel"/>
    <s v="E "/>
    <x v="0"/>
    <x v="27"/>
    <s v="PSES Elem Prog01Duty47 S275"/>
    <x v="0"/>
    <s v="47"/>
    <n v="47"/>
    <m/>
    <s v="   "/>
    <n v="0.39800000000000002"/>
    <n v="0.25290000000000001"/>
    <n v="0"/>
    <s v="Elementary Nurse"/>
  </r>
  <r>
    <x v="87"/>
    <s v="Personnel"/>
    <s v="H "/>
    <x v="1"/>
    <x v="61"/>
    <s v="PSES High Prog21Duty47 S275"/>
    <x v="1"/>
    <s v="47"/>
    <n v="47"/>
    <m/>
    <s v="   "/>
    <n v="4.3999999999999997E-2"/>
    <n v="0.25290000000000001"/>
    <n v="1.0999999999999999E-2"/>
    <s v="High Nurse"/>
  </r>
  <r>
    <x v="87"/>
    <s v="Personnel"/>
    <s v="H "/>
    <x v="1"/>
    <x v="25"/>
    <s v="PSES High Prog01Duty47 S275"/>
    <x v="0"/>
    <s v="47"/>
    <n v="47"/>
    <m/>
    <s v="   "/>
    <n v="0.248"/>
    <n v="0.25290000000000001"/>
    <n v="0"/>
    <s v="High Nurse"/>
  </r>
  <r>
    <x v="87"/>
    <s v="Personnel"/>
    <s v="M "/>
    <x v="2"/>
    <x v="33"/>
    <s v="PSES Mid Prog21Duty47 S275"/>
    <x v="1"/>
    <s v="47"/>
    <n v="47"/>
    <m/>
    <s v="   "/>
    <n v="3.5999999999999997E-2"/>
    <n v="0.25290000000000001"/>
    <n v="8.9999999999999993E-3"/>
    <s v="Middle Nurse"/>
  </r>
  <r>
    <x v="87"/>
    <s v="Personnel"/>
    <s v="M "/>
    <x v="2"/>
    <x v="34"/>
    <s v="PSES Mid Prog01Duty47 S275"/>
    <x v="0"/>
    <s v="47"/>
    <n v="47"/>
    <m/>
    <s v="   "/>
    <n v="0.20399999999999999"/>
    <n v="0.25290000000000001"/>
    <n v="0"/>
    <s v="Middle Nurse"/>
  </r>
  <r>
    <x v="87"/>
    <s v="Personnel"/>
    <s v="E "/>
    <x v="0"/>
    <x v="38"/>
    <s v="PSES Elem Prog21Duty64 S275"/>
    <x v="1"/>
    <s v="64"/>
    <n v="64"/>
    <m/>
    <s v="   "/>
    <n v="1.5329999999999999"/>
    <n v="0.25290000000000001"/>
    <n v="0.38800000000000001"/>
    <s v="Elementary Contractor ESA"/>
  </r>
  <r>
    <x v="87"/>
    <s v="Personnel"/>
    <s v="H "/>
    <x v="1"/>
    <x v="59"/>
    <s v="PSES High Prog21Duty64 S275"/>
    <x v="1"/>
    <s v="64"/>
    <n v="64"/>
    <m/>
    <s v="   "/>
    <n v="3"/>
    <n v="0.25290000000000001"/>
    <n v="0.75900000000000001"/>
    <s v="High Contractor ESA"/>
  </r>
  <r>
    <x v="87"/>
    <s v="Personnel"/>
    <s v="M "/>
    <x v="2"/>
    <x v="60"/>
    <s v="PSES Mid Prog21Duty64 S275"/>
    <x v="1"/>
    <s v="64"/>
    <n v="64"/>
    <m/>
    <s v="   "/>
    <n v="0.66700000000000004"/>
    <n v="0.25290000000000001"/>
    <n v="0.16900000000000001"/>
    <s v="Middle Contractor ESA"/>
  </r>
  <r>
    <x v="88"/>
    <s v="Personnel"/>
    <s v="H "/>
    <x v="1"/>
    <x v="4"/>
    <s v="PSES High Prog21Act25 S275"/>
    <x v="1"/>
    <s v="25"/>
    <m/>
    <n v="25"/>
    <s v="   "/>
    <n v="7.0000000000000007E-2"/>
    <n v="0.19489999999999999"/>
    <n v="1.4E-2"/>
    <s v="High Pupil Management"/>
  </r>
  <r>
    <x v="88"/>
    <s v="Personnel"/>
    <s v="H "/>
    <x v="1"/>
    <x v="5"/>
    <s v="PSES High Prog01Act25 S275"/>
    <x v="0"/>
    <s v="25"/>
    <m/>
    <n v="25"/>
    <s v="   "/>
    <n v="8.6649999999999991"/>
    <n v="0.19489999999999999"/>
    <n v="0"/>
    <s v="High Pupil Management"/>
  </r>
  <r>
    <x v="88"/>
    <s v="Personnel"/>
    <s v="H "/>
    <x v="1"/>
    <x v="29"/>
    <s v="PSES High Prog21Act26 S275"/>
    <x v="1"/>
    <s v="26"/>
    <m/>
    <n v="26"/>
    <s v="   "/>
    <n v="1.7"/>
    <n v="0.19489999999999999"/>
    <n v="0.33100000000000002"/>
    <s v="High Health/_x000a_Related Services"/>
  </r>
  <r>
    <x v="88"/>
    <s v="Personnel"/>
    <s v="H "/>
    <x v="1"/>
    <x v="9"/>
    <s v="PSES High Prog01Act26 S275"/>
    <x v="0"/>
    <s v="26"/>
    <m/>
    <n v="26"/>
    <s v="   "/>
    <n v="2.9220000000000002"/>
    <n v="0.19489999999999999"/>
    <n v="0"/>
    <s v="High Health/_x000a_Related Services"/>
  </r>
  <r>
    <x v="88"/>
    <s v="Personnel"/>
    <s v="H "/>
    <x v="1"/>
    <x v="54"/>
    <s v="PSES High Prog01Act35 S275"/>
    <x v="0"/>
    <s v="35"/>
    <m/>
    <n v="35"/>
    <s v="   "/>
    <n v="2.0859999999999999"/>
    <n v="0.19489999999999999"/>
    <n v="0"/>
    <s v="High Pupil Safety"/>
  </r>
  <r>
    <x v="88"/>
    <s v="Personnel"/>
    <s v="H "/>
    <x v="1"/>
    <x v="16"/>
    <s v="PSES High Prog01Duty42 S275"/>
    <x v="0"/>
    <s v="42"/>
    <n v="42"/>
    <m/>
    <s v="   "/>
    <n v="4"/>
    <n v="0.19489999999999999"/>
    <n v="0"/>
    <s v="High Counselor"/>
  </r>
  <r>
    <x v="88"/>
    <s v="Personnel"/>
    <s v="M "/>
    <x v="2"/>
    <x v="75"/>
    <s v="PSES Mid Prog21Duty42 S275"/>
    <x v="1"/>
    <s v="42"/>
    <n v="42"/>
    <m/>
    <s v="   "/>
    <n v="0.3"/>
    <n v="0.19489999999999999"/>
    <n v="5.8000000000000003E-2"/>
    <s v="Middle Counselor"/>
  </r>
  <r>
    <x v="88"/>
    <s v="Personnel"/>
    <s v="M "/>
    <x v="2"/>
    <x v="17"/>
    <s v="PSES Mid Prog01Duty42 S275"/>
    <x v="0"/>
    <s v="42"/>
    <n v="42"/>
    <m/>
    <s v="   "/>
    <n v="3"/>
    <n v="0.19489999999999999"/>
    <n v="0"/>
    <s v="Middle Counselor"/>
  </r>
  <r>
    <x v="88"/>
    <s v="Personnel"/>
    <s v="E "/>
    <x v="0"/>
    <x v="18"/>
    <s v="PSES Elem Prog21Duty43 S275"/>
    <x v="1"/>
    <s v="43"/>
    <n v="43"/>
    <m/>
    <s v="   "/>
    <n v="1"/>
    <n v="0.19489999999999999"/>
    <n v="0.19500000000000001"/>
    <s v="Elementary Occupational Therapist"/>
  </r>
  <r>
    <x v="88"/>
    <s v="Personnel"/>
    <s v="E "/>
    <x v="0"/>
    <x v="20"/>
    <s v="PSES Elem Prog21Duty45 S275"/>
    <x v="1"/>
    <s v="45"/>
    <n v="45"/>
    <m/>
    <s v="   "/>
    <n v="2.4300000000000002"/>
    <n v="0.19489999999999999"/>
    <n v="0.47399999999999998"/>
    <s v="Elementary Speech, Language Pathway/_x000a_Audio"/>
  </r>
  <r>
    <x v="88"/>
    <s v="Personnel"/>
    <s v="M "/>
    <x v="2"/>
    <x v="28"/>
    <s v="PSES Mid Prog21Duty45 S275"/>
    <x v="1"/>
    <s v="45"/>
    <n v="45"/>
    <m/>
    <s v="   "/>
    <n v="0.56999999999999995"/>
    <n v="0.19489999999999999"/>
    <n v="0.111"/>
    <s v="Middle Speech, Language Pathway/_x000a_Audio"/>
  </r>
  <r>
    <x v="88"/>
    <s v="Personnel"/>
    <s v="E "/>
    <x v="0"/>
    <x v="22"/>
    <s v="PSES Elem Prog21Duty46 S275"/>
    <x v="1"/>
    <s v="46"/>
    <n v="46"/>
    <m/>
    <s v="   "/>
    <n v="1.8"/>
    <n v="0.19489999999999999"/>
    <n v="0.35099999999999998"/>
    <s v="Elementary Psychologist"/>
  </r>
  <r>
    <x v="88"/>
    <s v="Personnel"/>
    <s v="H "/>
    <x v="1"/>
    <x v="23"/>
    <s v="PSES High Prog21Duty46 S275"/>
    <x v="1"/>
    <s v="46"/>
    <n v="46"/>
    <m/>
    <s v="   "/>
    <n v="1"/>
    <n v="0.19489999999999999"/>
    <n v="0.19500000000000001"/>
    <s v="High Psychologist"/>
  </r>
  <r>
    <x v="88"/>
    <s v="Personnel"/>
    <s v="M "/>
    <x v="2"/>
    <x v="24"/>
    <s v="PSES Mid Prog21Duty46 S275"/>
    <x v="1"/>
    <s v="46"/>
    <n v="46"/>
    <m/>
    <s v="   "/>
    <n v="1"/>
    <n v="0.19489999999999999"/>
    <n v="0.19500000000000001"/>
    <s v="Middle Psychologist"/>
  </r>
  <r>
    <x v="88"/>
    <s v="Personnel"/>
    <s v="H "/>
    <x v="1"/>
    <x v="25"/>
    <s v="PSES High Prog01Duty47 S275"/>
    <x v="0"/>
    <s v="47"/>
    <n v="47"/>
    <m/>
    <s v="   "/>
    <n v="1.5"/>
    <n v="0.19489999999999999"/>
    <n v="0"/>
    <s v="High Nurse"/>
  </r>
  <r>
    <x v="88"/>
    <s v="Personnel"/>
    <s v="M "/>
    <x v="2"/>
    <x v="34"/>
    <s v="PSES Mid Prog01Duty47 S275"/>
    <x v="0"/>
    <s v="47"/>
    <n v="47"/>
    <m/>
    <s v="   "/>
    <n v="0.5"/>
    <n v="0.19489999999999999"/>
    <n v="0"/>
    <s v="Middle Nurse"/>
  </r>
  <r>
    <x v="88"/>
    <s v="Personnel"/>
    <s v="E "/>
    <x v="0"/>
    <x v="35"/>
    <s v="PSES Elem Prog21Duty48 S275"/>
    <x v="1"/>
    <s v="48"/>
    <n v="48"/>
    <m/>
    <s v="   "/>
    <n v="1.4"/>
    <n v="0.19489999999999999"/>
    <n v="0.27300000000000002"/>
    <s v="Elementary Physical Therapist"/>
  </r>
  <r>
    <x v="88"/>
    <s v="Personnel"/>
    <s v="E "/>
    <x v="0"/>
    <x v="26"/>
    <s v="PSES Elem Prog21Duty49 S275"/>
    <x v="1"/>
    <s v="49"/>
    <n v="49"/>
    <m/>
    <s v="   "/>
    <n v="1.3240000000000001"/>
    <n v="0.19489999999999999"/>
    <n v="0.25800000000000001"/>
    <s v="Elementary Behavior Analyst"/>
  </r>
  <r>
    <x v="88"/>
    <s v="Personnel"/>
    <s v="H "/>
    <x v="1"/>
    <x v="55"/>
    <s v="PSES High Prog21Duty49 S275"/>
    <x v="1"/>
    <s v="49"/>
    <n v="49"/>
    <m/>
    <s v="   "/>
    <n v="1.476"/>
    <n v="0.19489999999999999"/>
    <n v="0.28799999999999998"/>
    <s v="High Behavior Analyst"/>
  </r>
  <r>
    <x v="89"/>
    <s v="Personnel"/>
    <s v="H "/>
    <x v="1"/>
    <x v="1"/>
    <s v="PSES High Prog01Duty96 S275"/>
    <x v="0"/>
    <s v="24"/>
    <n v="96"/>
    <n v="24"/>
    <s v="   "/>
    <n v="1"/>
    <n v="0.2424"/>
    <n v="0"/>
    <s v="High Family Engagement Coordinator"/>
  </r>
  <r>
    <x v="89"/>
    <s v="Personnel"/>
    <s v="H "/>
    <x v="1"/>
    <x v="5"/>
    <s v="PSES High Prog01Act25 S275"/>
    <x v="0"/>
    <s v="25"/>
    <m/>
    <n v="25"/>
    <s v="   "/>
    <n v="32.567999999999998"/>
    <n v="0.2424"/>
    <n v="0"/>
    <s v="High Pupil Management"/>
  </r>
  <r>
    <x v="89"/>
    <s v="Personnel"/>
    <s v="H "/>
    <x v="1"/>
    <x v="29"/>
    <s v="PSES High Prog21Act26 S275"/>
    <x v="1"/>
    <s v="26"/>
    <m/>
    <n v="26"/>
    <s v="   "/>
    <n v="12.262"/>
    <n v="0.2424"/>
    <n v="2.972"/>
    <s v="High Health/_x000a_Related Services"/>
  </r>
  <r>
    <x v="89"/>
    <s v="Personnel"/>
    <s v="E "/>
    <x v="0"/>
    <x v="15"/>
    <s v="PSES Elem Prog01Duty42 S275"/>
    <x v="0"/>
    <s v="42"/>
    <n v="42"/>
    <m/>
    <s v="   "/>
    <n v="26.212"/>
    <n v="0.2424"/>
    <n v="0"/>
    <s v="Elementary Counselor"/>
  </r>
  <r>
    <x v="89"/>
    <s v="Personnel"/>
    <s v="H "/>
    <x v="1"/>
    <x v="16"/>
    <s v="PSES High Prog01Duty42 S275"/>
    <x v="0"/>
    <s v="42"/>
    <n v="42"/>
    <m/>
    <s v="   "/>
    <n v="23.736000000000001"/>
    <n v="0.2424"/>
    <n v="0"/>
    <s v="High Counselor"/>
  </r>
  <r>
    <x v="89"/>
    <s v="Personnel"/>
    <s v="M "/>
    <x v="2"/>
    <x v="17"/>
    <s v="PSES Mid Prog01Duty42 S275"/>
    <x v="0"/>
    <s v="42"/>
    <n v="42"/>
    <m/>
    <s v="   "/>
    <n v="12.813000000000001"/>
    <n v="0.2424"/>
    <n v="0"/>
    <s v="Middle Counselor"/>
  </r>
  <r>
    <x v="89"/>
    <s v="Personnel"/>
    <s v="E "/>
    <x v="0"/>
    <x v="18"/>
    <s v="PSES Elem Prog21Duty43 S275"/>
    <x v="1"/>
    <s v="43"/>
    <n v="43"/>
    <m/>
    <s v="   "/>
    <n v="16.210999999999999"/>
    <n v="0.2424"/>
    <n v="3.93"/>
    <s v="Elementary Occupational Therapist"/>
  </r>
  <r>
    <x v="89"/>
    <s v="Personnel"/>
    <s v="H "/>
    <x v="1"/>
    <x v="19"/>
    <s v="PSES High Prog21Duty43 S275"/>
    <x v="1"/>
    <s v="43"/>
    <n v="43"/>
    <m/>
    <s v="   "/>
    <n v="4.7"/>
    <n v="0.2424"/>
    <n v="1.139"/>
    <s v="High Occupational Therapist"/>
  </r>
  <r>
    <x v="89"/>
    <s v="Personnel"/>
    <s v="M "/>
    <x v="2"/>
    <x v="31"/>
    <s v="PSES Mid Prog21Duty43 S275"/>
    <x v="1"/>
    <s v="43"/>
    <n v="43"/>
    <m/>
    <s v="   "/>
    <n v="1.55"/>
    <n v="0.2424"/>
    <n v="0.376"/>
    <s v="Middle Occupational Therapist"/>
  </r>
  <r>
    <x v="89"/>
    <s v="Personnel"/>
    <s v="E "/>
    <x v="0"/>
    <x v="41"/>
    <s v="PSES Elem Prog21Duty44 S275"/>
    <x v="1"/>
    <s v="44"/>
    <n v="44"/>
    <m/>
    <s v="   "/>
    <n v="1"/>
    <n v="0.2424"/>
    <n v="0.24199999999999999"/>
    <s v="Elementary Social Worker"/>
  </r>
  <r>
    <x v="89"/>
    <s v="Personnel"/>
    <s v="E "/>
    <x v="0"/>
    <x v="42"/>
    <s v="PSES Elem Prog01Duty44 S275"/>
    <x v="0"/>
    <s v="44"/>
    <n v="44"/>
    <m/>
    <s v="   "/>
    <n v="2.8"/>
    <n v="0.2424"/>
    <n v="0"/>
    <s v="Elementary Social Worker"/>
  </r>
  <r>
    <x v="89"/>
    <s v="Personnel"/>
    <s v="H "/>
    <x v="1"/>
    <x v="43"/>
    <s v="PSES High Prog21Duty44 S275"/>
    <x v="1"/>
    <s v="44"/>
    <n v="44"/>
    <m/>
    <s v="   "/>
    <n v="0.5"/>
    <n v="0.2424"/>
    <n v="0.121"/>
    <s v="High Social Worker"/>
  </r>
  <r>
    <x v="89"/>
    <s v="Personnel"/>
    <s v="H "/>
    <x v="1"/>
    <x v="44"/>
    <s v="PSES High Prog01Duty44 S275"/>
    <x v="0"/>
    <s v="44"/>
    <n v="44"/>
    <m/>
    <s v="   "/>
    <n v="3"/>
    <n v="0.2424"/>
    <n v="0"/>
    <s v="High Social Worker"/>
  </r>
  <r>
    <x v="89"/>
    <s v="Personnel"/>
    <s v="M "/>
    <x v="2"/>
    <x v="45"/>
    <s v="PSES Mid Prog21Duty44 S275"/>
    <x v="1"/>
    <s v="44"/>
    <n v="44"/>
    <m/>
    <s v="   "/>
    <n v="0.5"/>
    <n v="0.2424"/>
    <n v="0.121"/>
    <s v="Middle Social Worker"/>
  </r>
  <r>
    <x v="89"/>
    <s v="Personnel"/>
    <s v="M "/>
    <x v="2"/>
    <x v="46"/>
    <s v="PSES Mid Prog01Duty44 S275"/>
    <x v="0"/>
    <s v="44"/>
    <n v="44"/>
    <m/>
    <s v="   "/>
    <n v="1"/>
    <n v="0.2424"/>
    <n v="0"/>
    <s v="Middle Social Worker"/>
  </r>
  <r>
    <x v="89"/>
    <s v="Personnel"/>
    <s v="E "/>
    <x v="0"/>
    <x v="20"/>
    <s v="PSES Elem Prog21Duty45 S275"/>
    <x v="1"/>
    <s v="45"/>
    <n v="45"/>
    <m/>
    <s v="   "/>
    <n v="34.770000000000003"/>
    <n v="0.2424"/>
    <n v="8.4280000000000008"/>
    <s v="Elementary Speech, Language Pathway/_x000a_Audio"/>
  </r>
  <r>
    <x v="89"/>
    <s v="Personnel"/>
    <s v="H "/>
    <x v="1"/>
    <x v="21"/>
    <s v="PSES High Prog21Duty45 S275"/>
    <x v="1"/>
    <s v="45"/>
    <n v="45"/>
    <m/>
    <s v="   "/>
    <n v="5.4969999999999999"/>
    <n v="0.2424"/>
    <n v="1.3320000000000001"/>
    <s v="High Speech, Language Pathway/_x000a_Audio"/>
  </r>
  <r>
    <x v="89"/>
    <s v="Personnel"/>
    <s v="M "/>
    <x v="2"/>
    <x v="28"/>
    <s v="PSES Mid Prog21Duty45 S275"/>
    <x v="1"/>
    <s v="45"/>
    <n v="45"/>
    <m/>
    <s v="   "/>
    <n v="4.5810000000000004"/>
    <n v="0.2424"/>
    <n v="1.1100000000000001"/>
    <s v="Middle Speech, Language Pathway/_x000a_Audio"/>
  </r>
  <r>
    <x v="89"/>
    <s v="Personnel"/>
    <s v="E "/>
    <x v="0"/>
    <x v="22"/>
    <s v="PSES Elem Prog21Duty46 S275"/>
    <x v="1"/>
    <s v="46"/>
    <n v="46"/>
    <m/>
    <s v="   "/>
    <n v="12.369"/>
    <n v="0.2424"/>
    <n v="2.9980000000000002"/>
    <s v="Elementary Psychologist"/>
  </r>
  <r>
    <x v="89"/>
    <s v="Personnel"/>
    <s v="E "/>
    <x v="0"/>
    <x v="48"/>
    <s v="PSES Elem Prog01Duty46 S275"/>
    <x v="0"/>
    <s v="46"/>
    <n v="46"/>
    <m/>
    <s v="   "/>
    <n v="0.16300000000000001"/>
    <n v="0.2424"/>
    <n v="0"/>
    <s v="Elementary Psychologist"/>
  </r>
  <r>
    <x v="89"/>
    <s v="Personnel"/>
    <s v="H "/>
    <x v="1"/>
    <x v="23"/>
    <s v="PSES High Prog21Duty46 S275"/>
    <x v="1"/>
    <s v="46"/>
    <n v="46"/>
    <m/>
    <s v="   "/>
    <n v="5.6689999999999996"/>
    <n v="0.2424"/>
    <n v="1.3740000000000001"/>
    <s v="High Psychologist"/>
  </r>
  <r>
    <x v="89"/>
    <s v="Personnel"/>
    <s v="H "/>
    <x v="1"/>
    <x v="65"/>
    <s v="PSES High Prog01Duty46 S275"/>
    <x v="0"/>
    <s v="46"/>
    <n v="46"/>
    <m/>
    <s v="   "/>
    <n v="0.161"/>
    <n v="0.2424"/>
    <n v="0"/>
    <s v="High Psychologist"/>
  </r>
  <r>
    <x v="89"/>
    <s v="Personnel"/>
    <s v="M "/>
    <x v="2"/>
    <x v="24"/>
    <s v="PSES Mid Prog21Duty46 S275"/>
    <x v="1"/>
    <s v="46"/>
    <n v="46"/>
    <m/>
    <s v="   "/>
    <n v="3.7629999999999999"/>
    <n v="0.2424"/>
    <n v="0.91200000000000003"/>
    <s v="Middle Psychologist"/>
  </r>
  <r>
    <x v="89"/>
    <s v="Personnel"/>
    <s v="M "/>
    <x v="2"/>
    <x v="49"/>
    <s v="PSES Mid Prog01Duty46 S275"/>
    <x v="0"/>
    <s v="46"/>
    <n v="46"/>
    <m/>
    <s v="   "/>
    <n v="0.16300000000000001"/>
    <n v="0.2424"/>
    <n v="0"/>
    <s v="Middle Psychologist"/>
  </r>
  <r>
    <x v="89"/>
    <s v="Personnel"/>
    <s v="E "/>
    <x v="0"/>
    <x v="27"/>
    <s v="PSES Elem Prog01Duty47 S275"/>
    <x v="0"/>
    <s v="47"/>
    <n v="47"/>
    <m/>
    <s v="   "/>
    <n v="9.1999999999999993"/>
    <n v="0.2424"/>
    <n v="0"/>
    <s v="Elementary Nurse"/>
  </r>
  <r>
    <x v="89"/>
    <s v="Personnel"/>
    <s v="H "/>
    <x v="1"/>
    <x v="25"/>
    <s v="PSES High Prog01Duty47 S275"/>
    <x v="0"/>
    <s v="47"/>
    <n v="47"/>
    <m/>
    <s v="   "/>
    <n v="8.1059999999999999"/>
    <n v="0.2424"/>
    <n v="0"/>
    <s v="High Nurse"/>
  </r>
  <r>
    <x v="89"/>
    <s v="Personnel"/>
    <s v="M "/>
    <x v="2"/>
    <x v="34"/>
    <s v="PSES Mid Prog01Duty47 S275"/>
    <x v="0"/>
    <s v="47"/>
    <n v="47"/>
    <m/>
    <s v="   "/>
    <n v="0.90600000000000003"/>
    <n v="0.2424"/>
    <n v="0"/>
    <s v="Middle Nurse"/>
  </r>
  <r>
    <x v="89"/>
    <s v="Personnel"/>
    <s v="E "/>
    <x v="0"/>
    <x v="35"/>
    <s v="PSES Elem Prog21Duty48 S275"/>
    <x v="1"/>
    <s v="48"/>
    <n v="48"/>
    <m/>
    <s v="   "/>
    <n v="1.83"/>
    <n v="0.2424"/>
    <n v="0.44400000000000001"/>
    <s v="Elementary Physical Therapist"/>
  </r>
  <r>
    <x v="89"/>
    <s v="Personnel"/>
    <s v="H "/>
    <x v="1"/>
    <x v="36"/>
    <s v="PSES High Prog21Duty48 S275"/>
    <x v="1"/>
    <s v="48"/>
    <n v="48"/>
    <m/>
    <s v="   "/>
    <n v="0.34"/>
    <n v="0.2424"/>
    <n v="8.2000000000000003E-2"/>
    <s v="High Physical Therapist"/>
  </r>
  <r>
    <x v="89"/>
    <s v="Personnel"/>
    <s v="M "/>
    <x v="2"/>
    <x v="37"/>
    <s v="PSES Mid Prog21Duty48 S275"/>
    <x v="1"/>
    <s v="48"/>
    <n v="48"/>
    <m/>
    <s v="   "/>
    <n v="0.33"/>
    <n v="0.2424"/>
    <n v="0.08"/>
    <s v="Middle Physical Therapist"/>
  </r>
  <r>
    <x v="89"/>
    <s v="Personnel"/>
    <s v="E "/>
    <x v="0"/>
    <x v="26"/>
    <s v="PSES Elem Prog21Duty49 S275"/>
    <x v="1"/>
    <s v="49"/>
    <n v="49"/>
    <m/>
    <s v="   "/>
    <n v="2"/>
    <n v="0.2424"/>
    <n v="0.48499999999999999"/>
    <s v="Elementary Behavior Analyst"/>
  </r>
  <r>
    <x v="89"/>
    <s v="Personnel"/>
    <s v="H "/>
    <x v="1"/>
    <x v="55"/>
    <s v="PSES High Prog21Duty49 S275"/>
    <x v="1"/>
    <s v="49"/>
    <n v="49"/>
    <m/>
    <s v="   "/>
    <n v="1.1439999999999999"/>
    <n v="0.2424"/>
    <n v="0.27700000000000002"/>
    <s v="High Behavior Analyst"/>
  </r>
  <r>
    <x v="89"/>
    <s v="Personnel"/>
    <s v="M "/>
    <x v="2"/>
    <x v="50"/>
    <s v="PSES Mid Prog21Duty49 S275"/>
    <x v="1"/>
    <s v="49"/>
    <n v="49"/>
    <m/>
    <s v="   "/>
    <n v="0.57199999999999995"/>
    <n v="0.2424"/>
    <n v="0.13900000000000001"/>
    <s v="Middle Behavior Analyst"/>
  </r>
  <r>
    <x v="90"/>
    <s v="Personnel"/>
    <s v="H "/>
    <x v="1"/>
    <x v="1"/>
    <s v="PSES High Prog01Duty96 S275"/>
    <x v="0"/>
    <s v="24"/>
    <n v="96"/>
    <n v="24"/>
    <s v="   "/>
    <n v="0.73799999999999999"/>
    <n v="0.2157"/>
    <n v="0"/>
    <s v="High Family Engagement Coordinator"/>
  </r>
  <r>
    <x v="90"/>
    <s v="Personnel"/>
    <s v="H "/>
    <x v="1"/>
    <x v="5"/>
    <s v="PSES High Prog01Act25 S275"/>
    <x v="0"/>
    <s v="25"/>
    <m/>
    <n v="25"/>
    <s v="   "/>
    <n v="1.58"/>
    <n v="0.2157"/>
    <n v="0"/>
    <s v="High Pupil Management"/>
  </r>
  <r>
    <x v="90"/>
    <s v="Personnel"/>
    <s v="H "/>
    <x v="1"/>
    <x v="9"/>
    <s v="PSES High Prog01Act26 S275"/>
    <x v="0"/>
    <s v="26"/>
    <m/>
    <n v="26"/>
    <s v="   "/>
    <n v="0.49099999999999999"/>
    <n v="0.2157"/>
    <n v="0"/>
    <s v="High Health/_x000a_Related Services"/>
  </r>
  <r>
    <x v="90"/>
    <s v="Personnel"/>
    <s v="H "/>
    <x v="1"/>
    <x v="16"/>
    <s v="PSES High Prog01Duty42 S275"/>
    <x v="0"/>
    <s v="42"/>
    <n v="42"/>
    <m/>
    <s v="   "/>
    <n v="2.3679999999999999"/>
    <n v="0.2157"/>
    <n v="0"/>
    <s v="High Counselor"/>
  </r>
  <r>
    <x v="90"/>
    <s v="Personnel"/>
    <s v="M "/>
    <x v="2"/>
    <x v="17"/>
    <s v="PSES Mid Prog01Duty42 S275"/>
    <x v="0"/>
    <s v="42"/>
    <n v="42"/>
    <m/>
    <s v="   "/>
    <n v="1.08"/>
    <n v="0.2157"/>
    <n v="0"/>
    <s v="Middle Counselor"/>
  </r>
  <r>
    <x v="90"/>
    <s v="Personnel"/>
    <s v="H "/>
    <x v="1"/>
    <x v="23"/>
    <s v="PSES High Prog21Duty46 S275"/>
    <x v="1"/>
    <s v="46"/>
    <n v="46"/>
    <m/>
    <s v="   "/>
    <n v="0.5"/>
    <n v="0.2157"/>
    <n v="0.108"/>
    <s v="High Psychologist"/>
  </r>
  <r>
    <x v="90"/>
    <s v="Personnel"/>
    <s v="M "/>
    <x v="2"/>
    <x v="24"/>
    <s v="PSES Mid Prog21Duty46 S275"/>
    <x v="1"/>
    <s v="46"/>
    <n v="46"/>
    <m/>
    <s v="   "/>
    <n v="0.5"/>
    <n v="0.2157"/>
    <n v="0.108"/>
    <s v="Middle Psychologist"/>
  </r>
  <r>
    <x v="90"/>
    <s v="Personnel"/>
    <s v="E "/>
    <x v="0"/>
    <x v="27"/>
    <s v="PSES Elem Prog01Duty47 S275"/>
    <x v="0"/>
    <s v="47"/>
    <n v="47"/>
    <m/>
    <s v="   "/>
    <n v="0.69"/>
    <n v="0.2157"/>
    <n v="0"/>
    <s v="Elementary Nurse"/>
  </r>
  <r>
    <x v="91"/>
    <s v="Personnel"/>
    <s v="H "/>
    <x v="1"/>
    <x v="4"/>
    <s v="PSES High Prog21Act25 S275"/>
    <x v="1"/>
    <s v="25"/>
    <m/>
    <n v="25"/>
    <s v="   "/>
    <n v="7.13"/>
    <n v="0.29559999999999997"/>
    <n v="2.1080000000000001"/>
    <s v="High Pupil Management"/>
  </r>
  <r>
    <x v="91"/>
    <s v="Personnel"/>
    <s v="H "/>
    <x v="1"/>
    <x v="53"/>
    <s v="PSES High Prog97Act25 S275"/>
    <x v="2"/>
    <s v="25"/>
    <m/>
    <n v="25"/>
    <s v="   "/>
    <n v="0.16500000000000001"/>
    <n v="0.29559999999999997"/>
    <n v="0"/>
    <s v="High Pupil Management"/>
  </r>
  <r>
    <x v="91"/>
    <s v="Personnel"/>
    <s v="H "/>
    <x v="1"/>
    <x v="5"/>
    <s v="PSES High Prog01Act25 S275"/>
    <x v="0"/>
    <s v="25"/>
    <m/>
    <n v="25"/>
    <s v="   "/>
    <n v="22.675999999999998"/>
    <n v="0.29559999999999997"/>
    <n v="0"/>
    <s v="High Pupil Management"/>
  </r>
  <r>
    <x v="91"/>
    <s v="Personnel"/>
    <s v="H "/>
    <x v="1"/>
    <x v="29"/>
    <s v="PSES High Prog21Act26 S275"/>
    <x v="1"/>
    <s v="26"/>
    <m/>
    <n v="26"/>
    <s v="   "/>
    <n v="7.7279999999999998"/>
    <n v="0.29559999999999997"/>
    <n v="2.2839999999999998"/>
    <s v="High Health/_x000a_Related Services"/>
  </r>
  <r>
    <x v="91"/>
    <s v="Personnel"/>
    <s v="H "/>
    <x v="1"/>
    <x v="9"/>
    <s v="PSES High Prog01Act26 S275"/>
    <x v="0"/>
    <s v="26"/>
    <m/>
    <n v="26"/>
    <s v="   "/>
    <n v="19.193999999999999"/>
    <n v="0.29559999999999997"/>
    <n v="0"/>
    <s v="High Health/_x000a_Related Services"/>
  </r>
  <r>
    <x v="91"/>
    <s v="Personnel"/>
    <s v="H "/>
    <x v="1"/>
    <x v="54"/>
    <s v="PSES High Prog01Act35 S275"/>
    <x v="0"/>
    <s v="35"/>
    <m/>
    <n v="35"/>
    <s v="   "/>
    <n v="8.2059999999999995"/>
    <n v="0.29559999999999997"/>
    <n v="0"/>
    <s v="High Pupil Safety"/>
  </r>
  <r>
    <x v="91"/>
    <s v="Personnel"/>
    <s v="E "/>
    <x v="0"/>
    <x v="76"/>
    <s v="PSES Elem Prog21Duty42 S275"/>
    <x v="1"/>
    <s v="42"/>
    <n v="42"/>
    <m/>
    <s v="   "/>
    <n v="0.33300000000000002"/>
    <n v="0.29559999999999997"/>
    <n v="9.8000000000000004E-2"/>
    <s v="Elementary Counselor"/>
  </r>
  <r>
    <x v="91"/>
    <s v="Personnel"/>
    <s v="E "/>
    <x v="0"/>
    <x v="15"/>
    <s v="PSES Elem Prog01Duty42 S275"/>
    <x v="0"/>
    <s v="42"/>
    <n v="42"/>
    <m/>
    <s v="   "/>
    <n v="17.649999999999999"/>
    <n v="0.29559999999999997"/>
    <n v="0"/>
    <s v="Elementary Counselor"/>
  </r>
  <r>
    <x v="91"/>
    <s v="Personnel"/>
    <s v="H "/>
    <x v="1"/>
    <x v="77"/>
    <s v="PSES High Prog21Duty42 S275"/>
    <x v="1"/>
    <s v="42"/>
    <n v="42"/>
    <m/>
    <s v="   "/>
    <n v="0.33300000000000002"/>
    <n v="0.29559999999999997"/>
    <n v="9.8000000000000004E-2"/>
    <s v="High Counselor"/>
  </r>
  <r>
    <x v="91"/>
    <s v="Personnel"/>
    <s v="H "/>
    <x v="1"/>
    <x v="16"/>
    <s v="PSES High Prog01Duty42 S275"/>
    <x v="0"/>
    <s v="42"/>
    <n v="42"/>
    <m/>
    <s v="   "/>
    <n v="14"/>
    <n v="0.29559999999999997"/>
    <n v="0"/>
    <s v="High Counselor"/>
  </r>
  <r>
    <x v="91"/>
    <s v="Personnel"/>
    <s v="M "/>
    <x v="2"/>
    <x v="75"/>
    <s v="PSES Mid Prog21Duty42 S275"/>
    <x v="1"/>
    <s v="42"/>
    <n v="42"/>
    <m/>
    <s v="   "/>
    <n v="0.33400000000000002"/>
    <n v="0.29559999999999997"/>
    <n v="9.9000000000000005E-2"/>
    <s v="Middle Counselor"/>
  </r>
  <r>
    <x v="91"/>
    <s v="Personnel"/>
    <s v="M "/>
    <x v="2"/>
    <x v="17"/>
    <s v="PSES Mid Prog01Duty42 S275"/>
    <x v="0"/>
    <s v="42"/>
    <n v="42"/>
    <m/>
    <s v="   "/>
    <n v="5.35"/>
    <n v="0.29559999999999997"/>
    <n v="0"/>
    <s v="Middle Counselor"/>
  </r>
  <r>
    <x v="91"/>
    <s v="Personnel"/>
    <s v="E "/>
    <x v="0"/>
    <x v="18"/>
    <s v="PSES Elem Prog21Duty43 S275"/>
    <x v="1"/>
    <s v="43"/>
    <n v="43"/>
    <m/>
    <s v="   "/>
    <n v="13.087"/>
    <n v="0.29559999999999997"/>
    <n v="3.8690000000000002"/>
    <s v="Elementary Occupational Therapist"/>
  </r>
  <r>
    <x v="91"/>
    <s v="Personnel"/>
    <s v="H "/>
    <x v="1"/>
    <x v="19"/>
    <s v="PSES High Prog21Duty43 S275"/>
    <x v="1"/>
    <s v="43"/>
    <n v="43"/>
    <m/>
    <s v="   "/>
    <n v="2.33"/>
    <n v="0.29559999999999997"/>
    <n v="0.68899999999999995"/>
    <s v="High Occupational Therapist"/>
  </r>
  <r>
    <x v="91"/>
    <s v="Personnel"/>
    <s v="M "/>
    <x v="2"/>
    <x v="31"/>
    <s v="PSES Mid Prog21Duty43 S275"/>
    <x v="1"/>
    <s v="43"/>
    <n v="43"/>
    <m/>
    <s v="   "/>
    <n v="2.343"/>
    <n v="0.29559999999999997"/>
    <n v="0.69299999999999995"/>
    <s v="Middle Occupational Therapist"/>
  </r>
  <r>
    <x v="91"/>
    <s v="Personnel"/>
    <s v="E "/>
    <x v="0"/>
    <x v="20"/>
    <s v="PSES Elem Prog21Duty45 S275"/>
    <x v="1"/>
    <s v="45"/>
    <n v="45"/>
    <m/>
    <s v="   "/>
    <n v="16.856999999999999"/>
    <n v="0.29559999999999997"/>
    <n v="4.9829999999999997"/>
    <s v="Elementary Speech, Language Pathway/_x000a_Audio"/>
  </r>
  <r>
    <x v="91"/>
    <s v="Personnel"/>
    <s v="E "/>
    <x v="0"/>
    <x v="47"/>
    <s v="PSES Elem Prog01Duty45 S275"/>
    <x v="0"/>
    <s v="45"/>
    <n v="45"/>
    <m/>
    <s v="   "/>
    <n v="0.4"/>
    <n v="0.29559999999999997"/>
    <n v="0"/>
    <s v="Elementary Speech, Language Pathway/_x000a_Audio"/>
  </r>
  <r>
    <x v="91"/>
    <s v="Personnel"/>
    <s v="H "/>
    <x v="1"/>
    <x v="21"/>
    <s v="PSES High Prog21Duty45 S275"/>
    <x v="1"/>
    <s v="45"/>
    <n v="45"/>
    <m/>
    <s v="   "/>
    <n v="4"/>
    <n v="0.29559999999999997"/>
    <n v="1.1819999999999999"/>
    <s v="High Speech, Language Pathway/_x000a_Audio"/>
  </r>
  <r>
    <x v="91"/>
    <s v="Personnel"/>
    <s v="M "/>
    <x v="2"/>
    <x v="28"/>
    <s v="PSES Mid Prog21Duty45 S275"/>
    <x v="1"/>
    <s v="45"/>
    <n v="45"/>
    <m/>
    <s v="   "/>
    <n v="3.996"/>
    <n v="0.29559999999999997"/>
    <n v="1.181"/>
    <s v="Middle Speech, Language Pathway/_x000a_Audio"/>
  </r>
  <r>
    <x v="91"/>
    <s v="Personnel"/>
    <s v="E "/>
    <x v="0"/>
    <x v="22"/>
    <s v="PSES Elem Prog21Duty46 S275"/>
    <x v="1"/>
    <s v="46"/>
    <n v="46"/>
    <m/>
    <s v="   "/>
    <n v="7.8"/>
    <n v="0.29559999999999997"/>
    <n v="2.306"/>
    <s v="Elementary Psychologist"/>
  </r>
  <r>
    <x v="91"/>
    <s v="Personnel"/>
    <s v="H "/>
    <x v="1"/>
    <x v="23"/>
    <s v="PSES High Prog21Duty46 S275"/>
    <x v="1"/>
    <s v="46"/>
    <n v="46"/>
    <m/>
    <s v="   "/>
    <n v="3.7"/>
    <n v="0.29559999999999997"/>
    <n v="1.0940000000000001"/>
    <s v="High Psychologist"/>
  </r>
  <r>
    <x v="91"/>
    <s v="Personnel"/>
    <s v="M "/>
    <x v="2"/>
    <x v="24"/>
    <s v="PSES Mid Prog21Duty46 S275"/>
    <x v="1"/>
    <s v="46"/>
    <n v="46"/>
    <m/>
    <s v="   "/>
    <n v="3.8"/>
    <n v="0.29559999999999997"/>
    <n v="1.123"/>
    <s v="Middle Psychologist"/>
  </r>
  <r>
    <x v="91"/>
    <s v="Personnel"/>
    <s v="E "/>
    <x v="0"/>
    <x v="27"/>
    <s v="PSES Elem Prog01Duty47 S275"/>
    <x v="0"/>
    <s v="47"/>
    <n v="47"/>
    <m/>
    <s v="   "/>
    <n v="6.7389999999999999"/>
    <n v="0.29559999999999997"/>
    <n v="0"/>
    <s v="Elementary Nurse"/>
  </r>
  <r>
    <x v="91"/>
    <s v="Personnel"/>
    <s v="H "/>
    <x v="1"/>
    <x v="25"/>
    <s v="PSES High Prog01Duty47 S275"/>
    <x v="0"/>
    <s v="47"/>
    <n v="47"/>
    <m/>
    <s v="   "/>
    <n v="3.8780000000000001"/>
    <n v="0.29559999999999997"/>
    <n v="0"/>
    <s v="High Nurse"/>
  </r>
  <r>
    <x v="91"/>
    <s v="Personnel"/>
    <s v="M "/>
    <x v="2"/>
    <x v="34"/>
    <s v="PSES Mid Prog01Duty47 S275"/>
    <x v="0"/>
    <s v="47"/>
    <n v="47"/>
    <m/>
    <s v="   "/>
    <n v="3.2"/>
    <n v="0.29559999999999997"/>
    <n v="0"/>
    <s v="Middle Nurse"/>
  </r>
  <r>
    <x v="91"/>
    <s v="Personnel"/>
    <s v="E "/>
    <x v="0"/>
    <x v="35"/>
    <s v="PSES Elem Prog21Duty48 S275"/>
    <x v="1"/>
    <s v="48"/>
    <n v="48"/>
    <m/>
    <s v="   "/>
    <n v="3.548"/>
    <n v="0.29559999999999997"/>
    <n v="1.0489999999999999"/>
    <s v="Elementary Physical Therapist"/>
  </r>
  <r>
    <x v="91"/>
    <s v="Personnel"/>
    <s v="H "/>
    <x v="1"/>
    <x v="36"/>
    <s v="PSES High Prog21Duty48 S275"/>
    <x v="1"/>
    <s v="48"/>
    <n v="48"/>
    <m/>
    <s v="   "/>
    <n v="0.9"/>
    <n v="0.29559999999999997"/>
    <n v="0.26600000000000001"/>
    <s v="High Physical Therapist"/>
  </r>
  <r>
    <x v="91"/>
    <s v="Personnel"/>
    <s v="M "/>
    <x v="2"/>
    <x v="37"/>
    <s v="PSES Mid Prog21Duty48 S275"/>
    <x v="1"/>
    <s v="48"/>
    <n v="48"/>
    <m/>
    <s v="   "/>
    <n v="0.753"/>
    <n v="0.29559999999999997"/>
    <n v="0.223"/>
    <s v="Middle Physical Therapist"/>
  </r>
  <r>
    <x v="91"/>
    <s v="Personnel"/>
    <m/>
    <x v="0"/>
    <x v="78"/>
    <s v="PSES Elem Prog09Duty35 S275"/>
    <x v="3"/>
    <s v="35"/>
    <n v="99"/>
    <n v="35"/>
    <m/>
    <n v="0.67700000000000005"/>
    <n v="0.29559999999999997"/>
    <n v="0"/>
    <s v="TK Pupil Safety"/>
  </r>
  <r>
    <x v="92"/>
    <s v="Personnel"/>
    <s v="H "/>
    <x v="1"/>
    <x v="5"/>
    <s v="PSES High Prog01Act25 S275"/>
    <x v="0"/>
    <s v="25"/>
    <m/>
    <n v="25"/>
    <s v="   "/>
    <n v="1"/>
    <n v="0.1133"/>
    <n v="0"/>
    <s v="High Pupil Management"/>
  </r>
  <r>
    <x v="92"/>
    <s v="Personnel"/>
    <s v="H "/>
    <x v="1"/>
    <x v="9"/>
    <s v="PSES High Prog01Act26 S275"/>
    <x v="0"/>
    <s v="26"/>
    <m/>
    <n v="26"/>
    <s v="   "/>
    <n v="0.435"/>
    <n v="0.1133"/>
    <n v="0"/>
    <s v="High Health/_x000a_Related Services"/>
  </r>
  <r>
    <x v="92"/>
    <s v="Personnel"/>
    <s v="H "/>
    <x v="1"/>
    <x v="16"/>
    <s v="PSES High Prog01Duty42 S275"/>
    <x v="0"/>
    <s v="42"/>
    <n v="42"/>
    <m/>
    <s v="   "/>
    <n v="1"/>
    <n v="0.1133"/>
    <n v="0"/>
    <s v="High Counselor"/>
  </r>
  <r>
    <x v="93"/>
    <s v="Personnel"/>
    <s v="H "/>
    <x v="1"/>
    <x v="1"/>
    <s v="PSES High Prog01Duty96 S275"/>
    <x v="0"/>
    <s v="24"/>
    <n v="96"/>
    <n v="24"/>
    <s v="   "/>
    <n v="9.3469999999999995"/>
    <n v="0.21929999999999999"/>
    <n v="0"/>
    <s v="High Family Engagement Coordinator"/>
  </r>
  <r>
    <x v="93"/>
    <s v="Personnel"/>
    <s v="H "/>
    <x v="1"/>
    <x v="5"/>
    <s v="PSES High Prog01Act25 S275"/>
    <x v="0"/>
    <s v="25"/>
    <m/>
    <n v="25"/>
    <s v="   "/>
    <n v="33.963000000000001"/>
    <n v="0.21929999999999999"/>
    <n v="0"/>
    <s v="High Pupil Management"/>
  </r>
  <r>
    <x v="93"/>
    <s v="Personnel"/>
    <s v="H "/>
    <x v="1"/>
    <x v="29"/>
    <s v="PSES High Prog21Act26 S275"/>
    <x v="1"/>
    <s v="26"/>
    <m/>
    <n v="26"/>
    <s v="   "/>
    <n v="21.678000000000001"/>
    <n v="0.21929999999999999"/>
    <n v="4.7539999999999996"/>
    <s v="High Health/_x000a_Related Services"/>
  </r>
  <r>
    <x v="93"/>
    <s v="Personnel"/>
    <s v="H "/>
    <x v="1"/>
    <x v="9"/>
    <s v="PSES High Prog01Act26 S275"/>
    <x v="0"/>
    <s v="26"/>
    <m/>
    <n v="26"/>
    <s v="   "/>
    <n v="3.5089999999999999"/>
    <n v="0.21929999999999999"/>
    <n v="0"/>
    <s v="High Health/_x000a_Related Services"/>
  </r>
  <r>
    <x v="93"/>
    <s v="Personnel"/>
    <s v="E "/>
    <x v="0"/>
    <x v="15"/>
    <s v="PSES Elem Prog01Duty42 S275"/>
    <x v="0"/>
    <s v="42"/>
    <n v="42"/>
    <m/>
    <s v="   "/>
    <n v="29.792999999999999"/>
    <n v="0.21929999999999999"/>
    <n v="0"/>
    <s v="Elementary Counselor"/>
  </r>
  <r>
    <x v="93"/>
    <s v="Personnel"/>
    <s v="H "/>
    <x v="1"/>
    <x v="16"/>
    <s v="PSES High Prog01Duty42 S275"/>
    <x v="0"/>
    <s v="42"/>
    <n v="42"/>
    <m/>
    <s v="   "/>
    <n v="29.756"/>
    <n v="0.21929999999999999"/>
    <n v="0"/>
    <s v="High Counselor"/>
  </r>
  <r>
    <x v="93"/>
    <s v="Personnel"/>
    <s v="M "/>
    <x v="2"/>
    <x v="17"/>
    <s v="PSES Mid Prog01Duty42 S275"/>
    <x v="0"/>
    <s v="42"/>
    <n v="42"/>
    <m/>
    <s v="   "/>
    <n v="12.071"/>
    <n v="0.21929999999999999"/>
    <n v="0"/>
    <s v="Middle Counselor"/>
  </r>
  <r>
    <x v="93"/>
    <s v="Personnel"/>
    <s v="E "/>
    <x v="0"/>
    <x v="18"/>
    <s v="PSES Elem Prog21Duty43 S275"/>
    <x v="1"/>
    <s v="43"/>
    <n v="43"/>
    <m/>
    <s v="   "/>
    <n v="6.72"/>
    <n v="0.21929999999999999"/>
    <n v="1.474"/>
    <s v="Elementary Occupational Therapist"/>
  </r>
  <r>
    <x v="93"/>
    <s v="Personnel"/>
    <s v="H "/>
    <x v="1"/>
    <x v="19"/>
    <s v="PSES High Prog21Duty43 S275"/>
    <x v="1"/>
    <s v="43"/>
    <n v="43"/>
    <m/>
    <s v="   "/>
    <n v="5.04"/>
    <n v="0.21929999999999999"/>
    <n v="1.105"/>
    <s v="High Occupational Therapist"/>
  </r>
  <r>
    <x v="93"/>
    <s v="Personnel"/>
    <s v="M "/>
    <x v="2"/>
    <x v="31"/>
    <s v="PSES Mid Prog21Duty43 S275"/>
    <x v="1"/>
    <s v="43"/>
    <n v="43"/>
    <m/>
    <s v="   "/>
    <n v="2.2400000000000002"/>
    <n v="0.21929999999999999"/>
    <n v="0.49099999999999999"/>
    <s v="Middle Occupational Therapist"/>
  </r>
  <r>
    <x v="93"/>
    <s v="Personnel"/>
    <s v="E "/>
    <x v="0"/>
    <x v="41"/>
    <s v="PSES Elem Prog21Duty44 S275"/>
    <x v="1"/>
    <s v="44"/>
    <n v="44"/>
    <m/>
    <s v="   "/>
    <n v="5.2320000000000002"/>
    <n v="0.21929999999999999"/>
    <n v="1.147"/>
    <s v="Elementary Social Worker"/>
  </r>
  <r>
    <x v="93"/>
    <s v="Personnel"/>
    <s v="E "/>
    <x v="0"/>
    <x v="42"/>
    <s v="PSES Elem Prog01Duty44 S275"/>
    <x v="0"/>
    <s v="44"/>
    <n v="44"/>
    <m/>
    <s v="   "/>
    <n v="0.48"/>
    <n v="0.21929999999999999"/>
    <n v="0"/>
    <s v="Elementary Social Worker"/>
  </r>
  <r>
    <x v="93"/>
    <s v="Personnel"/>
    <s v="H "/>
    <x v="1"/>
    <x v="43"/>
    <s v="PSES High Prog21Duty44 S275"/>
    <x v="1"/>
    <s v="44"/>
    <n v="44"/>
    <m/>
    <s v="   "/>
    <n v="3.9239999999999999"/>
    <n v="0.21929999999999999"/>
    <n v="0.86099999999999999"/>
    <s v="High Social Worker"/>
  </r>
  <r>
    <x v="93"/>
    <s v="Personnel"/>
    <s v="H "/>
    <x v="1"/>
    <x v="44"/>
    <s v="PSES High Prog01Duty44 S275"/>
    <x v="0"/>
    <s v="44"/>
    <n v="44"/>
    <m/>
    <s v="   "/>
    <n v="0.36"/>
    <n v="0.21929999999999999"/>
    <n v="0"/>
    <s v="High Social Worker"/>
  </r>
  <r>
    <x v="93"/>
    <s v="Personnel"/>
    <s v="M "/>
    <x v="2"/>
    <x v="45"/>
    <s v="PSES Mid Prog21Duty44 S275"/>
    <x v="1"/>
    <s v="44"/>
    <n v="44"/>
    <m/>
    <s v="   "/>
    <n v="1.744"/>
    <n v="0.21929999999999999"/>
    <n v="0.38200000000000001"/>
    <s v="Middle Social Worker"/>
  </r>
  <r>
    <x v="93"/>
    <s v="Personnel"/>
    <s v="M "/>
    <x v="2"/>
    <x v="46"/>
    <s v="PSES Mid Prog01Duty44 S275"/>
    <x v="0"/>
    <s v="44"/>
    <n v="44"/>
    <m/>
    <s v="   "/>
    <n v="0.16"/>
    <n v="0.21929999999999999"/>
    <n v="0"/>
    <s v="Middle Social Worker"/>
  </r>
  <r>
    <x v="93"/>
    <s v="Personnel"/>
    <s v="E "/>
    <x v="0"/>
    <x v="20"/>
    <s v="PSES Elem Prog21Duty45 S275"/>
    <x v="1"/>
    <s v="45"/>
    <n v="45"/>
    <m/>
    <s v="   "/>
    <n v="16.416"/>
    <n v="0.21929999999999999"/>
    <n v="3.6"/>
    <s v="Elementary Speech, Language Pathway/_x000a_Audio"/>
  </r>
  <r>
    <x v="93"/>
    <s v="Personnel"/>
    <s v="H "/>
    <x v="1"/>
    <x v="21"/>
    <s v="PSES High Prog21Duty45 S275"/>
    <x v="1"/>
    <s v="45"/>
    <n v="45"/>
    <m/>
    <s v="   "/>
    <n v="12.311999999999999"/>
    <n v="0.21929999999999999"/>
    <n v="2.7"/>
    <s v="High Speech, Language Pathway/_x000a_Audio"/>
  </r>
  <r>
    <x v="93"/>
    <s v="Personnel"/>
    <s v="M "/>
    <x v="2"/>
    <x v="28"/>
    <s v="PSES Mid Prog21Duty45 S275"/>
    <x v="1"/>
    <s v="45"/>
    <n v="45"/>
    <m/>
    <s v="   "/>
    <n v="5.4720000000000004"/>
    <n v="0.21929999999999999"/>
    <n v="1.2"/>
    <s v="Middle Speech, Language Pathway/_x000a_Audio"/>
  </r>
  <r>
    <x v="93"/>
    <s v="Personnel"/>
    <s v="E "/>
    <x v="0"/>
    <x v="22"/>
    <s v="PSES Elem Prog21Duty46 S275"/>
    <x v="1"/>
    <s v="46"/>
    <n v="46"/>
    <m/>
    <s v="   "/>
    <n v="12.48"/>
    <n v="0.21929999999999999"/>
    <n v="2.7370000000000001"/>
    <s v="Elementary Psychologist"/>
  </r>
  <r>
    <x v="93"/>
    <s v="Personnel"/>
    <s v="H "/>
    <x v="1"/>
    <x v="23"/>
    <s v="PSES High Prog21Duty46 S275"/>
    <x v="1"/>
    <s v="46"/>
    <n v="46"/>
    <m/>
    <s v="   "/>
    <n v="9.36"/>
    <n v="0.21929999999999999"/>
    <n v="2.0529999999999999"/>
    <s v="High Psychologist"/>
  </r>
  <r>
    <x v="93"/>
    <s v="Personnel"/>
    <s v="M "/>
    <x v="2"/>
    <x v="24"/>
    <s v="PSES Mid Prog21Duty46 S275"/>
    <x v="1"/>
    <s v="46"/>
    <n v="46"/>
    <m/>
    <s v="   "/>
    <n v="4.16"/>
    <n v="0.21929999999999999"/>
    <n v="0.91200000000000003"/>
    <s v="Middle Psychologist"/>
  </r>
  <r>
    <x v="93"/>
    <s v="Personnel"/>
    <s v="E "/>
    <x v="0"/>
    <x v="32"/>
    <s v="PSES Elem Prog21Duty47 S275"/>
    <x v="1"/>
    <s v="47"/>
    <n v="47"/>
    <m/>
    <s v="   "/>
    <n v="0.3"/>
    <n v="0.21929999999999999"/>
    <n v="6.6000000000000003E-2"/>
    <s v="Elementary Nurse"/>
  </r>
  <r>
    <x v="93"/>
    <s v="Personnel"/>
    <s v="E "/>
    <x v="0"/>
    <x v="27"/>
    <s v="PSES Elem Prog01Duty47 S275"/>
    <x v="0"/>
    <s v="47"/>
    <n v="47"/>
    <m/>
    <s v="   "/>
    <n v="8.7040000000000006"/>
    <n v="0.21929999999999999"/>
    <n v="0"/>
    <s v="Elementary Nurse"/>
  </r>
  <r>
    <x v="93"/>
    <s v="Personnel"/>
    <s v="H "/>
    <x v="1"/>
    <x v="25"/>
    <s v="PSES High Prog01Duty47 S275"/>
    <x v="0"/>
    <s v="47"/>
    <n v="47"/>
    <m/>
    <s v="   "/>
    <n v="5.5179999999999998"/>
    <n v="0.21929999999999999"/>
    <n v="0"/>
    <s v="High Nurse"/>
  </r>
  <r>
    <x v="93"/>
    <s v="Personnel"/>
    <s v="M "/>
    <x v="2"/>
    <x v="34"/>
    <s v="PSES Mid Prog01Duty47 S275"/>
    <x v="0"/>
    <s v="47"/>
    <n v="47"/>
    <m/>
    <s v="   "/>
    <n v="3.4780000000000002"/>
    <n v="0.21929999999999999"/>
    <n v="0"/>
    <s v="Middle Nurse"/>
  </r>
  <r>
    <x v="93"/>
    <s v="Personnel"/>
    <s v="E "/>
    <x v="0"/>
    <x v="35"/>
    <s v="PSES Elem Prog21Duty48 S275"/>
    <x v="1"/>
    <s v="48"/>
    <n v="48"/>
    <m/>
    <s v="   "/>
    <n v="2.6880000000000002"/>
    <n v="0.21929999999999999"/>
    <n v="0.58899999999999997"/>
    <s v="Elementary Physical Therapist"/>
  </r>
  <r>
    <x v="93"/>
    <s v="Personnel"/>
    <s v="H "/>
    <x v="1"/>
    <x v="36"/>
    <s v="PSES High Prog21Duty48 S275"/>
    <x v="1"/>
    <s v="48"/>
    <n v="48"/>
    <m/>
    <s v="   "/>
    <n v="2.016"/>
    <n v="0.21929999999999999"/>
    <n v="0.442"/>
    <s v="High Physical Therapist"/>
  </r>
  <r>
    <x v="93"/>
    <s v="Personnel"/>
    <s v="M "/>
    <x v="2"/>
    <x v="37"/>
    <s v="PSES Mid Prog21Duty48 S275"/>
    <x v="1"/>
    <s v="48"/>
    <n v="48"/>
    <m/>
    <s v="   "/>
    <n v="0.89600000000000002"/>
    <n v="0.21929999999999999"/>
    <n v="0.19600000000000001"/>
    <s v="Middle Physical Therapist"/>
  </r>
  <r>
    <x v="93"/>
    <s v="Personnel"/>
    <s v="E "/>
    <x v="0"/>
    <x v="26"/>
    <s v="PSES Elem Prog21Duty49 S275"/>
    <x v="1"/>
    <s v="49"/>
    <n v="49"/>
    <m/>
    <s v="   "/>
    <n v="2.4"/>
    <n v="0.21929999999999999"/>
    <n v="0.52600000000000002"/>
    <s v="Elementary Behavior Analyst"/>
  </r>
  <r>
    <x v="93"/>
    <s v="Personnel"/>
    <s v="H "/>
    <x v="1"/>
    <x v="55"/>
    <s v="PSES High Prog21Duty49 S275"/>
    <x v="1"/>
    <s v="49"/>
    <n v="49"/>
    <m/>
    <s v="   "/>
    <n v="1.8"/>
    <n v="0.21929999999999999"/>
    <n v="0.39500000000000002"/>
    <s v="High Behavior Analyst"/>
  </r>
  <r>
    <x v="93"/>
    <s v="Personnel"/>
    <s v="M "/>
    <x v="2"/>
    <x v="50"/>
    <s v="PSES Mid Prog21Duty49 S275"/>
    <x v="1"/>
    <s v="49"/>
    <n v="49"/>
    <m/>
    <s v="   "/>
    <n v="0.8"/>
    <n v="0.21929999999999999"/>
    <n v="0.17499999999999999"/>
    <s v="Middle Behavior Analyst"/>
  </r>
  <r>
    <x v="94"/>
    <s v="Personnel"/>
    <s v="H "/>
    <x v="1"/>
    <x v="9"/>
    <s v="PSES High Prog01Act26 S275"/>
    <x v="0"/>
    <s v="26"/>
    <m/>
    <n v="26"/>
    <s v="   "/>
    <n v="1.929"/>
    <n v="0.26540000000000002"/>
    <n v="0"/>
    <s v="High Health/_x000a_Related Services"/>
  </r>
  <r>
    <x v="94"/>
    <s v="Personnel"/>
    <s v="H "/>
    <x v="1"/>
    <x v="54"/>
    <s v="PSES High Prog01Act35 S275"/>
    <x v="0"/>
    <s v="35"/>
    <m/>
    <n v="35"/>
    <s v="   "/>
    <n v="2.2050000000000001"/>
    <n v="0.26540000000000002"/>
    <n v="0"/>
    <s v="High Pupil Safety"/>
  </r>
  <r>
    <x v="94"/>
    <s v="Personnel"/>
    <s v="E "/>
    <x v="0"/>
    <x v="15"/>
    <s v="PSES Elem Prog01Duty42 S275"/>
    <x v="0"/>
    <s v="42"/>
    <n v="42"/>
    <m/>
    <s v="   "/>
    <n v="0.34"/>
    <n v="0.26540000000000002"/>
    <n v="0"/>
    <s v="Elementary Counselor"/>
  </r>
  <r>
    <x v="94"/>
    <s v="Personnel"/>
    <s v="H "/>
    <x v="1"/>
    <x v="16"/>
    <s v="PSES High Prog01Duty42 S275"/>
    <x v="0"/>
    <s v="42"/>
    <n v="42"/>
    <m/>
    <s v="   "/>
    <n v="3.5"/>
    <n v="0.26540000000000002"/>
    <n v="0"/>
    <s v="High Counselor"/>
  </r>
  <r>
    <x v="94"/>
    <s v="Personnel"/>
    <s v="M "/>
    <x v="2"/>
    <x v="17"/>
    <s v="PSES Mid Prog01Duty42 S275"/>
    <x v="0"/>
    <s v="42"/>
    <n v="42"/>
    <m/>
    <s v="   "/>
    <n v="0.68200000000000005"/>
    <n v="0.26540000000000002"/>
    <n v="0"/>
    <s v="Middle Counselor"/>
  </r>
  <r>
    <x v="94"/>
    <s v="Personnel"/>
    <s v="E "/>
    <x v="0"/>
    <x v="18"/>
    <s v="PSES Elem Prog21Duty43 S275"/>
    <x v="1"/>
    <s v="43"/>
    <n v="43"/>
    <m/>
    <s v="   "/>
    <n v="0.33400000000000002"/>
    <n v="0.26540000000000002"/>
    <n v="8.8999999999999996E-2"/>
    <s v="Elementary Occupational Therapist"/>
  </r>
  <r>
    <x v="94"/>
    <s v="Personnel"/>
    <s v="H "/>
    <x v="1"/>
    <x v="19"/>
    <s v="PSES High Prog21Duty43 S275"/>
    <x v="1"/>
    <s v="43"/>
    <n v="43"/>
    <m/>
    <s v="   "/>
    <n v="1"/>
    <n v="0.26540000000000002"/>
    <n v="0.26500000000000001"/>
    <s v="High Occupational Therapist"/>
  </r>
  <r>
    <x v="94"/>
    <s v="Personnel"/>
    <s v="M "/>
    <x v="2"/>
    <x v="31"/>
    <s v="PSES Mid Prog21Duty43 S275"/>
    <x v="1"/>
    <s v="43"/>
    <n v="43"/>
    <m/>
    <s v="   "/>
    <n v="0.66600000000000004"/>
    <n v="0.26540000000000002"/>
    <n v="0.17699999999999999"/>
    <s v="Middle Occupational Therapist"/>
  </r>
  <r>
    <x v="94"/>
    <s v="Personnel"/>
    <s v="E "/>
    <x v="0"/>
    <x v="42"/>
    <s v="PSES Elem Prog01Duty44 S275"/>
    <x v="0"/>
    <s v="44"/>
    <n v="44"/>
    <m/>
    <s v="   "/>
    <n v="3"/>
    <n v="0.26540000000000002"/>
    <n v="0"/>
    <s v="Elementary Social Worker"/>
  </r>
  <r>
    <x v="94"/>
    <s v="Personnel"/>
    <s v="E "/>
    <x v="0"/>
    <x v="20"/>
    <s v="PSES Elem Prog21Duty45 S275"/>
    <x v="1"/>
    <s v="45"/>
    <n v="45"/>
    <m/>
    <s v="   "/>
    <n v="3.1669999999999998"/>
    <n v="0.26540000000000002"/>
    <n v="0.84099999999999997"/>
    <s v="Elementary Speech, Language Pathway/_x000a_Audio"/>
  </r>
  <r>
    <x v="94"/>
    <s v="Personnel"/>
    <s v="H "/>
    <x v="1"/>
    <x v="21"/>
    <s v="PSES High Prog21Duty45 S275"/>
    <x v="1"/>
    <s v="45"/>
    <n v="45"/>
    <m/>
    <s v="   "/>
    <n v="1"/>
    <n v="0.26540000000000002"/>
    <n v="0.26500000000000001"/>
    <s v="High Speech, Language Pathway/_x000a_Audio"/>
  </r>
  <r>
    <x v="94"/>
    <s v="Personnel"/>
    <s v="M "/>
    <x v="2"/>
    <x v="28"/>
    <s v="PSES Mid Prog21Duty45 S275"/>
    <x v="1"/>
    <s v="45"/>
    <n v="45"/>
    <m/>
    <s v="   "/>
    <n v="0.83299999999999996"/>
    <n v="0.26540000000000002"/>
    <n v="0.221"/>
    <s v="Middle Speech, Language Pathway/_x000a_Audio"/>
  </r>
  <r>
    <x v="94"/>
    <s v="Personnel"/>
    <s v="E "/>
    <x v="0"/>
    <x v="22"/>
    <s v="PSES Elem Prog21Duty46 S275"/>
    <x v="1"/>
    <s v="46"/>
    <n v="46"/>
    <m/>
    <s v="   "/>
    <n v="2.1669999999999998"/>
    <n v="0.26540000000000002"/>
    <n v="0.57499999999999996"/>
    <s v="Elementary Psychologist"/>
  </r>
  <r>
    <x v="94"/>
    <s v="Personnel"/>
    <s v="H "/>
    <x v="1"/>
    <x v="23"/>
    <s v="PSES High Prog21Duty46 S275"/>
    <x v="1"/>
    <s v="46"/>
    <n v="46"/>
    <m/>
    <s v="   "/>
    <n v="1.5"/>
    <n v="0.26540000000000002"/>
    <n v="0.39800000000000002"/>
    <s v="High Psychologist"/>
  </r>
  <r>
    <x v="94"/>
    <s v="Personnel"/>
    <s v="M "/>
    <x v="2"/>
    <x v="24"/>
    <s v="PSES Mid Prog21Duty46 S275"/>
    <x v="1"/>
    <s v="46"/>
    <n v="46"/>
    <m/>
    <s v="   "/>
    <n v="0.33300000000000002"/>
    <n v="0.26540000000000002"/>
    <n v="8.7999999999999995E-2"/>
    <s v="Middle Psychologist"/>
  </r>
  <r>
    <x v="94"/>
    <s v="Personnel"/>
    <s v="H "/>
    <x v="1"/>
    <x v="25"/>
    <s v="PSES High Prog01Duty47 S275"/>
    <x v="0"/>
    <s v="47"/>
    <n v="47"/>
    <m/>
    <s v="   "/>
    <n v="1"/>
    <n v="0.26540000000000002"/>
    <n v="0"/>
    <s v="High Nurse"/>
  </r>
  <r>
    <x v="94"/>
    <s v="Personnel"/>
    <s v="E "/>
    <x v="0"/>
    <x v="35"/>
    <s v="PSES Elem Prog21Duty48 S275"/>
    <x v="1"/>
    <s v="48"/>
    <n v="48"/>
    <m/>
    <s v="   "/>
    <n v="1"/>
    <n v="0.26540000000000002"/>
    <n v="0.26500000000000001"/>
    <s v="Elementary Physical Therapist"/>
  </r>
  <r>
    <x v="95"/>
    <s v="Personnel"/>
    <s v="H "/>
    <x v="1"/>
    <x v="5"/>
    <s v="PSES High Prog01Act25 S275"/>
    <x v="0"/>
    <s v="25"/>
    <m/>
    <n v="25"/>
    <s v="   "/>
    <n v="3.653"/>
    <n v="0.20519999999999999"/>
    <n v="0"/>
    <s v="High Pupil Management"/>
  </r>
  <r>
    <x v="95"/>
    <s v="Personnel"/>
    <s v="H "/>
    <x v="1"/>
    <x v="29"/>
    <s v="PSES High Prog21Act26 S275"/>
    <x v="1"/>
    <s v="26"/>
    <m/>
    <n v="26"/>
    <s v="   "/>
    <n v="2.37"/>
    <n v="0.20519999999999999"/>
    <n v="0.48599999999999999"/>
    <s v="High Health/_x000a_Related Services"/>
  </r>
  <r>
    <x v="95"/>
    <s v="Personnel"/>
    <s v="H "/>
    <x v="1"/>
    <x v="9"/>
    <s v="PSES High Prog01Act26 S275"/>
    <x v="0"/>
    <s v="26"/>
    <m/>
    <n v="26"/>
    <s v="   "/>
    <n v="1.6639999999999999"/>
    <n v="0.20519999999999999"/>
    <n v="0"/>
    <s v="High Health/_x000a_Related Services"/>
  </r>
  <r>
    <x v="95"/>
    <s v="Personnel"/>
    <s v="H "/>
    <x v="1"/>
    <x v="54"/>
    <s v="PSES High Prog01Act35 S275"/>
    <x v="0"/>
    <s v="35"/>
    <m/>
    <n v="35"/>
    <s v="   "/>
    <n v="1.5549999999999999"/>
    <n v="0.20519999999999999"/>
    <n v="0"/>
    <s v="High Pupil Safety"/>
  </r>
  <r>
    <x v="95"/>
    <s v="Personnel"/>
    <s v="E "/>
    <x v="0"/>
    <x v="15"/>
    <s v="PSES Elem Prog01Duty42 S275"/>
    <x v="0"/>
    <s v="42"/>
    <n v="42"/>
    <m/>
    <s v="   "/>
    <n v="3.99"/>
    <n v="0.20519999999999999"/>
    <n v="0"/>
    <s v="Elementary Counselor"/>
  </r>
  <r>
    <x v="95"/>
    <s v="Personnel"/>
    <s v="H "/>
    <x v="1"/>
    <x v="16"/>
    <s v="PSES High Prog01Duty42 S275"/>
    <x v="0"/>
    <s v="42"/>
    <n v="42"/>
    <m/>
    <s v="   "/>
    <n v="3.02"/>
    <n v="0.20519999999999999"/>
    <n v="0"/>
    <s v="High Counselor"/>
  </r>
  <r>
    <x v="95"/>
    <s v="Personnel"/>
    <s v="M "/>
    <x v="2"/>
    <x v="17"/>
    <s v="PSES Mid Prog01Duty42 S275"/>
    <x v="0"/>
    <s v="42"/>
    <n v="42"/>
    <m/>
    <s v="   "/>
    <n v="1.49"/>
    <n v="0.20519999999999999"/>
    <n v="0"/>
    <s v="Middle Counselor"/>
  </r>
  <r>
    <x v="95"/>
    <s v="Personnel"/>
    <s v="E "/>
    <x v="0"/>
    <x v="20"/>
    <s v="PSES Elem Prog21Duty45 S275"/>
    <x v="1"/>
    <s v="45"/>
    <n v="45"/>
    <m/>
    <s v="   "/>
    <n v="3.35"/>
    <n v="0.20519999999999999"/>
    <n v="0.68700000000000006"/>
    <s v="Elementary Speech, Language Pathway/_x000a_Audio"/>
  </r>
  <r>
    <x v="95"/>
    <s v="Personnel"/>
    <s v="H "/>
    <x v="1"/>
    <x v="21"/>
    <s v="PSES High Prog21Duty45 S275"/>
    <x v="1"/>
    <s v="45"/>
    <n v="45"/>
    <m/>
    <s v="   "/>
    <n v="0.5"/>
    <n v="0.20519999999999999"/>
    <n v="0.10299999999999999"/>
    <s v="High Speech, Language Pathway/_x000a_Audio"/>
  </r>
  <r>
    <x v="95"/>
    <s v="Personnel"/>
    <s v="M "/>
    <x v="2"/>
    <x v="28"/>
    <s v="PSES Mid Prog21Duty45 S275"/>
    <x v="1"/>
    <s v="45"/>
    <n v="45"/>
    <m/>
    <s v="   "/>
    <n v="0.15"/>
    <n v="0.20519999999999999"/>
    <n v="3.1E-2"/>
    <s v="Middle Speech, Language Pathway/_x000a_Audio"/>
  </r>
  <r>
    <x v="95"/>
    <s v="Personnel"/>
    <s v="E "/>
    <x v="0"/>
    <x v="22"/>
    <s v="PSES Elem Prog21Duty46 S275"/>
    <x v="1"/>
    <s v="46"/>
    <n v="46"/>
    <m/>
    <s v="   "/>
    <n v="3.29"/>
    <n v="0.20519999999999999"/>
    <n v="0.67500000000000004"/>
    <s v="Elementary Psychologist"/>
  </r>
  <r>
    <x v="95"/>
    <s v="Personnel"/>
    <s v="E "/>
    <x v="0"/>
    <x v="48"/>
    <s v="PSES Elem Prog01Duty46 S275"/>
    <x v="0"/>
    <s v="46"/>
    <n v="46"/>
    <m/>
    <s v="   "/>
    <n v="0.02"/>
    <n v="0.20519999999999999"/>
    <n v="0"/>
    <s v="Elementary Psychologist"/>
  </r>
  <r>
    <x v="95"/>
    <s v="Personnel"/>
    <s v="H "/>
    <x v="1"/>
    <x v="23"/>
    <s v="PSES High Prog21Duty46 S275"/>
    <x v="1"/>
    <s v="46"/>
    <n v="46"/>
    <m/>
    <s v="   "/>
    <n v="1.81"/>
    <n v="0.20519999999999999"/>
    <n v="0.371"/>
    <s v="High Psychologist"/>
  </r>
  <r>
    <x v="95"/>
    <s v="Personnel"/>
    <s v="E "/>
    <x v="0"/>
    <x v="27"/>
    <s v="PSES Elem Prog01Duty47 S275"/>
    <x v="0"/>
    <s v="47"/>
    <n v="47"/>
    <m/>
    <s v="   "/>
    <n v="2"/>
    <n v="0.20519999999999999"/>
    <n v="0"/>
    <s v="Elementary Nurse"/>
  </r>
  <r>
    <x v="96"/>
    <s v="Personnel"/>
    <s v="E "/>
    <x v="0"/>
    <x v="3"/>
    <s v="PSES Elem Prog01Act25 S275"/>
    <x v="0"/>
    <s v="25"/>
    <m/>
    <n v="25"/>
    <s v="   "/>
    <n v="6.56"/>
    <n v="0.24790000000000001"/>
    <n v="0"/>
    <s v="Elementary Pupil Management"/>
  </r>
  <r>
    <x v="96"/>
    <s v="Personnel"/>
    <s v="H "/>
    <x v="1"/>
    <x v="4"/>
    <s v="PSES High Prog21Act25 S275"/>
    <x v="1"/>
    <s v="25"/>
    <m/>
    <n v="25"/>
    <s v="   "/>
    <n v="5.9790000000000001"/>
    <n v="0.24790000000000001"/>
    <n v="1.482"/>
    <s v="High Pupil Management"/>
  </r>
  <r>
    <x v="96"/>
    <s v="Personnel"/>
    <s v="H "/>
    <x v="1"/>
    <x v="5"/>
    <s v="PSES High Prog01Act25 S275"/>
    <x v="0"/>
    <s v="25"/>
    <m/>
    <n v="25"/>
    <s v="   "/>
    <n v="6.2060000000000004"/>
    <n v="0.24790000000000001"/>
    <n v="0"/>
    <s v="High Pupil Management"/>
  </r>
  <r>
    <x v="96"/>
    <s v="Personnel"/>
    <s v="M "/>
    <x v="2"/>
    <x v="6"/>
    <s v="PSES Mid Prog01Act25 S275"/>
    <x v="0"/>
    <s v="25"/>
    <m/>
    <n v="25"/>
    <s v="   "/>
    <n v="2.262"/>
    <n v="0.24790000000000001"/>
    <n v="0"/>
    <s v="Middle Pupil Management"/>
  </r>
  <r>
    <x v="96"/>
    <s v="Personnel"/>
    <s v="E "/>
    <x v="0"/>
    <x v="7"/>
    <s v="PSES Elem Prog21Act26 S275"/>
    <x v="1"/>
    <s v="26"/>
    <m/>
    <n v="26"/>
    <s v="   "/>
    <n v="4.5940000000000003"/>
    <n v="0.24790000000000001"/>
    <n v="1.139"/>
    <s v="Elementary Health/_x000a_Related Services"/>
  </r>
  <r>
    <x v="96"/>
    <s v="Personnel"/>
    <s v="E "/>
    <x v="0"/>
    <x v="8"/>
    <s v="PSES Elem Prog01Act26 S275"/>
    <x v="0"/>
    <s v="26"/>
    <m/>
    <n v="26"/>
    <s v="   "/>
    <n v="10.7"/>
    <n v="0.24790000000000001"/>
    <n v="0"/>
    <s v="Elementary Health/_x000a_Related Services"/>
  </r>
  <r>
    <x v="96"/>
    <s v="Personnel"/>
    <s v="H "/>
    <x v="1"/>
    <x v="29"/>
    <s v="PSES High Prog21Act26 S275"/>
    <x v="1"/>
    <s v="26"/>
    <m/>
    <n v="26"/>
    <s v="   "/>
    <n v="3.8079999999999998"/>
    <n v="0.24790000000000001"/>
    <n v="0.94399999999999995"/>
    <s v="High Health/_x000a_Related Services"/>
  </r>
  <r>
    <x v="96"/>
    <s v="Personnel"/>
    <s v="H "/>
    <x v="1"/>
    <x v="9"/>
    <s v="PSES High Prog01Act26 S275"/>
    <x v="0"/>
    <s v="26"/>
    <m/>
    <n v="26"/>
    <s v="   "/>
    <n v="1.9590000000000001"/>
    <n v="0.24790000000000001"/>
    <n v="0"/>
    <s v="High Health/_x000a_Related Services"/>
  </r>
  <r>
    <x v="96"/>
    <s v="Personnel"/>
    <s v="M "/>
    <x v="2"/>
    <x v="10"/>
    <s v="PSES Mid Prog21Act26 S275"/>
    <x v="1"/>
    <s v="26"/>
    <m/>
    <n v="26"/>
    <s v="   "/>
    <n v="1.369"/>
    <n v="0.24790000000000001"/>
    <n v="0.33900000000000002"/>
    <s v="Middle Health/_x000a_Related Services"/>
  </r>
  <r>
    <x v="96"/>
    <s v="Personnel"/>
    <s v="M "/>
    <x v="2"/>
    <x v="11"/>
    <s v="PSES Mid Prog01Act26 S275"/>
    <x v="0"/>
    <s v="26"/>
    <m/>
    <n v="26"/>
    <s v="   "/>
    <n v="1.8180000000000001"/>
    <n v="0.24790000000000001"/>
    <n v="0"/>
    <s v="Middle Health/_x000a_Related Services"/>
  </r>
  <r>
    <x v="96"/>
    <s v="Personnel"/>
    <s v="H "/>
    <x v="1"/>
    <x v="12"/>
    <s v="PSES High Prog97Act35 S275"/>
    <x v="2"/>
    <s v="35"/>
    <m/>
    <n v="35"/>
    <s v="   "/>
    <n v="6.742"/>
    <n v="0.24790000000000001"/>
    <n v="0"/>
    <s v="High Pupil Safety"/>
  </r>
  <r>
    <x v="96"/>
    <s v="Personnel"/>
    <s v="M "/>
    <x v="2"/>
    <x v="13"/>
    <s v="PSES Mid Prog97Act35 S275"/>
    <x v="2"/>
    <s v="35"/>
    <m/>
    <n v="35"/>
    <s v="   "/>
    <n v="3.71"/>
    <n v="0.24790000000000001"/>
    <n v="0"/>
    <s v="Middle Pupil Safety"/>
  </r>
  <r>
    <x v="96"/>
    <s v="Personnel"/>
    <s v="E "/>
    <x v="0"/>
    <x v="15"/>
    <s v="PSES Elem Prog01Duty42 S275"/>
    <x v="0"/>
    <s v="42"/>
    <n v="42"/>
    <m/>
    <s v="   "/>
    <n v="23.728999999999999"/>
    <n v="0.24790000000000001"/>
    <n v="0"/>
    <s v="Elementary Counselor"/>
  </r>
  <r>
    <x v="96"/>
    <s v="Personnel"/>
    <s v="H "/>
    <x v="1"/>
    <x v="16"/>
    <s v="PSES High Prog01Duty42 S275"/>
    <x v="0"/>
    <s v="42"/>
    <n v="42"/>
    <m/>
    <s v="   "/>
    <n v="17"/>
    <n v="0.24790000000000001"/>
    <n v="0"/>
    <s v="High Counselor"/>
  </r>
  <r>
    <x v="96"/>
    <s v="Personnel"/>
    <s v="M "/>
    <x v="2"/>
    <x v="17"/>
    <s v="PSES Mid Prog01Duty42 S275"/>
    <x v="0"/>
    <s v="42"/>
    <n v="42"/>
    <m/>
    <s v="   "/>
    <n v="8.1039999999999992"/>
    <n v="0.24790000000000001"/>
    <n v="0"/>
    <s v="Middle Counselor"/>
  </r>
  <r>
    <x v="96"/>
    <s v="Personnel"/>
    <s v="E "/>
    <x v="0"/>
    <x v="18"/>
    <s v="PSES Elem Prog21Duty43 S275"/>
    <x v="1"/>
    <s v="43"/>
    <n v="43"/>
    <m/>
    <s v="   "/>
    <n v="10.911"/>
    <n v="0.24790000000000001"/>
    <n v="2.7050000000000001"/>
    <s v="Elementary Occupational Therapist"/>
  </r>
  <r>
    <x v="96"/>
    <s v="Personnel"/>
    <s v="H "/>
    <x v="1"/>
    <x v="19"/>
    <s v="PSES High Prog21Duty43 S275"/>
    <x v="1"/>
    <s v="43"/>
    <n v="43"/>
    <m/>
    <s v="   "/>
    <n v="0.73"/>
    <n v="0.24790000000000001"/>
    <n v="0.18099999999999999"/>
    <s v="High Occupational Therapist"/>
  </r>
  <r>
    <x v="96"/>
    <s v="Personnel"/>
    <s v="M "/>
    <x v="2"/>
    <x v="31"/>
    <s v="PSES Mid Prog21Duty43 S275"/>
    <x v="1"/>
    <s v="43"/>
    <n v="43"/>
    <m/>
    <s v="   "/>
    <n v="0.55900000000000005"/>
    <n v="0.24790000000000001"/>
    <n v="0.13900000000000001"/>
    <s v="Middle Occupational Therapist"/>
  </r>
  <r>
    <x v="96"/>
    <s v="Personnel"/>
    <s v="E "/>
    <x v="0"/>
    <x v="42"/>
    <s v="PSES Elem Prog01Duty44 S275"/>
    <x v="0"/>
    <s v="44"/>
    <n v="44"/>
    <m/>
    <s v="   "/>
    <n v="2"/>
    <n v="0.24790000000000001"/>
    <n v="0"/>
    <s v="Elementary Social Worker"/>
  </r>
  <r>
    <x v="96"/>
    <s v="Personnel"/>
    <s v="H "/>
    <x v="1"/>
    <x v="44"/>
    <s v="PSES High Prog01Duty44 S275"/>
    <x v="0"/>
    <s v="44"/>
    <n v="44"/>
    <m/>
    <s v="   "/>
    <n v="1"/>
    <n v="0.24790000000000001"/>
    <n v="0"/>
    <s v="High Social Worker"/>
  </r>
  <r>
    <x v="96"/>
    <s v="Personnel"/>
    <s v="E "/>
    <x v="0"/>
    <x v="20"/>
    <s v="PSES Elem Prog21Duty45 S275"/>
    <x v="1"/>
    <s v="45"/>
    <n v="45"/>
    <m/>
    <s v="   "/>
    <n v="25.995999999999999"/>
    <n v="0.24790000000000001"/>
    <n v="6.444"/>
    <s v="Elementary Speech, Language Pathway/_x000a_Audio"/>
  </r>
  <r>
    <x v="96"/>
    <s v="Personnel"/>
    <s v="E "/>
    <x v="0"/>
    <x v="47"/>
    <s v="PSES Elem Prog01Duty45 S275"/>
    <x v="0"/>
    <s v="45"/>
    <n v="45"/>
    <m/>
    <s v="   "/>
    <n v="0.5"/>
    <n v="0.24790000000000001"/>
    <n v="0"/>
    <s v="Elementary Speech, Language Pathway/_x000a_Audio"/>
  </r>
  <r>
    <x v="96"/>
    <s v="Personnel"/>
    <s v="H "/>
    <x v="1"/>
    <x v="21"/>
    <s v="PSES High Prog21Duty45 S275"/>
    <x v="1"/>
    <s v="45"/>
    <n v="45"/>
    <m/>
    <s v="   "/>
    <n v="4.3"/>
    <n v="0.24790000000000001"/>
    <n v="1.0660000000000001"/>
    <s v="High Speech, Language Pathway/_x000a_Audio"/>
  </r>
  <r>
    <x v="96"/>
    <s v="Personnel"/>
    <s v="M "/>
    <x v="2"/>
    <x v="28"/>
    <s v="PSES Mid Prog21Duty45 S275"/>
    <x v="1"/>
    <s v="45"/>
    <n v="45"/>
    <m/>
    <s v="   "/>
    <n v="3.004"/>
    <n v="0.24790000000000001"/>
    <n v="0.745"/>
    <s v="Middle Speech, Language Pathway/_x000a_Audio"/>
  </r>
  <r>
    <x v="96"/>
    <s v="Personnel"/>
    <s v="E "/>
    <x v="0"/>
    <x v="22"/>
    <s v="PSES Elem Prog21Duty46 S275"/>
    <x v="1"/>
    <s v="46"/>
    <n v="46"/>
    <m/>
    <s v="   "/>
    <n v="13.272"/>
    <n v="0.24790000000000001"/>
    <n v="3.29"/>
    <s v="Elementary Psychologist"/>
  </r>
  <r>
    <x v="96"/>
    <s v="Personnel"/>
    <s v="H "/>
    <x v="1"/>
    <x v="23"/>
    <s v="PSES High Prog21Duty46 S275"/>
    <x v="1"/>
    <s v="46"/>
    <n v="46"/>
    <m/>
    <s v="   "/>
    <n v="4.4409999999999998"/>
    <n v="0.24790000000000001"/>
    <n v="1.101"/>
    <s v="High Psychologist"/>
  </r>
  <r>
    <x v="96"/>
    <s v="Personnel"/>
    <s v="M "/>
    <x v="2"/>
    <x v="24"/>
    <s v="PSES Mid Prog21Duty46 S275"/>
    <x v="1"/>
    <s v="46"/>
    <n v="46"/>
    <m/>
    <s v="   "/>
    <n v="1.998"/>
    <n v="0.24790000000000001"/>
    <n v="0.495"/>
    <s v="Middle Psychologist"/>
  </r>
  <r>
    <x v="96"/>
    <s v="Personnel"/>
    <s v="E "/>
    <x v="0"/>
    <x v="27"/>
    <s v="PSES Elem Prog01Duty47 S275"/>
    <x v="0"/>
    <s v="47"/>
    <n v="47"/>
    <m/>
    <s v="   "/>
    <n v="9.7940000000000005"/>
    <n v="0.24790000000000001"/>
    <n v="0"/>
    <s v="Elementary Nurse"/>
  </r>
  <r>
    <x v="96"/>
    <s v="Personnel"/>
    <s v="H "/>
    <x v="1"/>
    <x v="25"/>
    <s v="PSES High Prog01Duty47 S275"/>
    <x v="0"/>
    <s v="47"/>
    <n v="47"/>
    <m/>
    <s v="   "/>
    <n v="2.2669999999999999"/>
    <n v="0.24790000000000001"/>
    <n v="0"/>
    <s v="High Nurse"/>
  </r>
  <r>
    <x v="96"/>
    <s v="Personnel"/>
    <s v="M "/>
    <x v="2"/>
    <x v="34"/>
    <s v="PSES Mid Prog01Duty47 S275"/>
    <x v="0"/>
    <s v="47"/>
    <n v="47"/>
    <m/>
    <s v="   "/>
    <n v="3.4169999999999998"/>
    <n v="0.24790000000000001"/>
    <n v="0"/>
    <s v="Middle Nurse"/>
  </r>
  <r>
    <x v="96"/>
    <s v="Personnel"/>
    <s v="E "/>
    <x v="0"/>
    <x v="35"/>
    <s v="PSES Elem Prog21Duty48 S275"/>
    <x v="1"/>
    <s v="48"/>
    <n v="48"/>
    <m/>
    <s v="   "/>
    <n v="2.02"/>
    <n v="0.24790000000000001"/>
    <n v="0.501"/>
    <s v="Elementary Physical Therapist"/>
  </r>
  <r>
    <x v="96"/>
    <s v="Personnel"/>
    <s v="H "/>
    <x v="1"/>
    <x v="36"/>
    <s v="PSES High Prog21Duty48 S275"/>
    <x v="1"/>
    <s v="48"/>
    <n v="48"/>
    <m/>
    <s v="   "/>
    <n v="0.55000000000000004"/>
    <n v="0.24790000000000001"/>
    <n v="0.13600000000000001"/>
    <s v="High Physical Therapist"/>
  </r>
  <r>
    <x v="96"/>
    <s v="Personnel"/>
    <s v="M "/>
    <x v="2"/>
    <x v="37"/>
    <s v="PSES Mid Prog21Duty48 S275"/>
    <x v="1"/>
    <s v="48"/>
    <n v="48"/>
    <m/>
    <s v="   "/>
    <n v="0.43"/>
    <n v="0.24790000000000001"/>
    <n v="0.107"/>
    <s v="Middle Physical Therapist"/>
  </r>
  <r>
    <x v="96"/>
    <s v="Personnel"/>
    <s v="E "/>
    <x v="0"/>
    <x v="26"/>
    <s v="PSES Elem Prog21Duty49 S275"/>
    <x v="1"/>
    <s v="49"/>
    <n v="49"/>
    <m/>
    <s v="   "/>
    <n v="1.67"/>
    <n v="0.24790000000000001"/>
    <n v="0.41399999999999998"/>
    <s v="Elementary Behavior Analyst"/>
  </r>
  <r>
    <x v="96"/>
    <s v="Personnel"/>
    <s v="H "/>
    <x v="1"/>
    <x v="55"/>
    <s v="PSES High Prog21Duty49 S275"/>
    <x v="1"/>
    <s v="49"/>
    <n v="49"/>
    <m/>
    <s v="   "/>
    <n v="1.67"/>
    <n v="0.24790000000000001"/>
    <n v="0.41399999999999998"/>
    <s v="High Behavior Analyst"/>
  </r>
  <r>
    <x v="96"/>
    <s v="Personnel"/>
    <s v="M "/>
    <x v="2"/>
    <x v="50"/>
    <s v="PSES Mid Prog21Duty49 S275"/>
    <x v="1"/>
    <s v="49"/>
    <n v="49"/>
    <m/>
    <s v="   "/>
    <n v="0.66"/>
    <n v="0.24790000000000001"/>
    <n v="0.16400000000000001"/>
    <s v="Middle Behavior Analyst"/>
  </r>
  <r>
    <x v="97"/>
    <s v="Personnel"/>
    <s v="H "/>
    <x v="1"/>
    <x v="5"/>
    <s v="PSES High Prog01Act25 S275"/>
    <x v="0"/>
    <s v="25"/>
    <m/>
    <n v="25"/>
    <s v="   "/>
    <n v="2.5619999999999998"/>
    <n v="0.2366"/>
    <n v="0"/>
    <s v="High Pupil Management"/>
  </r>
  <r>
    <x v="97"/>
    <s v="Personnel"/>
    <s v="H "/>
    <x v="1"/>
    <x v="29"/>
    <s v="PSES High Prog21Act26 S275"/>
    <x v="1"/>
    <s v="26"/>
    <m/>
    <n v="26"/>
    <s v="   "/>
    <n v="2.081"/>
    <n v="0.2366"/>
    <n v="0.49199999999999999"/>
    <s v="High Health/_x000a_Related Services"/>
  </r>
  <r>
    <x v="97"/>
    <s v="Personnel"/>
    <s v="H "/>
    <x v="1"/>
    <x v="9"/>
    <s v="PSES High Prog01Act26 S275"/>
    <x v="0"/>
    <s v="26"/>
    <m/>
    <n v="26"/>
    <s v="   "/>
    <n v="14.076000000000001"/>
    <n v="0.2366"/>
    <n v="0"/>
    <s v="High Health/_x000a_Related Services"/>
  </r>
  <r>
    <x v="97"/>
    <s v="Personnel"/>
    <s v="H "/>
    <x v="1"/>
    <x v="12"/>
    <s v="PSES High Prog97Act35 S275"/>
    <x v="2"/>
    <s v="35"/>
    <m/>
    <n v="35"/>
    <s v="   "/>
    <n v="2.113"/>
    <n v="0.2366"/>
    <n v="0"/>
    <s v="High Pupil Safety"/>
  </r>
  <r>
    <x v="97"/>
    <s v="Personnel"/>
    <s v="E "/>
    <x v="0"/>
    <x v="15"/>
    <s v="PSES Elem Prog01Duty42 S275"/>
    <x v="0"/>
    <s v="42"/>
    <n v="42"/>
    <m/>
    <s v="   "/>
    <n v="8.2349999999999994"/>
    <n v="0.2366"/>
    <n v="0"/>
    <s v="Elementary Counselor"/>
  </r>
  <r>
    <x v="97"/>
    <s v="Personnel"/>
    <s v="H "/>
    <x v="1"/>
    <x v="16"/>
    <s v="PSES High Prog01Duty42 S275"/>
    <x v="0"/>
    <s v="42"/>
    <n v="42"/>
    <m/>
    <s v="   "/>
    <n v="6.2"/>
    <n v="0.2366"/>
    <n v="0"/>
    <s v="High Counselor"/>
  </r>
  <r>
    <x v="97"/>
    <s v="Personnel"/>
    <s v="M "/>
    <x v="2"/>
    <x v="17"/>
    <s v="PSES Mid Prog01Duty42 S275"/>
    <x v="0"/>
    <s v="42"/>
    <n v="42"/>
    <m/>
    <s v="   "/>
    <n v="4.7649999999999997"/>
    <n v="0.2366"/>
    <n v="0"/>
    <s v="Middle Counselor"/>
  </r>
  <r>
    <x v="97"/>
    <s v="Personnel"/>
    <s v="E "/>
    <x v="0"/>
    <x v="18"/>
    <s v="PSES Elem Prog21Duty43 S275"/>
    <x v="1"/>
    <s v="43"/>
    <n v="43"/>
    <m/>
    <s v="   "/>
    <n v="2.1930000000000001"/>
    <n v="0.2366"/>
    <n v="0.51900000000000002"/>
    <s v="Elementary Occupational Therapist"/>
  </r>
  <r>
    <x v="97"/>
    <s v="Personnel"/>
    <s v="H "/>
    <x v="1"/>
    <x v="19"/>
    <s v="PSES High Prog21Duty43 S275"/>
    <x v="1"/>
    <s v="43"/>
    <n v="43"/>
    <m/>
    <s v="   "/>
    <n v="0.73"/>
    <n v="0.2366"/>
    <n v="0.17299999999999999"/>
    <s v="High Occupational Therapist"/>
  </r>
  <r>
    <x v="97"/>
    <s v="Personnel"/>
    <s v="M "/>
    <x v="2"/>
    <x v="31"/>
    <s v="PSES Mid Prog21Duty43 S275"/>
    <x v="1"/>
    <s v="43"/>
    <n v="43"/>
    <m/>
    <s v="   "/>
    <n v="0.1"/>
    <n v="0.2366"/>
    <n v="2.4E-2"/>
    <s v="Middle Occupational Therapist"/>
  </r>
  <r>
    <x v="97"/>
    <s v="Personnel"/>
    <s v="E "/>
    <x v="0"/>
    <x v="20"/>
    <s v="PSES Elem Prog21Duty45 S275"/>
    <x v="1"/>
    <s v="45"/>
    <n v="45"/>
    <m/>
    <s v="   "/>
    <n v="10.795"/>
    <n v="0.2366"/>
    <n v="2.5539999999999998"/>
    <s v="Elementary Speech, Language Pathway/_x000a_Audio"/>
  </r>
  <r>
    <x v="97"/>
    <s v="Personnel"/>
    <s v="H "/>
    <x v="1"/>
    <x v="21"/>
    <s v="PSES High Prog21Duty45 S275"/>
    <x v="1"/>
    <s v="45"/>
    <n v="45"/>
    <m/>
    <s v="   "/>
    <n v="1.6120000000000001"/>
    <n v="0.2366"/>
    <n v="0.38100000000000001"/>
    <s v="High Speech, Language Pathway/_x000a_Audio"/>
  </r>
  <r>
    <x v="97"/>
    <s v="Personnel"/>
    <s v="M "/>
    <x v="2"/>
    <x v="28"/>
    <s v="PSES Mid Prog21Duty45 S275"/>
    <x v="1"/>
    <s v="45"/>
    <n v="45"/>
    <m/>
    <s v="   "/>
    <n v="1.1000000000000001"/>
    <n v="0.2366"/>
    <n v="0.26"/>
    <s v="Middle Speech, Language Pathway/_x000a_Audio"/>
  </r>
  <r>
    <x v="97"/>
    <s v="Personnel"/>
    <s v="E "/>
    <x v="0"/>
    <x v="22"/>
    <s v="PSES Elem Prog21Duty46 S275"/>
    <x v="1"/>
    <s v="46"/>
    <n v="46"/>
    <m/>
    <s v="   "/>
    <n v="5.3029999999999999"/>
    <n v="0.2366"/>
    <n v="1.2549999999999999"/>
    <s v="Elementary Psychologist"/>
  </r>
  <r>
    <x v="97"/>
    <s v="Personnel"/>
    <s v="H "/>
    <x v="1"/>
    <x v="23"/>
    <s v="PSES High Prog21Duty46 S275"/>
    <x v="1"/>
    <s v="46"/>
    <n v="46"/>
    <m/>
    <s v="   "/>
    <n v="2"/>
    <n v="0.2366"/>
    <n v="0.47299999999999998"/>
    <s v="High Psychologist"/>
  </r>
  <r>
    <x v="97"/>
    <s v="Personnel"/>
    <s v="M "/>
    <x v="2"/>
    <x v="24"/>
    <s v="PSES Mid Prog21Duty46 S275"/>
    <x v="1"/>
    <s v="46"/>
    <n v="46"/>
    <m/>
    <s v="   "/>
    <n v="0.67"/>
    <n v="0.2366"/>
    <n v="0.159"/>
    <s v="Middle Psychologist"/>
  </r>
  <r>
    <x v="97"/>
    <s v="Personnel"/>
    <s v="E "/>
    <x v="0"/>
    <x v="27"/>
    <s v="PSES Elem Prog01Duty47 S275"/>
    <x v="0"/>
    <s v="47"/>
    <n v="47"/>
    <m/>
    <s v="   "/>
    <n v="1.06"/>
    <n v="0.2366"/>
    <n v="0"/>
    <s v="Elementary Nurse"/>
  </r>
  <r>
    <x v="97"/>
    <s v="Personnel"/>
    <s v="H "/>
    <x v="1"/>
    <x v="25"/>
    <s v="PSES High Prog01Duty47 S275"/>
    <x v="0"/>
    <s v="47"/>
    <n v="47"/>
    <m/>
    <s v="   "/>
    <n v="0.52"/>
    <n v="0.2366"/>
    <n v="0"/>
    <s v="High Nurse"/>
  </r>
  <r>
    <x v="97"/>
    <s v="Personnel"/>
    <s v="M "/>
    <x v="2"/>
    <x v="34"/>
    <s v="PSES Mid Prog01Duty47 S275"/>
    <x v="0"/>
    <s v="47"/>
    <n v="47"/>
    <m/>
    <s v="   "/>
    <n v="0.32"/>
    <n v="0.2366"/>
    <n v="0"/>
    <s v="Middle Nurse"/>
  </r>
  <r>
    <x v="97"/>
    <s v="Personnel"/>
    <s v="E "/>
    <x v="0"/>
    <x v="35"/>
    <s v="PSES Elem Prog21Duty48 S275"/>
    <x v="1"/>
    <s v="48"/>
    <n v="48"/>
    <m/>
    <s v="   "/>
    <n v="0.66"/>
    <n v="0.2366"/>
    <n v="0.156"/>
    <s v="Elementary Physical Therapist"/>
  </r>
  <r>
    <x v="97"/>
    <s v="Personnel"/>
    <s v="H "/>
    <x v="1"/>
    <x v="36"/>
    <s v="PSES High Prog21Duty48 S275"/>
    <x v="1"/>
    <s v="48"/>
    <n v="48"/>
    <m/>
    <s v="   "/>
    <n v="0.26"/>
    <n v="0.2366"/>
    <n v="6.2E-2"/>
    <s v="High Physical Therapist"/>
  </r>
  <r>
    <x v="97"/>
    <s v="Personnel"/>
    <s v="M "/>
    <x v="2"/>
    <x v="37"/>
    <s v="PSES Mid Prog21Duty48 S275"/>
    <x v="1"/>
    <s v="48"/>
    <n v="48"/>
    <m/>
    <s v="   "/>
    <n v="0.08"/>
    <n v="0.2366"/>
    <n v="1.9E-2"/>
    <s v="Middle Physical Therapist"/>
  </r>
  <r>
    <x v="98"/>
    <s v="Personnel"/>
    <s v="H "/>
    <x v="1"/>
    <x v="1"/>
    <s v="PSES High Prog01Duty96 S275"/>
    <x v="0"/>
    <s v="24"/>
    <n v="96"/>
    <n v="24"/>
    <s v="   "/>
    <n v="0.70799999999999996"/>
    <n v="0.23169999999999999"/>
    <n v="0"/>
    <s v="High Family Engagement Coordinator"/>
  </r>
  <r>
    <x v="98"/>
    <s v="Personnel"/>
    <s v="H "/>
    <x v="1"/>
    <x v="5"/>
    <s v="PSES High Prog01Act25 S275"/>
    <x v="0"/>
    <s v="25"/>
    <m/>
    <n v="25"/>
    <s v="   "/>
    <n v="6.1740000000000004"/>
    <n v="0.23169999999999999"/>
    <n v="0"/>
    <s v="High Pupil Management"/>
  </r>
  <r>
    <x v="98"/>
    <s v="Personnel"/>
    <s v="H "/>
    <x v="1"/>
    <x v="29"/>
    <s v="PSES High Prog21Act26 S275"/>
    <x v="1"/>
    <s v="26"/>
    <m/>
    <n v="26"/>
    <s v="   "/>
    <n v="2.452"/>
    <n v="0.23169999999999999"/>
    <n v="0.56799999999999995"/>
    <s v="High Health/_x000a_Related Services"/>
  </r>
  <r>
    <x v="98"/>
    <s v="Personnel"/>
    <s v="H "/>
    <x v="1"/>
    <x v="9"/>
    <s v="PSES High Prog01Act26 S275"/>
    <x v="0"/>
    <s v="26"/>
    <m/>
    <n v="26"/>
    <s v="   "/>
    <n v="1.4430000000000001"/>
    <n v="0.23169999999999999"/>
    <n v="0"/>
    <s v="High Health/_x000a_Related Services"/>
  </r>
  <r>
    <x v="98"/>
    <s v="Personnel"/>
    <s v="E "/>
    <x v="0"/>
    <x v="15"/>
    <s v="PSES Elem Prog01Duty42 S275"/>
    <x v="0"/>
    <s v="42"/>
    <n v="42"/>
    <m/>
    <s v="   "/>
    <n v="8.75"/>
    <n v="0.23169999999999999"/>
    <n v="0"/>
    <s v="Elementary Counselor"/>
  </r>
  <r>
    <x v="98"/>
    <s v="Personnel"/>
    <s v="H "/>
    <x v="1"/>
    <x v="16"/>
    <s v="PSES High Prog01Duty42 S275"/>
    <x v="0"/>
    <s v="42"/>
    <n v="42"/>
    <m/>
    <s v="   "/>
    <n v="4.12"/>
    <n v="0.23169999999999999"/>
    <n v="0"/>
    <s v="High Counselor"/>
  </r>
  <r>
    <x v="98"/>
    <s v="Personnel"/>
    <s v="M "/>
    <x v="2"/>
    <x v="17"/>
    <s v="PSES Mid Prog01Duty42 S275"/>
    <x v="0"/>
    <s v="42"/>
    <n v="42"/>
    <m/>
    <s v="   "/>
    <n v="3.25"/>
    <n v="0.23169999999999999"/>
    <n v="0"/>
    <s v="Middle Counselor"/>
  </r>
  <r>
    <x v="98"/>
    <s v="Personnel"/>
    <s v="E "/>
    <x v="0"/>
    <x v="18"/>
    <s v="PSES Elem Prog21Duty43 S275"/>
    <x v="1"/>
    <s v="43"/>
    <n v="43"/>
    <m/>
    <s v="   "/>
    <n v="2.206"/>
    <n v="0.23169999999999999"/>
    <n v="0.51100000000000001"/>
    <s v="Elementary Occupational Therapist"/>
  </r>
  <r>
    <x v="98"/>
    <s v="Personnel"/>
    <s v="H "/>
    <x v="1"/>
    <x v="19"/>
    <s v="PSES High Prog21Duty43 S275"/>
    <x v="1"/>
    <s v="43"/>
    <n v="43"/>
    <m/>
    <s v="   "/>
    <n v="0.93500000000000005"/>
    <n v="0.23169999999999999"/>
    <n v="0.217"/>
    <s v="High Occupational Therapist"/>
  </r>
  <r>
    <x v="98"/>
    <s v="Personnel"/>
    <s v="M "/>
    <x v="2"/>
    <x v="31"/>
    <s v="PSES Mid Prog21Duty43 S275"/>
    <x v="1"/>
    <s v="43"/>
    <n v="43"/>
    <m/>
    <s v="   "/>
    <n v="0.59899999999999998"/>
    <n v="0.23169999999999999"/>
    <n v="0.13900000000000001"/>
    <s v="Middle Occupational Therapist"/>
  </r>
  <r>
    <x v="98"/>
    <s v="Personnel"/>
    <s v="E "/>
    <x v="0"/>
    <x v="42"/>
    <s v="PSES Elem Prog01Duty44 S275"/>
    <x v="0"/>
    <s v="44"/>
    <n v="44"/>
    <m/>
    <s v="   "/>
    <n v="1.7"/>
    <n v="0.23169999999999999"/>
    <n v="0"/>
    <s v="Elementary Social Worker"/>
  </r>
  <r>
    <x v="98"/>
    <s v="Personnel"/>
    <s v="H "/>
    <x v="1"/>
    <x v="44"/>
    <s v="PSES High Prog01Duty44 S275"/>
    <x v="0"/>
    <s v="44"/>
    <n v="44"/>
    <m/>
    <s v="   "/>
    <n v="1"/>
    <n v="0.23169999999999999"/>
    <n v="0"/>
    <s v="High Social Worker"/>
  </r>
  <r>
    <x v="98"/>
    <s v="Personnel"/>
    <s v="M "/>
    <x v="2"/>
    <x v="46"/>
    <s v="PSES Mid Prog01Duty44 S275"/>
    <x v="0"/>
    <s v="44"/>
    <n v="44"/>
    <m/>
    <s v="   "/>
    <n v="1.3"/>
    <n v="0.23169999999999999"/>
    <n v="0"/>
    <s v="Middle Social Worker"/>
  </r>
  <r>
    <x v="98"/>
    <s v="Personnel"/>
    <s v="E "/>
    <x v="0"/>
    <x v="20"/>
    <s v="PSES Elem Prog21Duty45 S275"/>
    <x v="1"/>
    <s v="45"/>
    <n v="45"/>
    <m/>
    <s v="   "/>
    <n v="5.5030000000000001"/>
    <n v="0.23169999999999999"/>
    <n v="1.2749999999999999"/>
    <s v="Elementary Speech, Language Pathway/_x000a_Audio"/>
  </r>
  <r>
    <x v="98"/>
    <s v="Personnel"/>
    <s v="H "/>
    <x v="1"/>
    <x v="21"/>
    <s v="PSES High Prog21Duty45 S275"/>
    <x v="1"/>
    <s v="45"/>
    <n v="45"/>
    <m/>
    <s v="   "/>
    <n v="3.6"/>
    <n v="0.23169999999999999"/>
    <n v="0.83399999999999996"/>
    <s v="High Speech, Language Pathway/_x000a_Audio"/>
  </r>
  <r>
    <x v="98"/>
    <s v="Personnel"/>
    <s v="E "/>
    <x v="0"/>
    <x v="22"/>
    <s v="PSES Elem Prog21Duty46 S275"/>
    <x v="1"/>
    <s v="46"/>
    <n v="46"/>
    <m/>
    <s v="   "/>
    <n v="8.1720000000000006"/>
    <n v="0.23169999999999999"/>
    <n v="1.893"/>
    <s v="Elementary Psychologist"/>
  </r>
  <r>
    <x v="98"/>
    <s v="Personnel"/>
    <s v="M "/>
    <x v="2"/>
    <x v="24"/>
    <s v="PSES Mid Prog21Duty46 S275"/>
    <x v="1"/>
    <s v="46"/>
    <n v="46"/>
    <m/>
    <s v="   "/>
    <n v="1.7010000000000001"/>
    <n v="0.23169999999999999"/>
    <n v="0.39400000000000002"/>
    <s v="Middle Psychologist"/>
  </r>
  <r>
    <x v="98"/>
    <s v="Personnel"/>
    <s v="E "/>
    <x v="0"/>
    <x v="27"/>
    <s v="PSES Elem Prog01Duty47 S275"/>
    <x v="0"/>
    <s v="47"/>
    <n v="47"/>
    <m/>
    <s v="   "/>
    <n v="8.9559999999999995"/>
    <n v="0.23169999999999999"/>
    <n v="0"/>
    <s v="Elementary Nurse"/>
  </r>
  <r>
    <x v="98"/>
    <s v="Personnel"/>
    <s v="H "/>
    <x v="1"/>
    <x v="25"/>
    <s v="PSES High Prog01Duty47 S275"/>
    <x v="0"/>
    <s v="47"/>
    <n v="47"/>
    <m/>
    <s v="   "/>
    <n v="1"/>
    <n v="0.23169999999999999"/>
    <n v="0"/>
    <s v="High Nurse"/>
  </r>
  <r>
    <x v="98"/>
    <s v="Personnel"/>
    <s v="M "/>
    <x v="2"/>
    <x v="34"/>
    <s v="PSES Mid Prog01Duty47 S275"/>
    <x v="0"/>
    <s v="47"/>
    <n v="47"/>
    <m/>
    <s v="   "/>
    <n v="0.65"/>
    <n v="0.23169999999999999"/>
    <n v="0"/>
    <s v="Middle Nurse"/>
  </r>
  <r>
    <x v="98"/>
    <s v="Personnel"/>
    <s v="E "/>
    <x v="0"/>
    <x v="35"/>
    <s v="PSES Elem Prog21Duty48 S275"/>
    <x v="1"/>
    <s v="48"/>
    <n v="48"/>
    <m/>
    <s v="   "/>
    <n v="0.57999999999999996"/>
    <n v="0.23169999999999999"/>
    <n v="0.13400000000000001"/>
    <s v="Elementary Physical Therapist"/>
  </r>
  <r>
    <x v="98"/>
    <s v="Personnel"/>
    <s v="H "/>
    <x v="1"/>
    <x v="36"/>
    <s v="PSES High Prog21Duty48 S275"/>
    <x v="1"/>
    <s v="48"/>
    <n v="48"/>
    <m/>
    <s v="   "/>
    <n v="0.26"/>
    <n v="0.23169999999999999"/>
    <n v="0.06"/>
    <s v="High Physical Therapist"/>
  </r>
  <r>
    <x v="98"/>
    <s v="Personnel"/>
    <s v="M "/>
    <x v="2"/>
    <x v="37"/>
    <s v="PSES Mid Prog21Duty48 S275"/>
    <x v="1"/>
    <s v="48"/>
    <n v="48"/>
    <m/>
    <s v="   "/>
    <n v="0.16"/>
    <n v="0.23169999999999999"/>
    <n v="3.6999999999999998E-2"/>
    <s v="Middle Physical Therapist"/>
  </r>
  <r>
    <x v="98"/>
    <s v="Personnel"/>
    <s v="E "/>
    <x v="0"/>
    <x v="79"/>
    <s v="PSES Elem Prog01Duty49 S275"/>
    <x v="0"/>
    <s v="49"/>
    <n v="49"/>
    <m/>
    <s v="   "/>
    <n v="0.8"/>
    <n v="0.23169999999999999"/>
    <n v="0"/>
    <s v="Elementary Behavior Analyst"/>
  </r>
  <r>
    <x v="99"/>
    <s v="Personnel"/>
    <s v="H "/>
    <x v="1"/>
    <x v="5"/>
    <s v="PSES High Prog01Act25 S275"/>
    <x v="0"/>
    <s v="25"/>
    <m/>
    <n v="25"/>
    <s v="   "/>
    <n v="19.483000000000001"/>
    <n v="0.23300000000000001"/>
    <n v="0"/>
    <s v="High Pupil Management"/>
  </r>
  <r>
    <x v="99"/>
    <s v="Personnel"/>
    <s v="H "/>
    <x v="1"/>
    <x v="29"/>
    <s v="PSES High Prog21Act26 S275"/>
    <x v="1"/>
    <s v="26"/>
    <m/>
    <n v="26"/>
    <s v="   "/>
    <n v="3.5"/>
    <n v="0.23300000000000001"/>
    <n v="0.81599999999999995"/>
    <s v="High Health/_x000a_Related Services"/>
  </r>
  <r>
    <x v="99"/>
    <s v="Personnel"/>
    <s v="H "/>
    <x v="1"/>
    <x v="9"/>
    <s v="PSES High Prog01Act26 S275"/>
    <x v="0"/>
    <s v="26"/>
    <m/>
    <n v="26"/>
    <s v="   "/>
    <n v="40.247999999999998"/>
    <n v="0.23300000000000001"/>
    <n v="0"/>
    <s v="High Health/_x000a_Related Services"/>
  </r>
  <r>
    <x v="99"/>
    <s v="Personnel"/>
    <s v="H "/>
    <x v="1"/>
    <x v="54"/>
    <s v="PSES High Prog01Act35 S275"/>
    <x v="0"/>
    <s v="35"/>
    <m/>
    <n v="35"/>
    <s v="   "/>
    <n v="7.0609999999999999"/>
    <n v="0.23300000000000001"/>
    <n v="0"/>
    <s v="High Pupil Safety"/>
  </r>
  <r>
    <x v="99"/>
    <s v="Personnel"/>
    <s v="E "/>
    <x v="0"/>
    <x v="14"/>
    <s v="PSES Elem Prog21Duty39 S275"/>
    <x v="1"/>
    <s v="39"/>
    <n v="39"/>
    <m/>
    <s v="   "/>
    <n v="0.6"/>
    <n v="0.23300000000000001"/>
    <n v="0.14000000000000001"/>
    <s v="Elementary Orientation &amp; Mobility Specialist"/>
  </r>
  <r>
    <x v="99"/>
    <s v="Personnel"/>
    <s v="E "/>
    <x v="0"/>
    <x v="15"/>
    <s v="PSES Elem Prog01Duty42 S275"/>
    <x v="0"/>
    <s v="42"/>
    <n v="42"/>
    <m/>
    <s v="   "/>
    <n v="16.632999999999999"/>
    <n v="0.23300000000000001"/>
    <n v="0"/>
    <s v="Elementary Counselor"/>
  </r>
  <r>
    <x v="99"/>
    <s v="Personnel"/>
    <s v="H "/>
    <x v="1"/>
    <x v="16"/>
    <s v="PSES High Prog01Duty42 S275"/>
    <x v="0"/>
    <s v="42"/>
    <n v="42"/>
    <m/>
    <s v="   "/>
    <n v="14.6"/>
    <n v="0.23300000000000001"/>
    <n v="0"/>
    <s v="High Counselor"/>
  </r>
  <r>
    <x v="99"/>
    <s v="Personnel"/>
    <s v="M "/>
    <x v="2"/>
    <x v="17"/>
    <s v="PSES Mid Prog01Duty42 S275"/>
    <x v="0"/>
    <s v="42"/>
    <n v="42"/>
    <m/>
    <s v="   "/>
    <n v="10.467000000000001"/>
    <n v="0.23300000000000001"/>
    <n v="0"/>
    <s v="Middle Counselor"/>
  </r>
  <r>
    <x v="99"/>
    <s v="Personnel"/>
    <s v="E "/>
    <x v="0"/>
    <x v="18"/>
    <s v="PSES Elem Prog21Duty43 S275"/>
    <x v="1"/>
    <s v="43"/>
    <n v="43"/>
    <m/>
    <s v="   "/>
    <n v="4.5"/>
    <n v="0.23300000000000001"/>
    <n v="1.0489999999999999"/>
    <s v="Elementary Occupational Therapist"/>
  </r>
  <r>
    <x v="99"/>
    <s v="Personnel"/>
    <s v="H "/>
    <x v="1"/>
    <x v="19"/>
    <s v="PSES High Prog21Duty43 S275"/>
    <x v="1"/>
    <s v="43"/>
    <n v="43"/>
    <m/>
    <s v="   "/>
    <n v="2.5"/>
    <n v="0.23300000000000001"/>
    <n v="0.58299999999999996"/>
    <s v="High Occupational Therapist"/>
  </r>
  <r>
    <x v="99"/>
    <s v="Personnel"/>
    <s v="M "/>
    <x v="2"/>
    <x v="31"/>
    <s v="PSES Mid Prog21Duty43 S275"/>
    <x v="1"/>
    <s v="43"/>
    <n v="43"/>
    <m/>
    <s v="   "/>
    <n v="2.8"/>
    <n v="0.23300000000000001"/>
    <n v="0.65200000000000002"/>
    <s v="Middle Occupational Therapist"/>
  </r>
  <r>
    <x v="99"/>
    <s v="Personnel"/>
    <s v="E "/>
    <x v="0"/>
    <x v="42"/>
    <s v="PSES Elem Prog01Duty44 S275"/>
    <x v="0"/>
    <s v="44"/>
    <n v="44"/>
    <m/>
    <s v="   "/>
    <n v="3"/>
    <n v="0.23300000000000001"/>
    <n v="0"/>
    <s v="Elementary Social Worker"/>
  </r>
  <r>
    <x v="99"/>
    <s v="Personnel"/>
    <s v="H "/>
    <x v="1"/>
    <x v="44"/>
    <s v="PSES High Prog01Duty44 S275"/>
    <x v="0"/>
    <s v="44"/>
    <n v="44"/>
    <m/>
    <s v="   "/>
    <n v="2"/>
    <n v="0.23300000000000001"/>
    <n v="0"/>
    <s v="High Social Worker"/>
  </r>
  <r>
    <x v="99"/>
    <s v="Personnel"/>
    <s v="M "/>
    <x v="2"/>
    <x v="46"/>
    <s v="PSES Mid Prog01Duty44 S275"/>
    <x v="0"/>
    <s v="44"/>
    <n v="44"/>
    <m/>
    <s v="   "/>
    <n v="3"/>
    <n v="0.23300000000000001"/>
    <n v="0"/>
    <s v="Middle Social Worker"/>
  </r>
  <r>
    <x v="99"/>
    <s v="Personnel"/>
    <s v="E "/>
    <x v="0"/>
    <x v="20"/>
    <s v="PSES Elem Prog21Duty45 S275"/>
    <x v="1"/>
    <s v="45"/>
    <n v="45"/>
    <m/>
    <s v="   "/>
    <n v="16.600000000000001"/>
    <n v="0.23300000000000001"/>
    <n v="3.8679999999999999"/>
    <s v="Elementary Speech, Language Pathway/_x000a_Audio"/>
  </r>
  <r>
    <x v="99"/>
    <s v="Personnel"/>
    <s v="E "/>
    <x v="0"/>
    <x v="47"/>
    <s v="PSES Elem Prog01Duty45 S275"/>
    <x v="0"/>
    <s v="45"/>
    <n v="45"/>
    <m/>
    <s v="   "/>
    <n v="0.4"/>
    <n v="0.23300000000000001"/>
    <n v="0"/>
    <s v="Elementary Speech, Language Pathway/_x000a_Audio"/>
  </r>
  <r>
    <x v="99"/>
    <s v="Personnel"/>
    <s v="H "/>
    <x v="1"/>
    <x v="21"/>
    <s v="PSES High Prog21Duty45 S275"/>
    <x v="1"/>
    <s v="45"/>
    <n v="45"/>
    <m/>
    <s v="   "/>
    <n v="4.9000000000000004"/>
    <n v="0.23300000000000001"/>
    <n v="1.1419999999999999"/>
    <s v="High Speech, Language Pathway/_x000a_Audio"/>
  </r>
  <r>
    <x v="99"/>
    <s v="Personnel"/>
    <s v="M "/>
    <x v="2"/>
    <x v="28"/>
    <s v="PSES Mid Prog21Duty45 S275"/>
    <x v="1"/>
    <s v="45"/>
    <n v="45"/>
    <m/>
    <s v="   "/>
    <n v="3.7"/>
    <n v="0.23300000000000001"/>
    <n v="0.86199999999999999"/>
    <s v="Middle Speech, Language Pathway/_x000a_Audio"/>
  </r>
  <r>
    <x v="99"/>
    <s v="Personnel"/>
    <s v="E "/>
    <x v="0"/>
    <x v="27"/>
    <s v="PSES Elem Prog01Duty47 S275"/>
    <x v="0"/>
    <s v="47"/>
    <n v="47"/>
    <m/>
    <s v="   "/>
    <n v="1"/>
    <n v="0.23300000000000001"/>
    <n v="0"/>
    <s v="Elementary Nurse"/>
  </r>
  <r>
    <x v="99"/>
    <s v="Personnel"/>
    <s v="H "/>
    <x v="1"/>
    <x v="25"/>
    <s v="PSES High Prog01Duty47 S275"/>
    <x v="0"/>
    <s v="47"/>
    <n v="47"/>
    <m/>
    <s v="   "/>
    <n v="1"/>
    <n v="0.23300000000000001"/>
    <n v="0"/>
    <s v="High Nurse"/>
  </r>
  <r>
    <x v="99"/>
    <s v="Personnel"/>
    <s v="M "/>
    <x v="2"/>
    <x v="34"/>
    <s v="PSES Mid Prog01Duty47 S275"/>
    <x v="0"/>
    <s v="47"/>
    <n v="47"/>
    <m/>
    <s v="   "/>
    <n v="1"/>
    <n v="0.23300000000000001"/>
    <n v="0"/>
    <s v="Middle Nurse"/>
  </r>
  <r>
    <x v="99"/>
    <s v="Personnel"/>
    <s v="H "/>
    <x v="1"/>
    <x v="36"/>
    <s v="PSES High Prog21Duty48 S275"/>
    <x v="1"/>
    <s v="48"/>
    <n v="48"/>
    <m/>
    <s v="   "/>
    <n v="2.4"/>
    <n v="0.23300000000000001"/>
    <n v="0.55900000000000005"/>
    <s v="High Physical Therapist"/>
  </r>
  <r>
    <x v="99"/>
    <s v="Personnel"/>
    <s v="M "/>
    <x v="2"/>
    <x v="37"/>
    <s v="PSES Mid Prog21Duty48 S275"/>
    <x v="1"/>
    <s v="48"/>
    <n v="48"/>
    <m/>
    <s v="   "/>
    <n v="2.4"/>
    <n v="0.23300000000000001"/>
    <n v="0.55900000000000005"/>
    <s v="Middle Physical Therapist"/>
  </r>
  <r>
    <x v="100"/>
    <s v="Personnel"/>
    <s v="H "/>
    <x v="1"/>
    <x v="1"/>
    <s v="PSES High Prog01Duty96 S275"/>
    <x v="0"/>
    <s v="24"/>
    <n v="96"/>
    <n v="24"/>
    <s v="   "/>
    <n v="6.6310000000000002"/>
    <n v="0.23469999999999999"/>
    <n v="0"/>
    <s v="High Family Engagement Coordinator"/>
  </r>
  <r>
    <x v="100"/>
    <s v="Personnel"/>
    <s v="H "/>
    <x v="1"/>
    <x v="4"/>
    <s v="PSES High Prog21Act25 S275"/>
    <x v="1"/>
    <s v="25"/>
    <m/>
    <n v="25"/>
    <s v="   "/>
    <n v="4.87"/>
    <n v="0.23469999999999999"/>
    <n v="1.143"/>
    <s v="High Pupil Management"/>
  </r>
  <r>
    <x v="100"/>
    <s v="Personnel"/>
    <s v="H "/>
    <x v="1"/>
    <x v="5"/>
    <s v="PSES High Prog01Act25 S275"/>
    <x v="0"/>
    <s v="25"/>
    <m/>
    <n v="25"/>
    <s v="   "/>
    <n v="12.327999999999999"/>
    <n v="0.23469999999999999"/>
    <n v="0"/>
    <s v="High Pupil Management"/>
  </r>
  <r>
    <x v="100"/>
    <s v="Personnel"/>
    <s v="H "/>
    <x v="1"/>
    <x v="29"/>
    <s v="PSES High Prog21Act26 S275"/>
    <x v="1"/>
    <s v="26"/>
    <m/>
    <n v="26"/>
    <s v="   "/>
    <n v="0.626"/>
    <n v="0.23469999999999999"/>
    <n v="0.14699999999999999"/>
    <s v="High Health/_x000a_Related Services"/>
  </r>
  <r>
    <x v="100"/>
    <s v="Personnel"/>
    <s v="H "/>
    <x v="1"/>
    <x v="9"/>
    <s v="PSES High Prog01Act26 S275"/>
    <x v="0"/>
    <s v="26"/>
    <m/>
    <n v="26"/>
    <s v="   "/>
    <n v="9.3759999999999994"/>
    <n v="0.23469999999999999"/>
    <n v="0"/>
    <s v="High Health/_x000a_Related Services"/>
  </r>
  <r>
    <x v="100"/>
    <s v="Personnel"/>
    <s v="H "/>
    <x v="1"/>
    <x v="54"/>
    <s v="PSES High Prog01Act35 S275"/>
    <x v="0"/>
    <s v="35"/>
    <m/>
    <n v="35"/>
    <s v="   "/>
    <n v="3"/>
    <n v="0.23469999999999999"/>
    <n v="0"/>
    <s v="High Pupil Safety"/>
  </r>
  <r>
    <x v="100"/>
    <s v="Personnel"/>
    <s v="E "/>
    <x v="0"/>
    <x v="15"/>
    <s v="PSES Elem Prog01Duty42 S275"/>
    <x v="0"/>
    <s v="42"/>
    <n v="42"/>
    <m/>
    <s v="   "/>
    <n v="9.76"/>
    <n v="0.23469999999999999"/>
    <n v="0"/>
    <s v="Elementary Counselor"/>
  </r>
  <r>
    <x v="100"/>
    <s v="Personnel"/>
    <s v="H "/>
    <x v="1"/>
    <x v="16"/>
    <s v="PSES High Prog01Duty42 S275"/>
    <x v="0"/>
    <s v="42"/>
    <n v="42"/>
    <m/>
    <s v="   "/>
    <n v="9.9979999999999993"/>
    <n v="0.23469999999999999"/>
    <n v="0"/>
    <s v="High Counselor"/>
  </r>
  <r>
    <x v="100"/>
    <s v="Personnel"/>
    <s v="M "/>
    <x v="2"/>
    <x v="17"/>
    <s v="PSES Mid Prog01Duty42 S275"/>
    <x v="0"/>
    <s v="42"/>
    <n v="42"/>
    <m/>
    <s v="   "/>
    <n v="6.94"/>
    <n v="0.23469999999999999"/>
    <n v="0"/>
    <s v="Middle Counselor"/>
  </r>
  <r>
    <x v="100"/>
    <s v="Personnel"/>
    <s v="E "/>
    <x v="0"/>
    <x v="18"/>
    <s v="PSES Elem Prog21Duty43 S275"/>
    <x v="1"/>
    <s v="43"/>
    <n v="43"/>
    <m/>
    <s v="   "/>
    <n v="5.18"/>
    <n v="0.23469999999999999"/>
    <n v="1.216"/>
    <s v="Elementary Occupational Therapist"/>
  </r>
  <r>
    <x v="100"/>
    <s v="Personnel"/>
    <s v="M "/>
    <x v="2"/>
    <x v="31"/>
    <s v="PSES Mid Prog21Duty43 S275"/>
    <x v="1"/>
    <s v="43"/>
    <n v="43"/>
    <m/>
    <s v="   "/>
    <n v="0.92"/>
    <n v="0.23469999999999999"/>
    <n v="0.216"/>
    <s v="Middle Occupational Therapist"/>
  </r>
  <r>
    <x v="100"/>
    <s v="Personnel"/>
    <s v="E "/>
    <x v="0"/>
    <x v="20"/>
    <s v="PSES Elem Prog21Duty45 S275"/>
    <x v="1"/>
    <s v="45"/>
    <n v="45"/>
    <m/>
    <s v="   "/>
    <n v="10.302"/>
    <n v="0.23469999999999999"/>
    <n v="2.4180000000000001"/>
    <s v="Elementary Speech, Language Pathway/_x000a_Audio"/>
  </r>
  <r>
    <x v="100"/>
    <s v="Personnel"/>
    <s v="H "/>
    <x v="1"/>
    <x v="21"/>
    <s v="PSES High Prog21Duty45 S275"/>
    <x v="1"/>
    <s v="45"/>
    <n v="45"/>
    <m/>
    <s v="   "/>
    <n v="2.0979999999999999"/>
    <n v="0.23469999999999999"/>
    <n v="0.49199999999999999"/>
    <s v="High Speech, Language Pathway/_x000a_Audio"/>
  </r>
  <r>
    <x v="100"/>
    <s v="Personnel"/>
    <s v="M "/>
    <x v="2"/>
    <x v="28"/>
    <s v="PSES Mid Prog21Duty45 S275"/>
    <x v="1"/>
    <s v="45"/>
    <n v="45"/>
    <m/>
    <s v="   "/>
    <n v="1.5"/>
    <n v="0.23469999999999999"/>
    <n v="0.35199999999999998"/>
    <s v="Middle Speech, Language Pathway/_x000a_Audio"/>
  </r>
  <r>
    <x v="100"/>
    <s v="Personnel"/>
    <s v="E "/>
    <x v="0"/>
    <x v="22"/>
    <s v="PSES Elem Prog21Duty46 S275"/>
    <x v="1"/>
    <s v="46"/>
    <n v="46"/>
    <m/>
    <s v="   "/>
    <n v="0.8"/>
    <n v="0.23469999999999999"/>
    <n v="0.188"/>
    <s v="Elementary Psychologist"/>
  </r>
  <r>
    <x v="100"/>
    <s v="Personnel"/>
    <s v="E "/>
    <x v="0"/>
    <x v="35"/>
    <s v="PSES Elem Prog21Duty48 S275"/>
    <x v="1"/>
    <s v="48"/>
    <n v="48"/>
    <m/>
    <s v="   "/>
    <n v="2.87"/>
    <n v="0.23469999999999999"/>
    <n v="0.67400000000000004"/>
    <s v="Elementary Physical Therapist"/>
  </r>
  <r>
    <x v="101"/>
    <s v="Personnel"/>
    <s v="H "/>
    <x v="1"/>
    <x v="1"/>
    <s v="PSES High Prog01Duty96 S275"/>
    <x v="0"/>
    <s v="24"/>
    <n v="96"/>
    <n v="24"/>
    <s v="   "/>
    <n v="4.1109999999999998"/>
    <n v="0.22600000000000001"/>
    <n v="0"/>
    <s v="High Family Engagement Coordinator"/>
  </r>
  <r>
    <x v="101"/>
    <s v="Personnel"/>
    <s v="H "/>
    <x v="1"/>
    <x v="5"/>
    <s v="PSES High Prog01Act25 S275"/>
    <x v="0"/>
    <s v="25"/>
    <m/>
    <n v="25"/>
    <s v="   "/>
    <n v="66.320999999999998"/>
    <n v="0.22600000000000001"/>
    <n v="0"/>
    <s v="High Pupil Management"/>
  </r>
  <r>
    <x v="101"/>
    <s v="Personnel"/>
    <s v="H "/>
    <x v="1"/>
    <x v="29"/>
    <s v="PSES High Prog21Act26 S275"/>
    <x v="1"/>
    <s v="26"/>
    <m/>
    <n v="26"/>
    <s v="   "/>
    <n v="4.25"/>
    <n v="0.22600000000000001"/>
    <n v="0.96099999999999997"/>
    <s v="High Health/_x000a_Related Services"/>
  </r>
  <r>
    <x v="101"/>
    <s v="Personnel"/>
    <s v="H "/>
    <x v="1"/>
    <x v="9"/>
    <s v="PSES High Prog01Act26 S275"/>
    <x v="0"/>
    <s v="26"/>
    <m/>
    <n v="26"/>
    <s v="   "/>
    <n v="46.55"/>
    <n v="0.22600000000000001"/>
    <n v="0"/>
    <s v="High Health/_x000a_Related Services"/>
  </r>
  <r>
    <x v="101"/>
    <s v="Personnel"/>
    <s v="E "/>
    <x v="0"/>
    <x v="15"/>
    <s v="PSES Elem Prog01Duty42 S275"/>
    <x v="0"/>
    <s v="42"/>
    <n v="42"/>
    <m/>
    <s v="   "/>
    <n v="28.943999999999999"/>
    <n v="0.22600000000000001"/>
    <n v="0"/>
    <s v="Elementary Counselor"/>
  </r>
  <r>
    <x v="101"/>
    <s v="Personnel"/>
    <s v="H "/>
    <x v="1"/>
    <x v="16"/>
    <s v="PSES High Prog01Duty42 S275"/>
    <x v="0"/>
    <s v="42"/>
    <n v="42"/>
    <m/>
    <s v="   "/>
    <n v="30.521999999999998"/>
    <n v="0.22600000000000001"/>
    <n v="0"/>
    <s v="High Counselor"/>
  </r>
  <r>
    <x v="101"/>
    <s v="Personnel"/>
    <s v="M "/>
    <x v="2"/>
    <x v="17"/>
    <s v="PSES Mid Prog01Duty42 S275"/>
    <x v="0"/>
    <s v="42"/>
    <n v="42"/>
    <m/>
    <s v="   "/>
    <n v="20.983000000000001"/>
    <n v="0.22600000000000001"/>
    <n v="0"/>
    <s v="Middle Counselor"/>
  </r>
  <r>
    <x v="101"/>
    <s v="Personnel"/>
    <s v="E "/>
    <x v="0"/>
    <x v="18"/>
    <s v="PSES Elem Prog21Duty43 S275"/>
    <x v="1"/>
    <s v="43"/>
    <n v="43"/>
    <m/>
    <s v="   "/>
    <n v="16.672000000000001"/>
    <n v="0.22600000000000001"/>
    <n v="3.7679999999999998"/>
    <s v="Elementary Occupational Therapist"/>
  </r>
  <r>
    <x v="101"/>
    <s v="Personnel"/>
    <s v="H "/>
    <x v="1"/>
    <x v="19"/>
    <s v="PSES High Prog21Duty43 S275"/>
    <x v="1"/>
    <s v="43"/>
    <n v="43"/>
    <m/>
    <s v="   "/>
    <n v="2.5289999999999999"/>
    <n v="0.22600000000000001"/>
    <n v="0.57199999999999995"/>
    <s v="High Occupational Therapist"/>
  </r>
  <r>
    <x v="101"/>
    <s v="Personnel"/>
    <s v="M "/>
    <x v="2"/>
    <x v="31"/>
    <s v="PSES Mid Prog21Duty43 S275"/>
    <x v="1"/>
    <s v="43"/>
    <n v="43"/>
    <m/>
    <s v="   "/>
    <n v="3.57"/>
    <n v="0.22600000000000001"/>
    <n v="0.80700000000000005"/>
    <s v="Middle Occupational Therapist"/>
  </r>
  <r>
    <x v="101"/>
    <s v="Personnel"/>
    <s v="E "/>
    <x v="0"/>
    <x v="20"/>
    <s v="PSES Elem Prog21Duty45 S275"/>
    <x v="1"/>
    <s v="45"/>
    <n v="45"/>
    <m/>
    <s v="   "/>
    <n v="17.399999999999999"/>
    <n v="0.22600000000000001"/>
    <n v="3.9319999999999999"/>
    <s v="Elementary Speech, Language Pathway/_x000a_Audio"/>
  </r>
  <r>
    <x v="101"/>
    <s v="Personnel"/>
    <s v="H "/>
    <x v="1"/>
    <x v="21"/>
    <s v="PSES High Prog21Duty45 S275"/>
    <x v="1"/>
    <s v="45"/>
    <n v="45"/>
    <m/>
    <s v="   "/>
    <n v="5"/>
    <n v="0.22600000000000001"/>
    <n v="1.1299999999999999"/>
    <s v="High Speech, Language Pathway/_x000a_Audio"/>
  </r>
  <r>
    <x v="101"/>
    <s v="Personnel"/>
    <s v="M "/>
    <x v="2"/>
    <x v="28"/>
    <s v="PSES Mid Prog21Duty45 S275"/>
    <x v="1"/>
    <s v="45"/>
    <n v="45"/>
    <m/>
    <s v="   "/>
    <n v="6.2"/>
    <n v="0.22600000000000001"/>
    <n v="1.401"/>
    <s v="Middle Speech, Language Pathway/_x000a_Audio"/>
  </r>
  <r>
    <x v="101"/>
    <s v="Personnel"/>
    <s v="E "/>
    <x v="0"/>
    <x v="48"/>
    <s v="PSES Elem Prog01Duty46 S275"/>
    <x v="0"/>
    <s v="46"/>
    <n v="46"/>
    <m/>
    <s v="   "/>
    <n v="15.2"/>
    <n v="0.22600000000000001"/>
    <n v="0"/>
    <s v="Elementary Psychologist"/>
  </r>
  <r>
    <x v="101"/>
    <s v="Personnel"/>
    <s v="H "/>
    <x v="1"/>
    <x v="65"/>
    <s v="PSES High Prog01Duty46 S275"/>
    <x v="0"/>
    <s v="46"/>
    <n v="46"/>
    <m/>
    <s v="   "/>
    <n v="9.718"/>
    <n v="0.22600000000000001"/>
    <n v="0"/>
    <s v="High Psychologist"/>
  </r>
  <r>
    <x v="101"/>
    <s v="Personnel"/>
    <s v="M "/>
    <x v="2"/>
    <x v="49"/>
    <s v="PSES Mid Prog01Duty46 S275"/>
    <x v="0"/>
    <s v="46"/>
    <n v="46"/>
    <m/>
    <s v="   "/>
    <n v="7.05"/>
    <n v="0.22600000000000001"/>
    <n v="0"/>
    <s v="Middle Psychologist"/>
  </r>
  <r>
    <x v="101"/>
    <s v="Personnel"/>
    <s v="E "/>
    <x v="0"/>
    <x v="35"/>
    <s v="PSES Elem Prog21Duty48 S275"/>
    <x v="1"/>
    <s v="48"/>
    <n v="48"/>
    <m/>
    <s v="   "/>
    <n v="2.7"/>
    <n v="0.22600000000000001"/>
    <n v="0.61"/>
    <s v="Elementary Physical Therapist"/>
  </r>
  <r>
    <x v="101"/>
    <s v="Personnel"/>
    <s v="H "/>
    <x v="1"/>
    <x v="36"/>
    <s v="PSES High Prog21Duty48 S275"/>
    <x v="1"/>
    <s v="48"/>
    <n v="48"/>
    <m/>
    <s v="   "/>
    <n v="1.1000000000000001"/>
    <n v="0.22600000000000001"/>
    <n v="0.249"/>
    <s v="High Physical Therapist"/>
  </r>
  <r>
    <x v="101"/>
    <s v="Personnel"/>
    <s v="M "/>
    <x v="2"/>
    <x v="37"/>
    <s v="PSES Mid Prog21Duty48 S275"/>
    <x v="1"/>
    <s v="48"/>
    <n v="48"/>
    <m/>
    <s v="   "/>
    <n v="0.9"/>
    <n v="0.22600000000000001"/>
    <n v="0.20300000000000001"/>
    <s v="Middle Physical Therapist"/>
  </r>
  <r>
    <x v="102"/>
    <s v="Personnel"/>
    <s v="E "/>
    <x v="0"/>
    <x v="3"/>
    <s v="PSES Elem Prog01Act25 S275"/>
    <x v="0"/>
    <s v="25"/>
    <m/>
    <n v="25"/>
    <s v="   "/>
    <n v="5.0410000000000004"/>
    <n v="0.30840000000000001"/>
    <n v="0"/>
    <s v="Elementary Pupil Management"/>
  </r>
  <r>
    <x v="102"/>
    <s v="Personnel"/>
    <s v="H "/>
    <x v="1"/>
    <x v="5"/>
    <s v="PSES High Prog01Act25 S275"/>
    <x v="0"/>
    <s v="25"/>
    <m/>
    <n v="25"/>
    <s v="   "/>
    <n v="49.628999999999998"/>
    <n v="0.30840000000000001"/>
    <n v="0"/>
    <s v="High Pupil Management"/>
  </r>
  <r>
    <x v="102"/>
    <s v="Personnel"/>
    <s v="E "/>
    <x v="0"/>
    <x v="8"/>
    <s v="PSES Elem Prog01Act26 S275"/>
    <x v="0"/>
    <s v="26"/>
    <m/>
    <n v="26"/>
    <s v="   "/>
    <n v="2.9"/>
    <n v="0.30840000000000001"/>
    <n v="0"/>
    <s v="Elementary Health/_x000a_Related Services"/>
  </r>
  <r>
    <x v="102"/>
    <s v="Personnel"/>
    <s v="H "/>
    <x v="1"/>
    <x v="29"/>
    <s v="PSES High Prog21Act26 S275"/>
    <x v="1"/>
    <s v="26"/>
    <m/>
    <n v="26"/>
    <s v="   "/>
    <n v="2.8130000000000002"/>
    <n v="0.30840000000000001"/>
    <n v="0.86799999999999999"/>
    <s v="High Health/_x000a_Related Services"/>
  </r>
  <r>
    <x v="102"/>
    <s v="Personnel"/>
    <s v="H "/>
    <x v="1"/>
    <x v="9"/>
    <s v="PSES High Prog01Act26 S275"/>
    <x v="0"/>
    <s v="26"/>
    <m/>
    <n v="26"/>
    <s v="   "/>
    <n v="22.332999999999998"/>
    <n v="0.30840000000000001"/>
    <n v="0"/>
    <s v="High Health/_x000a_Related Services"/>
  </r>
  <r>
    <x v="102"/>
    <s v="Personnel"/>
    <s v="M "/>
    <x v="2"/>
    <x v="11"/>
    <s v="PSES Mid Prog01Act26 S275"/>
    <x v="0"/>
    <s v="26"/>
    <m/>
    <n v="26"/>
    <s v="   "/>
    <n v="1.714"/>
    <n v="0.30840000000000001"/>
    <n v="0"/>
    <s v="Middle Health/_x000a_Related Services"/>
  </r>
  <r>
    <x v="102"/>
    <s v="Personnel"/>
    <s v="H "/>
    <x v="1"/>
    <x v="54"/>
    <s v="PSES High Prog01Act35 S275"/>
    <x v="0"/>
    <s v="35"/>
    <m/>
    <n v="35"/>
    <s v="   "/>
    <n v="15.925000000000001"/>
    <n v="0.30840000000000001"/>
    <n v="0"/>
    <s v="High Pupil Safety"/>
  </r>
  <r>
    <x v="102"/>
    <s v="Personnel"/>
    <s v="E "/>
    <x v="0"/>
    <x v="15"/>
    <s v="PSES Elem Prog01Duty42 S275"/>
    <x v="0"/>
    <s v="42"/>
    <n v="42"/>
    <m/>
    <s v="   "/>
    <n v="12.494999999999999"/>
    <n v="0.30840000000000001"/>
    <n v="0"/>
    <s v="Elementary Counselor"/>
  </r>
  <r>
    <x v="102"/>
    <s v="Personnel"/>
    <s v="H "/>
    <x v="1"/>
    <x v="16"/>
    <s v="PSES High Prog01Duty42 S275"/>
    <x v="0"/>
    <s v="42"/>
    <n v="42"/>
    <m/>
    <s v="   "/>
    <n v="19.899999999999999"/>
    <n v="0.30840000000000001"/>
    <n v="0"/>
    <s v="High Counselor"/>
  </r>
  <r>
    <x v="102"/>
    <s v="Personnel"/>
    <s v="M "/>
    <x v="2"/>
    <x v="17"/>
    <s v="PSES Mid Prog01Duty42 S275"/>
    <x v="0"/>
    <s v="42"/>
    <n v="42"/>
    <m/>
    <s v="   "/>
    <n v="20"/>
    <n v="0.30840000000000001"/>
    <n v="0"/>
    <s v="Middle Counselor"/>
  </r>
  <r>
    <x v="102"/>
    <s v="Personnel"/>
    <s v="E "/>
    <x v="0"/>
    <x v="42"/>
    <s v="PSES Elem Prog01Duty44 S275"/>
    <x v="0"/>
    <s v="44"/>
    <n v="44"/>
    <m/>
    <s v="   "/>
    <n v="5"/>
    <n v="0.30840000000000001"/>
    <n v="0"/>
    <s v="Elementary Social Worker"/>
  </r>
  <r>
    <x v="102"/>
    <s v="Personnel"/>
    <s v="E "/>
    <x v="0"/>
    <x v="20"/>
    <s v="PSES Elem Prog21Duty45 S275"/>
    <x v="1"/>
    <s v="45"/>
    <n v="45"/>
    <m/>
    <s v="   "/>
    <n v="19.722999999999999"/>
    <n v="0.30840000000000001"/>
    <n v="6.0830000000000002"/>
    <s v="Elementary Speech, Language Pathway/_x000a_Audio"/>
  </r>
  <r>
    <x v="102"/>
    <s v="Personnel"/>
    <s v="H "/>
    <x v="1"/>
    <x v="21"/>
    <s v="PSES High Prog21Duty45 S275"/>
    <x v="1"/>
    <s v="45"/>
    <n v="45"/>
    <m/>
    <s v="   "/>
    <n v="24.524999999999999"/>
    <n v="0.30840000000000001"/>
    <n v="7.5640000000000001"/>
    <s v="High Speech, Language Pathway/_x000a_Audio"/>
  </r>
  <r>
    <x v="102"/>
    <s v="Personnel"/>
    <s v="M "/>
    <x v="2"/>
    <x v="28"/>
    <s v="PSES Mid Prog21Duty45 S275"/>
    <x v="1"/>
    <s v="45"/>
    <n v="45"/>
    <m/>
    <s v="   "/>
    <n v="1.165"/>
    <n v="0.30840000000000001"/>
    <n v="0.35899999999999999"/>
    <s v="Middle Speech, Language Pathway/_x000a_Audio"/>
  </r>
  <r>
    <x v="102"/>
    <s v="Personnel"/>
    <s v="E "/>
    <x v="0"/>
    <x v="22"/>
    <s v="PSES Elem Prog21Duty46 S275"/>
    <x v="1"/>
    <s v="46"/>
    <n v="46"/>
    <m/>
    <s v="   "/>
    <n v="30.556999999999999"/>
    <n v="0.30840000000000001"/>
    <n v="9.4239999999999995"/>
    <s v="Elementary Psychologist"/>
  </r>
  <r>
    <x v="102"/>
    <s v="Personnel"/>
    <s v="H "/>
    <x v="1"/>
    <x v="23"/>
    <s v="PSES High Prog21Duty46 S275"/>
    <x v="1"/>
    <s v="46"/>
    <n v="46"/>
    <m/>
    <s v="   "/>
    <n v="1.9770000000000001"/>
    <n v="0.30840000000000001"/>
    <n v="0.61"/>
    <s v="High Psychologist"/>
  </r>
  <r>
    <x v="102"/>
    <s v="Personnel"/>
    <s v="E "/>
    <x v="0"/>
    <x v="27"/>
    <s v="PSES Elem Prog01Duty47 S275"/>
    <x v="0"/>
    <s v="47"/>
    <n v="47"/>
    <m/>
    <s v="   "/>
    <n v="10.714"/>
    <n v="0.30840000000000001"/>
    <n v="0"/>
    <s v="Elementary Nurse"/>
  </r>
  <r>
    <x v="102"/>
    <s v="Personnel"/>
    <s v="H "/>
    <x v="1"/>
    <x v="25"/>
    <s v="PSES High Prog01Duty47 S275"/>
    <x v="0"/>
    <s v="47"/>
    <n v="47"/>
    <m/>
    <s v="   "/>
    <n v="8.74"/>
    <n v="0.30840000000000001"/>
    <n v="0"/>
    <s v="High Nurse"/>
  </r>
  <r>
    <x v="102"/>
    <s v="Personnel"/>
    <s v="E "/>
    <x v="0"/>
    <x v="35"/>
    <s v="PSES Elem Prog21Duty48 S275"/>
    <x v="1"/>
    <s v="48"/>
    <n v="48"/>
    <m/>
    <s v="   "/>
    <n v="4.7699999999999996"/>
    <n v="0.30840000000000001"/>
    <n v="1.4710000000000001"/>
    <s v="Elementary Physical Therapist"/>
  </r>
  <r>
    <x v="102"/>
    <s v="Personnel"/>
    <s v="H "/>
    <x v="1"/>
    <x v="55"/>
    <s v="PSES High Prog21Duty49 S275"/>
    <x v="1"/>
    <s v="49"/>
    <n v="49"/>
    <m/>
    <s v="   "/>
    <n v="4"/>
    <n v="0.30840000000000001"/>
    <n v="1.234"/>
    <s v="High Behavior Analyst"/>
  </r>
  <r>
    <x v="103"/>
    <s v="Personnel"/>
    <s v="E "/>
    <x v="0"/>
    <x v="3"/>
    <s v="PSES Elem Prog01Act25 S275"/>
    <x v="0"/>
    <s v="25"/>
    <m/>
    <n v="25"/>
    <s v="   "/>
    <n v="5.8109999999999999"/>
    <n v="0.20830000000000001"/>
    <n v="0"/>
    <s v="Elementary Pupil Management"/>
  </r>
  <r>
    <x v="103"/>
    <s v="Personnel"/>
    <s v="H "/>
    <x v="1"/>
    <x v="5"/>
    <s v="PSES High Prog01Act25 S275"/>
    <x v="0"/>
    <s v="25"/>
    <m/>
    <n v="25"/>
    <s v="   "/>
    <n v="13.73"/>
    <n v="0.20830000000000001"/>
    <n v="0"/>
    <s v="High Pupil Management"/>
  </r>
  <r>
    <x v="103"/>
    <s v="Personnel"/>
    <s v="M "/>
    <x v="2"/>
    <x v="6"/>
    <s v="PSES Mid Prog01Act25 S275"/>
    <x v="0"/>
    <s v="25"/>
    <m/>
    <n v="25"/>
    <s v="   "/>
    <n v="0.443"/>
    <n v="0.20830000000000001"/>
    <n v="0"/>
    <s v="Middle Pupil Management"/>
  </r>
  <r>
    <x v="103"/>
    <s v="Personnel"/>
    <s v="E "/>
    <x v="0"/>
    <x v="7"/>
    <s v="PSES Elem Prog21Act26 S275"/>
    <x v="1"/>
    <s v="26"/>
    <m/>
    <n v="26"/>
    <s v="   "/>
    <n v="1.653"/>
    <n v="0.20830000000000001"/>
    <n v="0.34399999999999997"/>
    <s v="Elementary Health/_x000a_Related Services"/>
  </r>
  <r>
    <x v="103"/>
    <s v="Personnel"/>
    <s v="E "/>
    <x v="0"/>
    <x v="8"/>
    <s v="PSES Elem Prog01Act26 S275"/>
    <x v="0"/>
    <s v="26"/>
    <m/>
    <n v="26"/>
    <s v="   "/>
    <n v="14.01"/>
    <n v="0.20830000000000001"/>
    <n v="0"/>
    <s v="Elementary Health/_x000a_Related Services"/>
  </r>
  <r>
    <x v="103"/>
    <s v="Personnel"/>
    <s v="H "/>
    <x v="1"/>
    <x v="29"/>
    <s v="PSES High Prog21Act26 S275"/>
    <x v="1"/>
    <s v="26"/>
    <m/>
    <n v="26"/>
    <s v="   "/>
    <n v="13.842000000000001"/>
    <n v="0.20830000000000001"/>
    <n v="2.883"/>
    <s v="High Health/_x000a_Related Services"/>
  </r>
  <r>
    <x v="103"/>
    <s v="Personnel"/>
    <s v="H "/>
    <x v="1"/>
    <x v="9"/>
    <s v="PSES High Prog01Act26 S275"/>
    <x v="0"/>
    <s v="26"/>
    <m/>
    <n v="26"/>
    <s v="   "/>
    <n v="6.7229999999999999"/>
    <n v="0.20830000000000001"/>
    <n v="0"/>
    <s v="High Health/_x000a_Related Services"/>
  </r>
  <r>
    <x v="103"/>
    <s v="Personnel"/>
    <s v="M "/>
    <x v="2"/>
    <x v="10"/>
    <s v="PSES Mid Prog21Act26 S275"/>
    <x v="1"/>
    <s v="26"/>
    <m/>
    <n v="26"/>
    <s v="   "/>
    <n v="0.128"/>
    <n v="0.20830000000000001"/>
    <n v="2.7E-2"/>
    <s v="Middle Health/_x000a_Related Services"/>
  </r>
  <r>
    <x v="103"/>
    <s v="Personnel"/>
    <s v="M "/>
    <x v="2"/>
    <x v="11"/>
    <s v="PSES Mid Prog01Act26 S275"/>
    <x v="0"/>
    <s v="26"/>
    <m/>
    <n v="26"/>
    <s v="   "/>
    <n v="4.3730000000000002"/>
    <n v="0.20830000000000001"/>
    <n v="0"/>
    <s v="Middle Health/_x000a_Related Services"/>
  </r>
  <r>
    <x v="103"/>
    <s v="Personnel"/>
    <s v="H "/>
    <x v="1"/>
    <x v="54"/>
    <s v="PSES High Prog01Act35 S275"/>
    <x v="0"/>
    <s v="35"/>
    <m/>
    <n v="35"/>
    <s v="   "/>
    <n v="5.1660000000000004"/>
    <n v="0.20830000000000001"/>
    <n v="0"/>
    <s v="High Pupil Safety"/>
  </r>
  <r>
    <x v="103"/>
    <s v="Personnel"/>
    <s v="E "/>
    <x v="0"/>
    <x v="15"/>
    <s v="PSES Elem Prog01Duty42 S275"/>
    <x v="0"/>
    <s v="42"/>
    <n v="42"/>
    <m/>
    <s v="   "/>
    <n v="28.28"/>
    <n v="0.20830000000000001"/>
    <n v="0"/>
    <s v="Elementary Counselor"/>
  </r>
  <r>
    <x v="103"/>
    <s v="Personnel"/>
    <s v="H "/>
    <x v="1"/>
    <x v="16"/>
    <s v="PSES High Prog01Duty42 S275"/>
    <x v="0"/>
    <s v="42"/>
    <n v="42"/>
    <m/>
    <s v="   "/>
    <n v="22.1"/>
    <n v="0.20830000000000001"/>
    <n v="0"/>
    <s v="High Counselor"/>
  </r>
  <r>
    <x v="103"/>
    <s v="Personnel"/>
    <s v="M "/>
    <x v="2"/>
    <x v="17"/>
    <s v="PSES Mid Prog01Duty42 S275"/>
    <x v="0"/>
    <s v="42"/>
    <n v="42"/>
    <m/>
    <s v="   "/>
    <n v="11.702999999999999"/>
    <n v="0.20830000000000001"/>
    <n v="0"/>
    <s v="Middle Counselor"/>
  </r>
  <r>
    <x v="103"/>
    <s v="Personnel"/>
    <s v="E "/>
    <x v="0"/>
    <x v="18"/>
    <s v="PSES Elem Prog21Duty43 S275"/>
    <x v="1"/>
    <s v="43"/>
    <n v="43"/>
    <m/>
    <s v="   "/>
    <n v="10.882"/>
    <n v="0.20830000000000001"/>
    <n v="2.2669999999999999"/>
    <s v="Elementary Occupational Therapist"/>
  </r>
  <r>
    <x v="103"/>
    <s v="Personnel"/>
    <s v="H "/>
    <x v="1"/>
    <x v="19"/>
    <s v="PSES High Prog21Duty43 S275"/>
    <x v="1"/>
    <s v="43"/>
    <n v="43"/>
    <m/>
    <s v="   "/>
    <n v="0.16"/>
    <n v="0.20830000000000001"/>
    <n v="3.3000000000000002E-2"/>
    <s v="High Occupational Therapist"/>
  </r>
  <r>
    <x v="103"/>
    <s v="Personnel"/>
    <s v="M "/>
    <x v="2"/>
    <x v="31"/>
    <s v="PSES Mid Prog21Duty43 S275"/>
    <x v="1"/>
    <s v="43"/>
    <n v="43"/>
    <m/>
    <s v="   "/>
    <n v="1.3160000000000001"/>
    <n v="0.20830000000000001"/>
    <n v="0.27400000000000002"/>
    <s v="Middle Occupational Therapist"/>
  </r>
  <r>
    <x v="103"/>
    <s v="Personnel"/>
    <s v="E "/>
    <x v="0"/>
    <x v="20"/>
    <s v="PSES Elem Prog21Duty45 S275"/>
    <x v="1"/>
    <s v="45"/>
    <n v="45"/>
    <m/>
    <s v="   "/>
    <n v="24.763999999999999"/>
    <n v="0.20830000000000001"/>
    <n v="5.1580000000000004"/>
    <s v="Elementary Speech, Language Pathway/_x000a_Audio"/>
  </r>
  <r>
    <x v="103"/>
    <s v="Personnel"/>
    <s v="H "/>
    <x v="1"/>
    <x v="21"/>
    <s v="PSES High Prog21Duty45 S275"/>
    <x v="1"/>
    <s v="45"/>
    <n v="45"/>
    <m/>
    <s v="   "/>
    <n v="5.1459999999999999"/>
    <n v="0.20830000000000001"/>
    <n v="1.0720000000000001"/>
    <s v="High Speech, Language Pathway/_x000a_Audio"/>
  </r>
  <r>
    <x v="103"/>
    <s v="Personnel"/>
    <s v="M "/>
    <x v="2"/>
    <x v="28"/>
    <s v="PSES Mid Prog21Duty45 S275"/>
    <x v="1"/>
    <s v="45"/>
    <n v="45"/>
    <m/>
    <s v="   "/>
    <n v="3.2210000000000001"/>
    <n v="0.20830000000000001"/>
    <n v="0.67100000000000004"/>
    <s v="Middle Speech, Language Pathway/_x000a_Audio"/>
  </r>
  <r>
    <x v="103"/>
    <s v="Personnel"/>
    <s v="E "/>
    <x v="0"/>
    <x v="22"/>
    <s v="PSES Elem Prog21Duty46 S275"/>
    <x v="1"/>
    <s v="46"/>
    <n v="46"/>
    <m/>
    <s v="   "/>
    <n v="11.108000000000001"/>
    <n v="0.20830000000000001"/>
    <n v="2.3140000000000001"/>
    <s v="Elementary Psychologist"/>
  </r>
  <r>
    <x v="103"/>
    <s v="Personnel"/>
    <s v="H "/>
    <x v="1"/>
    <x v="23"/>
    <s v="PSES High Prog21Duty46 S275"/>
    <x v="1"/>
    <s v="46"/>
    <n v="46"/>
    <m/>
    <s v="   "/>
    <n v="5.19"/>
    <n v="0.20830000000000001"/>
    <n v="1.081"/>
    <s v="High Psychologist"/>
  </r>
  <r>
    <x v="103"/>
    <s v="Personnel"/>
    <s v="M "/>
    <x v="2"/>
    <x v="24"/>
    <s v="PSES Mid Prog21Duty46 S275"/>
    <x v="1"/>
    <s v="46"/>
    <n v="46"/>
    <m/>
    <s v="   "/>
    <n v="2.4980000000000002"/>
    <n v="0.20830000000000001"/>
    <n v="0.52"/>
    <s v="Middle Psychologist"/>
  </r>
  <r>
    <x v="103"/>
    <s v="Personnel"/>
    <s v="E "/>
    <x v="0"/>
    <x v="32"/>
    <s v="PSES Elem Prog21Duty47 S275"/>
    <x v="1"/>
    <s v="47"/>
    <n v="47"/>
    <m/>
    <s v="   "/>
    <n v="0.25"/>
    <n v="0.20830000000000001"/>
    <n v="5.1999999999999998E-2"/>
    <s v="Elementary Nurse"/>
  </r>
  <r>
    <x v="103"/>
    <s v="Personnel"/>
    <s v="E "/>
    <x v="0"/>
    <x v="27"/>
    <s v="PSES Elem Prog01Duty47 S275"/>
    <x v="0"/>
    <s v="47"/>
    <n v="47"/>
    <m/>
    <s v="   "/>
    <n v="0.75"/>
    <n v="0.20830000000000001"/>
    <n v="0"/>
    <s v="Elementary Nurse"/>
  </r>
  <r>
    <x v="103"/>
    <s v="Personnel"/>
    <s v="E "/>
    <x v="0"/>
    <x v="35"/>
    <s v="PSES Elem Prog21Duty48 S275"/>
    <x v="1"/>
    <s v="48"/>
    <n v="48"/>
    <m/>
    <s v="   "/>
    <n v="7.2569999999999997"/>
    <n v="0.20830000000000001"/>
    <n v="1.512"/>
    <s v="Elementary Physical Therapist"/>
  </r>
  <r>
    <x v="103"/>
    <s v="Personnel"/>
    <s v="H "/>
    <x v="1"/>
    <x v="36"/>
    <s v="PSES High Prog21Duty48 S275"/>
    <x v="1"/>
    <s v="48"/>
    <n v="48"/>
    <m/>
    <s v="   "/>
    <n v="0.79600000000000004"/>
    <n v="0.20830000000000001"/>
    <n v="0.16600000000000001"/>
    <s v="High Physical Therapist"/>
  </r>
  <r>
    <x v="103"/>
    <s v="Personnel"/>
    <s v="M "/>
    <x v="2"/>
    <x v="37"/>
    <s v="PSES Mid Prog21Duty48 S275"/>
    <x v="1"/>
    <s v="48"/>
    <n v="48"/>
    <m/>
    <s v="   "/>
    <n v="0.92900000000000005"/>
    <n v="0.20830000000000001"/>
    <n v="0.19400000000000001"/>
    <s v="Middle Physical Therapist"/>
  </r>
  <r>
    <x v="104"/>
    <s v="Personnel"/>
    <s v="H "/>
    <x v="1"/>
    <x v="29"/>
    <s v="PSES High Prog21Act26 S275"/>
    <x v="1"/>
    <s v="26"/>
    <m/>
    <n v="26"/>
    <s v="   "/>
    <n v="0.80800000000000005"/>
    <n v="0.13"/>
    <n v="0.105"/>
    <s v="High Health/_x000a_Related Services"/>
  </r>
  <r>
    <x v="104"/>
    <s v="Personnel"/>
    <s v="H "/>
    <x v="1"/>
    <x v="25"/>
    <s v="PSES High Prog01Duty47 S275"/>
    <x v="0"/>
    <s v="47"/>
    <n v="47"/>
    <m/>
    <s v="   "/>
    <n v="1"/>
    <n v="0.13"/>
    <n v="0"/>
    <s v="High Nurse"/>
  </r>
  <r>
    <x v="105"/>
    <s v="Personnel"/>
    <s v="E "/>
    <x v="0"/>
    <x v="15"/>
    <s v="PSES Elem Prog01Duty42 S275"/>
    <x v="0"/>
    <s v="42"/>
    <n v="42"/>
    <m/>
    <s v="   "/>
    <n v="1"/>
    <n v="0.14760000000000001"/>
    <n v="0"/>
    <s v="Elementary Counselor"/>
  </r>
  <r>
    <x v="105"/>
    <s v="Personnel"/>
    <s v="H "/>
    <x v="1"/>
    <x v="16"/>
    <s v="PSES High Prog01Duty42 S275"/>
    <x v="0"/>
    <s v="42"/>
    <n v="42"/>
    <m/>
    <s v="   "/>
    <n v="2"/>
    <n v="0.14760000000000001"/>
    <n v="0"/>
    <s v="High Counselor"/>
  </r>
  <r>
    <x v="105"/>
    <s v="Personnel"/>
    <s v="H "/>
    <x v="1"/>
    <x v="25"/>
    <s v="PSES High Prog01Duty47 S275"/>
    <x v="0"/>
    <s v="47"/>
    <n v="47"/>
    <m/>
    <s v="   "/>
    <n v="0.498"/>
    <n v="0.14760000000000001"/>
    <n v="0"/>
    <s v="High Nurse"/>
  </r>
  <r>
    <x v="105"/>
    <s v="Personnel"/>
    <s v="M "/>
    <x v="2"/>
    <x v="34"/>
    <s v="PSES Mid Prog01Duty47 S275"/>
    <x v="0"/>
    <s v="47"/>
    <n v="47"/>
    <m/>
    <s v="   "/>
    <n v="0.498"/>
    <n v="0.14760000000000001"/>
    <n v="0"/>
    <s v="Middle Nurse"/>
  </r>
  <r>
    <x v="106"/>
    <s v="Personnel"/>
    <s v="H "/>
    <x v="1"/>
    <x v="29"/>
    <s v="PSES High Prog21Act26 S275"/>
    <x v="1"/>
    <s v="26"/>
    <m/>
    <n v="26"/>
    <s v="   "/>
    <n v="0.80800000000000005"/>
    <n v="0.13150000000000001"/>
    <n v="0.106"/>
    <s v="High Health/_x000a_Related Services"/>
  </r>
  <r>
    <x v="106"/>
    <s v="Personnel"/>
    <s v="H "/>
    <x v="1"/>
    <x v="25"/>
    <s v="PSES High Prog01Duty47 S275"/>
    <x v="0"/>
    <s v="47"/>
    <n v="47"/>
    <m/>
    <s v="   "/>
    <n v="0.45"/>
    <n v="0.13150000000000001"/>
    <n v="0"/>
    <s v="High Nurse"/>
  </r>
  <r>
    <x v="106"/>
    <s v="Personnel"/>
    <s v="M "/>
    <x v="2"/>
    <x v="34"/>
    <s v="PSES Mid Prog01Duty47 S275"/>
    <x v="0"/>
    <s v="47"/>
    <n v="47"/>
    <m/>
    <s v="   "/>
    <n v="0.55000000000000004"/>
    <n v="0.13150000000000001"/>
    <n v="0"/>
    <s v="Middle Nurse"/>
  </r>
  <r>
    <x v="107"/>
    <s v="Personnel"/>
    <s v="E "/>
    <x v="0"/>
    <x v="0"/>
    <s v="PSES Elem Prog01Duty96 S275"/>
    <x v="0"/>
    <s v="24"/>
    <n v="96"/>
    <n v="24"/>
    <s v="   "/>
    <n v="2"/>
    <n v="0.13150000000000001"/>
    <n v="0"/>
    <s v="Elementary Family Engagement Coordinator"/>
  </r>
  <r>
    <x v="107"/>
    <s v="Personnel"/>
    <s v="E "/>
    <x v="0"/>
    <x v="3"/>
    <s v="PSES Elem Prog01Act25 S275"/>
    <x v="0"/>
    <s v="25"/>
    <m/>
    <n v="25"/>
    <s v="   "/>
    <n v="1"/>
    <n v="0.13150000000000001"/>
    <n v="0"/>
    <s v="Elementary Pupil Management"/>
  </r>
  <r>
    <x v="107"/>
    <s v="Personnel"/>
    <s v="E "/>
    <x v="0"/>
    <x v="38"/>
    <s v="PSES Elem Prog21Duty64 S275"/>
    <x v="1"/>
    <s v="64"/>
    <n v="64"/>
    <m/>
    <s v="   "/>
    <n v="3.1"/>
    <n v="0.13150000000000001"/>
    <n v="0.40799999999999997"/>
    <s v="Elementary Contractor ESA"/>
  </r>
  <r>
    <x v="108"/>
    <s v="Personnel"/>
    <s v="E "/>
    <x v="0"/>
    <x v="0"/>
    <s v="PSES Elem Prog01Duty96 S275"/>
    <x v="0"/>
    <s v="24"/>
    <n v="96"/>
    <n v="24"/>
    <s v="   "/>
    <n v="2"/>
    <n v="0.1"/>
    <n v="0"/>
    <s v="Elementary Family Engagement Coordinator"/>
  </r>
  <r>
    <x v="108"/>
    <s v="Personnel"/>
    <s v="E "/>
    <x v="0"/>
    <x v="3"/>
    <s v="PSES Elem Prog01Act25 S275"/>
    <x v="0"/>
    <s v="25"/>
    <m/>
    <n v="25"/>
    <s v="   "/>
    <n v="1"/>
    <n v="0.1"/>
    <n v="0"/>
    <s v="Elementary Pupil Management"/>
  </r>
  <r>
    <x v="108"/>
    <s v="Personnel"/>
    <s v="E "/>
    <x v="0"/>
    <x v="38"/>
    <s v="PSES Elem Prog21Duty64 S275"/>
    <x v="1"/>
    <s v="64"/>
    <n v="64"/>
    <m/>
    <s v="   "/>
    <n v="1.5"/>
    <n v="0.1"/>
    <n v="0.15"/>
    <s v="Elementary Contractor ESA"/>
  </r>
  <r>
    <x v="109"/>
    <s v="Personnel"/>
    <s v="H "/>
    <x v="1"/>
    <x v="9"/>
    <s v="PSES High Prog01Act26 S275"/>
    <x v="0"/>
    <s v="26"/>
    <m/>
    <n v="26"/>
    <s v="   "/>
    <n v="6.9000000000000006E-2"/>
    <n v="0.13880000000000001"/>
    <n v="0"/>
    <s v="High Health/_x000a_Related Services"/>
  </r>
  <r>
    <x v="110"/>
    <s v="Personnel"/>
    <s v="E "/>
    <x v="0"/>
    <x v="0"/>
    <s v="PSES Elem Prog01Duty96 S275"/>
    <x v="0"/>
    <s v="24"/>
    <n v="96"/>
    <n v="24"/>
    <s v="   "/>
    <n v="1.175"/>
    <n v="0.08"/>
    <n v="0"/>
    <s v="Elementary Family Engagement Coordinator"/>
  </r>
  <r>
    <x v="110"/>
    <s v="Personnel"/>
    <s v="E "/>
    <x v="0"/>
    <x v="38"/>
    <s v="PSES Elem Prog21Duty64 S275"/>
    <x v="1"/>
    <s v="64"/>
    <n v="64"/>
    <m/>
    <s v="   "/>
    <n v="1.7"/>
    <n v="0.08"/>
    <n v="0.13600000000000001"/>
    <s v="Elementary Contractor ESA"/>
  </r>
  <r>
    <x v="111"/>
    <s v="Personnel"/>
    <s v="H "/>
    <x v="1"/>
    <x v="4"/>
    <s v="PSES High Prog21Act25 S275"/>
    <x v="1"/>
    <s v="25"/>
    <m/>
    <n v="25"/>
    <s v="   "/>
    <n v="2.3130000000000002"/>
    <n v="0.27089999999999997"/>
    <n v="0.627"/>
    <s v="High Pupil Management"/>
  </r>
  <r>
    <x v="111"/>
    <s v="Personnel"/>
    <s v="H "/>
    <x v="1"/>
    <x v="53"/>
    <s v="PSES High Prog97Act25 S275"/>
    <x v="2"/>
    <s v="25"/>
    <m/>
    <n v="25"/>
    <s v="   "/>
    <n v="1.101"/>
    <n v="0.27089999999999997"/>
    <n v="0"/>
    <s v="High Pupil Management"/>
  </r>
  <r>
    <x v="111"/>
    <s v="Personnel"/>
    <s v="E "/>
    <x v="0"/>
    <x v="7"/>
    <s v="PSES Elem Prog21Act26 S275"/>
    <x v="1"/>
    <s v="26"/>
    <m/>
    <n v="26"/>
    <s v="   "/>
    <n v="1.603"/>
    <n v="0.27089999999999997"/>
    <n v="0.434"/>
    <s v="Elementary Health/_x000a_Related Services"/>
  </r>
  <r>
    <x v="111"/>
    <s v="Personnel"/>
    <s v="E "/>
    <x v="0"/>
    <x v="8"/>
    <s v="PSES Elem Prog01Act26 S275"/>
    <x v="0"/>
    <s v="26"/>
    <m/>
    <n v="26"/>
    <s v="   "/>
    <n v="3.2530000000000001"/>
    <n v="0.27089999999999997"/>
    <n v="0"/>
    <s v="Elementary Health/_x000a_Related Services"/>
  </r>
  <r>
    <x v="111"/>
    <s v="Personnel"/>
    <s v="H "/>
    <x v="1"/>
    <x v="29"/>
    <s v="PSES High Prog21Act26 S275"/>
    <x v="1"/>
    <s v="26"/>
    <m/>
    <n v="26"/>
    <s v="   "/>
    <n v="0.7"/>
    <n v="0.27089999999999997"/>
    <n v="0.19"/>
    <s v="High Health/_x000a_Related Services"/>
  </r>
  <r>
    <x v="111"/>
    <s v="Personnel"/>
    <s v="H "/>
    <x v="1"/>
    <x v="9"/>
    <s v="PSES High Prog01Act26 S275"/>
    <x v="0"/>
    <s v="26"/>
    <m/>
    <n v="26"/>
    <s v="   "/>
    <n v="1.91"/>
    <n v="0.27089999999999997"/>
    <n v="0"/>
    <s v="High Health/_x000a_Related Services"/>
  </r>
  <r>
    <x v="111"/>
    <s v="Personnel"/>
    <s v="M "/>
    <x v="2"/>
    <x v="10"/>
    <s v="PSES Mid Prog21Act26 S275"/>
    <x v="1"/>
    <s v="26"/>
    <m/>
    <n v="26"/>
    <s v="   "/>
    <n v="0.13400000000000001"/>
    <n v="0.27089999999999997"/>
    <n v="3.5999999999999997E-2"/>
    <s v="Middle Health/_x000a_Related Services"/>
  </r>
  <r>
    <x v="111"/>
    <s v="Personnel"/>
    <s v="M "/>
    <x v="2"/>
    <x v="11"/>
    <s v="PSES Mid Prog01Act26 S275"/>
    <x v="0"/>
    <s v="26"/>
    <m/>
    <n v="26"/>
    <s v="   "/>
    <n v="0.72799999999999998"/>
    <n v="0.27089999999999997"/>
    <n v="0"/>
    <s v="Middle Health/_x000a_Related Services"/>
  </r>
  <r>
    <x v="111"/>
    <s v="Personnel"/>
    <s v="H "/>
    <x v="1"/>
    <x v="54"/>
    <s v="PSES High Prog01Act35 S275"/>
    <x v="0"/>
    <s v="35"/>
    <m/>
    <n v="35"/>
    <s v="   "/>
    <n v="3.9460000000000002"/>
    <n v="0.27089999999999997"/>
    <n v="0"/>
    <s v="High Pupil Safety"/>
  </r>
  <r>
    <x v="111"/>
    <s v="Personnel"/>
    <s v="M "/>
    <x v="2"/>
    <x v="63"/>
    <s v="PSES Mid Prog01Act35 S275"/>
    <x v="0"/>
    <s v="35"/>
    <m/>
    <n v="35"/>
    <s v="   "/>
    <n v="1.591"/>
    <n v="0.27089999999999997"/>
    <n v="0"/>
    <s v="Middle Pupil Safety"/>
  </r>
  <r>
    <x v="111"/>
    <s v="Personnel"/>
    <s v="E "/>
    <x v="0"/>
    <x v="15"/>
    <s v="PSES Elem Prog01Duty42 S275"/>
    <x v="0"/>
    <s v="42"/>
    <n v="42"/>
    <m/>
    <s v="   "/>
    <n v="6.2"/>
    <n v="0.27089999999999997"/>
    <n v="0"/>
    <s v="Elementary Counselor"/>
  </r>
  <r>
    <x v="111"/>
    <s v="Personnel"/>
    <s v="H "/>
    <x v="1"/>
    <x v="16"/>
    <s v="PSES High Prog01Duty42 S275"/>
    <x v="0"/>
    <s v="42"/>
    <n v="42"/>
    <m/>
    <s v="   "/>
    <n v="3.984"/>
    <n v="0.27089999999999997"/>
    <n v="0"/>
    <s v="High Counselor"/>
  </r>
  <r>
    <x v="111"/>
    <s v="Personnel"/>
    <s v="M "/>
    <x v="2"/>
    <x v="17"/>
    <s v="PSES Mid Prog01Duty42 S275"/>
    <x v="0"/>
    <s v="42"/>
    <n v="42"/>
    <m/>
    <s v="   "/>
    <n v="1.2"/>
    <n v="0.27089999999999997"/>
    <n v="0"/>
    <s v="Middle Counselor"/>
  </r>
  <r>
    <x v="111"/>
    <s v="Personnel"/>
    <s v="E "/>
    <x v="0"/>
    <x v="18"/>
    <s v="PSES Elem Prog21Duty43 S275"/>
    <x v="1"/>
    <s v="43"/>
    <n v="43"/>
    <m/>
    <s v="   "/>
    <n v="2.2000000000000002"/>
    <n v="0.27089999999999997"/>
    <n v="0.59599999999999997"/>
    <s v="Elementary Occupational Therapist"/>
  </r>
  <r>
    <x v="111"/>
    <s v="Personnel"/>
    <s v="M "/>
    <x v="2"/>
    <x v="31"/>
    <s v="PSES Mid Prog21Duty43 S275"/>
    <x v="1"/>
    <s v="43"/>
    <n v="43"/>
    <m/>
    <s v="   "/>
    <n v="0.2"/>
    <n v="0.27089999999999997"/>
    <n v="5.3999999999999999E-2"/>
    <s v="Middle Occupational Therapist"/>
  </r>
  <r>
    <x v="111"/>
    <s v="Personnel"/>
    <s v="E "/>
    <x v="0"/>
    <x v="20"/>
    <s v="PSES Elem Prog21Duty45 S275"/>
    <x v="1"/>
    <s v="45"/>
    <n v="45"/>
    <m/>
    <s v="   "/>
    <n v="6.1289999999999996"/>
    <n v="0.27089999999999997"/>
    <n v="1.66"/>
    <s v="Elementary Speech, Language Pathway/_x000a_Audio"/>
  </r>
  <r>
    <x v="111"/>
    <s v="Personnel"/>
    <s v="H "/>
    <x v="1"/>
    <x v="21"/>
    <s v="PSES High Prog21Duty45 S275"/>
    <x v="1"/>
    <s v="45"/>
    <n v="45"/>
    <m/>
    <s v="   "/>
    <n v="1"/>
    <n v="0.27089999999999997"/>
    <n v="0.27100000000000002"/>
    <s v="High Speech, Language Pathway/_x000a_Audio"/>
  </r>
  <r>
    <x v="111"/>
    <s v="Personnel"/>
    <s v="M "/>
    <x v="2"/>
    <x v="28"/>
    <s v="PSES Mid Prog21Duty45 S275"/>
    <x v="1"/>
    <s v="45"/>
    <n v="45"/>
    <m/>
    <s v="   "/>
    <n v="0.86599999999999999"/>
    <n v="0.27089999999999997"/>
    <n v="0.23499999999999999"/>
    <s v="Middle Speech, Language Pathway/_x000a_Audio"/>
  </r>
  <r>
    <x v="111"/>
    <s v="Personnel"/>
    <s v="E "/>
    <x v="0"/>
    <x v="22"/>
    <s v="PSES Elem Prog21Duty46 S275"/>
    <x v="1"/>
    <s v="46"/>
    <n v="46"/>
    <m/>
    <s v="   "/>
    <n v="2.694"/>
    <n v="0.27089999999999997"/>
    <n v="0.73"/>
    <s v="Elementary Psychologist"/>
  </r>
  <r>
    <x v="111"/>
    <s v="Personnel"/>
    <s v="H "/>
    <x v="1"/>
    <x v="23"/>
    <s v="PSES High Prog21Duty46 S275"/>
    <x v="1"/>
    <s v="46"/>
    <n v="46"/>
    <m/>
    <s v="   "/>
    <n v="1"/>
    <n v="0.27089999999999997"/>
    <n v="0.27100000000000002"/>
    <s v="High Psychologist"/>
  </r>
  <r>
    <x v="111"/>
    <s v="Personnel"/>
    <s v="M "/>
    <x v="2"/>
    <x v="24"/>
    <s v="PSES Mid Prog21Duty46 S275"/>
    <x v="1"/>
    <s v="46"/>
    <n v="46"/>
    <m/>
    <s v="   "/>
    <n v="1"/>
    <n v="0.27089999999999997"/>
    <n v="0.27100000000000002"/>
    <s v="Middle Psychologist"/>
  </r>
  <r>
    <x v="111"/>
    <s v="Personnel"/>
    <s v="E "/>
    <x v="0"/>
    <x v="35"/>
    <s v="PSES Elem Prog21Duty48 S275"/>
    <x v="1"/>
    <s v="48"/>
    <n v="48"/>
    <m/>
    <s v="   "/>
    <n v="0.6"/>
    <n v="0.27089999999999997"/>
    <n v="0.16300000000000001"/>
    <s v="Elementary Physical Therapist"/>
  </r>
  <r>
    <x v="111"/>
    <s v="Personnel"/>
    <s v="H "/>
    <x v="1"/>
    <x v="36"/>
    <s v="PSES High Prog21Duty48 S275"/>
    <x v="1"/>
    <s v="48"/>
    <n v="48"/>
    <m/>
    <s v="   "/>
    <n v="0.1"/>
    <n v="0.27089999999999997"/>
    <n v="2.7E-2"/>
    <s v="High Physical Therapist"/>
  </r>
  <r>
    <x v="111"/>
    <s v="Personnel"/>
    <s v="M "/>
    <x v="2"/>
    <x v="37"/>
    <s v="PSES Mid Prog21Duty48 S275"/>
    <x v="1"/>
    <s v="48"/>
    <n v="48"/>
    <m/>
    <s v="   "/>
    <n v="0.1"/>
    <n v="0.27089999999999997"/>
    <n v="2.7E-2"/>
    <s v="Middle Physical Therapist"/>
  </r>
  <r>
    <x v="112"/>
    <s v="Personnel"/>
    <s v="E "/>
    <x v="0"/>
    <x v="3"/>
    <s v="PSES Elem Prog01Act25 S275"/>
    <x v="0"/>
    <s v="25"/>
    <m/>
    <n v="25"/>
    <s v="   "/>
    <n v="0.48899999999999999"/>
    <n v="0.20349999999999999"/>
    <n v="0"/>
    <s v="Elementary Pupil Management"/>
  </r>
  <r>
    <x v="112"/>
    <s v="Personnel"/>
    <s v="H "/>
    <x v="1"/>
    <x v="4"/>
    <s v="PSES High Prog21Act25 S275"/>
    <x v="1"/>
    <s v="25"/>
    <m/>
    <n v="25"/>
    <s v="   "/>
    <n v="0.83499999999999996"/>
    <n v="0.20349999999999999"/>
    <n v="0.17"/>
    <s v="High Pupil Management"/>
  </r>
  <r>
    <x v="112"/>
    <s v="Personnel"/>
    <s v="H "/>
    <x v="1"/>
    <x v="5"/>
    <s v="PSES High Prog01Act25 S275"/>
    <x v="0"/>
    <s v="25"/>
    <m/>
    <n v="25"/>
    <s v="   "/>
    <n v="4.3940000000000001"/>
    <n v="0.20349999999999999"/>
    <n v="0"/>
    <s v="High Pupil Management"/>
  </r>
  <r>
    <x v="112"/>
    <s v="Personnel"/>
    <s v="H "/>
    <x v="1"/>
    <x v="9"/>
    <s v="PSES High Prog01Act26 S275"/>
    <x v="0"/>
    <s v="26"/>
    <m/>
    <n v="26"/>
    <s v="   "/>
    <n v="3.7679999999999998"/>
    <n v="0.20349999999999999"/>
    <n v="0"/>
    <s v="High Health/_x000a_Related Services"/>
  </r>
  <r>
    <x v="112"/>
    <s v="Personnel"/>
    <s v="E "/>
    <x v="0"/>
    <x v="15"/>
    <s v="PSES Elem Prog01Duty42 S275"/>
    <x v="0"/>
    <s v="42"/>
    <n v="42"/>
    <m/>
    <s v="   "/>
    <n v="4.5659999999999998"/>
    <n v="0.20349999999999999"/>
    <n v="0"/>
    <s v="Elementary Counselor"/>
  </r>
  <r>
    <x v="112"/>
    <s v="Personnel"/>
    <s v="H "/>
    <x v="1"/>
    <x v="16"/>
    <s v="PSES High Prog01Duty42 S275"/>
    <x v="0"/>
    <s v="42"/>
    <n v="42"/>
    <m/>
    <s v="   "/>
    <n v="4.8499999999999996"/>
    <n v="0.20349999999999999"/>
    <n v="0"/>
    <s v="High Counselor"/>
  </r>
  <r>
    <x v="112"/>
    <s v="Personnel"/>
    <s v="M "/>
    <x v="2"/>
    <x v="17"/>
    <s v="PSES Mid Prog01Duty42 S275"/>
    <x v="0"/>
    <s v="42"/>
    <n v="42"/>
    <m/>
    <s v="   "/>
    <n v="1.6839999999999999"/>
    <n v="0.20349999999999999"/>
    <n v="0"/>
    <s v="Middle Counselor"/>
  </r>
  <r>
    <x v="112"/>
    <s v="Personnel"/>
    <s v="E "/>
    <x v="0"/>
    <x v="18"/>
    <s v="PSES Elem Prog21Duty43 S275"/>
    <x v="1"/>
    <s v="43"/>
    <n v="43"/>
    <m/>
    <s v="   "/>
    <n v="0.8"/>
    <n v="0.20349999999999999"/>
    <n v="0.16300000000000001"/>
    <s v="Elementary Occupational Therapist"/>
  </r>
  <r>
    <x v="112"/>
    <s v="Personnel"/>
    <s v="E "/>
    <x v="0"/>
    <x v="42"/>
    <s v="PSES Elem Prog01Duty44 S275"/>
    <x v="0"/>
    <s v="44"/>
    <n v="44"/>
    <m/>
    <s v="   "/>
    <n v="0.53600000000000003"/>
    <n v="0.20349999999999999"/>
    <n v="0"/>
    <s v="Elementary Social Worker"/>
  </r>
  <r>
    <x v="112"/>
    <s v="Personnel"/>
    <s v="H "/>
    <x v="1"/>
    <x v="44"/>
    <s v="PSES High Prog01Duty44 S275"/>
    <x v="0"/>
    <s v="44"/>
    <n v="44"/>
    <m/>
    <s v="   "/>
    <n v="0.31"/>
    <n v="0.20349999999999999"/>
    <n v="0"/>
    <s v="High Social Worker"/>
  </r>
  <r>
    <x v="112"/>
    <s v="Personnel"/>
    <s v="M "/>
    <x v="2"/>
    <x v="46"/>
    <s v="PSES Mid Prog01Duty44 S275"/>
    <x v="0"/>
    <s v="44"/>
    <n v="44"/>
    <m/>
    <s v="   "/>
    <n v="0.154"/>
    <n v="0.20349999999999999"/>
    <n v="0"/>
    <s v="Middle Social Worker"/>
  </r>
  <r>
    <x v="112"/>
    <s v="Personnel"/>
    <s v="E "/>
    <x v="0"/>
    <x v="20"/>
    <s v="PSES Elem Prog21Duty45 S275"/>
    <x v="1"/>
    <s v="45"/>
    <n v="45"/>
    <m/>
    <s v="   "/>
    <n v="3.3039999999999998"/>
    <n v="0.20349999999999999"/>
    <n v="0.67200000000000004"/>
    <s v="Elementary Speech, Language Pathway/_x000a_Audio"/>
  </r>
  <r>
    <x v="112"/>
    <s v="Personnel"/>
    <s v="H "/>
    <x v="1"/>
    <x v="21"/>
    <s v="PSES High Prog21Duty45 S275"/>
    <x v="1"/>
    <s v="45"/>
    <n v="45"/>
    <m/>
    <s v="   "/>
    <n v="1.2170000000000001"/>
    <n v="0.20349999999999999"/>
    <n v="0.248"/>
    <s v="High Speech, Language Pathway/_x000a_Audio"/>
  </r>
  <r>
    <x v="112"/>
    <s v="Personnel"/>
    <s v="M "/>
    <x v="2"/>
    <x v="28"/>
    <s v="PSES Mid Prog21Duty45 S275"/>
    <x v="1"/>
    <s v="45"/>
    <n v="45"/>
    <m/>
    <s v="   "/>
    <n v="0.32900000000000001"/>
    <n v="0.20349999999999999"/>
    <n v="6.7000000000000004E-2"/>
    <s v="Middle Speech, Language Pathway/_x000a_Audio"/>
  </r>
  <r>
    <x v="112"/>
    <s v="Personnel"/>
    <s v="E "/>
    <x v="0"/>
    <x v="22"/>
    <s v="PSES Elem Prog21Duty46 S275"/>
    <x v="1"/>
    <s v="46"/>
    <n v="46"/>
    <m/>
    <s v="   "/>
    <n v="1.31"/>
    <n v="0.20349999999999999"/>
    <n v="0.26700000000000002"/>
    <s v="Elementary Psychologist"/>
  </r>
  <r>
    <x v="112"/>
    <s v="Personnel"/>
    <s v="H "/>
    <x v="1"/>
    <x v="23"/>
    <s v="PSES High Prog21Duty46 S275"/>
    <x v="1"/>
    <s v="46"/>
    <n v="46"/>
    <m/>
    <s v="   "/>
    <n v="1.2889999999999999"/>
    <n v="0.20349999999999999"/>
    <n v="0.26200000000000001"/>
    <s v="High Psychologist"/>
  </r>
  <r>
    <x v="112"/>
    <s v="Personnel"/>
    <s v="M "/>
    <x v="2"/>
    <x v="24"/>
    <s v="PSES Mid Prog21Duty46 S275"/>
    <x v="1"/>
    <s v="46"/>
    <n v="46"/>
    <m/>
    <s v="   "/>
    <n v="0.45500000000000002"/>
    <n v="0.20349999999999999"/>
    <n v="9.2999999999999999E-2"/>
    <s v="Middle Psychologist"/>
  </r>
  <r>
    <x v="112"/>
    <s v="Personnel"/>
    <s v="E "/>
    <x v="0"/>
    <x v="27"/>
    <s v="PSES Elem Prog01Duty47 S275"/>
    <x v="0"/>
    <s v="47"/>
    <n v="47"/>
    <m/>
    <s v="   "/>
    <n v="0.48"/>
    <n v="0.20349999999999999"/>
    <n v="0"/>
    <s v="Elementary Nurse"/>
  </r>
  <r>
    <x v="112"/>
    <s v="Personnel"/>
    <s v="H "/>
    <x v="1"/>
    <x v="25"/>
    <s v="PSES High Prog01Duty47 S275"/>
    <x v="0"/>
    <s v="47"/>
    <n v="47"/>
    <m/>
    <s v="   "/>
    <n v="0.96"/>
    <n v="0.20349999999999999"/>
    <n v="0"/>
    <s v="High Nurse"/>
  </r>
  <r>
    <x v="112"/>
    <s v="Personnel"/>
    <s v="E "/>
    <x v="0"/>
    <x v="35"/>
    <s v="PSES Elem Prog21Duty48 S275"/>
    <x v="1"/>
    <s v="48"/>
    <n v="48"/>
    <m/>
    <s v="   "/>
    <n v="0.53"/>
    <n v="0.20349999999999999"/>
    <n v="0.108"/>
    <s v="Elementary Physical Therapist"/>
  </r>
  <r>
    <x v="112"/>
    <s v="Personnel"/>
    <s v="H "/>
    <x v="1"/>
    <x v="36"/>
    <s v="PSES High Prog21Duty48 S275"/>
    <x v="1"/>
    <s v="48"/>
    <n v="48"/>
    <m/>
    <s v="   "/>
    <n v="0.09"/>
    <n v="0.20349999999999999"/>
    <n v="1.7999999999999999E-2"/>
    <s v="High Physical Therapist"/>
  </r>
  <r>
    <x v="113"/>
    <s v="Personnel"/>
    <s v="E "/>
    <x v="0"/>
    <x v="3"/>
    <s v="PSES Elem Prog01Act25 S275"/>
    <x v="0"/>
    <s v="25"/>
    <m/>
    <n v="25"/>
    <s v="   "/>
    <n v="0.53300000000000003"/>
    <n v="0.20019999999999999"/>
    <n v="0"/>
    <s v="Elementary Pupil Management"/>
  </r>
  <r>
    <x v="113"/>
    <s v="Personnel"/>
    <s v="H "/>
    <x v="1"/>
    <x v="4"/>
    <s v="PSES High Prog21Act25 S275"/>
    <x v="1"/>
    <s v="25"/>
    <m/>
    <n v="25"/>
    <s v="   "/>
    <n v="9.9220000000000006"/>
    <n v="0.20019999999999999"/>
    <n v="1.986"/>
    <s v="High Pupil Management"/>
  </r>
  <r>
    <x v="113"/>
    <s v="Personnel"/>
    <s v="H "/>
    <x v="1"/>
    <x v="5"/>
    <s v="PSES High Prog01Act25 S275"/>
    <x v="0"/>
    <s v="25"/>
    <m/>
    <n v="25"/>
    <s v="   "/>
    <n v="5.992"/>
    <n v="0.20019999999999999"/>
    <n v="0"/>
    <s v="High Pupil Management"/>
  </r>
  <r>
    <x v="113"/>
    <s v="Personnel"/>
    <s v="H "/>
    <x v="1"/>
    <x v="29"/>
    <s v="PSES High Prog21Act26 S275"/>
    <x v="1"/>
    <s v="26"/>
    <m/>
    <n v="26"/>
    <s v="   "/>
    <n v="3.0390000000000001"/>
    <n v="0.20019999999999999"/>
    <n v="0.60799999999999998"/>
    <s v="High Health/_x000a_Related Services"/>
  </r>
  <r>
    <x v="113"/>
    <s v="Personnel"/>
    <s v="H "/>
    <x v="1"/>
    <x v="9"/>
    <s v="PSES High Prog01Act26 S275"/>
    <x v="0"/>
    <s v="26"/>
    <m/>
    <n v="26"/>
    <s v="   "/>
    <n v="0.40799999999999997"/>
    <n v="0.20019999999999999"/>
    <n v="0"/>
    <s v="High Health/_x000a_Related Services"/>
  </r>
  <r>
    <x v="113"/>
    <s v="Personnel"/>
    <s v="H "/>
    <x v="1"/>
    <x v="54"/>
    <s v="PSES High Prog01Act35 S275"/>
    <x v="0"/>
    <s v="35"/>
    <m/>
    <n v="35"/>
    <s v="   "/>
    <n v="3.6709999999999998"/>
    <n v="0.20019999999999999"/>
    <n v="0"/>
    <s v="High Pupil Safety"/>
  </r>
  <r>
    <x v="113"/>
    <s v="Personnel"/>
    <s v="E "/>
    <x v="0"/>
    <x v="15"/>
    <s v="PSES Elem Prog01Duty42 S275"/>
    <x v="0"/>
    <s v="42"/>
    <n v="42"/>
    <m/>
    <s v="   "/>
    <n v="7.22"/>
    <n v="0.20019999999999999"/>
    <n v="0"/>
    <s v="Elementary Counselor"/>
  </r>
  <r>
    <x v="113"/>
    <s v="Personnel"/>
    <s v="H "/>
    <x v="1"/>
    <x v="16"/>
    <s v="PSES High Prog01Duty42 S275"/>
    <x v="0"/>
    <s v="42"/>
    <n v="42"/>
    <m/>
    <s v="   "/>
    <n v="4.5"/>
    <n v="0.20019999999999999"/>
    <n v="0"/>
    <s v="High Counselor"/>
  </r>
  <r>
    <x v="113"/>
    <s v="Personnel"/>
    <s v="M "/>
    <x v="2"/>
    <x v="17"/>
    <s v="PSES Mid Prog01Duty42 S275"/>
    <x v="0"/>
    <s v="42"/>
    <n v="42"/>
    <m/>
    <s v="   "/>
    <n v="1.98"/>
    <n v="0.20019999999999999"/>
    <n v="0"/>
    <s v="Middle Counselor"/>
  </r>
  <r>
    <x v="113"/>
    <s v="Personnel"/>
    <s v="E "/>
    <x v="0"/>
    <x v="18"/>
    <s v="PSES Elem Prog21Duty43 S275"/>
    <x v="1"/>
    <s v="43"/>
    <n v="43"/>
    <m/>
    <s v="   "/>
    <n v="2.895"/>
    <n v="0.20019999999999999"/>
    <n v="0.57999999999999996"/>
    <s v="Elementary Occupational Therapist"/>
  </r>
  <r>
    <x v="113"/>
    <s v="Personnel"/>
    <s v="H "/>
    <x v="1"/>
    <x v="19"/>
    <s v="PSES High Prog21Duty43 S275"/>
    <x v="1"/>
    <s v="43"/>
    <n v="43"/>
    <m/>
    <s v="   "/>
    <n v="1.04"/>
    <n v="0.20019999999999999"/>
    <n v="0.20799999999999999"/>
    <s v="High Occupational Therapist"/>
  </r>
  <r>
    <x v="113"/>
    <s v="Personnel"/>
    <s v="M "/>
    <x v="2"/>
    <x v="31"/>
    <s v="PSES Mid Prog21Duty43 S275"/>
    <x v="1"/>
    <s v="43"/>
    <n v="43"/>
    <m/>
    <s v="   "/>
    <n v="0.435"/>
    <n v="0.20019999999999999"/>
    <n v="8.6999999999999994E-2"/>
    <s v="Middle Occupational Therapist"/>
  </r>
  <r>
    <x v="113"/>
    <s v="Personnel"/>
    <s v="E "/>
    <x v="0"/>
    <x v="20"/>
    <s v="PSES Elem Prog21Duty45 S275"/>
    <x v="1"/>
    <s v="45"/>
    <n v="45"/>
    <m/>
    <s v="   "/>
    <n v="6.907"/>
    <n v="0.20019999999999999"/>
    <n v="1.383"/>
    <s v="Elementary Speech, Language Pathway/_x000a_Audio"/>
  </r>
  <r>
    <x v="113"/>
    <s v="Personnel"/>
    <s v="H "/>
    <x v="1"/>
    <x v="21"/>
    <s v="PSES High Prog21Duty45 S275"/>
    <x v="1"/>
    <s v="45"/>
    <n v="45"/>
    <m/>
    <s v="   "/>
    <n v="1.6"/>
    <n v="0.20019999999999999"/>
    <n v="0.32"/>
    <s v="High Speech, Language Pathway/_x000a_Audio"/>
  </r>
  <r>
    <x v="113"/>
    <s v="Personnel"/>
    <s v="M "/>
    <x v="2"/>
    <x v="28"/>
    <s v="PSES Mid Prog21Duty45 S275"/>
    <x v="1"/>
    <s v="45"/>
    <n v="45"/>
    <m/>
    <s v="   "/>
    <n v="1.224"/>
    <n v="0.20019999999999999"/>
    <n v="0.245"/>
    <s v="Middle Speech, Language Pathway/_x000a_Audio"/>
  </r>
  <r>
    <x v="113"/>
    <s v="Personnel"/>
    <s v="E "/>
    <x v="0"/>
    <x v="22"/>
    <s v="PSES Elem Prog21Duty46 S275"/>
    <x v="1"/>
    <s v="46"/>
    <n v="46"/>
    <m/>
    <s v="   "/>
    <n v="3.6179999999999999"/>
    <n v="0.20019999999999999"/>
    <n v="0.72399999999999998"/>
    <s v="Elementary Psychologist"/>
  </r>
  <r>
    <x v="113"/>
    <s v="Personnel"/>
    <s v="H "/>
    <x v="1"/>
    <x v="23"/>
    <s v="PSES High Prog21Duty46 S275"/>
    <x v="1"/>
    <s v="46"/>
    <n v="46"/>
    <m/>
    <s v="   "/>
    <n v="2"/>
    <n v="0.20019999999999999"/>
    <n v="0.4"/>
    <s v="High Psychologist"/>
  </r>
  <r>
    <x v="113"/>
    <s v="Personnel"/>
    <s v="M "/>
    <x v="2"/>
    <x v="24"/>
    <s v="PSES Mid Prog21Duty46 S275"/>
    <x v="1"/>
    <s v="46"/>
    <n v="46"/>
    <m/>
    <s v="   "/>
    <n v="1.1060000000000001"/>
    <n v="0.20019999999999999"/>
    <n v="0.221"/>
    <s v="Middle Psychologist"/>
  </r>
  <r>
    <x v="113"/>
    <s v="Personnel"/>
    <s v="E "/>
    <x v="0"/>
    <x v="35"/>
    <s v="PSES Elem Prog21Duty48 S275"/>
    <x v="1"/>
    <s v="48"/>
    <n v="48"/>
    <m/>
    <s v="   "/>
    <n v="0.53900000000000003"/>
    <n v="0.20019999999999999"/>
    <n v="0.108"/>
    <s v="Elementary Physical Therapist"/>
  </r>
  <r>
    <x v="113"/>
    <s v="Personnel"/>
    <s v="H "/>
    <x v="1"/>
    <x v="36"/>
    <s v="PSES High Prog21Duty48 S275"/>
    <x v="1"/>
    <s v="48"/>
    <n v="48"/>
    <m/>
    <s v="   "/>
    <n v="0.27600000000000002"/>
    <n v="0.20019999999999999"/>
    <n v="5.5E-2"/>
    <s v="High Physical Therapist"/>
  </r>
  <r>
    <x v="113"/>
    <s v="Personnel"/>
    <s v="M "/>
    <x v="2"/>
    <x v="37"/>
    <s v="PSES Mid Prog21Duty48 S275"/>
    <x v="1"/>
    <s v="48"/>
    <n v="48"/>
    <m/>
    <s v="   "/>
    <n v="0.17199999999999999"/>
    <n v="0.20019999999999999"/>
    <n v="3.4000000000000002E-2"/>
    <s v="Middle Physical Therapist"/>
  </r>
  <r>
    <x v="114"/>
    <s v="Personnel"/>
    <s v="H "/>
    <x v="1"/>
    <x v="5"/>
    <s v="PSES High Prog01Act25 S275"/>
    <x v="0"/>
    <s v="25"/>
    <m/>
    <n v="25"/>
    <s v="   "/>
    <n v="15.273999999999999"/>
    <n v="0.26369999999999999"/>
    <n v="0"/>
    <s v="High Pupil Management"/>
  </r>
  <r>
    <x v="114"/>
    <s v="Personnel"/>
    <s v="H "/>
    <x v="1"/>
    <x v="29"/>
    <s v="PSES High Prog21Act26 S275"/>
    <x v="1"/>
    <s v="26"/>
    <m/>
    <n v="26"/>
    <s v="   "/>
    <n v="3.5640000000000001"/>
    <n v="0.26369999999999999"/>
    <n v="0.94"/>
    <s v="High Health/_x000a_Related Services"/>
  </r>
  <r>
    <x v="114"/>
    <s v="Personnel"/>
    <s v="H "/>
    <x v="1"/>
    <x v="9"/>
    <s v="PSES High Prog01Act26 S275"/>
    <x v="0"/>
    <s v="26"/>
    <m/>
    <n v="26"/>
    <s v="   "/>
    <n v="0.82299999999999995"/>
    <n v="0.26369999999999999"/>
    <n v="0"/>
    <s v="High Health/_x000a_Related Services"/>
  </r>
  <r>
    <x v="114"/>
    <s v="Personnel"/>
    <s v="E "/>
    <x v="0"/>
    <x v="15"/>
    <s v="PSES Elem Prog01Duty42 S275"/>
    <x v="0"/>
    <s v="42"/>
    <n v="42"/>
    <m/>
    <s v="   "/>
    <n v="12.627000000000001"/>
    <n v="0.26369999999999999"/>
    <n v="0"/>
    <s v="Elementary Counselor"/>
  </r>
  <r>
    <x v="114"/>
    <s v="Personnel"/>
    <s v="H "/>
    <x v="1"/>
    <x v="16"/>
    <s v="PSES High Prog01Duty42 S275"/>
    <x v="0"/>
    <s v="42"/>
    <n v="42"/>
    <m/>
    <s v="   "/>
    <n v="11.712999999999999"/>
    <n v="0.26369999999999999"/>
    <n v="0"/>
    <s v="High Counselor"/>
  </r>
  <r>
    <x v="114"/>
    <s v="Personnel"/>
    <s v="M "/>
    <x v="2"/>
    <x v="17"/>
    <s v="PSES Mid Prog01Duty42 S275"/>
    <x v="0"/>
    <s v="42"/>
    <n v="42"/>
    <m/>
    <s v="   "/>
    <n v="5.36"/>
    <n v="0.26369999999999999"/>
    <n v="0"/>
    <s v="Middle Counselor"/>
  </r>
  <r>
    <x v="114"/>
    <s v="Personnel"/>
    <s v="E "/>
    <x v="0"/>
    <x v="18"/>
    <s v="PSES Elem Prog21Duty43 S275"/>
    <x v="1"/>
    <s v="43"/>
    <n v="43"/>
    <m/>
    <s v="   "/>
    <n v="2.9140000000000001"/>
    <n v="0.26369999999999999"/>
    <n v="0.76800000000000002"/>
    <s v="Elementary Occupational Therapist"/>
  </r>
  <r>
    <x v="114"/>
    <s v="Personnel"/>
    <s v="H "/>
    <x v="1"/>
    <x v="19"/>
    <s v="PSES High Prog21Duty43 S275"/>
    <x v="1"/>
    <s v="43"/>
    <n v="43"/>
    <m/>
    <s v="   "/>
    <n v="2.1160000000000001"/>
    <n v="0.26369999999999999"/>
    <n v="0.55800000000000005"/>
    <s v="High Occupational Therapist"/>
  </r>
  <r>
    <x v="114"/>
    <s v="Personnel"/>
    <s v="M "/>
    <x v="2"/>
    <x v="31"/>
    <s v="PSES Mid Prog21Duty43 S275"/>
    <x v="1"/>
    <s v="43"/>
    <n v="43"/>
    <m/>
    <s v="   "/>
    <n v="0.91500000000000004"/>
    <n v="0.26369999999999999"/>
    <n v="0.24099999999999999"/>
    <s v="Middle Occupational Therapist"/>
  </r>
  <r>
    <x v="114"/>
    <s v="Personnel"/>
    <s v="E "/>
    <x v="0"/>
    <x v="42"/>
    <s v="PSES Elem Prog01Duty44 S275"/>
    <x v="0"/>
    <s v="44"/>
    <n v="44"/>
    <m/>
    <s v="   "/>
    <n v="1"/>
    <n v="0.26369999999999999"/>
    <n v="0"/>
    <s v="Elementary Social Worker"/>
  </r>
  <r>
    <x v="114"/>
    <s v="Personnel"/>
    <s v="E "/>
    <x v="0"/>
    <x v="20"/>
    <s v="PSES Elem Prog21Duty45 S275"/>
    <x v="1"/>
    <s v="45"/>
    <n v="45"/>
    <m/>
    <s v="   "/>
    <n v="6.5"/>
    <n v="0.26369999999999999"/>
    <n v="1.714"/>
    <s v="Elementary Speech, Language Pathway/_x000a_Audio"/>
  </r>
  <r>
    <x v="114"/>
    <s v="Personnel"/>
    <s v="H "/>
    <x v="1"/>
    <x v="21"/>
    <s v="PSES High Prog21Duty45 S275"/>
    <x v="1"/>
    <s v="45"/>
    <n v="45"/>
    <m/>
    <s v="   "/>
    <n v="3.718"/>
    <n v="0.26369999999999999"/>
    <n v="0.98"/>
    <s v="High Speech, Language Pathway/_x000a_Audio"/>
  </r>
  <r>
    <x v="114"/>
    <s v="Personnel"/>
    <s v="M "/>
    <x v="2"/>
    <x v="28"/>
    <s v="PSES Mid Prog21Duty45 S275"/>
    <x v="1"/>
    <s v="45"/>
    <n v="45"/>
    <m/>
    <s v="   "/>
    <n v="1.859"/>
    <n v="0.26369999999999999"/>
    <n v="0.49"/>
    <s v="Middle Speech, Language Pathway/_x000a_Audio"/>
  </r>
  <r>
    <x v="114"/>
    <s v="Personnel"/>
    <s v="E "/>
    <x v="0"/>
    <x v="22"/>
    <s v="PSES Elem Prog21Duty46 S275"/>
    <x v="1"/>
    <s v="46"/>
    <n v="46"/>
    <m/>
    <s v="   "/>
    <n v="5"/>
    <n v="0.26369999999999999"/>
    <n v="1.319"/>
    <s v="Elementary Psychologist"/>
  </r>
  <r>
    <x v="114"/>
    <s v="Personnel"/>
    <s v="H "/>
    <x v="1"/>
    <x v="23"/>
    <s v="PSES High Prog21Duty46 S275"/>
    <x v="1"/>
    <s v="46"/>
    <n v="46"/>
    <m/>
    <s v="   "/>
    <n v="2.86"/>
    <n v="0.26369999999999999"/>
    <n v="0.754"/>
    <s v="High Psychologist"/>
  </r>
  <r>
    <x v="114"/>
    <s v="Personnel"/>
    <s v="M "/>
    <x v="2"/>
    <x v="24"/>
    <s v="PSES Mid Prog21Duty46 S275"/>
    <x v="1"/>
    <s v="46"/>
    <n v="46"/>
    <m/>
    <s v="   "/>
    <n v="1.43"/>
    <n v="0.26369999999999999"/>
    <n v="0.377"/>
    <s v="Middle Psychologist"/>
  </r>
  <r>
    <x v="114"/>
    <s v="Personnel"/>
    <s v="E "/>
    <x v="0"/>
    <x v="35"/>
    <s v="PSES Elem Prog21Duty48 S275"/>
    <x v="1"/>
    <s v="48"/>
    <n v="48"/>
    <m/>
    <s v="   "/>
    <n v="0.6"/>
    <n v="0.26369999999999999"/>
    <n v="0.158"/>
    <s v="Elementary Physical Therapist"/>
  </r>
  <r>
    <x v="114"/>
    <s v="Personnel"/>
    <s v="H "/>
    <x v="1"/>
    <x v="36"/>
    <s v="PSES High Prog21Duty48 S275"/>
    <x v="1"/>
    <s v="48"/>
    <n v="48"/>
    <m/>
    <s v="   "/>
    <n v="0.34300000000000003"/>
    <n v="0.26369999999999999"/>
    <n v="0.09"/>
    <s v="High Physical Therapist"/>
  </r>
  <r>
    <x v="114"/>
    <s v="Personnel"/>
    <s v="M "/>
    <x v="2"/>
    <x v="37"/>
    <s v="PSES Mid Prog21Duty48 S275"/>
    <x v="1"/>
    <s v="48"/>
    <n v="48"/>
    <m/>
    <s v="   "/>
    <n v="0.17199999999999999"/>
    <n v="0.26369999999999999"/>
    <n v="4.4999999999999998E-2"/>
    <s v="Middle Physical Therapist"/>
  </r>
  <r>
    <x v="114"/>
    <s v="Personnel"/>
    <s v="E "/>
    <x v="0"/>
    <x v="38"/>
    <s v="PSES Elem Prog21Duty64 S275"/>
    <x v="1"/>
    <s v="64"/>
    <n v="64"/>
    <m/>
    <s v="   "/>
    <n v="12.374000000000001"/>
    <n v="0.26369999999999999"/>
    <n v="3.2629999999999999"/>
    <s v="Elementary Contractor ESA"/>
  </r>
  <r>
    <x v="114"/>
    <s v="Personnel"/>
    <s v="E "/>
    <x v="0"/>
    <x v="39"/>
    <s v="PSES Elem Prog01Duty64 S275"/>
    <x v="0"/>
    <s v="64"/>
    <n v="64"/>
    <m/>
    <s v="   "/>
    <n v="0.90400000000000003"/>
    <n v="0.26369999999999999"/>
    <n v="0"/>
    <s v="Elementary Contractor ESA"/>
  </r>
  <r>
    <x v="114"/>
    <s v="Personnel"/>
    <s v="H "/>
    <x v="1"/>
    <x v="59"/>
    <s v="PSES High Prog21Duty64 S275"/>
    <x v="1"/>
    <s v="64"/>
    <n v="64"/>
    <m/>
    <s v="   "/>
    <n v="7.0750000000000002"/>
    <n v="0.26369999999999999"/>
    <n v="1.8660000000000001"/>
    <s v="High Contractor ESA"/>
  </r>
  <r>
    <x v="114"/>
    <s v="Personnel"/>
    <s v="H "/>
    <x v="1"/>
    <x v="80"/>
    <s v="PSES High Prog01Duty64 S275"/>
    <x v="0"/>
    <s v="64"/>
    <n v="64"/>
    <m/>
    <s v="   "/>
    <n v="0.497"/>
    <n v="0.26369999999999999"/>
    <n v="0"/>
    <s v="High Contractor ESA"/>
  </r>
  <r>
    <x v="114"/>
    <s v="Personnel"/>
    <s v="M "/>
    <x v="2"/>
    <x v="60"/>
    <s v="PSES Mid Prog21Duty64 S275"/>
    <x v="1"/>
    <s v="64"/>
    <n v="64"/>
    <m/>
    <s v="   "/>
    <n v="3.5390000000000001"/>
    <n v="0.26369999999999999"/>
    <n v="0.93300000000000005"/>
    <s v="Middle Contractor ESA"/>
  </r>
  <r>
    <x v="114"/>
    <s v="Personnel"/>
    <s v="M "/>
    <x v="2"/>
    <x v="81"/>
    <s v="PSES Mid Prog01Duty64 S275"/>
    <x v="0"/>
    <s v="64"/>
    <n v="64"/>
    <m/>
    <s v="   "/>
    <n v="0.249"/>
    <n v="0.26369999999999999"/>
    <n v="0"/>
    <s v="Middle Contractor ESA"/>
  </r>
  <r>
    <x v="115"/>
    <s v="Personnel"/>
    <s v="H "/>
    <x v="1"/>
    <x v="5"/>
    <s v="PSES High Prog01Act25 S275"/>
    <x v="0"/>
    <s v="25"/>
    <m/>
    <n v="25"/>
    <s v="   "/>
    <n v="14.869"/>
    <n v="0.28220000000000001"/>
    <n v="0"/>
    <s v="High Pupil Management"/>
  </r>
  <r>
    <x v="115"/>
    <s v="Personnel"/>
    <s v="E "/>
    <x v="0"/>
    <x v="8"/>
    <s v="PSES Elem Prog01Act26 S275"/>
    <x v="0"/>
    <s v="26"/>
    <m/>
    <n v="26"/>
    <s v="   "/>
    <n v="3.4319999999999999"/>
    <n v="0.28220000000000001"/>
    <n v="0"/>
    <s v="Elementary Health/_x000a_Related Services"/>
  </r>
  <r>
    <x v="115"/>
    <s v="Personnel"/>
    <s v="H "/>
    <x v="1"/>
    <x v="29"/>
    <s v="PSES High Prog21Act26 S275"/>
    <x v="1"/>
    <s v="26"/>
    <m/>
    <n v="26"/>
    <s v="   "/>
    <n v="5.2069999999999999"/>
    <n v="0.28220000000000001"/>
    <n v="1.4690000000000001"/>
    <s v="High Health/_x000a_Related Services"/>
  </r>
  <r>
    <x v="115"/>
    <s v="Personnel"/>
    <s v="H "/>
    <x v="1"/>
    <x v="9"/>
    <s v="PSES High Prog01Act26 S275"/>
    <x v="0"/>
    <s v="26"/>
    <m/>
    <n v="26"/>
    <s v="   "/>
    <n v="2.8290000000000002"/>
    <n v="0.28220000000000001"/>
    <n v="0"/>
    <s v="High Health/_x000a_Related Services"/>
  </r>
  <r>
    <x v="115"/>
    <s v="Personnel"/>
    <s v="H "/>
    <x v="1"/>
    <x v="54"/>
    <s v="PSES High Prog01Act35 S275"/>
    <x v="0"/>
    <s v="35"/>
    <m/>
    <n v="35"/>
    <s v="   "/>
    <n v="6.0469999999999997"/>
    <n v="0.28220000000000001"/>
    <n v="0"/>
    <s v="High Pupil Safety"/>
  </r>
  <r>
    <x v="115"/>
    <s v="Personnel"/>
    <s v="E "/>
    <x v="0"/>
    <x v="15"/>
    <s v="PSES Elem Prog01Duty42 S275"/>
    <x v="0"/>
    <s v="42"/>
    <n v="42"/>
    <m/>
    <s v="   "/>
    <n v="12.706"/>
    <n v="0.28220000000000001"/>
    <n v="0"/>
    <s v="Elementary Counselor"/>
  </r>
  <r>
    <x v="115"/>
    <s v="Personnel"/>
    <s v="H "/>
    <x v="1"/>
    <x v="16"/>
    <s v="PSES High Prog01Duty42 S275"/>
    <x v="0"/>
    <s v="42"/>
    <n v="42"/>
    <m/>
    <s v="   "/>
    <n v="8"/>
    <n v="0.28220000000000001"/>
    <n v="0"/>
    <s v="High Counselor"/>
  </r>
  <r>
    <x v="115"/>
    <s v="Personnel"/>
    <s v="M "/>
    <x v="2"/>
    <x v="17"/>
    <s v="PSES Mid Prog01Duty42 S275"/>
    <x v="0"/>
    <s v="42"/>
    <n v="42"/>
    <m/>
    <s v="   "/>
    <n v="3.2959999999999998"/>
    <n v="0.28220000000000001"/>
    <n v="0"/>
    <s v="Middle Counselor"/>
  </r>
  <r>
    <x v="115"/>
    <s v="Personnel"/>
    <s v="E "/>
    <x v="0"/>
    <x v="42"/>
    <s v="PSES Elem Prog01Duty44 S275"/>
    <x v="0"/>
    <s v="44"/>
    <n v="44"/>
    <m/>
    <s v="   "/>
    <n v="1"/>
    <n v="0.28220000000000001"/>
    <n v="0"/>
    <s v="Elementary Social Worker"/>
  </r>
  <r>
    <x v="115"/>
    <s v="Personnel"/>
    <s v="H "/>
    <x v="1"/>
    <x v="44"/>
    <s v="PSES High Prog01Duty44 S275"/>
    <x v="0"/>
    <s v="44"/>
    <n v="44"/>
    <m/>
    <s v="   "/>
    <n v="1"/>
    <n v="0.28220000000000001"/>
    <n v="0"/>
    <s v="High Social Worker"/>
  </r>
  <r>
    <x v="115"/>
    <s v="Personnel"/>
    <s v="M "/>
    <x v="2"/>
    <x v="46"/>
    <s v="PSES Mid Prog01Duty44 S275"/>
    <x v="0"/>
    <s v="44"/>
    <n v="44"/>
    <m/>
    <s v="   "/>
    <n v="1"/>
    <n v="0.28220000000000001"/>
    <n v="0"/>
    <s v="Middle Social Worker"/>
  </r>
  <r>
    <x v="115"/>
    <s v="Personnel"/>
    <s v="E "/>
    <x v="0"/>
    <x v="27"/>
    <s v="PSES Elem Prog01Duty47 S275"/>
    <x v="0"/>
    <s v="47"/>
    <n v="47"/>
    <m/>
    <s v="   "/>
    <n v="5.4320000000000004"/>
    <n v="0.28220000000000001"/>
    <n v="0"/>
    <s v="Elementary Nurse"/>
  </r>
  <r>
    <x v="115"/>
    <s v="Personnel"/>
    <s v="H "/>
    <x v="1"/>
    <x v="25"/>
    <s v="PSES High Prog01Duty47 S275"/>
    <x v="0"/>
    <s v="47"/>
    <n v="47"/>
    <m/>
    <s v="   "/>
    <n v="1.3180000000000001"/>
    <n v="0.28220000000000001"/>
    <n v="0"/>
    <s v="High Nurse"/>
  </r>
  <r>
    <x v="115"/>
    <s v="Personnel"/>
    <s v="M "/>
    <x v="2"/>
    <x v="34"/>
    <s v="PSES Mid Prog01Duty47 S275"/>
    <x v="0"/>
    <s v="47"/>
    <n v="47"/>
    <m/>
    <s v="   "/>
    <n v="2.25"/>
    <n v="0.28220000000000001"/>
    <n v="0"/>
    <s v="Middle Nurse"/>
  </r>
  <r>
    <x v="116"/>
    <s v="Personnel"/>
    <s v="H "/>
    <x v="1"/>
    <x v="5"/>
    <s v="PSES High Prog01Act25 S275"/>
    <x v="0"/>
    <s v="25"/>
    <m/>
    <n v="25"/>
    <s v="   "/>
    <n v="0.748"/>
    <n v="0.1003"/>
    <n v="0"/>
    <s v="High Pupil Management"/>
  </r>
  <r>
    <x v="116"/>
    <s v="Personnel"/>
    <s v="E "/>
    <x v="0"/>
    <x v="22"/>
    <s v="PSES Elem Prog21Duty46 S275"/>
    <x v="1"/>
    <s v="46"/>
    <n v="46"/>
    <m/>
    <s v="   "/>
    <n v="0.34699999999999998"/>
    <n v="0.1003"/>
    <n v="3.5000000000000003E-2"/>
    <s v="Elementary Psychologist"/>
  </r>
  <r>
    <x v="116"/>
    <s v="Personnel"/>
    <s v="M "/>
    <x v="2"/>
    <x v="24"/>
    <s v="PSES Mid Prog21Duty46 S275"/>
    <x v="1"/>
    <s v="46"/>
    <n v="46"/>
    <m/>
    <s v="   "/>
    <n v="0.153"/>
    <n v="0.1003"/>
    <n v="1.4999999999999999E-2"/>
    <s v="Middle Psychologist"/>
  </r>
  <r>
    <x v="116"/>
    <s v="Personnel"/>
    <s v="E "/>
    <x v="0"/>
    <x v="27"/>
    <s v="PSES Elem Prog01Duty47 S275"/>
    <x v="0"/>
    <s v="47"/>
    <n v="47"/>
    <m/>
    <s v="   "/>
    <n v="0.45400000000000001"/>
    <n v="0.1003"/>
    <n v="0"/>
    <s v="Elementary Nurse"/>
  </r>
  <r>
    <x v="116"/>
    <s v="Personnel"/>
    <s v="M "/>
    <x v="2"/>
    <x v="34"/>
    <s v="PSES Mid Prog01Duty47 S275"/>
    <x v="0"/>
    <s v="47"/>
    <n v="47"/>
    <m/>
    <s v="   "/>
    <n v="0.14000000000000001"/>
    <n v="0.1003"/>
    <n v="0"/>
    <s v="Middle Nurse"/>
  </r>
  <r>
    <x v="117"/>
    <s v="Personnel"/>
    <s v="H "/>
    <x v="1"/>
    <x v="16"/>
    <s v="PSES High Prog01Duty42 S275"/>
    <x v="0"/>
    <s v="42"/>
    <n v="42"/>
    <m/>
    <s v="   "/>
    <n v="1"/>
    <n v="0.13900000000000001"/>
    <n v="0"/>
    <s v="High Counselor"/>
  </r>
  <r>
    <x v="118"/>
    <s v="Personnel"/>
    <s v="H "/>
    <x v="1"/>
    <x v="25"/>
    <s v="PSES High Prog01Duty47 S275"/>
    <x v="0"/>
    <s v="47"/>
    <n v="47"/>
    <m/>
    <s v="   "/>
    <n v="6.9000000000000006E-2"/>
    <n v="0.08"/>
    <n v="0"/>
    <s v="High Nurse"/>
  </r>
  <r>
    <x v="119"/>
    <s v="Personnel"/>
    <s v="H "/>
    <x v="1"/>
    <x v="9"/>
    <s v="PSES High Prog01Act26 S275"/>
    <x v="0"/>
    <s v="26"/>
    <m/>
    <n v="26"/>
    <s v="   "/>
    <n v="1.7000000000000001E-2"/>
    <n v="0.16139999999999999"/>
    <n v="0"/>
    <s v="High Health/_x000a_Related Services"/>
  </r>
  <r>
    <x v="119"/>
    <s v="Personnel"/>
    <s v="E "/>
    <x v="0"/>
    <x v="15"/>
    <s v="PSES Elem Prog01Duty42 S275"/>
    <x v="0"/>
    <s v="42"/>
    <n v="42"/>
    <m/>
    <s v="   "/>
    <n v="0.46"/>
    <n v="0.16139999999999999"/>
    <n v="0"/>
    <s v="Elementary Counselor"/>
  </r>
  <r>
    <x v="119"/>
    <s v="Personnel"/>
    <s v="H "/>
    <x v="1"/>
    <x v="16"/>
    <s v="PSES High Prog01Duty42 S275"/>
    <x v="0"/>
    <s v="42"/>
    <n v="42"/>
    <m/>
    <s v="   "/>
    <n v="0.33"/>
    <n v="0.16139999999999999"/>
    <n v="0"/>
    <s v="High Counselor"/>
  </r>
  <r>
    <x v="120"/>
    <s v="Personnel"/>
    <s v="H "/>
    <x v="1"/>
    <x v="9"/>
    <s v="PSES High Prog01Act26 S275"/>
    <x v="0"/>
    <s v="26"/>
    <m/>
    <n v="26"/>
    <s v="   "/>
    <n v="0.109"/>
    <n v="9.8900000000000002E-2"/>
    <n v="0"/>
    <s v="High Health/_x000a_Related Services"/>
  </r>
  <r>
    <x v="121"/>
    <s v="Personnel"/>
    <s v="H "/>
    <x v="1"/>
    <x v="5"/>
    <s v="PSES High Prog01Act25 S275"/>
    <x v="0"/>
    <s v="25"/>
    <m/>
    <n v="25"/>
    <s v="   "/>
    <n v="5.5490000000000004"/>
    <n v="0.22750000000000001"/>
    <n v="0"/>
    <s v="High Pupil Management"/>
  </r>
  <r>
    <x v="121"/>
    <s v="Personnel"/>
    <s v="E "/>
    <x v="0"/>
    <x v="8"/>
    <s v="PSES Elem Prog01Act26 S275"/>
    <x v="0"/>
    <s v="26"/>
    <m/>
    <n v="26"/>
    <s v="   "/>
    <n v="0.59399999999999997"/>
    <n v="0.22750000000000001"/>
    <n v="0"/>
    <s v="Elementary Health/_x000a_Related Services"/>
  </r>
  <r>
    <x v="121"/>
    <s v="Personnel"/>
    <s v="H "/>
    <x v="1"/>
    <x v="9"/>
    <s v="PSES High Prog01Act26 S275"/>
    <x v="0"/>
    <s v="26"/>
    <m/>
    <n v="26"/>
    <s v="   "/>
    <n v="3.79"/>
    <n v="0.22750000000000001"/>
    <n v="0"/>
    <s v="High Health/_x000a_Related Services"/>
  </r>
  <r>
    <x v="121"/>
    <s v="Personnel"/>
    <s v="E "/>
    <x v="0"/>
    <x v="15"/>
    <s v="PSES Elem Prog01Duty42 S275"/>
    <x v="0"/>
    <s v="42"/>
    <n v="42"/>
    <m/>
    <s v="   "/>
    <n v="4"/>
    <n v="0.22750000000000001"/>
    <n v="0"/>
    <s v="Elementary Counselor"/>
  </r>
  <r>
    <x v="121"/>
    <s v="Personnel"/>
    <s v="H "/>
    <x v="1"/>
    <x v="16"/>
    <s v="PSES High Prog01Duty42 S275"/>
    <x v="0"/>
    <s v="42"/>
    <n v="42"/>
    <m/>
    <s v="   "/>
    <n v="2"/>
    <n v="0.22750000000000001"/>
    <n v="0"/>
    <s v="High Counselor"/>
  </r>
  <r>
    <x v="121"/>
    <s v="Personnel"/>
    <s v="M "/>
    <x v="2"/>
    <x v="17"/>
    <s v="PSES Mid Prog01Duty42 S275"/>
    <x v="0"/>
    <s v="42"/>
    <n v="42"/>
    <m/>
    <s v="   "/>
    <n v="2"/>
    <n v="0.22750000000000001"/>
    <n v="0"/>
    <s v="Middle Counselor"/>
  </r>
  <r>
    <x v="121"/>
    <s v="Personnel"/>
    <s v="E "/>
    <x v="0"/>
    <x v="20"/>
    <s v="PSES Elem Prog21Duty45 S275"/>
    <x v="1"/>
    <s v="45"/>
    <n v="45"/>
    <m/>
    <s v="   "/>
    <n v="0.5"/>
    <n v="0.22750000000000001"/>
    <n v="0.114"/>
    <s v="Elementary Speech, Language Pathway/_x000a_Audio"/>
  </r>
  <r>
    <x v="121"/>
    <s v="Personnel"/>
    <s v="M "/>
    <x v="2"/>
    <x v="28"/>
    <s v="PSES Mid Prog21Duty45 S275"/>
    <x v="1"/>
    <s v="45"/>
    <n v="45"/>
    <m/>
    <s v="   "/>
    <n v="0.5"/>
    <n v="0.22750000000000001"/>
    <n v="0.114"/>
    <s v="Middle Speech, Language Pathway/_x000a_Audio"/>
  </r>
  <r>
    <x v="121"/>
    <s v="Personnel"/>
    <s v="E "/>
    <x v="0"/>
    <x v="22"/>
    <s v="PSES Elem Prog21Duty46 S275"/>
    <x v="1"/>
    <s v="46"/>
    <n v="46"/>
    <m/>
    <s v="   "/>
    <n v="2.5710000000000002"/>
    <n v="0.22750000000000001"/>
    <n v="0.58499999999999996"/>
    <s v="Elementary Psychologist"/>
  </r>
  <r>
    <x v="121"/>
    <s v="Personnel"/>
    <s v="H "/>
    <x v="1"/>
    <x v="23"/>
    <s v="PSES High Prog21Duty46 S275"/>
    <x v="1"/>
    <s v="46"/>
    <n v="46"/>
    <m/>
    <s v="   "/>
    <n v="1.127"/>
    <n v="0.22750000000000001"/>
    <n v="0.25600000000000001"/>
    <s v="High Psychologist"/>
  </r>
  <r>
    <x v="121"/>
    <s v="Personnel"/>
    <s v="M "/>
    <x v="2"/>
    <x v="24"/>
    <s v="PSES Mid Prog21Duty46 S275"/>
    <x v="1"/>
    <s v="46"/>
    <n v="46"/>
    <m/>
    <s v="   "/>
    <n v="1.151"/>
    <n v="0.22750000000000001"/>
    <n v="0.26200000000000001"/>
    <s v="Middle Psychologist"/>
  </r>
  <r>
    <x v="121"/>
    <s v="Personnel"/>
    <s v="E "/>
    <x v="0"/>
    <x v="38"/>
    <s v="PSES Elem Prog21Duty64 S275"/>
    <x v="1"/>
    <s v="64"/>
    <n v="64"/>
    <m/>
    <s v="   "/>
    <n v="3.7130000000000001"/>
    <n v="0.22750000000000001"/>
    <n v="0.84499999999999997"/>
    <s v="Elementary Contractor ESA"/>
  </r>
  <r>
    <x v="122"/>
    <s v="Personnel"/>
    <s v="E "/>
    <x v="0"/>
    <x v="67"/>
    <s v="PSES Elem Prog21Act25 S275"/>
    <x v="1"/>
    <s v="25"/>
    <m/>
    <n v="25"/>
    <s v="   "/>
    <n v="0.24199999999999999"/>
    <n v="0.21870000000000001"/>
    <n v="5.2999999999999999E-2"/>
    <s v="Elementary Pupil Management"/>
  </r>
  <r>
    <x v="122"/>
    <s v="Personnel"/>
    <s v="E "/>
    <x v="0"/>
    <x v="3"/>
    <s v="PSES Elem Prog01Act25 S275"/>
    <x v="0"/>
    <s v="25"/>
    <m/>
    <n v="25"/>
    <s v="   "/>
    <n v="0.12"/>
    <n v="0.21870000000000001"/>
    <n v="0"/>
    <s v="Elementary Pupil Management"/>
  </r>
  <r>
    <x v="122"/>
    <s v="Personnel"/>
    <s v="H "/>
    <x v="1"/>
    <x v="4"/>
    <s v="PSES High Prog21Act25 S275"/>
    <x v="1"/>
    <s v="25"/>
    <m/>
    <n v="25"/>
    <s v="   "/>
    <n v="0.151"/>
    <n v="0.21870000000000001"/>
    <n v="3.3000000000000002E-2"/>
    <s v="High Pupil Management"/>
  </r>
  <r>
    <x v="122"/>
    <s v="Personnel"/>
    <s v="H "/>
    <x v="1"/>
    <x v="5"/>
    <s v="PSES High Prog01Act25 S275"/>
    <x v="0"/>
    <s v="25"/>
    <m/>
    <n v="25"/>
    <s v="   "/>
    <n v="0.58399999999999996"/>
    <n v="0.21870000000000001"/>
    <n v="0"/>
    <s v="High Pupil Management"/>
  </r>
  <r>
    <x v="122"/>
    <s v="Personnel"/>
    <s v="H "/>
    <x v="1"/>
    <x v="29"/>
    <s v="PSES High Prog21Act26 S275"/>
    <x v="1"/>
    <s v="26"/>
    <m/>
    <n v="26"/>
    <s v="   "/>
    <n v="0.50900000000000001"/>
    <n v="0.21870000000000001"/>
    <n v="0.111"/>
    <s v="High Health/_x000a_Related Services"/>
  </r>
  <r>
    <x v="122"/>
    <s v="Personnel"/>
    <s v="E "/>
    <x v="0"/>
    <x v="15"/>
    <s v="PSES Elem Prog01Duty42 S275"/>
    <x v="0"/>
    <s v="42"/>
    <n v="42"/>
    <m/>
    <s v="   "/>
    <n v="0.57999999999999996"/>
    <n v="0.21870000000000001"/>
    <n v="0"/>
    <s v="Elementary Counselor"/>
  </r>
  <r>
    <x v="122"/>
    <s v="Personnel"/>
    <s v="H "/>
    <x v="1"/>
    <x v="16"/>
    <s v="PSES High Prog01Duty42 S275"/>
    <x v="0"/>
    <s v="42"/>
    <n v="42"/>
    <m/>
    <s v="   "/>
    <n v="1"/>
    <n v="0.21870000000000001"/>
    <n v="0"/>
    <s v="High Counselor"/>
  </r>
  <r>
    <x v="122"/>
    <s v="Personnel"/>
    <s v="T"/>
    <x v="0"/>
    <x v="70"/>
    <s v="PSES Elem Prog09Duty42 S275"/>
    <x v="3"/>
    <s v="42"/>
    <n v="42"/>
    <n v="24"/>
    <m/>
    <n v="7.0000000000000007E-2"/>
    <n v="0.21870000000000001"/>
    <n v="0"/>
    <s v="TK Counselor"/>
  </r>
  <r>
    <x v="122"/>
    <s v="Personnel"/>
    <s v="T"/>
    <x v="0"/>
    <x v="66"/>
    <s v="PSES Elem Prog09Duty25 S275"/>
    <x v="3"/>
    <s v="25"/>
    <n v="91"/>
    <n v="25"/>
    <m/>
    <n v="0.151"/>
    <n v="0.21870000000000001"/>
    <n v="0"/>
    <s v="TK Pupil Management"/>
  </r>
  <r>
    <x v="123"/>
    <s v="Personnel"/>
    <s v="E "/>
    <x v="0"/>
    <x v="7"/>
    <s v="PSES Elem Prog21Act26 S275"/>
    <x v="1"/>
    <s v="26"/>
    <m/>
    <n v="26"/>
    <s v="   "/>
    <n v="1.3"/>
    <n v="0.17499999999999999"/>
    <n v="0.22800000000000001"/>
    <s v="Elementary Health/_x000a_Related Services"/>
  </r>
  <r>
    <x v="123"/>
    <s v="Personnel"/>
    <s v="E "/>
    <x v="0"/>
    <x v="15"/>
    <s v="PSES Elem Prog01Duty42 S275"/>
    <x v="0"/>
    <s v="42"/>
    <n v="42"/>
    <m/>
    <s v="   "/>
    <n v="1"/>
    <n v="0.17499999999999999"/>
    <n v="0"/>
    <s v="Elementary Counselor"/>
  </r>
  <r>
    <x v="123"/>
    <s v="Personnel"/>
    <s v="M "/>
    <x v="2"/>
    <x v="17"/>
    <s v="PSES Mid Prog01Duty42 S275"/>
    <x v="0"/>
    <s v="42"/>
    <n v="42"/>
    <m/>
    <s v="   "/>
    <n v="1"/>
    <n v="0.17499999999999999"/>
    <n v="0"/>
    <s v="Middle Counselor"/>
  </r>
  <r>
    <x v="123"/>
    <s v="Personnel"/>
    <s v="H "/>
    <x v="1"/>
    <x v="44"/>
    <s v="PSES High Prog01Duty44 S275"/>
    <x v="0"/>
    <s v="44"/>
    <n v="44"/>
    <m/>
    <s v="   "/>
    <n v="0.95"/>
    <n v="0.17499999999999999"/>
    <n v="0"/>
    <s v="High Social Worker"/>
  </r>
  <r>
    <x v="123"/>
    <s v="Personnel"/>
    <s v="E "/>
    <x v="0"/>
    <x v="22"/>
    <s v="PSES Elem Prog21Duty46 S275"/>
    <x v="1"/>
    <s v="46"/>
    <n v="46"/>
    <m/>
    <s v="   "/>
    <n v="0.46500000000000002"/>
    <n v="0.17499999999999999"/>
    <n v="8.1000000000000003E-2"/>
    <s v="Elementary Psychologist"/>
  </r>
  <r>
    <x v="123"/>
    <s v="Personnel"/>
    <s v="E "/>
    <x v="0"/>
    <x v="48"/>
    <s v="PSES Elem Prog01Duty46 S275"/>
    <x v="0"/>
    <s v="46"/>
    <n v="46"/>
    <m/>
    <s v="   "/>
    <n v="0.104"/>
    <n v="0.17499999999999999"/>
    <n v="0"/>
    <s v="Elementary Psychologist"/>
  </r>
  <r>
    <x v="123"/>
    <s v="Personnel"/>
    <s v="H "/>
    <x v="1"/>
    <x v="23"/>
    <s v="PSES High Prog21Duty46 S275"/>
    <x v="1"/>
    <s v="46"/>
    <n v="46"/>
    <m/>
    <s v="   "/>
    <n v="0.151"/>
    <n v="0.17499999999999999"/>
    <n v="2.5999999999999999E-2"/>
    <s v="High Psychologist"/>
  </r>
  <r>
    <x v="123"/>
    <s v="Personnel"/>
    <s v="H "/>
    <x v="1"/>
    <x v="65"/>
    <s v="PSES High Prog01Duty46 S275"/>
    <x v="0"/>
    <s v="46"/>
    <n v="46"/>
    <m/>
    <s v="   "/>
    <n v="5.1999999999999998E-2"/>
    <n v="0.17499999999999999"/>
    <n v="0"/>
    <s v="High Psychologist"/>
  </r>
  <r>
    <x v="123"/>
    <s v="Personnel"/>
    <s v="M "/>
    <x v="2"/>
    <x v="49"/>
    <s v="PSES Mid Prog01Duty46 S275"/>
    <x v="0"/>
    <s v="46"/>
    <n v="46"/>
    <m/>
    <s v="   "/>
    <n v="5.1999999999999998E-2"/>
    <n v="0.17499999999999999"/>
    <n v="0"/>
    <s v="Middle Psychologist"/>
  </r>
  <r>
    <x v="124"/>
    <s v="Personnel"/>
    <s v="E "/>
    <x v="0"/>
    <x v="3"/>
    <s v="PSES Elem Prog01Act25 S275"/>
    <x v="0"/>
    <s v="25"/>
    <m/>
    <n v="25"/>
    <s v="   "/>
    <n v="1.7969999999999999"/>
    <n v="0.1913"/>
    <n v="0"/>
    <s v="Elementary Pupil Management"/>
  </r>
  <r>
    <x v="124"/>
    <s v="Personnel"/>
    <s v="E "/>
    <x v="0"/>
    <x v="15"/>
    <s v="PSES Elem Prog01Duty42 S275"/>
    <x v="0"/>
    <s v="42"/>
    <n v="42"/>
    <m/>
    <s v="   "/>
    <n v="0.312"/>
    <n v="0.1913"/>
    <n v="0"/>
    <s v="Elementary Counselor"/>
  </r>
  <r>
    <x v="124"/>
    <s v="Personnel"/>
    <s v="H "/>
    <x v="1"/>
    <x v="16"/>
    <s v="PSES High Prog01Duty42 S275"/>
    <x v="0"/>
    <s v="42"/>
    <n v="42"/>
    <m/>
    <s v="   "/>
    <n v="0.156"/>
    <n v="0.1913"/>
    <n v="0"/>
    <s v="High Counselor"/>
  </r>
  <r>
    <x v="124"/>
    <s v="Personnel"/>
    <s v="M "/>
    <x v="2"/>
    <x v="17"/>
    <s v="PSES Mid Prog01Duty42 S275"/>
    <x v="0"/>
    <s v="42"/>
    <n v="42"/>
    <m/>
    <s v="   "/>
    <n v="0.156"/>
    <n v="0.1913"/>
    <n v="0"/>
    <s v="Middle Counselor"/>
  </r>
  <r>
    <x v="125"/>
    <s v="Personnel"/>
    <s v="H "/>
    <x v="1"/>
    <x v="9"/>
    <s v="PSES High Prog01Act26 S275"/>
    <x v="0"/>
    <s v="26"/>
    <m/>
    <n v="26"/>
    <s v="   "/>
    <n v="0.56000000000000005"/>
    <n v="0.1913"/>
    <n v="0"/>
    <s v="High Health/_x000a_Related Services"/>
  </r>
  <r>
    <x v="126"/>
    <s v="Personnel"/>
    <s v="E "/>
    <x v="0"/>
    <x v="3"/>
    <s v="PSES Elem Prog01Act25 S275"/>
    <x v="0"/>
    <s v="25"/>
    <m/>
    <n v="25"/>
    <s v="   "/>
    <n v="0.26500000000000001"/>
    <n v="0.1913"/>
    <n v="0"/>
    <s v="Elementary Pupil Management"/>
  </r>
  <r>
    <x v="126"/>
    <s v="Personnel"/>
    <s v="H "/>
    <x v="1"/>
    <x v="16"/>
    <s v="PSES High Prog01Duty42 S275"/>
    <x v="0"/>
    <s v="42"/>
    <n v="42"/>
    <m/>
    <s v="   "/>
    <n v="0.5"/>
    <n v="0.1913"/>
    <n v="0"/>
    <s v="High Counselor"/>
  </r>
  <r>
    <x v="127"/>
    <s v="Personnel"/>
    <s v="E "/>
    <x v="0"/>
    <x v="15"/>
    <s v="PSES Elem Prog01Duty42 S275"/>
    <x v="0"/>
    <s v="42"/>
    <n v="42"/>
    <m/>
    <s v="   "/>
    <n v="0.46899999999999997"/>
    <n v="0.1913"/>
    <n v="0"/>
    <s v="Elementary Counselor"/>
  </r>
  <r>
    <x v="127"/>
    <s v="Personnel"/>
    <s v="H "/>
    <x v="1"/>
    <x v="16"/>
    <s v="PSES High Prog01Duty42 S275"/>
    <x v="0"/>
    <s v="42"/>
    <n v="42"/>
    <m/>
    <s v="   "/>
    <n v="0.14000000000000001"/>
    <n v="0.1913"/>
    <n v="0"/>
    <s v="High Counselor"/>
  </r>
  <r>
    <x v="127"/>
    <s v="Personnel"/>
    <s v="M "/>
    <x v="2"/>
    <x v="17"/>
    <s v="PSES Mid Prog01Duty42 S275"/>
    <x v="0"/>
    <s v="42"/>
    <n v="42"/>
    <m/>
    <s v="   "/>
    <n v="0.11"/>
    <n v="0.1913"/>
    <n v="0"/>
    <s v="Middle Counselor"/>
  </r>
  <r>
    <x v="128"/>
    <s v="Personnel"/>
    <s v="E "/>
    <x v="0"/>
    <x v="3"/>
    <s v="PSES Elem Prog01Act25 S275"/>
    <x v="0"/>
    <s v="25"/>
    <m/>
    <n v="25"/>
    <s v="   "/>
    <n v="0.183"/>
    <n v="0.1913"/>
    <n v="0"/>
    <s v="Elementary Pupil Management"/>
  </r>
  <r>
    <x v="128"/>
    <s v="Personnel"/>
    <s v="E "/>
    <x v="0"/>
    <x v="15"/>
    <s v="PSES Elem Prog01Duty42 S275"/>
    <x v="0"/>
    <s v="42"/>
    <n v="42"/>
    <m/>
    <s v="   "/>
    <n v="0.25700000000000001"/>
    <n v="0.1913"/>
    <n v="0"/>
    <s v="Elementary Counselor"/>
  </r>
  <r>
    <x v="128"/>
    <s v="Personnel"/>
    <s v="H "/>
    <x v="1"/>
    <x v="16"/>
    <s v="PSES High Prog01Duty42 S275"/>
    <x v="0"/>
    <s v="42"/>
    <n v="42"/>
    <m/>
    <s v="   "/>
    <n v="0.14899999999999999"/>
    <n v="0.1913"/>
    <n v="0"/>
    <s v="High Counselor"/>
  </r>
  <r>
    <x v="128"/>
    <s v="Personnel"/>
    <s v="M "/>
    <x v="2"/>
    <x v="17"/>
    <s v="PSES Mid Prog01Duty42 S275"/>
    <x v="0"/>
    <s v="42"/>
    <n v="42"/>
    <m/>
    <s v="   "/>
    <n v="9.5000000000000001E-2"/>
    <n v="0.1913"/>
    <n v="0"/>
    <s v="Middle Counselor"/>
  </r>
  <r>
    <x v="129"/>
    <s v="Personnel"/>
    <s v="H "/>
    <x v="1"/>
    <x v="9"/>
    <s v="PSES High Prog01Act26 S275"/>
    <x v="0"/>
    <s v="26"/>
    <m/>
    <n v="26"/>
    <s v="   "/>
    <n v="7.3999999999999996E-2"/>
    <n v="0.1913"/>
    <n v="0"/>
    <s v="High Health/_x000a_Related Services"/>
  </r>
  <r>
    <x v="130"/>
    <s v="Personnel"/>
    <s v="E "/>
    <x v="0"/>
    <x v="8"/>
    <s v="PSES Elem Prog01Act26 S275"/>
    <x v="0"/>
    <s v="26"/>
    <m/>
    <n v="26"/>
    <s v="   "/>
    <n v="0.64300000000000002"/>
    <n v="0.1913"/>
    <n v="0"/>
    <s v="Elementary Health/_x000a_Related Services"/>
  </r>
  <r>
    <x v="130"/>
    <s v="Personnel"/>
    <s v="E "/>
    <x v="0"/>
    <x v="15"/>
    <s v="PSES Elem Prog01Duty42 S275"/>
    <x v="0"/>
    <s v="42"/>
    <n v="42"/>
    <m/>
    <s v="   "/>
    <n v="0.75"/>
    <n v="0.1913"/>
    <n v="0"/>
    <s v="Elementary Counselor"/>
  </r>
  <r>
    <x v="130"/>
    <s v="Personnel"/>
    <s v="H "/>
    <x v="1"/>
    <x v="16"/>
    <s v="PSES High Prog01Duty42 S275"/>
    <x v="0"/>
    <s v="42"/>
    <n v="42"/>
    <m/>
    <s v="   "/>
    <n v="0.55000000000000004"/>
    <n v="0.1913"/>
    <n v="0"/>
    <s v="High Counselor"/>
  </r>
  <r>
    <x v="130"/>
    <s v="Personnel"/>
    <s v="M "/>
    <x v="2"/>
    <x v="17"/>
    <s v="PSES Mid Prog01Duty42 S275"/>
    <x v="0"/>
    <s v="42"/>
    <n v="42"/>
    <m/>
    <s v="   "/>
    <n v="1"/>
    <n v="0.1913"/>
    <n v="0"/>
    <s v="Middle Counselor"/>
  </r>
  <r>
    <x v="130"/>
    <s v="Personnel"/>
    <s v="M "/>
    <x v="2"/>
    <x v="34"/>
    <s v="PSES Mid Prog01Duty47 S275"/>
    <x v="0"/>
    <s v="47"/>
    <n v="47"/>
    <m/>
    <s v="   "/>
    <n v="0.65"/>
    <n v="0.1913"/>
    <n v="0"/>
    <s v="Middle Nurse"/>
  </r>
  <r>
    <x v="131"/>
    <s v="Personnel"/>
    <s v="E "/>
    <x v="0"/>
    <x v="0"/>
    <s v="PSES Elem Prog01Duty96 S275"/>
    <x v="0"/>
    <s v="24"/>
    <n v="96"/>
    <n v="24"/>
    <s v="   "/>
    <n v="0.79800000000000004"/>
    <n v="0.1913"/>
    <n v="0"/>
    <s v="Elementary Family Engagement Coordinator"/>
  </r>
  <r>
    <x v="131"/>
    <s v="Personnel"/>
    <s v="M "/>
    <x v="2"/>
    <x v="2"/>
    <s v="PSES Mid Prog01Duty96 S275"/>
    <x v="0"/>
    <s v="24"/>
    <n v="96"/>
    <n v="24"/>
    <s v="   "/>
    <n v="0.29599999999999999"/>
    <n v="0.1913"/>
    <n v="0"/>
    <s v="Middle Family Engagement Coordinator"/>
  </r>
  <r>
    <x v="131"/>
    <s v="Personnel"/>
    <s v="E "/>
    <x v="0"/>
    <x v="3"/>
    <s v="PSES Elem Prog01Act25 S275"/>
    <x v="0"/>
    <s v="25"/>
    <m/>
    <n v="25"/>
    <s v="   "/>
    <n v="0.98199999999999998"/>
    <n v="0.1913"/>
    <n v="0"/>
    <s v="Elementary Pupil Management"/>
  </r>
  <r>
    <x v="131"/>
    <s v="Personnel"/>
    <s v="M "/>
    <x v="2"/>
    <x v="6"/>
    <s v="PSES Mid Prog01Act25 S275"/>
    <x v="0"/>
    <s v="25"/>
    <m/>
    <n v="25"/>
    <s v="   "/>
    <n v="4.8000000000000001E-2"/>
    <n v="0.1913"/>
    <n v="0"/>
    <s v="Middle Pupil Management"/>
  </r>
  <r>
    <x v="131"/>
    <s v="Personnel"/>
    <s v="H "/>
    <x v="1"/>
    <x v="16"/>
    <s v="PSES High Prog01Duty42 S275"/>
    <x v="0"/>
    <s v="42"/>
    <n v="42"/>
    <m/>
    <s v="   "/>
    <n v="1"/>
    <n v="0.1913"/>
    <n v="0"/>
    <s v="High Counselor"/>
  </r>
  <r>
    <x v="132"/>
    <s v="Personnel"/>
    <s v="E "/>
    <x v="0"/>
    <x v="67"/>
    <s v="PSES Elem Prog21Act25 S275"/>
    <x v="1"/>
    <s v="25"/>
    <m/>
    <n v="25"/>
    <s v="   "/>
    <n v="0.36299999999999999"/>
    <n v="0.18229999999999999"/>
    <n v="6.6000000000000003E-2"/>
    <s v="Elementary Pupil Management"/>
  </r>
  <r>
    <x v="132"/>
    <s v="Personnel"/>
    <s v="E "/>
    <x v="0"/>
    <x v="3"/>
    <s v="PSES Elem Prog01Act25 S275"/>
    <x v="0"/>
    <s v="25"/>
    <m/>
    <n v="25"/>
    <s v="   "/>
    <n v="0.86799999999999999"/>
    <n v="0.18229999999999999"/>
    <n v="0"/>
    <s v="Elementary Pupil Management"/>
  </r>
  <r>
    <x v="132"/>
    <s v="Personnel"/>
    <s v="H "/>
    <x v="1"/>
    <x v="4"/>
    <s v="PSES High Prog21Act25 S275"/>
    <x v="1"/>
    <s v="25"/>
    <m/>
    <n v="25"/>
    <s v="   "/>
    <n v="0.26500000000000001"/>
    <n v="0.18229999999999999"/>
    <n v="4.8000000000000001E-2"/>
    <s v="High Pupil Management"/>
  </r>
  <r>
    <x v="132"/>
    <s v="Personnel"/>
    <s v="H "/>
    <x v="1"/>
    <x v="5"/>
    <s v="PSES High Prog01Act25 S275"/>
    <x v="0"/>
    <s v="25"/>
    <m/>
    <n v="25"/>
    <s v="   "/>
    <n v="0.17100000000000001"/>
    <n v="0.18229999999999999"/>
    <n v="0"/>
    <s v="High Pupil Management"/>
  </r>
  <r>
    <x v="132"/>
    <s v="Personnel"/>
    <s v="E "/>
    <x v="0"/>
    <x v="7"/>
    <s v="PSES Elem Prog21Act26 S275"/>
    <x v="1"/>
    <s v="26"/>
    <m/>
    <n v="26"/>
    <s v="   "/>
    <n v="0.51200000000000001"/>
    <n v="0.18229999999999999"/>
    <n v="9.2999999999999999E-2"/>
    <s v="Elementary Health/_x000a_Related Services"/>
  </r>
  <r>
    <x v="132"/>
    <s v="Personnel"/>
    <s v="E "/>
    <x v="0"/>
    <x v="8"/>
    <s v="PSES Elem Prog01Act26 S275"/>
    <x v="0"/>
    <s v="26"/>
    <m/>
    <n v="26"/>
    <s v="   "/>
    <n v="0.38500000000000001"/>
    <n v="0.18229999999999999"/>
    <n v="0"/>
    <s v="Elementary Health/_x000a_Related Services"/>
  </r>
  <r>
    <x v="132"/>
    <s v="Personnel"/>
    <s v="H "/>
    <x v="1"/>
    <x v="29"/>
    <s v="PSES High Prog21Act26 S275"/>
    <x v="1"/>
    <s v="26"/>
    <m/>
    <n v="26"/>
    <s v="   "/>
    <n v="0.123"/>
    <n v="0.18229999999999999"/>
    <n v="2.1999999999999999E-2"/>
    <s v="High Health/_x000a_Related Services"/>
  </r>
  <r>
    <x v="132"/>
    <s v="Personnel"/>
    <s v="H "/>
    <x v="1"/>
    <x v="9"/>
    <s v="PSES High Prog01Act26 S275"/>
    <x v="0"/>
    <s v="26"/>
    <m/>
    <n v="26"/>
    <s v="   "/>
    <n v="5.5E-2"/>
    <n v="0.18229999999999999"/>
    <n v="0"/>
    <s v="High Health/_x000a_Related Services"/>
  </r>
  <r>
    <x v="132"/>
    <s v="Personnel"/>
    <s v="M "/>
    <x v="2"/>
    <x v="11"/>
    <s v="PSES Mid Prog01Act26 S275"/>
    <x v="0"/>
    <s v="26"/>
    <m/>
    <n v="26"/>
    <s v="   "/>
    <n v="5.5E-2"/>
    <n v="0.18229999999999999"/>
    <n v="0"/>
    <s v="Middle Health/_x000a_Related Services"/>
  </r>
  <r>
    <x v="132"/>
    <s v="Personnel"/>
    <s v="E "/>
    <x v="0"/>
    <x v="15"/>
    <s v="PSES Elem Prog01Duty42 S275"/>
    <x v="0"/>
    <s v="42"/>
    <n v="42"/>
    <m/>
    <s v="   "/>
    <n v="0.4"/>
    <n v="0.18229999999999999"/>
    <n v="0"/>
    <s v="Elementary Counselor"/>
  </r>
  <r>
    <x v="132"/>
    <s v="Personnel"/>
    <s v="H "/>
    <x v="1"/>
    <x v="16"/>
    <s v="PSES High Prog01Duty42 S275"/>
    <x v="0"/>
    <s v="42"/>
    <n v="42"/>
    <m/>
    <s v="   "/>
    <n v="1.4"/>
    <n v="0.18229999999999999"/>
    <n v="0"/>
    <s v="High Counselor"/>
  </r>
  <r>
    <x v="132"/>
    <s v="Personnel"/>
    <s v="E "/>
    <x v="0"/>
    <x v="38"/>
    <s v="PSES Elem Prog21Duty64 S275"/>
    <x v="1"/>
    <s v="64"/>
    <n v="64"/>
    <m/>
    <s v="   "/>
    <n v="1.875"/>
    <n v="0.18229999999999999"/>
    <n v="0.34200000000000003"/>
    <s v="Elementary Contractor ESA"/>
  </r>
  <r>
    <x v="132"/>
    <s v="Personnel"/>
    <s v="H "/>
    <x v="1"/>
    <x v="59"/>
    <s v="PSES High Prog21Duty64 S275"/>
    <x v="1"/>
    <s v="64"/>
    <n v="64"/>
    <m/>
    <s v="   "/>
    <n v="0.33"/>
    <n v="0.18229999999999999"/>
    <n v="0.06"/>
    <s v="High Contractor ESA"/>
  </r>
  <r>
    <x v="132"/>
    <s v="Personnel"/>
    <s v="M "/>
    <x v="2"/>
    <x v="60"/>
    <s v="PSES Mid Prog21Duty64 S275"/>
    <x v="1"/>
    <s v="64"/>
    <n v="64"/>
    <m/>
    <s v="   "/>
    <n v="1.0920000000000001"/>
    <n v="0.18229999999999999"/>
    <n v="0.19900000000000001"/>
    <s v="Middle Contractor ESA"/>
  </r>
  <r>
    <x v="133"/>
    <s v="Personnel"/>
    <s v="E "/>
    <x v="0"/>
    <x v="3"/>
    <s v="PSES Elem Prog01Act25 S275"/>
    <x v="0"/>
    <s v="25"/>
    <m/>
    <n v="25"/>
    <s v="   "/>
    <n v="0.54600000000000004"/>
    <n v="0.08"/>
    <n v="0"/>
    <s v="Elementary Pupil Management"/>
  </r>
  <r>
    <x v="133"/>
    <s v="Personnel"/>
    <s v="E "/>
    <x v="0"/>
    <x v="15"/>
    <s v="PSES Elem Prog01Duty42 S275"/>
    <x v="0"/>
    <s v="42"/>
    <n v="42"/>
    <m/>
    <s v="   "/>
    <n v="0.128"/>
    <n v="0.08"/>
    <n v="0"/>
    <s v="Elementary Counselor"/>
  </r>
  <r>
    <x v="133"/>
    <s v="Personnel"/>
    <s v="T"/>
    <x v="0"/>
    <x v="66"/>
    <s v="PSES Elem Prog09Duty25 S275"/>
    <x v="3"/>
    <s v="25"/>
    <n v="91"/>
    <n v="25"/>
    <m/>
    <n v="3.4000000000000002E-2"/>
    <n v="0.08"/>
    <n v="0"/>
    <s v="TK Pupil Management"/>
  </r>
  <r>
    <x v="134"/>
    <s v="Personnel"/>
    <s v="E "/>
    <x v="0"/>
    <x v="3"/>
    <s v="PSES Elem Prog01Act25 S275"/>
    <x v="0"/>
    <s v="25"/>
    <m/>
    <n v="25"/>
    <s v="   "/>
    <n v="1.145"/>
    <n v="0.31069999999999998"/>
    <n v="0"/>
    <s v="Elementary Pupil Management"/>
  </r>
  <r>
    <x v="134"/>
    <s v="Personnel"/>
    <s v="E "/>
    <x v="0"/>
    <x v="8"/>
    <s v="PSES Elem Prog01Act26 S275"/>
    <x v="0"/>
    <s v="26"/>
    <m/>
    <n v="26"/>
    <s v="   "/>
    <n v="0.48499999999999999"/>
    <n v="0.31069999999999998"/>
    <n v="0"/>
    <s v="Elementary Health/_x000a_Related Services"/>
  </r>
  <r>
    <x v="134"/>
    <s v="Personnel"/>
    <s v="H "/>
    <x v="1"/>
    <x v="9"/>
    <s v="PSES High Prog01Act26 S275"/>
    <x v="0"/>
    <s v="26"/>
    <m/>
    <n v="26"/>
    <s v="   "/>
    <n v="0.121"/>
    <n v="0.31069999999999998"/>
    <n v="0"/>
    <s v="High Health/_x000a_Related Services"/>
  </r>
  <r>
    <x v="134"/>
    <s v="Personnel"/>
    <s v="H "/>
    <x v="1"/>
    <x v="16"/>
    <s v="PSES High Prog01Duty42 S275"/>
    <x v="0"/>
    <s v="42"/>
    <n v="42"/>
    <m/>
    <s v="   "/>
    <n v="1.06"/>
    <n v="0.31069999999999998"/>
    <n v="0"/>
    <s v="High Counselor"/>
  </r>
  <r>
    <x v="134"/>
    <s v="Personnel"/>
    <s v="M "/>
    <x v="2"/>
    <x v="17"/>
    <s v="PSES Mid Prog01Duty42 S275"/>
    <x v="0"/>
    <s v="42"/>
    <n v="42"/>
    <m/>
    <s v="   "/>
    <n v="0.1"/>
    <n v="0.31069999999999998"/>
    <n v="0"/>
    <s v="Middle Counselor"/>
  </r>
  <r>
    <x v="134"/>
    <s v="Personnel"/>
    <s v="E "/>
    <x v="0"/>
    <x v="18"/>
    <s v="PSES Elem Prog21Duty43 S275"/>
    <x v="1"/>
    <s v="43"/>
    <n v="43"/>
    <m/>
    <s v="   "/>
    <n v="1.2"/>
    <n v="0.31069999999999998"/>
    <n v="0.373"/>
    <s v="Elementary Occupational Therapist"/>
  </r>
  <r>
    <x v="134"/>
    <s v="Personnel"/>
    <s v="H "/>
    <x v="1"/>
    <x v="19"/>
    <s v="PSES High Prog21Duty43 S275"/>
    <x v="1"/>
    <s v="43"/>
    <n v="43"/>
    <m/>
    <s v="   "/>
    <n v="2.2000000000000002"/>
    <n v="0.31069999999999998"/>
    <n v="0.68400000000000005"/>
    <s v="High Occupational Therapist"/>
  </r>
  <r>
    <x v="134"/>
    <s v="Personnel"/>
    <s v="H "/>
    <x v="1"/>
    <x v="59"/>
    <s v="PSES High Prog21Duty64 S275"/>
    <x v="1"/>
    <s v="64"/>
    <n v="64"/>
    <m/>
    <s v="   "/>
    <n v="1.212"/>
    <n v="0.31069999999999998"/>
    <n v="0.377"/>
    <s v="High Contractor ESA"/>
  </r>
  <r>
    <x v="135"/>
    <s v="Personnel"/>
    <s v="E "/>
    <x v="0"/>
    <x v="15"/>
    <s v="PSES Elem Prog01Duty42 S275"/>
    <x v="0"/>
    <s v="42"/>
    <n v="42"/>
    <m/>
    <s v="   "/>
    <n v="0.62"/>
    <n v="0.31480000000000002"/>
    <n v="0"/>
    <s v="Elementary Counselor"/>
  </r>
  <r>
    <x v="135"/>
    <s v="Personnel"/>
    <s v="H "/>
    <x v="1"/>
    <x v="16"/>
    <s v="PSES High Prog01Duty42 S275"/>
    <x v="0"/>
    <s v="42"/>
    <n v="42"/>
    <m/>
    <s v="   "/>
    <n v="0.5"/>
    <n v="0.31480000000000002"/>
    <n v="0"/>
    <s v="High Counselor"/>
  </r>
  <r>
    <x v="135"/>
    <s v="Personnel"/>
    <s v="M "/>
    <x v="2"/>
    <x v="17"/>
    <s v="PSES Mid Prog01Duty42 S275"/>
    <x v="0"/>
    <s v="42"/>
    <n v="42"/>
    <m/>
    <s v="   "/>
    <n v="0.5"/>
    <n v="0.31480000000000002"/>
    <n v="0"/>
    <s v="Middle Counselor"/>
  </r>
  <r>
    <x v="135"/>
    <s v="Personnel"/>
    <s v="E "/>
    <x v="0"/>
    <x v="27"/>
    <s v="PSES Elem Prog01Duty47 S275"/>
    <x v="0"/>
    <s v="47"/>
    <n v="47"/>
    <m/>
    <s v="   "/>
    <n v="1.026"/>
    <n v="0.31480000000000002"/>
    <n v="0"/>
    <s v="Elementary Nurse"/>
  </r>
  <r>
    <x v="135"/>
    <s v="Personnel"/>
    <s v="H "/>
    <x v="1"/>
    <x v="25"/>
    <s v="PSES High Prog01Duty47 S275"/>
    <x v="0"/>
    <s v="47"/>
    <n v="47"/>
    <m/>
    <s v="   "/>
    <n v="6.8000000000000005E-2"/>
    <n v="0.31480000000000002"/>
    <n v="0"/>
    <s v="High Nurse"/>
  </r>
  <r>
    <x v="135"/>
    <s v="Personnel"/>
    <s v="M "/>
    <x v="2"/>
    <x v="34"/>
    <s v="PSES Mid Prog01Duty47 S275"/>
    <x v="0"/>
    <s v="47"/>
    <n v="47"/>
    <m/>
    <s v="   "/>
    <n v="2.7E-2"/>
    <n v="0.31480000000000002"/>
    <n v="0"/>
    <s v="Middle Nurse"/>
  </r>
  <r>
    <x v="136"/>
    <s v="Personnel"/>
    <s v="H "/>
    <x v="1"/>
    <x v="5"/>
    <s v="PSES High Prog01Act25 S275"/>
    <x v="0"/>
    <s v="25"/>
    <m/>
    <n v="25"/>
    <s v="   "/>
    <n v="0.73199999999999998"/>
    <n v="0.2039"/>
    <n v="0"/>
    <s v="High Pupil Management"/>
  </r>
  <r>
    <x v="136"/>
    <s v="Personnel"/>
    <s v="H "/>
    <x v="1"/>
    <x v="29"/>
    <s v="PSES High Prog21Act26 S275"/>
    <x v="1"/>
    <s v="26"/>
    <m/>
    <n v="26"/>
    <s v="   "/>
    <n v="3.395"/>
    <n v="0.2039"/>
    <n v="0.69199999999999995"/>
    <s v="High Health/_x000a_Related Services"/>
  </r>
  <r>
    <x v="136"/>
    <s v="Personnel"/>
    <s v="H "/>
    <x v="1"/>
    <x v="9"/>
    <s v="PSES High Prog01Act26 S275"/>
    <x v="0"/>
    <s v="26"/>
    <m/>
    <n v="26"/>
    <s v="   "/>
    <n v="0.46500000000000002"/>
    <n v="0.2039"/>
    <n v="0"/>
    <s v="High Health/_x000a_Related Services"/>
  </r>
  <r>
    <x v="136"/>
    <s v="Personnel"/>
    <s v="H "/>
    <x v="1"/>
    <x v="16"/>
    <s v="PSES High Prog01Duty42 S275"/>
    <x v="0"/>
    <s v="42"/>
    <n v="42"/>
    <m/>
    <s v="   "/>
    <n v="1"/>
    <n v="0.2039"/>
    <n v="0"/>
    <s v="High Counselor"/>
  </r>
  <r>
    <x v="136"/>
    <s v="Personnel"/>
    <s v="H "/>
    <x v="1"/>
    <x v="23"/>
    <s v="PSES High Prog21Duty46 S275"/>
    <x v="1"/>
    <s v="46"/>
    <n v="46"/>
    <m/>
    <s v="   "/>
    <n v="1"/>
    <n v="0.2039"/>
    <n v="0.20399999999999999"/>
    <s v="High Psychologist"/>
  </r>
  <r>
    <x v="136"/>
    <s v="Personnel"/>
    <s v="H "/>
    <x v="1"/>
    <x v="59"/>
    <s v="PSES High Prog21Duty64 S275"/>
    <x v="1"/>
    <s v="64"/>
    <n v="64"/>
    <m/>
    <s v="   "/>
    <n v="1.8879999999999999"/>
    <n v="0.2039"/>
    <n v="0.38500000000000001"/>
    <s v="High Contractor ESA"/>
  </r>
  <r>
    <x v="137"/>
    <s v="Personnel"/>
    <s v="E "/>
    <x v="0"/>
    <x v="67"/>
    <s v="PSES Elem Prog21Act25 S275"/>
    <x v="1"/>
    <s v="25"/>
    <m/>
    <n v="25"/>
    <s v="   "/>
    <n v="0.36899999999999999"/>
    <n v="0.19120000000000001"/>
    <n v="7.0999999999999994E-2"/>
    <s v="Elementary Pupil Management"/>
  </r>
  <r>
    <x v="137"/>
    <s v="Personnel"/>
    <s v="E "/>
    <x v="0"/>
    <x v="7"/>
    <s v="PSES Elem Prog21Act26 S275"/>
    <x v="1"/>
    <s v="26"/>
    <m/>
    <n v="26"/>
    <s v="   "/>
    <n v="0.73599999999999999"/>
    <n v="0.19120000000000001"/>
    <n v="0.14099999999999999"/>
    <s v="Elementary Health/_x000a_Related Services"/>
  </r>
  <r>
    <x v="137"/>
    <s v="Personnel"/>
    <s v="H "/>
    <x v="1"/>
    <x v="29"/>
    <s v="PSES High Prog21Act26 S275"/>
    <x v="1"/>
    <s v="26"/>
    <m/>
    <n v="26"/>
    <s v="   "/>
    <n v="1.288"/>
    <n v="0.19120000000000001"/>
    <n v="0.246"/>
    <s v="High Health/_x000a_Related Services"/>
  </r>
  <r>
    <x v="137"/>
    <s v="Personnel"/>
    <s v="E "/>
    <x v="0"/>
    <x v="15"/>
    <s v="PSES Elem Prog01Duty42 S275"/>
    <x v="0"/>
    <s v="42"/>
    <n v="42"/>
    <m/>
    <s v="   "/>
    <n v="0.45"/>
    <n v="0.19120000000000001"/>
    <n v="0"/>
    <s v="Elementary Counselor"/>
  </r>
  <r>
    <x v="137"/>
    <s v="Personnel"/>
    <s v="H "/>
    <x v="1"/>
    <x v="16"/>
    <s v="PSES High Prog01Duty42 S275"/>
    <x v="0"/>
    <s v="42"/>
    <n v="42"/>
    <m/>
    <s v="   "/>
    <n v="1.05"/>
    <n v="0.19120000000000001"/>
    <n v="0"/>
    <s v="High Counselor"/>
  </r>
  <r>
    <x v="137"/>
    <s v="Personnel"/>
    <s v="M "/>
    <x v="2"/>
    <x v="17"/>
    <s v="PSES Mid Prog01Duty42 S275"/>
    <x v="0"/>
    <s v="42"/>
    <n v="42"/>
    <m/>
    <s v="   "/>
    <n v="0.5"/>
    <n v="0.19120000000000001"/>
    <n v="0"/>
    <s v="Middle Counselor"/>
  </r>
  <r>
    <x v="137"/>
    <s v="Personnel"/>
    <s v="E "/>
    <x v="0"/>
    <x v="18"/>
    <s v="PSES Elem Prog21Duty43 S275"/>
    <x v="1"/>
    <s v="43"/>
    <n v="43"/>
    <m/>
    <s v="   "/>
    <n v="0.5"/>
    <n v="0.19120000000000001"/>
    <n v="9.6000000000000002E-2"/>
    <s v="Elementary Occupational Therapist"/>
  </r>
  <r>
    <x v="137"/>
    <s v="Personnel"/>
    <s v="H "/>
    <x v="1"/>
    <x v="19"/>
    <s v="PSES High Prog21Duty43 S275"/>
    <x v="1"/>
    <s v="43"/>
    <n v="43"/>
    <m/>
    <s v="   "/>
    <n v="0.5"/>
    <n v="0.19120000000000001"/>
    <n v="9.6000000000000002E-2"/>
    <s v="High Occupational Therapist"/>
  </r>
  <r>
    <x v="137"/>
    <s v="Personnel"/>
    <s v="E "/>
    <x v="0"/>
    <x v="20"/>
    <s v="PSES Elem Prog21Duty45 S275"/>
    <x v="1"/>
    <s v="45"/>
    <n v="45"/>
    <m/>
    <s v="   "/>
    <n v="1.5"/>
    <n v="0.19120000000000001"/>
    <n v="0.28699999999999998"/>
    <s v="Elementary Speech, Language Pathway/_x000a_Audio"/>
  </r>
  <r>
    <x v="137"/>
    <s v="Personnel"/>
    <s v="H "/>
    <x v="1"/>
    <x v="21"/>
    <s v="PSES High Prog21Duty45 S275"/>
    <x v="1"/>
    <s v="45"/>
    <n v="45"/>
    <m/>
    <s v="   "/>
    <n v="1"/>
    <n v="0.19120000000000001"/>
    <n v="0.191"/>
    <s v="High Speech, Language Pathway/_x000a_Audio"/>
  </r>
  <r>
    <x v="137"/>
    <s v="Personnel"/>
    <s v="M "/>
    <x v="2"/>
    <x v="28"/>
    <s v="PSES Mid Prog21Duty45 S275"/>
    <x v="1"/>
    <s v="45"/>
    <n v="45"/>
    <m/>
    <s v="   "/>
    <n v="0.5"/>
    <n v="0.19120000000000001"/>
    <n v="9.6000000000000002E-2"/>
    <s v="Middle Speech, Language Pathway/_x000a_Audio"/>
  </r>
  <r>
    <x v="137"/>
    <s v="Personnel"/>
    <s v="E "/>
    <x v="0"/>
    <x v="22"/>
    <s v="PSES Elem Prog21Duty46 S275"/>
    <x v="1"/>
    <s v="46"/>
    <n v="46"/>
    <m/>
    <s v="   "/>
    <n v="0.5"/>
    <n v="0.19120000000000001"/>
    <n v="9.6000000000000002E-2"/>
    <s v="Elementary Psychologist"/>
  </r>
  <r>
    <x v="137"/>
    <s v="Personnel"/>
    <s v="H "/>
    <x v="1"/>
    <x v="23"/>
    <s v="PSES High Prog21Duty46 S275"/>
    <x v="1"/>
    <s v="46"/>
    <n v="46"/>
    <m/>
    <s v="   "/>
    <n v="0.5"/>
    <n v="0.19120000000000001"/>
    <n v="9.6000000000000002E-2"/>
    <s v="High Psychologist"/>
  </r>
  <r>
    <x v="138"/>
    <s v="Personnel"/>
    <s v="H "/>
    <x v="1"/>
    <x v="4"/>
    <s v="PSES High Prog21Act25 S275"/>
    <x v="1"/>
    <s v="25"/>
    <m/>
    <n v="25"/>
    <s v="   "/>
    <n v="0.04"/>
    <n v="0.20449999999999999"/>
    <n v="8.0000000000000002E-3"/>
    <s v="High Pupil Management"/>
  </r>
  <r>
    <x v="138"/>
    <s v="Personnel"/>
    <s v="H "/>
    <x v="1"/>
    <x v="9"/>
    <s v="PSES High Prog01Act26 S275"/>
    <x v="0"/>
    <s v="26"/>
    <m/>
    <n v="26"/>
    <s v="   "/>
    <n v="6.2E-2"/>
    <n v="0.20449999999999999"/>
    <n v="0"/>
    <s v="High Health/_x000a_Related Services"/>
  </r>
  <r>
    <x v="139"/>
    <s v="Personnel"/>
    <s v="E "/>
    <x v="0"/>
    <x v="3"/>
    <s v="PSES Elem Prog01Act25 S275"/>
    <x v="0"/>
    <s v="25"/>
    <m/>
    <n v="25"/>
    <s v="   "/>
    <n v="0.254"/>
    <n v="0.28620000000000001"/>
    <n v="0"/>
    <s v="Elementary Pupil Management"/>
  </r>
  <r>
    <x v="139"/>
    <s v="Personnel"/>
    <s v="H "/>
    <x v="1"/>
    <x v="4"/>
    <s v="PSES High Prog21Act25 S275"/>
    <x v="1"/>
    <s v="25"/>
    <m/>
    <n v="25"/>
    <s v="   "/>
    <n v="0.374"/>
    <n v="0.28620000000000001"/>
    <n v="0.107"/>
    <s v="High Pupil Management"/>
  </r>
  <r>
    <x v="139"/>
    <s v="Personnel"/>
    <s v="H "/>
    <x v="1"/>
    <x v="5"/>
    <s v="PSES High Prog01Act25 S275"/>
    <x v="0"/>
    <s v="25"/>
    <m/>
    <n v="25"/>
    <s v="   "/>
    <n v="1.0069999999999999"/>
    <n v="0.28620000000000001"/>
    <n v="0"/>
    <s v="High Pupil Management"/>
  </r>
  <r>
    <x v="139"/>
    <s v="Personnel"/>
    <s v="M "/>
    <x v="2"/>
    <x v="82"/>
    <s v="PSES Mid Prog21Act25 S275"/>
    <x v="1"/>
    <s v="25"/>
    <m/>
    <n v="25"/>
    <s v="   "/>
    <n v="8.7999999999999995E-2"/>
    <n v="0.28620000000000001"/>
    <n v="2.5000000000000001E-2"/>
    <s v="Middle Pupil Management"/>
  </r>
  <r>
    <x v="139"/>
    <s v="Personnel"/>
    <s v="E "/>
    <x v="0"/>
    <x v="8"/>
    <s v="PSES Elem Prog01Act26 S275"/>
    <x v="0"/>
    <s v="26"/>
    <m/>
    <n v="26"/>
    <s v="   "/>
    <n v="0.51800000000000002"/>
    <n v="0.28620000000000001"/>
    <n v="0"/>
    <s v="Elementary Health/_x000a_Related Services"/>
  </r>
  <r>
    <x v="139"/>
    <s v="Personnel"/>
    <s v="M "/>
    <x v="2"/>
    <x v="11"/>
    <s v="PSES Mid Prog01Act26 S275"/>
    <x v="0"/>
    <s v="26"/>
    <m/>
    <n v="26"/>
    <s v="   "/>
    <n v="0.17699999999999999"/>
    <n v="0.28620000000000001"/>
    <n v="0"/>
    <s v="Middle Health/_x000a_Related Services"/>
  </r>
  <r>
    <x v="139"/>
    <s v="Personnel"/>
    <s v="H "/>
    <x v="1"/>
    <x v="16"/>
    <s v="PSES High Prog01Duty42 S275"/>
    <x v="0"/>
    <s v="42"/>
    <n v="42"/>
    <m/>
    <s v="   "/>
    <n v="0.81399999999999995"/>
    <n v="0.28620000000000001"/>
    <n v="0"/>
    <s v="High Counselor"/>
  </r>
  <r>
    <x v="140"/>
    <s v="Personnel"/>
    <s v="E "/>
    <x v="0"/>
    <x v="3"/>
    <s v="PSES Elem Prog01Act25 S275"/>
    <x v="0"/>
    <s v="25"/>
    <m/>
    <n v="25"/>
    <s v="   "/>
    <n v="0.39600000000000002"/>
    <n v="0.25719999999999998"/>
    <n v="0"/>
    <s v="Elementary Pupil Management"/>
  </r>
  <r>
    <x v="140"/>
    <s v="Personnel"/>
    <s v="E "/>
    <x v="0"/>
    <x v="8"/>
    <s v="PSES Elem Prog01Act26 S275"/>
    <x v="0"/>
    <s v="26"/>
    <m/>
    <n v="26"/>
    <s v="   "/>
    <n v="0.13200000000000001"/>
    <n v="0.25719999999999998"/>
    <n v="0"/>
    <s v="Elementary Health/_x000a_Related Services"/>
  </r>
  <r>
    <x v="140"/>
    <s v="Personnel"/>
    <s v="H "/>
    <x v="1"/>
    <x v="9"/>
    <s v="PSES High Prog01Act26 S275"/>
    <x v="0"/>
    <s v="26"/>
    <m/>
    <n v="26"/>
    <s v="   "/>
    <n v="0.13200000000000001"/>
    <n v="0.25719999999999998"/>
    <n v="0"/>
    <s v="High Health/_x000a_Related Services"/>
  </r>
  <r>
    <x v="140"/>
    <s v="Personnel"/>
    <s v="M "/>
    <x v="2"/>
    <x v="11"/>
    <s v="PSES Mid Prog01Act26 S275"/>
    <x v="0"/>
    <s v="26"/>
    <m/>
    <n v="26"/>
    <s v="   "/>
    <n v="0.13200000000000001"/>
    <n v="0.25719999999999998"/>
    <n v="0"/>
    <s v="Middle Health/_x000a_Related Services"/>
  </r>
  <r>
    <x v="140"/>
    <s v="Personnel"/>
    <s v="E "/>
    <x v="0"/>
    <x v="15"/>
    <s v="PSES Elem Prog01Duty42 S275"/>
    <x v="0"/>
    <s v="42"/>
    <n v="42"/>
    <m/>
    <s v="   "/>
    <n v="0.45200000000000001"/>
    <n v="0.25719999999999998"/>
    <n v="0"/>
    <s v="Elementary Counselor"/>
  </r>
  <r>
    <x v="140"/>
    <s v="Personnel"/>
    <s v="H "/>
    <x v="1"/>
    <x v="16"/>
    <s v="PSES High Prog01Duty42 S275"/>
    <x v="0"/>
    <s v="42"/>
    <n v="42"/>
    <m/>
    <s v="   "/>
    <n v="1.151"/>
    <n v="0.25719999999999998"/>
    <n v="0"/>
    <s v="High Counselor"/>
  </r>
  <r>
    <x v="140"/>
    <s v="Personnel"/>
    <s v="M "/>
    <x v="2"/>
    <x v="17"/>
    <s v="PSES Mid Prog01Duty42 S275"/>
    <x v="0"/>
    <s v="42"/>
    <n v="42"/>
    <m/>
    <s v="   "/>
    <n v="0.151"/>
    <n v="0.25719999999999998"/>
    <n v="0"/>
    <s v="Middle Counselor"/>
  </r>
  <r>
    <x v="141"/>
    <s v="Personnel"/>
    <s v="H "/>
    <x v="1"/>
    <x v="16"/>
    <s v="PSES High Prog01Duty42 S275"/>
    <x v="0"/>
    <s v="42"/>
    <n v="42"/>
    <m/>
    <s v="   "/>
    <n v="0.67"/>
    <n v="0.19239999999999999"/>
    <n v="0"/>
    <s v="High Counselor"/>
  </r>
  <r>
    <x v="141"/>
    <s v="Personnel"/>
    <s v="M "/>
    <x v="2"/>
    <x v="17"/>
    <s v="PSES Mid Prog01Duty42 S275"/>
    <x v="0"/>
    <s v="42"/>
    <n v="42"/>
    <m/>
    <s v="   "/>
    <n v="0.33"/>
    <n v="0.19239999999999999"/>
    <n v="0"/>
    <s v="Middle Counselor"/>
  </r>
  <r>
    <x v="142"/>
    <s v="Personnel"/>
    <s v="H "/>
    <x v="1"/>
    <x v="1"/>
    <s v="PSES High Prog01Duty96 S275"/>
    <x v="0"/>
    <s v="24"/>
    <n v="96"/>
    <n v="24"/>
    <s v="   "/>
    <n v="1.242"/>
    <n v="0.24959999999999999"/>
    <n v="0"/>
    <s v="High Family Engagement Coordinator"/>
  </r>
  <r>
    <x v="142"/>
    <s v="Personnel"/>
    <s v="M "/>
    <x v="2"/>
    <x v="2"/>
    <s v="PSES Mid Prog01Duty96 S275"/>
    <x v="0"/>
    <s v="24"/>
    <n v="96"/>
    <n v="24"/>
    <s v="   "/>
    <n v="0.44600000000000001"/>
    <n v="0.24959999999999999"/>
    <n v="0"/>
    <s v="Middle Family Engagement Coordinator"/>
  </r>
  <r>
    <x v="142"/>
    <s v="Personnel"/>
    <s v="E "/>
    <x v="0"/>
    <x v="67"/>
    <s v="PSES Elem Prog21Act25 S275"/>
    <x v="1"/>
    <s v="25"/>
    <m/>
    <n v="25"/>
    <s v="   "/>
    <n v="0.505"/>
    <n v="0.24959999999999999"/>
    <n v="0.126"/>
    <s v="Elementary Pupil Management"/>
  </r>
  <r>
    <x v="142"/>
    <s v="Personnel"/>
    <s v="H "/>
    <x v="1"/>
    <x v="4"/>
    <s v="PSES High Prog21Act25 S275"/>
    <x v="1"/>
    <s v="25"/>
    <m/>
    <n v="25"/>
    <s v="   "/>
    <n v="0.66500000000000004"/>
    <n v="0.24959999999999999"/>
    <n v="0.16600000000000001"/>
    <s v="High Pupil Management"/>
  </r>
  <r>
    <x v="142"/>
    <s v="Personnel"/>
    <s v="H "/>
    <x v="1"/>
    <x v="5"/>
    <s v="PSES High Prog01Act25 S275"/>
    <x v="0"/>
    <s v="25"/>
    <m/>
    <n v="25"/>
    <s v="   "/>
    <n v="3.9470000000000001"/>
    <n v="0.24959999999999999"/>
    <n v="0"/>
    <s v="High Pupil Management"/>
  </r>
  <r>
    <x v="142"/>
    <s v="Personnel"/>
    <s v="H "/>
    <x v="1"/>
    <x v="29"/>
    <s v="PSES High Prog21Act26 S275"/>
    <x v="1"/>
    <s v="26"/>
    <m/>
    <n v="26"/>
    <s v="   "/>
    <n v="1.2809999999999999"/>
    <n v="0.24959999999999999"/>
    <n v="0.32"/>
    <s v="High Health/_x000a_Related Services"/>
  </r>
  <r>
    <x v="142"/>
    <s v="Personnel"/>
    <s v="H "/>
    <x v="1"/>
    <x v="9"/>
    <s v="PSES High Prog01Act26 S275"/>
    <x v="0"/>
    <s v="26"/>
    <m/>
    <n v="26"/>
    <s v="   "/>
    <n v="2.113"/>
    <n v="0.24959999999999999"/>
    <n v="0"/>
    <s v="High Health/_x000a_Related Services"/>
  </r>
  <r>
    <x v="142"/>
    <s v="Personnel"/>
    <s v="H "/>
    <x v="1"/>
    <x v="12"/>
    <s v="PSES High Prog97Act35 S275"/>
    <x v="2"/>
    <s v="35"/>
    <m/>
    <n v="35"/>
    <s v="   "/>
    <n v="1.462"/>
    <n v="0.24959999999999999"/>
    <n v="0"/>
    <s v="High Pupil Safety"/>
  </r>
  <r>
    <x v="142"/>
    <s v="Personnel"/>
    <s v="E "/>
    <x v="0"/>
    <x v="14"/>
    <s v="PSES Elem Prog21Duty39 S275"/>
    <x v="1"/>
    <s v="39"/>
    <n v="39"/>
    <m/>
    <s v="   "/>
    <n v="0.15"/>
    <n v="0.24959999999999999"/>
    <n v="3.6999999999999998E-2"/>
    <s v="Elementary Orientation &amp; Mobility Specialist"/>
  </r>
  <r>
    <x v="142"/>
    <s v="Personnel"/>
    <s v="H "/>
    <x v="1"/>
    <x v="83"/>
    <s v="PSES High Prog21Duty39 S275"/>
    <x v="1"/>
    <s v="39"/>
    <n v="39"/>
    <m/>
    <s v="   "/>
    <n v="0.15"/>
    <n v="0.24959999999999999"/>
    <n v="3.6999999999999998E-2"/>
    <s v="High Orientation &amp; Mobility Specialist"/>
  </r>
  <r>
    <x v="142"/>
    <s v="Personnel"/>
    <s v="E "/>
    <x v="0"/>
    <x v="15"/>
    <s v="PSES Elem Prog01Duty42 S275"/>
    <x v="0"/>
    <s v="42"/>
    <n v="42"/>
    <m/>
    <s v="   "/>
    <n v="0.33300000000000002"/>
    <n v="0.24959999999999999"/>
    <n v="0"/>
    <s v="Elementary Counselor"/>
  </r>
  <r>
    <x v="142"/>
    <s v="Personnel"/>
    <s v="H "/>
    <x v="1"/>
    <x v="16"/>
    <s v="PSES High Prog01Duty42 S275"/>
    <x v="0"/>
    <s v="42"/>
    <n v="42"/>
    <m/>
    <s v="   "/>
    <n v="2.25"/>
    <n v="0.24959999999999999"/>
    <n v="0"/>
    <s v="High Counselor"/>
  </r>
  <r>
    <x v="142"/>
    <s v="Personnel"/>
    <s v="M "/>
    <x v="2"/>
    <x v="17"/>
    <s v="PSES Mid Prog01Duty42 S275"/>
    <x v="0"/>
    <s v="42"/>
    <n v="42"/>
    <m/>
    <s v="   "/>
    <n v="1.667"/>
    <n v="0.24959999999999999"/>
    <n v="0"/>
    <s v="Middle Counselor"/>
  </r>
  <r>
    <x v="142"/>
    <s v="Personnel"/>
    <s v="E "/>
    <x v="0"/>
    <x v="20"/>
    <s v="PSES Elem Prog21Duty45 S275"/>
    <x v="1"/>
    <s v="45"/>
    <n v="45"/>
    <m/>
    <s v="   "/>
    <n v="1.9"/>
    <n v="0.24959999999999999"/>
    <n v="0.47399999999999998"/>
    <s v="Elementary Speech, Language Pathway/_x000a_Audio"/>
  </r>
  <r>
    <x v="142"/>
    <s v="Personnel"/>
    <s v="H "/>
    <x v="1"/>
    <x v="21"/>
    <s v="PSES High Prog21Duty45 S275"/>
    <x v="1"/>
    <s v="45"/>
    <n v="45"/>
    <m/>
    <s v="   "/>
    <n v="0.1"/>
    <n v="0.24959999999999999"/>
    <n v="2.5000000000000001E-2"/>
    <s v="High Speech, Language Pathway/_x000a_Audio"/>
  </r>
  <r>
    <x v="142"/>
    <s v="Personnel"/>
    <s v="H "/>
    <x v="1"/>
    <x v="23"/>
    <s v="PSES High Prog21Duty46 S275"/>
    <x v="1"/>
    <s v="46"/>
    <n v="46"/>
    <m/>
    <s v="   "/>
    <n v="1"/>
    <n v="0.24959999999999999"/>
    <n v="0.25"/>
    <s v="High Psychologist"/>
  </r>
  <r>
    <x v="142"/>
    <s v="Personnel"/>
    <s v="E "/>
    <x v="0"/>
    <x v="27"/>
    <s v="PSES Elem Prog01Duty47 S275"/>
    <x v="0"/>
    <s v="47"/>
    <n v="47"/>
    <m/>
    <s v="   "/>
    <n v="0.57799999999999996"/>
    <n v="0.24959999999999999"/>
    <n v="0"/>
    <s v="Elementary Nurse"/>
  </r>
  <r>
    <x v="142"/>
    <s v="Personnel"/>
    <s v="H "/>
    <x v="1"/>
    <x v="25"/>
    <s v="PSES High Prog01Duty47 S275"/>
    <x v="0"/>
    <s v="47"/>
    <n v="47"/>
    <m/>
    <s v="   "/>
    <n v="0.75"/>
    <n v="0.24959999999999999"/>
    <n v="0"/>
    <s v="High Nurse"/>
  </r>
  <r>
    <x v="142"/>
    <s v="Personnel"/>
    <s v="E "/>
    <x v="0"/>
    <x v="35"/>
    <s v="PSES Elem Prog21Duty48 S275"/>
    <x v="1"/>
    <s v="48"/>
    <n v="48"/>
    <m/>
    <s v="   "/>
    <n v="0.66"/>
    <n v="0.24959999999999999"/>
    <n v="0.16500000000000001"/>
    <s v="Elementary Physical Therapist"/>
  </r>
  <r>
    <x v="142"/>
    <s v="Personnel"/>
    <s v="H "/>
    <x v="1"/>
    <x v="36"/>
    <s v="PSES High Prog21Duty48 S275"/>
    <x v="1"/>
    <s v="48"/>
    <n v="48"/>
    <m/>
    <s v="   "/>
    <n v="0.19"/>
    <n v="0.24959999999999999"/>
    <n v="4.7E-2"/>
    <s v="High Physical Therapist"/>
  </r>
  <r>
    <x v="143"/>
    <s v="Personnel"/>
    <s v="E "/>
    <x v="0"/>
    <x v="3"/>
    <s v="PSES Elem Prog01Act25 S275"/>
    <x v="0"/>
    <s v="25"/>
    <m/>
    <n v="25"/>
    <s v="   "/>
    <n v="3.2370000000000001"/>
    <n v="0.2132"/>
    <n v="0"/>
    <s v="Elementary Pupil Management"/>
  </r>
  <r>
    <x v="143"/>
    <s v="Personnel"/>
    <s v="H "/>
    <x v="1"/>
    <x v="5"/>
    <s v="PSES High Prog01Act25 S275"/>
    <x v="0"/>
    <s v="25"/>
    <m/>
    <n v="25"/>
    <s v="   "/>
    <n v="0.372"/>
    <n v="0.2132"/>
    <n v="0"/>
    <s v="High Pupil Management"/>
  </r>
  <r>
    <x v="143"/>
    <s v="Personnel"/>
    <s v="E "/>
    <x v="0"/>
    <x v="15"/>
    <s v="PSES Elem Prog01Duty42 S275"/>
    <x v="0"/>
    <s v="42"/>
    <n v="42"/>
    <m/>
    <s v="   "/>
    <n v="0.313"/>
    <n v="0.2132"/>
    <n v="0"/>
    <s v="Elementary Counselor"/>
  </r>
  <r>
    <x v="143"/>
    <s v="Personnel"/>
    <s v="H "/>
    <x v="1"/>
    <x v="16"/>
    <s v="PSES High Prog01Duty42 S275"/>
    <x v="0"/>
    <s v="42"/>
    <n v="42"/>
    <m/>
    <s v="   "/>
    <n v="0.38700000000000001"/>
    <n v="0.2132"/>
    <n v="0"/>
    <s v="High Counselor"/>
  </r>
  <r>
    <x v="143"/>
    <s v="Personnel"/>
    <s v="E "/>
    <x v="0"/>
    <x v="27"/>
    <s v="PSES Elem Prog01Duty47 S275"/>
    <x v="0"/>
    <s v="47"/>
    <n v="47"/>
    <m/>
    <s v="   "/>
    <n v="0.23799999999999999"/>
    <n v="0.2132"/>
    <n v="0"/>
    <s v="Elementary Nurse"/>
  </r>
  <r>
    <x v="143"/>
    <s v="Personnel"/>
    <s v="H "/>
    <x v="1"/>
    <x v="25"/>
    <s v="PSES High Prog01Duty47 S275"/>
    <x v="0"/>
    <s v="47"/>
    <n v="47"/>
    <m/>
    <s v="   "/>
    <n v="8.1000000000000003E-2"/>
    <n v="0.2132"/>
    <n v="0"/>
    <s v="High Nurse"/>
  </r>
  <r>
    <x v="143"/>
    <s v="Personnel"/>
    <s v="M "/>
    <x v="2"/>
    <x v="34"/>
    <s v="PSES Mid Prog01Duty47 S275"/>
    <x v="0"/>
    <s v="47"/>
    <n v="47"/>
    <m/>
    <s v="   "/>
    <n v="8.1000000000000003E-2"/>
    <n v="0.2132"/>
    <n v="0"/>
    <s v="Middle Nurse"/>
  </r>
  <r>
    <x v="144"/>
    <s v="Personnel"/>
    <s v="H "/>
    <x v="1"/>
    <x v="4"/>
    <s v="PSES High Prog21Act25 S275"/>
    <x v="1"/>
    <s v="25"/>
    <m/>
    <n v="25"/>
    <s v="   "/>
    <n v="3.2080000000000002"/>
    <n v="0.2707"/>
    <n v="0.86799999999999999"/>
    <s v="High Pupil Management"/>
  </r>
  <r>
    <x v="144"/>
    <s v="Personnel"/>
    <s v="H "/>
    <x v="1"/>
    <x v="5"/>
    <s v="PSES High Prog01Act25 S275"/>
    <x v="0"/>
    <s v="25"/>
    <m/>
    <n v="25"/>
    <s v="   "/>
    <n v="0.75800000000000001"/>
    <n v="0.2707"/>
    <n v="0"/>
    <s v="High Pupil Management"/>
  </r>
  <r>
    <x v="144"/>
    <s v="Personnel"/>
    <s v="E "/>
    <x v="0"/>
    <x v="8"/>
    <s v="PSES Elem Prog01Act26 S275"/>
    <x v="0"/>
    <s v="26"/>
    <m/>
    <n v="26"/>
    <s v="   "/>
    <n v="1.389"/>
    <n v="0.2707"/>
    <n v="0"/>
    <s v="Elementary Health/_x000a_Related Services"/>
  </r>
  <r>
    <x v="144"/>
    <s v="Personnel"/>
    <s v="H "/>
    <x v="1"/>
    <x v="29"/>
    <s v="PSES High Prog21Act26 S275"/>
    <x v="1"/>
    <s v="26"/>
    <m/>
    <n v="26"/>
    <s v="   "/>
    <n v="0.20499999999999999"/>
    <n v="0.2707"/>
    <n v="5.5E-2"/>
    <s v="High Health/_x000a_Related Services"/>
  </r>
  <r>
    <x v="144"/>
    <s v="Personnel"/>
    <s v="H "/>
    <x v="1"/>
    <x v="9"/>
    <s v="PSES High Prog01Act26 S275"/>
    <x v="0"/>
    <s v="26"/>
    <m/>
    <n v="26"/>
    <s v="   "/>
    <n v="3.718"/>
    <n v="0.2707"/>
    <n v="0"/>
    <s v="High Health/_x000a_Related Services"/>
  </r>
  <r>
    <x v="144"/>
    <s v="Personnel"/>
    <s v="M "/>
    <x v="2"/>
    <x v="10"/>
    <s v="PSES Mid Prog21Act26 S275"/>
    <x v="1"/>
    <s v="26"/>
    <m/>
    <n v="26"/>
    <s v="   "/>
    <n v="0.36899999999999999"/>
    <n v="0.2707"/>
    <n v="0.1"/>
    <s v="Middle Health/_x000a_Related Services"/>
  </r>
  <r>
    <x v="144"/>
    <s v="Personnel"/>
    <s v="M "/>
    <x v="2"/>
    <x v="11"/>
    <s v="PSES Mid Prog01Act26 S275"/>
    <x v="0"/>
    <s v="26"/>
    <m/>
    <n v="26"/>
    <s v="   "/>
    <n v="0.752"/>
    <n v="0.2707"/>
    <n v="0"/>
    <s v="Middle Health/_x000a_Related Services"/>
  </r>
  <r>
    <x v="144"/>
    <s v="Personnel"/>
    <s v="E "/>
    <x v="0"/>
    <x v="15"/>
    <s v="PSES Elem Prog01Duty42 S275"/>
    <x v="0"/>
    <s v="42"/>
    <n v="42"/>
    <m/>
    <s v="   "/>
    <n v="5"/>
    <n v="0.2707"/>
    <n v="0"/>
    <s v="Elementary Counselor"/>
  </r>
  <r>
    <x v="144"/>
    <s v="Personnel"/>
    <s v="H "/>
    <x v="1"/>
    <x v="16"/>
    <s v="PSES High Prog01Duty42 S275"/>
    <x v="0"/>
    <s v="42"/>
    <n v="42"/>
    <m/>
    <s v="   "/>
    <n v="3"/>
    <n v="0.2707"/>
    <n v="0"/>
    <s v="High Counselor"/>
  </r>
  <r>
    <x v="144"/>
    <s v="Personnel"/>
    <s v="M "/>
    <x v="2"/>
    <x v="17"/>
    <s v="PSES Mid Prog01Duty42 S275"/>
    <x v="0"/>
    <s v="42"/>
    <n v="42"/>
    <m/>
    <s v="   "/>
    <n v="1.5"/>
    <n v="0.2707"/>
    <n v="0"/>
    <s v="Middle Counselor"/>
  </r>
  <r>
    <x v="144"/>
    <s v="Personnel"/>
    <s v="E "/>
    <x v="0"/>
    <x v="18"/>
    <s v="PSES Elem Prog21Duty43 S275"/>
    <x v="1"/>
    <s v="43"/>
    <n v="43"/>
    <m/>
    <s v="   "/>
    <n v="1.5349999999999999"/>
    <n v="0.2707"/>
    <n v="0.41599999999999998"/>
    <s v="Elementary Occupational Therapist"/>
  </r>
  <r>
    <x v="144"/>
    <s v="Personnel"/>
    <s v="H "/>
    <x v="1"/>
    <x v="19"/>
    <s v="PSES High Prog21Duty43 S275"/>
    <x v="1"/>
    <s v="43"/>
    <n v="43"/>
    <m/>
    <s v="   "/>
    <n v="0.311"/>
    <n v="0.2707"/>
    <n v="8.4000000000000005E-2"/>
    <s v="High Occupational Therapist"/>
  </r>
  <r>
    <x v="144"/>
    <s v="Personnel"/>
    <s v="M "/>
    <x v="2"/>
    <x v="31"/>
    <s v="PSES Mid Prog21Duty43 S275"/>
    <x v="1"/>
    <s v="43"/>
    <n v="43"/>
    <m/>
    <s v="   "/>
    <n v="0.154"/>
    <n v="0.2707"/>
    <n v="4.2000000000000003E-2"/>
    <s v="Middle Occupational Therapist"/>
  </r>
  <r>
    <x v="144"/>
    <s v="Personnel"/>
    <s v="E "/>
    <x v="0"/>
    <x v="20"/>
    <s v="PSES Elem Prog21Duty45 S275"/>
    <x v="1"/>
    <s v="45"/>
    <n v="45"/>
    <m/>
    <s v="   "/>
    <n v="1.21"/>
    <n v="0.2707"/>
    <n v="0.32800000000000001"/>
    <s v="Elementary Speech, Language Pathway/_x000a_Audio"/>
  </r>
  <r>
    <x v="144"/>
    <s v="Personnel"/>
    <s v="H "/>
    <x v="1"/>
    <x v="21"/>
    <s v="PSES High Prog21Duty45 S275"/>
    <x v="1"/>
    <s v="45"/>
    <n v="45"/>
    <m/>
    <s v="   "/>
    <n v="0.122"/>
    <n v="0.2707"/>
    <n v="3.3000000000000002E-2"/>
    <s v="High Speech, Language Pathway/_x000a_Audio"/>
  </r>
  <r>
    <x v="144"/>
    <s v="Personnel"/>
    <s v="M "/>
    <x v="2"/>
    <x v="28"/>
    <s v="PSES Mid Prog21Duty45 S275"/>
    <x v="1"/>
    <s v="45"/>
    <n v="45"/>
    <m/>
    <s v="   "/>
    <n v="6.0999999999999999E-2"/>
    <n v="0.2707"/>
    <n v="1.7000000000000001E-2"/>
    <s v="Middle Speech, Language Pathway/_x000a_Audio"/>
  </r>
  <r>
    <x v="144"/>
    <s v="Personnel"/>
    <s v="E "/>
    <x v="0"/>
    <x v="22"/>
    <s v="PSES Elem Prog21Duty46 S275"/>
    <x v="1"/>
    <s v="46"/>
    <n v="46"/>
    <m/>
    <s v="   "/>
    <n v="0.25"/>
    <n v="0.2707"/>
    <n v="6.8000000000000005E-2"/>
    <s v="Elementary Psychologist"/>
  </r>
  <r>
    <x v="144"/>
    <s v="Personnel"/>
    <s v="H "/>
    <x v="1"/>
    <x v="23"/>
    <s v="PSES High Prog21Duty46 S275"/>
    <x v="1"/>
    <s v="46"/>
    <n v="46"/>
    <m/>
    <s v="   "/>
    <n v="0.5"/>
    <n v="0.2707"/>
    <n v="0.13500000000000001"/>
    <s v="High Psychologist"/>
  </r>
  <r>
    <x v="144"/>
    <s v="Personnel"/>
    <s v="M "/>
    <x v="2"/>
    <x v="24"/>
    <s v="PSES Mid Prog21Duty46 S275"/>
    <x v="1"/>
    <s v="46"/>
    <n v="46"/>
    <m/>
    <s v="   "/>
    <n v="0.25"/>
    <n v="0.2707"/>
    <n v="6.8000000000000005E-2"/>
    <s v="Middle Psychologist"/>
  </r>
  <r>
    <x v="144"/>
    <s v="Personnel"/>
    <s v="E "/>
    <x v="0"/>
    <x v="35"/>
    <s v="PSES Elem Prog21Duty48 S275"/>
    <x v="1"/>
    <s v="48"/>
    <n v="48"/>
    <m/>
    <s v="   "/>
    <n v="0.43"/>
    <n v="0.2707"/>
    <n v="0.11600000000000001"/>
    <s v="Elementary Physical Therapist"/>
  </r>
  <r>
    <x v="144"/>
    <s v="Personnel"/>
    <s v="H "/>
    <x v="1"/>
    <x v="36"/>
    <s v="PSES High Prog21Duty48 S275"/>
    <x v="1"/>
    <s v="48"/>
    <n v="48"/>
    <m/>
    <s v="   "/>
    <n v="0.249"/>
    <n v="0.2707"/>
    <n v="6.7000000000000004E-2"/>
    <s v="High Physical Therapist"/>
  </r>
  <r>
    <x v="144"/>
    <s v="Personnel"/>
    <s v="M "/>
    <x v="2"/>
    <x v="37"/>
    <s v="PSES Mid Prog21Duty48 S275"/>
    <x v="1"/>
    <s v="48"/>
    <n v="48"/>
    <m/>
    <s v="   "/>
    <n v="0.123"/>
    <n v="0.2707"/>
    <n v="3.3000000000000002E-2"/>
    <s v="Middle Physical Therapist"/>
  </r>
  <r>
    <x v="144"/>
    <s v="Personnel"/>
    <s v="E "/>
    <x v="0"/>
    <x v="26"/>
    <s v="PSES Elem Prog21Duty49 S275"/>
    <x v="1"/>
    <s v="49"/>
    <n v="49"/>
    <m/>
    <s v="   "/>
    <n v="0.53500000000000003"/>
    <n v="0.2707"/>
    <n v="0.14499999999999999"/>
    <s v="Elementary Behavior Analyst"/>
  </r>
  <r>
    <x v="144"/>
    <s v="Personnel"/>
    <s v="H "/>
    <x v="1"/>
    <x v="55"/>
    <s v="PSES High Prog21Duty49 S275"/>
    <x v="1"/>
    <s v="49"/>
    <n v="49"/>
    <m/>
    <s v="   "/>
    <n v="0.311"/>
    <n v="0.2707"/>
    <n v="8.4000000000000005E-2"/>
    <s v="High Behavior Analyst"/>
  </r>
  <r>
    <x v="144"/>
    <s v="Personnel"/>
    <s v="M "/>
    <x v="2"/>
    <x v="50"/>
    <s v="PSES Mid Prog21Duty49 S275"/>
    <x v="1"/>
    <s v="49"/>
    <n v="49"/>
    <m/>
    <s v="   "/>
    <n v="0.154"/>
    <n v="0.2707"/>
    <n v="4.2000000000000003E-2"/>
    <s v="Middle Behavior Analyst"/>
  </r>
  <r>
    <x v="145"/>
    <s v="Personnel"/>
    <s v="E "/>
    <x v="0"/>
    <x v="3"/>
    <s v="PSES Elem Prog01Act25 S275"/>
    <x v="0"/>
    <s v="25"/>
    <m/>
    <n v="25"/>
    <s v="   "/>
    <n v="0.33500000000000002"/>
    <n v="0.14849999999999999"/>
    <n v="0"/>
    <s v="Elementary Pupil Management"/>
  </r>
  <r>
    <x v="145"/>
    <s v="Personnel"/>
    <s v="E "/>
    <x v="0"/>
    <x v="15"/>
    <s v="PSES Elem Prog01Duty42 S275"/>
    <x v="0"/>
    <s v="42"/>
    <n v="42"/>
    <m/>
    <s v="   "/>
    <n v="0.5"/>
    <n v="0.14849999999999999"/>
    <n v="0"/>
    <s v="Elementary Counselor"/>
  </r>
  <r>
    <x v="145"/>
    <s v="Personnel"/>
    <s v="H "/>
    <x v="1"/>
    <x v="16"/>
    <s v="PSES High Prog01Duty42 S275"/>
    <x v="0"/>
    <s v="42"/>
    <n v="42"/>
    <m/>
    <s v="   "/>
    <n v="0.5"/>
    <n v="0.14849999999999999"/>
    <n v="0"/>
    <s v="High Counselor"/>
  </r>
  <r>
    <x v="146"/>
    <s v="Personnel"/>
    <s v="E "/>
    <x v="0"/>
    <x v="3"/>
    <s v="PSES Elem Prog01Act25 S275"/>
    <x v="0"/>
    <s v="25"/>
    <m/>
    <n v="25"/>
    <s v="   "/>
    <n v="0.24299999999999999"/>
    <n v="0.2621"/>
    <n v="0"/>
    <s v="Elementary Pupil Management"/>
  </r>
  <r>
    <x v="146"/>
    <s v="Personnel"/>
    <s v="H "/>
    <x v="1"/>
    <x v="5"/>
    <s v="PSES High Prog01Act25 S275"/>
    <x v="0"/>
    <s v="25"/>
    <m/>
    <n v="25"/>
    <s v="   "/>
    <n v="0.40400000000000003"/>
    <n v="0.2621"/>
    <n v="0"/>
    <s v="High Pupil Management"/>
  </r>
  <r>
    <x v="146"/>
    <s v="Personnel"/>
    <s v="M "/>
    <x v="2"/>
    <x v="6"/>
    <s v="PSES Mid Prog01Act25 S275"/>
    <x v="0"/>
    <s v="25"/>
    <m/>
    <n v="25"/>
    <s v="   "/>
    <n v="0.161"/>
    <n v="0.2621"/>
    <n v="0"/>
    <s v="Middle Pupil Management"/>
  </r>
  <r>
    <x v="146"/>
    <s v="Personnel"/>
    <s v="H "/>
    <x v="1"/>
    <x v="9"/>
    <s v="PSES High Prog01Act26 S275"/>
    <x v="0"/>
    <s v="26"/>
    <m/>
    <n v="26"/>
    <s v="   "/>
    <n v="0.39800000000000002"/>
    <n v="0.2621"/>
    <n v="0"/>
    <s v="High Health/_x000a_Related Services"/>
  </r>
  <r>
    <x v="146"/>
    <s v="Personnel"/>
    <s v="E "/>
    <x v="0"/>
    <x v="15"/>
    <s v="PSES Elem Prog01Duty42 S275"/>
    <x v="0"/>
    <s v="42"/>
    <n v="42"/>
    <m/>
    <s v="   "/>
    <n v="0.8"/>
    <n v="0.2621"/>
    <n v="0"/>
    <s v="Elementary Counselor"/>
  </r>
  <r>
    <x v="146"/>
    <s v="Personnel"/>
    <s v="H "/>
    <x v="1"/>
    <x v="16"/>
    <s v="PSES High Prog01Duty42 S275"/>
    <x v="0"/>
    <s v="42"/>
    <n v="42"/>
    <m/>
    <s v="   "/>
    <n v="0.75"/>
    <n v="0.2621"/>
    <n v="0"/>
    <s v="High Counselor"/>
  </r>
  <r>
    <x v="147"/>
    <s v="Personnel"/>
    <s v="H "/>
    <x v="1"/>
    <x v="5"/>
    <s v="PSES High Prog01Act25 S275"/>
    <x v="0"/>
    <s v="25"/>
    <m/>
    <n v="25"/>
    <s v="   "/>
    <n v="0.14399999999999999"/>
    <n v="0.16059999999999999"/>
    <n v="0"/>
    <s v="High Pupil Management"/>
  </r>
  <r>
    <x v="147"/>
    <s v="Personnel"/>
    <s v="E "/>
    <x v="0"/>
    <x v="15"/>
    <s v="PSES Elem Prog01Duty42 S275"/>
    <x v="0"/>
    <s v="42"/>
    <n v="42"/>
    <m/>
    <s v="   "/>
    <n v="0.48299999999999998"/>
    <n v="0.16059999999999999"/>
    <n v="0"/>
    <s v="Elementary Counselor"/>
  </r>
  <r>
    <x v="147"/>
    <s v="Personnel"/>
    <s v="M "/>
    <x v="2"/>
    <x v="17"/>
    <s v="PSES Mid Prog01Duty42 S275"/>
    <x v="0"/>
    <s v="42"/>
    <n v="42"/>
    <m/>
    <s v="   "/>
    <n v="0.14399999999999999"/>
    <n v="0.16059999999999999"/>
    <n v="0"/>
    <s v="Middle Counselor"/>
  </r>
  <r>
    <x v="148"/>
    <s v="Personnel"/>
    <s v="E "/>
    <x v="0"/>
    <x v="3"/>
    <s v="PSES Elem Prog01Act25 S275"/>
    <x v="0"/>
    <s v="25"/>
    <m/>
    <n v="25"/>
    <s v="   "/>
    <n v="0.22"/>
    <n v="0.24740000000000001"/>
    <n v="0"/>
    <s v="Elementary Pupil Management"/>
  </r>
  <r>
    <x v="148"/>
    <s v="Personnel"/>
    <s v="H "/>
    <x v="1"/>
    <x v="5"/>
    <s v="PSES High Prog01Act25 S275"/>
    <x v="0"/>
    <s v="25"/>
    <m/>
    <n v="25"/>
    <s v="   "/>
    <n v="0.61099999999999999"/>
    <n v="0.24740000000000001"/>
    <n v="0"/>
    <s v="High Pupil Management"/>
  </r>
  <r>
    <x v="148"/>
    <s v="Personnel"/>
    <s v="E "/>
    <x v="0"/>
    <x v="15"/>
    <s v="PSES Elem Prog01Duty42 S275"/>
    <x v="0"/>
    <s v="42"/>
    <n v="42"/>
    <m/>
    <s v="   "/>
    <n v="0.497"/>
    <n v="0.24740000000000001"/>
    <n v="0"/>
    <s v="Elementary Counselor"/>
  </r>
  <r>
    <x v="148"/>
    <s v="Personnel"/>
    <s v="H "/>
    <x v="1"/>
    <x v="16"/>
    <s v="PSES High Prog01Duty42 S275"/>
    <x v="0"/>
    <s v="42"/>
    <n v="42"/>
    <m/>
    <s v="   "/>
    <n v="0.33100000000000002"/>
    <n v="0.24740000000000001"/>
    <n v="0"/>
    <s v="High Counselor"/>
  </r>
  <r>
    <x v="148"/>
    <s v="Personnel"/>
    <s v="M "/>
    <x v="2"/>
    <x v="17"/>
    <s v="PSES Mid Prog01Duty42 S275"/>
    <x v="0"/>
    <s v="42"/>
    <n v="42"/>
    <m/>
    <s v="   "/>
    <n v="0.16500000000000001"/>
    <n v="0.24740000000000001"/>
    <n v="0"/>
    <s v="Middle Counselor"/>
  </r>
  <r>
    <x v="149"/>
    <s v="Personnel"/>
    <s v="E "/>
    <x v="0"/>
    <x v="8"/>
    <s v="PSES Elem Prog01Act26 S275"/>
    <x v="0"/>
    <s v="26"/>
    <m/>
    <n v="26"/>
    <s v="   "/>
    <n v="0.33900000000000002"/>
    <n v="0.16489999999999999"/>
    <n v="0"/>
    <s v="Elementary Health/_x000a_Related Services"/>
  </r>
  <r>
    <x v="149"/>
    <s v="Personnel"/>
    <s v="H "/>
    <x v="1"/>
    <x v="9"/>
    <s v="PSES High Prog01Act26 S275"/>
    <x v="0"/>
    <s v="26"/>
    <m/>
    <n v="26"/>
    <s v="   "/>
    <n v="0.33900000000000002"/>
    <n v="0.16489999999999999"/>
    <n v="0"/>
    <s v="High Health/_x000a_Related Services"/>
  </r>
  <r>
    <x v="149"/>
    <s v="Personnel"/>
    <s v="T"/>
    <x v="0"/>
    <x v="84"/>
    <s v="PSES Elem Prog09Duty26 S275"/>
    <x v="3"/>
    <s v="26"/>
    <n v="91"/>
    <n v="26"/>
    <m/>
    <n v="1.4E-2"/>
    <n v="0.16489999999999999"/>
    <n v="0"/>
    <s v="TK Health/_x000a_Related Services"/>
  </r>
  <r>
    <x v="150"/>
    <s v="Personnel"/>
    <s v="E "/>
    <x v="0"/>
    <x v="3"/>
    <s v="PSES Elem Prog01Act25 S275"/>
    <x v="0"/>
    <s v="25"/>
    <m/>
    <n v="25"/>
    <s v="   "/>
    <n v="4.2000000000000003E-2"/>
    <n v="0.11119999999999999"/>
    <n v="0"/>
    <s v="Elementary Pupil Management"/>
  </r>
  <r>
    <x v="150"/>
    <s v="Personnel"/>
    <s v="E "/>
    <x v="0"/>
    <x v="15"/>
    <s v="PSES Elem Prog01Duty42 S275"/>
    <x v="0"/>
    <s v="42"/>
    <n v="42"/>
    <m/>
    <s v="   "/>
    <n v="0.5"/>
    <n v="0.11119999999999999"/>
    <n v="0"/>
    <s v="Elementary Counselor"/>
  </r>
  <r>
    <x v="150"/>
    <s v="Personnel"/>
    <s v="H "/>
    <x v="1"/>
    <x v="16"/>
    <s v="PSES High Prog01Duty42 S275"/>
    <x v="0"/>
    <s v="42"/>
    <n v="42"/>
    <m/>
    <s v="   "/>
    <n v="0.5"/>
    <n v="0.11119999999999999"/>
    <n v="0"/>
    <s v="High Counselor"/>
  </r>
  <r>
    <x v="150"/>
    <s v="Personnel"/>
    <s v="E "/>
    <x v="0"/>
    <x v="20"/>
    <s v="PSES Elem Prog21Duty45 S275"/>
    <x v="1"/>
    <s v="45"/>
    <n v="45"/>
    <m/>
    <s v="   "/>
    <n v="0.5"/>
    <n v="0.11119999999999999"/>
    <n v="5.6000000000000001E-2"/>
    <s v="Elementary Speech, Language Pathway/_x000a_Audio"/>
  </r>
  <r>
    <x v="150"/>
    <s v="Personnel"/>
    <s v="H "/>
    <x v="1"/>
    <x v="21"/>
    <s v="PSES High Prog21Duty45 S275"/>
    <x v="1"/>
    <s v="45"/>
    <n v="45"/>
    <m/>
    <s v="   "/>
    <n v="0.5"/>
    <n v="0.11119999999999999"/>
    <n v="5.6000000000000001E-2"/>
    <s v="High Speech, Language Pathway/_x000a_Audio"/>
  </r>
  <r>
    <x v="151"/>
    <s v="Personnel"/>
    <s v="H "/>
    <x v="1"/>
    <x v="5"/>
    <s v="PSES High Prog01Act25 S275"/>
    <x v="0"/>
    <s v="25"/>
    <m/>
    <n v="25"/>
    <s v="   "/>
    <n v="0.72699999999999998"/>
    <n v="0.1583"/>
    <n v="0"/>
    <s v="High Pupil Management"/>
  </r>
  <r>
    <x v="151"/>
    <s v="Personnel"/>
    <s v="E "/>
    <x v="0"/>
    <x v="7"/>
    <s v="PSES Elem Prog21Act26 S275"/>
    <x v="1"/>
    <s v="26"/>
    <m/>
    <n v="26"/>
    <s v="   "/>
    <n v="1.411"/>
    <n v="0.1583"/>
    <n v="0.223"/>
    <s v="Elementary Health/_x000a_Related Services"/>
  </r>
  <r>
    <x v="151"/>
    <s v="Personnel"/>
    <s v="H "/>
    <x v="1"/>
    <x v="29"/>
    <s v="PSES High Prog21Act26 S275"/>
    <x v="1"/>
    <s v="26"/>
    <m/>
    <n v="26"/>
    <s v="   "/>
    <n v="0.224"/>
    <n v="0.1583"/>
    <n v="3.5000000000000003E-2"/>
    <s v="High Health/_x000a_Related Services"/>
  </r>
  <r>
    <x v="151"/>
    <s v="Personnel"/>
    <s v="H "/>
    <x v="1"/>
    <x v="16"/>
    <s v="PSES High Prog01Duty42 S275"/>
    <x v="0"/>
    <s v="42"/>
    <n v="42"/>
    <m/>
    <s v="   "/>
    <n v="0.74"/>
    <n v="0.1583"/>
    <n v="0"/>
    <s v="High Counselor"/>
  </r>
  <r>
    <x v="151"/>
    <s v="Personnel"/>
    <s v="E "/>
    <x v="0"/>
    <x v="18"/>
    <s v="PSES Elem Prog21Duty43 S275"/>
    <x v="1"/>
    <s v="43"/>
    <n v="43"/>
    <m/>
    <s v="   "/>
    <n v="1"/>
    <n v="0.1583"/>
    <n v="0.158"/>
    <s v="Elementary Occupational Therapist"/>
  </r>
  <r>
    <x v="151"/>
    <s v="Personnel"/>
    <s v="E "/>
    <x v="0"/>
    <x v="20"/>
    <s v="PSES Elem Prog21Duty45 S275"/>
    <x v="1"/>
    <s v="45"/>
    <n v="45"/>
    <m/>
    <s v="   "/>
    <n v="0.4"/>
    <n v="0.1583"/>
    <n v="6.3E-2"/>
    <s v="Elementary Speech, Language Pathway/_x000a_Audio"/>
  </r>
  <r>
    <x v="151"/>
    <s v="Personnel"/>
    <s v="E "/>
    <x v="0"/>
    <x v="27"/>
    <s v="PSES Elem Prog01Duty47 S275"/>
    <x v="0"/>
    <s v="47"/>
    <n v="47"/>
    <m/>
    <s v="   "/>
    <n v="1"/>
    <n v="0.1583"/>
    <n v="0"/>
    <s v="Elementary Nurse"/>
  </r>
  <r>
    <x v="152"/>
    <s v="Personnel"/>
    <s v="H "/>
    <x v="1"/>
    <x v="9"/>
    <s v="PSES High Prog01Act26 S275"/>
    <x v="0"/>
    <s v="26"/>
    <m/>
    <n v="26"/>
    <s v="   "/>
    <n v="0.17599999999999999"/>
    <n v="0.16089999999999999"/>
    <n v="0"/>
    <s v="High Health/_x000a_Related Services"/>
  </r>
  <r>
    <x v="152"/>
    <s v="Personnel"/>
    <s v="E "/>
    <x v="0"/>
    <x v="15"/>
    <s v="PSES Elem Prog01Duty42 S275"/>
    <x v="0"/>
    <s v="42"/>
    <n v="42"/>
    <m/>
    <s v="   "/>
    <n v="0.26600000000000001"/>
    <n v="0.16089999999999999"/>
    <n v="0"/>
    <s v="Elementary Counselor"/>
  </r>
  <r>
    <x v="153"/>
    <s v="Personnel"/>
    <s v="H "/>
    <x v="1"/>
    <x v="5"/>
    <s v="PSES High Prog01Act25 S275"/>
    <x v="0"/>
    <s v="25"/>
    <m/>
    <n v="25"/>
    <s v="   "/>
    <n v="0.52800000000000002"/>
    <n v="9.8000000000000004E-2"/>
    <n v="0"/>
    <s v="High Pupil Management"/>
  </r>
  <r>
    <x v="153"/>
    <s v="Personnel"/>
    <s v="M "/>
    <x v="2"/>
    <x v="17"/>
    <s v="PSES Mid Prog01Duty42 S275"/>
    <x v="0"/>
    <s v="42"/>
    <n v="42"/>
    <m/>
    <s v="   "/>
    <n v="0.217"/>
    <n v="9.8000000000000004E-2"/>
    <n v="0"/>
    <s v="Middle Counselor"/>
  </r>
  <r>
    <x v="153"/>
    <s v="Personnel"/>
    <m/>
    <x v="0"/>
    <x v="66"/>
    <s v="PSES Elem Prog09Duty25 S275"/>
    <x v="3"/>
    <s v="25"/>
    <n v="91"/>
    <n v="25"/>
    <m/>
    <n v="0.187"/>
    <n v="9.8000000000000004E-2"/>
    <n v="0"/>
    <s v="TK Pupil Management"/>
  </r>
  <r>
    <x v="154"/>
    <s v="Personnel"/>
    <s v="H "/>
    <x v="1"/>
    <x v="53"/>
    <s v="PSES High Prog97Act25 S275"/>
    <x v="2"/>
    <s v="25"/>
    <m/>
    <n v="25"/>
    <s v="   "/>
    <n v="1.681"/>
    <n v="0.18729999999999999"/>
    <n v="0"/>
    <s v="High Pupil Management"/>
  </r>
  <r>
    <x v="154"/>
    <s v="Personnel"/>
    <s v="H "/>
    <x v="1"/>
    <x v="5"/>
    <s v="PSES High Prog01Act25 S275"/>
    <x v="0"/>
    <s v="25"/>
    <m/>
    <n v="25"/>
    <s v="   "/>
    <n v="6.0590000000000002"/>
    <n v="0.18729999999999999"/>
    <n v="0"/>
    <s v="High Pupil Management"/>
  </r>
  <r>
    <x v="154"/>
    <s v="Personnel"/>
    <s v="E "/>
    <x v="0"/>
    <x v="8"/>
    <s v="PSES Elem Prog01Act26 S275"/>
    <x v="0"/>
    <s v="26"/>
    <m/>
    <n v="26"/>
    <s v="   "/>
    <n v="0.63600000000000001"/>
    <n v="0.18729999999999999"/>
    <n v="0"/>
    <s v="Elementary Health/_x000a_Related Services"/>
  </r>
  <r>
    <x v="154"/>
    <s v="Personnel"/>
    <s v="H "/>
    <x v="1"/>
    <x v="29"/>
    <s v="PSES High Prog21Act26 S275"/>
    <x v="1"/>
    <s v="26"/>
    <m/>
    <n v="26"/>
    <s v="   "/>
    <n v="0.93300000000000005"/>
    <n v="0.18729999999999999"/>
    <n v="0.17499999999999999"/>
    <s v="High Health/_x000a_Related Services"/>
  </r>
  <r>
    <x v="154"/>
    <s v="Personnel"/>
    <s v="H "/>
    <x v="1"/>
    <x v="9"/>
    <s v="PSES High Prog01Act26 S275"/>
    <x v="0"/>
    <s v="26"/>
    <m/>
    <n v="26"/>
    <s v="   "/>
    <n v="2.7709999999999999"/>
    <n v="0.18729999999999999"/>
    <n v="0"/>
    <s v="High Health/_x000a_Related Services"/>
  </r>
  <r>
    <x v="154"/>
    <s v="Personnel"/>
    <s v="M "/>
    <x v="2"/>
    <x v="11"/>
    <s v="PSES Mid Prog01Act26 S275"/>
    <x v="0"/>
    <s v="26"/>
    <m/>
    <n v="26"/>
    <s v="   "/>
    <n v="0.63600000000000001"/>
    <n v="0.18729999999999999"/>
    <n v="0"/>
    <s v="Middle Health/_x000a_Related Services"/>
  </r>
  <r>
    <x v="154"/>
    <s v="Personnel"/>
    <s v="E "/>
    <x v="0"/>
    <x v="15"/>
    <s v="PSES Elem Prog01Duty42 S275"/>
    <x v="0"/>
    <s v="42"/>
    <n v="42"/>
    <m/>
    <s v="   "/>
    <n v="4.5"/>
    <n v="0.18729999999999999"/>
    <n v="0"/>
    <s v="Elementary Counselor"/>
  </r>
  <r>
    <x v="154"/>
    <s v="Personnel"/>
    <s v="H "/>
    <x v="1"/>
    <x v="16"/>
    <s v="PSES High Prog01Duty42 S275"/>
    <x v="0"/>
    <s v="42"/>
    <n v="42"/>
    <m/>
    <s v="   "/>
    <n v="4.55"/>
    <n v="0.18729999999999999"/>
    <n v="0"/>
    <s v="High Counselor"/>
  </r>
  <r>
    <x v="154"/>
    <s v="Personnel"/>
    <s v="M "/>
    <x v="2"/>
    <x v="17"/>
    <s v="PSES Mid Prog01Duty42 S275"/>
    <x v="0"/>
    <s v="42"/>
    <n v="42"/>
    <m/>
    <s v="   "/>
    <n v="1.6"/>
    <n v="0.18729999999999999"/>
    <n v="0"/>
    <s v="Middle Counselor"/>
  </r>
  <r>
    <x v="154"/>
    <s v="Personnel"/>
    <s v="E "/>
    <x v="0"/>
    <x v="18"/>
    <s v="PSES Elem Prog21Duty43 S275"/>
    <x v="1"/>
    <s v="43"/>
    <n v="43"/>
    <m/>
    <s v="   "/>
    <n v="0.51"/>
    <n v="0.18729999999999999"/>
    <n v="9.6000000000000002E-2"/>
    <s v="Elementary Occupational Therapist"/>
  </r>
  <r>
    <x v="154"/>
    <s v="Personnel"/>
    <s v="H "/>
    <x v="1"/>
    <x v="44"/>
    <s v="PSES High Prog01Duty44 S275"/>
    <x v="0"/>
    <s v="44"/>
    <n v="44"/>
    <m/>
    <s v="   "/>
    <n v="1"/>
    <n v="0.18729999999999999"/>
    <n v="0"/>
    <s v="High Social Worker"/>
  </r>
  <r>
    <x v="154"/>
    <s v="Personnel"/>
    <s v="E "/>
    <x v="0"/>
    <x v="20"/>
    <s v="PSES Elem Prog21Duty45 S275"/>
    <x v="1"/>
    <s v="45"/>
    <n v="45"/>
    <m/>
    <s v="   "/>
    <n v="2.65"/>
    <n v="0.18729999999999999"/>
    <n v="0.496"/>
    <s v="Elementary Speech, Language Pathway/_x000a_Audio"/>
  </r>
  <r>
    <x v="154"/>
    <s v="Personnel"/>
    <s v="H "/>
    <x v="1"/>
    <x v="21"/>
    <s v="PSES High Prog21Duty45 S275"/>
    <x v="1"/>
    <s v="45"/>
    <n v="45"/>
    <m/>
    <s v="   "/>
    <n v="0.75"/>
    <n v="0.18729999999999999"/>
    <n v="0.14000000000000001"/>
    <s v="High Speech, Language Pathway/_x000a_Audio"/>
  </r>
  <r>
    <x v="154"/>
    <s v="Personnel"/>
    <s v="M "/>
    <x v="2"/>
    <x v="28"/>
    <s v="PSES Mid Prog21Duty45 S275"/>
    <x v="1"/>
    <s v="45"/>
    <n v="45"/>
    <m/>
    <s v="   "/>
    <n v="0.02"/>
    <n v="0.18729999999999999"/>
    <n v="4.0000000000000001E-3"/>
    <s v="Middle Speech, Language Pathway/_x000a_Audio"/>
  </r>
  <r>
    <x v="154"/>
    <s v="Personnel"/>
    <s v="E "/>
    <x v="0"/>
    <x v="22"/>
    <s v="PSES Elem Prog21Duty46 S275"/>
    <x v="1"/>
    <s v="46"/>
    <n v="46"/>
    <m/>
    <s v="   "/>
    <n v="1.1259999999999999"/>
    <n v="0.18729999999999999"/>
    <n v="0.21099999999999999"/>
    <s v="Elementary Psychologist"/>
  </r>
  <r>
    <x v="154"/>
    <s v="Personnel"/>
    <s v="H "/>
    <x v="1"/>
    <x v="23"/>
    <s v="PSES High Prog21Duty46 S275"/>
    <x v="1"/>
    <s v="46"/>
    <n v="46"/>
    <m/>
    <s v="   "/>
    <n v="0.94799999999999995"/>
    <n v="0.18729999999999999"/>
    <n v="0.17799999999999999"/>
    <s v="High Psychologist"/>
  </r>
  <r>
    <x v="154"/>
    <s v="Personnel"/>
    <s v="M "/>
    <x v="2"/>
    <x v="24"/>
    <s v="PSES Mid Prog21Duty46 S275"/>
    <x v="1"/>
    <s v="46"/>
    <n v="46"/>
    <m/>
    <s v="   "/>
    <n v="3.5999999999999997E-2"/>
    <n v="0.18729999999999999"/>
    <n v="7.0000000000000001E-3"/>
    <s v="Middle Psychologist"/>
  </r>
  <r>
    <x v="154"/>
    <s v="Personnel"/>
    <s v="E "/>
    <x v="0"/>
    <x v="27"/>
    <s v="PSES Elem Prog01Duty47 S275"/>
    <x v="0"/>
    <s v="47"/>
    <n v="47"/>
    <m/>
    <s v="   "/>
    <n v="1"/>
    <n v="0.18729999999999999"/>
    <n v="0"/>
    <s v="Elementary Nurse"/>
  </r>
  <r>
    <x v="154"/>
    <s v="Personnel"/>
    <s v="H "/>
    <x v="1"/>
    <x v="25"/>
    <s v="PSES High Prog01Duty47 S275"/>
    <x v="0"/>
    <s v="47"/>
    <n v="47"/>
    <m/>
    <s v="   "/>
    <n v="2.5"/>
    <n v="0.18729999999999999"/>
    <n v="0"/>
    <s v="High Nurse"/>
  </r>
  <r>
    <x v="154"/>
    <s v="Personnel"/>
    <s v="M "/>
    <x v="2"/>
    <x v="34"/>
    <s v="PSES Mid Prog01Duty47 S275"/>
    <x v="0"/>
    <s v="47"/>
    <n v="47"/>
    <m/>
    <s v="   "/>
    <n v="0.5"/>
    <n v="0.18729999999999999"/>
    <n v="0"/>
    <s v="Middle Nurse"/>
  </r>
  <r>
    <x v="154"/>
    <s v="Personnel"/>
    <s v="E "/>
    <x v="0"/>
    <x v="35"/>
    <s v="PSES Elem Prog21Duty48 S275"/>
    <x v="1"/>
    <s v="48"/>
    <n v="48"/>
    <m/>
    <s v="   "/>
    <n v="0.42"/>
    <n v="0.18729999999999999"/>
    <n v="7.9000000000000001E-2"/>
    <s v="Elementary Physical Therapist"/>
  </r>
  <r>
    <x v="154"/>
    <s v="Personnel"/>
    <s v="H "/>
    <x v="1"/>
    <x v="36"/>
    <s v="PSES High Prog21Duty48 S275"/>
    <x v="1"/>
    <s v="48"/>
    <n v="48"/>
    <m/>
    <s v="   "/>
    <n v="0.08"/>
    <n v="0.18729999999999999"/>
    <n v="1.4999999999999999E-2"/>
    <s v="High Physical Therapist"/>
  </r>
  <r>
    <x v="154"/>
    <s v="Personnel"/>
    <s v="M "/>
    <x v="2"/>
    <x v="37"/>
    <s v="PSES Mid Prog21Duty48 S275"/>
    <x v="1"/>
    <s v="48"/>
    <n v="48"/>
    <m/>
    <s v="   "/>
    <n v="0.22"/>
    <n v="0.18729999999999999"/>
    <n v="4.1000000000000002E-2"/>
    <s v="Middle Physical Therapist"/>
  </r>
  <r>
    <x v="155"/>
    <s v="Personnel"/>
    <s v="H "/>
    <x v="1"/>
    <x v="5"/>
    <s v="PSES High Prog01Act25 S275"/>
    <x v="0"/>
    <s v="25"/>
    <m/>
    <n v="25"/>
    <s v="   "/>
    <n v="0.58699999999999997"/>
    <n v="0.19819999999999999"/>
    <n v="0"/>
    <s v="High Pupil Management"/>
  </r>
  <r>
    <x v="155"/>
    <s v="Personnel"/>
    <s v="H "/>
    <x v="1"/>
    <x v="9"/>
    <s v="PSES High Prog01Act26 S275"/>
    <x v="0"/>
    <s v="26"/>
    <m/>
    <n v="26"/>
    <s v="   "/>
    <n v="0.16400000000000001"/>
    <n v="0.19819999999999999"/>
    <n v="0"/>
    <s v="High Health/_x000a_Related Services"/>
  </r>
  <r>
    <x v="156"/>
    <s v="Personnel"/>
    <s v="E "/>
    <x v="0"/>
    <x v="67"/>
    <s v="PSES Elem Prog21Act25 S275"/>
    <x v="1"/>
    <s v="25"/>
    <m/>
    <n v="25"/>
    <s v="   "/>
    <n v="0.58499999999999996"/>
    <n v="0.2099"/>
    <n v="0.123"/>
    <s v="Elementary Pupil Management"/>
  </r>
  <r>
    <x v="156"/>
    <s v="Personnel"/>
    <s v="E "/>
    <x v="0"/>
    <x v="3"/>
    <s v="PSES Elem Prog01Act25 S275"/>
    <x v="0"/>
    <s v="25"/>
    <m/>
    <n v="25"/>
    <s v="   "/>
    <n v="0.112"/>
    <n v="0.2099"/>
    <n v="0"/>
    <s v="Elementary Pupil Management"/>
  </r>
  <r>
    <x v="156"/>
    <s v="Personnel"/>
    <s v="H "/>
    <x v="1"/>
    <x v="5"/>
    <s v="PSES High Prog01Act25 S275"/>
    <x v="0"/>
    <s v="25"/>
    <m/>
    <n v="25"/>
    <s v="   "/>
    <n v="5.8999999999999997E-2"/>
    <n v="0.2099"/>
    <n v="0"/>
    <s v="High Pupil Management"/>
  </r>
  <r>
    <x v="156"/>
    <s v="Personnel"/>
    <s v="E "/>
    <x v="0"/>
    <x v="15"/>
    <s v="PSES Elem Prog01Duty42 S275"/>
    <x v="0"/>
    <s v="42"/>
    <n v="42"/>
    <m/>
    <s v="   "/>
    <n v="1.34"/>
    <n v="0.2099"/>
    <n v="0"/>
    <s v="Elementary Counselor"/>
  </r>
  <r>
    <x v="156"/>
    <s v="Personnel"/>
    <s v="M "/>
    <x v="2"/>
    <x v="17"/>
    <s v="PSES Mid Prog01Duty42 S275"/>
    <x v="0"/>
    <s v="42"/>
    <n v="42"/>
    <m/>
    <s v="   "/>
    <n v="0.66"/>
    <n v="0.2099"/>
    <n v="0"/>
    <s v="Middle Counselor"/>
  </r>
  <r>
    <x v="157"/>
    <s v="Personnel"/>
    <s v="H "/>
    <x v="1"/>
    <x v="5"/>
    <s v="PSES High Prog01Act25 S275"/>
    <x v="0"/>
    <s v="25"/>
    <m/>
    <n v="25"/>
    <s v="   "/>
    <n v="2.0139999999999998"/>
    <n v="0.18140000000000001"/>
    <n v="0"/>
    <s v="High Pupil Management"/>
  </r>
  <r>
    <x v="157"/>
    <s v="Personnel"/>
    <s v="H "/>
    <x v="1"/>
    <x v="54"/>
    <s v="PSES High Prog01Act35 S275"/>
    <x v="0"/>
    <s v="35"/>
    <m/>
    <n v="35"/>
    <s v="   "/>
    <n v="2.0939999999999999"/>
    <n v="0.18140000000000001"/>
    <n v="0"/>
    <s v="High Pupil Safety"/>
  </r>
  <r>
    <x v="157"/>
    <s v="Personnel"/>
    <s v="E "/>
    <x v="0"/>
    <x v="15"/>
    <s v="PSES Elem Prog01Duty42 S275"/>
    <x v="0"/>
    <s v="42"/>
    <n v="42"/>
    <m/>
    <s v="   "/>
    <n v="3.6619999999999999"/>
    <n v="0.18140000000000001"/>
    <n v="0"/>
    <s v="Elementary Counselor"/>
  </r>
  <r>
    <x v="157"/>
    <s v="Personnel"/>
    <s v="H "/>
    <x v="1"/>
    <x v="16"/>
    <s v="PSES High Prog01Duty42 S275"/>
    <x v="0"/>
    <s v="42"/>
    <n v="42"/>
    <m/>
    <s v="   "/>
    <n v="2"/>
    <n v="0.18140000000000001"/>
    <n v="0"/>
    <s v="High Counselor"/>
  </r>
  <r>
    <x v="157"/>
    <s v="Personnel"/>
    <s v="M "/>
    <x v="2"/>
    <x v="17"/>
    <s v="PSES Mid Prog01Duty42 S275"/>
    <x v="0"/>
    <s v="42"/>
    <n v="42"/>
    <m/>
    <s v="   "/>
    <n v="1.3380000000000001"/>
    <n v="0.18140000000000001"/>
    <n v="0"/>
    <s v="Middle Counselor"/>
  </r>
  <r>
    <x v="157"/>
    <s v="Personnel"/>
    <s v="E "/>
    <x v="0"/>
    <x v="18"/>
    <s v="PSES Elem Prog21Duty43 S275"/>
    <x v="1"/>
    <s v="43"/>
    <n v="43"/>
    <m/>
    <s v="   "/>
    <n v="0.59599999999999997"/>
    <n v="0.18140000000000001"/>
    <n v="0.108"/>
    <s v="Elementary Occupational Therapist"/>
  </r>
  <r>
    <x v="157"/>
    <s v="Personnel"/>
    <s v="H "/>
    <x v="1"/>
    <x v="19"/>
    <s v="PSES High Prog21Duty43 S275"/>
    <x v="1"/>
    <s v="43"/>
    <n v="43"/>
    <m/>
    <s v="   "/>
    <n v="0.27800000000000002"/>
    <n v="0.18140000000000001"/>
    <n v="0.05"/>
    <s v="High Occupational Therapist"/>
  </r>
  <r>
    <x v="157"/>
    <s v="Personnel"/>
    <s v="M "/>
    <x v="2"/>
    <x v="31"/>
    <s v="PSES Mid Prog21Duty43 S275"/>
    <x v="1"/>
    <s v="43"/>
    <n v="43"/>
    <m/>
    <s v="   "/>
    <n v="6.2E-2"/>
    <n v="0.18140000000000001"/>
    <n v="1.0999999999999999E-2"/>
    <s v="Middle Occupational Therapist"/>
  </r>
  <r>
    <x v="157"/>
    <s v="Personnel"/>
    <s v="E "/>
    <x v="0"/>
    <x v="20"/>
    <s v="PSES Elem Prog21Duty45 S275"/>
    <x v="1"/>
    <s v="45"/>
    <n v="45"/>
    <m/>
    <s v="   "/>
    <n v="1.6E-2"/>
    <n v="0.18140000000000001"/>
    <n v="3.0000000000000001E-3"/>
    <s v="Elementary Speech, Language Pathway/_x000a_Audio"/>
  </r>
  <r>
    <x v="158"/>
    <s v="Personnel"/>
    <s v="H "/>
    <x v="1"/>
    <x v="5"/>
    <s v="PSES High Prog01Act25 S275"/>
    <x v="0"/>
    <s v="25"/>
    <m/>
    <n v="25"/>
    <s v="   "/>
    <n v="0.51"/>
    <n v="0.13730000000000001"/>
    <n v="0"/>
    <s v="High Pupil Management"/>
  </r>
  <r>
    <x v="158"/>
    <s v="Personnel"/>
    <s v="E "/>
    <x v="0"/>
    <x v="15"/>
    <s v="PSES Elem Prog01Duty42 S275"/>
    <x v="0"/>
    <s v="42"/>
    <n v="42"/>
    <m/>
    <s v="   "/>
    <n v="0.77800000000000002"/>
    <n v="0.13730000000000001"/>
    <n v="0"/>
    <s v="Elementary Counselor"/>
  </r>
  <r>
    <x v="158"/>
    <s v="Personnel"/>
    <s v="M "/>
    <x v="2"/>
    <x v="17"/>
    <s v="PSES Mid Prog01Duty42 S275"/>
    <x v="0"/>
    <s v="42"/>
    <n v="42"/>
    <m/>
    <s v="   "/>
    <n v="0.222"/>
    <n v="0.13730000000000001"/>
    <n v="0"/>
    <s v="Middle Counselor"/>
  </r>
  <r>
    <x v="158"/>
    <s v="Personnel"/>
    <s v="E "/>
    <x v="0"/>
    <x v="27"/>
    <s v="PSES Elem Prog01Duty47 S275"/>
    <x v="0"/>
    <s v="47"/>
    <n v="47"/>
    <m/>
    <s v="   "/>
    <n v="0.312"/>
    <n v="0.13730000000000001"/>
    <n v="0"/>
    <s v="Elementary Nurse"/>
  </r>
  <r>
    <x v="158"/>
    <s v="Personnel"/>
    <s v="M "/>
    <x v="2"/>
    <x v="34"/>
    <s v="PSES Mid Prog01Duty47 S275"/>
    <x v="0"/>
    <s v="47"/>
    <n v="47"/>
    <m/>
    <s v="   "/>
    <n v="8.7999999999999995E-2"/>
    <n v="0.13730000000000001"/>
    <n v="0"/>
    <s v="Middle Nurse"/>
  </r>
  <r>
    <x v="159"/>
    <s v="Personnel"/>
    <s v="H "/>
    <x v="1"/>
    <x v="5"/>
    <s v="PSES High Prog01Act25 S275"/>
    <x v="0"/>
    <s v="25"/>
    <m/>
    <n v="25"/>
    <s v="   "/>
    <n v="0.20200000000000001"/>
    <n v="0.1547"/>
    <n v="0"/>
    <s v="High Pupil Management"/>
  </r>
  <r>
    <x v="159"/>
    <s v="Personnel"/>
    <s v="H "/>
    <x v="1"/>
    <x v="9"/>
    <s v="PSES High Prog01Act26 S275"/>
    <x v="0"/>
    <s v="26"/>
    <m/>
    <n v="26"/>
    <s v="   "/>
    <n v="0.74"/>
    <n v="0.1547"/>
    <n v="0"/>
    <s v="High Health/_x000a_Related Services"/>
  </r>
  <r>
    <x v="159"/>
    <s v="Personnel"/>
    <s v="E "/>
    <x v="0"/>
    <x v="15"/>
    <s v="PSES Elem Prog01Duty42 S275"/>
    <x v="0"/>
    <s v="42"/>
    <n v="42"/>
    <m/>
    <s v="   "/>
    <n v="0.39500000000000002"/>
    <n v="0.1547"/>
    <n v="0"/>
    <s v="Elementary Counselor"/>
  </r>
  <r>
    <x v="159"/>
    <s v="Personnel"/>
    <s v="H "/>
    <x v="1"/>
    <x v="16"/>
    <s v="PSES High Prog01Duty42 S275"/>
    <x v="0"/>
    <s v="42"/>
    <n v="42"/>
    <m/>
    <s v="   "/>
    <n v="0.03"/>
    <n v="0.1547"/>
    <n v="0"/>
    <s v="High Counselor"/>
  </r>
  <r>
    <x v="159"/>
    <s v="Personnel"/>
    <s v="M "/>
    <x v="2"/>
    <x v="17"/>
    <s v="PSES Mid Prog01Duty42 S275"/>
    <x v="0"/>
    <s v="42"/>
    <n v="42"/>
    <m/>
    <s v="   "/>
    <n v="7.4999999999999997E-2"/>
    <n v="0.1547"/>
    <n v="0"/>
    <s v="Middle Counselor"/>
  </r>
  <r>
    <x v="160"/>
    <s v="Personnel"/>
    <s v="H "/>
    <x v="1"/>
    <x v="5"/>
    <s v="PSES High Prog01Act25 S275"/>
    <x v="0"/>
    <s v="25"/>
    <m/>
    <n v="25"/>
    <s v="   "/>
    <n v="0.71599999999999997"/>
    <n v="0.1875"/>
    <n v="0"/>
    <s v="High Pupil Management"/>
  </r>
  <r>
    <x v="160"/>
    <s v="Personnel"/>
    <s v="H "/>
    <x v="1"/>
    <x v="9"/>
    <s v="PSES High Prog01Act26 S275"/>
    <x v="0"/>
    <s v="26"/>
    <m/>
    <n v="26"/>
    <s v="   "/>
    <n v="0.71499999999999997"/>
    <n v="0.1875"/>
    <n v="0"/>
    <s v="High Health/_x000a_Related Services"/>
  </r>
  <r>
    <x v="160"/>
    <s v="Personnel"/>
    <s v="E "/>
    <x v="0"/>
    <x v="15"/>
    <s v="PSES Elem Prog01Duty42 S275"/>
    <x v="0"/>
    <s v="42"/>
    <n v="42"/>
    <m/>
    <s v="   "/>
    <n v="2.3330000000000002"/>
    <n v="0.1875"/>
    <n v="0"/>
    <s v="Elementary Counselor"/>
  </r>
  <r>
    <x v="160"/>
    <s v="Personnel"/>
    <s v="H "/>
    <x v="1"/>
    <x v="77"/>
    <s v="PSES High Prog21Duty42 S275"/>
    <x v="1"/>
    <s v="42"/>
    <n v="42"/>
    <m/>
    <s v="   "/>
    <n v="1"/>
    <n v="0.1875"/>
    <n v="0.188"/>
    <s v="High Counselor"/>
  </r>
  <r>
    <x v="160"/>
    <s v="Personnel"/>
    <s v="H "/>
    <x v="1"/>
    <x v="16"/>
    <s v="PSES High Prog01Duty42 S275"/>
    <x v="0"/>
    <s v="42"/>
    <n v="42"/>
    <m/>
    <s v="   "/>
    <n v="1.5"/>
    <n v="0.1875"/>
    <n v="0"/>
    <s v="High Counselor"/>
  </r>
  <r>
    <x v="160"/>
    <s v="Personnel"/>
    <s v="M "/>
    <x v="2"/>
    <x v="17"/>
    <s v="PSES Mid Prog01Duty42 S275"/>
    <x v="0"/>
    <s v="42"/>
    <n v="42"/>
    <m/>
    <s v="   "/>
    <n v="0.66700000000000004"/>
    <n v="0.1875"/>
    <n v="0"/>
    <s v="Middle Counselor"/>
  </r>
  <r>
    <x v="160"/>
    <s v="Personnel"/>
    <s v="E "/>
    <x v="0"/>
    <x v="20"/>
    <s v="PSES Elem Prog21Duty45 S275"/>
    <x v="1"/>
    <s v="45"/>
    <n v="45"/>
    <m/>
    <s v="   "/>
    <n v="2.8"/>
    <n v="0.1875"/>
    <n v="0.52500000000000002"/>
    <s v="Elementary Speech, Language Pathway/_x000a_Audio"/>
  </r>
  <r>
    <x v="160"/>
    <s v="Personnel"/>
    <s v="E "/>
    <x v="0"/>
    <x v="22"/>
    <s v="PSES Elem Prog21Duty46 S275"/>
    <x v="1"/>
    <s v="46"/>
    <n v="46"/>
    <m/>
    <s v="   "/>
    <n v="1"/>
    <n v="0.1875"/>
    <n v="0.188"/>
    <s v="Elementary Psychologist"/>
  </r>
  <r>
    <x v="161"/>
    <s v="Personnel"/>
    <s v="E "/>
    <x v="0"/>
    <x v="3"/>
    <s v="PSES Elem Prog01Act25 S275"/>
    <x v="0"/>
    <s v="25"/>
    <m/>
    <n v="25"/>
    <s v="   "/>
    <n v="1.0620000000000001"/>
    <n v="0.15989999999999999"/>
    <n v="0"/>
    <s v="Elementary Pupil Management"/>
  </r>
  <r>
    <x v="161"/>
    <s v="Personnel"/>
    <s v="H "/>
    <x v="1"/>
    <x v="5"/>
    <s v="PSES High Prog01Act25 S275"/>
    <x v="0"/>
    <s v="25"/>
    <m/>
    <n v="25"/>
    <s v="   "/>
    <n v="1.571"/>
    <n v="0.15989999999999999"/>
    <n v="0"/>
    <s v="High Pupil Management"/>
  </r>
  <r>
    <x v="161"/>
    <s v="Personnel"/>
    <s v="M "/>
    <x v="2"/>
    <x v="6"/>
    <s v="PSES Mid Prog01Act25 S275"/>
    <x v="0"/>
    <s v="25"/>
    <m/>
    <n v="25"/>
    <s v="   "/>
    <n v="0.45"/>
    <n v="0.15989999999999999"/>
    <n v="0"/>
    <s v="Middle Pupil Management"/>
  </r>
  <r>
    <x v="161"/>
    <s v="Personnel"/>
    <s v="H "/>
    <x v="1"/>
    <x v="9"/>
    <s v="PSES High Prog01Act26 S275"/>
    <x v="0"/>
    <s v="26"/>
    <m/>
    <n v="26"/>
    <s v="   "/>
    <n v="0.67600000000000005"/>
    <n v="0.15989999999999999"/>
    <n v="0"/>
    <s v="High Health/_x000a_Related Services"/>
  </r>
  <r>
    <x v="161"/>
    <s v="Personnel"/>
    <s v="E "/>
    <x v="0"/>
    <x v="15"/>
    <s v="PSES Elem Prog01Duty42 S275"/>
    <x v="0"/>
    <s v="42"/>
    <n v="42"/>
    <m/>
    <s v="   "/>
    <n v="1"/>
    <n v="0.15989999999999999"/>
    <n v="0"/>
    <s v="Elementary Counselor"/>
  </r>
  <r>
    <x v="161"/>
    <s v="Personnel"/>
    <s v="H "/>
    <x v="1"/>
    <x v="16"/>
    <s v="PSES High Prog01Duty42 S275"/>
    <x v="0"/>
    <s v="42"/>
    <n v="42"/>
    <m/>
    <s v="   "/>
    <n v="2"/>
    <n v="0.15989999999999999"/>
    <n v="0"/>
    <s v="High Counselor"/>
  </r>
  <r>
    <x v="161"/>
    <s v="Personnel"/>
    <s v="M "/>
    <x v="2"/>
    <x v="17"/>
    <s v="PSES Mid Prog01Duty42 S275"/>
    <x v="0"/>
    <s v="42"/>
    <n v="42"/>
    <m/>
    <s v="   "/>
    <n v="0.5"/>
    <n v="0.15989999999999999"/>
    <n v="0"/>
    <s v="Middle Counselor"/>
  </r>
  <r>
    <x v="161"/>
    <s v="Personnel"/>
    <s v="E "/>
    <x v="0"/>
    <x v="22"/>
    <s v="PSES Elem Prog21Duty46 S275"/>
    <x v="1"/>
    <s v="46"/>
    <n v="46"/>
    <m/>
    <s v="   "/>
    <n v="0.5"/>
    <n v="0.15989999999999999"/>
    <n v="0.08"/>
    <s v="Elementary Psychologist"/>
  </r>
  <r>
    <x v="161"/>
    <s v="Personnel"/>
    <s v="H "/>
    <x v="1"/>
    <x v="23"/>
    <s v="PSES High Prog21Duty46 S275"/>
    <x v="1"/>
    <s v="46"/>
    <n v="46"/>
    <m/>
    <s v="   "/>
    <n v="0.25"/>
    <n v="0.15989999999999999"/>
    <n v="0.04"/>
    <s v="High Psychologist"/>
  </r>
  <r>
    <x v="161"/>
    <s v="Personnel"/>
    <s v="M "/>
    <x v="2"/>
    <x v="24"/>
    <s v="PSES Mid Prog21Duty46 S275"/>
    <x v="1"/>
    <s v="46"/>
    <n v="46"/>
    <m/>
    <s v="   "/>
    <n v="0.25"/>
    <n v="0.15989999999999999"/>
    <n v="0.04"/>
    <s v="Middle Psychologist"/>
  </r>
  <r>
    <x v="162"/>
    <s v="Personnel"/>
    <s v="E "/>
    <x v="0"/>
    <x v="7"/>
    <s v="PSES Elem Prog21Act26 S275"/>
    <x v="1"/>
    <s v="26"/>
    <m/>
    <n v="26"/>
    <s v="   "/>
    <n v="0.54800000000000004"/>
    <n v="0.21379999999999999"/>
    <n v="0.11700000000000001"/>
    <s v="Elementary Health/_x000a_Related Services"/>
  </r>
  <r>
    <x v="162"/>
    <s v="Personnel"/>
    <s v="E "/>
    <x v="0"/>
    <x v="8"/>
    <s v="PSES Elem Prog01Act26 S275"/>
    <x v="0"/>
    <s v="26"/>
    <m/>
    <n v="26"/>
    <s v="   "/>
    <n v="0.83799999999999997"/>
    <n v="0.21379999999999999"/>
    <n v="0"/>
    <s v="Elementary Health/_x000a_Related Services"/>
  </r>
  <r>
    <x v="162"/>
    <s v="Personnel"/>
    <s v="H "/>
    <x v="1"/>
    <x v="29"/>
    <s v="PSES High Prog21Act26 S275"/>
    <x v="1"/>
    <s v="26"/>
    <m/>
    <n v="26"/>
    <s v="   "/>
    <n v="6.9000000000000006E-2"/>
    <n v="0.21379999999999999"/>
    <n v="1.4999999999999999E-2"/>
    <s v="High Health/_x000a_Related Services"/>
  </r>
  <r>
    <x v="162"/>
    <s v="Personnel"/>
    <s v="H "/>
    <x v="1"/>
    <x v="9"/>
    <s v="PSES High Prog01Act26 S275"/>
    <x v="0"/>
    <s v="26"/>
    <m/>
    <n v="26"/>
    <s v="   "/>
    <n v="5.8999999999999997E-2"/>
    <n v="0.21379999999999999"/>
    <n v="0"/>
    <s v="High Health/_x000a_Related Services"/>
  </r>
  <r>
    <x v="162"/>
    <s v="Personnel"/>
    <s v="M "/>
    <x v="2"/>
    <x v="10"/>
    <s v="PSES Mid Prog21Act26 S275"/>
    <x v="1"/>
    <s v="26"/>
    <m/>
    <n v="26"/>
    <s v="   "/>
    <n v="6.9000000000000006E-2"/>
    <n v="0.21379999999999999"/>
    <n v="1.4999999999999999E-2"/>
    <s v="Middle Health/_x000a_Related Services"/>
  </r>
  <r>
    <x v="162"/>
    <s v="Personnel"/>
    <s v="M "/>
    <x v="2"/>
    <x v="11"/>
    <s v="PSES Mid Prog01Act26 S275"/>
    <x v="0"/>
    <s v="26"/>
    <m/>
    <n v="26"/>
    <s v="   "/>
    <n v="0.14599999999999999"/>
    <n v="0.21379999999999999"/>
    <n v="0"/>
    <s v="Middle Health/_x000a_Related Services"/>
  </r>
  <r>
    <x v="162"/>
    <s v="Personnel"/>
    <s v="E "/>
    <x v="0"/>
    <x v="15"/>
    <s v="PSES Elem Prog01Duty42 S275"/>
    <x v="0"/>
    <s v="42"/>
    <n v="42"/>
    <m/>
    <s v="   "/>
    <n v="1"/>
    <n v="0.21379999999999999"/>
    <n v="0"/>
    <s v="Elementary Counselor"/>
  </r>
  <r>
    <x v="162"/>
    <s v="Personnel"/>
    <s v="H "/>
    <x v="1"/>
    <x v="16"/>
    <s v="PSES High Prog01Duty42 S275"/>
    <x v="0"/>
    <s v="42"/>
    <n v="42"/>
    <m/>
    <s v="   "/>
    <n v="1"/>
    <n v="0.21379999999999999"/>
    <n v="0"/>
    <s v="High Counselor"/>
  </r>
  <r>
    <x v="162"/>
    <s v="Personnel"/>
    <s v="M "/>
    <x v="2"/>
    <x v="17"/>
    <s v="PSES Mid Prog01Duty42 S275"/>
    <x v="0"/>
    <s v="42"/>
    <n v="42"/>
    <m/>
    <s v="   "/>
    <n v="0.75"/>
    <n v="0.21379999999999999"/>
    <n v="0"/>
    <s v="Middle Counselor"/>
  </r>
  <r>
    <x v="162"/>
    <s v="Personnel"/>
    <s v="H "/>
    <x v="1"/>
    <x v="44"/>
    <s v="PSES High Prog01Duty44 S275"/>
    <x v="0"/>
    <s v="44"/>
    <n v="44"/>
    <m/>
    <s v="   "/>
    <n v="0.16"/>
    <n v="0.21379999999999999"/>
    <n v="0"/>
    <s v="High Social Worker"/>
  </r>
  <r>
    <x v="162"/>
    <s v="Personnel"/>
    <s v="E "/>
    <x v="0"/>
    <x v="22"/>
    <s v="PSES Elem Prog21Duty46 S275"/>
    <x v="1"/>
    <s v="46"/>
    <n v="46"/>
    <m/>
    <s v="   "/>
    <n v="0.55000000000000004"/>
    <n v="0.21379999999999999"/>
    <n v="0.11799999999999999"/>
    <s v="Elementary Psychologist"/>
  </r>
  <r>
    <x v="162"/>
    <s v="Personnel"/>
    <s v="H "/>
    <x v="1"/>
    <x v="23"/>
    <s v="PSES High Prog21Duty46 S275"/>
    <x v="1"/>
    <s v="46"/>
    <n v="46"/>
    <m/>
    <s v="   "/>
    <n v="0.3"/>
    <n v="0.21379999999999999"/>
    <n v="6.4000000000000001E-2"/>
    <s v="High Psychologist"/>
  </r>
  <r>
    <x v="162"/>
    <s v="Personnel"/>
    <s v="M "/>
    <x v="2"/>
    <x v="24"/>
    <s v="PSES Mid Prog21Duty46 S275"/>
    <x v="1"/>
    <s v="46"/>
    <n v="46"/>
    <m/>
    <s v="   "/>
    <n v="0.15"/>
    <n v="0.21379999999999999"/>
    <n v="3.2000000000000001E-2"/>
    <s v="Middle Psychologist"/>
  </r>
  <r>
    <x v="163"/>
    <s v="Personnel"/>
    <s v="H "/>
    <x v="1"/>
    <x v="16"/>
    <s v="PSES High Prog01Duty42 S275"/>
    <x v="0"/>
    <s v="42"/>
    <n v="42"/>
    <m/>
    <s v="   "/>
    <n v="0.3"/>
    <n v="0.25440000000000002"/>
    <n v="0"/>
    <s v="High Counselor"/>
  </r>
  <r>
    <x v="163"/>
    <s v="Personnel"/>
    <s v="M "/>
    <x v="2"/>
    <x v="17"/>
    <s v="PSES Mid Prog01Duty42 S275"/>
    <x v="0"/>
    <s v="42"/>
    <n v="42"/>
    <m/>
    <s v="   "/>
    <n v="0.15"/>
    <n v="0.25440000000000002"/>
    <n v="0"/>
    <s v="Middle Counselor"/>
  </r>
  <r>
    <x v="163"/>
    <s v="Personnel"/>
    <s v="E "/>
    <x v="0"/>
    <x v="22"/>
    <s v="PSES Elem Prog21Duty46 S275"/>
    <x v="1"/>
    <s v="46"/>
    <n v="46"/>
    <m/>
    <s v="   "/>
    <n v="0.45"/>
    <n v="0.25440000000000002"/>
    <n v="0.114"/>
    <s v="Elementary Psychologist"/>
  </r>
  <r>
    <x v="163"/>
    <s v="Personnel"/>
    <s v="H "/>
    <x v="1"/>
    <x v="23"/>
    <s v="PSES High Prog21Duty46 S275"/>
    <x v="1"/>
    <s v="46"/>
    <n v="46"/>
    <m/>
    <s v="   "/>
    <n v="0.22500000000000001"/>
    <n v="0.25440000000000002"/>
    <n v="5.7000000000000002E-2"/>
    <s v="High Psychologist"/>
  </r>
  <r>
    <x v="163"/>
    <s v="Personnel"/>
    <s v="M "/>
    <x v="2"/>
    <x v="24"/>
    <s v="PSES Mid Prog21Duty46 S275"/>
    <x v="1"/>
    <s v="46"/>
    <n v="46"/>
    <m/>
    <s v="   "/>
    <n v="0.22500000000000001"/>
    <n v="0.25440000000000002"/>
    <n v="5.7000000000000002E-2"/>
    <s v="Middle Psychologist"/>
  </r>
  <r>
    <x v="163"/>
    <s v="Personnel"/>
    <s v="E "/>
    <x v="0"/>
    <x v="27"/>
    <s v="PSES Elem Prog01Duty47 S275"/>
    <x v="0"/>
    <s v="47"/>
    <n v="47"/>
    <m/>
    <s v="   "/>
    <n v="0.182"/>
    <n v="0.25440000000000002"/>
    <n v="0"/>
    <s v="Elementary Nurse"/>
  </r>
  <r>
    <x v="163"/>
    <s v="Personnel"/>
    <s v="H "/>
    <x v="1"/>
    <x v="25"/>
    <s v="PSES High Prog01Duty47 S275"/>
    <x v="0"/>
    <s v="47"/>
    <n v="47"/>
    <m/>
    <s v="   "/>
    <n v="0.128"/>
    <n v="0.25440000000000002"/>
    <n v="0"/>
    <s v="High Nurse"/>
  </r>
  <r>
    <x v="163"/>
    <s v="Personnel"/>
    <s v="M "/>
    <x v="2"/>
    <x v="34"/>
    <s v="PSES Mid Prog01Duty47 S275"/>
    <x v="0"/>
    <s v="47"/>
    <n v="47"/>
    <m/>
    <s v="   "/>
    <n v="6.4000000000000001E-2"/>
    <n v="0.25440000000000002"/>
    <n v="0"/>
    <s v="Middle Nurse"/>
  </r>
  <r>
    <x v="163"/>
    <s v="Personnel"/>
    <s v="T"/>
    <x v="0"/>
    <x v="85"/>
    <s v="PSES Elem Prog09Duty47 S275"/>
    <x v="3"/>
    <s v="47"/>
    <n v="47"/>
    <n v="26"/>
    <m/>
    <n v="2.5999999999999999E-2"/>
    <n v="0.25440000000000002"/>
    <n v="0"/>
    <s v="TK Nurse"/>
  </r>
  <r>
    <x v="164"/>
    <s v="Personnel"/>
    <s v="H "/>
    <x v="1"/>
    <x v="1"/>
    <s v="PSES High Prog01Duty96 S275"/>
    <x v="0"/>
    <s v="24"/>
    <n v="96"/>
    <n v="24"/>
    <s v="   "/>
    <n v="1.2490000000000001"/>
    <n v="0.1913"/>
    <n v="0"/>
    <s v="High Family Engagement Coordinator"/>
  </r>
  <r>
    <x v="164"/>
    <s v="Personnel"/>
    <s v="H "/>
    <x v="1"/>
    <x v="9"/>
    <s v="PSES High Prog01Act26 S275"/>
    <x v="0"/>
    <s v="26"/>
    <m/>
    <n v="26"/>
    <s v="   "/>
    <n v="0.57199999999999995"/>
    <n v="0.1913"/>
    <n v="0"/>
    <s v="High Health/_x000a_Related Services"/>
  </r>
  <r>
    <x v="164"/>
    <s v="Personnel"/>
    <s v="E "/>
    <x v="0"/>
    <x v="15"/>
    <s v="PSES Elem Prog01Duty42 S275"/>
    <x v="0"/>
    <s v="42"/>
    <n v="42"/>
    <m/>
    <s v="   "/>
    <n v="0.9"/>
    <n v="0.1913"/>
    <n v="0"/>
    <s v="Elementary Counselor"/>
  </r>
  <r>
    <x v="164"/>
    <s v="Personnel"/>
    <s v="H "/>
    <x v="1"/>
    <x v="16"/>
    <s v="PSES High Prog01Duty42 S275"/>
    <x v="0"/>
    <s v="42"/>
    <n v="42"/>
    <m/>
    <s v="   "/>
    <n v="0.5"/>
    <n v="0.1913"/>
    <n v="0"/>
    <s v="High Counselor"/>
  </r>
  <r>
    <x v="164"/>
    <s v="Personnel"/>
    <s v="M "/>
    <x v="2"/>
    <x v="17"/>
    <s v="PSES Mid Prog01Duty42 S275"/>
    <x v="0"/>
    <s v="42"/>
    <n v="42"/>
    <m/>
    <s v="   "/>
    <n v="0.5"/>
    <n v="0.1913"/>
    <n v="0"/>
    <s v="Middle Counselor"/>
  </r>
  <r>
    <x v="165"/>
    <s v="Personnel"/>
    <s v="E "/>
    <x v="0"/>
    <x v="7"/>
    <s v="PSES Elem Prog21Act26 S275"/>
    <x v="1"/>
    <s v="26"/>
    <m/>
    <n v="26"/>
    <s v="   "/>
    <n v="0.59599999999999997"/>
    <n v="0.155"/>
    <n v="9.1999999999999998E-2"/>
    <s v="Elementary Health/_x000a_Related Services"/>
  </r>
  <r>
    <x v="165"/>
    <s v="Personnel"/>
    <s v="E "/>
    <x v="0"/>
    <x v="8"/>
    <s v="PSES Elem Prog01Act26 S275"/>
    <x v="0"/>
    <s v="26"/>
    <m/>
    <n v="26"/>
    <s v="   "/>
    <n v="0.40899999999999997"/>
    <n v="0.155"/>
    <n v="0"/>
    <s v="Elementary Health/_x000a_Related Services"/>
  </r>
  <r>
    <x v="165"/>
    <s v="Personnel"/>
    <s v="H "/>
    <x v="1"/>
    <x v="29"/>
    <s v="PSES High Prog21Act26 S275"/>
    <x v="1"/>
    <s v="26"/>
    <m/>
    <n v="26"/>
    <s v="   "/>
    <n v="0.35799999999999998"/>
    <n v="0.155"/>
    <n v="5.5E-2"/>
    <s v="High Health/_x000a_Related Services"/>
  </r>
  <r>
    <x v="165"/>
    <s v="Personnel"/>
    <s v="H "/>
    <x v="1"/>
    <x v="9"/>
    <s v="PSES High Prog01Act26 S275"/>
    <x v="0"/>
    <s v="26"/>
    <m/>
    <n v="26"/>
    <s v="   "/>
    <n v="0.29899999999999999"/>
    <n v="0.155"/>
    <n v="0"/>
    <s v="High Health/_x000a_Related Services"/>
  </r>
  <r>
    <x v="165"/>
    <s v="Personnel"/>
    <s v="M "/>
    <x v="2"/>
    <x v="10"/>
    <s v="PSES Mid Prog21Act26 S275"/>
    <x v="1"/>
    <s v="26"/>
    <m/>
    <n v="26"/>
    <s v="   "/>
    <n v="0.182"/>
    <n v="0.155"/>
    <n v="2.8000000000000001E-2"/>
    <s v="Middle Health/_x000a_Related Services"/>
  </r>
  <r>
    <x v="165"/>
    <s v="Personnel"/>
    <s v="M "/>
    <x v="2"/>
    <x v="11"/>
    <s v="PSES Mid Prog01Act26 S275"/>
    <x v="0"/>
    <s v="26"/>
    <m/>
    <n v="26"/>
    <s v="   "/>
    <n v="0.219"/>
    <n v="0.155"/>
    <n v="0"/>
    <s v="Middle Health/_x000a_Related Services"/>
  </r>
  <r>
    <x v="165"/>
    <s v="Personnel"/>
    <s v="E "/>
    <x v="0"/>
    <x v="15"/>
    <s v="PSES Elem Prog01Duty42 S275"/>
    <x v="0"/>
    <s v="42"/>
    <n v="42"/>
    <m/>
    <s v="   "/>
    <n v="0.96399999999999997"/>
    <n v="0.155"/>
    <n v="0"/>
    <s v="Elementary Counselor"/>
  </r>
  <r>
    <x v="165"/>
    <s v="Personnel"/>
    <s v="H "/>
    <x v="1"/>
    <x v="16"/>
    <s v="PSES High Prog01Duty42 S275"/>
    <x v="0"/>
    <s v="42"/>
    <n v="42"/>
    <m/>
    <s v="   "/>
    <n v="0.95399999999999996"/>
    <n v="0.155"/>
    <n v="0"/>
    <s v="High Counselor"/>
  </r>
  <r>
    <x v="165"/>
    <s v="Personnel"/>
    <s v="M "/>
    <x v="2"/>
    <x v="17"/>
    <s v="PSES Mid Prog01Duty42 S275"/>
    <x v="0"/>
    <s v="42"/>
    <n v="42"/>
    <m/>
    <s v="   "/>
    <n v="0.95399999999999996"/>
    <n v="0.155"/>
    <n v="0"/>
    <s v="Middle Counselor"/>
  </r>
  <r>
    <x v="166"/>
    <s v="Personnel"/>
    <s v="H "/>
    <x v="1"/>
    <x v="29"/>
    <s v="PSES High Prog21Act26 S275"/>
    <x v="1"/>
    <s v="26"/>
    <m/>
    <n v="26"/>
    <s v="   "/>
    <n v="0.438"/>
    <n v="0.20669999999999999"/>
    <n v="9.0999999999999998E-2"/>
    <s v="High Health/_x000a_Related Services"/>
  </r>
  <r>
    <x v="166"/>
    <s v="Personnel"/>
    <s v="H "/>
    <x v="1"/>
    <x v="9"/>
    <s v="PSES High Prog01Act26 S275"/>
    <x v="0"/>
    <s v="26"/>
    <m/>
    <n v="26"/>
    <s v="   "/>
    <n v="0.68600000000000005"/>
    <n v="0.20669999999999999"/>
    <n v="0"/>
    <s v="High Health/_x000a_Related Services"/>
  </r>
  <r>
    <x v="166"/>
    <s v="Personnel"/>
    <s v="E "/>
    <x v="0"/>
    <x v="15"/>
    <s v="PSES Elem Prog01Duty42 S275"/>
    <x v="0"/>
    <s v="42"/>
    <n v="42"/>
    <m/>
    <s v="   "/>
    <n v="0.85"/>
    <n v="0.20669999999999999"/>
    <n v="0"/>
    <s v="Elementary Counselor"/>
  </r>
  <r>
    <x v="166"/>
    <s v="Personnel"/>
    <s v="H "/>
    <x v="1"/>
    <x v="16"/>
    <s v="PSES High Prog01Duty42 S275"/>
    <x v="0"/>
    <s v="42"/>
    <n v="42"/>
    <m/>
    <s v="   "/>
    <n v="0.7"/>
    <n v="0.20669999999999999"/>
    <n v="0"/>
    <s v="High Counselor"/>
  </r>
  <r>
    <x v="166"/>
    <s v="Personnel"/>
    <s v="M "/>
    <x v="2"/>
    <x v="17"/>
    <s v="PSES Mid Prog01Duty42 S275"/>
    <x v="0"/>
    <s v="42"/>
    <n v="42"/>
    <m/>
    <s v="   "/>
    <n v="0.3"/>
    <n v="0.20669999999999999"/>
    <n v="0"/>
    <s v="Middle Counselor"/>
  </r>
  <r>
    <x v="166"/>
    <s v="Personnel"/>
    <s v="E "/>
    <x v="0"/>
    <x v="22"/>
    <s v="PSES Elem Prog21Duty46 S275"/>
    <x v="1"/>
    <s v="46"/>
    <n v="46"/>
    <m/>
    <s v="   "/>
    <n v="0.27"/>
    <n v="0.20669999999999999"/>
    <n v="5.6000000000000001E-2"/>
    <s v="Elementary Psychologist"/>
  </r>
  <r>
    <x v="166"/>
    <s v="Personnel"/>
    <s v="H "/>
    <x v="1"/>
    <x v="23"/>
    <s v="PSES High Prog21Duty46 S275"/>
    <x v="1"/>
    <s v="46"/>
    <n v="46"/>
    <m/>
    <s v="   "/>
    <n v="0.16200000000000001"/>
    <n v="0.20669999999999999"/>
    <n v="3.3000000000000002E-2"/>
    <s v="High Psychologist"/>
  </r>
  <r>
    <x v="166"/>
    <s v="Personnel"/>
    <s v="M "/>
    <x v="2"/>
    <x v="24"/>
    <s v="PSES Mid Prog21Duty46 S275"/>
    <x v="1"/>
    <s v="46"/>
    <n v="46"/>
    <m/>
    <s v="   "/>
    <n v="0.108"/>
    <n v="0.20669999999999999"/>
    <n v="2.1999999999999999E-2"/>
    <s v="Middle Psychologist"/>
  </r>
  <r>
    <x v="167"/>
    <s v="Personnel"/>
    <s v="E "/>
    <x v="0"/>
    <x v="67"/>
    <s v="PSES Elem Prog21Act25 S275"/>
    <x v="1"/>
    <s v="25"/>
    <m/>
    <n v="25"/>
    <s v="   "/>
    <n v="1.39"/>
    <n v="0.14849999999999999"/>
    <n v="0.20599999999999999"/>
    <s v="Elementary Pupil Management"/>
  </r>
  <r>
    <x v="167"/>
    <s v="Personnel"/>
    <s v="E "/>
    <x v="0"/>
    <x v="3"/>
    <s v="PSES Elem Prog01Act25 S275"/>
    <x v="0"/>
    <s v="25"/>
    <m/>
    <n v="25"/>
    <s v="   "/>
    <n v="5.56"/>
    <n v="0.14849999999999999"/>
    <n v="0"/>
    <s v="Elementary Pupil Management"/>
  </r>
  <r>
    <x v="167"/>
    <s v="Personnel"/>
    <s v="M "/>
    <x v="2"/>
    <x v="82"/>
    <s v="PSES Mid Prog21Act25 S275"/>
    <x v="1"/>
    <s v="25"/>
    <m/>
    <n v="25"/>
    <s v="   "/>
    <n v="0.69499999999999995"/>
    <n v="0.14849999999999999"/>
    <n v="0.10299999999999999"/>
    <s v="Middle Pupil Management"/>
  </r>
  <r>
    <x v="167"/>
    <s v="Personnel"/>
    <s v="M "/>
    <x v="2"/>
    <x v="6"/>
    <s v="PSES Mid Prog01Act25 S275"/>
    <x v="0"/>
    <s v="25"/>
    <m/>
    <n v="25"/>
    <s v="   "/>
    <n v="0.69499999999999995"/>
    <n v="0.14849999999999999"/>
    <n v="0"/>
    <s v="Middle Pupil Management"/>
  </r>
  <r>
    <x v="168"/>
    <s v="Personnel"/>
    <s v="E "/>
    <x v="0"/>
    <x v="3"/>
    <s v="PSES Elem Prog01Act25 S275"/>
    <x v="0"/>
    <s v="25"/>
    <m/>
    <n v="25"/>
    <s v="   "/>
    <n v="1.0329999999999999"/>
    <n v="0.1913"/>
    <n v="0"/>
    <s v="Elementary Pupil Management"/>
  </r>
  <r>
    <x v="168"/>
    <s v="Personnel"/>
    <s v="H "/>
    <x v="1"/>
    <x v="9"/>
    <s v="PSES High Prog01Act26 S275"/>
    <x v="0"/>
    <s v="26"/>
    <m/>
    <n v="26"/>
    <s v="   "/>
    <n v="0.80400000000000005"/>
    <n v="0.1913"/>
    <n v="0"/>
    <s v="High Health/_x000a_Related Services"/>
  </r>
  <r>
    <x v="168"/>
    <s v="Personnel"/>
    <s v="H "/>
    <x v="1"/>
    <x v="16"/>
    <s v="PSES High Prog01Duty42 S275"/>
    <x v="0"/>
    <s v="42"/>
    <n v="42"/>
    <m/>
    <s v="   "/>
    <n v="1.5"/>
    <n v="0.1913"/>
    <n v="0"/>
    <s v="High Counselor"/>
  </r>
  <r>
    <x v="169"/>
    <s v="Personnel"/>
    <s v="H "/>
    <x v="1"/>
    <x v="9"/>
    <s v="PSES High Prog01Act26 S275"/>
    <x v="0"/>
    <s v="26"/>
    <m/>
    <n v="26"/>
    <s v="   "/>
    <n v="0.64600000000000002"/>
    <n v="0.20669999999999999"/>
    <n v="0"/>
    <s v="High Health/_x000a_Related Services"/>
  </r>
  <r>
    <x v="169"/>
    <s v="Personnel"/>
    <s v="E "/>
    <x v="0"/>
    <x v="15"/>
    <s v="PSES Elem Prog01Duty42 S275"/>
    <x v="0"/>
    <s v="42"/>
    <n v="42"/>
    <m/>
    <s v="   "/>
    <n v="1.5"/>
    <n v="0.20669999999999999"/>
    <n v="0"/>
    <s v="Elementary Counselor"/>
  </r>
  <r>
    <x v="170"/>
    <s v="Personnel"/>
    <s v="E "/>
    <x v="0"/>
    <x v="3"/>
    <s v="PSES Elem Prog01Act25 S275"/>
    <x v="0"/>
    <s v="25"/>
    <m/>
    <n v="25"/>
    <s v="   "/>
    <n v="0.10100000000000001"/>
    <n v="0.29899999999999999"/>
    <n v="0"/>
    <s v="Elementary Pupil Management"/>
  </r>
  <r>
    <x v="170"/>
    <s v="Personnel"/>
    <s v="H "/>
    <x v="1"/>
    <x v="5"/>
    <s v="PSES High Prog01Act25 S275"/>
    <x v="0"/>
    <s v="25"/>
    <m/>
    <n v="25"/>
    <s v="   "/>
    <n v="0.16900000000000001"/>
    <n v="0.29899999999999999"/>
    <n v="0"/>
    <s v="High Pupil Management"/>
  </r>
  <r>
    <x v="170"/>
    <s v="Personnel"/>
    <s v="M "/>
    <x v="2"/>
    <x v="6"/>
    <s v="PSES Mid Prog01Act25 S275"/>
    <x v="0"/>
    <s v="25"/>
    <m/>
    <n v="25"/>
    <s v="   "/>
    <n v="3.3000000000000002E-2"/>
    <n v="0.29899999999999999"/>
    <n v="0"/>
    <s v="Middle Pupil Management"/>
  </r>
  <r>
    <x v="170"/>
    <s v="Personnel"/>
    <s v="E "/>
    <x v="0"/>
    <x v="8"/>
    <s v="PSES Elem Prog01Act26 S275"/>
    <x v="0"/>
    <s v="26"/>
    <m/>
    <n v="26"/>
    <s v="   "/>
    <n v="0.26700000000000002"/>
    <n v="0.29899999999999999"/>
    <n v="0"/>
    <s v="Elementary Health/_x000a_Related Services"/>
  </r>
  <r>
    <x v="170"/>
    <s v="Personnel"/>
    <s v="H "/>
    <x v="1"/>
    <x v="9"/>
    <s v="PSES High Prog01Act26 S275"/>
    <x v="0"/>
    <s v="26"/>
    <m/>
    <n v="26"/>
    <s v="   "/>
    <n v="0.53200000000000003"/>
    <n v="0.29899999999999999"/>
    <n v="0"/>
    <s v="High Health/_x000a_Related Services"/>
  </r>
  <r>
    <x v="171"/>
    <s v="Personnel"/>
    <s v="H "/>
    <x v="1"/>
    <x v="16"/>
    <s v="PSES High Prog01Duty42 S275"/>
    <x v="0"/>
    <s v="42"/>
    <n v="42"/>
    <m/>
    <s v="   "/>
    <n v="1"/>
    <n v="0.1913"/>
    <n v="0"/>
    <s v="High Counselor"/>
  </r>
  <r>
    <x v="172"/>
    <s v="Personnel"/>
    <s v="E "/>
    <x v="0"/>
    <x v="3"/>
    <s v="PSES Elem Prog01Act25 S275"/>
    <x v="0"/>
    <s v="25"/>
    <m/>
    <n v="25"/>
    <s v="   "/>
    <n v="0.11799999999999999"/>
    <n v="0.18310000000000001"/>
    <n v="0"/>
    <s v="Elementary Pupil Management"/>
  </r>
  <r>
    <x v="172"/>
    <s v="Personnel"/>
    <s v="H "/>
    <x v="1"/>
    <x v="5"/>
    <s v="PSES High Prog01Act25 S275"/>
    <x v="0"/>
    <s v="25"/>
    <m/>
    <n v="25"/>
    <s v="   "/>
    <n v="0.999"/>
    <n v="0.18310000000000001"/>
    <n v="0"/>
    <s v="High Pupil Management"/>
  </r>
  <r>
    <x v="172"/>
    <s v="Personnel"/>
    <s v="E "/>
    <x v="0"/>
    <x v="15"/>
    <s v="PSES Elem Prog01Duty42 S275"/>
    <x v="0"/>
    <s v="42"/>
    <n v="42"/>
    <m/>
    <s v="   "/>
    <n v="0.49299999999999999"/>
    <n v="0.18310000000000001"/>
    <n v="0"/>
    <s v="Elementary Counselor"/>
  </r>
  <r>
    <x v="172"/>
    <s v="Personnel"/>
    <s v="H "/>
    <x v="1"/>
    <x v="16"/>
    <s v="PSES High Prog01Duty42 S275"/>
    <x v="0"/>
    <s v="42"/>
    <n v="42"/>
    <m/>
    <s v="   "/>
    <n v="0.33500000000000002"/>
    <n v="0.18310000000000001"/>
    <n v="0"/>
    <s v="High Counselor"/>
  </r>
  <r>
    <x v="172"/>
    <s v="Personnel"/>
    <s v="M "/>
    <x v="2"/>
    <x v="17"/>
    <s v="PSES Mid Prog01Duty42 S275"/>
    <x v="0"/>
    <s v="42"/>
    <n v="42"/>
    <m/>
    <s v="   "/>
    <n v="0.157"/>
    <n v="0.18310000000000001"/>
    <n v="0"/>
    <s v="Middle Counselor"/>
  </r>
  <r>
    <x v="173"/>
    <s v="Personnel"/>
    <s v="E "/>
    <x v="0"/>
    <x v="7"/>
    <s v="PSES Elem Prog21Act26 S275"/>
    <x v="1"/>
    <s v="26"/>
    <m/>
    <n v="26"/>
    <s v="   "/>
    <n v="0.32900000000000001"/>
    <n v="0.24210000000000001"/>
    <n v="0.08"/>
    <s v="Elementary Health/_x000a_Related Services"/>
  </r>
  <r>
    <x v="173"/>
    <s v="Personnel"/>
    <s v="H "/>
    <x v="1"/>
    <x v="9"/>
    <s v="PSES High Prog01Act26 S275"/>
    <x v="0"/>
    <s v="26"/>
    <m/>
    <n v="26"/>
    <s v="   "/>
    <n v="1.22"/>
    <n v="0.24210000000000001"/>
    <n v="0"/>
    <s v="High Health/_x000a_Related Services"/>
  </r>
  <r>
    <x v="173"/>
    <s v="Personnel"/>
    <s v="E "/>
    <x v="0"/>
    <x v="15"/>
    <s v="PSES Elem Prog01Duty42 S275"/>
    <x v="0"/>
    <s v="42"/>
    <n v="42"/>
    <m/>
    <s v="   "/>
    <n v="1"/>
    <n v="0.24210000000000001"/>
    <n v="0"/>
    <s v="Elementary Counselor"/>
  </r>
  <r>
    <x v="173"/>
    <s v="Personnel"/>
    <s v="M "/>
    <x v="2"/>
    <x v="17"/>
    <s v="PSES Mid Prog01Duty42 S275"/>
    <x v="0"/>
    <s v="42"/>
    <n v="42"/>
    <m/>
    <s v="   "/>
    <n v="1"/>
    <n v="0.24210000000000001"/>
    <n v="0"/>
    <s v="Middle Counselor"/>
  </r>
  <r>
    <x v="173"/>
    <s v="Personnel"/>
    <s v="E "/>
    <x v="0"/>
    <x v="42"/>
    <s v="PSES Elem Prog01Duty44 S275"/>
    <x v="0"/>
    <s v="44"/>
    <n v="44"/>
    <m/>
    <s v="   "/>
    <n v="0.5"/>
    <n v="0.24210000000000001"/>
    <n v="0"/>
    <s v="Elementary Social Worker"/>
  </r>
  <r>
    <x v="173"/>
    <s v="Personnel"/>
    <s v="H "/>
    <x v="1"/>
    <x v="44"/>
    <s v="PSES High Prog01Duty44 S275"/>
    <x v="0"/>
    <s v="44"/>
    <n v="44"/>
    <m/>
    <s v="   "/>
    <n v="1.5"/>
    <n v="0.24210000000000001"/>
    <n v="0"/>
    <s v="High Social Worker"/>
  </r>
  <r>
    <x v="173"/>
    <s v="Personnel"/>
    <s v="E "/>
    <x v="0"/>
    <x v="20"/>
    <s v="PSES Elem Prog21Duty45 S275"/>
    <x v="1"/>
    <s v="45"/>
    <n v="45"/>
    <m/>
    <s v="   "/>
    <n v="0.68"/>
    <n v="0.24210000000000001"/>
    <n v="0.16500000000000001"/>
    <s v="Elementary Speech, Language Pathway/_x000a_Audio"/>
  </r>
  <r>
    <x v="173"/>
    <s v="Personnel"/>
    <s v="H "/>
    <x v="1"/>
    <x v="21"/>
    <s v="PSES High Prog21Duty45 S275"/>
    <x v="1"/>
    <s v="45"/>
    <n v="45"/>
    <m/>
    <s v="   "/>
    <n v="0.66"/>
    <n v="0.24210000000000001"/>
    <n v="0.16"/>
    <s v="High Speech, Language Pathway/_x000a_Audio"/>
  </r>
  <r>
    <x v="173"/>
    <s v="Personnel"/>
    <s v="M "/>
    <x v="2"/>
    <x v="28"/>
    <s v="PSES Mid Prog21Duty45 S275"/>
    <x v="1"/>
    <s v="45"/>
    <n v="45"/>
    <m/>
    <s v="   "/>
    <n v="0.66"/>
    <n v="0.24210000000000001"/>
    <n v="0.16"/>
    <s v="Middle Speech, Language Pathway/_x000a_Audio"/>
  </r>
  <r>
    <x v="173"/>
    <s v="Personnel"/>
    <s v="E "/>
    <x v="0"/>
    <x v="22"/>
    <s v="PSES Elem Prog21Duty46 S275"/>
    <x v="1"/>
    <s v="46"/>
    <n v="46"/>
    <m/>
    <s v="   "/>
    <n v="0.34"/>
    <n v="0.24210000000000001"/>
    <n v="8.2000000000000003E-2"/>
    <s v="Elementary Psychologist"/>
  </r>
  <r>
    <x v="173"/>
    <s v="Personnel"/>
    <s v="H "/>
    <x v="1"/>
    <x v="23"/>
    <s v="PSES High Prog21Duty46 S275"/>
    <x v="1"/>
    <s v="46"/>
    <n v="46"/>
    <m/>
    <s v="   "/>
    <n v="0.33"/>
    <n v="0.24210000000000001"/>
    <n v="0.08"/>
    <s v="High Psychologist"/>
  </r>
  <r>
    <x v="173"/>
    <s v="Personnel"/>
    <s v="M "/>
    <x v="2"/>
    <x v="24"/>
    <s v="PSES Mid Prog21Duty46 S275"/>
    <x v="1"/>
    <s v="46"/>
    <n v="46"/>
    <m/>
    <s v="   "/>
    <n v="0.33"/>
    <n v="0.24210000000000001"/>
    <n v="0.08"/>
    <s v="Middle Psychologist"/>
  </r>
  <r>
    <x v="174"/>
    <s v="Personnel"/>
    <s v="E "/>
    <x v="0"/>
    <x v="3"/>
    <s v="PSES Elem Prog01Act25 S275"/>
    <x v="0"/>
    <s v="25"/>
    <m/>
    <n v="25"/>
    <s v="   "/>
    <n v="0.151"/>
    <n v="0.1951"/>
    <n v="0"/>
    <s v="Elementary Pupil Management"/>
  </r>
  <r>
    <x v="174"/>
    <s v="Personnel"/>
    <s v="H "/>
    <x v="1"/>
    <x v="5"/>
    <s v="PSES High Prog01Act25 S275"/>
    <x v="0"/>
    <s v="25"/>
    <m/>
    <n v="25"/>
    <s v="   "/>
    <n v="1.9410000000000001"/>
    <n v="0.1951"/>
    <n v="0"/>
    <s v="High Pupil Management"/>
  </r>
  <r>
    <x v="174"/>
    <s v="Personnel"/>
    <s v="E "/>
    <x v="0"/>
    <x v="15"/>
    <s v="PSES Elem Prog01Duty42 S275"/>
    <x v="0"/>
    <s v="42"/>
    <n v="42"/>
    <m/>
    <s v="   "/>
    <n v="0.28799999999999998"/>
    <n v="0.1951"/>
    <n v="0"/>
    <s v="Elementary Counselor"/>
  </r>
  <r>
    <x v="174"/>
    <s v="Personnel"/>
    <s v="H "/>
    <x v="1"/>
    <x v="16"/>
    <s v="PSES High Prog01Duty42 S275"/>
    <x v="0"/>
    <s v="42"/>
    <n v="42"/>
    <m/>
    <s v="   "/>
    <n v="0.14299999999999999"/>
    <n v="0.1951"/>
    <n v="0"/>
    <s v="High Counselor"/>
  </r>
  <r>
    <x v="174"/>
    <s v="Personnel"/>
    <s v="M "/>
    <x v="2"/>
    <x v="17"/>
    <s v="PSES Mid Prog01Duty42 S275"/>
    <x v="0"/>
    <s v="42"/>
    <n v="42"/>
    <m/>
    <s v="   "/>
    <n v="7.0999999999999994E-2"/>
    <n v="0.1951"/>
    <n v="0"/>
    <s v="Middle Counselor"/>
  </r>
  <r>
    <x v="174"/>
    <s v="Personnel"/>
    <s v="E "/>
    <x v="0"/>
    <x v="18"/>
    <s v="PSES Elem Prog21Duty43 S275"/>
    <x v="1"/>
    <s v="43"/>
    <n v="43"/>
    <m/>
    <s v="   "/>
    <n v="0.8"/>
    <n v="0.1951"/>
    <n v="0.156"/>
    <s v="Elementary Occupational Therapist"/>
  </r>
  <r>
    <x v="174"/>
    <s v="Personnel"/>
    <s v="M "/>
    <x v="2"/>
    <x v="31"/>
    <s v="PSES Mid Prog21Duty43 S275"/>
    <x v="1"/>
    <s v="43"/>
    <n v="43"/>
    <m/>
    <s v="   "/>
    <n v="0.2"/>
    <n v="0.1951"/>
    <n v="3.9E-2"/>
    <s v="Middle Occupational Therapist"/>
  </r>
  <r>
    <x v="174"/>
    <s v="Personnel"/>
    <s v="E "/>
    <x v="0"/>
    <x v="20"/>
    <s v="PSES Elem Prog21Duty45 S275"/>
    <x v="1"/>
    <s v="45"/>
    <n v="45"/>
    <m/>
    <s v="   "/>
    <n v="0.158"/>
    <n v="0.1951"/>
    <n v="3.1E-2"/>
    <s v="Elementary Speech, Language Pathway/_x000a_Audio"/>
  </r>
  <r>
    <x v="174"/>
    <s v="Personnel"/>
    <s v="H "/>
    <x v="1"/>
    <x v="21"/>
    <s v="PSES High Prog21Duty45 S275"/>
    <x v="1"/>
    <s v="45"/>
    <n v="45"/>
    <m/>
    <s v="   "/>
    <n v="0.158"/>
    <n v="0.1951"/>
    <n v="3.1E-2"/>
    <s v="High Speech, Language Pathway/_x000a_Audio"/>
  </r>
  <r>
    <x v="175"/>
    <s v="Personnel"/>
    <s v="H "/>
    <x v="1"/>
    <x v="9"/>
    <s v="PSES High Prog01Act26 S275"/>
    <x v="0"/>
    <s v="26"/>
    <m/>
    <n v="26"/>
    <s v="   "/>
    <n v="0.14699999999999999"/>
    <n v="0.182"/>
    <n v="0"/>
    <s v="High Health/_x000a_Related Services"/>
  </r>
  <r>
    <x v="175"/>
    <s v="Personnel"/>
    <s v="M "/>
    <x v="2"/>
    <x v="11"/>
    <s v="PSES Mid Prog01Act26 S275"/>
    <x v="0"/>
    <s v="26"/>
    <m/>
    <n v="26"/>
    <s v="   "/>
    <n v="4.3999999999999997E-2"/>
    <n v="0.182"/>
    <n v="0"/>
    <s v="Middle Health/_x000a_Related Services"/>
  </r>
  <r>
    <x v="175"/>
    <s v="Personnel"/>
    <s v="H "/>
    <x v="1"/>
    <x v="12"/>
    <s v="PSES High Prog97Act35 S275"/>
    <x v="2"/>
    <s v="35"/>
    <m/>
    <n v="35"/>
    <s v="   "/>
    <n v="0.38500000000000001"/>
    <n v="0.182"/>
    <n v="0"/>
    <s v="High Pupil Safety"/>
  </r>
  <r>
    <x v="175"/>
    <s v="Personnel"/>
    <s v="E "/>
    <x v="0"/>
    <x v="20"/>
    <s v="PSES Elem Prog21Duty45 S275"/>
    <x v="1"/>
    <s v="45"/>
    <n v="45"/>
    <m/>
    <s v="   "/>
    <n v="0.92"/>
    <n v="0.182"/>
    <n v="0.16700000000000001"/>
    <s v="Elementary Speech, Language Pathway/_x000a_Audio"/>
  </r>
  <r>
    <x v="175"/>
    <s v="Personnel"/>
    <s v="E "/>
    <x v="0"/>
    <x v="22"/>
    <s v="PSES Elem Prog21Duty46 S275"/>
    <x v="1"/>
    <s v="46"/>
    <n v="46"/>
    <m/>
    <s v="   "/>
    <n v="0.34200000000000003"/>
    <n v="0.182"/>
    <n v="6.2E-2"/>
    <s v="Elementary Psychologist"/>
  </r>
  <r>
    <x v="175"/>
    <s v="Personnel"/>
    <s v="E "/>
    <x v="0"/>
    <x v="27"/>
    <s v="PSES Elem Prog01Duty47 S275"/>
    <x v="0"/>
    <s v="47"/>
    <n v="47"/>
    <m/>
    <s v="   "/>
    <n v="0.499"/>
    <n v="0.182"/>
    <n v="0"/>
    <s v="Elementary Nurse"/>
  </r>
  <r>
    <x v="175"/>
    <s v="Personnel"/>
    <s v="H "/>
    <x v="1"/>
    <x v="25"/>
    <s v="PSES High Prog01Duty47 S275"/>
    <x v="0"/>
    <s v="47"/>
    <n v="47"/>
    <m/>
    <s v="   "/>
    <n v="0.28999999999999998"/>
    <n v="0.182"/>
    <n v="0"/>
    <s v="High Nurse"/>
  </r>
  <r>
    <x v="175"/>
    <s v="Personnel"/>
    <s v="M "/>
    <x v="2"/>
    <x v="34"/>
    <s v="PSES Mid Prog01Duty47 S275"/>
    <x v="0"/>
    <s v="47"/>
    <n v="47"/>
    <m/>
    <s v="   "/>
    <n v="0.21099999999999999"/>
    <n v="0.182"/>
    <n v="0"/>
    <s v="Middle Nurse"/>
  </r>
  <r>
    <x v="176"/>
    <s v="Personnel"/>
    <s v="H "/>
    <x v="1"/>
    <x v="53"/>
    <s v="PSES High Prog97Act25 S275"/>
    <x v="2"/>
    <s v="25"/>
    <m/>
    <n v="25"/>
    <s v="   "/>
    <n v="0.2"/>
    <n v="0.2147"/>
    <n v="0"/>
    <s v="High Pupil Management"/>
  </r>
  <r>
    <x v="176"/>
    <s v="Personnel"/>
    <s v="H "/>
    <x v="1"/>
    <x v="9"/>
    <s v="PSES High Prog01Act26 S275"/>
    <x v="0"/>
    <s v="26"/>
    <m/>
    <n v="26"/>
    <s v="   "/>
    <n v="4.4909999999999997"/>
    <n v="0.2147"/>
    <n v="0"/>
    <s v="High Health/_x000a_Related Services"/>
  </r>
  <r>
    <x v="176"/>
    <s v="Personnel"/>
    <s v="H "/>
    <x v="1"/>
    <x v="54"/>
    <s v="PSES High Prog01Act35 S275"/>
    <x v="0"/>
    <s v="35"/>
    <m/>
    <n v="35"/>
    <s v="   "/>
    <n v="1.462"/>
    <n v="0.2147"/>
    <n v="0"/>
    <s v="High Pupil Safety"/>
  </r>
  <r>
    <x v="176"/>
    <s v="Personnel"/>
    <s v="E "/>
    <x v="0"/>
    <x v="15"/>
    <s v="PSES Elem Prog01Duty42 S275"/>
    <x v="0"/>
    <s v="42"/>
    <n v="42"/>
    <m/>
    <s v="   "/>
    <n v="3"/>
    <n v="0.2147"/>
    <n v="0"/>
    <s v="Elementary Counselor"/>
  </r>
  <r>
    <x v="176"/>
    <s v="Personnel"/>
    <s v="H "/>
    <x v="1"/>
    <x v="16"/>
    <s v="PSES High Prog01Duty42 S275"/>
    <x v="0"/>
    <s v="42"/>
    <n v="42"/>
    <m/>
    <s v="   "/>
    <n v="3"/>
    <n v="0.2147"/>
    <n v="0"/>
    <s v="High Counselor"/>
  </r>
  <r>
    <x v="176"/>
    <s v="Personnel"/>
    <s v="M "/>
    <x v="2"/>
    <x v="17"/>
    <s v="PSES Mid Prog01Duty42 S275"/>
    <x v="0"/>
    <s v="42"/>
    <n v="42"/>
    <m/>
    <s v="   "/>
    <n v="1"/>
    <n v="0.2147"/>
    <n v="0"/>
    <s v="Middle Counselor"/>
  </r>
  <r>
    <x v="176"/>
    <s v="Personnel"/>
    <s v="E "/>
    <x v="0"/>
    <x v="18"/>
    <s v="PSES Elem Prog21Duty43 S275"/>
    <x v="1"/>
    <s v="43"/>
    <n v="43"/>
    <m/>
    <s v="   "/>
    <n v="1.59"/>
    <n v="0.2147"/>
    <n v="0.34100000000000003"/>
    <s v="Elementary Occupational Therapist"/>
  </r>
  <r>
    <x v="176"/>
    <s v="Personnel"/>
    <s v="H "/>
    <x v="1"/>
    <x v="19"/>
    <s v="PSES High Prog21Duty43 S275"/>
    <x v="1"/>
    <s v="43"/>
    <n v="43"/>
    <m/>
    <s v="   "/>
    <n v="0.25"/>
    <n v="0.2147"/>
    <n v="5.3999999999999999E-2"/>
    <s v="High Occupational Therapist"/>
  </r>
  <r>
    <x v="176"/>
    <s v="Personnel"/>
    <s v="M "/>
    <x v="2"/>
    <x v="31"/>
    <s v="PSES Mid Prog21Duty43 S275"/>
    <x v="1"/>
    <s v="43"/>
    <n v="43"/>
    <m/>
    <s v="   "/>
    <n v="0.16"/>
    <n v="0.2147"/>
    <n v="3.4000000000000002E-2"/>
    <s v="Middle Occupational Therapist"/>
  </r>
  <r>
    <x v="176"/>
    <s v="Personnel"/>
    <s v="E "/>
    <x v="0"/>
    <x v="42"/>
    <s v="PSES Elem Prog01Duty44 S275"/>
    <x v="0"/>
    <s v="44"/>
    <n v="44"/>
    <m/>
    <s v="   "/>
    <n v="1"/>
    <n v="0.2147"/>
    <n v="0"/>
    <s v="Elementary Social Worker"/>
  </r>
  <r>
    <x v="176"/>
    <s v="Personnel"/>
    <s v="E "/>
    <x v="0"/>
    <x v="20"/>
    <s v="PSES Elem Prog21Duty45 S275"/>
    <x v="1"/>
    <s v="45"/>
    <n v="45"/>
    <m/>
    <s v="   "/>
    <n v="3.7"/>
    <n v="0.2147"/>
    <n v="0.79400000000000004"/>
    <s v="Elementary Speech, Language Pathway/_x000a_Audio"/>
  </r>
  <r>
    <x v="176"/>
    <s v="Personnel"/>
    <s v="H "/>
    <x v="1"/>
    <x v="21"/>
    <s v="PSES High Prog21Duty45 S275"/>
    <x v="1"/>
    <s v="45"/>
    <n v="45"/>
    <m/>
    <s v="   "/>
    <n v="0.5"/>
    <n v="0.2147"/>
    <n v="0.107"/>
    <s v="High Speech, Language Pathway/_x000a_Audio"/>
  </r>
  <r>
    <x v="176"/>
    <s v="Personnel"/>
    <s v="M "/>
    <x v="2"/>
    <x v="28"/>
    <s v="PSES Mid Prog21Duty45 S275"/>
    <x v="1"/>
    <s v="45"/>
    <n v="45"/>
    <m/>
    <s v="   "/>
    <n v="0.4"/>
    <n v="0.2147"/>
    <n v="8.5999999999999993E-2"/>
    <s v="Middle Speech, Language Pathway/_x000a_Audio"/>
  </r>
  <r>
    <x v="176"/>
    <s v="Personnel"/>
    <s v="E "/>
    <x v="0"/>
    <x v="22"/>
    <s v="PSES Elem Prog21Duty46 S275"/>
    <x v="1"/>
    <s v="46"/>
    <n v="46"/>
    <m/>
    <s v="   "/>
    <n v="2.855"/>
    <n v="0.2147"/>
    <n v="0.61299999999999999"/>
    <s v="Elementary Psychologist"/>
  </r>
  <r>
    <x v="176"/>
    <s v="Personnel"/>
    <s v="H "/>
    <x v="1"/>
    <x v="23"/>
    <s v="PSES High Prog21Duty46 S275"/>
    <x v="1"/>
    <s v="46"/>
    <n v="46"/>
    <m/>
    <s v="   "/>
    <n v="0.5"/>
    <n v="0.2147"/>
    <n v="0.107"/>
    <s v="High Psychologist"/>
  </r>
  <r>
    <x v="176"/>
    <s v="Personnel"/>
    <s v="M "/>
    <x v="2"/>
    <x v="24"/>
    <s v="PSES Mid Prog21Duty46 S275"/>
    <x v="1"/>
    <s v="46"/>
    <n v="46"/>
    <m/>
    <s v="   "/>
    <n v="0.245"/>
    <n v="0.2147"/>
    <n v="5.2999999999999999E-2"/>
    <s v="Middle Psychologist"/>
  </r>
  <r>
    <x v="176"/>
    <s v="Personnel"/>
    <s v="E "/>
    <x v="0"/>
    <x v="27"/>
    <s v="PSES Elem Prog01Duty47 S275"/>
    <x v="0"/>
    <s v="47"/>
    <n v="47"/>
    <m/>
    <s v="   "/>
    <n v="0.6"/>
    <n v="0.2147"/>
    <n v="0"/>
    <s v="Elementary Nurse"/>
  </r>
  <r>
    <x v="176"/>
    <s v="Personnel"/>
    <s v="H "/>
    <x v="1"/>
    <x v="25"/>
    <s v="PSES High Prog01Duty47 S275"/>
    <x v="0"/>
    <s v="47"/>
    <n v="47"/>
    <m/>
    <s v="   "/>
    <n v="0.2"/>
    <n v="0.2147"/>
    <n v="0"/>
    <s v="High Nurse"/>
  </r>
  <r>
    <x v="176"/>
    <s v="Personnel"/>
    <s v="M "/>
    <x v="2"/>
    <x v="34"/>
    <s v="PSES Mid Prog01Duty47 S275"/>
    <x v="0"/>
    <s v="47"/>
    <n v="47"/>
    <m/>
    <s v="   "/>
    <n v="0.2"/>
    <n v="0.2147"/>
    <n v="0"/>
    <s v="Middle Nurse"/>
  </r>
  <r>
    <x v="176"/>
    <s v="Personnel"/>
    <s v="E "/>
    <x v="0"/>
    <x v="35"/>
    <s v="PSES Elem Prog21Duty48 S275"/>
    <x v="1"/>
    <s v="48"/>
    <n v="48"/>
    <m/>
    <s v="   "/>
    <n v="0.25"/>
    <n v="0.2147"/>
    <n v="5.3999999999999999E-2"/>
    <s v="Elementary Physical Therapist"/>
  </r>
  <r>
    <x v="176"/>
    <s v="Personnel"/>
    <s v="H "/>
    <x v="1"/>
    <x v="36"/>
    <s v="PSES High Prog21Duty48 S275"/>
    <x v="1"/>
    <s v="48"/>
    <n v="48"/>
    <m/>
    <s v="   "/>
    <n v="0.125"/>
    <n v="0.2147"/>
    <n v="2.7E-2"/>
    <s v="High Physical Therapist"/>
  </r>
  <r>
    <x v="176"/>
    <s v="Personnel"/>
    <s v="M "/>
    <x v="2"/>
    <x v="37"/>
    <s v="PSES Mid Prog21Duty48 S275"/>
    <x v="1"/>
    <s v="48"/>
    <n v="48"/>
    <m/>
    <s v="   "/>
    <n v="0.125"/>
    <n v="0.2147"/>
    <n v="2.7E-2"/>
    <s v="Middle Physical Therapist"/>
  </r>
  <r>
    <x v="177"/>
    <s v="Personnel"/>
    <s v="H "/>
    <x v="1"/>
    <x v="86"/>
    <s v="PSES High Prog21Duty96 S275"/>
    <x v="1"/>
    <s v="24"/>
    <n v="96"/>
    <n v="24"/>
    <s v="   "/>
    <n v="3.1949999999999998"/>
    <n v="0.30399999999999999"/>
    <n v="0.97099999999999997"/>
    <s v="High Family Engagement Coordinator"/>
  </r>
  <r>
    <x v="177"/>
    <s v="Personnel"/>
    <s v="H "/>
    <x v="1"/>
    <x v="4"/>
    <s v="PSES High Prog21Act25 S275"/>
    <x v="1"/>
    <s v="25"/>
    <m/>
    <n v="25"/>
    <s v="   "/>
    <n v="1.51"/>
    <n v="0.30399999999999999"/>
    <n v="0.45900000000000002"/>
    <s v="High Pupil Management"/>
  </r>
  <r>
    <x v="177"/>
    <s v="Personnel"/>
    <s v="H "/>
    <x v="1"/>
    <x v="5"/>
    <s v="PSES High Prog01Act25 S275"/>
    <x v="0"/>
    <s v="25"/>
    <m/>
    <n v="25"/>
    <s v="   "/>
    <n v="48.835999999999999"/>
    <n v="0.30399999999999999"/>
    <n v="0"/>
    <s v="High Pupil Management"/>
  </r>
  <r>
    <x v="177"/>
    <s v="Personnel"/>
    <s v="H "/>
    <x v="1"/>
    <x v="29"/>
    <s v="PSES High Prog21Act26 S275"/>
    <x v="1"/>
    <s v="26"/>
    <m/>
    <n v="26"/>
    <s v="   "/>
    <n v="5.883"/>
    <n v="0.30399999999999999"/>
    <n v="1.788"/>
    <s v="High Health/_x000a_Related Services"/>
  </r>
  <r>
    <x v="177"/>
    <s v="Personnel"/>
    <s v="H "/>
    <x v="1"/>
    <x v="9"/>
    <s v="PSES High Prog01Act26 S275"/>
    <x v="0"/>
    <s v="26"/>
    <m/>
    <n v="26"/>
    <s v="   "/>
    <n v="10.586"/>
    <n v="0.30399999999999999"/>
    <n v="0"/>
    <s v="High Health/_x000a_Related Services"/>
  </r>
  <r>
    <x v="177"/>
    <s v="Personnel"/>
    <s v="H "/>
    <x v="1"/>
    <x v="87"/>
    <s v="PSES High Prog21Act35 S275"/>
    <x v="1"/>
    <s v="35"/>
    <m/>
    <n v="35"/>
    <s v="   "/>
    <n v="0.188"/>
    <n v="0.30399999999999999"/>
    <n v="5.7000000000000002E-2"/>
    <s v="High Pupil Safety"/>
  </r>
  <r>
    <x v="177"/>
    <s v="Personnel"/>
    <s v="H "/>
    <x v="1"/>
    <x v="54"/>
    <s v="PSES High Prog01Act35 S275"/>
    <x v="0"/>
    <s v="35"/>
    <m/>
    <n v="35"/>
    <s v="   "/>
    <n v="10.781000000000001"/>
    <n v="0.30399999999999999"/>
    <n v="0"/>
    <s v="High Pupil Safety"/>
  </r>
  <r>
    <x v="177"/>
    <s v="Personnel"/>
    <s v="E "/>
    <x v="0"/>
    <x v="14"/>
    <s v="PSES Elem Prog21Duty39 S275"/>
    <x v="1"/>
    <s v="39"/>
    <n v="39"/>
    <m/>
    <s v="   "/>
    <n v="2.331"/>
    <n v="0.30399999999999999"/>
    <n v="0.70899999999999996"/>
    <s v="Elementary Orientation &amp; Mobility Specialist"/>
  </r>
  <r>
    <x v="177"/>
    <s v="Personnel"/>
    <s v="H "/>
    <x v="1"/>
    <x v="83"/>
    <s v="PSES High Prog21Duty39 S275"/>
    <x v="1"/>
    <s v="39"/>
    <n v="39"/>
    <m/>
    <s v="   "/>
    <n v="0.33600000000000002"/>
    <n v="0.30399999999999999"/>
    <n v="0.10199999999999999"/>
    <s v="High Orientation &amp; Mobility Specialist"/>
  </r>
  <r>
    <x v="177"/>
    <s v="Personnel"/>
    <s v="M "/>
    <x v="2"/>
    <x v="88"/>
    <s v="PSES Mid Prog21Duty39 S275"/>
    <x v="1"/>
    <s v="39"/>
    <n v="39"/>
    <m/>
    <s v="   "/>
    <n v="0.33300000000000002"/>
    <n v="0.30399999999999999"/>
    <n v="0.10100000000000001"/>
    <s v="Middle Orientation &amp; Mobility Specialist"/>
  </r>
  <r>
    <x v="177"/>
    <s v="Personnel"/>
    <s v="E "/>
    <x v="0"/>
    <x v="15"/>
    <s v="PSES Elem Prog01Duty42 S275"/>
    <x v="0"/>
    <s v="42"/>
    <n v="42"/>
    <m/>
    <s v="   "/>
    <n v="23.74"/>
    <n v="0.30399999999999999"/>
    <n v="0"/>
    <s v="Elementary Counselor"/>
  </r>
  <r>
    <x v="177"/>
    <s v="Personnel"/>
    <s v="H "/>
    <x v="1"/>
    <x v="16"/>
    <s v="PSES High Prog01Duty42 S275"/>
    <x v="0"/>
    <s v="42"/>
    <n v="42"/>
    <m/>
    <s v="   "/>
    <n v="19.404"/>
    <n v="0.30399999999999999"/>
    <n v="0"/>
    <s v="High Counselor"/>
  </r>
  <r>
    <x v="177"/>
    <s v="Personnel"/>
    <s v="M "/>
    <x v="2"/>
    <x v="17"/>
    <s v="PSES Mid Prog01Duty42 S275"/>
    <x v="0"/>
    <s v="42"/>
    <n v="42"/>
    <m/>
    <s v="   "/>
    <n v="8.4559999999999995"/>
    <n v="0.30399999999999999"/>
    <n v="0"/>
    <s v="Middle Counselor"/>
  </r>
  <r>
    <x v="177"/>
    <s v="Personnel"/>
    <s v="E "/>
    <x v="0"/>
    <x v="18"/>
    <s v="PSES Elem Prog21Duty43 S275"/>
    <x v="1"/>
    <s v="43"/>
    <n v="43"/>
    <m/>
    <s v="   "/>
    <n v="5.8979999999999997"/>
    <n v="0.30399999999999999"/>
    <n v="1.7929999999999999"/>
    <s v="Elementary Occupational Therapist"/>
  </r>
  <r>
    <x v="177"/>
    <s v="Personnel"/>
    <s v="H "/>
    <x v="1"/>
    <x v="19"/>
    <s v="PSES High Prog21Duty43 S275"/>
    <x v="1"/>
    <s v="43"/>
    <n v="43"/>
    <m/>
    <s v="   "/>
    <n v="3.6219999999999999"/>
    <n v="0.30399999999999999"/>
    <n v="1.101"/>
    <s v="High Occupational Therapist"/>
  </r>
  <r>
    <x v="177"/>
    <s v="Personnel"/>
    <s v="M "/>
    <x v="2"/>
    <x v="31"/>
    <s v="PSES Mid Prog21Duty43 S275"/>
    <x v="1"/>
    <s v="43"/>
    <n v="43"/>
    <m/>
    <s v="   "/>
    <n v="1.68"/>
    <n v="0.30399999999999999"/>
    <n v="0.51100000000000001"/>
    <s v="Middle Occupational Therapist"/>
  </r>
  <r>
    <x v="177"/>
    <s v="Personnel"/>
    <s v="E "/>
    <x v="0"/>
    <x v="41"/>
    <s v="PSES Elem Prog21Duty44 S275"/>
    <x v="1"/>
    <s v="44"/>
    <n v="44"/>
    <m/>
    <s v="   "/>
    <n v="0.54"/>
    <n v="0.30399999999999999"/>
    <n v="0.16400000000000001"/>
    <s v="Elementary Social Worker"/>
  </r>
  <r>
    <x v="177"/>
    <s v="Personnel"/>
    <s v="H "/>
    <x v="1"/>
    <x v="43"/>
    <s v="PSES High Prog21Duty44 S275"/>
    <x v="1"/>
    <s v="44"/>
    <n v="44"/>
    <m/>
    <s v="   "/>
    <n v="0.31"/>
    <n v="0.30399999999999999"/>
    <n v="9.4E-2"/>
    <s v="High Social Worker"/>
  </r>
  <r>
    <x v="177"/>
    <s v="Personnel"/>
    <s v="M "/>
    <x v="2"/>
    <x v="45"/>
    <s v="PSES Mid Prog21Duty44 S275"/>
    <x v="1"/>
    <s v="44"/>
    <n v="44"/>
    <m/>
    <s v="   "/>
    <n v="0.15"/>
    <n v="0.30399999999999999"/>
    <n v="4.5999999999999999E-2"/>
    <s v="Middle Social Worker"/>
  </r>
  <r>
    <x v="177"/>
    <s v="Personnel"/>
    <s v="E "/>
    <x v="0"/>
    <x v="20"/>
    <s v="PSES Elem Prog21Duty45 S275"/>
    <x v="1"/>
    <s v="45"/>
    <n v="45"/>
    <m/>
    <s v="   "/>
    <n v="15.39"/>
    <n v="0.30399999999999999"/>
    <n v="4.6790000000000003"/>
    <s v="Elementary Speech, Language Pathway/_x000a_Audio"/>
  </r>
  <r>
    <x v="177"/>
    <s v="Personnel"/>
    <s v="E "/>
    <x v="0"/>
    <x v="47"/>
    <s v="PSES Elem Prog01Duty45 S275"/>
    <x v="0"/>
    <s v="45"/>
    <n v="45"/>
    <m/>
    <s v="   "/>
    <n v="0.2"/>
    <n v="0.30399999999999999"/>
    <n v="0"/>
    <s v="Elementary Speech, Language Pathway/_x000a_Audio"/>
  </r>
  <r>
    <x v="177"/>
    <s v="Personnel"/>
    <s v="H "/>
    <x v="1"/>
    <x v="21"/>
    <s v="PSES High Prog21Duty45 S275"/>
    <x v="1"/>
    <s v="45"/>
    <n v="45"/>
    <m/>
    <s v="   "/>
    <n v="8.8350000000000009"/>
    <n v="0.30399999999999999"/>
    <n v="2.6859999999999999"/>
    <s v="High Speech, Language Pathway/_x000a_Audio"/>
  </r>
  <r>
    <x v="177"/>
    <s v="Personnel"/>
    <s v="M "/>
    <x v="2"/>
    <x v="28"/>
    <s v="PSES Mid Prog21Duty45 S275"/>
    <x v="1"/>
    <s v="45"/>
    <n v="45"/>
    <m/>
    <s v="   "/>
    <n v="4.2750000000000004"/>
    <n v="0.30399999999999999"/>
    <n v="1.3"/>
    <s v="Middle Speech, Language Pathway/_x000a_Audio"/>
  </r>
  <r>
    <x v="177"/>
    <s v="Personnel"/>
    <s v="E "/>
    <x v="0"/>
    <x v="22"/>
    <s v="PSES Elem Prog21Duty46 S275"/>
    <x v="1"/>
    <s v="46"/>
    <n v="46"/>
    <m/>
    <s v="   "/>
    <n v="13.068"/>
    <n v="0.30399999999999999"/>
    <n v="3.9729999999999999"/>
    <s v="Elementary Psychologist"/>
  </r>
  <r>
    <x v="177"/>
    <s v="Personnel"/>
    <s v="H "/>
    <x v="1"/>
    <x v="23"/>
    <s v="PSES High Prog21Duty46 S275"/>
    <x v="1"/>
    <s v="46"/>
    <n v="46"/>
    <m/>
    <s v="   "/>
    <n v="7.5019999999999998"/>
    <n v="0.30399999999999999"/>
    <n v="2.2810000000000001"/>
    <s v="High Psychologist"/>
  </r>
  <r>
    <x v="177"/>
    <s v="Personnel"/>
    <s v="M "/>
    <x v="2"/>
    <x v="24"/>
    <s v="PSES Mid Prog21Duty46 S275"/>
    <x v="1"/>
    <s v="46"/>
    <n v="46"/>
    <m/>
    <s v="   "/>
    <n v="3.63"/>
    <n v="0.30399999999999999"/>
    <n v="1.1040000000000001"/>
    <s v="Middle Psychologist"/>
  </r>
  <r>
    <x v="177"/>
    <s v="Personnel"/>
    <s v="E "/>
    <x v="0"/>
    <x v="27"/>
    <s v="PSES Elem Prog01Duty47 S275"/>
    <x v="0"/>
    <s v="47"/>
    <n v="47"/>
    <m/>
    <s v="   "/>
    <n v="9.36"/>
    <n v="0.30399999999999999"/>
    <n v="0"/>
    <s v="Elementary Nurse"/>
  </r>
  <r>
    <x v="177"/>
    <s v="Personnel"/>
    <s v="H "/>
    <x v="1"/>
    <x v="25"/>
    <s v="PSES High Prog01Duty47 S275"/>
    <x v="0"/>
    <s v="47"/>
    <n v="47"/>
    <m/>
    <s v="   "/>
    <n v="4.6929999999999996"/>
    <n v="0.30399999999999999"/>
    <n v="0"/>
    <s v="High Nurse"/>
  </r>
  <r>
    <x v="177"/>
    <s v="Personnel"/>
    <s v="M "/>
    <x v="2"/>
    <x v="34"/>
    <s v="PSES Mid Prog01Duty47 S275"/>
    <x v="0"/>
    <s v="47"/>
    <n v="47"/>
    <m/>
    <s v="   "/>
    <n v="2.4470000000000001"/>
    <n v="0.30399999999999999"/>
    <n v="0"/>
    <s v="Middle Nurse"/>
  </r>
  <r>
    <x v="177"/>
    <s v="Personnel"/>
    <s v="E "/>
    <x v="0"/>
    <x v="35"/>
    <s v="PSES Elem Prog21Duty48 S275"/>
    <x v="1"/>
    <s v="48"/>
    <n v="48"/>
    <m/>
    <s v="   "/>
    <n v="1.62"/>
    <n v="0.30399999999999999"/>
    <n v="0.49199999999999999"/>
    <s v="Elementary Physical Therapist"/>
  </r>
  <r>
    <x v="177"/>
    <s v="Personnel"/>
    <s v="H "/>
    <x v="1"/>
    <x v="36"/>
    <s v="PSES High Prog21Duty48 S275"/>
    <x v="1"/>
    <s v="48"/>
    <n v="48"/>
    <m/>
    <s v="   "/>
    <n v="0.93"/>
    <n v="0.30399999999999999"/>
    <n v="0.28299999999999997"/>
    <s v="High Physical Therapist"/>
  </r>
  <r>
    <x v="177"/>
    <s v="Personnel"/>
    <s v="M "/>
    <x v="2"/>
    <x v="37"/>
    <s v="PSES Mid Prog21Duty48 S275"/>
    <x v="1"/>
    <s v="48"/>
    <n v="48"/>
    <m/>
    <s v="   "/>
    <n v="0.45"/>
    <n v="0.30399999999999999"/>
    <n v="0.13700000000000001"/>
    <s v="Middle Physical Therapist"/>
  </r>
  <r>
    <x v="177"/>
    <s v="Personnel"/>
    <s v="E "/>
    <x v="0"/>
    <x v="26"/>
    <s v="PSES Elem Prog21Duty49 S275"/>
    <x v="1"/>
    <s v="49"/>
    <n v="49"/>
    <m/>
    <s v="   "/>
    <n v="2.7"/>
    <n v="0.30399999999999999"/>
    <n v="0.82099999999999995"/>
    <s v="Elementary Behavior Analyst"/>
  </r>
  <r>
    <x v="177"/>
    <s v="Personnel"/>
    <s v="H "/>
    <x v="1"/>
    <x v="55"/>
    <s v="PSES High Prog21Duty49 S275"/>
    <x v="1"/>
    <s v="49"/>
    <n v="49"/>
    <m/>
    <s v="   "/>
    <n v="1.55"/>
    <n v="0.30399999999999999"/>
    <n v="0.47099999999999997"/>
    <s v="High Behavior Analyst"/>
  </r>
  <r>
    <x v="177"/>
    <s v="Personnel"/>
    <s v="M "/>
    <x v="2"/>
    <x v="50"/>
    <s v="PSES Mid Prog21Duty49 S275"/>
    <x v="1"/>
    <s v="49"/>
    <n v="49"/>
    <m/>
    <s v="   "/>
    <n v="0.75"/>
    <n v="0.30399999999999999"/>
    <n v="0.22800000000000001"/>
    <s v="Middle Behavior Analyst"/>
  </r>
  <r>
    <x v="178"/>
    <s v="Personnel"/>
    <s v="E "/>
    <x v="0"/>
    <x v="71"/>
    <s v="PSES Elem Prog97Act25 S275"/>
    <x v="2"/>
    <s v="25"/>
    <m/>
    <n v="25"/>
    <s v="   "/>
    <n v="1.3"/>
    <n v="0.27760000000000001"/>
    <n v="0"/>
    <s v="Elementary Pupil Management"/>
  </r>
  <r>
    <x v="178"/>
    <s v="Personnel"/>
    <s v="E "/>
    <x v="0"/>
    <x v="3"/>
    <s v="PSES Elem Prog01Act25 S275"/>
    <x v="0"/>
    <s v="25"/>
    <m/>
    <n v="25"/>
    <s v="   "/>
    <n v="23.221"/>
    <n v="0.27760000000000001"/>
    <n v="0"/>
    <s v="Elementary Pupil Management"/>
  </r>
  <r>
    <x v="178"/>
    <s v="Personnel"/>
    <s v="H "/>
    <x v="1"/>
    <x v="4"/>
    <s v="PSES High Prog21Act25 S275"/>
    <x v="1"/>
    <s v="25"/>
    <m/>
    <n v="25"/>
    <s v="   "/>
    <n v="6.72"/>
    <n v="0.27760000000000001"/>
    <n v="1.865"/>
    <s v="High Pupil Management"/>
  </r>
  <r>
    <x v="178"/>
    <s v="Personnel"/>
    <s v="E "/>
    <x v="0"/>
    <x v="8"/>
    <s v="PSES Elem Prog01Act26 S275"/>
    <x v="0"/>
    <s v="26"/>
    <m/>
    <n v="26"/>
    <s v="   "/>
    <n v="16.109000000000002"/>
    <n v="0.27760000000000001"/>
    <n v="0"/>
    <s v="Elementary Health/_x000a_Related Services"/>
  </r>
  <r>
    <x v="178"/>
    <s v="Personnel"/>
    <s v="H "/>
    <x v="1"/>
    <x v="29"/>
    <s v="PSES High Prog21Act26 S275"/>
    <x v="1"/>
    <s v="26"/>
    <m/>
    <n v="26"/>
    <s v="   "/>
    <n v="5.944"/>
    <n v="0.27760000000000001"/>
    <n v="1.65"/>
    <s v="High Health/_x000a_Related Services"/>
  </r>
  <r>
    <x v="178"/>
    <s v="Personnel"/>
    <s v="E "/>
    <x v="0"/>
    <x v="15"/>
    <s v="PSES Elem Prog01Duty42 S275"/>
    <x v="0"/>
    <s v="42"/>
    <n v="42"/>
    <m/>
    <s v="   "/>
    <n v="47.741999999999997"/>
    <n v="0.27760000000000001"/>
    <n v="0"/>
    <s v="Elementary Counselor"/>
  </r>
  <r>
    <x v="178"/>
    <s v="Personnel"/>
    <s v="H "/>
    <x v="1"/>
    <x v="16"/>
    <s v="PSES High Prog01Duty42 S275"/>
    <x v="0"/>
    <s v="42"/>
    <n v="42"/>
    <m/>
    <s v="   "/>
    <n v="21"/>
    <n v="0.27760000000000001"/>
    <n v="0"/>
    <s v="High Counselor"/>
  </r>
  <r>
    <x v="178"/>
    <s v="Personnel"/>
    <s v="M "/>
    <x v="2"/>
    <x v="17"/>
    <s v="PSES Mid Prog01Duty42 S275"/>
    <x v="0"/>
    <s v="42"/>
    <n v="42"/>
    <m/>
    <s v="   "/>
    <n v="13.438000000000001"/>
    <n v="0.27760000000000001"/>
    <n v="0"/>
    <s v="Middle Counselor"/>
  </r>
  <r>
    <x v="178"/>
    <s v="Personnel"/>
    <s v="E "/>
    <x v="0"/>
    <x v="18"/>
    <s v="PSES Elem Prog21Duty43 S275"/>
    <x v="1"/>
    <s v="43"/>
    <n v="43"/>
    <m/>
    <s v="   "/>
    <n v="10.9"/>
    <n v="0.27760000000000001"/>
    <n v="3.0259999999999998"/>
    <s v="Elementary Occupational Therapist"/>
  </r>
  <r>
    <x v="178"/>
    <s v="Personnel"/>
    <s v="H "/>
    <x v="1"/>
    <x v="19"/>
    <s v="PSES High Prog21Duty43 S275"/>
    <x v="1"/>
    <s v="43"/>
    <n v="43"/>
    <m/>
    <s v="   "/>
    <n v="7.27"/>
    <n v="0.27760000000000001"/>
    <n v="2.0179999999999998"/>
    <s v="High Occupational Therapist"/>
  </r>
  <r>
    <x v="178"/>
    <s v="Personnel"/>
    <s v="M "/>
    <x v="2"/>
    <x v="31"/>
    <s v="PSES Mid Prog21Duty43 S275"/>
    <x v="1"/>
    <s v="43"/>
    <n v="43"/>
    <m/>
    <s v="   "/>
    <n v="3.03"/>
    <n v="0.27760000000000001"/>
    <n v="0.84099999999999997"/>
    <s v="Middle Occupational Therapist"/>
  </r>
  <r>
    <x v="178"/>
    <s v="Personnel"/>
    <s v="E "/>
    <x v="0"/>
    <x v="42"/>
    <s v="PSES Elem Prog01Duty44 S275"/>
    <x v="0"/>
    <s v="44"/>
    <n v="44"/>
    <m/>
    <s v="   "/>
    <n v="0.4"/>
    <n v="0.27760000000000001"/>
    <n v="0"/>
    <s v="Elementary Social Worker"/>
  </r>
  <r>
    <x v="178"/>
    <s v="Personnel"/>
    <s v="H "/>
    <x v="1"/>
    <x v="44"/>
    <s v="PSES High Prog01Duty44 S275"/>
    <x v="0"/>
    <s v="44"/>
    <n v="44"/>
    <m/>
    <s v="   "/>
    <n v="3"/>
    <n v="0.27760000000000001"/>
    <n v="0"/>
    <s v="High Social Worker"/>
  </r>
  <r>
    <x v="178"/>
    <s v="Personnel"/>
    <s v="E "/>
    <x v="0"/>
    <x v="20"/>
    <s v="PSES Elem Prog21Duty45 S275"/>
    <x v="1"/>
    <s v="45"/>
    <n v="45"/>
    <m/>
    <s v="   "/>
    <n v="26.516999999999999"/>
    <n v="0.27760000000000001"/>
    <n v="7.3609999999999998"/>
    <s v="Elementary Speech, Language Pathway/_x000a_Audio"/>
  </r>
  <r>
    <x v="178"/>
    <s v="Personnel"/>
    <s v="H "/>
    <x v="1"/>
    <x v="21"/>
    <s v="PSES High Prog21Duty45 S275"/>
    <x v="1"/>
    <s v="45"/>
    <n v="45"/>
    <m/>
    <s v="   "/>
    <n v="17.693000000000001"/>
    <n v="0.27760000000000001"/>
    <n v="4.9119999999999999"/>
    <s v="High Speech, Language Pathway/_x000a_Audio"/>
  </r>
  <r>
    <x v="178"/>
    <s v="Personnel"/>
    <s v="M "/>
    <x v="2"/>
    <x v="28"/>
    <s v="PSES Mid Prog21Duty45 S275"/>
    <x v="1"/>
    <s v="45"/>
    <n v="45"/>
    <m/>
    <s v="   "/>
    <n v="7.3760000000000003"/>
    <n v="0.27760000000000001"/>
    <n v="2.048"/>
    <s v="Middle Speech, Language Pathway/_x000a_Audio"/>
  </r>
  <r>
    <x v="178"/>
    <s v="Personnel"/>
    <s v="E "/>
    <x v="0"/>
    <x v="22"/>
    <s v="PSES Elem Prog21Duty46 S275"/>
    <x v="1"/>
    <s v="46"/>
    <n v="46"/>
    <m/>
    <s v="   "/>
    <n v="16.690999999999999"/>
    <n v="0.27760000000000001"/>
    <n v="4.633"/>
    <s v="Elementary Psychologist"/>
  </r>
  <r>
    <x v="178"/>
    <s v="Personnel"/>
    <s v="H "/>
    <x v="1"/>
    <x v="23"/>
    <s v="PSES High Prog21Duty46 S275"/>
    <x v="1"/>
    <s v="46"/>
    <n v="46"/>
    <m/>
    <s v="   "/>
    <n v="11.137"/>
    <n v="0.27760000000000001"/>
    <n v="3.0920000000000001"/>
    <s v="High Psychologist"/>
  </r>
  <r>
    <x v="178"/>
    <s v="Personnel"/>
    <s v="M "/>
    <x v="2"/>
    <x v="24"/>
    <s v="PSES Mid Prog21Duty46 S275"/>
    <x v="1"/>
    <s v="46"/>
    <n v="46"/>
    <m/>
    <s v="   "/>
    <n v="4.6429999999999998"/>
    <n v="0.27760000000000001"/>
    <n v="1.2889999999999999"/>
    <s v="Middle Psychologist"/>
  </r>
  <r>
    <x v="178"/>
    <s v="Personnel"/>
    <s v="E "/>
    <x v="0"/>
    <x v="32"/>
    <s v="PSES Elem Prog21Duty47 S275"/>
    <x v="1"/>
    <s v="47"/>
    <n v="47"/>
    <m/>
    <s v="   "/>
    <n v="0.308"/>
    <n v="0.27760000000000001"/>
    <n v="8.5999999999999993E-2"/>
    <s v="Elementary Nurse"/>
  </r>
  <r>
    <x v="178"/>
    <s v="Personnel"/>
    <s v="E "/>
    <x v="0"/>
    <x v="27"/>
    <s v="PSES Elem Prog01Duty47 S275"/>
    <x v="0"/>
    <s v="47"/>
    <n v="47"/>
    <m/>
    <s v="   "/>
    <n v="15.776999999999999"/>
    <n v="0.27760000000000001"/>
    <n v="0"/>
    <s v="Elementary Nurse"/>
  </r>
  <r>
    <x v="178"/>
    <s v="Personnel"/>
    <s v="H "/>
    <x v="1"/>
    <x v="61"/>
    <s v="PSES High Prog21Duty47 S275"/>
    <x v="1"/>
    <s v="47"/>
    <n v="47"/>
    <m/>
    <s v="   "/>
    <n v="0.20599999999999999"/>
    <n v="0.27760000000000001"/>
    <n v="5.7000000000000002E-2"/>
    <s v="High Nurse"/>
  </r>
  <r>
    <x v="178"/>
    <s v="Personnel"/>
    <s v="H "/>
    <x v="1"/>
    <x v="25"/>
    <s v="PSES High Prog01Duty47 S275"/>
    <x v="0"/>
    <s v="47"/>
    <n v="47"/>
    <m/>
    <s v="   "/>
    <n v="6.7450000000000001"/>
    <n v="0.27760000000000001"/>
    <n v="0"/>
    <s v="High Nurse"/>
  </r>
  <r>
    <x v="178"/>
    <s v="Personnel"/>
    <s v="M "/>
    <x v="2"/>
    <x v="33"/>
    <s v="PSES Mid Prog21Duty47 S275"/>
    <x v="1"/>
    <s v="47"/>
    <n v="47"/>
    <m/>
    <s v="   "/>
    <n v="8.5999999999999993E-2"/>
    <n v="0.27760000000000001"/>
    <n v="2.4E-2"/>
    <s v="Middle Nurse"/>
  </r>
  <r>
    <x v="178"/>
    <s v="Personnel"/>
    <s v="M "/>
    <x v="2"/>
    <x v="34"/>
    <s v="PSES Mid Prog01Duty47 S275"/>
    <x v="0"/>
    <s v="47"/>
    <n v="47"/>
    <m/>
    <s v="   "/>
    <n v="3.758"/>
    <n v="0.27760000000000001"/>
    <n v="0"/>
    <s v="Middle Nurse"/>
  </r>
  <r>
    <x v="178"/>
    <s v="Personnel"/>
    <s v="E "/>
    <x v="0"/>
    <x v="35"/>
    <s v="PSES Elem Prog21Duty48 S275"/>
    <x v="1"/>
    <s v="48"/>
    <n v="48"/>
    <m/>
    <s v="   "/>
    <n v="5.0359999999999996"/>
    <n v="0.27760000000000001"/>
    <n v="1.3979999999999999"/>
    <s v="Elementary Physical Therapist"/>
  </r>
  <r>
    <x v="178"/>
    <s v="Personnel"/>
    <s v="H "/>
    <x v="1"/>
    <x v="36"/>
    <s v="PSES High Prog21Duty48 S275"/>
    <x v="1"/>
    <s v="48"/>
    <n v="48"/>
    <m/>
    <s v="   "/>
    <n v="3.3620000000000001"/>
    <n v="0.27760000000000001"/>
    <n v="0.93300000000000005"/>
    <s v="High Physical Therapist"/>
  </r>
  <r>
    <x v="178"/>
    <s v="Personnel"/>
    <s v="M "/>
    <x v="2"/>
    <x v="37"/>
    <s v="PSES Mid Prog21Duty48 S275"/>
    <x v="1"/>
    <s v="48"/>
    <n v="48"/>
    <m/>
    <s v="   "/>
    <n v="1.4019999999999999"/>
    <n v="0.27760000000000001"/>
    <n v="0.38900000000000001"/>
    <s v="Middle Physical Therapist"/>
  </r>
  <r>
    <x v="178"/>
    <s v="Personnel"/>
    <s v="E "/>
    <x v="0"/>
    <x v="26"/>
    <s v="PSES Elem Prog21Duty49 S275"/>
    <x v="1"/>
    <s v="49"/>
    <n v="49"/>
    <m/>
    <s v="   "/>
    <n v="2.056"/>
    <n v="0.27760000000000001"/>
    <n v="0.57099999999999995"/>
    <s v="Elementary Behavior Analyst"/>
  </r>
  <r>
    <x v="178"/>
    <s v="Personnel"/>
    <s v="H "/>
    <x v="1"/>
    <x v="55"/>
    <s v="PSES High Prog21Duty49 S275"/>
    <x v="1"/>
    <s v="49"/>
    <n v="49"/>
    <m/>
    <s v="   "/>
    <n v="1.3720000000000001"/>
    <n v="0.27760000000000001"/>
    <n v="0.38100000000000001"/>
    <s v="High Behavior Analyst"/>
  </r>
  <r>
    <x v="178"/>
    <s v="Personnel"/>
    <s v="H "/>
    <x v="1"/>
    <x v="68"/>
    <s v="PSES High Prog01Duty49 S275"/>
    <x v="0"/>
    <s v="49"/>
    <n v="49"/>
    <m/>
    <s v="   "/>
    <n v="1"/>
    <n v="0.27760000000000001"/>
    <n v="0"/>
    <s v="High Behavior Analyst"/>
  </r>
  <r>
    <x v="178"/>
    <s v="Personnel"/>
    <s v="M "/>
    <x v="2"/>
    <x v="50"/>
    <s v="PSES Mid Prog21Duty49 S275"/>
    <x v="1"/>
    <s v="49"/>
    <n v="49"/>
    <m/>
    <s v="   "/>
    <n v="0.57199999999999995"/>
    <n v="0.27760000000000001"/>
    <n v="0.159"/>
    <s v="Middle Behavior Analyst"/>
  </r>
  <r>
    <x v="179"/>
    <s v="Personnel"/>
    <s v="H "/>
    <x v="1"/>
    <x v="1"/>
    <s v="PSES High Prog01Duty96 S275"/>
    <x v="0"/>
    <s v="24"/>
    <n v="96"/>
    <n v="24"/>
    <s v="   "/>
    <n v="0.36199999999999999"/>
    <n v="0.3145"/>
    <n v="0"/>
    <s v="High Family Engagement Coordinator"/>
  </r>
  <r>
    <x v="179"/>
    <s v="Personnel"/>
    <s v="H "/>
    <x v="1"/>
    <x v="5"/>
    <s v="PSES High Prog01Act25 S275"/>
    <x v="0"/>
    <s v="25"/>
    <m/>
    <n v="25"/>
    <s v="   "/>
    <n v="9.3239999999999998"/>
    <n v="0.3145"/>
    <n v="0"/>
    <s v="High Pupil Management"/>
  </r>
  <r>
    <x v="179"/>
    <s v="Personnel"/>
    <s v="H "/>
    <x v="1"/>
    <x v="29"/>
    <s v="PSES High Prog21Act26 S275"/>
    <x v="1"/>
    <s v="26"/>
    <m/>
    <n v="26"/>
    <s v="   "/>
    <n v="2.3879999999999999"/>
    <n v="0.3145"/>
    <n v="0.751"/>
    <s v="High Health/_x000a_Related Services"/>
  </r>
  <r>
    <x v="179"/>
    <s v="Personnel"/>
    <s v="H "/>
    <x v="1"/>
    <x v="9"/>
    <s v="PSES High Prog01Act26 S275"/>
    <x v="0"/>
    <s v="26"/>
    <m/>
    <n v="26"/>
    <s v="   "/>
    <n v="6.0990000000000002"/>
    <n v="0.3145"/>
    <n v="0"/>
    <s v="High Health/_x000a_Related Services"/>
  </r>
  <r>
    <x v="179"/>
    <s v="Personnel"/>
    <s v="H "/>
    <x v="1"/>
    <x v="54"/>
    <s v="PSES High Prog01Act35 S275"/>
    <x v="0"/>
    <s v="35"/>
    <m/>
    <n v="35"/>
    <s v="   "/>
    <n v="0.74299999999999999"/>
    <n v="0.3145"/>
    <n v="0"/>
    <s v="High Pupil Safety"/>
  </r>
  <r>
    <x v="179"/>
    <s v="Personnel"/>
    <s v="E "/>
    <x v="0"/>
    <x v="15"/>
    <s v="PSES Elem Prog01Duty42 S275"/>
    <x v="0"/>
    <s v="42"/>
    <n v="42"/>
    <m/>
    <s v="   "/>
    <n v="6.59"/>
    <n v="0.3145"/>
    <n v="0"/>
    <s v="Elementary Counselor"/>
  </r>
  <r>
    <x v="179"/>
    <s v="Personnel"/>
    <s v="H "/>
    <x v="1"/>
    <x v="16"/>
    <s v="PSES High Prog01Duty42 S275"/>
    <x v="0"/>
    <s v="42"/>
    <n v="42"/>
    <m/>
    <s v="   "/>
    <n v="4.53"/>
    <n v="0.3145"/>
    <n v="0"/>
    <s v="High Counselor"/>
  </r>
  <r>
    <x v="179"/>
    <s v="Personnel"/>
    <s v="M "/>
    <x v="2"/>
    <x v="17"/>
    <s v="PSES Mid Prog01Duty42 S275"/>
    <x v="0"/>
    <s v="42"/>
    <n v="42"/>
    <m/>
    <s v="   "/>
    <n v="2.88"/>
    <n v="0.3145"/>
    <n v="0"/>
    <s v="Middle Counselor"/>
  </r>
  <r>
    <x v="179"/>
    <s v="Personnel"/>
    <s v="E "/>
    <x v="0"/>
    <x v="18"/>
    <s v="PSES Elem Prog21Duty43 S275"/>
    <x v="1"/>
    <s v="43"/>
    <n v="43"/>
    <m/>
    <s v="   "/>
    <n v="1.17"/>
    <n v="0.3145"/>
    <n v="0.36799999999999999"/>
    <s v="Elementary Occupational Therapist"/>
  </r>
  <r>
    <x v="179"/>
    <s v="Personnel"/>
    <s v="H "/>
    <x v="1"/>
    <x v="19"/>
    <s v="PSES High Prog21Duty43 S275"/>
    <x v="1"/>
    <s v="43"/>
    <n v="43"/>
    <m/>
    <s v="   "/>
    <n v="0.25"/>
    <n v="0.3145"/>
    <n v="7.9000000000000001E-2"/>
    <s v="High Occupational Therapist"/>
  </r>
  <r>
    <x v="179"/>
    <s v="Personnel"/>
    <s v="M "/>
    <x v="2"/>
    <x v="31"/>
    <s v="PSES Mid Prog21Duty43 S275"/>
    <x v="1"/>
    <s v="43"/>
    <n v="43"/>
    <m/>
    <s v="   "/>
    <n v="0.25"/>
    <n v="0.3145"/>
    <n v="7.9000000000000001E-2"/>
    <s v="Middle Occupational Therapist"/>
  </r>
  <r>
    <x v="179"/>
    <s v="Personnel"/>
    <s v="E "/>
    <x v="0"/>
    <x v="20"/>
    <s v="PSES Elem Prog21Duty45 S275"/>
    <x v="1"/>
    <s v="45"/>
    <n v="45"/>
    <m/>
    <s v="   "/>
    <n v="7.2"/>
    <n v="0.3145"/>
    <n v="2.2639999999999998"/>
    <s v="Elementary Speech, Language Pathway/_x000a_Audio"/>
  </r>
  <r>
    <x v="179"/>
    <s v="Personnel"/>
    <s v="H "/>
    <x v="1"/>
    <x v="21"/>
    <s v="PSES High Prog21Duty45 S275"/>
    <x v="1"/>
    <s v="45"/>
    <n v="45"/>
    <m/>
    <s v="   "/>
    <n v="0.2"/>
    <n v="0.3145"/>
    <n v="6.3E-2"/>
    <s v="High Speech, Language Pathway/_x000a_Audio"/>
  </r>
  <r>
    <x v="179"/>
    <s v="Personnel"/>
    <s v="M "/>
    <x v="2"/>
    <x v="28"/>
    <s v="PSES Mid Prog21Duty45 S275"/>
    <x v="1"/>
    <s v="45"/>
    <n v="45"/>
    <m/>
    <s v="   "/>
    <n v="1.4"/>
    <n v="0.3145"/>
    <n v="0.44"/>
    <s v="Middle Speech, Language Pathway/_x000a_Audio"/>
  </r>
  <r>
    <x v="179"/>
    <s v="Personnel"/>
    <s v="E "/>
    <x v="0"/>
    <x v="35"/>
    <s v="PSES Elem Prog21Duty48 S275"/>
    <x v="1"/>
    <s v="48"/>
    <n v="48"/>
    <m/>
    <s v="   "/>
    <n v="0.64500000000000002"/>
    <n v="0.3145"/>
    <n v="0.20300000000000001"/>
    <s v="Elementary Physical Therapist"/>
  </r>
  <r>
    <x v="179"/>
    <s v="Personnel"/>
    <s v="H "/>
    <x v="1"/>
    <x v="36"/>
    <s v="PSES High Prog21Duty48 S275"/>
    <x v="1"/>
    <s v="48"/>
    <n v="48"/>
    <m/>
    <s v="   "/>
    <n v="0.56999999999999995"/>
    <n v="0.3145"/>
    <n v="0.17899999999999999"/>
    <s v="High Physical Therapist"/>
  </r>
  <r>
    <x v="179"/>
    <s v="Personnel"/>
    <s v="M "/>
    <x v="2"/>
    <x v="37"/>
    <s v="PSES Mid Prog21Duty48 S275"/>
    <x v="1"/>
    <s v="48"/>
    <n v="48"/>
    <m/>
    <s v="   "/>
    <n v="0.14299999999999999"/>
    <n v="0.3145"/>
    <n v="4.4999999999999998E-2"/>
    <s v="Middle Physical Therapist"/>
  </r>
  <r>
    <x v="180"/>
    <s v="Personnel"/>
    <s v="H "/>
    <x v="1"/>
    <x v="5"/>
    <s v="PSES High Prog01Act25 S275"/>
    <x v="0"/>
    <s v="25"/>
    <m/>
    <n v="25"/>
    <s v="   "/>
    <n v="3.73"/>
    <n v="0.2747"/>
    <n v="0"/>
    <s v="High Pupil Management"/>
  </r>
  <r>
    <x v="180"/>
    <s v="Personnel"/>
    <s v="E "/>
    <x v="0"/>
    <x v="7"/>
    <s v="PSES Elem Prog21Act26 S275"/>
    <x v="1"/>
    <s v="26"/>
    <m/>
    <n v="26"/>
    <s v="   "/>
    <n v="0.85"/>
    <n v="0.2747"/>
    <n v="0.23300000000000001"/>
    <s v="Elementary Health/_x000a_Related Services"/>
  </r>
  <r>
    <x v="180"/>
    <s v="Personnel"/>
    <s v="E "/>
    <x v="0"/>
    <x v="8"/>
    <s v="PSES Elem Prog01Act26 S275"/>
    <x v="0"/>
    <s v="26"/>
    <m/>
    <n v="26"/>
    <s v="   "/>
    <n v="4.0730000000000004"/>
    <n v="0.2747"/>
    <n v="0"/>
    <s v="Elementary Health/_x000a_Related Services"/>
  </r>
  <r>
    <x v="180"/>
    <s v="Personnel"/>
    <s v="H "/>
    <x v="1"/>
    <x v="29"/>
    <s v="PSES High Prog21Act26 S275"/>
    <x v="1"/>
    <s v="26"/>
    <m/>
    <n v="26"/>
    <s v="   "/>
    <n v="0.52600000000000002"/>
    <n v="0.2747"/>
    <n v="0.14399999999999999"/>
    <s v="High Health/_x000a_Related Services"/>
  </r>
  <r>
    <x v="180"/>
    <s v="Personnel"/>
    <s v="H "/>
    <x v="1"/>
    <x v="9"/>
    <s v="PSES High Prog01Act26 S275"/>
    <x v="0"/>
    <s v="26"/>
    <m/>
    <n v="26"/>
    <s v="   "/>
    <n v="6.0780000000000003"/>
    <n v="0.2747"/>
    <n v="0"/>
    <s v="High Health/_x000a_Related Services"/>
  </r>
  <r>
    <x v="180"/>
    <s v="Personnel"/>
    <s v="M "/>
    <x v="2"/>
    <x v="10"/>
    <s v="PSES Mid Prog21Act26 S275"/>
    <x v="1"/>
    <s v="26"/>
    <m/>
    <n v="26"/>
    <s v="   "/>
    <n v="0.254"/>
    <n v="0.2747"/>
    <n v="7.0000000000000007E-2"/>
    <s v="Middle Health/_x000a_Related Services"/>
  </r>
  <r>
    <x v="180"/>
    <s v="Personnel"/>
    <s v="M "/>
    <x v="2"/>
    <x v="11"/>
    <s v="PSES Mid Prog01Act26 S275"/>
    <x v="0"/>
    <s v="26"/>
    <m/>
    <n v="26"/>
    <s v="   "/>
    <n v="1.3380000000000001"/>
    <n v="0.2747"/>
    <n v="0"/>
    <s v="Middle Health/_x000a_Related Services"/>
  </r>
  <r>
    <x v="180"/>
    <s v="Personnel"/>
    <s v="E "/>
    <x v="0"/>
    <x v="62"/>
    <s v="PSES Elem Prog01Act35 S275"/>
    <x v="0"/>
    <s v="35"/>
    <m/>
    <n v="35"/>
    <s v="   "/>
    <n v="0.25600000000000001"/>
    <n v="0.2747"/>
    <n v="0"/>
    <s v="Elementary Pupil Safety"/>
  </r>
  <r>
    <x v="180"/>
    <s v="Personnel"/>
    <s v="H "/>
    <x v="1"/>
    <x v="54"/>
    <s v="PSES High Prog01Act35 S275"/>
    <x v="0"/>
    <s v="35"/>
    <m/>
    <n v="35"/>
    <s v="   "/>
    <n v="2.238"/>
    <n v="0.2747"/>
    <n v="0"/>
    <s v="High Pupil Safety"/>
  </r>
  <r>
    <x v="180"/>
    <s v="Personnel"/>
    <s v="M "/>
    <x v="2"/>
    <x v="63"/>
    <s v="PSES Mid Prog01Act35 S275"/>
    <x v="0"/>
    <s v="35"/>
    <m/>
    <n v="35"/>
    <s v="   "/>
    <n v="0.49"/>
    <n v="0.2747"/>
    <n v="0"/>
    <s v="Middle Pupil Safety"/>
  </r>
  <r>
    <x v="180"/>
    <s v="Personnel"/>
    <s v="E "/>
    <x v="0"/>
    <x v="14"/>
    <s v="PSES Elem Prog21Duty39 S275"/>
    <x v="1"/>
    <s v="39"/>
    <n v="39"/>
    <m/>
    <s v="   "/>
    <n v="0.52300000000000002"/>
    <n v="0.2747"/>
    <n v="0.14399999999999999"/>
    <s v="Elementary Orientation &amp; Mobility Specialist"/>
  </r>
  <r>
    <x v="180"/>
    <s v="Personnel"/>
    <s v="H "/>
    <x v="1"/>
    <x v="83"/>
    <s v="PSES High Prog21Duty39 S275"/>
    <x v="1"/>
    <s v="39"/>
    <n v="39"/>
    <m/>
    <s v="   "/>
    <n v="0.33200000000000002"/>
    <n v="0.2747"/>
    <n v="9.0999999999999998E-2"/>
    <s v="High Orientation &amp; Mobility Specialist"/>
  </r>
  <r>
    <x v="180"/>
    <s v="Personnel"/>
    <s v="M "/>
    <x v="2"/>
    <x v="88"/>
    <s v="PSES Mid Prog21Duty39 S275"/>
    <x v="1"/>
    <s v="39"/>
    <n v="39"/>
    <m/>
    <s v="   "/>
    <n v="0.14499999999999999"/>
    <n v="0.2747"/>
    <n v="0.04"/>
    <s v="Middle Orientation &amp; Mobility Specialist"/>
  </r>
  <r>
    <x v="180"/>
    <s v="Personnel"/>
    <s v="E "/>
    <x v="0"/>
    <x v="76"/>
    <s v="PSES Elem Prog21Duty42 S275"/>
    <x v="1"/>
    <s v="42"/>
    <n v="42"/>
    <m/>
    <s v="   "/>
    <n v="1.7430000000000001"/>
    <n v="0.2747"/>
    <n v="0.47899999999999998"/>
    <s v="Elementary Counselor"/>
  </r>
  <r>
    <x v="180"/>
    <s v="Personnel"/>
    <s v="E "/>
    <x v="0"/>
    <x v="15"/>
    <s v="PSES Elem Prog01Duty42 S275"/>
    <x v="0"/>
    <s v="42"/>
    <n v="42"/>
    <m/>
    <s v="   "/>
    <n v="12.516"/>
    <n v="0.2747"/>
    <n v="0"/>
    <s v="Elementary Counselor"/>
  </r>
  <r>
    <x v="180"/>
    <s v="Personnel"/>
    <s v="H "/>
    <x v="1"/>
    <x v="16"/>
    <s v="PSES High Prog01Duty42 S275"/>
    <x v="0"/>
    <s v="42"/>
    <n v="42"/>
    <m/>
    <s v="   "/>
    <n v="9.5"/>
    <n v="0.2747"/>
    <n v="0"/>
    <s v="High Counselor"/>
  </r>
  <r>
    <x v="180"/>
    <s v="Personnel"/>
    <s v="M "/>
    <x v="2"/>
    <x v="75"/>
    <s v="PSES Mid Prog21Duty42 S275"/>
    <x v="1"/>
    <s v="42"/>
    <n v="42"/>
    <m/>
    <s v="   "/>
    <n v="0.45700000000000002"/>
    <n v="0.2747"/>
    <n v="0.126"/>
    <s v="Middle Counselor"/>
  </r>
  <r>
    <x v="180"/>
    <s v="Personnel"/>
    <s v="M "/>
    <x v="2"/>
    <x v="17"/>
    <s v="PSES Mid Prog01Duty42 S275"/>
    <x v="0"/>
    <s v="42"/>
    <n v="42"/>
    <m/>
    <s v="   "/>
    <n v="3.8839999999999999"/>
    <n v="0.2747"/>
    <n v="0"/>
    <s v="Middle Counselor"/>
  </r>
  <r>
    <x v="180"/>
    <s v="Personnel"/>
    <s v="E "/>
    <x v="0"/>
    <x v="18"/>
    <s v="PSES Elem Prog21Duty43 S275"/>
    <x v="1"/>
    <s v="43"/>
    <n v="43"/>
    <m/>
    <s v="   "/>
    <n v="5.9130000000000003"/>
    <n v="0.2747"/>
    <n v="1.6240000000000001"/>
    <s v="Elementary Occupational Therapist"/>
  </r>
  <r>
    <x v="180"/>
    <s v="Personnel"/>
    <s v="H "/>
    <x v="1"/>
    <x v="19"/>
    <s v="PSES High Prog21Duty43 S275"/>
    <x v="1"/>
    <s v="43"/>
    <n v="43"/>
    <m/>
    <s v="   "/>
    <n v="0.63200000000000001"/>
    <n v="0.2747"/>
    <n v="0.17399999999999999"/>
    <s v="High Occupational Therapist"/>
  </r>
  <r>
    <x v="180"/>
    <s v="Personnel"/>
    <s v="M "/>
    <x v="2"/>
    <x v="31"/>
    <s v="PSES Mid Prog21Duty43 S275"/>
    <x v="1"/>
    <s v="43"/>
    <n v="43"/>
    <m/>
    <s v="   "/>
    <n v="0.45500000000000002"/>
    <n v="0.2747"/>
    <n v="0.125"/>
    <s v="Middle Occupational Therapist"/>
  </r>
  <r>
    <x v="180"/>
    <s v="Personnel"/>
    <s v="E "/>
    <x v="0"/>
    <x v="41"/>
    <s v="PSES Elem Prog21Duty44 S275"/>
    <x v="1"/>
    <s v="44"/>
    <n v="44"/>
    <m/>
    <s v="   "/>
    <n v="4.97"/>
    <n v="0.2747"/>
    <n v="1.365"/>
    <s v="Elementary Social Worker"/>
  </r>
  <r>
    <x v="180"/>
    <s v="Personnel"/>
    <s v="E "/>
    <x v="0"/>
    <x v="42"/>
    <s v="PSES Elem Prog01Duty44 S275"/>
    <x v="0"/>
    <s v="44"/>
    <n v="44"/>
    <m/>
    <s v="   "/>
    <n v="0.875"/>
    <n v="0.2747"/>
    <n v="0"/>
    <s v="Elementary Social Worker"/>
  </r>
  <r>
    <x v="180"/>
    <s v="Personnel"/>
    <s v="H "/>
    <x v="1"/>
    <x v="43"/>
    <s v="PSES High Prog21Duty44 S275"/>
    <x v="1"/>
    <s v="44"/>
    <n v="44"/>
    <m/>
    <s v="   "/>
    <n v="1.4"/>
    <n v="0.2747"/>
    <n v="0.38500000000000001"/>
    <s v="High Social Worker"/>
  </r>
  <r>
    <x v="180"/>
    <s v="Personnel"/>
    <s v="H "/>
    <x v="1"/>
    <x v="44"/>
    <s v="PSES High Prog01Duty44 S275"/>
    <x v="0"/>
    <s v="44"/>
    <n v="44"/>
    <m/>
    <s v="   "/>
    <n v="0.6"/>
    <n v="0.2747"/>
    <n v="0"/>
    <s v="High Social Worker"/>
  </r>
  <r>
    <x v="180"/>
    <s v="Personnel"/>
    <s v="M "/>
    <x v="2"/>
    <x v="45"/>
    <s v="PSES Mid Prog21Duty44 S275"/>
    <x v="1"/>
    <s v="44"/>
    <n v="44"/>
    <m/>
    <s v="   "/>
    <n v="0.92900000000000005"/>
    <n v="0.2747"/>
    <n v="0.255"/>
    <s v="Middle Social Worker"/>
  </r>
  <r>
    <x v="180"/>
    <s v="Personnel"/>
    <s v="M "/>
    <x v="2"/>
    <x v="46"/>
    <s v="PSES Mid Prog01Duty44 S275"/>
    <x v="0"/>
    <s v="44"/>
    <n v="44"/>
    <m/>
    <s v="   "/>
    <n v="1.7250000000000001"/>
    <n v="0.2747"/>
    <n v="0"/>
    <s v="Middle Social Worker"/>
  </r>
  <r>
    <x v="180"/>
    <s v="Personnel"/>
    <s v="E "/>
    <x v="0"/>
    <x v="20"/>
    <s v="PSES Elem Prog21Duty45 S275"/>
    <x v="1"/>
    <s v="45"/>
    <n v="45"/>
    <m/>
    <s v="   "/>
    <n v="12.727"/>
    <n v="0.2747"/>
    <n v="3.496"/>
    <s v="Elementary Speech, Language Pathway/_x000a_Audio"/>
  </r>
  <r>
    <x v="180"/>
    <s v="Personnel"/>
    <s v="H "/>
    <x v="1"/>
    <x v="21"/>
    <s v="PSES High Prog21Duty45 S275"/>
    <x v="1"/>
    <s v="45"/>
    <n v="45"/>
    <m/>
    <s v="   "/>
    <n v="2.762"/>
    <n v="0.2747"/>
    <n v="0.75900000000000001"/>
    <s v="High Speech, Language Pathway/_x000a_Audio"/>
  </r>
  <r>
    <x v="180"/>
    <s v="Personnel"/>
    <s v="M "/>
    <x v="2"/>
    <x v="28"/>
    <s v="PSES Mid Prog21Duty45 S275"/>
    <x v="1"/>
    <s v="45"/>
    <n v="45"/>
    <m/>
    <s v="   "/>
    <n v="1.4119999999999999"/>
    <n v="0.2747"/>
    <n v="0.38800000000000001"/>
    <s v="Middle Speech, Language Pathway/_x000a_Audio"/>
  </r>
  <r>
    <x v="180"/>
    <s v="Personnel"/>
    <s v="E "/>
    <x v="0"/>
    <x v="22"/>
    <s v="PSES Elem Prog21Duty46 S275"/>
    <x v="1"/>
    <s v="46"/>
    <n v="46"/>
    <m/>
    <s v="   "/>
    <n v="7.1980000000000004"/>
    <n v="0.2747"/>
    <n v="1.9770000000000001"/>
    <s v="Elementary Psychologist"/>
  </r>
  <r>
    <x v="180"/>
    <s v="Personnel"/>
    <s v="H "/>
    <x v="1"/>
    <x v="23"/>
    <s v="PSES High Prog21Duty46 S275"/>
    <x v="1"/>
    <s v="46"/>
    <n v="46"/>
    <m/>
    <s v="   "/>
    <n v="3.9990000000000001"/>
    <n v="0.2747"/>
    <n v="1.099"/>
    <s v="High Psychologist"/>
  </r>
  <r>
    <x v="180"/>
    <s v="Personnel"/>
    <s v="M "/>
    <x v="2"/>
    <x v="24"/>
    <s v="PSES Mid Prog21Duty46 S275"/>
    <x v="1"/>
    <s v="46"/>
    <n v="46"/>
    <m/>
    <s v="   "/>
    <n v="1.8049999999999999"/>
    <n v="0.2747"/>
    <n v="0.496"/>
    <s v="Middle Psychologist"/>
  </r>
  <r>
    <x v="180"/>
    <s v="Personnel"/>
    <s v="E "/>
    <x v="0"/>
    <x v="27"/>
    <s v="PSES Elem Prog01Duty47 S275"/>
    <x v="0"/>
    <s v="47"/>
    <n v="47"/>
    <m/>
    <s v="   "/>
    <n v="1.548"/>
    <n v="0.2747"/>
    <n v="0"/>
    <s v="Elementary Nurse"/>
  </r>
  <r>
    <x v="180"/>
    <s v="Personnel"/>
    <s v="H "/>
    <x v="1"/>
    <x v="25"/>
    <s v="PSES High Prog01Duty47 S275"/>
    <x v="0"/>
    <s v="47"/>
    <n v="47"/>
    <m/>
    <s v="   "/>
    <n v="0.996"/>
    <n v="0.2747"/>
    <n v="0"/>
    <s v="High Nurse"/>
  </r>
  <r>
    <x v="180"/>
    <s v="Personnel"/>
    <s v="M "/>
    <x v="2"/>
    <x v="34"/>
    <s v="PSES Mid Prog01Duty47 S275"/>
    <x v="0"/>
    <s v="47"/>
    <n v="47"/>
    <m/>
    <s v="   "/>
    <n v="0.45600000000000002"/>
    <n v="0.2747"/>
    <n v="0"/>
    <s v="Middle Nurse"/>
  </r>
  <r>
    <x v="180"/>
    <s v="Personnel"/>
    <s v="E "/>
    <x v="0"/>
    <x v="35"/>
    <s v="PSES Elem Prog21Duty48 S275"/>
    <x v="1"/>
    <s v="48"/>
    <n v="48"/>
    <m/>
    <s v="   "/>
    <n v="1.6839999999999999"/>
    <n v="0.2747"/>
    <n v="0.46300000000000002"/>
    <s v="Elementary Physical Therapist"/>
  </r>
  <r>
    <x v="180"/>
    <s v="Personnel"/>
    <s v="H "/>
    <x v="1"/>
    <x v="36"/>
    <s v="PSES High Prog21Duty48 S275"/>
    <x v="1"/>
    <s v="48"/>
    <n v="48"/>
    <m/>
    <s v="   "/>
    <n v="0.23300000000000001"/>
    <n v="0.2747"/>
    <n v="6.4000000000000001E-2"/>
    <s v="High Physical Therapist"/>
  </r>
  <r>
    <x v="180"/>
    <s v="Personnel"/>
    <s v="M "/>
    <x v="2"/>
    <x v="37"/>
    <s v="PSES Mid Prog21Duty48 S275"/>
    <x v="1"/>
    <s v="48"/>
    <n v="48"/>
    <m/>
    <s v="   "/>
    <n v="8.3000000000000004E-2"/>
    <n v="0.2747"/>
    <n v="2.3E-2"/>
    <s v="Middle Physical Therapist"/>
  </r>
  <r>
    <x v="180"/>
    <s v="Personnel"/>
    <s v="E "/>
    <x v="0"/>
    <x v="26"/>
    <s v="PSES Elem Prog21Duty49 S275"/>
    <x v="1"/>
    <s v="49"/>
    <n v="49"/>
    <m/>
    <s v="   "/>
    <n v="1"/>
    <n v="0.2747"/>
    <n v="0.27500000000000002"/>
    <s v="Elementary Behavior Analyst"/>
  </r>
  <r>
    <x v="181"/>
    <s v="Personnel"/>
    <s v="H "/>
    <x v="1"/>
    <x v="4"/>
    <s v="PSES High Prog21Act25 S275"/>
    <x v="1"/>
    <s v="25"/>
    <m/>
    <n v="25"/>
    <s v="   "/>
    <n v="1.36"/>
    <n v="0.308"/>
    <n v="0.41899999999999998"/>
    <s v="High Pupil Management"/>
  </r>
  <r>
    <x v="181"/>
    <s v="Personnel"/>
    <s v="H "/>
    <x v="1"/>
    <x v="5"/>
    <s v="PSES High Prog01Act25 S275"/>
    <x v="0"/>
    <s v="25"/>
    <m/>
    <n v="25"/>
    <s v="   "/>
    <n v="1.593"/>
    <n v="0.308"/>
    <n v="0"/>
    <s v="High Pupil Management"/>
  </r>
  <r>
    <x v="181"/>
    <s v="Personnel"/>
    <s v="M "/>
    <x v="2"/>
    <x v="6"/>
    <s v="PSES Mid Prog01Act25 S275"/>
    <x v="0"/>
    <s v="25"/>
    <m/>
    <n v="25"/>
    <s v="   "/>
    <n v="8.8999999999999996E-2"/>
    <n v="0.308"/>
    <n v="0"/>
    <s v="Middle Pupil Management"/>
  </r>
  <r>
    <x v="181"/>
    <s v="Personnel"/>
    <s v="E "/>
    <x v="0"/>
    <x v="8"/>
    <s v="PSES Elem Prog01Act26 S275"/>
    <x v="0"/>
    <s v="26"/>
    <m/>
    <n v="26"/>
    <s v="   "/>
    <n v="0.89600000000000002"/>
    <n v="0.308"/>
    <n v="0"/>
    <s v="Elementary Health/_x000a_Related Services"/>
  </r>
  <r>
    <x v="181"/>
    <s v="Personnel"/>
    <s v="H "/>
    <x v="1"/>
    <x v="29"/>
    <s v="PSES High Prog21Act26 S275"/>
    <x v="1"/>
    <s v="26"/>
    <m/>
    <n v="26"/>
    <s v="   "/>
    <n v="1.52"/>
    <n v="0.308"/>
    <n v="0.46800000000000003"/>
    <s v="High Health/_x000a_Related Services"/>
  </r>
  <r>
    <x v="181"/>
    <s v="Personnel"/>
    <s v="H "/>
    <x v="1"/>
    <x v="9"/>
    <s v="PSES High Prog01Act26 S275"/>
    <x v="0"/>
    <s v="26"/>
    <m/>
    <n v="26"/>
    <s v="   "/>
    <n v="0.75900000000000001"/>
    <n v="0.308"/>
    <n v="0"/>
    <s v="High Health/_x000a_Related Services"/>
  </r>
  <r>
    <x v="181"/>
    <s v="Personnel"/>
    <s v="E "/>
    <x v="0"/>
    <x v="15"/>
    <s v="PSES Elem Prog01Duty42 S275"/>
    <x v="0"/>
    <s v="42"/>
    <n v="42"/>
    <m/>
    <s v="   "/>
    <n v="2.5499999999999998"/>
    <n v="0.308"/>
    <n v="0"/>
    <s v="Elementary Counselor"/>
  </r>
  <r>
    <x v="181"/>
    <s v="Personnel"/>
    <s v="M "/>
    <x v="2"/>
    <x v="17"/>
    <s v="PSES Mid Prog01Duty42 S275"/>
    <x v="0"/>
    <s v="42"/>
    <n v="42"/>
    <m/>
    <s v="   "/>
    <n v="1.1000000000000001"/>
    <n v="0.308"/>
    <n v="0"/>
    <s v="Middle Counselor"/>
  </r>
  <r>
    <x v="181"/>
    <s v="Personnel"/>
    <s v="E "/>
    <x v="0"/>
    <x v="18"/>
    <s v="PSES Elem Prog21Duty43 S275"/>
    <x v="1"/>
    <s v="43"/>
    <n v="43"/>
    <m/>
    <s v="   "/>
    <n v="0.66700000000000004"/>
    <n v="0.308"/>
    <n v="0.20499999999999999"/>
    <s v="Elementary Occupational Therapist"/>
  </r>
  <r>
    <x v="181"/>
    <s v="Personnel"/>
    <s v="M "/>
    <x v="2"/>
    <x v="31"/>
    <s v="PSES Mid Prog21Duty43 S275"/>
    <x v="1"/>
    <s v="43"/>
    <n v="43"/>
    <m/>
    <s v="   "/>
    <n v="0.33300000000000002"/>
    <n v="0.308"/>
    <n v="0.10299999999999999"/>
    <s v="Middle Occupational Therapist"/>
  </r>
  <r>
    <x v="181"/>
    <s v="Personnel"/>
    <s v="E "/>
    <x v="0"/>
    <x v="20"/>
    <s v="PSES Elem Prog21Duty45 S275"/>
    <x v="1"/>
    <s v="45"/>
    <n v="45"/>
    <m/>
    <s v="   "/>
    <n v="1.3"/>
    <n v="0.308"/>
    <n v="0.4"/>
    <s v="Elementary Speech, Language Pathway/_x000a_Audio"/>
  </r>
  <r>
    <x v="181"/>
    <s v="Personnel"/>
    <s v="E "/>
    <x v="0"/>
    <x v="22"/>
    <s v="PSES Elem Prog21Duty46 S275"/>
    <x v="1"/>
    <s v="46"/>
    <n v="46"/>
    <m/>
    <s v="   "/>
    <n v="1.667"/>
    <n v="0.308"/>
    <n v="0.51300000000000001"/>
    <s v="Elementary Psychologist"/>
  </r>
  <r>
    <x v="181"/>
    <s v="Personnel"/>
    <s v="M "/>
    <x v="2"/>
    <x v="24"/>
    <s v="PSES Mid Prog21Duty46 S275"/>
    <x v="1"/>
    <s v="46"/>
    <n v="46"/>
    <m/>
    <s v="   "/>
    <n v="0.33300000000000002"/>
    <n v="0.308"/>
    <n v="0.10299999999999999"/>
    <s v="Middle Psychologist"/>
  </r>
  <r>
    <x v="181"/>
    <s v="Personnel"/>
    <s v="E "/>
    <x v="0"/>
    <x v="27"/>
    <s v="PSES Elem Prog01Duty47 S275"/>
    <x v="0"/>
    <s v="47"/>
    <n v="47"/>
    <m/>
    <s v="   "/>
    <n v="0.66600000000000004"/>
    <n v="0.308"/>
    <n v="0"/>
    <s v="Elementary Nurse"/>
  </r>
  <r>
    <x v="181"/>
    <s v="Personnel"/>
    <s v="M "/>
    <x v="2"/>
    <x v="34"/>
    <s v="PSES Mid Prog01Duty47 S275"/>
    <x v="0"/>
    <s v="47"/>
    <n v="47"/>
    <m/>
    <s v="   "/>
    <n v="0.33400000000000002"/>
    <n v="0.308"/>
    <n v="0"/>
    <s v="Middle Nurse"/>
  </r>
  <r>
    <x v="182"/>
    <s v="Personnel"/>
    <s v="H "/>
    <x v="1"/>
    <x v="5"/>
    <s v="PSES High Prog01Act25 S275"/>
    <x v="0"/>
    <s v="25"/>
    <m/>
    <n v="25"/>
    <s v="   "/>
    <n v="5.3789999999999996"/>
    <n v="0.26050000000000001"/>
    <n v="0"/>
    <s v="High Pupil Management"/>
  </r>
  <r>
    <x v="182"/>
    <s v="Personnel"/>
    <s v="H "/>
    <x v="1"/>
    <x v="29"/>
    <s v="PSES High Prog21Act26 S275"/>
    <x v="1"/>
    <s v="26"/>
    <m/>
    <n v="26"/>
    <s v="   "/>
    <n v="2.2719999999999998"/>
    <n v="0.26050000000000001"/>
    <n v="0.59199999999999997"/>
    <s v="High Health/_x000a_Related Services"/>
  </r>
  <r>
    <x v="182"/>
    <s v="Personnel"/>
    <s v="H "/>
    <x v="1"/>
    <x v="9"/>
    <s v="PSES High Prog01Act26 S275"/>
    <x v="0"/>
    <s v="26"/>
    <m/>
    <n v="26"/>
    <s v="   "/>
    <n v="2.5950000000000002"/>
    <n v="0.26050000000000001"/>
    <n v="0"/>
    <s v="High Health/_x000a_Related Services"/>
  </r>
  <r>
    <x v="182"/>
    <s v="Personnel"/>
    <s v="E "/>
    <x v="0"/>
    <x v="15"/>
    <s v="PSES Elem Prog01Duty42 S275"/>
    <x v="0"/>
    <s v="42"/>
    <n v="42"/>
    <m/>
    <s v="   "/>
    <n v="2.6"/>
    <n v="0.26050000000000001"/>
    <n v="0"/>
    <s v="Elementary Counselor"/>
  </r>
  <r>
    <x v="182"/>
    <s v="Personnel"/>
    <s v="H "/>
    <x v="1"/>
    <x v="16"/>
    <s v="PSES High Prog01Duty42 S275"/>
    <x v="0"/>
    <s v="42"/>
    <n v="42"/>
    <m/>
    <s v="   "/>
    <n v="2.4"/>
    <n v="0.26050000000000001"/>
    <n v="0"/>
    <s v="High Counselor"/>
  </r>
  <r>
    <x v="182"/>
    <s v="Personnel"/>
    <s v="M "/>
    <x v="2"/>
    <x v="17"/>
    <s v="PSES Mid Prog01Duty42 S275"/>
    <x v="0"/>
    <s v="42"/>
    <n v="42"/>
    <m/>
    <s v="   "/>
    <n v="1.2"/>
    <n v="0.26050000000000001"/>
    <n v="0"/>
    <s v="Middle Counselor"/>
  </r>
  <r>
    <x v="182"/>
    <s v="Personnel"/>
    <s v="E "/>
    <x v="0"/>
    <x v="20"/>
    <s v="PSES Elem Prog21Duty45 S275"/>
    <x v="1"/>
    <s v="45"/>
    <n v="45"/>
    <m/>
    <s v="   "/>
    <n v="1.75"/>
    <n v="0.26050000000000001"/>
    <n v="0.45600000000000002"/>
    <s v="Elementary Speech, Language Pathway/_x000a_Audio"/>
  </r>
  <r>
    <x v="182"/>
    <s v="Personnel"/>
    <s v="H "/>
    <x v="1"/>
    <x v="21"/>
    <s v="PSES High Prog21Duty45 S275"/>
    <x v="1"/>
    <s v="45"/>
    <n v="45"/>
    <m/>
    <s v="   "/>
    <n v="0.24"/>
    <n v="0.26050000000000001"/>
    <n v="6.3E-2"/>
    <s v="High Speech, Language Pathway/_x000a_Audio"/>
  </r>
  <r>
    <x v="182"/>
    <s v="Personnel"/>
    <s v="M "/>
    <x v="2"/>
    <x v="28"/>
    <s v="PSES Mid Prog21Duty45 S275"/>
    <x v="1"/>
    <s v="45"/>
    <n v="45"/>
    <m/>
    <s v="   "/>
    <n v="0.02"/>
    <n v="0.26050000000000001"/>
    <n v="5.0000000000000001E-3"/>
    <s v="Middle Speech, Language Pathway/_x000a_Audio"/>
  </r>
  <r>
    <x v="182"/>
    <s v="Personnel"/>
    <s v="E "/>
    <x v="0"/>
    <x v="27"/>
    <s v="PSES Elem Prog01Duty47 S275"/>
    <x v="0"/>
    <s v="47"/>
    <n v="47"/>
    <m/>
    <s v="   "/>
    <n v="0.52"/>
    <n v="0.26050000000000001"/>
    <n v="0"/>
    <s v="Elementary Nurse"/>
  </r>
  <r>
    <x v="182"/>
    <s v="Personnel"/>
    <s v="H "/>
    <x v="1"/>
    <x v="25"/>
    <s v="PSES High Prog01Duty47 S275"/>
    <x v="0"/>
    <s v="47"/>
    <n v="47"/>
    <m/>
    <s v="   "/>
    <n v="0.32"/>
    <n v="0.26050000000000001"/>
    <n v="0"/>
    <s v="High Nurse"/>
  </r>
  <r>
    <x v="182"/>
    <s v="Personnel"/>
    <s v="M "/>
    <x v="2"/>
    <x v="34"/>
    <s v="PSES Mid Prog01Duty47 S275"/>
    <x v="0"/>
    <s v="47"/>
    <n v="47"/>
    <m/>
    <s v="   "/>
    <n v="0.16"/>
    <n v="0.26050000000000001"/>
    <n v="0"/>
    <s v="Middle Nurse"/>
  </r>
  <r>
    <x v="183"/>
    <s v="Personnel"/>
    <s v="H "/>
    <x v="1"/>
    <x v="5"/>
    <s v="PSES High Prog01Act25 S275"/>
    <x v="0"/>
    <s v="25"/>
    <m/>
    <n v="25"/>
    <s v="   "/>
    <n v="19.68"/>
    <n v="0.34"/>
    <n v="0"/>
    <s v="High Pupil Management"/>
  </r>
  <r>
    <x v="183"/>
    <s v="Personnel"/>
    <s v="H "/>
    <x v="1"/>
    <x v="29"/>
    <s v="PSES High Prog21Act26 S275"/>
    <x v="1"/>
    <s v="26"/>
    <m/>
    <n v="26"/>
    <s v="   "/>
    <n v="11.523999999999999"/>
    <n v="0.34"/>
    <n v="3.9180000000000001"/>
    <s v="High Health/_x000a_Related Services"/>
  </r>
  <r>
    <x v="183"/>
    <s v="Personnel"/>
    <s v="H "/>
    <x v="1"/>
    <x v="9"/>
    <s v="PSES High Prog01Act26 S275"/>
    <x v="0"/>
    <s v="26"/>
    <m/>
    <n v="26"/>
    <s v="   "/>
    <n v="15.032"/>
    <n v="0.34"/>
    <n v="0"/>
    <s v="High Health/_x000a_Related Services"/>
  </r>
  <r>
    <x v="183"/>
    <s v="Personnel"/>
    <s v="H "/>
    <x v="1"/>
    <x v="12"/>
    <s v="PSES High Prog97Act35 S275"/>
    <x v="2"/>
    <s v="35"/>
    <m/>
    <n v="35"/>
    <s v="   "/>
    <n v="1"/>
    <n v="0.34"/>
    <n v="0"/>
    <s v="High Pupil Safety"/>
  </r>
  <r>
    <x v="183"/>
    <s v="Personnel"/>
    <s v="H "/>
    <x v="1"/>
    <x v="54"/>
    <s v="PSES High Prog01Act35 S275"/>
    <x v="0"/>
    <s v="35"/>
    <m/>
    <n v="35"/>
    <s v="   "/>
    <n v="10.936"/>
    <n v="0.34"/>
    <n v="0"/>
    <s v="High Pupil Safety"/>
  </r>
  <r>
    <x v="183"/>
    <s v="Personnel"/>
    <s v="E "/>
    <x v="0"/>
    <x v="15"/>
    <s v="PSES Elem Prog01Duty42 S275"/>
    <x v="0"/>
    <s v="42"/>
    <n v="42"/>
    <m/>
    <s v="   "/>
    <n v="18.474"/>
    <n v="0.34"/>
    <n v="0"/>
    <s v="Elementary Counselor"/>
  </r>
  <r>
    <x v="183"/>
    <s v="Personnel"/>
    <s v="H "/>
    <x v="1"/>
    <x v="77"/>
    <s v="PSES High Prog21Duty42 S275"/>
    <x v="1"/>
    <s v="42"/>
    <n v="42"/>
    <m/>
    <s v="   "/>
    <n v="1"/>
    <n v="0.34"/>
    <n v="0.34"/>
    <s v="High Counselor"/>
  </r>
  <r>
    <x v="183"/>
    <s v="Personnel"/>
    <s v="H "/>
    <x v="1"/>
    <x v="16"/>
    <s v="PSES High Prog01Duty42 S275"/>
    <x v="0"/>
    <s v="42"/>
    <n v="42"/>
    <m/>
    <s v="   "/>
    <n v="6.5709999999999997"/>
    <n v="0.34"/>
    <n v="0"/>
    <s v="High Counselor"/>
  </r>
  <r>
    <x v="183"/>
    <s v="Personnel"/>
    <s v="M "/>
    <x v="2"/>
    <x v="17"/>
    <s v="PSES Mid Prog01Duty42 S275"/>
    <x v="0"/>
    <s v="42"/>
    <n v="42"/>
    <m/>
    <s v="   "/>
    <n v="4.9550000000000001"/>
    <n v="0.34"/>
    <n v="0"/>
    <s v="Middle Counselor"/>
  </r>
  <r>
    <x v="183"/>
    <s v="Personnel"/>
    <s v="H "/>
    <x v="1"/>
    <x v="19"/>
    <s v="PSES High Prog21Duty43 S275"/>
    <x v="1"/>
    <s v="43"/>
    <n v="43"/>
    <m/>
    <s v="   "/>
    <n v="9"/>
    <n v="0.34"/>
    <n v="3.06"/>
    <s v="High Occupational Therapist"/>
  </r>
  <r>
    <x v="183"/>
    <s v="Personnel"/>
    <s v="H "/>
    <x v="1"/>
    <x v="43"/>
    <s v="PSES High Prog21Duty44 S275"/>
    <x v="1"/>
    <s v="44"/>
    <n v="44"/>
    <m/>
    <s v="   "/>
    <n v="1"/>
    <n v="0.34"/>
    <n v="0.34"/>
    <s v="High Social Worker"/>
  </r>
  <r>
    <x v="183"/>
    <s v="Personnel"/>
    <s v="H "/>
    <x v="1"/>
    <x v="21"/>
    <s v="PSES High Prog21Duty45 S275"/>
    <x v="1"/>
    <s v="45"/>
    <n v="45"/>
    <m/>
    <s v="   "/>
    <n v="8"/>
    <n v="0.34"/>
    <n v="2.72"/>
    <s v="High Speech, Language Pathway/_x000a_Audio"/>
  </r>
  <r>
    <x v="183"/>
    <s v="Personnel"/>
    <s v="H "/>
    <x v="1"/>
    <x v="23"/>
    <s v="PSES High Prog21Duty46 S275"/>
    <x v="1"/>
    <s v="46"/>
    <n v="46"/>
    <m/>
    <s v="   "/>
    <n v="3"/>
    <n v="0.34"/>
    <n v="1.02"/>
    <s v="High Psychologist"/>
  </r>
  <r>
    <x v="183"/>
    <s v="Personnel"/>
    <s v="E "/>
    <x v="0"/>
    <x v="32"/>
    <s v="PSES Elem Prog21Duty47 S275"/>
    <x v="1"/>
    <s v="47"/>
    <n v="47"/>
    <m/>
    <s v="   "/>
    <n v="0.2"/>
    <n v="0.34"/>
    <n v="6.8000000000000005E-2"/>
    <s v="Elementary Nurse"/>
  </r>
  <r>
    <x v="183"/>
    <s v="Personnel"/>
    <s v="E "/>
    <x v="0"/>
    <x v="27"/>
    <s v="PSES Elem Prog01Duty47 S275"/>
    <x v="0"/>
    <s v="47"/>
    <n v="47"/>
    <m/>
    <s v="   "/>
    <n v="1.333"/>
    <n v="0.34"/>
    <n v="0"/>
    <s v="Elementary Nurse"/>
  </r>
  <r>
    <x v="183"/>
    <s v="Personnel"/>
    <s v="H "/>
    <x v="1"/>
    <x v="25"/>
    <s v="PSES High Prog01Duty47 S275"/>
    <x v="0"/>
    <s v="47"/>
    <n v="47"/>
    <m/>
    <s v="   "/>
    <n v="9.5"/>
    <n v="0.34"/>
    <n v="0"/>
    <s v="High Nurse"/>
  </r>
  <r>
    <x v="183"/>
    <s v="Personnel"/>
    <s v="M "/>
    <x v="2"/>
    <x v="34"/>
    <s v="PSES Mid Prog01Duty47 S275"/>
    <x v="0"/>
    <s v="47"/>
    <n v="47"/>
    <m/>
    <s v="   "/>
    <n v="0.66700000000000004"/>
    <n v="0.34"/>
    <n v="0"/>
    <s v="Middle Nurse"/>
  </r>
  <r>
    <x v="183"/>
    <s v="Personnel"/>
    <s v="H "/>
    <x v="1"/>
    <x v="36"/>
    <s v="PSES High Prog21Duty48 S275"/>
    <x v="1"/>
    <s v="48"/>
    <n v="48"/>
    <m/>
    <s v="   "/>
    <n v="4.5"/>
    <n v="0.34"/>
    <n v="1.53"/>
    <s v="High Physical Therapist"/>
  </r>
  <r>
    <x v="184"/>
    <s v="Personnel"/>
    <s v="H "/>
    <x v="1"/>
    <x v="5"/>
    <s v="PSES High Prog01Act25 S275"/>
    <x v="0"/>
    <s v="25"/>
    <m/>
    <n v="25"/>
    <s v="   "/>
    <n v="17.452000000000002"/>
    <n v="0.2195"/>
    <n v="0"/>
    <s v="High Pupil Management"/>
  </r>
  <r>
    <x v="184"/>
    <s v="Personnel"/>
    <s v="H "/>
    <x v="1"/>
    <x v="29"/>
    <s v="PSES High Prog21Act26 S275"/>
    <x v="1"/>
    <s v="26"/>
    <m/>
    <n v="26"/>
    <s v="   "/>
    <n v="2.4990000000000001"/>
    <n v="0.2195"/>
    <n v="0.54900000000000004"/>
    <s v="High Health/_x000a_Related Services"/>
  </r>
  <r>
    <x v="184"/>
    <s v="Personnel"/>
    <s v="H "/>
    <x v="1"/>
    <x v="9"/>
    <s v="PSES High Prog01Act26 S275"/>
    <x v="0"/>
    <s v="26"/>
    <m/>
    <n v="26"/>
    <s v="   "/>
    <n v="10.635999999999999"/>
    <n v="0.2195"/>
    <n v="0"/>
    <s v="High Health/_x000a_Related Services"/>
  </r>
  <r>
    <x v="184"/>
    <s v="Personnel"/>
    <s v="E "/>
    <x v="0"/>
    <x v="15"/>
    <s v="PSES Elem Prog01Duty42 S275"/>
    <x v="0"/>
    <s v="42"/>
    <n v="42"/>
    <m/>
    <s v="   "/>
    <n v="13.079000000000001"/>
    <n v="0.2195"/>
    <n v="0"/>
    <s v="Elementary Counselor"/>
  </r>
  <r>
    <x v="184"/>
    <s v="Personnel"/>
    <s v="H "/>
    <x v="1"/>
    <x v="16"/>
    <s v="PSES High Prog01Duty42 S275"/>
    <x v="0"/>
    <s v="42"/>
    <n v="42"/>
    <m/>
    <s v="   "/>
    <n v="11.25"/>
    <n v="0.2195"/>
    <n v="0"/>
    <s v="High Counselor"/>
  </r>
  <r>
    <x v="184"/>
    <s v="Personnel"/>
    <s v="M "/>
    <x v="2"/>
    <x v="17"/>
    <s v="PSES Mid Prog01Duty42 S275"/>
    <x v="0"/>
    <s v="42"/>
    <n v="42"/>
    <m/>
    <s v="   "/>
    <n v="5.4710000000000001"/>
    <n v="0.2195"/>
    <n v="0"/>
    <s v="Middle Counselor"/>
  </r>
  <r>
    <x v="184"/>
    <s v="Personnel"/>
    <s v="E "/>
    <x v="0"/>
    <x v="18"/>
    <s v="PSES Elem Prog21Duty43 S275"/>
    <x v="1"/>
    <s v="43"/>
    <n v="43"/>
    <m/>
    <s v="   "/>
    <n v="6.6520000000000001"/>
    <n v="0.2195"/>
    <n v="1.46"/>
    <s v="Elementary Occupational Therapist"/>
  </r>
  <r>
    <x v="184"/>
    <s v="Personnel"/>
    <s v="H "/>
    <x v="1"/>
    <x v="19"/>
    <s v="PSES High Prog21Duty43 S275"/>
    <x v="1"/>
    <s v="43"/>
    <n v="43"/>
    <m/>
    <s v="   "/>
    <n v="0.93100000000000005"/>
    <n v="0.2195"/>
    <n v="0.20399999999999999"/>
    <s v="High Occupational Therapist"/>
  </r>
  <r>
    <x v="184"/>
    <s v="Personnel"/>
    <s v="M "/>
    <x v="2"/>
    <x v="31"/>
    <s v="PSES Mid Prog21Duty43 S275"/>
    <x v="1"/>
    <s v="43"/>
    <n v="43"/>
    <m/>
    <s v="   "/>
    <n v="0.81599999999999995"/>
    <n v="0.2195"/>
    <n v="0.17899999999999999"/>
    <s v="Middle Occupational Therapist"/>
  </r>
  <r>
    <x v="184"/>
    <s v="Personnel"/>
    <s v="E "/>
    <x v="0"/>
    <x v="41"/>
    <s v="PSES Elem Prog21Duty44 S275"/>
    <x v="1"/>
    <s v="44"/>
    <n v="44"/>
    <m/>
    <s v="   "/>
    <n v="0.44500000000000001"/>
    <n v="0.2195"/>
    <n v="9.8000000000000004E-2"/>
    <s v="Elementary Social Worker"/>
  </r>
  <r>
    <x v="184"/>
    <s v="Personnel"/>
    <s v="H "/>
    <x v="1"/>
    <x v="43"/>
    <s v="PSES High Prog21Duty44 S275"/>
    <x v="1"/>
    <s v="44"/>
    <n v="44"/>
    <m/>
    <s v="   "/>
    <n v="0.33300000000000002"/>
    <n v="0.2195"/>
    <n v="7.2999999999999995E-2"/>
    <s v="High Social Worker"/>
  </r>
  <r>
    <x v="184"/>
    <s v="Personnel"/>
    <s v="M "/>
    <x v="2"/>
    <x v="45"/>
    <s v="PSES Mid Prog21Duty44 S275"/>
    <x v="1"/>
    <s v="44"/>
    <n v="44"/>
    <m/>
    <s v="   "/>
    <n v="0.222"/>
    <n v="0.2195"/>
    <n v="4.9000000000000002E-2"/>
    <s v="Middle Social Worker"/>
  </r>
  <r>
    <x v="184"/>
    <s v="Personnel"/>
    <s v="E "/>
    <x v="0"/>
    <x v="20"/>
    <s v="PSES Elem Prog21Duty45 S275"/>
    <x v="1"/>
    <s v="45"/>
    <n v="45"/>
    <m/>
    <s v="   "/>
    <n v="14.04"/>
    <n v="0.2195"/>
    <n v="3.0819999999999999"/>
    <s v="Elementary Speech, Language Pathway/_x000a_Audio"/>
  </r>
  <r>
    <x v="184"/>
    <s v="Personnel"/>
    <s v="H "/>
    <x v="1"/>
    <x v="21"/>
    <s v="PSES High Prog21Duty45 S275"/>
    <x v="1"/>
    <s v="45"/>
    <n v="45"/>
    <m/>
    <s v="   "/>
    <n v="1.208"/>
    <n v="0.2195"/>
    <n v="0.26500000000000001"/>
    <s v="High Speech, Language Pathway/_x000a_Audio"/>
  </r>
  <r>
    <x v="184"/>
    <s v="Personnel"/>
    <s v="M "/>
    <x v="2"/>
    <x v="28"/>
    <s v="PSES Mid Prog21Duty45 S275"/>
    <x v="1"/>
    <s v="45"/>
    <n v="45"/>
    <m/>
    <s v="   "/>
    <n v="0.82099999999999995"/>
    <n v="0.2195"/>
    <n v="0.18"/>
    <s v="Middle Speech, Language Pathway/_x000a_Audio"/>
  </r>
  <r>
    <x v="184"/>
    <s v="Personnel"/>
    <s v="E "/>
    <x v="0"/>
    <x v="22"/>
    <s v="PSES Elem Prog21Duty46 S275"/>
    <x v="1"/>
    <s v="46"/>
    <n v="46"/>
    <m/>
    <s v="   "/>
    <n v="6.0620000000000003"/>
    <n v="0.2195"/>
    <n v="1.331"/>
    <s v="Elementary Psychologist"/>
  </r>
  <r>
    <x v="184"/>
    <s v="Personnel"/>
    <s v="H "/>
    <x v="1"/>
    <x v="23"/>
    <s v="PSES High Prog21Duty46 S275"/>
    <x v="1"/>
    <s v="46"/>
    <n v="46"/>
    <m/>
    <s v="   "/>
    <n v="3.3079999999999998"/>
    <n v="0.2195"/>
    <n v="0.72599999999999998"/>
    <s v="High Psychologist"/>
  </r>
  <r>
    <x v="184"/>
    <s v="Personnel"/>
    <s v="M "/>
    <x v="2"/>
    <x v="24"/>
    <s v="PSES Mid Prog21Duty46 S275"/>
    <x v="1"/>
    <s v="46"/>
    <n v="46"/>
    <m/>
    <s v="   "/>
    <n v="1.8879999999999999"/>
    <n v="0.2195"/>
    <n v="0.41399999999999998"/>
    <s v="Middle Psychologist"/>
  </r>
  <r>
    <x v="184"/>
    <s v="Personnel"/>
    <s v="E "/>
    <x v="0"/>
    <x v="32"/>
    <s v="PSES Elem Prog21Duty47 S275"/>
    <x v="1"/>
    <s v="47"/>
    <n v="47"/>
    <m/>
    <s v="   "/>
    <n v="0.64500000000000002"/>
    <n v="0.2195"/>
    <n v="0.14199999999999999"/>
    <s v="Elementary Nurse"/>
  </r>
  <r>
    <x v="184"/>
    <s v="Personnel"/>
    <s v="E "/>
    <x v="0"/>
    <x v="27"/>
    <s v="PSES Elem Prog01Duty47 S275"/>
    <x v="0"/>
    <s v="47"/>
    <n v="47"/>
    <m/>
    <s v="   "/>
    <n v="5.8019999999999996"/>
    <n v="0.2195"/>
    <n v="0"/>
    <s v="Elementary Nurse"/>
  </r>
  <r>
    <x v="184"/>
    <s v="Personnel"/>
    <s v="H "/>
    <x v="1"/>
    <x v="61"/>
    <s v="PSES High Prog21Duty47 S275"/>
    <x v="1"/>
    <s v="47"/>
    <n v="47"/>
    <m/>
    <s v="   "/>
    <n v="0.14000000000000001"/>
    <n v="0.2195"/>
    <n v="3.1E-2"/>
    <s v="High Nurse"/>
  </r>
  <r>
    <x v="184"/>
    <s v="Personnel"/>
    <s v="H "/>
    <x v="1"/>
    <x v="25"/>
    <s v="PSES High Prog01Duty47 S275"/>
    <x v="0"/>
    <s v="47"/>
    <n v="47"/>
    <m/>
    <s v="   "/>
    <n v="1.512"/>
    <n v="0.2195"/>
    <n v="0"/>
    <s v="High Nurse"/>
  </r>
  <r>
    <x v="184"/>
    <s v="Personnel"/>
    <s v="M "/>
    <x v="2"/>
    <x v="33"/>
    <s v="PSES Mid Prog21Duty47 S275"/>
    <x v="1"/>
    <s v="47"/>
    <n v="47"/>
    <m/>
    <s v="   "/>
    <n v="0.122"/>
    <n v="0.2195"/>
    <n v="2.7E-2"/>
    <s v="Middle Nurse"/>
  </r>
  <r>
    <x v="184"/>
    <s v="Personnel"/>
    <s v="M "/>
    <x v="2"/>
    <x v="34"/>
    <s v="PSES Mid Prog01Duty47 S275"/>
    <x v="0"/>
    <s v="47"/>
    <n v="47"/>
    <m/>
    <s v="   "/>
    <n v="0.77900000000000003"/>
    <n v="0.2195"/>
    <n v="0"/>
    <s v="Middle Nurse"/>
  </r>
  <r>
    <x v="184"/>
    <s v="Personnel"/>
    <s v="E "/>
    <x v="0"/>
    <x v="35"/>
    <s v="PSES Elem Prog21Duty48 S275"/>
    <x v="1"/>
    <s v="48"/>
    <n v="48"/>
    <m/>
    <s v="   "/>
    <n v="1.0760000000000001"/>
    <n v="0.2195"/>
    <n v="0.23599999999999999"/>
    <s v="Elementary Physical Therapist"/>
  </r>
  <r>
    <x v="184"/>
    <s v="Personnel"/>
    <s v="H "/>
    <x v="1"/>
    <x v="36"/>
    <s v="PSES High Prog21Duty48 S275"/>
    <x v="1"/>
    <s v="48"/>
    <n v="48"/>
    <m/>
    <s v="   "/>
    <n v="0.61599999999999999"/>
    <n v="0.2195"/>
    <n v="0.13500000000000001"/>
    <s v="High Physical Therapist"/>
  </r>
  <r>
    <x v="184"/>
    <s v="Personnel"/>
    <s v="M "/>
    <x v="2"/>
    <x v="37"/>
    <s v="PSES Mid Prog21Duty48 S275"/>
    <x v="1"/>
    <s v="48"/>
    <n v="48"/>
    <m/>
    <s v="   "/>
    <n v="0.308"/>
    <n v="0.2195"/>
    <n v="6.8000000000000005E-2"/>
    <s v="Middle Physical Therapist"/>
  </r>
  <r>
    <x v="185"/>
    <s v="Personnel"/>
    <s v="H "/>
    <x v="1"/>
    <x v="1"/>
    <s v="PSES High Prog01Duty96 S275"/>
    <x v="0"/>
    <s v="24"/>
    <n v="96"/>
    <n v="24"/>
    <s v="   "/>
    <n v="0.59099999999999997"/>
    <n v="0.31130000000000002"/>
    <n v="0"/>
    <s v="High Family Engagement Coordinator"/>
  </r>
  <r>
    <x v="185"/>
    <s v="Personnel"/>
    <s v="H "/>
    <x v="1"/>
    <x v="5"/>
    <s v="PSES High Prog01Act25 S275"/>
    <x v="0"/>
    <s v="25"/>
    <m/>
    <n v="25"/>
    <s v="   "/>
    <n v="11.215"/>
    <n v="0.31130000000000002"/>
    <n v="0"/>
    <s v="High Pupil Management"/>
  </r>
  <r>
    <x v="185"/>
    <s v="Personnel"/>
    <s v="H "/>
    <x v="1"/>
    <x v="29"/>
    <s v="PSES High Prog21Act26 S275"/>
    <x v="1"/>
    <s v="26"/>
    <m/>
    <n v="26"/>
    <s v="   "/>
    <n v="0.76900000000000002"/>
    <n v="0.31130000000000002"/>
    <n v="0.23899999999999999"/>
    <s v="High Health/_x000a_Related Services"/>
  </r>
  <r>
    <x v="185"/>
    <s v="Personnel"/>
    <s v="H "/>
    <x v="1"/>
    <x v="9"/>
    <s v="PSES High Prog01Act26 S275"/>
    <x v="0"/>
    <s v="26"/>
    <m/>
    <n v="26"/>
    <s v="   "/>
    <n v="9.8420000000000005"/>
    <n v="0.31130000000000002"/>
    <n v="0"/>
    <s v="High Health/_x000a_Related Services"/>
  </r>
  <r>
    <x v="185"/>
    <s v="Personnel"/>
    <s v="E "/>
    <x v="0"/>
    <x v="76"/>
    <s v="PSES Elem Prog21Duty42 S275"/>
    <x v="1"/>
    <s v="42"/>
    <n v="42"/>
    <m/>
    <s v="   "/>
    <n v="2.83"/>
    <n v="0.31130000000000002"/>
    <n v="0.88100000000000001"/>
    <s v="Elementary Counselor"/>
  </r>
  <r>
    <x v="185"/>
    <s v="Personnel"/>
    <s v="E "/>
    <x v="0"/>
    <x v="15"/>
    <s v="PSES Elem Prog01Duty42 S275"/>
    <x v="0"/>
    <s v="42"/>
    <n v="42"/>
    <m/>
    <s v="   "/>
    <n v="8.99"/>
    <n v="0.31130000000000002"/>
    <n v="0"/>
    <s v="Elementary Counselor"/>
  </r>
  <r>
    <x v="185"/>
    <s v="Personnel"/>
    <s v="H "/>
    <x v="1"/>
    <x v="77"/>
    <s v="PSES High Prog21Duty42 S275"/>
    <x v="1"/>
    <s v="42"/>
    <n v="42"/>
    <m/>
    <s v="   "/>
    <n v="1.25"/>
    <n v="0.31130000000000002"/>
    <n v="0.38900000000000001"/>
    <s v="High Counselor"/>
  </r>
  <r>
    <x v="185"/>
    <s v="Personnel"/>
    <s v="H "/>
    <x v="1"/>
    <x v="16"/>
    <s v="PSES High Prog01Duty42 S275"/>
    <x v="0"/>
    <s v="42"/>
    <n v="42"/>
    <m/>
    <s v="   "/>
    <n v="9"/>
    <n v="0.31130000000000002"/>
    <n v="0"/>
    <s v="High Counselor"/>
  </r>
  <r>
    <x v="185"/>
    <s v="Personnel"/>
    <s v="M "/>
    <x v="2"/>
    <x v="75"/>
    <s v="PSES Mid Prog21Duty42 S275"/>
    <x v="1"/>
    <s v="42"/>
    <n v="42"/>
    <m/>
    <s v="   "/>
    <n v="0.92"/>
    <n v="0.31130000000000002"/>
    <n v="0.28599999999999998"/>
    <s v="Middle Counselor"/>
  </r>
  <r>
    <x v="185"/>
    <s v="Personnel"/>
    <s v="M "/>
    <x v="2"/>
    <x v="17"/>
    <s v="PSES Mid Prog01Duty42 S275"/>
    <x v="0"/>
    <s v="42"/>
    <n v="42"/>
    <m/>
    <s v="   "/>
    <n v="5.01"/>
    <n v="0.31130000000000002"/>
    <n v="0"/>
    <s v="Middle Counselor"/>
  </r>
  <r>
    <x v="185"/>
    <s v="Personnel"/>
    <s v="E "/>
    <x v="0"/>
    <x v="18"/>
    <s v="PSES Elem Prog21Duty43 S275"/>
    <x v="1"/>
    <s v="43"/>
    <n v="43"/>
    <m/>
    <s v="   "/>
    <n v="4.2300000000000004"/>
    <n v="0.31130000000000002"/>
    <n v="1.3169999999999999"/>
    <s v="Elementary Occupational Therapist"/>
  </r>
  <r>
    <x v="185"/>
    <s v="Personnel"/>
    <s v="H "/>
    <x v="1"/>
    <x v="19"/>
    <s v="PSES High Prog21Duty43 S275"/>
    <x v="1"/>
    <s v="43"/>
    <n v="43"/>
    <m/>
    <s v="   "/>
    <n v="0.17699999999999999"/>
    <n v="0.31130000000000002"/>
    <n v="5.5E-2"/>
    <s v="High Occupational Therapist"/>
  </r>
  <r>
    <x v="185"/>
    <s v="Personnel"/>
    <s v="M "/>
    <x v="2"/>
    <x v="31"/>
    <s v="PSES Mid Prog21Duty43 S275"/>
    <x v="1"/>
    <s v="43"/>
    <n v="43"/>
    <m/>
    <s v="   "/>
    <n v="6.3E-2"/>
    <n v="0.31130000000000002"/>
    <n v="0.02"/>
    <s v="Middle Occupational Therapist"/>
  </r>
  <r>
    <x v="185"/>
    <s v="Personnel"/>
    <s v="E "/>
    <x v="0"/>
    <x v="20"/>
    <s v="PSES Elem Prog21Duty45 S275"/>
    <x v="1"/>
    <s v="45"/>
    <n v="45"/>
    <m/>
    <s v="   "/>
    <n v="7.3490000000000002"/>
    <n v="0.31130000000000002"/>
    <n v="2.2879999999999998"/>
    <s v="Elementary Speech, Language Pathway/_x000a_Audio"/>
  </r>
  <r>
    <x v="185"/>
    <s v="Personnel"/>
    <s v="H "/>
    <x v="1"/>
    <x v="21"/>
    <s v="PSES High Prog21Duty45 S275"/>
    <x v="1"/>
    <s v="45"/>
    <n v="45"/>
    <m/>
    <s v="   "/>
    <n v="1.5940000000000001"/>
    <n v="0.31130000000000002"/>
    <n v="0.496"/>
    <s v="High Speech, Language Pathway/_x000a_Audio"/>
  </r>
  <r>
    <x v="185"/>
    <s v="Personnel"/>
    <s v="M "/>
    <x v="2"/>
    <x v="28"/>
    <s v="PSES Mid Prog21Duty45 S275"/>
    <x v="1"/>
    <s v="45"/>
    <n v="45"/>
    <m/>
    <s v="   "/>
    <n v="0.45700000000000002"/>
    <n v="0.31130000000000002"/>
    <n v="0.14199999999999999"/>
    <s v="Middle Speech, Language Pathway/_x000a_Audio"/>
  </r>
  <r>
    <x v="185"/>
    <s v="Personnel"/>
    <s v="E "/>
    <x v="0"/>
    <x v="22"/>
    <s v="PSES Elem Prog21Duty46 S275"/>
    <x v="1"/>
    <s v="46"/>
    <n v="46"/>
    <m/>
    <s v="   "/>
    <n v="6.4"/>
    <n v="0.31130000000000002"/>
    <n v="1.992"/>
    <s v="Elementary Psychologist"/>
  </r>
  <r>
    <x v="185"/>
    <s v="Personnel"/>
    <s v="H "/>
    <x v="1"/>
    <x v="23"/>
    <s v="PSES High Prog21Duty46 S275"/>
    <x v="1"/>
    <s v="46"/>
    <n v="46"/>
    <m/>
    <s v="   "/>
    <n v="3"/>
    <n v="0.31130000000000002"/>
    <n v="0.93400000000000005"/>
    <s v="High Psychologist"/>
  </r>
  <r>
    <x v="185"/>
    <s v="Personnel"/>
    <s v="E "/>
    <x v="0"/>
    <x v="35"/>
    <s v="PSES Elem Prog21Duty48 S275"/>
    <x v="1"/>
    <s v="48"/>
    <n v="48"/>
    <m/>
    <s v="   "/>
    <n v="1.877"/>
    <n v="0.31130000000000002"/>
    <n v="0.58399999999999996"/>
    <s v="Elementary Physical Therapist"/>
  </r>
  <r>
    <x v="185"/>
    <s v="Personnel"/>
    <s v="H "/>
    <x v="1"/>
    <x v="36"/>
    <s v="PSES High Prog21Duty48 S275"/>
    <x v="1"/>
    <s v="48"/>
    <n v="48"/>
    <m/>
    <s v="   "/>
    <n v="0.23499999999999999"/>
    <n v="0.31130000000000002"/>
    <n v="7.2999999999999995E-2"/>
    <s v="High Physical Therapist"/>
  </r>
  <r>
    <x v="186"/>
    <s v="Personnel"/>
    <s v="H "/>
    <x v="1"/>
    <x v="86"/>
    <s v="PSES High Prog21Duty96 S275"/>
    <x v="1"/>
    <s v="24"/>
    <n v="96"/>
    <n v="24"/>
    <s v="   "/>
    <n v="1"/>
    <n v="0.31690000000000002"/>
    <n v="0.317"/>
    <s v="High Family Engagement Coordinator"/>
  </r>
  <r>
    <x v="186"/>
    <s v="Personnel"/>
    <s v="H "/>
    <x v="1"/>
    <x v="4"/>
    <s v="PSES High Prog21Act25 S275"/>
    <x v="1"/>
    <s v="25"/>
    <m/>
    <n v="25"/>
    <s v="   "/>
    <n v="18.294"/>
    <n v="0.31690000000000002"/>
    <n v="5.7969999999999997"/>
    <s v="High Pupil Management"/>
  </r>
  <r>
    <x v="186"/>
    <s v="Personnel"/>
    <s v="H "/>
    <x v="1"/>
    <x v="5"/>
    <s v="PSES High Prog01Act25 S275"/>
    <x v="0"/>
    <s v="25"/>
    <m/>
    <n v="25"/>
    <s v="   "/>
    <n v="20.783999999999999"/>
    <n v="0.31690000000000002"/>
    <n v="0"/>
    <s v="High Pupil Management"/>
  </r>
  <r>
    <x v="186"/>
    <s v="Personnel"/>
    <s v="H "/>
    <x v="1"/>
    <x v="29"/>
    <s v="PSES High Prog21Act26 S275"/>
    <x v="1"/>
    <s v="26"/>
    <m/>
    <n v="26"/>
    <s v="   "/>
    <n v="11.35"/>
    <n v="0.31690000000000002"/>
    <n v="3.597"/>
    <s v="High Health/_x000a_Related Services"/>
  </r>
  <r>
    <x v="186"/>
    <s v="Personnel"/>
    <s v="H "/>
    <x v="1"/>
    <x v="9"/>
    <s v="PSES High Prog01Act26 S275"/>
    <x v="0"/>
    <s v="26"/>
    <m/>
    <n v="26"/>
    <s v="   "/>
    <n v="19.962"/>
    <n v="0.31690000000000002"/>
    <n v="0"/>
    <s v="High Health/_x000a_Related Services"/>
  </r>
  <r>
    <x v="186"/>
    <s v="Personnel"/>
    <s v="H "/>
    <x v="1"/>
    <x v="54"/>
    <s v="PSES High Prog01Act35 S275"/>
    <x v="0"/>
    <s v="35"/>
    <m/>
    <n v="35"/>
    <s v="   "/>
    <n v="12.162000000000001"/>
    <n v="0.31690000000000002"/>
    <n v="0"/>
    <s v="High Pupil Safety"/>
  </r>
  <r>
    <x v="186"/>
    <s v="Personnel"/>
    <s v="E "/>
    <x v="0"/>
    <x v="15"/>
    <s v="PSES Elem Prog01Duty42 S275"/>
    <x v="0"/>
    <s v="42"/>
    <n v="42"/>
    <m/>
    <s v="   "/>
    <n v="14.962"/>
    <n v="0.31690000000000002"/>
    <n v="0"/>
    <s v="Elementary Counselor"/>
  </r>
  <r>
    <x v="186"/>
    <s v="Personnel"/>
    <s v="H "/>
    <x v="1"/>
    <x v="77"/>
    <s v="PSES High Prog21Duty42 S275"/>
    <x v="1"/>
    <s v="42"/>
    <n v="42"/>
    <m/>
    <s v="   "/>
    <n v="1"/>
    <n v="0.31690000000000002"/>
    <n v="0.317"/>
    <s v="High Counselor"/>
  </r>
  <r>
    <x v="186"/>
    <s v="Personnel"/>
    <s v="H "/>
    <x v="1"/>
    <x v="16"/>
    <s v="PSES High Prog01Duty42 S275"/>
    <x v="0"/>
    <s v="42"/>
    <n v="42"/>
    <m/>
    <s v="   "/>
    <n v="12.2"/>
    <n v="0.31690000000000002"/>
    <n v="0"/>
    <s v="High Counselor"/>
  </r>
  <r>
    <x v="186"/>
    <s v="Personnel"/>
    <s v="M "/>
    <x v="2"/>
    <x v="17"/>
    <s v="PSES Mid Prog01Duty42 S275"/>
    <x v="0"/>
    <s v="42"/>
    <n v="42"/>
    <m/>
    <s v="   "/>
    <n v="6.6379999999999999"/>
    <n v="0.31690000000000002"/>
    <n v="0"/>
    <s v="Middle Counselor"/>
  </r>
  <r>
    <x v="186"/>
    <s v="Personnel"/>
    <s v="E "/>
    <x v="0"/>
    <x v="18"/>
    <s v="PSES Elem Prog21Duty43 S275"/>
    <x v="1"/>
    <s v="43"/>
    <n v="43"/>
    <m/>
    <s v="   "/>
    <n v="7.3410000000000002"/>
    <n v="0.31690000000000002"/>
    <n v="2.3260000000000001"/>
    <s v="Elementary Occupational Therapist"/>
  </r>
  <r>
    <x v="186"/>
    <s v="Personnel"/>
    <s v="H "/>
    <x v="1"/>
    <x v="19"/>
    <s v="PSES High Prog21Duty43 S275"/>
    <x v="1"/>
    <s v="43"/>
    <n v="43"/>
    <m/>
    <s v="   "/>
    <n v="0.307"/>
    <n v="0.31690000000000002"/>
    <n v="9.7000000000000003E-2"/>
    <s v="High Occupational Therapist"/>
  </r>
  <r>
    <x v="186"/>
    <s v="Personnel"/>
    <s v="M "/>
    <x v="2"/>
    <x v="31"/>
    <s v="PSES Mid Prog21Duty43 S275"/>
    <x v="1"/>
    <s v="43"/>
    <n v="43"/>
    <m/>
    <s v="   "/>
    <n v="0.73099999999999998"/>
    <n v="0.31690000000000002"/>
    <n v="0.23200000000000001"/>
    <s v="Middle Occupational Therapist"/>
  </r>
  <r>
    <x v="186"/>
    <s v="Personnel"/>
    <s v="E "/>
    <x v="0"/>
    <x v="42"/>
    <s v="PSES Elem Prog01Duty44 S275"/>
    <x v="0"/>
    <s v="44"/>
    <n v="44"/>
    <m/>
    <s v="   "/>
    <n v="8.8179999999999996"/>
    <n v="0.31690000000000002"/>
    <n v="0"/>
    <s v="Elementary Social Worker"/>
  </r>
  <r>
    <x v="186"/>
    <s v="Personnel"/>
    <s v="H "/>
    <x v="1"/>
    <x v="44"/>
    <s v="PSES High Prog01Duty44 S275"/>
    <x v="0"/>
    <s v="44"/>
    <n v="44"/>
    <m/>
    <s v="   "/>
    <n v="3.4"/>
    <n v="0.31690000000000002"/>
    <n v="0"/>
    <s v="High Social Worker"/>
  </r>
  <r>
    <x v="186"/>
    <s v="Personnel"/>
    <s v="M "/>
    <x v="2"/>
    <x v="46"/>
    <s v="PSES Mid Prog01Duty44 S275"/>
    <x v="0"/>
    <s v="44"/>
    <n v="44"/>
    <m/>
    <s v="   "/>
    <n v="2.4820000000000002"/>
    <n v="0.31690000000000002"/>
    <n v="0"/>
    <s v="Middle Social Worker"/>
  </r>
  <r>
    <x v="186"/>
    <s v="Personnel"/>
    <s v="E "/>
    <x v="0"/>
    <x v="20"/>
    <s v="PSES Elem Prog21Duty45 S275"/>
    <x v="1"/>
    <s v="45"/>
    <n v="45"/>
    <m/>
    <s v="   "/>
    <n v="7.6"/>
    <n v="0.31690000000000002"/>
    <n v="2.4079999999999999"/>
    <s v="Elementary Speech, Language Pathway/_x000a_Audio"/>
  </r>
  <r>
    <x v="186"/>
    <s v="Personnel"/>
    <s v="E "/>
    <x v="0"/>
    <x v="22"/>
    <s v="PSES Elem Prog21Duty46 S275"/>
    <x v="1"/>
    <s v="46"/>
    <n v="46"/>
    <m/>
    <s v="   "/>
    <n v="5.66"/>
    <n v="0.31690000000000002"/>
    <n v="1.794"/>
    <s v="Elementary Psychologist"/>
  </r>
  <r>
    <x v="186"/>
    <s v="Personnel"/>
    <s v="H "/>
    <x v="1"/>
    <x v="23"/>
    <s v="PSES High Prog21Duty46 S275"/>
    <x v="1"/>
    <s v="46"/>
    <n v="46"/>
    <m/>
    <s v="   "/>
    <n v="1"/>
    <n v="0.31690000000000002"/>
    <n v="0.317"/>
    <s v="High Psychologist"/>
  </r>
  <r>
    <x v="186"/>
    <s v="Personnel"/>
    <s v="M "/>
    <x v="2"/>
    <x v="24"/>
    <s v="PSES Mid Prog21Duty46 S275"/>
    <x v="1"/>
    <s v="46"/>
    <n v="46"/>
    <m/>
    <s v="   "/>
    <n v="1.34"/>
    <n v="0.31690000000000002"/>
    <n v="0.42499999999999999"/>
    <s v="Middle Psychologist"/>
  </r>
  <r>
    <x v="186"/>
    <s v="Personnel"/>
    <s v="E "/>
    <x v="0"/>
    <x v="27"/>
    <s v="PSES Elem Prog01Duty47 S275"/>
    <x v="0"/>
    <s v="47"/>
    <n v="47"/>
    <m/>
    <s v="   "/>
    <n v="11.964"/>
    <n v="0.31690000000000002"/>
    <n v="0"/>
    <s v="Elementary Nurse"/>
  </r>
  <r>
    <x v="186"/>
    <s v="Personnel"/>
    <s v="H "/>
    <x v="1"/>
    <x v="25"/>
    <s v="PSES High Prog01Duty47 S275"/>
    <x v="0"/>
    <s v="47"/>
    <n v="47"/>
    <m/>
    <s v="   "/>
    <n v="3.1240000000000001"/>
    <n v="0.31690000000000002"/>
    <n v="0"/>
    <s v="High Nurse"/>
  </r>
  <r>
    <x v="186"/>
    <s v="Personnel"/>
    <s v="M "/>
    <x v="2"/>
    <x v="34"/>
    <s v="PSES Mid Prog01Duty47 S275"/>
    <x v="0"/>
    <s v="47"/>
    <n v="47"/>
    <m/>
    <s v="   "/>
    <n v="1.712"/>
    <n v="0.31690000000000002"/>
    <n v="0"/>
    <s v="Middle Nurse"/>
  </r>
  <r>
    <x v="186"/>
    <s v="Personnel"/>
    <s v="E "/>
    <x v="0"/>
    <x v="35"/>
    <s v="PSES Elem Prog21Duty48 S275"/>
    <x v="1"/>
    <s v="48"/>
    <n v="48"/>
    <m/>
    <s v="   "/>
    <n v="1.62"/>
    <n v="0.31690000000000002"/>
    <n v="0.51300000000000001"/>
    <s v="Elementary Physical Therapist"/>
  </r>
  <r>
    <x v="186"/>
    <s v="Personnel"/>
    <s v="H "/>
    <x v="1"/>
    <x v="36"/>
    <s v="PSES High Prog21Duty48 S275"/>
    <x v="1"/>
    <s v="48"/>
    <n v="48"/>
    <m/>
    <s v="   "/>
    <n v="0.93"/>
    <n v="0.31690000000000002"/>
    <n v="0.29499999999999998"/>
    <s v="High Physical Therapist"/>
  </r>
  <r>
    <x v="186"/>
    <s v="Personnel"/>
    <s v="M "/>
    <x v="2"/>
    <x v="37"/>
    <s v="PSES Mid Prog21Duty48 S275"/>
    <x v="1"/>
    <s v="48"/>
    <n v="48"/>
    <m/>
    <s v="   "/>
    <n v="0.45"/>
    <n v="0.31690000000000002"/>
    <n v="0.14299999999999999"/>
    <s v="Middle Physical Therapist"/>
  </r>
  <r>
    <x v="186"/>
    <s v="Personnel"/>
    <s v="E "/>
    <x v="0"/>
    <x v="38"/>
    <s v="PSES Elem Prog21Duty64 S275"/>
    <x v="1"/>
    <s v="64"/>
    <n v="64"/>
    <m/>
    <s v="   "/>
    <n v="23.225000000000001"/>
    <n v="0.31690000000000002"/>
    <n v="7.36"/>
    <s v="Elementary Contractor ESA"/>
  </r>
  <r>
    <x v="186"/>
    <s v="Personnel"/>
    <s v="H "/>
    <x v="1"/>
    <x v="59"/>
    <s v="PSES High Prog21Duty64 S275"/>
    <x v="1"/>
    <s v="64"/>
    <n v="64"/>
    <m/>
    <s v="   "/>
    <n v="1.9610000000000001"/>
    <n v="0.31690000000000002"/>
    <n v="0.621"/>
    <s v="High Contractor ESA"/>
  </r>
  <r>
    <x v="186"/>
    <s v="Personnel"/>
    <s v="M "/>
    <x v="2"/>
    <x v="60"/>
    <s v="PSES Mid Prog21Duty64 S275"/>
    <x v="1"/>
    <s v="64"/>
    <n v="64"/>
    <m/>
    <s v="   "/>
    <n v="7.6139999999999999"/>
    <n v="0.31690000000000002"/>
    <n v="2.4129999999999998"/>
    <s v="Middle Contractor ESA"/>
  </r>
  <r>
    <x v="186"/>
    <s v="Personnel"/>
    <m/>
    <x v="0"/>
    <x v="84"/>
    <s v="PSES Elem Prog09Duty26 S275"/>
    <x v="3"/>
    <s v="26"/>
    <n v="91"/>
    <n v="26"/>
    <m/>
    <n v="0.36199999999999999"/>
    <n v="0.31690000000000002"/>
    <n v="0"/>
    <s v="TK Health/_x000a_Related Services"/>
  </r>
  <r>
    <x v="186"/>
    <s v="Personnel"/>
    <m/>
    <x v="0"/>
    <x v="84"/>
    <s v="PSES Elem Prog09Duty26 S275"/>
    <x v="3"/>
    <s v="26"/>
    <n v="91"/>
    <n v="26"/>
    <m/>
    <n v="0.36199999999999999"/>
    <n v="0.31690000000000002"/>
    <n v="0"/>
    <s v="TK Health/_x000a_Related Services"/>
  </r>
  <r>
    <x v="187"/>
    <s v="Personnel"/>
    <s v="E "/>
    <x v="0"/>
    <x v="3"/>
    <s v="PSES Elem Prog01Act25 S275"/>
    <x v="0"/>
    <s v="25"/>
    <m/>
    <n v="25"/>
    <s v="   "/>
    <n v="0.83399999999999996"/>
    <n v="0.26800000000000002"/>
    <n v="0"/>
    <s v="Elementary Pupil Management"/>
  </r>
  <r>
    <x v="187"/>
    <s v="Personnel"/>
    <s v="H "/>
    <x v="1"/>
    <x v="4"/>
    <s v="PSES High Prog21Act25 S275"/>
    <x v="1"/>
    <s v="25"/>
    <m/>
    <n v="25"/>
    <s v="   "/>
    <n v="1.0720000000000001"/>
    <n v="0.26800000000000002"/>
    <n v="0.28699999999999998"/>
    <s v="High Pupil Management"/>
  </r>
  <r>
    <x v="187"/>
    <s v="Personnel"/>
    <s v="H "/>
    <x v="1"/>
    <x v="5"/>
    <s v="PSES High Prog01Act25 S275"/>
    <x v="0"/>
    <s v="25"/>
    <m/>
    <n v="25"/>
    <s v="   "/>
    <n v="2.028"/>
    <n v="0.26800000000000002"/>
    <n v="0"/>
    <s v="High Pupil Management"/>
  </r>
  <r>
    <x v="187"/>
    <s v="Personnel"/>
    <s v="E "/>
    <x v="0"/>
    <x v="8"/>
    <s v="PSES Elem Prog01Act26 S275"/>
    <x v="0"/>
    <s v="26"/>
    <m/>
    <n v="26"/>
    <s v="   "/>
    <n v="0.872"/>
    <n v="0.26800000000000002"/>
    <n v="0"/>
    <s v="Elementary Health/_x000a_Related Services"/>
  </r>
  <r>
    <x v="187"/>
    <s v="Personnel"/>
    <s v="H "/>
    <x v="1"/>
    <x v="29"/>
    <s v="PSES High Prog21Act26 S275"/>
    <x v="1"/>
    <s v="26"/>
    <m/>
    <n v="26"/>
    <s v="   "/>
    <n v="0.56599999999999995"/>
    <n v="0.26800000000000002"/>
    <n v="0.152"/>
    <s v="High Health/_x000a_Related Services"/>
  </r>
  <r>
    <x v="187"/>
    <s v="Personnel"/>
    <s v="H "/>
    <x v="1"/>
    <x v="9"/>
    <s v="PSES High Prog01Act26 S275"/>
    <x v="0"/>
    <s v="26"/>
    <m/>
    <n v="26"/>
    <s v="   "/>
    <n v="0.878"/>
    <n v="0.26800000000000002"/>
    <n v="0"/>
    <s v="High Health/_x000a_Related Services"/>
  </r>
  <r>
    <x v="187"/>
    <s v="Personnel"/>
    <s v="M "/>
    <x v="2"/>
    <x v="11"/>
    <s v="PSES Mid Prog01Act26 S275"/>
    <x v="0"/>
    <s v="26"/>
    <m/>
    <n v="26"/>
    <s v="   "/>
    <n v="0.27500000000000002"/>
    <n v="0.26800000000000002"/>
    <n v="0"/>
    <s v="Middle Health/_x000a_Related Services"/>
  </r>
  <r>
    <x v="187"/>
    <s v="Personnel"/>
    <s v="E "/>
    <x v="0"/>
    <x v="15"/>
    <s v="PSES Elem Prog01Duty42 S275"/>
    <x v="0"/>
    <s v="42"/>
    <n v="42"/>
    <m/>
    <s v="   "/>
    <n v="2.617"/>
    <n v="0.26800000000000002"/>
    <n v="0"/>
    <s v="Elementary Counselor"/>
  </r>
  <r>
    <x v="187"/>
    <s v="Personnel"/>
    <s v="H "/>
    <x v="1"/>
    <x v="16"/>
    <s v="PSES High Prog01Duty42 S275"/>
    <x v="0"/>
    <s v="42"/>
    <n v="42"/>
    <m/>
    <s v="   "/>
    <n v="1.3"/>
    <n v="0.26800000000000002"/>
    <n v="0"/>
    <s v="High Counselor"/>
  </r>
  <r>
    <x v="187"/>
    <s v="Personnel"/>
    <s v="E "/>
    <x v="0"/>
    <x v="42"/>
    <s v="PSES Elem Prog01Duty44 S275"/>
    <x v="0"/>
    <s v="44"/>
    <n v="44"/>
    <m/>
    <s v="   "/>
    <n v="0.2"/>
    <n v="0.26800000000000002"/>
    <n v="0"/>
    <s v="Elementary Social Worker"/>
  </r>
  <r>
    <x v="187"/>
    <s v="Personnel"/>
    <s v="M "/>
    <x v="2"/>
    <x v="46"/>
    <s v="PSES Mid Prog01Duty44 S275"/>
    <x v="0"/>
    <s v="44"/>
    <n v="44"/>
    <m/>
    <s v="   "/>
    <n v="1.55"/>
    <n v="0.26800000000000002"/>
    <n v="0"/>
    <s v="Middle Social Worker"/>
  </r>
  <r>
    <x v="187"/>
    <s v="Personnel"/>
    <s v="E "/>
    <x v="0"/>
    <x v="20"/>
    <s v="PSES Elem Prog21Duty45 S275"/>
    <x v="1"/>
    <s v="45"/>
    <n v="45"/>
    <m/>
    <s v="   "/>
    <n v="1"/>
    <n v="0.26800000000000002"/>
    <n v="0.26800000000000002"/>
    <s v="Elementary Speech, Language Pathway/_x000a_Audio"/>
  </r>
  <r>
    <x v="187"/>
    <s v="Personnel"/>
    <s v="E "/>
    <x v="0"/>
    <x v="22"/>
    <s v="PSES Elem Prog21Duty46 S275"/>
    <x v="1"/>
    <s v="46"/>
    <n v="46"/>
    <m/>
    <s v="   "/>
    <n v="0.25"/>
    <n v="0.26800000000000002"/>
    <n v="6.7000000000000004E-2"/>
    <s v="Elementary Psychologist"/>
  </r>
  <r>
    <x v="187"/>
    <s v="Personnel"/>
    <s v="E "/>
    <x v="0"/>
    <x v="48"/>
    <s v="PSES Elem Prog01Duty46 S275"/>
    <x v="0"/>
    <s v="46"/>
    <n v="46"/>
    <m/>
    <s v="   "/>
    <n v="0.1"/>
    <n v="0.26800000000000002"/>
    <n v="0"/>
    <s v="Elementary Psychologist"/>
  </r>
  <r>
    <x v="187"/>
    <s v="Personnel"/>
    <s v="H "/>
    <x v="1"/>
    <x v="23"/>
    <s v="PSES High Prog21Duty46 S275"/>
    <x v="1"/>
    <s v="46"/>
    <n v="46"/>
    <m/>
    <s v="   "/>
    <n v="0.23"/>
    <n v="0.26800000000000002"/>
    <n v="6.2E-2"/>
    <s v="High Psychologist"/>
  </r>
  <r>
    <x v="187"/>
    <s v="Personnel"/>
    <s v="H "/>
    <x v="1"/>
    <x v="65"/>
    <s v="PSES High Prog01Duty46 S275"/>
    <x v="0"/>
    <s v="46"/>
    <n v="46"/>
    <m/>
    <s v="   "/>
    <n v="0.1"/>
    <n v="0.26800000000000002"/>
    <n v="0"/>
    <s v="High Psychologist"/>
  </r>
  <r>
    <x v="187"/>
    <s v="Personnel"/>
    <s v="M "/>
    <x v="2"/>
    <x v="24"/>
    <s v="PSES Mid Prog21Duty46 S275"/>
    <x v="1"/>
    <s v="46"/>
    <n v="46"/>
    <m/>
    <s v="   "/>
    <n v="0.22"/>
    <n v="0.26800000000000002"/>
    <n v="5.8999999999999997E-2"/>
    <s v="Middle Psychologist"/>
  </r>
  <r>
    <x v="187"/>
    <s v="Personnel"/>
    <s v="M "/>
    <x v="2"/>
    <x v="49"/>
    <s v="PSES Mid Prog01Duty46 S275"/>
    <x v="0"/>
    <s v="46"/>
    <n v="46"/>
    <m/>
    <s v="   "/>
    <n v="0.1"/>
    <n v="0.26800000000000002"/>
    <n v="0"/>
    <s v="Middle Psychologist"/>
  </r>
  <r>
    <x v="187"/>
    <s v="Personnel"/>
    <s v="E "/>
    <x v="0"/>
    <x v="27"/>
    <s v="PSES Elem Prog01Duty47 S275"/>
    <x v="0"/>
    <s v="47"/>
    <n v="47"/>
    <m/>
    <s v="   "/>
    <n v="0.39400000000000002"/>
    <n v="0.26800000000000002"/>
    <n v="0"/>
    <s v="Elementary Nurse"/>
  </r>
  <r>
    <x v="187"/>
    <s v="Personnel"/>
    <s v="E "/>
    <x v="0"/>
    <x v="38"/>
    <s v="PSES Elem Prog21Duty64 S275"/>
    <x v="1"/>
    <s v="64"/>
    <n v="64"/>
    <m/>
    <s v="   "/>
    <n v="0.5"/>
    <n v="0.26800000000000002"/>
    <n v="0.13400000000000001"/>
    <s v="Elementary Contractor ESA"/>
  </r>
  <r>
    <x v="188"/>
    <s v="Personnel"/>
    <s v="H "/>
    <x v="1"/>
    <x v="1"/>
    <s v="PSES High Prog01Duty96 S275"/>
    <x v="0"/>
    <s v="24"/>
    <n v="96"/>
    <n v="24"/>
    <s v="   "/>
    <n v="9.2999999999999999E-2"/>
    <n v="0.24840000000000001"/>
    <n v="0"/>
    <s v="High Family Engagement Coordinator"/>
  </r>
  <r>
    <x v="188"/>
    <s v="Personnel"/>
    <s v="E "/>
    <x v="0"/>
    <x v="3"/>
    <s v="PSES Elem Prog01Act25 S275"/>
    <x v="0"/>
    <s v="25"/>
    <m/>
    <n v="25"/>
    <s v="   "/>
    <n v="5.0519999999999996"/>
    <n v="0.24840000000000001"/>
    <n v="0"/>
    <s v="Elementary Pupil Management"/>
  </r>
  <r>
    <x v="188"/>
    <s v="Personnel"/>
    <s v="H "/>
    <x v="1"/>
    <x v="4"/>
    <s v="PSES High Prog21Act25 S275"/>
    <x v="1"/>
    <s v="25"/>
    <m/>
    <n v="25"/>
    <s v="   "/>
    <n v="3.0870000000000002"/>
    <n v="0.24840000000000001"/>
    <n v="0.76700000000000002"/>
    <s v="High Pupil Management"/>
  </r>
  <r>
    <x v="188"/>
    <s v="Personnel"/>
    <s v="M "/>
    <x v="2"/>
    <x v="6"/>
    <s v="PSES Mid Prog01Act25 S275"/>
    <x v="0"/>
    <s v="25"/>
    <m/>
    <n v="25"/>
    <s v="   "/>
    <n v="0.45300000000000001"/>
    <n v="0.24840000000000001"/>
    <n v="0"/>
    <s v="Middle Pupil Management"/>
  </r>
  <r>
    <x v="188"/>
    <s v="Personnel"/>
    <s v="E "/>
    <x v="0"/>
    <x v="8"/>
    <s v="PSES Elem Prog01Act26 S275"/>
    <x v="0"/>
    <s v="26"/>
    <m/>
    <n v="26"/>
    <s v="   "/>
    <n v="3.9969999999999999"/>
    <n v="0.24840000000000001"/>
    <n v="0"/>
    <s v="Elementary Health/_x000a_Related Services"/>
  </r>
  <r>
    <x v="188"/>
    <s v="Personnel"/>
    <s v="H "/>
    <x v="1"/>
    <x v="9"/>
    <s v="PSES High Prog01Act26 S275"/>
    <x v="0"/>
    <s v="26"/>
    <m/>
    <n v="26"/>
    <s v="   "/>
    <n v="0.93300000000000005"/>
    <n v="0.24840000000000001"/>
    <n v="0"/>
    <s v="High Health/_x000a_Related Services"/>
  </r>
  <r>
    <x v="188"/>
    <s v="Personnel"/>
    <s v="M "/>
    <x v="2"/>
    <x v="11"/>
    <s v="PSES Mid Prog01Act26 S275"/>
    <x v="0"/>
    <s v="26"/>
    <m/>
    <n v="26"/>
    <s v="   "/>
    <n v="0.56399999999999995"/>
    <n v="0.24840000000000001"/>
    <n v="0"/>
    <s v="Middle Health/_x000a_Related Services"/>
  </r>
  <r>
    <x v="188"/>
    <s v="Personnel"/>
    <s v="E "/>
    <x v="0"/>
    <x v="62"/>
    <s v="PSES Elem Prog01Act35 S275"/>
    <x v="0"/>
    <s v="35"/>
    <m/>
    <n v="35"/>
    <s v="   "/>
    <n v="0.66700000000000004"/>
    <n v="0.24840000000000001"/>
    <n v="0"/>
    <s v="Elementary Pupil Safety"/>
  </r>
  <r>
    <x v="188"/>
    <s v="Personnel"/>
    <s v="H "/>
    <x v="1"/>
    <x v="54"/>
    <s v="PSES High Prog01Act35 S275"/>
    <x v="0"/>
    <s v="35"/>
    <m/>
    <n v="35"/>
    <s v="   "/>
    <n v="1.5529999999999999"/>
    <n v="0.24840000000000001"/>
    <n v="0"/>
    <s v="High Pupil Safety"/>
  </r>
  <r>
    <x v="188"/>
    <s v="Personnel"/>
    <s v="M "/>
    <x v="2"/>
    <x v="63"/>
    <s v="PSES Mid Prog01Act35 S275"/>
    <x v="0"/>
    <s v="35"/>
    <m/>
    <n v="35"/>
    <s v="   "/>
    <n v="0.54400000000000004"/>
    <n v="0.24840000000000001"/>
    <n v="0"/>
    <s v="Middle Pupil Safety"/>
  </r>
  <r>
    <x v="188"/>
    <s v="Personnel"/>
    <s v="E "/>
    <x v="0"/>
    <x v="15"/>
    <s v="PSES Elem Prog01Duty42 S275"/>
    <x v="0"/>
    <s v="42"/>
    <n v="42"/>
    <m/>
    <s v="   "/>
    <n v="4.8499999999999996"/>
    <n v="0.24840000000000001"/>
    <n v="0"/>
    <s v="Elementary Counselor"/>
  </r>
  <r>
    <x v="188"/>
    <s v="Personnel"/>
    <s v="H "/>
    <x v="1"/>
    <x v="16"/>
    <s v="PSES High Prog01Duty42 S275"/>
    <x v="0"/>
    <s v="42"/>
    <n v="42"/>
    <m/>
    <s v="   "/>
    <n v="3.25"/>
    <n v="0.24840000000000001"/>
    <n v="0"/>
    <s v="High Counselor"/>
  </r>
  <r>
    <x v="188"/>
    <s v="Personnel"/>
    <s v="M "/>
    <x v="2"/>
    <x v="17"/>
    <s v="PSES Mid Prog01Duty42 S275"/>
    <x v="0"/>
    <s v="42"/>
    <n v="42"/>
    <m/>
    <s v="   "/>
    <n v="2"/>
    <n v="0.24840000000000001"/>
    <n v="0"/>
    <s v="Middle Counselor"/>
  </r>
  <r>
    <x v="188"/>
    <s v="Personnel"/>
    <s v="E "/>
    <x v="0"/>
    <x v="18"/>
    <s v="PSES Elem Prog21Duty43 S275"/>
    <x v="1"/>
    <s v="43"/>
    <n v="43"/>
    <m/>
    <s v="   "/>
    <n v="1"/>
    <n v="0.24840000000000001"/>
    <n v="0.248"/>
    <s v="Elementary Occupational Therapist"/>
  </r>
  <r>
    <x v="188"/>
    <s v="Personnel"/>
    <s v="E "/>
    <x v="0"/>
    <x v="41"/>
    <s v="PSES Elem Prog21Duty44 S275"/>
    <x v="1"/>
    <s v="44"/>
    <n v="44"/>
    <m/>
    <s v="   "/>
    <n v="0.63"/>
    <n v="0.24840000000000001"/>
    <n v="0.156"/>
    <s v="Elementary Social Worker"/>
  </r>
  <r>
    <x v="188"/>
    <s v="Personnel"/>
    <s v="H "/>
    <x v="1"/>
    <x v="44"/>
    <s v="PSES High Prog01Duty44 S275"/>
    <x v="0"/>
    <s v="44"/>
    <n v="44"/>
    <m/>
    <s v="   "/>
    <n v="1"/>
    <n v="0.24840000000000001"/>
    <n v="0"/>
    <s v="High Social Worker"/>
  </r>
  <r>
    <x v="188"/>
    <s v="Personnel"/>
    <s v="E "/>
    <x v="0"/>
    <x v="20"/>
    <s v="PSES Elem Prog21Duty45 S275"/>
    <x v="1"/>
    <s v="45"/>
    <n v="45"/>
    <m/>
    <s v="   "/>
    <n v="5.4630000000000001"/>
    <n v="0.24840000000000001"/>
    <n v="1.357"/>
    <s v="Elementary Speech, Language Pathway/_x000a_Audio"/>
  </r>
  <r>
    <x v="188"/>
    <s v="Personnel"/>
    <s v="H "/>
    <x v="1"/>
    <x v="21"/>
    <s v="PSES High Prog21Duty45 S275"/>
    <x v="1"/>
    <s v="45"/>
    <n v="45"/>
    <m/>
    <s v="   "/>
    <n v="0.313"/>
    <n v="0.24840000000000001"/>
    <n v="7.8E-2"/>
    <s v="High Speech, Language Pathway/_x000a_Audio"/>
  </r>
  <r>
    <x v="188"/>
    <s v="Personnel"/>
    <s v="M "/>
    <x v="2"/>
    <x v="28"/>
    <s v="PSES Mid Prog21Duty45 S275"/>
    <x v="1"/>
    <s v="45"/>
    <n v="45"/>
    <m/>
    <s v="   "/>
    <n v="0.49399999999999999"/>
    <n v="0.24840000000000001"/>
    <n v="0.123"/>
    <s v="Middle Speech, Language Pathway/_x000a_Audio"/>
  </r>
  <r>
    <x v="188"/>
    <s v="Personnel"/>
    <s v="E "/>
    <x v="0"/>
    <x v="22"/>
    <s v="PSES Elem Prog21Duty46 S275"/>
    <x v="1"/>
    <s v="46"/>
    <n v="46"/>
    <m/>
    <s v="   "/>
    <n v="4.3"/>
    <n v="0.24840000000000001"/>
    <n v="1.0680000000000001"/>
    <s v="Elementary Psychologist"/>
  </r>
  <r>
    <x v="188"/>
    <s v="Personnel"/>
    <s v="H "/>
    <x v="1"/>
    <x v="23"/>
    <s v="PSES High Prog21Duty46 S275"/>
    <x v="1"/>
    <s v="46"/>
    <n v="46"/>
    <m/>
    <s v="   "/>
    <n v="1"/>
    <n v="0.24840000000000001"/>
    <n v="0.248"/>
    <s v="High Psychologist"/>
  </r>
  <r>
    <x v="188"/>
    <s v="Personnel"/>
    <s v="M "/>
    <x v="2"/>
    <x v="24"/>
    <s v="PSES Mid Prog21Duty46 S275"/>
    <x v="1"/>
    <s v="46"/>
    <n v="46"/>
    <m/>
    <s v="   "/>
    <n v="1"/>
    <n v="0.24840000000000001"/>
    <n v="0.248"/>
    <s v="Middle Psychologist"/>
  </r>
  <r>
    <x v="188"/>
    <s v="Personnel"/>
    <s v="T"/>
    <x v="0"/>
    <x v="70"/>
    <s v="PSES Elem Prog09Duty42 S275"/>
    <x v="3"/>
    <s v="42"/>
    <n v="42"/>
    <n v="24"/>
    <m/>
    <n v="0.15"/>
    <n v="0.24840000000000001"/>
    <n v="0"/>
    <s v="TK Counselor"/>
  </r>
  <r>
    <x v="189"/>
    <s v="Personnel"/>
    <s v="H "/>
    <x v="1"/>
    <x v="4"/>
    <s v="PSES High Prog21Act25 S275"/>
    <x v="1"/>
    <s v="25"/>
    <m/>
    <n v="25"/>
    <s v="   "/>
    <n v="2.589"/>
    <n v="0.31140000000000001"/>
    <n v="0.80600000000000005"/>
    <s v="High Pupil Management"/>
  </r>
  <r>
    <x v="189"/>
    <s v="Personnel"/>
    <s v="H "/>
    <x v="1"/>
    <x v="5"/>
    <s v="PSES High Prog01Act25 S275"/>
    <x v="0"/>
    <s v="25"/>
    <m/>
    <n v="25"/>
    <s v="   "/>
    <n v="2.2919999999999998"/>
    <n v="0.31140000000000001"/>
    <n v="0"/>
    <s v="High Pupil Management"/>
  </r>
  <r>
    <x v="189"/>
    <s v="Personnel"/>
    <s v="H "/>
    <x v="1"/>
    <x v="29"/>
    <s v="PSES High Prog21Act26 S275"/>
    <x v="1"/>
    <s v="26"/>
    <m/>
    <n v="26"/>
    <s v="   "/>
    <n v="0.68500000000000005"/>
    <n v="0.31140000000000001"/>
    <n v="0.21299999999999999"/>
    <s v="High Health/_x000a_Related Services"/>
  </r>
  <r>
    <x v="189"/>
    <s v="Personnel"/>
    <s v="H "/>
    <x v="1"/>
    <x v="9"/>
    <s v="PSES High Prog01Act26 S275"/>
    <x v="0"/>
    <s v="26"/>
    <m/>
    <n v="26"/>
    <s v="   "/>
    <n v="1.278"/>
    <n v="0.31140000000000001"/>
    <n v="0"/>
    <s v="High Health/_x000a_Related Services"/>
  </r>
  <r>
    <x v="189"/>
    <s v="Personnel"/>
    <s v="H "/>
    <x v="1"/>
    <x v="54"/>
    <s v="PSES High Prog01Act35 S275"/>
    <x v="0"/>
    <s v="35"/>
    <m/>
    <n v="35"/>
    <s v="   "/>
    <n v="2.2770000000000001"/>
    <n v="0.31140000000000001"/>
    <n v="0"/>
    <s v="High Pupil Safety"/>
  </r>
  <r>
    <x v="189"/>
    <s v="Personnel"/>
    <s v="E "/>
    <x v="0"/>
    <x v="15"/>
    <s v="PSES Elem Prog01Duty42 S275"/>
    <x v="0"/>
    <s v="42"/>
    <n v="42"/>
    <m/>
    <s v="   "/>
    <n v="4"/>
    <n v="0.31140000000000001"/>
    <n v="0"/>
    <s v="Elementary Counselor"/>
  </r>
  <r>
    <x v="189"/>
    <s v="Personnel"/>
    <s v="H "/>
    <x v="1"/>
    <x v="16"/>
    <s v="PSES High Prog01Duty42 S275"/>
    <x v="0"/>
    <s v="42"/>
    <n v="42"/>
    <m/>
    <s v="   "/>
    <n v="3.54"/>
    <n v="0.31140000000000001"/>
    <n v="0"/>
    <s v="High Counselor"/>
  </r>
  <r>
    <x v="189"/>
    <s v="Personnel"/>
    <s v="M "/>
    <x v="2"/>
    <x v="17"/>
    <s v="PSES Mid Prog01Duty42 S275"/>
    <x v="0"/>
    <s v="42"/>
    <n v="42"/>
    <m/>
    <s v="   "/>
    <n v="2.96"/>
    <n v="0.31140000000000001"/>
    <n v="0"/>
    <s v="Middle Counselor"/>
  </r>
  <r>
    <x v="189"/>
    <s v="Personnel"/>
    <s v="E "/>
    <x v="0"/>
    <x v="18"/>
    <s v="PSES Elem Prog21Duty43 S275"/>
    <x v="1"/>
    <s v="43"/>
    <n v="43"/>
    <m/>
    <s v="   "/>
    <n v="0.54"/>
    <n v="0.31140000000000001"/>
    <n v="0.16800000000000001"/>
    <s v="Elementary Occupational Therapist"/>
  </r>
  <r>
    <x v="189"/>
    <s v="Personnel"/>
    <s v="H "/>
    <x v="1"/>
    <x v="19"/>
    <s v="PSES High Prog21Duty43 S275"/>
    <x v="1"/>
    <s v="43"/>
    <n v="43"/>
    <m/>
    <s v="   "/>
    <n v="0.31"/>
    <n v="0.31140000000000001"/>
    <n v="9.7000000000000003E-2"/>
    <s v="High Occupational Therapist"/>
  </r>
  <r>
    <x v="189"/>
    <s v="Personnel"/>
    <s v="M "/>
    <x v="2"/>
    <x v="31"/>
    <s v="PSES Mid Prog21Duty43 S275"/>
    <x v="1"/>
    <s v="43"/>
    <n v="43"/>
    <m/>
    <s v="   "/>
    <n v="0.15"/>
    <n v="0.31140000000000001"/>
    <n v="4.7E-2"/>
    <s v="Middle Occupational Therapist"/>
  </r>
  <r>
    <x v="189"/>
    <s v="Personnel"/>
    <s v="E "/>
    <x v="0"/>
    <x v="20"/>
    <s v="PSES Elem Prog21Duty45 S275"/>
    <x v="1"/>
    <s v="45"/>
    <n v="45"/>
    <m/>
    <s v="   "/>
    <n v="3.7469999999999999"/>
    <n v="0.31140000000000001"/>
    <n v="1.167"/>
    <s v="Elementary Speech, Language Pathway/_x000a_Audio"/>
  </r>
  <r>
    <x v="189"/>
    <s v="Personnel"/>
    <s v="H "/>
    <x v="1"/>
    <x v="21"/>
    <s v="PSES High Prog21Duty45 S275"/>
    <x v="1"/>
    <s v="45"/>
    <n v="45"/>
    <m/>
    <s v="   "/>
    <n v="0.5"/>
    <n v="0.31140000000000001"/>
    <n v="0.156"/>
    <s v="High Speech, Language Pathway/_x000a_Audio"/>
  </r>
  <r>
    <x v="189"/>
    <s v="Personnel"/>
    <s v="M "/>
    <x v="2"/>
    <x v="28"/>
    <s v="PSES Mid Prog21Duty45 S275"/>
    <x v="1"/>
    <s v="45"/>
    <n v="45"/>
    <m/>
    <s v="   "/>
    <n v="1.0469999999999999"/>
    <n v="0.31140000000000001"/>
    <n v="0.32600000000000001"/>
    <s v="Middle Speech, Language Pathway/_x000a_Audio"/>
  </r>
  <r>
    <x v="189"/>
    <s v="Personnel"/>
    <s v="E "/>
    <x v="0"/>
    <x v="22"/>
    <s v="PSES Elem Prog21Duty46 S275"/>
    <x v="1"/>
    <s v="46"/>
    <n v="46"/>
    <m/>
    <s v="   "/>
    <n v="1.75"/>
    <n v="0.31140000000000001"/>
    <n v="0.54500000000000004"/>
    <s v="Elementary Psychologist"/>
  </r>
  <r>
    <x v="189"/>
    <s v="Personnel"/>
    <s v="H "/>
    <x v="1"/>
    <x v="23"/>
    <s v="PSES High Prog21Duty46 S275"/>
    <x v="1"/>
    <s v="46"/>
    <n v="46"/>
    <m/>
    <s v="   "/>
    <n v="0.5"/>
    <n v="0.31140000000000001"/>
    <n v="0.156"/>
    <s v="High Psychologist"/>
  </r>
  <r>
    <x v="189"/>
    <s v="Personnel"/>
    <s v="M "/>
    <x v="2"/>
    <x v="24"/>
    <s v="PSES Mid Prog21Duty46 S275"/>
    <x v="1"/>
    <s v="46"/>
    <n v="46"/>
    <m/>
    <s v="   "/>
    <n v="1.766"/>
    <n v="0.31140000000000001"/>
    <n v="0.55000000000000004"/>
    <s v="Middle Psychologist"/>
  </r>
  <r>
    <x v="189"/>
    <s v="Personnel"/>
    <s v="E "/>
    <x v="0"/>
    <x v="27"/>
    <s v="PSES Elem Prog01Duty47 S275"/>
    <x v="0"/>
    <s v="47"/>
    <n v="47"/>
    <m/>
    <s v="   "/>
    <n v="2"/>
    <n v="0.31140000000000001"/>
    <n v="0"/>
    <s v="Elementary Nurse"/>
  </r>
  <r>
    <x v="189"/>
    <s v="Personnel"/>
    <s v="H "/>
    <x v="1"/>
    <x v="25"/>
    <s v="PSES High Prog01Duty47 S275"/>
    <x v="0"/>
    <s v="47"/>
    <n v="47"/>
    <m/>
    <s v="   "/>
    <n v="0.5"/>
    <n v="0.31140000000000001"/>
    <n v="0"/>
    <s v="High Nurse"/>
  </r>
  <r>
    <x v="189"/>
    <s v="Personnel"/>
    <s v="M "/>
    <x v="2"/>
    <x v="34"/>
    <s v="PSES Mid Prog01Duty47 S275"/>
    <x v="0"/>
    <s v="47"/>
    <n v="47"/>
    <m/>
    <s v="   "/>
    <n v="0.5"/>
    <n v="0.31140000000000001"/>
    <n v="0"/>
    <s v="Middle Nurse"/>
  </r>
  <r>
    <x v="189"/>
    <s v="Personnel"/>
    <s v="E "/>
    <x v="0"/>
    <x v="35"/>
    <s v="PSES Elem Prog21Duty48 S275"/>
    <x v="1"/>
    <s v="48"/>
    <n v="48"/>
    <m/>
    <s v="   "/>
    <n v="0.27"/>
    <n v="0.31140000000000001"/>
    <n v="8.4000000000000005E-2"/>
    <s v="Elementary Physical Therapist"/>
  </r>
  <r>
    <x v="189"/>
    <s v="Personnel"/>
    <s v="H "/>
    <x v="1"/>
    <x v="36"/>
    <s v="PSES High Prog21Duty48 S275"/>
    <x v="1"/>
    <s v="48"/>
    <n v="48"/>
    <m/>
    <s v="   "/>
    <n v="0.155"/>
    <n v="0.31140000000000001"/>
    <n v="4.8000000000000001E-2"/>
    <s v="High Physical Therapist"/>
  </r>
  <r>
    <x v="189"/>
    <s v="Personnel"/>
    <s v="M "/>
    <x v="2"/>
    <x v="37"/>
    <s v="PSES Mid Prog21Duty48 S275"/>
    <x v="1"/>
    <s v="48"/>
    <n v="48"/>
    <m/>
    <s v="   "/>
    <n v="7.4999999999999997E-2"/>
    <n v="0.31140000000000001"/>
    <n v="2.3E-2"/>
    <s v="Middle Physical Therapist"/>
  </r>
  <r>
    <x v="190"/>
    <s v="Personnel"/>
    <s v="H "/>
    <x v="1"/>
    <x v="29"/>
    <s v="PSES High Prog21Act26 S275"/>
    <x v="1"/>
    <s v="26"/>
    <m/>
    <n v="26"/>
    <s v="   "/>
    <n v="1.462"/>
    <n v="0.14860000000000001"/>
    <n v="0.217"/>
    <s v="High Health/_x000a_Related Services"/>
  </r>
  <r>
    <x v="190"/>
    <s v="Personnel"/>
    <s v="H "/>
    <x v="1"/>
    <x v="54"/>
    <s v="PSES High Prog01Act35 S275"/>
    <x v="0"/>
    <s v="35"/>
    <m/>
    <n v="35"/>
    <s v="   "/>
    <n v="2"/>
    <n v="0.14860000000000001"/>
    <n v="0"/>
    <s v="High Pupil Safety"/>
  </r>
  <r>
    <x v="190"/>
    <s v="Personnel"/>
    <s v="H "/>
    <x v="1"/>
    <x v="16"/>
    <s v="PSES High Prog01Duty42 S275"/>
    <x v="0"/>
    <s v="42"/>
    <n v="42"/>
    <m/>
    <s v="   "/>
    <n v="2.0270000000000001"/>
    <n v="0.14860000000000001"/>
    <n v="0"/>
    <s v="High Counselor"/>
  </r>
  <r>
    <x v="190"/>
    <s v="Personnel"/>
    <s v="M "/>
    <x v="2"/>
    <x v="17"/>
    <s v="PSES Mid Prog01Duty42 S275"/>
    <x v="0"/>
    <s v="42"/>
    <n v="42"/>
    <m/>
    <s v="   "/>
    <n v="2.0270000000000001"/>
    <n v="0.14860000000000001"/>
    <n v="0"/>
    <s v="Middle Counselor"/>
  </r>
  <r>
    <x v="190"/>
    <s v="Personnel"/>
    <s v="E "/>
    <x v="0"/>
    <x v="20"/>
    <s v="PSES Elem Prog21Duty45 S275"/>
    <x v="1"/>
    <s v="45"/>
    <n v="45"/>
    <m/>
    <s v="   "/>
    <n v="0.4"/>
    <n v="0.14860000000000001"/>
    <n v="5.8999999999999997E-2"/>
    <s v="Elementary Speech, Language Pathway/_x000a_Audio"/>
  </r>
  <r>
    <x v="190"/>
    <s v="Personnel"/>
    <s v="H "/>
    <x v="1"/>
    <x v="21"/>
    <s v="PSES High Prog21Duty45 S275"/>
    <x v="1"/>
    <s v="45"/>
    <n v="45"/>
    <m/>
    <s v="   "/>
    <n v="0.2"/>
    <n v="0.14860000000000001"/>
    <n v="0.03"/>
    <s v="High Speech, Language Pathway/_x000a_Audio"/>
  </r>
  <r>
    <x v="190"/>
    <s v="Personnel"/>
    <s v="M "/>
    <x v="2"/>
    <x v="28"/>
    <s v="PSES Mid Prog21Duty45 S275"/>
    <x v="1"/>
    <s v="45"/>
    <n v="45"/>
    <m/>
    <s v="   "/>
    <n v="0.2"/>
    <n v="0.14860000000000001"/>
    <n v="0.03"/>
    <s v="Middle Speech, Language Pathway/_x000a_Audio"/>
  </r>
  <r>
    <x v="191"/>
    <s v="Personnel"/>
    <s v="E "/>
    <x v="0"/>
    <x v="0"/>
    <s v="PSES Elem Prog01Duty96 S275"/>
    <x v="0"/>
    <s v="24"/>
    <n v="96"/>
    <n v="24"/>
    <s v="   "/>
    <n v="1"/>
    <n v="0.15"/>
    <n v="0"/>
    <s v="Elementary Family Engagement Coordinator"/>
  </r>
  <r>
    <x v="191"/>
    <s v="Personnel"/>
    <s v="E "/>
    <x v="0"/>
    <x v="38"/>
    <s v="PSES Elem Prog21Duty64 S275"/>
    <x v="1"/>
    <s v="64"/>
    <n v="64"/>
    <m/>
    <s v="   "/>
    <n v="2.6"/>
    <n v="0.15"/>
    <n v="0.39"/>
    <s v="Elementary Contractor ESA"/>
  </r>
  <r>
    <x v="192"/>
    <s v="Personnel"/>
    <s v="H "/>
    <x v="1"/>
    <x v="25"/>
    <s v="PSES High Prog01Duty47 S275"/>
    <x v="0"/>
    <s v="47"/>
    <n v="47"/>
    <m/>
    <s v="   "/>
    <n v="1"/>
    <n v="0.13"/>
    <n v="0"/>
    <s v="High Nurse"/>
  </r>
  <r>
    <x v="193"/>
    <s v="Personnel"/>
    <s v="H "/>
    <x v="1"/>
    <x v="29"/>
    <s v="PSES High Prog21Act26 S275"/>
    <x v="1"/>
    <s v="26"/>
    <m/>
    <n v="26"/>
    <s v="   "/>
    <n v="0.19800000000000001"/>
    <n v="0.1227"/>
    <n v="2.4E-2"/>
    <s v="High Health/_x000a_Related Services"/>
  </r>
  <r>
    <x v="193"/>
    <s v="Personnel"/>
    <s v="H "/>
    <x v="1"/>
    <x v="9"/>
    <s v="PSES High Prog01Act26 S275"/>
    <x v="0"/>
    <s v="26"/>
    <m/>
    <n v="26"/>
    <s v="   "/>
    <n v="0.60899999999999999"/>
    <n v="0.1227"/>
    <n v="0"/>
    <s v="High Health/_x000a_Related Services"/>
  </r>
  <r>
    <x v="193"/>
    <s v="Personnel"/>
    <s v="H "/>
    <x v="1"/>
    <x v="16"/>
    <s v="PSES High Prog01Duty42 S275"/>
    <x v="0"/>
    <s v="42"/>
    <n v="42"/>
    <m/>
    <s v="   "/>
    <n v="0.8"/>
    <n v="0.1227"/>
    <n v="0"/>
    <s v="High Counselor"/>
  </r>
  <r>
    <x v="193"/>
    <s v="Personnel"/>
    <s v="M "/>
    <x v="2"/>
    <x v="17"/>
    <s v="PSES Mid Prog01Duty42 S275"/>
    <x v="0"/>
    <s v="42"/>
    <n v="42"/>
    <m/>
    <s v="   "/>
    <n v="0.2"/>
    <n v="0.1227"/>
    <n v="0"/>
    <s v="Middle Counselor"/>
  </r>
  <r>
    <x v="193"/>
    <s v="Personnel"/>
    <s v="E "/>
    <x v="0"/>
    <x v="18"/>
    <s v="PSES Elem Prog21Duty43 S275"/>
    <x v="1"/>
    <s v="43"/>
    <n v="43"/>
    <m/>
    <s v="   "/>
    <n v="1"/>
    <n v="0.1227"/>
    <n v="0.123"/>
    <s v="Elementary Occupational Therapist"/>
  </r>
  <r>
    <x v="194"/>
    <s v="Personnel"/>
    <s v="H "/>
    <x v="1"/>
    <x v="9"/>
    <s v="PSES High Prog01Act26 S275"/>
    <x v="0"/>
    <s v="26"/>
    <m/>
    <n v="26"/>
    <s v="   "/>
    <n v="0.72299999999999998"/>
    <n v="0.1832"/>
    <n v="0"/>
    <s v="High Health/_x000a_Related Services"/>
  </r>
  <r>
    <x v="194"/>
    <s v="Personnel"/>
    <s v="E "/>
    <x v="0"/>
    <x v="15"/>
    <s v="PSES Elem Prog01Duty42 S275"/>
    <x v="0"/>
    <s v="42"/>
    <n v="42"/>
    <m/>
    <s v="   "/>
    <n v="0.54"/>
    <n v="0.1832"/>
    <n v="0"/>
    <s v="Elementary Counselor"/>
  </r>
  <r>
    <x v="194"/>
    <s v="Personnel"/>
    <s v="H "/>
    <x v="1"/>
    <x v="16"/>
    <s v="PSES High Prog01Duty42 S275"/>
    <x v="0"/>
    <s v="42"/>
    <n v="42"/>
    <m/>
    <s v="   "/>
    <n v="0.31"/>
    <n v="0.1832"/>
    <n v="0"/>
    <s v="High Counselor"/>
  </r>
  <r>
    <x v="194"/>
    <s v="Personnel"/>
    <s v="M "/>
    <x v="2"/>
    <x v="17"/>
    <s v="PSES Mid Prog01Duty42 S275"/>
    <x v="0"/>
    <s v="42"/>
    <n v="42"/>
    <m/>
    <s v="   "/>
    <n v="0.15"/>
    <n v="0.1832"/>
    <n v="0"/>
    <s v="Middle Counselor"/>
  </r>
  <r>
    <x v="194"/>
    <s v="Personnel"/>
    <s v="E "/>
    <x v="0"/>
    <x v="20"/>
    <s v="PSES Elem Prog21Duty45 S275"/>
    <x v="1"/>
    <s v="45"/>
    <n v="45"/>
    <m/>
    <s v="   "/>
    <n v="0.3"/>
    <n v="0.1832"/>
    <n v="5.5E-2"/>
    <s v="Elementary Speech, Language Pathway/_x000a_Audio"/>
  </r>
  <r>
    <x v="194"/>
    <s v="Personnel"/>
    <s v="H "/>
    <x v="1"/>
    <x v="21"/>
    <s v="PSES High Prog21Duty45 S275"/>
    <x v="1"/>
    <s v="45"/>
    <n v="45"/>
    <m/>
    <s v="   "/>
    <n v="0.18"/>
    <n v="0.1832"/>
    <n v="3.3000000000000002E-2"/>
    <s v="High Speech, Language Pathway/_x000a_Audio"/>
  </r>
  <r>
    <x v="194"/>
    <s v="Personnel"/>
    <s v="M "/>
    <x v="2"/>
    <x v="28"/>
    <s v="PSES Mid Prog21Duty45 S275"/>
    <x v="1"/>
    <s v="45"/>
    <n v="45"/>
    <m/>
    <s v="   "/>
    <n v="0.12"/>
    <n v="0.1832"/>
    <n v="2.1999999999999999E-2"/>
    <s v="Middle Speech, Language Pathway/_x000a_Audio"/>
  </r>
  <r>
    <x v="195"/>
    <s v="Personnel"/>
    <s v="H "/>
    <x v="1"/>
    <x v="5"/>
    <s v="PSES High Prog01Act25 S275"/>
    <x v="0"/>
    <s v="25"/>
    <m/>
    <n v="25"/>
    <s v="   "/>
    <n v="9.1999999999999998E-2"/>
    <n v="0.15529999999999999"/>
    <n v="0"/>
    <s v="High Pupil Management"/>
  </r>
  <r>
    <x v="195"/>
    <s v="Personnel"/>
    <s v="E "/>
    <x v="0"/>
    <x v="15"/>
    <s v="PSES Elem Prog01Duty42 S275"/>
    <x v="0"/>
    <s v="42"/>
    <n v="42"/>
    <m/>
    <s v="   "/>
    <n v="1"/>
    <n v="0.15529999999999999"/>
    <n v="0"/>
    <s v="Elementary Counselor"/>
  </r>
  <r>
    <x v="195"/>
    <s v="Personnel"/>
    <s v="H "/>
    <x v="1"/>
    <x v="16"/>
    <s v="PSES High Prog01Duty42 S275"/>
    <x v="0"/>
    <s v="42"/>
    <n v="42"/>
    <m/>
    <s v="   "/>
    <n v="1"/>
    <n v="0.15529999999999999"/>
    <n v="0"/>
    <s v="High Counselor"/>
  </r>
  <r>
    <x v="195"/>
    <s v="Personnel"/>
    <s v="M "/>
    <x v="2"/>
    <x v="17"/>
    <s v="PSES Mid Prog01Duty42 S275"/>
    <x v="0"/>
    <s v="42"/>
    <n v="42"/>
    <m/>
    <s v="   "/>
    <n v="1"/>
    <n v="0.15529999999999999"/>
    <n v="0"/>
    <s v="Middle Counselor"/>
  </r>
  <r>
    <x v="195"/>
    <s v="Personnel"/>
    <s v="E "/>
    <x v="0"/>
    <x v="18"/>
    <s v="PSES Elem Prog21Duty43 S275"/>
    <x v="1"/>
    <s v="43"/>
    <n v="43"/>
    <m/>
    <s v="   "/>
    <n v="0.5"/>
    <n v="0.15529999999999999"/>
    <n v="7.8E-2"/>
    <s v="Elementary Occupational Therapist"/>
  </r>
  <r>
    <x v="195"/>
    <s v="Personnel"/>
    <s v="H "/>
    <x v="1"/>
    <x v="19"/>
    <s v="PSES High Prog21Duty43 S275"/>
    <x v="1"/>
    <s v="43"/>
    <n v="43"/>
    <m/>
    <s v="   "/>
    <n v="0.5"/>
    <n v="0.15529999999999999"/>
    <n v="7.8E-2"/>
    <s v="High Occupational Therapist"/>
  </r>
  <r>
    <x v="195"/>
    <s v="Personnel"/>
    <s v="E "/>
    <x v="0"/>
    <x v="20"/>
    <s v="PSES Elem Prog21Duty45 S275"/>
    <x v="1"/>
    <s v="45"/>
    <n v="45"/>
    <m/>
    <s v="   "/>
    <n v="1"/>
    <n v="0.15529999999999999"/>
    <n v="0.155"/>
    <s v="Elementary Speech, Language Pathway/_x000a_Audio"/>
  </r>
  <r>
    <x v="195"/>
    <s v="Personnel"/>
    <s v="E "/>
    <x v="0"/>
    <x v="27"/>
    <s v="PSES Elem Prog01Duty47 S275"/>
    <x v="0"/>
    <s v="47"/>
    <n v="47"/>
    <m/>
    <s v="   "/>
    <n v="0.35"/>
    <n v="0.15529999999999999"/>
    <n v="0"/>
    <s v="Elementary Nurse"/>
  </r>
  <r>
    <x v="195"/>
    <s v="Personnel"/>
    <s v="H "/>
    <x v="1"/>
    <x v="25"/>
    <s v="PSES High Prog01Duty47 S275"/>
    <x v="0"/>
    <s v="47"/>
    <n v="47"/>
    <m/>
    <s v="   "/>
    <n v="0.3"/>
    <n v="0.15529999999999999"/>
    <n v="0"/>
    <s v="High Nurse"/>
  </r>
  <r>
    <x v="195"/>
    <s v="Personnel"/>
    <s v="M "/>
    <x v="2"/>
    <x v="34"/>
    <s v="PSES Mid Prog01Duty47 S275"/>
    <x v="0"/>
    <s v="47"/>
    <n v="47"/>
    <m/>
    <s v="   "/>
    <n v="0.35"/>
    <n v="0.15529999999999999"/>
    <n v="0"/>
    <s v="Middle Nurse"/>
  </r>
  <r>
    <x v="196"/>
    <s v="Personnel"/>
    <s v="H "/>
    <x v="1"/>
    <x v="5"/>
    <s v="PSES High Prog01Act25 S275"/>
    <x v="0"/>
    <s v="25"/>
    <m/>
    <n v="25"/>
    <s v="   "/>
    <n v="0.64200000000000002"/>
    <n v="0.17449999999999999"/>
    <n v="0"/>
    <s v="High Pupil Management"/>
  </r>
  <r>
    <x v="196"/>
    <s v="Personnel"/>
    <s v="H "/>
    <x v="1"/>
    <x v="9"/>
    <s v="PSES High Prog01Act26 S275"/>
    <x v="0"/>
    <s v="26"/>
    <m/>
    <n v="26"/>
    <s v="   "/>
    <n v="1.1299999999999999"/>
    <n v="0.17449999999999999"/>
    <n v="0"/>
    <s v="High Health/_x000a_Related Services"/>
  </r>
  <r>
    <x v="196"/>
    <s v="Personnel"/>
    <s v="E "/>
    <x v="0"/>
    <x v="15"/>
    <s v="PSES Elem Prog01Duty42 S275"/>
    <x v="0"/>
    <s v="42"/>
    <n v="42"/>
    <m/>
    <s v="   "/>
    <n v="0.8"/>
    <n v="0.17449999999999999"/>
    <n v="0"/>
    <s v="Elementary Counselor"/>
  </r>
  <r>
    <x v="196"/>
    <s v="Personnel"/>
    <s v="H "/>
    <x v="1"/>
    <x v="16"/>
    <s v="PSES High Prog01Duty42 S275"/>
    <x v="0"/>
    <s v="42"/>
    <n v="42"/>
    <m/>
    <s v="   "/>
    <n v="0.12"/>
    <n v="0.17449999999999999"/>
    <n v="0"/>
    <s v="High Counselor"/>
  </r>
  <r>
    <x v="196"/>
    <s v="Personnel"/>
    <s v="M "/>
    <x v="2"/>
    <x v="17"/>
    <s v="PSES Mid Prog01Duty42 S275"/>
    <x v="0"/>
    <s v="42"/>
    <n v="42"/>
    <m/>
    <s v="   "/>
    <n v="0.08"/>
    <n v="0.17449999999999999"/>
    <n v="0"/>
    <s v="Middle Counselor"/>
  </r>
  <r>
    <x v="196"/>
    <s v="Personnel"/>
    <s v="E "/>
    <x v="0"/>
    <x v="26"/>
    <s v="PSES Elem Prog21Duty49 S275"/>
    <x v="1"/>
    <s v="49"/>
    <n v="49"/>
    <m/>
    <s v="   "/>
    <n v="0.25"/>
    <n v="0.17449999999999999"/>
    <n v="4.3999999999999997E-2"/>
    <s v="Elementary Behavior Analyst"/>
  </r>
  <r>
    <x v="196"/>
    <s v="Personnel"/>
    <s v="H "/>
    <x v="1"/>
    <x v="55"/>
    <s v="PSES High Prog21Duty49 S275"/>
    <x v="1"/>
    <s v="49"/>
    <n v="49"/>
    <m/>
    <s v="   "/>
    <n v="0.15"/>
    <n v="0.17449999999999999"/>
    <n v="2.5999999999999999E-2"/>
    <s v="High Behavior Analyst"/>
  </r>
  <r>
    <x v="197"/>
    <s v="Personnel"/>
    <s v="H "/>
    <x v="1"/>
    <x v="1"/>
    <s v="PSES High Prog01Duty96 S275"/>
    <x v="0"/>
    <s v="24"/>
    <n v="96"/>
    <n v="24"/>
    <s v="   "/>
    <n v="2.6629999999999998"/>
    <n v="0.21199999999999999"/>
    <n v="0"/>
    <s v="High Family Engagement Coordinator"/>
  </r>
  <r>
    <x v="197"/>
    <s v="Personnel"/>
    <s v="E "/>
    <x v="0"/>
    <x v="8"/>
    <s v="PSES Elem Prog01Act26 S275"/>
    <x v="0"/>
    <s v="26"/>
    <m/>
    <n v="26"/>
    <s v="   "/>
    <n v="0.46200000000000002"/>
    <n v="0.21199999999999999"/>
    <n v="0"/>
    <s v="Elementary Health/_x000a_Related Services"/>
  </r>
  <r>
    <x v="197"/>
    <s v="Personnel"/>
    <s v="H "/>
    <x v="1"/>
    <x v="29"/>
    <s v="PSES High Prog21Act26 S275"/>
    <x v="1"/>
    <s v="26"/>
    <m/>
    <n v="26"/>
    <s v="   "/>
    <n v="0.57399999999999995"/>
    <n v="0.21199999999999999"/>
    <n v="0.122"/>
    <s v="High Health/_x000a_Related Services"/>
  </r>
  <r>
    <x v="197"/>
    <s v="Personnel"/>
    <s v="H "/>
    <x v="1"/>
    <x v="9"/>
    <s v="PSES High Prog01Act26 S275"/>
    <x v="0"/>
    <s v="26"/>
    <m/>
    <n v="26"/>
    <s v="   "/>
    <n v="2.42"/>
    <n v="0.21199999999999999"/>
    <n v="0"/>
    <s v="High Health/_x000a_Related Services"/>
  </r>
  <r>
    <x v="197"/>
    <s v="Personnel"/>
    <s v="H "/>
    <x v="1"/>
    <x v="12"/>
    <s v="PSES High Prog97Act35 S275"/>
    <x v="2"/>
    <s v="35"/>
    <m/>
    <n v="35"/>
    <s v="   "/>
    <n v="1.232"/>
    <n v="0.21199999999999999"/>
    <n v="0"/>
    <s v="High Pupil Safety"/>
  </r>
  <r>
    <x v="197"/>
    <s v="Personnel"/>
    <s v="H "/>
    <x v="1"/>
    <x v="54"/>
    <s v="PSES High Prog01Act35 S275"/>
    <x v="0"/>
    <s v="35"/>
    <m/>
    <n v="35"/>
    <s v="   "/>
    <n v="4.3999999999999997E-2"/>
    <n v="0.21199999999999999"/>
    <n v="0"/>
    <s v="High Pupil Safety"/>
  </r>
  <r>
    <x v="197"/>
    <s v="Personnel"/>
    <s v="E "/>
    <x v="0"/>
    <x v="15"/>
    <s v="PSES Elem Prog01Duty42 S275"/>
    <x v="0"/>
    <s v="42"/>
    <n v="42"/>
    <m/>
    <s v="   "/>
    <n v="4.2030000000000003"/>
    <n v="0.21199999999999999"/>
    <n v="0"/>
    <s v="Elementary Counselor"/>
  </r>
  <r>
    <x v="197"/>
    <s v="Personnel"/>
    <s v="H "/>
    <x v="1"/>
    <x v="16"/>
    <s v="PSES High Prog01Duty42 S275"/>
    <x v="0"/>
    <s v="42"/>
    <n v="42"/>
    <m/>
    <s v="   "/>
    <n v="3.5"/>
    <n v="0.21199999999999999"/>
    <n v="0"/>
    <s v="High Counselor"/>
  </r>
  <r>
    <x v="197"/>
    <s v="Personnel"/>
    <s v="M "/>
    <x v="2"/>
    <x v="17"/>
    <s v="PSES Mid Prog01Duty42 S275"/>
    <x v="0"/>
    <s v="42"/>
    <n v="42"/>
    <m/>
    <s v="   "/>
    <n v="1.0169999999999999"/>
    <n v="0.21199999999999999"/>
    <n v="0"/>
    <s v="Middle Counselor"/>
  </r>
  <r>
    <x v="197"/>
    <s v="Personnel"/>
    <s v="E "/>
    <x v="0"/>
    <x v="18"/>
    <s v="PSES Elem Prog21Duty43 S275"/>
    <x v="1"/>
    <s v="43"/>
    <n v="43"/>
    <m/>
    <s v="   "/>
    <n v="1.9590000000000001"/>
    <n v="0.21199999999999999"/>
    <n v="0.41499999999999998"/>
    <s v="Elementary Occupational Therapist"/>
  </r>
  <r>
    <x v="197"/>
    <s v="Personnel"/>
    <s v="H "/>
    <x v="1"/>
    <x v="19"/>
    <s v="PSES High Prog21Duty43 S275"/>
    <x v="1"/>
    <s v="43"/>
    <n v="43"/>
    <m/>
    <s v="   "/>
    <n v="0.16"/>
    <n v="0.21199999999999999"/>
    <n v="3.4000000000000002E-2"/>
    <s v="High Occupational Therapist"/>
  </r>
  <r>
    <x v="197"/>
    <s v="Personnel"/>
    <s v="M "/>
    <x v="2"/>
    <x v="31"/>
    <s v="PSES Mid Prog21Duty43 S275"/>
    <x v="1"/>
    <s v="43"/>
    <n v="43"/>
    <m/>
    <s v="   "/>
    <n v="0.28100000000000003"/>
    <n v="0.21199999999999999"/>
    <n v="0.06"/>
    <s v="Middle Occupational Therapist"/>
  </r>
  <r>
    <x v="197"/>
    <s v="Personnel"/>
    <s v="M "/>
    <x v="2"/>
    <x v="46"/>
    <s v="PSES Mid Prog01Duty44 S275"/>
    <x v="0"/>
    <s v="44"/>
    <n v="44"/>
    <m/>
    <s v="   "/>
    <n v="0.78"/>
    <n v="0.21199999999999999"/>
    <n v="0"/>
    <s v="Middle Social Worker"/>
  </r>
  <r>
    <x v="197"/>
    <s v="Personnel"/>
    <s v="E "/>
    <x v="0"/>
    <x v="20"/>
    <s v="PSES Elem Prog21Duty45 S275"/>
    <x v="1"/>
    <s v="45"/>
    <n v="45"/>
    <m/>
    <s v="   "/>
    <n v="4.47"/>
    <n v="0.21199999999999999"/>
    <n v="0.94799999999999995"/>
    <s v="Elementary Speech, Language Pathway/_x000a_Audio"/>
  </r>
  <r>
    <x v="197"/>
    <s v="Personnel"/>
    <s v="H "/>
    <x v="1"/>
    <x v="21"/>
    <s v="PSES High Prog21Duty45 S275"/>
    <x v="1"/>
    <s v="45"/>
    <n v="45"/>
    <m/>
    <s v="   "/>
    <n v="1"/>
    <n v="0.21199999999999999"/>
    <n v="0.21199999999999999"/>
    <s v="High Speech, Language Pathway/_x000a_Audio"/>
  </r>
  <r>
    <x v="197"/>
    <s v="Personnel"/>
    <s v="M "/>
    <x v="2"/>
    <x v="28"/>
    <s v="PSES Mid Prog21Duty45 S275"/>
    <x v="1"/>
    <s v="45"/>
    <n v="45"/>
    <m/>
    <s v="   "/>
    <n v="0.52"/>
    <n v="0.21199999999999999"/>
    <n v="0.11"/>
    <s v="Middle Speech, Language Pathway/_x000a_Audio"/>
  </r>
  <r>
    <x v="197"/>
    <s v="Personnel"/>
    <s v="E "/>
    <x v="0"/>
    <x v="27"/>
    <s v="PSES Elem Prog01Duty47 S275"/>
    <x v="0"/>
    <s v="47"/>
    <n v="47"/>
    <m/>
    <s v="   "/>
    <n v="1.609"/>
    <n v="0.21199999999999999"/>
    <n v="0"/>
    <s v="Elementary Nurse"/>
  </r>
  <r>
    <x v="197"/>
    <s v="Personnel"/>
    <s v="H "/>
    <x v="1"/>
    <x v="25"/>
    <s v="PSES High Prog01Duty47 S275"/>
    <x v="0"/>
    <s v="47"/>
    <n v="47"/>
    <m/>
    <s v="   "/>
    <n v="1"/>
    <n v="0.21199999999999999"/>
    <n v="0"/>
    <s v="High Nurse"/>
  </r>
  <r>
    <x v="197"/>
    <s v="Personnel"/>
    <s v="M "/>
    <x v="2"/>
    <x v="34"/>
    <s v="PSES Mid Prog01Duty47 S275"/>
    <x v="0"/>
    <s v="47"/>
    <n v="47"/>
    <m/>
    <s v="   "/>
    <n v="0.39100000000000001"/>
    <n v="0.21199999999999999"/>
    <n v="0"/>
    <s v="Middle Nurse"/>
  </r>
  <r>
    <x v="197"/>
    <s v="Personnel"/>
    <s v="E "/>
    <x v="0"/>
    <x v="35"/>
    <s v="PSES Elem Prog21Duty48 S275"/>
    <x v="1"/>
    <s v="48"/>
    <n v="48"/>
    <m/>
    <s v="   "/>
    <n v="0.21"/>
    <n v="0.21199999999999999"/>
    <n v="4.4999999999999998E-2"/>
    <s v="Elementary Physical Therapist"/>
  </r>
  <r>
    <x v="197"/>
    <s v="Personnel"/>
    <s v="H "/>
    <x v="1"/>
    <x v="36"/>
    <s v="PSES High Prog21Duty48 S275"/>
    <x v="1"/>
    <s v="48"/>
    <n v="48"/>
    <m/>
    <s v="   "/>
    <n v="8.8999999999999996E-2"/>
    <n v="0.21199999999999999"/>
    <n v="1.9E-2"/>
    <s v="High Physical Therapist"/>
  </r>
  <r>
    <x v="197"/>
    <s v="Personnel"/>
    <s v="M "/>
    <x v="2"/>
    <x v="37"/>
    <s v="PSES Mid Prog21Duty48 S275"/>
    <x v="1"/>
    <s v="48"/>
    <n v="48"/>
    <m/>
    <s v="   "/>
    <n v="8.8999999999999996E-2"/>
    <n v="0.21199999999999999"/>
    <n v="1.9E-2"/>
    <s v="Middle Physical Therapist"/>
  </r>
  <r>
    <x v="198"/>
    <s v="Personnel"/>
    <s v="H "/>
    <x v="1"/>
    <x v="1"/>
    <s v="PSES High Prog01Duty96 S275"/>
    <x v="0"/>
    <s v="24"/>
    <n v="96"/>
    <n v="24"/>
    <s v="   "/>
    <n v="0.69199999999999995"/>
    <n v="0.23139999999999999"/>
    <n v="0"/>
    <s v="High Family Engagement Coordinator"/>
  </r>
  <r>
    <x v="198"/>
    <s v="Personnel"/>
    <s v="E "/>
    <x v="0"/>
    <x v="67"/>
    <s v="PSES Elem Prog21Act25 S275"/>
    <x v="1"/>
    <s v="25"/>
    <m/>
    <n v="25"/>
    <s v="   "/>
    <n v="1.3540000000000001"/>
    <n v="0.23139999999999999"/>
    <n v="0.313"/>
    <s v="Elementary Pupil Management"/>
  </r>
  <r>
    <x v="198"/>
    <s v="Personnel"/>
    <s v="E "/>
    <x v="0"/>
    <x v="3"/>
    <s v="PSES Elem Prog01Act25 S275"/>
    <x v="0"/>
    <s v="25"/>
    <m/>
    <n v="25"/>
    <s v="   "/>
    <n v="7.8840000000000003"/>
    <n v="0.23139999999999999"/>
    <n v="0"/>
    <s v="Elementary Pupil Management"/>
  </r>
  <r>
    <x v="198"/>
    <s v="Personnel"/>
    <s v="H "/>
    <x v="1"/>
    <x v="4"/>
    <s v="PSES High Prog21Act25 S275"/>
    <x v="1"/>
    <s v="25"/>
    <m/>
    <n v="25"/>
    <s v="   "/>
    <n v="1.319"/>
    <n v="0.23139999999999999"/>
    <n v="0.30499999999999999"/>
    <s v="High Pupil Management"/>
  </r>
  <r>
    <x v="198"/>
    <s v="Personnel"/>
    <s v="H "/>
    <x v="1"/>
    <x v="5"/>
    <s v="PSES High Prog01Act25 S275"/>
    <x v="0"/>
    <s v="25"/>
    <m/>
    <n v="25"/>
    <s v="   "/>
    <n v="0.78400000000000003"/>
    <n v="0.23139999999999999"/>
    <n v="0"/>
    <s v="High Pupil Management"/>
  </r>
  <r>
    <x v="198"/>
    <s v="Personnel"/>
    <s v="M "/>
    <x v="2"/>
    <x v="82"/>
    <s v="PSES Mid Prog21Act25 S275"/>
    <x v="1"/>
    <s v="25"/>
    <m/>
    <n v="25"/>
    <s v="   "/>
    <n v="0.45500000000000002"/>
    <n v="0.23139999999999999"/>
    <n v="0.105"/>
    <s v="Middle Pupil Management"/>
  </r>
  <r>
    <x v="198"/>
    <s v="Personnel"/>
    <s v="M "/>
    <x v="2"/>
    <x v="6"/>
    <s v="PSES Mid Prog01Act25 S275"/>
    <x v="0"/>
    <s v="25"/>
    <m/>
    <n v="25"/>
    <s v="   "/>
    <n v="0.85899999999999999"/>
    <n v="0.23139999999999999"/>
    <n v="0"/>
    <s v="Middle Pupil Management"/>
  </r>
  <r>
    <x v="198"/>
    <s v="Personnel"/>
    <s v="E "/>
    <x v="0"/>
    <x v="7"/>
    <s v="PSES Elem Prog21Act26 S275"/>
    <x v="1"/>
    <s v="26"/>
    <m/>
    <n v="26"/>
    <s v="   "/>
    <n v="1.6519999999999999"/>
    <n v="0.23139999999999999"/>
    <n v="0.38200000000000001"/>
    <s v="Elementary Health/_x000a_Related Services"/>
  </r>
  <r>
    <x v="198"/>
    <s v="Personnel"/>
    <s v="E "/>
    <x v="0"/>
    <x v="8"/>
    <s v="PSES Elem Prog01Act26 S275"/>
    <x v="0"/>
    <s v="26"/>
    <m/>
    <n v="26"/>
    <s v="   "/>
    <n v="4.4269999999999996"/>
    <n v="0.23139999999999999"/>
    <n v="0"/>
    <s v="Elementary Health/_x000a_Related Services"/>
  </r>
  <r>
    <x v="198"/>
    <s v="Personnel"/>
    <s v="H "/>
    <x v="1"/>
    <x v="29"/>
    <s v="PSES High Prog21Act26 S275"/>
    <x v="1"/>
    <s v="26"/>
    <m/>
    <n v="26"/>
    <s v="   "/>
    <n v="0.93500000000000005"/>
    <n v="0.23139999999999999"/>
    <n v="0.216"/>
    <s v="High Health/_x000a_Related Services"/>
  </r>
  <r>
    <x v="198"/>
    <s v="Personnel"/>
    <s v="H "/>
    <x v="1"/>
    <x v="9"/>
    <s v="PSES High Prog01Act26 S275"/>
    <x v="0"/>
    <s v="26"/>
    <m/>
    <n v="26"/>
    <s v="   "/>
    <n v="0.878"/>
    <n v="0.23139999999999999"/>
    <n v="0"/>
    <s v="High Health/_x000a_Related Services"/>
  </r>
  <r>
    <x v="198"/>
    <s v="Personnel"/>
    <s v="M "/>
    <x v="2"/>
    <x v="10"/>
    <s v="PSES Mid Prog21Act26 S275"/>
    <x v="1"/>
    <s v="26"/>
    <m/>
    <n v="26"/>
    <s v="   "/>
    <n v="0.45800000000000002"/>
    <n v="0.23139999999999999"/>
    <n v="0.106"/>
    <s v="Middle Health/_x000a_Related Services"/>
  </r>
  <r>
    <x v="198"/>
    <s v="Personnel"/>
    <s v="M "/>
    <x v="2"/>
    <x v="11"/>
    <s v="PSES Mid Prog01Act26 S275"/>
    <x v="0"/>
    <s v="26"/>
    <m/>
    <n v="26"/>
    <s v="   "/>
    <n v="0.68200000000000005"/>
    <n v="0.23139999999999999"/>
    <n v="0"/>
    <s v="Middle Health/_x000a_Related Services"/>
  </r>
  <r>
    <x v="198"/>
    <s v="Personnel"/>
    <s v="E "/>
    <x v="0"/>
    <x v="14"/>
    <s v="PSES Elem Prog21Duty39 S275"/>
    <x v="1"/>
    <s v="39"/>
    <n v="39"/>
    <m/>
    <s v="   "/>
    <n v="0.86"/>
    <n v="0.23139999999999999"/>
    <n v="0.19900000000000001"/>
    <s v="Elementary Orientation &amp; Mobility Specialist"/>
  </r>
  <r>
    <x v="198"/>
    <s v="Personnel"/>
    <s v="M "/>
    <x v="2"/>
    <x v="88"/>
    <s v="PSES Mid Prog21Duty39 S275"/>
    <x v="1"/>
    <s v="39"/>
    <n v="39"/>
    <m/>
    <s v="   "/>
    <n v="0.1"/>
    <n v="0.23139999999999999"/>
    <n v="2.3E-2"/>
    <s v="Middle Orientation &amp; Mobility Specialist"/>
  </r>
  <r>
    <x v="198"/>
    <s v="Personnel"/>
    <s v="E "/>
    <x v="0"/>
    <x v="15"/>
    <s v="PSES Elem Prog01Duty42 S275"/>
    <x v="0"/>
    <s v="42"/>
    <n v="42"/>
    <m/>
    <s v="   "/>
    <n v="5.0780000000000003"/>
    <n v="0.23139999999999999"/>
    <n v="0"/>
    <s v="Elementary Counselor"/>
  </r>
  <r>
    <x v="198"/>
    <s v="Personnel"/>
    <s v="H "/>
    <x v="1"/>
    <x v="16"/>
    <s v="PSES High Prog01Duty42 S275"/>
    <x v="0"/>
    <s v="42"/>
    <n v="42"/>
    <m/>
    <s v="   "/>
    <n v="3.3690000000000002"/>
    <n v="0.23139999999999999"/>
    <n v="0"/>
    <s v="High Counselor"/>
  </r>
  <r>
    <x v="198"/>
    <s v="Personnel"/>
    <s v="M "/>
    <x v="2"/>
    <x v="17"/>
    <s v="PSES Mid Prog01Duty42 S275"/>
    <x v="0"/>
    <s v="42"/>
    <n v="42"/>
    <m/>
    <s v="   "/>
    <n v="2"/>
    <n v="0.23139999999999999"/>
    <n v="0"/>
    <s v="Middle Counselor"/>
  </r>
  <r>
    <x v="198"/>
    <s v="Personnel"/>
    <s v="E "/>
    <x v="0"/>
    <x v="18"/>
    <s v="PSES Elem Prog21Duty43 S275"/>
    <x v="1"/>
    <s v="43"/>
    <n v="43"/>
    <m/>
    <s v="   "/>
    <n v="3.06"/>
    <n v="0.23139999999999999"/>
    <n v="0.70799999999999996"/>
    <s v="Elementary Occupational Therapist"/>
  </r>
  <r>
    <x v="198"/>
    <s v="Personnel"/>
    <s v="H "/>
    <x v="1"/>
    <x v="19"/>
    <s v="PSES High Prog21Duty43 S275"/>
    <x v="1"/>
    <s v="43"/>
    <n v="43"/>
    <m/>
    <s v="   "/>
    <n v="0.22"/>
    <n v="0.23139999999999999"/>
    <n v="5.0999999999999997E-2"/>
    <s v="High Occupational Therapist"/>
  </r>
  <r>
    <x v="198"/>
    <s v="Personnel"/>
    <s v="M "/>
    <x v="2"/>
    <x v="31"/>
    <s v="PSES Mid Prog21Duty43 S275"/>
    <x v="1"/>
    <s v="43"/>
    <n v="43"/>
    <m/>
    <s v="   "/>
    <n v="0.1"/>
    <n v="0.23139999999999999"/>
    <n v="2.3E-2"/>
    <s v="Middle Occupational Therapist"/>
  </r>
  <r>
    <x v="198"/>
    <s v="Personnel"/>
    <s v="E "/>
    <x v="0"/>
    <x v="20"/>
    <s v="PSES Elem Prog21Duty45 S275"/>
    <x v="1"/>
    <s v="45"/>
    <n v="45"/>
    <m/>
    <s v="   "/>
    <n v="7.03"/>
    <n v="0.23139999999999999"/>
    <n v="1.627"/>
    <s v="Elementary Speech, Language Pathway/_x000a_Audio"/>
  </r>
  <r>
    <x v="198"/>
    <s v="Personnel"/>
    <s v="H "/>
    <x v="1"/>
    <x v="21"/>
    <s v="PSES High Prog21Duty45 S275"/>
    <x v="1"/>
    <s v="45"/>
    <n v="45"/>
    <m/>
    <s v="   "/>
    <n v="0.55000000000000004"/>
    <n v="0.23139999999999999"/>
    <n v="0.127"/>
    <s v="High Speech, Language Pathway/_x000a_Audio"/>
  </r>
  <r>
    <x v="198"/>
    <s v="Personnel"/>
    <s v="M "/>
    <x v="2"/>
    <x v="28"/>
    <s v="PSES Mid Prog21Duty45 S275"/>
    <x v="1"/>
    <s v="45"/>
    <n v="45"/>
    <m/>
    <s v="   "/>
    <n v="0.4"/>
    <n v="0.23139999999999999"/>
    <n v="9.2999999999999999E-2"/>
    <s v="Middle Speech, Language Pathway/_x000a_Audio"/>
  </r>
  <r>
    <x v="198"/>
    <s v="Personnel"/>
    <s v="E "/>
    <x v="0"/>
    <x v="22"/>
    <s v="PSES Elem Prog21Duty46 S275"/>
    <x v="1"/>
    <s v="46"/>
    <n v="46"/>
    <m/>
    <s v="   "/>
    <n v="2.95"/>
    <n v="0.23139999999999999"/>
    <n v="0.68300000000000005"/>
    <s v="Elementary Psychologist"/>
  </r>
  <r>
    <x v="198"/>
    <s v="Personnel"/>
    <s v="H "/>
    <x v="1"/>
    <x v="23"/>
    <s v="PSES High Prog21Duty46 S275"/>
    <x v="1"/>
    <s v="46"/>
    <n v="46"/>
    <m/>
    <s v="   "/>
    <n v="1.3"/>
    <n v="0.23139999999999999"/>
    <n v="0.30099999999999999"/>
    <s v="High Psychologist"/>
  </r>
  <r>
    <x v="198"/>
    <s v="Personnel"/>
    <s v="M "/>
    <x v="2"/>
    <x v="24"/>
    <s v="PSES Mid Prog21Duty46 S275"/>
    <x v="1"/>
    <s v="46"/>
    <n v="46"/>
    <m/>
    <s v="   "/>
    <n v="0.9"/>
    <n v="0.23139999999999999"/>
    <n v="0.20799999999999999"/>
    <s v="Middle Psychologist"/>
  </r>
  <r>
    <x v="198"/>
    <s v="Personnel"/>
    <s v="E "/>
    <x v="0"/>
    <x v="27"/>
    <s v="PSES Elem Prog01Duty47 S275"/>
    <x v="0"/>
    <s v="47"/>
    <n v="47"/>
    <m/>
    <s v="   "/>
    <n v="0.54300000000000004"/>
    <n v="0.23139999999999999"/>
    <n v="0"/>
    <s v="Elementary Nurse"/>
  </r>
  <r>
    <x v="198"/>
    <s v="Personnel"/>
    <s v="H "/>
    <x v="1"/>
    <x v="25"/>
    <s v="PSES High Prog01Duty47 S275"/>
    <x v="0"/>
    <s v="47"/>
    <n v="47"/>
    <m/>
    <s v="   "/>
    <n v="0.30599999999999999"/>
    <n v="0.23139999999999999"/>
    <n v="0"/>
    <s v="High Nurse"/>
  </r>
  <r>
    <x v="198"/>
    <s v="Personnel"/>
    <s v="M "/>
    <x v="2"/>
    <x v="34"/>
    <s v="PSES Mid Prog01Duty47 S275"/>
    <x v="0"/>
    <s v="47"/>
    <n v="47"/>
    <m/>
    <s v="   "/>
    <n v="0.151"/>
    <n v="0.23139999999999999"/>
    <n v="0"/>
    <s v="Middle Nurse"/>
  </r>
  <r>
    <x v="198"/>
    <s v="Personnel"/>
    <s v="E "/>
    <x v="0"/>
    <x v="35"/>
    <s v="PSES Elem Prog21Duty48 S275"/>
    <x v="1"/>
    <s v="48"/>
    <n v="48"/>
    <m/>
    <s v="   "/>
    <n v="1.0149999999999999"/>
    <n v="0.23139999999999999"/>
    <n v="0.23499999999999999"/>
    <s v="Elementary Physical Therapist"/>
  </r>
  <r>
    <x v="198"/>
    <s v="Personnel"/>
    <s v="H "/>
    <x v="1"/>
    <x v="36"/>
    <s v="PSES High Prog21Duty48 S275"/>
    <x v="1"/>
    <s v="48"/>
    <n v="48"/>
    <m/>
    <s v="   "/>
    <n v="0.161"/>
    <n v="0.23139999999999999"/>
    <n v="3.6999999999999998E-2"/>
    <s v="High Physical Therapist"/>
  </r>
  <r>
    <x v="198"/>
    <s v="Personnel"/>
    <s v="M "/>
    <x v="2"/>
    <x v="37"/>
    <s v="PSES Mid Prog21Duty48 S275"/>
    <x v="1"/>
    <s v="48"/>
    <n v="48"/>
    <m/>
    <s v="   "/>
    <n v="0.13300000000000001"/>
    <n v="0.23139999999999999"/>
    <n v="3.1E-2"/>
    <s v="Middle Physical Therapist"/>
  </r>
  <r>
    <x v="198"/>
    <s v="Personnel"/>
    <s v="E "/>
    <x v="0"/>
    <x v="26"/>
    <s v="PSES Elem Prog21Duty49 S275"/>
    <x v="1"/>
    <s v="49"/>
    <n v="49"/>
    <m/>
    <s v="   "/>
    <n v="0.184"/>
    <n v="0.23139999999999999"/>
    <n v="4.2999999999999997E-2"/>
    <s v="Elementary Behavior Analyst"/>
  </r>
  <r>
    <x v="198"/>
    <s v="Personnel"/>
    <s v="E "/>
    <x v="0"/>
    <x v="79"/>
    <s v="PSES Elem Prog01Duty49 S275"/>
    <x v="0"/>
    <s v="49"/>
    <n v="49"/>
    <m/>
    <s v="   "/>
    <n v="0.73599999999999999"/>
    <n v="0.23139999999999999"/>
    <n v="0"/>
    <s v="Elementary Behavior Analyst"/>
  </r>
  <r>
    <x v="198"/>
    <s v="Personnel"/>
    <s v="H "/>
    <x v="1"/>
    <x v="55"/>
    <s v="PSES High Prog21Duty49 S275"/>
    <x v="1"/>
    <s v="49"/>
    <n v="49"/>
    <m/>
    <s v="   "/>
    <n v="8.0000000000000002E-3"/>
    <n v="0.23139999999999999"/>
    <n v="2E-3"/>
    <s v="High Behavior Analyst"/>
  </r>
  <r>
    <x v="198"/>
    <s v="Personnel"/>
    <s v="H "/>
    <x v="1"/>
    <x v="68"/>
    <s v="PSES High Prog01Duty49 S275"/>
    <x v="0"/>
    <s v="49"/>
    <n v="49"/>
    <m/>
    <s v="   "/>
    <n v="3.2000000000000001E-2"/>
    <n v="0.23139999999999999"/>
    <n v="0"/>
    <s v="High Behavior Analyst"/>
  </r>
  <r>
    <x v="198"/>
    <s v="Personnel"/>
    <s v="M "/>
    <x v="2"/>
    <x v="50"/>
    <s v="PSES Mid Prog21Duty49 S275"/>
    <x v="1"/>
    <s v="49"/>
    <n v="49"/>
    <m/>
    <s v="   "/>
    <n v="8.0000000000000002E-3"/>
    <n v="0.23139999999999999"/>
    <n v="2E-3"/>
    <s v="Middle Behavior Analyst"/>
  </r>
  <r>
    <x v="198"/>
    <s v="Personnel"/>
    <s v="M "/>
    <x v="2"/>
    <x v="89"/>
    <s v="PSES Mid Prog01Duty49 S275"/>
    <x v="0"/>
    <s v="49"/>
    <n v="49"/>
    <m/>
    <s v="   "/>
    <n v="3.2000000000000001E-2"/>
    <n v="0.23139999999999999"/>
    <n v="0"/>
    <s v="Middle Behavior Analyst"/>
  </r>
  <r>
    <x v="199"/>
    <s v="Personnel"/>
    <s v="H "/>
    <x v="1"/>
    <x v="5"/>
    <s v="PSES High Prog01Act25 S275"/>
    <x v="0"/>
    <s v="25"/>
    <m/>
    <n v="25"/>
    <s v="   "/>
    <n v="5.4260000000000002"/>
    <n v="0.20030000000000001"/>
    <n v="0"/>
    <s v="High Pupil Management"/>
  </r>
  <r>
    <x v="199"/>
    <s v="Personnel"/>
    <s v="H "/>
    <x v="1"/>
    <x v="9"/>
    <s v="PSES High Prog01Act26 S275"/>
    <x v="0"/>
    <s v="26"/>
    <m/>
    <n v="26"/>
    <s v="   "/>
    <n v="3.32"/>
    <n v="0.20030000000000001"/>
    <n v="0"/>
    <s v="High Health/_x000a_Related Services"/>
  </r>
  <r>
    <x v="199"/>
    <s v="Personnel"/>
    <s v="E "/>
    <x v="0"/>
    <x v="15"/>
    <s v="PSES Elem Prog01Duty42 S275"/>
    <x v="0"/>
    <s v="42"/>
    <n v="42"/>
    <m/>
    <s v="   "/>
    <n v="2.4009999999999998"/>
    <n v="0.20030000000000001"/>
    <n v="0"/>
    <s v="Elementary Counselor"/>
  </r>
  <r>
    <x v="199"/>
    <s v="Personnel"/>
    <s v="H "/>
    <x v="1"/>
    <x v="16"/>
    <s v="PSES High Prog01Duty42 S275"/>
    <x v="0"/>
    <s v="42"/>
    <n v="42"/>
    <m/>
    <s v="   "/>
    <n v="2.5499999999999998"/>
    <n v="0.20030000000000001"/>
    <n v="0"/>
    <s v="High Counselor"/>
  </r>
  <r>
    <x v="199"/>
    <s v="Personnel"/>
    <s v="M "/>
    <x v="2"/>
    <x v="17"/>
    <s v="PSES Mid Prog01Duty42 S275"/>
    <x v="0"/>
    <s v="42"/>
    <n v="42"/>
    <m/>
    <s v="   "/>
    <n v="1.9"/>
    <n v="0.20030000000000001"/>
    <n v="0"/>
    <s v="Middle Counselor"/>
  </r>
  <r>
    <x v="199"/>
    <s v="Personnel"/>
    <s v="E "/>
    <x v="0"/>
    <x v="18"/>
    <s v="PSES Elem Prog21Duty43 S275"/>
    <x v="1"/>
    <s v="43"/>
    <n v="43"/>
    <m/>
    <s v="   "/>
    <n v="1.4019999999999999"/>
    <n v="0.20030000000000001"/>
    <n v="0.28100000000000003"/>
    <s v="Elementary Occupational Therapist"/>
  </r>
  <r>
    <x v="199"/>
    <s v="Personnel"/>
    <s v="M "/>
    <x v="2"/>
    <x v="31"/>
    <s v="PSES Mid Prog21Duty43 S275"/>
    <x v="1"/>
    <s v="43"/>
    <n v="43"/>
    <m/>
    <s v="   "/>
    <n v="0.19800000000000001"/>
    <n v="0.20030000000000001"/>
    <n v="0.04"/>
    <s v="Middle Occupational Therapist"/>
  </r>
  <r>
    <x v="199"/>
    <s v="Personnel"/>
    <s v="H "/>
    <x v="1"/>
    <x v="44"/>
    <s v="PSES High Prog01Duty44 S275"/>
    <x v="0"/>
    <s v="44"/>
    <n v="44"/>
    <m/>
    <s v="   "/>
    <n v="1"/>
    <n v="0.20030000000000001"/>
    <n v="0"/>
    <s v="High Social Worker"/>
  </r>
  <r>
    <x v="199"/>
    <s v="Personnel"/>
    <s v="M "/>
    <x v="2"/>
    <x v="46"/>
    <s v="PSES Mid Prog01Duty44 S275"/>
    <x v="0"/>
    <s v="44"/>
    <n v="44"/>
    <m/>
    <s v="   "/>
    <n v="1"/>
    <n v="0.20030000000000001"/>
    <n v="0"/>
    <s v="Middle Social Worker"/>
  </r>
  <r>
    <x v="199"/>
    <s v="Personnel"/>
    <s v="E "/>
    <x v="0"/>
    <x v="20"/>
    <s v="PSES Elem Prog21Duty45 S275"/>
    <x v="1"/>
    <s v="45"/>
    <n v="45"/>
    <m/>
    <s v="   "/>
    <n v="4.5"/>
    <n v="0.20030000000000001"/>
    <n v="0.90100000000000002"/>
    <s v="Elementary Speech, Language Pathway/_x000a_Audio"/>
  </r>
  <r>
    <x v="199"/>
    <s v="Personnel"/>
    <s v="M "/>
    <x v="2"/>
    <x v="28"/>
    <s v="PSES Mid Prog21Duty45 S275"/>
    <x v="1"/>
    <s v="45"/>
    <n v="45"/>
    <m/>
    <s v="   "/>
    <n v="0.2"/>
    <n v="0.20030000000000001"/>
    <n v="0.04"/>
    <s v="Middle Speech, Language Pathway/_x000a_Audio"/>
  </r>
  <r>
    <x v="199"/>
    <s v="Personnel"/>
    <s v="E "/>
    <x v="0"/>
    <x v="22"/>
    <s v="PSES Elem Prog21Duty46 S275"/>
    <x v="1"/>
    <s v="46"/>
    <n v="46"/>
    <m/>
    <s v="   "/>
    <n v="1.3"/>
    <n v="0.20030000000000001"/>
    <n v="0.26"/>
    <s v="Elementary Psychologist"/>
  </r>
  <r>
    <x v="199"/>
    <s v="Personnel"/>
    <s v="H "/>
    <x v="1"/>
    <x v="23"/>
    <s v="PSES High Prog21Duty46 S275"/>
    <x v="1"/>
    <s v="46"/>
    <n v="46"/>
    <m/>
    <s v="   "/>
    <n v="0.7"/>
    <n v="0.20030000000000001"/>
    <n v="0.14000000000000001"/>
    <s v="High Psychologist"/>
  </r>
  <r>
    <x v="199"/>
    <s v="Personnel"/>
    <s v="M "/>
    <x v="2"/>
    <x v="24"/>
    <s v="PSES Mid Prog21Duty46 S275"/>
    <x v="1"/>
    <s v="46"/>
    <n v="46"/>
    <m/>
    <s v="   "/>
    <n v="0.6"/>
    <n v="0.20030000000000001"/>
    <n v="0.12"/>
    <s v="Middle Psychologist"/>
  </r>
  <r>
    <x v="199"/>
    <s v="Personnel"/>
    <s v="E "/>
    <x v="0"/>
    <x v="27"/>
    <s v="PSES Elem Prog01Duty47 S275"/>
    <x v="0"/>
    <s v="47"/>
    <n v="47"/>
    <m/>
    <s v="   "/>
    <n v="0.53900000000000003"/>
    <n v="0.20030000000000001"/>
    <n v="0"/>
    <s v="Elementary Nurse"/>
  </r>
  <r>
    <x v="199"/>
    <s v="Personnel"/>
    <s v="H "/>
    <x v="1"/>
    <x v="25"/>
    <s v="PSES High Prog01Duty47 S275"/>
    <x v="0"/>
    <s v="47"/>
    <n v="47"/>
    <m/>
    <s v="   "/>
    <n v="0.307"/>
    <n v="0.20030000000000001"/>
    <n v="0"/>
    <s v="High Nurse"/>
  </r>
  <r>
    <x v="199"/>
    <s v="Personnel"/>
    <s v="M "/>
    <x v="2"/>
    <x v="34"/>
    <s v="PSES Mid Prog01Duty47 S275"/>
    <x v="0"/>
    <s v="47"/>
    <n v="47"/>
    <m/>
    <s v="   "/>
    <n v="0.154"/>
    <n v="0.20030000000000001"/>
    <n v="0"/>
    <s v="Middle Nurse"/>
  </r>
  <r>
    <x v="199"/>
    <s v="Personnel"/>
    <s v="E "/>
    <x v="0"/>
    <x v="35"/>
    <s v="PSES Elem Prog21Duty48 S275"/>
    <x v="1"/>
    <s v="48"/>
    <n v="48"/>
    <m/>
    <s v="   "/>
    <n v="0.91200000000000003"/>
    <n v="0.20030000000000001"/>
    <n v="0.183"/>
    <s v="Elementary Physical Therapist"/>
  </r>
  <r>
    <x v="199"/>
    <s v="Personnel"/>
    <s v="H "/>
    <x v="1"/>
    <x v="36"/>
    <s v="PSES High Prog21Duty48 S275"/>
    <x v="1"/>
    <s v="48"/>
    <n v="48"/>
    <m/>
    <s v="   "/>
    <n v="2.4E-2"/>
    <n v="0.20030000000000001"/>
    <n v="5.0000000000000001E-3"/>
    <s v="High Physical Therapist"/>
  </r>
  <r>
    <x v="199"/>
    <s v="Personnel"/>
    <s v="M "/>
    <x v="2"/>
    <x v="37"/>
    <s v="PSES Mid Prog21Duty48 S275"/>
    <x v="1"/>
    <s v="48"/>
    <n v="48"/>
    <m/>
    <s v="   "/>
    <n v="6.4000000000000001E-2"/>
    <n v="0.20030000000000001"/>
    <n v="1.2999999999999999E-2"/>
    <s v="Middle Physical Therapist"/>
  </r>
  <r>
    <x v="200"/>
    <s v="Personnel"/>
    <s v="E "/>
    <x v="0"/>
    <x v="3"/>
    <s v="PSES Elem Prog01Act25 S275"/>
    <x v="0"/>
    <s v="25"/>
    <m/>
    <n v="25"/>
    <s v="   "/>
    <n v="0.63900000000000001"/>
    <n v="0.22489999999999999"/>
    <n v="0"/>
    <s v="Elementary Pupil Management"/>
  </r>
  <r>
    <x v="200"/>
    <s v="Personnel"/>
    <s v="H "/>
    <x v="1"/>
    <x v="5"/>
    <s v="PSES High Prog01Act25 S275"/>
    <x v="0"/>
    <s v="25"/>
    <m/>
    <n v="25"/>
    <s v="   "/>
    <n v="0.14000000000000001"/>
    <n v="0.22489999999999999"/>
    <n v="0"/>
    <s v="High Pupil Management"/>
  </r>
  <r>
    <x v="200"/>
    <s v="Personnel"/>
    <s v="M "/>
    <x v="2"/>
    <x v="6"/>
    <s v="PSES Mid Prog01Act25 S275"/>
    <x v="0"/>
    <s v="25"/>
    <m/>
    <n v="25"/>
    <s v="   "/>
    <n v="9.4E-2"/>
    <n v="0.22489999999999999"/>
    <n v="0"/>
    <s v="Middle Pupil Management"/>
  </r>
  <r>
    <x v="200"/>
    <s v="Personnel"/>
    <s v="M "/>
    <x v="2"/>
    <x v="10"/>
    <s v="PSES Mid Prog21Act26 S275"/>
    <x v="1"/>
    <s v="26"/>
    <m/>
    <n v="26"/>
    <s v="   "/>
    <n v="0.67400000000000004"/>
    <n v="0.22489999999999999"/>
    <n v="0.152"/>
    <s v="Middle Health/_x000a_Related Services"/>
  </r>
  <r>
    <x v="200"/>
    <s v="Personnel"/>
    <s v="H "/>
    <x v="1"/>
    <x v="16"/>
    <s v="PSES High Prog01Duty42 S275"/>
    <x v="0"/>
    <s v="42"/>
    <n v="42"/>
    <m/>
    <s v="   "/>
    <n v="0.5"/>
    <n v="0.22489999999999999"/>
    <n v="0"/>
    <s v="High Counselor"/>
  </r>
  <r>
    <x v="200"/>
    <s v="Personnel"/>
    <s v="M "/>
    <x v="2"/>
    <x v="17"/>
    <s v="PSES Mid Prog01Duty42 S275"/>
    <x v="0"/>
    <s v="42"/>
    <n v="42"/>
    <m/>
    <s v="   "/>
    <n v="0.5"/>
    <n v="0.22489999999999999"/>
    <n v="0"/>
    <s v="Middle Counselor"/>
  </r>
  <r>
    <x v="200"/>
    <s v="Personnel"/>
    <s v="E "/>
    <x v="0"/>
    <x v="20"/>
    <s v="PSES Elem Prog21Duty45 S275"/>
    <x v="1"/>
    <s v="45"/>
    <n v="45"/>
    <m/>
    <s v="   "/>
    <n v="1"/>
    <n v="0.22489999999999999"/>
    <n v="0.22500000000000001"/>
    <s v="Elementary Speech, Language Pathway/_x000a_Audio"/>
  </r>
  <r>
    <x v="200"/>
    <s v="Personnel"/>
    <s v="E "/>
    <x v="0"/>
    <x v="27"/>
    <s v="PSES Elem Prog01Duty47 S275"/>
    <x v="0"/>
    <s v="47"/>
    <n v="47"/>
    <m/>
    <s v="   "/>
    <n v="0.4"/>
    <n v="0.22489999999999999"/>
    <n v="0"/>
    <s v="Elementary Nurse"/>
  </r>
  <r>
    <x v="201"/>
    <s v="Personnel"/>
    <s v="H "/>
    <x v="1"/>
    <x v="5"/>
    <s v="PSES High Prog01Act25 S275"/>
    <x v="0"/>
    <s v="25"/>
    <m/>
    <n v="25"/>
    <s v="   "/>
    <n v="0.874"/>
    <n v="0.12709999999999999"/>
    <n v="0"/>
    <s v="High Pupil Management"/>
  </r>
  <r>
    <x v="201"/>
    <s v="Personnel"/>
    <s v="H "/>
    <x v="1"/>
    <x v="9"/>
    <s v="PSES High Prog01Act26 S275"/>
    <x v="0"/>
    <s v="26"/>
    <m/>
    <n v="26"/>
    <s v="   "/>
    <n v="5.0999999999999997E-2"/>
    <n v="0.12709999999999999"/>
    <n v="0"/>
    <s v="High Health/_x000a_Related Services"/>
  </r>
  <r>
    <x v="201"/>
    <s v="Personnel"/>
    <s v="E "/>
    <x v="0"/>
    <x v="15"/>
    <s v="PSES Elem Prog01Duty42 S275"/>
    <x v="0"/>
    <s v="42"/>
    <n v="42"/>
    <m/>
    <s v="   "/>
    <n v="0.8"/>
    <n v="0.12709999999999999"/>
    <n v="0"/>
    <s v="Elementary Counselor"/>
  </r>
  <r>
    <x v="201"/>
    <s v="Personnel"/>
    <s v="E "/>
    <x v="0"/>
    <x v="20"/>
    <s v="PSES Elem Prog21Duty45 S275"/>
    <x v="1"/>
    <s v="45"/>
    <n v="45"/>
    <m/>
    <s v="   "/>
    <n v="0.51600000000000001"/>
    <n v="0.12709999999999999"/>
    <n v="6.6000000000000003E-2"/>
    <s v="Elementary Speech, Language Pathway/_x000a_Audio"/>
  </r>
  <r>
    <x v="201"/>
    <s v="Personnel"/>
    <s v="E "/>
    <x v="0"/>
    <x v="22"/>
    <s v="PSES Elem Prog21Duty46 S275"/>
    <x v="1"/>
    <s v="46"/>
    <n v="46"/>
    <m/>
    <s v="   "/>
    <n v="0.4"/>
    <n v="0.12709999999999999"/>
    <n v="5.0999999999999997E-2"/>
    <s v="Elementary Psychologist"/>
  </r>
  <r>
    <x v="202"/>
    <s v="Personnel"/>
    <s v="E "/>
    <x v="0"/>
    <x v="3"/>
    <s v="PSES Elem Prog01Act25 S275"/>
    <x v="0"/>
    <s v="25"/>
    <m/>
    <n v="25"/>
    <s v="   "/>
    <n v="7.8520000000000003"/>
    <n v="0.26129999999999998"/>
    <n v="0"/>
    <s v="Elementary Pupil Management"/>
  </r>
  <r>
    <x v="202"/>
    <s v="Personnel"/>
    <s v="H "/>
    <x v="1"/>
    <x v="5"/>
    <s v="PSES High Prog01Act25 S275"/>
    <x v="0"/>
    <s v="25"/>
    <m/>
    <n v="25"/>
    <s v="   "/>
    <n v="0.73599999999999999"/>
    <n v="0.26129999999999998"/>
    <n v="0"/>
    <s v="High Pupil Management"/>
  </r>
  <r>
    <x v="202"/>
    <s v="Personnel"/>
    <s v="M "/>
    <x v="2"/>
    <x v="6"/>
    <s v="PSES Mid Prog01Act25 S275"/>
    <x v="0"/>
    <s v="25"/>
    <m/>
    <n v="25"/>
    <s v="   "/>
    <n v="0.65300000000000002"/>
    <n v="0.26129999999999998"/>
    <n v="0"/>
    <s v="Middle Pupil Management"/>
  </r>
  <r>
    <x v="202"/>
    <s v="Personnel"/>
    <s v="E "/>
    <x v="0"/>
    <x v="8"/>
    <s v="PSES Elem Prog01Act26 S275"/>
    <x v="0"/>
    <s v="26"/>
    <m/>
    <n v="26"/>
    <s v="   "/>
    <n v="1.8720000000000001"/>
    <n v="0.26129999999999998"/>
    <n v="0"/>
    <s v="Elementary Health/_x000a_Related Services"/>
  </r>
  <r>
    <x v="202"/>
    <s v="Personnel"/>
    <s v="H "/>
    <x v="1"/>
    <x v="29"/>
    <s v="PSES High Prog21Act26 S275"/>
    <x v="1"/>
    <s v="26"/>
    <m/>
    <n v="26"/>
    <s v="   "/>
    <n v="1.9379999999999999"/>
    <n v="0.26129999999999998"/>
    <n v="0.50600000000000001"/>
    <s v="High Health/_x000a_Related Services"/>
  </r>
  <r>
    <x v="202"/>
    <s v="Personnel"/>
    <s v="H "/>
    <x v="1"/>
    <x v="9"/>
    <s v="PSES High Prog01Act26 S275"/>
    <x v="0"/>
    <s v="26"/>
    <m/>
    <n v="26"/>
    <s v="   "/>
    <n v="3.3370000000000002"/>
    <n v="0.26129999999999998"/>
    <n v="0"/>
    <s v="High Health/_x000a_Related Services"/>
  </r>
  <r>
    <x v="202"/>
    <s v="Personnel"/>
    <s v="H "/>
    <x v="1"/>
    <x v="54"/>
    <s v="PSES High Prog01Act35 S275"/>
    <x v="0"/>
    <s v="35"/>
    <m/>
    <n v="35"/>
    <s v="   "/>
    <n v="4.4279999999999999"/>
    <n v="0.26129999999999998"/>
    <n v="0"/>
    <s v="High Pupil Safety"/>
  </r>
  <r>
    <x v="202"/>
    <s v="Personnel"/>
    <s v="E "/>
    <x v="0"/>
    <x v="15"/>
    <s v="PSES Elem Prog01Duty42 S275"/>
    <x v="0"/>
    <s v="42"/>
    <n v="42"/>
    <m/>
    <s v="   "/>
    <n v="6"/>
    <n v="0.26129999999999998"/>
    <n v="0"/>
    <s v="Elementary Counselor"/>
  </r>
  <r>
    <x v="202"/>
    <s v="Personnel"/>
    <s v="H "/>
    <x v="1"/>
    <x v="16"/>
    <s v="PSES High Prog01Duty42 S275"/>
    <x v="0"/>
    <s v="42"/>
    <n v="42"/>
    <m/>
    <s v="   "/>
    <n v="4.5"/>
    <n v="0.26129999999999998"/>
    <n v="0"/>
    <s v="High Counselor"/>
  </r>
  <r>
    <x v="202"/>
    <s v="Personnel"/>
    <s v="M "/>
    <x v="2"/>
    <x v="17"/>
    <s v="PSES Mid Prog01Duty42 S275"/>
    <x v="0"/>
    <s v="42"/>
    <n v="42"/>
    <m/>
    <s v="   "/>
    <n v="4"/>
    <n v="0.26129999999999998"/>
    <n v="0"/>
    <s v="Middle Counselor"/>
  </r>
  <r>
    <x v="202"/>
    <s v="Personnel"/>
    <s v="E "/>
    <x v="0"/>
    <x v="18"/>
    <s v="PSES Elem Prog21Duty43 S275"/>
    <x v="1"/>
    <s v="43"/>
    <n v="43"/>
    <m/>
    <s v="   "/>
    <n v="1.8"/>
    <n v="0.26129999999999998"/>
    <n v="0.47"/>
    <s v="Elementary Occupational Therapist"/>
  </r>
  <r>
    <x v="202"/>
    <s v="Personnel"/>
    <s v="H "/>
    <x v="1"/>
    <x v="19"/>
    <s v="PSES High Prog21Duty43 S275"/>
    <x v="1"/>
    <s v="43"/>
    <n v="43"/>
    <m/>
    <s v="   "/>
    <n v="0.2"/>
    <n v="0.26129999999999998"/>
    <n v="5.1999999999999998E-2"/>
    <s v="High Occupational Therapist"/>
  </r>
  <r>
    <x v="202"/>
    <s v="Personnel"/>
    <s v="E "/>
    <x v="0"/>
    <x v="42"/>
    <s v="PSES Elem Prog01Duty44 S275"/>
    <x v="0"/>
    <s v="44"/>
    <n v="44"/>
    <m/>
    <s v="   "/>
    <n v="2.25"/>
    <n v="0.26129999999999998"/>
    <n v="0"/>
    <s v="Elementary Social Worker"/>
  </r>
  <r>
    <x v="202"/>
    <s v="Personnel"/>
    <s v="H "/>
    <x v="1"/>
    <x v="44"/>
    <s v="PSES High Prog01Duty44 S275"/>
    <x v="0"/>
    <s v="44"/>
    <n v="44"/>
    <m/>
    <s v="   "/>
    <n v="0.8"/>
    <n v="0.26129999999999998"/>
    <n v="0"/>
    <s v="High Social Worker"/>
  </r>
  <r>
    <x v="202"/>
    <s v="Personnel"/>
    <s v="M "/>
    <x v="2"/>
    <x v="46"/>
    <s v="PSES Mid Prog01Duty44 S275"/>
    <x v="0"/>
    <s v="44"/>
    <n v="44"/>
    <m/>
    <s v="   "/>
    <n v="0.33"/>
    <n v="0.26129999999999998"/>
    <n v="0"/>
    <s v="Middle Social Worker"/>
  </r>
  <r>
    <x v="202"/>
    <s v="Personnel"/>
    <s v="E "/>
    <x v="0"/>
    <x v="20"/>
    <s v="PSES Elem Prog21Duty45 S275"/>
    <x v="1"/>
    <s v="45"/>
    <n v="45"/>
    <m/>
    <s v="   "/>
    <n v="7.2960000000000003"/>
    <n v="0.26129999999999998"/>
    <n v="1.9059999999999999"/>
    <s v="Elementary Speech, Language Pathway/_x000a_Audio"/>
  </r>
  <r>
    <x v="202"/>
    <s v="Personnel"/>
    <s v="H "/>
    <x v="1"/>
    <x v="21"/>
    <s v="PSES High Prog21Duty45 S275"/>
    <x v="1"/>
    <s v="45"/>
    <n v="45"/>
    <m/>
    <s v="   "/>
    <n v="1.7"/>
    <n v="0.26129999999999998"/>
    <n v="0.44400000000000001"/>
    <s v="High Speech, Language Pathway/_x000a_Audio"/>
  </r>
  <r>
    <x v="202"/>
    <s v="Personnel"/>
    <s v="M "/>
    <x v="2"/>
    <x v="28"/>
    <s v="PSES Mid Prog21Duty45 S275"/>
    <x v="1"/>
    <s v="45"/>
    <n v="45"/>
    <m/>
    <s v="   "/>
    <n v="1.1719999999999999"/>
    <n v="0.26129999999999998"/>
    <n v="0.30599999999999999"/>
    <s v="Middle Speech, Language Pathway/_x000a_Audio"/>
  </r>
  <r>
    <x v="202"/>
    <s v="Personnel"/>
    <s v="E "/>
    <x v="0"/>
    <x v="27"/>
    <s v="PSES Elem Prog01Duty47 S275"/>
    <x v="0"/>
    <s v="47"/>
    <n v="47"/>
    <m/>
    <s v="   "/>
    <n v="2.347"/>
    <n v="0.26129999999999998"/>
    <n v="0"/>
    <s v="Elementary Nurse"/>
  </r>
  <r>
    <x v="202"/>
    <s v="Personnel"/>
    <s v="H "/>
    <x v="1"/>
    <x v="25"/>
    <s v="PSES High Prog01Duty47 S275"/>
    <x v="0"/>
    <s v="47"/>
    <n v="47"/>
    <m/>
    <s v="   "/>
    <n v="1.06"/>
    <n v="0.26129999999999998"/>
    <n v="0"/>
    <s v="High Nurse"/>
  </r>
  <r>
    <x v="202"/>
    <s v="Personnel"/>
    <s v="M "/>
    <x v="2"/>
    <x v="34"/>
    <s v="PSES Mid Prog01Duty47 S275"/>
    <x v="0"/>
    <s v="47"/>
    <n v="47"/>
    <m/>
    <s v="   "/>
    <n v="0.79300000000000004"/>
    <n v="0.26129999999999998"/>
    <n v="0"/>
    <s v="Middle Nurse"/>
  </r>
  <r>
    <x v="202"/>
    <s v="Personnel"/>
    <s v="E "/>
    <x v="0"/>
    <x v="35"/>
    <s v="PSES Elem Prog21Duty48 S275"/>
    <x v="1"/>
    <s v="48"/>
    <n v="48"/>
    <m/>
    <s v="   "/>
    <n v="0.33"/>
    <n v="0.26129999999999998"/>
    <n v="8.5999999999999993E-2"/>
    <s v="Elementary Physical Therapist"/>
  </r>
  <r>
    <x v="202"/>
    <s v="Personnel"/>
    <s v="H "/>
    <x v="1"/>
    <x v="36"/>
    <s v="PSES High Prog21Duty48 S275"/>
    <x v="1"/>
    <s v="48"/>
    <n v="48"/>
    <m/>
    <s v="   "/>
    <n v="0.09"/>
    <n v="0.26129999999999998"/>
    <n v="2.4E-2"/>
    <s v="High Physical Therapist"/>
  </r>
  <r>
    <x v="202"/>
    <s v="Personnel"/>
    <s v="M "/>
    <x v="2"/>
    <x v="37"/>
    <s v="PSES Mid Prog21Duty48 S275"/>
    <x v="1"/>
    <s v="48"/>
    <n v="48"/>
    <m/>
    <s v="   "/>
    <n v="0.18"/>
    <n v="0.26129999999999998"/>
    <n v="4.7E-2"/>
    <s v="Middle Physical Therapist"/>
  </r>
  <r>
    <x v="203"/>
    <s v="Personnel"/>
    <s v="H "/>
    <x v="1"/>
    <x v="9"/>
    <s v="PSES High Prog01Act26 S275"/>
    <x v="0"/>
    <s v="26"/>
    <m/>
    <n v="26"/>
    <s v="   "/>
    <n v="0.20100000000000001"/>
    <n v="0.1913"/>
    <n v="0"/>
    <s v="High Health/_x000a_Related Services"/>
  </r>
  <r>
    <x v="204"/>
    <s v="Personnel"/>
    <s v="H "/>
    <x v="1"/>
    <x v="9"/>
    <s v="PSES High Prog01Act26 S275"/>
    <x v="0"/>
    <s v="26"/>
    <m/>
    <n v="26"/>
    <s v="   "/>
    <n v="0.28000000000000003"/>
    <n v="0.1913"/>
    <n v="0"/>
    <s v="High Health/_x000a_Related Services"/>
  </r>
  <r>
    <x v="205"/>
    <s v="Personnel"/>
    <s v="H "/>
    <x v="1"/>
    <x v="16"/>
    <s v="PSES High Prog01Duty42 S275"/>
    <x v="0"/>
    <s v="42"/>
    <n v="42"/>
    <m/>
    <s v="   "/>
    <n v="0.75"/>
    <n v="0.1913"/>
    <n v="0"/>
    <s v="High Counselor"/>
  </r>
  <r>
    <x v="206"/>
    <s v="Personnel"/>
    <s v="H "/>
    <x v="1"/>
    <x v="5"/>
    <s v="PSES High Prog01Act25 S275"/>
    <x v="0"/>
    <s v="25"/>
    <m/>
    <n v="25"/>
    <s v="   "/>
    <n v="0.88200000000000001"/>
    <n v="0.1913"/>
    <n v="0"/>
    <s v="High Pupil Management"/>
  </r>
  <r>
    <x v="206"/>
    <s v="Personnel"/>
    <s v="H "/>
    <x v="1"/>
    <x v="54"/>
    <s v="PSES High Prog01Act35 S275"/>
    <x v="0"/>
    <s v="35"/>
    <m/>
    <n v="35"/>
    <s v="   "/>
    <n v="0.54500000000000004"/>
    <n v="0.1913"/>
    <n v="0"/>
    <s v="High Pupil Safety"/>
  </r>
  <r>
    <x v="206"/>
    <s v="Personnel"/>
    <s v="E "/>
    <x v="0"/>
    <x v="15"/>
    <s v="PSES Elem Prog01Duty42 S275"/>
    <x v="0"/>
    <s v="42"/>
    <n v="42"/>
    <m/>
    <s v="   "/>
    <n v="0.8"/>
    <n v="0.1913"/>
    <n v="0"/>
    <s v="Elementary Counselor"/>
  </r>
  <r>
    <x v="206"/>
    <s v="Personnel"/>
    <s v="H "/>
    <x v="1"/>
    <x v="16"/>
    <s v="PSES High Prog01Duty42 S275"/>
    <x v="0"/>
    <s v="42"/>
    <n v="42"/>
    <m/>
    <s v="   "/>
    <n v="1.2"/>
    <n v="0.1913"/>
    <n v="0"/>
    <s v="High Counselor"/>
  </r>
  <r>
    <x v="206"/>
    <s v="Personnel"/>
    <s v="M "/>
    <x v="2"/>
    <x v="17"/>
    <s v="PSES Mid Prog01Duty42 S275"/>
    <x v="0"/>
    <s v="42"/>
    <n v="42"/>
    <m/>
    <s v="   "/>
    <n v="0.8"/>
    <n v="0.1913"/>
    <n v="0"/>
    <s v="Middle Counselor"/>
  </r>
  <r>
    <x v="207"/>
    <s v="Personnel"/>
    <s v="H "/>
    <x v="1"/>
    <x v="1"/>
    <s v="PSES High Prog01Duty96 S275"/>
    <x v="0"/>
    <s v="24"/>
    <n v="96"/>
    <n v="24"/>
    <s v="   "/>
    <n v="0.64300000000000002"/>
    <n v="0.29820000000000002"/>
    <n v="0"/>
    <s v="High Family Engagement Coordinator"/>
  </r>
  <r>
    <x v="207"/>
    <s v="Personnel"/>
    <s v="H "/>
    <x v="1"/>
    <x v="4"/>
    <s v="PSES High Prog21Act25 S275"/>
    <x v="1"/>
    <s v="25"/>
    <m/>
    <n v="25"/>
    <s v="   "/>
    <n v="1.294"/>
    <n v="0.29820000000000002"/>
    <n v="0.38600000000000001"/>
    <s v="High Pupil Management"/>
  </r>
  <r>
    <x v="207"/>
    <s v="Personnel"/>
    <s v="H "/>
    <x v="1"/>
    <x v="5"/>
    <s v="PSES High Prog01Act25 S275"/>
    <x v="0"/>
    <s v="25"/>
    <m/>
    <n v="25"/>
    <s v="   "/>
    <n v="33.484000000000002"/>
    <n v="0.29820000000000002"/>
    <n v="0"/>
    <s v="High Pupil Management"/>
  </r>
  <r>
    <x v="207"/>
    <s v="Personnel"/>
    <s v="H "/>
    <x v="1"/>
    <x v="29"/>
    <s v="PSES High Prog21Act26 S275"/>
    <x v="1"/>
    <s v="26"/>
    <m/>
    <n v="26"/>
    <s v="   "/>
    <n v="5.3150000000000004"/>
    <n v="0.29820000000000002"/>
    <n v="1.585"/>
    <s v="High Health/_x000a_Related Services"/>
  </r>
  <r>
    <x v="207"/>
    <s v="Personnel"/>
    <s v="H "/>
    <x v="1"/>
    <x v="9"/>
    <s v="PSES High Prog01Act26 S275"/>
    <x v="0"/>
    <s v="26"/>
    <m/>
    <n v="26"/>
    <s v="   "/>
    <n v="25.937999999999999"/>
    <n v="0.29820000000000002"/>
    <n v="0"/>
    <s v="High Health/_x000a_Related Services"/>
  </r>
  <r>
    <x v="207"/>
    <s v="Personnel"/>
    <s v="H "/>
    <x v="1"/>
    <x v="54"/>
    <s v="PSES High Prog01Act35 S275"/>
    <x v="0"/>
    <s v="35"/>
    <m/>
    <n v="35"/>
    <s v="   "/>
    <n v="9.19"/>
    <n v="0.29820000000000002"/>
    <n v="0"/>
    <s v="High Pupil Safety"/>
  </r>
  <r>
    <x v="207"/>
    <s v="Personnel"/>
    <s v="E "/>
    <x v="0"/>
    <x v="15"/>
    <s v="PSES Elem Prog01Duty42 S275"/>
    <x v="0"/>
    <s v="42"/>
    <n v="42"/>
    <m/>
    <s v="   "/>
    <n v="23.786000000000001"/>
    <n v="0.29820000000000002"/>
    <n v="0"/>
    <s v="Elementary Counselor"/>
  </r>
  <r>
    <x v="207"/>
    <s v="Personnel"/>
    <s v="H "/>
    <x v="1"/>
    <x v="16"/>
    <s v="PSES High Prog01Duty42 S275"/>
    <x v="0"/>
    <s v="42"/>
    <n v="42"/>
    <m/>
    <s v="   "/>
    <n v="11.76"/>
    <n v="0.29820000000000002"/>
    <n v="0"/>
    <s v="High Counselor"/>
  </r>
  <r>
    <x v="207"/>
    <s v="Personnel"/>
    <s v="M "/>
    <x v="2"/>
    <x v="17"/>
    <s v="PSES Mid Prog01Duty42 S275"/>
    <x v="0"/>
    <s v="42"/>
    <n v="42"/>
    <m/>
    <s v="   "/>
    <n v="12.88"/>
    <n v="0.29820000000000002"/>
    <n v="0"/>
    <s v="Middle Counselor"/>
  </r>
  <r>
    <x v="207"/>
    <s v="Personnel"/>
    <s v="E "/>
    <x v="0"/>
    <x v="18"/>
    <s v="PSES Elem Prog21Duty43 S275"/>
    <x v="1"/>
    <s v="43"/>
    <n v="43"/>
    <m/>
    <s v="   "/>
    <n v="6.4009999999999998"/>
    <n v="0.29820000000000002"/>
    <n v="1.909"/>
    <s v="Elementary Occupational Therapist"/>
  </r>
  <r>
    <x v="207"/>
    <s v="Personnel"/>
    <s v="H "/>
    <x v="1"/>
    <x v="19"/>
    <s v="PSES High Prog21Duty43 S275"/>
    <x v="1"/>
    <s v="43"/>
    <n v="43"/>
    <m/>
    <s v="   "/>
    <n v="1.6"/>
    <n v="0.29820000000000002"/>
    <n v="0.47699999999999998"/>
    <s v="High Occupational Therapist"/>
  </r>
  <r>
    <x v="207"/>
    <s v="Personnel"/>
    <s v="M "/>
    <x v="2"/>
    <x v="31"/>
    <s v="PSES Mid Prog21Duty43 S275"/>
    <x v="1"/>
    <s v="43"/>
    <n v="43"/>
    <m/>
    <s v="   "/>
    <n v="0.6"/>
    <n v="0.29820000000000002"/>
    <n v="0.17899999999999999"/>
    <s v="Middle Occupational Therapist"/>
  </r>
  <r>
    <x v="207"/>
    <s v="Personnel"/>
    <s v="E "/>
    <x v="0"/>
    <x v="42"/>
    <s v="PSES Elem Prog01Duty44 S275"/>
    <x v="0"/>
    <s v="44"/>
    <n v="44"/>
    <m/>
    <s v="   "/>
    <n v="2.0009999999999999"/>
    <n v="0.29820000000000002"/>
    <n v="0"/>
    <s v="Elementary Social Worker"/>
  </r>
  <r>
    <x v="207"/>
    <s v="Personnel"/>
    <s v="H "/>
    <x v="1"/>
    <x v="44"/>
    <s v="PSES High Prog01Duty44 S275"/>
    <x v="0"/>
    <s v="44"/>
    <n v="44"/>
    <m/>
    <s v="   "/>
    <n v="0.44400000000000001"/>
    <n v="0.29820000000000002"/>
    <n v="0"/>
    <s v="High Social Worker"/>
  </r>
  <r>
    <x v="207"/>
    <s v="Personnel"/>
    <s v="M "/>
    <x v="2"/>
    <x v="46"/>
    <s v="PSES Mid Prog01Duty44 S275"/>
    <x v="0"/>
    <s v="44"/>
    <n v="44"/>
    <m/>
    <s v="   "/>
    <n v="0.55500000000000005"/>
    <n v="0.29820000000000002"/>
    <n v="0"/>
    <s v="Middle Social Worker"/>
  </r>
  <r>
    <x v="207"/>
    <s v="Personnel"/>
    <s v="E "/>
    <x v="0"/>
    <x v="20"/>
    <s v="PSES Elem Prog21Duty45 S275"/>
    <x v="1"/>
    <s v="45"/>
    <n v="45"/>
    <m/>
    <s v="   "/>
    <n v="20.882000000000001"/>
    <n v="0.29820000000000002"/>
    <n v="6.2270000000000003"/>
    <s v="Elementary Speech, Language Pathway/_x000a_Audio"/>
  </r>
  <r>
    <x v="207"/>
    <s v="Personnel"/>
    <s v="E "/>
    <x v="0"/>
    <x v="47"/>
    <s v="PSES Elem Prog01Duty45 S275"/>
    <x v="0"/>
    <s v="45"/>
    <n v="45"/>
    <m/>
    <s v="   "/>
    <n v="0.66600000000000004"/>
    <n v="0.29820000000000002"/>
    <n v="0"/>
    <s v="Elementary Speech, Language Pathway/_x000a_Audio"/>
  </r>
  <r>
    <x v="207"/>
    <s v="Personnel"/>
    <s v="H "/>
    <x v="1"/>
    <x v="21"/>
    <s v="PSES High Prog21Duty45 S275"/>
    <x v="1"/>
    <s v="45"/>
    <n v="45"/>
    <m/>
    <s v="   "/>
    <n v="6.1479999999999997"/>
    <n v="0.29820000000000002"/>
    <n v="1.833"/>
    <s v="High Speech, Language Pathway/_x000a_Audio"/>
  </r>
  <r>
    <x v="207"/>
    <s v="Personnel"/>
    <s v="H "/>
    <x v="1"/>
    <x v="51"/>
    <s v="PSES High Prog01Duty45 S275"/>
    <x v="0"/>
    <s v="45"/>
    <n v="45"/>
    <m/>
    <s v="   "/>
    <n v="0.14799999999999999"/>
    <n v="0.29820000000000002"/>
    <n v="0"/>
    <s v="High Speech, Language Pathway/_x000a_Audio"/>
  </r>
  <r>
    <x v="207"/>
    <s v="Personnel"/>
    <s v="M "/>
    <x v="2"/>
    <x v="28"/>
    <s v="PSES Mid Prog21Duty45 S275"/>
    <x v="1"/>
    <s v="45"/>
    <n v="45"/>
    <m/>
    <s v="   "/>
    <n v="5.3860000000000001"/>
    <n v="0.29820000000000002"/>
    <n v="1.6060000000000001"/>
    <s v="Middle Speech, Language Pathway/_x000a_Audio"/>
  </r>
  <r>
    <x v="207"/>
    <s v="Personnel"/>
    <s v="M "/>
    <x v="2"/>
    <x v="52"/>
    <s v="PSES Mid Prog01Duty45 S275"/>
    <x v="0"/>
    <s v="45"/>
    <n v="45"/>
    <m/>
    <s v="   "/>
    <n v="0.186"/>
    <n v="0.29820000000000002"/>
    <n v="0"/>
    <s v="Middle Speech, Language Pathway/_x000a_Audio"/>
  </r>
  <r>
    <x v="207"/>
    <s v="Personnel"/>
    <s v="E "/>
    <x v="0"/>
    <x v="22"/>
    <s v="PSES Elem Prog21Duty46 S275"/>
    <x v="1"/>
    <s v="46"/>
    <n v="46"/>
    <m/>
    <s v="   "/>
    <n v="8.4"/>
    <n v="0.29820000000000002"/>
    <n v="2.5049999999999999"/>
    <s v="Elementary Psychologist"/>
  </r>
  <r>
    <x v="207"/>
    <s v="Personnel"/>
    <s v="H "/>
    <x v="1"/>
    <x v="23"/>
    <s v="PSES High Prog21Duty46 S275"/>
    <x v="1"/>
    <s v="46"/>
    <n v="46"/>
    <m/>
    <s v="   "/>
    <n v="1.4"/>
    <n v="0.29820000000000002"/>
    <n v="0.41699999999999998"/>
    <s v="High Psychologist"/>
  </r>
  <r>
    <x v="207"/>
    <s v="Personnel"/>
    <s v="M "/>
    <x v="2"/>
    <x v="24"/>
    <s v="PSES Mid Prog21Duty46 S275"/>
    <x v="1"/>
    <s v="46"/>
    <n v="46"/>
    <m/>
    <s v="   "/>
    <n v="2.4"/>
    <n v="0.29820000000000002"/>
    <n v="0.71599999999999997"/>
    <s v="Middle Psychologist"/>
  </r>
  <r>
    <x v="207"/>
    <s v="Personnel"/>
    <s v="E "/>
    <x v="0"/>
    <x v="35"/>
    <s v="PSES Elem Prog21Duty48 S275"/>
    <x v="1"/>
    <s v="48"/>
    <n v="48"/>
    <m/>
    <s v="   "/>
    <n v="5.5010000000000003"/>
    <n v="0.29820000000000002"/>
    <n v="1.64"/>
    <s v="Elementary Physical Therapist"/>
  </r>
  <r>
    <x v="207"/>
    <s v="Personnel"/>
    <s v="H "/>
    <x v="1"/>
    <x v="36"/>
    <s v="PSES High Prog21Duty48 S275"/>
    <x v="1"/>
    <s v="48"/>
    <n v="48"/>
    <m/>
    <s v="   "/>
    <n v="0.9"/>
    <n v="0.29820000000000002"/>
    <n v="0.26800000000000002"/>
    <s v="High Physical Therapist"/>
  </r>
  <r>
    <x v="207"/>
    <s v="Personnel"/>
    <s v="M "/>
    <x v="2"/>
    <x v="37"/>
    <s v="PSES Mid Prog21Duty48 S275"/>
    <x v="1"/>
    <s v="48"/>
    <n v="48"/>
    <m/>
    <s v="   "/>
    <n v="1"/>
    <n v="0.29820000000000002"/>
    <n v="0.29799999999999999"/>
    <s v="Middle Physical Therapist"/>
  </r>
  <r>
    <x v="207"/>
    <s v="Personnel"/>
    <s v="E "/>
    <x v="0"/>
    <x v="26"/>
    <s v="PSES Elem Prog21Duty49 S275"/>
    <x v="1"/>
    <s v="49"/>
    <n v="49"/>
    <m/>
    <s v="   "/>
    <n v="1.3340000000000001"/>
    <n v="0.29820000000000002"/>
    <n v="0.39800000000000002"/>
    <s v="Elementary Behavior Analyst"/>
  </r>
  <r>
    <x v="207"/>
    <s v="Personnel"/>
    <s v="H "/>
    <x v="1"/>
    <x v="55"/>
    <s v="PSES High Prog21Duty49 S275"/>
    <x v="1"/>
    <s v="49"/>
    <n v="49"/>
    <m/>
    <s v="   "/>
    <n v="0.29599999999999999"/>
    <n v="0.29820000000000002"/>
    <n v="8.7999999999999995E-2"/>
    <s v="High Behavior Analyst"/>
  </r>
  <r>
    <x v="207"/>
    <s v="Personnel"/>
    <s v="M "/>
    <x v="2"/>
    <x v="50"/>
    <s v="PSES Mid Prog21Duty49 S275"/>
    <x v="1"/>
    <s v="49"/>
    <n v="49"/>
    <m/>
    <s v="   "/>
    <n v="0.37"/>
    <n v="0.29820000000000002"/>
    <n v="0.11"/>
    <s v="Middle Behavior Analyst"/>
  </r>
  <r>
    <x v="208"/>
    <s v="Personnel"/>
    <s v="H "/>
    <x v="1"/>
    <x v="1"/>
    <s v="PSES High Prog01Duty96 S275"/>
    <x v="0"/>
    <s v="24"/>
    <n v="96"/>
    <n v="24"/>
    <s v="   "/>
    <n v="4.6349999999999998"/>
    <n v="0.2656"/>
    <n v="0"/>
    <s v="High Family Engagement Coordinator"/>
  </r>
  <r>
    <x v="208"/>
    <s v="Personnel"/>
    <s v="H "/>
    <x v="1"/>
    <x v="53"/>
    <s v="PSES High Prog97Act25 S275"/>
    <x v="2"/>
    <s v="25"/>
    <m/>
    <n v="25"/>
    <s v="   "/>
    <n v="4.32"/>
    <n v="0.2656"/>
    <n v="0"/>
    <s v="High Pupil Management"/>
  </r>
  <r>
    <x v="208"/>
    <s v="Personnel"/>
    <s v="E "/>
    <x v="0"/>
    <x v="7"/>
    <s v="PSES Elem Prog21Act26 S275"/>
    <x v="1"/>
    <s v="26"/>
    <m/>
    <n v="26"/>
    <s v="   "/>
    <n v="0.48499999999999999"/>
    <n v="0.2656"/>
    <n v="0.129"/>
    <s v="Elementary Health/_x000a_Related Services"/>
  </r>
  <r>
    <x v="208"/>
    <s v="Personnel"/>
    <s v="H "/>
    <x v="1"/>
    <x v="29"/>
    <s v="PSES High Prog21Act26 S275"/>
    <x v="1"/>
    <s v="26"/>
    <m/>
    <n v="26"/>
    <s v="   "/>
    <n v="3.63"/>
    <n v="0.2656"/>
    <n v="0.96399999999999997"/>
    <s v="High Health/_x000a_Related Services"/>
  </r>
  <r>
    <x v="208"/>
    <s v="Personnel"/>
    <s v="H "/>
    <x v="1"/>
    <x v="9"/>
    <s v="PSES High Prog01Act26 S275"/>
    <x v="0"/>
    <s v="26"/>
    <m/>
    <n v="26"/>
    <s v="   "/>
    <n v="15.202999999999999"/>
    <n v="0.2656"/>
    <n v="0"/>
    <s v="High Health/_x000a_Related Services"/>
  </r>
  <r>
    <x v="208"/>
    <s v="Personnel"/>
    <s v="H "/>
    <x v="1"/>
    <x v="12"/>
    <s v="PSES High Prog97Act35 S275"/>
    <x v="2"/>
    <s v="35"/>
    <m/>
    <n v="35"/>
    <s v="   "/>
    <n v="1.278"/>
    <n v="0.2656"/>
    <n v="0"/>
    <s v="High Pupil Safety"/>
  </r>
  <r>
    <x v="208"/>
    <s v="Personnel"/>
    <s v="E "/>
    <x v="0"/>
    <x v="15"/>
    <s v="PSES Elem Prog01Duty42 S275"/>
    <x v="0"/>
    <s v="42"/>
    <n v="42"/>
    <m/>
    <s v="   "/>
    <n v="8"/>
    <n v="0.2656"/>
    <n v="0"/>
    <s v="Elementary Counselor"/>
  </r>
  <r>
    <x v="208"/>
    <s v="Personnel"/>
    <s v="H "/>
    <x v="1"/>
    <x v="16"/>
    <s v="PSES High Prog01Duty42 S275"/>
    <x v="0"/>
    <s v="42"/>
    <n v="42"/>
    <m/>
    <s v="   "/>
    <n v="10.1"/>
    <n v="0.2656"/>
    <n v="0"/>
    <s v="High Counselor"/>
  </r>
  <r>
    <x v="208"/>
    <s v="Personnel"/>
    <s v="M "/>
    <x v="2"/>
    <x v="17"/>
    <s v="PSES Mid Prog01Duty42 S275"/>
    <x v="0"/>
    <s v="42"/>
    <n v="42"/>
    <m/>
    <s v="   "/>
    <n v="4.5940000000000003"/>
    <n v="0.2656"/>
    <n v="0"/>
    <s v="Middle Counselor"/>
  </r>
  <r>
    <x v="208"/>
    <s v="Personnel"/>
    <s v="E "/>
    <x v="0"/>
    <x v="18"/>
    <s v="PSES Elem Prog21Duty43 S275"/>
    <x v="1"/>
    <s v="43"/>
    <n v="43"/>
    <m/>
    <s v="   "/>
    <n v="6.5"/>
    <n v="0.2656"/>
    <n v="1.726"/>
    <s v="Elementary Occupational Therapist"/>
  </r>
  <r>
    <x v="208"/>
    <s v="Personnel"/>
    <s v="E "/>
    <x v="0"/>
    <x v="20"/>
    <s v="PSES Elem Prog21Duty45 S275"/>
    <x v="1"/>
    <s v="45"/>
    <n v="45"/>
    <m/>
    <s v="   "/>
    <n v="11"/>
    <n v="0.2656"/>
    <n v="2.9220000000000002"/>
    <s v="Elementary Speech, Language Pathway/_x000a_Audio"/>
  </r>
  <r>
    <x v="208"/>
    <s v="Personnel"/>
    <s v="H "/>
    <x v="1"/>
    <x v="21"/>
    <s v="PSES High Prog21Duty45 S275"/>
    <x v="1"/>
    <s v="45"/>
    <n v="45"/>
    <m/>
    <s v="   "/>
    <n v="2"/>
    <n v="0.2656"/>
    <n v="0.53100000000000003"/>
    <s v="High Speech, Language Pathway/_x000a_Audio"/>
  </r>
  <r>
    <x v="208"/>
    <s v="Personnel"/>
    <s v="M "/>
    <x v="2"/>
    <x v="28"/>
    <s v="PSES Mid Prog21Duty45 S275"/>
    <x v="1"/>
    <s v="45"/>
    <n v="45"/>
    <m/>
    <s v="   "/>
    <n v="2"/>
    <n v="0.2656"/>
    <n v="0.53100000000000003"/>
    <s v="Middle Speech, Language Pathway/_x000a_Audio"/>
  </r>
  <r>
    <x v="208"/>
    <s v="Personnel"/>
    <s v="E "/>
    <x v="0"/>
    <x v="22"/>
    <s v="PSES Elem Prog21Duty46 S275"/>
    <x v="1"/>
    <s v="46"/>
    <n v="46"/>
    <m/>
    <s v="   "/>
    <n v="5"/>
    <n v="0.2656"/>
    <n v="1.3280000000000001"/>
    <s v="Elementary Psychologist"/>
  </r>
  <r>
    <x v="208"/>
    <s v="Personnel"/>
    <s v="H "/>
    <x v="1"/>
    <x v="23"/>
    <s v="PSES High Prog21Duty46 S275"/>
    <x v="1"/>
    <s v="46"/>
    <n v="46"/>
    <m/>
    <s v="   "/>
    <n v="1"/>
    <n v="0.2656"/>
    <n v="0.26600000000000001"/>
    <s v="High Psychologist"/>
  </r>
  <r>
    <x v="208"/>
    <s v="Personnel"/>
    <s v="M "/>
    <x v="2"/>
    <x v="24"/>
    <s v="PSES Mid Prog21Duty46 S275"/>
    <x v="1"/>
    <s v="46"/>
    <n v="46"/>
    <m/>
    <s v="   "/>
    <n v="3"/>
    <n v="0.2656"/>
    <n v="0.79700000000000004"/>
    <s v="Middle Psychologist"/>
  </r>
  <r>
    <x v="209"/>
    <s v="Personnel"/>
    <s v="H "/>
    <x v="1"/>
    <x v="29"/>
    <s v="PSES High Prog21Act26 S275"/>
    <x v="1"/>
    <s v="26"/>
    <m/>
    <n v="26"/>
    <s v="   "/>
    <n v="1.2330000000000001"/>
    <n v="0.28149999999999997"/>
    <n v="0.34699999999999998"/>
    <s v="High Health/_x000a_Related Services"/>
  </r>
  <r>
    <x v="209"/>
    <s v="Personnel"/>
    <s v="H "/>
    <x v="1"/>
    <x v="9"/>
    <s v="PSES High Prog01Act26 S275"/>
    <x v="0"/>
    <s v="26"/>
    <m/>
    <n v="26"/>
    <s v="   "/>
    <n v="2.4220000000000002"/>
    <n v="0.28149999999999997"/>
    <n v="0"/>
    <s v="High Health/_x000a_Related Services"/>
  </r>
  <r>
    <x v="209"/>
    <s v="Personnel"/>
    <s v="H "/>
    <x v="1"/>
    <x v="54"/>
    <s v="PSES High Prog01Act35 S275"/>
    <x v="0"/>
    <s v="35"/>
    <m/>
    <n v="35"/>
    <s v="   "/>
    <n v="5.5359999999999996"/>
    <n v="0.28149999999999997"/>
    <n v="0"/>
    <s v="High Pupil Safety"/>
  </r>
  <r>
    <x v="209"/>
    <s v="Personnel"/>
    <s v="E "/>
    <x v="0"/>
    <x v="15"/>
    <s v="PSES Elem Prog01Duty42 S275"/>
    <x v="0"/>
    <s v="42"/>
    <n v="42"/>
    <m/>
    <s v="   "/>
    <n v="6.7759999999999998"/>
    <n v="0.28149999999999997"/>
    <n v="0"/>
    <s v="Elementary Counselor"/>
  </r>
  <r>
    <x v="209"/>
    <s v="Personnel"/>
    <s v="H "/>
    <x v="1"/>
    <x v="16"/>
    <s v="PSES High Prog01Duty42 S275"/>
    <x v="0"/>
    <s v="42"/>
    <n v="42"/>
    <m/>
    <s v="   "/>
    <n v="11.65"/>
    <n v="0.28149999999999997"/>
    <n v="0"/>
    <s v="High Counselor"/>
  </r>
  <r>
    <x v="209"/>
    <s v="Personnel"/>
    <s v="M "/>
    <x v="2"/>
    <x v="17"/>
    <s v="PSES Mid Prog01Duty42 S275"/>
    <x v="0"/>
    <s v="42"/>
    <n v="42"/>
    <m/>
    <s v="   "/>
    <n v="7.556"/>
    <n v="0.28149999999999997"/>
    <n v="0"/>
    <s v="Middle Counselor"/>
  </r>
  <r>
    <x v="209"/>
    <s v="Personnel"/>
    <s v="E "/>
    <x v="0"/>
    <x v="18"/>
    <s v="PSES Elem Prog21Duty43 S275"/>
    <x v="1"/>
    <s v="43"/>
    <n v="43"/>
    <m/>
    <s v="   "/>
    <n v="13.214"/>
    <n v="0.28149999999999997"/>
    <n v="3.72"/>
    <s v="Elementary Occupational Therapist"/>
  </r>
  <r>
    <x v="209"/>
    <s v="Personnel"/>
    <s v="H "/>
    <x v="1"/>
    <x v="19"/>
    <s v="PSES High Prog21Duty43 S275"/>
    <x v="1"/>
    <s v="43"/>
    <n v="43"/>
    <m/>
    <s v="   "/>
    <n v="1.905"/>
    <n v="0.28149999999999997"/>
    <n v="0.53600000000000003"/>
    <s v="High Occupational Therapist"/>
  </r>
  <r>
    <x v="209"/>
    <s v="Personnel"/>
    <s v="M "/>
    <x v="2"/>
    <x v="31"/>
    <s v="PSES Mid Prog21Duty43 S275"/>
    <x v="1"/>
    <s v="43"/>
    <n v="43"/>
    <m/>
    <s v="   "/>
    <n v="1.5229999999999999"/>
    <n v="0.28149999999999997"/>
    <n v="0.42899999999999999"/>
    <s v="Middle Occupational Therapist"/>
  </r>
  <r>
    <x v="209"/>
    <s v="Personnel"/>
    <s v="E "/>
    <x v="0"/>
    <x v="42"/>
    <s v="PSES Elem Prog01Duty44 S275"/>
    <x v="0"/>
    <s v="44"/>
    <n v="44"/>
    <m/>
    <s v="   "/>
    <n v="7"/>
    <n v="0.28149999999999997"/>
    <n v="0"/>
    <s v="Elementary Social Worker"/>
  </r>
  <r>
    <x v="209"/>
    <s v="Personnel"/>
    <s v="E "/>
    <x v="0"/>
    <x v="20"/>
    <s v="PSES Elem Prog21Duty45 S275"/>
    <x v="1"/>
    <s v="45"/>
    <n v="45"/>
    <m/>
    <s v="   "/>
    <n v="21.795999999999999"/>
    <n v="0.28149999999999997"/>
    <n v="6.1360000000000001"/>
    <s v="Elementary Speech, Language Pathway/_x000a_Audio"/>
  </r>
  <r>
    <x v="209"/>
    <s v="Personnel"/>
    <s v="H "/>
    <x v="1"/>
    <x v="21"/>
    <s v="PSES High Prog21Duty45 S275"/>
    <x v="1"/>
    <s v="45"/>
    <n v="45"/>
    <m/>
    <s v="   "/>
    <n v="4.7539999999999996"/>
    <n v="0.28149999999999997"/>
    <n v="1.3380000000000001"/>
    <s v="High Speech, Language Pathway/_x000a_Audio"/>
  </r>
  <r>
    <x v="209"/>
    <s v="Personnel"/>
    <s v="M "/>
    <x v="2"/>
    <x v="28"/>
    <s v="PSES Mid Prog21Duty45 S275"/>
    <x v="1"/>
    <s v="45"/>
    <n v="45"/>
    <m/>
    <s v="   "/>
    <n v="3.1930000000000001"/>
    <n v="0.28149999999999997"/>
    <n v="0.89900000000000002"/>
    <s v="Middle Speech, Language Pathway/_x000a_Audio"/>
  </r>
  <r>
    <x v="209"/>
    <s v="Personnel"/>
    <s v="E "/>
    <x v="0"/>
    <x v="22"/>
    <s v="PSES Elem Prog21Duty46 S275"/>
    <x v="1"/>
    <s v="46"/>
    <n v="46"/>
    <m/>
    <s v="   "/>
    <n v="8.4930000000000003"/>
    <n v="0.28149999999999997"/>
    <n v="2.391"/>
    <s v="Elementary Psychologist"/>
  </r>
  <r>
    <x v="209"/>
    <s v="Personnel"/>
    <s v="E "/>
    <x v="0"/>
    <x v="48"/>
    <s v="PSES Elem Prog01Duty46 S275"/>
    <x v="0"/>
    <s v="46"/>
    <n v="46"/>
    <m/>
    <s v="   "/>
    <n v="3"/>
    <n v="0.28149999999999997"/>
    <n v="0"/>
    <s v="Elementary Psychologist"/>
  </r>
  <r>
    <x v="209"/>
    <s v="Personnel"/>
    <s v="H "/>
    <x v="1"/>
    <x v="23"/>
    <s v="PSES High Prog21Duty46 S275"/>
    <x v="1"/>
    <s v="46"/>
    <n v="46"/>
    <m/>
    <s v="   "/>
    <n v="3"/>
    <n v="0.28149999999999997"/>
    <n v="0.84499999999999997"/>
    <s v="High Psychologist"/>
  </r>
  <r>
    <x v="209"/>
    <s v="Personnel"/>
    <s v="M "/>
    <x v="2"/>
    <x v="24"/>
    <s v="PSES Mid Prog21Duty46 S275"/>
    <x v="1"/>
    <s v="46"/>
    <n v="46"/>
    <m/>
    <s v="   "/>
    <n v="1.5069999999999999"/>
    <n v="0.28149999999999997"/>
    <n v="0.42399999999999999"/>
    <s v="Middle Psychologist"/>
  </r>
  <r>
    <x v="209"/>
    <s v="Personnel"/>
    <s v="E "/>
    <x v="0"/>
    <x v="27"/>
    <s v="PSES Elem Prog01Duty47 S275"/>
    <x v="0"/>
    <s v="47"/>
    <n v="47"/>
    <m/>
    <s v="   "/>
    <n v="8.9589999999999996"/>
    <n v="0.28149999999999997"/>
    <n v="0"/>
    <s v="Elementary Nurse"/>
  </r>
  <r>
    <x v="209"/>
    <s v="Personnel"/>
    <s v="H "/>
    <x v="1"/>
    <x v="25"/>
    <s v="PSES High Prog01Duty47 S275"/>
    <x v="0"/>
    <s v="47"/>
    <n v="47"/>
    <m/>
    <s v="   "/>
    <n v="2.956"/>
    <n v="0.28149999999999997"/>
    <n v="0"/>
    <s v="High Nurse"/>
  </r>
  <r>
    <x v="209"/>
    <s v="Personnel"/>
    <s v="M "/>
    <x v="2"/>
    <x v="34"/>
    <s v="PSES Mid Prog01Duty47 S275"/>
    <x v="0"/>
    <s v="47"/>
    <n v="47"/>
    <m/>
    <s v="   "/>
    <n v="2.7509999999999999"/>
    <n v="0.28149999999999997"/>
    <n v="0"/>
    <s v="Middle Nurse"/>
  </r>
  <r>
    <x v="209"/>
    <s v="Personnel"/>
    <s v="E "/>
    <x v="0"/>
    <x v="35"/>
    <s v="PSES Elem Prog21Duty48 S275"/>
    <x v="1"/>
    <s v="48"/>
    <n v="48"/>
    <m/>
    <s v="   "/>
    <n v="3.6269999999999998"/>
    <n v="0.28149999999999997"/>
    <n v="1.0209999999999999"/>
    <s v="Elementary Physical Therapist"/>
  </r>
  <r>
    <x v="209"/>
    <s v="Personnel"/>
    <s v="H "/>
    <x v="1"/>
    <x v="36"/>
    <s v="PSES High Prog21Duty48 S275"/>
    <x v="1"/>
    <s v="48"/>
    <n v="48"/>
    <m/>
    <s v="   "/>
    <n v="0.55000000000000004"/>
    <n v="0.28149999999999997"/>
    <n v="0.155"/>
    <s v="High Physical Therapist"/>
  </r>
  <r>
    <x v="209"/>
    <s v="Personnel"/>
    <s v="M "/>
    <x v="2"/>
    <x v="37"/>
    <s v="PSES Mid Prog21Duty48 S275"/>
    <x v="1"/>
    <s v="48"/>
    <n v="48"/>
    <m/>
    <s v="   "/>
    <n v="0.32500000000000001"/>
    <n v="0.28149999999999997"/>
    <n v="9.0999999999999998E-2"/>
    <s v="Middle Physical Therapist"/>
  </r>
  <r>
    <x v="210"/>
    <s v="Personnel"/>
    <s v="H "/>
    <x v="1"/>
    <x v="1"/>
    <s v="PSES High Prog01Duty96 S275"/>
    <x v="0"/>
    <s v="24"/>
    <n v="96"/>
    <n v="24"/>
    <s v="   "/>
    <n v="3.3180000000000001"/>
    <n v="0.29459999999999997"/>
    <n v="0"/>
    <s v="High Family Engagement Coordinator"/>
  </r>
  <r>
    <x v="210"/>
    <s v="Personnel"/>
    <s v="H "/>
    <x v="1"/>
    <x v="4"/>
    <s v="PSES High Prog21Act25 S275"/>
    <x v="1"/>
    <s v="25"/>
    <m/>
    <n v="25"/>
    <s v="   "/>
    <n v="3.42"/>
    <n v="0.29459999999999997"/>
    <n v="1.008"/>
    <s v="High Pupil Management"/>
  </r>
  <r>
    <x v="210"/>
    <s v="Personnel"/>
    <s v="H "/>
    <x v="1"/>
    <x v="5"/>
    <s v="PSES High Prog01Act25 S275"/>
    <x v="0"/>
    <s v="25"/>
    <m/>
    <n v="25"/>
    <s v="   "/>
    <n v="9.0180000000000007"/>
    <n v="0.29459999999999997"/>
    <n v="0"/>
    <s v="High Pupil Management"/>
  </r>
  <r>
    <x v="210"/>
    <s v="Personnel"/>
    <s v="H "/>
    <x v="1"/>
    <x v="29"/>
    <s v="PSES High Prog21Act26 S275"/>
    <x v="1"/>
    <s v="26"/>
    <m/>
    <n v="26"/>
    <s v="   "/>
    <n v="2.895"/>
    <n v="0.29459999999999997"/>
    <n v="0.85299999999999998"/>
    <s v="High Health/_x000a_Related Services"/>
  </r>
  <r>
    <x v="210"/>
    <s v="Personnel"/>
    <s v="H "/>
    <x v="1"/>
    <x v="9"/>
    <s v="PSES High Prog01Act26 S275"/>
    <x v="0"/>
    <s v="26"/>
    <m/>
    <n v="26"/>
    <s v="   "/>
    <n v="4.5069999999999997"/>
    <n v="0.29459999999999997"/>
    <n v="0"/>
    <s v="High Health/_x000a_Related Services"/>
  </r>
  <r>
    <x v="210"/>
    <s v="Personnel"/>
    <s v="H "/>
    <x v="1"/>
    <x v="54"/>
    <s v="PSES High Prog01Act35 S275"/>
    <x v="0"/>
    <s v="35"/>
    <m/>
    <n v="35"/>
    <s v="   "/>
    <n v="3.5489999999999999"/>
    <n v="0.29459999999999997"/>
    <n v="0"/>
    <s v="High Pupil Safety"/>
  </r>
  <r>
    <x v="210"/>
    <s v="Personnel"/>
    <s v="E "/>
    <x v="0"/>
    <x v="14"/>
    <s v="PSES Elem Prog21Duty39 S275"/>
    <x v="1"/>
    <s v="39"/>
    <n v="39"/>
    <m/>
    <s v="   "/>
    <n v="1"/>
    <n v="0.29459999999999997"/>
    <n v="0.29499999999999998"/>
    <s v="Elementary Orientation &amp; Mobility Specialist"/>
  </r>
  <r>
    <x v="210"/>
    <s v="Personnel"/>
    <s v="E "/>
    <x v="0"/>
    <x v="15"/>
    <s v="PSES Elem Prog01Duty42 S275"/>
    <x v="0"/>
    <s v="42"/>
    <n v="42"/>
    <m/>
    <s v="   "/>
    <n v="25.640999999999998"/>
    <n v="0.29459999999999997"/>
    <n v="0"/>
    <s v="Elementary Counselor"/>
  </r>
  <r>
    <x v="210"/>
    <s v="Personnel"/>
    <s v="H "/>
    <x v="1"/>
    <x v="16"/>
    <s v="PSES High Prog01Duty42 S275"/>
    <x v="0"/>
    <s v="42"/>
    <n v="42"/>
    <m/>
    <s v="   "/>
    <n v="19.292000000000002"/>
    <n v="0.29459999999999997"/>
    <n v="0"/>
    <s v="High Counselor"/>
  </r>
  <r>
    <x v="210"/>
    <s v="Personnel"/>
    <s v="M "/>
    <x v="2"/>
    <x v="17"/>
    <s v="PSES Mid Prog01Duty42 S275"/>
    <x v="0"/>
    <s v="42"/>
    <n v="42"/>
    <m/>
    <s v="   "/>
    <n v="10.6"/>
    <n v="0.29459999999999997"/>
    <n v="0"/>
    <s v="Middle Counselor"/>
  </r>
  <r>
    <x v="210"/>
    <s v="Personnel"/>
    <s v="E "/>
    <x v="0"/>
    <x v="18"/>
    <s v="PSES Elem Prog21Duty43 S275"/>
    <x v="1"/>
    <s v="43"/>
    <n v="43"/>
    <m/>
    <s v="   "/>
    <n v="15.907999999999999"/>
    <n v="0.29459999999999997"/>
    <n v="4.6859999999999999"/>
    <s v="Elementary Occupational Therapist"/>
  </r>
  <r>
    <x v="210"/>
    <s v="Personnel"/>
    <s v="E "/>
    <x v="0"/>
    <x v="20"/>
    <s v="PSES Elem Prog21Duty45 S275"/>
    <x v="1"/>
    <s v="45"/>
    <n v="45"/>
    <m/>
    <s v="   "/>
    <n v="39.203000000000003"/>
    <n v="0.29459999999999997"/>
    <n v="11.548999999999999"/>
    <s v="Elementary Speech, Language Pathway/_x000a_Audio"/>
  </r>
  <r>
    <x v="210"/>
    <s v="Personnel"/>
    <s v="E "/>
    <x v="0"/>
    <x v="47"/>
    <s v="PSES Elem Prog01Duty45 S275"/>
    <x v="0"/>
    <s v="45"/>
    <n v="45"/>
    <m/>
    <s v="   "/>
    <n v="0.79200000000000004"/>
    <n v="0.29459999999999997"/>
    <n v="0"/>
    <s v="Elementary Speech, Language Pathway/_x000a_Audio"/>
  </r>
  <r>
    <x v="210"/>
    <s v="Personnel"/>
    <s v="H "/>
    <x v="1"/>
    <x v="21"/>
    <s v="PSES High Prog21Duty45 S275"/>
    <x v="1"/>
    <s v="45"/>
    <n v="45"/>
    <m/>
    <s v="   "/>
    <n v="0.2"/>
    <n v="0.29459999999999997"/>
    <n v="5.8999999999999997E-2"/>
    <s v="High Speech, Language Pathway/_x000a_Audio"/>
  </r>
  <r>
    <x v="210"/>
    <s v="Personnel"/>
    <s v="E "/>
    <x v="0"/>
    <x v="22"/>
    <s v="PSES Elem Prog21Duty46 S275"/>
    <x v="1"/>
    <s v="46"/>
    <n v="46"/>
    <m/>
    <s v="   "/>
    <n v="14.395"/>
    <n v="0.29459999999999997"/>
    <n v="4.2409999999999997"/>
    <s v="Elementary Psychologist"/>
  </r>
  <r>
    <x v="210"/>
    <s v="Personnel"/>
    <s v="H "/>
    <x v="1"/>
    <x v="23"/>
    <s v="PSES High Prog21Duty46 S275"/>
    <x v="1"/>
    <s v="46"/>
    <n v="46"/>
    <m/>
    <s v="   "/>
    <n v="5.9"/>
    <n v="0.29459999999999997"/>
    <n v="1.738"/>
    <s v="High Psychologist"/>
  </r>
  <r>
    <x v="210"/>
    <s v="Personnel"/>
    <s v="M "/>
    <x v="2"/>
    <x v="24"/>
    <s v="PSES Mid Prog21Duty46 S275"/>
    <x v="1"/>
    <s v="46"/>
    <n v="46"/>
    <m/>
    <s v="   "/>
    <n v="1.7"/>
    <n v="0.29459999999999997"/>
    <n v="0.501"/>
    <s v="Middle Psychologist"/>
  </r>
  <r>
    <x v="210"/>
    <s v="Personnel"/>
    <s v="E "/>
    <x v="0"/>
    <x v="32"/>
    <s v="PSES Elem Prog21Duty47 S275"/>
    <x v="1"/>
    <s v="47"/>
    <n v="47"/>
    <m/>
    <s v="   "/>
    <n v="0.7"/>
    <n v="0.29459999999999997"/>
    <n v="0.20599999999999999"/>
    <s v="Elementary Nurse"/>
  </r>
  <r>
    <x v="210"/>
    <s v="Personnel"/>
    <s v="E "/>
    <x v="0"/>
    <x v="27"/>
    <s v="PSES Elem Prog01Duty47 S275"/>
    <x v="0"/>
    <s v="47"/>
    <n v="47"/>
    <m/>
    <s v="   "/>
    <n v="11.59"/>
    <n v="0.29459999999999997"/>
    <n v="0"/>
    <s v="Elementary Nurse"/>
  </r>
  <r>
    <x v="210"/>
    <s v="Personnel"/>
    <s v="H "/>
    <x v="1"/>
    <x v="61"/>
    <s v="PSES High Prog21Duty47 S275"/>
    <x v="1"/>
    <s v="47"/>
    <n v="47"/>
    <m/>
    <s v="   "/>
    <n v="0.2"/>
    <n v="0.29459999999999997"/>
    <n v="5.8999999999999997E-2"/>
    <s v="High Nurse"/>
  </r>
  <r>
    <x v="210"/>
    <s v="Personnel"/>
    <s v="H "/>
    <x v="1"/>
    <x v="25"/>
    <s v="PSES High Prog01Duty47 S275"/>
    <x v="0"/>
    <s v="47"/>
    <n v="47"/>
    <m/>
    <s v="   "/>
    <n v="4.4000000000000004"/>
    <n v="0.29459999999999997"/>
    <n v="0"/>
    <s v="High Nurse"/>
  </r>
  <r>
    <x v="210"/>
    <s v="Personnel"/>
    <s v="M "/>
    <x v="2"/>
    <x v="34"/>
    <s v="PSES Mid Prog01Duty47 S275"/>
    <x v="0"/>
    <s v="47"/>
    <n v="47"/>
    <m/>
    <s v="   "/>
    <n v="1.8"/>
    <n v="0.29459999999999997"/>
    <n v="0"/>
    <s v="Middle Nurse"/>
  </r>
  <r>
    <x v="210"/>
    <s v="Personnel"/>
    <s v="E "/>
    <x v="0"/>
    <x v="35"/>
    <s v="PSES Elem Prog21Duty48 S275"/>
    <x v="1"/>
    <s v="48"/>
    <n v="48"/>
    <m/>
    <s v="   "/>
    <n v="6.8"/>
    <n v="0.29459999999999997"/>
    <n v="2.0030000000000001"/>
    <s v="Elementary Physical Therapist"/>
  </r>
  <r>
    <x v="210"/>
    <s v="Personnel"/>
    <s v="E "/>
    <x v="0"/>
    <x v="26"/>
    <s v="PSES Elem Prog21Duty49 S275"/>
    <x v="1"/>
    <s v="49"/>
    <n v="49"/>
    <m/>
    <s v="   "/>
    <n v="0.46500000000000002"/>
    <n v="0.29459999999999997"/>
    <n v="0.13700000000000001"/>
    <s v="Elementary Behavior Analyst"/>
  </r>
  <r>
    <x v="210"/>
    <s v="Personnel"/>
    <s v="E "/>
    <x v="0"/>
    <x v="79"/>
    <s v="PSES Elem Prog01Duty49 S275"/>
    <x v="0"/>
    <s v="49"/>
    <n v="49"/>
    <m/>
    <s v="   "/>
    <n v="4"/>
    <n v="0.29459999999999997"/>
    <n v="0"/>
    <s v="Elementary Behavior Analyst"/>
  </r>
  <r>
    <x v="211"/>
    <s v="Personnel"/>
    <s v="H "/>
    <x v="1"/>
    <x v="5"/>
    <s v="PSES High Prog01Act25 S275"/>
    <x v="0"/>
    <s v="25"/>
    <m/>
    <n v="25"/>
    <s v="   "/>
    <n v="1.349"/>
    <n v="0.2326"/>
    <n v="0"/>
    <s v="High Pupil Management"/>
  </r>
  <r>
    <x v="211"/>
    <s v="Personnel"/>
    <s v="E "/>
    <x v="0"/>
    <x v="7"/>
    <s v="PSES Elem Prog21Act26 S275"/>
    <x v="1"/>
    <s v="26"/>
    <m/>
    <n v="26"/>
    <s v="   "/>
    <n v="1.454"/>
    <n v="0.2326"/>
    <n v="0.33800000000000002"/>
    <s v="Elementary Health/_x000a_Related Services"/>
  </r>
  <r>
    <x v="211"/>
    <s v="Personnel"/>
    <s v="E "/>
    <x v="0"/>
    <x v="8"/>
    <s v="PSES Elem Prog01Act26 S275"/>
    <x v="0"/>
    <s v="26"/>
    <m/>
    <n v="26"/>
    <s v="   "/>
    <n v="2.7839999999999998"/>
    <n v="0.2326"/>
    <n v="0"/>
    <s v="Elementary Health/_x000a_Related Services"/>
  </r>
  <r>
    <x v="211"/>
    <s v="Personnel"/>
    <s v="H "/>
    <x v="1"/>
    <x v="29"/>
    <s v="PSES High Prog21Act26 S275"/>
    <x v="1"/>
    <s v="26"/>
    <m/>
    <n v="26"/>
    <s v="   "/>
    <n v="0.501"/>
    <n v="0.2326"/>
    <n v="0.11700000000000001"/>
    <s v="High Health/_x000a_Related Services"/>
  </r>
  <r>
    <x v="211"/>
    <s v="Personnel"/>
    <s v="H "/>
    <x v="1"/>
    <x v="9"/>
    <s v="PSES High Prog01Act26 S275"/>
    <x v="0"/>
    <s v="26"/>
    <m/>
    <n v="26"/>
    <s v="   "/>
    <n v="1.5720000000000001"/>
    <n v="0.2326"/>
    <n v="0"/>
    <s v="High Health/_x000a_Related Services"/>
  </r>
  <r>
    <x v="211"/>
    <s v="Personnel"/>
    <s v="M "/>
    <x v="2"/>
    <x v="10"/>
    <s v="PSES Mid Prog21Act26 S275"/>
    <x v="1"/>
    <s v="26"/>
    <m/>
    <n v="26"/>
    <s v="   "/>
    <n v="0.219"/>
    <n v="0.2326"/>
    <n v="5.0999999999999997E-2"/>
    <s v="Middle Health/_x000a_Related Services"/>
  </r>
  <r>
    <x v="211"/>
    <s v="Personnel"/>
    <s v="M "/>
    <x v="2"/>
    <x v="11"/>
    <s v="PSES Mid Prog01Act26 S275"/>
    <x v="0"/>
    <s v="26"/>
    <m/>
    <n v="26"/>
    <s v="   "/>
    <n v="1.3919999999999999"/>
    <n v="0.2326"/>
    <n v="0"/>
    <s v="Middle Health/_x000a_Related Services"/>
  </r>
  <r>
    <x v="211"/>
    <s v="Personnel"/>
    <s v="E "/>
    <x v="0"/>
    <x v="15"/>
    <s v="PSES Elem Prog01Duty42 S275"/>
    <x v="0"/>
    <s v="42"/>
    <n v="42"/>
    <m/>
    <s v="   "/>
    <n v="4"/>
    <n v="0.2326"/>
    <n v="0"/>
    <s v="Elementary Counselor"/>
  </r>
  <r>
    <x v="211"/>
    <s v="Personnel"/>
    <s v="H "/>
    <x v="1"/>
    <x v="16"/>
    <s v="PSES High Prog01Duty42 S275"/>
    <x v="0"/>
    <s v="42"/>
    <n v="42"/>
    <m/>
    <s v="   "/>
    <n v="5.5"/>
    <n v="0.2326"/>
    <n v="0"/>
    <s v="High Counselor"/>
  </r>
  <r>
    <x v="211"/>
    <s v="Personnel"/>
    <s v="M "/>
    <x v="2"/>
    <x v="17"/>
    <s v="PSES Mid Prog01Duty42 S275"/>
    <x v="0"/>
    <s v="42"/>
    <n v="42"/>
    <m/>
    <s v="   "/>
    <n v="1.7"/>
    <n v="0.2326"/>
    <n v="0"/>
    <s v="Middle Counselor"/>
  </r>
  <r>
    <x v="211"/>
    <s v="Personnel"/>
    <s v="E "/>
    <x v="0"/>
    <x v="18"/>
    <s v="PSES Elem Prog21Duty43 S275"/>
    <x v="1"/>
    <s v="43"/>
    <n v="43"/>
    <m/>
    <s v="   "/>
    <n v="3.371"/>
    <n v="0.2326"/>
    <n v="0.78400000000000003"/>
    <s v="Elementary Occupational Therapist"/>
  </r>
  <r>
    <x v="211"/>
    <s v="Personnel"/>
    <s v="H "/>
    <x v="1"/>
    <x v="19"/>
    <s v="PSES High Prog21Duty43 S275"/>
    <x v="1"/>
    <s v="43"/>
    <n v="43"/>
    <m/>
    <s v="   "/>
    <n v="0.47499999999999998"/>
    <n v="0.2326"/>
    <n v="0.11"/>
    <s v="High Occupational Therapist"/>
  </r>
  <r>
    <x v="211"/>
    <s v="Personnel"/>
    <s v="M "/>
    <x v="2"/>
    <x v="31"/>
    <s v="PSES Mid Prog21Duty43 S275"/>
    <x v="1"/>
    <s v="43"/>
    <n v="43"/>
    <m/>
    <s v="   "/>
    <n v="0.77300000000000002"/>
    <n v="0.2326"/>
    <n v="0.18"/>
    <s v="Middle Occupational Therapist"/>
  </r>
  <r>
    <x v="211"/>
    <s v="Personnel"/>
    <s v="E "/>
    <x v="0"/>
    <x v="20"/>
    <s v="PSES Elem Prog21Duty45 S275"/>
    <x v="1"/>
    <s v="45"/>
    <n v="45"/>
    <m/>
    <s v="   "/>
    <n v="8.6940000000000008"/>
    <n v="0.2326"/>
    <n v="2.0219999999999998"/>
    <s v="Elementary Speech, Language Pathway/_x000a_Audio"/>
  </r>
  <r>
    <x v="211"/>
    <s v="Personnel"/>
    <s v="M "/>
    <x v="2"/>
    <x v="28"/>
    <s v="PSES Mid Prog21Duty45 S275"/>
    <x v="1"/>
    <s v="45"/>
    <n v="45"/>
    <m/>
    <s v="   "/>
    <n v="1.006"/>
    <n v="0.2326"/>
    <n v="0.23400000000000001"/>
    <s v="Middle Speech, Language Pathway/_x000a_Audio"/>
  </r>
  <r>
    <x v="211"/>
    <s v="Personnel"/>
    <s v="E "/>
    <x v="0"/>
    <x v="22"/>
    <s v="PSES Elem Prog21Duty46 S275"/>
    <x v="1"/>
    <s v="46"/>
    <n v="46"/>
    <m/>
    <s v="   "/>
    <n v="0.3"/>
    <n v="0.2326"/>
    <n v="7.0000000000000007E-2"/>
    <s v="Elementary Psychologist"/>
  </r>
  <r>
    <x v="211"/>
    <s v="Personnel"/>
    <s v="E "/>
    <x v="0"/>
    <x v="27"/>
    <s v="PSES Elem Prog01Duty47 S275"/>
    <x v="0"/>
    <s v="47"/>
    <n v="47"/>
    <m/>
    <s v="   "/>
    <n v="1"/>
    <n v="0.2326"/>
    <n v="0"/>
    <s v="Elementary Nurse"/>
  </r>
  <r>
    <x v="211"/>
    <s v="Personnel"/>
    <s v="E "/>
    <x v="0"/>
    <x v="35"/>
    <s v="PSES Elem Prog21Duty48 S275"/>
    <x v="1"/>
    <s v="48"/>
    <n v="48"/>
    <m/>
    <s v="   "/>
    <n v="0.76100000000000001"/>
    <n v="0.2326"/>
    <n v="0.17699999999999999"/>
    <s v="Elementary Physical Therapist"/>
  </r>
  <r>
    <x v="211"/>
    <s v="Personnel"/>
    <s v="H "/>
    <x v="1"/>
    <x v="36"/>
    <s v="PSES High Prog21Duty48 S275"/>
    <x v="1"/>
    <s v="48"/>
    <n v="48"/>
    <m/>
    <s v="   "/>
    <n v="0.14799999999999999"/>
    <n v="0.2326"/>
    <n v="3.4000000000000002E-2"/>
    <s v="High Physical Therapist"/>
  </r>
  <r>
    <x v="211"/>
    <s v="Personnel"/>
    <s v="M "/>
    <x v="2"/>
    <x v="37"/>
    <s v="PSES Mid Prog21Duty48 S275"/>
    <x v="1"/>
    <s v="48"/>
    <n v="48"/>
    <m/>
    <s v="   "/>
    <n v="9.0999999999999998E-2"/>
    <n v="0.2326"/>
    <n v="2.1000000000000001E-2"/>
    <s v="Middle Physical Therapist"/>
  </r>
  <r>
    <x v="212"/>
    <s v="Personnel"/>
    <s v="H "/>
    <x v="1"/>
    <x v="1"/>
    <s v="PSES High Prog01Duty96 S275"/>
    <x v="0"/>
    <s v="24"/>
    <n v="96"/>
    <n v="24"/>
    <s v="   "/>
    <n v="1.8260000000000001"/>
    <n v="0.30270000000000002"/>
    <n v="0"/>
    <s v="High Family Engagement Coordinator"/>
  </r>
  <r>
    <x v="212"/>
    <s v="Personnel"/>
    <s v="H "/>
    <x v="1"/>
    <x v="4"/>
    <s v="PSES High Prog21Act25 S275"/>
    <x v="1"/>
    <s v="25"/>
    <m/>
    <n v="25"/>
    <s v="   "/>
    <n v="1.117"/>
    <n v="0.30270000000000002"/>
    <n v="0.33800000000000002"/>
    <s v="High Pupil Management"/>
  </r>
  <r>
    <x v="212"/>
    <s v="Personnel"/>
    <s v="H "/>
    <x v="1"/>
    <x v="5"/>
    <s v="PSES High Prog01Act25 S275"/>
    <x v="0"/>
    <s v="25"/>
    <m/>
    <n v="25"/>
    <s v="   "/>
    <n v="13.766999999999999"/>
    <n v="0.30270000000000002"/>
    <n v="0"/>
    <s v="High Pupil Management"/>
  </r>
  <r>
    <x v="212"/>
    <s v="Personnel"/>
    <s v="H "/>
    <x v="1"/>
    <x v="29"/>
    <s v="PSES High Prog21Act26 S275"/>
    <x v="1"/>
    <s v="26"/>
    <m/>
    <n v="26"/>
    <s v="   "/>
    <n v="0.624"/>
    <n v="0.30270000000000002"/>
    <n v="0.189"/>
    <s v="High Health/_x000a_Related Services"/>
  </r>
  <r>
    <x v="212"/>
    <s v="Personnel"/>
    <s v="H "/>
    <x v="1"/>
    <x v="9"/>
    <s v="PSES High Prog01Act26 S275"/>
    <x v="0"/>
    <s v="26"/>
    <m/>
    <n v="26"/>
    <s v="   "/>
    <n v="13.131"/>
    <n v="0.30270000000000002"/>
    <n v="0"/>
    <s v="High Health/_x000a_Related Services"/>
  </r>
  <r>
    <x v="212"/>
    <s v="Personnel"/>
    <s v="E "/>
    <x v="0"/>
    <x v="15"/>
    <s v="PSES Elem Prog01Duty42 S275"/>
    <x v="0"/>
    <s v="42"/>
    <n v="42"/>
    <m/>
    <s v="   "/>
    <n v="10.180999999999999"/>
    <n v="0.30270000000000002"/>
    <n v="0"/>
    <s v="Elementary Counselor"/>
  </r>
  <r>
    <x v="212"/>
    <s v="Personnel"/>
    <s v="H "/>
    <x v="1"/>
    <x v="16"/>
    <s v="PSES High Prog01Duty42 S275"/>
    <x v="0"/>
    <s v="42"/>
    <n v="42"/>
    <m/>
    <s v="   "/>
    <n v="6.4340000000000002"/>
    <n v="0.30270000000000002"/>
    <n v="0"/>
    <s v="High Counselor"/>
  </r>
  <r>
    <x v="212"/>
    <s v="Personnel"/>
    <s v="M "/>
    <x v="2"/>
    <x v="17"/>
    <s v="PSES Mid Prog01Duty42 S275"/>
    <x v="0"/>
    <s v="42"/>
    <n v="42"/>
    <m/>
    <s v="   "/>
    <n v="2.1259999999999999"/>
    <n v="0.30270000000000002"/>
    <n v="0"/>
    <s v="Middle Counselor"/>
  </r>
  <r>
    <x v="212"/>
    <s v="Personnel"/>
    <s v="E "/>
    <x v="0"/>
    <x v="18"/>
    <s v="PSES Elem Prog21Duty43 S275"/>
    <x v="1"/>
    <s v="43"/>
    <n v="43"/>
    <m/>
    <s v="   "/>
    <n v="4.8"/>
    <n v="0.30270000000000002"/>
    <n v="1.4530000000000001"/>
    <s v="Elementary Occupational Therapist"/>
  </r>
  <r>
    <x v="212"/>
    <s v="Personnel"/>
    <s v="E "/>
    <x v="0"/>
    <x v="20"/>
    <s v="PSES Elem Prog21Duty45 S275"/>
    <x v="1"/>
    <s v="45"/>
    <n v="45"/>
    <m/>
    <s v="   "/>
    <n v="11.1"/>
    <n v="0.30270000000000002"/>
    <n v="3.36"/>
    <s v="Elementary Speech, Language Pathway/_x000a_Audio"/>
  </r>
  <r>
    <x v="212"/>
    <s v="Personnel"/>
    <s v="E "/>
    <x v="0"/>
    <x v="47"/>
    <s v="PSES Elem Prog01Duty45 S275"/>
    <x v="0"/>
    <s v="45"/>
    <n v="45"/>
    <m/>
    <s v="   "/>
    <n v="0.7"/>
    <n v="0.30270000000000002"/>
    <n v="0"/>
    <s v="Elementary Speech, Language Pathway/_x000a_Audio"/>
  </r>
  <r>
    <x v="212"/>
    <s v="Personnel"/>
    <s v="H "/>
    <x v="1"/>
    <x v="21"/>
    <s v="PSES High Prog21Duty45 S275"/>
    <x v="1"/>
    <s v="45"/>
    <n v="45"/>
    <m/>
    <s v="   "/>
    <n v="1"/>
    <n v="0.30270000000000002"/>
    <n v="0.30299999999999999"/>
    <s v="High Speech, Language Pathway/_x000a_Audio"/>
  </r>
  <r>
    <x v="212"/>
    <s v="Personnel"/>
    <s v="M "/>
    <x v="2"/>
    <x v="28"/>
    <s v="PSES Mid Prog21Duty45 S275"/>
    <x v="1"/>
    <s v="45"/>
    <n v="45"/>
    <m/>
    <s v="   "/>
    <n v="1"/>
    <n v="0.30270000000000002"/>
    <n v="0.30299999999999999"/>
    <s v="Middle Speech, Language Pathway/_x000a_Audio"/>
  </r>
  <r>
    <x v="212"/>
    <s v="Personnel"/>
    <s v="E "/>
    <x v="0"/>
    <x v="22"/>
    <s v="PSES Elem Prog21Duty46 S275"/>
    <x v="1"/>
    <s v="46"/>
    <n v="46"/>
    <m/>
    <s v="   "/>
    <n v="3.8"/>
    <n v="0.30270000000000002"/>
    <n v="1.1499999999999999"/>
    <s v="Elementary Psychologist"/>
  </r>
  <r>
    <x v="212"/>
    <s v="Personnel"/>
    <s v="M "/>
    <x v="2"/>
    <x v="24"/>
    <s v="PSES Mid Prog21Duty46 S275"/>
    <x v="1"/>
    <s v="46"/>
    <n v="46"/>
    <m/>
    <s v="   "/>
    <n v="4"/>
    <n v="0.30270000000000002"/>
    <n v="1.2110000000000001"/>
    <s v="Middle Psychologist"/>
  </r>
  <r>
    <x v="212"/>
    <s v="Personnel"/>
    <s v="E "/>
    <x v="0"/>
    <x v="27"/>
    <s v="PSES Elem Prog01Duty47 S275"/>
    <x v="0"/>
    <s v="47"/>
    <n v="47"/>
    <m/>
    <s v="   "/>
    <n v="0.5"/>
    <n v="0.30270000000000002"/>
    <n v="0"/>
    <s v="Elementary Nurse"/>
  </r>
  <r>
    <x v="212"/>
    <s v="Personnel"/>
    <s v="E "/>
    <x v="0"/>
    <x v="35"/>
    <s v="PSES Elem Prog21Duty48 S275"/>
    <x v="1"/>
    <s v="48"/>
    <n v="48"/>
    <m/>
    <s v="   "/>
    <n v="3"/>
    <n v="0.30270000000000002"/>
    <n v="0.90800000000000003"/>
    <s v="Elementary Physical Therapist"/>
  </r>
  <r>
    <x v="213"/>
    <s v="Personnel"/>
    <s v="E "/>
    <x v="0"/>
    <x v="8"/>
    <s v="PSES Elem Prog01Act26 S275"/>
    <x v="0"/>
    <s v="26"/>
    <m/>
    <n v="26"/>
    <s v="   "/>
    <n v="0.127"/>
    <n v="0.08"/>
    <n v="0"/>
    <s v="Elementary Health/_x000a_Related Services"/>
  </r>
  <r>
    <x v="213"/>
    <s v="Personnel"/>
    <s v="M "/>
    <x v="2"/>
    <x v="11"/>
    <s v="PSES Mid Prog01Act26 S275"/>
    <x v="0"/>
    <s v="26"/>
    <m/>
    <n v="26"/>
    <s v="   "/>
    <n v="1.2999999999999999E-2"/>
    <n v="0.08"/>
    <n v="0"/>
    <s v="Middle Health/_x000a_Related Services"/>
  </r>
  <r>
    <x v="214"/>
    <s v="Personnel"/>
    <s v="E "/>
    <x v="0"/>
    <x v="0"/>
    <s v="PSES Elem Prog01Duty96 S275"/>
    <x v="0"/>
    <s v="24"/>
    <n v="96"/>
    <n v="24"/>
    <s v="   "/>
    <n v="0.248"/>
    <n v="0.2051"/>
    <n v="0"/>
    <s v="Elementary Family Engagement Coordinator"/>
  </r>
  <r>
    <x v="214"/>
    <s v="Personnel"/>
    <s v="H "/>
    <x v="1"/>
    <x v="1"/>
    <s v="PSES High Prog01Duty96 S275"/>
    <x v="0"/>
    <s v="24"/>
    <n v="96"/>
    <n v="24"/>
    <s v="   "/>
    <n v="0.78"/>
    <n v="0.2051"/>
    <n v="0"/>
    <s v="High Family Engagement Coordinator"/>
  </r>
  <r>
    <x v="214"/>
    <s v="Personnel"/>
    <s v="M "/>
    <x v="2"/>
    <x v="2"/>
    <s v="PSES Mid Prog01Duty96 S275"/>
    <x v="0"/>
    <s v="24"/>
    <n v="96"/>
    <n v="24"/>
    <s v="   "/>
    <n v="0.52900000000000003"/>
    <n v="0.2051"/>
    <n v="0"/>
    <s v="Middle Family Engagement Coordinator"/>
  </r>
  <r>
    <x v="214"/>
    <s v="Personnel"/>
    <s v="E "/>
    <x v="0"/>
    <x v="3"/>
    <s v="PSES Elem Prog01Act25 S275"/>
    <x v="0"/>
    <s v="25"/>
    <m/>
    <n v="25"/>
    <s v="   "/>
    <n v="0.75900000000000001"/>
    <n v="0.2051"/>
    <n v="0"/>
    <s v="Elementary Pupil Management"/>
  </r>
  <r>
    <x v="214"/>
    <s v="Personnel"/>
    <s v="H "/>
    <x v="1"/>
    <x v="5"/>
    <s v="PSES High Prog01Act25 S275"/>
    <x v="0"/>
    <s v="25"/>
    <m/>
    <n v="25"/>
    <s v="   "/>
    <n v="4.3739999999999997"/>
    <n v="0.2051"/>
    <n v="0"/>
    <s v="High Pupil Management"/>
  </r>
  <r>
    <x v="214"/>
    <s v="Personnel"/>
    <s v="M "/>
    <x v="2"/>
    <x v="6"/>
    <s v="PSES Mid Prog01Act25 S275"/>
    <x v="0"/>
    <s v="25"/>
    <m/>
    <n v="25"/>
    <s v="   "/>
    <n v="3.2000000000000001E-2"/>
    <n v="0.2051"/>
    <n v="0"/>
    <s v="Middle Pupil Management"/>
  </r>
  <r>
    <x v="214"/>
    <s v="Personnel"/>
    <s v="E "/>
    <x v="0"/>
    <x v="8"/>
    <s v="PSES Elem Prog01Act26 S275"/>
    <x v="0"/>
    <s v="26"/>
    <m/>
    <n v="26"/>
    <s v="   "/>
    <n v="2.7149999999999999"/>
    <n v="0.2051"/>
    <n v="0"/>
    <s v="Elementary Health/_x000a_Related Services"/>
  </r>
  <r>
    <x v="214"/>
    <s v="Personnel"/>
    <s v="H "/>
    <x v="1"/>
    <x v="29"/>
    <s v="PSES High Prog21Act26 S275"/>
    <x v="1"/>
    <s v="26"/>
    <m/>
    <n v="26"/>
    <s v="   "/>
    <n v="3.0009999999999999"/>
    <n v="0.2051"/>
    <n v="0.61599999999999999"/>
    <s v="High Health/_x000a_Related Services"/>
  </r>
  <r>
    <x v="214"/>
    <s v="Personnel"/>
    <s v="H "/>
    <x v="1"/>
    <x v="9"/>
    <s v="PSES High Prog01Act26 S275"/>
    <x v="0"/>
    <s v="26"/>
    <m/>
    <n v="26"/>
    <s v="   "/>
    <n v="2.2850000000000001"/>
    <n v="0.2051"/>
    <n v="0"/>
    <s v="High Health/_x000a_Related Services"/>
  </r>
  <r>
    <x v="214"/>
    <s v="Personnel"/>
    <s v="H "/>
    <x v="1"/>
    <x v="54"/>
    <s v="PSES High Prog01Act35 S275"/>
    <x v="0"/>
    <s v="35"/>
    <m/>
    <n v="35"/>
    <s v="   "/>
    <n v="2.226"/>
    <n v="0.2051"/>
    <n v="0"/>
    <s v="High Pupil Safety"/>
  </r>
  <r>
    <x v="214"/>
    <s v="Personnel"/>
    <s v="E "/>
    <x v="0"/>
    <x v="15"/>
    <s v="PSES Elem Prog01Duty42 S275"/>
    <x v="0"/>
    <s v="42"/>
    <n v="42"/>
    <m/>
    <s v="   "/>
    <n v="5.9569999999999999"/>
    <n v="0.2051"/>
    <n v="0"/>
    <s v="Elementary Counselor"/>
  </r>
  <r>
    <x v="214"/>
    <s v="Personnel"/>
    <s v="H "/>
    <x v="1"/>
    <x v="16"/>
    <s v="PSES High Prog01Duty42 S275"/>
    <x v="0"/>
    <s v="42"/>
    <n v="42"/>
    <m/>
    <s v="   "/>
    <n v="3.5169999999999999"/>
    <n v="0.2051"/>
    <n v="0"/>
    <s v="High Counselor"/>
  </r>
  <r>
    <x v="214"/>
    <s v="Personnel"/>
    <s v="M "/>
    <x v="2"/>
    <x v="17"/>
    <s v="PSES Mid Prog01Duty42 S275"/>
    <x v="0"/>
    <s v="42"/>
    <n v="42"/>
    <m/>
    <s v="   "/>
    <n v="1.7430000000000001"/>
    <n v="0.2051"/>
    <n v="0"/>
    <s v="Middle Counselor"/>
  </r>
  <r>
    <x v="214"/>
    <s v="Personnel"/>
    <s v="E "/>
    <x v="0"/>
    <x v="18"/>
    <s v="PSES Elem Prog21Duty43 S275"/>
    <x v="1"/>
    <s v="43"/>
    <n v="43"/>
    <m/>
    <s v="   "/>
    <n v="2.6019999999999999"/>
    <n v="0.2051"/>
    <n v="0.53400000000000003"/>
    <s v="Elementary Occupational Therapist"/>
  </r>
  <r>
    <x v="214"/>
    <s v="Personnel"/>
    <s v="H "/>
    <x v="1"/>
    <x v="19"/>
    <s v="PSES High Prog21Duty43 S275"/>
    <x v="1"/>
    <s v="43"/>
    <n v="43"/>
    <m/>
    <s v="   "/>
    <n v="0.251"/>
    <n v="0.2051"/>
    <n v="5.0999999999999997E-2"/>
    <s v="High Occupational Therapist"/>
  </r>
  <r>
    <x v="214"/>
    <s v="Personnel"/>
    <s v="M "/>
    <x v="2"/>
    <x v="31"/>
    <s v="PSES Mid Prog21Duty43 S275"/>
    <x v="1"/>
    <s v="43"/>
    <n v="43"/>
    <m/>
    <s v="   "/>
    <n v="0.505"/>
    <n v="0.2051"/>
    <n v="0.104"/>
    <s v="Middle Occupational Therapist"/>
  </r>
  <r>
    <x v="214"/>
    <s v="Personnel"/>
    <s v="E "/>
    <x v="0"/>
    <x v="41"/>
    <s v="PSES Elem Prog21Duty44 S275"/>
    <x v="1"/>
    <s v="44"/>
    <n v="44"/>
    <m/>
    <s v="   "/>
    <n v="3.0000000000000001E-3"/>
    <n v="0.2051"/>
    <n v="1E-3"/>
    <s v="Elementary Social Worker"/>
  </r>
  <r>
    <x v="214"/>
    <s v="Personnel"/>
    <s v="E "/>
    <x v="0"/>
    <x v="20"/>
    <s v="PSES Elem Prog21Duty45 S275"/>
    <x v="1"/>
    <s v="45"/>
    <n v="45"/>
    <m/>
    <s v="   "/>
    <n v="3.6720000000000002"/>
    <n v="0.2051"/>
    <n v="0.753"/>
    <s v="Elementary Speech, Language Pathway/_x000a_Audio"/>
  </r>
  <r>
    <x v="214"/>
    <s v="Personnel"/>
    <s v="H "/>
    <x v="1"/>
    <x v="21"/>
    <s v="PSES High Prog21Duty45 S275"/>
    <x v="1"/>
    <s v="45"/>
    <n v="45"/>
    <m/>
    <s v="   "/>
    <n v="1.3009999999999999"/>
    <n v="0.2051"/>
    <n v="0.26700000000000002"/>
    <s v="High Speech, Language Pathway/_x000a_Audio"/>
  </r>
  <r>
    <x v="214"/>
    <s v="Personnel"/>
    <s v="M "/>
    <x v="2"/>
    <x v="28"/>
    <s v="PSES Mid Prog21Duty45 S275"/>
    <x v="1"/>
    <s v="45"/>
    <n v="45"/>
    <m/>
    <s v="   "/>
    <n v="0.317"/>
    <n v="0.2051"/>
    <n v="6.5000000000000002E-2"/>
    <s v="Middle Speech, Language Pathway/_x000a_Audio"/>
  </r>
  <r>
    <x v="214"/>
    <s v="Personnel"/>
    <s v="E "/>
    <x v="0"/>
    <x v="22"/>
    <s v="PSES Elem Prog21Duty46 S275"/>
    <x v="1"/>
    <s v="46"/>
    <n v="46"/>
    <m/>
    <s v="   "/>
    <n v="2.359"/>
    <n v="0.2051"/>
    <n v="0.48399999999999999"/>
    <s v="Elementary Psychologist"/>
  </r>
  <r>
    <x v="214"/>
    <s v="Personnel"/>
    <s v="M "/>
    <x v="2"/>
    <x v="24"/>
    <s v="PSES Mid Prog21Duty46 S275"/>
    <x v="1"/>
    <s v="46"/>
    <n v="46"/>
    <m/>
    <s v="   "/>
    <n v="0.63500000000000001"/>
    <n v="0.2051"/>
    <n v="0.13"/>
    <s v="Middle Psychologist"/>
  </r>
  <r>
    <x v="214"/>
    <s v="Personnel"/>
    <s v="E "/>
    <x v="0"/>
    <x v="27"/>
    <s v="PSES Elem Prog01Duty47 S275"/>
    <x v="0"/>
    <s v="47"/>
    <n v="47"/>
    <m/>
    <s v="   "/>
    <n v="2.5990000000000002"/>
    <n v="0.2051"/>
    <n v="0"/>
    <s v="Elementary Nurse"/>
  </r>
  <r>
    <x v="214"/>
    <s v="Personnel"/>
    <s v="H "/>
    <x v="1"/>
    <x v="25"/>
    <s v="PSES High Prog01Duty47 S275"/>
    <x v="0"/>
    <s v="47"/>
    <n v="47"/>
    <m/>
    <s v="   "/>
    <n v="1.0580000000000001"/>
    <n v="0.2051"/>
    <n v="0"/>
    <s v="High Nurse"/>
  </r>
  <r>
    <x v="214"/>
    <s v="Personnel"/>
    <s v="M "/>
    <x v="2"/>
    <x v="34"/>
    <s v="PSES Mid Prog01Duty47 S275"/>
    <x v="0"/>
    <s v="47"/>
    <n v="47"/>
    <m/>
    <s v="   "/>
    <n v="0.55500000000000005"/>
    <n v="0.2051"/>
    <n v="0"/>
    <s v="Middle Nurse"/>
  </r>
  <r>
    <x v="214"/>
    <s v="Personnel"/>
    <s v="E "/>
    <x v="0"/>
    <x v="35"/>
    <s v="PSES Elem Prog21Duty48 S275"/>
    <x v="1"/>
    <s v="48"/>
    <n v="48"/>
    <m/>
    <s v="   "/>
    <n v="0.93500000000000005"/>
    <n v="0.2051"/>
    <n v="0.192"/>
    <s v="Elementary Physical Therapist"/>
  </r>
  <r>
    <x v="214"/>
    <s v="Personnel"/>
    <s v="H "/>
    <x v="1"/>
    <x v="36"/>
    <s v="PSES High Prog21Duty48 S275"/>
    <x v="1"/>
    <s v="48"/>
    <n v="48"/>
    <m/>
    <s v="   "/>
    <n v="0.111"/>
    <n v="0.2051"/>
    <n v="2.3E-2"/>
    <s v="High Physical Therapist"/>
  </r>
  <r>
    <x v="214"/>
    <s v="Personnel"/>
    <s v="M "/>
    <x v="2"/>
    <x v="37"/>
    <s v="PSES Mid Prog21Duty48 S275"/>
    <x v="1"/>
    <s v="48"/>
    <n v="48"/>
    <m/>
    <s v="   "/>
    <n v="0.16600000000000001"/>
    <n v="0.2051"/>
    <n v="3.4000000000000002E-2"/>
    <s v="Middle Physical Therapist"/>
  </r>
  <r>
    <x v="214"/>
    <s v="Personnel"/>
    <s v="E "/>
    <x v="0"/>
    <x v="38"/>
    <s v="PSES Elem Prog21Duty64 S275"/>
    <x v="1"/>
    <s v="64"/>
    <n v="64"/>
    <m/>
    <s v="   "/>
    <n v="5.5439999999999996"/>
    <n v="0.2051"/>
    <n v="1.137"/>
    <s v="Elementary Contractor ESA"/>
  </r>
  <r>
    <x v="214"/>
    <s v="Personnel"/>
    <s v="H "/>
    <x v="1"/>
    <x v="59"/>
    <s v="PSES High Prog21Duty64 S275"/>
    <x v="1"/>
    <s v="64"/>
    <n v="64"/>
    <m/>
    <s v="   "/>
    <n v="1.673"/>
    <n v="0.2051"/>
    <n v="0.34300000000000003"/>
    <s v="High Contractor ESA"/>
  </r>
  <r>
    <x v="214"/>
    <s v="Personnel"/>
    <s v="M "/>
    <x v="2"/>
    <x v="60"/>
    <s v="PSES Mid Prog21Duty64 S275"/>
    <x v="1"/>
    <s v="64"/>
    <n v="64"/>
    <m/>
    <s v="   "/>
    <n v="1.982"/>
    <n v="0.2051"/>
    <n v="0.40699999999999997"/>
    <s v="Middle Contractor ESA"/>
  </r>
  <r>
    <x v="215"/>
    <s v="Personnel"/>
    <s v="E "/>
    <x v="0"/>
    <x v="7"/>
    <s v="PSES Elem Prog21Act26 S275"/>
    <x v="1"/>
    <s v="26"/>
    <m/>
    <n v="26"/>
    <s v="   "/>
    <n v="0.94099999999999995"/>
    <n v="0.23119999999999999"/>
    <n v="0.218"/>
    <s v="Elementary Health/_x000a_Related Services"/>
  </r>
  <r>
    <x v="215"/>
    <s v="Personnel"/>
    <s v="E "/>
    <x v="0"/>
    <x v="8"/>
    <s v="PSES Elem Prog01Act26 S275"/>
    <x v="0"/>
    <s v="26"/>
    <m/>
    <n v="26"/>
    <s v="   "/>
    <n v="2.36"/>
    <n v="0.23119999999999999"/>
    <n v="0"/>
    <s v="Elementary Health/_x000a_Related Services"/>
  </r>
  <r>
    <x v="215"/>
    <s v="Personnel"/>
    <s v="H "/>
    <x v="1"/>
    <x v="29"/>
    <s v="PSES High Prog21Act26 S275"/>
    <x v="1"/>
    <s v="26"/>
    <m/>
    <n v="26"/>
    <s v="   "/>
    <n v="0.63900000000000001"/>
    <n v="0.23119999999999999"/>
    <n v="0.14799999999999999"/>
    <s v="High Health/_x000a_Related Services"/>
  </r>
  <r>
    <x v="215"/>
    <s v="Personnel"/>
    <s v="H "/>
    <x v="1"/>
    <x v="9"/>
    <s v="PSES High Prog01Act26 S275"/>
    <x v="0"/>
    <s v="26"/>
    <m/>
    <n v="26"/>
    <s v="   "/>
    <n v="0.54800000000000004"/>
    <n v="0.23119999999999999"/>
    <n v="0"/>
    <s v="High Health/_x000a_Related Services"/>
  </r>
  <r>
    <x v="215"/>
    <s v="Personnel"/>
    <s v="M "/>
    <x v="2"/>
    <x v="10"/>
    <s v="PSES Mid Prog21Act26 S275"/>
    <x v="1"/>
    <s v="26"/>
    <m/>
    <n v="26"/>
    <s v="   "/>
    <n v="0.59399999999999997"/>
    <n v="0.23119999999999999"/>
    <n v="0.13700000000000001"/>
    <s v="Middle Health/_x000a_Related Services"/>
  </r>
  <r>
    <x v="215"/>
    <s v="Personnel"/>
    <s v="M "/>
    <x v="2"/>
    <x v="11"/>
    <s v="PSES Mid Prog01Act26 S275"/>
    <x v="0"/>
    <s v="26"/>
    <m/>
    <n v="26"/>
    <s v="   "/>
    <n v="0.36599999999999999"/>
    <n v="0.23119999999999999"/>
    <n v="0"/>
    <s v="Middle Health/_x000a_Related Services"/>
  </r>
  <r>
    <x v="215"/>
    <s v="Personnel"/>
    <s v="H "/>
    <x v="1"/>
    <x v="54"/>
    <s v="PSES High Prog01Act35 S275"/>
    <x v="0"/>
    <s v="35"/>
    <m/>
    <n v="35"/>
    <s v="   "/>
    <n v="1.37"/>
    <n v="0.23119999999999999"/>
    <n v="0"/>
    <s v="High Pupil Safety"/>
  </r>
  <r>
    <x v="215"/>
    <s v="Personnel"/>
    <s v="E "/>
    <x v="0"/>
    <x v="14"/>
    <s v="PSES Elem Prog21Duty39 S275"/>
    <x v="1"/>
    <s v="39"/>
    <n v="39"/>
    <m/>
    <s v="   "/>
    <n v="1"/>
    <n v="0.23119999999999999"/>
    <n v="0.23100000000000001"/>
    <s v="Elementary Orientation &amp; Mobility Specialist"/>
  </r>
  <r>
    <x v="215"/>
    <s v="Personnel"/>
    <s v="E "/>
    <x v="0"/>
    <x v="15"/>
    <s v="PSES Elem Prog01Duty42 S275"/>
    <x v="0"/>
    <s v="42"/>
    <n v="42"/>
    <m/>
    <s v="   "/>
    <n v="7.1280000000000001"/>
    <n v="0.23119999999999999"/>
    <n v="0"/>
    <s v="Elementary Counselor"/>
  </r>
  <r>
    <x v="215"/>
    <s v="Personnel"/>
    <s v="H "/>
    <x v="1"/>
    <x v="16"/>
    <s v="PSES High Prog01Duty42 S275"/>
    <x v="0"/>
    <s v="42"/>
    <n v="42"/>
    <m/>
    <s v="   "/>
    <n v="9"/>
    <n v="0.23119999999999999"/>
    <n v="0"/>
    <s v="High Counselor"/>
  </r>
  <r>
    <x v="215"/>
    <s v="Personnel"/>
    <s v="M "/>
    <x v="2"/>
    <x v="17"/>
    <s v="PSES Mid Prog01Duty42 S275"/>
    <x v="0"/>
    <s v="42"/>
    <n v="42"/>
    <m/>
    <s v="   "/>
    <n v="4"/>
    <n v="0.23119999999999999"/>
    <n v="0"/>
    <s v="Middle Counselor"/>
  </r>
  <r>
    <x v="215"/>
    <s v="Personnel"/>
    <s v="E "/>
    <x v="0"/>
    <x v="18"/>
    <s v="PSES Elem Prog21Duty43 S275"/>
    <x v="1"/>
    <s v="43"/>
    <n v="43"/>
    <m/>
    <s v="   "/>
    <n v="2.5"/>
    <n v="0.23119999999999999"/>
    <n v="0.57799999999999996"/>
    <s v="Elementary Occupational Therapist"/>
  </r>
  <r>
    <x v="215"/>
    <s v="Personnel"/>
    <s v="H "/>
    <x v="1"/>
    <x v="19"/>
    <s v="PSES High Prog21Duty43 S275"/>
    <x v="1"/>
    <s v="43"/>
    <n v="43"/>
    <m/>
    <s v="   "/>
    <n v="1.75"/>
    <n v="0.23119999999999999"/>
    <n v="0.40500000000000003"/>
    <s v="High Occupational Therapist"/>
  </r>
  <r>
    <x v="215"/>
    <s v="Personnel"/>
    <s v="M "/>
    <x v="2"/>
    <x v="31"/>
    <s v="PSES Mid Prog21Duty43 S275"/>
    <x v="1"/>
    <s v="43"/>
    <n v="43"/>
    <m/>
    <s v="   "/>
    <n v="0.75"/>
    <n v="0.23119999999999999"/>
    <n v="0.17299999999999999"/>
    <s v="Middle Occupational Therapist"/>
  </r>
  <r>
    <x v="215"/>
    <s v="Personnel"/>
    <s v="E "/>
    <x v="0"/>
    <x v="42"/>
    <s v="PSES Elem Prog01Duty44 S275"/>
    <x v="0"/>
    <s v="44"/>
    <n v="44"/>
    <m/>
    <s v="   "/>
    <n v="1"/>
    <n v="0.23119999999999999"/>
    <n v="0"/>
    <s v="Elementary Social Worker"/>
  </r>
  <r>
    <x v="215"/>
    <s v="Personnel"/>
    <s v="E "/>
    <x v="0"/>
    <x v="20"/>
    <s v="PSES Elem Prog21Duty45 S275"/>
    <x v="1"/>
    <s v="45"/>
    <n v="45"/>
    <m/>
    <s v="   "/>
    <n v="8.0419999999999998"/>
    <n v="0.23119999999999999"/>
    <n v="1.859"/>
    <s v="Elementary Speech, Language Pathway/_x000a_Audio"/>
  </r>
  <r>
    <x v="215"/>
    <s v="Personnel"/>
    <s v="H "/>
    <x v="1"/>
    <x v="21"/>
    <s v="PSES High Prog21Duty45 S275"/>
    <x v="1"/>
    <s v="45"/>
    <n v="45"/>
    <m/>
    <s v="   "/>
    <n v="5.6289999999999996"/>
    <n v="0.23119999999999999"/>
    <n v="1.3009999999999999"/>
    <s v="High Speech, Language Pathway/_x000a_Audio"/>
  </r>
  <r>
    <x v="215"/>
    <s v="Personnel"/>
    <s v="M "/>
    <x v="2"/>
    <x v="28"/>
    <s v="PSES Mid Prog21Duty45 S275"/>
    <x v="1"/>
    <s v="45"/>
    <n v="45"/>
    <m/>
    <s v="   "/>
    <n v="2.4119999999999999"/>
    <n v="0.23119999999999999"/>
    <n v="0.55800000000000005"/>
    <s v="Middle Speech, Language Pathway/_x000a_Audio"/>
  </r>
  <r>
    <x v="215"/>
    <s v="Personnel"/>
    <s v="E "/>
    <x v="0"/>
    <x v="22"/>
    <s v="PSES Elem Prog21Duty46 S275"/>
    <x v="1"/>
    <s v="46"/>
    <n v="46"/>
    <m/>
    <s v="   "/>
    <n v="4.4000000000000004"/>
    <n v="0.23119999999999999"/>
    <n v="1.0169999999999999"/>
    <s v="Elementary Psychologist"/>
  </r>
  <r>
    <x v="215"/>
    <s v="Personnel"/>
    <s v="E "/>
    <x v="0"/>
    <x v="48"/>
    <s v="PSES Elem Prog01Duty46 S275"/>
    <x v="0"/>
    <s v="46"/>
    <n v="46"/>
    <m/>
    <s v="   "/>
    <n v="2"/>
    <n v="0.23119999999999999"/>
    <n v="0"/>
    <s v="Elementary Psychologist"/>
  </r>
  <r>
    <x v="215"/>
    <s v="Personnel"/>
    <s v="H "/>
    <x v="1"/>
    <x v="23"/>
    <s v="PSES High Prog21Duty46 S275"/>
    <x v="1"/>
    <s v="46"/>
    <n v="46"/>
    <m/>
    <s v="   "/>
    <n v="3.08"/>
    <n v="0.23119999999999999"/>
    <n v="0.71199999999999997"/>
    <s v="High Psychologist"/>
  </r>
  <r>
    <x v="215"/>
    <s v="Personnel"/>
    <s v="H "/>
    <x v="1"/>
    <x v="65"/>
    <s v="PSES High Prog01Duty46 S275"/>
    <x v="0"/>
    <s v="46"/>
    <n v="46"/>
    <m/>
    <s v="   "/>
    <n v="1.4"/>
    <n v="0.23119999999999999"/>
    <n v="0"/>
    <s v="High Psychologist"/>
  </r>
  <r>
    <x v="215"/>
    <s v="Personnel"/>
    <s v="M "/>
    <x v="2"/>
    <x v="24"/>
    <s v="PSES Mid Prog21Duty46 S275"/>
    <x v="1"/>
    <s v="46"/>
    <n v="46"/>
    <m/>
    <s v="   "/>
    <n v="1.32"/>
    <n v="0.23119999999999999"/>
    <n v="0.30499999999999999"/>
    <s v="Middle Psychologist"/>
  </r>
  <r>
    <x v="215"/>
    <s v="Personnel"/>
    <s v="M "/>
    <x v="2"/>
    <x v="49"/>
    <s v="PSES Mid Prog01Duty46 S275"/>
    <x v="0"/>
    <s v="46"/>
    <n v="46"/>
    <m/>
    <s v="   "/>
    <n v="0.6"/>
    <n v="0.23119999999999999"/>
    <n v="0"/>
    <s v="Middle Psychologist"/>
  </r>
  <r>
    <x v="215"/>
    <s v="Personnel"/>
    <s v="E "/>
    <x v="0"/>
    <x v="27"/>
    <s v="PSES Elem Prog01Duty47 S275"/>
    <x v="0"/>
    <s v="47"/>
    <n v="47"/>
    <m/>
    <s v="   "/>
    <n v="12.46"/>
    <n v="0.23119999999999999"/>
    <n v="0"/>
    <s v="Elementary Nurse"/>
  </r>
  <r>
    <x v="215"/>
    <s v="Personnel"/>
    <s v="E "/>
    <x v="0"/>
    <x v="35"/>
    <s v="PSES Elem Prog21Duty48 S275"/>
    <x v="1"/>
    <s v="48"/>
    <n v="48"/>
    <m/>
    <s v="   "/>
    <n v="1"/>
    <n v="0.23119999999999999"/>
    <n v="0.23100000000000001"/>
    <s v="Elementary Physical Therapist"/>
  </r>
  <r>
    <x v="215"/>
    <s v="Personnel"/>
    <s v="H "/>
    <x v="1"/>
    <x v="36"/>
    <s v="PSES High Prog21Duty48 S275"/>
    <x v="1"/>
    <s v="48"/>
    <n v="48"/>
    <m/>
    <s v="   "/>
    <n v="0.7"/>
    <n v="0.23119999999999999"/>
    <n v="0.16200000000000001"/>
    <s v="High Physical Therapist"/>
  </r>
  <r>
    <x v="215"/>
    <s v="Personnel"/>
    <s v="M "/>
    <x v="2"/>
    <x v="37"/>
    <s v="PSES Mid Prog21Duty48 S275"/>
    <x v="1"/>
    <s v="48"/>
    <n v="48"/>
    <m/>
    <s v="   "/>
    <n v="0.3"/>
    <n v="0.23119999999999999"/>
    <n v="6.9000000000000006E-2"/>
    <s v="Middle Physical Therapist"/>
  </r>
  <r>
    <x v="216"/>
    <s v="Personnel"/>
    <s v="E "/>
    <x v="0"/>
    <x v="3"/>
    <s v="PSES Elem Prog01Act25 S275"/>
    <x v="0"/>
    <s v="25"/>
    <m/>
    <n v="25"/>
    <s v="   "/>
    <n v="0.76700000000000002"/>
    <n v="0.27289999999999998"/>
    <n v="0"/>
    <s v="Elementary Pupil Management"/>
  </r>
  <r>
    <x v="216"/>
    <s v="Personnel"/>
    <s v="H "/>
    <x v="1"/>
    <x v="4"/>
    <s v="PSES High Prog21Act25 S275"/>
    <x v="1"/>
    <s v="25"/>
    <m/>
    <n v="25"/>
    <s v="   "/>
    <n v="0.114"/>
    <n v="0.27289999999999998"/>
    <n v="3.1E-2"/>
    <s v="High Pupil Management"/>
  </r>
  <r>
    <x v="216"/>
    <s v="Personnel"/>
    <s v="H "/>
    <x v="1"/>
    <x v="5"/>
    <s v="PSES High Prog01Act25 S275"/>
    <x v="0"/>
    <s v="25"/>
    <m/>
    <n v="25"/>
    <s v="   "/>
    <n v="2.871"/>
    <n v="0.27289999999999998"/>
    <n v="0"/>
    <s v="High Pupil Management"/>
  </r>
  <r>
    <x v="216"/>
    <s v="Personnel"/>
    <s v="E "/>
    <x v="0"/>
    <x v="8"/>
    <s v="PSES Elem Prog01Act26 S275"/>
    <x v="0"/>
    <s v="26"/>
    <m/>
    <n v="26"/>
    <s v="   "/>
    <n v="0.65600000000000003"/>
    <n v="0.27289999999999998"/>
    <n v="0"/>
    <s v="Elementary Health/_x000a_Related Services"/>
  </r>
  <r>
    <x v="216"/>
    <s v="Personnel"/>
    <s v="H "/>
    <x v="1"/>
    <x v="29"/>
    <s v="PSES High Prog21Act26 S275"/>
    <x v="1"/>
    <s v="26"/>
    <m/>
    <n v="26"/>
    <s v="   "/>
    <n v="1.1659999999999999"/>
    <n v="0.27289999999999998"/>
    <n v="0.318"/>
    <s v="High Health/_x000a_Related Services"/>
  </r>
  <r>
    <x v="216"/>
    <s v="Personnel"/>
    <s v="H "/>
    <x v="1"/>
    <x v="9"/>
    <s v="PSES High Prog01Act26 S275"/>
    <x v="0"/>
    <s v="26"/>
    <m/>
    <n v="26"/>
    <s v="   "/>
    <n v="2.6240000000000001"/>
    <n v="0.27289999999999998"/>
    <n v="0"/>
    <s v="High Health/_x000a_Related Services"/>
  </r>
  <r>
    <x v="216"/>
    <s v="Personnel"/>
    <s v="E "/>
    <x v="0"/>
    <x v="15"/>
    <s v="PSES Elem Prog01Duty42 S275"/>
    <x v="0"/>
    <s v="42"/>
    <n v="42"/>
    <m/>
    <s v="   "/>
    <n v="3"/>
    <n v="0.27289999999999998"/>
    <n v="0"/>
    <s v="Elementary Counselor"/>
  </r>
  <r>
    <x v="216"/>
    <s v="Personnel"/>
    <s v="H "/>
    <x v="1"/>
    <x v="16"/>
    <s v="PSES High Prog01Duty42 S275"/>
    <x v="0"/>
    <s v="42"/>
    <n v="42"/>
    <m/>
    <s v="   "/>
    <n v="2"/>
    <n v="0.27289999999999998"/>
    <n v="0"/>
    <s v="High Counselor"/>
  </r>
  <r>
    <x v="216"/>
    <s v="Personnel"/>
    <s v="M "/>
    <x v="2"/>
    <x v="17"/>
    <s v="PSES Mid Prog01Duty42 S275"/>
    <x v="0"/>
    <s v="42"/>
    <n v="42"/>
    <m/>
    <s v="   "/>
    <n v="1.5"/>
    <n v="0.27289999999999998"/>
    <n v="0"/>
    <s v="Middle Counselor"/>
  </r>
  <r>
    <x v="216"/>
    <s v="Personnel"/>
    <s v="E "/>
    <x v="0"/>
    <x v="18"/>
    <s v="PSES Elem Prog21Duty43 S275"/>
    <x v="1"/>
    <s v="43"/>
    <n v="43"/>
    <m/>
    <s v="   "/>
    <n v="0.9"/>
    <n v="0.27289999999999998"/>
    <n v="0.246"/>
    <s v="Elementary Occupational Therapist"/>
  </r>
  <r>
    <x v="216"/>
    <s v="Personnel"/>
    <s v="E "/>
    <x v="0"/>
    <x v="20"/>
    <s v="PSES Elem Prog21Duty45 S275"/>
    <x v="1"/>
    <s v="45"/>
    <n v="45"/>
    <m/>
    <s v="   "/>
    <n v="1"/>
    <n v="0.27289999999999998"/>
    <n v="0.27300000000000002"/>
    <s v="Elementary Speech, Language Pathway/_x000a_Audio"/>
  </r>
  <r>
    <x v="216"/>
    <s v="Personnel"/>
    <s v="H "/>
    <x v="1"/>
    <x v="21"/>
    <s v="PSES High Prog21Duty45 S275"/>
    <x v="1"/>
    <s v="45"/>
    <n v="45"/>
    <m/>
    <s v="   "/>
    <n v="0.20499999999999999"/>
    <n v="0.27289999999999998"/>
    <n v="5.6000000000000001E-2"/>
    <s v="High Speech, Language Pathway/_x000a_Audio"/>
  </r>
  <r>
    <x v="216"/>
    <s v="Personnel"/>
    <s v="M "/>
    <x v="2"/>
    <x v="28"/>
    <s v="PSES Mid Prog21Duty45 S275"/>
    <x v="1"/>
    <s v="45"/>
    <n v="45"/>
    <m/>
    <s v="   "/>
    <n v="0.29499999999999998"/>
    <n v="0.27289999999999998"/>
    <n v="8.1000000000000003E-2"/>
    <s v="Middle Speech, Language Pathway/_x000a_Audio"/>
  </r>
  <r>
    <x v="216"/>
    <s v="Personnel"/>
    <s v="E "/>
    <x v="0"/>
    <x v="27"/>
    <s v="PSES Elem Prog01Duty47 S275"/>
    <x v="0"/>
    <s v="47"/>
    <n v="47"/>
    <m/>
    <s v="   "/>
    <n v="1"/>
    <n v="0.27289999999999998"/>
    <n v="0"/>
    <s v="Elementary Nurse"/>
  </r>
  <r>
    <x v="216"/>
    <s v="Personnel"/>
    <s v="E "/>
    <x v="0"/>
    <x v="35"/>
    <s v="PSES Elem Prog21Duty48 S275"/>
    <x v="1"/>
    <s v="48"/>
    <n v="48"/>
    <m/>
    <s v="   "/>
    <n v="0.4"/>
    <n v="0.27289999999999998"/>
    <n v="0.109"/>
    <s v="Elementary Physical Therapist"/>
  </r>
  <r>
    <x v="217"/>
    <s v="Personnel"/>
    <s v="H "/>
    <x v="1"/>
    <x v="1"/>
    <s v="PSES High Prog01Duty96 S275"/>
    <x v="0"/>
    <s v="24"/>
    <n v="96"/>
    <n v="24"/>
    <s v="   "/>
    <n v="1.63"/>
    <n v="0.30230000000000001"/>
    <n v="0"/>
    <s v="High Family Engagement Coordinator"/>
  </r>
  <r>
    <x v="217"/>
    <s v="Personnel"/>
    <s v="H "/>
    <x v="1"/>
    <x v="5"/>
    <s v="PSES High Prog01Act25 S275"/>
    <x v="0"/>
    <s v="25"/>
    <m/>
    <n v="25"/>
    <s v="   "/>
    <n v="5.8000000000000003E-2"/>
    <n v="0.30230000000000001"/>
    <n v="0"/>
    <s v="High Pupil Management"/>
  </r>
  <r>
    <x v="217"/>
    <s v="Personnel"/>
    <s v="H "/>
    <x v="1"/>
    <x v="9"/>
    <s v="PSES High Prog01Act26 S275"/>
    <x v="0"/>
    <s v="26"/>
    <m/>
    <n v="26"/>
    <s v="   "/>
    <n v="1.081"/>
    <n v="0.30230000000000001"/>
    <n v="0"/>
    <s v="High Health/_x000a_Related Services"/>
  </r>
  <r>
    <x v="217"/>
    <s v="Personnel"/>
    <s v="E "/>
    <x v="0"/>
    <x v="15"/>
    <s v="PSES Elem Prog01Duty42 S275"/>
    <x v="0"/>
    <s v="42"/>
    <n v="42"/>
    <m/>
    <s v="   "/>
    <n v="2"/>
    <n v="0.30230000000000001"/>
    <n v="0"/>
    <s v="Elementary Counselor"/>
  </r>
  <r>
    <x v="217"/>
    <s v="Personnel"/>
    <s v="H "/>
    <x v="1"/>
    <x v="16"/>
    <s v="PSES High Prog01Duty42 S275"/>
    <x v="0"/>
    <s v="42"/>
    <n v="42"/>
    <m/>
    <s v="   "/>
    <n v="1.9"/>
    <n v="0.30230000000000001"/>
    <n v="0"/>
    <s v="High Counselor"/>
  </r>
  <r>
    <x v="217"/>
    <s v="Personnel"/>
    <s v="E "/>
    <x v="0"/>
    <x v="18"/>
    <s v="PSES Elem Prog21Duty43 S275"/>
    <x v="1"/>
    <s v="43"/>
    <n v="43"/>
    <m/>
    <s v="   "/>
    <n v="1"/>
    <n v="0.30230000000000001"/>
    <n v="0.30199999999999999"/>
    <s v="Elementary Occupational Therapist"/>
  </r>
  <r>
    <x v="217"/>
    <s v="Personnel"/>
    <s v="E "/>
    <x v="0"/>
    <x v="20"/>
    <s v="PSES Elem Prog21Duty45 S275"/>
    <x v="1"/>
    <s v="45"/>
    <n v="45"/>
    <m/>
    <s v="   "/>
    <n v="2.4"/>
    <n v="0.30230000000000001"/>
    <n v="0.72599999999999998"/>
    <s v="Elementary Speech, Language Pathway/_x000a_Audio"/>
  </r>
  <r>
    <x v="217"/>
    <s v="Personnel"/>
    <s v="H "/>
    <x v="1"/>
    <x v="21"/>
    <s v="PSES High Prog21Duty45 S275"/>
    <x v="1"/>
    <s v="45"/>
    <n v="45"/>
    <m/>
    <s v="   "/>
    <n v="1"/>
    <n v="0.30230000000000001"/>
    <n v="0.30199999999999999"/>
    <s v="High Speech, Language Pathway/_x000a_Audio"/>
  </r>
  <r>
    <x v="217"/>
    <s v="Personnel"/>
    <s v="E "/>
    <x v="0"/>
    <x v="22"/>
    <s v="PSES Elem Prog21Duty46 S275"/>
    <x v="1"/>
    <s v="46"/>
    <n v="46"/>
    <m/>
    <s v="   "/>
    <n v="1.012"/>
    <n v="0.30230000000000001"/>
    <n v="0.30599999999999999"/>
    <s v="Elementary Psychologist"/>
  </r>
  <r>
    <x v="217"/>
    <s v="Personnel"/>
    <s v="H "/>
    <x v="1"/>
    <x v="23"/>
    <s v="PSES High Prog21Duty46 S275"/>
    <x v="1"/>
    <s v="46"/>
    <n v="46"/>
    <m/>
    <s v="   "/>
    <n v="0.156"/>
    <n v="0.30230000000000001"/>
    <n v="4.7E-2"/>
    <s v="High Psychologist"/>
  </r>
  <r>
    <x v="217"/>
    <s v="Personnel"/>
    <s v="M "/>
    <x v="2"/>
    <x v="24"/>
    <s v="PSES Mid Prog21Duty46 S275"/>
    <x v="1"/>
    <s v="46"/>
    <n v="46"/>
    <m/>
    <s v="   "/>
    <n v="8.3000000000000004E-2"/>
    <n v="0.30230000000000001"/>
    <n v="2.5000000000000001E-2"/>
    <s v="Middle Psychologist"/>
  </r>
  <r>
    <x v="218"/>
    <s v="Personnel"/>
    <s v="H "/>
    <x v="1"/>
    <x v="5"/>
    <s v="PSES High Prog01Act25 S275"/>
    <x v="0"/>
    <s v="25"/>
    <m/>
    <n v="25"/>
    <s v="   "/>
    <n v="1.0840000000000001"/>
    <n v="0.1636"/>
    <n v="0"/>
    <s v="High Pupil Management"/>
  </r>
  <r>
    <x v="218"/>
    <s v="Personnel"/>
    <s v="H "/>
    <x v="1"/>
    <x v="29"/>
    <s v="PSES High Prog21Act26 S275"/>
    <x v="1"/>
    <s v="26"/>
    <m/>
    <n v="26"/>
    <s v="   "/>
    <n v="0.74"/>
    <n v="0.1636"/>
    <n v="0.121"/>
    <s v="High Health/_x000a_Related Services"/>
  </r>
  <r>
    <x v="218"/>
    <s v="Personnel"/>
    <s v="H "/>
    <x v="1"/>
    <x v="9"/>
    <s v="PSES High Prog01Act26 S275"/>
    <x v="0"/>
    <s v="26"/>
    <m/>
    <n v="26"/>
    <s v="   "/>
    <n v="0.23799999999999999"/>
    <n v="0.1636"/>
    <n v="0"/>
    <s v="High Health/_x000a_Related Services"/>
  </r>
  <r>
    <x v="219"/>
    <s v="Personnel"/>
    <s v="H "/>
    <x v="1"/>
    <x v="4"/>
    <s v="PSES High Prog21Act25 S275"/>
    <x v="1"/>
    <s v="25"/>
    <m/>
    <n v="25"/>
    <s v="   "/>
    <n v="0.80900000000000005"/>
    <n v="0.27300000000000002"/>
    <n v="0.221"/>
    <s v="High Pupil Management"/>
  </r>
  <r>
    <x v="219"/>
    <s v="Personnel"/>
    <s v="H "/>
    <x v="1"/>
    <x v="5"/>
    <s v="PSES High Prog01Act25 S275"/>
    <x v="0"/>
    <s v="25"/>
    <m/>
    <n v="25"/>
    <s v="   "/>
    <n v="7.0229999999999997"/>
    <n v="0.27300000000000002"/>
    <n v="0"/>
    <s v="High Pupil Management"/>
  </r>
  <r>
    <x v="219"/>
    <s v="Personnel"/>
    <s v="H "/>
    <x v="1"/>
    <x v="29"/>
    <s v="PSES High Prog21Act26 S275"/>
    <x v="1"/>
    <s v="26"/>
    <m/>
    <n v="26"/>
    <s v="   "/>
    <n v="2.278"/>
    <n v="0.27300000000000002"/>
    <n v="0.622"/>
    <s v="High Health/_x000a_Related Services"/>
  </r>
  <r>
    <x v="219"/>
    <s v="Personnel"/>
    <s v="H "/>
    <x v="1"/>
    <x v="9"/>
    <s v="PSES High Prog01Act26 S275"/>
    <x v="0"/>
    <s v="26"/>
    <m/>
    <n v="26"/>
    <s v="   "/>
    <n v="2.5710000000000002"/>
    <n v="0.27300000000000002"/>
    <n v="0"/>
    <s v="High Health/_x000a_Related Services"/>
  </r>
  <r>
    <x v="219"/>
    <s v="Personnel"/>
    <s v="E "/>
    <x v="0"/>
    <x v="15"/>
    <s v="PSES Elem Prog01Duty42 S275"/>
    <x v="0"/>
    <s v="42"/>
    <n v="42"/>
    <m/>
    <s v="   "/>
    <n v="2"/>
    <n v="0.27300000000000002"/>
    <n v="0"/>
    <s v="Elementary Counselor"/>
  </r>
  <r>
    <x v="219"/>
    <s v="Personnel"/>
    <s v="H "/>
    <x v="1"/>
    <x v="16"/>
    <s v="PSES High Prog01Duty42 S275"/>
    <x v="0"/>
    <s v="42"/>
    <n v="42"/>
    <m/>
    <s v="   "/>
    <n v="1.5"/>
    <n v="0.27300000000000002"/>
    <n v="0"/>
    <s v="High Counselor"/>
  </r>
  <r>
    <x v="219"/>
    <s v="Personnel"/>
    <s v="M "/>
    <x v="2"/>
    <x v="17"/>
    <s v="PSES Mid Prog01Duty42 S275"/>
    <x v="0"/>
    <s v="42"/>
    <n v="42"/>
    <m/>
    <s v="   "/>
    <n v="0.75"/>
    <n v="0.27300000000000002"/>
    <n v="0"/>
    <s v="Middle Counselor"/>
  </r>
  <r>
    <x v="219"/>
    <s v="Personnel"/>
    <s v="H "/>
    <x v="1"/>
    <x v="23"/>
    <s v="PSES High Prog21Duty46 S275"/>
    <x v="1"/>
    <s v="46"/>
    <n v="46"/>
    <m/>
    <s v="   "/>
    <n v="1"/>
    <n v="0.27300000000000002"/>
    <n v="0.27300000000000002"/>
    <s v="High Psychologist"/>
  </r>
  <r>
    <x v="219"/>
    <s v="Personnel"/>
    <s v="E "/>
    <x v="0"/>
    <x v="32"/>
    <s v="PSES Elem Prog21Duty47 S275"/>
    <x v="1"/>
    <s v="47"/>
    <n v="47"/>
    <m/>
    <s v="   "/>
    <n v="0.443"/>
    <n v="0.27300000000000002"/>
    <n v="0.121"/>
    <s v="Elementary Nurse"/>
  </r>
  <r>
    <x v="219"/>
    <s v="Personnel"/>
    <s v="E "/>
    <x v="0"/>
    <x v="27"/>
    <s v="PSES Elem Prog01Duty47 S275"/>
    <x v="0"/>
    <s v="47"/>
    <n v="47"/>
    <m/>
    <s v="   "/>
    <n v="0.443"/>
    <n v="0.27300000000000002"/>
    <n v="0"/>
    <s v="Elementary Nurse"/>
  </r>
  <r>
    <x v="219"/>
    <s v="Personnel"/>
    <s v="H "/>
    <x v="1"/>
    <x v="61"/>
    <s v="PSES High Prog21Duty47 S275"/>
    <x v="1"/>
    <s v="47"/>
    <n v="47"/>
    <m/>
    <s v="   "/>
    <n v="2.2240000000000002"/>
    <n v="0.27300000000000002"/>
    <n v="0.60699999999999998"/>
    <s v="High Nurse"/>
  </r>
  <r>
    <x v="220"/>
    <s v="Personnel"/>
    <s v="E "/>
    <x v="0"/>
    <x v="3"/>
    <s v="PSES Elem Prog01Act25 S275"/>
    <x v="0"/>
    <s v="25"/>
    <m/>
    <n v="25"/>
    <s v="   "/>
    <n v="9.4570000000000007"/>
    <n v="0.2298"/>
    <n v="0"/>
    <s v="Elementary Pupil Management"/>
  </r>
  <r>
    <x v="220"/>
    <s v="Personnel"/>
    <s v="H "/>
    <x v="1"/>
    <x v="5"/>
    <s v="PSES High Prog01Act25 S275"/>
    <x v="0"/>
    <s v="25"/>
    <m/>
    <n v="25"/>
    <s v="   "/>
    <n v="2.4E-2"/>
    <n v="0.2298"/>
    <n v="0"/>
    <s v="High Pupil Management"/>
  </r>
  <r>
    <x v="220"/>
    <s v="Personnel"/>
    <s v="M "/>
    <x v="2"/>
    <x v="6"/>
    <s v="PSES Mid Prog01Act25 S275"/>
    <x v="0"/>
    <s v="25"/>
    <m/>
    <n v="25"/>
    <s v="   "/>
    <n v="0.90700000000000003"/>
    <n v="0.2298"/>
    <n v="0"/>
    <s v="Middle Pupil Management"/>
  </r>
  <r>
    <x v="220"/>
    <s v="Personnel"/>
    <s v="E "/>
    <x v="0"/>
    <x v="7"/>
    <s v="PSES Elem Prog21Act26 S275"/>
    <x v="1"/>
    <s v="26"/>
    <m/>
    <n v="26"/>
    <s v="   "/>
    <n v="1.0529999999999999"/>
    <n v="0.2298"/>
    <n v="0.24199999999999999"/>
    <s v="Elementary Health/_x000a_Related Services"/>
  </r>
  <r>
    <x v="220"/>
    <s v="Personnel"/>
    <s v="E "/>
    <x v="0"/>
    <x v="8"/>
    <s v="PSES Elem Prog01Act26 S275"/>
    <x v="0"/>
    <s v="26"/>
    <m/>
    <n v="26"/>
    <s v="   "/>
    <n v="1.712"/>
    <n v="0.2298"/>
    <n v="0"/>
    <s v="Elementary Health/_x000a_Related Services"/>
  </r>
  <r>
    <x v="220"/>
    <s v="Personnel"/>
    <s v="H "/>
    <x v="1"/>
    <x v="29"/>
    <s v="PSES High Prog21Act26 S275"/>
    <x v="1"/>
    <s v="26"/>
    <m/>
    <n v="26"/>
    <s v="   "/>
    <n v="1.714"/>
    <n v="0.2298"/>
    <n v="0.39400000000000002"/>
    <s v="High Health/_x000a_Related Services"/>
  </r>
  <r>
    <x v="220"/>
    <s v="Personnel"/>
    <s v="H "/>
    <x v="1"/>
    <x v="9"/>
    <s v="PSES High Prog01Act26 S275"/>
    <x v="0"/>
    <s v="26"/>
    <m/>
    <n v="26"/>
    <s v="   "/>
    <n v="0.55400000000000005"/>
    <n v="0.2298"/>
    <n v="0"/>
    <s v="High Health/_x000a_Related Services"/>
  </r>
  <r>
    <x v="220"/>
    <s v="Personnel"/>
    <s v="M "/>
    <x v="2"/>
    <x v="10"/>
    <s v="PSES Mid Prog21Act26 S275"/>
    <x v="1"/>
    <s v="26"/>
    <m/>
    <n v="26"/>
    <s v="   "/>
    <n v="0.56100000000000005"/>
    <n v="0.2298"/>
    <n v="0.129"/>
    <s v="Middle Health/_x000a_Related Services"/>
  </r>
  <r>
    <x v="220"/>
    <s v="Personnel"/>
    <s v="M "/>
    <x v="2"/>
    <x v="11"/>
    <s v="PSES Mid Prog01Act26 S275"/>
    <x v="0"/>
    <s v="26"/>
    <m/>
    <n v="26"/>
    <s v="   "/>
    <n v="0.86699999999999999"/>
    <n v="0.2298"/>
    <n v="0"/>
    <s v="Middle Health/_x000a_Related Services"/>
  </r>
  <r>
    <x v="220"/>
    <s v="Personnel"/>
    <s v="H "/>
    <x v="1"/>
    <x v="54"/>
    <s v="PSES High Prog01Act35 S275"/>
    <x v="0"/>
    <s v="35"/>
    <m/>
    <n v="35"/>
    <s v="   "/>
    <n v="0.64300000000000002"/>
    <n v="0.2298"/>
    <n v="0"/>
    <s v="High Pupil Safety"/>
  </r>
  <r>
    <x v="220"/>
    <s v="Personnel"/>
    <s v="E "/>
    <x v="0"/>
    <x v="15"/>
    <s v="PSES Elem Prog01Duty42 S275"/>
    <x v="0"/>
    <s v="42"/>
    <n v="42"/>
    <m/>
    <s v="   "/>
    <n v="4"/>
    <n v="0.2298"/>
    <n v="0"/>
    <s v="Elementary Counselor"/>
  </r>
  <r>
    <x v="220"/>
    <s v="Personnel"/>
    <s v="H "/>
    <x v="1"/>
    <x v="16"/>
    <s v="PSES High Prog01Duty42 S275"/>
    <x v="0"/>
    <s v="42"/>
    <n v="42"/>
    <m/>
    <s v="   "/>
    <n v="3.1"/>
    <n v="0.2298"/>
    <n v="0"/>
    <s v="High Counselor"/>
  </r>
  <r>
    <x v="220"/>
    <s v="Personnel"/>
    <s v="M "/>
    <x v="2"/>
    <x v="17"/>
    <s v="PSES Mid Prog01Duty42 S275"/>
    <x v="0"/>
    <s v="42"/>
    <n v="42"/>
    <m/>
    <s v="   "/>
    <n v="2.5"/>
    <n v="0.2298"/>
    <n v="0"/>
    <s v="Middle Counselor"/>
  </r>
  <r>
    <x v="220"/>
    <s v="Personnel"/>
    <s v="E "/>
    <x v="0"/>
    <x v="18"/>
    <s v="PSES Elem Prog21Duty43 S275"/>
    <x v="1"/>
    <s v="43"/>
    <n v="43"/>
    <m/>
    <s v="   "/>
    <n v="0.78300000000000003"/>
    <n v="0.2298"/>
    <n v="0.18"/>
    <s v="Elementary Occupational Therapist"/>
  </r>
  <r>
    <x v="220"/>
    <s v="Personnel"/>
    <s v="E "/>
    <x v="0"/>
    <x v="42"/>
    <s v="PSES Elem Prog01Duty44 S275"/>
    <x v="0"/>
    <s v="44"/>
    <n v="44"/>
    <m/>
    <s v="   "/>
    <n v="1"/>
    <n v="0.2298"/>
    <n v="0"/>
    <s v="Elementary Social Worker"/>
  </r>
  <r>
    <x v="220"/>
    <s v="Personnel"/>
    <s v="E "/>
    <x v="0"/>
    <x v="20"/>
    <s v="PSES Elem Prog21Duty45 S275"/>
    <x v="1"/>
    <s v="45"/>
    <n v="45"/>
    <m/>
    <s v="   "/>
    <n v="3.44"/>
    <n v="0.2298"/>
    <n v="0.79100000000000004"/>
    <s v="Elementary Speech, Language Pathway/_x000a_Audio"/>
  </r>
  <r>
    <x v="220"/>
    <s v="Personnel"/>
    <s v="M "/>
    <x v="2"/>
    <x v="28"/>
    <s v="PSES Mid Prog21Duty45 S275"/>
    <x v="1"/>
    <s v="45"/>
    <n v="45"/>
    <m/>
    <s v="   "/>
    <n v="1.56"/>
    <n v="0.2298"/>
    <n v="0.35799999999999998"/>
    <s v="Middle Speech, Language Pathway/_x000a_Audio"/>
  </r>
  <r>
    <x v="220"/>
    <s v="Personnel"/>
    <s v="E "/>
    <x v="0"/>
    <x v="22"/>
    <s v="PSES Elem Prog21Duty46 S275"/>
    <x v="1"/>
    <s v="46"/>
    <n v="46"/>
    <m/>
    <s v="   "/>
    <n v="3.4"/>
    <n v="0.2298"/>
    <n v="0.78100000000000003"/>
    <s v="Elementary Psychologist"/>
  </r>
  <r>
    <x v="220"/>
    <s v="Personnel"/>
    <s v="H "/>
    <x v="1"/>
    <x v="23"/>
    <s v="PSES High Prog21Duty46 S275"/>
    <x v="1"/>
    <s v="46"/>
    <n v="46"/>
    <m/>
    <s v="   "/>
    <n v="2"/>
    <n v="0.2298"/>
    <n v="0.46"/>
    <s v="High Psychologist"/>
  </r>
  <r>
    <x v="220"/>
    <s v="Personnel"/>
    <s v="M "/>
    <x v="2"/>
    <x v="24"/>
    <s v="PSES Mid Prog21Duty46 S275"/>
    <x v="1"/>
    <s v="46"/>
    <n v="46"/>
    <m/>
    <s v="   "/>
    <n v="1"/>
    <n v="0.2298"/>
    <n v="0.23"/>
    <s v="Middle Psychologist"/>
  </r>
  <r>
    <x v="220"/>
    <s v="Personnel"/>
    <s v="E "/>
    <x v="0"/>
    <x v="27"/>
    <s v="PSES Elem Prog01Duty47 S275"/>
    <x v="0"/>
    <s v="47"/>
    <n v="47"/>
    <m/>
    <s v="   "/>
    <n v="4.75"/>
    <n v="0.2298"/>
    <n v="0"/>
    <s v="Elementary Nurse"/>
  </r>
  <r>
    <x v="220"/>
    <s v="Personnel"/>
    <s v="M "/>
    <x v="2"/>
    <x v="34"/>
    <s v="PSES Mid Prog01Duty47 S275"/>
    <x v="0"/>
    <s v="47"/>
    <n v="47"/>
    <m/>
    <s v="   "/>
    <n v="1.6"/>
    <n v="0.2298"/>
    <n v="0"/>
    <s v="Middle Nurse"/>
  </r>
  <r>
    <x v="220"/>
    <s v="Personnel"/>
    <s v="E "/>
    <x v="0"/>
    <x v="26"/>
    <s v="PSES Elem Prog21Duty49 S275"/>
    <x v="1"/>
    <s v="49"/>
    <n v="49"/>
    <m/>
    <s v="   "/>
    <n v="2"/>
    <n v="0.2298"/>
    <n v="0.46"/>
    <s v="Elementary Behavior Analyst"/>
  </r>
  <r>
    <x v="221"/>
    <s v="Personnel"/>
    <s v="H "/>
    <x v="1"/>
    <x v="1"/>
    <s v="PSES High Prog01Duty96 S275"/>
    <x v="0"/>
    <s v="24"/>
    <n v="96"/>
    <n v="24"/>
    <s v="   "/>
    <n v="0.73099999999999998"/>
    <n v="0.2429"/>
    <n v="0"/>
    <s v="High Family Engagement Coordinator"/>
  </r>
  <r>
    <x v="221"/>
    <s v="Personnel"/>
    <s v="H "/>
    <x v="1"/>
    <x v="5"/>
    <s v="PSES High Prog01Act25 S275"/>
    <x v="0"/>
    <s v="25"/>
    <m/>
    <n v="25"/>
    <s v="   "/>
    <n v="24.501999999999999"/>
    <n v="0.2429"/>
    <n v="0"/>
    <s v="High Pupil Management"/>
  </r>
  <r>
    <x v="221"/>
    <s v="Personnel"/>
    <s v="E "/>
    <x v="0"/>
    <x v="8"/>
    <s v="PSES Elem Prog01Act26 S275"/>
    <x v="0"/>
    <s v="26"/>
    <m/>
    <n v="26"/>
    <s v="   "/>
    <n v="11.13"/>
    <n v="0.2429"/>
    <n v="0"/>
    <s v="Elementary Health/_x000a_Related Services"/>
  </r>
  <r>
    <x v="221"/>
    <s v="Personnel"/>
    <s v="H "/>
    <x v="1"/>
    <x v="29"/>
    <s v="PSES High Prog21Act26 S275"/>
    <x v="1"/>
    <s v="26"/>
    <m/>
    <n v="26"/>
    <s v="   "/>
    <n v="8.7789999999999999"/>
    <n v="0.2429"/>
    <n v="2.1320000000000001"/>
    <s v="High Health/_x000a_Related Services"/>
  </r>
  <r>
    <x v="221"/>
    <s v="Personnel"/>
    <s v="H "/>
    <x v="1"/>
    <x v="9"/>
    <s v="PSES High Prog01Act26 S275"/>
    <x v="0"/>
    <s v="26"/>
    <m/>
    <n v="26"/>
    <s v="   "/>
    <n v="3.7629999999999999"/>
    <n v="0.2429"/>
    <n v="0"/>
    <s v="High Health/_x000a_Related Services"/>
  </r>
  <r>
    <x v="221"/>
    <s v="Personnel"/>
    <s v="M "/>
    <x v="2"/>
    <x v="11"/>
    <s v="PSES Mid Prog01Act26 S275"/>
    <x v="0"/>
    <s v="26"/>
    <m/>
    <n v="26"/>
    <s v="   "/>
    <n v="5.4569999999999999"/>
    <n v="0.2429"/>
    <n v="0"/>
    <s v="Middle Health/_x000a_Related Services"/>
  </r>
  <r>
    <x v="221"/>
    <s v="Personnel"/>
    <s v="E "/>
    <x v="0"/>
    <x v="62"/>
    <s v="PSES Elem Prog01Act35 S275"/>
    <x v="0"/>
    <s v="35"/>
    <m/>
    <n v="35"/>
    <s v="   "/>
    <n v="0.35499999999999998"/>
    <n v="0.2429"/>
    <n v="0"/>
    <s v="Elementary Pupil Safety"/>
  </r>
  <r>
    <x v="221"/>
    <s v="Personnel"/>
    <s v="H "/>
    <x v="1"/>
    <x v="54"/>
    <s v="PSES High Prog01Act35 S275"/>
    <x v="0"/>
    <s v="35"/>
    <m/>
    <n v="35"/>
    <s v="   "/>
    <n v="6.3890000000000002"/>
    <n v="0.2429"/>
    <n v="0"/>
    <s v="High Pupil Safety"/>
  </r>
  <r>
    <x v="221"/>
    <s v="Personnel"/>
    <s v="M "/>
    <x v="2"/>
    <x v="63"/>
    <s v="PSES Mid Prog01Act35 S275"/>
    <x v="0"/>
    <s v="35"/>
    <m/>
    <n v="35"/>
    <s v="   "/>
    <n v="6.3289999999999997"/>
    <n v="0.2429"/>
    <n v="0"/>
    <s v="Middle Pupil Safety"/>
  </r>
  <r>
    <x v="221"/>
    <s v="Personnel"/>
    <s v="E "/>
    <x v="0"/>
    <x v="14"/>
    <s v="PSES Elem Prog21Duty39 S275"/>
    <x v="1"/>
    <s v="39"/>
    <n v="39"/>
    <m/>
    <s v="   "/>
    <n v="2.59"/>
    <n v="0.2429"/>
    <n v="0.629"/>
    <s v="Elementary Orientation &amp; Mobility Specialist"/>
  </r>
  <r>
    <x v="221"/>
    <s v="Personnel"/>
    <s v="H "/>
    <x v="1"/>
    <x v="83"/>
    <s v="PSES High Prog21Duty39 S275"/>
    <x v="1"/>
    <s v="39"/>
    <n v="39"/>
    <m/>
    <s v="   "/>
    <n v="1.4750000000000001"/>
    <n v="0.2429"/>
    <n v="0.35799999999999998"/>
    <s v="High Orientation &amp; Mobility Specialist"/>
  </r>
  <r>
    <x v="221"/>
    <s v="Personnel"/>
    <s v="M "/>
    <x v="2"/>
    <x v="88"/>
    <s v="PSES Mid Prog21Duty39 S275"/>
    <x v="1"/>
    <s v="39"/>
    <n v="39"/>
    <m/>
    <s v="   "/>
    <n v="0.73799999999999999"/>
    <n v="0.2429"/>
    <n v="0.17899999999999999"/>
    <s v="Middle Orientation &amp; Mobility Specialist"/>
  </r>
  <r>
    <x v="221"/>
    <s v="Personnel"/>
    <s v="E "/>
    <x v="0"/>
    <x v="15"/>
    <s v="PSES Elem Prog01Duty42 S275"/>
    <x v="0"/>
    <s v="42"/>
    <n v="42"/>
    <m/>
    <s v="   "/>
    <n v="33.729999999999997"/>
    <n v="0.2429"/>
    <n v="0"/>
    <s v="Elementary Counselor"/>
  </r>
  <r>
    <x v="221"/>
    <s v="Personnel"/>
    <s v="H "/>
    <x v="1"/>
    <x v="16"/>
    <s v="PSES High Prog01Duty42 S275"/>
    <x v="0"/>
    <s v="42"/>
    <n v="42"/>
    <m/>
    <s v="   "/>
    <n v="30"/>
    <n v="0.2429"/>
    <n v="0"/>
    <s v="High Counselor"/>
  </r>
  <r>
    <x v="221"/>
    <s v="Personnel"/>
    <s v="M "/>
    <x v="2"/>
    <x v="17"/>
    <s v="PSES Mid Prog01Duty42 S275"/>
    <x v="0"/>
    <s v="42"/>
    <n v="42"/>
    <m/>
    <s v="   "/>
    <n v="18"/>
    <n v="0.2429"/>
    <n v="0"/>
    <s v="Middle Counselor"/>
  </r>
  <r>
    <x v="221"/>
    <s v="Personnel"/>
    <s v="E "/>
    <x v="0"/>
    <x v="18"/>
    <s v="PSES Elem Prog21Duty43 S275"/>
    <x v="1"/>
    <s v="43"/>
    <n v="43"/>
    <m/>
    <s v="   "/>
    <n v="7.335"/>
    <n v="0.2429"/>
    <n v="1.782"/>
    <s v="Elementary Occupational Therapist"/>
  </r>
  <r>
    <x v="221"/>
    <s v="Personnel"/>
    <s v="E "/>
    <x v="0"/>
    <x v="69"/>
    <s v="PSES Elem Prog01Duty43 S275"/>
    <x v="0"/>
    <s v="43"/>
    <n v="43"/>
    <m/>
    <s v="   "/>
    <n v="0.33900000000000002"/>
    <n v="0.2429"/>
    <n v="0"/>
    <s v="Elementary Occupational Therapist"/>
  </r>
  <r>
    <x v="221"/>
    <s v="Personnel"/>
    <s v="H "/>
    <x v="1"/>
    <x v="19"/>
    <s v="PSES High Prog21Duty43 S275"/>
    <x v="1"/>
    <s v="43"/>
    <n v="43"/>
    <m/>
    <s v="   "/>
    <n v="4.1859999999999999"/>
    <n v="0.2429"/>
    <n v="1.0169999999999999"/>
    <s v="High Occupational Therapist"/>
  </r>
  <r>
    <x v="221"/>
    <s v="Personnel"/>
    <s v="H "/>
    <x v="1"/>
    <x v="73"/>
    <s v="PSES High Prog01Duty43 S275"/>
    <x v="0"/>
    <s v="43"/>
    <n v="43"/>
    <m/>
    <s v="   "/>
    <n v="0.188"/>
    <n v="0.2429"/>
    <n v="0"/>
    <s v="High Occupational Therapist"/>
  </r>
  <r>
    <x v="221"/>
    <s v="Personnel"/>
    <s v="M "/>
    <x v="2"/>
    <x v="31"/>
    <s v="PSES Mid Prog21Duty43 S275"/>
    <x v="1"/>
    <s v="43"/>
    <n v="43"/>
    <m/>
    <s v="   "/>
    <n v="2.0979999999999999"/>
    <n v="0.2429"/>
    <n v="0.51"/>
    <s v="Middle Occupational Therapist"/>
  </r>
  <r>
    <x v="221"/>
    <s v="Personnel"/>
    <s v="M "/>
    <x v="2"/>
    <x v="74"/>
    <s v="PSES Mid Prog01Duty43 S275"/>
    <x v="0"/>
    <s v="43"/>
    <n v="43"/>
    <m/>
    <s v="   "/>
    <n v="9.9000000000000005E-2"/>
    <n v="0.2429"/>
    <n v="0"/>
    <s v="Middle Occupational Therapist"/>
  </r>
  <r>
    <x v="221"/>
    <s v="Personnel"/>
    <s v="E "/>
    <x v="0"/>
    <x v="20"/>
    <s v="PSES Elem Prog21Duty45 S275"/>
    <x v="1"/>
    <s v="45"/>
    <n v="45"/>
    <m/>
    <s v="   "/>
    <n v="49.045000000000002"/>
    <n v="0.2429"/>
    <n v="11.913"/>
    <s v="Elementary Speech, Language Pathway/_x000a_Audio"/>
  </r>
  <r>
    <x v="221"/>
    <s v="Personnel"/>
    <s v="E "/>
    <x v="0"/>
    <x v="47"/>
    <s v="PSES Elem Prog01Duty45 S275"/>
    <x v="0"/>
    <s v="45"/>
    <n v="45"/>
    <m/>
    <s v="   "/>
    <n v="0.214"/>
    <n v="0.2429"/>
    <n v="0"/>
    <s v="Elementary Speech, Language Pathway/_x000a_Audio"/>
  </r>
  <r>
    <x v="221"/>
    <s v="Personnel"/>
    <s v="H "/>
    <x v="1"/>
    <x v="21"/>
    <s v="PSES High Prog21Duty45 S275"/>
    <x v="1"/>
    <s v="45"/>
    <n v="45"/>
    <m/>
    <s v="   "/>
    <n v="0.45800000000000002"/>
    <n v="0.2429"/>
    <n v="0.111"/>
    <s v="High Speech, Language Pathway/_x000a_Audio"/>
  </r>
  <r>
    <x v="221"/>
    <s v="Personnel"/>
    <s v="H "/>
    <x v="1"/>
    <x v="51"/>
    <s v="PSES High Prog01Duty45 S275"/>
    <x v="0"/>
    <s v="45"/>
    <n v="45"/>
    <m/>
    <s v="   "/>
    <n v="0.124"/>
    <n v="0.2429"/>
    <n v="0"/>
    <s v="High Speech, Language Pathway/_x000a_Audio"/>
  </r>
  <r>
    <x v="221"/>
    <s v="Personnel"/>
    <s v="M "/>
    <x v="2"/>
    <x v="28"/>
    <s v="PSES Mid Prog21Duty45 S275"/>
    <x v="1"/>
    <s v="45"/>
    <n v="45"/>
    <m/>
    <s v="   "/>
    <n v="0.82799999999999996"/>
    <n v="0.2429"/>
    <n v="0.20100000000000001"/>
    <s v="Middle Speech, Language Pathway/_x000a_Audio"/>
  </r>
  <r>
    <x v="221"/>
    <s v="Personnel"/>
    <s v="M "/>
    <x v="2"/>
    <x v="52"/>
    <s v="PSES Mid Prog01Duty45 S275"/>
    <x v="0"/>
    <s v="45"/>
    <n v="45"/>
    <m/>
    <s v="   "/>
    <n v="6.2E-2"/>
    <n v="0.2429"/>
    <n v="0"/>
    <s v="Middle Speech, Language Pathway/_x000a_Audio"/>
  </r>
  <r>
    <x v="221"/>
    <s v="Personnel"/>
    <s v="E "/>
    <x v="0"/>
    <x v="22"/>
    <s v="PSES Elem Prog21Duty46 S275"/>
    <x v="1"/>
    <s v="46"/>
    <n v="46"/>
    <m/>
    <s v="   "/>
    <n v="16.672000000000001"/>
    <n v="0.2429"/>
    <n v="4.05"/>
    <s v="Elementary Psychologist"/>
  </r>
  <r>
    <x v="221"/>
    <s v="Personnel"/>
    <s v="H "/>
    <x v="1"/>
    <x v="23"/>
    <s v="PSES High Prog21Duty46 S275"/>
    <x v="1"/>
    <s v="46"/>
    <n v="46"/>
    <m/>
    <s v="   "/>
    <n v="6.383"/>
    <n v="0.2429"/>
    <n v="1.55"/>
    <s v="High Psychologist"/>
  </r>
  <r>
    <x v="221"/>
    <s v="Personnel"/>
    <s v="M "/>
    <x v="2"/>
    <x v="24"/>
    <s v="PSES Mid Prog21Duty46 S275"/>
    <x v="1"/>
    <s v="46"/>
    <n v="46"/>
    <m/>
    <s v="   "/>
    <n v="6.88"/>
    <n v="0.2429"/>
    <n v="1.671"/>
    <s v="Middle Psychologist"/>
  </r>
  <r>
    <x v="221"/>
    <s v="Personnel"/>
    <s v="E "/>
    <x v="0"/>
    <x v="32"/>
    <s v="PSES Elem Prog21Duty47 S275"/>
    <x v="1"/>
    <s v="47"/>
    <n v="47"/>
    <m/>
    <s v="   "/>
    <n v="0.17799999999999999"/>
    <n v="0.2429"/>
    <n v="4.2999999999999997E-2"/>
    <s v="Elementary Nurse"/>
  </r>
  <r>
    <x v="221"/>
    <s v="Personnel"/>
    <s v="E "/>
    <x v="0"/>
    <x v="27"/>
    <s v="PSES Elem Prog01Duty47 S275"/>
    <x v="0"/>
    <s v="47"/>
    <n v="47"/>
    <m/>
    <s v="   "/>
    <n v="5.7309999999999999"/>
    <n v="0.2429"/>
    <n v="0"/>
    <s v="Elementary Nurse"/>
  </r>
  <r>
    <x v="221"/>
    <s v="Personnel"/>
    <s v="H "/>
    <x v="1"/>
    <x v="61"/>
    <s v="PSES High Prog21Duty47 S275"/>
    <x v="1"/>
    <s v="47"/>
    <n v="47"/>
    <m/>
    <s v="   "/>
    <n v="0.10299999999999999"/>
    <n v="0.2429"/>
    <n v="2.5000000000000001E-2"/>
    <s v="High Nurse"/>
  </r>
  <r>
    <x v="221"/>
    <s v="Personnel"/>
    <s v="H "/>
    <x v="1"/>
    <x v="25"/>
    <s v="PSES High Prog01Duty47 S275"/>
    <x v="0"/>
    <s v="47"/>
    <n v="47"/>
    <m/>
    <s v="   "/>
    <n v="3.2789999999999999"/>
    <n v="0.2429"/>
    <n v="0"/>
    <s v="High Nurse"/>
  </r>
  <r>
    <x v="221"/>
    <s v="Personnel"/>
    <s v="M "/>
    <x v="2"/>
    <x v="33"/>
    <s v="PSES Mid Prog21Duty47 S275"/>
    <x v="1"/>
    <s v="47"/>
    <n v="47"/>
    <m/>
    <s v="   "/>
    <n v="0.05"/>
    <n v="0.2429"/>
    <n v="1.2E-2"/>
    <s v="Middle Nurse"/>
  </r>
  <r>
    <x v="221"/>
    <s v="Personnel"/>
    <s v="M "/>
    <x v="2"/>
    <x v="34"/>
    <s v="PSES Mid Prog01Duty47 S275"/>
    <x v="0"/>
    <s v="47"/>
    <n v="47"/>
    <m/>
    <s v="   "/>
    <n v="1.6339999999999999"/>
    <n v="0.2429"/>
    <n v="0"/>
    <s v="Middle Nurse"/>
  </r>
  <r>
    <x v="221"/>
    <s v="Personnel"/>
    <s v="E "/>
    <x v="0"/>
    <x v="35"/>
    <s v="PSES Elem Prog21Duty48 S275"/>
    <x v="1"/>
    <s v="48"/>
    <n v="48"/>
    <m/>
    <s v="   "/>
    <n v="3.7669999999999999"/>
    <n v="0.2429"/>
    <n v="0.91500000000000004"/>
    <s v="Elementary Physical Therapist"/>
  </r>
  <r>
    <x v="221"/>
    <s v="Personnel"/>
    <s v="E "/>
    <x v="0"/>
    <x v="90"/>
    <s v="PSES Elem Prog01Duty48 S275"/>
    <x v="0"/>
    <s v="48"/>
    <n v="48"/>
    <m/>
    <s v="   "/>
    <n v="0.20899999999999999"/>
    <n v="0.2429"/>
    <n v="0"/>
    <s v="Elementary Physical Therapist"/>
  </r>
  <r>
    <x v="221"/>
    <s v="Personnel"/>
    <s v="H "/>
    <x v="1"/>
    <x v="36"/>
    <s v="PSES High Prog21Duty48 S275"/>
    <x v="1"/>
    <s v="48"/>
    <n v="48"/>
    <m/>
    <s v="   "/>
    <n v="2.149"/>
    <n v="0.2429"/>
    <n v="0.52200000000000002"/>
    <s v="High Physical Therapist"/>
  </r>
  <r>
    <x v="221"/>
    <s v="Personnel"/>
    <s v="H "/>
    <x v="1"/>
    <x v="91"/>
    <s v="PSES High Prog01Duty48 S275"/>
    <x v="0"/>
    <s v="48"/>
    <n v="48"/>
    <m/>
    <s v="   "/>
    <n v="0.11700000000000001"/>
    <n v="0.2429"/>
    <n v="0"/>
    <s v="High Physical Therapist"/>
  </r>
  <r>
    <x v="221"/>
    <s v="Personnel"/>
    <s v="M "/>
    <x v="2"/>
    <x v="37"/>
    <s v="PSES Mid Prog21Duty48 S275"/>
    <x v="1"/>
    <s v="48"/>
    <n v="48"/>
    <m/>
    <s v="   "/>
    <n v="1.0780000000000001"/>
    <n v="0.2429"/>
    <n v="0.26200000000000001"/>
    <s v="Middle Physical Therapist"/>
  </r>
  <r>
    <x v="221"/>
    <s v="Personnel"/>
    <s v="M "/>
    <x v="2"/>
    <x v="92"/>
    <s v="PSES Mid Prog01Duty48 S275"/>
    <x v="0"/>
    <s v="48"/>
    <n v="48"/>
    <m/>
    <s v="   "/>
    <n v="6.3E-2"/>
    <n v="0.2429"/>
    <n v="0"/>
    <s v="Middle Physical Therapist"/>
  </r>
  <r>
    <x v="222"/>
    <s v="Personnel"/>
    <s v="H "/>
    <x v="1"/>
    <x v="1"/>
    <s v="PSES High Prog01Duty96 S275"/>
    <x v="0"/>
    <s v="24"/>
    <n v="96"/>
    <n v="24"/>
    <s v="   "/>
    <n v="0.13700000000000001"/>
    <n v="0.115"/>
    <n v="0"/>
    <s v="High Family Engagement Coordinator"/>
  </r>
  <r>
    <x v="222"/>
    <s v="Personnel"/>
    <s v="H "/>
    <x v="1"/>
    <x v="9"/>
    <s v="PSES High Prog01Act26 S275"/>
    <x v="0"/>
    <s v="26"/>
    <m/>
    <n v="26"/>
    <s v="   "/>
    <n v="7.6999999999999999E-2"/>
    <n v="0.115"/>
    <n v="0"/>
    <s v="High Health/_x000a_Related Services"/>
  </r>
  <r>
    <x v="223"/>
    <s v="Personnel"/>
    <s v="H "/>
    <x v="1"/>
    <x v="9"/>
    <s v="PSES High Prog01Act26 S275"/>
    <x v="0"/>
    <s v="26"/>
    <m/>
    <n v="26"/>
    <s v="   "/>
    <n v="0.28799999999999998"/>
    <n v="8.7099999999999997E-2"/>
    <n v="0"/>
    <s v="High Health/_x000a_Related Services"/>
  </r>
  <r>
    <x v="224"/>
    <s v="Personnel"/>
    <s v="E "/>
    <x v="0"/>
    <x v="3"/>
    <s v="PSES Elem Prog01Act25 S275"/>
    <x v="0"/>
    <s v="25"/>
    <m/>
    <n v="25"/>
    <s v="   "/>
    <n v="1.696"/>
    <n v="0.2059"/>
    <n v="0"/>
    <s v="Elementary Pupil Management"/>
  </r>
  <r>
    <x v="224"/>
    <s v="Personnel"/>
    <s v="M "/>
    <x v="2"/>
    <x v="6"/>
    <s v="PSES Mid Prog01Act25 S275"/>
    <x v="0"/>
    <s v="25"/>
    <m/>
    <n v="25"/>
    <s v="   "/>
    <n v="0.24199999999999999"/>
    <n v="0.2059"/>
    <n v="0"/>
    <s v="Middle Pupil Management"/>
  </r>
  <r>
    <x v="224"/>
    <s v="Personnel"/>
    <s v="E "/>
    <x v="0"/>
    <x v="7"/>
    <s v="PSES Elem Prog21Act26 S275"/>
    <x v="1"/>
    <s v="26"/>
    <m/>
    <n v="26"/>
    <s v="   "/>
    <n v="0.77700000000000002"/>
    <n v="0.2059"/>
    <n v="0.16"/>
    <s v="Elementary Health/_x000a_Related Services"/>
  </r>
  <r>
    <x v="224"/>
    <s v="Personnel"/>
    <s v="H "/>
    <x v="1"/>
    <x v="9"/>
    <s v="PSES High Prog01Act26 S275"/>
    <x v="0"/>
    <s v="26"/>
    <m/>
    <n v="26"/>
    <s v="   "/>
    <n v="0.59099999999999997"/>
    <n v="0.2059"/>
    <n v="0"/>
    <s v="High Health/_x000a_Related Services"/>
  </r>
  <r>
    <x v="224"/>
    <s v="Personnel"/>
    <s v="M "/>
    <x v="2"/>
    <x v="10"/>
    <s v="PSES Mid Prog21Act26 S275"/>
    <x v="1"/>
    <s v="26"/>
    <m/>
    <n v="26"/>
    <s v="   "/>
    <n v="0.185"/>
    <n v="0.2059"/>
    <n v="3.7999999999999999E-2"/>
    <s v="Middle Health/_x000a_Related Services"/>
  </r>
  <r>
    <x v="224"/>
    <s v="Personnel"/>
    <s v="E "/>
    <x v="0"/>
    <x v="15"/>
    <s v="PSES Elem Prog01Duty42 S275"/>
    <x v="0"/>
    <s v="42"/>
    <n v="42"/>
    <m/>
    <s v="   "/>
    <n v="2"/>
    <n v="0.2059"/>
    <n v="0"/>
    <s v="Elementary Counselor"/>
  </r>
  <r>
    <x v="224"/>
    <s v="Personnel"/>
    <s v="H "/>
    <x v="1"/>
    <x v="16"/>
    <s v="PSES High Prog01Duty42 S275"/>
    <x v="0"/>
    <s v="42"/>
    <n v="42"/>
    <m/>
    <s v="   "/>
    <n v="1.4"/>
    <n v="0.2059"/>
    <n v="0"/>
    <s v="High Counselor"/>
  </r>
  <r>
    <x v="224"/>
    <s v="Personnel"/>
    <s v="E "/>
    <x v="0"/>
    <x v="42"/>
    <s v="PSES Elem Prog01Duty44 S275"/>
    <x v="0"/>
    <s v="44"/>
    <n v="44"/>
    <m/>
    <s v="   "/>
    <n v="0.33300000000000002"/>
    <n v="0.2059"/>
    <n v="0"/>
    <s v="Elementary Social Worker"/>
  </r>
  <r>
    <x v="224"/>
    <s v="Personnel"/>
    <s v="M "/>
    <x v="2"/>
    <x v="46"/>
    <s v="PSES Mid Prog01Duty44 S275"/>
    <x v="0"/>
    <s v="44"/>
    <n v="44"/>
    <m/>
    <s v="   "/>
    <n v="0.66700000000000004"/>
    <n v="0.2059"/>
    <n v="0"/>
    <s v="Middle Social Worker"/>
  </r>
  <r>
    <x v="224"/>
    <s v="Personnel"/>
    <s v="E "/>
    <x v="0"/>
    <x v="20"/>
    <s v="PSES Elem Prog21Duty45 S275"/>
    <x v="1"/>
    <s v="45"/>
    <n v="45"/>
    <m/>
    <s v="   "/>
    <n v="0.8"/>
    <n v="0.2059"/>
    <n v="0.16500000000000001"/>
    <s v="Elementary Speech, Language Pathway/_x000a_Audio"/>
  </r>
  <r>
    <x v="224"/>
    <s v="Personnel"/>
    <s v="E "/>
    <x v="0"/>
    <x v="22"/>
    <s v="PSES Elem Prog21Duty46 S275"/>
    <x v="1"/>
    <s v="46"/>
    <n v="46"/>
    <m/>
    <s v="   "/>
    <n v="1"/>
    <n v="0.2059"/>
    <n v="0.20599999999999999"/>
    <s v="Elementary Psychologist"/>
  </r>
  <r>
    <x v="224"/>
    <s v="Personnel"/>
    <s v="E "/>
    <x v="0"/>
    <x v="27"/>
    <s v="PSES Elem Prog01Duty47 S275"/>
    <x v="0"/>
    <s v="47"/>
    <n v="47"/>
    <m/>
    <s v="   "/>
    <n v="1.05"/>
    <n v="0.2059"/>
    <n v="0"/>
    <s v="Elementary Nurse"/>
  </r>
  <r>
    <x v="224"/>
    <s v="Personnel"/>
    <s v="H "/>
    <x v="1"/>
    <x v="25"/>
    <s v="PSES High Prog01Duty47 S275"/>
    <x v="0"/>
    <s v="47"/>
    <n v="47"/>
    <m/>
    <s v="   "/>
    <n v="0.76"/>
    <n v="0.2059"/>
    <n v="0"/>
    <s v="High Nurse"/>
  </r>
  <r>
    <x v="224"/>
    <s v="Personnel"/>
    <s v="M "/>
    <x v="2"/>
    <x v="34"/>
    <s v="PSES Mid Prog01Duty47 S275"/>
    <x v="0"/>
    <s v="47"/>
    <n v="47"/>
    <m/>
    <s v="   "/>
    <n v="0.19"/>
    <n v="0.2059"/>
    <n v="0"/>
    <s v="Middle Nurse"/>
  </r>
  <r>
    <x v="225"/>
    <s v="Personnel"/>
    <s v="H "/>
    <x v="1"/>
    <x v="5"/>
    <s v="PSES High Prog01Act25 S275"/>
    <x v="0"/>
    <s v="25"/>
    <m/>
    <n v="25"/>
    <s v="   "/>
    <n v="0.63900000000000001"/>
    <n v="0.1764"/>
    <n v="0"/>
    <s v="High Pupil Management"/>
  </r>
  <r>
    <x v="225"/>
    <s v="Personnel"/>
    <s v="E "/>
    <x v="0"/>
    <x v="8"/>
    <s v="PSES Elem Prog01Act26 S275"/>
    <x v="0"/>
    <s v="26"/>
    <m/>
    <n v="26"/>
    <s v="   "/>
    <n v="1.3720000000000001"/>
    <n v="0.1764"/>
    <n v="0"/>
    <s v="Elementary Health/_x000a_Related Services"/>
  </r>
  <r>
    <x v="225"/>
    <s v="Personnel"/>
    <s v="H "/>
    <x v="1"/>
    <x v="29"/>
    <s v="PSES High Prog21Act26 S275"/>
    <x v="1"/>
    <s v="26"/>
    <m/>
    <n v="26"/>
    <s v="   "/>
    <n v="0.68500000000000005"/>
    <n v="0.1764"/>
    <n v="0.121"/>
    <s v="High Health/_x000a_Related Services"/>
  </r>
  <r>
    <x v="225"/>
    <s v="Personnel"/>
    <s v="H "/>
    <x v="1"/>
    <x v="9"/>
    <s v="PSES High Prog01Act26 S275"/>
    <x v="0"/>
    <s v="26"/>
    <m/>
    <n v="26"/>
    <s v="   "/>
    <n v="1.7310000000000001"/>
    <n v="0.1764"/>
    <n v="0"/>
    <s v="High Health/_x000a_Related Services"/>
  </r>
  <r>
    <x v="225"/>
    <s v="Personnel"/>
    <s v="E "/>
    <x v="0"/>
    <x v="15"/>
    <s v="PSES Elem Prog01Duty42 S275"/>
    <x v="0"/>
    <s v="42"/>
    <n v="42"/>
    <m/>
    <s v="   "/>
    <n v="2"/>
    <n v="0.1764"/>
    <n v="0"/>
    <s v="Elementary Counselor"/>
  </r>
  <r>
    <x v="225"/>
    <s v="Personnel"/>
    <s v="H "/>
    <x v="1"/>
    <x v="16"/>
    <s v="PSES High Prog01Duty42 S275"/>
    <x v="0"/>
    <s v="42"/>
    <n v="42"/>
    <m/>
    <s v="   "/>
    <n v="1.5"/>
    <n v="0.1764"/>
    <n v="0"/>
    <s v="High Counselor"/>
  </r>
  <r>
    <x v="225"/>
    <s v="Personnel"/>
    <s v="M "/>
    <x v="2"/>
    <x v="17"/>
    <s v="PSES Mid Prog01Duty42 S275"/>
    <x v="0"/>
    <s v="42"/>
    <n v="42"/>
    <m/>
    <s v="   "/>
    <n v="1.5"/>
    <n v="0.1764"/>
    <n v="0"/>
    <s v="Middle Counselor"/>
  </r>
  <r>
    <x v="225"/>
    <s v="Personnel"/>
    <s v="E "/>
    <x v="0"/>
    <x v="18"/>
    <s v="PSES Elem Prog21Duty43 S275"/>
    <x v="1"/>
    <s v="43"/>
    <n v="43"/>
    <m/>
    <s v="   "/>
    <n v="0.92"/>
    <n v="0.1764"/>
    <n v="0.16200000000000001"/>
    <s v="Elementary Occupational Therapist"/>
  </r>
  <r>
    <x v="225"/>
    <s v="Personnel"/>
    <s v="E "/>
    <x v="0"/>
    <x v="20"/>
    <s v="PSES Elem Prog21Duty45 S275"/>
    <x v="1"/>
    <s v="45"/>
    <n v="45"/>
    <m/>
    <s v="   "/>
    <n v="2.6859999999999999"/>
    <n v="0.1764"/>
    <n v="0.47399999999999998"/>
    <s v="Elementary Speech, Language Pathway/_x000a_Audio"/>
  </r>
  <r>
    <x v="225"/>
    <s v="Personnel"/>
    <s v="H "/>
    <x v="1"/>
    <x v="23"/>
    <s v="PSES High Prog21Duty46 S275"/>
    <x v="1"/>
    <s v="46"/>
    <n v="46"/>
    <m/>
    <s v="   "/>
    <n v="0.92"/>
    <n v="0.1764"/>
    <n v="0.16200000000000001"/>
    <s v="High Psychologist"/>
  </r>
  <r>
    <x v="225"/>
    <s v="Personnel"/>
    <s v="M "/>
    <x v="2"/>
    <x v="24"/>
    <s v="PSES Mid Prog21Duty46 S275"/>
    <x v="1"/>
    <s v="46"/>
    <n v="46"/>
    <m/>
    <s v="   "/>
    <n v="1"/>
    <n v="0.1764"/>
    <n v="0.17599999999999999"/>
    <s v="Middle Psychologist"/>
  </r>
  <r>
    <x v="225"/>
    <s v="Personnel"/>
    <s v="E "/>
    <x v="0"/>
    <x v="27"/>
    <s v="PSES Elem Prog01Duty47 S275"/>
    <x v="0"/>
    <s v="47"/>
    <n v="47"/>
    <m/>
    <s v="   "/>
    <n v="1"/>
    <n v="0.1764"/>
    <n v="0"/>
    <s v="Elementary Nurse"/>
  </r>
  <r>
    <x v="226"/>
    <s v="Personnel"/>
    <s v="H "/>
    <x v="1"/>
    <x v="5"/>
    <s v="PSES High Prog01Act25 S275"/>
    <x v="0"/>
    <s v="25"/>
    <m/>
    <n v="25"/>
    <s v="   "/>
    <n v="0.123"/>
    <n v="0.2863"/>
    <n v="0"/>
    <s v="High Pupil Management"/>
  </r>
  <r>
    <x v="226"/>
    <s v="Personnel"/>
    <s v="H "/>
    <x v="1"/>
    <x v="29"/>
    <s v="PSES High Prog21Act26 S275"/>
    <x v="1"/>
    <s v="26"/>
    <m/>
    <n v="26"/>
    <s v="   "/>
    <n v="4.085"/>
    <n v="0.2863"/>
    <n v="1.17"/>
    <s v="High Health/_x000a_Related Services"/>
  </r>
  <r>
    <x v="226"/>
    <s v="Personnel"/>
    <s v="H "/>
    <x v="1"/>
    <x v="9"/>
    <s v="PSES High Prog01Act26 S275"/>
    <x v="0"/>
    <s v="26"/>
    <m/>
    <n v="26"/>
    <s v="   "/>
    <n v="8.9"/>
    <n v="0.2863"/>
    <n v="0"/>
    <s v="High Health/_x000a_Related Services"/>
  </r>
  <r>
    <x v="226"/>
    <s v="Personnel"/>
    <s v="E "/>
    <x v="0"/>
    <x v="76"/>
    <s v="PSES Elem Prog21Duty42 S275"/>
    <x v="1"/>
    <s v="42"/>
    <n v="42"/>
    <m/>
    <s v="   "/>
    <n v="0.53800000000000003"/>
    <n v="0.2863"/>
    <n v="0.154"/>
    <s v="Elementary Counselor"/>
  </r>
  <r>
    <x v="226"/>
    <s v="Personnel"/>
    <s v="E "/>
    <x v="0"/>
    <x v="15"/>
    <s v="PSES Elem Prog01Duty42 S275"/>
    <x v="0"/>
    <s v="42"/>
    <n v="42"/>
    <m/>
    <s v="   "/>
    <n v="3"/>
    <n v="0.2863"/>
    <n v="0"/>
    <s v="Elementary Counselor"/>
  </r>
  <r>
    <x v="226"/>
    <s v="Personnel"/>
    <s v="H "/>
    <x v="1"/>
    <x v="16"/>
    <s v="PSES High Prog01Duty42 S275"/>
    <x v="0"/>
    <s v="42"/>
    <n v="42"/>
    <m/>
    <s v="   "/>
    <n v="8"/>
    <n v="0.2863"/>
    <n v="0"/>
    <s v="High Counselor"/>
  </r>
  <r>
    <x v="226"/>
    <s v="Personnel"/>
    <s v="M "/>
    <x v="2"/>
    <x v="17"/>
    <s v="PSES Mid Prog01Duty42 S275"/>
    <x v="0"/>
    <s v="42"/>
    <n v="42"/>
    <m/>
    <s v="   "/>
    <n v="2"/>
    <n v="0.2863"/>
    <n v="0"/>
    <s v="Middle Counselor"/>
  </r>
  <r>
    <x v="226"/>
    <s v="Personnel"/>
    <s v="E "/>
    <x v="0"/>
    <x v="18"/>
    <s v="PSES Elem Prog21Duty43 S275"/>
    <x v="1"/>
    <s v="43"/>
    <n v="43"/>
    <m/>
    <s v="   "/>
    <n v="7.7779999999999996"/>
    <n v="0.2863"/>
    <n v="2.2269999999999999"/>
    <s v="Elementary Occupational Therapist"/>
  </r>
  <r>
    <x v="226"/>
    <s v="Personnel"/>
    <s v="H "/>
    <x v="1"/>
    <x v="19"/>
    <s v="PSES High Prog21Duty43 S275"/>
    <x v="1"/>
    <s v="43"/>
    <n v="43"/>
    <m/>
    <s v="   "/>
    <n v="0.91100000000000003"/>
    <n v="0.2863"/>
    <n v="0.26100000000000001"/>
    <s v="High Occupational Therapist"/>
  </r>
  <r>
    <x v="226"/>
    <s v="Personnel"/>
    <s v="M "/>
    <x v="2"/>
    <x v="31"/>
    <s v="PSES Mid Prog21Duty43 S275"/>
    <x v="1"/>
    <s v="43"/>
    <n v="43"/>
    <m/>
    <s v="   "/>
    <n v="1.111"/>
    <n v="0.2863"/>
    <n v="0.318"/>
    <s v="Middle Occupational Therapist"/>
  </r>
  <r>
    <x v="226"/>
    <s v="Personnel"/>
    <s v="E "/>
    <x v="0"/>
    <x v="42"/>
    <s v="PSES Elem Prog01Duty44 S275"/>
    <x v="0"/>
    <s v="44"/>
    <n v="44"/>
    <m/>
    <s v="   "/>
    <n v="8"/>
    <n v="0.2863"/>
    <n v="0"/>
    <s v="Elementary Social Worker"/>
  </r>
  <r>
    <x v="226"/>
    <s v="Personnel"/>
    <s v="E "/>
    <x v="0"/>
    <x v="20"/>
    <s v="PSES Elem Prog21Duty45 S275"/>
    <x v="1"/>
    <s v="45"/>
    <n v="45"/>
    <m/>
    <s v="   "/>
    <n v="15.456"/>
    <n v="0.2863"/>
    <n v="4.4249999999999998"/>
    <s v="Elementary Speech, Language Pathway/_x000a_Audio"/>
  </r>
  <r>
    <x v="226"/>
    <s v="Personnel"/>
    <s v="H "/>
    <x v="1"/>
    <x v="21"/>
    <s v="PSES High Prog21Duty45 S275"/>
    <x v="1"/>
    <s v="45"/>
    <n v="45"/>
    <m/>
    <s v="   "/>
    <n v="2.2000000000000002"/>
    <n v="0.2863"/>
    <n v="0.63"/>
    <s v="High Speech, Language Pathway/_x000a_Audio"/>
  </r>
  <r>
    <x v="226"/>
    <s v="Personnel"/>
    <s v="M "/>
    <x v="2"/>
    <x v="28"/>
    <s v="PSES Mid Prog21Duty45 S275"/>
    <x v="1"/>
    <s v="45"/>
    <n v="45"/>
    <m/>
    <s v="   "/>
    <n v="1.8340000000000001"/>
    <n v="0.2863"/>
    <n v="0.52500000000000002"/>
    <s v="Middle Speech, Language Pathway/_x000a_Audio"/>
  </r>
  <r>
    <x v="226"/>
    <s v="Personnel"/>
    <s v="E "/>
    <x v="0"/>
    <x v="22"/>
    <s v="PSES Elem Prog21Duty46 S275"/>
    <x v="1"/>
    <s v="46"/>
    <n v="46"/>
    <m/>
    <s v="   "/>
    <n v="6.7549999999999999"/>
    <n v="0.2863"/>
    <n v="1.9339999999999999"/>
    <s v="Elementary Psychologist"/>
  </r>
  <r>
    <x v="226"/>
    <s v="Personnel"/>
    <s v="H "/>
    <x v="1"/>
    <x v="23"/>
    <s v="PSES High Prog21Duty46 S275"/>
    <x v="1"/>
    <s v="46"/>
    <n v="46"/>
    <m/>
    <s v="   "/>
    <n v="3.8849999999999998"/>
    <n v="0.2863"/>
    <n v="1.1120000000000001"/>
    <s v="High Psychologist"/>
  </r>
  <r>
    <x v="226"/>
    <s v="Personnel"/>
    <s v="M "/>
    <x v="2"/>
    <x v="24"/>
    <s v="PSES Mid Prog21Duty46 S275"/>
    <x v="1"/>
    <s v="46"/>
    <n v="46"/>
    <m/>
    <s v="   "/>
    <n v="1.6"/>
    <n v="0.2863"/>
    <n v="0.45800000000000002"/>
    <s v="Middle Psychologist"/>
  </r>
  <r>
    <x v="226"/>
    <s v="Personnel"/>
    <s v="E "/>
    <x v="0"/>
    <x v="27"/>
    <s v="PSES Elem Prog01Duty47 S275"/>
    <x v="0"/>
    <s v="47"/>
    <n v="47"/>
    <m/>
    <s v="   "/>
    <n v="4.1970000000000001"/>
    <n v="0.2863"/>
    <n v="0"/>
    <s v="Elementary Nurse"/>
  </r>
  <r>
    <x v="226"/>
    <s v="Personnel"/>
    <s v="H "/>
    <x v="1"/>
    <x v="25"/>
    <s v="PSES High Prog01Duty47 S275"/>
    <x v="0"/>
    <s v="47"/>
    <n v="47"/>
    <m/>
    <s v="   "/>
    <n v="1.595"/>
    <n v="0.2863"/>
    <n v="0"/>
    <s v="High Nurse"/>
  </r>
  <r>
    <x v="226"/>
    <s v="Personnel"/>
    <s v="M "/>
    <x v="2"/>
    <x v="34"/>
    <s v="PSES Mid Prog01Duty47 S275"/>
    <x v="0"/>
    <s v="47"/>
    <n v="47"/>
    <m/>
    <s v="   "/>
    <n v="0.5"/>
    <n v="0.2863"/>
    <n v="0"/>
    <s v="Middle Nurse"/>
  </r>
  <r>
    <x v="226"/>
    <s v="Personnel"/>
    <s v="E "/>
    <x v="0"/>
    <x v="35"/>
    <s v="PSES Elem Prog21Duty48 S275"/>
    <x v="1"/>
    <s v="48"/>
    <n v="48"/>
    <m/>
    <s v="   "/>
    <n v="4.7809999999999997"/>
    <n v="0.2863"/>
    <n v="1.369"/>
    <s v="Elementary Physical Therapist"/>
  </r>
  <r>
    <x v="226"/>
    <s v="Personnel"/>
    <s v="E "/>
    <x v="0"/>
    <x v="90"/>
    <s v="PSES Elem Prog01Duty48 S275"/>
    <x v="0"/>
    <s v="48"/>
    <n v="48"/>
    <m/>
    <s v="   "/>
    <n v="0.45600000000000002"/>
    <n v="0.2863"/>
    <n v="0"/>
    <s v="Elementary Physical Therapist"/>
  </r>
  <r>
    <x v="226"/>
    <s v="Personnel"/>
    <s v="H "/>
    <x v="1"/>
    <x v="36"/>
    <s v="PSES High Prog21Duty48 S275"/>
    <x v="1"/>
    <s v="48"/>
    <n v="48"/>
    <m/>
    <s v="   "/>
    <n v="0.41599999999999998"/>
    <n v="0.2863"/>
    <n v="0.11899999999999999"/>
    <s v="High Physical Therapist"/>
  </r>
  <r>
    <x v="226"/>
    <s v="Personnel"/>
    <s v="H "/>
    <x v="1"/>
    <x v="91"/>
    <s v="PSES High Prog01Duty48 S275"/>
    <x v="0"/>
    <s v="48"/>
    <n v="48"/>
    <m/>
    <s v="   "/>
    <n v="3.5999999999999997E-2"/>
    <n v="0.2863"/>
    <n v="0"/>
    <s v="High Physical Therapist"/>
  </r>
  <r>
    <x v="226"/>
    <s v="Personnel"/>
    <s v="M "/>
    <x v="2"/>
    <x v="37"/>
    <s v="PSES Mid Prog21Duty48 S275"/>
    <x v="1"/>
    <s v="48"/>
    <n v="48"/>
    <m/>
    <s v="   "/>
    <n v="0.81699999999999995"/>
    <n v="0.2863"/>
    <n v="0.23400000000000001"/>
    <s v="Middle Physical Therapist"/>
  </r>
  <r>
    <x v="226"/>
    <s v="Personnel"/>
    <s v="M "/>
    <x v="2"/>
    <x v="92"/>
    <s v="PSES Mid Prog01Duty48 S275"/>
    <x v="0"/>
    <s v="48"/>
    <n v="48"/>
    <m/>
    <s v="   "/>
    <n v="3.5999999999999997E-2"/>
    <n v="0.2863"/>
    <n v="0"/>
    <s v="Middle Physical Therapist"/>
  </r>
  <r>
    <x v="227"/>
    <s v="Personnel"/>
    <s v="H "/>
    <x v="1"/>
    <x v="5"/>
    <s v="PSES High Prog01Act25 S275"/>
    <x v="0"/>
    <s v="25"/>
    <m/>
    <n v="25"/>
    <s v="   "/>
    <n v="35.451000000000001"/>
    <n v="0.34910000000000002"/>
    <n v="0"/>
    <s v="High Pupil Management"/>
  </r>
  <r>
    <x v="227"/>
    <s v="Personnel"/>
    <s v="H "/>
    <x v="1"/>
    <x v="29"/>
    <s v="PSES High Prog21Act26 S275"/>
    <x v="1"/>
    <s v="26"/>
    <m/>
    <n v="26"/>
    <s v="   "/>
    <n v="1.304"/>
    <n v="0.34910000000000002"/>
    <n v="0.45500000000000002"/>
    <s v="High Health/_x000a_Related Services"/>
  </r>
  <r>
    <x v="227"/>
    <s v="Personnel"/>
    <s v="H "/>
    <x v="1"/>
    <x v="9"/>
    <s v="PSES High Prog01Act26 S275"/>
    <x v="0"/>
    <s v="26"/>
    <m/>
    <n v="26"/>
    <s v="   "/>
    <n v="5.8220000000000001"/>
    <n v="0.34910000000000002"/>
    <n v="0"/>
    <s v="High Health/_x000a_Related Services"/>
  </r>
  <r>
    <x v="227"/>
    <s v="Personnel"/>
    <s v="H "/>
    <x v="1"/>
    <x v="54"/>
    <s v="PSES High Prog01Act35 S275"/>
    <x v="0"/>
    <s v="35"/>
    <m/>
    <n v="35"/>
    <s v="   "/>
    <n v="2.9239999999999999"/>
    <n v="0.34910000000000002"/>
    <n v="0"/>
    <s v="High Pupil Safety"/>
  </r>
  <r>
    <x v="227"/>
    <s v="Personnel"/>
    <s v="E "/>
    <x v="0"/>
    <x v="14"/>
    <s v="PSES Elem Prog21Duty39 S275"/>
    <x v="1"/>
    <s v="39"/>
    <n v="39"/>
    <m/>
    <s v="   "/>
    <n v="1.03"/>
    <n v="0.34910000000000002"/>
    <n v="0.36"/>
    <s v="Elementary Orientation &amp; Mobility Specialist"/>
  </r>
  <r>
    <x v="227"/>
    <s v="Personnel"/>
    <s v="H "/>
    <x v="1"/>
    <x v="83"/>
    <s v="PSES High Prog21Duty39 S275"/>
    <x v="1"/>
    <s v="39"/>
    <n v="39"/>
    <m/>
    <s v="   "/>
    <n v="0.5"/>
    <n v="0.34910000000000002"/>
    <n v="0.17499999999999999"/>
    <s v="High Orientation &amp; Mobility Specialist"/>
  </r>
  <r>
    <x v="227"/>
    <s v="Personnel"/>
    <s v="M "/>
    <x v="2"/>
    <x v="88"/>
    <s v="PSES Mid Prog21Duty39 S275"/>
    <x v="1"/>
    <s v="39"/>
    <n v="39"/>
    <m/>
    <s v="   "/>
    <n v="0.47"/>
    <n v="0.34910000000000002"/>
    <n v="0.16400000000000001"/>
    <s v="Middle Orientation &amp; Mobility Specialist"/>
  </r>
  <r>
    <x v="227"/>
    <s v="Personnel"/>
    <s v="E "/>
    <x v="0"/>
    <x v="76"/>
    <s v="PSES Elem Prog21Duty42 S275"/>
    <x v="1"/>
    <s v="42"/>
    <n v="42"/>
    <m/>
    <s v="   "/>
    <n v="0.5"/>
    <n v="0.34910000000000002"/>
    <n v="0.17499999999999999"/>
    <s v="Elementary Counselor"/>
  </r>
  <r>
    <x v="227"/>
    <s v="Personnel"/>
    <s v="E "/>
    <x v="0"/>
    <x v="15"/>
    <s v="PSES Elem Prog01Duty42 S275"/>
    <x v="0"/>
    <s v="42"/>
    <n v="42"/>
    <m/>
    <s v="   "/>
    <n v="16.899999999999999"/>
    <n v="0.34910000000000002"/>
    <n v="0"/>
    <s v="Elementary Counselor"/>
  </r>
  <r>
    <x v="227"/>
    <s v="Personnel"/>
    <s v="H "/>
    <x v="1"/>
    <x v="16"/>
    <s v="PSES High Prog01Duty42 S275"/>
    <x v="0"/>
    <s v="42"/>
    <n v="42"/>
    <m/>
    <s v="   "/>
    <n v="13.334"/>
    <n v="0.34910000000000002"/>
    <n v="0"/>
    <s v="High Counselor"/>
  </r>
  <r>
    <x v="227"/>
    <s v="Personnel"/>
    <s v="M "/>
    <x v="2"/>
    <x v="75"/>
    <s v="PSES Mid Prog21Duty42 S275"/>
    <x v="1"/>
    <s v="42"/>
    <n v="42"/>
    <m/>
    <s v="   "/>
    <n v="0.5"/>
    <n v="0.34910000000000002"/>
    <n v="0.17499999999999999"/>
    <s v="Middle Counselor"/>
  </r>
  <r>
    <x v="227"/>
    <s v="Personnel"/>
    <s v="M "/>
    <x v="2"/>
    <x v="17"/>
    <s v="PSES Mid Prog01Duty42 S275"/>
    <x v="0"/>
    <s v="42"/>
    <n v="42"/>
    <m/>
    <s v="   "/>
    <n v="5.2439999999999998"/>
    <n v="0.34910000000000002"/>
    <n v="0"/>
    <s v="Middle Counselor"/>
  </r>
  <r>
    <x v="227"/>
    <s v="Personnel"/>
    <s v="E "/>
    <x v="0"/>
    <x v="18"/>
    <s v="PSES Elem Prog21Duty43 S275"/>
    <x v="1"/>
    <s v="43"/>
    <n v="43"/>
    <m/>
    <s v="   "/>
    <n v="6.3"/>
    <n v="0.34910000000000002"/>
    <n v="2.1989999999999998"/>
    <s v="Elementary Occupational Therapist"/>
  </r>
  <r>
    <x v="227"/>
    <s v="Personnel"/>
    <s v="H "/>
    <x v="1"/>
    <x v="19"/>
    <s v="PSES High Prog21Duty43 S275"/>
    <x v="1"/>
    <s v="43"/>
    <n v="43"/>
    <m/>
    <s v="   "/>
    <n v="3.15"/>
    <n v="0.34910000000000002"/>
    <n v="1.1000000000000001"/>
    <s v="High Occupational Therapist"/>
  </r>
  <r>
    <x v="227"/>
    <s v="Personnel"/>
    <s v="M "/>
    <x v="2"/>
    <x v="31"/>
    <s v="PSES Mid Prog21Duty43 S275"/>
    <x v="1"/>
    <s v="43"/>
    <n v="43"/>
    <m/>
    <s v="   "/>
    <n v="3.15"/>
    <n v="0.34910000000000002"/>
    <n v="1.1000000000000001"/>
    <s v="Middle Occupational Therapist"/>
  </r>
  <r>
    <x v="227"/>
    <s v="Personnel"/>
    <s v="E "/>
    <x v="0"/>
    <x v="20"/>
    <s v="PSES Elem Prog21Duty45 S275"/>
    <x v="1"/>
    <s v="45"/>
    <n v="45"/>
    <m/>
    <s v="   "/>
    <n v="18.5"/>
    <n v="0.34910000000000002"/>
    <n v="6.4580000000000002"/>
    <s v="Elementary Speech, Language Pathway/_x000a_Audio"/>
  </r>
  <r>
    <x v="227"/>
    <s v="Personnel"/>
    <s v="H "/>
    <x v="1"/>
    <x v="21"/>
    <s v="PSES High Prog21Duty45 S275"/>
    <x v="1"/>
    <s v="45"/>
    <n v="45"/>
    <m/>
    <s v="   "/>
    <n v="1.5"/>
    <n v="0.34910000000000002"/>
    <n v="0.52400000000000002"/>
    <s v="High Speech, Language Pathway/_x000a_Audio"/>
  </r>
  <r>
    <x v="227"/>
    <s v="Personnel"/>
    <s v="M "/>
    <x v="2"/>
    <x v="28"/>
    <s v="PSES Mid Prog21Duty45 S275"/>
    <x v="1"/>
    <s v="45"/>
    <n v="45"/>
    <m/>
    <s v="   "/>
    <n v="3.2"/>
    <n v="0.34910000000000002"/>
    <n v="1.117"/>
    <s v="Middle Speech, Language Pathway/_x000a_Audio"/>
  </r>
  <r>
    <x v="227"/>
    <s v="Personnel"/>
    <s v="E "/>
    <x v="0"/>
    <x v="22"/>
    <s v="PSES Elem Prog21Duty46 S275"/>
    <x v="1"/>
    <s v="46"/>
    <n v="46"/>
    <m/>
    <s v="   "/>
    <n v="7"/>
    <n v="0.34910000000000002"/>
    <n v="2.444"/>
    <s v="Elementary Psychologist"/>
  </r>
  <r>
    <x v="227"/>
    <s v="Personnel"/>
    <s v="H "/>
    <x v="1"/>
    <x v="23"/>
    <s v="PSES High Prog21Duty46 S275"/>
    <x v="1"/>
    <s v="46"/>
    <n v="46"/>
    <m/>
    <s v="   "/>
    <n v="3.33"/>
    <n v="0.34910000000000002"/>
    <n v="1.163"/>
    <s v="High Psychologist"/>
  </r>
  <r>
    <x v="227"/>
    <s v="Personnel"/>
    <s v="M "/>
    <x v="2"/>
    <x v="24"/>
    <s v="PSES Mid Prog21Duty46 S275"/>
    <x v="1"/>
    <s v="46"/>
    <n v="46"/>
    <m/>
    <s v="   "/>
    <n v="3.67"/>
    <n v="0.34910000000000002"/>
    <n v="1.2809999999999999"/>
    <s v="Middle Psychologist"/>
  </r>
  <r>
    <x v="227"/>
    <s v="Personnel"/>
    <s v="E "/>
    <x v="0"/>
    <x v="27"/>
    <s v="PSES Elem Prog01Duty47 S275"/>
    <x v="0"/>
    <s v="47"/>
    <n v="47"/>
    <m/>
    <s v="   "/>
    <n v="5.3440000000000003"/>
    <n v="0.34910000000000002"/>
    <n v="0"/>
    <s v="Elementary Nurse"/>
  </r>
  <r>
    <x v="227"/>
    <s v="Personnel"/>
    <s v="H "/>
    <x v="1"/>
    <x v="25"/>
    <s v="PSES High Prog01Duty47 S275"/>
    <x v="0"/>
    <s v="47"/>
    <n v="47"/>
    <m/>
    <s v="   "/>
    <n v="5.484"/>
    <n v="0.34910000000000002"/>
    <n v="0"/>
    <s v="High Nurse"/>
  </r>
  <r>
    <x v="227"/>
    <s v="Personnel"/>
    <s v="M "/>
    <x v="2"/>
    <x v="34"/>
    <s v="PSES Mid Prog01Duty47 S275"/>
    <x v="0"/>
    <s v="47"/>
    <n v="47"/>
    <m/>
    <s v="   "/>
    <n v="6.6619999999999999"/>
    <n v="0.34910000000000002"/>
    <n v="0"/>
    <s v="Middle Nurse"/>
  </r>
  <r>
    <x v="227"/>
    <s v="Personnel"/>
    <s v="E "/>
    <x v="0"/>
    <x v="35"/>
    <s v="PSES Elem Prog21Duty48 S275"/>
    <x v="1"/>
    <s v="48"/>
    <n v="48"/>
    <m/>
    <s v="   "/>
    <n v="2.6"/>
    <n v="0.34910000000000002"/>
    <n v="0.90800000000000003"/>
    <s v="Elementary Physical Therapist"/>
  </r>
  <r>
    <x v="227"/>
    <s v="Personnel"/>
    <s v="H "/>
    <x v="1"/>
    <x v="36"/>
    <s v="PSES High Prog21Duty48 S275"/>
    <x v="1"/>
    <s v="48"/>
    <n v="48"/>
    <m/>
    <s v="   "/>
    <n v="1.3"/>
    <n v="0.34910000000000002"/>
    <n v="0.45400000000000001"/>
    <s v="High Physical Therapist"/>
  </r>
  <r>
    <x v="227"/>
    <s v="Personnel"/>
    <s v="M "/>
    <x v="2"/>
    <x v="37"/>
    <s v="PSES Mid Prog21Duty48 S275"/>
    <x v="1"/>
    <s v="48"/>
    <n v="48"/>
    <m/>
    <s v="   "/>
    <n v="1.3"/>
    <n v="0.34910000000000002"/>
    <n v="0.45400000000000001"/>
    <s v="Middle Physical Therapist"/>
  </r>
  <r>
    <x v="228"/>
    <s v="Personnel"/>
    <s v="E "/>
    <x v="0"/>
    <x v="15"/>
    <s v="PSES Elem Prog01Duty42 S275"/>
    <x v="0"/>
    <s v="42"/>
    <n v="42"/>
    <m/>
    <s v="   "/>
    <n v="0.7"/>
    <n v="0.20019999999999999"/>
    <n v="0"/>
    <s v="Elementary Counselor"/>
  </r>
  <r>
    <x v="228"/>
    <s v="Personnel"/>
    <s v="H "/>
    <x v="1"/>
    <x v="16"/>
    <s v="PSES High Prog01Duty42 S275"/>
    <x v="0"/>
    <s v="42"/>
    <n v="42"/>
    <m/>
    <s v="   "/>
    <n v="1"/>
    <n v="0.20019999999999999"/>
    <n v="0"/>
    <s v="High Counselor"/>
  </r>
  <r>
    <x v="228"/>
    <s v="Personnel"/>
    <s v="M "/>
    <x v="2"/>
    <x v="17"/>
    <s v="PSES Mid Prog01Duty42 S275"/>
    <x v="0"/>
    <s v="42"/>
    <n v="42"/>
    <m/>
    <s v="   "/>
    <n v="0.24"/>
    <n v="0.20019999999999999"/>
    <n v="0"/>
    <s v="Middle Counselor"/>
  </r>
  <r>
    <x v="228"/>
    <s v="Personnel"/>
    <s v="E "/>
    <x v="0"/>
    <x v="20"/>
    <s v="PSES Elem Prog21Duty45 S275"/>
    <x v="1"/>
    <s v="45"/>
    <n v="45"/>
    <m/>
    <s v="   "/>
    <n v="1"/>
    <n v="0.20019999999999999"/>
    <n v="0.2"/>
    <s v="Elementary Speech, Language Pathway/_x000a_Audio"/>
  </r>
  <r>
    <x v="228"/>
    <s v="Personnel"/>
    <s v="E "/>
    <x v="0"/>
    <x v="22"/>
    <s v="PSES Elem Prog21Duty46 S275"/>
    <x v="1"/>
    <s v="46"/>
    <n v="46"/>
    <m/>
    <s v="   "/>
    <n v="0.5"/>
    <n v="0.20019999999999999"/>
    <n v="0.1"/>
    <s v="Elementary Psychologist"/>
  </r>
  <r>
    <x v="228"/>
    <s v="Personnel"/>
    <s v="H "/>
    <x v="1"/>
    <x v="23"/>
    <s v="PSES High Prog21Duty46 S275"/>
    <x v="1"/>
    <s v="46"/>
    <n v="46"/>
    <m/>
    <s v="   "/>
    <n v="0.70599999999999996"/>
    <n v="0.20019999999999999"/>
    <n v="0.14099999999999999"/>
    <s v="High Psychologist"/>
  </r>
  <r>
    <x v="228"/>
    <s v="Personnel"/>
    <s v="E "/>
    <x v="0"/>
    <x v="27"/>
    <s v="PSES Elem Prog01Duty47 S275"/>
    <x v="0"/>
    <s v="47"/>
    <n v="47"/>
    <m/>
    <s v="   "/>
    <n v="0.39900000000000002"/>
    <n v="0.20019999999999999"/>
    <n v="0"/>
    <s v="Elementary Nurse"/>
  </r>
  <r>
    <x v="228"/>
    <s v="Personnel"/>
    <s v="H "/>
    <x v="1"/>
    <x v="25"/>
    <s v="PSES High Prog01Duty47 S275"/>
    <x v="0"/>
    <s v="47"/>
    <n v="47"/>
    <m/>
    <s v="   "/>
    <n v="0.39900000000000002"/>
    <n v="0.20019999999999999"/>
    <n v="0"/>
    <s v="High Nurse"/>
  </r>
  <r>
    <x v="228"/>
    <s v="Personnel"/>
    <s v="E "/>
    <x v="0"/>
    <x v="38"/>
    <s v="PSES Elem Prog21Duty64 S275"/>
    <x v="1"/>
    <s v="64"/>
    <n v="64"/>
    <m/>
    <s v="   "/>
    <n v="1.1439999999999999"/>
    <n v="0.20019999999999999"/>
    <n v="0.22900000000000001"/>
    <s v="Elementary Contractor ESA"/>
  </r>
  <r>
    <x v="228"/>
    <s v="Personnel"/>
    <s v="H "/>
    <x v="1"/>
    <x v="59"/>
    <s v="PSES High Prog21Duty64 S275"/>
    <x v="1"/>
    <s v="64"/>
    <n v="64"/>
    <m/>
    <s v="   "/>
    <n v="0.14299999999999999"/>
    <n v="0.20019999999999999"/>
    <n v="2.9000000000000001E-2"/>
    <s v="High Contractor ESA"/>
  </r>
  <r>
    <x v="228"/>
    <s v="Personnel"/>
    <s v="M "/>
    <x v="2"/>
    <x v="60"/>
    <s v="PSES Mid Prog21Duty64 S275"/>
    <x v="1"/>
    <s v="64"/>
    <n v="64"/>
    <m/>
    <s v="   "/>
    <n v="0.14299999999999999"/>
    <n v="0.20019999999999999"/>
    <n v="2.9000000000000001E-2"/>
    <s v="Middle Contractor ESA"/>
  </r>
  <r>
    <x v="229"/>
    <s v="Personnel"/>
    <s v="H "/>
    <x v="1"/>
    <x v="4"/>
    <s v="PSES High Prog21Act25 S275"/>
    <x v="1"/>
    <s v="25"/>
    <m/>
    <n v="25"/>
    <s v="   "/>
    <n v="2.42"/>
    <n v="0.20580000000000001"/>
    <n v="0.498"/>
    <s v="High Pupil Management"/>
  </r>
  <r>
    <x v="229"/>
    <s v="Personnel"/>
    <s v="H "/>
    <x v="1"/>
    <x v="5"/>
    <s v="PSES High Prog01Act25 S275"/>
    <x v="0"/>
    <s v="25"/>
    <m/>
    <n v="25"/>
    <s v="   "/>
    <n v="6.9169999999999998"/>
    <n v="0.20580000000000001"/>
    <n v="0"/>
    <s v="High Pupil Management"/>
  </r>
  <r>
    <x v="229"/>
    <s v="Personnel"/>
    <s v="H "/>
    <x v="1"/>
    <x v="9"/>
    <s v="PSES High Prog01Act26 S275"/>
    <x v="0"/>
    <s v="26"/>
    <m/>
    <n v="26"/>
    <s v="   "/>
    <n v="5.9690000000000003"/>
    <n v="0.20580000000000001"/>
    <n v="0"/>
    <s v="High Health/_x000a_Related Services"/>
  </r>
  <r>
    <x v="229"/>
    <s v="Personnel"/>
    <s v="E "/>
    <x v="0"/>
    <x v="76"/>
    <s v="PSES Elem Prog21Duty42 S275"/>
    <x v="1"/>
    <s v="42"/>
    <n v="42"/>
    <m/>
    <s v="   "/>
    <n v="1"/>
    <n v="0.20580000000000001"/>
    <n v="0.20599999999999999"/>
    <s v="Elementary Counselor"/>
  </r>
  <r>
    <x v="229"/>
    <s v="Personnel"/>
    <s v="E "/>
    <x v="0"/>
    <x v="15"/>
    <s v="PSES Elem Prog01Duty42 S275"/>
    <x v="0"/>
    <s v="42"/>
    <n v="42"/>
    <m/>
    <s v="   "/>
    <n v="5"/>
    <n v="0.20580000000000001"/>
    <n v="0"/>
    <s v="Elementary Counselor"/>
  </r>
  <r>
    <x v="229"/>
    <s v="Personnel"/>
    <s v="H "/>
    <x v="1"/>
    <x v="16"/>
    <s v="PSES High Prog01Duty42 S275"/>
    <x v="0"/>
    <s v="42"/>
    <n v="42"/>
    <m/>
    <s v="   "/>
    <n v="3.391"/>
    <n v="0.20580000000000001"/>
    <n v="0"/>
    <s v="High Counselor"/>
  </r>
  <r>
    <x v="229"/>
    <s v="Personnel"/>
    <s v="M "/>
    <x v="2"/>
    <x v="75"/>
    <s v="PSES Mid Prog21Duty42 S275"/>
    <x v="1"/>
    <s v="42"/>
    <n v="42"/>
    <m/>
    <s v="   "/>
    <n v="1"/>
    <n v="0.20580000000000001"/>
    <n v="0.20599999999999999"/>
    <s v="Middle Counselor"/>
  </r>
  <r>
    <x v="229"/>
    <s v="Personnel"/>
    <s v="M "/>
    <x v="2"/>
    <x v="17"/>
    <s v="PSES Mid Prog01Duty42 S275"/>
    <x v="0"/>
    <s v="42"/>
    <n v="42"/>
    <m/>
    <s v="   "/>
    <n v="4"/>
    <n v="0.20580000000000001"/>
    <n v="0"/>
    <s v="Middle Counselor"/>
  </r>
  <r>
    <x v="229"/>
    <s v="Personnel"/>
    <s v="E "/>
    <x v="0"/>
    <x v="18"/>
    <s v="PSES Elem Prog21Duty43 S275"/>
    <x v="1"/>
    <s v="43"/>
    <n v="43"/>
    <m/>
    <s v="   "/>
    <n v="4.83"/>
    <n v="0.20580000000000001"/>
    <n v="0.99399999999999999"/>
    <s v="Elementary Occupational Therapist"/>
  </r>
  <r>
    <x v="229"/>
    <s v="Personnel"/>
    <s v="E "/>
    <x v="0"/>
    <x v="20"/>
    <s v="PSES Elem Prog21Duty45 S275"/>
    <x v="1"/>
    <s v="45"/>
    <n v="45"/>
    <m/>
    <s v="   "/>
    <n v="10.5"/>
    <n v="0.20580000000000001"/>
    <n v="2.161"/>
    <s v="Elementary Speech, Language Pathway/_x000a_Audio"/>
  </r>
  <r>
    <x v="229"/>
    <s v="Personnel"/>
    <s v="H "/>
    <x v="1"/>
    <x v="21"/>
    <s v="PSES High Prog21Duty45 S275"/>
    <x v="1"/>
    <s v="45"/>
    <n v="45"/>
    <m/>
    <s v="   "/>
    <n v="0.7"/>
    <n v="0.20580000000000001"/>
    <n v="0.14399999999999999"/>
    <s v="High Speech, Language Pathway/_x000a_Audio"/>
  </r>
  <r>
    <x v="229"/>
    <s v="Personnel"/>
    <s v="M "/>
    <x v="2"/>
    <x v="28"/>
    <s v="PSES Mid Prog21Duty45 S275"/>
    <x v="1"/>
    <s v="45"/>
    <n v="45"/>
    <m/>
    <s v="   "/>
    <n v="1.8"/>
    <n v="0.20580000000000001"/>
    <n v="0.37"/>
    <s v="Middle Speech, Language Pathway/_x000a_Audio"/>
  </r>
  <r>
    <x v="229"/>
    <s v="Personnel"/>
    <s v="E "/>
    <x v="0"/>
    <x v="22"/>
    <s v="PSES Elem Prog21Duty46 S275"/>
    <x v="1"/>
    <s v="46"/>
    <n v="46"/>
    <m/>
    <s v="   "/>
    <n v="3.8"/>
    <n v="0.20580000000000001"/>
    <n v="0.78200000000000003"/>
    <s v="Elementary Psychologist"/>
  </r>
  <r>
    <x v="229"/>
    <s v="Personnel"/>
    <s v="H "/>
    <x v="1"/>
    <x v="23"/>
    <s v="PSES High Prog21Duty46 S275"/>
    <x v="1"/>
    <s v="46"/>
    <n v="46"/>
    <m/>
    <s v="   "/>
    <n v="0.4"/>
    <n v="0.20580000000000001"/>
    <n v="8.2000000000000003E-2"/>
    <s v="High Psychologist"/>
  </r>
  <r>
    <x v="229"/>
    <s v="Personnel"/>
    <s v="M "/>
    <x v="2"/>
    <x v="24"/>
    <s v="PSES Mid Prog21Duty46 S275"/>
    <x v="1"/>
    <s v="46"/>
    <n v="46"/>
    <m/>
    <s v="   "/>
    <n v="1.8"/>
    <n v="0.20580000000000001"/>
    <n v="0.37"/>
    <s v="Middle Psychologist"/>
  </r>
  <r>
    <x v="229"/>
    <s v="Personnel"/>
    <s v="E "/>
    <x v="0"/>
    <x v="27"/>
    <s v="PSES Elem Prog01Duty47 S275"/>
    <x v="0"/>
    <s v="47"/>
    <n v="47"/>
    <m/>
    <s v="   "/>
    <n v="3.3"/>
    <n v="0.20580000000000001"/>
    <n v="0"/>
    <s v="Elementary Nurse"/>
  </r>
  <r>
    <x v="229"/>
    <s v="Personnel"/>
    <s v="H "/>
    <x v="1"/>
    <x v="25"/>
    <s v="PSES High Prog01Duty47 S275"/>
    <x v="0"/>
    <s v="47"/>
    <n v="47"/>
    <m/>
    <s v="   "/>
    <n v="2.2000000000000002"/>
    <n v="0.20580000000000001"/>
    <n v="0"/>
    <s v="High Nurse"/>
  </r>
  <r>
    <x v="229"/>
    <s v="Personnel"/>
    <s v="M "/>
    <x v="2"/>
    <x v="34"/>
    <s v="PSES Mid Prog01Duty47 S275"/>
    <x v="0"/>
    <s v="47"/>
    <n v="47"/>
    <m/>
    <s v="   "/>
    <n v="1.5"/>
    <n v="0.20580000000000001"/>
    <n v="0"/>
    <s v="Middle Nurse"/>
  </r>
  <r>
    <x v="229"/>
    <s v="Personnel"/>
    <s v="E "/>
    <x v="0"/>
    <x v="35"/>
    <s v="PSES Elem Prog21Duty48 S275"/>
    <x v="1"/>
    <s v="48"/>
    <n v="48"/>
    <m/>
    <s v="   "/>
    <n v="2"/>
    <n v="0.20580000000000001"/>
    <n v="0.41199999999999998"/>
    <s v="Elementary Physical Therapist"/>
  </r>
  <r>
    <x v="229"/>
    <s v="Personnel"/>
    <s v="M "/>
    <x v="2"/>
    <x v="37"/>
    <s v="PSES Mid Prog21Duty48 S275"/>
    <x v="1"/>
    <s v="48"/>
    <n v="48"/>
    <m/>
    <s v="   "/>
    <n v="1"/>
    <n v="0.20580000000000001"/>
    <n v="0.20599999999999999"/>
    <s v="Middle Physical Therapist"/>
  </r>
  <r>
    <x v="230"/>
    <s v="Personnel"/>
    <s v="E "/>
    <x v="0"/>
    <x v="3"/>
    <s v="PSES Elem Prog01Act25 S275"/>
    <x v="0"/>
    <s v="25"/>
    <m/>
    <n v="25"/>
    <s v="   "/>
    <n v="5.7089999999999996"/>
    <n v="0.31380000000000002"/>
    <n v="0"/>
    <s v="Elementary Pupil Management"/>
  </r>
  <r>
    <x v="230"/>
    <s v="Personnel"/>
    <s v="H "/>
    <x v="1"/>
    <x v="4"/>
    <s v="PSES High Prog21Act25 S275"/>
    <x v="1"/>
    <s v="25"/>
    <m/>
    <n v="25"/>
    <s v="   "/>
    <n v="3.45"/>
    <n v="0.31380000000000002"/>
    <n v="1.083"/>
    <s v="High Pupil Management"/>
  </r>
  <r>
    <x v="230"/>
    <s v="Personnel"/>
    <s v="H "/>
    <x v="1"/>
    <x v="5"/>
    <s v="PSES High Prog01Act25 S275"/>
    <x v="0"/>
    <s v="25"/>
    <m/>
    <n v="25"/>
    <s v="   "/>
    <n v="0.50900000000000001"/>
    <n v="0.31380000000000002"/>
    <n v="0"/>
    <s v="High Pupil Management"/>
  </r>
  <r>
    <x v="230"/>
    <s v="Personnel"/>
    <s v="M "/>
    <x v="2"/>
    <x v="6"/>
    <s v="PSES Mid Prog01Act25 S275"/>
    <x v="0"/>
    <s v="25"/>
    <m/>
    <n v="25"/>
    <s v="   "/>
    <n v="0.70499999999999996"/>
    <n v="0.31380000000000002"/>
    <n v="0"/>
    <s v="Middle Pupil Management"/>
  </r>
  <r>
    <x v="230"/>
    <s v="Personnel"/>
    <s v="E "/>
    <x v="0"/>
    <x v="7"/>
    <s v="PSES Elem Prog21Act26 S275"/>
    <x v="1"/>
    <s v="26"/>
    <m/>
    <n v="26"/>
    <s v="   "/>
    <n v="1.236"/>
    <n v="0.31380000000000002"/>
    <n v="0.38800000000000001"/>
    <s v="Elementary Health/_x000a_Related Services"/>
  </r>
  <r>
    <x v="230"/>
    <s v="Personnel"/>
    <s v="E "/>
    <x v="0"/>
    <x v="8"/>
    <s v="PSES Elem Prog01Act26 S275"/>
    <x v="0"/>
    <s v="26"/>
    <m/>
    <n v="26"/>
    <s v="   "/>
    <n v="3.512"/>
    <n v="0.31380000000000002"/>
    <n v="0"/>
    <s v="Elementary Health/_x000a_Related Services"/>
  </r>
  <r>
    <x v="230"/>
    <s v="Personnel"/>
    <s v="H "/>
    <x v="1"/>
    <x v="29"/>
    <s v="PSES High Prog21Act26 S275"/>
    <x v="1"/>
    <s v="26"/>
    <m/>
    <n v="26"/>
    <s v="   "/>
    <n v="0.64300000000000002"/>
    <n v="0.31380000000000002"/>
    <n v="0.20200000000000001"/>
    <s v="High Health/_x000a_Related Services"/>
  </r>
  <r>
    <x v="230"/>
    <s v="Personnel"/>
    <s v="H "/>
    <x v="1"/>
    <x v="9"/>
    <s v="PSES High Prog01Act26 S275"/>
    <x v="0"/>
    <s v="26"/>
    <m/>
    <n v="26"/>
    <s v="   "/>
    <n v="1.4339999999999999"/>
    <n v="0.31380000000000002"/>
    <n v="0"/>
    <s v="High Health/_x000a_Related Services"/>
  </r>
  <r>
    <x v="230"/>
    <s v="Personnel"/>
    <s v="M "/>
    <x v="2"/>
    <x v="11"/>
    <s v="PSES Mid Prog01Act26 S275"/>
    <x v="0"/>
    <s v="26"/>
    <m/>
    <n v="26"/>
    <s v="   "/>
    <n v="0.66500000000000004"/>
    <n v="0.31380000000000002"/>
    <n v="0"/>
    <s v="Middle Health/_x000a_Related Services"/>
  </r>
  <r>
    <x v="230"/>
    <s v="Personnel"/>
    <s v="H "/>
    <x v="1"/>
    <x v="54"/>
    <s v="PSES High Prog01Act35 S275"/>
    <x v="0"/>
    <s v="35"/>
    <m/>
    <n v="35"/>
    <s v="   "/>
    <n v="0.73499999999999999"/>
    <n v="0.31380000000000002"/>
    <n v="0"/>
    <s v="High Pupil Safety"/>
  </r>
  <r>
    <x v="230"/>
    <s v="Personnel"/>
    <s v="M "/>
    <x v="2"/>
    <x v="63"/>
    <s v="PSES Mid Prog01Act35 S275"/>
    <x v="0"/>
    <s v="35"/>
    <m/>
    <n v="35"/>
    <s v="   "/>
    <n v="0.73499999999999999"/>
    <n v="0.31380000000000002"/>
    <n v="0"/>
    <s v="Middle Pupil Safety"/>
  </r>
  <r>
    <x v="230"/>
    <s v="Personnel"/>
    <s v="E "/>
    <x v="0"/>
    <x v="15"/>
    <s v="PSES Elem Prog01Duty42 S275"/>
    <x v="0"/>
    <s v="42"/>
    <n v="42"/>
    <m/>
    <s v="   "/>
    <n v="4.5"/>
    <n v="0.31380000000000002"/>
    <n v="0"/>
    <s v="Elementary Counselor"/>
  </r>
  <r>
    <x v="230"/>
    <s v="Personnel"/>
    <s v="H "/>
    <x v="1"/>
    <x v="16"/>
    <s v="PSES High Prog01Duty42 S275"/>
    <x v="0"/>
    <s v="42"/>
    <n v="42"/>
    <m/>
    <s v="   "/>
    <n v="2"/>
    <n v="0.31380000000000002"/>
    <n v="0"/>
    <s v="High Counselor"/>
  </r>
  <r>
    <x v="230"/>
    <s v="Personnel"/>
    <s v="M "/>
    <x v="2"/>
    <x v="17"/>
    <s v="PSES Mid Prog01Duty42 S275"/>
    <x v="0"/>
    <s v="42"/>
    <n v="42"/>
    <m/>
    <s v="   "/>
    <n v="1"/>
    <n v="0.31380000000000002"/>
    <n v="0"/>
    <s v="Middle Counselor"/>
  </r>
  <r>
    <x v="230"/>
    <s v="Personnel"/>
    <s v="E "/>
    <x v="0"/>
    <x v="18"/>
    <s v="PSES Elem Prog21Duty43 S275"/>
    <x v="1"/>
    <s v="43"/>
    <n v="43"/>
    <m/>
    <s v="   "/>
    <n v="4"/>
    <n v="0.31380000000000002"/>
    <n v="1.2549999999999999"/>
    <s v="Elementary Occupational Therapist"/>
  </r>
  <r>
    <x v="230"/>
    <s v="Personnel"/>
    <s v="E "/>
    <x v="0"/>
    <x v="20"/>
    <s v="PSES Elem Prog21Duty45 S275"/>
    <x v="1"/>
    <s v="45"/>
    <n v="45"/>
    <m/>
    <s v="   "/>
    <n v="7"/>
    <n v="0.31380000000000002"/>
    <n v="2.1970000000000001"/>
    <s v="Elementary Speech, Language Pathway/_x000a_Audio"/>
  </r>
  <r>
    <x v="230"/>
    <s v="Personnel"/>
    <s v="H "/>
    <x v="1"/>
    <x v="21"/>
    <s v="PSES High Prog21Duty45 S275"/>
    <x v="1"/>
    <s v="45"/>
    <n v="45"/>
    <m/>
    <s v="   "/>
    <n v="0.499"/>
    <n v="0.31380000000000002"/>
    <n v="0.157"/>
    <s v="High Speech, Language Pathway/_x000a_Audio"/>
  </r>
  <r>
    <x v="230"/>
    <s v="Personnel"/>
    <s v="M "/>
    <x v="2"/>
    <x v="28"/>
    <s v="PSES Mid Prog21Duty45 S275"/>
    <x v="1"/>
    <s v="45"/>
    <n v="45"/>
    <m/>
    <s v="   "/>
    <n v="1.5009999999999999"/>
    <n v="0.31380000000000002"/>
    <n v="0.47099999999999997"/>
    <s v="Middle Speech, Language Pathway/_x000a_Audio"/>
  </r>
  <r>
    <x v="230"/>
    <s v="Personnel"/>
    <s v="E "/>
    <x v="0"/>
    <x v="22"/>
    <s v="PSES Elem Prog21Duty46 S275"/>
    <x v="1"/>
    <s v="46"/>
    <n v="46"/>
    <m/>
    <s v="   "/>
    <n v="5"/>
    <n v="0.31380000000000002"/>
    <n v="1.569"/>
    <s v="Elementary Psychologist"/>
  </r>
  <r>
    <x v="230"/>
    <s v="Personnel"/>
    <s v="H "/>
    <x v="1"/>
    <x v="23"/>
    <s v="PSES High Prog21Duty46 S275"/>
    <x v="1"/>
    <s v="46"/>
    <n v="46"/>
    <m/>
    <s v="   "/>
    <n v="1"/>
    <n v="0.31380000000000002"/>
    <n v="0.314"/>
    <s v="High Psychologist"/>
  </r>
  <r>
    <x v="230"/>
    <s v="Personnel"/>
    <s v="H "/>
    <x v="1"/>
    <x v="25"/>
    <s v="PSES High Prog01Duty47 S275"/>
    <x v="0"/>
    <s v="47"/>
    <n v="47"/>
    <m/>
    <s v="   "/>
    <n v="1"/>
    <n v="0.31380000000000002"/>
    <n v="0"/>
    <s v="High Nurse"/>
  </r>
  <r>
    <x v="230"/>
    <s v="Personnel"/>
    <s v="M "/>
    <x v="2"/>
    <x v="34"/>
    <s v="PSES Mid Prog01Duty47 S275"/>
    <x v="0"/>
    <s v="47"/>
    <n v="47"/>
    <m/>
    <s v="   "/>
    <n v="1.7"/>
    <n v="0.31380000000000002"/>
    <n v="0"/>
    <s v="Middle Nurse"/>
  </r>
  <r>
    <x v="230"/>
    <s v="Personnel"/>
    <s v="E "/>
    <x v="0"/>
    <x v="35"/>
    <s v="PSES Elem Prog21Duty48 S275"/>
    <x v="1"/>
    <s v="48"/>
    <n v="48"/>
    <m/>
    <s v="   "/>
    <n v="1"/>
    <n v="0.31380000000000002"/>
    <n v="0.314"/>
    <s v="Elementary Physical Therapist"/>
  </r>
  <r>
    <x v="231"/>
    <s v="Personnel"/>
    <s v="E "/>
    <x v="0"/>
    <x v="3"/>
    <s v="PSES Elem Prog01Act25 S275"/>
    <x v="0"/>
    <s v="25"/>
    <m/>
    <n v="25"/>
    <s v="   "/>
    <n v="0.65600000000000003"/>
    <n v="0.27629999999999999"/>
    <n v="0"/>
    <s v="Elementary Pupil Management"/>
  </r>
  <r>
    <x v="231"/>
    <s v="Personnel"/>
    <s v="H "/>
    <x v="1"/>
    <x v="5"/>
    <s v="PSES High Prog01Act25 S275"/>
    <x v="0"/>
    <s v="25"/>
    <m/>
    <n v="25"/>
    <s v="   "/>
    <n v="0.19900000000000001"/>
    <n v="0.27629999999999999"/>
    <n v="0"/>
    <s v="High Pupil Management"/>
  </r>
  <r>
    <x v="231"/>
    <s v="Personnel"/>
    <s v="M "/>
    <x v="2"/>
    <x v="6"/>
    <s v="PSES Mid Prog01Act25 S275"/>
    <x v="0"/>
    <s v="25"/>
    <m/>
    <n v="25"/>
    <s v="   "/>
    <n v="0.311"/>
    <n v="0.27629999999999999"/>
    <n v="0"/>
    <s v="Middle Pupil Management"/>
  </r>
  <r>
    <x v="231"/>
    <s v="Personnel"/>
    <s v="E "/>
    <x v="0"/>
    <x v="15"/>
    <s v="PSES Elem Prog01Duty42 S275"/>
    <x v="0"/>
    <s v="42"/>
    <n v="42"/>
    <m/>
    <s v="   "/>
    <n v="0.9"/>
    <n v="0.27629999999999999"/>
    <n v="0"/>
    <s v="Elementary Counselor"/>
  </r>
  <r>
    <x v="231"/>
    <s v="Personnel"/>
    <s v="H "/>
    <x v="1"/>
    <x v="16"/>
    <s v="PSES High Prog01Duty42 S275"/>
    <x v="0"/>
    <s v="42"/>
    <n v="42"/>
    <m/>
    <s v="   "/>
    <n v="1.167"/>
    <n v="0.27629999999999999"/>
    <n v="0"/>
    <s v="High Counselor"/>
  </r>
  <r>
    <x v="231"/>
    <s v="Personnel"/>
    <s v="M "/>
    <x v="2"/>
    <x v="17"/>
    <s v="PSES Mid Prog01Duty42 S275"/>
    <x v="0"/>
    <s v="42"/>
    <n v="42"/>
    <m/>
    <s v="   "/>
    <n v="0.1"/>
    <n v="0.27629999999999999"/>
    <n v="0"/>
    <s v="Middle Counselor"/>
  </r>
  <r>
    <x v="231"/>
    <s v="Personnel"/>
    <s v="H "/>
    <x v="1"/>
    <x v="23"/>
    <s v="PSES High Prog21Duty46 S275"/>
    <x v="1"/>
    <s v="46"/>
    <n v="46"/>
    <m/>
    <s v="   "/>
    <n v="0.6"/>
    <n v="0.27629999999999999"/>
    <n v="0.16600000000000001"/>
    <s v="High Psychologist"/>
  </r>
  <r>
    <x v="231"/>
    <s v="Personnel"/>
    <s v="M "/>
    <x v="2"/>
    <x v="24"/>
    <s v="PSES Mid Prog21Duty46 S275"/>
    <x v="1"/>
    <s v="46"/>
    <n v="46"/>
    <m/>
    <s v="   "/>
    <n v="0.42499999999999999"/>
    <n v="0.27629999999999999"/>
    <n v="0.11700000000000001"/>
    <s v="Middle Psychologist"/>
  </r>
  <r>
    <x v="231"/>
    <s v="Personnel"/>
    <s v="E "/>
    <x v="0"/>
    <x v="27"/>
    <s v="PSES Elem Prog01Duty47 S275"/>
    <x v="0"/>
    <s v="47"/>
    <n v="47"/>
    <m/>
    <s v="   "/>
    <n v="0.48099999999999998"/>
    <n v="0.27629999999999999"/>
    <n v="0"/>
    <s v="Elementary Nurse"/>
  </r>
  <r>
    <x v="231"/>
    <s v="Personnel"/>
    <s v="H "/>
    <x v="1"/>
    <x v="25"/>
    <s v="PSES High Prog01Duty47 S275"/>
    <x v="0"/>
    <s v="47"/>
    <n v="47"/>
    <m/>
    <s v="   "/>
    <n v="0.31"/>
    <n v="0.27629999999999999"/>
    <n v="0"/>
    <s v="High Nurse"/>
  </r>
  <r>
    <x v="231"/>
    <s v="Personnel"/>
    <s v="M "/>
    <x v="2"/>
    <x v="34"/>
    <s v="PSES Mid Prog01Duty47 S275"/>
    <x v="0"/>
    <s v="47"/>
    <n v="47"/>
    <m/>
    <s v="   "/>
    <n v="0.13700000000000001"/>
    <n v="0.27629999999999999"/>
    <n v="0"/>
    <s v="Middle Nurse"/>
  </r>
  <r>
    <x v="231"/>
    <s v="Personnel"/>
    <s v="T"/>
    <x v="0"/>
    <x v="85"/>
    <s v="PSES Elem Prog09Duty47 S275"/>
    <x v="3"/>
    <s v="47"/>
    <n v="47"/>
    <n v="26"/>
    <m/>
    <n v="7.1999999999999995E-2"/>
    <n v="0.27629999999999999"/>
    <n v="0"/>
    <s v="TK Nurse"/>
  </r>
  <r>
    <x v="232"/>
    <s v="Personnel"/>
    <s v="H "/>
    <x v="1"/>
    <x v="5"/>
    <s v="PSES High Prog01Act25 S275"/>
    <x v="0"/>
    <s v="25"/>
    <m/>
    <n v="25"/>
    <s v="   "/>
    <n v="9.4E-2"/>
    <n v="0.2019"/>
    <n v="0"/>
    <s v="High Pupil Management"/>
  </r>
  <r>
    <x v="232"/>
    <s v="Personnel"/>
    <s v="H "/>
    <x v="1"/>
    <x v="29"/>
    <s v="PSES High Prog21Act26 S275"/>
    <x v="1"/>
    <s v="26"/>
    <m/>
    <n v="26"/>
    <s v="   "/>
    <n v="0.78900000000000003"/>
    <n v="0.2019"/>
    <n v="0.159"/>
    <s v="High Health/_x000a_Related Services"/>
  </r>
  <r>
    <x v="232"/>
    <s v="Personnel"/>
    <s v="H "/>
    <x v="1"/>
    <x v="9"/>
    <s v="PSES High Prog01Act26 S275"/>
    <x v="0"/>
    <s v="26"/>
    <m/>
    <n v="26"/>
    <s v="   "/>
    <n v="1.6319999999999999"/>
    <n v="0.2019"/>
    <n v="0"/>
    <s v="High Health/_x000a_Related Services"/>
  </r>
  <r>
    <x v="232"/>
    <s v="Personnel"/>
    <s v="H "/>
    <x v="1"/>
    <x v="54"/>
    <s v="PSES High Prog01Act35 S275"/>
    <x v="0"/>
    <s v="35"/>
    <m/>
    <n v="35"/>
    <s v="   "/>
    <n v="1.538"/>
    <n v="0.2019"/>
    <n v="0"/>
    <s v="High Pupil Safety"/>
  </r>
  <r>
    <x v="232"/>
    <s v="Personnel"/>
    <s v="E "/>
    <x v="0"/>
    <x v="15"/>
    <s v="PSES Elem Prog01Duty42 S275"/>
    <x v="0"/>
    <s v="42"/>
    <n v="42"/>
    <m/>
    <s v="   "/>
    <n v="2.68"/>
    <n v="0.2019"/>
    <n v="0"/>
    <s v="Elementary Counselor"/>
  </r>
  <r>
    <x v="232"/>
    <s v="Personnel"/>
    <s v="H "/>
    <x v="1"/>
    <x v="16"/>
    <s v="PSES High Prog01Duty42 S275"/>
    <x v="0"/>
    <s v="42"/>
    <n v="42"/>
    <m/>
    <s v="   "/>
    <n v="3.1"/>
    <n v="0.2019"/>
    <n v="0"/>
    <s v="High Counselor"/>
  </r>
  <r>
    <x v="232"/>
    <s v="Personnel"/>
    <s v="M "/>
    <x v="2"/>
    <x v="17"/>
    <s v="PSES Mid Prog01Duty42 S275"/>
    <x v="0"/>
    <s v="42"/>
    <n v="42"/>
    <m/>
    <s v="   "/>
    <n v="1.32"/>
    <n v="0.2019"/>
    <n v="0"/>
    <s v="Middle Counselor"/>
  </r>
  <r>
    <x v="232"/>
    <s v="Personnel"/>
    <s v="E "/>
    <x v="0"/>
    <x v="18"/>
    <s v="PSES Elem Prog21Duty43 S275"/>
    <x v="1"/>
    <s v="43"/>
    <n v="43"/>
    <m/>
    <s v="   "/>
    <n v="1.2210000000000001"/>
    <n v="0.2019"/>
    <n v="0.247"/>
    <s v="Elementary Occupational Therapist"/>
  </r>
  <r>
    <x v="232"/>
    <s v="Personnel"/>
    <s v="H "/>
    <x v="1"/>
    <x v="19"/>
    <s v="PSES High Prog21Duty43 S275"/>
    <x v="1"/>
    <s v="43"/>
    <n v="43"/>
    <m/>
    <s v="   "/>
    <n v="0.1"/>
    <n v="0.2019"/>
    <n v="0.02"/>
    <s v="High Occupational Therapist"/>
  </r>
  <r>
    <x v="232"/>
    <s v="Personnel"/>
    <s v="M "/>
    <x v="2"/>
    <x v="31"/>
    <s v="PSES Mid Prog21Duty43 S275"/>
    <x v="1"/>
    <s v="43"/>
    <n v="43"/>
    <m/>
    <s v="   "/>
    <n v="0.14000000000000001"/>
    <n v="0.2019"/>
    <n v="2.8000000000000001E-2"/>
    <s v="Middle Occupational Therapist"/>
  </r>
  <r>
    <x v="232"/>
    <s v="Personnel"/>
    <s v="H "/>
    <x v="1"/>
    <x v="44"/>
    <s v="PSES High Prog01Duty44 S275"/>
    <x v="0"/>
    <s v="44"/>
    <n v="44"/>
    <m/>
    <s v="   "/>
    <n v="0.5"/>
    <n v="0.2019"/>
    <n v="0"/>
    <s v="High Social Worker"/>
  </r>
  <r>
    <x v="232"/>
    <s v="Personnel"/>
    <s v="E "/>
    <x v="0"/>
    <x v="20"/>
    <s v="PSES Elem Prog21Duty45 S275"/>
    <x v="1"/>
    <s v="45"/>
    <n v="45"/>
    <m/>
    <s v="   "/>
    <n v="2.5"/>
    <n v="0.2019"/>
    <n v="0.505"/>
    <s v="Elementary Speech, Language Pathway/_x000a_Audio"/>
  </r>
  <r>
    <x v="232"/>
    <s v="Personnel"/>
    <s v="H "/>
    <x v="1"/>
    <x v="21"/>
    <s v="PSES High Prog21Duty45 S275"/>
    <x v="1"/>
    <s v="45"/>
    <n v="45"/>
    <m/>
    <s v="   "/>
    <n v="0.1"/>
    <n v="0.2019"/>
    <n v="0.02"/>
    <s v="High Speech, Language Pathway/_x000a_Audio"/>
  </r>
  <r>
    <x v="232"/>
    <s v="Personnel"/>
    <s v="E "/>
    <x v="0"/>
    <x v="22"/>
    <s v="PSES Elem Prog21Duty46 S275"/>
    <x v="1"/>
    <s v="46"/>
    <n v="46"/>
    <m/>
    <s v="   "/>
    <n v="1.48"/>
    <n v="0.2019"/>
    <n v="0.29899999999999999"/>
    <s v="Elementary Psychologist"/>
  </r>
  <r>
    <x v="232"/>
    <s v="Personnel"/>
    <s v="H "/>
    <x v="1"/>
    <x v="23"/>
    <s v="PSES High Prog21Duty46 S275"/>
    <x v="1"/>
    <s v="46"/>
    <n v="46"/>
    <m/>
    <s v="   "/>
    <n v="1.8"/>
    <n v="0.2019"/>
    <n v="0.36299999999999999"/>
    <s v="High Psychologist"/>
  </r>
  <r>
    <x v="232"/>
    <s v="Personnel"/>
    <s v="M "/>
    <x v="2"/>
    <x v="24"/>
    <s v="PSES Mid Prog21Duty46 S275"/>
    <x v="1"/>
    <s v="46"/>
    <n v="46"/>
    <m/>
    <s v="   "/>
    <n v="1"/>
    <n v="0.2019"/>
    <n v="0.20200000000000001"/>
    <s v="Middle Psychologist"/>
  </r>
  <r>
    <x v="232"/>
    <s v="Personnel"/>
    <s v="E "/>
    <x v="0"/>
    <x v="32"/>
    <s v="PSES Elem Prog21Duty47 S275"/>
    <x v="1"/>
    <s v="47"/>
    <n v="47"/>
    <m/>
    <s v="   "/>
    <n v="0.23499999999999999"/>
    <n v="0.2019"/>
    <n v="4.7E-2"/>
    <s v="Elementary Nurse"/>
  </r>
  <r>
    <x v="232"/>
    <s v="Personnel"/>
    <s v="E "/>
    <x v="0"/>
    <x v="27"/>
    <s v="PSES Elem Prog01Duty47 S275"/>
    <x v="0"/>
    <s v="47"/>
    <n v="47"/>
    <m/>
    <s v="   "/>
    <n v="1.33"/>
    <n v="0.2019"/>
    <n v="0"/>
    <s v="Elementary Nurse"/>
  </r>
  <r>
    <x v="232"/>
    <s v="Personnel"/>
    <s v="H "/>
    <x v="1"/>
    <x v="61"/>
    <s v="PSES High Prog21Duty47 S275"/>
    <x v="1"/>
    <s v="47"/>
    <n v="47"/>
    <m/>
    <s v="   "/>
    <n v="0.3"/>
    <n v="0.2019"/>
    <n v="6.0999999999999999E-2"/>
    <s v="High Nurse"/>
  </r>
  <r>
    <x v="232"/>
    <s v="Personnel"/>
    <s v="H "/>
    <x v="1"/>
    <x v="25"/>
    <s v="PSES High Prog01Duty47 S275"/>
    <x v="0"/>
    <s v="47"/>
    <n v="47"/>
    <m/>
    <s v="   "/>
    <n v="1.7"/>
    <n v="0.2019"/>
    <n v="0"/>
    <s v="High Nurse"/>
  </r>
  <r>
    <x v="232"/>
    <s v="Personnel"/>
    <s v="E "/>
    <x v="0"/>
    <x v="35"/>
    <s v="PSES Elem Prog21Duty48 S275"/>
    <x v="1"/>
    <s v="48"/>
    <n v="48"/>
    <m/>
    <s v="   "/>
    <n v="0.39"/>
    <n v="0.2019"/>
    <n v="7.9000000000000001E-2"/>
    <s v="Elementary Physical Therapist"/>
  </r>
  <r>
    <x v="232"/>
    <s v="Personnel"/>
    <s v="H "/>
    <x v="1"/>
    <x v="36"/>
    <s v="PSES High Prog21Duty48 S275"/>
    <x v="1"/>
    <s v="48"/>
    <n v="48"/>
    <m/>
    <s v="   "/>
    <n v="0.01"/>
    <n v="0.2019"/>
    <n v="2E-3"/>
    <s v="High Physical Therapist"/>
  </r>
  <r>
    <x v="232"/>
    <s v="Personnel"/>
    <s v="M "/>
    <x v="2"/>
    <x v="37"/>
    <s v="PSES Mid Prog21Duty48 S275"/>
    <x v="1"/>
    <s v="48"/>
    <n v="48"/>
    <m/>
    <s v="   "/>
    <n v="0.15"/>
    <n v="0.2019"/>
    <n v="0.03"/>
    <s v="Middle Physical Therapist"/>
  </r>
  <r>
    <x v="232"/>
    <s v="Personnel"/>
    <s v="E "/>
    <x v="0"/>
    <x v="26"/>
    <s v="PSES Elem Prog21Duty49 S275"/>
    <x v="1"/>
    <s v="49"/>
    <n v="49"/>
    <m/>
    <s v="   "/>
    <n v="5.3999999999999999E-2"/>
    <n v="0.2019"/>
    <n v="1.0999999999999999E-2"/>
    <s v="Elementary Behavior Analyst"/>
  </r>
  <r>
    <x v="232"/>
    <s v="Personnel"/>
    <s v="E "/>
    <x v="0"/>
    <x v="79"/>
    <s v="PSES Elem Prog01Duty49 S275"/>
    <x v="0"/>
    <s v="49"/>
    <n v="49"/>
    <m/>
    <s v="   "/>
    <n v="0.47599999999999998"/>
    <n v="0.2019"/>
    <n v="0"/>
    <s v="Elementary Behavior Analyst"/>
  </r>
  <r>
    <x v="232"/>
    <s v="Personnel"/>
    <s v="H "/>
    <x v="1"/>
    <x v="55"/>
    <s v="PSES High Prog21Duty49 S275"/>
    <x v="1"/>
    <s v="49"/>
    <n v="49"/>
    <m/>
    <s v="   "/>
    <n v="1.4999999999999999E-2"/>
    <n v="0.2019"/>
    <n v="3.0000000000000001E-3"/>
    <s v="High Behavior Analyst"/>
  </r>
  <r>
    <x v="232"/>
    <s v="Personnel"/>
    <s v="H "/>
    <x v="1"/>
    <x v="68"/>
    <s v="PSES High Prog01Duty49 S275"/>
    <x v="0"/>
    <s v="49"/>
    <n v="49"/>
    <m/>
    <s v="   "/>
    <n v="0.17"/>
    <n v="0.2019"/>
    <n v="0"/>
    <s v="High Behavior Analyst"/>
  </r>
  <r>
    <x v="232"/>
    <s v="Personnel"/>
    <s v="M "/>
    <x v="2"/>
    <x v="50"/>
    <s v="PSES Mid Prog21Duty49 S275"/>
    <x v="1"/>
    <s v="49"/>
    <n v="49"/>
    <m/>
    <s v="   "/>
    <n v="2.1000000000000001E-2"/>
    <n v="0.2019"/>
    <n v="4.0000000000000001E-3"/>
    <s v="Middle Behavior Analyst"/>
  </r>
  <r>
    <x v="232"/>
    <s v="Personnel"/>
    <s v="M "/>
    <x v="2"/>
    <x v="89"/>
    <s v="PSES Mid Prog01Duty49 S275"/>
    <x v="0"/>
    <s v="49"/>
    <n v="49"/>
    <m/>
    <s v="   "/>
    <n v="0.20399999999999999"/>
    <n v="0.2019"/>
    <n v="0"/>
    <s v="Middle Behavior Analyst"/>
  </r>
  <r>
    <x v="233"/>
    <s v="Personnel"/>
    <s v="H "/>
    <x v="1"/>
    <x v="4"/>
    <s v="PSES High Prog21Act25 S275"/>
    <x v="1"/>
    <s v="25"/>
    <m/>
    <n v="25"/>
    <s v="   "/>
    <n v="1.1240000000000001"/>
    <n v="0.23830000000000001"/>
    <n v="0.26800000000000002"/>
    <s v="High Pupil Management"/>
  </r>
  <r>
    <x v="233"/>
    <s v="Personnel"/>
    <s v="H "/>
    <x v="1"/>
    <x v="5"/>
    <s v="PSES High Prog01Act25 S275"/>
    <x v="0"/>
    <s v="25"/>
    <m/>
    <n v="25"/>
    <s v="   "/>
    <n v="0.68100000000000005"/>
    <n v="0.23830000000000001"/>
    <n v="0"/>
    <s v="High Pupil Management"/>
  </r>
  <r>
    <x v="233"/>
    <s v="Personnel"/>
    <s v="H "/>
    <x v="1"/>
    <x v="9"/>
    <s v="PSES High Prog01Act26 S275"/>
    <x v="0"/>
    <s v="26"/>
    <m/>
    <n v="26"/>
    <s v="   "/>
    <n v="1.782"/>
    <n v="0.23830000000000001"/>
    <n v="0"/>
    <s v="High Health/_x000a_Related Services"/>
  </r>
  <r>
    <x v="233"/>
    <s v="Personnel"/>
    <s v="E "/>
    <x v="0"/>
    <x v="15"/>
    <s v="PSES Elem Prog01Duty42 S275"/>
    <x v="0"/>
    <s v="42"/>
    <n v="42"/>
    <m/>
    <s v="   "/>
    <n v="2"/>
    <n v="0.23830000000000001"/>
    <n v="0"/>
    <s v="Elementary Counselor"/>
  </r>
  <r>
    <x v="233"/>
    <s v="Personnel"/>
    <s v="H "/>
    <x v="1"/>
    <x v="16"/>
    <s v="PSES High Prog01Duty42 S275"/>
    <x v="0"/>
    <s v="42"/>
    <n v="42"/>
    <m/>
    <s v="   "/>
    <n v="2"/>
    <n v="0.23830000000000001"/>
    <n v="0"/>
    <s v="High Counselor"/>
  </r>
  <r>
    <x v="233"/>
    <s v="Personnel"/>
    <s v="M "/>
    <x v="2"/>
    <x v="17"/>
    <s v="PSES Mid Prog01Duty42 S275"/>
    <x v="0"/>
    <s v="42"/>
    <n v="42"/>
    <m/>
    <s v="   "/>
    <n v="1"/>
    <n v="0.23830000000000001"/>
    <n v="0"/>
    <s v="Middle Counselor"/>
  </r>
  <r>
    <x v="233"/>
    <s v="Personnel"/>
    <s v="E "/>
    <x v="0"/>
    <x v="18"/>
    <s v="PSES Elem Prog21Duty43 S275"/>
    <x v="1"/>
    <s v="43"/>
    <n v="43"/>
    <m/>
    <s v="   "/>
    <n v="0.8"/>
    <n v="0.23830000000000001"/>
    <n v="0.191"/>
    <s v="Elementary Occupational Therapist"/>
  </r>
  <r>
    <x v="233"/>
    <s v="Personnel"/>
    <s v="M "/>
    <x v="2"/>
    <x v="31"/>
    <s v="PSES Mid Prog21Duty43 S275"/>
    <x v="1"/>
    <s v="43"/>
    <n v="43"/>
    <m/>
    <s v="   "/>
    <n v="0.05"/>
    <n v="0.23830000000000001"/>
    <n v="1.2E-2"/>
    <s v="Middle Occupational Therapist"/>
  </r>
  <r>
    <x v="233"/>
    <s v="Personnel"/>
    <s v="E "/>
    <x v="0"/>
    <x v="20"/>
    <s v="PSES Elem Prog21Duty45 S275"/>
    <x v="1"/>
    <s v="45"/>
    <n v="45"/>
    <m/>
    <s v="   "/>
    <n v="2"/>
    <n v="0.23830000000000001"/>
    <n v="0.47699999999999998"/>
    <s v="Elementary Speech, Language Pathway/_x000a_Audio"/>
  </r>
  <r>
    <x v="233"/>
    <s v="Personnel"/>
    <s v="H "/>
    <x v="1"/>
    <x v="21"/>
    <s v="PSES High Prog21Duty45 S275"/>
    <x v="1"/>
    <s v="45"/>
    <n v="45"/>
    <m/>
    <s v="   "/>
    <n v="0.08"/>
    <n v="0.23830000000000001"/>
    <n v="1.9E-2"/>
    <s v="High Speech, Language Pathway/_x000a_Audio"/>
  </r>
  <r>
    <x v="233"/>
    <s v="Personnel"/>
    <s v="M "/>
    <x v="2"/>
    <x v="28"/>
    <s v="PSES Mid Prog21Duty45 S275"/>
    <x v="1"/>
    <s v="45"/>
    <n v="45"/>
    <m/>
    <s v="   "/>
    <n v="0.16"/>
    <n v="0.23830000000000001"/>
    <n v="3.7999999999999999E-2"/>
    <s v="Middle Speech, Language Pathway/_x000a_Audio"/>
  </r>
  <r>
    <x v="233"/>
    <s v="Personnel"/>
    <s v="E "/>
    <x v="0"/>
    <x v="22"/>
    <s v="PSES Elem Prog21Duty46 S275"/>
    <x v="1"/>
    <s v="46"/>
    <n v="46"/>
    <m/>
    <s v="   "/>
    <n v="1.8"/>
    <n v="0.23830000000000001"/>
    <n v="0.42899999999999999"/>
    <s v="Elementary Psychologist"/>
  </r>
  <r>
    <x v="233"/>
    <s v="Personnel"/>
    <s v="E "/>
    <x v="0"/>
    <x v="48"/>
    <s v="PSES Elem Prog01Duty46 S275"/>
    <x v="0"/>
    <s v="46"/>
    <n v="46"/>
    <m/>
    <s v="   "/>
    <n v="0.2"/>
    <n v="0.23830000000000001"/>
    <n v="0"/>
    <s v="Elementary Psychologist"/>
  </r>
  <r>
    <x v="233"/>
    <s v="Personnel"/>
    <s v="H "/>
    <x v="1"/>
    <x v="23"/>
    <s v="PSES High Prog21Duty46 S275"/>
    <x v="1"/>
    <s v="46"/>
    <n v="46"/>
    <m/>
    <s v="   "/>
    <n v="0.9"/>
    <n v="0.23830000000000001"/>
    <n v="0.214"/>
    <s v="High Psychologist"/>
  </r>
  <r>
    <x v="233"/>
    <s v="Personnel"/>
    <s v="M "/>
    <x v="2"/>
    <x v="49"/>
    <s v="PSES Mid Prog01Duty46 S275"/>
    <x v="0"/>
    <s v="46"/>
    <n v="46"/>
    <m/>
    <s v="   "/>
    <n v="0.1"/>
    <n v="0.23830000000000001"/>
    <n v="0"/>
    <s v="Middle Psychologist"/>
  </r>
  <r>
    <x v="233"/>
    <s v="Personnel"/>
    <s v="E "/>
    <x v="0"/>
    <x v="27"/>
    <s v="PSES Elem Prog01Duty47 S275"/>
    <x v="0"/>
    <s v="47"/>
    <n v="47"/>
    <m/>
    <s v="   "/>
    <n v="0.56000000000000005"/>
    <n v="0.23830000000000001"/>
    <n v="0"/>
    <s v="Elementary Nurse"/>
  </r>
  <r>
    <x v="233"/>
    <s v="Personnel"/>
    <s v="H "/>
    <x v="1"/>
    <x v="25"/>
    <s v="PSES High Prog01Duty47 S275"/>
    <x v="0"/>
    <s v="47"/>
    <n v="47"/>
    <m/>
    <s v="   "/>
    <n v="0.3"/>
    <n v="0.23830000000000001"/>
    <n v="0"/>
    <s v="High Nurse"/>
  </r>
  <r>
    <x v="233"/>
    <s v="Personnel"/>
    <s v="M "/>
    <x v="2"/>
    <x v="34"/>
    <s v="PSES Mid Prog01Duty47 S275"/>
    <x v="0"/>
    <s v="47"/>
    <n v="47"/>
    <m/>
    <s v="   "/>
    <n v="0.14000000000000001"/>
    <n v="0.23830000000000001"/>
    <n v="0"/>
    <s v="Middle Nurse"/>
  </r>
  <r>
    <x v="233"/>
    <s v="Personnel"/>
    <s v="E "/>
    <x v="0"/>
    <x v="35"/>
    <s v="PSES Elem Prog21Duty48 S275"/>
    <x v="1"/>
    <s v="48"/>
    <n v="48"/>
    <m/>
    <s v="   "/>
    <n v="0.6"/>
    <n v="0.23830000000000001"/>
    <n v="0.14299999999999999"/>
    <s v="Elementary Physical Therapist"/>
  </r>
  <r>
    <x v="233"/>
    <s v="Personnel"/>
    <s v="M "/>
    <x v="2"/>
    <x v="37"/>
    <s v="PSES Mid Prog21Duty48 S275"/>
    <x v="1"/>
    <s v="48"/>
    <n v="48"/>
    <m/>
    <s v="   "/>
    <n v="0.09"/>
    <n v="0.23830000000000001"/>
    <n v="2.1000000000000001E-2"/>
    <s v="Middle Physical Therapist"/>
  </r>
  <r>
    <x v="234"/>
    <s v="Personnel"/>
    <s v="E "/>
    <x v="0"/>
    <x v="3"/>
    <s v="PSES Elem Prog01Act25 S275"/>
    <x v="0"/>
    <s v="25"/>
    <m/>
    <n v="25"/>
    <s v="   "/>
    <n v="0.73899999999999999"/>
    <n v="0.2944"/>
    <n v="0"/>
    <s v="Elementary Pupil Management"/>
  </r>
  <r>
    <x v="234"/>
    <s v="Personnel"/>
    <s v="H "/>
    <x v="1"/>
    <x v="4"/>
    <s v="PSES High Prog21Act25 S275"/>
    <x v="1"/>
    <s v="25"/>
    <m/>
    <n v="25"/>
    <s v="   "/>
    <n v="3.6999999999999998E-2"/>
    <n v="0.2944"/>
    <n v="1.0999999999999999E-2"/>
    <s v="High Pupil Management"/>
  </r>
  <r>
    <x v="234"/>
    <s v="Personnel"/>
    <s v="H "/>
    <x v="1"/>
    <x v="5"/>
    <s v="PSES High Prog01Act25 S275"/>
    <x v="0"/>
    <s v="25"/>
    <m/>
    <n v="25"/>
    <s v="   "/>
    <n v="1.9870000000000001"/>
    <n v="0.2944"/>
    <n v="0"/>
    <s v="High Pupil Management"/>
  </r>
  <r>
    <x v="234"/>
    <s v="Personnel"/>
    <s v="H "/>
    <x v="1"/>
    <x v="29"/>
    <s v="PSES High Prog21Act26 S275"/>
    <x v="1"/>
    <s v="26"/>
    <m/>
    <n v="26"/>
    <s v="   "/>
    <n v="0.28899999999999998"/>
    <n v="0.2944"/>
    <n v="8.5000000000000006E-2"/>
    <s v="High Health/_x000a_Related Services"/>
  </r>
  <r>
    <x v="234"/>
    <s v="Personnel"/>
    <s v="H "/>
    <x v="1"/>
    <x v="9"/>
    <s v="PSES High Prog01Act26 S275"/>
    <x v="0"/>
    <s v="26"/>
    <m/>
    <n v="26"/>
    <s v="   "/>
    <n v="3.6240000000000001"/>
    <n v="0.2944"/>
    <n v="0"/>
    <s v="High Health/_x000a_Related Services"/>
  </r>
  <r>
    <x v="234"/>
    <s v="Personnel"/>
    <s v="E "/>
    <x v="0"/>
    <x v="15"/>
    <s v="PSES Elem Prog01Duty42 S275"/>
    <x v="0"/>
    <s v="42"/>
    <n v="42"/>
    <m/>
    <s v="   "/>
    <n v="1.6"/>
    <n v="0.2944"/>
    <n v="0"/>
    <s v="Elementary Counselor"/>
  </r>
  <r>
    <x v="234"/>
    <s v="Personnel"/>
    <s v="H "/>
    <x v="1"/>
    <x v="16"/>
    <s v="PSES High Prog01Duty42 S275"/>
    <x v="0"/>
    <s v="42"/>
    <n v="42"/>
    <m/>
    <s v="   "/>
    <n v="2.2000000000000002"/>
    <n v="0.2944"/>
    <n v="0"/>
    <s v="High Counselor"/>
  </r>
  <r>
    <x v="234"/>
    <s v="Personnel"/>
    <s v="M "/>
    <x v="2"/>
    <x v="17"/>
    <s v="PSES Mid Prog01Duty42 S275"/>
    <x v="0"/>
    <s v="42"/>
    <n v="42"/>
    <m/>
    <s v="   "/>
    <n v="1"/>
    <n v="0.2944"/>
    <n v="0"/>
    <s v="Middle Counselor"/>
  </r>
  <r>
    <x v="234"/>
    <s v="Personnel"/>
    <s v="E "/>
    <x v="0"/>
    <x v="18"/>
    <s v="PSES Elem Prog21Duty43 S275"/>
    <x v="1"/>
    <s v="43"/>
    <n v="43"/>
    <m/>
    <s v="   "/>
    <n v="0.185"/>
    <n v="0.2944"/>
    <n v="5.3999999999999999E-2"/>
    <s v="Elementary Occupational Therapist"/>
  </r>
  <r>
    <x v="234"/>
    <s v="Personnel"/>
    <s v="H "/>
    <x v="1"/>
    <x v="19"/>
    <s v="PSES High Prog21Duty43 S275"/>
    <x v="1"/>
    <s v="43"/>
    <n v="43"/>
    <m/>
    <s v="   "/>
    <n v="0.111"/>
    <n v="0.2944"/>
    <n v="3.3000000000000002E-2"/>
    <s v="High Occupational Therapist"/>
  </r>
  <r>
    <x v="234"/>
    <s v="Personnel"/>
    <s v="M "/>
    <x v="2"/>
    <x v="31"/>
    <s v="PSES Mid Prog21Duty43 S275"/>
    <x v="1"/>
    <s v="43"/>
    <n v="43"/>
    <m/>
    <s v="   "/>
    <n v="0.14799999999999999"/>
    <n v="0.2944"/>
    <n v="4.3999999999999997E-2"/>
    <s v="Middle Occupational Therapist"/>
  </r>
  <r>
    <x v="234"/>
    <s v="Personnel"/>
    <s v="E "/>
    <x v="0"/>
    <x v="20"/>
    <s v="PSES Elem Prog21Duty45 S275"/>
    <x v="1"/>
    <s v="45"/>
    <n v="45"/>
    <m/>
    <s v="   "/>
    <n v="2"/>
    <n v="0.2944"/>
    <n v="0.58899999999999997"/>
    <s v="Elementary Speech, Language Pathway/_x000a_Audio"/>
  </r>
  <r>
    <x v="234"/>
    <s v="Personnel"/>
    <s v="E "/>
    <x v="0"/>
    <x v="22"/>
    <s v="PSES Elem Prog21Duty46 S275"/>
    <x v="1"/>
    <s v="46"/>
    <n v="46"/>
    <m/>
    <s v="   "/>
    <n v="1"/>
    <n v="0.2944"/>
    <n v="0.29399999999999998"/>
    <s v="Elementary Psychologist"/>
  </r>
  <r>
    <x v="234"/>
    <s v="Personnel"/>
    <s v="H "/>
    <x v="1"/>
    <x v="23"/>
    <s v="PSES High Prog21Duty46 S275"/>
    <x v="1"/>
    <s v="46"/>
    <n v="46"/>
    <m/>
    <s v="   "/>
    <n v="0.6"/>
    <n v="0.2944"/>
    <n v="0.17699999999999999"/>
    <s v="High Psychologist"/>
  </r>
  <r>
    <x v="234"/>
    <s v="Personnel"/>
    <s v="M "/>
    <x v="2"/>
    <x v="24"/>
    <s v="PSES Mid Prog21Duty46 S275"/>
    <x v="1"/>
    <s v="46"/>
    <n v="46"/>
    <m/>
    <s v="   "/>
    <n v="0.4"/>
    <n v="0.2944"/>
    <n v="0.11799999999999999"/>
    <s v="Middle Psychologist"/>
  </r>
  <r>
    <x v="234"/>
    <s v="Personnel"/>
    <s v="E "/>
    <x v="0"/>
    <x v="35"/>
    <s v="PSES Elem Prog21Duty48 S275"/>
    <x v="1"/>
    <s v="48"/>
    <n v="48"/>
    <m/>
    <s v="   "/>
    <n v="0.66500000000000004"/>
    <n v="0.2944"/>
    <n v="0.19600000000000001"/>
    <s v="Elementary Physical Therapist"/>
  </r>
  <r>
    <x v="234"/>
    <s v="Personnel"/>
    <s v="H "/>
    <x v="1"/>
    <x v="36"/>
    <s v="PSES High Prog21Duty48 S275"/>
    <x v="1"/>
    <s v="48"/>
    <n v="48"/>
    <m/>
    <s v="   "/>
    <n v="0.05"/>
    <n v="0.2944"/>
    <n v="1.4999999999999999E-2"/>
    <s v="High Physical Therapist"/>
  </r>
  <r>
    <x v="234"/>
    <s v="Personnel"/>
    <s v="M "/>
    <x v="2"/>
    <x v="37"/>
    <s v="PSES Mid Prog21Duty48 S275"/>
    <x v="1"/>
    <s v="48"/>
    <n v="48"/>
    <m/>
    <s v="   "/>
    <n v="3.5000000000000003E-2"/>
    <n v="0.2944"/>
    <n v="0.01"/>
    <s v="Middle Physical Therapist"/>
  </r>
  <r>
    <x v="235"/>
    <s v="Personnel"/>
    <s v="H "/>
    <x v="1"/>
    <x v="9"/>
    <s v="PSES High Prog01Act26 S275"/>
    <x v="0"/>
    <s v="26"/>
    <m/>
    <n v="26"/>
    <s v="   "/>
    <n v="0.76200000000000001"/>
    <n v="9.5299999999999996E-2"/>
    <n v="0"/>
    <s v="High Health/_x000a_Related Services"/>
  </r>
  <r>
    <x v="235"/>
    <s v="Personnel"/>
    <s v="E "/>
    <x v="0"/>
    <x v="15"/>
    <s v="PSES Elem Prog01Duty42 S275"/>
    <x v="0"/>
    <s v="42"/>
    <n v="42"/>
    <m/>
    <s v="   "/>
    <n v="1.5"/>
    <n v="9.5299999999999996E-2"/>
    <n v="0"/>
    <s v="Elementary Counselor"/>
  </r>
  <r>
    <x v="235"/>
    <s v="Personnel"/>
    <s v="H "/>
    <x v="1"/>
    <x v="16"/>
    <s v="PSES High Prog01Duty42 S275"/>
    <x v="0"/>
    <s v="42"/>
    <n v="42"/>
    <m/>
    <s v="   "/>
    <n v="0.5"/>
    <n v="9.5299999999999996E-2"/>
    <n v="0"/>
    <s v="High Counselor"/>
  </r>
  <r>
    <x v="235"/>
    <s v="Personnel"/>
    <s v="M "/>
    <x v="2"/>
    <x v="17"/>
    <s v="PSES Mid Prog01Duty42 S275"/>
    <x v="0"/>
    <s v="42"/>
    <n v="42"/>
    <m/>
    <s v="   "/>
    <n v="1"/>
    <n v="9.5299999999999996E-2"/>
    <n v="0"/>
    <s v="Middle Counselor"/>
  </r>
  <r>
    <x v="235"/>
    <s v="Personnel"/>
    <s v="E "/>
    <x v="0"/>
    <x v="20"/>
    <s v="PSES Elem Prog21Duty45 S275"/>
    <x v="1"/>
    <s v="45"/>
    <n v="45"/>
    <m/>
    <s v="   "/>
    <n v="1"/>
    <n v="9.5299999999999996E-2"/>
    <n v="9.5000000000000001E-2"/>
    <s v="Elementary Speech, Language Pathway/_x000a_Audio"/>
  </r>
  <r>
    <x v="236"/>
    <s v="Personnel"/>
    <s v="H "/>
    <x v="1"/>
    <x v="16"/>
    <s v="PSES High Prog01Duty42 S275"/>
    <x v="0"/>
    <s v="42"/>
    <n v="42"/>
    <m/>
    <s v="   "/>
    <n v="0.86"/>
    <n v="0.13"/>
    <n v="0"/>
    <s v="High Counselor"/>
  </r>
  <r>
    <x v="237"/>
    <s v="Personnel"/>
    <s v="H "/>
    <x v="1"/>
    <x v="57"/>
    <s v="PSES High Prog97Duty96 S275"/>
    <x v="2"/>
    <s v="24"/>
    <n v="96"/>
    <n v="24"/>
    <s v="   "/>
    <n v="1"/>
    <n v="0.12429999999999999"/>
    <n v="0"/>
    <s v="High Family Engagement Coordinator"/>
  </r>
  <r>
    <x v="237"/>
    <s v="Personnel"/>
    <s v="H "/>
    <x v="1"/>
    <x v="77"/>
    <s v="PSES High Prog21Duty42 S275"/>
    <x v="1"/>
    <s v="42"/>
    <n v="42"/>
    <m/>
    <s v="   "/>
    <n v="0.8"/>
    <n v="0.12429999999999999"/>
    <n v="9.9000000000000005E-2"/>
    <s v="High Counselor"/>
  </r>
  <r>
    <x v="237"/>
    <s v="Personnel"/>
    <s v="H "/>
    <x v="1"/>
    <x v="16"/>
    <s v="PSES High Prog01Duty42 S275"/>
    <x v="0"/>
    <s v="42"/>
    <n v="42"/>
    <m/>
    <s v="   "/>
    <n v="1"/>
    <n v="0.12429999999999999"/>
    <n v="0"/>
    <s v="High Counselor"/>
  </r>
  <r>
    <x v="238"/>
    <s v="Personnel"/>
    <s v="H "/>
    <x v="1"/>
    <x v="9"/>
    <s v="PSES High Prog01Act26 S275"/>
    <x v="0"/>
    <s v="26"/>
    <m/>
    <n v="26"/>
    <s v="   "/>
    <n v="0.1"/>
    <n v="0.17330000000000001"/>
    <n v="0"/>
    <s v="High Health/_x000a_Related Services"/>
  </r>
  <r>
    <x v="239"/>
    <s v="Personnel"/>
    <s v="H "/>
    <x v="1"/>
    <x v="5"/>
    <s v="PSES High Prog01Act25 S275"/>
    <x v="0"/>
    <s v="25"/>
    <m/>
    <n v="25"/>
    <s v="   "/>
    <n v="0.1"/>
    <n v="0.2671"/>
    <n v="0"/>
    <s v="High Pupil Management"/>
  </r>
  <r>
    <x v="239"/>
    <s v="Personnel"/>
    <s v="H "/>
    <x v="1"/>
    <x v="9"/>
    <s v="PSES High Prog01Act26 S275"/>
    <x v="0"/>
    <s v="26"/>
    <m/>
    <n v="26"/>
    <s v="   "/>
    <n v="0.65900000000000003"/>
    <n v="0.2671"/>
    <n v="0"/>
    <s v="High Health/_x000a_Related Services"/>
  </r>
  <r>
    <x v="239"/>
    <s v="Personnel"/>
    <s v="E "/>
    <x v="0"/>
    <x v="15"/>
    <s v="PSES Elem Prog01Duty42 S275"/>
    <x v="0"/>
    <s v="42"/>
    <n v="42"/>
    <m/>
    <s v="   "/>
    <n v="0.55000000000000004"/>
    <n v="0.2671"/>
    <n v="0"/>
    <s v="Elementary Counselor"/>
  </r>
  <r>
    <x v="239"/>
    <s v="Personnel"/>
    <s v="H "/>
    <x v="1"/>
    <x v="16"/>
    <s v="PSES High Prog01Duty42 S275"/>
    <x v="0"/>
    <s v="42"/>
    <n v="42"/>
    <m/>
    <s v="   "/>
    <n v="0.78"/>
    <n v="0.2671"/>
    <n v="0"/>
    <s v="High Counselor"/>
  </r>
  <r>
    <x v="239"/>
    <s v="Personnel"/>
    <s v="E "/>
    <x v="0"/>
    <x v="20"/>
    <s v="PSES Elem Prog21Duty45 S275"/>
    <x v="1"/>
    <s v="45"/>
    <n v="45"/>
    <m/>
    <s v="   "/>
    <n v="0.81200000000000006"/>
    <n v="0.2671"/>
    <n v="0.217"/>
    <s v="Elementary Speech, Language Pathway/_x000a_Audio"/>
  </r>
  <r>
    <x v="239"/>
    <s v="Personnel"/>
    <s v="H "/>
    <x v="1"/>
    <x v="21"/>
    <s v="PSES High Prog21Duty45 S275"/>
    <x v="1"/>
    <s v="45"/>
    <n v="45"/>
    <m/>
    <s v="   "/>
    <n v="8.3000000000000004E-2"/>
    <n v="0.2671"/>
    <n v="2.1999999999999999E-2"/>
    <s v="High Speech, Language Pathway/_x000a_Audio"/>
  </r>
  <r>
    <x v="239"/>
    <s v="Personnel"/>
    <s v="M "/>
    <x v="2"/>
    <x v="28"/>
    <s v="PSES Mid Prog21Duty45 S275"/>
    <x v="1"/>
    <s v="45"/>
    <n v="45"/>
    <m/>
    <s v="   "/>
    <n v="6.3E-2"/>
    <n v="0.2671"/>
    <n v="1.7000000000000001E-2"/>
    <s v="Middle Speech, Language Pathway/_x000a_Audio"/>
  </r>
  <r>
    <x v="239"/>
    <s v="Personnel"/>
    <s v="E "/>
    <x v="0"/>
    <x v="22"/>
    <s v="PSES Elem Prog21Duty46 S275"/>
    <x v="1"/>
    <s v="46"/>
    <n v="46"/>
    <m/>
    <s v="   "/>
    <n v="0.50900000000000001"/>
    <n v="0.2671"/>
    <n v="0.13600000000000001"/>
    <s v="Elementary Psychologist"/>
  </r>
  <r>
    <x v="239"/>
    <s v="Personnel"/>
    <s v="H "/>
    <x v="1"/>
    <x v="23"/>
    <s v="PSES High Prog21Duty46 S275"/>
    <x v="1"/>
    <s v="46"/>
    <n v="46"/>
    <m/>
    <s v="   "/>
    <n v="0.254"/>
    <n v="0.2671"/>
    <n v="6.8000000000000005E-2"/>
    <s v="High Psychologist"/>
  </r>
  <r>
    <x v="239"/>
    <s v="Personnel"/>
    <s v="M "/>
    <x v="2"/>
    <x v="24"/>
    <s v="PSES Mid Prog21Duty46 S275"/>
    <x v="1"/>
    <s v="46"/>
    <n v="46"/>
    <m/>
    <s v="   "/>
    <n v="0.221"/>
    <n v="0.2671"/>
    <n v="5.8999999999999997E-2"/>
    <s v="Middle Psychologist"/>
  </r>
  <r>
    <x v="239"/>
    <s v="Personnel"/>
    <s v="E "/>
    <x v="0"/>
    <x v="27"/>
    <s v="PSES Elem Prog01Duty47 S275"/>
    <x v="0"/>
    <s v="47"/>
    <n v="47"/>
    <m/>
    <s v="   "/>
    <n v="0.54"/>
    <n v="0.2671"/>
    <n v="0"/>
    <s v="Elementary Nurse"/>
  </r>
  <r>
    <x v="239"/>
    <s v="Personnel"/>
    <s v="H "/>
    <x v="1"/>
    <x v="25"/>
    <s v="PSES High Prog01Duty47 S275"/>
    <x v="0"/>
    <s v="47"/>
    <n v="47"/>
    <m/>
    <s v="   "/>
    <n v="0.31"/>
    <n v="0.2671"/>
    <n v="0"/>
    <s v="High Nurse"/>
  </r>
  <r>
    <x v="239"/>
    <s v="Personnel"/>
    <s v="M "/>
    <x v="2"/>
    <x v="34"/>
    <s v="PSES Mid Prog01Duty47 S275"/>
    <x v="0"/>
    <s v="47"/>
    <n v="47"/>
    <m/>
    <s v="   "/>
    <n v="0.15"/>
    <n v="0.2671"/>
    <n v="0"/>
    <s v="Middle Nurse"/>
  </r>
  <r>
    <x v="240"/>
    <s v="Personnel"/>
    <s v="E "/>
    <x v="0"/>
    <x v="15"/>
    <s v="PSES Elem Prog01Duty42 S275"/>
    <x v="0"/>
    <s v="42"/>
    <n v="42"/>
    <m/>
    <s v="   "/>
    <n v="1"/>
    <n v="0.151"/>
    <n v="0"/>
    <s v="Elementary Counselor"/>
  </r>
  <r>
    <x v="240"/>
    <s v="Personnel"/>
    <s v="H "/>
    <x v="1"/>
    <x v="16"/>
    <s v="PSES High Prog01Duty42 S275"/>
    <x v="0"/>
    <s v="42"/>
    <n v="42"/>
    <m/>
    <s v="   "/>
    <n v="0.5"/>
    <n v="0.151"/>
    <n v="0"/>
    <s v="High Counselor"/>
  </r>
  <r>
    <x v="240"/>
    <s v="Personnel"/>
    <s v="M "/>
    <x v="2"/>
    <x v="17"/>
    <s v="PSES Mid Prog01Duty42 S275"/>
    <x v="0"/>
    <s v="42"/>
    <n v="42"/>
    <m/>
    <s v="   "/>
    <n v="0.5"/>
    <n v="0.151"/>
    <n v="0"/>
    <s v="Middle Counselor"/>
  </r>
  <r>
    <x v="241"/>
    <s v="Personnel"/>
    <s v="H "/>
    <x v="1"/>
    <x v="5"/>
    <s v="PSES High Prog01Act25 S275"/>
    <x v="0"/>
    <s v="25"/>
    <m/>
    <n v="25"/>
    <s v="   "/>
    <n v="1.365"/>
    <n v="0.1128"/>
    <n v="0"/>
    <s v="High Pupil Management"/>
  </r>
  <r>
    <x v="241"/>
    <s v="Personnel"/>
    <s v="E "/>
    <x v="0"/>
    <x v="15"/>
    <s v="PSES Elem Prog01Duty42 S275"/>
    <x v="0"/>
    <s v="42"/>
    <n v="42"/>
    <m/>
    <s v="   "/>
    <n v="0.39"/>
    <n v="0.1128"/>
    <n v="0"/>
    <s v="Elementary Counselor"/>
  </r>
  <r>
    <x v="241"/>
    <s v="Personnel"/>
    <s v="H "/>
    <x v="1"/>
    <x v="16"/>
    <s v="PSES High Prog01Duty42 S275"/>
    <x v="0"/>
    <s v="42"/>
    <n v="42"/>
    <m/>
    <s v="   "/>
    <n v="0.4"/>
    <n v="0.1128"/>
    <n v="0"/>
    <s v="High Counselor"/>
  </r>
  <r>
    <x v="241"/>
    <s v="Personnel"/>
    <s v="M "/>
    <x v="2"/>
    <x v="17"/>
    <s v="PSES Mid Prog01Duty42 S275"/>
    <x v="0"/>
    <s v="42"/>
    <n v="42"/>
    <m/>
    <s v="   "/>
    <n v="0.21"/>
    <n v="0.1128"/>
    <n v="0"/>
    <s v="Middle Counselor"/>
  </r>
  <r>
    <x v="242"/>
    <s v="Personnel"/>
    <s v="E "/>
    <x v="0"/>
    <x v="7"/>
    <s v="PSES Elem Prog21Act26 S275"/>
    <x v="1"/>
    <s v="26"/>
    <m/>
    <n v="26"/>
    <s v="   "/>
    <n v="0.60599999999999998"/>
    <n v="0.22"/>
    <n v="0.13300000000000001"/>
    <s v="Elementary Health/_x000a_Related Services"/>
  </r>
  <r>
    <x v="242"/>
    <s v="Personnel"/>
    <s v="E "/>
    <x v="0"/>
    <x v="8"/>
    <s v="PSES Elem Prog01Act26 S275"/>
    <x v="0"/>
    <s v="26"/>
    <m/>
    <n v="26"/>
    <s v="   "/>
    <n v="0.70299999999999996"/>
    <n v="0.22"/>
    <n v="0"/>
    <s v="Elementary Health/_x000a_Related Services"/>
  </r>
  <r>
    <x v="242"/>
    <s v="Personnel"/>
    <s v="H "/>
    <x v="1"/>
    <x v="54"/>
    <s v="PSES High Prog01Act35 S275"/>
    <x v="0"/>
    <s v="35"/>
    <m/>
    <n v="35"/>
    <s v="   "/>
    <n v="0.5"/>
    <n v="0.22"/>
    <n v="0"/>
    <s v="High Pupil Safety"/>
  </r>
  <r>
    <x v="242"/>
    <s v="Personnel"/>
    <s v="E "/>
    <x v="0"/>
    <x v="15"/>
    <s v="PSES Elem Prog01Duty42 S275"/>
    <x v="0"/>
    <s v="42"/>
    <n v="42"/>
    <m/>
    <s v="   "/>
    <n v="2.33"/>
    <n v="0.22"/>
    <n v="0"/>
    <s v="Elementary Counselor"/>
  </r>
  <r>
    <x v="242"/>
    <s v="Personnel"/>
    <s v="H "/>
    <x v="1"/>
    <x v="16"/>
    <s v="PSES High Prog01Duty42 S275"/>
    <x v="0"/>
    <s v="42"/>
    <n v="42"/>
    <m/>
    <s v="   "/>
    <n v="2"/>
    <n v="0.22"/>
    <n v="0"/>
    <s v="High Counselor"/>
  </r>
  <r>
    <x v="242"/>
    <s v="Personnel"/>
    <s v="M "/>
    <x v="2"/>
    <x v="17"/>
    <s v="PSES Mid Prog01Duty42 S275"/>
    <x v="0"/>
    <s v="42"/>
    <n v="42"/>
    <m/>
    <s v="   "/>
    <n v="0.67"/>
    <n v="0.22"/>
    <n v="0"/>
    <s v="Middle Counselor"/>
  </r>
  <r>
    <x v="242"/>
    <s v="Personnel"/>
    <s v="E "/>
    <x v="0"/>
    <x v="20"/>
    <s v="PSES Elem Prog21Duty45 S275"/>
    <x v="1"/>
    <s v="45"/>
    <n v="45"/>
    <m/>
    <s v="   "/>
    <n v="2"/>
    <n v="0.22"/>
    <n v="0.44"/>
    <s v="Elementary Speech, Language Pathway/_x000a_Audio"/>
  </r>
  <r>
    <x v="242"/>
    <s v="Personnel"/>
    <s v="E "/>
    <x v="0"/>
    <x v="27"/>
    <s v="PSES Elem Prog01Duty47 S275"/>
    <x v="0"/>
    <s v="47"/>
    <n v="47"/>
    <m/>
    <s v="   "/>
    <n v="1"/>
    <n v="0.22"/>
    <n v="0"/>
    <s v="Elementary Nurse"/>
  </r>
  <r>
    <x v="242"/>
    <s v="Personnel"/>
    <s v="H "/>
    <x v="1"/>
    <x v="25"/>
    <s v="PSES High Prog01Duty47 S275"/>
    <x v="0"/>
    <s v="47"/>
    <n v="47"/>
    <m/>
    <s v="   "/>
    <n v="1"/>
    <n v="0.22"/>
    <n v="0"/>
    <s v="High Nurse"/>
  </r>
  <r>
    <x v="242"/>
    <s v="Personnel"/>
    <s v="E "/>
    <x v="0"/>
    <x v="35"/>
    <s v="PSES Elem Prog21Duty48 S275"/>
    <x v="1"/>
    <s v="48"/>
    <n v="48"/>
    <m/>
    <s v="   "/>
    <n v="0.5"/>
    <n v="0.22"/>
    <n v="0.11"/>
    <s v="Elementary Physical Therapist"/>
  </r>
  <r>
    <x v="242"/>
    <s v="Personnel"/>
    <s v="H "/>
    <x v="1"/>
    <x v="36"/>
    <s v="PSES High Prog21Duty48 S275"/>
    <x v="1"/>
    <s v="48"/>
    <n v="48"/>
    <m/>
    <s v="   "/>
    <n v="0.28599999999999998"/>
    <n v="0.22"/>
    <n v="6.3E-2"/>
    <s v="High Physical Therapist"/>
  </r>
  <r>
    <x v="242"/>
    <s v="Personnel"/>
    <s v="M "/>
    <x v="2"/>
    <x v="37"/>
    <s v="PSES Mid Prog21Duty48 S275"/>
    <x v="1"/>
    <s v="48"/>
    <n v="48"/>
    <m/>
    <s v="   "/>
    <n v="0.14299999999999999"/>
    <n v="0.22"/>
    <n v="3.1E-2"/>
    <s v="Middle Physical Therapist"/>
  </r>
  <r>
    <x v="243"/>
    <s v="Personnel"/>
    <s v="E "/>
    <x v="0"/>
    <x v="0"/>
    <s v="PSES Elem Prog01Duty96 S275"/>
    <x v="0"/>
    <s v="24"/>
    <n v="96"/>
    <n v="24"/>
    <s v="   "/>
    <n v="0.315"/>
    <n v="0.23269999999999999"/>
    <n v="0"/>
    <s v="Elementary Family Engagement Coordinator"/>
  </r>
  <r>
    <x v="244"/>
    <s v="Personnel"/>
    <s v="E "/>
    <x v="0"/>
    <x v="15"/>
    <s v="PSES Elem Prog01Duty42 S275"/>
    <x v="0"/>
    <s v="42"/>
    <n v="42"/>
    <m/>
    <s v="   "/>
    <n v="0.19600000000000001"/>
    <n v="0.10150000000000001"/>
    <n v="0"/>
    <s v="Elementary Counselor"/>
  </r>
  <r>
    <x v="244"/>
    <s v="Personnel"/>
    <s v="M "/>
    <x v="2"/>
    <x v="17"/>
    <s v="PSES Mid Prog01Duty42 S275"/>
    <x v="0"/>
    <s v="42"/>
    <n v="42"/>
    <m/>
    <s v="   "/>
    <n v="5.5E-2"/>
    <n v="0.10150000000000001"/>
    <n v="0"/>
    <s v="Middle Counselor"/>
  </r>
  <r>
    <x v="245"/>
    <s v="Personnel"/>
    <s v="E "/>
    <x v="0"/>
    <x v="15"/>
    <s v="PSES Elem Prog01Duty42 S275"/>
    <x v="0"/>
    <s v="42"/>
    <n v="42"/>
    <m/>
    <s v="   "/>
    <n v="0.11899999999999999"/>
    <n v="0.08"/>
    <n v="0"/>
    <s v="Elementary Counselor"/>
  </r>
  <r>
    <x v="246"/>
    <s v="Personnel"/>
    <s v="H "/>
    <x v="1"/>
    <x v="16"/>
    <s v="PSES High Prog01Duty42 S275"/>
    <x v="0"/>
    <s v="42"/>
    <n v="42"/>
    <m/>
    <s v="   "/>
    <n v="0.15"/>
    <n v="0.1386"/>
    <n v="0"/>
    <s v="High Counselor"/>
  </r>
  <r>
    <x v="246"/>
    <s v="Personnel"/>
    <s v="E "/>
    <x v="0"/>
    <x v="27"/>
    <s v="PSES Elem Prog01Duty47 S275"/>
    <x v="0"/>
    <s v="47"/>
    <n v="47"/>
    <m/>
    <s v="   "/>
    <n v="0.127"/>
    <n v="0.1386"/>
    <n v="0"/>
    <s v="Elementary Nurse"/>
  </r>
  <r>
    <x v="246"/>
    <s v="Personnel"/>
    <s v="H "/>
    <x v="1"/>
    <x v="25"/>
    <s v="PSES High Prog01Duty47 S275"/>
    <x v="0"/>
    <s v="47"/>
    <n v="47"/>
    <m/>
    <s v="   "/>
    <n v="7.2999999999999995E-2"/>
    <n v="0.1386"/>
    <n v="0"/>
    <s v="High Nurse"/>
  </r>
  <r>
    <x v="246"/>
    <s v="Personnel"/>
    <s v="M "/>
    <x v="2"/>
    <x v="34"/>
    <s v="PSES Mid Prog01Duty47 S275"/>
    <x v="0"/>
    <s v="47"/>
    <n v="47"/>
    <m/>
    <s v="   "/>
    <n v="3.5000000000000003E-2"/>
    <n v="0.1386"/>
    <n v="0"/>
    <s v="Middle Nurse"/>
  </r>
  <r>
    <x v="247"/>
    <s v="Personnel"/>
    <s v="H "/>
    <x v="1"/>
    <x v="9"/>
    <s v="PSES High Prog01Act26 S275"/>
    <x v="0"/>
    <s v="26"/>
    <m/>
    <n v="26"/>
    <s v="   "/>
    <n v="0.38700000000000001"/>
    <n v="0.16839999999999999"/>
    <n v="0"/>
    <s v="High Health/_x000a_Related Services"/>
  </r>
  <r>
    <x v="247"/>
    <s v="Personnel"/>
    <s v="H "/>
    <x v="1"/>
    <x v="16"/>
    <s v="PSES High Prog01Duty42 S275"/>
    <x v="0"/>
    <s v="42"/>
    <n v="42"/>
    <m/>
    <s v="   "/>
    <n v="0.42299999999999999"/>
    <n v="0.16839999999999999"/>
    <n v="0"/>
    <s v="High Counselor"/>
  </r>
  <r>
    <x v="248"/>
    <s v="Personnel"/>
    <s v="E "/>
    <x v="0"/>
    <x v="7"/>
    <s v="PSES Elem Prog21Act26 S275"/>
    <x v="1"/>
    <s v="26"/>
    <m/>
    <n v="26"/>
    <s v="   "/>
    <n v="0.42399999999999999"/>
    <n v="0.15840000000000001"/>
    <n v="6.7000000000000004E-2"/>
    <s v="Elementary Health/_x000a_Related Services"/>
  </r>
  <r>
    <x v="248"/>
    <s v="Personnel"/>
    <s v="E "/>
    <x v="0"/>
    <x v="8"/>
    <s v="PSES Elem Prog01Act26 S275"/>
    <x v="0"/>
    <s v="26"/>
    <m/>
    <n v="26"/>
    <s v="   "/>
    <n v="0.224"/>
    <n v="0.15840000000000001"/>
    <n v="0"/>
    <s v="Elementary Health/_x000a_Related Services"/>
  </r>
  <r>
    <x v="248"/>
    <s v="Personnel"/>
    <s v="H "/>
    <x v="1"/>
    <x v="9"/>
    <s v="PSES High Prog01Act26 S275"/>
    <x v="0"/>
    <s v="26"/>
    <m/>
    <n v="26"/>
    <s v="   "/>
    <n v="3.2000000000000001E-2"/>
    <n v="0.15840000000000001"/>
    <n v="0"/>
    <s v="High Health/_x000a_Related Services"/>
  </r>
  <r>
    <x v="248"/>
    <s v="Personnel"/>
    <s v="M "/>
    <x v="2"/>
    <x v="11"/>
    <s v="PSES Mid Prog01Act26 S275"/>
    <x v="0"/>
    <s v="26"/>
    <m/>
    <n v="26"/>
    <s v="   "/>
    <n v="3.2000000000000001E-2"/>
    <n v="0.15840000000000001"/>
    <n v="0"/>
    <s v="Middle Health/_x000a_Related Services"/>
  </r>
  <r>
    <x v="249"/>
    <s v="Personnel"/>
    <s v="H "/>
    <x v="1"/>
    <x v="29"/>
    <s v="PSES High Prog21Act26 S275"/>
    <x v="1"/>
    <s v="26"/>
    <m/>
    <n v="26"/>
    <s v="   "/>
    <n v="0.39"/>
    <n v="0.2165"/>
    <n v="8.4000000000000005E-2"/>
    <s v="High Health/_x000a_Related Services"/>
  </r>
  <r>
    <x v="249"/>
    <s v="Personnel"/>
    <s v="H "/>
    <x v="1"/>
    <x v="9"/>
    <s v="PSES High Prog01Act26 S275"/>
    <x v="0"/>
    <s v="26"/>
    <m/>
    <n v="26"/>
    <s v="   "/>
    <n v="0.72099999999999997"/>
    <n v="0.2165"/>
    <n v="0"/>
    <s v="High Health/_x000a_Related Services"/>
  </r>
  <r>
    <x v="249"/>
    <s v="Personnel"/>
    <s v="H "/>
    <x v="1"/>
    <x v="54"/>
    <s v="PSES High Prog01Act35 S275"/>
    <x v="0"/>
    <s v="35"/>
    <m/>
    <n v="35"/>
    <s v="   "/>
    <n v="1.538"/>
    <n v="0.2165"/>
    <n v="0"/>
    <s v="High Pupil Safety"/>
  </r>
  <r>
    <x v="249"/>
    <s v="Personnel"/>
    <s v="E "/>
    <x v="0"/>
    <x v="15"/>
    <s v="PSES Elem Prog01Duty42 S275"/>
    <x v="0"/>
    <s v="42"/>
    <n v="42"/>
    <m/>
    <s v="   "/>
    <n v="1.5"/>
    <n v="0.2165"/>
    <n v="0"/>
    <s v="Elementary Counselor"/>
  </r>
  <r>
    <x v="249"/>
    <s v="Personnel"/>
    <s v="H "/>
    <x v="1"/>
    <x v="16"/>
    <s v="PSES High Prog01Duty42 S275"/>
    <x v="0"/>
    <s v="42"/>
    <n v="42"/>
    <m/>
    <s v="   "/>
    <n v="1"/>
    <n v="0.2165"/>
    <n v="0"/>
    <s v="High Counselor"/>
  </r>
  <r>
    <x v="249"/>
    <s v="Personnel"/>
    <s v="M "/>
    <x v="2"/>
    <x v="17"/>
    <s v="PSES Mid Prog01Duty42 S275"/>
    <x v="0"/>
    <s v="42"/>
    <n v="42"/>
    <m/>
    <s v="   "/>
    <n v="0.5"/>
    <n v="0.2165"/>
    <n v="0"/>
    <s v="Middle Counselor"/>
  </r>
  <r>
    <x v="249"/>
    <s v="Personnel"/>
    <s v="E "/>
    <x v="0"/>
    <x v="48"/>
    <s v="PSES Elem Prog01Duty46 S275"/>
    <x v="0"/>
    <s v="46"/>
    <n v="46"/>
    <m/>
    <s v="   "/>
    <n v="0.77700000000000002"/>
    <n v="0.2165"/>
    <n v="0"/>
    <s v="Elementary Psychologist"/>
  </r>
  <r>
    <x v="249"/>
    <s v="Personnel"/>
    <s v="H "/>
    <x v="1"/>
    <x v="23"/>
    <s v="PSES High Prog21Duty46 S275"/>
    <x v="1"/>
    <s v="46"/>
    <n v="46"/>
    <m/>
    <s v="   "/>
    <n v="0.2"/>
    <n v="0.2165"/>
    <n v="4.2999999999999997E-2"/>
    <s v="High Psychologist"/>
  </r>
  <r>
    <x v="249"/>
    <s v="Personnel"/>
    <s v="M "/>
    <x v="2"/>
    <x v="24"/>
    <s v="PSES Mid Prog21Duty46 S275"/>
    <x v="1"/>
    <s v="46"/>
    <n v="46"/>
    <m/>
    <s v="   "/>
    <n v="0.1"/>
    <n v="0.2165"/>
    <n v="2.1999999999999999E-2"/>
    <s v="Middle Psychologist"/>
  </r>
  <r>
    <x v="249"/>
    <s v="Personnel"/>
    <s v="M "/>
    <x v="2"/>
    <x v="49"/>
    <s v="PSES Mid Prog01Duty46 S275"/>
    <x v="0"/>
    <s v="46"/>
    <n v="46"/>
    <m/>
    <s v="   "/>
    <n v="0.223"/>
    <n v="0.2165"/>
    <n v="0"/>
    <s v="Middle Psychologist"/>
  </r>
  <r>
    <x v="250"/>
    <s v="Personnel"/>
    <s v="H "/>
    <x v="1"/>
    <x v="4"/>
    <s v="PSES High Prog21Act25 S275"/>
    <x v="1"/>
    <s v="25"/>
    <m/>
    <n v="25"/>
    <s v="   "/>
    <n v="4.4329999999999998"/>
    <n v="0.24759999999999999"/>
    <n v="1.0980000000000001"/>
    <s v="High Pupil Management"/>
  </r>
  <r>
    <x v="250"/>
    <s v="Personnel"/>
    <s v="H "/>
    <x v="1"/>
    <x v="5"/>
    <s v="PSES High Prog01Act25 S275"/>
    <x v="0"/>
    <s v="25"/>
    <m/>
    <n v="25"/>
    <s v="   "/>
    <n v="5.9569999999999999"/>
    <n v="0.24759999999999999"/>
    <n v="0"/>
    <s v="High Pupil Management"/>
  </r>
  <r>
    <x v="250"/>
    <s v="Personnel"/>
    <s v="H "/>
    <x v="1"/>
    <x v="29"/>
    <s v="PSES High Prog21Act26 S275"/>
    <x v="1"/>
    <s v="26"/>
    <m/>
    <n v="26"/>
    <s v="   "/>
    <n v="0.95899999999999996"/>
    <n v="0.24759999999999999"/>
    <n v="0.23699999999999999"/>
    <s v="High Health/_x000a_Related Services"/>
  </r>
  <r>
    <x v="250"/>
    <s v="Personnel"/>
    <s v="H "/>
    <x v="1"/>
    <x v="9"/>
    <s v="PSES High Prog01Act26 S275"/>
    <x v="0"/>
    <s v="26"/>
    <m/>
    <n v="26"/>
    <s v="   "/>
    <n v="4.758"/>
    <n v="0.24759999999999999"/>
    <n v="0"/>
    <s v="High Health/_x000a_Related Services"/>
  </r>
  <r>
    <x v="250"/>
    <s v="Personnel"/>
    <s v="H "/>
    <x v="1"/>
    <x v="54"/>
    <s v="PSES High Prog01Act35 S275"/>
    <x v="0"/>
    <s v="35"/>
    <m/>
    <n v="35"/>
    <s v="   "/>
    <n v="2.1930000000000001"/>
    <n v="0.24759999999999999"/>
    <n v="0"/>
    <s v="High Pupil Safety"/>
  </r>
  <r>
    <x v="250"/>
    <s v="Personnel"/>
    <s v="E "/>
    <x v="0"/>
    <x v="15"/>
    <s v="PSES Elem Prog01Duty42 S275"/>
    <x v="0"/>
    <s v="42"/>
    <n v="42"/>
    <m/>
    <s v="   "/>
    <n v="3.29"/>
    <n v="0.24759999999999999"/>
    <n v="0"/>
    <s v="Elementary Counselor"/>
  </r>
  <r>
    <x v="250"/>
    <s v="Personnel"/>
    <s v="H "/>
    <x v="1"/>
    <x v="16"/>
    <s v="PSES High Prog01Duty42 S275"/>
    <x v="0"/>
    <s v="42"/>
    <n v="42"/>
    <m/>
    <s v="   "/>
    <n v="4"/>
    <n v="0.24759999999999999"/>
    <n v="0"/>
    <s v="High Counselor"/>
  </r>
  <r>
    <x v="250"/>
    <s v="Personnel"/>
    <s v="M "/>
    <x v="2"/>
    <x v="17"/>
    <s v="PSES Mid Prog01Duty42 S275"/>
    <x v="0"/>
    <s v="42"/>
    <n v="42"/>
    <m/>
    <s v="   "/>
    <n v="3"/>
    <n v="0.24759999999999999"/>
    <n v="0"/>
    <s v="Middle Counselor"/>
  </r>
  <r>
    <x v="250"/>
    <s v="Personnel"/>
    <s v="E "/>
    <x v="0"/>
    <x v="18"/>
    <s v="PSES Elem Prog21Duty43 S275"/>
    <x v="1"/>
    <s v="43"/>
    <n v="43"/>
    <m/>
    <s v="   "/>
    <n v="0.66600000000000004"/>
    <n v="0.24759999999999999"/>
    <n v="0.16500000000000001"/>
    <s v="Elementary Occupational Therapist"/>
  </r>
  <r>
    <x v="250"/>
    <s v="Personnel"/>
    <s v="H "/>
    <x v="1"/>
    <x v="19"/>
    <s v="PSES High Prog21Duty43 S275"/>
    <x v="1"/>
    <s v="43"/>
    <n v="43"/>
    <m/>
    <s v="   "/>
    <n v="0.112"/>
    <n v="0.24759999999999999"/>
    <n v="2.8000000000000001E-2"/>
    <s v="High Occupational Therapist"/>
  </r>
  <r>
    <x v="250"/>
    <s v="Personnel"/>
    <s v="M "/>
    <x v="2"/>
    <x v="31"/>
    <s v="PSES Mid Prog21Duty43 S275"/>
    <x v="1"/>
    <s v="43"/>
    <n v="43"/>
    <m/>
    <s v="   "/>
    <n v="0.111"/>
    <n v="0.24759999999999999"/>
    <n v="2.7E-2"/>
    <s v="Middle Occupational Therapist"/>
  </r>
  <r>
    <x v="250"/>
    <s v="Personnel"/>
    <s v="E "/>
    <x v="0"/>
    <x v="20"/>
    <s v="PSES Elem Prog21Duty45 S275"/>
    <x v="1"/>
    <s v="45"/>
    <n v="45"/>
    <m/>
    <s v="   "/>
    <n v="3"/>
    <n v="0.24759999999999999"/>
    <n v="0.74299999999999999"/>
    <s v="Elementary Speech, Language Pathway/_x000a_Audio"/>
  </r>
  <r>
    <x v="250"/>
    <s v="Personnel"/>
    <s v="E "/>
    <x v="0"/>
    <x v="22"/>
    <s v="PSES Elem Prog21Duty46 S275"/>
    <x v="1"/>
    <s v="46"/>
    <n v="46"/>
    <m/>
    <s v="   "/>
    <n v="2.6150000000000002"/>
    <n v="0.24759999999999999"/>
    <n v="0.64700000000000002"/>
    <s v="Elementary Psychologist"/>
  </r>
  <r>
    <x v="250"/>
    <s v="Personnel"/>
    <s v="H "/>
    <x v="1"/>
    <x v="23"/>
    <s v="PSES High Prog21Duty46 S275"/>
    <x v="1"/>
    <s v="46"/>
    <n v="46"/>
    <m/>
    <s v="   "/>
    <n v="3.0880000000000001"/>
    <n v="0.24759999999999999"/>
    <n v="0.76500000000000001"/>
    <s v="High Psychologist"/>
  </r>
  <r>
    <x v="250"/>
    <s v="Personnel"/>
    <s v="M "/>
    <x v="2"/>
    <x v="24"/>
    <s v="PSES Mid Prog21Duty46 S275"/>
    <x v="1"/>
    <s v="46"/>
    <n v="46"/>
    <m/>
    <s v="   "/>
    <n v="1.1759999999999999"/>
    <n v="0.24759999999999999"/>
    <n v="0.29099999999999998"/>
    <s v="Middle Psychologist"/>
  </r>
  <r>
    <x v="250"/>
    <s v="Personnel"/>
    <s v="E "/>
    <x v="0"/>
    <x v="27"/>
    <s v="PSES Elem Prog01Duty47 S275"/>
    <x v="0"/>
    <s v="47"/>
    <n v="47"/>
    <m/>
    <s v="   "/>
    <n v="1.9379999999999999"/>
    <n v="0.24759999999999999"/>
    <n v="0"/>
    <s v="Elementary Nurse"/>
  </r>
  <r>
    <x v="250"/>
    <s v="Personnel"/>
    <s v="H "/>
    <x v="1"/>
    <x v="25"/>
    <s v="PSES High Prog01Duty47 S275"/>
    <x v="0"/>
    <s v="47"/>
    <n v="47"/>
    <m/>
    <s v="   "/>
    <n v="1.508"/>
    <n v="0.24759999999999999"/>
    <n v="0"/>
    <s v="High Nurse"/>
  </r>
  <r>
    <x v="250"/>
    <s v="Personnel"/>
    <s v="M "/>
    <x v="2"/>
    <x v="34"/>
    <s v="PSES Mid Prog01Duty47 S275"/>
    <x v="0"/>
    <s v="47"/>
    <n v="47"/>
    <m/>
    <s v="   "/>
    <n v="0.55400000000000005"/>
    <n v="0.24759999999999999"/>
    <n v="0"/>
    <s v="Middle Nurse"/>
  </r>
  <r>
    <x v="250"/>
    <s v="Personnel"/>
    <s v="E "/>
    <x v="0"/>
    <x v="35"/>
    <s v="PSES Elem Prog21Duty48 S275"/>
    <x v="1"/>
    <s v="48"/>
    <n v="48"/>
    <m/>
    <s v="   "/>
    <n v="1"/>
    <n v="0.24759999999999999"/>
    <n v="0.248"/>
    <s v="Elementary Physical Therapist"/>
  </r>
  <r>
    <x v="250"/>
    <s v="Personnel"/>
    <m/>
    <x v="0"/>
    <x v="66"/>
    <s v="PSES Elem Prog09Duty25 S275"/>
    <x v="3"/>
    <s v="25"/>
    <n v="91"/>
    <n v="25"/>
    <m/>
    <n v="4.3999999999999997E-2"/>
    <n v="0.24759999999999999"/>
    <n v="0"/>
    <s v="TK Pupil Management"/>
  </r>
  <r>
    <x v="250"/>
    <s v="Personnel"/>
    <m/>
    <x v="0"/>
    <x v="66"/>
    <s v="PSES Elem Prog09Duty25 S275"/>
    <x v="3"/>
    <s v="25"/>
    <n v="91"/>
    <n v="25"/>
    <m/>
    <n v="6.6000000000000003E-2"/>
    <n v="0.24759999999999999"/>
    <n v="0"/>
    <s v="TK Pupil Management"/>
  </r>
  <r>
    <x v="251"/>
    <s v="Personnel"/>
    <s v="H "/>
    <x v="1"/>
    <x v="4"/>
    <s v="PSES High Prog21Act25 S275"/>
    <x v="1"/>
    <s v="25"/>
    <m/>
    <n v="25"/>
    <s v="   "/>
    <n v="5.8140000000000001"/>
    <n v="0.25950000000000001"/>
    <n v="1.5089999999999999"/>
    <s v="High Pupil Management"/>
  </r>
  <r>
    <x v="251"/>
    <s v="Personnel"/>
    <s v="H "/>
    <x v="1"/>
    <x v="5"/>
    <s v="PSES High Prog01Act25 S275"/>
    <x v="0"/>
    <s v="25"/>
    <m/>
    <n v="25"/>
    <s v="   "/>
    <n v="24.23"/>
    <n v="0.25950000000000001"/>
    <n v="0"/>
    <s v="High Pupil Management"/>
  </r>
  <r>
    <x v="251"/>
    <s v="Personnel"/>
    <s v="H "/>
    <x v="1"/>
    <x v="29"/>
    <s v="PSES High Prog21Act26 S275"/>
    <x v="1"/>
    <s v="26"/>
    <m/>
    <n v="26"/>
    <s v="   "/>
    <n v="2.8159999999999998"/>
    <n v="0.25950000000000001"/>
    <n v="0.73099999999999998"/>
    <s v="High Health/_x000a_Related Services"/>
  </r>
  <r>
    <x v="251"/>
    <s v="Personnel"/>
    <s v="H "/>
    <x v="1"/>
    <x v="9"/>
    <s v="PSES High Prog01Act26 S275"/>
    <x v="0"/>
    <s v="26"/>
    <m/>
    <n v="26"/>
    <s v="   "/>
    <n v="14.686999999999999"/>
    <n v="0.25950000000000001"/>
    <n v="0"/>
    <s v="High Health/_x000a_Related Services"/>
  </r>
  <r>
    <x v="251"/>
    <s v="Personnel"/>
    <s v="H "/>
    <x v="1"/>
    <x v="54"/>
    <s v="PSES High Prog01Act35 S275"/>
    <x v="0"/>
    <s v="35"/>
    <m/>
    <n v="35"/>
    <s v="   "/>
    <n v="2.5449999999999999"/>
    <n v="0.25950000000000001"/>
    <n v="0"/>
    <s v="High Pupil Safety"/>
  </r>
  <r>
    <x v="251"/>
    <s v="Personnel"/>
    <s v="E "/>
    <x v="0"/>
    <x v="15"/>
    <s v="PSES Elem Prog01Duty42 S275"/>
    <x v="0"/>
    <s v="42"/>
    <n v="42"/>
    <m/>
    <s v="   "/>
    <n v="16.132999999999999"/>
    <n v="0.25950000000000001"/>
    <n v="0"/>
    <s v="Elementary Counselor"/>
  </r>
  <r>
    <x v="251"/>
    <s v="Personnel"/>
    <s v="H "/>
    <x v="1"/>
    <x v="16"/>
    <s v="PSES High Prog01Duty42 S275"/>
    <x v="0"/>
    <s v="42"/>
    <n v="42"/>
    <m/>
    <s v="   "/>
    <n v="12"/>
    <n v="0.25950000000000001"/>
    <n v="0"/>
    <s v="High Counselor"/>
  </r>
  <r>
    <x v="251"/>
    <s v="Personnel"/>
    <s v="M "/>
    <x v="2"/>
    <x v="17"/>
    <s v="PSES Mid Prog01Duty42 S275"/>
    <x v="0"/>
    <s v="42"/>
    <n v="42"/>
    <m/>
    <s v="   "/>
    <n v="5.4020000000000001"/>
    <n v="0.25950000000000001"/>
    <n v="0"/>
    <s v="Middle Counselor"/>
  </r>
  <r>
    <x v="251"/>
    <s v="Personnel"/>
    <s v="E "/>
    <x v="0"/>
    <x v="18"/>
    <s v="PSES Elem Prog21Duty43 S275"/>
    <x v="1"/>
    <s v="43"/>
    <n v="43"/>
    <m/>
    <s v="   "/>
    <n v="8.2210000000000001"/>
    <n v="0.25950000000000001"/>
    <n v="2.133"/>
    <s v="Elementary Occupational Therapist"/>
  </r>
  <r>
    <x v="251"/>
    <s v="Personnel"/>
    <s v="H "/>
    <x v="1"/>
    <x v="19"/>
    <s v="PSES High Prog21Duty43 S275"/>
    <x v="1"/>
    <s v="43"/>
    <n v="43"/>
    <m/>
    <s v="   "/>
    <n v="1.673"/>
    <n v="0.25950000000000001"/>
    <n v="0.434"/>
    <s v="High Occupational Therapist"/>
  </r>
  <r>
    <x v="251"/>
    <s v="Personnel"/>
    <s v="M "/>
    <x v="2"/>
    <x v="31"/>
    <s v="PSES Mid Prog21Duty43 S275"/>
    <x v="1"/>
    <s v="43"/>
    <n v="43"/>
    <m/>
    <s v="   "/>
    <n v="1.1060000000000001"/>
    <n v="0.25950000000000001"/>
    <n v="0.28699999999999998"/>
    <s v="Middle Occupational Therapist"/>
  </r>
  <r>
    <x v="251"/>
    <s v="Personnel"/>
    <s v="E "/>
    <x v="0"/>
    <x v="20"/>
    <s v="PSES Elem Prog21Duty45 S275"/>
    <x v="1"/>
    <s v="45"/>
    <n v="45"/>
    <m/>
    <s v="   "/>
    <n v="25.202000000000002"/>
    <n v="0.25950000000000001"/>
    <n v="6.54"/>
    <s v="Elementary Speech, Language Pathway/_x000a_Audio"/>
  </r>
  <r>
    <x v="251"/>
    <s v="Personnel"/>
    <s v="H "/>
    <x v="1"/>
    <x v="21"/>
    <s v="PSES High Prog21Duty45 S275"/>
    <x v="1"/>
    <s v="45"/>
    <n v="45"/>
    <m/>
    <s v="   "/>
    <n v="4.5110000000000001"/>
    <n v="0.25950000000000001"/>
    <n v="1.171"/>
    <s v="High Speech, Language Pathway/_x000a_Audio"/>
  </r>
  <r>
    <x v="251"/>
    <s v="Personnel"/>
    <s v="M "/>
    <x v="2"/>
    <x v="28"/>
    <s v="PSES Mid Prog21Duty45 S275"/>
    <x v="1"/>
    <s v="45"/>
    <n v="45"/>
    <m/>
    <s v="   "/>
    <n v="3.3540000000000001"/>
    <n v="0.25950000000000001"/>
    <n v="0.87"/>
    <s v="Middle Speech, Language Pathway/_x000a_Audio"/>
  </r>
  <r>
    <x v="251"/>
    <s v="Personnel"/>
    <s v="E "/>
    <x v="0"/>
    <x v="22"/>
    <s v="PSES Elem Prog21Duty46 S275"/>
    <x v="1"/>
    <s v="46"/>
    <n v="46"/>
    <m/>
    <s v="   "/>
    <n v="12.516999999999999"/>
    <n v="0.25950000000000001"/>
    <n v="3.2480000000000002"/>
    <s v="Elementary Psychologist"/>
  </r>
  <r>
    <x v="251"/>
    <s v="Personnel"/>
    <s v="H "/>
    <x v="1"/>
    <x v="23"/>
    <s v="PSES High Prog21Duty46 S275"/>
    <x v="1"/>
    <s v="46"/>
    <n v="46"/>
    <m/>
    <s v="   "/>
    <n v="4.9669999999999996"/>
    <n v="0.25950000000000001"/>
    <n v="1.2889999999999999"/>
    <s v="High Psychologist"/>
  </r>
  <r>
    <x v="251"/>
    <s v="Personnel"/>
    <s v="M "/>
    <x v="2"/>
    <x v="24"/>
    <s v="PSES Mid Prog21Duty46 S275"/>
    <x v="1"/>
    <s v="46"/>
    <n v="46"/>
    <m/>
    <s v="   "/>
    <n v="2.2200000000000002"/>
    <n v="0.25950000000000001"/>
    <n v="0.57599999999999996"/>
    <s v="Middle Psychologist"/>
  </r>
  <r>
    <x v="251"/>
    <s v="Personnel"/>
    <s v="E "/>
    <x v="0"/>
    <x v="27"/>
    <s v="PSES Elem Prog01Duty47 S275"/>
    <x v="0"/>
    <s v="47"/>
    <n v="47"/>
    <m/>
    <s v="   "/>
    <n v="11.327999999999999"/>
    <n v="0.25950000000000001"/>
    <n v="0"/>
    <s v="Elementary Nurse"/>
  </r>
  <r>
    <x v="251"/>
    <s v="Personnel"/>
    <s v="H "/>
    <x v="1"/>
    <x v="25"/>
    <s v="PSES High Prog01Duty47 S275"/>
    <x v="0"/>
    <s v="47"/>
    <n v="47"/>
    <m/>
    <s v="   "/>
    <n v="6.2"/>
    <n v="0.25950000000000001"/>
    <n v="0"/>
    <s v="High Nurse"/>
  </r>
  <r>
    <x v="251"/>
    <s v="Personnel"/>
    <s v="M "/>
    <x v="2"/>
    <x v="34"/>
    <s v="PSES Mid Prog01Duty47 S275"/>
    <x v="0"/>
    <s v="47"/>
    <n v="47"/>
    <m/>
    <s v="   "/>
    <n v="3.472"/>
    <n v="0.25950000000000001"/>
    <n v="0"/>
    <s v="Middle Nurse"/>
  </r>
  <r>
    <x v="251"/>
    <s v="Personnel"/>
    <s v="E "/>
    <x v="0"/>
    <x v="35"/>
    <s v="PSES Elem Prog21Duty48 S275"/>
    <x v="1"/>
    <s v="48"/>
    <n v="48"/>
    <m/>
    <s v="   "/>
    <n v="3.2029999999999998"/>
    <n v="0.25950000000000001"/>
    <n v="0.83099999999999996"/>
    <s v="Elementary Physical Therapist"/>
  </r>
  <r>
    <x v="251"/>
    <s v="Personnel"/>
    <s v="H "/>
    <x v="1"/>
    <x v="36"/>
    <s v="PSES High Prog21Duty48 S275"/>
    <x v="1"/>
    <s v="48"/>
    <n v="48"/>
    <m/>
    <s v="   "/>
    <n v="0.70699999999999996"/>
    <n v="0.25950000000000001"/>
    <n v="0.183"/>
    <s v="High Physical Therapist"/>
  </r>
  <r>
    <x v="251"/>
    <s v="Personnel"/>
    <s v="M "/>
    <x v="2"/>
    <x v="37"/>
    <s v="PSES Mid Prog21Duty48 S275"/>
    <x v="1"/>
    <s v="48"/>
    <n v="48"/>
    <m/>
    <s v="   "/>
    <n v="0.79"/>
    <n v="0.25950000000000001"/>
    <n v="0.20499999999999999"/>
    <s v="Middle Physical Therapist"/>
  </r>
  <r>
    <x v="252"/>
    <s v="Personnel"/>
    <s v="E "/>
    <x v="0"/>
    <x v="67"/>
    <s v="PSES Elem Prog21Act25 S275"/>
    <x v="1"/>
    <s v="25"/>
    <m/>
    <n v="25"/>
    <s v="   "/>
    <n v="1.3620000000000001"/>
    <n v="0.2641"/>
    <n v="0.36"/>
    <s v="Elementary Pupil Management"/>
  </r>
  <r>
    <x v="252"/>
    <s v="Personnel"/>
    <s v="E "/>
    <x v="0"/>
    <x v="3"/>
    <s v="PSES Elem Prog01Act25 S275"/>
    <x v="0"/>
    <s v="25"/>
    <m/>
    <n v="25"/>
    <s v="   "/>
    <n v="4.1340000000000003"/>
    <n v="0.2641"/>
    <n v="0"/>
    <s v="Elementary Pupil Management"/>
  </r>
  <r>
    <x v="252"/>
    <s v="Personnel"/>
    <s v="H "/>
    <x v="1"/>
    <x v="4"/>
    <s v="PSES High Prog21Act25 S275"/>
    <x v="1"/>
    <s v="25"/>
    <m/>
    <n v="25"/>
    <s v="   "/>
    <n v="9.1999999999999998E-2"/>
    <n v="0.2641"/>
    <n v="2.4E-2"/>
    <s v="High Pupil Management"/>
  </r>
  <r>
    <x v="252"/>
    <s v="Personnel"/>
    <s v="H "/>
    <x v="1"/>
    <x v="53"/>
    <s v="PSES High Prog97Act25 S275"/>
    <x v="2"/>
    <s v="25"/>
    <m/>
    <n v="25"/>
    <s v="   "/>
    <n v="1"/>
    <n v="0.2641"/>
    <n v="0"/>
    <s v="High Pupil Management"/>
  </r>
  <r>
    <x v="252"/>
    <s v="Personnel"/>
    <s v="H "/>
    <x v="1"/>
    <x v="5"/>
    <s v="PSES High Prog01Act25 S275"/>
    <x v="0"/>
    <s v="25"/>
    <m/>
    <n v="25"/>
    <s v="   "/>
    <n v="5.39"/>
    <n v="0.2641"/>
    <n v="0"/>
    <s v="High Pupil Management"/>
  </r>
  <r>
    <x v="252"/>
    <s v="Personnel"/>
    <s v="M "/>
    <x v="2"/>
    <x v="82"/>
    <s v="PSES Mid Prog21Act25 S275"/>
    <x v="1"/>
    <s v="25"/>
    <m/>
    <n v="25"/>
    <s v="   "/>
    <n v="0.13600000000000001"/>
    <n v="0.2641"/>
    <n v="3.5999999999999997E-2"/>
    <s v="Middle Pupil Management"/>
  </r>
  <r>
    <x v="252"/>
    <s v="Personnel"/>
    <s v="M "/>
    <x v="2"/>
    <x v="6"/>
    <s v="PSES Mid Prog01Act25 S275"/>
    <x v="0"/>
    <s v="25"/>
    <m/>
    <n v="25"/>
    <s v="   "/>
    <n v="1.2330000000000001"/>
    <n v="0.2641"/>
    <n v="0"/>
    <s v="Middle Pupil Management"/>
  </r>
  <r>
    <x v="252"/>
    <s v="Personnel"/>
    <s v="E "/>
    <x v="0"/>
    <x v="7"/>
    <s v="PSES Elem Prog21Act26 S275"/>
    <x v="1"/>
    <s v="26"/>
    <m/>
    <n v="26"/>
    <s v="   "/>
    <n v="6.1379999999999999"/>
    <n v="0.2641"/>
    <n v="1.621"/>
    <s v="Elementary Health/_x000a_Related Services"/>
  </r>
  <r>
    <x v="252"/>
    <s v="Personnel"/>
    <s v="E "/>
    <x v="0"/>
    <x v="8"/>
    <s v="PSES Elem Prog01Act26 S275"/>
    <x v="0"/>
    <s v="26"/>
    <m/>
    <n v="26"/>
    <s v="   "/>
    <n v="3.5550000000000002"/>
    <n v="0.2641"/>
    <n v="0"/>
    <s v="Elementary Health/_x000a_Related Services"/>
  </r>
  <r>
    <x v="252"/>
    <s v="Personnel"/>
    <s v="H "/>
    <x v="1"/>
    <x v="29"/>
    <s v="PSES High Prog21Act26 S275"/>
    <x v="1"/>
    <s v="26"/>
    <m/>
    <n v="26"/>
    <s v="   "/>
    <n v="5.2140000000000004"/>
    <n v="0.2641"/>
    <n v="1.377"/>
    <s v="High Health/_x000a_Related Services"/>
  </r>
  <r>
    <x v="252"/>
    <s v="Personnel"/>
    <s v="H "/>
    <x v="1"/>
    <x v="9"/>
    <s v="PSES High Prog01Act26 S275"/>
    <x v="0"/>
    <s v="26"/>
    <m/>
    <n v="26"/>
    <s v="   "/>
    <n v="1.476"/>
    <n v="0.2641"/>
    <n v="0"/>
    <s v="High Health/_x000a_Related Services"/>
  </r>
  <r>
    <x v="252"/>
    <s v="Personnel"/>
    <s v="M "/>
    <x v="2"/>
    <x v="11"/>
    <s v="PSES Mid Prog01Act26 S275"/>
    <x v="0"/>
    <s v="26"/>
    <m/>
    <n v="26"/>
    <s v="   "/>
    <n v="1.292"/>
    <n v="0.2641"/>
    <n v="0"/>
    <s v="Middle Health/_x000a_Related Services"/>
  </r>
  <r>
    <x v="252"/>
    <s v="Personnel"/>
    <s v="E "/>
    <x v="0"/>
    <x v="15"/>
    <s v="PSES Elem Prog01Duty42 S275"/>
    <x v="0"/>
    <s v="42"/>
    <n v="42"/>
    <m/>
    <s v="   "/>
    <n v="8.1660000000000004"/>
    <n v="0.2641"/>
    <n v="0"/>
    <s v="Elementary Counselor"/>
  </r>
  <r>
    <x v="252"/>
    <s v="Personnel"/>
    <s v="H "/>
    <x v="1"/>
    <x v="16"/>
    <s v="PSES High Prog01Duty42 S275"/>
    <x v="0"/>
    <s v="42"/>
    <n v="42"/>
    <m/>
    <s v="   "/>
    <n v="6.2"/>
    <n v="0.2641"/>
    <n v="0"/>
    <s v="High Counselor"/>
  </r>
  <r>
    <x v="252"/>
    <s v="Personnel"/>
    <s v="M "/>
    <x v="2"/>
    <x v="17"/>
    <s v="PSES Mid Prog01Duty42 S275"/>
    <x v="0"/>
    <s v="42"/>
    <n v="42"/>
    <m/>
    <s v="   "/>
    <n v="3.3340000000000001"/>
    <n v="0.2641"/>
    <n v="0"/>
    <s v="Middle Counselor"/>
  </r>
  <r>
    <x v="252"/>
    <s v="Personnel"/>
    <s v="E "/>
    <x v="0"/>
    <x v="18"/>
    <s v="PSES Elem Prog21Duty43 S275"/>
    <x v="1"/>
    <s v="43"/>
    <n v="43"/>
    <m/>
    <s v="   "/>
    <n v="2.4300000000000002"/>
    <n v="0.2641"/>
    <n v="0.64200000000000002"/>
    <s v="Elementary Occupational Therapist"/>
  </r>
  <r>
    <x v="252"/>
    <s v="Personnel"/>
    <s v="H "/>
    <x v="1"/>
    <x v="19"/>
    <s v="PSES High Prog21Duty43 S275"/>
    <x v="1"/>
    <s v="43"/>
    <n v="43"/>
    <m/>
    <s v="   "/>
    <n v="0.30399999999999999"/>
    <n v="0.2641"/>
    <n v="0.08"/>
    <s v="High Occupational Therapist"/>
  </r>
  <r>
    <x v="252"/>
    <s v="Personnel"/>
    <s v="M "/>
    <x v="2"/>
    <x v="31"/>
    <s v="PSES Mid Prog21Duty43 S275"/>
    <x v="1"/>
    <s v="43"/>
    <n v="43"/>
    <m/>
    <s v="   "/>
    <n v="0.22600000000000001"/>
    <n v="0.2641"/>
    <n v="0.06"/>
    <s v="Middle Occupational Therapist"/>
  </r>
  <r>
    <x v="252"/>
    <s v="Personnel"/>
    <s v="E "/>
    <x v="0"/>
    <x v="20"/>
    <s v="PSES Elem Prog21Duty45 S275"/>
    <x v="1"/>
    <s v="45"/>
    <n v="45"/>
    <m/>
    <s v="   "/>
    <n v="4.8540000000000001"/>
    <n v="0.2641"/>
    <n v="1.282"/>
    <s v="Elementary Speech, Language Pathway/_x000a_Audio"/>
  </r>
  <r>
    <x v="252"/>
    <s v="Personnel"/>
    <s v="H "/>
    <x v="1"/>
    <x v="21"/>
    <s v="PSES High Prog21Duty45 S275"/>
    <x v="1"/>
    <s v="45"/>
    <n v="45"/>
    <m/>
    <s v="   "/>
    <n v="3"/>
    <n v="0.2641"/>
    <n v="0.79200000000000004"/>
    <s v="High Speech, Language Pathway/_x000a_Audio"/>
  </r>
  <r>
    <x v="252"/>
    <s v="Personnel"/>
    <s v="M "/>
    <x v="2"/>
    <x v="28"/>
    <s v="PSES Mid Prog21Duty45 S275"/>
    <x v="1"/>
    <s v="45"/>
    <n v="45"/>
    <m/>
    <s v="   "/>
    <n v="0.82"/>
    <n v="0.2641"/>
    <n v="0.217"/>
    <s v="Middle Speech, Language Pathway/_x000a_Audio"/>
  </r>
  <r>
    <x v="252"/>
    <s v="Personnel"/>
    <s v="E "/>
    <x v="0"/>
    <x v="22"/>
    <s v="PSES Elem Prog21Duty46 S275"/>
    <x v="1"/>
    <s v="46"/>
    <n v="46"/>
    <m/>
    <s v="   "/>
    <n v="3.1"/>
    <n v="0.2641"/>
    <n v="0.81899999999999995"/>
    <s v="Elementary Psychologist"/>
  </r>
  <r>
    <x v="252"/>
    <s v="Personnel"/>
    <s v="H "/>
    <x v="1"/>
    <x v="23"/>
    <s v="PSES High Prog21Duty46 S275"/>
    <x v="1"/>
    <s v="46"/>
    <n v="46"/>
    <m/>
    <s v="   "/>
    <n v="3.1"/>
    <n v="0.2641"/>
    <n v="0.81899999999999995"/>
    <s v="High Psychologist"/>
  </r>
  <r>
    <x v="252"/>
    <s v="Personnel"/>
    <s v="M "/>
    <x v="2"/>
    <x v="24"/>
    <s v="PSES Mid Prog21Duty46 S275"/>
    <x v="1"/>
    <s v="46"/>
    <n v="46"/>
    <m/>
    <s v="   "/>
    <n v="0.5"/>
    <n v="0.2641"/>
    <n v="0.13200000000000001"/>
    <s v="Middle Psychologist"/>
  </r>
  <r>
    <x v="252"/>
    <s v="Personnel"/>
    <s v="E "/>
    <x v="0"/>
    <x v="27"/>
    <s v="PSES Elem Prog01Duty47 S275"/>
    <x v="0"/>
    <s v="47"/>
    <n v="47"/>
    <m/>
    <s v="   "/>
    <n v="3.2639999999999998"/>
    <n v="0.2641"/>
    <n v="0"/>
    <s v="Elementary Nurse"/>
  </r>
  <r>
    <x v="252"/>
    <s v="Personnel"/>
    <s v="H "/>
    <x v="1"/>
    <x v="25"/>
    <s v="PSES High Prog01Duty47 S275"/>
    <x v="0"/>
    <s v="47"/>
    <n v="47"/>
    <m/>
    <s v="   "/>
    <n v="0.8"/>
    <n v="0.2641"/>
    <n v="0"/>
    <s v="High Nurse"/>
  </r>
  <r>
    <x v="252"/>
    <s v="Personnel"/>
    <s v="M "/>
    <x v="2"/>
    <x v="34"/>
    <s v="PSES Mid Prog01Duty47 S275"/>
    <x v="0"/>
    <s v="47"/>
    <n v="47"/>
    <m/>
    <s v="   "/>
    <n v="0.93600000000000005"/>
    <n v="0.2641"/>
    <n v="0"/>
    <s v="Middle Nurse"/>
  </r>
  <r>
    <x v="252"/>
    <s v="Personnel"/>
    <s v="E "/>
    <x v="0"/>
    <x v="26"/>
    <s v="PSES Elem Prog21Duty49 S275"/>
    <x v="1"/>
    <s v="49"/>
    <n v="49"/>
    <m/>
    <s v="   "/>
    <n v="0.54500000000000004"/>
    <n v="0.2641"/>
    <n v="0.14399999999999999"/>
    <s v="Elementary Behavior Analyst"/>
  </r>
  <r>
    <x v="252"/>
    <s v="Personnel"/>
    <s v="H "/>
    <x v="1"/>
    <x v="55"/>
    <s v="PSES High Prog21Duty49 S275"/>
    <x v="1"/>
    <s v="49"/>
    <n v="49"/>
    <m/>
    <s v="   "/>
    <n v="0.27300000000000002"/>
    <n v="0.2641"/>
    <n v="7.1999999999999995E-2"/>
    <s v="High Behavior Analyst"/>
  </r>
  <r>
    <x v="252"/>
    <s v="Personnel"/>
    <s v="M "/>
    <x v="2"/>
    <x v="50"/>
    <s v="PSES Mid Prog21Duty49 S275"/>
    <x v="1"/>
    <s v="49"/>
    <n v="49"/>
    <m/>
    <s v="   "/>
    <n v="0.182"/>
    <n v="0.2641"/>
    <n v="4.8000000000000001E-2"/>
    <s v="Middle Behavior Analyst"/>
  </r>
  <r>
    <x v="253"/>
    <s v="Personnel"/>
    <s v="H "/>
    <x v="1"/>
    <x v="1"/>
    <s v="PSES High Prog01Duty96 S275"/>
    <x v="0"/>
    <s v="24"/>
    <n v="96"/>
    <n v="24"/>
    <s v="   "/>
    <n v="2.37"/>
    <n v="0.26419999999999999"/>
    <n v="0"/>
    <s v="High Family Engagement Coordinator"/>
  </r>
  <r>
    <x v="253"/>
    <s v="Personnel"/>
    <s v="E "/>
    <x v="0"/>
    <x v="3"/>
    <s v="PSES Elem Prog01Act25 S275"/>
    <x v="0"/>
    <s v="25"/>
    <m/>
    <n v="25"/>
    <s v="   "/>
    <n v="0.27100000000000002"/>
    <n v="0.26419999999999999"/>
    <n v="0"/>
    <s v="Elementary Pupil Management"/>
  </r>
  <r>
    <x v="253"/>
    <s v="Personnel"/>
    <s v="H "/>
    <x v="1"/>
    <x v="5"/>
    <s v="PSES High Prog01Act25 S275"/>
    <x v="0"/>
    <s v="25"/>
    <m/>
    <n v="25"/>
    <s v="   "/>
    <n v="1.8720000000000001"/>
    <n v="0.26419999999999999"/>
    <n v="0"/>
    <s v="High Pupil Management"/>
  </r>
  <r>
    <x v="253"/>
    <s v="Personnel"/>
    <s v="M "/>
    <x v="2"/>
    <x v="6"/>
    <s v="PSES Mid Prog01Act25 S275"/>
    <x v="0"/>
    <s v="25"/>
    <m/>
    <n v="25"/>
    <s v="   "/>
    <n v="0.55200000000000005"/>
    <n v="0.26419999999999999"/>
    <n v="0"/>
    <s v="Middle Pupil Management"/>
  </r>
  <r>
    <x v="253"/>
    <s v="Personnel"/>
    <s v="E "/>
    <x v="0"/>
    <x v="7"/>
    <s v="PSES Elem Prog21Act26 S275"/>
    <x v="1"/>
    <s v="26"/>
    <m/>
    <n v="26"/>
    <s v="   "/>
    <n v="0.60099999999999998"/>
    <n v="0.26419999999999999"/>
    <n v="0.159"/>
    <s v="Elementary Health/_x000a_Related Services"/>
  </r>
  <r>
    <x v="253"/>
    <s v="Personnel"/>
    <s v="E "/>
    <x v="0"/>
    <x v="8"/>
    <s v="PSES Elem Prog01Act26 S275"/>
    <x v="0"/>
    <s v="26"/>
    <m/>
    <n v="26"/>
    <s v="   "/>
    <n v="4.2060000000000004"/>
    <n v="0.26419999999999999"/>
    <n v="0"/>
    <s v="Elementary Health/_x000a_Related Services"/>
  </r>
  <r>
    <x v="253"/>
    <s v="Personnel"/>
    <s v="H "/>
    <x v="1"/>
    <x v="29"/>
    <s v="PSES High Prog21Act26 S275"/>
    <x v="1"/>
    <s v="26"/>
    <m/>
    <n v="26"/>
    <s v="   "/>
    <n v="1.3140000000000001"/>
    <n v="0.26419999999999999"/>
    <n v="0.34699999999999998"/>
    <s v="High Health/_x000a_Related Services"/>
  </r>
  <r>
    <x v="253"/>
    <s v="Personnel"/>
    <s v="H "/>
    <x v="1"/>
    <x v="9"/>
    <s v="PSES High Prog01Act26 S275"/>
    <x v="0"/>
    <s v="26"/>
    <m/>
    <n v="26"/>
    <s v="   "/>
    <n v="2.4159999999999999"/>
    <n v="0.26419999999999999"/>
    <n v="0"/>
    <s v="High Health/_x000a_Related Services"/>
  </r>
  <r>
    <x v="253"/>
    <s v="Personnel"/>
    <s v="M "/>
    <x v="2"/>
    <x v="10"/>
    <s v="PSES Mid Prog21Act26 S275"/>
    <x v="1"/>
    <s v="26"/>
    <m/>
    <n v="26"/>
    <s v="   "/>
    <n v="7.6999999999999999E-2"/>
    <n v="0.26419999999999999"/>
    <n v="0.02"/>
    <s v="Middle Health/_x000a_Related Services"/>
  </r>
  <r>
    <x v="253"/>
    <s v="Personnel"/>
    <s v="M "/>
    <x v="2"/>
    <x v="11"/>
    <s v="PSES Mid Prog01Act26 S275"/>
    <x v="0"/>
    <s v="26"/>
    <m/>
    <n v="26"/>
    <s v="   "/>
    <n v="0.36699999999999999"/>
    <n v="0.26419999999999999"/>
    <n v="0"/>
    <s v="Middle Health/_x000a_Related Services"/>
  </r>
  <r>
    <x v="253"/>
    <s v="Personnel"/>
    <s v="H "/>
    <x v="1"/>
    <x v="54"/>
    <s v="PSES High Prog01Act35 S275"/>
    <x v="0"/>
    <s v="35"/>
    <m/>
    <n v="35"/>
    <s v="   "/>
    <n v="1.0389999999999999"/>
    <n v="0.26419999999999999"/>
    <n v="0"/>
    <s v="High Pupil Safety"/>
  </r>
  <r>
    <x v="253"/>
    <s v="Personnel"/>
    <s v="E "/>
    <x v="0"/>
    <x v="15"/>
    <s v="PSES Elem Prog01Duty42 S275"/>
    <x v="0"/>
    <s v="42"/>
    <n v="42"/>
    <m/>
    <s v="   "/>
    <n v="1.667"/>
    <n v="0.26419999999999999"/>
    <n v="0"/>
    <s v="Elementary Counselor"/>
  </r>
  <r>
    <x v="253"/>
    <s v="Personnel"/>
    <s v="H "/>
    <x v="1"/>
    <x v="16"/>
    <s v="PSES High Prog01Duty42 S275"/>
    <x v="0"/>
    <s v="42"/>
    <n v="42"/>
    <m/>
    <s v="   "/>
    <n v="6.9"/>
    <n v="0.26419999999999999"/>
    <n v="0"/>
    <s v="High Counselor"/>
  </r>
  <r>
    <x v="253"/>
    <s v="Personnel"/>
    <s v="M "/>
    <x v="2"/>
    <x v="17"/>
    <s v="PSES Mid Prog01Duty42 S275"/>
    <x v="0"/>
    <s v="42"/>
    <n v="42"/>
    <m/>
    <s v="   "/>
    <n v="3.629"/>
    <n v="0.26419999999999999"/>
    <n v="0"/>
    <s v="Middle Counselor"/>
  </r>
  <r>
    <x v="253"/>
    <s v="Personnel"/>
    <s v="E "/>
    <x v="0"/>
    <x v="18"/>
    <s v="PSES Elem Prog21Duty43 S275"/>
    <x v="1"/>
    <s v="43"/>
    <n v="43"/>
    <m/>
    <s v="   "/>
    <n v="4.8"/>
    <n v="0.26419999999999999"/>
    <n v="1.268"/>
    <s v="Elementary Occupational Therapist"/>
  </r>
  <r>
    <x v="253"/>
    <s v="Personnel"/>
    <s v="H "/>
    <x v="1"/>
    <x v="19"/>
    <s v="PSES High Prog21Duty43 S275"/>
    <x v="1"/>
    <s v="43"/>
    <n v="43"/>
    <m/>
    <s v="   "/>
    <n v="0.6"/>
    <n v="0.26419999999999999"/>
    <n v="0.159"/>
    <s v="High Occupational Therapist"/>
  </r>
  <r>
    <x v="253"/>
    <s v="Personnel"/>
    <s v="M "/>
    <x v="2"/>
    <x v="31"/>
    <s v="PSES Mid Prog21Duty43 S275"/>
    <x v="1"/>
    <s v="43"/>
    <n v="43"/>
    <m/>
    <s v="   "/>
    <n v="0.4"/>
    <n v="0.26419999999999999"/>
    <n v="0.106"/>
    <s v="Middle Occupational Therapist"/>
  </r>
  <r>
    <x v="253"/>
    <s v="Personnel"/>
    <s v="E "/>
    <x v="0"/>
    <x v="42"/>
    <s v="PSES Elem Prog01Duty44 S275"/>
    <x v="0"/>
    <s v="44"/>
    <n v="44"/>
    <m/>
    <s v="   "/>
    <n v="7.8"/>
    <n v="0.26419999999999999"/>
    <n v="0"/>
    <s v="Elementary Social Worker"/>
  </r>
  <r>
    <x v="253"/>
    <s v="Personnel"/>
    <s v="H "/>
    <x v="1"/>
    <x v="44"/>
    <s v="PSES High Prog01Duty44 S275"/>
    <x v="0"/>
    <s v="44"/>
    <n v="44"/>
    <m/>
    <s v="   "/>
    <n v="2.4"/>
    <n v="0.26419999999999999"/>
    <n v="0"/>
    <s v="High Social Worker"/>
  </r>
  <r>
    <x v="253"/>
    <s v="Personnel"/>
    <s v="M "/>
    <x v="2"/>
    <x v="46"/>
    <s v="PSES Mid Prog01Duty44 S275"/>
    <x v="0"/>
    <s v="44"/>
    <n v="44"/>
    <m/>
    <s v="   "/>
    <n v="1.4"/>
    <n v="0.26419999999999999"/>
    <n v="0"/>
    <s v="Middle Social Worker"/>
  </r>
  <r>
    <x v="253"/>
    <s v="Personnel"/>
    <s v="E "/>
    <x v="0"/>
    <x v="20"/>
    <s v="PSES Elem Prog21Duty45 S275"/>
    <x v="1"/>
    <s v="45"/>
    <n v="45"/>
    <m/>
    <s v="   "/>
    <n v="11.978"/>
    <n v="0.26419999999999999"/>
    <n v="3.165"/>
    <s v="Elementary Speech, Language Pathway/_x000a_Audio"/>
  </r>
  <r>
    <x v="253"/>
    <s v="Personnel"/>
    <s v="H "/>
    <x v="1"/>
    <x v="21"/>
    <s v="PSES High Prog21Duty45 S275"/>
    <x v="1"/>
    <s v="45"/>
    <n v="45"/>
    <m/>
    <s v="   "/>
    <n v="2.8"/>
    <n v="0.26419999999999999"/>
    <n v="0.74"/>
    <s v="High Speech, Language Pathway/_x000a_Audio"/>
  </r>
  <r>
    <x v="253"/>
    <s v="Personnel"/>
    <s v="M "/>
    <x v="2"/>
    <x v="28"/>
    <s v="PSES Mid Prog21Duty45 S275"/>
    <x v="1"/>
    <s v="45"/>
    <n v="45"/>
    <m/>
    <s v="   "/>
    <n v="1.6"/>
    <n v="0.26419999999999999"/>
    <n v="0.42299999999999999"/>
    <s v="Middle Speech, Language Pathway/_x000a_Audio"/>
  </r>
  <r>
    <x v="253"/>
    <s v="Personnel"/>
    <s v="E "/>
    <x v="0"/>
    <x v="22"/>
    <s v="PSES Elem Prog21Duty46 S275"/>
    <x v="1"/>
    <s v="46"/>
    <n v="46"/>
    <m/>
    <s v="   "/>
    <n v="5.2670000000000003"/>
    <n v="0.26419999999999999"/>
    <n v="1.3919999999999999"/>
    <s v="Elementary Psychologist"/>
  </r>
  <r>
    <x v="253"/>
    <s v="Personnel"/>
    <s v="E "/>
    <x v="0"/>
    <x v="48"/>
    <s v="PSES Elem Prog01Duty46 S275"/>
    <x v="0"/>
    <s v="46"/>
    <n v="46"/>
    <m/>
    <s v="   "/>
    <n v="0.1"/>
    <n v="0.26419999999999999"/>
    <n v="0"/>
    <s v="Elementary Psychologist"/>
  </r>
  <r>
    <x v="253"/>
    <s v="Personnel"/>
    <s v="H "/>
    <x v="1"/>
    <x v="23"/>
    <s v="PSES High Prog21Duty46 S275"/>
    <x v="1"/>
    <s v="46"/>
    <n v="46"/>
    <m/>
    <s v="   "/>
    <n v="3.2"/>
    <n v="0.26419999999999999"/>
    <n v="0.84499999999999997"/>
    <s v="High Psychologist"/>
  </r>
  <r>
    <x v="253"/>
    <s v="Personnel"/>
    <s v="M "/>
    <x v="2"/>
    <x v="24"/>
    <s v="PSES Mid Prog21Duty46 S275"/>
    <x v="1"/>
    <s v="46"/>
    <n v="46"/>
    <m/>
    <s v="   "/>
    <n v="0.93300000000000005"/>
    <n v="0.26419999999999999"/>
    <n v="0.246"/>
    <s v="Middle Psychologist"/>
  </r>
  <r>
    <x v="253"/>
    <s v="Personnel"/>
    <s v="E "/>
    <x v="0"/>
    <x v="27"/>
    <s v="PSES Elem Prog01Duty47 S275"/>
    <x v="0"/>
    <s v="47"/>
    <n v="47"/>
    <m/>
    <s v="   "/>
    <n v="3.3679999999999999"/>
    <n v="0.26419999999999999"/>
    <n v="0"/>
    <s v="Elementary Nurse"/>
  </r>
  <r>
    <x v="253"/>
    <s v="Personnel"/>
    <s v="H "/>
    <x v="1"/>
    <x v="25"/>
    <s v="PSES High Prog01Duty47 S275"/>
    <x v="0"/>
    <s v="47"/>
    <n v="47"/>
    <m/>
    <s v="   "/>
    <n v="1.9"/>
    <n v="0.26419999999999999"/>
    <n v="0"/>
    <s v="High Nurse"/>
  </r>
  <r>
    <x v="253"/>
    <s v="Personnel"/>
    <s v="M "/>
    <x v="2"/>
    <x v="34"/>
    <s v="PSES Mid Prog01Duty47 S275"/>
    <x v="0"/>
    <s v="47"/>
    <n v="47"/>
    <m/>
    <s v="   "/>
    <n v="0.93300000000000005"/>
    <n v="0.26419999999999999"/>
    <n v="0"/>
    <s v="Middle Nurse"/>
  </r>
  <r>
    <x v="253"/>
    <s v="Personnel"/>
    <s v="E "/>
    <x v="0"/>
    <x v="35"/>
    <s v="PSES Elem Prog21Duty48 S275"/>
    <x v="1"/>
    <s v="48"/>
    <n v="48"/>
    <m/>
    <s v="   "/>
    <n v="2.2999999999999998"/>
    <n v="0.26419999999999999"/>
    <n v="0.60799999999999998"/>
    <s v="Elementary Physical Therapist"/>
  </r>
  <r>
    <x v="253"/>
    <s v="Personnel"/>
    <s v="H "/>
    <x v="1"/>
    <x v="36"/>
    <s v="PSES High Prog21Duty48 S275"/>
    <x v="1"/>
    <s v="48"/>
    <n v="48"/>
    <m/>
    <s v="   "/>
    <n v="0.2"/>
    <n v="0.26419999999999999"/>
    <n v="5.2999999999999999E-2"/>
    <s v="High Physical Therapist"/>
  </r>
  <r>
    <x v="253"/>
    <s v="Personnel"/>
    <s v="M "/>
    <x v="2"/>
    <x v="37"/>
    <s v="PSES Mid Prog21Duty48 S275"/>
    <x v="1"/>
    <s v="48"/>
    <n v="48"/>
    <m/>
    <s v="   "/>
    <n v="0.1"/>
    <n v="0.26419999999999999"/>
    <n v="2.5999999999999999E-2"/>
    <s v="Middle Physical Therapist"/>
  </r>
  <r>
    <x v="254"/>
    <s v="Personnel"/>
    <s v="E "/>
    <x v="0"/>
    <x v="3"/>
    <s v="PSES Elem Prog01Act25 S275"/>
    <x v="0"/>
    <s v="25"/>
    <m/>
    <n v="25"/>
    <s v="   "/>
    <n v="1.1020000000000001"/>
    <n v="0.23139999999999999"/>
    <n v="0"/>
    <s v="Elementary Pupil Management"/>
  </r>
  <r>
    <x v="254"/>
    <s v="Personnel"/>
    <s v="H "/>
    <x v="1"/>
    <x v="5"/>
    <s v="PSES High Prog01Act25 S275"/>
    <x v="0"/>
    <s v="25"/>
    <m/>
    <n v="25"/>
    <s v="   "/>
    <n v="4.4999999999999998E-2"/>
    <n v="0.23139999999999999"/>
    <n v="0"/>
    <s v="High Pupil Management"/>
  </r>
  <r>
    <x v="254"/>
    <s v="Personnel"/>
    <s v="M "/>
    <x v="2"/>
    <x v="6"/>
    <s v="PSES Mid Prog01Act25 S275"/>
    <x v="0"/>
    <s v="25"/>
    <m/>
    <n v="25"/>
    <s v="   "/>
    <n v="0.13900000000000001"/>
    <n v="0.23139999999999999"/>
    <n v="0"/>
    <s v="Middle Pupil Management"/>
  </r>
  <r>
    <x v="254"/>
    <s v="Personnel"/>
    <s v="E "/>
    <x v="0"/>
    <x v="7"/>
    <s v="PSES Elem Prog21Act26 S275"/>
    <x v="1"/>
    <s v="26"/>
    <m/>
    <n v="26"/>
    <s v="   "/>
    <n v="0.92700000000000005"/>
    <n v="0.23139999999999999"/>
    <n v="0.215"/>
    <s v="Elementary Health/_x000a_Related Services"/>
  </r>
  <r>
    <x v="254"/>
    <s v="Personnel"/>
    <s v="H "/>
    <x v="1"/>
    <x v="29"/>
    <s v="PSES High Prog21Act26 S275"/>
    <x v="1"/>
    <s v="26"/>
    <m/>
    <n v="26"/>
    <s v="   "/>
    <n v="3.5999999999999997E-2"/>
    <n v="0.23139999999999999"/>
    <n v="8.0000000000000002E-3"/>
    <s v="High Health/_x000a_Related Services"/>
  </r>
  <r>
    <x v="254"/>
    <s v="Personnel"/>
    <s v="M "/>
    <x v="2"/>
    <x v="10"/>
    <s v="PSES Mid Prog21Act26 S275"/>
    <x v="1"/>
    <s v="26"/>
    <m/>
    <n v="26"/>
    <s v="   "/>
    <n v="0.219"/>
    <n v="0.23139999999999999"/>
    <n v="5.0999999999999997E-2"/>
    <s v="Middle Health/_x000a_Related Services"/>
  </r>
  <r>
    <x v="254"/>
    <s v="Personnel"/>
    <s v="E "/>
    <x v="0"/>
    <x v="15"/>
    <s v="PSES Elem Prog01Duty42 S275"/>
    <x v="0"/>
    <s v="42"/>
    <n v="42"/>
    <m/>
    <s v="   "/>
    <n v="0.5"/>
    <n v="0.23139999999999999"/>
    <n v="0"/>
    <s v="Elementary Counselor"/>
  </r>
  <r>
    <x v="254"/>
    <s v="Personnel"/>
    <s v="H "/>
    <x v="1"/>
    <x v="16"/>
    <s v="PSES High Prog01Duty42 S275"/>
    <x v="0"/>
    <s v="42"/>
    <n v="42"/>
    <m/>
    <s v="   "/>
    <n v="1"/>
    <n v="0.23139999999999999"/>
    <n v="0"/>
    <s v="High Counselor"/>
  </r>
  <r>
    <x v="254"/>
    <s v="Personnel"/>
    <s v="M "/>
    <x v="2"/>
    <x v="17"/>
    <s v="PSES Mid Prog01Duty42 S275"/>
    <x v="0"/>
    <s v="42"/>
    <n v="42"/>
    <m/>
    <s v="   "/>
    <n v="0.5"/>
    <n v="0.23139999999999999"/>
    <n v="0"/>
    <s v="Middle Counselor"/>
  </r>
  <r>
    <x v="254"/>
    <s v="Personnel"/>
    <s v="E "/>
    <x v="0"/>
    <x v="18"/>
    <s v="PSES Elem Prog21Duty43 S275"/>
    <x v="1"/>
    <s v="43"/>
    <n v="43"/>
    <m/>
    <s v="   "/>
    <n v="0.67"/>
    <n v="0.23139999999999999"/>
    <n v="0.155"/>
    <s v="Elementary Occupational Therapist"/>
  </r>
  <r>
    <x v="254"/>
    <s v="Personnel"/>
    <s v="H "/>
    <x v="1"/>
    <x v="19"/>
    <s v="PSES High Prog21Duty43 S275"/>
    <x v="1"/>
    <s v="43"/>
    <n v="43"/>
    <m/>
    <s v="   "/>
    <n v="0.08"/>
    <n v="0.23139999999999999"/>
    <n v="1.9E-2"/>
    <s v="High Occupational Therapist"/>
  </r>
  <r>
    <x v="254"/>
    <s v="Personnel"/>
    <s v="M "/>
    <x v="2"/>
    <x v="31"/>
    <s v="PSES Mid Prog21Duty43 S275"/>
    <x v="1"/>
    <s v="43"/>
    <n v="43"/>
    <m/>
    <s v="   "/>
    <n v="0.25"/>
    <n v="0.23139999999999999"/>
    <n v="5.8000000000000003E-2"/>
    <s v="Middle Occupational Therapist"/>
  </r>
  <r>
    <x v="254"/>
    <s v="Personnel"/>
    <s v="E "/>
    <x v="0"/>
    <x v="79"/>
    <s v="PSES Elem Prog01Duty49 S275"/>
    <x v="0"/>
    <s v="49"/>
    <n v="49"/>
    <m/>
    <s v="   "/>
    <n v="1"/>
    <n v="0.23139999999999999"/>
    <n v="0"/>
    <s v="Elementary Behavior Analyst"/>
  </r>
  <r>
    <x v="254"/>
    <s v="Personnel"/>
    <s v="M "/>
    <x v="2"/>
    <x v="89"/>
    <s v="PSES Mid Prog01Duty49 S275"/>
    <x v="0"/>
    <s v="49"/>
    <n v="49"/>
    <m/>
    <s v="   "/>
    <n v="0.6"/>
    <n v="0.23139999999999999"/>
    <n v="0"/>
    <s v="Middle Behavior Analyst"/>
  </r>
  <r>
    <x v="255"/>
    <s v="Personnel"/>
    <s v="H "/>
    <x v="1"/>
    <x v="5"/>
    <s v="PSES High Prog01Act25 S275"/>
    <x v="0"/>
    <s v="25"/>
    <m/>
    <n v="25"/>
    <s v="   "/>
    <n v="1.7230000000000001"/>
    <n v="0.153"/>
    <n v="0"/>
    <s v="High Pupil Management"/>
  </r>
  <r>
    <x v="255"/>
    <s v="Personnel"/>
    <s v="E "/>
    <x v="0"/>
    <x v="8"/>
    <s v="PSES Elem Prog01Act26 S275"/>
    <x v="0"/>
    <s v="26"/>
    <m/>
    <n v="26"/>
    <s v="   "/>
    <n v="0.32400000000000001"/>
    <n v="0.153"/>
    <n v="0"/>
    <s v="Elementary Health/_x000a_Related Services"/>
  </r>
  <r>
    <x v="255"/>
    <s v="Personnel"/>
    <s v="M "/>
    <x v="2"/>
    <x v="11"/>
    <s v="PSES Mid Prog01Act26 S275"/>
    <x v="0"/>
    <s v="26"/>
    <m/>
    <n v="26"/>
    <s v="   "/>
    <n v="0.182"/>
    <n v="0.153"/>
    <n v="0"/>
    <s v="Middle Health/_x000a_Related Services"/>
  </r>
  <r>
    <x v="255"/>
    <s v="Personnel"/>
    <s v="E "/>
    <x v="0"/>
    <x v="15"/>
    <s v="PSES Elem Prog01Duty42 S275"/>
    <x v="0"/>
    <s v="42"/>
    <n v="42"/>
    <m/>
    <s v="   "/>
    <n v="0.8"/>
    <n v="0.153"/>
    <n v="0"/>
    <s v="Elementary Counselor"/>
  </r>
  <r>
    <x v="255"/>
    <s v="Personnel"/>
    <s v="M "/>
    <x v="2"/>
    <x v="17"/>
    <s v="PSES Mid Prog01Duty42 S275"/>
    <x v="0"/>
    <s v="42"/>
    <n v="42"/>
    <m/>
    <s v="   "/>
    <n v="1"/>
    <n v="0.153"/>
    <n v="0"/>
    <s v="Middle Counselor"/>
  </r>
  <r>
    <x v="256"/>
    <s v="Personnel"/>
    <s v="H "/>
    <x v="1"/>
    <x v="29"/>
    <s v="PSES High Prog21Act26 S275"/>
    <x v="1"/>
    <s v="26"/>
    <m/>
    <n v="26"/>
    <s v="   "/>
    <n v="0.88100000000000001"/>
    <n v="0.2341"/>
    <n v="0.20599999999999999"/>
    <s v="High Health/_x000a_Related Services"/>
  </r>
  <r>
    <x v="256"/>
    <s v="Personnel"/>
    <s v="E "/>
    <x v="0"/>
    <x v="15"/>
    <s v="PSES Elem Prog01Duty42 S275"/>
    <x v="0"/>
    <s v="42"/>
    <n v="42"/>
    <m/>
    <s v="   "/>
    <n v="2.3330000000000002"/>
    <n v="0.2341"/>
    <n v="0"/>
    <s v="Elementary Counselor"/>
  </r>
  <r>
    <x v="256"/>
    <s v="Personnel"/>
    <s v="H "/>
    <x v="1"/>
    <x v="16"/>
    <s v="PSES High Prog01Duty42 S275"/>
    <x v="0"/>
    <s v="42"/>
    <n v="42"/>
    <m/>
    <s v="   "/>
    <n v="2"/>
    <n v="0.2341"/>
    <n v="0"/>
    <s v="High Counselor"/>
  </r>
  <r>
    <x v="256"/>
    <s v="Personnel"/>
    <s v="M "/>
    <x v="2"/>
    <x v="17"/>
    <s v="PSES Mid Prog01Duty42 S275"/>
    <x v="0"/>
    <s v="42"/>
    <n v="42"/>
    <m/>
    <s v="   "/>
    <n v="0.66700000000000004"/>
    <n v="0.2341"/>
    <n v="0"/>
    <s v="Middle Counselor"/>
  </r>
  <r>
    <x v="256"/>
    <s v="Personnel"/>
    <s v="E "/>
    <x v="0"/>
    <x v="20"/>
    <s v="PSES Elem Prog21Duty45 S275"/>
    <x v="1"/>
    <s v="45"/>
    <n v="45"/>
    <m/>
    <s v="   "/>
    <n v="1.25"/>
    <n v="0.2341"/>
    <n v="0.29299999999999998"/>
    <s v="Elementary Speech, Language Pathway/_x000a_Audio"/>
  </r>
  <r>
    <x v="256"/>
    <s v="Personnel"/>
    <s v="E "/>
    <x v="0"/>
    <x v="22"/>
    <s v="PSES Elem Prog21Duty46 S275"/>
    <x v="1"/>
    <s v="46"/>
    <n v="46"/>
    <m/>
    <s v="   "/>
    <n v="1.1000000000000001"/>
    <n v="0.2341"/>
    <n v="0.25800000000000001"/>
    <s v="Elementary Psychologist"/>
  </r>
  <r>
    <x v="256"/>
    <s v="Personnel"/>
    <s v="H "/>
    <x v="1"/>
    <x v="23"/>
    <s v="PSES High Prog21Duty46 S275"/>
    <x v="1"/>
    <s v="46"/>
    <n v="46"/>
    <m/>
    <s v="   "/>
    <n v="0.4"/>
    <n v="0.2341"/>
    <n v="9.4E-2"/>
    <s v="High Psychologist"/>
  </r>
  <r>
    <x v="257"/>
    <s v="Personnel"/>
    <s v="E "/>
    <x v="0"/>
    <x v="8"/>
    <s v="PSES Elem Prog01Act26 S275"/>
    <x v="0"/>
    <s v="26"/>
    <m/>
    <n v="26"/>
    <s v="   "/>
    <n v="0.75"/>
    <n v="0.2487"/>
    <n v="0"/>
    <s v="Elementary Health/_x000a_Related Services"/>
  </r>
  <r>
    <x v="257"/>
    <s v="Personnel"/>
    <s v="H "/>
    <x v="1"/>
    <x v="9"/>
    <s v="PSES High Prog01Act26 S275"/>
    <x v="0"/>
    <s v="26"/>
    <m/>
    <n v="26"/>
    <s v="   "/>
    <n v="0.375"/>
    <n v="0.2487"/>
    <n v="0"/>
    <s v="High Health/_x000a_Related Services"/>
  </r>
  <r>
    <x v="257"/>
    <s v="Personnel"/>
    <s v="M "/>
    <x v="2"/>
    <x v="11"/>
    <s v="PSES Mid Prog01Act26 S275"/>
    <x v="0"/>
    <s v="26"/>
    <m/>
    <n v="26"/>
    <s v="   "/>
    <n v="0.375"/>
    <n v="0.2487"/>
    <n v="0"/>
    <s v="Middle Health/_x000a_Related Services"/>
  </r>
  <r>
    <x v="257"/>
    <s v="Personnel"/>
    <s v="E "/>
    <x v="0"/>
    <x v="15"/>
    <s v="PSES Elem Prog01Duty42 S275"/>
    <x v="0"/>
    <s v="42"/>
    <n v="42"/>
    <m/>
    <s v="   "/>
    <n v="1.8"/>
    <n v="0.2487"/>
    <n v="0"/>
    <s v="Elementary Counselor"/>
  </r>
  <r>
    <x v="257"/>
    <s v="Personnel"/>
    <s v="H "/>
    <x v="1"/>
    <x v="16"/>
    <s v="PSES High Prog01Duty42 S275"/>
    <x v="0"/>
    <s v="42"/>
    <n v="42"/>
    <m/>
    <s v="   "/>
    <n v="0.75"/>
    <n v="0.2487"/>
    <n v="0"/>
    <s v="High Counselor"/>
  </r>
  <r>
    <x v="257"/>
    <s v="Personnel"/>
    <s v="M "/>
    <x v="2"/>
    <x v="17"/>
    <s v="PSES Mid Prog01Duty42 S275"/>
    <x v="0"/>
    <s v="42"/>
    <n v="42"/>
    <m/>
    <s v="   "/>
    <n v="0.6"/>
    <n v="0.2487"/>
    <n v="0"/>
    <s v="Middle Counselor"/>
  </r>
  <r>
    <x v="257"/>
    <s v="Personnel"/>
    <s v="E "/>
    <x v="0"/>
    <x v="20"/>
    <s v="PSES Elem Prog21Duty45 S275"/>
    <x v="1"/>
    <s v="45"/>
    <n v="45"/>
    <m/>
    <s v="   "/>
    <n v="1"/>
    <n v="0.2487"/>
    <n v="0.249"/>
    <s v="Elementary Speech, Language Pathway/_x000a_Audio"/>
  </r>
  <r>
    <x v="258"/>
    <s v="Personnel"/>
    <s v="E "/>
    <x v="0"/>
    <x v="15"/>
    <s v="PSES Elem Prog01Duty42 S275"/>
    <x v="0"/>
    <s v="42"/>
    <n v="42"/>
    <m/>
    <s v="   "/>
    <n v="0.67"/>
    <n v="0.19539999999999999"/>
    <n v="0"/>
    <s v="Elementary Counselor"/>
  </r>
  <r>
    <x v="258"/>
    <s v="Personnel"/>
    <s v="M "/>
    <x v="2"/>
    <x v="17"/>
    <s v="PSES Mid Prog01Duty42 S275"/>
    <x v="0"/>
    <s v="42"/>
    <n v="42"/>
    <m/>
    <s v="   "/>
    <n v="0.33"/>
    <n v="0.19539999999999999"/>
    <n v="0"/>
    <s v="Middle Counselor"/>
  </r>
  <r>
    <x v="259"/>
    <s v="Personnel"/>
    <s v="E "/>
    <x v="0"/>
    <x v="3"/>
    <s v="PSES Elem Prog01Act25 S275"/>
    <x v="0"/>
    <s v="25"/>
    <m/>
    <n v="25"/>
    <s v="   "/>
    <n v="0.93700000000000006"/>
    <n v="0.1913"/>
    <n v="0"/>
    <s v="Elementary Pupil Management"/>
  </r>
  <r>
    <x v="259"/>
    <s v="Personnel"/>
    <s v="M "/>
    <x v="2"/>
    <x v="6"/>
    <s v="PSES Mid Prog01Act25 S275"/>
    <x v="0"/>
    <s v="25"/>
    <m/>
    <n v="25"/>
    <s v="   "/>
    <n v="0.17699999999999999"/>
    <n v="0.1913"/>
    <n v="0"/>
    <s v="Middle Pupil Management"/>
  </r>
  <r>
    <x v="260"/>
    <s v="Personnel"/>
    <s v="H "/>
    <x v="1"/>
    <x v="4"/>
    <s v="PSES High Prog21Act25 S275"/>
    <x v="1"/>
    <s v="25"/>
    <m/>
    <n v="25"/>
    <s v="   "/>
    <n v="3.7909999999999999"/>
    <n v="0.2253"/>
    <n v="0.85399999999999998"/>
    <s v="High Pupil Management"/>
  </r>
  <r>
    <x v="260"/>
    <s v="Personnel"/>
    <s v="E "/>
    <x v="0"/>
    <x v="7"/>
    <s v="PSES Elem Prog21Act26 S275"/>
    <x v="1"/>
    <s v="26"/>
    <m/>
    <n v="26"/>
    <s v="   "/>
    <n v="5.6000000000000001E-2"/>
    <n v="0.2253"/>
    <n v="1.2999999999999999E-2"/>
    <s v="Elementary Health/_x000a_Related Services"/>
  </r>
  <r>
    <x v="260"/>
    <s v="Personnel"/>
    <s v="E "/>
    <x v="0"/>
    <x v="8"/>
    <s v="PSES Elem Prog01Act26 S275"/>
    <x v="0"/>
    <s v="26"/>
    <m/>
    <n v="26"/>
    <s v="   "/>
    <n v="0.13100000000000001"/>
    <n v="0.2253"/>
    <n v="0"/>
    <s v="Elementary Health/_x000a_Related Services"/>
  </r>
  <r>
    <x v="260"/>
    <s v="Personnel"/>
    <s v="H "/>
    <x v="1"/>
    <x v="29"/>
    <s v="PSES High Prog21Act26 S275"/>
    <x v="1"/>
    <s v="26"/>
    <m/>
    <n v="26"/>
    <s v="   "/>
    <n v="0.54800000000000004"/>
    <n v="0.2253"/>
    <n v="0.123"/>
    <s v="High Health/_x000a_Related Services"/>
  </r>
  <r>
    <x v="260"/>
    <s v="Personnel"/>
    <s v="H "/>
    <x v="1"/>
    <x v="9"/>
    <s v="PSES High Prog01Act26 S275"/>
    <x v="0"/>
    <s v="26"/>
    <m/>
    <n v="26"/>
    <s v="   "/>
    <n v="3.8679999999999999"/>
    <n v="0.2253"/>
    <n v="0"/>
    <s v="High Health/_x000a_Related Services"/>
  </r>
  <r>
    <x v="260"/>
    <s v="Personnel"/>
    <s v="M "/>
    <x v="2"/>
    <x v="11"/>
    <s v="PSES Mid Prog01Act26 S275"/>
    <x v="0"/>
    <s v="26"/>
    <m/>
    <n v="26"/>
    <s v="   "/>
    <n v="0.373"/>
    <n v="0.2253"/>
    <n v="0"/>
    <s v="Middle Health/_x000a_Related Services"/>
  </r>
  <r>
    <x v="260"/>
    <s v="Personnel"/>
    <s v="E "/>
    <x v="0"/>
    <x v="62"/>
    <s v="PSES Elem Prog01Act35 S275"/>
    <x v="0"/>
    <s v="35"/>
    <m/>
    <n v="35"/>
    <s v="   "/>
    <n v="0.48399999999999999"/>
    <n v="0.2253"/>
    <n v="0"/>
    <s v="Elementary Pupil Safety"/>
  </r>
  <r>
    <x v="260"/>
    <s v="Personnel"/>
    <s v="H "/>
    <x v="1"/>
    <x v="54"/>
    <s v="PSES High Prog01Act35 S275"/>
    <x v="0"/>
    <s v="35"/>
    <m/>
    <n v="35"/>
    <s v="   "/>
    <n v="2.181"/>
    <n v="0.2253"/>
    <n v="0"/>
    <s v="High Pupil Safety"/>
  </r>
  <r>
    <x v="260"/>
    <s v="Personnel"/>
    <s v="M "/>
    <x v="2"/>
    <x v="63"/>
    <s v="PSES Mid Prog01Act35 S275"/>
    <x v="0"/>
    <s v="35"/>
    <m/>
    <n v="35"/>
    <s v="   "/>
    <n v="0.97"/>
    <n v="0.2253"/>
    <n v="0"/>
    <s v="Middle Pupil Safety"/>
  </r>
  <r>
    <x v="260"/>
    <s v="Personnel"/>
    <s v="E "/>
    <x v="0"/>
    <x v="76"/>
    <s v="PSES Elem Prog21Duty42 S275"/>
    <x v="1"/>
    <s v="42"/>
    <n v="42"/>
    <m/>
    <s v="   "/>
    <n v="0.5"/>
    <n v="0.2253"/>
    <n v="0.113"/>
    <s v="Elementary Counselor"/>
  </r>
  <r>
    <x v="260"/>
    <s v="Personnel"/>
    <s v="E "/>
    <x v="0"/>
    <x v="15"/>
    <s v="PSES Elem Prog01Duty42 S275"/>
    <x v="0"/>
    <s v="42"/>
    <n v="42"/>
    <m/>
    <s v="   "/>
    <n v="5.82"/>
    <n v="0.2253"/>
    <n v="0"/>
    <s v="Elementary Counselor"/>
  </r>
  <r>
    <x v="260"/>
    <s v="Personnel"/>
    <s v="H "/>
    <x v="1"/>
    <x v="16"/>
    <s v="PSES High Prog01Duty42 S275"/>
    <x v="0"/>
    <s v="42"/>
    <n v="42"/>
    <m/>
    <s v="   "/>
    <n v="5"/>
    <n v="0.2253"/>
    <n v="0"/>
    <s v="High Counselor"/>
  </r>
  <r>
    <x v="260"/>
    <s v="Personnel"/>
    <s v="M "/>
    <x v="2"/>
    <x v="17"/>
    <s v="PSES Mid Prog01Duty42 S275"/>
    <x v="0"/>
    <s v="42"/>
    <n v="42"/>
    <m/>
    <s v="   "/>
    <n v="2.68"/>
    <n v="0.2253"/>
    <n v="0"/>
    <s v="Middle Counselor"/>
  </r>
  <r>
    <x v="260"/>
    <s v="Personnel"/>
    <s v="E "/>
    <x v="0"/>
    <x v="18"/>
    <s v="PSES Elem Prog21Duty43 S275"/>
    <x v="1"/>
    <s v="43"/>
    <n v="43"/>
    <m/>
    <s v="   "/>
    <n v="1"/>
    <n v="0.2253"/>
    <n v="0.22500000000000001"/>
    <s v="Elementary Occupational Therapist"/>
  </r>
  <r>
    <x v="260"/>
    <s v="Personnel"/>
    <s v="E "/>
    <x v="0"/>
    <x v="20"/>
    <s v="PSES Elem Prog21Duty45 S275"/>
    <x v="1"/>
    <s v="45"/>
    <n v="45"/>
    <m/>
    <s v="   "/>
    <n v="5.1159999999999997"/>
    <n v="0.2253"/>
    <n v="1.153"/>
    <s v="Elementary Speech, Language Pathway/_x000a_Audio"/>
  </r>
  <r>
    <x v="260"/>
    <s v="Personnel"/>
    <s v="H "/>
    <x v="1"/>
    <x v="21"/>
    <s v="PSES High Prog21Duty45 S275"/>
    <x v="1"/>
    <s v="45"/>
    <n v="45"/>
    <m/>
    <s v="   "/>
    <n v="1.3080000000000001"/>
    <n v="0.2253"/>
    <n v="0.29499999999999998"/>
    <s v="High Speech, Language Pathway/_x000a_Audio"/>
  </r>
  <r>
    <x v="260"/>
    <s v="Personnel"/>
    <s v="M "/>
    <x v="2"/>
    <x v="28"/>
    <s v="PSES Mid Prog21Duty45 S275"/>
    <x v="1"/>
    <s v="45"/>
    <n v="45"/>
    <m/>
    <s v="   "/>
    <n v="1.3759999999999999"/>
    <n v="0.2253"/>
    <n v="0.31"/>
    <s v="Middle Speech, Language Pathway/_x000a_Audio"/>
  </r>
  <r>
    <x v="260"/>
    <s v="Personnel"/>
    <s v="E "/>
    <x v="0"/>
    <x v="22"/>
    <s v="PSES Elem Prog21Duty46 S275"/>
    <x v="1"/>
    <s v="46"/>
    <n v="46"/>
    <m/>
    <s v="   "/>
    <n v="2.556"/>
    <n v="0.2253"/>
    <n v="0.57599999999999996"/>
    <s v="Elementary Psychologist"/>
  </r>
  <r>
    <x v="260"/>
    <s v="Personnel"/>
    <s v="H "/>
    <x v="1"/>
    <x v="23"/>
    <s v="PSES High Prog21Duty46 S275"/>
    <x v="1"/>
    <s v="46"/>
    <n v="46"/>
    <m/>
    <s v="   "/>
    <n v="2.15"/>
    <n v="0.2253"/>
    <n v="0.48399999999999999"/>
    <s v="High Psychologist"/>
  </r>
  <r>
    <x v="260"/>
    <s v="Personnel"/>
    <s v="M "/>
    <x v="2"/>
    <x v="24"/>
    <s v="PSES Mid Prog21Duty46 S275"/>
    <x v="1"/>
    <s v="46"/>
    <n v="46"/>
    <m/>
    <s v="   "/>
    <n v="0.89400000000000002"/>
    <n v="0.2253"/>
    <n v="0.20100000000000001"/>
    <s v="Middle Psychologist"/>
  </r>
  <r>
    <x v="260"/>
    <s v="Personnel"/>
    <s v="E "/>
    <x v="0"/>
    <x v="32"/>
    <s v="PSES Elem Prog21Duty47 S275"/>
    <x v="1"/>
    <s v="47"/>
    <n v="47"/>
    <m/>
    <s v="   "/>
    <n v="1.25"/>
    <n v="0.2253"/>
    <n v="0.28199999999999997"/>
    <s v="Elementary Nurse"/>
  </r>
  <r>
    <x v="260"/>
    <s v="Personnel"/>
    <s v="E "/>
    <x v="0"/>
    <x v="27"/>
    <s v="PSES Elem Prog01Duty47 S275"/>
    <x v="0"/>
    <s v="47"/>
    <n v="47"/>
    <m/>
    <s v="   "/>
    <n v="1.091"/>
    <n v="0.2253"/>
    <n v="0"/>
    <s v="Elementary Nurse"/>
  </r>
  <r>
    <x v="260"/>
    <s v="Personnel"/>
    <s v="H "/>
    <x v="1"/>
    <x v="61"/>
    <s v="PSES High Prog21Duty47 S275"/>
    <x v="1"/>
    <s v="47"/>
    <n v="47"/>
    <m/>
    <s v="   "/>
    <n v="9.2999999999999999E-2"/>
    <n v="0.2253"/>
    <n v="2.1000000000000001E-2"/>
    <s v="High Nurse"/>
  </r>
  <r>
    <x v="260"/>
    <s v="Personnel"/>
    <s v="H "/>
    <x v="1"/>
    <x v="25"/>
    <s v="PSES High Prog01Duty47 S275"/>
    <x v="0"/>
    <s v="47"/>
    <n v="47"/>
    <m/>
    <s v="   "/>
    <n v="0.84099999999999997"/>
    <n v="0.2253"/>
    <n v="0"/>
    <s v="High Nurse"/>
  </r>
  <r>
    <x v="260"/>
    <s v="Personnel"/>
    <s v="M "/>
    <x v="2"/>
    <x v="34"/>
    <s v="PSES Mid Prog01Duty47 S275"/>
    <x v="0"/>
    <s v="47"/>
    <n v="47"/>
    <m/>
    <s v="   "/>
    <n v="0.436"/>
    <n v="0.2253"/>
    <n v="0"/>
    <s v="Middle Nurse"/>
  </r>
  <r>
    <x v="260"/>
    <s v="Personnel"/>
    <s v="E "/>
    <x v="0"/>
    <x v="35"/>
    <s v="PSES Elem Prog21Duty48 S275"/>
    <x v="1"/>
    <s v="48"/>
    <n v="48"/>
    <m/>
    <s v="   "/>
    <n v="0.75"/>
    <n v="0.2253"/>
    <n v="0.16900000000000001"/>
    <s v="Elementary Physical Therapist"/>
  </r>
  <r>
    <x v="260"/>
    <s v="Personnel"/>
    <s v="H "/>
    <x v="1"/>
    <x v="36"/>
    <s v="PSES High Prog21Duty48 S275"/>
    <x v="1"/>
    <s v="48"/>
    <n v="48"/>
    <m/>
    <s v="   "/>
    <n v="0.5"/>
    <n v="0.2253"/>
    <n v="0.113"/>
    <s v="High Physical Therapist"/>
  </r>
  <r>
    <x v="260"/>
    <s v="Personnel"/>
    <s v="M "/>
    <x v="2"/>
    <x v="37"/>
    <s v="PSES Mid Prog21Duty48 S275"/>
    <x v="1"/>
    <s v="48"/>
    <n v="48"/>
    <m/>
    <s v="   "/>
    <n v="0.5"/>
    <n v="0.2253"/>
    <n v="0.113"/>
    <s v="Middle Physical Therapist"/>
  </r>
  <r>
    <x v="260"/>
    <s v="Personnel"/>
    <s v="E "/>
    <x v="0"/>
    <x v="38"/>
    <s v="PSES Elem Prog21Duty64 S275"/>
    <x v="1"/>
    <s v="64"/>
    <n v="64"/>
    <m/>
    <s v="   "/>
    <n v="2.0960000000000001"/>
    <n v="0.2253"/>
    <n v="0.47199999999999998"/>
    <s v="Elementary Contractor ESA"/>
  </r>
  <r>
    <x v="260"/>
    <s v="Personnel"/>
    <s v="H "/>
    <x v="1"/>
    <x v="59"/>
    <s v="PSES High Prog21Duty64 S275"/>
    <x v="1"/>
    <s v="64"/>
    <n v="64"/>
    <m/>
    <s v="   "/>
    <n v="0.33800000000000002"/>
    <n v="0.2253"/>
    <n v="7.5999999999999998E-2"/>
    <s v="High Contractor ESA"/>
  </r>
  <r>
    <x v="260"/>
    <s v="Personnel"/>
    <s v="M "/>
    <x v="2"/>
    <x v="60"/>
    <s v="PSES Mid Prog21Duty64 S275"/>
    <x v="1"/>
    <s v="64"/>
    <n v="64"/>
    <m/>
    <s v="   "/>
    <n v="0.16900000000000001"/>
    <n v="0.2253"/>
    <n v="3.7999999999999999E-2"/>
    <s v="Middle Contractor ESA"/>
  </r>
  <r>
    <x v="260"/>
    <s v="Personnel"/>
    <s v="K"/>
    <x v="0"/>
    <x v="85"/>
    <s v="PSES Elem Prog09Duty47 S275"/>
    <x v="3"/>
    <s v="47"/>
    <n v="47"/>
    <n v="26"/>
    <m/>
    <n v="0.223"/>
    <n v="0.2253"/>
    <n v="0"/>
    <s v="TK Nurse"/>
  </r>
  <r>
    <x v="260"/>
    <s v="Personnel"/>
    <m/>
    <x v="0"/>
    <x v="66"/>
    <s v="PSES Elem Prog09Duty25 S275"/>
    <x v="3"/>
    <s v="25"/>
    <n v="91"/>
    <n v="25"/>
    <m/>
    <n v="3.9E-2"/>
    <n v="0.2253"/>
    <n v="0"/>
    <s v="TK Pupil Management"/>
  </r>
  <r>
    <x v="260"/>
    <s v="Personnel"/>
    <m/>
    <x v="0"/>
    <x v="66"/>
    <s v="PSES Elem Prog09Duty25 S275"/>
    <x v="3"/>
    <s v="25"/>
    <n v="91"/>
    <n v="25"/>
    <m/>
    <n v="0.09"/>
    <n v="0.2253"/>
    <n v="0"/>
    <s v="TK Pupil Management"/>
  </r>
  <r>
    <x v="260"/>
    <s v="Personnel"/>
    <m/>
    <x v="0"/>
    <x v="66"/>
    <s v="PSES Elem Prog09Duty25 S275"/>
    <x v="3"/>
    <s v="25"/>
    <n v="91"/>
    <n v="25"/>
    <m/>
    <n v="8.5000000000000006E-2"/>
    <n v="0.2253"/>
    <n v="0"/>
    <s v="TK Pupil Management"/>
  </r>
  <r>
    <x v="260"/>
    <s v="Personnel"/>
    <m/>
    <x v="0"/>
    <x v="66"/>
    <s v="PSES Elem Prog09Duty25 S275"/>
    <x v="3"/>
    <s v="25"/>
    <n v="91"/>
    <n v="25"/>
    <m/>
    <n v="0.25700000000000001"/>
    <n v="0.2253"/>
    <n v="0"/>
    <s v="TK Pupil Management"/>
  </r>
  <r>
    <x v="260"/>
    <s v="Personnel"/>
    <m/>
    <x v="0"/>
    <x v="66"/>
    <s v="PSES Elem Prog09Duty25 S275"/>
    <x v="3"/>
    <s v="25"/>
    <n v="91"/>
    <n v="25"/>
    <m/>
    <n v="6.2E-2"/>
    <n v="0.2253"/>
    <n v="0"/>
    <s v="TK Pupil Management"/>
  </r>
  <r>
    <x v="260"/>
    <s v="Personnel"/>
    <m/>
    <x v="0"/>
    <x v="66"/>
    <s v="PSES Elem Prog09Duty25 S275"/>
    <x v="3"/>
    <s v="25"/>
    <n v="91"/>
    <n v="25"/>
    <m/>
    <n v="0.05"/>
    <n v="0.2253"/>
    <n v="0"/>
    <s v="TK Pupil Management"/>
  </r>
  <r>
    <x v="260"/>
    <s v="Personnel"/>
    <s v="T"/>
    <x v="0"/>
    <x v="84"/>
    <s v="PSES Elem Prog09Duty26 S275"/>
    <x v="3"/>
    <s v="26"/>
    <n v="96"/>
    <n v="26"/>
    <m/>
    <n v="0.504"/>
    <n v="0.2253"/>
    <n v="0"/>
    <s v="TK Health/_x000a_Related Services"/>
  </r>
  <r>
    <x v="261"/>
    <s v="Personnel"/>
    <s v="E "/>
    <x v="0"/>
    <x v="3"/>
    <s v="PSES Elem Prog01Act25 S275"/>
    <x v="0"/>
    <s v="25"/>
    <m/>
    <n v="25"/>
    <s v="   "/>
    <n v="0.437"/>
    <n v="0.27229999999999999"/>
    <n v="0"/>
    <s v="Elementary Pupil Management"/>
  </r>
  <r>
    <x v="261"/>
    <s v="Personnel"/>
    <s v="H "/>
    <x v="1"/>
    <x v="4"/>
    <s v="PSES High Prog21Act25 S275"/>
    <x v="1"/>
    <s v="25"/>
    <m/>
    <n v="25"/>
    <s v="   "/>
    <n v="0.91500000000000004"/>
    <n v="0.27229999999999999"/>
    <n v="0.249"/>
    <s v="High Pupil Management"/>
  </r>
  <r>
    <x v="261"/>
    <s v="Personnel"/>
    <s v="M "/>
    <x v="2"/>
    <x v="6"/>
    <s v="PSES Mid Prog01Act25 S275"/>
    <x v="0"/>
    <s v="25"/>
    <m/>
    <n v="25"/>
    <s v="   "/>
    <n v="0.23"/>
    <n v="0.27229999999999999"/>
    <n v="0"/>
    <s v="Middle Pupil Management"/>
  </r>
  <r>
    <x v="261"/>
    <s v="Personnel"/>
    <s v="E "/>
    <x v="0"/>
    <x v="7"/>
    <s v="PSES Elem Prog21Act26 S275"/>
    <x v="1"/>
    <s v="26"/>
    <m/>
    <n v="26"/>
    <s v="   "/>
    <n v="0.68500000000000005"/>
    <n v="0.27229999999999999"/>
    <n v="0.187"/>
    <s v="Elementary Health/_x000a_Related Services"/>
  </r>
  <r>
    <x v="261"/>
    <s v="Personnel"/>
    <s v="E "/>
    <x v="0"/>
    <x v="8"/>
    <s v="PSES Elem Prog01Act26 S275"/>
    <x v="0"/>
    <s v="26"/>
    <m/>
    <n v="26"/>
    <s v="   "/>
    <n v="0.70299999999999996"/>
    <n v="0.27229999999999999"/>
    <n v="0"/>
    <s v="Elementary Health/_x000a_Related Services"/>
  </r>
  <r>
    <x v="261"/>
    <s v="Personnel"/>
    <s v="H "/>
    <x v="1"/>
    <x v="9"/>
    <s v="PSES High Prog01Act26 S275"/>
    <x v="0"/>
    <s v="26"/>
    <m/>
    <n v="26"/>
    <s v="   "/>
    <n v="1.7030000000000001"/>
    <n v="0.27229999999999999"/>
    <n v="0"/>
    <s v="High Health/_x000a_Related Services"/>
  </r>
  <r>
    <x v="261"/>
    <s v="Personnel"/>
    <s v="M "/>
    <x v="2"/>
    <x v="11"/>
    <s v="PSES Mid Prog01Act26 S275"/>
    <x v="0"/>
    <s v="26"/>
    <m/>
    <n v="26"/>
    <s v="   "/>
    <n v="0.70299999999999996"/>
    <n v="0.27229999999999999"/>
    <n v="0"/>
    <s v="Middle Health/_x000a_Related Services"/>
  </r>
  <r>
    <x v="261"/>
    <s v="Personnel"/>
    <s v="E "/>
    <x v="0"/>
    <x v="15"/>
    <s v="PSES Elem Prog01Duty42 S275"/>
    <x v="0"/>
    <s v="42"/>
    <n v="42"/>
    <m/>
    <s v="   "/>
    <n v="3"/>
    <n v="0.27229999999999999"/>
    <n v="0"/>
    <s v="Elementary Counselor"/>
  </r>
  <r>
    <x v="261"/>
    <s v="Personnel"/>
    <s v="H "/>
    <x v="1"/>
    <x v="16"/>
    <s v="PSES High Prog01Duty42 S275"/>
    <x v="0"/>
    <s v="42"/>
    <n v="42"/>
    <m/>
    <s v="   "/>
    <n v="0.86"/>
    <n v="0.27229999999999999"/>
    <n v="0"/>
    <s v="High Counselor"/>
  </r>
  <r>
    <x v="261"/>
    <s v="Personnel"/>
    <s v="E "/>
    <x v="0"/>
    <x v="42"/>
    <s v="PSES Elem Prog01Duty44 S275"/>
    <x v="0"/>
    <s v="44"/>
    <n v="44"/>
    <m/>
    <s v="   "/>
    <n v="0.5"/>
    <n v="0.27229999999999999"/>
    <n v="0"/>
    <s v="Elementary Social Worker"/>
  </r>
  <r>
    <x v="261"/>
    <s v="Personnel"/>
    <s v="H "/>
    <x v="1"/>
    <x v="44"/>
    <s v="PSES High Prog01Duty44 S275"/>
    <x v="0"/>
    <s v="44"/>
    <n v="44"/>
    <m/>
    <s v="   "/>
    <n v="0.25"/>
    <n v="0.27229999999999999"/>
    <n v="0"/>
    <s v="High Social Worker"/>
  </r>
  <r>
    <x v="261"/>
    <s v="Personnel"/>
    <s v="M "/>
    <x v="2"/>
    <x v="46"/>
    <s v="PSES Mid Prog01Duty44 S275"/>
    <x v="0"/>
    <s v="44"/>
    <n v="44"/>
    <m/>
    <s v="   "/>
    <n v="0.25"/>
    <n v="0.27229999999999999"/>
    <n v="0"/>
    <s v="Middle Social Worker"/>
  </r>
  <r>
    <x v="261"/>
    <s v="Personnel"/>
    <s v="E "/>
    <x v="0"/>
    <x v="20"/>
    <s v="PSES Elem Prog21Duty45 S275"/>
    <x v="1"/>
    <s v="45"/>
    <n v="45"/>
    <m/>
    <s v="   "/>
    <n v="1"/>
    <n v="0.27229999999999999"/>
    <n v="0.27200000000000002"/>
    <s v="Elementary Speech, Language Pathway/_x000a_Audio"/>
  </r>
  <r>
    <x v="261"/>
    <s v="Personnel"/>
    <s v="E "/>
    <x v="0"/>
    <x v="22"/>
    <s v="PSES Elem Prog21Duty46 S275"/>
    <x v="1"/>
    <s v="46"/>
    <n v="46"/>
    <m/>
    <s v="   "/>
    <n v="1"/>
    <n v="0.27229999999999999"/>
    <n v="0.27200000000000002"/>
    <s v="Elementary Psychologist"/>
  </r>
  <r>
    <x v="262"/>
    <s v="Personnel"/>
    <s v="E "/>
    <x v="0"/>
    <x v="8"/>
    <s v="PSES Elem Prog01Act26 S275"/>
    <x v="0"/>
    <s v="26"/>
    <m/>
    <n v="26"/>
    <s v="   "/>
    <n v="0.25"/>
    <n v="0.105"/>
    <n v="0"/>
    <s v="Elementary Health/_x000a_Related Services"/>
  </r>
  <r>
    <x v="262"/>
    <s v="Personnel"/>
    <s v="H "/>
    <x v="1"/>
    <x v="16"/>
    <s v="PSES High Prog01Duty42 S275"/>
    <x v="0"/>
    <s v="42"/>
    <n v="42"/>
    <m/>
    <s v="   "/>
    <n v="0.6"/>
    <n v="0.105"/>
    <n v="0"/>
    <s v="High Counselor"/>
  </r>
  <r>
    <x v="263"/>
    <s v="Personnel"/>
    <s v="H "/>
    <x v="1"/>
    <x v="9"/>
    <s v="PSES High Prog01Act26 S275"/>
    <x v="0"/>
    <s v="26"/>
    <m/>
    <n v="26"/>
    <s v="   "/>
    <n v="0.36499999999999999"/>
    <n v="0.24610000000000001"/>
    <n v="0"/>
    <s v="High Health/_x000a_Related Services"/>
  </r>
  <r>
    <x v="263"/>
    <s v="Personnel"/>
    <s v="M "/>
    <x v="2"/>
    <x v="11"/>
    <s v="PSES Mid Prog01Act26 S275"/>
    <x v="0"/>
    <s v="26"/>
    <m/>
    <n v="26"/>
    <s v="   "/>
    <n v="0.36499999999999999"/>
    <n v="0.24610000000000001"/>
    <n v="0"/>
    <s v="Middle Health/_x000a_Related Services"/>
  </r>
  <r>
    <x v="263"/>
    <s v="Personnel"/>
    <s v="H "/>
    <x v="1"/>
    <x v="16"/>
    <s v="PSES High Prog01Duty42 S275"/>
    <x v="0"/>
    <s v="42"/>
    <n v="42"/>
    <m/>
    <s v="   "/>
    <n v="1"/>
    <n v="0.24610000000000001"/>
    <n v="0"/>
    <s v="High Counselor"/>
  </r>
  <r>
    <x v="263"/>
    <s v="Personnel"/>
    <s v="E "/>
    <x v="0"/>
    <x v="22"/>
    <s v="PSES Elem Prog21Duty46 S275"/>
    <x v="1"/>
    <s v="46"/>
    <n v="46"/>
    <m/>
    <s v="   "/>
    <n v="0.25"/>
    <n v="0.24610000000000001"/>
    <n v="6.2E-2"/>
    <s v="Elementary Psychologist"/>
  </r>
  <r>
    <x v="263"/>
    <s v="Personnel"/>
    <s v="E "/>
    <x v="0"/>
    <x v="48"/>
    <s v="PSES Elem Prog01Duty46 S275"/>
    <x v="0"/>
    <s v="46"/>
    <n v="46"/>
    <m/>
    <s v="   "/>
    <n v="0.25"/>
    <n v="0.24610000000000001"/>
    <n v="0"/>
    <s v="Elementary Psychologist"/>
  </r>
  <r>
    <x v="263"/>
    <s v="Personnel"/>
    <s v="H "/>
    <x v="1"/>
    <x v="23"/>
    <s v="PSES High Prog21Duty46 S275"/>
    <x v="1"/>
    <s v="46"/>
    <n v="46"/>
    <m/>
    <s v="   "/>
    <n v="0.125"/>
    <n v="0.24610000000000001"/>
    <n v="3.1E-2"/>
    <s v="High Psychologist"/>
  </r>
  <r>
    <x v="263"/>
    <s v="Personnel"/>
    <s v="H "/>
    <x v="1"/>
    <x v="65"/>
    <s v="PSES High Prog01Duty46 S275"/>
    <x v="0"/>
    <s v="46"/>
    <n v="46"/>
    <m/>
    <s v="   "/>
    <n v="0.125"/>
    <n v="0.24610000000000001"/>
    <n v="0"/>
    <s v="High Psychologist"/>
  </r>
  <r>
    <x v="263"/>
    <s v="Personnel"/>
    <s v="M "/>
    <x v="2"/>
    <x v="24"/>
    <s v="PSES Mid Prog21Duty46 S275"/>
    <x v="1"/>
    <s v="46"/>
    <n v="46"/>
    <m/>
    <s v="   "/>
    <n v="0.125"/>
    <n v="0.24610000000000001"/>
    <n v="3.1E-2"/>
    <s v="Middle Psychologist"/>
  </r>
  <r>
    <x v="263"/>
    <s v="Personnel"/>
    <s v="M "/>
    <x v="2"/>
    <x v="49"/>
    <s v="PSES Mid Prog01Duty46 S275"/>
    <x v="0"/>
    <s v="46"/>
    <n v="46"/>
    <m/>
    <s v="   "/>
    <n v="0.125"/>
    <n v="0.24610000000000001"/>
    <n v="0"/>
    <s v="Middle Psychologist"/>
  </r>
  <r>
    <x v="264"/>
    <s v="Personnel"/>
    <s v="E "/>
    <x v="0"/>
    <x v="0"/>
    <s v="PSES Elem Prog01Duty96 S275"/>
    <x v="0"/>
    <s v="24"/>
    <n v="96"/>
    <n v="24"/>
    <s v="   "/>
    <n v="0.23599999999999999"/>
    <n v="0.1913"/>
    <n v="0"/>
    <s v="Elementary Family Engagement Coordinator"/>
  </r>
  <r>
    <x v="264"/>
    <s v="Personnel"/>
    <s v="H "/>
    <x v="1"/>
    <x v="1"/>
    <s v="PSES High Prog01Duty96 S275"/>
    <x v="0"/>
    <s v="24"/>
    <n v="96"/>
    <n v="24"/>
    <s v="   "/>
    <n v="0.23599999999999999"/>
    <n v="0.1913"/>
    <n v="0"/>
    <s v="High Family Engagement Coordinator"/>
  </r>
  <r>
    <x v="264"/>
    <s v="Personnel"/>
    <s v="M "/>
    <x v="2"/>
    <x v="2"/>
    <s v="PSES Mid Prog01Duty96 S275"/>
    <x v="0"/>
    <s v="24"/>
    <n v="96"/>
    <n v="24"/>
    <s v="   "/>
    <n v="0.23599999999999999"/>
    <n v="0.1913"/>
    <n v="0"/>
    <s v="Middle Family Engagement Coordinator"/>
  </r>
  <r>
    <x v="264"/>
    <s v="Personnel"/>
    <s v="H "/>
    <x v="1"/>
    <x v="4"/>
    <s v="PSES High Prog21Act25 S275"/>
    <x v="1"/>
    <s v="25"/>
    <m/>
    <n v="25"/>
    <s v="   "/>
    <n v="0.16400000000000001"/>
    <n v="0.1913"/>
    <n v="3.1E-2"/>
    <s v="High Pupil Management"/>
  </r>
  <r>
    <x v="264"/>
    <s v="Personnel"/>
    <s v="H "/>
    <x v="1"/>
    <x v="5"/>
    <s v="PSES High Prog01Act25 S275"/>
    <x v="0"/>
    <s v="25"/>
    <m/>
    <n v="25"/>
    <s v="   "/>
    <n v="0.40799999999999997"/>
    <n v="0.1913"/>
    <n v="0"/>
    <s v="High Pupil Management"/>
  </r>
  <r>
    <x v="265"/>
    <s v="Personnel"/>
    <s v="E "/>
    <x v="0"/>
    <x v="8"/>
    <s v="PSES Elem Prog01Act26 S275"/>
    <x v="0"/>
    <s v="26"/>
    <m/>
    <n v="26"/>
    <s v="   "/>
    <n v="1.2999999999999999E-2"/>
    <n v="0.17299999999999999"/>
    <n v="0"/>
    <s v="Elementary Health/_x000a_Related Services"/>
  </r>
  <r>
    <x v="265"/>
    <s v="Personnel"/>
    <s v="E "/>
    <x v="0"/>
    <x v="15"/>
    <s v="PSES Elem Prog01Duty42 S275"/>
    <x v="0"/>
    <s v="42"/>
    <n v="42"/>
    <m/>
    <s v="   "/>
    <n v="0.05"/>
    <n v="0.17299999999999999"/>
    <n v="0"/>
    <s v="Elementary Counselor"/>
  </r>
  <r>
    <x v="265"/>
    <s v="Personnel"/>
    <s v="H "/>
    <x v="1"/>
    <x v="16"/>
    <s v="PSES High Prog01Duty42 S275"/>
    <x v="0"/>
    <s v="42"/>
    <n v="42"/>
    <m/>
    <s v="   "/>
    <n v="0.18"/>
    <n v="0.17299999999999999"/>
    <n v="0"/>
    <s v="High Counselor"/>
  </r>
  <r>
    <x v="265"/>
    <s v="Personnel"/>
    <s v="M "/>
    <x v="2"/>
    <x v="17"/>
    <s v="PSES Mid Prog01Duty42 S275"/>
    <x v="0"/>
    <s v="42"/>
    <n v="42"/>
    <m/>
    <s v="   "/>
    <n v="0.17"/>
    <n v="0.17299999999999999"/>
    <n v="0"/>
    <s v="Middle Counselor"/>
  </r>
  <r>
    <x v="266"/>
    <s v="Personnel"/>
    <s v="H "/>
    <x v="1"/>
    <x v="1"/>
    <s v="PSES High Prog01Duty96 S275"/>
    <x v="0"/>
    <s v="24"/>
    <n v="96"/>
    <n v="24"/>
    <s v="   "/>
    <n v="3.06"/>
    <n v="0.1875"/>
    <n v="0"/>
    <s v="High Family Engagement Coordinator"/>
  </r>
  <r>
    <x v="266"/>
    <s v="Personnel"/>
    <s v="H "/>
    <x v="1"/>
    <x v="5"/>
    <s v="PSES High Prog01Act25 S275"/>
    <x v="0"/>
    <s v="25"/>
    <m/>
    <n v="25"/>
    <s v="   "/>
    <n v="18.640999999999998"/>
    <n v="0.1875"/>
    <n v="0"/>
    <s v="High Pupil Management"/>
  </r>
  <r>
    <x v="266"/>
    <s v="Personnel"/>
    <s v="H "/>
    <x v="1"/>
    <x v="29"/>
    <s v="PSES High Prog21Act26 S275"/>
    <x v="1"/>
    <s v="26"/>
    <m/>
    <n v="26"/>
    <s v="   "/>
    <n v="1.716"/>
    <n v="0.1875"/>
    <n v="0.32200000000000001"/>
    <s v="High Health/_x000a_Related Services"/>
  </r>
  <r>
    <x v="266"/>
    <s v="Personnel"/>
    <s v="H "/>
    <x v="1"/>
    <x v="9"/>
    <s v="PSES High Prog01Act26 S275"/>
    <x v="0"/>
    <s v="26"/>
    <m/>
    <n v="26"/>
    <s v="   "/>
    <n v="5.1449999999999996"/>
    <n v="0.1875"/>
    <n v="0"/>
    <s v="High Health/_x000a_Related Services"/>
  </r>
  <r>
    <x v="266"/>
    <s v="Personnel"/>
    <s v="H "/>
    <x v="1"/>
    <x v="12"/>
    <s v="PSES High Prog97Act35 S275"/>
    <x v="2"/>
    <s v="35"/>
    <m/>
    <n v="35"/>
    <s v="   "/>
    <n v="1"/>
    <n v="0.1875"/>
    <n v="0"/>
    <s v="High Pupil Safety"/>
  </r>
  <r>
    <x v="266"/>
    <s v="Personnel"/>
    <s v="E "/>
    <x v="0"/>
    <x v="15"/>
    <s v="PSES Elem Prog01Duty42 S275"/>
    <x v="0"/>
    <s v="42"/>
    <n v="42"/>
    <m/>
    <s v="   "/>
    <n v="5.6"/>
    <n v="0.1875"/>
    <n v="0"/>
    <s v="Elementary Counselor"/>
  </r>
  <r>
    <x v="266"/>
    <s v="Personnel"/>
    <s v="H "/>
    <x v="1"/>
    <x v="16"/>
    <s v="PSES High Prog01Duty42 S275"/>
    <x v="0"/>
    <s v="42"/>
    <n v="42"/>
    <m/>
    <s v="   "/>
    <n v="8.94"/>
    <n v="0.1875"/>
    <n v="0"/>
    <s v="High Counselor"/>
  </r>
  <r>
    <x v="266"/>
    <s v="Personnel"/>
    <s v="M "/>
    <x v="2"/>
    <x v="17"/>
    <s v="PSES Mid Prog01Duty42 S275"/>
    <x v="0"/>
    <s v="42"/>
    <n v="42"/>
    <m/>
    <s v="   "/>
    <n v="5.42"/>
    <n v="0.1875"/>
    <n v="0"/>
    <s v="Middle Counselor"/>
  </r>
  <r>
    <x v="266"/>
    <s v="Personnel"/>
    <s v="E "/>
    <x v="0"/>
    <x v="18"/>
    <s v="PSES Elem Prog21Duty43 S275"/>
    <x v="1"/>
    <s v="43"/>
    <n v="43"/>
    <m/>
    <s v="   "/>
    <n v="6.4160000000000004"/>
    <n v="0.1875"/>
    <n v="1.2030000000000001"/>
    <s v="Elementary Occupational Therapist"/>
  </r>
  <r>
    <x v="266"/>
    <s v="Personnel"/>
    <s v="H "/>
    <x v="1"/>
    <x v="19"/>
    <s v="PSES High Prog21Duty43 S275"/>
    <x v="1"/>
    <s v="43"/>
    <n v="43"/>
    <m/>
    <s v="   "/>
    <n v="0.6"/>
    <n v="0.1875"/>
    <n v="0.113"/>
    <s v="High Occupational Therapist"/>
  </r>
  <r>
    <x v="266"/>
    <s v="Personnel"/>
    <s v="M "/>
    <x v="2"/>
    <x v="31"/>
    <s v="PSES Mid Prog21Duty43 S275"/>
    <x v="1"/>
    <s v="43"/>
    <n v="43"/>
    <m/>
    <s v="   "/>
    <n v="1.0840000000000001"/>
    <n v="0.1875"/>
    <n v="0.20300000000000001"/>
    <s v="Middle Occupational Therapist"/>
  </r>
  <r>
    <x v="266"/>
    <s v="Personnel"/>
    <s v="E "/>
    <x v="0"/>
    <x v="20"/>
    <s v="PSES Elem Prog21Duty45 S275"/>
    <x v="1"/>
    <s v="45"/>
    <n v="45"/>
    <m/>
    <s v="   "/>
    <n v="13.75"/>
    <n v="0.1875"/>
    <n v="2.5779999999999998"/>
    <s v="Elementary Speech, Language Pathway/_x000a_Audio"/>
  </r>
  <r>
    <x v="266"/>
    <s v="Personnel"/>
    <s v="H "/>
    <x v="1"/>
    <x v="21"/>
    <s v="PSES High Prog21Duty45 S275"/>
    <x v="1"/>
    <s v="45"/>
    <n v="45"/>
    <m/>
    <s v="   "/>
    <n v="2.5840000000000001"/>
    <n v="0.1875"/>
    <n v="0.48499999999999999"/>
    <s v="High Speech, Language Pathway/_x000a_Audio"/>
  </r>
  <r>
    <x v="266"/>
    <s v="Personnel"/>
    <s v="M "/>
    <x v="2"/>
    <x v="28"/>
    <s v="PSES Mid Prog21Duty45 S275"/>
    <x v="1"/>
    <s v="45"/>
    <n v="45"/>
    <m/>
    <s v="   "/>
    <n v="2.5659999999999998"/>
    <n v="0.1875"/>
    <n v="0.48099999999999998"/>
    <s v="Middle Speech, Language Pathway/_x000a_Audio"/>
  </r>
  <r>
    <x v="266"/>
    <s v="Personnel"/>
    <s v="E "/>
    <x v="0"/>
    <x v="22"/>
    <s v="PSES Elem Prog21Duty46 S275"/>
    <x v="1"/>
    <s v="46"/>
    <n v="46"/>
    <m/>
    <s v="   "/>
    <n v="8.6999999999999993"/>
    <n v="0.1875"/>
    <n v="1.631"/>
    <s v="Elementary Psychologist"/>
  </r>
  <r>
    <x v="266"/>
    <s v="Personnel"/>
    <s v="H "/>
    <x v="1"/>
    <x v="23"/>
    <s v="PSES High Prog21Duty46 S275"/>
    <x v="1"/>
    <s v="46"/>
    <n v="46"/>
    <m/>
    <s v="   "/>
    <n v="3.1669999999999998"/>
    <n v="0.1875"/>
    <n v="0.59399999999999997"/>
    <s v="High Psychologist"/>
  </r>
  <r>
    <x v="266"/>
    <s v="Personnel"/>
    <s v="M "/>
    <x v="2"/>
    <x v="24"/>
    <s v="PSES Mid Prog21Duty46 S275"/>
    <x v="1"/>
    <s v="46"/>
    <n v="46"/>
    <m/>
    <s v="   "/>
    <n v="2.133"/>
    <n v="0.1875"/>
    <n v="0.4"/>
    <s v="Middle Psychologist"/>
  </r>
  <r>
    <x v="266"/>
    <s v="Personnel"/>
    <s v="E "/>
    <x v="0"/>
    <x v="27"/>
    <s v="PSES Elem Prog01Duty47 S275"/>
    <x v="0"/>
    <s v="47"/>
    <n v="47"/>
    <m/>
    <s v="   "/>
    <n v="4.8310000000000004"/>
    <n v="0.1875"/>
    <n v="0"/>
    <s v="Elementary Nurse"/>
  </r>
  <r>
    <x v="266"/>
    <s v="Personnel"/>
    <s v="H "/>
    <x v="1"/>
    <x v="25"/>
    <s v="PSES High Prog01Duty47 S275"/>
    <x v="0"/>
    <s v="47"/>
    <n v="47"/>
    <m/>
    <s v="   "/>
    <n v="1.667"/>
    <n v="0.1875"/>
    <n v="0"/>
    <s v="High Nurse"/>
  </r>
  <r>
    <x v="266"/>
    <s v="Personnel"/>
    <s v="M "/>
    <x v="2"/>
    <x v="34"/>
    <s v="PSES Mid Prog01Duty47 S275"/>
    <x v="0"/>
    <s v="47"/>
    <n v="47"/>
    <m/>
    <s v="   "/>
    <n v="1.502"/>
    <n v="0.1875"/>
    <n v="0"/>
    <s v="Middle Nurse"/>
  </r>
  <r>
    <x v="266"/>
    <s v="Personnel"/>
    <s v="E "/>
    <x v="0"/>
    <x v="35"/>
    <s v="PSES Elem Prog21Duty48 S275"/>
    <x v="1"/>
    <s v="48"/>
    <n v="48"/>
    <m/>
    <s v="   "/>
    <n v="1.17"/>
    <n v="0.1875"/>
    <n v="0.219"/>
    <s v="Elementary Physical Therapist"/>
  </r>
  <r>
    <x v="266"/>
    <s v="Personnel"/>
    <s v="H "/>
    <x v="1"/>
    <x v="36"/>
    <s v="PSES High Prog21Duty48 S275"/>
    <x v="1"/>
    <s v="48"/>
    <n v="48"/>
    <m/>
    <s v="   "/>
    <n v="0.41499999999999998"/>
    <n v="0.1875"/>
    <n v="7.8E-2"/>
    <s v="High Physical Therapist"/>
  </r>
  <r>
    <x v="266"/>
    <s v="Personnel"/>
    <s v="M "/>
    <x v="2"/>
    <x v="37"/>
    <s v="PSES Mid Prog21Duty48 S275"/>
    <x v="1"/>
    <s v="48"/>
    <n v="48"/>
    <m/>
    <s v="   "/>
    <n v="0.33200000000000002"/>
    <n v="0.1875"/>
    <n v="6.2E-2"/>
    <s v="Middle Physical Therapist"/>
  </r>
  <r>
    <x v="267"/>
    <s v="Personnel"/>
    <s v="H "/>
    <x v="1"/>
    <x v="1"/>
    <s v="PSES High Prog01Duty96 S275"/>
    <x v="0"/>
    <s v="24"/>
    <n v="96"/>
    <n v="24"/>
    <s v="   "/>
    <n v="3.42"/>
    <n v="0.23380000000000001"/>
    <n v="0"/>
    <s v="High Family Engagement Coordinator"/>
  </r>
  <r>
    <x v="267"/>
    <s v="Personnel"/>
    <s v="H "/>
    <x v="1"/>
    <x v="4"/>
    <s v="PSES High Prog21Act25 S275"/>
    <x v="1"/>
    <s v="25"/>
    <m/>
    <n v="25"/>
    <s v="   "/>
    <n v="0.14000000000000001"/>
    <n v="0.23380000000000001"/>
    <n v="3.3000000000000002E-2"/>
    <s v="High Pupil Management"/>
  </r>
  <r>
    <x v="267"/>
    <s v="Personnel"/>
    <s v="H "/>
    <x v="1"/>
    <x v="5"/>
    <s v="PSES High Prog01Act25 S275"/>
    <x v="0"/>
    <s v="25"/>
    <m/>
    <n v="25"/>
    <s v="   "/>
    <n v="6.0730000000000004"/>
    <n v="0.23380000000000001"/>
    <n v="0"/>
    <s v="High Pupil Management"/>
  </r>
  <r>
    <x v="267"/>
    <s v="Personnel"/>
    <s v="H "/>
    <x v="1"/>
    <x v="29"/>
    <s v="PSES High Prog21Act26 S275"/>
    <x v="1"/>
    <s v="26"/>
    <m/>
    <n v="26"/>
    <s v="   "/>
    <n v="1.401"/>
    <n v="0.23380000000000001"/>
    <n v="0.32800000000000001"/>
    <s v="High Health/_x000a_Related Services"/>
  </r>
  <r>
    <x v="267"/>
    <s v="Personnel"/>
    <s v="H "/>
    <x v="1"/>
    <x v="9"/>
    <s v="PSES High Prog01Act26 S275"/>
    <x v="0"/>
    <s v="26"/>
    <m/>
    <n v="26"/>
    <s v="   "/>
    <n v="2.2370000000000001"/>
    <n v="0.23380000000000001"/>
    <n v="0"/>
    <s v="High Health/_x000a_Related Services"/>
  </r>
  <r>
    <x v="267"/>
    <s v="Personnel"/>
    <s v="H "/>
    <x v="1"/>
    <x v="16"/>
    <s v="PSES High Prog01Duty42 S275"/>
    <x v="0"/>
    <s v="42"/>
    <n v="42"/>
    <m/>
    <s v="   "/>
    <n v="3"/>
    <n v="0.23380000000000001"/>
    <n v="0"/>
    <s v="High Counselor"/>
  </r>
  <r>
    <x v="267"/>
    <s v="Personnel"/>
    <s v="M "/>
    <x v="2"/>
    <x v="17"/>
    <s v="PSES Mid Prog01Duty42 S275"/>
    <x v="0"/>
    <s v="42"/>
    <n v="42"/>
    <m/>
    <s v="   "/>
    <n v="2"/>
    <n v="0.23380000000000001"/>
    <n v="0"/>
    <s v="Middle Counselor"/>
  </r>
  <r>
    <x v="267"/>
    <s v="Personnel"/>
    <s v="E "/>
    <x v="0"/>
    <x v="18"/>
    <s v="PSES Elem Prog21Duty43 S275"/>
    <x v="1"/>
    <s v="43"/>
    <n v="43"/>
    <m/>
    <s v="   "/>
    <n v="1.891"/>
    <n v="0.23380000000000001"/>
    <n v="0.442"/>
    <s v="Elementary Occupational Therapist"/>
  </r>
  <r>
    <x v="267"/>
    <s v="Personnel"/>
    <s v="H "/>
    <x v="1"/>
    <x v="19"/>
    <s v="PSES High Prog21Duty43 S275"/>
    <x v="1"/>
    <s v="43"/>
    <n v="43"/>
    <m/>
    <s v="   "/>
    <n v="0.51500000000000001"/>
    <n v="0.23380000000000001"/>
    <n v="0.12"/>
    <s v="High Occupational Therapist"/>
  </r>
  <r>
    <x v="267"/>
    <s v="Personnel"/>
    <s v="M "/>
    <x v="2"/>
    <x v="31"/>
    <s v="PSES Mid Prog21Duty43 S275"/>
    <x v="1"/>
    <s v="43"/>
    <n v="43"/>
    <m/>
    <s v="   "/>
    <n v="1.069"/>
    <n v="0.23380000000000001"/>
    <n v="0.25"/>
    <s v="Middle Occupational Therapist"/>
  </r>
  <r>
    <x v="267"/>
    <s v="Personnel"/>
    <s v="E "/>
    <x v="0"/>
    <x v="20"/>
    <s v="PSES Elem Prog21Duty45 S275"/>
    <x v="1"/>
    <s v="45"/>
    <n v="45"/>
    <m/>
    <s v="   "/>
    <n v="5.0999999999999996"/>
    <n v="0.23380000000000001"/>
    <n v="1.1919999999999999"/>
    <s v="Elementary Speech, Language Pathway/_x000a_Audio"/>
  </r>
  <r>
    <x v="267"/>
    <s v="Personnel"/>
    <s v="H "/>
    <x v="1"/>
    <x v="21"/>
    <s v="PSES High Prog21Duty45 S275"/>
    <x v="1"/>
    <s v="45"/>
    <n v="45"/>
    <m/>
    <s v="   "/>
    <n v="0.5"/>
    <n v="0.23380000000000001"/>
    <n v="0.11700000000000001"/>
    <s v="High Speech, Language Pathway/_x000a_Audio"/>
  </r>
  <r>
    <x v="267"/>
    <s v="Personnel"/>
    <s v="M "/>
    <x v="2"/>
    <x v="28"/>
    <s v="PSES Mid Prog21Duty45 S275"/>
    <x v="1"/>
    <s v="45"/>
    <n v="45"/>
    <m/>
    <s v="   "/>
    <n v="1.05"/>
    <n v="0.23380000000000001"/>
    <n v="0.245"/>
    <s v="Middle Speech, Language Pathway/_x000a_Audio"/>
  </r>
  <r>
    <x v="267"/>
    <s v="Personnel"/>
    <s v="M "/>
    <x v="2"/>
    <x v="52"/>
    <s v="PSES Mid Prog01Duty45 S275"/>
    <x v="0"/>
    <s v="45"/>
    <n v="45"/>
    <m/>
    <s v="   "/>
    <n v="0.05"/>
    <n v="0.23380000000000001"/>
    <n v="0"/>
    <s v="Middle Speech, Language Pathway/_x000a_Audio"/>
  </r>
  <r>
    <x v="267"/>
    <s v="Personnel"/>
    <s v="E "/>
    <x v="0"/>
    <x v="22"/>
    <s v="PSES Elem Prog21Duty46 S275"/>
    <x v="1"/>
    <s v="46"/>
    <n v="46"/>
    <m/>
    <s v="   "/>
    <n v="2.5"/>
    <n v="0.23380000000000001"/>
    <n v="0.58499999999999996"/>
    <s v="Elementary Psychologist"/>
  </r>
  <r>
    <x v="267"/>
    <s v="Personnel"/>
    <s v="H "/>
    <x v="1"/>
    <x v="23"/>
    <s v="PSES High Prog21Duty46 S275"/>
    <x v="1"/>
    <s v="46"/>
    <n v="46"/>
    <m/>
    <s v="   "/>
    <n v="2.5"/>
    <n v="0.23380000000000001"/>
    <n v="0.58499999999999996"/>
    <s v="High Psychologist"/>
  </r>
  <r>
    <x v="267"/>
    <s v="Personnel"/>
    <s v="E "/>
    <x v="0"/>
    <x v="27"/>
    <s v="PSES Elem Prog01Duty47 S275"/>
    <x v="0"/>
    <s v="47"/>
    <n v="47"/>
    <m/>
    <s v="   "/>
    <n v="1.5"/>
    <n v="0.23380000000000001"/>
    <n v="0"/>
    <s v="Elementary Nurse"/>
  </r>
  <r>
    <x v="267"/>
    <s v="Personnel"/>
    <s v="M "/>
    <x v="2"/>
    <x v="34"/>
    <s v="PSES Mid Prog01Duty47 S275"/>
    <x v="0"/>
    <s v="47"/>
    <n v="47"/>
    <m/>
    <s v="   "/>
    <n v="1.8"/>
    <n v="0.23380000000000001"/>
    <n v="0"/>
    <s v="Middle Nurse"/>
  </r>
  <r>
    <x v="267"/>
    <s v="Personnel"/>
    <s v="E "/>
    <x v="0"/>
    <x v="35"/>
    <s v="PSES Elem Prog21Duty48 S275"/>
    <x v="1"/>
    <s v="48"/>
    <n v="48"/>
    <m/>
    <s v="   "/>
    <n v="1"/>
    <n v="0.23380000000000001"/>
    <n v="0.23400000000000001"/>
    <s v="Elementary Physical Therapist"/>
  </r>
  <r>
    <x v="267"/>
    <s v="Personnel"/>
    <s v="H "/>
    <x v="1"/>
    <x v="36"/>
    <s v="PSES High Prog21Duty48 S275"/>
    <x v="1"/>
    <s v="48"/>
    <n v="48"/>
    <m/>
    <s v="   "/>
    <n v="0.20100000000000001"/>
    <n v="0.23380000000000001"/>
    <n v="4.7E-2"/>
    <s v="High Physical Therapist"/>
  </r>
  <r>
    <x v="267"/>
    <s v="Personnel"/>
    <s v="M "/>
    <x v="2"/>
    <x v="37"/>
    <s v="PSES Mid Prog21Duty48 S275"/>
    <x v="1"/>
    <s v="48"/>
    <n v="48"/>
    <m/>
    <s v="   "/>
    <n v="0.2"/>
    <n v="0.23380000000000001"/>
    <n v="4.7E-2"/>
    <s v="Middle Physical Therapist"/>
  </r>
  <r>
    <x v="268"/>
    <s v="Personnel"/>
    <s v="E "/>
    <x v="0"/>
    <x v="3"/>
    <s v="PSES Elem Prog01Act25 S275"/>
    <x v="0"/>
    <s v="25"/>
    <m/>
    <n v="25"/>
    <s v="   "/>
    <n v="0.23200000000000001"/>
    <n v="0.1777"/>
    <n v="0"/>
    <s v="Elementary Pupil Management"/>
  </r>
  <r>
    <x v="268"/>
    <s v="Personnel"/>
    <s v="H "/>
    <x v="1"/>
    <x v="4"/>
    <s v="PSES High Prog21Act25 S275"/>
    <x v="1"/>
    <s v="25"/>
    <m/>
    <n v="25"/>
    <s v="   "/>
    <n v="0.03"/>
    <n v="0.1777"/>
    <n v="5.0000000000000001E-3"/>
    <s v="High Pupil Management"/>
  </r>
  <r>
    <x v="268"/>
    <s v="Personnel"/>
    <s v="H "/>
    <x v="1"/>
    <x v="5"/>
    <s v="PSES High Prog01Act25 S275"/>
    <x v="0"/>
    <s v="25"/>
    <m/>
    <n v="25"/>
    <s v="   "/>
    <n v="1.6240000000000001"/>
    <n v="0.1777"/>
    <n v="0"/>
    <s v="High Pupil Management"/>
  </r>
  <r>
    <x v="268"/>
    <s v="Personnel"/>
    <s v="E "/>
    <x v="0"/>
    <x v="8"/>
    <s v="PSES Elem Prog01Act26 S275"/>
    <x v="0"/>
    <s v="26"/>
    <m/>
    <n v="26"/>
    <s v="   "/>
    <n v="0.27800000000000002"/>
    <n v="0.1777"/>
    <n v="0"/>
    <s v="Elementary Health/_x000a_Related Services"/>
  </r>
  <r>
    <x v="268"/>
    <s v="Personnel"/>
    <s v="H "/>
    <x v="1"/>
    <x v="29"/>
    <s v="PSES High Prog21Act26 S275"/>
    <x v="1"/>
    <s v="26"/>
    <m/>
    <n v="26"/>
    <s v="   "/>
    <n v="1.286"/>
    <n v="0.1777"/>
    <n v="0.22900000000000001"/>
    <s v="High Health/_x000a_Related Services"/>
  </r>
  <r>
    <x v="268"/>
    <s v="Personnel"/>
    <s v="H "/>
    <x v="1"/>
    <x v="9"/>
    <s v="PSES High Prog01Act26 S275"/>
    <x v="0"/>
    <s v="26"/>
    <m/>
    <n v="26"/>
    <s v="   "/>
    <n v="0.55700000000000005"/>
    <n v="0.1777"/>
    <n v="0"/>
    <s v="High Health/_x000a_Related Services"/>
  </r>
  <r>
    <x v="268"/>
    <s v="Personnel"/>
    <s v="M "/>
    <x v="2"/>
    <x v="11"/>
    <s v="PSES Mid Prog01Act26 S275"/>
    <x v="0"/>
    <s v="26"/>
    <m/>
    <n v="26"/>
    <s v="   "/>
    <n v="0.27800000000000002"/>
    <n v="0.1777"/>
    <n v="0"/>
    <s v="Middle Health/_x000a_Related Services"/>
  </r>
  <r>
    <x v="268"/>
    <s v="Personnel"/>
    <s v="E "/>
    <x v="0"/>
    <x v="15"/>
    <s v="PSES Elem Prog01Duty42 S275"/>
    <x v="0"/>
    <s v="42"/>
    <n v="42"/>
    <m/>
    <s v="   "/>
    <n v="2.31"/>
    <n v="0.1777"/>
    <n v="0"/>
    <s v="Elementary Counselor"/>
  </r>
  <r>
    <x v="268"/>
    <s v="Personnel"/>
    <s v="H "/>
    <x v="1"/>
    <x v="16"/>
    <s v="PSES High Prog01Duty42 S275"/>
    <x v="0"/>
    <s v="42"/>
    <n v="42"/>
    <m/>
    <s v="   "/>
    <n v="1.94"/>
    <n v="0.1777"/>
    <n v="0"/>
    <s v="High Counselor"/>
  </r>
  <r>
    <x v="268"/>
    <s v="Personnel"/>
    <s v="M "/>
    <x v="2"/>
    <x v="17"/>
    <s v="PSES Mid Prog01Duty42 S275"/>
    <x v="0"/>
    <s v="42"/>
    <n v="42"/>
    <m/>
    <s v="   "/>
    <n v="0.69"/>
    <n v="0.1777"/>
    <n v="0"/>
    <s v="Middle Counselor"/>
  </r>
  <r>
    <x v="268"/>
    <s v="Personnel"/>
    <s v="E "/>
    <x v="0"/>
    <x v="18"/>
    <s v="PSES Elem Prog21Duty43 S275"/>
    <x v="1"/>
    <s v="43"/>
    <n v="43"/>
    <m/>
    <s v="   "/>
    <n v="0.4"/>
    <n v="0.1777"/>
    <n v="7.0999999999999994E-2"/>
    <s v="Elementary Occupational Therapist"/>
  </r>
  <r>
    <x v="268"/>
    <s v="Personnel"/>
    <s v="H "/>
    <x v="1"/>
    <x v="19"/>
    <s v="PSES High Prog21Duty43 S275"/>
    <x v="1"/>
    <s v="43"/>
    <n v="43"/>
    <m/>
    <s v="   "/>
    <n v="0.4"/>
    <n v="0.1777"/>
    <n v="7.0999999999999994E-2"/>
    <s v="High Occupational Therapist"/>
  </r>
  <r>
    <x v="268"/>
    <s v="Personnel"/>
    <s v="M "/>
    <x v="2"/>
    <x v="31"/>
    <s v="PSES Mid Prog21Duty43 S275"/>
    <x v="1"/>
    <s v="43"/>
    <n v="43"/>
    <m/>
    <s v="   "/>
    <n v="0.2"/>
    <n v="0.1777"/>
    <n v="3.5999999999999997E-2"/>
    <s v="Middle Occupational Therapist"/>
  </r>
  <r>
    <x v="268"/>
    <s v="Personnel"/>
    <s v="E "/>
    <x v="0"/>
    <x v="42"/>
    <s v="PSES Elem Prog01Duty44 S275"/>
    <x v="0"/>
    <s v="44"/>
    <n v="44"/>
    <m/>
    <s v="   "/>
    <n v="3.5999999999999997E-2"/>
    <n v="0.1777"/>
    <n v="0"/>
    <s v="Elementary Social Worker"/>
  </r>
  <r>
    <x v="268"/>
    <s v="Personnel"/>
    <s v="H "/>
    <x v="1"/>
    <x v="44"/>
    <s v="PSES High Prog01Duty44 S275"/>
    <x v="0"/>
    <s v="44"/>
    <n v="44"/>
    <m/>
    <s v="   "/>
    <n v="4.7E-2"/>
    <n v="0.1777"/>
    <n v="0"/>
    <s v="High Social Worker"/>
  </r>
  <r>
    <x v="268"/>
    <s v="Personnel"/>
    <s v="M "/>
    <x v="2"/>
    <x v="46"/>
    <s v="PSES Mid Prog01Duty44 S275"/>
    <x v="0"/>
    <s v="44"/>
    <n v="44"/>
    <m/>
    <s v="   "/>
    <n v="1.6E-2"/>
    <n v="0.1777"/>
    <n v="0"/>
    <s v="Middle Social Worker"/>
  </r>
  <r>
    <x v="268"/>
    <s v="Personnel"/>
    <s v="E "/>
    <x v="0"/>
    <x v="20"/>
    <s v="PSES Elem Prog21Duty45 S275"/>
    <x v="1"/>
    <s v="45"/>
    <n v="45"/>
    <m/>
    <s v="   "/>
    <n v="4.0039999999999996"/>
    <n v="0.1777"/>
    <n v="0.71199999999999997"/>
    <s v="Elementary Speech, Language Pathway/_x000a_Audio"/>
  </r>
  <r>
    <x v="268"/>
    <s v="Personnel"/>
    <s v="H "/>
    <x v="1"/>
    <x v="21"/>
    <s v="PSES High Prog21Duty45 S275"/>
    <x v="1"/>
    <s v="45"/>
    <n v="45"/>
    <m/>
    <s v="   "/>
    <n v="0.55000000000000004"/>
    <n v="0.1777"/>
    <n v="9.8000000000000004E-2"/>
    <s v="High Speech, Language Pathway/_x000a_Audio"/>
  </r>
  <r>
    <x v="268"/>
    <s v="Personnel"/>
    <s v="M "/>
    <x v="2"/>
    <x v="28"/>
    <s v="PSES Mid Prog21Duty45 S275"/>
    <x v="1"/>
    <s v="45"/>
    <n v="45"/>
    <m/>
    <s v="   "/>
    <n v="0.64"/>
    <n v="0.1777"/>
    <n v="0.114"/>
    <s v="Middle Speech, Language Pathway/_x000a_Audio"/>
  </r>
  <r>
    <x v="268"/>
    <s v="Personnel"/>
    <s v="E "/>
    <x v="0"/>
    <x v="22"/>
    <s v="PSES Elem Prog21Duty46 S275"/>
    <x v="1"/>
    <s v="46"/>
    <n v="46"/>
    <m/>
    <s v="   "/>
    <n v="1.2"/>
    <n v="0.1777"/>
    <n v="0.21299999999999999"/>
    <s v="Elementary Psychologist"/>
  </r>
  <r>
    <x v="268"/>
    <s v="Personnel"/>
    <s v="H "/>
    <x v="1"/>
    <x v="23"/>
    <s v="PSES High Prog21Duty46 S275"/>
    <x v="1"/>
    <s v="46"/>
    <n v="46"/>
    <m/>
    <s v="   "/>
    <n v="0.4"/>
    <n v="0.1777"/>
    <n v="7.0999999999999994E-2"/>
    <s v="High Psychologist"/>
  </r>
  <r>
    <x v="268"/>
    <s v="Personnel"/>
    <s v="M "/>
    <x v="2"/>
    <x v="24"/>
    <s v="PSES Mid Prog21Duty46 S275"/>
    <x v="1"/>
    <s v="46"/>
    <n v="46"/>
    <m/>
    <s v="   "/>
    <n v="0.2"/>
    <n v="0.1777"/>
    <n v="3.5999999999999997E-2"/>
    <s v="Middle Psychologist"/>
  </r>
  <r>
    <x v="268"/>
    <s v="Personnel"/>
    <s v="E "/>
    <x v="0"/>
    <x v="27"/>
    <s v="PSES Elem Prog01Duty47 S275"/>
    <x v="0"/>
    <s v="47"/>
    <n v="47"/>
    <m/>
    <s v="   "/>
    <n v="0.95"/>
    <n v="0.1777"/>
    <n v="0"/>
    <s v="Elementary Nurse"/>
  </r>
  <r>
    <x v="268"/>
    <s v="Personnel"/>
    <s v="H "/>
    <x v="1"/>
    <x v="25"/>
    <s v="PSES High Prog01Duty47 S275"/>
    <x v="0"/>
    <s v="47"/>
    <n v="47"/>
    <m/>
    <s v="   "/>
    <n v="0.56999999999999995"/>
    <n v="0.1777"/>
    <n v="0"/>
    <s v="High Nurse"/>
  </r>
  <r>
    <x v="268"/>
    <s v="Personnel"/>
    <s v="M "/>
    <x v="2"/>
    <x v="34"/>
    <s v="PSES Mid Prog01Duty47 S275"/>
    <x v="0"/>
    <s v="47"/>
    <n v="47"/>
    <m/>
    <s v="   "/>
    <n v="0.28000000000000003"/>
    <n v="0.1777"/>
    <n v="0"/>
    <s v="Middle Nurse"/>
  </r>
  <r>
    <x v="268"/>
    <s v="Personnel"/>
    <m/>
    <x v="0"/>
    <x v="66"/>
    <s v="PSES Elem Prog09Duty25 S275"/>
    <x v="3"/>
    <s v="25"/>
    <n v="91"/>
    <n v="25"/>
    <m/>
    <n v="2.3E-2"/>
    <n v="0.1777"/>
    <n v="0"/>
    <s v="TK Pupil Management"/>
  </r>
  <r>
    <x v="268"/>
    <s v="Personnel"/>
    <m/>
    <x v="0"/>
    <x v="66"/>
    <s v="PSES Elem Prog09Duty25 S275"/>
    <x v="3"/>
    <s v="25"/>
    <n v="91"/>
    <n v="25"/>
    <m/>
    <n v="2.3E-2"/>
    <n v="0.1777"/>
    <n v="0"/>
    <s v="TK Pupil Management"/>
  </r>
  <r>
    <x v="269"/>
    <s v="Personnel"/>
    <s v="H "/>
    <x v="1"/>
    <x v="5"/>
    <s v="PSES High Prog01Act25 S275"/>
    <x v="0"/>
    <s v="25"/>
    <m/>
    <n v="25"/>
    <s v="   "/>
    <n v="4.6319999999999997"/>
    <n v="0.18790000000000001"/>
    <n v="0"/>
    <s v="High Pupil Management"/>
  </r>
  <r>
    <x v="269"/>
    <s v="Personnel"/>
    <s v="H "/>
    <x v="1"/>
    <x v="29"/>
    <s v="PSES High Prog21Act26 S275"/>
    <x v="1"/>
    <s v="26"/>
    <m/>
    <n v="26"/>
    <s v="   "/>
    <n v="0.77500000000000002"/>
    <n v="0.18790000000000001"/>
    <n v="0.14599999999999999"/>
    <s v="High Health/_x000a_Related Services"/>
  </r>
  <r>
    <x v="269"/>
    <s v="Personnel"/>
    <s v="H "/>
    <x v="1"/>
    <x v="9"/>
    <s v="PSES High Prog01Act26 S275"/>
    <x v="0"/>
    <s v="26"/>
    <m/>
    <n v="26"/>
    <s v="   "/>
    <n v="2.2480000000000002"/>
    <n v="0.18790000000000001"/>
    <n v="0"/>
    <s v="High Health/_x000a_Related Services"/>
  </r>
  <r>
    <x v="269"/>
    <s v="Personnel"/>
    <s v="E "/>
    <x v="0"/>
    <x v="15"/>
    <s v="PSES Elem Prog01Duty42 S275"/>
    <x v="0"/>
    <s v="42"/>
    <n v="42"/>
    <m/>
    <s v="   "/>
    <n v="3.8"/>
    <n v="0.18790000000000001"/>
    <n v="0"/>
    <s v="Elementary Counselor"/>
  </r>
  <r>
    <x v="269"/>
    <s v="Personnel"/>
    <s v="H "/>
    <x v="1"/>
    <x v="16"/>
    <s v="PSES High Prog01Duty42 S275"/>
    <x v="0"/>
    <s v="42"/>
    <n v="42"/>
    <m/>
    <s v="   "/>
    <n v="3"/>
    <n v="0.18790000000000001"/>
    <n v="0"/>
    <s v="High Counselor"/>
  </r>
  <r>
    <x v="269"/>
    <s v="Personnel"/>
    <s v="M "/>
    <x v="2"/>
    <x v="17"/>
    <s v="PSES Mid Prog01Duty42 S275"/>
    <x v="0"/>
    <s v="42"/>
    <n v="42"/>
    <m/>
    <s v="   "/>
    <n v="1.2"/>
    <n v="0.18790000000000001"/>
    <n v="0"/>
    <s v="Middle Counselor"/>
  </r>
  <r>
    <x v="269"/>
    <s v="Personnel"/>
    <s v="E "/>
    <x v="0"/>
    <x v="18"/>
    <s v="PSES Elem Prog21Duty43 S275"/>
    <x v="1"/>
    <s v="43"/>
    <n v="43"/>
    <m/>
    <s v="   "/>
    <n v="3.4"/>
    <n v="0.18790000000000001"/>
    <n v="0.63900000000000001"/>
    <s v="Elementary Occupational Therapist"/>
  </r>
  <r>
    <x v="269"/>
    <s v="Personnel"/>
    <s v="E "/>
    <x v="0"/>
    <x v="20"/>
    <s v="PSES Elem Prog21Duty45 S275"/>
    <x v="1"/>
    <s v="45"/>
    <n v="45"/>
    <m/>
    <s v="   "/>
    <n v="3.25"/>
    <n v="0.18790000000000001"/>
    <n v="0.61099999999999999"/>
    <s v="Elementary Speech, Language Pathway/_x000a_Audio"/>
  </r>
  <r>
    <x v="269"/>
    <s v="Personnel"/>
    <s v="H "/>
    <x v="1"/>
    <x v="21"/>
    <s v="PSES High Prog21Duty45 S275"/>
    <x v="1"/>
    <s v="45"/>
    <n v="45"/>
    <m/>
    <s v="   "/>
    <n v="1.6"/>
    <n v="0.18790000000000001"/>
    <n v="0.30099999999999999"/>
    <s v="High Speech, Language Pathway/_x000a_Audio"/>
  </r>
  <r>
    <x v="269"/>
    <s v="Personnel"/>
    <s v="M "/>
    <x v="2"/>
    <x v="28"/>
    <s v="PSES Mid Prog21Duty45 S275"/>
    <x v="1"/>
    <s v="45"/>
    <n v="45"/>
    <m/>
    <s v="   "/>
    <n v="1"/>
    <n v="0.18790000000000001"/>
    <n v="0.188"/>
    <s v="Middle Speech, Language Pathway/_x000a_Audio"/>
  </r>
  <r>
    <x v="269"/>
    <s v="Personnel"/>
    <s v="E "/>
    <x v="0"/>
    <x v="22"/>
    <s v="PSES Elem Prog21Duty46 S275"/>
    <x v="1"/>
    <s v="46"/>
    <n v="46"/>
    <m/>
    <s v="   "/>
    <n v="3.33"/>
    <n v="0.18790000000000001"/>
    <n v="0.626"/>
    <s v="Elementary Psychologist"/>
  </r>
  <r>
    <x v="269"/>
    <s v="Personnel"/>
    <s v="H "/>
    <x v="1"/>
    <x v="23"/>
    <s v="PSES High Prog21Duty46 S275"/>
    <x v="1"/>
    <s v="46"/>
    <n v="46"/>
    <m/>
    <s v="   "/>
    <n v="1"/>
    <n v="0.18790000000000001"/>
    <n v="0.188"/>
    <s v="High Psychologist"/>
  </r>
  <r>
    <x v="269"/>
    <s v="Personnel"/>
    <s v="M "/>
    <x v="2"/>
    <x v="24"/>
    <s v="PSES Mid Prog21Duty46 S275"/>
    <x v="1"/>
    <s v="46"/>
    <n v="46"/>
    <m/>
    <s v="   "/>
    <n v="0.67"/>
    <n v="0.18790000000000001"/>
    <n v="0.126"/>
    <s v="Middle Psychologist"/>
  </r>
  <r>
    <x v="269"/>
    <s v="Personnel"/>
    <s v="E "/>
    <x v="0"/>
    <x v="27"/>
    <s v="PSES Elem Prog01Duty47 S275"/>
    <x v="0"/>
    <s v="47"/>
    <n v="47"/>
    <m/>
    <s v="   "/>
    <n v="1"/>
    <n v="0.18790000000000001"/>
    <n v="0"/>
    <s v="Elementary Nurse"/>
  </r>
  <r>
    <x v="269"/>
    <s v="Personnel"/>
    <s v="M "/>
    <x v="2"/>
    <x v="34"/>
    <s v="PSES Mid Prog01Duty47 S275"/>
    <x v="0"/>
    <s v="47"/>
    <n v="47"/>
    <m/>
    <s v="   "/>
    <n v="1"/>
    <n v="0.18790000000000001"/>
    <n v="0"/>
    <s v="Middle Nurse"/>
  </r>
  <r>
    <x v="270"/>
    <s v="Personnel"/>
    <s v="E "/>
    <x v="0"/>
    <x v="0"/>
    <s v="PSES Elem Prog01Duty96 S275"/>
    <x v="0"/>
    <s v="24"/>
    <n v="96"/>
    <n v="24"/>
    <s v="   "/>
    <n v="0.20599999999999999"/>
    <n v="0.1925"/>
    <n v="0"/>
    <s v="Elementary Family Engagement Coordinator"/>
  </r>
  <r>
    <x v="270"/>
    <s v="Personnel"/>
    <s v="H "/>
    <x v="1"/>
    <x v="1"/>
    <s v="PSES High Prog01Duty96 S275"/>
    <x v="0"/>
    <s v="24"/>
    <n v="96"/>
    <n v="24"/>
    <s v="   "/>
    <n v="0.90100000000000002"/>
    <n v="0.1925"/>
    <n v="0"/>
    <s v="High Family Engagement Coordinator"/>
  </r>
  <r>
    <x v="270"/>
    <s v="Personnel"/>
    <s v="M "/>
    <x v="2"/>
    <x v="2"/>
    <s v="PSES Mid Prog01Duty96 S275"/>
    <x v="0"/>
    <s v="24"/>
    <n v="96"/>
    <n v="24"/>
    <s v="   "/>
    <n v="0.10299999999999999"/>
    <n v="0.1925"/>
    <n v="0"/>
    <s v="Middle Family Engagement Coordinator"/>
  </r>
  <r>
    <x v="270"/>
    <s v="Personnel"/>
    <s v="E "/>
    <x v="0"/>
    <x v="3"/>
    <s v="PSES Elem Prog01Act25 S275"/>
    <x v="0"/>
    <s v="25"/>
    <m/>
    <n v="25"/>
    <s v="   "/>
    <n v="2.9169999999999998"/>
    <n v="0.1925"/>
    <n v="0"/>
    <s v="Elementary Pupil Management"/>
  </r>
  <r>
    <x v="270"/>
    <s v="Personnel"/>
    <s v="H "/>
    <x v="1"/>
    <x v="4"/>
    <s v="PSES High Prog21Act25 S275"/>
    <x v="1"/>
    <s v="25"/>
    <m/>
    <n v="25"/>
    <s v="   "/>
    <n v="0.84299999999999997"/>
    <n v="0.1925"/>
    <n v="0.16200000000000001"/>
    <s v="High Pupil Management"/>
  </r>
  <r>
    <x v="270"/>
    <s v="Personnel"/>
    <s v="M "/>
    <x v="2"/>
    <x v="6"/>
    <s v="PSES Mid Prog01Act25 S275"/>
    <x v="0"/>
    <s v="25"/>
    <m/>
    <n v="25"/>
    <s v="   "/>
    <n v="4.4999999999999998E-2"/>
    <n v="0.1925"/>
    <n v="0"/>
    <s v="Middle Pupil Management"/>
  </r>
  <r>
    <x v="270"/>
    <s v="Personnel"/>
    <s v="E "/>
    <x v="0"/>
    <x v="8"/>
    <s v="PSES Elem Prog01Act26 S275"/>
    <x v="0"/>
    <s v="26"/>
    <m/>
    <n v="26"/>
    <s v="   "/>
    <n v="0.54100000000000004"/>
    <n v="0.1925"/>
    <n v="0"/>
    <s v="Elementary Health/_x000a_Related Services"/>
  </r>
  <r>
    <x v="270"/>
    <s v="Personnel"/>
    <s v="M "/>
    <x v="2"/>
    <x v="11"/>
    <s v="PSES Mid Prog01Act26 S275"/>
    <x v="0"/>
    <s v="26"/>
    <m/>
    <n v="26"/>
    <s v="   "/>
    <n v="0.54100000000000004"/>
    <n v="0.1925"/>
    <n v="0"/>
    <s v="Middle Health/_x000a_Related Services"/>
  </r>
  <r>
    <x v="270"/>
    <s v="Personnel"/>
    <s v="E "/>
    <x v="0"/>
    <x v="15"/>
    <s v="PSES Elem Prog01Duty42 S275"/>
    <x v="0"/>
    <s v="42"/>
    <n v="42"/>
    <m/>
    <s v="   "/>
    <n v="2.1869999999999998"/>
    <n v="0.1925"/>
    <n v="0"/>
    <s v="Elementary Counselor"/>
  </r>
  <r>
    <x v="270"/>
    <s v="Personnel"/>
    <s v="H "/>
    <x v="1"/>
    <x v="16"/>
    <s v="PSES High Prog01Duty42 S275"/>
    <x v="0"/>
    <s v="42"/>
    <n v="42"/>
    <m/>
    <s v="   "/>
    <n v="1.976"/>
    <n v="0.1925"/>
    <n v="0"/>
    <s v="High Counselor"/>
  </r>
  <r>
    <x v="270"/>
    <s v="Personnel"/>
    <s v="M "/>
    <x v="2"/>
    <x v="17"/>
    <s v="PSES Mid Prog01Duty42 S275"/>
    <x v="0"/>
    <s v="42"/>
    <n v="42"/>
    <m/>
    <s v="   "/>
    <n v="1.387"/>
    <n v="0.1925"/>
    <n v="0"/>
    <s v="Middle Counselor"/>
  </r>
  <r>
    <x v="270"/>
    <s v="Personnel"/>
    <s v="E "/>
    <x v="0"/>
    <x v="18"/>
    <s v="PSES Elem Prog21Duty43 S275"/>
    <x v="1"/>
    <s v="43"/>
    <n v="43"/>
    <m/>
    <s v="   "/>
    <n v="0.67500000000000004"/>
    <n v="0.1925"/>
    <n v="0.13"/>
    <s v="Elementary Occupational Therapist"/>
  </r>
  <r>
    <x v="270"/>
    <s v="Personnel"/>
    <s v="H "/>
    <x v="1"/>
    <x v="19"/>
    <s v="PSES High Prog21Duty43 S275"/>
    <x v="1"/>
    <s v="43"/>
    <n v="43"/>
    <m/>
    <s v="   "/>
    <n v="0.432"/>
    <n v="0.1925"/>
    <n v="8.3000000000000004E-2"/>
    <s v="High Occupational Therapist"/>
  </r>
  <r>
    <x v="270"/>
    <s v="Personnel"/>
    <s v="M "/>
    <x v="2"/>
    <x v="31"/>
    <s v="PSES Mid Prog21Duty43 S275"/>
    <x v="1"/>
    <s v="43"/>
    <n v="43"/>
    <m/>
    <s v="   "/>
    <n v="0.36799999999999999"/>
    <n v="0.1925"/>
    <n v="7.0999999999999994E-2"/>
    <s v="Middle Occupational Therapist"/>
  </r>
  <r>
    <x v="270"/>
    <s v="Personnel"/>
    <s v="E "/>
    <x v="0"/>
    <x v="20"/>
    <s v="PSES Elem Prog21Duty45 S275"/>
    <x v="1"/>
    <s v="45"/>
    <n v="45"/>
    <m/>
    <s v="   "/>
    <n v="0.55000000000000004"/>
    <n v="0.1925"/>
    <n v="0.106"/>
    <s v="Elementary Speech, Language Pathway/_x000a_Audio"/>
  </r>
  <r>
    <x v="270"/>
    <s v="Personnel"/>
    <s v="H "/>
    <x v="1"/>
    <x v="21"/>
    <s v="PSES High Prog21Duty45 S275"/>
    <x v="1"/>
    <s v="45"/>
    <n v="45"/>
    <m/>
    <s v="   "/>
    <n v="0.28000000000000003"/>
    <n v="0.1925"/>
    <n v="5.3999999999999999E-2"/>
    <s v="High Speech, Language Pathway/_x000a_Audio"/>
  </r>
  <r>
    <x v="270"/>
    <s v="Personnel"/>
    <s v="M "/>
    <x v="2"/>
    <x v="28"/>
    <s v="PSES Mid Prog21Duty45 S275"/>
    <x v="1"/>
    <s v="45"/>
    <n v="45"/>
    <m/>
    <s v="   "/>
    <n v="0.17"/>
    <n v="0.1925"/>
    <n v="3.3000000000000002E-2"/>
    <s v="Middle Speech, Language Pathway/_x000a_Audio"/>
  </r>
  <r>
    <x v="270"/>
    <s v="Personnel"/>
    <s v="E "/>
    <x v="0"/>
    <x v="22"/>
    <s v="PSES Elem Prog21Duty46 S275"/>
    <x v="1"/>
    <s v="46"/>
    <n v="46"/>
    <m/>
    <s v="   "/>
    <n v="1.1000000000000001"/>
    <n v="0.1925"/>
    <n v="0.21199999999999999"/>
    <s v="Elementary Psychologist"/>
  </r>
  <r>
    <x v="270"/>
    <s v="Personnel"/>
    <s v="H "/>
    <x v="1"/>
    <x v="23"/>
    <s v="PSES High Prog21Duty46 S275"/>
    <x v="1"/>
    <s v="46"/>
    <n v="46"/>
    <m/>
    <s v="   "/>
    <n v="0.56000000000000005"/>
    <n v="0.1925"/>
    <n v="0.108"/>
    <s v="High Psychologist"/>
  </r>
  <r>
    <x v="270"/>
    <s v="Personnel"/>
    <s v="M "/>
    <x v="2"/>
    <x v="24"/>
    <s v="PSES Mid Prog21Duty46 S275"/>
    <x v="1"/>
    <s v="46"/>
    <n v="46"/>
    <m/>
    <s v="   "/>
    <n v="0.34"/>
    <n v="0.1925"/>
    <n v="6.5000000000000002E-2"/>
    <s v="Middle Psychologist"/>
  </r>
  <r>
    <x v="270"/>
    <s v="Personnel"/>
    <s v="E "/>
    <x v="0"/>
    <x v="27"/>
    <s v="PSES Elem Prog01Duty47 S275"/>
    <x v="0"/>
    <s v="47"/>
    <n v="47"/>
    <m/>
    <s v="   "/>
    <n v="1"/>
    <n v="0.1925"/>
    <n v="0"/>
    <s v="Elementary Nurse"/>
  </r>
  <r>
    <x v="270"/>
    <s v="Personnel"/>
    <s v="H "/>
    <x v="1"/>
    <x v="25"/>
    <s v="PSES High Prog01Duty47 S275"/>
    <x v="0"/>
    <s v="47"/>
    <n v="47"/>
    <m/>
    <s v="   "/>
    <n v="0.161"/>
    <n v="0.1925"/>
    <n v="0"/>
    <s v="High Nurse"/>
  </r>
  <r>
    <x v="270"/>
    <s v="Personnel"/>
    <s v="M "/>
    <x v="2"/>
    <x v="34"/>
    <s v="PSES Mid Prog01Duty47 S275"/>
    <x v="0"/>
    <s v="47"/>
    <n v="47"/>
    <m/>
    <s v="   "/>
    <n v="0.13900000000000001"/>
    <n v="0.1925"/>
    <n v="0"/>
    <s v="Middle Nurse"/>
  </r>
  <r>
    <x v="270"/>
    <s v="Personnel"/>
    <s v="E "/>
    <x v="0"/>
    <x v="35"/>
    <s v="PSES Elem Prog21Duty48 S275"/>
    <x v="1"/>
    <s v="48"/>
    <n v="48"/>
    <m/>
    <s v="   "/>
    <n v="0.6"/>
    <n v="0.1925"/>
    <n v="0.11600000000000001"/>
    <s v="Elementary Physical Therapist"/>
  </r>
  <r>
    <x v="270"/>
    <s v="Personnel"/>
    <s v="E "/>
    <x v="0"/>
    <x v="90"/>
    <s v="PSES Elem Prog01Duty48 S275"/>
    <x v="0"/>
    <s v="48"/>
    <n v="48"/>
    <m/>
    <s v="   "/>
    <n v="0.4"/>
    <n v="0.1925"/>
    <n v="0"/>
    <s v="Elementary Physical Therapist"/>
  </r>
  <r>
    <x v="270"/>
    <s v="Personnel"/>
    <m/>
    <x v="0"/>
    <x v="93"/>
    <s v="PSES Elem Prog09Duty45 S275"/>
    <x v="3"/>
    <s v="45"/>
    <n v="45"/>
    <n v="34"/>
    <m/>
    <n v="1.0999999999999999E-2"/>
    <n v="0.1925"/>
    <n v="0"/>
    <s v="TK Speech, Language Pathway/_x000a_Audio"/>
  </r>
  <r>
    <x v="270"/>
    <s v="Personnel"/>
    <m/>
    <x v="0"/>
    <x v="93"/>
    <s v="PSES Elem Prog09Duty42 S275"/>
    <x v="3"/>
    <s v="45"/>
    <n v="45"/>
    <n v="26"/>
    <m/>
    <n v="0.48899999999999999"/>
    <n v="0.1925"/>
    <n v="0"/>
    <s v="TK Speech, Language Pathway/_x000a_Audio"/>
  </r>
  <r>
    <x v="271"/>
    <s v="Personnel"/>
    <s v="H "/>
    <x v="1"/>
    <x v="1"/>
    <s v="PSES High Prog01Duty96 S275"/>
    <x v="0"/>
    <s v="24"/>
    <n v="96"/>
    <n v="24"/>
    <s v="   "/>
    <n v="0.127"/>
    <n v="0.255"/>
    <n v="0"/>
    <s v="High Family Engagement Coordinator"/>
  </r>
  <r>
    <x v="271"/>
    <s v="Personnel"/>
    <s v="H "/>
    <x v="1"/>
    <x v="29"/>
    <s v="PSES High Prog21Act26 S275"/>
    <x v="1"/>
    <s v="26"/>
    <m/>
    <n v="26"/>
    <s v="   "/>
    <n v="0.98199999999999998"/>
    <n v="0.255"/>
    <n v="0.25"/>
    <s v="High Health/_x000a_Related Services"/>
  </r>
  <r>
    <x v="271"/>
    <s v="Personnel"/>
    <s v="H "/>
    <x v="1"/>
    <x v="9"/>
    <s v="PSES High Prog01Act26 S275"/>
    <x v="0"/>
    <s v="26"/>
    <m/>
    <n v="26"/>
    <s v="   "/>
    <n v="1.5669999999999999"/>
    <n v="0.255"/>
    <n v="0"/>
    <s v="High Health/_x000a_Related Services"/>
  </r>
  <r>
    <x v="271"/>
    <s v="Personnel"/>
    <s v="E "/>
    <x v="0"/>
    <x v="15"/>
    <s v="PSES Elem Prog01Duty42 S275"/>
    <x v="0"/>
    <s v="42"/>
    <n v="42"/>
    <m/>
    <s v="   "/>
    <n v="2.9209999999999998"/>
    <n v="0.255"/>
    <n v="0"/>
    <s v="Elementary Counselor"/>
  </r>
  <r>
    <x v="271"/>
    <s v="Personnel"/>
    <s v="H "/>
    <x v="1"/>
    <x v="16"/>
    <s v="PSES High Prog01Duty42 S275"/>
    <x v="0"/>
    <s v="42"/>
    <n v="42"/>
    <m/>
    <s v="   "/>
    <n v="0.79300000000000004"/>
    <n v="0.255"/>
    <n v="0"/>
    <s v="High Counselor"/>
  </r>
  <r>
    <x v="271"/>
    <s v="Personnel"/>
    <s v="M "/>
    <x v="2"/>
    <x v="17"/>
    <s v="PSES Mid Prog01Duty42 S275"/>
    <x v="0"/>
    <s v="42"/>
    <n v="42"/>
    <m/>
    <s v="   "/>
    <n v="1.5"/>
    <n v="0.255"/>
    <n v="0"/>
    <s v="Middle Counselor"/>
  </r>
  <r>
    <x v="271"/>
    <s v="Personnel"/>
    <s v="E "/>
    <x v="0"/>
    <x v="18"/>
    <s v="PSES Elem Prog21Duty43 S275"/>
    <x v="1"/>
    <s v="43"/>
    <n v="43"/>
    <m/>
    <s v="   "/>
    <n v="1"/>
    <n v="0.255"/>
    <n v="0.255"/>
    <s v="Elementary Occupational Therapist"/>
  </r>
  <r>
    <x v="271"/>
    <s v="Personnel"/>
    <s v="E "/>
    <x v="0"/>
    <x v="20"/>
    <s v="PSES Elem Prog21Duty45 S275"/>
    <x v="1"/>
    <s v="45"/>
    <n v="45"/>
    <m/>
    <s v="   "/>
    <n v="3.6"/>
    <n v="0.255"/>
    <n v="0.91800000000000004"/>
    <s v="Elementary Speech, Language Pathway/_x000a_Audio"/>
  </r>
  <r>
    <x v="271"/>
    <s v="Personnel"/>
    <s v="E "/>
    <x v="0"/>
    <x v="22"/>
    <s v="PSES Elem Prog21Duty46 S275"/>
    <x v="1"/>
    <s v="46"/>
    <n v="46"/>
    <m/>
    <s v="   "/>
    <n v="0.28799999999999998"/>
    <n v="0.255"/>
    <n v="7.2999999999999995E-2"/>
    <s v="Elementary Psychologist"/>
  </r>
  <r>
    <x v="271"/>
    <s v="Personnel"/>
    <s v="H "/>
    <x v="1"/>
    <x v="23"/>
    <s v="PSES High Prog21Duty46 S275"/>
    <x v="1"/>
    <s v="46"/>
    <n v="46"/>
    <m/>
    <s v="   "/>
    <n v="2"/>
    <n v="0.255"/>
    <n v="0.51"/>
    <s v="High Psychologist"/>
  </r>
  <r>
    <x v="272"/>
    <s v="Personnel"/>
    <s v="H "/>
    <x v="1"/>
    <x v="1"/>
    <s v="PSES High Prog01Duty96 S275"/>
    <x v="0"/>
    <s v="24"/>
    <n v="96"/>
    <n v="24"/>
    <s v="   "/>
    <n v="0.68799999999999994"/>
    <n v="0.20949999999999999"/>
    <n v="0"/>
    <s v="High Family Engagement Coordinator"/>
  </r>
  <r>
    <x v="272"/>
    <s v="Personnel"/>
    <s v="H "/>
    <x v="1"/>
    <x v="4"/>
    <s v="PSES High Prog21Act25 S275"/>
    <x v="1"/>
    <s v="25"/>
    <m/>
    <n v="25"/>
    <s v="   "/>
    <n v="0.253"/>
    <n v="0.20949999999999999"/>
    <n v="5.2999999999999999E-2"/>
    <s v="High Pupil Management"/>
  </r>
  <r>
    <x v="272"/>
    <s v="Personnel"/>
    <s v="H "/>
    <x v="1"/>
    <x v="9"/>
    <s v="PSES High Prog01Act26 S275"/>
    <x v="0"/>
    <s v="26"/>
    <m/>
    <n v="26"/>
    <s v="   "/>
    <n v="1.1299999999999999"/>
    <n v="0.20949999999999999"/>
    <n v="0"/>
    <s v="High Health/_x000a_Related Services"/>
  </r>
  <r>
    <x v="272"/>
    <s v="Personnel"/>
    <s v="E "/>
    <x v="0"/>
    <x v="15"/>
    <s v="PSES Elem Prog01Duty42 S275"/>
    <x v="0"/>
    <s v="42"/>
    <n v="42"/>
    <m/>
    <s v="   "/>
    <n v="2.3330000000000002"/>
    <n v="0.20949999999999999"/>
    <n v="0"/>
    <s v="Elementary Counselor"/>
  </r>
  <r>
    <x v="272"/>
    <s v="Personnel"/>
    <s v="H "/>
    <x v="1"/>
    <x v="16"/>
    <s v="PSES High Prog01Duty42 S275"/>
    <x v="0"/>
    <s v="42"/>
    <n v="42"/>
    <m/>
    <s v="   "/>
    <n v="1.75"/>
    <n v="0.20949999999999999"/>
    <n v="0"/>
    <s v="High Counselor"/>
  </r>
  <r>
    <x v="272"/>
    <s v="Personnel"/>
    <s v="M "/>
    <x v="2"/>
    <x v="17"/>
    <s v="PSES Mid Prog01Duty42 S275"/>
    <x v="0"/>
    <s v="42"/>
    <n v="42"/>
    <m/>
    <s v="   "/>
    <n v="1"/>
    <n v="0.20949999999999999"/>
    <n v="0"/>
    <s v="Middle Counselor"/>
  </r>
  <r>
    <x v="272"/>
    <s v="Personnel"/>
    <s v="E "/>
    <x v="0"/>
    <x v="20"/>
    <s v="PSES Elem Prog21Duty45 S275"/>
    <x v="1"/>
    <s v="45"/>
    <n v="45"/>
    <m/>
    <s v="   "/>
    <n v="2.3959999999999999"/>
    <n v="0.20949999999999999"/>
    <n v="0.502"/>
    <s v="Elementary Speech, Language Pathway/_x000a_Audio"/>
  </r>
  <r>
    <x v="272"/>
    <s v="Personnel"/>
    <s v="H "/>
    <x v="1"/>
    <x v="21"/>
    <s v="PSES High Prog21Duty45 S275"/>
    <x v="1"/>
    <s v="45"/>
    <n v="45"/>
    <m/>
    <s v="   "/>
    <n v="0.40699999999999997"/>
    <n v="0.20949999999999999"/>
    <n v="8.5000000000000006E-2"/>
    <s v="High Speech, Language Pathway/_x000a_Audio"/>
  </r>
  <r>
    <x v="272"/>
    <s v="Personnel"/>
    <s v="M "/>
    <x v="2"/>
    <x v="28"/>
    <s v="PSES Mid Prog21Duty45 S275"/>
    <x v="1"/>
    <s v="45"/>
    <n v="45"/>
    <m/>
    <s v="   "/>
    <n v="0.2"/>
    <n v="0.20949999999999999"/>
    <n v="4.2000000000000003E-2"/>
    <s v="Middle Speech, Language Pathway/_x000a_Audio"/>
  </r>
  <r>
    <x v="272"/>
    <s v="Personnel"/>
    <s v="E "/>
    <x v="0"/>
    <x v="22"/>
    <s v="PSES Elem Prog21Duty46 S275"/>
    <x v="1"/>
    <s v="46"/>
    <n v="46"/>
    <m/>
    <s v="   "/>
    <n v="0.73"/>
    <n v="0.20949999999999999"/>
    <n v="0.153"/>
    <s v="Elementary Psychologist"/>
  </r>
  <r>
    <x v="272"/>
    <s v="Personnel"/>
    <s v="H "/>
    <x v="1"/>
    <x v="23"/>
    <s v="PSES High Prog21Duty46 S275"/>
    <x v="1"/>
    <s v="46"/>
    <n v="46"/>
    <m/>
    <s v="   "/>
    <n v="0.5"/>
    <n v="0.20949999999999999"/>
    <n v="0.105"/>
    <s v="High Psychologist"/>
  </r>
  <r>
    <x v="272"/>
    <s v="Personnel"/>
    <s v="M "/>
    <x v="2"/>
    <x v="24"/>
    <s v="PSES Mid Prog21Duty46 S275"/>
    <x v="1"/>
    <s v="46"/>
    <n v="46"/>
    <m/>
    <s v="   "/>
    <n v="0.3"/>
    <n v="0.20949999999999999"/>
    <n v="6.3E-2"/>
    <s v="Middle Psychologist"/>
  </r>
  <r>
    <x v="272"/>
    <s v="Personnel"/>
    <s v="E "/>
    <x v="0"/>
    <x v="27"/>
    <s v="PSES Elem Prog01Duty47 S275"/>
    <x v="0"/>
    <s v="47"/>
    <n v="47"/>
    <m/>
    <s v="   "/>
    <n v="0.63100000000000001"/>
    <n v="0.20949999999999999"/>
    <n v="0"/>
    <s v="Elementary Nurse"/>
  </r>
  <r>
    <x v="272"/>
    <s v="Personnel"/>
    <s v="H "/>
    <x v="1"/>
    <x v="25"/>
    <s v="PSES High Prog01Duty47 S275"/>
    <x v="0"/>
    <s v="47"/>
    <n v="47"/>
    <m/>
    <s v="   "/>
    <n v="0.378"/>
    <n v="0.20949999999999999"/>
    <n v="0"/>
    <s v="High Nurse"/>
  </r>
  <r>
    <x v="272"/>
    <s v="Personnel"/>
    <s v="M "/>
    <x v="2"/>
    <x v="34"/>
    <s v="PSES Mid Prog01Duty47 S275"/>
    <x v="0"/>
    <s v="47"/>
    <n v="47"/>
    <m/>
    <s v="   "/>
    <n v="0.253"/>
    <n v="0.20949999999999999"/>
    <n v="0"/>
    <s v="Middle Nurse"/>
  </r>
  <r>
    <x v="272"/>
    <s v="Personnel"/>
    <s v="E "/>
    <x v="0"/>
    <x v="35"/>
    <s v="PSES Elem Prog21Duty48 S275"/>
    <x v="1"/>
    <s v="48"/>
    <n v="48"/>
    <m/>
    <s v="   "/>
    <n v="0.12"/>
    <n v="0.20949999999999999"/>
    <n v="2.5000000000000001E-2"/>
    <s v="Elementary Physical Therapist"/>
  </r>
  <r>
    <x v="272"/>
    <s v="Personnel"/>
    <s v="H "/>
    <x v="1"/>
    <x v="36"/>
    <s v="PSES High Prog21Duty48 S275"/>
    <x v="1"/>
    <s v="48"/>
    <n v="48"/>
    <m/>
    <s v="   "/>
    <n v="0.114"/>
    <n v="0.20949999999999999"/>
    <n v="2.4E-2"/>
    <s v="High Physical Therapist"/>
  </r>
  <r>
    <x v="272"/>
    <s v="Personnel"/>
    <s v="M "/>
    <x v="2"/>
    <x v="37"/>
    <s v="PSES Mid Prog21Duty48 S275"/>
    <x v="1"/>
    <s v="48"/>
    <n v="48"/>
    <m/>
    <s v="   "/>
    <n v="0.114"/>
    <n v="0.20949999999999999"/>
    <n v="2.4E-2"/>
    <s v="Middle Physical Therapist"/>
  </r>
  <r>
    <x v="273"/>
    <s v="Personnel"/>
    <s v="H "/>
    <x v="1"/>
    <x v="53"/>
    <s v="PSES High Prog97Act25 S275"/>
    <x v="2"/>
    <s v="25"/>
    <m/>
    <n v="25"/>
    <s v="   "/>
    <n v="0.255"/>
    <n v="0.13"/>
    <n v="0"/>
    <s v="High Pupil Management"/>
  </r>
  <r>
    <x v="274"/>
    <s v="Personnel"/>
    <s v="E "/>
    <x v="0"/>
    <x v="27"/>
    <s v="PSES Elem Prog01Duty47 S275"/>
    <x v="0"/>
    <s v="47"/>
    <n v="47"/>
    <m/>
    <s v="   "/>
    <n v="1"/>
    <n v="0.14660000000000001"/>
    <n v="0"/>
    <s v="Elementary Nurse"/>
  </r>
  <r>
    <x v="275"/>
    <s v="Personnel"/>
    <s v="H "/>
    <x v="1"/>
    <x v="9"/>
    <s v="PSES High Prog01Act26 S275"/>
    <x v="0"/>
    <s v="26"/>
    <m/>
    <n v="26"/>
    <s v="   "/>
    <n v="7.4999999999999997E-2"/>
    <n v="0.1"/>
    <n v="0"/>
    <s v="High Health/_x000a_Related Services"/>
  </r>
  <r>
    <x v="275"/>
    <s v="Personnel"/>
    <s v="H "/>
    <x v="1"/>
    <x v="16"/>
    <s v="PSES High Prog01Duty42 S275"/>
    <x v="0"/>
    <s v="42"/>
    <n v="42"/>
    <m/>
    <s v="   "/>
    <n v="0.45"/>
    <n v="0.1"/>
    <n v="0"/>
    <s v="High Counselor"/>
  </r>
  <r>
    <x v="276"/>
    <s v="Personnel"/>
    <s v="E "/>
    <x v="0"/>
    <x v="15"/>
    <s v="PSES Elem Prog01Duty42 S275"/>
    <x v="0"/>
    <s v="42"/>
    <n v="42"/>
    <m/>
    <s v="   "/>
    <n v="0.5"/>
    <n v="0.1351"/>
    <n v="0"/>
    <s v="Elementary Counselor"/>
  </r>
  <r>
    <x v="276"/>
    <s v="Personnel"/>
    <s v="H "/>
    <x v="1"/>
    <x v="16"/>
    <s v="PSES High Prog01Duty42 S275"/>
    <x v="0"/>
    <s v="42"/>
    <n v="42"/>
    <m/>
    <s v="   "/>
    <n v="0.66"/>
    <n v="0.1351"/>
    <n v="0"/>
    <s v="High Counselor"/>
  </r>
  <r>
    <x v="276"/>
    <s v="Personnel"/>
    <s v="M "/>
    <x v="2"/>
    <x v="17"/>
    <s v="PSES Mid Prog01Duty42 S275"/>
    <x v="0"/>
    <s v="42"/>
    <n v="42"/>
    <m/>
    <s v="   "/>
    <n v="0.22800000000000001"/>
    <n v="0.1351"/>
    <n v="0"/>
    <s v="Middle Counselor"/>
  </r>
  <r>
    <x v="277"/>
    <s v="Personnel"/>
    <s v="H "/>
    <x v="1"/>
    <x v="4"/>
    <s v="PSES High Prog21Act25 S275"/>
    <x v="1"/>
    <s v="25"/>
    <m/>
    <n v="25"/>
    <s v="   "/>
    <n v="1.2729999999999999"/>
    <n v="0.20910000000000001"/>
    <n v="0.26600000000000001"/>
    <s v="High Pupil Management"/>
  </r>
  <r>
    <x v="277"/>
    <s v="Personnel"/>
    <s v="H "/>
    <x v="1"/>
    <x v="5"/>
    <s v="PSES High Prog01Act25 S275"/>
    <x v="0"/>
    <s v="25"/>
    <m/>
    <n v="25"/>
    <s v="   "/>
    <n v="2.3519999999999999"/>
    <n v="0.20910000000000001"/>
    <n v="0"/>
    <s v="High Pupil Management"/>
  </r>
  <r>
    <x v="277"/>
    <s v="Personnel"/>
    <s v="E "/>
    <x v="0"/>
    <x v="8"/>
    <s v="PSES Elem Prog01Act26 S275"/>
    <x v="0"/>
    <s v="26"/>
    <m/>
    <n v="26"/>
    <s v="   "/>
    <n v="1.3420000000000001"/>
    <n v="0.20910000000000001"/>
    <n v="0"/>
    <s v="Elementary Health/_x000a_Related Services"/>
  </r>
  <r>
    <x v="277"/>
    <s v="Personnel"/>
    <s v="H "/>
    <x v="1"/>
    <x v="9"/>
    <s v="PSES High Prog01Act26 S275"/>
    <x v="0"/>
    <s v="26"/>
    <m/>
    <n v="26"/>
    <s v="   "/>
    <n v="1.6379999999999999"/>
    <n v="0.20910000000000001"/>
    <n v="0"/>
    <s v="High Health/_x000a_Related Services"/>
  </r>
  <r>
    <x v="277"/>
    <s v="Personnel"/>
    <s v="E "/>
    <x v="0"/>
    <x v="15"/>
    <s v="PSES Elem Prog01Duty42 S275"/>
    <x v="0"/>
    <s v="42"/>
    <n v="42"/>
    <m/>
    <s v="   "/>
    <n v="3"/>
    <n v="0.20910000000000001"/>
    <n v="0"/>
    <s v="Elementary Counselor"/>
  </r>
  <r>
    <x v="277"/>
    <s v="Personnel"/>
    <s v="H "/>
    <x v="1"/>
    <x v="16"/>
    <s v="PSES High Prog01Duty42 S275"/>
    <x v="0"/>
    <s v="42"/>
    <n v="42"/>
    <m/>
    <s v="   "/>
    <n v="2.5"/>
    <n v="0.20910000000000001"/>
    <n v="0"/>
    <s v="High Counselor"/>
  </r>
  <r>
    <x v="277"/>
    <s v="Personnel"/>
    <s v="M "/>
    <x v="2"/>
    <x v="17"/>
    <s v="PSES Mid Prog01Duty42 S275"/>
    <x v="0"/>
    <s v="42"/>
    <n v="42"/>
    <m/>
    <s v="   "/>
    <n v="1.5"/>
    <n v="0.20910000000000001"/>
    <n v="0"/>
    <s v="Middle Counselor"/>
  </r>
  <r>
    <x v="277"/>
    <s v="Personnel"/>
    <s v="E "/>
    <x v="0"/>
    <x v="18"/>
    <s v="PSES Elem Prog21Duty43 S275"/>
    <x v="1"/>
    <s v="43"/>
    <n v="43"/>
    <m/>
    <s v="   "/>
    <n v="1"/>
    <n v="0.20910000000000001"/>
    <n v="0.20899999999999999"/>
    <s v="Elementary Occupational Therapist"/>
  </r>
  <r>
    <x v="277"/>
    <s v="Personnel"/>
    <s v="E "/>
    <x v="0"/>
    <x v="20"/>
    <s v="PSES Elem Prog21Duty45 S275"/>
    <x v="1"/>
    <s v="45"/>
    <n v="45"/>
    <m/>
    <s v="   "/>
    <n v="2.8"/>
    <n v="0.20910000000000001"/>
    <n v="0.58499999999999996"/>
    <s v="Elementary Speech, Language Pathway/_x000a_Audio"/>
  </r>
  <r>
    <x v="277"/>
    <s v="Personnel"/>
    <s v="H "/>
    <x v="1"/>
    <x v="21"/>
    <s v="PSES High Prog21Duty45 S275"/>
    <x v="1"/>
    <s v="45"/>
    <n v="45"/>
    <m/>
    <s v="   "/>
    <n v="0.68100000000000005"/>
    <n v="0.20910000000000001"/>
    <n v="0.14199999999999999"/>
    <s v="High Speech, Language Pathway/_x000a_Audio"/>
  </r>
  <r>
    <x v="277"/>
    <s v="Personnel"/>
    <s v="M "/>
    <x v="2"/>
    <x v="28"/>
    <s v="PSES Mid Prog21Duty45 S275"/>
    <x v="1"/>
    <s v="45"/>
    <n v="45"/>
    <m/>
    <s v="   "/>
    <n v="0.56399999999999995"/>
    <n v="0.20910000000000001"/>
    <n v="0.11799999999999999"/>
    <s v="Middle Speech, Language Pathway/_x000a_Audio"/>
  </r>
  <r>
    <x v="277"/>
    <s v="Personnel"/>
    <s v="E "/>
    <x v="0"/>
    <x v="22"/>
    <s v="PSES Elem Prog21Duty46 S275"/>
    <x v="1"/>
    <s v="46"/>
    <n v="46"/>
    <m/>
    <s v="   "/>
    <n v="1.75"/>
    <n v="0.20910000000000001"/>
    <n v="0.36599999999999999"/>
    <s v="Elementary Psychologist"/>
  </r>
  <r>
    <x v="277"/>
    <s v="Personnel"/>
    <s v="H "/>
    <x v="1"/>
    <x v="23"/>
    <s v="PSES High Prog21Duty46 S275"/>
    <x v="1"/>
    <s v="46"/>
    <n v="46"/>
    <m/>
    <s v="   "/>
    <n v="0.5"/>
    <n v="0.20910000000000001"/>
    <n v="0.105"/>
    <s v="High Psychologist"/>
  </r>
  <r>
    <x v="277"/>
    <s v="Personnel"/>
    <s v="M "/>
    <x v="2"/>
    <x v="24"/>
    <s v="PSES Mid Prog21Duty46 S275"/>
    <x v="1"/>
    <s v="46"/>
    <n v="46"/>
    <m/>
    <s v="   "/>
    <n v="0.5"/>
    <n v="0.20910000000000001"/>
    <n v="0.105"/>
    <s v="Middle Psychologist"/>
  </r>
  <r>
    <x v="277"/>
    <s v="Personnel"/>
    <s v="E "/>
    <x v="0"/>
    <x v="26"/>
    <s v="PSES Elem Prog21Duty49 S275"/>
    <x v="1"/>
    <s v="49"/>
    <n v="49"/>
    <m/>
    <s v="   "/>
    <n v="0.153"/>
    <n v="0.20910000000000001"/>
    <n v="3.2000000000000001E-2"/>
    <s v="Elementary Behavior Analyst"/>
  </r>
  <r>
    <x v="277"/>
    <s v="Personnel"/>
    <s v="E "/>
    <x v="0"/>
    <x v="79"/>
    <s v="PSES Elem Prog01Duty49 S275"/>
    <x v="0"/>
    <s v="49"/>
    <n v="49"/>
    <m/>
    <s v="   "/>
    <n v="0.153"/>
    <n v="0.20910000000000001"/>
    <n v="0"/>
    <s v="Elementary Behavior Analyst"/>
  </r>
  <r>
    <x v="278"/>
    <s v="Personnel"/>
    <s v="H "/>
    <x v="1"/>
    <x v="5"/>
    <s v="PSES High Prog01Act25 S275"/>
    <x v="0"/>
    <s v="25"/>
    <m/>
    <n v="25"/>
    <s v="   "/>
    <n v="0.54100000000000004"/>
    <n v="0.18340000000000001"/>
    <n v="0"/>
    <s v="High Pupil Management"/>
  </r>
  <r>
    <x v="278"/>
    <s v="Personnel"/>
    <s v="E "/>
    <x v="0"/>
    <x v="15"/>
    <s v="PSES Elem Prog01Duty42 S275"/>
    <x v="0"/>
    <s v="42"/>
    <n v="42"/>
    <m/>
    <s v="   "/>
    <n v="0.875"/>
    <n v="0.18340000000000001"/>
    <n v="0"/>
    <s v="Elementary Counselor"/>
  </r>
  <r>
    <x v="278"/>
    <s v="Personnel"/>
    <s v="H "/>
    <x v="1"/>
    <x v="16"/>
    <s v="PSES High Prog01Duty42 S275"/>
    <x v="0"/>
    <s v="42"/>
    <n v="42"/>
    <m/>
    <s v="   "/>
    <n v="0.56599999999999995"/>
    <n v="0.18340000000000001"/>
    <n v="0"/>
    <s v="High Counselor"/>
  </r>
  <r>
    <x v="278"/>
    <s v="Personnel"/>
    <s v="M "/>
    <x v="2"/>
    <x v="17"/>
    <s v="PSES Mid Prog01Duty42 S275"/>
    <x v="0"/>
    <s v="42"/>
    <n v="42"/>
    <m/>
    <s v="   "/>
    <n v="0.33400000000000002"/>
    <n v="0.18340000000000001"/>
    <n v="0"/>
    <s v="Middle Counselor"/>
  </r>
  <r>
    <x v="278"/>
    <s v="Personnel"/>
    <s v="E "/>
    <x v="0"/>
    <x v="20"/>
    <s v="PSES Elem Prog21Duty45 S275"/>
    <x v="1"/>
    <s v="45"/>
    <n v="45"/>
    <m/>
    <s v="   "/>
    <n v="0.66500000000000004"/>
    <n v="0.18340000000000001"/>
    <n v="0.122"/>
    <s v="Elementary Speech, Language Pathway/_x000a_Audio"/>
  </r>
  <r>
    <x v="278"/>
    <s v="Personnel"/>
    <s v="H "/>
    <x v="1"/>
    <x v="21"/>
    <s v="PSES High Prog21Duty45 S275"/>
    <x v="1"/>
    <s v="45"/>
    <n v="45"/>
    <m/>
    <s v="   "/>
    <n v="0.16800000000000001"/>
    <n v="0.18340000000000001"/>
    <n v="3.1E-2"/>
    <s v="High Speech, Language Pathway/_x000a_Audio"/>
  </r>
  <r>
    <x v="278"/>
    <s v="Personnel"/>
    <s v="M "/>
    <x v="2"/>
    <x v="28"/>
    <s v="PSES Mid Prog21Duty45 S275"/>
    <x v="1"/>
    <s v="45"/>
    <n v="45"/>
    <m/>
    <s v="   "/>
    <n v="0.16700000000000001"/>
    <n v="0.18340000000000001"/>
    <n v="3.1E-2"/>
    <s v="Middle Speech, Language Pathway/_x000a_Audio"/>
  </r>
  <r>
    <x v="278"/>
    <s v="Personnel"/>
    <s v="T"/>
    <x v="0"/>
    <x v="70"/>
    <s v="PSES Elem Prog09Duty42 S275"/>
    <x v="3"/>
    <s v="42"/>
    <n v="42"/>
    <n v="24"/>
    <m/>
    <n v="0.125"/>
    <n v="0.18340000000000001"/>
    <n v="0"/>
    <s v="TK Counselor"/>
  </r>
  <r>
    <x v="279"/>
    <s v="Personnel"/>
    <s v="E "/>
    <x v="0"/>
    <x v="15"/>
    <s v="PSES Elem Prog01Duty42 S275"/>
    <x v="0"/>
    <s v="42"/>
    <n v="42"/>
    <m/>
    <s v="   "/>
    <n v="0.5"/>
    <n v="0.14169999999999999"/>
    <n v="0"/>
    <s v="Elementary Counselor"/>
  </r>
  <r>
    <x v="279"/>
    <s v="Personnel"/>
    <s v="H "/>
    <x v="1"/>
    <x v="16"/>
    <s v="PSES High Prog01Duty42 S275"/>
    <x v="0"/>
    <s v="42"/>
    <n v="42"/>
    <m/>
    <s v="   "/>
    <n v="0.5"/>
    <n v="0.14169999999999999"/>
    <n v="0"/>
    <s v="High Counselor"/>
  </r>
  <r>
    <x v="280"/>
    <s v="Personnel"/>
    <s v="E "/>
    <x v="0"/>
    <x v="8"/>
    <s v="PSES Elem Prog01Act26 S275"/>
    <x v="0"/>
    <s v="26"/>
    <m/>
    <n v="26"/>
    <s v="   "/>
    <n v="4.2000000000000003E-2"/>
    <n v="0.1741"/>
    <n v="0"/>
    <s v="Elementary Health/_x000a_Related Services"/>
  </r>
  <r>
    <x v="280"/>
    <s v="Personnel"/>
    <s v="H "/>
    <x v="1"/>
    <x v="9"/>
    <s v="PSES High Prog01Act26 S275"/>
    <x v="0"/>
    <s v="26"/>
    <m/>
    <n v="26"/>
    <s v="   "/>
    <n v="0.06"/>
    <n v="0.1741"/>
    <n v="0"/>
    <s v="High Health/_x000a_Related Services"/>
  </r>
  <r>
    <x v="280"/>
    <s v="Personnel"/>
    <s v="E "/>
    <x v="0"/>
    <x v="15"/>
    <s v="PSES Elem Prog01Duty42 S275"/>
    <x v="0"/>
    <s v="42"/>
    <n v="42"/>
    <m/>
    <s v="   "/>
    <n v="0.5"/>
    <n v="0.1741"/>
    <n v="0"/>
    <s v="Elementary Counselor"/>
  </r>
  <r>
    <x v="280"/>
    <s v="Personnel"/>
    <s v="M "/>
    <x v="2"/>
    <x v="17"/>
    <s v="PSES Mid Prog01Duty42 S275"/>
    <x v="0"/>
    <s v="42"/>
    <n v="42"/>
    <m/>
    <s v="   "/>
    <n v="0.5"/>
    <n v="0.1741"/>
    <n v="0"/>
    <s v="Middle Counselor"/>
  </r>
  <r>
    <x v="281"/>
    <s v="Personnel"/>
    <s v="H "/>
    <x v="1"/>
    <x v="9"/>
    <s v="PSES High Prog01Act26 S275"/>
    <x v="0"/>
    <s v="26"/>
    <m/>
    <n v="26"/>
    <s v="   "/>
    <n v="3.5000000000000003E-2"/>
    <n v="0.1014"/>
    <n v="0"/>
    <s v="High Health/_x000a_Related Services"/>
  </r>
  <r>
    <x v="282"/>
    <s v="Personnel"/>
    <s v="E "/>
    <x v="0"/>
    <x v="15"/>
    <s v="PSES Elem Prog01Duty42 S275"/>
    <x v="0"/>
    <s v="42"/>
    <n v="42"/>
    <m/>
    <s v="   "/>
    <n v="0.128"/>
    <n v="0.14729999999999999"/>
    <n v="0"/>
    <s v="Elementary Counselor"/>
  </r>
  <r>
    <x v="282"/>
    <s v="Personnel"/>
    <s v="H "/>
    <x v="1"/>
    <x v="16"/>
    <s v="PSES High Prog01Duty42 S275"/>
    <x v="0"/>
    <s v="42"/>
    <n v="42"/>
    <m/>
    <s v="   "/>
    <n v="0.16900000000000001"/>
    <n v="0.14729999999999999"/>
    <n v="0"/>
    <s v="High Counselor"/>
  </r>
  <r>
    <x v="282"/>
    <s v="Personnel"/>
    <s v="M "/>
    <x v="2"/>
    <x v="17"/>
    <s v="PSES Mid Prog01Duty42 S275"/>
    <x v="0"/>
    <s v="42"/>
    <n v="42"/>
    <m/>
    <s v="   "/>
    <n v="0.34699999999999998"/>
    <n v="0.14729999999999999"/>
    <n v="0"/>
    <s v="Middle Counselor"/>
  </r>
  <r>
    <x v="283"/>
    <s v="Personnel"/>
    <s v="H "/>
    <x v="1"/>
    <x v="1"/>
    <s v="PSES High Prog01Duty96 S275"/>
    <x v="0"/>
    <s v="24"/>
    <n v="96"/>
    <n v="24"/>
    <s v="   "/>
    <n v="0.67100000000000004"/>
    <n v="0.15140000000000001"/>
    <n v="0"/>
    <s v="High Family Engagement Coordinator"/>
  </r>
  <r>
    <x v="283"/>
    <s v="Personnel"/>
    <s v="H "/>
    <x v="1"/>
    <x v="5"/>
    <s v="PSES High Prog01Act25 S275"/>
    <x v="0"/>
    <s v="25"/>
    <m/>
    <n v="25"/>
    <s v="   "/>
    <n v="0.24199999999999999"/>
    <n v="0.15140000000000001"/>
    <n v="0"/>
    <s v="High Pupil Management"/>
  </r>
  <r>
    <x v="284"/>
    <s v="Personnel"/>
    <s v="E "/>
    <x v="0"/>
    <x v="3"/>
    <s v="PSES Elem Prog01Act25 S275"/>
    <x v="0"/>
    <s v="25"/>
    <m/>
    <n v="25"/>
    <s v="   "/>
    <n v="4.4999999999999998E-2"/>
    <n v="0.1187"/>
    <n v="0"/>
    <s v="Elementary Pupil Management"/>
  </r>
  <r>
    <x v="284"/>
    <s v="Personnel"/>
    <s v="H "/>
    <x v="1"/>
    <x v="5"/>
    <s v="PSES High Prog01Act25 S275"/>
    <x v="0"/>
    <s v="25"/>
    <m/>
    <n v="25"/>
    <s v="   "/>
    <n v="8.8999999999999996E-2"/>
    <n v="0.1187"/>
    <n v="0"/>
    <s v="High Pupil Management"/>
  </r>
  <r>
    <x v="284"/>
    <s v="Personnel"/>
    <s v="M "/>
    <x v="2"/>
    <x v="6"/>
    <s v="PSES Mid Prog01Act25 S275"/>
    <x v="0"/>
    <s v="25"/>
    <m/>
    <n v="25"/>
    <s v="   "/>
    <n v="0.14399999999999999"/>
    <n v="0.1187"/>
    <n v="0"/>
    <s v="Middle Pupil Management"/>
  </r>
  <r>
    <x v="284"/>
    <s v="Personnel"/>
    <s v="E "/>
    <x v="0"/>
    <x v="8"/>
    <s v="PSES Elem Prog01Act26 S275"/>
    <x v="0"/>
    <s v="26"/>
    <m/>
    <n v="26"/>
    <s v="   "/>
    <n v="9.2999999999999999E-2"/>
    <n v="0.1187"/>
    <n v="0"/>
    <s v="Elementary Health/_x000a_Related Services"/>
  </r>
  <r>
    <x v="284"/>
    <s v="Personnel"/>
    <s v="H "/>
    <x v="1"/>
    <x v="9"/>
    <s v="PSES High Prog01Act26 S275"/>
    <x v="0"/>
    <s v="26"/>
    <m/>
    <n v="26"/>
    <s v="   "/>
    <n v="9.2999999999999999E-2"/>
    <n v="0.1187"/>
    <n v="0"/>
    <s v="High Health/_x000a_Related Services"/>
  </r>
  <r>
    <x v="284"/>
    <s v="Personnel"/>
    <s v="M "/>
    <x v="2"/>
    <x v="11"/>
    <s v="PSES Mid Prog01Act26 S275"/>
    <x v="0"/>
    <s v="26"/>
    <m/>
    <n v="26"/>
    <s v="   "/>
    <n v="9.2999999999999999E-2"/>
    <n v="0.1187"/>
    <n v="0"/>
    <s v="Middle Health/_x000a_Related Services"/>
  </r>
  <r>
    <x v="284"/>
    <s v="Personnel"/>
    <s v="E "/>
    <x v="0"/>
    <x v="79"/>
    <s v="PSES Elem Prog01Duty49 S275"/>
    <x v="0"/>
    <s v="49"/>
    <n v="49"/>
    <m/>
    <s v="   "/>
    <n v="0.20399999999999999"/>
    <n v="0.1187"/>
    <n v="0"/>
    <s v="Elementary Behavior Analyst"/>
  </r>
  <r>
    <x v="284"/>
    <s v="Personnel"/>
    <s v="H "/>
    <x v="1"/>
    <x v="68"/>
    <s v="PSES High Prog01Duty49 S275"/>
    <x v="0"/>
    <s v="49"/>
    <n v="49"/>
    <m/>
    <s v="   "/>
    <n v="0.20399999999999999"/>
    <n v="0.1187"/>
    <n v="0"/>
    <s v="High Behavior Analyst"/>
  </r>
  <r>
    <x v="284"/>
    <s v="Personnel"/>
    <s v="M "/>
    <x v="2"/>
    <x v="89"/>
    <s v="PSES Mid Prog01Duty49 S275"/>
    <x v="0"/>
    <s v="49"/>
    <n v="49"/>
    <m/>
    <s v="   "/>
    <n v="0.20399999999999999"/>
    <n v="0.1187"/>
    <n v="0"/>
    <s v="Middle Behavior Analyst"/>
  </r>
  <r>
    <x v="285"/>
    <s v="Personnel"/>
    <s v="E "/>
    <x v="0"/>
    <x v="15"/>
    <s v="PSES Elem Prog01Duty42 S275"/>
    <x v="0"/>
    <s v="42"/>
    <n v="42"/>
    <m/>
    <s v="   "/>
    <n v="0.13"/>
    <n v="0.13819999999999999"/>
    <n v="0"/>
    <s v="Elementary Counselor"/>
  </r>
  <r>
    <x v="285"/>
    <s v="Personnel"/>
    <s v="H "/>
    <x v="1"/>
    <x v="16"/>
    <s v="PSES High Prog01Duty42 S275"/>
    <x v="0"/>
    <s v="42"/>
    <n v="42"/>
    <m/>
    <s v="   "/>
    <n v="0.30299999999999999"/>
    <n v="0.13819999999999999"/>
    <n v="0"/>
    <s v="High Counselor"/>
  </r>
  <r>
    <x v="286"/>
    <s v="Personnel"/>
    <s v="E "/>
    <x v="0"/>
    <x v="8"/>
    <s v="PSES Elem Prog01Act26 S275"/>
    <x v="0"/>
    <s v="26"/>
    <m/>
    <n v="26"/>
    <s v="   "/>
    <n v="0.22700000000000001"/>
    <n v="0.16189999999999999"/>
    <n v="0"/>
    <s v="Elementary Health/_x000a_Related Services"/>
  </r>
  <r>
    <x v="286"/>
    <s v="Personnel"/>
    <s v="H "/>
    <x v="1"/>
    <x v="9"/>
    <s v="PSES High Prog01Act26 S275"/>
    <x v="0"/>
    <s v="26"/>
    <m/>
    <n v="26"/>
    <s v="   "/>
    <n v="0.113"/>
    <n v="0.16189999999999999"/>
    <n v="0"/>
    <s v="High Health/_x000a_Related Services"/>
  </r>
  <r>
    <x v="286"/>
    <s v="Personnel"/>
    <s v="M "/>
    <x v="2"/>
    <x v="11"/>
    <s v="PSES Mid Prog01Act26 S275"/>
    <x v="0"/>
    <s v="26"/>
    <m/>
    <n v="26"/>
    <s v="   "/>
    <n v="0.113"/>
    <n v="0.16189999999999999"/>
    <n v="0"/>
    <s v="Middle Health/_x000a_Related Services"/>
  </r>
  <r>
    <x v="286"/>
    <s v="Personnel"/>
    <s v="H "/>
    <x v="1"/>
    <x v="16"/>
    <s v="PSES High Prog01Duty42 S275"/>
    <x v="0"/>
    <s v="42"/>
    <n v="42"/>
    <m/>
    <s v="   "/>
    <n v="0.6"/>
    <n v="0.16189999999999999"/>
    <n v="0"/>
    <s v="High Counselor"/>
  </r>
  <r>
    <x v="287"/>
    <s v="Personnel"/>
    <s v="H "/>
    <x v="1"/>
    <x v="5"/>
    <s v="PSES High Prog01Act25 S275"/>
    <x v="0"/>
    <s v="25"/>
    <m/>
    <n v="25"/>
    <s v="   "/>
    <n v="3.0939999999999999"/>
    <n v="0.19009999999999999"/>
    <n v="0"/>
    <s v="High Pupil Management"/>
  </r>
  <r>
    <x v="287"/>
    <s v="Personnel"/>
    <s v="H "/>
    <x v="1"/>
    <x v="29"/>
    <s v="PSES High Prog21Act26 S275"/>
    <x v="1"/>
    <s v="26"/>
    <m/>
    <n v="26"/>
    <s v="   "/>
    <n v="0.64600000000000002"/>
    <n v="0.19009999999999999"/>
    <n v="0.123"/>
    <s v="High Health/_x000a_Related Services"/>
  </r>
  <r>
    <x v="287"/>
    <s v="Personnel"/>
    <s v="H "/>
    <x v="1"/>
    <x v="9"/>
    <s v="PSES High Prog01Act26 S275"/>
    <x v="0"/>
    <s v="26"/>
    <m/>
    <n v="26"/>
    <s v="   "/>
    <n v="0.91100000000000003"/>
    <n v="0.19009999999999999"/>
    <n v="0"/>
    <s v="High Health/_x000a_Related Services"/>
  </r>
  <r>
    <x v="287"/>
    <s v="Personnel"/>
    <s v="E "/>
    <x v="0"/>
    <x v="15"/>
    <s v="PSES Elem Prog01Duty42 S275"/>
    <x v="0"/>
    <s v="42"/>
    <n v="42"/>
    <m/>
    <s v="   "/>
    <n v="0.5"/>
    <n v="0.19009999999999999"/>
    <n v="0"/>
    <s v="Elementary Counselor"/>
  </r>
  <r>
    <x v="287"/>
    <s v="Personnel"/>
    <s v="M "/>
    <x v="2"/>
    <x v="17"/>
    <s v="PSES Mid Prog01Duty42 S275"/>
    <x v="0"/>
    <s v="42"/>
    <n v="42"/>
    <m/>
    <s v="   "/>
    <n v="0.5"/>
    <n v="0.19009999999999999"/>
    <n v="0"/>
    <s v="Middle Counselor"/>
  </r>
  <r>
    <x v="287"/>
    <s v="Personnel"/>
    <s v="E "/>
    <x v="0"/>
    <x v="22"/>
    <s v="PSES Elem Prog21Duty46 S275"/>
    <x v="1"/>
    <s v="46"/>
    <n v="46"/>
    <m/>
    <s v="   "/>
    <n v="0.5"/>
    <n v="0.19009999999999999"/>
    <n v="9.5000000000000001E-2"/>
    <s v="Elementary Psychologist"/>
  </r>
  <r>
    <x v="287"/>
    <s v="Personnel"/>
    <s v="M "/>
    <x v="2"/>
    <x v="24"/>
    <s v="PSES Mid Prog21Duty46 S275"/>
    <x v="1"/>
    <s v="46"/>
    <n v="46"/>
    <m/>
    <s v="   "/>
    <n v="0.5"/>
    <n v="0.19009999999999999"/>
    <n v="9.5000000000000001E-2"/>
    <s v="Middle Psychologist"/>
  </r>
  <r>
    <x v="288"/>
    <s v="Personnel"/>
    <s v="E "/>
    <x v="0"/>
    <x v="67"/>
    <s v="PSES Elem Prog21Act25 S275"/>
    <x v="1"/>
    <s v="25"/>
    <m/>
    <n v="25"/>
    <s v="   "/>
    <n v="6.9000000000000006E-2"/>
    <n v="0.15840000000000001"/>
    <n v="1.0999999999999999E-2"/>
    <s v="Elementary Pupil Management"/>
  </r>
  <r>
    <x v="288"/>
    <s v="Personnel"/>
    <s v="E "/>
    <x v="0"/>
    <x v="3"/>
    <s v="PSES Elem Prog01Act25 S275"/>
    <x v="0"/>
    <s v="25"/>
    <m/>
    <n v="25"/>
    <s v="   "/>
    <n v="7.3999999999999996E-2"/>
    <n v="0.15840000000000001"/>
    <n v="0"/>
    <s v="Elementary Pupil Management"/>
  </r>
  <r>
    <x v="288"/>
    <s v="Personnel"/>
    <s v="H "/>
    <x v="1"/>
    <x v="5"/>
    <s v="PSES High Prog01Act25 S275"/>
    <x v="0"/>
    <s v="25"/>
    <m/>
    <n v="25"/>
    <s v="   "/>
    <n v="0.14000000000000001"/>
    <n v="0.15840000000000001"/>
    <n v="0"/>
    <s v="High Pupil Management"/>
  </r>
  <r>
    <x v="288"/>
    <s v="Personnel"/>
    <s v="M "/>
    <x v="2"/>
    <x v="6"/>
    <s v="PSES Mid Prog01Act25 S275"/>
    <x v="0"/>
    <s v="25"/>
    <m/>
    <n v="25"/>
    <s v="   "/>
    <n v="0.56499999999999995"/>
    <n v="0.15840000000000001"/>
    <n v="0"/>
    <s v="Middle Pupil Management"/>
  </r>
  <r>
    <x v="288"/>
    <s v="Personnel"/>
    <s v="E "/>
    <x v="0"/>
    <x v="7"/>
    <s v="PSES Elem Prog21Act26 S275"/>
    <x v="1"/>
    <s v="26"/>
    <m/>
    <n v="26"/>
    <s v="   "/>
    <n v="0.59399999999999997"/>
    <n v="0.15840000000000001"/>
    <n v="9.4E-2"/>
    <s v="Elementary Health/_x000a_Related Services"/>
  </r>
  <r>
    <x v="288"/>
    <s v="Personnel"/>
    <s v="E "/>
    <x v="0"/>
    <x v="8"/>
    <s v="PSES Elem Prog01Act26 S275"/>
    <x v="0"/>
    <s v="26"/>
    <m/>
    <n v="26"/>
    <s v="   "/>
    <n v="0.72499999999999998"/>
    <n v="0.15840000000000001"/>
    <n v="0"/>
    <s v="Elementary Health/_x000a_Related Services"/>
  </r>
  <r>
    <x v="288"/>
    <s v="Personnel"/>
    <s v="E "/>
    <x v="0"/>
    <x v="15"/>
    <s v="PSES Elem Prog01Duty42 S275"/>
    <x v="0"/>
    <s v="42"/>
    <n v="42"/>
    <m/>
    <s v="   "/>
    <n v="1.5"/>
    <n v="0.15840000000000001"/>
    <n v="0"/>
    <s v="Elementary Counselor"/>
  </r>
  <r>
    <x v="288"/>
    <s v="Personnel"/>
    <s v="H "/>
    <x v="1"/>
    <x v="16"/>
    <s v="PSES High Prog01Duty42 S275"/>
    <x v="0"/>
    <s v="42"/>
    <n v="42"/>
    <m/>
    <s v="   "/>
    <n v="1.25"/>
    <n v="0.15840000000000001"/>
    <n v="0"/>
    <s v="High Counselor"/>
  </r>
  <r>
    <x v="288"/>
    <s v="Personnel"/>
    <s v="M "/>
    <x v="2"/>
    <x v="17"/>
    <s v="PSES Mid Prog01Duty42 S275"/>
    <x v="0"/>
    <s v="42"/>
    <n v="42"/>
    <m/>
    <s v="   "/>
    <n v="0.5"/>
    <n v="0.15840000000000001"/>
    <n v="0"/>
    <s v="Middle Counselor"/>
  </r>
  <r>
    <x v="288"/>
    <s v="Personnel"/>
    <s v="E "/>
    <x v="0"/>
    <x v="20"/>
    <s v="PSES Elem Prog21Duty45 S275"/>
    <x v="1"/>
    <s v="45"/>
    <n v="45"/>
    <m/>
    <s v="   "/>
    <n v="0.33400000000000002"/>
    <n v="0.15840000000000001"/>
    <n v="5.2999999999999999E-2"/>
    <s v="Elementary Speech, Language Pathway/_x000a_Audio"/>
  </r>
  <r>
    <x v="288"/>
    <s v="Personnel"/>
    <s v="H "/>
    <x v="1"/>
    <x v="21"/>
    <s v="PSES High Prog21Duty45 S275"/>
    <x v="1"/>
    <s v="45"/>
    <n v="45"/>
    <m/>
    <s v="   "/>
    <n v="1.333"/>
    <n v="0.15840000000000001"/>
    <n v="0.21099999999999999"/>
    <s v="High Speech, Language Pathway/_x000a_Audio"/>
  </r>
  <r>
    <x v="288"/>
    <s v="Personnel"/>
    <s v="M "/>
    <x v="2"/>
    <x v="28"/>
    <s v="PSES Mid Prog21Duty45 S275"/>
    <x v="1"/>
    <s v="45"/>
    <n v="45"/>
    <m/>
    <s v="   "/>
    <n v="0.33300000000000002"/>
    <n v="0.15840000000000001"/>
    <n v="5.2999999999999999E-2"/>
    <s v="Middle Speech, Language Pathway/_x000a_Audio"/>
  </r>
  <r>
    <x v="288"/>
    <s v="Personnel"/>
    <s v="E "/>
    <x v="0"/>
    <x v="22"/>
    <s v="PSES Elem Prog21Duty46 S275"/>
    <x v="1"/>
    <s v="46"/>
    <n v="46"/>
    <m/>
    <s v="   "/>
    <n v="0.33400000000000002"/>
    <n v="0.15840000000000001"/>
    <n v="5.2999999999999999E-2"/>
    <s v="Elementary Psychologist"/>
  </r>
  <r>
    <x v="288"/>
    <s v="Personnel"/>
    <s v="H "/>
    <x v="1"/>
    <x v="23"/>
    <s v="PSES High Prog21Duty46 S275"/>
    <x v="1"/>
    <s v="46"/>
    <n v="46"/>
    <m/>
    <s v="   "/>
    <n v="0.33300000000000002"/>
    <n v="0.15840000000000001"/>
    <n v="5.2999999999999999E-2"/>
    <s v="High Psychologist"/>
  </r>
  <r>
    <x v="288"/>
    <s v="Personnel"/>
    <s v="M "/>
    <x v="2"/>
    <x v="24"/>
    <s v="PSES Mid Prog21Duty46 S275"/>
    <x v="1"/>
    <s v="46"/>
    <n v="46"/>
    <m/>
    <s v="   "/>
    <n v="0.33300000000000002"/>
    <n v="0.15840000000000001"/>
    <n v="5.2999999999999999E-2"/>
    <s v="Middle Psychologist"/>
  </r>
  <r>
    <x v="288"/>
    <s v="Personnel"/>
    <s v="E "/>
    <x v="0"/>
    <x v="27"/>
    <s v="PSES Elem Prog01Duty47 S275"/>
    <x v="0"/>
    <s v="47"/>
    <n v="47"/>
    <m/>
    <s v="   "/>
    <n v="0.43"/>
    <n v="0.15840000000000001"/>
    <n v="0"/>
    <s v="Elementary Nurse"/>
  </r>
  <r>
    <x v="288"/>
    <s v="Personnel"/>
    <s v="H "/>
    <x v="1"/>
    <x v="25"/>
    <s v="PSES High Prog01Duty47 S275"/>
    <x v="0"/>
    <s v="47"/>
    <n v="47"/>
    <m/>
    <s v="   "/>
    <n v="0.43099999999999999"/>
    <n v="0.15840000000000001"/>
    <n v="0"/>
    <s v="High Nurse"/>
  </r>
  <r>
    <x v="288"/>
    <s v="Personnel"/>
    <s v="M "/>
    <x v="2"/>
    <x v="34"/>
    <s v="PSES Mid Prog01Duty47 S275"/>
    <x v="0"/>
    <s v="47"/>
    <n v="47"/>
    <m/>
    <s v="   "/>
    <n v="0.43"/>
    <n v="0.15840000000000001"/>
    <n v="0"/>
    <s v="Middle Nurse"/>
  </r>
  <r>
    <x v="288"/>
    <s v="Personnel"/>
    <m/>
    <x v="0"/>
    <x v="66"/>
    <s v="PSES Elem Prog09Duty25 S275"/>
    <x v="3"/>
    <s v="25"/>
    <n v="91"/>
    <n v="25"/>
    <m/>
    <n v="6.9000000000000006E-2"/>
    <n v="0.15840000000000001"/>
    <n v="0"/>
    <s v="TK Pupil Management"/>
  </r>
  <r>
    <x v="289"/>
    <s v="Personnel"/>
    <s v="H "/>
    <x v="1"/>
    <x v="4"/>
    <s v="PSES High Prog21Act25 S275"/>
    <x v="1"/>
    <s v="25"/>
    <m/>
    <n v="25"/>
    <s v="   "/>
    <n v="1"/>
    <n v="0.32019999999999998"/>
    <n v="0.32"/>
    <s v="High Pupil Management"/>
  </r>
  <r>
    <x v="289"/>
    <s v="Personnel"/>
    <s v="H "/>
    <x v="1"/>
    <x v="5"/>
    <s v="PSES High Prog01Act25 S275"/>
    <x v="0"/>
    <s v="25"/>
    <m/>
    <n v="25"/>
    <s v="   "/>
    <n v="19.241"/>
    <n v="0.32019999999999998"/>
    <n v="0"/>
    <s v="High Pupil Management"/>
  </r>
  <r>
    <x v="289"/>
    <s v="Personnel"/>
    <s v="H "/>
    <x v="1"/>
    <x v="29"/>
    <s v="PSES High Prog21Act26 S275"/>
    <x v="1"/>
    <s v="26"/>
    <m/>
    <n v="26"/>
    <s v="   "/>
    <n v="19.736999999999998"/>
    <n v="0.32019999999999998"/>
    <n v="6.32"/>
    <s v="High Health/_x000a_Related Services"/>
  </r>
  <r>
    <x v="289"/>
    <s v="Personnel"/>
    <s v="H "/>
    <x v="1"/>
    <x v="9"/>
    <s v="PSES High Prog01Act26 S275"/>
    <x v="0"/>
    <s v="26"/>
    <m/>
    <n v="26"/>
    <s v="   "/>
    <n v="5.2519999999999998"/>
    <n v="0.32019999999999998"/>
    <n v="0"/>
    <s v="High Health/_x000a_Related Services"/>
  </r>
  <r>
    <x v="289"/>
    <s v="Personnel"/>
    <s v="H "/>
    <x v="1"/>
    <x v="54"/>
    <s v="PSES High Prog01Act35 S275"/>
    <x v="0"/>
    <s v="35"/>
    <m/>
    <n v="35"/>
    <s v="   "/>
    <n v="13.362"/>
    <n v="0.32019999999999998"/>
    <n v="0"/>
    <s v="High Pupil Safety"/>
  </r>
  <r>
    <x v="289"/>
    <s v="Personnel"/>
    <s v="E "/>
    <x v="0"/>
    <x v="15"/>
    <s v="PSES Elem Prog01Duty42 S275"/>
    <x v="0"/>
    <s v="42"/>
    <n v="42"/>
    <m/>
    <s v="   "/>
    <n v="3.84"/>
    <n v="0.32019999999999998"/>
    <n v="0"/>
    <s v="Elementary Counselor"/>
  </r>
  <r>
    <x v="289"/>
    <s v="Personnel"/>
    <s v="H "/>
    <x v="1"/>
    <x v="16"/>
    <s v="PSES High Prog01Duty42 S275"/>
    <x v="0"/>
    <s v="42"/>
    <n v="42"/>
    <m/>
    <s v="   "/>
    <n v="9"/>
    <n v="0.32019999999999998"/>
    <n v="0"/>
    <s v="High Counselor"/>
  </r>
  <r>
    <x v="289"/>
    <s v="Personnel"/>
    <s v="M "/>
    <x v="2"/>
    <x v="17"/>
    <s v="PSES Mid Prog01Duty42 S275"/>
    <x v="0"/>
    <s v="42"/>
    <n v="42"/>
    <m/>
    <s v="   "/>
    <n v="3.66"/>
    <n v="0.32019999999999998"/>
    <n v="0"/>
    <s v="Middle Counselor"/>
  </r>
  <r>
    <x v="289"/>
    <s v="Personnel"/>
    <s v="E "/>
    <x v="0"/>
    <x v="18"/>
    <s v="PSES Elem Prog21Duty43 S275"/>
    <x v="1"/>
    <s v="43"/>
    <n v="43"/>
    <m/>
    <s v="   "/>
    <n v="1.871"/>
    <n v="0.32019999999999998"/>
    <n v="0.59899999999999998"/>
    <s v="Elementary Occupational Therapist"/>
  </r>
  <r>
    <x v="289"/>
    <s v="Personnel"/>
    <s v="H "/>
    <x v="1"/>
    <x v="19"/>
    <s v="PSES High Prog21Duty43 S275"/>
    <x v="1"/>
    <s v="43"/>
    <n v="43"/>
    <m/>
    <s v="   "/>
    <n v="0.31"/>
    <n v="0.32019999999999998"/>
    <n v="9.9000000000000005E-2"/>
    <s v="High Occupational Therapist"/>
  </r>
  <r>
    <x v="289"/>
    <s v="Personnel"/>
    <s v="M "/>
    <x v="2"/>
    <x v="31"/>
    <s v="PSES Mid Prog21Duty43 S275"/>
    <x v="1"/>
    <s v="43"/>
    <n v="43"/>
    <m/>
    <s v="   "/>
    <n v="3.7970000000000002"/>
    <n v="0.32019999999999998"/>
    <n v="1.216"/>
    <s v="Middle Occupational Therapist"/>
  </r>
  <r>
    <x v="289"/>
    <s v="Personnel"/>
    <s v="E "/>
    <x v="0"/>
    <x v="20"/>
    <s v="PSES Elem Prog21Duty45 S275"/>
    <x v="1"/>
    <s v="45"/>
    <n v="45"/>
    <m/>
    <s v="   "/>
    <n v="5.8"/>
    <n v="0.32019999999999998"/>
    <n v="1.857"/>
    <s v="Elementary Speech, Language Pathway/_x000a_Audio"/>
  </r>
  <r>
    <x v="289"/>
    <s v="Personnel"/>
    <s v="M "/>
    <x v="2"/>
    <x v="28"/>
    <s v="PSES Mid Prog21Duty45 S275"/>
    <x v="1"/>
    <s v="45"/>
    <n v="45"/>
    <m/>
    <s v="   "/>
    <n v="3"/>
    <n v="0.32019999999999998"/>
    <n v="0.96099999999999997"/>
    <s v="Middle Speech, Language Pathway/_x000a_Audio"/>
  </r>
  <r>
    <x v="289"/>
    <s v="Personnel"/>
    <s v="E "/>
    <x v="0"/>
    <x v="22"/>
    <s v="PSES Elem Prog21Duty46 S275"/>
    <x v="1"/>
    <s v="46"/>
    <n v="46"/>
    <m/>
    <s v="   "/>
    <n v="5.4"/>
    <n v="0.32019999999999998"/>
    <n v="1.7290000000000001"/>
    <s v="Elementary Psychologist"/>
  </r>
  <r>
    <x v="289"/>
    <s v="Personnel"/>
    <s v="H "/>
    <x v="1"/>
    <x v="23"/>
    <s v="PSES High Prog21Duty46 S275"/>
    <x v="1"/>
    <s v="46"/>
    <n v="46"/>
    <m/>
    <s v="   "/>
    <n v="6.8"/>
    <n v="0.32019999999999998"/>
    <n v="2.177"/>
    <s v="High Psychologist"/>
  </r>
  <r>
    <x v="289"/>
    <s v="Personnel"/>
    <s v="M "/>
    <x v="2"/>
    <x v="24"/>
    <s v="PSES Mid Prog21Duty46 S275"/>
    <x v="1"/>
    <s v="46"/>
    <n v="46"/>
    <m/>
    <s v="   "/>
    <n v="5.4"/>
    <n v="0.32019999999999998"/>
    <n v="1.7290000000000001"/>
    <s v="Middle Psychologist"/>
  </r>
  <r>
    <x v="289"/>
    <s v="Personnel"/>
    <s v="E "/>
    <x v="0"/>
    <x v="27"/>
    <s v="PSES Elem Prog01Duty47 S275"/>
    <x v="0"/>
    <s v="47"/>
    <n v="47"/>
    <m/>
    <s v="   "/>
    <n v="11"/>
    <n v="0.32019999999999998"/>
    <n v="0"/>
    <s v="Elementary Nurse"/>
  </r>
  <r>
    <x v="289"/>
    <s v="Personnel"/>
    <s v="H "/>
    <x v="1"/>
    <x v="25"/>
    <s v="PSES High Prog01Duty47 S275"/>
    <x v="0"/>
    <s v="47"/>
    <n v="47"/>
    <m/>
    <s v="   "/>
    <n v="4"/>
    <n v="0.32019999999999998"/>
    <n v="0"/>
    <s v="High Nurse"/>
  </r>
  <r>
    <x v="289"/>
    <s v="Personnel"/>
    <s v="M "/>
    <x v="2"/>
    <x v="34"/>
    <s v="PSES Mid Prog01Duty47 S275"/>
    <x v="0"/>
    <s v="47"/>
    <n v="47"/>
    <m/>
    <s v="   "/>
    <n v="4"/>
    <n v="0.32019999999999998"/>
    <n v="0"/>
    <s v="Middle Nurse"/>
  </r>
  <r>
    <x v="290"/>
    <s v="Personnel"/>
    <s v="H "/>
    <x v="1"/>
    <x v="5"/>
    <s v="PSES High Prog01Act25 S275"/>
    <x v="0"/>
    <s v="25"/>
    <m/>
    <n v="25"/>
    <s v="   "/>
    <n v="3.407"/>
    <n v="0.219"/>
    <n v="0"/>
    <s v="High Pupil Management"/>
  </r>
  <r>
    <x v="290"/>
    <s v="Personnel"/>
    <s v="H "/>
    <x v="1"/>
    <x v="29"/>
    <s v="PSES High Prog21Act26 S275"/>
    <x v="1"/>
    <s v="26"/>
    <m/>
    <n v="26"/>
    <s v="   "/>
    <n v="1.873"/>
    <n v="0.219"/>
    <n v="0.41"/>
    <s v="High Health/_x000a_Related Services"/>
  </r>
  <r>
    <x v="290"/>
    <s v="Personnel"/>
    <s v="H "/>
    <x v="1"/>
    <x v="9"/>
    <s v="PSES High Prog01Act26 S275"/>
    <x v="0"/>
    <s v="26"/>
    <m/>
    <n v="26"/>
    <s v="   "/>
    <n v="3.09"/>
    <n v="0.219"/>
    <n v="0"/>
    <s v="High Health/_x000a_Related Services"/>
  </r>
  <r>
    <x v="290"/>
    <s v="Personnel"/>
    <s v="H "/>
    <x v="1"/>
    <x v="54"/>
    <s v="PSES High Prog01Act35 S275"/>
    <x v="0"/>
    <s v="35"/>
    <m/>
    <n v="35"/>
    <s v="   "/>
    <n v="1.202"/>
    <n v="0.219"/>
    <n v="0"/>
    <s v="High Pupil Safety"/>
  </r>
  <r>
    <x v="290"/>
    <s v="Personnel"/>
    <s v="E "/>
    <x v="0"/>
    <x v="15"/>
    <s v="PSES Elem Prog01Duty42 S275"/>
    <x v="0"/>
    <s v="42"/>
    <n v="42"/>
    <m/>
    <s v="   "/>
    <n v="3"/>
    <n v="0.219"/>
    <n v="0"/>
    <s v="Elementary Counselor"/>
  </r>
  <r>
    <x v="290"/>
    <s v="Personnel"/>
    <s v="H "/>
    <x v="1"/>
    <x v="16"/>
    <s v="PSES High Prog01Duty42 S275"/>
    <x v="0"/>
    <s v="42"/>
    <n v="42"/>
    <m/>
    <s v="   "/>
    <n v="2.5499999999999998"/>
    <n v="0.219"/>
    <n v="0"/>
    <s v="High Counselor"/>
  </r>
  <r>
    <x v="290"/>
    <s v="Personnel"/>
    <s v="M "/>
    <x v="2"/>
    <x v="17"/>
    <s v="PSES Mid Prog01Duty42 S275"/>
    <x v="0"/>
    <s v="42"/>
    <n v="42"/>
    <m/>
    <s v="   "/>
    <n v="2.0009999999999999"/>
    <n v="0.219"/>
    <n v="0"/>
    <s v="Middle Counselor"/>
  </r>
  <r>
    <x v="290"/>
    <s v="Personnel"/>
    <s v="E "/>
    <x v="0"/>
    <x v="18"/>
    <s v="PSES Elem Prog21Duty43 S275"/>
    <x v="1"/>
    <s v="43"/>
    <n v="43"/>
    <m/>
    <s v="   "/>
    <n v="0.63"/>
    <n v="0.219"/>
    <n v="0.13800000000000001"/>
    <s v="Elementary Occupational Therapist"/>
  </r>
  <r>
    <x v="290"/>
    <s v="Personnel"/>
    <s v="H "/>
    <x v="1"/>
    <x v="19"/>
    <s v="PSES High Prog21Duty43 S275"/>
    <x v="1"/>
    <s v="43"/>
    <n v="43"/>
    <m/>
    <s v="   "/>
    <n v="0.17"/>
    <n v="0.219"/>
    <n v="3.6999999999999998E-2"/>
    <s v="High Occupational Therapist"/>
  </r>
  <r>
    <x v="290"/>
    <s v="Personnel"/>
    <s v="M "/>
    <x v="2"/>
    <x v="31"/>
    <s v="PSES Mid Prog21Duty43 S275"/>
    <x v="1"/>
    <s v="43"/>
    <n v="43"/>
    <m/>
    <s v="   "/>
    <n v="0.2"/>
    <n v="0.219"/>
    <n v="4.3999999999999997E-2"/>
    <s v="Middle Occupational Therapist"/>
  </r>
  <r>
    <x v="290"/>
    <s v="Personnel"/>
    <s v="E "/>
    <x v="0"/>
    <x v="22"/>
    <s v="PSES Elem Prog21Duty46 S275"/>
    <x v="1"/>
    <s v="46"/>
    <n v="46"/>
    <m/>
    <s v="   "/>
    <n v="3.77"/>
    <n v="0.219"/>
    <n v="0.82599999999999996"/>
    <s v="Elementary Psychologist"/>
  </r>
  <r>
    <x v="290"/>
    <s v="Personnel"/>
    <s v="H "/>
    <x v="1"/>
    <x v="23"/>
    <s v="PSES High Prog21Duty46 S275"/>
    <x v="1"/>
    <s v="46"/>
    <n v="46"/>
    <m/>
    <s v="   "/>
    <n v="1"/>
    <n v="0.219"/>
    <n v="0.219"/>
    <s v="High Psychologist"/>
  </r>
  <r>
    <x v="290"/>
    <s v="Personnel"/>
    <s v="E "/>
    <x v="0"/>
    <x v="38"/>
    <s v="PSES Elem Prog21Duty64 S275"/>
    <x v="1"/>
    <s v="64"/>
    <n v="64"/>
    <m/>
    <s v="   "/>
    <n v="4.6399999999999997"/>
    <n v="0.219"/>
    <n v="1.016"/>
    <s v="Elementary Contractor ESA"/>
  </r>
  <r>
    <x v="290"/>
    <s v="Personnel"/>
    <s v="H "/>
    <x v="1"/>
    <x v="59"/>
    <s v="PSES High Prog21Duty64 S275"/>
    <x v="1"/>
    <s v="64"/>
    <n v="64"/>
    <m/>
    <s v="   "/>
    <n v="1"/>
    <n v="0.219"/>
    <n v="0.219"/>
    <s v="High Contractor ESA"/>
  </r>
  <r>
    <x v="290"/>
    <s v="Personnel"/>
    <s v="M "/>
    <x v="2"/>
    <x v="60"/>
    <s v="PSES Mid Prog21Duty64 S275"/>
    <x v="1"/>
    <s v="64"/>
    <n v="64"/>
    <m/>
    <s v="   "/>
    <n v="1"/>
    <n v="0.219"/>
    <n v="0.219"/>
    <s v="Middle Contractor ESA"/>
  </r>
  <r>
    <x v="290"/>
    <s v="Personnel"/>
    <s v="T"/>
    <x v="0"/>
    <x v="94"/>
    <s v="PSES Elem Prog09Duty64 S275"/>
    <x v="3"/>
    <s v="64"/>
    <n v="64"/>
    <n v="26"/>
    <m/>
    <n v="0.04"/>
    <n v="0.219"/>
    <n v="0"/>
    <s v="TK Contractor ESA"/>
  </r>
  <r>
    <x v="290"/>
    <s v="Personnel"/>
    <s v="T"/>
    <x v="0"/>
    <x v="94"/>
    <s v="PSES Elem Prog09Duty64 S275"/>
    <x v="3"/>
    <s v="64"/>
    <n v="64"/>
    <n v="26"/>
    <m/>
    <n v="0.3"/>
    <n v="0.219"/>
    <n v="0"/>
    <s v="TK Contractor ESA"/>
  </r>
  <r>
    <x v="290"/>
    <s v="Personnel"/>
    <s v="T"/>
    <x v="0"/>
    <x v="94"/>
    <s v="PSES Elem Prog09Duty64 S275"/>
    <x v="3"/>
    <s v="64"/>
    <n v="64"/>
    <n v="26"/>
    <m/>
    <n v="0.02"/>
    <n v="0.219"/>
    <n v="0"/>
    <s v="TK Contractor ESA"/>
  </r>
  <r>
    <x v="291"/>
    <s v="Personnel"/>
    <s v="H "/>
    <x v="1"/>
    <x v="1"/>
    <s v="PSES High Prog01Duty96 S275"/>
    <x v="0"/>
    <s v="24"/>
    <n v="96"/>
    <n v="24"/>
    <s v="   "/>
    <n v="1.577"/>
    <n v="0.1996"/>
    <n v="0"/>
    <s v="High Family Engagement Coordinator"/>
  </r>
  <r>
    <x v="291"/>
    <s v="Personnel"/>
    <s v="H "/>
    <x v="1"/>
    <x v="5"/>
    <s v="PSES High Prog01Act25 S275"/>
    <x v="0"/>
    <s v="25"/>
    <m/>
    <n v="25"/>
    <s v="   "/>
    <n v="0.36699999999999999"/>
    <n v="0.1996"/>
    <n v="0"/>
    <s v="High Pupil Management"/>
  </r>
  <r>
    <x v="291"/>
    <s v="Personnel"/>
    <s v="H "/>
    <x v="1"/>
    <x v="29"/>
    <s v="PSES High Prog21Act26 S275"/>
    <x v="1"/>
    <s v="26"/>
    <m/>
    <n v="26"/>
    <s v="   "/>
    <n v="1.9610000000000001"/>
    <n v="0.1996"/>
    <n v="0.39100000000000001"/>
    <s v="High Health/_x000a_Related Services"/>
  </r>
  <r>
    <x v="291"/>
    <s v="Personnel"/>
    <s v="H "/>
    <x v="1"/>
    <x v="9"/>
    <s v="PSES High Prog01Act26 S275"/>
    <x v="0"/>
    <s v="26"/>
    <m/>
    <n v="26"/>
    <s v="   "/>
    <n v="1.6060000000000001"/>
    <n v="0.1996"/>
    <n v="0"/>
    <s v="High Health/_x000a_Related Services"/>
  </r>
  <r>
    <x v="291"/>
    <s v="Personnel"/>
    <s v="E "/>
    <x v="0"/>
    <x v="15"/>
    <s v="PSES Elem Prog01Duty42 S275"/>
    <x v="0"/>
    <s v="42"/>
    <n v="42"/>
    <m/>
    <s v="   "/>
    <n v="4"/>
    <n v="0.1996"/>
    <n v="0"/>
    <s v="Elementary Counselor"/>
  </r>
  <r>
    <x v="291"/>
    <s v="Personnel"/>
    <s v="H "/>
    <x v="1"/>
    <x v="16"/>
    <s v="PSES High Prog01Duty42 S275"/>
    <x v="0"/>
    <s v="42"/>
    <n v="42"/>
    <m/>
    <s v="   "/>
    <n v="2.4"/>
    <n v="0.1996"/>
    <n v="0"/>
    <s v="High Counselor"/>
  </r>
  <r>
    <x v="291"/>
    <s v="Personnel"/>
    <s v="M "/>
    <x v="2"/>
    <x v="17"/>
    <s v="PSES Mid Prog01Duty42 S275"/>
    <x v="0"/>
    <s v="42"/>
    <n v="42"/>
    <m/>
    <s v="   "/>
    <n v="2.4"/>
    <n v="0.1996"/>
    <n v="0"/>
    <s v="Middle Counselor"/>
  </r>
  <r>
    <x v="291"/>
    <s v="Personnel"/>
    <s v="E "/>
    <x v="0"/>
    <x v="18"/>
    <s v="PSES Elem Prog21Duty43 S275"/>
    <x v="1"/>
    <s v="43"/>
    <n v="43"/>
    <m/>
    <s v="   "/>
    <n v="0.93200000000000005"/>
    <n v="0.1996"/>
    <n v="0.186"/>
    <s v="Elementary Occupational Therapist"/>
  </r>
  <r>
    <x v="291"/>
    <s v="Personnel"/>
    <s v="H "/>
    <x v="1"/>
    <x v="19"/>
    <s v="PSES High Prog21Duty43 S275"/>
    <x v="1"/>
    <s v="43"/>
    <n v="43"/>
    <m/>
    <s v="   "/>
    <n v="0.4"/>
    <n v="0.1996"/>
    <n v="0.08"/>
    <s v="High Occupational Therapist"/>
  </r>
  <r>
    <x v="291"/>
    <s v="Personnel"/>
    <s v="M "/>
    <x v="2"/>
    <x v="31"/>
    <s v="PSES Mid Prog21Duty43 S275"/>
    <x v="1"/>
    <s v="43"/>
    <n v="43"/>
    <m/>
    <s v="   "/>
    <n v="0.26800000000000002"/>
    <n v="0.1996"/>
    <n v="5.2999999999999999E-2"/>
    <s v="Middle Occupational Therapist"/>
  </r>
  <r>
    <x v="291"/>
    <s v="Personnel"/>
    <s v="E "/>
    <x v="0"/>
    <x v="42"/>
    <s v="PSES Elem Prog01Duty44 S275"/>
    <x v="0"/>
    <s v="44"/>
    <n v="44"/>
    <m/>
    <s v="   "/>
    <n v="1"/>
    <n v="0.1996"/>
    <n v="0"/>
    <s v="Elementary Social Worker"/>
  </r>
  <r>
    <x v="291"/>
    <s v="Personnel"/>
    <s v="E "/>
    <x v="0"/>
    <x v="20"/>
    <s v="PSES Elem Prog21Duty45 S275"/>
    <x v="1"/>
    <s v="45"/>
    <n v="45"/>
    <m/>
    <s v="   "/>
    <n v="1.833"/>
    <n v="0.1996"/>
    <n v="0.36599999999999999"/>
    <s v="Elementary Speech, Language Pathway/_x000a_Audio"/>
  </r>
  <r>
    <x v="291"/>
    <s v="Personnel"/>
    <s v="H "/>
    <x v="1"/>
    <x v="21"/>
    <s v="PSES High Prog21Duty45 S275"/>
    <x v="1"/>
    <s v="45"/>
    <n v="45"/>
    <m/>
    <s v="   "/>
    <n v="0.05"/>
    <n v="0.1996"/>
    <n v="0.01"/>
    <s v="High Speech, Language Pathway/_x000a_Audio"/>
  </r>
  <r>
    <x v="291"/>
    <s v="Personnel"/>
    <s v="M "/>
    <x v="2"/>
    <x v="28"/>
    <s v="PSES Mid Prog21Duty45 S275"/>
    <x v="1"/>
    <s v="45"/>
    <n v="45"/>
    <m/>
    <s v="   "/>
    <n v="6.7000000000000004E-2"/>
    <n v="0.1996"/>
    <n v="1.2999999999999999E-2"/>
    <s v="Middle Speech, Language Pathway/_x000a_Audio"/>
  </r>
  <r>
    <x v="291"/>
    <s v="Personnel"/>
    <s v="E "/>
    <x v="0"/>
    <x v="22"/>
    <s v="PSES Elem Prog21Duty46 S275"/>
    <x v="1"/>
    <s v="46"/>
    <n v="46"/>
    <m/>
    <s v="   "/>
    <n v="1.871"/>
    <n v="0.1996"/>
    <n v="0.373"/>
    <s v="Elementary Psychologist"/>
  </r>
  <r>
    <x v="291"/>
    <s v="Personnel"/>
    <s v="H "/>
    <x v="1"/>
    <x v="23"/>
    <s v="PSES High Prog21Duty46 S275"/>
    <x v="1"/>
    <s v="46"/>
    <n v="46"/>
    <m/>
    <s v="   "/>
    <n v="1"/>
    <n v="0.1996"/>
    <n v="0.2"/>
    <s v="High Psychologist"/>
  </r>
  <r>
    <x v="291"/>
    <s v="Personnel"/>
    <s v="M "/>
    <x v="2"/>
    <x v="24"/>
    <s v="PSES Mid Prog21Duty46 S275"/>
    <x v="1"/>
    <s v="46"/>
    <n v="46"/>
    <m/>
    <s v="   "/>
    <n v="1.768"/>
    <n v="0.1996"/>
    <n v="0.35299999999999998"/>
    <s v="Middle Psychologist"/>
  </r>
  <r>
    <x v="291"/>
    <s v="Personnel"/>
    <s v="E "/>
    <x v="0"/>
    <x v="32"/>
    <s v="PSES Elem Prog21Duty47 S275"/>
    <x v="1"/>
    <s v="47"/>
    <n v="47"/>
    <m/>
    <s v="   "/>
    <n v="0.14000000000000001"/>
    <n v="0.1996"/>
    <n v="2.8000000000000001E-2"/>
    <s v="Elementary Nurse"/>
  </r>
  <r>
    <x v="291"/>
    <s v="Personnel"/>
    <s v="E "/>
    <x v="0"/>
    <x v="27"/>
    <s v="PSES Elem Prog01Duty47 S275"/>
    <x v="0"/>
    <s v="47"/>
    <n v="47"/>
    <m/>
    <s v="   "/>
    <n v="0.86"/>
    <n v="0.1996"/>
    <n v="0"/>
    <s v="Elementary Nurse"/>
  </r>
  <r>
    <x v="291"/>
    <s v="Personnel"/>
    <s v="H "/>
    <x v="1"/>
    <x v="61"/>
    <s v="PSES High Prog21Duty47 S275"/>
    <x v="1"/>
    <s v="47"/>
    <n v="47"/>
    <m/>
    <s v="   "/>
    <n v="0.28599999999999998"/>
    <n v="0.1996"/>
    <n v="5.7000000000000002E-2"/>
    <s v="High Nurse"/>
  </r>
  <r>
    <x v="291"/>
    <s v="Personnel"/>
    <s v="H "/>
    <x v="1"/>
    <x v="25"/>
    <s v="PSES High Prog01Duty47 S275"/>
    <x v="0"/>
    <s v="47"/>
    <n v="47"/>
    <m/>
    <s v="   "/>
    <n v="1.714"/>
    <n v="0.1996"/>
    <n v="0"/>
    <s v="High Nurse"/>
  </r>
  <r>
    <x v="292"/>
    <s v="Personnel"/>
    <s v="H "/>
    <x v="1"/>
    <x v="9"/>
    <s v="PSES High Prog01Act26 S275"/>
    <x v="0"/>
    <s v="26"/>
    <m/>
    <n v="26"/>
    <s v="   "/>
    <n v="0.60599999999999998"/>
    <n v="0.252"/>
    <n v="0"/>
    <s v="High Health/_x000a_Related Services"/>
  </r>
  <r>
    <x v="292"/>
    <s v="Personnel"/>
    <s v="E "/>
    <x v="0"/>
    <x v="15"/>
    <s v="PSES Elem Prog01Duty42 S275"/>
    <x v="0"/>
    <s v="42"/>
    <n v="42"/>
    <m/>
    <s v="   "/>
    <n v="0.5"/>
    <n v="0.252"/>
    <n v="0"/>
    <s v="Elementary Counselor"/>
  </r>
  <r>
    <x v="292"/>
    <s v="Personnel"/>
    <s v="H "/>
    <x v="1"/>
    <x v="16"/>
    <s v="PSES High Prog01Duty42 S275"/>
    <x v="0"/>
    <s v="42"/>
    <n v="42"/>
    <m/>
    <s v="   "/>
    <n v="0.5"/>
    <n v="0.252"/>
    <n v="0"/>
    <s v="High Counselor"/>
  </r>
  <r>
    <x v="293"/>
    <s v="Personnel"/>
    <s v="E "/>
    <x v="0"/>
    <x v="3"/>
    <s v="PSES Elem Prog01Act25 S275"/>
    <x v="0"/>
    <s v="25"/>
    <m/>
    <n v="25"/>
    <s v="   "/>
    <n v="1.226"/>
    <n v="0.30709999999999998"/>
    <n v="0"/>
    <s v="Elementary Pupil Management"/>
  </r>
  <r>
    <x v="293"/>
    <s v="Personnel"/>
    <s v="H "/>
    <x v="1"/>
    <x v="5"/>
    <s v="PSES High Prog01Act25 S275"/>
    <x v="0"/>
    <s v="25"/>
    <m/>
    <n v="25"/>
    <s v="   "/>
    <n v="0.78500000000000003"/>
    <n v="0.30709999999999998"/>
    <n v="0"/>
    <s v="High Pupil Management"/>
  </r>
  <r>
    <x v="293"/>
    <s v="Personnel"/>
    <s v="M "/>
    <x v="2"/>
    <x v="6"/>
    <s v="PSES Mid Prog01Act25 S275"/>
    <x v="0"/>
    <s v="25"/>
    <m/>
    <n v="25"/>
    <s v="   "/>
    <n v="1.3919999999999999"/>
    <n v="0.30709999999999998"/>
    <n v="0"/>
    <s v="Middle Pupil Management"/>
  </r>
  <r>
    <x v="293"/>
    <s v="Personnel"/>
    <s v="E "/>
    <x v="0"/>
    <x v="7"/>
    <s v="PSES Elem Prog21Act26 S275"/>
    <x v="1"/>
    <s v="26"/>
    <m/>
    <n v="26"/>
    <s v="   "/>
    <n v="2.5179999999999998"/>
    <n v="0.30709999999999998"/>
    <n v="0.77300000000000002"/>
    <s v="Elementary Health/_x000a_Related Services"/>
  </r>
  <r>
    <x v="293"/>
    <s v="Personnel"/>
    <s v="E "/>
    <x v="0"/>
    <x v="8"/>
    <s v="PSES Elem Prog01Act26 S275"/>
    <x v="0"/>
    <s v="26"/>
    <m/>
    <n v="26"/>
    <s v="   "/>
    <n v="1.9530000000000001"/>
    <n v="0.30709999999999998"/>
    <n v="0"/>
    <s v="Elementary Health/_x000a_Related Services"/>
  </r>
  <r>
    <x v="293"/>
    <s v="Personnel"/>
    <s v="H "/>
    <x v="1"/>
    <x v="29"/>
    <s v="PSES High Prog21Act26 S275"/>
    <x v="1"/>
    <s v="26"/>
    <m/>
    <n v="26"/>
    <s v="   "/>
    <n v="1.544"/>
    <n v="0.30709999999999998"/>
    <n v="0.47399999999999998"/>
    <s v="High Health/_x000a_Related Services"/>
  </r>
  <r>
    <x v="293"/>
    <s v="Personnel"/>
    <s v="H "/>
    <x v="1"/>
    <x v="9"/>
    <s v="PSES High Prog01Act26 S275"/>
    <x v="0"/>
    <s v="26"/>
    <m/>
    <n v="26"/>
    <s v="   "/>
    <n v="1.3029999999999999"/>
    <n v="0.30709999999999998"/>
    <n v="0"/>
    <s v="High Health/_x000a_Related Services"/>
  </r>
  <r>
    <x v="293"/>
    <s v="Personnel"/>
    <s v="M "/>
    <x v="2"/>
    <x v="10"/>
    <s v="PSES Mid Prog21Act26 S275"/>
    <x v="1"/>
    <s v="26"/>
    <m/>
    <n v="26"/>
    <s v="   "/>
    <n v="0.79"/>
    <n v="0.30709999999999998"/>
    <n v="0.24299999999999999"/>
    <s v="Middle Health/_x000a_Related Services"/>
  </r>
  <r>
    <x v="293"/>
    <s v="Personnel"/>
    <s v="H "/>
    <x v="1"/>
    <x v="12"/>
    <s v="PSES High Prog97Act35 S275"/>
    <x v="2"/>
    <s v="35"/>
    <m/>
    <n v="35"/>
    <s v="   "/>
    <n v="3.35"/>
    <n v="0.30709999999999998"/>
    <n v="0"/>
    <s v="High Pupil Safety"/>
  </r>
  <r>
    <x v="293"/>
    <s v="Personnel"/>
    <s v="M "/>
    <x v="2"/>
    <x v="13"/>
    <s v="PSES Mid Prog97Act35 S275"/>
    <x v="2"/>
    <s v="35"/>
    <m/>
    <n v="35"/>
    <s v="   "/>
    <n v="0.73099999999999998"/>
    <n v="0.30709999999999998"/>
    <n v="0"/>
    <s v="Middle Pupil Safety"/>
  </r>
  <r>
    <x v="293"/>
    <s v="Personnel"/>
    <s v="E "/>
    <x v="0"/>
    <x v="15"/>
    <s v="PSES Elem Prog01Duty42 S275"/>
    <x v="0"/>
    <s v="42"/>
    <n v="42"/>
    <m/>
    <s v="   "/>
    <n v="3"/>
    <n v="0.30709999999999998"/>
    <n v="0"/>
    <s v="Elementary Counselor"/>
  </r>
  <r>
    <x v="293"/>
    <s v="Personnel"/>
    <s v="H "/>
    <x v="1"/>
    <x v="16"/>
    <s v="PSES High Prog01Duty42 S275"/>
    <x v="0"/>
    <s v="42"/>
    <n v="42"/>
    <m/>
    <s v="   "/>
    <n v="2.8"/>
    <n v="0.30709999999999998"/>
    <n v="0"/>
    <s v="High Counselor"/>
  </r>
  <r>
    <x v="293"/>
    <s v="Personnel"/>
    <s v="M "/>
    <x v="2"/>
    <x v="17"/>
    <s v="PSES Mid Prog01Duty42 S275"/>
    <x v="0"/>
    <s v="42"/>
    <n v="42"/>
    <m/>
    <s v="   "/>
    <n v="2.7"/>
    <n v="0.30709999999999998"/>
    <n v="0"/>
    <s v="Middle Counselor"/>
  </r>
  <r>
    <x v="293"/>
    <s v="Personnel"/>
    <s v="E "/>
    <x v="0"/>
    <x v="22"/>
    <s v="PSES Elem Prog21Duty46 S275"/>
    <x v="1"/>
    <s v="46"/>
    <n v="46"/>
    <m/>
    <s v="   "/>
    <n v="2"/>
    <n v="0.30709999999999998"/>
    <n v="0.61399999999999999"/>
    <s v="Elementary Psychologist"/>
  </r>
  <r>
    <x v="293"/>
    <s v="Personnel"/>
    <s v="H "/>
    <x v="1"/>
    <x v="23"/>
    <s v="PSES High Prog21Duty46 S275"/>
    <x v="1"/>
    <s v="46"/>
    <n v="46"/>
    <m/>
    <s v="   "/>
    <n v="0.5"/>
    <n v="0.30709999999999998"/>
    <n v="0.154"/>
    <s v="High Psychologist"/>
  </r>
  <r>
    <x v="293"/>
    <s v="Personnel"/>
    <s v="M "/>
    <x v="2"/>
    <x v="24"/>
    <s v="PSES Mid Prog21Duty46 S275"/>
    <x v="1"/>
    <s v="46"/>
    <n v="46"/>
    <m/>
    <s v="   "/>
    <n v="0.5"/>
    <n v="0.30709999999999998"/>
    <n v="0.154"/>
    <s v="Middle Psychologist"/>
  </r>
  <r>
    <x v="293"/>
    <s v="Personnel"/>
    <s v="M "/>
    <x v="2"/>
    <x v="34"/>
    <s v="PSES Mid Prog01Duty47 S275"/>
    <x v="0"/>
    <s v="47"/>
    <n v="47"/>
    <m/>
    <s v="   "/>
    <n v="1"/>
    <n v="0.30709999999999998"/>
    <n v="0"/>
    <s v="Middle Nurse"/>
  </r>
  <r>
    <x v="293"/>
    <s v="Personnel"/>
    <s v="E "/>
    <x v="0"/>
    <x v="38"/>
    <s v="PSES Elem Prog21Duty64 S275"/>
    <x v="1"/>
    <s v="64"/>
    <n v="64"/>
    <m/>
    <s v="   "/>
    <n v="3.448"/>
    <n v="0.30709999999999998"/>
    <n v="1.0589999999999999"/>
    <s v="Elementary Contractor ESA"/>
  </r>
  <r>
    <x v="293"/>
    <s v="Personnel"/>
    <s v="H "/>
    <x v="1"/>
    <x v="59"/>
    <s v="PSES High Prog21Duty64 S275"/>
    <x v="1"/>
    <s v="64"/>
    <n v="64"/>
    <m/>
    <s v="   "/>
    <n v="0.189"/>
    <n v="0.30709999999999998"/>
    <n v="5.8000000000000003E-2"/>
    <s v="High Contractor ESA"/>
  </r>
  <r>
    <x v="293"/>
    <s v="Personnel"/>
    <s v="M "/>
    <x v="2"/>
    <x v="60"/>
    <s v="PSES Mid Prog21Duty64 S275"/>
    <x v="1"/>
    <s v="64"/>
    <n v="64"/>
    <m/>
    <s v="   "/>
    <n v="0.58499999999999996"/>
    <n v="0.30709999999999998"/>
    <n v="0.18"/>
    <s v="Middle Contractor ESA"/>
  </r>
  <r>
    <x v="294"/>
    <s v="Personnel"/>
    <s v="H "/>
    <x v="1"/>
    <x v="4"/>
    <s v="PSES High Prog21Act25 S275"/>
    <x v="1"/>
    <s v="25"/>
    <m/>
    <n v="25"/>
    <s v="   "/>
    <n v="4.2699999999999996"/>
    <n v="0.28639999999999999"/>
    <n v="1.2230000000000001"/>
    <s v="High Pupil Management"/>
  </r>
  <r>
    <x v="294"/>
    <s v="Personnel"/>
    <s v="H "/>
    <x v="1"/>
    <x v="5"/>
    <s v="PSES High Prog01Act25 S275"/>
    <x v="0"/>
    <s v="25"/>
    <m/>
    <n v="25"/>
    <s v="   "/>
    <n v="7.9580000000000002"/>
    <n v="0.28639999999999999"/>
    <n v="0"/>
    <s v="High Pupil Management"/>
  </r>
  <r>
    <x v="294"/>
    <s v="Personnel"/>
    <s v="H "/>
    <x v="1"/>
    <x v="29"/>
    <s v="PSES High Prog21Act26 S275"/>
    <x v="1"/>
    <s v="26"/>
    <m/>
    <n v="26"/>
    <s v="   "/>
    <n v="6.3710000000000004"/>
    <n v="0.28639999999999999"/>
    <n v="1.825"/>
    <s v="High Health/_x000a_Related Services"/>
  </r>
  <r>
    <x v="294"/>
    <s v="Personnel"/>
    <s v="H "/>
    <x v="1"/>
    <x v="9"/>
    <s v="PSES High Prog01Act26 S275"/>
    <x v="0"/>
    <s v="26"/>
    <m/>
    <n v="26"/>
    <s v="   "/>
    <n v="1.278"/>
    <n v="0.28639999999999999"/>
    <n v="0"/>
    <s v="High Health/_x000a_Related Services"/>
  </r>
  <r>
    <x v="294"/>
    <s v="Personnel"/>
    <s v="E "/>
    <x v="0"/>
    <x v="15"/>
    <s v="PSES Elem Prog01Duty42 S275"/>
    <x v="0"/>
    <s v="42"/>
    <n v="42"/>
    <m/>
    <s v="   "/>
    <n v="8"/>
    <n v="0.28639999999999999"/>
    <n v="0"/>
    <s v="Elementary Counselor"/>
  </r>
  <r>
    <x v="294"/>
    <s v="Personnel"/>
    <s v="H "/>
    <x v="1"/>
    <x v="16"/>
    <s v="PSES High Prog01Duty42 S275"/>
    <x v="0"/>
    <s v="42"/>
    <n v="42"/>
    <m/>
    <s v="   "/>
    <n v="6"/>
    <n v="0.28639999999999999"/>
    <n v="0"/>
    <s v="High Counselor"/>
  </r>
  <r>
    <x v="294"/>
    <s v="Personnel"/>
    <s v="M "/>
    <x v="2"/>
    <x v="17"/>
    <s v="PSES Mid Prog01Duty42 S275"/>
    <x v="0"/>
    <s v="42"/>
    <n v="42"/>
    <m/>
    <s v="   "/>
    <n v="5"/>
    <n v="0.28639999999999999"/>
    <n v="0"/>
    <s v="Middle Counselor"/>
  </r>
  <r>
    <x v="294"/>
    <s v="Personnel"/>
    <s v="E "/>
    <x v="0"/>
    <x v="20"/>
    <s v="PSES Elem Prog21Duty45 S275"/>
    <x v="1"/>
    <s v="45"/>
    <n v="45"/>
    <m/>
    <s v="   "/>
    <n v="3"/>
    <n v="0.28639999999999999"/>
    <n v="0.85899999999999999"/>
    <s v="Elementary Speech, Language Pathway/_x000a_Audio"/>
  </r>
  <r>
    <x v="294"/>
    <s v="Personnel"/>
    <s v="M "/>
    <x v="2"/>
    <x v="28"/>
    <s v="PSES Mid Prog21Duty45 S275"/>
    <x v="1"/>
    <s v="45"/>
    <n v="45"/>
    <m/>
    <s v="   "/>
    <n v="0.81699999999999995"/>
    <n v="0.28639999999999999"/>
    <n v="0.23400000000000001"/>
    <s v="Middle Speech, Language Pathway/_x000a_Audio"/>
  </r>
  <r>
    <x v="294"/>
    <s v="Personnel"/>
    <s v="E "/>
    <x v="0"/>
    <x v="22"/>
    <s v="PSES Elem Prog21Duty46 S275"/>
    <x v="1"/>
    <s v="46"/>
    <n v="46"/>
    <m/>
    <s v="   "/>
    <n v="4"/>
    <n v="0.28639999999999999"/>
    <n v="1.1459999999999999"/>
    <s v="Elementary Psychologist"/>
  </r>
  <r>
    <x v="294"/>
    <s v="Personnel"/>
    <s v="H "/>
    <x v="1"/>
    <x v="23"/>
    <s v="PSES High Prog21Duty46 S275"/>
    <x v="1"/>
    <s v="46"/>
    <n v="46"/>
    <m/>
    <s v="   "/>
    <n v="2"/>
    <n v="0.28639999999999999"/>
    <n v="0.57299999999999995"/>
    <s v="High Psychologist"/>
  </r>
  <r>
    <x v="294"/>
    <s v="Personnel"/>
    <s v="E "/>
    <x v="0"/>
    <x v="27"/>
    <s v="PSES Elem Prog01Duty47 S275"/>
    <x v="0"/>
    <s v="47"/>
    <n v="47"/>
    <m/>
    <s v="   "/>
    <n v="3"/>
    <n v="0.28639999999999999"/>
    <n v="0"/>
    <s v="Elementary Nurse"/>
  </r>
  <r>
    <x v="294"/>
    <s v="Personnel"/>
    <s v="H "/>
    <x v="1"/>
    <x v="25"/>
    <s v="PSES High Prog01Duty47 S275"/>
    <x v="0"/>
    <s v="47"/>
    <n v="47"/>
    <m/>
    <s v="   "/>
    <n v="1.2"/>
    <n v="0.28639999999999999"/>
    <n v="0"/>
    <s v="High Nurse"/>
  </r>
  <r>
    <x v="294"/>
    <s v="Personnel"/>
    <s v="M "/>
    <x v="2"/>
    <x v="34"/>
    <s v="PSES Mid Prog01Duty47 S275"/>
    <x v="0"/>
    <s v="47"/>
    <n v="47"/>
    <m/>
    <s v="   "/>
    <n v="2"/>
    <n v="0.28639999999999999"/>
    <n v="0"/>
    <s v="Middle Nurse"/>
  </r>
  <r>
    <x v="294"/>
    <s v="Personnel"/>
    <m/>
    <x v="0"/>
    <x v="66"/>
    <s v="PSES Elem Prog09Duty25 S275"/>
    <x v="3"/>
    <s v="25"/>
    <n v="91"/>
    <n v="25"/>
    <m/>
    <n v="0.13700000000000001"/>
    <n v="0.28639999999999999"/>
    <n v="0"/>
    <s v="TK Pupil Management"/>
  </r>
  <r>
    <x v="294"/>
    <s v="Personnel"/>
    <m/>
    <x v="0"/>
    <x v="66"/>
    <s v="PSES Elem Prog09Duty25 S275"/>
    <x v="3"/>
    <s v="25"/>
    <n v="91"/>
    <n v="25"/>
    <m/>
    <n v="0.128"/>
    <n v="0.28639999999999999"/>
    <n v="0"/>
    <s v="TK Pupil Management"/>
  </r>
  <r>
    <x v="295"/>
    <s v="Personnel"/>
    <s v="H "/>
    <x v="1"/>
    <x v="1"/>
    <s v="PSES High Prog01Duty96 S275"/>
    <x v="0"/>
    <s v="24"/>
    <n v="96"/>
    <n v="24"/>
    <s v="   "/>
    <n v="0.65"/>
    <n v="0.15629999999999999"/>
    <n v="0"/>
    <s v="High Family Engagement Coordinator"/>
  </r>
  <r>
    <x v="295"/>
    <s v="Personnel"/>
    <s v="E "/>
    <x v="0"/>
    <x v="8"/>
    <s v="PSES Elem Prog01Act26 S275"/>
    <x v="0"/>
    <s v="26"/>
    <m/>
    <n v="26"/>
    <s v="   "/>
    <n v="1.833"/>
    <n v="0.15629999999999999"/>
    <n v="0"/>
    <s v="Elementary Health/_x000a_Related Services"/>
  </r>
  <r>
    <x v="295"/>
    <s v="Personnel"/>
    <s v="H "/>
    <x v="1"/>
    <x v="29"/>
    <s v="PSES High Prog21Act26 S275"/>
    <x v="1"/>
    <s v="26"/>
    <m/>
    <n v="26"/>
    <s v="   "/>
    <n v="0.63900000000000001"/>
    <n v="0.15629999999999999"/>
    <n v="0.1"/>
    <s v="High Health/_x000a_Related Services"/>
  </r>
  <r>
    <x v="295"/>
    <s v="Personnel"/>
    <s v="H "/>
    <x v="1"/>
    <x v="9"/>
    <s v="PSES High Prog01Act26 S275"/>
    <x v="0"/>
    <s v="26"/>
    <m/>
    <n v="26"/>
    <s v="   "/>
    <n v="1.7"/>
    <n v="0.15629999999999999"/>
    <n v="0"/>
    <s v="High Health/_x000a_Related Services"/>
  </r>
  <r>
    <x v="295"/>
    <s v="Personnel"/>
    <s v="M "/>
    <x v="2"/>
    <x v="10"/>
    <s v="PSES Mid Prog21Act26 S275"/>
    <x v="1"/>
    <s v="26"/>
    <m/>
    <n v="26"/>
    <s v="   "/>
    <n v="0.59399999999999997"/>
    <n v="0.15629999999999999"/>
    <n v="9.2999999999999999E-2"/>
    <s v="Middle Health/_x000a_Related Services"/>
  </r>
  <r>
    <x v="295"/>
    <s v="Personnel"/>
    <s v="M "/>
    <x v="2"/>
    <x v="11"/>
    <s v="PSES Mid Prog01Act26 S275"/>
    <x v="0"/>
    <s v="26"/>
    <m/>
    <n v="26"/>
    <s v="   "/>
    <n v="0.63900000000000001"/>
    <n v="0.15629999999999999"/>
    <n v="0"/>
    <s v="Middle Health/_x000a_Related Services"/>
  </r>
  <r>
    <x v="295"/>
    <s v="Personnel"/>
    <s v="E "/>
    <x v="0"/>
    <x v="62"/>
    <s v="PSES Elem Prog01Act35 S275"/>
    <x v="0"/>
    <s v="35"/>
    <m/>
    <n v="35"/>
    <s v="   "/>
    <n v="1.7470000000000001"/>
    <n v="0.15629999999999999"/>
    <n v="0"/>
    <s v="Elementary Pupil Safety"/>
  </r>
  <r>
    <x v="295"/>
    <s v="Personnel"/>
    <s v="H "/>
    <x v="1"/>
    <x v="87"/>
    <s v="PSES High Prog21Act35 S275"/>
    <x v="1"/>
    <s v="35"/>
    <m/>
    <n v="35"/>
    <s v="   "/>
    <n v="0.59399999999999997"/>
    <n v="0.15629999999999999"/>
    <n v="9.2999999999999999E-2"/>
    <s v="High Pupil Safety"/>
  </r>
  <r>
    <x v="295"/>
    <s v="Personnel"/>
    <s v="E "/>
    <x v="0"/>
    <x v="15"/>
    <s v="PSES Elem Prog01Duty42 S275"/>
    <x v="0"/>
    <s v="42"/>
    <n v="42"/>
    <m/>
    <s v="   "/>
    <n v="4.25"/>
    <n v="0.15629999999999999"/>
    <n v="0"/>
    <s v="Elementary Counselor"/>
  </r>
  <r>
    <x v="295"/>
    <s v="Personnel"/>
    <s v="H "/>
    <x v="1"/>
    <x v="16"/>
    <s v="PSES High Prog01Duty42 S275"/>
    <x v="0"/>
    <s v="42"/>
    <n v="42"/>
    <m/>
    <s v="   "/>
    <n v="1.75"/>
    <n v="0.15629999999999999"/>
    <n v="0"/>
    <s v="High Counselor"/>
  </r>
  <r>
    <x v="295"/>
    <s v="Personnel"/>
    <s v="M "/>
    <x v="2"/>
    <x v="17"/>
    <s v="PSES Mid Prog01Duty42 S275"/>
    <x v="0"/>
    <s v="42"/>
    <n v="42"/>
    <m/>
    <s v="   "/>
    <n v="0.75"/>
    <n v="0.15629999999999999"/>
    <n v="0"/>
    <s v="Middle Counselor"/>
  </r>
  <r>
    <x v="295"/>
    <s v="Personnel"/>
    <s v="E "/>
    <x v="0"/>
    <x v="20"/>
    <s v="PSES Elem Prog21Duty45 S275"/>
    <x v="1"/>
    <s v="45"/>
    <n v="45"/>
    <m/>
    <s v="   "/>
    <n v="1.22"/>
    <n v="0.15629999999999999"/>
    <n v="0.191"/>
    <s v="Elementary Speech, Language Pathway/_x000a_Audio"/>
  </r>
  <r>
    <x v="295"/>
    <s v="Personnel"/>
    <s v="E "/>
    <x v="0"/>
    <x v="47"/>
    <s v="PSES Elem Prog01Duty45 S275"/>
    <x v="0"/>
    <s v="45"/>
    <n v="45"/>
    <m/>
    <s v="   "/>
    <n v="1"/>
    <n v="0.15629999999999999"/>
    <n v="0"/>
    <s v="Elementary Speech, Language Pathway/_x000a_Audio"/>
  </r>
  <r>
    <x v="295"/>
    <s v="Personnel"/>
    <s v="H "/>
    <x v="1"/>
    <x v="21"/>
    <s v="PSES High Prog21Duty45 S275"/>
    <x v="1"/>
    <s v="45"/>
    <n v="45"/>
    <m/>
    <s v="   "/>
    <n v="1.4390000000000001"/>
    <n v="0.15629999999999999"/>
    <n v="0.22500000000000001"/>
    <s v="High Speech, Language Pathway/_x000a_Audio"/>
  </r>
  <r>
    <x v="295"/>
    <s v="Personnel"/>
    <s v="M "/>
    <x v="2"/>
    <x v="28"/>
    <s v="PSES Mid Prog21Duty45 S275"/>
    <x v="1"/>
    <s v="45"/>
    <n v="45"/>
    <m/>
    <s v="   "/>
    <n v="0.22"/>
    <n v="0.15629999999999999"/>
    <n v="3.4000000000000002E-2"/>
    <s v="Middle Speech, Language Pathway/_x000a_Audio"/>
  </r>
  <r>
    <x v="295"/>
    <s v="Personnel"/>
    <s v="E "/>
    <x v="0"/>
    <x v="22"/>
    <s v="PSES Elem Prog21Duty46 S275"/>
    <x v="1"/>
    <s v="46"/>
    <n v="46"/>
    <m/>
    <s v="   "/>
    <n v="2.75"/>
    <n v="0.15629999999999999"/>
    <n v="0.43"/>
    <s v="Elementary Psychologist"/>
  </r>
  <r>
    <x v="295"/>
    <s v="Personnel"/>
    <s v="H "/>
    <x v="1"/>
    <x v="23"/>
    <s v="PSES High Prog21Duty46 S275"/>
    <x v="1"/>
    <s v="46"/>
    <n v="46"/>
    <m/>
    <s v="   "/>
    <n v="1"/>
    <n v="0.15629999999999999"/>
    <n v="0.156"/>
    <s v="High Psychologist"/>
  </r>
  <r>
    <x v="295"/>
    <s v="Personnel"/>
    <s v="M "/>
    <x v="2"/>
    <x v="24"/>
    <s v="PSES Mid Prog21Duty46 S275"/>
    <x v="1"/>
    <s v="46"/>
    <n v="46"/>
    <m/>
    <s v="   "/>
    <n v="0.75"/>
    <n v="0.15629999999999999"/>
    <n v="0.11700000000000001"/>
    <s v="Middle Psychologist"/>
  </r>
  <r>
    <x v="295"/>
    <s v="Personnel"/>
    <s v="E "/>
    <x v="0"/>
    <x v="35"/>
    <s v="PSES Elem Prog21Duty48 S275"/>
    <x v="1"/>
    <s v="48"/>
    <n v="48"/>
    <m/>
    <s v="   "/>
    <n v="0.5"/>
    <n v="0.15629999999999999"/>
    <n v="7.8E-2"/>
    <s v="Elementary Physical Therapist"/>
  </r>
  <r>
    <x v="295"/>
    <s v="Personnel"/>
    <s v="H "/>
    <x v="1"/>
    <x v="36"/>
    <s v="PSES High Prog21Duty48 S275"/>
    <x v="1"/>
    <s v="48"/>
    <n v="48"/>
    <m/>
    <s v="   "/>
    <n v="0.5"/>
    <n v="0.15629999999999999"/>
    <n v="7.8E-2"/>
    <s v="High Physical Therapist"/>
  </r>
  <r>
    <x v="295"/>
    <s v="Personnel"/>
    <s v="E "/>
    <x v="0"/>
    <x v="26"/>
    <s v="PSES Elem Prog21Duty49 S275"/>
    <x v="1"/>
    <s v="49"/>
    <n v="49"/>
    <m/>
    <s v="   "/>
    <n v="1"/>
    <n v="0.15629999999999999"/>
    <n v="0.156"/>
    <s v="Elementary Behavior Analyst"/>
  </r>
  <r>
    <x v="295"/>
    <s v="Personnel"/>
    <s v="H "/>
    <x v="1"/>
    <x v="55"/>
    <s v="PSES High Prog21Duty49 S275"/>
    <x v="1"/>
    <s v="49"/>
    <n v="49"/>
    <m/>
    <s v="   "/>
    <n v="1"/>
    <n v="0.15629999999999999"/>
    <n v="0.156"/>
    <s v="High Behavior Analyst"/>
  </r>
  <r>
    <x v="296"/>
    <s v="Personnel"/>
    <s v="H "/>
    <x v="1"/>
    <x v="9"/>
    <s v="PSES High Prog01Act26 S275"/>
    <x v="0"/>
    <s v="26"/>
    <m/>
    <n v="26"/>
    <s v="   "/>
    <n v="1.01"/>
    <n v="0.25080000000000002"/>
    <n v="0"/>
    <s v="High Health/_x000a_Related Services"/>
  </r>
  <r>
    <x v="296"/>
    <s v="Personnel"/>
    <s v="E "/>
    <x v="0"/>
    <x v="15"/>
    <s v="PSES Elem Prog01Duty42 S275"/>
    <x v="0"/>
    <s v="42"/>
    <n v="42"/>
    <m/>
    <s v="   "/>
    <n v="1"/>
    <n v="0.25080000000000002"/>
    <n v="0"/>
    <s v="Elementary Counselor"/>
  </r>
  <r>
    <x v="296"/>
    <s v="Personnel"/>
    <s v="H "/>
    <x v="1"/>
    <x v="16"/>
    <s v="PSES High Prog01Duty42 S275"/>
    <x v="0"/>
    <s v="42"/>
    <n v="42"/>
    <m/>
    <s v="   "/>
    <n v="1"/>
    <n v="0.25080000000000002"/>
    <n v="0"/>
    <s v="High Counselor"/>
  </r>
  <r>
    <x v="296"/>
    <s v="Personnel"/>
    <s v="M "/>
    <x v="2"/>
    <x v="17"/>
    <s v="PSES Mid Prog01Duty42 S275"/>
    <x v="0"/>
    <s v="42"/>
    <n v="42"/>
    <m/>
    <s v="   "/>
    <n v="1"/>
    <n v="0.25080000000000002"/>
    <n v="0"/>
    <s v="Middle Counselor"/>
  </r>
  <r>
    <x v="296"/>
    <s v="Personnel"/>
    <s v="E "/>
    <x v="0"/>
    <x v="20"/>
    <s v="PSES Elem Prog21Duty45 S275"/>
    <x v="1"/>
    <s v="45"/>
    <n v="45"/>
    <m/>
    <s v="   "/>
    <n v="0.5"/>
    <n v="0.25080000000000002"/>
    <n v="0.125"/>
    <s v="Elementary Speech, Language Pathway/_x000a_Audio"/>
  </r>
  <r>
    <x v="296"/>
    <s v="Personnel"/>
    <s v="M "/>
    <x v="2"/>
    <x v="28"/>
    <s v="PSES Mid Prog21Duty45 S275"/>
    <x v="1"/>
    <s v="45"/>
    <n v="45"/>
    <m/>
    <s v="   "/>
    <n v="0.5"/>
    <n v="0.25080000000000002"/>
    <n v="0.125"/>
    <s v="Middle Speech, Language Pathway/_x000a_Audio"/>
  </r>
  <r>
    <x v="296"/>
    <s v="Personnel"/>
    <s v="E "/>
    <x v="0"/>
    <x v="22"/>
    <s v="PSES Elem Prog21Duty46 S275"/>
    <x v="1"/>
    <s v="46"/>
    <n v="46"/>
    <m/>
    <s v="   "/>
    <n v="1"/>
    <n v="0.25080000000000002"/>
    <n v="0.251"/>
    <s v="Elementary Psychologist"/>
  </r>
  <r>
    <x v="297"/>
    <s v="Personnel"/>
    <s v="H "/>
    <x v="1"/>
    <x v="53"/>
    <s v="PSES High Prog97Act25 S275"/>
    <x v="2"/>
    <s v="25"/>
    <m/>
    <n v="25"/>
    <s v="   "/>
    <n v="0.76900000000000002"/>
    <n v="0.27610000000000001"/>
    <n v="0"/>
    <s v="High Pupil Management"/>
  </r>
  <r>
    <x v="297"/>
    <s v="Personnel"/>
    <s v="H "/>
    <x v="1"/>
    <x v="29"/>
    <s v="PSES High Prog21Act26 S275"/>
    <x v="1"/>
    <s v="26"/>
    <m/>
    <n v="26"/>
    <s v="   "/>
    <n v="1.837"/>
    <n v="0.27610000000000001"/>
    <n v="0.50700000000000001"/>
    <s v="High Health/_x000a_Related Services"/>
  </r>
  <r>
    <x v="297"/>
    <s v="Personnel"/>
    <s v="H "/>
    <x v="1"/>
    <x v="9"/>
    <s v="PSES High Prog01Act26 S275"/>
    <x v="0"/>
    <s v="26"/>
    <m/>
    <n v="26"/>
    <s v="   "/>
    <n v="1.2669999999999999"/>
    <n v="0.27610000000000001"/>
    <n v="0"/>
    <s v="High Health/_x000a_Related Services"/>
  </r>
  <r>
    <x v="297"/>
    <s v="Personnel"/>
    <s v="E "/>
    <x v="0"/>
    <x v="15"/>
    <s v="PSES Elem Prog01Duty42 S275"/>
    <x v="0"/>
    <s v="42"/>
    <n v="42"/>
    <m/>
    <s v="   "/>
    <n v="2"/>
    <n v="0.27610000000000001"/>
    <n v="0"/>
    <s v="Elementary Counselor"/>
  </r>
  <r>
    <x v="297"/>
    <s v="Personnel"/>
    <s v="H "/>
    <x v="1"/>
    <x v="16"/>
    <s v="PSES High Prog01Duty42 S275"/>
    <x v="0"/>
    <s v="42"/>
    <n v="42"/>
    <m/>
    <s v="   "/>
    <n v="1.38"/>
    <n v="0.27610000000000001"/>
    <n v="0"/>
    <s v="High Counselor"/>
  </r>
  <r>
    <x v="297"/>
    <s v="Personnel"/>
    <s v="M "/>
    <x v="2"/>
    <x v="17"/>
    <s v="PSES Mid Prog01Duty42 S275"/>
    <x v="0"/>
    <s v="42"/>
    <n v="42"/>
    <m/>
    <s v="   "/>
    <n v="1"/>
    <n v="0.27610000000000001"/>
    <n v="0"/>
    <s v="Middle Counselor"/>
  </r>
  <r>
    <x v="297"/>
    <s v="Personnel"/>
    <s v="E "/>
    <x v="0"/>
    <x v="22"/>
    <s v="PSES Elem Prog21Duty46 S275"/>
    <x v="1"/>
    <s v="46"/>
    <n v="46"/>
    <m/>
    <s v="   "/>
    <n v="0.28399999999999997"/>
    <n v="0.27610000000000001"/>
    <n v="7.8E-2"/>
    <s v="Elementary Psychologist"/>
  </r>
  <r>
    <x v="297"/>
    <s v="Personnel"/>
    <s v="H "/>
    <x v="1"/>
    <x v="23"/>
    <s v="PSES High Prog21Duty46 S275"/>
    <x v="1"/>
    <s v="46"/>
    <n v="46"/>
    <m/>
    <s v="   "/>
    <n v="0.27500000000000002"/>
    <n v="0.27610000000000001"/>
    <n v="7.5999999999999998E-2"/>
    <s v="High Psychologist"/>
  </r>
  <r>
    <x v="297"/>
    <s v="Personnel"/>
    <s v="M "/>
    <x v="2"/>
    <x v="24"/>
    <s v="PSES Mid Prog21Duty46 S275"/>
    <x v="1"/>
    <s v="46"/>
    <n v="46"/>
    <m/>
    <s v="   "/>
    <n v="0.27500000000000002"/>
    <n v="0.27610000000000001"/>
    <n v="7.5999999999999998E-2"/>
    <s v="Middle Psychologist"/>
  </r>
  <r>
    <x v="298"/>
    <s v="Personnel"/>
    <s v="E "/>
    <x v="0"/>
    <x v="8"/>
    <s v="PSES Elem Prog01Act26 S275"/>
    <x v="0"/>
    <s v="26"/>
    <m/>
    <n v="26"/>
    <s v="   "/>
    <n v="0.32200000000000001"/>
    <n v="0.18459999999999999"/>
    <n v="0"/>
    <s v="Elementary Health/_x000a_Related Services"/>
  </r>
  <r>
    <x v="298"/>
    <s v="Personnel"/>
    <s v="H "/>
    <x v="1"/>
    <x v="9"/>
    <s v="PSES High Prog01Act26 S275"/>
    <x v="0"/>
    <s v="26"/>
    <m/>
    <n v="26"/>
    <s v="   "/>
    <n v="0.161"/>
    <n v="0.18459999999999999"/>
    <n v="0"/>
    <s v="High Health/_x000a_Related Services"/>
  </r>
  <r>
    <x v="298"/>
    <s v="Personnel"/>
    <s v="M "/>
    <x v="2"/>
    <x v="11"/>
    <s v="PSES Mid Prog01Act26 S275"/>
    <x v="0"/>
    <s v="26"/>
    <m/>
    <n v="26"/>
    <s v="   "/>
    <n v="0.161"/>
    <n v="0.18459999999999999"/>
    <n v="0"/>
    <s v="Middle Health/_x000a_Related Services"/>
  </r>
  <r>
    <x v="298"/>
    <s v="Personnel"/>
    <s v="E "/>
    <x v="0"/>
    <x v="15"/>
    <s v="PSES Elem Prog01Duty42 S275"/>
    <x v="0"/>
    <s v="42"/>
    <n v="42"/>
    <m/>
    <s v="   "/>
    <n v="1"/>
    <n v="0.18459999999999999"/>
    <n v="0"/>
    <s v="Elementary Counselor"/>
  </r>
  <r>
    <x v="298"/>
    <s v="Personnel"/>
    <s v="H "/>
    <x v="1"/>
    <x v="16"/>
    <s v="PSES High Prog01Duty42 S275"/>
    <x v="0"/>
    <s v="42"/>
    <n v="42"/>
    <m/>
    <s v="   "/>
    <n v="1.4"/>
    <n v="0.18459999999999999"/>
    <n v="0"/>
    <s v="High Counselor"/>
  </r>
  <r>
    <x v="298"/>
    <s v="Personnel"/>
    <s v="M "/>
    <x v="2"/>
    <x v="17"/>
    <s v="PSES Mid Prog01Duty42 S275"/>
    <x v="0"/>
    <s v="42"/>
    <n v="42"/>
    <m/>
    <s v="   "/>
    <n v="0.8"/>
    <n v="0.18459999999999999"/>
    <n v="0"/>
    <s v="Middle Counselor"/>
  </r>
  <r>
    <x v="298"/>
    <s v="Personnel"/>
    <s v="H "/>
    <x v="1"/>
    <x v="51"/>
    <s v="PSES High Prog01Duty45 S275"/>
    <x v="0"/>
    <s v="45"/>
    <n v="45"/>
    <m/>
    <s v="   "/>
    <n v="1.6E-2"/>
    <n v="0.18459999999999999"/>
    <n v="0"/>
    <s v="High Speech, Language Pathway/_x000a_Audio"/>
  </r>
  <r>
    <x v="298"/>
    <s v="Personnel"/>
    <s v="E "/>
    <x v="0"/>
    <x v="27"/>
    <s v="PSES Elem Prog01Duty47 S275"/>
    <x v="0"/>
    <s v="47"/>
    <n v="47"/>
    <m/>
    <s v="   "/>
    <n v="1"/>
    <n v="0.18459999999999999"/>
    <n v="0"/>
    <s v="Elementary Nurse"/>
  </r>
  <r>
    <x v="298"/>
    <s v="Personnel"/>
    <s v="H "/>
    <x v="1"/>
    <x v="25"/>
    <s v="PSES High Prog01Duty47 S275"/>
    <x v="0"/>
    <s v="47"/>
    <n v="47"/>
    <m/>
    <s v="   "/>
    <n v="0.5"/>
    <n v="0.18459999999999999"/>
    <n v="0"/>
    <s v="High Nurse"/>
  </r>
  <r>
    <x v="298"/>
    <s v="Personnel"/>
    <s v="M "/>
    <x v="2"/>
    <x v="34"/>
    <s v="PSES Mid Prog01Duty47 S275"/>
    <x v="0"/>
    <s v="47"/>
    <n v="47"/>
    <m/>
    <s v="   "/>
    <n v="0.5"/>
    <n v="0.18459999999999999"/>
    <n v="0"/>
    <s v="Middle Nurse"/>
  </r>
  <r>
    <x v="299"/>
    <s v="Personnel"/>
    <s v="H "/>
    <x v="1"/>
    <x v="1"/>
    <s v="PSES High Prog01Duty96 S275"/>
    <x v="0"/>
    <s v="24"/>
    <n v="96"/>
    <n v="24"/>
    <s v="   "/>
    <n v="3.1749999999999998"/>
    <n v="0.2258"/>
    <n v="0"/>
    <s v="High Family Engagement Coordinator"/>
  </r>
  <r>
    <x v="299"/>
    <s v="Personnel"/>
    <s v="E "/>
    <x v="0"/>
    <x v="3"/>
    <s v="PSES Elem Prog01Act25 S275"/>
    <x v="0"/>
    <s v="25"/>
    <m/>
    <n v="25"/>
    <s v="   "/>
    <n v="0.34599999999999997"/>
    <n v="0.2258"/>
    <n v="0"/>
    <s v="Elementary Pupil Management"/>
  </r>
  <r>
    <x v="299"/>
    <s v="Personnel"/>
    <s v="H "/>
    <x v="1"/>
    <x v="4"/>
    <s v="PSES High Prog21Act25 S275"/>
    <x v="1"/>
    <s v="25"/>
    <m/>
    <n v="25"/>
    <s v="   "/>
    <n v="1.075"/>
    <n v="0.2258"/>
    <n v="0.24299999999999999"/>
    <s v="High Pupil Management"/>
  </r>
  <r>
    <x v="299"/>
    <s v="Personnel"/>
    <s v="H "/>
    <x v="1"/>
    <x v="5"/>
    <s v="PSES High Prog01Act25 S275"/>
    <x v="0"/>
    <s v="25"/>
    <m/>
    <n v="25"/>
    <s v="   "/>
    <n v="3.593"/>
    <n v="0.2258"/>
    <n v="0"/>
    <s v="High Pupil Management"/>
  </r>
  <r>
    <x v="299"/>
    <s v="Personnel"/>
    <s v="H "/>
    <x v="1"/>
    <x v="29"/>
    <s v="PSES High Prog21Act26 S275"/>
    <x v="1"/>
    <s v="26"/>
    <m/>
    <n v="26"/>
    <s v="   "/>
    <n v="1.925"/>
    <n v="0.2258"/>
    <n v="0.435"/>
    <s v="High Health/_x000a_Related Services"/>
  </r>
  <r>
    <x v="299"/>
    <s v="Personnel"/>
    <s v="H "/>
    <x v="1"/>
    <x v="9"/>
    <s v="PSES High Prog01Act26 S275"/>
    <x v="0"/>
    <s v="26"/>
    <m/>
    <n v="26"/>
    <s v="   "/>
    <n v="3.141"/>
    <n v="0.2258"/>
    <n v="0"/>
    <s v="High Health/_x000a_Related Services"/>
  </r>
  <r>
    <x v="299"/>
    <s v="Personnel"/>
    <s v="E "/>
    <x v="0"/>
    <x v="15"/>
    <s v="PSES Elem Prog01Duty42 S275"/>
    <x v="0"/>
    <s v="42"/>
    <n v="42"/>
    <m/>
    <s v="   "/>
    <n v="4.07"/>
    <n v="0.2258"/>
    <n v="0"/>
    <s v="Elementary Counselor"/>
  </r>
  <r>
    <x v="299"/>
    <s v="Personnel"/>
    <s v="H "/>
    <x v="1"/>
    <x v="16"/>
    <s v="PSES High Prog01Duty42 S275"/>
    <x v="0"/>
    <s v="42"/>
    <n v="42"/>
    <m/>
    <s v="   "/>
    <n v="2.875"/>
    <n v="0.2258"/>
    <n v="0"/>
    <s v="High Counselor"/>
  </r>
  <r>
    <x v="299"/>
    <s v="Personnel"/>
    <s v="M "/>
    <x v="2"/>
    <x v="17"/>
    <s v="PSES Mid Prog01Duty42 S275"/>
    <x v="0"/>
    <s v="42"/>
    <n v="42"/>
    <m/>
    <s v="   "/>
    <n v="2.5550000000000002"/>
    <n v="0.2258"/>
    <n v="0"/>
    <s v="Middle Counselor"/>
  </r>
  <r>
    <x v="299"/>
    <s v="Personnel"/>
    <s v="E "/>
    <x v="0"/>
    <x v="20"/>
    <s v="PSES Elem Prog21Duty45 S275"/>
    <x v="1"/>
    <s v="45"/>
    <n v="45"/>
    <m/>
    <s v="   "/>
    <n v="1.6879999999999999"/>
    <n v="0.2258"/>
    <n v="0.38100000000000001"/>
    <s v="Elementary Speech, Language Pathway/_x000a_Audio"/>
  </r>
  <r>
    <x v="299"/>
    <s v="Personnel"/>
    <s v="H "/>
    <x v="1"/>
    <x v="21"/>
    <s v="PSES High Prog21Duty45 S275"/>
    <x v="1"/>
    <s v="45"/>
    <n v="45"/>
    <m/>
    <s v="   "/>
    <n v="0.03"/>
    <n v="0.2258"/>
    <n v="7.0000000000000001E-3"/>
    <s v="High Speech, Language Pathway/_x000a_Audio"/>
  </r>
  <r>
    <x v="299"/>
    <s v="Personnel"/>
    <s v="E "/>
    <x v="0"/>
    <x v="22"/>
    <s v="PSES Elem Prog21Duty46 S275"/>
    <x v="1"/>
    <s v="46"/>
    <n v="46"/>
    <m/>
    <s v="   "/>
    <n v="0.6"/>
    <n v="0.2258"/>
    <n v="0.13500000000000001"/>
    <s v="Elementary Psychologist"/>
  </r>
  <r>
    <x v="299"/>
    <s v="Personnel"/>
    <s v="H "/>
    <x v="1"/>
    <x v="25"/>
    <s v="PSES High Prog01Duty47 S275"/>
    <x v="0"/>
    <s v="47"/>
    <n v="47"/>
    <m/>
    <s v="   "/>
    <n v="1"/>
    <n v="0.2258"/>
    <n v="0"/>
    <s v="High Nurse"/>
  </r>
  <r>
    <x v="300"/>
    <s v="Personnel"/>
    <s v="H "/>
    <x v="1"/>
    <x v="5"/>
    <s v="PSES High Prog01Act25 S275"/>
    <x v="0"/>
    <s v="25"/>
    <m/>
    <n v="25"/>
    <s v="   "/>
    <n v="0.624"/>
    <n v="0.21990000000000001"/>
    <n v="0"/>
    <s v="High Pupil Management"/>
  </r>
  <r>
    <x v="300"/>
    <s v="Personnel"/>
    <s v="H "/>
    <x v="1"/>
    <x v="29"/>
    <s v="PSES High Prog21Act26 S275"/>
    <x v="1"/>
    <s v="26"/>
    <m/>
    <n v="26"/>
    <s v="   "/>
    <n v="9.798"/>
    <n v="0.21990000000000001"/>
    <n v="2.1549999999999998"/>
    <s v="High Health/_x000a_Related Services"/>
  </r>
  <r>
    <x v="300"/>
    <s v="Personnel"/>
    <s v="H "/>
    <x v="1"/>
    <x v="9"/>
    <s v="PSES High Prog01Act26 S275"/>
    <x v="0"/>
    <s v="26"/>
    <m/>
    <n v="26"/>
    <s v="   "/>
    <n v="4.3929999999999998"/>
    <n v="0.21990000000000001"/>
    <n v="0"/>
    <s v="High Health/_x000a_Related Services"/>
  </r>
  <r>
    <x v="300"/>
    <s v="Personnel"/>
    <s v="E "/>
    <x v="0"/>
    <x v="15"/>
    <s v="PSES Elem Prog01Duty42 S275"/>
    <x v="0"/>
    <s v="42"/>
    <n v="42"/>
    <m/>
    <s v="   "/>
    <n v="3"/>
    <n v="0.21990000000000001"/>
    <n v="0"/>
    <s v="Elementary Counselor"/>
  </r>
  <r>
    <x v="300"/>
    <s v="Personnel"/>
    <s v="H "/>
    <x v="1"/>
    <x v="16"/>
    <s v="PSES High Prog01Duty42 S275"/>
    <x v="0"/>
    <s v="42"/>
    <n v="42"/>
    <m/>
    <s v="   "/>
    <n v="3.2"/>
    <n v="0.21990000000000001"/>
    <n v="0"/>
    <s v="High Counselor"/>
  </r>
  <r>
    <x v="300"/>
    <s v="Personnel"/>
    <s v="M "/>
    <x v="2"/>
    <x v="75"/>
    <s v="PSES Mid Prog21Duty42 S275"/>
    <x v="1"/>
    <s v="42"/>
    <n v="42"/>
    <m/>
    <s v="   "/>
    <n v="1"/>
    <n v="0.21990000000000001"/>
    <n v="0.22"/>
    <s v="Middle Counselor"/>
  </r>
  <r>
    <x v="300"/>
    <s v="Personnel"/>
    <s v="M "/>
    <x v="2"/>
    <x v="17"/>
    <s v="PSES Mid Prog01Duty42 S275"/>
    <x v="0"/>
    <s v="42"/>
    <n v="42"/>
    <m/>
    <s v="   "/>
    <n v="2.6"/>
    <n v="0.21990000000000001"/>
    <n v="0"/>
    <s v="Middle Counselor"/>
  </r>
  <r>
    <x v="300"/>
    <s v="Personnel"/>
    <s v="E "/>
    <x v="0"/>
    <x v="20"/>
    <s v="PSES Elem Prog21Duty45 S275"/>
    <x v="1"/>
    <s v="45"/>
    <n v="45"/>
    <m/>
    <s v="   "/>
    <n v="3.4"/>
    <n v="0.21990000000000001"/>
    <n v="0.748"/>
    <s v="Elementary Speech, Language Pathway/_x000a_Audio"/>
  </r>
  <r>
    <x v="300"/>
    <s v="Personnel"/>
    <s v="E "/>
    <x v="0"/>
    <x v="22"/>
    <s v="PSES Elem Prog21Duty46 S275"/>
    <x v="1"/>
    <s v="46"/>
    <n v="46"/>
    <m/>
    <s v="   "/>
    <n v="3.75"/>
    <n v="0.21990000000000001"/>
    <n v="0.82499999999999996"/>
    <s v="Elementary Psychologist"/>
  </r>
  <r>
    <x v="300"/>
    <s v="Personnel"/>
    <s v="H "/>
    <x v="1"/>
    <x v="23"/>
    <s v="PSES High Prog21Duty46 S275"/>
    <x v="1"/>
    <s v="46"/>
    <n v="46"/>
    <m/>
    <s v="   "/>
    <n v="1.25"/>
    <n v="0.21990000000000001"/>
    <n v="0.27500000000000002"/>
    <s v="High Psychologist"/>
  </r>
  <r>
    <x v="300"/>
    <s v="Personnel"/>
    <s v="M "/>
    <x v="2"/>
    <x v="24"/>
    <s v="PSES Mid Prog21Duty46 S275"/>
    <x v="1"/>
    <s v="46"/>
    <n v="46"/>
    <m/>
    <s v="   "/>
    <n v="1"/>
    <n v="0.21990000000000001"/>
    <n v="0.22"/>
    <s v="Middle Psychologist"/>
  </r>
  <r>
    <x v="300"/>
    <s v="Personnel"/>
    <s v="E "/>
    <x v="0"/>
    <x v="26"/>
    <s v="PSES Elem Prog21Duty49 S275"/>
    <x v="1"/>
    <s v="49"/>
    <n v="49"/>
    <m/>
    <s v="   "/>
    <n v="1"/>
    <n v="0.21990000000000001"/>
    <n v="0.22"/>
    <s v="Elementary Behavior Analyst"/>
  </r>
  <r>
    <x v="300"/>
    <s v="Personnel"/>
    <s v="E "/>
    <x v="0"/>
    <x v="79"/>
    <s v="PSES Elem Prog01Duty49 S275"/>
    <x v="0"/>
    <s v="49"/>
    <n v="49"/>
    <m/>
    <s v="   "/>
    <n v="2"/>
    <n v="0.21990000000000001"/>
    <n v="0"/>
    <s v="Elementary Behavior Analyst"/>
  </r>
  <r>
    <x v="301"/>
    <s v="Personnel"/>
    <s v="E "/>
    <x v="0"/>
    <x v="7"/>
    <s v="PSES Elem Prog21Act26 S275"/>
    <x v="1"/>
    <s v="26"/>
    <m/>
    <n v="26"/>
    <s v="   "/>
    <n v="0.74199999999999999"/>
    <n v="0.20219999999999999"/>
    <n v="0.15"/>
    <s v="Elementary Health/_x000a_Related Services"/>
  </r>
  <r>
    <x v="301"/>
    <s v="Personnel"/>
    <s v="E "/>
    <x v="0"/>
    <x v="8"/>
    <s v="PSES Elem Prog01Act26 S275"/>
    <x v="0"/>
    <s v="26"/>
    <m/>
    <n v="26"/>
    <s v="   "/>
    <n v="0.63900000000000001"/>
    <n v="0.20219999999999999"/>
    <n v="0"/>
    <s v="Elementary Health/_x000a_Related Services"/>
  </r>
  <r>
    <x v="301"/>
    <s v="Personnel"/>
    <s v="H "/>
    <x v="1"/>
    <x v="29"/>
    <s v="PSES High Prog21Act26 S275"/>
    <x v="1"/>
    <s v="26"/>
    <m/>
    <n v="26"/>
    <s v="   "/>
    <n v="1.4890000000000001"/>
    <n v="0.20219999999999999"/>
    <n v="0.30099999999999999"/>
    <s v="High Health/_x000a_Related Services"/>
  </r>
  <r>
    <x v="301"/>
    <s v="Personnel"/>
    <s v="H "/>
    <x v="1"/>
    <x v="9"/>
    <s v="PSES High Prog01Act26 S275"/>
    <x v="0"/>
    <s v="26"/>
    <m/>
    <n v="26"/>
    <s v="   "/>
    <n v="0.63900000000000001"/>
    <n v="0.20219999999999999"/>
    <n v="0"/>
    <s v="High Health/_x000a_Related Services"/>
  </r>
  <r>
    <x v="301"/>
    <s v="Personnel"/>
    <s v="M "/>
    <x v="2"/>
    <x v="10"/>
    <s v="PSES Mid Prog21Act26 S275"/>
    <x v="1"/>
    <s v="26"/>
    <m/>
    <n v="26"/>
    <s v="   "/>
    <n v="0.21099999999999999"/>
    <n v="0.20219999999999999"/>
    <n v="4.2999999999999997E-2"/>
    <s v="Middle Health/_x000a_Related Services"/>
  </r>
  <r>
    <x v="301"/>
    <s v="Personnel"/>
    <s v="M "/>
    <x v="2"/>
    <x v="11"/>
    <s v="PSES Mid Prog01Act26 S275"/>
    <x v="0"/>
    <s v="26"/>
    <m/>
    <n v="26"/>
    <s v="   "/>
    <n v="0.63900000000000001"/>
    <n v="0.20219999999999999"/>
    <n v="0"/>
    <s v="Middle Health/_x000a_Related Services"/>
  </r>
  <r>
    <x v="301"/>
    <s v="Personnel"/>
    <s v="E "/>
    <x v="0"/>
    <x v="15"/>
    <s v="PSES Elem Prog01Duty42 S275"/>
    <x v="0"/>
    <s v="42"/>
    <n v="42"/>
    <m/>
    <s v="   "/>
    <n v="0.78"/>
    <n v="0.20219999999999999"/>
    <n v="0"/>
    <s v="Elementary Counselor"/>
  </r>
  <r>
    <x v="301"/>
    <s v="Personnel"/>
    <s v="M "/>
    <x v="2"/>
    <x v="17"/>
    <s v="PSES Mid Prog01Duty42 S275"/>
    <x v="0"/>
    <s v="42"/>
    <n v="42"/>
    <m/>
    <s v="   "/>
    <n v="0.22"/>
    <n v="0.20219999999999999"/>
    <n v="0"/>
    <s v="Middle Counselor"/>
  </r>
  <r>
    <x v="301"/>
    <s v="Personnel"/>
    <s v="H "/>
    <x v="1"/>
    <x v="44"/>
    <s v="PSES High Prog01Duty44 S275"/>
    <x v="0"/>
    <s v="44"/>
    <n v="44"/>
    <m/>
    <s v="   "/>
    <n v="0.3"/>
    <n v="0.20219999999999999"/>
    <n v="0"/>
    <s v="High Social Worker"/>
  </r>
  <r>
    <x v="302"/>
    <s v="Personnel"/>
    <s v="H "/>
    <x v="1"/>
    <x v="53"/>
    <s v="PSES High Prog97Act25 S275"/>
    <x v="2"/>
    <s v="25"/>
    <m/>
    <n v="25"/>
    <s v="   "/>
    <n v="6"/>
    <n v="0.21360000000000001"/>
    <n v="0"/>
    <s v="High Pupil Management"/>
  </r>
  <r>
    <x v="302"/>
    <s v="Personnel"/>
    <s v="H "/>
    <x v="1"/>
    <x v="12"/>
    <s v="PSES High Prog97Act35 S275"/>
    <x v="2"/>
    <s v="35"/>
    <m/>
    <n v="35"/>
    <s v="   "/>
    <n v="1"/>
    <n v="0.21360000000000001"/>
    <n v="0"/>
    <s v="High Pupil Safety"/>
  </r>
  <r>
    <x v="303"/>
    <s v="Personnel"/>
    <s v="E "/>
    <x v="0"/>
    <x v="95"/>
    <s v="PSES Elem Prog21Duty96 S275"/>
    <x v="1"/>
    <s v="24"/>
    <m/>
    <n v="24"/>
    <m/>
    <n v="0"/>
    <m/>
    <n v="0"/>
    <s v="Elementary Family Engagement Coordinator"/>
  </r>
  <r>
    <x v="303"/>
    <s v="Personnel"/>
    <s v="M "/>
    <x v="2"/>
    <x v="96"/>
    <s v="PSES Mid Prog21Duty96 S275"/>
    <x v="1"/>
    <s v="24"/>
    <m/>
    <n v="24"/>
    <m/>
    <n v="0"/>
    <m/>
    <n v="0"/>
    <s v="Middle Family Engagement Coordinator"/>
  </r>
  <r>
    <x v="303"/>
    <s v="Personnel"/>
    <s v="H "/>
    <x v="1"/>
    <x v="86"/>
    <s v="PSES High Prog21Duty96 S275"/>
    <x v="1"/>
    <s v="24"/>
    <m/>
    <n v="24"/>
    <m/>
    <n v="0"/>
    <m/>
    <n v="0"/>
    <s v="High Family Engagement Coordinator"/>
  </r>
  <r>
    <x v="303"/>
    <s v="Personnel"/>
    <s v="E "/>
    <x v="0"/>
    <x v="56"/>
    <s v="PSES Elem Prog97Duty96 S275"/>
    <x v="2"/>
    <s v="24"/>
    <m/>
    <n v="24"/>
    <m/>
    <n v="0"/>
    <m/>
    <n v="0"/>
    <s v="Elementary Family Engagement Coordinator"/>
  </r>
  <r>
    <x v="303"/>
    <s v="Personnel"/>
    <s v="M "/>
    <x v="2"/>
    <x v="58"/>
    <s v="PSES Mid Prog97Duty96 S275"/>
    <x v="2"/>
    <s v="24"/>
    <m/>
    <n v="24"/>
    <m/>
    <n v="0"/>
    <m/>
    <n v="0"/>
    <s v="Middle Family Engagement Coordinator"/>
  </r>
  <r>
    <x v="303"/>
    <s v="Personnel"/>
    <s v="H "/>
    <x v="1"/>
    <x v="57"/>
    <s v="PSES High Prog97Duty96 S275"/>
    <x v="2"/>
    <s v="24"/>
    <m/>
    <n v="24"/>
    <m/>
    <n v="0"/>
    <m/>
    <n v="0"/>
    <s v="High Family Engagement Coordinator"/>
  </r>
  <r>
    <x v="303"/>
    <s v="Personnel"/>
    <s v="E "/>
    <x v="0"/>
    <x v="97"/>
    <s v="TK Family Engage-ment Coor-dinator"/>
    <x v="4"/>
    <s v="24"/>
    <m/>
    <n v="24"/>
    <m/>
    <n v="0"/>
    <m/>
    <n v="0"/>
    <s v="TK Family Engagement Coordinator"/>
  </r>
  <r>
    <x v="303"/>
    <s v="Personnel"/>
    <s v="E "/>
    <x v="0"/>
    <x v="0"/>
    <s v="PSES Elem Prog01Duty96 S275"/>
    <x v="5"/>
    <s v="24"/>
    <m/>
    <n v="24"/>
    <m/>
    <n v="0"/>
    <m/>
    <n v="0"/>
    <s v="Elementary Family Engagement Coordinator"/>
  </r>
  <r>
    <x v="303"/>
    <s v="Personnel"/>
    <s v="M "/>
    <x v="2"/>
    <x v="2"/>
    <s v="PSES Mid Prog01Duty96 S275"/>
    <x v="5"/>
    <s v="24"/>
    <m/>
    <n v="24"/>
    <m/>
    <n v="0"/>
    <m/>
    <n v="0"/>
    <s v="Middle Family Engagement Coordinator"/>
  </r>
  <r>
    <x v="303"/>
    <s v="Personnel"/>
    <s v="H "/>
    <x v="1"/>
    <x v="1"/>
    <s v="PSES High Prog01Duty96 S275"/>
    <x v="5"/>
    <s v="24"/>
    <m/>
    <n v="24"/>
    <m/>
    <n v="0"/>
    <m/>
    <n v="0"/>
    <s v="High Family Engagement Coordinator"/>
  </r>
  <r>
    <x v="303"/>
    <s v="Personnel"/>
    <s v="E "/>
    <x v="0"/>
    <x v="67"/>
    <s v="PSES Elem Prog21Act25 S275"/>
    <x v="1"/>
    <s v="25"/>
    <m/>
    <n v="25"/>
    <m/>
    <n v="0"/>
    <m/>
    <n v="0"/>
    <s v="Elementary Pupil Management"/>
  </r>
  <r>
    <x v="303"/>
    <s v="Personnel"/>
    <s v="M "/>
    <x v="2"/>
    <x v="82"/>
    <s v="PSES Mid Prog21Act25 S275"/>
    <x v="1"/>
    <s v="25"/>
    <m/>
    <n v="25"/>
    <m/>
    <n v="0"/>
    <m/>
    <n v="0"/>
    <s v="Middle Pupil Management"/>
  </r>
  <r>
    <x v="303"/>
    <s v="Personnel"/>
    <s v="H "/>
    <x v="1"/>
    <x v="4"/>
    <s v="PSES High Prog21Act25 S275"/>
    <x v="1"/>
    <s v="25"/>
    <m/>
    <n v="25"/>
    <m/>
    <n v="0"/>
    <m/>
    <n v="0"/>
    <s v="High Pupil Management"/>
  </r>
  <r>
    <x v="303"/>
    <s v="Personnel"/>
    <s v="E "/>
    <x v="0"/>
    <x v="71"/>
    <s v="PSES Elem Prog97Act25 S275"/>
    <x v="2"/>
    <s v="25"/>
    <m/>
    <n v="25"/>
    <m/>
    <n v="0"/>
    <m/>
    <n v="0"/>
    <s v="Elementary Pupil Management"/>
  </r>
  <r>
    <x v="303"/>
    <s v="Personnel"/>
    <s v="M "/>
    <x v="2"/>
    <x v="72"/>
    <s v="PSES Mid Prog97Act25 S275"/>
    <x v="2"/>
    <s v="25"/>
    <m/>
    <n v="25"/>
    <m/>
    <n v="0"/>
    <m/>
    <n v="0"/>
    <s v="Middle Pupil Management"/>
  </r>
  <r>
    <x v="303"/>
    <s v="Personnel"/>
    <s v="H "/>
    <x v="1"/>
    <x v="53"/>
    <s v="PSES High Prog97Act25 S275"/>
    <x v="2"/>
    <s v="25"/>
    <m/>
    <n v="25"/>
    <m/>
    <n v="0"/>
    <m/>
    <n v="0"/>
    <s v="High Pupil Management"/>
  </r>
  <r>
    <x v="303"/>
    <s v="Personnel"/>
    <s v="E "/>
    <x v="0"/>
    <x v="66"/>
    <s v="TK Pupil Management"/>
    <x v="4"/>
    <s v="25"/>
    <m/>
    <n v="25"/>
    <m/>
    <n v="0"/>
    <m/>
    <n v="0"/>
    <s v="TK Pupil Management"/>
  </r>
  <r>
    <x v="303"/>
    <s v="Personnel"/>
    <s v="E "/>
    <x v="0"/>
    <x v="3"/>
    <s v="PSES Elem Prog01Act25 S275"/>
    <x v="5"/>
    <s v="25"/>
    <m/>
    <n v="25"/>
    <m/>
    <n v="0"/>
    <m/>
    <n v="0"/>
    <s v="Elementary Pupil Management"/>
  </r>
  <r>
    <x v="303"/>
    <s v="Personnel"/>
    <s v="M "/>
    <x v="2"/>
    <x v="6"/>
    <s v="PSES Mid Prog01Act25 S275"/>
    <x v="5"/>
    <s v="25"/>
    <m/>
    <n v="25"/>
    <m/>
    <n v="0"/>
    <m/>
    <n v="0"/>
    <s v="Middle Pupil Management"/>
  </r>
  <r>
    <x v="303"/>
    <s v="Personnel"/>
    <s v="H "/>
    <x v="1"/>
    <x v="5"/>
    <s v="PSES High Prog01Act25 S275"/>
    <x v="5"/>
    <s v="25"/>
    <m/>
    <n v="25"/>
    <m/>
    <n v="0"/>
    <m/>
    <n v="0"/>
    <s v="High Pupil Management"/>
  </r>
  <r>
    <x v="303"/>
    <s v="Personnel"/>
    <s v="E "/>
    <x v="0"/>
    <x v="7"/>
    <s v="PSES Elem Prog21Act26 S275"/>
    <x v="1"/>
    <s v="26"/>
    <m/>
    <n v="26"/>
    <m/>
    <n v="0"/>
    <m/>
    <n v="0"/>
    <s v="Elementary Health/_x000a_Related Services"/>
  </r>
  <r>
    <x v="303"/>
    <s v="Personnel"/>
    <s v="M "/>
    <x v="2"/>
    <x v="10"/>
    <s v="PSES Mid Prog21Act26 S275"/>
    <x v="1"/>
    <s v="26"/>
    <m/>
    <n v="26"/>
    <m/>
    <n v="0"/>
    <m/>
    <n v="0"/>
    <s v="Middle Health/_x000a_Related Services"/>
  </r>
  <r>
    <x v="303"/>
    <s v="Personnel"/>
    <s v="H "/>
    <x v="1"/>
    <x v="29"/>
    <s v="PSES High Prog21Act26 S275"/>
    <x v="1"/>
    <s v="26"/>
    <m/>
    <n v="26"/>
    <m/>
    <n v="0"/>
    <m/>
    <n v="0"/>
    <s v="High Health/_x000a_Related Services"/>
  </r>
  <r>
    <x v="303"/>
    <s v="Personnel"/>
    <s v="E "/>
    <x v="0"/>
    <x v="98"/>
    <s v="Elementary Health/_x000a_Related Services"/>
    <x v="2"/>
    <s v="26"/>
    <m/>
    <n v="26"/>
    <m/>
    <n v="0"/>
    <m/>
    <n v="0"/>
    <s v="Elementary Health/_x000a_Related Services"/>
  </r>
  <r>
    <x v="303"/>
    <s v="Personnel"/>
    <s v="M "/>
    <x v="2"/>
    <x v="99"/>
    <s v="Middle Health/_x000a_Related Services"/>
    <x v="2"/>
    <s v="26"/>
    <m/>
    <n v="26"/>
    <m/>
    <n v="0"/>
    <m/>
    <n v="0"/>
    <s v="Middle Health/_x000a_Related Services"/>
  </r>
  <r>
    <x v="303"/>
    <s v="Personnel"/>
    <s v="H "/>
    <x v="1"/>
    <x v="100"/>
    <s v="High Health/_x000a_Related Services"/>
    <x v="2"/>
    <s v="26"/>
    <m/>
    <n v="26"/>
    <m/>
    <n v="0"/>
    <m/>
    <n v="0"/>
    <s v="High Health/_x000a_Related Services"/>
  </r>
  <r>
    <x v="303"/>
    <s v="Personnel"/>
    <s v="E "/>
    <x v="0"/>
    <x v="84"/>
    <s v="PSES Elem Prog09Act26 S275"/>
    <x v="4"/>
    <s v="26"/>
    <m/>
    <n v="26"/>
    <m/>
    <n v="0"/>
    <m/>
    <n v="0"/>
    <s v="TK Health/_x000a_Related Services"/>
  </r>
  <r>
    <x v="303"/>
    <s v="Personnel"/>
    <s v="E "/>
    <x v="0"/>
    <x v="8"/>
    <s v="PSES Elem Prog01Act26 S275"/>
    <x v="5"/>
    <s v="26"/>
    <m/>
    <n v="26"/>
    <m/>
    <n v="0"/>
    <m/>
    <n v="0"/>
    <s v="Elementary Health/_x000a_Related Services"/>
  </r>
  <r>
    <x v="303"/>
    <s v="Personnel"/>
    <s v="M "/>
    <x v="2"/>
    <x v="11"/>
    <s v="PSES Mid Prog01Act26 S275"/>
    <x v="5"/>
    <s v="26"/>
    <m/>
    <n v="26"/>
    <m/>
    <n v="0"/>
    <m/>
    <n v="0"/>
    <s v="Middle Health/_x000a_Related Services"/>
  </r>
  <r>
    <x v="303"/>
    <s v="Personnel"/>
    <s v="H "/>
    <x v="1"/>
    <x v="9"/>
    <s v="PSES High Prog01Act26 S275"/>
    <x v="5"/>
    <s v="26"/>
    <m/>
    <n v="26"/>
    <m/>
    <n v="0"/>
    <m/>
    <n v="0"/>
    <s v="High Health/_x000a_Related Services"/>
  </r>
  <r>
    <x v="303"/>
    <s v="Personnel"/>
    <s v="E "/>
    <x v="0"/>
    <x v="101"/>
    <s v="Elementary Pupil Safety"/>
    <x v="1"/>
    <s v="35"/>
    <m/>
    <n v="35"/>
    <m/>
    <n v="0"/>
    <m/>
    <n v="0"/>
    <s v="Elementary Pupil Safety"/>
  </r>
  <r>
    <x v="303"/>
    <s v="Personnel"/>
    <s v="M "/>
    <x v="2"/>
    <x v="102"/>
    <s v="Middle Pupil Safety"/>
    <x v="1"/>
    <s v="35"/>
    <m/>
    <n v="35"/>
    <m/>
    <n v="0"/>
    <m/>
    <n v="0"/>
    <s v="Middle Pupil Safety"/>
  </r>
  <r>
    <x v="303"/>
    <s v="Personnel"/>
    <s v="H "/>
    <x v="1"/>
    <x v="87"/>
    <s v="PSES High Prog21Act35 S275"/>
    <x v="1"/>
    <s v="35"/>
    <m/>
    <n v="35"/>
    <m/>
    <n v="0"/>
    <m/>
    <n v="0"/>
    <s v="High Pupil Safety"/>
  </r>
  <r>
    <x v="303"/>
    <s v="Personnel"/>
    <s v="E "/>
    <x v="0"/>
    <x v="30"/>
    <s v="Elementary Pupil Safety"/>
    <x v="2"/>
    <s v="35"/>
    <m/>
    <n v="35"/>
    <m/>
    <n v="0"/>
    <m/>
    <n v="0"/>
    <s v="Elementary Pupil Safety"/>
  </r>
  <r>
    <x v="303"/>
    <s v="Personnel"/>
    <s v="M "/>
    <x v="2"/>
    <x v="13"/>
    <s v="PSES Mid Prog97Act35 S275"/>
    <x v="2"/>
    <s v="35"/>
    <m/>
    <n v="35"/>
    <m/>
    <n v="0"/>
    <m/>
    <n v="0"/>
    <s v="Middle Pupil Safety"/>
  </r>
  <r>
    <x v="303"/>
    <s v="Personnel"/>
    <s v="H "/>
    <x v="1"/>
    <x v="12"/>
    <s v="PSES High Prog97Act35 S275"/>
    <x v="2"/>
    <s v="35"/>
    <m/>
    <n v="35"/>
    <m/>
    <n v="0"/>
    <m/>
    <n v="0"/>
    <s v="High Pupil Safety"/>
  </r>
  <r>
    <x v="303"/>
    <s v="Personnel"/>
    <s v="E "/>
    <x v="0"/>
    <x v="78"/>
    <s v="TK Orientation &amp; Mobility Specialist"/>
    <x v="4"/>
    <s v="35"/>
    <m/>
    <n v="35"/>
    <m/>
    <n v="0"/>
    <m/>
    <n v="0"/>
    <s v="TK Pupil Safety"/>
  </r>
  <r>
    <x v="303"/>
    <s v="Personnel"/>
    <s v="E "/>
    <x v="0"/>
    <x v="62"/>
    <s v="PSES Elem Prog01Act35 S275"/>
    <x v="5"/>
    <s v="35"/>
    <m/>
    <n v="35"/>
    <m/>
    <n v="0"/>
    <m/>
    <n v="0"/>
    <s v="Elementary Pupil Safety"/>
  </r>
  <r>
    <x v="303"/>
    <s v="Personnel"/>
    <s v="M "/>
    <x v="2"/>
    <x v="63"/>
    <s v="PSES Mid Prog01Act35 S275"/>
    <x v="5"/>
    <s v="35"/>
    <m/>
    <n v="35"/>
    <m/>
    <n v="0"/>
    <m/>
    <n v="0"/>
    <s v="Middle Pupil Safety"/>
  </r>
  <r>
    <x v="303"/>
    <s v="Personnel"/>
    <s v="H "/>
    <x v="1"/>
    <x v="54"/>
    <s v="PSES High Prog01Act35 S275"/>
    <x v="5"/>
    <s v="35"/>
    <m/>
    <n v="35"/>
    <m/>
    <n v="0"/>
    <m/>
    <n v="0"/>
    <s v="High Pupil Safety"/>
  </r>
  <r>
    <x v="303"/>
    <s v="Personnel"/>
    <s v="E "/>
    <x v="0"/>
    <x v="14"/>
    <s v="PSES Elem Prog21Duty39 S275"/>
    <x v="1"/>
    <s v="39"/>
    <s v="39"/>
    <m/>
    <m/>
    <n v="0"/>
    <m/>
    <n v="0"/>
    <s v="Elementary Orientation &amp; Mobility Specialist"/>
  </r>
  <r>
    <x v="303"/>
    <s v="Personnel"/>
    <s v="M "/>
    <x v="2"/>
    <x v="88"/>
    <s v="Middle Orientation &amp; Mobility Specialist"/>
    <x v="1"/>
    <s v="39"/>
    <s v="39"/>
    <m/>
    <m/>
    <n v="0"/>
    <m/>
    <n v="0"/>
    <s v="Middle Orientation &amp; Mobility Specialist"/>
  </r>
  <r>
    <x v="303"/>
    <s v="Personnel"/>
    <s v="H "/>
    <x v="1"/>
    <x v="83"/>
    <s v="PSES High Prog21Duty39 S275"/>
    <x v="1"/>
    <s v="39"/>
    <s v="39"/>
    <m/>
    <m/>
    <n v="0"/>
    <m/>
    <n v="0"/>
    <s v="High Orientation &amp; Mobility Specialist"/>
  </r>
  <r>
    <x v="303"/>
    <s v="Personnel"/>
    <s v="E "/>
    <x v="0"/>
    <x v="103"/>
    <s v="Elementary Orientation &amp; Mobility Specialist"/>
    <x v="2"/>
    <s v="39"/>
    <s v="39"/>
    <m/>
    <m/>
    <n v="0"/>
    <m/>
    <n v="0"/>
    <s v="Elementary Orientation &amp; Mobility Specialist"/>
  </r>
  <r>
    <x v="303"/>
    <s v="Personnel"/>
    <s v="M "/>
    <x v="2"/>
    <x v="104"/>
    <s v="Middle Orientation &amp; Mobility Specialist"/>
    <x v="2"/>
    <s v="39"/>
    <s v="39"/>
    <m/>
    <m/>
    <n v="0"/>
    <m/>
    <n v="0"/>
    <s v="Middle Orientation &amp; Mobility Specialist"/>
  </r>
  <r>
    <x v="303"/>
    <s v="Personnel"/>
    <s v="H "/>
    <x v="1"/>
    <x v="105"/>
    <s v="High Orientation &amp; Mobility Specialist"/>
    <x v="2"/>
    <s v="39"/>
    <s v="39"/>
    <m/>
    <m/>
    <n v="0"/>
    <m/>
    <n v="0"/>
    <s v="High Orientation &amp; Mobility Specialist"/>
  </r>
  <r>
    <x v="303"/>
    <s v="Personnel"/>
    <s v="E "/>
    <x v="0"/>
    <x v="106"/>
    <s v="TK Orientation &amp; Mobility Specialist"/>
    <x v="4"/>
    <s v="39"/>
    <s v="39"/>
    <m/>
    <m/>
    <n v="0"/>
    <m/>
    <n v="0"/>
    <s v="TK Orientation &amp; Mobility Specialist"/>
  </r>
  <r>
    <x v="303"/>
    <s v="Personnel"/>
    <s v="E "/>
    <x v="0"/>
    <x v="40"/>
    <s v="Elementary Orientation &amp; Mobility Specialist"/>
    <x v="5"/>
    <s v="39"/>
    <s v="39"/>
    <m/>
    <m/>
    <n v="0"/>
    <m/>
    <n v="0"/>
    <s v="Elementary Orientation &amp; Mobility Specialist"/>
  </r>
  <r>
    <x v="303"/>
    <s v="Personnel"/>
    <s v="M "/>
    <x v="2"/>
    <x v="107"/>
    <s v="Middle Orientation &amp; Mobility Specialist"/>
    <x v="5"/>
    <s v="39"/>
    <s v="39"/>
    <m/>
    <m/>
    <n v="0"/>
    <m/>
    <n v="0"/>
    <s v="Middle Orientation &amp; Mobility Specialist"/>
  </r>
  <r>
    <x v="303"/>
    <s v="Personnel"/>
    <s v="H "/>
    <x v="1"/>
    <x v="108"/>
    <s v="High Orientation &amp; Mobility Specialist"/>
    <x v="5"/>
    <s v="39"/>
    <s v="39"/>
    <m/>
    <m/>
    <n v="0"/>
    <m/>
    <n v="0"/>
    <s v="High Orientation &amp; Mobility Specialist"/>
  </r>
  <r>
    <x v="303"/>
    <s v="Personnel"/>
    <s v="E "/>
    <x v="0"/>
    <x v="76"/>
    <s v="Elementary Counselor"/>
    <x v="1"/>
    <s v="42"/>
    <s v="42"/>
    <m/>
    <m/>
    <n v="0"/>
    <m/>
    <n v="0"/>
    <s v="Elementary Counselor"/>
  </r>
  <r>
    <x v="303"/>
    <s v="Personnel"/>
    <s v="M "/>
    <x v="2"/>
    <x v="75"/>
    <s v="Middle Counselor"/>
    <x v="1"/>
    <s v="42"/>
    <s v="42"/>
    <m/>
    <m/>
    <n v="0"/>
    <m/>
    <n v="0"/>
    <s v="Middle Counselor"/>
  </r>
  <r>
    <x v="303"/>
    <s v="Personnel"/>
    <s v="H "/>
    <x v="1"/>
    <x v="77"/>
    <s v="High Counselor"/>
    <x v="1"/>
    <s v="42"/>
    <s v="42"/>
    <m/>
    <m/>
    <n v="0"/>
    <m/>
    <n v="0"/>
    <s v="High Counselor"/>
  </r>
  <r>
    <x v="303"/>
    <s v="Personnel"/>
    <s v="E "/>
    <x v="0"/>
    <x v="109"/>
    <s v="Elementary Counselor"/>
    <x v="2"/>
    <s v="42"/>
    <s v="42"/>
    <m/>
    <m/>
    <n v="0"/>
    <m/>
    <n v="0"/>
    <s v="Elementary Counselor"/>
  </r>
  <r>
    <x v="303"/>
    <s v="Personnel"/>
    <s v="M "/>
    <x v="2"/>
    <x v="110"/>
    <s v="Middle Counselor"/>
    <x v="2"/>
    <s v="42"/>
    <s v="42"/>
    <m/>
    <m/>
    <n v="0"/>
    <m/>
    <n v="0"/>
    <s v="Middle Counselor"/>
  </r>
  <r>
    <x v="303"/>
    <s v="Personnel"/>
    <s v="H "/>
    <x v="1"/>
    <x v="111"/>
    <s v="High Counselor"/>
    <x v="2"/>
    <s v="42"/>
    <s v="42"/>
    <m/>
    <m/>
    <n v="0"/>
    <m/>
    <n v="0"/>
    <s v="High Counselor"/>
  </r>
  <r>
    <x v="303"/>
    <s v="Personnel"/>
    <s v="E "/>
    <x v="0"/>
    <x v="70"/>
    <s v="PSES Elem Prog09Duty42 S275"/>
    <x v="4"/>
    <s v="42"/>
    <s v="42"/>
    <m/>
    <m/>
    <n v="0"/>
    <m/>
    <n v="0"/>
    <s v="TK Counselor"/>
  </r>
  <r>
    <x v="303"/>
    <s v="Personnel"/>
    <s v="E "/>
    <x v="0"/>
    <x v="15"/>
    <s v="Elementary Counselor"/>
    <x v="5"/>
    <s v="42"/>
    <s v="42"/>
    <m/>
    <m/>
    <n v="0"/>
    <m/>
    <n v="0"/>
    <s v="Elementary Counselor"/>
  </r>
  <r>
    <x v="303"/>
    <s v="Personnel"/>
    <s v="M "/>
    <x v="2"/>
    <x v="17"/>
    <s v="Middle Counselor"/>
    <x v="5"/>
    <s v="42"/>
    <s v="42"/>
    <m/>
    <m/>
    <n v="0"/>
    <m/>
    <n v="0"/>
    <s v="Middle Counselor"/>
  </r>
  <r>
    <x v="303"/>
    <s v="Personnel"/>
    <s v="H "/>
    <x v="1"/>
    <x v="16"/>
    <s v="High Counselor"/>
    <x v="5"/>
    <s v="42"/>
    <s v="42"/>
    <m/>
    <m/>
    <n v="0"/>
    <m/>
    <n v="0"/>
    <s v="High Counselor"/>
  </r>
  <r>
    <x v="303"/>
    <s v="Personnel"/>
    <s v="E "/>
    <x v="0"/>
    <x v="18"/>
    <s v="Elementary occupational Therapist"/>
    <x v="1"/>
    <s v="43"/>
    <s v="43"/>
    <m/>
    <m/>
    <n v="0"/>
    <m/>
    <n v="0"/>
    <s v="Elementary Occupational Therapist"/>
  </r>
  <r>
    <x v="303"/>
    <s v="Personnel"/>
    <s v="M "/>
    <x v="2"/>
    <x v="31"/>
    <s v="Middle occupational Therapist"/>
    <x v="1"/>
    <s v="43"/>
    <s v="43"/>
    <m/>
    <m/>
    <n v="0"/>
    <m/>
    <n v="0"/>
    <s v="Middle Occupational Therapist"/>
  </r>
  <r>
    <x v="303"/>
    <s v="Personnel"/>
    <s v="H "/>
    <x v="1"/>
    <x v="19"/>
    <s v="High occupational Therapist"/>
    <x v="1"/>
    <s v="43"/>
    <s v="43"/>
    <m/>
    <m/>
    <n v="0"/>
    <m/>
    <n v="0"/>
    <s v="High Occupational Therapist"/>
  </r>
  <r>
    <x v="303"/>
    <s v="Personnel"/>
    <s v="E "/>
    <x v="0"/>
    <x v="112"/>
    <s v="Elementary occupational Therapist"/>
    <x v="2"/>
    <s v="43"/>
    <s v="43"/>
    <m/>
    <m/>
    <n v="0"/>
    <m/>
    <n v="0"/>
    <s v="Elementary Occupational Therapist"/>
  </r>
  <r>
    <x v="303"/>
    <s v="Personnel"/>
    <s v="M "/>
    <x v="2"/>
    <x v="113"/>
    <s v="Middle occupational Therapist"/>
    <x v="2"/>
    <s v="43"/>
    <s v="43"/>
    <m/>
    <m/>
    <n v="0"/>
    <m/>
    <n v="0"/>
    <s v="Middle Occupational Therapist"/>
  </r>
  <r>
    <x v="303"/>
    <s v="Personnel"/>
    <s v="H "/>
    <x v="1"/>
    <x v="114"/>
    <s v="High occupational Therapist"/>
    <x v="2"/>
    <s v="43"/>
    <s v="43"/>
    <m/>
    <m/>
    <n v="0"/>
    <m/>
    <n v="0"/>
    <s v="High Occupational Therapist"/>
  </r>
  <r>
    <x v="303"/>
    <s v="Personnel"/>
    <s v="E "/>
    <x v="0"/>
    <x v="115"/>
    <s v="TK occupational Therapist"/>
    <x v="4"/>
    <s v="43"/>
    <s v="43"/>
    <m/>
    <m/>
    <n v="0"/>
    <m/>
    <n v="0"/>
    <s v="TK Occupational Therapist"/>
  </r>
  <r>
    <x v="303"/>
    <s v="Personnel"/>
    <s v="E "/>
    <x v="0"/>
    <x v="69"/>
    <s v="Elementary occupational Therapist"/>
    <x v="5"/>
    <s v="43"/>
    <s v="43"/>
    <m/>
    <m/>
    <n v="0"/>
    <m/>
    <n v="0"/>
    <s v="Elementary Occupational Therapist"/>
  </r>
  <r>
    <x v="303"/>
    <s v="Personnel"/>
    <s v="M "/>
    <x v="2"/>
    <x v="74"/>
    <s v="Middle occupational Therapist"/>
    <x v="5"/>
    <s v="43"/>
    <s v="43"/>
    <m/>
    <m/>
    <n v="0"/>
    <m/>
    <n v="0"/>
    <s v="Middle Occupational Therapist"/>
  </r>
  <r>
    <x v="303"/>
    <s v="Personnel"/>
    <s v="H "/>
    <x v="1"/>
    <x v="73"/>
    <s v="High occupational Therapist"/>
    <x v="5"/>
    <s v="43"/>
    <s v="43"/>
    <m/>
    <m/>
    <n v="0"/>
    <m/>
    <n v="0"/>
    <s v="High Occupational Therapist"/>
  </r>
  <r>
    <x v="303"/>
    <s v="Personnel"/>
    <s v="E "/>
    <x v="0"/>
    <x v="41"/>
    <s v="Elementary Social Worker"/>
    <x v="1"/>
    <s v="44"/>
    <s v="44"/>
    <m/>
    <m/>
    <n v="0"/>
    <m/>
    <n v="0"/>
    <s v="Elementary Social Worker"/>
  </r>
  <r>
    <x v="303"/>
    <s v="Personnel"/>
    <s v="M "/>
    <x v="2"/>
    <x v="45"/>
    <s v="Middle Social Worker"/>
    <x v="1"/>
    <s v="44"/>
    <s v="44"/>
    <m/>
    <m/>
    <n v="0"/>
    <m/>
    <n v="0"/>
    <s v="Middle Social Worker"/>
  </r>
  <r>
    <x v="303"/>
    <s v="Personnel"/>
    <s v="H "/>
    <x v="1"/>
    <x v="43"/>
    <s v="High Social Worker"/>
    <x v="1"/>
    <s v="44"/>
    <s v="44"/>
    <m/>
    <m/>
    <n v="0"/>
    <m/>
    <n v="0"/>
    <s v="High Social Worker"/>
  </r>
  <r>
    <x v="303"/>
    <s v="Personnel"/>
    <s v="E "/>
    <x v="0"/>
    <x v="116"/>
    <s v="Elementary Social Worker"/>
    <x v="2"/>
    <s v="44"/>
    <s v="44"/>
    <m/>
    <m/>
    <n v="0"/>
    <m/>
    <n v="0"/>
    <s v="Elementary Social Worker"/>
  </r>
  <r>
    <x v="303"/>
    <s v="Personnel"/>
    <s v="M "/>
    <x v="2"/>
    <x v="117"/>
    <s v="Middle Social Worker"/>
    <x v="2"/>
    <s v="44"/>
    <s v="44"/>
    <m/>
    <m/>
    <n v="0"/>
    <m/>
    <n v="0"/>
    <s v="Middle Social Worker"/>
  </r>
  <r>
    <x v="303"/>
    <s v="Personnel"/>
    <s v="H "/>
    <x v="1"/>
    <x v="118"/>
    <s v="High Social Worker"/>
    <x v="2"/>
    <s v="44"/>
    <s v="44"/>
    <m/>
    <m/>
    <n v="0"/>
    <m/>
    <n v="0"/>
    <s v="High Social Worker"/>
  </r>
  <r>
    <x v="303"/>
    <s v="Personnel"/>
    <s v="E "/>
    <x v="0"/>
    <x v="64"/>
    <s v="TK Social Worker"/>
    <x v="4"/>
    <s v="44"/>
    <s v="44"/>
    <m/>
    <m/>
    <n v="0"/>
    <m/>
    <n v="0"/>
    <s v="TK Social Worker"/>
  </r>
  <r>
    <x v="303"/>
    <s v="Personnel"/>
    <s v="E "/>
    <x v="0"/>
    <x v="42"/>
    <s v="Elementary Social Worker"/>
    <x v="5"/>
    <s v="44"/>
    <s v="44"/>
    <m/>
    <m/>
    <n v="0"/>
    <m/>
    <n v="0"/>
    <s v="Elementary Social Worker"/>
  </r>
  <r>
    <x v="303"/>
    <s v="Personnel"/>
    <s v="M "/>
    <x v="2"/>
    <x v="46"/>
    <s v="Middle Social Worker"/>
    <x v="5"/>
    <s v="44"/>
    <s v="44"/>
    <m/>
    <m/>
    <n v="0"/>
    <m/>
    <n v="0"/>
    <s v="Middle Social Worker"/>
  </r>
  <r>
    <x v="303"/>
    <s v="Personnel"/>
    <s v="H "/>
    <x v="1"/>
    <x v="44"/>
    <s v="High Social Worker"/>
    <x v="5"/>
    <s v="44"/>
    <s v="44"/>
    <m/>
    <m/>
    <n v="0"/>
    <m/>
    <n v="0"/>
    <s v="High Social Worker"/>
  </r>
  <r>
    <x v="303"/>
    <s v="Personnel"/>
    <s v="E "/>
    <x v="0"/>
    <x v="20"/>
    <s v="Elementary Speech, Language Pathway/_x000a_Audio"/>
    <x v="1"/>
    <s v="45"/>
    <s v="45"/>
    <m/>
    <m/>
    <n v="0"/>
    <m/>
    <n v="0"/>
    <s v="Elementary Speech, Language Pathway/_x000a_Audio"/>
  </r>
  <r>
    <x v="303"/>
    <s v="Personnel"/>
    <s v="M "/>
    <x v="2"/>
    <x v="28"/>
    <s v="Middle Speech, Language Pathway/_x000a_Audio"/>
    <x v="1"/>
    <s v="45"/>
    <s v="45"/>
    <m/>
    <m/>
    <n v="0"/>
    <m/>
    <n v="0"/>
    <s v="Middle Speech, Language Pathway/_x000a_Audio"/>
  </r>
  <r>
    <x v="303"/>
    <s v="Personnel"/>
    <s v="H "/>
    <x v="1"/>
    <x v="21"/>
    <s v="High Speech, Language Pathway/_x000a_Audio"/>
    <x v="1"/>
    <s v="45"/>
    <s v="45"/>
    <m/>
    <m/>
    <n v="0"/>
    <m/>
    <n v="0"/>
    <s v="High Speech, Language Pathway/_x000a_Audio"/>
  </r>
  <r>
    <x v="303"/>
    <s v="Personnel"/>
    <s v="E "/>
    <x v="0"/>
    <x v="119"/>
    <s v="Elementary Speech, Language Pathway/_x000a_Audio"/>
    <x v="2"/>
    <s v="45"/>
    <s v="45"/>
    <m/>
    <m/>
    <n v="0"/>
    <m/>
    <n v="0"/>
    <s v="Elementary Speech, Language Pathway/_x000a_Audio"/>
  </r>
  <r>
    <x v="303"/>
    <s v="Personnel"/>
    <s v="M "/>
    <x v="2"/>
    <x v="120"/>
    <s v="Middle Speech, Language Pathway/_x000a_Audio"/>
    <x v="2"/>
    <s v="45"/>
    <s v="45"/>
    <m/>
    <m/>
    <n v="0"/>
    <m/>
    <n v="0"/>
    <s v="Middle Speech, Language Pathway/_x000a_Audio"/>
  </r>
  <r>
    <x v="303"/>
    <s v="Personnel"/>
    <s v="H "/>
    <x v="1"/>
    <x v="121"/>
    <s v="High Speech, Language Pathway/_x000a_Audio"/>
    <x v="2"/>
    <s v="45"/>
    <s v="45"/>
    <m/>
    <m/>
    <n v="0"/>
    <m/>
    <n v="0"/>
    <s v="High Speech, Language Pathway/_x000a_Audio"/>
  </r>
  <r>
    <x v="303"/>
    <s v="Personnel"/>
    <s v="E "/>
    <x v="0"/>
    <x v="93"/>
    <s v="TK Speech, Language Pathway/_x000a_Audio"/>
    <x v="4"/>
    <s v="45"/>
    <s v="45"/>
    <m/>
    <m/>
    <n v="0"/>
    <m/>
    <n v="0"/>
    <s v="TK Speech, Language Pathway/_x000a_Audio"/>
  </r>
  <r>
    <x v="303"/>
    <s v="Personnel"/>
    <s v="E "/>
    <x v="0"/>
    <x v="47"/>
    <s v="Elementary Speech, Language Pathway/_x000a_Audio"/>
    <x v="5"/>
    <s v="45"/>
    <s v="45"/>
    <m/>
    <m/>
    <n v="0"/>
    <m/>
    <n v="0"/>
    <s v="Elementary Speech, Language Pathway/_x000a_Audio"/>
  </r>
  <r>
    <x v="303"/>
    <s v="Personnel"/>
    <s v="M "/>
    <x v="2"/>
    <x v="52"/>
    <s v="Middle Speech, Language Pathway/_x000a_Audio"/>
    <x v="5"/>
    <s v="45"/>
    <s v="45"/>
    <m/>
    <m/>
    <n v="0"/>
    <m/>
    <n v="0"/>
    <s v="Middle Speech, Language Pathway/_x000a_Audio"/>
  </r>
  <r>
    <x v="303"/>
    <s v="Personnel"/>
    <s v="H "/>
    <x v="1"/>
    <x v="51"/>
    <s v="High Speech, Language Pathway/_x000a_Audio"/>
    <x v="5"/>
    <s v="45"/>
    <s v="45"/>
    <m/>
    <m/>
    <n v="0"/>
    <m/>
    <n v="0"/>
    <s v="High Speech, Language Pathway/_x000a_Audio"/>
  </r>
  <r>
    <x v="303"/>
    <s v="Personnel"/>
    <s v="E "/>
    <x v="0"/>
    <x v="22"/>
    <s v="Elementary Psycho-logist"/>
    <x v="1"/>
    <s v="46"/>
    <s v="46"/>
    <m/>
    <m/>
    <n v="0"/>
    <m/>
    <n v="0"/>
    <s v="Elementary Psychologist"/>
  </r>
  <r>
    <x v="303"/>
    <s v="Personnel"/>
    <s v="M "/>
    <x v="2"/>
    <x v="24"/>
    <s v="Middle Psycho-logist"/>
    <x v="1"/>
    <s v="46"/>
    <s v="46"/>
    <m/>
    <m/>
    <n v="0"/>
    <m/>
    <n v="0"/>
    <s v="Middle Psychologist"/>
  </r>
  <r>
    <x v="303"/>
    <s v="Personnel"/>
    <s v="H "/>
    <x v="1"/>
    <x v="23"/>
    <s v="High Psycho-logist"/>
    <x v="1"/>
    <s v="46"/>
    <s v="46"/>
    <m/>
    <m/>
    <n v="0"/>
    <m/>
    <n v="0"/>
    <s v="High Psychologist"/>
  </r>
  <r>
    <x v="303"/>
    <s v="Personnel"/>
    <s v="E "/>
    <x v="0"/>
    <x v="122"/>
    <s v="Elementary Psycho-logist"/>
    <x v="2"/>
    <s v="46"/>
    <s v="46"/>
    <m/>
    <m/>
    <n v="0"/>
    <m/>
    <n v="0"/>
    <s v="Elementary Psychologist"/>
  </r>
  <r>
    <x v="303"/>
    <s v="Personnel"/>
    <s v="M "/>
    <x v="2"/>
    <x v="123"/>
    <s v="Middle Psycho-logist"/>
    <x v="2"/>
    <s v="46"/>
    <s v="46"/>
    <m/>
    <m/>
    <n v="0"/>
    <m/>
    <n v="0"/>
    <s v="Middle Psychologist"/>
  </r>
  <r>
    <x v="303"/>
    <s v="Personnel"/>
    <s v="H "/>
    <x v="1"/>
    <x v="124"/>
    <s v="High Psycho-logist"/>
    <x v="2"/>
    <s v="46"/>
    <s v="46"/>
    <m/>
    <m/>
    <n v="0"/>
    <m/>
    <n v="0"/>
    <s v="High Psychologist"/>
  </r>
  <r>
    <x v="303"/>
    <s v="Personnel"/>
    <s v="E "/>
    <x v="0"/>
    <x v="125"/>
    <s v="TK Psycho-logist"/>
    <x v="4"/>
    <s v="46"/>
    <s v="46"/>
    <m/>
    <m/>
    <n v="0"/>
    <m/>
    <n v="0"/>
    <s v="TK Psychologist"/>
  </r>
  <r>
    <x v="303"/>
    <s v="Personnel"/>
    <s v="E "/>
    <x v="0"/>
    <x v="48"/>
    <s v="Elementary Psycho-logist"/>
    <x v="5"/>
    <s v="46"/>
    <s v="46"/>
    <m/>
    <m/>
    <n v="0"/>
    <m/>
    <n v="0"/>
    <s v="Elementary Psychologist"/>
  </r>
  <r>
    <x v="303"/>
    <s v="Personnel"/>
    <s v="M "/>
    <x v="2"/>
    <x v="49"/>
    <s v="Middle Psycho-logist"/>
    <x v="5"/>
    <s v="46"/>
    <s v="46"/>
    <m/>
    <m/>
    <n v="0"/>
    <m/>
    <n v="0"/>
    <s v="Middle Psychologist"/>
  </r>
  <r>
    <x v="303"/>
    <s v="Personnel"/>
    <s v="H "/>
    <x v="1"/>
    <x v="65"/>
    <s v="High Psycho-logist"/>
    <x v="5"/>
    <s v="46"/>
    <s v="46"/>
    <m/>
    <m/>
    <n v="0"/>
    <m/>
    <n v="0"/>
    <s v="High Psychologist"/>
  </r>
  <r>
    <x v="303"/>
    <s v="Personnel"/>
    <s v="E "/>
    <x v="0"/>
    <x v="32"/>
    <s v="Elementary Nurse"/>
    <x v="1"/>
    <s v="47"/>
    <s v="47"/>
    <m/>
    <m/>
    <n v="0"/>
    <m/>
    <n v="0"/>
    <s v="Elementary Nurse"/>
  </r>
  <r>
    <x v="303"/>
    <s v="Personnel"/>
    <s v="M "/>
    <x v="2"/>
    <x v="33"/>
    <s v="Middle Nurse"/>
    <x v="1"/>
    <s v="47"/>
    <s v="47"/>
    <m/>
    <m/>
    <n v="0"/>
    <m/>
    <n v="0"/>
    <s v="Middle Nurse"/>
  </r>
  <r>
    <x v="303"/>
    <s v="Personnel"/>
    <s v="H "/>
    <x v="1"/>
    <x v="61"/>
    <s v="PSES High Prog21Duty47 S275"/>
    <x v="1"/>
    <s v="47"/>
    <s v="47"/>
    <m/>
    <m/>
    <n v="0"/>
    <m/>
    <n v="0"/>
    <s v="High Nurse"/>
  </r>
  <r>
    <x v="303"/>
    <s v="Personnel"/>
    <s v="E "/>
    <x v="0"/>
    <x v="126"/>
    <s v="Elementary Nurse"/>
    <x v="2"/>
    <s v="47"/>
    <s v="47"/>
    <m/>
    <m/>
    <n v="0"/>
    <m/>
    <n v="0"/>
    <s v="Elementary Nurse"/>
  </r>
  <r>
    <x v="303"/>
    <s v="Personnel"/>
    <s v="M "/>
    <x v="2"/>
    <x v="127"/>
    <s v="Middle Nurse"/>
    <x v="2"/>
    <s v="47"/>
    <s v="47"/>
    <m/>
    <m/>
    <n v="0"/>
    <m/>
    <n v="0"/>
    <s v="Middle Nurse"/>
  </r>
  <r>
    <x v="303"/>
    <s v="Personnel"/>
    <s v="H "/>
    <x v="1"/>
    <x v="128"/>
    <s v="High Nurse"/>
    <x v="2"/>
    <s v="47"/>
    <s v="47"/>
    <m/>
    <m/>
    <n v="0"/>
    <m/>
    <n v="0"/>
    <s v="High Nurse"/>
  </r>
  <r>
    <x v="303"/>
    <s v="Personnel"/>
    <s v="E "/>
    <x v="0"/>
    <x v="85"/>
    <s v="TK Nurse"/>
    <x v="4"/>
    <s v="47"/>
    <s v="47"/>
    <m/>
    <m/>
    <n v="0"/>
    <m/>
    <n v="0"/>
    <s v="TK Nurse"/>
  </r>
  <r>
    <x v="303"/>
    <s v="Personnel"/>
    <s v="E "/>
    <x v="0"/>
    <x v="27"/>
    <s v="PSES Elem Prog01Duty47 S275"/>
    <x v="5"/>
    <s v="47"/>
    <s v="47"/>
    <m/>
    <m/>
    <n v="0"/>
    <m/>
    <n v="0"/>
    <s v="Elementary Nurse"/>
  </r>
  <r>
    <x v="303"/>
    <s v="Personnel"/>
    <s v="M "/>
    <x v="2"/>
    <x v="34"/>
    <s v="PSES Mid Prog01Duty47 S275"/>
    <x v="5"/>
    <s v="47"/>
    <s v="47"/>
    <m/>
    <m/>
    <n v="0"/>
    <m/>
    <n v="0"/>
    <s v="Middle Nurse"/>
  </r>
  <r>
    <x v="303"/>
    <s v="Personnel"/>
    <s v="H "/>
    <x v="1"/>
    <x v="25"/>
    <s v="PSES High Prog01Duty47 S275"/>
    <x v="5"/>
    <s v="47"/>
    <s v="47"/>
    <m/>
    <m/>
    <n v="0"/>
    <m/>
    <n v="0"/>
    <s v="High Nurse"/>
  </r>
  <r>
    <x v="303"/>
    <s v="Personnel"/>
    <s v="E "/>
    <x v="0"/>
    <x v="35"/>
    <s v="PSES Elem Prog21Duty48 S275"/>
    <x v="1"/>
    <s v="48"/>
    <s v="48"/>
    <m/>
    <m/>
    <n v="0"/>
    <m/>
    <n v="0"/>
    <s v="Elementary Physical Therapist"/>
  </r>
  <r>
    <x v="303"/>
    <s v="Personnel"/>
    <s v="M "/>
    <x v="2"/>
    <x v="37"/>
    <s v="PSES Mid Prog21Duty48 S275"/>
    <x v="1"/>
    <s v="48"/>
    <s v="48"/>
    <m/>
    <m/>
    <n v="0"/>
    <m/>
    <n v="0"/>
    <s v="Middle Physical Therapist"/>
  </r>
  <r>
    <x v="303"/>
    <s v="Personnel"/>
    <s v="H "/>
    <x v="1"/>
    <x v="36"/>
    <s v="PSES High Prog21Duty48 S275"/>
    <x v="1"/>
    <s v="48"/>
    <s v="48"/>
    <m/>
    <m/>
    <n v="0"/>
    <m/>
    <n v="0"/>
    <s v="High Physical Therapist"/>
  </r>
  <r>
    <x v="303"/>
    <s v="Personnel"/>
    <s v="E "/>
    <x v="0"/>
    <x v="129"/>
    <s v="Elementary Physical Therapist"/>
    <x v="2"/>
    <s v="48"/>
    <s v="48"/>
    <m/>
    <m/>
    <n v="0"/>
    <m/>
    <n v="0"/>
    <s v="Elementary Physical Therapist"/>
  </r>
  <r>
    <x v="303"/>
    <s v="Personnel"/>
    <s v="M "/>
    <x v="2"/>
    <x v="130"/>
    <s v="Middle Physical Therapist"/>
    <x v="2"/>
    <s v="48"/>
    <s v="48"/>
    <m/>
    <m/>
    <n v="0"/>
    <m/>
    <n v="0"/>
    <s v="Middle Physical Therapist"/>
  </r>
  <r>
    <x v="303"/>
    <s v="Personnel"/>
    <s v="H "/>
    <x v="1"/>
    <x v="131"/>
    <s v="High Physical Therapist"/>
    <x v="2"/>
    <s v="48"/>
    <s v="48"/>
    <m/>
    <m/>
    <n v="0"/>
    <m/>
    <n v="0"/>
    <s v="High Physical Therapist"/>
  </r>
  <r>
    <x v="303"/>
    <s v="Personnel"/>
    <s v="E "/>
    <x v="0"/>
    <x v="132"/>
    <s v="TK Physical Therapist"/>
    <x v="4"/>
    <s v="48"/>
    <s v="48"/>
    <m/>
    <m/>
    <n v="0"/>
    <m/>
    <n v="0"/>
    <s v="TK Physical Therapist"/>
  </r>
  <r>
    <x v="303"/>
    <s v="Personnel"/>
    <s v="E "/>
    <x v="0"/>
    <x v="90"/>
    <s v="PSES Elem Prog01Duty48 S275"/>
    <x v="5"/>
    <s v="48"/>
    <s v="48"/>
    <m/>
    <m/>
    <n v="0"/>
    <m/>
    <n v="0"/>
    <s v="Elementary Physical Therapist"/>
  </r>
  <r>
    <x v="303"/>
    <s v="Personnel"/>
    <s v="M "/>
    <x v="2"/>
    <x v="92"/>
    <s v="PSES Mid Prog01Duty48 S275"/>
    <x v="5"/>
    <s v="48"/>
    <s v="48"/>
    <m/>
    <m/>
    <n v="0"/>
    <m/>
    <n v="0"/>
    <s v="Middle Physical Therapist"/>
  </r>
  <r>
    <x v="303"/>
    <s v="Personnel"/>
    <s v="H "/>
    <x v="1"/>
    <x v="91"/>
    <s v="PSES High Prog01Duty48 S275"/>
    <x v="5"/>
    <s v="48"/>
    <s v="48"/>
    <m/>
    <m/>
    <n v="0"/>
    <m/>
    <n v="0"/>
    <s v="High Physical Therapist"/>
  </r>
  <r>
    <x v="303"/>
    <s v="Personnel"/>
    <s v="E "/>
    <x v="0"/>
    <x v="26"/>
    <s v="PSES Elem Prog21Duty49 S275"/>
    <x v="1"/>
    <s v="49"/>
    <s v="49"/>
    <m/>
    <m/>
    <n v="0"/>
    <m/>
    <n v="0"/>
    <s v="Elementary Behavior Analyst"/>
  </r>
  <r>
    <x v="303"/>
    <s v="Personnel"/>
    <s v="M "/>
    <x v="2"/>
    <x v="50"/>
    <s v="PSES Mid Prog21Duty49 S275"/>
    <x v="1"/>
    <s v="49"/>
    <s v="49"/>
    <m/>
    <m/>
    <n v="0"/>
    <m/>
    <n v="0"/>
    <s v="Middle Behavior Analyst"/>
  </r>
  <r>
    <x v="303"/>
    <s v="Personnel"/>
    <s v="H "/>
    <x v="1"/>
    <x v="55"/>
    <s v="PSES High Prog21Duty49 S275"/>
    <x v="1"/>
    <s v="49"/>
    <s v="49"/>
    <m/>
    <m/>
    <n v="0"/>
    <m/>
    <n v="0"/>
    <s v="High Behavior Analyst"/>
  </r>
  <r>
    <x v="303"/>
    <s v="Personnel"/>
    <s v="E "/>
    <x v="0"/>
    <x v="133"/>
    <s v="Elementary Behavior Analyst"/>
    <x v="2"/>
    <s v="49"/>
    <s v="49"/>
    <m/>
    <m/>
    <n v="0"/>
    <m/>
    <n v="0"/>
    <s v="Elementary Behavior Analyst"/>
  </r>
  <r>
    <x v="303"/>
    <s v="Personnel"/>
    <s v="M "/>
    <x v="2"/>
    <x v="134"/>
    <s v="Middle Behavior Analyst"/>
    <x v="2"/>
    <s v="49"/>
    <s v="49"/>
    <m/>
    <m/>
    <n v="0"/>
    <m/>
    <n v="0"/>
    <s v="Middle Behavior Analyst"/>
  </r>
  <r>
    <x v="303"/>
    <s v="Personnel"/>
    <s v="H "/>
    <x v="1"/>
    <x v="135"/>
    <s v="High Behavior Analyst"/>
    <x v="2"/>
    <s v="49"/>
    <s v="49"/>
    <m/>
    <m/>
    <n v="0"/>
    <m/>
    <n v="0"/>
    <s v="High Behavior Analyst"/>
  </r>
  <r>
    <x v="303"/>
    <s v="Personnel"/>
    <s v="E "/>
    <x v="0"/>
    <x v="136"/>
    <s v="TK Behavior Analyst"/>
    <x v="4"/>
    <s v="49"/>
    <s v="49"/>
    <m/>
    <m/>
    <n v="0"/>
    <m/>
    <n v="0"/>
    <s v="TK Behavior Analyst"/>
  </r>
  <r>
    <x v="303"/>
    <s v="Personnel"/>
    <s v="E "/>
    <x v="0"/>
    <x v="79"/>
    <s v="PSES Elem Prog01Duty49 S275"/>
    <x v="5"/>
    <s v="49"/>
    <s v="49"/>
    <m/>
    <m/>
    <n v="0"/>
    <m/>
    <n v="0"/>
    <s v="Elementary Behavior Analyst"/>
  </r>
  <r>
    <x v="303"/>
    <s v="Personnel"/>
    <s v="M "/>
    <x v="2"/>
    <x v="89"/>
    <s v="Middle Behavior Analyst"/>
    <x v="5"/>
    <s v="49"/>
    <s v="49"/>
    <m/>
    <m/>
    <n v="0"/>
    <m/>
    <n v="0"/>
    <s v="Middle Behavior Analyst"/>
  </r>
  <r>
    <x v="303"/>
    <s v="Personnel"/>
    <s v="H "/>
    <x v="1"/>
    <x v="68"/>
    <s v="PSES High Prog01Duty49 S275"/>
    <x v="5"/>
    <s v="49"/>
    <s v="49"/>
    <m/>
    <m/>
    <n v="0"/>
    <m/>
    <n v="0"/>
    <s v="High Behavior Analyst"/>
  </r>
  <r>
    <x v="303"/>
    <s v="Personnel"/>
    <s v="E "/>
    <x v="0"/>
    <x v="38"/>
    <s v="PSES Elem Prog21Duty64 S275"/>
    <x v="1"/>
    <s v="64"/>
    <s v="64"/>
    <m/>
    <m/>
    <n v="0"/>
    <m/>
    <n v="0"/>
    <s v="Elementary Contractor ESA"/>
  </r>
  <r>
    <x v="303"/>
    <s v="Personnel"/>
    <s v="M "/>
    <x v="2"/>
    <x v="60"/>
    <s v="PSES Mid Prog21Duty64 S275"/>
    <x v="1"/>
    <s v="64"/>
    <s v="64"/>
    <m/>
    <m/>
    <n v="0"/>
    <m/>
    <n v="0"/>
    <s v="Middle Contractor ESA"/>
  </r>
  <r>
    <x v="303"/>
    <s v="Personnel"/>
    <s v="H "/>
    <x v="1"/>
    <x v="59"/>
    <s v="PSES High Prog21Duty64 S275"/>
    <x v="1"/>
    <s v="64"/>
    <s v="64"/>
    <m/>
    <m/>
    <n v="0"/>
    <m/>
    <n v="0"/>
    <s v="High Contractor ESA"/>
  </r>
  <r>
    <x v="303"/>
    <s v="Personnel"/>
    <s v="E "/>
    <x v="0"/>
    <x v="137"/>
    <s v="Elementary Contractor ESA"/>
    <x v="2"/>
    <s v="64"/>
    <s v="64"/>
    <m/>
    <m/>
    <n v="0"/>
    <m/>
    <n v="0"/>
    <s v="Elementary Contractor ESA"/>
  </r>
  <r>
    <x v="303"/>
    <s v="Personnel"/>
    <s v="M "/>
    <x v="2"/>
    <x v="138"/>
    <s v="Middle Contractor ESA"/>
    <x v="2"/>
    <s v="64"/>
    <s v="64"/>
    <m/>
    <m/>
    <n v="0"/>
    <m/>
    <n v="0"/>
    <s v="Middle Contractor ESA"/>
  </r>
  <r>
    <x v="303"/>
    <s v="Personnel"/>
    <s v="H "/>
    <x v="1"/>
    <x v="139"/>
    <s v="High Contractor ESA"/>
    <x v="2"/>
    <s v="64"/>
    <s v="64"/>
    <m/>
    <m/>
    <n v="0"/>
    <m/>
    <n v="0"/>
    <s v="High Contractor ESA"/>
  </r>
  <r>
    <x v="303"/>
    <s v="Personnel"/>
    <s v="E "/>
    <x v="0"/>
    <x v="94"/>
    <s v="TK Contractor ESA"/>
    <x v="4"/>
    <s v="64"/>
    <s v="64"/>
    <m/>
    <m/>
    <n v="0"/>
    <m/>
    <n v="0"/>
    <s v="TK Contractor ESA"/>
  </r>
  <r>
    <x v="303"/>
    <s v="Personnel"/>
    <s v="E "/>
    <x v="0"/>
    <x v="39"/>
    <s v="PSES Elem Prog01Duty64 S275"/>
    <x v="5"/>
    <s v="64"/>
    <s v="64"/>
    <m/>
    <m/>
    <n v="0"/>
    <m/>
    <n v="0"/>
    <s v="Elementary Contractor ESA"/>
  </r>
  <r>
    <x v="303"/>
    <s v="Personnel"/>
    <s v="M "/>
    <x v="2"/>
    <x v="81"/>
    <s v="PSES Mid Prog01Duty64 S275"/>
    <x v="5"/>
    <s v="64"/>
    <s v="64"/>
    <m/>
    <m/>
    <n v="0"/>
    <m/>
    <n v="0"/>
    <s v="Middle Contractor ESA"/>
  </r>
  <r>
    <x v="303"/>
    <s v="Personnel"/>
    <s v="H "/>
    <x v="1"/>
    <x v="80"/>
    <s v="PSES High Prog01Duty64 S275"/>
    <x v="5"/>
    <s v="64"/>
    <s v="64"/>
    <m/>
    <m/>
    <n v="0"/>
    <m/>
    <n v="0"/>
    <s v="High Contractor ESA"/>
  </r>
  <r>
    <x v="304"/>
    <m/>
    <m/>
    <x v="3"/>
    <x v="140"/>
    <m/>
    <x v="6"/>
    <m/>
    <m/>
    <m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">
  <r>
    <x v="0"/>
    <s v="Freeman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"/>
    <n v="0"/>
    <n v="0"/>
    <n v="0"/>
    <n v="0"/>
    <n v="0"/>
    <n v="0"/>
    <n v="0"/>
    <n v="0"/>
    <n v="0"/>
    <n v="0"/>
    <n v="0"/>
    <n v="0"/>
    <n v="0"/>
    <n v="0.2"/>
    <n v="0"/>
    <n v="0"/>
    <n v="0"/>
    <n v="0"/>
    <n v="0"/>
    <n v="0"/>
    <n v="0"/>
    <n v="0"/>
    <n v="0"/>
    <n v="0"/>
    <n v="0"/>
    <n v="0"/>
    <n v="0"/>
    <n v="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North Franklin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099999999999995"/>
    <n v="0"/>
    <n v="1.667"/>
    <n v="0.57099999999999995"/>
    <n v="0.57099999999999995"/>
    <n v="0.57099999999999995"/>
    <n v="0"/>
    <n v="0"/>
    <n v="0"/>
    <n v="0"/>
    <n v="1"/>
    <n v="0"/>
    <n v="0"/>
    <n v="0"/>
    <n v="0.14299999999999999"/>
    <n v="0"/>
    <n v="0"/>
    <n v="0.14299999999999999"/>
    <n v="0.14299999999999999"/>
    <n v="0.14299999999999999"/>
    <n v="0"/>
    <n v="0"/>
    <n v="0"/>
    <n v="0"/>
    <n v="0"/>
    <n v="0"/>
    <n v="0"/>
    <n v="0"/>
    <n v="0.28599999999999998"/>
    <n v="0"/>
    <n v="0.33300000000000002"/>
    <n v="0.28599999999999998"/>
    <n v="0.28599999999999998"/>
    <n v="0.28599999999999998"/>
    <n v="0"/>
    <n v="0"/>
    <n v="0"/>
    <n v="0"/>
    <n v="0"/>
    <n v="0"/>
  </r>
  <r>
    <x v="2"/>
    <s v="West Valley (Yak)"/>
    <m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950000000000001"/>
    <n v="0"/>
    <n v="0"/>
    <n v="0"/>
    <n v="0"/>
    <n v="0"/>
    <n v="0"/>
    <n v="0"/>
    <n v="0"/>
    <n v="0"/>
    <n v="0"/>
    <n v="0"/>
    <n v="0"/>
    <n v="0"/>
    <n v="1.4950000000000001"/>
    <n v="0"/>
    <n v="0"/>
    <n v="0"/>
    <n v="0"/>
    <n v="0"/>
    <n v="0"/>
    <n v="0"/>
    <n v="0"/>
    <n v="0"/>
    <n v="0"/>
    <n v="0"/>
    <n v="0"/>
    <n v="0"/>
    <n v="1.4950000000000001"/>
    <n v="0"/>
    <n v="0"/>
    <n v="0"/>
    <n v="0"/>
  </r>
  <r>
    <x v="3"/>
    <s v="Colfax"/>
    <m/>
    <n v="0"/>
    <n v="0"/>
    <n v="0"/>
    <n v="0"/>
    <n v="0"/>
    <n v="0"/>
    <n v="0.65"/>
    <n v="0"/>
    <n v="0"/>
    <n v="0"/>
    <n v="0"/>
    <n v="0"/>
    <n v="0"/>
    <n v="0"/>
    <n v="0"/>
    <n v="0.33"/>
    <n v="0"/>
    <n v="0"/>
    <n v="0"/>
    <n v="0"/>
    <n v="0.18"/>
    <n v="0"/>
    <n v="0"/>
    <n v="0"/>
    <n v="0"/>
    <n v="0"/>
    <n v="0"/>
    <n v="0"/>
    <n v="0"/>
    <n v="0.67"/>
    <n v="0"/>
    <n v="0"/>
    <n v="0"/>
    <n v="0"/>
    <n v="0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000000000000001"/>
    <n v="0"/>
    <n v="0"/>
    <n v="0.24"/>
    <n v="0"/>
    <n v="0.06"/>
    <n v="0"/>
    <n v="0"/>
    <n v="0"/>
    <n v="0"/>
    <n v="0"/>
    <n v="0"/>
    <n v="0"/>
    <n v="0"/>
    <n v="0.02"/>
    <n v="0"/>
    <n v="0"/>
    <n v="0.08"/>
    <n v="0"/>
    <n v="0"/>
    <n v="0"/>
    <n v="0"/>
    <n v="0"/>
    <n v="0"/>
    <n v="0"/>
    <n v="0"/>
    <n v="0"/>
    <n v="0"/>
    <n v="0.06"/>
    <n v="0"/>
    <n v="0"/>
    <n v="0.19"/>
    <n v="0"/>
    <n v="0.04"/>
    <n v="0"/>
    <n v="0"/>
    <n v="0"/>
    <n v="0"/>
    <n v="0"/>
    <n v="0"/>
  </r>
  <r>
    <x v="4"/>
    <s v="Northport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8"/>
    <n v="0.02"/>
    <n v="0"/>
    <n v="0.08"/>
    <n v="0"/>
    <n v="0"/>
    <n v="0"/>
    <n v="0"/>
    <n v="0"/>
    <n v="0"/>
    <n v="0"/>
    <n v="0"/>
    <n v="0"/>
    <n v="0"/>
    <n v="0.08"/>
    <n v="0.02"/>
    <n v="0"/>
    <n v="0.08"/>
    <n v="0"/>
    <n v="0"/>
    <n v="0"/>
    <n v="0"/>
    <n v="0"/>
    <n v="0"/>
    <n v="0"/>
    <n v="0"/>
    <n v="0"/>
    <n v="0"/>
    <n v="0.08"/>
    <n v="0.02"/>
    <n v="0"/>
    <n v="0.08"/>
    <n v="0"/>
    <n v="0"/>
    <n v="0"/>
    <n v="0"/>
    <n v="0"/>
    <n v="0"/>
    <n v="0"/>
    <n v="0"/>
    <n v="0"/>
  </r>
  <r>
    <x v="5"/>
    <s v="Morton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"/>
    <n v="0"/>
    <n v="0.6"/>
    <n v="0"/>
    <n v="0"/>
    <n v="0.2"/>
    <n v="0"/>
    <n v="0"/>
    <n v="0"/>
    <n v="0"/>
    <n v="0"/>
    <n v="0"/>
    <n v="0"/>
    <n v="0"/>
    <n v="0"/>
    <n v="0"/>
    <n v="0.2"/>
    <n v="0"/>
    <n v="0"/>
    <n v="0"/>
    <n v="0"/>
    <n v="0"/>
    <n v="0"/>
    <n v="0"/>
    <n v="0"/>
    <n v="0"/>
    <n v="0"/>
    <n v="0"/>
    <n v="0.14000000000000001"/>
    <n v="0"/>
    <n v="0.4"/>
    <n v="0"/>
    <n v="0"/>
    <n v="0"/>
    <n v="0"/>
    <n v="0"/>
    <n v="0"/>
    <n v="0"/>
    <n v="0"/>
    <n v="0"/>
  </r>
  <r>
    <x v="6"/>
    <s v="Pioneer"/>
    <m/>
    <n v="0"/>
    <n v="0"/>
    <n v="0"/>
    <n v="0"/>
    <n v="0"/>
    <n v="0"/>
    <n v="0.46"/>
    <n v="0"/>
    <n v="0"/>
    <n v="0"/>
    <n v="0"/>
    <n v="0"/>
    <n v="0"/>
    <n v="0"/>
    <n v="0"/>
    <n v="0"/>
    <n v="0"/>
    <n v="0"/>
    <n v="0"/>
    <n v="0"/>
    <n v="0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0"/>
    <n v="1"/>
    <n v="0.66"/>
    <n v="0"/>
    <n v="0.125"/>
    <n v="0"/>
    <n v="0"/>
    <n v="0"/>
    <n v="0.46"/>
    <n v="0"/>
    <n v="0"/>
    <n v="0"/>
    <n v="0"/>
    <n v="0.34"/>
    <n v="0"/>
    <n v="0.7"/>
    <n v="0.34"/>
    <n v="0"/>
    <n v="0.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Ridgefield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Mary M Knight"/>
    <m/>
    <n v="0"/>
    <n v="0"/>
    <n v="0"/>
    <n v="0"/>
    <n v="0"/>
    <n v="0"/>
    <n v="0"/>
    <n v="0"/>
    <n v="0"/>
    <n v="0"/>
    <n v="0"/>
    <n v="0"/>
    <n v="0.25"/>
    <n v="0"/>
    <n v="0"/>
    <n v="0"/>
    <n v="0"/>
    <n v="0"/>
    <n v="0"/>
    <n v="0"/>
    <n v="0"/>
    <n v="0"/>
    <n v="0"/>
    <n v="0"/>
    <n v="0"/>
    <n v="0"/>
    <n v="9.2999999999999999E-2"/>
    <n v="0"/>
    <n v="0"/>
    <n v="0"/>
    <n v="0"/>
    <n v="0"/>
    <n v="0"/>
    <n v="0"/>
    <n v="0"/>
    <n v="0"/>
    <n v="0"/>
    <n v="0"/>
    <n v="0"/>
    <n v="0"/>
    <n v="0.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s v="Toledo"/>
    <m/>
    <n v="0"/>
    <n v="0"/>
    <n v="0"/>
    <n v="0"/>
    <n v="0"/>
    <n v="0"/>
    <n v="0.27"/>
    <n v="0"/>
    <n v="0"/>
    <n v="0"/>
    <n v="0"/>
    <n v="0.32"/>
    <n v="0"/>
    <n v="0"/>
    <n v="0"/>
    <n v="0"/>
    <n v="0"/>
    <n v="0"/>
    <n v="0"/>
    <n v="0"/>
    <n v="0.27"/>
    <n v="0"/>
    <n v="0"/>
    <n v="0"/>
    <n v="0"/>
    <n v="0.32"/>
    <n v="0"/>
    <n v="0"/>
    <n v="0"/>
    <n v="0"/>
    <n v="0"/>
    <n v="0"/>
    <n v="0"/>
    <n v="0"/>
    <n v="0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0"/>
    <n v="0.7"/>
    <n v="0.6"/>
    <n v="0"/>
    <n v="0.25"/>
    <n v="0"/>
    <n v="0"/>
    <n v="0"/>
    <n v="0.16"/>
    <n v="0"/>
    <n v="0"/>
    <n v="0"/>
    <n v="0"/>
    <n v="0.3"/>
    <n v="0"/>
    <n v="0.35"/>
    <n v="0.15"/>
    <n v="0"/>
    <n v="0"/>
    <n v="0"/>
    <n v="0"/>
    <n v="0"/>
    <n v="0.16"/>
    <n v="0"/>
    <n v="0"/>
    <n v="0"/>
    <n v="0"/>
    <n v="0.3"/>
    <n v="0"/>
    <n v="0.35"/>
    <n v="0.25"/>
    <n v="0"/>
    <n v="0"/>
    <n v="0"/>
    <n v="0"/>
    <n v="0"/>
    <n v="0.16"/>
    <n v="0"/>
    <n v="0"/>
  </r>
  <r>
    <x v="10"/>
    <s v="Washtucna"/>
    <m/>
    <n v="0"/>
    <n v="6.0999999999999999E-2"/>
    <n v="0"/>
    <n v="0"/>
    <n v="0"/>
    <n v="0"/>
    <n v="4.9000000000000002E-2"/>
    <n v="0"/>
    <n v="0"/>
    <n v="0"/>
    <n v="0"/>
    <n v="0"/>
    <n v="0"/>
    <n v="0"/>
    <n v="0"/>
    <n v="6.0999999999999999E-2"/>
    <n v="0"/>
    <n v="0"/>
    <n v="0"/>
    <n v="0"/>
    <n v="4.9000000000000002E-2"/>
    <n v="0"/>
    <n v="0"/>
    <n v="0"/>
    <n v="0"/>
    <n v="0"/>
    <n v="4.9000000000000002E-2"/>
    <n v="0"/>
    <n v="0"/>
    <n v="6.099999999999999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000000000000001E-2"/>
    <n v="0"/>
    <n v="3.2000000000000001E-2"/>
    <n v="0.01"/>
    <n v="0"/>
    <n v="0"/>
    <n v="0"/>
    <n v="0"/>
    <n v="0"/>
    <n v="0"/>
    <n v="0"/>
    <n v="0"/>
    <n v="0"/>
    <n v="0"/>
    <n v="0"/>
    <n v="0"/>
    <n v="3.1E-2"/>
    <n v="8.9999999999999993E-3"/>
    <n v="0"/>
    <n v="0"/>
    <n v="0"/>
    <n v="0"/>
    <n v="0"/>
    <n v="0"/>
    <n v="0"/>
    <n v="0"/>
    <n v="0"/>
    <n v="0"/>
    <n v="0"/>
    <n v="0"/>
    <n v="3.1E-2"/>
    <n v="8.9999999999999993E-3"/>
    <n v="0"/>
    <n v="0"/>
    <n v="0"/>
    <n v="0"/>
    <n v="0"/>
    <n v="0"/>
    <n v="0"/>
    <n v="0"/>
  </r>
  <r>
    <x v="11"/>
    <s v="Union Gap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000000000000003E-2"/>
    <n v="0"/>
    <n v="0"/>
    <n v="0"/>
    <n v="0"/>
    <n v="0"/>
    <n v="0"/>
    <n v="0"/>
    <n v="0"/>
    <n v="0"/>
    <n v="0"/>
    <n v="0"/>
    <n v="0"/>
    <n v="0"/>
    <n v="3.599999999999999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299999999999999"/>
    <n v="0"/>
    <n v="0"/>
    <n v="0"/>
    <n v="0.11"/>
    <n v="0"/>
    <n v="0"/>
    <n v="0"/>
    <n v="0"/>
    <n v="0"/>
    <n v="0"/>
    <n v="0"/>
    <n v="0"/>
    <n v="0"/>
    <n v="0.14299999999999999"/>
    <n v="0"/>
    <n v="0"/>
    <n v="0"/>
    <n v="0.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s v="Onalaska"/>
    <m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1"/>
    <n v="0.5"/>
    <n v="0"/>
    <n v="0.125"/>
    <n v="0"/>
    <n v="0"/>
    <n v="0"/>
    <n v="0"/>
    <n v="0"/>
    <n v="0"/>
    <n v="0"/>
    <n v="0"/>
    <n v="0.3"/>
    <n v="0"/>
    <n v="0.6"/>
    <n v="0.3"/>
    <n v="0"/>
    <n v="0"/>
    <n v="0"/>
    <n v="0"/>
    <n v="0"/>
    <n v="0"/>
    <n v="0"/>
    <n v="0"/>
    <n v="0"/>
    <n v="0"/>
    <n v="0.2"/>
    <n v="0"/>
    <n v="0.6"/>
    <n v="0.2"/>
    <n v="0"/>
    <n v="0"/>
    <n v="0"/>
    <n v="0"/>
    <n v="0"/>
    <n v="0"/>
    <n v="0"/>
    <n v="0"/>
  </r>
  <r>
    <x v="13"/>
    <s v="Satsop"/>
    <m/>
    <n v="0"/>
    <n v="0"/>
    <n v="0"/>
    <n v="0"/>
    <n v="0"/>
    <n v="0"/>
    <n v="0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"/>
    <n v="0"/>
    <n v="0.20599999999999999"/>
    <n v="0.12"/>
    <n v="0"/>
    <n v="0"/>
    <n v="0"/>
    <n v="1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Colton"/>
    <m/>
    <n v="0"/>
    <n v="1.4E-2"/>
    <n v="0"/>
    <n v="0"/>
    <n v="0"/>
    <n v="0"/>
    <n v="0"/>
    <n v="0"/>
    <n v="0"/>
    <n v="0"/>
    <n v="0"/>
    <n v="0"/>
    <n v="0"/>
    <n v="0"/>
    <n v="0"/>
    <n v="0.43"/>
    <n v="0"/>
    <n v="0"/>
    <n v="0"/>
    <n v="0"/>
    <n v="0"/>
    <n v="0"/>
    <n v="0"/>
    <n v="0"/>
    <n v="0"/>
    <n v="0"/>
    <n v="0"/>
    <n v="0"/>
    <n v="0"/>
    <n v="0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2"/>
    <n v="0"/>
    <n v="0.47"/>
    <n v="0.14000000000000001"/>
    <n v="0.28999999999999998"/>
    <n v="0"/>
    <n v="0"/>
    <n v="0"/>
    <n v="0"/>
    <n v="0"/>
    <n v="0"/>
    <n v="0"/>
    <n v="0"/>
    <n v="0"/>
    <n v="0.02"/>
    <n v="0"/>
    <n v="0"/>
    <n v="0.02"/>
    <n v="0.04"/>
    <n v="0"/>
    <n v="0"/>
    <n v="0"/>
    <n v="0"/>
    <n v="0"/>
    <n v="0"/>
    <n v="0"/>
    <n v="0"/>
    <n v="0"/>
    <n v="0"/>
    <n v="0"/>
    <n v="0"/>
    <n v="0.03"/>
    <n v="7.0000000000000007E-2"/>
    <n v="0"/>
    <n v="0"/>
    <n v="0"/>
    <n v="0"/>
    <n v="0"/>
    <n v="0"/>
    <n v="0"/>
  </r>
  <r>
    <x v="15"/>
    <s v="Naches Valley"/>
    <m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.3970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</r>
  <r>
    <x v="16"/>
    <s v="Tenino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0"/>
    <n v="1.35"/>
    <n v="1"/>
    <n v="0"/>
    <n v="0"/>
    <n v="0"/>
    <n v="0"/>
    <n v="0"/>
    <n v="0"/>
    <n v="0"/>
    <n v="0"/>
    <n v="0"/>
    <n v="0"/>
    <n v="0.2"/>
    <n v="0"/>
    <n v="0.69199999999999995"/>
    <n v="0"/>
    <n v="0"/>
    <n v="0"/>
    <n v="0"/>
    <n v="0"/>
    <n v="0"/>
    <n v="0"/>
    <n v="0"/>
    <n v="0"/>
    <n v="0"/>
    <n v="0"/>
    <n v="0.2"/>
    <n v="0"/>
    <n v="0.51800000000000002"/>
    <n v="1"/>
    <n v="0"/>
    <n v="0"/>
    <n v="1.05"/>
    <n v="0"/>
    <n v="0"/>
    <n v="0"/>
    <n v="0"/>
    <n v="0"/>
  </r>
  <r>
    <x v="17"/>
    <s v="Coupeville"/>
    <m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s v="Mc Cleary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00000000000002"/>
    <n v="0"/>
    <n v="0.35399999999999998"/>
    <n v="0.35399999999999998"/>
    <n v="0.11"/>
    <n v="0.17299999999999999"/>
    <n v="0"/>
    <n v="0"/>
    <n v="0"/>
    <n v="0"/>
    <n v="0"/>
    <n v="0"/>
    <n v="0"/>
    <n v="0"/>
    <n v="7.2999999999999995E-2"/>
    <n v="0"/>
    <n v="9.6000000000000002E-2"/>
    <n v="9.6000000000000002E-2"/>
    <n v="0.03"/>
    <n v="4.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s v="Oakville"/>
    <m/>
    <n v="0"/>
    <n v="0.33"/>
    <n v="0"/>
    <n v="0"/>
    <n v="0"/>
    <n v="0"/>
    <n v="0.108"/>
    <n v="0"/>
    <n v="0"/>
    <n v="0"/>
    <n v="0"/>
    <n v="0"/>
    <n v="0"/>
    <n v="0"/>
    <n v="0"/>
    <n v="0.33"/>
    <n v="0"/>
    <n v="0"/>
    <n v="0"/>
    <n v="0"/>
    <n v="0.03"/>
    <n v="0"/>
    <n v="0"/>
    <n v="0"/>
    <n v="0"/>
    <n v="0"/>
    <n v="0"/>
    <n v="0"/>
    <n v="0"/>
    <n v="0.33"/>
    <n v="0"/>
    <n v="0"/>
    <n v="0"/>
    <n v="0"/>
    <n v="6.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s v="Rainier"/>
    <m/>
    <n v="0"/>
    <n v="0"/>
    <n v="0"/>
    <n v="0"/>
    <n v="0"/>
    <n v="0"/>
    <n v="0.17"/>
    <n v="0"/>
    <n v="0"/>
    <n v="0"/>
    <n v="0"/>
    <n v="0"/>
    <n v="0"/>
    <n v="0"/>
    <n v="0"/>
    <n v="0"/>
    <n v="0"/>
    <n v="0"/>
    <n v="0"/>
    <n v="0"/>
    <n v="0.17"/>
    <n v="0"/>
    <n v="0"/>
    <n v="0"/>
    <n v="0"/>
    <n v="0"/>
    <n v="0"/>
    <n v="0"/>
    <n v="0"/>
    <n v="0"/>
    <n v="0"/>
    <n v="0"/>
    <n v="0"/>
    <n v="0"/>
    <n v="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"/>
    <n v="0"/>
    <n v="0.5"/>
    <n v="0.33"/>
    <n v="0"/>
    <n v="0.1"/>
    <n v="0"/>
    <n v="0"/>
    <n v="0"/>
    <n v="0"/>
    <n v="0"/>
    <n v="0"/>
    <n v="0"/>
    <n v="0"/>
    <n v="0"/>
    <n v="0"/>
    <n v="0.25"/>
    <n v="0.33"/>
    <n v="0"/>
    <n v="0.1"/>
    <n v="0"/>
    <n v="0"/>
    <n v="0"/>
    <n v="0"/>
    <n v="0"/>
    <n v="0"/>
    <n v="0"/>
    <n v="0"/>
    <n v="0"/>
    <n v="0"/>
    <n v="0"/>
    <n v="0.34"/>
    <n v="0"/>
    <n v="0.1"/>
    <n v="0"/>
    <n v="0"/>
    <n v="0"/>
    <n v="0"/>
    <n v="0"/>
    <n v="0"/>
  </r>
  <r>
    <x v="21"/>
    <s v="South Bend"/>
    <m/>
    <n v="0"/>
    <n v="0"/>
    <n v="0"/>
    <n v="0"/>
    <n v="0"/>
    <n v="0"/>
    <n v="0.26700000000000002"/>
    <n v="0"/>
    <n v="0"/>
    <n v="0"/>
    <n v="0"/>
    <n v="0"/>
    <n v="0"/>
    <n v="0"/>
    <n v="0"/>
    <n v="0"/>
    <n v="0"/>
    <n v="0"/>
    <n v="0"/>
    <n v="0"/>
    <n v="3.3000000000000002E-2"/>
    <n v="0"/>
    <n v="0"/>
    <n v="0"/>
    <n v="0"/>
    <n v="0"/>
    <n v="0"/>
    <n v="0"/>
    <n v="0"/>
    <n v="0"/>
    <n v="0"/>
    <n v="0"/>
    <n v="0"/>
    <n v="0"/>
    <n v="3.300000000000000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0.2"/>
    <n v="0"/>
    <n v="0.25"/>
    <n v="0"/>
    <n v="0"/>
    <n v="0"/>
    <n v="0"/>
    <n v="0"/>
    <n v="0"/>
    <n v="0"/>
    <n v="0"/>
    <n v="0"/>
    <n v="0"/>
    <n v="7.1999999999999995E-2"/>
    <n v="2.5000000000000001E-2"/>
    <n v="0"/>
    <n v="3.1E-2"/>
    <n v="0"/>
    <n v="0"/>
    <n v="0"/>
    <n v="0"/>
    <n v="0"/>
    <n v="0"/>
    <n v="0"/>
    <n v="0"/>
    <n v="0"/>
    <n v="0"/>
    <n v="7.1999999999999995E-2"/>
    <n v="2.5000000000000001E-2"/>
    <n v="0"/>
    <n v="3.1E-2"/>
    <n v="0"/>
    <n v="0"/>
    <n v="0"/>
    <n v="0"/>
    <n v="0"/>
    <n v="0"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m/>
    <n v="0"/>
    <n v="0"/>
    <n v="0.40500000000000003"/>
    <n v="0"/>
    <n v="0"/>
    <n v="0"/>
    <n v="0"/>
    <n v="3.1740000000000004"/>
    <n v="0"/>
    <n v="0"/>
    <n v="2"/>
    <n v="0"/>
    <n v="0.32"/>
    <n v="0.75"/>
    <n v="0"/>
    <n v="0"/>
    <n v="1.651"/>
    <n v="0"/>
    <n v="0"/>
    <n v="0"/>
    <n v="0"/>
    <n v="1.1919999999999999"/>
    <n v="0"/>
    <n v="0"/>
    <n v="3"/>
    <n v="1"/>
    <n v="0.32"/>
    <n v="0.14200000000000002"/>
    <n v="0"/>
    <n v="0"/>
    <n v="1.8780000000000001"/>
    <n v="0"/>
    <n v="0"/>
    <n v="0"/>
    <n v="0"/>
    <n v="0.91499999999999992"/>
    <n v="0"/>
    <n v="0"/>
    <n v="2"/>
    <n v="0"/>
    <n v="0"/>
    <n v="0.6069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3.5000000000000003E-2"/>
    <n v="0"/>
    <n v="0"/>
    <n v="0"/>
    <n v="0"/>
    <n v="0"/>
    <n v="0"/>
    <n v="0"/>
    <n v="0"/>
    <n v="0"/>
    <n v="0"/>
    <n v="0.7"/>
    <n v="0"/>
    <n v="0"/>
    <n v="3.5999999999999997E-2"/>
    <n v="0"/>
    <n v="0"/>
    <n v="0"/>
    <n v="0"/>
    <n v="0"/>
    <n v="0"/>
    <n v="0"/>
    <n v="0"/>
    <n v="0"/>
    <n v="0"/>
    <n v="0.7"/>
    <n v="0"/>
    <n v="0"/>
    <n v="0"/>
    <n v="0"/>
    <n v="0"/>
    <n v="0"/>
    <n v="0"/>
    <n v="0"/>
    <n v="0"/>
    <n v="0"/>
    <n v="0"/>
    <n v="0"/>
    <n v="0"/>
    <n v="2.4"/>
    <n v="0"/>
    <n v="0.08"/>
    <n v="5.2540000000000004"/>
    <n v="0"/>
    <n v="9.6769999999999978"/>
    <n v="4.7250000000000005"/>
    <n v="0.97099999999999997"/>
    <n v="1.8540000000000001"/>
    <n v="0.11"/>
    <n v="3.7050000000000001"/>
    <n v="0"/>
    <n v="0.62"/>
    <n v="1"/>
    <n v="0"/>
    <n v="0"/>
    <n v="0.08"/>
    <n v="1.4159999999999999"/>
    <n v="0"/>
    <n v="3.2140000000000004"/>
    <n v="1.4930000000000001"/>
    <n v="0.21299999999999999"/>
    <n v="0.44600000000000006"/>
    <n v="0.111"/>
    <n v="1.4950000000000001"/>
    <n v="0"/>
    <n v="0.16"/>
    <n v="0"/>
    <n v="0"/>
    <n v="0"/>
    <n v="0.08"/>
    <n v="1.206"/>
    <n v="0"/>
    <n v="2.3840000000000003"/>
    <n v="2.33"/>
    <n v="0.35599999999999998"/>
    <n v="0.45699999999999996"/>
    <n v="1.2"/>
    <n v="1.4950000000000001"/>
    <n v="0"/>
    <n v="0.16"/>
    <n v="0"/>
    <n v="0"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95">
  <r>
    <s v="01147"/>
    <x v="0"/>
    <s v="Personnel"/>
    <s v="E "/>
    <s v="Elementary Grade Group K-6"/>
    <s v="PS24ES"/>
    <s v="PSES Elem Prog01Duty96 S275"/>
    <n v="1"/>
    <x v="0"/>
    <n v="96"/>
    <n v="24"/>
    <s v="   "/>
    <n v="1.387"/>
    <n v="0.24879999999999999"/>
    <n v="0"/>
    <s v="Elementary Family Engagement Coordinator"/>
    <x v="0"/>
  </r>
  <r>
    <s v="01147"/>
    <x v="0"/>
    <s v="Personnel"/>
    <s v="H "/>
    <s v="High Grade Group 9-12"/>
    <s v="PS24HS"/>
    <s v="PSES High Prog01Duty96 S275"/>
    <n v="1"/>
    <x v="0"/>
    <n v="96"/>
    <n v="24"/>
    <s v="   "/>
    <n v="0.35199999999999998"/>
    <n v="0.24879999999999999"/>
    <n v="0"/>
    <s v="High Family Engagement Coordinator"/>
    <x v="0"/>
  </r>
  <r>
    <s v="01147"/>
    <x v="0"/>
    <s v="Personnel"/>
    <s v="M "/>
    <s v="Middle Grade Group 7-8"/>
    <s v="PS24MS"/>
    <s v="PSES Mid Prog01Duty96 S275"/>
    <n v="1"/>
    <x v="0"/>
    <n v="96"/>
    <n v="24"/>
    <s v="   "/>
    <n v="0.36299999999999999"/>
    <n v="0.24879999999999999"/>
    <n v="0"/>
    <s v="Middle Family Engagement Coordinator"/>
    <x v="0"/>
  </r>
  <r>
    <s v="01147"/>
    <x v="0"/>
    <s v="Personnel"/>
    <s v="E "/>
    <s v="Elementary Grade Group K-6"/>
    <s v="PS25ES"/>
    <s v="PSES Elem Prog01Act25 S275"/>
    <n v="1"/>
    <x v="1"/>
    <m/>
    <n v="25"/>
    <s v="   "/>
    <n v="7.2370000000000001"/>
    <n v="0.24879999999999999"/>
    <n v="0"/>
    <s v="Elementary Pupil Management"/>
    <x v="1"/>
  </r>
  <r>
    <s v="01147"/>
    <x v="0"/>
    <s v="Personnel"/>
    <s v="H "/>
    <s v="High Grade Group 9-12"/>
    <s v="PS25H21S"/>
    <s v="PSES High Prog21Act25 S275"/>
    <n v="21"/>
    <x v="1"/>
    <m/>
    <n v="25"/>
    <s v="   "/>
    <n v="3.8879999999999999"/>
    <n v="0.24879999999999999"/>
    <n v="0.96699999999999997"/>
    <s v="High Pupil Management"/>
    <x v="1"/>
  </r>
  <r>
    <s v="01147"/>
    <x v="0"/>
    <s v="Personnel"/>
    <s v="H "/>
    <s v="High Grade Group 9-12"/>
    <s v="PS25HS"/>
    <s v="PSES High Prog01Act25 S275"/>
    <n v="1"/>
    <x v="1"/>
    <m/>
    <n v="25"/>
    <s v="   "/>
    <n v="0.50600000000000001"/>
    <n v="0.24879999999999999"/>
    <n v="0"/>
    <s v="High Pupil Management"/>
    <x v="1"/>
  </r>
  <r>
    <s v="01147"/>
    <x v="0"/>
    <s v="Personnel"/>
    <s v="M "/>
    <s v="Middle Grade Group 7-8"/>
    <s v="PS25MS"/>
    <s v="PSES Mid Prog01Act25 S275"/>
    <n v="1"/>
    <x v="1"/>
    <m/>
    <n v="25"/>
    <s v="   "/>
    <n v="0.495"/>
    <n v="0.24879999999999999"/>
    <n v="0"/>
    <s v="Middle Pupil Management"/>
    <x v="1"/>
  </r>
  <r>
    <s v="01147"/>
    <x v="0"/>
    <s v="Personnel"/>
    <s v="E "/>
    <s v="Elementary Grade Group K-6"/>
    <s v="PS26E21S"/>
    <s v="PSES Elem Prog21Act26 S275"/>
    <n v="21"/>
    <x v="2"/>
    <m/>
    <n v="26"/>
    <s v="   "/>
    <n v="1.3140000000000001"/>
    <n v="0.24879999999999999"/>
    <n v="0.32700000000000001"/>
    <s v="Elementary Health/_x000a_Related Services"/>
    <x v="2"/>
  </r>
  <r>
    <s v="01147"/>
    <x v="0"/>
    <s v="Personnel"/>
    <s v="E "/>
    <s v="Elementary Grade Group K-6"/>
    <s v="PS26ES"/>
    <s v="PSES Elem Prog01Act26 S275"/>
    <n v="1"/>
    <x v="2"/>
    <m/>
    <n v="26"/>
    <s v="   "/>
    <n v="2.3239999999999998"/>
    <n v="0.24879999999999999"/>
    <n v="0"/>
    <s v="Elementary Health/_x000a_Related Services"/>
    <x v="2"/>
  </r>
  <r>
    <s v="01147"/>
    <x v="0"/>
    <s v="Personnel"/>
    <s v="H "/>
    <s v="High Grade Group 9-12"/>
    <s v="PS26HS"/>
    <s v="PSES High Prog01Act26 S275"/>
    <n v="1"/>
    <x v="2"/>
    <m/>
    <n v="26"/>
    <s v="   "/>
    <n v="0.2"/>
    <n v="0.24879999999999999"/>
    <n v="0"/>
    <s v="High Health/_x000a_Related Services"/>
    <x v="2"/>
  </r>
  <r>
    <s v="01147"/>
    <x v="0"/>
    <s v="Personnel"/>
    <s v="M "/>
    <s v="Middle Grade Group 7-8"/>
    <s v="PS26M21S"/>
    <s v="PSES Mid Prog21Act26 S275"/>
    <n v="21"/>
    <x v="2"/>
    <m/>
    <n v="26"/>
    <s v="   "/>
    <n v="0.25"/>
    <n v="0.24879999999999999"/>
    <n v="6.2E-2"/>
    <s v="Middle Health/_x000a_Related Services"/>
    <x v="2"/>
  </r>
  <r>
    <s v="01147"/>
    <x v="0"/>
    <s v="Personnel"/>
    <s v="M "/>
    <s v="Middle Grade Group 7-8"/>
    <s v="PS26MS"/>
    <s v="PSES Mid Prog01Act26 S275"/>
    <n v="1"/>
    <x v="2"/>
    <m/>
    <n v="26"/>
    <s v="   "/>
    <n v="0.58099999999999996"/>
    <n v="0.24879999999999999"/>
    <n v="0"/>
    <s v="Middle Health/_x000a_Related Services"/>
    <x v="2"/>
  </r>
  <r>
    <s v="01147"/>
    <x v="0"/>
    <s v="Personnel"/>
    <s v="H "/>
    <s v="High Grade Group 9-12"/>
    <s v="PS35H97S"/>
    <s v="PSES High Prog97Act35 S275"/>
    <n v="97"/>
    <x v="3"/>
    <m/>
    <n v="35"/>
    <s v="   "/>
    <n v="1.84"/>
    <n v="0.24879999999999999"/>
    <n v="0"/>
    <s v="High Pupil Safety"/>
    <x v="3"/>
  </r>
  <r>
    <s v="01147"/>
    <x v="0"/>
    <s v="Personnel"/>
    <s v="M "/>
    <s v="Middle Grade Group 7-8"/>
    <s v="PS35M97S"/>
    <s v="PSES Mid Prog97Act35 S275"/>
    <n v="97"/>
    <x v="3"/>
    <m/>
    <n v="35"/>
    <s v="   "/>
    <n v="1.3009999999999999"/>
    <n v="0.24879999999999999"/>
    <n v="0"/>
    <s v="Middle Pupil Safety"/>
    <x v="3"/>
  </r>
  <r>
    <s v="01147"/>
    <x v="0"/>
    <s v="Personnel"/>
    <s v="E "/>
    <s v="Elementary Grade Group K-6"/>
    <s v="PS39E21S"/>
    <s v="PSES Elem Prog21Duty39 S275"/>
    <n v="21"/>
    <x v="4"/>
    <n v="39"/>
    <m/>
    <s v="   "/>
    <n v="1"/>
    <n v="0.24879999999999999"/>
    <n v="0.249"/>
    <s v="Elementary Orientation &amp; Mobility Specialist"/>
    <x v="4"/>
  </r>
  <r>
    <s v="01147"/>
    <x v="0"/>
    <s v="Personnel"/>
    <s v="E "/>
    <s v="Elementary Grade Group K-6"/>
    <s v="PS42ES"/>
    <s v="PSES Elem Prog01Duty42 S275"/>
    <n v="1"/>
    <x v="5"/>
    <n v="42"/>
    <m/>
    <s v="   "/>
    <n v="1.8"/>
    <n v="0.24879999999999999"/>
    <n v="0"/>
    <s v="Elementary Counselor"/>
    <x v="5"/>
  </r>
  <r>
    <s v="01147"/>
    <x v="0"/>
    <s v="Personnel"/>
    <s v="H "/>
    <s v="High Grade Group 9-12"/>
    <s v="PS42HS"/>
    <s v="PSES High Prog01Duty42 S275"/>
    <n v="1"/>
    <x v="5"/>
    <n v="42"/>
    <m/>
    <s v="   "/>
    <n v="2.5299999999999998"/>
    <n v="0.24879999999999999"/>
    <n v="0"/>
    <s v="High Counselor"/>
    <x v="5"/>
  </r>
  <r>
    <s v="01147"/>
    <x v="0"/>
    <s v="Personnel"/>
    <s v="M "/>
    <s v="Middle Grade Group 7-8"/>
    <s v="PS42MS"/>
    <s v="PSES Mid Prog01Duty42 S275"/>
    <n v="1"/>
    <x v="5"/>
    <n v="42"/>
    <m/>
    <s v="   "/>
    <n v="2.25"/>
    <n v="0.24879999999999999"/>
    <n v="0"/>
    <s v="Middle Counselor"/>
    <x v="5"/>
  </r>
  <r>
    <s v="01147"/>
    <x v="0"/>
    <s v="Personnel"/>
    <s v="E "/>
    <s v="Elementary Grade Group K-6"/>
    <s v="PS43E21S"/>
    <s v="PSES Elem Prog21Duty43 S275"/>
    <n v="21"/>
    <x v="6"/>
    <n v="43"/>
    <m/>
    <s v="   "/>
    <n v="0.75"/>
    <n v="0.24879999999999999"/>
    <n v="0.187"/>
    <s v="Elementary Occupational Therapist"/>
    <x v="6"/>
  </r>
  <r>
    <s v="01147"/>
    <x v="0"/>
    <s v="Personnel"/>
    <s v="H "/>
    <s v="High Grade Group 9-12"/>
    <s v="PS43H21S"/>
    <s v="PSES High Prog21Duty43 S275"/>
    <n v="21"/>
    <x v="6"/>
    <n v="43"/>
    <m/>
    <s v="   "/>
    <n v="0.25"/>
    <n v="0.24879999999999999"/>
    <n v="6.2E-2"/>
    <s v="High Occupational Therapist"/>
    <x v="6"/>
  </r>
  <r>
    <s v="01147"/>
    <x v="0"/>
    <s v="Personnel"/>
    <s v="E "/>
    <s v="Elementary Grade Group K-6"/>
    <s v="PS45E21S"/>
    <s v="PSES Elem Prog21Duty45 S275"/>
    <n v="21"/>
    <x v="7"/>
    <n v="45"/>
    <m/>
    <s v="   "/>
    <n v="2.782"/>
    <n v="0.24879999999999999"/>
    <n v="0.69199999999999995"/>
    <s v="Elementary Speech, Language Pathway/_x000a_Audio"/>
    <x v="7"/>
  </r>
  <r>
    <s v="01147"/>
    <x v="0"/>
    <s v="Personnel"/>
    <s v="H "/>
    <s v="High Grade Group 9-12"/>
    <s v="PS45H21S"/>
    <s v="PSES High Prog21Duty45 S275"/>
    <n v="21"/>
    <x v="7"/>
    <n v="45"/>
    <m/>
    <s v="   "/>
    <n v="0.46"/>
    <n v="0.24879999999999999"/>
    <n v="0.114"/>
    <s v="High Speech, Language Pathway/_x000a_Audio"/>
    <x v="7"/>
  </r>
  <r>
    <s v="01147"/>
    <x v="0"/>
    <s v="Personnel"/>
    <s v="E "/>
    <s v="Elementary Grade Group K-6"/>
    <s v="PS46E21S"/>
    <s v="PSES Elem Prog21Duty46 S275"/>
    <n v="21"/>
    <x v="8"/>
    <n v="46"/>
    <m/>
    <s v="   "/>
    <n v="2"/>
    <n v="0.24879999999999999"/>
    <n v="0.498"/>
    <s v="Elementary Psychologist"/>
    <x v="8"/>
  </r>
  <r>
    <s v="01147"/>
    <x v="0"/>
    <s v="Personnel"/>
    <s v="H "/>
    <s v="High Grade Group 9-12"/>
    <s v="PS46H21S"/>
    <s v="PSES High Prog21Duty46 S275"/>
    <n v="21"/>
    <x v="8"/>
    <n v="46"/>
    <m/>
    <s v="   "/>
    <n v="1.4"/>
    <n v="0.24879999999999999"/>
    <n v="0.34799999999999998"/>
    <s v="High Psychologist"/>
    <x v="8"/>
  </r>
  <r>
    <s v="01147"/>
    <x v="0"/>
    <s v="Personnel"/>
    <s v="M "/>
    <s v="Middle Grade Group 7-8"/>
    <s v="PS46M21S"/>
    <s v="PSES Mid Prog21Duty46 S275"/>
    <n v="21"/>
    <x v="8"/>
    <n v="46"/>
    <m/>
    <s v="   "/>
    <n v="0.6"/>
    <n v="0.24879999999999999"/>
    <n v="0.14899999999999999"/>
    <s v="Middle Psychologist"/>
    <x v="8"/>
  </r>
  <r>
    <s v="01147"/>
    <x v="0"/>
    <s v="Personnel"/>
    <s v="H "/>
    <s v="High Grade Group 9-12"/>
    <s v="PS47HS"/>
    <s v="PSES High Prog01Duty47 S275"/>
    <n v="1"/>
    <x v="9"/>
    <n v="47"/>
    <m/>
    <s v="   "/>
    <n v="1"/>
    <n v="0.24879999999999999"/>
    <n v="0"/>
    <s v="High Nurse"/>
    <x v="9"/>
  </r>
  <r>
    <s v="01147"/>
    <x v="0"/>
    <s v="Personnel"/>
    <s v="E "/>
    <s v="Elementary Grade Group K-6"/>
    <s v="PS49E21S"/>
    <s v="PSES Elem Prog21Duty49 S275"/>
    <n v="21"/>
    <x v="10"/>
    <n v="49"/>
    <m/>
    <s v="   "/>
    <n v="1"/>
    <n v="0.24879999999999999"/>
    <n v="0.249"/>
    <s v="Elementary Behavior Analyst"/>
    <x v="10"/>
  </r>
  <r>
    <s v="01158"/>
    <x v="1"/>
    <s v="Personnel"/>
    <s v="E "/>
    <s v="Elementary Grade Group K-6"/>
    <s v="PS25ES"/>
    <s v="PSES Elem Prog01Act25 S275"/>
    <n v="1"/>
    <x v="1"/>
    <m/>
    <n v="25"/>
    <s v="   "/>
    <n v="0.17799999999999999"/>
    <n v="0.14000000000000001"/>
    <n v="0"/>
    <s v="Elementary Pupil Management"/>
    <x v="1"/>
  </r>
  <r>
    <s v="01158"/>
    <x v="1"/>
    <s v="Personnel"/>
    <s v="M "/>
    <s v="Middle Grade Group 7-8"/>
    <s v="PS25MS"/>
    <s v="PSES Mid Prog01Act25 S275"/>
    <n v="1"/>
    <x v="1"/>
    <m/>
    <n v="25"/>
    <s v="   "/>
    <n v="5.6000000000000001E-2"/>
    <n v="0.14000000000000001"/>
    <n v="0"/>
    <s v="Middle Pupil Management"/>
    <x v="1"/>
  </r>
  <r>
    <s v="01158"/>
    <x v="1"/>
    <s v="Personnel"/>
    <s v="E "/>
    <s v="Elementary Grade Group K-6"/>
    <s v="PS26ES"/>
    <s v="PSES Elem Prog01Act26 S275"/>
    <n v="1"/>
    <x v="2"/>
    <m/>
    <n v="26"/>
    <s v="   "/>
    <n v="0.27700000000000002"/>
    <n v="0.14000000000000001"/>
    <n v="0"/>
    <s v="Elementary Health/_x000a_Related Services"/>
    <x v="2"/>
  </r>
  <r>
    <s v="01158"/>
    <x v="1"/>
    <s v="Personnel"/>
    <s v="H "/>
    <s v="High Grade Group 9-12"/>
    <s v="PS26HS"/>
    <s v="PSES High Prog01Act26 S275"/>
    <n v="1"/>
    <x v="2"/>
    <m/>
    <n v="26"/>
    <s v="   "/>
    <n v="0.14599999999999999"/>
    <n v="0.14000000000000001"/>
    <n v="0"/>
    <s v="High Health/_x000a_Related Services"/>
    <x v="2"/>
  </r>
  <r>
    <s v="01158"/>
    <x v="1"/>
    <s v="Personnel"/>
    <s v="M "/>
    <s v="Middle Grade Group 7-8"/>
    <s v="PS26MS"/>
    <s v="PSES Mid Prog01Act26 S275"/>
    <n v="1"/>
    <x v="2"/>
    <m/>
    <n v="26"/>
    <s v="   "/>
    <n v="0.16900000000000001"/>
    <n v="0.14000000000000001"/>
    <n v="0"/>
    <s v="Middle Health/_x000a_Related Services"/>
    <x v="2"/>
  </r>
  <r>
    <s v="01158"/>
    <x v="1"/>
    <s v="Personnel"/>
    <s v="E "/>
    <s v="Elementary Grade Group K-6"/>
    <s v="PS42ES"/>
    <s v="PSES Elem Prog01Duty42 S275"/>
    <n v="1"/>
    <x v="5"/>
    <n v="42"/>
    <m/>
    <s v="   "/>
    <n v="0.96199999999999997"/>
    <n v="0.14000000000000001"/>
    <n v="0"/>
    <s v="Elementary Counselor"/>
    <x v="5"/>
  </r>
  <r>
    <s v="01158"/>
    <x v="1"/>
    <s v="Personnel"/>
    <s v="M "/>
    <s v="Middle Grade Group 7-8"/>
    <s v="PS42MS"/>
    <s v="PSES Mid Prog01Duty42 S275"/>
    <n v="1"/>
    <x v="5"/>
    <n v="42"/>
    <m/>
    <s v="   "/>
    <n v="0.755"/>
    <n v="0.14000000000000001"/>
    <n v="0"/>
    <s v="Middle Counselor"/>
    <x v="5"/>
  </r>
  <r>
    <s v="01160"/>
    <x v="2"/>
    <s v="Personnel"/>
    <s v="E "/>
    <s v="Elementary Grade Group K-6"/>
    <s v="PS25ES"/>
    <s v="PSES Elem Prog01Act25 S275"/>
    <n v="1"/>
    <x v="1"/>
    <m/>
    <n v="25"/>
    <s v="   "/>
    <n v="0.86599999999999999"/>
    <n v="0.15029999999999999"/>
    <n v="0"/>
    <s v="Elementary Pupil Management"/>
    <x v="1"/>
  </r>
  <r>
    <s v="01160"/>
    <x v="2"/>
    <s v="Personnel"/>
    <s v="H "/>
    <s v="High Grade Group 9-12"/>
    <s v="PS25HS"/>
    <s v="PSES High Prog01Act25 S275"/>
    <n v="1"/>
    <x v="1"/>
    <m/>
    <n v="25"/>
    <s v="   "/>
    <n v="4.2000000000000003E-2"/>
    <n v="0.15029999999999999"/>
    <n v="0"/>
    <s v="High Pupil Management"/>
    <x v="1"/>
  </r>
  <r>
    <s v="01160"/>
    <x v="2"/>
    <s v="Personnel"/>
    <s v="E "/>
    <s v="Elementary Grade Group K-6"/>
    <s v="PS26ES"/>
    <s v="PSES Elem Prog01Act26 S275"/>
    <n v="1"/>
    <x v="2"/>
    <m/>
    <n v="26"/>
    <s v="   "/>
    <n v="0.59899999999999998"/>
    <n v="0.15029999999999999"/>
    <n v="0"/>
    <s v="Elementary Health/_x000a_Related Services"/>
    <x v="2"/>
  </r>
  <r>
    <s v="01160"/>
    <x v="2"/>
    <s v="Personnel"/>
    <s v="H "/>
    <s v="High Grade Group 9-12"/>
    <s v="PS42HS"/>
    <s v="PSES High Prog01Duty42 S275"/>
    <n v="1"/>
    <x v="5"/>
    <n v="42"/>
    <m/>
    <s v="   "/>
    <n v="0.625"/>
    <n v="0.15029999999999999"/>
    <n v="0"/>
    <s v="High Counselor"/>
    <x v="5"/>
  </r>
  <r>
    <s v="02250"/>
    <x v="3"/>
    <s v="Personnel"/>
    <s v="E "/>
    <s v="Elementary Grade Group K-6"/>
    <s v="PS25ES"/>
    <s v="PSES Elem Prog01Act25 S275"/>
    <n v="1"/>
    <x v="1"/>
    <m/>
    <n v="25"/>
    <s v="   "/>
    <n v="0.14000000000000001"/>
    <n v="0.22459999999999999"/>
    <n v="0"/>
    <s v="Elementary Pupil Management"/>
    <x v="1"/>
  </r>
  <r>
    <s v="02250"/>
    <x v="3"/>
    <s v="Personnel"/>
    <s v="H "/>
    <s v="High Grade Group 9-12"/>
    <s v="PS25H21S"/>
    <s v="PSES High Prog21Act25 S275"/>
    <n v="21"/>
    <x v="1"/>
    <m/>
    <n v="25"/>
    <s v="   "/>
    <n v="3.9E-2"/>
    <n v="0.22459999999999999"/>
    <n v="8.9999999999999993E-3"/>
    <s v="High Pupil Management"/>
    <x v="1"/>
  </r>
  <r>
    <s v="02250"/>
    <x v="3"/>
    <s v="Personnel"/>
    <s v="H "/>
    <s v="High Grade Group 9-12"/>
    <s v="PS25HS"/>
    <s v="PSES High Prog01Act25 S275"/>
    <n v="1"/>
    <x v="1"/>
    <m/>
    <n v="25"/>
    <s v="   "/>
    <n v="0.69199999999999995"/>
    <n v="0.22459999999999999"/>
    <n v="0"/>
    <s v="High Pupil Management"/>
    <x v="1"/>
  </r>
  <r>
    <s v="02250"/>
    <x v="3"/>
    <s v="Personnel"/>
    <s v="E "/>
    <s v="Elementary Grade Group K-6"/>
    <s v="PS26E21S"/>
    <s v="PSES Elem Prog21Act26 S275"/>
    <n v="21"/>
    <x v="2"/>
    <m/>
    <n v="26"/>
    <s v="   "/>
    <n v="0.496"/>
    <n v="0.22459999999999999"/>
    <n v="0.111"/>
    <s v="Elementary Health/_x000a_Related Services"/>
    <x v="2"/>
  </r>
  <r>
    <s v="02250"/>
    <x v="3"/>
    <s v="Personnel"/>
    <s v="H "/>
    <s v="High Grade Group 9-12"/>
    <s v="PS26HS"/>
    <s v="PSES High Prog01Act26 S275"/>
    <n v="1"/>
    <x v="2"/>
    <m/>
    <n v="26"/>
    <s v="   "/>
    <n v="3.0310000000000001"/>
    <n v="0.22459999999999999"/>
    <n v="0"/>
    <s v="High Health/_x000a_Related Services"/>
    <x v="2"/>
  </r>
  <r>
    <s v="02250"/>
    <x v="3"/>
    <s v="Personnel"/>
    <s v="H "/>
    <s v="High Grade Group 9-12"/>
    <s v="PS42HS"/>
    <s v="PSES High Prog01Duty42 S275"/>
    <n v="1"/>
    <x v="5"/>
    <n v="42"/>
    <m/>
    <s v="   "/>
    <n v="1.5"/>
    <n v="0.22459999999999999"/>
    <n v="0"/>
    <s v="High Counselor"/>
    <x v="5"/>
  </r>
  <r>
    <s v="02250"/>
    <x v="3"/>
    <s v="Personnel"/>
    <s v="M "/>
    <s v="Middle Grade Group 7-8"/>
    <s v="PS42MS"/>
    <s v="PSES Mid Prog01Duty42 S275"/>
    <n v="1"/>
    <x v="5"/>
    <n v="42"/>
    <m/>
    <s v="   "/>
    <n v="0.6"/>
    <n v="0.22459999999999999"/>
    <n v="0"/>
    <s v="Middle Counselor"/>
    <x v="5"/>
  </r>
  <r>
    <s v="02250"/>
    <x v="3"/>
    <s v="Personnel"/>
    <s v="E "/>
    <s v="Elementary Grade Group K-6"/>
    <s v="PS43E21S"/>
    <s v="PSES Elem Prog21Duty43 S275"/>
    <n v="21"/>
    <x v="6"/>
    <n v="43"/>
    <m/>
    <s v="   "/>
    <n v="1.857"/>
    <n v="0.22459999999999999"/>
    <n v="0.41699999999999998"/>
    <s v="Elementary Occupational Therapist"/>
    <x v="6"/>
  </r>
  <r>
    <s v="02250"/>
    <x v="3"/>
    <s v="Personnel"/>
    <s v="H "/>
    <s v="High Grade Group 9-12"/>
    <s v="PS43H21S"/>
    <s v="PSES High Prog21Duty43 S275"/>
    <n v="21"/>
    <x v="6"/>
    <n v="43"/>
    <m/>
    <s v="   "/>
    <n v="8.3000000000000004E-2"/>
    <n v="0.22459999999999999"/>
    <n v="1.9E-2"/>
    <s v="High Occupational Therapist"/>
    <x v="6"/>
  </r>
  <r>
    <s v="02250"/>
    <x v="3"/>
    <s v="Personnel"/>
    <s v="E "/>
    <s v="Elementary Grade Group K-6"/>
    <s v="PS45E21S"/>
    <s v="PSES Elem Prog21Duty45 S275"/>
    <n v="21"/>
    <x v="7"/>
    <n v="45"/>
    <m/>
    <s v="   "/>
    <n v="3.581"/>
    <n v="0.22459999999999999"/>
    <n v="0.80400000000000005"/>
    <s v="Elementary Speech, Language Pathway/_x000a_Audio"/>
    <x v="7"/>
  </r>
  <r>
    <s v="02250"/>
    <x v="3"/>
    <s v="Personnel"/>
    <s v="E "/>
    <s v="Elementary Grade Group K-6"/>
    <s v="PS46E21S"/>
    <s v="PSES Elem Prog21Duty46 S275"/>
    <n v="21"/>
    <x v="8"/>
    <n v="46"/>
    <m/>
    <s v="   "/>
    <n v="2.012"/>
    <n v="0.22459999999999999"/>
    <n v="0.45200000000000001"/>
    <s v="Elementary Psychologist"/>
    <x v="8"/>
  </r>
  <r>
    <s v="02250"/>
    <x v="3"/>
    <s v="Personnel"/>
    <s v="H "/>
    <s v="High Grade Group 9-12"/>
    <s v="PS46H21S"/>
    <s v="PSES High Prog21Duty46 S275"/>
    <n v="21"/>
    <x v="8"/>
    <n v="46"/>
    <m/>
    <s v="   "/>
    <n v="0.70099999999999996"/>
    <n v="0.22459999999999999"/>
    <n v="0.157"/>
    <s v="High Psychologist"/>
    <x v="8"/>
  </r>
  <r>
    <s v="02250"/>
    <x v="3"/>
    <s v="Personnel"/>
    <s v="M "/>
    <s v="Middle Grade Group 7-8"/>
    <s v="PS46M21S"/>
    <s v="PSES Mid Prog21Duty46 S275"/>
    <n v="21"/>
    <x v="8"/>
    <n v="46"/>
    <m/>
    <s v="   "/>
    <n v="0.28699999999999998"/>
    <n v="0.22459999999999999"/>
    <n v="6.4000000000000001E-2"/>
    <s v="Middle Psychologist"/>
    <x v="8"/>
  </r>
  <r>
    <s v="02250"/>
    <x v="3"/>
    <s v="Personnel"/>
    <s v="E "/>
    <s v="Elementary Grade Group K-6"/>
    <s v="PS47ES"/>
    <s v="PSES Elem Prog01Duty47 S275"/>
    <n v="1"/>
    <x v="9"/>
    <n v="47"/>
    <m/>
    <s v="   "/>
    <n v="1"/>
    <n v="0.22459999999999999"/>
    <n v="0"/>
    <s v="Elementary Nurse"/>
    <x v="9"/>
  </r>
  <r>
    <s v="02420"/>
    <x v="4"/>
    <s v="Personnel"/>
    <s v="E "/>
    <s v="Elementary Grade Group K-6"/>
    <s v="PS25ES"/>
    <s v="PSES Elem Prog01Act25 S275"/>
    <n v="1"/>
    <x v="1"/>
    <m/>
    <n v="25"/>
    <s v="   "/>
    <n v="1.319"/>
    <n v="0.21659999999999999"/>
    <n v="0"/>
    <s v="Elementary Pupil Management"/>
    <x v="1"/>
  </r>
  <r>
    <s v="02420"/>
    <x v="4"/>
    <s v="Personnel"/>
    <s v="H "/>
    <s v="High Grade Group 9-12"/>
    <s v="PS25HS"/>
    <s v="PSES High Prog01Act25 S275"/>
    <n v="1"/>
    <x v="1"/>
    <m/>
    <n v="25"/>
    <s v="   "/>
    <n v="7.5999999999999998E-2"/>
    <n v="0.21659999999999999"/>
    <n v="0"/>
    <s v="High Pupil Management"/>
    <x v="1"/>
  </r>
  <r>
    <s v="02420"/>
    <x v="4"/>
    <s v="Personnel"/>
    <s v="M "/>
    <s v="Middle Grade Group 7-8"/>
    <s v="PS25MS"/>
    <s v="PSES Mid Prog01Act25 S275"/>
    <n v="1"/>
    <x v="1"/>
    <m/>
    <n v="25"/>
    <s v="   "/>
    <n v="2E-3"/>
    <n v="0.21659999999999999"/>
    <n v="0"/>
    <s v="Middle Pupil Management"/>
    <x v="1"/>
  </r>
  <r>
    <s v="02420"/>
    <x v="4"/>
    <s v="Personnel"/>
    <s v="E "/>
    <s v="Elementary Grade Group K-6"/>
    <s v="PS42ES"/>
    <s v="PSES Elem Prog01Duty42 S275"/>
    <n v="1"/>
    <x v="5"/>
    <n v="42"/>
    <m/>
    <s v="   "/>
    <n v="0.499"/>
    <n v="0.21659999999999999"/>
    <n v="0"/>
    <s v="Elementary Counselor"/>
    <x v="5"/>
  </r>
  <r>
    <s v="02420"/>
    <x v="4"/>
    <s v="Personnel"/>
    <s v="H "/>
    <s v="High Grade Group 9-12"/>
    <s v="PS42HS"/>
    <s v="PSES High Prog01Duty42 S275"/>
    <n v="1"/>
    <x v="5"/>
    <n v="42"/>
    <m/>
    <s v="   "/>
    <n v="0.8"/>
    <n v="0.21659999999999999"/>
    <n v="0"/>
    <s v="High Counselor"/>
    <x v="5"/>
  </r>
  <r>
    <s v="02420"/>
    <x v="4"/>
    <s v="Personnel"/>
    <s v="M "/>
    <s v="Middle Grade Group 7-8"/>
    <s v="PS42MS"/>
    <s v="PSES Mid Prog01Duty42 S275"/>
    <n v="1"/>
    <x v="5"/>
    <n v="42"/>
    <m/>
    <s v="   "/>
    <n v="0.2"/>
    <n v="0.21659999999999999"/>
    <n v="0"/>
    <s v="Middle Counselor"/>
    <x v="5"/>
  </r>
  <r>
    <s v="02420"/>
    <x v="4"/>
    <s v="Personnel"/>
    <s v="E "/>
    <s v="Elementary Grade Group K-6"/>
    <s v="PS45E21S"/>
    <s v="PSES Elem Prog21Duty45 S275"/>
    <n v="21"/>
    <x v="7"/>
    <n v="45"/>
    <m/>
    <s v="   "/>
    <n v="0.60799999999999998"/>
    <n v="0.21659999999999999"/>
    <n v="0.13200000000000001"/>
    <s v="Elementary Speech, Language Pathway/_x000a_Audio"/>
    <x v="7"/>
  </r>
  <r>
    <s v="02420"/>
    <x v="4"/>
    <s v="Personnel"/>
    <s v="H "/>
    <s v="High Grade Group 9-12"/>
    <s v="PS45H21S"/>
    <s v="PSES High Prog21Duty45 S275"/>
    <n v="21"/>
    <x v="7"/>
    <n v="45"/>
    <m/>
    <s v="   "/>
    <n v="5.6000000000000001E-2"/>
    <n v="0.21659999999999999"/>
    <n v="1.2E-2"/>
    <s v="High Speech, Language Pathway/_x000a_Audio"/>
    <x v="7"/>
  </r>
  <r>
    <s v="02420"/>
    <x v="4"/>
    <s v="Personnel"/>
    <s v="M "/>
    <s v="Middle Grade Group 7-8"/>
    <s v="PS45M21S"/>
    <s v="PSES Mid Prog21Duty45 S275"/>
    <n v="21"/>
    <x v="7"/>
    <n v="45"/>
    <m/>
    <s v="   "/>
    <n v="0.13600000000000001"/>
    <n v="0.21659999999999999"/>
    <n v="2.9000000000000001E-2"/>
    <s v="Middle Speech, Language Pathway/_x000a_Audio"/>
    <x v="7"/>
  </r>
  <r>
    <s v="02420"/>
    <x v="4"/>
    <s v="Personnel"/>
    <s v="E "/>
    <s v="Elementary Grade Group K-6"/>
    <s v="PS46E21S"/>
    <s v="PSES Elem Prog21Duty46 S275"/>
    <n v="21"/>
    <x v="8"/>
    <n v="46"/>
    <m/>
    <s v="   "/>
    <n v="0.16700000000000001"/>
    <n v="0.21659999999999999"/>
    <n v="3.5999999999999997E-2"/>
    <s v="Elementary Psychologist"/>
    <x v="8"/>
  </r>
  <r>
    <s v="02420"/>
    <x v="4"/>
    <s v="Personnel"/>
    <s v="H "/>
    <s v="High Grade Group 9-12"/>
    <s v="PS46H21S"/>
    <s v="PSES High Prog21Duty46 S275"/>
    <n v="21"/>
    <x v="8"/>
    <n v="46"/>
    <m/>
    <s v="   "/>
    <n v="0.16700000000000001"/>
    <n v="0.21659999999999999"/>
    <n v="3.5999999999999997E-2"/>
    <s v="High Psychologist"/>
    <x v="8"/>
  </r>
  <r>
    <s v="02420"/>
    <x v="4"/>
    <s v="Personnel"/>
    <s v="M "/>
    <s v="Middle Grade Group 7-8"/>
    <s v="PS46M21S"/>
    <s v="PSES Mid Prog21Duty46 S275"/>
    <n v="21"/>
    <x v="8"/>
    <n v="46"/>
    <m/>
    <s v="   "/>
    <n v="0.16700000000000001"/>
    <n v="0.21659999999999999"/>
    <n v="3.5999999999999997E-2"/>
    <s v="Middle Psychologist"/>
    <x v="8"/>
  </r>
  <r>
    <s v="03017"/>
    <x v="5"/>
    <s v="Personnel"/>
    <s v="H "/>
    <s v="High Grade Group 9-12"/>
    <s v="PS24HS"/>
    <s v="PSES High Prog01Duty96 S275"/>
    <n v="1"/>
    <x v="0"/>
    <n v="96"/>
    <n v="24"/>
    <s v="   "/>
    <n v="2.3610000000000002"/>
    <n v="0.30080000000000001"/>
    <n v="0"/>
    <s v="High Family Engagement Coordinator"/>
    <x v="0"/>
  </r>
  <r>
    <s v="03017"/>
    <x v="5"/>
    <s v="Personnel"/>
    <s v="H "/>
    <s v="High Grade Group 9-12"/>
    <s v="PS25H21S"/>
    <s v="PSES High Prog21Act25 S275"/>
    <n v="21"/>
    <x v="1"/>
    <m/>
    <n v="25"/>
    <s v="   "/>
    <n v="6.077"/>
    <n v="0.30080000000000001"/>
    <n v="1.8280000000000001"/>
    <s v="High Pupil Management"/>
    <x v="1"/>
  </r>
  <r>
    <s v="03017"/>
    <x v="5"/>
    <s v="Personnel"/>
    <s v="H "/>
    <s v="High Grade Group 9-12"/>
    <s v="PS25HS"/>
    <s v="PSES High Prog01Act25 S275"/>
    <n v="1"/>
    <x v="1"/>
    <m/>
    <n v="25"/>
    <s v="   "/>
    <n v="31.879000000000001"/>
    <n v="0.30080000000000001"/>
    <n v="0"/>
    <s v="High Pupil Management"/>
    <x v="1"/>
  </r>
  <r>
    <s v="03017"/>
    <x v="5"/>
    <s v="Personnel"/>
    <s v="H "/>
    <s v="High Grade Group 9-12"/>
    <s v="PS26H21S"/>
    <s v="PSES High Prog21Act26 S275"/>
    <n v="21"/>
    <x v="2"/>
    <m/>
    <n v="26"/>
    <s v="   "/>
    <n v="5.7409999999999997"/>
    <n v="0.30080000000000001"/>
    <n v="1.7270000000000001"/>
    <s v="High Health/_x000a_Related Services"/>
    <x v="2"/>
  </r>
  <r>
    <s v="03017"/>
    <x v="5"/>
    <s v="Personnel"/>
    <s v="H "/>
    <s v="High Grade Group 9-12"/>
    <s v="PS26HS"/>
    <s v="PSES High Prog01Act26 S275"/>
    <n v="1"/>
    <x v="2"/>
    <m/>
    <n v="26"/>
    <s v="   "/>
    <n v="4.2389999999999999"/>
    <n v="0.30080000000000001"/>
    <n v="0"/>
    <s v="High Health/_x000a_Related Services"/>
    <x v="2"/>
  </r>
  <r>
    <s v="03017"/>
    <x v="5"/>
    <s v="Personnel"/>
    <s v="E "/>
    <s v="Elementary Grade Group K-6"/>
    <s v="PS35E97S"/>
    <s v="PSES Elem Prog97Act35 S275"/>
    <n v="97"/>
    <x v="3"/>
    <m/>
    <n v="35"/>
    <s v="   "/>
    <n v="1.2"/>
    <n v="0.30080000000000001"/>
    <n v="0"/>
    <s v="Elementary Pupil Safety"/>
    <x v="3"/>
  </r>
  <r>
    <s v="03017"/>
    <x v="5"/>
    <s v="Personnel"/>
    <s v="H "/>
    <s v="High Grade Group 9-12"/>
    <s v="PS35H97S"/>
    <s v="PSES High Prog97Act35 S275"/>
    <n v="97"/>
    <x v="3"/>
    <m/>
    <n v="35"/>
    <s v="   "/>
    <n v="10.901"/>
    <n v="0.30080000000000001"/>
    <n v="0"/>
    <s v="High Pupil Safety"/>
    <x v="3"/>
  </r>
  <r>
    <s v="03017"/>
    <x v="5"/>
    <s v="Personnel"/>
    <s v="M "/>
    <s v="Middle Grade Group 7-8"/>
    <s v="PS35M97S"/>
    <s v="PSES Mid Prog97Act35 S275"/>
    <n v="97"/>
    <x v="3"/>
    <m/>
    <n v="35"/>
    <s v="   "/>
    <n v="2.4350000000000001"/>
    <n v="0.30080000000000001"/>
    <n v="0"/>
    <s v="Middle Pupil Safety"/>
    <x v="3"/>
  </r>
  <r>
    <s v="03017"/>
    <x v="5"/>
    <s v="Personnel"/>
    <s v="E "/>
    <s v="Elementary Grade Group K-6"/>
    <s v="PS42ES"/>
    <s v="PSES Elem Prog01Duty42 S275"/>
    <n v="1"/>
    <x v="5"/>
    <n v="42"/>
    <m/>
    <s v="   "/>
    <n v="20.2"/>
    <n v="0.30080000000000001"/>
    <n v="0"/>
    <s v="Elementary Counselor"/>
    <x v="5"/>
  </r>
  <r>
    <s v="03017"/>
    <x v="5"/>
    <s v="Personnel"/>
    <s v="H "/>
    <s v="High Grade Group 9-12"/>
    <s v="PS42HS"/>
    <s v="PSES High Prog01Duty42 S275"/>
    <n v="1"/>
    <x v="5"/>
    <n v="42"/>
    <m/>
    <s v="   "/>
    <n v="11.894"/>
    <n v="0.30080000000000001"/>
    <n v="0"/>
    <s v="High Counselor"/>
    <x v="5"/>
  </r>
  <r>
    <s v="03017"/>
    <x v="5"/>
    <s v="Personnel"/>
    <s v="M "/>
    <s v="Middle Grade Group 7-8"/>
    <s v="PS42MS"/>
    <s v="PSES Mid Prog01Duty42 S275"/>
    <n v="1"/>
    <x v="5"/>
    <n v="42"/>
    <m/>
    <s v="   "/>
    <n v="6.8"/>
    <n v="0.30080000000000001"/>
    <n v="0"/>
    <s v="Middle Counselor"/>
    <x v="5"/>
  </r>
  <r>
    <s v="03017"/>
    <x v="5"/>
    <s v="Personnel"/>
    <s v="E "/>
    <s v="Elementary Grade Group K-6"/>
    <s v="PS43E21S"/>
    <s v="PSES Elem Prog21Duty43 S275"/>
    <n v="21"/>
    <x v="6"/>
    <n v="43"/>
    <m/>
    <s v="   "/>
    <n v="2.754"/>
    <n v="0.30080000000000001"/>
    <n v="0.82799999999999996"/>
    <s v="Elementary Occupational Therapist"/>
    <x v="6"/>
  </r>
  <r>
    <s v="03017"/>
    <x v="5"/>
    <s v="Personnel"/>
    <s v="H "/>
    <s v="High Grade Group 9-12"/>
    <s v="PS43H21S"/>
    <s v="PSES High Prog21Duty43 S275"/>
    <n v="21"/>
    <x v="6"/>
    <n v="43"/>
    <m/>
    <s v="   "/>
    <n v="0.24"/>
    <n v="0.30080000000000001"/>
    <n v="7.1999999999999995E-2"/>
    <s v="High Occupational Therapist"/>
    <x v="6"/>
  </r>
  <r>
    <s v="03017"/>
    <x v="5"/>
    <s v="Personnel"/>
    <s v="M "/>
    <s v="Middle Grade Group 7-8"/>
    <s v="PS43M21S"/>
    <s v="PSES Mid Prog21Duty43 S275"/>
    <n v="21"/>
    <x v="6"/>
    <n v="43"/>
    <m/>
    <s v="   "/>
    <n v="0.126"/>
    <n v="0.30080000000000001"/>
    <n v="3.7999999999999999E-2"/>
    <s v="Middle Occupational Therapist"/>
    <x v="6"/>
  </r>
  <r>
    <s v="03017"/>
    <x v="5"/>
    <s v="Personnel"/>
    <s v="E "/>
    <s v="Elementary Grade Group K-6"/>
    <s v="PS45E21S"/>
    <s v="PSES Elem Prog21Duty45 S275"/>
    <n v="21"/>
    <x v="7"/>
    <n v="45"/>
    <m/>
    <s v="   "/>
    <n v="16.623999999999999"/>
    <n v="0.30080000000000001"/>
    <n v="5"/>
    <s v="Elementary Speech, Language Pathway/_x000a_Audio"/>
    <x v="7"/>
  </r>
  <r>
    <s v="03017"/>
    <x v="5"/>
    <s v="Personnel"/>
    <s v="H "/>
    <s v="High Grade Group 9-12"/>
    <s v="PS45H21S"/>
    <s v="PSES High Prog21Duty45 S275"/>
    <n v="21"/>
    <x v="7"/>
    <n v="45"/>
    <m/>
    <s v="   "/>
    <n v="1.7"/>
    <n v="0.30080000000000001"/>
    <n v="0.51100000000000001"/>
    <s v="High Speech, Language Pathway/_x000a_Audio"/>
    <x v="7"/>
  </r>
  <r>
    <s v="03017"/>
    <x v="5"/>
    <s v="Personnel"/>
    <s v="M "/>
    <s v="Middle Grade Group 7-8"/>
    <s v="PS45M21S"/>
    <s v="PSES Mid Prog21Duty45 S275"/>
    <n v="21"/>
    <x v="7"/>
    <n v="45"/>
    <m/>
    <s v="   "/>
    <n v="1.3819999999999999"/>
    <n v="0.30080000000000001"/>
    <n v="0.41599999999999998"/>
    <s v="Middle Speech, Language Pathway/_x000a_Audio"/>
    <x v="7"/>
  </r>
  <r>
    <s v="03017"/>
    <x v="5"/>
    <s v="Personnel"/>
    <s v="E "/>
    <s v="Elementary Grade Group K-6"/>
    <s v="PS46E21S"/>
    <s v="PSES Elem Prog21Duty46 S275"/>
    <n v="21"/>
    <x v="8"/>
    <n v="46"/>
    <m/>
    <s v="   "/>
    <n v="6.8739999999999997"/>
    <n v="0.30080000000000001"/>
    <n v="2.0680000000000001"/>
    <s v="Elementary Psychologist"/>
    <x v="8"/>
  </r>
  <r>
    <s v="03017"/>
    <x v="5"/>
    <s v="Personnel"/>
    <s v="H "/>
    <s v="High Grade Group 9-12"/>
    <s v="PS46H21S"/>
    <s v="PSES High Prog21Duty46 S275"/>
    <n v="21"/>
    <x v="8"/>
    <n v="46"/>
    <m/>
    <s v="   "/>
    <n v="3.75"/>
    <n v="0.30080000000000001"/>
    <n v="1.1279999999999999"/>
    <s v="High Psychologist"/>
    <x v="8"/>
  </r>
  <r>
    <s v="03017"/>
    <x v="5"/>
    <s v="Personnel"/>
    <s v="M "/>
    <s v="Middle Grade Group 7-8"/>
    <s v="PS46M21S"/>
    <s v="PSES Mid Prog21Duty46 S275"/>
    <n v="21"/>
    <x v="8"/>
    <n v="46"/>
    <m/>
    <s v="   "/>
    <n v="2.4460000000000002"/>
    <n v="0.30080000000000001"/>
    <n v="0.73599999999999999"/>
    <s v="Middle Psychologist"/>
    <x v="8"/>
  </r>
  <r>
    <s v="03017"/>
    <x v="5"/>
    <s v="Personnel"/>
    <s v="E "/>
    <s v="Elementary Grade Group K-6"/>
    <s v="PS47E21S"/>
    <s v="PSES Elem Prog21Duty47 S275"/>
    <n v="21"/>
    <x v="9"/>
    <n v="47"/>
    <m/>
    <s v="   "/>
    <n v="0.05"/>
    <n v="0.30080000000000001"/>
    <n v="1.4999999999999999E-2"/>
    <s v="Elementary Nurse"/>
    <x v="9"/>
  </r>
  <r>
    <s v="03017"/>
    <x v="5"/>
    <s v="Personnel"/>
    <s v="E "/>
    <s v="Elementary Grade Group K-6"/>
    <s v="PS47ES"/>
    <s v="PSES Elem Prog01Duty47 S275"/>
    <n v="1"/>
    <x v="9"/>
    <n v="47"/>
    <m/>
    <s v="   "/>
    <n v="8.0860000000000003"/>
    <n v="0.30080000000000001"/>
    <n v="0"/>
    <s v="Elementary Nurse"/>
    <x v="9"/>
  </r>
  <r>
    <s v="03017"/>
    <x v="5"/>
    <s v="Personnel"/>
    <s v="H "/>
    <s v="High Grade Group 9-12"/>
    <s v="PS47HS"/>
    <s v="PSES High Prog01Duty47 S275"/>
    <n v="1"/>
    <x v="9"/>
    <n v="47"/>
    <m/>
    <s v="   "/>
    <n v="3.35"/>
    <n v="0.30080000000000001"/>
    <n v="0"/>
    <s v="High Nurse"/>
    <x v="9"/>
  </r>
  <r>
    <s v="03017"/>
    <x v="5"/>
    <s v="Personnel"/>
    <s v="M "/>
    <s v="Middle Grade Group 7-8"/>
    <s v="PS47M21S"/>
    <s v="PSES Mid Prog21Duty47 S275"/>
    <n v="21"/>
    <x v="9"/>
    <n v="47"/>
    <m/>
    <s v="   "/>
    <n v="0.1"/>
    <n v="0.30080000000000001"/>
    <n v="0.03"/>
    <s v="Middle Nurse"/>
    <x v="9"/>
  </r>
  <r>
    <s v="03017"/>
    <x v="5"/>
    <s v="Personnel"/>
    <s v="M "/>
    <s v="Middle Grade Group 7-8"/>
    <s v="PS47MS"/>
    <s v="PSES Mid Prog01Duty47 S275"/>
    <n v="1"/>
    <x v="9"/>
    <n v="47"/>
    <m/>
    <s v="   "/>
    <n v="7.0140000000000002"/>
    <n v="0.30080000000000001"/>
    <n v="0"/>
    <s v="Middle Nurse"/>
    <x v="9"/>
  </r>
  <r>
    <s v="03017"/>
    <x v="5"/>
    <s v="Personnel"/>
    <s v="E "/>
    <s v="Elementary Grade Group K-6"/>
    <s v="PS48E21S"/>
    <s v="PSES Elem Prog21Duty48 S275"/>
    <n v="21"/>
    <x v="11"/>
    <n v="48"/>
    <m/>
    <s v="   "/>
    <n v="2.4700000000000002"/>
    <n v="0.30080000000000001"/>
    <n v="0.74299999999999999"/>
    <s v="Elementary Physical Therapist"/>
    <x v="11"/>
  </r>
  <r>
    <s v="03017"/>
    <x v="5"/>
    <s v="Personnel"/>
    <s v="H "/>
    <s v="High Grade Group 9-12"/>
    <s v="PS48H21S"/>
    <s v="PSES High Prog21Duty48 S275"/>
    <n v="21"/>
    <x v="11"/>
    <n v="48"/>
    <m/>
    <s v="   "/>
    <n v="0.2"/>
    <n v="0.30080000000000001"/>
    <n v="0.06"/>
    <s v="High Physical Therapist"/>
    <x v="11"/>
  </r>
  <r>
    <s v="03017"/>
    <x v="5"/>
    <s v="Personnel"/>
    <s v="M "/>
    <s v="Middle Grade Group 7-8"/>
    <s v="PS48M21S"/>
    <s v="PSES Mid Prog21Duty48 S275"/>
    <n v="21"/>
    <x v="11"/>
    <n v="48"/>
    <m/>
    <s v="   "/>
    <n v="0.05"/>
    <n v="0.30080000000000001"/>
    <n v="1.4999999999999999E-2"/>
    <s v="Middle Physical Therapist"/>
    <x v="11"/>
  </r>
  <r>
    <s v="03050"/>
    <x v="6"/>
    <s v="Personnel"/>
    <s v="E "/>
    <s v="Elementary Grade Group K-6"/>
    <s v="PS64E21S"/>
    <s v="PSES Elem Prog21Duty64 S275"/>
    <n v="21"/>
    <x v="12"/>
    <n v="64"/>
    <m/>
    <s v="   "/>
    <n v="0.5"/>
    <n v="8.4199999999999997E-2"/>
    <n v="4.2000000000000003E-2"/>
    <s v="Elementary Contractor ESA"/>
    <x v="12"/>
  </r>
  <r>
    <s v="03050"/>
    <x v="6"/>
    <s v="Personnel"/>
    <s v="E "/>
    <s v="Elementary Grade Group K-6"/>
    <s v="PS64ES"/>
    <s v="PSES Elem Prog01Duty64 S275"/>
    <n v="1"/>
    <x v="12"/>
    <n v="64"/>
    <m/>
    <s v="   "/>
    <n v="0.5"/>
    <n v="8.4199999999999997E-2"/>
    <n v="0"/>
    <s v="Elementary Contractor ESA"/>
    <x v="12"/>
  </r>
  <r>
    <s v="03052"/>
    <x v="7"/>
    <s v="Personnel"/>
    <s v="H "/>
    <s v="High Grade Group 9-12"/>
    <s v="PS25HS"/>
    <s v="PSES High Prog01Act25 S275"/>
    <n v="1"/>
    <x v="1"/>
    <m/>
    <n v="25"/>
    <s v="   "/>
    <n v="4.1239999999999997"/>
    <n v="0.21010000000000001"/>
    <n v="0"/>
    <s v="High Pupil Management"/>
    <x v="1"/>
  </r>
  <r>
    <s v="03052"/>
    <x v="7"/>
    <s v="Personnel"/>
    <s v="H "/>
    <s v="High Grade Group 9-12"/>
    <s v="PS26H21S"/>
    <s v="PSES High Prog21Act26 S275"/>
    <n v="21"/>
    <x v="2"/>
    <m/>
    <n v="26"/>
    <s v="   "/>
    <n v="1.2190000000000001"/>
    <n v="0.21010000000000001"/>
    <n v="0.25600000000000001"/>
    <s v="High Health/_x000a_Related Services"/>
    <x v="2"/>
  </r>
  <r>
    <s v="03052"/>
    <x v="7"/>
    <s v="Personnel"/>
    <s v="H "/>
    <s v="High Grade Group 9-12"/>
    <s v="PS26HS"/>
    <s v="PSES High Prog01Act26 S275"/>
    <n v="1"/>
    <x v="2"/>
    <m/>
    <n v="26"/>
    <s v="   "/>
    <n v="0.54800000000000004"/>
    <n v="0.21010000000000001"/>
    <n v="0"/>
    <s v="High Health/_x000a_Related Services"/>
    <x v="2"/>
  </r>
  <r>
    <s v="03052"/>
    <x v="7"/>
    <s v="Personnel"/>
    <s v="E "/>
    <s v="Elementary Grade Group K-6"/>
    <s v="PS42ES"/>
    <s v="PSES Elem Prog01Duty42 S275"/>
    <n v="1"/>
    <x v="5"/>
    <n v="42"/>
    <m/>
    <s v="   "/>
    <n v="1"/>
    <n v="0.21010000000000001"/>
    <n v="0"/>
    <s v="Elementary Counselor"/>
    <x v="5"/>
  </r>
  <r>
    <s v="03052"/>
    <x v="7"/>
    <s v="Personnel"/>
    <s v="H "/>
    <s v="High Grade Group 9-12"/>
    <s v="PS42HS"/>
    <s v="PSES High Prog01Duty42 S275"/>
    <n v="1"/>
    <x v="5"/>
    <n v="42"/>
    <m/>
    <s v="   "/>
    <n v="1.5069999999999999"/>
    <n v="0.21010000000000001"/>
    <n v="0"/>
    <s v="High Counselor"/>
    <x v="5"/>
  </r>
  <r>
    <s v="03052"/>
    <x v="7"/>
    <s v="Personnel"/>
    <s v="E "/>
    <s v="Elementary Grade Group K-6"/>
    <s v="PS43E21S"/>
    <s v="PSES Elem Prog21Duty43 S275"/>
    <n v="21"/>
    <x v="6"/>
    <n v="43"/>
    <m/>
    <s v="   "/>
    <n v="0.4"/>
    <n v="0.21010000000000001"/>
    <n v="8.4000000000000005E-2"/>
    <s v="Elementary Occupational Therapist"/>
    <x v="6"/>
  </r>
  <r>
    <s v="03052"/>
    <x v="7"/>
    <s v="Personnel"/>
    <s v="E "/>
    <s v="Elementary Grade Group K-6"/>
    <s v="PS46E21S"/>
    <s v="PSES Elem Prog21Duty46 S275"/>
    <n v="21"/>
    <x v="8"/>
    <n v="46"/>
    <m/>
    <s v="   "/>
    <n v="0.47499999999999998"/>
    <n v="0.21010000000000001"/>
    <n v="0.1"/>
    <s v="Elementary Psychologist"/>
    <x v="8"/>
  </r>
  <r>
    <s v="03052"/>
    <x v="7"/>
    <s v="Personnel"/>
    <s v="H "/>
    <s v="High Grade Group 9-12"/>
    <s v="PS46H21S"/>
    <s v="PSES High Prog21Duty46 S275"/>
    <n v="21"/>
    <x v="8"/>
    <n v="46"/>
    <m/>
    <s v="   "/>
    <n v="0.20200000000000001"/>
    <n v="0.21010000000000001"/>
    <n v="4.2000000000000003E-2"/>
    <s v="High Psychologist"/>
    <x v="8"/>
  </r>
  <r>
    <s v="03052"/>
    <x v="7"/>
    <s v="Personnel"/>
    <s v="M "/>
    <s v="Middle Grade Group 7-8"/>
    <s v="PS46M21S"/>
    <s v="PSES Mid Prog21Duty46 S275"/>
    <n v="21"/>
    <x v="8"/>
    <n v="46"/>
    <m/>
    <s v="   "/>
    <n v="0.32300000000000001"/>
    <n v="0.21010000000000001"/>
    <n v="6.8000000000000005E-2"/>
    <s v="Middle Psychologist"/>
    <x v="8"/>
  </r>
  <r>
    <s v="03053"/>
    <x v="8"/>
    <s v="Personnel"/>
    <s v="E "/>
    <s v="Elementary Grade Group K-6"/>
    <s v="PS25ES"/>
    <s v="PSES Elem Prog01Act25 S275"/>
    <n v="1"/>
    <x v="1"/>
    <m/>
    <n v="25"/>
    <s v="   "/>
    <n v="0.94099999999999995"/>
    <n v="0.27039999999999997"/>
    <n v="0"/>
    <s v="Elementary Pupil Management"/>
    <x v="1"/>
  </r>
  <r>
    <s v="03053"/>
    <x v="8"/>
    <s v="Personnel"/>
    <s v="H "/>
    <s v="High Grade Group 9-12"/>
    <s v="PS25HS"/>
    <s v="PSES High Prog01Act25 S275"/>
    <n v="1"/>
    <x v="1"/>
    <m/>
    <n v="25"/>
    <s v="   "/>
    <n v="0.36799999999999999"/>
    <n v="0.27039999999999997"/>
    <n v="0"/>
    <s v="High Pupil Management"/>
    <x v="1"/>
  </r>
  <r>
    <s v="03053"/>
    <x v="8"/>
    <s v="Personnel"/>
    <s v="M "/>
    <s v="Middle Grade Group 7-8"/>
    <s v="PS25MS"/>
    <s v="PSES Mid Prog01Act25 S275"/>
    <n v="1"/>
    <x v="1"/>
    <m/>
    <n v="25"/>
    <s v="   "/>
    <n v="0.27500000000000002"/>
    <n v="0.27039999999999997"/>
    <n v="0"/>
    <s v="Middle Pupil Management"/>
    <x v="1"/>
  </r>
  <r>
    <s v="03053"/>
    <x v="8"/>
    <s v="Personnel"/>
    <s v="E "/>
    <s v="Elementary Grade Group K-6"/>
    <s v="PS26ES"/>
    <s v="PSES Elem Prog01Act26 S275"/>
    <n v="1"/>
    <x v="2"/>
    <m/>
    <n v="26"/>
    <s v="   "/>
    <n v="0.41299999999999998"/>
    <n v="0.27039999999999997"/>
    <n v="0"/>
    <s v="Elementary Health/_x000a_Related Services"/>
    <x v="2"/>
  </r>
  <r>
    <s v="03053"/>
    <x v="8"/>
    <s v="Personnel"/>
    <s v="E "/>
    <s v="Elementary Grade Group K-6"/>
    <s v="PS42ES"/>
    <s v="PSES Elem Prog01Duty42 S275"/>
    <n v="1"/>
    <x v="5"/>
    <n v="42"/>
    <m/>
    <s v="   "/>
    <n v="0.4"/>
    <n v="0.27039999999999997"/>
    <n v="0"/>
    <s v="Elementary Counselor"/>
    <x v="5"/>
  </r>
  <r>
    <s v="03053"/>
    <x v="8"/>
    <s v="Personnel"/>
    <s v="H "/>
    <s v="High Grade Group 9-12"/>
    <s v="PS42HS"/>
    <s v="PSES High Prog01Duty42 S275"/>
    <n v="1"/>
    <x v="5"/>
    <n v="42"/>
    <m/>
    <s v="   "/>
    <n v="0.8"/>
    <n v="0.27039999999999997"/>
    <n v="0"/>
    <s v="High Counselor"/>
    <x v="5"/>
  </r>
  <r>
    <s v="03053"/>
    <x v="8"/>
    <s v="Personnel"/>
    <s v="M "/>
    <s v="Middle Grade Group 7-8"/>
    <s v="PS42MS"/>
    <s v="PSES Mid Prog01Duty42 S275"/>
    <n v="1"/>
    <x v="5"/>
    <n v="42"/>
    <m/>
    <s v="   "/>
    <n v="0.4"/>
    <n v="0.27039999999999997"/>
    <n v="0"/>
    <s v="Middle Counselor"/>
    <x v="5"/>
  </r>
  <r>
    <s v="03053"/>
    <x v="8"/>
    <s v="Personnel"/>
    <s v="E "/>
    <s v="Elementary Grade Group K-6"/>
    <s v="PS45E21S"/>
    <s v="PSES Elem Prog21Duty45 S275"/>
    <n v="21"/>
    <x v="7"/>
    <n v="45"/>
    <m/>
    <s v="   "/>
    <n v="1"/>
    <n v="0.27039999999999997"/>
    <n v="0.27"/>
    <s v="Elementary Speech, Language Pathway/_x000a_Audio"/>
    <x v="7"/>
  </r>
  <r>
    <s v="03053"/>
    <x v="8"/>
    <s v="Personnel"/>
    <s v="E "/>
    <s v="Elementary Grade Group K-6"/>
    <s v="PS46E21S"/>
    <s v="PSES Elem Prog21Duty46 S275"/>
    <n v="21"/>
    <x v="8"/>
    <n v="46"/>
    <m/>
    <s v="   "/>
    <n v="1"/>
    <n v="0.27039999999999997"/>
    <n v="0.27"/>
    <s v="Elementary Psychologist"/>
    <x v="8"/>
  </r>
  <r>
    <s v="03116"/>
    <x v="9"/>
    <s v="Personnel"/>
    <s v="E "/>
    <s v="Elementary Grade Group K-6"/>
    <s v="PS25ES"/>
    <s v="PSES Elem Prog01Act25 S275"/>
    <n v="1"/>
    <x v="1"/>
    <m/>
    <n v="25"/>
    <s v="   "/>
    <n v="7.3999999999999996E-2"/>
    <n v="0.28079999999999999"/>
    <n v="0"/>
    <s v="Elementary Pupil Management"/>
    <x v="1"/>
  </r>
  <r>
    <s v="03116"/>
    <x v="9"/>
    <s v="Personnel"/>
    <s v="H "/>
    <s v="High Grade Group 9-12"/>
    <s v="PS25HS"/>
    <s v="PSES High Prog01Act25 S275"/>
    <n v="1"/>
    <x v="1"/>
    <m/>
    <n v="25"/>
    <s v="   "/>
    <n v="7.532"/>
    <n v="0.28079999999999999"/>
    <n v="0"/>
    <s v="High Pupil Management"/>
    <x v="1"/>
  </r>
  <r>
    <s v="03116"/>
    <x v="9"/>
    <s v="Personnel"/>
    <s v="E "/>
    <s v="Elementary Grade Group K-6"/>
    <s v="PS26E21S"/>
    <s v="PSES Elem Prog21Act26 S275"/>
    <n v="21"/>
    <x v="2"/>
    <m/>
    <n v="26"/>
    <s v="   "/>
    <n v="0.60599999999999998"/>
    <n v="0.28079999999999999"/>
    <n v="0.17"/>
    <s v="Elementary Health/_x000a_Related Services"/>
    <x v="2"/>
  </r>
  <r>
    <s v="03116"/>
    <x v="9"/>
    <s v="Personnel"/>
    <s v="E "/>
    <s v="Elementary Grade Group K-6"/>
    <s v="PS26ES"/>
    <s v="PSES Elem Prog01Act26 S275"/>
    <n v="1"/>
    <x v="2"/>
    <m/>
    <n v="26"/>
    <s v="   "/>
    <n v="0.63900000000000001"/>
    <n v="0.28079999999999999"/>
    <n v="0"/>
    <s v="Elementary Health/_x000a_Related Services"/>
    <x v="2"/>
  </r>
  <r>
    <s v="03116"/>
    <x v="9"/>
    <s v="Personnel"/>
    <s v="H "/>
    <s v="High Grade Group 9-12"/>
    <s v="PS26H21S"/>
    <s v="PSES High Prog21Act26 S275"/>
    <n v="21"/>
    <x v="2"/>
    <m/>
    <n v="26"/>
    <s v="   "/>
    <n v="1.246"/>
    <n v="0.28079999999999999"/>
    <n v="0.35"/>
    <s v="High Health/_x000a_Related Services"/>
    <x v="2"/>
  </r>
  <r>
    <s v="03116"/>
    <x v="9"/>
    <s v="Personnel"/>
    <s v="H "/>
    <s v="High Grade Group 9-12"/>
    <s v="PS26HS"/>
    <s v="PSES High Prog01Act26 S275"/>
    <n v="1"/>
    <x v="2"/>
    <m/>
    <n v="26"/>
    <s v="   "/>
    <n v="3.2559999999999998"/>
    <n v="0.28079999999999999"/>
    <n v="0"/>
    <s v="High Health/_x000a_Related Services"/>
    <x v="2"/>
  </r>
  <r>
    <s v="03116"/>
    <x v="9"/>
    <s v="Personnel"/>
    <s v="E "/>
    <s v="Elementary Grade Group K-6"/>
    <s v="PS42ES"/>
    <s v="PSES Elem Prog01Duty42 S275"/>
    <n v="1"/>
    <x v="5"/>
    <n v="42"/>
    <m/>
    <s v="   "/>
    <n v="3"/>
    <n v="0.28079999999999999"/>
    <n v="0"/>
    <s v="Elementary Counselor"/>
    <x v="5"/>
  </r>
  <r>
    <s v="03116"/>
    <x v="9"/>
    <s v="Personnel"/>
    <s v="H "/>
    <s v="High Grade Group 9-12"/>
    <s v="PS42HS"/>
    <s v="PSES High Prog01Duty42 S275"/>
    <n v="1"/>
    <x v="5"/>
    <n v="42"/>
    <m/>
    <s v="   "/>
    <n v="1.52"/>
    <n v="0.28079999999999999"/>
    <n v="0"/>
    <s v="High Counselor"/>
    <x v="5"/>
  </r>
  <r>
    <s v="03116"/>
    <x v="9"/>
    <s v="Personnel"/>
    <s v="M "/>
    <s v="Middle Grade Group 7-8"/>
    <s v="PS42MS"/>
    <s v="PSES Mid Prog01Duty42 S275"/>
    <n v="1"/>
    <x v="5"/>
    <n v="42"/>
    <m/>
    <s v="   "/>
    <n v="2"/>
    <n v="0.28079999999999999"/>
    <n v="0"/>
    <s v="Middle Counselor"/>
    <x v="5"/>
  </r>
  <r>
    <s v="03116"/>
    <x v="9"/>
    <s v="Personnel"/>
    <s v="H "/>
    <s v="High Grade Group 9-12"/>
    <s v="PS43H21S"/>
    <s v="PSES High Prog21Duty43 S275"/>
    <n v="21"/>
    <x v="6"/>
    <n v="43"/>
    <m/>
    <s v="   "/>
    <n v="1"/>
    <n v="0.28079999999999999"/>
    <n v="0.28100000000000003"/>
    <s v="High Occupational Therapist"/>
    <x v="6"/>
  </r>
  <r>
    <s v="03116"/>
    <x v="9"/>
    <s v="Personnel"/>
    <s v="E "/>
    <s v="Elementary Grade Group K-6"/>
    <s v="PS45E21S"/>
    <s v="PSES Elem Prog21Duty45 S275"/>
    <n v="21"/>
    <x v="7"/>
    <n v="45"/>
    <m/>
    <s v="   "/>
    <n v="1.04"/>
    <n v="0.28079999999999999"/>
    <n v="0.29199999999999998"/>
    <s v="Elementary Speech, Language Pathway/_x000a_Audio"/>
    <x v="7"/>
  </r>
  <r>
    <s v="03116"/>
    <x v="9"/>
    <s v="Personnel"/>
    <s v="H "/>
    <s v="High Grade Group 9-12"/>
    <s v="PS45H21S"/>
    <s v="PSES High Prog21Duty45 S275"/>
    <n v="21"/>
    <x v="7"/>
    <n v="45"/>
    <m/>
    <s v="   "/>
    <n v="1.1599999999999999"/>
    <n v="0.28079999999999999"/>
    <n v="0.32600000000000001"/>
    <s v="High Speech, Language Pathway/_x000a_Audio"/>
    <x v="7"/>
  </r>
  <r>
    <s v="03116"/>
    <x v="9"/>
    <s v="Personnel"/>
    <s v="M "/>
    <s v="Middle Grade Group 7-8"/>
    <s v="PS45M21S"/>
    <s v="PSES Mid Prog21Duty45 S275"/>
    <n v="21"/>
    <x v="7"/>
    <n v="45"/>
    <m/>
    <s v="   "/>
    <n v="0.8"/>
    <n v="0.28079999999999999"/>
    <n v="0.22500000000000001"/>
    <s v="Middle Speech, Language Pathway/_x000a_Audio"/>
    <x v="7"/>
  </r>
  <r>
    <s v="03116"/>
    <x v="9"/>
    <s v="Personnel"/>
    <s v="E "/>
    <s v="Elementary Grade Group K-6"/>
    <s v="PS48E21S"/>
    <s v="PSES Elem Prog21Duty48 S275"/>
    <n v="21"/>
    <x v="11"/>
    <n v="48"/>
    <m/>
    <s v="   "/>
    <n v="0.34399999999999997"/>
    <n v="0.28079999999999999"/>
    <n v="9.7000000000000003E-2"/>
    <s v="Elementary Physical Therapist"/>
    <x v="11"/>
  </r>
  <r>
    <s v="03116"/>
    <x v="9"/>
    <s v="Personnel"/>
    <s v="H "/>
    <s v="High Grade Group 9-12"/>
    <s v="PS48H21S"/>
    <s v="PSES High Prog21Duty48 S275"/>
    <n v="21"/>
    <x v="11"/>
    <n v="48"/>
    <m/>
    <s v="   "/>
    <n v="0.31"/>
    <n v="0.28079999999999999"/>
    <n v="8.6999999999999994E-2"/>
    <s v="High Physical Therapist"/>
    <x v="11"/>
  </r>
  <r>
    <s v="03116"/>
    <x v="9"/>
    <s v="Personnel"/>
    <s v="M "/>
    <s v="Middle Grade Group 7-8"/>
    <s v="PS48M21S"/>
    <s v="PSES Mid Prog21Duty48 S275"/>
    <n v="21"/>
    <x v="11"/>
    <n v="48"/>
    <m/>
    <s v="   "/>
    <n v="0.20599999999999999"/>
    <n v="0.28079999999999999"/>
    <n v="5.8000000000000003E-2"/>
    <s v="Middle Physical Therapist"/>
    <x v="11"/>
  </r>
  <r>
    <s v="03400"/>
    <x v="10"/>
    <s v="Personnel"/>
    <s v="H "/>
    <s v="High Grade Group 9-12"/>
    <s v="PS25H21S"/>
    <s v="PSES High Prog21Act25 S275"/>
    <n v="21"/>
    <x v="1"/>
    <m/>
    <n v="25"/>
    <s v="   "/>
    <n v="6.8129999999999997"/>
    <n v="0.26869999999999999"/>
    <n v="1.831"/>
    <s v="High Pupil Management"/>
    <x v="1"/>
  </r>
  <r>
    <s v="03400"/>
    <x v="10"/>
    <s v="Personnel"/>
    <s v="H "/>
    <s v="High Grade Group 9-12"/>
    <s v="PS25HS"/>
    <s v="PSES High Prog01Act25 S275"/>
    <n v="1"/>
    <x v="1"/>
    <m/>
    <n v="25"/>
    <s v="   "/>
    <n v="3.645"/>
    <n v="0.26869999999999999"/>
    <n v="0"/>
    <s v="High Pupil Management"/>
    <x v="1"/>
  </r>
  <r>
    <s v="03400"/>
    <x v="10"/>
    <s v="Personnel"/>
    <s v="H "/>
    <s v="High Grade Group 9-12"/>
    <s v="PS26H21S"/>
    <s v="PSES High Prog21Act26 S275"/>
    <n v="21"/>
    <x v="2"/>
    <m/>
    <n v="26"/>
    <s v="   "/>
    <n v="5.6"/>
    <n v="0.26869999999999999"/>
    <n v="1.5049999999999999"/>
    <s v="High Health/_x000a_Related Services"/>
    <x v="2"/>
  </r>
  <r>
    <s v="03400"/>
    <x v="10"/>
    <s v="Personnel"/>
    <s v="H "/>
    <s v="High Grade Group 9-12"/>
    <s v="PS26HS"/>
    <s v="PSES High Prog01Act26 S275"/>
    <n v="1"/>
    <x v="2"/>
    <m/>
    <n v="26"/>
    <s v="   "/>
    <n v="8.9109999999999996"/>
    <n v="0.26869999999999999"/>
    <n v="0"/>
    <s v="High Health/_x000a_Related Services"/>
    <x v="2"/>
  </r>
  <r>
    <s v="03400"/>
    <x v="10"/>
    <s v="Personnel"/>
    <s v="E "/>
    <s v="Elementary Grade Group K-6"/>
    <s v="PS39E21S"/>
    <s v="PSES Elem Prog21Duty39 S275"/>
    <n v="21"/>
    <x v="4"/>
    <n v="39"/>
    <m/>
    <s v="   "/>
    <n v="1"/>
    <n v="0.26869999999999999"/>
    <n v="0.26900000000000002"/>
    <s v="Elementary Orientation &amp; Mobility Specialist"/>
    <x v="4"/>
  </r>
  <r>
    <s v="03400"/>
    <x v="10"/>
    <s v="Personnel"/>
    <s v="E "/>
    <s v="Elementary Grade Group K-6"/>
    <s v="PS39ES"/>
    <s v="PSES Elem Prog01Duty39 S275"/>
    <n v="1"/>
    <x v="4"/>
    <n v="39"/>
    <m/>
    <s v="   "/>
    <n v="1"/>
    <n v="0.26869999999999999"/>
    <n v="0"/>
    <s v="Elementary Orientation &amp; Mobility Specialist"/>
    <x v="4"/>
  </r>
  <r>
    <s v="03400"/>
    <x v="10"/>
    <s v="Personnel"/>
    <s v="E "/>
    <s v="Elementary Grade Group K-6"/>
    <s v="PS42ES"/>
    <s v="PSES Elem Prog01Duty42 S275"/>
    <n v="1"/>
    <x v="5"/>
    <n v="42"/>
    <m/>
    <s v="   "/>
    <n v="11.445"/>
    <n v="0.26869999999999999"/>
    <n v="0"/>
    <s v="Elementary Counselor"/>
    <x v="5"/>
  </r>
  <r>
    <s v="03400"/>
    <x v="10"/>
    <s v="Personnel"/>
    <s v="H "/>
    <s v="High Grade Group 9-12"/>
    <s v="PS42HS"/>
    <s v="PSES High Prog01Duty42 S275"/>
    <n v="1"/>
    <x v="5"/>
    <n v="42"/>
    <m/>
    <s v="   "/>
    <n v="15"/>
    <n v="0.26869999999999999"/>
    <n v="0"/>
    <s v="High Counselor"/>
    <x v="5"/>
  </r>
  <r>
    <s v="03400"/>
    <x v="10"/>
    <s v="Personnel"/>
    <s v="M "/>
    <s v="Middle Grade Group 7-8"/>
    <s v="PS42MS"/>
    <s v="PSES Mid Prog01Duty42 S275"/>
    <n v="1"/>
    <x v="5"/>
    <n v="42"/>
    <m/>
    <s v="   "/>
    <n v="9.8000000000000007"/>
    <n v="0.26869999999999999"/>
    <n v="0"/>
    <s v="Middle Counselor"/>
    <x v="5"/>
  </r>
  <r>
    <s v="03400"/>
    <x v="10"/>
    <s v="Personnel"/>
    <s v="E "/>
    <s v="Elementary Grade Group K-6"/>
    <s v="PS43E21S"/>
    <s v="PSES Elem Prog21Duty43 S275"/>
    <n v="21"/>
    <x v="6"/>
    <n v="43"/>
    <m/>
    <s v="   "/>
    <n v="8.2129999999999992"/>
    <n v="0.26869999999999999"/>
    <n v="2.2069999999999999"/>
    <s v="Elementary Occupational Therapist"/>
    <x v="6"/>
  </r>
  <r>
    <s v="03400"/>
    <x v="10"/>
    <s v="Personnel"/>
    <s v="E "/>
    <s v="Elementary Grade Group K-6"/>
    <s v="PS44E21S"/>
    <s v="PSES Elem Prog21Duty44 S275"/>
    <n v="21"/>
    <x v="13"/>
    <n v="44"/>
    <m/>
    <s v="   "/>
    <n v="0.5"/>
    <n v="0.26869999999999999"/>
    <n v="0.13400000000000001"/>
    <s v="Elementary Social Worker"/>
    <x v="13"/>
  </r>
  <r>
    <s v="03400"/>
    <x v="10"/>
    <s v="Personnel"/>
    <s v="E "/>
    <s v="Elementary Grade Group K-6"/>
    <s v="PS44ES"/>
    <s v="PSES Elem Prog01Duty44 S275"/>
    <n v="1"/>
    <x v="13"/>
    <n v="44"/>
    <m/>
    <s v="   "/>
    <n v="0.5"/>
    <n v="0.26869999999999999"/>
    <n v="0"/>
    <s v="Elementary Social Worker"/>
    <x v="13"/>
  </r>
  <r>
    <s v="03400"/>
    <x v="10"/>
    <s v="Personnel"/>
    <s v="H "/>
    <s v="High Grade Group 9-12"/>
    <s v="PS44H21S"/>
    <s v="PSES High Prog21Duty44 S275"/>
    <n v="21"/>
    <x v="13"/>
    <n v="44"/>
    <m/>
    <s v="   "/>
    <n v="0.5"/>
    <n v="0.26869999999999999"/>
    <n v="0.13400000000000001"/>
    <s v="High Social Worker"/>
    <x v="13"/>
  </r>
  <r>
    <s v="03400"/>
    <x v="10"/>
    <s v="Personnel"/>
    <s v="H "/>
    <s v="High Grade Group 9-12"/>
    <s v="PS44HS"/>
    <s v="PSES High Prog01Duty44 S275"/>
    <n v="1"/>
    <x v="13"/>
    <n v="44"/>
    <m/>
    <s v="   "/>
    <n v="2.5"/>
    <n v="0.26869999999999999"/>
    <n v="0"/>
    <s v="High Social Worker"/>
    <x v="13"/>
  </r>
  <r>
    <s v="03400"/>
    <x v="10"/>
    <s v="Personnel"/>
    <s v="M "/>
    <s v="Middle Grade Group 7-8"/>
    <s v="PS44M21S"/>
    <s v="PSES Mid Prog21Duty44 S275"/>
    <n v="21"/>
    <x v="13"/>
    <n v="44"/>
    <m/>
    <s v="   "/>
    <n v="1"/>
    <n v="0.26869999999999999"/>
    <n v="0.26900000000000002"/>
    <s v="Middle Social Worker"/>
    <x v="13"/>
  </r>
  <r>
    <s v="03400"/>
    <x v="10"/>
    <s v="Personnel"/>
    <s v="M "/>
    <s v="Middle Grade Group 7-8"/>
    <s v="PS44MS"/>
    <s v="PSES Mid Prog01Duty44 S275"/>
    <n v="1"/>
    <x v="13"/>
    <n v="44"/>
    <m/>
    <s v="   "/>
    <n v="1"/>
    <n v="0.26869999999999999"/>
    <n v="0"/>
    <s v="Middle Social Worker"/>
    <x v="13"/>
  </r>
  <r>
    <s v="03400"/>
    <x v="10"/>
    <s v="Personnel"/>
    <s v="E "/>
    <s v="Elementary Grade Group K-6"/>
    <s v="PS45E21S"/>
    <s v="PSES Elem Prog21Duty45 S275"/>
    <n v="21"/>
    <x v="7"/>
    <n v="45"/>
    <m/>
    <s v="   "/>
    <n v="16.8"/>
    <n v="0.26869999999999999"/>
    <n v="4.5140000000000002"/>
    <s v="Elementary Speech, Language Pathway/_x000a_Audio"/>
    <x v="7"/>
  </r>
  <r>
    <s v="03400"/>
    <x v="10"/>
    <s v="Personnel"/>
    <s v="E "/>
    <s v="Elementary Grade Group K-6"/>
    <s v="PS45ES"/>
    <s v="PSES Elem Prog01Duty45 S275"/>
    <n v="1"/>
    <x v="7"/>
    <n v="45"/>
    <m/>
    <s v="   "/>
    <n v="1"/>
    <n v="0.26869999999999999"/>
    <n v="0"/>
    <s v="Elementary Speech, Language Pathway/_x000a_Audio"/>
    <x v="7"/>
  </r>
  <r>
    <s v="03400"/>
    <x v="10"/>
    <s v="Personnel"/>
    <s v="H "/>
    <s v="High Grade Group 9-12"/>
    <s v="PS45H21S"/>
    <s v="PSES High Prog21Duty45 S275"/>
    <n v="21"/>
    <x v="7"/>
    <n v="45"/>
    <m/>
    <s v="   "/>
    <n v="2"/>
    <n v="0.26869999999999999"/>
    <n v="0.53700000000000003"/>
    <s v="High Speech, Language Pathway/_x000a_Audio"/>
    <x v="7"/>
  </r>
  <r>
    <s v="03400"/>
    <x v="10"/>
    <s v="Personnel"/>
    <s v="M "/>
    <s v="Middle Grade Group 7-8"/>
    <s v="PS45M21S"/>
    <s v="PSES Mid Prog21Duty45 S275"/>
    <n v="21"/>
    <x v="7"/>
    <n v="45"/>
    <m/>
    <s v="   "/>
    <n v="1.8"/>
    <n v="0.26869999999999999"/>
    <n v="0.48399999999999999"/>
    <s v="Middle Speech, Language Pathway/_x000a_Audio"/>
    <x v="7"/>
  </r>
  <r>
    <s v="03400"/>
    <x v="10"/>
    <s v="Personnel"/>
    <s v="E "/>
    <s v="Elementary Grade Group K-6"/>
    <s v="PS46E21S"/>
    <s v="PSES Elem Prog21Duty46 S275"/>
    <n v="21"/>
    <x v="8"/>
    <n v="46"/>
    <m/>
    <s v="   "/>
    <n v="7.9"/>
    <n v="0.26869999999999999"/>
    <n v="2.1230000000000002"/>
    <s v="Elementary Psychologist"/>
    <x v="8"/>
  </r>
  <r>
    <s v="03400"/>
    <x v="10"/>
    <s v="Personnel"/>
    <s v="E "/>
    <s v="Elementary Grade Group K-6"/>
    <s v="PS46ES"/>
    <s v="PSES Elem Prog01Duty46 S275"/>
    <n v="1"/>
    <x v="8"/>
    <n v="46"/>
    <m/>
    <s v="   "/>
    <n v="4.9000000000000004"/>
    <n v="0.26869999999999999"/>
    <n v="0"/>
    <s v="Elementary Psychologist"/>
    <x v="8"/>
  </r>
  <r>
    <s v="03400"/>
    <x v="10"/>
    <s v="Personnel"/>
    <s v="H "/>
    <s v="High Grade Group 9-12"/>
    <s v="PS46H21S"/>
    <s v="PSES High Prog21Duty46 S275"/>
    <n v="21"/>
    <x v="8"/>
    <n v="46"/>
    <m/>
    <s v="   "/>
    <n v="4"/>
    <n v="0.26869999999999999"/>
    <n v="1.075"/>
    <s v="High Psychologist"/>
    <x v="8"/>
  </r>
  <r>
    <s v="03400"/>
    <x v="10"/>
    <s v="Personnel"/>
    <s v="M "/>
    <s v="Middle Grade Group 7-8"/>
    <s v="PS46M21S"/>
    <s v="PSES Mid Prog21Duty46 S275"/>
    <n v="21"/>
    <x v="8"/>
    <n v="46"/>
    <m/>
    <s v="   "/>
    <n v="2.5"/>
    <n v="0.26869999999999999"/>
    <n v="0.67200000000000004"/>
    <s v="Middle Psychologist"/>
    <x v="8"/>
  </r>
  <r>
    <s v="03400"/>
    <x v="10"/>
    <s v="Personnel"/>
    <s v="M "/>
    <s v="Middle Grade Group 7-8"/>
    <s v="PS46MS"/>
    <s v="PSES Mid Prog01Duty46 S275"/>
    <n v="1"/>
    <x v="8"/>
    <n v="46"/>
    <m/>
    <s v="   "/>
    <n v="0.5"/>
    <n v="0.26869999999999999"/>
    <n v="0"/>
    <s v="Middle Psychologist"/>
    <x v="8"/>
  </r>
  <r>
    <s v="03400"/>
    <x v="10"/>
    <s v="Personnel"/>
    <s v="E "/>
    <s v="Elementary Grade Group K-6"/>
    <s v="PS47ES"/>
    <s v="PSES Elem Prog01Duty47 S275"/>
    <n v="1"/>
    <x v="9"/>
    <n v="47"/>
    <m/>
    <s v="   "/>
    <n v="9.6"/>
    <n v="0.26869999999999999"/>
    <n v="0"/>
    <s v="Elementary Nurse"/>
    <x v="9"/>
  </r>
  <r>
    <s v="03400"/>
    <x v="10"/>
    <s v="Personnel"/>
    <s v="H "/>
    <s v="High Grade Group 9-12"/>
    <s v="PS47HS"/>
    <s v="PSES High Prog01Duty47 S275"/>
    <n v="1"/>
    <x v="9"/>
    <n v="47"/>
    <m/>
    <s v="   "/>
    <n v="3"/>
    <n v="0.26869999999999999"/>
    <n v="0"/>
    <s v="High Nurse"/>
    <x v="9"/>
  </r>
  <r>
    <s v="03400"/>
    <x v="10"/>
    <s v="Personnel"/>
    <s v="M "/>
    <s v="Middle Grade Group 7-8"/>
    <s v="PS47MS"/>
    <s v="PSES Mid Prog01Duty47 S275"/>
    <n v="1"/>
    <x v="9"/>
    <n v="47"/>
    <m/>
    <s v="   "/>
    <n v="3"/>
    <n v="0.26869999999999999"/>
    <n v="0"/>
    <s v="Middle Nurse"/>
    <x v="9"/>
  </r>
  <r>
    <s v="03400"/>
    <x v="10"/>
    <s v="Personnel"/>
    <s v="E "/>
    <s v="Elementary Grade Group K-6"/>
    <s v="PS48E21S"/>
    <s v="PSES Elem Prog21Duty48 S275"/>
    <n v="21"/>
    <x v="11"/>
    <n v="48"/>
    <m/>
    <s v="   "/>
    <n v="4"/>
    <n v="0.26869999999999999"/>
    <n v="1.075"/>
    <s v="Elementary Physical Therapist"/>
    <x v="11"/>
  </r>
  <r>
    <s v="03400"/>
    <x v="10"/>
    <s v="Personnel"/>
    <s v="M "/>
    <s v="Middle Grade Group 7-8"/>
    <s v="PS49M21S"/>
    <s v="PSES Mid Prog21Duty49 S275"/>
    <n v="21"/>
    <x v="10"/>
    <n v="49"/>
    <m/>
    <s v="   "/>
    <n v="1"/>
    <n v="0.26869999999999999"/>
    <n v="0.26900000000000002"/>
    <s v="Middle Behavior Analyst"/>
    <x v="10"/>
  </r>
  <r>
    <s v="04019"/>
    <x v="11"/>
    <s v="Personnel"/>
    <s v="H "/>
    <s v="High Grade Group 9-12"/>
    <s v="PS25HS"/>
    <s v="PSES High Prog01Act25 S275"/>
    <n v="1"/>
    <x v="1"/>
    <m/>
    <n v="25"/>
    <s v="   "/>
    <n v="0.92700000000000005"/>
    <n v="0.1913"/>
    <n v="0"/>
    <s v="High Pupil Management"/>
    <x v="1"/>
  </r>
  <r>
    <s v="04019"/>
    <x v="11"/>
    <s v="Personnel"/>
    <s v="H "/>
    <s v="High Grade Group 9-12"/>
    <s v="PS26HS"/>
    <s v="PSES High Prog01Act26 S275"/>
    <n v="1"/>
    <x v="2"/>
    <m/>
    <n v="26"/>
    <s v="   "/>
    <n v="0.67900000000000005"/>
    <n v="0.1913"/>
    <n v="0"/>
    <s v="High Health/_x000a_Related Services"/>
    <x v="2"/>
  </r>
  <r>
    <s v="04019"/>
    <x v="11"/>
    <s v="Personnel"/>
    <s v="E "/>
    <s v="Elementary Grade Group K-6"/>
    <s v="PS42ES"/>
    <s v="PSES Elem Prog01Duty42 S275"/>
    <n v="1"/>
    <x v="5"/>
    <n v="42"/>
    <m/>
    <s v="   "/>
    <n v="0.8"/>
    <n v="0.1913"/>
    <n v="0"/>
    <s v="Elementary Counselor"/>
    <x v="5"/>
  </r>
  <r>
    <s v="04019"/>
    <x v="11"/>
    <s v="Personnel"/>
    <s v="H "/>
    <s v="High Grade Group 9-12"/>
    <s v="PS42HS"/>
    <s v="PSES High Prog01Duty42 S275"/>
    <n v="1"/>
    <x v="5"/>
    <n v="42"/>
    <m/>
    <s v="   "/>
    <n v="0.3"/>
    <n v="0.1913"/>
    <n v="0"/>
    <s v="High Counselor"/>
    <x v="5"/>
  </r>
  <r>
    <s v="04019"/>
    <x v="11"/>
    <s v="Personnel"/>
    <s v="M "/>
    <s v="Middle Grade Group 7-8"/>
    <s v="PS42MS"/>
    <s v="PSES Mid Prog01Duty42 S275"/>
    <n v="1"/>
    <x v="5"/>
    <n v="42"/>
    <m/>
    <s v="   "/>
    <n v="0.43"/>
    <n v="0.1913"/>
    <n v="0"/>
    <s v="Middle Counselor"/>
    <x v="5"/>
  </r>
  <r>
    <s v="04019"/>
    <x v="11"/>
    <s v="Personnel"/>
    <s v="E "/>
    <s v="Elementary Grade Group K-6"/>
    <s v="PS45ES"/>
    <s v="PSES Elem Prog01Duty45 S275"/>
    <n v="1"/>
    <x v="7"/>
    <n v="45"/>
    <m/>
    <s v="   "/>
    <n v="0.7"/>
    <n v="0.1913"/>
    <n v="0"/>
    <s v="Elementary Speech, Language Pathway/_x000a_Audio"/>
    <x v="7"/>
  </r>
  <r>
    <s v="04019"/>
    <x v="11"/>
    <s v="Personnel"/>
    <s v="H "/>
    <s v="High Grade Group 9-12"/>
    <s v="PS45HS"/>
    <s v="PSES High Prog01Duty45 S275"/>
    <n v="1"/>
    <x v="7"/>
    <n v="45"/>
    <m/>
    <s v="   "/>
    <n v="7.0000000000000007E-2"/>
    <n v="0.1913"/>
    <n v="0"/>
    <s v="High Speech, Language Pathway/_x000a_Audio"/>
    <x v="7"/>
  </r>
  <r>
    <s v="04019"/>
    <x v="11"/>
    <s v="Personnel"/>
    <s v="M "/>
    <s v="Middle Grade Group 7-8"/>
    <s v="PS45MS"/>
    <s v="PSES Mid Prog01Duty45 S275"/>
    <n v="1"/>
    <x v="7"/>
    <n v="45"/>
    <m/>
    <s v="   "/>
    <n v="0.23"/>
    <n v="0.1913"/>
    <n v="0"/>
    <s v="Middle Speech, Language Pathway/_x000a_Audio"/>
    <x v="7"/>
  </r>
  <r>
    <s v="04127"/>
    <x v="12"/>
    <s v="Personnel"/>
    <s v="E "/>
    <s v="Elementary Grade Group K-6"/>
    <s v="PS25ES"/>
    <s v="PSES Elem Prog01Act25 S275"/>
    <n v="1"/>
    <x v="1"/>
    <m/>
    <n v="25"/>
    <s v="   "/>
    <n v="0.17199999999999999"/>
    <n v="0.1913"/>
    <n v="0"/>
    <s v="Elementary Pupil Management"/>
    <x v="1"/>
  </r>
  <r>
    <s v="04127"/>
    <x v="12"/>
    <s v="Personnel"/>
    <s v="H "/>
    <s v="High Grade Group 9-12"/>
    <s v="PS25HS"/>
    <s v="PSES High Prog01Act25 S275"/>
    <n v="1"/>
    <x v="1"/>
    <m/>
    <n v="25"/>
    <s v="   "/>
    <n v="1.1779999999999999"/>
    <n v="0.1913"/>
    <n v="0"/>
    <s v="High Pupil Management"/>
    <x v="1"/>
  </r>
  <r>
    <s v="04127"/>
    <x v="12"/>
    <s v="Personnel"/>
    <s v="E "/>
    <s v="Elementary Grade Group K-6"/>
    <s v="PS42ES"/>
    <s v="PSES Elem Prog01Duty42 S275"/>
    <n v="1"/>
    <x v="5"/>
    <n v="42"/>
    <m/>
    <s v="   "/>
    <n v="0.5"/>
    <n v="0.1913"/>
    <n v="0"/>
    <s v="Elementary Counselor"/>
    <x v="5"/>
  </r>
  <r>
    <s v="04127"/>
    <x v="12"/>
    <s v="Personnel"/>
    <s v="H "/>
    <s v="High Grade Group 9-12"/>
    <s v="PS42HS"/>
    <s v="PSES High Prog01Duty42 S275"/>
    <n v="1"/>
    <x v="5"/>
    <n v="42"/>
    <m/>
    <s v="   "/>
    <n v="0.3"/>
    <n v="0.1913"/>
    <n v="0"/>
    <s v="High Counselor"/>
    <x v="5"/>
  </r>
  <r>
    <s v="04127"/>
    <x v="12"/>
    <s v="Personnel"/>
    <s v="M "/>
    <s v="Middle Grade Group 7-8"/>
    <s v="PS42MS"/>
    <s v="PSES Mid Prog01Duty42 S275"/>
    <n v="1"/>
    <x v="5"/>
    <n v="42"/>
    <m/>
    <s v="   "/>
    <n v="0.2"/>
    <n v="0.1913"/>
    <n v="0"/>
    <s v="Middle Counselor"/>
    <x v="5"/>
  </r>
  <r>
    <s v="04129"/>
    <x v="13"/>
    <s v="Personnel"/>
    <s v="E "/>
    <s v="Elementary Grade Group K-6"/>
    <s v="PS25ES"/>
    <s v="PSES Elem Prog01Act25 S275"/>
    <n v="1"/>
    <x v="1"/>
    <m/>
    <n v="25"/>
    <s v="   "/>
    <n v="0.82799999999999996"/>
    <n v="0.15359999999999999"/>
    <n v="0"/>
    <s v="Elementary Pupil Management"/>
    <x v="1"/>
  </r>
  <r>
    <s v="04129"/>
    <x v="13"/>
    <s v="Personnel"/>
    <s v="H "/>
    <s v="High Grade Group 9-12"/>
    <s v="PS25H97S"/>
    <s v="PSES High Prog97Act25 S275"/>
    <n v="97"/>
    <x v="1"/>
    <m/>
    <n v="25"/>
    <s v="   "/>
    <n v="0.14699999999999999"/>
    <n v="0.15359999999999999"/>
    <n v="0"/>
    <s v="High Pupil Management"/>
    <x v="1"/>
  </r>
  <r>
    <s v="04129"/>
    <x v="13"/>
    <s v="Personnel"/>
    <s v="H "/>
    <s v="High Grade Group 9-12"/>
    <s v="PS25HS"/>
    <s v="PSES High Prog01Act25 S275"/>
    <n v="1"/>
    <x v="1"/>
    <m/>
    <n v="25"/>
    <s v="   "/>
    <n v="0.84799999999999998"/>
    <n v="0.15359999999999999"/>
    <n v="0"/>
    <s v="High Pupil Management"/>
    <x v="1"/>
  </r>
  <r>
    <s v="04129"/>
    <x v="13"/>
    <s v="Personnel"/>
    <s v="M "/>
    <s v="Middle Grade Group 7-8"/>
    <s v="PS25MS"/>
    <s v="PSES Mid Prog01Act25 S275"/>
    <n v="1"/>
    <x v="1"/>
    <m/>
    <n v="25"/>
    <s v="   "/>
    <n v="6.2E-2"/>
    <n v="0.15359999999999999"/>
    <n v="0"/>
    <s v="Middle Pupil Management"/>
    <x v="1"/>
  </r>
  <r>
    <s v="04129"/>
    <x v="13"/>
    <s v="Personnel"/>
    <s v="E "/>
    <s v="Elementary Grade Group K-6"/>
    <s v="PS26ES"/>
    <s v="PSES Elem Prog01Act26 S275"/>
    <n v="1"/>
    <x v="2"/>
    <m/>
    <n v="26"/>
    <s v="   "/>
    <n v="0.72699999999999998"/>
    <n v="0.15359999999999999"/>
    <n v="0"/>
    <s v="Elementary Health/_x000a_Related Services"/>
    <x v="2"/>
  </r>
  <r>
    <s v="04129"/>
    <x v="13"/>
    <s v="Personnel"/>
    <s v="H "/>
    <s v="High Grade Group 9-12"/>
    <s v="PS26HS"/>
    <s v="PSES High Prog01Act26 S275"/>
    <n v="1"/>
    <x v="2"/>
    <m/>
    <n v="26"/>
    <s v="   "/>
    <n v="0.46400000000000002"/>
    <n v="0.15359999999999999"/>
    <n v="0"/>
    <s v="High Health/_x000a_Related Services"/>
    <x v="2"/>
  </r>
  <r>
    <s v="04129"/>
    <x v="13"/>
    <s v="Personnel"/>
    <s v="M "/>
    <s v="Middle Grade Group 7-8"/>
    <s v="PS26MS"/>
    <s v="PSES Mid Prog01Act26 S275"/>
    <n v="1"/>
    <x v="2"/>
    <m/>
    <n v="26"/>
    <s v="   "/>
    <n v="0.10299999999999999"/>
    <n v="0.15359999999999999"/>
    <n v="0"/>
    <s v="Middle Health/_x000a_Related Services"/>
    <x v="2"/>
  </r>
  <r>
    <s v="04129"/>
    <x v="13"/>
    <s v="Personnel"/>
    <s v="E "/>
    <s v="Elementary Grade Group K-6"/>
    <s v="PS42ES"/>
    <s v="PSES Elem Prog01Duty42 S275"/>
    <n v="1"/>
    <x v="5"/>
    <n v="42"/>
    <m/>
    <s v="   "/>
    <n v="1.33"/>
    <n v="0.15359999999999999"/>
    <n v="0"/>
    <s v="Elementary Counselor"/>
    <x v="5"/>
  </r>
  <r>
    <s v="04129"/>
    <x v="13"/>
    <s v="Personnel"/>
    <s v="H "/>
    <s v="High Grade Group 9-12"/>
    <s v="PS42HS"/>
    <s v="PSES High Prog01Duty42 S275"/>
    <n v="1"/>
    <x v="5"/>
    <n v="42"/>
    <m/>
    <s v="   "/>
    <n v="0.61"/>
    <n v="0.15359999999999999"/>
    <n v="0"/>
    <s v="High Counselor"/>
    <x v="5"/>
  </r>
  <r>
    <s v="04129"/>
    <x v="13"/>
    <s v="Personnel"/>
    <s v="M "/>
    <s v="Middle Grade Group 7-8"/>
    <s v="PS42MS"/>
    <s v="PSES Mid Prog01Duty42 S275"/>
    <n v="1"/>
    <x v="5"/>
    <n v="42"/>
    <m/>
    <s v="   "/>
    <n v="0.67"/>
    <n v="0.15359999999999999"/>
    <n v="0"/>
    <s v="Middle Counselor"/>
    <x v="5"/>
  </r>
  <r>
    <s v="04129"/>
    <x v="13"/>
    <s v="Personnel"/>
    <s v="E "/>
    <s v="Elementary Grade Group K-6"/>
    <s v="PS43E21S"/>
    <s v="PSES Elem Prog21Duty43 S275"/>
    <n v="21"/>
    <x v="6"/>
    <n v="43"/>
    <m/>
    <s v="   "/>
    <n v="0.25"/>
    <n v="0.15359999999999999"/>
    <n v="3.7999999999999999E-2"/>
    <s v="Elementary Occupational Therapist"/>
    <x v="6"/>
  </r>
  <r>
    <s v="04129"/>
    <x v="13"/>
    <s v="Personnel"/>
    <s v="H "/>
    <s v="High Grade Group 9-12"/>
    <s v="PS43H21S"/>
    <s v="PSES High Prog21Duty43 S275"/>
    <n v="21"/>
    <x v="6"/>
    <n v="43"/>
    <m/>
    <s v="   "/>
    <n v="0.15"/>
    <n v="0.15359999999999999"/>
    <n v="2.3E-2"/>
    <s v="High Occupational Therapist"/>
    <x v="6"/>
  </r>
  <r>
    <s v="04129"/>
    <x v="13"/>
    <s v="Personnel"/>
    <s v="M "/>
    <s v="Middle Grade Group 7-8"/>
    <s v="PS43M21S"/>
    <s v="PSES Mid Prog21Duty43 S275"/>
    <n v="21"/>
    <x v="6"/>
    <n v="43"/>
    <m/>
    <s v="   "/>
    <n v="0.32"/>
    <n v="0.15359999999999999"/>
    <n v="4.9000000000000002E-2"/>
    <s v="Middle Occupational Therapist"/>
    <x v="6"/>
  </r>
  <r>
    <s v="04129"/>
    <x v="13"/>
    <s v="Personnel"/>
    <s v="E "/>
    <s v="Elementary Grade Group K-6"/>
    <s v="PS45E21S"/>
    <s v="PSES Elem Prog21Duty45 S275"/>
    <n v="21"/>
    <x v="7"/>
    <n v="45"/>
    <m/>
    <s v="   "/>
    <n v="0.63300000000000001"/>
    <n v="0.15359999999999999"/>
    <n v="9.7000000000000003E-2"/>
    <s v="Elementary Speech, Language Pathway/_x000a_Audio"/>
    <x v="7"/>
  </r>
  <r>
    <s v="04129"/>
    <x v="13"/>
    <s v="Personnel"/>
    <s v="E "/>
    <s v="Elementary Grade Group K-6"/>
    <s v="PS46E21S"/>
    <s v="PSES Elem Prog21Duty46 S275"/>
    <n v="21"/>
    <x v="8"/>
    <n v="46"/>
    <m/>
    <s v="   "/>
    <n v="0.4"/>
    <n v="0.15359999999999999"/>
    <n v="6.0999999999999999E-2"/>
    <s v="Elementary Psychologist"/>
    <x v="8"/>
  </r>
  <r>
    <s v="04129"/>
    <x v="13"/>
    <s v="Personnel"/>
    <s v="H "/>
    <s v="High Grade Group 9-12"/>
    <s v="PS46H21S"/>
    <s v="PSES High Prog21Duty46 S275"/>
    <n v="21"/>
    <x v="8"/>
    <n v="46"/>
    <m/>
    <s v="   "/>
    <n v="0.6"/>
    <n v="0.15359999999999999"/>
    <n v="9.1999999999999998E-2"/>
    <s v="High Psychologist"/>
    <x v="8"/>
  </r>
  <r>
    <s v="04222"/>
    <x v="14"/>
    <s v="Personnel"/>
    <s v="H "/>
    <s v="High Grade Group 9-12"/>
    <s v="PS25HS"/>
    <s v="PSES High Prog01Act25 S275"/>
    <n v="1"/>
    <x v="1"/>
    <m/>
    <n v="25"/>
    <s v="   "/>
    <n v="0.17499999999999999"/>
    <n v="0.15129999999999999"/>
    <n v="0"/>
    <s v="High Pupil Management"/>
    <x v="1"/>
  </r>
  <r>
    <s v="04222"/>
    <x v="14"/>
    <s v="Personnel"/>
    <s v="E "/>
    <s v="Elementary Grade Group K-6"/>
    <s v="PS26E21S"/>
    <s v="PSES Elem Prog21Act26 S275"/>
    <n v="21"/>
    <x v="2"/>
    <m/>
    <n v="26"/>
    <s v="   "/>
    <n v="0.33"/>
    <n v="0.15129999999999999"/>
    <n v="0.05"/>
    <s v="Elementary Health/_x000a_Related Services"/>
    <x v="2"/>
  </r>
  <r>
    <s v="04222"/>
    <x v="14"/>
    <s v="Personnel"/>
    <s v="E "/>
    <s v="Elementary Grade Group K-6"/>
    <s v="PS26ES"/>
    <s v="PSES Elem Prog01Act26 S275"/>
    <n v="1"/>
    <x v="2"/>
    <m/>
    <n v="26"/>
    <s v="   "/>
    <n v="0.754"/>
    <n v="0.15129999999999999"/>
    <n v="0"/>
    <s v="Elementary Health/_x000a_Related Services"/>
    <x v="2"/>
  </r>
  <r>
    <s v="04222"/>
    <x v="14"/>
    <s v="Personnel"/>
    <s v="H "/>
    <s v="High Grade Group 9-12"/>
    <s v="PS26H21S"/>
    <s v="PSES High Prog21Act26 S275"/>
    <n v="21"/>
    <x v="2"/>
    <m/>
    <n v="26"/>
    <s v="   "/>
    <n v="6.6000000000000003E-2"/>
    <n v="0.15129999999999999"/>
    <n v="0.01"/>
    <s v="High Health/_x000a_Related Services"/>
    <x v="2"/>
  </r>
  <r>
    <s v="04222"/>
    <x v="14"/>
    <s v="Personnel"/>
    <s v="M "/>
    <s v="Middle Grade Group 7-8"/>
    <s v="PS26M21S"/>
    <s v="PSES Mid Prog21Act26 S275"/>
    <n v="21"/>
    <x v="2"/>
    <m/>
    <n v="26"/>
    <s v="   "/>
    <n v="0.26400000000000001"/>
    <n v="0.15129999999999999"/>
    <n v="0.04"/>
    <s v="Middle Health/_x000a_Related Services"/>
    <x v="2"/>
  </r>
  <r>
    <s v="04222"/>
    <x v="14"/>
    <s v="Personnel"/>
    <s v="E "/>
    <s v="Elementary Grade Group K-6"/>
    <s v="PS42ES"/>
    <s v="PSES Elem Prog01Duty42 S275"/>
    <n v="1"/>
    <x v="5"/>
    <n v="42"/>
    <m/>
    <s v="   "/>
    <n v="1.6379999999999999"/>
    <n v="0.15129999999999999"/>
    <n v="0"/>
    <s v="Elementary Counselor"/>
    <x v="5"/>
  </r>
  <r>
    <s v="04222"/>
    <x v="14"/>
    <s v="Personnel"/>
    <s v="H "/>
    <s v="High Grade Group 9-12"/>
    <s v="PS42HS"/>
    <s v="PSES High Prog01Duty42 S275"/>
    <n v="1"/>
    <x v="5"/>
    <n v="42"/>
    <m/>
    <s v="   "/>
    <n v="1.8"/>
    <n v="0.15129999999999999"/>
    <n v="0"/>
    <s v="High Counselor"/>
    <x v="5"/>
  </r>
  <r>
    <s v="04222"/>
    <x v="14"/>
    <s v="Personnel"/>
    <s v="M "/>
    <s v="Middle Grade Group 7-8"/>
    <s v="PS42MS"/>
    <s v="PSES Mid Prog01Duty42 S275"/>
    <n v="1"/>
    <x v="5"/>
    <n v="42"/>
    <m/>
    <s v="   "/>
    <n v="0.7"/>
    <n v="0.15129999999999999"/>
    <n v="0"/>
    <s v="Middle Counselor"/>
    <x v="5"/>
  </r>
  <r>
    <s v="04222"/>
    <x v="14"/>
    <s v="Personnel"/>
    <s v="E "/>
    <s v="Elementary Grade Group K-6"/>
    <s v="PS43E21S"/>
    <s v="PSES Elem Prog21Duty43 S275"/>
    <n v="21"/>
    <x v="6"/>
    <n v="43"/>
    <m/>
    <s v="   "/>
    <n v="0.80600000000000005"/>
    <n v="0.15129999999999999"/>
    <n v="0.122"/>
    <s v="Elementary Occupational Therapist"/>
    <x v="6"/>
  </r>
  <r>
    <s v="04222"/>
    <x v="14"/>
    <s v="Personnel"/>
    <s v="E "/>
    <s v="Elementary Grade Group K-6"/>
    <s v="PS45E21S"/>
    <s v="PSES Elem Prog21Duty45 S275"/>
    <n v="21"/>
    <x v="7"/>
    <n v="45"/>
    <m/>
    <s v="   "/>
    <n v="1.6220000000000001"/>
    <n v="0.15129999999999999"/>
    <n v="0.245"/>
    <s v="Elementary Speech, Language Pathway/_x000a_Audio"/>
    <x v="7"/>
  </r>
  <r>
    <s v="04222"/>
    <x v="14"/>
    <s v="Personnel"/>
    <s v="E "/>
    <s v="Elementary Grade Group K-6"/>
    <s v="PS46E21S"/>
    <s v="PSES Elem Prog21Duty46 S275"/>
    <n v="21"/>
    <x v="8"/>
    <n v="46"/>
    <m/>
    <s v="   "/>
    <n v="1"/>
    <n v="0.15129999999999999"/>
    <n v="0.151"/>
    <s v="Elementary Psychologist"/>
    <x v="8"/>
  </r>
  <r>
    <s v="04222"/>
    <x v="14"/>
    <s v="Personnel"/>
    <s v="E "/>
    <s v="Elementary Grade Group K-6"/>
    <s v="PS48E21S"/>
    <s v="PSES Elem Prog21Duty48 S275"/>
    <n v="21"/>
    <x v="11"/>
    <n v="48"/>
    <m/>
    <s v="   "/>
    <n v="0.8"/>
    <n v="0.15129999999999999"/>
    <n v="0.121"/>
    <s v="Elementary Physical Therapist"/>
    <x v="11"/>
  </r>
  <r>
    <s v="04228"/>
    <x v="15"/>
    <s v="Personnel"/>
    <s v="E "/>
    <s v="Elementary Grade Group K-6"/>
    <s v="PS26E21S"/>
    <s v="PSES Elem Prog21Act26 S275"/>
    <n v="21"/>
    <x v="2"/>
    <m/>
    <n v="26"/>
    <s v="   "/>
    <n v="0.128"/>
    <n v="0.1913"/>
    <n v="2.4E-2"/>
    <s v="Elementary Health/_x000a_Related Services"/>
    <x v="2"/>
  </r>
  <r>
    <s v="04228"/>
    <x v="15"/>
    <s v="Personnel"/>
    <s v="E "/>
    <s v="Elementary Grade Group K-6"/>
    <s v="PS26ES"/>
    <s v="PSES Elem Prog01Act26 S275"/>
    <n v="1"/>
    <x v="2"/>
    <m/>
    <n v="26"/>
    <s v="   "/>
    <n v="0.39200000000000002"/>
    <n v="0.1913"/>
    <n v="0"/>
    <s v="Elementary Health/_x000a_Related Services"/>
    <x v="2"/>
  </r>
  <r>
    <s v="04228"/>
    <x v="15"/>
    <s v="Personnel"/>
    <s v="H "/>
    <s v="High Grade Group 9-12"/>
    <s v="PS26HS"/>
    <s v="PSES High Prog01Act26 S275"/>
    <n v="1"/>
    <x v="2"/>
    <m/>
    <n v="26"/>
    <s v="   "/>
    <n v="0.20599999999999999"/>
    <n v="0.1913"/>
    <n v="0"/>
    <s v="High Health/_x000a_Related Services"/>
    <x v="2"/>
  </r>
  <r>
    <s v="04228"/>
    <x v="15"/>
    <s v="Personnel"/>
    <s v="M "/>
    <s v="Middle Grade Group 7-8"/>
    <s v="PS26MS"/>
    <s v="PSES Mid Prog01Act26 S275"/>
    <n v="1"/>
    <x v="2"/>
    <m/>
    <n v="26"/>
    <s v="   "/>
    <n v="0.18099999999999999"/>
    <n v="0.1913"/>
    <n v="0"/>
    <s v="Middle Health/_x000a_Related Services"/>
    <x v="2"/>
  </r>
  <r>
    <s v="04228"/>
    <x v="15"/>
    <s v="Personnel"/>
    <s v="E "/>
    <s v="Elementary Grade Group K-6"/>
    <s v="PS42ES"/>
    <s v="PSES Elem Prog01Duty42 S275"/>
    <n v="1"/>
    <x v="5"/>
    <n v="42"/>
    <m/>
    <s v="   "/>
    <n v="1.3169999999999999"/>
    <n v="0.1913"/>
    <n v="0"/>
    <s v="Elementary Counselor"/>
    <x v="5"/>
  </r>
  <r>
    <s v="04228"/>
    <x v="15"/>
    <s v="Personnel"/>
    <s v="H "/>
    <s v="High Grade Group 9-12"/>
    <s v="PS42HS"/>
    <s v="PSES High Prog01Duty42 S275"/>
    <n v="1"/>
    <x v="5"/>
    <n v="42"/>
    <m/>
    <s v="   "/>
    <n v="1"/>
    <n v="0.1913"/>
    <n v="0"/>
    <s v="High Counselor"/>
    <x v="5"/>
  </r>
  <r>
    <s v="04228"/>
    <x v="15"/>
    <s v="Personnel"/>
    <s v="M "/>
    <s v="Middle Grade Group 7-8"/>
    <s v="PS42MS"/>
    <s v="PSES Mid Prog01Duty42 S275"/>
    <n v="1"/>
    <x v="5"/>
    <n v="42"/>
    <m/>
    <s v="   "/>
    <n v="0.63300000000000001"/>
    <n v="0.1913"/>
    <n v="0"/>
    <s v="Middle Counselor"/>
    <x v="5"/>
  </r>
  <r>
    <s v="04228"/>
    <x v="15"/>
    <s v="Personnel"/>
    <s v="E "/>
    <s v="Elementary Grade Group K-6"/>
    <s v="PS46E21S"/>
    <s v="PSES Elem Prog21Duty46 S275"/>
    <n v="21"/>
    <x v="8"/>
    <n v="46"/>
    <m/>
    <s v="   "/>
    <n v="0.49"/>
    <n v="0.1913"/>
    <n v="9.4E-2"/>
    <s v="Elementary Psychologist"/>
    <x v="8"/>
  </r>
  <r>
    <s v="04228"/>
    <x v="15"/>
    <s v="Personnel"/>
    <s v="H "/>
    <s v="High Grade Group 9-12"/>
    <s v="PS46H21S"/>
    <s v="PSES High Prog21Duty46 S275"/>
    <n v="21"/>
    <x v="8"/>
    <n v="46"/>
    <m/>
    <s v="   "/>
    <n v="0.22"/>
    <n v="0.1913"/>
    <n v="4.2000000000000003E-2"/>
    <s v="High Psychologist"/>
    <x v="8"/>
  </r>
  <r>
    <s v="04228"/>
    <x v="15"/>
    <s v="Personnel"/>
    <s v="M "/>
    <s v="Middle Grade Group 7-8"/>
    <s v="PS46M21S"/>
    <s v="PSES Mid Prog21Duty46 S275"/>
    <n v="21"/>
    <x v="8"/>
    <n v="46"/>
    <m/>
    <s v="   "/>
    <n v="0.22"/>
    <n v="0.1913"/>
    <n v="4.2000000000000003E-2"/>
    <s v="Middle Psychologist"/>
    <x v="8"/>
  </r>
  <r>
    <s v="04228"/>
    <x v="15"/>
    <s v="Personnel"/>
    <s v="E "/>
    <s v="Elementary Grade Group K-6"/>
    <s v="PS48E21S"/>
    <s v="PSES Elem Prog21Duty48 S275"/>
    <n v="21"/>
    <x v="11"/>
    <n v="48"/>
    <m/>
    <s v="   "/>
    <n v="0.8"/>
    <n v="0.1913"/>
    <n v="0.153"/>
    <s v="Elementary Physical Therapist"/>
    <x v="11"/>
  </r>
  <r>
    <s v="04246"/>
    <x v="16"/>
    <s v="Personnel"/>
    <s v="H "/>
    <s v="High Grade Group 9-12"/>
    <s v="PS24HS"/>
    <s v="PSES High Prog01Duty96 S275"/>
    <n v="1"/>
    <x v="0"/>
    <n v="96"/>
    <n v="24"/>
    <s v="   "/>
    <n v="1.0229999999999999"/>
    <n v="0.17519999999999999"/>
    <n v="0"/>
    <s v="High Family Engagement Coordinator"/>
    <x v="0"/>
  </r>
  <r>
    <s v="04246"/>
    <x v="16"/>
    <s v="Personnel"/>
    <s v="H "/>
    <s v="High Grade Group 9-12"/>
    <s v="PS26H21S"/>
    <s v="PSES High Prog21Act26 S275"/>
    <n v="21"/>
    <x v="2"/>
    <m/>
    <n v="26"/>
    <s v="   "/>
    <n v="1.3779999999999999"/>
    <n v="0.17519999999999999"/>
    <n v="0.24099999999999999"/>
    <s v="High Health/_x000a_Related Services"/>
    <x v="2"/>
  </r>
  <r>
    <s v="04246"/>
    <x v="16"/>
    <s v="Personnel"/>
    <s v="H "/>
    <s v="High Grade Group 9-12"/>
    <s v="PS26HS"/>
    <s v="PSES High Prog01Act26 S275"/>
    <n v="1"/>
    <x v="2"/>
    <m/>
    <n v="26"/>
    <s v="   "/>
    <n v="0.36699999999999999"/>
    <n v="0.17519999999999999"/>
    <n v="0"/>
    <s v="High Health/_x000a_Related Services"/>
    <x v="2"/>
  </r>
  <r>
    <s v="04246"/>
    <x v="16"/>
    <s v="Personnel"/>
    <s v="H "/>
    <s v="High Grade Group 9-12"/>
    <s v="PS35HS"/>
    <s v="PSES High Prog01Act35 S275"/>
    <n v="1"/>
    <x v="3"/>
    <m/>
    <n v="35"/>
    <s v="   "/>
    <n v="1.343"/>
    <n v="0.17519999999999999"/>
    <n v="0"/>
    <s v="High Pupil Safety"/>
    <x v="3"/>
  </r>
  <r>
    <s v="04246"/>
    <x v="16"/>
    <s v="Personnel"/>
    <s v="E "/>
    <s v="Elementary Grade Group K-6"/>
    <s v="PS42ES"/>
    <s v="PSES Elem Prog01Duty42 S275"/>
    <n v="1"/>
    <x v="5"/>
    <n v="42"/>
    <m/>
    <s v="   "/>
    <n v="6.6210000000000004"/>
    <n v="0.17519999999999999"/>
    <n v="0"/>
    <s v="Elementary Counselor"/>
    <x v="5"/>
  </r>
  <r>
    <s v="04246"/>
    <x v="16"/>
    <s v="Personnel"/>
    <s v="H "/>
    <s v="High Grade Group 9-12"/>
    <s v="PS42HS"/>
    <s v="PSES High Prog01Duty42 S275"/>
    <n v="1"/>
    <x v="5"/>
    <n v="42"/>
    <m/>
    <s v="   "/>
    <n v="3.597"/>
    <n v="0.17519999999999999"/>
    <n v="0"/>
    <s v="High Counselor"/>
    <x v="5"/>
  </r>
  <r>
    <s v="04246"/>
    <x v="16"/>
    <s v="Personnel"/>
    <s v="M "/>
    <s v="Middle Grade Group 7-8"/>
    <s v="PS42MS"/>
    <s v="PSES Mid Prog01Duty42 S275"/>
    <n v="1"/>
    <x v="5"/>
    <n v="42"/>
    <m/>
    <s v="   "/>
    <n v="2.9020000000000001"/>
    <n v="0.17519999999999999"/>
    <n v="0"/>
    <s v="Middle Counselor"/>
    <x v="5"/>
  </r>
  <r>
    <s v="04246"/>
    <x v="16"/>
    <s v="Personnel"/>
    <s v="E "/>
    <s v="Elementary Grade Group K-6"/>
    <s v="PS43E21S"/>
    <s v="PSES Elem Prog21Duty43 S275"/>
    <n v="21"/>
    <x v="6"/>
    <n v="43"/>
    <m/>
    <s v="   "/>
    <n v="3.1"/>
    <n v="0.17519999999999999"/>
    <n v="0.54300000000000004"/>
    <s v="Elementary Occupational Therapist"/>
    <x v="6"/>
  </r>
  <r>
    <s v="04246"/>
    <x v="16"/>
    <s v="Personnel"/>
    <s v="H "/>
    <s v="High Grade Group 9-12"/>
    <s v="PS43H21S"/>
    <s v="PSES High Prog21Duty43 S275"/>
    <n v="21"/>
    <x v="6"/>
    <n v="43"/>
    <m/>
    <s v="   "/>
    <n v="0.4"/>
    <n v="0.17519999999999999"/>
    <n v="7.0000000000000007E-2"/>
    <s v="High Occupational Therapist"/>
    <x v="6"/>
  </r>
  <r>
    <s v="04246"/>
    <x v="16"/>
    <s v="Personnel"/>
    <s v="M "/>
    <s v="Middle Grade Group 7-8"/>
    <s v="PS43M21S"/>
    <s v="PSES Mid Prog21Duty43 S275"/>
    <n v="21"/>
    <x v="6"/>
    <n v="43"/>
    <m/>
    <s v="   "/>
    <n v="0.5"/>
    <n v="0.17519999999999999"/>
    <n v="8.7999999999999995E-2"/>
    <s v="Middle Occupational Therapist"/>
    <x v="6"/>
  </r>
  <r>
    <s v="04246"/>
    <x v="16"/>
    <s v="Personnel"/>
    <s v="E "/>
    <s v="Elementary Grade Group K-6"/>
    <s v="PS45E21S"/>
    <s v="PSES Elem Prog21Duty45 S275"/>
    <n v="21"/>
    <x v="7"/>
    <n v="45"/>
    <m/>
    <s v="   "/>
    <n v="6.2930000000000001"/>
    <n v="0.17519999999999999"/>
    <n v="1.103"/>
    <s v="Elementary Speech, Language Pathway/_x000a_Audio"/>
    <x v="7"/>
  </r>
  <r>
    <s v="04246"/>
    <x v="16"/>
    <s v="Personnel"/>
    <s v="E "/>
    <s v="Elementary Grade Group K-6"/>
    <s v="PS45ES"/>
    <s v="PSES Elem Prog01Duty45 S275"/>
    <n v="1"/>
    <x v="7"/>
    <n v="45"/>
    <m/>
    <s v="   "/>
    <n v="1"/>
    <n v="0.17519999999999999"/>
    <n v="0"/>
    <s v="Elementary Speech, Language Pathway/_x000a_Audio"/>
    <x v="7"/>
  </r>
  <r>
    <s v="04246"/>
    <x v="16"/>
    <s v="Personnel"/>
    <s v="H "/>
    <s v="High Grade Group 9-12"/>
    <s v="PS45H21S"/>
    <s v="PSES High Prog21Duty45 S275"/>
    <n v="21"/>
    <x v="7"/>
    <n v="45"/>
    <m/>
    <s v="   "/>
    <n v="1"/>
    <n v="0.17519999999999999"/>
    <n v="0.17499999999999999"/>
    <s v="High Speech, Language Pathway/_x000a_Audio"/>
    <x v="7"/>
  </r>
  <r>
    <s v="04246"/>
    <x v="16"/>
    <s v="Personnel"/>
    <s v="M "/>
    <s v="Middle Grade Group 7-8"/>
    <s v="PS45M21S"/>
    <s v="PSES Mid Prog21Duty45 S275"/>
    <n v="21"/>
    <x v="7"/>
    <n v="45"/>
    <m/>
    <s v="   "/>
    <n v="1"/>
    <n v="0.17519999999999999"/>
    <n v="0.17499999999999999"/>
    <s v="Middle Speech, Language Pathway/_x000a_Audio"/>
    <x v="7"/>
  </r>
  <r>
    <s v="04246"/>
    <x v="16"/>
    <s v="Personnel"/>
    <s v="E "/>
    <s v="Elementary Grade Group K-6"/>
    <s v="PS46E21S"/>
    <s v="PSES Elem Prog21Duty46 S275"/>
    <n v="21"/>
    <x v="8"/>
    <n v="46"/>
    <m/>
    <s v="   "/>
    <n v="5.2"/>
    <n v="0.17519999999999999"/>
    <n v="0.91100000000000003"/>
    <s v="Elementary Psychologist"/>
    <x v="8"/>
  </r>
  <r>
    <s v="04246"/>
    <x v="16"/>
    <s v="Personnel"/>
    <s v="H "/>
    <s v="High Grade Group 9-12"/>
    <s v="PS46H21S"/>
    <s v="PSES High Prog21Duty46 S275"/>
    <n v="21"/>
    <x v="8"/>
    <n v="46"/>
    <m/>
    <s v="   "/>
    <n v="2.4"/>
    <n v="0.17519999999999999"/>
    <n v="0.42"/>
    <s v="High Psychologist"/>
    <x v="8"/>
  </r>
  <r>
    <s v="04246"/>
    <x v="16"/>
    <s v="Personnel"/>
    <s v="M "/>
    <s v="Middle Grade Group 7-8"/>
    <s v="PS46M21S"/>
    <s v="PSES Mid Prog21Duty46 S275"/>
    <n v="21"/>
    <x v="8"/>
    <n v="46"/>
    <m/>
    <s v="   "/>
    <n v="0.8"/>
    <n v="0.17519999999999999"/>
    <n v="0.14000000000000001"/>
    <s v="Middle Psychologist"/>
    <x v="8"/>
  </r>
  <r>
    <s v="04246"/>
    <x v="16"/>
    <s v="Personnel"/>
    <s v="E "/>
    <s v="Elementary Grade Group K-6"/>
    <s v="PS47E21S"/>
    <s v="PSES Elem Prog21Duty47 S275"/>
    <n v="21"/>
    <x v="9"/>
    <n v="47"/>
    <m/>
    <s v="   "/>
    <n v="1.3"/>
    <n v="0.17519999999999999"/>
    <n v="0.22800000000000001"/>
    <s v="Elementary Nurse"/>
    <x v="9"/>
  </r>
  <r>
    <s v="04246"/>
    <x v="16"/>
    <s v="Personnel"/>
    <s v="E "/>
    <s v="Elementary Grade Group K-6"/>
    <s v="PS47ES"/>
    <s v="PSES Elem Prog01Duty47 S275"/>
    <n v="1"/>
    <x v="9"/>
    <n v="47"/>
    <m/>
    <s v="   "/>
    <n v="2.5"/>
    <n v="0.17519999999999999"/>
    <n v="0"/>
    <s v="Elementary Nurse"/>
    <x v="9"/>
  </r>
  <r>
    <s v="04246"/>
    <x v="16"/>
    <s v="Personnel"/>
    <s v="H "/>
    <s v="High Grade Group 9-12"/>
    <s v="PS47HS"/>
    <s v="PSES High Prog01Duty47 S275"/>
    <n v="1"/>
    <x v="9"/>
    <n v="47"/>
    <m/>
    <s v="   "/>
    <n v="2.2999999999999998"/>
    <n v="0.17519999999999999"/>
    <n v="0"/>
    <s v="High Nurse"/>
    <x v="9"/>
  </r>
  <r>
    <s v="04246"/>
    <x v="16"/>
    <s v="Personnel"/>
    <s v="M "/>
    <s v="Middle Grade Group 7-8"/>
    <s v="PS47MS"/>
    <s v="PSES Mid Prog01Duty47 S275"/>
    <n v="1"/>
    <x v="9"/>
    <n v="47"/>
    <m/>
    <s v="   "/>
    <n v="1.5"/>
    <n v="0.17519999999999999"/>
    <n v="0"/>
    <s v="Middle Nurse"/>
    <x v="9"/>
  </r>
  <r>
    <s v="04246"/>
    <x v="16"/>
    <s v="Personnel"/>
    <s v="E "/>
    <s v="Elementary Grade Group K-6"/>
    <s v="PS48E21S"/>
    <s v="PSES Elem Prog21Duty48 S275"/>
    <n v="21"/>
    <x v="11"/>
    <n v="48"/>
    <m/>
    <s v="   "/>
    <n v="2.1"/>
    <n v="0.17519999999999999"/>
    <n v="0.36799999999999999"/>
    <s v="Elementary Physical Therapist"/>
    <x v="11"/>
  </r>
  <r>
    <s v="04246"/>
    <x v="16"/>
    <s v="Personnel"/>
    <s v="H "/>
    <s v="High Grade Group 9-12"/>
    <s v="PS48H21S"/>
    <s v="PSES High Prog21Duty48 S275"/>
    <n v="21"/>
    <x v="11"/>
    <n v="48"/>
    <m/>
    <s v="   "/>
    <n v="0.4"/>
    <n v="0.17519999999999999"/>
    <n v="7.0000000000000007E-2"/>
    <s v="High Physical Therapist"/>
    <x v="11"/>
  </r>
  <r>
    <s v="04246"/>
    <x v="16"/>
    <s v="Personnel"/>
    <s v="M "/>
    <s v="Middle Grade Group 7-8"/>
    <s v="PS48M21S"/>
    <s v="PSES Mid Prog21Duty48 S275"/>
    <n v="21"/>
    <x v="11"/>
    <n v="48"/>
    <m/>
    <s v="   "/>
    <n v="0.5"/>
    <n v="0.17519999999999999"/>
    <n v="8.7999999999999995E-2"/>
    <s v="Middle Physical Therapist"/>
    <x v="11"/>
  </r>
  <r>
    <s v="04246"/>
    <x v="16"/>
    <s v="Personnel"/>
    <s v="E "/>
    <s v="Elementary Grade Group K-6"/>
    <s v="PS49E21S"/>
    <s v="PSES Elem Prog21Duty49 S275"/>
    <n v="21"/>
    <x v="10"/>
    <n v="49"/>
    <m/>
    <s v="   "/>
    <n v="1.71"/>
    <n v="0.17519999999999999"/>
    <n v="0.3"/>
    <s v="Elementary Behavior Analyst"/>
    <x v="10"/>
  </r>
  <r>
    <s v="04246"/>
    <x v="16"/>
    <s v="Personnel"/>
    <s v="H "/>
    <s v="High Grade Group 9-12"/>
    <s v="PS49H21S"/>
    <s v="PSES High Prog21Duty49 S275"/>
    <n v="21"/>
    <x v="10"/>
    <n v="49"/>
    <m/>
    <s v="   "/>
    <n v="0.54"/>
    <n v="0.17519999999999999"/>
    <n v="9.5000000000000001E-2"/>
    <s v="High Behavior Analyst"/>
    <x v="10"/>
  </r>
  <r>
    <s v="04246"/>
    <x v="16"/>
    <s v="Personnel"/>
    <s v="M "/>
    <s v="Middle Grade Group 7-8"/>
    <s v="PS49M21S"/>
    <s v="PSES Mid Prog21Duty49 S275"/>
    <n v="21"/>
    <x v="10"/>
    <n v="49"/>
    <m/>
    <s v="   "/>
    <n v="0.75"/>
    <n v="0.17519999999999999"/>
    <n v="0.13100000000000001"/>
    <s v="Middle Behavior Analyst"/>
    <x v="10"/>
  </r>
  <r>
    <s v="04901"/>
    <x v="17"/>
    <s v="Personnel"/>
    <s v="E "/>
    <s v="Elementary Grade Group K-6"/>
    <s v="PS24E97S"/>
    <s v="PSES Elem Prog97Duty96 S275"/>
    <n v="97"/>
    <x v="0"/>
    <n v="96"/>
    <n v="24"/>
    <s v="   "/>
    <n v="0.124"/>
    <n v="0.1235"/>
    <n v="0"/>
    <s v="Elementary Family Engagement Coordinator"/>
    <x v="0"/>
  </r>
  <r>
    <s v="04901"/>
    <x v="17"/>
    <s v="Personnel"/>
    <s v="H "/>
    <s v="High Grade Group 9-12"/>
    <s v="PS24H97S"/>
    <s v="PSES High Prog97Duty96 S275"/>
    <n v="97"/>
    <x v="0"/>
    <n v="96"/>
    <n v="24"/>
    <s v="   "/>
    <n v="0.20499999999999999"/>
    <n v="0.1235"/>
    <n v="0"/>
    <s v="High Family Engagement Coordinator"/>
    <x v="0"/>
  </r>
  <r>
    <s v="04901"/>
    <x v="17"/>
    <s v="Personnel"/>
    <s v="M "/>
    <s v="Middle Grade Group 7-8"/>
    <s v="PS24M97S"/>
    <s v="PSES Mid Prog97Duty96 S275"/>
    <n v="97"/>
    <x v="0"/>
    <n v="96"/>
    <n v="24"/>
    <s v="   "/>
    <n v="0.40200000000000002"/>
    <n v="0.1235"/>
    <n v="0"/>
    <s v="Middle Family Engagement Coordinator"/>
    <x v="0"/>
  </r>
  <r>
    <s v="04901"/>
    <x v="17"/>
    <s v="Personnel"/>
    <s v="E "/>
    <s v="Elementary Grade Group K-6"/>
    <s v="PS26ES"/>
    <s v="PSES Elem Prog01Act26 S275"/>
    <n v="1"/>
    <x v="2"/>
    <m/>
    <n v="26"/>
    <s v="   "/>
    <n v="0.1"/>
    <n v="0.1235"/>
    <n v="0"/>
    <s v="Elementary Health/_x000a_Related Services"/>
    <x v="2"/>
  </r>
  <r>
    <s v="04901"/>
    <x v="17"/>
    <s v="Personnel"/>
    <s v="H "/>
    <s v="High Grade Group 9-12"/>
    <s v="PS26HS"/>
    <s v="PSES High Prog01Act26 S275"/>
    <n v="1"/>
    <x v="2"/>
    <m/>
    <n v="26"/>
    <s v="   "/>
    <n v="0.16300000000000001"/>
    <n v="0.1235"/>
    <n v="0"/>
    <s v="High Health/_x000a_Related Services"/>
    <x v="2"/>
  </r>
  <r>
    <s v="04901"/>
    <x v="17"/>
    <s v="Personnel"/>
    <s v="M "/>
    <s v="Middle Grade Group 7-8"/>
    <s v="PS26MS"/>
    <s v="PSES Mid Prog01Act26 S275"/>
    <n v="1"/>
    <x v="2"/>
    <m/>
    <n v="26"/>
    <s v="   "/>
    <n v="0.32200000000000001"/>
    <n v="0.1235"/>
    <n v="0"/>
    <s v="Middle Health/_x000a_Related Services"/>
    <x v="2"/>
  </r>
  <r>
    <s v="05121"/>
    <x v="18"/>
    <s v="Personnel"/>
    <s v="E "/>
    <s v="Elementary Grade Group K-6"/>
    <s v="PS25ES"/>
    <s v="PSES Elem Prog01Act25 S275"/>
    <n v="1"/>
    <x v="1"/>
    <m/>
    <n v="25"/>
    <s v="   "/>
    <n v="0.88800000000000001"/>
    <n v="0.25690000000000002"/>
    <n v="0"/>
    <s v="Elementary Pupil Management"/>
    <x v="1"/>
  </r>
  <r>
    <s v="05121"/>
    <x v="18"/>
    <s v="Personnel"/>
    <s v="H "/>
    <s v="High Grade Group 9-12"/>
    <s v="PS25HS"/>
    <s v="PSES High Prog01Act25 S275"/>
    <n v="1"/>
    <x v="1"/>
    <m/>
    <n v="25"/>
    <s v="   "/>
    <n v="2.7789999999999999"/>
    <n v="0.25690000000000002"/>
    <n v="0"/>
    <s v="High Pupil Management"/>
    <x v="1"/>
  </r>
  <r>
    <s v="05121"/>
    <x v="18"/>
    <s v="Personnel"/>
    <s v="H "/>
    <s v="High Grade Group 9-12"/>
    <s v="PS26H21S"/>
    <s v="PSES High Prog21Act26 S275"/>
    <n v="21"/>
    <x v="2"/>
    <m/>
    <n v="26"/>
    <s v="   "/>
    <n v="1.2410000000000001"/>
    <n v="0.25690000000000002"/>
    <n v="0.31900000000000001"/>
    <s v="High Health/_x000a_Related Services"/>
    <x v="2"/>
  </r>
  <r>
    <s v="05121"/>
    <x v="18"/>
    <s v="Personnel"/>
    <s v="H "/>
    <s v="High Grade Group 9-12"/>
    <s v="PS26HS"/>
    <s v="PSES High Prog01Act26 S275"/>
    <n v="1"/>
    <x v="2"/>
    <m/>
    <n v="26"/>
    <s v="   "/>
    <n v="1.335"/>
    <n v="0.25690000000000002"/>
    <n v="0"/>
    <s v="High Health/_x000a_Related Services"/>
    <x v="2"/>
  </r>
  <r>
    <s v="05121"/>
    <x v="18"/>
    <s v="Personnel"/>
    <s v="E "/>
    <s v="Elementary Grade Group K-6"/>
    <s v="PS42ES"/>
    <s v="PSES Elem Prog01Duty42 S275"/>
    <n v="1"/>
    <x v="5"/>
    <n v="42"/>
    <m/>
    <s v="   "/>
    <n v="3"/>
    <n v="0.25690000000000002"/>
    <n v="0"/>
    <s v="Elementary Counselor"/>
    <x v="5"/>
  </r>
  <r>
    <s v="05121"/>
    <x v="18"/>
    <s v="Personnel"/>
    <s v="H "/>
    <s v="High Grade Group 9-12"/>
    <s v="PS42HS"/>
    <s v="PSES High Prog01Duty42 S275"/>
    <n v="1"/>
    <x v="5"/>
    <n v="42"/>
    <m/>
    <s v="   "/>
    <n v="3.55"/>
    <n v="0.25690000000000002"/>
    <n v="0"/>
    <s v="High Counselor"/>
    <x v="5"/>
  </r>
  <r>
    <s v="05121"/>
    <x v="18"/>
    <s v="Personnel"/>
    <s v="E "/>
    <s v="Elementary Grade Group K-6"/>
    <s v="PS43E21S"/>
    <s v="PSES Elem Prog21Duty43 S275"/>
    <n v="21"/>
    <x v="6"/>
    <n v="43"/>
    <m/>
    <s v="   "/>
    <n v="0.57199999999999995"/>
    <n v="0.25690000000000002"/>
    <n v="0.14699999999999999"/>
    <s v="Elementary Occupational Therapist"/>
    <x v="6"/>
  </r>
  <r>
    <s v="05121"/>
    <x v="18"/>
    <s v="Personnel"/>
    <s v="H "/>
    <s v="High Grade Group 9-12"/>
    <s v="PS43H21S"/>
    <s v="PSES High Prog21Duty43 S275"/>
    <n v="21"/>
    <x v="6"/>
    <n v="43"/>
    <m/>
    <s v="   "/>
    <n v="9.5000000000000001E-2"/>
    <n v="0.25690000000000002"/>
    <n v="2.4E-2"/>
    <s v="High Occupational Therapist"/>
    <x v="6"/>
  </r>
  <r>
    <s v="05121"/>
    <x v="18"/>
    <s v="Personnel"/>
    <s v="M "/>
    <s v="Middle Grade Group 7-8"/>
    <s v="PS43M21S"/>
    <s v="PSES Mid Prog21Duty43 S275"/>
    <n v="21"/>
    <x v="6"/>
    <n v="43"/>
    <m/>
    <s v="   "/>
    <n v="0.33300000000000002"/>
    <n v="0.25690000000000002"/>
    <n v="8.5999999999999993E-2"/>
    <s v="Middle Occupational Therapist"/>
    <x v="6"/>
  </r>
  <r>
    <s v="05121"/>
    <x v="18"/>
    <s v="Personnel"/>
    <s v="E "/>
    <s v="Elementary Grade Group K-6"/>
    <s v="PS45E21S"/>
    <s v="PSES Elem Prog21Duty45 S275"/>
    <n v="21"/>
    <x v="7"/>
    <n v="45"/>
    <m/>
    <s v="   "/>
    <n v="5"/>
    <n v="0.25690000000000002"/>
    <n v="1.2849999999999999"/>
    <s v="Elementary Speech, Language Pathway/_x000a_Audio"/>
    <x v="7"/>
  </r>
  <r>
    <s v="05121"/>
    <x v="18"/>
    <s v="Personnel"/>
    <s v="E "/>
    <s v="Elementary Grade Group K-6"/>
    <s v="PS46E21S"/>
    <s v="PSES Elem Prog21Duty46 S275"/>
    <n v="21"/>
    <x v="8"/>
    <n v="46"/>
    <m/>
    <s v="   "/>
    <n v="5"/>
    <n v="0.25690000000000002"/>
    <n v="1.2849999999999999"/>
    <s v="Elementary Psychologist"/>
    <x v="8"/>
  </r>
  <r>
    <s v="05121"/>
    <x v="18"/>
    <s v="Personnel"/>
    <s v="E "/>
    <s v="Elementary Grade Group K-6"/>
    <s v="PS47ES"/>
    <s v="PSES Elem Prog01Duty47 S275"/>
    <n v="1"/>
    <x v="9"/>
    <n v="47"/>
    <m/>
    <s v="   "/>
    <n v="3"/>
    <n v="0.25690000000000002"/>
    <n v="0"/>
    <s v="Elementary Nurse"/>
    <x v="9"/>
  </r>
  <r>
    <s v="05313"/>
    <x v="19"/>
    <s v="Personnel"/>
    <s v="H "/>
    <s v="High Grade Group 9-12"/>
    <s v="PS25HS"/>
    <s v="PSES High Prog01Act25 S275"/>
    <n v="1"/>
    <x v="1"/>
    <m/>
    <n v="25"/>
    <s v="   "/>
    <n v="0.26400000000000001"/>
    <n v="0.19059999999999999"/>
    <n v="0"/>
    <s v="High Pupil Management"/>
    <x v="1"/>
  </r>
  <r>
    <s v="05313"/>
    <x v="19"/>
    <s v="Personnel"/>
    <s v="H "/>
    <s v="High Grade Group 9-12"/>
    <s v="PS42HS"/>
    <s v="PSES High Prog01Duty42 S275"/>
    <n v="1"/>
    <x v="5"/>
    <n v="42"/>
    <m/>
    <s v="   "/>
    <n v="1"/>
    <n v="0.19059999999999999"/>
    <n v="0"/>
    <s v="High Counselor"/>
    <x v="5"/>
  </r>
  <r>
    <s v="05313"/>
    <x v="19"/>
    <s v="Personnel"/>
    <s v="E "/>
    <s v="Elementary Grade Group K-6"/>
    <s v="PS47ES"/>
    <s v="PSES Elem Prog01Duty47 S275"/>
    <n v="1"/>
    <x v="9"/>
    <n v="47"/>
    <m/>
    <s v="   "/>
    <n v="1.1259999999999999"/>
    <n v="0.19059999999999999"/>
    <n v="0"/>
    <s v="Elementary Nurse"/>
    <x v="9"/>
  </r>
  <r>
    <s v="05323"/>
    <x v="20"/>
    <s v="Personnel"/>
    <s v="H "/>
    <s v="High Grade Group 9-12"/>
    <s v="PS25H21S"/>
    <s v="PSES High Prog21Act25 S275"/>
    <n v="21"/>
    <x v="1"/>
    <m/>
    <n v="25"/>
    <s v="   "/>
    <n v="2.8090000000000002"/>
    <n v="0.15290000000000001"/>
    <n v="0.42899999999999999"/>
    <s v="High Pupil Management"/>
    <x v="1"/>
  </r>
  <r>
    <s v="05323"/>
    <x v="20"/>
    <s v="Personnel"/>
    <s v="H "/>
    <s v="High Grade Group 9-12"/>
    <s v="PS25HS"/>
    <s v="PSES High Prog01Act25 S275"/>
    <n v="1"/>
    <x v="1"/>
    <m/>
    <n v="25"/>
    <s v="   "/>
    <n v="3.149"/>
    <n v="0.15290000000000001"/>
    <n v="0"/>
    <s v="High Pupil Management"/>
    <x v="1"/>
  </r>
  <r>
    <s v="05323"/>
    <x v="20"/>
    <s v="Personnel"/>
    <s v="H "/>
    <s v="High Grade Group 9-12"/>
    <s v="PS26H21S"/>
    <s v="PSES High Prog21Act26 S275"/>
    <n v="21"/>
    <x v="2"/>
    <m/>
    <n v="26"/>
    <s v="   "/>
    <n v="1.4219999999999999"/>
    <n v="0.15290000000000001"/>
    <n v="0.217"/>
    <s v="High Health/_x000a_Related Services"/>
    <x v="2"/>
  </r>
  <r>
    <s v="05323"/>
    <x v="20"/>
    <s v="Personnel"/>
    <s v="H "/>
    <s v="High Grade Group 9-12"/>
    <s v="PS26HS"/>
    <s v="PSES High Prog01Act26 S275"/>
    <n v="1"/>
    <x v="2"/>
    <m/>
    <n v="26"/>
    <s v="   "/>
    <n v="2.7690000000000001"/>
    <n v="0.15290000000000001"/>
    <n v="0"/>
    <s v="High Health/_x000a_Related Services"/>
    <x v="2"/>
  </r>
  <r>
    <s v="05323"/>
    <x v="20"/>
    <s v="Personnel"/>
    <s v="E "/>
    <s v="Elementary Grade Group K-6"/>
    <s v="PS42ES"/>
    <s v="PSES Elem Prog01Duty42 S275"/>
    <n v="1"/>
    <x v="5"/>
    <n v="42"/>
    <m/>
    <s v="   "/>
    <n v="4.7430000000000003"/>
    <n v="0.15290000000000001"/>
    <n v="0"/>
    <s v="Elementary Counselor"/>
    <x v="5"/>
  </r>
  <r>
    <s v="05323"/>
    <x v="20"/>
    <s v="Personnel"/>
    <s v="H "/>
    <s v="High Grade Group 9-12"/>
    <s v="PS42HS"/>
    <s v="PSES High Prog01Duty42 S275"/>
    <n v="1"/>
    <x v="5"/>
    <n v="42"/>
    <m/>
    <s v="   "/>
    <n v="1.52"/>
    <n v="0.15290000000000001"/>
    <n v="0"/>
    <s v="High Counselor"/>
    <x v="5"/>
  </r>
  <r>
    <s v="05323"/>
    <x v="20"/>
    <s v="Personnel"/>
    <s v="M "/>
    <s v="Middle Grade Group 7-8"/>
    <s v="PS42MS"/>
    <s v="PSES Mid Prog01Duty42 S275"/>
    <n v="1"/>
    <x v="5"/>
    <n v="42"/>
    <m/>
    <s v="   "/>
    <n v="1.7000000000000001E-2"/>
    <n v="0.15290000000000001"/>
    <n v="0"/>
    <s v="Middle Counselor"/>
    <x v="5"/>
  </r>
  <r>
    <s v="05323"/>
    <x v="20"/>
    <s v="Personnel"/>
    <s v="E "/>
    <s v="Elementary Grade Group K-6"/>
    <s v="PS45E21S"/>
    <s v="PSES Elem Prog21Duty45 S275"/>
    <n v="21"/>
    <x v="7"/>
    <n v="45"/>
    <m/>
    <s v="   "/>
    <n v="2.6259999999999999"/>
    <n v="0.15290000000000001"/>
    <n v="0.40200000000000002"/>
    <s v="Elementary Speech, Language Pathway/_x000a_Audio"/>
    <x v="7"/>
  </r>
  <r>
    <s v="05323"/>
    <x v="20"/>
    <s v="Personnel"/>
    <s v="E "/>
    <s v="Elementary Grade Group K-6"/>
    <s v="PS46E21S"/>
    <s v="PSES Elem Prog21Duty46 S275"/>
    <n v="21"/>
    <x v="8"/>
    <n v="46"/>
    <m/>
    <s v="   "/>
    <n v="2.9950000000000001"/>
    <n v="0.15290000000000001"/>
    <n v="0.45800000000000002"/>
    <s v="Elementary Psychologist"/>
    <x v="8"/>
  </r>
  <r>
    <s v="05323"/>
    <x v="20"/>
    <s v="Personnel"/>
    <s v="E "/>
    <s v="Elementary Grade Group K-6"/>
    <s v="PS47E21S"/>
    <s v="PSES Elem Prog21Duty47 S275"/>
    <n v="21"/>
    <x v="9"/>
    <n v="47"/>
    <m/>
    <s v="   "/>
    <n v="0.12"/>
    <n v="0.15290000000000001"/>
    <n v="1.7999999999999999E-2"/>
    <s v="Elementary Nurse"/>
    <x v="9"/>
  </r>
  <r>
    <s v="05323"/>
    <x v="20"/>
    <s v="Personnel"/>
    <s v="E "/>
    <s v="Elementary Grade Group K-6"/>
    <s v="PS47ES"/>
    <s v="PSES Elem Prog01Duty47 S275"/>
    <n v="1"/>
    <x v="9"/>
    <n v="47"/>
    <m/>
    <s v="   "/>
    <n v="0.875"/>
    <n v="0.15290000000000001"/>
    <n v="0"/>
    <s v="Elementary Nurse"/>
    <x v="9"/>
  </r>
  <r>
    <s v="05323"/>
    <x v="20"/>
    <s v="Personnel"/>
    <s v="E "/>
    <s v="Elementary Grade Group K-6"/>
    <s v="PS48E21S"/>
    <s v="PSES Elem Prog21Duty48 S275"/>
    <n v="21"/>
    <x v="11"/>
    <n v="48"/>
    <m/>
    <s v="   "/>
    <n v="1"/>
    <n v="0.15290000000000001"/>
    <n v="0.153"/>
    <s v="Elementary Physical Therapist"/>
    <x v="11"/>
  </r>
  <r>
    <s v="05401"/>
    <x v="21"/>
    <s v="Personnel"/>
    <s v="E "/>
    <s v="Elementary Grade Group K-6"/>
    <s v="PS42ES"/>
    <s v="PSES Elem Prog01Duty42 S275"/>
    <n v="1"/>
    <x v="5"/>
    <n v="42"/>
    <m/>
    <s v="   "/>
    <n v="0.63800000000000001"/>
    <n v="0.17349999999999999"/>
    <n v="0"/>
    <s v="Elementary Counselor"/>
    <x v="5"/>
  </r>
  <r>
    <s v="05401"/>
    <x v="21"/>
    <s v="Personnel"/>
    <s v="H "/>
    <s v="High Grade Group 9-12"/>
    <s v="PS42HS"/>
    <s v="PSES High Prog01Duty42 S275"/>
    <n v="1"/>
    <x v="5"/>
    <n v="42"/>
    <m/>
    <s v="   "/>
    <n v="1"/>
    <n v="0.17349999999999999"/>
    <n v="0"/>
    <s v="High Counselor"/>
    <x v="5"/>
  </r>
  <r>
    <s v="05402"/>
    <x v="22"/>
    <s v="Personnel"/>
    <s v="H "/>
    <s v="High Grade Group 9-12"/>
    <s v="PS25HS"/>
    <s v="PSES High Prog01Act25 S275"/>
    <n v="1"/>
    <x v="1"/>
    <m/>
    <n v="25"/>
    <s v="   "/>
    <n v="2.2959999999999998"/>
    <n v="0.14960000000000001"/>
    <n v="0"/>
    <s v="High Pupil Management"/>
    <x v="1"/>
  </r>
  <r>
    <s v="05402"/>
    <x v="22"/>
    <s v="Personnel"/>
    <s v="H "/>
    <s v="High Grade Group 9-12"/>
    <s v="PS26H21S"/>
    <s v="PSES High Prog21Act26 S275"/>
    <n v="21"/>
    <x v="2"/>
    <m/>
    <n v="26"/>
    <s v="   "/>
    <n v="7.0000000000000007E-2"/>
    <n v="0.14960000000000001"/>
    <n v="0.01"/>
    <s v="High Health/_x000a_Related Services"/>
    <x v="2"/>
  </r>
  <r>
    <s v="05402"/>
    <x v="22"/>
    <s v="Personnel"/>
    <s v="H "/>
    <s v="High Grade Group 9-12"/>
    <s v="PS26HS"/>
    <s v="PSES High Prog01Act26 S275"/>
    <n v="1"/>
    <x v="2"/>
    <m/>
    <n v="26"/>
    <s v="   "/>
    <n v="0.81499999999999995"/>
    <n v="0.14960000000000001"/>
    <n v="0"/>
    <s v="High Health/_x000a_Related Services"/>
    <x v="2"/>
  </r>
  <r>
    <s v="05402"/>
    <x v="22"/>
    <s v="Personnel"/>
    <s v="E "/>
    <s v="Elementary Grade Group K-6"/>
    <s v="PS42ES"/>
    <s v="PSES Elem Prog01Duty42 S275"/>
    <n v="1"/>
    <x v="5"/>
    <n v="42"/>
    <m/>
    <s v="   "/>
    <n v="1.4999999999999999E-2"/>
    <n v="0.14960000000000001"/>
    <n v="0"/>
    <s v="Elementary Counselor"/>
    <x v="5"/>
  </r>
  <r>
    <s v="05402"/>
    <x v="22"/>
    <s v="Personnel"/>
    <s v="H "/>
    <s v="High Grade Group 9-12"/>
    <s v="PS42HS"/>
    <s v="PSES High Prog01Duty42 S275"/>
    <n v="1"/>
    <x v="5"/>
    <n v="42"/>
    <m/>
    <s v="   "/>
    <n v="0.9"/>
    <n v="0.14960000000000001"/>
    <n v="0"/>
    <s v="High Counselor"/>
    <x v="5"/>
  </r>
  <r>
    <s v="05402"/>
    <x v="22"/>
    <s v="Personnel"/>
    <s v="M "/>
    <s v="Middle Grade Group 7-8"/>
    <s v="PS42MS"/>
    <s v="PSES Mid Prog01Duty42 S275"/>
    <n v="1"/>
    <x v="5"/>
    <n v="42"/>
    <m/>
    <s v="   "/>
    <n v="0.88500000000000001"/>
    <n v="0.14960000000000001"/>
    <n v="0"/>
    <s v="Middle Counselor"/>
    <x v="5"/>
  </r>
  <r>
    <s v="05402"/>
    <x v="22"/>
    <s v="Personnel"/>
    <s v="E "/>
    <s v="Elementary Grade Group K-6"/>
    <s v="PS43E21S"/>
    <s v="PSES Elem Prog21Duty43 S275"/>
    <n v="21"/>
    <x v="6"/>
    <n v="43"/>
    <m/>
    <s v="   "/>
    <n v="0.65400000000000003"/>
    <n v="0.14960000000000001"/>
    <n v="9.8000000000000004E-2"/>
    <s v="Elementary Occupational Therapist"/>
    <x v="6"/>
  </r>
  <r>
    <s v="05402"/>
    <x v="22"/>
    <s v="Personnel"/>
    <s v="H "/>
    <s v="High Grade Group 9-12"/>
    <s v="PS43H21S"/>
    <s v="PSES High Prog21Duty43 S275"/>
    <n v="21"/>
    <x v="6"/>
    <n v="43"/>
    <m/>
    <s v="   "/>
    <n v="0.13800000000000001"/>
    <n v="0.14960000000000001"/>
    <n v="2.1000000000000001E-2"/>
    <s v="High Occupational Therapist"/>
    <x v="6"/>
  </r>
  <r>
    <s v="05402"/>
    <x v="22"/>
    <s v="Personnel"/>
    <s v="M "/>
    <s v="Middle Grade Group 7-8"/>
    <s v="PS43M21S"/>
    <s v="PSES Mid Prog21Duty43 S275"/>
    <n v="21"/>
    <x v="6"/>
    <n v="43"/>
    <m/>
    <s v="   "/>
    <n v="0.104"/>
    <n v="0.14960000000000001"/>
    <n v="1.6E-2"/>
    <s v="Middle Occupational Therapist"/>
    <x v="6"/>
  </r>
  <r>
    <s v="05402"/>
    <x v="22"/>
    <s v="Personnel"/>
    <s v="E "/>
    <s v="Elementary Grade Group K-6"/>
    <s v="PS45E21S"/>
    <s v="PSES Elem Prog21Duty45 S275"/>
    <n v="21"/>
    <x v="7"/>
    <n v="45"/>
    <m/>
    <s v="   "/>
    <n v="0.01"/>
    <n v="0.14960000000000001"/>
    <n v="1E-3"/>
    <s v="Elementary Speech, Language Pathway/_x000a_Audio"/>
    <x v="7"/>
  </r>
  <r>
    <s v="05402"/>
    <x v="22"/>
    <s v="Personnel"/>
    <s v="H "/>
    <s v="High Grade Group 9-12"/>
    <s v="PS45H21S"/>
    <s v="PSES High Prog21Duty45 S275"/>
    <n v="21"/>
    <x v="7"/>
    <n v="45"/>
    <m/>
    <s v="   "/>
    <n v="2E-3"/>
    <n v="0.14960000000000001"/>
    <n v="0"/>
    <s v="High Speech, Language Pathway/_x000a_Audio"/>
    <x v="7"/>
  </r>
  <r>
    <s v="05402"/>
    <x v="22"/>
    <s v="Personnel"/>
    <s v="E "/>
    <s v="Elementary Grade Group K-6"/>
    <s v="PS64E21S"/>
    <s v="PSES Elem Prog21Duty64 S275"/>
    <n v="21"/>
    <x v="12"/>
    <n v="64"/>
    <m/>
    <s v="   "/>
    <n v="0.33"/>
    <n v="0.14960000000000001"/>
    <n v="4.9000000000000002E-2"/>
    <s v="Elementary Contractor ESA"/>
    <x v="12"/>
  </r>
  <r>
    <s v="05402"/>
    <x v="22"/>
    <s v="Personnel"/>
    <s v="H "/>
    <s v="High Grade Group 9-12"/>
    <s v="PS64H21S"/>
    <s v="PSES High Prog21Duty64 S275"/>
    <n v="21"/>
    <x v="12"/>
    <n v="64"/>
    <m/>
    <s v="   "/>
    <n v="0.72299999999999998"/>
    <n v="0.14960000000000001"/>
    <n v="0.108"/>
    <s v="High Contractor ESA"/>
    <x v="12"/>
  </r>
  <r>
    <s v="05402"/>
    <x v="22"/>
    <s v="Personnel"/>
    <s v="M "/>
    <s v="Middle Grade Group 7-8"/>
    <s v="PS64M21S"/>
    <s v="PSES Mid Prog21Duty64 S275"/>
    <n v="21"/>
    <x v="12"/>
    <n v="64"/>
    <m/>
    <s v="   "/>
    <n v="0.20899999999999999"/>
    <n v="0.14960000000000001"/>
    <n v="3.1E-2"/>
    <s v="Middle Contractor ESA"/>
    <x v="12"/>
  </r>
  <r>
    <s v="05903"/>
    <x v="23"/>
    <s v="Personnel"/>
    <s v="E "/>
    <s v="Elementary Grade Group K-6"/>
    <s v="PS44ES"/>
    <s v="PSES Elem Prog01Duty44 S275"/>
    <n v="1"/>
    <x v="13"/>
    <n v="44"/>
    <m/>
    <s v="   "/>
    <n v="1.268"/>
    <n v="0.1067"/>
    <n v="0"/>
    <s v="Elementary Social Worker"/>
    <x v="13"/>
  </r>
  <r>
    <s v="05903"/>
    <x v="23"/>
    <s v="Personnel"/>
    <s v="H "/>
    <s v="High Grade Group 9-12"/>
    <s v="PS44HS"/>
    <s v="PSES High Prog01Duty44 S275"/>
    <n v="1"/>
    <x v="13"/>
    <n v="44"/>
    <m/>
    <s v="   "/>
    <n v="0.45100000000000001"/>
    <n v="0.1067"/>
    <n v="0"/>
    <s v="High Social Worker"/>
    <x v="13"/>
  </r>
  <r>
    <s v="05903"/>
    <x v="23"/>
    <s v="Personnel"/>
    <s v="M "/>
    <s v="Middle Grade Group 7-8"/>
    <s v="PS44MS"/>
    <s v="PSES Mid Prog01Duty44 S275"/>
    <n v="1"/>
    <x v="13"/>
    <n v="44"/>
    <m/>
    <s v="   "/>
    <n v="0.28100000000000003"/>
    <n v="0.1067"/>
    <n v="0"/>
    <s v="Middle Social Worker"/>
    <x v="13"/>
  </r>
  <r>
    <s v="06037"/>
    <x v="24"/>
    <s v="Personnel"/>
    <s v="H "/>
    <s v="High Grade Group 9-12"/>
    <s v="PS24HS"/>
    <s v="PSES High Prog01Duty96 S275"/>
    <n v="1"/>
    <x v="0"/>
    <n v="96"/>
    <n v="24"/>
    <s v="   "/>
    <n v="23.869"/>
    <n v="0.27689999999999998"/>
    <n v="0"/>
    <s v="High Family Engagement Coordinator"/>
    <x v="0"/>
  </r>
  <r>
    <s v="06037"/>
    <x v="24"/>
    <s v="Personnel"/>
    <s v="H "/>
    <s v="High Grade Group 9-12"/>
    <s v="PS25HS"/>
    <s v="PSES High Prog01Act25 S275"/>
    <n v="1"/>
    <x v="1"/>
    <m/>
    <n v="25"/>
    <s v="   "/>
    <n v="54.585000000000001"/>
    <n v="0.27689999999999998"/>
    <n v="0"/>
    <s v="High Pupil Management"/>
    <x v="1"/>
  </r>
  <r>
    <s v="06037"/>
    <x v="24"/>
    <s v="Personnel"/>
    <s v="H "/>
    <s v="High Grade Group 9-12"/>
    <s v="PS26H21S"/>
    <s v="PSES High Prog21Act26 S275"/>
    <n v="21"/>
    <x v="2"/>
    <m/>
    <n v="26"/>
    <s v="   "/>
    <n v="2.2959999999999998"/>
    <n v="0.27689999999999998"/>
    <n v="0.63600000000000001"/>
    <s v="High Health/_x000a_Related Services"/>
    <x v="2"/>
  </r>
  <r>
    <s v="06037"/>
    <x v="24"/>
    <s v="Personnel"/>
    <s v="H "/>
    <s v="High Grade Group 9-12"/>
    <s v="PS26HS"/>
    <s v="PSES High Prog01Act26 S275"/>
    <n v="1"/>
    <x v="2"/>
    <m/>
    <n v="26"/>
    <s v="   "/>
    <n v="0.42099999999999999"/>
    <n v="0.27689999999999998"/>
    <n v="0"/>
    <s v="High Health/_x000a_Related Services"/>
    <x v="2"/>
  </r>
  <r>
    <s v="06037"/>
    <x v="24"/>
    <s v="Personnel"/>
    <s v="H "/>
    <s v="High Grade Group 9-12"/>
    <s v="PS35H97S"/>
    <s v="PSES High Prog97Act35 S275"/>
    <n v="97"/>
    <x v="3"/>
    <m/>
    <n v="35"/>
    <s v="   "/>
    <n v="1.8919999999999999"/>
    <n v="0.27689999999999998"/>
    <n v="0"/>
    <s v="High Pupil Safety"/>
    <x v="3"/>
  </r>
  <r>
    <s v="06037"/>
    <x v="24"/>
    <s v="Personnel"/>
    <s v="H "/>
    <s v="High Grade Group 9-12"/>
    <s v="PS35HS"/>
    <s v="PSES High Prog01Act35 S275"/>
    <n v="1"/>
    <x v="3"/>
    <m/>
    <n v="35"/>
    <s v="   "/>
    <n v="12.811999999999999"/>
    <n v="0.27689999999999998"/>
    <n v="0"/>
    <s v="High Pupil Safety"/>
    <x v="3"/>
  </r>
  <r>
    <s v="06037"/>
    <x v="24"/>
    <s v="Personnel"/>
    <s v="E "/>
    <s v="Elementary Grade Group K-6"/>
    <s v="PS42ES"/>
    <s v="PSES Elem Prog01Duty42 S275"/>
    <n v="1"/>
    <x v="5"/>
    <n v="42"/>
    <m/>
    <s v="   "/>
    <n v="31.245000000000001"/>
    <n v="0.27689999999999998"/>
    <n v="0"/>
    <s v="Elementary Counselor"/>
    <x v="5"/>
  </r>
  <r>
    <s v="06037"/>
    <x v="24"/>
    <s v="Personnel"/>
    <s v="H "/>
    <s v="High Grade Group 9-12"/>
    <s v="PS42HS"/>
    <s v="PSES High Prog01Duty42 S275"/>
    <n v="1"/>
    <x v="5"/>
    <n v="42"/>
    <m/>
    <s v="   "/>
    <n v="22.08"/>
    <n v="0.27689999999999998"/>
    <n v="0"/>
    <s v="High Counselor"/>
    <x v="5"/>
  </r>
  <r>
    <s v="06037"/>
    <x v="24"/>
    <s v="Personnel"/>
    <s v="M "/>
    <s v="Middle Grade Group 7-8"/>
    <s v="PS42MS"/>
    <s v="PSES Mid Prog01Duty42 S275"/>
    <n v="1"/>
    <x v="5"/>
    <n v="42"/>
    <m/>
    <s v="   "/>
    <n v="12.244"/>
    <n v="0.27689999999999998"/>
    <n v="0"/>
    <s v="Middle Counselor"/>
    <x v="5"/>
  </r>
  <r>
    <s v="06037"/>
    <x v="24"/>
    <s v="Personnel"/>
    <s v="E "/>
    <s v="Elementary Grade Group K-6"/>
    <s v="PS43E21S"/>
    <s v="PSES Elem Prog21Duty43 S275"/>
    <n v="21"/>
    <x v="6"/>
    <n v="43"/>
    <m/>
    <s v="   "/>
    <n v="16.585999999999999"/>
    <n v="0.27689999999999998"/>
    <n v="4.593"/>
    <s v="Elementary Occupational Therapist"/>
    <x v="6"/>
  </r>
  <r>
    <s v="06037"/>
    <x v="24"/>
    <s v="Personnel"/>
    <s v="H "/>
    <s v="High Grade Group 9-12"/>
    <s v="PS43H21S"/>
    <s v="PSES High Prog21Duty43 S275"/>
    <n v="21"/>
    <x v="6"/>
    <n v="43"/>
    <m/>
    <s v="   "/>
    <n v="1.0489999999999999"/>
    <n v="0.27689999999999998"/>
    <n v="0.28999999999999998"/>
    <s v="High Occupational Therapist"/>
    <x v="6"/>
  </r>
  <r>
    <s v="06037"/>
    <x v="24"/>
    <s v="Personnel"/>
    <s v="M "/>
    <s v="Middle Grade Group 7-8"/>
    <s v="PS43M21S"/>
    <s v="PSES Mid Prog21Duty43 S275"/>
    <n v="21"/>
    <x v="6"/>
    <n v="43"/>
    <m/>
    <s v="   "/>
    <n v="1.998"/>
    <n v="0.27689999999999998"/>
    <n v="0.55300000000000005"/>
    <s v="Middle Occupational Therapist"/>
    <x v="6"/>
  </r>
  <r>
    <s v="06037"/>
    <x v="24"/>
    <s v="Personnel"/>
    <s v="E "/>
    <s v="Elementary Grade Group K-6"/>
    <s v="PS45E21S"/>
    <s v="PSES Elem Prog21Duty45 S275"/>
    <n v="21"/>
    <x v="7"/>
    <n v="45"/>
    <m/>
    <s v="   "/>
    <n v="34.188000000000002"/>
    <n v="0.27689999999999998"/>
    <n v="9.4670000000000005"/>
    <s v="Elementary Speech, Language Pathway/_x000a_Audio"/>
    <x v="7"/>
  </r>
  <r>
    <s v="06037"/>
    <x v="24"/>
    <s v="Personnel"/>
    <s v="H "/>
    <s v="High Grade Group 9-12"/>
    <s v="PS45H21S"/>
    <s v="PSES High Prog21Duty45 S275"/>
    <n v="21"/>
    <x v="7"/>
    <n v="45"/>
    <m/>
    <s v="   "/>
    <n v="7.9340000000000002"/>
    <n v="0.27689999999999998"/>
    <n v="2.1970000000000001"/>
    <s v="High Speech, Language Pathway/_x000a_Audio"/>
    <x v="7"/>
  </r>
  <r>
    <s v="06037"/>
    <x v="24"/>
    <s v="Personnel"/>
    <s v="M "/>
    <s v="Middle Grade Group 7-8"/>
    <s v="PS45M21S"/>
    <s v="PSES Mid Prog21Duty45 S275"/>
    <n v="21"/>
    <x v="7"/>
    <n v="45"/>
    <m/>
    <s v="   "/>
    <n v="4.9930000000000003"/>
    <n v="0.27689999999999998"/>
    <n v="1.383"/>
    <s v="Middle Speech, Language Pathway/_x000a_Audio"/>
    <x v="7"/>
  </r>
  <r>
    <s v="06037"/>
    <x v="24"/>
    <s v="Personnel"/>
    <s v="E "/>
    <s v="Elementary Grade Group K-6"/>
    <s v="PS46E21S"/>
    <s v="PSES Elem Prog21Duty46 S275"/>
    <n v="21"/>
    <x v="8"/>
    <n v="46"/>
    <m/>
    <s v="   "/>
    <n v="12.129"/>
    <n v="0.27689999999999998"/>
    <n v="3.359"/>
    <s v="Elementary Psychologist"/>
    <x v="8"/>
  </r>
  <r>
    <s v="06037"/>
    <x v="24"/>
    <s v="Personnel"/>
    <s v="H "/>
    <s v="High Grade Group 9-12"/>
    <s v="PS46H21S"/>
    <s v="PSES High Prog21Duty46 S275"/>
    <n v="21"/>
    <x v="8"/>
    <n v="46"/>
    <m/>
    <s v="   "/>
    <n v="6.8479999999999999"/>
    <n v="0.27689999999999998"/>
    <n v="1.8959999999999999"/>
    <s v="High Psychologist"/>
    <x v="8"/>
  </r>
  <r>
    <s v="06037"/>
    <x v="24"/>
    <s v="Personnel"/>
    <s v="M "/>
    <s v="Middle Grade Group 7-8"/>
    <s v="PS46M21S"/>
    <s v="PSES Mid Prog21Duty46 S275"/>
    <n v="21"/>
    <x v="8"/>
    <n v="46"/>
    <m/>
    <s v="   "/>
    <n v="3.22"/>
    <n v="0.27689999999999998"/>
    <n v="0.89200000000000002"/>
    <s v="Middle Psychologist"/>
    <x v="8"/>
  </r>
  <r>
    <s v="06037"/>
    <x v="24"/>
    <s v="Personnel"/>
    <s v="E "/>
    <s v="Elementary Grade Group K-6"/>
    <s v="PS47E21S"/>
    <s v="PSES Elem Prog21Duty47 S275"/>
    <n v="21"/>
    <x v="9"/>
    <n v="47"/>
    <m/>
    <s v="   "/>
    <n v="0.05"/>
    <n v="0.27689999999999998"/>
    <n v="1.4E-2"/>
    <s v="Elementary Nurse"/>
    <x v="9"/>
  </r>
  <r>
    <s v="06037"/>
    <x v="24"/>
    <s v="Personnel"/>
    <s v="E "/>
    <s v="Elementary Grade Group K-6"/>
    <s v="PS47ES"/>
    <s v="PSES Elem Prog01Duty47 S275"/>
    <n v="1"/>
    <x v="9"/>
    <n v="47"/>
    <m/>
    <s v="   "/>
    <n v="8.76"/>
    <n v="0.27689999999999998"/>
    <n v="0"/>
    <s v="Elementary Nurse"/>
    <x v="9"/>
  </r>
  <r>
    <s v="06037"/>
    <x v="24"/>
    <s v="Personnel"/>
    <s v="H "/>
    <s v="High Grade Group 9-12"/>
    <s v="PS47H21S"/>
    <s v="PSES High Prog21Duty47 S275"/>
    <n v="21"/>
    <x v="9"/>
    <n v="47"/>
    <m/>
    <s v="   "/>
    <n v="2.7E-2"/>
    <n v="0.27689999999999998"/>
    <n v="7.0000000000000001E-3"/>
    <s v="High Nurse"/>
    <x v="9"/>
  </r>
  <r>
    <s v="06037"/>
    <x v="24"/>
    <s v="Personnel"/>
    <s v="H "/>
    <s v="High Grade Group 9-12"/>
    <s v="PS47HS"/>
    <s v="PSES High Prog01Duty47 S275"/>
    <n v="1"/>
    <x v="9"/>
    <n v="47"/>
    <m/>
    <s v="   "/>
    <n v="6.3710000000000004"/>
    <n v="0.27689999999999998"/>
    <n v="0"/>
    <s v="High Nurse"/>
    <x v="9"/>
  </r>
  <r>
    <s v="06037"/>
    <x v="24"/>
    <s v="Personnel"/>
    <s v="M "/>
    <s v="Middle Grade Group 7-8"/>
    <s v="PS47M21S"/>
    <s v="PSES Mid Prog21Duty47 S275"/>
    <n v="21"/>
    <x v="9"/>
    <n v="47"/>
    <m/>
    <s v="   "/>
    <n v="2.3E-2"/>
    <n v="0.27689999999999998"/>
    <n v="6.0000000000000001E-3"/>
    <s v="Middle Nurse"/>
    <x v="9"/>
  </r>
  <r>
    <s v="06037"/>
    <x v="24"/>
    <s v="Personnel"/>
    <s v="M "/>
    <s v="Middle Grade Group 7-8"/>
    <s v="PS47MS"/>
    <s v="PSES Mid Prog01Duty47 S275"/>
    <n v="1"/>
    <x v="9"/>
    <n v="47"/>
    <m/>
    <s v="   "/>
    <n v="3.78"/>
    <n v="0.27689999999999998"/>
    <n v="0"/>
    <s v="Middle Nurse"/>
    <x v="9"/>
  </r>
  <r>
    <s v="06037"/>
    <x v="24"/>
    <s v="Personnel"/>
    <s v="E "/>
    <s v="Elementary Grade Group K-6"/>
    <s v="PS48E21S"/>
    <s v="PSES Elem Prog21Duty48 S275"/>
    <n v="21"/>
    <x v="11"/>
    <n v="48"/>
    <m/>
    <s v="   "/>
    <n v="2.823"/>
    <n v="0.27689999999999998"/>
    <n v="0.78200000000000003"/>
    <s v="Elementary Physical Therapist"/>
    <x v="11"/>
  </r>
  <r>
    <s v="06037"/>
    <x v="24"/>
    <s v="Personnel"/>
    <s v="H "/>
    <s v="High Grade Group 9-12"/>
    <s v="PS48H21S"/>
    <s v="PSES High Prog21Duty48 S275"/>
    <n v="21"/>
    <x v="11"/>
    <n v="48"/>
    <m/>
    <s v="   "/>
    <n v="0.23699999999999999"/>
    <n v="0.27689999999999998"/>
    <n v="6.6000000000000003E-2"/>
    <s v="High Physical Therapist"/>
    <x v="11"/>
  </r>
  <r>
    <s v="06037"/>
    <x v="24"/>
    <s v="Personnel"/>
    <s v="M "/>
    <s v="Middle Grade Group 7-8"/>
    <s v="PS48M21S"/>
    <s v="PSES Mid Prog21Duty48 S275"/>
    <n v="21"/>
    <x v="11"/>
    <n v="48"/>
    <m/>
    <s v="   "/>
    <n v="0.34"/>
    <n v="0.27689999999999998"/>
    <n v="9.4E-2"/>
    <s v="Middle Physical Therapist"/>
    <x v="11"/>
  </r>
  <r>
    <s v="06098"/>
    <x v="25"/>
    <s v="Personnel"/>
    <s v="E "/>
    <s v="Elementary Grade Group K-6"/>
    <s v="PS35ES"/>
    <s v="PSES Elem Prog01Act35 S275"/>
    <n v="1"/>
    <x v="3"/>
    <m/>
    <n v="35"/>
    <s v="   "/>
    <n v="0.754"/>
    <n v="0.1608"/>
    <n v="0"/>
    <s v="Elementary Pupil Safety"/>
    <x v="3"/>
  </r>
  <r>
    <s v="06098"/>
    <x v="25"/>
    <s v="Personnel"/>
    <s v="H "/>
    <s v="High Grade Group 9-12"/>
    <s v="PS35HS"/>
    <s v="PSES High Prog01Act35 S275"/>
    <n v="1"/>
    <x v="3"/>
    <m/>
    <n v="35"/>
    <s v="   "/>
    <n v="0.754"/>
    <n v="0.1608"/>
    <n v="0"/>
    <s v="High Pupil Safety"/>
    <x v="3"/>
  </r>
  <r>
    <s v="06098"/>
    <x v="25"/>
    <s v="Personnel"/>
    <s v="M "/>
    <s v="Middle Grade Group 7-8"/>
    <s v="PS35MS"/>
    <s v="PSES Mid Prog01Act35 S275"/>
    <n v="1"/>
    <x v="3"/>
    <m/>
    <n v="35"/>
    <s v="   "/>
    <n v="0.754"/>
    <n v="0.1608"/>
    <n v="0"/>
    <s v="Middle Pupil Safety"/>
    <x v="3"/>
  </r>
  <r>
    <s v="06098"/>
    <x v="25"/>
    <s v="Personnel"/>
    <s v="E "/>
    <s v="Elementary Grade Group K-6"/>
    <s v="PS42ES"/>
    <s v="PSES Elem Prog01Duty42 S275"/>
    <n v="1"/>
    <x v="5"/>
    <n v="42"/>
    <m/>
    <s v="   "/>
    <n v="1"/>
    <n v="0.1608"/>
    <n v="0"/>
    <s v="Elementary Counselor"/>
    <x v="5"/>
  </r>
  <r>
    <s v="06098"/>
    <x v="25"/>
    <s v="Personnel"/>
    <s v="H "/>
    <s v="High Grade Group 9-12"/>
    <s v="PS42HS"/>
    <s v="PSES High Prog01Duty42 S275"/>
    <n v="1"/>
    <x v="5"/>
    <n v="42"/>
    <m/>
    <s v="   "/>
    <n v="2"/>
    <n v="0.1608"/>
    <n v="0"/>
    <s v="High Counselor"/>
    <x v="5"/>
  </r>
  <r>
    <s v="06098"/>
    <x v="25"/>
    <s v="Personnel"/>
    <s v="M "/>
    <s v="Middle Grade Group 7-8"/>
    <s v="PS42MS"/>
    <s v="PSES Mid Prog01Duty42 S275"/>
    <n v="1"/>
    <x v="5"/>
    <n v="42"/>
    <m/>
    <s v="   "/>
    <n v="1"/>
    <n v="0.1608"/>
    <n v="0"/>
    <s v="Middle Counselor"/>
    <x v="5"/>
  </r>
  <r>
    <s v="06098"/>
    <x v="25"/>
    <s v="Personnel"/>
    <s v="E "/>
    <s v="Elementary Grade Group K-6"/>
    <s v="PS43E21S"/>
    <s v="PSES Elem Prog21Duty43 S275"/>
    <n v="21"/>
    <x v="6"/>
    <n v="43"/>
    <m/>
    <s v="   "/>
    <n v="3"/>
    <n v="0.1608"/>
    <n v="0.48199999999999998"/>
    <s v="Elementary Occupational Therapist"/>
    <x v="6"/>
  </r>
  <r>
    <s v="06098"/>
    <x v="25"/>
    <s v="Personnel"/>
    <s v="E "/>
    <s v="Elementary Grade Group K-6"/>
    <s v="PS44E09S"/>
    <s v="PSES Elem Prog09Duty44 S275"/>
    <n v="9"/>
    <x v="13"/>
    <n v="44"/>
    <m/>
    <s v="   "/>
    <n v="0.5"/>
    <n v="0.1608"/>
    <n v="0"/>
    <s v="TK Social Worker"/>
    <x v="13"/>
  </r>
  <r>
    <s v="06098"/>
    <x v="25"/>
    <s v="Personnel"/>
    <s v="E "/>
    <s v="Elementary Grade Group K-6"/>
    <s v="PS44E21S"/>
    <s v="PSES Elem Prog21Duty44 S275"/>
    <n v="21"/>
    <x v="13"/>
    <n v="44"/>
    <m/>
    <s v="   "/>
    <n v="0.6"/>
    <n v="0.1608"/>
    <n v="9.6000000000000002E-2"/>
    <s v="Elementary Social Worker"/>
    <x v="13"/>
  </r>
  <r>
    <s v="06098"/>
    <x v="25"/>
    <s v="Personnel"/>
    <s v="E "/>
    <s v="Elementary Grade Group K-6"/>
    <s v="PS44ES"/>
    <s v="PSES Elem Prog01Duty44 S275"/>
    <n v="1"/>
    <x v="13"/>
    <n v="44"/>
    <m/>
    <s v="   "/>
    <n v="0.4"/>
    <n v="0.1608"/>
    <n v="0"/>
    <s v="Elementary Social Worker"/>
    <x v="13"/>
  </r>
  <r>
    <s v="06098"/>
    <x v="25"/>
    <s v="Personnel"/>
    <s v="E "/>
    <s v="Elementary Grade Group K-6"/>
    <s v="PS46E21S"/>
    <s v="PSES Elem Prog21Duty46 S275"/>
    <n v="21"/>
    <x v="8"/>
    <n v="46"/>
    <m/>
    <s v="   "/>
    <n v="0.95"/>
    <n v="0.1608"/>
    <n v="0.153"/>
    <s v="Elementary Psychologist"/>
    <x v="8"/>
  </r>
  <r>
    <s v="06098"/>
    <x v="25"/>
    <s v="Personnel"/>
    <s v="H "/>
    <s v="High Grade Group 9-12"/>
    <s v="PS46H21S"/>
    <s v="PSES High Prog21Duty46 S275"/>
    <n v="21"/>
    <x v="8"/>
    <n v="46"/>
    <m/>
    <s v="   "/>
    <n v="0.45"/>
    <n v="0.1608"/>
    <n v="7.1999999999999995E-2"/>
    <s v="High Psychologist"/>
    <x v="8"/>
  </r>
  <r>
    <s v="06098"/>
    <x v="25"/>
    <s v="Personnel"/>
    <s v="M "/>
    <s v="Middle Grade Group 7-8"/>
    <s v="PS46M21S"/>
    <s v="PSES Mid Prog21Duty46 S275"/>
    <n v="21"/>
    <x v="8"/>
    <n v="46"/>
    <m/>
    <s v="   "/>
    <n v="0.5"/>
    <n v="0.1608"/>
    <n v="0.08"/>
    <s v="Middle Psychologist"/>
    <x v="8"/>
  </r>
  <r>
    <s v="06098"/>
    <x v="25"/>
    <s v="Personnel"/>
    <s v="E "/>
    <s v="Elementary Grade Group K-6"/>
    <s v="PS48E21S"/>
    <s v="PSES Elem Prog21Duty48 S275"/>
    <n v="21"/>
    <x v="11"/>
    <n v="48"/>
    <m/>
    <s v="   "/>
    <n v="0.4"/>
    <n v="0.1608"/>
    <n v="6.4000000000000001E-2"/>
    <s v="Elementary Physical Therapist"/>
    <x v="11"/>
  </r>
  <r>
    <s v="06101"/>
    <x v="26"/>
    <s v="Personnel"/>
    <s v="E "/>
    <s v="Elementary Grade Group K-6"/>
    <s v="PS25ES"/>
    <s v="PSES Elem Prog01Act25 S275"/>
    <n v="1"/>
    <x v="1"/>
    <m/>
    <n v="25"/>
    <s v="   "/>
    <n v="1.7949999999999999"/>
    <n v="0.2359"/>
    <n v="0"/>
    <s v="Elementary Pupil Management"/>
    <x v="1"/>
  </r>
  <r>
    <s v="06101"/>
    <x v="26"/>
    <s v="Personnel"/>
    <s v="H "/>
    <s v="High Grade Group 9-12"/>
    <s v="PS25HS"/>
    <s v="PSES High Prog01Act25 S275"/>
    <n v="1"/>
    <x v="1"/>
    <m/>
    <n v="25"/>
    <s v="   "/>
    <n v="1.9E-2"/>
    <n v="0.2359"/>
    <n v="0"/>
    <s v="High Pupil Management"/>
    <x v="1"/>
  </r>
  <r>
    <s v="06101"/>
    <x v="26"/>
    <s v="Personnel"/>
    <s v="M "/>
    <s v="Middle Grade Group 7-8"/>
    <s v="PS25MS"/>
    <s v="PSES Mid Prog01Act25 S275"/>
    <n v="1"/>
    <x v="1"/>
    <m/>
    <n v="25"/>
    <s v="   "/>
    <n v="0.105"/>
    <n v="0.2359"/>
    <n v="0"/>
    <s v="Middle Pupil Management"/>
    <x v="1"/>
  </r>
  <r>
    <s v="06101"/>
    <x v="26"/>
    <s v="Personnel"/>
    <s v="E "/>
    <s v="Elementary Grade Group K-6"/>
    <s v="PS26ES"/>
    <s v="PSES Elem Prog01Act26 S275"/>
    <n v="1"/>
    <x v="2"/>
    <m/>
    <n v="26"/>
    <s v="   "/>
    <n v="0.69899999999999995"/>
    <n v="0.2359"/>
    <n v="0"/>
    <s v="Elementary Health/_x000a_Related Services"/>
    <x v="2"/>
  </r>
  <r>
    <s v="06101"/>
    <x v="26"/>
    <s v="Personnel"/>
    <s v="E "/>
    <s v="Elementary Grade Group K-6"/>
    <s v="PS42ES"/>
    <s v="PSES Elem Prog01Duty42 S275"/>
    <n v="1"/>
    <x v="5"/>
    <n v="42"/>
    <m/>
    <s v="   "/>
    <n v="2.33"/>
    <n v="0.2359"/>
    <n v="0"/>
    <s v="Elementary Counselor"/>
    <x v="5"/>
  </r>
  <r>
    <s v="06101"/>
    <x v="26"/>
    <s v="Personnel"/>
    <s v="H "/>
    <s v="High Grade Group 9-12"/>
    <s v="PS42HS"/>
    <s v="PSES High Prog01Duty42 S275"/>
    <n v="1"/>
    <x v="5"/>
    <n v="42"/>
    <m/>
    <s v="   "/>
    <n v="1.66"/>
    <n v="0.2359"/>
    <n v="0"/>
    <s v="High Counselor"/>
    <x v="5"/>
  </r>
  <r>
    <s v="06101"/>
    <x v="26"/>
    <s v="Personnel"/>
    <s v="M "/>
    <s v="Middle Grade Group 7-8"/>
    <s v="PS42MS"/>
    <s v="PSES Mid Prog01Duty42 S275"/>
    <n v="1"/>
    <x v="5"/>
    <n v="42"/>
    <m/>
    <s v="   "/>
    <n v="0.56999999999999995"/>
    <n v="0.2359"/>
    <n v="0"/>
    <s v="Middle Counselor"/>
    <x v="5"/>
  </r>
  <r>
    <s v="06101"/>
    <x v="26"/>
    <s v="Personnel"/>
    <s v="E "/>
    <s v="Elementary Grade Group K-6"/>
    <s v="PS45E21S"/>
    <s v="PSES Elem Prog21Duty45 S275"/>
    <n v="21"/>
    <x v="7"/>
    <n v="45"/>
    <m/>
    <s v="   "/>
    <n v="2.59"/>
    <n v="0.2359"/>
    <n v="0.61099999999999999"/>
    <s v="Elementary Speech, Language Pathway/_x000a_Audio"/>
    <x v="7"/>
  </r>
  <r>
    <s v="06101"/>
    <x v="26"/>
    <s v="Personnel"/>
    <s v="H "/>
    <s v="High Grade Group 9-12"/>
    <s v="PS45H21S"/>
    <s v="PSES High Prog21Duty45 S275"/>
    <n v="21"/>
    <x v="7"/>
    <n v="45"/>
    <m/>
    <s v="   "/>
    <n v="0.22"/>
    <n v="0.2359"/>
    <n v="5.1999999999999998E-2"/>
    <s v="High Speech, Language Pathway/_x000a_Audio"/>
    <x v="7"/>
  </r>
  <r>
    <s v="06101"/>
    <x v="26"/>
    <s v="Personnel"/>
    <s v="M "/>
    <s v="Middle Grade Group 7-8"/>
    <s v="PS45M21S"/>
    <s v="PSES Mid Prog21Duty45 S275"/>
    <n v="21"/>
    <x v="7"/>
    <n v="45"/>
    <m/>
    <s v="   "/>
    <n v="0.19"/>
    <n v="0.2359"/>
    <n v="4.4999999999999998E-2"/>
    <s v="Middle Speech, Language Pathway/_x000a_Audio"/>
    <x v="7"/>
  </r>
  <r>
    <s v="06101"/>
    <x v="26"/>
    <s v="Personnel"/>
    <s v="E "/>
    <s v="Elementary Grade Group K-6"/>
    <s v="PS64E21S"/>
    <s v="PSES Elem Prog21Duty64 S275"/>
    <n v="21"/>
    <x v="12"/>
    <n v="64"/>
    <m/>
    <s v="   "/>
    <n v="0.57099999999999995"/>
    <n v="0.2359"/>
    <n v="0.13500000000000001"/>
    <s v="Elementary Contractor ESA"/>
    <x v="12"/>
  </r>
  <r>
    <s v="06103"/>
    <x v="27"/>
    <s v="Personnel"/>
    <s v="H "/>
    <s v="High Grade Group 9-12"/>
    <s v="PS25HS"/>
    <s v="PSES High Prog01Act25 S275"/>
    <n v="1"/>
    <x v="1"/>
    <m/>
    <n v="25"/>
    <s v="   "/>
    <n v="0.55200000000000005"/>
    <n v="0.1913"/>
    <n v="0"/>
    <s v="High Pupil Management"/>
    <x v="1"/>
  </r>
  <r>
    <s v="06103"/>
    <x v="27"/>
    <s v="Personnel"/>
    <s v="H "/>
    <s v="High Grade Group 9-12"/>
    <s v="PS26HS"/>
    <s v="PSES High Prog01Act26 S275"/>
    <n v="1"/>
    <x v="2"/>
    <m/>
    <n v="26"/>
    <s v="   "/>
    <n v="0.25"/>
    <n v="0.1913"/>
    <n v="0"/>
    <s v="High Health/_x000a_Related Services"/>
    <x v="2"/>
  </r>
  <r>
    <s v="06103"/>
    <x v="27"/>
    <s v="Personnel"/>
    <s v="M "/>
    <s v="Middle Grade Group 7-8"/>
    <s v="PS42MS"/>
    <s v="PSES Mid Prog01Duty42 S275"/>
    <n v="1"/>
    <x v="5"/>
    <n v="42"/>
    <m/>
    <s v="   "/>
    <n v="0.34399999999999997"/>
    <n v="0.1913"/>
    <n v="0"/>
    <s v="Middle Counselor"/>
    <x v="5"/>
  </r>
  <r>
    <s v="06112"/>
    <x v="28"/>
    <s v="Personnel"/>
    <s v="E "/>
    <s v="Elementary Grade Group K-6"/>
    <s v="PS24ES"/>
    <s v="PSES Elem Prog01Duty96 S275"/>
    <n v="1"/>
    <x v="0"/>
    <n v="96"/>
    <n v="24"/>
    <s v="   "/>
    <n v="0.61399999999999999"/>
    <n v="0.2361"/>
    <n v="0"/>
    <s v="Elementary Family Engagement Coordinator"/>
    <x v="0"/>
  </r>
  <r>
    <s v="06112"/>
    <x v="28"/>
    <s v="Personnel"/>
    <s v="H "/>
    <s v="High Grade Group 9-12"/>
    <s v="PS24HS"/>
    <s v="PSES High Prog01Duty96 S275"/>
    <n v="1"/>
    <x v="0"/>
    <n v="96"/>
    <n v="24"/>
    <s v="   "/>
    <n v="0.53700000000000003"/>
    <n v="0.2361"/>
    <n v="0"/>
    <s v="High Family Engagement Coordinator"/>
    <x v="0"/>
  </r>
  <r>
    <s v="06112"/>
    <x v="28"/>
    <s v="Personnel"/>
    <s v="M "/>
    <s v="Middle Grade Group 7-8"/>
    <s v="PS24MS"/>
    <s v="PSES Mid Prog01Duty96 S275"/>
    <n v="1"/>
    <x v="0"/>
    <n v="96"/>
    <n v="24"/>
    <s v="   "/>
    <n v="0.20799999999999999"/>
    <n v="0.2361"/>
    <n v="0"/>
    <s v="Middle Family Engagement Coordinator"/>
    <x v="0"/>
  </r>
  <r>
    <s v="06112"/>
    <x v="28"/>
    <s v="Personnel"/>
    <s v="E "/>
    <s v="Elementary Grade Group K-6"/>
    <s v="PS25ES"/>
    <s v="PSES Elem Prog01Act25 S275"/>
    <n v="1"/>
    <x v="1"/>
    <m/>
    <n v="25"/>
    <s v="   "/>
    <n v="2.9620000000000002"/>
    <n v="0.2361"/>
    <n v="0"/>
    <s v="Elementary Pupil Management"/>
    <x v="1"/>
  </r>
  <r>
    <s v="06112"/>
    <x v="28"/>
    <s v="Personnel"/>
    <s v="H "/>
    <s v="High Grade Group 9-12"/>
    <s v="PS25HS"/>
    <s v="PSES High Prog01Act25 S275"/>
    <n v="1"/>
    <x v="1"/>
    <m/>
    <n v="25"/>
    <s v="   "/>
    <n v="0.76700000000000002"/>
    <n v="0.2361"/>
    <n v="0"/>
    <s v="High Pupil Management"/>
    <x v="1"/>
  </r>
  <r>
    <s v="06112"/>
    <x v="28"/>
    <s v="Personnel"/>
    <s v="M "/>
    <s v="Middle Grade Group 7-8"/>
    <s v="PS25MS"/>
    <s v="PSES Mid Prog01Act25 S275"/>
    <n v="1"/>
    <x v="1"/>
    <m/>
    <n v="25"/>
    <s v="   "/>
    <n v="0.215"/>
    <n v="0.2361"/>
    <n v="0"/>
    <s v="Middle Pupil Management"/>
    <x v="1"/>
  </r>
  <r>
    <s v="06112"/>
    <x v="28"/>
    <s v="Personnel"/>
    <s v="H "/>
    <s v="High Grade Group 9-12"/>
    <s v="PS35HS"/>
    <s v="PSES High Prog01Act35 S275"/>
    <n v="1"/>
    <x v="3"/>
    <m/>
    <n v="35"/>
    <s v="   "/>
    <n v="1.3340000000000001"/>
    <n v="0.2361"/>
    <n v="0"/>
    <s v="High Pupil Safety"/>
    <x v="3"/>
  </r>
  <r>
    <s v="06112"/>
    <x v="28"/>
    <s v="Personnel"/>
    <s v="E "/>
    <s v="Elementary Grade Group K-6"/>
    <s v="PS42ES"/>
    <s v="PSES Elem Prog01Duty42 S275"/>
    <n v="1"/>
    <x v="5"/>
    <n v="42"/>
    <m/>
    <s v="   "/>
    <n v="3.9409999999999998"/>
    <n v="0.2361"/>
    <n v="0"/>
    <s v="Elementary Counselor"/>
    <x v="5"/>
  </r>
  <r>
    <s v="06112"/>
    <x v="28"/>
    <s v="Personnel"/>
    <s v="H "/>
    <s v="High Grade Group 9-12"/>
    <s v="PS42HS"/>
    <s v="PSES High Prog01Duty42 S275"/>
    <n v="1"/>
    <x v="5"/>
    <n v="42"/>
    <m/>
    <s v="   "/>
    <n v="2.2719999999999998"/>
    <n v="0.2361"/>
    <n v="0"/>
    <s v="High Counselor"/>
    <x v="5"/>
  </r>
  <r>
    <s v="06112"/>
    <x v="28"/>
    <s v="Personnel"/>
    <s v="M "/>
    <s v="Middle Grade Group 7-8"/>
    <s v="PS42MS"/>
    <s v="PSES Mid Prog01Duty42 S275"/>
    <n v="1"/>
    <x v="5"/>
    <n v="42"/>
    <m/>
    <s v="   "/>
    <n v="1.0369999999999999"/>
    <n v="0.2361"/>
    <n v="0"/>
    <s v="Middle Counselor"/>
    <x v="5"/>
  </r>
  <r>
    <s v="06112"/>
    <x v="28"/>
    <s v="Personnel"/>
    <s v="E "/>
    <s v="Elementary Grade Group K-6"/>
    <s v="PS43E21S"/>
    <s v="PSES Elem Prog21Duty43 S275"/>
    <n v="21"/>
    <x v="6"/>
    <n v="43"/>
    <m/>
    <s v="   "/>
    <n v="0.92"/>
    <n v="0.2361"/>
    <n v="0.217"/>
    <s v="Elementary Occupational Therapist"/>
    <x v="6"/>
  </r>
  <r>
    <s v="06112"/>
    <x v="28"/>
    <s v="Personnel"/>
    <s v="H "/>
    <s v="High Grade Group 9-12"/>
    <s v="PS43H21S"/>
    <s v="PSES High Prog21Duty43 S275"/>
    <n v="21"/>
    <x v="6"/>
    <n v="43"/>
    <m/>
    <s v="   "/>
    <n v="0.48"/>
    <n v="0.2361"/>
    <n v="0.113"/>
    <s v="High Occupational Therapist"/>
    <x v="6"/>
  </r>
  <r>
    <s v="06112"/>
    <x v="28"/>
    <s v="Personnel"/>
    <s v="E "/>
    <s v="Elementary Grade Group K-6"/>
    <s v="PS45E21S"/>
    <s v="PSES Elem Prog21Duty45 S275"/>
    <n v="21"/>
    <x v="7"/>
    <n v="45"/>
    <m/>
    <s v="   "/>
    <n v="3.9140000000000001"/>
    <n v="0.2361"/>
    <n v="0.92400000000000004"/>
    <s v="Elementary Speech, Language Pathway/_x000a_Audio"/>
    <x v="7"/>
  </r>
  <r>
    <s v="06112"/>
    <x v="28"/>
    <s v="Personnel"/>
    <s v="H "/>
    <s v="High Grade Group 9-12"/>
    <s v="PS45H21S"/>
    <s v="PSES High Prog21Duty45 S275"/>
    <n v="21"/>
    <x v="7"/>
    <n v="45"/>
    <m/>
    <s v="   "/>
    <n v="1"/>
    <n v="0.2361"/>
    <n v="0.23599999999999999"/>
    <s v="High Speech, Language Pathway/_x000a_Audio"/>
    <x v="7"/>
  </r>
  <r>
    <s v="06112"/>
    <x v="28"/>
    <s v="Personnel"/>
    <s v="M "/>
    <s v="Middle Grade Group 7-8"/>
    <s v="PS45M21S"/>
    <s v="PSES Mid Prog21Duty45 S275"/>
    <n v="21"/>
    <x v="7"/>
    <n v="45"/>
    <m/>
    <s v="   "/>
    <n v="0.67500000000000004"/>
    <n v="0.2361"/>
    <n v="0.159"/>
    <s v="Middle Speech, Language Pathway/_x000a_Audio"/>
    <x v="7"/>
  </r>
  <r>
    <s v="06112"/>
    <x v="28"/>
    <s v="Personnel"/>
    <s v="E "/>
    <s v="Elementary Grade Group K-6"/>
    <s v="PS48E21S"/>
    <s v="PSES Elem Prog21Duty48 S275"/>
    <n v="21"/>
    <x v="11"/>
    <n v="48"/>
    <m/>
    <s v="   "/>
    <n v="0.2"/>
    <n v="0.2361"/>
    <n v="4.7E-2"/>
    <s v="Elementary Physical Therapist"/>
    <x v="11"/>
  </r>
  <r>
    <s v="06114"/>
    <x v="29"/>
    <s v="Personnel"/>
    <s v="H "/>
    <s v="High Grade Group 9-12"/>
    <s v="PS25H21S"/>
    <s v="PSES High Prog21Act25 S275"/>
    <n v="21"/>
    <x v="1"/>
    <m/>
    <n v="25"/>
    <s v="   "/>
    <n v="0.83199999999999996"/>
    <n v="0.21540000000000001"/>
    <n v="0.17899999999999999"/>
    <s v="High Pupil Management"/>
    <x v="1"/>
  </r>
  <r>
    <s v="06114"/>
    <x v="29"/>
    <s v="Personnel"/>
    <s v="H "/>
    <s v="High Grade Group 9-12"/>
    <s v="PS25HS"/>
    <s v="PSES High Prog01Act25 S275"/>
    <n v="1"/>
    <x v="1"/>
    <m/>
    <n v="25"/>
    <s v="   "/>
    <n v="36.594999999999999"/>
    <n v="0.21540000000000001"/>
    <n v="0"/>
    <s v="High Pupil Management"/>
    <x v="1"/>
  </r>
  <r>
    <s v="06114"/>
    <x v="29"/>
    <s v="Personnel"/>
    <s v="H "/>
    <s v="High Grade Group 9-12"/>
    <s v="PS26H21S"/>
    <s v="PSES High Prog21Act26 S275"/>
    <n v="21"/>
    <x v="2"/>
    <m/>
    <n v="26"/>
    <s v="   "/>
    <n v="3.3460000000000001"/>
    <n v="0.21540000000000001"/>
    <n v="0.72099999999999997"/>
    <s v="High Health/_x000a_Related Services"/>
    <x v="2"/>
  </r>
  <r>
    <s v="06114"/>
    <x v="29"/>
    <s v="Personnel"/>
    <s v="H "/>
    <s v="High Grade Group 9-12"/>
    <s v="PS26HS"/>
    <s v="PSES High Prog01Act26 S275"/>
    <n v="1"/>
    <x v="2"/>
    <m/>
    <n v="26"/>
    <s v="   "/>
    <n v="6.3860000000000001"/>
    <n v="0.21540000000000001"/>
    <n v="0"/>
    <s v="High Health/_x000a_Related Services"/>
    <x v="2"/>
  </r>
  <r>
    <s v="06114"/>
    <x v="29"/>
    <s v="Personnel"/>
    <s v="H "/>
    <s v="High Grade Group 9-12"/>
    <s v="PS35HS"/>
    <s v="PSES High Prog01Act35 S275"/>
    <n v="1"/>
    <x v="3"/>
    <m/>
    <n v="35"/>
    <s v="   "/>
    <n v="15.875999999999999"/>
    <n v="0.21540000000000001"/>
    <n v="0"/>
    <s v="High Pupil Safety"/>
    <x v="3"/>
  </r>
  <r>
    <s v="06114"/>
    <x v="29"/>
    <s v="Personnel"/>
    <s v="E "/>
    <s v="Elementary Grade Group K-6"/>
    <s v="PS39E21S"/>
    <s v="PSES Elem Prog21Duty39 S275"/>
    <n v="21"/>
    <x v="4"/>
    <n v="39"/>
    <m/>
    <s v="   "/>
    <n v="1"/>
    <n v="0.21540000000000001"/>
    <n v="0.215"/>
    <s v="Elementary Orientation &amp; Mobility Specialist"/>
    <x v="4"/>
  </r>
  <r>
    <s v="06114"/>
    <x v="29"/>
    <s v="Personnel"/>
    <s v="E "/>
    <s v="Elementary Grade Group K-6"/>
    <s v="PS42ES"/>
    <s v="PSES Elem Prog01Duty42 S275"/>
    <n v="1"/>
    <x v="5"/>
    <n v="42"/>
    <m/>
    <s v="   "/>
    <n v="20.745999999999999"/>
    <n v="0.21540000000000001"/>
    <n v="0"/>
    <s v="Elementary Counselor"/>
    <x v="5"/>
  </r>
  <r>
    <s v="06114"/>
    <x v="29"/>
    <s v="Personnel"/>
    <s v="H "/>
    <s v="High Grade Group 9-12"/>
    <s v="PS42HS"/>
    <s v="PSES High Prog01Duty42 S275"/>
    <n v="1"/>
    <x v="5"/>
    <n v="42"/>
    <m/>
    <s v="   "/>
    <n v="20.317"/>
    <n v="0.21540000000000001"/>
    <n v="0"/>
    <s v="High Counselor"/>
    <x v="5"/>
  </r>
  <r>
    <s v="06114"/>
    <x v="29"/>
    <s v="Personnel"/>
    <s v="M "/>
    <s v="Middle Grade Group 7-8"/>
    <s v="PS42MS"/>
    <s v="PSES Mid Prog01Duty42 S275"/>
    <n v="1"/>
    <x v="5"/>
    <n v="42"/>
    <m/>
    <s v="   "/>
    <n v="9.7539999999999996"/>
    <n v="0.21540000000000001"/>
    <n v="0"/>
    <s v="Middle Counselor"/>
    <x v="5"/>
  </r>
  <r>
    <s v="06114"/>
    <x v="29"/>
    <s v="Personnel"/>
    <s v="E "/>
    <s v="Elementary Grade Group K-6"/>
    <s v="PS43E21S"/>
    <s v="PSES Elem Prog21Duty43 S275"/>
    <n v="21"/>
    <x v="6"/>
    <n v="43"/>
    <m/>
    <s v="   "/>
    <n v="9.4320000000000004"/>
    <n v="0.21540000000000001"/>
    <n v="2.032"/>
    <s v="Elementary Occupational Therapist"/>
    <x v="6"/>
  </r>
  <r>
    <s v="06114"/>
    <x v="29"/>
    <s v="Personnel"/>
    <s v="H "/>
    <s v="High Grade Group 9-12"/>
    <s v="PS43H21S"/>
    <s v="PSES High Prog21Duty43 S275"/>
    <n v="21"/>
    <x v="6"/>
    <n v="43"/>
    <m/>
    <s v="   "/>
    <n v="0.7"/>
    <n v="0.21540000000000001"/>
    <n v="0.151"/>
    <s v="High Occupational Therapist"/>
    <x v="6"/>
  </r>
  <r>
    <s v="06114"/>
    <x v="29"/>
    <s v="Personnel"/>
    <s v="M "/>
    <s v="Middle Grade Group 7-8"/>
    <s v="PS43M21S"/>
    <s v="PSES Mid Prog21Duty43 S275"/>
    <n v="21"/>
    <x v="6"/>
    <n v="43"/>
    <m/>
    <s v="   "/>
    <n v="0.46800000000000003"/>
    <n v="0.21540000000000001"/>
    <n v="0.10100000000000001"/>
    <s v="Middle Occupational Therapist"/>
    <x v="6"/>
  </r>
  <r>
    <s v="06114"/>
    <x v="29"/>
    <s v="Personnel"/>
    <s v="E "/>
    <s v="Elementary Grade Group K-6"/>
    <s v="PS44ES"/>
    <s v="PSES Elem Prog01Duty44 S275"/>
    <n v="1"/>
    <x v="13"/>
    <n v="44"/>
    <m/>
    <s v="   "/>
    <n v="5.6660000000000004"/>
    <n v="0.21540000000000001"/>
    <n v="0"/>
    <s v="Elementary Social Worker"/>
    <x v="13"/>
  </r>
  <r>
    <s v="06114"/>
    <x v="29"/>
    <s v="Personnel"/>
    <s v="M "/>
    <s v="Middle Grade Group 7-8"/>
    <s v="PS44MS"/>
    <s v="PSES Mid Prog01Duty44 S275"/>
    <n v="1"/>
    <x v="13"/>
    <n v="44"/>
    <m/>
    <s v="   "/>
    <n v="1.3340000000000001"/>
    <n v="0.21540000000000001"/>
    <n v="0"/>
    <s v="Middle Social Worker"/>
    <x v="13"/>
  </r>
  <r>
    <s v="06114"/>
    <x v="29"/>
    <s v="Personnel"/>
    <s v="E "/>
    <s v="Elementary Grade Group K-6"/>
    <s v="PS45E21S"/>
    <s v="PSES Elem Prog21Duty45 S275"/>
    <n v="21"/>
    <x v="7"/>
    <n v="45"/>
    <m/>
    <s v="   "/>
    <n v="28.527999999999999"/>
    <n v="0.21540000000000001"/>
    <n v="6.1449999999999996"/>
    <s v="Elementary Speech, Language Pathway/_x000a_Audio"/>
    <x v="7"/>
  </r>
  <r>
    <s v="06114"/>
    <x v="29"/>
    <s v="Personnel"/>
    <s v="H "/>
    <s v="High Grade Group 9-12"/>
    <s v="PS45H21S"/>
    <s v="PSES High Prog21Duty45 S275"/>
    <n v="21"/>
    <x v="7"/>
    <n v="45"/>
    <m/>
    <s v="   "/>
    <n v="9.3390000000000004"/>
    <n v="0.21540000000000001"/>
    <n v="2.012"/>
    <s v="High Speech, Language Pathway/_x000a_Audio"/>
    <x v="7"/>
  </r>
  <r>
    <s v="06114"/>
    <x v="29"/>
    <s v="Personnel"/>
    <s v="M "/>
    <s v="Middle Grade Group 7-8"/>
    <s v="PS45M21S"/>
    <s v="PSES Mid Prog21Duty45 S275"/>
    <n v="21"/>
    <x v="7"/>
    <n v="45"/>
    <m/>
    <s v="   "/>
    <n v="4.6719999999999997"/>
    <n v="0.21540000000000001"/>
    <n v="1.006"/>
    <s v="Middle Speech, Language Pathway/_x000a_Audio"/>
    <x v="7"/>
  </r>
  <r>
    <s v="06114"/>
    <x v="29"/>
    <s v="Personnel"/>
    <s v="E "/>
    <s v="Elementary Grade Group K-6"/>
    <s v="PS46E21S"/>
    <s v="PSES Elem Prog21Duty46 S275"/>
    <n v="21"/>
    <x v="8"/>
    <n v="46"/>
    <m/>
    <s v="   "/>
    <n v="13.45"/>
    <n v="0.21540000000000001"/>
    <n v="2.8969999999999998"/>
    <s v="Elementary Psychologist"/>
    <x v="8"/>
  </r>
  <r>
    <s v="06114"/>
    <x v="29"/>
    <s v="Personnel"/>
    <s v="H "/>
    <s v="High Grade Group 9-12"/>
    <s v="PS46H21S"/>
    <s v="PSES High Prog21Duty46 S275"/>
    <n v="21"/>
    <x v="8"/>
    <n v="46"/>
    <m/>
    <s v="   "/>
    <n v="4.25"/>
    <n v="0.21540000000000001"/>
    <n v="0.91500000000000004"/>
    <s v="High Psychologist"/>
    <x v="8"/>
  </r>
  <r>
    <s v="06114"/>
    <x v="29"/>
    <s v="Personnel"/>
    <s v="M "/>
    <s v="Middle Grade Group 7-8"/>
    <s v="PS46M21S"/>
    <s v="PSES Mid Prog21Duty46 S275"/>
    <n v="21"/>
    <x v="8"/>
    <n v="46"/>
    <m/>
    <s v="   "/>
    <n v="3.6"/>
    <n v="0.21540000000000001"/>
    <n v="0.77500000000000002"/>
    <s v="Middle Psychologist"/>
    <x v="8"/>
  </r>
  <r>
    <s v="06114"/>
    <x v="29"/>
    <s v="Personnel"/>
    <s v="E "/>
    <s v="Elementary Grade Group K-6"/>
    <s v="PS47ES"/>
    <s v="PSES Elem Prog01Duty47 S275"/>
    <n v="1"/>
    <x v="9"/>
    <n v="47"/>
    <m/>
    <s v="   "/>
    <n v="7.47"/>
    <n v="0.21540000000000001"/>
    <n v="0"/>
    <s v="Elementary Nurse"/>
    <x v="9"/>
  </r>
  <r>
    <s v="06114"/>
    <x v="29"/>
    <s v="Personnel"/>
    <s v="H "/>
    <s v="High Grade Group 9-12"/>
    <s v="PS47HS"/>
    <s v="PSES High Prog01Duty47 S275"/>
    <n v="1"/>
    <x v="9"/>
    <n v="47"/>
    <m/>
    <s v="   "/>
    <n v="5.085"/>
    <n v="0.21540000000000001"/>
    <n v="0"/>
    <s v="High Nurse"/>
    <x v="9"/>
  </r>
  <r>
    <s v="06114"/>
    <x v="29"/>
    <s v="Personnel"/>
    <s v="M "/>
    <s v="Middle Grade Group 7-8"/>
    <s v="PS47MS"/>
    <s v="PSES Mid Prog01Duty47 S275"/>
    <n v="1"/>
    <x v="9"/>
    <n v="47"/>
    <m/>
    <s v="   "/>
    <n v="1.9039999999999999"/>
    <n v="0.21540000000000001"/>
    <n v="0"/>
    <s v="Middle Nurse"/>
    <x v="9"/>
  </r>
  <r>
    <s v="06114"/>
    <x v="29"/>
    <s v="Personnel"/>
    <s v="E "/>
    <s v="Elementary Grade Group K-6"/>
    <s v="PS48E21S"/>
    <s v="PSES Elem Prog21Duty48 S275"/>
    <n v="21"/>
    <x v="11"/>
    <n v="48"/>
    <m/>
    <s v="   "/>
    <n v="3.8730000000000002"/>
    <n v="0.21540000000000001"/>
    <n v="0.83399999999999996"/>
    <s v="Elementary Physical Therapist"/>
    <x v="11"/>
  </r>
  <r>
    <s v="06114"/>
    <x v="29"/>
    <s v="Personnel"/>
    <s v="H "/>
    <s v="High Grade Group 9-12"/>
    <s v="PS48H21S"/>
    <s v="PSES High Prog21Duty48 S275"/>
    <n v="21"/>
    <x v="11"/>
    <n v="48"/>
    <m/>
    <s v="   "/>
    <n v="0.9"/>
    <n v="0.21540000000000001"/>
    <n v="0.19400000000000001"/>
    <s v="High Physical Therapist"/>
    <x v="11"/>
  </r>
  <r>
    <s v="06114"/>
    <x v="29"/>
    <s v="Personnel"/>
    <s v="M "/>
    <s v="Middle Grade Group 7-8"/>
    <s v="PS48M21S"/>
    <s v="PSES Mid Prog21Duty48 S275"/>
    <n v="21"/>
    <x v="11"/>
    <n v="48"/>
    <m/>
    <s v="   "/>
    <n v="0.53100000000000003"/>
    <n v="0.21540000000000001"/>
    <n v="0.114"/>
    <s v="Middle Physical Therapist"/>
    <x v="11"/>
  </r>
  <r>
    <s v="06114"/>
    <x v="29"/>
    <s v="Personnel"/>
    <s v="H "/>
    <s v="High Grade Group 9-12"/>
    <s v="PS49H21S"/>
    <s v="PSES High Prog21Duty49 S275"/>
    <n v="21"/>
    <x v="10"/>
    <n v="49"/>
    <m/>
    <s v="   "/>
    <n v="3"/>
    <n v="0.21540000000000001"/>
    <n v="0.64600000000000002"/>
    <s v="High Behavior Analyst"/>
    <x v="10"/>
  </r>
  <r>
    <s v="06117"/>
    <x v="30"/>
    <s v="Personnel"/>
    <s v="E "/>
    <s v="Elementary Grade Group K-6"/>
    <s v="PS25ES"/>
    <s v="PSES Elem Prog01Act25 S275"/>
    <n v="1"/>
    <x v="1"/>
    <m/>
    <n v="25"/>
    <s v="   "/>
    <n v="3.4119999999999999"/>
    <n v="0.20230000000000001"/>
    <n v="0"/>
    <s v="Elementary Pupil Management"/>
    <x v="1"/>
  </r>
  <r>
    <s v="06117"/>
    <x v="30"/>
    <s v="Personnel"/>
    <s v="H "/>
    <s v="High Grade Group 9-12"/>
    <s v="PS25HS"/>
    <s v="PSES High Prog01Act25 S275"/>
    <n v="1"/>
    <x v="1"/>
    <m/>
    <n v="25"/>
    <s v="   "/>
    <n v="7.8719999999999999"/>
    <n v="0.20230000000000001"/>
    <n v="0"/>
    <s v="High Pupil Management"/>
    <x v="1"/>
  </r>
  <r>
    <s v="06117"/>
    <x v="30"/>
    <s v="Personnel"/>
    <s v="E "/>
    <s v="Elementary Grade Group K-6"/>
    <s v="PS26E21S"/>
    <s v="PSES Elem Prog21Act26 S275"/>
    <n v="21"/>
    <x v="2"/>
    <m/>
    <n v="26"/>
    <s v="   "/>
    <n v="5.5E-2"/>
    <n v="0.20230000000000001"/>
    <n v="1.0999999999999999E-2"/>
    <s v="Elementary Health/_x000a_Related Services"/>
    <x v="2"/>
  </r>
  <r>
    <s v="06117"/>
    <x v="30"/>
    <s v="Personnel"/>
    <s v="E "/>
    <s v="Elementary Grade Group K-6"/>
    <s v="PS26ES"/>
    <s v="PSES Elem Prog01Act26 S275"/>
    <n v="1"/>
    <x v="2"/>
    <m/>
    <n v="26"/>
    <s v="   "/>
    <n v="4.8049999999999997"/>
    <n v="0.20230000000000001"/>
    <n v="0"/>
    <s v="Elementary Health/_x000a_Related Services"/>
    <x v="2"/>
  </r>
  <r>
    <s v="06117"/>
    <x v="30"/>
    <s v="Personnel"/>
    <s v="H "/>
    <s v="High Grade Group 9-12"/>
    <s v="PS26H21S"/>
    <s v="PSES High Prog21Act26 S275"/>
    <n v="21"/>
    <x v="2"/>
    <m/>
    <n v="26"/>
    <s v="   "/>
    <n v="0.52"/>
    <n v="0.20230000000000001"/>
    <n v="0.105"/>
    <s v="High Health/_x000a_Related Services"/>
    <x v="2"/>
  </r>
  <r>
    <s v="06117"/>
    <x v="30"/>
    <s v="Personnel"/>
    <s v="H "/>
    <s v="High Grade Group 9-12"/>
    <s v="PS26HS"/>
    <s v="PSES High Prog01Act26 S275"/>
    <n v="1"/>
    <x v="2"/>
    <m/>
    <n v="26"/>
    <s v="   "/>
    <n v="3.37"/>
    <n v="0.20230000000000001"/>
    <n v="0"/>
    <s v="High Health/_x000a_Related Services"/>
    <x v="2"/>
  </r>
  <r>
    <s v="06117"/>
    <x v="30"/>
    <s v="Personnel"/>
    <s v="M "/>
    <s v="Middle Grade Group 7-8"/>
    <s v="PS26MS"/>
    <s v="PSES Mid Prog01Act26 S275"/>
    <n v="1"/>
    <x v="2"/>
    <m/>
    <n v="26"/>
    <s v="   "/>
    <n v="2.2149999999999999"/>
    <n v="0.20230000000000001"/>
    <n v="0"/>
    <s v="Middle Health/_x000a_Related Services"/>
    <x v="2"/>
  </r>
  <r>
    <s v="06117"/>
    <x v="30"/>
    <s v="Personnel"/>
    <s v="H "/>
    <s v="High Grade Group 9-12"/>
    <s v="PS35HS"/>
    <s v="PSES High Prog01Act35 S275"/>
    <n v="1"/>
    <x v="3"/>
    <m/>
    <n v="35"/>
    <s v="   "/>
    <n v="0.72599999999999998"/>
    <n v="0.20230000000000001"/>
    <n v="0"/>
    <s v="High Pupil Safety"/>
    <x v="3"/>
  </r>
  <r>
    <s v="06117"/>
    <x v="30"/>
    <s v="Personnel"/>
    <s v="E "/>
    <s v="Elementary Grade Group K-6"/>
    <s v="PS42ES"/>
    <s v="PSES Elem Prog01Duty42 S275"/>
    <n v="1"/>
    <x v="5"/>
    <n v="42"/>
    <m/>
    <s v="   "/>
    <n v="8.266"/>
    <n v="0.20230000000000001"/>
    <n v="0"/>
    <s v="Elementary Counselor"/>
    <x v="5"/>
  </r>
  <r>
    <s v="06117"/>
    <x v="30"/>
    <s v="Personnel"/>
    <s v="H "/>
    <s v="High Grade Group 9-12"/>
    <s v="PS42HS"/>
    <s v="PSES High Prog01Duty42 S275"/>
    <n v="1"/>
    <x v="5"/>
    <n v="42"/>
    <m/>
    <s v="   "/>
    <n v="9.5280000000000005"/>
    <n v="0.20230000000000001"/>
    <n v="0"/>
    <s v="High Counselor"/>
    <x v="5"/>
  </r>
  <r>
    <s v="06117"/>
    <x v="30"/>
    <s v="Personnel"/>
    <s v="M "/>
    <s v="Middle Grade Group 7-8"/>
    <s v="PS42MS"/>
    <s v="PSES Mid Prog01Duty42 S275"/>
    <n v="1"/>
    <x v="5"/>
    <n v="42"/>
    <m/>
    <s v="   "/>
    <n v="2.3340000000000001"/>
    <n v="0.20230000000000001"/>
    <n v="0"/>
    <s v="Middle Counselor"/>
    <x v="5"/>
  </r>
  <r>
    <s v="06117"/>
    <x v="30"/>
    <s v="Personnel"/>
    <s v="E "/>
    <s v="Elementary Grade Group K-6"/>
    <s v="PS43E21S"/>
    <s v="PSES Elem Prog21Duty43 S275"/>
    <n v="21"/>
    <x v="6"/>
    <n v="43"/>
    <m/>
    <s v="   "/>
    <n v="2.8"/>
    <n v="0.20230000000000001"/>
    <n v="0.56599999999999995"/>
    <s v="Elementary Occupational Therapist"/>
    <x v="6"/>
  </r>
  <r>
    <s v="06117"/>
    <x v="30"/>
    <s v="Personnel"/>
    <s v="E "/>
    <s v="Elementary Grade Group K-6"/>
    <s v="PS45E21S"/>
    <s v="PSES Elem Prog21Duty45 S275"/>
    <n v="21"/>
    <x v="7"/>
    <n v="45"/>
    <m/>
    <s v="   "/>
    <n v="7.6"/>
    <n v="0.20230000000000001"/>
    <n v="1.5369999999999999"/>
    <s v="Elementary Speech, Language Pathway/_x000a_Audio"/>
    <x v="7"/>
  </r>
  <r>
    <s v="06117"/>
    <x v="30"/>
    <s v="Personnel"/>
    <s v="H "/>
    <s v="High Grade Group 9-12"/>
    <s v="PS45H21S"/>
    <s v="PSES High Prog21Duty45 S275"/>
    <n v="21"/>
    <x v="7"/>
    <n v="45"/>
    <m/>
    <s v="   "/>
    <n v="2"/>
    <n v="0.20230000000000001"/>
    <n v="0.40500000000000003"/>
    <s v="High Speech, Language Pathway/_x000a_Audio"/>
    <x v="7"/>
  </r>
  <r>
    <s v="06117"/>
    <x v="30"/>
    <s v="Personnel"/>
    <s v="E "/>
    <s v="Elementary Grade Group K-6"/>
    <s v="PS46E21S"/>
    <s v="PSES Elem Prog21Duty46 S275"/>
    <n v="21"/>
    <x v="8"/>
    <n v="46"/>
    <m/>
    <s v="   "/>
    <n v="7"/>
    <n v="0.20230000000000001"/>
    <n v="1.4159999999999999"/>
    <s v="Elementary Psychologist"/>
    <x v="8"/>
  </r>
  <r>
    <s v="06117"/>
    <x v="30"/>
    <s v="Personnel"/>
    <s v="H "/>
    <s v="High Grade Group 9-12"/>
    <s v="PS46H21S"/>
    <s v="PSES High Prog21Duty46 S275"/>
    <n v="21"/>
    <x v="8"/>
    <n v="46"/>
    <m/>
    <s v="   "/>
    <n v="0.15"/>
    <n v="0.20230000000000001"/>
    <n v="0.03"/>
    <s v="High Psychologist"/>
    <x v="8"/>
  </r>
  <r>
    <s v="06117"/>
    <x v="30"/>
    <s v="Personnel"/>
    <s v="M "/>
    <s v="Middle Grade Group 7-8"/>
    <s v="PS46M21S"/>
    <s v="PSES Mid Prog21Duty46 S275"/>
    <n v="21"/>
    <x v="8"/>
    <n v="46"/>
    <m/>
    <s v="   "/>
    <n v="0.6"/>
    <n v="0.20230000000000001"/>
    <n v="0.121"/>
    <s v="Middle Psychologist"/>
    <x v="8"/>
  </r>
  <r>
    <s v="06117"/>
    <x v="30"/>
    <s v="Personnel"/>
    <s v="E "/>
    <s v="Elementary Grade Group K-6"/>
    <s v="PS48E21S"/>
    <s v="PSES Elem Prog21Duty48 S275"/>
    <n v="21"/>
    <x v="11"/>
    <n v="48"/>
    <m/>
    <s v="   "/>
    <n v="0.5"/>
    <n v="0.20230000000000001"/>
    <n v="0.10100000000000001"/>
    <s v="Elementary Physical Therapist"/>
    <x v="11"/>
  </r>
  <r>
    <s v="06117"/>
    <x v="30"/>
    <s v="Personnel"/>
    <s v="M "/>
    <s v="Middle Grade Group 7-8"/>
    <s v="PS48M21S"/>
    <s v="PSES Mid Prog21Duty48 S275"/>
    <n v="21"/>
    <x v="11"/>
    <n v="48"/>
    <m/>
    <s v="   "/>
    <n v="1"/>
    <n v="0.20230000000000001"/>
    <n v="0.20200000000000001"/>
    <s v="Middle Physical Therapist"/>
    <x v="11"/>
  </r>
  <r>
    <s v="06119"/>
    <x v="31"/>
    <s v="Personnel"/>
    <s v="H "/>
    <s v="High Grade Group 9-12"/>
    <s v="PS24HS"/>
    <s v="PSES High Prog01Duty96 S275"/>
    <n v="1"/>
    <x v="0"/>
    <n v="96"/>
    <n v="24"/>
    <s v="   "/>
    <n v="2.0670000000000002"/>
    <n v="0.22189999999999999"/>
    <n v="0"/>
    <s v="High Family Engagement Coordinator"/>
    <x v="0"/>
  </r>
  <r>
    <s v="06119"/>
    <x v="31"/>
    <s v="Personnel"/>
    <s v="M "/>
    <s v="Middle Grade Group 7-8"/>
    <s v="PS24MS"/>
    <s v="PSES Mid Prog01Duty96 S275"/>
    <n v="1"/>
    <x v="0"/>
    <n v="96"/>
    <n v="24"/>
    <s v="   "/>
    <n v="1.845"/>
    <n v="0.22189999999999999"/>
    <n v="0"/>
    <s v="Middle Family Engagement Coordinator"/>
    <x v="0"/>
  </r>
  <r>
    <s v="06119"/>
    <x v="31"/>
    <s v="Personnel"/>
    <s v="E "/>
    <s v="Elementary Grade Group K-6"/>
    <s v="PS25ES"/>
    <s v="PSES Elem Prog01Act25 S275"/>
    <n v="1"/>
    <x v="1"/>
    <m/>
    <n v="25"/>
    <s v="   "/>
    <n v="12.385999999999999"/>
    <n v="0.22189999999999999"/>
    <n v="0"/>
    <s v="Elementary Pupil Management"/>
    <x v="1"/>
  </r>
  <r>
    <s v="06119"/>
    <x v="31"/>
    <s v="Personnel"/>
    <s v="H "/>
    <s v="High Grade Group 9-12"/>
    <s v="PS25H21S"/>
    <s v="PSES High Prog21Act25 S275"/>
    <n v="21"/>
    <x v="1"/>
    <m/>
    <n v="25"/>
    <s v="   "/>
    <n v="1.796"/>
    <n v="0.22189999999999999"/>
    <n v="0.39900000000000002"/>
    <s v="High Pupil Management"/>
    <x v="1"/>
  </r>
  <r>
    <s v="06119"/>
    <x v="31"/>
    <s v="Personnel"/>
    <s v="H "/>
    <s v="High Grade Group 9-12"/>
    <s v="PS25HS"/>
    <s v="PSES High Prog01Act25 S275"/>
    <n v="1"/>
    <x v="1"/>
    <m/>
    <n v="25"/>
    <s v="   "/>
    <n v="11.167"/>
    <n v="0.22189999999999999"/>
    <n v="0"/>
    <s v="High Pupil Management"/>
    <x v="1"/>
  </r>
  <r>
    <s v="06119"/>
    <x v="31"/>
    <s v="Personnel"/>
    <s v="M "/>
    <s v="Middle Grade Group 7-8"/>
    <s v="PS25MS"/>
    <s v="PSES Mid Prog01Act25 S275"/>
    <n v="1"/>
    <x v="1"/>
    <m/>
    <n v="25"/>
    <s v="   "/>
    <n v="5.407"/>
    <n v="0.22189999999999999"/>
    <n v="0"/>
    <s v="Middle Pupil Management"/>
    <x v="1"/>
  </r>
  <r>
    <s v="06119"/>
    <x v="31"/>
    <s v="Personnel"/>
    <s v="E "/>
    <s v="Elementary Grade Group K-6"/>
    <s v="PS26E21S"/>
    <s v="PSES Elem Prog21Act26 S275"/>
    <n v="21"/>
    <x v="2"/>
    <m/>
    <n v="26"/>
    <s v="   "/>
    <n v="0.95299999999999996"/>
    <n v="0.22189999999999999"/>
    <n v="0.21099999999999999"/>
    <s v="Elementary Health/_x000a_Related Services"/>
    <x v="2"/>
  </r>
  <r>
    <s v="06119"/>
    <x v="31"/>
    <s v="Personnel"/>
    <s v="E "/>
    <s v="Elementary Grade Group K-6"/>
    <s v="PS26ES"/>
    <s v="PSES Elem Prog01Act26 S275"/>
    <n v="1"/>
    <x v="2"/>
    <m/>
    <n v="26"/>
    <s v="   "/>
    <n v="5.1669999999999998"/>
    <n v="0.22189999999999999"/>
    <n v="0"/>
    <s v="Elementary Health/_x000a_Related Services"/>
    <x v="2"/>
  </r>
  <r>
    <s v="06119"/>
    <x v="31"/>
    <s v="Personnel"/>
    <s v="H "/>
    <s v="High Grade Group 9-12"/>
    <s v="PS26H21S"/>
    <s v="PSES High Prog21Act26 S275"/>
    <n v="21"/>
    <x v="2"/>
    <m/>
    <n v="26"/>
    <s v="   "/>
    <n v="0.81499999999999995"/>
    <n v="0.22189999999999999"/>
    <n v="0.18099999999999999"/>
    <s v="High Health/_x000a_Related Services"/>
    <x v="2"/>
  </r>
  <r>
    <s v="06119"/>
    <x v="31"/>
    <s v="Personnel"/>
    <s v="H "/>
    <s v="High Grade Group 9-12"/>
    <s v="PS26HS"/>
    <s v="PSES High Prog01Act26 S275"/>
    <n v="1"/>
    <x v="2"/>
    <m/>
    <n v="26"/>
    <s v="   "/>
    <n v="0.73799999999999999"/>
    <n v="0.22189999999999999"/>
    <n v="0"/>
    <s v="High Health/_x000a_Related Services"/>
    <x v="2"/>
  </r>
  <r>
    <s v="06119"/>
    <x v="31"/>
    <s v="Personnel"/>
    <s v="M "/>
    <s v="Middle Grade Group 7-8"/>
    <s v="PS26M21S"/>
    <s v="PSES Mid Prog21Act26 S275"/>
    <n v="21"/>
    <x v="2"/>
    <m/>
    <n v="26"/>
    <s v="   "/>
    <n v="0.81499999999999995"/>
    <n v="0.22189999999999999"/>
    <n v="0.18099999999999999"/>
    <s v="Middle Health/_x000a_Related Services"/>
    <x v="2"/>
  </r>
  <r>
    <s v="06119"/>
    <x v="31"/>
    <s v="Personnel"/>
    <s v="M "/>
    <s v="Middle Grade Group 7-8"/>
    <s v="PS26MS"/>
    <s v="PSES Mid Prog01Act26 S275"/>
    <n v="1"/>
    <x v="2"/>
    <m/>
    <n v="26"/>
    <s v="   "/>
    <n v="2.952"/>
    <n v="0.22189999999999999"/>
    <n v="0"/>
    <s v="Middle Health/_x000a_Related Services"/>
    <x v="2"/>
  </r>
  <r>
    <s v="06119"/>
    <x v="31"/>
    <s v="Personnel"/>
    <s v="H "/>
    <s v="High Grade Group 9-12"/>
    <s v="PS35H97S"/>
    <s v="PSES High Prog97Act35 S275"/>
    <n v="97"/>
    <x v="3"/>
    <m/>
    <n v="35"/>
    <s v="   "/>
    <n v="1.9039999999999999"/>
    <n v="0.22189999999999999"/>
    <n v="0"/>
    <s v="High Pupil Safety"/>
    <x v="3"/>
  </r>
  <r>
    <s v="06119"/>
    <x v="31"/>
    <s v="Personnel"/>
    <s v="H "/>
    <s v="High Grade Group 9-12"/>
    <s v="PS35HS"/>
    <s v="PSES High Prog01Act35 S275"/>
    <n v="1"/>
    <x v="3"/>
    <m/>
    <n v="35"/>
    <s v="   "/>
    <n v="3.69"/>
    <n v="0.22189999999999999"/>
    <n v="0"/>
    <s v="High Pupil Safety"/>
    <x v="3"/>
  </r>
  <r>
    <s v="06119"/>
    <x v="31"/>
    <s v="Personnel"/>
    <s v="M "/>
    <s v="Middle Grade Group 7-8"/>
    <s v="PS35MS"/>
    <s v="PSES Mid Prog01Act35 S275"/>
    <n v="1"/>
    <x v="3"/>
    <m/>
    <n v="35"/>
    <s v="   "/>
    <n v="5.9039999999999999"/>
    <n v="0.22189999999999999"/>
    <n v="0"/>
    <s v="Middle Pupil Safety"/>
    <x v="3"/>
  </r>
  <r>
    <s v="06119"/>
    <x v="31"/>
    <s v="Personnel"/>
    <s v="E "/>
    <s v="Elementary Grade Group K-6"/>
    <s v="PS42ES"/>
    <s v="PSES Elem Prog01Duty42 S275"/>
    <n v="1"/>
    <x v="5"/>
    <n v="42"/>
    <m/>
    <s v="   "/>
    <n v="10.5"/>
    <n v="0.22189999999999999"/>
    <n v="0"/>
    <s v="Elementary Counselor"/>
    <x v="5"/>
  </r>
  <r>
    <s v="06119"/>
    <x v="31"/>
    <s v="Personnel"/>
    <s v="H "/>
    <s v="High Grade Group 9-12"/>
    <s v="PS42HS"/>
    <s v="PSES High Prog01Duty42 S275"/>
    <n v="1"/>
    <x v="5"/>
    <n v="42"/>
    <m/>
    <s v="   "/>
    <n v="11"/>
    <n v="0.22189999999999999"/>
    <n v="0"/>
    <s v="High Counselor"/>
    <x v="5"/>
  </r>
  <r>
    <s v="06119"/>
    <x v="31"/>
    <s v="Personnel"/>
    <s v="M "/>
    <s v="Middle Grade Group 7-8"/>
    <s v="PS42MS"/>
    <s v="PSES Mid Prog01Duty42 S275"/>
    <n v="1"/>
    <x v="5"/>
    <n v="42"/>
    <m/>
    <s v="   "/>
    <n v="3.5"/>
    <n v="0.22189999999999999"/>
    <n v="0"/>
    <s v="Middle Counselor"/>
    <x v="5"/>
  </r>
  <r>
    <s v="06119"/>
    <x v="31"/>
    <s v="Personnel"/>
    <s v="E "/>
    <s v="Elementary Grade Group K-6"/>
    <s v="PS43E21S"/>
    <s v="PSES Elem Prog21Duty43 S275"/>
    <n v="21"/>
    <x v="6"/>
    <n v="43"/>
    <m/>
    <s v="   "/>
    <n v="6"/>
    <n v="0.22189999999999999"/>
    <n v="1.331"/>
    <s v="Elementary Occupational Therapist"/>
    <x v="6"/>
  </r>
  <r>
    <s v="06119"/>
    <x v="31"/>
    <s v="Personnel"/>
    <s v="H "/>
    <s v="High Grade Group 9-12"/>
    <s v="PS43H21S"/>
    <s v="PSES High Prog21Duty43 S275"/>
    <n v="21"/>
    <x v="6"/>
    <n v="43"/>
    <m/>
    <s v="   "/>
    <n v="0.2"/>
    <n v="0.22189999999999999"/>
    <n v="4.3999999999999997E-2"/>
    <s v="High Occupational Therapist"/>
    <x v="6"/>
  </r>
  <r>
    <s v="06119"/>
    <x v="31"/>
    <s v="Personnel"/>
    <s v="M "/>
    <s v="Middle Grade Group 7-8"/>
    <s v="PS43M21S"/>
    <s v="PSES Mid Prog21Duty43 S275"/>
    <n v="21"/>
    <x v="6"/>
    <n v="43"/>
    <m/>
    <s v="   "/>
    <n v="0.7"/>
    <n v="0.22189999999999999"/>
    <n v="0.155"/>
    <s v="Middle Occupational Therapist"/>
    <x v="6"/>
  </r>
  <r>
    <s v="06119"/>
    <x v="31"/>
    <s v="Personnel"/>
    <s v="E "/>
    <s v="Elementary Grade Group K-6"/>
    <s v="PS45E21S"/>
    <s v="PSES Elem Prog21Duty45 S275"/>
    <n v="21"/>
    <x v="7"/>
    <n v="45"/>
    <m/>
    <s v="   "/>
    <n v="16.399999999999999"/>
    <n v="0.22189999999999999"/>
    <n v="3.6389999999999998"/>
    <s v="Elementary Speech, Language Pathway/_x000a_Audio"/>
    <x v="7"/>
  </r>
  <r>
    <s v="06119"/>
    <x v="31"/>
    <s v="Personnel"/>
    <s v="H "/>
    <s v="High Grade Group 9-12"/>
    <s v="PS45H21S"/>
    <s v="PSES High Prog21Duty45 S275"/>
    <n v="21"/>
    <x v="7"/>
    <n v="45"/>
    <m/>
    <s v="   "/>
    <n v="3.2"/>
    <n v="0.22189999999999999"/>
    <n v="0.71"/>
    <s v="High Speech, Language Pathway/_x000a_Audio"/>
    <x v="7"/>
  </r>
  <r>
    <s v="06119"/>
    <x v="31"/>
    <s v="Personnel"/>
    <s v="M "/>
    <s v="Middle Grade Group 7-8"/>
    <s v="PS45M21S"/>
    <s v="PSES Mid Prog21Duty45 S275"/>
    <n v="21"/>
    <x v="7"/>
    <n v="45"/>
    <m/>
    <s v="   "/>
    <n v="2"/>
    <n v="0.22189999999999999"/>
    <n v="0.44400000000000001"/>
    <s v="Middle Speech, Language Pathway/_x000a_Audio"/>
    <x v="7"/>
  </r>
  <r>
    <s v="06119"/>
    <x v="31"/>
    <s v="Personnel"/>
    <s v="E "/>
    <s v="Elementary Grade Group K-6"/>
    <s v="PS46E21S"/>
    <s v="PSES Elem Prog21Duty46 S275"/>
    <n v="21"/>
    <x v="8"/>
    <n v="46"/>
    <m/>
    <s v="   "/>
    <n v="12"/>
    <n v="0.22189999999999999"/>
    <n v="2.6629999999999998"/>
    <s v="Elementary Psychologist"/>
    <x v="8"/>
  </r>
  <r>
    <s v="06119"/>
    <x v="31"/>
    <s v="Personnel"/>
    <s v="E "/>
    <s v="Elementary Grade Group K-6"/>
    <s v="PS46ES"/>
    <s v="PSES Elem Prog01Duty46 S275"/>
    <n v="1"/>
    <x v="8"/>
    <n v="46"/>
    <m/>
    <s v="   "/>
    <n v="1"/>
    <n v="0.22189999999999999"/>
    <n v="0"/>
    <s v="Elementary Psychologist"/>
    <x v="8"/>
  </r>
  <r>
    <s v="06119"/>
    <x v="31"/>
    <s v="Personnel"/>
    <s v="H "/>
    <s v="High Grade Group 9-12"/>
    <s v="PS46H21S"/>
    <s v="PSES High Prog21Duty46 S275"/>
    <n v="21"/>
    <x v="8"/>
    <n v="46"/>
    <m/>
    <s v="   "/>
    <n v="3"/>
    <n v="0.22189999999999999"/>
    <n v="0.66600000000000004"/>
    <s v="High Psychologist"/>
    <x v="8"/>
  </r>
  <r>
    <s v="06119"/>
    <x v="31"/>
    <s v="Personnel"/>
    <s v="M "/>
    <s v="Middle Grade Group 7-8"/>
    <s v="PS46M21S"/>
    <s v="PSES Mid Prog21Duty46 S275"/>
    <n v="21"/>
    <x v="8"/>
    <n v="46"/>
    <m/>
    <s v="   "/>
    <n v="1"/>
    <n v="0.22189999999999999"/>
    <n v="0.222"/>
    <s v="Middle Psychologist"/>
    <x v="8"/>
  </r>
  <r>
    <s v="06119"/>
    <x v="31"/>
    <s v="Personnel"/>
    <s v="E "/>
    <s v="Elementary Grade Group K-6"/>
    <s v="PS47ES"/>
    <s v="PSES Elem Prog01Duty47 S275"/>
    <n v="1"/>
    <x v="9"/>
    <n v="47"/>
    <m/>
    <s v="   "/>
    <n v="2.54"/>
    <n v="0.22189999999999999"/>
    <n v="0"/>
    <s v="Elementary Nurse"/>
    <x v="9"/>
  </r>
  <r>
    <s v="06119"/>
    <x v="31"/>
    <s v="Personnel"/>
    <s v="H "/>
    <s v="High Grade Group 9-12"/>
    <s v="PS47HS"/>
    <s v="PSES High Prog01Duty47 S275"/>
    <n v="1"/>
    <x v="9"/>
    <n v="47"/>
    <m/>
    <s v="   "/>
    <n v="1"/>
    <n v="0.22189999999999999"/>
    <n v="0"/>
    <s v="High Nurse"/>
    <x v="9"/>
  </r>
  <r>
    <s v="06119"/>
    <x v="31"/>
    <s v="Personnel"/>
    <s v="M "/>
    <s v="Middle Grade Group 7-8"/>
    <s v="PS47MS"/>
    <s v="PSES Mid Prog01Duty47 S275"/>
    <n v="1"/>
    <x v="9"/>
    <n v="47"/>
    <m/>
    <s v="   "/>
    <n v="1.7929999999999999"/>
    <n v="0.22189999999999999"/>
    <n v="0"/>
    <s v="Middle Nurse"/>
    <x v="9"/>
  </r>
  <r>
    <s v="06119"/>
    <x v="31"/>
    <s v="Personnel"/>
    <s v="E "/>
    <s v="Elementary Grade Group K-6"/>
    <s v="PS48E21S"/>
    <s v="PSES Elem Prog21Duty48 S275"/>
    <n v="21"/>
    <x v="11"/>
    <n v="48"/>
    <m/>
    <s v="   "/>
    <n v="1"/>
    <n v="0.22189999999999999"/>
    <n v="0.222"/>
    <s v="Elementary Physical Therapist"/>
    <x v="11"/>
  </r>
  <r>
    <s v="06122"/>
    <x v="32"/>
    <s v="Personnel"/>
    <s v="E "/>
    <s v="Elementary Grade Group K-6"/>
    <s v="PS25ES"/>
    <s v="PSES Elem Prog01Act25 S275"/>
    <n v="1"/>
    <x v="1"/>
    <m/>
    <n v="25"/>
    <s v="   "/>
    <n v="1.7589999999999999"/>
    <n v="0.1794"/>
    <n v="0"/>
    <s v="Elementary Pupil Management"/>
    <x v="1"/>
  </r>
  <r>
    <s v="06122"/>
    <x v="32"/>
    <s v="Personnel"/>
    <s v="M "/>
    <s v="Middle Grade Group 7-8"/>
    <s v="PS25MS"/>
    <s v="PSES Mid Prog01Act25 S275"/>
    <n v="1"/>
    <x v="1"/>
    <m/>
    <n v="25"/>
    <s v="   "/>
    <n v="0.32200000000000001"/>
    <n v="0.1794"/>
    <n v="0"/>
    <s v="Middle Pupil Management"/>
    <x v="1"/>
  </r>
  <r>
    <s v="06122"/>
    <x v="32"/>
    <s v="Personnel"/>
    <s v="E "/>
    <s v="Elementary Grade Group K-6"/>
    <s v="PS26E21S"/>
    <s v="PSES Elem Prog21Act26 S275"/>
    <n v="21"/>
    <x v="2"/>
    <m/>
    <n v="26"/>
    <s v="   "/>
    <n v="0.20699999999999999"/>
    <n v="0.1794"/>
    <n v="3.6999999999999998E-2"/>
    <s v="Elementary Health/_x000a_Related Services"/>
    <x v="2"/>
  </r>
  <r>
    <s v="06122"/>
    <x v="32"/>
    <s v="Personnel"/>
    <s v="E "/>
    <s v="Elementary Grade Group K-6"/>
    <s v="PS26ES"/>
    <s v="PSES Elem Prog01Act26 S275"/>
    <n v="1"/>
    <x v="2"/>
    <m/>
    <n v="26"/>
    <s v="   "/>
    <n v="2.4569999999999999"/>
    <n v="0.1794"/>
    <n v="0"/>
    <s v="Elementary Health/_x000a_Related Services"/>
    <x v="2"/>
  </r>
  <r>
    <s v="06122"/>
    <x v="32"/>
    <s v="Personnel"/>
    <s v="H "/>
    <s v="High Grade Group 9-12"/>
    <s v="PS26H21S"/>
    <s v="PSES High Prog21Act26 S275"/>
    <n v="21"/>
    <x v="2"/>
    <m/>
    <n v="26"/>
    <s v="   "/>
    <n v="0.94899999999999995"/>
    <n v="0.1794"/>
    <n v="0.17"/>
    <s v="High Health/_x000a_Related Services"/>
    <x v="2"/>
  </r>
  <r>
    <s v="06122"/>
    <x v="32"/>
    <s v="Personnel"/>
    <s v="H "/>
    <s v="High Grade Group 9-12"/>
    <s v="PS26HS"/>
    <s v="PSES High Prog01Act26 S275"/>
    <n v="1"/>
    <x v="2"/>
    <m/>
    <n v="26"/>
    <s v="   "/>
    <n v="3.5409999999999999"/>
    <n v="0.1794"/>
    <n v="0"/>
    <s v="High Health/_x000a_Related Services"/>
    <x v="2"/>
  </r>
  <r>
    <s v="06122"/>
    <x v="32"/>
    <s v="Personnel"/>
    <s v="M "/>
    <s v="Middle Grade Group 7-8"/>
    <s v="PS26M21S"/>
    <s v="PSES Mid Prog21Act26 S275"/>
    <n v="21"/>
    <x v="2"/>
    <m/>
    <n v="26"/>
    <s v="   "/>
    <n v="0.28899999999999998"/>
    <n v="0.1794"/>
    <n v="5.1999999999999998E-2"/>
    <s v="Middle Health/_x000a_Related Services"/>
    <x v="2"/>
  </r>
  <r>
    <s v="06122"/>
    <x v="32"/>
    <s v="Personnel"/>
    <s v="M "/>
    <s v="Middle Grade Group 7-8"/>
    <s v="PS26MS"/>
    <s v="PSES Mid Prog01Act26 S275"/>
    <n v="1"/>
    <x v="2"/>
    <m/>
    <n v="26"/>
    <s v="   "/>
    <n v="0.62"/>
    <n v="0.1794"/>
    <n v="0"/>
    <s v="Middle Health/_x000a_Related Services"/>
    <x v="2"/>
  </r>
  <r>
    <s v="06122"/>
    <x v="32"/>
    <s v="Personnel"/>
    <s v="E "/>
    <s v="Elementary Grade Group K-6"/>
    <s v="PS42ES"/>
    <s v="PSES Elem Prog01Duty42 S275"/>
    <n v="1"/>
    <x v="5"/>
    <n v="42"/>
    <m/>
    <s v="   "/>
    <n v="5.6219999999999999"/>
    <n v="0.1794"/>
    <n v="0"/>
    <s v="Elementary Counselor"/>
    <x v="5"/>
  </r>
  <r>
    <s v="06122"/>
    <x v="32"/>
    <s v="Personnel"/>
    <s v="H "/>
    <s v="High Grade Group 9-12"/>
    <s v="PS42HS"/>
    <s v="PSES High Prog01Duty42 S275"/>
    <n v="1"/>
    <x v="5"/>
    <n v="42"/>
    <m/>
    <s v="   "/>
    <n v="2.532"/>
    <n v="0.1794"/>
    <n v="0"/>
    <s v="High Counselor"/>
    <x v="5"/>
  </r>
  <r>
    <s v="06122"/>
    <x v="32"/>
    <s v="Personnel"/>
    <s v="M "/>
    <s v="Middle Grade Group 7-8"/>
    <s v="PS42MS"/>
    <s v="PSES Mid Prog01Duty42 S275"/>
    <n v="1"/>
    <x v="5"/>
    <n v="42"/>
    <m/>
    <s v="   "/>
    <n v="1.4039999999999999"/>
    <n v="0.1794"/>
    <n v="0"/>
    <s v="Middle Counselor"/>
    <x v="5"/>
  </r>
  <r>
    <s v="06122"/>
    <x v="32"/>
    <s v="Personnel"/>
    <s v="E "/>
    <s v="Elementary Grade Group K-6"/>
    <s v="PS43E21S"/>
    <s v="PSES Elem Prog21Duty43 S275"/>
    <n v="21"/>
    <x v="6"/>
    <n v="43"/>
    <m/>
    <s v="   "/>
    <n v="0.99199999999999999"/>
    <n v="0.1794"/>
    <n v="0.17799999999999999"/>
    <s v="Elementary Occupational Therapist"/>
    <x v="6"/>
  </r>
  <r>
    <s v="06122"/>
    <x v="32"/>
    <s v="Personnel"/>
    <s v="H "/>
    <s v="High Grade Group 9-12"/>
    <s v="PS43H21S"/>
    <s v="PSES High Prog21Duty43 S275"/>
    <n v="21"/>
    <x v="6"/>
    <n v="43"/>
    <m/>
    <s v="   "/>
    <n v="0.19"/>
    <n v="0.1794"/>
    <n v="3.4000000000000002E-2"/>
    <s v="High Occupational Therapist"/>
    <x v="6"/>
  </r>
  <r>
    <s v="06122"/>
    <x v="32"/>
    <s v="Personnel"/>
    <s v="M "/>
    <s v="Middle Grade Group 7-8"/>
    <s v="PS43M21S"/>
    <s v="PSES Mid Prog21Duty43 S275"/>
    <n v="21"/>
    <x v="6"/>
    <n v="43"/>
    <m/>
    <s v="   "/>
    <n v="0.18"/>
    <n v="0.1794"/>
    <n v="3.2000000000000001E-2"/>
    <s v="Middle Occupational Therapist"/>
    <x v="6"/>
  </r>
  <r>
    <s v="06122"/>
    <x v="32"/>
    <s v="Personnel"/>
    <s v="E "/>
    <s v="Elementary Grade Group K-6"/>
    <s v="PS45E21S"/>
    <s v="PSES Elem Prog21Duty45 S275"/>
    <n v="21"/>
    <x v="7"/>
    <n v="45"/>
    <m/>
    <s v="   "/>
    <n v="4.1020000000000003"/>
    <n v="0.1794"/>
    <n v="0.73599999999999999"/>
    <s v="Elementary Speech, Language Pathway/_x000a_Audio"/>
    <x v="7"/>
  </r>
  <r>
    <s v="06122"/>
    <x v="32"/>
    <s v="Personnel"/>
    <s v="H "/>
    <s v="High Grade Group 9-12"/>
    <s v="PS45H21S"/>
    <s v="PSES High Prog21Duty45 S275"/>
    <n v="21"/>
    <x v="7"/>
    <n v="45"/>
    <m/>
    <s v="   "/>
    <n v="0.73"/>
    <n v="0.1794"/>
    <n v="0.13100000000000001"/>
    <s v="High Speech, Language Pathway/_x000a_Audio"/>
    <x v="7"/>
  </r>
  <r>
    <s v="06122"/>
    <x v="32"/>
    <s v="Personnel"/>
    <s v="M "/>
    <s v="Middle Grade Group 7-8"/>
    <s v="PS45M21S"/>
    <s v="PSES Mid Prog21Duty45 S275"/>
    <n v="21"/>
    <x v="7"/>
    <n v="45"/>
    <m/>
    <s v="   "/>
    <n v="0.69699999999999995"/>
    <n v="0.1794"/>
    <n v="0.125"/>
    <s v="Middle Speech, Language Pathway/_x000a_Audio"/>
    <x v="7"/>
  </r>
  <r>
    <s v="06122"/>
    <x v="32"/>
    <s v="Personnel"/>
    <s v="E "/>
    <s v="Elementary Grade Group K-6"/>
    <s v="PS46E21S"/>
    <s v="PSES Elem Prog21Duty46 S275"/>
    <n v="21"/>
    <x v="8"/>
    <n v="46"/>
    <m/>
    <s v="   "/>
    <n v="2.65"/>
    <n v="0.1794"/>
    <n v="0.47499999999999998"/>
    <s v="Elementary Psychologist"/>
    <x v="8"/>
  </r>
  <r>
    <s v="06122"/>
    <x v="32"/>
    <s v="Personnel"/>
    <s v="H "/>
    <s v="High Grade Group 9-12"/>
    <s v="PS46H21S"/>
    <s v="PSES High Prog21Duty46 S275"/>
    <n v="21"/>
    <x v="8"/>
    <n v="46"/>
    <m/>
    <s v="   "/>
    <n v="1.2"/>
    <n v="0.1794"/>
    <n v="0.215"/>
    <s v="High Psychologist"/>
    <x v="8"/>
  </r>
  <r>
    <s v="06122"/>
    <x v="32"/>
    <s v="Personnel"/>
    <s v="M "/>
    <s v="Middle Grade Group 7-8"/>
    <s v="PS46M21S"/>
    <s v="PSES Mid Prog21Duty46 S275"/>
    <n v="21"/>
    <x v="8"/>
    <n v="46"/>
    <m/>
    <s v="   "/>
    <n v="0.53"/>
    <n v="0.1794"/>
    <n v="9.5000000000000001E-2"/>
    <s v="Middle Psychologist"/>
    <x v="8"/>
  </r>
  <r>
    <s v="06122"/>
    <x v="32"/>
    <s v="Personnel"/>
    <s v="E "/>
    <s v="Elementary Grade Group K-6"/>
    <s v="PS48E21S"/>
    <s v="PSES Elem Prog21Duty48 S275"/>
    <n v="21"/>
    <x v="11"/>
    <n v="48"/>
    <m/>
    <s v="   "/>
    <n v="0.56000000000000005"/>
    <n v="0.1794"/>
    <n v="0.1"/>
    <s v="Elementary Physical Therapist"/>
    <x v="11"/>
  </r>
  <r>
    <s v="06122"/>
    <x v="32"/>
    <s v="Personnel"/>
    <s v="H "/>
    <s v="High Grade Group 9-12"/>
    <s v="PS48H21S"/>
    <s v="PSES High Prog21Duty48 S275"/>
    <n v="21"/>
    <x v="11"/>
    <n v="48"/>
    <m/>
    <s v="   "/>
    <n v="0.09"/>
    <n v="0.1794"/>
    <n v="1.6E-2"/>
    <s v="High Physical Therapist"/>
    <x v="11"/>
  </r>
  <r>
    <s v="06122"/>
    <x v="32"/>
    <s v="Personnel"/>
    <s v="M "/>
    <s v="Middle Grade Group 7-8"/>
    <s v="PS48M21S"/>
    <s v="PSES Mid Prog21Duty48 S275"/>
    <n v="21"/>
    <x v="11"/>
    <n v="48"/>
    <m/>
    <s v="   "/>
    <n v="0.06"/>
    <n v="0.1794"/>
    <n v="1.0999999999999999E-2"/>
    <s v="Middle Physical Therapist"/>
    <x v="11"/>
  </r>
  <r>
    <s v="06122"/>
    <x v="32"/>
    <s v="Personnel"/>
    <s v="E "/>
    <s v="Elementary Grade Group K-6"/>
    <s v="PS49E21S"/>
    <s v="PSES Elem Prog21Duty49 S275"/>
    <n v="21"/>
    <x v="10"/>
    <n v="49"/>
    <m/>
    <s v="   "/>
    <n v="0.73"/>
    <n v="0.1794"/>
    <n v="0.13100000000000001"/>
    <s v="Elementary Behavior Analyst"/>
    <x v="10"/>
  </r>
  <r>
    <s v="06122"/>
    <x v="32"/>
    <s v="Personnel"/>
    <s v="H "/>
    <s v="High Grade Group 9-12"/>
    <s v="PS49H21S"/>
    <s v="PSES High Prog21Duty49 S275"/>
    <n v="21"/>
    <x v="10"/>
    <n v="49"/>
    <m/>
    <s v="   "/>
    <n v="0.09"/>
    <n v="0.1794"/>
    <n v="1.6E-2"/>
    <s v="High Behavior Analyst"/>
    <x v="10"/>
  </r>
  <r>
    <s v="06122"/>
    <x v="32"/>
    <s v="Personnel"/>
    <s v="M "/>
    <s v="Middle Grade Group 7-8"/>
    <s v="PS49M21S"/>
    <s v="PSES Mid Prog21Duty49 S275"/>
    <n v="21"/>
    <x v="10"/>
    <n v="49"/>
    <m/>
    <s v="   "/>
    <n v="0.18"/>
    <n v="0.1794"/>
    <n v="3.2000000000000001E-2"/>
    <s v="Middle Behavior Analyst"/>
    <x v="10"/>
  </r>
  <r>
    <s v="07002"/>
    <x v="33"/>
    <s v="Personnel"/>
    <s v="E "/>
    <s v="Elementary Grade Group K-6"/>
    <s v="PS25ES"/>
    <s v="PSES Elem Prog01Act25 S275"/>
    <n v="1"/>
    <x v="1"/>
    <m/>
    <n v="25"/>
    <s v="   "/>
    <n v="0.442"/>
    <n v="0.1913"/>
    <n v="0"/>
    <s v="Elementary Pupil Management"/>
    <x v="1"/>
  </r>
  <r>
    <s v="07002"/>
    <x v="33"/>
    <s v="Personnel"/>
    <s v="M "/>
    <s v="Middle Grade Group 7-8"/>
    <s v="PS25MS"/>
    <s v="PSES Mid Prog01Act25 S275"/>
    <n v="1"/>
    <x v="1"/>
    <m/>
    <n v="25"/>
    <s v="   "/>
    <n v="0.1"/>
    <n v="0.1913"/>
    <n v="0"/>
    <s v="Middle Pupil Management"/>
    <x v="1"/>
  </r>
  <r>
    <s v="07002"/>
    <x v="33"/>
    <s v="Personnel"/>
    <s v="H "/>
    <s v="High Grade Group 9-12"/>
    <s v="PS42HS"/>
    <s v="PSES High Prog01Duty42 S275"/>
    <n v="1"/>
    <x v="5"/>
    <n v="42"/>
    <m/>
    <s v="   "/>
    <n v="1"/>
    <n v="0.1913"/>
    <n v="0"/>
    <s v="High Counselor"/>
    <x v="5"/>
  </r>
  <r>
    <s v="08122"/>
    <x v="34"/>
    <s v="Personnel"/>
    <s v="E "/>
    <s v="Elementary Grade Group K-6"/>
    <s v="PS25ES"/>
    <s v="PSES Elem Prog01Act25 S275"/>
    <n v="1"/>
    <x v="1"/>
    <m/>
    <n v="25"/>
    <s v="   "/>
    <n v="8.61"/>
    <n v="0.247"/>
    <n v="0"/>
    <s v="Elementary Pupil Management"/>
    <x v="1"/>
  </r>
  <r>
    <s v="08122"/>
    <x v="34"/>
    <s v="Personnel"/>
    <s v="H "/>
    <s v="High Grade Group 9-12"/>
    <s v="PS25HS"/>
    <s v="PSES High Prog01Act25 S275"/>
    <n v="1"/>
    <x v="1"/>
    <m/>
    <n v="25"/>
    <s v="   "/>
    <n v="0.34"/>
    <n v="0.247"/>
    <n v="0"/>
    <s v="High Pupil Management"/>
    <x v="1"/>
  </r>
  <r>
    <s v="08122"/>
    <x v="34"/>
    <s v="Personnel"/>
    <s v="M "/>
    <s v="Middle Grade Group 7-8"/>
    <s v="PS25MS"/>
    <s v="PSES Mid Prog01Act25 S275"/>
    <n v="1"/>
    <x v="1"/>
    <m/>
    <n v="25"/>
    <s v="   "/>
    <n v="1.4870000000000001"/>
    <n v="0.247"/>
    <n v="0"/>
    <s v="Middle Pupil Management"/>
    <x v="1"/>
  </r>
  <r>
    <s v="08122"/>
    <x v="34"/>
    <s v="Personnel"/>
    <s v="E "/>
    <s v="Elementary Grade Group K-6"/>
    <s v="PS26ES"/>
    <s v="PSES Elem Prog01Act26 S275"/>
    <n v="1"/>
    <x v="2"/>
    <m/>
    <n v="26"/>
    <s v="   "/>
    <n v="5.0659999999999998"/>
    <n v="0.247"/>
    <n v="0"/>
    <s v="Elementary Health/_x000a_Related Services"/>
    <x v="2"/>
  </r>
  <r>
    <s v="08122"/>
    <x v="34"/>
    <s v="Personnel"/>
    <s v="H "/>
    <s v="High Grade Group 9-12"/>
    <s v="PS26H21S"/>
    <s v="PSES High Prog21Act26 S275"/>
    <n v="21"/>
    <x v="2"/>
    <m/>
    <n v="26"/>
    <s v="   "/>
    <n v="5.0519999999999996"/>
    <n v="0.247"/>
    <n v="1.248"/>
    <s v="High Health/_x000a_Related Services"/>
    <x v="2"/>
  </r>
  <r>
    <s v="08122"/>
    <x v="34"/>
    <s v="Personnel"/>
    <s v="H "/>
    <s v="High Grade Group 9-12"/>
    <s v="PS26HS"/>
    <s v="PSES High Prog01Act26 S275"/>
    <n v="1"/>
    <x v="2"/>
    <m/>
    <n v="26"/>
    <s v="   "/>
    <n v="1.8360000000000001"/>
    <n v="0.247"/>
    <n v="0"/>
    <s v="High Health/_x000a_Related Services"/>
    <x v="2"/>
  </r>
  <r>
    <s v="08122"/>
    <x v="34"/>
    <s v="Personnel"/>
    <s v="M "/>
    <s v="Middle Grade Group 7-8"/>
    <s v="PS26MS"/>
    <s v="PSES Mid Prog01Act26 S275"/>
    <n v="1"/>
    <x v="2"/>
    <m/>
    <n v="26"/>
    <s v="   "/>
    <n v="1.2869999999999999"/>
    <n v="0.247"/>
    <n v="0"/>
    <s v="Middle Health/_x000a_Related Services"/>
    <x v="2"/>
  </r>
  <r>
    <s v="08122"/>
    <x v="34"/>
    <s v="Personnel"/>
    <s v="E "/>
    <s v="Elementary Grade Group K-6"/>
    <s v="PS42ES"/>
    <s v="PSES Elem Prog01Duty42 S275"/>
    <n v="1"/>
    <x v="5"/>
    <n v="42"/>
    <m/>
    <s v="   "/>
    <n v="11"/>
    <n v="0.247"/>
    <n v="0"/>
    <s v="Elementary Counselor"/>
    <x v="5"/>
  </r>
  <r>
    <s v="08122"/>
    <x v="34"/>
    <s v="Personnel"/>
    <s v="H "/>
    <s v="High Grade Group 9-12"/>
    <s v="PS42HS"/>
    <s v="PSES High Prog01Duty42 S275"/>
    <n v="1"/>
    <x v="5"/>
    <n v="42"/>
    <m/>
    <s v="   "/>
    <n v="5"/>
    <n v="0.247"/>
    <n v="0"/>
    <s v="High Counselor"/>
    <x v="5"/>
  </r>
  <r>
    <s v="08122"/>
    <x v="34"/>
    <s v="Personnel"/>
    <s v="M "/>
    <s v="Middle Grade Group 7-8"/>
    <s v="PS42MS"/>
    <s v="PSES Mid Prog01Duty42 S275"/>
    <n v="1"/>
    <x v="5"/>
    <n v="42"/>
    <m/>
    <s v="   "/>
    <n v="3"/>
    <n v="0.247"/>
    <n v="0"/>
    <s v="Middle Counselor"/>
    <x v="5"/>
  </r>
  <r>
    <s v="08122"/>
    <x v="34"/>
    <s v="Personnel"/>
    <s v="E "/>
    <s v="Elementary Grade Group K-6"/>
    <s v="PS43E21S"/>
    <s v="PSES Elem Prog21Duty43 S275"/>
    <n v="21"/>
    <x v="6"/>
    <n v="43"/>
    <m/>
    <s v="   "/>
    <n v="2.3340000000000001"/>
    <n v="0.247"/>
    <n v="0.57599999999999996"/>
    <s v="Elementary Occupational Therapist"/>
    <x v="6"/>
  </r>
  <r>
    <s v="08122"/>
    <x v="34"/>
    <s v="Personnel"/>
    <s v="H "/>
    <s v="High Grade Group 9-12"/>
    <s v="PS43H21S"/>
    <s v="PSES High Prog21Duty43 S275"/>
    <n v="21"/>
    <x v="6"/>
    <n v="43"/>
    <m/>
    <s v="   "/>
    <n v="0.33400000000000002"/>
    <n v="0.247"/>
    <n v="8.2000000000000003E-2"/>
    <s v="High Occupational Therapist"/>
    <x v="6"/>
  </r>
  <r>
    <s v="08122"/>
    <x v="34"/>
    <s v="Personnel"/>
    <s v="M "/>
    <s v="Middle Grade Group 7-8"/>
    <s v="PS43M21S"/>
    <s v="PSES Mid Prog21Duty43 S275"/>
    <n v="21"/>
    <x v="6"/>
    <n v="43"/>
    <m/>
    <s v="   "/>
    <n v="0.33200000000000002"/>
    <n v="0.247"/>
    <n v="8.2000000000000003E-2"/>
    <s v="Middle Occupational Therapist"/>
    <x v="6"/>
  </r>
  <r>
    <s v="08122"/>
    <x v="34"/>
    <s v="Personnel"/>
    <s v="E "/>
    <s v="Elementary Grade Group K-6"/>
    <s v="PS45E21S"/>
    <s v="PSES Elem Prog21Duty45 S275"/>
    <n v="21"/>
    <x v="7"/>
    <n v="45"/>
    <m/>
    <s v="   "/>
    <n v="4.8529999999999998"/>
    <n v="0.247"/>
    <n v="1.1990000000000001"/>
    <s v="Elementary Speech, Language Pathway/_x000a_Audio"/>
    <x v="7"/>
  </r>
  <r>
    <s v="08122"/>
    <x v="34"/>
    <s v="Personnel"/>
    <s v="H "/>
    <s v="High Grade Group 9-12"/>
    <s v="PS45H21S"/>
    <s v="PSES High Prog21Duty45 S275"/>
    <n v="21"/>
    <x v="7"/>
    <n v="45"/>
    <m/>
    <s v="   "/>
    <n v="0.72"/>
    <n v="0.247"/>
    <n v="0.17799999999999999"/>
    <s v="High Speech, Language Pathway/_x000a_Audio"/>
    <x v="7"/>
  </r>
  <r>
    <s v="08122"/>
    <x v="34"/>
    <s v="Personnel"/>
    <s v="M "/>
    <s v="Middle Grade Group 7-8"/>
    <s v="PS45M21S"/>
    <s v="PSES Mid Prog21Duty45 S275"/>
    <n v="21"/>
    <x v="7"/>
    <n v="45"/>
    <m/>
    <s v="   "/>
    <n v="0.22700000000000001"/>
    <n v="0.247"/>
    <n v="5.6000000000000001E-2"/>
    <s v="Middle Speech, Language Pathway/_x000a_Audio"/>
    <x v="7"/>
  </r>
  <r>
    <s v="08122"/>
    <x v="34"/>
    <s v="Personnel"/>
    <s v="E "/>
    <s v="Elementary Grade Group K-6"/>
    <s v="PS46E21S"/>
    <s v="PSES Elem Prog21Duty46 S275"/>
    <n v="21"/>
    <x v="8"/>
    <n v="46"/>
    <m/>
    <s v="   "/>
    <n v="1.4990000000000001"/>
    <n v="0.247"/>
    <n v="0.37"/>
    <s v="Elementary Psychologist"/>
    <x v="8"/>
  </r>
  <r>
    <s v="08122"/>
    <x v="34"/>
    <s v="Personnel"/>
    <s v="E "/>
    <s v="Elementary Grade Group K-6"/>
    <s v="PS46ES"/>
    <s v="PSES Elem Prog01Duty46 S275"/>
    <n v="1"/>
    <x v="8"/>
    <n v="46"/>
    <m/>
    <s v="   "/>
    <n v="3"/>
    <n v="0.247"/>
    <n v="0"/>
    <s v="Elementary Psychologist"/>
    <x v="8"/>
  </r>
  <r>
    <s v="08122"/>
    <x v="34"/>
    <s v="Personnel"/>
    <s v="H "/>
    <s v="High Grade Group 9-12"/>
    <s v="PS46H21S"/>
    <s v="PSES High Prog21Duty46 S275"/>
    <n v="21"/>
    <x v="8"/>
    <n v="46"/>
    <m/>
    <s v="   "/>
    <n v="0.25"/>
    <n v="0.247"/>
    <n v="6.2E-2"/>
    <s v="High Psychologist"/>
    <x v="8"/>
  </r>
  <r>
    <s v="08122"/>
    <x v="34"/>
    <s v="Personnel"/>
    <s v="H "/>
    <s v="High Grade Group 9-12"/>
    <s v="PS46HS"/>
    <s v="PSES High Prog01Duty46 S275"/>
    <n v="1"/>
    <x v="8"/>
    <n v="46"/>
    <m/>
    <s v="   "/>
    <n v="0.25"/>
    <n v="0.247"/>
    <n v="0"/>
    <s v="High Psychologist"/>
    <x v="8"/>
  </r>
  <r>
    <s v="08122"/>
    <x v="34"/>
    <s v="Personnel"/>
    <s v="M "/>
    <s v="Middle Grade Group 7-8"/>
    <s v="PS46M21S"/>
    <s v="PSES Mid Prog21Duty46 S275"/>
    <n v="21"/>
    <x v="8"/>
    <n v="46"/>
    <m/>
    <s v="   "/>
    <n v="2.7509999999999999"/>
    <n v="0.247"/>
    <n v="0.67900000000000005"/>
    <s v="Middle Psychologist"/>
    <x v="8"/>
  </r>
  <r>
    <s v="08122"/>
    <x v="34"/>
    <s v="Personnel"/>
    <s v="M "/>
    <s v="Middle Grade Group 7-8"/>
    <s v="PS46MS"/>
    <s v="PSES Mid Prog01Duty46 S275"/>
    <n v="1"/>
    <x v="8"/>
    <n v="46"/>
    <m/>
    <s v="   "/>
    <n v="0.25"/>
    <n v="0.247"/>
    <n v="0"/>
    <s v="Middle Psychologist"/>
    <x v="8"/>
  </r>
  <r>
    <s v="08122"/>
    <x v="34"/>
    <s v="Personnel"/>
    <s v="E "/>
    <s v="Elementary Grade Group K-6"/>
    <s v="PS47ES"/>
    <s v="PSES Elem Prog01Duty47 S275"/>
    <n v="1"/>
    <x v="9"/>
    <n v="47"/>
    <m/>
    <s v="   "/>
    <n v="1.52"/>
    <n v="0.247"/>
    <n v="0"/>
    <s v="Elementary Nurse"/>
    <x v="9"/>
  </r>
  <r>
    <s v="08122"/>
    <x v="34"/>
    <s v="Personnel"/>
    <s v="H "/>
    <s v="High Grade Group 9-12"/>
    <s v="PS47HS"/>
    <s v="PSES High Prog01Duty47 S275"/>
    <n v="1"/>
    <x v="9"/>
    <n v="47"/>
    <m/>
    <s v="   "/>
    <n v="0.33"/>
    <n v="0.247"/>
    <n v="0"/>
    <s v="High Nurse"/>
    <x v="9"/>
  </r>
  <r>
    <s v="08122"/>
    <x v="34"/>
    <s v="Personnel"/>
    <s v="M "/>
    <s v="Middle Grade Group 7-8"/>
    <s v="PS47MS"/>
    <s v="PSES Mid Prog01Duty47 S275"/>
    <n v="1"/>
    <x v="9"/>
    <n v="47"/>
    <m/>
    <s v="   "/>
    <n v="0.15"/>
    <n v="0.247"/>
    <n v="0"/>
    <s v="Middle Nurse"/>
    <x v="9"/>
  </r>
  <r>
    <s v="08122"/>
    <x v="34"/>
    <s v="Personnel"/>
    <s v="E "/>
    <s v="Elementary Grade Group K-6"/>
    <s v="PS48E21S"/>
    <s v="PSES Elem Prog21Duty48 S275"/>
    <n v="21"/>
    <x v="11"/>
    <n v="48"/>
    <m/>
    <s v="   "/>
    <n v="0.52"/>
    <n v="0.247"/>
    <n v="0.128"/>
    <s v="Elementary Physical Therapist"/>
    <x v="11"/>
  </r>
  <r>
    <s v="08122"/>
    <x v="34"/>
    <s v="Personnel"/>
    <s v="H "/>
    <s v="High Grade Group 9-12"/>
    <s v="PS48H21S"/>
    <s v="PSES High Prog21Duty48 S275"/>
    <n v="21"/>
    <x v="11"/>
    <n v="48"/>
    <m/>
    <s v="   "/>
    <n v="0.33"/>
    <n v="0.247"/>
    <n v="8.2000000000000003E-2"/>
    <s v="High Physical Therapist"/>
    <x v="11"/>
  </r>
  <r>
    <s v="08122"/>
    <x v="34"/>
    <s v="Personnel"/>
    <s v="M "/>
    <s v="Middle Grade Group 7-8"/>
    <s v="PS48M21S"/>
    <s v="PSES Mid Prog21Duty48 S275"/>
    <n v="21"/>
    <x v="11"/>
    <n v="48"/>
    <m/>
    <s v="   "/>
    <n v="0.15"/>
    <n v="0.247"/>
    <n v="3.6999999999999998E-2"/>
    <s v="Middle Physical Therapist"/>
    <x v="11"/>
  </r>
  <r>
    <s v="08130"/>
    <x v="35"/>
    <s v="Personnel"/>
    <s v="H "/>
    <s v="High Grade Group 9-12"/>
    <s v="PS24HS"/>
    <s v="PSES High Prog01Duty96 S275"/>
    <n v="1"/>
    <x v="0"/>
    <n v="96"/>
    <n v="24"/>
    <s v="   "/>
    <n v="0.75700000000000001"/>
    <n v="0.1913"/>
    <n v="0"/>
    <s v="High Family Engagement Coordinator"/>
    <x v="0"/>
  </r>
  <r>
    <s v="08130"/>
    <x v="35"/>
    <s v="Personnel"/>
    <s v="H "/>
    <s v="High Grade Group 9-12"/>
    <s v="PS26HS"/>
    <s v="PSES High Prog01Act26 S275"/>
    <n v="1"/>
    <x v="2"/>
    <m/>
    <n v="26"/>
    <s v="   "/>
    <n v="0.59699999999999998"/>
    <n v="0.1913"/>
    <n v="0"/>
    <s v="High Health/_x000a_Related Services"/>
    <x v="2"/>
  </r>
  <r>
    <s v="08130"/>
    <x v="35"/>
    <s v="Personnel"/>
    <s v="E "/>
    <s v="Elementary Grade Group K-6"/>
    <s v="PS42ES"/>
    <s v="PSES Elem Prog01Duty42 S275"/>
    <n v="1"/>
    <x v="5"/>
    <n v="42"/>
    <m/>
    <s v="   "/>
    <n v="1"/>
    <n v="0.1913"/>
    <n v="0"/>
    <s v="Elementary Counselor"/>
    <x v="5"/>
  </r>
  <r>
    <s v="08130"/>
    <x v="35"/>
    <s v="Personnel"/>
    <s v="H "/>
    <s v="High Grade Group 9-12"/>
    <s v="PS42HS"/>
    <s v="PSES High Prog01Duty42 S275"/>
    <n v="1"/>
    <x v="5"/>
    <n v="42"/>
    <m/>
    <s v="   "/>
    <n v="1"/>
    <n v="0.1913"/>
    <n v="0"/>
    <s v="High Counselor"/>
    <x v="5"/>
  </r>
  <r>
    <s v="08401"/>
    <x v="36"/>
    <s v="Personnel"/>
    <s v="H "/>
    <s v="High Grade Group 9-12"/>
    <s v="PS25HS"/>
    <s v="PSES High Prog01Act25 S275"/>
    <n v="1"/>
    <x v="1"/>
    <m/>
    <n v="25"/>
    <s v="   "/>
    <n v="2.6349999999999998"/>
    <n v="0.1804"/>
    <n v="0"/>
    <s v="High Pupil Management"/>
    <x v="1"/>
  </r>
  <r>
    <s v="08401"/>
    <x v="36"/>
    <s v="Personnel"/>
    <s v="M "/>
    <s v="Middle Grade Group 7-8"/>
    <s v="PS25MS"/>
    <s v="PSES Mid Prog01Act25 S275"/>
    <n v="1"/>
    <x v="1"/>
    <m/>
    <n v="25"/>
    <s v="   "/>
    <n v="0.54800000000000004"/>
    <n v="0.1804"/>
    <n v="0"/>
    <s v="Middle Pupil Management"/>
    <x v="1"/>
  </r>
  <r>
    <s v="08401"/>
    <x v="36"/>
    <s v="Personnel"/>
    <s v="E "/>
    <s v="Elementary Grade Group K-6"/>
    <s v="PS26ES"/>
    <s v="PSES Elem Prog01Act26 S275"/>
    <n v="1"/>
    <x v="2"/>
    <m/>
    <n v="26"/>
    <s v="   "/>
    <n v="0.95299999999999996"/>
    <n v="0.1804"/>
    <n v="0"/>
    <s v="Elementary Health/_x000a_Related Services"/>
    <x v="2"/>
  </r>
  <r>
    <s v="08401"/>
    <x v="36"/>
    <s v="Personnel"/>
    <s v="H "/>
    <s v="High Grade Group 9-12"/>
    <s v="PS26HS"/>
    <s v="PSES High Prog01Act26 S275"/>
    <n v="1"/>
    <x v="2"/>
    <m/>
    <n v="26"/>
    <s v="   "/>
    <n v="0.2"/>
    <n v="0.1804"/>
    <n v="0"/>
    <s v="High Health/_x000a_Related Services"/>
    <x v="2"/>
  </r>
  <r>
    <s v="08401"/>
    <x v="36"/>
    <s v="Personnel"/>
    <s v="M "/>
    <s v="Middle Grade Group 7-8"/>
    <s v="PS26MS"/>
    <s v="PSES Mid Prog01Act26 S275"/>
    <n v="1"/>
    <x v="2"/>
    <m/>
    <n v="26"/>
    <s v="   "/>
    <n v="0.2"/>
    <n v="0.1804"/>
    <n v="0"/>
    <s v="Middle Health/_x000a_Related Services"/>
    <x v="2"/>
  </r>
  <r>
    <s v="08401"/>
    <x v="36"/>
    <s v="Personnel"/>
    <s v="E "/>
    <s v="Elementary Grade Group K-6"/>
    <s v="PS42ES"/>
    <s v="PSES Elem Prog01Duty42 S275"/>
    <n v="1"/>
    <x v="5"/>
    <n v="42"/>
    <m/>
    <s v="   "/>
    <n v="1"/>
    <n v="0.1804"/>
    <n v="0"/>
    <s v="Elementary Counselor"/>
    <x v="5"/>
  </r>
  <r>
    <s v="08401"/>
    <x v="36"/>
    <s v="Personnel"/>
    <s v="H "/>
    <s v="High Grade Group 9-12"/>
    <s v="PS42HS"/>
    <s v="PSES High Prog01Duty42 S275"/>
    <n v="1"/>
    <x v="5"/>
    <n v="42"/>
    <m/>
    <s v="   "/>
    <n v="1"/>
    <n v="0.1804"/>
    <n v="0"/>
    <s v="High Counselor"/>
    <x v="5"/>
  </r>
  <r>
    <s v="08401"/>
    <x v="36"/>
    <s v="Personnel"/>
    <s v="M "/>
    <s v="Middle Grade Group 7-8"/>
    <s v="PS42MS"/>
    <s v="PSES Mid Prog01Duty42 S275"/>
    <n v="1"/>
    <x v="5"/>
    <n v="42"/>
    <m/>
    <s v="   "/>
    <n v="1"/>
    <n v="0.1804"/>
    <n v="0"/>
    <s v="Middle Counselor"/>
    <x v="5"/>
  </r>
  <r>
    <s v="08401"/>
    <x v="36"/>
    <s v="Personnel"/>
    <s v="E "/>
    <s v="Elementary Grade Group K-6"/>
    <s v="PS45E21S"/>
    <s v="PSES Elem Prog21Duty45 S275"/>
    <n v="21"/>
    <x v="7"/>
    <n v="45"/>
    <m/>
    <s v="   "/>
    <n v="1.82"/>
    <n v="0.1804"/>
    <n v="0.32800000000000001"/>
    <s v="Elementary Speech, Language Pathway/_x000a_Audio"/>
    <x v="7"/>
  </r>
  <r>
    <s v="08401"/>
    <x v="36"/>
    <s v="Personnel"/>
    <s v="E "/>
    <s v="Elementary Grade Group K-6"/>
    <s v="PS46E21S"/>
    <s v="PSES Elem Prog21Duty46 S275"/>
    <n v="21"/>
    <x v="8"/>
    <n v="46"/>
    <m/>
    <s v="   "/>
    <n v="1"/>
    <n v="0.1804"/>
    <n v="0.18"/>
    <s v="Elementary Psychologist"/>
    <x v="8"/>
  </r>
  <r>
    <s v="08402"/>
    <x v="37"/>
    <s v="Personnel"/>
    <s v="E "/>
    <s v="Elementary Grade Group K-6"/>
    <s v="PS25ES"/>
    <s v="PSES Elem Prog01Act25 S275"/>
    <n v="1"/>
    <x v="1"/>
    <m/>
    <n v="25"/>
    <s v="   "/>
    <n v="1.294"/>
    <n v="0.1913"/>
    <n v="0"/>
    <s v="Elementary Pupil Management"/>
    <x v="1"/>
  </r>
  <r>
    <s v="08402"/>
    <x v="37"/>
    <s v="Personnel"/>
    <s v="H "/>
    <s v="High Grade Group 9-12"/>
    <s v="PS25HS"/>
    <s v="PSES High Prog01Act25 S275"/>
    <n v="1"/>
    <x v="1"/>
    <m/>
    <n v="25"/>
    <s v="   "/>
    <n v="1.24"/>
    <n v="0.1913"/>
    <n v="0"/>
    <s v="High Pupil Management"/>
    <x v="1"/>
  </r>
  <r>
    <s v="08402"/>
    <x v="37"/>
    <s v="Personnel"/>
    <s v="M "/>
    <s v="Middle Grade Group 7-8"/>
    <s v="PS25MS"/>
    <s v="PSES Mid Prog01Act25 S275"/>
    <n v="1"/>
    <x v="1"/>
    <m/>
    <n v="25"/>
    <s v="   "/>
    <n v="9.0999999999999998E-2"/>
    <n v="0.1913"/>
    <n v="0"/>
    <s v="Middle Pupil Management"/>
    <x v="1"/>
  </r>
  <r>
    <s v="08402"/>
    <x v="37"/>
    <s v="Personnel"/>
    <s v="E "/>
    <s v="Elementary Grade Group K-6"/>
    <s v="PS26ES"/>
    <s v="PSES Elem Prog01Act26 S275"/>
    <n v="1"/>
    <x v="2"/>
    <m/>
    <n v="26"/>
    <s v="   "/>
    <n v="0.67"/>
    <n v="0.1913"/>
    <n v="0"/>
    <s v="Elementary Health/_x000a_Related Services"/>
    <x v="2"/>
  </r>
  <r>
    <s v="08402"/>
    <x v="37"/>
    <s v="Personnel"/>
    <s v="H "/>
    <s v="High Grade Group 9-12"/>
    <s v="PS26HS"/>
    <s v="PSES High Prog01Act26 S275"/>
    <n v="1"/>
    <x v="2"/>
    <m/>
    <n v="26"/>
    <s v="   "/>
    <n v="0.33500000000000002"/>
    <n v="0.1913"/>
    <n v="0"/>
    <s v="High Health/_x000a_Related Services"/>
    <x v="2"/>
  </r>
  <r>
    <s v="08402"/>
    <x v="37"/>
    <s v="Personnel"/>
    <s v="M "/>
    <s v="Middle Grade Group 7-8"/>
    <s v="PS26MS"/>
    <s v="PSES Mid Prog01Act26 S275"/>
    <n v="1"/>
    <x v="2"/>
    <m/>
    <n v="26"/>
    <s v="   "/>
    <n v="0.33500000000000002"/>
    <n v="0.1913"/>
    <n v="0"/>
    <s v="Middle Health/_x000a_Related Services"/>
    <x v="2"/>
  </r>
  <r>
    <s v="08402"/>
    <x v="37"/>
    <s v="Personnel"/>
    <s v="E "/>
    <s v="Elementary Grade Group K-6"/>
    <s v="PS42ES"/>
    <s v="PSES Elem Prog01Duty42 S275"/>
    <n v="1"/>
    <x v="5"/>
    <n v="42"/>
    <m/>
    <s v="   "/>
    <n v="1.081"/>
    <n v="0.1913"/>
    <n v="0"/>
    <s v="Elementary Counselor"/>
    <x v="5"/>
  </r>
  <r>
    <s v="08402"/>
    <x v="37"/>
    <s v="Personnel"/>
    <s v="H "/>
    <s v="High Grade Group 9-12"/>
    <s v="PS42HS"/>
    <s v="PSES High Prog01Duty42 S275"/>
    <n v="1"/>
    <x v="5"/>
    <n v="42"/>
    <m/>
    <s v="   "/>
    <n v="1.081"/>
    <n v="0.1913"/>
    <n v="0"/>
    <s v="High Counselor"/>
    <x v="5"/>
  </r>
  <r>
    <s v="08402"/>
    <x v="37"/>
    <s v="Personnel"/>
    <s v="M "/>
    <s v="Middle Grade Group 7-8"/>
    <s v="PS42MS"/>
    <s v="PSES Mid Prog01Duty42 S275"/>
    <n v="1"/>
    <x v="5"/>
    <n v="42"/>
    <m/>
    <s v="   "/>
    <n v="1.0329999999999999"/>
    <n v="0.1913"/>
    <n v="0"/>
    <s v="Middle Counselor"/>
    <x v="5"/>
  </r>
  <r>
    <s v="08402"/>
    <x v="37"/>
    <s v="Personnel"/>
    <s v="T"/>
    <s v="Elementary Grade Group K-6"/>
    <s v="PS25E09S"/>
    <s v="PSES Elem Prog09Duty25 S275"/>
    <n v="9"/>
    <x v="1"/>
    <n v="91"/>
    <n v="25"/>
    <s v="   "/>
    <n v="0.63600000000000001"/>
    <n v="0.1913"/>
    <n v="0"/>
    <s v="TK Pupil Management"/>
    <x v="1"/>
  </r>
  <r>
    <s v="08402"/>
    <x v="37"/>
    <s v="Personnel"/>
    <s v="T"/>
    <s v="Elementary Grade Group K-6"/>
    <s v="PS25E09S"/>
    <s v="PSES Elem Prog09Duty25 S275"/>
    <n v="9"/>
    <x v="1"/>
    <n v="91"/>
    <n v="25"/>
    <s v="   "/>
    <n v="0.64600000000000002"/>
    <n v="0.1913"/>
    <n v="0"/>
    <s v="TK Pupil Management"/>
    <x v="1"/>
  </r>
  <r>
    <s v="08404"/>
    <x v="38"/>
    <s v="Personnel"/>
    <s v="E "/>
    <s v="Elementary Grade Group K-6"/>
    <s v="PS24ES"/>
    <s v="PSES Elem Prog01Duty96 S275"/>
    <n v="1"/>
    <x v="0"/>
    <n v="96"/>
    <n v="24"/>
    <s v="   "/>
    <n v="0.78500000000000003"/>
    <n v="0.23580000000000001"/>
    <n v="0"/>
    <s v="Elementary Family Engagement Coordinator"/>
    <x v="0"/>
  </r>
  <r>
    <s v="08404"/>
    <x v="38"/>
    <s v="Personnel"/>
    <s v="E "/>
    <s v="Elementary Grade Group K-6"/>
    <s v="PS26ES"/>
    <s v="PSES Elem Prog01Act26 S275"/>
    <n v="1"/>
    <x v="2"/>
    <m/>
    <n v="26"/>
    <s v="   "/>
    <n v="0.45600000000000002"/>
    <n v="0.23580000000000001"/>
    <n v="0"/>
    <s v="Elementary Health/_x000a_Related Services"/>
    <x v="2"/>
  </r>
  <r>
    <s v="08404"/>
    <x v="38"/>
    <s v="Personnel"/>
    <s v="M "/>
    <s v="Middle Grade Group 7-8"/>
    <s v="PS26MS"/>
    <s v="PSES Mid Prog01Act26 S275"/>
    <n v="1"/>
    <x v="2"/>
    <m/>
    <n v="26"/>
    <s v="   "/>
    <n v="0.158"/>
    <n v="0.23580000000000001"/>
    <n v="0"/>
    <s v="Middle Health/_x000a_Related Services"/>
    <x v="2"/>
  </r>
  <r>
    <s v="08404"/>
    <x v="38"/>
    <s v="Personnel"/>
    <s v="E "/>
    <s v="Elementary Grade Group K-6"/>
    <s v="PS42ES"/>
    <s v="PSES Elem Prog01Duty42 S275"/>
    <n v="1"/>
    <x v="5"/>
    <n v="42"/>
    <m/>
    <s v="   "/>
    <n v="1.5"/>
    <n v="0.23580000000000001"/>
    <n v="0"/>
    <s v="Elementary Counselor"/>
    <x v="5"/>
  </r>
  <r>
    <s v="08404"/>
    <x v="38"/>
    <s v="Personnel"/>
    <s v="H "/>
    <s v="High Grade Group 9-12"/>
    <s v="PS42HS"/>
    <s v="PSES High Prog01Duty42 S275"/>
    <n v="1"/>
    <x v="5"/>
    <n v="42"/>
    <m/>
    <s v="   "/>
    <n v="1.75"/>
    <n v="0.23580000000000001"/>
    <n v="0"/>
    <s v="High Counselor"/>
    <x v="5"/>
  </r>
  <r>
    <s v="08404"/>
    <x v="38"/>
    <s v="Personnel"/>
    <s v="M "/>
    <s v="Middle Grade Group 7-8"/>
    <s v="PS42MS"/>
    <s v="PSES Mid Prog01Duty42 S275"/>
    <n v="1"/>
    <x v="5"/>
    <n v="42"/>
    <m/>
    <s v="   "/>
    <n v="1.2"/>
    <n v="0.23580000000000001"/>
    <n v="0"/>
    <s v="Middle Counselor"/>
    <x v="5"/>
  </r>
  <r>
    <s v="08404"/>
    <x v="38"/>
    <s v="Personnel"/>
    <s v="E "/>
    <s v="Elementary Grade Group K-6"/>
    <s v="PS45E21S"/>
    <s v="PSES Elem Prog21Duty45 S275"/>
    <n v="21"/>
    <x v="7"/>
    <n v="45"/>
    <m/>
    <s v="   "/>
    <n v="3"/>
    <n v="0.23580000000000001"/>
    <n v="0.70699999999999996"/>
    <s v="Elementary Speech, Language Pathway/_x000a_Audio"/>
    <x v="7"/>
  </r>
  <r>
    <s v="08404"/>
    <x v="38"/>
    <s v="Personnel"/>
    <s v="H "/>
    <s v="High Grade Group 9-12"/>
    <s v="PS45H21S"/>
    <s v="PSES High Prog21Duty45 S275"/>
    <n v="21"/>
    <x v="7"/>
    <n v="45"/>
    <m/>
    <s v="   "/>
    <n v="1"/>
    <n v="0.23580000000000001"/>
    <n v="0.23599999999999999"/>
    <s v="High Speech, Language Pathway/_x000a_Audio"/>
    <x v="7"/>
  </r>
  <r>
    <s v="08404"/>
    <x v="38"/>
    <s v="Personnel"/>
    <s v="M "/>
    <s v="Middle Grade Group 7-8"/>
    <s v="PS45M21S"/>
    <s v="PSES Mid Prog21Duty45 S275"/>
    <n v="21"/>
    <x v="7"/>
    <n v="45"/>
    <m/>
    <s v="   "/>
    <n v="1"/>
    <n v="0.23580000000000001"/>
    <n v="0.23599999999999999"/>
    <s v="Middle Speech, Language Pathway/_x000a_Audio"/>
    <x v="7"/>
  </r>
  <r>
    <s v="08404"/>
    <x v="38"/>
    <s v="Personnel"/>
    <s v="E "/>
    <s v="Elementary Grade Group K-6"/>
    <s v="PS46E21S"/>
    <s v="PSES Elem Prog21Duty46 S275"/>
    <n v="21"/>
    <x v="8"/>
    <n v="46"/>
    <m/>
    <s v="   "/>
    <n v="1.5"/>
    <n v="0.23580000000000001"/>
    <n v="0.35399999999999998"/>
    <s v="Elementary Psychologist"/>
    <x v="8"/>
  </r>
  <r>
    <s v="08404"/>
    <x v="38"/>
    <s v="Personnel"/>
    <s v="E "/>
    <s v="Elementary Grade Group K-6"/>
    <s v="PS46ES"/>
    <s v="PSES Elem Prog01Duty46 S275"/>
    <n v="1"/>
    <x v="8"/>
    <n v="46"/>
    <m/>
    <s v="   "/>
    <n v="0.5"/>
    <n v="0.23580000000000001"/>
    <n v="0"/>
    <s v="Elementary Psychologist"/>
    <x v="8"/>
  </r>
  <r>
    <s v="08404"/>
    <x v="38"/>
    <s v="Personnel"/>
    <s v="H "/>
    <s v="High Grade Group 9-12"/>
    <s v="PS46H21S"/>
    <s v="PSES High Prog21Duty46 S275"/>
    <n v="21"/>
    <x v="8"/>
    <n v="46"/>
    <m/>
    <s v="   "/>
    <n v="0.75"/>
    <n v="0.23580000000000001"/>
    <n v="0.17699999999999999"/>
    <s v="High Psychologist"/>
    <x v="8"/>
  </r>
  <r>
    <s v="08404"/>
    <x v="38"/>
    <s v="Personnel"/>
    <s v="H "/>
    <s v="High Grade Group 9-12"/>
    <s v="PS46HS"/>
    <s v="PSES High Prog01Duty46 S275"/>
    <n v="1"/>
    <x v="8"/>
    <n v="46"/>
    <m/>
    <s v="   "/>
    <n v="0.25"/>
    <n v="0.23580000000000001"/>
    <n v="0"/>
    <s v="High Psychologist"/>
    <x v="8"/>
  </r>
  <r>
    <s v="08404"/>
    <x v="38"/>
    <s v="Personnel"/>
    <s v="M "/>
    <s v="Middle Grade Group 7-8"/>
    <s v="PS46M21S"/>
    <s v="PSES Mid Prog21Duty46 S275"/>
    <n v="21"/>
    <x v="8"/>
    <n v="46"/>
    <m/>
    <s v="   "/>
    <n v="0.75"/>
    <n v="0.23580000000000001"/>
    <n v="0.17699999999999999"/>
    <s v="Middle Psychologist"/>
    <x v="8"/>
  </r>
  <r>
    <s v="08404"/>
    <x v="38"/>
    <s v="Personnel"/>
    <s v="M "/>
    <s v="Middle Grade Group 7-8"/>
    <s v="PS46MS"/>
    <s v="PSES Mid Prog01Duty46 S275"/>
    <n v="1"/>
    <x v="8"/>
    <n v="46"/>
    <m/>
    <s v="   "/>
    <n v="0.25"/>
    <n v="0.23580000000000001"/>
    <n v="0"/>
    <s v="Middle Psychologist"/>
    <x v="8"/>
  </r>
  <r>
    <s v="08404"/>
    <x v="38"/>
    <s v="Personnel"/>
    <s v="E "/>
    <s v="Elementary Grade Group K-6"/>
    <s v="PS47ES"/>
    <s v="PSES Elem Prog01Duty47 S275"/>
    <n v="1"/>
    <x v="9"/>
    <n v="47"/>
    <m/>
    <s v="   "/>
    <n v="0.5"/>
    <n v="0.23580000000000001"/>
    <n v="0"/>
    <s v="Elementary Nurse"/>
    <x v="9"/>
  </r>
  <r>
    <s v="08404"/>
    <x v="38"/>
    <s v="Personnel"/>
    <s v="H "/>
    <s v="High Grade Group 9-12"/>
    <s v="PS47HS"/>
    <s v="PSES High Prog01Duty47 S275"/>
    <n v="1"/>
    <x v="9"/>
    <n v="47"/>
    <m/>
    <s v="   "/>
    <n v="0.25"/>
    <n v="0.23580000000000001"/>
    <n v="0"/>
    <s v="High Nurse"/>
    <x v="9"/>
  </r>
  <r>
    <s v="08404"/>
    <x v="38"/>
    <s v="Personnel"/>
    <s v="M "/>
    <s v="Middle Grade Group 7-8"/>
    <s v="PS47MS"/>
    <s v="PSES Mid Prog01Duty47 S275"/>
    <n v="1"/>
    <x v="9"/>
    <n v="47"/>
    <m/>
    <s v="   "/>
    <n v="0.25"/>
    <n v="0.23580000000000001"/>
    <n v="0"/>
    <s v="Middle Nurse"/>
    <x v="9"/>
  </r>
  <r>
    <s v="08458"/>
    <x v="39"/>
    <s v="Personnel"/>
    <s v="H "/>
    <s v="High Grade Group 9-12"/>
    <s v="PS24HS"/>
    <s v="PSES High Prog01Duty96 S275"/>
    <n v="1"/>
    <x v="0"/>
    <n v="96"/>
    <n v="24"/>
    <s v="   "/>
    <n v="0.84599999999999997"/>
    <n v="0.2576"/>
    <n v="0"/>
    <s v="High Family Engagement Coordinator"/>
    <x v="0"/>
  </r>
  <r>
    <s v="08458"/>
    <x v="39"/>
    <s v="Personnel"/>
    <s v="E "/>
    <s v="Elementary Grade Group K-6"/>
    <s v="PS25E21S"/>
    <s v="PSES Elem Prog21Act25 S275"/>
    <n v="21"/>
    <x v="1"/>
    <m/>
    <n v="25"/>
    <s v="   "/>
    <n v="0.29599999999999999"/>
    <n v="0.2576"/>
    <n v="7.5999999999999998E-2"/>
    <s v="Elementary Pupil Management"/>
    <x v="1"/>
  </r>
  <r>
    <s v="08458"/>
    <x v="39"/>
    <s v="Personnel"/>
    <s v="E "/>
    <s v="Elementary Grade Group K-6"/>
    <s v="PS25ES"/>
    <s v="PSES Elem Prog01Act25 S275"/>
    <n v="1"/>
    <x v="1"/>
    <m/>
    <n v="25"/>
    <s v="   "/>
    <n v="3.9239999999999999"/>
    <n v="0.2576"/>
    <n v="0"/>
    <s v="Elementary Pupil Management"/>
    <x v="1"/>
  </r>
  <r>
    <s v="08458"/>
    <x v="39"/>
    <s v="Personnel"/>
    <s v="H "/>
    <s v="High Grade Group 9-12"/>
    <s v="PS25H21S"/>
    <s v="PSES High Prog21Act25 S275"/>
    <n v="21"/>
    <x v="1"/>
    <m/>
    <n v="25"/>
    <s v="   "/>
    <n v="2.1999999999999999E-2"/>
    <n v="0.2576"/>
    <n v="6.0000000000000001E-3"/>
    <s v="High Pupil Management"/>
    <x v="1"/>
  </r>
  <r>
    <s v="08458"/>
    <x v="39"/>
    <s v="Personnel"/>
    <s v="M "/>
    <s v="Middle Grade Group 7-8"/>
    <s v="PS25MS"/>
    <s v="PSES Mid Prog01Act25 S275"/>
    <n v="1"/>
    <x v="1"/>
    <m/>
    <n v="25"/>
    <s v="   "/>
    <n v="6.4000000000000001E-2"/>
    <n v="0.2576"/>
    <n v="0"/>
    <s v="Middle Pupil Management"/>
    <x v="1"/>
  </r>
  <r>
    <s v="08458"/>
    <x v="39"/>
    <s v="Personnel"/>
    <s v="E "/>
    <s v="Elementary Grade Group K-6"/>
    <s v="PS26E21S"/>
    <s v="PSES Elem Prog21Act26 S275"/>
    <n v="21"/>
    <x v="2"/>
    <m/>
    <n v="26"/>
    <s v="   "/>
    <n v="1.9"/>
    <n v="0.2576"/>
    <n v="0.48899999999999999"/>
    <s v="Elementary Health/_x000a_Related Services"/>
    <x v="2"/>
  </r>
  <r>
    <s v="08458"/>
    <x v="39"/>
    <s v="Personnel"/>
    <s v="E "/>
    <s v="Elementary Grade Group K-6"/>
    <s v="PS26ES"/>
    <s v="PSES Elem Prog01Act26 S275"/>
    <n v="1"/>
    <x v="2"/>
    <m/>
    <n v="26"/>
    <s v="   "/>
    <n v="4.6740000000000004"/>
    <n v="0.2576"/>
    <n v="0"/>
    <s v="Elementary Health/_x000a_Related Services"/>
    <x v="2"/>
  </r>
  <r>
    <s v="08458"/>
    <x v="39"/>
    <s v="Personnel"/>
    <s v="H "/>
    <s v="High Grade Group 9-12"/>
    <s v="PS26H21S"/>
    <s v="PSES High Prog21Act26 S275"/>
    <n v="21"/>
    <x v="2"/>
    <m/>
    <n v="26"/>
    <s v="   "/>
    <n v="0.59599999999999997"/>
    <n v="0.2576"/>
    <n v="0.154"/>
    <s v="High Health/_x000a_Related Services"/>
    <x v="2"/>
  </r>
  <r>
    <s v="08458"/>
    <x v="39"/>
    <s v="Personnel"/>
    <s v="H "/>
    <s v="High Grade Group 9-12"/>
    <s v="PS26HS"/>
    <s v="PSES High Prog01Act26 S275"/>
    <n v="1"/>
    <x v="2"/>
    <m/>
    <n v="26"/>
    <s v="   "/>
    <n v="0.73399999999999999"/>
    <n v="0.2576"/>
    <n v="0"/>
    <s v="High Health/_x000a_Related Services"/>
    <x v="2"/>
  </r>
  <r>
    <s v="08458"/>
    <x v="39"/>
    <s v="Personnel"/>
    <s v="M "/>
    <s v="Middle Grade Group 7-8"/>
    <s v="PS26MS"/>
    <s v="PSES Mid Prog01Act26 S275"/>
    <n v="1"/>
    <x v="2"/>
    <m/>
    <n v="26"/>
    <s v="   "/>
    <n v="0.89400000000000002"/>
    <n v="0.2576"/>
    <n v="0"/>
    <s v="Middle Health/_x000a_Related Services"/>
    <x v="2"/>
  </r>
  <r>
    <s v="08458"/>
    <x v="39"/>
    <s v="Personnel"/>
    <s v="H "/>
    <s v="High Grade Group 9-12"/>
    <s v="PS35HS"/>
    <s v="PSES High Prog01Act35 S275"/>
    <n v="1"/>
    <x v="3"/>
    <m/>
    <n v="35"/>
    <s v="   "/>
    <n v="0.70799999999999996"/>
    <n v="0.2576"/>
    <n v="0"/>
    <s v="High Pupil Safety"/>
    <x v="3"/>
  </r>
  <r>
    <s v="08458"/>
    <x v="39"/>
    <s v="Personnel"/>
    <s v="E "/>
    <s v="Elementary Grade Group K-6"/>
    <s v="PS42ES"/>
    <s v="PSES Elem Prog01Duty42 S275"/>
    <n v="1"/>
    <x v="5"/>
    <n v="42"/>
    <m/>
    <s v="   "/>
    <n v="5.9029999999999996"/>
    <n v="0.2576"/>
    <n v="0"/>
    <s v="Elementary Counselor"/>
    <x v="5"/>
  </r>
  <r>
    <s v="08458"/>
    <x v="39"/>
    <s v="Personnel"/>
    <s v="H "/>
    <s v="High Grade Group 9-12"/>
    <s v="PS42HS"/>
    <s v="PSES High Prog01Duty42 S275"/>
    <n v="1"/>
    <x v="5"/>
    <n v="42"/>
    <m/>
    <s v="   "/>
    <n v="4"/>
    <n v="0.2576"/>
    <n v="0"/>
    <s v="High Counselor"/>
    <x v="5"/>
  </r>
  <r>
    <s v="08458"/>
    <x v="39"/>
    <s v="Personnel"/>
    <s v="M "/>
    <s v="Middle Grade Group 7-8"/>
    <s v="PS42MS"/>
    <s v="PSES Mid Prog01Duty42 S275"/>
    <n v="1"/>
    <x v="5"/>
    <n v="42"/>
    <m/>
    <s v="   "/>
    <n v="4"/>
    <n v="0.2576"/>
    <n v="0"/>
    <s v="Middle Counselor"/>
    <x v="5"/>
  </r>
  <r>
    <s v="08458"/>
    <x v="39"/>
    <s v="Personnel"/>
    <s v="E "/>
    <s v="Elementary Grade Group K-6"/>
    <s v="PS43E21S"/>
    <s v="PSES Elem Prog21Duty43 S275"/>
    <n v="21"/>
    <x v="6"/>
    <n v="43"/>
    <m/>
    <s v="   "/>
    <n v="1"/>
    <n v="0.2576"/>
    <n v="0.25800000000000001"/>
    <s v="Elementary Occupational Therapist"/>
    <x v="6"/>
  </r>
  <r>
    <s v="08458"/>
    <x v="39"/>
    <s v="Personnel"/>
    <s v="M "/>
    <s v="Middle Grade Group 7-8"/>
    <s v="PS43M21S"/>
    <s v="PSES Mid Prog21Duty43 S275"/>
    <n v="21"/>
    <x v="6"/>
    <n v="43"/>
    <m/>
    <s v="   "/>
    <n v="0.80100000000000005"/>
    <n v="0.2576"/>
    <n v="0.20599999999999999"/>
    <s v="Middle Occupational Therapist"/>
    <x v="6"/>
  </r>
  <r>
    <s v="08458"/>
    <x v="39"/>
    <s v="Personnel"/>
    <s v="E "/>
    <s v="Elementary Grade Group K-6"/>
    <s v="PS45E21S"/>
    <s v="PSES Elem Prog21Duty45 S275"/>
    <n v="21"/>
    <x v="7"/>
    <n v="45"/>
    <m/>
    <s v="   "/>
    <n v="5"/>
    <n v="0.2576"/>
    <n v="1.288"/>
    <s v="Elementary Speech, Language Pathway/_x000a_Audio"/>
    <x v="7"/>
  </r>
  <r>
    <s v="08458"/>
    <x v="39"/>
    <s v="Personnel"/>
    <s v="E "/>
    <s v="Elementary Grade Group K-6"/>
    <s v="PS46E21S"/>
    <s v="PSES Elem Prog21Duty46 S275"/>
    <n v="21"/>
    <x v="8"/>
    <n v="46"/>
    <m/>
    <s v="   "/>
    <n v="3"/>
    <n v="0.2576"/>
    <n v="0.77300000000000002"/>
    <s v="Elementary Psychologist"/>
    <x v="8"/>
  </r>
  <r>
    <s v="08458"/>
    <x v="39"/>
    <s v="Personnel"/>
    <s v="E "/>
    <s v="Elementary Grade Group K-6"/>
    <s v="PS47ES"/>
    <s v="PSES Elem Prog01Duty47 S275"/>
    <n v="1"/>
    <x v="9"/>
    <n v="47"/>
    <m/>
    <s v="   "/>
    <n v="2"/>
    <n v="0.2576"/>
    <n v="0"/>
    <s v="Elementary Nurse"/>
    <x v="9"/>
  </r>
  <r>
    <s v="08458"/>
    <x v="39"/>
    <s v="Personnel"/>
    <s v="E "/>
    <s v="Elementary Grade Group K-6"/>
    <s v="PS48E21S"/>
    <s v="PSES Elem Prog21Duty48 S275"/>
    <n v="21"/>
    <x v="11"/>
    <n v="48"/>
    <m/>
    <s v="   "/>
    <n v="0.58599999999999997"/>
    <n v="0.2576"/>
    <n v="0.151"/>
    <s v="Elementary Physical Therapist"/>
    <x v="11"/>
  </r>
  <r>
    <s v="09013"/>
    <x v="40"/>
    <s v="Personnel"/>
    <s v="E "/>
    <s v="Elementary Grade Group K-6"/>
    <s v="PS26ES"/>
    <s v="PSES Elem Prog01Act26 S275"/>
    <n v="1"/>
    <x v="2"/>
    <m/>
    <n v="26"/>
    <s v="   "/>
    <n v="0.107"/>
    <n v="0.1913"/>
    <n v="0"/>
    <s v="Elementary Health/_x000a_Related Services"/>
    <x v="2"/>
  </r>
  <r>
    <s v="09013"/>
    <x v="40"/>
    <s v="Personnel"/>
    <s v="M "/>
    <s v="Middle Grade Group 7-8"/>
    <s v="PS26MS"/>
    <s v="PSES Mid Prog01Act26 S275"/>
    <n v="1"/>
    <x v="2"/>
    <m/>
    <n v="26"/>
    <s v="   "/>
    <n v="3.2000000000000001E-2"/>
    <n v="0.1913"/>
    <n v="0"/>
    <s v="Middle Health/_x000a_Related Services"/>
    <x v="2"/>
  </r>
  <r>
    <s v="09075"/>
    <x v="41"/>
    <s v="Personnel"/>
    <s v="H "/>
    <s v="High Grade Group 9-12"/>
    <s v="PS26HS"/>
    <s v="PSES High Prog01Act26 S275"/>
    <n v="1"/>
    <x v="2"/>
    <m/>
    <n v="26"/>
    <s v="   "/>
    <n v="1.2290000000000001"/>
    <n v="0.1552"/>
    <n v="0"/>
    <s v="High Health/_x000a_Related Services"/>
    <x v="2"/>
  </r>
  <r>
    <s v="09075"/>
    <x v="41"/>
    <s v="Personnel"/>
    <s v="H "/>
    <s v="High Grade Group 9-12"/>
    <s v="PS42HS"/>
    <s v="PSES High Prog01Duty42 S275"/>
    <n v="1"/>
    <x v="5"/>
    <n v="42"/>
    <m/>
    <s v="   "/>
    <n v="1"/>
    <n v="0.1552"/>
    <n v="0"/>
    <s v="High Counselor"/>
    <x v="5"/>
  </r>
  <r>
    <s v="09075"/>
    <x v="41"/>
    <s v="Personnel"/>
    <s v="M "/>
    <s v="Middle Grade Group 7-8"/>
    <s v="PS42MS"/>
    <s v="PSES Mid Prog01Duty42 S275"/>
    <n v="1"/>
    <x v="5"/>
    <n v="42"/>
    <m/>
    <s v="   "/>
    <n v="1"/>
    <n v="0.1552"/>
    <n v="0"/>
    <s v="Middle Counselor"/>
    <x v="5"/>
  </r>
  <r>
    <s v="09102"/>
    <x v="42"/>
    <s v="Personnel"/>
    <s v="H "/>
    <s v="High Grade Group 9-12"/>
    <s v="PS25HS"/>
    <s v="PSES High Prog01Act25 S275"/>
    <n v="1"/>
    <x v="1"/>
    <m/>
    <n v="25"/>
    <s v="   "/>
    <n v="9.6000000000000002E-2"/>
    <n v="0.1913"/>
    <n v="0"/>
    <s v="High Pupil Management"/>
    <x v="1"/>
  </r>
  <r>
    <s v="09206"/>
    <x v="43"/>
    <s v="Personnel"/>
    <s v="H "/>
    <s v="High Grade Group 9-12"/>
    <s v="PS25H21S"/>
    <s v="PSES High Prog21Act25 S275"/>
    <n v="21"/>
    <x v="1"/>
    <m/>
    <n v="25"/>
    <s v="   "/>
    <n v="2.0059999999999998"/>
    <n v="0.2072"/>
    <n v="0.41599999999999998"/>
    <s v="High Pupil Management"/>
    <x v="1"/>
  </r>
  <r>
    <s v="09206"/>
    <x v="43"/>
    <s v="Personnel"/>
    <s v="H "/>
    <s v="High Grade Group 9-12"/>
    <s v="PS25HS"/>
    <s v="PSES High Prog01Act25 S275"/>
    <n v="1"/>
    <x v="1"/>
    <m/>
    <n v="25"/>
    <s v="   "/>
    <n v="15.988"/>
    <n v="0.2072"/>
    <n v="0"/>
    <s v="High Pupil Management"/>
    <x v="1"/>
  </r>
  <r>
    <s v="09206"/>
    <x v="43"/>
    <s v="Personnel"/>
    <s v="H "/>
    <s v="High Grade Group 9-12"/>
    <s v="PS26H21S"/>
    <s v="PSES High Prog21Act26 S275"/>
    <n v="21"/>
    <x v="2"/>
    <m/>
    <n v="26"/>
    <s v="   "/>
    <n v="1.754"/>
    <n v="0.2072"/>
    <n v="0.36299999999999999"/>
    <s v="High Health/_x000a_Related Services"/>
    <x v="2"/>
  </r>
  <r>
    <s v="09206"/>
    <x v="43"/>
    <s v="Personnel"/>
    <s v="H "/>
    <s v="High Grade Group 9-12"/>
    <s v="PS26HS"/>
    <s v="PSES High Prog01Act26 S275"/>
    <n v="1"/>
    <x v="2"/>
    <m/>
    <n v="26"/>
    <s v="   "/>
    <n v="5.5110000000000001"/>
    <n v="0.2072"/>
    <n v="0"/>
    <s v="High Health/_x000a_Related Services"/>
    <x v="2"/>
  </r>
  <r>
    <s v="09206"/>
    <x v="43"/>
    <s v="Personnel"/>
    <s v="E "/>
    <s v="Elementary Grade Group K-6"/>
    <s v="PS42ES"/>
    <s v="PSES Elem Prog01Duty42 S275"/>
    <n v="1"/>
    <x v="5"/>
    <n v="42"/>
    <m/>
    <s v="   "/>
    <n v="6"/>
    <n v="0.2072"/>
    <n v="0"/>
    <s v="Elementary Counselor"/>
    <x v="5"/>
  </r>
  <r>
    <s v="09206"/>
    <x v="43"/>
    <s v="Personnel"/>
    <s v="H "/>
    <s v="High Grade Group 9-12"/>
    <s v="PS42HS"/>
    <s v="PSES High Prog01Duty42 S275"/>
    <n v="1"/>
    <x v="5"/>
    <n v="42"/>
    <m/>
    <s v="   "/>
    <n v="3.0169999999999999"/>
    <n v="0.2072"/>
    <n v="0"/>
    <s v="High Counselor"/>
    <x v="5"/>
  </r>
  <r>
    <s v="09206"/>
    <x v="43"/>
    <s v="Personnel"/>
    <s v="M "/>
    <s v="Middle Grade Group 7-8"/>
    <s v="PS42MS"/>
    <s v="PSES Mid Prog01Duty42 S275"/>
    <n v="1"/>
    <x v="5"/>
    <n v="42"/>
    <m/>
    <s v="   "/>
    <n v="1.333"/>
    <n v="0.2072"/>
    <n v="0"/>
    <s v="Middle Counselor"/>
    <x v="5"/>
  </r>
  <r>
    <s v="09206"/>
    <x v="43"/>
    <s v="Personnel"/>
    <s v="E "/>
    <s v="Elementary Grade Group K-6"/>
    <s v="PS43E21S"/>
    <s v="PSES Elem Prog21Duty43 S275"/>
    <n v="21"/>
    <x v="6"/>
    <n v="43"/>
    <m/>
    <s v="   "/>
    <n v="1.7529999999999999"/>
    <n v="0.2072"/>
    <n v="0.36299999999999999"/>
    <s v="Elementary Occupational Therapist"/>
    <x v="6"/>
  </r>
  <r>
    <s v="09206"/>
    <x v="43"/>
    <s v="Personnel"/>
    <s v="H "/>
    <s v="High Grade Group 9-12"/>
    <s v="PS43H21S"/>
    <s v="PSES High Prog21Duty43 S275"/>
    <n v="21"/>
    <x v="6"/>
    <n v="43"/>
    <m/>
    <s v="   "/>
    <n v="0.123"/>
    <n v="0.2072"/>
    <n v="2.5000000000000001E-2"/>
    <s v="High Occupational Therapist"/>
    <x v="6"/>
  </r>
  <r>
    <s v="09206"/>
    <x v="43"/>
    <s v="Personnel"/>
    <s v="M "/>
    <s v="Middle Grade Group 7-8"/>
    <s v="PS43M21S"/>
    <s v="PSES Mid Prog21Duty43 S275"/>
    <n v="21"/>
    <x v="6"/>
    <n v="43"/>
    <m/>
    <s v="   "/>
    <n v="0.52400000000000002"/>
    <n v="0.2072"/>
    <n v="0.109"/>
    <s v="Middle Occupational Therapist"/>
    <x v="6"/>
  </r>
  <r>
    <s v="09206"/>
    <x v="43"/>
    <s v="Personnel"/>
    <s v="E "/>
    <s v="Elementary Grade Group K-6"/>
    <s v="PS45E21S"/>
    <s v="PSES Elem Prog21Duty45 S275"/>
    <n v="21"/>
    <x v="7"/>
    <n v="45"/>
    <m/>
    <s v="   "/>
    <n v="5"/>
    <n v="0.2072"/>
    <n v="1.036"/>
    <s v="Elementary Speech, Language Pathway/_x000a_Audio"/>
    <x v="7"/>
  </r>
  <r>
    <s v="09206"/>
    <x v="43"/>
    <s v="Personnel"/>
    <s v="H "/>
    <s v="High Grade Group 9-12"/>
    <s v="PS45H21S"/>
    <s v="PSES High Prog21Duty45 S275"/>
    <n v="21"/>
    <x v="7"/>
    <n v="45"/>
    <m/>
    <s v="   "/>
    <n v="0.33400000000000002"/>
    <n v="0.2072"/>
    <n v="6.9000000000000006E-2"/>
    <s v="High Speech, Language Pathway/_x000a_Audio"/>
    <x v="7"/>
  </r>
  <r>
    <s v="09206"/>
    <x v="43"/>
    <s v="Personnel"/>
    <s v="M "/>
    <s v="Middle Grade Group 7-8"/>
    <s v="PS45M21S"/>
    <s v="PSES Mid Prog21Duty45 S275"/>
    <n v="21"/>
    <x v="7"/>
    <n v="45"/>
    <m/>
    <s v="   "/>
    <n v="0.66600000000000004"/>
    <n v="0.2072"/>
    <n v="0.13800000000000001"/>
    <s v="Middle Speech, Language Pathway/_x000a_Audio"/>
    <x v="7"/>
  </r>
  <r>
    <s v="09206"/>
    <x v="43"/>
    <s v="Personnel"/>
    <s v="E "/>
    <s v="Elementary Grade Group K-6"/>
    <s v="PS46E21S"/>
    <s v="PSES Elem Prog21Duty46 S275"/>
    <n v="21"/>
    <x v="8"/>
    <n v="46"/>
    <m/>
    <s v="   "/>
    <n v="4.75"/>
    <n v="0.2072"/>
    <n v="0.98399999999999999"/>
    <s v="Elementary Psychologist"/>
    <x v="8"/>
  </r>
  <r>
    <s v="09206"/>
    <x v="43"/>
    <s v="Personnel"/>
    <s v="E "/>
    <s v="Elementary Grade Group K-6"/>
    <s v="PS46ES"/>
    <s v="PSES Elem Prog01Duty46 S275"/>
    <n v="1"/>
    <x v="8"/>
    <n v="46"/>
    <m/>
    <s v="   "/>
    <n v="1.25"/>
    <n v="0.2072"/>
    <n v="0"/>
    <s v="Elementary Psychologist"/>
    <x v="8"/>
  </r>
  <r>
    <s v="09206"/>
    <x v="43"/>
    <s v="Personnel"/>
    <s v="H "/>
    <s v="High Grade Group 9-12"/>
    <s v="PS46H21S"/>
    <s v="PSES High Prog21Duty46 S275"/>
    <n v="21"/>
    <x v="8"/>
    <n v="46"/>
    <m/>
    <s v="   "/>
    <n v="1.8"/>
    <n v="0.2072"/>
    <n v="0.373"/>
    <s v="High Psychologist"/>
    <x v="8"/>
  </r>
  <r>
    <s v="09206"/>
    <x v="43"/>
    <s v="Personnel"/>
    <s v="H "/>
    <s v="High Grade Group 9-12"/>
    <s v="PS46HS"/>
    <s v="PSES High Prog01Duty46 S275"/>
    <n v="1"/>
    <x v="8"/>
    <n v="46"/>
    <m/>
    <s v="   "/>
    <n v="0.33300000000000002"/>
    <n v="0.2072"/>
    <n v="0"/>
    <s v="High Psychologist"/>
    <x v="8"/>
  </r>
  <r>
    <s v="09206"/>
    <x v="43"/>
    <s v="Personnel"/>
    <s v="M "/>
    <s v="Middle Grade Group 7-8"/>
    <s v="PS46M21S"/>
    <s v="PSES Mid Prog21Duty46 S275"/>
    <n v="21"/>
    <x v="8"/>
    <n v="46"/>
    <m/>
    <s v="   "/>
    <n v="0.5"/>
    <n v="0.2072"/>
    <n v="0.104"/>
    <s v="Middle Psychologist"/>
    <x v="8"/>
  </r>
  <r>
    <s v="09206"/>
    <x v="43"/>
    <s v="Personnel"/>
    <s v="M "/>
    <s v="Middle Grade Group 7-8"/>
    <s v="PS46MS"/>
    <s v="PSES Mid Prog01Duty46 S275"/>
    <n v="1"/>
    <x v="8"/>
    <n v="46"/>
    <m/>
    <s v="   "/>
    <n v="0.16700000000000001"/>
    <n v="0.2072"/>
    <n v="0"/>
    <s v="Middle Psychologist"/>
    <x v="8"/>
  </r>
  <r>
    <s v="09206"/>
    <x v="43"/>
    <s v="Personnel"/>
    <s v="E "/>
    <s v="Elementary Grade Group K-6"/>
    <s v="PS47E21S"/>
    <s v="PSES Elem Prog21Duty47 S275"/>
    <n v="21"/>
    <x v="9"/>
    <n v="47"/>
    <m/>
    <s v="   "/>
    <n v="0.42799999999999999"/>
    <n v="0.2072"/>
    <n v="8.8999999999999996E-2"/>
    <s v="Elementary Nurse"/>
    <x v="9"/>
  </r>
  <r>
    <s v="09206"/>
    <x v="43"/>
    <s v="Personnel"/>
    <s v="E "/>
    <s v="Elementary Grade Group K-6"/>
    <s v="PS47ES"/>
    <s v="PSES Elem Prog01Duty47 S275"/>
    <n v="1"/>
    <x v="9"/>
    <n v="47"/>
    <m/>
    <s v="   "/>
    <n v="2.84"/>
    <n v="0.2072"/>
    <n v="0"/>
    <s v="Elementary Nurse"/>
    <x v="9"/>
  </r>
  <r>
    <s v="09206"/>
    <x v="43"/>
    <s v="Personnel"/>
    <s v="H "/>
    <s v="High Grade Group 9-12"/>
    <s v="PS47H21S"/>
    <s v="PSES High Prog21Duty47 S275"/>
    <n v="21"/>
    <x v="9"/>
    <n v="47"/>
    <m/>
    <s v="   "/>
    <n v="0.248"/>
    <n v="0.2072"/>
    <n v="5.0999999999999997E-2"/>
    <s v="High Nurse"/>
    <x v="9"/>
  </r>
  <r>
    <s v="09206"/>
    <x v="43"/>
    <s v="Personnel"/>
    <s v="H "/>
    <s v="High Grade Group 9-12"/>
    <s v="PS47HS"/>
    <s v="PSES High Prog01Duty47 S275"/>
    <n v="1"/>
    <x v="9"/>
    <n v="47"/>
    <m/>
    <s v="   "/>
    <n v="1.6220000000000001"/>
    <n v="0.2072"/>
    <n v="0"/>
    <s v="High Nurse"/>
    <x v="9"/>
  </r>
  <r>
    <s v="09206"/>
    <x v="43"/>
    <s v="Personnel"/>
    <s v="M "/>
    <s v="Middle Grade Group 7-8"/>
    <s v="PS47M21S"/>
    <s v="PSES Mid Prog21Duty47 S275"/>
    <n v="21"/>
    <x v="9"/>
    <n v="47"/>
    <m/>
    <s v="   "/>
    <n v="0.124"/>
    <n v="0.2072"/>
    <n v="2.5999999999999999E-2"/>
    <s v="Middle Nurse"/>
    <x v="9"/>
  </r>
  <r>
    <s v="09206"/>
    <x v="43"/>
    <s v="Personnel"/>
    <s v="M "/>
    <s v="Middle Grade Group 7-8"/>
    <s v="PS47MS"/>
    <s v="PSES Mid Prog01Duty47 S275"/>
    <n v="1"/>
    <x v="9"/>
    <n v="47"/>
    <m/>
    <s v="   "/>
    <n v="0.81100000000000005"/>
    <n v="0.2072"/>
    <n v="0"/>
    <s v="Middle Nurse"/>
    <x v="9"/>
  </r>
  <r>
    <s v="09206"/>
    <x v="43"/>
    <s v="Personnel"/>
    <s v="E "/>
    <s v="Elementary Grade Group K-6"/>
    <s v="PS48E21S"/>
    <s v="PSES Elem Prog21Duty48 S275"/>
    <n v="21"/>
    <x v="11"/>
    <n v="48"/>
    <m/>
    <s v="   "/>
    <n v="1.23"/>
    <n v="0.2072"/>
    <n v="0.255"/>
    <s v="Elementary Physical Therapist"/>
    <x v="11"/>
  </r>
  <r>
    <s v="09206"/>
    <x v="43"/>
    <s v="Personnel"/>
    <s v="H "/>
    <s v="High Grade Group 9-12"/>
    <s v="PS48H21S"/>
    <s v="PSES High Prog21Duty48 S275"/>
    <n v="21"/>
    <x v="11"/>
    <n v="48"/>
    <m/>
    <s v="   "/>
    <n v="0.61599999999999999"/>
    <n v="0.2072"/>
    <n v="0.128"/>
    <s v="High Physical Therapist"/>
    <x v="11"/>
  </r>
  <r>
    <s v="09206"/>
    <x v="43"/>
    <s v="Personnel"/>
    <s v="M "/>
    <s v="Middle Grade Group 7-8"/>
    <s v="PS48M21S"/>
    <s v="PSES Mid Prog21Duty48 S275"/>
    <n v="21"/>
    <x v="11"/>
    <n v="48"/>
    <m/>
    <s v="   "/>
    <n v="0.154"/>
    <n v="0.2072"/>
    <n v="3.2000000000000001E-2"/>
    <s v="Middle Physical Therapist"/>
    <x v="11"/>
  </r>
  <r>
    <s v="09206"/>
    <x v="43"/>
    <s v="Personnel"/>
    <s v="E "/>
    <s v="Elementary Grade Group K-6"/>
    <s v="PS49E21S"/>
    <s v="PSES Elem Prog21Duty49 S275"/>
    <n v="21"/>
    <x v="10"/>
    <n v="49"/>
    <m/>
    <s v="   "/>
    <n v="0.70799999999999996"/>
    <n v="0.2072"/>
    <n v="0.14699999999999999"/>
    <s v="Elementary Behavior Analyst"/>
    <x v="10"/>
  </r>
  <r>
    <s v="09206"/>
    <x v="43"/>
    <s v="Personnel"/>
    <s v="H "/>
    <s v="High Grade Group 9-12"/>
    <s v="PS49H21S"/>
    <s v="PSES High Prog21Duty49 S275"/>
    <n v="21"/>
    <x v="10"/>
    <n v="49"/>
    <m/>
    <s v="   "/>
    <n v="0.154"/>
    <n v="0.2072"/>
    <n v="3.2000000000000001E-2"/>
    <s v="High Behavior Analyst"/>
    <x v="10"/>
  </r>
  <r>
    <s v="09206"/>
    <x v="43"/>
    <s v="Personnel"/>
    <s v="H "/>
    <s v="High Grade Group 9-12"/>
    <s v="PS49HS"/>
    <s v="PSES High Prog01Duty49 S275"/>
    <n v="1"/>
    <x v="10"/>
    <n v="49"/>
    <m/>
    <s v="   "/>
    <n v="0.75"/>
    <n v="0.2072"/>
    <n v="0"/>
    <s v="High Behavior Analyst"/>
    <x v="10"/>
  </r>
  <r>
    <s v="09206"/>
    <x v="43"/>
    <s v="Personnel"/>
    <s v="M "/>
    <s v="Middle Grade Group 7-8"/>
    <s v="PS49M21S"/>
    <s v="PSES Mid Prog21Duty49 S275"/>
    <n v="21"/>
    <x v="10"/>
    <n v="49"/>
    <m/>
    <s v="   "/>
    <n v="0.14000000000000001"/>
    <n v="0.2072"/>
    <n v="2.9000000000000001E-2"/>
    <s v="Middle Behavior Analyst"/>
    <x v="10"/>
  </r>
  <r>
    <s v="09207"/>
    <x v="44"/>
    <s v="Personnel"/>
    <s v="E "/>
    <s v="Elementary Grade Group K-6"/>
    <s v="PS25ES"/>
    <s v="PSES Elem Prog01Act25 S275"/>
    <n v="1"/>
    <x v="1"/>
    <m/>
    <n v="25"/>
    <s v="   "/>
    <n v="0.13300000000000001"/>
    <n v="0.1913"/>
    <n v="0"/>
    <s v="Elementary Pupil Management"/>
    <x v="1"/>
  </r>
  <r>
    <s v="09207"/>
    <x v="44"/>
    <s v="Personnel"/>
    <s v="H "/>
    <s v="High Grade Group 9-12"/>
    <s v="PS26HS"/>
    <s v="PSES High Prog01Act26 S275"/>
    <n v="1"/>
    <x v="2"/>
    <m/>
    <n v="26"/>
    <s v="   "/>
    <n v="0.503"/>
    <n v="0.1913"/>
    <n v="0"/>
    <s v="High Health/_x000a_Related Services"/>
    <x v="2"/>
  </r>
  <r>
    <s v="09209"/>
    <x v="45"/>
    <s v="Personnel"/>
    <s v="H "/>
    <s v="High Grade Group 9-12"/>
    <s v="PS26HS"/>
    <s v="PSES High Prog01Act26 S275"/>
    <n v="1"/>
    <x v="2"/>
    <m/>
    <n v="26"/>
    <s v="   "/>
    <n v="0.64600000000000002"/>
    <n v="0.1913"/>
    <n v="0"/>
    <s v="High Health/_x000a_Related Services"/>
    <x v="2"/>
  </r>
  <r>
    <s v="09209"/>
    <x v="45"/>
    <s v="Personnel"/>
    <s v="M "/>
    <s v="Middle Grade Group 7-8"/>
    <s v="PS42MS"/>
    <s v="PSES Mid Prog01Duty42 S275"/>
    <n v="1"/>
    <x v="5"/>
    <n v="42"/>
    <m/>
    <s v="   "/>
    <n v="0.49"/>
    <n v="0.1913"/>
    <n v="0"/>
    <s v="Middle Counselor"/>
    <x v="5"/>
  </r>
  <r>
    <s v="10003"/>
    <x v="46"/>
    <s v="Personnel"/>
    <s v="H "/>
    <s v="High Grade Group 9-12"/>
    <s v="PS26HS"/>
    <s v="PSES High Prog01Act26 S275"/>
    <n v="1"/>
    <x v="2"/>
    <m/>
    <n v="26"/>
    <s v="   "/>
    <n v="0.22900000000000001"/>
    <n v="0.08"/>
    <n v="0"/>
    <s v="High Health/_x000a_Related Services"/>
    <x v="2"/>
  </r>
  <r>
    <s v="10050"/>
    <x v="47"/>
    <s v="Personnel"/>
    <s v="M "/>
    <s v="Middle Grade Group 7-8"/>
    <s v="PS42MS"/>
    <s v="PSES Mid Prog01Duty42 S275"/>
    <n v="1"/>
    <x v="5"/>
    <n v="42"/>
    <m/>
    <s v="   "/>
    <n v="0.5"/>
    <n v="0.15060000000000001"/>
    <n v="0"/>
    <s v="Middle Counselor"/>
    <x v="5"/>
  </r>
  <r>
    <s v="10065"/>
    <x v="48"/>
    <s v="Personnel"/>
    <s v="E "/>
    <s v="Elementary Grade Group K-6"/>
    <s v="PS26ES"/>
    <s v="PSES Elem Prog01Act26 S275"/>
    <n v="1"/>
    <x v="2"/>
    <m/>
    <n v="26"/>
    <s v="   "/>
    <n v="0.11899999999999999"/>
    <n v="0.1133"/>
    <n v="0"/>
    <s v="Elementary Health/_x000a_Related Services"/>
    <x v="2"/>
  </r>
  <r>
    <s v="10070"/>
    <x v="49"/>
    <s v="Personnel"/>
    <s v="H "/>
    <s v="High Grade Group 9-12"/>
    <s v="PS26HS"/>
    <s v="PSES High Prog01Act26 S275"/>
    <n v="1"/>
    <x v="2"/>
    <m/>
    <n v="26"/>
    <s v="   "/>
    <n v="3.7999999999999999E-2"/>
    <n v="0.219"/>
    <n v="0"/>
    <s v="High Health/_x000a_Related Services"/>
    <x v="2"/>
  </r>
  <r>
    <s v="10070"/>
    <x v="49"/>
    <s v="Personnel"/>
    <s v="E "/>
    <s v="Elementary Grade Group K-6"/>
    <s v="PS42ES"/>
    <s v="PSES Elem Prog01Duty42 S275"/>
    <n v="1"/>
    <x v="5"/>
    <n v="42"/>
    <m/>
    <s v="   "/>
    <n v="0.3"/>
    <n v="0.219"/>
    <n v="0"/>
    <s v="Elementary Counselor"/>
    <x v="5"/>
  </r>
  <r>
    <s v="10070"/>
    <x v="49"/>
    <s v="Personnel"/>
    <s v="H "/>
    <s v="High Grade Group 9-12"/>
    <s v="PS42HS"/>
    <s v="PSES High Prog01Duty42 S275"/>
    <n v="1"/>
    <x v="5"/>
    <n v="42"/>
    <m/>
    <s v="   "/>
    <n v="1.1499999999999999"/>
    <n v="0.219"/>
    <n v="0"/>
    <s v="High Counselor"/>
    <x v="5"/>
  </r>
  <r>
    <s v="10070"/>
    <x v="49"/>
    <s v="Personnel"/>
    <s v="M "/>
    <s v="Middle Grade Group 7-8"/>
    <s v="PS42MS"/>
    <s v="PSES Mid Prog01Duty42 S275"/>
    <n v="1"/>
    <x v="5"/>
    <n v="42"/>
    <m/>
    <s v="   "/>
    <n v="0.3"/>
    <n v="0.219"/>
    <n v="0"/>
    <s v="Middle Counselor"/>
    <x v="5"/>
  </r>
  <r>
    <s v="10309"/>
    <x v="50"/>
    <s v="Personnel"/>
    <s v="H "/>
    <s v="High Grade Group 9-12"/>
    <s v="PS24HS"/>
    <s v="PSES High Prog01Duty96 S275"/>
    <n v="1"/>
    <x v="0"/>
    <n v="96"/>
    <n v="24"/>
    <s v="   "/>
    <n v="0.63300000000000001"/>
    <n v="0.16239999999999999"/>
    <n v="0"/>
    <s v="High Family Engagement Coordinator"/>
    <x v="0"/>
  </r>
  <r>
    <s v="10309"/>
    <x v="50"/>
    <s v="Personnel"/>
    <s v="H "/>
    <s v="High Grade Group 9-12"/>
    <s v="PS26HS"/>
    <s v="PSES High Prog01Act26 S275"/>
    <n v="1"/>
    <x v="2"/>
    <m/>
    <n v="26"/>
    <s v="   "/>
    <n v="0.46200000000000002"/>
    <n v="0.16239999999999999"/>
    <n v="0"/>
    <s v="High Health/_x000a_Related Services"/>
    <x v="2"/>
  </r>
  <r>
    <s v="11001"/>
    <x v="51"/>
    <s v="Personnel"/>
    <s v="H "/>
    <s v="High Grade Group 9-12"/>
    <s v="PS24HS"/>
    <s v="PSES High Prog01Duty96 S275"/>
    <n v="1"/>
    <x v="0"/>
    <n v="96"/>
    <n v="24"/>
    <s v="   "/>
    <n v="2.4820000000000002"/>
    <n v="0.27529999999999999"/>
    <n v="0"/>
    <s v="High Family Engagement Coordinator"/>
    <x v="0"/>
  </r>
  <r>
    <s v="11001"/>
    <x v="51"/>
    <s v="Personnel"/>
    <s v="H "/>
    <s v="High Grade Group 9-12"/>
    <s v="PS25H21S"/>
    <s v="PSES High Prog21Act25 S275"/>
    <n v="21"/>
    <x v="1"/>
    <m/>
    <n v="25"/>
    <s v="   "/>
    <n v="18.649000000000001"/>
    <n v="0.27529999999999999"/>
    <n v="5.1340000000000003"/>
    <s v="High Pupil Management"/>
    <x v="1"/>
  </r>
  <r>
    <s v="11001"/>
    <x v="51"/>
    <s v="Personnel"/>
    <s v="H "/>
    <s v="High Grade Group 9-12"/>
    <s v="PS25HS"/>
    <s v="PSES High Prog01Act25 S275"/>
    <n v="1"/>
    <x v="1"/>
    <m/>
    <n v="25"/>
    <s v="   "/>
    <n v="42.646000000000001"/>
    <n v="0.27529999999999999"/>
    <n v="0"/>
    <s v="High Pupil Management"/>
    <x v="1"/>
  </r>
  <r>
    <s v="11001"/>
    <x v="51"/>
    <s v="Personnel"/>
    <s v="H "/>
    <s v="High Grade Group 9-12"/>
    <s v="PS26H21S"/>
    <s v="PSES High Prog21Act26 S275"/>
    <n v="21"/>
    <x v="2"/>
    <m/>
    <n v="26"/>
    <s v="   "/>
    <n v="8.2189999999999994"/>
    <n v="0.27529999999999999"/>
    <n v="2.2629999999999999"/>
    <s v="High Health/_x000a_Related Services"/>
    <x v="2"/>
  </r>
  <r>
    <s v="11001"/>
    <x v="51"/>
    <s v="Personnel"/>
    <s v="H "/>
    <s v="High Grade Group 9-12"/>
    <s v="PS26HS"/>
    <s v="PSES High Prog01Act26 S275"/>
    <n v="1"/>
    <x v="2"/>
    <m/>
    <n v="26"/>
    <s v="   "/>
    <n v="1.8160000000000001"/>
    <n v="0.27529999999999999"/>
    <n v="0"/>
    <s v="High Health/_x000a_Related Services"/>
    <x v="2"/>
  </r>
  <r>
    <s v="11001"/>
    <x v="51"/>
    <s v="Personnel"/>
    <s v="E "/>
    <s v="Elementary Grade Group K-6"/>
    <s v="PS42ES"/>
    <s v="PSES Elem Prog01Duty42 S275"/>
    <n v="1"/>
    <x v="5"/>
    <n v="42"/>
    <m/>
    <s v="   "/>
    <n v="16"/>
    <n v="0.27529999999999999"/>
    <n v="0"/>
    <s v="Elementary Counselor"/>
    <x v="5"/>
  </r>
  <r>
    <s v="11001"/>
    <x v="51"/>
    <s v="Personnel"/>
    <s v="H "/>
    <s v="High Grade Group 9-12"/>
    <s v="PS42HS"/>
    <s v="PSES High Prog01Duty42 S275"/>
    <n v="1"/>
    <x v="5"/>
    <n v="42"/>
    <m/>
    <s v="   "/>
    <n v="17.654"/>
    <n v="0.27529999999999999"/>
    <n v="0"/>
    <s v="High Counselor"/>
    <x v="5"/>
  </r>
  <r>
    <s v="11001"/>
    <x v="51"/>
    <s v="Personnel"/>
    <s v="M "/>
    <s v="Middle Grade Group 7-8"/>
    <s v="PS42MS"/>
    <s v="PSES Mid Prog01Duty42 S275"/>
    <n v="1"/>
    <x v="5"/>
    <n v="42"/>
    <m/>
    <s v="   "/>
    <n v="8.02"/>
    <n v="0.27529999999999999"/>
    <n v="0"/>
    <s v="Middle Counselor"/>
    <x v="5"/>
  </r>
  <r>
    <s v="11001"/>
    <x v="51"/>
    <s v="Personnel"/>
    <s v="E "/>
    <s v="Elementary Grade Group K-6"/>
    <s v="PS43E21S"/>
    <s v="PSES Elem Prog21Duty43 S275"/>
    <n v="21"/>
    <x v="6"/>
    <n v="43"/>
    <m/>
    <s v="   "/>
    <n v="3"/>
    <n v="0.27529999999999999"/>
    <n v="0.82599999999999996"/>
    <s v="Elementary Occupational Therapist"/>
    <x v="6"/>
  </r>
  <r>
    <s v="11001"/>
    <x v="51"/>
    <s v="Personnel"/>
    <s v="E "/>
    <s v="Elementary Grade Group K-6"/>
    <s v="PS43ES"/>
    <s v="PSES Elem Prog01Duty43 S275"/>
    <n v="1"/>
    <x v="6"/>
    <n v="43"/>
    <m/>
    <s v="   "/>
    <n v="1.2"/>
    <n v="0.27529999999999999"/>
    <n v="0"/>
    <s v="Elementary Occupational Therapist"/>
    <x v="6"/>
  </r>
  <r>
    <s v="11001"/>
    <x v="51"/>
    <s v="Personnel"/>
    <s v="H "/>
    <s v="High Grade Group 9-12"/>
    <s v="PS44HS"/>
    <s v="PSES High Prog01Duty44 S275"/>
    <n v="1"/>
    <x v="13"/>
    <n v="44"/>
    <m/>
    <s v="   "/>
    <n v="1"/>
    <n v="0.27529999999999999"/>
    <n v="0"/>
    <s v="High Social Worker"/>
    <x v="13"/>
  </r>
  <r>
    <s v="11001"/>
    <x v="51"/>
    <s v="Personnel"/>
    <s v="E "/>
    <s v="Elementary Grade Group K-6"/>
    <s v="PS45E21S"/>
    <s v="PSES Elem Prog21Duty45 S275"/>
    <n v="21"/>
    <x v="7"/>
    <n v="45"/>
    <m/>
    <s v="   "/>
    <n v="0.79600000000000004"/>
    <n v="0.27529999999999999"/>
    <n v="0.219"/>
    <s v="Elementary Speech, Language Pathway/_x000a_Audio"/>
    <x v="7"/>
  </r>
  <r>
    <s v="11001"/>
    <x v="51"/>
    <s v="Personnel"/>
    <s v="H "/>
    <s v="High Grade Group 9-12"/>
    <s v="PS45H21S"/>
    <s v="PSES High Prog21Duty45 S275"/>
    <n v="21"/>
    <x v="7"/>
    <n v="45"/>
    <m/>
    <s v="   "/>
    <n v="13.222"/>
    <n v="0.27529999999999999"/>
    <n v="3.64"/>
    <s v="High Speech, Language Pathway/_x000a_Audio"/>
    <x v="7"/>
  </r>
  <r>
    <s v="11001"/>
    <x v="51"/>
    <s v="Personnel"/>
    <s v="H "/>
    <s v="High Grade Group 9-12"/>
    <s v="PS46H21S"/>
    <s v="PSES High Prog21Duty46 S275"/>
    <n v="21"/>
    <x v="8"/>
    <n v="46"/>
    <m/>
    <s v="   "/>
    <n v="14.933"/>
    <n v="0.27529999999999999"/>
    <n v="4.1109999999999998"/>
    <s v="High Psychologist"/>
    <x v="8"/>
  </r>
  <r>
    <s v="11001"/>
    <x v="51"/>
    <s v="Personnel"/>
    <s v="E "/>
    <s v="Elementary Grade Group K-6"/>
    <s v="PS47E21S"/>
    <s v="PSES Elem Prog21Duty47 S275"/>
    <n v="21"/>
    <x v="9"/>
    <n v="47"/>
    <m/>
    <s v="   "/>
    <n v="0.75"/>
    <n v="0.27529999999999999"/>
    <n v="0.20599999999999999"/>
    <s v="Elementary Nurse"/>
    <x v="9"/>
  </r>
  <r>
    <s v="11001"/>
    <x v="51"/>
    <s v="Personnel"/>
    <s v="E "/>
    <s v="Elementary Grade Group K-6"/>
    <s v="PS47ES"/>
    <s v="PSES Elem Prog01Duty47 S275"/>
    <n v="1"/>
    <x v="9"/>
    <n v="47"/>
    <m/>
    <s v="   "/>
    <n v="19.305"/>
    <n v="0.27529999999999999"/>
    <n v="0"/>
    <s v="Elementary Nurse"/>
    <x v="9"/>
  </r>
  <r>
    <s v="11001"/>
    <x v="51"/>
    <s v="Personnel"/>
    <s v="H "/>
    <s v="High Grade Group 9-12"/>
    <s v="PS47HS"/>
    <s v="PSES High Prog01Duty47 S275"/>
    <n v="1"/>
    <x v="9"/>
    <n v="47"/>
    <m/>
    <s v="   "/>
    <n v="2"/>
    <n v="0.27529999999999999"/>
    <n v="0"/>
    <s v="High Nurse"/>
    <x v="9"/>
  </r>
  <r>
    <s v="11001"/>
    <x v="51"/>
    <s v="Personnel"/>
    <s v="E "/>
    <s v="Elementary Grade Group K-6"/>
    <s v="PS48E21S"/>
    <s v="PSES Elem Prog21Duty48 S275"/>
    <n v="21"/>
    <x v="11"/>
    <n v="48"/>
    <m/>
    <s v="   "/>
    <n v="1"/>
    <n v="0.27529999999999999"/>
    <n v="0.27500000000000002"/>
    <s v="Elementary Physical Therapist"/>
    <x v="11"/>
  </r>
  <r>
    <s v="11051"/>
    <x v="52"/>
    <s v="Personnel"/>
    <s v="H "/>
    <s v="High Grade Group 9-12"/>
    <s v="PS26H21S"/>
    <s v="PSES High Prog21Act26 S275"/>
    <n v="21"/>
    <x v="2"/>
    <m/>
    <n v="26"/>
    <s v="   "/>
    <n v="2.3879999999999999"/>
    <n v="0.24629999999999999"/>
    <n v="0.58799999999999997"/>
    <s v="High Health/_x000a_Related Services"/>
    <x v="2"/>
  </r>
  <r>
    <s v="11051"/>
    <x v="52"/>
    <s v="Personnel"/>
    <s v="H "/>
    <s v="High Grade Group 9-12"/>
    <s v="PS26HS"/>
    <s v="PSES High Prog01Act26 S275"/>
    <n v="1"/>
    <x v="2"/>
    <m/>
    <n v="26"/>
    <s v="   "/>
    <n v="2.97"/>
    <n v="0.24629999999999999"/>
    <n v="0"/>
    <s v="High Health/_x000a_Related Services"/>
    <x v="2"/>
  </r>
  <r>
    <s v="11051"/>
    <x v="52"/>
    <s v="Personnel"/>
    <s v="E "/>
    <s v="Elementary Grade Group K-6"/>
    <s v="PS42ES"/>
    <s v="PSES Elem Prog01Duty42 S275"/>
    <n v="1"/>
    <x v="5"/>
    <n v="42"/>
    <m/>
    <s v="   "/>
    <n v="2"/>
    <n v="0.24629999999999999"/>
    <n v="0"/>
    <s v="Elementary Counselor"/>
    <x v="5"/>
  </r>
  <r>
    <s v="11051"/>
    <x v="52"/>
    <s v="Personnel"/>
    <s v="H "/>
    <s v="High Grade Group 9-12"/>
    <s v="PS42HS"/>
    <s v="PSES High Prog01Duty42 S275"/>
    <n v="1"/>
    <x v="5"/>
    <n v="42"/>
    <m/>
    <s v="   "/>
    <n v="2.98"/>
    <n v="0.24629999999999999"/>
    <n v="0"/>
    <s v="High Counselor"/>
    <x v="5"/>
  </r>
  <r>
    <s v="11051"/>
    <x v="52"/>
    <s v="Personnel"/>
    <s v="M "/>
    <s v="Middle Grade Group 7-8"/>
    <s v="PS42MS"/>
    <s v="PSES Mid Prog01Duty42 S275"/>
    <n v="1"/>
    <x v="5"/>
    <n v="42"/>
    <m/>
    <s v="   "/>
    <n v="2.83"/>
    <n v="0.24629999999999999"/>
    <n v="0"/>
    <s v="Middle Counselor"/>
    <x v="5"/>
  </r>
  <r>
    <s v="11051"/>
    <x v="52"/>
    <s v="Personnel"/>
    <s v="E "/>
    <s v="Elementary Grade Group K-6"/>
    <s v="PS45E21S"/>
    <s v="PSES Elem Prog21Duty45 S275"/>
    <n v="21"/>
    <x v="7"/>
    <n v="45"/>
    <m/>
    <s v="   "/>
    <n v="1.1950000000000001"/>
    <n v="0.24629999999999999"/>
    <n v="0.29399999999999998"/>
    <s v="Elementary Speech, Language Pathway/_x000a_Audio"/>
    <x v="7"/>
  </r>
  <r>
    <s v="11051"/>
    <x v="52"/>
    <s v="Personnel"/>
    <s v="H "/>
    <s v="High Grade Group 9-12"/>
    <s v="PS45H21S"/>
    <s v="PSES High Prog21Duty45 S275"/>
    <n v="21"/>
    <x v="7"/>
    <n v="45"/>
    <m/>
    <s v="   "/>
    <n v="0.28599999999999998"/>
    <n v="0.24629999999999999"/>
    <n v="7.0000000000000007E-2"/>
    <s v="High Speech, Language Pathway/_x000a_Audio"/>
    <x v="7"/>
  </r>
  <r>
    <s v="11051"/>
    <x v="52"/>
    <s v="Personnel"/>
    <s v="M "/>
    <s v="Middle Grade Group 7-8"/>
    <s v="PS45M21S"/>
    <s v="PSES Mid Prog21Duty45 S275"/>
    <n v="21"/>
    <x v="7"/>
    <n v="45"/>
    <m/>
    <s v="   "/>
    <n v="0.14299999999999999"/>
    <n v="0.24629999999999999"/>
    <n v="3.5000000000000003E-2"/>
    <s v="Middle Speech, Language Pathway/_x000a_Audio"/>
    <x v="7"/>
  </r>
  <r>
    <s v="11051"/>
    <x v="52"/>
    <s v="Personnel"/>
    <s v="E "/>
    <s v="Elementary Grade Group K-6"/>
    <s v="PS46E21S"/>
    <s v="PSES Elem Prog21Duty46 S275"/>
    <n v="21"/>
    <x v="8"/>
    <n v="46"/>
    <m/>
    <s v="   "/>
    <n v="1"/>
    <n v="0.24629999999999999"/>
    <n v="0.246"/>
    <s v="Elementary Psychologist"/>
    <x v="8"/>
  </r>
  <r>
    <s v="11051"/>
    <x v="52"/>
    <s v="Personnel"/>
    <s v="H "/>
    <s v="High Grade Group 9-12"/>
    <s v="PS46H21S"/>
    <s v="PSES High Prog21Duty46 S275"/>
    <n v="21"/>
    <x v="8"/>
    <n v="46"/>
    <m/>
    <s v="   "/>
    <n v="0.57199999999999995"/>
    <n v="0.24629999999999999"/>
    <n v="0.14099999999999999"/>
    <s v="High Psychologist"/>
    <x v="8"/>
  </r>
  <r>
    <s v="11051"/>
    <x v="52"/>
    <s v="Personnel"/>
    <s v="M "/>
    <s v="Middle Grade Group 7-8"/>
    <s v="PS46M21S"/>
    <s v="PSES Mid Prog21Duty46 S275"/>
    <n v="21"/>
    <x v="8"/>
    <n v="46"/>
    <m/>
    <s v="   "/>
    <n v="0.28599999999999998"/>
    <n v="0.24629999999999999"/>
    <n v="7.0000000000000007E-2"/>
    <s v="Middle Psychologist"/>
    <x v="8"/>
  </r>
  <r>
    <s v="11056"/>
    <x v="53"/>
    <s v="Personnel"/>
    <s v="E "/>
    <s v="Elementary Grade Group K-6"/>
    <s v="PS42ES"/>
    <s v="PSES Elem Prog01Duty42 S275"/>
    <n v="1"/>
    <x v="5"/>
    <n v="42"/>
    <m/>
    <s v="   "/>
    <n v="1"/>
    <n v="0.1913"/>
    <n v="0"/>
    <s v="Elementary Counselor"/>
    <x v="5"/>
  </r>
  <r>
    <s v="12110"/>
    <x v="54"/>
    <s v="Personnel"/>
    <s v="H "/>
    <s v="High Grade Group 9-12"/>
    <s v="PS35HS"/>
    <s v="PSES High Prog01Act35 S275"/>
    <n v="1"/>
    <x v="3"/>
    <m/>
    <n v="35"/>
    <s v="   "/>
    <n v="0.34599999999999997"/>
    <n v="0.25159999999999999"/>
    <n v="0"/>
    <s v="High Pupil Safety"/>
    <x v="3"/>
  </r>
  <r>
    <s v="12110"/>
    <x v="54"/>
    <s v="Personnel"/>
    <s v="E "/>
    <s v="Elementary Grade Group K-6"/>
    <s v="PS42ES"/>
    <s v="PSES Elem Prog01Duty42 S275"/>
    <n v="1"/>
    <x v="5"/>
    <n v="42"/>
    <m/>
    <s v="   "/>
    <n v="0.61699999999999999"/>
    <n v="0.25159999999999999"/>
    <n v="0"/>
    <s v="Elementary Counselor"/>
    <x v="5"/>
  </r>
  <r>
    <s v="12110"/>
    <x v="54"/>
    <s v="Personnel"/>
    <s v="H "/>
    <s v="High Grade Group 9-12"/>
    <s v="PS42HS"/>
    <s v="PSES High Prog01Duty42 S275"/>
    <n v="1"/>
    <x v="5"/>
    <n v="42"/>
    <m/>
    <s v="   "/>
    <n v="0.28599999999999998"/>
    <n v="0.25159999999999999"/>
    <n v="0"/>
    <s v="High Counselor"/>
    <x v="5"/>
  </r>
  <r>
    <s v="12110"/>
    <x v="54"/>
    <s v="Personnel"/>
    <s v="M "/>
    <s v="Middle Grade Group 7-8"/>
    <s v="PS42MS"/>
    <s v="PSES Mid Prog01Duty42 S275"/>
    <n v="1"/>
    <x v="5"/>
    <n v="42"/>
    <m/>
    <s v="   "/>
    <n v="0.1"/>
    <n v="0.25159999999999999"/>
    <n v="0"/>
    <s v="Middle Counselor"/>
    <x v="5"/>
  </r>
  <r>
    <s v="13073"/>
    <x v="55"/>
    <s v="Personnel"/>
    <s v="H "/>
    <s v="High Grade Group 9-12"/>
    <s v="PS25H97S"/>
    <s v="PSES High Prog97Act25 S275"/>
    <n v="97"/>
    <x v="1"/>
    <m/>
    <n v="25"/>
    <s v="   "/>
    <n v="0.76900000000000002"/>
    <n v="0.2472"/>
    <n v="0"/>
    <s v="High Pupil Management"/>
    <x v="1"/>
  </r>
  <r>
    <s v="13073"/>
    <x v="55"/>
    <s v="Personnel"/>
    <s v="H "/>
    <s v="High Grade Group 9-12"/>
    <s v="PS26HS"/>
    <s v="PSES High Prog01Act26 S275"/>
    <n v="1"/>
    <x v="2"/>
    <m/>
    <n v="26"/>
    <s v="   "/>
    <n v="0.76900000000000002"/>
    <n v="0.2472"/>
    <n v="0"/>
    <s v="High Health/_x000a_Related Services"/>
    <x v="2"/>
  </r>
  <r>
    <s v="13073"/>
    <x v="55"/>
    <s v="Personnel"/>
    <s v="E "/>
    <s v="Elementary Grade Group K-6"/>
    <s v="PS42ES"/>
    <s v="PSES Elem Prog01Duty42 S275"/>
    <n v="1"/>
    <x v="5"/>
    <n v="42"/>
    <m/>
    <s v="   "/>
    <n v="5.36"/>
    <n v="0.2472"/>
    <n v="0"/>
    <s v="Elementary Counselor"/>
    <x v="5"/>
  </r>
  <r>
    <s v="13073"/>
    <x v="55"/>
    <s v="Personnel"/>
    <s v="H "/>
    <s v="High Grade Group 9-12"/>
    <s v="PS42HS"/>
    <s v="PSES High Prog01Duty42 S275"/>
    <n v="1"/>
    <x v="5"/>
    <n v="42"/>
    <m/>
    <s v="   "/>
    <n v="4"/>
    <n v="0.2472"/>
    <n v="0"/>
    <s v="High Counselor"/>
    <x v="5"/>
  </r>
  <r>
    <s v="13073"/>
    <x v="55"/>
    <s v="Personnel"/>
    <s v="M "/>
    <s v="Middle Grade Group 7-8"/>
    <s v="PS42MS"/>
    <s v="PSES Mid Prog01Duty42 S275"/>
    <n v="1"/>
    <x v="5"/>
    <n v="42"/>
    <m/>
    <s v="   "/>
    <n v="1.34"/>
    <n v="0.2472"/>
    <n v="0"/>
    <s v="Middle Counselor"/>
    <x v="5"/>
  </r>
  <r>
    <s v="13073"/>
    <x v="55"/>
    <s v="Personnel"/>
    <s v="E "/>
    <s v="Elementary Grade Group K-6"/>
    <s v="PS46E21S"/>
    <s v="PSES Elem Prog21Duty46 S275"/>
    <n v="21"/>
    <x v="8"/>
    <n v="46"/>
    <m/>
    <s v="   "/>
    <n v="2"/>
    <n v="0.2472"/>
    <n v="0.49399999999999999"/>
    <s v="Elementary Psychologist"/>
    <x v="8"/>
  </r>
  <r>
    <s v="13144"/>
    <x v="56"/>
    <s v="Personnel"/>
    <s v="E "/>
    <s v="Elementary Grade Group K-6"/>
    <s v="PS25ES"/>
    <s v="PSES Elem Prog01Act25 S275"/>
    <n v="1"/>
    <x v="1"/>
    <m/>
    <n v="25"/>
    <s v="   "/>
    <n v="0.42399999999999999"/>
    <n v="0.2253"/>
    <n v="0"/>
    <s v="Elementary Pupil Management"/>
    <x v="1"/>
  </r>
  <r>
    <s v="13144"/>
    <x v="56"/>
    <s v="Personnel"/>
    <s v="H "/>
    <s v="High Grade Group 9-12"/>
    <s v="PS25H21S"/>
    <s v="PSES High Prog21Act25 S275"/>
    <n v="21"/>
    <x v="1"/>
    <m/>
    <n v="25"/>
    <s v="   "/>
    <n v="1.452"/>
    <n v="0.2253"/>
    <n v="0.32700000000000001"/>
    <s v="High Pupil Management"/>
    <x v="1"/>
  </r>
  <r>
    <s v="13144"/>
    <x v="56"/>
    <s v="Personnel"/>
    <s v="H "/>
    <s v="High Grade Group 9-12"/>
    <s v="PS25HS"/>
    <s v="PSES High Prog01Act25 S275"/>
    <n v="1"/>
    <x v="1"/>
    <m/>
    <n v="25"/>
    <s v="   "/>
    <n v="3.07"/>
    <n v="0.2253"/>
    <n v="0"/>
    <s v="High Pupil Management"/>
    <x v="1"/>
  </r>
  <r>
    <s v="13144"/>
    <x v="56"/>
    <s v="Personnel"/>
    <s v="M "/>
    <s v="Middle Grade Group 7-8"/>
    <s v="PS25MS"/>
    <s v="PSES Mid Prog01Act25 S275"/>
    <n v="1"/>
    <x v="1"/>
    <m/>
    <n v="25"/>
    <s v="   "/>
    <n v="4.2999999999999997E-2"/>
    <n v="0.2253"/>
    <n v="0"/>
    <s v="Middle Pupil Management"/>
    <x v="1"/>
  </r>
  <r>
    <s v="13144"/>
    <x v="56"/>
    <s v="Personnel"/>
    <s v="H "/>
    <s v="High Grade Group 9-12"/>
    <s v="PS26H21S"/>
    <s v="PSES High Prog21Act26 S275"/>
    <n v="21"/>
    <x v="2"/>
    <m/>
    <n v="26"/>
    <s v="   "/>
    <n v="0.31"/>
    <n v="0.2253"/>
    <n v="7.0000000000000007E-2"/>
    <s v="High Health/_x000a_Related Services"/>
    <x v="2"/>
  </r>
  <r>
    <s v="13144"/>
    <x v="56"/>
    <s v="Personnel"/>
    <s v="H "/>
    <s v="High Grade Group 9-12"/>
    <s v="PS26HS"/>
    <s v="PSES High Prog01Act26 S275"/>
    <n v="1"/>
    <x v="2"/>
    <m/>
    <n v="26"/>
    <s v="   "/>
    <n v="0.98299999999999998"/>
    <n v="0.2253"/>
    <n v="0"/>
    <s v="High Health/_x000a_Related Services"/>
    <x v="2"/>
  </r>
  <r>
    <s v="13144"/>
    <x v="56"/>
    <s v="Personnel"/>
    <s v="E "/>
    <s v="Elementary Grade Group K-6"/>
    <s v="PS42ES"/>
    <s v="PSES Elem Prog01Duty42 S275"/>
    <n v="1"/>
    <x v="5"/>
    <n v="42"/>
    <m/>
    <s v="   "/>
    <n v="4.33"/>
    <n v="0.2253"/>
    <n v="0"/>
    <s v="Elementary Counselor"/>
    <x v="5"/>
  </r>
  <r>
    <s v="13144"/>
    <x v="56"/>
    <s v="Personnel"/>
    <s v="H "/>
    <s v="High Grade Group 9-12"/>
    <s v="PS42HS"/>
    <s v="PSES High Prog01Duty42 S275"/>
    <n v="1"/>
    <x v="5"/>
    <n v="42"/>
    <m/>
    <s v="   "/>
    <n v="3"/>
    <n v="0.2253"/>
    <n v="0"/>
    <s v="High Counselor"/>
    <x v="5"/>
  </r>
  <r>
    <s v="13144"/>
    <x v="56"/>
    <s v="Personnel"/>
    <s v="M "/>
    <s v="Middle Grade Group 7-8"/>
    <s v="PS42MS"/>
    <s v="PSES Mid Prog01Duty42 S275"/>
    <n v="1"/>
    <x v="5"/>
    <n v="42"/>
    <m/>
    <s v="   "/>
    <n v="1.67"/>
    <n v="0.2253"/>
    <n v="0"/>
    <s v="Middle Counselor"/>
    <x v="5"/>
  </r>
  <r>
    <s v="13144"/>
    <x v="56"/>
    <s v="Personnel"/>
    <s v="E "/>
    <s v="Elementary Grade Group K-6"/>
    <s v="PS44ES"/>
    <s v="PSES Elem Prog01Duty44 S275"/>
    <n v="1"/>
    <x v="13"/>
    <n v="44"/>
    <m/>
    <s v="   "/>
    <n v="1.5"/>
    <n v="0.2253"/>
    <n v="0"/>
    <s v="Elementary Social Worker"/>
    <x v="13"/>
  </r>
  <r>
    <s v="13144"/>
    <x v="56"/>
    <s v="Personnel"/>
    <s v="H "/>
    <s v="High Grade Group 9-12"/>
    <s v="PS44HS"/>
    <s v="PSES High Prog01Duty44 S275"/>
    <n v="1"/>
    <x v="13"/>
    <n v="44"/>
    <m/>
    <s v="   "/>
    <n v="2.0329999999999999"/>
    <n v="0.2253"/>
    <n v="0"/>
    <s v="High Social Worker"/>
    <x v="13"/>
  </r>
  <r>
    <s v="13144"/>
    <x v="56"/>
    <s v="Personnel"/>
    <s v="M "/>
    <s v="Middle Grade Group 7-8"/>
    <s v="PS44MS"/>
    <s v="PSES Mid Prog01Duty44 S275"/>
    <n v="1"/>
    <x v="13"/>
    <n v="44"/>
    <m/>
    <s v="   "/>
    <n v="0.16700000000000001"/>
    <n v="0.2253"/>
    <n v="0"/>
    <s v="Middle Social Worker"/>
    <x v="13"/>
  </r>
  <r>
    <s v="13144"/>
    <x v="56"/>
    <s v="Personnel"/>
    <s v="H "/>
    <s v="High Grade Group 9-12"/>
    <s v="PS46H21S"/>
    <s v="PSES High Prog21Duty46 S275"/>
    <n v="21"/>
    <x v="8"/>
    <n v="46"/>
    <m/>
    <s v="   "/>
    <n v="1"/>
    <n v="0.2253"/>
    <n v="0.22500000000000001"/>
    <s v="High Psychologist"/>
    <x v="8"/>
  </r>
  <r>
    <s v="13144"/>
    <x v="56"/>
    <s v="Personnel"/>
    <s v="E "/>
    <s v="Elementary Grade Group K-6"/>
    <s v="PS47ES"/>
    <s v="PSES Elem Prog01Duty47 S275"/>
    <n v="1"/>
    <x v="9"/>
    <n v="47"/>
    <m/>
    <s v="   "/>
    <n v="1.0760000000000001"/>
    <n v="0.2253"/>
    <n v="0"/>
    <s v="Elementary Nurse"/>
    <x v="9"/>
  </r>
  <r>
    <s v="13144"/>
    <x v="56"/>
    <s v="Personnel"/>
    <s v="H "/>
    <s v="High Grade Group 9-12"/>
    <s v="PS47HS"/>
    <s v="PSES High Prog01Duty47 S275"/>
    <n v="1"/>
    <x v="9"/>
    <n v="47"/>
    <m/>
    <s v="   "/>
    <n v="0.61599999999999999"/>
    <n v="0.2253"/>
    <n v="0"/>
    <s v="High Nurse"/>
    <x v="9"/>
  </r>
  <r>
    <s v="13144"/>
    <x v="56"/>
    <s v="Personnel"/>
    <s v="M "/>
    <s v="Middle Grade Group 7-8"/>
    <s v="PS47MS"/>
    <s v="PSES Mid Prog01Duty47 S275"/>
    <n v="1"/>
    <x v="9"/>
    <n v="47"/>
    <m/>
    <s v="   "/>
    <n v="0.308"/>
    <n v="0.2253"/>
    <n v="0"/>
    <s v="Middle Nurse"/>
    <x v="9"/>
  </r>
  <r>
    <s v="13146"/>
    <x v="57"/>
    <s v="Personnel"/>
    <s v="E "/>
    <s v="Elementary Grade Group K-6"/>
    <s v="PS24ES"/>
    <s v="PSES Elem Prog01Duty96 S275"/>
    <n v="1"/>
    <x v="0"/>
    <n v="96"/>
    <n v="24"/>
    <s v="   "/>
    <n v="0.318"/>
    <n v="0.32650000000000001"/>
    <n v="0"/>
    <s v="Elementary Family Engagement Coordinator"/>
    <x v="0"/>
  </r>
  <r>
    <s v="13146"/>
    <x v="57"/>
    <s v="Personnel"/>
    <s v="E "/>
    <s v="Elementary Grade Group K-6"/>
    <s v="PS26E21S"/>
    <s v="PSES Elem Prog21Act26 S275"/>
    <n v="21"/>
    <x v="2"/>
    <m/>
    <n v="26"/>
    <s v="   "/>
    <n v="0.318"/>
    <n v="0.32650000000000001"/>
    <n v="0.104"/>
    <s v="Elementary Health/_x000a_Related Services"/>
    <x v="2"/>
  </r>
  <r>
    <s v="13146"/>
    <x v="57"/>
    <s v="Personnel"/>
    <s v="E "/>
    <s v="Elementary Grade Group K-6"/>
    <s v="PS42ES"/>
    <s v="PSES Elem Prog01Duty42 S275"/>
    <n v="1"/>
    <x v="5"/>
    <n v="42"/>
    <m/>
    <s v="   "/>
    <n v="0.65"/>
    <n v="0.32650000000000001"/>
    <n v="0"/>
    <s v="Elementary Counselor"/>
    <x v="5"/>
  </r>
  <r>
    <s v="13146"/>
    <x v="57"/>
    <s v="Personnel"/>
    <s v="H "/>
    <s v="High Grade Group 9-12"/>
    <s v="PS42HS"/>
    <s v="PSES High Prog01Duty42 S275"/>
    <n v="1"/>
    <x v="5"/>
    <n v="42"/>
    <m/>
    <s v="   "/>
    <n v="0.5"/>
    <n v="0.32650000000000001"/>
    <n v="0"/>
    <s v="High Counselor"/>
    <x v="5"/>
  </r>
  <r>
    <s v="13146"/>
    <x v="57"/>
    <s v="Personnel"/>
    <s v="M "/>
    <s v="Middle Grade Group 7-8"/>
    <s v="PS42MS"/>
    <s v="PSES Mid Prog01Duty42 S275"/>
    <n v="1"/>
    <x v="5"/>
    <n v="42"/>
    <m/>
    <s v="   "/>
    <n v="0.86"/>
    <n v="0.32650000000000001"/>
    <n v="0"/>
    <s v="Middle Counselor"/>
    <x v="5"/>
  </r>
  <r>
    <s v="13146"/>
    <x v="57"/>
    <s v="Personnel"/>
    <s v="E "/>
    <s v="Elementary Grade Group K-6"/>
    <s v="PS45E21S"/>
    <s v="PSES Elem Prog21Duty45 S275"/>
    <n v="21"/>
    <x v="7"/>
    <n v="45"/>
    <m/>
    <s v="   "/>
    <n v="0.44"/>
    <n v="0.32650000000000001"/>
    <n v="0.14399999999999999"/>
    <s v="Elementary Speech, Language Pathway/_x000a_Audio"/>
    <x v="7"/>
  </r>
  <r>
    <s v="13146"/>
    <x v="57"/>
    <s v="Personnel"/>
    <s v="H "/>
    <s v="High Grade Group 9-12"/>
    <s v="PS45H21S"/>
    <s v="PSES High Prog21Duty45 S275"/>
    <n v="21"/>
    <x v="7"/>
    <n v="45"/>
    <m/>
    <s v="   "/>
    <n v="0.3"/>
    <n v="0.32650000000000001"/>
    <n v="9.8000000000000004E-2"/>
    <s v="High Speech, Language Pathway/_x000a_Audio"/>
    <x v="7"/>
  </r>
  <r>
    <s v="13146"/>
    <x v="57"/>
    <s v="Personnel"/>
    <s v="M "/>
    <s v="Middle Grade Group 7-8"/>
    <s v="PS45M21S"/>
    <s v="PSES Mid Prog21Duty45 S275"/>
    <n v="21"/>
    <x v="7"/>
    <n v="45"/>
    <m/>
    <s v="   "/>
    <n v="0.26"/>
    <n v="0.32650000000000001"/>
    <n v="8.5000000000000006E-2"/>
    <s v="Middle Speech, Language Pathway/_x000a_Audio"/>
    <x v="7"/>
  </r>
  <r>
    <s v="13146"/>
    <x v="57"/>
    <s v="Personnel"/>
    <s v="E "/>
    <s v="Elementary Grade Group K-6"/>
    <s v="PS46E21S"/>
    <s v="PSES Elem Prog21Duty46 S275"/>
    <n v="21"/>
    <x v="8"/>
    <n v="46"/>
    <m/>
    <s v="   "/>
    <n v="0.44"/>
    <n v="0.32650000000000001"/>
    <n v="0.14399999999999999"/>
    <s v="Elementary Psychologist"/>
    <x v="8"/>
  </r>
  <r>
    <s v="13146"/>
    <x v="57"/>
    <s v="Personnel"/>
    <s v="H "/>
    <s v="High Grade Group 9-12"/>
    <s v="PS46H21S"/>
    <s v="PSES High Prog21Duty46 S275"/>
    <n v="21"/>
    <x v="8"/>
    <n v="46"/>
    <m/>
    <s v="   "/>
    <n v="0.3"/>
    <n v="0.32650000000000001"/>
    <n v="9.8000000000000004E-2"/>
    <s v="High Psychologist"/>
    <x v="8"/>
  </r>
  <r>
    <s v="13146"/>
    <x v="57"/>
    <s v="Personnel"/>
    <s v="M "/>
    <s v="Middle Grade Group 7-8"/>
    <s v="PS46M21S"/>
    <s v="PSES Mid Prog21Duty46 S275"/>
    <n v="21"/>
    <x v="8"/>
    <n v="46"/>
    <m/>
    <s v="   "/>
    <n v="0.26"/>
    <n v="0.32650000000000001"/>
    <n v="8.5000000000000006E-2"/>
    <s v="Middle Psychologist"/>
    <x v="8"/>
  </r>
  <r>
    <s v="13151"/>
    <x v="58"/>
    <s v="Personnel"/>
    <s v="E "/>
    <s v="Elementary Grade Group K-6"/>
    <s v="PS42ES"/>
    <s v="PSES Elem Prog01Duty42 S275"/>
    <n v="1"/>
    <x v="5"/>
    <n v="42"/>
    <m/>
    <s v="   "/>
    <n v="0.14000000000000001"/>
    <n v="0.22289999999999999"/>
    <n v="0"/>
    <s v="Elementary Counselor"/>
    <x v="5"/>
  </r>
  <r>
    <s v="13151"/>
    <x v="58"/>
    <s v="Personnel"/>
    <s v="H "/>
    <s v="High Grade Group 9-12"/>
    <s v="PS42HS"/>
    <s v="PSES High Prog01Duty42 S275"/>
    <n v="1"/>
    <x v="5"/>
    <n v="42"/>
    <m/>
    <s v="   "/>
    <n v="0.57999999999999996"/>
    <n v="0.22289999999999999"/>
    <n v="0"/>
    <s v="High Counselor"/>
    <x v="5"/>
  </r>
  <r>
    <s v="13156"/>
    <x v="59"/>
    <s v="Personnel"/>
    <s v="E "/>
    <s v="Elementary Grade Group K-6"/>
    <s v="PS26ES"/>
    <s v="PSES Elem Prog01Act26 S275"/>
    <n v="1"/>
    <x v="2"/>
    <m/>
    <n v="26"/>
    <s v="   "/>
    <n v="0.20200000000000001"/>
    <n v="0.25950000000000001"/>
    <n v="0"/>
    <s v="Elementary Health/_x000a_Related Services"/>
    <x v="2"/>
  </r>
  <r>
    <s v="13156"/>
    <x v="59"/>
    <s v="Personnel"/>
    <s v="H "/>
    <s v="High Grade Group 9-12"/>
    <s v="PS26H21S"/>
    <s v="PSES High Prog21Act26 S275"/>
    <n v="21"/>
    <x v="2"/>
    <m/>
    <n v="26"/>
    <s v="   "/>
    <n v="0.63900000000000001"/>
    <n v="0.25950000000000001"/>
    <n v="0.16600000000000001"/>
    <s v="High Health/_x000a_Related Services"/>
    <x v="2"/>
  </r>
  <r>
    <s v="13156"/>
    <x v="59"/>
    <s v="Personnel"/>
    <s v="H "/>
    <s v="High Grade Group 9-12"/>
    <s v="PS26HS"/>
    <s v="PSES High Prog01Act26 S275"/>
    <n v="1"/>
    <x v="2"/>
    <m/>
    <n v="26"/>
    <s v="   "/>
    <n v="0.253"/>
    <n v="0.25950000000000001"/>
    <n v="0"/>
    <s v="High Health/_x000a_Related Services"/>
    <x v="2"/>
  </r>
  <r>
    <s v="13156"/>
    <x v="59"/>
    <s v="Personnel"/>
    <s v="M "/>
    <s v="Middle Grade Group 7-8"/>
    <s v="PS26MS"/>
    <s v="PSES Mid Prog01Act26 S275"/>
    <n v="1"/>
    <x v="2"/>
    <m/>
    <n v="26"/>
    <s v="   "/>
    <n v="0.152"/>
    <n v="0.25950000000000001"/>
    <n v="0"/>
    <s v="Middle Health/_x000a_Related Services"/>
    <x v="2"/>
  </r>
  <r>
    <s v="13156"/>
    <x v="59"/>
    <s v="Personnel"/>
    <s v="H "/>
    <s v="High Grade Group 9-12"/>
    <s v="PS42HS"/>
    <s v="PSES High Prog01Duty42 S275"/>
    <n v="1"/>
    <x v="5"/>
    <n v="42"/>
    <m/>
    <s v="   "/>
    <n v="0.75"/>
    <n v="0.25950000000000001"/>
    <n v="0"/>
    <s v="High Counselor"/>
    <x v="5"/>
  </r>
  <r>
    <s v="13156"/>
    <x v="59"/>
    <s v="Personnel"/>
    <s v="M "/>
    <s v="Middle Grade Group 7-8"/>
    <s v="PS42MS"/>
    <s v="PSES Mid Prog01Duty42 S275"/>
    <n v="1"/>
    <x v="5"/>
    <n v="42"/>
    <m/>
    <s v="   "/>
    <n v="0.25"/>
    <n v="0.25950000000000001"/>
    <n v="0"/>
    <s v="Middle Counselor"/>
    <x v="5"/>
  </r>
  <r>
    <s v="13160"/>
    <x v="60"/>
    <s v="Personnel"/>
    <s v="H "/>
    <s v="High Grade Group 9-12"/>
    <s v="PS26HS"/>
    <s v="PSES High Prog01Act26 S275"/>
    <n v="1"/>
    <x v="2"/>
    <m/>
    <n v="26"/>
    <s v="   "/>
    <n v="0.98699999999999999"/>
    <n v="0.20280000000000001"/>
    <n v="0"/>
    <s v="High Health/_x000a_Related Services"/>
    <x v="2"/>
  </r>
  <r>
    <s v="13160"/>
    <x v="60"/>
    <s v="Personnel"/>
    <s v="E "/>
    <s v="Elementary Grade Group K-6"/>
    <s v="PS42ES"/>
    <s v="PSES Elem Prog01Duty42 S275"/>
    <n v="1"/>
    <x v="5"/>
    <n v="42"/>
    <m/>
    <s v="   "/>
    <n v="0.9"/>
    <n v="0.20280000000000001"/>
    <n v="0"/>
    <s v="Elementary Counselor"/>
    <x v="5"/>
  </r>
  <r>
    <s v="13160"/>
    <x v="60"/>
    <s v="Personnel"/>
    <s v="H "/>
    <s v="High Grade Group 9-12"/>
    <s v="PS42HS"/>
    <s v="PSES High Prog01Duty42 S275"/>
    <n v="1"/>
    <x v="5"/>
    <n v="42"/>
    <m/>
    <s v="   "/>
    <n v="1.2"/>
    <n v="0.20280000000000001"/>
    <n v="0"/>
    <s v="High Counselor"/>
    <x v="5"/>
  </r>
  <r>
    <s v="13160"/>
    <x v="60"/>
    <s v="Personnel"/>
    <s v="M "/>
    <s v="Middle Grade Group 7-8"/>
    <s v="PS42MS"/>
    <s v="PSES Mid Prog01Duty42 S275"/>
    <n v="1"/>
    <x v="5"/>
    <n v="42"/>
    <m/>
    <s v="   "/>
    <n v="0.93"/>
    <n v="0.20280000000000001"/>
    <n v="0"/>
    <s v="Middle Counselor"/>
    <x v="5"/>
  </r>
  <r>
    <s v="13160"/>
    <x v="60"/>
    <s v="Personnel"/>
    <s v="E "/>
    <s v="Elementary Grade Group K-6"/>
    <s v="PS46E21S"/>
    <s v="PSES Elem Prog21Duty46 S275"/>
    <n v="21"/>
    <x v="8"/>
    <n v="46"/>
    <m/>
    <s v="   "/>
    <n v="1.0780000000000001"/>
    <n v="0.20280000000000001"/>
    <n v="0.219"/>
    <s v="Elementary Psychologist"/>
    <x v="8"/>
  </r>
  <r>
    <s v="13160"/>
    <x v="60"/>
    <s v="Personnel"/>
    <s v="H "/>
    <s v="High Grade Group 9-12"/>
    <s v="PS46H21S"/>
    <s v="PSES High Prog21Duty46 S275"/>
    <n v="21"/>
    <x v="8"/>
    <n v="46"/>
    <m/>
    <s v="   "/>
    <n v="0.61399999999999999"/>
    <n v="0.20280000000000001"/>
    <n v="0.125"/>
    <s v="High Psychologist"/>
    <x v="8"/>
  </r>
  <r>
    <s v="13160"/>
    <x v="60"/>
    <s v="Personnel"/>
    <s v="M "/>
    <s v="Middle Grade Group 7-8"/>
    <s v="PS46M21S"/>
    <s v="PSES Mid Prog21Duty46 S275"/>
    <n v="21"/>
    <x v="8"/>
    <n v="46"/>
    <m/>
    <s v="   "/>
    <n v="0.308"/>
    <n v="0.20280000000000001"/>
    <n v="6.2E-2"/>
    <s v="Middle Psychologist"/>
    <x v="8"/>
  </r>
  <r>
    <s v="13160"/>
    <x v="60"/>
    <s v="Personnel"/>
    <s v="E "/>
    <s v="Elementary Grade Group K-6"/>
    <s v="PS47ES"/>
    <s v="PSES Elem Prog01Duty47 S275"/>
    <n v="1"/>
    <x v="9"/>
    <n v="47"/>
    <m/>
    <s v="   "/>
    <n v="0.497"/>
    <n v="0.20280000000000001"/>
    <n v="0"/>
    <s v="Elementary Nurse"/>
    <x v="9"/>
  </r>
  <r>
    <s v="13160"/>
    <x v="60"/>
    <s v="Personnel"/>
    <s v="H "/>
    <s v="High Grade Group 9-12"/>
    <s v="PS47HS"/>
    <s v="PSES High Prog01Duty47 S275"/>
    <n v="1"/>
    <x v="9"/>
    <n v="47"/>
    <m/>
    <s v="   "/>
    <n v="0.36"/>
    <n v="0.20280000000000001"/>
    <n v="0"/>
    <s v="High Nurse"/>
    <x v="9"/>
  </r>
  <r>
    <s v="13160"/>
    <x v="60"/>
    <s v="Personnel"/>
    <s v="M "/>
    <s v="Middle Grade Group 7-8"/>
    <s v="PS47MS"/>
    <s v="PSES Mid Prog01Duty47 S275"/>
    <n v="1"/>
    <x v="9"/>
    <n v="47"/>
    <m/>
    <s v="   "/>
    <n v="0.14299999999999999"/>
    <n v="0.20280000000000001"/>
    <n v="0"/>
    <s v="Middle Nurse"/>
    <x v="9"/>
  </r>
  <r>
    <s v="13160"/>
    <x v="60"/>
    <s v="Personnel"/>
    <s v="T"/>
    <s v="Elementary Grade Group K-6"/>
    <s v="PS42E09S"/>
    <s v="PSES Elem Prog09Duty442S275"/>
    <n v="9"/>
    <x v="5"/>
    <n v="42"/>
    <n v="24"/>
    <s v="   "/>
    <n v="0.1"/>
    <n v="0.20280000000000001"/>
    <n v="0"/>
    <s v="TK Counselor"/>
    <x v="5"/>
  </r>
  <r>
    <s v="13161"/>
    <x v="61"/>
    <s v="Personnel"/>
    <s v="H "/>
    <s v="High Grade Group 9-12"/>
    <s v="PS25H21S"/>
    <s v="PSES High Prog21Act25 S275"/>
    <n v="21"/>
    <x v="1"/>
    <m/>
    <n v="25"/>
    <s v="   "/>
    <n v="6.4669999999999996"/>
    <n v="0.25059999999999999"/>
    <n v="1.621"/>
    <s v="High Pupil Management"/>
    <x v="1"/>
  </r>
  <r>
    <s v="13161"/>
    <x v="61"/>
    <s v="Personnel"/>
    <s v="H "/>
    <s v="High Grade Group 9-12"/>
    <s v="PS25HS"/>
    <s v="PSES High Prog01Act25 S275"/>
    <n v="1"/>
    <x v="1"/>
    <m/>
    <n v="25"/>
    <s v="   "/>
    <n v="5.3239999999999998"/>
    <n v="0.25059999999999999"/>
    <n v="0"/>
    <s v="High Pupil Management"/>
    <x v="1"/>
  </r>
  <r>
    <s v="13161"/>
    <x v="61"/>
    <s v="Personnel"/>
    <s v="H "/>
    <s v="High Grade Group 9-12"/>
    <s v="PS26H21S"/>
    <s v="PSES High Prog21Act26 S275"/>
    <n v="21"/>
    <x v="2"/>
    <m/>
    <n v="26"/>
    <s v="   "/>
    <n v="3.3929999999999998"/>
    <n v="0.25059999999999999"/>
    <n v="0.85"/>
    <s v="High Health/_x000a_Related Services"/>
    <x v="2"/>
  </r>
  <r>
    <s v="13161"/>
    <x v="61"/>
    <s v="Personnel"/>
    <s v="H "/>
    <s v="High Grade Group 9-12"/>
    <s v="PS26HS"/>
    <s v="PSES High Prog01Act26 S275"/>
    <n v="1"/>
    <x v="2"/>
    <m/>
    <n v="26"/>
    <s v="   "/>
    <n v="8.1969999999999992"/>
    <n v="0.25059999999999999"/>
    <n v="0"/>
    <s v="High Health/_x000a_Related Services"/>
    <x v="2"/>
  </r>
  <r>
    <s v="13161"/>
    <x v="61"/>
    <s v="Personnel"/>
    <s v="E "/>
    <s v="Elementary Grade Group K-6"/>
    <s v="PS42ES"/>
    <s v="PSES Elem Prog01Duty42 S275"/>
    <n v="1"/>
    <x v="5"/>
    <n v="42"/>
    <m/>
    <s v="   "/>
    <n v="6.4889999999999999"/>
    <n v="0.25059999999999999"/>
    <n v="0"/>
    <s v="Elementary Counselor"/>
    <x v="5"/>
  </r>
  <r>
    <s v="13161"/>
    <x v="61"/>
    <s v="Personnel"/>
    <s v="H "/>
    <s v="High Grade Group 9-12"/>
    <s v="PS42HS"/>
    <s v="PSES High Prog01Duty42 S275"/>
    <n v="1"/>
    <x v="5"/>
    <n v="42"/>
    <m/>
    <s v="   "/>
    <n v="7.4089999999999998"/>
    <n v="0.25059999999999999"/>
    <n v="0"/>
    <s v="High Counselor"/>
    <x v="5"/>
  </r>
  <r>
    <s v="13161"/>
    <x v="61"/>
    <s v="Personnel"/>
    <s v="M "/>
    <s v="Middle Grade Group 7-8"/>
    <s v="PS42MS"/>
    <s v="PSES Mid Prog01Duty42 S275"/>
    <n v="1"/>
    <x v="5"/>
    <n v="42"/>
    <m/>
    <s v="   "/>
    <n v="3.9860000000000002"/>
    <n v="0.25059999999999999"/>
    <n v="0"/>
    <s v="Middle Counselor"/>
    <x v="5"/>
  </r>
  <r>
    <s v="13161"/>
    <x v="61"/>
    <s v="Personnel"/>
    <s v="E "/>
    <s v="Elementary Grade Group K-6"/>
    <s v="PS43E21S"/>
    <s v="PSES Elem Prog21Duty43 S275"/>
    <n v="21"/>
    <x v="6"/>
    <n v="43"/>
    <m/>
    <s v="   "/>
    <n v="4"/>
    <n v="0.25059999999999999"/>
    <n v="1.002"/>
    <s v="Elementary Occupational Therapist"/>
    <x v="6"/>
  </r>
  <r>
    <s v="13161"/>
    <x v="61"/>
    <s v="Personnel"/>
    <s v="E "/>
    <s v="Elementary Grade Group K-6"/>
    <s v="PS44ES"/>
    <s v="PSES Elem Prog01Duty44 S275"/>
    <n v="1"/>
    <x v="13"/>
    <n v="44"/>
    <m/>
    <s v="   "/>
    <n v="4.8"/>
    <n v="0.25059999999999999"/>
    <n v="0"/>
    <s v="Elementary Social Worker"/>
    <x v="13"/>
  </r>
  <r>
    <s v="13161"/>
    <x v="61"/>
    <s v="Personnel"/>
    <s v="M "/>
    <s v="Middle Grade Group 7-8"/>
    <s v="PS44MS"/>
    <s v="PSES Mid Prog01Duty44 S275"/>
    <n v="1"/>
    <x v="13"/>
    <n v="44"/>
    <m/>
    <s v="   "/>
    <n v="1"/>
    <n v="0.25059999999999999"/>
    <n v="0"/>
    <s v="Middle Social Worker"/>
    <x v="13"/>
  </r>
  <r>
    <s v="13161"/>
    <x v="61"/>
    <s v="Personnel"/>
    <s v="E "/>
    <s v="Elementary Grade Group K-6"/>
    <s v="PS45E21S"/>
    <s v="PSES Elem Prog21Duty45 S275"/>
    <n v="21"/>
    <x v="7"/>
    <n v="45"/>
    <m/>
    <s v="   "/>
    <n v="11.5"/>
    <n v="0.25059999999999999"/>
    <n v="2.8820000000000001"/>
    <s v="Elementary Speech, Language Pathway/_x000a_Audio"/>
    <x v="7"/>
  </r>
  <r>
    <s v="13161"/>
    <x v="61"/>
    <s v="Personnel"/>
    <s v="H "/>
    <s v="High Grade Group 9-12"/>
    <s v="PS45H21S"/>
    <s v="PSES High Prog21Duty45 S275"/>
    <n v="21"/>
    <x v="7"/>
    <n v="45"/>
    <m/>
    <s v="   "/>
    <n v="0.91"/>
    <n v="0.25059999999999999"/>
    <n v="0.22800000000000001"/>
    <s v="High Speech, Language Pathway/_x000a_Audio"/>
    <x v="7"/>
  </r>
  <r>
    <s v="13161"/>
    <x v="61"/>
    <s v="Personnel"/>
    <s v="M "/>
    <s v="Middle Grade Group 7-8"/>
    <s v="PS45M21S"/>
    <s v="PSES Mid Prog21Duty45 S275"/>
    <n v="21"/>
    <x v="7"/>
    <n v="45"/>
    <m/>
    <s v="   "/>
    <n v="0.41"/>
    <n v="0.25059999999999999"/>
    <n v="0.10299999999999999"/>
    <s v="Middle Speech, Language Pathway/_x000a_Audio"/>
    <x v="7"/>
  </r>
  <r>
    <s v="13161"/>
    <x v="61"/>
    <s v="Personnel"/>
    <s v="E "/>
    <s v="Elementary Grade Group K-6"/>
    <s v="PS46E21S"/>
    <s v="PSES Elem Prog21Duty46 S275"/>
    <n v="21"/>
    <x v="8"/>
    <n v="46"/>
    <m/>
    <s v="   "/>
    <n v="6.4180000000000001"/>
    <n v="0.25059999999999999"/>
    <n v="1.6080000000000001"/>
    <s v="Elementary Psychologist"/>
    <x v="8"/>
  </r>
  <r>
    <s v="13161"/>
    <x v="61"/>
    <s v="Personnel"/>
    <s v="E "/>
    <s v="Elementary Grade Group K-6"/>
    <s v="PS47E21S"/>
    <s v="PSES Elem Prog21Duty47 S275"/>
    <n v="21"/>
    <x v="9"/>
    <n v="47"/>
    <m/>
    <s v="   "/>
    <n v="3.5"/>
    <n v="0.25059999999999999"/>
    <n v="0.877"/>
    <s v="Elementary Nurse"/>
    <x v="9"/>
  </r>
  <r>
    <s v="13161"/>
    <x v="61"/>
    <s v="Personnel"/>
    <s v="E "/>
    <s v="Elementary Grade Group K-6"/>
    <s v="PS47ES"/>
    <s v="PSES Elem Prog01Duty47 S275"/>
    <n v="1"/>
    <x v="9"/>
    <n v="47"/>
    <m/>
    <s v="   "/>
    <n v="3.5"/>
    <n v="0.25059999999999999"/>
    <n v="0"/>
    <s v="Elementary Nurse"/>
    <x v="9"/>
  </r>
  <r>
    <s v="13161"/>
    <x v="61"/>
    <s v="Personnel"/>
    <s v="E "/>
    <s v="Elementary Grade Group K-6"/>
    <s v="PS48E21S"/>
    <s v="PSES Elem Prog21Duty48 S275"/>
    <n v="21"/>
    <x v="11"/>
    <n v="48"/>
    <m/>
    <s v="   "/>
    <n v="2"/>
    <n v="0.25059999999999999"/>
    <n v="0.501"/>
    <s v="Elementary Physical Therapist"/>
    <x v="11"/>
  </r>
  <r>
    <s v="13161"/>
    <x v="61"/>
    <s v="Personnel"/>
    <s v="E "/>
    <s v="Elementary Grade Group K-6"/>
    <s v="PS49E21S"/>
    <s v="PSES Elem Prog21Duty49 S275"/>
    <n v="21"/>
    <x v="10"/>
    <n v="49"/>
    <m/>
    <s v="   "/>
    <n v="0.46"/>
    <n v="0.25059999999999999"/>
    <n v="0.115"/>
    <s v="Elementary Behavior Analyst"/>
    <x v="10"/>
  </r>
  <r>
    <s v="13161"/>
    <x v="61"/>
    <s v="Personnel"/>
    <s v="H "/>
    <s v="High Grade Group 9-12"/>
    <s v="PS49H21S"/>
    <s v="PSES High Prog21Duty49 S275"/>
    <n v="21"/>
    <x v="10"/>
    <n v="49"/>
    <m/>
    <s v="   "/>
    <n v="0.29499999999999998"/>
    <n v="0.25059999999999999"/>
    <n v="7.3999999999999996E-2"/>
    <s v="High Behavior Analyst"/>
    <x v="10"/>
  </r>
  <r>
    <s v="13161"/>
    <x v="61"/>
    <s v="Personnel"/>
    <s v="M "/>
    <s v="Middle Grade Group 7-8"/>
    <s v="PS49M21S"/>
    <s v="PSES Mid Prog21Duty49 S275"/>
    <n v="21"/>
    <x v="10"/>
    <n v="49"/>
    <m/>
    <s v="   "/>
    <n v="0.16500000000000001"/>
    <n v="0.25059999999999999"/>
    <n v="4.1000000000000002E-2"/>
    <s v="Middle Behavior Analyst"/>
    <x v="10"/>
  </r>
  <r>
    <s v="13165"/>
    <x v="62"/>
    <s v="Personnel"/>
    <s v="H "/>
    <s v="High Grade Group 9-12"/>
    <s v="PS25H21S"/>
    <s v="PSES High Prog21Act25 S275"/>
    <n v="21"/>
    <x v="1"/>
    <m/>
    <n v="25"/>
    <s v="   "/>
    <n v="0.83099999999999996"/>
    <n v="0.2374"/>
    <n v="0.19700000000000001"/>
    <s v="High Pupil Management"/>
    <x v="1"/>
  </r>
  <r>
    <s v="13165"/>
    <x v="62"/>
    <s v="Personnel"/>
    <s v="H "/>
    <s v="High Grade Group 9-12"/>
    <s v="PS25HS"/>
    <s v="PSES High Prog01Act25 S275"/>
    <n v="1"/>
    <x v="1"/>
    <m/>
    <n v="25"/>
    <s v="   "/>
    <n v="4.8869999999999996"/>
    <n v="0.2374"/>
    <n v="0"/>
    <s v="High Pupil Management"/>
    <x v="1"/>
  </r>
  <r>
    <s v="13165"/>
    <x v="62"/>
    <s v="Personnel"/>
    <s v="M "/>
    <s v="Middle Grade Group 7-8"/>
    <s v="PS25MS"/>
    <s v="PSES Mid Prog01Act25 S275"/>
    <n v="1"/>
    <x v="1"/>
    <m/>
    <n v="25"/>
    <s v="   "/>
    <n v="1.4E-2"/>
    <n v="0.2374"/>
    <n v="0"/>
    <s v="Middle Pupil Management"/>
    <x v="1"/>
  </r>
  <r>
    <s v="13165"/>
    <x v="62"/>
    <s v="Personnel"/>
    <s v="H "/>
    <s v="High Grade Group 9-12"/>
    <s v="PS26H21S"/>
    <s v="PSES High Prog21Act26 S275"/>
    <n v="21"/>
    <x v="2"/>
    <m/>
    <n v="26"/>
    <s v="   "/>
    <n v="0.12"/>
    <n v="0.2374"/>
    <n v="2.8000000000000001E-2"/>
    <s v="High Health/_x000a_Related Services"/>
    <x v="2"/>
  </r>
  <r>
    <s v="13165"/>
    <x v="62"/>
    <s v="Personnel"/>
    <s v="H "/>
    <s v="High Grade Group 9-12"/>
    <s v="PS26HS"/>
    <s v="PSES High Prog01Act26 S275"/>
    <n v="1"/>
    <x v="2"/>
    <m/>
    <n v="26"/>
    <s v="   "/>
    <n v="1.08"/>
    <n v="0.2374"/>
    <n v="0"/>
    <s v="High Health/_x000a_Related Services"/>
    <x v="2"/>
  </r>
  <r>
    <s v="13165"/>
    <x v="62"/>
    <s v="Personnel"/>
    <s v="H "/>
    <s v="High Grade Group 9-12"/>
    <s v="PS35H97S"/>
    <s v="PSES High Prog97Act35 S275"/>
    <n v="97"/>
    <x v="3"/>
    <m/>
    <n v="35"/>
    <s v="   "/>
    <n v="1.4750000000000001"/>
    <n v="0.2374"/>
    <n v="0"/>
    <s v="High Pupil Safety"/>
    <x v="3"/>
  </r>
  <r>
    <s v="13165"/>
    <x v="62"/>
    <s v="Personnel"/>
    <s v="E "/>
    <s v="Elementary Grade Group K-6"/>
    <s v="PS42ES"/>
    <s v="PSES Elem Prog01Duty42 S275"/>
    <n v="1"/>
    <x v="5"/>
    <n v="42"/>
    <m/>
    <s v="   "/>
    <n v="3"/>
    <n v="0.2374"/>
    <n v="0"/>
    <s v="Elementary Counselor"/>
    <x v="5"/>
  </r>
  <r>
    <s v="13165"/>
    <x v="62"/>
    <s v="Personnel"/>
    <s v="H "/>
    <s v="High Grade Group 9-12"/>
    <s v="PS42HS"/>
    <s v="PSES High Prog01Duty42 S275"/>
    <n v="1"/>
    <x v="5"/>
    <n v="42"/>
    <m/>
    <s v="   "/>
    <n v="2"/>
    <n v="0.2374"/>
    <n v="0"/>
    <s v="High Counselor"/>
    <x v="5"/>
  </r>
  <r>
    <s v="13165"/>
    <x v="62"/>
    <s v="Personnel"/>
    <s v="M "/>
    <s v="Middle Grade Group 7-8"/>
    <s v="PS42MS"/>
    <s v="PSES Mid Prog01Duty42 S275"/>
    <n v="1"/>
    <x v="5"/>
    <n v="42"/>
    <m/>
    <s v="   "/>
    <n v="1"/>
    <n v="0.2374"/>
    <n v="0"/>
    <s v="Middle Counselor"/>
    <x v="5"/>
  </r>
  <r>
    <s v="13165"/>
    <x v="62"/>
    <s v="Personnel"/>
    <s v="E "/>
    <s v="Elementary Grade Group K-6"/>
    <s v="PS45E21S"/>
    <s v="PSES Elem Prog21Duty45 S275"/>
    <n v="21"/>
    <x v="7"/>
    <n v="45"/>
    <m/>
    <s v="   "/>
    <n v="1.5249999999999999"/>
    <n v="0.2374"/>
    <n v="0.36199999999999999"/>
    <s v="Elementary Speech, Language Pathway/_x000a_Audio"/>
    <x v="7"/>
  </r>
  <r>
    <s v="13165"/>
    <x v="62"/>
    <s v="Personnel"/>
    <s v="H "/>
    <s v="High Grade Group 9-12"/>
    <s v="PS45H21S"/>
    <s v="PSES High Prog21Duty45 S275"/>
    <n v="21"/>
    <x v="7"/>
    <n v="45"/>
    <m/>
    <s v="   "/>
    <n v="0.86899999999999999"/>
    <n v="0.2374"/>
    <n v="0.20599999999999999"/>
    <s v="High Speech, Language Pathway/_x000a_Audio"/>
    <x v="7"/>
  </r>
  <r>
    <s v="13165"/>
    <x v="62"/>
    <s v="Personnel"/>
    <s v="M "/>
    <s v="Middle Grade Group 7-8"/>
    <s v="PS45M21S"/>
    <s v="PSES Mid Prog21Duty45 S275"/>
    <n v="21"/>
    <x v="7"/>
    <n v="45"/>
    <m/>
    <s v="   "/>
    <n v="0.436"/>
    <n v="0.2374"/>
    <n v="0.104"/>
    <s v="Middle Speech, Language Pathway/_x000a_Audio"/>
    <x v="7"/>
  </r>
  <r>
    <s v="13165"/>
    <x v="62"/>
    <s v="Personnel"/>
    <s v="E "/>
    <s v="Elementary Grade Group K-6"/>
    <s v="PS46E21S"/>
    <s v="PSES Elem Prog21Duty46 S275"/>
    <n v="21"/>
    <x v="8"/>
    <n v="46"/>
    <m/>
    <s v="   "/>
    <n v="1.3340000000000001"/>
    <n v="0.2374"/>
    <n v="0.317"/>
    <s v="Elementary Psychologist"/>
    <x v="8"/>
  </r>
  <r>
    <s v="13165"/>
    <x v="62"/>
    <s v="Personnel"/>
    <s v="E "/>
    <s v="Elementary Grade Group K-6"/>
    <s v="PS46ES"/>
    <s v="PSES Elem Prog01Duty46 S275"/>
    <n v="1"/>
    <x v="8"/>
    <n v="46"/>
    <m/>
    <s v="   "/>
    <n v="0.14899999999999999"/>
    <n v="0.2374"/>
    <n v="0"/>
    <s v="Elementary Psychologist"/>
    <x v="8"/>
  </r>
  <r>
    <s v="13165"/>
    <x v="62"/>
    <s v="Personnel"/>
    <s v="H "/>
    <s v="High Grade Group 9-12"/>
    <s v="PS46H21S"/>
    <s v="PSES High Prog21Duty46 S275"/>
    <n v="21"/>
    <x v="8"/>
    <n v="46"/>
    <m/>
    <s v="   "/>
    <n v="0.76200000000000001"/>
    <n v="0.2374"/>
    <n v="0.18099999999999999"/>
    <s v="High Psychologist"/>
    <x v="8"/>
  </r>
  <r>
    <s v="13165"/>
    <x v="62"/>
    <s v="Personnel"/>
    <s v="H "/>
    <s v="High Grade Group 9-12"/>
    <s v="PS46HS"/>
    <s v="PSES High Prog01Duty46 S275"/>
    <n v="1"/>
    <x v="8"/>
    <n v="46"/>
    <m/>
    <s v="   "/>
    <n v="8.5000000000000006E-2"/>
    <n v="0.2374"/>
    <n v="0"/>
    <s v="High Psychologist"/>
    <x v="8"/>
  </r>
  <r>
    <s v="13165"/>
    <x v="62"/>
    <s v="Personnel"/>
    <s v="M "/>
    <s v="Middle Grade Group 7-8"/>
    <s v="PS46M21S"/>
    <s v="PSES Mid Prog21Duty46 S275"/>
    <n v="21"/>
    <x v="8"/>
    <n v="46"/>
    <m/>
    <s v="   "/>
    <n v="0.38"/>
    <n v="0.2374"/>
    <n v="0.09"/>
    <s v="Middle Psychologist"/>
    <x v="8"/>
  </r>
  <r>
    <s v="13165"/>
    <x v="62"/>
    <s v="Personnel"/>
    <s v="M "/>
    <s v="Middle Grade Group 7-8"/>
    <s v="PS46MS"/>
    <s v="PSES Mid Prog01Duty46 S275"/>
    <n v="1"/>
    <x v="8"/>
    <n v="46"/>
    <m/>
    <s v="   "/>
    <n v="4.1000000000000002E-2"/>
    <n v="0.2374"/>
    <n v="0"/>
    <s v="Middle Psychologist"/>
    <x v="8"/>
  </r>
  <r>
    <s v="13165"/>
    <x v="62"/>
    <s v="Personnel"/>
    <s v="E "/>
    <s v="Elementary Grade Group K-6"/>
    <s v="PS47ES"/>
    <s v="PSES Elem Prog01Duty47 S275"/>
    <n v="1"/>
    <x v="9"/>
    <n v="47"/>
    <m/>
    <s v="   "/>
    <n v="1.5"/>
    <n v="0.2374"/>
    <n v="0"/>
    <s v="Elementary Nurse"/>
    <x v="9"/>
  </r>
  <r>
    <s v="13165"/>
    <x v="62"/>
    <s v="Personnel"/>
    <s v="H "/>
    <s v="High Grade Group 9-12"/>
    <s v="PS47HS"/>
    <s v="PSES High Prog01Duty47 S275"/>
    <n v="1"/>
    <x v="9"/>
    <n v="47"/>
    <m/>
    <s v="   "/>
    <n v="0.61899999999999999"/>
    <n v="0.2374"/>
    <n v="0"/>
    <s v="High Nurse"/>
    <x v="9"/>
  </r>
  <r>
    <s v="13165"/>
    <x v="62"/>
    <s v="Personnel"/>
    <s v="M "/>
    <s v="Middle Grade Group 7-8"/>
    <s v="PS47MS"/>
    <s v="PSES Mid Prog01Duty47 S275"/>
    <n v="1"/>
    <x v="9"/>
    <n v="47"/>
    <m/>
    <s v="   "/>
    <n v="0.5"/>
    <n v="0.2374"/>
    <n v="0"/>
    <s v="Middle Nurse"/>
    <x v="9"/>
  </r>
  <r>
    <s v="13167"/>
    <x v="63"/>
    <s v="Personnel"/>
    <s v="E "/>
    <s v="Elementary Grade Group K-6"/>
    <s v="PS26ES"/>
    <s v="PSES Elem Prog01Act26 S275"/>
    <n v="1"/>
    <x v="2"/>
    <m/>
    <n v="26"/>
    <s v="   "/>
    <n v="0.29199999999999998"/>
    <n v="0.1656"/>
    <n v="0"/>
    <s v="Elementary Health/_x000a_Related Services"/>
    <x v="2"/>
  </r>
  <r>
    <s v="13167"/>
    <x v="63"/>
    <s v="Personnel"/>
    <s v="H "/>
    <s v="High Grade Group 9-12"/>
    <s v="PS26HS"/>
    <s v="PSES High Prog01Act26 S275"/>
    <n v="1"/>
    <x v="2"/>
    <m/>
    <n v="26"/>
    <s v="   "/>
    <n v="0.29199999999999998"/>
    <n v="0.1656"/>
    <n v="0"/>
    <s v="High Health/_x000a_Related Services"/>
    <x v="2"/>
  </r>
  <r>
    <s v="13301"/>
    <x v="64"/>
    <s v="Personnel"/>
    <s v="H "/>
    <s v="High Grade Group 9-12"/>
    <s v="PS25HS"/>
    <s v="PSES High Prog01Act25 S275"/>
    <n v="1"/>
    <x v="1"/>
    <m/>
    <n v="25"/>
    <s v="   "/>
    <n v="0.61599999999999999"/>
    <n v="0.2505"/>
    <n v="0"/>
    <s v="High Pupil Management"/>
    <x v="1"/>
  </r>
  <r>
    <s v="13301"/>
    <x v="64"/>
    <s v="Personnel"/>
    <s v="H "/>
    <s v="High Grade Group 9-12"/>
    <s v="PS26HS"/>
    <s v="PSES High Prog01Act26 S275"/>
    <n v="1"/>
    <x v="2"/>
    <m/>
    <n v="26"/>
    <s v="   "/>
    <n v="1.5820000000000001"/>
    <n v="0.2505"/>
    <n v="0"/>
    <s v="High Health/_x000a_Related Services"/>
    <x v="2"/>
  </r>
  <r>
    <s v="13301"/>
    <x v="64"/>
    <s v="Personnel"/>
    <s v="H "/>
    <s v="High Grade Group 9-12"/>
    <s v="PS42HS"/>
    <s v="PSES High Prog01Duty42 S275"/>
    <n v="1"/>
    <x v="5"/>
    <n v="42"/>
    <m/>
    <s v="   "/>
    <n v="1"/>
    <n v="0.2505"/>
    <n v="0"/>
    <s v="High Counselor"/>
    <x v="5"/>
  </r>
  <r>
    <s v="14005"/>
    <x v="65"/>
    <s v="Personnel"/>
    <s v="E "/>
    <s v="Elementary Grade Group K-6"/>
    <s v="PS24ES"/>
    <s v="PSES Elem Prog01Duty96 S275"/>
    <n v="1"/>
    <x v="0"/>
    <n v="96"/>
    <n v="24"/>
    <s v="   "/>
    <n v="0.499"/>
    <n v="0.26869999999999999"/>
    <n v="0"/>
    <s v="Elementary Family Engagement Coordinator"/>
    <x v="0"/>
  </r>
  <r>
    <s v="14005"/>
    <x v="65"/>
    <s v="Personnel"/>
    <s v="H "/>
    <s v="High Grade Group 9-12"/>
    <s v="PS26H21S"/>
    <s v="PSES High Prog21Act26 S275"/>
    <n v="21"/>
    <x v="2"/>
    <m/>
    <n v="26"/>
    <s v="   "/>
    <n v="3.6259999999999999"/>
    <n v="0.26869999999999999"/>
    <n v="0.97399999999999998"/>
    <s v="High Health/_x000a_Related Services"/>
    <x v="2"/>
  </r>
  <r>
    <s v="14005"/>
    <x v="65"/>
    <s v="Personnel"/>
    <s v="H "/>
    <s v="High Grade Group 9-12"/>
    <s v="PS26HS"/>
    <s v="PSES High Prog01Act26 S275"/>
    <n v="1"/>
    <x v="2"/>
    <m/>
    <n v="26"/>
    <s v="   "/>
    <n v="2.57"/>
    <n v="0.26869999999999999"/>
    <n v="0"/>
    <s v="High Health/_x000a_Related Services"/>
    <x v="2"/>
  </r>
  <r>
    <s v="14005"/>
    <x v="65"/>
    <s v="Personnel"/>
    <s v="E "/>
    <s v="Elementary Grade Group K-6"/>
    <s v="PS42ES"/>
    <s v="PSES Elem Prog01Duty42 S275"/>
    <n v="1"/>
    <x v="5"/>
    <n v="42"/>
    <m/>
    <s v="   "/>
    <n v="3.25"/>
    <n v="0.26869999999999999"/>
    <n v="0"/>
    <s v="Elementary Counselor"/>
    <x v="5"/>
  </r>
  <r>
    <s v="14005"/>
    <x v="65"/>
    <s v="Personnel"/>
    <s v="H "/>
    <s v="High Grade Group 9-12"/>
    <s v="PS42HS"/>
    <s v="PSES High Prog01Duty42 S275"/>
    <n v="1"/>
    <x v="5"/>
    <n v="42"/>
    <m/>
    <s v="   "/>
    <n v="3.294"/>
    <n v="0.26869999999999999"/>
    <n v="0"/>
    <s v="High Counselor"/>
    <x v="5"/>
  </r>
  <r>
    <s v="14005"/>
    <x v="65"/>
    <s v="Personnel"/>
    <s v="M "/>
    <s v="Middle Grade Group 7-8"/>
    <s v="PS42MS"/>
    <s v="PSES Mid Prog01Duty42 S275"/>
    <n v="1"/>
    <x v="5"/>
    <n v="42"/>
    <m/>
    <s v="   "/>
    <n v="2.2000000000000002"/>
    <n v="0.26869999999999999"/>
    <n v="0"/>
    <s v="Middle Counselor"/>
    <x v="5"/>
  </r>
  <r>
    <s v="14005"/>
    <x v="65"/>
    <s v="Personnel"/>
    <s v="E "/>
    <s v="Elementary Grade Group K-6"/>
    <s v="PS45E21S"/>
    <s v="PSES Elem Prog21Duty45 S275"/>
    <n v="21"/>
    <x v="7"/>
    <n v="45"/>
    <m/>
    <s v="   "/>
    <n v="0.436"/>
    <n v="0.26869999999999999"/>
    <n v="0.11700000000000001"/>
    <s v="Elementary Speech, Language Pathway/_x000a_Audio"/>
    <x v="7"/>
  </r>
  <r>
    <s v="14005"/>
    <x v="65"/>
    <s v="Personnel"/>
    <s v="H "/>
    <s v="High Grade Group 9-12"/>
    <s v="PS46H21S"/>
    <s v="PSES High Prog21Duty46 S275"/>
    <n v="21"/>
    <x v="8"/>
    <n v="46"/>
    <m/>
    <s v="   "/>
    <n v="0.15"/>
    <n v="0.26869999999999999"/>
    <n v="0.04"/>
    <s v="High Psychologist"/>
    <x v="8"/>
  </r>
  <r>
    <s v="14005"/>
    <x v="65"/>
    <s v="Personnel"/>
    <s v="E "/>
    <s v="Elementary Grade Group K-6"/>
    <s v="PS64E21S"/>
    <s v="PSES Elem Prog21Duty64 S275"/>
    <n v="21"/>
    <x v="12"/>
    <n v="64"/>
    <m/>
    <s v="   "/>
    <n v="12"/>
    <n v="0.26869999999999999"/>
    <n v="3.2240000000000002"/>
    <s v="Elementary Contractor ESA"/>
    <x v="12"/>
  </r>
  <r>
    <s v="14028"/>
    <x v="66"/>
    <s v="Personnel"/>
    <s v="E "/>
    <s v="Elementary Grade Group K-6"/>
    <s v="PS26ES"/>
    <s v="PSES Elem Prog01Act26 S275"/>
    <n v="1"/>
    <x v="2"/>
    <m/>
    <n v="26"/>
    <s v="   "/>
    <n v="1.2769999999999999"/>
    <n v="0.20039999999999999"/>
    <n v="0"/>
    <s v="Elementary Health/_x000a_Related Services"/>
    <x v="2"/>
  </r>
  <r>
    <s v="14028"/>
    <x v="66"/>
    <s v="Personnel"/>
    <s v="H "/>
    <s v="High Grade Group 9-12"/>
    <s v="PS26H21S"/>
    <s v="PSES High Prog21Act26 S275"/>
    <n v="21"/>
    <x v="2"/>
    <m/>
    <n v="26"/>
    <s v="   "/>
    <n v="0.57499999999999996"/>
    <n v="0.20039999999999999"/>
    <n v="0.115"/>
    <s v="High Health/_x000a_Related Services"/>
    <x v="2"/>
  </r>
  <r>
    <s v="14028"/>
    <x v="66"/>
    <s v="Personnel"/>
    <s v="H "/>
    <s v="High Grade Group 9-12"/>
    <s v="PS26HS"/>
    <s v="PSES High Prog01Act26 S275"/>
    <n v="1"/>
    <x v="2"/>
    <m/>
    <n v="26"/>
    <s v="   "/>
    <n v="0.19"/>
    <n v="0.20039999999999999"/>
    <n v="0"/>
    <s v="High Health/_x000a_Related Services"/>
    <x v="2"/>
  </r>
  <r>
    <s v="14028"/>
    <x v="66"/>
    <s v="Personnel"/>
    <s v="M "/>
    <s v="Middle Grade Group 7-8"/>
    <s v="PS26MS"/>
    <s v="PSES Mid Prog01Act26 S275"/>
    <n v="1"/>
    <x v="2"/>
    <m/>
    <n v="26"/>
    <s v="   "/>
    <n v="0.127"/>
    <n v="0.20039999999999999"/>
    <n v="0"/>
    <s v="Middle Health/_x000a_Related Services"/>
    <x v="2"/>
  </r>
  <r>
    <s v="14028"/>
    <x v="66"/>
    <s v="Personnel"/>
    <s v="E "/>
    <s v="Elementary Grade Group K-6"/>
    <s v="PS42ES"/>
    <s v="PSES Elem Prog01Duty42 S275"/>
    <n v="1"/>
    <x v="5"/>
    <n v="42"/>
    <m/>
    <s v="   "/>
    <n v="1.7989999999999999"/>
    <n v="0.20039999999999999"/>
    <n v="0"/>
    <s v="Elementary Counselor"/>
    <x v="5"/>
  </r>
  <r>
    <s v="14028"/>
    <x v="66"/>
    <s v="Personnel"/>
    <s v="H "/>
    <s v="High Grade Group 9-12"/>
    <s v="PS42HS"/>
    <s v="PSES High Prog01Duty42 S275"/>
    <n v="1"/>
    <x v="5"/>
    <n v="42"/>
    <m/>
    <s v="   "/>
    <n v="1.8"/>
    <n v="0.20039999999999999"/>
    <n v="0"/>
    <s v="High Counselor"/>
    <x v="5"/>
  </r>
  <r>
    <s v="14028"/>
    <x v="66"/>
    <s v="Personnel"/>
    <s v="M "/>
    <s v="Middle Grade Group 7-8"/>
    <s v="PS42MS"/>
    <s v="PSES Mid Prog01Duty42 S275"/>
    <n v="1"/>
    <x v="5"/>
    <n v="42"/>
    <m/>
    <s v="   "/>
    <n v="1"/>
    <n v="0.20039999999999999"/>
    <n v="0"/>
    <s v="Middle Counselor"/>
    <x v="5"/>
  </r>
  <r>
    <s v="14028"/>
    <x v="66"/>
    <s v="Personnel"/>
    <s v="E "/>
    <s v="Elementary Grade Group K-6"/>
    <s v="PS46E21S"/>
    <s v="PSES Elem Prog21Duty46 S275"/>
    <n v="21"/>
    <x v="8"/>
    <n v="46"/>
    <m/>
    <s v="   "/>
    <n v="1"/>
    <n v="0.20039999999999999"/>
    <n v="0.2"/>
    <s v="Elementary Psychologist"/>
    <x v="8"/>
  </r>
  <r>
    <s v="14028"/>
    <x v="66"/>
    <s v="Personnel"/>
    <s v="H "/>
    <s v="High Grade Group 9-12"/>
    <s v="PS46H21S"/>
    <s v="PSES High Prog21Duty46 S275"/>
    <n v="21"/>
    <x v="8"/>
    <n v="46"/>
    <m/>
    <s v="   "/>
    <n v="0.4"/>
    <n v="0.20039999999999999"/>
    <n v="0.08"/>
    <s v="High Psychologist"/>
    <x v="8"/>
  </r>
  <r>
    <s v="14028"/>
    <x v="66"/>
    <s v="Personnel"/>
    <s v="M "/>
    <s v="Middle Grade Group 7-8"/>
    <s v="PS46M21S"/>
    <s v="PSES Mid Prog21Duty46 S275"/>
    <n v="21"/>
    <x v="8"/>
    <n v="46"/>
    <m/>
    <s v="   "/>
    <n v="0.6"/>
    <n v="0.20039999999999999"/>
    <n v="0.12"/>
    <s v="Middle Psychologist"/>
    <x v="8"/>
  </r>
  <r>
    <s v="14028"/>
    <x v="66"/>
    <s v="Personnel"/>
    <s v="E "/>
    <s v="Elementary Grade Group K-6"/>
    <s v="PS47ES"/>
    <s v="PSES Elem Prog01Duty47 S275"/>
    <n v="1"/>
    <x v="9"/>
    <n v="47"/>
    <m/>
    <s v="   "/>
    <n v="1"/>
    <n v="0.20039999999999999"/>
    <n v="0"/>
    <s v="Elementary Nurse"/>
    <x v="9"/>
  </r>
  <r>
    <s v="14028"/>
    <x v="66"/>
    <s v="Personnel"/>
    <s v="E "/>
    <s v="Elementary Grade Group K-6"/>
    <s v="PS64E21S"/>
    <s v="PSES Elem Prog21Duty64 S275"/>
    <n v="21"/>
    <x v="12"/>
    <n v="64"/>
    <m/>
    <s v="   "/>
    <n v="5.5389999999999997"/>
    <n v="0.20039999999999999"/>
    <n v="1.1100000000000001"/>
    <s v="Elementary Contractor ESA"/>
    <x v="12"/>
  </r>
  <r>
    <s v="14028"/>
    <x v="66"/>
    <s v="Personnel"/>
    <s v="H "/>
    <s v="High Grade Group 9-12"/>
    <s v="PS64H21S"/>
    <s v="PSES High Prog21Duty64 S275"/>
    <n v="21"/>
    <x v="12"/>
    <n v="64"/>
    <m/>
    <s v="   "/>
    <n v="2.0209999999999999"/>
    <n v="0.20039999999999999"/>
    <n v="0.40500000000000003"/>
    <s v="High Contractor ESA"/>
    <x v="12"/>
  </r>
  <r>
    <s v="14028"/>
    <x v="66"/>
    <s v="Personnel"/>
    <s v="M "/>
    <s v="Middle Grade Group 7-8"/>
    <s v="PS64M21S"/>
    <s v="PSES Mid Prog21Duty64 S275"/>
    <n v="21"/>
    <x v="12"/>
    <n v="64"/>
    <m/>
    <s v="   "/>
    <n v="1.44"/>
    <n v="0.20039999999999999"/>
    <n v="0.28899999999999998"/>
    <s v="Middle Contractor ESA"/>
    <x v="12"/>
  </r>
  <r>
    <s v="14064"/>
    <x v="67"/>
    <s v="Personnel"/>
    <s v="H "/>
    <s v="High Grade Group 9-12"/>
    <s v="PS24HS"/>
    <s v="PSES High Prog01Duty96 S275"/>
    <n v="1"/>
    <x v="0"/>
    <n v="96"/>
    <n v="24"/>
    <s v="   "/>
    <n v="0.80800000000000005"/>
    <n v="0.20499999999999999"/>
    <n v="0"/>
    <s v="High Family Engagement Coordinator"/>
    <x v="0"/>
  </r>
  <r>
    <s v="14064"/>
    <x v="67"/>
    <s v="Personnel"/>
    <s v="E "/>
    <s v="Elementary Grade Group K-6"/>
    <s v="PS42ES"/>
    <s v="PSES Elem Prog01Duty42 S275"/>
    <n v="1"/>
    <x v="5"/>
    <n v="42"/>
    <m/>
    <s v="   "/>
    <n v="1.1599999999999999"/>
    <n v="0.20499999999999999"/>
    <n v="0"/>
    <s v="Elementary Counselor"/>
    <x v="5"/>
  </r>
  <r>
    <s v="14064"/>
    <x v="67"/>
    <s v="Personnel"/>
    <s v="H "/>
    <s v="High Grade Group 9-12"/>
    <s v="PS42HS"/>
    <s v="PSES High Prog01Duty42 S275"/>
    <n v="1"/>
    <x v="5"/>
    <n v="42"/>
    <m/>
    <s v="   "/>
    <n v="0.46400000000000002"/>
    <n v="0.20499999999999999"/>
    <n v="0"/>
    <s v="High Counselor"/>
    <x v="5"/>
  </r>
  <r>
    <s v="14064"/>
    <x v="67"/>
    <s v="Personnel"/>
    <s v="E "/>
    <s v="Elementary Grade Group K-6"/>
    <s v="PS45E21S"/>
    <s v="PSES Elem Prog21Duty45 S275"/>
    <n v="21"/>
    <x v="7"/>
    <n v="45"/>
    <m/>
    <s v="   "/>
    <n v="0.5"/>
    <n v="0.20499999999999999"/>
    <n v="0.10299999999999999"/>
    <s v="Elementary Speech, Language Pathway/_x000a_Audio"/>
    <x v="7"/>
  </r>
  <r>
    <s v="14064"/>
    <x v="67"/>
    <s v="Personnel"/>
    <s v="H "/>
    <s v="High Grade Group 9-12"/>
    <s v="PS45H21S"/>
    <s v="PSES High Prog21Duty45 S275"/>
    <n v="21"/>
    <x v="7"/>
    <n v="45"/>
    <m/>
    <s v="   "/>
    <n v="0.25"/>
    <n v="0.20499999999999999"/>
    <n v="5.0999999999999997E-2"/>
    <s v="High Speech, Language Pathway/_x000a_Audio"/>
    <x v="7"/>
  </r>
  <r>
    <s v="14064"/>
    <x v="67"/>
    <s v="Personnel"/>
    <s v="M "/>
    <s v="Middle Grade Group 7-8"/>
    <s v="PS45M21S"/>
    <s v="PSES Mid Prog21Duty45 S275"/>
    <n v="21"/>
    <x v="7"/>
    <n v="45"/>
    <m/>
    <s v="   "/>
    <n v="0.25"/>
    <n v="0.20499999999999999"/>
    <n v="5.0999999999999997E-2"/>
    <s v="Middle Speech, Language Pathway/_x000a_Audio"/>
    <x v="7"/>
  </r>
  <r>
    <s v="14065"/>
    <x v="68"/>
    <s v="Personnel"/>
    <s v="E "/>
    <s v="Elementary Grade Group K-6"/>
    <s v="PS25ES"/>
    <s v="PSES Elem Prog01Act25 S275"/>
    <n v="1"/>
    <x v="1"/>
    <m/>
    <n v="25"/>
    <s v="   "/>
    <n v="0.40699999999999997"/>
    <n v="0.17599999999999999"/>
    <n v="0"/>
    <s v="Elementary Pupil Management"/>
    <x v="1"/>
  </r>
  <r>
    <s v="14065"/>
    <x v="68"/>
    <s v="Personnel"/>
    <s v="H "/>
    <s v="High Grade Group 9-12"/>
    <s v="PS25HS"/>
    <s v="PSES High Prog01Act25 S275"/>
    <n v="1"/>
    <x v="1"/>
    <m/>
    <n v="25"/>
    <s v="   "/>
    <n v="0.35299999999999998"/>
    <n v="0.17599999999999999"/>
    <n v="0"/>
    <s v="High Pupil Management"/>
    <x v="1"/>
  </r>
  <r>
    <s v="14065"/>
    <x v="68"/>
    <s v="Personnel"/>
    <s v="M "/>
    <s v="Middle Grade Group 7-8"/>
    <s v="PS25MS"/>
    <s v="PSES Mid Prog01Act25 S275"/>
    <n v="1"/>
    <x v="1"/>
    <m/>
    <n v="25"/>
    <s v="   "/>
    <n v="6.5000000000000002E-2"/>
    <n v="0.17599999999999999"/>
    <n v="0"/>
    <s v="Middle Pupil Management"/>
    <x v="1"/>
  </r>
  <r>
    <s v="14065"/>
    <x v="68"/>
    <s v="Personnel"/>
    <s v="E "/>
    <s v="Elementary Grade Group K-6"/>
    <s v="PS42ES"/>
    <s v="PSES Elem Prog01Duty42 S275"/>
    <n v="1"/>
    <x v="5"/>
    <n v="42"/>
    <m/>
    <s v="   "/>
    <n v="0.45"/>
    <n v="0.17599999999999999"/>
    <n v="0"/>
    <s v="Elementary Counselor"/>
    <x v="5"/>
  </r>
  <r>
    <s v="14065"/>
    <x v="68"/>
    <s v="Personnel"/>
    <s v="M "/>
    <s v="Middle Grade Group 7-8"/>
    <s v="PS42MS"/>
    <s v="PSES Mid Prog01Duty42 S275"/>
    <n v="1"/>
    <x v="5"/>
    <n v="42"/>
    <m/>
    <s v="   "/>
    <n v="0.15"/>
    <n v="0.17599999999999999"/>
    <n v="0"/>
    <s v="Middle Counselor"/>
    <x v="5"/>
  </r>
  <r>
    <s v="14066"/>
    <x v="69"/>
    <s v="Personnel"/>
    <s v="E "/>
    <s v="Elementary Grade Group K-6"/>
    <s v="PS25ES"/>
    <s v="PSES Elem Prog01Act25 S275"/>
    <n v="1"/>
    <x v="1"/>
    <m/>
    <n v="25"/>
    <s v="   "/>
    <n v="9.4E-2"/>
    <n v="0.2341"/>
    <n v="0"/>
    <s v="Elementary Pupil Management"/>
    <x v="1"/>
  </r>
  <r>
    <s v="14066"/>
    <x v="69"/>
    <s v="Personnel"/>
    <s v="H "/>
    <s v="High Grade Group 9-12"/>
    <s v="PS25H21S"/>
    <s v="PSES High Prog21Act25 S275"/>
    <n v="21"/>
    <x v="1"/>
    <m/>
    <n v="25"/>
    <s v="   "/>
    <n v="1.4419999999999999"/>
    <n v="0.2341"/>
    <n v="0.33800000000000002"/>
    <s v="High Pupil Management"/>
    <x v="1"/>
  </r>
  <r>
    <s v="14066"/>
    <x v="69"/>
    <s v="Personnel"/>
    <s v="H "/>
    <s v="High Grade Group 9-12"/>
    <s v="PS25HS"/>
    <s v="PSES High Prog01Act25 S275"/>
    <n v="1"/>
    <x v="1"/>
    <m/>
    <n v="25"/>
    <s v="   "/>
    <n v="2.129"/>
    <n v="0.2341"/>
    <n v="0"/>
    <s v="High Pupil Management"/>
    <x v="1"/>
  </r>
  <r>
    <s v="14066"/>
    <x v="69"/>
    <s v="Personnel"/>
    <s v="H "/>
    <s v="High Grade Group 9-12"/>
    <s v="PS26H21S"/>
    <s v="PSES High Prog21Act26 S275"/>
    <n v="21"/>
    <x v="2"/>
    <m/>
    <n v="26"/>
    <s v="   "/>
    <n v="0.59399999999999997"/>
    <n v="0.2341"/>
    <n v="0.13900000000000001"/>
    <s v="High Health/_x000a_Related Services"/>
    <x v="2"/>
  </r>
  <r>
    <s v="14066"/>
    <x v="69"/>
    <s v="Personnel"/>
    <s v="H "/>
    <s v="High Grade Group 9-12"/>
    <s v="PS26HS"/>
    <s v="PSES High Prog01Act26 S275"/>
    <n v="1"/>
    <x v="2"/>
    <m/>
    <n v="26"/>
    <s v="   "/>
    <n v="2.665"/>
    <n v="0.2341"/>
    <n v="0"/>
    <s v="High Health/_x000a_Related Services"/>
    <x v="2"/>
  </r>
  <r>
    <s v="14066"/>
    <x v="69"/>
    <s v="Personnel"/>
    <s v="E "/>
    <s v="Elementary Grade Group K-6"/>
    <s v="PS42ES"/>
    <s v="PSES Elem Prog01Duty42 S275"/>
    <n v="1"/>
    <x v="5"/>
    <n v="42"/>
    <m/>
    <s v="   "/>
    <n v="2"/>
    <n v="0.2341"/>
    <n v="0"/>
    <s v="Elementary Counselor"/>
    <x v="5"/>
  </r>
  <r>
    <s v="14066"/>
    <x v="69"/>
    <s v="Personnel"/>
    <s v="M "/>
    <s v="Middle Grade Group 7-8"/>
    <s v="PS42MS"/>
    <s v="PSES Mid Prog01Duty42 S275"/>
    <n v="1"/>
    <x v="5"/>
    <n v="42"/>
    <m/>
    <s v="   "/>
    <n v="1.34"/>
    <n v="0.2341"/>
    <n v="0"/>
    <s v="Middle Counselor"/>
    <x v="5"/>
  </r>
  <r>
    <s v="14066"/>
    <x v="69"/>
    <s v="Personnel"/>
    <s v="E "/>
    <s v="Elementary Grade Group K-6"/>
    <s v="PS45E21S"/>
    <s v="PSES Elem Prog21Duty45 S275"/>
    <n v="21"/>
    <x v="7"/>
    <n v="45"/>
    <m/>
    <s v="   "/>
    <n v="1"/>
    <n v="0.2341"/>
    <n v="0.23400000000000001"/>
    <s v="Elementary Speech, Language Pathway/_x000a_Audio"/>
    <x v="7"/>
  </r>
  <r>
    <s v="14066"/>
    <x v="69"/>
    <s v="Personnel"/>
    <s v="E "/>
    <s v="Elementary Grade Group K-6"/>
    <s v="PS46E21S"/>
    <s v="PSES Elem Prog21Duty46 S275"/>
    <n v="21"/>
    <x v="8"/>
    <n v="46"/>
    <m/>
    <s v="   "/>
    <n v="1"/>
    <n v="0.2341"/>
    <n v="0.23400000000000001"/>
    <s v="Elementary Psychologist"/>
    <x v="8"/>
  </r>
  <r>
    <s v="14066"/>
    <x v="69"/>
    <s v="Personnel"/>
    <s v="E "/>
    <s v="Elementary Grade Group K-6"/>
    <s v="PS48E21S"/>
    <s v="PSES Elem Prog21Duty48 S275"/>
    <n v="21"/>
    <x v="11"/>
    <n v="48"/>
    <m/>
    <s v="   "/>
    <n v="1"/>
    <n v="0.2341"/>
    <n v="0.23400000000000001"/>
    <s v="Elementary Physical Therapist"/>
    <x v="11"/>
  </r>
  <r>
    <s v="14066"/>
    <x v="69"/>
    <s v="Personnel"/>
    <m/>
    <s v="Elementary Grade Group K-6"/>
    <s v="PS25E09S"/>
    <s v="PSES Elem Prog09Duty25 S275"/>
    <n v="9"/>
    <x v="1"/>
    <n v="91"/>
    <n v="25"/>
    <m/>
    <n v="0.13700000000000001"/>
    <n v="0.2341"/>
    <n v="0"/>
    <s v="TK Pupil Management"/>
    <x v="1"/>
  </r>
  <r>
    <s v="14066"/>
    <x v="69"/>
    <s v="Personnel"/>
    <m/>
    <s v="Elementary Grade Group K-6"/>
    <s v="PS25E09S"/>
    <s v="PSES Elem Prog09Duty25 S275"/>
    <n v="9"/>
    <x v="1"/>
    <n v="91"/>
    <n v="25"/>
    <m/>
    <n v="0.13700000000000001"/>
    <n v="0.2341"/>
    <n v="0"/>
    <s v="TK Pupil Management"/>
    <x v="1"/>
  </r>
  <r>
    <s v="14066"/>
    <x v="69"/>
    <s v="Personnel"/>
    <m/>
    <s v="Elementary Grade Group K-6"/>
    <s v="PS25E09S"/>
    <s v="PSES Elem Prog09Duty25 S275"/>
    <n v="9"/>
    <x v="1"/>
    <n v="91"/>
    <n v="25"/>
    <m/>
    <n v="0.13700000000000001"/>
    <n v="0.2341"/>
    <n v="0"/>
    <s v="TK Pupil Management"/>
    <x v="1"/>
  </r>
  <r>
    <s v="14066"/>
    <x v="69"/>
    <s v="Personnel"/>
    <m/>
    <s v="Elementary Grade Group K-6"/>
    <s v="PS25E09S"/>
    <s v="PSES Elem Prog09Duty25 S275"/>
    <n v="9"/>
    <x v="1"/>
    <n v="91"/>
    <n v="25"/>
    <m/>
    <n v="9.2999999999999999E-2"/>
    <n v="0.2341"/>
    <n v="0"/>
    <s v="TK Pupil Management"/>
    <x v="1"/>
  </r>
  <r>
    <s v="14066"/>
    <x v="69"/>
    <s v="Personnel"/>
    <m/>
    <s v="Elementary Grade Group K-6"/>
    <s v="PS25E09S"/>
    <s v="PSES Elem Prog09Duty25 S275"/>
    <n v="9"/>
    <x v="1"/>
    <n v="91"/>
    <n v="25"/>
    <m/>
    <n v="0.16"/>
    <n v="0.2341"/>
    <n v="0"/>
    <s v="TK Pupil Management"/>
    <x v="1"/>
  </r>
  <r>
    <s v="14068"/>
    <x v="70"/>
    <s v="Personnel"/>
    <s v="H "/>
    <s v="High Grade Group 9-12"/>
    <s v="PS26HS"/>
    <s v="PSES High Prog01Act26 S275"/>
    <n v="1"/>
    <x v="2"/>
    <m/>
    <n v="26"/>
    <s v="   "/>
    <n v="0.63900000000000001"/>
    <n v="0.25609999999999999"/>
    <n v="0"/>
    <s v="High Health/_x000a_Related Services"/>
    <x v="2"/>
  </r>
  <r>
    <s v="14068"/>
    <x v="70"/>
    <s v="Personnel"/>
    <s v="M "/>
    <s v="Middle Grade Group 7-8"/>
    <s v="PS26MS"/>
    <s v="PSES Mid Prog01Act26 S275"/>
    <n v="1"/>
    <x v="2"/>
    <m/>
    <n v="26"/>
    <s v="   "/>
    <n v="0.63900000000000001"/>
    <n v="0.25609999999999999"/>
    <n v="0"/>
    <s v="Middle Health/_x000a_Related Services"/>
    <x v="2"/>
  </r>
  <r>
    <s v="14068"/>
    <x v="70"/>
    <s v="Personnel"/>
    <s v="E "/>
    <s v="Elementary Grade Group K-6"/>
    <s v="PS42ES"/>
    <s v="PSES Elem Prog01Duty42 S275"/>
    <n v="1"/>
    <x v="5"/>
    <n v="42"/>
    <m/>
    <s v="   "/>
    <n v="1"/>
    <n v="0.25609999999999999"/>
    <n v="0"/>
    <s v="Elementary Counselor"/>
    <x v="5"/>
  </r>
  <r>
    <s v="14068"/>
    <x v="70"/>
    <s v="Personnel"/>
    <s v="H "/>
    <s v="High Grade Group 9-12"/>
    <s v="PS42HS"/>
    <s v="PSES High Prog01Duty42 S275"/>
    <n v="1"/>
    <x v="5"/>
    <n v="42"/>
    <m/>
    <s v="   "/>
    <n v="0.78"/>
    <n v="0.25609999999999999"/>
    <n v="0"/>
    <s v="High Counselor"/>
    <x v="5"/>
  </r>
  <r>
    <s v="14068"/>
    <x v="70"/>
    <s v="Personnel"/>
    <s v="M "/>
    <s v="Middle Grade Group 7-8"/>
    <s v="PS42MS"/>
    <s v="PSES Mid Prog01Duty42 S275"/>
    <n v="1"/>
    <x v="5"/>
    <n v="42"/>
    <m/>
    <s v="   "/>
    <n v="0.79"/>
    <n v="0.25609999999999999"/>
    <n v="0"/>
    <s v="Middle Counselor"/>
    <x v="5"/>
  </r>
  <r>
    <s v="14068"/>
    <x v="70"/>
    <s v="Personnel"/>
    <s v="E "/>
    <s v="Elementary Grade Group K-6"/>
    <s v="PS45E21S"/>
    <s v="PSES Elem Prog21Duty45 S275"/>
    <n v="21"/>
    <x v="7"/>
    <n v="45"/>
    <m/>
    <s v="   "/>
    <n v="0.75"/>
    <n v="0.25609999999999999"/>
    <n v="0.192"/>
    <s v="Elementary Speech, Language Pathway/_x000a_Audio"/>
    <x v="7"/>
  </r>
  <r>
    <s v="14068"/>
    <x v="70"/>
    <s v="Personnel"/>
    <s v="H "/>
    <s v="High Grade Group 9-12"/>
    <s v="PS45H21S"/>
    <s v="PSES High Prog21Duty45 S275"/>
    <n v="21"/>
    <x v="7"/>
    <n v="45"/>
    <m/>
    <s v="   "/>
    <n v="0.15"/>
    <n v="0.25609999999999999"/>
    <n v="3.7999999999999999E-2"/>
    <s v="High Speech, Language Pathway/_x000a_Audio"/>
    <x v="7"/>
  </r>
  <r>
    <s v="14068"/>
    <x v="70"/>
    <s v="Personnel"/>
    <s v="M "/>
    <s v="Middle Grade Group 7-8"/>
    <s v="PS45M21S"/>
    <s v="PSES Mid Prog21Duty45 S275"/>
    <n v="21"/>
    <x v="7"/>
    <n v="45"/>
    <m/>
    <s v="   "/>
    <n v="0.1"/>
    <n v="0.25609999999999999"/>
    <n v="2.5999999999999999E-2"/>
    <s v="Middle Speech, Language Pathway/_x000a_Audio"/>
    <x v="7"/>
  </r>
  <r>
    <s v="14068"/>
    <x v="70"/>
    <s v="Personnel"/>
    <s v="E "/>
    <s v="Elementary Grade Group K-6"/>
    <s v="PS46E21S"/>
    <s v="PSES Elem Prog21Duty46 S275"/>
    <n v="21"/>
    <x v="8"/>
    <n v="46"/>
    <m/>
    <s v="   "/>
    <n v="0.33"/>
    <n v="0.25609999999999999"/>
    <n v="8.5000000000000006E-2"/>
    <s v="Elementary Psychologist"/>
    <x v="8"/>
  </r>
  <r>
    <s v="14068"/>
    <x v="70"/>
    <s v="Personnel"/>
    <s v="H "/>
    <s v="High Grade Group 9-12"/>
    <s v="PS46H21S"/>
    <s v="PSES High Prog21Duty46 S275"/>
    <n v="21"/>
    <x v="8"/>
    <n v="46"/>
    <m/>
    <s v="   "/>
    <n v="0.5"/>
    <n v="0.25609999999999999"/>
    <n v="0.128"/>
    <s v="High Psychologist"/>
    <x v="8"/>
  </r>
  <r>
    <s v="14068"/>
    <x v="70"/>
    <s v="Personnel"/>
    <s v="M "/>
    <s v="Middle Grade Group 7-8"/>
    <s v="PS46M21S"/>
    <s v="PSES Mid Prog21Duty46 S275"/>
    <n v="21"/>
    <x v="8"/>
    <n v="46"/>
    <m/>
    <s v="   "/>
    <n v="0.83"/>
    <n v="0.25609999999999999"/>
    <n v="0.21299999999999999"/>
    <s v="Middle Psychologist"/>
    <x v="8"/>
  </r>
  <r>
    <s v="14077"/>
    <x v="71"/>
    <s v="Personnel"/>
    <s v="E "/>
    <s v="Elementary Grade Group K-6"/>
    <s v="PS26E21S"/>
    <s v="PSES Elem Prog21Act26 S275"/>
    <n v="21"/>
    <x v="2"/>
    <m/>
    <n v="26"/>
    <s v="   "/>
    <n v="0.222"/>
    <n v="0.1137"/>
    <n v="2.5000000000000001E-2"/>
    <s v="Elementary Health/_x000a_Related Services"/>
    <x v="2"/>
  </r>
  <r>
    <s v="14077"/>
    <x v="71"/>
    <s v="Personnel"/>
    <s v="H "/>
    <s v="High Grade Group 9-12"/>
    <s v="PS26HS"/>
    <s v="PSES High Prog01Act26 S275"/>
    <n v="1"/>
    <x v="2"/>
    <m/>
    <n v="26"/>
    <s v="   "/>
    <n v="1.224"/>
    <n v="0.1137"/>
    <n v="0"/>
    <s v="High Health/_x000a_Related Services"/>
    <x v="2"/>
  </r>
  <r>
    <s v="14097"/>
    <x v="72"/>
    <s v="Personnel"/>
    <s v="E "/>
    <s v="Elementary Grade Group K-6"/>
    <s v="PS25ES"/>
    <s v="PSES Elem Prog01Act25 S275"/>
    <n v="1"/>
    <x v="1"/>
    <m/>
    <n v="25"/>
    <s v="   "/>
    <n v="0.16800000000000001"/>
    <n v="0.1913"/>
    <n v="0"/>
    <s v="Elementary Pupil Management"/>
    <x v="1"/>
  </r>
  <r>
    <s v="14097"/>
    <x v="72"/>
    <s v="Personnel"/>
    <s v="H "/>
    <s v="High Grade Group 9-12"/>
    <s v="PS25HS"/>
    <s v="PSES High Prog01Act25 S275"/>
    <n v="1"/>
    <x v="1"/>
    <m/>
    <n v="25"/>
    <s v="   "/>
    <n v="0.34300000000000003"/>
    <n v="0.1913"/>
    <n v="0"/>
    <s v="High Pupil Management"/>
    <x v="1"/>
  </r>
  <r>
    <s v="14097"/>
    <x v="72"/>
    <s v="Personnel"/>
    <s v="H "/>
    <s v="High Grade Group 9-12"/>
    <s v="PS42HS"/>
    <s v="PSES High Prog01Duty42 S275"/>
    <n v="1"/>
    <x v="5"/>
    <n v="42"/>
    <m/>
    <s v="   "/>
    <n v="0.3"/>
    <n v="0.1913"/>
    <n v="0"/>
    <s v="High Counselor"/>
    <x v="5"/>
  </r>
  <r>
    <s v="14099"/>
    <x v="73"/>
    <s v="Personnel"/>
    <s v="E "/>
    <s v="Elementary Grade Group K-6"/>
    <s v="PS24ES"/>
    <s v="PSES Elem Prog01Duty96 S275"/>
    <n v="1"/>
    <x v="0"/>
    <n v="96"/>
    <n v="24"/>
    <s v="   "/>
    <n v="0.36299999999999999"/>
    <n v="0.26879999999999998"/>
    <n v="0"/>
    <s v="Elementary Family Engagement Coordinator"/>
    <x v="0"/>
  </r>
  <r>
    <s v="14099"/>
    <x v="73"/>
    <s v="Personnel"/>
    <s v="H "/>
    <s v="High Grade Group 9-12"/>
    <s v="PS25HS"/>
    <s v="PSES High Prog01Act25 S275"/>
    <n v="1"/>
    <x v="1"/>
    <m/>
    <n v="25"/>
    <s v="   "/>
    <n v="0.88300000000000001"/>
    <n v="0.26879999999999998"/>
    <n v="0"/>
    <s v="High Pupil Management"/>
    <x v="1"/>
  </r>
  <r>
    <s v="14099"/>
    <x v="73"/>
    <s v="Personnel"/>
    <s v="E "/>
    <s v="Elementary Grade Group K-6"/>
    <s v="PS42ES"/>
    <s v="PSES Elem Prog01Duty42 S275"/>
    <n v="1"/>
    <x v="5"/>
    <n v="42"/>
    <m/>
    <s v="   "/>
    <n v="0.57199999999999995"/>
    <n v="0.26879999999999998"/>
    <n v="0"/>
    <s v="Elementary Counselor"/>
    <x v="5"/>
  </r>
  <r>
    <s v="14099"/>
    <x v="73"/>
    <s v="Personnel"/>
    <s v="E "/>
    <s v="Elementary Grade Group K-6"/>
    <s v="PS64E21S"/>
    <s v="PSES Elem Prog21Duty64 S275"/>
    <n v="21"/>
    <x v="12"/>
    <n v="64"/>
    <m/>
    <s v="   "/>
    <n v="0.20599999999999999"/>
    <n v="0.26879999999999998"/>
    <n v="5.5E-2"/>
    <s v="Elementary Contractor ESA"/>
    <x v="12"/>
  </r>
  <r>
    <s v="14117"/>
    <x v="74"/>
    <s v="Personnel"/>
    <s v="H "/>
    <s v="High Grade Group 9-12"/>
    <s v="PS42HS"/>
    <s v="PSES High Prog01Duty42 S275"/>
    <n v="1"/>
    <x v="5"/>
    <n v="42"/>
    <m/>
    <s v="   "/>
    <n v="0.53300000000000003"/>
    <n v="0.1414"/>
    <n v="0"/>
    <s v="High Counselor"/>
    <x v="5"/>
  </r>
  <r>
    <s v="14172"/>
    <x v="75"/>
    <s v="Personnel"/>
    <s v="H "/>
    <s v="High Grade Group 9-12"/>
    <s v="PS25HS"/>
    <s v="PSES High Prog01Act25 S275"/>
    <n v="1"/>
    <x v="1"/>
    <m/>
    <n v="25"/>
    <s v="   "/>
    <n v="0.626"/>
    <n v="0.16159999999999999"/>
    <n v="0"/>
    <s v="High Pupil Management"/>
    <x v="1"/>
  </r>
  <r>
    <s v="14172"/>
    <x v="75"/>
    <s v="Personnel"/>
    <s v="E "/>
    <s v="Elementary Grade Group K-6"/>
    <s v="PS42ES"/>
    <s v="PSES Elem Prog01Duty42 S275"/>
    <n v="1"/>
    <x v="5"/>
    <n v="42"/>
    <m/>
    <s v="   "/>
    <n v="1"/>
    <n v="0.16159999999999999"/>
    <n v="0"/>
    <s v="Elementary Counselor"/>
    <x v="5"/>
  </r>
  <r>
    <s v="14172"/>
    <x v="75"/>
    <s v="Personnel"/>
    <s v="H "/>
    <s v="High Grade Group 9-12"/>
    <s v="PS42HS"/>
    <s v="PSES High Prog01Duty42 S275"/>
    <n v="1"/>
    <x v="5"/>
    <n v="42"/>
    <m/>
    <s v="   "/>
    <n v="0.5"/>
    <n v="0.16159999999999999"/>
    <n v="0"/>
    <s v="High Counselor"/>
    <x v="5"/>
  </r>
  <r>
    <s v="14172"/>
    <x v="75"/>
    <s v="Personnel"/>
    <s v="M "/>
    <s v="Middle Grade Group 7-8"/>
    <s v="PS42MS"/>
    <s v="PSES Mid Prog01Duty42 S275"/>
    <n v="1"/>
    <x v="5"/>
    <n v="42"/>
    <m/>
    <s v="   "/>
    <n v="0.5"/>
    <n v="0.16159999999999999"/>
    <n v="0"/>
    <s v="Middle Counselor"/>
    <x v="5"/>
  </r>
  <r>
    <s v="14400"/>
    <x v="76"/>
    <s v="Personnel"/>
    <s v="H "/>
    <s v="High Grade Group 9-12"/>
    <s v="PS26H21S"/>
    <s v="PSES High Prog21Act26 S275"/>
    <n v="21"/>
    <x v="2"/>
    <m/>
    <n v="26"/>
    <s v="   "/>
    <n v="0.251"/>
    <n v="0.18340000000000001"/>
    <n v="4.5999999999999999E-2"/>
    <s v="High Health/_x000a_Related Services"/>
    <x v="2"/>
  </r>
  <r>
    <s v="14400"/>
    <x v="76"/>
    <s v="Personnel"/>
    <s v="E "/>
    <s v="Elementary Grade Group K-6"/>
    <s v="PS42ES"/>
    <s v="PSES Elem Prog01Duty42 S275"/>
    <n v="1"/>
    <x v="5"/>
    <n v="42"/>
    <m/>
    <s v="   "/>
    <n v="0.5"/>
    <n v="0.18340000000000001"/>
    <n v="0"/>
    <s v="Elementary Counselor"/>
    <x v="5"/>
  </r>
  <r>
    <s v="14400"/>
    <x v="76"/>
    <s v="Personnel"/>
    <s v="H "/>
    <s v="High Grade Group 9-12"/>
    <s v="PS42HS"/>
    <s v="PSES High Prog01Duty42 S275"/>
    <n v="1"/>
    <x v="5"/>
    <n v="42"/>
    <m/>
    <s v="   "/>
    <n v="0.33300000000000002"/>
    <n v="0.18340000000000001"/>
    <n v="0"/>
    <s v="High Counselor"/>
    <x v="5"/>
  </r>
  <r>
    <s v="14400"/>
    <x v="76"/>
    <s v="Personnel"/>
    <s v="M "/>
    <s v="Middle Grade Group 7-8"/>
    <s v="PS42MS"/>
    <s v="PSES Mid Prog01Duty42 S275"/>
    <n v="1"/>
    <x v="5"/>
    <n v="42"/>
    <m/>
    <s v="   "/>
    <n v="0.16700000000000001"/>
    <n v="0.18340000000000001"/>
    <n v="0"/>
    <s v="Middle Counselor"/>
    <x v="5"/>
  </r>
  <r>
    <s v="14400"/>
    <x v="76"/>
    <s v="Personnel"/>
    <s v="E "/>
    <s v="Elementary Grade Group K-6"/>
    <s v="PS43E21S"/>
    <s v="PSES Elem Prog21Duty43 S275"/>
    <n v="21"/>
    <x v="6"/>
    <n v="43"/>
    <m/>
    <s v="   "/>
    <n v="0.65"/>
    <n v="0.18340000000000001"/>
    <n v="0.11899999999999999"/>
    <s v="Elementary Occupational Therapist"/>
    <x v="6"/>
  </r>
  <r>
    <s v="14400"/>
    <x v="76"/>
    <s v="Personnel"/>
    <s v="H "/>
    <s v="High Grade Group 9-12"/>
    <s v="PS43H21S"/>
    <s v="PSES High Prog21Duty43 S275"/>
    <n v="21"/>
    <x v="6"/>
    <n v="43"/>
    <m/>
    <s v="   "/>
    <n v="0.2"/>
    <n v="0.18340000000000001"/>
    <n v="3.6999999999999998E-2"/>
    <s v="High Occupational Therapist"/>
    <x v="6"/>
  </r>
  <r>
    <s v="14400"/>
    <x v="76"/>
    <s v="Personnel"/>
    <s v="M "/>
    <s v="Middle Grade Group 7-8"/>
    <s v="PS43M21S"/>
    <s v="PSES Mid Prog21Duty43 S275"/>
    <n v="21"/>
    <x v="6"/>
    <n v="43"/>
    <m/>
    <s v="   "/>
    <n v="0.05"/>
    <n v="0.18340000000000001"/>
    <n v="8.9999999999999993E-3"/>
    <s v="Middle Occupational Therapist"/>
    <x v="6"/>
  </r>
  <r>
    <s v="14400"/>
    <x v="76"/>
    <s v="Personnel"/>
    <s v="E "/>
    <s v="Elementary Grade Group K-6"/>
    <s v="PS45E21S"/>
    <s v="PSES Elem Prog21Duty45 S275"/>
    <n v="21"/>
    <x v="7"/>
    <n v="45"/>
    <m/>
    <s v="   "/>
    <n v="0.52"/>
    <n v="0.18340000000000001"/>
    <n v="9.5000000000000001E-2"/>
    <s v="Elementary Speech, Language Pathway/_x000a_Audio"/>
    <x v="7"/>
  </r>
  <r>
    <s v="14400"/>
    <x v="76"/>
    <s v="Personnel"/>
    <s v="H "/>
    <s v="High Grade Group 9-12"/>
    <s v="PS45H21S"/>
    <s v="PSES High Prog21Duty45 S275"/>
    <n v="21"/>
    <x v="7"/>
    <n v="45"/>
    <m/>
    <s v="   "/>
    <n v="0.16"/>
    <n v="0.18340000000000001"/>
    <n v="2.9000000000000001E-2"/>
    <s v="High Speech, Language Pathway/_x000a_Audio"/>
    <x v="7"/>
  </r>
  <r>
    <s v="14400"/>
    <x v="76"/>
    <s v="Personnel"/>
    <s v="M "/>
    <s v="Middle Grade Group 7-8"/>
    <s v="PS45M21S"/>
    <s v="PSES Mid Prog21Duty45 S275"/>
    <n v="21"/>
    <x v="7"/>
    <n v="45"/>
    <m/>
    <s v="   "/>
    <n v="0.04"/>
    <n v="0.18340000000000001"/>
    <n v="7.0000000000000001E-3"/>
    <s v="Middle Speech, Language Pathway/_x000a_Audio"/>
    <x v="7"/>
  </r>
  <r>
    <s v="14400"/>
    <x v="76"/>
    <s v="Personnel"/>
    <s v="E "/>
    <s v="Elementary Grade Group K-6"/>
    <s v="PS46E21S"/>
    <s v="PSES Elem Prog21Duty46 S275"/>
    <n v="21"/>
    <x v="8"/>
    <n v="46"/>
    <m/>
    <s v="   "/>
    <n v="0.32500000000000001"/>
    <n v="0.18340000000000001"/>
    <n v="0.06"/>
    <s v="Elementary Psychologist"/>
    <x v="8"/>
  </r>
  <r>
    <s v="14400"/>
    <x v="76"/>
    <s v="Personnel"/>
    <s v="H "/>
    <s v="High Grade Group 9-12"/>
    <s v="PS46H21S"/>
    <s v="PSES High Prog21Duty46 S275"/>
    <n v="21"/>
    <x v="8"/>
    <n v="46"/>
    <m/>
    <s v="   "/>
    <n v="0.1"/>
    <n v="0.18340000000000001"/>
    <n v="1.7999999999999999E-2"/>
    <s v="High Psychologist"/>
    <x v="8"/>
  </r>
  <r>
    <s v="14400"/>
    <x v="76"/>
    <s v="Personnel"/>
    <s v="M "/>
    <s v="Middle Grade Group 7-8"/>
    <s v="PS46M21S"/>
    <s v="PSES Mid Prog21Duty46 S275"/>
    <n v="21"/>
    <x v="8"/>
    <n v="46"/>
    <m/>
    <s v="   "/>
    <n v="2.5000000000000001E-2"/>
    <n v="0.18340000000000001"/>
    <n v="5.0000000000000001E-3"/>
    <s v="Middle Psychologist"/>
    <x v="8"/>
  </r>
  <r>
    <s v="15201"/>
    <x v="77"/>
    <s v="Personnel"/>
    <s v="H "/>
    <s v="High Grade Group 9-12"/>
    <s v="PS24HS"/>
    <s v="PSES High Prog01Duty96 S275"/>
    <n v="1"/>
    <x v="0"/>
    <n v="96"/>
    <n v="24"/>
    <s v="   "/>
    <n v="0.50800000000000001"/>
    <n v="0.2848"/>
    <n v="0"/>
    <s v="High Family Engagement Coordinator"/>
    <x v="0"/>
  </r>
  <r>
    <s v="15201"/>
    <x v="77"/>
    <s v="Personnel"/>
    <s v="E "/>
    <s v="Elementary Grade Group K-6"/>
    <s v="PS26E21S"/>
    <s v="PSES Elem Prog21Act26 S275"/>
    <n v="21"/>
    <x v="2"/>
    <m/>
    <n v="26"/>
    <s v="   "/>
    <n v="0.72899999999999998"/>
    <n v="0.2848"/>
    <n v="0.20799999999999999"/>
    <s v="Elementary Health/_x000a_Related Services"/>
    <x v="2"/>
  </r>
  <r>
    <s v="15201"/>
    <x v="77"/>
    <s v="Personnel"/>
    <s v="E "/>
    <s v="Elementary Grade Group K-6"/>
    <s v="PS26ES"/>
    <s v="PSES Elem Prog01Act26 S275"/>
    <n v="1"/>
    <x v="2"/>
    <m/>
    <n v="26"/>
    <s v="   "/>
    <n v="2.7690000000000001"/>
    <n v="0.2848"/>
    <n v="0"/>
    <s v="Elementary Health/_x000a_Related Services"/>
    <x v="2"/>
  </r>
  <r>
    <s v="15201"/>
    <x v="77"/>
    <s v="Personnel"/>
    <s v="H "/>
    <s v="High Grade Group 9-12"/>
    <s v="PS26HS"/>
    <s v="PSES High Prog01Act26 S275"/>
    <n v="1"/>
    <x v="2"/>
    <m/>
    <n v="26"/>
    <s v="   "/>
    <n v="0.438"/>
    <n v="0.2848"/>
    <n v="0"/>
    <s v="High Health/_x000a_Related Services"/>
    <x v="2"/>
  </r>
  <r>
    <s v="15201"/>
    <x v="77"/>
    <s v="Personnel"/>
    <s v="M "/>
    <s v="Middle Grade Group 7-8"/>
    <s v="PS26MS"/>
    <s v="PSES Mid Prog01Act26 S275"/>
    <n v="1"/>
    <x v="2"/>
    <m/>
    <n v="26"/>
    <s v="   "/>
    <n v="0.437"/>
    <n v="0.2848"/>
    <n v="0"/>
    <s v="Middle Health/_x000a_Related Services"/>
    <x v="2"/>
  </r>
  <r>
    <s v="15201"/>
    <x v="77"/>
    <s v="Personnel"/>
    <s v="E "/>
    <s v="Elementary Grade Group K-6"/>
    <s v="PS42ES"/>
    <s v="PSES Elem Prog01Duty42 S275"/>
    <n v="1"/>
    <x v="5"/>
    <n v="42"/>
    <m/>
    <s v="   "/>
    <n v="7"/>
    <n v="0.2848"/>
    <n v="0"/>
    <s v="Elementary Counselor"/>
    <x v="5"/>
  </r>
  <r>
    <s v="15201"/>
    <x v="77"/>
    <s v="Personnel"/>
    <s v="H "/>
    <s v="High Grade Group 9-12"/>
    <s v="PS42HS"/>
    <s v="PSES High Prog01Duty42 S275"/>
    <n v="1"/>
    <x v="5"/>
    <n v="42"/>
    <m/>
    <s v="   "/>
    <n v="4.7"/>
    <n v="0.2848"/>
    <n v="0"/>
    <s v="High Counselor"/>
    <x v="5"/>
  </r>
  <r>
    <s v="15201"/>
    <x v="77"/>
    <s v="Personnel"/>
    <s v="M "/>
    <s v="Middle Grade Group 7-8"/>
    <s v="PS42MS"/>
    <s v="PSES Mid Prog01Duty42 S275"/>
    <n v="1"/>
    <x v="5"/>
    <n v="42"/>
    <m/>
    <s v="   "/>
    <n v="2"/>
    <n v="0.2848"/>
    <n v="0"/>
    <s v="Middle Counselor"/>
    <x v="5"/>
  </r>
  <r>
    <s v="15201"/>
    <x v="77"/>
    <s v="Personnel"/>
    <s v="E "/>
    <s v="Elementary Grade Group K-6"/>
    <s v="PS43E21S"/>
    <s v="PSES Elem Prog21Duty43 S275"/>
    <n v="21"/>
    <x v="6"/>
    <n v="43"/>
    <m/>
    <s v="   "/>
    <n v="1.6619999999999999"/>
    <n v="0.2848"/>
    <n v="0.47299999999999998"/>
    <s v="Elementary Occupational Therapist"/>
    <x v="6"/>
  </r>
  <r>
    <s v="15201"/>
    <x v="77"/>
    <s v="Personnel"/>
    <s v="H "/>
    <s v="High Grade Group 9-12"/>
    <s v="PS43H21S"/>
    <s v="PSES High Prog21Duty43 S275"/>
    <n v="21"/>
    <x v="6"/>
    <n v="43"/>
    <m/>
    <s v="   "/>
    <n v="0.23"/>
    <n v="0.2848"/>
    <n v="6.6000000000000003E-2"/>
    <s v="High Occupational Therapist"/>
    <x v="6"/>
  </r>
  <r>
    <s v="15201"/>
    <x v="77"/>
    <s v="Personnel"/>
    <s v="E "/>
    <s v="Elementary Grade Group K-6"/>
    <s v="PS44ES"/>
    <s v="PSES Elem Prog01Duty44 S275"/>
    <n v="1"/>
    <x v="13"/>
    <n v="44"/>
    <m/>
    <s v="   "/>
    <n v="0.03"/>
    <n v="0.2848"/>
    <n v="0"/>
    <s v="Elementary Social Worker"/>
    <x v="13"/>
  </r>
  <r>
    <s v="15201"/>
    <x v="77"/>
    <s v="Personnel"/>
    <s v="H "/>
    <s v="High Grade Group 9-12"/>
    <s v="PS44HS"/>
    <s v="PSES High Prog01Duty44 S275"/>
    <n v="1"/>
    <x v="13"/>
    <n v="44"/>
    <m/>
    <s v="   "/>
    <n v="0.99"/>
    <n v="0.2848"/>
    <n v="0"/>
    <s v="High Social Worker"/>
    <x v="13"/>
  </r>
  <r>
    <s v="15201"/>
    <x v="77"/>
    <s v="Personnel"/>
    <s v="M "/>
    <s v="Middle Grade Group 7-8"/>
    <s v="PS44MS"/>
    <s v="PSES Mid Prog01Duty44 S275"/>
    <n v="1"/>
    <x v="13"/>
    <n v="44"/>
    <m/>
    <s v="   "/>
    <n v="0.98"/>
    <n v="0.2848"/>
    <n v="0"/>
    <s v="Middle Social Worker"/>
    <x v="13"/>
  </r>
  <r>
    <s v="15201"/>
    <x v="77"/>
    <s v="Personnel"/>
    <s v="E "/>
    <s v="Elementary Grade Group K-6"/>
    <s v="PS45E21S"/>
    <s v="PSES Elem Prog21Duty45 S275"/>
    <n v="21"/>
    <x v="7"/>
    <n v="45"/>
    <m/>
    <s v="   "/>
    <n v="7.7640000000000002"/>
    <n v="0.2848"/>
    <n v="2.2109999999999999"/>
    <s v="Elementary Speech, Language Pathway/_x000a_Audio"/>
    <x v="7"/>
  </r>
  <r>
    <s v="15201"/>
    <x v="77"/>
    <s v="Personnel"/>
    <s v="H "/>
    <s v="High Grade Group 9-12"/>
    <s v="PS45H21S"/>
    <s v="PSES High Prog21Duty45 S275"/>
    <n v="21"/>
    <x v="7"/>
    <n v="45"/>
    <m/>
    <s v="   "/>
    <n v="0.08"/>
    <n v="0.2848"/>
    <n v="2.3E-2"/>
    <s v="High Speech, Language Pathway/_x000a_Audio"/>
    <x v="7"/>
  </r>
  <r>
    <s v="15201"/>
    <x v="77"/>
    <s v="Personnel"/>
    <s v="M "/>
    <s v="Middle Grade Group 7-8"/>
    <s v="PS45M21S"/>
    <s v="PSES Mid Prog21Duty45 S275"/>
    <n v="21"/>
    <x v="7"/>
    <n v="45"/>
    <m/>
    <s v="   "/>
    <n v="1"/>
    <n v="0.2848"/>
    <n v="0.28499999999999998"/>
    <s v="Middle Speech, Language Pathway/_x000a_Audio"/>
    <x v="7"/>
  </r>
  <r>
    <s v="15201"/>
    <x v="77"/>
    <s v="Personnel"/>
    <s v="E "/>
    <s v="Elementary Grade Group K-6"/>
    <s v="PS46E21S"/>
    <s v="PSES Elem Prog21Duty46 S275"/>
    <n v="21"/>
    <x v="8"/>
    <n v="46"/>
    <m/>
    <s v="   "/>
    <n v="2.2080000000000002"/>
    <n v="0.2848"/>
    <n v="0.629"/>
    <s v="Elementary Psychologist"/>
    <x v="8"/>
  </r>
  <r>
    <s v="15201"/>
    <x v="77"/>
    <s v="Personnel"/>
    <s v="H "/>
    <s v="High Grade Group 9-12"/>
    <s v="PS46H21S"/>
    <s v="PSES High Prog21Duty46 S275"/>
    <n v="21"/>
    <x v="8"/>
    <n v="46"/>
    <m/>
    <s v="   "/>
    <n v="1.5"/>
    <n v="0.2848"/>
    <n v="0.42699999999999999"/>
    <s v="High Psychologist"/>
    <x v="8"/>
  </r>
  <r>
    <s v="15201"/>
    <x v="77"/>
    <s v="Personnel"/>
    <s v="M "/>
    <s v="Middle Grade Group 7-8"/>
    <s v="PS46M21S"/>
    <s v="PSES Mid Prog21Duty46 S275"/>
    <n v="21"/>
    <x v="8"/>
    <n v="46"/>
    <m/>
    <s v="   "/>
    <n v="1"/>
    <n v="0.2848"/>
    <n v="0.28499999999999998"/>
    <s v="Middle Psychologist"/>
    <x v="8"/>
  </r>
  <r>
    <s v="15201"/>
    <x v="77"/>
    <s v="Personnel"/>
    <s v="E "/>
    <s v="Elementary Grade Group K-6"/>
    <s v="PS47ES"/>
    <s v="PSES Elem Prog01Duty47 S275"/>
    <n v="1"/>
    <x v="9"/>
    <n v="47"/>
    <m/>
    <s v="   "/>
    <n v="2.9990000000000001"/>
    <n v="0.2848"/>
    <n v="0"/>
    <s v="Elementary Nurse"/>
    <x v="9"/>
  </r>
  <r>
    <s v="15201"/>
    <x v="77"/>
    <s v="Personnel"/>
    <s v="H "/>
    <s v="High Grade Group 9-12"/>
    <s v="PS47HS"/>
    <s v="PSES High Prog01Duty47 S275"/>
    <n v="1"/>
    <x v="9"/>
    <n v="47"/>
    <m/>
    <s v="   "/>
    <n v="0.60099999999999998"/>
    <n v="0.2848"/>
    <n v="0"/>
    <s v="High Nurse"/>
    <x v="9"/>
  </r>
  <r>
    <s v="15201"/>
    <x v="77"/>
    <s v="Personnel"/>
    <s v="M "/>
    <s v="Middle Grade Group 7-8"/>
    <s v="PS47MS"/>
    <s v="PSES Mid Prog01Duty47 S275"/>
    <n v="1"/>
    <x v="9"/>
    <n v="47"/>
    <m/>
    <s v="   "/>
    <n v="0.4"/>
    <n v="0.2848"/>
    <n v="0"/>
    <s v="Middle Nurse"/>
    <x v="9"/>
  </r>
  <r>
    <s v="15201"/>
    <x v="77"/>
    <s v="Personnel"/>
    <s v="E "/>
    <s v="Elementary Grade Group K-6"/>
    <s v="PS48E21S"/>
    <s v="PSES Elem Prog21Duty48 S275"/>
    <n v="21"/>
    <x v="11"/>
    <n v="48"/>
    <m/>
    <s v="   "/>
    <n v="0.80800000000000005"/>
    <n v="0.2848"/>
    <n v="0.23"/>
    <s v="Elementary Physical Therapist"/>
    <x v="11"/>
  </r>
  <r>
    <s v="15201"/>
    <x v="77"/>
    <s v="Personnel"/>
    <s v="H "/>
    <s v="High Grade Group 9-12"/>
    <s v="PS48H21S"/>
    <s v="PSES High Prog21Duty48 S275"/>
    <n v="21"/>
    <x v="11"/>
    <n v="48"/>
    <m/>
    <s v="   "/>
    <n v="0.192"/>
    <n v="0.2848"/>
    <n v="5.5E-2"/>
    <s v="High Physical Therapist"/>
    <x v="11"/>
  </r>
  <r>
    <s v="15204"/>
    <x v="78"/>
    <s v="Personnel"/>
    <s v="E "/>
    <s v="Elementary Grade Group K-6"/>
    <s v="PS25ES"/>
    <s v="PSES Elem Prog01Act25 S275"/>
    <n v="1"/>
    <x v="1"/>
    <m/>
    <n v="25"/>
    <s v="   "/>
    <n v="0.20399999999999999"/>
    <n v="0.22170000000000001"/>
    <n v="0"/>
    <s v="Elementary Pupil Management"/>
    <x v="1"/>
  </r>
  <r>
    <s v="15204"/>
    <x v="78"/>
    <s v="Personnel"/>
    <s v="H "/>
    <s v="High Grade Group 9-12"/>
    <s v="PS25HS"/>
    <s v="PSES High Prog01Act25 S275"/>
    <n v="1"/>
    <x v="1"/>
    <m/>
    <n v="25"/>
    <s v="   "/>
    <n v="0.104"/>
    <n v="0.22170000000000001"/>
    <n v="0"/>
    <s v="High Pupil Management"/>
    <x v="1"/>
  </r>
  <r>
    <s v="15204"/>
    <x v="78"/>
    <s v="Personnel"/>
    <s v="M "/>
    <s v="Middle Grade Group 7-8"/>
    <s v="PS25MS"/>
    <s v="PSES Mid Prog01Act25 S275"/>
    <n v="1"/>
    <x v="1"/>
    <m/>
    <n v="25"/>
    <s v="   "/>
    <n v="0.13600000000000001"/>
    <n v="0.22170000000000001"/>
    <n v="0"/>
    <s v="Middle Pupil Management"/>
    <x v="1"/>
  </r>
  <r>
    <s v="15204"/>
    <x v="78"/>
    <s v="Personnel"/>
    <s v="E "/>
    <s v="Elementary Grade Group K-6"/>
    <s v="PS42ES"/>
    <s v="PSES Elem Prog01Duty42 S275"/>
    <n v="1"/>
    <x v="5"/>
    <n v="42"/>
    <m/>
    <s v="   "/>
    <n v="0.05"/>
    <n v="0.22170000000000001"/>
    <n v="0"/>
    <s v="Elementary Counselor"/>
    <x v="5"/>
  </r>
  <r>
    <s v="15204"/>
    <x v="78"/>
    <s v="Personnel"/>
    <s v="H "/>
    <s v="High Grade Group 9-12"/>
    <s v="PS42HS"/>
    <s v="PSES High Prog01Duty42 S275"/>
    <n v="1"/>
    <x v="5"/>
    <n v="42"/>
    <m/>
    <s v="   "/>
    <n v="1"/>
    <n v="0.22170000000000001"/>
    <n v="0"/>
    <s v="High Counselor"/>
    <x v="5"/>
  </r>
  <r>
    <s v="15204"/>
    <x v="78"/>
    <s v="Personnel"/>
    <s v="M "/>
    <s v="Middle Grade Group 7-8"/>
    <s v="PS42MS"/>
    <s v="PSES Mid Prog01Duty42 S275"/>
    <n v="1"/>
    <x v="5"/>
    <n v="42"/>
    <m/>
    <s v="   "/>
    <n v="1"/>
    <n v="0.22170000000000001"/>
    <n v="0"/>
    <s v="Middle Counselor"/>
    <x v="5"/>
  </r>
  <r>
    <s v="15204"/>
    <x v="78"/>
    <s v="Personnel"/>
    <s v="E "/>
    <s v="Elementary Grade Group K-6"/>
    <s v="PS45E21S"/>
    <s v="PSES Elem Prog21Duty45 S275"/>
    <n v="21"/>
    <x v="7"/>
    <n v="45"/>
    <m/>
    <s v="   "/>
    <n v="0.52"/>
    <n v="0.22170000000000001"/>
    <n v="0.115"/>
    <s v="Elementary Speech, Language Pathway/_x000a_Audio"/>
    <x v="7"/>
  </r>
  <r>
    <s v="15204"/>
    <x v="78"/>
    <s v="Personnel"/>
    <s v="H "/>
    <s v="High Grade Group 9-12"/>
    <s v="PS45H21S"/>
    <s v="PSES High Prog21Duty45 S275"/>
    <n v="21"/>
    <x v="7"/>
    <n v="45"/>
    <m/>
    <s v="   "/>
    <n v="0.32"/>
    <n v="0.22170000000000001"/>
    <n v="7.0999999999999994E-2"/>
    <s v="High Speech, Language Pathway/_x000a_Audio"/>
    <x v="7"/>
  </r>
  <r>
    <s v="15204"/>
    <x v="78"/>
    <s v="Personnel"/>
    <s v="M "/>
    <s v="Middle Grade Group 7-8"/>
    <s v="PS45M21S"/>
    <s v="PSES Mid Prog21Duty45 S275"/>
    <n v="21"/>
    <x v="7"/>
    <n v="45"/>
    <m/>
    <s v="   "/>
    <n v="0.16"/>
    <n v="0.22170000000000001"/>
    <n v="3.5000000000000003E-2"/>
    <s v="Middle Speech, Language Pathway/_x000a_Audio"/>
    <x v="7"/>
  </r>
  <r>
    <s v="15204"/>
    <x v="78"/>
    <s v="Personnel"/>
    <s v="E "/>
    <s v="Elementary Grade Group K-6"/>
    <s v="PS46ES"/>
    <s v="PSES Elem Prog01Duty46 S275"/>
    <n v="1"/>
    <x v="8"/>
    <n v="46"/>
    <m/>
    <s v="   "/>
    <n v="0.4"/>
    <n v="0.22170000000000001"/>
    <n v="0"/>
    <s v="Elementary Psychologist"/>
    <x v="8"/>
  </r>
  <r>
    <s v="15204"/>
    <x v="78"/>
    <s v="Personnel"/>
    <s v="H "/>
    <s v="High Grade Group 9-12"/>
    <s v="PS46HS"/>
    <s v="PSES High Prog01Duty46 S275"/>
    <n v="1"/>
    <x v="8"/>
    <n v="46"/>
    <m/>
    <s v="   "/>
    <n v="0.1"/>
    <n v="0.22170000000000001"/>
    <n v="0"/>
    <s v="High Psychologist"/>
    <x v="8"/>
  </r>
  <r>
    <s v="15204"/>
    <x v="78"/>
    <s v="Personnel"/>
    <s v="M "/>
    <s v="Middle Grade Group 7-8"/>
    <s v="PS46MS"/>
    <s v="PSES Mid Prog01Duty46 S275"/>
    <n v="1"/>
    <x v="8"/>
    <n v="46"/>
    <m/>
    <s v="   "/>
    <n v="0.3"/>
    <n v="0.22170000000000001"/>
    <n v="0"/>
    <s v="Middle Psychologist"/>
    <x v="8"/>
  </r>
  <r>
    <s v="15206"/>
    <x v="79"/>
    <s v="Personnel"/>
    <s v="E "/>
    <s v="Elementary Grade Group K-6"/>
    <s v="PS26ES"/>
    <s v="PSES Elem Prog01Act26 S275"/>
    <n v="1"/>
    <x v="2"/>
    <m/>
    <n v="26"/>
    <s v="   "/>
    <n v="0.66400000000000003"/>
    <n v="0.22600000000000001"/>
    <n v="0"/>
    <s v="Elementary Health/_x000a_Related Services"/>
    <x v="2"/>
  </r>
  <r>
    <s v="15206"/>
    <x v="79"/>
    <s v="Personnel"/>
    <s v="H "/>
    <s v="High Grade Group 9-12"/>
    <s v="PS42HS"/>
    <s v="PSES High Prog01Duty42 S275"/>
    <n v="1"/>
    <x v="5"/>
    <n v="42"/>
    <m/>
    <s v="   "/>
    <n v="2"/>
    <n v="0.22600000000000001"/>
    <n v="0"/>
    <s v="High Counselor"/>
    <x v="5"/>
  </r>
  <r>
    <s v="15206"/>
    <x v="79"/>
    <s v="Personnel"/>
    <s v="M "/>
    <s v="Middle Grade Group 7-8"/>
    <s v="PS42MS"/>
    <s v="PSES Mid Prog01Duty42 S275"/>
    <n v="1"/>
    <x v="5"/>
    <n v="42"/>
    <m/>
    <s v="   "/>
    <n v="1"/>
    <n v="0.22600000000000001"/>
    <n v="0"/>
    <s v="Middle Counselor"/>
    <x v="5"/>
  </r>
  <r>
    <s v="15206"/>
    <x v="79"/>
    <s v="Personnel"/>
    <s v="E "/>
    <s v="Elementary Grade Group K-6"/>
    <s v="PS43E21S"/>
    <s v="PSES Elem Prog21Duty43 S275"/>
    <n v="21"/>
    <x v="6"/>
    <n v="43"/>
    <m/>
    <s v="   "/>
    <n v="0.8"/>
    <n v="0.22600000000000001"/>
    <n v="0.18099999999999999"/>
    <s v="Elementary Occupational Therapist"/>
    <x v="6"/>
  </r>
  <r>
    <s v="15206"/>
    <x v="79"/>
    <s v="Personnel"/>
    <s v="E "/>
    <s v="Elementary Grade Group K-6"/>
    <s v="PS45E21S"/>
    <s v="PSES Elem Prog21Duty45 S275"/>
    <n v="21"/>
    <x v="7"/>
    <n v="45"/>
    <m/>
    <s v="   "/>
    <n v="0.46800000000000003"/>
    <n v="0.22600000000000001"/>
    <n v="0.106"/>
    <s v="Elementary Speech, Language Pathway/_x000a_Audio"/>
    <x v="7"/>
  </r>
  <r>
    <s v="15206"/>
    <x v="79"/>
    <s v="Personnel"/>
    <s v="E "/>
    <s v="Elementary Grade Group K-6"/>
    <s v="PS46E21S"/>
    <s v="PSES Elem Prog21Duty46 S275"/>
    <n v="21"/>
    <x v="8"/>
    <n v="46"/>
    <m/>
    <s v="   "/>
    <n v="1"/>
    <n v="0.22600000000000001"/>
    <n v="0.22600000000000001"/>
    <s v="Elementary Psychologist"/>
    <x v="8"/>
  </r>
  <r>
    <s v="15206"/>
    <x v="79"/>
    <s v="Personnel"/>
    <s v="H "/>
    <s v="High Grade Group 9-12"/>
    <s v="PS46H21S"/>
    <s v="PSES High Prog21Duty46 S275"/>
    <n v="21"/>
    <x v="8"/>
    <n v="46"/>
    <m/>
    <s v="   "/>
    <n v="0.42"/>
    <n v="0.22600000000000001"/>
    <n v="9.5000000000000001E-2"/>
    <s v="High Psychologist"/>
    <x v="8"/>
  </r>
  <r>
    <s v="15206"/>
    <x v="79"/>
    <s v="Personnel"/>
    <s v="M "/>
    <s v="Middle Grade Group 7-8"/>
    <s v="PS46M21S"/>
    <s v="PSES Mid Prog21Duty46 S275"/>
    <n v="21"/>
    <x v="8"/>
    <n v="46"/>
    <m/>
    <s v="   "/>
    <n v="0.28000000000000003"/>
    <n v="0.22600000000000001"/>
    <n v="6.3E-2"/>
    <s v="Middle Psychologist"/>
    <x v="8"/>
  </r>
  <r>
    <s v="15206"/>
    <x v="79"/>
    <s v="Personnel"/>
    <s v="H "/>
    <s v="High Grade Group 9-12"/>
    <s v="PS47HS"/>
    <s v="PSES High Prog01Duty47 S275"/>
    <n v="1"/>
    <x v="9"/>
    <n v="47"/>
    <m/>
    <s v="   "/>
    <n v="0.7"/>
    <n v="0.22600000000000001"/>
    <n v="0"/>
    <s v="High Nurse"/>
    <x v="9"/>
  </r>
  <r>
    <s v="15206"/>
    <x v="79"/>
    <s v="Personnel"/>
    <s v="M "/>
    <s v="Middle Grade Group 7-8"/>
    <s v="PS47MS"/>
    <s v="PSES Mid Prog01Duty47 S275"/>
    <n v="1"/>
    <x v="9"/>
    <n v="47"/>
    <m/>
    <s v="   "/>
    <n v="0.3"/>
    <n v="0.22600000000000001"/>
    <n v="0"/>
    <s v="Middle Nurse"/>
    <x v="9"/>
  </r>
  <r>
    <s v="16020"/>
    <x v="80"/>
    <s v="Personnel"/>
    <s v="E "/>
    <s v="Elementary Grade Group K-6"/>
    <s v="PS25ES"/>
    <s v="PSES Elem Prog01Act25 S275"/>
    <n v="1"/>
    <x v="1"/>
    <m/>
    <n v="25"/>
    <s v="   "/>
    <n v="4.5999999999999999E-2"/>
    <n v="9.2499999999999999E-2"/>
    <n v="0"/>
    <s v="Elementary Pupil Management"/>
    <x v="1"/>
  </r>
  <r>
    <s v="16046"/>
    <x v="81"/>
    <s v="Personnel"/>
    <s v="H "/>
    <s v="High Grade Group 9-12"/>
    <s v="PS25HS"/>
    <s v="PSES High Prog01Act25 S275"/>
    <n v="1"/>
    <x v="1"/>
    <m/>
    <n v="25"/>
    <s v="   "/>
    <n v="0.30499999999999999"/>
    <n v="9.8699999999999996E-2"/>
    <n v="0"/>
    <s v="High Pupil Management"/>
    <x v="1"/>
  </r>
  <r>
    <s v="16046"/>
    <x v="81"/>
    <s v="Personnel"/>
    <s v="H "/>
    <s v="High Grade Group 9-12"/>
    <s v="PS26H21S"/>
    <s v="PSES High Prog21Act26 S275"/>
    <n v="21"/>
    <x v="2"/>
    <m/>
    <n v="26"/>
    <s v="   "/>
    <n v="8.0000000000000002E-3"/>
    <n v="9.8699999999999996E-2"/>
    <n v="1E-3"/>
    <s v="High Health/_x000a_Related Services"/>
    <x v="2"/>
  </r>
  <r>
    <s v="16048"/>
    <x v="82"/>
    <s v="Personnel"/>
    <s v="H "/>
    <s v="High Grade Group 9-12"/>
    <s v="PS25HS"/>
    <s v="PSES High Prog01Act25 S275"/>
    <n v="1"/>
    <x v="1"/>
    <m/>
    <n v="25"/>
    <s v="   "/>
    <n v="0.84"/>
    <n v="0.1036"/>
    <n v="0"/>
    <s v="High Pupil Management"/>
    <x v="1"/>
  </r>
  <r>
    <s v="16048"/>
    <x v="82"/>
    <s v="Personnel"/>
    <s v="E "/>
    <s v="Elementary Grade Group K-6"/>
    <s v="PS42ES"/>
    <s v="PSES Elem Prog01Duty42 S275"/>
    <n v="1"/>
    <x v="5"/>
    <n v="42"/>
    <m/>
    <s v="   "/>
    <n v="0.44900000000000001"/>
    <n v="0.1036"/>
    <n v="0"/>
    <s v="Elementary Counselor"/>
    <x v="5"/>
  </r>
  <r>
    <s v="16048"/>
    <x v="82"/>
    <s v="Personnel"/>
    <s v="H "/>
    <s v="High Grade Group 9-12"/>
    <s v="PS42HS"/>
    <s v="PSES High Prog01Duty42 S275"/>
    <n v="1"/>
    <x v="5"/>
    <n v="42"/>
    <m/>
    <s v="   "/>
    <n v="0.4"/>
    <n v="0.1036"/>
    <n v="0"/>
    <s v="High Counselor"/>
    <x v="5"/>
  </r>
  <r>
    <s v="16048"/>
    <x v="82"/>
    <s v="Personnel"/>
    <s v="M "/>
    <s v="Middle Grade Group 7-8"/>
    <s v="PS42MS"/>
    <s v="PSES Mid Prog01Duty42 S275"/>
    <n v="1"/>
    <x v="5"/>
    <n v="42"/>
    <m/>
    <s v="   "/>
    <n v="0.151"/>
    <n v="0.1036"/>
    <n v="0"/>
    <s v="Middle Counselor"/>
    <x v="5"/>
  </r>
  <r>
    <s v="16048"/>
    <x v="82"/>
    <s v="Personnel"/>
    <s v="E "/>
    <s v="Elementary Grade Group K-6"/>
    <s v="PS45E21S"/>
    <s v="PSES Elem Prog21Duty45 S275"/>
    <n v="21"/>
    <x v="7"/>
    <n v="45"/>
    <m/>
    <s v="   "/>
    <n v="0.60699999999999998"/>
    <n v="0.1036"/>
    <n v="6.3E-2"/>
    <s v="Elementary Speech, Language Pathway/_x000a_Audio"/>
    <x v="7"/>
  </r>
  <r>
    <s v="16048"/>
    <x v="82"/>
    <s v="Personnel"/>
    <s v="E "/>
    <s v="Elementary Grade Group K-6"/>
    <s v="PS46E21S"/>
    <s v="PSES Elem Prog21Duty46 S275"/>
    <n v="21"/>
    <x v="8"/>
    <n v="46"/>
    <m/>
    <s v="   "/>
    <n v="0.20100000000000001"/>
    <n v="0.1036"/>
    <n v="2.1000000000000001E-2"/>
    <s v="Elementary Psychologist"/>
    <x v="8"/>
  </r>
  <r>
    <s v="16048"/>
    <x v="82"/>
    <s v="Personnel"/>
    <s v="M "/>
    <s v="Middle Grade Group 7-8"/>
    <s v="PS46M21S"/>
    <s v="PSES Mid Prog21Duty46 S275"/>
    <n v="21"/>
    <x v="8"/>
    <n v="46"/>
    <m/>
    <s v="   "/>
    <n v="6.7000000000000004E-2"/>
    <n v="0.1036"/>
    <n v="7.0000000000000001E-3"/>
    <s v="Middle Psychologist"/>
    <x v="8"/>
  </r>
  <r>
    <s v="16049"/>
    <x v="83"/>
    <s v="Personnel"/>
    <s v="H "/>
    <s v="High Grade Group 9-12"/>
    <s v="PS25H21S"/>
    <s v="PSES High Prog21Act25 S275"/>
    <n v="21"/>
    <x v="1"/>
    <m/>
    <n v="25"/>
    <s v="   "/>
    <n v="0.12"/>
    <n v="0.26960000000000001"/>
    <n v="3.2000000000000001E-2"/>
    <s v="High Pupil Management"/>
    <x v="1"/>
  </r>
  <r>
    <s v="16049"/>
    <x v="83"/>
    <s v="Personnel"/>
    <s v="H "/>
    <s v="High Grade Group 9-12"/>
    <s v="PS25HS"/>
    <s v="PSES High Prog01Act25 S275"/>
    <n v="1"/>
    <x v="1"/>
    <m/>
    <n v="25"/>
    <s v="   "/>
    <n v="0.68799999999999994"/>
    <n v="0.26960000000000001"/>
    <n v="0"/>
    <s v="High Pupil Management"/>
    <x v="1"/>
  </r>
  <r>
    <s v="16049"/>
    <x v="83"/>
    <s v="Personnel"/>
    <s v="E "/>
    <s v="Elementary Grade Group K-6"/>
    <s v="PS42ES"/>
    <s v="PSES Elem Prog01Duty42 S275"/>
    <n v="1"/>
    <x v="5"/>
    <n v="42"/>
    <m/>
    <s v="   "/>
    <n v="1"/>
    <n v="0.26960000000000001"/>
    <n v="0"/>
    <s v="Elementary Counselor"/>
    <x v="5"/>
  </r>
  <r>
    <s v="16049"/>
    <x v="83"/>
    <s v="Personnel"/>
    <s v="H "/>
    <s v="High Grade Group 9-12"/>
    <s v="PS42HS"/>
    <s v="PSES High Prog01Duty42 S275"/>
    <n v="1"/>
    <x v="5"/>
    <n v="42"/>
    <m/>
    <s v="   "/>
    <n v="0.9"/>
    <n v="0.26960000000000001"/>
    <n v="0"/>
    <s v="High Counselor"/>
    <x v="5"/>
  </r>
  <r>
    <s v="16049"/>
    <x v="83"/>
    <s v="Personnel"/>
    <s v="E "/>
    <s v="Elementary Grade Group K-6"/>
    <s v="PS43E21S"/>
    <s v="PSES Elem Prog21Duty43 S275"/>
    <n v="21"/>
    <x v="6"/>
    <n v="43"/>
    <m/>
    <s v="   "/>
    <n v="0.46899999999999997"/>
    <n v="0.26960000000000001"/>
    <n v="0.126"/>
    <s v="Elementary Occupational Therapist"/>
    <x v="6"/>
  </r>
  <r>
    <s v="16049"/>
    <x v="83"/>
    <s v="Personnel"/>
    <s v="H "/>
    <s v="High Grade Group 9-12"/>
    <s v="PS43H21S"/>
    <s v="PSES High Prog21Duty43 S275"/>
    <n v="21"/>
    <x v="6"/>
    <n v="43"/>
    <m/>
    <s v="   "/>
    <n v="7.0000000000000007E-2"/>
    <n v="0.26960000000000001"/>
    <n v="1.9E-2"/>
    <s v="High Occupational Therapist"/>
    <x v="6"/>
  </r>
  <r>
    <s v="16049"/>
    <x v="83"/>
    <s v="Personnel"/>
    <s v="M "/>
    <s v="Middle Grade Group 7-8"/>
    <s v="PS43M21S"/>
    <s v="PSES Mid Prog21Duty43 S275"/>
    <n v="21"/>
    <x v="6"/>
    <n v="43"/>
    <m/>
    <s v="   "/>
    <n v="9.0999999999999998E-2"/>
    <n v="0.26960000000000001"/>
    <n v="2.5000000000000001E-2"/>
    <s v="Middle Occupational Therapist"/>
    <x v="6"/>
  </r>
  <r>
    <s v="16049"/>
    <x v="83"/>
    <s v="Personnel"/>
    <s v="H "/>
    <s v="High Grade Group 9-12"/>
    <s v="PS46H21S"/>
    <s v="PSES High Prog21Duty46 S275"/>
    <n v="21"/>
    <x v="8"/>
    <n v="46"/>
    <m/>
    <s v="   "/>
    <n v="0.7"/>
    <n v="0.26960000000000001"/>
    <n v="0.189"/>
    <s v="High Psychologist"/>
    <x v="8"/>
  </r>
  <r>
    <s v="16049"/>
    <x v="83"/>
    <s v="Personnel"/>
    <s v="H "/>
    <s v="High Grade Group 9-12"/>
    <s v="PS46HS"/>
    <s v="PSES High Prog01Duty46 S275"/>
    <n v="1"/>
    <x v="8"/>
    <n v="46"/>
    <m/>
    <s v="   "/>
    <n v="0.3"/>
    <n v="0.26960000000000001"/>
    <n v="0"/>
    <s v="High Psychologist"/>
    <x v="8"/>
  </r>
  <r>
    <s v="16049"/>
    <x v="83"/>
    <s v="Personnel"/>
    <s v="E "/>
    <s v="Elementary Grade Group K-6"/>
    <s v="PS47ES"/>
    <s v="PSES Elem Prog01Duty47 S275"/>
    <n v="1"/>
    <x v="9"/>
    <n v="47"/>
    <m/>
    <s v="   "/>
    <n v="1"/>
    <n v="0.26960000000000001"/>
    <n v="0"/>
    <s v="Elementary Nurse"/>
    <x v="9"/>
  </r>
  <r>
    <s v="16050"/>
    <x v="84"/>
    <s v="Personnel"/>
    <s v="E "/>
    <s v="Elementary Grade Group K-6"/>
    <s v="PS42ES"/>
    <s v="PSES Elem Prog01Duty42 S275"/>
    <n v="1"/>
    <x v="5"/>
    <n v="42"/>
    <m/>
    <s v="   "/>
    <n v="1"/>
    <n v="0.20430000000000001"/>
    <n v="0"/>
    <s v="Elementary Counselor"/>
    <x v="5"/>
  </r>
  <r>
    <s v="16050"/>
    <x v="84"/>
    <s v="Personnel"/>
    <s v="H "/>
    <s v="High Grade Group 9-12"/>
    <s v="PS42HS"/>
    <s v="PSES High Prog01Duty42 S275"/>
    <n v="1"/>
    <x v="5"/>
    <n v="42"/>
    <m/>
    <s v="   "/>
    <n v="1.6"/>
    <n v="0.20430000000000001"/>
    <n v="0"/>
    <s v="High Counselor"/>
    <x v="5"/>
  </r>
  <r>
    <s v="16050"/>
    <x v="84"/>
    <s v="Personnel"/>
    <s v="M "/>
    <s v="Middle Grade Group 7-8"/>
    <s v="PS42MS"/>
    <s v="PSES Mid Prog01Duty42 S275"/>
    <n v="1"/>
    <x v="5"/>
    <n v="42"/>
    <m/>
    <s v="   "/>
    <n v="0.75"/>
    <n v="0.20430000000000001"/>
    <n v="0"/>
    <s v="Middle Counselor"/>
    <x v="5"/>
  </r>
  <r>
    <s v="16050"/>
    <x v="84"/>
    <s v="Personnel"/>
    <s v="E "/>
    <s v="Elementary Grade Group K-6"/>
    <s v="PS43E21S"/>
    <s v="PSES Elem Prog21Duty43 S275"/>
    <n v="21"/>
    <x v="6"/>
    <n v="43"/>
    <m/>
    <s v="   "/>
    <n v="0.48"/>
    <n v="0.20430000000000001"/>
    <n v="9.8000000000000004E-2"/>
    <s v="Elementary Occupational Therapist"/>
    <x v="6"/>
  </r>
  <r>
    <s v="16050"/>
    <x v="84"/>
    <s v="Personnel"/>
    <s v="H "/>
    <s v="High Grade Group 9-12"/>
    <s v="PS43H21S"/>
    <s v="PSES High Prog21Duty43 S275"/>
    <n v="21"/>
    <x v="6"/>
    <n v="43"/>
    <m/>
    <s v="   "/>
    <n v="0.08"/>
    <n v="0.20430000000000001"/>
    <n v="1.6E-2"/>
    <s v="High Occupational Therapist"/>
    <x v="6"/>
  </r>
  <r>
    <s v="16050"/>
    <x v="84"/>
    <s v="Personnel"/>
    <s v="M "/>
    <s v="Middle Grade Group 7-8"/>
    <s v="PS43M21S"/>
    <s v="PSES Mid Prog21Duty43 S275"/>
    <n v="21"/>
    <x v="6"/>
    <n v="43"/>
    <m/>
    <s v="   "/>
    <n v="0.24"/>
    <n v="0.20430000000000001"/>
    <n v="4.9000000000000002E-2"/>
    <s v="Middle Occupational Therapist"/>
    <x v="6"/>
  </r>
  <r>
    <s v="16050"/>
    <x v="84"/>
    <s v="Personnel"/>
    <s v="E "/>
    <s v="Elementary Grade Group K-6"/>
    <s v="PS45E21S"/>
    <s v="PSES Elem Prog21Duty45 S275"/>
    <n v="21"/>
    <x v="7"/>
    <n v="45"/>
    <m/>
    <s v="   "/>
    <n v="1"/>
    <n v="0.20430000000000001"/>
    <n v="0.20399999999999999"/>
    <s v="Elementary Speech, Language Pathway/_x000a_Audio"/>
    <x v="7"/>
  </r>
  <r>
    <s v="16050"/>
    <x v="84"/>
    <s v="Personnel"/>
    <s v="H "/>
    <s v="High Grade Group 9-12"/>
    <s v="PS45H21S"/>
    <s v="PSES High Prog21Duty45 S275"/>
    <n v="21"/>
    <x v="7"/>
    <n v="45"/>
    <m/>
    <s v="   "/>
    <n v="0.5"/>
    <n v="0.20430000000000001"/>
    <n v="0.10199999999999999"/>
    <s v="High Speech, Language Pathway/_x000a_Audio"/>
    <x v="7"/>
  </r>
  <r>
    <s v="16050"/>
    <x v="84"/>
    <s v="Personnel"/>
    <s v="M "/>
    <s v="Middle Grade Group 7-8"/>
    <s v="PS45M21S"/>
    <s v="PSES Mid Prog21Duty45 S275"/>
    <n v="21"/>
    <x v="7"/>
    <n v="45"/>
    <m/>
    <s v="   "/>
    <n v="0.5"/>
    <n v="0.20430000000000001"/>
    <n v="0.10199999999999999"/>
    <s v="Middle Speech, Language Pathway/_x000a_Audio"/>
    <x v="7"/>
  </r>
  <r>
    <s v="16050"/>
    <x v="84"/>
    <s v="Personnel"/>
    <s v="E "/>
    <s v="Elementary Grade Group K-6"/>
    <s v="PS46E21S"/>
    <s v="PSES Elem Prog21Duty46 S275"/>
    <n v="21"/>
    <x v="8"/>
    <n v="46"/>
    <m/>
    <s v="   "/>
    <n v="0.8"/>
    <n v="0.20430000000000001"/>
    <n v="0.16300000000000001"/>
    <s v="Elementary Psychologist"/>
    <x v="8"/>
  </r>
  <r>
    <s v="16050"/>
    <x v="84"/>
    <s v="Personnel"/>
    <s v="H "/>
    <s v="High Grade Group 9-12"/>
    <s v="PS46H21S"/>
    <s v="PSES High Prog21Duty46 S275"/>
    <n v="21"/>
    <x v="8"/>
    <n v="46"/>
    <m/>
    <s v="   "/>
    <n v="0.3"/>
    <n v="0.20430000000000001"/>
    <n v="6.0999999999999999E-2"/>
    <s v="High Psychologist"/>
    <x v="8"/>
  </r>
  <r>
    <s v="16050"/>
    <x v="84"/>
    <s v="Personnel"/>
    <s v="M "/>
    <s v="Middle Grade Group 7-8"/>
    <s v="PS46M21S"/>
    <s v="PSES Mid Prog21Duty46 S275"/>
    <n v="21"/>
    <x v="8"/>
    <n v="46"/>
    <m/>
    <s v="   "/>
    <n v="0.3"/>
    <n v="0.20430000000000001"/>
    <n v="6.0999999999999999E-2"/>
    <s v="Middle Psychologist"/>
    <x v="8"/>
  </r>
  <r>
    <s v="17001"/>
    <x v="85"/>
    <s v="Personnel"/>
    <s v="E "/>
    <s v="Elementary Grade Group K-6"/>
    <s v="PS24ES"/>
    <s v="PSES Elem Prog01Duty96 S275"/>
    <n v="1"/>
    <x v="0"/>
    <n v="96"/>
    <n v="24"/>
    <s v="   "/>
    <n v="0.55000000000000004"/>
    <n v="0.22739999999999999"/>
    <n v="0"/>
    <s v="Elementary Family Engagement Coordinator"/>
    <x v="0"/>
  </r>
  <r>
    <s v="17001"/>
    <x v="85"/>
    <s v="Personnel"/>
    <s v="H "/>
    <s v="High Grade Group 9-12"/>
    <s v="PS24HS"/>
    <s v="PSES High Prog01Duty96 S275"/>
    <n v="1"/>
    <x v="0"/>
    <n v="96"/>
    <n v="24"/>
    <s v="   "/>
    <n v="1.095"/>
    <n v="0.22739999999999999"/>
    <n v="0"/>
    <s v="High Family Engagement Coordinator"/>
    <x v="0"/>
  </r>
  <r>
    <s v="17001"/>
    <x v="85"/>
    <s v="Personnel"/>
    <s v="M "/>
    <s v="Middle Grade Group 7-8"/>
    <s v="PS24MS"/>
    <s v="PSES Mid Prog01Duty96 S275"/>
    <n v="1"/>
    <x v="0"/>
    <n v="96"/>
    <n v="24"/>
    <s v="   "/>
    <n v="0.14000000000000001"/>
    <n v="0.22739999999999999"/>
    <n v="0"/>
    <s v="Middle Family Engagement Coordinator"/>
    <x v="0"/>
  </r>
  <r>
    <s v="17001"/>
    <x v="85"/>
    <s v="Personnel"/>
    <s v="E "/>
    <s v="Elementary Grade Group K-6"/>
    <s v="PS25E97S"/>
    <s v="PSES Elem Prog97Act25 S275"/>
    <n v="97"/>
    <x v="1"/>
    <m/>
    <n v="25"/>
    <s v="   "/>
    <n v="2.1219999999999999"/>
    <n v="0.22739999999999999"/>
    <n v="0"/>
    <s v="Elementary Pupil Management"/>
    <x v="1"/>
  </r>
  <r>
    <s v="17001"/>
    <x v="85"/>
    <s v="Personnel"/>
    <s v="E "/>
    <s v="Elementary Grade Group K-6"/>
    <s v="PS25ES"/>
    <s v="PSES Elem Prog01Act25 S275"/>
    <n v="1"/>
    <x v="1"/>
    <m/>
    <n v="25"/>
    <s v="   "/>
    <n v="0.43"/>
    <n v="0.22739999999999999"/>
    <n v="0"/>
    <s v="Elementary Pupil Management"/>
    <x v="1"/>
  </r>
  <r>
    <s v="17001"/>
    <x v="85"/>
    <s v="Personnel"/>
    <s v="H "/>
    <s v="High Grade Group 9-12"/>
    <s v="PS25H97S"/>
    <s v="PSES High Prog97Act25 S275"/>
    <n v="97"/>
    <x v="1"/>
    <m/>
    <n v="25"/>
    <s v="   "/>
    <n v="1.1970000000000001"/>
    <n v="0.22739999999999999"/>
    <n v="0"/>
    <s v="High Pupil Management"/>
    <x v="1"/>
  </r>
  <r>
    <s v="17001"/>
    <x v="85"/>
    <s v="Personnel"/>
    <s v="H "/>
    <s v="High Grade Group 9-12"/>
    <s v="PS25HS"/>
    <s v="PSES High Prog01Act25 S275"/>
    <n v="1"/>
    <x v="1"/>
    <m/>
    <n v="25"/>
    <s v="   "/>
    <n v="0.24399999999999999"/>
    <n v="0.22739999999999999"/>
    <n v="0"/>
    <s v="High Pupil Management"/>
    <x v="1"/>
  </r>
  <r>
    <s v="17001"/>
    <x v="85"/>
    <s v="Personnel"/>
    <s v="M "/>
    <s v="Middle Grade Group 7-8"/>
    <s v="PS25M97S"/>
    <s v="PSES Mid Prog97Act25 S275"/>
    <n v="97"/>
    <x v="1"/>
    <m/>
    <n v="25"/>
    <s v="   "/>
    <n v="0.54"/>
    <n v="0.22739999999999999"/>
    <n v="0"/>
    <s v="Middle Pupil Management"/>
    <x v="1"/>
  </r>
  <r>
    <s v="17001"/>
    <x v="85"/>
    <s v="Personnel"/>
    <s v="M "/>
    <s v="Middle Grade Group 7-8"/>
    <s v="PS25MS"/>
    <s v="PSES Mid Prog01Act25 S275"/>
    <n v="1"/>
    <x v="1"/>
    <m/>
    <n v="25"/>
    <s v="   "/>
    <n v="0.11"/>
    <n v="0.22739999999999999"/>
    <n v="0"/>
    <s v="Middle Pupil Management"/>
    <x v="1"/>
  </r>
  <r>
    <s v="17001"/>
    <x v="85"/>
    <s v="Personnel"/>
    <s v="H "/>
    <s v="High Grade Group 9-12"/>
    <s v="PS26H21S"/>
    <s v="PSES High Prog21Act26 S275"/>
    <n v="21"/>
    <x v="2"/>
    <m/>
    <n v="26"/>
    <s v="   "/>
    <n v="10.574"/>
    <n v="0.22739999999999999"/>
    <n v="2.4049999999999998"/>
    <s v="High Health/_x000a_Related Services"/>
    <x v="2"/>
  </r>
  <r>
    <s v="17001"/>
    <x v="85"/>
    <s v="Personnel"/>
    <s v="H "/>
    <s v="High Grade Group 9-12"/>
    <s v="PS26HS"/>
    <s v="PSES High Prog01Act26 S275"/>
    <n v="1"/>
    <x v="2"/>
    <m/>
    <n v="26"/>
    <s v="   "/>
    <n v="1.57"/>
    <n v="0.22739999999999999"/>
    <n v="0"/>
    <s v="High Health/_x000a_Related Services"/>
    <x v="2"/>
  </r>
  <r>
    <s v="17001"/>
    <x v="85"/>
    <s v="Personnel"/>
    <s v="H "/>
    <s v="High Grade Group 9-12"/>
    <s v="PS35HS"/>
    <s v="PSES High Prog01Act35 S275"/>
    <n v="1"/>
    <x v="3"/>
    <m/>
    <n v="35"/>
    <s v="   "/>
    <n v="34.188000000000002"/>
    <n v="0.22739999999999999"/>
    <n v="0"/>
    <s v="High Pupil Safety"/>
    <x v="3"/>
  </r>
  <r>
    <s v="17001"/>
    <x v="85"/>
    <s v="Personnel"/>
    <s v="E "/>
    <s v="Elementary Grade Group K-6"/>
    <s v="PS42ES"/>
    <s v="PSES Elem Prog01Duty42 S275"/>
    <n v="1"/>
    <x v="5"/>
    <n v="42"/>
    <m/>
    <s v="   "/>
    <n v="36.036999999999999"/>
    <n v="0.22739999999999999"/>
    <n v="0"/>
    <s v="Elementary Counselor"/>
    <x v="5"/>
  </r>
  <r>
    <s v="17001"/>
    <x v="85"/>
    <s v="Personnel"/>
    <s v="H "/>
    <s v="High Grade Group 9-12"/>
    <s v="PS42HS"/>
    <s v="PSES High Prog01Duty42 S275"/>
    <n v="1"/>
    <x v="5"/>
    <n v="42"/>
    <m/>
    <s v="   "/>
    <n v="36.127000000000002"/>
    <n v="0.22739999999999999"/>
    <n v="0"/>
    <s v="High Counselor"/>
    <x v="5"/>
  </r>
  <r>
    <s v="17001"/>
    <x v="85"/>
    <s v="Personnel"/>
    <s v="M "/>
    <s v="Middle Grade Group 7-8"/>
    <s v="PS42MS"/>
    <s v="PSES Mid Prog01Duty42 S275"/>
    <n v="1"/>
    <x v="5"/>
    <n v="42"/>
    <m/>
    <s v="   "/>
    <n v="19.341000000000001"/>
    <n v="0.22739999999999999"/>
    <n v="0"/>
    <s v="Middle Counselor"/>
    <x v="5"/>
  </r>
  <r>
    <s v="17001"/>
    <x v="85"/>
    <s v="Personnel"/>
    <s v="E "/>
    <s v="Elementary Grade Group K-6"/>
    <s v="PS43E21S"/>
    <s v="PSES Elem Prog21Duty43 S275"/>
    <n v="21"/>
    <x v="6"/>
    <n v="43"/>
    <m/>
    <s v="   "/>
    <n v="32.9"/>
    <n v="0.22739999999999999"/>
    <n v="7.4809999999999999"/>
    <s v="Elementary Occupational Therapist"/>
    <x v="6"/>
  </r>
  <r>
    <s v="17001"/>
    <x v="85"/>
    <s v="Personnel"/>
    <s v="E "/>
    <s v="Elementary Grade Group K-6"/>
    <s v="PS43ES"/>
    <s v="PSES Elem Prog01Duty43 S275"/>
    <n v="1"/>
    <x v="6"/>
    <n v="43"/>
    <m/>
    <s v="   "/>
    <n v="1.1000000000000001"/>
    <n v="0.22739999999999999"/>
    <n v="0"/>
    <s v="Elementary Occupational Therapist"/>
    <x v="6"/>
  </r>
  <r>
    <s v="17001"/>
    <x v="85"/>
    <s v="Personnel"/>
    <s v="H "/>
    <s v="High Grade Group 9-12"/>
    <s v="PS43H21S"/>
    <s v="PSES High Prog21Duty43 S275"/>
    <n v="21"/>
    <x v="6"/>
    <n v="43"/>
    <m/>
    <s v="   "/>
    <n v="18.88"/>
    <n v="0.22739999999999999"/>
    <n v="4.2930000000000001"/>
    <s v="High Occupational Therapist"/>
    <x v="6"/>
  </r>
  <r>
    <s v="17001"/>
    <x v="85"/>
    <s v="Personnel"/>
    <s v="H "/>
    <s v="High Grade Group 9-12"/>
    <s v="PS43HS"/>
    <s v="PSES High Prog01Duty43 S275"/>
    <n v="1"/>
    <x v="6"/>
    <n v="43"/>
    <m/>
    <s v="   "/>
    <n v="0.62"/>
    <n v="0.22739999999999999"/>
    <n v="0"/>
    <s v="High Occupational Therapist"/>
    <x v="6"/>
  </r>
  <r>
    <s v="17001"/>
    <x v="85"/>
    <s v="Personnel"/>
    <s v="M "/>
    <s v="Middle Grade Group 7-8"/>
    <s v="PS43M21S"/>
    <s v="PSES Mid Prog21Duty43 S275"/>
    <n v="21"/>
    <x v="6"/>
    <n v="43"/>
    <m/>
    <s v="   "/>
    <n v="8.1199999999999992"/>
    <n v="0.22739999999999999"/>
    <n v="1.8460000000000001"/>
    <s v="Middle Occupational Therapist"/>
    <x v="6"/>
  </r>
  <r>
    <s v="17001"/>
    <x v="85"/>
    <s v="Personnel"/>
    <s v="M "/>
    <s v="Middle Grade Group 7-8"/>
    <s v="PS43MS"/>
    <s v="PSES Mid Prog01Duty43 S275"/>
    <n v="1"/>
    <x v="6"/>
    <n v="43"/>
    <m/>
    <s v="   "/>
    <n v="0.28000000000000003"/>
    <n v="0.22739999999999999"/>
    <n v="0"/>
    <s v="Middle Occupational Therapist"/>
    <x v="6"/>
  </r>
  <r>
    <s v="17001"/>
    <x v="85"/>
    <s v="Personnel"/>
    <s v="E "/>
    <s v="Elementary Grade Group K-6"/>
    <s v="PS44ES"/>
    <s v="PSES Elem Prog01Duty44 S275"/>
    <n v="1"/>
    <x v="13"/>
    <n v="44"/>
    <m/>
    <s v="   "/>
    <n v="25.425000000000001"/>
    <n v="0.22739999999999999"/>
    <n v="0"/>
    <s v="Elementary Social Worker"/>
    <x v="13"/>
  </r>
  <r>
    <s v="17001"/>
    <x v="85"/>
    <s v="Personnel"/>
    <s v="H "/>
    <s v="High Grade Group 9-12"/>
    <s v="PS44H21S"/>
    <s v="PSES High Prog21Duty44 S275"/>
    <n v="21"/>
    <x v="13"/>
    <n v="44"/>
    <m/>
    <s v="   "/>
    <n v="0.5"/>
    <n v="0.22739999999999999"/>
    <n v="0.114"/>
    <s v="High Social Worker"/>
    <x v="13"/>
  </r>
  <r>
    <s v="17001"/>
    <x v="85"/>
    <s v="Personnel"/>
    <s v="H "/>
    <s v="High Grade Group 9-12"/>
    <s v="PS44HS"/>
    <s v="PSES High Prog01Duty44 S275"/>
    <n v="1"/>
    <x v="13"/>
    <n v="44"/>
    <m/>
    <s v="   "/>
    <n v="6.1"/>
    <n v="0.22739999999999999"/>
    <n v="0"/>
    <s v="High Social Worker"/>
    <x v="13"/>
  </r>
  <r>
    <s v="17001"/>
    <x v="85"/>
    <s v="Personnel"/>
    <s v="M "/>
    <s v="Middle Grade Group 7-8"/>
    <s v="PS44MS"/>
    <s v="PSES Mid Prog01Duty44 S275"/>
    <n v="1"/>
    <x v="13"/>
    <n v="44"/>
    <m/>
    <s v="   "/>
    <n v="6.1230000000000002"/>
    <n v="0.22739999999999999"/>
    <n v="0"/>
    <s v="Middle Social Worker"/>
    <x v="13"/>
  </r>
  <r>
    <s v="17001"/>
    <x v="85"/>
    <s v="Personnel"/>
    <s v="E "/>
    <s v="Elementary Grade Group K-6"/>
    <s v="PS45E21S"/>
    <s v="PSES Elem Prog21Duty45 S275"/>
    <n v="21"/>
    <x v="7"/>
    <n v="45"/>
    <m/>
    <s v="   "/>
    <n v="58.284999999999997"/>
    <n v="0.22739999999999999"/>
    <n v="13.254"/>
    <s v="Elementary Speech, Language Pathway/_x000a_Audio"/>
    <x v="7"/>
  </r>
  <r>
    <s v="17001"/>
    <x v="85"/>
    <s v="Personnel"/>
    <s v="E "/>
    <s v="Elementary Grade Group K-6"/>
    <s v="PS45ES"/>
    <s v="PSES Elem Prog01Duty45 S275"/>
    <n v="1"/>
    <x v="7"/>
    <n v="45"/>
    <m/>
    <s v="   "/>
    <n v="0.08"/>
    <n v="0.22739999999999999"/>
    <n v="0"/>
    <s v="Elementary Speech, Language Pathway/_x000a_Audio"/>
    <x v="7"/>
  </r>
  <r>
    <s v="17001"/>
    <x v="85"/>
    <s v="Personnel"/>
    <s v="H "/>
    <s v="High Grade Group 9-12"/>
    <s v="PS45H21S"/>
    <s v="PSES High Prog21Duty45 S275"/>
    <n v="21"/>
    <x v="7"/>
    <n v="45"/>
    <m/>
    <s v="   "/>
    <n v="32.023000000000003"/>
    <n v="0.22739999999999999"/>
    <n v="7.282"/>
    <s v="High Speech, Language Pathway/_x000a_Audio"/>
    <x v="7"/>
  </r>
  <r>
    <s v="17001"/>
    <x v="85"/>
    <s v="Personnel"/>
    <s v="H "/>
    <s v="High Grade Group 9-12"/>
    <s v="PS45HS"/>
    <s v="PSES High Prog01Duty45 S275"/>
    <n v="1"/>
    <x v="7"/>
    <n v="45"/>
    <m/>
    <s v="   "/>
    <n v="0.31"/>
    <n v="0.22739999999999999"/>
    <n v="0"/>
    <s v="High Speech, Language Pathway/_x000a_Audio"/>
    <x v="7"/>
  </r>
  <r>
    <s v="17001"/>
    <x v="85"/>
    <s v="Personnel"/>
    <s v="M "/>
    <s v="Middle Grade Group 7-8"/>
    <s v="PS45M21S"/>
    <s v="PSES Mid Prog21Duty45 S275"/>
    <n v="21"/>
    <x v="7"/>
    <n v="45"/>
    <m/>
    <s v="   "/>
    <n v="14.462"/>
    <n v="0.22739999999999999"/>
    <n v="3.2890000000000001"/>
    <s v="Middle Speech, Language Pathway/_x000a_Audio"/>
    <x v="7"/>
  </r>
  <r>
    <s v="17001"/>
    <x v="85"/>
    <s v="Personnel"/>
    <s v="M "/>
    <s v="Middle Grade Group 7-8"/>
    <s v="PS45MS"/>
    <s v="PSES Mid Prog01Duty45 S275"/>
    <n v="1"/>
    <x v="7"/>
    <n v="45"/>
    <m/>
    <s v="   "/>
    <n v="0.14000000000000001"/>
    <n v="0.22739999999999999"/>
    <n v="0"/>
    <s v="Middle Speech, Language Pathway/_x000a_Audio"/>
    <x v="7"/>
  </r>
  <r>
    <s v="17001"/>
    <x v="85"/>
    <s v="Personnel"/>
    <s v="E "/>
    <s v="Elementary Grade Group K-6"/>
    <s v="PS46E21S"/>
    <s v="PSES Elem Prog21Duty46 S275"/>
    <n v="21"/>
    <x v="8"/>
    <n v="46"/>
    <m/>
    <s v="   "/>
    <n v="28.774999999999999"/>
    <n v="0.22739999999999999"/>
    <n v="6.5430000000000001"/>
    <s v="Elementary Psychologist"/>
    <x v="8"/>
  </r>
  <r>
    <s v="17001"/>
    <x v="85"/>
    <s v="Personnel"/>
    <s v="E "/>
    <s v="Elementary Grade Group K-6"/>
    <s v="PS46ES"/>
    <s v="PSES Elem Prog01Duty46 S275"/>
    <n v="1"/>
    <x v="8"/>
    <n v="46"/>
    <m/>
    <s v="   "/>
    <n v="0.55000000000000004"/>
    <n v="0.22739999999999999"/>
    <n v="0"/>
    <s v="Elementary Psychologist"/>
    <x v="8"/>
  </r>
  <r>
    <s v="17001"/>
    <x v="85"/>
    <s v="Personnel"/>
    <s v="H "/>
    <s v="High Grade Group 9-12"/>
    <s v="PS46H21S"/>
    <s v="PSES High Prog21Duty46 S275"/>
    <n v="21"/>
    <x v="8"/>
    <n v="46"/>
    <m/>
    <s v="   "/>
    <n v="15.654999999999999"/>
    <n v="0.22739999999999999"/>
    <n v="3.56"/>
    <s v="High Psychologist"/>
    <x v="8"/>
  </r>
  <r>
    <s v="17001"/>
    <x v="85"/>
    <s v="Personnel"/>
    <s v="H "/>
    <s v="High Grade Group 9-12"/>
    <s v="PS46HS"/>
    <s v="PSES High Prog01Duty46 S275"/>
    <n v="1"/>
    <x v="8"/>
    <n v="46"/>
    <m/>
    <s v="   "/>
    <n v="0.31"/>
    <n v="0.22739999999999999"/>
    <n v="0"/>
    <s v="High Psychologist"/>
    <x v="8"/>
  </r>
  <r>
    <s v="17001"/>
    <x v="85"/>
    <s v="Personnel"/>
    <s v="M "/>
    <s v="Middle Grade Group 7-8"/>
    <s v="PS46M21S"/>
    <s v="PSES Mid Prog21Duty46 S275"/>
    <n v="21"/>
    <x v="8"/>
    <n v="46"/>
    <m/>
    <s v="   "/>
    <n v="7.07"/>
    <n v="0.22739999999999999"/>
    <n v="1.6080000000000001"/>
    <s v="Middle Psychologist"/>
    <x v="8"/>
  </r>
  <r>
    <s v="17001"/>
    <x v="85"/>
    <s v="Personnel"/>
    <s v="M "/>
    <s v="Middle Grade Group 7-8"/>
    <s v="PS46MS"/>
    <s v="PSES Mid Prog01Duty46 S275"/>
    <n v="1"/>
    <x v="8"/>
    <n v="46"/>
    <m/>
    <s v="   "/>
    <n v="0.14000000000000001"/>
    <n v="0.22739999999999999"/>
    <n v="0"/>
    <s v="Middle Psychologist"/>
    <x v="8"/>
  </r>
  <r>
    <s v="17001"/>
    <x v="85"/>
    <s v="Personnel"/>
    <s v="E "/>
    <s v="Elementary Grade Group K-6"/>
    <s v="PS47E21S"/>
    <s v="PSES Elem Prog21Duty47 S275"/>
    <n v="21"/>
    <x v="9"/>
    <n v="47"/>
    <m/>
    <s v="   "/>
    <n v="1.9570000000000001"/>
    <n v="0.22739999999999999"/>
    <n v="0.44500000000000001"/>
    <s v="Elementary Nurse"/>
    <x v="9"/>
  </r>
  <r>
    <s v="17001"/>
    <x v="85"/>
    <s v="Personnel"/>
    <s v="E "/>
    <s v="Elementary Grade Group K-6"/>
    <s v="PS47ES"/>
    <s v="PSES Elem Prog01Duty47 S275"/>
    <n v="1"/>
    <x v="9"/>
    <n v="47"/>
    <m/>
    <s v="   "/>
    <n v="30.026"/>
    <n v="0.22739999999999999"/>
    <n v="0"/>
    <s v="Elementary Nurse"/>
    <x v="9"/>
  </r>
  <r>
    <s v="17001"/>
    <x v="85"/>
    <s v="Personnel"/>
    <s v="H "/>
    <s v="High Grade Group 9-12"/>
    <s v="PS47H21S"/>
    <s v="PSES High Prog21Duty47 S275"/>
    <n v="21"/>
    <x v="9"/>
    <n v="47"/>
    <m/>
    <s v="   "/>
    <n v="1.2090000000000001"/>
    <n v="0.22739999999999999"/>
    <n v="0.27500000000000002"/>
    <s v="High Nurse"/>
    <x v="9"/>
  </r>
  <r>
    <s v="17001"/>
    <x v="85"/>
    <s v="Personnel"/>
    <s v="H "/>
    <s v="High Grade Group 9-12"/>
    <s v="PS47HS"/>
    <s v="PSES High Prog01Duty47 S275"/>
    <n v="1"/>
    <x v="9"/>
    <n v="47"/>
    <m/>
    <s v="   "/>
    <n v="16.556000000000001"/>
    <n v="0.22739999999999999"/>
    <n v="0"/>
    <s v="High Nurse"/>
    <x v="9"/>
  </r>
  <r>
    <s v="17001"/>
    <x v="85"/>
    <s v="Personnel"/>
    <s v="M "/>
    <s v="Middle Grade Group 7-8"/>
    <s v="PS47M21S"/>
    <s v="PSES Mid Prog21Duty47 S275"/>
    <n v="21"/>
    <x v="9"/>
    <n v="47"/>
    <m/>
    <s v="   "/>
    <n v="0.54600000000000004"/>
    <n v="0.22739999999999999"/>
    <n v="0.124"/>
    <s v="Middle Nurse"/>
    <x v="9"/>
  </r>
  <r>
    <s v="17001"/>
    <x v="85"/>
    <s v="Personnel"/>
    <s v="M "/>
    <s v="Middle Grade Group 7-8"/>
    <s v="PS47MS"/>
    <s v="PSES Mid Prog01Duty47 S275"/>
    <n v="1"/>
    <x v="9"/>
    <n v="47"/>
    <m/>
    <s v="   "/>
    <n v="7.4740000000000002"/>
    <n v="0.22739999999999999"/>
    <n v="0"/>
    <s v="Middle Nurse"/>
    <x v="9"/>
  </r>
  <r>
    <s v="17001"/>
    <x v="85"/>
    <s v="Personnel"/>
    <s v="E "/>
    <s v="Elementary Grade Group K-6"/>
    <s v="PS48E21S"/>
    <s v="PSES Elem Prog21Duty48 S275"/>
    <n v="21"/>
    <x v="11"/>
    <n v="48"/>
    <m/>
    <s v="   "/>
    <n v="6.6"/>
    <n v="0.22739999999999999"/>
    <n v="1.5009999999999999"/>
    <s v="Elementary Physical Therapist"/>
    <x v="11"/>
  </r>
  <r>
    <s v="17001"/>
    <x v="85"/>
    <s v="Personnel"/>
    <s v="H "/>
    <s v="High Grade Group 9-12"/>
    <s v="PS48H21S"/>
    <s v="PSES High Prog21Duty48 S275"/>
    <n v="21"/>
    <x v="11"/>
    <n v="48"/>
    <m/>
    <s v="   "/>
    <n v="3.72"/>
    <n v="0.22739999999999999"/>
    <n v="0.84599999999999997"/>
    <s v="High Physical Therapist"/>
    <x v="11"/>
  </r>
  <r>
    <s v="17001"/>
    <x v="85"/>
    <s v="Personnel"/>
    <s v="M "/>
    <s v="Middle Grade Group 7-8"/>
    <s v="PS48M21S"/>
    <s v="PSES Mid Prog21Duty48 S275"/>
    <n v="21"/>
    <x v="11"/>
    <n v="48"/>
    <m/>
    <s v="   "/>
    <n v="1.68"/>
    <n v="0.22739999999999999"/>
    <n v="0.38200000000000001"/>
    <s v="Middle Physical Therapist"/>
    <x v="11"/>
  </r>
  <r>
    <s v="17210"/>
    <x v="86"/>
    <s v="Personnel"/>
    <s v="H "/>
    <s v="High Grade Group 9-12"/>
    <s v="PS24HS"/>
    <s v="PSES High Prog01Duty96 S275"/>
    <n v="1"/>
    <x v="0"/>
    <n v="96"/>
    <n v="24"/>
    <s v="   "/>
    <n v="4"/>
    <n v="0.29709999999999998"/>
    <n v="0"/>
    <s v="High Family Engagement Coordinator"/>
    <x v="0"/>
  </r>
  <r>
    <s v="17210"/>
    <x v="86"/>
    <s v="Personnel"/>
    <s v="H "/>
    <s v="High Grade Group 9-12"/>
    <s v="PS25H97S"/>
    <s v="PSES High Prog97Act25 S275"/>
    <n v="97"/>
    <x v="1"/>
    <m/>
    <n v="25"/>
    <s v="   "/>
    <n v="1"/>
    <n v="0.29709999999999998"/>
    <n v="0"/>
    <s v="High Pupil Management"/>
    <x v="1"/>
  </r>
  <r>
    <s v="17210"/>
    <x v="86"/>
    <s v="Personnel"/>
    <s v="H "/>
    <s v="High Grade Group 9-12"/>
    <s v="PS25HS"/>
    <s v="PSES High Prog01Act25 S275"/>
    <n v="1"/>
    <x v="1"/>
    <m/>
    <n v="25"/>
    <s v="   "/>
    <n v="39.029000000000003"/>
    <n v="0.29709999999999998"/>
    <n v="0"/>
    <s v="High Pupil Management"/>
    <x v="1"/>
  </r>
  <r>
    <s v="17210"/>
    <x v="86"/>
    <s v="Personnel"/>
    <s v="H "/>
    <s v="High Grade Group 9-12"/>
    <s v="PS26H21S"/>
    <s v="PSES High Prog21Act26 S275"/>
    <n v="21"/>
    <x v="2"/>
    <m/>
    <n v="26"/>
    <s v="   "/>
    <n v="5.3159999999999998"/>
    <n v="0.29709999999999998"/>
    <n v="1.579"/>
    <s v="High Health/_x000a_Related Services"/>
    <x v="2"/>
  </r>
  <r>
    <s v="17210"/>
    <x v="86"/>
    <s v="Personnel"/>
    <s v="H "/>
    <s v="High Grade Group 9-12"/>
    <s v="PS26HS"/>
    <s v="PSES High Prog01Act26 S275"/>
    <n v="1"/>
    <x v="2"/>
    <m/>
    <n v="26"/>
    <s v="   "/>
    <n v="15.58"/>
    <n v="0.29709999999999998"/>
    <n v="0"/>
    <s v="High Health/_x000a_Related Services"/>
    <x v="2"/>
  </r>
  <r>
    <s v="17210"/>
    <x v="86"/>
    <s v="Personnel"/>
    <s v="H "/>
    <s v="High Grade Group 9-12"/>
    <s v="PS35H97S"/>
    <s v="PSES High Prog97Act35 S275"/>
    <n v="97"/>
    <x v="3"/>
    <m/>
    <n v="35"/>
    <s v="   "/>
    <n v="11.407"/>
    <n v="0.29709999999999998"/>
    <n v="0"/>
    <s v="High Pupil Safety"/>
    <x v="3"/>
  </r>
  <r>
    <s v="17210"/>
    <x v="86"/>
    <s v="Personnel"/>
    <s v="E "/>
    <s v="Elementary Grade Group K-6"/>
    <s v="PS42ES"/>
    <s v="PSES Elem Prog01Duty42 S275"/>
    <n v="1"/>
    <x v="5"/>
    <n v="42"/>
    <m/>
    <s v="   "/>
    <n v="20.803999999999998"/>
    <n v="0.29709999999999998"/>
    <n v="0"/>
    <s v="Elementary Counselor"/>
    <x v="5"/>
  </r>
  <r>
    <s v="17210"/>
    <x v="86"/>
    <s v="Personnel"/>
    <s v="H "/>
    <s v="High Grade Group 9-12"/>
    <s v="PS42HS"/>
    <s v="PSES High Prog01Duty42 S275"/>
    <n v="1"/>
    <x v="5"/>
    <n v="42"/>
    <m/>
    <s v="   "/>
    <n v="10.34"/>
    <n v="0.29709999999999998"/>
    <n v="0"/>
    <s v="High Counselor"/>
    <x v="5"/>
  </r>
  <r>
    <s v="17210"/>
    <x v="86"/>
    <s v="Personnel"/>
    <s v="M "/>
    <s v="Middle Grade Group 7-8"/>
    <s v="PS42MS"/>
    <s v="PSES Mid Prog01Duty42 S275"/>
    <n v="1"/>
    <x v="5"/>
    <n v="42"/>
    <m/>
    <s v="   "/>
    <n v="4.9960000000000004"/>
    <n v="0.29709999999999998"/>
    <n v="0"/>
    <s v="Middle Counselor"/>
    <x v="5"/>
  </r>
  <r>
    <s v="17210"/>
    <x v="86"/>
    <s v="Personnel"/>
    <s v="E "/>
    <s v="Elementary Grade Group K-6"/>
    <s v="PS43E21S"/>
    <s v="PSES Elem Prog21Duty43 S275"/>
    <n v="21"/>
    <x v="6"/>
    <n v="43"/>
    <m/>
    <s v="   "/>
    <n v="3.2280000000000002"/>
    <n v="0.29709999999999998"/>
    <n v="0.95899999999999996"/>
    <s v="Elementary Occupational Therapist"/>
    <x v="6"/>
  </r>
  <r>
    <s v="17210"/>
    <x v="86"/>
    <s v="Personnel"/>
    <s v="H "/>
    <s v="High Grade Group 9-12"/>
    <s v="PS43H21S"/>
    <s v="PSES High Prog21Duty43 S275"/>
    <n v="21"/>
    <x v="6"/>
    <n v="43"/>
    <m/>
    <s v="   "/>
    <n v="1.8480000000000001"/>
    <n v="0.29709999999999998"/>
    <n v="0.54900000000000004"/>
    <s v="High Occupational Therapist"/>
    <x v="6"/>
  </r>
  <r>
    <s v="17210"/>
    <x v="86"/>
    <s v="Personnel"/>
    <s v="M "/>
    <s v="Middle Grade Group 7-8"/>
    <s v="PS43M21S"/>
    <s v="PSES Mid Prog21Duty43 S275"/>
    <n v="21"/>
    <x v="6"/>
    <n v="43"/>
    <m/>
    <s v="   "/>
    <n v="0.92400000000000004"/>
    <n v="0.29709999999999998"/>
    <n v="0.27500000000000002"/>
    <s v="Middle Occupational Therapist"/>
    <x v="6"/>
  </r>
  <r>
    <s v="17210"/>
    <x v="86"/>
    <s v="Personnel"/>
    <s v="E "/>
    <s v="Elementary Grade Group K-6"/>
    <s v="PS44ES"/>
    <s v="PSES Elem Prog01Duty44 S275"/>
    <n v="1"/>
    <x v="13"/>
    <n v="44"/>
    <m/>
    <s v="   "/>
    <n v="4.33"/>
    <n v="0.29709999999999998"/>
    <n v="0"/>
    <s v="Elementary Social Worker"/>
    <x v="13"/>
  </r>
  <r>
    <s v="17210"/>
    <x v="86"/>
    <s v="Personnel"/>
    <s v="H "/>
    <s v="High Grade Group 9-12"/>
    <s v="PS44HS"/>
    <s v="PSES High Prog01Duty44 S275"/>
    <n v="1"/>
    <x v="13"/>
    <n v="44"/>
    <m/>
    <s v="   "/>
    <n v="0.34"/>
    <n v="0.29709999999999998"/>
    <n v="0"/>
    <s v="High Social Worker"/>
    <x v="13"/>
  </r>
  <r>
    <s v="17210"/>
    <x v="86"/>
    <s v="Personnel"/>
    <s v="M "/>
    <s v="Middle Grade Group 7-8"/>
    <s v="PS44MS"/>
    <s v="PSES Mid Prog01Duty44 S275"/>
    <n v="1"/>
    <x v="13"/>
    <n v="44"/>
    <m/>
    <s v="   "/>
    <n v="0.67"/>
    <n v="0.29709999999999998"/>
    <n v="0"/>
    <s v="Middle Social Worker"/>
    <x v="13"/>
  </r>
  <r>
    <s v="17210"/>
    <x v="86"/>
    <s v="Personnel"/>
    <s v="E "/>
    <s v="Elementary Grade Group K-6"/>
    <s v="PS45E21S"/>
    <s v="PSES Elem Prog21Duty45 S275"/>
    <n v="21"/>
    <x v="7"/>
    <n v="45"/>
    <m/>
    <s v="   "/>
    <n v="20.288"/>
    <n v="0.29709999999999998"/>
    <n v="6.0279999999999996"/>
    <s v="Elementary Speech, Language Pathway/_x000a_Audio"/>
    <x v="7"/>
  </r>
  <r>
    <s v="17210"/>
    <x v="86"/>
    <s v="Personnel"/>
    <s v="H "/>
    <s v="High Grade Group 9-12"/>
    <s v="PS45H21S"/>
    <s v="PSES High Prog21Duty45 S275"/>
    <n v="21"/>
    <x v="7"/>
    <n v="45"/>
    <m/>
    <s v="   "/>
    <n v="11.61"/>
    <n v="0.29709999999999998"/>
    <n v="3.4489999999999998"/>
    <s v="High Speech, Language Pathway/_x000a_Audio"/>
    <x v="7"/>
  </r>
  <r>
    <s v="17210"/>
    <x v="86"/>
    <s v="Personnel"/>
    <s v="M "/>
    <s v="Middle Grade Group 7-8"/>
    <s v="PS45M21S"/>
    <s v="PSES Mid Prog21Duty45 S275"/>
    <n v="21"/>
    <x v="7"/>
    <n v="45"/>
    <m/>
    <s v="   "/>
    <n v="5.8049999999999997"/>
    <n v="0.29709999999999998"/>
    <n v="1.7250000000000001"/>
    <s v="Middle Speech, Language Pathway/_x000a_Audio"/>
    <x v="7"/>
  </r>
  <r>
    <s v="17210"/>
    <x v="86"/>
    <s v="Personnel"/>
    <s v="E "/>
    <s v="Elementary Grade Group K-6"/>
    <s v="PS46E21S"/>
    <s v="PSES Elem Prog21Duty46 S275"/>
    <n v="21"/>
    <x v="8"/>
    <n v="46"/>
    <m/>
    <s v="   "/>
    <n v="16.140999999999998"/>
    <n v="0.29709999999999998"/>
    <n v="4.7949999999999999"/>
    <s v="Elementary Psychologist"/>
    <x v="8"/>
  </r>
  <r>
    <s v="17210"/>
    <x v="86"/>
    <s v="Personnel"/>
    <s v="H "/>
    <s v="High Grade Group 9-12"/>
    <s v="PS46H21S"/>
    <s v="PSES High Prog21Duty46 S275"/>
    <n v="21"/>
    <x v="8"/>
    <n v="46"/>
    <m/>
    <s v="   "/>
    <n v="9.24"/>
    <n v="0.29709999999999998"/>
    <n v="2.7450000000000001"/>
    <s v="High Psychologist"/>
    <x v="8"/>
  </r>
  <r>
    <s v="17210"/>
    <x v="86"/>
    <s v="Personnel"/>
    <s v="M "/>
    <s v="Middle Grade Group 7-8"/>
    <s v="PS46M21S"/>
    <s v="PSES Mid Prog21Duty46 S275"/>
    <n v="21"/>
    <x v="8"/>
    <n v="46"/>
    <m/>
    <s v="   "/>
    <n v="4.6189999999999998"/>
    <n v="0.29709999999999998"/>
    <n v="1.3720000000000001"/>
    <s v="Middle Psychologist"/>
    <x v="8"/>
  </r>
  <r>
    <s v="17210"/>
    <x v="86"/>
    <s v="Personnel"/>
    <s v="E "/>
    <s v="Elementary Grade Group K-6"/>
    <s v="PS47ES"/>
    <s v="PSES Elem Prog01Duty47 S275"/>
    <n v="1"/>
    <x v="9"/>
    <n v="47"/>
    <m/>
    <s v="   "/>
    <n v="9.42"/>
    <n v="0.29709999999999998"/>
    <n v="0"/>
    <s v="Elementary Nurse"/>
    <x v="9"/>
  </r>
  <r>
    <s v="17210"/>
    <x v="86"/>
    <s v="Personnel"/>
    <s v="H "/>
    <s v="High Grade Group 9-12"/>
    <s v="PS47HS"/>
    <s v="PSES High Prog01Duty47 S275"/>
    <n v="1"/>
    <x v="9"/>
    <n v="47"/>
    <m/>
    <s v="   "/>
    <n v="5.39"/>
    <n v="0.29709999999999998"/>
    <n v="0"/>
    <s v="High Nurse"/>
    <x v="9"/>
  </r>
  <r>
    <s v="17210"/>
    <x v="86"/>
    <s v="Personnel"/>
    <s v="M "/>
    <s v="Middle Grade Group 7-8"/>
    <s v="PS47MS"/>
    <s v="PSES Mid Prog01Duty47 S275"/>
    <n v="1"/>
    <x v="9"/>
    <n v="47"/>
    <m/>
    <s v="   "/>
    <n v="2.6949999999999998"/>
    <n v="0.29709999999999998"/>
    <n v="0"/>
    <s v="Middle Nurse"/>
    <x v="9"/>
  </r>
  <r>
    <s v="17210"/>
    <x v="86"/>
    <s v="Personnel"/>
    <s v="E "/>
    <s v="Elementary Grade Group K-6"/>
    <s v="PS48E21S"/>
    <s v="PSES Elem Prog21Duty48 S275"/>
    <n v="21"/>
    <x v="11"/>
    <n v="48"/>
    <m/>
    <s v="   "/>
    <n v="2.69"/>
    <n v="0.29709999999999998"/>
    <n v="0.79900000000000004"/>
    <s v="Elementary Physical Therapist"/>
    <x v="11"/>
  </r>
  <r>
    <s v="17210"/>
    <x v="86"/>
    <s v="Personnel"/>
    <s v="H "/>
    <s v="High Grade Group 9-12"/>
    <s v="PS48H21S"/>
    <s v="PSES High Prog21Duty48 S275"/>
    <n v="21"/>
    <x v="11"/>
    <n v="48"/>
    <m/>
    <s v="   "/>
    <n v="1.54"/>
    <n v="0.29709999999999998"/>
    <n v="0.45800000000000002"/>
    <s v="High Physical Therapist"/>
    <x v="11"/>
  </r>
  <r>
    <s v="17210"/>
    <x v="86"/>
    <s v="Personnel"/>
    <s v="M "/>
    <s v="Middle Grade Group 7-8"/>
    <s v="PS48M21S"/>
    <s v="PSES Mid Prog21Duty48 S275"/>
    <n v="21"/>
    <x v="11"/>
    <n v="48"/>
    <m/>
    <s v="   "/>
    <n v="0.77"/>
    <n v="0.29709999999999998"/>
    <n v="0.22900000000000001"/>
    <s v="Middle Physical Therapist"/>
    <x v="11"/>
  </r>
  <r>
    <s v="17210"/>
    <x v="86"/>
    <s v="Personnel"/>
    <s v="E "/>
    <s v="Elementary Grade Group K-6"/>
    <s v="PS64E21S"/>
    <s v="PSES Elem Prog21Duty64 S275"/>
    <n v="21"/>
    <x v="12"/>
    <n v="64"/>
    <m/>
    <s v="   "/>
    <n v="3.2280000000000002"/>
    <n v="0.29709999999999998"/>
    <n v="0.95899999999999996"/>
    <s v="Elementary Contractor ESA"/>
    <x v="12"/>
  </r>
  <r>
    <s v="17210"/>
    <x v="86"/>
    <s v="Personnel"/>
    <s v="H "/>
    <s v="High Grade Group 9-12"/>
    <s v="PS64H21S"/>
    <s v="PSES High Prog21Duty64 S275"/>
    <n v="21"/>
    <x v="12"/>
    <n v="64"/>
    <m/>
    <s v="   "/>
    <n v="1.8480000000000001"/>
    <n v="0.29709999999999998"/>
    <n v="0.54900000000000004"/>
    <s v="High Contractor ESA"/>
    <x v="12"/>
  </r>
  <r>
    <s v="17210"/>
    <x v="86"/>
    <s v="Personnel"/>
    <s v="M "/>
    <s v="Middle Grade Group 7-8"/>
    <s v="PS64M21S"/>
    <s v="PSES Mid Prog21Duty64 S275"/>
    <n v="21"/>
    <x v="12"/>
    <n v="64"/>
    <m/>
    <s v="   "/>
    <n v="0.92400000000000004"/>
    <n v="0.29709999999999998"/>
    <n v="0.27500000000000002"/>
    <s v="Middle Contractor ESA"/>
    <x v="12"/>
  </r>
  <r>
    <s v="17216"/>
    <x v="87"/>
    <s v="Personnel"/>
    <s v="E "/>
    <s v="Elementary Grade Group K-6"/>
    <s v="PS25ES"/>
    <s v="PSES Elem Prog01Act25 S275"/>
    <n v="1"/>
    <x v="1"/>
    <m/>
    <n v="25"/>
    <s v="   "/>
    <n v="1.6759999999999999"/>
    <n v="0.25290000000000001"/>
    <n v="0"/>
    <s v="Elementary Pupil Management"/>
    <x v="1"/>
  </r>
  <r>
    <s v="17216"/>
    <x v="87"/>
    <s v="Personnel"/>
    <s v="H "/>
    <s v="High Grade Group 9-12"/>
    <s v="PS25HS"/>
    <s v="PSES High Prog01Act25 S275"/>
    <n v="1"/>
    <x v="1"/>
    <m/>
    <n v="25"/>
    <s v="   "/>
    <n v="4.0000000000000001E-3"/>
    <n v="0.25290000000000001"/>
    <n v="0"/>
    <s v="High Pupil Management"/>
    <x v="1"/>
  </r>
  <r>
    <s v="17216"/>
    <x v="87"/>
    <s v="Personnel"/>
    <s v="H "/>
    <s v="High Grade Group 9-12"/>
    <s v="PS26H21S"/>
    <s v="PSES High Prog21Act26 S275"/>
    <n v="21"/>
    <x v="2"/>
    <m/>
    <n v="26"/>
    <s v="   "/>
    <n v="1.214"/>
    <n v="0.25290000000000001"/>
    <n v="0.307"/>
    <s v="High Health/_x000a_Related Services"/>
    <x v="2"/>
  </r>
  <r>
    <s v="17216"/>
    <x v="87"/>
    <s v="Personnel"/>
    <s v="H "/>
    <s v="High Grade Group 9-12"/>
    <s v="PS26HS"/>
    <s v="PSES High Prog01Act26 S275"/>
    <n v="1"/>
    <x v="2"/>
    <m/>
    <n v="26"/>
    <s v="   "/>
    <n v="4.8419999999999996"/>
    <n v="0.25290000000000001"/>
    <n v="0"/>
    <s v="High Health/_x000a_Related Services"/>
    <x v="2"/>
  </r>
  <r>
    <s v="17216"/>
    <x v="87"/>
    <s v="Personnel"/>
    <s v="H "/>
    <s v="High Grade Group 9-12"/>
    <s v="PS35HS"/>
    <s v="PSES High Prog01Act35 S275"/>
    <n v="1"/>
    <x v="3"/>
    <m/>
    <n v="35"/>
    <s v="   "/>
    <n v="0.78100000000000003"/>
    <n v="0.25290000000000001"/>
    <n v="0"/>
    <s v="High Pupil Safety"/>
    <x v="3"/>
  </r>
  <r>
    <s v="17216"/>
    <x v="87"/>
    <s v="Personnel"/>
    <s v="E "/>
    <s v="Elementary Grade Group K-6"/>
    <s v="PS42ES"/>
    <s v="PSES Elem Prog01Duty42 S275"/>
    <n v="1"/>
    <x v="5"/>
    <n v="42"/>
    <m/>
    <s v="   "/>
    <n v="5.6820000000000004"/>
    <n v="0.25290000000000001"/>
    <n v="0"/>
    <s v="Elementary Counselor"/>
    <x v="5"/>
  </r>
  <r>
    <s v="17216"/>
    <x v="87"/>
    <s v="Personnel"/>
    <s v="H "/>
    <s v="High Grade Group 9-12"/>
    <s v="PS42HS"/>
    <s v="PSES High Prog01Duty42 S275"/>
    <n v="1"/>
    <x v="5"/>
    <n v="42"/>
    <m/>
    <s v="   "/>
    <n v="3"/>
    <n v="0.25290000000000001"/>
    <n v="0"/>
    <s v="High Counselor"/>
    <x v="5"/>
  </r>
  <r>
    <s v="17216"/>
    <x v="87"/>
    <s v="Personnel"/>
    <s v="M "/>
    <s v="Middle Grade Group 7-8"/>
    <s v="PS42MS"/>
    <s v="PSES Mid Prog01Duty42 S275"/>
    <n v="1"/>
    <x v="5"/>
    <n v="42"/>
    <m/>
    <s v="   "/>
    <n v="1.3180000000000001"/>
    <n v="0.25290000000000001"/>
    <n v="0"/>
    <s v="Middle Counselor"/>
    <x v="5"/>
  </r>
  <r>
    <s v="17216"/>
    <x v="87"/>
    <s v="Personnel"/>
    <s v="E "/>
    <s v="Elementary Grade Group K-6"/>
    <s v="PS43E21S"/>
    <s v="PSES Elem Prog21Duty43 S275"/>
    <n v="21"/>
    <x v="6"/>
    <n v="43"/>
    <m/>
    <s v="   "/>
    <n v="1"/>
    <n v="0.25290000000000001"/>
    <n v="0.253"/>
    <s v="Elementary Occupational Therapist"/>
    <x v="6"/>
  </r>
  <r>
    <s v="17216"/>
    <x v="87"/>
    <s v="Personnel"/>
    <s v="E "/>
    <s v="Elementary Grade Group K-6"/>
    <s v="PS45E21S"/>
    <s v="PSES Elem Prog21Duty45 S275"/>
    <n v="21"/>
    <x v="7"/>
    <n v="45"/>
    <m/>
    <s v="   "/>
    <n v="5.26"/>
    <n v="0.25290000000000001"/>
    <n v="1.33"/>
    <s v="Elementary Speech, Language Pathway/_x000a_Audio"/>
    <x v="7"/>
  </r>
  <r>
    <s v="17216"/>
    <x v="87"/>
    <s v="Personnel"/>
    <s v="H "/>
    <s v="High Grade Group 9-12"/>
    <s v="PS45H21S"/>
    <s v="PSES High Prog21Duty45 S275"/>
    <n v="21"/>
    <x v="7"/>
    <n v="45"/>
    <m/>
    <s v="   "/>
    <n v="0.224"/>
    <n v="0.25290000000000001"/>
    <n v="5.7000000000000002E-2"/>
    <s v="High Speech, Language Pathway/_x000a_Audio"/>
    <x v="7"/>
  </r>
  <r>
    <s v="17216"/>
    <x v="87"/>
    <s v="Personnel"/>
    <s v="M "/>
    <s v="Middle Grade Group 7-8"/>
    <s v="PS45M21S"/>
    <s v="PSES Mid Prog21Duty45 S275"/>
    <n v="21"/>
    <x v="7"/>
    <n v="45"/>
    <m/>
    <s v="   "/>
    <n v="0.52700000000000002"/>
    <n v="0.25290000000000001"/>
    <n v="0.13300000000000001"/>
    <s v="Middle Speech, Language Pathway/_x000a_Audio"/>
    <x v="7"/>
  </r>
  <r>
    <s v="17216"/>
    <x v="87"/>
    <s v="Personnel"/>
    <s v="E "/>
    <s v="Elementary Grade Group K-6"/>
    <s v="PS46E21S"/>
    <s v="PSES Elem Prog21Duty46 S275"/>
    <n v="21"/>
    <x v="8"/>
    <n v="46"/>
    <m/>
    <s v="   "/>
    <n v="2"/>
    <n v="0.25290000000000001"/>
    <n v="0.50600000000000001"/>
    <s v="Elementary Psychologist"/>
    <x v="8"/>
  </r>
  <r>
    <s v="17216"/>
    <x v="87"/>
    <s v="Personnel"/>
    <s v="E "/>
    <s v="Elementary Grade Group K-6"/>
    <s v="PS47E21S"/>
    <s v="PSES Elem Prog21Duty47 S275"/>
    <n v="21"/>
    <x v="9"/>
    <n v="47"/>
    <m/>
    <s v="   "/>
    <n v="7.0000000000000007E-2"/>
    <n v="0.25290000000000001"/>
    <n v="1.7999999999999999E-2"/>
    <s v="Elementary Nurse"/>
    <x v="9"/>
  </r>
  <r>
    <s v="17216"/>
    <x v="87"/>
    <s v="Personnel"/>
    <s v="E "/>
    <s v="Elementary Grade Group K-6"/>
    <s v="PS47ES"/>
    <s v="PSES Elem Prog01Duty47 S275"/>
    <n v="1"/>
    <x v="9"/>
    <n v="47"/>
    <m/>
    <s v="   "/>
    <n v="0.39800000000000002"/>
    <n v="0.25290000000000001"/>
    <n v="0"/>
    <s v="Elementary Nurse"/>
    <x v="9"/>
  </r>
  <r>
    <s v="17216"/>
    <x v="87"/>
    <s v="Personnel"/>
    <s v="H "/>
    <s v="High Grade Group 9-12"/>
    <s v="PS47H21S"/>
    <s v="PSES High Prog21Duty47 S275"/>
    <n v="21"/>
    <x v="9"/>
    <n v="47"/>
    <m/>
    <s v="   "/>
    <n v="4.3999999999999997E-2"/>
    <n v="0.25290000000000001"/>
    <n v="1.0999999999999999E-2"/>
    <s v="High Nurse"/>
    <x v="9"/>
  </r>
  <r>
    <s v="17216"/>
    <x v="87"/>
    <s v="Personnel"/>
    <s v="H "/>
    <s v="High Grade Group 9-12"/>
    <s v="PS47HS"/>
    <s v="PSES High Prog01Duty47 S275"/>
    <n v="1"/>
    <x v="9"/>
    <n v="47"/>
    <m/>
    <s v="   "/>
    <n v="0.248"/>
    <n v="0.25290000000000001"/>
    <n v="0"/>
    <s v="High Nurse"/>
    <x v="9"/>
  </r>
  <r>
    <s v="17216"/>
    <x v="87"/>
    <s v="Personnel"/>
    <s v="M "/>
    <s v="Middle Grade Group 7-8"/>
    <s v="PS47M21S"/>
    <s v="PSES Mid Prog21Duty47 S275"/>
    <n v="21"/>
    <x v="9"/>
    <n v="47"/>
    <m/>
    <s v="   "/>
    <n v="3.5999999999999997E-2"/>
    <n v="0.25290000000000001"/>
    <n v="8.9999999999999993E-3"/>
    <s v="Middle Nurse"/>
    <x v="9"/>
  </r>
  <r>
    <s v="17216"/>
    <x v="87"/>
    <s v="Personnel"/>
    <s v="M "/>
    <s v="Middle Grade Group 7-8"/>
    <s v="PS47MS"/>
    <s v="PSES Mid Prog01Duty47 S275"/>
    <n v="1"/>
    <x v="9"/>
    <n v="47"/>
    <m/>
    <s v="   "/>
    <n v="0.20399999999999999"/>
    <n v="0.25290000000000001"/>
    <n v="0"/>
    <s v="Middle Nurse"/>
    <x v="9"/>
  </r>
  <r>
    <s v="17216"/>
    <x v="87"/>
    <s v="Personnel"/>
    <s v="E "/>
    <s v="Elementary Grade Group K-6"/>
    <s v="PS64E21S"/>
    <s v="PSES Elem Prog21Duty64 S275"/>
    <n v="21"/>
    <x v="12"/>
    <n v="64"/>
    <m/>
    <s v="   "/>
    <n v="1.5329999999999999"/>
    <n v="0.25290000000000001"/>
    <n v="0.38800000000000001"/>
    <s v="Elementary Contractor ESA"/>
    <x v="12"/>
  </r>
  <r>
    <s v="17216"/>
    <x v="87"/>
    <s v="Personnel"/>
    <s v="H "/>
    <s v="High Grade Group 9-12"/>
    <s v="PS64H21S"/>
    <s v="PSES High Prog21Duty64 S275"/>
    <n v="21"/>
    <x v="12"/>
    <n v="64"/>
    <m/>
    <s v="   "/>
    <n v="3"/>
    <n v="0.25290000000000001"/>
    <n v="0.75900000000000001"/>
    <s v="High Contractor ESA"/>
    <x v="12"/>
  </r>
  <r>
    <s v="17216"/>
    <x v="87"/>
    <s v="Personnel"/>
    <s v="M "/>
    <s v="Middle Grade Group 7-8"/>
    <s v="PS64M21S"/>
    <s v="PSES Mid Prog21Duty64 S275"/>
    <n v="21"/>
    <x v="12"/>
    <n v="64"/>
    <m/>
    <s v="   "/>
    <n v="0.66700000000000004"/>
    <n v="0.25290000000000001"/>
    <n v="0.16900000000000001"/>
    <s v="Middle Contractor ESA"/>
    <x v="12"/>
  </r>
  <r>
    <s v="17400"/>
    <x v="88"/>
    <s v="Personnel"/>
    <s v="H "/>
    <s v="High Grade Group 9-12"/>
    <s v="PS25H21S"/>
    <s v="PSES High Prog21Act25 S275"/>
    <n v="21"/>
    <x v="1"/>
    <m/>
    <n v="25"/>
    <s v="   "/>
    <n v="7.0000000000000007E-2"/>
    <n v="0.19489999999999999"/>
    <n v="1.4E-2"/>
    <s v="High Pupil Management"/>
    <x v="1"/>
  </r>
  <r>
    <s v="17400"/>
    <x v="88"/>
    <s v="Personnel"/>
    <s v="H "/>
    <s v="High Grade Group 9-12"/>
    <s v="PS25HS"/>
    <s v="PSES High Prog01Act25 S275"/>
    <n v="1"/>
    <x v="1"/>
    <m/>
    <n v="25"/>
    <s v="   "/>
    <n v="8.6649999999999991"/>
    <n v="0.19489999999999999"/>
    <n v="0"/>
    <s v="High Pupil Management"/>
    <x v="1"/>
  </r>
  <r>
    <s v="17400"/>
    <x v="88"/>
    <s v="Personnel"/>
    <s v="H "/>
    <s v="High Grade Group 9-12"/>
    <s v="PS26H21S"/>
    <s v="PSES High Prog21Act26 S275"/>
    <n v="21"/>
    <x v="2"/>
    <m/>
    <n v="26"/>
    <s v="   "/>
    <n v="1.7"/>
    <n v="0.19489999999999999"/>
    <n v="0.33100000000000002"/>
    <s v="High Health/_x000a_Related Services"/>
    <x v="2"/>
  </r>
  <r>
    <s v="17400"/>
    <x v="88"/>
    <s v="Personnel"/>
    <s v="H "/>
    <s v="High Grade Group 9-12"/>
    <s v="PS26HS"/>
    <s v="PSES High Prog01Act26 S275"/>
    <n v="1"/>
    <x v="2"/>
    <m/>
    <n v="26"/>
    <s v="   "/>
    <n v="2.9220000000000002"/>
    <n v="0.19489999999999999"/>
    <n v="0"/>
    <s v="High Health/_x000a_Related Services"/>
    <x v="2"/>
  </r>
  <r>
    <s v="17400"/>
    <x v="88"/>
    <s v="Personnel"/>
    <s v="H "/>
    <s v="High Grade Group 9-12"/>
    <s v="PS35HS"/>
    <s v="PSES High Prog01Act35 S275"/>
    <n v="1"/>
    <x v="3"/>
    <m/>
    <n v="35"/>
    <s v="   "/>
    <n v="2.0859999999999999"/>
    <n v="0.19489999999999999"/>
    <n v="0"/>
    <s v="High Pupil Safety"/>
    <x v="3"/>
  </r>
  <r>
    <s v="17400"/>
    <x v="88"/>
    <s v="Personnel"/>
    <s v="H "/>
    <s v="High Grade Group 9-12"/>
    <s v="PS42HS"/>
    <s v="PSES High Prog01Duty42 S275"/>
    <n v="1"/>
    <x v="5"/>
    <n v="42"/>
    <m/>
    <s v="   "/>
    <n v="4"/>
    <n v="0.19489999999999999"/>
    <n v="0"/>
    <s v="High Counselor"/>
    <x v="5"/>
  </r>
  <r>
    <s v="17400"/>
    <x v="88"/>
    <s v="Personnel"/>
    <s v="M "/>
    <s v="Middle Grade Group 7-8"/>
    <s v="PS42M21S"/>
    <s v="PSES Mid Prog21Duty42 S275"/>
    <n v="21"/>
    <x v="5"/>
    <n v="42"/>
    <m/>
    <s v="   "/>
    <n v="0.3"/>
    <n v="0.19489999999999999"/>
    <n v="5.8000000000000003E-2"/>
    <s v="Middle Counselor"/>
    <x v="5"/>
  </r>
  <r>
    <s v="17400"/>
    <x v="88"/>
    <s v="Personnel"/>
    <s v="M "/>
    <s v="Middle Grade Group 7-8"/>
    <s v="PS42MS"/>
    <s v="PSES Mid Prog01Duty42 S275"/>
    <n v="1"/>
    <x v="5"/>
    <n v="42"/>
    <m/>
    <s v="   "/>
    <n v="3"/>
    <n v="0.19489999999999999"/>
    <n v="0"/>
    <s v="Middle Counselor"/>
    <x v="5"/>
  </r>
  <r>
    <s v="17400"/>
    <x v="88"/>
    <s v="Personnel"/>
    <s v="E "/>
    <s v="Elementary Grade Group K-6"/>
    <s v="PS43E21S"/>
    <s v="PSES Elem Prog21Duty43 S275"/>
    <n v="21"/>
    <x v="6"/>
    <n v="43"/>
    <m/>
    <s v="   "/>
    <n v="1"/>
    <n v="0.19489999999999999"/>
    <n v="0.19500000000000001"/>
    <s v="Elementary Occupational Therapist"/>
    <x v="6"/>
  </r>
  <r>
    <s v="17400"/>
    <x v="88"/>
    <s v="Personnel"/>
    <s v="E "/>
    <s v="Elementary Grade Group K-6"/>
    <s v="PS45E21S"/>
    <s v="PSES Elem Prog21Duty45 S275"/>
    <n v="21"/>
    <x v="7"/>
    <n v="45"/>
    <m/>
    <s v="   "/>
    <n v="2.4300000000000002"/>
    <n v="0.19489999999999999"/>
    <n v="0.47399999999999998"/>
    <s v="Elementary Speech, Language Pathway/_x000a_Audio"/>
    <x v="7"/>
  </r>
  <r>
    <s v="17400"/>
    <x v="88"/>
    <s v="Personnel"/>
    <s v="M "/>
    <s v="Middle Grade Group 7-8"/>
    <s v="PS45M21S"/>
    <s v="PSES Mid Prog21Duty45 S275"/>
    <n v="21"/>
    <x v="7"/>
    <n v="45"/>
    <m/>
    <s v="   "/>
    <n v="0.56999999999999995"/>
    <n v="0.19489999999999999"/>
    <n v="0.111"/>
    <s v="Middle Speech, Language Pathway/_x000a_Audio"/>
    <x v="7"/>
  </r>
  <r>
    <s v="17400"/>
    <x v="88"/>
    <s v="Personnel"/>
    <s v="E "/>
    <s v="Elementary Grade Group K-6"/>
    <s v="PS46E21S"/>
    <s v="PSES Elem Prog21Duty46 S275"/>
    <n v="21"/>
    <x v="8"/>
    <n v="46"/>
    <m/>
    <s v="   "/>
    <n v="1.8"/>
    <n v="0.19489999999999999"/>
    <n v="0.35099999999999998"/>
    <s v="Elementary Psychologist"/>
    <x v="8"/>
  </r>
  <r>
    <s v="17400"/>
    <x v="88"/>
    <s v="Personnel"/>
    <s v="H "/>
    <s v="High Grade Group 9-12"/>
    <s v="PS46H21S"/>
    <s v="PSES High Prog21Duty46 S275"/>
    <n v="21"/>
    <x v="8"/>
    <n v="46"/>
    <m/>
    <s v="   "/>
    <n v="1"/>
    <n v="0.19489999999999999"/>
    <n v="0.19500000000000001"/>
    <s v="High Psychologist"/>
    <x v="8"/>
  </r>
  <r>
    <s v="17400"/>
    <x v="88"/>
    <s v="Personnel"/>
    <s v="M "/>
    <s v="Middle Grade Group 7-8"/>
    <s v="PS46M21S"/>
    <s v="PSES Mid Prog21Duty46 S275"/>
    <n v="21"/>
    <x v="8"/>
    <n v="46"/>
    <m/>
    <s v="   "/>
    <n v="1"/>
    <n v="0.19489999999999999"/>
    <n v="0.19500000000000001"/>
    <s v="Middle Psychologist"/>
    <x v="8"/>
  </r>
  <r>
    <s v="17400"/>
    <x v="88"/>
    <s v="Personnel"/>
    <s v="H "/>
    <s v="High Grade Group 9-12"/>
    <s v="PS47HS"/>
    <s v="PSES High Prog01Duty47 S275"/>
    <n v="1"/>
    <x v="9"/>
    <n v="47"/>
    <m/>
    <s v="   "/>
    <n v="1.5"/>
    <n v="0.19489999999999999"/>
    <n v="0"/>
    <s v="High Nurse"/>
    <x v="9"/>
  </r>
  <r>
    <s v="17400"/>
    <x v="88"/>
    <s v="Personnel"/>
    <s v="M "/>
    <s v="Middle Grade Group 7-8"/>
    <s v="PS47MS"/>
    <s v="PSES Mid Prog01Duty47 S275"/>
    <n v="1"/>
    <x v="9"/>
    <n v="47"/>
    <m/>
    <s v="   "/>
    <n v="0.5"/>
    <n v="0.19489999999999999"/>
    <n v="0"/>
    <s v="Middle Nurse"/>
    <x v="9"/>
  </r>
  <r>
    <s v="17400"/>
    <x v="88"/>
    <s v="Personnel"/>
    <s v="E "/>
    <s v="Elementary Grade Group K-6"/>
    <s v="PS48E21S"/>
    <s v="PSES Elem Prog21Duty48 S275"/>
    <n v="21"/>
    <x v="11"/>
    <n v="48"/>
    <m/>
    <s v="   "/>
    <n v="1.4"/>
    <n v="0.19489999999999999"/>
    <n v="0.27300000000000002"/>
    <s v="Elementary Physical Therapist"/>
    <x v="11"/>
  </r>
  <r>
    <s v="17400"/>
    <x v="88"/>
    <s v="Personnel"/>
    <s v="E "/>
    <s v="Elementary Grade Group K-6"/>
    <s v="PS49E21S"/>
    <s v="PSES Elem Prog21Duty49 S275"/>
    <n v="21"/>
    <x v="10"/>
    <n v="49"/>
    <m/>
    <s v="   "/>
    <n v="1.3240000000000001"/>
    <n v="0.19489999999999999"/>
    <n v="0.25800000000000001"/>
    <s v="Elementary Behavior Analyst"/>
    <x v="10"/>
  </r>
  <r>
    <s v="17400"/>
    <x v="88"/>
    <s v="Personnel"/>
    <s v="H "/>
    <s v="High Grade Group 9-12"/>
    <s v="PS49H21S"/>
    <s v="PSES High Prog21Duty49 S275"/>
    <n v="21"/>
    <x v="10"/>
    <n v="49"/>
    <m/>
    <s v="   "/>
    <n v="1.476"/>
    <n v="0.19489999999999999"/>
    <n v="0.28799999999999998"/>
    <s v="High Behavior Analyst"/>
    <x v="10"/>
  </r>
  <r>
    <s v="17401"/>
    <x v="89"/>
    <s v="Personnel"/>
    <s v="H "/>
    <s v="High Grade Group 9-12"/>
    <s v="PS24HS"/>
    <s v="PSES High Prog01Duty96 S275"/>
    <n v="1"/>
    <x v="0"/>
    <n v="96"/>
    <n v="24"/>
    <s v="   "/>
    <n v="1"/>
    <n v="0.2424"/>
    <n v="0"/>
    <s v="High Family Engagement Coordinator"/>
    <x v="0"/>
  </r>
  <r>
    <s v="17401"/>
    <x v="89"/>
    <s v="Personnel"/>
    <s v="H "/>
    <s v="High Grade Group 9-12"/>
    <s v="PS25HS"/>
    <s v="PSES High Prog01Act25 S275"/>
    <n v="1"/>
    <x v="1"/>
    <m/>
    <n v="25"/>
    <s v="   "/>
    <n v="32.567999999999998"/>
    <n v="0.2424"/>
    <n v="0"/>
    <s v="High Pupil Management"/>
    <x v="1"/>
  </r>
  <r>
    <s v="17401"/>
    <x v="89"/>
    <s v="Personnel"/>
    <s v="H "/>
    <s v="High Grade Group 9-12"/>
    <s v="PS26H21S"/>
    <s v="PSES High Prog21Act26 S275"/>
    <n v="21"/>
    <x v="2"/>
    <m/>
    <n v="26"/>
    <s v="   "/>
    <n v="12.262"/>
    <n v="0.2424"/>
    <n v="2.972"/>
    <s v="High Health/_x000a_Related Services"/>
    <x v="2"/>
  </r>
  <r>
    <s v="17401"/>
    <x v="89"/>
    <s v="Personnel"/>
    <s v="E "/>
    <s v="Elementary Grade Group K-6"/>
    <s v="PS42ES"/>
    <s v="PSES Elem Prog01Duty42 S275"/>
    <n v="1"/>
    <x v="5"/>
    <n v="42"/>
    <m/>
    <s v="   "/>
    <n v="26.212"/>
    <n v="0.2424"/>
    <n v="0"/>
    <s v="Elementary Counselor"/>
    <x v="5"/>
  </r>
  <r>
    <s v="17401"/>
    <x v="89"/>
    <s v="Personnel"/>
    <s v="H "/>
    <s v="High Grade Group 9-12"/>
    <s v="PS42HS"/>
    <s v="PSES High Prog01Duty42 S275"/>
    <n v="1"/>
    <x v="5"/>
    <n v="42"/>
    <m/>
    <s v="   "/>
    <n v="23.736000000000001"/>
    <n v="0.2424"/>
    <n v="0"/>
    <s v="High Counselor"/>
    <x v="5"/>
  </r>
  <r>
    <s v="17401"/>
    <x v="89"/>
    <s v="Personnel"/>
    <s v="M "/>
    <s v="Middle Grade Group 7-8"/>
    <s v="PS42MS"/>
    <s v="PSES Mid Prog01Duty42 S275"/>
    <n v="1"/>
    <x v="5"/>
    <n v="42"/>
    <m/>
    <s v="   "/>
    <n v="12.813000000000001"/>
    <n v="0.2424"/>
    <n v="0"/>
    <s v="Middle Counselor"/>
    <x v="5"/>
  </r>
  <r>
    <s v="17401"/>
    <x v="89"/>
    <s v="Personnel"/>
    <s v="E "/>
    <s v="Elementary Grade Group K-6"/>
    <s v="PS43E21S"/>
    <s v="PSES Elem Prog21Duty43 S275"/>
    <n v="21"/>
    <x v="6"/>
    <n v="43"/>
    <m/>
    <s v="   "/>
    <n v="16.210999999999999"/>
    <n v="0.2424"/>
    <n v="3.93"/>
    <s v="Elementary Occupational Therapist"/>
    <x v="6"/>
  </r>
  <r>
    <s v="17401"/>
    <x v="89"/>
    <s v="Personnel"/>
    <s v="H "/>
    <s v="High Grade Group 9-12"/>
    <s v="PS43H21S"/>
    <s v="PSES High Prog21Duty43 S275"/>
    <n v="21"/>
    <x v="6"/>
    <n v="43"/>
    <m/>
    <s v="   "/>
    <n v="4.7"/>
    <n v="0.2424"/>
    <n v="1.139"/>
    <s v="High Occupational Therapist"/>
    <x v="6"/>
  </r>
  <r>
    <s v="17401"/>
    <x v="89"/>
    <s v="Personnel"/>
    <s v="M "/>
    <s v="Middle Grade Group 7-8"/>
    <s v="PS43M21S"/>
    <s v="PSES Mid Prog21Duty43 S275"/>
    <n v="21"/>
    <x v="6"/>
    <n v="43"/>
    <m/>
    <s v="   "/>
    <n v="1.55"/>
    <n v="0.2424"/>
    <n v="0.376"/>
    <s v="Middle Occupational Therapist"/>
    <x v="6"/>
  </r>
  <r>
    <s v="17401"/>
    <x v="89"/>
    <s v="Personnel"/>
    <s v="E "/>
    <s v="Elementary Grade Group K-6"/>
    <s v="PS44E21S"/>
    <s v="PSES Elem Prog21Duty44 S275"/>
    <n v="21"/>
    <x v="13"/>
    <n v="44"/>
    <m/>
    <s v="   "/>
    <n v="1"/>
    <n v="0.2424"/>
    <n v="0.24199999999999999"/>
    <s v="Elementary Social Worker"/>
    <x v="13"/>
  </r>
  <r>
    <s v="17401"/>
    <x v="89"/>
    <s v="Personnel"/>
    <s v="E "/>
    <s v="Elementary Grade Group K-6"/>
    <s v="PS44ES"/>
    <s v="PSES Elem Prog01Duty44 S275"/>
    <n v="1"/>
    <x v="13"/>
    <n v="44"/>
    <m/>
    <s v="   "/>
    <n v="2.8"/>
    <n v="0.2424"/>
    <n v="0"/>
    <s v="Elementary Social Worker"/>
    <x v="13"/>
  </r>
  <r>
    <s v="17401"/>
    <x v="89"/>
    <s v="Personnel"/>
    <s v="H "/>
    <s v="High Grade Group 9-12"/>
    <s v="PS44H21S"/>
    <s v="PSES High Prog21Duty44 S275"/>
    <n v="21"/>
    <x v="13"/>
    <n v="44"/>
    <m/>
    <s v="   "/>
    <n v="0.5"/>
    <n v="0.2424"/>
    <n v="0.121"/>
    <s v="High Social Worker"/>
    <x v="13"/>
  </r>
  <r>
    <s v="17401"/>
    <x v="89"/>
    <s v="Personnel"/>
    <s v="H "/>
    <s v="High Grade Group 9-12"/>
    <s v="PS44HS"/>
    <s v="PSES High Prog01Duty44 S275"/>
    <n v="1"/>
    <x v="13"/>
    <n v="44"/>
    <m/>
    <s v="   "/>
    <n v="3"/>
    <n v="0.2424"/>
    <n v="0"/>
    <s v="High Social Worker"/>
    <x v="13"/>
  </r>
  <r>
    <s v="17401"/>
    <x v="89"/>
    <s v="Personnel"/>
    <s v="M "/>
    <s v="Middle Grade Group 7-8"/>
    <s v="PS44M21S"/>
    <s v="PSES Mid Prog21Duty44 S275"/>
    <n v="21"/>
    <x v="13"/>
    <n v="44"/>
    <m/>
    <s v="   "/>
    <n v="0.5"/>
    <n v="0.2424"/>
    <n v="0.121"/>
    <s v="Middle Social Worker"/>
    <x v="13"/>
  </r>
  <r>
    <s v="17401"/>
    <x v="89"/>
    <s v="Personnel"/>
    <s v="M "/>
    <s v="Middle Grade Group 7-8"/>
    <s v="PS44MS"/>
    <s v="PSES Mid Prog01Duty44 S275"/>
    <n v="1"/>
    <x v="13"/>
    <n v="44"/>
    <m/>
    <s v="   "/>
    <n v="1"/>
    <n v="0.2424"/>
    <n v="0"/>
    <s v="Middle Social Worker"/>
    <x v="13"/>
  </r>
  <r>
    <s v="17401"/>
    <x v="89"/>
    <s v="Personnel"/>
    <s v="E "/>
    <s v="Elementary Grade Group K-6"/>
    <s v="PS45E21S"/>
    <s v="PSES Elem Prog21Duty45 S275"/>
    <n v="21"/>
    <x v="7"/>
    <n v="45"/>
    <m/>
    <s v="   "/>
    <n v="34.770000000000003"/>
    <n v="0.2424"/>
    <n v="8.4280000000000008"/>
    <s v="Elementary Speech, Language Pathway/_x000a_Audio"/>
    <x v="7"/>
  </r>
  <r>
    <s v="17401"/>
    <x v="89"/>
    <s v="Personnel"/>
    <s v="H "/>
    <s v="High Grade Group 9-12"/>
    <s v="PS45H21S"/>
    <s v="PSES High Prog21Duty45 S275"/>
    <n v="21"/>
    <x v="7"/>
    <n v="45"/>
    <m/>
    <s v="   "/>
    <n v="5.4969999999999999"/>
    <n v="0.2424"/>
    <n v="1.3320000000000001"/>
    <s v="High Speech, Language Pathway/_x000a_Audio"/>
    <x v="7"/>
  </r>
  <r>
    <s v="17401"/>
    <x v="89"/>
    <s v="Personnel"/>
    <s v="M "/>
    <s v="Middle Grade Group 7-8"/>
    <s v="PS45M21S"/>
    <s v="PSES Mid Prog21Duty45 S275"/>
    <n v="21"/>
    <x v="7"/>
    <n v="45"/>
    <m/>
    <s v="   "/>
    <n v="4.5810000000000004"/>
    <n v="0.2424"/>
    <n v="1.1100000000000001"/>
    <s v="Middle Speech, Language Pathway/_x000a_Audio"/>
    <x v="7"/>
  </r>
  <r>
    <s v="17401"/>
    <x v="89"/>
    <s v="Personnel"/>
    <s v="E "/>
    <s v="Elementary Grade Group K-6"/>
    <s v="PS46E21S"/>
    <s v="PSES Elem Prog21Duty46 S275"/>
    <n v="21"/>
    <x v="8"/>
    <n v="46"/>
    <m/>
    <s v="   "/>
    <n v="12.369"/>
    <n v="0.2424"/>
    <n v="2.9980000000000002"/>
    <s v="Elementary Psychologist"/>
    <x v="8"/>
  </r>
  <r>
    <s v="17401"/>
    <x v="89"/>
    <s v="Personnel"/>
    <s v="E "/>
    <s v="Elementary Grade Group K-6"/>
    <s v="PS46ES"/>
    <s v="PSES Elem Prog01Duty46 S275"/>
    <n v="1"/>
    <x v="8"/>
    <n v="46"/>
    <m/>
    <s v="   "/>
    <n v="0.16300000000000001"/>
    <n v="0.2424"/>
    <n v="0"/>
    <s v="Elementary Psychologist"/>
    <x v="8"/>
  </r>
  <r>
    <s v="17401"/>
    <x v="89"/>
    <s v="Personnel"/>
    <s v="H "/>
    <s v="High Grade Group 9-12"/>
    <s v="PS46H21S"/>
    <s v="PSES High Prog21Duty46 S275"/>
    <n v="21"/>
    <x v="8"/>
    <n v="46"/>
    <m/>
    <s v="   "/>
    <n v="5.6689999999999996"/>
    <n v="0.2424"/>
    <n v="1.3740000000000001"/>
    <s v="High Psychologist"/>
    <x v="8"/>
  </r>
  <r>
    <s v="17401"/>
    <x v="89"/>
    <s v="Personnel"/>
    <s v="H "/>
    <s v="High Grade Group 9-12"/>
    <s v="PS46HS"/>
    <s v="PSES High Prog01Duty46 S275"/>
    <n v="1"/>
    <x v="8"/>
    <n v="46"/>
    <m/>
    <s v="   "/>
    <n v="0.161"/>
    <n v="0.2424"/>
    <n v="0"/>
    <s v="High Psychologist"/>
    <x v="8"/>
  </r>
  <r>
    <s v="17401"/>
    <x v="89"/>
    <s v="Personnel"/>
    <s v="M "/>
    <s v="Middle Grade Group 7-8"/>
    <s v="PS46M21S"/>
    <s v="PSES Mid Prog21Duty46 S275"/>
    <n v="21"/>
    <x v="8"/>
    <n v="46"/>
    <m/>
    <s v="   "/>
    <n v="3.7629999999999999"/>
    <n v="0.2424"/>
    <n v="0.91200000000000003"/>
    <s v="Middle Psychologist"/>
    <x v="8"/>
  </r>
  <r>
    <s v="17401"/>
    <x v="89"/>
    <s v="Personnel"/>
    <s v="M "/>
    <s v="Middle Grade Group 7-8"/>
    <s v="PS46MS"/>
    <s v="PSES Mid Prog01Duty46 S275"/>
    <n v="1"/>
    <x v="8"/>
    <n v="46"/>
    <m/>
    <s v="   "/>
    <n v="0.16300000000000001"/>
    <n v="0.2424"/>
    <n v="0"/>
    <s v="Middle Psychologist"/>
    <x v="8"/>
  </r>
  <r>
    <s v="17401"/>
    <x v="89"/>
    <s v="Personnel"/>
    <s v="E "/>
    <s v="Elementary Grade Group K-6"/>
    <s v="PS47ES"/>
    <s v="PSES Elem Prog01Duty47 S275"/>
    <n v="1"/>
    <x v="9"/>
    <n v="47"/>
    <m/>
    <s v="   "/>
    <n v="9.1999999999999993"/>
    <n v="0.2424"/>
    <n v="0"/>
    <s v="Elementary Nurse"/>
    <x v="9"/>
  </r>
  <r>
    <s v="17401"/>
    <x v="89"/>
    <s v="Personnel"/>
    <s v="H "/>
    <s v="High Grade Group 9-12"/>
    <s v="PS47HS"/>
    <s v="PSES High Prog01Duty47 S275"/>
    <n v="1"/>
    <x v="9"/>
    <n v="47"/>
    <m/>
    <s v="   "/>
    <n v="8.1059999999999999"/>
    <n v="0.2424"/>
    <n v="0"/>
    <s v="High Nurse"/>
    <x v="9"/>
  </r>
  <r>
    <s v="17401"/>
    <x v="89"/>
    <s v="Personnel"/>
    <s v="M "/>
    <s v="Middle Grade Group 7-8"/>
    <s v="PS47MS"/>
    <s v="PSES Mid Prog01Duty47 S275"/>
    <n v="1"/>
    <x v="9"/>
    <n v="47"/>
    <m/>
    <s v="   "/>
    <n v="0.90600000000000003"/>
    <n v="0.2424"/>
    <n v="0"/>
    <s v="Middle Nurse"/>
    <x v="9"/>
  </r>
  <r>
    <s v="17401"/>
    <x v="89"/>
    <s v="Personnel"/>
    <s v="E "/>
    <s v="Elementary Grade Group K-6"/>
    <s v="PS48E21S"/>
    <s v="PSES Elem Prog21Duty48 S275"/>
    <n v="21"/>
    <x v="11"/>
    <n v="48"/>
    <m/>
    <s v="   "/>
    <n v="1.83"/>
    <n v="0.2424"/>
    <n v="0.44400000000000001"/>
    <s v="Elementary Physical Therapist"/>
    <x v="11"/>
  </r>
  <r>
    <s v="17401"/>
    <x v="89"/>
    <s v="Personnel"/>
    <s v="H "/>
    <s v="High Grade Group 9-12"/>
    <s v="PS48H21S"/>
    <s v="PSES High Prog21Duty48 S275"/>
    <n v="21"/>
    <x v="11"/>
    <n v="48"/>
    <m/>
    <s v="   "/>
    <n v="0.34"/>
    <n v="0.2424"/>
    <n v="8.2000000000000003E-2"/>
    <s v="High Physical Therapist"/>
    <x v="11"/>
  </r>
  <r>
    <s v="17401"/>
    <x v="89"/>
    <s v="Personnel"/>
    <s v="M "/>
    <s v="Middle Grade Group 7-8"/>
    <s v="PS48M21S"/>
    <s v="PSES Mid Prog21Duty48 S275"/>
    <n v="21"/>
    <x v="11"/>
    <n v="48"/>
    <m/>
    <s v="   "/>
    <n v="0.33"/>
    <n v="0.2424"/>
    <n v="0.08"/>
    <s v="Middle Physical Therapist"/>
    <x v="11"/>
  </r>
  <r>
    <s v="17401"/>
    <x v="89"/>
    <s v="Personnel"/>
    <s v="E "/>
    <s v="Elementary Grade Group K-6"/>
    <s v="PS49E21S"/>
    <s v="PSES Elem Prog21Duty49 S275"/>
    <n v="21"/>
    <x v="10"/>
    <n v="49"/>
    <m/>
    <s v="   "/>
    <n v="2"/>
    <n v="0.2424"/>
    <n v="0.48499999999999999"/>
    <s v="Elementary Behavior Analyst"/>
    <x v="10"/>
  </r>
  <r>
    <s v="17401"/>
    <x v="89"/>
    <s v="Personnel"/>
    <s v="H "/>
    <s v="High Grade Group 9-12"/>
    <s v="PS49H21S"/>
    <s v="PSES High Prog21Duty49 S275"/>
    <n v="21"/>
    <x v="10"/>
    <n v="49"/>
    <m/>
    <s v="   "/>
    <n v="1.1439999999999999"/>
    <n v="0.2424"/>
    <n v="0.27700000000000002"/>
    <s v="High Behavior Analyst"/>
    <x v="10"/>
  </r>
  <r>
    <s v="17401"/>
    <x v="89"/>
    <s v="Personnel"/>
    <s v="M "/>
    <s v="Middle Grade Group 7-8"/>
    <s v="PS49M21S"/>
    <s v="PSES Mid Prog21Duty49 S275"/>
    <n v="21"/>
    <x v="10"/>
    <n v="49"/>
    <m/>
    <s v="   "/>
    <n v="0.57199999999999995"/>
    <n v="0.2424"/>
    <n v="0.13900000000000001"/>
    <s v="Middle Behavior Analyst"/>
    <x v="10"/>
  </r>
  <r>
    <s v="17402"/>
    <x v="90"/>
    <s v="Personnel"/>
    <s v="H "/>
    <s v="High Grade Group 9-12"/>
    <s v="PS24HS"/>
    <s v="PSES High Prog01Duty96 S275"/>
    <n v="1"/>
    <x v="0"/>
    <n v="96"/>
    <n v="24"/>
    <s v="   "/>
    <n v="0.73799999999999999"/>
    <n v="0.2157"/>
    <n v="0"/>
    <s v="High Family Engagement Coordinator"/>
    <x v="0"/>
  </r>
  <r>
    <s v="17402"/>
    <x v="90"/>
    <s v="Personnel"/>
    <s v="H "/>
    <s v="High Grade Group 9-12"/>
    <s v="PS25HS"/>
    <s v="PSES High Prog01Act25 S275"/>
    <n v="1"/>
    <x v="1"/>
    <m/>
    <n v="25"/>
    <s v="   "/>
    <n v="1.58"/>
    <n v="0.2157"/>
    <n v="0"/>
    <s v="High Pupil Management"/>
    <x v="1"/>
  </r>
  <r>
    <s v="17402"/>
    <x v="90"/>
    <s v="Personnel"/>
    <s v="H "/>
    <s v="High Grade Group 9-12"/>
    <s v="PS26HS"/>
    <s v="PSES High Prog01Act26 S275"/>
    <n v="1"/>
    <x v="2"/>
    <m/>
    <n v="26"/>
    <s v="   "/>
    <n v="0.49099999999999999"/>
    <n v="0.2157"/>
    <n v="0"/>
    <s v="High Health/_x000a_Related Services"/>
    <x v="2"/>
  </r>
  <r>
    <s v="17402"/>
    <x v="90"/>
    <s v="Personnel"/>
    <s v="H "/>
    <s v="High Grade Group 9-12"/>
    <s v="PS42HS"/>
    <s v="PSES High Prog01Duty42 S275"/>
    <n v="1"/>
    <x v="5"/>
    <n v="42"/>
    <m/>
    <s v="   "/>
    <n v="2.3679999999999999"/>
    <n v="0.2157"/>
    <n v="0"/>
    <s v="High Counselor"/>
    <x v="5"/>
  </r>
  <r>
    <s v="17402"/>
    <x v="90"/>
    <s v="Personnel"/>
    <s v="M "/>
    <s v="Middle Grade Group 7-8"/>
    <s v="PS42MS"/>
    <s v="PSES Mid Prog01Duty42 S275"/>
    <n v="1"/>
    <x v="5"/>
    <n v="42"/>
    <m/>
    <s v="   "/>
    <n v="1.08"/>
    <n v="0.2157"/>
    <n v="0"/>
    <s v="Middle Counselor"/>
    <x v="5"/>
  </r>
  <r>
    <s v="17402"/>
    <x v="90"/>
    <s v="Personnel"/>
    <s v="H "/>
    <s v="High Grade Group 9-12"/>
    <s v="PS46H21S"/>
    <s v="PSES High Prog21Duty46 S275"/>
    <n v="21"/>
    <x v="8"/>
    <n v="46"/>
    <m/>
    <s v="   "/>
    <n v="0.5"/>
    <n v="0.2157"/>
    <n v="0.108"/>
    <s v="High Psychologist"/>
    <x v="8"/>
  </r>
  <r>
    <s v="17402"/>
    <x v="90"/>
    <s v="Personnel"/>
    <s v="M "/>
    <s v="Middle Grade Group 7-8"/>
    <s v="PS46M21S"/>
    <s v="PSES Mid Prog21Duty46 S275"/>
    <n v="21"/>
    <x v="8"/>
    <n v="46"/>
    <m/>
    <s v="   "/>
    <n v="0.5"/>
    <n v="0.2157"/>
    <n v="0.108"/>
    <s v="Middle Psychologist"/>
    <x v="8"/>
  </r>
  <r>
    <s v="17402"/>
    <x v="90"/>
    <s v="Personnel"/>
    <s v="E "/>
    <s v="Elementary Grade Group K-6"/>
    <s v="PS47ES"/>
    <s v="PSES Elem Prog01Duty47 S275"/>
    <n v="1"/>
    <x v="9"/>
    <n v="47"/>
    <m/>
    <s v="   "/>
    <n v="0.69"/>
    <n v="0.2157"/>
    <n v="0"/>
    <s v="Elementary Nurse"/>
    <x v="9"/>
  </r>
  <r>
    <s v="17403"/>
    <x v="91"/>
    <s v="Personnel"/>
    <s v="H "/>
    <s v="High Grade Group 9-12"/>
    <s v="PS25H21S"/>
    <s v="PSES High Prog21Act25 S275"/>
    <n v="21"/>
    <x v="1"/>
    <m/>
    <n v="25"/>
    <s v="   "/>
    <n v="7.13"/>
    <n v="0.29559999999999997"/>
    <n v="2.1080000000000001"/>
    <s v="High Pupil Management"/>
    <x v="1"/>
  </r>
  <r>
    <s v="17403"/>
    <x v="91"/>
    <s v="Personnel"/>
    <s v="H "/>
    <s v="High Grade Group 9-12"/>
    <s v="PS25H97S"/>
    <s v="PSES High Prog97Act25 S275"/>
    <n v="97"/>
    <x v="1"/>
    <m/>
    <n v="25"/>
    <s v="   "/>
    <n v="0.16500000000000001"/>
    <n v="0.29559999999999997"/>
    <n v="0"/>
    <s v="High Pupil Management"/>
    <x v="1"/>
  </r>
  <r>
    <s v="17403"/>
    <x v="91"/>
    <s v="Personnel"/>
    <s v="H "/>
    <s v="High Grade Group 9-12"/>
    <s v="PS25HS"/>
    <s v="PSES High Prog01Act25 S275"/>
    <n v="1"/>
    <x v="1"/>
    <m/>
    <n v="25"/>
    <s v="   "/>
    <n v="22.675999999999998"/>
    <n v="0.29559999999999997"/>
    <n v="0"/>
    <s v="High Pupil Management"/>
    <x v="1"/>
  </r>
  <r>
    <s v="17403"/>
    <x v="91"/>
    <s v="Personnel"/>
    <s v="H "/>
    <s v="High Grade Group 9-12"/>
    <s v="PS26H21S"/>
    <s v="PSES High Prog21Act26 S275"/>
    <n v="21"/>
    <x v="2"/>
    <m/>
    <n v="26"/>
    <s v="   "/>
    <n v="7.7279999999999998"/>
    <n v="0.29559999999999997"/>
    <n v="2.2839999999999998"/>
    <s v="High Health/_x000a_Related Services"/>
    <x v="2"/>
  </r>
  <r>
    <s v="17403"/>
    <x v="91"/>
    <s v="Personnel"/>
    <s v="H "/>
    <s v="High Grade Group 9-12"/>
    <s v="PS26HS"/>
    <s v="PSES High Prog01Act26 S275"/>
    <n v="1"/>
    <x v="2"/>
    <m/>
    <n v="26"/>
    <s v="   "/>
    <n v="19.193999999999999"/>
    <n v="0.29559999999999997"/>
    <n v="0"/>
    <s v="High Health/_x000a_Related Services"/>
    <x v="2"/>
  </r>
  <r>
    <s v="17403"/>
    <x v="91"/>
    <s v="Personnel"/>
    <s v="H "/>
    <s v="High Grade Group 9-12"/>
    <s v="PS35HS"/>
    <s v="PSES High Prog01Act35 S275"/>
    <n v="1"/>
    <x v="3"/>
    <m/>
    <n v="35"/>
    <s v="   "/>
    <n v="8.2059999999999995"/>
    <n v="0.29559999999999997"/>
    <n v="0"/>
    <s v="High Pupil Safety"/>
    <x v="3"/>
  </r>
  <r>
    <s v="17403"/>
    <x v="91"/>
    <s v="Personnel"/>
    <s v="E "/>
    <s v="Elementary Grade Group K-6"/>
    <s v="PS42E21S"/>
    <s v="PSES Elem Prog21Duty42 S275"/>
    <n v="21"/>
    <x v="5"/>
    <n v="42"/>
    <m/>
    <s v="   "/>
    <n v="0.33300000000000002"/>
    <n v="0.29559999999999997"/>
    <n v="9.8000000000000004E-2"/>
    <s v="Elementary Counselor"/>
    <x v="5"/>
  </r>
  <r>
    <s v="17403"/>
    <x v="91"/>
    <s v="Personnel"/>
    <s v="E "/>
    <s v="Elementary Grade Group K-6"/>
    <s v="PS42ES"/>
    <s v="PSES Elem Prog01Duty42 S275"/>
    <n v="1"/>
    <x v="5"/>
    <n v="42"/>
    <m/>
    <s v="   "/>
    <n v="17.649999999999999"/>
    <n v="0.29559999999999997"/>
    <n v="0"/>
    <s v="Elementary Counselor"/>
    <x v="5"/>
  </r>
  <r>
    <s v="17403"/>
    <x v="91"/>
    <s v="Personnel"/>
    <s v="H "/>
    <s v="High Grade Group 9-12"/>
    <s v="PS42H21S"/>
    <s v="PSES High Prog21Duty42 S275"/>
    <n v="21"/>
    <x v="5"/>
    <n v="42"/>
    <m/>
    <s v="   "/>
    <n v="0.33300000000000002"/>
    <n v="0.29559999999999997"/>
    <n v="9.8000000000000004E-2"/>
    <s v="High Counselor"/>
    <x v="5"/>
  </r>
  <r>
    <s v="17403"/>
    <x v="91"/>
    <s v="Personnel"/>
    <s v="H "/>
    <s v="High Grade Group 9-12"/>
    <s v="PS42HS"/>
    <s v="PSES High Prog01Duty42 S275"/>
    <n v="1"/>
    <x v="5"/>
    <n v="42"/>
    <m/>
    <s v="   "/>
    <n v="14"/>
    <n v="0.29559999999999997"/>
    <n v="0"/>
    <s v="High Counselor"/>
    <x v="5"/>
  </r>
  <r>
    <s v="17403"/>
    <x v="91"/>
    <s v="Personnel"/>
    <s v="M "/>
    <s v="Middle Grade Group 7-8"/>
    <s v="PS42M21S"/>
    <s v="PSES Mid Prog21Duty42 S275"/>
    <n v="21"/>
    <x v="5"/>
    <n v="42"/>
    <m/>
    <s v="   "/>
    <n v="0.33400000000000002"/>
    <n v="0.29559999999999997"/>
    <n v="9.9000000000000005E-2"/>
    <s v="Middle Counselor"/>
    <x v="5"/>
  </r>
  <r>
    <s v="17403"/>
    <x v="91"/>
    <s v="Personnel"/>
    <s v="M "/>
    <s v="Middle Grade Group 7-8"/>
    <s v="PS42MS"/>
    <s v="PSES Mid Prog01Duty42 S275"/>
    <n v="1"/>
    <x v="5"/>
    <n v="42"/>
    <m/>
    <s v="   "/>
    <n v="5.35"/>
    <n v="0.29559999999999997"/>
    <n v="0"/>
    <s v="Middle Counselor"/>
    <x v="5"/>
  </r>
  <r>
    <s v="17403"/>
    <x v="91"/>
    <s v="Personnel"/>
    <s v="E "/>
    <s v="Elementary Grade Group K-6"/>
    <s v="PS43E21S"/>
    <s v="PSES Elem Prog21Duty43 S275"/>
    <n v="21"/>
    <x v="6"/>
    <n v="43"/>
    <m/>
    <s v="   "/>
    <n v="13.087"/>
    <n v="0.29559999999999997"/>
    <n v="3.8690000000000002"/>
    <s v="Elementary Occupational Therapist"/>
    <x v="6"/>
  </r>
  <r>
    <s v="17403"/>
    <x v="91"/>
    <s v="Personnel"/>
    <s v="H "/>
    <s v="High Grade Group 9-12"/>
    <s v="PS43H21S"/>
    <s v="PSES High Prog21Duty43 S275"/>
    <n v="21"/>
    <x v="6"/>
    <n v="43"/>
    <m/>
    <s v="   "/>
    <n v="2.33"/>
    <n v="0.29559999999999997"/>
    <n v="0.68899999999999995"/>
    <s v="High Occupational Therapist"/>
    <x v="6"/>
  </r>
  <r>
    <s v="17403"/>
    <x v="91"/>
    <s v="Personnel"/>
    <s v="M "/>
    <s v="Middle Grade Group 7-8"/>
    <s v="PS43M21S"/>
    <s v="PSES Mid Prog21Duty43 S275"/>
    <n v="21"/>
    <x v="6"/>
    <n v="43"/>
    <m/>
    <s v="   "/>
    <n v="2.343"/>
    <n v="0.29559999999999997"/>
    <n v="0.69299999999999995"/>
    <s v="Middle Occupational Therapist"/>
    <x v="6"/>
  </r>
  <r>
    <s v="17403"/>
    <x v="91"/>
    <s v="Personnel"/>
    <s v="E "/>
    <s v="Elementary Grade Group K-6"/>
    <s v="PS45E21S"/>
    <s v="PSES Elem Prog21Duty45 S275"/>
    <n v="21"/>
    <x v="7"/>
    <n v="45"/>
    <m/>
    <s v="   "/>
    <n v="16.856999999999999"/>
    <n v="0.29559999999999997"/>
    <n v="4.9829999999999997"/>
    <s v="Elementary Speech, Language Pathway/_x000a_Audio"/>
    <x v="7"/>
  </r>
  <r>
    <s v="17403"/>
    <x v="91"/>
    <s v="Personnel"/>
    <s v="E "/>
    <s v="Elementary Grade Group K-6"/>
    <s v="PS45ES"/>
    <s v="PSES Elem Prog01Duty45 S275"/>
    <n v="1"/>
    <x v="7"/>
    <n v="45"/>
    <m/>
    <s v="   "/>
    <n v="0.4"/>
    <n v="0.29559999999999997"/>
    <n v="0"/>
    <s v="Elementary Speech, Language Pathway/_x000a_Audio"/>
    <x v="7"/>
  </r>
  <r>
    <s v="17403"/>
    <x v="91"/>
    <s v="Personnel"/>
    <s v="H "/>
    <s v="High Grade Group 9-12"/>
    <s v="PS45H21S"/>
    <s v="PSES High Prog21Duty45 S275"/>
    <n v="21"/>
    <x v="7"/>
    <n v="45"/>
    <m/>
    <s v="   "/>
    <n v="4"/>
    <n v="0.29559999999999997"/>
    <n v="1.1819999999999999"/>
    <s v="High Speech, Language Pathway/_x000a_Audio"/>
    <x v="7"/>
  </r>
  <r>
    <s v="17403"/>
    <x v="91"/>
    <s v="Personnel"/>
    <s v="M "/>
    <s v="Middle Grade Group 7-8"/>
    <s v="PS45M21S"/>
    <s v="PSES Mid Prog21Duty45 S275"/>
    <n v="21"/>
    <x v="7"/>
    <n v="45"/>
    <m/>
    <s v="   "/>
    <n v="3.996"/>
    <n v="0.29559999999999997"/>
    <n v="1.181"/>
    <s v="Middle Speech, Language Pathway/_x000a_Audio"/>
    <x v="7"/>
  </r>
  <r>
    <s v="17403"/>
    <x v="91"/>
    <s v="Personnel"/>
    <s v="E "/>
    <s v="Elementary Grade Group K-6"/>
    <s v="PS46E21S"/>
    <s v="PSES Elem Prog21Duty46 S275"/>
    <n v="21"/>
    <x v="8"/>
    <n v="46"/>
    <m/>
    <s v="   "/>
    <n v="7.8"/>
    <n v="0.29559999999999997"/>
    <n v="2.306"/>
    <s v="Elementary Psychologist"/>
    <x v="8"/>
  </r>
  <r>
    <s v="17403"/>
    <x v="91"/>
    <s v="Personnel"/>
    <s v="H "/>
    <s v="High Grade Group 9-12"/>
    <s v="PS46H21S"/>
    <s v="PSES High Prog21Duty46 S275"/>
    <n v="21"/>
    <x v="8"/>
    <n v="46"/>
    <m/>
    <s v="   "/>
    <n v="3.7"/>
    <n v="0.29559999999999997"/>
    <n v="1.0940000000000001"/>
    <s v="High Psychologist"/>
    <x v="8"/>
  </r>
  <r>
    <s v="17403"/>
    <x v="91"/>
    <s v="Personnel"/>
    <s v="M "/>
    <s v="Middle Grade Group 7-8"/>
    <s v="PS46M21S"/>
    <s v="PSES Mid Prog21Duty46 S275"/>
    <n v="21"/>
    <x v="8"/>
    <n v="46"/>
    <m/>
    <s v="   "/>
    <n v="3.8"/>
    <n v="0.29559999999999997"/>
    <n v="1.123"/>
    <s v="Middle Psychologist"/>
    <x v="8"/>
  </r>
  <r>
    <s v="17403"/>
    <x v="91"/>
    <s v="Personnel"/>
    <s v="E "/>
    <s v="Elementary Grade Group K-6"/>
    <s v="PS47ES"/>
    <s v="PSES Elem Prog01Duty47 S275"/>
    <n v="1"/>
    <x v="9"/>
    <n v="47"/>
    <m/>
    <s v="   "/>
    <n v="6.7389999999999999"/>
    <n v="0.29559999999999997"/>
    <n v="0"/>
    <s v="Elementary Nurse"/>
    <x v="9"/>
  </r>
  <r>
    <s v="17403"/>
    <x v="91"/>
    <s v="Personnel"/>
    <s v="H "/>
    <s v="High Grade Group 9-12"/>
    <s v="PS47HS"/>
    <s v="PSES High Prog01Duty47 S275"/>
    <n v="1"/>
    <x v="9"/>
    <n v="47"/>
    <m/>
    <s v="   "/>
    <n v="3.8780000000000001"/>
    <n v="0.29559999999999997"/>
    <n v="0"/>
    <s v="High Nurse"/>
    <x v="9"/>
  </r>
  <r>
    <s v="17403"/>
    <x v="91"/>
    <s v="Personnel"/>
    <s v="M "/>
    <s v="Middle Grade Group 7-8"/>
    <s v="PS47MS"/>
    <s v="PSES Mid Prog01Duty47 S275"/>
    <n v="1"/>
    <x v="9"/>
    <n v="47"/>
    <m/>
    <s v="   "/>
    <n v="3.2"/>
    <n v="0.29559999999999997"/>
    <n v="0"/>
    <s v="Middle Nurse"/>
    <x v="9"/>
  </r>
  <r>
    <s v="17403"/>
    <x v="91"/>
    <s v="Personnel"/>
    <s v="E "/>
    <s v="Elementary Grade Group K-6"/>
    <s v="PS48E21S"/>
    <s v="PSES Elem Prog21Duty48 S275"/>
    <n v="21"/>
    <x v="11"/>
    <n v="48"/>
    <m/>
    <s v="   "/>
    <n v="3.548"/>
    <n v="0.29559999999999997"/>
    <n v="1.0489999999999999"/>
    <s v="Elementary Physical Therapist"/>
    <x v="11"/>
  </r>
  <r>
    <s v="17403"/>
    <x v="91"/>
    <s v="Personnel"/>
    <s v="H "/>
    <s v="High Grade Group 9-12"/>
    <s v="PS48H21S"/>
    <s v="PSES High Prog21Duty48 S275"/>
    <n v="21"/>
    <x v="11"/>
    <n v="48"/>
    <m/>
    <s v="   "/>
    <n v="0.9"/>
    <n v="0.29559999999999997"/>
    <n v="0.26600000000000001"/>
    <s v="High Physical Therapist"/>
    <x v="11"/>
  </r>
  <r>
    <s v="17403"/>
    <x v="91"/>
    <s v="Personnel"/>
    <s v="M "/>
    <s v="Middle Grade Group 7-8"/>
    <s v="PS48M21S"/>
    <s v="PSES Mid Prog21Duty48 S275"/>
    <n v="21"/>
    <x v="11"/>
    <n v="48"/>
    <m/>
    <s v="   "/>
    <n v="0.753"/>
    <n v="0.29559999999999997"/>
    <n v="0.223"/>
    <s v="Middle Physical Therapist"/>
    <x v="11"/>
  </r>
  <r>
    <s v="17403"/>
    <x v="91"/>
    <s v="Personnel"/>
    <m/>
    <s v="Elementary Grade Group K-6"/>
    <s v="PS35E09S"/>
    <s v="PSES Elem Prog09Duty35 S275"/>
    <n v="9"/>
    <x v="3"/>
    <n v="99"/>
    <n v="35"/>
    <m/>
    <n v="0.67700000000000005"/>
    <n v="0.29559999999999997"/>
    <n v="0"/>
    <s v="TK Pupil Safety"/>
    <x v="3"/>
  </r>
  <r>
    <s v="17404"/>
    <x v="92"/>
    <s v="Personnel"/>
    <s v="H "/>
    <s v="High Grade Group 9-12"/>
    <s v="PS25HS"/>
    <s v="PSES High Prog01Act25 S275"/>
    <n v="1"/>
    <x v="1"/>
    <m/>
    <n v="25"/>
    <s v="   "/>
    <n v="1"/>
    <n v="0.1133"/>
    <n v="0"/>
    <s v="High Pupil Management"/>
    <x v="1"/>
  </r>
  <r>
    <s v="17404"/>
    <x v="92"/>
    <s v="Personnel"/>
    <s v="H "/>
    <s v="High Grade Group 9-12"/>
    <s v="PS26HS"/>
    <s v="PSES High Prog01Act26 S275"/>
    <n v="1"/>
    <x v="2"/>
    <m/>
    <n v="26"/>
    <s v="   "/>
    <n v="0.435"/>
    <n v="0.1133"/>
    <n v="0"/>
    <s v="High Health/_x000a_Related Services"/>
    <x v="2"/>
  </r>
  <r>
    <s v="17404"/>
    <x v="92"/>
    <s v="Personnel"/>
    <s v="H "/>
    <s v="High Grade Group 9-12"/>
    <s v="PS42HS"/>
    <s v="PSES High Prog01Duty42 S275"/>
    <n v="1"/>
    <x v="5"/>
    <n v="42"/>
    <m/>
    <s v="   "/>
    <n v="1"/>
    <n v="0.1133"/>
    <n v="0"/>
    <s v="High Counselor"/>
    <x v="5"/>
  </r>
  <r>
    <s v="17405"/>
    <x v="93"/>
    <s v="Personnel"/>
    <s v="H "/>
    <s v="High Grade Group 9-12"/>
    <s v="PS24HS"/>
    <s v="PSES High Prog01Duty96 S275"/>
    <n v="1"/>
    <x v="0"/>
    <n v="96"/>
    <n v="24"/>
    <s v="   "/>
    <n v="9.3469999999999995"/>
    <n v="0.21929999999999999"/>
    <n v="0"/>
    <s v="High Family Engagement Coordinator"/>
    <x v="0"/>
  </r>
  <r>
    <s v="17405"/>
    <x v="93"/>
    <s v="Personnel"/>
    <s v="H "/>
    <s v="High Grade Group 9-12"/>
    <s v="PS25HS"/>
    <s v="PSES High Prog01Act25 S275"/>
    <n v="1"/>
    <x v="1"/>
    <m/>
    <n v="25"/>
    <s v="   "/>
    <n v="33.963000000000001"/>
    <n v="0.21929999999999999"/>
    <n v="0"/>
    <s v="High Pupil Management"/>
    <x v="1"/>
  </r>
  <r>
    <s v="17405"/>
    <x v="93"/>
    <s v="Personnel"/>
    <s v="H "/>
    <s v="High Grade Group 9-12"/>
    <s v="PS26H21S"/>
    <s v="PSES High Prog21Act26 S275"/>
    <n v="21"/>
    <x v="2"/>
    <m/>
    <n v="26"/>
    <s v="   "/>
    <n v="21.678000000000001"/>
    <n v="0.21929999999999999"/>
    <n v="4.7539999999999996"/>
    <s v="High Health/_x000a_Related Services"/>
    <x v="2"/>
  </r>
  <r>
    <s v="17405"/>
    <x v="93"/>
    <s v="Personnel"/>
    <s v="H "/>
    <s v="High Grade Group 9-12"/>
    <s v="PS26HS"/>
    <s v="PSES High Prog01Act26 S275"/>
    <n v="1"/>
    <x v="2"/>
    <m/>
    <n v="26"/>
    <s v="   "/>
    <n v="3.5089999999999999"/>
    <n v="0.21929999999999999"/>
    <n v="0"/>
    <s v="High Health/_x000a_Related Services"/>
    <x v="2"/>
  </r>
  <r>
    <s v="17405"/>
    <x v="93"/>
    <s v="Personnel"/>
    <s v="E "/>
    <s v="Elementary Grade Group K-6"/>
    <s v="PS42ES"/>
    <s v="PSES Elem Prog01Duty42 S275"/>
    <n v="1"/>
    <x v="5"/>
    <n v="42"/>
    <m/>
    <s v="   "/>
    <n v="29.792999999999999"/>
    <n v="0.21929999999999999"/>
    <n v="0"/>
    <s v="Elementary Counselor"/>
    <x v="5"/>
  </r>
  <r>
    <s v="17405"/>
    <x v="93"/>
    <s v="Personnel"/>
    <s v="H "/>
    <s v="High Grade Group 9-12"/>
    <s v="PS42HS"/>
    <s v="PSES High Prog01Duty42 S275"/>
    <n v="1"/>
    <x v="5"/>
    <n v="42"/>
    <m/>
    <s v="   "/>
    <n v="29.756"/>
    <n v="0.21929999999999999"/>
    <n v="0"/>
    <s v="High Counselor"/>
    <x v="5"/>
  </r>
  <r>
    <s v="17405"/>
    <x v="93"/>
    <s v="Personnel"/>
    <s v="M "/>
    <s v="Middle Grade Group 7-8"/>
    <s v="PS42MS"/>
    <s v="PSES Mid Prog01Duty42 S275"/>
    <n v="1"/>
    <x v="5"/>
    <n v="42"/>
    <m/>
    <s v="   "/>
    <n v="12.071"/>
    <n v="0.21929999999999999"/>
    <n v="0"/>
    <s v="Middle Counselor"/>
    <x v="5"/>
  </r>
  <r>
    <s v="17405"/>
    <x v="93"/>
    <s v="Personnel"/>
    <s v="E "/>
    <s v="Elementary Grade Group K-6"/>
    <s v="PS43E21S"/>
    <s v="PSES Elem Prog21Duty43 S275"/>
    <n v="21"/>
    <x v="6"/>
    <n v="43"/>
    <m/>
    <s v="   "/>
    <n v="6.72"/>
    <n v="0.21929999999999999"/>
    <n v="1.474"/>
    <s v="Elementary Occupational Therapist"/>
    <x v="6"/>
  </r>
  <r>
    <s v="17405"/>
    <x v="93"/>
    <s v="Personnel"/>
    <s v="H "/>
    <s v="High Grade Group 9-12"/>
    <s v="PS43H21S"/>
    <s v="PSES High Prog21Duty43 S275"/>
    <n v="21"/>
    <x v="6"/>
    <n v="43"/>
    <m/>
    <s v="   "/>
    <n v="5.04"/>
    <n v="0.21929999999999999"/>
    <n v="1.105"/>
    <s v="High Occupational Therapist"/>
    <x v="6"/>
  </r>
  <r>
    <s v="17405"/>
    <x v="93"/>
    <s v="Personnel"/>
    <s v="M "/>
    <s v="Middle Grade Group 7-8"/>
    <s v="PS43M21S"/>
    <s v="PSES Mid Prog21Duty43 S275"/>
    <n v="21"/>
    <x v="6"/>
    <n v="43"/>
    <m/>
    <s v="   "/>
    <n v="2.2400000000000002"/>
    <n v="0.21929999999999999"/>
    <n v="0.49099999999999999"/>
    <s v="Middle Occupational Therapist"/>
    <x v="6"/>
  </r>
  <r>
    <s v="17405"/>
    <x v="93"/>
    <s v="Personnel"/>
    <s v="E "/>
    <s v="Elementary Grade Group K-6"/>
    <s v="PS44E21S"/>
    <s v="PSES Elem Prog21Duty44 S275"/>
    <n v="21"/>
    <x v="13"/>
    <n v="44"/>
    <m/>
    <s v="   "/>
    <n v="5.2320000000000002"/>
    <n v="0.21929999999999999"/>
    <n v="1.147"/>
    <s v="Elementary Social Worker"/>
    <x v="13"/>
  </r>
  <r>
    <s v="17405"/>
    <x v="93"/>
    <s v="Personnel"/>
    <s v="E "/>
    <s v="Elementary Grade Group K-6"/>
    <s v="PS44ES"/>
    <s v="PSES Elem Prog01Duty44 S275"/>
    <n v="1"/>
    <x v="13"/>
    <n v="44"/>
    <m/>
    <s v="   "/>
    <n v="0.48"/>
    <n v="0.21929999999999999"/>
    <n v="0"/>
    <s v="Elementary Social Worker"/>
    <x v="13"/>
  </r>
  <r>
    <s v="17405"/>
    <x v="93"/>
    <s v="Personnel"/>
    <s v="H "/>
    <s v="High Grade Group 9-12"/>
    <s v="PS44H21S"/>
    <s v="PSES High Prog21Duty44 S275"/>
    <n v="21"/>
    <x v="13"/>
    <n v="44"/>
    <m/>
    <s v="   "/>
    <n v="3.9239999999999999"/>
    <n v="0.21929999999999999"/>
    <n v="0.86099999999999999"/>
    <s v="High Social Worker"/>
    <x v="13"/>
  </r>
  <r>
    <s v="17405"/>
    <x v="93"/>
    <s v="Personnel"/>
    <s v="H "/>
    <s v="High Grade Group 9-12"/>
    <s v="PS44HS"/>
    <s v="PSES High Prog01Duty44 S275"/>
    <n v="1"/>
    <x v="13"/>
    <n v="44"/>
    <m/>
    <s v="   "/>
    <n v="0.36"/>
    <n v="0.21929999999999999"/>
    <n v="0"/>
    <s v="High Social Worker"/>
    <x v="13"/>
  </r>
  <r>
    <s v="17405"/>
    <x v="93"/>
    <s v="Personnel"/>
    <s v="M "/>
    <s v="Middle Grade Group 7-8"/>
    <s v="PS44M21S"/>
    <s v="PSES Mid Prog21Duty44 S275"/>
    <n v="21"/>
    <x v="13"/>
    <n v="44"/>
    <m/>
    <s v="   "/>
    <n v="1.744"/>
    <n v="0.21929999999999999"/>
    <n v="0.38200000000000001"/>
    <s v="Middle Social Worker"/>
    <x v="13"/>
  </r>
  <r>
    <s v="17405"/>
    <x v="93"/>
    <s v="Personnel"/>
    <s v="M "/>
    <s v="Middle Grade Group 7-8"/>
    <s v="PS44MS"/>
    <s v="PSES Mid Prog01Duty44 S275"/>
    <n v="1"/>
    <x v="13"/>
    <n v="44"/>
    <m/>
    <s v="   "/>
    <n v="0.16"/>
    <n v="0.21929999999999999"/>
    <n v="0"/>
    <s v="Middle Social Worker"/>
    <x v="13"/>
  </r>
  <r>
    <s v="17405"/>
    <x v="93"/>
    <s v="Personnel"/>
    <s v="E "/>
    <s v="Elementary Grade Group K-6"/>
    <s v="PS45E21S"/>
    <s v="PSES Elem Prog21Duty45 S275"/>
    <n v="21"/>
    <x v="7"/>
    <n v="45"/>
    <m/>
    <s v="   "/>
    <n v="16.416"/>
    <n v="0.21929999999999999"/>
    <n v="3.6"/>
    <s v="Elementary Speech, Language Pathway/_x000a_Audio"/>
    <x v="7"/>
  </r>
  <r>
    <s v="17405"/>
    <x v="93"/>
    <s v="Personnel"/>
    <s v="H "/>
    <s v="High Grade Group 9-12"/>
    <s v="PS45H21S"/>
    <s v="PSES High Prog21Duty45 S275"/>
    <n v="21"/>
    <x v="7"/>
    <n v="45"/>
    <m/>
    <s v="   "/>
    <n v="12.311999999999999"/>
    <n v="0.21929999999999999"/>
    <n v="2.7"/>
    <s v="High Speech, Language Pathway/_x000a_Audio"/>
    <x v="7"/>
  </r>
  <r>
    <s v="17405"/>
    <x v="93"/>
    <s v="Personnel"/>
    <s v="M "/>
    <s v="Middle Grade Group 7-8"/>
    <s v="PS45M21S"/>
    <s v="PSES Mid Prog21Duty45 S275"/>
    <n v="21"/>
    <x v="7"/>
    <n v="45"/>
    <m/>
    <s v="   "/>
    <n v="5.4720000000000004"/>
    <n v="0.21929999999999999"/>
    <n v="1.2"/>
    <s v="Middle Speech, Language Pathway/_x000a_Audio"/>
    <x v="7"/>
  </r>
  <r>
    <s v="17405"/>
    <x v="93"/>
    <s v="Personnel"/>
    <s v="E "/>
    <s v="Elementary Grade Group K-6"/>
    <s v="PS46E21S"/>
    <s v="PSES Elem Prog21Duty46 S275"/>
    <n v="21"/>
    <x v="8"/>
    <n v="46"/>
    <m/>
    <s v="   "/>
    <n v="12.48"/>
    <n v="0.21929999999999999"/>
    <n v="2.7370000000000001"/>
    <s v="Elementary Psychologist"/>
    <x v="8"/>
  </r>
  <r>
    <s v="17405"/>
    <x v="93"/>
    <s v="Personnel"/>
    <s v="H "/>
    <s v="High Grade Group 9-12"/>
    <s v="PS46H21S"/>
    <s v="PSES High Prog21Duty46 S275"/>
    <n v="21"/>
    <x v="8"/>
    <n v="46"/>
    <m/>
    <s v="   "/>
    <n v="9.36"/>
    <n v="0.21929999999999999"/>
    <n v="2.0529999999999999"/>
    <s v="High Psychologist"/>
    <x v="8"/>
  </r>
  <r>
    <s v="17405"/>
    <x v="93"/>
    <s v="Personnel"/>
    <s v="M "/>
    <s v="Middle Grade Group 7-8"/>
    <s v="PS46M21S"/>
    <s v="PSES Mid Prog21Duty46 S275"/>
    <n v="21"/>
    <x v="8"/>
    <n v="46"/>
    <m/>
    <s v="   "/>
    <n v="4.16"/>
    <n v="0.21929999999999999"/>
    <n v="0.91200000000000003"/>
    <s v="Middle Psychologist"/>
    <x v="8"/>
  </r>
  <r>
    <s v="17405"/>
    <x v="93"/>
    <s v="Personnel"/>
    <s v="E "/>
    <s v="Elementary Grade Group K-6"/>
    <s v="PS47E21S"/>
    <s v="PSES Elem Prog21Duty47 S275"/>
    <n v="21"/>
    <x v="9"/>
    <n v="47"/>
    <m/>
    <s v="   "/>
    <n v="0.3"/>
    <n v="0.21929999999999999"/>
    <n v="6.6000000000000003E-2"/>
    <s v="Elementary Nurse"/>
    <x v="9"/>
  </r>
  <r>
    <s v="17405"/>
    <x v="93"/>
    <s v="Personnel"/>
    <s v="E "/>
    <s v="Elementary Grade Group K-6"/>
    <s v="PS47ES"/>
    <s v="PSES Elem Prog01Duty47 S275"/>
    <n v="1"/>
    <x v="9"/>
    <n v="47"/>
    <m/>
    <s v="   "/>
    <n v="8.7040000000000006"/>
    <n v="0.21929999999999999"/>
    <n v="0"/>
    <s v="Elementary Nurse"/>
    <x v="9"/>
  </r>
  <r>
    <s v="17405"/>
    <x v="93"/>
    <s v="Personnel"/>
    <s v="H "/>
    <s v="High Grade Group 9-12"/>
    <s v="PS47HS"/>
    <s v="PSES High Prog01Duty47 S275"/>
    <n v="1"/>
    <x v="9"/>
    <n v="47"/>
    <m/>
    <s v="   "/>
    <n v="5.5179999999999998"/>
    <n v="0.21929999999999999"/>
    <n v="0"/>
    <s v="High Nurse"/>
    <x v="9"/>
  </r>
  <r>
    <s v="17405"/>
    <x v="93"/>
    <s v="Personnel"/>
    <s v="M "/>
    <s v="Middle Grade Group 7-8"/>
    <s v="PS47MS"/>
    <s v="PSES Mid Prog01Duty47 S275"/>
    <n v="1"/>
    <x v="9"/>
    <n v="47"/>
    <m/>
    <s v="   "/>
    <n v="3.4780000000000002"/>
    <n v="0.21929999999999999"/>
    <n v="0"/>
    <s v="Middle Nurse"/>
    <x v="9"/>
  </r>
  <r>
    <s v="17405"/>
    <x v="93"/>
    <s v="Personnel"/>
    <s v="E "/>
    <s v="Elementary Grade Group K-6"/>
    <s v="PS48E21S"/>
    <s v="PSES Elem Prog21Duty48 S275"/>
    <n v="21"/>
    <x v="11"/>
    <n v="48"/>
    <m/>
    <s v="   "/>
    <n v="2.6880000000000002"/>
    <n v="0.21929999999999999"/>
    <n v="0.58899999999999997"/>
    <s v="Elementary Physical Therapist"/>
    <x v="11"/>
  </r>
  <r>
    <s v="17405"/>
    <x v="93"/>
    <s v="Personnel"/>
    <s v="H "/>
    <s v="High Grade Group 9-12"/>
    <s v="PS48H21S"/>
    <s v="PSES High Prog21Duty48 S275"/>
    <n v="21"/>
    <x v="11"/>
    <n v="48"/>
    <m/>
    <s v="   "/>
    <n v="2.016"/>
    <n v="0.21929999999999999"/>
    <n v="0.442"/>
    <s v="High Physical Therapist"/>
    <x v="11"/>
  </r>
  <r>
    <s v="17405"/>
    <x v="93"/>
    <s v="Personnel"/>
    <s v="M "/>
    <s v="Middle Grade Group 7-8"/>
    <s v="PS48M21S"/>
    <s v="PSES Mid Prog21Duty48 S275"/>
    <n v="21"/>
    <x v="11"/>
    <n v="48"/>
    <m/>
    <s v="   "/>
    <n v="0.89600000000000002"/>
    <n v="0.21929999999999999"/>
    <n v="0.19600000000000001"/>
    <s v="Middle Physical Therapist"/>
    <x v="11"/>
  </r>
  <r>
    <s v="17405"/>
    <x v="93"/>
    <s v="Personnel"/>
    <s v="E "/>
    <s v="Elementary Grade Group K-6"/>
    <s v="PS49E21S"/>
    <s v="PSES Elem Prog21Duty49 S275"/>
    <n v="21"/>
    <x v="10"/>
    <n v="49"/>
    <m/>
    <s v="   "/>
    <n v="2.4"/>
    <n v="0.21929999999999999"/>
    <n v="0.52600000000000002"/>
    <s v="Elementary Behavior Analyst"/>
    <x v="10"/>
  </r>
  <r>
    <s v="17405"/>
    <x v="93"/>
    <s v="Personnel"/>
    <s v="H "/>
    <s v="High Grade Group 9-12"/>
    <s v="PS49H21S"/>
    <s v="PSES High Prog21Duty49 S275"/>
    <n v="21"/>
    <x v="10"/>
    <n v="49"/>
    <m/>
    <s v="   "/>
    <n v="1.8"/>
    <n v="0.21929999999999999"/>
    <n v="0.39500000000000002"/>
    <s v="High Behavior Analyst"/>
    <x v="10"/>
  </r>
  <r>
    <s v="17405"/>
    <x v="93"/>
    <s v="Personnel"/>
    <s v="M "/>
    <s v="Middle Grade Group 7-8"/>
    <s v="PS49M21S"/>
    <s v="PSES Mid Prog21Duty49 S275"/>
    <n v="21"/>
    <x v="10"/>
    <n v="49"/>
    <m/>
    <s v="   "/>
    <n v="0.8"/>
    <n v="0.21929999999999999"/>
    <n v="0.17499999999999999"/>
    <s v="Middle Behavior Analyst"/>
    <x v="10"/>
  </r>
  <r>
    <s v="17406"/>
    <x v="94"/>
    <s v="Personnel"/>
    <s v="H "/>
    <s v="High Grade Group 9-12"/>
    <s v="PS26HS"/>
    <s v="PSES High Prog01Act26 S275"/>
    <n v="1"/>
    <x v="2"/>
    <m/>
    <n v="26"/>
    <s v="   "/>
    <n v="1.929"/>
    <n v="0.26540000000000002"/>
    <n v="0"/>
    <s v="High Health/_x000a_Related Services"/>
    <x v="2"/>
  </r>
  <r>
    <s v="17406"/>
    <x v="94"/>
    <s v="Personnel"/>
    <s v="H "/>
    <s v="High Grade Group 9-12"/>
    <s v="PS35HS"/>
    <s v="PSES High Prog01Act35 S275"/>
    <n v="1"/>
    <x v="3"/>
    <m/>
    <n v="35"/>
    <s v="   "/>
    <n v="2.2050000000000001"/>
    <n v="0.26540000000000002"/>
    <n v="0"/>
    <s v="High Pupil Safety"/>
    <x v="3"/>
  </r>
  <r>
    <s v="17406"/>
    <x v="94"/>
    <s v="Personnel"/>
    <s v="E "/>
    <s v="Elementary Grade Group K-6"/>
    <s v="PS42ES"/>
    <s v="PSES Elem Prog01Duty42 S275"/>
    <n v="1"/>
    <x v="5"/>
    <n v="42"/>
    <m/>
    <s v="   "/>
    <n v="0.34"/>
    <n v="0.26540000000000002"/>
    <n v="0"/>
    <s v="Elementary Counselor"/>
    <x v="5"/>
  </r>
  <r>
    <s v="17406"/>
    <x v="94"/>
    <s v="Personnel"/>
    <s v="H "/>
    <s v="High Grade Group 9-12"/>
    <s v="PS42HS"/>
    <s v="PSES High Prog01Duty42 S275"/>
    <n v="1"/>
    <x v="5"/>
    <n v="42"/>
    <m/>
    <s v="   "/>
    <n v="3.5"/>
    <n v="0.26540000000000002"/>
    <n v="0"/>
    <s v="High Counselor"/>
    <x v="5"/>
  </r>
  <r>
    <s v="17406"/>
    <x v="94"/>
    <s v="Personnel"/>
    <s v="M "/>
    <s v="Middle Grade Group 7-8"/>
    <s v="PS42MS"/>
    <s v="PSES Mid Prog01Duty42 S275"/>
    <n v="1"/>
    <x v="5"/>
    <n v="42"/>
    <m/>
    <s v="   "/>
    <n v="0.68200000000000005"/>
    <n v="0.26540000000000002"/>
    <n v="0"/>
    <s v="Middle Counselor"/>
    <x v="5"/>
  </r>
  <r>
    <s v="17406"/>
    <x v="94"/>
    <s v="Personnel"/>
    <s v="E "/>
    <s v="Elementary Grade Group K-6"/>
    <s v="PS43E21S"/>
    <s v="PSES Elem Prog21Duty43 S275"/>
    <n v="21"/>
    <x v="6"/>
    <n v="43"/>
    <m/>
    <s v="   "/>
    <n v="0.33400000000000002"/>
    <n v="0.26540000000000002"/>
    <n v="8.8999999999999996E-2"/>
    <s v="Elementary Occupational Therapist"/>
    <x v="6"/>
  </r>
  <r>
    <s v="17406"/>
    <x v="94"/>
    <s v="Personnel"/>
    <s v="H "/>
    <s v="High Grade Group 9-12"/>
    <s v="PS43H21S"/>
    <s v="PSES High Prog21Duty43 S275"/>
    <n v="21"/>
    <x v="6"/>
    <n v="43"/>
    <m/>
    <s v="   "/>
    <n v="1"/>
    <n v="0.26540000000000002"/>
    <n v="0.26500000000000001"/>
    <s v="High Occupational Therapist"/>
    <x v="6"/>
  </r>
  <r>
    <s v="17406"/>
    <x v="94"/>
    <s v="Personnel"/>
    <s v="M "/>
    <s v="Middle Grade Group 7-8"/>
    <s v="PS43M21S"/>
    <s v="PSES Mid Prog21Duty43 S275"/>
    <n v="21"/>
    <x v="6"/>
    <n v="43"/>
    <m/>
    <s v="   "/>
    <n v="0.66600000000000004"/>
    <n v="0.26540000000000002"/>
    <n v="0.17699999999999999"/>
    <s v="Middle Occupational Therapist"/>
    <x v="6"/>
  </r>
  <r>
    <s v="17406"/>
    <x v="94"/>
    <s v="Personnel"/>
    <s v="E "/>
    <s v="Elementary Grade Group K-6"/>
    <s v="PS44ES"/>
    <s v="PSES Elem Prog01Duty44 S275"/>
    <n v="1"/>
    <x v="13"/>
    <n v="44"/>
    <m/>
    <s v="   "/>
    <n v="3"/>
    <n v="0.26540000000000002"/>
    <n v="0"/>
    <s v="Elementary Social Worker"/>
    <x v="13"/>
  </r>
  <r>
    <s v="17406"/>
    <x v="94"/>
    <s v="Personnel"/>
    <s v="E "/>
    <s v="Elementary Grade Group K-6"/>
    <s v="PS45E21S"/>
    <s v="PSES Elem Prog21Duty45 S275"/>
    <n v="21"/>
    <x v="7"/>
    <n v="45"/>
    <m/>
    <s v="   "/>
    <n v="3.1669999999999998"/>
    <n v="0.26540000000000002"/>
    <n v="0.84099999999999997"/>
    <s v="Elementary Speech, Language Pathway/_x000a_Audio"/>
    <x v="7"/>
  </r>
  <r>
    <s v="17406"/>
    <x v="94"/>
    <s v="Personnel"/>
    <s v="H "/>
    <s v="High Grade Group 9-12"/>
    <s v="PS45H21S"/>
    <s v="PSES High Prog21Duty45 S275"/>
    <n v="21"/>
    <x v="7"/>
    <n v="45"/>
    <m/>
    <s v="   "/>
    <n v="1"/>
    <n v="0.26540000000000002"/>
    <n v="0.26500000000000001"/>
    <s v="High Speech, Language Pathway/_x000a_Audio"/>
    <x v="7"/>
  </r>
  <r>
    <s v="17406"/>
    <x v="94"/>
    <s v="Personnel"/>
    <s v="M "/>
    <s v="Middle Grade Group 7-8"/>
    <s v="PS45M21S"/>
    <s v="PSES Mid Prog21Duty45 S275"/>
    <n v="21"/>
    <x v="7"/>
    <n v="45"/>
    <m/>
    <s v="   "/>
    <n v="0.83299999999999996"/>
    <n v="0.26540000000000002"/>
    <n v="0.221"/>
    <s v="Middle Speech, Language Pathway/_x000a_Audio"/>
    <x v="7"/>
  </r>
  <r>
    <s v="17406"/>
    <x v="94"/>
    <s v="Personnel"/>
    <s v="E "/>
    <s v="Elementary Grade Group K-6"/>
    <s v="PS46E21S"/>
    <s v="PSES Elem Prog21Duty46 S275"/>
    <n v="21"/>
    <x v="8"/>
    <n v="46"/>
    <m/>
    <s v="   "/>
    <n v="2.1669999999999998"/>
    <n v="0.26540000000000002"/>
    <n v="0.57499999999999996"/>
    <s v="Elementary Psychologist"/>
    <x v="8"/>
  </r>
  <r>
    <s v="17406"/>
    <x v="94"/>
    <s v="Personnel"/>
    <s v="H "/>
    <s v="High Grade Group 9-12"/>
    <s v="PS46H21S"/>
    <s v="PSES High Prog21Duty46 S275"/>
    <n v="21"/>
    <x v="8"/>
    <n v="46"/>
    <m/>
    <s v="   "/>
    <n v="1.5"/>
    <n v="0.26540000000000002"/>
    <n v="0.39800000000000002"/>
    <s v="High Psychologist"/>
    <x v="8"/>
  </r>
  <r>
    <s v="17406"/>
    <x v="94"/>
    <s v="Personnel"/>
    <s v="M "/>
    <s v="Middle Grade Group 7-8"/>
    <s v="PS46M21S"/>
    <s v="PSES Mid Prog21Duty46 S275"/>
    <n v="21"/>
    <x v="8"/>
    <n v="46"/>
    <m/>
    <s v="   "/>
    <n v="0.33300000000000002"/>
    <n v="0.26540000000000002"/>
    <n v="8.7999999999999995E-2"/>
    <s v="Middle Psychologist"/>
    <x v="8"/>
  </r>
  <r>
    <s v="17406"/>
    <x v="94"/>
    <s v="Personnel"/>
    <s v="H "/>
    <s v="High Grade Group 9-12"/>
    <s v="PS47HS"/>
    <s v="PSES High Prog01Duty47 S275"/>
    <n v="1"/>
    <x v="9"/>
    <n v="47"/>
    <m/>
    <s v="   "/>
    <n v="1"/>
    <n v="0.26540000000000002"/>
    <n v="0"/>
    <s v="High Nurse"/>
    <x v="9"/>
  </r>
  <r>
    <s v="17406"/>
    <x v="94"/>
    <s v="Personnel"/>
    <s v="E "/>
    <s v="Elementary Grade Group K-6"/>
    <s v="PS48E21S"/>
    <s v="PSES Elem Prog21Duty48 S275"/>
    <n v="21"/>
    <x v="11"/>
    <n v="48"/>
    <m/>
    <s v="   "/>
    <n v="1"/>
    <n v="0.26540000000000002"/>
    <n v="0.26500000000000001"/>
    <s v="Elementary Physical Therapist"/>
    <x v="11"/>
  </r>
  <r>
    <s v="17407"/>
    <x v="95"/>
    <s v="Personnel"/>
    <s v="H "/>
    <s v="High Grade Group 9-12"/>
    <s v="PS25HS"/>
    <s v="PSES High Prog01Act25 S275"/>
    <n v="1"/>
    <x v="1"/>
    <m/>
    <n v="25"/>
    <s v="   "/>
    <n v="3.653"/>
    <n v="0.20519999999999999"/>
    <n v="0"/>
    <s v="High Pupil Management"/>
    <x v="1"/>
  </r>
  <r>
    <s v="17407"/>
    <x v="95"/>
    <s v="Personnel"/>
    <s v="H "/>
    <s v="High Grade Group 9-12"/>
    <s v="PS26H21S"/>
    <s v="PSES High Prog21Act26 S275"/>
    <n v="21"/>
    <x v="2"/>
    <m/>
    <n v="26"/>
    <s v="   "/>
    <n v="2.37"/>
    <n v="0.20519999999999999"/>
    <n v="0.48599999999999999"/>
    <s v="High Health/_x000a_Related Services"/>
    <x v="2"/>
  </r>
  <r>
    <s v="17407"/>
    <x v="95"/>
    <s v="Personnel"/>
    <s v="H "/>
    <s v="High Grade Group 9-12"/>
    <s v="PS26HS"/>
    <s v="PSES High Prog01Act26 S275"/>
    <n v="1"/>
    <x v="2"/>
    <m/>
    <n v="26"/>
    <s v="   "/>
    <n v="1.6639999999999999"/>
    <n v="0.20519999999999999"/>
    <n v="0"/>
    <s v="High Health/_x000a_Related Services"/>
    <x v="2"/>
  </r>
  <r>
    <s v="17407"/>
    <x v="95"/>
    <s v="Personnel"/>
    <s v="H "/>
    <s v="High Grade Group 9-12"/>
    <s v="PS35HS"/>
    <s v="PSES High Prog01Act35 S275"/>
    <n v="1"/>
    <x v="3"/>
    <m/>
    <n v="35"/>
    <s v="   "/>
    <n v="1.5549999999999999"/>
    <n v="0.20519999999999999"/>
    <n v="0"/>
    <s v="High Pupil Safety"/>
    <x v="3"/>
  </r>
  <r>
    <s v="17407"/>
    <x v="95"/>
    <s v="Personnel"/>
    <s v="E "/>
    <s v="Elementary Grade Group K-6"/>
    <s v="PS42ES"/>
    <s v="PSES Elem Prog01Duty42 S275"/>
    <n v="1"/>
    <x v="5"/>
    <n v="42"/>
    <m/>
    <s v="   "/>
    <n v="3.99"/>
    <n v="0.20519999999999999"/>
    <n v="0"/>
    <s v="Elementary Counselor"/>
    <x v="5"/>
  </r>
  <r>
    <s v="17407"/>
    <x v="95"/>
    <s v="Personnel"/>
    <s v="H "/>
    <s v="High Grade Group 9-12"/>
    <s v="PS42HS"/>
    <s v="PSES High Prog01Duty42 S275"/>
    <n v="1"/>
    <x v="5"/>
    <n v="42"/>
    <m/>
    <s v="   "/>
    <n v="3.02"/>
    <n v="0.20519999999999999"/>
    <n v="0"/>
    <s v="High Counselor"/>
    <x v="5"/>
  </r>
  <r>
    <s v="17407"/>
    <x v="95"/>
    <s v="Personnel"/>
    <s v="M "/>
    <s v="Middle Grade Group 7-8"/>
    <s v="PS42MS"/>
    <s v="PSES Mid Prog01Duty42 S275"/>
    <n v="1"/>
    <x v="5"/>
    <n v="42"/>
    <m/>
    <s v="   "/>
    <n v="1.49"/>
    <n v="0.20519999999999999"/>
    <n v="0"/>
    <s v="Middle Counselor"/>
    <x v="5"/>
  </r>
  <r>
    <s v="17407"/>
    <x v="95"/>
    <s v="Personnel"/>
    <s v="E "/>
    <s v="Elementary Grade Group K-6"/>
    <s v="PS45E21S"/>
    <s v="PSES Elem Prog21Duty45 S275"/>
    <n v="21"/>
    <x v="7"/>
    <n v="45"/>
    <m/>
    <s v="   "/>
    <n v="3.35"/>
    <n v="0.20519999999999999"/>
    <n v="0.68700000000000006"/>
    <s v="Elementary Speech, Language Pathway/_x000a_Audio"/>
    <x v="7"/>
  </r>
  <r>
    <s v="17407"/>
    <x v="95"/>
    <s v="Personnel"/>
    <s v="H "/>
    <s v="High Grade Group 9-12"/>
    <s v="PS45H21S"/>
    <s v="PSES High Prog21Duty45 S275"/>
    <n v="21"/>
    <x v="7"/>
    <n v="45"/>
    <m/>
    <s v="   "/>
    <n v="0.5"/>
    <n v="0.20519999999999999"/>
    <n v="0.10299999999999999"/>
    <s v="High Speech, Language Pathway/_x000a_Audio"/>
    <x v="7"/>
  </r>
  <r>
    <s v="17407"/>
    <x v="95"/>
    <s v="Personnel"/>
    <s v="M "/>
    <s v="Middle Grade Group 7-8"/>
    <s v="PS45M21S"/>
    <s v="PSES Mid Prog21Duty45 S275"/>
    <n v="21"/>
    <x v="7"/>
    <n v="45"/>
    <m/>
    <s v="   "/>
    <n v="0.15"/>
    <n v="0.20519999999999999"/>
    <n v="3.1E-2"/>
    <s v="Middle Speech, Language Pathway/_x000a_Audio"/>
    <x v="7"/>
  </r>
  <r>
    <s v="17407"/>
    <x v="95"/>
    <s v="Personnel"/>
    <s v="E "/>
    <s v="Elementary Grade Group K-6"/>
    <s v="PS46E21S"/>
    <s v="PSES Elem Prog21Duty46 S275"/>
    <n v="21"/>
    <x v="8"/>
    <n v="46"/>
    <m/>
    <s v="   "/>
    <n v="3.29"/>
    <n v="0.20519999999999999"/>
    <n v="0.67500000000000004"/>
    <s v="Elementary Psychologist"/>
    <x v="8"/>
  </r>
  <r>
    <s v="17407"/>
    <x v="95"/>
    <s v="Personnel"/>
    <s v="E "/>
    <s v="Elementary Grade Group K-6"/>
    <s v="PS46ES"/>
    <s v="PSES Elem Prog01Duty46 S275"/>
    <n v="1"/>
    <x v="8"/>
    <n v="46"/>
    <m/>
    <s v="   "/>
    <n v="0.02"/>
    <n v="0.20519999999999999"/>
    <n v="0"/>
    <s v="Elementary Psychologist"/>
    <x v="8"/>
  </r>
  <r>
    <s v="17407"/>
    <x v="95"/>
    <s v="Personnel"/>
    <s v="H "/>
    <s v="High Grade Group 9-12"/>
    <s v="PS46H21S"/>
    <s v="PSES High Prog21Duty46 S275"/>
    <n v="21"/>
    <x v="8"/>
    <n v="46"/>
    <m/>
    <s v="   "/>
    <n v="1.81"/>
    <n v="0.20519999999999999"/>
    <n v="0.371"/>
    <s v="High Psychologist"/>
    <x v="8"/>
  </r>
  <r>
    <s v="17407"/>
    <x v="95"/>
    <s v="Personnel"/>
    <s v="E "/>
    <s v="Elementary Grade Group K-6"/>
    <s v="PS47ES"/>
    <s v="PSES Elem Prog01Duty47 S275"/>
    <n v="1"/>
    <x v="9"/>
    <n v="47"/>
    <m/>
    <s v="   "/>
    <n v="2"/>
    <n v="0.20519999999999999"/>
    <n v="0"/>
    <s v="Elementary Nurse"/>
    <x v="9"/>
  </r>
  <r>
    <s v="17408"/>
    <x v="96"/>
    <s v="Personnel"/>
    <s v="E "/>
    <s v="Elementary Grade Group K-6"/>
    <s v="PS25ES"/>
    <s v="PSES Elem Prog01Act25 S275"/>
    <n v="1"/>
    <x v="1"/>
    <m/>
    <n v="25"/>
    <s v="   "/>
    <n v="6.56"/>
    <n v="0.24790000000000001"/>
    <n v="0"/>
    <s v="Elementary Pupil Management"/>
    <x v="1"/>
  </r>
  <r>
    <s v="17408"/>
    <x v="96"/>
    <s v="Personnel"/>
    <s v="H "/>
    <s v="High Grade Group 9-12"/>
    <s v="PS25H21S"/>
    <s v="PSES High Prog21Act25 S275"/>
    <n v="21"/>
    <x v="1"/>
    <m/>
    <n v="25"/>
    <s v="   "/>
    <n v="5.9790000000000001"/>
    <n v="0.24790000000000001"/>
    <n v="1.482"/>
    <s v="High Pupil Management"/>
    <x v="1"/>
  </r>
  <r>
    <s v="17408"/>
    <x v="96"/>
    <s v="Personnel"/>
    <s v="H "/>
    <s v="High Grade Group 9-12"/>
    <s v="PS25HS"/>
    <s v="PSES High Prog01Act25 S275"/>
    <n v="1"/>
    <x v="1"/>
    <m/>
    <n v="25"/>
    <s v="   "/>
    <n v="6.2060000000000004"/>
    <n v="0.24790000000000001"/>
    <n v="0"/>
    <s v="High Pupil Management"/>
    <x v="1"/>
  </r>
  <r>
    <s v="17408"/>
    <x v="96"/>
    <s v="Personnel"/>
    <s v="M "/>
    <s v="Middle Grade Group 7-8"/>
    <s v="PS25MS"/>
    <s v="PSES Mid Prog01Act25 S275"/>
    <n v="1"/>
    <x v="1"/>
    <m/>
    <n v="25"/>
    <s v="   "/>
    <n v="2.262"/>
    <n v="0.24790000000000001"/>
    <n v="0"/>
    <s v="Middle Pupil Management"/>
    <x v="1"/>
  </r>
  <r>
    <s v="17408"/>
    <x v="96"/>
    <s v="Personnel"/>
    <s v="E "/>
    <s v="Elementary Grade Group K-6"/>
    <s v="PS26E21S"/>
    <s v="PSES Elem Prog21Act26 S275"/>
    <n v="21"/>
    <x v="2"/>
    <m/>
    <n v="26"/>
    <s v="   "/>
    <n v="4.5940000000000003"/>
    <n v="0.24790000000000001"/>
    <n v="1.139"/>
    <s v="Elementary Health/_x000a_Related Services"/>
    <x v="2"/>
  </r>
  <r>
    <s v="17408"/>
    <x v="96"/>
    <s v="Personnel"/>
    <s v="E "/>
    <s v="Elementary Grade Group K-6"/>
    <s v="PS26ES"/>
    <s v="PSES Elem Prog01Act26 S275"/>
    <n v="1"/>
    <x v="2"/>
    <m/>
    <n v="26"/>
    <s v="   "/>
    <n v="10.7"/>
    <n v="0.24790000000000001"/>
    <n v="0"/>
    <s v="Elementary Health/_x000a_Related Services"/>
    <x v="2"/>
  </r>
  <r>
    <s v="17408"/>
    <x v="96"/>
    <s v="Personnel"/>
    <s v="H "/>
    <s v="High Grade Group 9-12"/>
    <s v="PS26H21S"/>
    <s v="PSES High Prog21Act26 S275"/>
    <n v="21"/>
    <x v="2"/>
    <m/>
    <n v="26"/>
    <s v="   "/>
    <n v="3.8079999999999998"/>
    <n v="0.24790000000000001"/>
    <n v="0.94399999999999995"/>
    <s v="High Health/_x000a_Related Services"/>
    <x v="2"/>
  </r>
  <r>
    <s v="17408"/>
    <x v="96"/>
    <s v="Personnel"/>
    <s v="H "/>
    <s v="High Grade Group 9-12"/>
    <s v="PS26HS"/>
    <s v="PSES High Prog01Act26 S275"/>
    <n v="1"/>
    <x v="2"/>
    <m/>
    <n v="26"/>
    <s v="   "/>
    <n v="1.9590000000000001"/>
    <n v="0.24790000000000001"/>
    <n v="0"/>
    <s v="High Health/_x000a_Related Services"/>
    <x v="2"/>
  </r>
  <r>
    <s v="17408"/>
    <x v="96"/>
    <s v="Personnel"/>
    <s v="M "/>
    <s v="Middle Grade Group 7-8"/>
    <s v="PS26M21S"/>
    <s v="PSES Mid Prog21Act26 S275"/>
    <n v="21"/>
    <x v="2"/>
    <m/>
    <n v="26"/>
    <s v="   "/>
    <n v="1.369"/>
    <n v="0.24790000000000001"/>
    <n v="0.33900000000000002"/>
    <s v="Middle Health/_x000a_Related Services"/>
    <x v="2"/>
  </r>
  <r>
    <s v="17408"/>
    <x v="96"/>
    <s v="Personnel"/>
    <s v="M "/>
    <s v="Middle Grade Group 7-8"/>
    <s v="PS26MS"/>
    <s v="PSES Mid Prog01Act26 S275"/>
    <n v="1"/>
    <x v="2"/>
    <m/>
    <n v="26"/>
    <s v="   "/>
    <n v="1.8180000000000001"/>
    <n v="0.24790000000000001"/>
    <n v="0"/>
    <s v="Middle Health/_x000a_Related Services"/>
    <x v="2"/>
  </r>
  <r>
    <s v="17408"/>
    <x v="96"/>
    <s v="Personnel"/>
    <s v="H "/>
    <s v="High Grade Group 9-12"/>
    <s v="PS35H97S"/>
    <s v="PSES High Prog97Act35 S275"/>
    <n v="97"/>
    <x v="3"/>
    <m/>
    <n v="35"/>
    <s v="   "/>
    <n v="6.742"/>
    <n v="0.24790000000000001"/>
    <n v="0"/>
    <s v="High Pupil Safety"/>
    <x v="3"/>
  </r>
  <r>
    <s v="17408"/>
    <x v="96"/>
    <s v="Personnel"/>
    <s v="M "/>
    <s v="Middle Grade Group 7-8"/>
    <s v="PS35M97S"/>
    <s v="PSES Mid Prog97Act35 S275"/>
    <n v="97"/>
    <x v="3"/>
    <m/>
    <n v="35"/>
    <s v="   "/>
    <n v="3.71"/>
    <n v="0.24790000000000001"/>
    <n v="0"/>
    <s v="Middle Pupil Safety"/>
    <x v="3"/>
  </r>
  <r>
    <s v="17408"/>
    <x v="96"/>
    <s v="Personnel"/>
    <s v="E "/>
    <s v="Elementary Grade Group K-6"/>
    <s v="PS42ES"/>
    <s v="PSES Elem Prog01Duty42 S275"/>
    <n v="1"/>
    <x v="5"/>
    <n v="42"/>
    <m/>
    <s v="   "/>
    <n v="23.728999999999999"/>
    <n v="0.24790000000000001"/>
    <n v="0"/>
    <s v="Elementary Counselor"/>
    <x v="5"/>
  </r>
  <r>
    <s v="17408"/>
    <x v="96"/>
    <s v="Personnel"/>
    <s v="H "/>
    <s v="High Grade Group 9-12"/>
    <s v="PS42HS"/>
    <s v="PSES High Prog01Duty42 S275"/>
    <n v="1"/>
    <x v="5"/>
    <n v="42"/>
    <m/>
    <s v="   "/>
    <n v="17"/>
    <n v="0.24790000000000001"/>
    <n v="0"/>
    <s v="High Counselor"/>
    <x v="5"/>
  </r>
  <r>
    <s v="17408"/>
    <x v="96"/>
    <s v="Personnel"/>
    <s v="M "/>
    <s v="Middle Grade Group 7-8"/>
    <s v="PS42MS"/>
    <s v="PSES Mid Prog01Duty42 S275"/>
    <n v="1"/>
    <x v="5"/>
    <n v="42"/>
    <m/>
    <s v="   "/>
    <n v="8.1039999999999992"/>
    <n v="0.24790000000000001"/>
    <n v="0"/>
    <s v="Middle Counselor"/>
    <x v="5"/>
  </r>
  <r>
    <s v="17408"/>
    <x v="96"/>
    <s v="Personnel"/>
    <s v="E "/>
    <s v="Elementary Grade Group K-6"/>
    <s v="PS43E21S"/>
    <s v="PSES Elem Prog21Duty43 S275"/>
    <n v="21"/>
    <x v="6"/>
    <n v="43"/>
    <m/>
    <s v="   "/>
    <n v="10.911"/>
    <n v="0.24790000000000001"/>
    <n v="2.7050000000000001"/>
    <s v="Elementary Occupational Therapist"/>
    <x v="6"/>
  </r>
  <r>
    <s v="17408"/>
    <x v="96"/>
    <s v="Personnel"/>
    <s v="H "/>
    <s v="High Grade Group 9-12"/>
    <s v="PS43H21S"/>
    <s v="PSES High Prog21Duty43 S275"/>
    <n v="21"/>
    <x v="6"/>
    <n v="43"/>
    <m/>
    <s v="   "/>
    <n v="0.73"/>
    <n v="0.24790000000000001"/>
    <n v="0.18099999999999999"/>
    <s v="High Occupational Therapist"/>
    <x v="6"/>
  </r>
  <r>
    <s v="17408"/>
    <x v="96"/>
    <s v="Personnel"/>
    <s v="M "/>
    <s v="Middle Grade Group 7-8"/>
    <s v="PS43M21S"/>
    <s v="PSES Mid Prog21Duty43 S275"/>
    <n v="21"/>
    <x v="6"/>
    <n v="43"/>
    <m/>
    <s v="   "/>
    <n v="0.55900000000000005"/>
    <n v="0.24790000000000001"/>
    <n v="0.13900000000000001"/>
    <s v="Middle Occupational Therapist"/>
    <x v="6"/>
  </r>
  <r>
    <s v="17408"/>
    <x v="96"/>
    <s v="Personnel"/>
    <s v="E "/>
    <s v="Elementary Grade Group K-6"/>
    <s v="PS44ES"/>
    <s v="PSES Elem Prog01Duty44 S275"/>
    <n v="1"/>
    <x v="13"/>
    <n v="44"/>
    <m/>
    <s v="   "/>
    <n v="2"/>
    <n v="0.24790000000000001"/>
    <n v="0"/>
    <s v="Elementary Social Worker"/>
    <x v="13"/>
  </r>
  <r>
    <s v="17408"/>
    <x v="96"/>
    <s v="Personnel"/>
    <s v="H "/>
    <s v="High Grade Group 9-12"/>
    <s v="PS44HS"/>
    <s v="PSES High Prog01Duty44 S275"/>
    <n v="1"/>
    <x v="13"/>
    <n v="44"/>
    <m/>
    <s v="   "/>
    <n v="1"/>
    <n v="0.24790000000000001"/>
    <n v="0"/>
    <s v="High Social Worker"/>
    <x v="13"/>
  </r>
  <r>
    <s v="17408"/>
    <x v="96"/>
    <s v="Personnel"/>
    <s v="E "/>
    <s v="Elementary Grade Group K-6"/>
    <s v="PS45E21S"/>
    <s v="PSES Elem Prog21Duty45 S275"/>
    <n v="21"/>
    <x v="7"/>
    <n v="45"/>
    <m/>
    <s v="   "/>
    <n v="25.995999999999999"/>
    <n v="0.24790000000000001"/>
    <n v="6.444"/>
    <s v="Elementary Speech, Language Pathway/_x000a_Audio"/>
    <x v="7"/>
  </r>
  <r>
    <s v="17408"/>
    <x v="96"/>
    <s v="Personnel"/>
    <s v="E "/>
    <s v="Elementary Grade Group K-6"/>
    <s v="PS45ES"/>
    <s v="PSES Elem Prog01Duty45 S275"/>
    <n v="1"/>
    <x v="7"/>
    <n v="45"/>
    <m/>
    <s v="   "/>
    <n v="0.5"/>
    <n v="0.24790000000000001"/>
    <n v="0"/>
    <s v="Elementary Speech, Language Pathway/_x000a_Audio"/>
    <x v="7"/>
  </r>
  <r>
    <s v="17408"/>
    <x v="96"/>
    <s v="Personnel"/>
    <s v="H "/>
    <s v="High Grade Group 9-12"/>
    <s v="PS45H21S"/>
    <s v="PSES High Prog21Duty45 S275"/>
    <n v="21"/>
    <x v="7"/>
    <n v="45"/>
    <m/>
    <s v="   "/>
    <n v="4.3"/>
    <n v="0.24790000000000001"/>
    <n v="1.0660000000000001"/>
    <s v="High Speech, Language Pathway/_x000a_Audio"/>
    <x v="7"/>
  </r>
  <r>
    <s v="17408"/>
    <x v="96"/>
    <s v="Personnel"/>
    <s v="M "/>
    <s v="Middle Grade Group 7-8"/>
    <s v="PS45M21S"/>
    <s v="PSES Mid Prog21Duty45 S275"/>
    <n v="21"/>
    <x v="7"/>
    <n v="45"/>
    <m/>
    <s v="   "/>
    <n v="3.004"/>
    <n v="0.24790000000000001"/>
    <n v="0.745"/>
    <s v="Middle Speech, Language Pathway/_x000a_Audio"/>
    <x v="7"/>
  </r>
  <r>
    <s v="17408"/>
    <x v="96"/>
    <s v="Personnel"/>
    <s v="E "/>
    <s v="Elementary Grade Group K-6"/>
    <s v="PS46E21S"/>
    <s v="PSES Elem Prog21Duty46 S275"/>
    <n v="21"/>
    <x v="8"/>
    <n v="46"/>
    <m/>
    <s v="   "/>
    <n v="13.272"/>
    <n v="0.24790000000000001"/>
    <n v="3.29"/>
    <s v="Elementary Psychologist"/>
    <x v="8"/>
  </r>
  <r>
    <s v="17408"/>
    <x v="96"/>
    <s v="Personnel"/>
    <s v="H "/>
    <s v="High Grade Group 9-12"/>
    <s v="PS46H21S"/>
    <s v="PSES High Prog21Duty46 S275"/>
    <n v="21"/>
    <x v="8"/>
    <n v="46"/>
    <m/>
    <s v="   "/>
    <n v="4.4409999999999998"/>
    <n v="0.24790000000000001"/>
    <n v="1.101"/>
    <s v="High Psychologist"/>
    <x v="8"/>
  </r>
  <r>
    <s v="17408"/>
    <x v="96"/>
    <s v="Personnel"/>
    <s v="M "/>
    <s v="Middle Grade Group 7-8"/>
    <s v="PS46M21S"/>
    <s v="PSES Mid Prog21Duty46 S275"/>
    <n v="21"/>
    <x v="8"/>
    <n v="46"/>
    <m/>
    <s v="   "/>
    <n v="1.998"/>
    <n v="0.24790000000000001"/>
    <n v="0.495"/>
    <s v="Middle Psychologist"/>
    <x v="8"/>
  </r>
  <r>
    <s v="17408"/>
    <x v="96"/>
    <s v="Personnel"/>
    <s v="E "/>
    <s v="Elementary Grade Group K-6"/>
    <s v="PS47ES"/>
    <s v="PSES Elem Prog01Duty47 S275"/>
    <n v="1"/>
    <x v="9"/>
    <n v="47"/>
    <m/>
    <s v="   "/>
    <n v="9.7940000000000005"/>
    <n v="0.24790000000000001"/>
    <n v="0"/>
    <s v="Elementary Nurse"/>
    <x v="9"/>
  </r>
  <r>
    <s v="17408"/>
    <x v="96"/>
    <s v="Personnel"/>
    <s v="H "/>
    <s v="High Grade Group 9-12"/>
    <s v="PS47HS"/>
    <s v="PSES High Prog01Duty47 S275"/>
    <n v="1"/>
    <x v="9"/>
    <n v="47"/>
    <m/>
    <s v="   "/>
    <n v="2.2669999999999999"/>
    <n v="0.24790000000000001"/>
    <n v="0"/>
    <s v="High Nurse"/>
    <x v="9"/>
  </r>
  <r>
    <s v="17408"/>
    <x v="96"/>
    <s v="Personnel"/>
    <s v="M "/>
    <s v="Middle Grade Group 7-8"/>
    <s v="PS47MS"/>
    <s v="PSES Mid Prog01Duty47 S275"/>
    <n v="1"/>
    <x v="9"/>
    <n v="47"/>
    <m/>
    <s v="   "/>
    <n v="3.4169999999999998"/>
    <n v="0.24790000000000001"/>
    <n v="0"/>
    <s v="Middle Nurse"/>
    <x v="9"/>
  </r>
  <r>
    <s v="17408"/>
    <x v="96"/>
    <s v="Personnel"/>
    <s v="E "/>
    <s v="Elementary Grade Group K-6"/>
    <s v="PS48E21S"/>
    <s v="PSES Elem Prog21Duty48 S275"/>
    <n v="21"/>
    <x v="11"/>
    <n v="48"/>
    <m/>
    <s v="   "/>
    <n v="2.02"/>
    <n v="0.24790000000000001"/>
    <n v="0.501"/>
    <s v="Elementary Physical Therapist"/>
    <x v="11"/>
  </r>
  <r>
    <s v="17408"/>
    <x v="96"/>
    <s v="Personnel"/>
    <s v="H "/>
    <s v="High Grade Group 9-12"/>
    <s v="PS48H21S"/>
    <s v="PSES High Prog21Duty48 S275"/>
    <n v="21"/>
    <x v="11"/>
    <n v="48"/>
    <m/>
    <s v="   "/>
    <n v="0.55000000000000004"/>
    <n v="0.24790000000000001"/>
    <n v="0.13600000000000001"/>
    <s v="High Physical Therapist"/>
    <x v="11"/>
  </r>
  <r>
    <s v="17408"/>
    <x v="96"/>
    <s v="Personnel"/>
    <s v="M "/>
    <s v="Middle Grade Group 7-8"/>
    <s v="PS48M21S"/>
    <s v="PSES Mid Prog21Duty48 S275"/>
    <n v="21"/>
    <x v="11"/>
    <n v="48"/>
    <m/>
    <s v="   "/>
    <n v="0.43"/>
    <n v="0.24790000000000001"/>
    <n v="0.107"/>
    <s v="Middle Physical Therapist"/>
    <x v="11"/>
  </r>
  <r>
    <s v="17408"/>
    <x v="96"/>
    <s v="Personnel"/>
    <s v="E "/>
    <s v="Elementary Grade Group K-6"/>
    <s v="PS49E21S"/>
    <s v="PSES Elem Prog21Duty49 S275"/>
    <n v="21"/>
    <x v="10"/>
    <n v="49"/>
    <m/>
    <s v="   "/>
    <n v="1.67"/>
    <n v="0.24790000000000001"/>
    <n v="0.41399999999999998"/>
    <s v="Elementary Behavior Analyst"/>
    <x v="10"/>
  </r>
  <r>
    <s v="17408"/>
    <x v="96"/>
    <s v="Personnel"/>
    <s v="H "/>
    <s v="High Grade Group 9-12"/>
    <s v="PS49H21S"/>
    <s v="PSES High Prog21Duty49 S275"/>
    <n v="21"/>
    <x v="10"/>
    <n v="49"/>
    <m/>
    <s v="   "/>
    <n v="1.67"/>
    <n v="0.24790000000000001"/>
    <n v="0.41399999999999998"/>
    <s v="High Behavior Analyst"/>
    <x v="10"/>
  </r>
  <r>
    <s v="17408"/>
    <x v="96"/>
    <s v="Personnel"/>
    <s v="M "/>
    <s v="Middle Grade Group 7-8"/>
    <s v="PS49M21S"/>
    <s v="PSES Mid Prog21Duty49 S275"/>
    <n v="21"/>
    <x v="10"/>
    <n v="49"/>
    <m/>
    <s v="   "/>
    <n v="0.66"/>
    <n v="0.24790000000000001"/>
    <n v="0.16400000000000001"/>
    <s v="Middle Behavior Analyst"/>
    <x v="10"/>
  </r>
  <r>
    <s v="17409"/>
    <x v="97"/>
    <s v="Personnel"/>
    <s v="H "/>
    <s v="High Grade Group 9-12"/>
    <s v="PS25HS"/>
    <s v="PSES High Prog01Act25 S275"/>
    <n v="1"/>
    <x v="1"/>
    <m/>
    <n v="25"/>
    <s v="   "/>
    <n v="2.5619999999999998"/>
    <n v="0.2366"/>
    <n v="0"/>
    <s v="High Pupil Management"/>
    <x v="1"/>
  </r>
  <r>
    <s v="17409"/>
    <x v="97"/>
    <s v="Personnel"/>
    <s v="H "/>
    <s v="High Grade Group 9-12"/>
    <s v="PS26H21S"/>
    <s v="PSES High Prog21Act26 S275"/>
    <n v="21"/>
    <x v="2"/>
    <m/>
    <n v="26"/>
    <s v="   "/>
    <n v="2.081"/>
    <n v="0.2366"/>
    <n v="0.49199999999999999"/>
    <s v="High Health/_x000a_Related Services"/>
    <x v="2"/>
  </r>
  <r>
    <s v="17409"/>
    <x v="97"/>
    <s v="Personnel"/>
    <s v="H "/>
    <s v="High Grade Group 9-12"/>
    <s v="PS26HS"/>
    <s v="PSES High Prog01Act26 S275"/>
    <n v="1"/>
    <x v="2"/>
    <m/>
    <n v="26"/>
    <s v="   "/>
    <n v="14.076000000000001"/>
    <n v="0.2366"/>
    <n v="0"/>
    <s v="High Health/_x000a_Related Services"/>
    <x v="2"/>
  </r>
  <r>
    <s v="17409"/>
    <x v="97"/>
    <s v="Personnel"/>
    <s v="H "/>
    <s v="High Grade Group 9-12"/>
    <s v="PS35H97S"/>
    <s v="PSES High Prog97Act35 S275"/>
    <n v="97"/>
    <x v="3"/>
    <m/>
    <n v="35"/>
    <s v="   "/>
    <n v="2.113"/>
    <n v="0.2366"/>
    <n v="0"/>
    <s v="High Pupil Safety"/>
    <x v="3"/>
  </r>
  <r>
    <s v="17409"/>
    <x v="97"/>
    <s v="Personnel"/>
    <s v="E "/>
    <s v="Elementary Grade Group K-6"/>
    <s v="PS42ES"/>
    <s v="PSES Elem Prog01Duty42 S275"/>
    <n v="1"/>
    <x v="5"/>
    <n v="42"/>
    <m/>
    <s v="   "/>
    <n v="8.2349999999999994"/>
    <n v="0.2366"/>
    <n v="0"/>
    <s v="Elementary Counselor"/>
    <x v="5"/>
  </r>
  <r>
    <s v="17409"/>
    <x v="97"/>
    <s v="Personnel"/>
    <s v="H "/>
    <s v="High Grade Group 9-12"/>
    <s v="PS42HS"/>
    <s v="PSES High Prog01Duty42 S275"/>
    <n v="1"/>
    <x v="5"/>
    <n v="42"/>
    <m/>
    <s v="   "/>
    <n v="6.2"/>
    <n v="0.2366"/>
    <n v="0"/>
    <s v="High Counselor"/>
    <x v="5"/>
  </r>
  <r>
    <s v="17409"/>
    <x v="97"/>
    <s v="Personnel"/>
    <s v="M "/>
    <s v="Middle Grade Group 7-8"/>
    <s v="PS42MS"/>
    <s v="PSES Mid Prog01Duty42 S275"/>
    <n v="1"/>
    <x v="5"/>
    <n v="42"/>
    <m/>
    <s v="   "/>
    <n v="4.7649999999999997"/>
    <n v="0.2366"/>
    <n v="0"/>
    <s v="Middle Counselor"/>
    <x v="5"/>
  </r>
  <r>
    <s v="17409"/>
    <x v="97"/>
    <s v="Personnel"/>
    <s v="E "/>
    <s v="Elementary Grade Group K-6"/>
    <s v="PS43E21S"/>
    <s v="PSES Elem Prog21Duty43 S275"/>
    <n v="21"/>
    <x v="6"/>
    <n v="43"/>
    <m/>
    <s v="   "/>
    <n v="2.1930000000000001"/>
    <n v="0.2366"/>
    <n v="0.51900000000000002"/>
    <s v="Elementary Occupational Therapist"/>
    <x v="6"/>
  </r>
  <r>
    <s v="17409"/>
    <x v="97"/>
    <s v="Personnel"/>
    <s v="H "/>
    <s v="High Grade Group 9-12"/>
    <s v="PS43H21S"/>
    <s v="PSES High Prog21Duty43 S275"/>
    <n v="21"/>
    <x v="6"/>
    <n v="43"/>
    <m/>
    <s v="   "/>
    <n v="0.73"/>
    <n v="0.2366"/>
    <n v="0.17299999999999999"/>
    <s v="High Occupational Therapist"/>
    <x v="6"/>
  </r>
  <r>
    <s v="17409"/>
    <x v="97"/>
    <s v="Personnel"/>
    <s v="M "/>
    <s v="Middle Grade Group 7-8"/>
    <s v="PS43M21S"/>
    <s v="PSES Mid Prog21Duty43 S275"/>
    <n v="21"/>
    <x v="6"/>
    <n v="43"/>
    <m/>
    <s v="   "/>
    <n v="0.1"/>
    <n v="0.2366"/>
    <n v="2.4E-2"/>
    <s v="Middle Occupational Therapist"/>
    <x v="6"/>
  </r>
  <r>
    <s v="17409"/>
    <x v="97"/>
    <s v="Personnel"/>
    <s v="E "/>
    <s v="Elementary Grade Group K-6"/>
    <s v="PS45E21S"/>
    <s v="PSES Elem Prog21Duty45 S275"/>
    <n v="21"/>
    <x v="7"/>
    <n v="45"/>
    <m/>
    <s v="   "/>
    <n v="10.795"/>
    <n v="0.2366"/>
    <n v="2.5539999999999998"/>
    <s v="Elementary Speech, Language Pathway/_x000a_Audio"/>
    <x v="7"/>
  </r>
  <r>
    <s v="17409"/>
    <x v="97"/>
    <s v="Personnel"/>
    <s v="H "/>
    <s v="High Grade Group 9-12"/>
    <s v="PS45H21S"/>
    <s v="PSES High Prog21Duty45 S275"/>
    <n v="21"/>
    <x v="7"/>
    <n v="45"/>
    <m/>
    <s v="   "/>
    <n v="1.6120000000000001"/>
    <n v="0.2366"/>
    <n v="0.38100000000000001"/>
    <s v="High Speech, Language Pathway/_x000a_Audio"/>
    <x v="7"/>
  </r>
  <r>
    <s v="17409"/>
    <x v="97"/>
    <s v="Personnel"/>
    <s v="M "/>
    <s v="Middle Grade Group 7-8"/>
    <s v="PS45M21S"/>
    <s v="PSES Mid Prog21Duty45 S275"/>
    <n v="21"/>
    <x v="7"/>
    <n v="45"/>
    <m/>
    <s v="   "/>
    <n v="1.1000000000000001"/>
    <n v="0.2366"/>
    <n v="0.26"/>
    <s v="Middle Speech, Language Pathway/_x000a_Audio"/>
    <x v="7"/>
  </r>
  <r>
    <s v="17409"/>
    <x v="97"/>
    <s v="Personnel"/>
    <s v="E "/>
    <s v="Elementary Grade Group K-6"/>
    <s v="PS46E21S"/>
    <s v="PSES Elem Prog21Duty46 S275"/>
    <n v="21"/>
    <x v="8"/>
    <n v="46"/>
    <m/>
    <s v="   "/>
    <n v="5.3029999999999999"/>
    <n v="0.2366"/>
    <n v="1.2549999999999999"/>
    <s v="Elementary Psychologist"/>
    <x v="8"/>
  </r>
  <r>
    <s v="17409"/>
    <x v="97"/>
    <s v="Personnel"/>
    <s v="H "/>
    <s v="High Grade Group 9-12"/>
    <s v="PS46H21S"/>
    <s v="PSES High Prog21Duty46 S275"/>
    <n v="21"/>
    <x v="8"/>
    <n v="46"/>
    <m/>
    <s v="   "/>
    <n v="2"/>
    <n v="0.2366"/>
    <n v="0.47299999999999998"/>
    <s v="High Psychologist"/>
    <x v="8"/>
  </r>
  <r>
    <s v="17409"/>
    <x v="97"/>
    <s v="Personnel"/>
    <s v="M "/>
    <s v="Middle Grade Group 7-8"/>
    <s v="PS46M21S"/>
    <s v="PSES Mid Prog21Duty46 S275"/>
    <n v="21"/>
    <x v="8"/>
    <n v="46"/>
    <m/>
    <s v="   "/>
    <n v="0.67"/>
    <n v="0.2366"/>
    <n v="0.159"/>
    <s v="Middle Psychologist"/>
    <x v="8"/>
  </r>
  <r>
    <s v="17409"/>
    <x v="97"/>
    <s v="Personnel"/>
    <s v="E "/>
    <s v="Elementary Grade Group K-6"/>
    <s v="PS47ES"/>
    <s v="PSES Elem Prog01Duty47 S275"/>
    <n v="1"/>
    <x v="9"/>
    <n v="47"/>
    <m/>
    <s v="   "/>
    <n v="1.06"/>
    <n v="0.2366"/>
    <n v="0"/>
    <s v="Elementary Nurse"/>
    <x v="9"/>
  </r>
  <r>
    <s v="17409"/>
    <x v="97"/>
    <s v="Personnel"/>
    <s v="H "/>
    <s v="High Grade Group 9-12"/>
    <s v="PS47HS"/>
    <s v="PSES High Prog01Duty47 S275"/>
    <n v="1"/>
    <x v="9"/>
    <n v="47"/>
    <m/>
    <s v="   "/>
    <n v="0.52"/>
    <n v="0.2366"/>
    <n v="0"/>
    <s v="High Nurse"/>
    <x v="9"/>
  </r>
  <r>
    <s v="17409"/>
    <x v="97"/>
    <s v="Personnel"/>
    <s v="M "/>
    <s v="Middle Grade Group 7-8"/>
    <s v="PS47MS"/>
    <s v="PSES Mid Prog01Duty47 S275"/>
    <n v="1"/>
    <x v="9"/>
    <n v="47"/>
    <m/>
    <s v="   "/>
    <n v="0.32"/>
    <n v="0.2366"/>
    <n v="0"/>
    <s v="Middle Nurse"/>
    <x v="9"/>
  </r>
  <r>
    <s v="17409"/>
    <x v="97"/>
    <s v="Personnel"/>
    <s v="E "/>
    <s v="Elementary Grade Group K-6"/>
    <s v="PS48E21S"/>
    <s v="PSES Elem Prog21Duty48 S275"/>
    <n v="21"/>
    <x v="11"/>
    <n v="48"/>
    <m/>
    <s v="   "/>
    <n v="0.66"/>
    <n v="0.2366"/>
    <n v="0.156"/>
    <s v="Elementary Physical Therapist"/>
    <x v="11"/>
  </r>
  <r>
    <s v="17409"/>
    <x v="97"/>
    <s v="Personnel"/>
    <s v="H "/>
    <s v="High Grade Group 9-12"/>
    <s v="PS48H21S"/>
    <s v="PSES High Prog21Duty48 S275"/>
    <n v="21"/>
    <x v="11"/>
    <n v="48"/>
    <m/>
    <s v="   "/>
    <n v="0.26"/>
    <n v="0.2366"/>
    <n v="6.2E-2"/>
    <s v="High Physical Therapist"/>
    <x v="11"/>
  </r>
  <r>
    <s v="17409"/>
    <x v="97"/>
    <s v="Personnel"/>
    <s v="M "/>
    <s v="Middle Grade Group 7-8"/>
    <s v="PS48M21S"/>
    <s v="PSES Mid Prog21Duty48 S275"/>
    <n v="21"/>
    <x v="11"/>
    <n v="48"/>
    <m/>
    <s v="   "/>
    <n v="0.08"/>
    <n v="0.2366"/>
    <n v="1.9E-2"/>
    <s v="Middle Physical Therapist"/>
    <x v="11"/>
  </r>
  <r>
    <s v="17410"/>
    <x v="98"/>
    <s v="Personnel"/>
    <s v="H "/>
    <s v="High Grade Group 9-12"/>
    <s v="PS24HS"/>
    <s v="PSES High Prog01Duty96 S275"/>
    <n v="1"/>
    <x v="0"/>
    <n v="96"/>
    <n v="24"/>
    <s v="   "/>
    <n v="0.70799999999999996"/>
    <n v="0.23169999999999999"/>
    <n v="0"/>
    <s v="High Family Engagement Coordinator"/>
    <x v="0"/>
  </r>
  <r>
    <s v="17410"/>
    <x v="98"/>
    <s v="Personnel"/>
    <s v="H "/>
    <s v="High Grade Group 9-12"/>
    <s v="PS25HS"/>
    <s v="PSES High Prog01Act25 S275"/>
    <n v="1"/>
    <x v="1"/>
    <m/>
    <n v="25"/>
    <s v="   "/>
    <n v="6.1740000000000004"/>
    <n v="0.23169999999999999"/>
    <n v="0"/>
    <s v="High Pupil Management"/>
    <x v="1"/>
  </r>
  <r>
    <s v="17410"/>
    <x v="98"/>
    <s v="Personnel"/>
    <s v="H "/>
    <s v="High Grade Group 9-12"/>
    <s v="PS26H21S"/>
    <s v="PSES High Prog21Act26 S275"/>
    <n v="21"/>
    <x v="2"/>
    <m/>
    <n v="26"/>
    <s v="   "/>
    <n v="2.452"/>
    <n v="0.23169999999999999"/>
    <n v="0.56799999999999995"/>
    <s v="High Health/_x000a_Related Services"/>
    <x v="2"/>
  </r>
  <r>
    <s v="17410"/>
    <x v="98"/>
    <s v="Personnel"/>
    <s v="H "/>
    <s v="High Grade Group 9-12"/>
    <s v="PS26HS"/>
    <s v="PSES High Prog01Act26 S275"/>
    <n v="1"/>
    <x v="2"/>
    <m/>
    <n v="26"/>
    <s v="   "/>
    <n v="1.4430000000000001"/>
    <n v="0.23169999999999999"/>
    <n v="0"/>
    <s v="High Health/_x000a_Related Services"/>
    <x v="2"/>
  </r>
  <r>
    <s v="17410"/>
    <x v="98"/>
    <s v="Personnel"/>
    <s v="E "/>
    <s v="Elementary Grade Group K-6"/>
    <s v="PS42ES"/>
    <s v="PSES Elem Prog01Duty42 S275"/>
    <n v="1"/>
    <x v="5"/>
    <n v="42"/>
    <m/>
    <s v="   "/>
    <n v="8.75"/>
    <n v="0.23169999999999999"/>
    <n v="0"/>
    <s v="Elementary Counselor"/>
    <x v="5"/>
  </r>
  <r>
    <s v="17410"/>
    <x v="98"/>
    <s v="Personnel"/>
    <s v="H "/>
    <s v="High Grade Group 9-12"/>
    <s v="PS42HS"/>
    <s v="PSES High Prog01Duty42 S275"/>
    <n v="1"/>
    <x v="5"/>
    <n v="42"/>
    <m/>
    <s v="   "/>
    <n v="4.12"/>
    <n v="0.23169999999999999"/>
    <n v="0"/>
    <s v="High Counselor"/>
    <x v="5"/>
  </r>
  <r>
    <s v="17410"/>
    <x v="98"/>
    <s v="Personnel"/>
    <s v="M "/>
    <s v="Middle Grade Group 7-8"/>
    <s v="PS42MS"/>
    <s v="PSES Mid Prog01Duty42 S275"/>
    <n v="1"/>
    <x v="5"/>
    <n v="42"/>
    <m/>
    <s v="   "/>
    <n v="3.25"/>
    <n v="0.23169999999999999"/>
    <n v="0"/>
    <s v="Middle Counselor"/>
    <x v="5"/>
  </r>
  <r>
    <s v="17410"/>
    <x v="98"/>
    <s v="Personnel"/>
    <s v="E "/>
    <s v="Elementary Grade Group K-6"/>
    <s v="PS43E21S"/>
    <s v="PSES Elem Prog21Duty43 S275"/>
    <n v="21"/>
    <x v="6"/>
    <n v="43"/>
    <m/>
    <s v="   "/>
    <n v="2.206"/>
    <n v="0.23169999999999999"/>
    <n v="0.51100000000000001"/>
    <s v="Elementary Occupational Therapist"/>
    <x v="6"/>
  </r>
  <r>
    <s v="17410"/>
    <x v="98"/>
    <s v="Personnel"/>
    <s v="H "/>
    <s v="High Grade Group 9-12"/>
    <s v="PS43H21S"/>
    <s v="PSES High Prog21Duty43 S275"/>
    <n v="21"/>
    <x v="6"/>
    <n v="43"/>
    <m/>
    <s v="   "/>
    <n v="0.93500000000000005"/>
    <n v="0.23169999999999999"/>
    <n v="0.217"/>
    <s v="High Occupational Therapist"/>
    <x v="6"/>
  </r>
  <r>
    <s v="17410"/>
    <x v="98"/>
    <s v="Personnel"/>
    <s v="M "/>
    <s v="Middle Grade Group 7-8"/>
    <s v="PS43M21S"/>
    <s v="PSES Mid Prog21Duty43 S275"/>
    <n v="21"/>
    <x v="6"/>
    <n v="43"/>
    <m/>
    <s v="   "/>
    <n v="0.59899999999999998"/>
    <n v="0.23169999999999999"/>
    <n v="0.13900000000000001"/>
    <s v="Middle Occupational Therapist"/>
    <x v="6"/>
  </r>
  <r>
    <s v="17410"/>
    <x v="98"/>
    <s v="Personnel"/>
    <s v="E "/>
    <s v="Elementary Grade Group K-6"/>
    <s v="PS44ES"/>
    <s v="PSES Elem Prog01Duty44 S275"/>
    <n v="1"/>
    <x v="13"/>
    <n v="44"/>
    <m/>
    <s v="   "/>
    <n v="1.7"/>
    <n v="0.23169999999999999"/>
    <n v="0"/>
    <s v="Elementary Social Worker"/>
    <x v="13"/>
  </r>
  <r>
    <s v="17410"/>
    <x v="98"/>
    <s v="Personnel"/>
    <s v="H "/>
    <s v="High Grade Group 9-12"/>
    <s v="PS44HS"/>
    <s v="PSES High Prog01Duty44 S275"/>
    <n v="1"/>
    <x v="13"/>
    <n v="44"/>
    <m/>
    <s v="   "/>
    <n v="1"/>
    <n v="0.23169999999999999"/>
    <n v="0"/>
    <s v="High Social Worker"/>
    <x v="13"/>
  </r>
  <r>
    <s v="17410"/>
    <x v="98"/>
    <s v="Personnel"/>
    <s v="M "/>
    <s v="Middle Grade Group 7-8"/>
    <s v="PS44MS"/>
    <s v="PSES Mid Prog01Duty44 S275"/>
    <n v="1"/>
    <x v="13"/>
    <n v="44"/>
    <m/>
    <s v="   "/>
    <n v="1.3"/>
    <n v="0.23169999999999999"/>
    <n v="0"/>
    <s v="Middle Social Worker"/>
    <x v="13"/>
  </r>
  <r>
    <s v="17410"/>
    <x v="98"/>
    <s v="Personnel"/>
    <s v="E "/>
    <s v="Elementary Grade Group K-6"/>
    <s v="PS45E21S"/>
    <s v="PSES Elem Prog21Duty45 S275"/>
    <n v="21"/>
    <x v="7"/>
    <n v="45"/>
    <m/>
    <s v="   "/>
    <n v="5.5030000000000001"/>
    <n v="0.23169999999999999"/>
    <n v="1.2749999999999999"/>
    <s v="Elementary Speech, Language Pathway/_x000a_Audio"/>
    <x v="7"/>
  </r>
  <r>
    <s v="17410"/>
    <x v="98"/>
    <s v="Personnel"/>
    <s v="H "/>
    <s v="High Grade Group 9-12"/>
    <s v="PS45H21S"/>
    <s v="PSES High Prog21Duty45 S275"/>
    <n v="21"/>
    <x v="7"/>
    <n v="45"/>
    <m/>
    <s v="   "/>
    <n v="3.6"/>
    <n v="0.23169999999999999"/>
    <n v="0.83399999999999996"/>
    <s v="High Speech, Language Pathway/_x000a_Audio"/>
    <x v="7"/>
  </r>
  <r>
    <s v="17410"/>
    <x v="98"/>
    <s v="Personnel"/>
    <s v="E "/>
    <s v="Elementary Grade Group K-6"/>
    <s v="PS46E21S"/>
    <s v="PSES Elem Prog21Duty46 S275"/>
    <n v="21"/>
    <x v="8"/>
    <n v="46"/>
    <m/>
    <s v="   "/>
    <n v="8.1720000000000006"/>
    <n v="0.23169999999999999"/>
    <n v="1.893"/>
    <s v="Elementary Psychologist"/>
    <x v="8"/>
  </r>
  <r>
    <s v="17410"/>
    <x v="98"/>
    <s v="Personnel"/>
    <s v="M "/>
    <s v="Middle Grade Group 7-8"/>
    <s v="PS46M21S"/>
    <s v="PSES Mid Prog21Duty46 S275"/>
    <n v="21"/>
    <x v="8"/>
    <n v="46"/>
    <m/>
    <s v="   "/>
    <n v="1.7010000000000001"/>
    <n v="0.23169999999999999"/>
    <n v="0.39400000000000002"/>
    <s v="Middle Psychologist"/>
    <x v="8"/>
  </r>
  <r>
    <s v="17410"/>
    <x v="98"/>
    <s v="Personnel"/>
    <s v="E "/>
    <s v="Elementary Grade Group K-6"/>
    <s v="PS47ES"/>
    <s v="PSES Elem Prog01Duty47 S275"/>
    <n v="1"/>
    <x v="9"/>
    <n v="47"/>
    <m/>
    <s v="   "/>
    <n v="8.9559999999999995"/>
    <n v="0.23169999999999999"/>
    <n v="0"/>
    <s v="Elementary Nurse"/>
    <x v="9"/>
  </r>
  <r>
    <s v="17410"/>
    <x v="98"/>
    <s v="Personnel"/>
    <s v="H "/>
    <s v="High Grade Group 9-12"/>
    <s v="PS47HS"/>
    <s v="PSES High Prog01Duty47 S275"/>
    <n v="1"/>
    <x v="9"/>
    <n v="47"/>
    <m/>
    <s v="   "/>
    <n v="1"/>
    <n v="0.23169999999999999"/>
    <n v="0"/>
    <s v="High Nurse"/>
    <x v="9"/>
  </r>
  <r>
    <s v="17410"/>
    <x v="98"/>
    <s v="Personnel"/>
    <s v="M "/>
    <s v="Middle Grade Group 7-8"/>
    <s v="PS47MS"/>
    <s v="PSES Mid Prog01Duty47 S275"/>
    <n v="1"/>
    <x v="9"/>
    <n v="47"/>
    <m/>
    <s v="   "/>
    <n v="0.65"/>
    <n v="0.23169999999999999"/>
    <n v="0"/>
    <s v="Middle Nurse"/>
    <x v="9"/>
  </r>
  <r>
    <s v="17410"/>
    <x v="98"/>
    <s v="Personnel"/>
    <s v="E "/>
    <s v="Elementary Grade Group K-6"/>
    <s v="PS48E21S"/>
    <s v="PSES Elem Prog21Duty48 S275"/>
    <n v="21"/>
    <x v="11"/>
    <n v="48"/>
    <m/>
    <s v="   "/>
    <n v="0.57999999999999996"/>
    <n v="0.23169999999999999"/>
    <n v="0.13400000000000001"/>
    <s v="Elementary Physical Therapist"/>
    <x v="11"/>
  </r>
  <r>
    <s v="17410"/>
    <x v="98"/>
    <s v="Personnel"/>
    <s v="H "/>
    <s v="High Grade Group 9-12"/>
    <s v="PS48H21S"/>
    <s v="PSES High Prog21Duty48 S275"/>
    <n v="21"/>
    <x v="11"/>
    <n v="48"/>
    <m/>
    <s v="   "/>
    <n v="0.26"/>
    <n v="0.23169999999999999"/>
    <n v="0.06"/>
    <s v="High Physical Therapist"/>
    <x v="11"/>
  </r>
  <r>
    <s v="17410"/>
    <x v="98"/>
    <s v="Personnel"/>
    <s v="M "/>
    <s v="Middle Grade Group 7-8"/>
    <s v="PS48M21S"/>
    <s v="PSES Mid Prog21Duty48 S275"/>
    <n v="21"/>
    <x v="11"/>
    <n v="48"/>
    <m/>
    <s v="   "/>
    <n v="0.16"/>
    <n v="0.23169999999999999"/>
    <n v="3.6999999999999998E-2"/>
    <s v="Middle Physical Therapist"/>
    <x v="11"/>
  </r>
  <r>
    <s v="17410"/>
    <x v="98"/>
    <s v="Personnel"/>
    <s v="E "/>
    <s v="Elementary Grade Group K-6"/>
    <s v="PS49ES"/>
    <s v="PSES Elem Prog01Duty49 S275"/>
    <n v="1"/>
    <x v="10"/>
    <n v="49"/>
    <m/>
    <s v="   "/>
    <n v="0.8"/>
    <n v="0.23169999999999999"/>
    <n v="0"/>
    <s v="Elementary Behavior Analyst"/>
    <x v="10"/>
  </r>
  <r>
    <s v="17411"/>
    <x v="99"/>
    <s v="Personnel"/>
    <s v="H "/>
    <s v="High Grade Group 9-12"/>
    <s v="PS25HS"/>
    <s v="PSES High Prog01Act25 S275"/>
    <n v="1"/>
    <x v="1"/>
    <m/>
    <n v="25"/>
    <s v="   "/>
    <n v="19.483000000000001"/>
    <n v="0.23300000000000001"/>
    <n v="0"/>
    <s v="High Pupil Management"/>
    <x v="1"/>
  </r>
  <r>
    <s v="17411"/>
    <x v="99"/>
    <s v="Personnel"/>
    <s v="H "/>
    <s v="High Grade Group 9-12"/>
    <s v="PS26H21S"/>
    <s v="PSES High Prog21Act26 S275"/>
    <n v="21"/>
    <x v="2"/>
    <m/>
    <n v="26"/>
    <s v="   "/>
    <n v="3.5"/>
    <n v="0.23300000000000001"/>
    <n v="0.81599999999999995"/>
    <s v="High Health/_x000a_Related Services"/>
    <x v="2"/>
  </r>
  <r>
    <s v="17411"/>
    <x v="99"/>
    <s v="Personnel"/>
    <s v="H "/>
    <s v="High Grade Group 9-12"/>
    <s v="PS26HS"/>
    <s v="PSES High Prog01Act26 S275"/>
    <n v="1"/>
    <x v="2"/>
    <m/>
    <n v="26"/>
    <s v="   "/>
    <n v="40.247999999999998"/>
    <n v="0.23300000000000001"/>
    <n v="0"/>
    <s v="High Health/_x000a_Related Services"/>
    <x v="2"/>
  </r>
  <r>
    <s v="17411"/>
    <x v="99"/>
    <s v="Personnel"/>
    <s v="H "/>
    <s v="High Grade Group 9-12"/>
    <s v="PS35HS"/>
    <s v="PSES High Prog01Act35 S275"/>
    <n v="1"/>
    <x v="3"/>
    <m/>
    <n v="35"/>
    <s v="   "/>
    <n v="7.0609999999999999"/>
    <n v="0.23300000000000001"/>
    <n v="0"/>
    <s v="High Pupil Safety"/>
    <x v="3"/>
  </r>
  <r>
    <s v="17411"/>
    <x v="99"/>
    <s v="Personnel"/>
    <s v="E "/>
    <s v="Elementary Grade Group K-6"/>
    <s v="PS39E21S"/>
    <s v="PSES Elem Prog21Duty39 S275"/>
    <n v="21"/>
    <x v="4"/>
    <n v="39"/>
    <m/>
    <s v="   "/>
    <n v="0.6"/>
    <n v="0.23300000000000001"/>
    <n v="0.14000000000000001"/>
    <s v="Elementary Orientation &amp; Mobility Specialist"/>
    <x v="4"/>
  </r>
  <r>
    <s v="17411"/>
    <x v="99"/>
    <s v="Personnel"/>
    <s v="E "/>
    <s v="Elementary Grade Group K-6"/>
    <s v="PS42ES"/>
    <s v="PSES Elem Prog01Duty42 S275"/>
    <n v="1"/>
    <x v="5"/>
    <n v="42"/>
    <m/>
    <s v="   "/>
    <n v="16.632999999999999"/>
    <n v="0.23300000000000001"/>
    <n v="0"/>
    <s v="Elementary Counselor"/>
    <x v="5"/>
  </r>
  <r>
    <s v="17411"/>
    <x v="99"/>
    <s v="Personnel"/>
    <s v="H "/>
    <s v="High Grade Group 9-12"/>
    <s v="PS42HS"/>
    <s v="PSES High Prog01Duty42 S275"/>
    <n v="1"/>
    <x v="5"/>
    <n v="42"/>
    <m/>
    <s v="   "/>
    <n v="14.6"/>
    <n v="0.23300000000000001"/>
    <n v="0"/>
    <s v="High Counselor"/>
    <x v="5"/>
  </r>
  <r>
    <s v="17411"/>
    <x v="99"/>
    <s v="Personnel"/>
    <s v="M "/>
    <s v="Middle Grade Group 7-8"/>
    <s v="PS42MS"/>
    <s v="PSES Mid Prog01Duty42 S275"/>
    <n v="1"/>
    <x v="5"/>
    <n v="42"/>
    <m/>
    <s v="   "/>
    <n v="10.467000000000001"/>
    <n v="0.23300000000000001"/>
    <n v="0"/>
    <s v="Middle Counselor"/>
    <x v="5"/>
  </r>
  <r>
    <s v="17411"/>
    <x v="99"/>
    <s v="Personnel"/>
    <s v="E "/>
    <s v="Elementary Grade Group K-6"/>
    <s v="PS43E21S"/>
    <s v="PSES Elem Prog21Duty43 S275"/>
    <n v="21"/>
    <x v="6"/>
    <n v="43"/>
    <m/>
    <s v="   "/>
    <n v="4.5"/>
    <n v="0.23300000000000001"/>
    <n v="1.0489999999999999"/>
    <s v="Elementary Occupational Therapist"/>
    <x v="6"/>
  </r>
  <r>
    <s v="17411"/>
    <x v="99"/>
    <s v="Personnel"/>
    <s v="H "/>
    <s v="High Grade Group 9-12"/>
    <s v="PS43H21S"/>
    <s v="PSES High Prog21Duty43 S275"/>
    <n v="21"/>
    <x v="6"/>
    <n v="43"/>
    <m/>
    <s v="   "/>
    <n v="2.5"/>
    <n v="0.23300000000000001"/>
    <n v="0.58299999999999996"/>
    <s v="High Occupational Therapist"/>
    <x v="6"/>
  </r>
  <r>
    <s v="17411"/>
    <x v="99"/>
    <s v="Personnel"/>
    <s v="M "/>
    <s v="Middle Grade Group 7-8"/>
    <s v="PS43M21S"/>
    <s v="PSES Mid Prog21Duty43 S275"/>
    <n v="21"/>
    <x v="6"/>
    <n v="43"/>
    <m/>
    <s v="   "/>
    <n v="2.8"/>
    <n v="0.23300000000000001"/>
    <n v="0.65200000000000002"/>
    <s v="Middle Occupational Therapist"/>
    <x v="6"/>
  </r>
  <r>
    <s v="17411"/>
    <x v="99"/>
    <s v="Personnel"/>
    <s v="E "/>
    <s v="Elementary Grade Group K-6"/>
    <s v="PS44ES"/>
    <s v="PSES Elem Prog01Duty44 S275"/>
    <n v="1"/>
    <x v="13"/>
    <n v="44"/>
    <m/>
    <s v="   "/>
    <n v="3"/>
    <n v="0.23300000000000001"/>
    <n v="0"/>
    <s v="Elementary Social Worker"/>
    <x v="13"/>
  </r>
  <r>
    <s v="17411"/>
    <x v="99"/>
    <s v="Personnel"/>
    <s v="H "/>
    <s v="High Grade Group 9-12"/>
    <s v="PS44HS"/>
    <s v="PSES High Prog01Duty44 S275"/>
    <n v="1"/>
    <x v="13"/>
    <n v="44"/>
    <m/>
    <s v="   "/>
    <n v="2"/>
    <n v="0.23300000000000001"/>
    <n v="0"/>
    <s v="High Social Worker"/>
    <x v="13"/>
  </r>
  <r>
    <s v="17411"/>
    <x v="99"/>
    <s v="Personnel"/>
    <s v="M "/>
    <s v="Middle Grade Group 7-8"/>
    <s v="PS44MS"/>
    <s v="PSES Mid Prog01Duty44 S275"/>
    <n v="1"/>
    <x v="13"/>
    <n v="44"/>
    <m/>
    <s v="   "/>
    <n v="3"/>
    <n v="0.23300000000000001"/>
    <n v="0"/>
    <s v="Middle Social Worker"/>
    <x v="13"/>
  </r>
  <r>
    <s v="17411"/>
    <x v="99"/>
    <s v="Personnel"/>
    <s v="E "/>
    <s v="Elementary Grade Group K-6"/>
    <s v="PS45E21S"/>
    <s v="PSES Elem Prog21Duty45 S275"/>
    <n v="21"/>
    <x v="7"/>
    <n v="45"/>
    <m/>
    <s v="   "/>
    <n v="16.600000000000001"/>
    <n v="0.23300000000000001"/>
    <n v="3.8679999999999999"/>
    <s v="Elementary Speech, Language Pathway/_x000a_Audio"/>
    <x v="7"/>
  </r>
  <r>
    <s v="17411"/>
    <x v="99"/>
    <s v="Personnel"/>
    <s v="E "/>
    <s v="Elementary Grade Group K-6"/>
    <s v="PS45ES"/>
    <s v="PSES Elem Prog01Duty45 S275"/>
    <n v="1"/>
    <x v="7"/>
    <n v="45"/>
    <m/>
    <s v="   "/>
    <n v="0.4"/>
    <n v="0.23300000000000001"/>
    <n v="0"/>
    <s v="Elementary Speech, Language Pathway/_x000a_Audio"/>
    <x v="7"/>
  </r>
  <r>
    <s v="17411"/>
    <x v="99"/>
    <s v="Personnel"/>
    <s v="H "/>
    <s v="High Grade Group 9-12"/>
    <s v="PS45H21S"/>
    <s v="PSES High Prog21Duty45 S275"/>
    <n v="21"/>
    <x v="7"/>
    <n v="45"/>
    <m/>
    <s v="   "/>
    <n v="4.9000000000000004"/>
    <n v="0.23300000000000001"/>
    <n v="1.1419999999999999"/>
    <s v="High Speech, Language Pathway/_x000a_Audio"/>
    <x v="7"/>
  </r>
  <r>
    <s v="17411"/>
    <x v="99"/>
    <s v="Personnel"/>
    <s v="M "/>
    <s v="Middle Grade Group 7-8"/>
    <s v="PS45M21S"/>
    <s v="PSES Mid Prog21Duty45 S275"/>
    <n v="21"/>
    <x v="7"/>
    <n v="45"/>
    <m/>
    <s v="   "/>
    <n v="3.7"/>
    <n v="0.23300000000000001"/>
    <n v="0.86199999999999999"/>
    <s v="Middle Speech, Language Pathway/_x000a_Audio"/>
    <x v="7"/>
  </r>
  <r>
    <s v="17411"/>
    <x v="99"/>
    <s v="Personnel"/>
    <s v="E "/>
    <s v="Elementary Grade Group K-6"/>
    <s v="PS47ES"/>
    <s v="PSES Elem Prog01Duty47 S275"/>
    <n v="1"/>
    <x v="9"/>
    <n v="47"/>
    <m/>
    <s v="   "/>
    <n v="1"/>
    <n v="0.23300000000000001"/>
    <n v="0"/>
    <s v="Elementary Nurse"/>
    <x v="9"/>
  </r>
  <r>
    <s v="17411"/>
    <x v="99"/>
    <s v="Personnel"/>
    <s v="H "/>
    <s v="High Grade Group 9-12"/>
    <s v="PS47HS"/>
    <s v="PSES High Prog01Duty47 S275"/>
    <n v="1"/>
    <x v="9"/>
    <n v="47"/>
    <m/>
    <s v="   "/>
    <n v="1"/>
    <n v="0.23300000000000001"/>
    <n v="0"/>
    <s v="High Nurse"/>
    <x v="9"/>
  </r>
  <r>
    <s v="17411"/>
    <x v="99"/>
    <s v="Personnel"/>
    <s v="M "/>
    <s v="Middle Grade Group 7-8"/>
    <s v="PS47MS"/>
    <s v="PSES Mid Prog01Duty47 S275"/>
    <n v="1"/>
    <x v="9"/>
    <n v="47"/>
    <m/>
    <s v="   "/>
    <n v="1"/>
    <n v="0.23300000000000001"/>
    <n v="0"/>
    <s v="Middle Nurse"/>
    <x v="9"/>
  </r>
  <r>
    <s v="17411"/>
    <x v="99"/>
    <s v="Personnel"/>
    <s v="H "/>
    <s v="High Grade Group 9-12"/>
    <s v="PS48H21S"/>
    <s v="PSES High Prog21Duty48 S275"/>
    <n v="21"/>
    <x v="11"/>
    <n v="48"/>
    <m/>
    <s v="   "/>
    <n v="2.4"/>
    <n v="0.23300000000000001"/>
    <n v="0.55900000000000005"/>
    <s v="High Physical Therapist"/>
    <x v="11"/>
  </r>
  <r>
    <s v="17411"/>
    <x v="99"/>
    <s v="Personnel"/>
    <s v="M "/>
    <s v="Middle Grade Group 7-8"/>
    <s v="PS48M21S"/>
    <s v="PSES Mid Prog21Duty48 S275"/>
    <n v="21"/>
    <x v="11"/>
    <n v="48"/>
    <m/>
    <s v="   "/>
    <n v="2.4"/>
    <n v="0.23300000000000001"/>
    <n v="0.55900000000000005"/>
    <s v="Middle Physical Therapist"/>
    <x v="11"/>
  </r>
  <r>
    <s v="17412"/>
    <x v="100"/>
    <s v="Personnel"/>
    <s v="H "/>
    <s v="High Grade Group 9-12"/>
    <s v="PS24HS"/>
    <s v="PSES High Prog01Duty96 S275"/>
    <n v="1"/>
    <x v="0"/>
    <n v="96"/>
    <n v="24"/>
    <s v="   "/>
    <n v="6.6310000000000002"/>
    <n v="0.23469999999999999"/>
    <n v="0"/>
    <s v="High Family Engagement Coordinator"/>
    <x v="0"/>
  </r>
  <r>
    <s v="17412"/>
    <x v="100"/>
    <s v="Personnel"/>
    <s v="H "/>
    <s v="High Grade Group 9-12"/>
    <s v="PS25H21S"/>
    <s v="PSES High Prog21Act25 S275"/>
    <n v="21"/>
    <x v="1"/>
    <m/>
    <n v="25"/>
    <s v="   "/>
    <n v="4.87"/>
    <n v="0.23469999999999999"/>
    <n v="1.143"/>
    <s v="High Pupil Management"/>
    <x v="1"/>
  </r>
  <r>
    <s v="17412"/>
    <x v="100"/>
    <s v="Personnel"/>
    <s v="H "/>
    <s v="High Grade Group 9-12"/>
    <s v="PS25HS"/>
    <s v="PSES High Prog01Act25 S275"/>
    <n v="1"/>
    <x v="1"/>
    <m/>
    <n v="25"/>
    <s v="   "/>
    <n v="12.327999999999999"/>
    <n v="0.23469999999999999"/>
    <n v="0"/>
    <s v="High Pupil Management"/>
    <x v="1"/>
  </r>
  <r>
    <s v="17412"/>
    <x v="100"/>
    <s v="Personnel"/>
    <s v="H "/>
    <s v="High Grade Group 9-12"/>
    <s v="PS26H21S"/>
    <s v="PSES High Prog21Act26 S275"/>
    <n v="21"/>
    <x v="2"/>
    <m/>
    <n v="26"/>
    <s v="   "/>
    <n v="0.626"/>
    <n v="0.23469999999999999"/>
    <n v="0.14699999999999999"/>
    <s v="High Health/_x000a_Related Services"/>
    <x v="2"/>
  </r>
  <r>
    <s v="17412"/>
    <x v="100"/>
    <s v="Personnel"/>
    <s v="H "/>
    <s v="High Grade Group 9-12"/>
    <s v="PS26HS"/>
    <s v="PSES High Prog01Act26 S275"/>
    <n v="1"/>
    <x v="2"/>
    <m/>
    <n v="26"/>
    <s v="   "/>
    <n v="9.3759999999999994"/>
    <n v="0.23469999999999999"/>
    <n v="0"/>
    <s v="High Health/_x000a_Related Services"/>
    <x v="2"/>
  </r>
  <r>
    <s v="17412"/>
    <x v="100"/>
    <s v="Personnel"/>
    <s v="H "/>
    <s v="High Grade Group 9-12"/>
    <s v="PS35HS"/>
    <s v="PSES High Prog01Act35 S275"/>
    <n v="1"/>
    <x v="3"/>
    <m/>
    <n v="35"/>
    <s v="   "/>
    <n v="3"/>
    <n v="0.23469999999999999"/>
    <n v="0"/>
    <s v="High Pupil Safety"/>
    <x v="3"/>
  </r>
  <r>
    <s v="17412"/>
    <x v="100"/>
    <s v="Personnel"/>
    <s v="E "/>
    <s v="Elementary Grade Group K-6"/>
    <s v="PS42ES"/>
    <s v="PSES Elem Prog01Duty42 S275"/>
    <n v="1"/>
    <x v="5"/>
    <n v="42"/>
    <m/>
    <s v="   "/>
    <n v="9.76"/>
    <n v="0.23469999999999999"/>
    <n v="0"/>
    <s v="Elementary Counselor"/>
    <x v="5"/>
  </r>
  <r>
    <s v="17412"/>
    <x v="100"/>
    <s v="Personnel"/>
    <s v="H "/>
    <s v="High Grade Group 9-12"/>
    <s v="PS42HS"/>
    <s v="PSES High Prog01Duty42 S275"/>
    <n v="1"/>
    <x v="5"/>
    <n v="42"/>
    <m/>
    <s v="   "/>
    <n v="9.9979999999999993"/>
    <n v="0.23469999999999999"/>
    <n v="0"/>
    <s v="High Counselor"/>
    <x v="5"/>
  </r>
  <r>
    <s v="17412"/>
    <x v="100"/>
    <s v="Personnel"/>
    <s v="M "/>
    <s v="Middle Grade Group 7-8"/>
    <s v="PS42MS"/>
    <s v="PSES Mid Prog01Duty42 S275"/>
    <n v="1"/>
    <x v="5"/>
    <n v="42"/>
    <m/>
    <s v="   "/>
    <n v="6.94"/>
    <n v="0.23469999999999999"/>
    <n v="0"/>
    <s v="Middle Counselor"/>
    <x v="5"/>
  </r>
  <r>
    <s v="17412"/>
    <x v="100"/>
    <s v="Personnel"/>
    <s v="E "/>
    <s v="Elementary Grade Group K-6"/>
    <s v="PS43E21S"/>
    <s v="PSES Elem Prog21Duty43 S275"/>
    <n v="21"/>
    <x v="6"/>
    <n v="43"/>
    <m/>
    <s v="   "/>
    <n v="5.18"/>
    <n v="0.23469999999999999"/>
    <n v="1.216"/>
    <s v="Elementary Occupational Therapist"/>
    <x v="6"/>
  </r>
  <r>
    <s v="17412"/>
    <x v="100"/>
    <s v="Personnel"/>
    <s v="M "/>
    <s v="Middle Grade Group 7-8"/>
    <s v="PS43M21S"/>
    <s v="PSES Mid Prog21Duty43 S275"/>
    <n v="21"/>
    <x v="6"/>
    <n v="43"/>
    <m/>
    <s v="   "/>
    <n v="0.92"/>
    <n v="0.23469999999999999"/>
    <n v="0.216"/>
    <s v="Middle Occupational Therapist"/>
    <x v="6"/>
  </r>
  <r>
    <s v="17412"/>
    <x v="100"/>
    <s v="Personnel"/>
    <s v="E "/>
    <s v="Elementary Grade Group K-6"/>
    <s v="PS45E21S"/>
    <s v="PSES Elem Prog21Duty45 S275"/>
    <n v="21"/>
    <x v="7"/>
    <n v="45"/>
    <m/>
    <s v="   "/>
    <n v="10.302"/>
    <n v="0.23469999999999999"/>
    <n v="2.4180000000000001"/>
    <s v="Elementary Speech, Language Pathway/_x000a_Audio"/>
    <x v="7"/>
  </r>
  <r>
    <s v="17412"/>
    <x v="100"/>
    <s v="Personnel"/>
    <s v="H "/>
    <s v="High Grade Group 9-12"/>
    <s v="PS45H21S"/>
    <s v="PSES High Prog21Duty45 S275"/>
    <n v="21"/>
    <x v="7"/>
    <n v="45"/>
    <m/>
    <s v="   "/>
    <n v="2.0979999999999999"/>
    <n v="0.23469999999999999"/>
    <n v="0.49199999999999999"/>
    <s v="High Speech, Language Pathway/_x000a_Audio"/>
    <x v="7"/>
  </r>
  <r>
    <s v="17412"/>
    <x v="100"/>
    <s v="Personnel"/>
    <s v="M "/>
    <s v="Middle Grade Group 7-8"/>
    <s v="PS45M21S"/>
    <s v="PSES Mid Prog21Duty45 S275"/>
    <n v="21"/>
    <x v="7"/>
    <n v="45"/>
    <m/>
    <s v="   "/>
    <n v="1.5"/>
    <n v="0.23469999999999999"/>
    <n v="0.35199999999999998"/>
    <s v="Middle Speech, Language Pathway/_x000a_Audio"/>
    <x v="7"/>
  </r>
  <r>
    <s v="17412"/>
    <x v="100"/>
    <s v="Personnel"/>
    <s v="E "/>
    <s v="Elementary Grade Group K-6"/>
    <s v="PS46E21S"/>
    <s v="PSES Elem Prog21Duty46 S275"/>
    <n v="21"/>
    <x v="8"/>
    <n v="46"/>
    <m/>
    <s v="   "/>
    <n v="0.8"/>
    <n v="0.23469999999999999"/>
    <n v="0.188"/>
    <s v="Elementary Psychologist"/>
    <x v="8"/>
  </r>
  <r>
    <s v="17412"/>
    <x v="100"/>
    <s v="Personnel"/>
    <s v="E "/>
    <s v="Elementary Grade Group K-6"/>
    <s v="PS48E21S"/>
    <s v="PSES Elem Prog21Duty48 S275"/>
    <n v="21"/>
    <x v="11"/>
    <n v="48"/>
    <m/>
    <s v="   "/>
    <n v="2.87"/>
    <n v="0.23469999999999999"/>
    <n v="0.67400000000000004"/>
    <s v="Elementary Physical Therapist"/>
    <x v="11"/>
  </r>
  <r>
    <s v="17414"/>
    <x v="101"/>
    <s v="Personnel"/>
    <s v="H "/>
    <s v="High Grade Group 9-12"/>
    <s v="PS24HS"/>
    <s v="PSES High Prog01Duty96 S275"/>
    <n v="1"/>
    <x v="0"/>
    <n v="96"/>
    <n v="24"/>
    <s v="   "/>
    <n v="4.1109999999999998"/>
    <n v="0.22600000000000001"/>
    <n v="0"/>
    <s v="High Family Engagement Coordinator"/>
    <x v="0"/>
  </r>
  <r>
    <s v="17414"/>
    <x v="101"/>
    <s v="Personnel"/>
    <s v="H "/>
    <s v="High Grade Group 9-12"/>
    <s v="PS25HS"/>
    <s v="PSES High Prog01Act25 S275"/>
    <n v="1"/>
    <x v="1"/>
    <m/>
    <n v="25"/>
    <s v="   "/>
    <n v="66.320999999999998"/>
    <n v="0.22600000000000001"/>
    <n v="0"/>
    <s v="High Pupil Management"/>
    <x v="1"/>
  </r>
  <r>
    <s v="17414"/>
    <x v="101"/>
    <s v="Personnel"/>
    <s v="H "/>
    <s v="High Grade Group 9-12"/>
    <s v="PS26H21S"/>
    <s v="PSES High Prog21Act26 S275"/>
    <n v="21"/>
    <x v="2"/>
    <m/>
    <n v="26"/>
    <s v="   "/>
    <n v="4.25"/>
    <n v="0.22600000000000001"/>
    <n v="0.96099999999999997"/>
    <s v="High Health/_x000a_Related Services"/>
    <x v="2"/>
  </r>
  <r>
    <s v="17414"/>
    <x v="101"/>
    <s v="Personnel"/>
    <s v="H "/>
    <s v="High Grade Group 9-12"/>
    <s v="PS26HS"/>
    <s v="PSES High Prog01Act26 S275"/>
    <n v="1"/>
    <x v="2"/>
    <m/>
    <n v="26"/>
    <s v="   "/>
    <n v="46.55"/>
    <n v="0.22600000000000001"/>
    <n v="0"/>
    <s v="High Health/_x000a_Related Services"/>
    <x v="2"/>
  </r>
  <r>
    <s v="17414"/>
    <x v="101"/>
    <s v="Personnel"/>
    <s v="E "/>
    <s v="Elementary Grade Group K-6"/>
    <s v="PS42ES"/>
    <s v="PSES Elem Prog01Duty42 S275"/>
    <n v="1"/>
    <x v="5"/>
    <n v="42"/>
    <m/>
    <s v="   "/>
    <n v="28.943999999999999"/>
    <n v="0.22600000000000001"/>
    <n v="0"/>
    <s v="Elementary Counselor"/>
    <x v="5"/>
  </r>
  <r>
    <s v="17414"/>
    <x v="101"/>
    <s v="Personnel"/>
    <s v="H "/>
    <s v="High Grade Group 9-12"/>
    <s v="PS42HS"/>
    <s v="PSES High Prog01Duty42 S275"/>
    <n v="1"/>
    <x v="5"/>
    <n v="42"/>
    <m/>
    <s v="   "/>
    <n v="30.521999999999998"/>
    <n v="0.22600000000000001"/>
    <n v="0"/>
    <s v="High Counselor"/>
    <x v="5"/>
  </r>
  <r>
    <s v="17414"/>
    <x v="101"/>
    <s v="Personnel"/>
    <s v="M "/>
    <s v="Middle Grade Group 7-8"/>
    <s v="PS42MS"/>
    <s v="PSES Mid Prog01Duty42 S275"/>
    <n v="1"/>
    <x v="5"/>
    <n v="42"/>
    <m/>
    <s v="   "/>
    <n v="20.983000000000001"/>
    <n v="0.22600000000000001"/>
    <n v="0"/>
    <s v="Middle Counselor"/>
    <x v="5"/>
  </r>
  <r>
    <s v="17414"/>
    <x v="101"/>
    <s v="Personnel"/>
    <s v="E "/>
    <s v="Elementary Grade Group K-6"/>
    <s v="PS43E21S"/>
    <s v="PSES Elem Prog21Duty43 S275"/>
    <n v="21"/>
    <x v="6"/>
    <n v="43"/>
    <m/>
    <s v="   "/>
    <n v="16.672000000000001"/>
    <n v="0.22600000000000001"/>
    <n v="3.7679999999999998"/>
    <s v="Elementary Occupational Therapist"/>
    <x v="6"/>
  </r>
  <r>
    <s v="17414"/>
    <x v="101"/>
    <s v="Personnel"/>
    <s v="H "/>
    <s v="High Grade Group 9-12"/>
    <s v="PS43H21S"/>
    <s v="PSES High Prog21Duty43 S275"/>
    <n v="21"/>
    <x v="6"/>
    <n v="43"/>
    <m/>
    <s v="   "/>
    <n v="2.5289999999999999"/>
    <n v="0.22600000000000001"/>
    <n v="0.57199999999999995"/>
    <s v="High Occupational Therapist"/>
    <x v="6"/>
  </r>
  <r>
    <s v="17414"/>
    <x v="101"/>
    <s v="Personnel"/>
    <s v="M "/>
    <s v="Middle Grade Group 7-8"/>
    <s v="PS43M21S"/>
    <s v="PSES Mid Prog21Duty43 S275"/>
    <n v="21"/>
    <x v="6"/>
    <n v="43"/>
    <m/>
    <s v="   "/>
    <n v="3.57"/>
    <n v="0.22600000000000001"/>
    <n v="0.80700000000000005"/>
    <s v="Middle Occupational Therapist"/>
    <x v="6"/>
  </r>
  <r>
    <s v="17414"/>
    <x v="101"/>
    <s v="Personnel"/>
    <s v="E "/>
    <s v="Elementary Grade Group K-6"/>
    <s v="PS45E21S"/>
    <s v="PSES Elem Prog21Duty45 S275"/>
    <n v="21"/>
    <x v="7"/>
    <n v="45"/>
    <m/>
    <s v="   "/>
    <n v="17.399999999999999"/>
    <n v="0.22600000000000001"/>
    <n v="3.9319999999999999"/>
    <s v="Elementary Speech, Language Pathway/_x000a_Audio"/>
    <x v="7"/>
  </r>
  <r>
    <s v="17414"/>
    <x v="101"/>
    <s v="Personnel"/>
    <s v="H "/>
    <s v="High Grade Group 9-12"/>
    <s v="PS45H21S"/>
    <s v="PSES High Prog21Duty45 S275"/>
    <n v="21"/>
    <x v="7"/>
    <n v="45"/>
    <m/>
    <s v="   "/>
    <n v="5"/>
    <n v="0.22600000000000001"/>
    <n v="1.1299999999999999"/>
    <s v="High Speech, Language Pathway/_x000a_Audio"/>
    <x v="7"/>
  </r>
  <r>
    <s v="17414"/>
    <x v="101"/>
    <s v="Personnel"/>
    <s v="M "/>
    <s v="Middle Grade Group 7-8"/>
    <s v="PS45M21S"/>
    <s v="PSES Mid Prog21Duty45 S275"/>
    <n v="21"/>
    <x v="7"/>
    <n v="45"/>
    <m/>
    <s v="   "/>
    <n v="6.2"/>
    <n v="0.22600000000000001"/>
    <n v="1.401"/>
    <s v="Middle Speech, Language Pathway/_x000a_Audio"/>
    <x v="7"/>
  </r>
  <r>
    <s v="17414"/>
    <x v="101"/>
    <s v="Personnel"/>
    <s v="E "/>
    <s v="Elementary Grade Group K-6"/>
    <s v="PS46ES"/>
    <s v="PSES Elem Prog01Duty46 S275"/>
    <n v="1"/>
    <x v="8"/>
    <n v="46"/>
    <m/>
    <s v="   "/>
    <n v="15.2"/>
    <n v="0.22600000000000001"/>
    <n v="0"/>
    <s v="Elementary Psychologist"/>
    <x v="8"/>
  </r>
  <r>
    <s v="17414"/>
    <x v="101"/>
    <s v="Personnel"/>
    <s v="H "/>
    <s v="High Grade Group 9-12"/>
    <s v="PS46HS"/>
    <s v="PSES High Prog01Duty46 S275"/>
    <n v="1"/>
    <x v="8"/>
    <n v="46"/>
    <m/>
    <s v="   "/>
    <n v="9.718"/>
    <n v="0.22600000000000001"/>
    <n v="0"/>
    <s v="High Psychologist"/>
    <x v="8"/>
  </r>
  <r>
    <s v="17414"/>
    <x v="101"/>
    <s v="Personnel"/>
    <s v="M "/>
    <s v="Middle Grade Group 7-8"/>
    <s v="PS46MS"/>
    <s v="PSES Mid Prog01Duty46 S275"/>
    <n v="1"/>
    <x v="8"/>
    <n v="46"/>
    <m/>
    <s v="   "/>
    <n v="7.05"/>
    <n v="0.22600000000000001"/>
    <n v="0"/>
    <s v="Middle Psychologist"/>
    <x v="8"/>
  </r>
  <r>
    <s v="17414"/>
    <x v="101"/>
    <s v="Personnel"/>
    <s v="E "/>
    <s v="Elementary Grade Group K-6"/>
    <s v="PS48E21S"/>
    <s v="PSES Elem Prog21Duty48 S275"/>
    <n v="21"/>
    <x v="11"/>
    <n v="48"/>
    <m/>
    <s v="   "/>
    <n v="2.7"/>
    <n v="0.22600000000000001"/>
    <n v="0.61"/>
    <s v="Elementary Physical Therapist"/>
    <x v="11"/>
  </r>
  <r>
    <s v="17414"/>
    <x v="101"/>
    <s v="Personnel"/>
    <s v="H "/>
    <s v="High Grade Group 9-12"/>
    <s v="PS48H21S"/>
    <s v="PSES High Prog21Duty48 S275"/>
    <n v="21"/>
    <x v="11"/>
    <n v="48"/>
    <m/>
    <s v="   "/>
    <n v="1.1000000000000001"/>
    <n v="0.22600000000000001"/>
    <n v="0.249"/>
    <s v="High Physical Therapist"/>
    <x v="11"/>
  </r>
  <r>
    <s v="17414"/>
    <x v="101"/>
    <s v="Personnel"/>
    <s v="M "/>
    <s v="Middle Grade Group 7-8"/>
    <s v="PS48M21S"/>
    <s v="PSES Mid Prog21Duty48 S275"/>
    <n v="21"/>
    <x v="11"/>
    <n v="48"/>
    <m/>
    <s v="   "/>
    <n v="0.9"/>
    <n v="0.22600000000000001"/>
    <n v="0.20300000000000001"/>
    <s v="Middle Physical Therapist"/>
    <x v="11"/>
  </r>
  <r>
    <s v="17415"/>
    <x v="102"/>
    <s v="Personnel"/>
    <s v="E "/>
    <s v="Elementary Grade Group K-6"/>
    <s v="PS25ES"/>
    <s v="PSES Elem Prog01Act25 S275"/>
    <n v="1"/>
    <x v="1"/>
    <m/>
    <n v="25"/>
    <s v="   "/>
    <n v="5.0410000000000004"/>
    <n v="0.30840000000000001"/>
    <n v="0"/>
    <s v="Elementary Pupil Management"/>
    <x v="1"/>
  </r>
  <r>
    <s v="17415"/>
    <x v="102"/>
    <s v="Personnel"/>
    <s v="H "/>
    <s v="High Grade Group 9-12"/>
    <s v="PS25HS"/>
    <s v="PSES High Prog01Act25 S275"/>
    <n v="1"/>
    <x v="1"/>
    <m/>
    <n v="25"/>
    <s v="   "/>
    <n v="49.628999999999998"/>
    <n v="0.30840000000000001"/>
    <n v="0"/>
    <s v="High Pupil Management"/>
    <x v="1"/>
  </r>
  <r>
    <s v="17415"/>
    <x v="102"/>
    <s v="Personnel"/>
    <s v="E "/>
    <s v="Elementary Grade Group K-6"/>
    <s v="PS26ES"/>
    <s v="PSES Elem Prog01Act26 S275"/>
    <n v="1"/>
    <x v="2"/>
    <m/>
    <n v="26"/>
    <s v="   "/>
    <n v="2.9"/>
    <n v="0.30840000000000001"/>
    <n v="0"/>
    <s v="Elementary Health/_x000a_Related Services"/>
    <x v="2"/>
  </r>
  <r>
    <s v="17415"/>
    <x v="102"/>
    <s v="Personnel"/>
    <s v="H "/>
    <s v="High Grade Group 9-12"/>
    <s v="PS26H21S"/>
    <s v="PSES High Prog21Act26 S275"/>
    <n v="21"/>
    <x v="2"/>
    <m/>
    <n v="26"/>
    <s v="   "/>
    <n v="2.8130000000000002"/>
    <n v="0.30840000000000001"/>
    <n v="0.86799999999999999"/>
    <s v="High Health/_x000a_Related Services"/>
    <x v="2"/>
  </r>
  <r>
    <s v="17415"/>
    <x v="102"/>
    <s v="Personnel"/>
    <s v="H "/>
    <s v="High Grade Group 9-12"/>
    <s v="PS26HS"/>
    <s v="PSES High Prog01Act26 S275"/>
    <n v="1"/>
    <x v="2"/>
    <m/>
    <n v="26"/>
    <s v="   "/>
    <n v="22.332999999999998"/>
    <n v="0.30840000000000001"/>
    <n v="0"/>
    <s v="High Health/_x000a_Related Services"/>
    <x v="2"/>
  </r>
  <r>
    <s v="17415"/>
    <x v="102"/>
    <s v="Personnel"/>
    <s v="M "/>
    <s v="Middle Grade Group 7-8"/>
    <s v="PS26MS"/>
    <s v="PSES Mid Prog01Act26 S275"/>
    <n v="1"/>
    <x v="2"/>
    <m/>
    <n v="26"/>
    <s v="   "/>
    <n v="1.714"/>
    <n v="0.30840000000000001"/>
    <n v="0"/>
    <s v="Middle Health/_x000a_Related Services"/>
    <x v="2"/>
  </r>
  <r>
    <s v="17415"/>
    <x v="102"/>
    <s v="Personnel"/>
    <s v="H "/>
    <s v="High Grade Group 9-12"/>
    <s v="PS35HS"/>
    <s v="PSES High Prog01Act35 S275"/>
    <n v="1"/>
    <x v="3"/>
    <m/>
    <n v="35"/>
    <s v="   "/>
    <n v="15.925000000000001"/>
    <n v="0.30840000000000001"/>
    <n v="0"/>
    <s v="High Pupil Safety"/>
    <x v="3"/>
  </r>
  <r>
    <s v="17415"/>
    <x v="102"/>
    <s v="Personnel"/>
    <s v="E "/>
    <s v="Elementary Grade Group K-6"/>
    <s v="PS42ES"/>
    <s v="PSES Elem Prog01Duty42 S275"/>
    <n v="1"/>
    <x v="5"/>
    <n v="42"/>
    <m/>
    <s v="   "/>
    <n v="12.494999999999999"/>
    <n v="0.30840000000000001"/>
    <n v="0"/>
    <s v="Elementary Counselor"/>
    <x v="5"/>
  </r>
  <r>
    <s v="17415"/>
    <x v="102"/>
    <s v="Personnel"/>
    <s v="H "/>
    <s v="High Grade Group 9-12"/>
    <s v="PS42HS"/>
    <s v="PSES High Prog01Duty42 S275"/>
    <n v="1"/>
    <x v="5"/>
    <n v="42"/>
    <m/>
    <s v="   "/>
    <n v="19.899999999999999"/>
    <n v="0.30840000000000001"/>
    <n v="0"/>
    <s v="High Counselor"/>
    <x v="5"/>
  </r>
  <r>
    <s v="17415"/>
    <x v="102"/>
    <s v="Personnel"/>
    <s v="M "/>
    <s v="Middle Grade Group 7-8"/>
    <s v="PS42MS"/>
    <s v="PSES Mid Prog01Duty42 S275"/>
    <n v="1"/>
    <x v="5"/>
    <n v="42"/>
    <m/>
    <s v="   "/>
    <n v="20"/>
    <n v="0.30840000000000001"/>
    <n v="0"/>
    <s v="Middle Counselor"/>
    <x v="5"/>
  </r>
  <r>
    <s v="17415"/>
    <x v="102"/>
    <s v="Personnel"/>
    <s v="E "/>
    <s v="Elementary Grade Group K-6"/>
    <s v="PS44ES"/>
    <s v="PSES Elem Prog01Duty44 S275"/>
    <n v="1"/>
    <x v="13"/>
    <n v="44"/>
    <m/>
    <s v="   "/>
    <n v="5"/>
    <n v="0.30840000000000001"/>
    <n v="0"/>
    <s v="Elementary Social Worker"/>
    <x v="13"/>
  </r>
  <r>
    <s v="17415"/>
    <x v="102"/>
    <s v="Personnel"/>
    <s v="E "/>
    <s v="Elementary Grade Group K-6"/>
    <s v="PS45E21S"/>
    <s v="PSES Elem Prog21Duty45 S275"/>
    <n v="21"/>
    <x v="7"/>
    <n v="45"/>
    <m/>
    <s v="   "/>
    <n v="19.722999999999999"/>
    <n v="0.30840000000000001"/>
    <n v="6.0830000000000002"/>
    <s v="Elementary Speech, Language Pathway/_x000a_Audio"/>
    <x v="7"/>
  </r>
  <r>
    <s v="17415"/>
    <x v="102"/>
    <s v="Personnel"/>
    <s v="H "/>
    <s v="High Grade Group 9-12"/>
    <s v="PS45H21S"/>
    <s v="PSES High Prog21Duty45 S275"/>
    <n v="21"/>
    <x v="7"/>
    <n v="45"/>
    <m/>
    <s v="   "/>
    <n v="24.524999999999999"/>
    <n v="0.30840000000000001"/>
    <n v="7.5640000000000001"/>
    <s v="High Speech, Language Pathway/_x000a_Audio"/>
    <x v="7"/>
  </r>
  <r>
    <s v="17415"/>
    <x v="102"/>
    <s v="Personnel"/>
    <s v="M "/>
    <s v="Middle Grade Group 7-8"/>
    <s v="PS45M21S"/>
    <s v="PSES Mid Prog21Duty45 S275"/>
    <n v="21"/>
    <x v="7"/>
    <n v="45"/>
    <m/>
    <s v="   "/>
    <n v="1.165"/>
    <n v="0.30840000000000001"/>
    <n v="0.35899999999999999"/>
    <s v="Middle Speech, Language Pathway/_x000a_Audio"/>
    <x v="7"/>
  </r>
  <r>
    <s v="17415"/>
    <x v="102"/>
    <s v="Personnel"/>
    <s v="E "/>
    <s v="Elementary Grade Group K-6"/>
    <s v="PS46E21S"/>
    <s v="PSES Elem Prog21Duty46 S275"/>
    <n v="21"/>
    <x v="8"/>
    <n v="46"/>
    <m/>
    <s v="   "/>
    <n v="30.556999999999999"/>
    <n v="0.30840000000000001"/>
    <n v="9.4239999999999995"/>
    <s v="Elementary Psychologist"/>
    <x v="8"/>
  </r>
  <r>
    <s v="17415"/>
    <x v="102"/>
    <s v="Personnel"/>
    <s v="H "/>
    <s v="High Grade Group 9-12"/>
    <s v="PS46H21S"/>
    <s v="PSES High Prog21Duty46 S275"/>
    <n v="21"/>
    <x v="8"/>
    <n v="46"/>
    <m/>
    <s v="   "/>
    <n v="1.9770000000000001"/>
    <n v="0.30840000000000001"/>
    <n v="0.61"/>
    <s v="High Psychologist"/>
    <x v="8"/>
  </r>
  <r>
    <s v="17415"/>
    <x v="102"/>
    <s v="Personnel"/>
    <s v="E "/>
    <s v="Elementary Grade Group K-6"/>
    <s v="PS47ES"/>
    <s v="PSES Elem Prog01Duty47 S275"/>
    <n v="1"/>
    <x v="9"/>
    <n v="47"/>
    <m/>
    <s v="   "/>
    <n v="10.714"/>
    <n v="0.30840000000000001"/>
    <n v="0"/>
    <s v="Elementary Nurse"/>
    <x v="9"/>
  </r>
  <r>
    <s v="17415"/>
    <x v="102"/>
    <s v="Personnel"/>
    <s v="H "/>
    <s v="High Grade Group 9-12"/>
    <s v="PS47HS"/>
    <s v="PSES High Prog01Duty47 S275"/>
    <n v="1"/>
    <x v="9"/>
    <n v="47"/>
    <m/>
    <s v="   "/>
    <n v="8.74"/>
    <n v="0.30840000000000001"/>
    <n v="0"/>
    <s v="High Nurse"/>
    <x v="9"/>
  </r>
  <r>
    <s v="17415"/>
    <x v="102"/>
    <s v="Personnel"/>
    <s v="E "/>
    <s v="Elementary Grade Group K-6"/>
    <s v="PS48E21S"/>
    <s v="PSES Elem Prog21Duty48 S275"/>
    <n v="21"/>
    <x v="11"/>
    <n v="48"/>
    <m/>
    <s v="   "/>
    <n v="4.7699999999999996"/>
    <n v="0.30840000000000001"/>
    <n v="1.4710000000000001"/>
    <s v="Elementary Physical Therapist"/>
    <x v="11"/>
  </r>
  <r>
    <s v="17415"/>
    <x v="102"/>
    <s v="Personnel"/>
    <s v="H "/>
    <s v="High Grade Group 9-12"/>
    <s v="PS49H21S"/>
    <s v="PSES High Prog21Duty49 S275"/>
    <n v="21"/>
    <x v="10"/>
    <n v="49"/>
    <m/>
    <s v="   "/>
    <n v="4"/>
    <n v="0.30840000000000001"/>
    <n v="1.234"/>
    <s v="High Behavior Analyst"/>
    <x v="10"/>
  </r>
  <r>
    <s v="17417"/>
    <x v="103"/>
    <s v="Personnel"/>
    <s v="E "/>
    <s v="Elementary Grade Group K-6"/>
    <s v="PS25ES"/>
    <s v="PSES Elem Prog01Act25 S275"/>
    <n v="1"/>
    <x v="1"/>
    <m/>
    <n v="25"/>
    <s v="   "/>
    <n v="5.8109999999999999"/>
    <n v="0.20830000000000001"/>
    <n v="0"/>
    <s v="Elementary Pupil Management"/>
    <x v="1"/>
  </r>
  <r>
    <s v="17417"/>
    <x v="103"/>
    <s v="Personnel"/>
    <s v="H "/>
    <s v="High Grade Group 9-12"/>
    <s v="PS25HS"/>
    <s v="PSES High Prog01Act25 S275"/>
    <n v="1"/>
    <x v="1"/>
    <m/>
    <n v="25"/>
    <s v="   "/>
    <n v="13.73"/>
    <n v="0.20830000000000001"/>
    <n v="0"/>
    <s v="High Pupil Management"/>
    <x v="1"/>
  </r>
  <r>
    <s v="17417"/>
    <x v="103"/>
    <s v="Personnel"/>
    <s v="M "/>
    <s v="Middle Grade Group 7-8"/>
    <s v="PS25MS"/>
    <s v="PSES Mid Prog01Act25 S275"/>
    <n v="1"/>
    <x v="1"/>
    <m/>
    <n v="25"/>
    <s v="   "/>
    <n v="0.443"/>
    <n v="0.20830000000000001"/>
    <n v="0"/>
    <s v="Middle Pupil Management"/>
    <x v="1"/>
  </r>
  <r>
    <s v="17417"/>
    <x v="103"/>
    <s v="Personnel"/>
    <s v="E "/>
    <s v="Elementary Grade Group K-6"/>
    <s v="PS26E21S"/>
    <s v="PSES Elem Prog21Act26 S275"/>
    <n v="21"/>
    <x v="2"/>
    <m/>
    <n v="26"/>
    <s v="   "/>
    <n v="1.653"/>
    <n v="0.20830000000000001"/>
    <n v="0.34399999999999997"/>
    <s v="Elementary Health/_x000a_Related Services"/>
    <x v="2"/>
  </r>
  <r>
    <s v="17417"/>
    <x v="103"/>
    <s v="Personnel"/>
    <s v="E "/>
    <s v="Elementary Grade Group K-6"/>
    <s v="PS26ES"/>
    <s v="PSES Elem Prog01Act26 S275"/>
    <n v="1"/>
    <x v="2"/>
    <m/>
    <n v="26"/>
    <s v="   "/>
    <n v="14.01"/>
    <n v="0.20830000000000001"/>
    <n v="0"/>
    <s v="Elementary Health/_x000a_Related Services"/>
    <x v="2"/>
  </r>
  <r>
    <s v="17417"/>
    <x v="103"/>
    <s v="Personnel"/>
    <s v="H "/>
    <s v="High Grade Group 9-12"/>
    <s v="PS26H21S"/>
    <s v="PSES High Prog21Act26 S275"/>
    <n v="21"/>
    <x v="2"/>
    <m/>
    <n v="26"/>
    <s v="   "/>
    <n v="13.842000000000001"/>
    <n v="0.20830000000000001"/>
    <n v="2.883"/>
    <s v="High Health/_x000a_Related Services"/>
    <x v="2"/>
  </r>
  <r>
    <s v="17417"/>
    <x v="103"/>
    <s v="Personnel"/>
    <s v="H "/>
    <s v="High Grade Group 9-12"/>
    <s v="PS26HS"/>
    <s v="PSES High Prog01Act26 S275"/>
    <n v="1"/>
    <x v="2"/>
    <m/>
    <n v="26"/>
    <s v="   "/>
    <n v="6.7229999999999999"/>
    <n v="0.20830000000000001"/>
    <n v="0"/>
    <s v="High Health/_x000a_Related Services"/>
    <x v="2"/>
  </r>
  <r>
    <s v="17417"/>
    <x v="103"/>
    <s v="Personnel"/>
    <s v="M "/>
    <s v="Middle Grade Group 7-8"/>
    <s v="PS26M21S"/>
    <s v="PSES Mid Prog21Act26 S275"/>
    <n v="21"/>
    <x v="2"/>
    <m/>
    <n v="26"/>
    <s v="   "/>
    <n v="0.128"/>
    <n v="0.20830000000000001"/>
    <n v="2.7E-2"/>
    <s v="Middle Health/_x000a_Related Services"/>
    <x v="2"/>
  </r>
  <r>
    <s v="17417"/>
    <x v="103"/>
    <s v="Personnel"/>
    <s v="M "/>
    <s v="Middle Grade Group 7-8"/>
    <s v="PS26MS"/>
    <s v="PSES Mid Prog01Act26 S275"/>
    <n v="1"/>
    <x v="2"/>
    <m/>
    <n v="26"/>
    <s v="   "/>
    <n v="4.3730000000000002"/>
    <n v="0.20830000000000001"/>
    <n v="0"/>
    <s v="Middle Health/_x000a_Related Services"/>
    <x v="2"/>
  </r>
  <r>
    <s v="17417"/>
    <x v="103"/>
    <s v="Personnel"/>
    <s v="H "/>
    <s v="High Grade Group 9-12"/>
    <s v="PS35HS"/>
    <s v="PSES High Prog01Act35 S275"/>
    <n v="1"/>
    <x v="3"/>
    <m/>
    <n v="35"/>
    <s v="   "/>
    <n v="5.1660000000000004"/>
    <n v="0.20830000000000001"/>
    <n v="0"/>
    <s v="High Pupil Safety"/>
    <x v="3"/>
  </r>
  <r>
    <s v="17417"/>
    <x v="103"/>
    <s v="Personnel"/>
    <s v="E "/>
    <s v="Elementary Grade Group K-6"/>
    <s v="PS42ES"/>
    <s v="PSES Elem Prog01Duty42 S275"/>
    <n v="1"/>
    <x v="5"/>
    <n v="42"/>
    <m/>
    <s v="   "/>
    <n v="28.28"/>
    <n v="0.20830000000000001"/>
    <n v="0"/>
    <s v="Elementary Counselor"/>
    <x v="5"/>
  </r>
  <r>
    <s v="17417"/>
    <x v="103"/>
    <s v="Personnel"/>
    <s v="H "/>
    <s v="High Grade Group 9-12"/>
    <s v="PS42HS"/>
    <s v="PSES High Prog01Duty42 S275"/>
    <n v="1"/>
    <x v="5"/>
    <n v="42"/>
    <m/>
    <s v="   "/>
    <n v="22.1"/>
    <n v="0.20830000000000001"/>
    <n v="0"/>
    <s v="High Counselor"/>
    <x v="5"/>
  </r>
  <r>
    <s v="17417"/>
    <x v="103"/>
    <s v="Personnel"/>
    <s v="M "/>
    <s v="Middle Grade Group 7-8"/>
    <s v="PS42MS"/>
    <s v="PSES Mid Prog01Duty42 S275"/>
    <n v="1"/>
    <x v="5"/>
    <n v="42"/>
    <m/>
    <s v="   "/>
    <n v="11.702999999999999"/>
    <n v="0.20830000000000001"/>
    <n v="0"/>
    <s v="Middle Counselor"/>
    <x v="5"/>
  </r>
  <r>
    <s v="17417"/>
    <x v="103"/>
    <s v="Personnel"/>
    <s v="E "/>
    <s v="Elementary Grade Group K-6"/>
    <s v="PS43E21S"/>
    <s v="PSES Elem Prog21Duty43 S275"/>
    <n v="21"/>
    <x v="6"/>
    <n v="43"/>
    <m/>
    <s v="   "/>
    <n v="10.882"/>
    <n v="0.20830000000000001"/>
    <n v="2.2669999999999999"/>
    <s v="Elementary Occupational Therapist"/>
    <x v="6"/>
  </r>
  <r>
    <s v="17417"/>
    <x v="103"/>
    <s v="Personnel"/>
    <s v="H "/>
    <s v="High Grade Group 9-12"/>
    <s v="PS43H21S"/>
    <s v="PSES High Prog21Duty43 S275"/>
    <n v="21"/>
    <x v="6"/>
    <n v="43"/>
    <m/>
    <s v="   "/>
    <n v="0.16"/>
    <n v="0.20830000000000001"/>
    <n v="3.3000000000000002E-2"/>
    <s v="High Occupational Therapist"/>
    <x v="6"/>
  </r>
  <r>
    <s v="17417"/>
    <x v="103"/>
    <s v="Personnel"/>
    <s v="M "/>
    <s v="Middle Grade Group 7-8"/>
    <s v="PS43M21S"/>
    <s v="PSES Mid Prog21Duty43 S275"/>
    <n v="21"/>
    <x v="6"/>
    <n v="43"/>
    <m/>
    <s v="   "/>
    <n v="1.3160000000000001"/>
    <n v="0.20830000000000001"/>
    <n v="0.27400000000000002"/>
    <s v="Middle Occupational Therapist"/>
    <x v="6"/>
  </r>
  <r>
    <s v="17417"/>
    <x v="103"/>
    <s v="Personnel"/>
    <s v="E "/>
    <s v="Elementary Grade Group K-6"/>
    <s v="PS45E21S"/>
    <s v="PSES Elem Prog21Duty45 S275"/>
    <n v="21"/>
    <x v="7"/>
    <n v="45"/>
    <m/>
    <s v="   "/>
    <n v="24.763999999999999"/>
    <n v="0.20830000000000001"/>
    <n v="5.1580000000000004"/>
    <s v="Elementary Speech, Language Pathway/_x000a_Audio"/>
    <x v="7"/>
  </r>
  <r>
    <s v="17417"/>
    <x v="103"/>
    <s v="Personnel"/>
    <s v="H "/>
    <s v="High Grade Group 9-12"/>
    <s v="PS45H21S"/>
    <s v="PSES High Prog21Duty45 S275"/>
    <n v="21"/>
    <x v="7"/>
    <n v="45"/>
    <m/>
    <s v="   "/>
    <n v="5.1459999999999999"/>
    <n v="0.20830000000000001"/>
    <n v="1.0720000000000001"/>
    <s v="High Speech, Language Pathway/_x000a_Audio"/>
    <x v="7"/>
  </r>
  <r>
    <s v="17417"/>
    <x v="103"/>
    <s v="Personnel"/>
    <s v="M "/>
    <s v="Middle Grade Group 7-8"/>
    <s v="PS45M21S"/>
    <s v="PSES Mid Prog21Duty45 S275"/>
    <n v="21"/>
    <x v="7"/>
    <n v="45"/>
    <m/>
    <s v="   "/>
    <n v="3.2210000000000001"/>
    <n v="0.20830000000000001"/>
    <n v="0.67100000000000004"/>
    <s v="Middle Speech, Language Pathway/_x000a_Audio"/>
    <x v="7"/>
  </r>
  <r>
    <s v="17417"/>
    <x v="103"/>
    <s v="Personnel"/>
    <s v="E "/>
    <s v="Elementary Grade Group K-6"/>
    <s v="PS46E21S"/>
    <s v="PSES Elem Prog21Duty46 S275"/>
    <n v="21"/>
    <x v="8"/>
    <n v="46"/>
    <m/>
    <s v="   "/>
    <n v="11.108000000000001"/>
    <n v="0.20830000000000001"/>
    <n v="2.3140000000000001"/>
    <s v="Elementary Psychologist"/>
    <x v="8"/>
  </r>
  <r>
    <s v="17417"/>
    <x v="103"/>
    <s v="Personnel"/>
    <s v="H "/>
    <s v="High Grade Group 9-12"/>
    <s v="PS46H21S"/>
    <s v="PSES High Prog21Duty46 S275"/>
    <n v="21"/>
    <x v="8"/>
    <n v="46"/>
    <m/>
    <s v="   "/>
    <n v="5.19"/>
    <n v="0.20830000000000001"/>
    <n v="1.081"/>
    <s v="High Psychologist"/>
    <x v="8"/>
  </r>
  <r>
    <s v="17417"/>
    <x v="103"/>
    <s v="Personnel"/>
    <s v="M "/>
    <s v="Middle Grade Group 7-8"/>
    <s v="PS46M21S"/>
    <s v="PSES Mid Prog21Duty46 S275"/>
    <n v="21"/>
    <x v="8"/>
    <n v="46"/>
    <m/>
    <s v="   "/>
    <n v="2.4980000000000002"/>
    <n v="0.20830000000000001"/>
    <n v="0.52"/>
    <s v="Middle Psychologist"/>
    <x v="8"/>
  </r>
  <r>
    <s v="17417"/>
    <x v="103"/>
    <s v="Personnel"/>
    <s v="E "/>
    <s v="Elementary Grade Group K-6"/>
    <s v="PS47E21S"/>
    <s v="PSES Elem Prog21Duty47 S275"/>
    <n v="21"/>
    <x v="9"/>
    <n v="47"/>
    <m/>
    <s v="   "/>
    <n v="0.25"/>
    <n v="0.20830000000000001"/>
    <n v="5.1999999999999998E-2"/>
    <s v="Elementary Nurse"/>
    <x v="9"/>
  </r>
  <r>
    <s v="17417"/>
    <x v="103"/>
    <s v="Personnel"/>
    <s v="E "/>
    <s v="Elementary Grade Group K-6"/>
    <s v="PS47ES"/>
    <s v="PSES Elem Prog01Duty47 S275"/>
    <n v="1"/>
    <x v="9"/>
    <n v="47"/>
    <m/>
    <s v="   "/>
    <n v="0.75"/>
    <n v="0.20830000000000001"/>
    <n v="0"/>
    <s v="Elementary Nurse"/>
    <x v="9"/>
  </r>
  <r>
    <s v="17417"/>
    <x v="103"/>
    <s v="Personnel"/>
    <s v="E "/>
    <s v="Elementary Grade Group K-6"/>
    <s v="PS48E21S"/>
    <s v="PSES Elem Prog21Duty48 S275"/>
    <n v="21"/>
    <x v="11"/>
    <n v="48"/>
    <m/>
    <s v="   "/>
    <n v="7.2569999999999997"/>
    <n v="0.20830000000000001"/>
    <n v="1.512"/>
    <s v="Elementary Physical Therapist"/>
    <x v="11"/>
  </r>
  <r>
    <s v="17417"/>
    <x v="103"/>
    <s v="Personnel"/>
    <s v="H "/>
    <s v="High Grade Group 9-12"/>
    <s v="PS48H21S"/>
    <s v="PSES High Prog21Duty48 S275"/>
    <n v="21"/>
    <x v="11"/>
    <n v="48"/>
    <m/>
    <s v="   "/>
    <n v="0.79600000000000004"/>
    <n v="0.20830000000000001"/>
    <n v="0.16600000000000001"/>
    <s v="High Physical Therapist"/>
    <x v="11"/>
  </r>
  <r>
    <s v="17417"/>
    <x v="103"/>
    <s v="Personnel"/>
    <s v="M "/>
    <s v="Middle Grade Group 7-8"/>
    <s v="PS48M21S"/>
    <s v="PSES Mid Prog21Duty48 S275"/>
    <n v="21"/>
    <x v="11"/>
    <n v="48"/>
    <m/>
    <s v="   "/>
    <n v="0.92900000000000005"/>
    <n v="0.20830000000000001"/>
    <n v="0.19400000000000001"/>
    <s v="Middle Physical Therapist"/>
    <x v="11"/>
  </r>
  <r>
    <s v="17902"/>
    <x v="104"/>
    <s v="Personnel"/>
    <s v="H "/>
    <s v="High Grade Group 9-12"/>
    <s v="PS26H21S"/>
    <s v="PSES High Prog21Act26 S275"/>
    <n v="21"/>
    <x v="2"/>
    <m/>
    <n v="26"/>
    <s v="   "/>
    <n v="0.80800000000000005"/>
    <n v="0.13"/>
    <n v="0.105"/>
    <s v="High Health/_x000a_Related Services"/>
    <x v="2"/>
  </r>
  <r>
    <s v="17902"/>
    <x v="104"/>
    <s v="Personnel"/>
    <s v="H "/>
    <s v="High Grade Group 9-12"/>
    <s v="PS47HS"/>
    <s v="PSES High Prog01Duty47 S275"/>
    <n v="1"/>
    <x v="9"/>
    <n v="47"/>
    <m/>
    <s v="   "/>
    <n v="1"/>
    <n v="0.13"/>
    <n v="0"/>
    <s v="High Nurse"/>
    <x v="9"/>
  </r>
  <r>
    <s v="17903"/>
    <x v="105"/>
    <s v="Personnel"/>
    <s v="E "/>
    <s v="Elementary Grade Group K-6"/>
    <s v="PS42ES"/>
    <s v="PSES Elem Prog01Duty42 S275"/>
    <n v="1"/>
    <x v="5"/>
    <n v="42"/>
    <m/>
    <s v="   "/>
    <n v="1"/>
    <n v="0.14760000000000001"/>
    <n v="0"/>
    <s v="Elementary Counselor"/>
    <x v="5"/>
  </r>
  <r>
    <s v="17903"/>
    <x v="105"/>
    <s v="Personnel"/>
    <s v="H "/>
    <s v="High Grade Group 9-12"/>
    <s v="PS42HS"/>
    <s v="PSES High Prog01Duty42 S275"/>
    <n v="1"/>
    <x v="5"/>
    <n v="42"/>
    <m/>
    <s v="   "/>
    <n v="2"/>
    <n v="0.14760000000000001"/>
    <n v="0"/>
    <s v="High Counselor"/>
    <x v="5"/>
  </r>
  <r>
    <s v="17903"/>
    <x v="105"/>
    <s v="Personnel"/>
    <s v="H "/>
    <s v="High Grade Group 9-12"/>
    <s v="PS47HS"/>
    <s v="PSES High Prog01Duty47 S275"/>
    <n v="1"/>
    <x v="9"/>
    <n v="47"/>
    <m/>
    <s v="   "/>
    <n v="0.498"/>
    <n v="0.14760000000000001"/>
    <n v="0"/>
    <s v="High Nurse"/>
    <x v="9"/>
  </r>
  <r>
    <s v="17903"/>
    <x v="105"/>
    <s v="Personnel"/>
    <s v="M "/>
    <s v="Middle Grade Group 7-8"/>
    <s v="PS47MS"/>
    <s v="PSES Mid Prog01Duty47 S275"/>
    <n v="1"/>
    <x v="9"/>
    <n v="47"/>
    <m/>
    <s v="   "/>
    <n v="0.498"/>
    <n v="0.14760000000000001"/>
    <n v="0"/>
    <s v="Middle Nurse"/>
    <x v="9"/>
  </r>
  <r>
    <s v="17905"/>
    <x v="106"/>
    <s v="Personnel"/>
    <s v="H "/>
    <s v="High Grade Group 9-12"/>
    <s v="PS26H21S"/>
    <s v="PSES High Prog21Act26 S275"/>
    <n v="21"/>
    <x v="2"/>
    <m/>
    <n v="26"/>
    <s v="   "/>
    <n v="0.80800000000000005"/>
    <n v="0.13150000000000001"/>
    <n v="0.106"/>
    <s v="High Health/_x000a_Related Services"/>
    <x v="2"/>
  </r>
  <r>
    <s v="17905"/>
    <x v="106"/>
    <s v="Personnel"/>
    <s v="H "/>
    <s v="High Grade Group 9-12"/>
    <s v="PS47HS"/>
    <s v="PSES High Prog01Duty47 S275"/>
    <n v="1"/>
    <x v="9"/>
    <n v="47"/>
    <m/>
    <s v="   "/>
    <n v="0.45"/>
    <n v="0.13150000000000001"/>
    <n v="0"/>
    <s v="High Nurse"/>
    <x v="9"/>
  </r>
  <r>
    <s v="17905"/>
    <x v="106"/>
    <s v="Personnel"/>
    <s v="M "/>
    <s v="Middle Grade Group 7-8"/>
    <s v="PS47MS"/>
    <s v="PSES Mid Prog01Duty47 S275"/>
    <n v="1"/>
    <x v="9"/>
    <n v="47"/>
    <m/>
    <s v="   "/>
    <n v="0.55000000000000004"/>
    <n v="0.13150000000000001"/>
    <n v="0"/>
    <s v="Middle Nurse"/>
    <x v="9"/>
  </r>
  <r>
    <s v="17911"/>
    <x v="107"/>
    <s v="Personnel"/>
    <s v="E "/>
    <s v="Elementary Grade Group K-6"/>
    <s v="PS24ES"/>
    <s v="PSES Elem Prog01Duty96 S275"/>
    <n v="1"/>
    <x v="0"/>
    <n v="96"/>
    <n v="24"/>
    <s v="   "/>
    <n v="2"/>
    <n v="0.13150000000000001"/>
    <n v="0"/>
    <s v="Elementary Family Engagement Coordinator"/>
    <x v="0"/>
  </r>
  <r>
    <s v="17911"/>
    <x v="107"/>
    <s v="Personnel"/>
    <s v="E "/>
    <s v="Elementary Grade Group K-6"/>
    <s v="PS25ES"/>
    <s v="PSES Elem Prog01Act25 S275"/>
    <n v="1"/>
    <x v="1"/>
    <m/>
    <n v="25"/>
    <s v="   "/>
    <n v="1"/>
    <n v="0.13150000000000001"/>
    <n v="0"/>
    <s v="Elementary Pupil Management"/>
    <x v="1"/>
  </r>
  <r>
    <s v="17911"/>
    <x v="107"/>
    <s v="Personnel"/>
    <s v="E "/>
    <s v="Elementary Grade Group K-6"/>
    <s v="PS64E21S"/>
    <s v="PSES Elem Prog21Duty64 S275"/>
    <n v="21"/>
    <x v="12"/>
    <n v="64"/>
    <m/>
    <s v="   "/>
    <n v="3.1"/>
    <n v="0.13150000000000001"/>
    <n v="0.40799999999999997"/>
    <s v="Elementary Contractor ESA"/>
    <x v="12"/>
  </r>
  <r>
    <s v="17916"/>
    <x v="108"/>
    <s v="Personnel"/>
    <s v="E "/>
    <s v="Elementary Grade Group K-6"/>
    <s v="PS24ES"/>
    <s v="PSES Elem Prog01Duty96 S275"/>
    <n v="1"/>
    <x v="0"/>
    <n v="96"/>
    <n v="24"/>
    <s v="   "/>
    <n v="2"/>
    <n v="0.1"/>
    <n v="0"/>
    <s v="Elementary Family Engagement Coordinator"/>
    <x v="0"/>
  </r>
  <r>
    <s v="17916"/>
    <x v="108"/>
    <s v="Personnel"/>
    <s v="E "/>
    <s v="Elementary Grade Group K-6"/>
    <s v="PS25ES"/>
    <s v="PSES Elem Prog01Act25 S275"/>
    <n v="1"/>
    <x v="1"/>
    <m/>
    <n v="25"/>
    <s v="   "/>
    <n v="1"/>
    <n v="0.1"/>
    <n v="0"/>
    <s v="Elementary Pupil Management"/>
    <x v="1"/>
  </r>
  <r>
    <s v="17916"/>
    <x v="108"/>
    <s v="Personnel"/>
    <s v="E "/>
    <s v="Elementary Grade Group K-6"/>
    <s v="PS64E21S"/>
    <s v="PSES Elem Prog21Duty64 S275"/>
    <n v="21"/>
    <x v="12"/>
    <n v="64"/>
    <m/>
    <s v="   "/>
    <n v="1.5"/>
    <n v="0.1"/>
    <n v="0.15"/>
    <s v="Elementary Contractor ESA"/>
    <x v="12"/>
  </r>
  <r>
    <s v="17917"/>
    <x v="109"/>
    <s v="Personnel"/>
    <s v="H "/>
    <s v="High Grade Group 9-12"/>
    <s v="PS26HS"/>
    <s v="PSES High Prog01Act26 S275"/>
    <n v="1"/>
    <x v="2"/>
    <m/>
    <n v="26"/>
    <s v="   "/>
    <n v="6.9000000000000006E-2"/>
    <n v="0.13880000000000001"/>
    <n v="0"/>
    <s v="High Health/_x000a_Related Services"/>
    <x v="2"/>
  </r>
  <r>
    <s v="17919"/>
    <x v="110"/>
    <s v="Personnel"/>
    <s v="E "/>
    <s v="Elementary Grade Group K-6"/>
    <s v="PS24ES"/>
    <s v="PSES Elem Prog01Duty96 S275"/>
    <n v="1"/>
    <x v="0"/>
    <n v="96"/>
    <n v="24"/>
    <s v="   "/>
    <n v="1.175"/>
    <n v="0.08"/>
    <n v="0"/>
    <s v="Elementary Family Engagement Coordinator"/>
    <x v="0"/>
  </r>
  <r>
    <s v="17919"/>
    <x v="110"/>
    <s v="Personnel"/>
    <s v="E "/>
    <s v="Elementary Grade Group K-6"/>
    <s v="PS64E21S"/>
    <s v="PSES Elem Prog21Duty64 S275"/>
    <n v="21"/>
    <x v="12"/>
    <n v="64"/>
    <m/>
    <s v="   "/>
    <n v="1.7"/>
    <n v="0.08"/>
    <n v="0.13600000000000001"/>
    <s v="Elementary Contractor ESA"/>
    <x v="12"/>
  </r>
  <r>
    <s v="18100"/>
    <x v="111"/>
    <s v="Personnel"/>
    <s v="H "/>
    <s v="High Grade Group 9-12"/>
    <s v="PS25H21S"/>
    <s v="PSES High Prog21Act25 S275"/>
    <n v="21"/>
    <x v="1"/>
    <m/>
    <n v="25"/>
    <s v="   "/>
    <n v="2.3130000000000002"/>
    <n v="0.27089999999999997"/>
    <n v="0.627"/>
    <s v="High Pupil Management"/>
    <x v="1"/>
  </r>
  <r>
    <s v="18100"/>
    <x v="111"/>
    <s v="Personnel"/>
    <s v="H "/>
    <s v="High Grade Group 9-12"/>
    <s v="PS25H97S"/>
    <s v="PSES High Prog97Act25 S275"/>
    <n v="97"/>
    <x v="1"/>
    <m/>
    <n v="25"/>
    <s v="   "/>
    <n v="1.101"/>
    <n v="0.27089999999999997"/>
    <n v="0"/>
    <s v="High Pupil Management"/>
    <x v="1"/>
  </r>
  <r>
    <s v="18100"/>
    <x v="111"/>
    <s v="Personnel"/>
    <s v="E "/>
    <s v="Elementary Grade Group K-6"/>
    <s v="PS26E21S"/>
    <s v="PSES Elem Prog21Act26 S275"/>
    <n v="21"/>
    <x v="2"/>
    <m/>
    <n v="26"/>
    <s v="   "/>
    <n v="1.603"/>
    <n v="0.27089999999999997"/>
    <n v="0.434"/>
    <s v="Elementary Health/_x000a_Related Services"/>
    <x v="2"/>
  </r>
  <r>
    <s v="18100"/>
    <x v="111"/>
    <s v="Personnel"/>
    <s v="E "/>
    <s v="Elementary Grade Group K-6"/>
    <s v="PS26ES"/>
    <s v="PSES Elem Prog01Act26 S275"/>
    <n v="1"/>
    <x v="2"/>
    <m/>
    <n v="26"/>
    <s v="   "/>
    <n v="3.2530000000000001"/>
    <n v="0.27089999999999997"/>
    <n v="0"/>
    <s v="Elementary Health/_x000a_Related Services"/>
    <x v="2"/>
  </r>
  <r>
    <s v="18100"/>
    <x v="111"/>
    <s v="Personnel"/>
    <s v="H "/>
    <s v="High Grade Group 9-12"/>
    <s v="PS26H21S"/>
    <s v="PSES High Prog21Act26 S275"/>
    <n v="21"/>
    <x v="2"/>
    <m/>
    <n v="26"/>
    <s v="   "/>
    <n v="0.7"/>
    <n v="0.27089999999999997"/>
    <n v="0.19"/>
    <s v="High Health/_x000a_Related Services"/>
    <x v="2"/>
  </r>
  <r>
    <s v="18100"/>
    <x v="111"/>
    <s v="Personnel"/>
    <s v="H "/>
    <s v="High Grade Group 9-12"/>
    <s v="PS26HS"/>
    <s v="PSES High Prog01Act26 S275"/>
    <n v="1"/>
    <x v="2"/>
    <m/>
    <n v="26"/>
    <s v="   "/>
    <n v="1.91"/>
    <n v="0.27089999999999997"/>
    <n v="0"/>
    <s v="High Health/_x000a_Related Services"/>
    <x v="2"/>
  </r>
  <r>
    <s v="18100"/>
    <x v="111"/>
    <s v="Personnel"/>
    <s v="M "/>
    <s v="Middle Grade Group 7-8"/>
    <s v="PS26M21S"/>
    <s v="PSES Mid Prog21Act26 S275"/>
    <n v="21"/>
    <x v="2"/>
    <m/>
    <n v="26"/>
    <s v="   "/>
    <n v="0.13400000000000001"/>
    <n v="0.27089999999999997"/>
    <n v="3.5999999999999997E-2"/>
    <s v="Middle Health/_x000a_Related Services"/>
    <x v="2"/>
  </r>
  <r>
    <s v="18100"/>
    <x v="111"/>
    <s v="Personnel"/>
    <s v="M "/>
    <s v="Middle Grade Group 7-8"/>
    <s v="PS26MS"/>
    <s v="PSES Mid Prog01Act26 S275"/>
    <n v="1"/>
    <x v="2"/>
    <m/>
    <n v="26"/>
    <s v="   "/>
    <n v="0.72799999999999998"/>
    <n v="0.27089999999999997"/>
    <n v="0"/>
    <s v="Middle Health/_x000a_Related Services"/>
    <x v="2"/>
  </r>
  <r>
    <s v="18100"/>
    <x v="111"/>
    <s v="Personnel"/>
    <s v="H "/>
    <s v="High Grade Group 9-12"/>
    <s v="PS35HS"/>
    <s v="PSES High Prog01Act35 S275"/>
    <n v="1"/>
    <x v="3"/>
    <m/>
    <n v="35"/>
    <s v="   "/>
    <n v="3.9460000000000002"/>
    <n v="0.27089999999999997"/>
    <n v="0"/>
    <s v="High Pupil Safety"/>
    <x v="3"/>
  </r>
  <r>
    <s v="18100"/>
    <x v="111"/>
    <s v="Personnel"/>
    <s v="M "/>
    <s v="Middle Grade Group 7-8"/>
    <s v="PS35MS"/>
    <s v="PSES Mid Prog01Act35 S275"/>
    <n v="1"/>
    <x v="3"/>
    <m/>
    <n v="35"/>
    <s v="   "/>
    <n v="1.591"/>
    <n v="0.27089999999999997"/>
    <n v="0"/>
    <s v="Middle Pupil Safety"/>
    <x v="3"/>
  </r>
  <r>
    <s v="18100"/>
    <x v="111"/>
    <s v="Personnel"/>
    <s v="E "/>
    <s v="Elementary Grade Group K-6"/>
    <s v="PS42ES"/>
    <s v="PSES Elem Prog01Duty42 S275"/>
    <n v="1"/>
    <x v="5"/>
    <n v="42"/>
    <m/>
    <s v="   "/>
    <n v="6.2"/>
    <n v="0.27089999999999997"/>
    <n v="0"/>
    <s v="Elementary Counselor"/>
    <x v="5"/>
  </r>
  <r>
    <s v="18100"/>
    <x v="111"/>
    <s v="Personnel"/>
    <s v="H "/>
    <s v="High Grade Group 9-12"/>
    <s v="PS42HS"/>
    <s v="PSES High Prog01Duty42 S275"/>
    <n v="1"/>
    <x v="5"/>
    <n v="42"/>
    <m/>
    <s v="   "/>
    <n v="3.984"/>
    <n v="0.27089999999999997"/>
    <n v="0"/>
    <s v="High Counselor"/>
    <x v="5"/>
  </r>
  <r>
    <s v="18100"/>
    <x v="111"/>
    <s v="Personnel"/>
    <s v="M "/>
    <s v="Middle Grade Group 7-8"/>
    <s v="PS42MS"/>
    <s v="PSES Mid Prog01Duty42 S275"/>
    <n v="1"/>
    <x v="5"/>
    <n v="42"/>
    <m/>
    <s v="   "/>
    <n v="1.2"/>
    <n v="0.27089999999999997"/>
    <n v="0"/>
    <s v="Middle Counselor"/>
    <x v="5"/>
  </r>
  <r>
    <s v="18100"/>
    <x v="111"/>
    <s v="Personnel"/>
    <s v="E "/>
    <s v="Elementary Grade Group K-6"/>
    <s v="PS43E21S"/>
    <s v="PSES Elem Prog21Duty43 S275"/>
    <n v="21"/>
    <x v="6"/>
    <n v="43"/>
    <m/>
    <s v="   "/>
    <n v="2.2000000000000002"/>
    <n v="0.27089999999999997"/>
    <n v="0.59599999999999997"/>
    <s v="Elementary Occupational Therapist"/>
    <x v="6"/>
  </r>
  <r>
    <s v="18100"/>
    <x v="111"/>
    <s v="Personnel"/>
    <s v="M "/>
    <s v="Middle Grade Group 7-8"/>
    <s v="PS43M21S"/>
    <s v="PSES Mid Prog21Duty43 S275"/>
    <n v="21"/>
    <x v="6"/>
    <n v="43"/>
    <m/>
    <s v="   "/>
    <n v="0.2"/>
    <n v="0.27089999999999997"/>
    <n v="5.3999999999999999E-2"/>
    <s v="Middle Occupational Therapist"/>
    <x v="6"/>
  </r>
  <r>
    <s v="18100"/>
    <x v="111"/>
    <s v="Personnel"/>
    <s v="E "/>
    <s v="Elementary Grade Group K-6"/>
    <s v="PS45E21S"/>
    <s v="PSES Elem Prog21Duty45 S275"/>
    <n v="21"/>
    <x v="7"/>
    <n v="45"/>
    <m/>
    <s v="   "/>
    <n v="6.1289999999999996"/>
    <n v="0.27089999999999997"/>
    <n v="1.66"/>
    <s v="Elementary Speech, Language Pathway/_x000a_Audio"/>
    <x v="7"/>
  </r>
  <r>
    <s v="18100"/>
    <x v="111"/>
    <s v="Personnel"/>
    <s v="H "/>
    <s v="High Grade Group 9-12"/>
    <s v="PS45H21S"/>
    <s v="PSES High Prog21Duty45 S275"/>
    <n v="21"/>
    <x v="7"/>
    <n v="45"/>
    <m/>
    <s v="   "/>
    <n v="1"/>
    <n v="0.27089999999999997"/>
    <n v="0.27100000000000002"/>
    <s v="High Speech, Language Pathway/_x000a_Audio"/>
    <x v="7"/>
  </r>
  <r>
    <s v="18100"/>
    <x v="111"/>
    <s v="Personnel"/>
    <s v="M "/>
    <s v="Middle Grade Group 7-8"/>
    <s v="PS45M21S"/>
    <s v="PSES Mid Prog21Duty45 S275"/>
    <n v="21"/>
    <x v="7"/>
    <n v="45"/>
    <m/>
    <s v="   "/>
    <n v="0.86599999999999999"/>
    <n v="0.27089999999999997"/>
    <n v="0.23499999999999999"/>
    <s v="Middle Speech, Language Pathway/_x000a_Audio"/>
    <x v="7"/>
  </r>
  <r>
    <s v="18100"/>
    <x v="111"/>
    <s v="Personnel"/>
    <s v="E "/>
    <s v="Elementary Grade Group K-6"/>
    <s v="PS46E21S"/>
    <s v="PSES Elem Prog21Duty46 S275"/>
    <n v="21"/>
    <x v="8"/>
    <n v="46"/>
    <m/>
    <s v="   "/>
    <n v="2.694"/>
    <n v="0.27089999999999997"/>
    <n v="0.73"/>
    <s v="Elementary Psychologist"/>
    <x v="8"/>
  </r>
  <r>
    <s v="18100"/>
    <x v="111"/>
    <s v="Personnel"/>
    <s v="H "/>
    <s v="High Grade Group 9-12"/>
    <s v="PS46H21S"/>
    <s v="PSES High Prog21Duty46 S275"/>
    <n v="21"/>
    <x v="8"/>
    <n v="46"/>
    <m/>
    <s v="   "/>
    <n v="1"/>
    <n v="0.27089999999999997"/>
    <n v="0.27100000000000002"/>
    <s v="High Psychologist"/>
    <x v="8"/>
  </r>
  <r>
    <s v="18100"/>
    <x v="111"/>
    <s v="Personnel"/>
    <s v="M "/>
    <s v="Middle Grade Group 7-8"/>
    <s v="PS46M21S"/>
    <s v="PSES Mid Prog21Duty46 S275"/>
    <n v="21"/>
    <x v="8"/>
    <n v="46"/>
    <m/>
    <s v="   "/>
    <n v="1"/>
    <n v="0.27089999999999997"/>
    <n v="0.27100000000000002"/>
    <s v="Middle Psychologist"/>
    <x v="8"/>
  </r>
  <r>
    <s v="18100"/>
    <x v="111"/>
    <s v="Personnel"/>
    <s v="E "/>
    <s v="Elementary Grade Group K-6"/>
    <s v="PS48E21S"/>
    <s v="PSES Elem Prog21Duty48 S275"/>
    <n v="21"/>
    <x v="11"/>
    <n v="48"/>
    <m/>
    <s v="   "/>
    <n v="0.6"/>
    <n v="0.27089999999999997"/>
    <n v="0.16300000000000001"/>
    <s v="Elementary Physical Therapist"/>
    <x v="11"/>
  </r>
  <r>
    <s v="18100"/>
    <x v="111"/>
    <s v="Personnel"/>
    <s v="H "/>
    <s v="High Grade Group 9-12"/>
    <s v="PS48H21S"/>
    <s v="PSES High Prog21Duty48 S275"/>
    <n v="21"/>
    <x v="11"/>
    <n v="48"/>
    <m/>
    <s v="   "/>
    <n v="0.1"/>
    <n v="0.27089999999999997"/>
    <n v="2.7E-2"/>
    <s v="High Physical Therapist"/>
    <x v="11"/>
  </r>
  <r>
    <s v="18100"/>
    <x v="111"/>
    <s v="Personnel"/>
    <s v="M "/>
    <s v="Middle Grade Group 7-8"/>
    <s v="PS48M21S"/>
    <s v="PSES Mid Prog21Duty48 S275"/>
    <n v="21"/>
    <x v="11"/>
    <n v="48"/>
    <m/>
    <s v="   "/>
    <n v="0.1"/>
    <n v="0.27089999999999997"/>
    <n v="2.7E-2"/>
    <s v="Middle Physical Therapist"/>
    <x v="11"/>
  </r>
  <r>
    <s v="18303"/>
    <x v="112"/>
    <s v="Personnel"/>
    <s v="E "/>
    <s v="Elementary Grade Group K-6"/>
    <s v="PS25ES"/>
    <s v="PSES Elem Prog01Act25 S275"/>
    <n v="1"/>
    <x v="1"/>
    <m/>
    <n v="25"/>
    <s v="   "/>
    <n v="0.48899999999999999"/>
    <n v="0.20349999999999999"/>
    <n v="0"/>
    <s v="Elementary Pupil Management"/>
    <x v="1"/>
  </r>
  <r>
    <s v="18303"/>
    <x v="112"/>
    <s v="Personnel"/>
    <s v="H "/>
    <s v="High Grade Group 9-12"/>
    <s v="PS25H21S"/>
    <s v="PSES High Prog21Act25 S275"/>
    <n v="21"/>
    <x v="1"/>
    <m/>
    <n v="25"/>
    <s v="   "/>
    <n v="0.83499999999999996"/>
    <n v="0.20349999999999999"/>
    <n v="0.17"/>
    <s v="High Pupil Management"/>
    <x v="1"/>
  </r>
  <r>
    <s v="18303"/>
    <x v="112"/>
    <s v="Personnel"/>
    <s v="H "/>
    <s v="High Grade Group 9-12"/>
    <s v="PS25HS"/>
    <s v="PSES High Prog01Act25 S275"/>
    <n v="1"/>
    <x v="1"/>
    <m/>
    <n v="25"/>
    <s v="   "/>
    <n v="4.3940000000000001"/>
    <n v="0.20349999999999999"/>
    <n v="0"/>
    <s v="High Pupil Management"/>
    <x v="1"/>
  </r>
  <r>
    <s v="18303"/>
    <x v="112"/>
    <s v="Personnel"/>
    <s v="H "/>
    <s v="High Grade Group 9-12"/>
    <s v="PS26HS"/>
    <s v="PSES High Prog01Act26 S275"/>
    <n v="1"/>
    <x v="2"/>
    <m/>
    <n v="26"/>
    <s v="   "/>
    <n v="3.7679999999999998"/>
    <n v="0.20349999999999999"/>
    <n v="0"/>
    <s v="High Health/_x000a_Related Services"/>
    <x v="2"/>
  </r>
  <r>
    <s v="18303"/>
    <x v="112"/>
    <s v="Personnel"/>
    <s v="E "/>
    <s v="Elementary Grade Group K-6"/>
    <s v="PS42ES"/>
    <s v="PSES Elem Prog01Duty42 S275"/>
    <n v="1"/>
    <x v="5"/>
    <n v="42"/>
    <m/>
    <s v="   "/>
    <n v="4.5659999999999998"/>
    <n v="0.20349999999999999"/>
    <n v="0"/>
    <s v="Elementary Counselor"/>
    <x v="5"/>
  </r>
  <r>
    <s v="18303"/>
    <x v="112"/>
    <s v="Personnel"/>
    <s v="H "/>
    <s v="High Grade Group 9-12"/>
    <s v="PS42HS"/>
    <s v="PSES High Prog01Duty42 S275"/>
    <n v="1"/>
    <x v="5"/>
    <n v="42"/>
    <m/>
    <s v="   "/>
    <n v="4.8499999999999996"/>
    <n v="0.20349999999999999"/>
    <n v="0"/>
    <s v="High Counselor"/>
    <x v="5"/>
  </r>
  <r>
    <s v="18303"/>
    <x v="112"/>
    <s v="Personnel"/>
    <s v="M "/>
    <s v="Middle Grade Group 7-8"/>
    <s v="PS42MS"/>
    <s v="PSES Mid Prog01Duty42 S275"/>
    <n v="1"/>
    <x v="5"/>
    <n v="42"/>
    <m/>
    <s v="   "/>
    <n v="1.6839999999999999"/>
    <n v="0.20349999999999999"/>
    <n v="0"/>
    <s v="Middle Counselor"/>
    <x v="5"/>
  </r>
  <r>
    <s v="18303"/>
    <x v="112"/>
    <s v="Personnel"/>
    <s v="E "/>
    <s v="Elementary Grade Group K-6"/>
    <s v="PS43E21S"/>
    <s v="PSES Elem Prog21Duty43 S275"/>
    <n v="21"/>
    <x v="6"/>
    <n v="43"/>
    <m/>
    <s v="   "/>
    <n v="0.8"/>
    <n v="0.20349999999999999"/>
    <n v="0.16300000000000001"/>
    <s v="Elementary Occupational Therapist"/>
    <x v="6"/>
  </r>
  <r>
    <s v="18303"/>
    <x v="112"/>
    <s v="Personnel"/>
    <s v="E "/>
    <s v="Elementary Grade Group K-6"/>
    <s v="PS44ES"/>
    <s v="PSES Elem Prog01Duty44 S275"/>
    <n v="1"/>
    <x v="13"/>
    <n v="44"/>
    <m/>
    <s v="   "/>
    <n v="0.53600000000000003"/>
    <n v="0.20349999999999999"/>
    <n v="0"/>
    <s v="Elementary Social Worker"/>
    <x v="13"/>
  </r>
  <r>
    <s v="18303"/>
    <x v="112"/>
    <s v="Personnel"/>
    <s v="H "/>
    <s v="High Grade Group 9-12"/>
    <s v="PS44HS"/>
    <s v="PSES High Prog01Duty44 S275"/>
    <n v="1"/>
    <x v="13"/>
    <n v="44"/>
    <m/>
    <s v="   "/>
    <n v="0.31"/>
    <n v="0.20349999999999999"/>
    <n v="0"/>
    <s v="High Social Worker"/>
    <x v="13"/>
  </r>
  <r>
    <s v="18303"/>
    <x v="112"/>
    <s v="Personnel"/>
    <s v="M "/>
    <s v="Middle Grade Group 7-8"/>
    <s v="PS44MS"/>
    <s v="PSES Mid Prog01Duty44 S275"/>
    <n v="1"/>
    <x v="13"/>
    <n v="44"/>
    <m/>
    <s v="   "/>
    <n v="0.154"/>
    <n v="0.20349999999999999"/>
    <n v="0"/>
    <s v="Middle Social Worker"/>
    <x v="13"/>
  </r>
  <r>
    <s v="18303"/>
    <x v="112"/>
    <s v="Personnel"/>
    <s v="E "/>
    <s v="Elementary Grade Group K-6"/>
    <s v="PS45E21S"/>
    <s v="PSES Elem Prog21Duty45 S275"/>
    <n v="21"/>
    <x v="7"/>
    <n v="45"/>
    <m/>
    <s v="   "/>
    <n v="3.3039999999999998"/>
    <n v="0.20349999999999999"/>
    <n v="0.67200000000000004"/>
    <s v="Elementary Speech, Language Pathway/_x000a_Audio"/>
    <x v="7"/>
  </r>
  <r>
    <s v="18303"/>
    <x v="112"/>
    <s v="Personnel"/>
    <s v="H "/>
    <s v="High Grade Group 9-12"/>
    <s v="PS45H21S"/>
    <s v="PSES High Prog21Duty45 S275"/>
    <n v="21"/>
    <x v="7"/>
    <n v="45"/>
    <m/>
    <s v="   "/>
    <n v="1.2170000000000001"/>
    <n v="0.20349999999999999"/>
    <n v="0.248"/>
    <s v="High Speech, Language Pathway/_x000a_Audio"/>
    <x v="7"/>
  </r>
  <r>
    <s v="18303"/>
    <x v="112"/>
    <s v="Personnel"/>
    <s v="M "/>
    <s v="Middle Grade Group 7-8"/>
    <s v="PS45M21S"/>
    <s v="PSES Mid Prog21Duty45 S275"/>
    <n v="21"/>
    <x v="7"/>
    <n v="45"/>
    <m/>
    <s v="   "/>
    <n v="0.32900000000000001"/>
    <n v="0.20349999999999999"/>
    <n v="6.7000000000000004E-2"/>
    <s v="Middle Speech, Language Pathway/_x000a_Audio"/>
    <x v="7"/>
  </r>
  <r>
    <s v="18303"/>
    <x v="112"/>
    <s v="Personnel"/>
    <s v="E "/>
    <s v="Elementary Grade Group K-6"/>
    <s v="PS46E21S"/>
    <s v="PSES Elem Prog21Duty46 S275"/>
    <n v="21"/>
    <x v="8"/>
    <n v="46"/>
    <m/>
    <s v="   "/>
    <n v="1.31"/>
    <n v="0.20349999999999999"/>
    <n v="0.26700000000000002"/>
    <s v="Elementary Psychologist"/>
    <x v="8"/>
  </r>
  <r>
    <s v="18303"/>
    <x v="112"/>
    <s v="Personnel"/>
    <s v="H "/>
    <s v="High Grade Group 9-12"/>
    <s v="PS46H21S"/>
    <s v="PSES High Prog21Duty46 S275"/>
    <n v="21"/>
    <x v="8"/>
    <n v="46"/>
    <m/>
    <s v="   "/>
    <n v="1.2889999999999999"/>
    <n v="0.20349999999999999"/>
    <n v="0.26200000000000001"/>
    <s v="High Psychologist"/>
    <x v="8"/>
  </r>
  <r>
    <s v="18303"/>
    <x v="112"/>
    <s v="Personnel"/>
    <s v="M "/>
    <s v="Middle Grade Group 7-8"/>
    <s v="PS46M21S"/>
    <s v="PSES Mid Prog21Duty46 S275"/>
    <n v="21"/>
    <x v="8"/>
    <n v="46"/>
    <m/>
    <s v="   "/>
    <n v="0.45500000000000002"/>
    <n v="0.20349999999999999"/>
    <n v="9.2999999999999999E-2"/>
    <s v="Middle Psychologist"/>
    <x v="8"/>
  </r>
  <r>
    <s v="18303"/>
    <x v="112"/>
    <s v="Personnel"/>
    <s v="E "/>
    <s v="Elementary Grade Group K-6"/>
    <s v="PS47ES"/>
    <s v="PSES Elem Prog01Duty47 S275"/>
    <n v="1"/>
    <x v="9"/>
    <n v="47"/>
    <m/>
    <s v="   "/>
    <n v="0.48"/>
    <n v="0.20349999999999999"/>
    <n v="0"/>
    <s v="Elementary Nurse"/>
    <x v="9"/>
  </r>
  <r>
    <s v="18303"/>
    <x v="112"/>
    <s v="Personnel"/>
    <s v="H "/>
    <s v="High Grade Group 9-12"/>
    <s v="PS47HS"/>
    <s v="PSES High Prog01Duty47 S275"/>
    <n v="1"/>
    <x v="9"/>
    <n v="47"/>
    <m/>
    <s v="   "/>
    <n v="0.96"/>
    <n v="0.20349999999999999"/>
    <n v="0"/>
    <s v="High Nurse"/>
    <x v="9"/>
  </r>
  <r>
    <s v="18303"/>
    <x v="112"/>
    <s v="Personnel"/>
    <s v="E "/>
    <s v="Elementary Grade Group K-6"/>
    <s v="PS48E21S"/>
    <s v="PSES Elem Prog21Duty48 S275"/>
    <n v="21"/>
    <x v="11"/>
    <n v="48"/>
    <m/>
    <s v="   "/>
    <n v="0.53"/>
    <n v="0.20349999999999999"/>
    <n v="0.108"/>
    <s v="Elementary Physical Therapist"/>
    <x v="11"/>
  </r>
  <r>
    <s v="18303"/>
    <x v="112"/>
    <s v="Personnel"/>
    <s v="H "/>
    <s v="High Grade Group 9-12"/>
    <s v="PS48H21S"/>
    <s v="PSES High Prog21Duty48 S275"/>
    <n v="21"/>
    <x v="11"/>
    <n v="48"/>
    <m/>
    <s v="   "/>
    <n v="0.09"/>
    <n v="0.20349999999999999"/>
    <n v="1.7999999999999999E-2"/>
    <s v="High Physical Therapist"/>
    <x v="11"/>
  </r>
  <r>
    <s v="18400"/>
    <x v="113"/>
    <s v="Personnel"/>
    <s v="E "/>
    <s v="Elementary Grade Group K-6"/>
    <s v="PS25ES"/>
    <s v="PSES Elem Prog01Act25 S275"/>
    <n v="1"/>
    <x v="1"/>
    <m/>
    <n v="25"/>
    <s v="   "/>
    <n v="0.53300000000000003"/>
    <n v="0.20019999999999999"/>
    <n v="0"/>
    <s v="Elementary Pupil Management"/>
    <x v="1"/>
  </r>
  <r>
    <s v="18400"/>
    <x v="113"/>
    <s v="Personnel"/>
    <s v="H "/>
    <s v="High Grade Group 9-12"/>
    <s v="PS25H21S"/>
    <s v="PSES High Prog21Act25 S275"/>
    <n v="21"/>
    <x v="1"/>
    <m/>
    <n v="25"/>
    <s v="   "/>
    <n v="9.9220000000000006"/>
    <n v="0.20019999999999999"/>
    <n v="1.986"/>
    <s v="High Pupil Management"/>
    <x v="1"/>
  </r>
  <r>
    <s v="18400"/>
    <x v="113"/>
    <s v="Personnel"/>
    <s v="H "/>
    <s v="High Grade Group 9-12"/>
    <s v="PS25HS"/>
    <s v="PSES High Prog01Act25 S275"/>
    <n v="1"/>
    <x v="1"/>
    <m/>
    <n v="25"/>
    <s v="   "/>
    <n v="5.992"/>
    <n v="0.20019999999999999"/>
    <n v="0"/>
    <s v="High Pupil Management"/>
    <x v="1"/>
  </r>
  <r>
    <s v="18400"/>
    <x v="113"/>
    <s v="Personnel"/>
    <s v="H "/>
    <s v="High Grade Group 9-12"/>
    <s v="PS26H21S"/>
    <s v="PSES High Prog21Act26 S275"/>
    <n v="21"/>
    <x v="2"/>
    <m/>
    <n v="26"/>
    <s v="   "/>
    <n v="3.0390000000000001"/>
    <n v="0.20019999999999999"/>
    <n v="0.60799999999999998"/>
    <s v="High Health/_x000a_Related Services"/>
    <x v="2"/>
  </r>
  <r>
    <s v="18400"/>
    <x v="113"/>
    <s v="Personnel"/>
    <s v="H "/>
    <s v="High Grade Group 9-12"/>
    <s v="PS26HS"/>
    <s v="PSES High Prog01Act26 S275"/>
    <n v="1"/>
    <x v="2"/>
    <m/>
    <n v="26"/>
    <s v="   "/>
    <n v="0.40799999999999997"/>
    <n v="0.20019999999999999"/>
    <n v="0"/>
    <s v="High Health/_x000a_Related Services"/>
    <x v="2"/>
  </r>
  <r>
    <s v="18400"/>
    <x v="113"/>
    <s v="Personnel"/>
    <s v="H "/>
    <s v="High Grade Group 9-12"/>
    <s v="PS35HS"/>
    <s v="PSES High Prog01Act35 S275"/>
    <n v="1"/>
    <x v="3"/>
    <m/>
    <n v="35"/>
    <s v="   "/>
    <n v="3.6709999999999998"/>
    <n v="0.20019999999999999"/>
    <n v="0"/>
    <s v="High Pupil Safety"/>
    <x v="3"/>
  </r>
  <r>
    <s v="18400"/>
    <x v="113"/>
    <s v="Personnel"/>
    <s v="E "/>
    <s v="Elementary Grade Group K-6"/>
    <s v="PS42ES"/>
    <s v="PSES Elem Prog01Duty42 S275"/>
    <n v="1"/>
    <x v="5"/>
    <n v="42"/>
    <m/>
    <s v="   "/>
    <n v="7.22"/>
    <n v="0.20019999999999999"/>
    <n v="0"/>
    <s v="Elementary Counselor"/>
    <x v="5"/>
  </r>
  <r>
    <s v="18400"/>
    <x v="113"/>
    <s v="Personnel"/>
    <s v="H "/>
    <s v="High Grade Group 9-12"/>
    <s v="PS42HS"/>
    <s v="PSES High Prog01Duty42 S275"/>
    <n v="1"/>
    <x v="5"/>
    <n v="42"/>
    <m/>
    <s v="   "/>
    <n v="4.5"/>
    <n v="0.20019999999999999"/>
    <n v="0"/>
    <s v="High Counselor"/>
    <x v="5"/>
  </r>
  <r>
    <s v="18400"/>
    <x v="113"/>
    <s v="Personnel"/>
    <s v="M "/>
    <s v="Middle Grade Group 7-8"/>
    <s v="PS42MS"/>
    <s v="PSES Mid Prog01Duty42 S275"/>
    <n v="1"/>
    <x v="5"/>
    <n v="42"/>
    <m/>
    <s v="   "/>
    <n v="1.98"/>
    <n v="0.20019999999999999"/>
    <n v="0"/>
    <s v="Middle Counselor"/>
    <x v="5"/>
  </r>
  <r>
    <s v="18400"/>
    <x v="113"/>
    <s v="Personnel"/>
    <s v="E "/>
    <s v="Elementary Grade Group K-6"/>
    <s v="PS43E21S"/>
    <s v="PSES Elem Prog21Duty43 S275"/>
    <n v="21"/>
    <x v="6"/>
    <n v="43"/>
    <m/>
    <s v="   "/>
    <n v="2.895"/>
    <n v="0.20019999999999999"/>
    <n v="0.57999999999999996"/>
    <s v="Elementary Occupational Therapist"/>
    <x v="6"/>
  </r>
  <r>
    <s v="18400"/>
    <x v="113"/>
    <s v="Personnel"/>
    <s v="H "/>
    <s v="High Grade Group 9-12"/>
    <s v="PS43H21S"/>
    <s v="PSES High Prog21Duty43 S275"/>
    <n v="21"/>
    <x v="6"/>
    <n v="43"/>
    <m/>
    <s v="   "/>
    <n v="1.04"/>
    <n v="0.20019999999999999"/>
    <n v="0.20799999999999999"/>
    <s v="High Occupational Therapist"/>
    <x v="6"/>
  </r>
  <r>
    <s v="18400"/>
    <x v="113"/>
    <s v="Personnel"/>
    <s v="M "/>
    <s v="Middle Grade Group 7-8"/>
    <s v="PS43M21S"/>
    <s v="PSES Mid Prog21Duty43 S275"/>
    <n v="21"/>
    <x v="6"/>
    <n v="43"/>
    <m/>
    <s v="   "/>
    <n v="0.435"/>
    <n v="0.20019999999999999"/>
    <n v="8.6999999999999994E-2"/>
    <s v="Middle Occupational Therapist"/>
    <x v="6"/>
  </r>
  <r>
    <s v="18400"/>
    <x v="113"/>
    <s v="Personnel"/>
    <s v="E "/>
    <s v="Elementary Grade Group K-6"/>
    <s v="PS45E21S"/>
    <s v="PSES Elem Prog21Duty45 S275"/>
    <n v="21"/>
    <x v="7"/>
    <n v="45"/>
    <m/>
    <s v="   "/>
    <n v="6.907"/>
    <n v="0.20019999999999999"/>
    <n v="1.383"/>
    <s v="Elementary Speech, Language Pathway/_x000a_Audio"/>
    <x v="7"/>
  </r>
  <r>
    <s v="18400"/>
    <x v="113"/>
    <s v="Personnel"/>
    <s v="H "/>
    <s v="High Grade Group 9-12"/>
    <s v="PS45H21S"/>
    <s v="PSES High Prog21Duty45 S275"/>
    <n v="21"/>
    <x v="7"/>
    <n v="45"/>
    <m/>
    <s v="   "/>
    <n v="1.6"/>
    <n v="0.20019999999999999"/>
    <n v="0.32"/>
    <s v="High Speech, Language Pathway/_x000a_Audio"/>
    <x v="7"/>
  </r>
  <r>
    <s v="18400"/>
    <x v="113"/>
    <s v="Personnel"/>
    <s v="M "/>
    <s v="Middle Grade Group 7-8"/>
    <s v="PS45M21S"/>
    <s v="PSES Mid Prog21Duty45 S275"/>
    <n v="21"/>
    <x v="7"/>
    <n v="45"/>
    <m/>
    <s v="   "/>
    <n v="1.224"/>
    <n v="0.20019999999999999"/>
    <n v="0.245"/>
    <s v="Middle Speech, Language Pathway/_x000a_Audio"/>
    <x v="7"/>
  </r>
  <r>
    <s v="18400"/>
    <x v="113"/>
    <s v="Personnel"/>
    <s v="E "/>
    <s v="Elementary Grade Group K-6"/>
    <s v="PS46E21S"/>
    <s v="PSES Elem Prog21Duty46 S275"/>
    <n v="21"/>
    <x v="8"/>
    <n v="46"/>
    <m/>
    <s v="   "/>
    <n v="3.6179999999999999"/>
    <n v="0.20019999999999999"/>
    <n v="0.72399999999999998"/>
    <s v="Elementary Psychologist"/>
    <x v="8"/>
  </r>
  <r>
    <s v="18400"/>
    <x v="113"/>
    <s v="Personnel"/>
    <s v="H "/>
    <s v="High Grade Group 9-12"/>
    <s v="PS46H21S"/>
    <s v="PSES High Prog21Duty46 S275"/>
    <n v="21"/>
    <x v="8"/>
    <n v="46"/>
    <m/>
    <s v="   "/>
    <n v="2"/>
    <n v="0.20019999999999999"/>
    <n v="0.4"/>
    <s v="High Psychologist"/>
    <x v="8"/>
  </r>
  <r>
    <s v="18400"/>
    <x v="113"/>
    <s v="Personnel"/>
    <s v="M "/>
    <s v="Middle Grade Group 7-8"/>
    <s v="PS46M21S"/>
    <s v="PSES Mid Prog21Duty46 S275"/>
    <n v="21"/>
    <x v="8"/>
    <n v="46"/>
    <m/>
    <s v="   "/>
    <n v="1.1060000000000001"/>
    <n v="0.20019999999999999"/>
    <n v="0.221"/>
    <s v="Middle Psychologist"/>
    <x v="8"/>
  </r>
  <r>
    <s v="18400"/>
    <x v="113"/>
    <s v="Personnel"/>
    <s v="E "/>
    <s v="Elementary Grade Group K-6"/>
    <s v="PS48E21S"/>
    <s v="PSES Elem Prog21Duty48 S275"/>
    <n v="21"/>
    <x v="11"/>
    <n v="48"/>
    <m/>
    <s v="   "/>
    <n v="0.53900000000000003"/>
    <n v="0.20019999999999999"/>
    <n v="0.108"/>
    <s v="Elementary Physical Therapist"/>
    <x v="11"/>
  </r>
  <r>
    <s v="18400"/>
    <x v="113"/>
    <s v="Personnel"/>
    <s v="H "/>
    <s v="High Grade Group 9-12"/>
    <s v="PS48H21S"/>
    <s v="PSES High Prog21Duty48 S275"/>
    <n v="21"/>
    <x v="11"/>
    <n v="48"/>
    <m/>
    <s v="   "/>
    <n v="0.27600000000000002"/>
    <n v="0.20019999999999999"/>
    <n v="5.5E-2"/>
    <s v="High Physical Therapist"/>
    <x v="11"/>
  </r>
  <r>
    <s v="18400"/>
    <x v="113"/>
    <s v="Personnel"/>
    <s v="M "/>
    <s v="Middle Grade Group 7-8"/>
    <s v="PS48M21S"/>
    <s v="PSES Mid Prog21Duty48 S275"/>
    <n v="21"/>
    <x v="11"/>
    <n v="48"/>
    <m/>
    <s v="   "/>
    <n v="0.17199999999999999"/>
    <n v="0.20019999999999999"/>
    <n v="3.4000000000000002E-2"/>
    <s v="Middle Physical Therapist"/>
    <x v="11"/>
  </r>
  <r>
    <s v="18401"/>
    <x v="114"/>
    <s v="Personnel"/>
    <s v="H "/>
    <s v="High Grade Group 9-12"/>
    <s v="PS25HS"/>
    <s v="PSES High Prog01Act25 S275"/>
    <n v="1"/>
    <x v="1"/>
    <m/>
    <n v="25"/>
    <s v="   "/>
    <n v="15.273999999999999"/>
    <n v="0.26369999999999999"/>
    <n v="0"/>
    <s v="High Pupil Management"/>
    <x v="1"/>
  </r>
  <r>
    <s v="18401"/>
    <x v="114"/>
    <s v="Personnel"/>
    <s v="H "/>
    <s v="High Grade Group 9-12"/>
    <s v="PS26H21S"/>
    <s v="PSES High Prog21Act26 S275"/>
    <n v="21"/>
    <x v="2"/>
    <m/>
    <n v="26"/>
    <s v="   "/>
    <n v="3.5640000000000001"/>
    <n v="0.26369999999999999"/>
    <n v="0.94"/>
    <s v="High Health/_x000a_Related Services"/>
    <x v="2"/>
  </r>
  <r>
    <s v="18401"/>
    <x v="114"/>
    <s v="Personnel"/>
    <s v="H "/>
    <s v="High Grade Group 9-12"/>
    <s v="PS26HS"/>
    <s v="PSES High Prog01Act26 S275"/>
    <n v="1"/>
    <x v="2"/>
    <m/>
    <n v="26"/>
    <s v="   "/>
    <n v="0.82299999999999995"/>
    <n v="0.26369999999999999"/>
    <n v="0"/>
    <s v="High Health/_x000a_Related Services"/>
    <x v="2"/>
  </r>
  <r>
    <s v="18401"/>
    <x v="114"/>
    <s v="Personnel"/>
    <s v="E "/>
    <s v="Elementary Grade Group K-6"/>
    <s v="PS42ES"/>
    <s v="PSES Elem Prog01Duty42 S275"/>
    <n v="1"/>
    <x v="5"/>
    <n v="42"/>
    <m/>
    <s v="   "/>
    <n v="12.627000000000001"/>
    <n v="0.26369999999999999"/>
    <n v="0"/>
    <s v="Elementary Counselor"/>
    <x v="5"/>
  </r>
  <r>
    <s v="18401"/>
    <x v="114"/>
    <s v="Personnel"/>
    <s v="H "/>
    <s v="High Grade Group 9-12"/>
    <s v="PS42HS"/>
    <s v="PSES High Prog01Duty42 S275"/>
    <n v="1"/>
    <x v="5"/>
    <n v="42"/>
    <m/>
    <s v="   "/>
    <n v="11.712999999999999"/>
    <n v="0.26369999999999999"/>
    <n v="0"/>
    <s v="High Counselor"/>
    <x v="5"/>
  </r>
  <r>
    <s v="18401"/>
    <x v="114"/>
    <s v="Personnel"/>
    <s v="M "/>
    <s v="Middle Grade Group 7-8"/>
    <s v="PS42MS"/>
    <s v="PSES Mid Prog01Duty42 S275"/>
    <n v="1"/>
    <x v="5"/>
    <n v="42"/>
    <m/>
    <s v="   "/>
    <n v="5.36"/>
    <n v="0.26369999999999999"/>
    <n v="0"/>
    <s v="Middle Counselor"/>
    <x v="5"/>
  </r>
  <r>
    <s v="18401"/>
    <x v="114"/>
    <s v="Personnel"/>
    <s v="E "/>
    <s v="Elementary Grade Group K-6"/>
    <s v="PS43E21S"/>
    <s v="PSES Elem Prog21Duty43 S275"/>
    <n v="21"/>
    <x v="6"/>
    <n v="43"/>
    <m/>
    <s v="   "/>
    <n v="2.9140000000000001"/>
    <n v="0.26369999999999999"/>
    <n v="0.76800000000000002"/>
    <s v="Elementary Occupational Therapist"/>
    <x v="6"/>
  </r>
  <r>
    <s v="18401"/>
    <x v="114"/>
    <s v="Personnel"/>
    <s v="H "/>
    <s v="High Grade Group 9-12"/>
    <s v="PS43H21S"/>
    <s v="PSES High Prog21Duty43 S275"/>
    <n v="21"/>
    <x v="6"/>
    <n v="43"/>
    <m/>
    <s v="   "/>
    <n v="2.1160000000000001"/>
    <n v="0.26369999999999999"/>
    <n v="0.55800000000000005"/>
    <s v="High Occupational Therapist"/>
    <x v="6"/>
  </r>
  <r>
    <s v="18401"/>
    <x v="114"/>
    <s v="Personnel"/>
    <s v="M "/>
    <s v="Middle Grade Group 7-8"/>
    <s v="PS43M21S"/>
    <s v="PSES Mid Prog21Duty43 S275"/>
    <n v="21"/>
    <x v="6"/>
    <n v="43"/>
    <m/>
    <s v="   "/>
    <n v="0.91500000000000004"/>
    <n v="0.26369999999999999"/>
    <n v="0.24099999999999999"/>
    <s v="Middle Occupational Therapist"/>
    <x v="6"/>
  </r>
  <r>
    <s v="18401"/>
    <x v="114"/>
    <s v="Personnel"/>
    <s v="E "/>
    <s v="Elementary Grade Group K-6"/>
    <s v="PS44ES"/>
    <s v="PSES Elem Prog01Duty44 S275"/>
    <n v="1"/>
    <x v="13"/>
    <n v="44"/>
    <m/>
    <s v="   "/>
    <n v="1"/>
    <n v="0.26369999999999999"/>
    <n v="0"/>
    <s v="Elementary Social Worker"/>
    <x v="13"/>
  </r>
  <r>
    <s v="18401"/>
    <x v="114"/>
    <s v="Personnel"/>
    <s v="E "/>
    <s v="Elementary Grade Group K-6"/>
    <s v="PS45E21S"/>
    <s v="PSES Elem Prog21Duty45 S275"/>
    <n v="21"/>
    <x v="7"/>
    <n v="45"/>
    <m/>
    <s v="   "/>
    <n v="6.5"/>
    <n v="0.26369999999999999"/>
    <n v="1.714"/>
    <s v="Elementary Speech, Language Pathway/_x000a_Audio"/>
    <x v="7"/>
  </r>
  <r>
    <s v="18401"/>
    <x v="114"/>
    <s v="Personnel"/>
    <s v="H "/>
    <s v="High Grade Group 9-12"/>
    <s v="PS45H21S"/>
    <s v="PSES High Prog21Duty45 S275"/>
    <n v="21"/>
    <x v="7"/>
    <n v="45"/>
    <m/>
    <s v="   "/>
    <n v="3.718"/>
    <n v="0.26369999999999999"/>
    <n v="0.98"/>
    <s v="High Speech, Language Pathway/_x000a_Audio"/>
    <x v="7"/>
  </r>
  <r>
    <s v="18401"/>
    <x v="114"/>
    <s v="Personnel"/>
    <s v="M "/>
    <s v="Middle Grade Group 7-8"/>
    <s v="PS45M21S"/>
    <s v="PSES Mid Prog21Duty45 S275"/>
    <n v="21"/>
    <x v="7"/>
    <n v="45"/>
    <m/>
    <s v="   "/>
    <n v="1.859"/>
    <n v="0.26369999999999999"/>
    <n v="0.49"/>
    <s v="Middle Speech, Language Pathway/_x000a_Audio"/>
    <x v="7"/>
  </r>
  <r>
    <s v="18401"/>
    <x v="114"/>
    <s v="Personnel"/>
    <s v="E "/>
    <s v="Elementary Grade Group K-6"/>
    <s v="PS46E21S"/>
    <s v="PSES Elem Prog21Duty46 S275"/>
    <n v="21"/>
    <x v="8"/>
    <n v="46"/>
    <m/>
    <s v="   "/>
    <n v="5"/>
    <n v="0.26369999999999999"/>
    <n v="1.319"/>
    <s v="Elementary Psychologist"/>
    <x v="8"/>
  </r>
  <r>
    <s v="18401"/>
    <x v="114"/>
    <s v="Personnel"/>
    <s v="H "/>
    <s v="High Grade Group 9-12"/>
    <s v="PS46H21S"/>
    <s v="PSES High Prog21Duty46 S275"/>
    <n v="21"/>
    <x v="8"/>
    <n v="46"/>
    <m/>
    <s v="   "/>
    <n v="2.86"/>
    <n v="0.26369999999999999"/>
    <n v="0.754"/>
    <s v="High Psychologist"/>
    <x v="8"/>
  </r>
  <r>
    <s v="18401"/>
    <x v="114"/>
    <s v="Personnel"/>
    <s v="M "/>
    <s v="Middle Grade Group 7-8"/>
    <s v="PS46M21S"/>
    <s v="PSES Mid Prog21Duty46 S275"/>
    <n v="21"/>
    <x v="8"/>
    <n v="46"/>
    <m/>
    <s v="   "/>
    <n v="1.43"/>
    <n v="0.26369999999999999"/>
    <n v="0.377"/>
    <s v="Middle Psychologist"/>
    <x v="8"/>
  </r>
  <r>
    <s v="18401"/>
    <x v="114"/>
    <s v="Personnel"/>
    <s v="E "/>
    <s v="Elementary Grade Group K-6"/>
    <s v="PS48E21S"/>
    <s v="PSES Elem Prog21Duty48 S275"/>
    <n v="21"/>
    <x v="11"/>
    <n v="48"/>
    <m/>
    <s v="   "/>
    <n v="0.6"/>
    <n v="0.26369999999999999"/>
    <n v="0.158"/>
    <s v="Elementary Physical Therapist"/>
    <x v="11"/>
  </r>
  <r>
    <s v="18401"/>
    <x v="114"/>
    <s v="Personnel"/>
    <s v="H "/>
    <s v="High Grade Group 9-12"/>
    <s v="PS48H21S"/>
    <s v="PSES High Prog21Duty48 S275"/>
    <n v="21"/>
    <x v="11"/>
    <n v="48"/>
    <m/>
    <s v="   "/>
    <n v="0.34300000000000003"/>
    <n v="0.26369999999999999"/>
    <n v="0.09"/>
    <s v="High Physical Therapist"/>
    <x v="11"/>
  </r>
  <r>
    <s v="18401"/>
    <x v="114"/>
    <s v="Personnel"/>
    <s v="M "/>
    <s v="Middle Grade Group 7-8"/>
    <s v="PS48M21S"/>
    <s v="PSES Mid Prog21Duty48 S275"/>
    <n v="21"/>
    <x v="11"/>
    <n v="48"/>
    <m/>
    <s v="   "/>
    <n v="0.17199999999999999"/>
    <n v="0.26369999999999999"/>
    <n v="4.4999999999999998E-2"/>
    <s v="Middle Physical Therapist"/>
    <x v="11"/>
  </r>
  <r>
    <s v="18401"/>
    <x v="114"/>
    <s v="Personnel"/>
    <s v="E "/>
    <s v="Elementary Grade Group K-6"/>
    <s v="PS64E21S"/>
    <s v="PSES Elem Prog21Duty64 S275"/>
    <n v="21"/>
    <x v="12"/>
    <n v="64"/>
    <m/>
    <s v="   "/>
    <n v="12.374000000000001"/>
    <n v="0.26369999999999999"/>
    <n v="3.2629999999999999"/>
    <s v="Elementary Contractor ESA"/>
    <x v="12"/>
  </r>
  <r>
    <s v="18401"/>
    <x v="114"/>
    <s v="Personnel"/>
    <s v="E "/>
    <s v="Elementary Grade Group K-6"/>
    <s v="PS64ES"/>
    <s v="PSES Elem Prog01Duty64 S275"/>
    <n v="1"/>
    <x v="12"/>
    <n v="64"/>
    <m/>
    <s v="   "/>
    <n v="0.90400000000000003"/>
    <n v="0.26369999999999999"/>
    <n v="0"/>
    <s v="Elementary Contractor ESA"/>
    <x v="12"/>
  </r>
  <r>
    <s v="18401"/>
    <x v="114"/>
    <s v="Personnel"/>
    <s v="H "/>
    <s v="High Grade Group 9-12"/>
    <s v="PS64H21S"/>
    <s v="PSES High Prog21Duty64 S275"/>
    <n v="21"/>
    <x v="12"/>
    <n v="64"/>
    <m/>
    <s v="   "/>
    <n v="7.0750000000000002"/>
    <n v="0.26369999999999999"/>
    <n v="1.8660000000000001"/>
    <s v="High Contractor ESA"/>
    <x v="12"/>
  </r>
  <r>
    <s v="18401"/>
    <x v="114"/>
    <s v="Personnel"/>
    <s v="H "/>
    <s v="High Grade Group 9-12"/>
    <s v="PS64HS"/>
    <s v="PSES High Prog01Duty64 S275"/>
    <n v="1"/>
    <x v="12"/>
    <n v="64"/>
    <m/>
    <s v="   "/>
    <n v="0.497"/>
    <n v="0.26369999999999999"/>
    <n v="0"/>
    <s v="High Contractor ESA"/>
    <x v="12"/>
  </r>
  <r>
    <s v="18401"/>
    <x v="114"/>
    <s v="Personnel"/>
    <s v="M "/>
    <s v="Middle Grade Group 7-8"/>
    <s v="PS64M21S"/>
    <s v="PSES Mid Prog21Duty64 S275"/>
    <n v="21"/>
    <x v="12"/>
    <n v="64"/>
    <m/>
    <s v="   "/>
    <n v="3.5390000000000001"/>
    <n v="0.26369999999999999"/>
    <n v="0.93300000000000005"/>
    <s v="Middle Contractor ESA"/>
    <x v="12"/>
  </r>
  <r>
    <s v="18401"/>
    <x v="114"/>
    <s v="Personnel"/>
    <s v="M "/>
    <s v="Middle Grade Group 7-8"/>
    <s v="PS64MS"/>
    <s v="PSES Mid Prog01Duty64 S275"/>
    <n v="1"/>
    <x v="12"/>
    <n v="64"/>
    <m/>
    <s v="   "/>
    <n v="0.249"/>
    <n v="0.26369999999999999"/>
    <n v="0"/>
    <s v="Middle Contractor ESA"/>
    <x v="12"/>
  </r>
  <r>
    <s v="18402"/>
    <x v="115"/>
    <s v="Personnel"/>
    <s v="H "/>
    <s v="High Grade Group 9-12"/>
    <s v="PS25HS"/>
    <s v="PSES High Prog01Act25 S275"/>
    <n v="1"/>
    <x v="1"/>
    <m/>
    <n v="25"/>
    <s v="   "/>
    <n v="14.869"/>
    <n v="0.28220000000000001"/>
    <n v="0"/>
    <s v="High Pupil Management"/>
    <x v="1"/>
  </r>
  <r>
    <s v="18402"/>
    <x v="115"/>
    <s v="Personnel"/>
    <s v="E "/>
    <s v="Elementary Grade Group K-6"/>
    <s v="PS26ES"/>
    <s v="PSES Elem Prog01Act26 S275"/>
    <n v="1"/>
    <x v="2"/>
    <m/>
    <n v="26"/>
    <s v="   "/>
    <n v="3.4319999999999999"/>
    <n v="0.28220000000000001"/>
    <n v="0"/>
    <s v="Elementary Health/_x000a_Related Services"/>
    <x v="2"/>
  </r>
  <r>
    <s v="18402"/>
    <x v="115"/>
    <s v="Personnel"/>
    <s v="H "/>
    <s v="High Grade Group 9-12"/>
    <s v="PS26H21S"/>
    <s v="PSES High Prog21Act26 S275"/>
    <n v="21"/>
    <x v="2"/>
    <m/>
    <n v="26"/>
    <s v="   "/>
    <n v="5.2069999999999999"/>
    <n v="0.28220000000000001"/>
    <n v="1.4690000000000001"/>
    <s v="High Health/_x000a_Related Services"/>
    <x v="2"/>
  </r>
  <r>
    <s v="18402"/>
    <x v="115"/>
    <s v="Personnel"/>
    <s v="H "/>
    <s v="High Grade Group 9-12"/>
    <s v="PS26HS"/>
    <s v="PSES High Prog01Act26 S275"/>
    <n v="1"/>
    <x v="2"/>
    <m/>
    <n v="26"/>
    <s v="   "/>
    <n v="2.8290000000000002"/>
    <n v="0.28220000000000001"/>
    <n v="0"/>
    <s v="High Health/_x000a_Related Services"/>
    <x v="2"/>
  </r>
  <r>
    <s v="18402"/>
    <x v="115"/>
    <s v="Personnel"/>
    <s v="H "/>
    <s v="High Grade Group 9-12"/>
    <s v="PS35HS"/>
    <s v="PSES High Prog01Act35 S275"/>
    <n v="1"/>
    <x v="3"/>
    <m/>
    <n v="35"/>
    <s v="   "/>
    <n v="6.0469999999999997"/>
    <n v="0.28220000000000001"/>
    <n v="0"/>
    <s v="High Pupil Safety"/>
    <x v="3"/>
  </r>
  <r>
    <s v="18402"/>
    <x v="115"/>
    <s v="Personnel"/>
    <s v="E "/>
    <s v="Elementary Grade Group K-6"/>
    <s v="PS42ES"/>
    <s v="PSES Elem Prog01Duty42 S275"/>
    <n v="1"/>
    <x v="5"/>
    <n v="42"/>
    <m/>
    <s v="   "/>
    <n v="12.706"/>
    <n v="0.28220000000000001"/>
    <n v="0"/>
    <s v="Elementary Counselor"/>
    <x v="5"/>
  </r>
  <r>
    <s v="18402"/>
    <x v="115"/>
    <s v="Personnel"/>
    <s v="H "/>
    <s v="High Grade Group 9-12"/>
    <s v="PS42HS"/>
    <s v="PSES High Prog01Duty42 S275"/>
    <n v="1"/>
    <x v="5"/>
    <n v="42"/>
    <m/>
    <s v="   "/>
    <n v="8"/>
    <n v="0.28220000000000001"/>
    <n v="0"/>
    <s v="High Counselor"/>
    <x v="5"/>
  </r>
  <r>
    <s v="18402"/>
    <x v="115"/>
    <s v="Personnel"/>
    <s v="M "/>
    <s v="Middle Grade Group 7-8"/>
    <s v="PS42MS"/>
    <s v="PSES Mid Prog01Duty42 S275"/>
    <n v="1"/>
    <x v="5"/>
    <n v="42"/>
    <m/>
    <s v="   "/>
    <n v="3.2959999999999998"/>
    <n v="0.28220000000000001"/>
    <n v="0"/>
    <s v="Middle Counselor"/>
    <x v="5"/>
  </r>
  <r>
    <s v="18402"/>
    <x v="115"/>
    <s v="Personnel"/>
    <s v="E "/>
    <s v="Elementary Grade Group K-6"/>
    <s v="PS44ES"/>
    <s v="PSES Elem Prog01Duty44 S275"/>
    <n v="1"/>
    <x v="13"/>
    <n v="44"/>
    <m/>
    <s v="   "/>
    <n v="1"/>
    <n v="0.28220000000000001"/>
    <n v="0"/>
    <s v="Elementary Social Worker"/>
    <x v="13"/>
  </r>
  <r>
    <s v="18402"/>
    <x v="115"/>
    <s v="Personnel"/>
    <s v="H "/>
    <s v="High Grade Group 9-12"/>
    <s v="PS44HS"/>
    <s v="PSES High Prog01Duty44 S275"/>
    <n v="1"/>
    <x v="13"/>
    <n v="44"/>
    <m/>
    <s v="   "/>
    <n v="1"/>
    <n v="0.28220000000000001"/>
    <n v="0"/>
    <s v="High Social Worker"/>
    <x v="13"/>
  </r>
  <r>
    <s v="18402"/>
    <x v="115"/>
    <s v="Personnel"/>
    <s v="M "/>
    <s v="Middle Grade Group 7-8"/>
    <s v="PS44MS"/>
    <s v="PSES Mid Prog01Duty44 S275"/>
    <n v="1"/>
    <x v="13"/>
    <n v="44"/>
    <m/>
    <s v="   "/>
    <n v="1"/>
    <n v="0.28220000000000001"/>
    <n v="0"/>
    <s v="Middle Social Worker"/>
    <x v="13"/>
  </r>
  <r>
    <s v="18402"/>
    <x v="115"/>
    <s v="Personnel"/>
    <s v="E "/>
    <s v="Elementary Grade Group K-6"/>
    <s v="PS47ES"/>
    <s v="PSES Elem Prog01Duty47 S275"/>
    <n v="1"/>
    <x v="9"/>
    <n v="47"/>
    <m/>
    <s v="   "/>
    <n v="5.4320000000000004"/>
    <n v="0.28220000000000001"/>
    <n v="0"/>
    <s v="Elementary Nurse"/>
    <x v="9"/>
  </r>
  <r>
    <s v="18402"/>
    <x v="115"/>
    <s v="Personnel"/>
    <s v="H "/>
    <s v="High Grade Group 9-12"/>
    <s v="PS47HS"/>
    <s v="PSES High Prog01Duty47 S275"/>
    <n v="1"/>
    <x v="9"/>
    <n v="47"/>
    <m/>
    <s v="   "/>
    <n v="1.3180000000000001"/>
    <n v="0.28220000000000001"/>
    <n v="0"/>
    <s v="High Nurse"/>
    <x v="9"/>
  </r>
  <r>
    <s v="18402"/>
    <x v="115"/>
    <s v="Personnel"/>
    <s v="M "/>
    <s v="Middle Grade Group 7-8"/>
    <s v="PS47MS"/>
    <s v="PSES Mid Prog01Duty47 S275"/>
    <n v="1"/>
    <x v="9"/>
    <n v="47"/>
    <m/>
    <s v="   "/>
    <n v="2.25"/>
    <n v="0.28220000000000001"/>
    <n v="0"/>
    <s v="Middle Nurse"/>
    <x v="9"/>
  </r>
  <r>
    <s v="18901"/>
    <x v="116"/>
    <s v="Personnel"/>
    <s v="H "/>
    <s v="High Grade Group 9-12"/>
    <s v="PS25HS"/>
    <s v="PSES High Prog01Act25 S275"/>
    <n v="1"/>
    <x v="1"/>
    <m/>
    <n v="25"/>
    <s v="   "/>
    <n v="0.748"/>
    <n v="0.1003"/>
    <n v="0"/>
    <s v="High Pupil Management"/>
    <x v="1"/>
  </r>
  <r>
    <s v="18901"/>
    <x v="116"/>
    <s v="Personnel"/>
    <s v="E "/>
    <s v="Elementary Grade Group K-6"/>
    <s v="PS46E21S"/>
    <s v="PSES Elem Prog21Duty46 S275"/>
    <n v="21"/>
    <x v="8"/>
    <n v="46"/>
    <m/>
    <s v="   "/>
    <n v="0.34699999999999998"/>
    <n v="0.1003"/>
    <n v="3.5000000000000003E-2"/>
    <s v="Elementary Psychologist"/>
    <x v="8"/>
  </r>
  <r>
    <s v="18901"/>
    <x v="116"/>
    <s v="Personnel"/>
    <s v="M "/>
    <s v="Middle Grade Group 7-8"/>
    <s v="PS46M21S"/>
    <s v="PSES Mid Prog21Duty46 S275"/>
    <n v="21"/>
    <x v="8"/>
    <n v="46"/>
    <m/>
    <s v="   "/>
    <n v="0.153"/>
    <n v="0.1003"/>
    <n v="1.4999999999999999E-2"/>
    <s v="Middle Psychologist"/>
    <x v="8"/>
  </r>
  <r>
    <s v="18901"/>
    <x v="116"/>
    <s v="Personnel"/>
    <s v="E "/>
    <s v="Elementary Grade Group K-6"/>
    <s v="PS47ES"/>
    <s v="PSES Elem Prog01Duty47 S275"/>
    <n v="1"/>
    <x v="9"/>
    <n v="47"/>
    <m/>
    <s v="   "/>
    <n v="0.45400000000000001"/>
    <n v="0.1003"/>
    <n v="0"/>
    <s v="Elementary Nurse"/>
    <x v="9"/>
  </r>
  <r>
    <s v="18901"/>
    <x v="116"/>
    <s v="Personnel"/>
    <s v="M "/>
    <s v="Middle Grade Group 7-8"/>
    <s v="PS47MS"/>
    <s v="PSES Mid Prog01Duty47 S275"/>
    <n v="1"/>
    <x v="9"/>
    <n v="47"/>
    <m/>
    <s v="   "/>
    <n v="0.14000000000000001"/>
    <n v="0.1003"/>
    <n v="0"/>
    <s v="Middle Nurse"/>
    <x v="9"/>
  </r>
  <r>
    <s v="18902"/>
    <x v="117"/>
    <s v="Personnel"/>
    <s v="H "/>
    <s v="High Grade Group 9-12"/>
    <s v="PS42HS"/>
    <s v="PSES High Prog01Duty42 S275"/>
    <n v="1"/>
    <x v="5"/>
    <n v="42"/>
    <m/>
    <s v="   "/>
    <n v="1"/>
    <n v="0.13900000000000001"/>
    <n v="0"/>
    <s v="High Counselor"/>
    <x v="5"/>
  </r>
  <r>
    <s v="19007"/>
    <x v="118"/>
    <s v="Personnel"/>
    <s v="H "/>
    <s v="High Grade Group 9-12"/>
    <s v="PS47HS"/>
    <s v="PSES High Prog01Duty47 S275"/>
    <n v="1"/>
    <x v="9"/>
    <n v="47"/>
    <m/>
    <s v="   "/>
    <n v="6.9000000000000006E-2"/>
    <n v="0.08"/>
    <n v="0"/>
    <s v="High Nurse"/>
    <x v="9"/>
  </r>
  <r>
    <s v="19028"/>
    <x v="119"/>
    <s v="Personnel"/>
    <s v="H "/>
    <s v="High Grade Group 9-12"/>
    <s v="PS26HS"/>
    <s v="PSES High Prog01Act26 S275"/>
    <n v="1"/>
    <x v="2"/>
    <m/>
    <n v="26"/>
    <s v="   "/>
    <n v="1.7000000000000001E-2"/>
    <n v="0.16139999999999999"/>
    <n v="0"/>
    <s v="High Health/_x000a_Related Services"/>
    <x v="2"/>
  </r>
  <r>
    <s v="19028"/>
    <x v="119"/>
    <s v="Personnel"/>
    <s v="E "/>
    <s v="Elementary Grade Group K-6"/>
    <s v="PS42ES"/>
    <s v="PSES Elem Prog01Duty42 S275"/>
    <n v="1"/>
    <x v="5"/>
    <n v="42"/>
    <m/>
    <s v="   "/>
    <n v="0.46"/>
    <n v="0.16139999999999999"/>
    <n v="0"/>
    <s v="Elementary Counselor"/>
    <x v="5"/>
  </r>
  <r>
    <s v="19028"/>
    <x v="119"/>
    <s v="Personnel"/>
    <s v="H "/>
    <s v="High Grade Group 9-12"/>
    <s v="PS42HS"/>
    <s v="PSES High Prog01Duty42 S275"/>
    <n v="1"/>
    <x v="5"/>
    <n v="42"/>
    <m/>
    <s v="   "/>
    <n v="0.33"/>
    <n v="0.16139999999999999"/>
    <n v="0"/>
    <s v="High Counselor"/>
    <x v="5"/>
  </r>
  <r>
    <s v="19400"/>
    <x v="120"/>
    <s v="Personnel"/>
    <s v="H "/>
    <s v="High Grade Group 9-12"/>
    <s v="PS26HS"/>
    <s v="PSES High Prog01Act26 S275"/>
    <n v="1"/>
    <x v="2"/>
    <m/>
    <n v="26"/>
    <s v="   "/>
    <n v="0.109"/>
    <n v="9.8900000000000002E-2"/>
    <n v="0"/>
    <s v="High Health/_x000a_Related Services"/>
    <x v="2"/>
  </r>
  <r>
    <s v="19401"/>
    <x v="121"/>
    <s v="Personnel"/>
    <s v="H "/>
    <s v="High Grade Group 9-12"/>
    <s v="PS25HS"/>
    <s v="PSES High Prog01Act25 S275"/>
    <n v="1"/>
    <x v="1"/>
    <m/>
    <n v="25"/>
    <s v="   "/>
    <n v="5.5490000000000004"/>
    <n v="0.22750000000000001"/>
    <n v="0"/>
    <s v="High Pupil Management"/>
    <x v="1"/>
  </r>
  <r>
    <s v="19401"/>
    <x v="121"/>
    <s v="Personnel"/>
    <s v="E "/>
    <s v="Elementary Grade Group K-6"/>
    <s v="PS26ES"/>
    <s v="PSES Elem Prog01Act26 S275"/>
    <n v="1"/>
    <x v="2"/>
    <m/>
    <n v="26"/>
    <s v="   "/>
    <n v="0.59399999999999997"/>
    <n v="0.22750000000000001"/>
    <n v="0"/>
    <s v="Elementary Health/_x000a_Related Services"/>
    <x v="2"/>
  </r>
  <r>
    <s v="19401"/>
    <x v="121"/>
    <s v="Personnel"/>
    <s v="H "/>
    <s v="High Grade Group 9-12"/>
    <s v="PS26HS"/>
    <s v="PSES High Prog01Act26 S275"/>
    <n v="1"/>
    <x v="2"/>
    <m/>
    <n v="26"/>
    <s v="   "/>
    <n v="3.79"/>
    <n v="0.22750000000000001"/>
    <n v="0"/>
    <s v="High Health/_x000a_Related Services"/>
    <x v="2"/>
  </r>
  <r>
    <s v="19401"/>
    <x v="121"/>
    <s v="Personnel"/>
    <s v="E "/>
    <s v="Elementary Grade Group K-6"/>
    <s v="PS42ES"/>
    <s v="PSES Elem Prog01Duty42 S275"/>
    <n v="1"/>
    <x v="5"/>
    <n v="42"/>
    <m/>
    <s v="   "/>
    <n v="4"/>
    <n v="0.22750000000000001"/>
    <n v="0"/>
    <s v="Elementary Counselor"/>
    <x v="5"/>
  </r>
  <r>
    <s v="19401"/>
    <x v="121"/>
    <s v="Personnel"/>
    <s v="H "/>
    <s v="High Grade Group 9-12"/>
    <s v="PS42HS"/>
    <s v="PSES High Prog01Duty42 S275"/>
    <n v="1"/>
    <x v="5"/>
    <n v="42"/>
    <m/>
    <s v="   "/>
    <n v="2"/>
    <n v="0.22750000000000001"/>
    <n v="0"/>
    <s v="High Counselor"/>
    <x v="5"/>
  </r>
  <r>
    <s v="19401"/>
    <x v="121"/>
    <s v="Personnel"/>
    <s v="M "/>
    <s v="Middle Grade Group 7-8"/>
    <s v="PS42MS"/>
    <s v="PSES Mid Prog01Duty42 S275"/>
    <n v="1"/>
    <x v="5"/>
    <n v="42"/>
    <m/>
    <s v="   "/>
    <n v="2"/>
    <n v="0.22750000000000001"/>
    <n v="0"/>
    <s v="Middle Counselor"/>
    <x v="5"/>
  </r>
  <r>
    <s v="19401"/>
    <x v="121"/>
    <s v="Personnel"/>
    <s v="E "/>
    <s v="Elementary Grade Group K-6"/>
    <s v="PS45E21S"/>
    <s v="PSES Elem Prog21Duty45 S275"/>
    <n v="21"/>
    <x v="7"/>
    <n v="45"/>
    <m/>
    <s v="   "/>
    <n v="0.5"/>
    <n v="0.22750000000000001"/>
    <n v="0.114"/>
    <s v="Elementary Speech, Language Pathway/_x000a_Audio"/>
    <x v="7"/>
  </r>
  <r>
    <s v="19401"/>
    <x v="121"/>
    <s v="Personnel"/>
    <s v="M "/>
    <s v="Middle Grade Group 7-8"/>
    <s v="PS45M21S"/>
    <s v="PSES Mid Prog21Duty45 S275"/>
    <n v="21"/>
    <x v="7"/>
    <n v="45"/>
    <m/>
    <s v="   "/>
    <n v="0.5"/>
    <n v="0.22750000000000001"/>
    <n v="0.114"/>
    <s v="Middle Speech, Language Pathway/_x000a_Audio"/>
    <x v="7"/>
  </r>
  <r>
    <s v="19401"/>
    <x v="121"/>
    <s v="Personnel"/>
    <s v="E "/>
    <s v="Elementary Grade Group K-6"/>
    <s v="PS46E21S"/>
    <s v="PSES Elem Prog21Duty46 S275"/>
    <n v="21"/>
    <x v="8"/>
    <n v="46"/>
    <m/>
    <s v="   "/>
    <n v="2.5710000000000002"/>
    <n v="0.22750000000000001"/>
    <n v="0.58499999999999996"/>
    <s v="Elementary Psychologist"/>
    <x v="8"/>
  </r>
  <r>
    <s v="19401"/>
    <x v="121"/>
    <s v="Personnel"/>
    <s v="H "/>
    <s v="High Grade Group 9-12"/>
    <s v="PS46H21S"/>
    <s v="PSES High Prog21Duty46 S275"/>
    <n v="21"/>
    <x v="8"/>
    <n v="46"/>
    <m/>
    <s v="   "/>
    <n v="1.127"/>
    <n v="0.22750000000000001"/>
    <n v="0.25600000000000001"/>
    <s v="High Psychologist"/>
    <x v="8"/>
  </r>
  <r>
    <s v="19401"/>
    <x v="121"/>
    <s v="Personnel"/>
    <s v="M "/>
    <s v="Middle Grade Group 7-8"/>
    <s v="PS46M21S"/>
    <s v="PSES Mid Prog21Duty46 S275"/>
    <n v="21"/>
    <x v="8"/>
    <n v="46"/>
    <m/>
    <s v="   "/>
    <n v="1.151"/>
    <n v="0.22750000000000001"/>
    <n v="0.26200000000000001"/>
    <s v="Middle Psychologist"/>
    <x v="8"/>
  </r>
  <r>
    <s v="19401"/>
    <x v="121"/>
    <s v="Personnel"/>
    <s v="E "/>
    <s v="Elementary Grade Group K-6"/>
    <s v="PS64E21S"/>
    <s v="PSES Elem Prog21Duty64 S275"/>
    <n v="21"/>
    <x v="12"/>
    <n v="64"/>
    <m/>
    <s v="   "/>
    <n v="3.7130000000000001"/>
    <n v="0.22750000000000001"/>
    <n v="0.84499999999999997"/>
    <s v="Elementary Contractor ESA"/>
    <x v="12"/>
  </r>
  <r>
    <s v="19403"/>
    <x v="122"/>
    <s v="Personnel"/>
    <s v="E "/>
    <s v="Elementary Grade Group K-6"/>
    <s v="PS25E21S"/>
    <s v="PSES Elem Prog21Act25 S275"/>
    <n v="21"/>
    <x v="1"/>
    <m/>
    <n v="25"/>
    <s v="   "/>
    <n v="0.24199999999999999"/>
    <n v="0.21870000000000001"/>
    <n v="5.2999999999999999E-2"/>
    <s v="Elementary Pupil Management"/>
    <x v="1"/>
  </r>
  <r>
    <s v="19403"/>
    <x v="122"/>
    <s v="Personnel"/>
    <s v="E "/>
    <s v="Elementary Grade Group K-6"/>
    <s v="PS25ES"/>
    <s v="PSES Elem Prog01Act25 S275"/>
    <n v="1"/>
    <x v="1"/>
    <m/>
    <n v="25"/>
    <s v="   "/>
    <n v="0.12"/>
    <n v="0.21870000000000001"/>
    <n v="0"/>
    <s v="Elementary Pupil Management"/>
    <x v="1"/>
  </r>
  <r>
    <s v="19403"/>
    <x v="122"/>
    <s v="Personnel"/>
    <s v="H "/>
    <s v="High Grade Group 9-12"/>
    <s v="PS25H21S"/>
    <s v="PSES High Prog21Act25 S275"/>
    <n v="21"/>
    <x v="1"/>
    <m/>
    <n v="25"/>
    <s v="   "/>
    <n v="0.151"/>
    <n v="0.21870000000000001"/>
    <n v="3.3000000000000002E-2"/>
    <s v="High Pupil Management"/>
    <x v="1"/>
  </r>
  <r>
    <s v="19403"/>
    <x v="122"/>
    <s v="Personnel"/>
    <s v="H "/>
    <s v="High Grade Group 9-12"/>
    <s v="PS25HS"/>
    <s v="PSES High Prog01Act25 S275"/>
    <n v="1"/>
    <x v="1"/>
    <m/>
    <n v="25"/>
    <s v="   "/>
    <n v="0.58399999999999996"/>
    <n v="0.21870000000000001"/>
    <n v="0"/>
    <s v="High Pupil Management"/>
    <x v="1"/>
  </r>
  <r>
    <s v="19403"/>
    <x v="122"/>
    <s v="Personnel"/>
    <s v="H "/>
    <s v="High Grade Group 9-12"/>
    <s v="PS26H21S"/>
    <s v="PSES High Prog21Act26 S275"/>
    <n v="21"/>
    <x v="2"/>
    <m/>
    <n v="26"/>
    <s v="   "/>
    <n v="0.50900000000000001"/>
    <n v="0.21870000000000001"/>
    <n v="0.111"/>
    <s v="High Health/_x000a_Related Services"/>
    <x v="2"/>
  </r>
  <r>
    <s v="19403"/>
    <x v="122"/>
    <s v="Personnel"/>
    <s v="E "/>
    <s v="Elementary Grade Group K-6"/>
    <s v="PS42ES"/>
    <s v="PSES Elem Prog01Duty42 S275"/>
    <n v="1"/>
    <x v="5"/>
    <n v="42"/>
    <m/>
    <s v="   "/>
    <n v="0.57999999999999996"/>
    <n v="0.21870000000000001"/>
    <n v="0"/>
    <s v="Elementary Counselor"/>
    <x v="5"/>
  </r>
  <r>
    <s v="19403"/>
    <x v="122"/>
    <s v="Personnel"/>
    <s v="H "/>
    <s v="High Grade Group 9-12"/>
    <s v="PS42HS"/>
    <s v="PSES High Prog01Duty42 S275"/>
    <n v="1"/>
    <x v="5"/>
    <n v="42"/>
    <m/>
    <s v="   "/>
    <n v="1"/>
    <n v="0.21870000000000001"/>
    <n v="0"/>
    <s v="High Counselor"/>
    <x v="5"/>
  </r>
  <r>
    <s v="19403"/>
    <x v="122"/>
    <s v="Personnel"/>
    <s v="T"/>
    <s v="Elementary Grade Group K-6"/>
    <s v="PS42E09S"/>
    <s v="PSES Elem Prog09Duty42 S275"/>
    <n v="9"/>
    <x v="5"/>
    <n v="42"/>
    <n v="24"/>
    <m/>
    <n v="7.0000000000000007E-2"/>
    <n v="0.21870000000000001"/>
    <n v="0"/>
    <s v="TK Counselor"/>
    <x v="5"/>
  </r>
  <r>
    <s v="19403"/>
    <x v="122"/>
    <s v="Personnel"/>
    <s v="T"/>
    <s v="Elementary Grade Group K-6"/>
    <s v="PS25E09S"/>
    <s v="PSES Elem Prog09Duty25 S275"/>
    <n v="9"/>
    <x v="1"/>
    <n v="91"/>
    <n v="25"/>
    <m/>
    <n v="0.151"/>
    <n v="0.21870000000000001"/>
    <n v="0"/>
    <s v="TK Pupil Management"/>
    <x v="1"/>
  </r>
  <r>
    <s v="19404"/>
    <x v="123"/>
    <s v="Personnel"/>
    <s v="E "/>
    <s v="Elementary Grade Group K-6"/>
    <s v="PS26E21S"/>
    <s v="PSES Elem Prog21Act26 S275"/>
    <n v="21"/>
    <x v="2"/>
    <m/>
    <n v="26"/>
    <s v="   "/>
    <n v="1.3"/>
    <n v="0.17499999999999999"/>
    <n v="0.22800000000000001"/>
    <s v="Elementary Health/_x000a_Related Services"/>
    <x v="2"/>
  </r>
  <r>
    <s v="19404"/>
    <x v="123"/>
    <s v="Personnel"/>
    <s v="E "/>
    <s v="Elementary Grade Group K-6"/>
    <s v="PS42ES"/>
    <s v="PSES Elem Prog01Duty42 S275"/>
    <n v="1"/>
    <x v="5"/>
    <n v="42"/>
    <m/>
    <s v="   "/>
    <n v="1"/>
    <n v="0.17499999999999999"/>
    <n v="0"/>
    <s v="Elementary Counselor"/>
    <x v="5"/>
  </r>
  <r>
    <s v="19404"/>
    <x v="123"/>
    <s v="Personnel"/>
    <s v="M "/>
    <s v="Middle Grade Group 7-8"/>
    <s v="PS42MS"/>
    <s v="PSES Mid Prog01Duty42 S275"/>
    <n v="1"/>
    <x v="5"/>
    <n v="42"/>
    <m/>
    <s v="   "/>
    <n v="1"/>
    <n v="0.17499999999999999"/>
    <n v="0"/>
    <s v="Middle Counselor"/>
    <x v="5"/>
  </r>
  <r>
    <s v="19404"/>
    <x v="123"/>
    <s v="Personnel"/>
    <s v="H "/>
    <s v="High Grade Group 9-12"/>
    <s v="PS44HS"/>
    <s v="PSES High Prog01Duty44 S275"/>
    <n v="1"/>
    <x v="13"/>
    <n v="44"/>
    <m/>
    <s v="   "/>
    <n v="0.95"/>
    <n v="0.17499999999999999"/>
    <n v="0"/>
    <s v="High Social Worker"/>
    <x v="13"/>
  </r>
  <r>
    <s v="19404"/>
    <x v="123"/>
    <s v="Personnel"/>
    <s v="E "/>
    <s v="Elementary Grade Group K-6"/>
    <s v="PS46E21S"/>
    <s v="PSES Elem Prog21Duty46 S275"/>
    <n v="21"/>
    <x v="8"/>
    <n v="46"/>
    <m/>
    <s v="   "/>
    <n v="0.46500000000000002"/>
    <n v="0.17499999999999999"/>
    <n v="8.1000000000000003E-2"/>
    <s v="Elementary Psychologist"/>
    <x v="8"/>
  </r>
  <r>
    <s v="19404"/>
    <x v="123"/>
    <s v="Personnel"/>
    <s v="E "/>
    <s v="Elementary Grade Group K-6"/>
    <s v="PS46ES"/>
    <s v="PSES Elem Prog01Duty46 S275"/>
    <n v="1"/>
    <x v="8"/>
    <n v="46"/>
    <m/>
    <s v="   "/>
    <n v="0.104"/>
    <n v="0.17499999999999999"/>
    <n v="0"/>
    <s v="Elementary Psychologist"/>
    <x v="8"/>
  </r>
  <r>
    <s v="19404"/>
    <x v="123"/>
    <s v="Personnel"/>
    <s v="H "/>
    <s v="High Grade Group 9-12"/>
    <s v="PS46H21S"/>
    <s v="PSES High Prog21Duty46 S275"/>
    <n v="21"/>
    <x v="8"/>
    <n v="46"/>
    <m/>
    <s v="   "/>
    <n v="0.151"/>
    <n v="0.17499999999999999"/>
    <n v="2.5999999999999999E-2"/>
    <s v="High Psychologist"/>
    <x v="8"/>
  </r>
  <r>
    <s v="19404"/>
    <x v="123"/>
    <s v="Personnel"/>
    <s v="H "/>
    <s v="High Grade Group 9-12"/>
    <s v="PS46HS"/>
    <s v="PSES High Prog01Duty46 S275"/>
    <n v="1"/>
    <x v="8"/>
    <n v="46"/>
    <m/>
    <s v="   "/>
    <n v="5.1999999999999998E-2"/>
    <n v="0.17499999999999999"/>
    <n v="0"/>
    <s v="High Psychologist"/>
    <x v="8"/>
  </r>
  <r>
    <s v="19404"/>
    <x v="123"/>
    <s v="Personnel"/>
    <s v="M "/>
    <s v="Middle Grade Group 7-8"/>
    <s v="PS46MS"/>
    <s v="PSES Mid Prog01Duty46 S275"/>
    <n v="1"/>
    <x v="8"/>
    <n v="46"/>
    <m/>
    <s v="   "/>
    <n v="5.1999999999999998E-2"/>
    <n v="0.17499999999999999"/>
    <n v="0"/>
    <s v="Middle Psychologist"/>
    <x v="8"/>
  </r>
  <r>
    <s v="20094"/>
    <x v="124"/>
    <s v="Personnel"/>
    <s v="E "/>
    <s v="Elementary Grade Group K-6"/>
    <s v="PS25ES"/>
    <s v="PSES Elem Prog01Act25 S275"/>
    <n v="1"/>
    <x v="1"/>
    <m/>
    <n v="25"/>
    <s v="   "/>
    <n v="1.7969999999999999"/>
    <n v="0.1913"/>
    <n v="0"/>
    <s v="Elementary Pupil Management"/>
    <x v="1"/>
  </r>
  <r>
    <s v="20094"/>
    <x v="124"/>
    <s v="Personnel"/>
    <s v="E "/>
    <s v="Elementary Grade Group K-6"/>
    <s v="PS42ES"/>
    <s v="PSES Elem Prog01Duty42 S275"/>
    <n v="1"/>
    <x v="5"/>
    <n v="42"/>
    <m/>
    <s v="   "/>
    <n v="0.312"/>
    <n v="0.1913"/>
    <n v="0"/>
    <s v="Elementary Counselor"/>
    <x v="5"/>
  </r>
  <r>
    <s v="20094"/>
    <x v="124"/>
    <s v="Personnel"/>
    <s v="H "/>
    <s v="High Grade Group 9-12"/>
    <s v="PS42HS"/>
    <s v="PSES High Prog01Duty42 S275"/>
    <n v="1"/>
    <x v="5"/>
    <n v="42"/>
    <m/>
    <s v="   "/>
    <n v="0.156"/>
    <n v="0.1913"/>
    <n v="0"/>
    <s v="High Counselor"/>
    <x v="5"/>
  </r>
  <r>
    <s v="20094"/>
    <x v="124"/>
    <s v="Personnel"/>
    <s v="M "/>
    <s v="Middle Grade Group 7-8"/>
    <s v="PS42MS"/>
    <s v="PSES Mid Prog01Duty42 S275"/>
    <n v="1"/>
    <x v="5"/>
    <n v="42"/>
    <m/>
    <s v="   "/>
    <n v="0.156"/>
    <n v="0.1913"/>
    <n v="0"/>
    <s v="Middle Counselor"/>
    <x v="5"/>
  </r>
  <r>
    <s v="20215"/>
    <x v="125"/>
    <s v="Personnel"/>
    <s v="H "/>
    <s v="High Grade Group 9-12"/>
    <s v="PS26HS"/>
    <s v="PSES High Prog01Act26 S275"/>
    <n v="1"/>
    <x v="2"/>
    <m/>
    <n v="26"/>
    <s v="   "/>
    <n v="0.56000000000000005"/>
    <n v="0.1913"/>
    <n v="0"/>
    <s v="High Health/_x000a_Related Services"/>
    <x v="2"/>
  </r>
  <r>
    <s v="20400"/>
    <x v="126"/>
    <s v="Personnel"/>
    <s v="E "/>
    <s v="Elementary Grade Group K-6"/>
    <s v="PS25ES"/>
    <s v="PSES Elem Prog01Act25 S275"/>
    <n v="1"/>
    <x v="1"/>
    <m/>
    <n v="25"/>
    <s v="   "/>
    <n v="0.26500000000000001"/>
    <n v="0.1913"/>
    <n v="0"/>
    <s v="Elementary Pupil Management"/>
    <x v="1"/>
  </r>
  <r>
    <s v="20400"/>
    <x v="126"/>
    <s v="Personnel"/>
    <s v="H "/>
    <s v="High Grade Group 9-12"/>
    <s v="PS42HS"/>
    <s v="PSES High Prog01Duty42 S275"/>
    <n v="1"/>
    <x v="5"/>
    <n v="42"/>
    <m/>
    <s v="   "/>
    <n v="0.5"/>
    <n v="0.1913"/>
    <n v="0"/>
    <s v="High Counselor"/>
    <x v="5"/>
  </r>
  <r>
    <s v="20401"/>
    <x v="127"/>
    <s v="Personnel"/>
    <s v="E "/>
    <s v="Elementary Grade Group K-6"/>
    <s v="PS42ES"/>
    <s v="PSES Elem Prog01Duty42 S275"/>
    <n v="1"/>
    <x v="5"/>
    <n v="42"/>
    <m/>
    <s v="   "/>
    <n v="0.46899999999999997"/>
    <n v="0.1913"/>
    <n v="0"/>
    <s v="Elementary Counselor"/>
    <x v="5"/>
  </r>
  <r>
    <s v="20401"/>
    <x v="127"/>
    <s v="Personnel"/>
    <s v="H "/>
    <s v="High Grade Group 9-12"/>
    <s v="PS42HS"/>
    <s v="PSES High Prog01Duty42 S275"/>
    <n v="1"/>
    <x v="5"/>
    <n v="42"/>
    <m/>
    <s v="   "/>
    <n v="0.14000000000000001"/>
    <n v="0.1913"/>
    <n v="0"/>
    <s v="High Counselor"/>
    <x v="5"/>
  </r>
  <r>
    <s v="20401"/>
    <x v="127"/>
    <s v="Personnel"/>
    <s v="M "/>
    <s v="Middle Grade Group 7-8"/>
    <s v="PS42MS"/>
    <s v="PSES Mid Prog01Duty42 S275"/>
    <n v="1"/>
    <x v="5"/>
    <n v="42"/>
    <m/>
    <s v="   "/>
    <n v="0.11"/>
    <n v="0.1913"/>
    <n v="0"/>
    <s v="Middle Counselor"/>
    <x v="5"/>
  </r>
  <r>
    <s v="20402"/>
    <x v="128"/>
    <s v="Personnel"/>
    <s v="E "/>
    <s v="Elementary Grade Group K-6"/>
    <s v="PS25ES"/>
    <s v="PSES Elem Prog01Act25 S275"/>
    <n v="1"/>
    <x v="1"/>
    <m/>
    <n v="25"/>
    <s v="   "/>
    <n v="0.183"/>
    <n v="0.1913"/>
    <n v="0"/>
    <s v="Elementary Pupil Management"/>
    <x v="1"/>
  </r>
  <r>
    <s v="20402"/>
    <x v="128"/>
    <s v="Personnel"/>
    <s v="E "/>
    <s v="Elementary Grade Group K-6"/>
    <s v="PS42ES"/>
    <s v="PSES Elem Prog01Duty42 S275"/>
    <n v="1"/>
    <x v="5"/>
    <n v="42"/>
    <m/>
    <s v="   "/>
    <n v="0.25700000000000001"/>
    <n v="0.1913"/>
    <n v="0"/>
    <s v="Elementary Counselor"/>
    <x v="5"/>
  </r>
  <r>
    <s v="20402"/>
    <x v="128"/>
    <s v="Personnel"/>
    <s v="H "/>
    <s v="High Grade Group 9-12"/>
    <s v="PS42HS"/>
    <s v="PSES High Prog01Duty42 S275"/>
    <n v="1"/>
    <x v="5"/>
    <n v="42"/>
    <m/>
    <s v="   "/>
    <n v="0.14899999999999999"/>
    <n v="0.1913"/>
    <n v="0"/>
    <s v="High Counselor"/>
    <x v="5"/>
  </r>
  <r>
    <s v="20402"/>
    <x v="128"/>
    <s v="Personnel"/>
    <s v="M "/>
    <s v="Middle Grade Group 7-8"/>
    <s v="PS42MS"/>
    <s v="PSES Mid Prog01Duty42 S275"/>
    <n v="1"/>
    <x v="5"/>
    <n v="42"/>
    <m/>
    <s v="   "/>
    <n v="9.5000000000000001E-2"/>
    <n v="0.1913"/>
    <n v="0"/>
    <s v="Middle Counselor"/>
    <x v="5"/>
  </r>
  <r>
    <s v="20403"/>
    <x v="129"/>
    <s v="Personnel"/>
    <s v="H "/>
    <s v="High Grade Group 9-12"/>
    <s v="PS26HS"/>
    <s v="PSES High Prog01Act26 S275"/>
    <n v="1"/>
    <x v="2"/>
    <m/>
    <n v="26"/>
    <s v="   "/>
    <n v="7.3999999999999996E-2"/>
    <n v="0.1913"/>
    <n v="0"/>
    <s v="High Health/_x000a_Related Services"/>
    <x v="2"/>
  </r>
  <r>
    <s v="20404"/>
    <x v="130"/>
    <s v="Personnel"/>
    <s v="E "/>
    <s v="Elementary Grade Group K-6"/>
    <s v="PS26ES"/>
    <s v="PSES Elem Prog01Act26 S275"/>
    <n v="1"/>
    <x v="2"/>
    <m/>
    <n v="26"/>
    <s v="   "/>
    <n v="0.64300000000000002"/>
    <n v="0.1913"/>
    <n v="0"/>
    <s v="Elementary Health/_x000a_Related Services"/>
    <x v="2"/>
  </r>
  <r>
    <s v="20404"/>
    <x v="130"/>
    <s v="Personnel"/>
    <s v="E "/>
    <s v="Elementary Grade Group K-6"/>
    <s v="PS42ES"/>
    <s v="PSES Elem Prog01Duty42 S275"/>
    <n v="1"/>
    <x v="5"/>
    <n v="42"/>
    <m/>
    <s v="   "/>
    <n v="0.75"/>
    <n v="0.1913"/>
    <n v="0"/>
    <s v="Elementary Counselor"/>
    <x v="5"/>
  </r>
  <r>
    <s v="20404"/>
    <x v="130"/>
    <s v="Personnel"/>
    <s v="H "/>
    <s v="High Grade Group 9-12"/>
    <s v="PS42HS"/>
    <s v="PSES High Prog01Duty42 S275"/>
    <n v="1"/>
    <x v="5"/>
    <n v="42"/>
    <m/>
    <s v="   "/>
    <n v="0.55000000000000004"/>
    <n v="0.1913"/>
    <n v="0"/>
    <s v="High Counselor"/>
    <x v="5"/>
  </r>
  <r>
    <s v="20404"/>
    <x v="130"/>
    <s v="Personnel"/>
    <s v="M "/>
    <s v="Middle Grade Group 7-8"/>
    <s v="PS42MS"/>
    <s v="PSES Mid Prog01Duty42 S275"/>
    <n v="1"/>
    <x v="5"/>
    <n v="42"/>
    <m/>
    <s v="   "/>
    <n v="1"/>
    <n v="0.1913"/>
    <n v="0"/>
    <s v="Middle Counselor"/>
    <x v="5"/>
  </r>
  <r>
    <s v="20404"/>
    <x v="130"/>
    <s v="Personnel"/>
    <s v="M "/>
    <s v="Middle Grade Group 7-8"/>
    <s v="PS47MS"/>
    <s v="PSES Mid Prog01Duty47 S275"/>
    <n v="1"/>
    <x v="9"/>
    <n v="47"/>
    <m/>
    <s v="   "/>
    <n v="0.65"/>
    <n v="0.1913"/>
    <n v="0"/>
    <s v="Middle Nurse"/>
    <x v="9"/>
  </r>
  <r>
    <s v="20405"/>
    <x v="131"/>
    <s v="Personnel"/>
    <s v="E "/>
    <s v="Elementary Grade Group K-6"/>
    <s v="PS24ES"/>
    <s v="PSES Elem Prog01Duty96 S275"/>
    <n v="1"/>
    <x v="0"/>
    <n v="96"/>
    <n v="24"/>
    <s v="   "/>
    <n v="0.79800000000000004"/>
    <n v="0.1913"/>
    <n v="0"/>
    <s v="Elementary Family Engagement Coordinator"/>
    <x v="0"/>
  </r>
  <r>
    <s v="20405"/>
    <x v="131"/>
    <s v="Personnel"/>
    <s v="M "/>
    <s v="Middle Grade Group 7-8"/>
    <s v="PS24MS"/>
    <s v="PSES Mid Prog01Duty96 S275"/>
    <n v="1"/>
    <x v="0"/>
    <n v="96"/>
    <n v="24"/>
    <s v="   "/>
    <n v="0.29599999999999999"/>
    <n v="0.1913"/>
    <n v="0"/>
    <s v="Middle Family Engagement Coordinator"/>
    <x v="0"/>
  </r>
  <r>
    <s v="20405"/>
    <x v="131"/>
    <s v="Personnel"/>
    <s v="E "/>
    <s v="Elementary Grade Group K-6"/>
    <s v="PS25ES"/>
    <s v="PSES Elem Prog01Act25 S275"/>
    <n v="1"/>
    <x v="1"/>
    <m/>
    <n v="25"/>
    <s v="   "/>
    <n v="0.98199999999999998"/>
    <n v="0.1913"/>
    <n v="0"/>
    <s v="Elementary Pupil Management"/>
    <x v="1"/>
  </r>
  <r>
    <s v="20405"/>
    <x v="131"/>
    <s v="Personnel"/>
    <s v="M "/>
    <s v="Middle Grade Group 7-8"/>
    <s v="PS25MS"/>
    <s v="PSES Mid Prog01Act25 S275"/>
    <n v="1"/>
    <x v="1"/>
    <m/>
    <n v="25"/>
    <s v="   "/>
    <n v="4.8000000000000001E-2"/>
    <n v="0.1913"/>
    <n v="0"/>
    <s v="Middle Pupil Management"/>
    <x v="1"/>
  </r>
  <r>
    <s v="20405"/>
    <x v="131"/>
    <s v="Personnel"/>
    <s v="H "/>
    <s v="High Grade Group 9-12"/>
    <s v="PS42HS"/>
    <s v="PSES High Prog01Duty42 S275"/>
    <n v="1"/>
    <x v="5"/>
    <n v="42"/>
    <m/>
    <s v="   "/>
    <n v="1"/>
    <n v="0.1913"/>
    <n v="0"/>
    <s v="High Counselor"/>
    <x v="5"/>
  </r>
  <r>
    <s v="21014"/>
    <x v="132"/>
    <s v="Personnel"/>
    <s v="E "/>
    <s v="Elementary Grade Group K-6"/>
    <s v="PS25E21S"/>
    <s v="PSES Elem Prog21Act25 S275"/>
    <n v="21"/>
    <x v="1"/>
    <m/>
    <n v="25"/>
    <s v="   "/>
    <n v="0.36299999999999999"/>
    <n v="0.18229999999999999"/>
    <n v="6.6000000000000003E-2"/>
    <s v="Elementary Pupil Management"/>
    <x v="1"/>
  </r>
  <r>
    <s v="21014"/>
    <x v="132"/>
    <s v="Personnel"/>
    <s v="E "/>
    <s v="Elementary Grade Group K-6"/>
    <s v="PS25ES"/>
    <s v="PSES Elem Prog01Act25 S275"/>
    <n v="1"/>
    <x v="1"/>
    <m/>
    <n v="25"/>
    <s v="   "/>
    <n v="0.86799999999999999"/>
    <n v="0.18229999999999999"/>
    <n v="0"/>
    <s v="Elementary Pupil Management"/>
    <x v="1"/>
  </r>
  <r>
    <s v="21014"/>
    <x v="132"/>
    <s v="Personnel"/>
    <s v="H "/>
    <s v="High Grade Group 9-12"/>
    <s v="PS25H21S"/>
    <s v="PSES High Prog21Act25 S275"/>
    <n v="21"/>
    <x v="1"/>
    <m/>
    <n v="25"/>
    <s v="   "/>
    <n v="0.26500000000000001"/>
    <n v="0.18229999999999999"/>
    <n v="4.8000000000000001E-2"/>
    <s v="High Pupil Management"/>
    <x v="1"/>
  </r>
  <r>
    <s v="21014"/>
    <x v="132"/>
    <s v="Personnel"/>
    <s v="H "/>
    <s v="High Grade Group 9-12"/>
    <s v="PS25HS"/>
    <s v="PSES High Prog01Act25 S275"/>
    <n v="1"/>
    <x v="1"/>
    <m/>
    <n v="25"/>
    <s v="   "/>
    <n v="0.17100000000000001"/>
    <n v="0.18229999999999999"/>
    <n v="0"/>
    <s v="High Pupil Management"/>
    <x v="1"/>
  </r>
  <r>
    <s v="21014"/>
    <x v="132"/>
    <s v="Personnel"/>
    <s v="E "/>
    <s v="Elementary Grade Group K-6"/>
    <s v="PS26E21S"/>
    <s v="PSES Elem Prog21Act26 S275"/>
    <n v="21"/>
    <x v="2"/>
    <m/>
    <n v="26"/>
    <s v="   "/>
    <n v="0.51200000000000001"/>
    <n v="0.18229999999999999"/>
    <n v="9.2999999999999999E-2"/>
    <s v="Elementary Health/_x000a_Related Services"/>
    <x v="2"/>
  </r>
  <r>
    <s v="21014"/>
    <x v="132"/>
    <s v="Personnel"/>
    <s v="E "/>
    <s v="Elementary Grade Group K-6"/>
    <s v="PS26ES"/>
    <s v="PSES Elem Prog01Act26 S275"/>
    <n v="1"/>
    <x v="2"/>
    <m/>
    <n v="26"/>
    <s v="   "/>
    <n v="0.38500000000000001"/>
    <n v="0.18229999999999999"/>
    <n v="0"/>
    <s v="Elementary Health/_x000a_Related Services"/>
    <x v="2"/>
  </r>
  <r>
    <s v="21014"/>
    <x v="132"/>
    <s v="Personnel"/>
    <s v="H "/>
    <s v="High Grade Group 9-12"/>
    <s v="PS26H21S"/>
    <s v="PSES High Prog21Act26 S275"/>
    <n v="21"/>
    <x v="2"/>
    <m/>
    <n v="26"/>
    <s v="   "/>
    <n v="0.123"/>
    <n v="0.18229999999999999"/>
    <n v="2.1999999999999999E-2"/>
    <s v="High Health/_x000a_Related Services"/>
    <x v="2"/>
  </r>
  <r>
    <s v="21014"/>
    <x v="132"/>
    <s v="Personnel"/>
    <s v="H "/>
    <s v="High Grade Group 9-12"/>
    <s v="PS26HS"/>
    <s v="PSES High Prog01Act26 S275"/>
    <n v="1"/>
    <x v="2"/>
    <m/>
    <n v="26"/>
    <s v="   "/>
    <n v="5.5E-2"/>
    <n v="0.18229999999999999"/>
    <n v="0"/>
    <s v="High Health/_x000a_Related Services"/>
    <x v="2"/>
  </r>
  <r>
    <s v="21014"/>
    <x v="132"/>
    <s v="Personnel"/>
    <s v="M "/>
    <s v="Middle Grade Group 7-8"/>
    <s v="PS26MS"/>
    <s v="PSES Mid Prog01Act26 S275"/>
    <n v="1"/>
    <x v="2"/>
    <m/>
    <n v="26"/>
    <s v="   "/>
    <n v="5.5E-2"/>
    <n v="0.18229999999999999"/>
    <n v="0"/>
    <s v="Middle Health/_x000a_Related Services"/>
    <x v="2"/>
  </r>
  <r>
    <s v="21014"/>
    <x v="132"/>
    <s v="Personnel"/>
    <s v="E "/>
    <s v="Elementary Grade Group K-6"/>
    <s v="PS42ES"/>
    <s v="PSES Elem Prog01Duty42 S275"/>
    <n v="1"/>
    <x v="5"/>
    <n v="42"/>
    <m/>
    <s v="   "/>
    <n v="0.4"/>
    <n v="0.18229999999999999"/>
    <n v="0"/>
    <s v="Elementary Counselor"/>
    <x v="5"/>
  </r>
  <r>
    <s v="21014"/>
    <x v="132"/>
    <s v="Personnel"/>
    <s v="H "/>
    <s v="High Grade Group 9-12"/>
    <s v="PS42HS"/>
    <s v="PSES High Prog01Duty42 S275"/>
    <n v="1"/>
    <x v="5"/>
    <n v="42"/>
    <m/>
    <s v="   "/>
    <n v="1.4"/>
    <n v="0.18229999999999999"/>
    <n v="0"/>
    <s v="High Counselor"/>
    <x v="5"/>
  </r>
  <r>
    <s v="21014"/>
    <x v="132"/>
    <s v="Personnel"/>
    <s v="E "/>
    <s v="Elementary Grade Group K-6"/>
    <s v="PS64E21S"/>
    <s v="PSES Elem Prog21Duty64 S275"/>
    <n v="21"/>
    <x v="12"/>
    <n v="64"/>
    <m/>
    <s v="   "/>
    <n v="1.875"/>
    <n v="0.18229999999999999"/>
    <n v="0.34200000000000003"/>
    <s v="Elementary Contractor ESA"/>
    <x v="12"/>
  </r>
  <r>
    <s v="21014"/>
    <x v="132"/>
    <s v="Personnel"/>
    <s v="H "/>
    <s v="High Grade Group 9-12"/>
    <s v="PS64H21S"/>
    <s v="PSES High Prog21Duty64 S275"/>
    <n v="21"/>
    <x v="12"/>
    <n v="64"/>
    <m/>
    <s v="   "/>
    <n v="0.33"/>
    <n v="0.18229999999999999"/>
    <n v="0.06"/>
    <s v="High Contractor ESA"/>
    <x v="12"/>
  </r>
  <r>
    <s v="21014"/>
    <x v="132"/>
    <s v="Personnel"/>
    <s v="M "/>
    <s v="Middle Grade Group 7-8"/>
    <s v="PS64M21S"/>
    <s v="PSES Mid Prog21Duty64 S275"/>
    <n v="21"/>
    <x v="12"/>
    <n v="64"/>
    <m/>
    <s v="   "/>
    <n v="1.0920000000000001"/>
    <n v="0.18229999999999999"/>
    <n v="0.19900000000000001"/>
    <s v="Middle Contractor ESA"/>
    <x v="12"/>
  </r>
  <r>
    <s v="21036"/>
    <x v="133"/>
    <s v="Personnel"/>
    <s v="E "/>
    <s v="Elementary Grade Group K-6"/>
    <s v="PS25ES"/>
    <s v="PSES Elem Prog01Act25 S275"/>
    <n v="1"/>
    <x v="1"/>
    <m/>
    <n v="25"/>
    <s v="   "/>
    <n v="0.54600000000000004"/>
    <n v="0.08"/>
    <n v="0"/>
    <s v="Elementary Pupil Management"/>
    <x v="1"/>
  </r>
  <r>
    <s v="21036"/>
    <x v="133"/>
    <s v="Personnel"/>
    <s v="E "/>
    <s v="Elementary Grade Group K-6"/>
    <s v="PS42ES"/>
    <s v="PSES Elem Prog01Duty42 S275"/>
    <n v="1"/>
    <x v="5"/>
    <n v="42"/>
    <m/>
    <s v="   "/>
    <n v="0.128"/>
    <n v="0.08"/>
    <n v="0"/>
    <s v="Elementary Counselor"/>
    <x v="5"/>
  </r>
  <r>
    <s v="21036"/>
    <x v="133"/>
    <s v="Personnel"/>
    <s v="T"/>
    <s v="Elementary Grade Group K-6"/>
    <s v="PS25E09S"/>
    <s v="PSES Elem Prog09Duty25 S275"/>
    <n v="9"/>
    <x v="1"/>
    <n v="91"/>
    <n v="25"/>
    <m/>
    <n v="3.4000000000000002E-2"/>
    <n v="0.08"/>
    <n v="0"/>
    <s v="TK Pupil Management"/>
    <x v="1"/>
  </r>
  <r>
    <s v="21206"/>
    <x v="134"/>
    <s v="Personnel"/>
    <s v="E "/>
    <s v="Elementary Grade Group K-6"/>
    <s v="PS25ES"/>
    <s v="PSES Elem Prog01Act25 S275"/>
    <n v="1"/>
    <x v="1"/>
    <m/>
    <n v="25"/>
    <s v="   "/>
    <n v="1.145"/>
    <n v="0.31069999999999998"/>
    <n v="0"/>
    <s v="Elementary Pupil Management"/>
    <x v="1"/>
  </r>
  <r>
    <s v="21206"/>
    <x v="134"/>
    <s v="Personnel"/>
    <s v="E "/>
    <s v="Elementary Grade Group K-6"/>
    <s v="PS26ES"/>
    <s v="PSES Elem Prog01Act26 S275"/>
    <n v="1"/>
    <x v="2"/>
    <m/>
    <n v="26"/>
    <s v="   "/>
    <n v="0.48499999999999999"/>
    <n v="0.31069999999999998"/>
    <n v="0"/>
    <s v="Elementary Health/_x000a_Related Services"/>
    <x v="2"/>
  </r>
  <r>
    <s v="21206"/>
    <x v="134"/>
    <s v="Personnel"/>
    <s v="H "/>
    <s v="High Grade Group 9-12"/>
    <s v="PS26HS"/>
    <s v="PSES High Prog01Act26 S275"/>
    <n v="1"/>
    <x v="2"/>
    <m/>
    <n v="26"/>
    <s v="   "/>
    <n v="0.121"/>
    <n v="0.31069999999999998"/>
    <n v="0"/>
    <s v="High Health/_x000a_Related Services"/>
    <x v="2"/>
  </r>
  <r>
    <s v="21206"/>
    <x v="134"/>
    <s v="Personnel"/>
    <s v="H "/>
    <s v="High Grade Group 9-12"/>
    <s v="PS42HS"/>
    <s v="PSES High Prog01Duty42 S275"/>
    <n v="1"/>
    <x v="5"/>
    <n v="42"/>
    <m/>
    <s v="   "/>
    <n v="1.06"/>
    <n v="0.31069999999999998"/>
    <n v="0"/>
    <s v="High Counselor"/>
    <x v="5"/>
  </r>
  <r>
    <s v="21206"/>
    <x v="134"/>
    <s v="Personnel"/>
    <s v="M "/>
    <s v="Middle Grade Group 7-8"/>
    <s v="PS42MS"/>
    <s v="PSES Mid Prog01Duty42 S275"/>
    <n v="1"/>
    <x v="5"/>
    <n v="42"/>
    <m/>
    <s v="   "/>
    <n v="0.1"/>
    <n v="0.31069999999999998"/>
    <n v="0"/>
    <s v="Middle Counselor"/>
    <x v="5"/>
  </r>
  <r>
    <s v="21206"/>
    <x v="134"/>
    <s v="Personnel"/>
    <s v="E "/>
    <s v="Elementary Grade Group K-6"/>
    <s v="PS43E21S"/>
    <s v="PSES Elem Prog21Duty43 S275"/>
    <n v="21"/>
    <x v="6"/>
    <n v="43"/>
    <m/>
    <s v="   "/>
    <n v="1.2"/>
    <n v="0.31069999999999998"/>
    <n v="0.373"/>
    <s v="Elementary Occupational Therapist"/>
    <x v="6"/>
  </r>
  <r>
    <s v="21206"/>
    <x v="134"/>
    <s v="Personnel"/>
    <s v="H "/>
    <s v="High Grade Group 9-12"/>
    <s v="PS43H21S"/>
    <s v="PSES High Prog21Duty43 S275"/>
    <n v="21"/>
    <x v="6"/>
    <n v="43"/>
    <m/>
    <s v="   "/>
    <n v="2.2000000000000002"/>
    <n v="0.31069999999999998"/>
    <n v="0.68400000000000005"/>
    <s v="High Occupational Therapist"/>
    <x v="6"/>
  </r>
  <r>
    <s v="21206"/>
    <x v="134"/>
    <s v="Personnel"/>
    <s v="H "/>
    <s v="High Grade Group 9-12"/>
    <s v="PS64H21S"/>
    <s v="PSES High Prog21Duty64 S275"/>
    <n v="21"/>
    <x v="12"/>
    <n v="64"/>
    <m/>
    <s v="   "/>
    <n v="1.212"/>
    <n v="0.31069999999999998"/>
    <n v="0.377"/>
    <s v="High Contractor ESA"/>
    <x v="12"/>
  </r>
  <r>
    <s v="21214"/>
    <x v="135"/>
    <s v="Personnel"/>
    <s v="E "/>
    <s v="Elementary Grade Group K-6"/>
    <s v="PS42ES"/>
    <s v="PSES Elem Prog01Duty42 S275"/>
    <n v="1"/>
    <x v="5"/>
    <n v="42"/>
    <m/>
    <s v="   "/>
    <n v="0.62"/>
    <n v="0.31480000000000002"/>
    <n v="0"/>
    <s v="Elementary Counselor"/>
    <x v="5"/>
  </r>
  <r>
    <s v="21214"/>
    <x v="135"/>
    <s v="Personnel"/>
    <s v="H "/>
    <s v="High Grade Group 9-12"/>
    <s v="PS42HS"/>
    <s v="PSES High Prog01Duty42 S275"/>
    <n v="1"/>
    <x v="5"/>
    <n v="42"/>
    <m/>
    <s v="   "/>
    <n v="0.5"/>
    <n v="0.31480000000000002"/>
    <n v="0"/>
    <s v="High Counselor"/>
    <x v="5"/>
  </r>
  <r>
    <s v="21214"/>
    <x v="135"/>
    <s v="Personnel"/>
    <s v="M "/>
    <s v="Middle Grade Group 7-8"/>
    <s v="PS42MS"/>
    <s v="PSES Mid Prog01Duty42 S275"/>
    <n v="1"/>
    <x v="5"/>
    <n v="42"/>
    <m/>
    <s v="   "/>
    <n v="0.5"/>
    <n v="0.31480000000000002"/>
    <n v="0"/>
    <s v="Middle Counselor"/>
    <x v="5"/>
  </r>
  <r>
    <s v="21214"/>
    <x v="135"/>
    <s v="Personnel"/>
    <s v="E "/>
    <s v="Elementary Grade Group K-6"/>
    <s v="PS47ES"/>
    <s v="PSES Elem Prog01Duty47 S275"/>
    <n v="1"/>
    <x v="9"/>
    <n v="47"/>
    <m/>
    <s v="   "/>
    <n v="1.026"/>
    <n v="0.31480000000000002"/>
    <n v="0"/>
    <s v="Elementary Nurse"/>
    <x v="9"/>
  </r>
  <r>
    <s v="21214"/>
    <x v="135"/>
    <s v="Personnel"/>
    <s v="H "/>
    <s v="High Grade Group 9-12"/>
    <s v="PS47HS"/>
    <s v="PSES High Prog01Duty47 S275"/>
    <n v="1"/>
    <x v="9"/>
    <n v="47"/>
    <m/>
    <s v="   "/>
    <n v="6.8000000000000005E-2"/>
    <n v="0.31480000000000002"/>
    <n v="0"/>
    <s v="High Nurse"/>
    <x v="9"/>
  </r>
  <r>
    <s v="21214"/>
    <x v="135"/>
    <s v="Personnel"/>
    <s v="M "/>
    <s v="Middle Grade Group 7-8"/>
    <s v="PS47MS"/>
    <s v="PSES Mid Prog01Duty47 S275"/>
    <n v="1"/>
    <x v="9"/>
    <n v="47"/>
    <m/>
    <s v="   "/>
    <n v="2.7E-2"/>
    <n v="0.31480000000000002"/>
    <n v="0"/>
    <s v="Middle Nurse"/>
    <x v="9"/>
  </r>
  <r>
    <s v="21226"/>
    <x v="136"/>
    <s v="Personnel"/>
    <s v="H "/>
    <s v="High Grade Group 9-12"/>
    <s v="PS25HS"/>
    <s v="PSES High Prog01Act25 S275"/>
    <n v="1"/>
    <x v="1"/>
    <m/>
    <n v="25"/>
    <s v="   "/>
    <n v="0.73199999999999998"/>
    <n v="0.2039"/>
    <n v="0"/>
    <s v="High Pupil Management"/>
    <x v="1"/>
  </r>
  <r>
    <s v="21226"/>
    <x v="136"/>
    <s v="Personnel"/>
    <s v="H "/>
    <s v="High Grade Group 9-12"/>
    <s v="PS26H21S"/>
    <s v="PSES High Prog21Act26 S275"/>
    <n v="21"/>
    <x v="2"/>
    <m/>
    <n v="26"/>
    <s v="   "/>
    <n v="3.395"/>
    <n v="0.2039"/>
    <n v="0.69199999999999995"/>
    <s v="High Health/_x000a_Related Services"/>
    <x v="2"/>
  </r>
  <r>
    <s v="21226"/>
    <x v="136"/>
    <s v="Personnel"/>
    <s v="H "/>
    <s v="High Grade Group 9-12"/>
    <s v="PS26HS"/>
    <s v="PSES High Prog01Act26 S275"/>
    <n v="1"/>
    <x v="2"/>
    <m/>
    <n v="26"/>
    <s v="   "/>
    <n v="0.46500000000000002"/>
    <n v="0.2039"/>
    <n v="0"/>
    <s v="High Health/_x000a_Related Services"/>
    <x v="2"/>
  </r>
  <r>
    <s v="21226"/>
    <x v="136"/>
    <s v="Personnel"/>
    <s v="H "/>
    <s v="High Grade Group 9-12"/>
    <s v="PS42HS"/>
    <s v="PSES High Prog01Duty42 S275"/>
    <n v="1"/>
    <x v="5"/>
    <n v="42"/>
    <m/>
    <s v="   "/>
    <n v="1"/>
    <n v="0.2039"/>
    <n v="0"/>
    <s v="High Counselor"/>
    <x v="5"/>
  </r>
  <r>
    <s v="21226"/>
    <x v="136"/>
    <s v="Personnel"/>
    <s v="H "/>
    <s v="High Grade Group 9-12"/>
    <s v="PS46H21S"/>
    <s v="PSES High Prog21Duty46 S275"/>
    <n v="21"/>
    <x v="8"/>
    <n v="46"/>
    <m/>
    <s v="   "/>
    <n v="1"/>
    <n v="0.2039"/>
    <n v="0.20399999999999999"/>
    <s v="High Psychologist"/>
    <x v="8"/>
  </r>
  <r>
    <s v="21226"/>
    <x v="136"/>
    <s v="Personnel"/>
    <s v="H "/>
    <s v="High Grade Group 9-12"/>
    <s v="PS64H21S"/>
    <s v="PSES High Prog21Duty64 S275"/>
    <n v="21"/>
    <x v="12"/>
    <n v="64"/>
    <m/>
    <s v="   "/>
    <n v="1.8879999999999999"/>
    <n v="0.2039"/>
    <n v="0.38500000000000001"/>
    <s v="High Contractor ESA"/>
    <x v="12"/>
  </r>
  <r>
    <s v="21232"/>
    <x v="137"/>
    <s v="Personnel"/>
    <s v="E "/>
    <s v="Elementary Grade Group K-6"/>
    <s v="PS25E21S"/>
    <s v="PSES Elem Prog21Act25 S275"/>
    <n v="21"/>
    <x v="1"/>
    <m/>
    <n v="25"/>
    <s v="   "/>
    <n v="0.36899999999999999"/>
    <n v="0.19120000000000001"/>
    <n v="7.0999999999999994E-2"/>
    <s v="Elementary Pupil Management"/>
    <x v="1"/>
  </r>
  <r>
    <s v="21232"/>
    <x v="137"/>
    <s v="Personnel"/>
    <s v="E "/>
    <s v="Elementary Grade Group K-6"/>
    <s v="PS26E21S"/>
    <s v="PSES Elem Prog21Act26 S275"/>
    <n v="21"/>
    <x v="2"/>
    <m/>
    <n v="26"/>
    <s v="   "/>
    <n v="0.73599999999999999"/>
    <n v="0.19120000000000001"/>
    <n v="0.14099999999999999"/>
    <s v="Elementary Health/_x000a_Related Services"/>
    <x v="2"/>
  </r>
  <r>
    <s v="21232"/>
    <x v="137"/>
    <s v="Personnel"/>
    <s v="H "/>
    <s v="High Grade Group 9-12"/>
    <s v="PS26H21S"/>
    <s v="PSES High Prog21Act26 S275"/>
    <n v="21"/>
    <x v="2"/>
    <m/>
    <n v="26"/>
    <s v="   "/>
    <n v="1.288"/>
    <n v="0.19120000000000001"/>
    <n v="0.246"/>
    <s v="High Health/_x000a_Related Services"/>
    <x v="2"/>
  </r>
  <r>
    <s v="21232"/>
    <x v="137"/>
    <s v="Personnel"/>
    <s v="E "/>
    <s v="Elementary Grade Group K-6"/>
    <s v="PS42ES"/>
    <s v="PSES Elem Prog01Duty42 S275"/>
    <n v="1"/>
    <x v="5"/>
    <n v="42"/>
    <m/>
    <s v="   "/>
    <n v="0.45"/>
    <n v="0.19120000000000001"/>
    <n v="0"/>
    <s v="Elementary Counselor"/>
    <x v="5"/>
  </r>
  <r>
    <s v="21232"/>
    <x v="137"/>
    <s v="Personnel"/>
    <s v="H "/>
    <s v="High Grade Group 9-12"/>
    <s v="PS42HS"/>
    <s v="PSES High Prog01Duty42 S275"/>
    <n v="1"/>
    <x v="5"/>
    <n v="42"/>
    <m/>
    <s v="   "/>
    <n v="1.05"/>
    <n v="0.19120000000000001"/>
    <n v="0"/>
    <s v="High Counselor"/>
    <x v="5"/>
  </r>
  <r>
    <s v="21232"/>
    <x v="137"/>
    <s v="Personnel"/>
    <s v="M "/>
    <s v="Middle Grade Group 7-8"/>
    <s v="PS42MS"/>
    <s v="PSES Mid Prog01Duty42 S275"/>
    <n v="1"/>
    <x v="5"/>
    <n v="42"/>
    <m/>
    <s v="   "/>
    <n v="0.5"/>
    <n v="0.19120000000000001"/>
    <n v="0"/>
    <s v="Middle Counselor"/>
    <x v="5"/>
  </r>
  <r>
    <s v="21232"/>
    <x v="137"/>
    <s v="Personnel"/>
    <s v="E "/>
    <s v="Elementary Grade Group K-6"/>
    <s v="PS43E21S"/>
    <s v="PSES Elem Prog21Duty43 S275"/>
    <n v="21"/>
    <x v="6"/>
    <n v="43"/>
    <m/>
    <s v="   "/>
    <n v="0.5"/>
    <n v="0.19120000000000001"/>
    <n v="9.6000000000000002E-2"/>
    <s v="Elementary Occupational Therapist"/>
    <x v="6"/>
  </r>
  <r>
    <s v="21232"/>
    <x v="137"/>
    <s v="Personnel"/>
    <s v="H "/>
    <s v="High Grade Group 9-12"/>
    <s v="PS43H21S"/>
    <s v="PSES High Prog21Duty43 S275"/>
    <n v="21"/>
    <x v="6"/>
    <n v="43"/>
    <m/>
    <s v="   "/>
    <n v="0.5"/>
    <n v="0.19120000000000001"/>
    <n v="9.6000000000000002E-2"/>
    <s v="High Occupational Therapist"/>
    <x v="6"/>
  </r>
  <r>
    <s v="21232"/>
    <x v="137"/>
    <s v="Personnel"/>
    <s v="E "/>
    <s v="Elementary Grade Group K-6"/>
    <s v="PS45E21S"/>
    <s v="PSES Elem Prog21Duty45 S275"/>
    <n v="21"/>
    <x v="7"/>
    <n v="45"/>
    <m/>
    <s v="   "/>
    <n v="1.5"/>
    <n v="0.19120000000000001"/>
    <n v="0.28699999999999998"/>
    <s v="Elementary Speech, Language Pathway/_x000a_Audio"/>
    <x v="7"/>
  </r>
  <r>
    <s v="21232"/>
    <x v="137"/>
    <s v="Personnel"/>
    <s v="H "/>
    <s v="High Grade Group 9-12"/>
    <s v="PS45H21S"/>
    <s v="PSES High Prog21Duty45 S275"/>
    <n v="21"/>
    <x v="7"/>
    <n v="45"/>
    <m/>
    <s v="   "/>
    <n v="1"/>
    <n v="0.19120000000000001"/>
    <n v="0.191"/>
    <s v="High Speech, Language Pathway/_x000a_Audio"/>
    <x v="7"/>
  </r>
  <r>
    <s v="21232"/>
    <x v="137"/>
    <s v="Personnel"/>
    <s v="M "/>
    <s v="Middle Grade Group 7-8"/>
    <s v="PS45M21S"/>
    <s v="PSES Mid Prog21Duty45 S275"/>
    <n v="21"/>
    <x v="7"/>
    <n v="45"/>
    <m/>
    <s v="   "/>
    <n v="0.5"/>
    <n v="0.19120000000000001"/>
    <n v="9.6000000000000002E-2"/>
    <s v="Middle Speech, Language Pathway/_x000a_Audio"/>
    <x v="7"/>
  </r>
  <r>
    <s v="21232"/>
    <x v="137"/>
    <s v="Personnel"/>
    <s v="E "/>
    <s v="Elementary Grade Group K-6"/>
    <s v="PS46E21S"/>
    <s v="PSES Elem Prog21Duty46 S275"/>
    <n v="21"/>
    <x v="8"/>
    <n v="46"/>
    <m/>
    <s v="   "/>
    <n v="0.5"/>
    <n v="0.19120000000000001"/>
    <n v="9.6000000000000002E-2"/>
    <s v="Elementary Psychologist"/>
    <x v="8"/>
  </r>
  <r>
    <s v="21232"/>
    <x v="137"/>
    <s v="Personnel"/>
    <s v="H "/>
    <s v="High Grade Group 9-12"/>
    <s v="PS46H21S"/>
    <s v="PSES High Prog21Duty46 S275"/>
    <n v="21"/>
    <x v="8"/>
    <n v="46"/>
    <m/>
    <s v="   "/>
    <n v="0.5"/>
    <n v="0.19120000000000001"/>
    <n v="9.6000000000000002E-2"/>
    <s v="High Psychologist"/>
    <x v="8"/>
  </r>
  <r>
    <s v="21234"/>
    <x v="138"/>
    <s v="Personnel"/>
    <s v="H "/>
    <s v="High Grade Group 9-12"/>
    <s v="PS25H21S"/>
    <s v="PSES High Prog21Act25 S275"/>
    <n v="21"/>
    <x v="1"/>
    <m/>
    <n v="25"/>
    <s v="   "/>
    <n v="0.04"/>
    <n v="0.20449999999999999"/>
    <n v="8.0000000000000002E-3"/>
    <s v="High Pupil Management"/>
    <x v="1"/>
  </r>
  <r>
    <s v="21234"/>
    <x v="138"/>
    <s v="Personnel"/>
    <s v="H "/>
    <s v="High Grade Group 9-12"/>
    <s v="PS26HS"/>
    <s v="PSES High Prog01Act26 S275"/>
    <n v="1"/>
    <x v="2"/>
    <m/>
    <n v="26"/>
    <s v="   "/>
    <n v="6.2E-2"/>
    <n v="0.20449999999999999"/>
    <n v="0"/>
    <s v="High Health/_x000a_Related Services"/>
    <x v="2"/>
  </r>
  <r>
    <s v="21237"/>
    <x v="139"/>
    <s v="Personnel"/>
    <s v="E "/>
    <s v="Elementary Grade Group K-6"/>
    <s v="PS25ES"/>
    <s v="PSES Elem Prog01Act25 S275"/>
    <n v="1"/>
    <x v="1"/>
    <m/>
    <n v="25"/>
    <s v="   "/>
    <n v="0.254"/>
    <n v="0.28620000000000001"/>
    <n v="0"/>
    <s v="Elementary Pupil Management"/>
    <x v="1"/>
  </r>
  <r>
    <s v="21237"/>
    <x v="139"/>
    <s v="Personnel"/>
    <s v="H "/>
    <s v="High Grade Group 9-12"/>
    <s v="PS25H21S"/>
    <s v="PSES High Prog21Act25 S275"/>
    <n v="21"/>
    <x v="1"/>
    <m/>
    <n v="25"/>
    <s v="   "/>
    <n v="0.374"/>
    <n v="0.28620000000000001"/>
    <n v="0.107"/>
    <s v="High Pupil Management"/>
    <x v="1"/>
  </r>
  <r>
    <s v="21237"/>
    <x v="139"/>
    <s v="Personnel"/>
    <s v="H "/>
    <s v="High Grade Group 9-12"/>
    <s v="PS25HS"/>
    <s v="PSES High Prog01Act25 S275"/>
    <n v="1"/>
    <x v="1"/>
    <m/>
    <n v="25"/>
    <s v="   "/>
    <n v="1.0069999999999999"/>
    <n v="0.28620000000000001"/>
    <n v="0"/>
    <s v="High Pupil Management"/>
    <x v="1"/>
  </r>
  <r>
    <s v="21237"/>
    <x v="139"/>
    <s v="Personnel"/>
    <s v="M "/>
    <s v="Middle Grade Group 7-8"/>
    <s v="PS25M21S"/>
    <s v="PSES Mid Prog21Act25 S275"/>
    <n v="21"/>
    <x v="1"/>
    <m/>
    <n v="25"/>
    <s v="   "/>
    <n v="8.7999999999999995E-2"/>
    <n v="0.28620000000000001"/>
    <n v="2.5000000000000001E-2"/>
    <s v="Middle Pupil Management"/>
    <x v="1"/>
  </r>
  <r>
    <s v="21237"/>
    <x v="139"/>
    <s v="Personnel"/>
    <s v="E "/>
    <s v="Elementary Grade Group K-6"/>
    <s v="PS26ES"/>
    <s v="PSES Elem Prog01Act26 S275"/>
    <n v="1"/>
    <x v="2"/>
    <m/>
    <n v="26"/>
    <s v="   "/>
    <n v="0.51800000000000002"/>
    <n v="0.28620000000000001"/>
    <n v="0"/>
    <s v="Elementary Health/_x000a_Related Services"/>
    <x v="2"/>
  </r>
  <r>
    <s v="21237"/>
    <x v="139"/>
    <s v="Personnel"/>
    <s v="M "/>
    <s v="Middle Grade Group 7-8"/>
    <s v="PS26MS"/>
    <s v="PSES Mid Prog01Act26 S275"/>
    <n v="1"/>
    <x v="2"/>
    <m/>
    <n v="26"/>
    <s v="   "/>
    <n v="0.17699999999999999"/>
    <n v="0.28620000000000001"/>
    <n v="0"/>
    <s v="Middle Health/_x000a_Related Services"/>
    <x v="2"/>
  </r>
  <r>
    <s v="21237"/>
    <x v="139"/>
    <s v="Personnel"/>
    <s v="H "/>
    <s v="High Grade Group 9-12"/>
    <s v="PS42HS"/>
    <s v="PSES High Prog01Duty42 S275"/>
    <n v="1"/>
    <x v="5"/>
    <n v="42"/>
    <m/>
    <s v="   "/>
    <n v="0.81399999999999995"/>
    <n v="0.28620000000000001"/>
    <n v="0"/>
    <s v="High Counselor"/>
    <x v="5"/>
  </r>
  <r>
    <s v="21300"/>
    <x v="140"/>
    <s v="Personnel"/>
    <s v="E "/>
    <s v="Elementary Grade Group K-6"/>
    <s v="PS25ES"/>
    <s v="PSES Elem Prog01Act25 S275"/>
    <n v="1"/>
    <x v="1"/>
    <m/>
    <n v="25"/>
    <s v="   "/>
    <n v="0.39600000000000002"/>
    <n v="0.25719999999999998"/>
    <n v="0"/>
    <s v="Elementary Pupil Management"/>
    <x v="1"/>
  </r>
  <r>
    <s v="21300"/>
    <x v="140"/>
    <s v="Personnel"/>
    <s v="E "/>
    <s v="Elementary Grade Group K-6"/>
    <s v="PS26ES"/>
    <s v="PSES Elem Prog01Act26 S275"/>
    <n v="1"/>
    <x v="2"/>
    <m/>
    <n v="26"/>
    <s v="   "/>
    <n v="0.13200000000000001"/>
    <n v="0.25719999999999998"/>
    <n v="0"/>
    <s v="Elementary Health/_x000a_Related Services"/>
    <x v="2"/>
  </r>
  <r>
    <s v="21300"/>
    <x v="140"/>
    <s v="Personnel"/>
    <s v="H "/>
    <s v="High Grade Group 9-12"/>
    <s v="PS26HS"/>
    <s v="PSES High Prog01Act26 S275"/>
    <n v="1"/>
    <x v="2"/>
    <m/>
    <n v="26"/>
    <s v="   "/>
    <n v="0.13200000000000001"/>
    <n v="0.25719999999999998"/>
    <n v="0"/>
    <s v="High Health/_x000a_Related Services"/>
    <x v="2"/>
  </r>
  <r>
    <s v="21300"/>
    <x v="140"/>
    <s v="Personnel"/>
    <s v="M "/>
    <s v="Middle Grade Group 7-8"/>
    <s v="PS26MS"/>
    <s v="PSES Mid Prog01Act26 S275"/>
    <n v="1"/>
    <x v="2"/>
    <m/>
    <n v="26"/>
    <s v="   "/>
    <n v="0.13200000000000001"/>
    <n v="0.25719999999999998"/>
    <n v="0"/>
    <s v="Middle Health/_x000a_Related Services"/>
    <x v="2"/>
  </r>
  <r>
    <s v="21300"/>
    <x v="140"/>
    <s v="Personnel"/>
    <s v="E "/>
    <s v="Elementary Grade Group K-6"/>
    <s v="PS42ES"/>
    <s v="PSES Elem Prog01Duty42 S275"/>
    <n v="1"/>
    <x v="5"/>
    <n v="42"/>
    <m/>
    <s v="   "/>
    <n v="0.45200000000000001"/>
    <n v="0.25719999999999998"/>
    <n v="0"/>
    <s v="Elementary Counselor"/>
    <x v="5"/>
  </r>
  <r>
    <s v="21300"/>
    <x v="140"/>
    <s v="Personnel"/>
    <s v="H "/>
    <s v="High Grade Group 9-12"/>
    <s v="PS42HS"/>
    <s v="PSES High Prog01Duty42 S275"/>
    <n v="1"/>
    <x v="5"/>
    <n v="42"/>
    <m/>
    <s v="   "/>
    <n v="1.151"/>
    <n v="0.25719999999999998"/>
    <n v="0"/>
    <s v="High Counselor"/>
    <x v="5"/>
  </r>
  <r>
    <s v="21300"/>
    <x v="140"/>
    <s v="Personnel"/>
    <s v="M "/>
    <s v="Middle Grade Group 7-8"/>
    <s v="PS42MS"/>
    <s v="PSES Mid Prog01Duty42 S275"/>
    <n v="1"/>
    <x v="5"/>
    <n v="42"/>
    <m/>
    <s v="   "/>
    <n v="0.151"/>
    <n v="0.25719999999999998"/>
    <n v="0"/>
    <s v="Middle Counselor"/>
    <x v="5"/>
  </r>
  <r>
    <s v="21301"/>
    <x v="141"/>
    <s v="Personnel"/>
    <s v="H "/>
    <s v="High Grade Group 9-12"/>
    <s v="PS42HS"/>
    <s v="PSES High Prog01Duty42 S275"/>
    <n v="1"/>
    <x v="5"/>
    <n v="42"/>
    <m/>
    <s v="   "/>
    <n v="0.67"/>
    <n v="0.19239999999999999"/>
    <n v="0"/>
    <s v="High Counselor"/>
    <x v="5"/>
  </r>
  <r>
    <s v="21301"/>
    <x v="141"/>
    <s v="Personnel"/>
    <s v="M "/>
    <s v="Middle Grade Group 7-8"/>
    <s v="PS42MS"/>
    <s v="PSES Mid Prog01Duty42 S275"/>
    <n v="1"/>
    <x v="5"/>
    <n v="42"/>
    <m/>
    <s v="   "/>
    <n v="0.33"/>
    <n v="0.19239999999999999"/>
    <n v="0"/>
    <s v="Middle Counselor"/>
    <x v="5"/>
  </r>
  <r>
    <s v="21302"/>
    <x v="142"/>
    <s v="Personnel"/>
    <s v="H "/>
    <s v="High Grade Group 9-12"/>
    <s v="PS24HS"/>
    <s v="PSES High Prog01Duty96 S275"/>
    <n v="1"/>
    <x v="0"/>
    <n v="96"/>
    <n v="24"/>
    <s v="   "/>
    <n v="1.242"/>
    <n v="0.24959999999999999"/>
    <n v="0"/>
    <s v="High Family Engagement Coordinator"/>
    <x v="0"/>
  </r>
  <r>
    <s v="21302"/>
    <x v="142"/>
    <s v="Personnel"/>
    <s v="M "/>
    <s v="Middle Grade Group 7-8"/>
    <s v="PS24MS"/>
    <s v="PSES Mid Prog01Duty96 S275"/>
    <n v="1"/>
    <x v="0"/>
    <n v="96"/>
    <n v="24"/>
    <s v="   "/>
    <n v="0.44600000000000001"/>
    <n v="0.24959999999999999"/>
    <n v="0"/>
    <s v="Middle Family Engagement Coordinator"/>
    <x v="0"/>
  </r>
  <r>
    <s v="21302"/>
    <x v="142"/>
    <s v="Personnel"/>
    <s v="E "/>
    <s v="Elementary Grade Group K-6"/>
    <s v="PS25E21S"/>
    <s v="PSES Elem Prog21Act25 S275"/>
    <n v="21"/>
    <x v="1"/>
    <m/>
    <n v="25"/>
    <s v="   "/>
    <n v="0.505"/>
    <n v="0.24959999999999999"/>
    <n v="0.126"/>
    <s v="Elementary Pupil Management"/>
    <x v="1"/>
  </r>
  <r>
    <s v="21302"/>
    <x v="142"/>
    <s v="Personnel"/>
    <s v="H "/>
    <s v="High Grade Group 9-12"/>
    <s v="PS25H21S"/>
    <s v="PSES High Prog21Act25 S275"/>
    <n v="21"/>
    <x v="1"/>
    <m/>
    <n v="25"/>
    <s v="   "/>
    <n v="0.66500000000000004"/>
    <n v="0.24959999999999999"/>
    <n v="0.16600000000000001"/>
    <s v="High Pupil Management"/>
    <x v="1"/>
  </r>
  <r>
    <s v="21302"/>
    <x v="142"/>
    <s v="Personnel"/>
    <s v="H "/>
    <s v="High Grade Group 9-12"/>
    <s v="PS25HS"/>
    <s v="PSES High Prog01Act25 S275"/>
    <n v="1"/>
    <x v="1"/>
    <m/>
    <n v="25"/>
    <s v="   "/>
    <n v="3.9470000000000001"/>
    <n v="0.24959999999999999"/>
    <n v="0"/>
    <s v="High Pupil Management"/>
    <x v="1"/>
  </r>
  <r>
    <s v="21302"/>
    <x v="142"/>
    <s v="Personnel"/>
    <s v="H "/>
    <s v="High Grade Group 9-12"/>
    <s v="PS26H21S"/>
    <s v="PSES High Prog21Act26 S275"/>
    <n v="21"/>
    <x v="2"/>
    <m/>
    <n v="26"/>
    <s v="   "/>
    <n v="1.2809999999999999"/>
    <n v="0.24959999999999999"/>
    <n v="0.32"/>
    <s v="High Health/_x000a_Related Services"/>
    <x v="2"/>
  </r>
  <r>
    <s v="21302"/>
    <x v="142"/>
    <s v="Personnel"/>
    <s v="H "/>
    <s v="High Grade Group 9-12"/>
    <s v="PS26HS"/>
    <s v="PSES High Prog01Act26 S275"/>
    <n v="1"/>
    <x v="2"/>
    <m/>
    <n v="26"/>
    <s v="   "/>
    <n v="2.113"/>
    <n v="0.24959999999999999"/>
    <n v="0"/>
    <s v="High Health/_x000a_Related Services"/>
    <x v="2"/>
  </r>
  <r>
    <s v="21302"/>
    <x v="142"/>
    <s v="Personnel"/>
    <s v="H "/>
    <s v="High Grade Group 9-12"/>
    <s v="PS35H97S"/>
    <s v="PSES High Prog97Act35 S275"/>
    <n v="97"/>
    <x v="3"/>
    <m/>
    <n v="35"/>
    <s v="   "/>
    <n v="1.462"/>
    <n v="0.24959999999999999"/>
    <n v="0"/>
    <s v="High Pupil Safety"/>
    <x v="3"/>
  </r>
  <r>
    <s v="21302"/>
    <x v="142"/>
    <s v="Personnel"/>
    <s v="E "/>
    <s v="Elementary Grade Group K-6"/>
    <s v="PS39E21S"/>
    <s v="PSES Elem Prog21Duty39 S275"/>
    <n v="21"/>
    <x v="4"/>
    <n v="39"/>
    <m/>
    <s v="   "/>
    <n v="0.15"/>
    <n v="0.24959999999999999"/>
    <n v="3.6999999999999998E-2"/>
    <s v="Elementary Orientation &amp; Mobility Specialist"/>
    <x v="4"/>
  </r>
  <r>
    <s v="21302"/>
    <x v="142"/>
    <s v="Personnel"/>
    <s v="H "/>
    <s v="High Grade Group 9-12"/>
    <s v="PS39H21S"/>
    <s v="PSES High Prog21Duty39 S275"/>
    <n v="21"/>
    <x v="4"/>
    <n v="39"/>
    <m/>
    <s v="   "/>
    <n v="0.15"/>
    <n v="0.24959999999999999"/>
    <n v="3.6999999999999998E-2"/>
    <s v="High Orientation &amp; Mobility Specialist"/>
    <x v="4"/>
  </r>
  <r>
    <s v="21302"/>
    <x v="142"/>
    <s v="Personnel"/>
    <s v="E "/>
    <s v="Elementary Grade Group K-6"/>
    <s v="PS42ES"/>
    <s v="PSES Elem Prog01Duty42 S275"/>
    <n v="1"/>
    <x v="5"/>
    <n v="42"/>
    <m/>
    <s v="   "/>
    <n v="0.33300000000000002"/>
    <n v="0.24959999999999999"/>
    <n v="0"/>
    <s v="Elementary Counselor"/>
    <x v="5"/>
  </r>
  <r>
    <s v="21302"/>
    <x v="142"/>
    <s v="Personnel"/>
    <s v="H "/>
    <s v="High Grade Group 9-12"/>
    <s v="PS42HS"/>
    <s v="PSES High Prog01Duty42 S275"/>
    <n v="1"/>
    <x v="5"/>
    <n v="42"/>
    <m/>
    <s v="   "/>
    <n v="2.25"/>
    <n v="0.24959999999999999"/>
    <n v="0"/>
    <s v="High Counselor"/>
    <x v="5"/>
  </r>
  <r>
    <s v="21302"/>
    <x v="142"/>
    <s v="Personnel"/>
    <s v="M "/>
    <s v="Middle Grade Group 7-8"/>
    <s v="PS42MS"/>
    <s v="PSES Mid Prog01Duty42 S275"/>
    <n v="1"/>
    <x v="5"/>
    <n v="42"/>
    <m/>
    <s v="   "/>
    <n v="1.667"/>
    <n v="0.24959999999999999"/>
    <n v="0"/>
    <s v="Middle Counselor"/>
    <x v="5"/>
  </r>
  <r>
    <s v="21302"/>
    <x v="142"/>
    <s v="Personnel"/>
    <s v="E "/>
    <s v="Elementary Grade Group K-6"/>
    <s v="PS45E21S"/>
    <s v="PSES Elem Prog21Duty45 S275"/>
    <n v="21"/>
    <x v="7"/>
    <n v="45"/>
    <m/>
    <s v="   "/>
    <n v="1.9"/>
    <n v="0.24959999999999999"/>
    <n v="0.47399999999999998"/>
    <s v="Elementary Speech, Language Pathway/_x000a_Audio"/>
    <x v="7"/>
  </r>
  <r>
    <s v="21302"/>
    <x v="142"/>
    <s v="Personnel"/>
    <s v="H "/>
    <s v="High Grade Group 9-12"/>
    <s v="PS45H21S"/>
    <s v="PSES High Prog21Duty45 S275"/>
    <n v="21"/>
    <x v="7"/>
    <n v="45"/>
    <m/>
    <s v="   "/>
    <n v="0.1"/>
    <n v="0.24959999999999999"/>
    <n v="2.5000000000000001E-2"/>
    <s v="High Speech, Language Pathway/_x000a_Audio"/>
    <x v="7"/>
  </r>
  <r>
    <s v="21302"/>
    <x v="142"/>
    <s v="Personnel"/>
    <s v="H "/>
    <s v="High Grade Group 9-12"/>
    <s v="PS46H21S"/>
    <s v="PSES High Prog21Duty46 S275"/>
    <n v="21"/>
    <x v="8"/>
    <n v="46"/>
    <m/>
    <s v="   "/>
    <n v="1"/>
    <n v="0.24959999999999999"/>
    <n v="0.25"/>
    <s v="High Psychologist"/>
    <x v="8"/>
  </r>
  <r>
    <s v="21302"/>
    <x v="142"/>
    <s v="Personnel"/>
    <s v="E "/>
    <s v="Elementary Grade Group K-6"/>
    <s v="PS47ES"/>
    <s v="PSES Elem Prog01Duty47 S275"/>
    <n v="1"/>
    <x v="9"/>
    <n v="47"/>
    <m/>
    <s v="   "/>
    <n v="0.57799999999999996"/>
    <n v="0.24959999999999999"/>
    <n v="0"/>
    <s v="Elementary Nurse"/>
    <x v="9"/>
  </r>
  <r>
    <s v="21302"/>
    <x v="142"/>
    <s v="Personnel"/>
    <s v="H "/>
    <s v="High Grade Group 9-12"/>
    <s v="PS47HS"/>
    <s v="PSES High Prog01Duty47 S275"/>
    <n v="1"/>
    <x v="9"/>
    <n v="47"/>
    <m/>
    <s v="   "/>
    <n v="0.75"/>
    <n v="0.24959999999999999"/>
    <n v="0"/>
    <s v="High Nurse"/>
    <x v="9"/>
  </r>
  <r>
    <s v="21302"/>
    <x v="142"/>
    <s v="Personnel"/>
    <s v="E "/>
    <s v="Elementary Grade Group K-6"/>
    <s v="PS48E21S"/>
    <s v="PSES Elem Prog21Duty48 S275"/>
    <n v="21"/>
    <x v="11"/>
    <n v="48"/>
    <m/>
    <s v="   "/>
    <n v="0.66"/>
    <n v="0.24959999999999999"/>
    <n v="0.16500000000000001"/>
    <s v="Elementary Physical Therapist"/>
    <x v="11"/>
  </r>
  <r>
    <s v="21302"/>
    <x v="142"/>
    <s v="Personnel"/>
    <s v="H "/>
    <s v="High Grade Group 9-12"/>
    <s v="PS48H21S"/>
    <s v="PSES High Prog21Duty48 S275"/>
    <n v="21"/>
    <x v="11"/>
    <n v="48"/>
    <m/>
    <s v="   "/>
    <n v="0.19"/>
    <n v="0.24959999999999999"/>
    <n v="4.7E-2"/>
    <s v="High Physical Therapist"/>
    <x v="11"/>
  </r>
  <r>
    <s v="21303"/>
    <x v="143"/>
    <s v="Personnel"/>
    <s v="E "/>
    <s v="Elementary Grade Group K-6"/>
    <s v="PS25ES"/>
    <s v="PSES Elem Prog01Act25 S275"/>
    <n v="1"/>
    <x v="1"/>
    <m/>
    <n v="25"/>
    <s v="   "/>
    <n v="3.2370000000000001"/>
    <n v="0.2132"/>
    <n v="0"/>
    <s v="Elementary Pupil Management"/>
    <x v="1"/>
  </r>
  <r>
    <s v="21303"/>
    <x v="143"/>
    <s v="Personnel"/>
    <s v="H "/>
    <s v="High Grade Group 9-12"/>
    <s v="PS25HS"/>
    <s v="PSES High Prog01Act25 S275"/>
    <n v="1"/>
    <x v="1"/>
    <m/>
    <n v="25"/>
    <s v="   "/>
    <n v="0.372"/>
    <n v="0.2132"/>
    <n v="0"/>
    <s v="High Pupil Management"/>
    <x v="1"/>
  </r>
  <r>
    <s v="21303"/>
    <x v="143"/>
    <s v="Personnel"/>
    <s v="E "/>
    <s v="Elementary Grade Group K-6"/>
    <s v="PS42ES"/>
    <s v="PSES Elem Prog01Duty42 S275"/>
    <n v="1"/>
    <x v="5"/>
    <n v="42"/>
    <m/>
    <s v="   "/>
    <n v="0.313"/>
    <n v="0.2132"/>
    <n v="0"/>
    <s v="Elementary Counselor"/>
    <x v="5"/>
  </r>
  <r>
    <s v="21303"/>
    <x v="143"/>
    <s v="Personnel"/>
    <s v="H "/>
    <s v="High Grade Group 9-12"/>
    <s v="PS42HS"/>
    <s v="PSES High Prog01Duty42 S275"/>
    <n v="1"/>
    <x v="5"/>
    <n v="42"/>
    <m/>
    <s v="   "/>
    <n v="0.38700000000000001"/>
    <n v="0.2132"/>
    <n v="0"/>
    <s v="High Counselor"/>
    <x v="5"/>
  </r>
  <r>
    <s v="21303"/>
    <x v="143"/>
    <s v="Personnel"/>
    <s v="E "/>
    <s v="Elementary Grade Group K-6"/>
    <s v="PS47ES"/>
    <s v="PSES Elem Prog01Duty47 S275"/>
    <n v="1"/>
    <x v="9"/>
    <n v="47"/>
    <m/>
    <s v="   "/>
    <n v="0.23799999999999999"/>
    <n v="0.2132"/>
    <n v="0"/>
    <s v="Elementary Nurse"/>
    <x v="9"/>
  </r>
  <r>
    <s v="21303"/>
    <x v="143"/>
    <s v="Personnel"/>
    <s v="H "/>
    <s v="High Grade Group 9-12"/>
    <s v="PS47HS"/>
    <s v="PSES High Prog01Duty47 S275"/>
    <n v="1"/>
    <x v="9"/>
    <n v="47"/>
    <m/>
    <s v="   "/>
    <n v="8.1000000000000003E-2"/>
    <n v="0.2132"/>
    <n v="0"/>
    <s v="High Nurse"/>
    <x v="9"/>
  </r>
  <r>
    <s v="21303"/>
    <x v="143"/>
    <s v="Personnel"/>
    <s v="M "/>
    <s v="Middle Grade Group 7-8"/>
    <s v="PS47MS"/>
    <s v="PSES Mid Prog01Duty47 S275"/>
    <n v="1"/>
    <x v="9"/>
    <n v="47"/>
    <m/>
    <s v="   "/>
    <n v="8.1000000000000003E-2"/>
    <n v="0.2132"/>
    <n v="0"/>
    <s v="Middle Nurse"/>
    <x v="9"/>
  </r>
  <r>
    <s v="21401"/>
    <x v="144"/>
    <s v="Personnel"/>
    <s v="H "/>
    <s v="High Grade Group 9-12"/>
    <s v="PS25H21S"/>
    <s v="PSES High Prog21Act25 S275"/>
    <n v="21"/>
    <x v="1"/>
    <m/>
    <n v="25"/>
    <s v="   "/>
    <n v="3.2080000000000002"/>
    <n v="0.2707"/>
    <n v="0.86799999999999999"/>
    <s v="High Pupil Management"/>
    <x v="1"/>
  </r>
  <r>
    <s v="21401"/>
    <x v="144"/>
    <s v="Personnel"/>
    <s v="H "/>
    <s v="High Grade Group 9-12"/>
    <s v="PS25HS"/>
    <s v="PSES High Prog01Act25 S275"/>
    <n v="1"/>
    <x v="1"/>
    <m/>
    <n v="25"/>
    <s v="   "/>
    <n v="0.75800000000000001"/>
    <n v="0.2707"/>
    <n v="0"/>
    <s v="High Pupil Management"/>
    <x v="1"/>
  </r>
  <r>
    <s v="21401"/>
    <x v="144"/>
    <s v="Personnel"/>
    <s v="E "/>
    <s v="Elementary Grade Group K-6"/>
    <s v="PS26ES"/>
    <s v="PSES Elem Prog01Act26 S275"/>
    <n v="1"/>
    <x v="2"/>
    <m/>
    <n v="26"/>
    <s v="   "/>
    <n v="1.389"/>
    <n v="0.2707"/>
    <n v="0"/>
    <s v="Elementary Health/_x000a_Related Services"/>
    <x v="2"/>
  </r>
  <r>
    <s v="21401"/>
    <x v="144"/>
    <s v="Personnel"/>
    <s v="H "/>
    <s v="High Grade Group 9-12"/>
    <s v="PS26H21S"/>
    <s v="PSES High Prog21Act26 S275"/>
    <n v="21"/>
    <x v="2"/>
    <m/>
    <n v="26"/>
    <s v="   "/>
    <n v="0.20499999999999999"/>
    <n v="0.2707"/>
    <n v="5.5E-2"/>
    <s v="High Health/_x000a_Related Services"/>
    <x v="2"/>
  </r>
  <r>
    <s v="21401"/>
    <x v="144"/>
    <s v="Personnel"/>
    <s v="H "/>
    <s v="High Grade Group 9-12"/>
    <s v="PS26HS"/>
    <s v="PSES High Prog01Act26 S275"/>
    <n v="1"/>
    <x v="2"/>
    <m/>
    <n v="26"/>
    <s v="   "/>
    <n v="3.718"/>
    <n v="0.2707"/>
    <n v="0"/>
    <s v="High Health/_x000a_Related Services"/>
    <x v="2"/>
  </r>
  <r>
    <s v="21401"/>
    <x v="144"/>
    <s v="Personnel"/>
    <s v="M "/>
    <s v="Middle Grade Group 7-8"/>
    <s v="PS26M21S"/>
    <s v="PSES Mid Prog21Act26 S275"/>
    <n v="21"/>
    <x v="2"/>
    <m/>
    <n v="26"/>
    <s v="   "/>
    <n v="0.36899999999999999"/>
    <n v="0.2707"/>
    <n v="0.1"/>
    <s v="Middle Health/_x000a_Related Services"/>
    <x v="2"/>
  </r>
  <r>
    <s v="21401"/>
    <x v="144"/>
    <s v="Personnel"/>
    <s v="M "/>
    <s v="Middle Grade Group 7-8"/>
    <s v="PS26MS"/>
    <s v="PSES Mid Prog01Act26 S275"/>
    <n v="1"/>
    <x v="2"/>
    <m/>
    <n v="26"/>
    <s v="   "/>
    <n v="0.752"/>
    <n v="0.2707"/>
    <n v="0"/>
    <s v="Middle Health/_x000a_Related Services"/>
    <x v="2"/>
  </r>
  <r>
    <s v="21401"/>
    <x v="144"/>
    <s v="Personnel"/>
    <s v="E "/>
    <s v="Elementary Grade Group K-6"/>
    <s v="PS42ES"/>
    <s v="PSES Elem Prog01Duty42 S275"/>
    <n v="1"/>
    <x v="5"/>
    <n v="42"/>
    <m/>
    <s v="   "/>
    <n v="5"/>
    <n v="0.2707"/>
    <n v="0"/>
    <s v="Elementary Counselor"/>
    <x v="5"/>
  </r>
  <r>
    <s v="21401"/>
    <x v="144"/>
    <s v="Personnel"/>
    <s v="H "/>
    <s v="High Grade Group 9-12"/>
    <s v="PS42HS"/>
    <s v="PSES High Prog01Duty42 S275"/>
    <n v="1"/>
    <x v="5"/>
    <n v="42"/>
    <m/>
    <s v="   "/>
    <n v="3"/>
    <n v="0.2707"/>
    <n v="0"/>
    <s v="High Counselor"/>
    <x v="5"/>
  </r>
  <r>
    <s v="21401"/>
    <x v="144"/>
    <s v="Personnel"/>
    <s v="M "/>
    <s v="Middle Grade Group 7-8"/>
    <s v="PS42MS"/>
    <s v="PSES Mid Prog01Duty42 S275"/>
    <n v="1"/>
    <x v="5"/>
    <n v="42"/>
    <m/>
    <s v="   "/>
    <n v="1.5"/>
    <n v="0.2707"/>
    <n v="0"/>
    <s v="Middle Counselor"/>
    <x v="5"/>
  </r>
  <r>
    <s v="21401"/>
    <x v="144"/>
    <s v="Personnel"/>
    <s v="E "/>
    <s v="Elementary Grade Group K-6"/>
    <s v="PS43E21S"/>
    <s v="PSES Elem Prog21Duty43 S275"/>
    <n v="21"/>
    <x v="6"/>
    <n v="43"/>
    <m/>
    <s v="   "/>
    <n v="1.5349999999999999"/>
    <n v="0.2707"/>
    <n v="0.41599999999999998"/>
    <s v="Elementary Occupational Therapist"/>
    <x v="6"/>
  </r>
  <r>
    <s v="21401"/>
    <x v="144"/>
    <s v="Personnel"/>
    <s v="H "/>
    <s v="High Grade Group 9-12"/>
    <s v="PS43H21S"/>
    <s v="PSES High Prog21Duty43 S275"/>
    <n v="21"/>
    <x v="6"/>
    <n v="43"/>
    <m/>
    <s v="   "/>
    <n v="0.311"/>
    <n v="0.2707"/>
    <n v="8.4000000000000005E-2"/>
    <s v="High Occupational Therapist"/>
    <x v="6"/>
  </r>
  <r>
    <s v="21401"/>
    <x v="144"/>
    <s v="Personnel"/>
    <s v="M "/>
    <s v="Middle Grade Group 7-8"/>
    <s v="PS43M21S"/>
    <s v="PSES Mid Prog21Duty43 S275"/>
    <n v="21"/>
    <x v="6"/>
    <n v="43"/>
    <m/>
    <s v="   "/>
    <n v="0.154"/>
    <n v="0.2707"/>
    <n v="4.2000000000000003E-2"/>
    <s v="Middle Occupational Therapist"/>
    <x v="6"/>
  </r>
  <r>
    <s v="21401"/>
    <x v="144"/>
    <s v="Personnel"/>
    <s v="E "/>
    <s v="Elementary Grade Group K-6"/>
    <s v="PS45E21S"/>
    <s v="PSES Elem Prog21Duty45 S275"/>
    <n v="21"/>
    <x v="7"/>
    <n v="45"/>
    <m/>
    <s v="   "/>
    <n v="1.21"/>
    <n v="0.2707"/>
    <n v="0.32800000000000001"/>
    <s v="Elementary Speech, Language Pathway/_x000a_Audio"/>
    <x v="7"/>
  </r>
  <r>
    <s v="21401"/>
    <x v="144"/>
    <s v="Personnel"/>
    <s v="H "/>
    <s v="High Grade Group 9-12"/>
    <s v="PS45H21S"/>
    <s v="PSES High Prog21Duty45 S275"/>
    <n v="21"/>
    <x v="7"/>
    <n v="45"/>
    <m/>
    <s v="   "/>
    <n v="0.122"/>
    <n v="0.2707"/>
    <n v="3.3000000000000002E-2"/>
    <s v="High Speech, Language Pathway/_x000a_Audio"/>
    <x v="7"/>
  </r>
  <r>
    <s v="21401"/>
    <x v="144"/>
    <s v="Personnel"/>
    <s v="M "/>
    <s v="Middle Grade Group 7-8"/>
    <s v="PS45M21S"/>
    <s v="PSES Mid Prog21Duty45 S275"/>
    <n v="21"/>
    <x v="7"/>
    <n v="45"/>
    <m/>
    <s v="   "/>
    <n v="6.0999999999999999E-2"/>
    <n v="0.2707"/>
    <n v="1.7000000000000001E-2"/>
    <s v="Middle Speech, Language Pathway/_x000a_Audio"/>
    <x v="7"/>
  </r>
  <r>
    <s v="21401"/>
    <x v="144"/>
    <s v="Personnel"/>
    <s v="E "/>
    <s v="Elementary Grade Group K-6"/>
    <s v="PS46E21S"/>
    <s v="PSES Elem Prog21Duty46 S275"/>
    <n v="21"/>
    <x v="8"/>
    <n v="46"/>
    <m/>
    <s v="   "/>
    <n v="0.25"/>
    <n v="0.2707"/>
    <n v="6.8000000000000005E-2"/>
    <s v="Elementary Psychologist"/>
    <x v="8"/>
  </r>
  <r>
    <s v="21401"/>
    <x v="144"/>
    <s v="Personnel"/>
    <s v="H "/>
    <s v="High Grade Group 9-12"/>
    <s v="PS46H21S"/>
    <s v="PSES High Prog21Duty46 S275"/>
    <n v="21"/>
    <x v="8"/>
    <n v="46"/>
    <m/>
    <s v="   "/>
    <n v="0.5"/>
    <n v="0.2707"/>
    <n v="0.13500000000000001"/>
    <s v="High Psychologist"/>
    <x v="8"/>
  </r>
  <r>
    <s v="21401"/>
    <x v="144"/>
    <s v="Personnel"/>
    <s v="M "/>
    <s v="Middle Grade Group 7-8"/>
    <s v="PS46M21S"/>
    <s v="PSES Mid Prog21Duty46 S275"/>
    <n v="21"/>
    <x v="8"/>
    <n v="46"/>
    <m/>
    <s v="   "/>
    <n v="0.25"/>
    <n v="0.2707"/>
    <n v="6.8000000000000005E-2"/>
    <s v="Middle Psychologist"/>
    <x v="8"/>
  </r>
  <r>
    <s v="21401"/>
    <x v="144"/>
    <s v="Personnel"/>
    <s v="E "/>
    <s v="Elementary Grade Group K-6"/>
    <s v="PS48E21S"/>
    <s v="PSES Elem Prog21Duty48 S275"/>
    <n v="21"/>
    <x v="11"/>
    <n v="48"/>
    <m/>
    <s v="   "/>
    <n v="0.43"/>
    <n v="0.2707"/>
    <n v="0.11600000000000001"/>
    <s v="Elementary Physical Therapist"/>
    <x v="11"/>
  </r>
  <r>
    <s v="21401"/>
    <x v="144"/>
    <s v="Personnel"/>
    <s v="H "/>
    <s v="High Grade Group 9-12"/>
    <s v="PS48H21S"/>
    <s v="PSES High Prog21Duty48 S275"/>
    <n v="21"/>
    <x v="11"/>
    <n v="48"/>
    <m/>
    <s v="   "/>
    <n v="0.249"/>
    <n v="0.2707"/>
    <n v="6.7000000000000004E-2"/>
    <s v="High Physical Therapist"/>
    <x v="11"/>
  </r>
  <r>
    <s v="21401"/>
    <x v="144"/>
    <s v="Personnel"/>
    <s v="M "/>
    <s v="Middle Grade Group 7-8"/>
    <s v="PS48M21S"/>
    <s v="PSES Mid Prog21Duty48 S275"/>
    <n v="21"/>
    <x v="11"/>
    <n v="48"/>
    <m/>
    <s v="   "/>
    <n v="0.123"/>
    <n v="0.2707"/>
    <n v="3.3000000000000002E-2"/>
    <s v="Middle Physical Therapist"/>
    <x v="11"/>
  </r>
  <r>
    <s v="21401"/>
    <x v="144"/>
    <s v="Personnel"/>
    <s v="E "/>
    <s v="Elementary Grade Group K-6"/>
    <s v="PS49E21S"/>
    <s v="PSES Elem Prog21Duty49 S275"/>
    <n v="21"/>
    <x v="10"/>
    <n v="49"/>
    <m/>
    <s v="   "/>
    <n v="0.53500000000000003"/>
    <n v="0.2707"/>
    <n v="0.14499999999999999"/>
    <s v="Elementary Behavior Analyst"/>
    <x v="10"/>
  </r>
  <r>
    <s v="21401"/>
    <x v="144"/>
    <s v="Personnel"/>
    <s v="H "/>
    <s v="High Grade Group 9-12"/>
    <s v="PS49H21S"/>
    <s v="PSES High Prog21Duty49 S275"/>
    <n v="21"/>
    <x v="10"/>
    <n v="49"/>
    <m/>
    <s v="   "/>
    <n v="0.311"/>
    <n v="0.2707"/>
    <n v="8.4000000000000005E-2"/>
    <s v="High Behavior Analyst"/>
    <x v="10"/>
  </r>
  <r>
    <s v="21401"/>
    <x v="144"/>
    <s v="Personnel"/>
    <s v="M "/>
    <s v="Middle Grade Group 7-8"/>
    <s v="PS49M21S"/>
    <s v="PSES Mid Prog21Duty49 S275"/>
    <n v="21"/>
    <x v="10"/>
    <n v="49"/>
    <m/>
    <s v="   "/>
    <n v="0.154"/>
    <n v="0.2707"/>
    <n v="4.2000000000000003E-2"/>
    <s v="Middle Behavior Analyst"/>
    <x v="10"/>
  </r>
  <r>
    <s v="22008"/>
    <x v="145"/>
    <s v="Personnel"/>
    <s v="E "/>
    <s v="Elementary Grade Group K-6"/>
    <s v="PS25ES"/>
    <s v="PSES Elem Prog01Act25 S275"/>
    <n v="1"/>
    <x v="1"/>
    <m/>
    <n v="25"/>
    <s v="   "/>
    <n v="0.33500000000000002"/>
    <n v="0.14849999999999999"/>
    <n v="0"/>
    <s v="Elementary Pupil Management"/>
    <x v="1"/>
  </r>
  <r>
    <s v="22008"/>
    <x v="145"/>
    <s v="Personnel"/>
    <s v="E "/>
    <s v="Elementary Grade Group K-6"/>
    <s v="PS42ES"/>
    <s v="PSES Elem Prog01Duty42 S275"/>
    <n v="1"/>
    <x v="5"/>
    <n v="42"/>
    <m/>
    <s v="   "/>
    <n v="0.5"/>
    <n v="0.14849999999999999"/>
    <n v="0"/>
    <s v="Elementary Counselor"/>
    <x v="5"/>
  </r>
  <r>
    <s v="22008"/>
    <x v="145"/>
    <s v="Personnel"/>
    <s v="H "/>
    <s v="High Grade Group 9-12"/>
    <s v="PS42HS"/>
    <s v="PSES High Prog01Duty42 S275"/>
    <n v="1"/>
    <x v="5"/>
    <n v="42"/>
    <m/>
    <s v="   "/>
    <n v="0.5"/>
    <n v="0.14849999999999999"/>
    <n v="0"/>
    <s v="High Counselor"/>
    <x v="5"/>
  </r>
  <r>
    <s v="22009"/>
    <x v="146"/>
    <s v="Personnel"/>
    <s v="E "/>
    <s v="Elementary Grade Group K-6"/>
    <s v="PS25ES"/>
    <s v="PSES Elem Prog01Act25 S275"/>
    <n v="1"/>
    <x v="1"/>
    <m/>
    <n v="25"/>
    <s v="   "/>
    <n v="0.24299999999999999"/>
    <n v="0.2621"/>
    <n v="0"/>
    <s v="Elementary Pupil Management"/>
    <x v="1"/>
  </r>
  <r>
    <s v="22009"/>
    <x v="146"/>
    <s v="Personnel"/>
    <s v="H "/>
    <s v="High Grade Group 9-12"/>
    <s v="PS25HS"/>
    <s v="PSES High Prog01Act25 S275"/>
    <n v="1"/>
    <x v="1"/>
    <m/>
    <n v="25"/>
    <s v="   "/>
    <n v="0.40400000000000003"/>
    <n v="0.2621"/>
    <n v="0"/>
    <s v="High Pupil Management"/>
    <x v="1"/>
  </r>
  <r>
    <s v="22009"/>
    <x v="146"/>
    <s v="Personnel"/>
    <s v="M "/>
    <s v="Middle Grade Group 7-8"/>
    <s v="PS25MS"/>
    <s v="PSES Mid Prog01Act25 S275"/>
    <n v="1"/>
    <x v="1"/>
    <m/>
    <n v="25"/>
    <s v="   "/>
    <n v="0.161"/>
    <n v="0.2621"/>
    <n v="0"/>
    <s v="Middle Pupil Management"/>
    <x v="1"/>
  </r>
  <r>
    <s v="22009"/>
    <x v="146"/>
    <s v="Personnel"/>
    <s v="H "/>
    <s v="High Grade Group 9-12"/>
    <s v="PS26HS"/>
    <s v="PSES High Prog01Act26 S275"/>
    <n v="1"/>
    <x v="2"/>
    <m/>
    <n v="26"/>
    <s v="   "/>
    <n v="0.39800000000000002"/>
    <n v="0.2621"/>
    <n v="0"/>
    <s v="High Health/_x000a_Related Services"/>
    <x v="2"/>
  </r>
  <r>
    <s v="22009"/>
    <x v="146"/>
    <s v="Personnel"/>
    <s v="E "/>
    <s v="Elementary Grade Group K-6"/>
    <s v="PS42ES"/>
    <s v="PSES Elem Prog01Duty42 S275"/>
    <n v="1"/>
    <x v="5"/>
    <n v="42"/>
    <m/>
    <s v="   "/>
    <n v="0.8"/>
    <n v="0.2621"/>
    <n v="0"/>
    <s v="Elementary Counselor"/>
    <x v="5"/>
  </r>
  <r>
    <s v="22009"/>
    <x v="146"/>
    <s v="Personnel"/>
    <s v="H "/>
    <s v="High Grade Group 9-12"/>
    <s v="PS42HS"/>
    <s v="PSES High Prog01Duty42 S275"/>
    <n v="1"/>
    <x v="5"/>
    <n v="42"/>
    <m/>
    <s v="   "/>
    <n v="0.75"/>
    <n v="0.2621"/>
    <n v="0"/>
    <s v="High Counselor"/>
    <x v="5"/>
  </r>
  <r>
    <s v="22017"/>
    <x v="147"/>
    <s v="Personnel"/>
    <s v="H "/>
    <s v="High Grade Group 9-12"/>
    <s v="PS25HS"/>
    <s v="PSES High Prog01Act25 S275"/>
    <n v="1"/>
    <x v="1"/>
    <m/>
    <n v="25"/>
    <s v="   "/>
    <n v="0.14399999999999999"/>
    <n v="0.16059999999999999"/>
    <n v="0"/>
    <s v="High Pupil Management"/>
    <x v="1"/>
  </r>
  <r>
    <s v="22017"/>
    <x v="147"/>
    <s v="Personnel"/>
    <s v="E "/>
    <s v="Elementary Grade Group K-6"/>
    <s v="PS42ES"/>
    <s v="PSES Elem Prog01Duty42 S275"/>
    <n v="1"/>
    <x v="5"/>
    <n v="42"/>
    <m/>
    <s v="   "/>
    <n v="0.48299999999999998"/>
    <n v="0.16059999999999999"/>
    <n v="0"/>
    <s v="Elementary Counselor"/>
    <x v="5"/>
  </r>
  <r>
    <s v="22017"/>
    <x v="147"/>
    <s v="Personnel"/>
    <s v="M "/>
    <s v="Middle Grade Group 7-8"/>
    <s v="PS42MS"/>
    <s v="PSES Mid Prog01Duty42 S275"/>
    <n v="1"/>
    <x v="5"/>
    <n v="42"/>
    <m/>
    <s v="   "/>
    <n v="0.14399999999999999"/>
    <n v="0.16059999999999999"/>
    <n v="0"/>
    <s v="Middle Counselor"/>
    <x v="5"/>
  </r>
  <r>
    <s v="22105"/>
    <x v="148"/>
    <s v="Personnel"/>
    <s v="E "/>
    <s v="Elementary Grade Group K-6"/>
    <s v="PS25ES"/>
    <s v="PSES Elem Prog01Act25 S275"/>
    <n v="1"/>
    <x v="1"/>
    <m/>
    <n v="25"/>
    <s v="   "/>
    <n v="0.22"/>
    <n v="0.24740000000000001"/>
    <n v="0"/>
    <s v="Elementary Pupil Management"/>
    <x v="1"/>
  </r>
  <r>
    <s v="22105"/>
    <x v="148"/>
    <s v="Personnel"/>
    <s v="H "/>
    <s v="High Grade Group 9-12"/>
    <s v="PS25HS"/>
    <s v="PSES High Prog01Act25 S275"/>
    <n v="1"/>
    <x v="1"/>
    <m/>
    <n v="25"/>
    <s v="   "/>
    <n v="0.61099999999999999"/>
    <n v="0.24740000000000001"/>
    <n v="0"/>
    <s v="High Pupil Management"/>
    <x v="1"/>
  </r>
  <r>
    <s v="22105"/>
    <x v="148"/>
    <s v="Personnel"/>
    <s v="E "/>
    <s v="Elementary Grade Group K-6"/>
    <s v="PS42ES"/>
    <s v="PSES Elem Prog01Duty42 S275"/>
    <n v="1"/>
    <x v="5"/>
    <n v="42"/>
    <m/>
    <s v="   "/>
    <n v="0.497"/>
    <n v="0.24740000000000001"/>
    <n v="0"/>
    <s v="Elementary Counselor"/>
    <x v="5"/>
  </r>
  <r>
    <s v="22105"/>
    <x v="148"/>
    <s v="Personnel"/>
    <s v="H "/>
    <s v="High Grade Group 9-12"/>
    <s v="PS42HS"/>
    <s v="PSES High Prog01Duty42 S275"/>
    <n v="1"/>
    <x v="5"/>
    <n v="42"/>
    <m/>
    <s v="   "/>
    <n v="0.33100000000000002"/>
    <n v="0.24740000000000001"/>
    <n v="0"/>
    <s v="High Counselor"/>
    <x v="5"/>
  </r>
  <r>
    <s v="22105"/>
    <x v="148"/>
    <s v="Personnel"/>
    <s v="M "/>
    <s v="Middle Grade Group 7-8"/>
    <s v="PS42MS"/>
    <s v="PSES Mid Prog01Duty42 S275"/>
    <n v="1"/>
    <x v="5"/>
    <n v="42"/>
    <m/>
    <s v="   "/>
    <n v="0.16500000000000001"/>
    <n v="0.24740000000000001"/>
    <n v="0"/>
    <s v="Middle Counselor"/>
    <x v="5"/>
  </r>
  <r>
    <s v="22200"/>
    <x v="149"/>
    <s v="Personnel"/>
    <s v="E "/>
    <s v="Elementary Grade Group K-6"/>
    <s v="PS26ES"/>
    <s v="PSES Elem Prog01Act26 S275"/>
    <n v="1"/>
    <x v="2"/>
    <m/>
    <n v="26"/>
    <s v="   "/>
    <n v="0.33900000000000002"/>
    <n v="0.16489999999999999"/>
    <n v="0"/>
    <s v="Elementary Health/_x000a_Related Services"/>
    <x v="2"/>
  </r>
  <r>
    <s v="22200"/>
    <x v="149"/>
    <s v="Personnel"/>
    <s v="H "/>
    <s v="High Grade Group 9-12"/>
    <s v="PS26HS"/>
    <s v="PSES High Prog01Act26 S275"/>
    <n v="1"/>
    <x v="2"/>
    <m/>
    <n v="26"/>
    <s v="   "/>
    <n v="0.33900000000000002"/>
    <n v="0.16489999999999999"/>
    <n v="0"/>
    <s v="High Health/_x000a_Related Services"/>
    <x v="2"/>
  </r>
  <r>
    <s v="22200"/>
    <x v="149"/>
    <s v="Personnel"/>
    <s v="T"/>
    <s v="Elementary Grade Group K-6"/>
    <s v="PS26E09S"/>
    <s v="PSES Elem Prog09Duty26 S275"/>
    <n v="9"/>
    <x v="2"/>
    <n v="91"/>
    <n v="26"/>
    <m/>
    <n v="1.4E-2"/>
    <n v="0.16489999999999999"/>
    <n v="0"/>
    <s v="TK Health/_x000a_Related Services"/>
    <x v="2"/>
  </r>
  <r>
    <s v="22204"/>
    <x v="150"/>
    <s v="Personnel"/>
    <s v="E "/>
    <s v="Elementary Grade Group K-6"/>
    <s v="PS25ES"/>
    <s v="PSES Elem Prog01Act25 S275"/>
    <n v="1"/>
    <x v="1"/>
    <m/>
    <n v="25"/>
    <s v="   "/>
    <n v="4.2000000000000003E-2"/>
    <n v="0.11119999999999999"/>
    <n v="0"/>
    <s v="Elementary Pupil Management"/>
    <x v="1"/>
  </r>
  <r>
    <s v="22204"/>
    <x v="150"/>
    <s v="Personnel"/>
    <s v="E "/>
    <s v="Elementary Grade Group K-6"/>
    <s v="PS42ES"/>
    <s v="PSES Elem Prog01Duty42 S275"/>
    <n v="1"/>
    <x v="5"/>
    <n v="42"/>
    <m/>
    <s v="   "/>
    <n v="0.5"/>
    <n v="0.11119999999999999"/>
    <n v="0"/>
    <s v="Elementary Counselor"/>
    <x v="5"/>
  </r>
  <r>
    <s v="22204"/>
    <x v="150"/>
    <s v="Personnel"/>
    <s v="H "/>
    <s v="High Grade Group 9-12"/>
    <s v="PS42HS"/>
    <s v="PSES High Prog01Duty42 S275"/>
    <n v="1"/>
    <x v="5"/>
    <n v="42"/>
    <m/>
    <s v="   "/>
    <n v="0.5"/>
    <n v="0.11119999999999999"/>
    <n v="0"/>
    <s v="High Counselor"/>
    <x v="5"/>
  </r>
  <r>
    <s v="22204"/>
    <x v="150"/>
    <s v="Personnel"/>
    <s v="E "/>
    <s v="Elementary Grade Group K-6"/>
    <s v="PS45E21S"/>
    <s v="PSES Elem Prog21Duty45 S275"/>
    <n v="21"/>
    <x v="7"/>
    <n v="45"/>
    <m/>
    <s v="   "/>
    <n v="0.5"/>
    <n v="0.11119999999999999"/>
    <n v="5.6000000000000001E-2"/>
    <s v="Elementary Speech, Language Pathway/_x000a_Audio"/>
    <x v="7"/>
  </r>
  <r>
    <s v="22204"/>
    <x v="150"/>
    <s v="Personnel"/>
    <s v="H "/>
    <s v="High Grade Group 9-12"/>
    <s v="PS45H21S"/>
    <s v="PSES High Prog21Duty45 S275"/>
    <n v="21"/>
    <x v="7"/>
    <n v="45"/>
    <m/>
    <s v="   "/>
    <n v="0.5"/>
    <n v="0.11119999999999999"/>
    <n v="5.6000000000000001E-2"/>
    <s v="High Speech, Language Pathway/_x000a_Audio"/>
    <x v="7"/>
  </r>
  <r>
    <s v="22207"/>
    <x v="151"/>
    <s v="Personnel"/>
    <s v="H "/>
    <s v="High Grade Group 9-12"/>
    <s v="PS25HS"/>
    <s v="PSES High Prog01Act25 S275"/>
    <n v="1"/>
    <x v="1"/>
    <m/>
    <n v="25"/>
    <s v="   "/>
    <n v="0.72699999999999998"/>
    <n v="0.1583"/>
    <n v="0"/>
    <s v="High Pupil Management"/>
    <x v="1"/>
  </r>
  <r>
    <s v="22207"/>
    <x v="151"/>
    <s v="Personnel"/>
    <s v="E "/>
    <s v="Elementary Grade Group K-6"/>
    <s v="PS26E21S"/>
    <s v="PSES Elem Prog21Act26 S275"/>
    <n v="21"/>
    <x v="2"/>
    <m/>
    <n v="26"/>
    <s v="   "/>
    <n v="1.411"/>
    <n v="0.1583"/>
    <n v="0.223"/>
    <s v="Elementary Health/_x000a_Related Services"/>
    <x v="2"/>
  </r>
  <r>
    <s v="22207"/>
    <x v="151"/>
    <s v="Personnel"/>
    <s v="H "/>
    <s v="High Grade Group 9-12"/>
    <s v="PS26H21S"/>
    <s v="PSES High Prog21Act26 S275"/>
    <n v="21"/>
    <x v="2"/>
    <m/>
    <n v="26"/>
    <s v="   "/>
    <n v="0.224"/>
    <n v="0.1583"/>
    <n v="3.5000000000000003E-2"/>
    <s v="High Health/_x000a_Related Services"/>
    <x v="2"/>
  </r>
  <r>
    <s v="22207"/>
    <x v="151"/>
    <s v="Personnel"/>
    <s v="H "/>
    <s v="High Grade Group 9-12"/>
    <s v="PS42HS"/>
    <s v="PSES High Prog01Duty42 S275"/>
    <n v="1"/>
    <x v="5"/>
    <n v="42"/>
    <m/>
    <s v="   "/>
    <n v="0.74"/>
    <n v="0.1583"/>
    <n v="0"/>
    <s v="High Counselor"/>
    <x v="5"/>
  </r>
  <r>
    <s v="22207"/>
    <x v="151"/>
    <s v="Personnel"/>
    <s v="E "/>
    <s v="Elementary Grade Group K-6"/>
    <s v="PS43E21S"/>
    <s v="PSES Elem Prog21Duty43 S275"/>
    <n v="21"/>
    <x v="6"/>
    <n v="43"/>
    <m/>
    <s v="   "/>
    <n v="1"/>
    <n v="0.1583"/>
    <n v="0.158"/>
    <s v="Elementary Occupational Therapist"/>
    <x v="6"/>
  </r>
  <r>
    <s v="22207"/>
    <x v="151"/>
    <s v="Personnel"/>
    <s v="E "/>
    <s v="Elementary Grade Group K-6"/>
    <s v="PS45E21S"/>
    <s v="PSES Elem Prog21Duty45 S275"/>
    <n v="21"/>
    <x v="7"/>
    <n v="45"/>
    <m/>
    <s v="   "/>
    <n v="0.4"/>
    <n v="0.1583"/>
    <n v="6.3E-2"/>
    <s v="Elementary Speech, Language Pathway/_x000a_Audio"/>
    <x v="7"/>
  </r>
  <r>
    <s v="22207"/>
    <x v="151"/>
    <s v="Personnel"/>
    <s v="E "/>
    <s v="Elementary Grade Group K-6"/>
    <s v="PS47ES"/>
    <s v="PSES Elem Prog01Duty47 S275"/>
    <n v="1"/>
    <x v="9"/>
    <n v="47"/>
    <m/>
    <s v="   "/>
    <n v="1"/>
    <n v="0.1583"/>
    <n v="0"/>
    <s v="Elementary Nurse"/>
    <x v="9"/>
  </r>
  <r>
    <s v="23042"/>
    <x v="152"/>
    <s v="Personnel"/>
    <s v="H "/>
    <s v="High Grade Group 9-12"/>
    <s v="PS26HS"/>
    <s v="PSES High Prog01Act26 S275"/>
    <n v="1"/>
    <x v="2"/>
    <m/>
    <n v="26"/>
    <s v="   "/>
    <n v="0.17599999999999999"/>
    <n v="0.16089999999999999"/>
    <n v="0"/>
    <s v="High Health/_x000a_Related Services"/>
    <x v="2"/>
  </r>
  <r>
    <s v="23042"/>
    <x v="152"/>
    <s v="Personnel"/>
    <s v="E "/>
    <s v="Elementary Grade Group K-6"/>
    <s v="PS42ES"/>
    <s v="PSES Elem Prog01Duty42 S275"/>
    <n v="1"/>
    <x v="5"/>
    <n v="42"/>
    <m/>
    <s v="   "/>
    <n v="0.26600000000000001"/>
    <n v="0.16089999999999999"/>
    <n v="0"/>
    <s v="Elementary Counselor"/>
    <x v="5"/>
  </r>
  <r>
    <s v="23054"/>
    <x v="153"/>
    <s v="Personnel"/>
    <s v="H "/>
    <s v="High Grade Group 9-12"/>
    <s v="PS25HS"/>
    <s v="PSES High Prog01Act25 S275"/>
    <n v="1"/>
    <x v="1"/>
    <m/>
    <n v="25"/>
    <s v="   "/>
    <n v="0.52800000000000002"/>
    <n v="9.8000000000000004E-2"/>
    <n v="0"/>
    <s v="High Pupil Management"/>
    <x v="1"/>
  </r>
  <r>
    <s v="23054"/>
    <x v="153"/>
    <s v="Personnel"/>
    <s v="M "/>
    <s v="Middle Grade Group 7-8"/>
    <s v="PS42MS"/>
    <s v="PSES Mid Prog01Duty42 S275"/>
    <n v="1"/>
    <x v="5"/>
    <n v="42"/>
    <m/>
    <s v="   "/>
    <n v="0.217"/>
    <n v="9.8000000000000004E-2"/>
    <n v="0"/>
    <s v="Middle Counselor"/>
    <x v="5"/>
  </r>
  <r>
    <s v="23054"/>
    <x v="153"/>
    <s v="Personnel"/>
    <m/>
    <s v="Elementary Grade Group K-6"/>
    <s v="PS25E09S"/>
    <s v="PSES Elem Prog09Duty25 S275"/>
    <n v="9"/>
    <x v="1"/>
    <n v="91"/>
    <n v="25"/>
    <m/>
    <n v="0.187"/>
    <n v="9.8000000000000004E-2"/>
    <n v="0"/>
    <s v="TK Pupil Management"/>
    <x v="1"/>
  </r>
  <r>
    <s v="23309"/>
    <x v="154"/>
    <s v="Personnel"/>
    <s v="H "/>
    <s v="High Grade Group 9-12"/>
    <s v="PS25H97S"/>
    <s v="PSES High Prog97Act25 S275"/>
    <n v="97"/>
    <x v="1"/>
    <m/>
    <n v="25"/>
    <s v="   "/>
    <n v="1.681"/>
    <n v="0.18729999999999999"/>
    <n v="0"/>
    <s v="High Pupil Management"/>
    <x v="1"/>
  </r>
  <r>
    <s v="23309"/>
    <x v="154"/>
    <s v="Personnel"/>
    <s v="H "/>
    <s v="High Grade Group 9-12"/>
    <s v="PS25HS"/>
    <s v="PSES High Prog01Act25 S275"/>
    <n v="1"/>
    <x v="1"/>
    <m/>
    <n v="25"/>
    <s v="   "/>
    <n v="6.0590000000000002"/>
    <n v="0.18729999999999999"/>
    <n v="0"/>
    <s v="High Pupil Management"/>
    <x v="1"/>
  </r>
  <r>
    <s v="23309"/>
    <x v="154"/>
    <s v="Personnel"/>
    <s v="E "/>
    <s v="Elementary Grade Group K-6"/>
    <s v="PS26ES"/>
    <s v="PSES Elem Prog01Act26 S275"/>
    <n v="1"/>
    <x v="2"/>
    <m/>
    <n v="26"/>
    <s v="   "/>
    <n v="0.63600000000000001"/>
    <n v="0.18729999999999999"/>
    <n v="0"/>
    <s v="Elementary Health/_x000a_Related Services"/>
    <x v="2"/>
  </r>
  <r>
    <s v="23309"/>
    <x v="154"/>
    <s v="Personnel"/>
    <s v="H "/>
    <s v="High Grade Group 9-12"/>
    <s v="PS26H21S"/>
    <s v="PSES High Prog21Act26 S275"/>
    <n v="21"/>
    <x v="2"/>
    <m/>
    <n v="26"/>
    <s v="   "/>
    <n v="0.93300000000000005"/>
    <n v="0.18729999999999999"/>
    <n v="0.17499999999999999"/>
    <s v="High Health/_x000a_Related Services"/>
    <x v="2"/>
  </r>
  <r>
    <s v="23309"/>
    <x v="154"/>
    <s v="Personnel"/>
    <s v="H "/>
    <s v="High Grade Group 9-12"/>
    <s v="PS26HS"/>
    <s v="PSES High Prog01Act26 S275"/>
    <n v="1"/>
    <x v="2"/>
    <m/>
    <n v="26"/>
    <s v="   "/>
    <n v="2.7709999999999999"/>
    <n v="0.18729999999999999"/>
    <n v="0"/>
    <s v="High Health/_x000a_Related Services"/>
    <x v="2"/>
  </r>
  <r>
    <s v="23309"/>
    <x v="154"/>
    <s v="Personnel"/>
    <s v="M "/>
    <s v="Middle Grade Group 7-8"/>
    <s v="PS26MS"/>
    <s v="PSES Mid Prog01Act26 S275"/>
    <n v="1"/>
    <x v="2"/>
    <m/>
    <n v="26"/>
    <s v="   "/>
    <n v="0.63600000000000001"/>
    <n v="0.18729999999999999"/>
    <n v="0"/>
    <s v="Middle Health/_x000a_Related Services"/>
    <x v="2"/>
  </r>
  <r>
    <s v="23309"/>
    <x v="154"/>
    <s v="Personnel"/>
    <s v="E "/>
    <s v="Elementary Grade Group K-6"/>
    <s v="PS42ES"/>
    <s v="PSES Elem Prog01Duty42 S275"/>
    <n v="1"/>
    <x v="5"/>
    <n v="42"/>
    <m/>
    <s v="   "/>
    <n v="4.5"/>
    <n v="0.18729999999999999"/>
    <n v="0"/>
    <s v="Elementary Counselor"/>
    <x v="5"/>
  </r>
  <r>
    <s v="23309"/>
    <x v="154"/>
    <s v="Personnel"/>
    <s v="H "/>
    <s v="High Grade Group 9-12"/>
    <s v="PS42HS"/>
    <s v="PSES High Prog01Duty42 S275"/>
    <n v="1"/>
    <x v="5"/>
    <n v="42"/>
    <m/>
    <s v="   "/>
    <n v="4.55"/>
    <n v="0.18729999999999999"/>
    <n v="0"/>
    <s v="High Counselor"/>
    <x v="5"/>
  </r>
  <r>
    <s v="23309"/>
    <x v="154"/>
    <s v="Personnel"/>
    <s v="M "/>
    <s v="Middle Grade Group 7-8"/>
    <s v="PS42MS"/>
    <s v="PSES Mid Prog01Duty42 S275"/>
    <n v="1"/>
    <x v="5"/>
    <n v="42"/>
    <m/>
    <s v="   "/>
    <n v="1.6"/>
    <n v="0.18729999999999999"/>
    <n v="0"/>
    <s v="Middle Counselor"/>
    <x v="5"/>
  </r>
  <r>
    <s v="23309"/>
    <x v="154"/>
    <s v="Personnel"/>
    <s v="E "/>
    <s v="Elementary Grade Group K-6"/>
    <s v="PS43E21S"/>
    <s v="PSES Elem Prog21Duty43 S275"/>
    <n v="21"/>
    <x v="6"/>
    <n v="43"/>
    <m/>
    <s v="   "/>
    <n v="0.51"/>
    <n v="0.18729999999999999"/>
    <n v="9.6000000000000002E-2"/>
    <s v="Elementary Occupational Therapist"/>
    <x v="6"/>
  </r>
  <r>
    <s v="23309"/>
    <x v="154"/>
    <s v="Personnel"/>
    <s v="H "/>
    <s v="High Grade Group 9-12"/>
    <s v="PS44HS"/>
    <s v="PSES High Prog01Duty44 S275"/>
    <n v="1"/>
    <x v="13"/>
    <n v="44"/>
    <m/>
    <s v="   "/>
    <n v="1"/>
    <n v="0.18729999999999999"/>
    <n v="0"/>
    <s v="High Social Worker"/>
    <x v="13"/>
  </r>
  <r>
    <s v="23309"/>
    <x v="154"/>
    <s v="Personnel"/>
    <s v="E "/>
    <s v="Elementary Grade Group K-6"/>
    <s v="PS45E21S"/>
    <s v="PSES Elem Prog21Duty45 S275"/>
    <n v="21"/>
    <x v="7"/>
    <n v="45"/>
    <m/>
    <s v="   "/>
    <n v="2.65"/>
    <n v="0.18729999999999999"/>
    <n v="0.496"/>
    <s v="Elementary Speech, Language Pathway/_x000a_Audio"/>
    <x v="7"/>
  </r>
  <r>
    <s v="23309"/>
    <x v="154"/>
    <s v="Personnel"/>
    <s v="H "/>
    <s v="High Grade Group 9-12"/>
    <s v="PS45H21S"/>
    <s v="PSES High Prog21Duty45 S275"/>
    <n v="21"/>
    <x v="7"/>
    <n v="45"/>
    <m/>
    <s v="   "/>
    <n v="0.75"/>
    <n v="0.18729999999999999"/>
    <n v="0.14000000000000001"/>
    <s v="High Speech, Language Pathway/_x000a_Audio"/>
    <x v="7"/>
  </r>
  <r>
    <s v="23309"/>
    <x v="154"/>
    <s v="Personnel"/>
    <s v="M "/>
    <s v="Middle Grade Group 7-8"/>
    <s v="PS45M21S"/>
    <s v="PSES Mid Prog21Duty45 S275"/>
    <n v="21"/>
    <x v="7"/>
    <n v="45"/>
    <m/>
    <s v="   "/>
    <n v="0.02"/>
    <n v="0.18729999999999999"/>
    <n v="4.0000000000000001E-3"/>
    <s v="Middle Speech, Language Pathway/_x000a_Audio"/>
    <x v="7"/>
  </r>
  <r>
    <s v="23309"/>
    <x v="154"/>
    <s v="Personnel"/>
    <s v="E "/>
    <s v="Elementary Grade Group K-6"/>
    <s v="PS46E21S"/>
    <s v="PSES Elem Prog21Duty46 S275"/>
    <n v="21"/>
    <x v="8"/>
    <n v="46"/>
    <m/>
    <s v="   "/>
    <n v="1.1259999999999999"/>
    <n v="0.18729999999999999"/>
    <n v="0.21099999999999999"/>
    <s v="Elementary Psychologist"/>
    <x v="8"/>
  </r>
  <r>
    <s v="23309"/>
    <x v="154"/>
    <s v="Personnel"/>
    <s v="H "/>
    <s v="High Grade Group 9-12"/>
    <s v="PS46H21S"/>
    <s v="PSES High Prog21Duty46 S275"/>
    <n v="21"/>
    <x v="8"/>
    <n v="46"/>
    <m/>
    <s v="   "/>
    <n v="0.94799999999999995"/>
    <n v="0.18729999999999999"/>
    <n v="0.17799999999999999"/>
    <s v="High Psychologist"/>
    <x v="8"/>
  </r>
  <r>
    <s v="23309"/>
    <x v="154"/>
    <s v="Personnel"/>
    <s v="M "/>
    <s v="Middle Grade Group 7-8"/>
    <s v="PS46M21S"/>
    <s v="PSES Mid Prog21Duty46 S275"/>
    <n v="21"/>
    <x v="8"/>
    <n v="46"/>
    <m/>
    <s v="   "/>
    <n v="3.5999999999999997E-2"/>
    <n v="0.18729999999999999"/>
    <n v="7.0000000000000001E-3"/>
    <s v="Middle Psychologist"/>
    <x v="8"/>
  </r>
  <r>
    <s v="23309"/>
    <x v="154"/>
    <s v="Personnel"/>
    <s v="E "/>
    <s v="Elementary Grade Group K-6"/>
    <s v="PS47ES"/>
    <s v="PSES Elem Prog01Duty47 S275"/>
    <n v="1"/>
    <x v="9"/>
    <n v="47"/>
    <m/>
    <s v="   "/>
    <n v="1"/>
    <n v="0.18729999999999999"/>
    <n v="0"/>
    <s v="Elementary Nurse"/>
    <x v="9"/>
  </r>
  <r>
    <s v="23309"/>
    <x v="154"/>
    <s v="Personnel"/>
    <s v="H "/>
    <s v="High Grade Group 9-12"/>
    <s v="PS47HS"/>
    <s v="PSES High Prog01Duty47 S275"/>
    <n v="1"/>
    <x v="9"/>
    <n v="47"/>
    <m/>
    <s v="   "/>
    <n v="2.5"/>
    <n v="0.18729999999999999"/>
    <n v="0"/>
    <s v="High Nurse"/>
    <x v="9"/>
  </r>
  <r>
    <s v="23309"/>
    <x v="154"/>
    <s v="Personnel"/>
    <s v="M "/>
    <s v="Middle Grade Group 7-8"/>
    <s v="PS47MS"/>
    <s v="PSES Mid Prog01Duty47 S275"/>
    <n v="1"/>
    <x v="9"/>
    <n v="47"/>
    <m/>
    <s v="   "/>
    <n v="0.5"/>
    <n v="0.18729999999999999"/>
    <n v="0"/>
    <s v="Middle Nurse"/>
    <x v="9"/>
  </r>
  <r>
    <s v="23309"/>
    <x v="154"/>
    <s v="Personnel"/>
    <s v="E "/>
    <s v="Elementary Grade Group K-6"/>
    <s v="PS48E21S"/>
    <s v="PSES Elem Prog21Duty48 S275"/>
    <n v="21"/>
    <x v="11"/>
    <n v="48"/>
    <m/>
    <s v="   "/>
    <n v="0.42"/>
    <n v="0.18729999999999999"/>
    <n v="7.9000000000000001E-2"/>
    <s v="Elementary Physical Therapist"/>
    <x v="11"/>
  </r>
  <r>
    <s v="23309"/>
    <x v="154"/>
    <s v="Personnel"/>
    <s v="H "/>
    <s v="High Grade Group 9-12"/>
    <s v="PS48H21S"/>
    <s v="PSES High Prog21Duty48 S275"/>
    <n v="21"/>
    <x v="11"/>
    <n v="48"/>
    <m/>
    <s v="   "/>
    <n v="0.08"/>
    <n v="0.18729999999999999"/>
    <n v="1.4999999999999999E-2"/>
    <s v="High Physical Therapist"/>
    <x v="11"/>
  </r>
  <r>
    <s v="23309"/>
    <x v="154"/>
    <s v="Personnel"/>
    <s v="M "/>
    <s v="Middle Grade Group 7-8"/>
    <s v="PS48M21S"/>
    <s v="PSES Mid Prog21Duty48 S275"/>
    <n v="21"/>
    <x v="11"/>
    <n v="48"/>
    <m/>
    <s v="   "/>
    <n v="0.22"/>
    <n v="0.18729999999999999"/>
    <n v="4.1000000000000002E-2"/>
    <s v="Middle Physical Therapist"/>
    <x v="11"/>
  </r>
  <r>
    <s v="23311"/>
    <x v="155"/>
    <s v="Personnel"/>
    <s v="H "/>
    <s v="High Grade Group 9-12"/>
    <s v="PS25HS"/>
    <s v="PSES High Prog01Act25 S275"/>
    <n v="1"/>
    <x v="1"/>
    <m/>
    <n v="25"/>
    <s v="   "/>
    <n v="0.58699999999999997"/>
    <n v="0.19819999999999999"/>
    <n v="0"/>
    <s v="High Pupil Management"/>
    <x v="1"/>
  </r>
  <r>
    <s v="23311"/>
    <x v="155"/>
    <s v="Personnel"/>
    <s v="H "/>
    <s v="High Grade Group 9-12"/>
    <s v="PS26HS"/>
    <s v="PSES High Prog01Act26 S275"/>
    <n v="1"/>
    <x v="2"/>
    <m/>
    <n v="26"/>
    <s v="   "/>
    <n v="0.16400000000000001"/>
    <n v="0.19819999999999999"/>
    <n v="0"/>
    <s v="High Health/_x000a_Related Services"/>
    <x v="2"/>
  </r>
  <r>
    <s v="23402"/>
    <x v="156"/>
    <s v="Personnel"/>
    <s v="E "/>
    <s v="Elementary Grade Group K-6"/>
    <s v="PS25E21S"/>
    <s v="PSES Elem Prog21Act25 S275"/>
    <n v="21"/>
    <x v="1"/>
    <m/>
    <n v="25"/>
    <s v="   "/>
    <n v="0.58499999999999996"/>
    <n v="0.2099"/>
    <n v="0.123"/>
    <s v="Elementary Pupil Management"/>
    <x v="1"/>
  </r>
  <r>
    <s v="23402"/>
    <x v="156"/>
    <s v="Personnel"/>
    <s v="E "/>
    <s v="Elementary Grade Group K-6"/>
    <s v="PS25ES"/>
    <s v="PSES Elem Prog01Act25 S275"/>
    <n v="1"/>
    <x v="1"/>
    <m/>
    <n v="25"/>
    <s v="   "/>
    <n v="0.112"/>
    <n v="0.2099"/>
    <n v="0"/>
    <s v="Elementary Pupil Management"/>
    <x v="1"/>
  </r>
  <r>
    <s v="23402"/>
    <x v="156"/>
    <s v="Personnel"/>
    <s v="H "/>
    <s v="High Grade Group 9-12"/>
    <s v="PS25HS"/>
    <s v="PSES High Prog01Act25 S275"/>
    <n v="1"/>
    <x v="1"/>
    <m/>
    <n v="25"/>
    <s v="   "/>
    <n v="5.8999999999999997E-2"/>
    <n v="0.2099"/>
    <n v="0"/>
    <s v="High Pupil Management"/>
    <x v="1"/>
  </r>
  <r>
    <s v="23402"/>
    <x v="156"/>
    <s v="Personnel"/>
    <s v="E "/>
    <s v="Elementary Grade Group K-6"/>
    <s v="PS42ES"/>
    <s v="PSES Elem Prog01Duty42 S275"/>
    <n v="1"/>
    <x v="5"/>
    <n v="42"/>
    <m/>
    <s v="   "/>
    <n v="1.34"/>
    <n v="0.2099"/>
    <n v="0"/>
    <s v="Elementary Counselor"/>
    <x v="5"/>
  </r>
  <r>
    <s v="23402"/>
    <x v="156"/>
    <s v="Personnel"/>
    <s v="M "/>
    <s v="Middle Grade Group 7-8"/>
    <s v="PS42MS"/>
    <s v="PSES Mid Prog01Duty42 S275"/>
    <n v="1"/>
    <x v="5"/>
    <n v="42"/>
    <m/>
    <s v="   "/>
    <n v="0.66"/>
    <n v="0.2099"/>
    <n v="0"/>
    <s v="Middle Counselor"/>
    <x v="5"/>
  </r>
  <r>
    <s v="23403"/>
    <x v="157"/>
    <s v="Personnel"/>
    <s v="H "/>
    <s v="High Grade Group 9-12"/>
    <s v="PS25HS"/>
    <s v="PSES High Prog01Act25 S275"/>
    <n v="1"/>
    <x v="1"/>
    <m/>
    <n v="25"/>
    <s v="   "/>
    <n v="2.0139999999999998"/>
    <n v="0.18140000000000001"/>
    <n v="0"/>
    <s v="High Pupil Management"/>
    <x v="1"/>
  </r>
  <r>
    <s v="23403"/>
    <x v="157"/>
    <s v="Personnel"/>
    <s v="H "/>
    <s v="High Grade Group 9-12"/>
    <s v="PS35HS"/>
    <s v="PSES High Prog01Act35 S275"/>
    <n v="1"/>
    <x v="3"/>
    <m/>
    <n v="35"/>
    <s v="   "/>
    <n v="2.0939999999999999"/>
    <n v="0.18140000000000001"/>
    <n v="0"/>
    <s v="High Pupil Safety"/>
    <x v="3"/>
  </r>
  <r>
    <s v="23403"/>
    <x v="157"/>
    <s v="Personnel"/>
    <s v="E "/>
    <s v="Elementary Grade Group K-6"/>
    <s v="PS42ES"/>
    <s v="PSES Elem Prog01Duty42 S275"/>
    <n v="1"/>
    <x v="5"/>
    <n v="42"/>
    <m/>
    <s v="   "/>
    <n v="3.6619999999999999"/>
    <n v="0.18140000000000001"/>
    <n v="0"/>
    <s v="Elementary Counselor"/>
    <x v="5"/>
  </r>
  <r>
    <s v="23403"/>
    <x v="157"/>
    <s v="Personnel"/>
    <s v="H "/>
    <s v="High Grade Group 9-12"/>
    <s v="PS42HS"/>
    <s v="PSES High Prog01Duty42 S275"/>
    <n v="1"/>
    <x v="5"/>
    <n v="42"/>
    <m/>
    <s v="   "/>
    <n v="2"/>
    <n v="0.18140000000000001"/>
    <n v="0"/>
    <s v="High Counselor"/>
    <x v="5"/>
  </r>
  <r>
    <s v="23403"/>
    <x v="157"/>
    <s v="Personnel"/>
    <s v="M "/>
    <s v="Middle Grade Group 7-8"/>
    <s v="PS42MS"/>
    <s v="PSES Mid Prog01Duty42 S275"/>
    <n v="1"/>
    <x v="5"/>
    <n v="42"/>
    <m/>
    <s v="   "/>
    <n v="1.3380000000000001"/>
    <n v="0.18140000000000001"/>
    <n v="0"/>
    <s v="Middle Counselor"/>
    <x v="5"/>
  </r>
  <r>
    <s v="23403"/>
    <x v="157"/>
    <s v="Personnel"/>
    <s v="E "/>
    <s v="Elementary Grade Group K-6"/>
    <s v="PS43E21S"/>
    <s v="PSES Elem Prog21Duty43 S275"/>
    <n v="21"/>
    <x v="6"/>
    <n v="43"/>
    <m/>
    <s v="   "/>
    <n v="0.59599999999999997"/>
    <n v="0.18140000000000001"/>
    <n v="0.108"/>
    <s v="Elementary Occupational Therapist"/>
    <x v="6"/>
  </r>
  <r>
    <s v="23403"/>
    <x v="157"/>
    <s v="Personnel"/>
    <s v="H "/>
    <s v="High Grade Group 9-12"/>
    <s v="PS43H21S"/>
    <s v="PSES High Prog21Duty43 S275"/>
    <n v="21"/>
    <x v="6"/>
    <n v="43"/>
    <m/>
    <s v="   "/>
    <n v="0.27800000000000002"/>
    <n v="0.18140000000000001"/>
    <n v="0.05"/>
    <s v="High Occupational Therapist"/>
    <x v="6"/>
  </r>
  <r>
    <s v="23403"/>
    <x v="157"/>
    <s v="Personnel"/>
    <s v="M "/>
    <s v="Middle Grade Group 7-8"/>
    <s v="PS43M21S"/>
    <s v="PSES Mid Prog21Duty43 S275"/>
    <n v="21"/>
    <x v="6"/>
    <n v="43"/>
    <m/>
    <s v="   "/>
    <n v="6.2E-2"/>
    <n v="0.18140000000000001"/>
    <n v="1.0999999999999999E-2"/>
    <s v="Middle Occupational Therapist"/>
    <x v="6"/>
  </r>
  <r>
    <s v="23403"/>
    <x v="157"/>
    <s v="Personnel"/>
    <s v="E "/>
    <s v="Elementary Grade Group K-6"/>
    <s v="PS45E21S"/>
    <s v="PSES Elem Prog21Duty45 S275"/>
    <n v="21"/>
    <x v="7"/>
    <n v="45"/>
    <m/>
    <s v="   "/>
    <n v="1.6E-2"/>
    <n v="0.18140000000000001"/>
    <n v="3.0000000000000001E-3"/>
    <s v="Elementary Speech, Language Pathway/_x000a_Audio"/>
    <x v="7"/>
  </r>
  <r>
    <s v="23404"/>
    <x v="158"/>
    <s v="Personnel"/>
    <s v="H "/>
    <s v="High Grade Group 9-12"/>
    <s v="PS25HS"/>
    <s v="PSES High Prog01Act25 S275"/>
    <n v="1"/>
    <x v="1"/>
    <m/>
    <n v="25"/>
    <s v="   "/>
    <n v="0.51"/>
    <n v="0.13730000000000001"/>
    <n v="0"/>
    <s v="High Pupil Management"/>
    <x v="1"/>
  </r>
  <r>
    <s v="23404"/>
    <x v="158"/>
    <s v="Personnel"/>
    <s v="E "/>
    <s v="Elementary Grade Group K-6"/>
    <s v="PS42ES"/>
    <s v="PSES Elem Prog01Duty42 S275"/>
    <n v="1"/>
    <x v="5"/>
    <n v="42"/>
    <m/>
    <s v="   "/>
    <n v="0.77800000000000002"/>
    <n v="0.13730000000000001"/>
    <n v="0"/>
    <s v="Elementary Counselor"/>
    <x v="5"/>
  </r>
  <r>
    <s v="23404"/>
    <x v="158"/>
    <s v="Personnel"/>
    <s v="M "/>
    <s v="Middle Grade Group 7-8"/>
    <s v="PS42MS"/>
    <s v="PSES Mid Prog01Duty42 S275"/>
    <n v="1"/>
    <x v="5"/>
    <n v="42"/>
    <m/>
    <s v="   "/>
    <n v="0.222"/>
    <n v="0.13730000000000001"/>
    <n v="0"/>
    <s v="Middle Counselor"/>
    <x v="5"/>
  </r>
  <r>
    <s v="23404"/>
    <x v="158"/>
    <s v="Personnel"/>
    <s v="E "/>
    <s v="Elementary Grade Group K-6"/>
    <s v="PS47ES"/>
    <s v="PSES Elem Prog01Duty47 S275"/>
    <n v="1"/>
    <x v="9"/>
    <n v="47"/>
    <m/>
    <s v="   "/>
    <n v="0.312"/>
    <n v="0.13730000000000001"/>
    <n v="0"/>
    <s v="Elementary Nurse"/>
    <x v="9"/>
  </r>
  <r>
    <s v="23404"/>
    <x v="158"/>
    <s v="Personnel"/>
    <s v="M "/>
    <s v="Middle Grade Group 7-8"/>
    <s v="PS47MS"/>
    <s v="PSES Mid Prog01Duty47 S275"/>
    <n v="1"/>
    <x v="9"/>
    <n v="47"/>
    <m/>
    <s v="   "/>
    <n v="8.7999999999999995E-2"/>
    <n v="0.13730000000000001"/>
    <n v="0"/>
    <s v="Middle Nurse"/>
    <x v="9"/>
  </r>
  <r>
    <s v="24014"/>
    <x v="159"/>
    <s v="Personnel"/>
    <s v="H "/>
    <s v="High Grade Group 9-12"/>
    <s v="PS25HS"/>
    <s v="PSES High Prog01Act25 S275"/>
    <n v="1"/>
    <x v="1"/>
    <m/>
    <n v="25"/>
    <s v="   "/>
    <n v="0.20200000000000001"/>
    <n v="0.1547"/>
    <n v="0"/>
    <s v="High Pupil Management"/>
    <x v="1"/>
  </r>
  <r>
    <s v="24014"/>
    <x v="159"/>
    <s v="Personnel"/>
    <s v="H "/>
    <s v="High Grade Group 9-12"/>
    <s v="PS26HS"/>
    <s v="PSES High Prog01Act26 S275"/>
    <n v="1"/>
    <x v="2"/>
    <m/>
    <n v="26"/>
    <s v="   "/>
    <n v="0.74"/>
    <n v="0.1547"/>
    <n v="0"/>
    <s v="High Health/_x000a_Related Services"/>
    <x v="2"/>
  </r>
  <r>
    <s v="24014"/>
    <x v="159"/>
    <s v="Personnel"/>
    <s v="E "/>
    <s v="Elementary Grade Group K-6"/>
    <s v="PS42ES"/>
    <s v="PSES Elem Prog01Duty42 S275"/>
    <n v="1"/>
    <x v="5"/>
    <n v="42"/>
    <m/>
    <s v="   "/>
    <n v="0.39500000000000002"/>
    <n v="0.1547"/>
    <n v="0"/>
    <s v="Elementary Counselor"/>
    <x v="5"/>
  </r>
  <r>
    <s v="24014"/>
    <x v="159"/>
    <s v="Personnel"/>
    <s v="H "/>
    <s v="High Grade Group 9-12"/>
    <s v="PS42HS"/>
    <s v="PSES High Prog01Duty42 S275"/>
    <n v="1"/>
    <x v="5"/>
    <n v="42"/>
    <m/>
    <s v="   "/>
    <n v="0.03"/>
    <n v="0.1547"/>
    <n v="0"/>
    <s v="High Counselor"/>
    <x v="5"/>
  </r>
  <r>
    <s v="24014"/>
    <x v="159"/>
    <s v="Personnel"/>
    <s v="M "/>
    <s v="Middle Grade Group 7-8"/>
    <s v="PS42MS"/>
    <s v="PSES Mid Prog01Duty42 S275"/>
    <n v="1"/>
    <x v="5"/>
    <n v="42"/>
    <m/>
    <s v="   "/>
    <n v="7.4999999999999997E-2"/>
    <n v="0.1547"/>
    <n v="0"/>
    <s v="Middle Counselor"/>
    <x v="5"/>
  </r>
  <r>
    <s v="24019"/>
    <x v="160"/>
    <s v="Personnel"/>
    <s v="H "/>
    <s v="High Grade Group 9-12"/>
    <s v="PS25HS"/>
    <s v="PSES High Prog01Act25 S275"/>
    <n v="1"/>
    <x v="1"/>
    <m/>
    <n v="25"/>
    <s v="   "/>
    <n v="0.71599999999999997"/>
    <n v="0.1875"/>
    <n v="0"/>
    <s v="High Pupil Management"/>
    <x v="1"/>
  </r>
  <r>
    <s v="24019"/>
    <x v="160"/>
    <s v="Personnel"/>
    <s v="H "/>
    <s v="High Grade Group 9-12"/>
    <s v="PS26HS"/>
    <s v="PSES High Prog01Act26 S275"/>
    <n v="1"/>
    <x v="2"/>
    <m/>
    <n v="26"/>
    <s v="   "/>
    <n v="0.71499999999999997"/>
    <n v="0.1875"/>
    <n v="0"/>
    <s v="High Health/_x000a_Related Services"/>
    <x v="2"/>
  </r>
  <r>
    <s v="24019"/>
    <x v="160"/>
    <s v="Personnel"/>
    <s v="E "/>
    <s v="Elementary Grade Group K-6"/>
    <s v="PS42ES"/>
    <s v="PSES Elem Prog01Duty42 S275"/>
    <n v="1"/>
    <x v="5"/>
    <n v="42"/>
    <m/>
    <s v="   "/>
    <n v="2.3330000000000002"/>
    <n v="0.1875"/>
    <n v="0"/>
    <s v="Elementary Counselor"/>
    <x v="5"/>
  </r>
  <r>
    <s v="24019"/>
    <x v="160"/>
    <s v="Personnel"/>
    <s v="H "/>
    <s v="High Grade Group 9-12"/>
    <s v="PS42H21S"/>
    <s v="PSES High Prog21Duty42 S275"/>
    <n v="21"/>
    <x v="5"/>
    <n v="42"/>
    <m/>
    <s v="   "/>
    <n v="1"/>
    <n v="0.1875"/>
    <n v="0.188"/>
    <s v="High Counselor"/>
    <x v="5"/>
  </r>
  <r>
    <s v="24019"/>
    <x v="160"/>
    <s v="Personnel"/>
    <s v="H "/>
    <s v="High Grade Group 9-12"/>
    <s v="PS42HS"/>
    <s v="PSES High Prog01Duty42 S275"/>
    <n v="1"/>
    <x v="5"/>
    <n v="42"/>
    <m/>
    <s v="   "/>
    <n v="1.5"/>
    <n v="0.1875"/>
    <n v="0"/>
    <s v="High Counselor"/>
    <x v="5"/>
  </r>
  <r>
    <s v="24019"/>
    <x v="160"/>
    <s v="Personnel"/>
    <s v="M "/>
    <s v="Middle Grade Group 7-8"/>
    <s v="PS42MS"/>
    <s v="PSES Mid Prog01Duty42 S275"/>
    <n v="1"/>
    <x v="5"/>
    <n v="42"/>
    <m/>
    <s v="   "/>
    <n v="0.66700000000000004"/>
    <n v="0.1875"/>
    <n v="0"/>
    <s v="Middle Counselor"/>
    <x v="5"/>
  </r>
  <r>
    <s v="24019"/>
    <x v="160"/>
    <s v="Personnel"/>
    <s v="E "/>
    <s v="Elementary Grade Group K-6"/>
    <s v="PS45E21S"/>
    <s v="PSES Elem Prog21Duty45 S275"/>
    <n v="21"/>
    <x v="7"/>
    <n v="45"/>
    <m/>
    <s v="   "/>
    <n v="2.8"/>
    <n v="0.1875"/>
    <n v="0.52500000000000002"/>
    <s v="Elementary Speech, Language Pathway/_x000a_Audio"/>
    <x v="7"/>
  </r>
  <r>
    <s v="24019"/>
    <x v="160"/>
    <s v="Personnel"/>
    <s v="E "/>
    <s v="Elementary Grade Group K-6"/>
    <s v="PS46E21S"/>
    <s v="PSES Elem Prog21Duty46 S275"/>
    <n v="21"/>
    <x v="8"/>
    <n v="46"/>
    <m/>
    <s v="   "/>
    <n v="1"/>
    <n v="0.1875"/>
    <n v="0.188"/>
    <s v="Elementary Psychologist"/>
    <x v="8"/>
  </r>
  <r>
    <s v="24105"/>
    <x v="161"/>
    <s v="Personnel"/>
    <s v="E "/>
    <s v="Elementary Grade Group K-6"/>
    <s v="PS25ES"/>
    <s v="PSES Elem Prog01Act25 S275"/>
    <n v="1"/>
    <x v="1"/>
    <m/>
    <n v="25"/>
    <s v="   "/>
    <n v="1.0620000000000001"/>
    <n v="0.15989999999999999"/>
    <n v="0"/>
    <s v="Elementary Pupil Management"/>
    <x v="1"/>
  </r>
  <r>
    <s v="24105"/>
    <x v="161"/>
    <s v="Personnel"/>
    <s v="H "/>
    <s v="High Grade Group 9-12"/>
    <s v="PS25HS"/>
    <s v="PSES High Prog01Act25 S275"/>
    <n v="1"/>
    <x v="1"/>
    <m/>
    <n v="25"/>
    <s v="   "/>
    <n v="1.571"/>
    <n v="0.15989999999999999"/>
    <n v="0"/>
    <s v="High Pupil Management"/>
    <x v="1"/>
  </r>
  <r>
    <s v="24105"/>
    <x v="161"/>
    <s v="Personnel"/>
    <s v="M "/>
    <s v="Middle Grade Group 7-8"/>
    <s v="PS25MS"/>
    <s v="PSES Mid Prog01Act25 S275"/>
    <n v="1"/>
    <x v="1"/>
    <m/>
    <n v="25"/>
    <s v="   "/>
    <n v="0.45"/>
    <n v="0.15989999999999999"/>
    <n v="0"/>
    <s v="Middle Pupil Management"/>
    <x v="1"/>
  </r>
  <r>
    <s v="24105"/>
    <x v="161"/>
    <s v="Personnel"/>
    <s v="H "/>
    <s v="High Grade Group 9-12"/>
    <s v="PS26HS"/>
    <s v="PSES High Prog01Act26 S275"/>
    <n v="1"/>
    <x v="2"/>
    <m/>
    <n v="26"/>
    <s v="   "/>
    <n v="0.67600000000000005"/>
    <n v="0.15989999999999999"/>
    <n v="0"/>
    <s v="High Health/_x000a_Related Services"/>
    <x v="2"/>
  </r>
  <r>
    <s v="24105"/>
    <x v="161"/>
    <s v="Personnel"/>
    <s v="E "/>
    <s v="Elementary Grade Group K-6"/>
    <s v="PS42ES"/>
    <s v="PSES Elem Prog01Duty42 S275"/>
    <n v="1"/>
    <x v="5"/>
    <n v="42"/>
    <m/>
    <s v="   "/>
    <n v="1"/>
    <n v="0.15989999999999999"/>
    <n v="0"/>
    <s v="Elementary Counselor"/>
    <x v="5"/>
  </r>
  <r>
    <s v="24105"/>
    <x v="161"/>
    <s v="Personnel"/>
    <s v="H "/>
    <s v="High Grade Group 9-12"/>
    <s v="PS42HS"/>
    <s v="PSES High Prog01Duty42 S275"/>
    <n v="1"/>
    <x v="5"/>
    <n v="42"/>
    <m/>
    <s v="   "/>
    <n v="2"/>
    <n v="0.15989999999999999"/>
    <n v="0"/>
    <s v="High Counselor"/>
    <x v="5"/>
  </r>
  <r>
    <s v="24105"/>
    <x v="161"/>
    <s v="Personnel"/>
    <s v="M "/>
    <s v="Middle Grade Group 7-8"/>
    <s v="PS42MS"/>
    <s v="PSES Mid Prog01Duty42 S275"/>
    <n v="1"/>
    <x v="5"/>
    <n v="42"/>
    <m/>
    <s v="   "/>
    <n v="0.5"/>
    <n v="0.15989999999999999"/>
    <n v="0"/>
    <s v="Middle Counselor"/>
    <x v="5"/>
  </r>
  <r>
    <s v="24105"/>
    <x v="161"/>
    <s v="Personnel"/>
    <s v="E "/>
    <s v="Elementary Grade Group K-6"/>
    <s v="PS46E21S"/>
    <s v="PSES Elem Prog21Duty46 S275"/>
    <n v="21"/>
    <x v="8"/>
    <n v="46"/>
    <m/>
    <s v="   "/>
    <n v="0.5"/>
    <n v="0.15989999999999999"/>
    <n v="0.08"/>
    <s v="Elementary Psychologist"/>
    <x v="8"/>
  </r>
  <r>
    <s v="24105"/>
    <x v="161"/>
    <s v="Personnel"/>
    <s v="H "/>
    <s v="High Grade Group 9-12"/>
    <s v="PS46H21S"/>
    <s v="PSES High Prog21Duty46 S275"/>
    <n v="21"/>
    <x v="8"/>
    <n v="46"/>
    <m/>
    <s v="   "/>
    <n v="0.25"/>
    <n v="0.15989999999999999"/>
    <n v="0.04"/>
    <s v="High Psychologist"/>
    <x v="8"/>
  </r>
  <r>
    <s v="24105"/>
    <x v="161"/>
    <s v="Personnel"/>
    <s v="M "/>
    <s v="Middle Grade Group 7-8"/>
    <s v="PS46M21S"/>
    <s v="PSES Mid Prog21Duty46 S275"/>
    <n v="21"/>
    <x v="8"/>
    <n v="46"/>
    <m/>
    <s v="   "/>
    <n v="0.25"/>
    <n v="0.15989999999999999"/>
    <n v="0.04"/>
    <s v="Middle Psychologist"/>
    <x v="8"/>
  </r>
  <r>
    <s v="24111"/>
    <x v="162"/>
    <s v="Personnel"/>
    <s v="E "/>
    <s v="Elementary Grade Group K-6"/>
    <s v="PS26E21S"/>
    <s v="PSES Elem Prog21Act26 S275"/>
    <n v="21"/>
    <x v="2"/>
    <m/>
    <n v="26"/>
    <s v="   "/>
    <n v="0.54800000000000004"/>
    <n v="0.21379999999999999"/>
    <n v="0.11700000000000001"/>
    <s v="Elementary Health/_x000a_Related Services"/>
    <x v="2"/>
  </r>
  <r>
    <s v="24111"/>
    <x v="162"/>
    <s v="Personnel"/>
    <s v="E "/>
    <s v="Elementary Grade Group K-6"/>
    <s v="PS26ES"/>
    <s v="PSES Elem Prog01Act26 S275"/>
    <n v="1"/>
    <x v="2"/>
    <m/>
    <n v="26"/>
    <s v="   "/>
    <n v="0.83799999999999997"/>
    <n v="0.21379999999999999"/>
    <n v="0"/>
    <s v="Elementary Health/_x000a_Related Services"/>
    <x v="2"/>
  </r>
  <r>
    <s v="24111"/>
    <x v="162"/>
    <s v="Personnel"/>
    <s v="H "/>
    <s v="High Grade Group 9-12"/>
    <s v="PS26H21S"/>
    <s v="PSES High Prog21Act26 S275"/>
    <n v="21"/>
    <x v="2"/>
    <m/>
    <n v="26"/>
    <s v="   "/>
    <n v="6.9000000000000006E-2"/>
    <n v="0.21379999999999999"/>
    <n v="1.4999999999999999E-2"/>
    <s v="High Health/_x000a_Related Services"/>
    <x v="2"/>
  </r>
  <r>
    <s v="24111"/>
    <x v="162"/>
    <s v="Personnel"/>
    <s v="H "/>
    <s v="High Grade Group 9-12"/>
    <s v="PS26HS"/>
    <s v="PSES High Prog01Act26 S275"/>
    <n v="1"/>
    <x v="2"/>
    <m/>
    <n v="26"/>
    <s v="   "/>
    <n v="5.8999999999999997E-2"/>
    <n v="0.21379999999999999"/>
    <n v="0"/>
    <s v="High Health/_x000a_Related Services"/>
    <x v="2"/>
  </r>
  <r>
    <s v="24111"/>
    <x v="162"/>
    <s v="Personnel"/>
    <s v="M "/>
    <s v="Middle Grade Group 7-8"/>
    <s v="PS26M21S"/>
    <s v="PSES Mid Prog21Act26 S275"/>
    <n v="21"/>
    <x v="2"/>
    <m/>
    <n v="26"/>
    <s v="   "/>
    <n v="6.9000000000000006E-2"/>
    <n v="0.21379999999999999"/>
    <n v="1.4999999999999999E-2"/>
    <s v="Middle Health/_x000a_Related Services"/>
    <x v="2"/>
  </r>
  <r>
    <s v="24111"/>
    <x v="162"/>
    <s v="Personnel"/>
    <s v="M "/>
    <s v="Middle Grade Group 7-8"/>
    <s v="PS26MS"/>
    <s v="PSES Mid Prog01Act26 S275"/>
    <n v="1"/>
    <x v="2"/>
    <m/>
    <n v="26"/>
    <s v="   "/>
    <n v="0.14599999999999999"/>
    <n v="0.21379999999999999"/>
    <n v="0"/>
    <s v="Middle Health/_x000a_Related Services"/>
    <x v="2"/>
  </r>
  <r>
    <s v="24111"/>
    <x v="162"/>
    <s v="Personnel"/>
    <s v="E "/>
    <s v="Elementary Grade Group K-6"/>
    <s v="PS42ES"/>
    <s v="PSES Elem Prog01Duty42 S275"/>
    <n v="1"/>
    <x v="5"/>
    <n v="42"/>
    <m/>
    <s v="   "/>
    <n v="1"/>
    <n v="0.21379999999999999"/>
    <n v="0"/>
    <s v="Elementary Counselor"/>
    <x v="5"/>
  </r>
  <r>
    <s v="24111"/>
    <x v="162"/>
    <s v="Personnel"/>
    <s v="H "/>
    <s v="High Grade Group 9-12"/>
    <s v="PS42HS"/>
    <s v="PSES High Prog01Duty42 S275"/>
    <n v="1"/>
    <x v="5"/>
    <n v="42"/>
    <m/>
    <s v="   "/>
    <n v="1"/>
    <n v="0.21379999999999999"/>
    <n v="0"/>
    <s v="High Counselor"/>
    <x v="5"/>
  </r>
  <r>
    <s v="24111"/>
    <x v="162"/>
    <s v="Personnel"/>
    <s v="M "/>
    <s v="Middle Grade Group 7-8"/>
    <s v="PS42MS"/>
    <s v="PSES Mid Prog01Duty42 S275"/>
    <n v="1"/>
    <x v="5"/>
    <n v="42"/>
    <m/>
    <s v="   "/>
    <n v="0.75"/>
    <n v="0.21379999999999999"/>
    <n v="0"/>
    <s v="Middle Counselor"/>
    <x v="5"/>
  </r>
  <r>
    <s v="24111"/>
    <x v="162"/>
    <s v="Personnel"/>
    <s v="H "/>
    <s v="High Grade Group 9-12"/>
    <s v="PS44HS"/>
    <s v="PSES High Prog01Duty44 S275"/>
    <n v="1"/>
    <x v="13"/>
    <n v="44"/>
    <m/>
    <s v="   "/>
    <n v="0.16"/>
    <n v="0.21379999999999999"/>
    <n v="0"/>
    <s v="High Social Worker"/>
    <x v="13"/>
  </r>
  <r>
    <s v="24111"/>
    <x v="162"/>
    <s v="Personnel"/>
    <s v="E "/>
    <s v="Elementary Grade Group K-6"/>
    <s v="PS46E21S"/>
    <s v="PSES Elem Prog21Duty46 S275"/>
    <n v="21"/>
    <x v="8"/>
    <n v="46"/>
    <m/>
    <s v="   "/>
    <n v="0.55000000000000004"/>
    <n v="0.21379999999999999"/>
    <n v="0.11799999999999999"/>
    <s v="Elementary Psychologist"/>
    <x v="8"/>
  </r>
  <r>
    <s v="24111"/>
    <x v="162"/>
    <s v="Personnel"/>
    <s v="H "/>
    <s v="High Grade Group 9-12"/>
    <s v="PS46H21S"/>
    <s v="PSES High Prog21Duty46 S275"/>
    <n v="21"/>
    <x v="8"/>
    <n v="46"/>
    <m/>
    <s v="   "/>
    <n v="0.3"/>
    <n v="0.21379999999999999"/>
    <n v="6.4000000000000001E-2"/>
    <s v="High Psychologist"/>
    <x v="8"/>
  </r>
  <r>
    <s v="24111"/>
    <x v="162"/>
    <s v="Personnel"/>
    <s v="M "/>
    <s v="Middle Grade Group 7-8"/>
    <s v="PS46M21S"/>
    <s v="PSES Mid Prog21Duty46 S275"/>
    <n v="21"/>
    <x v="8"/>
    <n v="46"/>
    <m/>
    <s v="   "/>
    <n v="0.15"/>
    <n v="0.21379999999999999"/>
    <n v="3.2000000000000001E-2"/>
    <s v="Middle Psychologist"/>
    <x v="8"/>
  </r>
  <r>
    <s v="24122"/>
    <x v="163"/>
    <s v="Personnel"/>
    <s v="H "/>
    <s v="High Grade Group 9-12"/>
    <s v="PS42HS"/>
    <s v="PSES High Prog01Duty42 S275"/>
    <n v="1"/>
    <x v="5"/>
    <n v="42"/>
    <m/>
    <s v="   "/>
    <n v="0.3"/>
    <n v="0.25440000000000002"/>
    <n v="0"/>
    <s v="High Counselor"/>
    <x v="5"/>
  </r>
  <r>
    <s v="24122"/>
    <x v="163"/>
    <s v="Personnel"/>
    <s v="M "/>
    <s v="Middle Grade Group 7-8"/>
    <s v="PS42MS"/>
    <s v="PSES Mid Prog01Duty42 S275"/>
    <n v="1"/>
    <x v="5"/>
    <n v="42"/>
    <m/>
    <s v="   "/>
    <n v="0.15"/>
    <n v="0.25440000000000002"/>
    <n v="0"/>
    <s v="Middle Counselor"/>
    <x v="5"/>
  </r>
  <r>
    <s v="24122"/>
    <x v="163"/>
    <s v="Personnel"/>
    <s v="E "/>
    <s v="Elementary Grade Group K-6"/>
    <s v="PS46E21S"/>
    <s v="PSES Elem Prog21Duty46 S275"/>
    <n v="21"/>
    <x v="8"/>
    <n v="46"/>
    <m/>
    <s v="   "/>
    <n v="0.45"/>
    <n v="0.25440000000000002"/>
    <n v="0.114"/>
    <s v="Elementary Psychologist"/>
    <x v="8"/>
  </r>
  <r>
    <s v="24122"/>
    <x v="163"/>
    <s v="Personnel"/>
    <s v="H "/>
    <s v="High Grade Group 9-12"/>
    <s v="PS46H21S"/>
    <s v="PSES High Prog21Duty46 S275"/>
    <n v="21"/>
    <x v="8"/>
    <n v="46"/>
    <m/>
    <s v="   "/>
    <n v="0.22500000000000001"/>
    <n v="0.25440000000000002"/>
    <n v="5.7000000000000002E-2"/>
    <s v="High Psychologist"/>
    <x v="8"/>
  </r>
  <r>
    <s v="24122"/>
    <x v="163"/>
    <s v="Personnel"/>
    <s v="M "/>
    <s v="Middle Grade Group 7-8"/>
    <s v="PS46M21S"/>
    <s v="PSES Mid Prog21Duty46 S275"/>
    <n v="21"/>
    <x v="8"/>
    <n v="46"/>
    <m/>
    <s v="   "/>
    <n v="0.22500000000000001"/>
    <n v="0.25440000000000002"/>
    <n v="5.7000000000000002E-2"/>
    <s v="Middle Psychologist"/>
    <x v="8"/>
  </r>
  <r>
    <s v="24122"/>
    <x v="163"/>
    <s v="Personnel"/>
    <s v="E "/>
    <s v="Elementary Grade Group K-6"/>
    <s v="PS47ES"/>
    <s v="PSES Elem Prog01Duty47 S275"/>
    <n v="1"/>
    <x v="9"/>
    <n v="47"/>
    <m/>
    <s v="   "/>
    <n v="0.182"/>
    <n v="0.25440000000000002"/>
    <n v="0"/>
    <s v="Elementary Nurse"/>
    <x v="9"/>
  </r>
  <r>
    <s v="24122"/>
    <x v="163"/>
    <s v="Personnel"/>
    <s v="H "/>
    <s v="High Grade Group 9-12"/>
    <s v="PS47HS"/>
    <s v="PSES High Prog01Duty47 S275"/>
    <n v="1"/>
    <x v="9"/>
    <n v="47"/>
    <m/>
    <s v="   "/>
    <n v="0.128"/>
    <n v="0.25440000000000002"/>
    <n v="0"/>
    <s v="High Nurse"/>
    <x v="9"/>
  </r>
  <r>
    <s v="24122"/>
    <x v="163"/>
    <s v="Personnel"/>
    <s v="M "/>
    <s v="Middle Grade Group 7-8"/>
    <s v="PS47MS"/>
    <s v="PSES Mid Prog01Duty47 S275"/>
    <n v="1"/>
    <x v="9"/>
    <n v="47"/>
    <m/>
    <s v="   "/>
    <n v="6.4000000000000001E-2"/>
    <n v="0.25440000000000002"/>
    <n v="0"/>
    <s v="Middle Nurse"/>
    <x v="9"/>
  </r>
  <r>
    <s v="24122"/>
    <x v="163"/>
    <s v="Personnel"/>
    <s v="T"/>
    <s v="Elementary Grade Group K-6"/>
    <s v="PS47E09S"/>
    <s v="PSES Elem Prog09Duty47 S275"/>
    <n v="9"/>
    <x v="9"/>
    <n v="47"/>
    <n v="26"/>
    <m/>
    <n v="2.5999999999999999E-2"/>
    <n v="0.25440000000000002"/>
    <n v="0"/>
    <s v="TK Nurse"/>
    <x v="9"/>
  </r>
  <r>
    <s v="24350"/>
    <x v="164"/>
    <s v="Personnel"/>
    <s v="H "/>
    <s v="High Grade Group 9-12"/>
    <s v="PS24HS"/>
    <s v="PSES High Prog01Duty96 S275"/>
    <n v="1"/>
    <x v="0"/>
    <n v="96"/>
    <n v="24"/>
    <s v="   "/>
    <n v="1.2490000000000001"/>
    <n v="0.1913"/>
    <n v="0"/>
    <s v="High Family Engagement Coordinator"/>
    <x v="0"/>
  </r>
  <r>
    <s v="24350"/>
    <x v="164"/>
    <s v="Personnel"/>
    <s v="H "/>
    <s v="High Grade Group 9-12"/>
    <s v="PS26HS"/>
    <s v="PSES High Prog01Act26 S275"/>
    <n v="1"/>
    <x v="2"/>
    <m/>
    <n v="26"/>
    <s v="   "/>
    <n v="0.57199999999999995"/>
    <n v="0.1913"/>
    <n v="0"/>
    <s v="High Health/_x000a_Related Services"/>
    <x v="2"/>
  </r>
  <r>
    <s v="24350"/>
    <x v="164"/>
    <s v="Personnel"/>
    <s v="E "/>
    <s v="Elementary Grade Group K-6"/>
    <s v="PS42ES"/>
    <s v="PSES Elem Prog01Duty42 S275"/>
    <n v="1"/>
    <x v="5"/>
    <n v="42"/>
    <m/>
    <s v="   "/>
    <n v="0.9"/>
    <n v="0.1913"/>
    <n v="0"/>
    <s v="Elementary Counselor"/>
    <x v="5"/>
  </r>
  <r>
    <s v="24350"/>
    <x v="164"/>
    <s v="Personnel"/>
    <s v="H "/>
    <s v="High Grade Group 9-12"/>
    <s v="PS42HS"/>
    <s v="PSES High Prog01Duty42 S275"/>
    <n v="1"/>
    <x v="5"/>
    <n v="42"/>
    <m/>
    <s v="   "/>
    <n v="0.5"/>
    <n v="0.1913"/>
    <n v="0"/>
    <s v="High Counselor"/>
    <x v="5"/>
  </r>
  <r>
    <s v="24350"/>
    <x v="164"/>
    <s v="Personnel"/>
    <s v="M "/>
    <s v="Middle Grade Group 7-8"/>
    <s v="PS42MS"/>
    <s v="PSES Mid Prog01Duty42 S275"/>
    <n v="1"/>
    <x v="5"/>
    <n v="42"/>
    <m/>
    <s v="   "/>
    <n v="0.5"/>
    <n v="0.1913"/>
    <n v="0"/>
    <s v="Middle Counselor"/>
    <x v="5"/>
  </r>
  <r>
    <s v="24404"/>
    <x v="165"/>
    <s v="Personnel"/>
    <s v="E "/>
    <s v="Elementary Grade Group K-6"/>
    <s v="PS26E21S"/>
    <s v="PSES Elem Prog21Act26 S275"/>
    <n v="21"/>
    <x v="2"/>
    <m/>
    <n v="26"/>
    <s v="   "/>
    <n v="0.59599999999999997"/>
    <n v="0.155"/>
    <n v="9.1999999999999998E-2"/>
    <s v="Elementary Health/_x000a_Related Services"/>
    <x v="2"/>
  </r>
  <r>
    <s v="24404"/>
    <x v="165"/>
    <s v="Personnel"/>
    <s v="E "/>
    <s v="Elementary Grade Group K-6"/>
    <s v="PS26ES"/>
    <s v="PSES Elem Prog01Act26 S275"/>
    <n v="1"/>
    <x v="2"/>
    <m/>
    <n v="26"/>
    <s v="   "/>
    <n v="0.40899999999999997"/>
    <n v="0.155"/>
    <n v="0"/>
    <s v="Elementary Health/_x000a_Related Services"/>
    <x v="2"/>
  </r>
  <r>
    <s v="24404"/>
    <x v="165"/>
    <s v="Personnel"/>
    <s v="H "/>
    <s v="High Grade Group 9-12"/>
    <s v="PS26H21S"/>
    <s v="PSES High Prog21Act26 S275"/>
    <n v="21"/>
    <x v="2"/>
    <m/>
    <n v="26"/>
    <s v="   "/>
    <n v="0.35799999999999998"/>
    <n v="0.155"/>
    <n v="5.5E-2"/>
    <s v="High Health/_x000a_Related Services"/>
    <x v="2"/>
  </r>
  <r>
    <s v="24404"/>
    <x v="165"/>
    <s v="Personnel"/>
    <s v="H "/>
    <s v="High Grade Group 9-12"/>
    <s v="PS26HS"/>
    <s v="PSES High Prog01Act26 S275"/>
    <n v="1"/>
    <x v="2"/>
    <m/>
    <n v="26"/>
    <s v="   "/>
    <n v="0.29899999999999999"/>
    <n v="0.155"/>
    <n v="0"/>
    <s v="High Health/_x000a_Related Services"/>
    <x v="2"/>
  </r>
  <r>
    <s v="24404"/>
    <x v="165"/>
    <s v="Personnel"/>
    <s v="M "/>
    <s v="Middle Grade Group 7-8"/>
    <s v="PS26M21S"/>
    <s v="PSES Mid Prog21Act26 S275"/>
    <n v="21"/>
    <x v="2"/>
    <m/>
    <n v="26"/>
    <s v="   "/>
    <n v="0.182"/>
    <n v="0.155"/>
    <n v="2.8000000000000001E-2"/>
    <s v="Middle Health/_x000a_Related Services"/>
    <x v="2"/>
  </r>
  <r>
    <s v="24404"/>
    <x v="165"/>
    <s v="Personnel"/>
    <s v="M "/>
    <s v="Middle Grade Group 7-8"/>
    <s v="PS26MS"/>
    <s v="PSES Mid Prog01Act26 S275"/>
    <n v="1"/>
    <x v="2"/>
    <m/>
    <n v="26"/>
    <s v="   "/>
    <n v="0.219"/>
    <n v="0.155"/>
    <n v="0"/>
    <s v="Middle Health/_x000a_Related Services"/>
    <x v="2"/>
  </r>
  <r>
    <s v="24404"/>
    <x v="165"/>
    <s v="Personnel"/>
    <s v="E "/>
    <s v="Elementary Grade Group K-6"/>
    <s v="PS42ES"/>
    <s v="PSES Elem Prog01Duty42 S275"/>
    <n v="1"/>
    <x v="5"/>
    <n v="42"/>
    <m/>
    <s v="   "/>
    <n v="0.96399999999999997"/>
    <n v="0.155"/>
    <n v="0"/>
    <s v="Elementary Counselor"/>
    <x v="5"/>
  </r>
  <r>
    <s v="24404"/>
    <x v="165"/>
    <s v="Personnel"/>
    <s v="H "/>
    <s v="High Grade Group 9-12"/>
    <s v="PS42HS"/>
    <s v="PSES High Prog01Duty42 S275"/>
    <n v="1"/>
    <x v="5"/>
    <n v="42"/>
    <m/>
    <s v="   "/>
    <n v="0.95399999999999996"/>
    <n v="0.155"/>
    <n v="0"/>
    <s v="High Counselor"/>
    <x v="5"/>
  </r>
  <r>
    <s v="24404"/>
    <x v="165"/>
    <s v="Personnel"/>
    <s v="M "/>
    <s v="Middle Grade Group 7-8"/>
    <s v="PS42MS"/>
    <s v="PSES Mid Prog01Duty42 S275"/>
    <n v="1"/>
    <x v="5"/>
    <n v="42"/>
    <m/>
    <s v="   "/>
    <n v="0.95399999999999996"/>
    <n v="0.155"/>
    <n v="0"/>
    <s v="Middle Counselor"/>
    <x v="5"/>
  </r>
  <r>
    <s v="24410"/>
    <x v="166"/>
    <s v="Personnel"/>
    <s v="H "/>
    <s v="High Grade Group 9-12"/>
    <s v="PS26H21S"/>
    <s v="PSES High Prog21Act26 S275"/>
    <n v="21"/>
    <x v="2"/>
    <m/>
    <n v="26"/>
    <s v="   "/>
    <n v="0.438"/>
    <n v="0.20669999999999999"/>
    <n v="9.0999999999999998E-2"/>
    <s v="High Health/_x000a_Related Services"/>
    <x v="2"/>
  </r>
  <r>
    <s v="24410"/>
    <x v="166"/>
    <s v="Personnel"/>
    <s v="H "/>
    <s v="High Grade Group 9-12"/>
    <s v="PS26HS"/>
    <s v="PSES High Prog01Act26 S275"/>
    <n v="1"/>
    <x v="2"/>
    <m/>
    <n v="26"/>
    <s v="   "/>
    <n v="0.68600000000000005"/>
    <n v="0.20669999999999999"/>
    <n v="0"/>
    <s v="High Health/_x000a_Related Services"/>
    <x v="2"/>
  </r>
  <r>
    <s v="24410"/>
    <x v="166"/>
    <s v="Personnel"/>
    <s v="E "/>
    <s v="Elementary Grade Group K-6"/>
    <s v="PS42ES"/>
    <s v="PSES Elem Prog01Duty42 S275"/>
    <n v="1"/>
    <x v="5"/>
    <n v="42"/>
    <m/>
    <s v="   "/>
    <n v="0.85"/>
    <n v="0.20669999999999999"/>
    <n v="0"/>
    <s v="Elementary Counselor"/>
    <x v="5"/>
  </r>
  <r>
    <s v="24410"/>
    <x v="166"/>
    <s v="Personnel"/>
    <s v="H "/>
    <s v="High Grade Group 9-12"/>
    <s v="PS42HS"/>
    <s v="PSES High Prog01Duty42 S275"/>
    <n v="1"/>
    <x v="5"/>
    <n v="42"/>
    <m/>
    <s v="   "/>
    <n v="0.7"/>
    <n v="0.20669999999999999"/>
    <n v="0"/>
    <s v="High Counselor"/>
    <x v="5"/>
  </r>
  <r>
    <s v="24410"/>
    <x v="166"/>
    <s v="Personnel"/>
    <s v="M "/>
    <s v="Middle Grade Group 7-8"/>
    <s v="PS42MS"/>
    <s v="PSES Mid Prog01Duty42 S275"/>
    <n v="1"/>
    <x v="5"/>
    <n v="42"/>
    <m/>
    <s v="   "/>
    <n v="0.3"/>
    <n v="0.20669999999999999"/>
    <n v="0"/>
    <s v="Middle Counselor"/>
    <x v="5"/>
  </r>
  <r>
    <s v="24410"/>
    <x v="166"/>
    <s v="Personnel"/>
    <s v="E "/>
    <s v="Elementary Grade Group K-6"/>
    <s v="PS46E21S"/>
    <s v="PSES Elem Prog21Duty46 S275"/>
    <n v="21"/>
    <x v="8"/>
    <n v="46"/>
    <m/>
    <s v="   "/>
    <n v="0.27"/>
    <n v="0.20669999999999999"/>
    <n v="5.6000000000000001E-2"/>
    <s v="Elementary Psychologist"/>
    <x v="8"/>
  </r>
  <r>
    <s v="24410"/>
    <x v="166"/>
    <s v="Personnel"/>
    <s v="H "/>
    <s v="High Grade Group 9-12"/>
    <s v="PS46H21S"/>
    <s v="PSES High Prog21Duty46 S275"/>
    <n v="21"/>
    <x v="8"/>
    <n v="46"/>
    <m/>
    <s v="   "/>
    <n v="0.16200000000000001"/>
    <n v="0.20669999999999999"/>
    <n v="3.3000000000000002E-2"/>
    <s v="High Psychologist"/>
    <x v="8"/>
  </r>
  <r>
    <s v="24410"/>
    <x v="166"/>
    <s v="Personnel"/>
    <s v="M "/>
    <s v="Middle Grade Group 7-8"/>
    <s v="PS46M21S"/>
    <s v="PSES Mid Prog21Duty46 S275"/>
    <n v="21"/>
    <x v="8"/>
    <n v="46"/>
    <m/>
    <s v="   "/>
    <n v="0.108"/>
    <n v="0.20669999999999999"/>
    <n v="2.1999999999999999E-2"/>
    <s v="Middle Psychologist"/>
    <x v="8"/>
  </r>
  <r>
    <s v="24915"/>
    <x v="167"/>
    <s v="Personnel"/>
    <s v="E "/>
    <s v="Elementary Grade Group K-6"/>
    <s v="PS25E21S"/>
    <s v="PSES Elem Prog21Act25 S275"/>
    <n v="21"/>
    <x v="1"/>
    <m/>
    <n v="25"/>
    <s v="   "/>
    <n v="1.39"/>
    <n v="0.14849999999999999"/>
    <n v="0.20599999999999999"/>
    <s v="Elementary Pupil Management"/>
    <x v="1"/>
  </r>
  <r>
    <s v="24915"/>
    <x v="167"/>
    <s v="Personnel"/>
    <s v="E "/>
    <s v="Elementary Grade Group K-6"/>
    <s v="PS25ES"/>
    <s v="PSES Elem Prog01Act25 S275"/>
    <n v="1"/>
    <x v="1"/>
    <m/>
    <n v="25"/>
    <s v="   "/>
    <n v="5.56"/>
    <n v="0.14849999999999999"/>
    <n v="0"/>
    <s v="Elementary Pupil Management"/>
    <x v="1"/>
  </r>
  <r>
    <s v="24915"/>
    <x v="167"/>
    <s v="Personnel"/>
    <s v="M "/>
    <s v="Middle Grade Group 7-8"/>
    <s v="PS25M21S"/>
    <s v="PSES Mid Prog21Act25 S275"/>
    <n v="21"/>
    <x v="1"/>
    <m/>
    <n v="25"/>
    <s v="   "/>
    <n v="0.69499999999999995"/>
    <n v="0.14849999999999999"/>
    <n v="0.10299999999999999"/>
    <s v="Middle Pupil Management"/>
    <x v="1"/>
  </r>
  <r>
    <s v="24915"/>
    <x v="167"/>
    <s v="Personnel"/>
    <s v="M "/>
    <s v="Middle Grade Group 7-8"/>
    <s v="PS25MS"/>
    <s v="PSES Mid Prog01Act25 S275"/>
    <n v="1"/>
    <x v="1"/>
    <m/>
    <n v="25"/>
    <s v="   "/>
    <n v="0.69499999999999995"/>
    <n v="0.14849999999999999"/>
    <n v="0"/>
    <s v="Middle Pupil Management"/>
    <x v="1"/>
  </r>
  <r>
    <s v="25101"/>
    <x v="168"/>
    <s v="Personnel"/>
    <s v="E "/>
    <s v="Elementary Grade Group K-6"/>
    <s v="PS25ES"/>
    <s v="PSES Elem Prog01Act25 S275"/>
    <n v="1"/>
    <x v="1"/>
    <m/>
    <n v="25"/>
    <s v="   "/>
    <n v="1.0329999999999999"/>
    <n v="0.1913"/>
    <n v="0"/>
    <s v="Elementary Pupil Management"/>
    <x v="1"/>
  </r>
  <r>
    <s v="25101"/>
    <x v="168"/>
    <s v="Personnel"/>
    <s v="H "/>
    <s v="High Grade Group 9-12"/>
    <s v="PS26HS"/>
    <s v="PSES High Prog01Act26 S275"/>
    <n v="1"/>
    <x v="2"/>
    <m/>
    <n v="26"/>
    <s v="   "/>
    <n v="0.80400000000000005"/>
    <n v="0.1913"/>
    <n v="0"/>
    <s v="High Health/_x000a_Related Services"/>
    <x v="2"/>
  </r>
  <r>
    <s v="25101"/>
    <x v="168"/>
    <s v="Personnel"/>
    <s v="H "/>
    <s v="High Grade Group 9-12"/>
    <s v="PS42HS"/>
    <s v="PSES High Prog01Duty42 S275"/>
    <n v="1"/>
    <x v="5"/>
    <n v="42"/>
    <m/>
    <s v="   "/>
    <n v="1.5"/>
    <n v="0.1913"/>
    <n v="0"/>
    <s v="High Counselor"/>
    <x v="5"/>
  </r>
  <r>
    <s v="25116"/>
    <x v="169"/>
    <s v="Personnel"/>
    <s v="H "/>
    <s v="High Grade Group 9-12"/>
    <s v="PS26HS"/>
    <s v="PSES High Prog01Act26 S275"/>
    <n v="1"/>
    <x v="2"/>
    <m/>
    <n v="26"/>
    <s v="   "/>
    <n v="0.64600000000000002"/>
    <n v="0.20669999999999999"/>
    <n v="0"/>
    <s v="High Health/_x000a_Related Services"/>
    <x v="2"/>
  </r>
  <r>
    <s v="25116"/>
    <x v="169"/>
    <s v="Personnel"/>
    <s v="E "/>
    <s v="Elementary Grade Group K-6"/>
    <s v="PS42ES"/>
    <s v="PSES Elem Prog01Duty42 S275"/>
    <n v="1"/>
    <x v="5"/>
    <n v="42"/>
    <m/>
    <s v="   "/>
    <n v="1.5"/>
    <n v="0.20669999999999999"/>
    <n v="0"/>
    <s v="Elementary Counselor"/>
    <x v="5"/>
  </r>
  <r>
    <s v="25118"/>
    <x v="170"/>
    <s v="Personnel"/>
    <s v="E "/>
    <s v="Elementary Grade Group K-6"/>
    <s v="PS25ES"/>
    <s v="PSES Elem Prog01Act25 S275"/>
    <n v="1"/>
    <x v="1"/>
    <m/>
    <n v="25"/>
    <s v="   "/>
    <n v="0.10100000000000001"/>
    <n v="0.29899999999999999"/>
    <n v="0"/>
    <s v="Elementary Pupil Management"/>
    <x v="1"/>
  </r>
  <r>
    <s v="25118"/>
    <x v="170"/>
    <s v="Personnel"/>
    <s v="H "/>
    <s v="High Grade Group 9-12"/>
    <s v="PS25HS"/>
    <s v="PSES High Prog01Act25 S275"/>
    <n v="1"/>
    <x v="1"/>
    <m/>
    <n v="25"/>
    <s v="   "/>
    <n v="0.16900000000000001"/>
    <n v="0.29899999999999999"/>
    <n v="0"/>
    <s v="High Pupil Management"/>
    <x v="1"/>
  </r>
  <r>
    <s v="25118"/>
    <x v="170"/>
    <s v="Personnel"/>
    <s v="M "/>
    <s v="Middle Grade Group 7-8"/>
    <s v="PS25MS"/>
    <s v="PSES Mid Prog01Act25 S275"/>
    <n v="1"/>
    <x v="1"/>
    <m/>
    <n v="25"/>
    <s v="   "/>
    <n v="3.3000000000000002E-2"/>
    <n v="0.29899999999999999"/>
    <n v="0"/>
    <s v="Middle Pupil Management"/>
    <x v="1"/>
  </r>
  <r>
    <s v="25118"/>
    <x v="170"/>
    <s v="Personnel"/>
    <s v="E "/>
    <s v="Elementary Grade Group K-6"/>
    <s v="PS26ES"/>
    <s v="PSES Elem Prog01Act26 S275"/>
    <n v="1"/>
    <x v="2"/>
    <m/>
    <n v="26"/>
    <s v="   "/>
    <n v="0.26700000000000002"/>
    <n v="0.29899999999999999"/>
    <n v="0"/>
    <s v="Elementary Health/_x000a_Related Services"/>
    <x v="2"/>
  </r>
  <r>
    <s v="25118"/>
    <x v="170"/>
    <s v="Personnel"/>
    <s v="H "/>
    <s v="High Grade Group 9-12"/>
    <s v="PS26HS"/>
    <s v="PSES High Prog01Act26 S275"/>
    <n v="1"/>
    <x v="2"/>
    <m/>
    <n v="26"/>
    <s v="   "/>
    <n v="0.53200000000000003"/>
    <n v="0.29899999999999999"/>
    <n v="0"/>
    <s v="High Health/_x000a_Related Services"/>
    <x v="2"/>
  </r>
  <r>
    <s v="25155"/>
    <x v="171"/>
    <s v="Personnel"/>
    <s v="H "/>
    <s v="High Grade Group 9-12"/>
    <s v="PS42HS"/>
    <s v="PSES High Prog01Duty42 S275"/>
    <n v="1"/>
    <x v="5"/>
    <n v="42"/>
    <m/>
    <s v="   "/>
    <n v="1"/>
    <n v="0.1913"/>
    <n v="0"/>
    <s v="High Counselor"/>
    <x v="5"/>
  </r>
  <r>
    <s v="25160"/>
    <x v="172"/>
    <s v="Personnel"/>
    <s v="E "/>
    <s v="Elementary Grade Group K-6"/>
    <s v="PS25ES"/>
    <s v="PSES Elem Prog01Act25 S275"/>
    <n v="1"/>
    <x v="1"/>
    <m/>
    <n v="25"/>
    <s v="   "/>
    <n v="0.11799999999999999"/>
    <n v="0.18310000000000001"/>
    <n v="0"/>
    <s v="Elementary Pupil Management"/>
    <x v="1"/>
  </r>
  <r>
    <s v="25160"/>
    <x v="172"/>
    <s v="Personnel"/>
    <s v="H "/>
    <s v="High Grade Group 9-12"/>
    <s v="PS25HS"/>
    <s v="PSES High Prog01Act25 S275"/>
    <n v="1"/>
    <x v="1"/>
    <m/>
    <n v="25"/>
    <s v="   "/>
    <n v="0.999"/>
    <n v="0.18310000000000001"/>
    <n v="0"/>
    <s v="High Pupil Management"/>
    <x v="1"/>
  </r>
  <r>
    <s v="25160"/>
    <x v="172"/>
    <s v="Personnel"/>
    <s v="E "/>
    <s v="Elementary Grade Group K-6"/>
    <s v="PS42ES"/>
    <s v="PSES Elem Prog01Duty42 S275"/>
    <n v="1"/>
    <x v="5"/>
    <n v="42"/>
    <m/>
    <s v="   "/>
    <n v="0.49299999999999999"/>
    <n v="0.18310000000000001"/>
    <n v="0"/>
    <s v="Elementary Counselor"/>
    <x v="5"/>
  </r>
  <r>
    <s v="25160"/>
    <x v="172"/>
    <s v="Personnel"/>
    <s v="H "/>
    <s v="High Grade Group 9-12"/>
    <s v="PS42HS"/>
    <s v="PSES High Prog01Duty42 S275"/>
    <n v="1"/>
    <x v="5"/>
    <n v="42"/>
    <m/>
    <s v="   "/>
    <n v="0.33500000000000002"/>
    <n v="0.18310000000000001"/>
    <n v="0"/>
    <s v="High Counselor"/>
    <x v="5"/>
  </r>
  <r>
    <s v="25160"/>
    <x v="172"/>
    <s v="Personnel"/>
    <s v="M "/>
    <s v="Middle Grade Group 7-8"/>
    <s v="PS42MS"/>
    <s v="PSES Mid Prog01Duty42 S275"/>
    <n v="1"/>
    <x v="5"/>
    <n v="42"/>
    <m/>
    <s v="   "/>
    <n v="0.157"/>
    <n v="0.18310000000000001"/>
    <n v="0"/>
    <s v="Middle Counselor"/>
    <x v="5"/>
  </r>
  <r>
    <s v="26056"/>
    <x v="173"/>
    <s v="Personnel"/>
    <s v="E "/>
    <s v="Elementary Grade Group K-6"/>
    <s v="PS26E21S"/>
    <s v="PSES Elem Prog21Act26 S275"/>
    <n v="21"/>
    <x v="2"/>
    <m/>
    <n v="26"/>
    <s v="   "/>
    <n v="0.32900000000000001"/>
    <n v="0.24210000000000001"/>
    <n v="0.08"/>
    <s v="Elementary Health/_x000a_Related Services"/>
    <x v="2"/>
  </r>
  <r>
    <s v="26056"/>
    <x v="173"/>
    <s v="Personnel"/>
    <s v="H "/>
    <s v="High Grade Group 9-12"/>
    <s v="PS26HS"/>
    <s v="PSES High Prog01Act26 S275"/>
    <n v="1"/>
    <x v="2"/>
    <m/>
    <n v="26"/>
    <s v="   "/>
    <n v="1.22"/>
    <n v="0.24210000000000001"/>
    <n v="0"/>
    <s v="High Health/_x000a_Related Services"/>
    <x v="2"/>
  </r>
  <r>
    <s v="26056"/>
    <x v="173"/>
    <s v="Personnel"/>
    <s v="E "/>
    <s v="Elementary Grade Group K-6"/>
    <s v="PS42ES"/>
    <s v="PSES Elem Prog01Duty42 S275"/>
    <n v="1"/>
    <x v="5"/>
    <n v="42"/>
    <m/>
    <s v="   "/>
    <n v="1"/>
    <n v="0.24210000000000001"/>
    <n v="0"/>
    <s v="Elementary Counselor"/>
    <x v="5"/>
  </r>
  <r>
    <s v="26056"/>
    <x v="173"/>
    <s v="Personnel"/>
    <s v="M "/>
    <s v="Middle Grade Group 7-8"/>
    <s v="PS42MS"/>
    <s v="PSES Mid Prog01Duty42 S275"/>
    <n v="1"/>
    <x v="5"/>
    <n v="42"/>
    <m/>
    <s v="   "/>
    <n v="1"/>
    <n v="0.24210000000000001"/>
    <n v="0"/>
    <s v="Middle Counselor"/>
    <x v="5"/>
  </r>
  <r>
    <s v="26056"/>
    <x v="173"/>
    <s v="Personnel"/>
    <s v="E "/>
    <s v="Elementary Grade Group K-6"/>
    <s v="PS44ES"/>
    <s v="PSES Elem Prog01Duty44 S275"/>
    <n v="1"/>
    <x v="13"/>
    <n v="44"/>
    <m/>
    <s v="   "/>
    <n v="0.5"/>
    <n v="0.24210000000000001"/>
    <n v="0"/>
    <s v="Elementary Social Worker"/>
    <x v="13"/>
  </r>
  <r>
    <s v="26056"/>
    <x v="173"/>
    <s v="Personnel"/>
    <s v="H "/>
    <s v="High Grade Group 9-12"/>
    <s v="PS44HS"/>
    <s v="PSES High Prog01Duty44 S275"/>
    <n v="1"/>
    <x v="13"/>
    <n v="44"/>
    <m/>
    <s v="   "/>
    <n v="1.5"/>
    <n v="0.24210000000000001"/>
    <n v="0"/>
    <s v="High Social Worker"/>
    <x v="13"/>
  </r>
  <r>
    <s v="26056"/>
    <x v="173"/>
    <s v="Personnel"/>
    <s v="E "/>
    <s v="Elementary Grade Group K-6"/>
    <s v="PS45E21S"/>
    <s v="PSES Elem Prog21Duty45 S275"/>
    <n v="21"/>
    <x v="7"/>
    <n v="45"/>
    <m/>
    <s v="   "/>
    <n v="0.68"/>
    <n v="0.24210000000000001"/>
    <n v="0.16500000000000001"/>
    <s v="Elementary Speech, Language Pathway/_x000a_Audio"/>
    <x v="7"/>
  </r>
  <r>
    <s v="26056"/>
    <x v="173"/>
    <s v="Personnel"/>
    <s v="H "/>
    <s v="High Grade Group 9-12"/>
    <s v="PS45H21S"/>
    <s v="PSES High Prog21Duty45 S275"/>
    <n v="21"/>
    <x v="7"/>
    <n v="45"/>
    <m/>
    <s v="   "/>
    <n v="0.66"/>
    <n v="0.24210000000000001"/>
    <n v="0.16"/>
    <s v="High Speech, Language Pathway/_x000a_Audio"/>
    <x v="7"/>
  </r>
  <r>
    <s v="26056"/>
    <x v="173"/>
    <s v="Personnel"/>
    <s v="M "/>
    <s v="Middle Grade Group 7-8"/>
    <s v="PS45M21S"/>
    <s v="PSES Mid Prog21Duty45 S275"/>
    <n v="21"/>
    <x v="7"/>
    <n v="45"/>
    <m/>
    <s v="   "/>
    <n v="0.66"/>
    <n v="0.24210000000000001"/>
    <n v="0.16"/>
    <s v="Middle Speech, Language Pathway/_x000a_Audio"/>
    <x v="7"/>
  </r>
  <r>
    <s v="26056"/>
    <x v="173"/>
    <s v="Personnel"/>
    <s v="E "/>
    <s v="Elementary Grade Group K-6"/>
    <s v="PS46E21S"/>
    <s v="PSES Elem Prog21Duty46 S275"/>
    <n v="21"/>
    <x v="8"/>
    <n v="46"/>
    <m/>
    <s v="   "/>
    <n v="0.34"/>
    <n v="0.24210000000000001"/>
    <n v="8.2000000000000003E-2"/>
    <s v="Elementary Psychologist"/>
    <x v="8"/>
  </r>
  <r>
    <s v="26056"/>
    <x v="173"/>
    <s v="Personnel"/>
    <s v="H "/>
    <s v="High Grade Group 9-12"/>
    <s v="PS46H21S"/>
    <s v="PSES High Prog21Duty46 S275"/>
    <n v="21"/>
    <x v="8"/>
    <n v="46"/>
    <m/>
    <s v="   "/>
    <n v="0.33"/>
    <n v="0.24210000000000001"/>
    <n v="0.08"/>
    <s v="High Psychologist"/>
    <x v="8"/>
  </r>
  <r>
    <s v="26056"/>
    <x v="173"/>
    <s v="Personnel"/>
    <s v="M "/>
    <s v="Middle Grade Group 7-8"/>
    <s v="PS46M21S"/>
    <s v="PSES Mid Prog21Duty46 S275"/>
    <n v="21"/>
    <x v="8"/>
    <n v="46"/>
    <m/>
    <s v="   "/>
    <n v="0.33"/>
    <n v="0.24210000000000001"/>
    <n v="0.08"/>
    <s v="Middle Psychologist"/>
    <x v="8"/>
  </r>
  <r>
    <s v="26059"/>
    <x v="174"/>
    <s v="Personnel"/>
    <s v="E "/>
    <s v="Elementary Grade Group K-6"/>
    <s v="PS25ES"/>
    <s v="PSES Elem Prog01Act25 S275"/>
    <n v="1"/>
    <x v="1"/>
    <m/>
    <n v="25"/>
    <s v="   "/>
    <n v="0.151"/>
    <n v="0.1951"/>
    <n v="0"/>
    <s v="Elementary Pupil Management"/>
    <x v="1"/>
  </r>
  <r>
    <s v="26059"/>
    <x v="174"/>
    <s v="Personnel"/>
    <s v="H "/>
    <s v="High Grade Group 9-12"/>
    <s v="PS25HS"/>
    <s v="PSES High Prog01Act25 S275"/>
    <n v="1"/>
    <x v="1"/>
    <m/>
    <n v="25"/>
    <s v="   "/>
    <n v="1.9410000000000001"/>
    <n v="0.1951"/>
    <n v="0"/>
    <s v="High Pupil Management"/>
    <x v="1"/>
  </r>
  <r>
    <s v="26059"/>
    <x v="174"/>
    <s v="Personnel"/>
    <s v="E "/>
    <s v="Elementary Grade Group K-6"/>
    <s v="PS42ES"/>
    <s v="PSES Elem Prog01Duty42 S275"/>
    <n v="1"/>
    <x v="5"/>
    <n v="42"/>
    <m/>
    <s v="   "/>
    <n v="0.28799999999999998"/>
    <n v="0.1951"/>
    <n v="0"/>
    <s v="Elementary Counselor"/>
    <x v="5"/>
  </r>
  <r>
    <s v="26059"/>
    <x v="174"/>
    <s v="Personnel"/>
    <s v="H "/>
    <s v="High Grade Group 9-12"/>
    <s v="PS42HS"/>
    <s v="PSES High Prog01Duty42 S275"/>
    <n v="1"/>
    <x v="5"/>
    <n v="42"/>
    <m/>
    <s v="   "/>
    <n v="0.14299999999999999"/>
    <n v="0.1951"/>
    <n v="0"/>
    <s v="High Counselor"/>
    <x v="5"/>
  </r>
  <r>
    <s v="26059"/>
    <x v="174"/>
    <s v="Personnel"/>
    <s v="M "/>
    <s v="Middle Grade Group 7-8"/>
    <s v="PS42MS"/>
    <s v="PSES Mid Prog01Duty42 S275"/>
    <n v="1"/>
    <x v="5"/>
    <n v="42"/>
    <m/>
    <s v="   "/>
    <n v="7.0999999999999994E-2"/>
    <n v="0.1951"/>
    <n v="0"/>
    <s v="Middle Counselor"/>
    <x v="5"/>
  </r>
  <r>
    <s v="26059"/>
    <x v="174"/>
    <s v="Personnel"/>
    <s v="E "/>
    <s v="Elementary Grade Group K-6"/>
    <s v="PS43E21S"/>
    <s v="PSES Elem Prog21Duty43 S275"/>
    <n v="21"/>
    <x v="6"/>
    <n v="43"/>
    <m/>
    <s v="   "/>
    <n v="0.8"/>
    <n v="0.1951"/>
    <n v="0.156"/>
    <s v="Elementary Occupational Therapist"/>
    <x v="6"/>
  </r>
  <r>
    <s v="26059"/>
    <x v="174"/>
    <s v="Personnel"/>
    <s v="M "/>
    <s v="Middle Grade Group 7-8"/>
    <s v="PS43M21S"/>
    <s v="PSES Mid Prog21Duty43 S275"/>
    <n v="21"/>
    <x v="6"/>
    <n v="43"/>
    <m/>
    <s v="   "/>
    <n v="0.2"/>
    <n v="0.1951"/>
    <n v="3.9E-2"/>
    <s v="Middle Occupational Therapist"/>
    <x v="6"/>
  </r>
  <r>
    <s v="26059"/>
    <x v="174"/>
    <s v="Personnel"/>
    <s v="E "/>
    <s v="Elementary Grade Group K-6"/>
    <s v="PS45E21S"/>
    <s v="PSES Elem Prog21Duty45 S275"/>
    <n v="21"/>
    <x v="7"/>
    <n v="45"/>
    <m/>
    <s v="   "/>
    <n v="0.158"/>
    <n v="0.1951"/>
    <n v="3.1E-2"/>
    <s v="Elementary Speech, Language Pathway/_x000a_Audio"/>
    <x v="7"/>
  </r>
  <r>
    <s v="26059"/>
    <x v="174"/>
    <s v="Personnel"/>
    <s v="H "/>
    <s v="High Grade Group 9-12"/>
    <s v="PS45H21S"/>
    <s v="PSES High Prog21Duty45 S275"/>
    <n v="21"/>
    <x v="7"/>
    <n v="45"/>
    <m/>
    <s v="   "/>
    <n v="0.158"/>
    <n v="0.1951"/>
    <n v="3.1E-2"/>
    <s v="High Speech, Language Pathway/_x000a_Audio"/>
    <x v="7"/>
  </r>
  <r>
    <s v="26070"/>
    <x v="175"/>
    <s v="Personnel"/>
    <s v="H "/>
    <s v="High Grade Group 9-12"/>
    <s v="PS26HS"/>
    <s v="PSES High Prog01Act26 S275"/>
    <n v="1"/>
    <x v="2"/>
    <m/>
    <n v="26"/>
    <s v="   "/>
    <n v="0.14699999999999999"/>
    <n v="0.182"/>
    <n v="0"/>
    <s v="High Health/_x000a_Related Services"/>
    <x v="2"/>
  </r>
  <r>
    <s v="26070"/>
    <x v="175"/>
    <s v="Personnel"/>
    <s v="M "/>
    <s v="Middle Grade Group 7-8"/>
    <s v="PS26MS"/>
    <s v="PSES Mid Prog01Act26 S275"/>
    <n v="1"/>
    <x v="2"/>
    <m/>
    <n v="26"/>
    <s v="   "/>
    <n v="4.3999999999999997E-2"/>
    <n v="0.182"/>
    <n v="0"/>
    <s v="Middle Health/_x000a_Related Services"/>
    <x v="2"/>
  </r>
  <r>
    <s v="26070"/>
    <x v="175"/>
    <s v="Personnel"/>
    <s v="H "/>
    <s v="High Grade Group 9-12"/>
    <s v="PS35H97S"/>
    <s v="PSES High Prog97Act35 S275"/>
    <n v="97"/>
    <x v="3"/>
    <m/>
    <n v="35"/>
    <s v="   "/>
    <n v="0.38500000000000001"/>
    <n v="0.182"/>
    <n v="0"/>
    <s v="High Pupil Safety"/>
    <x v="3"/>
  </r>
  <r>
    <s v="26070"/>
    <x v="175"/>
    <s v="Personnel"/>
    <s v="E "/>
    <s v="Elementary Grade Group K-6"/>
    <s v="PS45E21S"/>
    <s v="PSES Elem Prog21Duty45 S275"/>
    <n v="21"/>
    <x v="7"/>
    <n v="45"/>
    <m/>
    <s v="   "/>
    <n v="0.92"/>
    <n v="0.182"/>
    <n v="0.16700000000000001"/>
    <s v="Elementary Speech, Language Pathway/_x000a_Audio"/>
    <x v="7"/>
  </r>
  <r>
    <s v="26070"/>
    <x v="175"/>
    <s v="Personnel"/>
    <s v="E "/>
    <s v="Elementary Grade Group K-6"/>
    <s v="PS46E21S"/>
    <s v="PSES Elem Prog21Duty46 S275"/>
    <n v="21"/>
    <x v="8"/>
    <n v="46"/>
    <m/>
    <s v="   "/>
    <n v="0.34200000000000003"/>
    <n v="0.182"/>
    <n v="6.2E-2"/>
    <s v="Elementary Psychologist"/>
    <x v="8"/>
  </r>
  <r>
    <s v="26070"/>
    <x v="175"/>
    <s v="Personnel"/>
    <s v="E "/>
    <s v="Elementary Grade Group K-6"/>
    <s v="PS47ES"/>
    <s v="PSES Elem Prog01Duty47 S275"/>
    <n v="1"/>
    <x v="9"/>
    <n v="47"/>
    <m/>
    <s v="   "/>
    <n v="0.499"/>
    <n v="0.182"/>
    <n v="0"/>
    <s v="Elementary Nurse"/>
    <x v="9"/>
  </r>
  <r>
    <s v="26070"/>
    <x v="175"/>
    <s v="Personnel"/>
    <s v="H "/>
    <s v="High Grade Group 9-12"/>
    <s v="PS47HS"/>
    <s v="PSES High Prog01Duty47 S275"/>
    <n v="1"/>
    <x v="9"/>
    <n v="47"/>
    <m/>
    <s v="   "/>
    <n v="0.28999999999999998"/>
    <n v="0.182"/>
    <n v="0"/>
    <s v="High Nurse"/>
    <x v="9"/>
  </r>
  <r>
    <s v="26070"/>
    <x v="175"/>
    <s v="Personnel"/>
    <s v="M "/>
    <s v="Middle Grade Group 7-8"/>
    <s v="PS47MS"/>
    <s v="PSES Mid Prog01Duty47 S275"/>
    <n v="1"/>
    <x v="9"/>
    <n v="47"/>
    <m/>
    <s v="   "/>
    <n v="0.21099999999999999"/>
    <n v="0.182"/>
    <n v="0"/>
    <s v="Middle Nurse"/>
    <x v="9"/>
  </r>
  <r>
    <s v="27001"/>
    <x v="176"/>
    <s v="Personnel"/>
    <s v="H "/>
    <s v="High Grade Group 9-12"/>
    <s v="PS25H97S"/>
    <s v="PSES High Prog97Act25 S275"/>
    <n v="97"/>
    <x v="1"/>
    <m/>
    <n v="25"/>
    <s v="   "/>
    <n v="0.2"/>
    <n v="0.2147"/>
    <n v="0"/>
    <s v="High Pupil Management"/>
    <x v="1"/>
  </r>
  <r>
    <s v="27001"/>
    <x v="176"/>
    <s v="Personnel"/>
    <s v="H "/>
    <s v="High Grade Group 9-12"/>
    <s v="PS26HS"/>
    <s v="PSES High Prog01Act26 S275"/>
    <n v="1"/>
    <x v="2"/>
    <m/>
    <n v="26"/>
    <s v="   "/>
    <n v="4.4909999999999997"/>
    <n v="0.2147"/>
    <n v="0"/>
    <s v="High Health/_x000a_Related Services"/>
    <x v="2"/>
  </r>
  <r>
    <s v="27001"/>
    <x v="176"/>
    <s v="Personnel"/>
    <s v="H "/>
    <s v="High Grade Group 9-12"/>
    <s v="PS35HS"/>
    <s v="PSES High Prog01Act35 S275"/>
    <n v="1"/>
    <x v="3"/>
    <m/>
    <n v="35"/>
    <s v="   "/>
    <n v="1.462"/>
    <n v="0.2147"/>
    <n v="0"/>
    <s v="High Pupil Safety"/>
    <x v="3"/>
  </r>
  <r>
    <s v="27001"/>
    <x v="176"/>
    <s v="Personnel"/>
    <s v="E "/>
    <s v="Elementary Grade Group K-6"/>
    <s v="PS42ES"/>
    <s v="PSES Elem Prog01Duty42 S275"/>
    <n v="1"/>
    <x v="5"/>
    <n v="42"/>
    <m/>
    <s v="   "/>
    <n v="3"/>
    <n v="0.2147"/>
    <n v="0"/>
    <s v="Elementary Counselor"/>
    <x v="5"/>
  </r>
  <r>
    <s v="27001"/>
    <x v="176"/>
    <s v="Personnel"/>
    <s v="H "/>
    <s v="High Grade Group 9-12"/>
    <s v="PS42HS"/>
    <s v="PSES High Prog01Duty42 S275"/>
    <n v="1"/>
    <x v="5"/>
    <n v="42"/>
    <m/>
    <s v="   "/>
    <n v="3"/>
    <n v="0.2147"/>
    <n v="0"/>
    <s v="High Counselor"/>
    <x v="5"/>
  </r>
  <r>
    <s v="27001"/>
    <x v="176"/>
    <s v="Personnel"/>
    <s v="M "/>
    <s v="Middle Grade Group 7-8"/>
    <s v="PS42MS"/>
    <s v="PSES Mid Prog01Duty42 S275"/>
    <n v="1"/>
    <x v="5"/>
    <n v="42"/>
    <m/>
    <s v="   "/>
    <n v="1"/>
    <n v="0.2147"/>
    <n v="0"/>
    <s v="Middle Counselor"/>
    <x v="5"/>
  </r>
  <r>
    <s v="27001"/>
    <x v="176"/>
    <s v="Personnel"/>
    <s v="E "/>
    <s v="Elementary Grade Group K-6"/>
    <s v="PS43E21S"/>
    <s v="PSES Elem Prog21Duty43 S275"/>
    <n v="21"/>
    <x v="6"/>
    <n v="43"/>
    <m/>
    <s v="   "/>
    <n v="1.59"/>
    <n v="0.2147"/>
    <n v="0.34100000000000003"/>
    <s v="Elementary Occupational Therapist"/>
    <x v="6"/>
  </r>
  <r>
    <s v="27001"/>
    <x v="176"/>
    <s v="Personnel"/>
    <s v="H "/>
    <s v="High Grade Group 9-12"/>
    <s v="PS43H21S"/>
    <s v="PSES High Prog21Duty43 S275"/>
    <n v="21"/>
    <x v="6"/>
    <n v="43"/>
    <m/>
    <s v="   "/>
    <n v="0.25"/>
    <n v="0.2147"/>
    <n v="5.3999999999999999E-2"/>
    <s v="High Occupational Therapist"/>
    <x v="6"/>
  </r>
  <r>
    <s v="27001"/>
    <x v="176"/>
    <s v="Personnel"/>
    <s v="M "/>
    <s v="Middle Grade Group 7-8"/>
    <s v="PS43M21S"/>
    <s v="PSES Mid Prog21Duty43 S275"/>
    <n v="21"/>
    <x v="6"/>
    <n v="43"/>
    <m/>
    <s v="   "/>
    <n v="0.16"/>
    <n v="0.2147"/>
    <n v="3.4000000000000002E-2"/>
    <s v="Middle Occupational Therapist"/>
    <x v="6"/>
  </r>
  <r>
    <s v="27001"/>
    <x v="176"/>
    <s v="Personnel"/>
    <s v="E "/>
    <s v="Elementary Grade Group K-6"/>
    <s v="PS44ES"/>
    <s v="PSES Elem Prog01Duty44 S275"/>
    <n v="1"/>
    <x v="13"/>
    <n v="44"/>
    <m/>
    <s v="   "/>
    <n v="1"/>
    <n v="0.2147"/>
    <n v="0"/>
    <s v="Elementary Social Worker"/>
    <x v="13"/>
  </r>
  <r>
    <s v="27001"/>
    <x v="176"/>
    <s v="Personnel"/>
    <s v="E "/>
    <s v="Elementary Grade Group K-6"/>
    <s v="PS45E21S"/>
    <s v="PSES Elem Prog21Duty45 S275"/>
    <n v="21"/>
    <x v="7"/>
    <n v="45"/>
    <m/>
    <s v="   "/>
    <n v="3.7"/>
    <n v="0.2147"/>
    <n v="0.79400000000000004"/>
    <s v="Elementary Speech, Language Pathway/_x000a_Audio"/>
    <x v="7"/>
  </r>
  <r>
    <s v="27001"/>
    <x v="176"/>
    <s v="Personnel"/>
    <s v="H "/>
    <s v="High Grade Group 9-12"/>
    <s v="PS45H21S"/>
    <s v="PSES High Prog21Duty45 S275"/>
    <n v="21"/>
    <x v="7"/>
    <n v="45"/>
    <m/>
    <s v="   "/>
    <n v="0.5"/>
    <n v="0.2147"/>
    <n v="0.107"/>
    <s v="High Speech, Language Pathway/_x000a_Audio"/>
    <x v="7"/>
  </r>
  <r>
    <s v="27001"/>
    <x v="176"/>
    <s v="Personnel"/>
    <s v="M "/>
    <s v="Middle Grade Group 7-8"/>
    <s v="PS45M21S"/>
    <s v="PSES Mid Prog21Duty45 S275"/>
    <n v="21"/>
    <x v="7"/>
    <n v="45"/>
    <m/>
    <s v="   "/>
    <n v="0.4"/>
    <n v="0.2147"/>
    <n v="8.5999999999999993E-2"/>
    <s v="Middle Speech, Language Pathway/_x000a_Audio"/>
    <x v="7"/>
  </r>
  <r>
    <s v="27001"/>
    <x v="176"/>
    <s v="Personnel"/>
    <s v="E "/>
    <s v="Elementary Grade Group K-6"/>
    <s v="PS46E21S"/>
    <s v="PSES Elem Prog21Duty46 S275"/>
    <n v="21"/>
    <x v="8"/>
    <n v="46"/>
    <m/>
    <s v="   "/>
    <n v="2.855"/>
    <n v="0.2147"/>
    <n v="0.61299999999999999"/>
    <s v="Elementary Psychologist"/>
    <x v="8"/>
  </r>
  <r>
    <s v="27001"/>
    <x v="176"/>
    <s v="Personnel"/>
    <s v="H "/>
    <s v="High Grade Group 9-12"/>
    <s v="PS46H21S"/>
    <s v="PSES High Prog21Duty46 S275"/>
    <n v="21"/>
    <x v="8"/>
    <n v="46"/>
    <m/>
    <s v="   "/>
    <n v="0.5"/>
    <n v="0.2147"/>
    <n v="0.107"/>
    <s v="High Psychologist"/>
    <x v="8"/>
  </r>
  <r>
    <s v="27001"/>
    <x v="176"/>
    <s v="Personnel"/>
    <s v="M "/>
    <s v="Middle Grade Group 7-8"/>
    <s v="PS46M21S"/>
    <s v="PSES Mid Prog21Duty46 S275"/>
    <n v="21"/>
    <x v="8"/>
    <n v="46"/>
    <m/>
    <s v="   "/>
    <n v="0.245"/>
    <n v="0.2147"/>
    <n v="5.2999999999999999E-2"/>
    <s v="Middle Psychologist"/>
    <x v="8"/>
  </r>
  <r>
    <s v="27001"/>
    <x v="176"/>
    <s v="Personnel"/>
    <s v="E "/>
    <s v="Elementary Grade Group K-6"/>
    <s v="PS47ES"/>
    <s v="PSES Elem Prog01Duty47 S275"/>
    <n v="1"/>
    <x v="9"/>
    <n v="47"/>
    <m/>
    <s v="   "/>
    <n v="0.6"/>
    <n v="0.2147"/>
    <n v="0"/>
    <s v="Elementary Nurse"/>
    <x v="9"/>
  </r>
  <r>
    <s v="27001"/>
    <x v="176"/>
    <s v="Personnel"/>
    <s v="H "/>
    <s v="High Grade Group 9-12"/>
    <s v="PS47HS"/>
    <s v="PSES High Prog01Duty47 S275"/>
    <n v="1"/>
    <x v="9"/>
    <n v="47"/>
    <m/>
    <s v="   "/>
    <n v="0.2"/>
    <n v="0.2147"/>
    <n v="0"/>
    <s v="High Nurse"/>
    <x v="9"/>
  </r>
  <r>
    <s v="27001"/>
    <x v="176"/>
    <s v="Personnel"/>
    <s v="M "/>
    <s v="Middle Grade Group 7-8"/>
    <s v="PS47MS"/>
    <s v="PSES Mid Prog01Duty47 S275"/>
    <n v="1"/>
    <x v="9"/>
    <n v="47"/>
    <m/>
    <s v="   "/>
    <n v="0.2"/>
    <n v="0.2147"/>
    <n v="0"/>
    <s v="Middle Nurse"/>
    <x v="9"/>
  </r>
  <r>
    <s v="27001"/>
    <x v="176"/>
    <s v="Personnel"/>
    <s v="E "/>
    <s v="Elementary Grade Group K-6"/>
    <s v="PS48E21S"/>
    <s v="PSES Elem Prog21Duty48 S275"/>
    <n v="21"/>
    <x v="11"/>
    <n v="48"/>
    <m/>
    <s v="   "/>
    <n v="0.25"/>
    <n v="0.2147"/>
    <n v="5.3999999999999999E-2"/>
    <s v="Elementary Physical Therapist"/>
    <x v="11"/>
  </r>
  <r>
    <s v="27001"/>
    <x v="176"/>
    <s v="Personnel"/>
    <s v="H "/>
    <s v="High Grade Group 9-12"/>
    <s v="PS48H21S"/>
    <s v="PSES High Prog21Duty48 S275"/>
    <n v="21"/>
    <x v="11"/>
    <n v="48"/>
    <m/>
    <s v="   "/>
    <n v="0.125"/>
    <n v="0.2147"/>
    <n v="2.7E-2"/>
    <s v="High Physical Therapist"/>
    <x v="11"/>
  </r>
  <r>
    <s v="27001"/>
    <x v="176"/>
    <s v="Personnel"/>
    <s v="M "/>
    <s v="Middle Grade Group 7-8"/>
    <s v="PS48M21S"/>
    <s v="PSES Mid Prog21Duty48 S275"/>
    <n v="21"/>
    <x v="11"/>
    <n v="48"/>
    <m/>
    <s v="   "/>
    <n v="0.125"/>
    <n v="0.2147"/>
    <n v="2.7E-2"/>
    <s v="Middle Physical Therapist"/>
    <x v="11"/>
  </r>
  <r>
    <s v="27003"/>
    <x v="177"/>
    <s v="Personnel"/>
    <s v="H "/>
    <s v="High Grade Group 9-12"/>
    <s v="PS24H21S"/>
    <s v="PSES High Prog21Duty96 S275"/>
    <n v="21"/>
    <x v="0"/>
    <n v="96"/>
    <n v="24"/>
    <s v="   "/>
    <n v="3.1949999999999998"/>
    <n v="0.30399999999999999"/>
    <n v="0.97099999999999997"/>
    <s v="High Family Engagement Coordinator"/>
    <x v="0"/>
  </r>
  <r>
    <s v="27003"/>
    <x v="177"/>
    <s v="Personnel"/>
    <s v="H "/>
    <s v="High Grade Group 9-12"/>
    <s v="PS25H21S"/>
    <s v="PSES High Prog21Act25 S275"/>
    <n v="21"/>
    <x v="1"/>
    <m/>
    <n v="25"/>
    <s v="   "/>
    <n v="1.51"/>
    <n v="0.30399999999999999"/>
    <n v="0.45900000000000002"/>
    <s v="High Pupil Management"/>
    <x v="1"/>
  </r>
  <r>
    <s v="27003"/>
    <x v="177"/>
    <s v="Personnel"/>
    <s v="H "/>
    <s v="High Grade Group 9-12"/>
    <s v="PS25HS"/>
    <s v="PSES High Prog01Act25 S275"/>
    <n v="1"/>
    <x v="1"/>
    <m/>
    <n v="25"/>
    <s v="   "/>
    <n v="48.835999999999999"/>
    <n v="0.30399999999999999"/>
    <n v="0"/>
    <s v="High Pupil Management"/>
    <x v="1"/>
  </r>
  <r>
    <s v="27003"/>
    <x v="177"/>
    <s v="Personnel"/>
    <s v="H "/>
    <s v="High Grade Group 9-12"/>
    <s v="PS26H21S"/>
    <s v="PSES High Prog21Act26 S275"/>
    <n v="21"/>
    <x v="2"/>
    <m/>
    <n v="26"/>
    <s v="   "/>
    <n v="5.883"/>
    <n v="0.30399999999999999"/>
    <n v="1.788"/>
    <s v="High Health/_x000a_Related Services"/>
    <x v="2"/>
  </r>
  <r>
    <s v="27003"/>
    <x v="177"/>
    <s v="Personnel"/>
    <s v="H "/>
    <s v="High Grade Group 9-12"/>
    <s v="PS26HS"/>
    <s v="PSES High Prog01Act26 S275"/>
    <n v="1"/>
    <x v="2"/>
    <m/>
    <n v="26"/>
    <s v="   "/>
    <n v="10.586"/>
    <n v="0.30399999999999999"/>
    <n v="0"/>
    <s v="High Health/_x000a_Related Services"/>
    <x v="2"/>
  </r>
  <r>
    <s v="27003"/>
    <x v="177"/>
    <s v="Personnel"/>
    <s v="H "/>
    <s v="High Grade Group 9-12"/>
    <s v="PS35H21S"/>
    <s v="PSES High Prog21Act35 S275"/>
    <n v="21"/>
    <x v="3"/>
    <m/>
    <n v="35"/>
    <s v="   "/>
    <n v="0.188"/>
    <n v="0.30399999999999999"/>
    <n v="5.7000000000000002E-2"/>
    <s v="High Pupil Safety"/>
    <x v="3"/>
  </r>
  <r>
    <s v="27003"/>
    <x v="177"/>
    <s v="Personnel"/>
    <s v="H "/>
    <s v="High Grade Group 9-12"/>
    <s v="PS35HS"/>
    <s v="PSES High Prog01Act35 S275"/>
    <n v="1"/>
    <x v="3"/>
    <m/>
    <n v="35"/>
    <s v="   "/>
    <n v="10.781000000000001"/>
    <n v="0.30399999999999999"/>
    <n v="0"/>
    <s v="High Pupil Safety"/>
    <x v="3"/>
  </r>
  <r>
    <s v="27003"/>
    <x v="177"/>
    <s v="Personnel"/>
    <s v="E "/>
    <s v="Elementary Grade Group K-6"/>
    <s v="PS39E21S"/>
    <s v="PSES Elem Prog21Duty39 S275"/>
    <n v="21"/>
    <x v="4"/>
    <n v="39"/>
    <m/>
    <s v="   "/>
    <n v="2.331"/>
    <n v="0.30399999999999999"/>
    <n v="0.70899999999999996"/>
    <s v="Elementary Orientation &amp; Mobility Specialist"/>
    <x v="4"/>
  </r>
  <r>
    <s v="27003"/>
    <x v="177"/>
    <s v="Personnel"/>
    <s v="H "/>
    <s v="High Grade Group 9-12"/>
    <s v="PS39H21S"/>
    <s v="PSES High Prog21Duty39 S275"/>
    <n v="21"/>
    <x v="4"/>
    <n v="39"/>
    <m/>
    <s v="   "/>
    <n v="0.33600000000000002"/>
    <n v="0.30399999999999999"/>
    <n v="0.10199999999999999"/>
    <s v="High Orientation &amp; Mobility Specialist"/>
    <x v="4"/>
  </r>
  <r>
    <s v="27003"/>
    <x v="177"/>
    <s v="Personnel"/>
    <s v="M "/>
    <s v="Middle Grade Group 7-8"/>
    <s v="PS39M21S"/>
    <s v="PSES Mid Prog21Duty39 S275"/>
    <n v="21"/>
    <x v="4"/>
    <n v="39"/>
    <m/>
    <s v="   "/>
    <n v="0.33300000000000002"/>
    <n v="0.30399999999999999"/>
    <n v="0.10100000000000001"/>
    <s v="Middle Orientation &amp; Mobility Specialist"/>
    <x v="4"/>
  </r>
  <r>
    <s v="27003"/>
    <x v="177"/>
    <s v="Personnel"/>
    <s v="E "/>
    <s v="Elementary Grade Group K-6"/>
    <s v="PS42ES"/>
    <s v="PSES Elem Prog01Duty42 S275"/>
    <n v="1"/>
    <x v="5"/>
    <n v="42"/>
    <m/>
    <s v="   "/>
    <n v="23.74"/>
    <n v="0.30399999999999999"/>
    <n v="0"/>
    <s v="Elementary Counselor"/>
    <x v="5"/>
  </r>
  <r>
    <s v="27003"/>
    <x v="177"/>
    <s v="Personnel"/>
    <s v="H "/>
    <s v="High Grade Group 9-12"/>
    <s v="PS42HS"/>
    <s v="PSES High Prog01Duty42 S275"/>
    <n v="1"/>
    <x v="5"/>
    <n v="42"/>
    <m/>
    <s v="   "/>
    <n v="19.404"/>
    <n v="0.30399999999999999"/>
    <n v="0"/>
    <s v="High Counselor"/>
    <x v="5"/>
  </r>
  <r>
    <s v="27003"/>
    <x v="177"/>
    <s v="Personnel"/>
    <s v="M "/>
    <s v="Middle Grade Group 7-8"/>
    <s v="PS42MS"/>
    <s v="PSES Mid Prog01Duty42 S275"/>
    <n v="1"/>
    <x v="5"/>
    <n v="42"/>
    <m/>
    <s v="   "/>
    <n v="8.4559999999999995"/>
    <n v="0.30399999999999999"/>
    <n v="0"/>
    <s v="Middle Counselor"/>
    <x v="5"/>
  </r>
  <r>
    <s v="27003"/>
    <x v="177"/>
    <s v="Personnel"/>
    <s v="E "/>
    <s v="Elementary Grade Group K-6"/>
    <s v="PS43E21S"/>
    <s v="PSES Elem Prog21Duty43 S275"/>
    <n v="21"/>
    <x v="6"/>
    <n v="43"/>
    <m/>
    <s v="   "/>
    <n v="5.8979999999999997"/>
    <n v="0.30399999999999999"/>
    <n v="1.7929999999999999"/>
    <s v="Elementary Occupational Therapist"/>
    <x v="6"/>
  </r>
  <r>
    <s v="27003"/>
    <x v="177"/>
    <s v="Personnel"/>
    <s v="H "/>
    <s v="High Grade Group 9-12"/>
    <s v="PS43H21S"/>
    <s v="PSES High Prog21Duty43 S275"/>
    <n v="21"/>
    <x v="6"/>
    <n v="43"/>
    <m/>
    <s v="   "/>
    <n v="3.6219999999999999"/>
    <n v="0.30399999999999999"/>
    <n v="1.101"/>
    <s v="High Occupational Therapist"/>
    <x v="6"/>
  </r>
  <r>
    <s v="27003"/>
    <x v="177"/>
    <s v="Personnel"/>
    <s v="M "/>
    <s v="Middle Grade Group 7-8"/>
    <s v="PS43M21S"/>
    <s v="PSES Mid Prog21Duty43 S275"/>
    <n v="21"/>
    <x v="6"/>
    <n v="43"/>
    <m/>
    <s v="   "/>
    <n v="1.68"/>
    <n v="0.30399999999999999"/>
    <n v="0.51100000000000001"/>
    <s v="Middle Occupational Therapist"/>
    <x v="6"/>
  </r>
  <r>
    <s v="27003"/>
    <x v="177"/>
    <s v="Personnel"/>
    <s v="E "/>
    <s v="Elementary Grade Group K-6"/>
    <s v="PS44E21S"/>
    <s v="PSES Elem Prog21Duty44 S275"/>
    <n v="21"/>
    <x v="13"/>
    <n v="44"/>
    <m/>
    <s v="   "/>
    <n v="0.54"/>
    <n v="0.30399999999999999"/>
    <n v="0.16400000000000001"/>
    <s v="Elementary Social Worker"/>
    <x v="13"/>
  </r>
  <r>
    <s v="27003"/>
    <x v="177"/>
    <s v="Personnel"/>
    <s v="H "/>
    <s v="High Grade Group 9-12"/>
    <s v="PS44H21S"/>
    <s v="PSES High Prog21Duty44 S275"/>
    <n v="21"/>
    <x v="13"/>
    <n v="44"/>
    <m/>
    <s v="   "/>
    <n v="0.31"/>
    <n v="0.30399999999999999"/>
    <n v="9.4E-2"/>
    <s v="High Social Worker"/>
    <x v="13"/>
  </r>
  <r>
    <s v="27003"/>
    <x v="177"/>
    <s v="Personnel"/>
    <s v="M "/>
    <s v="Middle Grade Group 7-8"/>
    <s v="PS44M21S"/>
    <s v="PSES Mid Prog21Duty44 S275"/>
    <n v="21"/>
    <x v="13"/>
    <n v="44"/>
    <m/>
    <s v="   "/>
    <n v="0.15"/>
    <n v="0.30399999999999999"/>
    <n v="4.5999999999999999E-2"/>
    <s v="Middle Social Worker"/>
    <x v="13"/>
  </r>
  <r>
    <s v="27003"/>
    <x v="177"/>
    <s v="Personnel"/>
    <s v="E "/>
    <s v="Elementary Grade Group K-6"/>
    <s v="PS45E21S"/>
    <s v="PSES Elem Prog21Duty45 S275"/>
    <n v="21"/>
    <x v="7"/>
    <n v="45"/>
    <m/>
    <s v="   "/>
    <n v="15.39"/>
    <n v="0.30399999999999999"/>
    <n v="4.6790000000000003"/>
    <s v="Elementary Speech, Language Pathway/_x000a_Audio"/>
    <x v="7"/>
  </r>
  <r>
    <s v="27003"/>
    <x v="177"/>
    <s v="Personnel"/>
    <s v="E "/>
    <s v="Elementary Grade Group K-6"/>
    <s v="PS45ES"/>
    <s v="PSES Elem Prog01Duty45 S275"/>
    <n v="1"/>
    <x v="7"/>
    <n v="45"/>
    <m/>
    <s v="   "/>
    <n v="0.2"/>
    <n v="0.30399999999999999"/>
    <n v="0"/>
    <s v="Elementary Speech, Language Pathway/_x000a_Audio"/>
    <x v="7"/>
  </r>
  <r>
    <s v="27003"/>
    <x v="177"/>
    <s v="Personnel"/>
    <s v="H "/>
    <s v="High Grade Group 9-12"/>
    <s v="PS45H21S"/>
    <s v="PSES High Prog21Duty45 S275"/>
    <n v="21"/>
    <x v="7"/>
    <n v="45"/>
    <m/>
    <s v="   "/>
    <n v="8.8350000000000009"/>
    <n v="0.30399999999999999"/>
    <n v="2.6859999999999999"/>
    <s v="High Speech, Language Pathway/_x000a_Audio"/>
    <x v="7"/>
  </r>
  <r>
    <s v="27003"/>
    <x v="177"/>
    <s v="Personnel"/>
    <s v="M "/>
    <s v="Middle Grade Group 7-8"/>
    <s v="PS45M21S"/>
    <s v="PSES Mid Prog21Duty45 S275"/>
    <n v="21"/>
    <x v="7"/>
    <n v="45"/>
    <m/>
    <s v="   "/>
    <n v="4.2750000000000004"/>
    <n v="0.30399999999999999"/>
    <n v="1.3"/>
    <s v="Middle Speech, Language Pathway/_x000a_Audio"/>
    <x v="7"/>
  </r>
  <r>
    <s v="27003"/>
    <x v="177"/>
    <s v="Personnel"/>
    <s v="E "/>
    <s v="Elementary Grade Group K-6"/>
    <s v="PS46E21S"/>
    <s v="PSES Elem Prog21Duty46 S275"/>
    <n v="21"/>
    <x v="8"/>
    <n v="46"/>
    <m/>
    <s v="   "/>
    <n v="13.068"/>
    <n v="0.30399999999999999"/>
    <n v="3.9729999999999999"/>
    <s v="Elementary Psychologist"/>
    <x v="8"/>
  </r>
  <r>
    <s v="27003"/>
    <x v="177"/>
    <s v="Personnel"/>
    <s v="H "/>
    <s v="High Grade Group 9-12"/>
    <s v="PS46H21S"/>
    <s v="PSES High Prog21Duty46 S275"/>
    <n v="21"/>
    <x v="8"/>
    <n v="46"/>
    <m/>
    <s v="   "/>
    <n v="7.5019999999999998"/>
    <n v="0.30399999999999999"/>
    <n v="2.2810000000000001"/>
    <s v="High Psychologist"/>
    <x v="8"/>
  </r>
  <r>
    <s v="27003"/>
    <x v="177"/>
    <s v="Personnel"/>
    <s v="M "/>
    <s v="Middle Grade Group 7-8"/>
    <s v="PS46M21S"/>
    <s v="PSES Mid Prog21Duty46 S275"/>
    <n v="21"/>
    <x v="8"/>
    <n v="46"/>
    <m/>
    <s v="   "/>
    <n v="3.63"/>
    <n v="0.30399999999999999"/>
    <n v="1.1040000000000001"/>
    <s v="Middle Psychologist"/>
    <x v="8"/>
  </r>
  <r>
    <s v="27003"/>
    <x v="177"/>
    <s v="Personnel"/>
    <s v="E "/>
    <s v="Elementary Grade Group K-6"/>
    <s v="PS47ES"/>
    <s v="PSES Elem Prog01Duty47 S275"/>
    <n v="1"/>
    <x v="9"/>
    <n v="47"/>
    <m/>
    <s v="   "/>
    <n v="9.36"/>
    <n v="0.30399999999999999"/>
    <n v="0"/>
    <s v="Elementary Nurse"/>
    <x v="9"/>
  </r>
  <r>
    <s v="27003"/>
    <x v="177"/>
    <s v="Personnel"/>
    <s v="H "/>
    <s v="High Grade Group 9-12"/>
    <s v="PS47HS"/>
    <s v="PSES High Prog01Duty47 S275"/>
    <n v="1"/>
    <x v="9"/>
    <n v="47"/>
    <m/>
    <s v="   "/>
    <n v="4.6929999999999996"/>
    <n v="0.30399999999999999"/>
    <n v="0"/>
    <s v="High Nurse"/>
    <x v="9"/>
  </r>
  <r>
    <s v="27003"/>
    <x v="177"/>
    <s v="Personnel"/>
    <s v="M "/>
    <s v="Middle Grade Group 7-8"/>
    <s v="PS47MS"/>
    <s v="PSES Mid Prog01Duty47 S275"/>
    <n v="1"/>
    <x v="9"/>
    <n v="47"/>
    <m/>
    <s v="   "/>
    <n v="2.4470000000000001"/>
    <n v="0.30399999999999999"/>
    <n v="0"/>
    <s v="Middle Nurse"/>
    <x v="9"/>
  </r>
  <r>
    <s v="27003"/>
    <x v="177"/>
    <s v="Personnel"/>
    <s v="E "/>
    <s v="Elementary Grade Group K-6"/>
    <s v="PS48E21S"/>
    <s v="PSES Elem Prog21Duty48 S275"/>
    <n v="21"/>
    <x v="11"/>
    <n v="48"/>
    <m/>
    <s v="   "/>
    <n v="1.62"/>
    <n v="0.30399999999999999"/>
    <n v="0.49199999999999999"/>
    <s v="Elementary Physical Therapist"/>
    <x v="11"/>
  </r>
  <r>
    <s v="27003"/>
    <x v="177"/>
    <s v="Personnel"/>
    <s v="H "/>
    <s v="High Grade Group 9-12"/>
    <s v="PS48H21S"/>
    <s v="PSES High Prog21Duty48 S275"/>
    <n v="21"/>
    <x v="11"/>
    <n v="48"/>
    <m/>
    <s v="   "/>
    <n v="0.93"/>
    <n v="0.30399999999999999"/>
    <n v="0.28299999999999997"/>
    <s v="High Physical Therapist"/>
    <x v="11"/>
  </r>
  <r>
    <s v="27003"/>
    <x v="177"/>
    <s v="Personnel"/>
    <s v="M "/>
    <s v="Middle Grade Group 7-8"/>
    <s v="PS48M21S"/>
    <s v="PSES Mid Prog21Duty48 S275"/>
    <n v="21"/>
    <x v="11"/>
    <n v="48"/>
    <m/>
    <s v="   "/>
    <n v="0.45"/>
    <n v="0.30399999999999999"/>
    <n v="0.13700000000000001"/>
    <s v="Middle Physical Therapist"/>
    <x v="11"/>
  </r>
  <r>
    <s v="27003"/>
    <x v="177"/>
    <s v="Personnel"/>
    <s v="E "/>
    <s v="Elementary Grade Group K-6"/>
    <s v="PS49E21S"/>
    <s v="PSES Elem Prog21Duty49 S275"/>
    <n v="21"/>
    <x v="10"/>
    <n v="49"/>
    <m/>
    <s v="   "/>
    <n v="2.7"/>
    <n v="0.30399999999999999"/>
    <n v="0.82099999999999995"/>
    <s v="Elementary Behavior Analyst"/>
    <x v="10"/>
  </r>
  <r>
    <s v="27003"/>
    <x v="177"/>
    <s v="Personnel"/>
    <s v="H "/>
    <s v="High Grade Group 9-12"/>
    <s v="PS49H21S"/>
    <s v="PSES High Prog21Duty49 S275"/>
    <n v="21"/>
    <x v="10"/>
    <n v="49"/>
    <m/>
    <s v="   "/>
    <n v="1.55"/>
    <n v="0.30399999999999999"/>
    <n v="0.47099999999999997"/>
    <s v="High Behavior Analyst"/>
    <x v="10"/>
  </r>
  <r>
    <s v="27003"/>
    <x v="177"/>
    <s v="Personnel"/>
    <s v="M "/>
    <s v="Middle Grade Group 7-8"/>
    <s v="PS49M21S"/>
    <s v="PSES Mid Prog21Duty49 S275"/>
    <n v="21"/>
    <x v="10"/>
    <n v="49"/>
    <m/>
    <s v="   "/>
    <n v="0.75"/>
    <n v="0.30399999999999999"/>
    <n v="0.22800000000000001"/>
    <s v="Middle Behavior Analyst"/>
    <x v="10"/>
  </r>
  <r>
    <s v="27010"/>
    <x v="178"/>
    <s v="Personnel"/>
    <s v="E "/>
    <s v="Elementary Grade Group K-6"/>
    <s v="PS25E97S"/>
    <s v="PSES Elem Prog97Act25 S275"/>
    <n v="97"/>
    <x v="1"/>
    <m/>
    <n v="25"/>
    <s v="   "/>
    <n v="1.3"/>
    <n v="0.27760000000000001"/>
    <n v="0"/>
    <s v="Elementary Pupil Management"/>
    <x v="1"/>
  </r>
  <r>
    <s v="27010"/>
    <x v="178"/>
    <s v="Personnel"/>
    <s v="E "/>
    <s v="Elementary Grade Group K-6"/>
    <s v="PS25ES"/>
    <s v="PSES Elem Prog01Act25 S275"/>
    <n v="1"/>
    <x v="1"/>
    <m/>
    <n v="25"/>
    <s v="   "/>
    <n v="23.221"/>
    <n v="0.27760000000000001"/>
    <n v="0"/>
    <s v="Elementary Pupil Management"/>
    <x v="1"/>
  </r>
  <r>
    <s v="27010"/>
    <x v="178"/>
    <s v="Personnel"/>
    <s v="H "/>
    <s v="High Grade Group 9-12"/>
    <s v="PS25H21S"/>
    <s v="PSES High Prog21Act25 S275"/>
    <n v="21"/>
    <x v="1"/>
    <m/>
    <n v="25"/>
    <s v="   "/>
    <n v="6.72"/>
    <n v="0.27760000000000001"/>
    <n v="1.865"/>
    <s v="High Pupil Management"/>
    <x v="1"/>
  </r>
  <r>
    <s v="27010"/>
    <x v="178"/>
    <s v="Personnel"/>
    <s v="E "/>
    <s v="Elementary Grade Group K-6"/>
    <s v="PS26ES"/>
    <s v="PSES Elem Prog01Act26 S275"/>
    <n v="1"/>
    <x v="2"/>
    <m/>
    <n v="26"/>
    <s v="   "/>
    <n v="16.109000000000002"/>
    <n v="0.27760000000000001"/>
    <n v="0"/>
    <s v="Elementary Health/_x000a_Related Services"/>
    <x v="2"/>
  </r>
  <r>
    <s v="27010"/>
    <x v="178"/>
    <s v="Personnel"/>
    <s v="H "/>
    <s v="High Grade Group 9-12"/>
    <s v="PS26H21S"/>
    <s v="PSES High Prog21Act26 S275"/>
    <n v="21"/>
    <x v="2"/>
    <m/>
    <n v="26"/>
    <s v="   "/>
    <n v="5.944"/>
    <n v="0.27760000000000001"/>
    <n v="1.65"/>
    <s v="High Health/_x000a_Related Services"/>
    <x v="2"/>
  </r>
  <r>
    <s v="27010"/>
    <x v="178"/>
    <s v="Personnel"/>
    <s v="E "/>
    <s v="Elementary Grade Group K-6"/>
    <s v="PS42ES"/>
    <s v="PSES Elem Prog01Duty42 S275"/>
    <n v="1"/>
    <x v="5"/>
    <n v="42"/>
    <m/>
    <s v="   "/>
    <n v="47.741999999999997"/>
    <n v="0.27760000000000001"/>
    <n v="0"/>
    <s v="Elementary Counselor"/>
    <x v="5"/>
  </r>
  <r>
    <s v="27010"/>
    <x v="178"/>
    <s v="Personnel"/>
    <s v="H "/>
    <s v="High Grade Group 9-12"/>
    <s v="PS42HS"/>
    <s v="PSES High Prog01Duty42 S275"/>
    <n v="1"/>
    <x v="5"/>
    <n v="42"/>
    <m/>
    <s v="   "/>
    <n v="21"/>
    <n v="0.27760000000000001"/>
    <n v="0"/>
    <s v="High Counselor"/>
    <x v="5"/>
  </r>
  <r>
    <s v="27010"/>
    <x v="178"/>
    <s v="Personnel"/>
    <s v="M "/>
    <s v="Middle Grade Group 7-8"/>
    <s v="PS42MS"/>
    <s v="PSES Mid Prog01Duty42 S275"/>
    <n v="1"/>
    <x v="5"/>
    <n v="42"/>
    <m/>
    <s v="   "/>
    <n v="13.438000000000001"/>
    <n v="0.27760000000000001"/>
    <n v="0"/>
    <s v="Middle Counselor"/>
    <x v="5"/>
  </r>
  <r>
    <s v="27010"/>
    <x v="178"/>
    <s v="Personnel"/>
    <s v="E "/>
    <s v="Elementary Grade Group K-6"/>
    <s v="PS43E21S"/>
    <s v="PSES Elem Prog21Duty43 S275"/>
    <n v="21"/>
    <x v="6"/>
    <n v="43"/>
    <m/>
    <s v="   "/>
    <n v="10.9"/>
    <n v="0.27760000000000001"/>
    <n v="3.0259999999999998"/>
    <s v="Elementary Occupational Therapist"/>
    <x v="6"/>
  </r>
  <r>
    <s v="27010"/>
    <x v="178"/>
    <s v="Personnel"/>
    <s v="H "/>
    <s v="High Grade Group 9-12"/>
    <s v="PS43H21S"/>
    <s v="PSES High Prog21Duty43 S275"/>
    <n v="21"/>
    <x v="6"/>
    <n v="43"/>
    <m/>
    <s v="   "/>
    <n v="7.27"/>
    <n v="0.27760000000000001"/>
    <n v="2.0179999999999998"/>
    <s v="High Occupational Therapist"/>
    <x v="6"/>
  </r>
  <r>
    <s v="27010"/>
    <x v="178"/>
    <s v="Personnel"/>
    <s v="M "/>
    <s v="Middle Grade Group 7-8"/>
    <s v="PS43M21S"/>
    <s v="PSES Mid Prog21Duty43 S275"/>
    <n v="21"/>
    <x v="6"/>
    <n v="43"/>
    <m/>
    <s v="   "/>
    <n v="3.03"/>
    <n v="0.27760000000000001"/>
    <n v="0.84099999999999997"/>
    <s v="Middle Occupational Therapist"/>
    <x v="6"/>
  </r>
  <r>
    <s v="27010"/>
    <x v="178"/>
    <s v="Personnel"/>
    <s v="E "/>
    <s v="Elementary Grade Group K-6"/>
    <s v="PS44ES"/>
    <s v="PSES Elem Prog01Duty44 S275"/>
    <n v="1"/>
    <x v="13"/>
    <n v="44"/>
    <m/>
    <s v="   "/>
    <n v="0.4"/>
    <n v="0.27760000000000001"/>
    <n v="0"/>
    <s v="Elementary Social Worker"/>
    <x v="13"/>
  </r>
  <r>
    <s v="27010"/>
    <x v="178"/>
    <s v="Personnel"/>
    <s v="H "/>
    <s v="High Grade Group 9-12"/>
    <s v="PS44HS"/>
    <s v="PSES High Prog01Duty44 S275"/>
    <n v="1"/>
    <x v="13"/>
    <n v="44"/>
    <m/>
    <s v="   "/>
    <n v="3"/>
    <n v="0.27760000000000001"/>
    <n v="0"/>
    <s v="High Social Worker"/>
    <x v="13"/>
  </r>
  <r>
    <s v="27010"/>
    <x v="178"/>
    <s v="Personnel"/>
    <s v="E "/>
    <s v="Elementary Grade Group K-6"/>
    <s v="PS45E21S"/>
    <s v="PSES Elem Prog21Duty45 S275"/>
    <n v="21"/>
    <x v="7"/>
    <n v="45"/>
    <m/>
    <s v="   "/>
    <n v="26.516999999999999"/>
    <n v="0.27760000000000001"/>
    <n v="7.3609999999999998"/>
    <s v="Elementary Speech, Language Pathway/_x000a_Audio"/>
    <x v="7"/>
  </r>
  <r>
    <s v="27010"/>
    <x v="178"/>
    <s v="Personnel"/>
    <s v="H "/>
    <s v="High Grade Group 9-12"/>
    <s v="PS45H21S"/>
    <s v="PSES High Prog21Duty45 S275"/>
    <n v="21"/>
    <x v="7"/>
    <n v="45"/>
    <m/>
    <s v="   "/>
    <n v="17.693000000000001"/>
    <n v="0.27760000000000001"/>
    <n v="4.9119999999999999"/>
    <s v="High Speech, Language Pathway/_x000a_Audio"/>
    <x v="7"/>
  </r>
  <r>
    <s v="27010"/>
    <x v="178"/>
    <s v="Personnel"/>
    <s v="M "/>
    <s v="Middle Grade Group 7-8"/>
    <s v="PS45M21S"/>
    <s v="PSES Mid Prog21Duty45 S275"/>
    <n v="21"/>
    <x v="7"/>
    <n v="45"/>
    <m/>
    <s v="   "/>
    <n v="7.3760000000000003"/>
    <n v="0.27760000000000001"/>
    <n v="2.048"/>
    <s v="Middle Speech, Language Pathway/_x000a_Audio"/>
    <x v="7"/>
  </r>
  <r>
    <s v="27010"/>
    <x v="178"/>
    <s v="Personnel"/>
    <s v="E "/>
    <s v="Elementary Grade Group K-6"/>
    <s v="PS46E21S"/>
    <s v="PSES Elem Prog21Duty46 S275"/>
    <n v="21"/>
    <x v="8"/>
    <n v="46"/>
    <m/>
    <s v="   "/>
    <n v="16.690999999999999"/>
    <n v="0.27760000000000001"/>
    <n v="4.633"/>
    <s v="Elementary Psychologist"/>
    <x v="8"/>
  </r>
  <r>
    <s v="27010"/>
    <x v="178"/>
    <s v="Personnel"/>
    <s v="H "/>
    <s v="High Grade Group 9-12"/>
    <s v="PS46H21S"/>
    <s v="PSES High Prog21Duty46 S275"/>
    <n v="21"/>
    <x v="8"/>
    <n v="46"/>
    <m/>
    <s v="   "/>
    <n v="11.137"/>
    <n v="0.27760000000000001"/>
    <n v="3.0920000000000001"/>
    <s v="High Psychologist"/>
    <x v="8"/>
  </r>
  <r>
    <s v="27010"/>
    <x v="178"/>
    <s v="Personnel"/>
    <s v="M "/>
    <s v="Middle Grade Group 7-8"/>
    <s v="PS46M21S"/>
    <s v="PSES Mid Prog21Duty46 S275"/>
    <n v="21"/>
    <x v="8"/>
    <n v="46"/>
    <m/>
    <s v="   "/>
    <n v="4.6429999999999998"/>
    <n v="0.27760000000000001"/>
    <n v="1.2889999999999999"/>
    <s v="Middle Psychologist"/>
    <x v="8"/>
  </r>
  <r>
    <s v="27010"/>
    <x v="178"/>
    <s v="Personnel"/>
    <s v="E "/>
    <s v="Elementary Grade Group K-6"/>
    <s v="PS47E21S"/>
    <s v="PSES Elem Prog21Duty47 S275"/>
    <n v="21"/>
    <x v="9"/>
    <n v="47"/>
    <m/>
    <s v="   "/>
    <n v="0.308"/>
    <n v="0.27760000000000001"/>
    <n v="8.5999999999999993E-2"/>
    <s v="Elementary Nurse"/>
    <x v="9"/>
  </r>
  <r>
    <s v="27010"/>
    <x v="178"/>
    <s v="Personnel"/>
    <s v="E "/>
    <s v="Elementary Grade Group K-6"/>
    <s v="PS47ES"/>
    <s v="PSES Elem Prog01Duty47 S275"/>
    <n v="1"/>
    <x v="9"/>
    <n v="47"/>
    <m/>
    <s v="   "/>
    <n v="15.776999999999999"/>
    <n v="0.27760000000000001"/>
    <n v="0"/>
    <s v="Elementary Nurse"/>
    <x v="9"/>
  </r>
  <r>
    <s v="27010"/>
    <x v="178"/>
    <s v="Personnel"/>
    <s v="H "/>
    <s v="High Grade Group 9-12"/>
    <s v="PS47H21S"/>
    <s v="PSES High Prog21Duty47 S275"/>
    <n v="21"/>
    <x v="9"/>
    <n v="47"/>
    <m/>
    <s v="   "/>
    <n v="0.20599999999999999"/>
    <n v="0.27760000000000001"/>
    <n v="5.7000000000000002E-2"/>
    <s v="High Nurse"/>
    <x v="9"/>
  </r>
  <r>
    <s v="27010"/>
    <x v="178"/>
    <s v="Personnel"/>
    <s v="H "/>
    <s v="High Grade Group 9-12"/>
    <s v="PS47HS"/>
    <s v="PSES High Prog01Duty47 S275"/>
    <n v="1"/>
    <x v="9"/>
    <n v="47"/>
    <m/>
    <s v="   "/>
    <n v="6.7450000000000001"/>
    <n v="0.27760000000000001"/>
    <n v="0"/>
    <s v="High Nurse"/>
    <x v="9"/>
  </r>
  <r>
    <s v="27010"/>
    <x v="178"/>
    <s v="Personnel"/>
    <s v="M "/>
    <s v="Middle Grade Group 7-8"/>
    <s v="PS47M21S"/>
    <s v="PSES Mid Prog21Duty47 S275"/>
    <n v="21"/>
    <x v="9"/>
    <n v="47"/>
    <m/>
    <s v="   "/>
    <n v="8.5999999999999993E-2"/>
    <n v="0.27760000000000001"/>
    <n v="2.4E-2"/>
    <s v="Middle Nurse"/>
    <x v="9"/>
  </r>
  <r>
    <s v="27010"/>
    <x v="178"/>
    <s v="Personnel"/>
    <s v="M "/>
    <s v="Middle Grade Group 7-8"/>
    <s v="PS47MS"/>
    <s v="PSES Mid Prog01Duty47 S275"/>
    <n v="1"/>
    <x v="9"/>
    <n v="47"/>
    <m/>
    <s v="   "/>
    <n v="3.758"/>
    <n v="0.27760000000000001"/>
    <n v="0"/>
    <s v="Middle Nurse"/>
    <x v="9"/>
  </r>
  <r>
    <s v="27010"/>
    <x v="178"/>
    <s v="Personnel"/>
    <s v="E "/>
    <s v="Elementary Grade Group K-6"/>
    <s v="PS48E21S"/>
    <s v="PSES Elem Prog21Duty48 S275"/>
    <n v="21"/>
    <x v="11"/>
    <n v="48"/>
    <m/>
    <s v="   "/>
    <n v="5.0359999999999996"/>
    <n v="0.27760000000000001"/>
    <n v="1.3979999999999999"/>
    <s v="Elementary Physical Therapist"/>
    <x v="11"/>
  </r>
  <r>
    <s v="27010"/>
    <x v="178"/>
    <s v="Personnel"/>
    <s v="H "/>
    <s v="High Grade Group 9-12"/>
    <s v="PS48H21S"/>
    <s v="PSES High Prog21Duty48 S275"/>
    <n v="21"/>
    <x v="11"/>
    <n v="48"/>
    <m/>
    <s v="   "/>
    <n v="3.3620000000000001"/>
    <n v="0.27760000000000001"/>
    <n v="0.93300000000000005"/>
    <s v="High Physical Therapist"/>
    <x v="11"/>
  </r>
  <r>
    <s v="27010"/>
    <x v="178"/>
    <s v="Personnel"/>
    <s v="M "/>
    <s v="Middle Grade Group 7-8"/>
    <s v="PS48M21S"/>
    <s v="PSES Mid Prog21Duty48 S275"/>
    <n v="21"/>
    <x v="11"/>
    <n v="48"/>
    <m/>
    <s v="   "/>
    <n v="1.4019999999999999"/>
    <n v="0.27760000000000001"/>
    <n v="0.38900000000000001"/>
    <s v="Middle Physical Therapist"/>
    <x v="11"/>
  </r>
  <r>
    <s v="27010"/>
    <x v="178"/>
    <s v="Personnel"/>
    <s v="E "/>
    <s v="Elementary Grade Group K-6"/>
    <s v="PS49E21S"/>
    <s v="PSES Elem Prog21Duty49 S275"/>
    <n v="21"/>
    <x v="10"/>
    <n v="49"/>
    <m/>
    <s v="   "/>
    <n v="2.056"/>
    <n v="0.27760000000000001"/>
    <n v="0.57099999999999995"/>
    <s v="Elementary Behavior Analyst"/>
    <x v="10"/>
  </r>
  <r>
    <s v="27010"/>
    <x v="178"/>
    <s v="Personnel"/>
    <s v="H "/>
    <s v="High Grade Group 9-12"/>
    <s v="PS49H21S"/>
    <s v="PSES High Prog21Duty49 S275"/>
    <n v="21"/>
    <x v="10"/>
    <n v="49"/>
    <m/>
    <s v="   "/>
    <n v="1.3720000000000001"/>
    <n v="0.27760000000000001"/>
    <n v="0.38100000000000001"/>
    <s v="High Behavior Analyst"/>
    <x v="10"/>
  </r>
  <r>
    <s v="27010"/>
    <x v="178"/>
    <s v="Personnel"/>
    <s v="H "/>
    <s v="High Grade Group 9-12"/>
    <s v="PS49HS"/>
    <s v="PSES High Prog01Duty49 S275"/>
    <n v="1"/>
    <x v="10"/>
    <n v="49"/>
    <m/>
    <s v="   "/>
    <n v="1"/>
    <n v="0.27760000000000001"/>
    <n v="0"/>
    <s v="High Behavior Analyst"/>
    <x v="10"/>
  </r>
  <r>
    <s v="27010"/>
    <x v="178"/>
    <s v="Personnel"/>
    <s v="M "/>
    <s v="Middle Grade Group 7-8"/>
    <s v="PS49M21S"/>
    <s v="PSES Mid Prog21Duty49 S275"/>
    <n v="21"/>
    <x v="10"/>
    <n v="49"/>
    <m/>
    <s v="   "/>
    <n v="0.57199999999999995"/>
    <n v="0.27760000000000001"/>
    <n v="0.159"/>
    <s v="Middle Behavior Analyst"/>
    <x v="10"/>
  </r>
  <r>
    <s v="27083"/>
    <x v="179"/>
    <s v="Personnel"/>
    <s v="H "/>
    <s v="High Grade Group 9-12"/>
    <s v="PS24HS"/>
    <s v="PSES High Prog01Duty96 S275"/>
    <n v="1"/>
    <x v="0"/>
    <n v="96"/>
    <n v="24"/>
    <s v="   "/>
    <n v="0.36199999999999999"/>
    <n v="0.3145"/>
    <n v="0"/>
    <s v="High Family Engagement Coordinator"/>
    <x v="0"/>
  </r>
  <r>
    <s v="27083"/>
    <x v="179"/>
    <s v="Personnel"/>
    <s v="H "/>
    <s v="High Grade Group 9-12"/>
    <s v="PS25HS"/>
    <s v="PSES High Prog01Act25 S275"/>
    <n v="1"/>
    <x v="1"/>
    <m/>
    <n v="25"/>
    <s v="   "/>
    <n v="9.3239999999999998"/>
    <n v="0.3145"/>
    <n v="0"/>
    <s v="High Pupil Management"/>
    <x v="1"/>
  </r>
  <r>
    <s v="27083"/>
    <x v="179"/>
    <s v="Personnel"/>
    <s v="H "/>
    <s v="High Grade Group 9-12"/>
    <s v="PS26H21S"/>
    <s v="PSES High Prog21Act26 S275"/>
    <n v="21"/>
    <x v="2"/>
    <m/>
    <n v="26"/>
    <s v="   "/>
    <n v="2.3879999999999999"/>
    <n v="0.3145"/>
    <n v="0.751"/>
    <s v="High Health/_x000a_Related Services"/>
    <x v="2"/>
  </r>
  <r>
    <s v="27083"/>
    <x v="179"/>
    <s v="Personnel"/>
    <s v="H "/>
    <s v="High Grade Group 9-12"/>
    <s v="PS26HS"/>
    <s v="PSES High Prog01Act26 S275"/>
    <n v="1"/>
    <x v="2"/>
    <m/>
    <n v="26"/>
    <s v="   "/>
    <n v="6.0990000000000002"/>
    <n v="0.3145"/>
    <n v="0"/>
    <s v="High Health/_x000a_Related Services"/>
    <x v="2"/>
  </r>
  <r>
    <s v="27083"/>
    <x v="179"/>
    <s v="Personnel"/>
    <s v="H "/>
    <s v="High Grade Group 9-12"/>
    <s v="PS35HS"/>
    <s v="PSES High Prog01Act35 S275"/>
    <n v="1"/>
    <x v="3"/>
    <m/>
    <n v="35"/>
    <s v="   "/>
    <n v="0.74299999999999999"/>
    <n v="0.3145"/>
    <n v="0"/>
    <s v="High Pupil Safety"/>
    <x v="3"/>
  </r>
  <r>
    <s v="27083"/>
    <x v="179"/>
    <s v="Personnel"/>
    <s v="E "/>
    <s v="Elementary Grade Group K-6"/>
    <s v="PS42ES"/>
    <s v="PSES Elem Prog01Duty42 S275"/>
    <n v="1"/>
    <x v="5"/>
    <n v="42"/>
    <m/>
    <s v="   "/>
    <n v="6.59"/>
    <n v="0.3145"/>
    <n v="0"/>
    <s v="Elementary Counselor"/>
    <x v="5"/>
  </r>
  <r>
    <s v="27083"/>
    <x v="179"/>
    <s v="Personnel"/>
    <s v="H "/>
    <s v="High Grade Group 9-12"/>
    <s v="PS42HS"/>
    <s v="PSES High Prog01Duty42 S275"/>
    <n v="1"/>
    <x v="5"/>
    <n v="42"/>
    <m/>
    <s v="   "/>
    <n v="4.53"/>
    <n v="0.3145"/>
    <n v="0"/>
    <s v="High Counselor"/>
    <x v="5"/>
  </r>
  <r>
    <s v="27083"/>
    <x v="179"/>
    <s v="Personnel"/>
    <s v="M "/>
    <s v="Middle Grade Group 7-8"/>
    <s v="PS42MS"/>
    <s v="PSES Mid Prog01Duty42 S275"/>
    <n v="1"/>
    <x v="5"/>
    <n v="42"/>
    <m/>
    <s v="   "/>
    <n v="2.88"/>
    <n v="0.3145"/>
    <n v="0"/>
    <s v="Middle Counselor"/>
    <x v="5"/>
  </r>
  <r>
    <s v="27083"/>
    <x v="179"/>
    <s v="Personnel"/>
    <s v="E "/>
    <s v="Elementary Grade Group K-6"/>
    <s v="PS43E21S"/>
    <s v="PSES Elem Prog21Duty43 S275"/>
    <n v="21"/>
    <x v="6"/>
    <n v="43"/>
    <m/>
    <s v="   "/>
    <n v="1.17"/>
    <n v="0.3145"/>
    <n v="0.36799999999999999"/>
    <s v="Elementary Occupational Therapist"/>
    <x v="6"/>
  </r>
  <r>
    <s v="27083"/>
    <x v="179"/>
    <s v="Personnel"/>
    <s v="H "/>
    <s v="High Grade Group 9-12"/>
    <s v="PS43H21S"/>
    <s v="PSES High Prog21Duty43 S275"/>
    <n v="21"/>
    <x v="6"/>
    <n v="43"/>
    <m/>
    <s v="   "/>
    <n v="0.25"/>
    <n v="0.3145"/>
    <n v="7.9000000000000001E-2"/>
    <s v="High Occupational Therapist"/>
    <x v="6"/>
  </r>
  <r>
    <s v="27083"/>
    <x v="179"/>
    <s v="Personnel"/>
    <s v="M "/>
    <s v="Middle Grade Group 7-8"/>
    <s v="PS43M21S"/>
    <s v="PSES Mid Prog21Duty43 S275"/>
    <n v="21"/>
    <x v="6"/>
    <n v="43"/>
    <m/>
    <s v="   "/>
    <n v="0.25"/>
    <n v="0.3145"/>
    <n v="7.9000000000000001E-2"/>
    <s v="Middle Occupational Therapist"/>
    <x v="6"/>
  </r>
  <r>
    <s v="27083"/>
    <x v="179"/>
    <s v="Personnel"/>
    <s v="E "/>
    <s v="Elementary Grade Group K-6"/>
    <s v="PS45E21S"/>
    <s v="PSES Elem Prog21Duty45 S275"/>
    <n v="21"/>
    <x v="7"/>
    <n v="45"/>
    <m/>
    <s v="   "/>
    <n v="7.2"/>
    <n v="0.3145"/>
    <n v="2.2639999999999998"/>
    <s v="Elementary Speech, Language Pathway/_x000a_Audio"/>
    <x v="7"/>
  </r>
  <r>
    <s v="27083"/>
    <x v="179"/>
    <s v="Personnel"/>
    <s v="H "/>
    <s v="High Grade Group 9-12"/>
    <s v="PS45H21S"/>
    <s v="PSES High Prog21Duty45 S275"/>
    <n v="21"/>
    <x v="7"/>
    <n v="45"/>
    <m/>
    <s v="   "/>
    <n v="0.2"/>
    <n v="0.3145"/>
    <n v="6.3E-2"/>
    <s v="High Speech, Language Pathway/_x000a_Audio"/>
    <x v="7"/>
  </r>
  <r>
    <s v="27083"/>
    <x v="179"/>
    <s v="Personnel"/>
    <s v="M "/>
    <s v="Middle Grade Group 7-8"/>
    <s v="PS45M21S"/>
    <s v="PSES Mid Prog21Duty45 S275"/>
    <n v="21"/>
    <x v="7"/>
    <n v="45"/>
    <m/>
    <s v="   "/>
    <n v="1.4"/>
    <n v="0.3145"/>
    <n v="0.44"/>
    <s v="Middle Speech, Language Pathway/_x000a_Audio"/>
    <x v="7"/>
  </r>
  <r>
    <s v="27083"/>
    <x v="179"/>
    <s v="Personnel"/>
    <s v="E "/>
    <s v="Elementary Grade Group K-6"/>
    <s v="PS48E21S"/>
    <s v="PSES Elem Prog21Duty48 S275"/>
    <n v="21"/>
    <x v="11"/>
    <n v="48"/>
    <m/>
    <s v="   "/>
    <n v="0.64500000000000002"/>
    <n v="0.3145"/>
    <n v="0.20300000000000001"/>
    <s v="Elementary Physical Therapist"/>
    <x v="11"/>
  </r>
  <r>
    <s v="27083"/>
    <x v="179"/>
    <s v="Personnel"/>
    <s v="H "/>
    <s v="High Grade Group 9-12"/>
    <s v="PS48H21S"/>
    <s v="PSES High Prog21Duty48 S275"/>
    <n v="21"/>
    <x v="11"/>
    <n v="48"/>
    <m/>
    <s v="   "/>
    <n v="0.56999999999999995"/>
    <n v="0.3145"/>
    <n v="0.17899999999999999"/>
    <s v="High Physical Therapist"/>
    <x v="11"/>
  </r>
  <r>
    <s v="27083"/>
    <x v="179"/>
    <s v="Personnel"/>
    <s v="M "/>
    <s v="Middle Grade Group 7-8"/>
    <s v="PS48M21S"/>
    <s v="PSES Mid Prog21Duty48 S275"/>
    <n v="21"/>
    <x v="11"/>
    <n v="48"/>
    <m/>
    <s v="   "/>
    <n v="0.14299999999999999"/>
    <n v="0.3145"/>
    <n v="4.4999999999999998E-2"/>
    <s v="Middle Physical Therapist"/>
    <x v="11"/>
  </r>
  <r>
    <s v="27320"/>
    <x v="180"/>
    <s v="Personnel"/>
    <s v="H "/>
    <s v="High Grade Group 9-12"/>
    <s v="PS25HS"/>
    <s v="PSES High Prog01Act25 S275"/>
    <n v="1"/>
    <x v="1"/>
    <m/>
    <n v="25"/>
    <s v="   "/>
    <n v="3.73"/>
    <n v="0.2747"/>
    <n v="0"/>
    <s v="High Pupil Management"/>
    <x v="1"/>
  </r>
  <r>
    <s v="27320"/>
    <x v="180"/>
    <s v="Personnel"/>
    <s v="E "/>
    <s v="Elementary Grade Group K-6"/>
    <s v="PS26E21S"/>
    <s v="PSES Elem Prog21Act26 S275"/>
    <n v="21"/>
    <x v="2"/>
    <m/>
    <n v="26"/>
    <s v="   "/>
    <n v="0.85"/>
    <n v="0.2747"/>
    <n v="0.23300000000000001"/>
    <s v="Elementary Health/_x000a_Related Services"/>
    <x v="2"/>
  </r>
  <r>
    <s v="27320"/>
    <x v="180"/>
    <s v="Personnel"/>
    <s v="E "/>
    <s v="Elementary Grade Group K-6"/>
    <s v="PS26ES"/>
    <s v="PSES Elem Prog01Act26 S275"/>
    <n v="1"/>
    <x v="2"/>
    <m/>
    <n v="26"/>
    <s v="   "/>
    <n v="4.0730000000000004"/>
    <n v="0.2747"/>
    <n v="0"/>
    <s v="Elementary Health/_x000a_Related Services"/>
    <x v="2"/>
  </r>
  <r>
    <s v="27320"/>
    <x v="180"/>
    <s v="Personnel"/>
    <s v="H "/>
    <s v="High Grade Group 9-12"/>
    <s v="PS26H21S"/>
    <s v="PSES High Prog21Act26 S275"/>
    <n v="21"/>
    <x v="2"/>
    <m/>
    <n v="26"/>
    <s v="   "/>
    <n v="0.52600000000000002"/>
    <n v="0.2747"/>
    <n v="0.14399999999999999"/>
    <s v="High Health/_x000a_Related Services"/>
    <x v="2"/>
  </r>
  <r>
    <s v="27320"/>
    <x v="180"/>
    <s v="Personnel"/>
    <s v="H "/>
    <s v="High Grade Group 9-12"/>
    <s v="PS26HS"/>
    <s v="PSES High Prog01Act26 S275"/>
    <n v="1"/>
    <x v="2"/>
    <m/>
    <n v="26"/>
    <s v="   "/>
    <n v="6.0780000000000003"/>
    <n v="0.2747"/>
    <n v="0"/>
    <s v="High Health/_x000a_Related Services"/>
    <x v="2"/>
  </r>
  <r>
    <s v="27320"/>
    <x v="180"/>
    <s v="Personnel"/>
    <s v="M "/>
    <s v="Middle Grade Group 7-8"/>
    <s v="PS26M21S"/>
    <s v="PSES Mid Prog21Act26 S275"/>
    <n v="21"/>
    <x v="2"/>
    <m/>
    <n v="26"/>
    <s v="   "/>
    <n v="0.254"/>
    <n v="0.2747"/>
    <n v="7.0000000000000007E-2"/>
    <s v="Middle Health/_x000a_Related Services"/>
    <x v="2"/>
  </r>
  <r>
    <s v="27320"/>
    <x v="180"/>
    <s v="Personnel"/>
    <s v="M "/>
    <s v="Middle Grade Group 7-8"/>
    <s v="PS26MS"/>
    <s v="PSES Mid Prog01Act26 S275"/>
    <n v="1"/>
    <x v="2"/>
    <m/>
    <n v="26"/>
    <s v="   "/>
    <n v="1.3380000000000001"/>
    <n v="0.2747"/>
    <n v="0"/>
    <s v="Middle Health/_x000a_Related Services"/>
    <x v="2"/>
  </r>
  <r>
    <s v="27320"/>
    <x v="180"/>
    <s v="Personnel"/>
    <s v="E "/>
    <s v="Elementary Grade Group K-6"/>
    <s v="PS35ES"/>
    <s v="PSES Elem Prog01Act35 S275"/>
    <n v="1"/>
    <x v="3"/>
    <m/>
    <n v="35"/>
    <s v="   "/>
    <n v="0.25600000000000001"/>
    <n v="0.2747"/>
    <n v="0"/>
    <s v="Elementary Pupil Safety"/>
    <x v="3"/>
  </r>
  <r>
    <s v="27320"/>
    <x v="180"/>
    <s v="Personnel"/>
    <s v="H "/>
    <s v="High Grade Group 9-12"/>
    <s v="PS35HS"/>
    <s v="PSES High Prog01Act35 S275"/>
    <n v="1"/>
    <x v="3"/>
    <m/>
    <n v="35"/>
    <s v="   "/>
    <n v="2.238"/>
    <n v="0.2747"/>
    <n v="0"/>
    <s v="High Pupil Safety"/>
    <x v="3"/>
  </r>
  <r>
    <s v="27320"/>
    <x v="180"/>
    <s v="Personnel"/>
    <s v="M "/>
    <s v="Middle Grade Group 7-8"/>
    <s v="PS35MS"/>
    <s v="PSES Mid Prog01Act35 S275"/>
    <n v="1"/>
    <x v="3"/>
    <m/>
    <n v="35"/>
    <s v="   "/>
    <n v="0.49"/>
    <n v="0.2747"/>
    <n v="0"/>
    <s v="Middle Pupil Safety"/>
    <x v="3"/>
  </r>
  <r>
    <s v="27320"/>
    <x v="180"/>
    <s v="Personnel"/>
    <s v="E "/>
    <s v="Elementary Grade Group K-6"/>
    <s v="PS39E21S"/>
    <s v="PSES Elem Prog21Duty39 S275"/>
    <n v="21"/>
    <x v="4"/>
    <n v="39"/>
    <m/>
    <s v="   "/>
    <n v="0.52300000000000002"/>
    <n v="0.2747"/>
    <n v="0.14399999999999999"/>
    <s v="Elementary Orientation &amp; Mobility Specialist"/>
    <x v="4"/>
  </r>
  <r>
    <s v="27320"/>
    <x v="180"/>
    <s v="Personnel"/>
    <s v="H "/>
    <s v="High Grade Group 9-12"/>
    <s v="PS39H21S"/>
    <s v="PSES High Prog21Duty39 S275"/>
    <n v="21"/>
    <x v="4"/>
    <n v="39"/>
    <m/>
    <s v="   "/>
    <n v="0.33200000000000002"/>
    <n v="0.2747"/>
    <n v="9.0999999999999998E-2"/>
    <s v="High Orientation &amp; Mobility Specialist"/>
    <x v="4"/>
  </r>
  <r>
    <s v="27320"/>
    <x v="180"/>
    <s v="Personnel"/>
    <s v="M "/>
    <s v="Middle Grade Group 7-8"/>
    <s v="PS39M21S"/>
    <s v="PSES Mid Prog21Duty39 S275"/>
    <n v="21"/>
    <x v="4"/>
    <n v="39"/>
    <m/>
    <s v="   "/>
    <n v="0.14499999999999999"/>
    <n v="0.2747"/>
    <n v="0.04"/>
    <s v="Middle Orientation &amp; Mobility Specialist"/>
    <x v="4"/>
  </r>
  <r>
    <s v="27320"/>
    <x v="180"/>
    <s v="Personnel"/>
    <s v="E "/>
    <s v="Elementary Grade Group K-6"/>
    <s v="PS42E21S"/>
    <s v="PSES Elem Prog21Duty42 S275"/>
    <n v="21"/>
    <x v="5"/>
    <n v="42"/>
    <m/>
    <s v="   "/>
    <n v="1.7430000000000001"/>
    <n v="0.2747"/>
    <n v="0.47899999999999998"/>
    <s v="Elementary Counselor"/>
    <x v="5"/>
  </r>
  <r>
    <s v="27320"/>
    <x v="180"/>
    <s v="Personnel"/>
    <s v="E "/>
    <s v="Elementary Grade Group K-6"/>
    <s v="PS42ES"/>
    <s v="PSES Elem Prog01Duty42 S275"/>
    <n v="1"/>
    <x v="5"/>
    <n v="42"/>
    <m/>
    <s v="   "/>
    <n v="12.516"/>
    <n v="0.2747"/>
    <n v="0"/>
    <s v="Elementary Counselor"/>
    <x v="5"/>
  </r>
  <r>
    <s v="27320"/>
    <x v="180"/>
    <s v="Personnel"/>
    <s v="H "/>
    <s v="High Grade Group 9-12"/>
    <s v="PS42HS"/>
    <s v="PSES High Prog01Duty42 S275"/>
    <n v="1"/>
    <x v="5"/>
    <n v="42"/>
    <m/>
    <s v="   "/>
    <n v="9.5"/>
    <n v="0.2747"/>
    <n v="0"/>
    <s v="High Counselor"/>
    <x v="5"/>
  </r>
  <r>
    <s v="27320"/>
    <x v="180"/>
    <s v="Personnel"/>
    <s v="M "/>
    <s v="Middle Grade Group 7-8"/>
    <s v="PS42M21S"/>
    <s v="PSES Mid Prog21Duty42 S275"/>
    <n v="21"/>
    <x v="5"/>
    <n v="42"/>
    <m/>
    <s v="   "/>
    <n v="0.45700000000000002"/>
    <n v="0.2747"/>
    <n v="0.126"/>
    <s v="Middle Counselor"/>
    <x v="5"/>
  </r>
  <r>
    <s v="27320"/>
    <x v="180"/>
    <s v="Personnel"/>
    <s v="M "/>
    <s v="Middle Grade Group 7-8"/>
    <s v="PS42MS"/>
    <s v="PSES Mid Prog01Duty42 S275"/>
    <n v="1"/>
    <x v="5"/>
    <n v="42"/>
    <m/>
    <s v="   "/>
    <n v="3.8839999999999999"/>
    <n v="0.2747"/>
    <n v="0"/>
    <s v="Middle Counselor"/>
    <x v="5"/>
  </r>
  <r>
    <s v="27320"/>
    <x v="180"/>
    <s v="Personnel"/>
    <s v="E "/>
    <s v="Elementary Grade Group K-6"/>
    <s v="PS43E21S"/>
    <s v="PSES Elem Prog21Duty43 S275"/>
    <n v="21"/>
    <x v="6"/>
    <n v="43"/>
    <m/>
    <s v="   "/>
    <n v="5.9130000000000003"/>
    <n v="0.2747"/>
    <n v="1.6240000000000001"/>
    <s v="Elementary Occupational Therapist"/>
    <x v="6"/>
  </r>
  <r>
    <s v="27320"/>
    <x v="180"/>
    <s v="Personnel"/>
    <s v="H "/>
    <s v="High Grade Group 9-12"/>
    <s v="PS43H21S"/>
    <s v="PSES High Prog21Duty43 S275"/>
    <n v="21"/>
    <x v="6"/>
    <n v="43"/>
    <m/>
    <s v="   "/>
    <n v="0.63200000000000001"/>
    <n v="0.2747"/>
    <n v="0.17399999999999999"/>
    <s v="High Occupational Therapist"/>
    <x v="6"/>
  </r>
  <r>
    <s v="27320"/>
    <x v="180"/>
    <s v="Personnel"/>
    <s v="M "/>
    <s v="Middle Grade Group 7-8"/>
    <s v="PS43M21S"/>
    <s v="PSES Mid Prog21Duty43 S275"/>
    <n v="21"/>
    <x v="6"/>
    <n v="43"/>
    <m/>
    <s v="   "/>
    <n v="0.45500000000000002"/>
    <n v="0.2747"/>
    <n v="0.125"/>
    <s v="Middle Occupational Therapist"/>
    <x v="6"/>
  </r>
  <r>
    <s v="27320"/>
    <x v="180"/>
    <s v="Personnel"/>
    <s v="E "/>
    <s v="Elementary Grade Group K-6"/>
    <s v="PS44E21S"/>
    <s v="PSES Elem Prog21Duty44 S275"/>
    <n v="21"/>
    <x v="13"/>
    <n v="44"/>
    <m/>
    <s v="   "/>
    <n v="4.97"/>
    <n v="0.2747"/>
    <n v="1.365"/>
    <s v="Elementary Social Worker"/>
    <x v="13"/>
  </r>
  <r>
    <s v="27320"/>
    <x v="180"/>
    <s v="Personnel"/>
    <s v="E "/>
    <s v="Elementary Grade Group K-6"/>
    <s v="PS44ES"/>
    <s v="PSES Elem Prog01Duty44 S275"/>
    <n v="1"/>
    <x v="13"/>
    <n v="44"/>
    <m/>
    <s v="   "/>
    <n v="0.875"/>
    <n v="0.2747"/>
    <n v="0"/>
    <s v="Elementary Social Worker"/>
    <x v="13"/>
  </r>
  <r>
    <s v="27320"/>
    <x v="180"/>
    <s v="Personnel"/>
    <s v="H "/>
    <s v="High Grade Group 9-12"/>
    <s v="PS44H21S"/>
    <s v="PSES High Prog21Duty44 S275"/>
    <n v="21"/>
    <x v="13"/>
    <n v="44"/>
    <m/>
    <s v="   "/>
    <n v="1.4"/>
    <n v="0.2747"/>
    <n v="0.38500000000000001"/>
    <s v="High Social Worker"/>
    <x v="13"/>
  </r>
  <r>
    <s v="27320"/>
    <x v="180"/>
    <s v="Personnel"/>
    <s v="H "/>
    <s v="High Grade Group 9-12"/>
    <s v="PS44HS"/>
    <s v="PSES High Prog01Duty44 S275"/>
    <n v="1"/>
    <x v="13"/>
    <n v="44"/>
    <m/>
    <s v="   "/>
    <n v="0.6"/>
    <n v="0.2747"/>
    <n v="0"/>
    <s v="High Social Worker"/>
    <x v="13"/>
  </r>
  <r>
    <s v="27320"/>
    <x v="180"/>
    <s v="Personnel"/>
    <s v="M "/>
    <s v="Middle Grade Group 7-8"/>
    <s v="PS44M21S"/>
    <s v="PSES Mid Prog21Duty44 S275"/>
    <n v="21"/>
    <x v="13"/>
    <n v="44"/>
    <m/>
    <s v="   "/>
    <n v="0.92900000000000005"/>
    <n v="0.2747"/>
    <n v="0.255"/>
    <s v="Middle Social Worker"/>
    <x v="13"/>
  </r>
  <r>
    <s v="27320"/>
    <x v="180"/>
    <s v="Personnel"/>
    <s v="M "/>
    <s v="Middle Grade Group 7-8"/>
    <s v="PS44MS"/>
    <s v="PSES Mid Prog01Duty44 S275"/>
    <n v="1"/>
    <x v="13"/>
    <n v="44"/>
    <m/>
    <s v="   "/>
    <n v="1.7250000000000001"/>
    <n v="0.2747"/>
    <n v="0"/>
    <s v="Middle Social Worker"/>
    <x v="13"/>
  </r>
  <r>
    <s v="27320"/>
    <x v="180"/>
    <s v="Personnel"/>
    <s v="E "/>
    <s v="Elementary Grade Group K-6"/>
    <s v="PS45E21S"/>
    <s v="PSES Elem Prog21Duty45 S275"/>
    <n v="21"/>
    <x v="7"/>
    <n v="45"/>
    <m/>
    <s v="   "/>
    <n v="12.727"/>
    <n v="0.2747"/>
    <n v="3.496"/>
    <s v="Elementary Speech, Language Pathway/_x000a_Audio"/>
    <x v="7"/>
  </r>
  <r>
    <s v="27320"/>
    <x v="180"/>
    <s v="Personnel"/>
    <s v="H "/>
    <s v="High Grade Group 9-12"/>
    <s v="PS45H21S"/>
    <s v="PSES High Prog21Duty45 S275"/>
    <n v="21"/>
    <x v="7"/>
    <n v="45"/>
    <m/>
    <s v="   "/>
    <n v="2.762"/>
    <n v="0.2747"/>
    <n v="0.75900000000000001"/>
    <s v="High Speech, Language Pathway/_x000a_Audio"/>
    <x v="7"/>
  </r>
  <r>
    <s v="27320"/>
    <x v="180"/>
    <s v="Personnel"/>
    <s v="M "/>
    <s v="Middle Grade Group 7-8"/>
    <s v="PS45M21S"/>
    <s v="PSES Mid Prog21Duty45 S275"/>
    <n v="21"/>
    <x v="7"/>
    <n v="45"/>
    <m/>
    <s v="   "/>
    <n v="1.4119999999999999"/>
    <n v="0.2747"/>
    <n v="0.38800000000000001"/>
    <s v="Middle Speech, Language Pathway/_x000a_Audio"/>
    <x v="7"/>
  </r>
  <r>
    <s v="27320"/>
    <x v="180"/>
    <s v="Personnel"/>
    <s v="E "/>
    <s v="Elementary Grade Group K-6"/>
    <s v="PS46E21S"/>
    <s v="PSES Elem Prog21Duty46 S275"/>
    <n v="21"/>
    <x v="8"/>
    <n v="46"/>
    <m/>
    <s v="   "/>
    <n v="7.1980000000000004"/>
    <n v="0.2747"/>
    <n v="1.9770000000000001"/>
    <s v="Elementary Psychologist"/>
    <x v="8"/>
  </r>
  <r>
    <s v="27320"/>
    <x v="180"/>
    <s v="Personnel"/>
    <s v="H "/>
    <s v="High Grade Group 9-12"/>
    <s v="PS46H21S"/>
    <s v="PSES High Prog21Duty46 S275"/>
    <n v="21"/>
    <x v="8"/>
    <n v="46"/>
    <m/>
    <s v="   "/>
    <n v="3.9990000000000001"/>
    <n v="0.2747"/>
    <n v="1.099"/>
    <s v="High Psychologist"/>
    <x v="8"/>
  </r>
  <r>
    <s v="27320"/>
    <x v="180"/>
    <s v="Personnel"/>
    <s v="M "/>
    <s v="Middle Grade Group 7-8"/>
    <s v="PS46M21S"/>
    <s v="PSES Mid Prog21Duty46 S275"/>
    <n v="21"/>
    <x v="8"/>
    <n v="46"/>
    <m/>
    <s v="   "/>
    <n v="1.8049999999999999"/>
    <n v="0.2747"/>
    <n v="0.496"/>
    <s v="Middle Psychologist"/>
    <x v="8"/>
  </r>
  <r>
    <s v="27320"/>
    <x v="180"/>
    <s v="Personnel"/>
    <s v="E "/>
    <s v="Elementary Grade Group K-6"/>
    <s v="PS47ES"/>
    <s v="PSES Elem Prog01Duty47 S275"/>
    <n v="1"/>
    <x v="9"/>
    <n v="47"/>
    <m/>
    <s v="   "/>
    <n v="1.548"/>
    <n v="0.2747"/>
    <n v="0"/>
    <s v="Elementary Nurse"/>
    <x v="9"/>
  </r>
  <r>
    <s v="27320"/>
    <x v="180"/>
    <s v="Personnel"/>
    <s v="H "/>
    <s v="High Grade Group 9-12"/>
    <s v="PS47HS"/>
    <s v="PSES High Prog01Duty47 S275"/>
    <n v="1"/>
    <x v="9"/>
    <n v="47"/>
    <m/>
    <s v="   "/>
    <n v="0.996"/>
    <n v="0.2747"/>
    <n v="0"/>
    <s v="High Nurse"/>
    <x v="9"/>
  </r>
  <r>
    <s v="27320"/>
    <x v="180"/>
    <s v="Personnel"/>
    <s v="M "/>
    <s v="Middle Grade Group 7-8"/>
    <s v="PS47MS"/>
    <s v="PSES Mid Prog01Duty47 S275"/>
    <n v="1"/>
    <x v="9"/>
    <n v="47"/>
    <m/>
    <s v="   "/>
    <n v="0.45600000000000002"/>
    <n v="0.2747"/>
    <n v="0"/>
    <s v="Middle Nurse"/>
    <x v="9"/>
  </r>
  <r>
    <s v="27320"/>
    <x v="180"/>
    <s v="Personnel"/>
    <s v="E "/>
    <s v="Elementary Grade Group K-6"/>
    <s v="PS48E21S"/>
    <s v="PSES Elem Prog21Duty48 S275"/>
    <n v="21"/>
    <x v="11"/>
    <n v="48"/>
    <m/>
    <s v="   "/>
    <n v="1.6839999999999999"/>
    <n v="0.2747"/>
    <n v="0.46300000000000002"/>
    <s v="Elementary Physical Therapist"/>
    <x v="11"/>
  </r>
  <r>
    <s v="27320"/>
    <x v="180"/>
    <s v="Personnel"/>
    <s v="H "/>
    <s v="High Grade Group 9-12"/>
    <s v="PS48H21S"/>
    <s v="PSES High Prog21Duty48 S275"/>
    <n v="21"/>
    <x v="11"/>
    <n v="48"/>
    <m/>
    <s v="   "/>
    <n v="0.23300000000000001"/>
    <n v="0.2747"/>
    <n v="6.4000000000000001E-2"/>
    <s v="High Physical Therapist"/>
    <x v="11"/>
  </r>
  <r>
    <s v="27320"/>
    <x v="180"/>
    <s v="Personnel"/>
    <s v="M "/>
    <s v="Middle Grade Group 7-8"/>
    <s v="PS48M21S"/>
    <s v="PSES Mid Prog21Duty48 S275"/>
    <n v="21"/>
    <x v="11"/>
    <n v="48"/>
    <m/>
    <s v="   "/>
    <n v="8.3000000000000004E-2"/>
    <n v="0.2747"/>
    <n v="2.3E-2"/>
    <s v="Middle Physical Therapist"/>
    <x v="11"/>
  </r>
  <r>
    <s v="27320"/>
    <x v="180"/>
    <s v="Personnel"/>
    <s v="E "/>
    <s v="Elementary Grade Group K-6"/>
    <s v="PS49E21S"/>
    <s v="PSES Elem Prog21Duty49 S275"/>
    <n v="21"/>
    <x v="10"/>
    <n v="49"/>
    <m/>
    <s v="   "/>
    <n v="1"/>
    <n v="0.2747"/>
    <n v="0.27500000000000002"/>
    <s v="Elementary Behavior Analyst"/>
    <x v="10"/>
  </r>
  <r>
    <s v="27343"/>
    <x v="181"/>
    <s v="Personnel"/>
    <s v="H "/>
    <s v="High Grade Group 9-12"/>
    <s v="PS25H21S"/>
    <s v="PSES High Prog21Act25 S275"/>
    <n v="21"/>
    <x v="1"/>
    <m/>
    <n v="25"/>
    <s v="   "/>
    <n v="1.36"/>
    <n v="0.308"/>
    <n v="0.41899999999999998"/>
    <s v="High Pupil Management"/>
    <x v="1"/>
  </r>
  <r>
    <s v="27343"/>
    <x v="181"/>
    <s v="Personnel"/>
    <s v="H "/>
    <s v="High Grade Group 9-12"/>
    <s v="PS25HS"/>
    <s v="PSES High Prog01Act25 S275"/>
    <n v="1"/>
    <x v="1"/>
    <m/>
    <n v="25"/>
    <s v="   "/>
    <n v="1.593"/>
    <n v="0.308"/>
    <n v="0"/>
    <s v="High Pupil Management"/>
    <x v="1"/>
  </r>
  <r>
    <s v="27343"/>
    <x v="181"/>
    <s v="Personnel"/>
    <s v="M "/>
    <s v="Middle Grade Group 7-8"/>
    <s v="PS25MS"/>
    <s v="PSES Mid Prog01Act25 S275"/>
    <n v="1"/>
    <x v="1"/>
    <m/>
    <n v="25"/>
    <s v="   "/>
    <n v="8.8999999999999996E-2"/>
    <n v="0.308"/>
    <n v="0"/>
    <s v="Middle Pupil Management"/>
    <x v="1"/>
  </r>
  <r>
    <s v="27343"/>
    <x v="181"/>
    <s v="Personnel"/>
    <s v="E "/>
    <s v="Elementary Grade Group K-6"/>
    <s v="PS26ES"/>
    <s v="PSES Elem Prog01Act26 S275"/>
    <n v="1"/>
    <x v="2"/>
    <m/>
    <n v="26"/>
    <s v="   "/>
    <n v="0.89600000000000002"/>
    <n v="0.308"/>
    <n v="0"/>
    <s v="Elementary Health/_x000a_Related Services"/>
    <x v="2"/>
  </r>
  <r>
    <s v="27343"/>
    <x v="181"/>
    <s v="Personnel"/>
    <s v="H "/>
    <s v="High Grade Group 9-12"/>
    <s v="PS26H21S"/>
    <s v="PSES High Prog21Act26 S275"/>
    <n v="21"/>
    <x v="2"/>
    <m/>
    <n v="26"/>
    <s v="   "/>
    <n v="1.52"/>
    <n v="0.308"/>
    <n v="0.46800000000000003"/>
    <s v="High Health/_x000a_Related Services"/>
    <x v="2"/>
  </r>
  <r>
    <s v="27343"/>
    <x v="181"/>
    <s v="Personnel"/>
    <s v="H "/>
    <s v="High Grade Group 9-12"/>
    <s v="PS26HS"/>
    <s v="PSES High Prog01Act26 S275"/>
    <n v="1"/>
    <x v="2"/>
    <m/>
    <n v="26"/>
    <s v="   "/>
    <n v="0.75900000000000001"/>
    <n v="0.308"/>
    <n v="0"/>
    <s v="High Health/_x000a_Related Services"/>
    <x v="2"/>
  </r>
  <r>
    <s v="27343"/>
    <x v="181"/>
    <s v="Personnel"/>
    <s v="E "/>
    <s v="Elementary Grade Group K-6"/>
    <s v="PS42ES"/>
    <s v="PSES Elem Prog01Duty42 S275"/>
    <n v="1"/>
    <x v="5"/>
    <n v="42"/>
    <m/>
    <s v="   "/>
    <n v="2.5499999999999998"/>
    <n v="0.308"/>
    <n v="0"/>
    <s v="Elementary Counselor"/>
    <x v="5"/>
  </r>
  <r>
    <s v="27343"/>
    <x v="181"/>
    <s v="Personnel"/>
    <s v="M "/>
    <s v="Middle Grade Group 7-8"/>
    <s v="PS42MS"/>
    <s v="PSES Mid Prog01Duty42 S275"/>
    <n v="1"/>
    <x v="5"/>
    <n v="42"/>
    <m/>
    <s v="   "/>
    <n v="1.1000000000000001"/>
    <n v="0.308"/>
    <n v="0"/>
    <s v="Middle Counselor"/>
    <x v="5"/>
  </r>
  <r>
    <s v="27343"/>
    <x v="181"/>
    <s v="Personnel"/>
    <s v="E "/>
    <s v="Elementary Grade Group K-6"/>
    <s v="PS43E21S"/>
    <s v="PSES Elem Prog21Duty43 S275"/>
    <n v="21"/>
    <x v="6"/>
    <n v="43"/>
    <m/>
    <s v="   "/>
    <n v="0.66700000000000004"/>
    <n v="0.308"/>
    <n v="0.20499999999999999"/>
    <s v="Elementary Occupational Therapist"/>
    <x v="6"/>
  </r>
  <r>
    <s v="27343"/>
    <x v="181"/>
    <s v="Personnel"/>
    <s v="M "/>
    <s v="Middle Grade Group 7-8"/>
    <s v="PS43M21S"/>
    <s v="PSES Mid Prog21Duty43 S275"/>
    <n v="21"/>
    <x v="6"/>
    <n v="43"/>
    <m/>
    <s v="   "/>
    <n v="0.33300000000000002"/>
    <n v="0.308"/>
    <n v="0.10299999999999999"/>
    <s v="Middle Occupational Therapist"/>
    <x v="6"/>
  </r>
  <r>
    <s v="27343"/>
    <x v="181"/>
    <s v="Personnel"/>
    <s v="E "/>
    <s v="Elementary Grade Group K-6"/>
    <s v="PS45E21S"/>
    <s v="PSES Elem Prog21Duty45 S275"/>
    <n v="21"/>
    <x v="7"/>
    <n v="45"/>
    <m/>
    <s v="   "/>
    <n v="1.3"/>
    <n v="0.308"/>
    <n v="0.4"/>
    <s v="Elementary Speech, Language Pathway/_x000a_Audio"/>
    <x v="7"/>
  </r>
  <r>
    <s v="27343"/>
    <x v="181"/>
    <s v="Personnel"/>
    <s v="E "/>
    <s v="Elementary Grade Group K-6"/>
    <s v="PS46E21S"/>
    <s v="PSES Elem Prog21Duty46 S275"/>
    <n v="21"/>
    <x v="8"/>
    <n v="46"/>
    <m/>
    <s v="   "/>
    <n v="1.667"/>
    <n v="0.308"/>
    <n v="0.51300000000000001"/>
    <s v="Elementary Psychologist"/>
    <x v="8"/>
  </r>
  <r>
    <s v="27343"/>
    <x v="181"/>
    <s v="Personnel"/>
    <s v="M "/>
    <s v="Middle Grade Group 7-8"/>
    <s v="PS46M21S"/>
    <s v="PSES Mid Prog21Duty46 S275"/>
    <n v="21"/>
    <x v="8"/>
    <n v="46"/>
    <m/>
    <s v="   "/>
    <n v="0.33300000000000002"/>
    <n v="0.308"/>
    <n v="0.10299999999999999"/>
    <s v="Middle Psychologist"/>
    <x v="8"/>
  </r>
  <r>
    <s v="27343"/>
    <x v="181"/>
    <s v="Personnel"/>
    <s v="E "/>
    <s v="Elementary Grade Group K-6"/>
    <s v="PS47ES"/>
    <s v="PSES Elem Prog01Duty47 S275"/>
    <n v="1"/>
    <x v="9"/>
    <n v="47"/>
    <m/>
    <s v="   "/>
    <n v="0.66600000000000004"/>
    <n v="0.308"/>
    <n v="0"/>
    <s v="Elementary Nurse"/>
    <x v="9"/>
  </r>
  <r>
    <s v="27343"/>
    <x v="181"/>
    <s v="Personnel"/>
    <s v="M "/>
    <s v="Middle Grade Group 7-8"/>
    <s v="PS47MS"/>
    <s v="PSES Mid Prog01Duty47 S275"/>
    <n v="1"/>
    <x v="9"/>
    <n v="47"/>
    <m/>
    <s v="   "/>
    <n v="0.33400000000000002"/>
    <n v="0.308"/>
    <n v="0"/>
    <s v="Middle Nurse"/>
    <x v="9"/>
  </r>
  <r>
    <s v="27344"/>
    <x v="182"/>
    <s v="Personnel"/>
    <s v="H "/>
    <s v="High Grade Group 9-12"/>
    <s v="PS25HS"/>
    <s v="PSES High Prog01Act25 S275"/>
    <n v="1"/>
    <x v="1"/>
    <m/>
    <n v="25"/>
    <s v="   "/>
    <n v="5.3789999999999996"/>
    <n v="0.26050000000000001"/>
    <n v="0"/>
    <s v="High Pupil Management"/>
    <x v="1"/>
  </r>
  <r>
    <s v="27344"/>
    <x v="182"/>
    <s v="Personnel"/>
    <s v="H "/>
    <s v="High Grade Group 9-12"/>
    <s v="PS26H21S"/>
    <s v="PSES High Prog21Act26 S275"/>
    <n v="21"/>
    <x v="2"/>
    <m/>
    <n v="26"/>
    <s v="   "/>
    <n v="2.2719999999999998"/>
    <n v="0.26050000000000001"/>
    <n v="0.59199999999999997"/>
    <s v="High Health/_x000a_Related Services"/>
    <x v="2"/>
  </r>
  <r>
    <s v="27344"/>
    <x v="182"/>
    <s v="Personnel"/>
    <s v="H "/>
    <s v="High Grade Group 9-12"/>
    <s v="PS26HS"/>
    <s v="PSES High Prog01Act26 S275"/>
    <n v="1"/>
    <x v="2"/>
    <m/>
    <n v="26"/>
    <s v="   "/>
    <n v="2.5950000000000002"/>
    <n v="0.26050000000000001"/>
    <n v="0"/>
    <s v="High Health/_x000a_Related Services"/>
    <x v="2"/>
  </r>
  <r>
    <s v="27344"/>
    <x v="182"/>
    <s v="Personnel"/>
    <s v="E "/>
    <s v="Elementary Grade Group K-6"/>
    <s v="PS42ES"/>
    <s v="PSES Elem Prog01Duty42 S275"/>
    <n v="1"/>
    <x v="5"/>
    <n v="42"/>
    <m/>
    <s v="   "/>
    <n v="2.6"/>
    <n v="0.26050000000000001"/>
    <n v="0"/>
    <s v="Elementary Counselor"/>
    <x v="5"/>
  </r>
  <r>
    <s v="27344"/>
    <x v="182"/>
    <s v="Personnel"/>
    <s v="H "/>
    <s v="High Grade Group 9-12"/>
    <s v="PS42HS"/>
    <s v="PSES High Prog01Duty42 S275"/>
    <n v="1"/>
    <x v="5"/>
    <n v="42"/>
    <m/>
    <s v="   "/>
    <n v="2.4"/>
    <n v="0.26050000000000001"/>
    <n v="0"/>
    <s v="High Counselor"/>
    <x v="5"/>
  </r>
  <r>
    <s v="27344"/>
    <x v="182"/>
    <s v="Personnel"/>
    <s v="M "/>
    <s v="Middle Grade Group 7-8"/>
    <s v="PS42MS"/>
    <s v="PSES Mid Prog01Duty42 S275"/>
    <n v="1"/>
    <x v="5"/>
    <n v="42"/>
    <m/>
    <s v="   "/>
    <n v="1.2"/>
    <n v="0.26050000000000001"/>
    <n v="0"/>
    <s v="Middle Counselor"/>
    <x v="5"/>
  </r>
  <r>
    <s v="27344"/>
    <x v="182"/>
    <s v="Personnel"/>
    <s v="E "/>
    <s v="Elementary Grade Group K-6"/>
    <s v="PS45E21S"/>
    <s v="PSES Elem Prog21Duty45 S275"/>
    <n v="21"/>
    <x v="7"/>
    <n v="45"/>
    <m/>
    <s v="   "/>
    <n v="1.75"/>
    <n v="0.26050000000000001"/>
    <n v="0.45600000000000002"/>
    <s v="Elementary Speech, Language Pathway/_x000a_Audio"/>
    <x v="7"/>
  </r>
  <r>
    <s v="27344"/>
    <x v="182"/>
    <s v="Personnel"/>
    <s v="H "/>
    <s v="High Grade Group 9-12"/>
    <s v="PS45H21S"/>
    <s v="PSES High Prog21Duty45 S275"/>
    <n v="21"/>
    <x v="7"/>
    <n v="45"/>
    <m/>
    <s v="   "/>
    <n v="0.24"/>
    <n v="0.26050000000000001"/>
    <n v="6.3E-2"/>
    <s v="High Speech, Language Pathway/_x000a_Audio"/>
    <x v="7"/>
  </r>
  <r>
    <s v="27344"/>
    <x v="182"/>
    <s v="Personnel"/>
    <s v="M "/>
    <s v="Middle Grade Group 7-8"/>
    <s v="PS45M21S"/>
    <s v="PSES Mid Prog21Duty45 S275"/>
    <n v="21"/>
    <x v="7"/>
    <n v="45"/>
    <m/>
    <s v="   "/>
    <n v="0.02"/>
    <n v="0.26050000000000001"/>
    <n v="5.0000000000000001E-3"/>
    <s v="Middle Speech, Language Pathway/_x000a_Audio"/>
    <x v="7"/>
  </r>
  <r>
    <s v="27344"/>
    <x v="182"/>
    <s v="Personnel"/>
    <s v="E "/>
    <s v="Elementary Grade Group K-6"/>
    <s v="PS47ES"/>
    <s v="PSES Elem Prog01Duty47 S275"/>
    <n v="1"/>
    <x v="9"/>
    <n v="47"/>
    <m/>
    <s v="   "/>
    <n v="0.52"/>
    <n v="0.26050000000000001"/>
    <n v="0"/>
    <s v="Elementary Nurse"/>
    <x v="9"/>
  </r>
  <r>
    <s v="27344"/>
    <x v="182"/>
    <s v="Personnel"/>
    <s v="H "/>
    <s v="High Grade Group 9-12"/>
    <s v="PS47HS"/>
    <s v="PSES High Prog01Duty47 S275"/>
    <n v="1"/>
    <x v="9"/>
    <n v="47"/>
    <m/>
    <s v="   "/>
    <n v="0.32"/>
    <n v="0.26050000000000001"/>
    <n v="0"/>
    <s v="High Nurse"/>
    <x v="9"/>
  </r>
  <r>
    <s v="27344"/>
    <x v="182"/>
    <s v="Personnel"/>
    <s v="M "/>
    <s v="Middle Grade Group 7-8"/>
    <s v="PS47MS"/>
    <s v="PSES Mid Prog01Duty47 S275"/>
    <n v="1"/>
    <x v="9"/>
    <n v="47"/>
    <m/>
    <s v="   "/>
    <n v="0.16"/>
    <n v="0.26050000000000001"/>
    <n v="0"/>
    <s v="Middle Nurse"/>
    <x v="9"/>
  </r>
  <r>
    <s v="27400"/>
    <x v="183"/>
    <s v="Personnel"/>
    <s v="H "/>
    <s v="High Grade Group 9-12"/>
    <s v="PS25HS"/>
    <s v="PSES High Prog01Act25 S275"/>
    <n v="1"/>
    <x v="1"/>
    <m/>
    <n v="25"/>
    <s v="   "/>
    <n v="19.68"/>
    <n v="0.34"/>
    <n v="0"/>
    <s v="High Pupil Management"/>
    <x v="1"/>
  </r>
  <r>
    <s v="27400"/>
    <x v="183"/>
    <s v="Personnel"/>
    <s v="H "/>
    <s v="High Grade Group 9-12"/>
    <s v="PS26H21S"/>
    <s v="PSES High Prog21Act26 S275"/>
    <n v="21"/>
    <x v="2"/>
    <m/>
    <n v="26"/>
    <s v="   "/>
    <n v="11.523999999999999"/>
    <n v="0.34"/>
    <n v="3.9180000000000001"/>
    <s v="High Health/_x000a_Related Services"/>
    <x v="2"/>
  </r>
  <r>
    <s v="27400"/>
    <x v="183"/>
    <s v="Personnel"/>
    <s v="H "/>
    <s v="High Grade Group 9-12"/>
    <s v="PS26HS"/>
    <s v="PSES High Prog01Act26 S275"/>
    <n v="1"/>
    <x v="2"/>
    <m/>
    <n v="26"/>
    <s v="   "/>
    <n v="15.032"/>
    <n v="0.34"/>
    <n v="0"/>
    <s v="High Health/_x000a_Related Services"/>
    <x v="2"/>
  </r>
  <r>
    <s v="27400"/>
    <x v="183"/>
    <s v="Personnel"/>
    <s v="H "/>
    <s v="High Grade Group 9-12"/>
    <s v="PS35H97S"/>
    <s v="PSES High Prog97Act35 S275"/>
    <n v="97"/>
    <x v="3"/>
    <m/>
    <n v="35"/>
    <s v="   "/>
    <n v="1"/>
    <n v="0.34"/>
    <n v="0"/>
    <s v="High Pupil Safety"/>
    <x v="3"/>
  </r>
  <r>
    <s v="27400"/>
    <x v="183"/>
    <s v="Personnel"/>
    <s v="H "/>
    <s v="High Grade Group 9-12"/>
    <s v="PS35HS"/>
    <s v="PSES High Prog01Act35 S275"/>
    <n v="1"/>
    <x v="3"/>
    <m/>
    <n v="35"/>
    <s v="   "/>
    <n v="10.936"/>
    <n v="0.34"/>
    <n v="0"/>
    <s v="High Pupil Safety"/>
    <x v="3"/>
  </r>
  <r>
    <s v="27400"/>
    <x v="183"/>
    <s v="Personnel"/>
    <s v="E "/>
    <s v="Elementary Grade Group K-6"/>
    <s v="PS42ES"/>
    <s v="PSES Elem Prog01Duty42 S275"/>
    <n v="1"/>
    <x v="5"/>
    <n v="42"/>
    <m/>
    <s v="   "/>
    <n v="18.474"/>
    <n v="0.34"/>
    <n v="0"/>
    <s v="Elementary Counselor"/>
    <x v="5"/>
  </r>
  <r>
    <s v="27400"/>
    <x v="183"/>
    <s v="Personnel"/>
    <s v="H "/>
    <s v="High Grade Group 9-12"/>
    <s v="PS42H21S"/>
    <s v="PSES High Prog21Duty42 S275"/>
    <n v="21"/>
    <x v="5"/>
    <n v="42"/>
    <m/>
    <s v="   "/>
    <n v="1"/>
    <n v="0.34"/>
    <n v="0.34"/>
    <s v="High Counselor"/>
    <x v="5"/>
  </r>
  <r>
    <s v="27400"/>
    <x v="183"/>
    <s v="Personnel"/>
    <s v="H "/>
    <s v="High Grade Group 9-12"/>
    <s v="PS42HS"/>
    <s v="PSES High Prog01Duty42 S275"/>
    <n v="1"/>
    <x v="5"/>
    <n v="42"/>
    <m/>
    <s v="   "/>
    <n v="6.5709999999999997"/>
    <n v="0.34"/>
    <n v="0"/>
    <s v="High Counselor"/>
    <x v="5"/>
  </r>
  <r>
    <s v="27400"/>
    <x v="183"/>
    <s v="Personnel"/>
    <s v="M "/>
    <s v="Middle Grade Group 7-8"/>
    <s v="PS42MS"/>
    <s v="PSES Mid Prog01Duty42 S275"/>
    <n v="1"/>
    <x v="5"/>
    <n v="42"/>
    <m/>
    <s v="   "/>
    <n v="4.9550000000000001"/>
    <n v="0.34"/>
    <n v="0"/>
    <s v="Middle Counselor"/>
    <x v="5"/>
  </r>
  <r>
    <s v="27400"/>
    <x v="183"/>
    <s v="Personnel"/>
    <s v="H "/>
    <s v="High Grade Group 9-12"/>
    <s v="PS43H21S"/>
    <s v="PSES High Prog21Duty43 S275"/>
    <n v="21"/>
    <x v="6"/>
    <n v="43"/>
    <m/>
    <s v="   "/>
    <n v="9"/>
    <n v="0.34"/>
    <n v="3.06"/>
    <s v="High Occupational Therapist"/>
    <x v="6"/>
  </r>
  <r>
    <s v="27400"/>
    <x v="183"/>
    <s v="Personnel"/>
    <s v="H "/>
    <s v="High Grade Group 9-12"/>
    <s v="PS44H21S"/>
    <s v="PSES High Prog21Duty44 S275"/>
    <n v="21"/>
    <x v="13"/>
    <n v="44"/>
    <m/>
    <s v="   "/>
    <n v="1"/>
    <n v="0.34"/>
    <n v="0.34"/>
    <s v="High Social Worker"/>
    <x v="13"/>
  </r>
  <r>
    <s v="27400"/>
    <x v="183"/>
    <s v="Personnel"/>
    <s v="H "/>
    <s v="High Grade Group 9-12"/>
    <s v="PS45H21S"/>
    <s v="PSES High Prog21Duty45 S275"/>
    <n v="21"/>
    <x v="7"/>
    <n v="45"/>
    <m/>
    <s v="   "/>
    <n v="8"/>
    <n v="0.34"/>
    <n v="2.72"/>
    <s v="High Speech, Language Pathway/_x000a_Audio"/>
    <x v="7"/>
  </r>
  <r>
    <s v="27400"/>
    <x v="183"/>
    <s v="Personnel"/>
    <s v="H "/>
    <s v="High Grade Group 9-12"/>
    <s v="PS46H21S"/>
    <s v="PSES High Prog21Duty46 S275"/>
    <n v="21"/>
    <x v="8"/>
    <n v="46"/>
    <m/>
    <s v="   "/>
    <n v="3"/>
    <n v="0.34"/>
    <n v="1.02"/>
    <s v="High Psychologist"/>
    <x v="8"/>
  </r>
  <r>
    <s v="27400"/>
    <x v="183"/>
    <s v="Personnel"/>
    <s v="E "/>
    <s v="Elementary Grade Group K-6"/>
    <s v="PS47E21S"/>
    <s v="PSES Elem Prog21Duty47 S275"/>
    <n v="21"/>
    <x v="9"/>
    <n v="47"/>
    <m/>
    <s v="   "/>
    <n v="0.2"/>
    <n v="0.34"/>
    <n v="6.8000000000000005E-2"/>
    <s v="Elementary Nurse"/>
    <x v="9"/>
  </r>
  <r>
    <s v="27400"/>
    <x v="183"/>
    <s v="Personnel"/>
    <s v="E "/>
    <s v="Elementary Grade Group K-6"/>
    <s v="PS47ES"/>
    <s v="PSES Elem Prog01Duty47 S275"/>
    <n v="1"/>
    <x v="9"/>
    <n v="47"/>
    <m/>
    <s v="   "/>
    <n v="1.333"/>
    <n v="0.34"/>
    <n v="0"/>
    <s v="Elementary Nurse"/>
    <x v="9"/>
  </r>
  <r>
    <s v="27400"/>
    <x v="183"/>
    <s v="Personnel"/>
    <s v="H "/>
    <s v="High Grade Group 9-12"/>
    <s v="PS47HS"/>
    <s v="PSES High Prog01Duty47 S275"/>
    <n v="1"/>
    <x v="9"/>
    <n v="47"/>
    <m/>
    <s v="   "/>
    <n v="9.5"/>
    <n v="0.34"/>
    <n v="0"/>
    <s v="High Nurse"/>
    <x v="9"/>
  </r>
  <r>
    <s v="27400"/>
    <x v="183"/>
    <s v="Personnel"/>
    <s v="M "/>
    <s v="Middle Grade Group 7-8"/>
    <s v="PS47MS"/>
    <s v="PSES Mid Prog01Duty47 S275"/>
    <n v="1"/>
    <x v="9"/>
    <n v="47"/>
    <m/>
    <s v="   "/>
    <n v="0.66700000000000004"/>
    <n v="0.34"/>
    <n v="0"/>
    <s v="Middle Nurse"/>
    <x v="9"/>
  </r>
  <r>
    <s v="27400"/>
    <x v="183"/>
    <s v="Personnel"/>
    <s v="H "/>
    <s v="High Grade Group 9-12"/>
    <s v="PS48H21S"/>
    <s v="PSES High Prog21Duty48 S275"/>
    <n v="21"/>
    <x v="11"/>
    <n v="48"/>
    <m/>
    <s v="   "/>
    <n v="4.5"/>
    <n v="0.34"/>
    <n v="1.53"/>
    <s v="High Physical Therapist"/>
    <x v="11"/>
  </r>
  <r>
    <s v="27401"/>
    <x v="184"/>
    <s v="Personnel"/>
    <s v="H "/>
    <s v="High Grade Group 9-12"/>
    <s v="PS25HS"/>
    <s v="PSES High Prog01Act25 S275"/>
    <n v="1"/>
    <x v="1"/>
    <m/>
    <n v="25"/>
    <s v="   "/>
    <n v="17.452000000000002"/>
    <n v="0.2195"/>
    <n v="0"/>
    <s v="High Pupil Management"/>
    <x v="1"/>
  </r>
  <r>
    <s v="27401"/>
    <x v="184"/>
    <s v="Personnel"/>
    <s v="H "/>
    <s v="High Grade Group 9-12"/>
    <s v="PS26H21S"/>
    <s v="PSES High Prog21Act26 S275"/>
    <n v="21"/>
    <x v="2"/>
    <m/>
    <n v="26"/>
    <s v="   "/>
    <n v="2.4990000000000001"/>
    <n v="0.2195"/>
    <n v="0.54900000000000004"/>
    <s v="High Health/_x000a_Related Services"/>
    <x v="2"/>
  </r>
  <r>
    <s v="27401"/>
    <x v="184"/>
    <s v="Personnel"/>
    <s v="H "/>
    <s v="High Grade Group 9-12"/>
    <s v="PS26HS"/>
    <s v="PSES High Prog01Act26 S275"/>
    <n v="1"/>
    <x v="2"/>
    <m/>
    <n v="26"/>
    <s v="   "/>
    <n v="10.635999999999999"/>
    <n v="0.2195"/>
    <n v="0"/>
    <s v="High Health/_x000a_Related Services"/>
    <x v="2"/>
  </r>
  <r>
    <s v="27401"/>
    <x v="184"/>
    <s v="Personnel"/>
    <s v="E "/>
    <s v="Elementary Grade Group K-6"/>
    <s v="PS42ES"/>
    <s v="PSES Elem Prog01Duty42 S275"/>
    <n v="1"/>
    <x v="5"/>
    <n v="42"/>
    <m/>
    <s v="   "/>
    <n v="13.079000000000001"/>
    <n v="0.2195"/>
    <n v="0"/>
    <s v="Elementary Counselor"/>
    <x v="5"/>
  </r>
  <r>
    <s v="27401"/>
    <x v="184"/>
    <s v="Personnel"/>
    <s v="H "/>
    <s v="High Grade Group 9-12"/>
    <s v="PS42HS"/>
    <s v="PSES High Prog01Duty42 S275"/>
    <n v="1"/>
    <x v="5"/>
    <n v="42"/>
    <m/>
    <s v="   "/>
    <n v="11.25"/>
    <n v="0.2195"/>
    <n v="0"/>
    <s v="High Counselor"/>
    <x v="5"/>
  </r>
  <r>
    <s v="27401"/>
    <x v="184"/>
    <s v="Personnel"/>
    <s v="M "/>
    <s v="Middle Grade Group 7-8"/>
    <s v="PS42MS"/>
    <s v="PSES Mid Prog01Duty42 S275"/>
    <n v="1"/>
    <x v="5"/>
    <n v="42"/>
    <m/>
    <s v="   "/>
    <n v="5.4710000000000001"/>
    <n v="0.2195"/>
    <n v="0"/>
    <s v="Middle Counselor"/>
    <x v="5"/>
  </r>
  <r>
    <s v="27401"/>
    <x v="184"/>
    <s v="Personnel"/>
    <s v="E "/>
    <s v="Elementary Grade Group K-6"/>
    <s v="PS43E21S"/>
    <s v="PSES Elem Prog21Duty43 S275"/>
    <n v="21"/>
    <x v="6"/>
    <n v="43"/>
    <m/>
    <s v="   "/>
    <n v="6.6520000000000001"/>
    <n v="0.2195"/>
    <n v="1.46"/>
    <s v="Elementary Occupational Therapist"/>
    <x v="6"/>
  </r>
  <r>
    <s v="27401"/>
    <x v="184"/>
    <s v="Personnel"/>
    <s v="H "/>
    <s v="High Grade Group 9-12"/>
    <s v="PS43H21S"/>
    <s v="PSES High Prog21Duty43 S275"/>
    <n v="21"/>
    <x v="6"/>
    <n v="43"/>
    <m/>
    <s v="   "/>
    <n v="0.93100000000000005"/>
    <n v="0.2195"/>
    <n v="0.20399999999999999"/>
    <s v="High Occupational Therapist"/>
    <x v="6"/>
  </r>
  <r>
    <s v="27401"/>
    <x v="184"/>
    <s v="Personnel"/>
    <s v="M "/>
    <s v="Middle Grade Group 7-8"/>
    <s v="PS43M21S"/>
    <s v="PSES Mid Prog21Duty43 S275"/>
    <n v="21"/>
    <x v="6"/>
    <n v="43"/>
    <m/>
    <s v="   "/>
    <n v="0.81599999999999995"/>
    <n v="0.2195"/>
    <n v="0.17899999999999999"/>
    <s v="Middle Occupational Therapist"/>
    <x v="6"/>
  </r>
  <r>
    <s v="27401"/>
    <x v="184"/>
    <s v="Personnel"/>
    <s v="E "/>
    <s v="Elementary Grade Group K-6"/>
    <s v="PS44E21S"/>
    <s v="PSES Elem Prog21Duty44 S275"/>
    <n v="21"/>
    <x v="13"/>
    <n v="44"/>
    <m/>
    <s v="   "/>
    <n v="0.44500000000000001"/>
    <n v="0.2195"/>
    <n v="9.8000000000000004E-2"/>
    <s v="Elementary Social Worker"/>
    <x v="13"/>
  </r>
  <r>
    <s v="27401"/>
    <x v="184"/>
    <s v="Personnel"/>
    <s v="H "/>
    <s v="High Grade Group 9-12"/>
    <s v="PS44H21S"/>
    <s v="PSES High Prog21Duty44 S275"/>
    <n v="21"/>
    <x v="13"/>
    <n v="44"/>
    <m/>
    <s v="   "/>
    <n v="0.33300000000000002"/>
    <n v="0.2195"/>
    <n v="7.2999999999999995E-2"/>
    <s v="High Social Worker"/>
    <x v="13"/>
  </r>
  <r>
    <s v="27401"/>
    <x v="184"/>
    <s v="Personnel"/>
    <s v="M "/>
    <s v="Middle Grade Group 7-8"/>
    <s v="PS44M21S"/>
    <s v="PSES Mid Prog21Duty44 S275"/>
    <n v="21"/>
    <x v="13"/>
    <n v="44"/>
    <m/>
    <s v="   "/>
    <n v="0.222"/>
    <n v="0.2195"/>
    <n v="4.9000000000000002E-2"/>
    <s v="Middle Social Worker"/>
    <x v="13"/>
  </r>
  <r>
    <s v="27401"/>
    <x v="184"/>
    <s v="Personnel"/>
    <s v="E "/>
    <s v="Elementary Grade Group K-6"/>
    <s v="PS45E21S"/>
    <s v="PSES Elem Prog21Duty45 S275"/>
    <n v="21"/>
    <x v="7"/>
    <n v="45"/>
    <m/>
    <s v="   "/>
    <n v="14.04"/>
    <n v="0.2195"/>
    <n v="3.0819999999999999"/>
    <s v="Elementary Speech, Language Pathway/_x000a_Audio"/>
    <x v="7"/>
  </r>
  <r>
    <s v="27401"/>
    <x v="184"/>
    <s v="Personnel"/>
    <s v="H "/>
    <s v="High Grade Group 9-12"/>
    <s v="PS45H21S"/>
    <s v="PSES High Prog21Duty45 S275"/>
    <n v="21"/>
    <x v="7"/>
    <n v="45"/>
    <m/>
    <s v="   "/>
    <n v="1.208"/>
    <n v="0.2195"/>
    <n v="0.26500000000000001"/>
    <s v="High Speech, Language Pathway/_x000a_Audio"/>
    <x v="7"/>
  </r>
  <r>
    <s v="27401"/>
    <x v="184"/>
    <s v="Personnel"/>
    <s v="M "/>
    <s v="Middle Grade Group 7-8"/>
    <s v="PS45M21S"/>
    <s v="PSES Mid Prog21Duty45 S275"/>
    <n v="21"/>
    <x v="7"/>
    <n v="45"/>
    <m/>
    <s v="   "/>
    <n v="0.82099999999999995"/>
    <n v="0.2195"/>
    <n v="0.18"/>
    <s v="Middle Speech, Language Pathway/_x000a_Audio"/>
    <x v="7"/>
  </r>
  <r>
    <s v="27401"/>
    <x v="184"/>
    <s v="Personnel"/>
    <s v="E "/>
    <s v="Elementary Grade Group K-6"/>
    <s v="PS46E21S"/>
    <s v="PSES Elem Prog21Duty46 S275"/>
    <n v="21"/>
    <x v="8"/>
    <n v="46"/>
    <m/>
    <s v="   "/>
    <n v="6.0620000000000003"/>
    <n v="0.2195"/>
    <n v="1.331"/>
    <s v="Elementary Psychologist"/>
    <x v="8"/>
  </r>
  <r>
    <s v="27401"/>
    <x v="184"/>
    <s v="Personnel"/>
    <s v="H "/>
    <s v="High Grade Group 9-12"/>
    <s v="PS46H21S"/>
    <s v="PSES High Prog21Duty46 S275"/>
    <n v="21"/>
    <x v="8"/>
    <n v="46"/>
    <m/>
    <s v="   "/>
    <n v="3.3079999999999998"/>
    <n v="0.2195"/>
    <n v="0.72599999999999998"/>
    <s v="High Psychologist"/>
    <x v="8"/>
  </r>
  <r>
    <s v="27401"/>
    <x v="184"/>
    <s v="Personnel"/>
    <s v="M "/>
    <s v="Middle Grade Group 7-8"/>
    <s v="PS46M21S"/>
    <s v="PSES Mid Prog21Duty46 S275"/>
    <n v="21"/>
    <x v="8"/>
    <n v="46"/>
    <m/>
    <s v="   "/>
    <n v="1.8879999999999999"/>
    <n v="0.2195"/>
    <n v="0.41399999999999998"/>
    <s v="Middle Psychologist"/>
    <x v="8"/>
  </r>
  <r>
    <s v="27401"/>
    <x v="184"/>
    <s v="Personnel"/>
    <s v="E "/>
    <s v="Elementary Grade Group K-6"/>
    <s v="PS47E21S"/>
    <s v="PSES Elem Prog21Duty47 S275"/>
    <n v="21"/>
    <x v="9"/>
    <n v="47"/>
    <m/>
    <s v="   "/>
    <n v="0.64500000000000002"/>
    <n v="0.2195"/>
    <n v="0.14199999999999999"/>
    <s v="Elementary Nurse"/>
    <x v="9"/>
  </r>
  <r>
    <s v="27401"/>
    <x v="184"/>
    <s v="Personnel"/>
    <s v="E "/>
    <s v="Elementary Grade Group K-6"/>
    <s v="PS47ES"/>
    <s v="PSES Elem Prog01Duty47 S275"/>
    <n v="1"/>
    <x v="9"/>
    <n v="47"/>
    <m/>
    <s v="   "/>
    <n v="5.8019999999999996"/>
    <n v="0.2195"/>
    <n v="0"/>
    <s v="Elementary Nurse"/>
    <x v="9"/>
  </r>
  <r>
    <s v="27401"/>
    <x v="184"/>
    <s v="Personnel"/>
    <s v="H "/>
    <s v="High Grade Group 9-12"/>
    <s v="PS47H21S"/>
    <s v="PSES High Prog21Duty47 S275"/>
    <n v="21"/>
    <x v="9"/>
    <n v="47"/>
    <m/>
    <s v="   "/>
    <n v="0.14000000000000001"/>
    <n v="0.2195"/>
    <n v="3.1E-2"/>
    <s v="High Nurse"/>
    <x v="9"/>
  </r>
  <r>
    <s v="27401"/>
    <x v="184"/>
    <s v="Personnel"/>
    <s v="H "/>
    <s v="High Grade Group 9-12"/>
    <s v="PS47HS"/>
    <s v="PSES High Prog01Duty47 S275"/>
    <n v="1"/>
    <x v="9"/>
    <n v="47"/>
    <m/>
    <s v="   "/>
    <n v="1.512"/>
    <n v="0.2195"/>
    <n v="0"/>
    <s v="High Nurse"/>
    <x v="9"/>
  </r>
  <r>
    <s v="27401"/>
    <x v="184"/>
    <s v="Personnel"/>
    <s v="M "/>
    <s v="Middle Grade Group 7-8"/>
    <s v="PS47M21S"/>
    <s v="PSES Mid Prog21Duty47 S275"/>
    <n v="21"/>
    <x v="9"/>
    <n v="47"/>
    <m/>
    <s v="   "/>
    <n v="0.122"/>
    <n v="0.2195"/>
    <n v="2.7E-2"/>
    <s v="Middle Nurse"/>
    <x v="9"/>
  </r>
  <r>
    <s v="27401"/>
    <x v="184"/>
    <s v="Personnel"/>
    <s v="M "/>
    <s v="Middle Grade Group 7-8"/>
    <s v="PS47MS"/>
    <s v="PSES Mid Prog01Duty47 S275"/>
    <n v="1"/>
    <x v="9"/>
    <n v="47"/>
    <m/>
    <s v="   "/>
    <n v="0.77900000000000003"/>
    <n v="0.2195"/>
    <n v="0"/>
    <s v="Middle Nurse"/>
    <x v="9"/>
  </r>
  <r>
    <s v="27401"/>
    <x v="184"/>
    <s v="Personnel"/>
    <s v="E "/>
    <s v="Elementary Grade Group K-6"/>
    <s v="PS48E21S"/>
    <s v="PSES Elem Prog21Duty48 S275"/>
    <n v="21"/>
    <x v="11"/>
    <n v="48"/>
    <m/>
    <s v="   "/>
    <n v="1.0760000000000001"/>
    <n v="0.2195"/>
    <n v="0.23599999999999999"/>
    <s v="Elementary Physical Therapist"/>
    <x v="11"/>
  </r>
  <r>
    <s v="27401"/>
    <x v="184"/>
    <s v="Personnel"/>
    <s v="H "/>
    <s v="High Grade Group 9-12"/>
    <s v="PS48H21S"/>
    <s v="PSES High Prog21Duty48 S275"/>
    <n v="21"/>
    <x v="11"/>
    <n v="48"/>
    <m/>
    <s v="   "/>
    <n v="0.61599999999999999"/>
    <n v="0.2195"/>
    <n v="0.13500000000000001"/>
    <s v="High Physical Therapist"/>
    <x v="11"/>
  </r>
  <r>
    <s v="27401"/>
    <x v="184"/>
    <s v="Personnel"/>
    <s v="M "/>
    <s v="Middle Grade Group 7-8"/>
    <s v="PS48M21S"/>
    <s v="PSES Mid Prog21Duty48 S275"/>
    <n v="21"/>
    <x v="11"/>
    <n v="48"/>
    <m/>
    <s v="   "/>
    <n v="0.308"/>
    <n v="0.2195"/>
    <n v="6.8000000000000005E-2"/>
    <s v="Middle Physical Therapist"/>
    <x v="11"/>
  </r>
  <r>
    <s v="27402"/>
    <x v="185"/>
    <s v="Personnel"/>
    <s v="H "/>
    <s v="High Grade Group 9-12"/>
    <s v="PS24HS"/>
    <s v="PSES High Prog01Duty96 S275"/>
    <n v="1"/>
    <x v="0"/>
    <n v="96"/>
    <n v="24"/>
    <s v="   "/>
    <n v="0.59099999999999997"/>
    <n v="0.31130000000000002"/>
    <n v="0"/>
    <s v="High Family Engagement Coordinator"/>
    <x v="0"/>
  </r>
  <r>
    <s v="27402"/>
    <x v="185"/>
    <s v="Personnel"/>
    <s v="H "/>
    <s v="High Grade Group 9-12"/>
    <s v="PS25HS"/>
    <s v="PSES High Prog01Act25 S275"/>
    <n v="1"/>
    <x v="1"/>
    <m/>
    <n v="25"/>
    <s v="   "/>
    <n v="11.215"/>
    <n v="0.31130000000000002"/>
    <n v="0"/>
    <s v="High Pupil Management"/>
    <x v="1"/>
  </r>
  <r>
    <s v="27402"/>
    <x v="185"/>
    <s v="Personnel"/>
    <s v="H "/>
    <s v="High Grade Group 9-12"/>
    <s v="PS26H21S"/>
    <s v="PSES High Prog21Act26 S275"/>
    <n v="21"/>
    <x v="2"/>
    <m/>
    <n v="26"/>
    <s v="   "/>
    <n v="0.76900000000000002"/>
    <n v="0.31130000000000002"/>
    <n v="0.23899999999999999"/>
    <s v="High Health/_x000a_Related Services"/>
    <x v="2"/>
  </r>
  <r>
    <s v="27402"/>
    <x v="185"/>
    <s v="Personnel"/>
    <s v="H "/>
    <s v="High Grade Group 9-12"/>
    <s v="PS26HS"/>
    <s v="PSES High Prog01Act26 S275"/>
    <n v="1"/>
    <x v="2"/>
    <m/>
    <n v="26"/>
    <s v="   "/>
    <n v="9.8420000000000005"/>
    <n v="0.31130000000000002"/>
    <n v="0"/>
    <s v="High Health/_x000a_Related Services"/>
    <x v="2"/>
  </r>
  <r>
    <s v="27402"/>
    <x v="185"/>
    <s v="Personnel"/>
    <s v="E "/>
    <s v="Elementary Grade Group K-6"/>
    <s v="PS42E21S"/>
    <s v="PSES Elem Prog21Duty42 S275"/>
    <n v="21"/>
    <x v="5"/>
    <n v="42"/>
    <m/>
    <s v="   "/>
    <n v="2.83"/>
    <n v="0.31130000000000002"/>
    <n v="0.88100000000000001"/>
    <s v="Elementary Counselor"/>
    <x v="5"/>
  </r>
  <r>
    <s v="27402"/>
    <x v="185"/>
    <s v="Personnel"/>
    <s v="E "/>
    <s v="Elementary Grade Group K-6"/>
    <s v="PS42ES"/>
    <s v="PSES Elem Prog01Duty42 S275"/>
    <n v="1"/>
    <x v="5"/>
    <n v="42"/>
    <m/>
    <s v="   "/>
    <n v="8.99"/>
    <n v="0.31130000000000002"/>
    <n v="0"/>
    <s v="Elementary Counselor"/>
    <x v="5"/>
  </r>
  <r>
    <s v="27402"/>
    <x v="185"/>
    <s v="Personnel"/>
    <s v="H "/>
    <s v="High Grade Group 9-12"/>
    <s v="PS42H21S"/>
    <s v="PSES High Prog21Duty42 S275"/>
    <n v="21"/>
    <x v="5"/>
    <n v="42"/>
    <m/>
    <s v="   "/>
    <n v="1.25"/>
    <n v="0.31130000000000002"/>
    <n v="0.38900000000000001"/>
    <s v="High Counselor"/>
    <x v="5"/>
  </r>
  <r>
    <s v="27402"/>
    <x v="185"/>
    <s v="Personnel"/>
    <s v="H "/>
    <s v="High Grade Group 9-12"/>
    <s v="PS42HS"/>
    <s v="PSES High Prog01Duty42 S275"/>
    <n v="1"/>
    <x v="5"/>
    <n v="42"/>
    <m/>
    <s v="   "/>
    <n v="9"/>
    <n v="0.31130000000000002"/>
    <n v="0"/>
    <s v="High Counselor"/>
    <x v="5"/>
  </r>
  <r>
    <s v="27402"/>
    <x v="185"/>
    <s v="Personnel"/>
    <s v="M "/>
    <s v="Middle Grade Group 7-8"/>
    <s v="PS42M21S"/>
    <s v="PSES Mid Prog21Duty42 S275"/>
    <n v="21"/>
    <x v="5"/>
    <n v="42"/>
    <m/>
    <s v="   "/>
    <n v="0.92"/>
    <n v="0.31130000000000002"/>
    <n v="0.28599999999999998"/>
    <s v="Middle Counselor"/>
    <x v="5"/>
  </r>
  <r>
    <s v="27402"/>
    <x v="185"/>
    <s v="Personnel"/>
    <s v="M "/>
    <s v="Middle Grade Group 7-8"/>
    <s v="PS42MS"/>
    <s v="PSES Mid Prog01Duty42 S275"/>
    <n v="1"/>
    <x v="5"/>
    <n v="42"/>
    <m/>
    <s v="   "/>
    <n v="5.01"/>
    <n v="0.31130000000000002"/>
    <n v="0"/>
    <s v="Middle Counselor"/>
    <x v="5"/>
  </r>
  <r>
    <s v="27402"/>
    <x v="185"/>
    <s v="Personnel"/>
    <s v="E "/>
    <s v="Elementary Grade Group K-6"/>
    <s v="PS43E21S"/>
    <s v="PSES Elem Prog21Duty43 S275"/>
    <n v="21"/>
    <x v="6"/>
    <n v="43"/>
    <m/>
    <s v="   "/>
    <n v="4.2300000000000004"/>
    <n v="0.31130000000000002"/>
    <n v="1.3169999999999999"/>
    <s v="Elementary Occupational Therapist"/>
    <x v="6"/>
  </r>
  <r>
    <s v="27402"/>
    <x v="185"/>
    <s v="Personnel"/>
    <s v="H "/>
    <s v="High Grade Group 9-12"/>
    <s v="PS43H21S"/>
    <s v="PSES High Prog21Duty43 S275"/>
    <n v="21"/>
    <x v="6"/>
    <n v="43"/>
    <m/>
    <s v="   "/>
    <n v="0.17699999999999999"/>
    <n v="0.31130000000000002"/>
    <n v="5.5E-2"/>
    <s v="High Occupational Therapist"/>
    <x v="6"/>
  </r>
  <r>
    <s v="27402"/>
    <x v="185"/>
    <s v="Personnel"/>
    <s v="M "/>
    <s v="Middle Grade Group 7-8"/>
    <s v="PS43M21S"/>
    <s v="PSES Mid Prog21Duty43 S275"/>
    <n v="21"/>
    <x v="6"/>
    <n v="43"/>
    <m/>
    <s v="   "/>
    <n v="6.3E-2"/>
    <n v="0.31130000000000002"/>
    <n v="0.02"/>
    <s v="Middle Occupational Therapist"/>
    <x v="6"/>
  </r>
  <r>
    <s v="27402"/>
    <x v="185"/>
    <s v="Personnel"/>
    <s v="E "/>
    <s v="Elementary Grade Group K-6"/>
    <s v="PS45E21S"/>
    <s v="PSES Elem Prog21Duty45 S275"/>
    <n v="21"/>
    <x v="7"/>
    <n v="45"/>
    <m/>
    <s v="   "/>
    <n v="7.3490000000000002"/>
    <n v="0.31130000000000002"/>
    <n v="2.2879999999999998"/>
    <s v="Elementary Speech, Language Pathway/_x000a_Audio"/>
    <x v="7"/>
  </r>
  <r>
    <s v="27402"/>
    <x v="185"/>
    <s v="Personnel"/>
    <s v="H "/>
    <s v="High Grade Group 9-12"/>
    <s v="PS45H21S"/>
    <s v="PSES High Prog21Duty45 S275"/>
    <n v="21"/>
    <x v="7"/>
    <n v="45"/>
    <m/>
    <s v="   "/>
    <n v="1.5940000000000001"/>
    <n v="0.31130000000000002"/>
    <n v="0.496"/>
    <s v="High Speech, Language Pathway/_x000a_Audio"/>
    <x v="7"/>
  </r>
  <r>
    <s v="27402"/>
    <x v="185"/>
    <s v="Personnel"/>
    <s v="M "/>
    <s v="Middle Grade Group 7-8"/>
    <s v="PS45M21S"/>
    <s v="PSES Mid Prog21Duty45 S275"/>
    <n v="21"/>
    <x v="7"/>
    <n v="45"/>
    <m/>
    <s v="   "/>
    <n v="0.45700000000000002"/>
    <n v="0.31130000000000002"/>
    <n v="0.14199999999999999"/>
    <s v="Middle Speech, Language Pathway/_x000a_Audio"/>
    <x v="7"/>
  </r>
  <r>
    <s v="27402"/>
    <x v="185"/>
    <s v="Personnel"/>
    <s v="E "/>
    <s v="Elementary Grade Group K-6"/>
    <s v="PS46E21S"/>
    <s v="PSES Elem Prog21Duty46 S275"/>
    <n v="21"/>
    <x v="8"/>
    <n v="46"/>
    <m/>
    <s v="   "/>
    <n v="6.4"/>
    <n v="0.31130000000000002"/>
    <n v="1.992"/>
    <s v="Elementary Psychologist"/>
    <x v="8"/>
  </r>
  <r>
    <s v="27402"/>
    <x v="185"/>
    <s v="Personnel"/>
    <s v="H "/>
    <s v="High Grade Group 9-12"/>
    <s v="PS46H21S"/>
    <s v="PSES High Prog21Duty46 S275"/>
    <n v="21"/>
    <x v="8"/>
    <n v="46"/>
    <m/>
    <s v="   "/>
    <n v="3"/>
    <n v="0.31130000000000002"/>
    <n v="0.93400000000000005"/>
    <s v="High Psychologist"/>
    <x v="8"/>
  </r>
  <r>
    <s v="27402"/>
    <x v="185"/>
    <s v="Personnel"/>
    <s v="E "/>
    <s v="Elementary Grade Group K-6"/>
    <s v="PS48E21S"/>
    <s v="PSES Elem Prog21Duty48 S275"/>
    <n v="21"/>
    <x v="11"/>
    <n v="48"/>
    <m/>
    <s v="   "/>
    <n v="1.877"/>
    <n v="0.31130000000000002"/>
    <n v="0.58399999999999996"/>
    <s v="Elementary Physical Therapist"/>
    <x v="11"/>
  </r>
  <r>
    <s v="27402"/>
    <x v="185"/>
    <s v="Personnel"/>
    <s v="H "/>
    <s v="High Grade Group 9-12"/>
    <s v="PS48H21S"/>
    <s v="PSES High Prog21Duty48 S275"/>
    <n v="21"/>
    <x v="11"/>
    <n v="48"/>
    <m/>
    <s v="   "/>
    <n v="0.23499999999999999"/>
    <n v="0.31130000000000002"/>
    <n v="7.2999999999999995E-2"/>
    <s v="High Physical Therapist"/>
    <x v="11"/>
  </r>
  <r>
    <s v="27403"/>
    <x v="186"/>
    <s v="Personnel"/>
    <s v="H "/>
    <s v="High Grade Group 9-12"/>
    <s v="PS24H21S"/>
    <s v="PSES High Prog21Duty96 S275"/>
    <n v="21"/>
    <x v="0"/>
    <n v="96"/>
    <n v="24"/>
    <s v="   "/>
    <n v="1"/>
    <n v="0.31690000000000002"/>
    <n v="0.317"/>
    <s v="High Family Engagement Coordinator"/>
    <x v="0"/>
  </r>
  <r>
    <s v="27403"/>
    <x v="186"/>
    <s v="Personnel"/>
    <s v="H "/>
    <s v="High Grade Group 9-12"/>
    <s v="PS25H21S"/>
    <s v="PSES High Prog21Act25 S275"/>
    <n v="21"/>
    <x v="1"/>
    <m/>
    <n v="25"/>
    <s v="   "/>
    <n v="18.294"/>
    <n v="0.31690000000000002"/>
    <n v="5.7969999999999997"/>
    <s v="High Pupil Management"/>
    <x v="1"/>
  </r>
  <r>
    <s v="27403"/>
    <x v="186"/>
    <s v="Personnel"/>
    <s v="H "/>
    <s v="High Grade Group 9-12"/>
    <s v="PS25HS"/>
    <s v="PSES High Prog01Act25 S275"/>
    <n v="1"/>
    <x v="1"/>
    <m/>
    <n v="25"/>
    <s v="   "/>
    <n v="20.783999999999999"/>
    <n v="0.31690000000000002"/>
    <n v="0"/>
    <s v="High Pupil Management"/>
    <x v="1"/>
  </r>
  <r>
    <s v="27403"/>
    <x v="186"/>
    <s v="Personnel"/>
    <s v="H "/>
    <s v="High Grade Group 9-12"/>
    <s v="PS26H21S"/>
    <s v="PSES High Prog21Act26 S275"/>
    <n v="21"/>
    <x v="2"/>
    <m/>
    <n v="26"/>
    <s v="   "/>
    <n v="11.35"/>
    <n v="0.31690000000000002"/>
    <n v="3.597"/>
    <s v="High Health/_x000a_Related Services"/>
    <x v="2"/>
  </r>
  <r>
    <s v="27403"/>
    <x v="186"/>
    <s v="Personnel"/>
    <s v="H "/>
    <s v="High Grade Group 9-12"/>
    <s v="PS26HS"/>
    <s v="PSES High Prog01Act26 S275"/>
    <n v="1"/>
    <x v="2"/>
    <m/>
    <n v="26"/>
    <s v="   "/>
    <n v="19.962"/>
    <n v="0.31690000000000002"/>
    <n v="0"/>
    <s v="High Health/_x000a_Related Services"/>
    <x v="2"/>
  </r>
  <r>
    <s v="27403"/>
    <x v="186"/>
    <s v="Personnel"/>
    <s v="H "/>
    <s v="High Grade Group 9-12"/>
    <s v="PS35HS"/>
    <s v="PSES High Prog01Act35 S275"/>
    <n v="1"/>
    <x v="3"/>
    <m/>
    <n v="35"/>
    <s v="   "/>
    <n v="12.162000000000001"/>
    <n v="0.31690000000000002"/>
    <n v="0"/>
    <s v="High Pupil Safety"/>
    <x v="3"/>
  </r>
  <r>
    <s v="27403"/>
    <x v="186"/>
    <s v="Personnel"/>
    <s v="E "/>
    <s v="Elementary Grade Group K-6"/>
    <s v="PS42ES"/>
    <s v="PSES Elem Prog01Duty42 S275"/>
    <n v="1"/>
    <x v="5"/>
    <n v="42"/>
    <m/>
    <s v="   "/>
    <n v="14.962"/>
    <n v="0.31690000000000002"/>
    <n v="0"/>
    <s v="Elementary Counselor"/>
    <x v="5"/>
  </r>
  <r>
    <s v="27403"/>
    <x v="186"/>
    <s v="Personnel"/>
    <s v="H "/>
    <s v="High Grade Group 9-12"/>
    <s v="PS42H21S"/>
    <s v="PSES High Prog21Duty42 S275"/>
    <n v="21"/>
    <x v="5"/>
    <n v="42"/>
    <m/>
    <s v="   "/>
    <n v="1"/>
    <n v="0.31690000000000002"/>
    <n v="0.317"/>
    <s v="High Counselor"/>
    <x v="5"/>
  </r>
  <r>
    <s v="27403"/>
    <x v="186"/>
    <s v="Personnel"/>
    <s v="H "/>
    <s v="High Grade Group 9-12"/>
    <s v="PS42HS"/>
    <s v="PSES High Prog01Duty42 S275"/>
    <n v="1"/>
    <x v="5"/>
    <n v="42"/>
    <m/>
    <s v="   "/>
    <n v="12.2"/>
    <n v="0.31690000000000002"/>
    <n v="0"/>
    <s v="High Counselor"/>
    <x v="5"/>
  </r>
  <r>
    <s v="27403"/>
    <x v="186"/>
    <s v="Personnel"/>
    <s v="M "/>
    <s v="Middle Grade Group 7-8"/>
    <s v="PS42MS"/>
    <s v="PSES Mid Prog01Duty42 S275"/>
    <n v="1"/>
    <x v="5"/>
    <n v="42"/>
    <m/>
    <s v="   "/>
    <n v="6.6379999999999999"/>
    <n v="0.31690000000000002"/>
    <n v="0"/>
    <s v="Middle Counselor"/>
    <x v="5"/>
  </r>
  <r>
    <s v="27403"/>
    <x v="186"/>
    <s v="Personnel"/>
    <s v="E "/>
    <s v="Elementary Grade Group K-6"/>
    <s v="PS43E21S"/>
    <s v="PSES Elem Prog21Duty43 S275"/>
    <n v="21"/>
    <x v="6"/>
    <n v="43"/>
    <m/>
    <s v="   "/>
    <n v="7.3410000000000002"/>
    <n v="0.31690000000000002"/>
    <n v="2.3260000000000001"/>
    <s v="Elementary Occupational Therapist"/>
    <x v="6"/>
  </r>
  <r>
    <s v="27403"/>
    <x v="186"/>
    <s v="Personnel"/>
    <s v="H "/>
    <s v="High Grade Group 9-12"/>
    <s v="PS43H21S"/>
    <s v="PSES High Prog21Duty43 S275"/>
    <n v="21"/>
    <x v="6"/>
    <n v="43"/>
    <m/>
    <s v="   "/>
    <n v="0.307"/>
    <n v="0.31690000000000002"/>
    <n v="9.7000000000000003E-2"/>
    <s v="High Occupational Therapist"/>
    <x v="6"/>
  </r>
  <r>
    <s v="27403"/>
    <x v="186"/>
    <s v="Personnel"/>
    <s v="M "/>
    <s v="Middle Grade Group 7-8"/>
    <s v="PS43M21S"/>
    <s v="PSES Mid Prog21Duty43 S275"/>
    <n v="21"/>
    <x v="6"/>
    <n v="43"/>
    <m/>
    <s v="   "/>
    <n v="0.73099999999999998"/>
    <n v="0.31690000000000002"/>
    <n v="0.23200000000000001"/>
    <s v="Middle Occupational Therapist"/>
    <x v="6"/>
  </r>
  <r>
    <s v="27403"/>
    <x v="186"/>
    <s v="Personnel"/>
    <s v="E "/>
    <s v="Elementary Grade Group K-6"/>
    <s v="PS44ES"/>
    <s v="PSES Elem Prog01Duty44 S275"/>
    <n v="1"/>
    <x v="13"/>
    <n v="44"/>
    <m/>
    <s v="   "/>
    <n v="8.8179999999999996"/>
    <n v="0.31690000000000002"/>
    <n v="0"/>
    <s v="Elementary Social Worker"/>
    <x v="13"/>
  </r>
  <r>
    <s v="27403"/>
    <x v="186"/>
    <s v="Personnel"/>
    <s v="H "/>
    <s v="High Grade Group 9-12"/>
    <s v="PS44HS"/>
    <s v="PSES High Prog01Duty44 S275"/>
    <n v="1"/>
    <x v="13"/>
    <n v="44"/>
    <m/>
    <s v="   "/>
    <n v="3.4"/>
    <n v="0.31690000000000002"/>
    <n v="0"/>
    <s v="High Social Worker"/>
    <x v="13"/>
  </r>
  <r>
    <s v="27403"/>
    <x v="186"/>
    <s v="Personnel"/>
    <s v="M "/>
    <s v="Middle Grade Group 7-8"/>
    <s v="PS44MS"/>
    <s v="PSES Mid Prog01Duty44 S275"/>
    <n v="1"/>
    <x v="13"/>
    <n v="44"/>
    <m/>
    <s v="   "/>
    <n v="2.4820000000000002"/>
    <n v="0.31690000000000002"/>
    <n v="0"/>
    <s v="Middle Social Worker"/>
    <x v="13"/>
  </r>
  <r>
    <s v="27403"/>
    <x v="186"/>
    <s v="Personnel"/>
    <s v="E "/>
    <s v="Elementary Grade Group K-6"/>
    <s v="PS45E21S"/>
    <s v="PSES Elem Prog21Duty45 S275"/>
    <n v="21"/>
    <x v="7"/>
    <n v="45"/>
    <m/>
    <s v="   "/>
    <n v="7.6"/>
    <n v="0.31690000000000002"/>
    <n v="2.4079999999999999"/>
    <s v="Elementary Speech, Language Pathway/_x000a_Audio"/>
    <x v="7"/>
  </r>
  <r>
    <s v="27403"/>
    <x v="186"/>
    <s v="Personnel"/>
    <s v="E "/>
    <s v="Elementary Grade Group K-6"/>
    <s v="PS46E21S"/>
    <s v="PSES Elem Prog21Duty46 S275"/>
    <n v="21"/>
    <x v="8"/>
    <n v="46"/>
    <m/>
    <s v="   "/>
    <n v="5.66"/>
    <n v="0.31690000000000002"/>
    <n v="1.794"/>
    <s v="Elementary Psychologist"/>
    <x v="8"/>
  </r>
  <r>
    <s v="27403"/>
    <x v="186"/>
    <s v="Personnel"/>
    <s v="H "/>
    <s v="High Grade Group 9-12"/>
    <s v="PS46H21S"/>
    <s v="PSES High Prog21Duty46 S275"/>
    <n v="21"/>
    <x v="8"/>
    <n v="46"/>
    <m/>
    <s v="   "/>
    <n v="1"/>
    <n v="0.31690000000000002"/>
    <n v="0.317"/>
    <s v="High Psychologist"/>
    <x v="8"/>
  </r>
  <r>
    <s v="27403"/>
    <x v="186"/>
    <s v="Personnel"/>
    <s v="M "/>
    <s v="Middle Grade Group 7-8"/>
    <s v="PS46M21S"/>
    <s v="PSES Mid Prog21Duty46 S275"/>
    <n v="21"/>
    <x v="8"/>
    <n v="46"/>
    <m/>
    <s v="   "/>
    <n v="1.34"/>
    <n v="0.31690000000000002"/>
    <n v="0.42499999999999999"/>
    <s v="Middle Psychologist"/>
    <x v="8"/>
  </r>
  <r>
    <s v="27403"/>
    <x v="186"/>
    <s v="Personnel"/>
    <s v="E "/>
    <s v="Elementary Grade Group K-6"/>
    <s v="PS47ES"/>
    <s v="PSES Elem Prog01Duty47 S275"/>
    <n v="1"/>
    <x v="9"/>
    <n v="47"/>
    <m/>
    <s v="   "/>
    <n v="11.964"/>
    <n v="0.31690000000000002"/>
    <n v="0"/>
    <s v="Elementary Nurse"/>
    <x v="9"/>
  </r>
  <r>
    <s v="27403"/>
    <x v="186"/>
    <s v="Personnel"/>
    <s v="H "/>
    <s v="High Grade Group 9-12"/>
    <s v="PS47HS"/>
    <s v="PSES High Prog01Duty47 S275"/>
    <n v="1"/>
    <x v="9"/>
    <n v="47"/>
    <m/>
    <s v="   "/>
    <n v="3.1240000000000001"/>
    <n v="0.31690000000000002"/>
    <n v="0"/>
    <s v="High Nurse"/>
    <x v="9"/>
  </r>
  <r>
    <s v="27403"/>
    <x v="186"/>
    <s v="Personnel"/>
    <s v="M "/>
    <s v="Middle Grade Group 7-8"/>
    <s v="PS47MS"/>
    <s v="PSES Mid Prog01Duty47 S275"/>
    <n v="1"/>
    <x v="9"/>
    <n v="47"/>
    <m/>
    <s v="   "/>
    <n v="1.712"/>
    <n v="0.31690000000000002"/>
    <n v="0"/>
    <s v="Middle Nurse"/>
    <x v="9"/>
  </r>
  <r>
    <s v="27403"/>
    <x v="186"/>
    <s v="Personnel"/>
    <s v="E "/>
    <s v="Elementary Grade Group K-6"/>
    <s v="PS48E21S"/>
    <s v="PSES Elem Prog21Duty48 S275"/>
    <n v="21"/>
    <x v="11"/>
    <n v="48"/>
    <m/>
    <s v="   "/>
    <n v="1.62"/>
    <n v="0.31690000000000002"/>
    <n v="0.51300000000000001"/>
    <s v="Elementary Physical Therapist"/>
    <x v="11"/>
  </r>
  <r>
    <s v="27403"/>
    <x v="186"/>
    <s v="Personnel"/>
    <s v="H "/>
    <s v="High Grade Group 9-12"/>
    <s v="PS48H21S"/>
    <s v="PSES High Prog21Duty48 S275"/>
    <n v="21"/>
    <x v="11"/>
    <n v="48"/>
    <m/>
    <s v="   "/>
    <n v="0.93"/>
    <n v="0.31690000000000002"/>
    <n v="0.29499999999999998"/>
    <s v="High Physical Therapist"/>
    <x v="11"/>
  </r>
  <r>
    <s v="27403"/>
    <x v="186"/>
    <s v="Personnel"/>
    <s v="M "/>
    <s v="Middle Grade Group 7-8"/>
    <s v="PS48M21S"/>
    <s v="PSES Mid Prog21Duty48 S275"/>
    <n v="21"/>
    <x v="11"/>
    <n v="48"/>
    <m/>
    <s v="   "/>
    <n v="0.45"/>
    <n v="0.31690000000000002"/>
    <n v="0.14299999999999999"/>
    <s v="Middle Physical Therapist"/>
    <x v="11"/>
  </r>
  <r>
    <s v="27403"/>
    <x v="186"/>
    <s v="Personnel"/>
    <s v="E "/>
    <s v="Elementary Grade Group K-6"/>
    <s v="PS64E21S"/>
    <s v="PSES Elem Prog21Duty64 S275"/>
    <n v="21"/>
    <x v="12"/>
    <n v="64"/>
    <m/>
    <s v="   "/>
    <n v="23.225000000000001"/>
    <n v="0.31690000000000002"/>
    <n v="7.36"/>
    <s v="Elementary Contractor ESA"/>
    <x v="12"/>
  </r>
  <r>
    <s v="27403"/>
    <x v="186"/>
    <s v="Personnel"/>
    <s v="H "/>
    <s v="High Grade Group 9-12"/>
    <s v="PS64H21S"/>
    <s v="PSES High Prog21Duty64 S275"/>
    <n v="21"/>
    <x v="12"/>
    <n v="64"/>
    <m/>
    <s v="   "/>
    <n v="1.9610000000000001"/>
    <n v="0.31690000000000002"/>
    <n v="0.621"/>
    <s v="High Contractor ESA"/>
    <x v="12"/>
  </r>
  <r>
    <s v="27403"/>
    <x v="186"/>
    <s v="Personnel"/>
    <s v="M "/>
    <s v="Middle Grade Group 7-8"/>
    <s v="PS64M21S"/>
    <s v="PSES Mid Prog21Duty64 S275"/>
    <n v="21"/>
    <x v="12"/>
    <n v="64"/>
    <m/>
    <s v="   "/>
    <n v="7.6139999999999999"/>
    <n v="0.31690000000000002"/>
    <n v="2.4129999999999998"/>
    <s v="Middle Contractor ESA"/>
    <x v="12"/>
  </r>
  <r>
    <s v="27403"/>
    <x v="186"/>
    <s v="Personnel"/>
    <m/>
    <s v="Elementary Grade Group K-6"/>
    <s v="PS26E09S"/>
    <s v="PSES Elem Prog09Duty26 S275"/>
    <n v="9"/>
    <x v="2"/>
    <n v="91"/>
    <n v="26"/>
    <m/>
    <n v="0.36199999999999999"/>
    <n v="0.31690000000000002"/>
    <n v="0"/>
    <s v="TK Health/_x000a_Related Services"/>
    <x v="2"/>
  </r>
  <r>
    <s v="27403"/>
    <x v="186"/>
    <s v="Personnel"/>
    <m/>
    <s v="Elementary Grade Group K-6"/>
    <s v="PS26E09S"/>
    <s v="PSES Elem Prog09Duty26 S275"/>
    <n v="9"/>
    <x v="2"/>
    <n v="91"/>
    <n v="26"/>
    <m/>
    <n v="0.36199999999999999"/>
    <n v="0.31690000000000002"/>
    <n v="0"/>
    <s v="TK Health/_x000a_Related Services"/>
    <x v="2"/>
  </r>
  <r>
    <s v="27404"/>
    <x v="187"/>
    <s v="Personnel"/>
    <s v="E "/>
    <s v="Elementary Grade Group K-6"/>
    <s v="PS25ES"/>
    <s v="PSES Elem Prog01Act25 S275"/>
    <n v="1"/>
    <x v="1"/>
    <m/>
    <n v="25"/>
    <s v="   "/>
    <n v="0.83399999999999996"/>
    <n v="0.26800000000000002"/>
    <n v="0"/>
    <s v="Elementary Pupil Management"/>
    <x v="1"/>
  </r>
  <r>
    <s v="27404"/>
    <x v="187"/>
    <s v="Personnel"/>
    <s v="H "/>
    <s v="High Grade Group 9-12"/>
    <s v="PS25H21S"/>
    <s v="PSES High Prog21Act25 S275"/>
    <n v="21"/>
    <x v="1"/>
    <m/>
    <n v="25"/>
    <s v="   "/>
    <n v="1.0720000000000001"/>
    <n v="0.26800000000000002"/>
    <n v="0.28699999999999998"/>
    <s v="High Pupil Management"/>
    <x v="1"/>
  </r>
  <r>
    <s v="27404"/>
    <x v="187"/>
    <s v="Personnel"/>
    <s v="H "/>
    <s v="High Grade Group 9-12"/>
    <s v="PS25HS"/>
    <s v="PSES High Prog01Act25 S275"/>
    <n v="1"/>
    <x v="1"/>
    <m/>
    <n v="25"/>
    <s v="   "/>
    <n v="2.028"/>
    <n v="0.26800000000000002"/>
    <n v="0"/>
    <s v="High Pupil Management"/>
    <x v="1"/>
  </r>
  <r>
    <s v="27404"/>
    <x v="187"/>
    <s v="Personnel"/>
    <s v="E "/>
    <s v="Elementary Grade Group K-6"/>
    <s v="PS26ES"/>
    <s v="PSES Elem Prog01Act26 S275"/>
    <n v="1"/>
    <x v="2"/>
    <m/>
    <n v="26"/>
    <s v="   "/>
    <n v="0.872"/>
    <n v="0.26800000000000002"/>
    <n v="0"/>
    <s v="Elementary Health/_x000a_Related Services"/>
    <x v="2"/>
  </r>
  <r>
    <s v="27404"/>
    <x v="187"/>
    <s v="Personnel"/>
    <s v="H "/>
    <s v="High Grade Group 9-12"/>
    <s v="PS26H21S"/>
    <s v="PSES High Prog21Act26 S275"/>
    <n v="21"/>
    <x v="2"/>
    <m/>
    <n v="26"/>
    <s v="   "/>
    <n v="0.56599999999999995"/>
    <n v="0.26800000000000002"/>
    <n v="0.152"/>
    <s v="High Health/_x000a_Related Services"/>
    <x v="2"/>
  </r>
  <r>
    <s v="27404"/>
    <x v="187"/>
    <s v="Personnel"/>
    <s v="H "/>
    <s v="High Grade Group 9-12"/>
    <s v="PS26HS"/>
    <s v="PSES High Prog01Act26 S275"/>
    <n v="1"/>
    <x v="2"/>
    <m/>
    <n v="26"/>
    <s v="   "/>
    <n v="0.878"/>
    <n v="0.26800000000000002"/>
    <n v="0"/>
    <s v="High Health/_x000a_Related Services"/>
    <x v="2"/>
  </r>
  <r>
    <s v="27404"/>
    <x v="187"/>
    <s v="Personnel"/>
    <s v="M "/>
    <s v="Middle Grade Group 7-8"/>
    <s v="PS26MS"/>
    <s v="PSES Mid Prog01Act26 S275"/>
    <n v="1"/>
    <x v="2"/>
    <m/>
    <n v="26"/>
    <s v="   "/>
    <n v="0.27500000000000002"/>
    <n v="0.26800000000000002"/>
    <n v="0"/>
    <s v="Middle Health/_x000a_Related Services"/>
    <x v="2"/>
  </r>
  <r>
    <s v="27404"/>
    <x v="187"/>
    <s v="Personnel"/>
    <s v="E "/>
    <s v="Elementary Grade Group K-6"/>
    <s v="PS42ES"/>
    <s v="PSES Elem Prog01Duty42 S275"/>
    <n v="1"/>
    <x v="5"/>
    <n v="42"/>
    <m/>
    <s v="   "/>
    <n v="2.617"/>
    <n v="0.26800000000000002"/>
    <n v="0"/>
    <s v="Elementary Counselor"/>
    <x v="5"/>
  </r>
  <r>
    <s v="27404"/>
    <x v="187"/>
    <s v="Personnel"/>
    <s v="H "/>
    <s v="High Grade Group 9-12"/>
    <s v="PS42HS"/>
    <s v="PSES High Prog01Duty42 S275"/>
    <n v="1"/>
    <x v="5"/>
    <n v="42"/>
    <m/>
    <s v="   "/>
    <n v="1.3"/>
    <n v="0.26800000000000002"/>
    <n v="0"/>
    <s v="High Counselor"/>
    <x v="5"/>
  </r>
  <r>
    <s v="27404"/>
    <x v="187"/>
    <s v="Personnel"/>
    <s v="E "/>
    <s v="Elementary Grade Group K-6"/>
    <s v="PS44ES"/>
    <s v="PSES Elem Prog01Duty44 S275"/>
    <n v="1"/>
    <x v="13"/>
    <n v="44"/>
    <m/>
    <s v="   "/>
    <n v="0.2"/>
    <n v="0.26800000000000002"/>
    <n v="0"/>
    <s v="Elementary Social Worker"/>
    <x v="13"/>
  </r>
  <r>
    <s v="27404"/>
    <x v="187"/>
    <s v="Personnel"/>
    <s v="M "/>
    <s v="Middle Grade Group 7-8"/>
    <s v="PS44MS"/>
    <s v="PSES Mid Prog01Duty44 S275"/>
    <n v="1"/>
    <x v="13"/>
    <n v="44"/>
    <m/>
    <s v="   "/>
    <n v="1.55"/>
    <n v="0.26800000000000002"/>
    <n v="0"/>
    <s v="Middle Social Worker"/>
    <x v="13"/>
  </r>
  <r>
    <s v="27404"/>
    <x v="187"/>
    <s v="Personnel"/>
    <s v="E "/>
    <s v="Elementary Grade Group K-6"/>
    <s v="PS45E21S"/>
    <s v="PSES Elem Prog21Duty45 S275"/>
    <n v="21"/>
    <x v="7"/>
    <n v="45"/>
    <m/>
    <s v="   "/>
    <n v="1"/>
    <n v="0.26800000000000002"/>
    <n v="0.26800000000000002"/>
    <s v="Elementary Speech, Language Pathway/_x000a_Audio"/>
    <x v="7"/>
  </r>
  <r>
    <s v="27404"/>
    <x v="187"/>
    <s v="Personnel"/>
    <s v="E "/>
    <s v="Elementary Grade Group K-6"/>
    <s v="PS46E21S"/>
    <s v="PSES Elem Prog21Duty46 S275"/>
    <n v="21"/>
    <x v="8"/>
    <n v="46"/>
    <m/>
    <s v="   "/>
    <n v="0.25"/>
    <n v="0.26800000000000002"/>
    <n v="6.7000000000000004E-2"/>
    <s v="Elementary Psychologist"/>
    <x v="8"/>
  </r>
  <r>
    <s v="27404"/>
    <x v="187"/>
    <s v="Personnel"/>
    <s v="E "/>
    <s v="Elementary Grade Group K-6"/>
    <s v="PS46ES"/>
    <s v="PSES Elem Prog01Duty46 S275"/>
    <n v="1"/>
    <x v="8"/>
    <n v="46"/>
    <m/>
    <s v="   "/>
    <n v="0.1"/>
    <n v="0.26800000000000002"/>
    <n v="0"/>
    <s v="Elementary Psychologist"/>
    <x v="8"/>
  </r>
  <r>
    <s v="27404"/>
    <x v="187"/>
    <s v="Personnel"/>
    <s v="H "/>
    <s v="High Grade Group 9-12"/>
    <s v="PS46H21S"/>
    <s v="PSES High Prog21Duty46 S275"/>
    <n v="21"/>
    <x v="8"/>
    <n v="46"/>
    <m/>
    <s v="   "/>
    <n v="0.23"/>
    <n v="0.26800000000000002"/>
    <n v="6.2E-2"/>
    <s v="High Psychologist"/>
    <x v="8"/>
  </r>
  <r>
    <s v="27404"/>
    <x v="187"/>
    <s v="Personnel"/>
    <s v="H "/>
    <s v="High Grade Group 9-12"/>
    <s v="PS46HS"/>
    <s v="PSES High Prog01Duty46 S275"/>
    <n v="1"/>
    <x v="8"/>
    <n v="46"/>
    <m/>
    <s v="   "/>
    <n v="0.1"/>
    <n v="0.26800000000000002"/>
    <n v="0"/>
    <s v="High Psychologist"/>
    <x v="8"/>
  </r>
  <r>
    <s v="27404"/>
    <x v="187"/>
    <s v="Personnel"/>
    <s v="M "/>
    <s v="Middle Grade Group 7-8"/>
    <s v="PS46M21S"/>
    <s v="PSES Mid Prog21Duty46 S275"/>
    <n v="21"/>
    <x v="8"/>
    <n v="46"/>
    <m/>
    <s v="   "/>
    <n v="0.22"/>
    <n v="0.26800000000000002"/>
    <n v="5.8999999999999997E-2"/>
    <s v="Middle Psychologist"/>
    <x v="8"/>
  </r>
  <r>
    <s v="27404"/>
    <x v="187"/>
    <s v="Personnel"/>
    <s v="M "/>
    <s v="Middle Grade Group 7-8"/>
    <s v="PS46MS"/>
    <s v="PSES Mid Prog01Duty46 S275"/>
    <n v="1"/>
    <x v="8"/>
    <n v="46"/>
    <m/>
    <s v="   "/>
    <n v="0.1"/>
    <n v="0.26800000000000002"/>
    <n v="0"/>
    <s v="Middle Psychologist"/>
    <x v="8"/>
  </r>
  <r>
    <s v="27404"/>
    <x v="187"/>
    <s v="Personnel"/>
    <s v="E "/>
    <s v="Elementary Grade Group K-6"/>
    <s v="PS47ES"/>
    <s v="PSES Elem Prog01Duty47 S275"/>
    <n v="1"/>
    <x v="9"/>
    <n v="47"/>
    <m/>
    <s v="   "/>
    <n v="0.39400000000000002"/>
    <n v="0.26800000000000002"/>
    <n v="0"/>
    <s v="Elementary Nurse"/>
    <x v="9"/>
  </r>
  <r>
    <s v="27404"/>
    <x v="187"/>
    <s v="Personnel"/>
    <s v="E "/>
    <s v="Elementary Grade Group K-6"/>
    <s v="PS64E21S"/>
    <s v="PSES Elem Prog21Duty64 S275"/>
    <n v="21"/>
    <x v="12"/>
    <n v="64"/>
    <m/>
    <s v="   "/>
    <n v="0.5"/>
    <n v="0.26800000000000002"/>
    <n v="0.13400000000000001"/>
    <s v="Elementary Contractor ESA"/>
    <x v="12"/>
  </r>
  <r>
    <s v="27416"/>
    <x v="188"/>
    <s v="Personnel"/>
    <s v="H "/>
    <s v="High Grade Group 9-12"/>
    <s v="PS24HS"/>
    <s v="PSES High Prog01Duty96 S275"/>
    <n v="1"/>
    <x v="0"/>
    <n v="96"/>
    <n v="24"/>
    <s v="   "/>
    <n v="9.2999999999999999E-2"/>
    <n v="0.24840000000000001"/>
    <n v="0"/>
    <s v="High Family Engagement Coordinator"/>
    <x v="0"/>
  </r>
  <r>
    <s v="27416"/>
    <x v="188"/>
    <s v="Personnel"/>
    <s v="E "/>
    <s v="Elementary Grade Group K-6"/>
    <s v="PS25ES"/>
    <s v="PSES Elem Prog01Act25 S275"/>
    <n v="1"/>
    <x v="1"/>
    <m/>
    <n v="25"/>
    <s v="   "/>
    <n v="5.0519999999999996"/>
    <n v="0.24840000000000001"/>
    <n v="0"/>
    <s v="Elementary Pupil Management"/>
    <x v="1"/>
  </r>
  <r>
    <s v="27416"/>
    <x v="188"/>
    <s v="Personnel"/>
    <s v="H "/>
    <s v="High Grade Group 9-12"/>
    <s v="PS25H21S"/>
    <s v="PSES High Prog21Act25 S275"/>
    <n v="21"/>
    <x v="1"/>
    <m/>
    <n v="25"/>
    <s v="   "/>
    <n v="3.0870000000000002"/>
    <n v="0.24840000000000001"/>
    <n v="0.76700000000000002"/>
    <s v="High Pupil Management"/>
    <x v="1"/>
  </r>
  <r>
    <s v="27416"/>
    <x v="188"/>
    <s v="Personnel"/>
    <s v="M "/>
    <s v="Middle Grade Group 7-8"/>
    <s v="PS25MS"/>
    <s v="PSES Mid Prog01Act25 S275"/>
    <n v="1"/>
    <x v="1"/>
    <m/>
    <n v="25"/>
    <s v="   "/>
    <n v="0.45300000000000001"/>
    <n v="0.24840000000000001"/>
    <n v="0"/>
    <s v="Middle Pupil Management"/>
    <x v="1"/>
  </r>
  <r>
    <s v="27416"/>
    <x v="188"/>
    <s v="Personnel"/>
    <s v="E "/>
    <s v="Elementary Grade Group K-6"/>
    <s v="PS26ES"/>
    <s v="PSES Elem Prog01Act26 S275"/>
    <n v="1"/>
    <x v="2"/>
    <m/>
    <n v="26"/>
    <s v="   "/>
    <n v="3.9969999999999999"/>
    <n v="0.24840000000000001"/>
    <n v="0"/>
    <s v="Elementary Health/_x000a_Related Services"/>
    <x v="2"/>
  </r>
  <r>
    <s v="27416"/>
    <x v="188"/>
    <s v="Personnel"/>
    <s v="H "/>
    <s v="High Grade Group 9-12"/>
    <s v="PS26HS"/>
    <s v="PSES High Prog01Act26 S275"/>
    <n v="1"/>
    <x v="2"/>
    <m/>
    <n v="26"/>
    <s v="   "/>
    <n v="0.93300000000000005"/>
    <n v="0.24840000000000001"/>
    <n v="0"/>
    <s v="High Health/_x000a_Related Services"/>
    <x v="2"/>
  </r>
  <r>
    <s v="27416"/>
    <x v="188"/>
    <s v="Personnel"/>
    <s v="M "/>
    <s v="Middle Grade Group 7-8"/>
    <s v="PS26MS"/>
    <s v="PSES Mid Prog01Act26 S275"/>
    <n v="1"/>
    <x v="2"/>
    <m/>
    <n v="26"/>
    <s v="   "/>
    <n v="0.56399999999999995"/>
    <n v="0.24840000000000001"/>
    <n v="0"/>
    <s v="Middle Health/_x000a_Related Services"/>
    <x v="2"/>
  </r>
  <r>
    <s v="27416"/>
    <x v="188"/>
    <s v="Personnel"/>
    <s v="E "/>
    <s v="Elementary Grade Group K-6"/>
    <s v="PS35ES"/>
    <s v="PSES Elem Prog01Act35 S275"/>
    <n v="1"/>
    <x v="3"/>
    <m/>
    <n v="35"/>
    <s v="   "/>
    <n v="0.66700000000000004"/>
    <n v="0.24840000000000001"/>
    <n v="0"/>
    <s v="Elementary Pupil Safety"/>
    <x v="3"/>
  </r>
  <r>
    <s v="27416"/>
    <x v="188"/>
    <s v="Personnel"/>
    <s v="H "/>
    <s v="High Grade Group 9-12"/>
    <s v="PS35HS"/>
    <s v="PSES High Prog01Act35 S275"/>
    <n v="1"/>
    <x v="3"/>
    <m/>
    <n v="35"/>
    <s v="   "/>
    <n v="1.5529999999999999"/>
    <n v="0.24840000000000001"/>
    <n v="0"/>
    <s v="High Pupil Safety"/>
    <x v="3"/>
  </r>
  <r>
    <s v="27416"/>
    <x v="188"/>
    <s v="Personnel"/>
    <s v="M "/>
    <s v="Middle Grade Group 7-8"/>
    <s v="PS35MS"/>
    <s v="PSES Mid Prog01Act35 S275"/>
    <n v="1"/>
    <x v="3"/>
    <m/>
    <n v="35"/>
    <s v="   "/>
    <n v="0.54400000000000004"/>
    <n v="0.24840000000000001"/>
    <n v="0"/>
    <s v="Middle Pupil Safety"/>
    <x v="3"/>
  </r>
  <r>
    <s v="27416"/>
    <x v="188"/>
    <s v="Personnel"/>
    <s v="E "/>
    <s v="Elementary Grade Group K-6"/>
    <s v="PS42ES"/>
    <s v="PSES Elem Prog01Duty42 S275"/>
    <n v="1"/>
    <x v="5"/>
    <n v="42"/>
    <m/>
    <s v="   "/>
    <n v="4.8499999999999996"/>
    <n v="0.24840000000000001"/>
    <n v="0"/>
    <s v="Elementary Counselor"/>
    <x v="5"/>
  </r>
  <r>
    <s v="27416"/>
    <x v="188"/>
    <s v="Personnel"/>
    <s v="H "/>
    <s v="High Grade Group 9-12"/>
    <s v="PS42HS"/>
    <s v="PSES High Prog01Duty42 S275"/>
    <n v="1"/>
    <x v="5"/>
    <n v="42"/>
    <m/>
    <s v="   "/>
    <n v="3.25"/>
    <n v="0.24840000000000001"/>
    <n v="0"/>
    <s v="High Counselor"/>
    <x v="5"/>
  </r>
  <r>
    <s v="27416"/>
    <x v="188"/>
    <s v="Personnel"/>
    <s v="M "/>
    <s v="Middle Grade Group 7-8"/>
    <s v="PS42MS"/>
    <s v="PSES Mid Prog01Duty42 S275"/>
    <n v="1"/>
    <x v="5"/>
    <n v="42"/>
    <m/>
    <s v="   "/>
    <n v="2"/>
    <n v="0.24840000000000001"/>
    <n v="0"/>
    <s v="Middle Counselor"/>
    <x v="5"/>
  </r>
  <r>
    <s v="27416"/>
    <x v="188"/>
    <s v="Personnel"/>
    <s v="E "/>
    <s v="Elementary Grade Group K-6"/>
    <s v="PS43E21S"/>
    <s v="PSES Elem Prog21Duty43 S275"/>
    <n v="21"/>
    <x v="6"/>
    <n v="43"/>
    <m/>
    <s v="   "/>
    <n v="1"/>
    <n v="0.24840000000000001"/>
    <n v="0.248"/>
    <s v="Elementary Occupational Therapist"/>
    <x v="6"/>
  </r>
  <r>
    <s v="27416"/>
    <x v="188"/>
    <s v="Personnel"/>
    <s v="E "/>
    <s v="Elementary Grade Group K-6"/>
    <s v="PS44E21S"/>
    <s v="PSES Elem Prog21Duty44 S275"/>
    <n v="21"/>
    <x v="13"/>
    <n v="44"/>
    <m/>
    <s v="   "/>
    <n v="0.63"/>
    <n v="0.24840000000000001"/>
    <n v="0.156"/>
    <s v="Elementary Social Worker"/>
    <x v="13"/>
  </r>
  <r>
    <s v="27416"/>
    <x v="188"/>
    <s v="Personnel"/>
    <s v="H "/>
    <s v="High Grade Group 9-12"/>
    <s v="PS44HS"/>
    <s v="PSES High Prog01Duty44 S275"/>
    <n v="1"/>
    <x v="13"/>
    <n v="44"/>
    <m/>
    <s v="   "/>
    <n v="1"/>
    <n v="0.24840000000000001"/>
    <n v="0"/>
    <s v="High Social Worker"/>
    <x v="13"/>
  </r>
  <r>
    <s v="27416"/>
    <x v="188"/>
    <s v="Personnel"/>
    <s v="E "/>
    <s v="Elementary Grade Group K-6"/>
    <s v="PS45E21S"/>
    <s v="PSES Elem Prog21Duty45 S275"/>
    <n v="21"/>
    <x v="7"/>
    <n v="45"/>
    <m/>
    <s v="   "/>
    <n v="5.4630000000000001"/>
    <n v="0.24840000000000001"/>
    <n v="1.357"/>
    <s v="Elementary Speech, Language Pathway/_x000a_Audio"/>
    <x v="7"/>
  </r>
  <r>
    <s v="27416"/>
    <x v="188"/>
    <s v="Personnel"/>
    <s v="H "/>
    <s v="High Grade Group 9-12"/>
    <s v="PS45H21S"/>
    <s v="PSES High Prog21Duty45 S275"/>
    <n v="21"/>
    <x v="7"/>
    <n v="45"/>
    <m/>
    <s v="   "/>
    <n v="0.313"/>
    <n v="0.24840000000000001"/>
    <n v="7.8E-2"/>
    <s v="High Speech, Language Pathway/_x000a_Audio"/>
    <x v="7"/>
  </r>
  <r>
    <s v="27416"/>
    <x v="188"/>
    <s v="Personnel"/>
    <s v="M "/>
    <s v="Middle Grade Group 7-8"/>
    <s v="PS45M21S"/>
    <s v="PSES Mid Prog21Duty45 S275"/>
    <n v="21"/>
    <x v="7"/>
    <n v="45"/>
    <m/>
    <s v="   "/>
    <n v="0.49399999999999999"/>
    <n v="0.24840000000000001"/>
    <n v="0.123"/>
    <s v="Middle Speech, Language Pathway/_x000a_Audio"/>
    <x v="7"/>
  </r>
  <r>
    <s v="27416"/>
    <x v="188"/>
    <s v="Personnel"/>
    <s v="E "/>
    <s v="Elementary Grade Group K-6"/>
    <s v="PS46E21S"/>
    <s v="PSES Elem Prog21Duty46 S275"/>
    <n v="21"/>
    <x v="8"/>
    <n v="46"/>
    <m/>
    <s v="   "/>
    <n v="4.3"/>
    <n v="0.24840000000000001"/>
    <n v="1.0680000000000001"/>
    <s v="Elementary Psychologist"/>
    <x v="8"/>
  </r>
  <r>
    <s v="27416"/>
    <x v="188"/>
    <s v="Personnel"/>
    <s v="H "/>
    <s v="High Grade Group 9-12"/>
    <s v="PS46H21S"/>
    <s v="PSES High Prog21Duty46 S275"/>
    <n v="21"/>
    <x v="8"/>
    <n v="46"/>
    <m/>
    <s v="   "/>
    <n v="1"/>
    <n v="0.24840000000000001"/>
    <n v="0.248"/>
    <s v="High Psychologist"/>
    <x v="8"/>
  </r>
  <r>
    <s v="27416"/>
    <x v="188"/>
    <s v="Personnel"/>
    <s v="M "/>
    <s v="Middle Grade Group 7-8"/>
    <s v="PS46M21S"/>
    <s v="PSES Mid Prog21Duty46 S275"/>
    <n v="21"/>
    <x v="8"/>
    <n v="46"/>
    <m/>
    <s v="   "/>
    <n v="1"/>
    <n v="0.24840000000000001"/>
    <n v="0.248"/>
    <s v="Middle Psychologist"/>
    <x v="8"/>
  </r>
  <r>
    <s v="27416"/>
    <x v="188"/>
    <s v="Personnel"/>
    <s v="T"/>
    <s v="Elementary Grade Group K-6"/>
    <s v="PS42E09S"/>
    <s v="PSES Elem Prog09Duty42 S275"/>
    <n v="9"/>
    <x v="5"/>
    <n v="42"/>
    <n v="24"/>
    <m/>
    <n v="0.15"/>
    <n v="0.24840000000000001"/>
    <n v="0"/>
    <s v="TK Counselor"/>
    <x v="5"/>
  </r>
  <r>
    <s v="27417"/>
    <x v="189"/>
    <s v="Personnel"/>
    <s v="H "/>
    <s v="High Grade Group 9-12"/>
    <s v="PS25H21S"/>
    <s v="PSES High Prog21Act25 S275"/>
    <n v="21"/>
    <x v="1"/>
    <m/>
    <n v="25"/>
    <s v="   "/>
    <n v="2.589"/>
    <n v="0.31140000000000001"/>
    <n v="0.80600000000000005"/>
    <s v="High Pupil Management"/>
    <x v="1"/>
  </r>
  <r>
    <s v="27417"/>
    <x v="189"/>
    <s v="Personnel"/>
    <s v="H "/>
    <s v="High Grade Group 9-12"/>
    <s v="PS25HS"/>
    <s v="PSES High Prog01Act25 S275"/>
    <n v="1"/>
    <x v="1"/>
    <m/>
    <n v="25"/>
    <s v="   "/>
    <n v="2.2919999999999998"/>
    <n v="0.31140000000000001"/>
    <n v="0"/>
    <s v="High Pupil Management"/>
    <x v="1"/>
  </r>
  <r>
    <s v="27417"/>
    <x v="189"/>
    <s v="Personnel"/>
    <s v="H "/>
    <s v="High Grade Group 9-12"/>
    <s v="PS26H21S"/>
    <s v="PSES High Prog21Act26 S275"/>
    <n v="21"/>
    <x v="2"/>
    <m/>
    <n v="26"/>
    <s v="   "/>
    <n v="0.68500000000000005"/>
    <n v="0.31140000000000001"/>
    <n v="0.21299999999999999"/>
    <s v="High Health/_x000a_Related Services"/>
    <x v="2"/>
  </r>
  <r>
    <s v="27417"/>
    <x v="189"/>
    <s v="Personnel"/>
    <s v="H "/>
    <s v="High Grade Group 9-12"/>
    <s v="PS26HS"/>
    <s v="PSES High Prog01Act26 S275"/>
    <n v="1"/>
    <x v="2"/>
    <m/>
    <n v="26"/>
    <s v="   "/>
    <n v="1.278"/>
    <n v="0.31140000000000001"/>
    <n v="0"/>
    <s v="High Health/_x000a_Related Services"/>
    <x v="2"/>
  </r>
  <r>
    <s v="27417"/>
    <x v="189"/>
    <s v="Personnel"/>
    <s v="H "/>
    <s v="High Grade Group 9-12"/>
    <s v="PS35HS"/>
    <s v="PSES High Prog01Act35 S275"/>
    <n v="1"/>
    <x v="3"/>
    <m/>
    <n v="35"/>
    <s v="   "/>
    <n v="2.2770000000000001"/>
    <n v="0.31140000000000001"/>
    <n v="0"/>
    <s v="High Pupil Safety"/>
    <x v="3"/>
  </r>
  <r>
    <s v="27417"/>
    <x v="189"/>
    <s v="Personnel"/>
    <s v="E "/>
    <s v="Elementary Grade Group K-6"/>
    <s v="PS42ES"/>
    <s v="PSES Elem Prog01Duty42 S275"/>
    <n v="1"/>
    <x v="5"/>
    <n v="42"/>
    <m/>
    <s v="   "/>
    <n v="4"/>
    <n v="0.31140000000000001"/>
    <n v="0"/>
    <s v="Elementary Counselor"/>
    <x v="5"/>
  </r>
  <r>
    <s v="27417"/>
    <x v="189"/>
    <s v="Personnel"/>
    <s v="H "/>
    <s v="High Grade Group 9-12"/>
    <s v="PS42HS"/>
    <s v="PSES High Prog01Duty42 S275"/>
    <n v="1"/>
    <x v="5"/>
    <n v="42"/>
    <m/>
    <s v="   "/>
    <n v="3.54"/>
    <n v="0.31140000000000001"/>
    <n v="0"/>
    <s v="High Counselor"/>
    <x v="5"/>
  </r>
  <r>
    <s v="27417"/>
    <x v="189"/>
    <s v="Personnel"/>
    <s v="M "/>
    <s v="Middle Grade Group 7-8"/>
    <s v="PS42MS"/>
    <s v="PSES Mid Prog01Duty42 S275"/>
    <n v="1"/>
    <x v="5"/>
    <n v="42"/>
    <m/>
    <s v="   "/>
    <n v="2.96"/>
    <n v="0.31140000000000001"/>
    <n v="0"/>
    <s v="Middle Counselor"/>
    <x v="5"/>
  </r>
  <r>
    <s v="27417"/>
    <x v="189"/>
    <s v="Personnel"/>
    <s v="E "/>
    <s v="Elementary Grade Group K-6"/>
    <s v="PS43E21S"/>
    <s v="PSES Elem Prog21Duty43 S275"/>
    <n v="21"/>
    <x v="6"/>
    <n v="43"/>
    <m/>
    <s v="   "/>
    <n v="0.54"/>
    <n v="0.31140000000000001"/>
    <n v="0.16800000000000001"/>
    <s v="Elementary Occupational Therapist"/>
    <x v="6"/>
  </r>
  <r>
    <s v="27417"/>
    <x v="189"/>
    <s v="Personnel"/>
    <s v="H "/>
    <s v="High Grade Group 9-12"/>
    <s v="PS43H21S"/>
    <s v="PSES High Prog21Duty43 S275"/>
    <n v="21"/>
    <x v="6"/>
    <n v="43"/>
    <m/>
    <s v="   "/>
    <n v="0.31"/>
    <n v="0.31140000000000001"/>
    <n v="9.7000000000000003E-2"/>
    <s v="High Occupational Therapist"/>
    <x v="6"/>
  </r>
  <r>
    <s v="27417"/>
    <x v="189"/>
    <s v="Personnel"/>
    <s v="M "/>
    <s v="Middle Grade Group 7-8"/>
    <s v="PS43M21S"/>
    <s v="PSES Mid Prog21Duty43 S275"/>
    <n v="21"/>
    <x v="6"/>
    <n v="43"/>
    <m/>
    <s v="   "/>
    <n v="0.15"/>
    <n v="0.31140000000000001"/>
    <n v="4.7E-2"/>
    <s v="Middle Occupational Therapist"/>
    <x v="6"/>
  </r>
  <r>
    <s v="27417"/>
    <x v="189"/>
    <s v="Personnel"/>
    <s v="E "/>
    <s v="Elementary Grade Group K-6"/>
    <s v="PS45E21S"/>
    <s v="PSES Elem Prog21Duty45 S275"/>
    <n v="21"/>
    <x v="7"/>
    <n v="45"/>
    <m/>
    <s v="   "/>
    <n v="3.7469999999999999"/>
    <n v="0.31140000000000001"/>
    <n v="1.167"/>
    <s v="Elementary Speech, Language Pathway/_x000a_Audio"/>
    <x v="7"/>
  </r>
  <r>
    <s v="27417"/>
    <x v="189"/>
    <s v="Personnel"/>
    <s v="H "/>
    <s v="High Grade Group 9-12"/>
    <s v="PS45H21S"/>
    <s v="PSES High Prog21Duty45 S275"/>
    <n v="21"/>
    <x v="7"/>
    <n v="45"/>
    <m/>
    <s v="   "/>
    <n v="0.5"/>
    <n v="0.31140000000000001"/>
    <n v="0.156"/>
    <s v="High Speech, Language Pathway/_x000a_Audio"/>
    <x v="7"/>
  </r>
  <r>
    <s v="27417"/>
    <x v="189"/>
    <s v="Personnel"/>
    <s v="M "/>
    <s v="Middle Grade Group 7-8"/>
    <s v="PS45M21S"/>
    <s v="PSES Mid Prog21Duty45 S275"/>
    <n v="21"/>
    <x v="7"/>
    <n v="45"/>
    <m/>
    <s v="   "/>
    <n v="1.0469999999999999"/>
    <n v="0.31140000000000001"/>
    <n v="0.32600000000000001"/>
    <s v="Middle Speech, Language Pathway/_x000a_Audio"/>
    <x v="7"/>
  </r>
  <r>
    <s v="27417"/>
    <x v="189"/>
    <s v="Personnel"/>
    <s v="E "/>
    <s v="Elementary Grade Group K-6"/>
    <s v="PS46E21S"/>
    <s v="PSES Elem Prog21Duty46 S275"/>
    <n v="21"/>
    <x v="8"/>
    <n v="46"/>
    <m/>
    <s v="   "/>
    <n v="1.75"/>
    <n v="0.31140000000000001"/>
    <n v="0.54500000000000004"/>
    <s v="Elementary Psychologist"/>
    <x v="8"/>
  </r>
  <r>
    <s v="27417"/>
    <x v="189"/>
    <s v="Personnel"/>
    <s v="H "/>
    <s v="High Grade Group 9-12"/>
    <s v="PS46H21S"/>
    <s v="PSES High Prog21Duty46 S275"/>
    <n v="21"/>
    <x v="8"/>
    <n v="46"/>
    <m/>
    <s v="   "/>
    <n v="0.5"/>
    <n v="0.31140000000000001"/>
    <n v="0.156"/>
    <s v="High Psychologist"/>
    <x v="8"/>
  </r>
  <r>
    <s v="27417"/>
    <x v="189"/>
    <s v="Personnel"/>
    <s v="M "/>
    <s v="Middle Grade Group 7-8"/>
    <s v="PS46M21S"/>
    <s v="PSES Mid Prog21Duty46 S275"/>
    <n v="21"/>
    <x v="8"/>
    <n v="46"/>
    <m/>
    <s v="   "/>
    <n v="1.766"/>
    <n v="0.31140000000000001"/>
    <n v="0.55000000000000004"/>
    <s v="Middle Psychologist"/>
    <x v="8"/>
  </r>
  <r>
    <s v="27417"/>
    <x v="189"/>
    <s v="Personnel"/>
    <s v="E "/>
    <s v="Elementary Grade Group K-6"/>
    <s v="PS47ES"/>
    <s v="PSES Elem Prog01Duty47 S275"/>
    <n v="1"/>
    <x v="9"/>
    <n v="47"/>
    <m/>
    <s v="   "/>
    <n v="2"/>
    <n v="0.31140000000000001"/>
    <n v="0"/>
    <s v="Elementary Nurse"/>
    <x v="9"/>
  </r>
  <r>
    <s v="27417"/>
    <x v="189"/>
    <s v="Personnel"/>
    <s v="H "/>
    <s v="High Grade Group 9-12"/>
    <s v="PS47HS"/>
    <s v="PSES High Prog01Duty47 S275"/>
    <n v="1"/>
    <x v="9"/>
    <n v="47"/>
    <m/>
    <s v="   "/>
    <n v="0.5"/>
    <n v="0.31140000000000001"/>
    <n v="0"/>
    <s v="High Nurse"/>
    <x v="9"/>
  </r>
  <r>
    <s v="27417"/>
    <x v="189"/>
    <s v="Personnel"/>
    <s v="M "/>
    <s v="Middle Grade Group 7-8"/>
    <s v="PS47MS"/>
    <s v="PSES Mid Prog01Duty47 S275"/>
    <n v="1"/>
    <x v="9"/>
    <n v="47"/>
    <m/>
    <s v="   "/>
    <n v="0.5"/>
    <n v="0.31140000000000001"/>
    <n v="0"/>
    <s v="Middle Nurse"/>
    <x v="9"/>
  </r>
  <r>
    <s v="27417"/>
    <x v="189"/>
    <s v="Personnel"/>
    <s v="E "/>
    <s v="Elementary Grade Group K-6"/>
    <s v="PS48E21S"/>
    <s v="PSES Elem Prog21Duty48 S275"/>
    <n v="21"/>
    <x v="11"/>
    <n v="48"/>
    <m/>
    <s v="   "/>
    <n v="0.27"/>
    <n v="0.31140000000000001"/>
    <n v="8.4000000000000005E-2"/>
    <s v="Elementary Physical Therapist"/>
    <x v="11"/>
  </r>
  <r>
    <s v="27417"/>
    <x v="189"/>
    <s v="Personnel"/>
    <s v="H "/>
    <s v="High Grade Group 9-12"/>
    <s v="PS48H21S"/>
    <s v="PSES High Prog21Duty48 S275"/>
    <n v="21"/>
    <x v="11"/>
    <n v="48"/>
    <m/>
    <s v="   "/>
    <n v="0.155"/>
    <n v="0.31140000000000001"/>
    <n v="4.8000000000000001E-2"/>
    <s v="High Physical Therapist"/>
    <x v="11"/>
  </r>
  <r>
    <s v="27417"/>
    <x v="189"/>
    <s v="Personnel"/>
    <s v="M "/>
    <s v="Middle Grade Group 7-8"/>
    <s v="PS48M21S"/>
    <s v="PSES Mid Prog21Duty48 S275"/>
    <n v="21"/>
    <x v="11"/>
    <n v="48"/>
    <m/>
    <s v="   "/>
    <n v="7.4999999999999997E-2"/>
    <n v="0.31140000000000001"/>
    <n v="2.3E-2"/>
    <s v="Middle Physical Therapist"/>
    <x v="11"/>
  </r>
  <r>
    <s v="27901"/>
    <x v="190"/>
    <s v="Personnel"/>
    <s v="H "/>
    <s v="High Grade Group 9-12"/>
    <s v="PS26H21S"/>
    <s v="PSES High Prog21Act26 S275"/>
    <n v="21"/>
    <x v="2"/>
    <m/>
    <n v="26"/>
    <s v="   "/>
    <n v="1.462"/>
    <n v="0.14860000000000001"/>
    <n v="0.217"/>
    <s v="High Health/_x000a_Related Services"/>
    <x v="2"/>
  </r>
  <r>
    <s v="27901"/>
    <x v="190"/>
    <s v="Personnel"/>
    <s v="H "/>
    <s v="High Grade Group 9-12"/>
    <s v="PS35HS"/>
    <s v="PSES High Prog01Act35 S275"/>
    <n v="1"/>
    <x v="3"/>
    <m/>
    <n v="35"/>
    <s v="   "/>
    <n v="2"/>
    <n v="0.14860000000000001"/>
    <n v="0"/>
    <s v="High Pupil Safety"/>
    <x v="3"/>
  </r>
  <r>
    <s v="27901"/>
    <x v="190"/>
    <s v="Personnel"/>
    <s v="H "/>
    <s v="High Grade Group 9-12"/>
    <s v="PS42HS"/>
    <s v="PSES High Prog01Duty42 S275"/>
    <n v="1"/>
    <x v="5"/>
    <n v="42"/>
    <m/>
    <s v="   "/>
    <n v="2.0270000000000001"/>
    <n v="0.14860000000000001"/>
    <n v="0"/>
    <s v="High Counselor"/>
    <x v="5"/>
  </r>
  <r>
    <s v="27901"/>
    <x v="190"/>
    <s v="Personnel"/>
    <s v="M "/>
    <s v="Middle Grade Group 7-8"/>
    <s v="PS42MS"/>
    <s v="PSES Mid Prog01Duty42 S275"/>
    <n v="1"/>
    <x v="5"/>
    <n v="42"/>
    <m/>
    <s v="   "/>
    <n v="2.0270000000000001"/>
    <n v="0.14860000000000001"/>
    <n v="0"/>
    <s v="Middle Counselor"/>
    <x v="5"/>
  </r>
  <r>
    <s v="27901"/>
    <x v="190"/>
    <s v="Personnel"/>
    <s v="E "/>
    <s v="Elementary Grade Group K-6"/>
    <s v="PS45E21S"/>
    <s v="PSES Elem Prog21Duty45 S275"/>
    <n v="21"/>
    <x v="7"/>
    <n v="45"/>
    <m/>
    <s v="   "/>
    <n v="0.4"/>
    <n v="0.14860000000000001"/>
    <n v="5.8999999999999997E-2"/>
    <s v="Elementary Speech, Language Pathway/_x000a_Audio"/>
    <x v="7"/>
  </r>
  <r>
    <s v="27901"/>
    <x v="190"/>
    <s v="Personnel"/>
    <s v="H "/>
    <s v="High Grade Group 9-12"/>
    <s v="PS45H21S"/>
    <s v="PSES High Prog21Duty45 S275"/>
    <n v="21"/>
    <x v="7"/>
    <n v="45"/>
    <m/>
    <s v="   "/>
    <n v="0.2"/>
    <n v="0.14860000000000001"/>
    <n v="0.03"/>
    <s v="High Speech, Language Pathway/_x000a_Audio"/>
    <x v="7"/>
  </r>
  <r>
    <s v="27901"/>
    <x v="190"/>
    <s v="Personnel"/>
    <s v="M "/>
    <s v="Middle Grade Group 7-8"/>
    <s v="PS45M21S"/>
    <s v="PSES Mid Prog21Duty45 S275"/>
    <n v="21"/>
    <x v="7"/>
    <n v="45"/>
    <m/>
    <s v="   "/>
    <n v="0.2"/>
    <n v="0.14860000000000001"/>
    <n v="0.03"/>
    <s v="Middle Speech, Language Pathway/_x000a_Audio"/>
    <x v="7"/>
  </r>
  <r>
    <s v="27902"/>
    <x v="191"/>
    <s v="Personnel"/>
    <s v="E "/>
    <s v="Elementary Grade Group K-6"/>
    <s v="PS24ES"/>
    <s v="PSES Elem Prog01Duty96 S275"/>
    <n v="1"/>
    <x v="0"/>
    <n v="96"/>
    <n v="24"/>
    <s v="   "/>
    <n v="1"/>
    <n v="0.15"/>
    <n v="0"/>
    <s v="Elementary Family Engagement Coordinator"/>
    <x v="0"/>
  </r>
  <r>
    <s v="27902"/>
    <x v="191"/>
    <s v="Personnel"/>
    <s v="E "/>
    <s v="Elementary Grade Group K-6"/>
    <s v="PS64E21S"/>
    <s v="PSES Elem Prog21Duty64 S275"/>
    <n v="21"/>
    <x v="12"/>
    <n v="64"/>
    <m/>
    <s v="   "/>
    <n v="2.6"/>
    <n v="0.15"/>
    <n v="0.39"/>
    <s v="Elementary Contractor ESA"/>
    <x v="12"/>
  </r>
  <r>
    <s v="27905"/>
    <x v="192"/>
    <s v="Personnel"/>
    <s v="H "/>
    <s v="High Grade Group 9-12"/>
    <s v="PS47HS"/>
    <s v="PSES High Prog01Duty47 S275"/>
    <n v="1"/>
    <x v="9"/>
    <n v="47"/>
    <m/>
    <s v="   "/>
    <n v="1"/>
    <n v="0.13"/>
    <n v="0"/>
    <s v="High Nurse"/>
    <x v="9"/>
  </r>
  <r>
    <s v="28137"/>
    <x v="193"/>
    <s v="Personnel"/>
    <s v="H "/>
    <s v="High Grade Group 9-12"/>
    <s v="PS26H21S"/>
    <s v="PSES High Prog21Act26 S275"/>
    <n v="21"/>
    <x v="2"/>
    <m/>
    <n v="26"/>
    <s v="   "/>
    <n v="0.19800000000000001"/>
    <n v="0.1227"/>
    <n v="2.4E-2"/>
    <s v="High Health/_x000a_Related Services"/>
    <x v="2"/>
  </r>
  <r>
    <s v="28137"/>
    <x v="193"/>
    <s v="Personnel"/>
    <s v="H "/>
    <s v="High Grade Group 9-12"/>
    <s v="PS26HS"/>
    <s v="PSES High Prog01Act26 S275"/>
    <n v="1"/>
    <x v="2"/>
    <m/>
    <n v="26"/>
    <s v="   "/>
    <n v="0.60899999999999999"/>
    <n v="0.1227"/>
    <n v="0"/>
    <s v="High Health/_x000a_Related Services"/>
    <x v="2"/>
  </r>
  <r>
    <s v="28137"/>
    <x v="193"/>
    <s v="Personnel"/>
    <s v="H "/>
    <s v="High Grade Group 9-12"/>
    <s v="PS42HS"/>
    <s v="PSES High Prog01Duty42 S275"/>
    <n v="1"/>
    <x v="5"/>
    <n v="42"/>
    <m/>
    <s v="   "/>
    <n v="0.8"/>
    <n v="0.1227"/>
    <n v="0"/>
    <s v="High Counselor"/>
    <x v="5"/>
  </r>
  <r>
    <s v="28137"/>
    <x v="193"/>
    <s v="Personnel"/>
    <s v="M "/>
    <s v="Middle Grade Group 7-8"/>
    <s v="PS42MS"/>
    <s v="PSES Mid Prog01Duty42 S275"/>
    <n v="1"/>
    <x v="5"/>
    <n v="42"/>
    <m/>
    <s v="   "/>
    <n v="0.2"/>
    <n v="0.1227"/>
    <n v="0"/>
    <s v="Middle Counselor"/>
    <x v="5"/>
  </r>
  <r>
    <s v="28137"/>
    <x v="193"/>
    <s v="Personnel"/>
    <s v="E "/>
    <s v="Elementary Grade Group K-6"/>
    <s v="PS43E21S"/>
    <s v="PSES Elem Prog21Duty43 S275"/>
    <n v="21"/>
    <x v="6"/>
    <n v="43"/>
    <m/>
    <s v="   "/>
    <n v="1"/>
    <n v="0.1227"/>
    <n v="0.123"/>
    <s v="Elementary Occupational Therapist"/>
    <x v="6"/>
  </r>
  <r>
    <s v="28144"/>
    <x v="194"/>
    <s v="Personnel"/>
    <s v="H "/>
    <s v="High Grade Group 9-12"/>
    <s v="PS26HS"/>
    <s v="PSES High Prog01Act26 S275"/>
    <n v="1"/>
    <x v="2"/>
    <m/>
    <n v="26"/>
    <s v="   "/>
    <n v="0.72299999999999998"/>
    <n v="0.1832"/>
    <n v="0"/>
    <s v="High Health/_x000a_Related Services"/>
    <x v="2"/>
  </r>
  <r>
    <s v="28144"/>
    <x v="194"/>
    <s v="Personnel"/>
    <s v="E "/>
    <s v="Elementary Grade Group K-6"/>
    <s v="PS42ES"/>
    <s v="PSES Elem Prog01Duty42 S275"/>
    <n v="1"/>
    <x v="5"/>
    <n v="42"/>
    <m/>
    <s v="   "/>
    <n v="0.54"/>
    <n v="0.1832"/>
    <n v="0"/>
    <s v="Elementary Counselor"/>
    <x v="5"/>
  </r>
  <r>
    <s v="28144"/>
    <x v="194"/>
    <s v="Personnel"/>
    <s v="H "/>
    <s v="High Grade Group 9-12"/>
    <s v="PS42HS"/>
    <s v="PSES High Prog01Duty42 S275"/>
    <n v="1"/>
    <x v="5"/>
    <n v="42"/>
    <m/>
    <s v="   "/>
    <n v="0.31"/>
    <n v="0.1832"/>
    <n v="0"/>
    <s v="High Counselor"/>
    <x v="5"/>
  </r>
  <r>
    <s v="28144"/>
    <x v="194"/>
    <s v="Personnel"/>
    <s v="M "/>
    <s v="Middle Grade Group 7-8"/>
    <s v="PS42MS"/>
    <s v="PSES Mid Prog01Duty42 S275"/>
    <n v="1"/>
    <x v="5"/>
    <n v="42"/>
    <m/>
    <s v="   "/>
    <n v="0.15"/>
    <n v="0.1832"/>
    <n v="0"/>
    <s v="Middle Counselor"/>
    <x v="5"/>
  </r>
  <r>
    <s v="28144"/>
    <x v="194"/>
    <s v="Personnel"/>
    <s v="E "/>
    <s v="Elementary Grade Group K-6"/>
    <s v="PS45E21S"/>
    <s v="PSES Elem Prog21Duty45 S275"/>
    <n v="21"/>
    <x v="7"/>
    <n v="45"/>
    <m/>
    <s v="   "/>
    <n v="0.3"/>
    <n v="0.1832"/>
    <n v="5.5E-2"/>
    <s v="Elementary Speech, Language Pathway/_x000a_Audio"/>
    <x v="7"/>
  </r>
  <r>
    <s v="28144"/>
    <x v="194"/>
    <s v="Personnel"/>
    <s v="H "/>
    <s v="High Grade Group 9-12"/>
    <s v="PS45H21S"/>
    <s v="PSES High Prog21Duty45 S275"/>
    <n v="21"/>
    <x v="7"/>
    <n v="45"/>
    <m/>
    <s v="   "/>
    <n v="0.18"/>
    <n v="0.1832"/>
    <n v="3.3000000000000002E-2"/>
    <s v="High Speech, Language Pathway/_x000a_Audio"/>
    <x v="7"/>
  </r>
  <r>
    <s v="28144"/>
    <x v="194"/>
    <s v="Personnel"/>
    <s v="M "/>
    <s v="Middle Grade Group 7-8"/>
    <s v="PS45M21S"/>
    <s v="PSES Mid Prog21Duty45 S275"/>
    <n v="21"/>
    <x v="7"/>
    <n v="45"/>
    <m/>
    <s v="   "/>
    <n v="0.12"/>
    <n v="0.1832"/>
    <n v="2.1999999999999999E-2"/>
    <s v="Middle Speech, Language Pathway/_x000a_Audio"/>
    <x v="7"/>
  </r>
  <r>
    <s v="28149"/>
    <x v="195"/>
    <s v="Personnel"/>
    <s v="H "/>
    <s v="High Grade Group 9-12"/>
    <s v="PS25HS"/>
    <s v="PSES High Prog01Act25 S275"/>
    <n v="1"/>
    <x v="1"/>
    <m/>
    <n v="25"/>
    <s v="   "/>
    <n v="9.1999999999999998E-2"/>
    <n v="0.15529999999999999"/>
    <n v="0"/>
    <s v="High Pupil Management"/>
    <x v="1"/>
  </r>
  <r>
    <s v="28149"/>
    <x v="195"/>
    <s v="Personnel"/>
    <s v="E "/>
    <s v="Elementary Grade Group K-6"/>
    <s v="PS42ES"/>
    <s v="PSES Elem Prog01Duty42 S275"/>
    <n v="1"/>
    <x v="5"/>
    <n v="42"/>
    <m/>
    <s v="   "/>
    <n v="1"/>
    <n v="0.15529999999999999"/>
    <n v="0"/>
    <s v="Elementary Counselor"/>
    <x v="5"/>
  </r>
  <r>
    <s v="28149"/>
    <x v="195"/>
    <s v="Personnel"/>
    <s v="H "/>
    <s v="High Grade Group 9-12"/>
    <s v="PS42HS"/>
    <s v="PSES High Prog01Duty42 S275"/>
    <n v="1"/>
    <x v="5"/>
    <n v="42"/>
    <m/>
    <s v="   "/>
    <n v="1"/>
    <n v="0.15529999999999999"/>
    <n v="0"/>
    <s v="High Counselor"/>
    <x v="5"/>
  </r>
  <r>
    <s v="28149"/>
    <x v="195"/>
    <s v="Personnel"/>
    <s v="M "/>
    <s v="Middle Grade Group 7-8"/>
    <s v="PS42MS"/>
    <s v="PSES Mid Prog01Duty42 S275"/>
    <n v="1"/>
    <x v="5"/>
    <n v="42"/>
    <m/>
    <s v="   "/>
    <n v="1"/>
    <n v="0.15529999999999999"/>
    <n v="0"/>
    <s v="Middle Counselor"/>
    <x v="5"/>
  </r>
  <r>
    <s v="28149"/>
    <x v="195"/>
    <s v="Personnel"/>
    <s v="E "/>
    <s v="Elementary Grade Group K-6"/>
    <s v="PS43E21S"/>
    <s v="PSES Elem Prog21Duty43 S275"/>
    <n v="21"/>
    <x v="6"/>
    <n v="43"/>
    <m/>
    <s v="   "/>
    <n v="0.5"/>
    <n v="0.15529999999999999"/>
    <n v="7.8E-2"/>
    <s v="Elementary Occupational Therapist"/>
    <x v="6"/>
  </r>
  <r>
    <s v="28149"/>
    <x v="195"/>
    <s v="Personnel"/>
    <s v="H "/>
    <s v="High Grade Group 9-12"/>
    <s v="PS43H21S"/>
    <s v="PSES High Prog21Duty43 S275"/>
    <n v="21"/>
    <x v="6"/>
    <n v="43"/>
    <m/>
    <s v="   "/>
    <n v="0.5"/>
    <n v="0.15529999999999999"/>
    <n v="7.8E-2"/>
    <s v="High Occupational Therapist"/>
    <x v="6"/>
  </r>
  <r>
    <s v="28149"/>
    <x v="195"/>
    <s v="Personnel"/>
    <s v="E "/>
    <s v="Elementary Grade Group K-6"/>
    <s v="PS45E21S"/>
    <s v="PSES Elem Prog21Duty45 S275"/>
    <n v="21"/>
    <x v="7"/>
    <n v="45"/>
    <m/>
    <s v="   "/>
    <n v="1"/>
    <n v="0.15529999999999999"/>
    <n v="0.155"/>
    <s v="Elementary Speech, Language Pathway/_x000a_Audio"/>
    <x v="7"/>
  </r>
  <r>
    <s v="28149"/>
    <x v="195"/>
    <s v="Personnel"/>
    <s v="E "/>
    <s v="Elementary Grade Group K-6"/>
    <s v="PS47ES"/>
    <s v="PSES Elem Prog01Duty47 S275"/>
    <n v="1"/>
    <x v="9"/>
    <n v="47"/>
    <m/>
    <s v="   "/>
    <n v="0.35"/>
    <n v="0.15529999999999999"/>
    <n v="0"/>
    <s v="Elementary Nurse"/>
    <x v="9"/>
  </r>
  <r>
    <s v="28149"/>
    <x v="195"/>
    <s v="Personnel"/>
    <s v="H "/>
    <s v="High Grade Group 9-12"/>
    <s v="PS47HS"/>
    <s v="PSES High Prog01Duty47 S275"/>
    <n v="1"/>
    <x v="9"/>
    <n v="47"/>
    <m/>
    <s v="   "/>
    <n v="0.3"/>
    <n v="0.15529999999999999"/>
    <n v="0"/>
    <s v="High Nurse"/>
    <x v="9"/>
  </r>
  <r>
    <s v="28149"/>
    <x v="195"/>
    <s v="Personnel"/>
    <s v="M "/>
    <s v="Middle Grade Group 7-8"/>
    <s v="PS47MS"/>
    <s v="PSES Mid Prog01Duty47 S275"/>
    <n v="1"/>
    <x v="9"/>
    <n v="47"/>
    <m/>
    <s v="   "/>
    <n v="0.35"/>
    <n v="0.15529999999999999"/>
    <n v="0"/>
    <s v="Middle Nurse"/>
    <x v="9"/>
  </r>
  <r>
    <s v="29011"/>
    <x v="196"/>
    <s v="Personnel"/>
    <s v="H "/>
    <s v="High Grade Group 9-12"/>
    <s v="PS25HS"/>
    <s v="PSES High Prog01Act25 S275"/>
    <n v="1"/>
    <x v="1"/>
    <m/>
    <n v="25"/>
    <s v="   "/>
    <n v="0.64200000000000002"/>
    <n v="0.17449999999999999"/>
    <n v="0"/>
    <s v="High Pupil Management"/>
    <x v="1"/>
  </r>
  <r>
    <s v="29011"/>
    <x v="196"/>
    <s v="Personnel"/>
    <s v="H "/>
    <s v="High Grade Group 9-12"/>
    <s v="PS26HS"/>
    <s v="PSES High Prog01Act26 S275"/>
    <n v="1"/>
    <x v="2"/>
    <m/>
    <n v="26"/>
    <s v="   "/>
    <n v="1.1299999999999999"/>
    <n v="0.17449999999999999"/>
    <n v="0"/>
    <s v="High Health/_x000a_Related Services"/>
    <x v="2"/>
  </r>
  <r>
    <s v="29011"/>
    <x v="196"/>
    <s v="Personnel"/>
    <s v="E "/>
    <s v="Elementary Grade Group K-6"/>
    <s v="PS42ES"/>
    <s v="PSES Elem Prog01Duty42 S275"/>
    <n v="1"/>
    <x v="5"/>
    <n v="42"/>
    <m/>
    <s v="   "/>
    <n v="0.8"/>
    <n v="0.17449999999999999"/>
    <n v="0"/>
    <s v="Elementary Counselor"/>
    <x v="5"/>
  </r>
  <r>
    <s v="29011"/>
    <x v="196"/>
    <s v="Personnel"/>
    <s v="H "/>
    <s v="High Grade Group 9-12"/>
    <s v="PS42HS"/>
    <s v="PSES High Prog01Duty42 S275"/>
    <n v="1"/>
    <x v="5"/>
    <n v="42"/>
    <m/>
    <s v="   "/>
    <n v="0.12"/>
    <n v="0.17449999999999999"/>
    <n v="0"/>
    <s v="High Counselor"/>
    <x v="5"/>
  </r>
  <r>
    <s v="29011"/>
    <x v="196"/>
    <s v="Personnel"/>
    <s v="M "/>
    <s v="Middle Grade Group 7-8"/>
    <s v="PS42MS"/>
    <s v="PSES Mid Prog01Duty42 S275"/>
    <n v="1"/>
    <x v="5"/>
    <n v="42"/>
    <m/>
    <s v="   "/>
    <n v="0.08"/>
    <n v="0.17449999999999999"/>
    <n v="0"/>
    <s v="Middle Counselor"/>
    <x v="5"/>
  </r>
  <r>
    <s v="29011"/>
    <x v="196"/>
    <s v="Personnel"/>
    <s v="E "/>
    <s v="Elementary Grade Group K-6"/>
    <s v="PS49E21S"/>
    <s v="PSES Elem Prog21Duty49 S275"/>
    <n v="21"/>
    <x v="10"/>
    <n v="49"/>
    <m/>
    <s v="   "/>
    <n v="0.25"/>
    <n v="0.17449999999999999"/>
    <n v="4.3999999999999997E-2"/>
    <s v="Elementary Behavior Analyst"/>
    <x v="10"/>
  </r>
  <r>
    <s v="29011"/>
    <x v="196"/>
    <s v="Personnel"/>
    <s v="H "/>
    <s v="High Grade Group 9-12"/>
    <s v="PS49H21S"/>
    <s v="PSES High Prog21Duty49 S275"/>
    <n v="21"/>
    <x v="10"/>
    <n v="49"/>
    <m/>
    <s v="   "/>
    <n v="0.15"/>
    <n v="0.17449999999999999"/>
    <n v="2.5999999999999999E-2"/>
    <s v="High Behavior Analyst"/>
    <x v="10"/>
  </r>
  <r>
    <s v="29100"/>
    <x v="197"/>
    <s v="Personnel"/>
    <s v="H "/>
    <s v="High Grade Group 9-12"/>
    <s v="PS24HS"/>
    <s v="PSES High Prog01Duty96 S275"/>
    <n v="1"/>
    <x v="0"/>
    <n v="96"/>
    <n v="24"/>
    <s v="   "/>
    <n v="2.6629999999999998"/>
    <n v="0.21199999999999999"/>
    <n v="0"/>
    <s v="High Family Engagement Coordinator"/>
    <x v="0"/>
  </r>
  <r>
    <s v="29100"/>
    <x v="197"/>
    <s v="Personnel"/>
    <s v="E "/>
    <s v="Elementary Grade Group K-6"/>
    <s v="PS26ES"/>
    <s v="PSES Elem Prog01Act26 S275"/>
    <n v="1"/>
    <x v="2"/>
    <m/>
    <n v="26"/>
    <s v="   "/>
    <n v="0.46200000000000002"/>
    <n v="0.21199999999999999"/>
    <n v="0"/>
    <s v="Elementary Health/_x000a_Related Services"/>
    <x v="2"/>
  </r>
  <r>
    <s v="29100"/>
    <x v="197"/>
    <s v="Personnel"/>
    <s v="H "/>
    <s v="High Grade Group 9-12"/>
    <s v="PS26H21S"/>
    <s v="PSES High Prog21Act26 S275"/>
    <n v="21"/>
    <x v="2"/>
    <m/>
    <n v="26"/>
    <s v="   "/>
    <n v="0.57399999999999995"/>
    <n v="0.21199999999999999"/>
    <n v="0.122"/>
    <s v="High Health/_x000a_Related Services"/>
    <x v="2"/>
  </r>
  <r>
    <s v="29100"/>
    <x v="197"/>
    <s v="Personnel"/>
    <s v="H "/>
    <s v="High Grade Group 9-12"/>
    <s v="PS26HS"/>
    <s v="PSES High Prog01Act26 S275"/>
    <n v="1"/>
    <x v="2"/>
    <m/>
    <n v="26"/>
    <s v="   "/>
    <n v="2.42"/>
    <n v="0.21199999999999999"/>
    <n v="0"/>
    <s v="High Health/_x000a_Related Services"/>
    <x v="2"/>
  </r>
  <r>
    <s v="29100"/>
    <x v="197"/>
    <s v="Personnel"/>
    <s v="H "/>
    <s v="High Grade Group 9-12"/>
    <s v="PS35H97S"/>
    <s v="PSES High Prog97Act35 S275"/>
    <n v="97"/>
    <x v="3"/>
    <m/>
    <n v="35"/>
    <s v="   "/>
    <n v="1.232"/>
    <n v="0.21199999999999999"/>
    <n v="0"/>
    <s v="High Pupil Safety"/>
    <x v="3"/>
  </r>
  <r>
    <s v="29100"/>
    <x v="197"/>
    <s v="Personnel"/>
    <s v="H "/>
    <s v="High Grade Group 9-12"/>
    <s v="PS35HS"/>
    <s v="PSES High Prog01Act35 S275"/>
    <n v="1"/>
    <x v="3"/>
    <m/>
    <n v="35"/>
    <s v="   "/>
    <n v="4.3999999999999997E-2"/>
    <n v="0.21199999999999999"/>
    <n v="0"/>
    <s v="High Pupil Safety"/>
    <x v="3"/>
  </r>
  <r>
    <s v="29100"/>
    <x v="197"/>
    <s v="Personnel"/>
    <s v="E "/>
    <s v="Elementary Grade Group K-6"/>
    <s v="PS42ES"/>
    <s v="PSES Elem Prog01Duty42 S275"/>
    <n v="1"/>
    <x v="5"/>
    <n v="42"/>
    <m/>
    <s v="   "/>
    <n v="4.2030000000000003"/>
    <n v="0.21199999999999999"/>
    <n v="0"/>
    <s v="Elementary Counselor"/>
    <x v="5"/>
  </r>
  <r>
    <s v="29100"/>
    <x v="197"/>
    <s v="Personnel"/>
    <s v="H "/>
    <s v="High Grade Group 9-12"/>
    <s v="PS42HS"/>
    <s v="PSES High Prog01Duty42 S275"/>
    <n v="1"/>
    <x v="5"/>
    <n v="42"/>
    <m/>
    <s v="   "/>
    <n v="3.5"/>
    <n v="0.21199999999999999"/>
    <n v="0"/>
    <s v="High Counselor"/>
    <x v="5"/>
  </r>
  <r>
    <s v="29100"/>
    <x v="197"/>
    <s v="Personnel"/>
    <s v="M "/>
    <s v="Middle Grade Group 7-8"/>
    <s v="PS42MS"/>
    <s v="PSES Mid Prog01Duty42 S275"/>
    <n v="1"/>
    <x v="5"/>
    <n v="42"/>
    <m/>
    <s v="   "/>
    <n v="1.0169999999999999"/>
    <n v="0.21199999999999999"/>
    <n v="0"/>
    <s v="Middle Counselor"/>
    <x v="5"/>
  </r>
  <r>
    <s v="29100"/>
    <x v="197"/>
    <s v="Personnel"/>
    <s v="E "/>
    <s v="Elementary Grade Group K-6"/>
    <s v="PS43E21S"/>
    <s v="PSES Elem Prog21Duty43 S275"/>
    <n v="21"/>
    <x v="6"/>
    <n v="43"/>
    <m/>
    <s v="   "/>
    <n v="1.9590000000000001"/>
    <n v="0.21199999999999999"/>
    <n v="0.41499999999999998"/>
    <s v="Elementary Occupational Therapist"/>
    <x v="6"/>
  </r>
  <r>
    <s v="29100"/>
    <x v="197"/>
    <s v="Personnel"/>
    <s v="H "/>
    <s v="High Grade Group 9-12"/>
    <s v="PS43H21S"/>
    <s v="PSES High Prog21Duty43 S275"/>
    <n v="21"/>
    <x v="6"/>
    <n v="43"/>
    <m/>
    <s v="   "/>
    <n v="0.16"/>
    <n v="0.21199999999999999"/>
    <n v="3.4000000000000002E-2"/>
    <s v="High Occupational Therapist"/>
    <x v="6"/>
  </r>
  <r>
    <s v="29100"/>
    <x v="197"/>
    <s v="Personnel"/>
    <s v="M "/>
    <s v="Middle Grade Group 7-8"/>
    <s v="PS43M21S"/>
    <s v="PSES Mid Prog21Duty43 S275"/>
    <n v="21"/>
    <x v="6"/>
    <n v="43"/>
    <m/>
    <s v="   "/>
    <n v="0.28100000000000003"/>
    <n v="0.21199999999999999"/>
    <n v="0.06"/>
    <s v="Middle Occupational Therapist"/>
    <x v="6"/>
  </r>
  <r>
    <s v="29100"/>
    <x v="197"/>
    <s v="Personnel"/>
    <s v="M "/>
    <s v="Middle Grade Group 7-8"/>
    <s v="PS44MS"/>
    <s v="PSES Mid Prog01Duty44 S275"/>
    <n v="1"/>
    <x v="13"/>
    <n v="44"/>
    <m/>
    <s v="   "/>
    <n v="0.78"/>
    <n v="0.21199999999999999"/>
    <n v="0"/>
    <s v="Middle Social Worker"/>
    <x v="13"/>
  </r>
  <r>
    <s v="29100"/>
    <x v="197"/>
    <s v="Personnel"/>
    <s v="E "/>
    <s v="Elementary Grade Group K-6"/>
    <s v="PS45E21S"/>
    <s v="PSES Elem Prog21Duty45 S275"/>
    <n v="21"/>
    <x v="7"/>
    <n v="45"/>
    <m/>
    <s v="   "/>
    <n v="4.47"/>
    <n v="0.21199999999999999"/>
    <n v="0.94799999999999995"/>
    <s v="Elementary Speech, Language Pathway/_x000a_Audio"/>
    <x v="7"/>
  </r>
  <r>
    <s v="29100"/>
    <x v="197"/>
    <s v="Personnel"/>
    <s v="H "/>
    <s v="High Grade Group 9-12"/>
    <s v="PS45H21S"/>
    <s v="PSES High Prog21Duty45 S275"/>
    <n v="21"/>
    <x v="7"/>
    <n v="45"/>
    <m/>
    <s v="   "/>
    <n v="1"/>
    <n v="0.21199999999999999"/>
    <n v="0.21199999999999999"/>
    <s v="High Speech, Language Pathway/_x000a_Audio"/>
    <x v="7"/>
  </r>
  <r>
    <s v="29100"/>
    <x v="197"/>
    <s v="Personnel"/>
    <s v="M "/>
    <s v="Middle Grade Group 7-8"/>
    <s v="PS45M21S"/>
    <s v="PSES Mid Prog21Duty45 S275"/>
    <n v="21"/>
    <x v="7"/>
    <n v="45"/>
    <m/>
    <s v="   "/>
    <n v="0.52"/>
    <n v="0.21199999999999999"/>
    <n v="0.11"/>
    <s v="Middle Speech, Language Pathway/_x000a_Audio"/>
    <x v="7"/>
  </r>
  <r>
    <s v="29100"/>
    <x v="197"/>
    <s v="Personnel"/>
    <s v="E "/>
    <s v="Elementary Grade Group K-6"/>
    <s v="PS47ES"/>
    <s v="PSES Elem Prog01Duty47 S275"/>
    <n v="1"/>
    <x v="9"/>
    <n v="47"/>
    <m/>
    <s v="   "/>
    <n v="1.609"/>
    <n v="0.21199999999999999"/>
    <n v="0"/>
    <s v="Elementary Nurse"/>
    <x v="9"/>
  </r>
  <r>
    <s v="29100"/>
    <x v="197"/>
    <s v="Personnel"/>
    <s v="H "/>
    <s v="High Grade Group 9-12"/>
    <s v="PS47HS"/>
    <s v="PSES High Prog01Duty47 S275"/>
    <n v="1"/>
    <x v="9"/>
    <n v="47"/>
    <m/>
    <s v="   "/>
    <n v="1"/>
    <n v="0.21199999999999999"/>
    <n v="0"/>
    <s v="High Nurse"/>
    <x v="9"/>
  </r>
  <r>
    <s v="29100"/>
    <x v="197"/>
    <s v="Personnel"/>
    <s v="M "/>
    <s v="Middle Grade Group 7-8"/>
    <s v="PS47MS"/>
    <s v="PSES Mid Prog01Duty47 S275"/>
    <n v="1"/>
    <x v="9"/>
    <n v="47"/>
    <m/>
    <s v="   "/>
    <n v="0.39100000000000001"/>
    <n v="0.21199999999999999"/>
    <n v="0"/>
    <s v="Middle Nurse"/>
    <x v="9"/>
  </r>
  <r>
    <s v="29100"/>
    <x v="197"/>
    <s v="Personnel"/>
    <s v="E "/>
    <s v="Elementary Grade Group K-6"/>
    <s v="PS48E21S"/>
    <s v="PSES Elem Prog21Duty48 S275"/>
    <n v="21"/>
    <x v="11"/>
    <n v="48"/>
    <m/>
    <s v="   "/>
    <n v="0.21"/>
    <n v="0.21199999999999999"/>
    <n v="4.4999999999999998E-2"/>
    <s v="Elementary Physical Therapist"/>
    <x v="11"/>
  </r>
  <r>
    <s v="29100"/>
    <x v="197"/>
    <s v="Personnel"/>
    <s v="H "/>
    <s v="High Grade Group 9-12"/>
    <s v="PS48H21S"/>
    <s v="PSES High Prog21Duty48 S275"/>
    <n v="21"/>
    <x v="11"/>
    <n v="48"/>
    <m/>
    <s v="   "/>
    <n v="8.8999999999999996E-2"/>
    <n v="0.21199999999999999"/>
    <n v="1.9E-2"/>
    <s v="High Physical Therapist"/>
    <x v="11"/>
  </r>
  <r>
    <s v="29100"/>
    <x v="197"/>
    <s v="Personnel"/>
    <s v="M "/>
    <s v="Middle Grade Group 7-8"/>
    <s v="PS48M21S"/>
    <s v="PSES Mid Prog21Duty48 S275"/>
    <n v="21"/>
    <x v="11"/>
    <n v="48"/>
    <m/>
    <s v="   "/>
    <n v="8.8999999999999996E-2"/>
    <n v="0.21199999999999999"/>
    <n v="1.9E-2"/>
    <s v="Middle Physical Therapist"/>
    <x v="11"/>
  </r>
  <r>
    <s v="29101"/>
    <x v="198"/>
    <s v="Personnel"/>
    <s v="H "/>
    <s v="High Grade Group 9-12"/>
    <s v="PS24HS"/>
    <s v="PSES High Prog01Duty96 S275"/>
    <n v="1"/>
    <x v="0"/>
    <n v="96"/>
    <n v="24"/>
    <s v="   "/>
    <n v="0.69199999999999995"/>
    <n v="0.23139999999999999"/>
    <n v="0"/>
    <s v="High Family Engagement Coordinator"/>
    <x v="0"/>
  </r>
  <r>
    <s v="29101"/>
    <x v="198"/>
    <s v="Personnel"/>
    <s v="E "/>
    <s v="Elementary Grade Group K-6"/>
    <s v="PS25E21S"/>
    <s v="PSES Elem Prog21Act25 S275"/>
    <n v="21"/>
    <x v="1"/>
    <m/>
    <n v="25"/>
    <s v="   "/>
    <n v="1.3540000000000001"/>
    <n v="0.23139999999999999"/>
    <n v="0.313"/>
    <s v="Elementary Pupil Management"/>
    <x v="1"/>
  </r>
  <r>
    <s v="29101"/>
    <x v="198"/>
    <s v="Personnel"/>
    <s v="E "/>
    <s v="Elementary Grade Group K-6"/>
    <s v="PS25ES"/>
    <s v="PSES Elem Prog01Act25 S275"/>
    <n v="1"/>
    <x v="1"/>
    <m/>
    <n v="25"/>
    <s v="   "/>
    <n v="7.8840000000000003"/>
    <n v="0.23139999999999999"/>
    <n v="0"/>
    <s v="Elementary Pupil Management"/>
    <x v="1"/>
  </r>
  <r>
    <s v="29101"/>
    <x v="198"/>
    <s v="Personnel"/>
    <s v="H "/>
    <s v="High Grade Group 9-12"/>
    <s v="PS25H21S"/>
    <s v="PSES High Prog21Act25 S275"/>
    <n v="21"/>
    <x v="1"/>
    <m/>
    <n v="25"/>
    <s v="   "/>
    <n v="1.319"/>
    <n v="0.23139999999999999"/>
    <n v="0.30499999999999999"/>
    <s v="High Pupil Management"/>
    <x v="1"/>
  </r>
  <r>
    <s v="29101"/>
    <x v="198"/>
    <s v="Personnel"/>
    <s v="H "/>
    <s v="High Grade Group 9-12"/>
    <s v="PS25HS"/>
    <s v="PSES High Prog01Act25 S275"/>
    <n v="1"/>
    <x v="1"/>
    <m/>
    <n v="25"/>
    <s v="   "/>
    <n v="0.78400000000000003"/>
    <n v="0.23139999999999999"/>
    <n v="0"/>
    <s v="High Pupil Management"/>
    <x v="1"/>
  </r>
  <r>
    <s v="29101"/>
    <x v="198"/>
    <s v="Personnel"/>
    <s v="M "/>
    <s v="Middle Grade Group 7-8"/>
    <s v="PS25M21S"/>
    <s v="PSES Mid Prog21Act25 S275"/>
    <n v="21"/>
    <x v="1"/>
    <m/>
    <n v="25"/>
    <s v="   "/>
    <n v="0.45500000000000002"/>
    <n v="0.23139999999999999"/>
    <n v="0.105"/>
    <s v="Middle Pupil Management"/>
    <x v="1"/>
  </r>
  <r>
    <s v="29101"/>
    <x v="198"/>
    <s v="Personnel"/>
    <s v="M "/>
    <s v="Middle Grade Group 7-8"/>
    <s v="PS25MS"/>
    <s v="PSES Mid Prog01Act25 S275"/>
    <n v="1"/>
    <x v="1"/>
    <m/>
    <n v="25"/>
    <s v="   "/>
    <n v="0.85899999999999999"/>
    <n v="0.23139999999999999"/>
    <n v="0"/>
    <s v="Middle Pupil Management"/>
    <x v="1"/>
  </r>
  <r>
    <s v="29101"/>
    <x v="198"/>
    <s v="Personnel"/>
    <s v="E "/>
    <s v="Elementary Grade Group K-6"/>
    <s v="PS26E21S"/>
    <s v="PSES Elem Prog21Act26 S275"/>
    <n v="21"/>
    <x v="2"/>
    <m/>
    <n v="26"/>
    <s v="   "/>
    <n v="1.6519999999999999"/>
    <n v="0.23139999999999999"/>
    <n v="0.38200000000000001"/>
    <s v="Elementary Health/_x000a_Related Services"/>
    <x v="2"/>
  </r>
  <r>
    <s v="29101"/>
    <x v="198"/>
    <s v="Personnel"/>
    <s v="E "/>
    <s v="Elementary Grade Group K-6"/>
    <s v="PS26ES"/>
    <s v="PSES Elem Prog01Act26 S275"/>
    <n v="1"/>
    <x v="2"/>
    <m/>
    <n v="26"/>
    <s v="   "/>
    <n v="4.4269999999999996"/>
    <n v="0.23139999999999999"/>
    <n v="0"/>
    <s v="Elementary Health/_x000a_Related Services"/>
    <x v="2"/>
  </r>
  <r>
    <s v="29101"/>
    <x v="198"/>
    <s v="Personnel"/>
    <s v="H "/>
    <s v="High Grade Group 9-12"/>
    <s v="PS26H21S"/>
    <s v="PSES High Prog21Act26 S275"/>
    <n v="21"/>
    <x v="2"/>
    <m/>
    <n v="26"/>
    <s v="   "/>
    <n v="0.93500000000000005"/>
    <n v="0.23139999999999999"/>
    <n v="0.216"/>
    <s v="High Health/_x000a_Related Services"/>
    <x v="2"/>
  </r>
  <r>
    <s v="29101"/>
    <x v="198"/>
    <s v="Personnel"/>
    <s v="H "/>
    <s v="High Grade Group 9-12"/>
    <s v="PS26HS"/>
    <s v="PSES High Prog01Act26 S275"/>
    <n v="1"/>
    <x v="2"/>
    <m/>
    <n v="26"/>
    <s v="   "/>
    <n v="0.878"/>
    <n v="0.23139999999999999"/>
    <n v="0"/>
    <s v="High Health/_x000a_Related Services"/>
    <x v="2"/>
  </r>
  <r>
    <s v="29101"/>
    <x v="198"/>
    <s v="Personnel"/>
    <s v="M "/>
    <s v="Middle Grade Group 7-8"/>
    <s v="PS26M21S"/>
    <s v="PSES Mid Prog21Act26 S275"/>
    <n v="21"/>
    <x v="2"/>
    <m/>
    <n v="26"/>
    <s v="   "/>
    <n v="0.45800000000000002"/>
    <n v="0.23139999999999999"/>
    <n v="0.106"/>
    <s v="Middle Health/_x000a_Related Services"/>
    <x v="2"/>
  </r>
  <r>
    <s v="29101"/>
    <x v="198"/>
    <s v="Personnel"/>
    <s v="M "/>
    <s v="Middle Grade Group 7-8"/>
    <s v="PS26MS"/>
    <s v="PSES Mid Prog01Act26 S275"/>
    <n v="1"/>
    <x v="2"/>
    <m/>
    <n v="26"/>
    <s v="   "/>
    <n v="0.68200000000000005"/>
    <n v="0.23139999999999999"/>
    <n v="0"/>
    <s v="Middle Health/_x000a_Related Services"/>
    <x v="2"/>
  </r>
  <r>
    <s v="29101"/>
    <x v="198"/>
    <s v="Personnel"/>
    <s v="E "/>
    <s v="Elementary Grade Group K-6"/>
    <s v="PS39E21S"/>
    <s v="PSES Elem Prog21Duty39 S275"/>
    <n v="21"/>
    <x v="4"/>
    <n v="39"/>
    <m/>
    <s v="   "/>
    <n v="0.86"/>
    <n v="0.23139999999999999"/>
    <n v="0.19900000000000001"/>
    <s v="Elementary Orientation &amp; Mobility Specialist"/>
    <x v="4"/>
  </r>
  <r>
    <s v="29101"/>
    <x v="198"/>
    <s v="Personnel"/>
    <s v="M "/>
    <s v="Middle Grade Group 7-8"/>
    <s v="PS39M21S"/>
    <s v="PSES Mid Prog21Duty39 S275"/>
    <n v="21"/>
    <x v="4"/>
    <n v="39"/>
    <m/>
    <s v="   "/>
    <n v="0.1"/>
    <n v="0.23139999999999999"/>
    <n v="2.3E-2"/>
    <s v="Middle Orientation &amp; Mobility Specialist"/>
    <x v="4"/>
  </r>
  <r>
    <s v="29101"/>
    <x v="198"/>
    <s v="Personnel"/>
    <s v="E "/>
    <s v="Elementary Grade Group K-6"/>
    <s v="PS42ES"/>
    <s v="PSES Elem Prog01Duty42 S275"/>
    <n v="1"/>
    <x v="5"/>
    <n v="42"/>
    <m/>
    <s v="   "/>
    <n v="5.0780000000000003"/>
    <n v="0.23139999999999999"/>
    <n v="0"/>
    <s v="Elementary Counselor"/>
    <x v="5"/>
  </r>
  <r>
    <s v="29101"/>
    <x v="198"/>
    <s v="Personnel"/>
    <s v="H "/>
    <s v="High Grade Group 9-12"/>
    <s v="PS42HS"/>
    <s v="PSES High Prog01Duty42 S275"/>
    <n v="1"/>
    <x v="5"/>
    <n v="42"/>
    <m/>
    <s v="   "/>
    <n v="3.3690000000000002"/>
    <n v="0.23139999999999999"/>
    <n v="0"/>
    <s v="High Counselor"/>
    <x v="5"/>
  </r>
  <r>
    <s v="29101"/>
    <x v="198"/>
    <s v="Personnel"/>
    <s v="M "/>
    <s v="Middle Grade Group 7-8"/>
    <s v="PS42MS"/>
    <s v="PSES Mid Prog01Duty42 S275"/>
    <n v="1"/>
    <x v="5"/>
    <n v="42"/>
    <m/>
    <s v="   "/>
    <n v="2"/>
    <n v="0.23139999999999999"/>
    <n v="0"/>
    <s v="Middle Counselor"/>
    <x v="5"/>
  </r>
  <r>
    <s v="29101"/>
    <x v="198"/>
    <s v="Personnel"/>
    <s v="E "/>
    <s v="Elementary Grade Group K-6"/>
    <s v="PS43E21S"/>
    <s v="PSES Elem Prog21Duty43 S275"/>
    <n v="21"/>
    <x v="6"/>
    <n v="43"/>
    <m/>
    <s v="   "/>
    <n v="3.06"/>
    <n v="0.23139999999999999"/>
    <n v="0.70799999999999996"/>
    <s v="Elementary Occupational Therapist"/>
    <x v="6"/>
  </r>
  <r>
    <s v="29101"/>
    <x v="198"/>
    <s v="Personnel"/>
    <s v="H "/>
    <s v="High Grade Group 9-12"/>
    <s v="PS43H21S"/>
    <s v="PSES High Prog21Duty43 S275"/>
    <n v="21"/>
    <x v="6"/>
    <n v="43"/>
    <m/>
    <s v="   "/>
    <n v="0.22"/>
    <n v="0.23139999999999999"/>
    <n v="5.0999999999999997E-2"/>
    <s v="High Occupational Therapist"/>
    <x v="6"/>
  </r>
  <r>
    <s v="29101"/>
    <x v="198"/>
    <s v="Personnel"/>
    <s v="M "/>
    <s v="Middle Grade Group 7-8"/>
    <s v="PS43M21S"/>
    <s v="PSES Mid Prog21Duty43 S275"/>
    <n v="21"/>
    <x v="6"/>
    <n v="43"/>
    <m/>
    <s v="   "/>
    <n v="0.1"/>
    <n v="0.23139999999999999"/>
    <n v="2.3E-2"/>
    <s v="Middle Occupational Therapist"/>
    <x v="6"/>
  </r>
  <r>
    <s v="29101"/>
    <x v="198"/>
    <s v="Personnel"/>
    <s v="E "/>
    <s v="Elementary Grade Group K-6"/>
    <s v="PS45E21S"/>
    <s v="PSES Elem Prog21Duty45 S275"/>
    <n v="21"/>
    <x v="7"/>
    <n v="45"/>
    <m/>
    <s v="   "/>
    <n v="7.03"/>
    <n v="0.23139999999999999"/>
    <n v="1.627"/>
    <s v="Elementary Speech, Language Pathway/_x000a_Audio"/>
    <x v="7"/>
  </r>
  <r>
    <s v="29101"/>
    <x v="198"/>
    <s v="Personnel"/>
    <s v="H "/>
    <s v="High Grade Group 9-12"/>
    <s v="PS45H21S"/>
    <s v="PSES High Prog21Duty45 S275"/>
    <n v="21"/>
    <x v="7"/>
    <n v="45"/>
    <m/>
    <s v="   "/>
    <n v="0.55000000000000004"/>
    <n v="0.23139999999999999"/>
    <n v="0.127"/>
    <s v="High Speech, Language Pathway/_x000a_Audio"/>
    <x v="7"/>
  </r>
  <r>
    <s v="29101"/>
    <x v="198"/>
    <s v="Personnel"/>
    <s v="M "/>
    <s v="Middle Grade Group 7-8"/>
    <s v="PS45M21S"/>
    <s v="PSES Mid Prog21Duty45 S275"/>
    <n v="21"/>
    <x v="7"/>
    <n v="45"/>
    <m/>
    <s v="   "/>
    <n v="0.4"/>
    <n v="0.23139999999999999"/>
    <n v="9.2999999999999999E-2"/>
    <s v="Middle Speech, Language Pathway/_x000a_Audio"/>
    <x v="7"/>
  </r>
  <r>
    <s v="29101"/>
    <x v="198"/>
    <s v="Personnel"/>
    <s v="E "/>
    <s v="Elementary Grade Group K-6"/>
    <s v="PS46E21S"/>
    <s v="PSES Elem Prog21Duty46 S275"/>
    <n v="21"/>
    <x v="8"/>
    <n v="46"/>
    <m/>
    <s v="   "/>
    <n v="2.95"/>
    <n v="0.23139999999999999"/>
    <n v="0.68300000000000005"/>
    <s v="Elementary Psychologist"/>
    <x v="8"/>
  </r>
  <r>
    <s v="29101"/>
    <x v="198"/>
    <s v="Personnel"/>
    <s v="H "/>
    <s v="High Grade Group 9-12"/>
    <s v="PS46H21S"/>
    <s v="PSES High Prog21Duty46 S275"/>
    <n v="21"/>
    <x v="8"/>
    <n v="46"/>
    <m/>
    <s v="   "/>
    <n v="1.3"/>
    <n v="0.23139999999999999"/>
    <n v="0.30099999999999999"/>
    <s v="High Psychologist"/>
    <x v="8"/>
  </r>
  <r>
    <s v="29101"/>
    <x v="198"/>
    <s v="Personnel"/>
    <s v="M "/>
    <s v="Middle Grade Group 7-8"/>
    <s v="PS46M21S"/>
    <s v="PSES Mid Prog21Duty46 S275"/>
    <n v="21"/>
    <x v="8"/>
    <n v="46"/>
    <m/>
    <s v="   "/>
    <n v="0.9"/>
    <n v="0.23139999999999999"/>
    <n v="0.20799999999999999"/>
    <s v="Middle Psychologist"/>
    <x v="8"/>
  </r>
  <r>
    <s v="29101"/>
    <x v="198"/>
    <s v="Personnel"/>
    <s v="E "/>
    <s v="Elementary Grade Group K-6"/>
    <s v="PS47ES"/>
    <s v="PSES Elem Prog01Duty47 S275"/>
    <n v="1"/>
    <x v="9"/>
    <n v="47"/>
    <m/>
    <s v="   "/>
    <n v="0.54300000000000004"/>
    <n v="0.23139999999999999"/>
    <n v="0"/>
    <s v="Elementary Nurse"/>
    <x v="9"/>
  </r>
  <r>
    <s v="29101"/>
    <x v="198"/>
    <s v="Personnel"/>
    <s v="H "/>
    <s v="High Grade Group 9-12"/>
    <s v="PS47HS"/>
    <s v="PSES High Prog01Duty47 S275"/>
    <n v="1"/>
    <x v="9"/>
    <n v="47"/>
    <m/>
    <s v="   "/>
    <n v="0.30599999999999999"/>
    <n v="0.23139999999999999"/>
    <n v="0"/>
    <s v="High Nurse"/>
    <x v="9"/>
  </r>
  <r>
    <s v="29101"/>
    <x v="198"/>
    <s v="Personnel"/>
    <s v="M "/>
    <s v="Middle Grade Group 7-8"/>
    <s v="PS47MS"/>
    <s v="PSES Mid Prog01Duty47 S275"/>
    <n v="1"/>
    <x v="9"/>
    <n v="47"/>
    <m/>
    <s v="   "/>
    <n v="0.151"/>
    <n v="0.23139999999999999"/>
    <n v="0"/>
    <s v="Middle Nurse"/>
    <x v="9"/>
  </r>
  <r>
    <s v="29101"/>
    <x v="198"/>
    <s v="Personnel"/>
    <s v="E "/>
    <s v="Elementary Grade Group K-6"/>
    <s v="PS48E21S"/>
    <s v="PSES Elem Prog21Duty48 S275"/>
    <n v="21"/>
    <x v="11"/>
    <n v="48"/>
    <m/>
    <s v="   "/>
    <n v="1.0149999999999999"/>
    <n v="0.23139999999999999"/>
    <n v="0.23499999999999999"/>
    <s v="Elementary Physical Therapist"/>
    <x v="11"/>
  </r>
  <r>
    <s v="29101"/>
    <x v="198"/>
    <s v="Personnel"/>
    <s v="H "/>
    <s v="High Grade Group 9-12"/>
    <s v="PS48H21S"/>
    <s v="PSES High Prog21Duty48 S275"/>
    <n v="21"/>
    <x v="11"/>
    <n v="48"/>
    <m/>
    <s v="   "/>
    <n v="0.161"/>
    <n v="0.23139999999999999"/>
    <n v="3.6999999999999998E-2"/>
    <s v="High Physical Therapist"/>
    <x v="11"/>
  </r>
  <r>
    <s v="29101"/>
    <x v="198"/>
    <s v="Personnel"/>
    <s v="M "/>
    <s v="Middle Grade Group 7-8"/>
    <s v="PS48M21S"/>
    <s v="PSES Mid Prog21Duty48 S275"/>
    <n v="21"/>
    <x v="11"/>
    <n v="48"/>
    <m/>
    <s v="   "/>
    <n v="0.13300000000000001"/>
    <n v="0.23139999999999999"/>
    <n v="3.1E-2"/>
    <s v="Middle Physical Therapist"/>
    <x v="11"/>
  </r>
  <r>
    <s v="29101"/>
    <x v="198"/>
    <s v="Personnel"/>
    <s v="E "/>
    <s v="Elementary Grade Group K-6"/>
    <s v="PS49E21S"/>
    <s v="PSES Elem Prog21Duty49 S275"/>
    <n v="21"/>
    <x v="10"/>
    <n v="49"/>
    <m/>
    <s v="   "/>
    <n v="0.184"/>
    <n v="0.23139999999999999"/>
    <n v="4.2999999999999997E-2"/>
    <s v="Elementary Behavior Analyst"/>
    <x v="10"/>
  </r>
  <r>
    <s v="29101"/>
    <x v="198"/>
    <s v="Personnel"/>
    <s v="E "/>
    <s v="Elementary Grade Group K-6"/>
    <s v="PS49ES"/>
    <s v="PSES Elem Prog01Duty49 S275"/>
    <n v="1"/>
    <x v="10"/>
    <n v="49"/>
    <m/>
    <s v="   "/>
    <n v="0.73599999999999999"/>
    <n v="0.23139999999999999"/>
    <n v="0"/>
    <s v="Elementary Behavior Analyst"/>
    <x v="10"/>
  </r>
  <r>
    <s v="29101"/>
    <x v="198"/>
    <s v="Personnel"/>
    <s v="H "/>
    <s v="High Grade Group 9-12"/>
    <s v="PS49H21S"/>
    <s v="PSES High Prog21Duty49 S275"/>
    <n v="21"/>
    <x v="10"/>
    <n v="49"/>
    <m/>
    <s v="   "/>
    <n v="8.0000000000000002E-3"/>
    <n v="0.23139999999999999"/>
    <n v="2E-3"/>
    <s v="High Behavior Analyst"/>
    <x v="10"/>
  </r>
  <r>
    <s v="29101"/>
    <x v="198"/>
    <s v="Personnel"/>
    <s v="H "/>
    <s v="High Grade Group 9-12"/>
    <s v="PS49HS"/>
    <s v="PSES High Prog01Duty49 S275"/>
    <n v="1"/>
    <x v="10"/>
    <n v="49"/>
    <m/>
    <s v="   "/>
    <n v="3.2000000000000001E-2"/>
    <n v="0.23139999999999999"/>
    <n v="0"/>
    <s v="High Behavior Analyst"/>
    <x v="10"/>
  </r>
  <r>
    <s v="29101"/>
    <x v="198"/>
    <s v="Personnel"/>
    <s v="M "/>
    <s v="Middle Grade Group 7-8"/>
    <s v="PS49M21S"/>
    <s v="PSES Mid Prog21Duty49 S275"/>
    <n v="21"/>
    <x v="10"/>
    <n v="49"/>
    <m/>
    <s v="   "/>
    <n v="8.0000000000000002E-3"/>
    <n v="0.23139999999999999"/>
    <n v="2E-3"/>
    <s v="Middle Behavior Analyst"/>
    <x v="10"/>
  </r>
  <r>
    <s v="29101"/>
    <x v="198"/>
    <s v="Personnel"/>
    <s v="M "/>
    <s v="Middle Grade Group 7-8"/>
    <s v="PS49MS"/>
    <s v="PSES Mid Prog01Duty49 S275"/>
    <n v="1"/>
    <x v="10"/>
    <n v="49"/>
    <m/>
    <s v="   "/>
    <n v="3.2000000000000001E-2"/>
    <n v="0.23139999999999999"/>
    <n v="0"/>
    <s v="Middle Behavior Analyst"/>
    <x v="10"/>
  </r>
  <r>
    <s v="29103"/>
    <x v="199"/>
    <s v="Personnel"/>
    <s v="H "/>
    <s v="High Grade Group 9-12"/>
    <s v="PS25HS"/>
    <s v="PSES High Prog01Act25 S275"/>
    <n v="1"/>
    <x v="1"/>
    <m/>
    <n v="25"/>
    <s v="   "/>
    <n v="5.4260000000000002"/>
    <n v="0.20030000000000001"/>
    <n v="0"/>
    <s v="High Pupil Management"/>
    <x v="1"/>
  </r>
  <r>
    <s v="29103"/>
    <x v="199"/>
    <s v="Personnel"/>
    <s v="H "/>
    <s v="High Grade Group 9-12"/>
    <s v="PS26HS"/>
    <s v="PSES High Prog01Act26 S275"/>
    <n v="1"/>
    <x v="2"/>
    <m/>
    <n v="26"/>
    <s v="   "/>
    <n v="3.32"/>
    <n v="0.20030000000000001"/>
    <n v="0"/>
    <s v="High Health/_x000a_Related Services"/>
    <x v="2"/>
  </r>
  <r>
    <s v="29103"/>
    <x v="199"/>
    <s v="Personnel"/>
    <s v="E "/>
    <s v="Elementary Grade Group K-6"/>
    <s v="PS42ES"/>
    <s v="PSES Elem Prog01Duty42 S275"/>
    <n v="1"/>
    <x v="5"/>
    <n v="42"/>
    <m/>
    <s v="   "/>
    <n v="2.4009999999999998"/>
    <n v="0.20030000000000001"/>
    <n v="0"/>
    <s v="Elementary Counselor"/>
    <x v="5"/>
  </r>
  <r>
    <s v="29103"/>
    <x v="199"/>
    <s v="Personnel"/>
    <s v="H "/>
    <s v="High Grade Group 9-12"/>
    <s v="PS42HS"/>
    <s v="PSES High Prog01Duty42 S275"/>
    <n v="1"/>
    <x v="5"/>
    <n v="42"/>
    <m/>
    <s v="   "/>
    <n v="2.5499999999999998"/>
    <n v="0.20030000000000001"/>
    <n v="0"/>
    <s v="High Counselor"/>
    <x v="5"/>
  </r>
  <r>
    <s v="29103"/>
    <x v="199"/>
    <s v="Personnel"/>
    <s v="M "/>
    <s v="Middle Grade Group 7-8"/>
    <s v="PS42MS"/>
    <s v="PSES Mid Prog01Duty42 S275"/>
    <n v="1"/>
    <x v="5"/>
    <n v="42"/>
    <m/>
    <s v="   "/>
    <n v="1.9"/>
    <n v="0.20030000000000001"/>
    <n v="0"/>
    <s v="Middle Counselor"/>
    <x v="5"/>
  </r>
  <r>
    <s v="29103"/>
    <x v="199"/>
    <s v="Personnel"/>
    <s v="E "/>
    <s v="Elementary Grade Group K-6"/>
    <s v="PS43E21S"/>
    <s v="PSES Elem Prog21Duty43 S275"/>
    <n v="21"/>
    <x v="6"/>
    <n v="43"/>
    <m/>
    <s v="   "/>
    <n v="1.4019999999999999"/>
    <n v="0.20030000000000001"/>
    <n v="0.28100000000000003"/>
    <s v="Elementary Occupational Therapist"/>
    <x v="6"/>
  </r>
  <r>
    <s v="29103"/>
    <x v="199"/>
    <s v="Personnel"/>
    <s v="M "/>
    <s v="Middle Grade Group 7-8"/>
    <s v="PS43M21S"/>
    <s v="PSES Mid Prog21Duty43 S275"/>
    <n v="21"/>
    <x v="6"/>
    <n v="43"/>
    <m/>
    <s v="   "/>
    <n v="0.19800000000000001"/>
    <n v="0.20030000000000001"/>
    <n v="0.04"/>
    <s v="Middle Occupational Therapist"/>
    <x v="6"/>
  </r>
  <r>
    <s v="29103"/>
    <x v="199"/>
    <s v="Personnel"/>
    <s v="H "/>
    <s v="High Grade Group 9-12"/>
    <s v="PS44HS"/>
    <s v="PSES High Prog01Duty44 S275"/>
    <n v="1"/>
    <x v="13"/>
    <n v="44"/>
    <m/>
    <s v="   "/>
    <n v="1"/>
    <n v="0.20030000000000001"/>
    <n v="0"/>
    <s v="High Social Worker"/>
    <x v="13"/>
  </r>
  <r>
    <s v="29103"/>
    <x v="199"/>
    <s v="Personnel"/>
    <s v="M "/>
    <s v="Middle Grade Group 7-8"/>
    <s v="PS44MS"/>
    <s v="PSES Mid Prog01Duty44 S275"/>
    <n v="1"/>
    <x v="13"/>
    <n v="44"/>
    <m/>
    <s v="   "/>
    <n v="1"/>
    <n v="0.20030000000000001"/>
    <n v="0"/>
    <s v="Middle Social Worker"/>
    <x v="13"/>
  </r>
  <r>
    <s v="29103"/>
    <x v="199"/>
    <s v="Personnel"/>
    <s v="E "/>
    <s v="Elementary Grade Group K-6"/>
    <s v="PS45E21S"/>
    <s v="PSES Elem Prog21Duty45 S275"/>
    <n v="21"/>
    <x v="7"/>
    <n v="45"/>
    <m/>
    <s v="   "/>
    <n v="4.5"/>
    <n v="0.20030000000000001"/>
    <n v="0.90100000000000002"/>
    <s v="Elementary Speech, Language Pathway/_x000a_Audio"/>
    <x v="7"/>
  </r>
  <r>
    <s v="29103"/>
    <x v="199"/>
    <s v="Personnel"/>
    <s v="M "/>
    <s v="Middle Grade Group 7-8"/>
    <s v="PS45M21S"/>
    <s v="PSES Mid Prog21Duty45 S275"/>
    <n v="21"/>
    <x v="7"/>
    <n v="45"/>
    <m/>
    <s v="   "/>
    <n v="0.2"/>
    <n v="0.20030000000000001"/>
    <n v="0.04"/>
    <s v="Middle Speech, Language Pathway/_x000a_Audio"/>
    <x v="7"/>
  </r>
  <r>
    <s v="29103"/>
    <x v="199"/>
    <s v="Personnel"/>
    <s v="E "/>
    <s v="Elementary Grade Group K-6"/>
    <s v="PS46E21S"/>
    <s v="PSES Elem Prog21Duty46 S275"/>
    <n v="21"/>
    <x v="8"/>
    <n v="46"/>
    <m/>
    <s v="   "/>
    <n v="1.3"/>
    <n v="0.20030000000000001"/>
    <n v="0.26"/>
    <s v="Elementary Psychologist"/>
    <x v="8"/>
  </r>
  <r>
    <s v="29103"/>
    <x v="199"/>
    <s v="Personnel"/>
    <s v="H "/>
    <s v="High Grade Group 9-12"/>
    <s v="PS46H21S"/>
    <s v="PSES High Prog21Duty46 S275"/>
    <n v="21"/>
    <x v="8"/>
    <n v="46"/>
    <m/>
    <s v="   "/>
    <n v="0.7"/>
    <n v="0.20030000000000001"/>
    <n v="0.14000000000000001"/>
    <s v="High Psychologist"/>
    <x v="8"/>
  </r>
  <r>
    <s v="29103"/>
    <x v="199"/>
    <s v="Personnel"/>
    <s v="M "/>
    <s v="Middle Grade Group 7-8"/>
    <s v="PS46M21S"/>
    <s v="PSES Mid Prog21Duty46 S275"/>
    <n v="21"/>
    <x v="8"/>
    <n v="46"/>
    <m/>
    <s v="   "/>
    <n v="0.6"/>
    <n v="0.20030000000000001"/>
    <n v="0.12"/>
    <s v="Middle Psychologist"/>
    <x v="8"/>
  </r>
  <r>
    <s v="29103"/>
    <x v="199"/>
    <s v="Personnel"/>
    <s v="E "/>
    <s v="Elementary Grade Group K-6"/>
    <s v="PS47ES"/>
    <s v="PSES Elem Prog01Duty47 S275"/>
    <n v="1"/>
    <x v="9"/>
    <n v="47"/>
    <m/>
    <s v="   "/>
    <n v="0.53900000000000003"/>
    <n v="0.20030000000000001"/>
    <n v="0"/>
    <s v="Elementary Nurse"/>
    <x v="9"/>
  </r>
  <r>
    <s v="29103"/>
    <x v="199"/>
    <s v="Personnel"/>
    <s v="H "/>
    <s v="High Grade Group 9-12"/>
    <s v="PS47HS"/>
    <s v="PSES High Prog01Duty47 S275"/>
    <n v="1"/>
    <x v="9"/>
    <n v="47"/>
    <m/>
    <s v="   "/>
    <n v="0.307"/>
    <n v="0.20030000000000001"/>
    <n v="0"/>
    <s v="High Nurse"/>
    <x v="9"/>
  </r>
  <r>
    <s v="29103"/>
    <x v="199"/>
    <s v="Personnel"/>
    <s v="M "/>
    <s v="Middle Grade Group 7-8"/>
    <s v="PS47MS"/>
    <s v="PSES Mid Prog01Duty47 S275"/>
    <n v="1"/>
    <x v="9"/>
    <n v="47"/>
    <m/>
    <s v="   "/>
    <n v="0.154"/>
    <n v="0.20030000000000001"/>
    <n v="0"/>
    <s v="Middle Nurse"/>
    <x v="9"/>
  </r>
  <r>
    <s v="29103"/>
    <x v="199"/>
    <s v="Personnel"/>
    <s v="E "/>
    <s v="Elementary Grade Group K-6"/>
    <s v="PS48E21S"/>
    <s v="PSES Elem Prog21Duty48 S275"/>
    <n v="21"/>
    <x v="11"/>
    <n v="48"/>
    <m/>
    <s v="   "/>
    <n v="0.91200000000000003"/>
    <n v="0.20030000000000001"/>
    <n v="0.183"/>
    <s v="Elementary Physical Therapist"/>
    <x v="11"/>
  </r>
  <r>
    <s v="29103"/>
    <x v="199"/>
    <s v="Personnel"/>
    <s v="H "/>
    <s v="High Grade Group 9-12"/>
    <s v="PS48H21S"/>
    <s v="PSES High Prog21Duty48 S275"/>
    <n v="21"/>
    <x v="11"/>
    <n v="48"/>
    <m/>
    <s v="   "/>
    <n v="2.4E-2"/>
    <n v="0.20030000000000001"/>
    <n v="5.0000000000000001E-3"/>
    <s v="High Physical Therapist"/>
    <x v="11"/>
  </r>
  <r>
    <s v="29103"/>
    <x v="199"/>
    <s v="Personnel"/>
    <s v="M "/>
    <s v="Middle Grade Group 7-8"/>
    <s v="PS48M21S"/>
    <s v="PSES Mid Prog21Duty48 S275"/>
    <n v="21"/>
    <x v="11"/>
    <n v="48"/>
    <m/>
    <s v="   "/>
    <n v="6.4000000000000001E-2"/>
    <n v="0.20030000000000001"/>
    <n v="1.2999999999999999E-2"/>
    <s v="Middle Physical Therapist"/>
    <x v="11"/>
  </r>
  <r>
    <s v="29311"/>
    <x v="200"/>
    <s v="Personnel"/>
    <s v="E "/>
    <s v="Elementary Grade Group K-6"/>
    <s v="PS25ES"/>
    <s v="PSES Elem Prog01Act25 S275"/>
    <n v="1"/>
    <x v="1"/>
    <m/>
    <n v="25"/>
    <s v="   "/>
    <n v="0.63900000000000001"/>
    <n v="0.22489999999999999"/>
    <n v="0"/>
    <s v="Elementary Pupil Management"/>
    <x v="1"/>
  </r>
  <r>
    <s v="29311"/>
    <x v="200"/>
    <s v="Personnel"/>
    <s v="H "/>
    <s v="High Grade Group 9-12"/>
    <s v="PS25HS"/>
    <s v="PSES High Prog01Act25 S275"/>
    <n v="1"/>
    <x v="1"/>
    <m/>
    <n v="25"/>
    <s v="   "/>
    <n v="0.14000000000000001"/>
    <n v="0.22489999999999999"/>
    <n v="0"/>
    <s v="High Pupil Management"/>
    <x v="1"/>
  </r>
  <r>
    <s v="29311"/>
    <x v="200"/>
    <s v="Personnel"/>
    <s v="M "/>
    <s v="Middle Grade Group 7-8"/>
    <s v="PS25MS"/>
    <s v="PSES Mid Prog01Act25 S275"/>
    <n v="1"/>
    <x v="1"/>
    <m/>
    <n v="25"/>
    <s v="   "/>
    <n v="9.4E-2"/>
    <n v="0.22489999999999999"/>
    <n v="0"/>
    <s v="Middle Pupil Management"/>
    <x v="1"/>
  </r>
  <r>
    <s v="29311"/>
    <x v="200"/>
    <s v="Personnel"/>
    <s v="M "/>
    <s v="Middle Grade Group 7-8"/>
    <s v="PS26M21S"/>
    <s v="PSES Mid Prog21Act26 S275"/>
    <n v="21"/>
    <x v="2"/>
    <m/>
    <n v="26"/>
    <s v="   "/>
    <n v="0.67400000000000004"/>
    <n v="0.22489999999999999"/>
    <n v="0.152"/>
    <s v="Middle Health/_x000a_Related Services"/>
    <x v="2"/>
  </r>
  <r>
    <s v="29311"/>
    <x v="200"/>
    <s v="Personnel"/>
    <s v="H "/>
    <s v="High Grade Group 9-12"/>
    <s v="PS42HS"/>
    <s v="PSES High Prog01Duty42 S275"/>
    <n v="1"/>
    <x v="5"/>
    <n v="42"/>
    <m/>
    <s v="   "/>
    <n v="0.5"/>
    <n v="0.22489999999999999"/>
    <n v="0"/>
    <s v="High Counselor"/>
    <x v="5"/>
  </r>
  <r>
    <s v="29311"/>
    <x v="200"/>
    <s v="Personnel"/>
    <s v="M "/>
    <s v="Middle Grade Group 7-8"/>
    <s v="PS42MS"/>
    <s v="PSES Mid Prog01Duty42 S275"/>
    <n v="1"/>
    <x v="5"/>
    <n v="42"/>
    <m/>
    <s v="   "/>
    <n v="0.5"/>
    <n v="0.22489999999999999"/>
    <n v="0"/>
    <s v="Middle Counselor"/>
    <x v="5"/>
  </r>
  <r>
    <s v="29311"/>
    <x v="200"/>
    <s v="Personnel"/>
    <s v="E "/>
    <s v="Elementary Grade Group K-6"/>
    <s v="PS45E21S"/>
    <s v="PSES Elem Prog21Duty45 S275"/>
    <n v="21"/>
    <x v="7"/>
    <n v="45"/>
    <m/>
    <s v="   "/>
    <n v="1"/>
    <n v="0.22489999999999999"/>
    <n v="0.22500000000000001"/>
    <s v="Elementary Speech, Language Pathway/_x000a_Audio"/>
    <x v="7"/>
  </r>
  <r>
    <s v="29311"/>
    <x v="200"/>
    <s v="Personnel"/>
    <s v="E "/>
    <s v="Elementary Grade Group K-6"/>
    <s v="PS47ES"/>
    <s v="PSES Elem Prog01Duty47 S275"/>
    <n v="1"/>
    <x v="9"/>
    <n v="47"/>
    <m/>
    <s v="   "/>
    <n v="0.4"/>
    <n v="0.22489999999999999"/>
    <n v="0"/>
    <s v="Elementary Nurse"/>
    <x v="9"/>
  </r>
  <r>
    <s v="29317"/>
    <x v="201"/>
    <s v="Personnel"/>
    <s v="H "/>
    <s v="High Grade Group 9-12"/>
    <s v="PS25HS"/>
    <s v="PSES High Prog01Act25 S275"/>
    <n v="1"/>
    <x v="1"/>
    <m/>
    <n v="25"/>
    <s v="   "/>
    <n v="0.874"/>
    <n v="0.12709999999999999"/>
    <n v="0"/>
    <s v="High Pupil Management"/>
    <x v="1"/>
  </r>
  <r>
    <s v="29317"/>
    <x v="201"/>
    <s v="Personnel"/>
    <s v="H "/>
    <s v="High Grade Group 9-12"/>
    <s v="PS26HS"/>
    <s v="PSES High Prog01Act26 S275"/>
    <n v="1"/>
    <x v="2"/>
    <m/>
    <n v="26"/>
    <s v="   "/>
    <n v="5.0999999999999997E-2"/>
    <n v="0.12709999999999999"/>
    <n v="0"/>
    <s v="High Health/_x000a_Related Services"/>
    <x v="2"/>
  </r>
  <r>
    <s v="29317"/>
    <x v="201"/>
    <s v="Personnel"/>
    <s v="E "/>
    <s v="Elementary Grade Group K-6"/>
    <s v="PS42ES"/>
    <s v="PSES Elem Prog01Duty42 S275"/>
    <n v="1"/>
    <x v="5"/>
    <n v="42"/>
    <m/>
    <s v="   "/>
    <n v="0.8"/>
    <n v="0.12709999999999999"/>
    <n v="0"/>
    <s v="Elementary Counselor"/>
    <x v="5"/>
  </r>
  <r>
    <s v="29317"/>
    <x v="201"/>
    <s v="Personnel"/>
    <s v="E "/>
    <s v="Elementary Grade Group K-6"/>
    <s v="PS45E21S"/>
    <s v="PSES Elem Prog21Duty45 S275"/>
    <n v="21"/>
    <x v="7"/>
    <n v="45"/>
    <m/>
    <s v="   "/>
    <n v="0.51600000000000001"/>
    <n v="0.12709999999999999"/>
    <n v="6.6000000000000003E-2"/>
    <s v="Elementary Speech, Language Pathway/_x000a_Audio"/>
    <x v="7"/>
  </r>
  <r>
    <s v="29317"/>
    <x v="201"/>
    <s v="Personnel"/>
    <s v="E "/>
    <s v="Elementary Grade Group K-6"/>
    <s v="PS46E21S"/>
    <s v="PSES Elem Prog21Duty46 S275"/>
    <n v="21"/>
    <x v="8"/>
    <n v="46"/>
    <m/>
    <s v="   "/>
    <n v="0.4"/>
    <n v="0.12709999999999999"/>
    <n v="5.0999999999999997E-2"/>
    <s v="Elementary Psychologist"/>
    <x v="8"/>
  </r>
  <r>
    <s v="29320"/>
    <x v="202"/>
    <s v="Personnel"/>
    <s v="E "/>
    <s v="Elementary Grade Group K-6"/>
    <s v="PS25ES"/>
    <s v="PSES Elem Prog01Act25 S275"/>
    <n v="1"/>
    <x v="1"/>
    <m/>
    <n v="25"/>
    <s v="   "/>
    <n v="7.8520000000000003"/>
    <n v="0.26129999999999998"/>
    <n v="0"/>
    <s v="Elementary Pupil Management"/>
    <x v="1"/>
  </r>
  <r>
    <s v="29320"/>
    <x v="202"/>
    <s v="Personnel"/>
    <s v="H "/>
    <s v="High Grade Group 9-12"/>
    <s v="PS25HS"/>
    <s v="PSES High Prog01Act25 S275"/>
    <n v="1"/>
    <x v="1"/>
    <m/>
    <n v="25"/>
    <s v="   "/>
    <n v="0.73599999999999999"/>
    <n v="0.26129999999999998"/>
    <n v="0"/>
    <s v="High Pupil Management"/>
    <x v="1"/>
  </r>
  <r>
    <s v="29320"/>
    <x v="202"/>
    <s v="Personnel"/>
    <s v="M "/>
    <s v="Middle Grade Group 7-8"/>
    <s v="PS25MS"/>
    <s v="PSES Mid Prog01Act25 S275"/>
    <n v="1"/>
    <x v="1"/>
    <m/>
    <n v="25"/>
    <s v="   "/>
    <n v="0.65300000000000002"/>
    <n v="0.26129999999999998"/>
    <n v="0"/>
    <s v="Middle Pupil Management"/>
    <x v="1"/>
  </r>
  <r>
    <s v="29320"/>
    <x v="202"/>
    <s v="Personnel"/>
    <s v="E "/>
    <s v="Elementary Grade Group K-6"/>
    <s v="PS26ES"/>
    <s v="PSES Elem Prog01Act26 S275"/>
    <n v="1"/>
    <x v="2"/>
    <m/>
    <n v="26"/>
    <s v="   "/>
    <n v="1.8720000000000001"/>
    <n v="0.26129999999999998"/>
    <n v="0"/>
    <s v="Elementary Health/_x000a_Related Services"/>
    <x v="2"/>
  </r>
  <r>
    <s v="29320"/>
    <x v="202"/>
    <s v="Personnel"/>
    <s v="H "/>
    <s v="High Grade Group 9-12"/>
    <s v="PS26H21S"/>
    <s v="PSES High Prog21Act26 S275"/>
    <n v="21"/>
    <x v="2"/>
    <m/>
    <n v="26"/>
    <s v="   "/>
    <n v="1.9379999999999999"/>
    <n v="0.26129999999999998"/>
    <n v="0.50600000000000001"/>
    <s v="High Health/_x000a_Related Services"/>
    <x v="2"/>
  </r>
  <r>
    <s v="29320"/>
    <x v="202"/>
    <s v="Personnel"/>
    <s v="H "/>
    <s v="High Grade Group 9-12"/>
    <s v="PS26HS"/>
    <s v="PSES High Prog01Act26 S275"/>
    <n v="1"/>
    <x v="2"/>
    <m/>
    <n v="26"/>
    <s v="   "/>
    <n v="3.3370000000000002"/>
    <n v="0.26129999999999998"/>
    <n v="0"/>
    <s v="High Health/_x000a_Related Services"/>
    <x v="2"/>
  </r>
  <r>
    <s v="29320"/>
    <x v="202"/>
    <s v="Personnel"/>
    <s v="H "/>
    <s v="High Grade Group 9-12"/>
    <s v="PS35HS"/>
    <s v="PSES High Prog01Act35 S275"/>
    <n v="1"/>
    <x v="3"/>
    <m/>
    <n v="35"/>
    <s v="   "/>
    <n v="4.4279999999999999"/>
    <n v="0.26129999999999998"/>
    <n v="0"/>
    <s v="High Pupil Safety"/>
    <x v="3"/>
  </r>
  <r>
    <s v="29320"/>
    <x v="202"/>
    <s v="Personnel"/>
    <s v="E "/>
    <s v="Elementary Grade Group K-6"/>
    <s v="PS42ES"/>
    <s v="PSES Elem Prog01Duty42 S275"/>
    <n v="1"/>
    <x v="5"/>
    <n v="42"/>
    <m/>
    <s v="   "/>
    <n v="6"/>
    <n v="0.26129999999999998"/>
    <n v="0"/>
    <s v="Elementary Counselor"/>
    <x v="5"/>
  </r>
  <r>
    <s v="29320"/>
    <x v="202"/>
    <s v="Personnel"/>
    <s v="H "/>
    <s v="High Grade Group 9-12"/>
    <s v="PS42HS"/>
    <s v="PSES High Prog01Duty42 S275"/>
    <n v="1"/>
    <x v="5"/>
    <n v="42"/>
    <m/>
    <s v="   "/>
    <n v="4.5"/>
    <n v="0.26129999999999998"/>
    <n v="0"/>
    <s v="High Counselor"/>
    <x v="5"/>
  </r>
  <r>
    <s v="29320"/>
    <x v="202"/>
    <s v="Personnel"/>
    <s v="M "/>
    <s v="Middle Grade Group 7-8"/>
    <s v="PS42MS"/>
    <s v="PSES Mid Prog01Duty42 S275"/>
    <n v="1"/>
    <x v="5"/>
    <n v="42"/>
    <m/>
    <s v="   "/>
    <n v="4"/>
    <n v="0.26129999999999998"/>
    <n v="0"/>
    <s v="Middle Counselor"/>
    <x v="5"/>
  </r>
  <r>
    <s v="29320"/>
    <x v="202"/>
    <s v="Personnel"/>
    <s v="E "/>
    <s v="Elementary Grade Group K-6"/>
    <s v="PS43E21S"/>
    <s v="PSES Elem Prog21Duty43 S275"/>
    <n v="21"/>
    <x v="6"/>
    <n v="43"/>
    <m/>
    <s v="   "/>
    <n v="1.8"/>
    <n v="0.26129999999999998"/>
    <n v="0.47"/>
    <s v="Elementary Occupational Therapist"/>
    <x v="6"/>
  </r>
  <r>
    <s v="29320"/>
    <x v="202"/>
    <s v="Personnel"/>
    <s v="H "/>
    <s v="High Grade Group 9-12"/>
    <s v="PS43H21S"/>
    <s v="PSES High Prog21Duty43 S275"/>
    <n v="21"/>
    <x v="6"/>
    <n v="43"/>
    <m/>
    <s v="   "/>
    <n v="0.2"/>
    <n v="0.26129999999999998"/>
    <n v="5.1999999999999998E-2"/>
    <s v="High Occupational Therapist"/>
    <x v="6"/>
  </r>
  <r>
    <s v="29320"/>
    <x v="202"/>
    <s v="Personnel"/>
    <s v="E "/>
    <s v="Elementary Grade Group K-6"/>
    <s v="PS44ES"/>
    <s v="PSES Elem Prog01Duty44 S275"/>
    <n v="1"/>
    <x v="13"/>
    <n v="44"/>
    <m/>
    <s v="   "/>
    <n v="2.25"/>
    <n v="0.26129999999999998"/>
    <n v="0"/>
    <s v="Elementary Social Worker"/>
    <x v="13"/>
  </r>
  <r>
    <s v="29320"/>
    <x v="202"/>
    <s v="Personnel"/>
    <s v="H "/>
    <s v="High Grade Group 9-12"/>
    <s v="PS44HS"/>
    <s v="PSES High Prog01Duty44 S275"/>
    <n v="1"/>
    <x v="13"/>
    <n v="44"/>
    <m/>
    <s v="   "/>
    <n v="0.8"/>
    <n v="0.26129999999999998"/>
    <n v="0"/>
    <s v="High Social Worker"/>
    <x v="13"/>
  </r>
  <r>
    <s v="29320"/>
    <x v="202"/>
    <s v="Personnel"/>
    <s v="M "/>
    <s v="Middle Grade Group 7-8"/>
    <s v="PS44MS"/>
    <s v="PSES Mid Prog01Duty44 S275"/>
    <n v="1"/>
    <x v="13"/>
    <n v="44"/>
    <m/>
    <s v="   "/>
    <n v="0.33"/>
    <n v="0.26129999999999998"/>
    <n v="0"/>
    <s v="Middle Social Worker"/>
    <x v="13"/>
  </r>
  <r>
    <s v="29320"/>
    <x v="202"/>
    <s v="Personnel"/>
    <s v="E "/>
    <s v="Elementary Grade Group K-6"/>
    <s v="PS45E21S"/>
    <s v="PSES Elem Prog21Duty45 S275"/>
    <n v="21"/>
    <x v="7"/>
    <n v="45"/>
    <m/>
    <s v="   "/>
    <n v="7.2960000000000003"/>
    <n v="0.26129999999999998"/>
    <n v="1.9059999999999999"/>
    <s v="Elementary Speech, Language Pathway/_x000a_Audio"/>
    <x v="7"/>
  </r>
  <r>
    <s v="29320"/>
    <x v="202"/>
    <s v="Personnel"/>
    <s v="H "/>
    <s v="High Grade Group 9-12"/>
    <s v="PS45H21S"/>
    <s v="PSES High Prog21Duty45 S275"/>
    <n v="21"/>
    <x v="7"/>
    <n v="45"/>
    <m/>
    <s v="   "/>
    <n v="1.7"/>
    <n v="0.26129999999999998"/>
    <n v="0.44400000000000001"/>
    <s v="High Speech, Language Pathway/_x000a_Audio"/>
    <x v="7"/>
  </r>
  <r>
    <s v="29320"/>
    <x v="202"/>
    <s v="Personnel"/>
    <s v="M "/>
    <s v="Middle Grade Group 7-8"/>
    <s v="PS45M21S"/>
    <s v="PSES Mid Prog21Duty45 S275"/>
    <n v="21"/>
    <x v="7"/>
    <n v="45"/>
    <m/>
    <s v="   "/>
    <n v="1.1719999999999999"/>
    <n v="0.26129999999999998"/>
    <n v="0.30599999999999999"/>
    <s v="Middle Speech, Language Pathway/_x000a_Audio"/>
    <x v="7"/>
  </r>
  <r>
    <s v="29320"/>
    <x v="202"/>
    <s v="Personnel"/>
    <s v="E "/>
    <s v="Elementary Grade Group K-6"/>
    <s v="PS47ES"/>
    <s v="PSES Elem Prog01Duty47 S275"/>
    <n v="1"/>
    <x v="9"/>
    <n v="47"/>
    <m/>
    <s v="   "/>
    <n v="2.347"/>
    <n v="0.26129999999999998"/>
    <n v="0"/>
    <s v="Elementary Nurse"/>
    <x v="9"/>
  </r>
  <r>
    <s v="29320"/>
    <x v="202"/>
    <s v="Personnel"/>
    <s v="H "/>
    <s v="High Grade Group 9-12"/>
    <s v="PS47HS"/>
    <s v="PSES High Prog01Duty47 S275"/>
    <n v="1"/>
    <x v="9"/>
    <n v="47"/>
    <m/>
    <s v="   "/>
    <n v="1.06"/>
    <n v="0.26129999999999998"/>
    <n v="0"/>
    <s v="High Nurse"/>
    <x v="9"/>
  </r>
  <r>
    <s v="29320"/>
    <x v="202"/>
    <s v="Personnel"/>
    <s v="M "/>
    <s v="Middle Grade Group 7-8"/>
    <s v="PS47MS"/>
    <s v="PSES Mid Prog01Duty47 S275"/>
    <n v="1"/>
    <x v="9"/>
    <n v="47"/>
    <m/>
    <s v="   "/>
    <n v="0.79300000000000004"/>
    <n v="0.26129999999999998"/>
    <n v="0"/>
    <s v="Middle Nurse"/>
    <x v="9"/>
  </r>
  <r>
    <s v="29320"/>
    <x v="202"/>
    <s v="Personnel"/>
    <s v="E "/>
    <s v="Elementary Grade Group K-6"/>
    <s v="PS48E21S"/>
    <s v="PSES Elem Prog21Duty48 S275"/>
    <n v="21"/>
    <x v="11"/>
    <n v="48"/>
    <m/>
    <s v="   "/>
    <n v="0.33"/>
    <n v="0.26129999999999998"/>
    <n v="8.5999999999999993E-2"/>
    <s v="Elementary Physical Therapist"/>
    <x v="11"/>
  </r>
  <r>
    <s v="29320"/>
    <x v="202"/>
    <s v="Personnel"/>
    <s v="H "/>
    <s v="High Grade Group 9-12"/>
    <s v="PS48H21S"/>
    <s v="PSES High Prog21Duty48 S275"/>
    <n v="21"/>
    <x v="11"/>
    <n v="48"/>
    <m/>
    <s v="   "/>
    <n v="0.09"/>
    <n v="0.26129999999999998"/>
    <n v="2.4E-2"/>
    <s v="High Physical Therapist"/>
    <x v="11"/>
  </r>
  <r>
    <s v="29320"/>
    <x v="202"/>
    <s v="Personnel"/>
    <s v="M "/>
    <s v="Middle Grade Group 7-8"/>
    <s v="PS48M21S"/>
    <s v="PSES Mid Prog21Duty48 S275"/>
    <n v="21"/>
    <x v="11"/>
    <n v="48"/>
    <m/>
    <s v="   "/>
    <n v="0.18"/>
    <n v="0.26129999999999998"/>
    <n v="4.7E-2"/>
    <s v="Middle Physical Therapist"/>
    <x v="11"/>
  </r>
  <r>
    <s v="30002"/>
    <x v="203"/>
    <s v="Personnel"/>
    <s v="H "/>
    <s v="High Grade Group 9-12"/>
    <s v="PS26HS"/>
    <s v="PSES High Prog01Act26 S275"/>
    <n v="1"/>
    <x v="2"/>
    <m/>
    <n v="26"/>
    <s v="   "/>
    <n v="0.20100000000000001"/>
    <n v="0.1913"/>
    <n v="0"/>
    <s v="High Health/_x000a_Related Services"/>
    <x v="2"/>
  </r>
  <r>
    <s v="30029"/>
    <x v="204"/>
    <s v="Personnel"/>
    <s v="H "/>
    <s v="High Grade Group 9-12"/>
    <s v="PS26HS"/>
    <s v="PSES High Prog01Act26 S275"/>
    <n v="1"/>
    <x v="2"/>
    <m/>
    <n v="26"/>
    <s v="   "/>
    <n v="0.28000000000000003"/>
    <n v="0.1913"/>
    <n v="0"/>
    <s v="High Health/_x000a_Related Services"/>
    <x v="2"/>
  </r>
  <r>
    <s v="30031"/>
    <x v="205"/>
    <s v="Personnel"/>
    <s v="H "/>
    <s v="High Grade Group 9-12"/>
    <s v="PS42HS"/>
    <s v="PSES High Prog01Duty42 S275"/>
    <n v="1"/>
    <x v="5"/>
    <n v="42"/>
    <m/>
    <s v="   "/>
    <n v="0.75"/>
    <n v="0.1913"/>
    <n v="0"/>
    <s v="High Counselor"/>
    <x v="5"/>
  </r>
  <r>
    <s v="30303"/>
    <x v="206"/>
    <s v="Personnel"/>
    <s v="H "/>
    <s v="High Grade Group 9-12"/>
    <s v="PS25HS"/>
    <s v="PSES High Prog01Act25 S275"/>
    <n v="1"/>
    <x v="1"/>
    <m/>
    <n v="25"/>
    <s v="   "/>
    <n v="0.88200000000000001"/>
    <n v="0.1913"/>
    <n v="0"/>
    <s v="High Pupil Management"/>
    <x v="1"/>
  </r>
  <r>
    <s v="30303"/>
    <x v="206"/>
    <s v="Personnel"/>
    <s v="H "/>
    <s v="High Grade Group 9-12"/>
    <s v="PS35HS"/>
    <s v="PSES High Prog01Act35 S275"/>
    <n v="1"/>
    <x v="3"/>
    <m/>
    <n v="35"/>
    <s v="   "/>
    <n v="0.54500000000000004"/>
    <n v="0.1913"/>
    <n v="0"/>
    <s v="High Pupil Safety"/>
    <x v="3"/>
  </r>
  <r>
    <s v="30303"/>
    <x v="206"/>
    <s v="Personnel"/>
    <s v="E "/>
    <s v="Elementary Grade Group K-6"/>
    <s v="PS42ES"/>
    <s v="PSES Elem Prog01Duty42 S275"/>
    <n v="1"/>
    <x v="5"/>
    <n v="42"/>
    <m/>
    <s v="   "/>
    <n v="0.8"/>
    <n v="0.1913"/>
    <n v="0"/>
    <s v="Elementary Counselor"/>
    <x v="5"/>
  </r>
  <r>
    <s v="30303"/>
    <x v="206"/>
    <s v="Personnel"/>
    <s v="H "/>
    <s v="High Grade Group 9-12"/>
    <s v="PS42HS"/>
    <s v="PSES High Prog01Duty42 S275"/>
    <n v="1"/>
    <x v="5"/>
    <n v="42"/>
    <m/>
    <s v="   "/>
    <n v="1.2"/>
    <n v="0.1913"/>
    <n v="0"/>
    <s v="High Counselor"/>
    <x v="5"/>
  </r>
  <r>
    <s v="30303"/>
    <x v="206"/>
    <s v="Personnel"/>
    <s v="M "/>
    <s v="Middle Grade Group 7-8"/>
    <s v="PS42MS"/>
    <s v="PSES Mid Prog01Duty42 S275"/>
    <n v="1"/>
    <x v="5"/>
    <n v="42"/>
    <m/>
    <s v="   "/>
    <n v="0.8"/>
    <n v="0.1913"/>
    <n v="0"/>
    <s v="Middle Counselor"/>
    <x v="5"/>
  </r>
  <r>
    <s v="31002"/>
    <x v="207"/>
    <s v="Personnel"/>
    <s v="H "/>
    <s v="High Grade Group 9-12"/>
    <s v="PS24HS"/>
    <s v="PSES High Prog01Duty96 S275"/>
    <n v="1"/>
    <x v="0"/>
    <n v="96"/>
    <n v="24"/>
    <s v="   "/>
    <n v="0.64300000000000002"/>
    <n v="0.29820000000000002"/>
    <n v="0"/>
    <s v="High Family Engagement Coordinator"/>
    <x v="0"/>
  </r>
  <r>
    <s v="31002"/>
    <x v="207"/>
    <s v="Personnel"/>
    <s v="H "/>
    <s v="High Grade Group 9-12"/>
    <s v="PS25H21S"/>
    <s v="PSES High Prog21Act25 S275"/>
    <n v="21"/>
    <x v="1"/>
    <m/>
    <n v="25"/>
    <s v="   "/>
    <n v="1.294"/>
    <n v="0.29820000000000002"/>
    <n v="0.38600000000000001"/>
    <s v="High Pupil Management"/>
    <x v="1"/>
  </r>
  <r>
    <s v="31002"/>
    <x v="207"/>
    <s v="Personnel"/>
    <s v="H "/>
    <s v="High Grade Group 9-12"/>
    <s v="PS25HS"/>
    <s v="PSES High Prog01Act25 S275"/>
    <n v="1"/>
    <x v="1"/>
    <m/>
    <n v="25"/>
    <s v="   "/>
    <n v="33.484000000000002"/>
    <n v="0.29820000000000002"/>
    <n v="0"/>
    <s v="High Pupil Management"/>
    <x v="1"/>
  </r>
  <r>
    <s v="31002"/>
    <x v="207"/>
    <s v="Personnel"/>
    <s v="H "/>
    <s v="High Grade Group 9-12"/>
    <s v="PS26H21S"/>
    <s v="PSES High Prog21Act26 S275"/>
    <n v="21"/>
    <x v="2"/>
    <m/>
    <n v="26"/>
    <s v="   "/>
    <n v="5.3150000000000004"/>
    <n v="0.29820000000000002"/>
    <n v="1.585"/>
    <s v="High Health/_x000a_Related Services"/>
    <x v="2"/>
  </r>
  <r>
    <s v="31002"/>
    <x v="207"/>
    <s v="Personnel"/>
    <s v="H "/>
    <s v="High Grade Group 9-12"/>
    <s v="PS26HS"/>
    <s v="PSES High Prog01Act26 S275"/>
    <n v="1"/>
    <x v="2"/>
    <m/>
    <n v="26"/>
    <s v="   "/>
    <n v="25.937999999999999"/>
    <n v="0.29820000000000002"/>
    <n v="0"/>
    <s v="High Health/_x000a_Related Services"/>
    <x v="2"/>
  </r>
  <r>
    <s v="31002"/>
    <x v="207"/>
    <s v="Personnel"/>
    <s v="H "/>
    <s v="High Grade Group 9-12"/>
    <s v="PS35HS"/>
    <s v="PSES High Prog01Act35 S275"/>
    <n v="1"/>
    <x v="3"/>
    <m/>
    <n v="35"/>
    <s v="   "/>
    <n v="9.19"/>
    <n v="0.29820000000000002"/>
    <n v="0"/>
    <s v="High Pupil Safety"/>
    <x v="3"/>
  </r>
  <r>
    <s v="31002"/>
    <x v="207"/>
    <s v="Personnel"/>
    <s v="E "/>
    <s v="Elementary Grade Group K-6"/>
    <s v="PS42ES"/>
    <s v="PSES Elem Prog01Duty42 S275"/>
    <n v="1"/>
    <x v="5"/>
    <n v="42"/>
    <m/>
    <s v="   "/>
    <n v="23.786000000000001"/>
    <n v="0.29820000000000002"/>
    <n v="0"/>
    <s v="Elementary Counselor"/>
    <x v="5"/>
  </r>
  <r>
    <s v="31002"/>
    <x v="207"/>
    <s v="Personnel"/>
    <s v="H "/>
    <s v="High Grade Group 9-12"/>
    <s v="PS42HS"/>
    <s v="PSES High Prog01Duty42 S275"/>
    <n v="1"/>
    <x v="5"/>
    <n v="42"/>
    <m/>
    <s v="   "/>
    <n v="11.76"/>
    <n v="0.29820000000000002"/>
    <n v="0"/>
    <s v="High Counselor"/>
    <x v="5"/>
  </r>
  <r>
    <s v="31002"/>
    <x v="207"/>
    <s v="Personnel"/>
    <s v="M "/>
    <s v="Middle Grade Group 7-8"/>
    <s v="PS42MS"/>
    <s v="PSES Mid Prog01Duty42 S275"/>
    <n v="1"/>
    <x v="5"/>
    <n v="42"/>
    <m/>
    <s v="   "/>
    <n v="12.88"/>
    <n v="0.29820000000000002"/>
    <n v="0"/>
    <s v="Middle Counselor"/>
    <x v="5"/>
  </r>
  <r>
    <s v="31002"/>
    <x v="207"/>
    <s v="Personnel"/>
    <s v="E "/>
    <s v="Elementary Grade Group K-6"/>
    <s v="PS43E21S"/>
    <s v="PSES Elem Prog21Duty43 S275"/>
    <n v="21"/>
    <x v="6"/>
    <n v="43"/>
    <m/>
    <s v="   "/>
    <n v="6.4009999999999998"/>
    <n v="0.29820000000000002"/>
    <n v="1.909"/>
    <s v="Elementary Occupational Therapist"/>
    <x v="6"/>
  </r>
  <r>
    <s v="31002"/>
    <x v="207"/>
    <s v="Personnel"/>
    <s v="H "/>
    <s v="High Grade Group 9-12"/>
    <s v="PS43H21S"/>
    <s v="PSES High Prog21Duty43 S275"/>
    <n v="21"/>
    <x v="6"/>
    <n v="43"/>
    <m/>
    <s v="   "/>
    <n v="1.6"/>
    <n v="0.29820000000000002"/>
    <n v="0.47699999999999998"/>
    <s v="High Occupational Therapist"/>
    <x v="6"/>
  </r>
  <r>
    <s v="31002"/>
    <x v="207"/>
    <s v="Personnel"/>
    <s v="M "/>
    <s v="Middle Grade Group 7-8"/>
    <s v="PS43M21S"/>
    <s v="PSES Mid Prog21Duty43 S275"/>
    <n v="21"/>
    <x v="6"/>
    <n v="43"/>
    <m/>
    <s v="   "/>
    <n v="0.6"/>
    <n v="0.29820000000000002"/>
    <n v="0.17899999999999999"/>
    <s v="Middle Occupational Therapist"/>
    <x v="6"/>
  </r>
  <r>
    <s v="31002"/>
    <x v="207"/>
    <s v="Personnel"/>
    <s v="E "/>
    <s v="Elementary Grade Group K-6"/>
    <s v="PS44ES"/>
    <s v="PSES Elem Prog01Duty44 S275"/>
    <n v="1"/>
    <x v="13"/>
    <n v="44"/>
    <m/>
    <s v="   "/>
    <n v="2.0009999999999999"/>
    <n v="0.29820000000000002"/>
    <n v="0"/>
    <s v="Elementary Social Worker"/>
    <x v="13"/>
  </r>
  <r>
    <s v="31002"/>
    <x v="207"/>
    <s v="Personnel"/>
    <s v="H "/>
    <s v="High Grade Group 9-12"/>
    <s v="PS44HS"/>
    <s v="PSES High Prog01Duty44 S275"/>
    <n v="1"/>
    <x v="13"/>
    <n v="44"/>
    <m/>
    <s v="   "/>
    <n v="0.44400000000000001"/>
    <n v="0.29820000000000002"/>
    <n v="0"/>
    <s v="High Social Worker"/>
    <x v="13"/>
  </r>
  <r>
    <s v="31002"/>
    <x v="207"/>
    <s v="Personnel"/>
    <s v="M "/>
    <s v="Middle Grade Group 7-8"/>
    <s v="PS44MS"/>
    <s v="PSES Mid Prog01Duty44 S275"/>
    <n v="1"/>
    <x v="13"/>
    <n v="44"/>
    <m/>
    <s v="   "/>
    <n v="0.55500000000000005"/>
    <n v="0.29820000000000002"/>
    <n v="0"/>
    <s v="Middle Social Worker"/>
    <x v="13"/>
  </r>
  <r>
    <s v="31002"/>
    <x v="207"/>
    <s v="Personnel"/>
    <s v="E "/>
    <s v="Elementary Grade Group K-6"/>
    <s v="PS45E21S"/>
    <s v="PSES Elem Prog21Duty45 S275"/>
    <n v="21"/>
    <x v="7"/>
    <n v="45"/>
    <m/>
    <s v="   "/>
    <n v="20.882000000000001"/>
    <n v="0.29820000000000002"/>
    <n v="6.2270000000000003"/>
    <s v="Elementary Speech, Language Pathway/_x000a_Audio"/>
    <x v="7"/>
  </r>
  <r>
    <s v="31002"/>
    <x v="207"/>
    <s v="Personnel"/>
    <s v="E "/>
    <s v="Elementary Grade Group K-6"/>
    <s v="PS45ES"/>
    <s v="PSES Elem Prog01Duty45 S275"/>
    <n v="1"/>
    <x v="7"/>
    <n v="45"/>
    <m/>
    <s v="   "/>
    <n v="0.66600000000000004"/>
    <n v="0.29820000000000002"/>
    <n v="0"/>
    <s v="Elementary Speech, Language Pathway/_x000a_Audio"/>
    <x v="7"/>
  </r>
  <r>
    <s v="31002"/>
    <x v="207"/>
    <s v="Personnel"/>
    <s v="H "/>
    <s v="High Grade Group 9-12"/>
    <s v="PS45H21S"/>
    <s v="PSES High Prog21Duty45 S275"/>
    <n v="21"/>
    <x v="7"/>
    <n v="45"/>
    <m/>
    <s v="   "/>
    <n v="6.1479999999999997"/>
    <n v="0.29820000000000002"/>
    <n v="1.833"/>
    <s v="High Speech, Language Pathway/_x000a_Audio"/>
    <x v="7"/>
  </r>
  <r>
    <s v="31002"/>
    <x v="207"/>
    <s v="Personnel"/>
    <s v="H "/>
    <s v="High Grade Group 9-12"/>
    <s v="PS45HS"/>
    <s v="PSES High Prog01Duty45 S275"/>
    <n v="1"/>
    <x v="7"/>
    <n v="45"/>
    <m/>
    <s v="   "/>
    <n v="0.14799999999999999"/>
    <n v="0.29820000000000002"/>
    <n v="0"/>
    <s v="High Speech, Language Pathway/_x000a_Audio"/>
    <x v="7"/>
  </r>
  <r>
    <s v="31002"/>
    <x v="207"/>
    <s v="Personnel"/>
    <s v="M "/>
    <s v="Middle Grade Group 7-8"/>
    <s v="PS45M21S"/>
    <s v="PSES Mid Prog21Duty45 S275"/>
    <n v="21"/>
    <x v="7"/>
    <n v="45"/>
    <m/>
    <s v="   "/>
    <n v="5.3860000000000001"/>
    <n v="0.29820000000000002"/>
    <n v="1.6060000000000001"/>
    <s v="Middle Speech, Language Pathway/_x000a_Audio"/>
    <x v="7"/>
  </r>
  <r>
    <s v="31002"/>
    <x v="207"/>
    <s v="Personnel"/>
    <s v="M "/>
    <s v="Middle Grade Group 7-8"/>
    <s v="PS45MS"/>
    <s v="PSES Mid Prog01Duty45 S275"/>
    <n v="1"/>
    <x v="7"/>
    <n v="45"/>
    <m/>
    <s v="   "/>
    <n v="0.186"/>
    <n v="0.29820000000000002"/>
    <n v="0"/>
    <s v="Middle Speech, Language Pathway/_x000a_Audio"/>
    <x v="7"/>
  </r>
  <r>
    <s v="31002"/>
    <x v="207"/>
    <s v="Personnel"/>
    <s v="E "/>
    <s v="Elementary Grade Group K-6"/>
    <s v="PS46E21S"/>
    <s v="PSES Elem Prog21Duty46 S275"/>
    <n v="21"/>
    <x v="8"/>
    <n v="46"/>
    <m/>
    <s v="   "/>
    <n v="8.4"/>
    <n v="0.29820000000000002"/>
    <n v="2.5049999999999999"/>
    <s v="Elementary Psychologist"/>
    <x v="8"/>
  </r>
  <r>
    <s v="31002"/>
    <x v="207"/>
    <s v="Personnel"/>
    <s v="H "/>
    <s v="High Grade Group 9-12"/>
    <s v="PS46H21S"/>
    <s v="PSES High Prog21Duty46 S275"/>
    <n v="21"/>
    <x v="8"/>
    <n v="46"/>
    <m/>
    <s v="   "/>
    <n v="1.4"/>
    <n v="0.29820000000000002"/>
    <n v="0.41699999999999998"/>
    <s v="High Psychologist"/>
    <x v="8"/>
  </r>
  <r>
    <s v="31002"/>
    <x v="207"/>
    <s v="Personnel"/>
    <s v="M "/>
    <s v="Middle Grade Group 7-8"/>
    <s v="PS46M21S"/>
    <s v="PSES Mid Prog21Duty46 S275"/>
    <n v="21"/>
    <x v="8"/>
    <n v="46"/>
    <m/>
    <s v="   "/>
    <n v="2.4"/>
    <n v="0.29820000000000002"/>
    <n v="0.71599999999999997"/>
    <s v="Middle Psychologist"/>
    <x v="8"/>
  </r>
  <r>
    <s v="31002"/>
    <x v="207"/>
    <s v="Personnel"/>
    <s v="E "/>
    <s v="Elementary Grade Group K-6"/>
    <s v="PS48E21S"/>
    <s v="PSES Elem Prog21Duty48 S275"/>
    <n v="21"/>
    <x v="11"/>
    <n v="48"/>
    <m/>
    <s v="   "/>
    <n v="5.5010000000000003"/>
    <n v="0.29820000000000002"/>
    <n v="1.64"/>
    <s v="Elementary Physical Therapist"/>
    <x v="11"/>
  </r>
  <r>
    <s v="31002"/>
    <x v="207"/>
    <s v="Personnel"/>
    <s v="H "/>
    <s v="High Grade Group 9-12"/>
    <s v="PS48H21S"/>
    <s v="PSES High Prog21Duty48 S275"/>
    <n v="21"/>
    <x v="11"/>
    <n v="48"/>
    <m/>
    <s v="   "/>
    <n v="0.9"/>
    <n v="0.29820000000000002"/>
    <n v="0.26800000000000002"/>
    <s v="High Physical Therapist"/>
    <x v="11"/>
  </r>
  <r>
    <s v="31002"/>
    <x v="207"/>
    <s v="Personnel"/>
    <s v="M "/>
    <s v="Middle Grade Group 7-8"/>
    <s v="PS48M21S"/>
    <s v="PSES Mid Prog21Duty48 S275"/>
    <n v="21"/>
    <x v="11"/>
    <n v="48"/>
    <m/>
    <s v="   "/>
    <n v="1"/>
    <n v="0.29820000000000002"/>
    <n v="0.29799999999999999"/>
    <s v="Middle Physical Therapist"/>
    <x v="11"/>
  </r>
  <r>
    <s v="31002"/>
    <x v="207"/>
    <s v="Personnel"/>
    <s v="E "/>
    <s v="Elementary Grade Group K-6"/>
    <s v="PS49E21S"/>
    <s v="PSES Elem Prog21Duty49 S275"/>
    <n v="21"/>
    <x v="10"/>
    <n v="49"/>
    <m/>
    <s v="   "/>
    <n v="1.3340000000000001"/>
    <n v="0.29820000000000002"/>
    <n v="0.39800000000000002"/>
    <s v="Elementary Behavior Analyst"/>
    <x v="10"/>
  </r>
  <r>
    <s v="31002"/>
    <x v="207"/>
    <s v="Personnel"/>
    <s v="H "/>
    <s v="High Grade Group 9-12"/>
    <s v="PS49H21S"/>
    <s v="PSES High Prog21Duty49 S275"/>
    <n v="21"/>
    <x v="10"/>
    <n v="49"/>
    <m/>
    <s v="   "/>
    <n v="0.29599999999999999"/>
    <n v="0.29820000000000002"/>
    <n v="8.7999999999999995E-2"/>
    <s v="High Behavior Analyst"/>
    <x v="10"/>
  </r>
  <r>
    <s v="31002"/>
    <x v="207"/>
    <s v="Personnel"/>
    <s v="M "/>
    <s v="Middle Grade Group 7-8"/>
    <s v="PS49M21S"/>
    <s v="PSES Mid Prog21Duty49 S275"/>
    <n v="21"/>
    <x v="10"/>
    <n v="49"/>
    <m/>
    <s v="   "/>
    <n v="0.37"/>
    <n v="0.29820000000000002"/>
    <n v="0.11"/>
    <s v="Middle Behavior Analyst"/>
    <x v="10"/>
  </r>
  <r>
    <s v="31004"/>
    <x v="208"/>
    <s v="Personnel"/>
    <s v="H "/>
    <s v="High Grade Group 9-12"/>
    <s v="PS24HS"/>
    <s v="PSES High Prog01Duty96 S275"/>
    <n v="1"/>
    <x v="0"/>
    <n v="96"/>
    <n v="24"/>
    <s v="   "/>
    <n v="4.6349999999999998"/>
    <n v="0.2656"/>
    <n v="0"/>
    <s v="High Family Engagement Coordinator"/>
    <x v="0"/>
  </r>
  <r>
    <s v="31004"/>
    <x v="208"/>
    <s v="Personnel"/>
    <s v="H "/>
    <s v="High Grade Group 9-12"/>
    <s v="PS25H97S"/>
    <s v="PSES High Prog97Act25 S275"/>
    <n v="97"/>
    <x v="1"/>
    <m/>
    <n v="25"/>
    <s v="   "/>
    <n v="4.32"/>
    <n v="0.2656"/>
    <n v="0"/>
    <s v="High Pupil Management"/>
    <x v="1"/>
  </r>
  <r>
    <s v="31004"/>
    <x v="208"/>
    <s v="Personnel"/>
    <s v="E "/>
    <s v="Elementary Grade Group K-6"/>
    <s v="PS26E21S"/>
    <s v="PSES Elem Prog21Act26 S275"/>
    <n v="21"/>
    <x v="2"/>
    <m/>
    <n v="26"/>
    <s v="   "/>
    <n v="0.48499999999999999"/>
    <n v="0.2656"/>
    <n v="0.129"/>
    <s v="Elementary Health/_x000a_Related Services"/>
    <x v="2"/>
  </r>
  <r>
    <s v="31004"/>
    <x v="208"/>
    <s v="Personnel"/>
    <s v="H "/>
    <s v="High Grade Group 9-12"/>
    <s v="PS26H21S"/>
    <s v="PSES High Prog21Act26 S275"/>
    <n v="21"/>
    <x v="2"/>
    <m/>
    <n v="26"/>
    <s v="   "/>
    <n v="3.63"/>
    <n v="0.2656"/>
    <n v="0.96399999999999997"/>
    <s v="High Health/_x000a_Related Services"/>
    <x v="2"/>
  </r>
  <r>
    <s v="31004"/>
    <x v="208"/>
    <s v="Personnel"/>
    <s v="H "/>
    <s v="High Grade Group 9-12"/>
    <s v="PS26HS"/>
    <s v="PSES High Prog01Act26 S275"/>
    <n v="1"/>
    <x v="2"/>
    <m/>
    <n v="26"/>
    <s v="   "/>
    <n v="15.202999999999999"/>
    <n v="0.2656"/>
    <n v="0"/>
    <s v="High Health/_x000a_Related Services"/>
    <x v="2"/>
  </r>
  <r>
    <s v="31004"/>
    <x v="208"/>
    <s v="Personnel"/>
    <s v="H "/>
    <s v="High Grade Group 9-12"/>
    <s v="PS35H97S"/>
    <s v="PSES High Prog97Act35 S275"/>
    <n v="97"/>
    <x v="3"/>
    <m/>
    <n v="35"/>
    <s v="   "/>
    <n v="1.278"/>
    <n v="0.2656"/>
    <n v="0"/>
    <s v="High Pupil Safety"/>
    <x v="3"/>
  </r>
  <r>
    <s v="31004"/>
    <x v="208"/>
    <s v="Personnel"/>
    <s v="E "/>
    <s v="Elementary Grade Group K-6"/>
    <s v="PS42ES"/>
    <s v="PSES Elem Prog01Duty42 S275"/>
    <n v="1"/>
    <x v="5"/>
    <n v="42"/>
    <m/>
    <s v="   "/>
    <n v="8"/>
    <n v="0.2656"/>
    <n v="0"/>
    <s v="Elementary Counselor"/>
    <x v="5"/>
  </r>
  <r>
    <s v="31004"/>
    <x v="208"/>
    <s v="Personnel"/>
    <s v="H "/>
    <s v="High Grade Group 9-12"/>
    <s v="PS42HS"/>
    <s v="PSES High Prog01Duty42 S275"/>
    <n v="1"/>
    <x v="5"/>
    <n v="42"/>
    <m/>
    <s v="   "/>
    <n v="10.1"/>
    <n v="0.2656"/>
    <n v="0"/>
    <s v="High Counselor"/>
    <x v="5"/>
  </r>
  <r>
    <s v="31004"/>
    <x v="208"/>
    <s v="Personnel"/>
    <s v="M "/>
    <s v="Middle Grade Group 7-8"/>
    <s v="PS42MS"/>
    <s v="PSES Mid Prog01Duty42 S275"/>
    <n v="1"/>
    <x v="5"/>
    <n v="42"/>
    <m/>
    <s v="   "/>
    <n v="4.5940000000000003"/>
    <n v="0.2656"/>
    <n v="0"/>
    <s v="Middle Counselor"/>
    <x v="5"/>
  </r>
  <r>
    <s v="31004"/>
    <x v="208"/>
    <s v="Personnel"/>
    <s v="E "/>
    <s v="Elementary Grade Group K-6"/>
    <s v="PS43E21S"/>
    <s v="PSES Elem Prog21Duty43 S275"/>
    <n v="21"/>
    <x v="6"/>
    <n v="43"/>
    <m/>
    <s v="   "/>
    <n v="6.5"/>
    <n v="0.2656"/>
    <n v="1.726"/>
    <s v="Elementary Occupational Therapist"/>
    <x v="6"/>
  </r>
  <r>
    <s v="31004"/>
    <x v="208"/>
    <s v="Personnel"/>
    <s v="E "/>
    <s v="Elementary Grade Group K-6"/>
    <s v="PS45E21S"/>
    <s v="PSES Elem Prog21Duty45 S275"/>
    <n v="21"/>
    <x v="7"/>
    <n v="45"/>
    <m/>
    <s v="   "/>
    <n v="11"/>
    <n v="0.2656"/>
    <n v="2.9220000000000002"/>
    <s v="Elementary Speech, Language Pathway/_x000a_Audio"/>
    <x v="7"/>
  </r>
  <r>
    <s v="31004"/>
    <x v="208"/>
    <s v="Personnel"/>
    <s v="H "/>
    <s v="High Grade Group 9-12"/>
    <s v="PS45H21S"/>
    <s v="PSES High Prog21Duty45 S275"/>
    <n v="21"/>
    <x v="7"/>
    <n v="45"/>
    <m/>
    <s v="   "/>
    <n v="2"/>
    <n v="0.2656"/>
    <n v="0.53100000000000003"/>
    <s v="High Speech, Language Pathway/_x000a_Audio"/>
    <x v="7"/>
  </r>
  <r>
    <s v="31004"/>
    <x v="208"/>
    <s v="Personnel"/>
    <s v="M "/>
    <s v="Middle Grade Group 7-8"/>
    <s v="PS45M21S"/>
    <s v="PSES Mid Prog21Duty45 S275"/>
    <n v="21"/>
    <x v="7"/>
    <n v="45"/>
    <m/>
    <s v="   "/>
    <n v="2"/>
    <n v="0.2656"/>
    <n v="0.53100000000000003"/>
    <s v="Middle Speech, Language Pathway/_x000a_Audio"/>
    <x v="7"/>
  </r>
  <r>
    <s v="31004"/>
    <x v="208"/>
    <s v="Personnel"/>
    <s v="E "/>
    <s v="Elementary Grade Group K-6"/>
    <s v="PS46E21S"/>
    <s v="PSES Elem Prog21Duty46 S275"/>
    <n v="21"/>
    <x v="8"/>
    <n v="46"/>
    <m/>
    <s v="   "/>
    <n v="5"/>
    <n v="0.2656"/>
    <n v="1.3280000000000001"/>
    <s v="Elementary Psychologist"/>
    <x v="8"/>
  </r>
  <r>
    <s v="31004"/>
    <x v="208"/>
    <s v="Personnel"/>
    <s v="H "/>
    <s v="High Grade Group 9-12"/>
    <s v="PS46H21S"/>
    <s v="PSES High Prog21Duty46 S275"/>
    <n v="21"/>
    <x v="8"/>
    <n v="46"/>
    <m/>
    <s v="   "/>
    <n v="1"/>
    <n v="0.2656"/>
    <n v="0.26600000000000001"/>
    <s v="High Psychologist"/>
    <x v="8"/>
  </r>
  <r>
    <s v="31004"/>
    <x v="208"/>
    <s v="Personnel"/>
    <s v="M "/>
    <s v="Middle Grade Group 7-8"/>
    <s v="PS46M21S"/>
    <s v="PSES Mid Prog21Duty46 S275"/>
    <n v="21"/>
    <x v="8"/>
    <n v="46"/>
    <m/>
    <s v="   "/>
    <n v="3"/>
    <n v="0.2656"/>
    <n v="0.79700000000000004"/>
    <s v="Middle Psychologist"/>
    <x v="8"/>
  </r>
  <r>
    <s v="31006"/>
    <x v="209"/>
    <s v="Personnel"/>
    <s v="H "/>
    <s v="High Grade Group 9-12"/>
    <s v="PS26H21S"/>
    <s v="PSES High Prog21Act26 S275"/>
    <n v="21"/>
    <x v="2"/>
    <m/>
    <n v="26"/>
    <s v="   "/>
    <n v="1.2330000000000001"/>
    <n v="0.28149999999999997"/>
    <n v="0.34699999999999998"/>
    <s v="High Health/_x000a_Related Services"/>
    <x v="2"/>
  </r>
  <r>
    <s v="31006"/>
    <x v="209"/>
    <s v="Personnel"/>
    <s v="H "/>
    <s v="High Grade Group 9-12"/>
    <s v="PS26HS"/>
    <s v="PSES High Prog01Act26 S275"/>
    <n v="1"/>
    <x v="2"/>
    <m/>
    <n v="26"/>
    <s v="   "/>
    <n v="2.4220000000000002"/>
    <n v="0.28149999999999997"/>
    <n v="0"/>
    <s v="High Health/_x000a_Related Services"/>
    <x v="2"/>
  </r>
  <r>
    <s v="31006"/>
    <x v="209"/>
    <s v="Personnel"/>
    <s v="H "/>
    <s v="High Grade Group 9-12"/>
    <s v="PS35HS"/>
    <s v="PSES High Prog01Act35 S275"/>
    <n v="1"/>
    <x v="3"/>
    <m/>
    <n v="35"/>
    <s v="   "/>
    <n v="5.5359999999999996"/>
    <n v="0.28149999999999997"/>
    <n v="0"/>
    <s v="High Pupil Safety"/>
    <x v="3"/>
  </r>
  <r>
    <s v="31006"/>
    <x v="209"/>
    <s v="Personnel"/>
    <s v="E "/>
    <s v="Elementary Grade Group K-6"/>
    <s v="PS42ES"/>
    <s v="PSES Elem Prog01Duty42 S275"/>
    <n v="1"/>
    <x v="5"/>
    <n v="42"/>
    <m/>
    <s v="   "/>
    <n v="6.7759999999999998"/>
    <n v="0.28149999999999997"/>
    <n v="0"/>
    <s v="Elementary Counselor"/>
    <x v="5"/>
  </r>
  <r>
    <s v="31006"/>
    <x v="209"/>
    <s v="Personnel"/>
    <s v="H "/>
    <s v="High Grade Group 9-12"/>
    <s v="PS42HS"/>
    <s v="PSES High Prog01Duty42 S275"/>
    <n v="1"/>
    <x v="5"/>
    <n v="42"/>
    <m/>
    <s v="   "/>
    <n v="11.65"/>
    <n v="0.28149999999999997"/>
    <n v="0"/>
    <s v="High Counselor"/>
    <x v="5"/>
  </r>
  <r>
    <s v="31006"/>
    <x v="209"/>
    <s v="Personnel"/>
    <s v="M "/>
    <s v="Middle Grade Group 7-8"/>
    <s v="PS42MS"/>
    <s v="PSES Mid Prog01Duty42 S275"/>
    <n v="1"/>
    <x v="5"/>
    <n v="42"/>
    <m/>
    <s v="   "/>
    <n v="7.556"/>
    <n v="0.28149999999999997"/>
    <n v="0"/>
    <s v="Middle Counselor"/>
    <x v="5"/>
  </r>
  <r>
    <s v="31006"/>
    <x v="209"/>
    <s v="Personnel"/>
    <s v="E "/>
    <s v="Elementary Grade Group K-6"/>
    <s v="PS43E21S"/>
    <s v="PSES Elem Prog21Duty43 S275"/>
    <n v="21"/>
    <x v="6"/>
    <n v="43"/>
    <m/>
    <s v="   "/>
    <n v="13.214"/>
    <n v="0.28149999999999997"/>
    <n v="3.72"/>
    <s v="Elementary Occupational Therapist"/>
    <x v="6"/>
  </r>
  <r>
    <s v="31006"/>
    <x v="209"/>
    <s v="Personnel"/>
    <s v="H "/>
    <s v="High Grade Group 9-12"/>
    <s v="PS43H21S"/>
    <s v="PSES High Prog21Duty43 S275"/>
    <n v="21"/>
    <x v="6"/>
    <n v="43"/>
    <m/>
    <s v="   "/>
    <n v="1.905"/>
    <n v="0.28149999999999997"/>
    <n v="0.53600000000000003"/>
    <s v="High Occupational Therapist"/>
    <x v="6"/>
  </r>
  <r>
    <s v="31006"/>
    <x v="209"/>
    <s v="Personnel"/>
    <s v="M "/>
    <s v="Middle Grade Group 7-8"/>
    <s v="PS43M21S"/>
    <s v="PSES Mid Prog21Duty43 S275"/>
    <n v="21"/>
    <x v="6"/>
    <n v="43"/>
    <m/>
    <s v="   "/>
    <n v="1.5229999999999999"/>
    <n v="0.28149999999999997"/>
    <n v="0.42899999999999999"/>
    <s v="Middle Occupational Therapist"/>
    <x v="6"/>
  </r>
  <r>
    <s v="31006"/>
    <x v="209"/>
    <s v="Personnel"/>
    <s v="E "/>
    <s v="Elementary Grade Group K-6"/>
    <s v="PS44ES"/>
    <s v="PSES Elem Prog01Duty44 S275"/>
    <n v="1"/>
    <x v="13"/>
    <n v="44"/>
    <m/>
    <s v="   "/>
    <n v="7"/>
    <n v="0.28149999999999997"/>
    <n v="0"/>
    <s v="Elementary Social Worker"/>
    <x v="13"/>
  </r>
  <r>
    <s v="31006"/>
    <x v="209"/>
    <s v="Personnel"/>
    <s v="E "/>
    <s v="Elementary Grade Group K-6"/>
    <s v="PS45E21S"/>
    <s v="PSES Elem Prog21Duty45 S275"/>
    <n v="21"/>
    <x v="7"/>
    <n v="45"/>
    <m/>
    <s v="   "/>
    <n v="21.795999999999999"/>
    <n v="0.28149999999999997"/>
    <n v="6.1360000000000001"/>
    <s v="Elementary Speech, Language Pathway/_x000a_Audio"/>
    <x v="7"/>
  </r>
  <r>
    <s v="31006"/>
    <x v="209"/>
    <s v="Personnel"/>
    <s v="H "/>
    <s v="High Grade Group 9-12"/>
    <s v="PS45H21S"/>
    <s v="PSES High Prog21Duty45 S275"/>
    <n v="21"/>
    <x v="7"/>
    <n v="45"/>
    <m/>
    <s v="   "/>
    <n v="4.7539999999999996"/>
    <n v="0.28149999999999997"/>
    <n v="1.3380000000000001"/>
    <s v="High Speech, Language Pathway/_x000a_Audio"/>
    <x v="7"/>
  </r>
  <r>
    <s v="31006"/>
    <x v="209"/>
    <s v="Personnel"/>
    <s v="M "/>
    <s v="Middle Grade Group 7-8"/>
    <s v="PS45M21S"/>
    <s v="PSES Mid Prog21Duty45 S275"/>
    <n v="21"/>
    <x v="7"/>
    <n v="45"/>
    <m/>
    <s v="   "/>
    <n v="3.1930000000000001"/>
    <n v="0.28149999999999997"/>
    <n v="0.89900000000000002"/>
    <s v="Middle Speech, Language Pathway/_x000a_Audio"/>
    <x v="7"/>
  </r>
  <r>
    <s v="31006"/>
    <x v="209"/>
    <s v="Personnel"/>
    <s v="E "/>
    <s v="Elementary Grade Group K-6"/>
    <s v="PS46E21S"/>
    <s v="PSES Elem Prog21Duty46 S275"/>
    <n v="21"/>
    <x v="8"/>
    <n v="46"/>
    <m/>
    <s v="   "/>
    <n v="8.4930000000000003"/>
    <n v="0.28149999999999997"/>
    <n v="2.391"/>
    <s v="Elementary Psychologist"/>
    <x v="8"/>
  </r>
  <r>
    <s v="31006"/>
    <x v="209"/>
    <s v="Personnel"/>
    <s v="E "/>
    <s v="Elementary Grade Group K-6"/>
    <s v="PS46ES"/>
    <s v="PSES Elem Prog01Duty46 S275"/>
    <n v="1"/>
    <x v="8"/>
    <n v="46"/>
    <m/>
    <s v="   "/>
    <n v="3"/>
    <n v="0.28149999999999997"/>
    <n v="0"/>
    <s v="Elementary Psychologist"/>
    <x v="8"/>
  </r>
  <r>
    <s v="31006"/>
    <x v="209"/>
    <s v="Personnel"/>
    <s v="H "/>
    <s v="High Grade Group 9-12"/>
    <s v="PS46H21S"/>
    <s v="PSES High Prog21Duty46 S275"/>
    <n v="21"/>
    <x v="8"/>
    <n v="46"/>
    <m/>
    <s v="   "/>
    <n v="3"/>
    <n v="0.28149999999999997"/>
    <n v="0.84499999999999997"/>
    <s v="High Psychologist"/>
    <x v="8"/>
  </r>
  <r>
    <s v="31006"/>
    <x v="209"/>
    <s v="Personnel"/>
    <s v="M "/>
    <s v="Middle Grade Group 7-8"/>
    <s v="PS46M21S"/>
    <s v="PSES Mid Prog21Duty46 S275"/>
    <n v="21"/>
    <x v="8"/>
    <n v="46"/>
    <m/>
    <s v="   "/>
    <n v="1.5069999999999999"/>
    <n v="0.28149999999999997"/>
    <n v="0.42399999999999999"/>
    <s v="Middle Psychologist"/>
    <x v="8"/>
  </r>
  <r>
    <s v="31006"/>
    <x v="209"/>
    <s v="Personnel"/>
    <s v="E "/>
    <s v="Elementary Grade Group K-6"/>
    <s v="PS47ES"/>
    <s v="PSES Elem Prog01Duty47 S275"/>
    <n v="1"/>
    <x v="9"/>
    <n v="47"/>
    <m/>
    <s v="   "/>
    <n v="8.9589999999999996"/>
    <n v="0.28149999999999997"/>
    <n v="0"/>
    <s v="Elementary Nurse"/>
    <x v="9"/>
  </r>
  <r>
    <s v="31006"/>
    <x v="209"/>
    <s v="Personnel"/>
    <s v="H "/>
    <s v="High Grade Group 9-12"/>
    <s v="PS47HS"/>
    <s v="PSES High Prog01Duty47 S275"/>
    <n v="1"/>
    <x v="9"/>
    <n v="47"/>
    <m/>
    <s v="   "/>
    <n v="2.956"/>
    <n v="0.28149999999999997"/>
    <n v="0"/>
    <s v="High Nurse"/>
    <x v="9"/>
  </r>
  <r>
    <s v="31006"/>
    <x v="209"/>
    <s v="Personnel"/>
    <s v="M "/>
    <s v="Middle Grade Group 7-8"/>
    <s v="PS47MS"/>
    <s v="PSES Mid Prog01Duty47 S275"/>
    <n v="1"/>
    <x v="9"/>
    <n v="47"/>
    <m/>
    <s v="   "/>
    <n v="2.7509999999999999"/>
    <n v="0.28149999999999997"/>
    <n v="0"/>
    <s v="Middle Nurse"/>
    <x v="9"/>
  </r>
  <r>
    <s v="31006"/>
    <x v="209"/>
    <s v="Personnel"/>
    <s v="E "/>
    <s v="Elementary Grade Group K-6"/>
    <s v="PS48E21S"/>
    <s v="PSES Elem Prog21Duty48 S275"/>
    <n v="21"/>
    <x v="11"/>
    <n v="48"/>
    <m/>
    <s v="   "/>
    <n v="3.6269999999999998"/>
    <n v="0.28149999999999997"/>
    <n v="1.0209999999999999"/>
    <s v="Elementary Physical Therapist"/>
    <x v="11"/>
  </r>
  <r>
    <s v="31006"/>
    <x v="209"/>
    <s v="Personnel"/>
    <s v="H "/>
    <s v="High Grade Group 9-12"/>
    <s v="PS48H21S"/>
    <s v="PSES High Prog21Duty48 S275"/>
    <n v="21"/>
    <x v="11"/>
    <n v="48"/>
    <m/>
    <s v="   "/>
    <n v="0.55000000000000004"/>
    <n v="0.28149999999999997"/>
    <n v="0.155"/>
    <s v="High Physical Therapist"/>
    <x v="11"/>
  </r>
  <r>
    <s v="31006"/>
    <x v="209"/>
    <s v="Personnel"/>
    <s v="M "/>
    <s v="Middle Grade Group 7-8"/>
    <s v="PS48M21S"/>
    <s v="PSES Mid Prog21Duty48 S275"/>
    <n v="21"/>
    <x v="11"/>
    <n v="48"/>
    <m/>
    <s v="   "/>
    <n v="0.32500000000000001"/>
    <n v="0.28149999999999997"/>
    <n v="9.0999999999999998E-2"/>
    <s v="Middle Physical Therapist"/>
    <x v="11"/>
  </r>
  <r>
    <s v="31015"/>
    <x v="210"/>
    <s v="Personnel"/>
    <s v="H "/>
    <s v="High Grade Group 9-12"/>
    <s v="PS24HS"/>
    <s v="PSES High Prog01Duty96 S275"/>
    <n v="1"/>
    <x v="0"/>
    <n v="96"/>
    <n v="24"/>
    <s v="   "/>
    <n v="3.3180000000000001"/>
    <n v="0.29459999999999997"/>
    <n v="0"/>
    <s v="High Family Engagement Coordinator"/>
    <x v="0"/>
  </r>
  <r>
    <s v="31015"/>
    <x v="210"/>
    <s v="Personnel"/>
    <s v="H "/>
    <s v="High Grade Group 9-12"/>
    <s v="PS25H21S"/>
    <s v="PSES High Prog21Act25 S275"/>
    <n v="21"/>
    <x v="1"/>
    <m/>
    <n v="25"/>
    <s v="   "/>
    <n v="3.42"/>
    <n v="0.29459999999999997"/>
    <n v="1.008"/>
    <s v="High Pupil Management"/>
    <x v="1"/>
  </r>
  <r>
    <s v="31015"/>
    <x v="210"/>
    <s v="Personnel"/>
    <s v="H "/>
    <s v="High Grade Group 9-12"/>
    <s v="PS25HS"/>
    <s v="PSES High Prog01Act25 S275"/>
    <n v="1"/>
    <x v="1"/>
    <m/>
    <n v="25"/>
    <s v="   "/>
    <n v="9.0180000000000007"/>
    <n v="0.29459999999999997"/>
    <n v="0"/>
    <s v="High Pupil Management"/>
    <x v="1"/>
  </r>
  <r>
    <s v="31015"/>
    <x v="210"/>
    <s v="Personnel"/>
    <s v="H "/>
    <s v="High Grade Group 9-12"/>
    <s v="PS26H21S"/>
    <s v="PSES High Prog21Act26 S275"/>
    <n v="21"/>
    <x v="2"/>
    <m/>
    <n v="26"/>
    <s v="   "/>
    <n v="2.895"/>
    <n v="0.29459999999999997"/>
    <n v="0.85299999999999998"/>
    <s v="High Health/_x000a_Related Services"/>
    <x v="2"/>
  </r>
  <r>
    <s v="31015"/>
    <x v="210"/>
    <s v="Personnel"/>
    <s v="H "/>
    <s v="High Grade Group 9-12"/>
    <s v="PS26HS"/>
    <s v="PSES High Prog01Act26 S275"/>
    <n v="1"/>
    <x v="2"/>
    <m/>
    <n v="26"/>
    <s v="   "/>
    <n v="4.5069999999999997"/>
    <n v="0.29459999999999997"/>
    <n v="0"/>
    <s v="High Health/_x000a_Related Services"/>
    <x v="2"/>
  </r>
  <r>
    <s v="31015"/>
    <x v="210"/>
    <s v="Personnel"/>
    <s v="H "/>
    <s v="High Grade Group 9-12"/>
    <s v="PS35HS"/>
    <s v="PSES High Prog01Act35 S275"/>
    <n v="1"/>
    <x v="3"/>
    <m/>
    <n v="35"/>
    <s v="   "/>
    <n v="3.5489999999999999"/>
    <n v="0.29459999999999997"/>
    <n v="0"/>
    <s v="High Pupil Safety"/>
    <x v="3"/>
  </r>
  <r>
    <s v="31015"/>
    <x v="210"/>
    <s v="Personnel"/>
    <s v="E "/>
    <s v="Elementary Grade Group K-6"/>
    <s v="PS39E21S"/>
    <s v="PSES Elem Prog21Duty39 S275"/>
    <n v="21"/>
    <x v="4"/>
    <n v="39"/>
    <m/>
    <s v="   "/>
    <n v="1"/>
    <n v="0.29459999999999997"/>
    <n v="0.29499999999999998"/>
    <s v="Elementary Orientation &amp; Mobility Specialist"/>
    <x v="4"/>
  </r>
  <r>
    <s v="31015"/>
    <x v="210"/>
    <s v="Personnel"/>
    <s v="E "/>
    <s v="Elementary Grade Group K-6"/>
    <s v="PS42ES"/>
    <s v="PSES Elem Prog01Duty42 S275"/>
    <n v="1"/>
    <x v="5"/>
    <n v="42"/>
    <m/>
    <s v="   "/>
    <n v="25.640999999999998"/>
    <n v="0.29459999999999997"/>
    <n v="0"/>
    <s v="Elementary Counselor"/>
    <x v="5"/>
  </r>
  <r>
    <s v="31015"/>
    <x v="210"/>
    <s v="Personnel"/>
    <s v="H "/>
    <s v="High Grade Group 9-12"/>
    <s v="PS42HS"/>
    <s v="PSES High Prog01Duty42 S275"/>
    <n v="1"/>
    <x v="5"/>
    <n v="42"/>
    <m/>
    <s v="   "/>
    <n v="19.292000000000002"/>
    <n v="0.29459999999999997"/>
    <n v="0"/>
    <s v="High Counselor"/>
    <x v="5"/>
  </r>
  <r>
    <s v="31015"/>
    <x v="210"/>
    <s v="Personnel"/>
    <s v="M "/>
    <s v="Middle Grade Group 7-8"/>
    <s v="PS42MS"/>
    <s v="PSES Mid Prog01Duty42 S275"/>
    <n v="1"/>
    <x v="5"/>
    <n v="42"/>
    <m/>
    <s v="   "/>
    <n v="10.6"/>
    <n v="0.29459999999999997"/>
    <n v="0"/>
    <s v="Middle Counselor"/>
    <x v="5"/>
  </r>
  <r>
    <s v="31015"/>
    <x v="210"/>
    <s v="Personnel"/>
    <s v="E "/>
    <s v="Elementary Grade Group K-6"/>
    <s v="PS43E21S"/>
    <s v="PSES Elem Prog21Duty43 S275"/>
    <n v="21"/>
    <x v="6"/>
    <n v="43"/>
    <m/>
    <s v="   "/>
    <n v="15.907999999999999"/>
    <n v="0.29459999999999997"/>
    <n v="4.6859999999999999"/>
    <s v="Elementary Occupational Therapist"/>
    <x v="6"/>
  </r>
  <r>
    <s v="31015"/>
    <x v="210"/>
    <s v="Personnel"/>
    <s v="E "/>
    <s v="Elementary Grade Group K-6"/>
    <s v="PS45E21S"/>
    <s v="PSES Elem Prog21Duty45 S275"/>
    <n v="21"/>
    <x v="7"/>
    <n v="45"/>
    <m/>
    <s v="   "/>
    <n v="39.203000000000003"/>
    <n v="0.29459999999999997"/>
    <n v="11.548999999999999"/>
    <s v="Elementary Speech, Language Pathway/_x000a_Audio"/>
    <x v="7"/>
  </r>
  <r>
    <s v="31015"/>
    <x v="210"/>
    <s v="Personnel"/>
    <s v="E "/>
    <s v="Elementary Grade Group K-6"/>
    <s v="PS45ES"/>
    <s v="PSES Elem Prog01Duty45 S275"/>
    <n v="1"/>
    <x v="7"/>
    <n v="45"/>
    <m/>
    <s v="   "/>
    <n v="0.79200000000000004"/>
    <n v="0.29459999999999997"/>
    <n v="0"/>
    <s v="Elementary Speech, Language Pathway/_x000a_Audio"/>
    <x v="7"/>
  </r>
  <r>
    <s v="31015"/>
    <x v="210"/>
    <s v="Personnel"/>
    <s v="H "/>
    <s v="High Grade Group 9-12"/>
    <s v="PS45H21S"/>
    <s v="PSES High Prog21Duty45 S275"/>
    <n v="21"/>
    <x v="7"/>
    <n v="45"/>
    <m/>
    <s v="   "/>
    <n v="0.2"/>
    <n v="0.29459999999999997"/>
    <n v="5.8999999999999997E-2"/>
    <s v="High Speech, Language Pathway/_x000a_Audio"/>
    <x v="7"/>
  </r>
  <r>
    <s v="31015"/>
    <x v="210"/>
    <s v="Personnel"/>
    <s v="E "/>
    <s v="Elementary Grade Group K-6"/>
    <s v="PS46E21S"/>
    <s v="PSES Elem Prog21Duty46 S275"/>
    <n v="21"/>
    <x v="8"/>
    <n v="46"/>
    <m/>
    <s v="   "/>
    <n v="14.395"/>
    <n v="0.29459999999999997"/>
    <n v="4.2409999999999997"/>
    <s v="Elementary Psychologist"/>
    <x v="8"/>
  </r>
  <r>
    <s v="31015"/>
    <x v="210"/>
    <s v="Personnel"/>
    <s v="H "/>
    <s v="High Grade Group 9-12"/>
    <s v="PS46H21S"/>
    <s v="PSES High Prog21Duty46 S275"/>
    <n v="21"/>
    <x v="8"/>
    <n v="46"/>
    <m/>
    <s v="   "/>
    <n v="5.9"/>
    <n v="0.29459999999999997"/>
    <n v="1.738"/>
    <s v="High Psychologist"/>
    <x v="8"/>
  </r>
  <r>
    <s v="31015"/>
    <x v="210"/>
    <s v="Personnel"/>
    <s v="M "/>
    <s v="Middle Grade Group 7-8"/>
    <s v="PS46M21S"/>
    <s v="PSES Mid Prog21Duty46 S275"/>
    <n v="21"/>
    <x v="8"/>
    <n v="46"/>
    <m/>
    <s v="   "/>
    <n v="1.7"/>
    <n v="0.29459999999999997"/>
    <n v="0.501"/>
    <s v="Middle Psychologist"/>
    <x v="8"/>
  </r>
  <r>
    <s v="31015"/>
    <x v="210"/>
    <s v="Personnel"/>
    <s v="E "/>
    <s v="Elementary Grade Group K-6"/>
    <s v="PS47E21S"/>
    <s v="PSES Elem Prog21Duty47 S275"/>
    <n v="21"/>
    <x v="9"/>
    <n v="47"/>
    <m/>
    <s v="   "/>
    <n v="0.7"/>
    <n v="0.29459999999999997"/>
    <n v="0.20599999999999999"/>
    <s v="Elementary Nurse"/>
    <x v="9"/>
  </r>
  <r>
    <s v="31015"/>
    <x v="210"/>
    <s v="Personnel"/>
    <s v="E "/>
    <s v="Elementary Grade Group K-6"/>
    <s v="PS47ES"/>
    <s v="PSES Elem Prog01Duty47 S275"/>
    <n v="1"/>
    <x v="9"/>
    <n v="47"/>
    <m/>
    <s v="   "/>
    <n v="11.59"/>
    <n v="0.29459999999999997"/>
    <n v="0"/>
    <s v="Elementary Nurse"/>
    <x v="9"/>
  </r>
  <r>
    <s v="31015"/>
    <x v="210"/>
    <s v="Personnel"/>
    <s v="H "/>
    <s v="High Grade Group 9-12"/>
    <s v="PS47H21S"/>
    <s v="PSES High Prog21Duty47 S275"/>
    <n v="21"/>
    <x v="9"/>
    <n v="47"/>
    <m/>
    <s v="   "/>
    <n v="0.2"/>
    <n v="0.29459999999999997"/>
    <n v="5.8999999999999997E-2"/>
    <s v="High Nurse"/>
    <x v="9"/>
  </r>
  <r>
    <s v="31015"/>
    <x v="210"/>
    <s v="Personnel"/>
    <s v="H "/>
    <s v="High Grade Group 9-12"/>
    <s v="PS47HS"/>
    <s v="PSES High Prog01Duty47 S275"/>
    <n v="1"/>
    <x v="9"/>
    <n v="47"/>
    <m/>
    <s v="   "/>
    <n v="4.4000000000000004"/>
    <n v="0.29459999999999997"/>
    <n v="0"/>
    <s v="High Nurse"/>
    <x v="9"/>
  </r>
  <r>
    <s v="31015"/>
    <x v="210"/>
    <s v="Personnel"/>
    <s v="M "/>
    <s v="Middle Grade Group 7-8"/>
    <s v="PS47MS"/>
    <s v="PSES Mid Prog01Duty47 S275"/>
    <n v="1"/>
    <x v="9"/>
    <n v="47"/>
    <m/>
    <s v="   "/>
    <n v="1.8"/>
    <n v="0.29459999999999997"/>
    <n v="0"/>
    <s v="Middle Nurse"/>
    <x v="9"/>
  </r>
  <r>
    <s v="31015"/>
    <x v="210"/>
    <s v="Personnel"/>
    <s v="E "/>
    <s v="Elementary Grade Group K-6"/>
    <s v="PS48E21S"/>
    <s v="PSES Elem Prog21Duty48 S275"/>
    <n v="21"/>
    <x v="11"/>
    <n v="48"/>
    <m/>
    <s v="   "/>
    <n v="6.8"/>
    <n v="0.29459999999999997"/>
    <n v="2.0030000000000001"/>
    <s v="Elementary Physical Therapist"/>
    <x v="11"/>
  </r>
  <r>
    <s v="31015"/>
    <x v="210"/>
    <s v="Personnel"/>
    <s v="E "/>
    <s v="Elementary Grade Group K-6"/>
    <s v="PS49E21S"/>
    <s v="PSES Elem Prog21Duty49 S275"/>
    <n v="21"/>
    <x v="10"/>
    <n v="49"/>
    <m/>
    <s v="   "/>
    <n v="0.46500000000000002"/>
    <n v="0.29459999999999997"/>
    <n v="0.13700000000000001"/>
    <s v="Elementary Behavior Analyst"/>
    <x v="10"/>
  </r>
  <r>
    <s v="31015"/>
    <x v="210"/>
    <s v="Personnel"/>
    <s v="E "/>
    <s v="Elementary Grade Group K-6"/>
    <s v="PS49ES"/>
    <s v="PSES Elem Prog01Duty49 S275"/>
    <n v="1"/>
    <x v="10"/>
    <n v="49"/>
    <m/>
    <s v="   "/>
    <n v="4"/>
    <n v="0.29459999999999997"/>
    <n v="0"/>
    <s v="Elementary Behavior Analyst"/>
    <x v="10"/>
  </r>
  <r>
    <s v="31016"/>
    <x v="211"/>
    <s v="Personnel"/>
    <s v="H "/>
    <s v="High Grade Group 9-12"/>
    <s v="PS25HS"/>
    <s v="PSES High Prog01Act25 S275"/>
    <n v="1"/>
    <x v="1"/>
    <m/>
    <n v="25"/>
    <s v="   "/>
    <n v="1.349"/>
    <n v="0.2326"/>
    <n v="0"/>
    <s v="High Pupil Management"/>
    <x v="1"/>
  </r>
  <r>
    <s v="31016"/>
    <x v="211"/>
    <s v="Personnel"/>
    <s v="E "/>
    <s v="Elementary Grade Group K-6"/>
    <s v="PS26E21S"/>
    <s v="PSES Elem Prog21Act26 S275"/>
    <n v="21"/>
    <x v="2"/>
    <m/>
    <n v="26"/>
    <s v="   "/>
    <n v="1.454"/>
    <n v="0.2326"/>
    <n v="0.33800000000000002"/>
    <s v="Elementary Health/_x000a_Related Services"/>
    <x v="2"/>
  </r>
  <r>
    <s v="31016"/>
    <x v="211"/>
    <s v="Personnel"/>
    <s v="E "/>
    <s v="Elementary Grade Group K-6"/>
    <s v="PS26ES"/>
    <s v="PSES Elem Prog01Act26 S275"/>
    <n v="1"/>
    <x v="2"/>
    <m/>
    <n v="26"/>
    <s v="   "/>
    <n v="2.7839999999999998"/>
    <n v="0.2326"/>
    <n v="0"/>
    <s v="Elementary Health/_x000a_Related Services"/>
    <x v="2"/>
  </r>
  <r>
    <s v="31016"/>
    <x v="211"/>
    <s v="Personnel"/>
    <s v="H "/>
    <s v="High Grade Group 9-12"/>
    <s v="PS26H21S"/>
    <s v="PSES High Prog21Act26 S275"/>
    <n v="21"/>
    <x v="2"/>
    <m/>
    <n v="26"/>
    <s v="   "/>
    <n v="0.501"/>
    <n v="0.2326"/>
    <n v="0.11700000000000001"/>
    <s v="High Health/_x000a_Related Services"/>
    <x v="2"/>
  </r>
  <r>
    <s v="31016"/>
    <x v="211"/>
    <s v="Personnel"/>
    <s v="H "/>
    <s v="High Grade Group 9-12"/>
    <s v="PS26HS"/>
    <s v="PSES High Prog01Act26 S275"/>
    <n v="1"/>
    <x v="2"/>
    <m/>
    <n v="26"/>
    <s v="   "/>
    <n v="1.5720000000000001"/>
    <n v="0.2326"/>
    <n v="0"/>
    <s v="High Health/_x000a_Related Services"/>
    <x v="2"/>
  </r>
  <r>
    <s v="31016"/>
    <x v="211"/>
    <s v="Personnel"/>
    <s v="M "/>
    <s v="Middle Grade Group 7-8"/>
    <s v="PS26M21S"/>
    <s v="PSES Mid Prog21Act26 S275"/>
    <n v="21"/>
    <x v="2"/>
    <m/>
    <n v="26"/>
    <s v="   "/>
    <n v="0.219"/>
    <n v="0.2326"/>
    <n v="5.0999999999999997E-2"/>
    <s v="Middle Health/_x000a_Related Services"/>
    <x v="2"/>
  </r>
  <r>
    <s v="31016"/>
    <x v="211"/>
    <s v="Personnel"/>
    <s v="M "/>
    <s v="Middle Grade Group 7-8"/>
    <s v="PS26MS"/>
    <s v="PSES Mid Prog01Act26 S275"/>
    <n v="1"/>
    <x v="2"/>
    <m/>
    <n v="26"/>
    <s v="   "/>
    <n v="1.3919999999999999"/>
    <n v="0.2326"/>
    <n v="0"/>
    <s v="Middle Health/_x000a_Related Services"/>
    <x v="2"/>
  </r>
  <r>
    <s v="31016"/>
    <x v="211"/>
    <s v="Personnel"/>
    <s v="E "/>
    <s v="Elementary Grade Group K-6"/>
    <s v="PS42ES"/>
    <s v="PSES Elem Prog01Duty42 S275"/>
    <n v="1"/>
    <x v="5"/>
    <n v="42"/>
    <m/>
    <s v="   "/>
    <n v="4"/>
    <n v="0.2326"/>
    <n v="0"/>
    <s v="Elementary Counselor"/>
    <x v="5"/>
  </r>
  <r>
    <s v="31016"/>
    <x v="211"/>
    <s v="Personnel"/>
    <s v="H "/>
    <s v="High Grade Group 9-12"/>
    <s v="PS42HS"/>
    <s v="PSES High Prog01Duty42 S275"/>
    <n v="1"/>
    <x v="5"/>
    <n v="42"/>
    <m/>
    <s v="   "/>
    <n v="5.5"/>
    <n v="0.2326"/>
    <n v="0"/>
    <s v="High Counselor"/>
    <x v="5"/>
  </r>
  <r>
    <s v="31016"/>
    <x v="211"/>
    <s v="Personnel"/>
    <s v="M "/>
    <s v="Middle Grade Group 7-8"/>
    <s v="PS42MS"/>
    <s v="PSES Mid Prog01Duty42 S275"/>
    <n v="1"/>
    <x v="5"/>
    <n v="42"/>
    <m/>
    <s v="   "/>
    <n v="1.7"/>
    <n v="0.2326"/>
    <n v="0"/>
    <s v="Middle Counselor"/>
    <x v="5"/>
  </r>
  <r>
    <s v="31016"/>
    <x v="211"/>
    <s v="Personnel"/>
    <s v="E "/>
    <s v="Elementary Grade Group K-6"/>
    <s v="PS43E21S"/>
    <s v="PSES Elem Prog21Duty43 S275"/>
    <n v="21"/>
    <x v="6"/>
    <n v="43"/>
    <m/>
    <s v="   "/>
    <n v="3.371"/>
    <n v="0.2326"/>
    <n v="0.78400000000000003"/>
    <s v="Elementary Occupational Therapist"/>
    <x v="6"/>
  </r>
  <r>
    <s v="31016"/>
    <x v="211"/>
    <s v="Personnel"/>
    <s v="H "/>
    <s v="High Grade Group 9-12"/>
    <s v="PS43H21S"/>
    <s v="PSES High Prog21Duty43 S275"/>
    <n v="21"/>
    <x v="6"/>
    <n v="43"/>
    <m/>
    <s v="   "/>
    <n v="0.47499999999999998"/>
    <n v="0.2326"/>
    <n v="0.11"/>
    <s v="High Occupational Therapist"/>
    <x v="6"/>
  </r>
  <r>
    <s v="31016"/>
    <x v="211"/>
    <s v="Personnel"/>
    <s v="M "/>
    <s v="Middle Grade Group 7-8"/>
    <s v="PS43M21S"/>
    <s v="PSES Mid Prog21Duty43 S275"/>
    <n v="21"/>
    <x v="6"/>
    <n v="43"/>
    <m/>
    <s v="   "/>
    <n v="0.77300000000000002"/>
    <n v="0.2326"/>
    <n v="0.18"/>
    <s v="Middle Occupational Therapist"/>
    <x v="6"/>
  </r>
  <r>
    <s v="31016"/>
    <x v="211"/>
    <s v="Personnel"/>
    <s v="E "/>
    <s v="Elementary Grade Group K-6"/>
    <s v="PS45E21S"/>
    <s v="PSES Elem Prog21Duty45 S275"/>
    <n v="21"/>
    <x v="7"/>
    <n v="45"/>
    <m/>
    <s v="   "/>
    <n v="8.6940000000000008"/>
    <n v="0.2326"/>
    <n v="2.0219999999999998"/>
    <s v="Elementary Speech, Language Pathway/_x000a_Audio"/>
    <x v="7"/>
  </r>
  <r>
    <s v="31016"/>
    <x v="211"/>
    <s v="Personnel"/>
    <s v="M "/>
    <s v="Middle Grade Group 7-8"/>
    <s v="PS45M21S"/>
    <s v="PSES Mid Prog21Duty45 S275"/>
    <n v="21"/>
    <x v="7"/>
    <n v="45"/>
    <m/>
    <s v="   "/>
    <n v="1.006"/>
    <n v="0.2326"/>
    <n v="0.23400000000000001"/>
    <s v="Middle Speech, Language Pathway/_x000a_Audio"/>
    <x v="7"/>
  </r>
  <r>
    <s v="31016"/>
    <x v="211"/>
    <s v="Personnel"/>
    <s v="E "/>
    <s v="Elementary Grade Group K-6"/>
    <s v="PS46E21S"/>
    <s v="PSES Elem Prog21Duty46 S275"/>
    <n v="21"/>
    <x v="8"/>
    <n v="46"/>
    <m/>
    <s v="   "/>
    <n v="0.3"/>
    <n v="0.2326"/>
    <n v="7.0000000000000007E-2"/>
    <s v="Elementary Psychologist"/>
    <x v="8"/>
  </r>
  <r>
    <s v="31016"/>
    <x v="211"/>
    <s v="Personnel"/>
    <s v="E "/>
    <s v="Elementary Grade Group K-6"/>
    <s v="PS47ES"/>
    <s v="PSES Elem Prog01Duty47 S275"/>
    <n v="1"/>
    <x v="9"/>
    <n v="47"/>
    <m/>
    <s v="   "/>
    <n v="1"/>
    <n v="0.2326"/>
    <n v="0"/>
    <s v="Elementary Nurse"/>
    <x v="9"/>
  </r>
  <r>
    <s v="31016"/>
    <x v="211"/>
    <s v="Personnel"/>
    <s v="E "/>
    <s v="Elementary Grade Group K-6"/>
    <s v="PS48E21S"/>
    <s v="PSES Elem Prog21Duty48 S275"/>
    <n v="21"/>
    <x v="11"/>
    <n v="48"/>
    <m/>
    <s v="   "/>
    <n v="0.76100000000000001"/>
    <n v="0.2326"/>
    <n v="0.17699999999999999"/>
    <s v="Elementary Physical Therapist"/>
    <x v="11"/>
  </r>
  <r>
    <s v="31016"/>
    <x v="211"/>
    <s v="Personnel"/>
    <s v="H "/>
    <s v="High Grade Group 9-12"/>
    <s v="PS48H21S"/>
    <s v="PSES High Prog21Duty48 S275"/>
    <n v="21"/>
    <x v="11"/>
    <n v="48"/>
    <m/>
    <s v="   "/>
    <n v="0.14799999999999999"/>
    <n v="0.2326"/>
    <n v="3.4000000000000002E-2"/>
    <s v="High Physical Therapist"/>
    <x v="11"/>
  </r>
  <r>
    <s v="31016"/>
    <x v="211"/>
    <s v="Personnel"/>
    <s v="M "/>
    <s v="Middle Grade Group 7-8"/>
    <s v="PS48M21S"/>
    <s v="PSES Mid Prog21Duty48 S275"/>
    <n v="21"/>
    <x v="11"/>
    <n v="48"/>
    <m/>
    <s v="   "/>
    <n v="9.0999999999999998E-2"/>
    <n v="0.2326"/>
    <n v="2.1000000000000001E-2"/>
    <s v="Middle Physical Therapist"/>
    <x v="11"/>
  </r>
  <r>
    <s v="31025"/>
    <x v="212"/>
    <s v="Personnel"/>
    <s v="H "/>
    <s v="High Grade Group 9-12"/>
    <s v="PS24HS"/>
    <s v="PSES High Prog01Duty96 S275"/>
    <n v="1"/>
    <x v="0"/>
    <n v="96"/>
    <n v="24"/>
    <s v="   "/>
    <n v="1.8260000000000001"/>
    <n v="0.30270000000000002"/>
    <n v="0"/>
    <s v="High Family Engagement Coordinator"/>
    <x v="0"/>
  </r>
  <r>
    <s v="31025"/>
    <x v="212"/>
    <s v="Personnel"/>
    <s v="H "/>
    <s v="High Grade Group 9-12"/>
    <s v="PS25H21S"/>
    <s v="PSES High Prog21Act25 S275"/>
    <n v="21"/>
    <x v="1"/>
    <m/>
    <n v="25"/>
    <s v="   "/>
    <n v="1.117"/>
    <n v="0.30270000000000002"/>
    <n v="0.33800000000000002"/>
    <s v="High Pupil Management"/>
    <x v="1"/>
  </r>
  <r>
    <s v="31025"/>
    <x v="212"/>
    <s v="Personnel"/>
    <s v="H "/>
    <s v="High Grade Group 9-12"/>
    <s v="PS25HS"/>
    <s v="PSES High Prog01Act25 S275"/>
    <n v="1"/>
    <x v="1"/>
    <m/>
    <n v="25"/>
    <s v="   "/>
    <n v="13.766999999999999"/>
    <n v="0.30270000000000002"/>
    <n v="0"/>
    <s v="High Pupil Management"/>
    <x v="1"/>
  </r>
  <r>
    <s v="31025"/>
    <x v="212"/>
    <s v="Personnel"/>
    <s v="H "/>
    <s v="High Grade Group 9-12"/>
    <s v="PS26H21S"/>
    <s v="PSES High Prog21Act26 S275"/>
    <n v="21"/>
    <x v="2"/>
    <m/>
    <n v="26"/>
    <s v="   "/>
    <n v="0.624"/>
    <n v="0.30270000000000002"/>
    <n v="0.189"/>
    <s v="High Health/_x000a_Related Services"/>
    <x v="2"/>
  </r>
  <r>
    <s v="31025"/>
    <x v="212"/>
    <s v="Personnel"/>
    <s v="H "/>
    <s v="High Grade Group 9-12"/>
    <s v="PS26HS"/>
    <s v="PSES High Prog01Act26 S275"/>
    <n v="1"/>
    <x v="2"/>
    <m/>
    <n v="26"/>
    <s v="   "/>
    <n v="13.131"/>
    <n v="0.30270000000000002"/>
    <n v="0"/>
    <s v="High Health/_x000a_Related Services"/>
    <x v="2"/>
  </r>
  <r>
    <s v="31025"/>
    <x v="212"/>
    <s v="Personnel"/>
    <s v="E "/>
    <s v="Elementary Grade Group K-6"/>
    <s v="PS42ES"/>
    <s v="PSES Elem Prog01Duty42 S275"/>
    <n v="1"/>
    <x v="5"/>
    <n v="42"/>
    <m/>
    <s v="   "/>
    <n v="10.180999999999999"/>
    <n v="0.30270000000000002"/>
    <n v="0"/>
    <s v="Elementary Counselor"/>
    <x v="5"/>
  </r>
  <r>
    <s v="31025"/>
    <x v="212"/>
    <s v="Personnel"/>
    <s v="H "/>
    <s v="High Grade Group 9-12"/>
    <s v="PS42HS"/>
    <s v="PSES High Prog01Duty42 S275"/>
    <n v="1"/>
    <x v="5"/>
    <n v="42"/>
    <m/>
    <s v="   "/>
    <n v="6.4340000000000002"/>
    <n v="0.30270000000000002"/>
    <n v="0"/>
    <s v="High Counselor"/>
    <x v="5"/>
  </r>
  <r>
    <s v="31025"/>
    <x v="212"/>
    <s v="Personnel"/>
    <s v="M "/>
    <s v="Middle Grade Group 7-8"/>
    <s v="PS42MS"/>
    <s v="PSES Mid Prog01Duty42 S275"/>
    <n v="1"/>
    <x v="5"/>
    <n v="42"/>
    <m/>
    <s v="   "/>
    <n v="2.1259999999999999"/>
    <n v="0.30270000000000002"/>
    <n v="0"/>
    <s v="Middle Counselor"/>
    <x v="5"/>
  </r>
  <r>
    <s v="31025"/>
    <x v="212"/>
    <s v="Personnel"/>
    <s v="E "/>
    <s v="Elementary Grade Group K-6"/>
    <s v="PS43E21S"/>
    <s v="PSES Elem Prog21Duty43 S275"/>
    <n v="21"/>
    <x v="6"/>
    <n v="43"/>
    <m/>
    <s v="   "/>
    <n v="4.8"/>
    <n v="0.30270000000000002"/>
    <n v="1.4530000000000001"/>
    <s v="Elementary Occupational Therapist"/>
    <x v="6"/>
  </r>
  <r>
    <s v="31025"/>
    <x v="212"/>
    <s v="Personnel"/>
    <s v="E "/>
    <s v="Elementary Grade Group K-6"/>
    <s v="PS45E21S"/>
    <s v="PSES Elem Prog21Duty45 S275"/>
    <n v="21"/>
    <x v="7"/>
    <n v="45"/>
    <m/>
    <s v="   "/>
    <n v="11.1"/>
    <n v="0.30270000000000002"/>
    <n v="3.36"/>
    <s v="Elementary Speech, Language Pathway/_x000a_Audio"/>
    <x v="7"/>
  </r>
  <r>
    <s v="31025"/>
    <x v="212"/>
    <s v="Personnel"/>
    <s v="E "/>
    <s v="Elementary Grade Group K-6"/>
    <s v="PS45ES"/>
    <s v="PSES Elem Prog01Duty45 S275"/>
    <n v="1"/>
    <x v="7"/>
    <n v="45"/>
    <m/>
    <s v="   "/>
    <n v="0.7"/>
    <n v="0.30270000000000002"/>
    <n v="0"/>
    <s v="Elementary Speech, Language Pathway/_x000a_Audio"/>
    <x v="7"/>
  </r>
  <r>
    <s v="31025"/>
    <x v="212"/>
    <s v="Personnel"/>
    <s v="H "/>
    <s v="High Grade Group 9-12"/>
    <s v="PS45H21S"/>
    <s v="PSES High Prog21Duty45 S275"/>
    <n v="21"/>
    <x v="7"/>
    <n v="45"/>
    <m/>
    <s v="   "/>
    <n v="1"/>
    <n v="0.30270000000000002"/>
    <n v="0.30299999999999999"/>
    <s v="High Speech, Language Pathway/_x000a_Audio"/>
    <x v="7"/>
  </r>
  <r>
    <s v="31025"/>
    <x v="212"/>
    <s v="Personnel"/>
    <s v="M "/>
    <s v="Middle Grade Group 7-8"/>
    <s v="PS45M21S"/>
    <s v="PSES Mid Prog21Duty45 S275"/>
    <n v="21"/>
    <x v="7"/>
    <n v="45"/>
    <m/>
    <s v="   "/>
    <n v="1"/>
    <n v="0.30270000000000002"/>
    <n v="0.30299999999999999"/>
    <s v="Middle Speech, Language Pathway/_x000a_Audio"/>
    <x v="7"/>
  </r>
  <r>
    <s v="31025"/>
    <x v="212"/>
    <s v="Personnel"/>
    <s v="E "/>
    <s v="Elementary Grade Group K-6"/>
    <s v="PS46E21S"/>
    <s v="PSES Elem Prog21Duty46 S275"/>
    <n v="21"/>
    <x v="8"/>
    <n v="46"/>
    <m/>
    <s v="   "/>
    <n v="3.8"/>
    <n v="0.30270000000000002"/>
    <n v="1.1499999999999999"/>
    <s v="Elementary Psychologist"/>
    <x v="8"/>
  </r>
  <r>
    <s v="31025"/>
    <x v="212"/>
    <s v="Personnel"/>
    <s v="M "/>
    <s v="Middle Grade Group 7-8"/>
    <s v="PS46M21S"/>
    <s v="PSES Mid Prog21Duty46 S275"/>
    <n v="21"/>
    <x v="8"/>
    <n v="46"/>
    <m/>
    <s v="   "/>
    <n v="4"/>
    <n v="0.30270000000000002"/>
    <n v="1.2110000000000001"/>
    <s v="Middle Psychologist"/>
    <x v="8"/>
  </r>
  <r>
    <s v="31025"/>
    <x v="212"/>
    <s v="Personnel"/>
    <s v="E "/>
    <s v="Elementary Grade Group K-6"/>
    <s v="PS47ES"/>
    <s v="PSES Elem Prog01Duty47 S275"/>
    <n v="1"/>
    <x v="9"/>
    <n v="47"/>
    <m/>
    <s v="   "/>
    <n v="0.5"/>
    <n v="0.30270000000000002"/>
    <n v="0"/>
    <s v="Elementary Nurse"/>
    <x v="9"/>
  </r>
  <r>
    <s v="31025"/>
    <x v="212"/>
    <s v="Personnel"/>
    <s v="E "/>
    <s v="Elementary Grade Group K-6"/>
    <s v="PS48E21S"/>
    <s v="PSES Elem Prog21Duty48 S275"/>
    <n v="21"/>
    <x v="11"/>
    <n v="48"/>
    <m/>
    <s v="   "/>
    <n v="3"/>
    <n v="0.30270000000000002"/>
    <n v="0.90800000000000003"/>
    <s v="Elementary Physical Therapist"/>
    <x v="11"/>
  </r>
  <r>
    <s v="31063"/>
    <x v="213"/>
    <s v="Personnel"/>
    <s v="E "/>
    <s v="Elementary Grade Group K-6"/>
    <s v="PS26ES"/>
    <s v="PSES Elem Prog01Act26 S275"/>
    <n v="1"/>
    <x v="2"/>
    <m/>
    <n v="26"/>
    <s v="   "/>
    <n v="0.127"/>
    <n v="0.08"/>
    <n v="0"/>
    <s v="Elementary Health/_x000a_Related Services"/>
    <x v="2"/>
  </r>
  <r>
    <s v="31063"/>
    <x v="213"/>
    <s v="Personnel"/>
    <s v="M "/>
    <s v="Middle Grade Group 7-8"/>
    <s v="PS26MS"/>
    <s v="PSES Mid Prog01Act26 S275"/>
    <n v="1"/>
    <x v="2"/>
    <m/>
    <n v="26"/>
    <s v="   "/>
    <n v="1.2999999999999999E-2"/>
    <n v="0.08"/>
    <n v="0"/>
    <s v="Middle Health/_x000a_Related Services"/>
    <x v="2"/>
  </r>
  <r>
    <s v="31103"/>
    <x v="214"/>
    <s v="Personnel"/>
    <s v="E "/>
    <s v="Elementary Grade Group K-6"/>
    <s v="PS24ES"/>
    <s v="PSES Elem Prog01Duty96 S275"/>
    <n v="1"/>
    <x v="0"/>
    <n v="96"/>
    <n v="24"/>
    <s v="   "/>
    <n v="0.248"/>
    <n v="0.2051"/>
    <n v="0"/>
    <s v="Elementary Family Engagement Coordinator"/>
    <x v="0"/>
  </r>
  <r>
    <s v="31103"/>
    <x v="214"/>
    <s v="Personnel"/>
    <s v="H "/>
    <s v="High Grade Group 9-12"/>
    <s v="PS24HS"/>
    <s v="PSES High Prog01Duty96 S275"/>
    <n v="1"/>
    <x v="0"/>
    <n v="96"/>
    <n v="24"/>
    <s v="   "/>
    <n v="0.78"/>
    <n v="0.2051"/>
    <n v="0"/>
    <s v="High Family Engagement Coordinator"/>
    <x v="0"/>
  </r>
  <r>
    <s v="31103"/>
    <x v="214"/>
    <s v="Personnel"/>
    <s v="M "/>
    <s v="Middle Grade Group 7-8"/>
    <s v="PS24MS"/>
    <s v="PSES Mid Prog01Duty96 S275"/>
    <n v="1"/>
    <x v="0"/>
    <n v="96"/>
    <n v="24"/>
    <s v="   "/>
    <n v="0.52900000000000003"/>
    <n v="0.2051"/>
    <n v="0"/>
    <s v="Middle Family Engagement Coordinator"/>
    <x v="0"/>
  </r>
  <r>
    <s v="31103"/>
    <x v="214"/>
    <s v="Personnel"/>
    <s v="E "/>
    <s v="Elementary Grade Group K-6"/>
    <s v="PS25ES"/>
    <s v="PSES Elem Prog01Act25 S275"/>
    <n v="1"/>
    <x v="1"/>
    <m/>
    <n v="25"/>
    <s v="   "/>
    <n v="0.75900000000000001"/>
    <n v="0.2051"/>
    <n v="0"/>
    <s v="Elementary Pupil Management"/>
    <x v="1"/>
  </r>
  <r>
    <s v="31103"/>
    <x v="214"/>
    <s v="Personnel"/>
    <s v="H "/>
    <s v="High Grade Group 9-12"/>
    <s v="PS25HS"/>
    <s v="PSES High Prog01Act25 S275"/>
    <n v="1"/>
    <x v="1"/>
    <m/>
    <n v="25"/>
    <s v="   "/>
    <n v="4.3739999999999997"/>
    <n v="0.2051"/>
    <n v="0"/>
    <s v="High Pupil Management"/>
    <x v="1"/>
  </r>
  <r>
    <s v="31103"/>
    <x v="214"/>
    <s v="Personnel"/>
    <s v="M "/>
    <s v="Middle Grade Group 7-8"/>
    <s v="PS25MS"/>
    <s v="PSES Mid Prog01Act25 S275"/>
    <n v="1"/>
    <x v="1"/>
    <m/>
    <n v="25"/>
    <s v="   "/>
    <n v="3.2000000000000001E-2"/>
    <n v="0.2051"/>
    <n v="0"/>
    <s v="Middle Pupil Management"/>
    <x v="1"/>
  </r>
  <r>
    <s v="31103"/>
    <x v="214"/>
    <s v="Personnel"/>
    <s v="E "/>
    <s v="Elementary Grade Group K-6"/>
    <s v="PS26ES"/>
    <s v="PSES Elem Prog01Act26 S275"/>
    <n v="1"/>
    <x v="2"/>
    <m/>
    <n v="26"/>
    <s v="   "/>
    <n v="2.7149999999999999"/>
    <n v="0.2051"/>
    <n v="0"/>
    <s v="Elementary Health/_x000a_Related Services"/>
    <x v="2"/>
  </r>
  <r>
    <s v="31103"/>
    <x v="214"/>
    <s v="Personnel"/>
    <s v="H "/>
    <s v="High Grade Group 9-12"/>
    <s v="PS26H21S"/>
    <s v="PSES High Prog21Act26 S275"/>
    <n v="21"/>
    <x v="2"/>
    <m/>
    <n v="26"/>
    <s v="   "/>
    <n v="3.0009999999999999"/>
    <n v="0.2051"/>
    <n v="0.61599999999999999"/>
    <s v="High Health/_x000a_Related Services"/>
    <x v="2"/>
  </r>
  <r>
    <s v="31103"/>
    <x v="214"/>
    <s v="Personnel"/>
    <s v="H "/>
    <s v="High Grade Group 9-12"/>
    <s v="PS26HS"/>
    <s v="PSES High Prog01Act26 S275"/>
    <n v="1"/>
    <x v="2"/>
    <m/>
    <n v="26"/>
    <s v="   "/>
    <n v="2.2850000000000001"/>
    <n v="0.2051"/>
    <n v="0"/>
    <s v="High Health/_x000a_Related Services"/>
    <x v="2"/>
  </r>
  <r>
    <s v="31103"/>
    <x v="214"/>
    <s v="Personnel"/>
    <s v="H "/>
    <s v="High Grade Group 9-12"/>
    <s v="PS35HS"/>
    <s v="PSES High Prog01Act35 S275"/>
    <n v="1"/>
    <x v="3"/>
    <m/>
    <n v="35"/>
    <s v="   "/>
    <n v="2.226"/>
    <n v="0.2051"/>
    <n v="0"/>
    <s v="High Pupil Safety"/>
    <x v="3"/>
  </r>
  <r>
    <s v="31103"/>
    <x v="214"/>
    <s v="Personnel"/>
    <s v="E "/>
    <s v="Elementary Grade Group K-6"/>
    <s v="PS42ES"/>
    <s v="PSES Elem Prog01Duty42 S275"/>
    <n v="1"/>
    <x v="5"/>
    <n v="42"/>
    <m/>
    <s v="   "/>
    <n v="5.9569999999999999"/>
    <n v="0.2051"/>
    <n v="0"/>
    <s v="Elementary Counselor"/>
    <x v="5"/>
  </r>
  <r>
    <s v="31103"/>
    <x v="214"/>
    <s v="Personnel"/>
    <s v="H "/>
    <s v="High Grade Group 9-12"/>
    <s v="PS42HS"/>
    <s v="PSES High Prog01Duty42 S275"/>
    <n v="1"/>
    <x v="5"/>
    <n v="42"/>
    <m/>
    <s v="   "/>
    <n v="3.5169999999999999"/>
    <n v="0.2051"/>
    <n v="0"/>
    <s v="High Counselor"/>
    <x v="5"/>
  </r>
  <r>
    <s v="31103"/>
    <x v="214"/>
    <s v="Personnel"/>
    <s v="M "/>
    <s v="Middle Grade Group 7-8"/>
    <s v="PS42MS"/>
    <s v="PSES Mid Prog01Duty42 S275"/>
    <n v="1"/>
    <x v="5"/>
    <n v="42"/>
    <m/>
    <s v="   "/>
    <n v="1.7430000000000001"/>
    <n v="0.2051"/>
    <n v="0"/>
    <s v="Middle Counselor"/>
    <x v="5"/>
  </r>
  <r>
    <s v="31103"/>
    <x v="214"/>
    <s v="Personnel"/>
    <s v="E "/>
    <s v="Elementary Grade Group K-6"/>
    <s v="PS43E21S"/>
    <s v="PSES Elem Prog21Duty43 S275"/>
    <n v="21"/>
    <x v="6"/>
    <n v="43"/>
    <m/>
    <s v="   "/>
    <n v="2.6019999999999999"/>
    <n v="0.2051"/>
    <n v="0.53400000000000003"/>
    <s v="Elementary Occupational Therapist"/>
    <x v="6"/>
  </r>
  <r>
    <s v="31103"/>
    <x v="214"/>
    <s v="Personnel"/>
    <s v="H "/>
    <s v="High Grade Group 9-12"/>
    <s v="PS43H21S"/>
    <s v="PSES High Prog21Duty43 S275"/>
    <n v="21"/>
    <x v="6"/>
    <n v="43"/>
    <m/>
    <s v="   "/>
    <n v="0.251"/>
    <n v="0.2051"/>
    <n v="5.0999999999999997E-2"/>
    <s v="High Occupational Therapist"/>
    <x v="6"/>
  </r>
  <r>
    <s v="31103"/>
    <x v="214"/>
    <s v="Personnel"/>
    <s v="M "/>
    <s v="Middle Grade Group 7-8"/>
    <s v="PS43M21S"/>
    <s v="PSES Mid Prog21Duty43 S275"/>
    <n v="21"/>
    <x v="6"/>
    <n v="43"/>
    <m/>
    <s v="   "/>
    <n v="0.505"/>
    <n v="0.2051"/>
    <n v="0.104"/>
    <s v="Middle Occupational Therapist"/>
    <x v="6"/>
  </r>
  <r>
    <s v="31103"/>
    <x v="214"/>
    <s v="Personnel"/>
    <s v="E "/>
    <s v="Elementary Grade Group K-6"/>
    <s v="PS44E21S"/>
    <s v="PSES Elem Prog21Duty44 S275"/>
    <n v="21"/>
    <x v="13"/>
    <n v="44"/>
    <m/>
    <s v="   "/>
    <n v="3.0000000000000001E-3"/>
    <n v="0.2051"/>
    <n v="1E-3"/>
    <s v="Elementary Social Worker"/>
    <x v="13"/>
  </r>
  <r>
    <s v="31103"/>
    <x v="214"/>
    <s v="Personnel"/>
    <s v="E "/>
    <s v="Elementary Grade Group K-6"/>
    <s v="PS45E21S"/>
    <s v="PSES Elem Prog21Duty45 S275"/>
    <n v="21"/>
    <x v="7"/>
    <n v="45"/>
    <m/>
    <s v="   "/>
    <n v="3.6720000000000002"/>
    <n v="0.2051"/>
    <n v="0.753"/>
    <s v="Elementary Speech, Language Pathway/_x000a_Audio"/>
    <x v="7"/>
  </r>
  <r>
    <s v="31103"/>
    <x v="214"/>
    <s v="Personnel"/>
    <s v="H "/>
    <s v="High Grade Group 9-12"/>
    <s v="PS45H21S"/>
    <s v="PSES High Prog21Duty45 S275"/>
    <n v="21"/>
    <x v="7"/>
    <n v="45"/>
    <m/>
    <s v="   "/>
    <n v="1.3009999999999999"/>
    <n v="0.2051"/>
    <n v="0.26700000000000002"/>
    <s v="High Speech, Language Pathway/_x000a_Audio"/>
    <x v="7"/>
  </r>
  <r>
    <s v="31103"/>
    <x v="214"/>
    <s v="Personnel"/>
    <s v="M "/>
    <s v="Middle Grade Group 7-8"/>
    <s v="PS45M21S"/>
    <s v="PSES Mid Prog21Duty45 S275"/>
    <n v="21"/>
    <x v="7"/>
    <n v="45"/>
    <m/>
    <s v="   "/>
    <n v="0.317"/>
    <n v="0.2051"/>
    <n v="6.5000000000000002E-2"/>
    <s v="Middle Speech, Language Pathway/_x000a_Audio"/>
    <x v="7"/>
  </r>
  <r>
    <s v="31103"/>
    <x v="214"/>
    <s v="Personnel"/>
    <s v="E "/>
    <s v="Elementary Grade Group K-6"/>
    <s v="PS46E21S"/>
    <s v="PSES Elem Prog21Duty46 S275"/>
    <n v="21"/>
    <x v="8"/>
    <n v="46"/>
    <m/>
    <s v="   "/>
    <n v="2.359"/>
    <n v="0.2051"/>
    <n v="0.48399999999999999"/>
    <s v="Elementary Psychologist"/>
    <x v="8"/>
  </r>
  <r>
    <s v="31103"/>
    <x v="214"/>
    <s v="Personnel"/>
    <s v="M "/>
    <s v="Middle Grade Group 7-8"/>
    <s v="PS46M21S"/>
    <s v="PSES Mid Prog21Duty46 S275"/>
    <n v="21"/>
    <x v="8"/>
    <n v="46"/>
    <m/>
    <s v="   "/>
    <n v="0.63500000000000001"/>
    <n v="0.2051"/>
    <n v="0.13"/>
    <s v="Middle Psychologist"/>
    <x v="8"/>
  </r>
  <r>
    <s v="31103"/>
    <x v="214"/>
    <s v="Personnel"/>
    <s v="E "/>
    <s v="Elementary Grade Group K-6"/>
    <s v="PS47ES"/>
    <s v="PSES Elem Prog01Duty47 S275"/>
    <n v="1"/>
    <x v="9"/>
    <n v="47"/>
    <m/>
    <s v="   "/>
    <n v="2.5990000000000002"/>
    <n v="0.2051"/>
    <n v="0"/>
    <s v="Elementary Nurse"/>
    <x v="9"/>
  </r>
  <r>
    <s v="31103"/>
    <x v="214"/>
    <s v="Personnel"/>
    <s v="H "/>
    <s v="High Grade Group 9-12"/>
    <s v="PS47HS"/>
    <s v="PSES High Prog01Duty47 S275"/>
    <n v="1"/>
    <x v="9"/>
    <n v="47"/>
    <m/>
    <s v="   "/>
    <n v="1.0580000000000001"/>
    <n v="0.2051"/>
    <n v="0"/>
    <s v="High Nurse"/>
    <x v="9"/>
  </r>
  <r>
    <s v="31103"/>
    <x v="214"/>
    <s v="Personnel"/>
    <s v="M "/>
    <s v="Middle Grade Group 7-8"/>
    <s v="PS47MS"/>
    <s v="PSES Mid Prog01Duty47 S275"/>
    <n v="1"/>
    <x v="9"/>
    <n v="47"/>
    <m/>
    <s v="   "/>
    <n v="0.55500000000000005"/>
    <n v="0.2051"/>
    <n v="0"/>
    <s v="Middle Nurse"/>
    <x v="9"/>
  </r>
  <r>
    <s v="31103"/>
    <x v="214"/>
    <s v="Personnel"/>
    <s v="E "/>
    <s v="Elementary Grade Group K-6"/>
    <s v="PS48E21S"/>
    <s v="PSES Elem Prog21Duty48 S275"/>
    <n v="21"/>
    <x v="11"/>
    <n v="48"/>
    <m/>
    <s v="   "/>
    <n v="0.93500000000000005"/>
    <n v="0.2051"/>
    <n v="0.192"/>
    <s v="Elementary Physical Therapist"/>
    <x v="11"/>
  </r>
  <r>
    <s v="31103"/>
    <x v="214"/>
    <s v="Personnel"/>
    <s v="H "/>
    <s v="High Grade Group 9-12"/>
    <s v="PS48H21S"/>
    <s v="PSES High Prog21Duty48 S275"/>
    <n v="21"/>
    <x v="11"/>
    <n v="48"/>
    <m/>
    <s v="   "/>
    <n v="0.111"/>
    <n v="0.2051"/>
    <n v="2.3E-2"/>
    <s v="High Physical Therapist"/>
    <x v="11"/>
  </r>
  <r>
    <s v="31103"/>
    <x v="214"/>
    <s v="Personnel"/>
    <s v="M "/>
    <s v="Middle Grade Group 7-8"/>
    <s v="PS48M21S"/>
    <s v="PSES Mid Prog21Duty48 S275"/>
    <n v="21"/>
    <x v="11"/>
    <n v="48"/>
    <m/>
    <s v="   "/>
    <n v="0.16600000000000001"/>
    <n v="0.2051"/>
    <n v="3.4000000000000002E-2"/>
    <s v="Middle Physical Therapist"/>
    <x v="11"/>
  </r>
  <r>
    <s v="31103"/>
    <x v="214"/>
    <s v="Personnel"/>
    <s v="E "/>
    <s v="Elementary Grade Group K-6"/>
    <s v="PS64E21S"/>
    <s v="PSES Elem Prog21Duty64 S275"/>
    <n v="21"/>
    <x v="12"/>
    <n v="64"/>
    <m/>
    <s v="   "/>
    <n v="5.5439999999999996"/>
    <n v="0.2051"/>
    <n v="1.137"/>
    <s v="Elementary Contractor ESA"/>
    <x v="12"/>
  </r>
  <r>
    <s v="31103"/>
    <x v="214"/>
    <s v="Personnel"/>
    <s v="H "/>
    <s v="High Grade Group 9-12"/>
    <s v="PS64H21S"/>
    <s v="PSES High Prog21Duty64 S275"/>
    <n v="21"/>
    <x v="12"/>
    <n v="64"/>
    <m/>
    <s v="   "/>
    <n v="1.673"/>
    <n v="0.2051"/>
    <n v="0.34300000000000003"/>
    <s v="High Contractor ESA"/>
    <x v="12"/>
  </r>
  <r>
    <s v="31103"/>
    <x v="214"/>
    <s v="Personnel"/>
    <s v="M "/>
    <s v="Middle Grade Group 7-8"/>
    <s v="PS64M21S"/>
    <s v="PSES Mid Prog21Duty64 S275"/>
    <n v="21"/>
    <x v="12"/>
    <n v="64"/>
    <m/>
    <s v="   "/>
    <n v="1.982"/>
    <n v="0.2051"/>
    <n v="0.40699999999999997"/>
    <s v="Middle Contractor ESA"/>
    <x v="12"/>
  </r>
  <r>
    <s v="31201"/>
    <x v="215"/>
    <s v="Personnel"/>
    <s v="E "/>
    <s v="Elementary Grade Group K-6"/>
    <s v="PS26E21S"/>
    <s v="PSES Elem Prog21Act26 S275"/>
    <n v="21"/>
    <x v="2"/>
    <m/>
    <n v="26"/>
    <s v="   "/>
    <n v="0.94099999999999995"/>
    <n v="0.23119999999999999"/>
    <n v="0.218"/>
    <s v="Elementary Health/_x000a_Related Services"/>
    <x v="2"/>
  </r>
  <r>
    <s v="31201"/>
    <x v="215"/>
    <s v="Personnel"/>
    <s v="E "/>
    <s v="Elementary Grade Group K-6"/>
    <s v="PS26ES"/>
    <s v="PSES Elem Prog01Act26 S275"/>
    <n v="1"/>
    <x v="2"/>
    <m/>
    <n v="26"/>
    <s v="   "/>
    <n v="2.36"/>
    <n v="0.23119999999999999"/>
    <n v="0"/>
    <s v="Elementary Health/_x000a_Related Services"/>
    <x v="2"/>
  </r>
  <r>
    <s v="31201"/>
    <x v="215"/>
    <s v="Personnel"/>
    <s v="H "/>
    <s v="High Grade Group 9-12"/>
    <s v="PS26H21S"/>
    <s v="PSES High Prog21Act26 S275"/>
    <n v="21"/>
    <x v="2"/>
    <m/>
    <n v="26"/>
    <s v="   "/>
    <n v="0.63900000000000001"/>
    <n v="0.23119999999999999"/>
    <n v="0.14799999999999999"/>
    <s v="High Health/_x000a_Related Services"/>
    <x v="2"/>
  </r>
  <r>
    <s v="31201"/>
    <x v="215"/>
    <s v="Personnel"/>
    <s v="H "/>
    <s v="High Grade Group 9-12"/>
    <s v="PS26HS"/>
    <s v="PSES High Prog01Act26 S275"/>
    <n v="1"/>
    <x v="2"/>
    <m/>
    <n v="26"/>
    <s v="   "/>
    <n v="0.54800000000000004"/>
    <n v="0.23119999999999999"/>
    <n v="0"/>
    <s v="High Health/_x000a_Related Services"/>
    <x v="2"/>
  </r>
  <r>
    <s v="31201"/>
    <x v="215"/>
    <s v="Personnel"/>
    <s v="M "/>
    <s v="Middle Grade Group 7-8"/>
    <s v="PS26M21S"/>
    <s v="PSES Mid Prog21Act26 S275"/>
    <n v="21"/>
    <x v="2"/>
    <m/>
    <n v="26"/>
    <s v="   "/>
    <n v="0.59399999999999997"/>
    <n v="0.23119999999999999"/>
    <n v="0.13700000000000001"/>
    <s v="Middle Health/_x000a_Related Services"/>
    <x v="2"/>
  </r>
  <r>
    <s v="31201"/>
    <x v="215"/>
    <s v="Personnel"/>
    <s v="M "/>
    <s v="Middle Grade Group 7-8"/>
    <s v="PS26MS"/>
    <s v="PSES Mid Prog01Act26 S275"/>
    <n v="1"/>
    <x v="2"/>
    <m/>
    <n v="26"/>
    <s v="   "/>
    <n v="0.36599999999999999"/>
    <n v="0.23119999999999999"/>
    <n v="0"/>
    <s v="Middle Health/_x000a_Related Services"/>
    <x v="2"/>
  </r>
  <r>
    <s v="31201"/>
    <x v="215"/>
    <s v="Personnel"/>
    <s v="H "/>
    <s v="High Grade Group 9-12"/>
    <s v="PS35HS"/>
    <s v="PSES High Prog01Act35 S275"/>
    <n v="1"/>
    <x v="3"/>
    <m/>
    <n v="35"/>
    <s v="   "/>
    <n v="1.37"/>
    <n v="0.23119999999999999"/>
    <n v="0"/>
    <s v="High Pupil Safety"/>
    <x v="3"/>
  </r>
  <r>
    <s v="31201"/>
    <x v="215"/>
    <s v="Personnel"/>
    <s v="E "/>
    <s v="Elementary Grade Group K-6"/>
    <s v="PS39E21S"/>
    <s v="PSES Elem Prog21Duty39 S275"/>
    <n v="21"/>
    <x v="4"/>
    <n v="39"/>
    <m/>
    <s v="   "/>
    <n v="1"/>
    <n v="0.23119999999999999"/>
    <n v="0.23100000000000001"/>
    <s v="Elementary Orientation &amp; Mobility Specialist"/>
    <x v="4"/>
  </r>
  <r>
    <s v="31201"/>
    <x v="215"/>
    <s v="Personnel"/>
    <s v="E "/>
    <s v="Elementary Grade Group K-6"/>
    <s v="PS42ES"/>
    <s v="PSES Elem Prog01Duty42 S275"/>
    <n v="1"/>
    <x v="5"/>
    <n v="42"/>
    <m/>
    <s v="   "/>
    <n v="7.1280000000000001"/>
    <n v="0.23119999999999999"/>
    <n v="0"/>
    <s v="Elementary Counselor"/>
    <x v="5"/>
  </r>
  <r>
    <s v="31201"/>
    <x v="215"/>
    <s v="Personnel"/>
    <s v="H "/>
    <s v="High Grade Group 9-12"/>
    <s v="PS42HS"/>
    <s v="PSES High Prog01Duty42 S275"/>
    <n v="1"/>
    <x v="5"/>
    <n v="42"/>
    <m/>
    <s v="   "/>
    <n v="9"/>
    <n v="0.23119999999999999"/>
    <n v="0"/>
    <s v="High Counselor"/>
    <x v="5"/>
  </r>
  <r>
    <s v="31201"/>
    <x v="215"/>
    <s v="Personnel"/>
    <s v="M "/>
    <s v="Middle Grade Group 7-8"/>
    <s v="PS42MS"/>
    <s v="PSES Mid Prog01Duty42 S275"/>
    <n v="1"/>
    <x v="5"/>
    <n v="42"/>
    <m/>
    <s v="   "/>
    <n v="4"/>
    <n v="0.23119999999999999"/>
    <n v="0"/>
    <s v="Middle Counselor"/>
    <x v="5"/>
  </r>
  <r>
    <s v="31201"/>
    <x v="215"/>
    <s v="Personnel"/>
    <s v="E "/>
    <s v="Elementary Grade Group K-6"/>
    <s v="PS43E21S"/>
    <s v="PSES Elem Prog21Duty43 S275"/>
    <n v="21"/>
    <x v="6"/>
    <n v="43"/>
    <m/>
    <s v="   "/>
    <n v="2.5"/>
    <n v="0.23119999999999999"/>
    <n v="0.57799999999999996"/>
    <s v="Elementary Occupational Therapist"/>
    <x v="6"/>
  </r>
  <r>
    <s v="31201"/>
    <x v="215"/>
    <s v="Personnel"/>
    <s v="H "/>
    <s v="High Grade Group 9-12"/>
    <s v="PS43H21S"/>
    <s v="PSES High Prog21Duty43 S275"/>
    <n v="21"/>
    <x v="6"/>
    <n v="43"/>
    <m/>
    <s v="   "/>
    <n v="1.75"/>
    <n v="0.23119999999999999"/>
    <n v="0.40500000000000003"/>
    <s v="High Occupational Therapist"/>
    <x v="6"/>
  </r>
  <r>
    <s v="31201"/>
    <x v="215"/>
    <s v="Personnel"/>
    <s v="M "/>
    <s v="Middle Grade Group 7-8"/>
    <s v="PS43M21S"/>
    <s v="PSES Mid Prog21Duty43 S275"/>
    <n v="21"/>
    <x v="6"/>
    <n v="43"/>
    <m/>
    <s v="   "/>
    <n v="0.75"/>
    <n v="0.23119999999999999"/>
    <n v="0.17299999999999999"/>
    <s v="Middle Occupational Therapist"/>
    <x v="6"/>
  </r>
  <r>
    <s v="31201"/>
    <x v="215"/>
    <s v="Personnel"/>
    <s v="E "/>
    <s v="Elementary Grade Group K-6"/>
    <s v="PS44ES"/>
    <s v="PSES Elem Prog01Duty44 S275"/>
    <n v="1"/>
    <x v="13"/>
    <n v="44"/>
    <m/>
    <s v="   "/>
    <n v="1"/>
    <n v="0.23119999999999999"/>
    <n v="0"/>
    <s v="Elementary Social Worker"/>
    <x v="13"/>
  </r>
  <r>
    <s v="31201"/>
    <x v="215"/>
    <s v="Personnel"/>
    <s v="E "/>
    <s v="Elementary Grade Group K-6"/>
    <s v="PS45E21S"/>
    <s v="PSES Elem Prog21Duty45 S275"/>
    <n v="21"/>
    <x v="7"/>
    <n v="45"/>
    <m/>
    <s v="   "/>
    <n v="8.0419999999999998"/>
    <n v="0.23119999999999999"/>
    <n v="1.859"/>
    <s v="Elementary Speech, Language Pathway/_x000a_Audio"/>
    <x v="7"/>
  </r>
  <r>
    <s v="31201"/>
    <x v="215"/>
    <s v="Personnel"/>
    <s v="H "/>
    <s v="High Grade Group 9-12"/>
    <s v="PS45H21S"/>
    <s v="PSES High Prog21Duty45 S275"/>
    <n v="21"/>
    <x v="7"/>
    <n v="45"/>
    <m/>
    <s v="   "/>
    <n v="5.6289999999999996"/>
    <n v="0.23119999999999999"/>
    <n v="1.3009999999999999"/>
    <s v="High Speech, Language Pathway/_x000a_Audio"/>
    <x v="7"/>
  </r>
  <r>
    <s v="31201"/>
    <x v="215"/>
    <s v="Personnel"/>
    <s v="M "/>
    <s v="Middle Grade Group 7-8"/>
    <s v="PS45M21S"/>
    <s v="PSES Mid Prog21Duty45 S275"/>
    <n v="21"/>
    <x v="7"/>
    <n v="45"/>
    <m/>
    <s v="   "/>
    <n v="2.4119999999999999"/>
    <n v="0.23119999999999999"/>
    <n v="0.55800000000000005"/>
    <s v="Middle Speech, Language Pathway/_x000a_Audio"/>
    <x v="7"/>
  </r>
  <r>
    <s v="31201"/>
    <x v="215"/>
    <s v="Personnel"/>
    <s v="E "/>
    <s v="Elementary Grade Group K-6"/>
    <s v="PS46E21S"/>
    <s v="PSES Elem Prog21Duty46 S275"/>
    <n v="21"/>
    <x v="8"/>
    <n v="46"/>
    <m/>
    <s v="   "/>
    <n v="4.4000000000000004"/>
    <n v="0.23119999999999999"/>
    <n v="1.0169999999999999"/>
    <s v="Elementary Psychologist"/>
    <x v="8"/>
  </r>
  <r>
    <s v="31201"/>
    <x v="215"/>
    <s v="Personnel"/>
    <s v="E "/>
    <s v="Elementary Grade Group K-6"/>
    <s v="PS46ES"/>
    <s v="PSES Elem Prog01Duty46 S275"/>
    <n v="1"/>
    <x v="8"/>
    <n v="46"/>
    <m/>
    <s v="   "/>
    <n v="2"/>
    <n v="0.23119999999999999"/>
    <n v="0"/>
    <s v="Elementary Psychologist"/>
    <x v="8"/>
  </r>
  <r>
    <s v="31201"/>
    <x v="215"/>
    <s v="Personnel"/>
    <s v="H "/>
    <s v="High Grade Group 9-12"/>
    <s v="PS46H21S"/>
    <s v="PSES High Prog21Duty46 S275"/>
    <n v="21"/>
    <x v="8"/>
    <n v="46"/>
    <m/>
    <s v="   "/>
    <n v="3.08"/>
    <n v="0.23119999999999999"/>
    <n v="0.71199999999999997"/>
    <s v="High Psychologist"/>
    <x v="8"/>
  </r>
  <r>
    <s v="31201"/>
    <x v="215"/>
    <s v="Personnel"/>
    <s v="H "/>
    <s v="High Grade Group 9-12"/>
    <s v="PS46HS"/>
    <s v="PSES High Prog01Duty46 S275"/>
    <n v="1"/>
    <x v="8"/>
    <n v="46"/>
    <m/>
    <s v="   "/>
    <n v="1.4"/>
    <n v="0.23119999999999999"/>
    <n v="0"/>
    <s v="High Psychologist"/>
    <x v="8"/>
  </r>
  <r>
    <s v="31201"/>
    <x v="215"/>
    <s v="Personnel"/>
    <s v="M "/>
    <s v="Middle Grade Group 7-8"/>
    <s v="PS46M21S"/>
    <s v="PSES Mid Prog21Duty46 S275"/>
    <n v="21"/>
    <x v="8"/>
    <n v="46"/>
    <m/>
    <s v="   "/>
    <n v="1.32"/>
    <n v="0.23119999999999999"/>
    <n v="0.30499999999999999"/>
    <s v="Middle Psychologist"/>
    <x v="8"/>
  </r>
  <r>
    <s v="31201"/>
    <x v="215"/>
    <s v="Personnel"/>
    <s v="M "/>
    <s v="Middle Grade Group 7-8"/>
    <s v="PS46MS"/>
    <s v="PSES Mid Prog01Duty46 S275"/>
    <n v="1"/>
    <x v="8"/>
    <n v="46"/>
    <m/>
    <s v="   "/>
    <n v="0.6"/>
    <n v="0.23119999999999999"/>
    <n v="0"/>
    <s v="Middle Psychologist"/>
    <x v="8"/>
  </r>
  <r>
    <s v="31201"/>
    <x v="215"/>
    <s v="Personnel"/>
    <s v="E "/>
    <s v="Elementary Grade Group K-6"/>
    <s v="PS47ES"/>
    <s v="PSES Elem Prog01Duty47 S275"/>
    <n v="1"/>
    <x v="9"/>
    <n v="47"/>
    <m/>
    <s v="   "/>
    <n v="12.46"/>
    <n v="0.23119999999999999"/>
    <n v="0"/>
    <s v="Elementary Nurse"/>
    <x v="9"/>
  </r>
  <r>
    <s v="31201"/>
    <x v="215"/>
    <s v="Personnel"/>
    <s v="E "/>
    <s v="Elementary Grade Group K-6"/>
    <s v="PS48E21S"/>
    <s v="PSES Elem Prog21Duty48 S275"/>
    <n v="21"/>
    <x v="11"/>
    <n v="48"/>
    <m/>
    <s v="   "/>
    <n v="1"/>
    <n v="0.23119999999999999"/>
    <n v="0.23100000000000001"/>
    <s v="Elementary Physical Therapist"/>
    <x v="11"/>
  </r>
  <r>
    <s v="31201"/>
    <x v="215"/>
    <s v="Personnel"/>
    <s v="H "/>
    <s v="High Grade Group 9-12"/>
    <s v="PS48H21S"/>
    <s v="PSES High Prog21Duty48 S275"/>
    <n v="21"/>
    <x v="11"/>
    <n v="48"/>
    <m/>
    <s v="   "/>
    <n v="0.7"/>
    <n v="0.23119999999999999"/>
    <n v="0.16200000000000001"/>
    <s v="High Physical Therapist"/>
    <x v="11"/>
  </r>
  <r>
    <s v="31201"/>
    <x v="215"/>
    <s v="Personnel"/>
    <s v="M "/>
    <s v="Middle Grade Group 7-8"/>
    <s v="PS48M21S"/>
    <s v="PSES Mid Prog21Duty48 S275"/>
    <n v="21"/>
    <x v="11"/>
    <n v="48"/>
    <m/>
    <s v="   "/>
    <n v="0.3"/>
    <n v="0.23119999999999999"/>
    <n v="6.9000000000000006E-2"/>
    <s v="Middle Physical Therapist"/>
    <x v="11"/>
  </r>
  <r>
    <s v="31306"/>
    <x v="216"/>
    <s v="Personnel"/>
    <s v="E "/>
    <s v="Elementary Grade Group K-6"/>
    <s v="PS25ES"/>
    <s v="PSES Elem Prog01Act25 S275"/>
    <n v="1"/>
    <x v="1"/>
    <m/>
    <n v="25"/>
    <s v="   "/>
    <n v="0.76700000000000002"/>
    <n v="0.27289999999999998"/>
    <n v="0"/>
    <s v="Elementary Pupil Management"/>
    <x v="1"/>
  </r>
  <r>
    <s v="31306"/>
    <x v="216"/>
    <s v="Personnel"/>
    <s v="H "/>
    <s v="High Grade Group 9-12"/>
    <s v="PS25H21S"/>
    <s v="PSES High Prog21Act25 S275"/>
    <n v="21"/>
    <x v="1"/>
    <m/>
    <n v="25"/>
    <s v="   "/>
    <n v="0.114"/>
    <n v="0.27289999999999998"/>
    <n v="3.1E-2"/>
    <s v="High Pupil Management"/>
    <x v="1"/>
  </r>
  <r>
    <s v="31306"/>
    <x v="216"/>
    <s v="Personnel"/>
    <s v="H "/>
    <s v="High Grade Group 9-12"/>
    <s v="PS25HS"/>
    <s v="PSES High Prog01Act25 S275"/>
    <n v="1"/>
    <x v="1"/>
    <m/>
    <n v="25"/>
    <s v="   "/>
    <n v="2.871"/>
    <n v="0.27289999999999998"/>
    <n v="0"/>
    <s v="High Pupil Management"/>
    <x v="1"/>
  </r>
  <r>
    <s v="31306"/>
    <x v="216"/>
    <s v="Personnel"/>
    <s v="E "/>
    <s v="Elementary Grade Group K-6"/>
    <s v="PS26ES"/>
    <s v="PSES Elem Prog01Act26 S275"/>
    <n v="1"/>
    <x v="2"/>
    <m/>
    <n v="26"/>
    <s v="   "/>
    <n v="0.65600000000000003"/>
    <n v="0.27289999999999998"/>
    <n v="0"/>
    <s v="Elementary Health/_x000a_Related Services"/>
    <x v="2"/>
  </r>
  <r>
    <s v="31306"/>
    <x v="216"/>
    <s v="Personnel"/>
    <s v="H "/>
    <s v="High Grade Group 9-12"/>
    <s v="PS26H21S"/>
    <s v="PSES High Prog21Act26 S275"/>
    <n v="21"/>
    <x v="2"/>
    <m/>
    <n v="26"/>
    <s v="   "/>
    <n v="1.1659999999999999"/>
    <n v="0.27289999999999998"/>
    <n v="0.318"/>
    <s v="High Health/_x000a_Related Services"/>
    <x v="2"/>
  </r>
  <r>
    <s v="31306"/>
    <x v="216"/>
    <s v="Personnel"/>
    <s v="H "/>
    <s v="High Grade Group 9-12"/>
    <s v="PS26HS"/>
    <s v="PSES High Prog01Act26 S275"/>
    <n v="1"/>
    <x v="2"/>
    <m/>
    <n v="26"/>
    <s v="   "/>
    <n v="2.6240000000000001"/>
    <n v="0.27289999999999998"/>
    <n v="0"/>
    <s v="High Health/_x000a_Related Services"/>
    <x v="2"/>
  </r>
  <r>
    <s v="31306"/>
    <x v="216"/>
    <s v="Personnel"/>
    <s v="E "/>
    <s v="Elementary Grade Group K-6"/>
    <s v="PS42ES"/>
    <s v="PSES Elem Prog01Duty42 S275"/>
    <n v="1"/>
    <x v="5"/>
    <n v="42"/>
    <m/>
    <s v="   "/>
    <n v="3"/>
    <n v="0.27289999999999998"/>
    <n v="0"/>
    <s v="Elementary Counselor"/>
    <x v="5"/>
  </r>
  <r>
    <s v="31306"/>
    <x v="216"/>
    <s v="Personnel"/>
    <s v="H "/>
    <s v="High Grade Group 9-12"/>
    <s v="PS42HS"/>
    <s v="PSES High Prog01Duty42 S275"/>
    <n v="1"/>
    <x v="5"/>
    <n v="42"/>
    <m/>
    <s v="   "/>
    <n v="2"/>
    <n v="0.27289999999999998"/>
    <n v="0"/>
    <s v="High Counselor"/>
    <x v="5"/>
  </r>
  <r>
    <s v="31306"/>
    <x v="216"/>
    <s v="Personnel"/>
    <s v="M "/>
    <s v="Middle Grade Group 7-8"/>
    <s v="PS42MS"/>
    <s v="PSES Mid Prog01Duty42 S275"/>
    <n v="1"/>
    <x v="5"/>
    <n v="42"/>
    <m/>
    <s v="   "/>
    <n v="1.5"/>
    <n v="0.27289999999999998"/>
    <n v="0"/>
    <s v="Middle Counselor"/>
    <x v="5"/>
  </r>
  <r>
    <s v="31306"/>
    <x v="216"/>
    <s v="Personnel"/>
    <s v="E "/>
    <s v="Elementary Grade Group K-6"/>
    <s v="PS43E21S"/>
    <s v="PSES Elem Prog21Duty43 S275"/>
    <n v="21"/>
    <x v="6"/>
    <n v="43"/>
    <m/>
    <s v="   "/>
    <n v="0.9"/>
    <n v="0.27289999999999998"/>
    <n v="0.246"/>
    <s v="Elementary Occupational Therapist"/>
    <x v="6"/>
  </r>
  <r>
    <s v="31306"/>
    <x v="216"/>
    <s v="Personnel"/>
    <s v="E "/>
    <s v="Elementary Grade Group K-6"/>
    <s v="PS45E21S"/>
    <s v="PSES Elem Prog21Duty45 S275"/>
    <n v="21"/>
    <x v="7"/>
    <n v="45"/>
    <m/>
    <s v="   "/>
    <n v="1"/>
    <n v="0.27289999999999998"/>
    <n v="0.27300000000000002"/>
    <s v="Elementary Speech, Language Pathway/_x000a_Audio"/>
    <x v="7"/>
  </r>
  <r>
    <s v="31306"/>
    <x v="216"/>
    <s v="Personnel"/>
    <s v="H "/>
    <s v="High Grade Group 9-12"/>
    <s v="PS45H21S"/>
    <s v="PSES High Prog21Duty45 S275"/>
    <n v="21"/>
    <x v="7"/>
    <n v="45"/>
    <m/>
    <s v="   "/>
    <n v="0.20499999999999999"/>
    <n v="0.27289999999999998"/>
    <n v="5.6000000000000001E-2"/>
    <s v="High Speech, Language Pathway/_x000a_Audio"/>
    <x v="7"/>
  </r>
  <r>
    <s v="31306"/>
    <x v="216"/>
    <s v="Personnel"/>
    <s v="M "/>
    <s v="Middle Grade Group 7-8"/>
    <s v="PS45M21S"/>
    <s v="PSES Mid Prog21Duty45 S275"/>
    <n v="21"/>
    <x v="7"/>
    <n v="45"/>
    <m/>
    <s v="   "/>
    <n v="0.29499999999999998"/>
    <n v="0.27289999999999998"/>
    <n v="8.1000000000000003E-2"/>
    <s v="Middle Speech, Language Pathway/_x000a_Audio"/>
    <x v="7"/>
  </r>
  <r>
    <s v="31306"/>
    <x v="216"/>
    <s v="Personnel"/>
    <s v="E "/>
    <s v="Elementary Grade Group K-6"/>
    <s v="PS47ES"/>
    <s v="PSES Elem Prog01Duty47 S275"/>
    <n v="1"/>
    <x v="9"/>
    <n v="47"/>
    <m/>
    <s v="   "/>
    <n v="1"/>
    <n v="0.27289999999999998"/>
    <n v="0"/>
    <s v="Elementary Nurse"/>
    <x v="9"/>
  </r>
  <r>
    <s v="31306"/>
    <x v="216"/>
    <s v="Personnel"/>
    <s v="E "/>
    <s v="Elementary Grade Group K-6"/>
    <s v="PS48E21S"/>
    <s v="PSES Elem Prog21Duty48 S275"/>
    <n v="21"/>
    <x v="11"/>
    <n v="48"/>
    <m/>
    <s v="   "/>
    <n v="0.4"/>
    <n v="0.27289999999999998"/>
    <n v="0.109"/>
    <s v="Elementary Physical Therapist"/>
    <x v="11"/>
  </r>
  <r>
    <s v="31311"/>
    <x v="217"/>
    <s v="Personnel"/>
    <s v="H "/>
    <s v="High Grade Group 9-12"/>
    <s v="PS24HS"/>
    <s v="PSES High Prog01Duty96 S275"/>
    <n v="1"/>
    <x v="0"/>
    <n v="96"/>
    <n v="24"/>
    <s v="   "/>
    <n v="1.63"/>
    <n v="0.30230000000000001"/>
    <n v="0"/>
    <s v="High Family Engagement Coordinator"/>
    <x v="0"/>
  </r>
  <r>
    <s v="31311"/>
    <x v="217"/>
    <s v="Personnel"/>
    <s v="H "/>
    <s v="High Grade Group 9-12"/>
    <s v="PS25HS"/>
    <s v="PSES High Prog01Act25 S275"/>
    <n v="1"/>
    <x v="1"/>
    <m/>
    <n v="25"/>
    <s v="   "/>
    <n v="5.8000000000000003E-2"/>
    <n v="0.30230000000000001"/>
    <n v="0"/>
    <s v="High Pupil Management"/>
    <x v="1"/>
  </r>
  <r>
    <s v="31311"/>
    <x v="217"/>
    <s v="Personnel"/>
    <s v="H "/>
    <s v="High Grade Group 9-12"/>
    <s v="PS26HS"/>
    <s v="PSES High Prog01Act26 S275"/>
    <n v="1"/>
    <x v="2"/>
    <m/>
    <n v="26"/>
    <s v="   "/>
    <n v="1.081"/>
    <n v="0.30230000000000001"/>
    <n v="0"/>
    <s v="High Health/_x000a_Related Services"/>
    <x v="2"/>
  </r>
  <r>
    <s v="31311"/>
    <x v="217"/>
    <s v="Personnel"/>
    <s v="E "/>
    <s v="Elementary Grade Group K-6"/>
    <s v="PS42ES"/>
    <s v="PSES Elem Prog01Duty42 S275"/>
    <n v="1"/>
    <x v="5"/>
    <n v="42"/>
    <m/>
    <s v="   "/>
    <n v="2"/>
    <n v="0.30230000000000001"/>
    <n v="0"/>
    <s v="Elementary Counselor"/>
    <x v="5"/>
  </r>
  <r>
    <s v="31311"/>
    <x v="217"/>
    <s v="Personnel"/>
    <s v="H "/>
    <s v="High Grade Group 9-12"/>
    <s v="PS42HS"/>
    <s v="PSES High Prog01Duty42 S275"/>
    <n v="1"/>
    <x v="5"/>
    <n v="42"/>
    <m/>
    <s v="   "/>
    <n v="1.9"/>
    <n v="0.30230000000000001"/>
    <n v="0"/>
    <s v="High Counselor"/>
    <x v="5"/>
  </r>
  <r>
    <s v="31311"/>
    <x v="217"/>
    <s v="Personnel"/>
    <s v="E "/>
    <s v="Elementary Grade Group K-6"/>
    <s v="PS43E21S"/>
    <s v="PSES Elem Prog21Duty43 S275"/>
    <n v="21"/>
    <x v="6"/>
    <n v="43"/>
    <m/>
    <s v="   "/>
    <n v="1"/>
    <n v="0.30230000000000001"/>
    <n v="0.30199999999999999"/>
    <s v="Elementary Occupational Therapist"/>
    <x v="6"/>
  </r>
  <r>
    <s v="31311"/>
    <x v="217"/>
    <s v="Personnel"/>
    <s v="E "/>
    <s v="Elementary Grade Group K-6"/>
    <s v="PS45E21S"/>
    <s v="PSES Elem Prog21Duty45 S275"/>
    <n v="21"/>
    <x v="7"/>
    <n v="45"/>
    <m/>
    <s v="   "/>
    <n v="2.4"/>
    <n v="0.30230000000000001"/>
    <n v="0.72599999999999998"/>
    <s v="Elementary Speech, Language Pathway/_x000a_Audio"/>
    <x v="7"/>
  </r>
  <r>
    <s v="31311"/>
    <x v="217"/>
    <s v="Personnel"/>
    <s v="H "/>
    <s v="High Grade Group 9-12"/>
    <s v="PS45H21S"/>
    <s v="PSES High Prog21Duty45 S275"/>
    <n v="21"/>
    <x v="7"/>
    <n v="45"/>
    <m/>
    <s v="   "/>
    <n v="1"/>
    <n v="0.30230000000000001"/>
    <n v="0.30199999999999999"/>
    <s v="High Speech, Language Pathway/_x000a_Audio"/>
    <x v="7"/>
  </r>
  <r>
    <s v="31311"/>
    <x v="217"/>
    <s v="Personnel"/>
    <s v="E "/>
    <s v="Elementary Grade Group K-6"/>
    <s v="PS46E21S"/>
    <s v="PSES Elem Prog21Duty46 S275"/>
    <n v="21"/>
    <x v="8"/>
    <n v="46"/>
    <m/>
    <s v="   "/>
    <n v="1.012"/>
    <n v="0.30230000000000001"/>
    <n v="0.30599999999999999"/>
    <s v="Elementary Psychologist"/>
    <x v="8"/>
  </r>
  <r>
    <s v="31311"/>
    <x v="217"/>
    <s v="Personnel"/>
    <s v="H "/>
    <s v="High Grade Group 9-12"/>
    <s v="PS46H21S"/>
    <s v="PSES High Prog21Duty46 S275"/>
    <n v="21"/>
    <x v="8"/>
    <n v="46"/>
    <m/>
    <s v="   "/>
    <n v="0.156"/>
    <n v="0.30230000000000001"/>
    <n v="4.7E-2"/>
    <s v="High Psychologist"/>
    <x v="8"/>
  </r>
  <r>
    <s v="31311"/>
    <x v="217"/>
    <s v="Personnel"/>
    <s v="M "/>
    <s v="Middle Grade Group 7-8"/>
    <s v="PS46M21S"/>
    <s v="PSES Mid Prog21Duty46 S275"/>
    <n v="21"/>
    <x v="8"/>
    <n v="46"/>
    <m/>
    <s v="   "/>
    <n v="8.3000000000000004E-2"/>
    <n v="0.30230000000000001"/>
    <n v="2.5000000000000001E-2"/>
    <s v="Middle Psychologist"/>
    <x v="8"/>
  </r>
  <r>
    <s v="31330"/>
    <x v="218"/>
    <s v="Personnel"/>
    <s v="H "/>
    <s v="High Grade Group 9-12"/>
    <s v="PS25HS"/>
    <s v="PSES High Prog01Act25 S275"/>
    <n v="1"/>
    <x v="1"/>
    <m/>
    <n v="25"/>
    <s v="   "/>
    <n v="1.0840000000000001"/>
    <n v="0.1636"/>
    <n v="0"/>
    <s v="High Pupil Management"/>
    <x v="1"/>
  </r>
  <r>
    <s v="31330"/>
    <x v="218"/>
    <s v="Personnel"/>
    <s v="H "/>
    <s v="High Grade Group 9-12"/>
    <s v="PS26H21S"/>
    <s v="PSES High Prog21Act26 S275"/>
    <n v="21"/>
    <x v="2"/>
    <m/>
    <n v="26"/>
    <s v="   "/>
    <n v="0.74"/>
    <n v="0.1636"/>
    <n v="0.121"/>
    <s v="High Health/_x000a_Related Services"/>
    <x v="2"/>
  </r>
  <r>
    <s v="31330"/>
    <x v="218"/>
    <s v="Personnel"/>
    <s v="H "/>
    <s v="High Grade Group 9-12"/>
    <s v="PS26HS"/>
    <s v="PSES High Prog01Act26 S275"/>
    <n v="1"/>
    <x v="2"/>
    <m/>
    <n v="26"/>
    <s v="   "/>
    <n v="0.23799999999999999"/>
    <n v="0.1636"/>
    <n v="0"/>
    <s v="High Health/_x000a_Related Services"/>
    <x v="2"/>
  </r>
  <r>
    <s v="31332"/>
    <x v="219"/>
    <s v="Personnel"/>
    <s v="H "/>
    <s v="High Grade Group 9-12"/>
    <s v="PS25H21S"/>
    <s v="PSES High Prog21Act25 S275"/>
    <n v="21"/>
    <x v="1"/>
    <m/>
    <n v="25"/>
    <s v="   "/>
    <n v="0.80900000000000005"/>
    <n v="0.27300000000000002"/>
    <n v="0.221"/>
    <s v="High Pupil Management"/>
    <x v="1"/>
  </r>
  <r>
    <s v="31332"/>
    <x v="219"/>
    <s v="Personnel"/>
    <s v="H "/>
    <s v="High Grade Group 9-12"/>
    <s v="PS25HS"/>
    <s v="PSES High Prog01Act25 S275"/>
    <n v="1"/>
    <x v="1"/>
    <m/>
    <n v="25"/>
    <s v="   "/>
    <n v="7.0229999999999997"/>
    <n v="0.27300000000000002"/>
    <n v="0"/>
    <s v="High Pupil Management"/>
    <x v="1"/>
  </r>
  <r>
    <s v="31332"/>
    <x v="219"/>
    <s v="Personnel"/>
    <s v="H "/>
    <s v="High Grade Group 9-12"/>
    <s v="PS26H21S"/>
    <s v="PSES High Prog21Act26 S275"/>
    <n v="21"/>
    <x v="2"/>
    <m/>
    <n v="26"/>
    <s v="   "/>
    <n v="2.278"/>
    <n v="0.27300000000000002"/>
    <n v="0.622"/>
    <s v="High Health/_x000a_Related Services"/>
    <x v="2"/>
  </r>
  <r>
    <s v="31332"/>
    <x v="219"/>
    <s v="Personnel"/>
    <s v="H "/>
    <s v="High Grade Group 9-12"/>
    <s v="PS26HS"/>
    <s v="PSES High Prog01Act26 S275"/>
    <n v="1"/>
    <x v="2"/>
    <m/>
    <n v="26"/>
    <s v="   "/>
    <n v="2.5710000000000002"/>
    <n v="0.27300000000000002"/>
    <n v="0"/>
    <s v="High Health/_x000a_Related Services"/>
    <x v="2"/>
  </r>
  <r>
    <s v="31332"/>
    <x v="219"/>
    <s v="Personnel"/>
    <s v="E "/>
    <s v="Elementary Grade Group K-6"/>
    <s v="PS42ES"/>
    <s v="PSES Elem Prog01Duty42 S275"/>
    <n v="1"/>
    <x v="5"/>
    <n v="42"/>
    <m/>
    <s v="   "/>
    <n v="2"/>
    <n v="0.27300000000000002"/>
    <n v="0"/>
    <s v="Elementary Counselor"/>
    <x v="5"/>
  </r>
  <r>
    <s v="31332"/>
    <x v="219"/>
    <s v="Personnel"/>
    <s v="H "/>
    <s v="High Grade Group 9-12"/>
    <s v="PS42HS"/>
    <s v="PSES High Prog01Duty42 S275"/>
    <n v="1"/>
    <x v="5"/>
    <n v="42"/>
    <m/>
    <s v="   "/>
    <n v="1.5"/>
    <n v="0.27300000000000002"/>
    <n v="0"/>
    <s v="High Counselor"/>
    <x v="5"/>
  </r>
  <r>
    <s v="31332"/>
    <x v="219"/>
    <s v="Personnel"/>
    <s v="M "/>
    <s v="Middle Grade Group 7-8"/>
    <s v="PS42MS"/>
    <s v="PSES Mid Prog01Duty42 S275"/>
    <n v="1"/>
    <x v="5"/>
    <n v="42"/>
    <m/>
    <s v="   "/>
    <n v="0.75"/>
    <n v="0.27300000000000002"/>
    <n v="0"/>
    <s v="Middle Counselor"/>
    <x v="5"/>
  </r>
  <r>
    <s v="31332"/>
    <x v="219"/>
    <s v="Personnel"/>
    <s v="H "/>
    <s v="High Grade Group 9-12"/>
    <s v="PS46H21S"/>
    <s v="PSES High Prog21Duty46 S275"/>
    <n v="21"/>
    <x v="8"/>
    <n v="46"/>
    <m/>
    <s v="   "/>
    <n v="1"/>
    <n v="0.27300000000000002"/>
    <n v="0.27300000000000002"/>
    <s v="High Psychologist"/>
    <x v="8"/>
  </r>
  <r>
    <s v="31332"/>
    <x v="219"/>
    <s v="Personnel"/>
    <s v="E "/>
    <s v="Elementary Grade Group K-6"/>
    <s v="PS47E21S"/>
    <s v="PSES Elem Prog21Duty47 S275"/>
    <n v="21"/>
    <x v="9"/>
    <n v="47"/>
    <m/>
    <s v="   "/>
    <n v="0.443"/>
    <n v="0.27300000000000002"/>
    <n v="0.121"/>
    <s v="Elementary Nurse"/>
    <x v="9"/>
  </r>
  <r>
    <s v="31332"/>
    <x v="219"/>
    <s v="Personnel"/>
    <s v="E "/>
    <s v="Elementary Grade Group K-6"/>
    <s v="PS47ES"/>
    <s v="PSES Elem Prog01Duty47 S275"/>
    <n v="1"/>
    <x v="9"/>
    <n v="47"/>
    <m/>
    <s v="   "/>
    <n v="0.443"/>
    <n v="0.27300000000000002"/>
    <n v="0"/>
    <s v="Elementary Nurse"/>
    <x v="9"/>
  </r>
  <r>
    <s v="31332"/>
    <x v="219"/>
    <s v="Personnel"/>
    <s v="H "/>
    <s v="High Grade Group 9-12"/>
    <s v="PS47H21S"/>
    <s v="PSES High Prog21Duty47 S275"/>
    <n v="21"/>
    <x v="9"/>
    <n v="47"/>
    <m/>
    <s v="   "/>
    <n v="2.2240000000000002"/>
    <n v="0.27300000000000002"/>
    <n v="0.60699999999999998"/>
    <s v="High Nurse"/>
    <x v="9"/>
  </r>
  <r>
    <s v="31401"/>
    <x v="220"/>
    <s v="Personnel"/>
    <s v="E "/>
    <s v="Elementary Grade Group K-6"/>
    <s v="PS25ES"/>
    <s v="PSES Elem Prog01Act25 S275"/>
    <n v="1"/>
    <x v="1"/>
    <m/>
    <n v="25"/>
    <s v="   "/>
    <n v="9.4570000000000007"/>
    <n v="0.2298"/>
    <n v="0"/>
    <s v="Elementary Pupil Management"/>
    <x v="1"/>
  </r>
  <r>
    <s v="31401"/>
    <x v="220"/>
    <s v="Personnel"/>
    <s v="H "/>
    <s v="High Grade Group 9-12"/>
    <s v="PS25HS"/>
    <s v="PSES High Prog01Act25 S275"/>
    <n v="1"/>
    <x v="1"/>
    <m/>
    <n v="25"/>
    <s v="   "/>
    <n v="2.4E-2"/>
    <n v="0.2298"/>
    <n v="0"/>
    <s v="High Pupil Management"/>
    <x v="1"/>
  </r>
  <r>
    <s v="31401"/>
    <x v="220"/>
    <s v="Personnel"/>
    <s v="M "/>
    <s v="Middle Grade Group 7-8"/>
    <s v="PS25MS"/>
    <s v="PSES Mid Prog01Act25 S275"/>
    <n v="1"/>
    <x v="1"/>
    <m/>
    <n v="25"/>
    <s v="   "/>
    <n v="0.90700000000000003"/>
    <n v="0.2298"/>
    <n v="0"/>
    <s v="Middle Pupil Management"/>
    <x v="1"/>
  </r>
  <r>
    <s v="31401"/>
    <x v="220"/>
    <s v="Personnel"/>
    <s v="E "/>
    <s v="Elementary Grade Group K-6"/>
    <s v="PS26E21S"/>
    <s v="PSES Elem Prog21Act26 S275"/>
    <n v="21"/>
    <x v="2"/>
    <m/>
    <n v="26"/>
    <s v="   "/>
    <n v="1.0529999999999999"/>
    <n v="0.2298"/>
    <n v="0.24199999999999999"/>
    <s v="Elementary Health/_x000a_Related Services"/>
    <x v="2"/>
  </r>
  <r>
    <s v="31401"/>
    <x v="220"/>
    <s v="Personnel"/>
    <s v="E "/>
    <s v="Elementary Grade Group K-6"/>
    <s v="PS26ES"/>
    <s v="PSES Elem Prog01Act26 S275"/>
    <n v="1"/>
    <x v="2"/>
    <m/>
    <n v="26"/>
    <s v="   "/>
    <n v="1.712"/>
    <n v="0.2298"/>
    <n v="0"/>
    <s v="Elementary Health/_x000a_Related Services"/>
    <x v="2"/>
  </r>
  <r>
    <s v="31401"/>
    <x v="220"/>
    <s v="Personnel"/>
    <s v="H "/>
    <s v="High Grade Group 9-12"/>
    <s v="PS26H21S"/>
    <s v="PSES High Prog21Act26 S275"/>
    <n v="21"/>
    <x v="2"/>
    <m/>
    <n v="26"/>
    <s v="   "/>
    <n v="1.714"/>
    <n v="0.2298"/>
    <n v="0.39400000000000002"/>
    <s v="High Health/_x000a_Related Services"/>
    <x v="2"/>
  </r>
  <r>
    <s v="31401"/>
    <x v="220"/>
    <s v="Personnel"/>
    <s v="H "/>
    <s v="High Grade Group 9-12"/>
    <s v="PS26HS"/>
    <s v="PSES High Prog01Act26 S275"/>
    <n v="1"/>
    <x v="2"/>
    <m/>
    <n v="26"/>
    <s v="   "/>
    <n v="0.55400000000000005"/>
    <n v="0.2298"/>
    <n v="0"/>
    <s v="High Health/_x000a_Related Services"/>
    <x v="2"/>
  </r>
  <r>
    <s v="31401"/>
    <x v="220"/>
    <s v="Personnel"/>
    <s v="M "/>
    <s v="Middle Grade Group 7-8"/>
    <s v="PS26M21S"/>
    <s v="PSES Mid Prog21Act26 S275"/>
    <n v="21"/>
    <x v="2"/>
    <m/>
    <n v="26"/>
    <s v="   "/>
    <n v="0.56100000000000005"/>
    <n v="0.2298"/>
    <n v="0.129"/>
    <s v="Middle Health/_x000a_Related Services"/>
    <x v="2"/>
  </r>
  <r>
    <s v="31401"/>
    <x v="220"/>
    <s v="Personnel"/>
    <s v="M "/>
    <s v="Middle Grade Group 7-8"/>
    <s v="PS26MS"/>
    <s v="PSES Mid Prog01Act26 S275"/>
    <n v="1"/>
    <x v="2"/>
    <m/>
    <n v="26"/>
    <s v="   "/>
    <n v="0.86699999999999999"/>
    <n v="0.2298"/>
    <n v="0"/>
    <s v="Middle Health/_x000a_Related Services"/>
    <x v="2"/>
  </r>
  <r>
    <s v="31401"/>
    <x v="220"/>
    <s v="Personnel"/>
    <s v="H "/>
    <s v="High Grade Group 9-12"/>
    <s v="PS35HS"/>
    <s v="PSES High Prog01Act35 S275"/>
    <n v="1"/>
    <x v="3"/>
    <m/>
    <n v="35"/>
    <s v="   "/>
    <n v="0.64300000000000002"/>
    <n v="0.2298"/>
    <n v="0"/>
    <s v="High Pupil Safety"/>
    <x v="3"/>
  </r>
  <r>
    <s v="31401"/>
    <x v="220"/>
    <s v="Personnel"/>
    <s v="E "/>
    <s v="Elementary Grade Group K-6"/>
    <s v="PS42ES"/>
    <s v="PSES Elem Prog01Duty42 S275"/>
    <n v="1"/>
    <x v="5"/>
    <n v="42"/>
    <m/>
    <s v="   "/>
    <n v="4"/>
    <n v="0.2298"/>
    <n v="0"/>
    <s v="Elementary Counselor"/>
    <x v="5"/>
  </r>
  <r>
    <s v="31401"/>
    <x v="220"/>
    <s v="Personnel"/>
    <s v="H "/>
    <s v="High Grade Group 9-12"/>
    <s v="PS42HS"/>
    <s v="PSES High Prog01Duty42 S275"/>
    <n v="1"/>
    <x v="5"/>
    <n v="42"/>
    <m/>
    <s v="   "/>
    <n v="3.1"/>
    <n v="0.2298"/>
    <n v="0"/>
    <s v="High Counselor"/>
    <x v="5"/>
  </r>
  <r>
    <s v="31401"/>
    <x v="220"/>
    <s v="Personnel"/>
    <s v="M "/>
    <s v="Middle Grade Group 7-8"/>
    <s v="PS42MS"/>
    <s v="PSES Mid Prog01Duty42 S275"/>
    <n v="1"/>
    <x v="5"/>
    <n v="42"/>
    <m/>
    <s v="   "/>
    <n v="2.5"/>
    <n v="0.2298"/>
    <n v="0"/>
    <s v="Middle Counselor"/>
    <x v="5"/>
  </r>
  <r>
    <s v="31401"/>
    <x v="220"/>
    <s v="Personnel"/>
    <s v="E "/>
    <s v="Elementary Grade Group K-6"/>
    <s v="PS43E21S"/>
    <s v="PSES Elem Prog21Duty43 S275"/>
    <n v="21"/>
    <x v="6"/>
    <n v="43"/>
    <m/>
    <s v="   "/>
    <n v="0.78300000000000003"/>
    <n v="0.2298"/>
    <n v="0.18"/>
    <s v="Elementary Occupational Therapist"/>
    <x v="6"/>
  </r>
  <r>
    <s v="31401"/>
    <x v="220"/>
    <s v="Personnel"/>
    <s v="E "/>
    <s v="Elementary Grade Group K-6"/>
    <s v="PS44ES"/>
    <s v="PSES Elem Prog01Duty44 S275"/>
    <n v="1"/>
    <x v="13"/>
    <n v="44"/>
    <m/>
    <s v="   "/>
    <n v="1"/>
    <n v="0.2298"/>
    <n v="0"/>
    <s v="Elementary Social Worker"/>
    <x v="13"/>
  </r>
  <r>
    <s v="31401"/>
    <x v="220"/>
    <s v="Personnel"/>
    <s v="E "/>
    <s v="Elementary Grade Group K-6"/>
    <s v="PS45E21S"/>
    <s v="PSES Elem Prog21Duty45 S275"/>
    <n v="21"/>
    <x v="7"/>
    <n v="45"/>
    <m/>
    <s v="   "/>
    <n v="3.44"/>
    <n v="0.2298"/>
    <n v="0.79100000000000004"/>
    <s v="Elementary Speech, Language Pathway/_x000a_Audio"/>
    <x v="7"/>
  </r>
  <r>
    <s v="31401"/>
    <x v="220"/>
    <s v="Personnel"/>
    <s v="M "/>
    <s v="Middle Grade Group 7-8"/>
    <s v="PS45M21S"/>
    <s v="PSES Mid Prog21Duty45 S275"/>
    <n v="21"/>
    <x v="7"/>
    <n v="45"/>
    <m/>
    <s v="   "/>
    <n v="1.56"/>
    <n v="0.2298"/>
    <n v="0.35799999999999998"/>
    <s v="Middle Speech, Language Pathway/_x000a_Audio"/>
    <x v="7"/>
  </r>
  <r>
    <s v="31401"/>
    <x v="220"/>
    <s v="Personnel"/>
    <s v="E "/>
    <s v="Elementary Grade Group K-6"/>
    <s v="PS46E21S"/>
    <s v="PSES Elem Prog21Duty46 S275"/>
    <n v="21"/>
    <x v="8"/>
    <n v="46"/>
    <m/>
    <s v="   "/>
    <n v="3.4"/>
    <n v="0.2298"/>
    <n v="0.78100000000000003"/>
    <s v="Elementary Psychologist"/>
    <x v="8"/>
  </r>
  <r>
    <s v="31401"/>
    <x v="220"/>
    <s v="Personnel"/>
    <s v="H "/>
    <s v="High Grade Group 9-12"/>
    <s v="PS46H21S"/>
    <s v="PSES High Prog21Duty46 S275"/>
    <n v="21"/>
    <x v="8"/>
    <n v="46"/>
    <m/>
    <s v="   "/>
    <n v="2"/>
    <n v="0.2298"/>
    <n v="0.46"/>
    <s v="High Psychologist"/>
    <x v="8"/>
  </r>
  <r>
    <s v="31401"/>
    <x v="220"/>
    <s v="Personnel"/>
    <s v="M "/>
    <s v="Middle Grade Group 7-8"/>
    <s v="PS46M21S"/>
    <s v="PSES Mid Prog21Duty46 S275"/>
    <n v="21"/>
    <x v="8"/>
    <n v="46"/>
    <m/>
    <s v="   "/>
    <n v="1"/>
    <n v="0.2298"/>
    <n v="0.23"/>
    <s v="Middle Psychologist"/>
    <x v="8"/>
  </r>
  <r>
    <s v="31401"/>
    <x v="220"/>
    <s v="Personnel"/>
    <s v="E "/>
    <s v="Elementary Grade Group K-6"/>
    <s v="PS47ES"/>
    <s v="PSES Elem Prog01Duty47 S275"/>
    <n v="1"/>
    <x v="9"/>
    <n v="47"/>
    <m/>
    <s v="   "/>
    <n v="4.75"/>
    <n v="0.2298"/>
    <n v="0"/>
    <s v="Elementary Nurse"/>
    <x v="9"/>
  </r>
  <r>
    <s v="31401"/>
    <x v="220"/>
    <s v="Personnel"/>
    <s v="M "/>
    <s v="Middle Grade Group 7-8"/>
    <s v="PS47MS"/>
    <s v="PSES Mid Prog01Duty47 S275"/>
    <n v="1"/>
    <x v="9"/>
    <n v="47"/>
    <m/>
    <s v="   "/>
    <n v="1.6"/>
    <n v="0.2298"/>
    <n v="0"/>
    <s v="Middle Nurse"/>
    <x v="9"/>
  </r>
  <r>
    <s v="31401"/>
    <x v="220"/>
    <s v="Personnel"/>
    <s v="E "/>
    <s v="Elementary Grade Group K-6"/>
    <s v="PS49E21S"/>
    <s v="PSES Elem Prog21Duty49 S275"/>
    <n v="21"/>
    <x v="10"/>
    <n v="49"/>
    <m/>
    <s v="   "/>
    <n v="2"/>
    <n v="0.2298"/>
    <n v="0.46"/>
    <s v="Elementary Behavior Analyst"/>
    <x v="10"/>
  </r>
  <r>
    <s v="32081"/>
    <x v="221"/>
    <s v="Personnel"/>
    <s v="H "/>
    <s v="High Grade Group 9-12"/>
    <s v="PS24HS"/>
    <s v="PSES High Prog01Duty96 S275"/>
    <n v="1"/>
    <x v="0"/>
    <n v="96"/>
    <n v="24"/>
    <s v="   "/>
    <n v="0.73099999999999998"/>
    <n v="0.2429"/>
    <n v="0"/>
    <s v="High Family Engagement Coordinator"/>
    <x v="0"/>
  </r>
  <r>
    <s v="32081"/>
    <x v="221"/>
    <s v="Personnel"/>
    <s v="H "/>
    <s v="High Grade Group 9-12"/>
    <s v="PS25HS"/>
    <s v="PSES High Prog01Act25 S275"/>
    <n v="1"/>
    <x v="1"/>
    <m/>
    <n v="25"/>
    <s v="   "/>
    <n v="24.501999999999999"/>
    <n v="0.2429"/>
    <n v="0"/>
    <s v="High Pupil Management"/>
    <x v="1"/>
  </r>
  <r>
    <s v="32081"/>
    <x v="221"/>
    <s v="Personnel"/>
    <s v="E "/>
    <s v="Elementary Grade Group K-6"/>
    <s v="PS26ES"/>
    <s v="PSES Elem Prog01Act26 S275"/>
    <n v="1"/>
    <x v="2"/>
    <m/>
    <n v="26"/>
    <s v="   "/>
    <n v="11.13"/>
    <n v="0.2429"/>
    <n v="0"/>
    <s v="Elementary Health/_x000a_Related Services"/>
    <x v="2"/>
  </r>
  <r>
    <s v="32081"/>
    <x v="221"/>
    <s v="Personnel"/>
    <s v="H "/>
    <s v="High Grade Group 9-12"/>
    <s v="PS26H21S"/>
    <s v="PSES High Prog21Act26 S275"/>
    <n v="21"/>
    <x v="2"/>
    <m/>
    <n v="26"/>
    <s v="   "/>
    <n v="8.7789999999999999"/>
    <n v="0.2429"/>
    <n v="2.1320000000000001"/>
    <s v="High Health/_x000a_Related Services"/>
    <x v="2"/>
  </r>
  <r>
    <s v="32081"/>
    <x v="221"/>
    <s v="Personnel"/>
    <s v="H "/>
    <s v="High Grade Group 9-12"/>
    <s v="PS26HS"/>
    <s v="PSES High Prog01Act26 S275"/>
    <n v="1"/>
    <x v="2"/>
    <m/>
    <n v="26"/>
    <s v="   "/>
    <n v="3.7629999999999999"/>
    <n v="0.2429"/>
    <n v="0"/>
    <s v="High Health/_x000a_Related Services"/>
    <x v="2"/>
  </r>
  <r>
    <s v="32081"/>
    <x v="221"/>
    <s v="Personnel"/>
    <s v="M "/>
    <s v="Middle Grade Group 7-8"/>
    <s v="PS26MS"/>
    <s v="PSES Mid Prog01Act26 S275"/>
    <n v="1"/>
    <x v="2"/>
    <m/>
    <n v="26"/>
    <s v="   "/>
    <n v="5.4569999999999999"/>
    <n v="0.2429"/>
    <n v="0"/>
    <s v="Middle Health/_x000a_Related Services"/>
    <x v="2"/>
  </r>
  <r>
    <s v="32081"/>
    <x v="221"/>
    <s v="Personnel"/>
    <s v="E "/>
    <s v="Elementary Grade Group K-6"/>
    <s v="PS35ES"/>
    <s v="PSES Elem Prog01Act35 S275"/>
    <n v="1"/>
    <x v="3"/>
    <m/>
    <n v="35"/>
    <s v="   "/>
    <n v="0.35499999999999998"/>
    <n v="0.2429"/>
    <n v="0"/>
    <s v="Elementary Pupil Safety"/>
    <x v="3"/>
  </r>
  <r>
    <s v="32081"/>
    <x v="221"/>
    <s v="Personnel"/>
    <s v="H "/>
    <s v="High Grade Group 9-12"/>
    <s v="PS35HS"/>
    <s v="PSES High Prog01Act35 S275"/>
    <n v="1"/>
    <x v="3"/>
    <m/>
    <n v="35"/>
    <s v="   "/>
    <n v="6.3890000000000002"/>
    <n v="0.2429"/>
    <n v="0"/>
    <s v="High Pupil Safety"/>
    <x v="3"/>
  </r>
  <r>
    <s v="32081"/>
    <x v="221"/>
    <s v="Personnel"/>
    <s v="M "/>
    <s v="Middle Grade Group 7-8"/>
    <s v="PS35MS"/>
    <s v="PSES Mid Prog01Act35 S275"/>
    <n v="1"/>
    <x v="3"/>
    <m/>
    <n v="35"/>
    <s v="   "/>
    <n v="6.3289999999999997"/>
    <n v="0.2429"/>
    <n v="0"/>
    <s v="Middle Pupil Safety"/>
    <x v="3"/>
  </r>
  <r>
    <s v="32081"/>
    <x v="221"/>
    <s v="Personnel"/>
    <s v="E "/>
    <s v="Elementary Grade Group K-6"/>
    <s v="PS39E21S"/>
    <s v="PSES Elem Prog21Duty39 S275"/>
    <n v="21"/>
    <x v="4"/>
    <n v="39"/>
    <m/>
    <s v="   "/>
    <n v="2.59"/>
    <n v="0.2429"/>
    <n v="0.629"/>
    <s v="Elementary Orientation &amp; Mobility Specialist"/>
    <x v="4"/>
  </r>
  <r>
    <s v="32081"/>
    <x v="221"/>
    <s v="Personnel"/>
    <s v="H "/>
    <s v="High Grade Group 9-12"/>
    <s v="PS39H21S"/>
    <s v="PSES High Prog21Duty39 S275"/>
    <n v="21"/>
    <x v="4"/>
    <n v="39"/>
    <m/>
    <s v="   "/>
    <n v="1.4750000000000001"/>
    <n v="0.2429"/>
    <n v="0.35799999999999998"/>
    <s v="High Orientation &amp; Mobility Specialist"/>
    <x v="4"/>
  </r>
  <r>
    <s v="32081"/>
    <x v="221"/>
    <s v="Personnel"/>
    <s v="M "/>
    <s v="Middle Grade Group 7-8"/>
    <s v="PS39M21S"/>
    <s v="PSES Mid Prog21Duty39 S275"/>
    <n v="21"/>
    <x v="4"/>
    <n v="39"/>
    <m/>
    <s v="   "/>
    <n v="0.73799999999999999"/>
    <n v="0.2429"/>
    <n v="0.17899999999999999"/>
    <s v="Middle Orientation &amp; Mobility Specialist"/>
    <x v="4"/>
  </r>
  <r>
    <s v="32081"/>
    <x v="221"/>
    <s v="Personnel"/>
    <s v="E "/>
    <s v="Elementary Grade Group K-6"/>
    <s v="PS42ES"/>
    <s v="PSES Elem Prog01Duty42 S275"/>
    <n v="1"/>
    <x v="5"/>
    <n v="42"/>
    <m/>
    <s v="   "/>
    <n v="33.729999999999997"/>
    <n v="0.2429"/>
    <n v="0"/>
    <s v="Elementary Counselor"/>
    <x v="5"/>
  </r>
  <r>
    <s v="32081"/>
    <x v="221"/>
    <s v="Personnel"/>
    <s v="H "/>
    <s v="High Grade Group 9-12"/>
    <s v="PS42HS"/>
    <s v="PSES High Prog01Duty42 S275"/>
    <n v="1"/>
    <x v="5"/>
    <n v="42"/>
    <m/>
    <s v="   "/>
    <n v="30"/>
    <n v="0.2429"/>
    <n v="0"/>
    <s v="High Counselor"/>
    <x v="5"/>
  </r>
  <r>
    <s v="32081"/>
    <x v="221"/>
    <s v="Personnel"/>
    <s v="M "/>
    <s v="Middle Grade Group 7-8"/>
    <s v="PS42MS"/>
    <s v="PSES Mid Prog01Duty42 S275"/>
    <n v="1"/>
    <x v="5"/>
    <n v="42"/>
    <m/>
    <s v="   "/>
    <n v="18"/>
    <n v="0.2429"/>
    <n v="0"/>
    <s v="Middle Counselor"/>
    <x v="5"/>
  </r>
  <r>
    <s v="32081"/>
    <x v="221"/>
    <s v="Personnel"/>
    <s v="E "/>
    <s v="Elementary Grade Group K-6"/>
    <s v="PS43E21S"/>
    <s v="PSES Elem Prog21Duty43 S275"/>
    <n v="21"/>
    <x v="6"/>
    <n v="43"/>
    <m/>
    <s v="   "/>
    <n v="7.335"/>
    <n v="0.2429"/>
    <n v="1.782"/>
    <s v="Elementary Occupational Therapist"/>
    <x v="6"/>
  </r>
  <r>
    <s v="32081"/>
    <x v="221"/>
    <s v="Personnel"/>
    <s v="E "/>
    <s v="Elementary Grade Group K-6"/>
    <s v="PS43ES"/>
    <s v="PSES Elem Prog01Duty43 S275"/>
    <n v="1"/>
    <x v="6"/>
    <n v="43"/>
    <m/>
    <s v="   "/>
    <n v="0.33900000000000002"/>
    <n v="0.2429"/>
    <n v="0"/>
    <s v="Elementary Occupational Therapist"/>
    <x v="6"/>
  </r>
  <r>
    <s v="32081"/>
    <x v="221"/>
    <s v="Personnel"/>
    <s v="H "/>
    <s v="High Grade Group 9-12"/>
    <s v="PS43H21S"/>
    <s v="PSES High Prog21Duty43 S275"/>
    <n v="21"/>
    <x v="6"/>
    <n v="43"/>
    <m/>
    <s v="   "/>
    <n v="4.1859999999999999"/>
    <n v="0.2429"/>
    <n v="1.0169999999999999"/>
    <s v="High Occupational Therapist"/>
    <x v="6"/>
  </r>
  <r>
    <s v="32081"/>
    <x v="221"/>
    <s v="Personnel"/>
    <s v="H "/>
    <s v="High Grade Group 9-12"/>
    <s v="PS43HS"/>
    <s v="PSES High Prog01Duty43 S275"/>
    <n v="1"/>
    <x v="6"/>
    <n v="43"/>
    <m/>
    <s v="   "/>
    <n v="0.188"/>
    <n v="0.2429"/>
    <n v="0"/>
    <s v="High Occupational Therapist"/>
    <x v="6"/>
  </r>
  <r>
    <s v="32081"/>
    <x v="221"/>
    <s v="Personnel"/>
    <s v="M "/>
    <s v="Middle Grade Group 7-8"/>
    <s v="PS43M21S"/>
    <s v="PSES Mid Prog21Duty43 S275"/>
    <n v="21"/>
    <x v="6"/>
    <n v="43"/>
    <m/>
    <s v="   "/>
    <n v="2.0979999999999999"/>
    <n v="0.2429"/>
    <n v="0.51"/>
    <s v="Middle Occupational Therapist"/>
    <x v="6"/>
  </r>
  <r>
    <s v="32081"/>
    <x v="221"/>
    <s v="Personnel"/>
    <s v="M "/>
    <s v="Middle Grade Group 7-8"/>
    <s v="PS43MS"/>
    <s v="PSES Mid Prog01Duty43 S275"/>
    <n v="1"/>
    <x v="6"/>
    <n v="43"/>
    <m/>
    <s v="   "/>
    <n v="9.9000000000000005E-2"/>
    <n v="0.2429"/>
    <n v="0"/>
    <s v="Middle Occupational Therapist"/>
    <x v="6"/>
  </r>
  <r>
    <s v="32081"/>
    <x v="221"/>
    <s v="Personnel"/>
    <s v="E "/>
    <s v="Elementary Grade Group K-6"/>
    <s v="PS45E21S"/>
    <s v="PSES Elem Prog21Duty45 S275"/>
    <n v="21"/>
    <x v="7"/>
    <n v="45"/>
    <m/>
    <s v="   "/>
    <n v="49.045000000000002"/>
    <n v="0.2429"/>
    <n v="11.913"/>
    <s v="Elementary Speech, Language Pathway/_x000a_Audio"/>
    <x v="7"/>
  </r>
  <r>
    <s v="32081"/>
    <x v="221"/>
    <s v="Personnel"/>
    <s v="E "/>
    <s v="Elementary Grade Group K-6"/>
    <s v="PS45ES"/>
    <s v="PSES Elem Prog01Duty45 S275"/>
    <n v="1"/>
    <x v="7"/>
    <n v="45"/>
    <m/>
    <s v="   "/>
    <n v="0.214"/>
    <n v="0.2429"/>
    <n v="0"/>
    <s v="Elementary Speech, Language Pathway/_x000a_Audio"/>
    <x v="7"/>
  </r>
  <r>
    <s v="32081"/>
    <x v="221"/>
    <s v="Personnel"/>
    <s v="H "/>
    <s v="High Grade Group 9-12"/>
    <s v="PS45H21S"/>
    <s v="PSES High Prog21Duty45 S275"/>
    <n v="21"/>
    <x v="7"/>
    <n v="45"/>
    <m/>
    <s v="   "/>
    <n v="0.45800000000000002"/>
    <n v="0.2429"/>
    <n v="0.111"/>
    <s v="High Speech, Language Pathway/_x000a_Audio"/>
    <x v="7"/>
  </r>
  <r>
    <s v="32081"/>
    <x v="221"/>
    <s v="Personnel"/>
    <s v="H "/>
    <s v="High Grade Group 9-12"/>
    <s v="PS45HS"/>
    <s v="PSES High Prog01Duty45 S275"/>
    <n v="1"/>
    <x v="7"/>
    <n v="45"/>
    <m/>
    <s v="   "/>
    <n v="0.124"/>
    <n v="0.2429"/>
    <n v="0"/>
    <s v="High Speech, Language Pathway/_x000a_Audio"/>
    <x v="7"/>
  </r>
  <r>
    <s v="32081"/>
    <x v="221"/>
    <s v="Personnel"/>
    <s v="M "/>
    <s v="Middle Grade Group 7-8"/>
    <s v="PS45M21S"/>
    <s v="PSES Mid Prog21Duty45 S275"/>
    <n v="21"/>
    <x v="7"/>
    <n v="45"/>
    <m/>
    <s v="   "/>
    <n v="0.82799999999999996"/>
    <n v="0.2429"/>
    <n v="0.20100000000000001"/>
    <s v="Middle Speech, Language Pathway/_x000a_Audio"/>
    <x v="7"/>
  </r>
  <r>
    <s v="32081"/>
    <x v="221"/>
    <s v="Personnel"/>
    <s v="M "/>
    <s v="Middle Grade Group 7-8"/>
    <s v="PS45MS"/>
    <s v="PSES Mid Prog01Duty45 S275"/>
    <n v="1"/>
    <x v="7"/>
    <n v="45"/>
    <m/>
    <s v="   "/>
    <n v="6.2E-2"/>
    <n v="0.2429"/>
    <n v="0"/>
    <s v="Middle Speech, Language Pathway/_x000a_Audio"/>
    <x v="7"/>
  </r>
  <r>
    <s v="32081"/>
    <x v="221"/>
    <s v="Personnel"/>
    <s v="E "/>
    <s v="Elementary Grade Group K-6"/>
    <s v="PS46E21S"/>
    <s v="PSES Elem Prog21Duty46 S275"/>
    <n v="21"/>
    <x v="8"/>
    <n v="46"/>
    <m/>
    <s v="   "/>
    <n v="16.672000000000001"/>
    <n v="0.2429"/>
    <n v="4.05"/>
    <s v="Elementary Psychologist"/>
    <x v="8"/>
  </r>
  <r>
    <s v="32081"/>
    <x v="221"/>
    <s v="Personnel"/>
    <s v="H "/>
    <s v="High Grade Group 9-12"/>
    <s v="PS46H21S"/>
    <s v="PSES High Prog21Duty46 S275"/>
    <n v="21"/>
    <x v="8"/>
    <n v="46"/>
    <m/>
    <s v="   "/>
    <n v="6.383"/>
    <n v="0.2429"/>
    <n v="1.55"/>
    <s v="High Psychologist"/>
    <x v="8"/>
  </r>
  <r>
    <s v="32081"/>
    <x v="221"/>
    <s v="Personnel"/>
    <s v="M "/>
    <s v="Middle Grade Group 7-8"/>
    <s v="PS46M21S"/>
    <s v="PSES Mid Prog21Duty46 S275"/>
    <n v="21"/>
    <x v="8"/>
    <n v="46"/>
    <m/>
    <s v="   "/>
    <n v="6.88"/>
    <n v="0.2429"/>
    <n v="1.671"/>
    <s v="Middle Psychologist"/>
    <x v="8"/>
  </r>
  <r>
    <s v="32081"/>
    <x v="221"/>
    <s v="Personnel"/>
    <s v="E "/>
    <s v="Elementary Grade Group K-6"/>
    <s v="PS47E21S"/>
    <s v="PSES Elem Prog21Duty47 S275"/>
    <n v="21"/>
    <x v="9"/>
    <n v="47"/>
    <m/>
    <s v="   "/>
    <n v="0.17799999999999999"/>
    <n v="0.2429"/>
    <n v="4.2999999999999997E-2"/>
    <s v="Elementary Nurse"/>
    <x v="9"/>
  </r>
  <r>
    <s v="32081"/>
    <x v="221"/>
    <s v="Personnel"/>
    <s v="E "/>
    <s v="Elementary Grade Group K-6"/>
    <s v="PS47ES"/>
    <s v="PSES Elem Prog01Duty47 S275"/>
    <n v="1"/>
    <x v="9"/>
    <n v="47"/>
    <m/>
    <s v="   "/>
    <n v="5.7309999999999999"/>
    <n v="0.2429"/>
    <n v="0"/>
    <s v="Elementary Nurse"/>
    <x v="9"/>
  </r>
  <r>
    <s v="32081"/>
    <x v="221"/>
    <s v="Personnel"/>
    <s v="H "/>
    <s v="High Grade Group 9-12"/>
    <s v="PS47H21S"/>
    <s v="PSES High Prog21Duty47 S275"/>
    <n v="21"/>
    <x v="9"/>
    <n v="47"/>
    <m/>
    <s v="   "/>
    <n v="0.10299999999999999"/>
    <n v="0.2429"/>
    <n v="2.5000000000000001E-2"/>
    <s v="High Nurse"/>
    <x v="9"/>
  </r>
  <r>
    <s v="32081"/>
    <x v="221"/>
    <s v="Personnel"/>
    <s v="H "/>
    <s v="High Grade Group 9-12"/>
    <s v="PS47HS"/>
    <s v="PSES High Prog01Duty47 S275"/>
    <n v="1"/>
    <x v="9"/>
    <n v="47"/>
    <m/>
    <s v="   "/>
    <n v="3.2789999999999999"/>
    <n v="0.2429"/>
    <n v="0"/>
    <s v="High Nurse"/>
    <x v="9"/>
  </r>
  <r>
    <s v="32081"/>
    <x v="221"/>
    <s v="Personnel"/>
    <s v="M "/>
    <s v="Middle Grade Group 7-8"/>
    <s v="PS47M21S"/>
    <s v="PSES Mid Prog21Duty47 S275"/>
    <n v="21"/>
    <x v="9"/>
    <n v="47"/>
    <m/>
    <s v="   "/>
    <n v="0.05"/>
    <n v="0.2429"/>
    <n v="1.2E-2"/>
    <s v="Middle Nurse"/>
    <x v="9"/>
  </r>
  <r>
    <s v="32081"/>
    <x v="221"/>
    <s v="Personnel"/>
    <s v="M "/>
    <s v="Middle Grade Group 7-8"/>
    <s v="PS47MS"/>
    <s v="PSES Mid Prog01Duty47 S275"/>
    <n v="1"/>
    <x v="9"/>
    <n v="47"/>
    <m/>
    <s v="   "/>
    <n v="1.6339999999999999"/>
    <n v="0.2429"/>
    <n v="0"/>
    <s v="Middle Nurse"/>
    <x v="9"/>
  </r>
  <r>
    <s v="32081"/>
    <x v="221"/>
    <s v="Personnel"/>
    <s v="E "/>
    <s v="Elementary Grade Group K-6"/>
    <s v="PS48E21S"/>
    <s v="PSES Elem Prog21Duty48 S275"/>
    <n v="21"/>
    <x v="11"/>
    <n v="48"/>
    <m/>
    <s v="   "/>
    <n v="3.7669999999999999"/>
    <n v="0.2429"/>
    <n v="0.91500000000000004"/>
    <s v="Elementary Physical Therapist"/>
    <x v="11"/>
  </r>
  <r>
    <s v="32081"/>
    <x v="221"/>
    <s v="Personnel"/>
    <s v="E "/>
    <s v="Elementary Grade Group K-6"/>
    <s v="PS48ES"/>
    <s v="PSES Elem Prog01Duty48 S275"/>
    <n v="1"/>
    <x v="11"/>
    <n v="48"/>
    <m/>
    <s v="   "/>
    <n v="0.20899999999999999"/>
    <n v="0.2429"/>
    <n v="0"/>
    <s v="Elementary Physical Therapist"/>
    <x v="11"/>
  </r>
  <r>
    <s v="32081"/>
    <x v="221"/>
    <s v="Personnel"/>
    <s v="H "/>
    <s v="High Grade Group 9-12"/>
    <s v="PS48H21S"/>
    <s v="PSES High Prog21Duty48 S275"/>
    <n v="21"/>
    <x v="11"/>
    <n v="48"/>
    <m/>
    <s v="   "/>
    <n v="2.149"/>
    <n v="0.2429"/>
    <n v="0.52200000000000002"/>
    <s v="High Physical Therapist"/>
    <x v="11"/>
  </r>
  <r>
    <s v="32081"/>
    <x v="221"/>
    <s v="Personnel"/>
    <s v="H "/>
    <s v="High Grade Group 9-12"/>
    <s v="PS48HS"/>
    <s v="PSES High Prog01Duty48 S275"/>
    <n v="1"/>
    <x v="11"/>
    <n v="48"/>
    <m/>
    <s v="   "/>
    <n v="0.11700000000000001"/>
    <n v="0.2429"/>
    <n v="0"/>
    <s v="High Physical Therapist"/>
    <x v="11"/>
  </r>
  <r>
    <s v="32081"/>
    <x v="221"/>
    <s v="Personnel"/>
    <s v="M "/>
    <s v="Middle Grade Group 7-8"/>
    <s v="PS48M21S"/>
    <s v="PSES Mid Prog21Duty48 S275"/>
    <n v="21"/>
    <x v="11"/>
    <n v="48"/>
    <m/>
    <s v="   "/>
    <n v="1.0780000000000001"/>
    <n v="0.2429"/>
    <n v="0.26200000000000001"/>
    <s v="Middle Physical Therapist"/>
    <x v="11"/>
  </r>
  <r>
    <s v="32081"/>
    <x v="221"/>
    <s v="Personnel"/>
    <s v="M "/>
    <s v="Middle Grade Group 7-8"/>
    <s v="PS48MS"/>
    <s v="PSES Mid Prog01Duty48 S275"/>
    <n v="1"/>
    <x v="11"/>
    <n v="48"/>
    <m/>
    <s v="   "/>
    <n v="6.3E-2"/>
    <n v="0.2429"/>
    <n v="0"/>
    <s v="Middle Physical Therapist"/>
    <x v="11"/>
  </r>
  <r>
    <s v="32123"/>
    <x v="222"/>
    <s v="Personnel"/>
    <s v="H "/>
    <s v="High Grade Group 9-12"/>
    <s v="PS24HS"/>
    <s v="PSES High Prog01Duty96 S275"/>
    <n v="1"/>
    <x v="0"/>
    <n v="96"/>
    <n v="24"/>
    <s v="   "/>
    <n v="0.13700000000000001"/>
    <n v="0.115"/>
    <n v="0"/>
    <s v="High Family Engagement Coordinator"/>
    <x v="0"/>
  </r>
  <r>
    <s v="32123"/>
    <x v="222"/>
    <s v="Personnel"/>
    <s v="H "/>
    <s v="High Grade Group 9-12"/>
    <s v="PS26HS"/>
    <s v="PSES High Prog01Act26 S275"/>
    <n v="1"/>
    <x v="2"/>
    <m/>
    <n v="26"/>
    <s v="   "/>
    <n v="7.6999999999999999E-2"/>
    <n v="0.115"/>
    <n v="0"/>
    <s v="High Health/_x000a_Related Services"/>
    <x v="2"/>
  </r>
  <r>
    <s v="32312"/>
    <x v="223"/>
    <s v="Personnel"/>
    <s v="H "/>
    <s v="High Grade Group 9-12"/>
    <s v="PS26HS"/>
    <s v="PSES High Prog01Act26 S275"/>
    <n v="1"/>
    <x v="2"/>
    <m/>
    <n v="26"/>
    <s v="   "/>
    <n v="0.28799999999999998"/>
    <n v="8.7099999999999997E-2"/>
    <n v="0"/>
    <s v="High Health/_x000a_Related Services"/>
    <x v="2"/>
  </r>
  <r>
    <s v="32325"/>
    <x v="224"/>
    <s v="Personnel"/>
    <s v="E "/>
    <s v="Elementary Grade Group K-6"/>
    <s v="PS25ES"/>
    <s v="PSES Elem Prog01Act25 S275"/>
    <n v="1"/>
    <x v="1"/>
    <m/>
    <n v="25"/>
    <s v="   "/>
    <n v="1.696"/>
    <n v="0.2059"/>
    <n v="0"/>
    <s v="Elementary Pupil Management"/>
    <x v="1"/>
  </r>
  <r>
    <s v="32325"/>
    <x v="224"/>
    <s v="Personnel"/>
    <s v="M "/>
    <s v="Middle Grade Group 7-8"/>
    <s v="PS25MS"/>
    <s v="PSES Mid Prog01Act25 S275"/>
    <n v="1"/>
    <x v="1"/>
    <m/>
    <n v="25"/>
    <s v="   "/>
    <n v="0.24199999999999999"/>
    <n v="0.2059"/>
    <n v="0"/>
    <s v="Middle Pupil Management"/>
    <x v="1"/>
  </r>
  <r>
    <s v="32325"/>
    <x v="224"/>
    <s v="Personnel"/>
    <s v="E "/>
    <s v="Elementary Grade Group K-6"/>
    <s v="PS26E21S"/>
    <s v="PSES Elem Prog21Act26 S275"/>
    <n v="21"/>
    <x v="2"/>
    <m/>
    <n v="26"/>
    <s v="   "/>
    <n v="0.77700000000000002"/>
    <n v="0.2059"/>
    <n v="0.16"/>
    <s v="Elementary Health/_x000a_Related Services"/>
    <x v="2"/>
  </r>
  <r>
    <s v="32325"/>
    <x v="224"/>
    <s v="Personnel"/>
    <s v="H "/>
    <s v="High Grade Group 9-12"/>
    <s v="PS26HS"/>
    <s v="PSES High Prog01Act26 S275"/>
    <n v="1"/>
    <x v="2"/>
    <m/>
    <n v="26"/>
    <s v="   "/>
    <n v="0.59099999999999997"/>
    <n v="0.2059"/>
    <n v="0"/>
    <s v="High Health/_x000a_Related Services"/>
    <x v="2"/>
  </r>
  <r>
    <s v="32325"/>
    <x v="224"/>
    <s v="Personnel"/>
    <s v="M "/>
    <s v="Middle Grade Group 7-8"/>
    <s v="PS26M21S"/>
    <s v="PSES Mid Prog21Act26 S275"/>
    <n v="21"/>
    <x v="2"/>
    <m/>
    <n v="26"/>
    <s v="   "/>
    <n v="0.185"/>
    <n v="0.2059"/>
    <n v="3.7999999999999999E-2"/>
    <s v="Middle Health/_x000a_Related Services"/>
    <x v="2"/>
  </r>
  <r>
    <s v="32325"/>
    <x v="224"/>
    <s v="Personnel"/>
    <s v="E "/>
    <s v="Elementary Grade Group K-6"/>
    <s v="PS42ES"/>
    <s v="PSES Elem Prog01Duty42 S275"/>
    <n v="1"/>
    <x v="5"/>
    <n v="42"/>
    <m/>
    <s v="   "/>
    <n v="2"/>
    <n v="0.2059"/>
    <n v="0"/>
    <s v="Elementary Counselor"/>
    <x v="5"/>
  </r>
  <r>
    <s v="32325"/>
    <x v="224"/>
    <s v="Personnel"/>
    <s v="H "/>
    <s v="High Grade Group 9-12"/>
    <s v="PS42HS"/>
    <s v="PSES High Prog01Duty42 S275"/>
    <n v="1"/>
    <x v="5"/>
    <n v="42"/>
    <m/>
    <s v="   "/>
    <n v="1.4"/>
    <n v="0.2059"/>
    <n v="0"/>
    <s v="High Counselor"/>
    <x v="5"/>
  </r>
  <r>
    <s v="32325"/>
    <x v="224"/>
    <s v="Personnel"/>
    <s v="E "/>
    <s v="Elementary Grade Group K-6"/>
    <s v="PS44ES"/>
    <s v="PSES Elem Prog01Duty44 S275"/>
    <n v="1"/>
    <x v="13"/>
    <n v="44"/>
    <m/>
    <s v="   "/>
    <n v="0.33300000000000002"/>
    <n v="0.2059"/>
    <n v="0"/>
    <s v="Elementary Social Worker"/>
    <x v="13"/>
  </r>
  <r>
    <s v="32325"/>
    <x v="224"/>
    <s v="Personnel"/>
    <s v="M "/>
    <s v="Middle Grade Group 7-8"/>
    <s v="PS44MS"/>
    <s v="PSES Mid Prog01Duty44 S275"/>
    <n v="1"/>
    <x v="13"/>
    <n v="44"/>
    <m/>
    <s v="   "/>
    <n v="0.66700000000000004"/>
    <n v="0.2059"/>
    <n v="0"/>
    <s v="Middle Social Worker"/>
    <x v="13"/>
  </r>
  <r>
    <s v="32325"/>
    <x v="224"/>
    <s v="Personnel"/>
    <s v="E "/>
    <s v="Elementary Grade Group K-6"/>
    <s v="PS45E21S"/>
    <s v="PSES Elem Prog21Duty45 S275"/>
    <n v="21"/>
    <x v="7"/>
    <n v="45"/>
    <m/>
    <s v="   "/>
    <n v="0.8"/>
    <n v="0.2059"/>
    <n v="0.16500000000000001"/>
    <s v="Elementary Speech, Language Pathway/_x000a_Audio"/>
    <x v="7"/>
  </r>
  <r>
    <s v="32325"/>
    <x v="224"/>
    <s v="Personnel"/>
    <s v="E "/>
    <s v="Elementary Grade Group K-6"/>
    <s v="PS46E21S"/>
    <s v="PSES Elem Prog21Duty46 S275"/>
    <n v="21"/>
    <x v="8"/>
    <n v="46"/>
    <m/>
    <s v="   "/>
    <n v="1"/>
    <n v="0.2059"/>
    <n v="0.20599999999999999"/>
    <s v="Elementary Psychologist"/>
    <x v="8"/>
  </r>
  <r>
    <s v="32325"/>
    <x v="224"/>
    <s v="Personnel"/>
    <s v="E "/>
    <s v="Elementary Grade Group K-6"/>
    <s v="PS47ES"/>
    <s v="PSES Elem Prog01Duty47 S275"/>
    <n v="1"/>
    <x v="9"/>
    <n v="47"/>
    <m/>
    <s v="   "/>
    <n v="1.05"/>
    <n v="0.2059"/>
    <n v="0"/>
    <s v="Elementary Nurse"/>
    <x v="9"/>
  </r>
  <r>
    <s v="32325"/>
    <x v="224"/>
    <s v="Personnel"/>
    <s v="H "/>
    <s v="High Grade Group 9-12"/>
    <s v="PS47HS"/>
    <s v="PSES High Prog01Duty47 S275"/>
    <n v="1"/>
    <x v="9"/>
    <n v="47"/>
    <m/>
    <s v="   "/>
    <n v="0.76"/>
    <n v="0.2059"/>
    <n v="0"/>
    <s v="High Nurse"/>
    <x v="9"/>
  </r>
  <r>
    <s v="32325"/>
    <x v="224"/>
    <s v="Personnel"/>
    <s v="M "/>
    <s v="Middle Grade Group 7-8"/>
    <s v="PS47MS"/>
    <s v="PSES Mid Prog01Duty47 S275"/>
    <n v="1"/>
    <x v="9"/>
    <n v="47"/>
    <m/>
    <s v="   "/>
    <n v="0.19"/>
    <n v="0.2059"/>
    <n v="0"/>
    <s v="Middle Nurse"/>
    <x v="9"/>
  </r>
  <r>
    <s v="32326"/>
    <x v="225"/>
    <s v="Personnel"/>
    <s v="H "/>
    <s v="High Grade Group 9-12"/>
    <s v="PS25HS"/>
    <s v="PSES High Prog01Act25 S275"/>
    <n v="1"/>
    <x v="1"/>
    <m/>
    <n v="25"/>
    <s v="   "/>
    <n v="0.63900000000000001"/>
    <n v="0.1764"/>
    <n v="0"/>
    <s v="High Pupil Management"/>
    <x v="1"/>
  </r>
  <r>
    <s v="32326"/>
    <x v="225"/>
    <s v="Personnel"/>
    <s v="E "/>
    <s v="Elementary Grade Group K-6"/>
    <s v="PS26ES"/>
    <s v="PSES Elem Prog01Act26 S275"/>
    <n v="1"/>
    <x v="2"/>
    <m/>
    <n v="26"/>
    <s v="   "/>
    <n v="1.3720000000000001"/>
    <n v="0.1764"/>
    <n v="0"/>
    <s v="Elementary Health/_x000a_Related Services"/>
    <x v="2"/>
  </r>
  <r>
    <s v="32326"/>
    <x v="225"/>
    <s v="Personnel"/>
    <s v="H "/>
    <s v="High Grade Group 9-12"/>
    <s v="PS26H21S"/>
    <s v="PSES High Prog21Act26 S275"/>
    <n v="21"/>
    <x v="2"/>
    <m/>
    <n v="26"/>
    <s v="   "/>
    <n v="0.68500000000000005"/>
    <n v="0.1764"/>
    <n v="0.121"/>
    <s v="High Health/_x000a_Related Services"/>
    <x v="2"/>
  </r>
  <r>
    <s v="32326"/>
    <x v="225"/>
    <s v="Personnel"/>
    <s v="H "/>
    <s v="High Grade Group 9-12"/>
    <s v="PS26HS"/>
    <s v="PSES High Prog01Act26 S275"/>
    <n v="1"/>
    <x v="2"/>
    <m/>
    <n v="26"/>
    <s v="   "/>
    <n v="1.7310000000000001"/>
    <n v="0.1764"/>
    <n v="0"/>
    <s v="High Health/_x000a_Related Services"/>
    <x v="2"/>
  </r>
  <r>
    <s v="32326"/>
    <x v="225"/>
    <s v="Personnel"/>
    <s v="E "/>
    <s v="Elementary Grade Group K-6"/>
    <s v="PS42ES"/>
    <s v="PSES Elem Prog01Duty42 S275"/>
    <n v="1"/>
    <x v="5"/>
    <n v="42"/>
    <m/>
    <s v="   "/>
    <n v="2"/>
    <n v="0.1764"/>
    <n v="0"/>
    <s v="Elementary Counselor"/>
    <x v="5"/>
  </r>
  <r>
    <s v="32326"/>
    <x v="225"/>
    <s v="Personnel"/>
    <s v="H "/>
    <s v="High Grade Group 9-12"/>
    <s v="PS42HS"/>
    <s v="PSES High Prog01Duty42 S275"/>
    <n v="1"/>
    <x v="5"/>
    <n v="42"/>
    <m/>
    <s v="   "/>
    <n v="1.5"/>
    <n v="0.1764"/>
    <n v="0"/>
    <s v="High Counselor"/>
    <x v="5"/>
  </r>
  <r>
    <s v="32326"/>
    <x v="225"/>
    <s v="Personnel"/>
    <s v="M "/>
    <s v="Middle Grade Group 7-8"/>
    <s v="PS42MS"/>
    <s v="PSES Mid Prog01Duty42 S275"/>
    <n v="1"/>
    <x v="5"/>
    <n v="42"/>
    <m/>
    <s v="   "/>
    <n v="1.5"/>
    <n v="0.1764"/>
    <n v="0"/>
    <s v="Middle Counselor"/>
    <x v="5"/>
  </r>
  <r>
    <s v="32326"/>
    <x v="225"/>
    <s v="Personnel"/>
    <s v="E "/>
    <s v="Elementary Grade Group K-6"/>
    <s v="PS43E21S"/>
    <s v="PSES Elem Prog21Duty43 S275"/>
    <n v="21"/>
    <x v="6"/>
    <n v="43"/>
    <m/>
    <s v="   "/>
    <n v="0.92"/>
    <n v="0.1764"/>
    <n v="0.16200000000000001"/>
    <s v="Elementary Occupational Therapist"/>
    <x v="6"/>
  </r>
  <r>
    <s v="32326"/>
    <x v="225"/>
    <s v="Personnel"/>
    <s v="E "/>
    <s v="Elementary Grade Group K-6"/>
    <s v="PS45E21S"/>
    <s v="PSES Elem Prog21Duty45 S275"/>
    <n v="21"/>
    <x v="7"/>
    <n v="45"/>
    <m/>
    <s v="   "/>
    <n v="2.6859999999999999"/>
    <n v="0.1764"/>
    <n v="0.47399999999999998"/>
    <s v="Elementary Speech, Language Pathway/_x000a_Audio"/>
    <x v="7"/>
  </r>
  <r>
    <s v="32326"/>
    <x v="225"/>
    <s v="Personnel"/>
    <s v="H "/>
    <s v="High Grade Group 9-12"/>
    <s v="PS46H21S"/>
    <s v="PSES High Prog21Duty46 S275"/>
    <n v="21"/>
    <x v="8"/>
    <n v="46"/>
    <m/>
    <s v="   "/>
    <n v="0.92"/>
    <n v="0.1764"/>
    <n v="0.16200000000000001"/>
    <s v="High Psychologist"/>
    <x v="8"/>
  </r>
  <r>
    <s v="32326"/>
    <x v="225"/>
    <s v="Personnel"/>
    <s v="M "/>
    <s v="Middle Grade Group 7-8"/>
    <s v="PS46M21S"/>
    <s v="PSES Mid Prog21Duty46 S275"/>
    <n v="21"/>
    <x v="8"/>
    <n v="46"/>
    <m/>
    <s v="   "/>
    <n v="1"/>
    <n v="0.1764"/>
    <n v="0.17599999999999999"/>
    <s v="Middle Psychologist"/>
    <x v="8"/>
  </r>
  <r>
    <s v="32326"/>
    <x v="225"/>
    <s v="Personnel"/>
    <s v="E "/>
    <s v="Elementary Grade Group K-6"/>
    <s v="PS47ES"/>
    <s v="PSES Elem Prog01Duty47 S275"/>
    <n v="1"/>
    <x v="9"/>
    <n v="47"/>
    <m/>
    <s v="   "/>
    <n v="1"/>
    <n v="0.1764"/>
    <n v="0"/>
    <s v="Elementary Nurse"/>
    <x v="9"/>
  </r>
  <r>
    <s v="32354"/>
    <x v="226"/>
    <s v="Personnel"/>
    <s v="H "/>
    <s v="High Grade Group 9-12"/>
    <s v="PS25HS"/>
    <s v="PSES High Prog01Act25 S275"/>
    <n v="1"/>
    <x v="1"/>
    <m/>
    <n v="25"/>
    <s v="   "/>
    <n v="0.123"/>
    <n v="0.2863"/>
    <n v="0"/>
    <s v="High Pupil Management"/>
    <x v="1"/>
  </r>
  <r>
    <s v="32354"/>
    <x v="226"/>
    <s v="Personnel"/>
    <s v="H "/>
    <s v="High Grade Group 9-12"/>
    <s v="PS26H21S"/>
    <s v="PSES High Prog21Act26 S275"/>
    <n v="21"/>
    <x v="2"/>
    <m/>
    <n v="26"/>
    <s v="   "/>
    <n v="4.085"/>
    <n v="0.2863"/>
    <n v="1.17"/>
    <s v="High Health/_x000a_Related Services"/>
    <x v="2"/>
  </r>
  <r>
    <s v="32354"/>
    <x v="226"/>
    <s v="Personnel"/>
    <s v="H "/>
    <s v="High Grade Group 9-12"/>
    <s v="PS26HS"/>
    <s v="PSES High Prog01Act26 S275"/>
    <n v="1"/>
    <x v="2"/>
    <m/>
    <n v="26"/>
    <s v="   "/>
    <n v="8.9"/>
    <n v="0.2863"/>
    <n v="0"/>
    <s v="High Health/_x000a_Related Services"/>
    <x v="2"/>
  </r>
  <r>
    <s v="32354"/>
    <x v="226"/>
    <s v="Personnel"/>
    <s v="E "/>
    <s v="Elementary Grade Group K-6"/>
    <s v="PS42E21S"/>
    <s v="PSES Elem Prog21Duty42 S275"/>
    <n v="21"/>
    <x v="5"/>
    <n v="42"/>
    <m/>
    <s v="   "/>
    <n v="0.53800000000000003"/>
    <n v="0.2863"/>
    <n v="0.154"/>
    <s v="Elementary Counselor"/>
    <x v="5"/>
  </r>
  <r>
    <s v="32354"/>
    <x v="226"/>
    <s v="Personnel"/>
    <s v="E "/>
    <s v="Elementary Grade Group K-6"/>
    <s v="PS42ES"/>
    <s v="PSES Elem Prog01Duty42 S275"/>
    <n v="1"/>
    <x v="5"/>
    <n v="42"/>
    <m/>
    <s v="   "/>
    <n v="3"/>
    <n v="0.2863"/>
    <n v="0"/>
    <s v="Elementary Counselor"/>
    <x v="5"/>
  </r>
  <r>
    <s v="32354"/>
    <x v="226"/>
    <s v="Personnel"/>
    <s v="H "/>
    <s v="High Grade Group 9-12"/>
    <s v="PS42HS"/>
    <s v="PSES High Prog01Duty42 S275"/>
    <n v="1"/>
    <x v="5"/>
    <n v="42"/>
    <m/>
    <s v="   "/>
    <n v="8"/>
    <n v="0.2863"/>
    <n v="0"/>
    <s v="High Counselor"/>
    <x v="5"/>
  </r>
  <r>
    <s v="32354"/>
    <x v="226"/>
    <s v="Personnel"/>
    <s v="M "/>
    <s v="Middle Grade Group 7-8"/>
    <s v="PS42MS"/>
    <s v="PSES Mid Prog01Duty42 S275"/>
    <n v="1"/>
    <x v="5"/>
    <n v="42"/>
    <m/>
    <s v="   "/>
    <n v="2"/>
    <n v="0.2863"/>
    <n v="0"/>
    <s v="Middle Counselor"/>
    <x v="5"/>
  </r>
  <r>
    <s v="32354"/>
    <x v="226"/>
    <s v="Personnel"/>
    <s v="E "/>
    <s v="Elementary Grade Group K-6"/>
    <s v="PS43E21S"/>
    <s v="PSES Elem Prog21Duty43 S275"/>
    <n v="21"/>
    <x v="6"/>
    <n v="43"/>
    <m/>
    <s v="   "/>
    <n v="7.7779999999999996"/>
    <n v="0.2863"/>
    <n v="2.2269999999999999"/>
    <s v="Elementary Occupational Therapist"/>
    <x v="6"/>
  </r>
  <r>
    <s v="32354"/>
    <x v="226"/>
    <s v="Personnel"/>
    <s v="H "/>
    <s v="High Grade Group 9-12"/>
    <s v="PS43H21S"/>
    <s v="PSES High Prog21Duty43 S275"/>
    <n v="21"/>
    <x v="6"/>
    <n v="43"/>
    <m/>
    <s v="   "/>
    <n v="0.91100000000000003"/>
    <n v="0.2863"/>
    <n v="0.26100000000000001"/>
    <s v="High Occupational Therapist"/>
    <x v="6"/>
  </r>
  <r>
    <s v="32354"/>
    <x v="226"/>
    <s v="Personnel"/>
    <s v="M "/>
    <s v="Middle Grade Group 7-8"/>
    <s v="PS43M21S"/>
    <s v="PSES Mid Prog21Duty43 S275"/>
    <n v="21"/>
    <x v="6"/>
    <n v="43"/>
    <m/>
    <s v="   "/>
    <n v="1.111"/>
    <n v="0.2863"/>
    <n v="0.318"/>
    <s v="Middle Occupational Therapist"/>
    <x v="6"/>
  </r>
  <r>
    <s v="32354"/>
    <x v="226"/>
    <s v="Personnel"/>
    <s v="E "/>
    <s v="Elementary Grade Group K-6"/>
    <s v="PS44ES"/>
    <s v="PSES Elem Prog01Duty44 S275"/>
    <n v="1"/>
    <x v="13"/>
    <n v="44"/>
    <m/>
    <s v="   "/>
    <n v="8"/>
    <n v="0.2863"/>
    <n v="0"/>
    <s v="Elementary Social Worker"/>
    <x v="13"/>
  </r>
  <r>
    <s v="32354"/>
    <x v="226"/>
    <s v="Personnel"/>
    <s v="E "/>
    <s v="Elementary Grade Group K-6"/>
    <s v="PS45E21S"/>
    <s v="PSES Elem Prog21Duty45 S275"/>
    <n v="21"/>
    <x v="7"/>
    <n v="45"/>
    <m/>
    <s v="   "/>
    <n v="15.456"/>
    <n v="0.2863"/>
    <n v="4.4249999999999998"/>
    <s v="Elementary Speech, Language Pathway/_x000a_Audio"/>
    <x v="7"/>
  </r>
  <r>
    <s v="32354"/>
    <x v="226"/>
    <s v="Personnel"/>
    <s v="H "/>
    <s v="High Grade Group 9-12"/>
    <s v="PS45H21S"/>
    <s v="PSES High Prog21Duty45 S275"/>
    <n v="21"/>
    <x v="7"/>
    <n v="45"/>
    <m/>
    <s v="   "/>
    <n v="2.2000000000000002"/>
    <n v="0.2863"/>
    <n v="0.63"/>
    <s v="High Speech, Language Pathway/_x000a_Audio"/>
    <x v="7"/>
  </r>
  <r>
    <s v="32354"/>
    <x v="226"/>
    <s v="Personnel"/>
    <s v="M "/>
    <s v="Middle Grade Group 7-8"/>
    <s v="PS45M21S"/>
    <s v="PSES Mid Prog21Duty45 S275"/>
    <n v="21"/>
    <x v="7"/>
    <n v="45"/>
    <m/>
    <s v="   "/>
    <n v="1.8340000000000001"/>
    <n v="0.2863"/>
    <n v="0.52500000000000002"/>
    <s v="Middle Speech, Language Pathway/_x000a_Audio"/>
    <x v="7"/>
  </r>
  <r>
    <s v="32354"/>
    <x v="226"/>
    <s v="Personnel"/>
    <s v="E "/>
    <s v="Elementary Grade Group K-6"/>
    <s v="PS46E21S"/>
    <s v="PSES Elem Prog21Duty46 S275"/>
    <n v="21"/>
    <x v="8"/>
    <n v="46"/>
    <m/>
    <s v="   "/>
    <n v="6.7549999999999999"/>
    <n v="0.2863"/>
    <n v="1.9339999999999999"/>
    <s v="Elementary Psychologist"/>
    <x v="8"/>
  </r>
  <r>
    <s v="32354"/>
    <x v="226"/>
    <s v="Personnel"/>
    <s v="H "/>
    <s v="High Grade Group 9-12"/>
    <s v="PS46H21S"/>
    <s v="PSES High Prog21Duty46 S275"/>
    <n v="21"/>
    <x v="8"/>
    <n v="46"/>
    <m/>
    <s v="   "/>
    <n v="3.8849999999999998"/>
    <n v="0.2863"/>
    <n v="1.1120000000000001"/>
    <s v="High Psychologist"/>
    <x v="8"/>
  </r>
  <r>
    <s v="32354"/>
    <x v="226"/>
    <s v="Personnel"/>
    <s v="M "/>
    <s v="Middle Grade Group 7-8"/>
    <s v="PS46M21S"/>
    <s v="PSES Mid Prog21Duty46 S275"/>
    <n v="21"/>
    <x v="8"/>
    <n v="46"/>
    <m/>
    <s v="   "/>
    <n v="1.6"/>
    <n v="0.2863"/>
    <n v="0.45800000000000002"/>
    <s v="Middle Psychologist"/>
    <x v="8"/>
  </r>
  <r>
    <s v="32354"/>
    <x v="226"/>
    <s v="Personnel"/>
    <s v="E "/>
    <s v="Elementary Grade Group K-6"/>
    <s v="PS47ES"/>
    <s v="PSES Elem Prog01Duty47 S275"/>
    <n v="1"/>
    <x v="9"/>
    <n v="47"/>
    <m/>
    <s v="   "/>
    <n v="4.1970000000000001"/>
    <n v="0.2863"/>
    <n v="0"/>
    <s v="Elementary Nurse"/>
    <x v="9"/>
  </r>
  <r>
    <s v="32354"/>
    <x v="226"/>
    <s v="Personnel"/>
    <s v="H "/>
    <s v="High Grade Group 9-12"/>
    <s v="PS47HS"/>
    <s v="PSES High Prog01Duty47 S275"/>
    <n v="1"/>
    <x v="9"/>
    <n v="47"/>
    <m/>
    <s v="   "/>
    <n v="1.595"/>
    <n v="0.2863"/>
    <n v="0"/>
    <s v="High Nurse"/>
    <x v="9"/>
  </r>
  <r>
    <s v="32354"/>
    <x v="226"/>
    <s v="Personnel"/>
    <s v="M "/>
    <s v="Middle Grade Group 7-8"/>
    <s v="PS47MS"/>
    <s v="PSES Mid Prog01Duty47 S275"/>
    <n v="1"/>
    <x v="9"/>
    <n v="47"/>
    <m/>
    <s v="   "/>
    <n v="0.5"/>
    <n v="0.2863"/>
    <n v="0"/>
    <s v="Middle Nurse"/>
    <x v="9"/>
  </r>
  <r>
    <s v="32354"/>
    <x v="226"/>
    <s v="Personnel"/>
    <s v="E "/>
    <s v="Elementary Grade Group K-6"/>
    <s v="PS48E21S"/>
    <s v="PSES Elem Prog21Duty48 S275"/>
    <n v="21"/>
    <x v="11"/>
    <n v="48"/>
    <m/>
    <s v="   "/>
    <n v="4.7809999999999997"/>
    <n v="0.2863"/>
    <n v="1.369"/>
    <s v="Elementary Physical Therapist"/>
    <x v="11"/>
  </r>
  <r>
    <s v="32354"/>
    <x v="226"/>
    <s v="Personnel"/>
    <s v="E "/>
    <s v="Elementary Grade Group K-6"/>
    <s v="PS48ES"/>
    <s v="PSES Elem Prog01Duty48 S275"/>
    <n v="1"/>
    <x v="11"/>
    <n v="48"/>
    <m/>
    <s v="   "/>
    <n v="0.45600000000000002"/>
    <n v="0.2863"/>
    <n v="0"/>
    <s v="Elementary Physical Therapist"/>
    <x v="11"/>
  </r>
  <r>
    <s v="32354"/>
    <x v="226"/>
    <s v="Personnel"/>
    <s v="H "/>
    <s v="High Grade Group 9-12"/>
    <s v="PS48H21S"/>
    <s v="PSES High Prog21Duty48 S275"/>
    <n v="21"/>
    <x v="11"/>
    <n v="48"/>
    <m/>
    <s v="   "/>
    <n v="0.41599999999999998"/>
    <n v="0.2863"/>
    <n v="0.11899999999999999"/>
    <s v="High Physical Therapist"/>
    <x v="11"/>
  </r>
  <r>
    <s v="32354"/>
    <x v="226"/>
    <s v="Personnel"/>
    <s v="H "/>
    <s v="High Grade Group 9-12"/>
    <s v="PS48HS"/>
    <s v="PSES High Prog01Duty48 S275"/>
    <n v="1"/>
    <x v="11"/>
    <n v="48"/>
    <m/>
    <s v="   "/>
    <n v="3.5999999999999997E-2"/>
    <n v="0.2863"/>
    <n v="0"/>
    <s v="High Physical Therapist"/>
    <x v="11"/>
  </r>
  <r>
    <s v="32354"/>
    <x v="226"/>
    <s v="Personnel"/>
    <s v="M "/>
    <s v="Middle Grade Group 7-8"/>
    <s v="PS48M21S"/>
    <s v="PSES Mid Prog21Duty48 S275"/>
    <n v="21"/>
    <x v="11"/>
    <n v="48"/>
    <m/>
    <s v="   "/>
    <n v="0.81699999999999995"/>
    <n v="0.2863"/>
    <n v="0.23400000000000001"/>
    <s v="Middle Physical Therapist"/>
    <x v="11"/>
  </r>
  <r>
    <s v="32354"/>
    <x v="226"/>
    <s v="Personnel"/>
    <s v="M "/>
    <s v="Middle Grade Group 7-8"/>
    <s v="PS48MS"/>
    <s v="PSES Mid Prog01Duty48 S275"/>
    <n v="1"/>
    <x v="11"/>
    <n v="48"/>
    <m/>
    <s v="   "/>
    <n v="3.5999999999999997E-2"/>
    <n v="0.2863"/>
    <n v="0"/>
    <s v="Middle Physical Therapist"/>
    <x v="11"/>
  </r>
  <r>
    <s v="32356"/>
    <x v="227"/>
    <s v="Personnel"/>
    <s v="H "/>
    <s v="High Grade Group 9-12"/>
    <s v="PS25HS"/>
    <s v="PSES High Prog01Act25 S275"/>
    <n v="1"/>
    <x v="1"/>
    <m/>
    <n v="25"/>
    <s v="   "/>
    <n v="35.451000000000001"/>
    <n v="0.34910000000000002"/>
    <n v="0"/>
    <s v="High Pupil Management"/>
    <x v="1"/>
  </r>
  <r>
    <s v="32356"/>
    <x v="227"/>
    <s v="Personnel"/>
    <s v="H "/>
    <s v="High Grade Group 9-12"/>
    <s v="PS26H21S"/>
    <s v="PSES High Prog21Act26 S275"/>
    <n v="21"/>
    <x v="2"/>
    <m/>
    <n v="26"/>
    <s v="   "/>
    <n v="1.304"/>
    <n v="0.34910000000000002"/>
    <n v="0.45500000000000002"/>
    <s v="High Health/_x000a_Related Services"/>
    <x v="2"/>
  </r>
  <r>
    <s v="32356"/>
    <x v="227"/>
    <s v="Personnel"/>
    <s v="H "/>
    <s v="High Grade Group 9-12"/>
    <s v="PS26HS"/>
    <s v="PSES High Prog01Act26 S275"/>
    <n v="1"/>
    <x v="2"/>
    <m/>
    <n v="26"/>
    <s v="   "/>
    <n v="5.8220000000000001"/>
    <n v="0.34910000000000002"/>
    <n v="0"/>
    <s v="High Health/_x000a_Related Services"/>
    <x v="2"/>
  </r>
  <r>
    <s v="32356"/>
    <x v="227"/>
    <s v="Personnel"/>
    <s v="H "/>
    <s v="High Grade Group 9-12"/>
    <s v="PS35HS"/>
    <s v="PSES High Prog01Act35 S275"/>
    <n v="1"/>
    <x v="3"/>
    <m/>
    <n v="35"/>
    <s v="   "/>
    <n v="2.9239999999999999"/>
    <n v="0.34910000000000002"/>
    <n v="0"/>
    <s v="High Pupil Safety"/>
    <x v="3"/>
  </r>
  <r>
    <s v="32356"/>
    <x v="227"/>
    <s v="Personnel"/>
    <s v="E "/>
    <s v="Elementary Grade Group K-6"/>
    <s v="PS39E21S"/>
    <s v="PSES Elem Prog21Duty39 S275"/>
    <n v="21"/>
    <x v="4"/>
    <n v="39"/>
    <m/>
    <s v="   "/>
    <n v="1.03"/>
    <n v="0.34910000000000002"/>
    <n v="0.36"/>
    <s v="Elementary Orientation &amp; Mobility Specialist"/>
    <x v="4"/>
  </r>
  <r>
    <s v="32356"/>
    <x v="227"/>
    <s v="Personnel"/>
    <s v="H "/>
    <s v="High Grade Group 9-12"/>
    <s v="PS39H21S"/>
    <s v="PSES High Prog21Duty39 S275"/>
    <n v="21"/>
    <x v="4"/>
    <n v="39"/>
    <m/>
    <s v="   "/>
    <n v="0.5"/>
    <n v="0.34910000000000002"/>
    <n v="0.17499999999999999"/>
    <s v="High Orientation &amp; Mobility Specialist"/>
    <x v="4"/>
  </r>
  <r>
    <s v="32356"/>
    <x v="227"/>
    <s v="Personnel"/>
    <s v="M "/>
    <s v="Middle Grade Group 7-8"/>
    <s v="PS39M21S"/>
    <s v="PSES Mid Prog21Duty39 S275"/>
    <n v="21"/>
    <x v="4"/>
    <n v="39"/>
    <m/>
    <s v="   "/>
    <n v="0.47"/>
    <n v="0.34910000000000002"/>
    <n v="0.16400000000000001"/>
    <s v="Middle Orientation &amp; Mobility Specialist"/>
    <x v="4"/>
  </r>
  <r>
    <s v="32356"/>
    <x v="227"/>
    <s v="Personnel"/>
    <s v="E "/>
    <s v="Elementary Grade Group K-6"/>
    <s v="PS42E21S"/>
    <s v="PSES Elem Prog21Duty42 S275"/>
    <n v="21"/>
    <x v="5"/>
    <n v="42"/>
    <m/>
    <s v="   "/>
    <n v="0.5"/>
    <n v="0.34910000000000002"/>
    <n v="0.17499999999999999"/>
    <s v="Elementary Counselor"/>
    <x v="5"/>
  </r>
  <r>
    <s v="32356"/>
    <x v="227"/>
    <s v="Personnel"/>
    <s v="E "/>
    <s v="Elementary Grade Group K-6"/>
    <s v="PS42ES"/>
    <s v="PSES Elem Prog01Duty42 S275"/>
    <n v="1"/>
    <x v="5"/>
    <n v="42"/>
    <m/>
    <s v="   "/>
    <n v="16.899999999999999"/>
    <n v="0.34910000000000002"/>
    <n v="0"/>
    <s v="Elementary Counselor"/>
    <x v="5"/>
  </r>
  <r>
    <s v="32356"/>
    <x v="227"/>
    <s v="Personnel"/>
    <s v="H "/>
    <s v="High Grade Group 9-12"/>
    <s v="PS42HS"/>
    <s v="PSES High Prog01Duty42 S275"/>
    <n v="1"/>
    <x v="5"/>
    <n v="42"/>
    <m/>
    <s v="   "/>
    <n v="13.334"/>
    <n v="0.34910000000000002"/>
    <n v="0"/>
    <s v="High Counselor"/>
    <x v="5"/>
  </r>
  <r>
    <s v="32356"/>
    <x v="227"/>
    <s v="Personnel"/>
    <s v="M "/>
    <s v="Middle Grade Group 7-8"/>
    <s v="PS42M21S"/>
    <s v="PSES Mid Prog21Duty42 S275"/>
    <n v="21"/>
    <x v="5"/>
    <n v="42"/>
    <m/>
    <s v="   "/>
    <n v="0.5"/>
    <n v="0.34910000000000002"/>
    <n v="0.17499999999999999"/>
    <s v="Middle Counselor"/>
    <x v="5"/>
  </r>
  <r>
    <s v="32356"/>
    <x v="227"/>
    <s v="Personnel"/>
    <s v="M "/>
    <s v="Middle Grade Group 7-8"/>
    <s v="PS42MS"/>
    <s v="PSES Mid Prog01Duty42 S275"/>
    <n v="1"/>
    <x v="5"/>
    <n v="42"/>
    <m/>
    <s v="   "/>
    <n v="5.2439999999999998"/>
    <n v="0.34910000000000002"/>
    <n v="0"/>
    <s v="Middle Counselor"/>
    <x v="5"/>
  </r>
  <r>
    <s v="32356"/>
    <x v="227"/>
    <s v="Personnel"/>
    <s v="E "/>
    <s v="Elementary Grade Group K-6"/>
    <s v="PS43E21S"/>
    <s v="PSES Elem Prog21Duty43 S275"/>
    <n v="21"/>
    <x v="6"/>
    <n v="43"/>
    <m/>
    <s v="   "/>
    <n v="6.3"/>
    <n v="0.34910000000000002"/>
    <n v="2.1989999999999998"/>
    <s v="Elementary Occupational Therapist"/>
    <x v="6"/>
  </r>
  <r>
    <s v="32356"/>
    <x v="227"/>
    <s v="Personnel"/>
    <s v="H "/>
    <s v="High Grade Group 9-12"/>
    <s v="PS43H21S"/>
    <s v="PSES High Prog21Duty43 S275"/>
    <n v="21"/>
    <x v="6"/>
    <n v="43"/>
    <m/>
    <s v="   "/>
    <n v="3.15"/>
    <n v="0.34910000000000002"/>
    <n v="1.1000000000000001"/>
    <s v="High Occupational Therapist"/>
    <x v="6"/>
  </r>
  <r>
    <s v="32356"/>
    <x v="227"/>
    <s v="Personnel"/>
    <s v="M "/>
    <s v="Middle Grade Group 7-8"/>
    <s v="PS43M21S"/>
    <s v="PSES Mid Prog21Duty43 S275"/>
    <n v="21"/>
    <x v="6"/>
    <n v="43"/>
    <m/>
    <s v="   "/>
    <n v="3.15"/>
    <n v="0.34910000000000002"/>
    <n v="1.1000000000000001"/>
    <s v="Middle Occupational Therapist"/>
    <x v="6"/>
  </r>
  <r>
    <s v="32356"/>
    <x v="227"/>
    <s v="Personnel"/>
    <s v="E "/>
    <s v="Elementary Grade Group K-6"/>
    <s v="PS45E21S"/>
    <s v="PSES Elem Prog21Duty45 S275"/>
    <n v="21"/>
    <x v="7"/>
    <n v="45"/>
    <m/>
    <s v="   "/>
    <n v="18.5"/>
    <n v="0.34910000000000002"/>
    <n v="6.4580000000000002"/>
    <s v="Elementary Speech, Language Pathway/_x000a_Audio"/>
    <x v="7"/>
  </r>
  <r>
    <s v="32356"/>
    <x v="227"/>
    <s v="Personnel"/>
    <s v="H "/>
    <s v="High Grade Group 9-12"/>
    <s v="PS45H21S"/>
    <s v="PSES High Prog21Duty45 S275"/>
    <n v="21"/>
    <x v="7"/>
    <n v="45"/>
    <m/>
    <s v="   "/>
    <n v="1.5"/>
    <n v="0.34910000000000002"/>
    <n v="0.52400000000000002"/>
    <s v="High Speech, Language Pathway/_x000a_Audio"/>
    <x v="7"/>
  </r>
  <r>
    <s v="32356"/>
    <x v="227"/>
    <s v="Personnel"/>
    <s v="M "/>
    <s v="Middle Grade Group 7-8"/>
    <s v="PS45M21S"/>
    <s v="PSES Mid Prog21Duty45 S275"/>
    <n v="21"/>
    <x v="7"/>
    <n v="45"/>
    <m/>
    <s v="   "/>
    <n v="3.2"/>
    <n v="0.34910000000000002"/>
    <n v="1.117"/>
    <s v="Middle Speech, Language Pathway/_x000a_Audio"/>
    <x v="7"/>
  </r>
  <r>
    <s v="32356"/>
    <x v="227"/>
    <s v="Personnel"/>
    <s v="E "/>
    <s v="Elementary Grade Group K-6"/>
    <s v="PS46E21S"/>
    <s v="PSES Elem Prog21Duty46 S275"/>
    <n v="21"/>
    <x v="8"/>
    <n v="46"/>
    <m/>
    <s v="   "/>
    <n v="7"/>
    <n v="0.34910000000000002"/>
    <n v="2.444"/>
    <s v="Elementary Psychologist"/>
    <x v="8"/>
  </r>
  <r>
    <s v="32356"/>
    <x v="227"/>
    <s v="Personnel"/>
    <s v="H "/>
    <s v="High Grade Group 9-12"/>
    <s v="PS46H21S"/>
    <s v="PSES High Prog21Duty46 S275"/>
    <n v="21"/>
    <x v="8"/>
    <n v="46"/>
    <m/>
    <s v="   "/>
    <n v="3.33"/>
    <n v="0.34910000000000002"/>
    <n v="1.163"/>
    <s v="High Psychologist"/>
    <x v="8"/>
  </r>
  <r>
    <s v="32356"/>
    <x v="227"/>
    <s v="Personnel"/>
    <s v="M "/>
    <s v="Middle Grade Group 7-8"/>
    <s v="PS46M21S"/>
    <s v="PSES Mid Prog21Duty46 S275"/>
    <n v="21"/>
    <x v="8"/>
    <n v="46"/>
    <m/>
    <s v="   "/>
    <n v="3.67"/>
    <n v="0.34910000000000002"/>
    <n v="1.2809999999999999"/>
    <s v="Middle Psychologist"/>
    <x v="8"/>
  </r>
  <r>
    <s v="32356"/>
    <x v="227"/>
    <s v="Personnel"/>
    <s v="E "/>
    <s v="Elementary Grade Group K-6"/>
    <s v="PS47ES"/>
    <s v="PSES Elem Prog01Duty47 S275"/>
    <n v="1"/>
    <x v="9"/>
    <n v="47"/>
    <m/>
    <s v="   "/>
    <n v="5.3440000000000003"/>
    <n v="0.34910000000000002"/>
    <n v="0"/>
    <s v="Elementary Nurse"/>
    <x v="9"/>
  </r>
  <r>
    <s v="32356"/>
    <x v="227"/>
    <s v="Personnel"/>
    <s v="H "/>
    <s v="High Grade Group 9-12"/>
    <s v="PS47HS"/>
    <s v="PSES High Prog01Duty47 S275"/>
    <n v="1"/>
    <x v="9"/>
    <n v="47"/>
    <m/>
    <s v="   "/>
    <n v="5.484"/>
    <n v="0.34910000000000002"/>
    <n v="0"/>
    <s v="High Nurse"/>
    <x v="9"/>
  </r>
  <r>
    <s v="32356"/>
    <x v="227"/>
    <s v="Personnel"/>
    <s v="M "/>
    <s v="Middle Grade Group 7-8"/>
    <s v="PS47MS"/>
    <s v="PSES Mid Prog01Duty47 S275"/>
    <n v="1"/>
    <x v="9"/>
    <n v="47"/>
    <m/>
    <s v="   "/>
    <n v="6.6619999999999999"/>
    <n v="0.34910000000000002"/>
    <n v="0"/>
    <s v="Middle Nurse"/>
    <x v="9"/>
  </r>
  <r>
    <s v="32356"/>
    <x v="227"/>
    <s v="Personnel"/>
    <s v="E "/>
    <s v="Elementary Grade Group K-6"/>
    <s v="PS48E21S"/>
    <s v="PSES Elem Prog21Duty48 S275"/>
    <n v="21"/>
    <x v="11"/>
    <n v="48"/>
    <m/>
    <s v="   "/>
    <n v="2.6"/>
    <n v="0.34910000000000002"/>
    <n v="0.90800000000000003"/>
    <s v="Elementary Physical Therapist"/>
    <x v="11"/>
  </r>
  <r>
    <s v="32356"/>
    <x v="227"/>
    <s v="Personnel"/>
    <s v="H "/>
    <s v="High Grade Group 9-12"/>
    <s v="PS48H21S"/>
    <s v="PSES High Prog21Duty48 S275"/>
    <n v="21"/>
    <x v="11"/>
    <n v="48"/>
    <m/>
    <s v="   "/>
    <n v="1.3"/>
    <n v="0.34910000000000002"/>
    <n v="0.45400000000000001"/>
    <s v="High Physical Therapist"/>
    <x v="11"/>
  </r>
  <r>
    <s v="32356"/>
    <x v="227"/>
    <s v="Personnel"/>
    <s v="M "/>
    <s v="Middle Grade Group 7-8"/>
    <s v="PS48M21S"/>
    <s v="PSES Mid Prog21Duty48 S275"/>
    <n v="21"/>
    <x v="11"/>
    <n v="48"/>
    <m/>
    <s v="   "/>
    <n v="1.3"/>
    <n v="0.34910000000000002"/>
    <n v="0.45400000000000001"/>
    <s v="Middle Physical Therapist"/>
    <x v="11"/>
  </r>
  <r>
    <s v="32358"/>
    <x v="228"/>
    <s v="Personnel"/>
    <s v="E "/>
    <s v="Elementary Grade Group K-6"/>
    <s v="PS42ES"/>
    <s v="PSES Elem Prog01Duty42 S275"/>
    <n v="1"/>
    <x v="5"/>
    <n v="42"/>
    <m/>
    <s v="   "/>
    <n v="0.7"/>
    <n v="0.20019999999999999"/>
    <n v="0"/>
    <s v="Elementary Counselor"/>
    <x v="5"/>
  </r>
  <r>
    <s v="32358"/>
    <x v="228"/>
    <s v="Personnel"/>
    <s v="H "/>
    <s v="High Grade Group 9-12"/>
    <s v="PS42HS"/>
    <s v="PSES High Prog01Duty42 S275"/>
    <n v="1"/>
    <x v="5"/>
    <n v="42"/>
    <m/>
    <s v="   "/>
    <n v="1"/>
    <n v="0.20019999999999999"/>
    <n v="0"/>
    <s v="High Counselor"/>
    <x v="5"/>
  </r>
  <r>
    <s v="32358"/>
    <x v="228"/>
    <s v="Personnel"/>
    <s v="M "/>
    <s v="Middle Grade Group 7-8"/>
    <s v="PS42MS"/>
    <s v="PSES Mid Prog01Duty42 S275"/>
    <n v="1"/>
    <x v="5"/>
    <n v="42"/>
    <m/>
    <s v="   "/>
    <n v="0.24"/>
    <n v="0.20019999999999999"/>
    <n v="0"/>
    <s v="Middle Counselor"/>
    <x v="5"/>
  </r>
  <r>
    <s v="32358"/>
    <x v="228"/>
    <s v="Personnel"/>
    <s v="E "/>
    <s v="Elementary Grade Group K-6"/>
    <s v="PS45E21S"/>
    <s v="PSES Elem Prog21Duty45 S275"/>
    <n v="21"/>
    <x v="7"/>
    <n v="45"/>
    <m/>
    <s v="   "/>
    <n v="1"/>
    <n v="0.20019999999999999"/>
    <n v="0.2"/>
    <s v="Elementary Speech, Language Pathway/_x000a_Audio"/>
    <x v="7"/>
  </r>
  <r>
    <s v="32358"/>
    <x v="228"/>
    <s v="Personnel"/>
    <s v="E "/>
    <s v="Elementary Grade Group K-6"/>
    <s v="PS46E21S"/>
    <s v="PSES Elem Prog21Duty46 S275"/>
    <n v="21"/>
    <x v="8"/>
    <n v="46"/>
    <m/>
    <s v="   "/>
    <n v="0.5"/>
    <n v="0.20019999999999999"/>
    <n v="0.1"/>
    <s v="Elementary Psychologist"/>
    <x v="8"/>
  </r>
  <r>
    <s v="32358"/>
    <x v="228"/>
    <s v="Personnel"/>
    <s v="H "/>
    <s v="High Grade Group 9-12"/>
    <s v="PS46H21S"/>
    <s v="PSES High Prog21Duty46 S275"/>
    <n v="21"/>
    <x v="8"/>
    <n v="46"/>
    <m/>
    <s v="   "/>
    <n v="0.70599999999999996"/>
    <n v="0.20019999999999999"/>
    <n v="0.14099999999999999"/>
    <s v="High Psychologist"/>
    <x v="8"/>
  </r>
  <r>
    <s v="32358"/>
    <x v="228"/>
    <s v="Personnel"/>
    <s v="E "/>
    <s v="Elementary Grade Group K-6"/>
    <s v="PS47ES"/>
    <s v="PSES Elem Prog01Duty47 S275"/>
    <n v="1"/>
    <x v="9"/>
    <n v="47"/>
    <m/>
    <s v="   "/>
    <n v="0.39900000000000002"/>
    <n v="0.20019999999999999"/>
    <n v="0"/>
    <s v="Elementary Nurse"/>
    <x v="9"/>
  </r>
  <r>
    <s v="32358"/>
    <x v="228"/>
    <s v="Personnel"/>
    <s v="H "/>
    <s v="High Grade Group 9-12"/>
    <s v="PS47HS"/>
    <s v="PSES High Prog01Duty47 S275"/>
    <n v="1"/>
    <x v="9"/>
    <n v="47"/>
    <m/>
    <s v="   "/>
    <n v="0.39900000000000002"/>
    <n v="0.20019999999999999"/>
    <n v="0"/>
    <s v="High Nurse"/>
    <x v="9"/>
  </r>
  <r>
    <s v="32358"/>
    <x v="228"/>
    <s v="Personnel"/>
    <s v="E "/>
    <s v="Elementary Grade Group K-6"/>
    <s v="PS64E21S"/>
    <s v="PSES Elem Prog21Duty64 S275"/>
    <n v="21"/>
    <x v="12"/>
    <n v="64"/>
    <m/>
    <s v="   "/>
    <n v="1.1439999999999999"/>
    <n v="0.20019999999999999"/>
    <n v="0.22900000000000001"/>
    <s v="Elementary Contractor ESA"/>
    <x v="12"/>
  </r>
  <r>
    <s v="32358"/>
    <x v="228"/>
    <s v="Personnel"/>
    <s v="H "/>
    <s v="High Grade Group 9-12"/>
    <s v="PS64H21S"/>
    <s v="PSES High Prog21Duty64 S275"/>
    <n v="21"/>
    <x v="12"/>
    <n v="64"/>
    <m/>
    <s v="   "/>
    <n v="0.14299999999999999"/>
    <n v="0.20019999999999999"/>
    <n v="2.9000000000000001E-2"/>
    <s v="High Contractor ESA"/>
    <x v="12"/>
  </r>
  <r>
    <s v="32358"/>
    <x v="228"/>
    <s v="Personnel"/>
    <s v="M "/>
    <s v="Middle Grade Group 7-8"/>
    <s v="PS64M21S"/>
    <s v="PSES Mid Prog21Duty64 S275"/>
    <n v="21"/>
    <x v="12"/>
    <n v="64"/>
    <m/>
    <s v="   "/>
    <n v="0.14299999999999999"/>
    <n v="0.20019999999999999"/>
    <n v="2.9000000000000001E-2"/>
    <s v="Middle Contractor ESA"/>
    <x v="12"/>
  </r>
  <r>
    <s v="32360"/>
    <x v="229"/>
    <s v="Personnel"/>
    <s v="H "/>
    <s v="High Grade Group 9-12"/>
    <s v="PS25H21S"/>
    <s v="PSES High Prog21Act25 S275"/>
    <n v="21"/>
    <x v="1"/>
    <m/>
    <n v="25"/>
    <s v="   "/>
    <n v="2.42"/>
    <n v="0.20580000000000001"/>
    <n v="0.498"/>
    <s v="High Pupil Management"/>
    <x v="1"/>
  </r>
  <r>
    <s v="32360"/>
    <x v="229"/>
    <s v="Personnel"/>
    <s v="H "/>
    <s v="High Grade Group 9-12"/>
    <s v="PS25HS"/>
    <s v="PSES High Prog01Act25 S275"/>
    <n v="1"/>
    <x v="1"/>
    <m/>
    <n v="25"/>
    <s v="   "/>
    <n v="6.9169999999999998"/>
    <n v="0.20580000000000001"/>
    <n v="0"/>
    <s v="High Pupil Management"/>
    <x v="1"/>
  </r>
  <r>
    <s v="32360"/>
    <x v="229"/>
    <s v="Personnel"/>
    <s v="H "/>
    <s v="High Grade Group 9-12"/>
    <s v="PS26HS"/>
    <s v="PSES High Prog01Act26 S275"/>
    <n v="1"/>
    <x v="2"/>
    <m/>
    <n v="26"/>
    <s v="   "/>
    <n v="5.9690000000000003"/>
    <n v="0.20580000000000001"/>
    <n v="0"/>
    <s v="High Health/_x000a_Related Services"/>
    <x v="2"/>
  </r>
  <r>
    <s v="32360"/>
    <x v="229"/>
    <s v="Personnel"/>
    <s v="E "/>
    <s v="Elementary Grade Group K-6"/>
    <s v="PS42E21S"/>
    <s v="PSES Elem Prog21Duty42 S275"/>
    <n v="21"/>
    <x v="5"/>
    <n v="42"/>
    <m/>
    <s v="   "/>
    <n v="1"/>
    <n v="0.20580000000000001"/>
    <n v="0.20599999999999999"/>
    <s v="Elementary Counselor"/>
    <x v="5"/>
  </r>
  <r>
    <s v="32360"/>
    <x v="229"/>
    <s v="Personnel"/>
    <s v="E "/>
    <s v="Elementary Grade Group K-6"/>
    <s v="PS42ES"/>
    <s v="PSES Elem Prog01Duty42 S275"/>
    <n v="1"/>
    <x v="5"/>
    <n v="42"/>
    <m/>
    <s v="   "/>
    <n v="5"/>
    <n v="0.20580000000000001"/>
    <n v="0"/>
    <s v="Elementary Counselor"/>
    <x v="5"/>
  </r>
  <r>
    <s v="32360"/>
    <x v="229"/>
    <s v="Personnel"/>
    <s v="H "/>
    <s v="High Grade Group 9-12"/>
    <s v="PS42HS"/>
    <s v="PSES High Prog01Duty42 S275"/>
    <n v="1"/>
    <x v="5"/>
    <n v="42"/>
    <m/>
    <s v="   "/>
    <n v="3.391"/>
    <n v="0.20580000000000001"/>
    <n v="0"/>
    <s v="High Counselor"/>
    <x v="5"/>
  </r>
  <r>
    <s v="32360"/>
    <x v="229"/>
    <s v="Personnel"/>
    <s v="M "/>
    <s v="Middle Grade Group 7-8"/>
    <s v="PS42M21S"/>
    <s v="PSES Mid Prog21Duty42 S275"/>
    <n v="21"/>
    <x v="5"/>
    <n v="42"/>
    <m/>
    <s v="   "/>
    <n v="1"/>
    <n v="0.20580000000000001"/>
    <n v="0.20599999999999999"/>
    <s v="Middle Counselor"/>
    <x v="5"/>
  </r>
  <r>
    <s v="32360"/>
    <x v="229"/>
    <s v="Personnel"/>
    <s v="M "/>
    <s v="Middle Grade Group 7-8"/>
    <s v="PS42MS"/>
    <s v="PSES Mid Prog01Duty42 S275"/>
    <n v="1"/>
    <x v="5"/>
    <n v="42"/>
    <m/>
    <s v="   "/>
    <n v="4"/>
    <n v="0.20580000000000001"/>
    <n v="0"/>
    <s v="Middle Counselor"/>
    <x v="5"/>
  </r>
  <r>
    <s v="32360"/>
    <x v="229"/>
    <s v="Personnel"/>
    <s v="E "/>
    <s v="Elementary Grade Group K-6"/>
    <s v="PS43E21S"/>
    <s v="PSES Elem Prog21Duty43 S275"/>
    <n v="21"/>
    <x v="6"/>
    <n v="43"/>
    <m/>
    <s v="   "/>
    <n v="4.83"/>
    <n v="0.20580000000000001"/>
    <n v="0.99399999999999999"/>
    <s v="Elementary Occupational Therapist"/>
    <x v="6"/>
  </r>
  <r>
    <s v="32360"/>
    <x v="229"/>
    <s v="Personnel"/>
    <s v="E "/>
    <s v="Elementary Grade Group K-6"/>
    <s v="PS45E21S"/>
    <s v="PSES Elem Prog21Duty45 S275"/>
    <n v="21"/>
    <x v="7"/>
    <n v="45"/>
    <m/>
    <s v="   "/>
    <n v="10.5"/>
    <n v="0.20580000000000001"/>
    <n v="2.161"/>
    <s v="Elementary Speech, Language Pathway/_x000a_Audio"/>
    <x v="7"/>
  </r>
  <r>
    <s v="32360"/>
    <x v="229"/>
    <s v="Personnel"/>
    <s v="H "/>
    <s v="High Grade Group 9-12"/>
    <s v="PS45H21S"/>
    <s v="PSES High Prog21Duty45 S275"/>
    <n v="21"/>
    <x v="7"/>
    <n v="45"/>
    <m/>
    <s v="   "/>
    <n v="0.7"/>
    <n v="0.20580000000000001"/>
    <n v="0.14399999999999999"/>
    <s v="High Speech, Language Pathway/_x000a_Audio"/>
    <x v="7"/>
  </r>
  <r>
    <s v="32360"/>
    <x v="229"/>
    <s v="Personnel"/>
    <s v="M "/>
    <s v="Middle Grade Group 7-8"/>
    <s v="PS45M21S"/>
    <s v="PSES Mid Prog21Duty45 S275"/>
    <n v="21"/>
    <x v="7"/>
    <n v="45"/>
    <m/>
    <s v="   "/>
    <n v="1.8"/>
    <n v="0.20580000000000001"/>
    <n v="0.37"/>
    <s v="Middle Speech, Language Pathway/_x000a_Audio"/>
    <x v="7"/>
  </r>
  <r>
    <s v="32360"/>
    <x v="229"/>
    <s v="Personnel"/>
    <s v="E "/>
    <s v="Elementary Grade Group K-6"/>
    <s v="PS46E21S"/>
    <s v="PSES Elem Prog21Duty46 S275"/>
    <n v="21"/>
    <x v="8"/>
    <n v="46"/>
    <m/>
    <s v="   "/>
    <n v="3.8"/>
    <n v="0.20580000000000001"/>
    <n v="0.78200000000000003"/>
    <s v="Elementary Psychologist"/>
    <x v="8"/>
  </r>
  <r>
    <s v="32360"/>
    <x v="229"/>
    <s v="Personnel"/>
    <s v="H "/>
    <s v="High Grade Group 9-12"/>
    <s v="PS46H21S"/>
    <s v="PSES High Prog21Duty46 S275"/>
    <n v="21"/>
    <x v="8"/>
    <n v="46"/>
    <m/>
    <s v="   "/>
    <n v="0.4"/>
    <n v="0.20580000000000001"/>
    <n v="8.2000000000000003E-2"/>
    <s v="High Psychologist"/>
    <x v="8"/>
  </r>
  <r>
    <s v="32360"/>
    <x v="229"/>
    <s v="Personnel"/>
    <s v="M "/>
    <s v="Middle Grade Group 7-8"/>
    <s v="PS46M21S"/>
    <s v="PSES Mid Prog21Duty46 S275"/>
    <n v="21"/>
    <x v="8"/>
    <n v="46"/>
    <m/>
    <s v="   "/>
    <n v="1.8"/>
    <n v="0.20580000000000001"/>
    <n v="0.37"/>
    <s v="Middle Psychologist"/>
    <x v="8"/>
  </r>
  <r>
    <s v="32360"/>
    <x v="229"/>
    <s v="Personnel"/>
    <s v="E "/>
    <s v="Elementary Grade Group K-6"/>
    <s v="PS47ES"/>
    <s v="PSES Elem Prog01Duty47 S275"/>
    <n v="1"/>
    <x v="9"/>
    <n v="47"/>
    <m/>
    <s v="   "/>
    <n v="3.3"/>
    <n v="0.20580000000000001"/>
    <n v="0"/>
    <s v="Elementary Nurse"/>
    <x v="9"/>
  </r>
  <r>
    <s v="32360"/>
    <x v="229"/>
    <s v="Personnel"/>
    <s v="H "/>
    <s v="High Grade Group 9-12"/>
    <s v="PS47HS"/>
    <s v="PSES High Prog01Duty47 S275"/>
    <n v="1"/>
    <x v="9"/>
    <n v="47"/>
    <m/>
    <s v="   "/>
    <n v="2.2000000000000002"/>
    <n v="0.20580000000000001"/>
    <n v="0"/>
    <s v="High Nurse"/>
    <x v="9"/>
  </r>
  <r>
    <s v="32360"/>
    <x v="229"/>
    <s v="Personnel"/>
    <s v="M "/>
    <s v="Middle Grade Group 7-8"/>
    <s v="PS47MS"/>
    <s v="PSES Mid Prog01Duty47 S275"/>
    <n v="1"/>
    <x v="9"/>
    <n v="47"/>
    <m/>
    <s v="   "/>
    <n v="1.5"/>
    <n v="0.20580000000000001"/>
    <n v="0"/>
    <s v="Middle Nurse"/>
    <x v="9"/>
  </r>
  <r>
    <s v="32360"/>
    <x v="229"/>
    <s v="Personnel"/>
    <s v="E "/>
    <s v="Elementary Grade Group K-6"/>
    <s v="PS48E21S"/>
    <s v="PSES Elem Prog21Duty48 S275"/>
    <n v="21"/>
    <x v="11"/>
    <n v="48"/>
    <m/>
    <s v="   "/>
    <n v="2"/>
    <n v="0.20580000000000001"/>
    <n v="0.41199999999999998"/>
    <s v="Elementary Physical Therapist"/>
    <x v="11"/>
  </r>
  <r>
    <s v="32360"/>
    <x v="229"/>
    <s v="Personnel"/>
    <s v="M "/>
    <s v="Middle Grade Group 7-8"/>
    <s v="PS48M21S"/>
    <s v="PSES Mid Prog21Duty48 S275"/>
    <n v="21"/>
    <x v="11"/>
    <n v="48"/>
    <m/>
    <s v="   "/>
    <n v="1"/>
    <n v="0.20580000000000001"/>
    <n v="0.20599999999999999"/>
    <s v="Middle Physical Therapist"/>
    <x v="11"/>
  </r>
  <r>
    <s v="32361"/>
    <x v="230"/>
    <s v="Personnel"/>
    <s v="E "/>
    <s v="Elementary Grade Group K-6"/>
    <s v="PS25ES"/>
    <s v="PSES Elem Prog01Act25 S275"/>
    <n v="1"/>
    <x v="1"/>
    <m/>
    <n v="25"/>
    <s v="   "/>
    <n v="5.7089999999999996"/>
    <n v="0.31380000000000002"/>
    <n v="0"/>
    <s v="Elementary Pupil Management"/>
    <x v="1"/>
  </r>
  <r>
    <s v="32361"/>
    <x v="230"/>
    <s v="Personnel"/>
    <s v="H "/>
    <s v="High Grade Group 9-12"/>
    <s v="PS25H21S"/>
    <s v="PSES High Prog21Act25 S275"/>
    <n v="21"/>
    <x v="1"/>
    <m/>
    <n v="25"/>
    <s v="   "/>
    <n v="3.45"/>
    <n v="0.31380000000000002"/>
    <n v="1.083"/>
    <s v="High Pupil Management"/>
    <x v="1"/>
  </r>
  <r>
    <s v="32361"/>
    <x v="230"/>
    <s v="Personnel"/>
    <s v="H "/>
    <s v="High Grade Group 9-12"/>
    <s v="PS25HS"/>
    <s v="PSES High Prog01Act25 S275"/>
    <n v="1"/>
    <x v="1"/>
    <m/>
    <n v="25"/>
    <s v="   "/>
    <n v="0.50900000000000001"/>
    <n v="0.31380000000000002"/>
    <n v="0"/>
    <s v="High Pupil Management"/>
    <x v="1"/>
  </r>
  <r>
    <s v="32361"/>
    <x v="230"/>
    <s v="Personnel"/>
    <s v="M "/>
    <s v="Middle Grade Group 7-8"/>
    <s v="PS25MS"/>
    <s v="PSES Mid Prog01Act25 S275"/>
    <n v="1"/>
    <x v="1"/>
    <m/>
    <n v="25"/>
    <s v="   "/>
    <n v="0.70499999999999996"/>
    <n v="0.31380000000000002"/>
    <n v="0"/>
    <s v="Middle Pupil Management"/>
    <x v="1"/>
  </r>
  <r>
    <s v="32361"/>
    <x v="230"/>
    <s v="Personnel"/>
    <s v="E "/>
    <s v="Elementary Grade Group K-6"/>
    <s v="PS26E21S"/>
    <s v="PSES Elem Prog21Act26 S275"/>
    <n v="21"/>
    <x v="2"/>
    <m/>
    <n v="26"/>
    <s v="   "/>
    <n v="1.236"/>
    <n v="0.31380000000000002"/>
    <n v="0.38800000000000001"/>
    <s v="Elementary Health/_x000a_Related Services"/>
    <x v="2"/>
  </r>
  <r>
    <s v="32361"/>
    <x v="230"/>
    <s v="Personnel"/>
    <s v="E "/>
    <s v="Elementary Grade Group K-6"/>
    <s v="PS26ES"/>
    <s v="PSES Elem Prog01Act26 S275"/>
    <n v="1"/>
    <x v="2"/>
    <m/>
    <n v="26"/>
    <s v="   "/>
    <n v="3.512"/>
    <n v="0.31380000000000002"/>
    <n v="0"/>
    <s v="Elementary Health/_x000a_Related Services"/>
    <x v="2"/>
  </r>
  <r>
    <s v="32361"/>
    <x v="230"/>
    <s v="Personnel"/>
    <s v="H "/>
    <s v="High Grade Group 9-12"/>
    <s v="PS26H21S"/>
    <s v="PSES High Prog21Act26 S275"/>
    <n v="21"/>
    <x v="2"/>
    <m/>
    <n v="26"/>
    <s v="   "/>
    <n v="0.64300000000000002"/>
    <n v="0.31380000000000002"/>
    <n v="0.20200000000000001"/>
    <s v="High Health/_x000a_Related Services"/>
    <x v="2"/>
  </r>
  <r>
    <s v="32361"/>
    <x v="230"/>
    <s v="Personnel"/>
    <s v="H "/>
    <s v="High Grade Group 9-12"/>
    <s v="PS26HS"/>
    <s v="PSES High Prog01Act26 S275"/>
    <n v="1"/>
    <x v="2"/>
    <m/>
    <n v="26"/>
    <s v="   "/>
    <n v="1.4339999999999999"/>
    <n v="0.31380000000000002"/>
    <n v="0"/>
    <s v="High Health/_x000a_Related Services"/>
    <x v="2"/>
  </r>
  <r>
    <s v="32361"/>
    <x v="230"/>
    <s v="Personnel"/>
    <s v="M "/>
    <s v="Middle Grade Group 7-8"/>
    <s v="PS26MS"/>
    <s v="PSES Mid Prog01Act26 S275"/>
    <n v="1"/>
    <x v="2"/>
    <m/>
    <n v="26"/>
    <s v="   "/>
    <n v="0.66500000000000004"/>
    <n v="0.31380000000000002"/>
    <n v="0"/>
    <s v="Middle Health/_x000a_Related Services"/>
    <x v="2"/>
  </r>
  <r>
    <s v="32361"/>
    <x v="230"/>
    <s v="Personnel"/>
    <s v="H "/>
    <s v="High Grade Group 9-12"/>
    <s v="PS35HS"/>
    <s v="PSES High Prog01Act35 S275"/>
    <n v="1"/>
    <x v="3"/>
    <m/>
    <n v="35"/>
    <s v="   "/>
    <n v="0.73499999999999999"/>
    <n v="0.31380000000000002"/>
    <n v="0"/>
    <s v="High Pupil Safety"/>
    <x v="3"/>
  </r>
  <r>
    <s v="32361"/>
    <x v="230"/>
    <s v="Personnel"/>
    <s v="M "/>
    <s v="Middle Grade Group 7-8"/>
    <s v="PS35MS"/>
    <s v="PSES Mid Prog01Act35 S275"/>
    <n v="1"/>
    <x v="3"/>
    <m/>
    <n v="35"/>
    <s v="   "/>
    <n v="0.73499999999999999"/>
    <n v="0.31380000000000002"/>
    <n v="0"/>
    <s v="Middle Pupil Safety"/>
    <x v="3"/>
  </r>
  <r>
    <s v="32361"/>
    <x v="230"/>
    <s v="Personnel"/>
    <s v="E "/>
    <s v="Elementary Grade Group K-6"/>
    <s v="PS42ES"/>
    <s v="PSES Elem Prog01Duty42 S275"/>
    <n v="1"/>
    <x v="5"/>
    <n v="42"/>
    <m/>
    <s v="   "/>
    <n v="4.5"/>
    <n v="0.31380000000000002"/>
    <n v="0"/>
    <s v="Elementary Counselor"/>
    <x v="5"/>
  </r>
  <r>
    <s v="32361"/>
    <x v="230"/>
    <s v="Personnel"/>
    <s v="H "/>
    <s v="High Grade Group 9-12"/>
    <s v="PS42HS"/>
    <s v="PSES High Prog01Duty42 S275"/>
    <n v="1"/>
    <x v="5"/>
    <n v="42"/>
    <m/>
    <s v="   "/>
    <n v="2"/>
    <n v="0.31380000000000002"/>
    <n v="0"/>
    <s v="High Counselor"/>
    <x v="5"/>
  </r>
  <r>
    <s v="32361"/>
    <x v="230"/>
    <s v="Personnel"/>
    <s v="M "/>
    <s v="Middle Grade Group 7-8"/>
    <s v="PS42MS"/>
    <s v="PSES Mid Prog01Duty42 S275"/>
    <n v="1"/>
    <x v="5"/>
    <n v="42"/>
    <m/>
    <s v="   "/>
    <n v="1"/>
    <n v="0.31380000000000002"/>
    <n v="0"/>
    <s v="Middle Counselor"/>
    <x v="5"/>
  </r>
  <r>
    <s v="32361"/>
    <x v="230"/>
    <s v="Personnel"/>
    <s v="E "/>
    <s v="Elementary Grade Group K-6"/>
    <s v="PS43E21S"/>
    <s v="PSES Elem Prog21Duty43 S275"/>
    <n v="21"/>
    <x v="6"/>
    <n v="43"/>
    <m/>
    <s v="   "/>
    <n v="4"/>
    <n v="0.31380000000000002"/>
    <n v="1.2549999999999999"/>
    <s v="Elementary Occupational Therapist"/>
    <x v="6"/>
  </r>
  <r>
    <s v="32361"/>
    <x v="230"/>
    <s v="Personnel"/>
    <s v="E "/>
    <s v="Elementary Grade Group K-6"/>
    <s v="PS45E21S"/>
    <s v="PSES Elem Prog21Duty45 S275"/>
    <n v="21"/>
    <x v="7"/>
    <n v="45"/>
    <m/>
    <s v="   "/>
    <n v="7"/>
    <n v="0.31380000000000002"/>
    <n v="2.1970000000000001"/>
    <s v="Elementary Speech, Language Pathway/_x000a_Audio"/>
    <x v="7"/>
  </r>
  <r>
    <s v="32361"/>
    <x v="230"/>
    <s v="Personnel"/>
    <s v="H "/>
    <s v="High Grade Group 9-12"/>
    <s v="PS45H21S"/>
    <s v="PSES High Prog21Duty45 S275"/>
    <n v="21"/>
    <x v="7"/>
    <n v="45"/>
    <m/>
    <s v="   "/>
    <n v="0.499"/>
    <n v="0.31380000000000002"/>
    <n v="0.157"/>
    <s v="High Speech, Language Pathway/_x000a_Audio"/>
    <x v="7"/>
  </r>
  <r>
    <s v="32361"/>
    <x v="230"/>
    <s v="Personnel"/>
    <s v="M "/>
    <s v="Middle Grade Group 7-8"/>
    <s v="PS45M21S"/>
    <s v="PSES Mid Prog21Duty45 S275"/>
    <n v="21"/>
    <x v="7"/>
    <n v="45"/>
    <m/>
    <s v="   "/>
    <n v="1.5009999999999999"/>
    <n v="0.31380000000000002"/>
    <n v="0.47099999999999997"/>
    <s v="Middle Speech, Language Pathway/_x000a_Audio"/>
    <x v="7"/>
  </r>
  <r>
    <s v="32361"/>
    <x v="230"/>
    <s v="Personnel"/>
    <s v="E "/>
    <s v="Elementary Grade Group K-6"/>
    <s v="PS46E21S"/>
    <s v="PSES Elem Prog21Duty46 S275"/>
    <n v="21"/>
    <x v="8"/>
    <n v="46"/>
    <m/>
    <s v="   "/>
    <n v="5"/>
    <n v="0.31380000000000002"/>
    <n v="1.569"/>
    <s v="Elementary Psychologist"/>
    <x v="8"/>
  </r>
  <r>
    <s v="32361"/>
    <x v="230"/>
    <s v="Personnel"/>
    <s v="H "/>
    <s v="High Grade Group 9-12"/>
    <s v="PS46H21S"/>
    <s v="PSES High Prog21Duty46 S275"/>
    <n v="21"/>
    <x v="8"/>
    <n v="46"/>
    <m/>
    <s v="   "/>
    <n v="1"/>
    <n v="0.31380000000000002"/>
    <n v="0.314"/>
    <s v="High Psychologist"/>
    <x v="8"/>
  </r>
  <r>
    <s v="32361"/>
    <x v="230"/>
    <s v="Personnel"/>
    <s v="H "/>
    <s v="High Grade Group 9-12"/>
    <s v="PS47HS"/>
    <s v="PSES High Prog01Duty47 S275"/>
    <n v="1"/>
    <x v="9"/>
    <n v="47"/>
    <m/>
    <s v="   "/>
    <n v="1"/>
    <n v="0.31380000000000002"/>
    <n v="0"/>
    <s v="High Nurse"/>
    <x v="9"/>
  </r>
  <r>
    <s v="32361"/>
    <x v="230"/>
    <s v="Personnel"/>
    <s v="M "/>
    <s v="Middle Grade Group 7-8"/>
    <s v="PS47MS"/>
    <s v="PSES Mid Prog01Duty47 S275"/>
    <n v="1"/>
    <x v="9"/>
    <n v="47"/>
    <m/>
    <s v="   "/>
    <n v="1.7"/>
    <n v="0.31380000000000002"/>
    <n v="0"/>
    <s v="Middle Nurse"/>
    <x v="9"/>
  </r>
  <r>
    <s v="32361"/>
    <x v="230"/>
    <s v="Personnel"/>
    <s v="E "/>
    <s v="Elementary Grade Group K-6"/>
    <s v="PS48E21S"/>
    <s v="PSES Elem Prog21Duty48 S275"/>
    <n v="21"/>
    <x v="11"/>
    <n v="48"/>
    <m/>
    <s v="   "/>
    <n v="1"/>
    <n v="0.31380000000000002"/>
    <n v="0.314"/>
    <s v="Elementary Physical Therapist"/>
    <x v="11"/>
  </r>
  <r>
    <s v="32362"/>
    <x v="231"/>
    <s v="Personnel"/>
    <s v="E "/>
    <s v="Elementary Grade Group K-6"/>
    <s v="PS25ES"/>
    <s v="PSES Elem Prog01Act25 S275"/>
    <n v="1"/>
    <x v="1"/>
    <m/>
    <n v="25"/>
    <s v="   "/>
    <n v="0.65600000000000003"/>
    <n v="0.27629999999999999"/>
    <n v="0"/>
    <s v="Elementary Pupil Management"/>
    <x v="1"/>
  </r>
  <r>
    <s v="32362"/>
    <x v="231"/>
    <s v="Personnel"/>
    <s v="H "/>
    <s v="High Grade Group 9-12"/>
    <s v="PS25HS"/>
    <s v="PSES High Prog01Act25 S275"/>
    <n v="1"/>
    <x v="1"/>
    <m/>
    <n v="25"/>
    <s v="   "/>
    <n v="0.19900000000000001"/>
    <n v="0.27629999999999999"/>
    <n v="0"/>
    <s v="High Pupil Management"/>
    <x v="1"/>
  </r>
  <r>
    <s v="32362"/>
    <x v="231"/>
    <s v="Personnel"/>
    <s v="M "/>
    <s v="Middle Grade Group 7-8"/>
    <s v="PS25MS"/>
    <s v="PSES Mid Prog01Act25 S275"/>
    <n v="1"/>
    <x v="1"/>
    <m/>
    <n v="25"/>
    <s v="   "/>
    <n v="0.311"/>
    <n v="0.27629999999999999"/>
    <n v="0"/>
    <s v="Middle Pupil Management"/>
    <x v="1"/>
  </r>
  <r>
    <s v="32362"/>
    <x v="231"/>
    <s v="Personnel"/>
    <s v="E "/>
    <s v="Elementary Grade Group K-6"/>
    <s v="PS42ES"/>
    <s v="PSES Elem Prog01Duty42 S275"/>
    <n v="1"/>
    <x v="5"/>
    <n v="42"/>
    <m/>
    <s v="   "/>
    <n v="0.9"/>
    <n v="0.27629999999999999"/>
    <n v="0"/>
    <s v="Elementary Counselor"/>
    <x v="5"/>
  </r>
  <r>
    <s v="32362"/>
    <x v="231"/>
    <s v="Personnel"/>
    <s v="H "/>
    <s v="High Grade Group 9-12"/>
    <s v="PS42HS"/>
    <s v="PSES High Prog01Duty42 S275"/>
    <n v="1"/>
    <x v="5"/>
    <n v="42"/>
    <m/>
    <s v="   "/>
    <n v="1.167"/>
    <n v="0.27629999999999999"/>
    <n v="0"/>
    <s v="High Counselor"/>
    <x v="5"/>
  </r>
  <r>
    <s v="32362"/>
    <x v="231"/>
    <s v="Personnel"/>
    <s v="M "/>
    <s v="Middle Grade Group 7-8"/>
    <s v="PS42MS"/>
    <s v="PSES Mid Prog01Duty42 S275"/>
    <n v="1"/>
    <x v="5"/>
    <n v="42"/>
    <m/>
    <s v="   "/>
    <n v="0.1"/>
    <n v="0.27629999999999999"/>
    <n v="0"/>
    <s v="Middle Counselor"/>
    <x v="5"/>
  </r>
  <r>
    <s v="32362"/>
    <x v="231"/>
    <s v="Personnel"/>
    <s v="H "/>
    <s v="High Grade Group 9-12"/>
    <s v="PS46H21S"/>
    <s v="PSES High Prog21Duty46 S275"/>
    <n v="21"/>
    <x v="8"/>
    <n v="46"/>
    <m/>
    <s v="   "/>
    <n v="0.6"/>
    <n v="0.27629999999999999"/>
    <n v="0.16600000000000001"/>
    <s v="High Psychologist"/>
    <x v="8"/>
  </r>
  <r>
    <s v="32362"/>
    <x v="231"/>
    <s v="Personnel"/>
    <s v="M "/>
    <s v="Middle Grade Group 7-8"/>
    <s v="PS46M21S"/>
    <s v="PSES Mid Prog21Duty46 S275"/>
    <n v="21"/>
    <x v="8"/>
    <n v="46"/>
    <m/>
    <s v="   "/>
    <n v="0.42499999999999999"/>
    <n v="0.27629999999999999"/>
    <n v="0.11700000000000001"/>
    <s v="Middle Psychologist"/>
    <x v="8"/>
  </r>
  <r>
    <s v="32362"/>
    <x v="231"/>
    <s v="Personnel"/>
    <s v="E "/>
    <s v="Elementary Grade Group K-6"/>
    <s v="PS47ES"/>
    <s v="PSES Elem Prog01Duty47 S275"/>
    <n v="1"/>
    <x v="9"/>
    <n v="47"/>
    <m/>
    <s v="   "/>
    <n v="0.48099999999999998"/>
    <n v="0.27629999999999999"/>
    <n v="0"/>
    <s v="Elementary Nurse"/>
    <x v="9"/>
  </r>
  <r>
    <s v="32362"/>
    <x v="231"/>
    <s v="Personnel"/>
    <s v="H "/>
    <s v="High Grade Group 9-12"/>
    <s v="PS47HS"/>
    <s v="PSES High Prog01Duty47 S275"/>
    <n v="1"/>
    <x v="9"/>
    <n v="47"/>
    <m/>
    <s v="   "/>
    <n v="0.31"/>
    <n v="0.27629999999999999"/>
    <n v="0"/>
    <s v="High Nurse"/>
    <x v="9"/>
  </r>
  <r>
    <s v="32362"/>
    <x v="231"/>
    <s v="Personnel"/>
    <s v="M "/>
    <s v="Middle Grade Group 7-8"/>
    <s v="PS47MS"/>
    <s v="PSES Mid Prog01Duty47 S275"/>
    <n v="1"/>
    <x v="9"/>
    <n v="47"/>
    <m/>
    <s v="   "/>
    <n v="0.13700000000000001"/>
    <n v="0.27629999999999999"/>
    <n v="0"/>
    <s v="Middle Nurse"/>
    <x v="9"/>
  </r>
  <r>
    <s v="32362"/>
    <x v="231"/>
    <s v="Personnel"/>
    <s v="T"/>
    <s v="Elementary Grade Group K-6"/>
    <s v="PS47E09S"/>
    <s v="PSES Elem Prog09Duty47 S275"/>
    <n v="9"/>
    <x v="9"/>
    <n v="47"/>
    <n v="26"/>
    <m/>
    <n v="7.1999999999999995E-2"/>
    <n v="0.27629999999999999"/>
    <n v="0"/>
    <s v="TK Nurse"/>
    <x v="9"/>
  </r>
  <r>
    <s v="32363"/>
    <x v="232"/>
    <s v="Personnel"/>
    <s v="H "/>
    <s v="High Grade Group 9-12"/>
    <s v="PS25HS"/>
    <s v="PSES High Prog01Act25 S275"/>
    <n v="1"/>
    <x v="1"/>
    <m/>
    <n v="25"/>
    <s v="   "/>
    <n v="9.4E-2"/>
    <n v="0.2019"/>
    <n v="0"/>
    <s v="High Pupil Management"/>
    <x v="1"/>
  </r>
  <r>
    <s v="32363"/>
    <x v="232"/>
    <s v="Personnel"/>
    <s v="H "/>
    <s v="High Grade Group 9-12"/>
    <s v="PS26H21S"/>
    <s v="PSES High Prog21Act26 S275"/>
    <n v="21"/>
    <x v="2"/>
    <m/>
    <n v="26"/>
    <s v="   "/>
    <n v="0.78900000000000003"/>
    <n v="0.2019"/>
    <n v="0.159"/>
    <s v="High Health/_x000a_Related Services"/>
    <x v="2"/>
  </r>
  <r>
    <s v="32363"/>
    <x v="232"/>
    <s v="Personnel"/>
    <s v="H "/>
    <s v="High Grade Group 9-12"/>
    <s v="PS26HS"/>
    <s v="PSES High Prog01Act26 S275"/>
    <n v="1"/>
    <x v="2"/>
    <m/>
    <n v="26"/>
    <s v="   "/>
    <n v="1.6319999999999999"/>
    <n v="0.2019"/>
    <n v="0"/>
    <s v="High Health/_x000a_Related Services"/>
    <x v="2"/>
  </r>
  <r>
    <s v="32363"/>
    <x v="232"/>
    <s v="Personnel"/>
    <s v="H "/>
    <s v="High Grade Group 9-12"/>
    <s v="PS35HS"/>
    <s v="PSES High Prog01Act35 S275"/>
    <n v="1"/>
    <x v="3"/>
    <m/>
    <n v="35"/>
    <s v="   "/>
    <n v="1.538"/>
    <n v="0.2019"/>
    <n v="0"/>
    <s v="High Pupil Safety"/>
    <x v="3"/>
  </r>
  <r>
    <s v="32363"/>
    <x v="232"/>
    <s v="Personnel"/>
    <s v="E "/>
    <s v="Elementary Grade Group K-6"/>
    <s v="PS42ES"/>
    <s v="PSES Elem Prog01Duty42 S275"/>
    <n v="1"/>
    <x v="5"/>
    <n v="42"/>
    <m/>
    <s v="   "/>
    <n v="2.68"/>
    <n v="0.2019"/>
    <n v="0"/>
    <s v="Elementary Counselor"/>
    <x v="5"/>
  </r>
  <r>
    <s v="32363"/>
    <x v="232"/>
    <s v="Personnel"/>
    <s v="H "/>
    <s v="High Grade Group 9-12"/>
    <s v="PS42HS"/>
    <s v="PSES High Prog01Duty42 S275"/>
    <n v="1"/>
    <x v="5"/>
    <n v="42"/>
    <m/>
    <s v="   "/>
    <n v="3.1"/>
    <n v="0.2019"/>
    <n v="0"/>
    <s v="High Counselor"/>
    <x v="5"/>
  </r>
  <r>
    <s v="32363"/>
    <x v="232"/>
    <s v="Personnel"/>
    <s v="M "/>
    <s v="Middle Grade Group 7-8"/>
    <s v="PS42MS"/>
    <s v="PSES Mid Prog01Duty42 S275"/>
    <n v="1"/>
    <x v="5"/>
    <n v="42"/>
    <m/>
    <s v="   "/>
    <n v="1.32"/>
    <n v="0.2019"/>
    <n v="0"/>
    <s v="Middle Counselor"/>
    <x v="5"/>
  </r>
  <r>
    <s v="32363"/>
    <x v="232"/>
    <s v="Personnel"/>
    <s v="E "/>
    <s v="Elementary Grade Group K-6"/>
    <s v="PS43E21S"/>
    <s v="PSES Elem Prog21Duty43 S275"/>
    <n v="21"/>
    <x v="6"/>
    <n v="43"/>
    <m/>
    <s v="   "/>
    <n v="1.2210000000000001"/>
    <n v="0.2019"/>
    <n v="0.247"/>
    <s v="Elementary Occupational Therapist"/>
    <x v="6"/>
  </r>
  <r>
    <s v="32363"/>
    <x v="232"/>
    <s v="Personnel"/>
    <s v="H "/>
    <s v="High Grade Group 9-12"/>
    <s v="PS43H21S"/>
    <s v="PSES High Prog21Duty43 S275"/>
    <n v="21"/>
    <x v="6"/>
    <n v="43"/>
    <m/>
    <s v="   "/>
    <n v="0.1"/>
    <n v="0.2019"/>
    <n v="0.02"/>
    <s v="High Occupational Therapist"/>
    <x v="6"/>
  </r>
  <r>
    <s v="32363"/>
    <x v="232"/>
    <s v="Personnel"/>
    <s v="M "/>
    <s v="Middle Grade Group 7-8"/>
    <s v="PS43M21S"/>
    <s v="PSES Mid Prog21Duty43 S275"/>
    <n v="21"/>
    <x v="6"/>
    <n v="43"/>
    <m/>
    <s v="   "/>
    <n v="0.14000000000000001"/>
    <n v="0.2019"/>
    <n v="2.8000000000000001E-2"/>
    <s v="Middle Occupational Therapist"/>
    <x v="6"/>
  </r>
  <r>
    <s v="32363"/>
    <x v="232"/>
    <s v="Personnel"/>
    <s v="H "/>
    <s v="High Grade Group 9-12"/>
    <s v="PS44HS"/>
    <s v="PSES High Prog01Duty44 S275"/>
    <n v="1"/>
    <x v="13"/>
    <n v="44"/>
    <m/>
    <s v="   "/>
    <n v="0.5"/>
    <n v="0.2019"/>
    <n v="0"/>
    <s v="High Social Worker"/>
    <x v="13"/>
  </r>
  <r>
    <s v="32363"/>
    <x v="232"/>
    <s v="Personnel"/>
    <s v="E "/>
    <s v="Elementary Grade Group K-6"/>
    <s v="PS45E21S"/>
    <s v="PSES Elem Prog21Duty45 S275"/>
    <n v="21"/>
    <x v="7"/>
    <n v="45"/>
    <m/>
    <s v="   "/>
    <n v="2.5"/>
    <n v="0.2019"/>
    <n v="0.505"/>
    <s v="Elementary Speech, Language Pathway/_x000a_Audio"/>
    <x v="7"/>
  </r>
  <r>
    <s v="32363"/>
    <x v="232"/>
    <s v="Personnel"/>
    <s v="H "/>
    <s v="High Grade Group 9-12"/>
    <s v="PS45H21S"/>
    <s v="PSES High Prog21Duty45 S275"/>
    <n v="21"/>
    <x v="7"/>
    <n v="45"/>
    <m/>
    <s v="   "/>
    <n v="0.1"/>
    <n v="0.2019"/>
    <n v="0.02"/>
    <s v="High Speech, Language Pathway/_x000a_Audio"/>
    <x v="7"/>
  </r>
  <r>
    <s v="32363"/>
    <x v="232"/>
    <s v="Personnel"/>
    <s v="E "/>
    <s v="Elementary Grade Group K-6"/>
    <s v="PS46E21S"/>
    <s v="PSES Elem Prog21Duty46 S275"/>
    <n v="21"/>
    <x v="8"/>
    <n v="46"/>
    <m/>
    <s v="   "/>
    <n v="1.48"/>
    <n v="0.2019"/>
    <n v="0.29899999999999999"/>
    <s v="Elementary Psychologist"/>
    <x v="8"/>
  </r>
  <r>
    <s v="32363"/>
    <x v="232"/>
    <s v="Personnel"/>
    <s v="H "/>
    <s v="High Grade Group 9-12"/>
    <s v="PS46H21S"/>
    <s v="PSES High Prog21Duty46 S275"/>
    <n v="21"/>
    <x v="8"/>
    <n v="46"/>
    <m/>
    <s v="   "/>
    <n v="1.8"/>
    <n v="0.2019"/>
    <n v="0.36299999999999999"/>
    <s v="High Psychologist"/>
    <x v="8"/>
  </r>
  <r>
    <s v="32363"/>
    <x v="232"/>
    <s v="Personnel"/>
    <s v="M "/>
    <s v="Middle Grade Group 7-8"/>
    <s v="PS46M21S"/>
    <s v="PSES Mid Prog21Duty46 S275"/>
    <n v="21"/>
    <x v="8"/>
    <n v="46"/>
    <m/>
    <s v="   "/>
    <n v="1"/>
    <n v="0.2019"/>
    <n v="0.20200000000000001"/>
    <s v="Middle Psychologist"/>
    <x v="8"/>
  </r>
  <r>
    <s v="32363"/>
    <x v="232"/>
    <s v="Personnel"/>
    <s v="E "/>
    <s v="Elementary Grade Group K-6"/>
    <s v="PS47E21S"/>
    <s v="PSES Elem Prog21Duty47 S275"/>
    <n v="21"/>
    <x v="9"/>
    <n v="47"/>
    <m/>
    <s v="   "/>
    <n v="0.23499999999999999"/>
    <n v="0.2019"/>
    <n v="4.7E-2"/>
    <s v="Elementary Nurse"/>
    <x v="9"/>
  </r>
  <r>
    <s v="32363"/>
    <x v="232"/>
    <s v="Personnel"/>
    <s v="E "/>
    <s v="Elementary Grade Group K-6"/>
    <s v="PS47ES"/>
    <s v="PSES Elem Prog01Duty47 S275"/>
    <n v="1"/>
    <x v="9"/>
    <n v="47"/>
    <m/>
    <s v="   "/>
    <n v="1.33"/>
    <n v="0.2019"/>
    <n v="0"/>
    <s v="Elementary Nurse"/>
    <x v="9"/>
  </r>
  <r>
    <s v="32363"/>
    <x v="232"/>
    <s v="Personnel"/>
    <s v="H "/>
    <s v="High Grade Group 9-12"/>
    <s v="PS47H21S"/>
    <s v="PSES High Prog21Duty47 S275"/>
    <n v="21"/>
    <x v="9"/>
    <n v="47"/>
    <m/>
    <s v="   "/>
    <n v="0.3"/>
    <n v="0.2019"/>
    <n v="6.0999999999999999E-2"/>
    <s v="High Nurse"/>
    <x v="9"/>
  </r>
  <r>
    <s v="32363"/>
    <x v="232"/>
    <s v="Personnel"/>
    <s v="H "/>
    <s v="High Grade Group 9-12"/>
    <s v="PS47HS"/>
    <s v="PSES High Prog01Duty47 S275"/>
    <n v="1"/>
    <x v="9"/>
    <n v="47"/>
    <m/>
    <s v="   "/>
    <n v="1.7"/>
    <n v="0.2019"/>
    <n v="0"/>
    <s v="High Nurse"/>
    <x v="9"/>
  </r>
  <r>
    <s v="32363"/>
    <x v="232"/>
    <s v="Personnel"/>
    <s v="E "/>
    <s v="Elementary Grade Group K-6"/>
    <s v="PS48E21S"/>
    <s v="PSES Elem Prog21Duty48 S275"/>
    <n v="21"/>
    <x v="11"/>
    <n v="48"/>
    <m/>
    <s v="   "/>
    <n v="0.39"/>
    <n v="0.2019"/>
    <n v="7.9000000000000001E-2"/>
    <s v="Elementary Physical Therapist"/>
    <x v="11"/>
  </r>
  <r>
    <s v="32363"/>
    <x v="232"/>
    <s v="Personnel"/>
    <s v="H "/>
    <s v="High Grade Group 9-12"/>
    <s v="PS48H21S"/>
    <s v="PSES High Prog21Duty48 S275"/>
    <n v="21"/>
    <x v="11"/>
    <n v="48"/>
    <m/>
    <s v="   "/>
    <n v="0.01"/>
    <n v="0.2019"/>
    <n v="2E-3"/>
    <s v="High Physical Therapist"/>
    <x v="11"/>
  </r>
  <r>
    <s v="32363"/>
    <x v="232"/>
    <s v="Personnel"/>
    <s v="M "/>
    <s v="Middle Grade Group 7-8"/>
    <s v="PS48M21S"/>
    <s v="PSES Mid Prog21Duty48 S275"/>
    <n v="21"/>
    <x v="11"/>
    <n v="48"/>
    <m/>
    <s v="   "/>
    <n v="0.15"/>
    <n v="0.2019"/>
    <n v="0.03"/>
    <s v="Middle Physical Therapist"/>
    <x v="11"/>
  </r>
  <r>
    <s v="32363"/>
    <x v="232"/>
    <s v="Personnel"/>
    <s v="E "/>
    <s v="Elementary Grade Group K-6"/>
    <s v="PS49E21S"/>
    <s v="PSES Elem Prog21Duty49 S275"/>
    <n v="21"/>
    <x v="10"/>
    <n v="49"/>
    <m/>
    <s v="   "/>
    <n v="5.3999999999999999E-2"/>
    <n v="0.2019"/>
    <n v="1.0999999999999999E-2"/>
    <s v="Elementary Behavior Analyst"/>
    <x v="10"/>
  </r>
  <r>
    <s v="32363"/>
    <x v="232"/>
    <s v="Personnel"/>
    <s v="E "/>
    <s v="Elementary Grade Group K-6"/>
    <s v="PS49ES"/>
    <s v="PSES Elem Prog01Duty49 S275"/>
    <n v="1"/>
    <x v="10"/>
    <n v="49"/>
    <m/>
    <s v="   "/>
    <n v="0.47599999999999998"/>
    <n v="0.2019"/>
    <n v="0"/>
    <s v="Elementary Behavior Analyst"/>
    <x v="10"/>
  </r>
  <r>
    <s v="32363"/>
    <x v="232"/>
    <s v="Personnel"/>
    <s v="H "/>
    <s v="High Grade Group 9-12"/>
    <s v="PS49H21S"/>
    <s v="PSES High Prog21Duty49 S275"/>
    <n v="21"/>
    <x v="10"/>
    <n v="49"/>
    <m/>
    <s v="   "/>
    <n v="1.4999999999999999E-2"/>
    <n v="0.2019"/>
    <n v="3.0000000000000001E-3"/>
    <s v="High Behavior Analyst"/>
    <x v="10"/>
  </r>
  <r>
    <s v="32363"/>
    <x v="232"/>
    <s v="Personnel"/>
    <s v="H "/>
    <s v="High Grade Group 9-12"/>
    <s v="PS49HS"/>
    <s v="PSES High Prog01Duty49 S275"/>
    <n v="1"/>
    <x v="10"/>
    <n v="49"/>
    <m/>
    <s v="   "/>
    <n v="0.17"/>
    <n v="0.2019"/>
    <n v="0"/>
    <s v="High Behavior Analyst"/>
    <x v="10"/>
  </r>
  <r>
    <s v="32363"/>
    <x v="232"/>
    <s v="Personnel"/>
    <s v="M "/>
    <s v="Middle Grade Group 7-8"/>
    <s v="PS49M21S"/>
    <s v="PSES Mid Prog21Duty49 S275"/>
    <n v="21"/>
    <x v="10"/>
    <n v="49"/>
    <m/>
    <s v="   "/>
    <n v="2.1000000000000001E-2"/>
    <n v="0.2019"/>
    <n v="4.0000000000000001E-3"/>
    <s v="Middle Behavior Analyst"/>
    <x v="10"/>
  </r>
  <r>
    <s v="32363"/>
    <x v="232"/>
    <s v="Personnel"/>
    <s v="M "/>
    <s v="Middle Grade Group 7-8"/>
    <s v="PS49MS"/>
    <s v="PSES Mid Prog01Duty49 S275"/>
    <n v="1"/>
    <x v="10"/>
    <n v="49"/>
    <m/>
    <s v="   "/>
    <n v="0.20399999999999999"/>
    <n v="0.2019"/>
    <n v="0"/>
    <s v="Middle Behavior Analyst"/>
    <x v="10"/>
  </r>
  <r>
    <s v="32414"/>
    <x v="233"/>
    <s v="Personnel"/>
    <s v="H "/>
    <s v="High Grade Group 9-12"/>
    <s v="PS25H21S"/>
    <s v="PSES High Prog21Act25 S275"/>
    <n v="21"/>
    <x v="1"/>
    <m/>
    <n v="25"/>
    <s v="   "/>
    <n v="1.1240000000000001"/>
    <n v="0.23830000000000001"/>
    <n v="0.26800000000000002"/>
    <s v="High Pupil Management"/>
    <x v="1"/>
  </r>
  <r>
    <s v="32414"/>
    <x v="233"/>
    <s v="Personnel"/>
    <s v="H "/>
    <s v="High Grade Group 9-12"/>
    <s v="PS25HS"/>
    <s v="PSES High Prog01Act25 S275"/>
    <n v="1"/>
    <x v="1"/>
    <m/>
    <n v="25"/>
    <s v="   "/>
    <n v="0.68100000000000005"/>
    <n v="0.23830000000000001"/>
    <n v="0"/>
    <s v="High Pupil Management"/>
    <x v="1"/>
  </r>
  <r>
    <s v="32414"/>
    <x v="233"/>
    <s v="Personnel"/>
    <s v="H "/>
    <s v="High Grade Group 9-12"/>
    <s v="PS26HS"/>
    <s v="PSES High Prog01Act26 S275"/>
    <n v="1"/>
    <x v="2"/>
    <m/>
    <n v="26"/>
    <s v="   "/>
    <n v="1.782"/>
    <n v="0.23830000000000001"/>
    <n v="0"/>
    <s v="High Health/_x000a_Related Services"/>
    <x v="2"/>
  </r>
  <r>
    <s v="32414"/>
    <x v="233"/>
    <s v="Personnel"/>
    <s v="E "/>
    <s v="Elementary Grade Group K-6"/>
    <s v="PS42ES"/>
    <s v="PSES Elem Prog01Duty42 S275"/>
    <n v="1"/>
    <x v="5"/>
    <n v="42"/>
    <m/>
    <s v="   "/>
    <n v="2"/>
    <n v="0.23830000000000001"/>
    <n v="0"/>
    <s v="Elementary Counselor"/>
    <x v="5"/>
  </r>
  <r>
    <s v="32414"/>
    <x v="233"/>
    <s v="Personnel"/>
    <s v="H "/>
    <s v="High Grade Group 9-12"/>
    <s v="PS42HS"/>
    <s v="PSES High Prog01Duty42 S275"/>
    <n v="1"/>
    <x v="5"/>
    <n v="42"/>
    <m/>
    <s v="   "/>
    <n v="2"/>
    <n v="0.23830000000000001"/>
    <n v="0"/>
    <s v="High Counselor"/>
    <x v="5"/>
  </r>
  <r>
    <s v="32414"/>
    <x v="233"/>
    <s v="Personnel"/>
    <s v="M "/>
    <s v="Middle Grade Group 7-8"/>
    <s v="PS42MS"/>
    <s v="PSES Mid Prog01Duty42 S275"/>
    <n v="1"/>
    <x v="5"/>
    <n v="42"/>
    <m/>
    <s v="   "/>
    <n v="1"/>
    <n v="0.23830000000000001"/>
    <n v="0"/>
    <s v="Middle Counselor"/>
    <x v="5"/>
  </r>
  <r>
    <s v="32414"/>
    <x v="233"/>
    <s v="Personnel"/>
    <s v="E "/>
    <s v="Elementary Grade Group K-6"/>
    <s v="PS43E21S"/>
    <s v="PSES Elem Prog21Duty43 S275"/>
    <n v="21"/>
    <x v="6"/>
    <n v="43"/>
    <m/>
    <s v="   "/>
    <n v="0.8"/>
    <n v="0.23830000000000001"/>
    <n v="0.191"/>
    <s v="Elementary Occupational Therapist"/>
    <x v="6"/>
  </r>
  <r>
    <s v="32414"/>
    <x v="233"/>
    <s v="Personnel"/>
    <s v="M "/>
    <s v="Middle Grade Group 7-8"/>
    <s v="PS43M21S"/>
    <s v="PSES Mid Prog21Duty43 S275"/>
    <n v="21"/>
    <x v="6"/>
    <n v="43"/>
    <m/>
    <s v="   "/>
    <n v="0.05"/>
    <n v="0.23830000000000001"/>
    <n v="1.2E-2"/>
    <s v="Middle Occupational Therapist"/>
    <x v="6"/>
  </r>
  <r>
    <s v="32414"/>
    <x v="233"/>
    <s v="Personnel"/>
    <s v="E "/>
    <s v="Elementary Grade Group K-6"/>
    <s v="PS45E21S"/>
    <s v="PSES Elem Prog21Duty45 S275"/>
    <n v="21"/>
    <x v="7"/>
    <n v="45"/>
    <m/>
    <s v="   "/>
    <n v="2"/>
    <n v="0.23830000000000001"/>
    <n v="0.47699999999999998"/>
    <s v="Elementary Speech, Language Pathway/_x000a_Audio"/>
    <x v="7"/>
  </r>
  <r>
    <s v="32414"/>
    <x v="233"/>
    <s v="Personnel"/>
    <s v="H "/>
    <s v="High Grade Group 9-12"/>
    <s v="PS45H21S"/>
    <s v="PSES High Prog21Duty45 S275"/>
    <n v="21"/>
    <x v="7"/>
    <n v="45"/>
    <m/>
    <s v="   "/>
    <n v="0.08"/>
    <n v="0.23830000000000001"/>
    <n v="1.9E-2"/>
    <s v="High Speech, Language Pathway/_x000a_Audio"/>
    <x v="7"/>
  </r>
  <r>
    <s v="32414"/>
    <x v="233"/>
    <s v="Personnel"/>
    <s v="M "/>
    <s v="Middle Grade Group 7-8"/>
    <s v="PS45M21S"/>
    <s v="PSES Mid Prog21Duty45 S275"/>
    <n v="21"/>
    <x v="7"/>
    <n v="45"/>
    <m/>
    <s v="   "/>
    <n v="0.16"/>
    <n v="0.23830000000000001"/>
    <n v="3.7999999999999999E-2"/>
    <s v="Middle Speech, Language Pathway/_x000a_Audio"/>
    <x v="7"/>
  </r>
  <r>
    <s v="32414"/>
    <x v="233"/>
    <s v="Personnel"/>
    <s v="E "/>
    <s v="Elementary Grade Group K-6"/>
    <s v="PS46E21S"/>
    <s v="PSES Elem Prog21Duty46 S275"/>
    <n v="21"/>
    <x v="8"/>
    <n v="46"/>
    <m/>
    <s v="   "/>
    <n v="1.8"/>
    <n v="0.23830000000000001"/>
    <n v="0.42899999999999999"/>
    <s v="Elementary Psychologist"/>
    <x v="8"/>
  </r>
  <r>
    <s v="32414"/>
    <x v="233"/>
    <s v="Personnel"/>
    <s v="E "/>
    <s v="Elementary Grade Group K-6"/>
    <s v="PS46ES"/>
    <s v="PSES Elem Prog01Duty46 S275"/>
    <n v="1"/>
    <x v="8"/>
    <n v="46"/>
    <m/>
    <s v="   "/>
    <n v="0.2"/>
    <n v="0.23830000000000001"/>
    <n v="0"/>
    <s v="Elementary Psychologist"/>
    <x v="8"/>
  </r>
  <r>
    <s v="32414"/>
    <x v="233"/>
    <s v="Personnel"/>
    <s v="H "/>
    <s v="High Grade Group 9-12"/>
    <s v="PS46H21S"/>
    <s v="PSES High Prog21Duty46 S275"/>
    <n v="21"/>
    <x v="8"/>
    <n v="46"/>
    <m/>
    <s v="   "/>
    <n v="0.9"/>
    <n v="0.23830000000000001"/>
    <n v="0.214"/>
    <s v="High Psychologist"/>
    <x v="8"/>
  </r>
  <r>
    <s v="32414"/>
    <x v="233"/>
    <s v="Personnel"/>
    <s v="M "/>
    <s v="Middle Grade Group 7-8"/>
    <s v="PS46MS"/>
    <s v="PSES Mid Prog01Duty46 S275"/>
    <n v="1"/>
    <x v="8"/>
    <n v="46"/>
    <m/>
    <s v="   "/>
    <n v="0.1"/>
    <n v="0.23830000000000001"/>
    <n v="0"/>
    <s v="Middle Psychologist"/>
    <x v="8"/>
  </r>
  <r>
    <s v="32414"/>
    <x v="233"/>
    <s v="Personnel"/>
    <s v="E "/>
    <s v="Elementary Grade Group K-6"/>
    <s v="PS47ES"/>
    <s v="PSES Elem Prog01Duty47 S275"/>
    <n v="1"/>
    <x v="9"/>
    <n v="47"/>
    <m/>
    <s v="   "/>
    <n v="0.56000000000000005"/>
    <n v="0.23830000000000001"/>
    <n v="0"/>
    <s v="Elementary Nurse"/>
    <x v="9"/>
  </r>
  <r>
    <s v="32414"/>
    <x v="233"/>
    <s v="Personnel"/>
    <s v="H "/>
    <s v="High Grade Group 9-12"/>
    <s v="PS47HS"/>
    <s v="PSES High Prog01Duty47 S275"/>
    <n v="1"/>
    <x v="9"/>
    <n v="47"/>
    <m/>
    <s v="   "/>
    <n v="0.3"/>
    <n v="0.23830000000000001"/>
    <n v="0"/>
    <s v="High Nurse"/>
    <x v="9"/>
  </r>
  <r>
    <s v="32414"/>
    <x v="233"/>
    <s v="Personnel"/>
    <s v="M "/>
    <s v="Middle Grade Group 7-8"/>
    <s v="PS47MS"/>
    <s v="PSES Mid Prog01Duty47 S275"/>
    <n v="1"/>
    <x v="9"/>
    <n v="47"/>
    <m/>
    <s v="   "/>
    <n v="0.14000000000000001"/>
    <n v="0.23830000000000001"/>
    <n v="0"/>
    <s v="Middle Nurse"/>
    <x v="9"/>
  </r>
  <r>
    <s v="32414"/>
    <x v="233"/>
    <s v="Personnel"/>
    <s v="E "/>
    <s v="Elementary Grade Group K-6"/>
    <s v="PS48E21S"/>
    <s v="PSES Elem Prog21Duty48 S275"/>
    <n v="21"/>
    <x v="11"/>
    <n v="48"/>
    <m/>
    <s v="   "/>
    <n v="0.6"/>
    <n v="0.23830000000000001"/>
    <n v="0.14299999999999999"/>
    <s v="Elementary Physical Therapist"/>
    <x v="11"/>
  </r>
  <r>
    <s v="32414"/>
    <x v="233"/>
    <s v="Personnel"/>
    <s v="M "/>
    <s v="Middle Grade Group 7-8"/>
    <s v="PS48M21S"/>
    <s v="PSES Mid Prog21Duty48 S275"/>
    <n v="21"/>
    <x v="11"/>
    <n v="48"/>
    <m/>
    <s v="   "/>
    <n v="0.09"/>
    <n v="0.23830000000000001"/>
    <n v="2.1000000000000001E-2"/>
    <s v="Middle Physical Therapist"/>
    <x v="11"/>
  </r>
  <r>
    <s v="32416"/>
    <x v="234"/>
    <s v="Personnel"/>
    <s v="E "/>
    <s v="Elementary Grade Group K-6"/>
    <s v="PS25ES"/>
    <s v="PSES Elem Prog01Act25 S275"/>
    <n v="1"/>
    <x v="1"/>
    <m/>
    <n v="25"/>
    <s v="   "/>
    <n v="0.73899999999999999"/>
    <n v="0.2944"/>
    <n v="0"/>
    <s v="Elementary Pupil Management"/>
    <x v="1"/>
  </r>
  <r>
    <s v="32416"/>
    <x v="234"/>
    <s v="Personnel"/>
    <s v="H "/>
    <s v="High Grade Group 9-12"/>
    <s v="PS25H21S"/>
    <s v="PSES High Prog21Act25 S275"/>
    <n v="21"/>
    <x v="1"/>
    <m/>
    <n v="25"/>
    <s v="   "/>
    <n v="3.6999999999999998E-2"/>
    <n v="0.2944"/>
    <n v="1.0999999999999999E-2"/>
    <s v="High Pupil Management"/>
    <x v="1"/>
  </r>
  <r>
    <s v="32416"/>
    <x v="234"/>
    <s v="Personnel"/>
    <s v="H "/>
    <s v="High Grade Group 9-12"/>
    <s v="PS25HS"/>
    <s v="PSES High Prog01Act25 S275"/>
    <n v="1"/>
    <x v="1"/>
    <m/>
    <n v="25"/>
    <s v="   "/>
    <n v="1.9870000000000001"/>
    <n v="0.2944"/>
    <n v="0"/>
    <s v="High Pupil Management"/>
    <x v="1"/>
  </r>
  <r>
    <s v="32416"/>
    <x v="234"/>
    <s v="Personnel"/>
    <s v="H "/>
    <s v="High Grade Group 9-12"/>
    <s v="PS26H21S"/>
    <s v="PSES High Prog21Act26 S275"/>
    <n v="21"/>
    <x v="2"/>
    <m/>
    <n v="26"/>
    <s v="   "/>
    <n v="0.28899999999999998"/>
    <n v="0.2944"/>
    <n v="8.5000000000000006E-2"/>
    <s v="High Health/_x000a_Related Services"/>
    <x v="2"/>
  </r>
  <r>
    <s v="32416"/>
    <x v="234"/>
    <s v="Personnel"/>
    <s v="H "/>
    <s v="High Grade Group 9-12"/>
    <s v="PS26HS"/>
    <s v="PSES High Prog01Act26 S275"/>
    <n v="1"/>
    <x v="2"/>
    <m/>
    <n v="26"/>
    <s v="   "/>
    <n v="3.6240000000000001"/>
    <n v="0.2944"/>
    <n v="0"/>
    <s v="High Health/_x000a_Related Services"/>
    <x v="2"/>
  </r>
  <r>
    <s v="32416"/>
    <x v="234"/>
    <s v="Personnel"/>
    <s v="E "/>
    <s v="Elementary Grade Group K-6"/>
    <s v="PS42ES"/>
    <s v="PSES Elem Prog01Duty42 S275"/>
    <n v="1"/>
    <x v="5"/>
    <n v="42"/>
    <m/>
    <s v="   "/>
    <n v="1.6"/>
    <n v="0.2944"/>
    <n v="0"/>
    <s v="Elementary Counselor"/>
    <x v="5"/>
  </r>
  <r>
    <s v="32416"/>
    <x v="234"/>
    <s v="Personnel"/>
    <s v="H "/>
    <s v="High Grade Group 9-12"/>
    <s v="PS42HS"/>
    <s v="PSES High Prog01Duty42 S275"/>
    <n v="1"/>
    <x v="5"/>
    <n v="42"/>
    <m/>
    <s v="   "/>
    <n v="2.2000000000000002"/>
    <n v="0.2944"/>
    <n v="0"/>
    <s v="High Counselor"/>
    <x v="5"/>
  </r>
  <r>
    <s v="32416"/>
    <x v="234"/>
    <s v="Personnel"/>
    <s v="M "/>
    <s v="Middle Grade Group 7-8"/>
    <s v="PS42MS"/>
    <s v="PSES Mid Prog01Duty42 S275"/>
    <n v="1"/>
    <x v="5"/>
    <n v="42"/>
    <m/>
    <s v="   "/>
    <n v="1"/>
    <n v="0.2944"/>
    <n v="0"/>
    <s v="Middle Counselor"/>
    <x v="5"/>
  </r>
  <r>
    <s v="32416"/>
    <x v="234"/>
    <s v="Personnel"/>
    <s v="E "/>
    <s v="Elementary Grade Group K-6"/>
    <s v="PS43E21S"/>
    <s v="PSES Elem Prog21Duty43 S275"/>
    <n v="21"/>
    <x v="6"/>
    <n v="43"/>
    <m/>
    <s v="   "/>
    <n v="0.185"/>
    <n v="0.2944"/>
    <n v="5.3999999999999999E-2"/>
    <s v="Elementary Occupational Therapist"/>
    <x v="6"/>
  </r>
  <r>
    <s v="32416"/>
    <x v="234"/>
    <s v="Personnel"/>
    <s v="H "/>
    <s v="High Grade Group 9-12"/>
    <s v="PS43H21S"/>
    <s v="PSES High Prog21Duty43 S275"/>
    <n v="21"/>
    <x v="6"/>
    <n v="43"/>
    <m/>
    <s v="   "/>
    <n v="0.111"/>
    <n v="0.2944"/>
    <n v="3.3000000000000002E-2"/>
    <s v="High Occupational Therapist"/>
    <x v="6"/>
  </r>
  <r>
    <s v="32416"/>
    <x v="234"/>
    <s v="Personnel"/>
    <s v="M "/>
    <s v="Middle Grade Group 7-8"/>
    <s v="PS43M21S"/>
    <s v="PSES Mid Prog21Duty43 S275"/>
    <n v="21"/>
    <x v="6"/>
    <n v="43"/>
    <m/>
    <s v="   "/>
    <n v="0.14799999999999999"/>
    <n v="0.2944"/>
    <n v="4.3999999999999997E-2"/>
    <s v="Middle Occupational Therapist"/>
    <x v="6"/>
  </r>
  <r>
    <s v="32416"/>
    <x v="234"/>
    <s v="Personnel"/>
    <s v="E "/>
    <s v="Elementary Grade Group K-6"/>
    <s v="PS45E21S"/>
    <s v="PSES Elem Prog21Duty45 S275"/>
    <n v="21"/>
    <x v="7"/>
    <n v="45"/>
    <m/>
    <s v="   "/>
    <n v="2"/>
    <n v="0.2944"/>
    <n v="0.58899999999999997"/>
    <s v="Elementary Speech, Language Pathway/_x000a_Audio"/>
    <x v="7"/>
  </r>
  <r>
    <s v="32416"/>
    <x v="234"/>
    <s v="Personnel"/>
    <s v="E "/>
    <s v="Elementary Grade Group K-6"/>
    <s v="PS46E21S"/>
    <s v="PSES Elem Prog21Duty46 S275"/>
    <n v="21"/>
    <x v="8"/>
    <n v="46"/>
    <m/>
    <s v="   "/>
    <n v="1"/>
    <n v="0.2944"/>
    <n v="0.29399999999999998"/>
    <s v="Elementary Psychologist"/>
    <x v="8"/>
  </r>
  <r>
    <s v="32416"/>
    <x v="234"/>
    <s v="Personnel"/>
    <s v="H "/>
    <s v="High Grade Group 9-12"/>
    <s v="PS46H21S"/>
    <s v="PSES High Prog21Duty46 S275"/>
    <n v="21"/>
    <x v="8"/>
    <n v="46"/>
    <m/>
    <s v="   "/>
    <n v="0.6"/>
    <n v="0.2944"/>
    <n v="0.17699999999999999"/>
    <s v="High Psychologist"/>
    <x v="8"/>
  </r>
  <r>
    <s v="32416"/>
    <x v="234"/>
    <s v="Personnel"/>
    <s v="M "/>
    <s v="Middle Grade Group 7-8"/>
    <s v="PS46M21S"/>
    <s v="PSES Mid Prog21Duty46 S275"/>
    <n v="21"/>
    <x v="8"/>
    <n v="46"/>
    <m/>
    <s v="   "/>
    <n v="0.4"/>
    <n v="0.2944"/>
    <n v="0.11799999999999999"/>
    <s v="Middle Psychologist"/>
    <x v="8"/>
  </r>
  <r>
    <s v="32416"/>
    <x v="234"/>
    <s v="Personnel"/>
    <s v="E "/>
    <s v="Elementary Grade Group K-6"/>
    <s v="PS48E21S"/>
    <s v="PSES Elem Prog21Duty48 S275"/>
    <n v="21"/>
    <x v="11"/>
    <n v="48"/>
    <m/>
    <s v="   "/>
    <n v="0.66500000000000004"/>
    <n v="0.2944"/>
    <n v="0.19600000000000001"/>
    <s v="Elementary Physical Therapist"/>
    <x v="11"/>
  </r>
  <r>
    <s v="32416"/>
    <x v="234"/>
    <s v="Personnel"/>
    <s v="H "/>
    <s v="High Grade Group 9-12"/>
    <s v="PS48H21S"/>
    <s v="PSES High Prog21Duty48 S275"/>
    <n v="21"/>
    <x v="11"/>
    <n v="48"/>
    <m/>
    <s v="   "/>
    <n v="0.05"/>
    <n v="0.2944"/>
    <n v="1.4999999999999999E-2"/>
    <s v="High Physical Therapist"/>
    <x v="11"/>
  </r>
  <r>
    <s v="32416"/>
    <x v="234"/>
    <s v="Personnel"/>
    <s v="M "/>
    <s v="Middle Grade Group 7-8"/>
    <s v="PS48M21S"/>
    <s v="PSES Mid Prog21Duty48 S275"/>
    <n v="21"/>
    <x v="11"/>
    <n v="48"/>
    <m/>
    <s v="   "/>
    <n v="3.5000000000000003E-2"/>
    <n v="0.2944"/>
    <n v="0.01"/>
    <s v="Middle Physical Therapist"/>
    <x v="11"/>
  </r>
  <r>
    <s v="32901"/>
    <x v="235"/>
    <s v="Personnel"/>
    <s v="H "/>
    <s v="High Grade Group 9-12"/>
    <s v="PS26HS"/>
    <s v="PSES High Prog01Act26 S275"/>
    <n v="1"/>
    <x v="2"/>
    <m/>
    <n v="26"/>
    <s v="   "/>
    <n v="0.76200000000000001"/>
    <n v="9.5299999999999996E-2"/>
    <n v="0"/>
    <s v="High Health/_x000a_Related Services"/>
    <x v="2"/>
  </r>
  <r>
    <s v="32901"/>
    <x v="235"/>
    <s v="Personnel"/>
    <s v="E "/>
    <s v="Elementary Grade Group K-6"/>
    <s v="PS42ES"/>
    <s v="PSES Elem Prog01Duty42 S275"/>
    <n v="1"/>
    <x v="5"/>
    <n v="42"/>
    <m/>
    <s v="   "/>
    <n v="1.5"/>
    <n v="9.5299999999999996E-2"/>
    <n v="0"/>
    <s v="Elementary Counselor"/>
    <x v="5"/>
  </r>
  <r>
    <s v="32901"/>
    <x v="235"/>
    <s v="Personnel"/>
    <s v="H "/>
    <s v="High Grade Group 9-12"/>
    <s v="PS42HS"/>
    <s v="PSES High Prog01Duty42 S275"/>
    <n v="1"/>
    <x v="5"/>
    <n v="42"/>
    <m/>
    <s v="   "/>
    <n v="0.5"/>
    <n v="9.5299999999999996E-2"/>
    <n v="0"/>
    <s v="High Counselor"/>
    <x v="5"/>
  </r>
  <r>
    <s v="32901"/>
    <x v="235"/>
    <s v="Personnel"/>
    <s v="M "/>
    <s v="Middle Grade Group 7-8"/>
    <s v="PS42MS"/>
    <s v="PSES Mid Prog01Duty42 S275"/>
    <n v="1"/>
    <x v="5"/>
    <n v="42"/>
    <m/>
    <s v="   "/>
    <n v="1"/>
    <n v="9.5299999999999996E-2"/>
    <n v="0"/>
    <s v="Middle Counselor"/>
    <x v="5"/>
  </r>
  <r>
    <s v="32901"/>
    <x v="235"/>
    <s v="Personnel"/>
    <s v="E "/>
    <s v="Elementary Grade Group K-6"/>
    <s v="PS45E21S"/>
    <s v="PSES Elem Prog21Duty45 S275"/>
    <n v="21"/>
    <x v="7"/>
    <n v="45"/>
    <m/>
    <s v="   "/>
    <n v="1"/>
    <n v="9.5299999999999996E-2"/>
    <n v="9.5000000000000001E-2"/>
    <s v="Elementary Speech, Language Pathway/_x000a_Audio"/>
    <x v="7"/>
  </r>
  <r>
    <s v="32903"/>
    <x v="236"/>
    <s v="Personnel"/>
    <s v="H "/>
    <s v="High Grade Group 9-12"/>
    <s v="PS42HS"/>
    <s v="PSES High Prog01Duty42 S275"/>
    <n v="1"/>
    <x v="5"/>
    <n v="42"/>
    <m/>
    <s v="   "/>
    <n v="0.86"/>
    <n v="0.13"/>
    <n v="0"/>
    <s v="High Counselor"/>
    <x v="5"/>
  </r>
  <r>
    <s v="32907"/>
    <x v="237"/>
    <s v="Personnel"/>
    <s v="H "/>
    <s v="High Grade Group 9-12"/>
    <s v="PS24H97S"/>
    <s v="PSES High Prog97Duty96 S275"/>
    <n v="97"/>
    <x v="0"/>
    <n v="96"/>
    <n v="24"/>
    <s v="   "/>
    <n v="1"/>
    <n v="0.12429999999999999"/>
    <n v="0"/>
    <s v="High Family Engagement Coordinator"/>
    <x v="0"/>
  </r>
  <r>
    <s v="32907"/>
    <x v="237"/>
    <s v="Personnel"/>
    <s v="H "/>
    <s v="High Grade Group 9-12"/>
    <s v="PS42H21S"/>
    <s v="PSES High Prog21Duty42 S275"/>
    <n v="21"/>
    <x v="5"/>
    <n v="42"/>
    <m/>
    <s v="   "/>
    <n v="0.8"/>
    <n v="0.12429999999999999"/>
    <n v="9.9000000000000005E-2"/>
    <s v="High Counselor"/>
    <x v="5"/>
  </r>
  <r>
    <s v="32907"/>
    <x v="237"/>
    <s v="Personnel"/>
    <s v="H "/>
    <s v="High Grade Group 9-12"/>
    <s v="PS42HS"/>
    <s v="PSES High Prog01Duty42 S275"/>
    <n v="1"/>
    <x v="5"/>
    <n v="42"/>
    <m/>
    <s v="   "/>
    <n v="1"/>
    <n v="0.12429999999999999"/>
    <n v="0"/>
    <s v="High Counselor"/>
    <x v="5"/>
  </r>
  <r>
    <s v="33030"/>
    <x v="238"/>
    <s v="Personnel"/>
    <s v="H "/>
    <s v="High Grade Group 9-12"/>
    <s v="PS26HS"/>
    <s v="PSES High Prog01Act26 S275"/>
    <n v="1"/>
    <x v="2"/>
    <m/>
    <n v="26"/>
    <s v="   "/>
    <n v="0.1"/>
    <n v="0.17330000000000001"/>
    <n v="0"/>
    <s v="High Health/_x000a_Related Services"/>
    <x v="2"/>
  </r>
  <r>
    <s v="33036"/>
    <x v="239"/>
    <s v="Personnel"/>
    <s v="H "/>
    <s v="High Grade Group 9-12"/>
    <s v="PS25HS"/>
    <s v="PSES High Prog01Act25 S275"/>
    <n v="1"/>
    <x v="1"/>
    <m/>
    <n v="25"/>
    <s v="   "/>
    <n v="0.1"/>
    <n v="0.2671"/>
    <n v="0"/>
    <s v="High Pupil Management"/>
    <x v="1"/>
  </r>
  <r>
    <s v="33036"/>
    <x v="239"/>
    <s v="Personnel"/>
    <s v="H "/>
    <s v="High Grade Group 9-12"/>
    <s v="PS26HS"/>
    <s v="PSES High Prog01Act26 S275"/>
    <n v="1"/>
    <x v="2"/>
    <m/>
    <n v="26"/>
    <s v="   "/>
    <n v="0.65900000000000003"/>
    <n v="0.2671"/>
    <n v="0"/>
    <s v="High Health/_x000a_Related Services"/>
    <x v="2"/>
  </r>
  <r>
    <s v="33036"/>
    <x v="239"/>
    <s v="Personnel"/>
    <s v="E "/>
    <s v="Elementary Grade Group K-6"/>
    <s v="PS42ES"/>
    <s v="PSES Elem Prog01Duty42 S275"/>
    <n v="1"/>
    <x v="5"/>
    <n v="42"/>
    <m/>
    <s v="   "/>
    <n v="0.55000000000000004"/>
    <n v="0.2671"/>
    <n v="0"/>
    <s v="Elementary Counselor"/>
    <x v="5"/>
  </r>
  <r>
    <s v="33036"/>
    <x v="239"/>
    <s v="Personnel"/>
    <s v="H "/>
    <s v="High Grade Group 9-12"/>
    <s v="PS42HS"/>
    <s v="PSES High Prog01Duty42 S275"/>
    <n v="1"/>
    <x v="5"/>
    <n v="42"/>
    <m/>
    <s v="   "/>
    <n v="0.78"/>
    <n v="0.2671"/>
    <n v="0"/>
    <s v="High Counselor"/>
    <x v="5"/>
  </r>
  <r>
    <s v="33036"/>
    <x v="239"/>
    <s v="Personnel"/>
    <s v="E "/>
    <s v="Elementary Grade Group K-6"/>
    <s v="PS45E21S"/>
    <s v="PSES Elem Prog21Duty45 S275"/>
    <n v="21"/>
    <x v="7"/>
    <n v="45"/>
    <m/>
    <s v="   "/>
    <n v="0.81200000000000006"/>
    <n v="0.2671"/>
    <n v="0.217"/>
    <s v="Elementary Speech, Language Pathway/_x000a_Audio"/>
    <x v="7"/>
  </r>
  <r>
    <s v="33036"/>
    <x v="239"/>
    <s v="Personnel"/>
    <s v="H "/>
    <s v="High Grade Group 9-12"/>
    <s v="PS45H21S"/>
    <s v="PSES High Prog21Duty45 S275"/>
    <n v="21"/>
    <x v="7"/>
    <n v="45"/>
    <m/>
    <s v="   "/>
    <n v="8.3000000000000004E-2"/>
    <n v="0.2671"/>
    <n v="2.1999999999999999E-2"/>
    <s v="High Speech, Language Pathway/_x000a_Audio"/>
    <x v="7"/>
  </r>
  <r>
    <s v="33036"/>
    <x v="239"/>
    <s v="Personnel"/>
    <s v="M "/>
    <s v="Middle Grade Group 7-8"/>
    <s v="PS45M21S"/>
    <s v="PSES Mid Prog21Duty45 S275"/>
    <n v="21"/>
    <x v="7"/>
    <n v="45"/>
    <m/>
    <s v="   "/>
    <n v="6.3E-2"/>
    <n v="0.2671"/>
    <n v="1.7000000000000001E-2"/>
    <s v="Middle Speech, Language Pathway/_x000a_Audio"/>
    <x v="7"/>
  </r>
  <r>
    <s v="33036"/>
    <x v="239"/>
    <s v="Personnel"/>
    <s v="E "/>
    <s v="Elementary Grade Group K-6"/>
    <s v="PS46E21S"/>
    <s v="PSES Elem Prog21Duty46 S275"/>
    <n v="21"/>
    <x v="8"/>
    <n v="46"/>
    <m/>
    <s v="   "/>
    <n v="0.50900000000000001"/>
    <n v="0.2671"/>
    <n v="0.13600000000000001"/>
    <s v="Elementary Psychologist"/>
    <x v="8"/>
  </r>
  <r>
    <s v="33036"/>
    <x v="239"/>
    <s v="Personnel"/>
    <s v="H "/>
    <s v="High Grade Group 9-12"/>
    <s v="PS46H21S"/>
    <s v="PSES High Prog21Duty46 S275"/>
    <n v="21"/>
    <x v="8"/>
    <n v="46"/>
    <m/>
    <s v="   "/>
    <n v="0.254"/>
    <n v="0.2671"/>
    <n v="6.8000000000000005E-2"/>
    <s v="High Psychologist"/>
    <x v="8"/>
  </r>
  <r>
    <s v="33036"/>
    <x v="239"/>
    <s v="Personnel"/>
    <s v="M "/>
    <s v="Middle Grade Group 7-8"/>
    <s v="PS46M21S"/>
    <s v="PSES Mid Prog21Duty46 S275"/>
    <n v="21"/>
    <x v="8"/>
    <n v="46"/>
    <m/>
    <s v="   "/>
    <n v="0.221"/>
    <n v="0.2671"/>
    <n v="5.8999999999999997E-2"/>
    <s v="Middle Psychologist"/>
    <x v="8"/>
  </r>
  <r>
    <s v="33036"/>
    <x v="239"/>
    <s v="Personnel"/>
    <s v="E "/>
    <s v="Elementary Grade Group K-6"/>
    <s v="PS47ES"/>
    <s v="PSES Elem Prog01Duty47 S275"/>
    <n v="1"/>
    <x v="9"/>
    <n v="47"/>
    <m/>
    <s v="   "/>
    <n v="0.54"/>
    <n v="0.2671"/>
    <n v="0"/>
    <s v="Elementary Nurse"/>
    <x v="9"/>
  </r>
  <r>
    <s v="33036"/>
    <x v="239"/>
    <s v="Personnel"/>
    <s v="H "/>
    <s v="High Grade Group 9-12"/>
    <s v="PS47HS"/>
    <s v="PSES High Prog01Duty47 S275"/>
    <n v="1"/>
    <x v="9"/>
    <n v="47"/>
    <m/>
    <s v="   "/>
    <n v="0.31"/>
    <n v="0.2671"/>
    <n v="0"/>
    <s v="High Nurse"/>
    <x v="9"/>
  </r>
  <r>
    <s v="33036"/>
    <x v="239"/>
    <s v="Personnel"/>
    <s v="M "/>
    <s v="Middle Grade Group 7-8"/>
    <s v="PS47MS"/>
    <s v="PSES Mid Prog01Duty47 S275"/>
    <n v="1"/>
    <x v="9"/>
    <n v="47"/>
    <m/>
    <s v="   "/>
    <n v="0.15"/>
    <n v="0.2671"/>
    <n v="0"/>
    <s v="Middle Nurse"/>
    <x v="9"/>
  </r>
  <r>
    <s v="33049"/>
    <x v="240"/>
    <s v="Personnel"/>
    <s v="E "/>
    <s v="Elementary Grade Group K-6"/>
    <s v="PS42ES"/>
    <s v="PSES Elem Prog01Duty42 S275"/>
    <n v="1"/>
    <x v="5"/>
    <n v="42"/>
    <m/>
    <s v="   "/>
    <n v="1"/>
    <n v="0.151"/>
    <n v="0"/>
    <s v="Elementary Counselor"/>
    <x v="5"/>
  </r>
  <r>
    <s v="33049"/>
    <x v="240"/>
    <s v="Personnel"/>
    <s v="H "/>
    <s v="High Grade Group 9-12"/>
    <s v="PS42HS"/>
    <s v="PSES High Prog01Duty42 S275"/>
    <n v="1"/>
    <x v="5"/>
    <n v="42"/>
    <m/>
    <s v="   "/>
    <n v="0.5"/>
    <n v="0.151"/>
    <n v="0"/>
    <s v="High Counselor"/>
    <x v="5"/>
  </r>
  <r>
    <s v="33049"/>
    <x v="240"/>
    <s v="Personnel"/>
    <s v="M "/>
    <s v="Middle Grade Group 7-8"/>
    <s v="PS42MS"/>
    <s v="PSES Mid Prog01Duty42 S275"/>
    <n v="1"/>
    <x v="5"/>
    <n v="42"/>
    <m/>
    <s v="   "/>
    <n v="0.5"/>
    <n v="0.151"/>
    <n v="0"/>
    <s v="Middle Counselor"/>
    <x v="5"/>
  </r>
  <r>
    <s v="33070"/>
    <x v="241"/>
    <s v="Personnel"/>
    <s v="H "/>
    <s v="High Grade Group 9-12"/>
    <s v="PS25HS"/>
    <s v="PSES High Prog01Act25 S275"/>
    <n v="1"/>
    <x v="1"/>
    <m/>
    <n v="25"/>
    <s v="   "/>
    <n v="1.365"/>
    <n v="0.1128"/>
    <n v="0"/>
    <s v="High Pupil Management"/>
    <x v="1"/>
  </r>
  <r>
    <s v="33070"/>
    <x v="241"/>
    <s v="Personnel"/>
    <s v="E "/>
    <s v="Elementary Grade Group K-6"/>
    <s v="PS42ES"/>
    <s v="PSES Elem Prog01Duty42 S275"/>
    <n v="1"/>
    <x v="5"/>
    <n v="42"/>
    <m/>
    <s v="   "/>
    <n v="0.39"/>
    <n v="0.1128"/>
    <n v="0"/>
    <s v="Elementary Counselor"/>
    <x v="5"/>
  </r>
  <r>
    <s v="33070"/>
    <x v="241"/>
    <s v="Personnel"/>
    <s v="H "/>
    <s v="High Grade Group 9-12"/>
    <s v="PS42HS"/>
    <s v="PSES High Prog01Duty42 S275"/>
    <n v="1"/>
    <x v="5"/>
    <n v="42"/>
    <m/>
    <s v="   "/>
    <n v="0.4"/>
    <n v="0.1128"/>
    <n v="0"/>
    <s v="High Counselor"/>
    <x v="5"/>
  </r>
  <r>
    <s v="33070"/>
    <x v="241"/>
    <s v="Personnel"/>
    <s v="M "/>
    <s v="Middle Grade Group 7-8"/>
    <s v="PS42MS"/>
    <s v="PSES Mid Prog01Duty42 S275"/>
    <n v="1"/>
    <x v="5"/>
    <n v="42"/>
    <m/>
    <s v="   "/>
    <n v="0.21"/>
    <n v="0.1128"/>
    <n v="0"/>
    <s v="Middle Counselor"/>
    <x v="5"/>
  </r>
  <r>
    <s v="33115"/>
    <x v="242"/>
    <s v="Personnel"/>
    <s v="E "/>
    <s v="Elementary Grade Group K-6"/>
    <s v="PS26E21S"/>
    <s v="PSES Elem Prog21Act26 S275"/>
    <n v="21"/>
    <x v="2"/>
    <m/>
    <n v="26"/>
    <s v="   "/>
    <n v="0.60599999999999998"/>
    <n v="0.22"/>
    <n v="0.13300000000000001"/>
    <s v="Elementary Health/_x000a_Related Services"/>
    <x v="2"/>
  </r>
  <r>
    <s v="33115"/>
    <x v="242"/>
    <s v="Personnel"/>
    <s v="E "/>
    <s v="Elementary Grade Group K-6"/>
    <s v="PS26ES"/>
    <s v="PSES Elem Prog01Act26 S275"/>
    <n v="1"/>
    <x v="2"/>
    <m/>
    <n v="26"/>
    <s v="   "/>
    <n v="0.70299999999999996"/>
    <n v="0.22"/>
    <n v="0"/>
    <s v="Elementary Health/_x000a_Related Services"/>
    <x v="2"/>
  </r>
  <r>
    <s v="33115"/>
    <x v="242"/>
    <s v="Personnel"/>
    <s v="H "/>
    <s v="High Grade Group 9-12"/>
    <s v="PS35HS"/>
    <s v="PSES High Prog01Act35 S275"/>
    <n v="1"/>
    <x v="3"/>
    <m/>
    <n v="35"/>
    <s v="   "/>
    <n v="0.5"/>
    <n v="0.22"/>
    <n v="0"/>
    <s v="High Pupil Safety"/>
    <x v="3"/>
  </r>
  <r>
    <s v="33115"/>
    <x v="242"/>
    <s v="Personnel"/>
    <s v="E "/>
    <s v="Elementary Grade Group K-6"/>
    <s v="PS42ES"/>
    <s v="PSES Elem Prog01Duty42 S275"/>
    <n v="1"/>
    <x v="5"/>
    <n v="42"/>
    <m/>
    <s v="   "/>
    <n v="2.33"/>
    <n v="0.22"/>
    <n v="0"/>
    <s v="Elementary Counselor"/>
    <x v="5"/>
  </r>
  <r>
    <s v="33115"/>
    <x v="242"/>
    <s v="Personnel"/>
    <s v="H "/>
    <s v="High Grade Group 9-12"/>
    <s v="PS42HS"/>
    <s v="PSES High Prog01Duty42 S275"/>
    <n v="1"/>
    <x v="5"/>
    <n v="42"/>
    <m/>
    <s v="   "/>
    <n v="2"/>
    <n v="0.22"/>
    <n v="0"/>
    <s v="High Counselor"/>
    <x v="5"/>
  </r>
  <r>
    <s v="33115"/>
    <x v="242"/>
    <s v="Personnel"/>
    <s v="M "/>
    <s v="Middle Grade Group 7-8"/>
    <s v="PS42MS"/>
    <s v="PSES Mid Prog01Duty42 S275"/>
    <n v="1"/>
    <x v="5"/>
    <n v="42"/>
    <m/>
    <s v="   "/>
    <n v="0.67"/>
    <n v="0.22"/>
    <n v="0"/>
    <s v="Middle Counselor"/>
    <x v="5"/>
  </r>
  <r>
    <s v="33115"/>
    <x v="242"/>
    <s v="Personnel"/>
    <s v="E "/>
    <s v="Elementary Grade Group K-6"/>
    <s v="PS45E21S"/>
    <s v="PSES Elem Prog21Duty45 S275"/>
    <n v="21"/>
    <x v="7"/>
    <n v="45"/>
    <m/>
    <s v="   "/>
    <n v="2"/>
    <n v="0.22"/>
    <n v="0.44"/>
    <s v="Elementary Speech, Language Pathway/_x000a_Audio"/>
    <x v="7"/>
  </r>
  <r>
    <s v="33115"/>
    <x v="242"/>
    <s v="Personnel"/>
    <s v="E "/>
    <s v="Elementary Grade Group K-6"/>
    <s v="PS47ES"/>
    <s v="PSES Elem Prog01Duty47 S275"/>
    <n v="1"/>
    <x v="9"/>
    <n v="47"/>
    <m/>
    <s v="   "/>
    <n v="1"/>
    <n v="0.22"/>
    <n v="0"/>
    <s v="Elementary Nurse"/>
    <x v="9"/>
  </r>
  <r>
    <s v="33115"/>
    <x v="242"/>
    <s v="Personnel"/>
    <s v="H "/>
    <s v="High Grade Group 9-12"/>
    <s v="PS47HS"/>
    <s v="PSES High Prog01Duty47 S275"/>
    <n v="1"/>
    <x v="9"/>
    <n v="47"/>
    <m/>
    <s v="   "/>
    <n v="1"/>
    <n v="0.22"/>
    <n v="0"/>
    <s v="High Nurse"/>
    <x v="9"/>
  </r>
  <r>
    <s v="33115"/>
    <x v="242"/>
    <s v="Personnel"/>
    <s v="E "/>
    <s v="Elementary Grade Group K-6"/>
    <s v="PS48E21S"/>
    <s v="PSES Elem Prog21Duty48 S275"/>
    <n v="21"/>
    <x v="11"/>
    <n v="48"/>
    <m/>
    <s v="   "/>
    <n v="0.5"/>
    <n v="0.22"/>
    <n v="0.11"/>
    <s v="Elementary Physical Therapist"/>
    <x v="11"/>
  </r>
  <r>
    <s v="33115"/>
    <x v="242"/>
    <s v="Personnel"/>
    <s v="H "/>
    <s v="High Grade Group 9-12"/>
    <s v="PS48H21S"/>
    <s v="PSES High Prog21Duty48 S275"/>
    <n v="21"/>
    <x v="11"/>
    <n v="48"/>
    <m/>
    <s v="   "/>
    <n v="0.28599999999999998"/>
    <n v="0.22"/>
    <n v="6.3E-2"/>
    <s v="High Physical Therapist"/>
    <x v="11"/>
  </r>
  <r>
    <s v="33115"/>
    <x v="242"/>
    <s v="Personnel"/>
    <s v="M "/>
    <s v="Middle Grade Group 7-8"/>
    <s v="PS48M21S"/>
    <s v="PSES Mid Prog21Duty48 S275"/>
    <n v="21"/>
    <x v="11"/>
    <n v="48"/>
    <m/>
    <s v="   "/>
    <n v="0.14299999999999999"/>
    <n v="0.22"/>
    <n v="3.1E-2"/>
    <s v="Middle Physical Therapist"/>
    <x v="11"/>
  </r>
  <r>
    <s v="33183"/>
    <x v="243"/>
    <s v="Personnel"/>
    <s v="E "/>
    <s v="Elementary Grade Group K-6"/>
    <s v="PS24ES"/>
    <s v="PSES Elem Prog01Duty96 S275"/>
    <n v="1"/>
    <x v="0"/>
    <n v="96"/>
    <n v="24"/>
    <s v="   "/>
    <n v="0.315"/>
    <n v="0.23269999999999999"/>
    <n v="0"/>
    <s v="Elementary Family Engagement Coordinator"/>
    <x v="0"/>
  </r>
  <r>
    <s v="33202"/>
    <x v="244"/>
    <s v="Personnel"/>
    <s v="E "/>
    <s v="Elementary Grade Group K-6"/>
    <s v="PS42ES"/>
    <s v="PSES Elem Prog01Duty42 S275"/>
    <n v="1"/>
    <x v="5"/>
    <n v="42"/>
    <m/>
    <s v="   "/>
    <n v="0.19600000000000001"/>
    <n v="0.10150000000000001"/>
    <n v="0"/>
    <s v="Elementary Counselor"/>
    <x v="5"/>
  </r>
  <r>
    <s v="33202"/>
    <x v="244"/>
    <s v="Personnel"/>
    <s v="M "/>
    <s v="Middle Grade Group 7-8"/>
    <s v="PS42MS"/>
    <s v="PSES Mid Prog01Duty42 S275"/>
    <n v="1"/>
    <x v="5"/>
    <n v="42"/>
    <m/>
    <s v="   "/>
    <n v="5.5E-2"/>
    <n v="0.10150000000000001"/>
    <n v="0"/>
    <s v="Middle Counselor"/>
    <x v="5"/>
  </r>
  <r>
    <s v="33205"/>
    <x v="245"/>
    <s v="Personnel"/>
    <s v="E "/>
    <s v="Elementary Grade Group K-6"/>
    <s v="PS42ES"/>
    <s v="PSES Elem Prog01Duty42 S275"/>
    <n v="1"/>
    <x v="5"/>
    <n v="42"/>
    <m/>
    <s v="   "/>
    <n v="0.11899999999999999"/>
    <n v="0.08"/>
    <n v="0"/>
    <s v="Elementary Counselor"/>
    <x v="5"/>
  </r>
  <r>
    <s v="33206"/>
    <x v="246"/>
    <s v="Personnel"/>
    <s v="H "/>
    <s v="High Grade Group 9-12"/>
    <s v="PS42HS"/>
    <s v="PSES High Prog01Duty42 S275"/>
    <n v="1"/>
    <x v="5"/>
    <n v="42"/>
    <m/>
    <s v="   "/>
    <n v="0.15"/>
    <n v="0.1386"/>
    <n v="0"/>
    <s v="High Counselor"/>
    <x v="5"/>
  </r>
  <r>
    <s v="33206"/>
    <x v="246"/>
    <s v="Personnel"/>
    <s v="E "/>
    <s v="Elementary Grade Group K-6"/>
    <s v="PS47ES"/>
    <s v="PSES Elem Prog01Duty47 S275"/>
    <n v="1"/>
    <x v="9"/>
    <n v="47"/>
    <m/>
    <s v="   "/>
    <n v="0.127"/>
    <n v="0.1386"/>
    <n v="0"/>
    <s v="Elementary Nurse"/>
    <x v="9"/>
  </r>
  <r>
    <s v="33206"/>
    <x v="246"/>
    <s v="Personnel"/>
    <s v="H "/>
    <s v="High Grade Group 9-12"/>
    <s v="PS47HS"/>
    <s v="PSES High Prog01Duty47 S275"/>
    <n v="1"/>
    <x v="9"/>
    <n v="47"/>
    <m/>
    <s v="   "/>
    <n v="7.2999999999999995E-2"/>
    <n v="0.1386"/>
    <n v="0"/>
    <s v="High Nurse"/>
    <x v="9"/>
  </r>
  <r>
    <s v="33206"/>
    <x v="246"/>
    <s v="Personnel"/>
    <s v="M "/>
    <s v="Middle Grade Group 7-8"/>
    <s v="PS47MS"/>
    <s v="PSES Mid Prog01Duty47 S275"/>
    <n v="1"/>
    <x v="9"/>
    <n v="47"/>
    <m/>
    <s v="   "/>
    <n v="3.5000000000000003E-2"/>
    <n v="0.1386"/>
    <n v="0"/>
    <s v="Middle Nurse"/>
    <x v="9"/>
  </r>
  <r>
    <s v="33207"/>
    <x v="247"/>
    <s v="Personnel"/>
    <s v="H "/>
    <s v="High Grade Group 9-12"/>
    <s v="PS26HS"/>
    <s v="PSES High Prog01Act26 S275"/>
    <n v="1"/>
    <x v="2"/>
    <m/>
    <n v="26"/>
    <s v="   "/>
    <n v="0.38700000000000001"/>
    <n v="0.16839999999999999"/>
    <n v="0"/>
    <s v="High Health/_x000a_Related Services"/>
    <x v="2"/>
  </r>
  <r>
    <s v="33207"/>
    <x v="247"/>
    <s v="Personnel"/>
    <s v="H "/>
    <s v="High Grade Group 9-12"/>
    <s v="PS42HS"/>
    <s v="PSES High Prog01Duty42 S275"/>
    <n v="1"/>
    <x v="5"/>
    <n v="42"/>
    <m/>
    <s v="   "/>
    <n v="0.42299999999999999"/>
    <n v="0.16839999999999999"/>
    <n v="0"/>
    <s v="High Counselor"/>
    <x v="5"/>
  </r>
  <r>
    <s v="33211"/>
    <x v="248"/>
    <s v="Personnel"/>
    <s v="E "/>
    <s v="Elementary Grade Group K-6"/>
    <s v="PS26E21S"/>
    <s v="PSES Elem Prog21Act26 S275"/>
    <n v="21"/>
    <x v="2"/>
    <m/>
    <n v="26"/>
    <s v="   "/>
    <n v="0.42399999999999999"/>
    <n v="0.15840000000000001"/>
    <n v="6.7000000000000004E-2"/>
    <s v="Elementary Health/_x000a_Related Services"/>
    <x v="2"/>
  </r>
  <r>
    <s v="33211"/>
    <x v="248"/>
    <s v="Personnel"/>
    <s v="E "/>
    <s v="Elementary Grade Group K-6"/>
    <s v="PS26ES"/>
    <s v="PSES Elem Prog01Act26 S275"/>
    <n v="1"/>
    <x v="2"/>
    <m/>
    <n v="26"/>
    <s v="   "/>
    <n v="0.224"/>
    <n v="0.15840000000000001"/>
    <n v="0"/>
    <s v="Elementary Health/_x000a_Related Services"/>
    <x v="2"/>
  </r>
  <r>
    <s v="33211"/>
    <x v="248"/>
    <s v="Personnel"/>
    <s v="H "/>
    <s v="High Grade Group 9-12"/>
    <s v="PS26HS"/>
    <s v="PSES High Prog01Act26 S275"/>
    <n v="1"/>
    <x v="2"/>
    <m/>
    <n v="26"/>
    <s v="   "/>
    <n v="3.2000000000000001E-2"/>
    <n v="0.15840000000000001"/>
    <n v="0"/>
    <s v="High Health/_x000a_Related Services"/>
    <x v="2"/>
  </r>
  <r>
    <s v="33211"/>
    <x v="248"/>
    <s v="Personnel"/>
    <s v="M "/>
    <s v="Middle Grade Group 7-8"/>
    <s v="PS26MS"/>
    <s v="PSES Mid Prog01Act26 S275"/>
    <n v="1"/>
    <x v="2"/>
    <m/>
    <n v="26"/>
    <s v="   "/>
    <n v="3.2000000000000001E-2"/>
    <n v="0.15840000000000001"/>
    <n v="0"/>
    <s v="Middle Health/_x000a_Related Services"/>
    <x v="2"/>
  </r>
  <r>
    <s v="33212"/>
    <x v="249"/>
    <s v="Personnel"/>
    <s v="H "/>
    <s v="High Grade Group 9-12"/>
    <s v="PS26H21S"/>
    <s v="PSES High Prog21Act26 S275"/>
    <n v="21"/>
    <x v="2"/>
    <m/>
    <n v="26"/>
    <s v="   "/>
    <n v="0.39"/>
    <n v="0.2165"/>
    <n v="8.4000000000000005E-2"/>
    <s v="High Health/_x000a_Related Services"/>
    <x v="2"/>
  </r>
  <r>
    <s v="33212"/>
    <x v="249"/>
    <s v="Personnel"/>
    <s v="H "/>
    <s v="High Grade Group 9-12"/>
    <s v="PS26HS"/>
    <s v="PSES High Prog01Act26 S275"/>
    <n v="1"/>
    <x v="2"/>
    <m/>
    <n v="26"/>
    <s v="   "/>
    <n v="0.72099999999999997"/>
    <n v="0.2165"/>
    <n v="0"/>
    <s v="High Health/_x000a_Related Services"/>
    <x v="2"/>
  </r>
  <r>
    <s v="33212"/>
    <x v="249"/>
    <s v="Personnel"/>
    <s v="H "/>
    <s v="High Grade Group 9-12"/>
    <s v="PS35HS"/>
    <s v="PSES High Prog01Act35 S275"/>
    <n v="1"/>
    <x v="3"/>
    <m/>
    <n v="35"/>
    <s v="   "/>
    <n v="1.538"/>
    <n v="0.2165"/>
    <n v="0"/>
    <s v="High Pupil Safety"/>
    <x v="3"/>
  </r>
  <r>
    <s v="33212"/>
    <x v="249"/>
    <s v="Personnel"/>
    <s v="E "/>
    <s v="Elementary Grade Group K-6"/>
    <s v="PS42ES"/>
    <s v="PSES Elem Prog01Duty42 S275"/>
    <n v="1"/>
    <x v="5"/>
    <n v="42"/>
    <m/>
    <s v="   "/>
    <n v="1.5"/>
    <n v="0.2165"/>
    <n v="0"/>
    <s v="Elementary Counselor"/>
    <x v="5"/>
  </r>
  <r>
    <s v="33212"/>
    <x v="249"/>
    <s v="Personnel"/>
    <s v="H "/>
    <s v="High Grade Group 9-12"/>
    <s v="PS42HS"/>
    <s v="PSES High Prog01Duty42 S275"/>
    <n v="1"/>
    <x v="5"/>
    <n v="42"/>
    <m/>
    <s v="   "/>
    <n v="1"/>
    <n v="0.2165"/>
    <n v="0"/>
    <s v="High Counselor"/>
    <x v="5"/>
  </r>
  <r>
    <s v="33212"/>
    <x v="249"/>
    <s v="Personnel"/>
    <s v="M "/>
    <s v="Middle Grade Group 7-8"/>
    <s v="PS42MS"/>
    <s v="PSES Mid Prog01Duty42 S275"/>
    <n v="1"/>
    <x v="5"/>
    <n v="42"/>
    <m/>
    <s v="   "/>
    <n v="0.5"/>
    <n v="0.2165"/>
    <n v="0"/>
    <s v="Middle Counselor"/>
    <x v="5"/>
  </r>
  <r>
    <s v="33212"/>
    <x v="249"/>
    <s v="Personnel"/>
    <s v="E "/>
    <s v="Elementary Grade Group K-6"/>
    <s v="PS46ES"/>
    <s v="PSES Elem Prog01Duty46 S275"/>
    <n v="1"/>
    <x v="8"/>
    <n v="46"/>
    <m/>
    <s v="   "/>
    <n v="0.77700000000000002"/>
    <n v="0.2165"/>
    <n v="0"/>
    <s v="Elementary Psychologist"/>
    <x v="8"/>
  </r>
  <r>
    <s v="33212"/>
    <x v="249"/>
    <s v="Personnel"/>
    <s v="H "/>
    <s v="High Grade Group 9-12"/>
    <s v="PS46H21S"/>
    <s v="PSES High Prog21Duty46 S275"/>
    <n v="21"/>
    <x v="8"/>
    <n v="46"/>
    <m/>
    <s v="   "/>
    <n v="0.2"/>
    <n v="0.2165"/>
    <n v="4.2999999999999997E-2"/>
    <s v="High Psychologist"/>
    <x v="8"/>
  </r>
  <r>
    <s v="33212"/>
    <x v="249"/>
    <s v="Personnel"/>
    <s v="M "/>
    <s v="Middle Grade Group 7-8"/>
    <s v="PS46M21S"/>
    <s v="PSES Mid Prog21Duty46 S275"/>
    <n v="21"/>
    <x v="8"/>
    <n v="46"/>
    <m/>
    <s v="   "/>
    <n v="0.1"/>
    <n v="0.2165"/>
    <n v="2.1999999999999999E-2"/>
    <s v="Middle Psychologist"/>
    <x v="8"/>
  </r>
  <r>
    <s v="33212"/>
    <x v="249"/>
    <s v="Personnel"/>
    <s v="M "/>
    <s v="Middle Grade Group 7-8"/>
    <s v="PS46MS"/>
    <s v="PSES Mid Prog01Duty46 S275"/>
    <n v="1"/>
    <x v="8"/>
    <n v="46"/>
    <m/>
    <s v="   "/>
    <n v="0.223"/>
    <n v="0.2165"/>
    <n v="0"/>
    <s v="Middle Psychologist"/>
    <x v="8"/>
  </r>
  <r>
    <s v="34002"/>
    <x v="250"/>
    <s v="Personnel"/>
    <s v="H "/>
    <s v="High Grade Group 9-12"/>
    <s v="PS25H21S"/>
    <s v="PSES High Prog21Act25 S275"/>
    <n v="21"/>
    <x v="1"/>
    <m/>
    <n v="25"/>
    <s v="   "/>
    <n v="4.4329999999999998"/>
    <n v="0.24759999999999999"/>
    <n v="1.0980000000000001"/>
    <s v="High Pupil Management"/>
    <x v="1"/>
  </r>
  <r>
    <s v="34002"/>
    <x v="250"/>
    <s v="Personnel"/>
    <s v="H "/>
    <s v="High Grade Group 9-12"/>
    <s v="PS25HS"/>
    <s v="PSES High Prog01Act25 S275"/>
    <n v="1"/>
    <x v="1"/>
    <m/>
    <n v="25"/>
    <s v="   "/>
    <n v="5.9569999999999999"/>
    <n v="0.24759999999999999"/>
    <n v="0"/>
    <s v="High Pupil Management"/>
    <x v="1"/>
  </r>
  <r>
    <s v="34002"/>
    <x v="250"/>
    <s v="Personnel"/>
    <s v="H "/>
    <s v="High Grade Group 9-12"/>
    <s v="PS26H21S"/>
    <s v="PSES High Prog21Act26 S275"/>
    <n v="21"/>
    <x v="2"/>
    <m/>
    <n v="26"/>
    <s v="   "/>
    <n v="0.95899999999999996"/>
    <n v="0.24759999999999999"/>
    <n v="0.23699999999999999"/>
    <s v="High Health/_x000a_Related Services"/>
    <x v="2"/>
  </r>
  <r>
    <s v="34002"/>
    <x v="250"/>
    <s v="Personnel"/>
    <s v="H "/>
    <s v="High Grade Group 9-12"/>
    <s v="PS26HS"/>
    <s v="PSES High Prog01Act26 S275"/>
    <n v="1"/>
    <x v="2"/>
    <m/>
    <n v="26"/>
    <s v="   "/>
    <n v="4.758"/>
    <n v="0.24759999999999999"/>
    <n v="0"/>
    <s v="High Health/_x000a_Related Services"/>
    <x v="2"/>
  </r>
  <r>
    <s v="34002"/>
    <x v="250"/>
    <s v="Personnel"/>
    <s v="H "/>
    <s v="High Grade Group 9-12"/>
    <s v="PS35HS"/>
    <s v="PSES High Prog01Act35 S275"/>
    <n v="1"/>
    <x v="3"/>
    <m/>
    <n v="35"/>
    <s v="   "/>
    <n v="2.1930000000000001"/>
    <n v="0.24759999999999999"/>
    <n v="0"/>
    <s v="High Pupil Safety"/>
    <x v="3"/>
  </r>
  <r>
    <s v="34002"/>
    <x v="250"/>
    <s v="Personnel"/>
    <s v="E "/>
    <s v="Elementary Grade Group K-6"/>
    <s v="PS42ES"/>
    <s v="PSES Elem Prog01Duty42 S275"/>
    <n v="1"/>
    <x v="5"/>
    <n v="42"/>
    <m/>
    <s v="   "/>
    <n v="3.29"/>
    <n v="0.24759999999999999"/>
    <n v="0"/>
    <s v="Elementary Counselor"/>
    <x v="5"/>
  </r>
  <r>
    <s v="34002"/>
    <x v="250"/>
    <s v="Personnel"/>
    <s v="H "/>
    <s v="High Grade Group 9-12"/>
    <s v="PS42HS"/>
    <s v="PSES High Prog01Duty42 S275"/>
    <n v="1"/>
    <x v="5"/>
    <n v="42"/>
    <m/>
    <s v="   "/>
    <n v="4"/>
    <n v="0.24759999999999999"/>
    <n v="0"/>
    <s v="High Counselor"/>
    <x v="5"/>
  </r>
  <r>
    <s v="34002"/>
    <x v="250"/>
    <s v="Personnel"/>
    <s v="M "/>
    <s v="Middle Grade Group 7-8"/>
    <s v="PS42MS"/>
    <s v="PSES Mid Prog01Duty42 S275"/>
    <n v="1"/>
    <x v="5"/>
    <n v="42"/>
    <m/>
    <s v="   "/>
    <n v="3"/>
    <n v="0.24759999999999999"/>
    <n v="0"/>
    <s v="Middle Counselor"/>
    <x v="5"/>
  </r>
  <r>
    <s v="34002"/>
    <x v="250"/>
    <s v="Personnel"/>
    <s v="E "/>
    <s v="Elementary Grade Group K-6"/>
    <s v="PS43E21S"/>
    <s v="PSES Elem Prog21Duty43 S275"/>
    <n v="21"/>
    <x v="6"/>
    <n v="43"/>
    <m/>
    <s v="   "/>
    <n v="0.66600000000000004"/>
    <n v="0.24759999999999999"/>
    <n v="0.16500000000000001"/>
    <s v="Elementary Occupational Therapist"/>
    <x v="6"/>
  </r>
  <r>
    <s v="34002"/>
    <x v="250"/>
    <s v="Personnel"/>
    <s v="H "/>
    <s v="High Grade Group 9-12"/>
    <s v="PS43H21S"/>
    <s v="PSES High Prog21Duty43 S275"/>
    <n v="21"/>
    <x v="6"/>
    <n v="43"/>
    <m/>
    <s v="   "/>
    <n v="0.112"/>
    <n v="0.24759999999999999"/>
    <n v="2.8000000000000001E-2"/>
    <s v="High Occupational Therapist"/>
    <x v="6"/>
  </r>
  <r>
    <s v="34002"/>
    <x v="250"/>
    <s v="Personnel"/>
    <s v="M "/>
    <s v="Middle Grade Group 7-8"/>
    <s v="PS43M21S"/>
    <s v="PSES Mid Prog21Duty43 S275"/>
    <n v="21"/>
    <x v="6"/>
    <n v="43"/>
    <m/>
    <s v="   "/>
    <n v="0.111"/>
    <n v="0.24759999999999999"/>
    <n v="2.7E-2"/>
    <s v="Middle Occupational Therapist"/>
    <x v="6"/>
  </r>
  <r>
    <s v="34002"/>
    <x v="250"/>
    <s v="Personnel"/>
    <s v="E "/>
    <s v="Elementary Grade Group K-6"/>
    <s v="PS45E21S"/>
    <s v="PSES Elem Prog21Duty45 S275"/>
    <n v="21"/>
    <x v="7"/>
    <n v="45"/>
    <m/>
    <s v="   "/>
    <n v="3"/>
    <n v="0.24759999999999999"/>
    <n v="0.74299999999999999"/>
    <s v="Elementary Speech, Language Pathway/_x000a_Audio"/>
    <x v="7"/>
  </r>
  <r>
    <s v="34002"/>
    <x v="250"/>
    <s v="Personnel"/>
    <s v="E "/>
    <s v="Elementary Grade Group K-6"/>
    <s v="PS46E21S"/>
    <s v="PSES Elem Prog21Duty46 S275"/>
    <n v="21"/>
    <x v="8"/>
    <n v="46"/>
    <m/>
    <s v="   "/>
    <n v="2.6150000000000002"/>
    <n v="0.24759999999999999"/>
    <n v="0.64700000000000002"/>
    <s v="Elementary Psychologist"/>
    <x v="8"/>
  </r>
  <r>
    <s v="34002"/>
    <x v="250"/>
    <s v="Personnel"/>
    <s v="H "/>
    <s v="High Grade Group 9-12"/>
    <s v="PS46H21S"/>
    <s v="PSES High Prog21Duty46 S275"/>
    <n v="21"/>
    <x v="8"/>
    <n v="46"/>
    <m/>
    <s v="   "/>
    <n v="3.0880000000000001"/>
    <n v="0.24759999999999999"/>
    <n v="0.76500000000000001"/>
    <s v="High Psychologist"/>
    <x v="8"/>
  </r>
  <r>
    <s v="34002"/>
    <x v="250"/>
    <s v="Personnel"/>
    <s v="M "/>
    <s v="Middle Grade Group 7-8"/>
    <s v="PS46M21S"/>
    <s v="PSES Mid Prog21Duty46 S275"/>
    <n v="21"/>
    <x v="8"/>
    <n v="46"/>
    <m/>
    <s v="   "/>
    <n v="1.1759999999999999"/>
    <n v="0.24759999999999999"/>
    <n v="0.29099999999999998"/>
    <s v="Middle Psychologist"/>
    <x v="8"/>
  </r>
  <r>
    <s v="34002"/>
    <x v="250"/>
    <s v="Personnel"/>
    <s v="E "/>
    <s v="Elementary Grade Group K-6"/>
    <s v="PS47ES"/>
    <s v="PSES Elem Prog01Duty47 S275"/>
    <n v="1"/>
    <x v="9"/>
    <n v="47"/>
    <m/>
    <s v="   "/>
    <n v="1.9379999999999999"/>
    <n v="0.24759999999999999"/>
    <n v="0"/>
    <s v="Elementary Nurse"/>
    <x v="9"/>
  </r>
  <r>
    <s v="34002"/>
    <x v="250"/>
    <s v="Personnel"/>
    <s v="H "/>
    <s v="High Grade Group 9-12"/>
    <s v="PS47HS"/>
    <s v="PSES High Prog01Duty47 S275"/>
    <n v="1"/>
    <x v="9"/>
    <n v="47"/>
    <m/>
    <s v="   "/>
    <n v="1.508"/>
    <n v="0.24759999999999999"/>
    <n v="0"/>
    <s v="High Nurse"/>
    <x v="9"/>
  </r>
  <r>
    <s v="34002"/>
    <x v="250"/>
    <s v="Personnel"/>
    <s v="M "/>
    <s v="Middle Grade Group 7-8"/>
    <s v="PS47MS"/>
    <s v="PSES Mid Prog01Duty47 S275"/>
    <n v="1"/>
    <x v="9"/>
    <n v="47"/>
    <m/>
    <s v="   "/>
    <n v="0.55400000000000005"/>
    <n v="0.24759999999999999"/>
    <n v="0"/>
    <s v="Middle Nurse"/>
    <x v="9"/>
  </r>
  <r>
    <s v="34002"/>
    <x v="250"/>
    <s v="Personnel"/>
    <s v="E "/>
    <s v="Elementary Grade Group K-6"/>
    <s v="PS48E21S"/>
    <s v="PSES Elem Prog21Duty48 S275"/>
    <n v="21"/>
    <x v="11"/>
    <n v="48"/>
    <m/>
    <s v="   "/>
    <n v="1"/>
    <n v="0.24759999999999999"/>
    <n v="0.248"/>
    <s v="Elementary Physical Therapist"/>
    <x v="11"/>
  </r>
  <r>
    <s v="34002"/>
    <x v="250"/>
    <s v="Personnel"/>
    <m/>
    <s v="Elementary Grade Group K-6"/>
    <s v="PS25E09S"/>
    <s v="PSES Elem Prog09Duty25 S275"/>
    <n v="9"/>
    <x v="1"/>
    <n v="91"/>
    <n v="25"/>
    <m/>
    <n v="4.3999999999999997E-2"/>
    <n v="0.24759999999999999"/>
    <n v="0"/>
    <s v="TK Pupil Management"/>
    <x v="1"/>
  </r>
  <r>
    <s v="34002"/>
    <x v="250"/>
    <s v="Personnel"/>
    <m/>
    <s v="Elementary Grade Group K-6"/>
    <s v="PS25E09S"/>
    <s v="PSES Elem Prog09Duty25 S275"/>
    <n v="9"/>
    <x v="1"/>
    <n v="91"/>
    <n v="25"/>
    <m/>
    <n v="6.6000000000000003E-2"/>
    <n v="0.24759999999999999"/>
    <n v="0"/>
    <s v="TK Pupil Management"/>
    <x v="1"/>
  </r>
  <r>
    <s v="34003"/>
    <x v="251"/>
    <s v="Personnel"/>
    <s v="H "/>
    <s v="High Grade Group 9-12"/>
    <s v="PS25H21S"/>
    <s v="PSES High Prog21Act25 S275"/>
    <n v="21"/>
    <x v="1"/>
    <m/>
    <n v="25"/>
    <s v="   "/>
    <n v="5.8140000000000001"/>
    <n v="0.25950000000000001"/>
    <n v="1.5089999999999999"/>
    <s v="High Pupil Management"/>
    <x v="1"/>
  </r>
  <r>
    <s v="34003"/>
    <x v="251"/>
    <s v="Personnel"/>
    <s v="H "/>
    <s v="High Grade Group 9-12"/>
    <s v="PS25HS"/>
    <s v="PSES High Prog01Act25 S275"/>
    <n v="1"/>
    <x v="1"/>
    <m/>
    <n v="25"/>
    <s v="   "/>
    <n v="24.23"/>
    <n v="0.25950000000000001"/>
    <n v="0"/>
    <s v="High Pupil Management"/>
    <x v="1"/>
  </r>
  <r>
    <s v="34003"/>
    <x v="251"/>
    <s v="Personnel"/>
    <s v="H "/>
    <s v="High Grade Group 9-12"/>
    <s v="PS26H21S"/>
    <s v="PSES High Prog21Act26 S275"/>
    <n v="21"/>
    <x v="2"/>
    <m/>
    <n v="26"/>
    <s v="   "/>
    <n v="2.8159999999999998"/>
    <n v="0.25950000000000001"/>
    <n v="0.73099999999999998"/>
    <s v="High Health/_x000a_Related Services"/>
    <x v="2"/>
  </r>
  <r>
    <s v="34003"/>
    <x v="251"/>
    <s v="Personnel"/>
    <s v="H "/>
    <s v="High Grade Group 9-12"/>
    <s v="PS26HS"/>
    <s v="PSES High Prog01Act26 S275"/>
    <n v="1"/>
    <x v="2"/>
    <m/>
    <n v="26"/>
    <s v="   "/>
    <n v="14.686999999999999"/>
    <n v="0.25950000000000001"/>
    <n v="0"/>
    <s v="High Health/_x000a_Related Services"/>
    <x v="2"/>
  </r>
  <r>
    <s v="34003"/>
    <x v="251"/>
    <s v="Personnel"/>
    <s v="H "/>
    <s v="High Grade Group 9-12"/>
    <s v="PS35HS"/>
    <s v="PSES High Prog01Act35 S275"/>
    <n v="1"/>
    <x v="3"/>
    <m/>
    <n v="35"/>
    <s v="   "/>
    <n v="2.5449999999999999"/>
    <n v="0.25950000000000001"/>
    <n v="0"/>
    <s v="High Pupil Safety"/>
    <x v="3"/>
  </r>
  <r>
    <s v="34003"/>
    <x v="251"/>
    <s v="Personnel"/>
    <s v="E "/>
    <s v="Elementary Grade Group K-6"/>
    <s v="PS42ES"/>
    <s v="PSES Elem Prog01Duty42 S275"/>
    <n v="1"/>
    <x v="5"/>
    <n v="42"/>
    <m/>
    <s v="   "/>
    <n v="16.132999999999999"/>
    <n v="0.25950000000000001"/>
    <n v="0"/>
    <s v="Elementary Counselor"/>
    <x v="5"/>
  </r>
  <r>
    <s v="34003"/>
    <x v="251"/>
    <s v="Personnel"/>
    <s v="H "/>
    <s v="High Grade Group 9-12"/>
    <s v="PS42HS"/>
    <s v="PSES High Prog01Duty42 S275"/>
    <n v="1"/>
    <x v="5"/>
    <n v="42"/>
    <m/>
    <s v="   "/>
    <n v="12"/>
    <n v="0.25950000000000001"/>
    <n v="0"/>
    <s v="High Counselor"/>
    <x v="5"/>
  </r>
  <r>
    <s v="34003"/>
    <x v="251"/>
    <s v="Personnel"/>
    <s v="M "/>
    <s v="Middle Grade Group 7-8"/>
    <s v="PS42MS"/>
    <s v="PSES Mid Prog01Duty42 S275"/>
    <n v="1"/>
    <x v="5"/>
    <n v="42"/>
    <m/>
    <s v="   "/>
    <n v="5.4020000000000001"/>
    <n v="0.25950000000000001"/>
    <n v="0"/>
    <s v="Middle Counselor"/>
    <x v="5"/>
  </r>
  <r>
    <s v="34003"/>
    <x v="251"/>
    <s v="Personnel"/>
    <s v="E "/>
    <s v="Elementary Grade Group K-6"/>
    <s v="PS43E21S"/>
    <s v="PSES Elem Prog21Duty43 S275"/>
    <n v="21"/>
    <x v="6"/>
    <n v="43"/>
    <m/>
    <s v="   "/>
    <n v="8.2210000000000001"/>
    <n v="0.25950000000000001"/>
    <n v="2.133"/>
    <s v="Elementary Occupational Therapist"/>
    <x v="6"/>
  </r>
  <r>
    <s v="34003"/>
    <x v="251"/>
    <s v="Personnel"/>
    <s v="H "/>
    <s v="High Grade Group 9-12"/>
    <s v="PS43H21S"/>
    <s v="PSES High Prog21Duty43 S275"/>
    <n v="21"/>
    <x v="6"/>
    <n v="43"/>
    <m/>
    <s v="   "/>
    <n v="1.673"/>
    <n v="0.25950000000000001"/>
    <n v="0.434"/>
    <s v="High Occupational Therapist"/>
    <x v="6"/>
  </r>
  <r>
    <s v="34003"/>
    <x v="251"/>
    <s v="Personnel"/>
    <s v="M "/>
    <s v="Middle Grade Group 7-8"/>
    <s v="PS43M21S"/>
    <s v="PSES Mid Prog21Duty43 S275"/>
    <n v="21"/>
    <x v="6"/>
    <n v="43"/>
    <m/>
    <s v="   "/>
    <n v="1.1060000000000001"/>
    <n v="0.25950000000000001"/>
    <n v="0.28699999999999998"/>
    <s v="Middle Occupational Therapist"/>
    <x v="6"/>
  </r>
  <r>
    <s v="34003"/>
    <x v="251"/>
    <s v="Personnel"/>
    <s v="E "/>
    <s v="Elementary Grade Group K-6"/>
    <s v="PS45E21S"/>
    <s v="PSES Elem Prog21Duty45 S275"/>
    <n v="21"/>
    <x v="7"/>
    <n v="45"/>
    <m/>
    <s v="   "/>
    <n v="25.202000000000002"/>
    <n v="0.25950000000000001"/>
    <n v="6.54"/>
    <s v="Elementary Speech, Language Pathway/_x000a_Audio"/>
    <x v="7"/>
  </r>
  <r>
    <s v="34003"/>
    <x v="251"/>
    <s v="Personnel"/>
    <s v="H "/>
    <s v="High Grade Group 9-12"/>
    <s v="PS45H21S"/>
    <s v="PSES High Prog21Duty45 S275"/>
    <n v="21"/>
    <x v="7"/>
    <n v="45"/>
    <m/>
    <s v="   "/>
    <n v="4.5110000000000001"/>
    <n v="0.25950000000000001"/>
    <n v="1.171"/>
    <s v="High Speech, Language Pathway/_x000a_Audio"/>
    <x v="7"/>
  </r>
  <r>
    <s v="34003"/>
    <x v="251"/>
    <s v="Personnel"/>
    <s v="M "/>
    <s v="Middle Grade Group 7-8"/>
    <s v="PS45M21S"/>
    <s v="PSES Mid Prog21Duty45 S275"/>
    <n v="21"/>
    <x v="7"/>
    <n v="45"/>
    <m/>
    <s v="   "/>
    <n v="3.3540000000000001"/>
    <n v="0.25950000000000001"/>
    <n v="0.87"/>
    <s v="Middle Speech, Language Pathway/_x000a_Audio"/>
    <x v="7"/>
  </r>
  <r>
    <s v="34003"/>
    <x v="251"/>
    <s v="Personnel"/>
    <s v="E "/>
    <s v="Elementary Grade Group K-6"/>
    <s v="PS46E21S"/>
    <s v="PSES Elem Prog21Duty46 S275"/>
    <n v="21"/>
    <x v="8"/>
    <n v="46"/>
    <m/>
    <s v="   "/>
    <n v="12.516999999999999"/>
    <n v="0.25950000000000001"/>
    <n v="3.2480000000000002"/>
    <s v="Elementary Psychologist"/>
    <x v="8"/>
  </r>
  <r>
    <s v="34003"/>
    <x v="251"/>
    <s v="Personnel"/>
    <s v="H "/>
    <s v="High Grade Group 9-12"/>
    <s v="PS46H21S"/>
    <s v="PSES High Prog21Duty46 S275"/>
    <n v="21"/>
    <x v="8"/>
    <n v="46"/>
    <m/>
    <s v="   "/>
    <n v="4.9669999999999996"/>
    <n v="0.25950000000000001"/>
    <n v="1.2889999999999999"/>
    <s v="High Psychologist"/>
    <x v="8"/>
  </r>
  <r>
    <s v="34003"/>
    <x v="251"/>
    <s v="Personnel"/>
    <s v="M "/>
    <s v="Middle Grade Group 7-8"/>
    <s v="PS46M21S"/>
    <s v="PSES Mid Prog21Duty46 S275"/>
    <n v="21"/>
    <x v="8"/>
    <n v="46"/>
    <m/>
    <s v="   "/>
    <n v="2.2200000000000002"/>
    <n v="0.25950000000000001"/>
    <n v="0.57599999999999996"/>
    <s v="Middle Psychologist"/>
    <x v="8"/>
  </r>
  <r>
    <s v="34003"/>
    <x v="251"/>
    <s v="Personnel"/>
    <s v="E "/>
    <s v="Elementary Grade Group K-6"/>
    <s v="PS47ES"/>
    <s v="PSES Elem Prog01Duty47 S275"/>
    <n v="1"/>
    <x v="9"/>
    <n v="47"/>
    <m/>
    <s v="   "/>
    <n v="11.327999999999999"/>
    <n v="0.25950000000000001"/>
    <n v="0"/>
    <s v="Elementary Nurse"/>
    <x v="9"/>
  </r>
  <r>
    <s v="34003"/>
    <x v="251"/>
    <s v="Personnel"/>
    <s v="H "/>
    <s v="High Grade Group 9-12"/>
    <s v="PS47HS"/>
    <s v="PSES High Prog01Duty47 S275"/>
    <n v="1"/>
    <x v="9"/>
    <n v="47"/>
    <m/>
    <s v="   "/>
    <n v="6.2"/>
    <n v="0.25950000000000001"/>
    <n v="0"/>
    <s v="High Nurse"/>
    <x v="9"/>
  </r>
  <r>
    <s v="34003"/>
    <x v="251"/>
    <s v="Personnel"/>
    <s v="M "/>
    <s v="Middle Grade Group 7-8"/>
    <s v="PS47MS"/>
    <s v="PSES Mid Prog01Duty47 S275"/>
    <n v="1"/>
    <x v="9"/>
    <n v="47"/>
    <m/>
    <s v="   "/>
    <n v="3.472"/>
    <n v="0.25950000000000001"/>
    <n v="0"/>
    <s v="Middle Nurse"/>
    <x v="9"/>
  </r>
  <r>
    <s v="34003"/>
    <x v="251"/>
    <s v="Personnel"/>
    <s v="E "/>
    <s v="Elementary Grade Group K-6"/>
    <s v="PS48E21S"/>
    <s v="PSES Elem Prog21Duty48 S275"/>
    <n v="21"/>
    <x v="11"/>
    <n v="48"/>
    <m/>
    <s v="   "/>
    <n v="3.2029999999999998"/>
    <n v="0.25950000000000001"/>
    <n v="0.83099999999999996"/>
    <s v="Elementary Physical Therapist"/>
    <x v="11"/>
  </r>
  <r>
    <s v="34003"/>
    <x v="251"/>
    <s v="Personnel"/>
    <s v="H "/>
    <s v="High Grade Group 9-12"/>
    <s v="PS48H21S"/>
    <s v="PSES High Prog21Duty48 S275"/>
    <n v="21"/>
    <x v="11"/>
    <n v="48"/>
    <m/>
    <s v="   "/>
    <n v="0.70699999999999996"/>
    <n v="0.25950000000000001"/>
    <n v="0.183"/>
    <s v="High Physical Therapist"/>
    <x v="11"/>
  </r>
  <r>
    <s v="34003"/>
    <x v="251"/>
    <s v="Personnel"/>
    <s v="M "/>
    <s v="Middle Grade Group 7-8"/>
    <s v="PS48M21S"/>
    <s v="PSES Mid Prog21Duty48 S275"/>
    <n v="21"/>
    <x v="11"/>
    <n v="48"/>
    <m/>
    <s v="   "/>
    <n v="0.79"/>
    <n v="0.25950000000000001"/>
    <n v="0.20499999999999999"/>
    <s v="Middle Physical Therapist"/>
    <x v="11"/>
  </r>
  <r>
    <s v="34033"/>
    <x v="252"/>
    <s v="Personnel"/>
    <s v="E "/>
    <s v="Elementary Grade Group K-6"/>
    <s v="PS25E21S"/>
    <s v="PSES Elem Prog21Act25 S275"/>
    <n v="21"/>
    <x v="1"/>
    <m/>
    <n v="25"/>
    <s v="   "/>
    <n v="1.3620000000000001"/>
    <n v="0.2641"/>
    <n v="0.36"/>
    <s v="Elementary Pupil Management"/>
    <x v="1"/>
  </r>
  <r>
    <s v="34033"/>
    <x v="252"/>
    <s v="Personnel"/>
    <s v="E "/>
    <s v="Elementary Grade Group K-6"/>
    <s v="PS25ES"/>
    <s v="PSES Elem Prog01Act25 S275"/>
    <n v="1"/>
    <x v="1"/>
    <m/>
    <n v="25"/>
    <s v="   "/>
    <n v="4.1340000000000003"/>
    <n v="0.2641"/>
    <n v="0"/>
    <s v="Elementary Pupil Management"/>
    <x v="1"/>
  </r>
  <r>
    <s v="34033"/>
    <x v="252"/>
    <s v="Personnel"/>
    <s v="H "/>
    <s v="High Grade Group 9-12"/>
    <s v="PS25H21S"/>
    <s v="PSES High Prog21Act25 S275"/>
    <n v="21"/>
    <x v="1"/>
    <m/>
    <n v="25"/>
    <s v="   "/>
    <n v="9.1999999999999998E-2"/>
    <n v="0.2641"/>
    <n v="2.4E-2"/>
    <s v="High Pupil Management"/>
    <x v="1"/>
  </r>
  <r>
    <s v="34033"/>
    <x v="252"/>
    <s v="Personnel"/>
    <s v="H "/>
    <s v="High Grade Group 9-12"/>
    <s v="PS25H97S"/>
    <s v="PSES High Prog97Act25 S275"/>
    <n v="97"/>
    <x v="1"/>
    <m/>
    <n v="25"/>
    <s v="   "/>
    <n v="1"/>
    <n v="0.2641"/>
    <n v="0"/>
    <s v="High Pupil Management"/>
    <x v="1"/>
  </r>
  <r>
    <s v="34033"/>
    <x v="252"/>
    <s v="Personnel"/>
    <s v="H "/>
    <s v="High Grade Group 9-12"/>
    <s v="PS25HS"/>
    <s v="PSES High Prog01Act25 S275"/>
    <n v="1"/>
    <x v="1"/>
    <m/>
    <n v="25"/>
    <s v="   "/>
    <n v="5.39"/>
    <n v="0.2641"/>
    <n v="0"/>
    <s v="High Pupil Management"/>
    <x v="1"/>
  </r>
  <r>
    <s v="34033"/>
    <x v="252"/>
    <s v="Personnel"/>
    <s v="M "/>
    <s v="Middle Grade Group 7-8"/>
    <s v="PS25M21S"/>
    <s v="PSES Mid Prog21Act25 S275"/>
    <n v="21"/>
    <x v="1"/>
    <m/>
    <n v="25"/>
    <s v="   "/>
    <n v="0.13600000000000001"/>
    <n v="0.2641"/>
    <n v="3.5999999999999997E-2"/>
    <s v="Middle Pupil Management"/>
    <x v="1"/>
  </r>
  <r>
    <s v="34033"/>
    <x v="252"/>
    <s v="Personnel"/>
    <s v="M "/>
    <s v="Middle Grade Group 7-8"/>
    <s v="PS25MS"/>
    <s v="PSES Mid Prog01Act25 S275"/>
    <n v="1"/>
    <x v="1"/>
    <m/>
    <n v="25"/>
    <s v="   "/>
    <n v="1.2330000000000001"/>
    <n v="0.2641"/>
    <n v="0"/>
    <s v="Middle Pupil Management"/>
    <x v="1"/>
  </r>
  <r>
    <s v="34033"/>
    <x v="252"/>
    <s v="Personnel"/>
    <s v="E "/>
    <s v="Elementary Grade Group K-6"/>
    <s v="PS26E21S"/>
    <s v="PSES Elem Prog21Act26 S275"/>
    <n v="21"/>
    <x v="2"/>
    <m/>
    <n v="26"/>
    <s v="   "/>
    <n v="6.1379999999999999"/>
    <n v="0.2641"/>
    <n v="1.621"/>
    <s v="Elementary Health/_x000a_Related Services"/>
    <x v="2"/>
  </r>
  <r>
    <s v="34033"/>
    <x v="252"/>
    <s v="Personnel"/>
    <s v="E "/>
    <s v="Elementary Grade Group K-6"/>
    <s v="PS26ES"/>
    <s v="PSES Elem Prog01Act26 S275"/>
    <n v="1"/>
    <x v="2"/>
    <m/>
    <n v="26"/>
    <s v="   "/>
    <n v="3.5550000000000002"/>
    <n v="0.2641"/>
    <n v="0"/>
    <s v="Elementary Health/_x000a_Related Services"/>
    <x v="2"/>
  </r>
  <r>
    <s v="34033"/>
    <x v="252"/>
    <s v="Personnel"/>
    <s v="H "/>
    <s v="High Grade Group 9-12"/>
    <s v="PS26H21S"/>
    <s v="PSES High Prog21Act26 S275"/>
    <n v="21"/>
    <x v="2"/>
    <m/>
    <n v="26"/>
    <s v="   "/>
    <n v="5.2140000000000004"/>
    <n v="0.2641"/>
    <n v="1.377"/>
    <s v="High Health/_x000a_Related Services"/>
    <x v="2"/>
  </r>
  <r>
    <s v="34033"/>
    <x v="252"/>
    <s v="Personnel"/>
    <s v="H "/>
    <s v="High Grade Group 9-12"/>
    <s v="PS26HS"/>
    <s v="PSES High Prog01Act26 S275"/>
    <n v="1"/>
    <x v="2"/>
    <m/>
    <n v="26"/>
    <s v="   "/>
    <n v="1.476"/>
    <n v="0.2641"/>
    <n v="0"/>
    <s v="High Health/_x000a_Related Services"/>
    <x v="2"/>
  </r>
  <r>
    <s v="34033"/>
    <x v="252"/>
    <s v="Personnel"/>
    <s v="M "/>
    <s v="Middle Grade Group 7-8"/>
    <s v="PS26MS"/>
    <s v="PSES Mid Prog01Act26 S275"/>
    <n v="1"/>
    <x v="2"/>
    <m/>
    <n v="26"/>
    <s v="   "/>
    <n v="1.292"/>
    <n v="0.2641"/>
    <n v="0"/>
    <s v="Middle Health/_x000a_Related Services"/>
    <x v="2"/>
  </r>
  <r>
    <s v="34033"/>
    <x v="252"/>
    <s v="Personnel"/>
    <s v="E "/>
    <s v="Elementary Grade Group K-6"/>
    <s v="PS42ES"/>
    <s v="PSES Elem Prog01Duty42 S275"/>
    <n v="1"/>
    <x v="5"/>
    <n v="42"/>
    <m/>
    <s v="   "/>
    <n v="8.1660000000000004"/>
    <n v="0.2641"/>
    <n v="0"/>
    <s v="Elementary Counselor"/>
    <x v="5"/>
  </r>
  <r>
    <s v="34033"/>
    <x v="252"/>
    <s v="Personnel"/>
    <s v="H "/>
    <s v="High Grade Group 9-12"/>
    <s v="PS42HS"/>
    <s v="PSES High Prog01Duty42 S275"/>
    <n v="1"/>
    <x v="5"/>
    <n v="42"/>
    <m/>
    <s v="   "/>
    <n v="6.2"/>
    <n v="0.2641"/>
    <n v="0"/>
    <s v="High Counselor"/>
    <x v="5"/>
  </r>
  <r>
    <s v="34033"/>
    <x v="252"/>
    <s v="Personnel"/>
    <s v="M "/>
    <s v="Middle Grade Group 7-8"/>
    <s v="PS42MS"/>
    <s v="PSES Mid Prog01Duty42 S275"/>
    <n v="1"/>
    <x v="5"/>
    <n v="42"/>
    <m/>
    <s v="   "/>
    <n v="3.3340000000000001"/>
    <n v="0.2641"/>
    <n v="0"/>
    <s v="Middle Counselor"/>
    <x v="5"/>
  </r>
  <r>
    <s v="34033"/>
    <x v="252"/>
    <s v="Personnel"/>
    <s v="E "/>
    <s v="Elementary Grade Group K-6"/>
    <s v="PS43E21S"/>
    <s v="PSES Elem Prog21Duty43 S275"/>
    <n v="21"/>
    <x v="6"/>
    <n v="43"/>
    <m/>
    <s v="   "/>
    <n v="2.4300000000000002"/>
    <n v="0.2641"/>
    <n v="0.64200000000000002"/>
    <s v="Elementary Occupational Therapist"/>
    <x v="6"/>
  </r>
  <r>
    <s v="34033"/>
    <x v="252"/>
    <s v="Personnel"/>
    <s v="H "/>
    <s v="High Grade Group 9-12"/>
    <s v="PS43H21S"/>
    <s v="PSES High Prog21Duty43 S275"/>
    <n v="21"/>
    <x v="6"/>
    <n v="43"/>
    <m/>
    <s v="   "/>
    <n v="0.30399999999999999"/>
    <n v="0.2641"/>
    <n v="0.08"/>
    <s v="High Occupational Therapist"/>
    <x v="6"/>
  </r>
  <r>
    <s v="34033"/>
    <x v="252"/>
    <s v="Personnel"/>
    <s v="M "/>
    <s v="Middle Grade Group 7-8"/>
    <s v="PS43M21S"/>
    <s v="PSES Mid Prog21Duty43 S275"/>
    <n v="21"/>
    <x v="6"/>
    <n v="43"/>
    <m/>
    <s v="   "/>
    <n v="0.22600000000000001"/>
    <n v="0.2641"/>
    <n v="0.06"/>
    <s v="Middle Occupational Therapist"/>
    <x v="6"/>
  </r>
  <r>
    <s v="34033"/>
    <x v="252"/>
    <s v="Personnel"/>
    <s v="E "/>
    <s v="Elementary Grade Group K-6"/>
    <s v="PS45E21S"/>
    <s v="PSES Elem Prog21Duty45 S275"/>
    <n v="21"/>
    <x v="7"/>
    <n v="45"/>
    <m/>
    <s v="   "/>
    <n v="4.8540000000000001"/>
    <n v="0.2641"/>
    <n v="1.282"/>
    <s v="Elementary Speech, Language Pathway/_x000a_Audio"/>
    <x v="7"/>
  </r>
  <r>
    <s v="34033"/>
    <x v="252"/>
    <s v="Personnel"/>
    <s v="H "/>
    <s v="High Grade Group 9-12"/>
    <s v="PS45H21S"/>
    <s v="PSES High Prog21Duty45 S275"/>
    <n v="21"/>
    <x v="7"/>
    <n v="45"/>
    <m/>
    <s v="   "/>
    <n v="3"/>
    <n v="0.2641"/>
    <n v="0.79200000000000004"/>
    <s v="High Speech, Language Pathway/_x000a_Audio"/>
    <x v="7"/>
  </r>
  <r>
    <s v="34033"/>
    <x v="252"/>
    <s v="Personnel"/>
    <s v="M "/>
    <s v="Middle Grade Group 7-8"/>
    <s v="PS45M21S"/>
    <s v="PSES Mid Prog21Duty45 S275"/>
    <n v="21"/>
    <x v="7"/>
    <n v="45"/>
    <m/>
    <s v="   "/>
    <n v="0.82"/>
    <n v="0.2641"/>
    <n v="0.217"/>
    <s v="Middle Speech, Language Pathway/_x000a_Audio"/>
    <x v="7"/>
  </r>
  <r>
    <s v="34033"/>
    <x v="252"/>
    <s v="Personnel"/>
    <s v="E "/>
    <s v="Elementary Grade Group K-6"/>
    <s v="PS46E21S"/>
    <s v="PSES Elem Prog21Duty46 S275"/>
    <n v="21"/>
    <x v="8"/>
    <n v="46"/>
    <m/>
    <s v="   "/>
    <n v="3.1"/>
    <n v="0.2641"/>
    <n v="0.81899999999999995"/>
    <s v="Elementary Psychologist"/>
    <x v="8"/>
  </r>
  <r>
    <s v="34033"/>
    <x v="252"/>
    <s v="Personnel"/>
    <s v="H "/>
    <s v="High Grade Group 9-12"/>
    <s v="PS46H21S"/>
    <s v="PSES High Prog21Duty46 S275"/>
    <n v="21"/>
    <x v="8"/>
    <n v="46"/>
    <m/>
    <s v="   "/>
    <n v="3.1"/>
    <n v="0.2641"/>
    <n v="0.81899999999999995"/>
    <s v="High Psychologist"/>
    <x v="8"/>
  </r>
  <r>
    <s v="34033"/>
    <x v="252"/>
    <s v="Personnel"/>
    <s v="M "/>
    <s v="Middle Grade Group 7-8"/>
    <s v="PS46M21S"/>
    <s v="PSES Mid Prog21Duty46 S275"/>
    <n v="21"/>
    <x v="8"/>
    <n v="46"/>
    <m/>
    <s v="   "/>
    <n v="0.5"/>
    <n v="0.2641"/>
    <n v="0.13200000000000001"/>
    <s v="Middle Psychologist"/>
    <x v="8"/>
  </r>
  <r>
    <s v="34033"/>
    <x v="252"/>
    <s v="Personnel"/>
    <s v="E "/>
    <s v="Elementary Grade Group K-6"/>
    <s v="PS47ES"/>
    <s v="PSES Elem Prog01Duty47 S275"/>
    <n v="1"/>
    <x v="9"/>
    <n v="47"/>
    <m/>
    <s v="   "/>
    <n v="3.2639999999999998"/>
    <n v="0.2641"/>
    <n v="0"/>
    <s v="Elementary Nurse"/>
    <x v="9"/>
  </r>
  <r>
    <s v="34033"/>
    <x v="252"/>
    <s v="Personnel"/>
    <s v="H "/>
    <s v="High Grade Group 9-12"/>
    <s v="PS47HS"/>
    <s v="PSES High Prog01Duty47 S275"/>
    <n v="1"/>
    <x v="9"/>
    <n v="47"/>
    <m/>
    <s v="   "/>
    <n v="0.8"/>
    <n v="0.2641"/>
    <n v="0"/>
    <s v="High Nurse"/>
    <x v="9"/>
  </r>
  <r>
    <s v="34033"/>
    <x v="252"/>
    <s v="Personnel"/>
    <s v="M "/>
    <s v="Middle Grade Group 7-8"/>
    <s v="PS47MS"/>
    <s v="PSES Mid Prog01Duty47 S275"/>
    <n v="1"/>
    <x v="9"/>
    <n v="47"/>
    <m/>
    <s v="   "/>
    <n v="0.93600000000000005"/>
    <n v="0.2641"/>
    <n v="0"/>
    <s v="Middle Nurse"/>
    <x v="9"/>
  </r>
  <r>
    <s v="34033"/>
    <x v="252"/>
    <s v="Personnel"/>
    <s v="E "/>
    <s v="Elementary Grade Group K-6"/>
    <s v="PS49E21S"/>
    <s v="PSES Elem Prog21Duty49 S275"/>
    <n v="21"/>
    <x v="10"/>
    <n v="49"/>
    <m/>
    <s v="   "/>
    <n v="0.54500000000000004"/>
    <n v="0.2641"/>
    <n v="0.14399999999999999"/>
    <s v="Elementary Behavior Analyst"/>
    <x v="10"/>
  </r>
  <r>
    <s v="34033"/>
    <x v="252"/>
    <s v="Personnel"/>
    <s v="H "/>
    <s v="High Grade Group 9-12"/>
    <s v="PS49H21S"/>
    <s v="PSES High Prog21Duty49 S275"/>
    <n v="21"/>
    <x v="10"/>
    <n v="49"/>
    <m/>
    <s v="   "/>
    <n v="0.27300000000000002"/>
    <n v="0.2641"/>
    <n v="7.1999999999999995E-2"/>
    <s v="High Behavior Analyst"/>
    <x v="10"/>
  </r>
  <r>
    <s v="34033"/>
    <x v="252"/>
    <s v="Personnel"/>
    <s v="M "/>
    <s v="Middle Grade Group 7-8"/>
    <s v="PS49M21S"/>
    <s v="PSES Mid Prog21Duty49 S275"/>
    <n v="21"/>
    <x v="10"/>
    <n v="49"/>
    <m/>
    <s v="   "/>
    <n v="0.182"/>
    <n v="0.2641"/>
    <n v="4.8000000000000001E-2"/>
    <s v="Middle Behavior Analyst"/>
    <x v="10"/>
  </r>
  <r>
    <s v="34111"/>
    <x v="253"/>
    <s v="Personnel"/>
    <s v="H "/>
    <s v="High Grade Group 9-12"/>
    <s v="PS24HS"/>
    <s v="PSES High Prog01Duty96 S275"/>
    <n v="1"/>
    <x v="0"/>
    <n v="96"/>
    <n v="24"/>
    <s v="   "/>
    <n v="2.37"/>
    <n v="0.26419999999999999"/>
    <n v="0"/>
    <s v="High Family Engagement Coordinator"/>
    <x v="0"/>
  </r>
  <r>
    <s v="34111"/>
    <x v="253"/>
    <s v="Personnel"/>
    <s v="E "/>
    <s v="Elementary Grade Group K-6"/>
    <s v="PS25ES"/>
    <s v="PSES Elem Prog01Act25 S275"/>
    <n v="1"/>
    <x v="1"/>
    <m/>
    <n v="25"/>
    <s v="   "/>
    <n v="0.27100000000000002"/>
    <n v="0.26419999999999999"/>
    <n v="0"/>
    <s v="Elementary Pupil Management"/>
    <x v="1"/>
  </r>
  <r>
    <s v="34111"/>
    <x v="253"/>
    <s v="Personnel"/>
    <s v="H "/>
    <s v="High Grade Group 9-12"/>
    <s v="PS25HS"/>
    <s v="PSES High Prog01Act25 S275"/>
    <n v="1"/>
    <x v="1"/>
    <m/>
    <n v="25"/>
    <s v="   "/>
    <n v="1.8720000000000001"/>
    <n v="0.26419999999999999"/>
    <n v="0"/>
    <s v="High Pupil Management"/>
    <x v="1"/>
  </r>
  <r>
    <s v="34111"/>
    <x v="253"/>
    <s v="Personnel"/>
    <s v="M "/>
    <s v="Middle Grade Group 7-8"/>
    <s v="PS25MS"/>
    <s v="PSES Mid Prog01Act25 S275"/>
    <n v="1"/>
    <x v="1"/>
    <m/>
    <n v="25"/>
    <s v="   "/>
    <n v="0.55200000000000005"/>
    <n v="0.26419999999999999"/>
    <n v="0"/>
    <s v="Middle Pupil Management"/>
    <x v="1"/>
  </r>
  <r>
    <s v="34111"/>
    <x v="253"/>
    <s v="Personnel"/>
    <s v="E "/>
    <s v="Elementary Grade Group K-6"/>
    <s v="PS26E21S"/>
    <s v="PSES Elem Prog21Act26 S275"/>
    <n v="21"/>
    <x v="2"/>
    <m/>
    <n v="26"/>
    <s v="   "/>
    <n v="0.60099999999999998"/>
    <n v="0.26419999999999999"/>
    <n v="0.159"/>
    <s v="Elementary Health/_x000a_Related Services"/>
    <x v="2"/>
  </r>
  <r>
    <s v="34111"/>
    <x v="253"/>
    <s v="Personnel"/>
    <s v="E "/>
    <s v="Elementary Grade Group K-6"/>
    <s v="PS26ES"/>
    <s v="PSES Elem Prog01Act26 S275"/>
    <n v="1"/>
    <x v="2"/>
    <m/>
    <n v="26"/>
    <s v="   "/>
    <n v="4.2060000000000004"/>
    <n v="0.26419999999999999"/>
    <n v="0"/>
    <s v="Elementary Health/_x000a_Related Services"/>
    <x v="2"/>
  </r>
  <r>
    <s v="34111"/>
    <x v="253"/>
    <s v="Personnel"/>
    <s v="H "/>
    <s v="High Grade Group 9-12"/>
    <s v="PS26H21S"/>
    <s v="PSES High Prog21Act26 S275"/>
    <n v="21"/>
    <x v="2"/>
    <m/>
    <n v="26"/>
    <s v="   "/>
    <n v="1.3140000000000001"/>
    <n v="0.26419999999999999"/>
    <n v="0.34699999999999998"/>
    <s v="High Health/_x000a_Related Services"/>
    <x v="2"/>
  </r>
  <r>
    <s v="34111"/>
    <x v="253"/>
    <s v="Personnel"/>
    <s v="H "/>
    <s v="High Grade Group 9-12"/>
    <s v="PS26HS"/>
    <s v="PSES High Prog01Act26 S275"/>
    <n v="1"/>
    <x v="2"/>
    <m/>
    <n v="26"/>
    <s v="   "/>
    <n v="2.4159999999999999"/>
    <n v="0.26419999999999999"/>
    <n v="0"/>
    <s v="High Health/_x000a_Related Services"/>
    <x v="2"/>
  </r>
  <r>
    <s v="34111"/>
    <x v="253"/>
    <s v="Personnel"/>
    <s v="M "/>
    <s v="Middle Grade Group 7-8"/>
    <s v="PS26M21S"/>
    <s v="PSES Mid Prog21Act26 S275"/>
    <n v="21"/>
    <x v="2"/>
    <m/>
    <n v="26"/>
    <s v="   "/>
    <n v="7.6999999999999999E-2"/>
    <n v="0.26419999999999999"/>
    <n v="0.02"/>
    <s v="Middle Health/_x000a_Related Services"/>
    <x v="2"/>
  </r>
  <r>
    <s v="34111"/>
    <x v="253"/>
    <s v="Personnel"/>
    <s v="M "/>
    <s v="Middle Grade Group 7-8"/>
    <s v="PS26MS"/>
    <s v="PSES Mid Prog01Act26 S275"/>
    <n v="1"/>
    <x v="2"/>
    <m/>
    <n v="26"/>
    <s v="   "/>
    <n v="0.36699999999999999"/>
    <n v="0.26419999999999999"/>
    <n v="0"/>
    <s v="Middle Health/_x000a_Related Services"/>
    <x v="2"/>
  </r>
  <r>
    <s v="34111"/>
    <x v="253"/>
    <s v="Personnel"/>
    <s v="H "/>
    <s v="High Grade Group 9-12"/>
    <s v="PS35HS"/>
    <s v="PSES High Prog01Act35 S275"/>
    <n v="1"/>
    <x v="3"/>
    <m/>
    <n v="35"/>
    <s v="   "/>
    <n v="1.0389999999999999"/>
    <n v="0.26419999999999999"/>
    <n v="0"/>
    <s v="High Pupil Safety"/>
    <x v="3"/>
  </r>
  <r>
    <s v="34111"/>
    <x v="253"/>
    <s v="Personnel"/>
    <s v="E "/>
    <s v="Elementary Grade Group K-6"/>
    <s v="PS42ES"/>
    <s v="PSES Elem Prog01Duty42 S275"/>
    <n v="1"/>
    <x v="5"/>
    <n v="42"/>
    <m/>
    <s v="   "/>
    <n v="1.667"/>
    <n v="0.26419999999999999"/>
    <n v="0"/>
    <s v="Elementary Counselor"/>
    <x v="5"/>
  </r>
  <r>
    <s v="34111"/>
    <x v="253"/>
    <s v="Personnel"/>
    <s v="H "/>
    <s v="High Grade Group 9-12"/>
    <s v="PS42HS"/>
    <s v="PSES High Prog01Duty42 S275"/>
    <n v="1"/>
    <x v="5"/>
    <n v="42"/>
    <m/>
    <s v="   "/>
    <n v="6.9"/>
    <n v="0.26419999999999999"/>
    <n v="0"/>
    <s v="High Counselor"/>
    <x v="5"/>
  </r>
  <r>
    <s v="34111"/>
    <x v="253"/>
    <s v="Personnel"/>
    <s v="M "/>
    <s v="Middle Grade Group 7-8"/>
    <s v="PS42MS"/>
    <s v="PSES Mid Prog01Duty42 S275"/>
    <n v="1"/>
    <x v="5"/>
    <n v="42"/>
    <m/>
    <s v="   "/>
    <n v="3.629"/>
    <n v="0.26419999999999999"/>
    <n v="0"/>
    <s v="Middle Counselor"/>
    <x v="5"/>
  </r>
  <r>
    <s v="34111"/>
    <x v="253"/>
    <s v="Personnel"/>
    <s v="E "/>
    <s v="Elementary Grade Group K-6"/>
    <s v="PS43E21S"/>
    <s v="PSES Elem Prog21Duty43 S275"/>
    <n v="21"/>
    <x v="6"/>
    <n v="43"/>
    <m/>
    <s v="   "/>
    <n v="4.8"/>
    <n v="0.26419999999999999"/>
    <n v="1.268"/>
    <s v="Elementary Occupational Therapist"/>
    <x v="6"/>
  </r>
  <r>
    <s v="34111"/>
    <x v="253"/>
    <s v="Personnel"/>
    <s v="H "/>
    <s v="High Grade Group 9-12"/>
    <s v="PS43H21S"/>
    <s v="PSES High Prog21Duty43 S275"/>
    <n v="21"/>
    <x v="6"/>
    <n v="43"/>
    <m/>
    <s v="   "/>
    <n v="0.6"/>
    <n v="0.26419999999999999"/>
    <n v="0.159"/>
    <s v="High Occupational Therapist"/>
    <x v="6"/>
  </r>
  <r>
    <s v="34111"/>
    <x v="253"/>
    <s v="Personnel"/>
    <s v="M "/>
    <s v="Middle Grade Group 7-8"/>
    <s v="PS43M21S"/>
    <s v="PSES Mid Prog21Duty43 S275"/>
    <n v="21"/>
    <x v="6"/>
    <n v="43"/>
    <m/>
    <s v="   "/>
    <n v="0.4"/>
    <n v="0.26419999999999999"/>
    <n v="0.106"/>
    <s v="Middle Occupational Therapist"/>
    <x v="6"/>
  </r>
  <r>
    <s v="34111"/>
    <x v="253"/>
    <s v="Personnel"/>
    <s v="E "/>
    <s v="Elementary Grade Group K-6"/>
    <s v="PS44ES"/>
    <s v="PSES Elem Prog01Duty44 S275"/>
    <n v="1"/>
    <x v="13"/>
    <n v="44"/>
    <m/>
    <s v="   "/>
    <n v="7.8"/>
    <n v="0.26419999999999999"/>
    <n v="0"/>
    <s v="Elementary Social Worker"/>
    <x v="13"/>
  </r>
  <r>
    <s v="34111"/>
    <x v="253"/>
    <s v="Personnel"/>
    <s v="H "/>
    <s v="High Grade Group 9-12"/>
    <s v="PS44HS"/>
    <s v="PSES High Prog01Duty44 S275"/>
    <n v="1"/>
    <x v="13"/>
    <n v="44"/>
    <m/>
    <s v="   "/>
    <n v="2.4"/>
    <n v="0.26419999999999999"/>
    <n v="0"/>
    <s v="High Social Worker"/>
    <x v="13"/>
  </r>
  <r>
    <s v="34111"/>
    <x v="253"/>
    <s v="Personnel"/>
    <s v="M "/>
    <s v="Middle Grade Group 7-8"/>
    <s v="PS44MS"/>
    <s v="PSES Mid Prog01Duty44 S275"/>
    <n v="1"/>
    <x v="13"/>
    <n v="44"/>
    <m/>
    <s v="   "/>
    <n v="1.4"/>
    <n v="0.26419999999999999"/>
    <n v="0"/>
    <s v="Middle Social Worker"/>
    <x v="13"/>
  </r>
  <r>
    <s v="34111"/>
    <x v="253"/>
    <s v="Personnel"/>
    <s v="E "/>
    <s v="Elementary Grade Group K-6"/>
    <s v="PS45E21S"/>
    <s v="PSES Elem Prog21Duty45 S275"/>
    <n v="21"/>
    <x v="7"/>
    <n v="45"/>
    <m/>
    <s v="   "/>
    <n v="11.978"/>
    <n v="0.26419999999999999"/>
    <n v="3.165"/>
    <s v="Elementary Speech, Language Pathway/_x000a_Audio"/>
    <x v="7"/>
  </r>
  <r>
    <s v="34111"/>
    <x v="253"/>
    <s v="Personnel"/>
    <s v="H "/>
    <s v="High Grade Group 9-12"/>
    <s v="PS45H21S"/>
    <s v="PSES High Prog21Duty45 S275"/>
    <n v="21"/>
    <x v="7"/>
    <n v="45"/>
    <m/>
    <s v="   "/>
    <n v="2.8"/>
    <n v="0.26419999999999999"/>
    <n v="0.74"/>
    <s v="High Speech, Language Pathway/_x000a_Audio"/>
    <x v="7"/>
  </r>
  <r>
    <s v="34111"/>
    <x v="253"/>
    <s v="Personnel"/>
    <s v="M "/>
    <s v="Middle Grade Group 7-8"/>
    <s v="PS45M21S"/>
    <s v="PSES Mid Prog21Duty45 S275"/>
    <n v="21"/>
    <x v="7"/>
    <n v="45"/>
    <m/>
    <s v="   "/>
    <n v="1.6"/>
    <n v="0.26419999999999999"/>
    <n v="0.42299999999999999"/>
    <s v="Middle Speech, Language Pathway/_x000a_Audio"/>
    <x v="7"/>
  </r>
  <r>
    <s v="34111"/>
    <x v="253"/>
    <s v="Personnel"/>
    <s v="E "/>
    <s v="Elementary Grade Group K-6"/>
    <s v="PS46E21S"/>
    <s v="PSES Elem Prog21Duty46 S275"/>
    <n v="21"/>
    <x v="8"/>
    <n v="46"/>
    <m/>
    <s v="   "/>
    <n v="5.2670000000000003"/>
    <n v="0.26419999999999999"/>
    <n v="1.3919999999999999"/>
    <s v="Elementary Psychologist"/>
    <x v="8"/>
  </r>
  <r>
    <s v="34111"/>
    <x v="253"/>
    <s v="Personnel"/>
    <s v="E "/>
    <s v="Elementary Grade Group K-6"/>
    <s v="PS46ES"/>
    <s v="PSES Elem Prog01Duty46 S275"/>
    <n v="1"/>
    <x v="8"/>
    <n v="46"/>
    <m/>
    <s v="   "/>
    <n v="0.1"/>
    <n v="0.26419999999999999"/>
    <n v="0"/>
    <s v="Elementary Psychologist"/>
    <x v="8"/>
  </r>
  <r>
    <s v="34111"/>
    <x v="253"/>
    <s v="Personnel"/>
    <s v="H "/>
    <s v="High Grade Group 9-12"/>
    <s v="PS46H21S"/>
    <s v="PSES High Prog21Duty46 S275"/>
    <n v="21"/>
    <x v="8"/>
    <n v="46"/>
    <m/>
    <s v="   "/>
    <n v="3.2"/>
    <n v="0.26419999999999999"/>
    <n v="0.84499999999999997"/>
    <s v="High Psychologist"/>
    <x v="8"/>
  </r>
  <r>
    <s v="34111"/>
    <x v="253"/>
    <s v="Personnel"/>
    <s v="M "/>
    <s v="Middle Grade Group 7-8"/>
    <s v="PS46M21S"/>
    <s v="PSES Mid Prog21Duty46 S275"/>
    <n v="21"/>
    <x v="8"/>
    <n v="46"/>
    <m/>
    <s v="   "/>
    <n v="0.93300000000000005"/>
    <n v="0.26419999999999999"/>
    <n v="0.246"/>
    <s v="Middle Psychologist"/>
    <x v="8"/>
  </r>
  <r>
    <s v="34111"/>
    <x v="253"/>
    <s v="Personnel"/>
    <s v="E "/>
    <s v="Elementary Grade Group K-6"/>
    <s v="PS47ES"/>
    <s v="PSES Elem Prog01Duty47 S275"/>
    <n v="1"/>
    <x v="9"/>
    <n v="47"/>
    <m/>
    <s v="   "/>
    <n v="3.3679999999999999"/>
    <n v="0.26419999999999999"/>
    <n v="0"/>
    <s v="Elementary Nurse"/>
    <x v="9"/>
  </r>
  <r>
    <s v="34111"/>
    <x v="253"/>
    <s v="Personnel"/>
    <s v="H "/>
    <s v="High Grade Group 9-12"/>
    <s v="PS47HS"/>
    <s v="PSES High Prog01Duty47 S275"/>
    <n v="1"/>
    <x v="9"/>
    <n v="47"/>
    <m/>
    <s v="   "/>
    <n v="1.9"/>
    <n v="0.26419999999999999"/>
    <n v="0"/>
    <s v="High Nurse"/>
    <x v="9"/>
  </r>
  <r>
    <s v="34111"/>
    <x v="253"/>
    <s v="Personnel"/>
    <s v="M "/>
    <s v="Middle Grade Group 7-8"/>
    <s v="PS47MS"/>
    <s v="PSES Mid Prog01Duty47 S275"/>
    <n v="1"/>
    <x v="9"/>
    <n v="47"/>
    <m/>
    <s v="   "/>
    <n v="0.93300000000000005"/>
    <n v="0.26419999999999999"/>
    <n v="0"/>
    <s v="Middle Nurse"/>
    <x v="9"/>
  </r>
  <r>
    <s v="34111"/>
    <x v="253"/>
    <s v="Personnel"/>
    <s v="E "/>
    <s v="Elementary Grade Group K-6"/>
    <s v="PS48E21S"/>
    <s v="PSES Elem Prog21Duty48 S275"/>
    <n v="21"/>
    <x v="11"/>
    <n v="48"/>
    <m/>
    <s v="   "/>
    <n v="2.2999999999999998"/>
    <n v="0.26419999999999999"/>
    <n v="0.60799999999999998"/>
    <s v="Elementary Physical Therapist"/>
    <x v="11"/>
  </r>
  <r>
    <s v="34111"/>
    <x v="253"/>
    <s v="Personnel"/>
    <s v="H "/>
    <s v="High Grade Group 9-12"/>
    <s v="PS48H21S"/>
    <s v="PSES High Prog21Duty48 S275"/>
    <n v="21"/>
    <x v="11"/>
    <n v="48"/>
    <m/>
    <s v="   "/>
    <n v="0.2"/>
    <n v="0.26419999999999999"/>
    <n v="5.2999999999999999E-2"/>
    <s v="High Physical Therapist"/>
    <x v="11"/>
  </r>
  <r>
    <s v="34111"/>
    <x v="253"/>
    <s v="Personnel"/>
    <s v="M "/>
    <s v="Middle Grade Group 7-8"/>
    <s v="PS48M21S"/>
    <s v="PSES Mid Prog21Duty48 S275"/>
    <n v="21"/>
    <x v="11"/>
    <n v="48"/>
    <m/>
    <s v="   "/>
    <n v="0.1"/>
    <n v="0.26419999999999999"/>
    <n v="2.5999999999999999E-2"/>
    <s v="Middle Physical Therapist"/>
    <x v="11"/>
  </r>
  <r>
    <s v="34307"/>
    <x v="254"/>
    <s v="Personnel"/>
    <s v="E "/>
    <s v="Elementary Grade Group K-6"/>
    <s v="PS25ES"/>
    <s v="PSES Elem Prog01Act25 S275"/>
    <n v="1"/>
    <x v="1"/>
    <m/>
    <n v="25"/>
    <s v="   "/>
    <n v="1.1020000000000001"/>
    <n v="0.23139999999999999"/>
    <n v="0"/>
    <s v="Elementary Pupil Management"/>
    <x v="1"/>
  </r>
  <r>
    <s v="34307"/>
    <x v="254"/>
    <s v="Personnel"/>
    <s v="H "/>
    <s v="High Grade Group 9-12"/>
    <s v="PS25HS"/>
    <s v="PSES High Prog01Act25 S275"/>
    <n v="1"/>
    <x v="1"/>
    <m/>
    <n v="25"/>
    <s v="   "/>
    <n v="4.4999999999999998E-2"/>
    <n v="0.23139999999999999"/>
    <n v="0"/>
    <s v="High Pupil Management"/>
    <x v="1"/>
  </r>
  <r>
    <s v="34307"/>
    <x v="254"/>
    <s v="Personnel"/>
    <s v="M "/>
    <s v="Middle Grade Group 7-8"/>
    <s v="PS25MS"/>
    <s v="PSES Mid Prog01Act25 S275"/>
    <n v="1"/>
    <x v="1"/>
    <m/>
    <n v="25"/>
    <s v="   "/>
    <n v="0.13900000000000001"/>
    <n v="0.23139999999999999"/>
    <n v="0"/>
    <s v="Middle Pupil Management"/>
    <x v="1"/>
  </r>
  <r>
    <s v="34307"/>
    <x v="254"/>
    <s v="Personnel"/>
    <s v="E "/>
    <s v="Elementary Grade Group K-6"/>
    <s v="PS26E21S"/>
    <s v="PSES Elem Prog21Act26 S275"/>
    <n v="21"/>
    <x v="2"/>
    <m/>
    <n v="26"/>
    <s v="   "/>
    <n v="0.92700000000000005"/>
    <n v="0.23139999999999999"/>
    <n v="0.215"/>
    <s v="Elementary Health/_x000a_Related Services"/>
    <x v="2"/>
  </r>
  <r>
    <s v="34307"/>
    <x v="254"/>
    <s v="Personnel"/>
    <s v="H "/>
    <s v="High Grade Group 9-12"/>
    <s v="PS26H21S"/>
    <s v="PSES High Prog21Act26 S275"/>
    <n v="21"/>
    <x v="2"/>
    <m/>
    <n v="26"/>
    <s v="   "/>
    <n v="3.5999999999999997E-2"/>
    <n v="0.23139999999999999"/>
    <n v="8.0000000000000002E-3"/>
    <s v="High Health/_x000a_Related Services"/>
    <x v="2"/>
  </r>
  <r>
    <s v="34307"/>
    <x v="254"/>
    <s v="Personnel"/>
    <s v="M "/>
    <s v="Middle Grade Group 7-8"/>
    <s v="PS26M21S"/>
    <s v="PSES Mid Prog21Act26 S275"/>
    <n v="21"/>
    <x v="2"/>
    <m/>
    <n v="26"/>
    <s v="   "/>
    <n v="0.219"/>
    <n v="0.23139999999999999"/>
    <n v="5.0999999999999997E-2"/>
    <s v="Middle Health/_x000a_Related Services"/>
    <x v="2"/>
  </r>
  <r>
    <s v="34307"/>
    <x v="254"/>
    <s v="Personnel"/>
    <s v="E "/>
    <s v="Elementary Grade Group K-6"/>
    <s v="PS42ES"/>
    <s v="PSES Elem Prog01Duty42 S275"/>
    <n v="1"/>
    <x v="5"/>
    <n v="42"/>
    <m/>
    <s v="   "/>
    <n v="0.5"/>
    <n v="0.23139999999999999"/>
    <n v="0"/>
    <s v="Elementary Counselor"/>
    <x v="5"/>
  </r>
  <r>
    <s v="34307"/>
    <x v="254"/>
    <s v="Personnel"/>
    <s v="H "/>
    <s v="High Grade Group 9-12"/>
    <s v="PS42HS"/>
    <s v="PSES High Prog01Duty42 S275"/>
    <n v="1"/>
    <x v="5"/>
    <n v="42"/>
    <m/>
    <s v="   "/>
    <n v="1"/>
    <n v="0.23139999999999999"/>
    <n v="0"/>
    <s v="High Counselor"/>
    <x v="5"/>
  </r>
  <r>
    <s v="34307"/>
    <x v="254"/>
    <s v="Personnel"/>
    <s v="M "/>
    <s v="Middle Grade Group 7-8"/>
    <s v="PS42MS"/>
    <s v="PSES Mid Prog01Duty42 S275"/>
    <n v="1"/>
    <x v="5"/>
    <n v="42"/>
    <m/>
    <s v="   "/>
    <n v="0.5"/>
    <n v="0.23139999999999999"/>
    <n v="0"/>
    <s v="Middle Counselor"/>
    <x v="5"/>
  </r>
  <r>
    <s v="34307"/>
    <x v="254"/>
    <s v="Personnel"/>
    <s v="E "/>
    <s v="Elementary Grade Group K-6"/>
    <s v="PS43E21S"/>
    <s v="PSES Elem Prog21Duty43 S275"/>
    <n v="21"/>
    <x v="6"/>
    <n v="43"/>
    <m/>
    <s v="   "/>
    <n v="0.67"/>
    <n v="0.23139999999999999"/>
    <n v="0.155"/>
    <s v="Elementary Occupational Therapist"/>
    <x v="6"/>
  </r>
  <r>
    <s v="34307"/>
    <x v="254"/>
    <s v="Personnel"/>
    <s v="H "/>
    <s v="High Grade Group 9-12"/>
    <s v="PS43H21S"/>
    <s v="PSES High Prog21Duty43 S275"/>
    <n v="21"/>
    <x v="6"/>
    <n v="43"/>
    <m/>
    <s v="   "/>
    <n v="0.08"/>
    <n v="0.23139999999999999"/>
    <n v="1.9E-2"/>
    <s v="High Occupational Therapist"/>
    <x v="6"/>
  </r>
  <r>
    <s v="34307"/>
    <x v="254"/>
    <s v="Personnel"/>
    <s v="M "/>
    <s v="Middle Grade Group 7-8"/>
    <s v="PS43M21S"/>
    <s v="PSES Mid Prog21Duty43 S275"/>
    <n v="21"/>
    <x v="6"/>
    <n v="43"/>
    <m/>
    <s v="   "/>
    <n v="0.25"/>
    <n v="0.23139999999999999"/>
    <n v="5.8000000000000003E-2"/>
    <s v="Middle Occupational Therapist"/>
    <x v="6"/>
  </r>
  <r>
    <s v="34307"/>
    <x v="254"/>
    <s v="Personnel"/>
    <s v="E "/>
    <s v="Elementary Grade Group K-6"/>
    <s v="PS49ES"/>
    <s v="PSES Elem Prog01Duty49 S275"/>
    <n v="1"/>
    <x v="10"/>
    <n v="49"/>
    <m/>
    <s v="   "/>
    <n v="1"/>
    <n v="0.23139999999999999"/>
    <n v="0"/>
    <s v="Elementary Behavior Analyst"/>
    <x v="10"/>
  </r>
  <r>
    <s v="34307"/>
    <x v="254"/>
    <s v="Personnel"/>
    <s v="M "/>
    <s v="Middle Grade Group 7-8"/>
    <s v="PS49MS"/>
    <s v="PSES Mid Prog01Duty49 S275"/>
    <n v="1"/>
    <x v="10"/>
    <n v="49"/>
    <m/>
    <s v="   "/>
    <n v="0.6"/>
    <n v="0.23139999999999999"/>
    <n v="0"/>
    <s v="Middle Behavior Analyst"/>
    <x v="10"/>
  </r>
  <r>
    <s v="34324"/>
    <x v="255"/>
    <s v="Personnel"/>
    <s v="H "/>
    <s v="High Grade Group 9-12"/>
    <s v="PS25HS"/>
    <s v="PSES High Prog01Act25 S275"/>
    <n v="1"/>
    <x v="1"/>
    <m/>
    <n v="25"/>
    <s v="   "/>
    <n v="1.7230000000000001"/>
    <n v="0.153"/>
    <n v="0"/>
    <s v="High Pupil Management"/>
    <x v="1"/>
  </r>
  <r>
    <s v="34324"/>
    <x v="255"/>
    <s v="Personnel"/>
    <s v="E "/>
    <s v="Elementary Grade Group K-6"/>
    <s v="PS26ES"/>
    <s v="PSES Elem Prog01Act26 S275"/>
    <n v="1"/>
    <x v="2"/>
    <m/>
    <n v="26"/>
    <s v="   "/>
    <n v="0.32400000000000001"/>
    <n v="0.153"/>
    <n v="0"/>
    <s v="Elementary Health/_x000a_Related Services"/>
    <x v="2"/>
  </r>
  <r>
    <s v="34324"/>
    <x v="255"/>
    <s v="Personnel"/>
    <s v="M "/>
    <s v="Middle Grade Group 7-8"/>
    <s v="PS26MS"/>
    <s v="PSES Mid Prog01Act26 S275"/>
    <n v="1"/>
    <x v="2"/>
    <m/>
    <n v="26"/>
    <s v="   "/>
    <n v="0.182"/>
    <n v="0.153"/>
    <n v="0"/>
    <s v="Middle Health/_x000a_Related Services"/>
    <x v="2"/>
  </r>
  <r>
    <s v="34324"/>
    <x v="255"/>
    <s v="Personnel"/>
    <s v="E "/>
    <s v="Elementary Grade Group K-6"/>
    <s v="PS42ES"/>
    <s v="PSES Elem Prog01Duty42 S275"/>
    <n v="1"/>
    <x v="5"/>
    <n v="42"/>
    <m/>
    <s v="   "/>
    <n v="0.8"/>
    <n v="0.153"/>
    <n v="0"/>
    <s v="Elementary Counselor"/>
    <x v="5"/>
  </r>
  <r>
    <s v="34324"/>
    <x v="255"/>
    <s v="Personnel"/>
    <s v="M "/>
    <s v="Middle Grade Group 7-8"/>
    <s v="PS42MS"/>
    <s v="PSES Mid Prog01Duty42 S275"/>
    <n v="1"/>
    <x v="5"/>
    <n v="42"/>
    <m/>
    <s v="   "/>
    <n v="1"/>
    <n v="0.153"/>
    <n v="0"/>
    <s v="Middle Counselor"/>
    <x v="5"/>
  </r>
  <r>
    <s v="34401"/>
    <x v="256"/>
    <s v="Personnel"/>
    <s v="H "/>
    <s v="High Grade Group 9-12"/>
    <s v="PS26H21S"/>
    <s v="PSES High Prog21Act26 S275"/>
    <n v="21"/>
    <x v="2"/>
    <m/>
    <n v="26"/>
    <s v="   "/>
    <n v="0.88100000000000001"/>
    <n v="0.2341"/>
    <n v="0.20599999999999999"/>
    <s v="High Health/_x000a_Related Services"/>
    <x v="2"/>
  </r>
  <r>
    <s v="34401"/>
    <x v="256"/>
    <s v="Personnel"/>
    <s v="E "/>
    <s v="Elementary Grade Group K-6"/>
    <s v="PS42ES"/>
    <s v="PSES Elem Prog01Duty42 S275"/>
    <n v="1"/>
    <x v="5"/>
    <n v="42"/>
    <m/>
    <s v="   "/>
    <n v="2.3330000000000002"/>
    <n v="0.2341"/>
    <n v="0"/>
    <s v="Elementary Counselor"/>
    <x v="5"/>
  </r>
  <r>
    <s v="34401"/>
    <x v="256"/>
    <s v="Personnel"/>
    <s v="H "/>
    <s v="High Grade Group 9-12"/>
    <s v="PS42HS"/>
    <s v="PSES High Prog01Duty42 S275"/>
    <n v="1"/>
    <x v="5"/>
    <n v="42"/>
    <m/>
    <s v="   "/>
    <n v="2"/>
    <n v="0.2341"/>
    <n v="0"/>
    <s v="High Counselor"/>
    <x v="5"/>
  </r>
  <r>
    <s v="34401"/>
    <x v="256"/>
    <s v="Personnel"/>
    <s v="M "/>
    <s v="Middle Grade Group 7-8"/>
    <s v="PS42MS"/>
    <s v="PSES Mid Prog01Duty42 S275"/>
    <n v="1"/>
    <x v="5"/>
    <n v="42"/>
    <m/>
    <s v="   "/>
    <n v="0.66700000000000004"/>
    <n v="0.2341"/>
    <n v="0"/>
    <s v="Middle Counselor"/>
    <x v="5"/>
  </r>
  <r>
    <s v="34401"/>
    <x v="256"/>
    <s v="Personnel"/>
    <s v="E "/>
    <s v="Elementary Grade Group K-6"/>
    <s v="PS45E21S"/>
    <s v="PSES Elem Prog21Duty45 S275"/>
    <n v="21"/>
    <x v="7"/>
    <n v="45"/>
    <m/>
    <s v="   "/>
    <n v="1.25"/>
    <n v="0.2341"/>
    <n v="0.29299999999999998"/>
    <s v="Elementary Speech, Language Pathway/_x000a_Audio"/>
    <x v="7"/>
  </r>
  <r>
    <s v="34401"/>
    <x v="256"/>
    <s v="Personnel"/>
    <s v="E "/>
    <s v="Elementary Grade Group K-6"/>
    <s v="PS46E21S"/>
    <s v="PSES Elem Prog21Duty46 S275"/>
    <n v="21"/>
    <x v="8"/>
    <n v="46"/>
    <m/>
    <s v="   "/>
    <n v="1.1000000000000001"/>
    <n v="0.2341"/>
    <n v="0.25800000000000001"/>
    <s v="Elementary Psychologist"/>
    <x v="8"/>
  </r>
  <r>
    <s v="34401"/>
    <x v="256"/>
    <s v="Personnel"/>
    <s v="H "/>
    <s v="High Grade Group 9-12"/>
    <s v="PS46H21S"/>
    <s v="PSES High Prog21Duty46 S275"/>
    <n v="21"/>
    <x v="8"/>
    <n v="46"/>
    <m/>
    <s v="   "/>
    <n v="0.4"/>
    <n v="0.2341"/>
    <n v="9.4E-2"/>
    <s v="High Psychologist"/>
    <x v="8"/>
  </r>
  <r>
    <s v="34402"/>
    <x v="257"/>
    <s v="Personnel"/>
    <s v="E "/>
    <s v="Elementary Grade Group K-6"/>
    <s v="PS26ES"/>
    <s v="PSES Elem Prog01Act26 S275"/>
    <n v="1"/>
    <x v="2"/>
    <m/>
    <n v="26"/>
    <s v="   "/>
    <n v="0.75"/>
    <n v="0.2487"/>
    <n v="0"/>
    <s v="Elementary Health/_x000a_Related Services"/>
    <x v="2"/>
  </r>
  <r>
    <s v="34402"/>
    <x v="257"/>
    <s v="Personnel"/>
    <s v="H "/>
    <s v="High Grade Group 9-12"/>
    <s v="PS26HS"/>
    <s v="PSES High Prog01Act26 S275"/>
    <n v="1"/>
    <x v="2"/>
    <m/>
    <n v="26"/>
    <s v="   "/>
    <n v="0.375"/>
    <n v="0.2487"/>
    <n v="0"/>
    <s v="High Health/_x000a_Related Services"/>
    <x v="2"/>
  </r>
  <r>
    <s v="34402"/>
    <x v="257"/>
    <s v="Personnel"/>
    <s v="M "/>
    <s v="Middle Grade Group 7-8"/>
    <s v="PS26MS"/>
    <s v="PSES Mid Prog01Act26 S275"/>
    <n v="1"/>
    <x v="2"/>
    <m/>
    <n v="26"/>
    <s v="   "/>
    <n v="0.375"/>
    <n v="0.2487"/>
    <n v="0"/>
    <s v="Middle Health/_x000a_Related Services"/>
    <x v="2"/>
  </r>
  <r>
    <s v="34402"/>
    <x v="257"/>
    <s v="Personnel"/>
    <s v="E "/>
    <s v="Elementary Grade Group K-6"/>
    <s v="PS42ES"/>
    <s v="PSES Elem Prog01Duty42 S275"/>
    <n v="1"/>
    <x v="5"/>
    <n v="42"/>
    <m/>
    <s v="   "/>
    <n v="1.8"/>
    <n v="0.2487"/>
    <n v="0"/>
    <s v="Elementary Counselor"/>
    <x v="5"/>
  </r>
  <r>
    <s v="34402"/>
    <x v="257"/>
    <s v="Personnel"/>
    <s v="H "/>
    <s v="High Grade Group 9-12"/>
    <s v="PS42HS"/>
    <s v="PSES High Prog01Duty42 S275"/>
    <n v="1"/>
    <x v="5"/>
    <n v="42"/>
    <m/>
    <s v="   "/>
    <n v="0.75"/>
    <n v="0.2487"/>
    <n v="0"/>
    <s v="High Counselor"/>
    <x v="5"/>
  </r>
  <r>
    <s v="34402"/>
    <x v="257"/>
    <s v="Personnel"/>
    <s v="M "/>
    <s v="Middle Grade Group 7-8"/>
    <s v="PS42MS"/>
    <s v="PSES Mid Prog01Duty42 S275"/>
    <n v="1"/>
    <x v="5"/>
    <n v="42"/>
    <m/>
    <s v="   "/>
    <n v="0.6"/>
    <n v="0.2487"/>
    <n v="0"/>
    <s v="Middle Counselor"/>
    <x v="5"/>
  </r>
  <r>
    <s v="34402"/>
    <x v="257"/>
    <s v="Personnel"/>
    <s v="E "/>
    <s v="Elementary Grade Group K-6"/>
    <s v="PS45E21S"/>
    <s v="PSES Elem Prog21Duty45 S275"/>
    <n v="21"/>
    <x v="7"/>
    <n v="45"/>
    <m/>
    <s v="   "/>
    <n v="1"/>
    <n v="0.2487"/>
    <n v="0.249"/>
    <s v="Elementary Speech, Language Pathway/_x000a_Audio"/>
    <x v="7"/>
  </r>
  <r>
    <s v="34901"/>
    <x v="258"/>
    <s v="Personnel"/>
    <s v="E "/>
    <s v="Elementary Grade Group K-6"/>
    <s v="PS42ES"/>
    <s v="PSES Elem Prog01Duty42 S275"/>
    <n v="1"/>
    <x v="5"/>
    <n v="42"/>
    <m/>
    <s v="   "/>
    <n v="0.67"/>
    <n v="0.19539999999999999"/>
    <n v="0"/>
    <s v="Elementary Counselor"/>
    <x v="5"/>
  </r>
  <r>
    <s v="34901"/>
    <x v="258"/>
    <s v="Personnel"/>
    <s v="M "/>
    <s v="Middle Grade Group 7-8"/>
    <s v="PS42MS"/>
    <s v="PSES Mid Prog01Duty42 S275"/>
    <n v="1"/>
    <x v="5"/>
    <n v="42"/>
    <m/>
    <s v="   "/>
    <n v="0.33"/>
    <n v="0.19539999999999999"/>
    <n v="0"/>
    <s v="Middle Counselor"/>
    <x v="5"/>
  </r>
  <r>
    <s v="35200"/>
    <x v="259"/>
    <s v="Personnel"/>
    <s v="E "/>
    <s v="Elementary Grade Group K-6"/>
    <s v="PS25ES"/>
    <s v="PSES Elem Prog01Act25 S275"/>
    <n v="1"/>
    <x v="1"/>
    <m/>
    <n v="25"/>
    <s v="   "/>
    <n v="0.93700000000000006"/>
    <n v="0.1913"/>
    <n v="0"/>
    <s v="Elementary Pupil Management"/>
    <x v="1"/>
  </r>
  <r>
    <s v="35200"/>
    <x v="259"/>
    <s v="Personnel"/>
    <s v="M "/>
    <s v="Middle Grade Group 7-8"/>
    <s v="PS25MS"/>
    <s v="PSES Mid Prog01Act25 S275"/>
    <n v="1"/>
    <x v="1"/>
    <m/>
    <n v="25"/>
    <s v="   "/>
    <n v="0.17699999999999999"/>
    <n v="0.1913"/>
    <n v="0"/>
    <s v="Middle Pupil Management"/>
    <x v="1"/>
  </r>
  <r>
    <s v="36140"/>
    <x v="260"/>
    <s v="Personnel"/>
    <s v="H "/>
    <s v="High Grade Group 9-12"/>
    <s v="PS25H21S"/>
    <s v="PSES High Prog21Act25 S275"/>
    <n v="21"/>
    <x v="1"/>
    <m/>
    <n v="25"/>
    <s v="   "/>
    <n v="3.7909999999999999"/>
    <n v="0.2253"/>
    <n v="0.85399999999999998"/>
    <s v="High Pupil Management"/>
    <x v="1"/>
  </r>
  <r>
    <s v="36140"/>
    <x v="260"/>
    <s v="Personnel"/>
    <s v="E "/>
    <s v="Elementary Grade Group K-6"/>
    <s v="PS26E21S"/>
    <s v="PSES Elem Prog21Act26 S275"/>
    <n v="21"/>
    <x v="2"/>
    <m/>
    <n v="26"/>
    <s v="   "/>
    <n v="5.6000000000000001E-2"/>
    <n v="0.2253"/>
    <n v="1.2999999999999999E-2"/>
    <s v="Elementary Health/_x000a_Related Services"/>
    <x v="2"/>
  </r>
  <r>
    <s v="36140"/>
    <x v="260"/>
    <s v="Personnel"/>
    <s v="E "/>
    <s v="Elementary Grade Group K-6"/>
    <s v="PS26ES"/>
    <s v="PSES Elem Prog01Act26 S275"/>
    <n v="1"/>
    <x v="2"/>
    <m/>
    <n v="26"/>
    <s v="   "/>
    <n v="0.13100000000000001"/>
    <n v="0.2253"/>
    <n v="0"/>
    <s v="Elementary Health/_x000a_Related Services"/>
    <x v="2"/>
  </r>
  <r>
    <s v="36140"/>
    <x v="260"/>
    <s v="Personnel"/>
    <s v="H "/>
    <s v="High Grade Group 9-12"/>
    <s v="PS26H21S"/>
    <s v="PSES High Prog21Act26 S275"/>
    <n v="21"/>
    <x v="2"/>
    <m/>
    <n v="26"/>
    <s v="   "/>
    <n v="0.54800000000000004"/>
    <n v="0.2253"/>
    <n v="0.123"/>
    <s v="High Health/_x000a_Related Services"/>
    <x v="2"/>
  </r>
  <r>
    <s v="36140"/>
    <x v="260"/>
    <s v="Personnel"/>
    <s v="H "/>
    <s v="High Grade Group 9-12"/>
    <s v="PS26HS"/>
    <s v="PSES High Prog01Act26 S275"/>
    <n v="1"/>
    <x v="2"/>
    <m/>
    <n v="26"/>
    <s v="   "/>
    <n v="3.8679999999999999"/>
    <n v="0.2253"/>
    <n v="0"/>
    <s v="High Health/_x000a_Related Services"/>
    <x v="2"/>
  </r>
  <r>
    <s v="36140"/>
    <x v="260"/>
    <s v="Personnel"/>
    <s v="M "/>
    <s v="Middle Grade Group 7-8"/>
    <s v="PS26MS"/>
    <s v="PSES Mid Prog01Act26 S275"/>
    <n v="1"/>
    <x v="2"/>
    <m/>
    <n v="26"/>
    <s v="   "/>
    <n v="0.373"/>
    <n v="0.2253"/>
    <n v="0"/>
    <s v="Middle Health/_x000a_Related Services"/>
    <x v="2"/>
  </r>
  <r>
    <s v="36140"/>
    <x v="260"/>
    <s v="Personnel"/>
    <s v="E "/>
    <s v="Elementary Grade Group K-6"/>
    <s v="PS35ES"/>
    <s v="PSES Elem Prog01Act35 S275"/>
    <n v="1"/>
    <x v="3"/>
    <m/>
    <n v="35"/>
    <s v="   "/>
    <n v="0.48399999999999999"/>
    <n v="0.2253"/>
    <n v="0"/>
    <s v="Elementary Pupil Safety"/>
    <x v="3"/>
  </r>
  <r>
    <s v="36140"/>
    <x v="260"/>
    <s v="Personnel"/>
    <s v="H "/>
    <s v="High Grade Group 9-12"/>
    <s v="PS35HS"/>
    <s v="PSES High Prog01Act35 S275"/>
    <n v="1"/>
    <x v="3"/>
    <m/>
    <n v="35"/>
    <s v="   "/>
    <n v="2.181"/>
    <n v="0.2253"/>
    <n v="0"/>
    <s v="High Pupil Safety"/>
    <x v="3"/>
  </r>
  <r>
    <s v="36140"/>
    <x v="260"/>
    <s v="Personnel"/>
    <s v="M "/>
    <s v="Middle Grade Group 7-8"/>
    <s v="PS35MS"/>
    <s v="PSES Mid Prog01Act35 S275"/>
    <n v="1"/>
    <x v="3"/>
    <m/>
    <n v="35"/>
    <s v="   "/>
    <n v="0.97"/>
    <n v="0.2253"/>
    <n v="0"/>
    <s v="Middle Pupil Safety"/>
    <x v="3"/>
  </r>
  <r>
    <s v="36140"/>
    <x v="260"/>
    <s v="Personnel"/>
    <s v="E "/>
    <s v="Elementary Grade Group K-6"/>
    <s v="PS42E21S"/>
    <s v="PSES Elem Prog21Duty42 S275"/>
    <n v="21"/>
    <x v="5"/>
    <n v="42"/>
    <m/>
    <s v="   "/>
    <n v="0.5"/>
    <n v="0.2253"/>
    <n v="0.113"/>
    <s v="Elementary Counselor"/>
    <x v="5"/>
  </r>
  <r>
    <s v="36140"/>
    <x v="260"/>
    <s v="Personnel"/>
    <s v="E "/>
    <s v="Elementary Grade Group K-6"/>
    <s v="PS42ES"/>
    <s v="PSES Elem Prog01Duty42 S275"/>
    <n v="1"/>
    <x v="5"/>
    <n v="42"/>
    <m/>
    <s v="   "/>
    <n v="5.82"/>
    <n v="0.2253"/>
    <n v="0"/>
    <s v="Elementary Counselor"/>
    <x v="5"/>
  </r>
  <r>
    <s v="36140"/>
    <x v="260"/>
    <s v="Personnel"/>
    <s v="H "/>
    <s v="High Grade Group 9-12"/>
    <s v="PS42HS"/>
    <s v="PSES High Prog01Duty42 S275"/>
    <n v="1"/>
    <x v="5"/>
    <n v="42"/>
    <m/>
    <s v="   "/>
    <n v="5"/>
    <n v="0.2253"/>
    <n v="0"/>
    <s v="High Counselor"/>
    <x v="5"/>
  </r>
  <r>
    <s v="36140"/>
    <x v="260"/>
    <s v="Personnel"/>
    <s v="M "/>
    <s v="Middle Grade Group 7-8"/>
    <s v="PS42MS"/>
    <s v="PSES Mid Prog01Duty42 S275"/>
    <n v="1"/>
    <x v="5"/>
    <n v="42"/>
    <m/>
    <s v="   "/>
    <n v="2.68"/>
    <n v="0.2253"/>
    <n v="0"/>
    <s v="Middle Counselor"/>
    <x v="5"/>
  </r>
  <r>
    <s v="36140"/>
    <x v="260"/>
    <s v="Personnel"/>
    <s v="E "/>
    <s v="Elementary Grade Group K-6"/>
    <s v="PS43E21S"/>
    <s v="PSES Elem Prog21Duty43 S275"/>
    <n v="21"/>
    <x v="6"/>
    <n v="43"/>
    <m/>
    <s v="   "/>
    <n v="1"/>
    <n v="0.2253"/>
    <n v="0.22500000000000001"/>
    <s v="Elementary Occupational Therapist"/>
    <x v="6"/>
  </r>
  <r>
    <s v="36140"/>
    <x v="260"/>
    <s v="Personnel"/>
    <s v="E "/>
    <s v="Elementary Grade Group K-6"/>
    <s v="PS45E21S"/>
    <s v="PSES Elem Prog21Duty45 S275"/>
    <n v="21"/>
    <x v="7"/>
    <n v="45"/>
    <m/>
    <s v="   "/>
    <n v="5.1159999999999997"/>
    <n v="0.2253"/>
    <n v="1.153"/>
    <s v="Elementary Speech, Language Pathway/_x000a_Audio"/>
    <x v="7"/>
  </r>
  <r>
    <s v="36140"/>
    <x v="260"/>
    <s v="Personnel"/>
    <s v="H "/>
    <s v="High Grade Group 9-12"/>
    <s v="PS45H21S"/>
    <s v="PSES High Prog21Duty45 S275"/>
    <n v="21"/>
    <x v="7"/>
    <n v="45"/>
    <m/>
    <s v="   "/>
    <n v="1.3080000000000001"/>
    <n v="0.2253"/>
    <n v="0.29499999999999998"/>
    <s v="High Speech, Language Pathway/_x000a_Audio"/>
    <x v="7"/>
  </r>
  <r>
    <s v="36140"/>
    <x v="260"/>
    <s v="Personnel"/>
    <s v="M "/>
    <s v="Middle Grade Group 7-8"/>
    <s v="PS45M21S"/>
    <s v="PSES Mid Prog21Duty45 S275"/>
    <n v="21"/>
    <x v="7"/>
    <n v="45"/>
    <m/>
    <s v="   "/>
    <n v="1.3759999999999999"/>
    <n v="0.2253"/>
    <n v="0.31"/>
    <s v="Middle Speech, Language Pathway/_x000a_Audio"/>
    <x v="7"/>
  </r>
  <r>
    <s v="36140"/>
    <x v="260"/>
    <s v="Personnel"/>
    <s v="E "/>
    <s v="Elementary Grade Group K-6"/>
    <s v="PS46E21S"/>
    <s v="PSES Elem Prog21Duty46 S275"/>
    <n v="21"/>
    <x v="8"/>
    <n v="46"/>
    <m/>
    <s v="   "/>
    <n v="2.556"/>
    <n v="0.2253"/>
    <n v="0.57599999999999996"/>
    <s v="Elementary Psychologist"/>
    <x v="8"/>
  </r>
  <r>
    <s v="36140"/>
    <x v="260"/>
    <s v="Personnel"/>
    <s v="H "/>
    <s v="High Grade Group 9-12"/>
    <s v="PS46H21S"/>
    <s v="PSES High Prog21Duty46 S275"/>
    <n v="21"/>
    <x v="8"/>
    <n v="46"/>
    <m/>
    <s v="   "/>
    <n v="2.15"/>
    <n v="0.2253"/>
    <n v="0.48399999999999999"/>
    <s v="High Psychologist"/>
    <x v="8"/>
  </r>
  <r>
    <s v="36140"/>
    <x v="260"/>
    <s v="Personnel"/>
    <s v="M "/>
    <s v="Middle Grade Group 7-8"/>
    <s v="PS46M21S"/>
    <s v="PSES Mid Prog21Duty46 S275"/>
    <n v="21"/>
    <x v="8"/>
    <n v="46"/>
    <m/>
    <s v="   "/>
    <n v="0.89400000000000002"/>
    <n v="0.2253"/>
    <n v="0.20100000000000001"/>
    <s v="Middle Psychologist"/>
    <x v="8"/>
  </r>
  <r>
    <s v="36140"/>
    <x v="260"/>
    <s v="Personnel"/>
    <s v="E "/>
    <s v="Elementary Grade Group K-6"/>
    <s v="PS47E21S"/>
    <s v="PSES Elem Prog21Duty47 S275"/>
    <n v="21"/>
    <x v="9"/>
    <n v="47"/>
    <m/>
    <s v="   "/>
    <n v="1.25"/>
    <n v="0.2253"/>
    <n v="0.28199999999999997"/>
    <s v="Elementary Nurse"/>
    <x v="9"/>
  </r>
  <r>
    <s v="36140"/>
    <x v="260"/>
    <s v="Personnel"/>
    <s v="E "/>
    <s v="Elementary Grade Group K-6"/>
    <s v="PS47ES"/>
    <s v="PSES Elem Prog01Duty47 S275"/>
    <n v="1"/>
    <x v="9"/>
    <n v="47"/>
    <m/>
    <s v="   "/>
    <n v="1.091"/>
    <n v="0.2253"/>
    <n v="0"/>
    <s v="Elementary Nurse"/>
    <x v="9"/>
  </r>
  <r>
    <s v="36140"/>
    <x v="260"/>
    <s v="Personnel"/>
    <s v="H "/>
    <s v="High Grade Group 9-12"/>
    <s v="PS47H21S"/>
    <s v="PSES High Prog21Duty47 S275"/>
    <n v="21"/>
    <x v="9"/>
    <n v="47"/>
    <m/>
    <s v="   "/>
    <n v="9.2999999999999999E-2"/>
    <n v="0.2253"/>
    <n v="2.1000000000000001E-2"/>
    <s v="High Nurse"/>
    <x v="9"/>
  </r>
  <r>
    <s v="36140"/>
    <x v="260"/>
    <s v="Personnel"/>
    <s v="H "/>
    <s v="High Grade Group 9-12"/>
    <s v="PS47HS"/>
    <s v="PSES High Prog01Duty47 S275"/>
    <n v="1"/>
    <x v="9"/>
    <n v="47"/>
    <m/>
    <s v="   "/>
    <n v="0.84099999999999997"/>
    <n v="0.2253"/>
    <n v="0"/>
    <s v="High Nurse"/>
    <x v="9"/>
  </r>
  <r>
    <s v="36140"/>
    <x v="260"/>
    <s v="Personnel"/>
    <s v="M "/>
    <s v="Middle Grade Group 7-8"/>
    <s v="PS47MS"/>
    <s v="PSES Mid Prog01Duty47 S275"/>
    <n v="1"/>
    <x v="9"/>
    <n v="47"/>
    <m/>
    <s v="   "/>
    <n v="0.436"/>
    <n v="0.2253"/>
    <n v="0"/>
    <s v="Middle Nurse"/>
    <x v="9"/>
  </r>
  <r>
    <s v="36140"/>
    <x v="260"/>
    <s v="Personnel"/>
    <s v="E "/>
    <s v="Elementary Grade Group K-6"/>
    <s v="PS48E21S"/>
    <s v="PSES Elem Prog21Duty48 S275"/>
    <n v="21"/>
    <x v="11"/>
    <n v="48"/>
    <m/>
    <s v="   "/>
    <n v="0.75"/>
    <n v="0.2253"/>
    <n v="0.16900000000000001"/>
    <s v="Elementary Physical Therapist"/>
    <x v="11"/>
  </r>
  <r>
    <s v="36140"/>
    <x v="260"/>
    <s v="Personnel"/>
    <s v="H "/>
    <s v="High Grade Group 9-12"/>
    <s v="PS48H21S"/>
    <s v="PSES High Prog21Duty48 S275"/>
    <n v="21"/>
    <x v="11"/>
    <n v="48"/>
    <m/>
    <s v="   "/>
    <n v="0.5"/>
    <n v="0.2253"/>
    <n v="0.113"/>
    <s v="High Physical Therapist"/>
    <x v="11"/>
  </r>
  <r>
    <s v="36140"/>
    <x v="260"/>
    <s v="Personnel"/>
    <s v="M "/>
    <s v="Middle Grade Group 7-8"/>
    <s v="PS48M21S"/>
    <s v="PSES Mid Prog21Duty48 S275"/>
    <n v="21"/>
    <x v="11"/>
    <n v="48"/>
    <m/>
    <s v="   "/>
    <n v="0.5"/>
    <n v="0.2253"/>
    <n v="0.113"/>
    <s v="Middle Physical Therapist"/>
    <x v="11"/>
  </r>
  <r>
    <s v="36140"/>
    <x v="260"/>
    <s v="Personnel"/>
    <s v="E "/>
    <s v="Elementary Grade Group K-6"/>
    <s v="PS64E21S"/>
    <s v="PSES Elem Prog21Duty64 S275"/>
    <n v="21"/>
    <x v="12"/>
    <n v="64"/>
    <m/>
    <s v="   "/>
    <n v="2.0960000000000001"/>
    <n v="0.2253"/>
    <n v="0.47199999999999998"/>
    <s v="Elementary Contractor ESA"/>
    <x v="12"/>
  </r>
  <r>
    <s v="36140"/>
    <x v="260"/>
    <s v="Personnel"/>
    <s v="H "/>
    <s v="High Grade Group 9-12"/>
    <s v="PS64H21S"/>
    <s v="PSES High Prog21Duty64 S275"/>
    <n v="21"/>
    <x v="12"/>
    <n v="64"/>
    <m/>
    <s v="   "/>
    <n v="0.33800000000000002"/>
    <n v="0.2253"/>
    <n v="7.5999999999999998E-2"/>
    <s v="High Contractor ESA"/>
    <x v="12"/>
  </r>
  <r>
    <s v="36140"/>
    <x v="260"/>
    <s v="Personnel"/>
    <s v="M "/>
    <s v="Middle Grade Group 7-8"/>
    <s v="PS64M21S"/>
    <s v="PSES Mid Prog21Duty64 S275"/>
    <n v="21"/>
    <x v="12"/>
    <n v="64"/>
    <m/>
    <s v="   "/>
    <n v="0.16900000000000001"/>
    <n v="0.2253"/>
    <n v="3.7999999999999999E-2"/>
    <s v="Middle Contractor ESA"/>
    <x v="12"/>
  </r>
  <r>
    <s v="36140"/>
    <x v="260"/>
    <s v="Personnel"/>
    <s v="K"/>
    <s v="Elementary Grade Group K-6"/>
    <s v="PS47E09S"/>
    <s v="PSES Elem Prog09Duty47 S275"/>
    <n v="9"/>
    <x v="9"/>
    <n v="47"/>
    <n v="26"/>
    <m/>
    <n v="0.223"/>
    <n v="0.2253"/>
    <n v="0"/>
    <s v="TK Nurse"/>
    <x v="9"/>
  </r>
  <r>
    <s v="36140"/>
    <x v="260"/>
    <s v="Personnel"/>
    <m/>
    <s v="Elementary Grade Group K-6"/>
    <s v="PS25E09S"/>
    <s v="PSES Elem Prog09Duty25 S275"/>
    <n v="9"/>
    <x v="1"/>
    <n v="91"/>
    <n v="25"/>
    <m/>
    <n v="3.9E-2"/>
    <n v="0.2253"/>
    <n v="0"/>
    <s v="TK Pupil Management"/>
    <x v="1"/>
  </r>
  <r>
    <s v="36140"/>
    <x v="260"/>
    <s v="Personnel"/>
    <m/>
    <s v="Elementary Grade Group K-6"/>
    <s v="PS25E09S"/>
    <s v="PSES Elem Prog09Duty25 S275"/>
    <n v="9"/>
    <x v="1"/>
    <n v="91"/>
    <n v="25"/>
    <m/>
    <n v="0.09"/>
    <n v="0.2253"/>
    <n v="0"/>
    <s v="TK Pupil Management"/>
    <x v="1"/>
  </r>
  <r>
    <s v="36140"/>
    <x v="260"/>
    <s v="Personnel"/>
    <m/>
    <s v="Elementary Grade Group K-6"/>
    <s v="PS25E09S"/>
    <s v="PSES Elem Prog09Duty25 S275"/>
    <n v="9"/>
    <x v="1"/>
    <n v="91"/>
    <n v="25"/>
    <m/>
    <n v="8.5000000000000006E-2"/>
    <n v="0.2253"/>
    <n v="0"/>
    <s v="TK Pupil Management"/>
    <x v="1"/>
  </r>
  <r>
    <s v="36140"/>
    <x v="260"/>
    <s v="Personnel"/>
    <m/>
    <s v="Elementary Grade Group K-6"/>
    <s v="PS25E09S"/>
    <s v="PSES Elem Prog09Duty25 S275"/>
    <n v="9"/>
    <x v="1"/>
    <n v="91"/>
    <n v="25"/>
    <m/>
    <n v="0.25700000000000001"/>
    <n v="0.2253"/>
    <n v="0"/>
    <s v="TK Pupil Management"/>
    <x v="1"/>
  </r>
  <r>
    <s v="36140"/>
    <x v="260"/>
    <s v="Personnel"/>
    <m/>
    <s v="Elementary Grade Group K-6"/>
    <s v="PS25E09S"/>
    <s v="PSES Elem Prog09Duty25 S275"/>
    <n v="9"/>
    <x v="1"/>
    <n v="91"/>
    <n v="25"/>
    <m/>
    <n v="6.2E-2"/>
    <n v="0.2253"/>
    <n v="0"/>
    <s v="TK Pupil Management"/>
    <x v="1"/>
  </r>
  <r>
    <s v="36140"/>
    <x v="260"/>
    <s v="Personnel"/>
    <m/>
    <s v="Elementary Grade Group K-6"/>
    <s v="PS25E09S"/>
    <s v="PSES Elem Prog09Duty25 S275"/>
    <n v="9"/>
    <x v="1"/>
    <n v="91"/>
    <n v="25"/>
    <m/>
    <n v="0.05"/>
    <n v="0.2253"/>
    <n v="0"/>
    <s v="TK Pupil Management"/>
    <x v="1"/>
  </r>
  <r>
    <s v="36140"/>
    <x v="260"/>
    <s v="Personnel"/>
    <s v="T"/>
    <s v="Elementary Grade Group K-6"/>
    <s v="PS26E09S"/>
    <s v="PSES Elem Prog09Duty26 S275"/>
    <n v="9"/>
    <x v="2"/>
    <n v="96"/>
    <n v="26"/>
    <m/>
    <n v="0.504"/>
    <n v="0.2253"/>
    <n v="0"/>
    <s v="TK Health/_x000a_Related Services"/>
    <x v="2"/>
  </r>
  <r>
    <s v="36250"/>
    <x v="261"/>
    <s v="Personnel"/>
    <s v="E "/>
    <s v="Elementary Grade Group K-6"/>
    <s v="PS25ES"/>
    <s v="PSES Elem Prog01Act25 S275"/>
    <n v="1"/>
    <x v="1"/>
    <m/>
    <n v="25"/>
    <s v="   "/>
    <n v="0.437"/>
    <n v="0.27229999999999999"/>
    <n v="0"/>
    <s v="Elementary Pupil Management"/>
    <x v="1"/>
  </r>
  <r>
    <s v="36250"/>
    <x v="261"/>
    <s v="Personnel"/>
    <s v="H "/>
    <s v="High Grade Group 9-12"/>
    <s v="PS25H21S"/>
    <s v="PSES High Prog21Act25 S275"/>
    <n v="21"/>
    <x v="1"/>
    <m/>
    <n v="25"/>
    <s v="   "/>
    <n v="0.91500000000000004"/>
    <n v="0.27229999999999999"/>
    <n v="0.249"/>
    <s v="High Pupil Management"/>
    <x v="1"/>
  </r>
  <r>
    <s v="36250"/>
    <x v="261"/>
    <s v="Personnel"/>
    <s v="M "/>
    <s v="Middle Grade Group 7-8"/>
    <s v="PS25MS"/>
    <s v="PSES Mid Prog01Act25 S275"/>
    <n v="1"/>
    <x v="1"/>
    <m/>
    <n v="25"/>
    <s v="   "/>
    <n v="0.23"/>
    <n v="0.27229999999999999"/>
    <n v="0"/>
    <s v="Middle Pupil Management"/>
    <x v="1"/>
  </r>
  <r>
    <s v="36250"/>
    <x v="261"/>
    <s v="Personnel"/>
    <s v="E "/>
    <s v="Elementary Grade Group K-6"/>
    <s v="PS26E21S"/>
    <s v="PSES Elem Prog21Act26 S275"/>
    <n v="21"/>
    <x v="2"/>
    <m/>
    <n v="26"/>
    <s v="   "/>
    <n v="0.68500000000000005"/>
    <n v="0.27229999999999999"/>
    <n v="0.187"/>
    <s v="Elementary Health/_x000a_Related Services"/>
    <x v="2"/>
  </r>
  <r>
    <s v="36250"/>
    <x v="261"/>
    <s v="Personnel"/>
    <s v="E "/>
    <s v="Elementary Grade Group K-6"/>
    <s v="PS26ES"/>
    <s v="PSES Elem Prog01Act26 S275"/>
    <n v="1"/>
    <x v="2"/>
    <m/>
    <n v="26"/>
    <s v="   "/>
    <n v="0.70299999999999996"/>
    <n v="0.27229999999999999"/>
    <n v="0"/>
    <s v="Elementary Health/_x000a_Related Services"/>
    <x v="2"/>
  </r>
  <r>
    <s v="36250"/>
    <x v="261"/>
    <s v="Personnel"/>
    <s v="H "/>
    <s v="High Grade Group 9-12"/>
    <s v="PS26HS"/>
    <s v="PSES High Prog01Act26 S275"/>
    <n v="1"/>
    <x v="2"/>
    <m/>
    <n v="26"/>
    <s v="   "/>
    <n v="1.7030000000000001"/>
    <n v="0.27229999999999999"/>
    <n v="0"/>
    <s v="High Health/_x000a_Related Services"/>
    <x v="2"/>
  </r>
  <r>
    <s v="36250"/>
    <x v="261"/>
    <s v="Personnel"/>
    <s v="M "/>
    <s v="Middle Grade Group 7-8"/>
    <s v="PS26MS"/>
    <s v="PSES Mid Prog01Act26 S275"/>
    <n v="1"/>
    <x v="2"/>
    <m/>
    <n v="26"/>
    <s v="   "/>
    <n v="0.70299999999999996"/>
    <n v="0.27229999999999999"/>
    <n v="0"/>
    <s v="Middle Health/_x000a_Related Services"/>
    <x v="2"/>
  </r>
  <r>
    <s v="36250"/>
    <x v="261"/>
    <s v="Personnel"/>
    <s v="E "/>
    <s v="Elementary Grade Group K-6"/>
    <s v="PS42ES"/>
    <s v="PSES Elem Prog01Duty42 S275"/>
    <n v="1"/>
    <x v="5"/>
    <n v="42"/>
    <m/>
    <s v="   "/>
    <n v="3"/>
    <n v="0.27229999999999999"/>
    <n v="0"/>
    <s v="Elementary Counselor"/>
    <x v="5"/>
  </r>
  <r>
    <s v="36250"/>
    <x v="261"/>
    <s v="Personnel"/>
    <s v="H "/>
    <s v="High Grade Group 9-12"/>
    <s v="PS42HS"/>
    <s v="PSES High Prog01Duty42 S275"/>
    <n v="1"/>
    <x v="5"/>
    <n v="42"/>
    <m/>
    <s v="   "/>
    <n v="0.86"/>
    <n v="0.27229999999999999"/>
    <n v="0"/>
    <s v="High Counselor"/>
    <x v="5"/>
  </r>
  <r>
    <s v="36250"/>
    <x v="261"/>
    <s v="Personnel"/>
    <s v="E "/>
    <s v="Elementary Grade Group K-6"/>
    <s v="PS44ES"/>
    <s v="PSES Elem Prog01Duty44 S275"/>
    <n v="1"/>
    <x v="13"/>
    <n v="44"/>
    <m/>
    <s v="   "/>
    <n v="0.5"/>
    <n v="0.27229999999999999"/>
    <n v="0"/>
    <s v="Elementary Social Worker"/>
    <x v="13"/>
  </r>
  <r>
    <s v="36250"/>
    <x v="261"/>
    <s v="Personnel"/>
    <s v="H "/>
    <s v="High Grade Group 9-12"/>
    <s v="PS44HS"/>
    <s v="PSES High Prog01Duty44 S275"/>
    <n v="1"/>
    <x v="13"/>
    <n v="44"/>
    <m/>
    <s v="   "/>
    <n v="0.25"/>
    <n v="0.27229999999999999"/>
    <n v="0"/>
    <s v="High Social Worker"/>
    <x v="13"/>
  </r>
  <r>
    <s v="36250"/>
    <x v="261"/>
    <s v="Personnel"/>
    <s v="M "/>
    <s v="Middle Grade Group 7-8"/>
    <s v="PS44MS"/>
    <s v="PSES Mid Prog01Duty44 S275"/>
    <n v="1"/>
    <x v="13"/>
    <n v="44"/>
    <m/>
    <s v="   "/>
    <n v="0.25"/>
    <n v="0.27229999999999999"/>
    <n v="0"/>
    <s v="Middle Social Worker"/>
    <x v="13"/>
  </r>
  <r>
    <s v="36250"/>
    <x v="261"/>
    <s v="Personnel"/>
    <s v="E "/>
    <s v="Elementary Grade Group K-6"/>
    <s v="PS45E21S"/>
    <s v="PSES Elem Prog21Duty45 S275"/>
    <n v="21"/>
    <x v="7"/>
    <n v="45"/>
    <m/>
    <s v="   "/>
    <n v="1"/>
    <n v="0.27229999999999999"/>
    <n v="0.27200000000000002"/>
    <s v="Elementary Speech, Language Pathway/_x000a_Audio"/>
    <x v="7"/>
  </r>
  <r>
    <s v="36250"/>
    <x v="261"/>
    <s v="Personnel"/>
    <s v="E "/>
    <s v="Elementary Grade Group K-6"/>
    <s v="PS46E21S"/>
    <s v="PSES Elem Prog21Duty46 S275"/>
    <n v="21"/>
    <x v="8"/>
    <n v="46"/>
    <m/>
    <s v="   "/>
    <n v="1"/>
    <n v="0.27229999999999999"/>
    <n v="0.27200000000000002"/>
    <s v="Elementary Psychologist"/>
    <x v="8"/>
  </r>
  <r>
    <s v="36300"/>
    <x v="262"/>
    <s v="Personnel"/>
    <s v="E "/>
    <s v="Elementary Grade Group K-6"/>
    <s v="PS26ES"/>
    <s v="PSES Elem Prog01Act26 S275"/>
    <n v="1"/>
    <x v="2"/>
    <m/>
    <n v="26"/>
    <s v="   "/>
    <n v="0.25"/>
    <n v="0.105"/>
    <n v="0"/>
    <s v="Elementary Health/_x000a_Related Services"/>
    <x v="2"/>
  </r>
  <r>
    <s v="36300"/>
    <x v="262"/>
    <s v="Personnel"/>
    <s v="H "/>
    <s v="High Grade Group 9-12"/>
    <s v="PS42HS"/>
    <s v="PSES High Prog01Duty42 S275"/>
    <n v="1"/>
    <x v="5"/>
    <n v="42"/>
    <m/>
    <s v="   "/>
    <n v="0.6"/>
    <n v="0.105"/>
    <n v="0"/>
    <s v="High Counselor"/>
    <x v="5"/>
  </r>
  <r>
    <s v="36400"/>
    <x v="263"/>
    <s v="Personnel"/>
    <s v="H "/>
    <s v="High Grade Group 9-12"/>
    <s v="PS26HS"/>
    <s v="PSES High Prog01Act26 S275"/>
    <n v="1"/>
    <x v="2"/>
    <m/>
    <n v="26"/>
    <s v="   "/>
    <n v="0.36499999999999999"/>
    <n v="0.24610000000000001"/>
    <n v="0"/>
    <s v="High Health/_x000a_Related Services"/>
    <x v="2"/>
  </r>
  <r>
    <s v="36400"/>
    <x v="263"/>
    <s v="Personnel"/>
    <s v="M "/>
    <s v="Middle Grade Group 7-8"/>
    <s v="PS26MS"/>
    <s v="PSES Mid Prog01Act26 S275"/>
    <n v="1"/>
    <x v="2"/>
    <m/>
    <n v="26"/>
    <s v="   "/>
    <n v="0.36499999999999999"/>
    <n v="0.24610000000000001"/>
    <n v="0"/>
    <s v="Middle Health/_x000a_Related Services"/>
    <x v="2"/>
  </r>
  <r>
    <s v="36400"/>
    <x v="263"/>
    <s v="Personnel"/>
    <s v="H "/>
    <s v="High Grade Group 9-12"/>
    <s v="PS42HS"/>
    <s v="PSES High Prog01Duty42 S275"/>
    <n v="1"/>
    <x v="5"/>
    <n v="42"/>
    <m/>
    <s v="   "/>
    <n v="1"/>
    <n v="0.24610000000000001"/>
    <n v="0"/>
    <s v="High Counselor"/>
    <x v="5"/>
  </r>
  <r>
    <s v="36400"/>
    <x v="263"/>
    <s v="Personnel"/>
    <s v="E "/>
    <s v="Elementary Grade Group K-6"/>
    <s v="PS46E21S"/>
    <s v="PSES Elem Prog21Duty46 S275"/>
    <n v="21"/>
    <x v="8"/>
    <n v="46"/>
    <m/>
    <s v="   "/>
    <n v="0.25"/>
    <n v="0.24610000000000001"/>
    <n v="6.2E-2"/>
    <s v="Elementary Psychologist"/>
    <x v="8"/>
  </r>
  <r>
    <s v="36400"/>
    <x v="263"/>
    <s v="Personnel"/>
    <s v="E "/>
    <s v="Elementary Grade Group K-6"/>
    <s v="PS46ES"/>
    <s v="PSES Elem Prog01Duty46 S275"/>
    <n v="1"/>
    <x v="8"/>
    <n v="46"/>
    <m/>
    <s v="   "/>
    <n v="0.25"/>
    <n v="0.24610000000000001"/>
    <n v="0"/>
    <s v="Elementary Psychologist"/>
    <x v="8"/>
  </r>
  <r>
    <s v="36400"/>
    <x v="263"/>
    <s v="Personnel"/>
    <s v="H "/>
    <s v="High Grade Group 9-12"/>
    <s v="PS46H21S"/>
    <s v="PSES High Prog21Duty46 S275"/>
    <n v="21"/>
    <x v="8"/>
    <n v="46"/>
    <m/>
    <s v="   "/>
    <n v="0.125"/>
    <n v="0.24610000000000001"/>
    <n v="3.1E-2"/>
    <s v="High Psychologist"/>
    <x v="8"/>
  </r>
  <r>
    <s v="36400"/>
    <x v="263"/>
    <s v="Personnel"/>
    <s v="H "/>
    <s v="High Grade Group 9-12"/>
    <s v="PS46HS"/>
    <s v="PSES High Prog01Duty46 S275"/>
    <n v="1"/>
    <x v="8"/>
    <n v="46"/>
    <m/>
    <s v="   "/>
    <n v="0.125"/>
    <n v="0.24610000000000001"/>
    <n v="0"/>
    <s v="High Psychologist"/>
    <x v="8"/>
  </r>
  <r>
    <s v="36400"/>
    <x v="263"/>
    <s v="Personnel"/>
    <s v="M "/>
    <s v="Middle Grade Group 7-8"/>
    <s v="PS46M21S"/>
    <s v="PSES Mid Prog21Duty46 S275"/>
    <n v="21"/>
    <x v="8"/>
    <n v="46"/>
    <m/>
    <s v="   "/>
    <n v="0.125"/>
    <n v="0.24610000000000001"/>
    <n v="3.1E-2"/>
    <s v="Middle Psychologist"/>
    <x v="8"/>
  </r>
  <r>
    <s v="36400"/>
    <x v="263"/>
    <s v="Personnel"/>
    <s v="M "/>
    <s v="Middle Grade Group 7-8"/>
    <s v="PS46MS"/>
    <s v="PSES Mid Prog01Duty46 S275"/>
    <n v="1"/>
    <x v="8"/>
    <n v="46"/>
    <m/>
    <s v="   "/>
    <n v="0.125"/>
    <n v="0.24610000000000001"/>
    <n v="0"/>
    <s v="Middle Psychologist"/>
    <x v="8"/>
  </r>
  <r>
    <s v="36401"/>
    <x v="264"/>
    <s v="Personnel"/>
    <s v="E "/>
    <s v="Elementary Grade Group K-6"/>
    <s v="PS24ES"/>
    <s v="PSES Elem Prog01Duty96 S275"/>
    <n v="1"/>
    <x v="0"/>
    <n v="96"/>
    <n v="24"/>
    <s v="   "/>
    <n v="0.23599999999999999"/>
    <n v="0.1913"/>
    <n v="0"/>
    <s v="Elementary Family Engagement Coordinator"/>
    <x v="0"/>
  </r>
  <r>
    <s v="36401"/>
    <x v="264"/>
    <s v="Personnel"/>
    <s v="H "/>
    <s v="High Grade Group 9-12"/>
    <s v="PS24HS"/>
    <s v="PSES High Prog01Duty96 S275"/>
    <n v="1"/>
    <x v="0"/>
    <n v="96"/>
    <n v="24"/>
    <s v="   "/>
    <n v="0.23599999999999999"/>
    <n v="0.1913"/>
    <n v="0"/>
    <s v="High Family Engagement Coordinator"/>
    <x v="0"/>
  </r>
  <r>
    <s v="36401"/>
    <x v="264"/>
    <s v="Personnel"/>
    <s v="M "/>
    <s v="Middle Grade Group 7-8"/>
    <s v="PS24MS"/>
    <s v="PSES Mid Prog01Duty96 S275"/>
    <n v="1"/>
    <x v="0"/>
    <n v="96"/>
    <n v="24"/>
    <s v="   "/>
    <n v="0.23599999999999999"/>
    <n v="0.1913"/>
    <n v="0"/>
    <s v="Middle Family Engagement Coordinator"/>
    <x v="0"/>
  </r>
  <r>
    <s v="36401"/>
    <x v="264"/>
    <s v="Personnel"/>
    <s v="H "/>
    <s v="High Grade Group 9-12"/>
    <s v="PS25H21S"/>
    <s v="PSES High Prog21Act25 S275"/>
    <n v="21"/>
    <x v="1"/>
    <m/>
    <n v="25"/>
    <s v="   "/>
    <n v="0.16400000000000001"/>
    <n v="0.1913"/>
    <n v="3.1E-2"/>
    <s v="High Pupil Management"/>
    <x v="1"/>
  </r>
  <r>
    <s v="36401"/>
    <x v="264"/>
    <s v="Personnel"/>
    <s v="H "/>
    <s v="High Grade Group 9-12"/>
    <s v="PS25HS"/>
    <s v="PSES High Prog01Act25 S275"/>
    <n v="1"/>
    <x v="1"/>
    <m/>
    <n v="25"/>
    <s v="   "/>
    <n v="0.40799999999999997"/>
    <n v="0.1913"/>
    <n v="0"/>
    <s v="High Pupil Management"/>
    <x v="1"/>
  </r>
  <r>
    <s v="36402"/>
    <x v="265"/>
    <s v="Personnel"/>
    <s v="E "/>
    <s v="Elementary Grade Group K-6"/>
    <s v="PS26ES"/>
    <s v="PSES Elem Prog01Act26 S275"/>
    <n v="1"/>
    <x v="2"/>
    <m/>
    <n v="26"/>
    <s v="   "/>
    <n v="1.2999999999999999E-2"/>
    <n v="0.17299999999999999"/>
    <n v="0"/>
    <s v="Elementary Health/_x000a_Related Services"/>
    <x v="2"/>
  </r>
  <r>
    <s v="36402"/>
    <x v="265"/>
    <s v="Personnel"/>
    <s v="E "/>
    <s v="Elementary Grade Group K-6"/>
    <s v="PS42ES"/>
    <s v="PSES Elem Prog01Duty42 S275"/>
    <n v="1"/>
    <x v="5"/>
    <n v="42"/>
    <m/>
    <s v="   "/>
    <n v="0.05"/>
    <n v="0.17299999999999999"/>
    <n v="0"/>
    <s v="Elementary Counselor"/>
    <x v="5"/>
  </r>
  <r>
    <s v="36402"/>
    <x v="265"/>
    <s v="Personnel"/>
    <s v="H "/>
    <s v="High Grade Group 9-12"/>
    <s v="PS42HS"/>
    <s v="PSES High Prog01Duty42 S275"/>
    <n v="1"/>
    <x v="5"/>
    <n v="42"/>
    <m/>
    <s v="   "/>
    <n v="0.18"/>
    <n v="0.17299999999999999"/>
    <n v="0"/>
    <s v="High Counselor"/>
    <x v="5"/>
  </r>
  <r>
    <s v="36402"/>
    <x v="265"/>
    <s v="Personnel"/>
    <s v="M "/>
    <s v="Middle Grade Group 7-8"/>
    <s v="PS42MS"/>
    <s v="PSES Mid Prog01Duty42 S275"/>
    <n v="1"/>
    <x v="5"/>
    <n v="42"/>
    <m/>
    <s v="   "/>
    <n v="0.17"/>
    <n v="0.17299999999999999"/>
    <n v="0"/>
    <s v="Middle Counselor"/>
    <x v="5"/>
  </r>
  <r>
    <s v="37501"/>
    <x v="266"/>
    <s v="Personnel"/>
    <s v="H "/>
    <s v="High Grade Group 9-12"/>
    <s v="PS24HS"/>
    <s v="PSES High Prog01Duty96 S275"/>
    <n v="1"/>
    <x v="0"/>
    <n v="96"/>
    <n v="24"/>
    <s v="   "/>
    <n v="3.06"/>
    <n v="0.1875"/>
    <n v="0"/>
    <s v="High Family Engagement Coordinator"/>
    <x v="0"/>
  </r>
  <r>
    <s v="37501"/>
    <x v="266"/>
    <s v="Personnel"/>
    <s v="H "/>
    <s v="High Grade Group 9-12"/>
    <s v="PS25HS"/>
    <s v="PSES High Prog01Act25 S275"/>
    <n v="1"/>
    <x v="1"/>
    <m/>
    <n v="25"/>
    <s v="   "/>
    <n v="18.640999999999998"/>
    <n v="0.1875"/>
    <n v="0"/>
    <s v="High Pupil Management"/>
    <x v="1"/>
  </r>
  <r>
    <s v="37501"/>
    <x v="266"/>
    <s v="Personnel"/>
    <s v="H "/>
    <s v="High Grade Group 9-12"/>
    <s v="PS26H21S"/>
    <s v="PSES High Prog21Act26 S275"/>
    <n v="21"/>
    <x v="2"/>
    <m/>
    <n v="26"/>
    <s v="   "/>
    <n v="1.716"/>
    <n v="0.1875"/>
    <n v="0.32200000000000001"/>
    <s v="High Health/_x000a_Related Services"/>
    <x v="2"/>
  </r>
  <r>
    <s v="37501"/>
    <x v="266"/>
    <s v="Personnel"/>
    <s v="H "/>
    <s v="High Grade Group 9-12"/>
    <s v="PS26HS"/>
    <s v="PSES High Prog01Act26 S275"/>
    <n v="1"/>
    <x v="2"/>
    <m/>
    <n v="26"/>
    <s v="   "/>
    <n v="5.1449999999999996"/>
    <n v="0.1875"/>
    <n v="0"/>
    <s v="High Health/_x000a_Related Services"/>
    <x v="2"/>
  </r>
  <r>
    <s v="37501"/>
    <x v="266"/>
    <s v="Personnel"/>
    <s v="H "/>
    <s v="High Grade Group 9-12"/>
    <s v="PS35H97S"/>
    <s v="PSES High Prog97Act35 S275"/>
    <n v="97"/>
    <x v="3"/>
    <m/>
    <n v="35"/>
    <s v="   "/>
    <n v="1"/>
    <n v="0.1875"/>
    <n v="0"/>
    <s v="High Pupil Safety"/>
    <x v="3"/>
  </r>
  <r>
    <s v="37501"/>
    <x v="266"/>
    <s v="Personnel"/>
    <s v="E "/>
    <s v="Elementary Grade Group K-6"/>
    <s v="PS42ES"/>
    <s v="PSES Elem Prog01Duty42 S275"/>
    <n v="1"/>
    <x v="5"/>
    <n v="42"/>
    <m/>
    <s v="   "/>
    <n v="5.6"/>
    <n v="0.1875"/>
    <n v="0"/>
    <s v="Elementary Counselor"/>
    <x v="5"/>
  </r>
  <r>
    <s v="37501"/>
    <x v="266"/>
    <s v="Personnel"/>
    <s v="H "/>
    <s v="High Grade Group 9-12"/>
    <s v="PS42HS"/>
    <s v="PSES High Prog01Duty42 S275"/>
    <n v="1"/>
    <x v="5"/>
    <n v="42"/>
    <m/>
    <s v="   "/>
    <n v="8.94"/>
    <n v="0.1875"/>
    <n v="0"/>
    <s v="High Counselor"/>
    <x v="5"/>
  </r>
  <r>
    <s v="37501"/>
    <x v="266"/>
    <s v="Personnel"/>
    <s v="M "/>
    <s v="Middle Grade Group 7-8"/>
    <s v="PS42MS"/>
    <s v="PSES Mid Prog01Duty42 S275"/>
    <n v="1"/>
    <x v="5"/>
    <n v="42"/>
    <m/>
    <s v="   "/>
    <n v="5.42"/>
    <n v="0.1875"/>
    <n v="0"/>
    <s v="Middle Counselor"/>
    <x v="5"/>
  </r>
  <r>
    <s v="37501"/>
    <x v="266"/>
    <s v="Personnel"/>
    <s v="E "/>
    <s v="Elementary Grade Group K-6"/>
    <s v="PS43E21S"/>
    <s v="PSES Elem Prog21Duty43 S275"/>
    <n v="21"/>
    <x v="6"/>
    <n v="43"/>
    <m/>
    <s v="   "/>
    <n v="6.4160000000000004"/>
    <n v="0.1875"/>
    <n v="1.2030000000000001"/>
    <s v="Elementary Occupational Therapist"/>
    <x v="6"/>
  </r>
  <r>
    <s v="37501"/>
    <x v="266"/>
    <s v="Personnel"/>
    <s v="H "/>
    <s v="High Grade Group 9-12"/>
    <s v="PS43H21S"/>
    <s v="PSES High Prog21Duty43 S275"/>
    <n v="21"/>
    <x v="6"/>
    <n v="43"/>
    <m/>
    <s v="   "/>
    <n v="0.6"/>
    <n v="0.1875"/>
    <n v="0.113"/>
    <s v="High Occupational Therapist"/>
    <x v="6"/>
  </r>
  <r>
    <s v="37501"/>
    <x v="266"/>
    <s v="Personnel"/>
    <s v="M "/>
    <s v="Middle Grade Group 7-8"/>
    <s v="PS43M21S"/>
    <s v="PSES Mid Prog21Duty43 S275"/>
    <n v="21"/>
    <x v="6"/>
    <n v="43"/>
    <m/>
    <s v="   "/>
    <n v="1.0840000000000001"/>
    <n v="0.1875"/>
    <n v="0.20300000000000001"/>
    <s v="Middle Occupational Therapist"/>
    <x v="6"/>
  </r>
  <r>
    <s v="37501"/>
    <x v="266"/>
    <s v="Personnel"/>
    <s v="E "/>
    <s v="Elementary Grade Group K-6"/>
    <s v="PS45E21S"/>
    <s v="PSES Elem Prog21Duty45 S275"/>
    <n v="21"/>
    <x v="7"/>
    <n v="45"/>
    <m/>
    <s v="   "/>
    <n v="13.75"/>
    <n v="0.1875"/>
    <n v="2.5779999999999998"/>
    <s v="Elementary Speech, Language Pathway/_x000a_Audio"/>
    <x v="7"/>
  </r>
  <r>
    <s v="37501"/>
    <x v="266"/>
    <s v="Personnel"/>
    <s v="H "/>
    <s v="High Grade Group 9-12"/>
    <s v="PS45H21S"/>
    <s v="PSES High Prog21Duty45 S275"/>
    <n v="21"/>
    <x v="7"/>
    <n v="45"/>
    <m/>
    <s v="   "/>
    <n v="2.5840000000000001"/>
    <n v="0.1875"/>
    <n v="0.48499999999999999"/>
    <s v="High Speech, Language Pathway/_x000a_Audio"/>
    <x v="7"/>
  </r>
  <r>
    <s v="37501"/>
    <x v="266"/>
    <s v="Personnel"/>
    <s v="M "/>
    <s v="Middle Grade Group 7-8"/>
    <s v="PS45M21S"/>
    <s v="PSES Mid Prog21Duty45 S275"/>
    <n v="21"/>
    <x v="7"/>
    <n v="45"/>
    <m/>
    <s v="   "/>
    <n v="2.5659999999999998"/>
    <n v="0.1875"/>
    <n v="0.48099999999999998"/>
    <s v="Middle Speech, Language Pathway/_x000a_Audio"/>
    <x v="7"/>
  </r>
  <r>
    <s v="37501"/>
    <x v="266"/>
    <s v="Personnel"/>
    <s v="E "/>
    <s v="Elementary Grade Group K-6"/>
    <s v="PS46E21S"/>
    <s v="PSES Elem Prog21Duty46 S275"/>
    <n v="21"/>
    <x v="8"/>
    <n v="46"/>
    <m/>
    <s v="   "/>
    <n v="8.6999999999999993"/>
    <n v="0.1875"/>
    <n v="1.631"/>
    <s v="Elementary Psychologist"/>
    <x v="8"/>
  </r>
  <r>
    <s v="37501"/>
    <x v="266"/>
    <s v="Personnel"/>
    <s v="H "/>
    <s v="High Grade Group 9-12"/>
    <s v="PS46H21S"/>
    <s v="PSES High Prog21Duty46 S275"/>
    <n v="21"/>
    <x v="8"/>
    <n v="46"/>
    <m/>
    <s v="   "/>
    <n v="3.1669999999999998"/>
    <n v="0.1875"/>
    <n v="0.59399999999999997"/>
    <s v="High Psychologist"/>
    <x v="8"/>
  </r>
  <r>
    <s v="37501"/>
    <x v="266"/>
    <s v="Personnel"/>
    <s v="M "/>
    <s v="Middle Grade Group 7-8"/>
    <s v="PS46M21S"/>
    <s v="PSES Mid Prog21Duty46 S275"/>
    <n v="21"/>
    <x v="8"/>
    <n v="46"/>
    <m/>
    <s v="   "/>
    <n v="2.133"/>
    <n v="0.1875"/>
    <n v="0.4"/>
    <s v="Middle Psychologist"/>
    <x v="8"/>
  </r>
  <r>
    <s v="37501"/>
    <x v="266"/>
    <s v="Personnel"/>
    <s v="E "/>
    <s v="Elementary Grade Group K-6"/>
    <s v="PS47ES"/>
    <s v="PSES Elem Prog01Duty47 S275"/>
    <n v="1"/>
    <x v="9"/>
    <n v="47"/>
    <m/>
    <s v="   "/>
    <n v="4.8310000000000004"/>
    <n v="0.1875"/>
    <n v="0"/>
    <s v="Elementary Nurse"/>
    <x v="9"/>
  </r>
  <r>
    <s v="37501"/>
    <x v="266"/>
    <s v="Personnel"/>
    <s v="H "/>
    <s v="High Grade Group 9-12"/>
    <s v="PS47HS"/>
    <s v="PSES High Prog01Duty47 S275"/>
    <n v="1"/>
    <x v="9"/>
    <n v="47"/>
    <m/>
    <s v="   "/>
    <n v="1.667"/>
    <n v="0.1875"/>
    <n v="0"/>
    <s v="High Nurse"/>
    <x v="9"/>
  </r>
  <r>
    <s v="37501"/>
    <x v="266"/>
    <s v="Personnel"/>
    <s v="M "/>
    <s v="Middle Grade Group 7-8"/>
    <s v="PS47MS"/>
    <s v="PSES Mid Prog01Duty47 S275"/>
    <n v="1"/>
    <x v="9"/>
    <n v="47"/>
    <m/>
    <s v="   "/>
    <n v="1.502"/>
    <n v="0.1875"/>
    <n v="0"/>
    <s v="Middle Nurse"/>
    <x v="9"/>
  </r>
  <r>
    <s v="37501"/>
    <x v="266"/>
    <s v="Personnel"/>
    <s v="E "/>
    <s v="Elementary Grade Group K-6"/>
    <s v="PS48E21S"/>
    <s v="PSES Elem Prog21Duty48 S275"/>
    <n v="21"/>
    <x v="11"/>
    <n v="48"/>
    <m/>
    <s v="   "/>
    <n v="1.17"/>
    <n v="0.1875"/>
    <n v="0.219"/>
    <s v="Elementary Physical Therapist"/>
    <x v="11"/>
  </r>
  <r>
    <s v="37501"/>
    <x v="266"/>
    <s v="Personnel"/>
    <s v="H "/>
    <s v="High Grade Group 9-12"/>
    <s v="PS48H21S"/>
    <s v="PSES High Prog21Duty48 S275"/>
    <n v="21"/>
    <x v="11"/>
    <n v="48"/>
    <m/>
    <s v="   "/>
    <n v="0.41499999999999998"/>
    <n v="0.1875"/>
    <n v="7.8E-2"/>
    <s v="High Physical Therapist"/>
    <x v="11"/>
  </r>
  <r>
    <s v="37501"/>
    <x v="266"/>
    <s v="Personnel"/>
    <s v="M "/>
    <s v="Middle Grade Group 7-8"/>
    <s v="PS48M21S"/>
    <s v="PSES Mid Prog21Duty48 S275"/>
    <n v="21"/>
    <x v="11"/>
    <n v="48"/>
    <m/>
    <s v="   "/>
    <n v="0.33200000000000002"/>
    <n v="0.1875"/>
    <n v="6.2E-2"/>
    <s v="Middle Physical Therapist"/>
    <x v="11"/>
  </r>
  <r>
    <s v="37502"/>
    <x v="267"/>
    <s v="Personnel"/>
    <s v="H "/>
    <s v="High Grade Group 9-12"/>
    <s v="PS24HS"/>
    <s v="PSES High Prog01Duty96 S275"/>
    <n v="1"/>
    <x v="0"/>
    <n v="96"/>
    <n v="24"/>
    <s v="   "/>
    <n v="3.42"/>
    <n v="0.23380000000000001"/>
    <n v="0"/>
    <s v="High Family Engagement Coordinator"/>
    <x v="0"/>
  </r>
  <r>
    <s v="37502"/>
    <x v="267"/>
    <s v="Personnel"/>
    <s v="H "/>
    <s v="High Grade Group 9-12"/>
    <s v="PS25H21S"/>
    <s v="PSES High Prog21Act25 S275"/>
    <n v="21"/>
    <x v="1"/>
    <m/>
    <n v="25"/>
    <s v="   "/>
    <n v="0.14000000000000001"/>
    <n v="0.23380000000000001"/>
    <n v="3.3000000000000002E-2"/>
    <s v="High Pupil Management"/>
    <x v="1"/>
  </r>
  <r>
    <s v="37502"/>
    <x v="267"/>
    <s v="Personnel"/>
    <s v="H "/>
    <s v="High Grade Group 9-12"/>
    <s v="PS25HS"/>
    <s v="PSES High Prog01Act25 S275"/>
    <n v="1"/>
    <x v="1"/>
    <m/>
    <n v="25"/>
    <s v="   "/>
    <n v="6.0730000000000004"/>
    <n v="0.23380000000000001"/>
    <n v="0"/>
    <s v="High Pupil Management"/>
    <x v="1"/>
  </r>
  <r>
    <s v="37502"/>
    <x v="267"/>
    <s v="Personnel"/>
    <s v="H "/>
    <s v="High Grade Group 9-12"/>
    <s v="PS26H21S"/>
    <s v="PSES High Prog21Act26 S275"/>
    <n v="21"/>
    <x v="2"/>
    <m/>
    <n v="26"/>
    <s v="   "/>
    <n v="1.401"/>
    <n v="0.23380000000000001"/>
    <n v="0.32800000000000001"/>
    <s v="High Health/_x000a_Related Services"/>
    <x v="2"/>
  </r>
  <r>
    <s v="37502"/>
    <x v="267"/>
    <s v="Personnel"/>
    <s v="H "/>
    <s v="High Grade Group 9-12"/>
    <s v="PS26HS"/>
    <s v="PSES High Prog01Act26 S275"/>
    <n v="1"/>
    <x v="2"/>
    <m/>
    <n v="26"/>
    <s v="   "/>
    <n v="2.2370000000000001"/>
    <n v="0.23380000000000001"/>
    <n v="0"/>
    <s v="High Health/_x000a_Related Services"/>
    <x v="2"/>
  </r>
  <r>
    <s v="37502"/>
    <x v="267"/>
    <s v="Personnel"/>
    <s v="H "/>
    <s v="High Grade Group 9-12"/>
    <s v="PS42HS"/>
    <s v="PSES High Prog01Duty42 S275"/>
    <n v="1"/>
    <x v="5"/>
    <n v="42"/>
    <m/>
    <s v="   "/>
    <n v="3"/>
    <n v="0.23380000000000001"/>
    <n v="0"/>
    <s v="High Counselor"/>
    <x v="5"/>
  </r>
  <r>
    <s v="37502"/>
    <x v="267"/>
    <s v="Personnel"/>
    <s v="M "/>
    <s v="Middle Grade Group 7-8"/>
    <s v="PS42MS"/>
    <s v="PSES Mid Prog01Duty42 S275"/>
    <n v="1"/>
    <x v="5"/>
    <n v="42"/>
    <m/>
    <s v="   "/>
    <n v="2"/>
    <n v="0.23380000000000001"/>
    <n v="0"/>
    <s v="Middle Counselor"/>
    <x v="5"/>
  </r>
  <r>
    <s v="37502"/>
    <x v="267"/>
    <s v="Personnel"/>
    <s v="E "/>
    <s v="Elementary Grade Group K-6"/>
    <s v="PS43E21S"/>
    <s v="PSES Elem Prog21Duty43 S275"/>
    <n v="21"/>
    <x v="6"/>
    <n v="43"/>
    <m/>
    <s v="   "/>
    <n v="1.891"/>
    <n v="0.23380000000000001"/>
    <n v="0.442"/>
    <s v="Elementary Occupational Therapist"/>
    <x v="6"/>
  </r>
  <r>
    <s v="37502"/>
    <x v="267"/>
    <s v="Personnel"/>
    <s v="H "/>
    <s v="High Grade Group 9-12"/>
    <s v="PS43H21S"/>
    <s v="PSES High Prog21Duty43 S275"/>
    <n v="21"/>
    <x v="6"/>
    <n v="43"/>
    <m/>
    <s v="   "/>
    <n v="0.51500000000000001"/>
    <n v="0.23380000000000001"/>
    <n v="0.12"/>
    <s v="High Occupational Therapist"/>
    <x v="6"/>
  </r>
  <r>
    <s v="37502"/>
    <x v="267"/>
    <s v="Personnel"/>
    <s v="M "/>
    <s v="Middle Grade Group 7-8"/>
    <s v="PS43M21S"/>
    <s v="PSES Mid Prog21Duty43 S275"/>
    <n v="21"/>
    <x v="6"/>
    <n v="43"/>
    <m/>
    <s v="   "/>
    <n v="1.069"/>
    <n v="0.23380000000000001"/>
    <n v="0.25"/>
    <s v="Middle Occupational Therapist"/>
    <x v="6"/>
  </r>
  <r>
    <s v="37502"/>
    <x v="267"/>
    <s v="Personnel"/>
    <s v="E "/>
    <s v="Elementary Grade Group K-6"/>
    <s v="PS45E21S"/>
    <s v="PSES Elem Prog21Duty45 S275"/>
    <n v="21"/>
    <x v="7"/>
    <n v="45"/>
    <m/>
    <s v="   "/>
    <n v="5.0999999999999996"/>
    <n v="0.23380000000000001"/>
    <n v="1.1919999999999999"/>
    <s v="Elementary Speech, Language Pathway/_x000a_Audio"/>
    <x v="7"/>
  </r>
  <r>
    <s v="37502"/>
    <x v="267"/>
    <s v="Personnel"/>
    <s v="H "/>
    <s v="High Grade Group 9-12"/>
    <s v="PS45H21S"/>
    <s v="PSES High Prog21Duty45 S275"/>
    <n v="21"/>
    <x v="7"/>
    <n v="45"/>
    <m/>
    <s v="   "/>
    <n v="0.5"/>
    <n v="0.23380000000000001"/>
    <n v="0.11700000000000001"/>
    <s v="High Speech, Language Pathway/_x000a_Audio"/>
    <x v="7"/>
  </r>
  <r>
    <s v="37502"/>
    <x v="267"/>
    <s v="Personnel"/>
    <s v="M "/>
    <s v="Middle Grade Group 7-8"/>
    <s v="PS45M21S"/>
    <s v="PSES Mid Prog21Duty45 S275"/>
    <n v="21"/>
    <x v="7"/>
    <n v="45"/>
    <m/>
    <s v="   "/>
    <n v="1.05"/>
    <n v="0.23380000000000001"/>
    <n v="0.245"/>
    <s v="Middle Speech, Language Pathway/_x000a_Audio"/>
    <x v="7"/>
  </r>
  <r>
    <s v="37502"/>
    <x v="267"/>
    <s v="Personnel"/>
    <s v="M "/>
    <s v="Middle Grade Group 7-8"/>
    <s v="PS45MS"/>
    <s v="PSES Mid Prog01Duty45 S275"/>
    <n v="1"/>
    <x v="7"/>
    <n v="45"/>
    <m/>
    <s v="   "/>
    <n v="0.05"/>
    <n v="0.23380000000000001"/>
    <n v="0"/>
    <s v="Middle Speech, Language Pathway/_x000a_Audio"/>
    <x v="7"/>
  </r>
  <r>
    <s v="37502"/>
    <x v="267"/>
    <s v="Personnel"/>
    <s v="E "/>
    <s v="Elementary Grade Group K-6"/>
    <s v="PS46E21S"/>
    <s v="PSES Elem Prog21Duty46 S275"/>
    <n v="21"/>
    <x v="8"/>
    <n v="46"/>
    <m/>
    <s v="   "/>
    <n v="2.5"/>
    <n v="0.23380000000000001"/>
    <n v="0.58499999999999996"/>
    <s v="Elementary Psychologist"/>
    <x v="8"/>
  </r>
  <r>
    <s v="37502"/>
    <x v="267"/>
    <s v="Personnel"/>
    <s v="H "/>
    <s v="High Grade Group 9-12"/>
    <s v="PS46H21S"/>
    <s v="PSES High Prog21Duty46 S275"/>
    <n v="21"/>
    <x v="8"/>
    <n v="46"/>
    <m/>
    <s v="   "/>
    <n v="2.5"/>
    <n v="0.23380000000000001"/>
    <n v="0.58499999999999996"/>
    <s v="High Psychologist"/>
    <x v="8"/>
  </r>
  <r>
    <s v="37502"/>
    <x v="267"/>
    <s v="Personnel"/>
    <s v="E "/>
    <s v="Elementary Grade Group K-6"/>
    <s v="PS47ES"/>
    <s v="PSES Elem Prog01Duty47 S275"/>
    <n v="1"/>
    <x v="9"/>
    <n v="47"/>
    <m/>
    <s v="   "/>
    <n v="1.5"/>
    <n v="0.23380000000000001"/>
    <n v="0"/>
    <s v="Elementary Nurse"/>
    <x v="9"/>
  </r>
  <r>
    <s v="37502"/>
    <x v="267"/>
    <s v="Personnel"/>
    <s v="M "/>
    <s v="Middle Grade Group 7-8"/>
    <s v="PS47MS"/>
    <s v="PSES Mid Prog01Duty47 S275"/>
    <n v="1"/>
    <x v="9"/>
    <n v="47"/>
    <m/>
    <s v="   "/>
    <n v="1.8"/>
    <n v="0.23380000000000001"/>
    <n v="0"/>
    <s v="Middle Nurse"/>
    <x v="9"/>
  </r>
  <r>
    <s v="37502"/>
    <x v="267"/>
    <s v="Personnel"/>
    <s v="E "/>
    <s v="Elementary Grade Group K-6"/>
    <s v="PS48E21S"/>
    <s v="PSES Elem Prog21Duty48 S275"/>
    <n v="21"/>
    <x v="11"/>
    <n v="48"/>
    <m/>
    <s v="   "/>
    <n v="1"/>
    <n v="0.23380000000000001"/>
    <n v="0.23400000000000001"/>
    <s v="Elementary Physical Therapist"/>
    <x v="11"/>
  </r>
  <r>
    <s v="37502"/>
    <x v="267"/>
    <s v="Personnel"/>
    <s v="H "/>
    <s v="High Grade Group 9-12"/>
    <s v="PS48H21S"/>
    <s v="PSES High Prog21Duty48 S275"/>
    <n v="21"/>
    <x v="11"/>
    <n v="48"/>
    <m/>
    <s v="   "/>
    <n v="0.20100000000000001"/>
    <n v="0.23380000000000001"/>
    <n v="4.7E-2"/>
    <s v="High Physical Therapist"/>
    <x v="11"/>
  </r>
  <r>
    <s v="37502"/>
    <x v="267"/>
    <s v="Personnel"/>
    <s v="M "/>
    <s v="Middle Grade Group 7-8"/>
    <s v="PS48M21S"/>
    <s v="PSES Mid Prog21Duty48 S275"/>
    <n v="21"/>
    <x v="11"/>
    <n v="48"/>
    <m/>
    <s v="   "/>
    <n v="0.2"/>
    <n v="0.23380000000000001"/>
    <n v="4.7E-2"/>
    <s v="Middle Physical Therapist"/>
    <x v="11"/>
  </r>
  <r>
    <s v="37503"/>
    <x v="268"/>
    <s v="Personnel"/>
    <s v="E "/>
    <s v="Elementary Grade Group K-6"/>
    <s v="PS25ES"/>
    <s v="PSES Elem Prog01Act25 S275"/>
    <n v="1"/>
    <x v="1"/>
    <m/>
    <n v="25"/>
    <s v="   "/>
    <n v="0.23200000000000001"/>
    <n v="0.1777"/>
    <n v="0"/>
    <s v="Elementary Pupil Management"/>
    <x v="1"/>
  </r>
  <r>
    <s v="37503"/>
    <x v="268"/>
    <s v="Personnel"/>
    <s v="H "/>
    <s v="High Grade Group 9-12"/>
    <s v="PS25H21S"/>
    <s v="PSES High Prog21Act25 S275"/>
    <n v="21"/>
    <x v="1"/>
    <m/>
    <n v="25"/>
    <s v="   "/>
    <n v="0.03"/>
    <n v="0.1777"/>
    <n v="5.0000000000000001E-3"/>
    <s v="High Pupil Management"/>
    <x v="1"/>
  </r>
  <r>
    <s v="37503"/>
    <x v="268"/>
    <s v="Personnel"/>
    <s v="H "/>
    <s v="High Grade Group 9-12"/>
    <s v="PS25HS"/>
    <s v="PSES High Prog01Act25 S275"/>
    <n v="1"/>
    <x v="1"/>
    <m/>
    <n v="25"/>
    <s v="   "/>
    <n v="1.6240000000000001"/>
    <n v="0.1777"/>
    <n v="0"/>
    <s v="High Pupil Management"/>
    <x v="1"/>
  </r>
  <r>
    <s v="37503"/>
    <x v="268"/>
    <s v="Personnel"/>
    <s v="E "/>
    <s v="Elementary Grade Group K-6"/>
    <s v="PS26ES"/>
    <s v="PSES Elem Prog01Act26 S275"/>
    <n v="1"/>
    <x v="2"/>
    <m/>
    <n v="26"/>
    <s v="   "/>
    <n v="0.27800000000000002"/>
    <n v="0.1777"/>
    <n v="0"/>
    <s v="Elementary Health/_x000a_Related Services"/>
    <x v="2"/>
  </r>
  <r>
    <s v="37503"/>
    <x v="268"/>
    <s v="Personnel"/>
    <s v="H "/>
    <s v="High Grade Group 9-12"/>
    <s v="PS26H21S"/>
    <s v="PSES High Prog21Act26 S275"/>
    <n v="21"/>
    <x v="2"/>
    <m/>
    <n v="26"/>
    <s v="   "/>
    <n v="1.286"/>
    <n v="0.1777"/>
    <n v="0.22900000000000001"/>
    <s v="High Health/_x000a_Related Services"/>
    <x v="2"/>
  </r>
  <r>
    <s v="37503"/>
    <x v="268"/>
    <s v="Personnel"/>
    <s v="H "/>
    <s v="High Grade Group 9-12"/>
    <s v="PS26HS"/>
    <s v="PSES High Prog01Act26 S275"/>
    <n v="1"/>
    <x v="2"/>
    <m/>
    <n v="26"/>
    <s v="   "/>
    <n v="0.55700000000000005"/>
    <n v="0.1777"/>
    <n v="0"/>
    <s v="High Health/_x000a_Related Services"/>
    <x v="2"/>
  </r>
  <r>
    <s v="37503"/>
    <x v="268"/>
    <s v="Personnel"/>
    <s v="M "/>
    <s v="Middle Grade Group 7-8"/>
    <s v="PS26MS"/>
    <s v="PSES Mid Prog01Act26 S275"/>
    <n v="1"/>
    <x v="2"/>
    <m/>
    <n v="26"/>
    <s v="   "/>
    <n v="0.27800000000000002"/>
    <n v="0.1777"/>
    <n v="0"/>
    <s v="Middle Health/_x000a_Related Services"/>
    <x v="2"/>
  </r>
  <r>
    <s v="37503"/>
    <x v="268"/>
    <s v="Personnel"/>
    <s v="E "/>
    <s v="Elementary Grade Group K-6"/>
    <s v="PS42ES"/>
    <s v="PSES Elem Prog01Duty42 S275"/>
    <n v="1"/>
    <x v="5"/>
    <n v="42"/>
    <m/>
    <s v="   "/>
    <n v="2.31"/>
    <n v="0.1777"/>
    <n v="0"/>
    <s v="Elementary Counselor"/>
    <x v="5"/>
  </r>
  <r>
    <s v="37503"/>
    <x v="268"/>
    <s v="Personnel"/>
    <s v="H "/>
    <s v="High Grade Group 9-12"/>
    <s v="PS42HS"/>
    <s v="PSES High Prog01Duty42 S275"/>
    <n v="1"/>
    <x v="5"/>
    <n v="42"/>
    <m/>
    <s v="   "/>
    <n v="1.94"/>
    <n v="0.1777"/>
    <n v="0"/>
    <s v="High Counselor"/>
    <x v="5"/>
  </r>
  <r>
    <s v="37503"/>
    <x v="268"/>
    <s v="Personnel"/>
    <s v="M "/>
    <s v="Middle Grade Group 7-8"/>
    <s v="PS42MS"/>
    <s v="PSES Mid Prog01Duty42 S275"/>
    <n v="1"/>
    <x v="5"/>
    <n v="42"/>
    <m/>
    <s v="   "/>
    <n v="0.69"/>
    <n v="0.1777"/>
    <n v="0"/>
    <s v="Middle Counselor"/>
    <x v="5"/>
  </r>
  <r>
    <s v="37503"/>
    <x v="268"/>
    <s v="Personnel"/>
    <s v="E "/>
    <s v="Elementary Grade Group K-6"/>
    <s v="PS43E21S"/>
    <s v="PSES Elem Prog21Duty43 S275"/>
    <n v="21"/>
    <x v="6"/>
    <n v="43"/>
    <m/>
    <s v="   "/>
    <n v="0.4"/>
    <n v="0.1777"/>
    <n v="7.0999999999999994E-2"/>
    <s v="Elementary Occupational Therapist"/>
    <x v="6"/>
  </r>
  <r>
    <s v="37503"/>
    <x v="268"/>
    <s v="Personnel"/>
    <s v="H "/>
    <s v="High Grade Group 9-12"/>
    <s v="PS43H21S"/>
    <s v="PSES High Prog21Duty43 S275"/>
    <n v="21"/>
    <x v="6"/>
    <n v="43"/>
    <m/>
    <s v="   "/>
    <n v="0.4"/>
    <n v="0.1777"/>
    <n v="7.0999999999999994E-2"/>
    <s v="High Occupational Therapist"/>
    <x v="6"/>
  </r>
  <r>
    <s v="37503"/>
    <x v="268"/>
    <s v="Personnel"/>
    <s v="M "/>
    <s v="Middle Grade Group 7-8"/>
    <s v="PS43M21S"/>
    <s v="PSES Mid Prog21Duty43 S275"/>
    <n v="21"/>
    <x v="6"/>
    <n v="43"/>
    <m/>
    <s v="   "/>
    <n v="0.2"/>
    <n v="0.1777"/>
    <n v="3.5999999999999997E-2"/>
    <s v="Middle Occupational Therapist"/>
    <x v="6"/>
  </r>
  <r>
    <s v="37503"/>
    <x v="268"/>
    <s v="Personnel"/>
    <s v="E "/>
    <s v="Elementary Grade Group K-6"/>
    <s v="PS44ES"/>
    <s v="PSES Elem Prog01Duty44 S275"/>
    <n v="1"/>
    <x v="13"/>
    <n v="44"/>
    <m/>
    <s v="   "/>
    <n v="3.5999999999999997E-2"/>
    <n v="0.1777"/>
    <n v="0"/>
    <s v="Elementary Social Worker"/>
    <x v="13"/>
  </r>
  <r>
    <s v="37503"/>
    <x v="268"/>
    <s v="Personnel"/>
    <s v="H "/>
    <s v="High Grade Group 9-12"/>
    <s v="PS44HS"/>
    <s v="PSES High Prog01Duty44 S275"/>
    <n v="1"/>
    <x v="13"/>
    <n v="44"/>
    <m/>
    <s v="   "/>
    <n v="4.7E-2"/>
    <n v="0.1777"/>
    <n v="0"/>
    <s v="High Social Worker"/>
    <x v="13"/>
  </r>
  <r>
    <s v="37503"/>
    <x v="268"/>
    <s v="Personnel"/>
    <s v="M "/>
    <s v="Middle Grade Group 7-8"/>
    <s v="PS44MS"/>
    <s v="PSES Mid Prog01Duty44 S275"/>
    <n v="1"/>
    <x v="13"/>
    <n v="44"/>
    <m/>
    <s v="   "/>
    <n v="1.6E-2"/>
    <n v="0.1777"/>
    <n v="0"/>
    <s v="Middle Social Worker"/>
    <x v="13"/>
  </r>
  <r>
    <s v="37503"/>
    <x v="268"/>
    <s v="Personnel"/>
    <s v="E "/>
    <s v="Elementary Grade Group K-6"/>
    <s v="PS45E21S"/>
    <s v="PSES Elem Prog21Duty45 S275"/>
    <n v="21"/>
    <x v="7"/>
    <n v="45"/>
    <m/>
    <s v="   "/>
    <n v="4.0039999999999996"/>
    <n v="0.1777"/>
    <n v="0.71199999999999997"/>
    <s v="Elementary Speech, Language Pathway/_x000a_Audio"/>
    <x v="7"/>
  </r>
  <r>
    <s v="37503"/>
    <x v="268"/>
    <s v="Personnel"/>
    <s v="H "/>
    <s v="High Grade Group 9-12"/>
    <s v="PS45H21S"/>
    <s v="PSES High Prog21Duty45 S275"/>
    <n v="21"/>
    <x v="7"/>
    <n v="45"/>
    <m/>
    <s v="   "/>
    <n v="0.55000000000000004"/>
    <n v="0.1777"/>
    <n v="9.8000000000000004E-2"/>
    <s v="High Speech, Language Pathway/_x000a_Audio"/>
    <x v="7"/>
  </r>
  <r>
    <s v="37503"/>
    <x v="268"/>
    <s v="Personnel"/>
    <s v="M "/>
    <s v="Middle Grade Group 7-8"/>
    <s v="PS45M21S"/>
    <s v="PSES Mid Prog21Duty45 S275"/>
    <n v="21"/>
    <x v="7"/>
    <n v="45"/>
    <m/>
    <s v="   "/>
    <n v="0.64"/>
    <n v="0.1777"/>
    <n v="0.114"/>
    <s v="Middle Speech, Language Pathway/_x000a_Audio"/>
    <x v="7"/>
  </r>
  <r>
    <s v="37503"/>
    <x v="268"/>
    <s v="Personnel"/>
    <s v="E "/>
    <s v="Elementary Grade Group K-6"/>
    <s v="PS46E21S"/>
    <s v="PSES Elem Prog21Duty46 S275"/>
    <n v="21"/>
    <x v="8"/>
    <n v="46"/>
    <m/>
    <s v="   "/>
    <n v="1.2"/>
    <n v="0.1777"/>
    <n v="0.21299999999999999"/>
    <s v="Elementary Psychologist"/>
    <x v="8"/>
  </r>
  <r>
    <s v="37503"/>
    <x v="268"/>
    <s v="Personnel"/>
    <s v="H "/>
    <s v="High Grade Group 9-12"/>
    <s v="PS46H21S"/>
    <s v="PSES High Prog21Duty46 S275"/>
    <n v="21"/>
    <x v="8"/>
    <n v="46"/>
    <m/>
    <s v="   "/>
    <n v="0.4"/>
    <n v="0.1777"/>
    <n v="7.0999999999999994E-2"/>
    <s v="High Psychologist"/>
    <x v="8"/>
  </r>
  <r>
    <s v="37503"/>
    <x v="268"/>
    <s v="Personnel"/>
    <s v="M "/>
    <s v="Middle Grade Group 7-8"/>
    <s v="PS46M21S"/>
    <s v="PSES Mid Prog21Duty46 S275"/>
    <n v="21"/>
    <x v="8"/>
    <n v="46"/>
    <m/>
    <s v="   "/>
    <n v="0.2"/>
    <n v="0.1777"/>
    <n v="3.5999999999999997E-2"/>
    <s v="Middle Psychologist"/>
    <x v="8"/>
  </r>
  <r>
    <s v="37503"/>
    <x v="268"/>
    <s v="Personnel"/>
    <s v="E "/>
    <s v="Elementary Grade Group K-6"/>
    <s v="PS47ES"/>
    <s v="PSES Elem Prog01Duty47 S275"/>
    <n v="1"/>
    <x v="9"/>
    <n v="47"/>
    <m/>
    <s v="   "/>
    <n v="0.95"/>
    <n v="0.1777"/>
    <n v="0"/>
    <s v="Elementary Nurse"/>
    <x v="9"/>
  </r>
  <r>
    <s v="37503"/>
    <x v="268"/>
    <s v="Personnel"/>
    <s v="H "/>
    <s v="High Grade Group 9-12"/>
    <s v="PS47HS"/>
    <s v="PSES High Prog01Duty47 S275"/>
    <n v="1"/>
    <x v="9"/>
    <n v="47"/>
    <m/>
    <s v="   "/>
    <n v="0.56999999999999995"/>
    <n v="0.1777"/>
    <n v="0"/>
    <s v="High Nurse"/>
    <x v="9"/>
  </r>
  <r>
    <s v="37503"/>
    <x v="268"/>
    <s v="Personnel"/>
    <s v="M "/>
    <s v="Middle Grade Group 7-8"/>
    <s v="PS47MS"/>
    <s v="PSES Mid Prog01Duty47 S275"/>
    <n v="1"/>
    <x v="9"/>
    <n v="47"/>
    <m/>
    <s v="   "/>
    <n v="0.28000000000000003"/>
    <n v="0.1777"/>
    <n v="0"/>
    <s v="Middle Nurse"/>
    <x v="9"/>
  </r>
  <r>
    <s v="37503"/>
    <x v="268"/>
    <s v="Personnel"/>
    <m/>
    <s v="Elementary Grade Group K-6"/>
    <s v="PS25E09S"/>
    <s v="PSES Elem Prog09Duty25 S275"/>
    <n v="9"/>
    <x v="1"/>
    <n v="91"/>
    <n v="25"/>
    <m/>
    <n v="2.3E-2"/>
    <n v="0.1777"/>
    <n v="0"/>
    <s v="TK Pupil Management"/>
    <x v="1"/>
  </r>
  <r>
    <s v="37503"/>
    <x v="268"/>
    <s v="Personnel"/>
    <m/>
    <s v="Elementary Grade Group K-6"/>
    <s v="PS25E09S"/>
    <s v="PSES Elem Prog09Duty25 S275"/>
    <n v="9"/>
    <x v="1"/>
    <n v="91"/>
    <n v="25"/>
    <m/>
    <n v="2.3E-2"/>
    <n v="0.1777"/>
    <n v="0"/>
    <s v="TK Pupil Management"/>
    <x v="1"/>
  </r>
  <r>
    <s v="37504"/>
    <x v="269"/>
    <s v="Personnel"/>
    <s v="H "/>
    <s v="High Grade Group 9-12"/>
    <s v="PS25HS"/>
    <s v="PSES High Prog01Act25 S275"/>
    <n v="1"/>
    <x v="1"/>
    <m/>
    <n v="25"/>
    <s v="   "/>
    <n v="4.6319999999999997"/>
    <n v="0.18790000000000001"/>
    <n v="0"/>
    <s v="High Pupil Management"/>
    <x v="1"/>
  </r>
  <r>
    <s v="37504"/>
    <x v="269"/>
    <s v="Personnel"/>
    <s v="H "/>
    <s v="High Grade Group 9-12"/>
    <s v="PS26H21S"/>
    <s v="PSES High Prog21Act26 S275"/>
    <n v="21"/>
    <x v="2"/>
    <m/>
    <n v="26"/>
    <s v="   "/>
    <n v="0.77500000000000002"/>
    <n v="0.18790000000000001"/>
    <n v="0.14599999999999999"/>
    <s v="High Health/_x000a_Related Services"/>
    <x v="2"/>
  </r>
  <r>
    <s v="37504"/>
    <x v="269"/>
    <s v="Personnel"/>
    <s v="H "/>
    <s v="High Grade Group 9-12"/>
    <s v="PS26HS"/>
    <s v="PSES High Prog01Act26 S275"/>
    <n v="1"/>
    <x v="2"/>
    <m/>
    <n v="26"/>
    <s v="   "/>
    <n v="2.2480000000000002"/>
    <n v="0.18790000000000001"/>
    <n v="0"/>
    <s v="High Health/_x000a_Related Services"/>
    <x v="2"/>
  </r>
  <r>
    <s v="37504"/>
    <x v="269"/>
    <s v="Personnel"/>
    <s v="E "/>
    <s v="Elementary Grade Group K-6"/>
    <s v="PS42ES"/>
    <s v="PSES Elem Prog01Duty42 S275"/>
    <n v="1"/>
    <x v="5"/>
    <n v="42"/>
    <m/>
    <s v="   "/>
    <n v="3.8"/>
    <n v="0.18790000000000001"/>
    <n v="0"/>
    <s v="Elementary Counselor"/>
    <x v="5"/>
  </r>
  <r>
    <s v="37504"/>
    <x v="269"/>
    <s v="Personnel"/>
    <s v="H "/>
    <s v="High Grade Group 9-12"/>
    <s v="PS42HS"/>
    <s v="PSES High Prog01Duty42 S275"/>
    <n v="1"/>
    <x v="5"/>
    <n v="42"/>
    <m/>
    <s v="   "/>
    <n v="3"/>
    <n v="0.18790000000000001"/>
    <n v="0"/>
    <s v="High Counselor"/>
    <x v="5"/>
  </r>
  <r>
    <s v="37504"/>
    <x v="269"/>
    <s v="Personnel"/>
    <s v="M "/>
    <s v="Middle Grade Group 7-8"/>
    <s v="PS42MS"/>
    <s v="PSES Mid Prog01Duty42 S275"/>
    <n v="1"/>
    <x v="5"/>
    <n v="42"/>
    <m/>
    <s v="   "/>
    <n v="1.2"/>
    <n v="0.18790000000000001"/>
    <n v="0"/>
    <s v="Middle Counselor"/>
    <x v="5"/>
  </r>
  <r>
    <s v="37504"/>
    <x v="269"/>
    <s v="Personnel"/>
    <s v="E "/>
    <s v="Elementary Grade Group K-6"/>
    <s v="PS43E21S"/>
    <s v="PSES Elem Prog21Duty43 S275"/>
    <n v="21"/>
    <x v="6"/>
    <n v="43"/>
    <m/>
    <s v="   "/>
    <n v="3.4"/>
    <n v="0.18790000000000001"/>
    <n v="0.63900000000000001"/>
    <s v="Elementary Occupational Therapist"/>
    <x v="6"/>
  </r>
  <r>
    <s v="37504"/>
    <x v="269"/>
    <s v="Personnel"/>
    <s v="E "/>
    <s v="Elementary Grade Group K-6"/>
    <s v="PS45E21S"/>
    <s v="PSES Elem Prog21Duty45 S275"/>
    <n v="21"/>
    <x v="7"/>
    <n v="45"/>
    <m/>
    <s v="   "/>
    <n v="3.25"/>
    <n v="0.18790000000000001"/>
    <n v="0.61099999999999999"/>
    <s v="Elementary Speech, Language Pathway/_x000a_Audio"/>
    <x v="7"/>
  </r>
  <r>
    <s v="37504"/>
    <x v="269"/>
    <s v="Personnel"/>
    <s v="H "/>
    <s v="High Grade Group 9-12"/>
    <s v="PS45H21S"/>
    <s v="PSES High Prog21Duty45 S275"/>
    <n v="21"/>
    <x v="7"/>
    <n v="45"/>
    <m/>
    <s v="   "/>
    <n v="1.6"/>
    <n v="0.18790000000000001"/>
    <n v="0.30099999999999999"/>
    <s v="High Speech, Language Pathway/_x000a_Audio"/>
    <x v="7"/>
  </r>
  <r>
    <s v="37504"/>
    <x v="269"/>
    <s v="Personnel"/>
    <s v="M "/>
    <s v="Middle Grade Group 7-8"/>
    <s v="PS45M21S"/>
    <s v="PSES Mid Prog21Duty45 S275"/>
    <n v="21"/>
    <x v="7"/>
    <n v="45"/>
    <m/>
    <s v="   "/>
    <n v="1"/>
    <n v="0.18790000000000001"/>
    <n v="0.188"/>
    <s v="Middle Speech, Language Pathway/_x000a_Audio"/>
    <x v="7"/>
  </r>
  <r>
    <s v="37504"/>
    <x v="269"/>
    <s v="Personnel"/>
    <s v="E "/>
    <s v="Elementary Grade Group K-6"/>
    <s v="PS46E21S"/>
    <s v="PSES Elem Prog21Duty46 S275"/>
    <n v="21"/>
    <x v="8"/>
    <n v="46"/>
    <m/>
    <s v="   "/>
    <n v="3.33"/>
    <n v="0.18790000000000001"/>
    <n v="0.626"/>
    <s v="Elementary Psychologist"/>
    <x v="8"/>
  </r>
  <r>
    <s v="37504"/>
    <x v="269"/>
    <s v="Personnel"/>
    <s v="H "/>
    <s v="High Grade Group 9-12"/>
    <s v="PS46H21S"/>
    <s v="PSES High Prog21Duty46 S275"/>
    <n v="21"/>
    <x v="8"/>
    <n v="46"/>
    <m/>
    <s v="   "/>
    <n v="1"/>
    <n v="0.18790000000000001"/>
    <n v="0.188"/>
    <s v="High Psychologist"/>
    <x v="8"/>
  </r>
  <r>
    <s v="37504"/>
    <x v="269"/>
    <s v="Personnel"/>
    <s v="M "/>
    <s v="Middle Grade Group 7-8"/>
    <s v="PS46M21S"/>
    <s v="PSES Mid Prog21Duty46 S275"/>
    <n v="21"/>
    <x v="8"/>
    <n v="46"/>
    <m/>
    <s v="   "/>
    <n v="0.67"/>
    <n v="0.18790000000000001"/>
    <n v="0.126"/>
    <s v="Middle Psychologist"/>
    <x v="8"/>
  </r>
  <r>
    <s v="37504"/>
    <x v="269"/>
    <s v="Personnel"/>
    <s v="E "/>
    <s v="Elementary Grade Group K-6"/>
    <s v="PS47ES"/>
    <s v="PSES Elem Prog01Duty47 S275"/>
    <n v="1"/>
    <x v="9"/>
    <n v="47"/>
    <m/>
    <s v="   "/>
    <n v="1"/>
    <n v="0.18790000000000001"/>
    <n v="0"/>
    <s v="Elementary Nurse"/>
    <x v="9"/>
  </r>
  <r>
    <s v="37504"/>
    <x v="269"/>
    <s v="Personnel"/>
    <s v="M "/>
    <s v="Middle Grade Group 7-8"/>
    <s v="PS47MS"/>
    <s v="PSES Mid Prog01Duty47 S275"/>
    <n v="1"/>
    <x v="9"/>
    <n v="47"/>
    <m/>
    <s v="   "/>
    <n v="1"/>
    <n v="0.18790000000000001"/>
    <n v="0"/>
    <s v="Middle Nurse"/>
    <x v="9"/>
  </r>
  <r>
    <s v="37505"/>
    <x v="270"/>
    <s v="Personnel"/>
    <s v="E "/>
    <s v="Elementary Grade Group K-6"/>
    <s v="PS24ES"/>
    <s v="PSES Elem Prog01Duty96 S275"/>
    <n v="1"/>
    <x v="0"/>
    <n v="96"/>
    <n v="24"/>
    <s v="   "/>
    <n v="0.20599999999999999"/>
    <n v="0.1925"/>
    <n v="0"/>
    <s v="Elementary Family Engagement Coordinator"/>
    <x v="0"/>
  </r>
  <r>
    <s v="37505"/>
    <x v="270"/>
    <s v="Personnel"/>
    <s v="H "/>
    <s v="High Grade Group 9-12"/>
    <s v="PS24HS"/>
    <s v="PSES High Prog01Duty96 S275"/>
    <n v="1"/>
    <x v="0"/>
    <n v="96"/>
    <n v="24"/>
    <s v="   "/>
    <n v="0.90100000000000002"/>
    <n v="0.1925"/>
    <n v="0"/>
    <s v="High Family Engagement Coordinator"/>
    <x v="0"/>
  </r>
  <r>
    <s v="37505"/>
    <x v="270"/>
    <s v="Personnel"/>
    <s v="M "/>
    <s v="Middle Grade Group 7-8"/>
    <s v="PS24MS"/>
    <s v="PSES Mid Prog01Duty96 S275"/>
    <n v="1"/>
    <x v="0"/>
    <n v="96"/>
    <n v="24"/>
    <s v="   "/>
    <n v="0.10299999999999999"/>
    <n v="0.1925"/>
    <n v="0"/>
    <s v="Middle Family Engagement Coordinator"/>
    <x v="0"/>
  </r>
  <r>
    <s v="37505"/>
    <x v="270"/>
    <s v="Personnel"/>
    <s v="E "/>
    <s v="Elementary Grade Group K-6"/>
    <s v="PS25ES"/>
    <s v="PSES Elem Prog01Act25 S275"/>
    <n v="1"/>
    <x v="1"/>
    <m/>
    <n v="25"/>
    <s v="   "/>
    <n v="2.9169999999999998"/>
    <n v="0.1925"/>
    <n v="0"/>
    <s v="Elementary Pupil Management"/>
    <x v="1"/>
  </r>
  <r>
    <s v="37505"/>
    <x v="270"/>
    <s v="Personnel"/>
    <s v="H "/>
    <s v="High Grade Group 9-12"/>
    <s v="PS25H21S"/>
    <s v="PSES High Prog21Act25 S275"/>
    <n v="21"/>
    <x v="1"/>
    <m/>
    <n v="25"/>
    <s v="   "/>
    <n v="0.84299999999999997"/>
    <n v="0.1925"/>
    <n v="0.16200000000000001"/>
    <s v="High Pupil Management"/>
    <x v="1"/>
  </r>
  <r>
    <s v="37505"/>
    <x v="270"/>
    <s v="Personnel"/>
    <s v="M "/>
    <s v="Middle Grade Group 7-8"/>
    <s v="PS25MS"/>
    <s v="PSES Mid Prog01Act25 S275"/>
    <n v="1"/>
    <x v="1"/>
    <m/>
    <n v="25"/>
    <s v="   "/>
    <n v="4.4999999999999998E-2"/>
    <n v="0.1925"/>
    <n v="0"/>
    <s v="Middle Pupil Management"/>
    <x v="1"/>
  </r>
  <r>
    <s v="37505"/>
    <x v="270"/>
    <s v="Personnel"/>
    <s v="E "/>
    <s v="Elementary Grade Group K-6"/>
    <s v="PS26ES"/>
    <s v="PSES Elem Prog01Act26 S275"/>
    <n v="1"/>
    <x v="2"/>
    <m/>
    <n v="26"/>
    <s v="   "/>
    <n v="0.54100000000000004"/>
    <n v="0.1925"/>
    <n v="0"/>
    <s v="Elementary Health/_x000a_Related Services"/>
    <x v="2"/>
  </r>
  <r>
    <s v="37505"/>
    <x v="270"/>
    <s v="Personnel"/>
    <s v="M "/>
    <s v="Middle Grade Group 7-8"/>
    <s v="PS26MS"/>
    <s v="PSES Mid Prog01Act26 S275"/>
    <n v="1"/>
    <x v="2"/>
    <m/>
    <n v="26"/>
    <s v="   "/>
    <n v="0.54100000000000004"/>
    <n v="0.1925"/>
    <n v="0"/>
    <s v="Middle Health/_x000a_Related Services"/>
    <x v="2"/>
  </r>
  <r>
    <s v="37505"/>
    <x v="270"/>
    <s v="Personnel"/>
    <s v="E "/>
    <s v="Elementary Grade Group K-6"/>
    <s v="PS42ES"/>
    <s v="PSES Elem Prog01Duty42 S275"/>
    <n v="1"/>
    <x v="5"/>
    <n v="42"/>
    <m/>
    <s v="   "/>
    <n v="2.1869999999999998"/>
    <n v="0.1925"/>
    <n v="0"/>
    <s v="Elementary Counselor"/>
    <x v="5"/>
  </r>
  <r>
    <s v="37505"/>
    <x v="270"/>
    <s v="Personnel"/>
    <s v="H "/>
    <s v="High Grade Group 9-12"/>
    <s v="PS42HS"/>
    <s v="PSES High Prog01Duty42 S275"/>
    <n v="1"/>
    <x v="5"/>
    <n v="42"/>
    <m/>
    <s v="   "/>
    <n v="1.976"/>
    <n v="0.1925"/>
    <n v="0"/>
    <s v="High Counselor"/>
    <x v="5"/>
  </r>
  <r>
    <s v="37505"/>
    <x v="270"/>
    <s v="Personnel"/>
    <s v="M "/>
    <s v="Middle Grade Group 7-8"/>
    <s v="PS42MS"/>
    <s v="PSES Mid Prog01Duty42 S275"/>
    <n v="1"/>
    <x v="5"/>
    <n v="42"/>
    <m/>
    <s v="   "/>
    <n v="1.387"/>
    <n v="0.1925"/>
    <n v="0"/>
    <s v="Middle Counselor"/>
    <x v="5"/>
  </r>
  <r>
    <s v="37505"/>
    <x v="270"/>
    <s v="Personnel"/>
    <s v="E "/>
    <s v="Elementary Grade Group K-6"/>
    <s v="PS43E21S"/>
    <s v="PSES Elem Prog21Duty43 S275"/>
    <n v="21"/>
    <x v="6"/>
    <n v="43"/>
    <m/>
    <s v="   "/>
    <n v="0.67500000000000004"/>
    <n v="0.1925"/>
    <n v="0.13"/>
    <s v="Elementary Occupational Therapist"/>
    <x v="6"/>
  </r>
  <r>
    <s v="37505"/>
    <x v="270"/>
    <s v="Personnel"/>
    <s v="H "/>
    <s v="High Grade Group 9-12"/>
    <s v="PS43H21S"/>
    <s v="PSES High Prog21Duty43 S275"/>
    <n v="21"/>
    <x v="6"/>
    <n v="43"/>
    <m/>
    <s v="   "/>
    <n v="0.432"/>
    <n v="0.1925"/>
    <n v="8.3000000000000004E-2"/>
    <s v="High Occupational Therapist"/>
    <x v="6"/>
  </r>
  <r>
    <s v="37505"/>
    <x v="270"/>
    <s v="Personnel"/>
    <s v="M "/>
    <s v="Middle Grade Group 7-8"/>
    <s v="PS43M21S"/>
    <s v="PSES Mid Prog21Duty43 S275"/>
    <n v="21"/>
    <x v="6"/>
    <n v="43"/>
    <m/>
    <s v="   "/>
    <n v="0.36799999999999999"/>
    <n v="0.1925"/>
    <n v="7.0999999999999994E-2"/>
    <s v="Middle Occupational Therapist"/>
    <x v="6"/>
  </r>
  <r>
    <s v="37505"/>
    <x v="270"/>
    <s v="Personnel"/>
    <s v="E "/>
    <s v="Elementary Grade Group K-6"/>
    <s v="PS45E21S"/>
    <s v="PSES Elem Prog21Duty45 S275"/>
    <n v="21"/>
    <x v="7"/>
    <n v="45"/>
    <m/>
    <s v="   "/>
    <n v="0.55000000000000004"/>
    <n v="0.1925"/>
    <n v="0.106"/>
    <s v="Elementary Speech, Language Pathway/_x000a_Audio"/>
    <x v="7"/>
  </r>
  <r>
    <s v="37505"/>
    <x v="270"/>
    <s v="Personnel"/>
    <s v="H "/>
    <s v="High Grade Group 9-12"/>
    <s v="PS45H21S"/>
    <s v="PSES High Prog21Duty45 S275"/>
    <n v="21"/>
    <x v="7"/>
    <n v="45"/>
    <m/>
    <s v="   "/>
    <n v="0.28000000000000003"/>
    <n v="0.1925"/>
    <n v="5.3999999999999999E-2"/>
    <s v="High Speech, Language Pathway/_x000a_Audio"/>
    <x v="7"/>
  </r>
  <r>
    <s v="37505"/>
    <x v="270"/>
    <s v="Personnel"/>
    <s v="M "/>
    <s v="Middle Grade Group 7-8"/>
    <s v="PS45M21S"/>
    <s v="PSES Mid Prog21Duty45 S275"/>
    <n v="21"/>
    <x v="7"/>
    <n v="45"/>
    <m/>
    <s v="   "/>
    <n v="0.17"/>
    <n v="0.1925"/>
    <n v="3.3000000000000002E-2"/>
    <s v="Middle Speech, Language Pathway/_x000a_Audio"/>
    <x v="7"/>
  </r>
  <r>
    <s v="37505"/>
    <x v="270"/>
    <s v="Personnel"/>
    <s v="E "/>
    <s v="Elementary Grade Group K-6"/>
    <s v="PS46E21S"/>
    <s v="PSES Elem Prog21Duty46 S275"/>
    <n v="21"/>
    <x v="8"/>
    <n v="46"/>
    <m/>
    <s v="   "/>
    <n v="1.1000000000000001"/>
    <n v="0.1925"/>
    <n v="0.21199999999999999"/>
    <s v="Elementary Psychologist"/>
    <x v="8"/>
  </r>
  <r>
    <s v="37505"/>
    <x v="270"/>
    <s v="Personnel"/>
    <s v="H "/>
    <s v="High Grade Group 9-12"/>
    <s v="PS46H21S"/>
    <s v="PSES High Prog21Duty46 S275"/>
    <n v="21"/>
    <x v="8"/>
    <n v="46"/>
    <m/>
    <s v="   "/>
    <n v="0.56000000000000005"/>
    <n v="0.1925"/>
    <n v="0.108"/>
    <s v="High Psychologist"/>
    <x v="8"/>
  </r>
  <r>
    <s v="37505"/>
    <x v="270"/>
    <s v="Personnel"/>
    <s v="M "/>
    <s v="Middle Grade Group 7-8"/>
    <s v="PS46M21S"/>
    <s v="PSES Mid Prog21Duty46 S275"/>
    <n v="21"/>
    <x v="8"/>
    <n v="46"/>
    <m/>
    <s v="   "/>
    <n v="0.34"/>
    <n v="0.1925"/>
    <n v="6.5000000000000002E-2"/>
    <s v="Middle Psychologist"/>
    <x v="8"/>
  </r>
  <r>
    <s v="37505"/>
    <x v="270"/>
    <s v="Personnel"/>
    <s v="E "/>
    <s v="Elementary Grade Group K-6"/>
    <s v="PS47ES"/>
    <s v="PSES Elem Prog01Duty47 S275"/>
    <n v="1"/>
    <x v="9"/>
    <n v="47"/>
    <m/>
    <s v="   "/>
    <n v="1"/>
    <n v="0.1925"/>
    <n v="0"/>
    <s v="Elementary Nurse"/>
    <x v="9"/>
  </r>
  <r>
    <s v="37505"/>
    <x v="270"/>
    <s v="Personnel"/>
    <s v="H "/>
    <s v="High Grade Group 9-12"/>
    <s v="PS47HS"/>
    <s v="PSES High Prog01Duty47 S275"/>
    <n v="1"/>
    <x v="9"/>
    <n v="47"/>
    <m/>
    <s v="   "/>
    <n v="0.161"/>
    <n v="0.1925"/>
    <n v="0"/>
    <s v="High Nurse"/>
    <x v="9"/>
  </r>
  <r>
    <s v="37505"/>
    <x v="270"/>
    <s v="Personnel"/>
    <s v="M "/>
    <s v="Middle Grade Group 7-8"/>
    <s v="PS47MS"/>
    <s v="PSES Mid Prog01Duty47 S275"/>
    <n v="1"/>
    <x v="9"/>
    <n v="47"/>
    <m/>
    <s v="   "/>
    <n v="0.13900000000000001"/>
    <n v="0.1925"/>
    <n v="0"/>
    <s v="Middle Nurse"/>
    <x v="9"/>
  </r>
  <r>
    <s v="37505"/>
    <x v="270"/>
    <s v="Personnel"/>
    <s v="E "/>
    <s v="Elementary Grade Group K-6"/>
    <s v="PS48E21S"/>
    <s v="PSES Elem Prog21Duty48 S275"/>
    <n v="21"/>
    <x v="11"/>
    <n v="48"/>
    <m/>
    <s v="   "/>
    <n v="0.6"/>
    <n v="0.1925"/>
    <n v="0.11600000000000001"/>
    <s v="Elementary Physical Therapist"/>
    <x v="11"/>
  </r>
  <r>
    <s v="37505"/>
    <x v="270"/>
    <s v="Personnel"/>
    <s v="E "/>
    <s v="Elementary Grade Group K-6"/>
    <s v="PS48ES"/>
    <s v="PSES Elem Prog01Duty48 S275"/>
    <n v="1"/>
    <x v="11"/>
    <n v="48"/>
    <m/>
    <s v="   "/>
    <n v="0.4"/>
    <n v="0.1925"/>
    <n v="0"/>
    <s v="Elementary Physical Therapist"/>
    <x v="11"/>
  </r>
  <r>
    <s v="37505"/>
    <x v="270"/>
    <s v="Personnel"/>
    <m/>
    <s v="Elementary Grade Group K-6"/>
    <s v="PS45E09S"/>
    <s v="PSES Elem Prog09Duty45 S275"/>
    <n v="9"/>
    <x v="7"/>
    <n v="45"/>
    <n v="34"/>
    <m/>
    <n v="1.0999999999999999E-2"/>
    <n v="0.1925"/>
    <n v="0"/>
    <s v="TK Speech, Language Pathway/_x000a_Audio"/>
    <x v="7"/>
  </r>
  <r>
    <s v="37505"/>
    <x v="270"/>
    <s v="Personnel"/>
    <m/>
    <s v="Elementary Grade Group K-6"/>
    <s v="PS45E09S"/>
    <s v="PSES Elem Prog09Duty42 S275"/>
    <n v="9"/>
    <x v="7"/>
    <n v="45"/>
    <n v="26"/>
    <m/>
    <n v="0.48899999999999999"/>
    <n v="0.1925"/>
    <n v="0"/>
    <s v="TK Speech, Language Pathway/_x000a_Audio"/>
    <x v="7"/>
  </r>
  <r>
    <s v="37506"/>
    <x v="271"/>
    <s v="Personnel"/>
    <s v="H "/>
    <s v="High Grade Group 9-12"/>
    <s v="PS24HS"/>
    <s v="PSES High Prog01Duty96 S275"/>
    <n v="1"/>
    <x v="0"/>
    <n v="96"/>
    <n v="24"/>
    <s v="   "/>
    <n v="0.127"/>
    <n v="0.255"/>
    <n v="0"/>
    <s v="High Family Engagement Coordinator"/>
    <x v="0"/>
  </r>
  <r>
    <s v="37506"/>
    <x v="271"/>
    <s v="Personnel"/>
    <s v="H "/>
    <s v="High Grade Group 9-12"/>
    <s v="PS26H21S"/>
    <s v="PSES High Prog21Act26 S275"/>
    <n v="21"/>
    <x v="2"/>
    <m/>
    <n v="26"/>
    <s v="   "/>
    <n v="0.98199999999999998"/>
    <n v="0.255"/>
    <n v="0.25"/>
    <s v="High Health/_x000a_Related Services"/>
    <x v="2"/>
  </r>
  <r>
    <s v="37506"/>
    <x v="271"/>
    <s v="Personnel"/>
    <s v="H "/>
    <s v="High Grade Group 9-12"/>
    <s v="PS26HS"/>
    <s v="PSES High Prog01Act26 S275"/>
    <n v="1"/>
    <x v="2"/>
    <m/>
    <n v="26"/>
    <s v="   "/>
    <n v="1.5669999999999999"/>
    <n v="0.255"/>
    <n v="0"/>
    <s v="High Health/_x000a_Related Services"/>
    <x v="2"/>
  </r>
  <r>
    <s v="37506"/>
    <x v="271"/>
    <s v="Personnel"/>
    <s v="E "/>
    <s v="Elementary Grade Group K-6"/>
    <s v="PS42ES"/>
    <s v="PSES Elem Prog01Duty42 S275"/>
    <n v="1"/>
    <x v="5"/>
    <n v="42"/>
    <m/>
    <s v="   "/>
    <n v="2.9209999999999998"/>
    <n v="0.255"/>
    <n v="0"/>
    <s v="Elementary Counselor"/>
    <x v="5"/>
  </r>
  <r>
    <s v="37506"/>
    <x v="271"/>
    <s v="Personnel"/>
    <s v="H "/>
    <s v="High Grade Group 9-12"/>
    <s v="PS42HS"/>
    <s v="PSES High Prog01Duty42 S275"/>
    <n v="1"/>
    <x v="5"/>
    <n v="42"/>
    <m/>
    <s v="   "/>
    <n v="0.79300000000000004"/>
    <n v="0.255"/>
    <n v="0"/>
    <s v="High Counselor"/>
    <x v="5"/>
  </r>
  <r>
    <s v="37506"/>
    <x v="271"/>
    <s v="Personnel"/>
    <s v="M "/>
    <s v="Middle Grade Group 7-8"/>
    <s v="PS42MS"/>
    <s v="PSES Mid Prog01Duty42 S275"/>
    <n v="1"/>
    <x v="5"/>
    <n v="42"/>
    <m/>
    <s v="   "/>
    <n v="1.5"/>
    <n v="0.255"/>
    <n v="0"/>
    <s v="Middle Counselor"/>
    <x v="5"/>
  </r>
  <r>
    <s v="37506"/>
    <x v="271"/>
    <s v="Personnel"/>
    <s v="E "/>
    <s v="Elementary Grade Group K-6"/>
    <s v="PS43E21S"/>
    <s v="PSES Elem Prog21Duty43 S275"/>
    <n v="21"/>
    <x v="6"/>
    <n v="43"/>
    <m/>
    <s v="   "/>
    <n v="1"/>
    <n v="0.255"/>
    <n v="0.255"/>
    <s v="Elementary Occupational Therapist"/>
    <x v="6"/>
  </r>
  <r>
    <s v="37506"/>
    <x v="271"/>
    <s v="Personnel"/>
    <s v="E "/>
    <s v="Elementary Grade Group K-6"/>
    <s v="PS45E21S"/>
    <s v="PSES Elem Prog21Duty45 S275"/>
    <n v="21"/>
    <x v="7"/>
    <n v="45"/>
    <m/>
    <s v="   "/>
    <n v="3.6"/>
    <n v="0.255"/>
    <n v="0.91800000000000004"/>
    <s v="Elementary Speech, Language Pathway/_x000a_Audio"/>
    <x v="7"/>
  </r>
  <r>
    <s v="37506"/>
    <x v="271"/>
    <s v="Personnel"/>
    <s v="E "/>
    <s v="Elementary Grade Group K-6"/>
    <s v="PS46E21S"/>
    <s v="PSES Elem Prog21Duty46 S275"/>
    <n v="21"/>
    <x v="8"/>
    <n v="46"/>
    <m/>
    <s v="   "/>
    <n v="0.28799999999999998"/>
    <n v="0.255"/>
    <n v="7.2999999999999995E-2"/>
    <s v="Elementary Psychologist"/>
    <x v="8"/>
  </r>
  <r>
    <s v="37506"/>
    <x v="271"/>
    <s v="Personnel"/>
    <s v="H "/>
    <s v="High Grade Group 9-12"/>
    <s v="PS46H21S"/>
    <s v="PSES High Prog21Duty46 S275"/>
    <n v="21"/>
    <x v="8"/>
    <n v="46"/>
    <m/>
    <s v="   "/>
    <n v="2"/>
    <n v="0.255"/>
    <n v="0.51"/>
    <s v="High Psychologist"/>
    <x v="8"/>
  </r>
  <r>
    <s v="37507"/>
    <x v="272"/>
    <s v="Personnel"/>
    <s v="H "/>
    <s v="High Grade Group 9-12"/>
    <s v="PS24HS"/>
    <s v="PSES High Prog01Duty96 S275"/>
    <n v="1"/>
    <x v="0"/>
    <n v="96"/>
    <n v="24"/>
    <s v="   "/>
    <n v="0.68799999999999994"/>
    <n v="0.20949999999999999"/>
    <n v="0"/>
    <s v="High Family Engagement Coordinator"/>
    <x v="0"/>
  </r>
  <r>
    <s v="37507"/>
    <x v="272"/>
    <s v="Personnel"/>
    <s v="H "/>
    <s v="High Grade Group 9-12"/>
    <s v="PS25H21S"/>
    <s v="PSES High Prog21Act25 S275"/>
    <n v="21"/>
    <x v="1"/>
    <m/>
    <n v="25"/>
    <s v="   "/>
    <n v="0.253"/>
    <n v="0.20949999999999999"/>
    <n v="5.2999999999999999E-2"/>
    <s v="High Pupil Management"/>
    <x v="1"/>
  </r>
  <r>
    <s v="37507"/>
    <x v="272"/>
    <s v="Personnel"/>
    <s v="H "/>
    <s v="High Grade Group 9-12"/>
    <s v="PS26HS"/>
    <s v="PSES High Prog01Act26 S275"/>
    <n v="1"/>
    <x v="2"/>
    <m/>
    <n v="26"/>
    <s v="   "/>
    <n v="1.1299999999999999"/>
    <n v="0.20949999999999999"/>
    <n v="0"/>
    <s v="High Health/_x000a_Related Services"/>
    <x v="2"/>
  </r>
  <r>
    <s v="37507"/>
    <x v="272"/>
    <s v="Personnel"/>
    <s v="E "/>
    <s v="Elementary Grade Group K-6"/>
    <s v="PS42ES"/>
    <s v="PSES Elem Prog01Duty42 S275"/>
    <n v="1"/>
    <x v="5"/>
    <n v="42"/>
    <m/>
    <s v="   "/>
    <n v="2.3330000000000002"/>
    <n v="0.20949999999999999"/>
    <n v="0"/>
    <s v="Elementary Counselor"/>
    <x v="5"/>
  </r>
  <r>
    <s v="37507"/>
    <x v="272"/>
    <s v="Personnel"/>
    <s v="H "/>
    <s v="High Grade Group 9-12"/>
    <s v="PS42HS"/>
    <s v="PSES High Prog01Duty42 S275"/>
    <n v="1"/>
    <x v="5"/>
    <n v="42"/>
    <m/>
    <s v="   "/>
    <n v="1.75"/>
    <n v="0.20949999999999999"/>
    <n v="0"/>
    <s v="High Counselor"/>
    <x v="5"/>
  </r>
  <r>
    <s v="37507"/>
    <x v="272"/>
    <s v="Personnel"/>
    <s v="M "/>
    <s v="Middle Grade Group 7-8"/>
    <s v="PS42MS"/>
    <s v="PSES Mid Prog01Duty42 S275"/>
    <n v="1"/>
    <x v="5"/>
    <n v="42"/>
    <m/>
    <s v="   "/>
    <n v="1"/>
    <n v="0.20949999999999999"/>
    <n v="0"/>
    <s v="Middle Counselor"/>
    <x v="5"/>
  </r>
  <r>
    <s v="37507"/>
    <x v="272"/>
    <s v="Personnel"/>
    <s v="E "/>
    <s v="Elementary Grade Group K-6"/>
    <s v="PS45E21S"/>
    <s v="PSES Elem Prog21Duty45 S275"/>
    <n v="21"/>
    <x v="7"/>
    <n v="45"/>
    <m/>
    <s v="   "/>
    <n v="2.3959999999999999"/>
    <n v="0.20949999999999999"/>
    <n v="0.502"/>
    <s v="Elementary Speech, Language Pathway/_x000a_Audio"/>
    <x v="7"/>
  </r>
  <r>
    <s v="37507"/>
    <x v="272"/>
    <s v="Personnel"/>
    <s v="H "/>
    <s v="High Grade Group 9-12"/>
    <s v="PS45H21S"/>
    <s v="PSES High Prog21Duty45 S275"/>
    <n v="21"/>
    <x v="7"/>
    <n v="45"/>
    <m/>
    <s v="   "/>
    <n v="0.40699999999999997"/>
    <n v="0.20949999999999999"/>
    <n v="8.5000000000000006E-2"/>
    <s v="High Speech, Language Pathway/_x000a_Audio"/>
    <x v="7"/>
  </r>
  <r>
    <s v="37507"/>
    <x v="272"/>
    <s v="Personnel"/>
    <s v="M "/>
    <s v="Middle Grade Group 7-8"/>
    <s v="PS45M21S"/>
    <s v="PSES Mid Prog21Duty45 S275"/>
    <n v="21"/>
    <x v="7"/>
    <n v="45"/>
    <m/>
    <s v="   "/>
    <n v="0.2"/>
    <n v="0.20949999999999999"/>
    <n v="4.2000000000000003E-2"/>
    <s v="Middle Speech, Language Pathway/_x000a_Audio"/>
    <x v="7"/>
  </r>
  <r>
    <s v="37507"/>
    <x v="272"/>
    <s v="Personnel"/>
    <s v="E "/>
    <s v="Elementary Grade Group K-6"/>
    <s v="PS46E21S"/>
    <s v="PSES Elem Prog21Duty46 S275"/>
    <n v="21"/>
    <x v="8"/>
    <n v="46"/>
    <m/>
    <s v="   "/>
    <n v="0.73"/>
    <n v="0.20949999999999999"/>
    <n v="0.153"/>
    <s v="Elementary Psychologist"/>
    <x v="8"/>
  </r>
  <r>
    <s v="37507"/>
    <x v="272"/>
    <s v="Personnel"/>
    <s v="H "/>
    <s v="High Grade Group 9-12"/>
    <s v="PS46H21S"/>
    <s v="PSES High Prog21Duty46 S275"/>
    <n v="21"/>
    <x v="8"/>
    <n v="46"/>
    <m/>
    <s v="   "/>
    <n v="0.5"/>
    <n v="0.20949999999999999"/>
    <n v="0.105"/>
    <s v="High Psychologist"/>
    <x v="8"/>
  </r>
  <r>
    <s v="37507"/>
    <x v="272"/>
    <s v="Personnel"/>
    <s v="M "/>
    <s v="Middle Grade Group 7-8"/>
    <s v="PS46M21S"/>
    <s v="PSES Mid Prog21Duty46 S275"/>
    <n v="21"/>
    <x v="8"/>
    <n v="46"/>
    <m/>
    <s v="   "/>
    <n v="0.3"/>
    <n v="0.20949999999999999"/>
    <n v="6.3E-2"/>
    <s v="Middle Psychologist"/>
    <x v="8"/>
  </r>
  <r>
    <s v="37507"/>
    <x v="272"/>
    <s v="Personnel"/>
    <s v="E "/>
    <s v="Elementary Grade Group K-6"/>
    <s v="PS47ES"/>
    <s v="PSES Elem Prog01Duty47 S275"/>
    <n v="1"/>
    <x v="9"/>
    <n v="47"/>
    <m/>
    <s v="   "/>
    <n v="0.63100000000000001"/>
    <n v="0.20949999999999999"/>
    <n v="0"/>
    <s v="Elementary Nurse"/>
    <x v="9"/>
  </r>
  <r>
    <s v="37507"/>
    <x v="272"/>
    <s v="Personnel"/>
    <s v="H "/>
    <s v="High Grade Group 9-12"/>
    <s v="PS47HS"/>
    <s v="PSES High Prog01Duty47 S275"/>
    <n v="1"/>
    <x v="9"/>
    <n v="47"/>
    <m/>
    <s v="   "/>
    <n v="0.378"/>
    <n v="0.20949999999999999"/>
    <n v="0"/>
    <s v="High Nurse"/>
    <x v="9"/>
  </r>
  <r>
    <s v="37507"/>
    <x v="272"/>
    <s v="Personnel"/>
    <s v="M "/>
    <s v="Middle Grade Group 7-8"/>
    <s v="PS47MS"/>
    <s v="PSES Mid Prog01Duty47 S275"/>
    <n v="1"/>
    <x v="9"/>
    <n v="47"/>
    <m/>
    <s v="   "/>
    <n v="0.253"/>
    <n v="0.20949999999999999"/>
    <n v="0"/>
    <s v="Middle Nurse"/>
    <x v="9"/>
  </r>
  <r>
    <s v="37507"/>
    <x v="272"/>
    <s v="Personnel"/>
    <s v="E "/>
    <s v="Elementary Grade Group K-6"/>
    <s v="PS48E21S"/>
    <s v="PSES Elem Prog21Duty48 S275"/>
    <n v="21"/>
    <x v="11"/>
    <n v="48"/>
    <m/>
    <s v="   "/>
    <n v="0.12"/>
    <n v="0.20949999999999999"/>
    <n v="2.5000000000000001E-2"/>
    <s v="Elementary Physical Therapist"/>
    <x v="11"/>
  </r>
  <r>
    <s v="37507"/>
    <x v="272"/>
    <s v="Personnel"/>
    <s v="H "/>
    <s v="High Grade Group 9-12"/>
    <s v="PS48H21S"/>
    <s v="PSES High Prog21Duty48 S275"/>
    <n v="21"/>
    <x v="11"/>
    <n v="48"/>
    <m/>
    <s v="   "/>
    <n v="0.114"/>
    <n v="0.20949999999999999"/>
    <n v="2.4E-2"/>
    <s v="High Physical Therapist"/>
    <x v="11"/>
  </r>
  <r>
    <s v="37507"/>
    <x v="272"/>
    <s v="Personnel"/>
    <s v="M "/>
    <s v="Middle Grade Group 7-8"/>
    <s v="PS48M21S"/>
    <s v="PSES Mid Prog21Duty48 S275"/>
    <n v="21"/>
    <x v="11"/>
    <n v="48"/>
    <m/>
    <s v="   "/>
    <n v="0.114"/>
    <n v="0.20949999999999999"/>
    <n v="2.4E-2"/>
    <s v="Middle Physical Therapist"/>
    <x v="11"/>
  </r>
  <r>
    <s v="37902"/>
    <x v="273"/>
    <s v="Personnel"/>
    <s v="H "/>
    <s v="High Grade Group 9-12"/>
    <s v="PS25H97S"/>
    <s v="PSES High Prog97Act25 S275"/>
    <n v="97"/>
    <x v="1"/>
    <m/>
    <n v="25"/>
    <s v="   "/>
    <n v="0.255"/>
    <n v="0.13"/>
    <n v="0"/>
    <s v="High Pupil Management"/>
    <x v="1"/>
  </r>
  <r>
    <s v="37903"/>
    <x v="274"/>
    <s v="Personnel"/>
    <s v="E "/>
    <s v="Elementary Grade Group K-6"/>
    <s v="PS47ES"/>
    <s v="PSES Elem Prog01Duty47 S275"/>
    <n v="1"/>
    <x v="9"/>
    <n v="47"/>
    <m/>
    <s v="   "/>
    <n v="1"/>
    <n v="0.14660000000000001"/>
    <n v="0"/>
    <s v="Elementary Nurse"/>
    <x v="9"/>
  </r>
  <r>
    <s v="38126"/>
    <x v="275"/>
    <s v="Personnel"/>
    <s v="H "/>
    <s v="High Grade Group 9-12"/>
    <s v="PS26HS"/>
    <s v="PSES High Prog01Act26 S275"/>
    <n v="1"/>
    <x v="2"/>
    <m/>
    <n v="26"/>
    <s v="   "/>
    <n v="7.4999999999999997E-2"/>
    <n v="0.1"/>
    <n v="0"/>
    <s v="High Health/_x000a_Related Services"/>
    <x v="2"/>
  </r>
  <r>
    <s v="38126"/>
    <x v="275"/>
    <s v="Personnel"/>
    <s v="H "/>
    <s v="High Grade Group 9-12"/>
    <s v="PS42HS"/>
    <s v="PSES High Prog01Duty42 S275"/>
    <n v="1"/>
    <x v="5"/>
    <n v="42"/>
    <m/>
    <s v="   "/>
    <n v="0.45"/>
    <n v="0.1"/>
    <n v="0"/>
    <s v="High Counselor"/>
    <x v="5"/>
  </r>
  <r>
    <s v="38265"/>
    <x v="276"/>
    <s v="Personnel"/>
    <s v="E "/>
    <s v="Elementary Grade Group K-6"/>
    <s v="PS42ES"/>
    <s v="PSES Elem Prog01Duty42 S275"/>
    <n v="1"/>
    <x v="5"/>
    <n v="42"/>
    <m/>
    <s v="   "/>
    <n v="0.5"/>
    <n v="0.1351"/>
    <n v="0"/>
    <s v="Elementary Counselor"/>
    <x v="5"/>
  </r>
  <r>
    <s v="38265"/>
    <x v="276"/>
    <s v="Personnel"/>
    <s v="H "/>
    <s v="High Grade Group 9-12"/>
    <s v="PS42HS"/>
    <s v="PSES High Prog01Duty42 S275"/>
    <n v="1"/>
    <x v="5"/>
    <n v="42"/>
    <m/>
    <s v="   "/>
    <n v="0.66"/>
    <n v="0.1351"/>
    <n v="0"/>
    <s v="High Counselor"/>
    <x v="5"/>
  </r>
  <r>
    <s v="38265"/>
    <x v="276"/>
    <s v="Personnel"/>
    <s v="M "/>
    <s v="Middle Grade Group 7-8"/>
    <s v="PS42MS"/>
    <s v="PSES Mid Prog01Duty42 S275"/>
    <n v="1"/>
    <x v="5"/>
    <n v="42"/>
    <m/>
    <s v="   "/>
    <n v="0.22800000000000001"/>
    <n v="0.1351"/>
    <n v="0"/>
    <s v="Middle Counselor"/>
    <x v="5"/>
  </r>
  <r>
    <s v="38267"/>
    <x v="277"/>
    <s v="Personnel"/>
    <s v="H "/>
    <s v="High Grade Group 9-12"/>
    <s v="PS25H21S"/>
    <s v="PSES High Prog21Act25 S275"/>
    <n v="21"/>
    <x v="1"/>
    <m/>
    <n v="25"/>
    <s v="   "/>
    <n v="1.2729999999999999"/>
    <n v="0.20910000000000001"/>
    <n v="0.26600000000000001"/>
    <s v="High Pupil Management"/>
    <x v="1"/>
  </r>
  <r>
    <s v="38267"/>
    <x v="277"/>
    <s v="Personnel"/>
    <s v="H "/>
    <s v="High Grade Group 9-12"/>
    <s v="PS25HS"/>
    <s v="PSES High Prog01Act25 S275"/>
    <n v="1"/>
    <x v="1"/>
    <m/>
    <n v="25"/>
    <s v="   "/>
    <n v="2.3519999999999999"/>
    <n v="0.20910000000000001"/>
    <n v="0"/>
    <s v="High Pupil Management"/>
    <x v="1"/>
  </r>
  <r>
    <s v="38267"/>
    <x v="277"/>
    <s v="Personnel"/>
    <s v="E "/>
    <s v="Elementary Grade Group K-6"/>
    <s v="PS26ES"/>
    <s v="PSES Elem Prog01Act26 S275"/>
    <n v="1"/>
    <x v="2"/>
    <m/>
    <n v="26"/>
    <s v="   "/>
    <n v="1.3420000000000001"/>
    <n v="0.20910000000000001"/>
    <n v="0"/>
    <s v="Elementary Health/_x000a_Related Services"/>
    <x v="2"/>
  </r>
  <r>
    <s v="38267"/>
    <x v="277"/>
    <s v="Personnel"/>
    <s v="H "/>
    <s v="High Grade Group 9-12"/>
    <s v="PS26HS"/>
    <s v="PSES High Prog01Act26 S275"/>
    <n v="1"/>
    <x v="2"/>
    <m/>
    <n v="26"/>
    <s v="   "/>
    <n v="1.6379999999999999"/>
    <n v="0.20910000000000001"/>
    <n v="0"/>
    <s v="High Health/_x000a_Related Services"/>
    <x v="2"/>
  </r>
  <r>
    <s v="38267"/>
    <x v="277"/>
    <s v="Personnel"/>
    <s v="E "/>
    <s v="Elementary Grade Group K-6"/>
    <s v="PS42ES"/>
    <s v="PSES Elem Prog01Duty42 S275"/>
    <n v="1"/>
    <x v="5"/>
    <n v="42"/>
    <m/>
    <s v="   "/>
    <n v="3"/>
    <n v="0.20910000000000001"/>
    <n v="0"/>
    <s v="Elementary Counselor"/>
    <x v="5"/>
  </r>
  <r>
    <s v="38267"/>
    <x v="277"/>
    <s v="Personnel"/>
    <s v="H "/>
    <s v="High Grade Group 9-12"/>
    <s v="PS42HS"/>
    <s v="PSES High Prog01Duty42 S275"/>
    <n v="1"/>
    <x v="5"/>
    <n v="42"/>
    <m/>
    <s v="   "/>
    <n v="2.5"/>
    <n v="0.20910000000000001"/>
    <n v="0"/>
    <s v="High Counselor"/>
    <x v="5"/>
  </r>
  <r>
    <s v="38267"/>
    <x v="277"/>
    <s v="Personnel"/>
    <s v="M "/>
    <s v="Middle Grade Group 7-8"/>
    <s v="PS42MS"/>
    <s v="PSES Mid Prog01Duty42 S275"/>
    <n v="1"/>
    <x v="5"/>
    <n v="42"/>
    <m/>
    <s v="   "/>
    <n v="1.5"/>
    <n v="0.20910000000000001"/>
    <n v="0"/>
    <s v="Middle Counselor"/>
    <x v="5"/>
  </r>
  <r>
    <s v="38267"/>
    <x v="277"/>
    <s v="Personnel"/>
    <s v="E "/>
    <s v="Elementary Grade Group K-6"/>
    <s v="PS43E21S"/>
    <s v="PSES Elem Prog21Duty43 S275"/>
    <n v="21"/>
    <x v="6"/>
    <n v="43"/>
    <m/>
    <s v="   "/>
    <n v="1"/>
    <n v="0.20910000000000001"/>
    <n v="0.20899999999999999"/>
    <s v="Elementary Occupational Therapist"/>
    <x v="6"/>
  </r>
  <r>
    <s v="38267"/>
    <x v="277"/>
    <s v="Personnel"/>
    <s v="E "/>
    <s v="Elementary Grade Group K-6"/>
    <s v="PS45E21S"/>
    <s v="PSES Elem Prog21Duty45 S275"/>
    <n v="21"/>
    <x v="7"/>
    <n v="45"/>
    <m/>
    <s v="   "/>
    <n v="2.8"/>
    <n v="0.20910000000000001"/>
    <n v="0.58499999999999996"/>
    <s v="Elementary Speech, Language Pathway/_x000a_Audio"/>
    <x v="7"/>
  </r>
  <r>
    <s v="38267"/>
    <x v="277"/>
    <s v="Personnel"/>
    <s v="H "/>
    <s v="High Grade Group 9-12"/>
    <s v="PS45H21S"/>
    <s v="PSES High Prog21Duty45 S275"/>
    <n v="21"/>
    <x v="7"/>
    <n v="45"/>
    <m/>
    <s v="   "/>
    <n v="0.68100000000000005"/>
    <n v="0.20910000000000001"/>
    <n v="0.14199999999999999"/>
    <s v="High Speech, Language Pathway/_x000a_Audio"/>
    <x v="7"/>
  </r>
  <r>
    <s v="38267"/>
    <x v="277"/>
    <s v="Personnel"/>
    <s v="M "/>
    <s v="Middle Grade Group 7-8"/>
    <s v="PS45M21S"/>
    <s v="PSES Mid Prog21Duty45 S275"/>
    <n v="21"/>
    <x v="7"/>
    <n v="45"/>
    <m/>
    <s v="   "/>
    <n v="0.56399999999999995"/>
    <n v="0.20910000000000001"/>
    <n v="0.11799999999999999"/>
    <s v="Middle Speech, Language Pathway/_x000a_Audio"/>
    <x v="7"/>
  </r>
  <r>
    <s v="38267"/>
    <x v="277"/>
    <s v="Personnel"/>
    <s v="E "/>
    <s v="Elementary Grade Group K-6"/>
    <s v="PS46E21S"/>
    <s v="PSES Elem Prog21Duty46 S275"/>
    <n v="21"/>
    <x v="8"/>
    <n v="46"/>
    <m/>
    <s v="   "/>
    <n v="1.75"/>
    <n v="0.20910000000000001"/>
    <n v="0.36599999999999999"/>
    <s v="Elementary Psychologist"/>
    <x v="8"/>
  </r>
  <r>
    <s v="38267"/>
    <x v="277"/>
    <s v="Personnel"/>
    <s v="H "/>
    <s v="High Grade Group 9-12"/>
    <s v="PS46H21S"/>
    <s v="PSES High Prog21Duty46 S275"/>
    <n v="21"/>
    <x v="8"/>
    <n v="46"/>
    <m/>
    <s v="   "/>
    <n v="0.5"/>
    <n v="0.20910000000000001"/>
    <n v="0.105"/>
    <s v="High Psychologist"/>
    <x v="8"/>
  </r>
  <r>
    <s v="38267"/>
    <x v="277"/>
    <s v="Personnel"/>
    <s v="M "/>
    <s v="Middle Grade Group 7-8"/>
    <s v="PS46M21S"/>
    <s v="PSES Mid Prog21Duty46 S275"/>
    <n v="21"/>
    <x v="8"/>
    <n v="46"/>
    <m/>
    <s v="   "/>
    <n v="0.5"/>
    <n v="0.20910000000000001"/>
    <n v="0.105"/>
    <s v="Middle Psychologist"/>
    <x v="8"/>
  </r>
  <r>
    <s v="38267"/>
    <x v="277"/>
    <s v="Personnel"/>
    <s v="E "/>
    <s v="Elementary Grade Group K-6"/>
    <s v="PS49E21S"/>
    <s v="PSES Elem Prog21Duty49 S275"/>
    <n v="21"/>
    <x v="10"/>
    <n v="49"/>
    <m/>
    <s v="   "/>
    <n v="0.153"/>
    <n v="0.20910000000000001"/>
    <n v="3.2000000000000001E-2"/>
    <s v="Elementary Behavior Analyst"/>
    <x v="10"/>
  </r>
  <r>
    <s v="38267"/>
    <x v="277"/>
    <s v="Personnel"/>
    <s v="E "/>
    <s v="Elementary Grade Group K-6"/>
    <s v="PS49ES"/>
    <s v="PSES Elem Prog01Duty49 S275"/>
    <n v="1"/>
    <x v="10"/>
    <n v="49"/>
    <m/>
    <s v="   "/>
    <n v="0.153"/>
    <n v="0.20910000000000001"/>
    <n v="0"/>
    <s v="Elementary Behavior Analyst"/>
    <x v="10"/>
  </r>
  <r>
    <s v="38300"/>
    <x v="278"/>
    <s v="Personnel"/>
    <s v="H "/>
    <s v="High Grade Group 9-12"/>
    <s v="PS25HS"/>
    <s v="PSES High Prog01Act25 S275"/>
    <n v="1"/>
    <x v="1"/>
    <m/>
    <n v="25"/>
    <s v="   "/>
    <n v="0.54100000000000004"/>
    <n v="0.18340000000000001"/>
    <n v="0"/>
    <s v="High Pupil Management"/>
    <x v="1"/>
  </r>
  <r>
    <s v="38300"/>
    <x v="278"/>
    <s v="Personnel"/>
    <s v="E "/>
    <s v="Elementary Grade Group K-6"/>
    <s v="PS42ES"/>
    <s v="PSES Elem Prog01Duty42 S275"/>
    <n v="1"/>
    <x v="5"/>
    <n v="42"/>
    <m/>
    <s v="   "/>
    <n v="0.875"/>
    <n v="0.18340000000000001"/>
    <n v="0"/>
    <s v="Elementary Counselor"/>
    <x v="5"/>
  </r>
  <r>
    <s v="38300"/>
    <x v="278"/>
    <s v="Personnel"/>
    <s v="H "/>
    <s v="High Grade Group 9-12"/>
    <s v="PS42HS"/>
    <s v="PSES High Prog01Duty42 S275"/>
    <n v="1"/>
    <x v="5"/>
    <n v="42"/>
    <m/>
    <s v="   "/>
    <n v="0.56599999999999995"/>
    <n v="0.18340000000000001"/>
    <n v="0"/>
    <s v="High Counselor"/>
    <x v="5"/>
  </r>
  <r>
    <s v="38300"/>
    <x v="278"/>
    <s v="Personnel"/>
    <s v="M "/>
    <s v="Middle Grade Group 7-8"/>
    <s v="PS42MS"/>
    <s v="PSES Mid Prog01Duty42 S275"/>
    <n v="1"/>
    <x v="5"/>
    <n v="42"/>
    <m/>
    <s v="   "/>
    <n v="0.33400000000000002"/>
    <n v="0.18340000000000001"/>
    <n v="0"/>
    <s v="Middle Counselor"/>
    <x v="5"/>
  </r>
  <r>
    <s v="38300"/>
    <x v="278"/>
    <s v="Personnel"/>
    <s v="E "/>
    <s v="Elementary Grade Group K-6"/>
    <s v="PS45E21S"/>
    <s v="PSES Elem Prog21Duty45 S275"/>
    <n v="21"/>
    <x v="7"/>
    <n v="45"/>
    <m/>
    <s v="   "/>
    <n v="0.66500000000000004"/>
    <n v="0.18340000000000001"/>
    <n v="0.122"/>
    <s v="Elementary Speech, Language Pathway/_x000a_Audio"/>
    <x v="7"/>
  </r>
  <r>
    <s v="38300"/>
    <x v="278"/>
    <s v="Personnel"/>
    <s v="H "/>
    <s v="High Grade Group 9-12"/>
    <s v="PS45H21S"/>
    <s v="PSES High Prog21Duty45 S275"/>
    <n v="21"/>
    <x v="7"/>
    <n v="45"/>
    <m/>
    <s v="   "/>
    <n v="0.16800000000000001"/>
    <n v="0.18340000000000001"/>
    <n v="3.1E-2"/>
    <s v="High Speech, Language Pathway/_x000a_Audio"/>
    <x v="7"/>
  </r>
  <r>
    <s v="38300"/>
    <x v="278"/>
    <s v="Personnel"/>
    <s v="M "/>
    <s v="Middle Grade Group 7-8"/>
    <s v="PS45M21S"/>
    <s v="PSES Mid Prog21Duty45 S275"/>
    <n v="21"/>
    <x v="7"/>
    <n v="45"/>
    <m/>
    <s v="   "/>
    <n v="0.16700000000000001"/>
    <n v="0.18340000000000001"/>
    <n v="3.1E-2"/>
    <s v="Middle Speech, Language Pathway/_x000a_Audio"/>
    <x v="7"/>
  </r>
  <r>
    <s v="38300"/>
    <x v="278"/>
    <s v="Personnel"/>
    <s v="T"/>
    <s v="Elementary Grade Group K-6"/>
    <s v="PS42E09S"/>
    <s v="PSES Elem Prog09Duty42 S275"/>
    <n v="9"/>
    <x v="5"/>
    <n v="42"/>
    <n v="24"/>
    <m/>
    <n v="0.125"/>
    <n v="0.18340000000000001"/>
    <n v="0"/>
    <s v="TK Counselor"/>
    <x v="5"/>
  </r>
  <r>
    <s v="38301"/>
    <x v="279"/>
    <s v="Personnel"/>
    <s v="E "/>
    <s v="Elementary Grade Group K-6"/>
    <s v="PS42ES"/>
    <s v="PSES Elem Prog01Duty42 S275"/>
    <n v="1"/>
    <x v="5"/>
    <n v="42"/>
    <m/>
    <s v="   "/>
    <n v="0.5"/>
    <n v="0.14169999999999999"/>
    <n v="0"/>
    <s v="Elementary Counselor"/>
    <x v="5"/>
  </r>
  <r>
    <s v="38301"/>
    <x v="279"/>
    <s v="Personnel"/>
    <s v="H "/>
    <s v="High Grade Group 9-12"/>
    <s v="PS42HS"/>
    <s v="PSES High Prog01Duty42 S275"/>
    <n v="1"/>
    <x v="5"/>
    <n v="42"/>
    <m/>
    <s v="   "/>
    <n v="0.5"/>
    <n v="0.14169999999999999"/>
    <n v="0"/>
    <s v="High Counselor"/>
    <x v="5"/>
  </r>
  <r>
    <s v="38302"/>
    <x v="280"/>
    <s v="Personnel"/>
    <s v="E "/>
    <s v="Elementary Grade Group K-6"/>
    <s v="PS26ES"/>
    <s v="PSES Elem Prog01Act26 S275"/>
    <n v="1"/>
    <x v="2"/>
    <m/>
    <n v="26"/>
    <s v="   "/>
    <n v="4.2000000000000003E-2"/>
    <n v="0.1741"/>
    <n v="0"/>
    <s v="Elementary Health/_x000a_Related Services"/>
    <x v="2"/>
  </r>
  <r>
    <s v="38302"/>
    <x v="280"/>
    <s v="Personnel"/>
    <s v="H "/>
    <s v="High Grade Group 9-12"/>
    <s v="PS26HS"/>
    <s v="PSES High Prog01Act26 S275"/>
    <n v="1"/>
    <x v="2"/>
    <m/>
    <n v="26"/>
    <s v="   "/>
    <n v="0.06"/>
    <n v="0.1741"/>
    <n v="0"/>
    <s v="High Health/_x000a_Related Services"/>
    <x v="2"/>
  </r>
  <r>
    <s v="38302"/>
    <x v="280"/>
    <s v="Personnel"/>
    <s v="E "/>
    <s v="Elementary Grade Group K-6"/>
    <s v="PS42ES"/>
    <s v="PSES Elem Prog01Duty42 S275"/>
    <n v="1"/>
    <x v="5"/>
    <n v="42"/>
    <m/>
    <s v="   "/>
    <n v="0.5"/>
    <n v="0.1741"/>
    <n v="0"/>
    <s v="Elementary Counselor"/>
    <x v="5"/>
  </r>
  <r>
    <s v="38302"/>
    <x v="280"/>
    <s v="Personnel"/>
    <s v="M "/>
    <s v="Middle Grade Group 7-8"/>
    <s v="PS42MS"/>
    <s v="PSES Mid Prog01Duty42 S275"/>
    <n v="1"/>
    <x v="5"/>
    <n v="42"/>
    <m/>
    <s v="   "/>
    <n v="0.5"/>
    <n v="0.1741"/>
    <n v="0"/>
    <s v="Middle Counselor"/>
    <x v="5"/>
  </r>
  <r>
    <s v="38304"/>
    <x v="281"/>
    <s v="Personnel"/>
    <s v="H "/>
    <s v="High Grade Group 9-12"/>
    <s v="PS26HS"/>
    <s v="PSES High Prog01Act26 S275"/>
    <n v="1"/>
    <x v="2"/>
    <m/>
    <n v="26"/>
    <s v="   "/>
    <n v="3.5000000000000003E-2"/>
    <n v="0.1014"/>
    <n v="0"/>
    <s v="High Health/_x000a_Related Services"/>
    <x v="2"/>
  </r>
  <r>
    <s v="38306"/>
    <x v="282"/>
    <s v="Personnel"/>
    <s v="E "/>
    <s v="Elementary Grade Group K-6"/>
    <s v="PS42ES"/>
    <s v="PSES Elem Prog01Duty42 S275"/>
    <n v="1"/>
    <x v="5"/>
    <n v="42"/>
    <m/>
    <s v="   "/>
    <n v="0.128"/>
    <n v="0.14729999999999999"/>
    <n v="0"/>
    <s v="Elementary Counselor"/>
    <x v="5"/>
  </r>
  <r>
    <s v="38306"/>
    <x v="282"/>
    <s v="Personnel"/>
    <s v="H "/>
    <s v="High Grade Group 9-12"/>
    <s v="PS42HS"/>
    <s v="PSES High Prog01Duty42 S275"/>
    <n v="1"/>
    <x v="5"/>
    <n v="42"/>
    <m/>
    <s v="   "/>
    <n v="0.16900000000000001"/>
    <n v="0.14729999999999999"/>
    <n v="0"/>
    <s v="High Counselor"/>
    <x v="5"/>
  </r>
  <r>
    <s v="38306"/>
    <x v="282"/>
    <s v="Personnel"/>
    <s v="M "/>
    <s v="Middle Grade Group 7-8"/>
    <s v="PS42MS"/>
    <s v="PSES Mid Prog01Duty42 S275"/>
    <n v="1"/>
    <x v="5"/>
    <n v="42"/>
    <m/>
    <s v="   "/>
    <n v="0.34699999999999998"/>
    <n v="0.14729999999999999"/>
    <n v="0"/>
    <s v="Middle Counselor"/>
    <x v="5"/>
  </r>
  <r>
    <s v="38308"/>
    <x v="283"/>
    <s v="Personnel"/>
    <s v="H "/>
    <s v="High Grade Group 9-12"/>
    <s v="PS24HS"/>
    <s v="PSES High Prog01Duty96 S275"/>
    <n v="1"/>
    <x v="0"/>
    <n v="96"/>
    <n v="24"/>
    <s v="   "/>
    <n v="0.67100000000000004"/>
    <n v="0.15140000000000001"/>
    <n v="0"/>
    <s v="High Family Engagement Coordinator"/>
    <x v="0"/>
  </r>
  <r>
    <s v="38308"/>
    <x v="283"/>
    <s v="Personnel"/>
    <s v="H "/>
    <s v="High Grade Group 9-12"/>
    <s v="PS25HS"/>
    <s v="PSES High Prog01Act25 S275"/>
    <n v="1"/>
    <x v="1"/>
    <m/>
    <n v="25"/>
    <s v="   "/>
    <n v="0.24199999999999999"/>
    <n v="0.15140000000000001"/>
    <n v="0"/>
    <s v="High Pupil Management"/>
    <x v="1"/>
  </r>
  <r>
    <s v="38320"/>
    <x v="284"/>
    <s v="Personnel"/>
    <s v="E "/>
    <s v="Elementary Grade Group K-6"/>
    <s v="PS25ES"/>
    <s v="PSES Elem Prog01Act25 S275"/>
    <n v="1"/>
    <x v="1"/>
    <m/>
    <n v="25"/>
    <s v="   "/>
    <n v="4.4999999999999998E-2"/>
    <n v="0.1187"/>
    <n v="0"/>
    <s v="Elementary Pupil Management"/>
    <x v="1"/>
  </r>
  <r>
    <s v="38320"/>
    <x v="284"/>
    <s v="Personnel"/>
    <s v="H "/>
    <s v="High Grade Group 9-12"/>
    <s v="PS25HS"/>
    <s v="PSES High Prog01Act25 S275"/>
    <n v="1"/>
    <x v="1"/>
    <m/>
    <n v="25"/>
    <s v="   "/>
    <n v="8.8999999999999996E-2"/>
    <n v="0.1187"/>
    <n v="0"/>
    <s v="High Pupil Management"/>
    <x v="1"/>
  </r>
  <r>
    <s v="38320"/>
    <x v="284"/>
    <s v="Personnel"/>
    <s v="M "/>
    <s v="Middle Grade Group 7-8"/>
    <s v="PS25MS"/>
    <s v="PSES Mid Prog01Act25 S275"/>
    <n v="1"/>
    <x v="1"/>
    <m/>
    <n v="25"/>
    <s v="   "/>
    <n v="0.14399999999999999"/>
    <n v="0.1187"/>
    <n v="0"/>
    <s v="Middle Pupil Management"/>
    <x v="1"/>
  </r>
  <r>
    <s v="38320"/>
    <x v="284"/>
    <s v="Personnel"/>
    <s v="E "/>
    <s v="Elementary Grade Group K-6"/>
    <s v="PS26ES"/>
    <s v="PSES Elem Prog01Act26 S275"/>
    <n v="1"/>
    <x v="2"/>
    <m/>
    <n v="26"/>
    <s v="   "/>
    <n v="9.2999999999999999E-2"/>
    <n v="0.1187"/>
    <n v="0"/>
    <s v="Elementary Health/_x000a_Related Services"/>
    <x v="2"/>
  </r>
  <r>
    <s v="38320"/>
    <x v="284"/>
    <s v="Personnel"/>
    <s v="H "/>
    <s v="High Grade Group 9-12"/>
    <s v="PS26HS"/>
    <s v="PSES High Prog01Act26 S275"/>
    <n v="1"/>
    <x v="2"/>
    <m/>
    <n v="26"/>
    <s v="   "/>
    <n v="9.2999999999999999E-2"/>
    <n v="0.1187"/>
    <n v="0"/>
    <s v="High Health/_x000a_Related Services"/>
    <x v="2"/>
  </r>
  <r>
    <s v="38320"/>
    <x v="284"/>
    <s v="Personnel"/>
    <s v="M "/>
    <s v="Middle Grade Group 7-8"/>
    <s v="PS26MS"/>
    <s v="PSES Mid Prog01Act26 S275"/>
    <n v="1"/>
    <x v="2"/>
    <m/>
    <n v="26"/>
    <s v="   "/>
    <n v="9.2999999999999999E-2"/>
    <n v="0.1187"/>
    <n v="0"/>
    <s v="Middle Health/_x000a_Related Services"/>
    <x v="2"/>
  </r>
  <r>
    <s v="38320"/>
    <x v="284"/>
    <s v="Personnel"/>
    <s v="E "/>
    <s v="Elementary Grade Group K-6"/>
    <s v="PS49ES"/>
    <s v="PSES Elem Prog01Duty49 S275"/>
    <n v="1"/>
    <x v="10"/>
    <n v="49"/>
    <m/>
    <s v="   "/>
    <n v="0.20399999999999999"/>
    <n v="0.1187"/>
    <n v="0"/>
    <s v="Elementary Behavior Analyst"/>
    <x v="10"/>
  </r>
  <r>
    <s v="38320"/>
    <x v="284"/>
    <s v="Personnel"/>
    <s v="H "/>
    <s v="High Grade Group 9-12"/>
    <s v="PS49HS"/>
    <s v="PSES High Prog01Duty49 S275"/>
    <n v="1"/>
    <x v="10"/>
    <n v="49"/>
    <m/>
    <s v="   "/>
    <n v="0.20399999999999999"/>
    <n v="0.1187"/>
    <n v="0"/>
    <s v="High Behavior Analyst"/>
    <x v="10"/>
  </r>
  <r>
    <s v="38320"/>
    <x v="284"/>
    <s v="Personnel"/>
    <s v="M "/>
    <s v="Middle Grade Group 7-8"/>
    <s v="PS49MS"/>
    <s v="PSES Mid Prog01Duty49 S275"/>
    <n v="1"/>
    <x v="10"/>
    <n v="49"/>
    <m/>
    <s v="   "/>
    <n v="0.20399999999999999"/>
    <n v="0.1187"/>
    <n v="0"/>
    <s v="Middle Behavior Analyst"/>
    <x v="10"/>
  </r>
  <r>
    <s v="38322"/>
    <x v="285"/>
    <s v="Personnel"/>
    <s v="E "/>
    <s v="Elementary Grade Group K-6"/>
    <s v="PS42ES"/>
    <s v="PSES Elem Prog01Duty42 S275"/>
    <n v="1"/>
    <x v="5"/>
    <n v="42"/>
    <m/>
    <s v="   "/>
    <n v="0.13"/>
    <n v="0.13819999999999999"/>
    <n v="0"/>
    <s v="Elementary Counselor"/>
    <x v="5"/>
  </r>
  <r>
    <s v="38322"/>
    <x v="285"/>
    <s v="Personnel"/>
    <s v="H "/>
    <s v="High Grade Group 9-12"/>
    <s v="PS42HS"/>
    <s v="PSES High Prog01Duty42 S275"/>
    <n v="1"/>
    <x v="5"/>
    <n v="42"/>
    <m/>
    <s v="   "/>
    <n v="0.30299999999999999"/>
    <n v="0.13819999999999999"/>
    <n v="0"/>
    <s v="High Counselor"/>
    <x v="5"/>
  </r>
  <r>
    <s v="38324"/>
    <x v="286"/>
    <s v="Personnel"/>
    <s v="E "/>
    <s v="Elementary Grade Group K-6"/>
    <s v="PS26ES"/>
    <s v="PSES Elem Prog01Act26 S275"/>
    <n v="1"/>
    <x v="2"/>
    <m/>
    <n v="26"/>
    <s v="   "/>
    <n v="0.22700000000000001"/>
    <n v="0.16189999999999999"/>
    <n v="0"/>
    <s v="Elementary Health/_x000a_Related Services"/>
    <x v="2"/>
  </r>
  <r>
    <s v="38324"/>
    <x v="286"/>
    <s v="Personnel"/>
    <s v="H "/>
    <s v="High Grade Group 9-12"/>
    <s v="PS26HS"/>
    <s v="PSES High Prog01Act26 S275"/>
    <n v="1"/>
    <x v="2"/>
    <m/>
    <n v="26"/>
    <s v="   "/>
    <n v="0.113"/>
    <n v="0.16189999999999999"/>
    <n v="0"/>
    <s v="High Health/_x000a_Related Services"/>
    <x v="2"/>
  </r>
  <r>
    <s v="38324"/>
    <x v="286"/>
    <s v="Personnel"/>
    <s v="M "/>
    <s v="Middle Grade Group 7-8"/>
    <s v="PS26MS"/>
    <s v="PSES Mid Prog01Act26 S275"/>
    <n v="1"/>
    <x v="2"/>
    <m/>
    <n v="26"/>
    <s v="   "/>
    <n v="0.113"/>
    <n v="0.16189999999999999"/>
    <n v="0"/>
    <s v="Middle Health/_x000a_Related Services"/>
    <x v="2"/>
  </r>
  <r>
    <s v="38324"/>
    <x v="286"/>
    <s v="Personnel"/>
    <s v="H "/>
    <s v="High Grade Group 9-12"/>
    <s v="PS42HS"/>
    <s v="PSES High Prog01Duty42 S275"/>
    <n v="1"/>
    <x v="5"/>
    <n v="42"/>
    <m/>
    <s v="   "/>
    <n v="0.6"/>
    <n v="0.16189999999999999"/>
    <n v="0"/>
    <s v="High Counselor"/>
    <x v="5"/>
  </r>
  <r>
    <s v="39002"/>
    <x v="287"/>
    <s v="Personnel"/>
    <s v="H "/>
    <s v="High Grade Group 9-12"/>
    <s v="PS25HS"/>
    <s v="PSES High Prog01Act25 S275"/>
    <n v="1"/>
    <x v="1"/>
    <m/>
    <n v="25"/>
    <s v="   "/>
    <n v="3.0939999999999999"/>
    <n v="0.19009999999999999"/>
    <n v="0"/>
    <s v="High Pupil Management"/>
    <x v="1"/>
  </r>
  <r>
    <s v="39002"/>
    <x v="287"/>
    <s v="Personnel"/>
    <s v="H "/>
    <s v="High Grade Group 9-12"/>
    <s v="PS26H21S"/>
    <s v="PSES High Prog21Act26 S275"/>
    <n v="21"/>
    <x v="2"/>
    <m/>
    <n v="26"/>
    <s v="   "/>
    <n v="0.64600000000000002"/>
    <n v="0.19009999999999999"/>
    <n v="0.123"/>
    <s v="High Health/_x000a_Related Services"/>
    <x v="2"/>
  </r>
  <r>
    <s v="39002"/>
    <x v="287"/>
    <s v="Personnel"/>
    <s v="H "/>
    <s v="High Grade Group 9-12"/>
    <s v="PS26HS"/>
    <s v="PSES High Prog01Act26 S275"/>
    <n v="1"/>
    <x v="2"/>
    <m/>
    <n v="26"/>
    <s v="   "/>
    <n v="0.91100000000000003"/>
    <n v="0.19009999999999999"/>
    <n v="0"/>
    <s v="High Health/_x000a_Related Services"/>
    <x v="2"/>
  </r>
  <r>
    <s v="39002"/>
    <x v="287"/>
    <s v="Personnel"/>
    <s v="E "/>
    <s v="Elementary Grade Group K-6"/>
    <s v="PS42ES"/>
    <s v="PSES Elem Prog01Duty42 S275"/>
    <n v="1"/>
    <x v="5"/>
    <n v="42"/>
    <m/>
    <s v="   "/>
    <n v="0.5"/>
    <n v="0.19009999999999999"/>
    <n v="0"/>
    <s v="Elementary Counselor"/>
    <x v="5"/>
  </r>
  <r>
    <s v="39002"/>
    <x v="287"/>
    <s v="Personnel"/>
    <s v="M "/>
    <s v="Middle Grade Group 7-8"/>
    <s v="PS42MS"/>
    <s v="PSES Mid Prog01Duty42 S275"/>
    <n v="1"/>
    <x v="5"/>
    <n v="42"/>
    <m/>
    <s v="   "/>
    <n v="0.5"/>
    <n v="0.19009999999999999"/>
    <n v="0"/>
    <s v="Middle Counselor"/>
    <x v="5"/>
  </r>
  <r>
    <s v="39002"/>
    <x v="287"/>
    <s v="Personnel"/>
    <s v="E "/>
    <s v="Elementary Grade Group K-6"/>
    <s v="PS46E21S"/>
    <s v="PSES Elem Prog21Duty46 S275"/>
    <n v="21"/>
    <x v="8"/>
    <n v="46"/>
    <m/>
    <s v="   "/>
    <n v="0.5"/>
    <n v="0.19009999999999999"/>
    <n v="9.5000000000000001E-2"/>
    <s v="Elementary Psychologist"/>
    <x v="8"/>
  </r>
  <r>
    <s v="39002"/>
    <x v="287"/>
    <s v="Personnel"/>
    <s v="M "/>
    <s v="Middle Grade Group 7-8"/>
    <s v="PS46M21S"/>
    <s v="PSES Mid Prog21Duty46 S275"/>
    <n v="21"/>
    <x v="8"/>
    <n v="46"/>
    <m/>
    <s v="   "/>
    <n v="0.5"/>
    <n v="0.19009999999999999"/>
    <n v="9.5000000000000001E-2"/>
    <s v="Middle Psychologist"/>
    <x v="8"/>
  </r>
  <r>
    <s v="39003"/>
    <x v="288"/>
    <s v="Personnel"/>
    <s v="E "/>
    <s v="Elementary Grade Group K-6"/>
    <s v="PS25E21S"/>
    <s v="PSES Elem Prog21Act25 S275"/>
    <n v="21"/>
    <x v="1"/>
    <m/>
    <n v="25"/>
    <s v="   "/>
    <n v="6.9000000000000006E-2"/>
    <n v="0.15840000000000001"/>
    <n v="1.0999999999999999E-2"/>
    <s v="Elementary Pupil Management"/>
    <x v="1"/>
  </r>
  <r>
    <s v="39003"/>
    <x v="288"/>
    <s v="Personnel"/>
    <s v="E "/>
    <s v="Elementary Grade Group K-6"/>
    <s v="PS25ES"/>
    <s v="PSES Elem Prog01Act25 S275"/>
    <n v="1"/>
    <x v="1"/>
    <m/>
    <n v="25"/>
    <s v="   "/>
    <n v="7.3999999999999996E-2"/>
    <n v="0.15840000000000001"/>
    <n v="0"/>
    <s v="Elementary Pupil Management"/>
    <x v="1"/>
  </r>
  <r>
    <s v="39003"/>
    <x v="288"/>
    <s v="Personnel"/>
    <s v="H "/>
    <s v="High Grade Group 9-12"/>
    <s v="PS25HS"/>
    <s v="PSES High Prog01Act25 S275"/>
    <n v="1"/>
    <x v="1"/>
    <m/>
    <n v="25"/>
    <s v="   "/>
    <n v="0.14000000000000001"/>
    <n v="0.15840000000000001"/>
    <n v="0"/>
    <s v="High Pupil Management"/>
    <x v="1"/>
  </r>
  <r>
    <s v="39003"/>
    <x v="288"/>
    <s v="Personnel"/>
    <s v="M "/>
    <s v="Middle Grade Group 7-8"/>
    <s v="PS25MS"/>
    <s v="PSES Mid Prog01Act25 S275"/>
    <n v="1"/>
    <x v="1"/>
    <m/>
    <n v="25"/>
    <s v="   "/>
    <n v="0.56499999999999995"/>
    <n v="0.15840000000000001"/>
    <n v="0"/>
    <s v="Middle Pupil Management"/>
    <x v="1"/>
  </r>
  <r>
    <s v="39003"/>
    <x v="288"/>
    <s v="Personnel"/>
    <s v="E "/>
    <s v="Elementary Grade Group K-6"/>
    <s v="PS26E21S"/>
    <s v="PSES Elem Prog21Act26 S275"/>
    <n v="21"/>
    <x v="2"/>
    <m/>
    <n v="26"/>
    <s v="   "/>
    <n v="0.59399999999999997"/>
    <n v="0.15840000000000001"/>
    <n v="9.4E-2"/>
    <s v="Elementary Health/_x000a_Related Services"/>
    <x v="2"/>
  </r>
  <r>
    <s v="39003"/>
    <x v="288"/>
    <s v="Personnel"/>
    <s v="E "/>
    <s v="Elementary Grade Group K-6"/>
    <s v="PS26ES"/>
    <s v="PSES Elem Prog01Act26 S275"/>
    <n v="1"/>
    <x v="2"/>
    <m/>
    <n v="26"/>
    <s v="   "/>
    <n v="0.72499999999999998"/>
    <n v="0.15840000000000001"/>
    <n v="0"/>
    <s v="Elementary Health/_x000a_Related Services"/>
    <x v="2"/>
  </r>
  <r>
    <s v="39003"/>
    <x v="288"/>
    <s v="Personnel"/>
    <s v="E "/>
    <s v="Elementary Grade Group K-6"/>
    <s v="PS42ES"/>
    <s v="PSES Elem Prog01Duty42 S275"/>
    <n v="1"/>
    <x v="5"/>
    <n v="42"/>
    <m/>
    <s v="   "/>
    <n v="1.5"/>
    <n v="0.15840000000000001"/>
    <n v="0"/>
    <s v="Elementary Counselor"/>
    <x v="5"/>
  </r>
  <r>
    <s v="39003"/>
    <x v="288"/>
    <s v="Personnel"/>
    <s v="H "/>
    <s v="High Grade Group 9-12"/>
    <s v="PS42HS"/>
    <s v="PSES High Prog01Duty42 S275"/>
    <n v="1"/>
    <x v="5"/>
    <n v="42"/>
    <m/>
    <s v="   "/>
    <n v="1.25"/>
    <n v="0.15840000000000001"/>
    <n v="0"/>
    <s v="High Counselor"/>
    <x v="5"/>
  </r>
  <r>
    <s v="39003"/>
    <x v="288"/>
    <s v="Personnel"/>
    <s v="M "/>
    <s v="Middle Grade Group 7-8"/>
    <s v="PS42MS"/>
    <s v="PSES Mid Prog01Duty42 S275"/>
    <n v="1"/>
    <x v="5"/>
    <n v="42"/>
    <m/>
    <s v="   "/>
    <n v="0.5"/>
    <n v="0.15840000000000001"/>
    <n v="0"/>
    <s v="Middle Counselor"/>
    <x v="5"/>
  </r>
  <r>
    <s v="39003"/>
    <x v="288"/>
    <s v="Personnel"/>
    <s v="E "/>
    <s v="Elementary Grade Group K-6"/>
    <s v="PS45E21S"/>
    <s v="PSES Elem Prog21Duty45 S275"/>
    <n v="21"/>
    <x v="7"/>
    <n v="45"/>
    <m/>
    <s v="   "/>
    <n v="0.33400000000000002"/>
    <n v="0.15840000000000001"/>
    <n v="5.2999999999999999E-2"/>
    <s v="Elementary Speech, Language Pathway/_x000a_Audio"/>
    <x v="7"/>
  </r>
  <r>
    <s v="39003"/>
    <x v="288"/>
    <s v="Personnel"/>
    <s v="H "/>
    <s v="High Grade Group 9-12"/>
    <s v="PS45H21S"/>
    <s v="PSES High Prog21Duty45 S275"/>
    <n v="21"/>
    <x v="7"/>
    <n v="45"/>
    <m/>
    <s v="   "/>
    <n v="1.333"/>
    <n v="0.15840000000000001"/>
    <n v="0.21099999999999999"/>
    <s v="High Speech, Language Pathway/_x000a_Audio"/>
    <x v="7"/>
  </r>
  <r>
    <s v="39003"/>
    <x v="288"/>
    <s v="Personnel"/>
    <s v="M "/>
    <s v="Middle Grade Group 7-8"/>
    <s v="PS45M21S"/>
    <s v="PSES Mid Prog21Duty45 S275"/>
    <n v="21"/>
    <x v="7"/>
    <n v="45"/>
    <m/>
    <s v="   "/>
    <n v="0.33300000000000002"/>
    <n v="0.15840000000000001"/>
    <n v="5.2999999999999999E-2"/>
    <s v="Middle Speech, Language Pathway/_x000a_Audio"/>
    <x v="7"/>
  </r>
  <r>
    <s v="39003"/>
    <x v="288"/>
    <s v="Personnel"/>
    <s v="E "/>
    <s v="Elementary Grade Group K-6"/>
    <s v="PS46E21S"/>
    <s v="PSES Elem Prog21Duty46 S275"/>
    <n v="21"/>
    <x v="8"/>
    <n v="46"/>
    <m/>
    <s v="   "/>
    <n v="0.33400000000000002"/>
    <n v="0.15840000000000001"/>
    <n v="5.2999999999999999E-2"/>
    <s v="Elementary Psychologist"/>
    <x v="8"/>
  </r>
  <r>
    <s v="39003"/>
    <x v="288"/>
    <s v="Personnel"/>
    <s v="H "/>
    <s v="High Grade Group 9-12"/>
    <s v="PS46H21S"/>
    <s v="PSES High Prog21Duty46 S275"/>
    <n v="21"/>
    <x v="8"/>
    <n v="46"/>
    <m/>
    <s v="   "/>
    <n v="0.33300000000000002"/>
    <n v="0.15840000000000001"/>
    <n v="5.2999999999999999E-2"/>
    <s v="High Psychologist"/>
    <x v="8"/>
  </r>
  <r>
    <s v="39003"/>
    <x v="288"/>
    <s v="Personnel"/>
    <s v="M "/>
    <s v="Middle Grade Group 7-8"/>
    <s v="PS46M21S"/>
    <s v="PSES Mid Prog21Duty46 S275"/>
    <n v="21"/>
    <x v="8"/>
    <n v="46"/>
    <m/>
    <s v="   "/>
    <n v="0.33300000000000002"/>
    <n v="0.15840000000000001"/>
    <n v="5.2999999999999999E-2"/>
    <s v="Middle Psychologist"/>
    <x v="8"/>
  </r>
  <r>
    <s v="39003"/>
    <x v="288"/>
    <s v="Personnel"/>
    <s v="E "/>
    <s v="Elementary Grade Group K-6"/>
    <s v="PS47ES"/>
    <s v="PSES Elem Prog01Duty47 S275"/>
    <n v="1"/>
    <x v="9"/>
    <n v="47"/>
    <m/>
    <s v="   "/>
    <n v="0.43"/>
    <n v="0.15840000000000001"/>
    <n v="0"/>
    <s v="Elementary Nurse"/>
    <x v="9"/>
  </r>
  <r>
    <s v="39003"/>
    <x v="288"/>
    <s v="Personnel"/>
    <s v="H "/>
    <s v="High Grade Group 9-12"/>
    <s v="PS47HS"/>
    <s v="PSES High Prog01Duty47 S275"/>
    <n v="1"/>
    <x v="9"/>
    <n v="47"/>
    <m/>
    <s v="   "/>
    <n v="0.43099999999999999"/>
    <n v="0.15840000000000001"/>
    <n v="0"/>
    <s v="High Nurse"/>
    <x v="9"/>
  </r>
  <r>
    <s v="39003"/>
    <x v="288"/>
    <s v="Personnel"/>
    <s v="M "/>
    <s v="Middle Grade Group 7-8"/>
    <s v="PS47MS"/>
    <s v="PSES Mid Prog01Duty47 S275"/>
    <n v="1"/>
    <x v="9"/>
    <n v="47"/>
    <m/>
    <s v="   "/>
    <n v="0.43"/>
    <n v="0.15840000000000001"/>
    <n v="0"/>
    <s v="Middle Nurse"/>
    <x v="9"/>
  </r>
  <r>
    <s v="39003"/>
    <x v="288"/>
    <s v="Personnel"/>
    <m/>
    <s v="Elementary Grade Group K-6"/>
    <s v="PS25E09S"/>
    <s v="PSES Elem Prog09Duty25 S275"/>
    <n v="9"/>
    <x v="1"/>
    <n v="91"/>
    <n v="25"/>
    <m/>
    <n v="6.9000000000000006E-2"/>
    <n v="0.15840000000000001"/>
    <n v="0"/>
    <s v="TK Pupil Management"/>
    <x v="1"/>
  </r>
  <r>
    <s v="39007"/>
    <x v="289"/>
    <s v="Personnel"/>
    <s v="H "/>
    <s v="High Grade Group 9-12"/>
    <s v="PS25H21S"/>
    <s v="PSES High Prog21Act25 S275"/>
    <n v="21"/>
    <x v="1"/>
    <m/>
    <n v="25"/>
    <s v="   "/>
    <n v="1"/>
    <n v="0.32019999999999998"/>
    <n v="0.32"/>
    <s v="High Pupil Management"/>
    <x v="1"/>
  </r>
  <r>
    <s v="39007"/>
    <x v="289"/>
    <s v="Personnel"/>
    <s v="H "/>
    <s v="High Grade Group 9-12"/>
    <s v="PS25HS"/>
    <s v="PSES High Prog01Act25 S275"/>
    <n v="1"/>
    <x v="1"/>
    <m/>
    <n v="25"/>
    <s v="   "/>
    <n v="19.241"/>
    <n v="0.32019999999999998"/>
    <n v="0"/>
    <s v="High Pupil Management"/>
    <x v="1"/>
  </r>
  <r>
    <s v="39007"/>
    <x v="289"/>
    <s v="Personnel"/>
    <s v="H "/>
    <s v="High Grade Group 9-12"/>
    <s v="PS26H21S"/>
    <s v="PSES High Prog21Act26 S275"/>
    <n v="21"/>
    <x v="2"/>
    <m/>
    <n v="26"/>
    <s v="   "/>
    <n v="19.736999999999998"/>
    <n v="0.32019999999999998"/>
    <n v="6.32"/>
    <s v="High Health/_x000a_Related Services"/>
    <x v="2"/>
  </r>
  <r>
    <s v="39007"/>
    <x v="289"/>
    <s v="Personnel"/>
    <s v="H "/>
    <s v="High Grade Group 9-12"/>
    <s v="PS26HS"/>
    <s v="PSES High Prog01Act26 S275"/>
    <n v="1"/>
    <x v="2"/>
    <m/>
    <n v="26"/>
    <s v="   "/>
    <n v="5.2519999999999998"/>
    <n v="0.32019999999999998"/>
    <n v="0"/>
    <s v="High Health/_x000a_Related Services"/>
    <x v="2"/>
  </r>
  <r>
    <s v="39007"/>
    <x v="289"/>
    <s v="Personnel"/>
    <s v="H "/>
    <s v="High Grade Group 9-12"/>
    <s v="PS35HS"/>
    <s v="PSES High Prog01Act35 S275"/>
    <n v="1"/>
    <x v="3"/>
    <m/>
    <n v="35"/>
    <s v="   "/>
    <n v="13.362"/>
    <n v="0.32019999999999998"/>
    <n v="0"/>
    <s v="High Pupil Safety"/>
    <x v="3"/>
  </r>
  <r>
    <s v="39007"/>
    <x v="289"/>
    <s v="Personnel"/>
    <s v="E "/>
    <s v="Elementary Grade Group K-6"/>
    <s v="PS42ES"/>
    <s v="PSES Elem Prog01Duty42 S275"/>
    <n v="1"/>
    <x v="5"/>
    <n v="42"/>
    <m/>
    <s v="   "/>
    <n v="3.84"/>
    <n v="0.32019999999999998"/>
    <n v="0"/>
    <s v="Elementary Counselor"/>
    <x v="5"/>
  </r>
  <r>
    <s v="39007"/>
    <x v="289"/>
    <s v="Personnel"/>
    <s v="H "/>
    <s v="High Grade Group 9-12"/>
    <s v="PS42HS"/>
    <s v="PSES High Prog01Duty42 S275"/>
    <n v="1"/>
    <x v="5"/>
    <n v="42"/>
    <m/>
    <s v="   "/>
    <n v="9"/>
    <n v="0.32019999999999998"/>
    <n v="0"/>
    <s v="High Counselor"/>
    <x v="5"/>
  </r>
  <r>
    <s v="39007"/>
    <x v="289"/>
    <s v="Personnel"/>
    <s v="M "/>
    <s v="Middle Grade Group 7-8"/>
    <s v="PS42MS"/>
    <s v="PSES Mid Prog01Duty42 S275"/>
    <n v="1"/>
    <x v="5"/>
    <n v="42"/>
    <m/>
    <s v="   "/>
    <n v="3.66"/>
    <n v="0.32019999999999998"/>
    <n v="0"/>
    <s v="Middle Counselor"/>
    <x v="5"/>
  </r>
  <r>
    <s v="39007"/>
    <x v="289"/>
    <s v="Personnel"/>
    <s v="E "/>
    <s v="Elementary Grade Group K-6"/>
    <s v="PS43E21S"/>
    <s v="PSES Elem Prog21Duty43 S275"/>
    <n v="21"/>
    <x v="6"/>
    <n v="43"/>
    <m/>
    <s v="   "/>
    <n v="1.871"/>
    <n v="0.32019999999999998"/>
    <n v="0.59899999999999998"/>
    <s v="Elementary Occupational Therapist"/>
    <x v="6"/>
  </r>
  <r>
    <s v="39007"/>
    <x v="289"/>
    <s v="Personnel"/>
    <s v="H "/>
    <s v="High Grade Group 9-12"/>
    <s v="PS43H21S"/>
    <s v="PSES High Prog21Duty43 S275"/>
    <n v="21"/>
    <x v="6"/>
    <n v="43"/>
    <m/>
    <s v="   "/>
    <n v="0.31"/>
    <n v="0.32019999999999998"/>
    <n v="9.9000000000000005E-2"/>
    <s v="High Occupational Therapist"/>
    <x v="6"/>
  </r>
  <r>
    <s v="39007"/>
    <x v="289"/>
    <s v="Personnel"/>
    <s v="M "/>
    <s v="Middle Grade Group 7-8"/>
    <s v="PS43M21S"/>
    <s v="PSES Mid Prog21Duty43 S275"/>
    <n v="21"/>
    <x v="6"/>
    <n v="43"/>
    <m/>
    <s v="   "/>
    <n v="3.7970000000000002"/>
    <n v="0.32019999999999998"/>
    <n v="1.216"/>
    <s v="Middle Occupational Therapist"/>
    <x v="6"/>
  </r>
  <r>
    <s v="39007"/>
    <x v="289"/>
    <s v="Personnel"/>
    <s v="E "/>
    <s v="Elementary Grade Group K-6"/>
    <s v="PS45E21S"/>
    <s v="PSES Elem Prog21Duty45 S275"/>
    <n v="21"/>
    <x v="7"/>
    <n v="45"/>
    <m/>
    <s v="   "/>
    <n v="5.8"/>
    <n v="0.32019999999999998"/>
    <n v="1.857"/>
    <s v="Elementary Speech, Language Pathway/_x000a_Audio"/>
    <x v="7"/>
  </r>
  <r>
    <s v="39007"/>
    <x v="289"/>
    <s v="Personnel"/>
    <s v="M "/>
    <s v="Middle Grade Group 7-8"/>
    <s v="PS45M21S"/>
    <s v="PSES Mid Prog21Duty45 S275"/>
    <n v="21"/>
    <x v="7"/>
    <n v="45"/>
    <m/>
    <s v="   "/>
    <n v="3"/>
    <n v="0.32019999999999998"/>
    <n v="0.96099999999999997"/>
    <s v="Middle Speech, Language Pathway/_x000a_Audio"/>
    <x v="7"/>
  </r>
  <r>
    <s v="39007"/>
    <x v="289"/>
    <s v="Personnel"/>
    <s v="E "/>
    <s v="Elementary Grade Group K-6"/>
    <s v="PS46E21S"/>
    <s v="PSES Elem Prog21Duty46 S275"/>
    <n v="21"/>
    <x v="8"/>
    <n v="46"/>
    <m/>
    <s v="   "/>
    <n v="5.4"/>
    <n v="0.32019999999999998"/>
    <n v="1.7290000000000001"/>
    <s v="Elementary Psychologist"/>
    <x v="8"/>
  </r>
  <r>
    <s v="39007"/>
    <x v="289"/>
    <s v="Personnel"/>
    <s v="H "/>
    <s v="High Grade Group 9-12"/>
    <s v="PS46H21S"/>
    <s v="PSES High Prog21Duty46 S275"/>
    <n v="21"/>
    <x v="8"/>
    <n v="46"/>
    <m/>
    <s v="   "/>
    <n v="6.8"/>
    <n v="0.32019999999999998"/>
    <n v="2.177"/>
    <s v="High Psychologist"/>
    <x v="8"/>
  </r>
  <r>
    <s v="39007"/>
    <x v="289"/>
    <s v="Personnel"/>
    <s v="M "/>
    <s v="Middle Grade Group 7-8"/>
    <s v="PS46M21S"/>
    <s v="PSES Mid Prog21Duty46 S275"/>
    <n v="21"/>
    <x v="8"/>
    <n v="46"/>
    <m/>
    <s v="   "/>
    <n v="5.4"/>
    <n v="0.32019999999999998"/>
    <n v="1.7290000000000001"/>
    <s v="Middle Psychologist"/>
    <x v="8"/>
  </r>
  <r>
    <s v="39007"/>
    <x v="289"/>
    <s v="Personnel"/>
    <s v="E "/>
    <s v="Elementary Grade Group K-6"/>
    <s v="PS47ES"/>
    <s v="PSES Elem Prog01Duty47 S275"/>
    <n v="1"/>
    <x v="9"/>
    <n v="47"/>
    <m/>
    <s v="   "/>
    <n v="11"/>
    <n v="0.32019999999999998"/>
    <n v="0"/>
    <s v="Elementary Nurse"/>
    <x v="9"/>
  </r>
  <r>
    <s v="39007"/>
    <x v="289"/>
    <s v="Personnel"/>
    <s v="H "/>
    <s v="High Grade Group 9-12"/>
    <s v="PS47HS"/>
    <s v="PSES High Prog01Duty47 S275"/>
    <n v="1"/>
    <x v="9"/>
    <n v="47"/>
    <m/>
    <s v="   "/>
    <n v="4"/>
    <n v="0.32019999999999998"/>
    <n v="0"/>
    <s v="High Nurse"/>
    <x v="9"/>
  </r>
  <r>
    <s v="39007"/>
    <x v="289"/>
    <s v="Personnel"/>
    <s v="M "/>
    <s v="Middle Grade Group 7-8"/>
    <s v="PS47MS"/>
    <s v="PSES Mid Prog01Duty47 S275"/>
    <n v="1"/>
    <x v="9"/>
    <n v="47"/>
    <m/>
    <s v="   "/>
    <n v="4"/>
    <n v="0.32019999999999998"/>
    <n v="0"/>
    <s v="Middle Nurse"/>
    <x v="9"/>
  </r>
  <r>
    <s v="39090"/>
    <x v="290"/>
    <s v="Personnel"/>
    <s v="H "/>
    <s v="High Grade Group 9-12"/>
    <s v="PS25HS"/>
    <s v="PSES High Prog01Act25 S275"/>
    <n v="1"/>
    <x v="1"/>
    <m/>
    <n v="25"/>
    <s v="   "/>
    <n v="3.407"/>
    <n v="0.219"/>
    <n v="0"/>
    <s v="High Pupil Management"/>
    <x v="1"/>
  </r>
  <r>
    <s v="39090"/>
    <x v="290"/>
    <s v="Personnel"/>
    <s v="H "/>
    <s v="High Grade Group 9-12"/>
    <s v="PS26H21S"/>
    <s v="PSES High Prog21Act26 S275"/>
    <n v="21"/>
    <x v="2"/>
    <m/>
    <n v="26"/>
    <s v="   "/>
    <n v="1.873"/>
    <n v="0.219"/>
    <n v="0.41"/>
    <s v="High Health/_x000a_Related Services"/>
    <x v="2"/>
  </r>
  <r>
    <s v="39090"/>
    <x v="290"/>
    <s v="Personnel"/>
    <s v="H "/>
    <s v="High Grade Group 9-12"/>
    <s v="PS26HS"/>
    <s v="PSES High Prog01Act26 S275"/>
    <n v="1"/>
    <x v="2"/>
    <m/>
    <n v="26"/>
    <s v="   "/>
    <n v="3.09"/>
    <n v="0.219"/>
    <n v="0"/>
    <s v="High Health/_x000a_Related Services"/>
    <x v="2"/>
  </r>
  <r>
    <s v="39090"/>
    <x v="290"/>
    <s v="Personnel"/>
    <s v="H "/>
    <s v="High Grade Group 9-12"/>
    <s v="PS35HS"/>
    <s v="PSES High Prog01Act35 S275"/>
    <n v="1"/>
    <x v="3"/>
    <m/>
    <n v="35"/>
    <s v="   "/>
    <n v="1.202"/>
    <n v="0.219"/>
    <n v="0"/>
    <s v="High Pupil Safety"/>
    <x v="3"/>
  </r>
  <r>
    <s v="39090"/>
    <x v="290"/>
    <s v="Personnel"/>
    <s v="E "/>
    <s v="Elementary Grade Group K-6"/>
    <s v="PS42ES"/>
    <s v="PSES Elem Prog01Duty42 S275"/>
    <n v="1"/>
    <x v="5"/>
    <n v="42"/>
    <m/>
    <s v="   "/>
    <n v="3"/>
    <n v="0.219"/>
    <n v="0"/>
    <s v="Elementary Counselor"/>
    <x v="5"/>
  </r>
  <r>
    <s v="39090"/>
    <x v="290"/>
    <s v="Personnel"/>
    <s v="H "/>
    <s v="High Grade Group 9-12"/>
    <s v="PS42HS"/>
    <s v="PSES High Prog01Duty42 S275"/>
    <n v="1"/>
    <x v="5"/>
    <n v="42"/>
    <m/>
    <s v="   "/>
    <n v="2.5499999999999998"/>
    <n v="0.219"/>
    <n v="0"/>
    <s v="High Counselor"/>
    <x v="5"/>
  </r>
  <r>
    <s v="39090"/>
    <x v="290"/>
    <s v="Personnel"/>
    <s v="M "/>
    <s v="Middle Grade Group 7-8"/>
    <s v="PS42MS"/>
    <s v="PSES Mid Prog01Duty42 S275"/>
    <n v="1"/>
    <x v="5"/>
    <n v="42"/>
    <m/>
    <s v="   "/>
    <n v="2.0009999999999999"/>
    <n v="0.219"/>
    <n v="0"/>
    <s v="Middle Counselor"/>
    <x v="5"/>
  </r>
  <r>
    <s v="39090"/>
    <x v="290"/>
    <s v="Personnel"/>
    <s v="E "/>
    <s v="Elementary Grade Group K-6"/>
    <s v="PS43E21S"/>
    <s v="PSES Elem Prog21Duty43 S275"/>
    <n v="21"/>
    <x v="6"/>
    <n v="43"/>
    <m/>
    <s v="   "/>
    <n v="0.63"/>
    <n v="0.219"/>
    <n v="0.13800000000000001"/>
    <s v="Elementary Occupational Therapist"/>
    <x v="6"/>
  </r>
  <r>
    <s v="39090"/>
    <x v="290"/>
    <s v="Personnel"/>
    <s v="H "/>
    <s v="High Grade Group 9-12"/>
    <s v="PS43H21S"/>
    <s v="PSES High Prog21Duty43 S275"/>
    <n v="21"/>
    <x v="6"/>
    <n v="43"/>
    <m/>
    <s v="   "/>
    <n v="0.17"/>
    <n v="0.219"/>
    <n v="3.6999999999999998E-2"/>
    <s v="High Occupational Therapist"/>
    <x v="6"/>
  </r>
  <r>
    <s v="39090"/>
    <x v="290"/>
    <s v="Personnel"/>
    <s v="M "/>
    <s v="Middle Grade Group 7-8"/>
    <s v="PS43M21S"/>
    <s v="PSES Mid Prog21Duty43 S275"/>
    <n v="21"/>
    <x v="6"/>
    <n v="43"/>
    <m/>
    <s v="   "/>
    <n v="0.2"/>
    <n v="0.219"/>
    <n v="4.3999999999999997E-2"/>
    <s v="Middle Occupational Therapist"/>
    <x v="6"/>
  </r>
  <r>
    <s v="39090"/>
    <x v="290"/>
    <s v="Personnel"/>
    <s v="E "/>
    <s v="Elementary Grade Group K-6"/>
    <s v="PS46E21S"/>
    <s v="PSES Elem Prog21Duty46 S275"/>
    <n v="21"/>
    <x v="8"/>
    <n v="46"/>
    <m/>
    <s v="   "/>
    <n v="3.77"/>
    <n v="0.219"/>
    <n v="0.82599999999999996"/>
    <s v="Elementary Psychologist"/>
    <x v="8"/>
  </r>
  <r>
    <s v="39090"/>
    <x v="290"/>
    <s v="Personnel"/>
    <s v="H "/>
    <s v="High Grade Group 9-12"/>
    <s v="PS46H21S"/>
    <s v="PSES High Prog21Duty46 S275"/>
    <n v="21"/>
    <x v="8"/>
    <n v="46"/>
    <m/>
    <s v="   "/>
    <n v="1"/>
    <n v="0.219"/>
    <n v="0.219"/>
    <s v="High Psychologist"/>
    <x v="8"/>
  </r>
  <r>
    <s v="39090"/>
    <x v="290"/>
    <s v="Personnel"/>
    <s v="E "/>
    <s v="Elementary Grade Group K-6"/>
    <s v="PS64E21S"/>
    <s v="PSES Elem Prog21Duty64 S275"/>
    <n v="21"/>
    <x v="12"/>
    <n v="64"/>
    <m/>
    <s v="   "/>
    <n v="4.6399999999999997"/>
    <n v="0.219"/>
    <n v="1.016"/>
    <s v="Elementary Contractor ESA"/>
    <x v="12"/>
  </r>
  <r>
    <s v="39090"/>
    <x v="290"/>
    <s v="Personnel"/>
    <s v="H "/>
    <s v="High Grade Group 9-12"/>
    <s v="PS64H21S"/>
    <s v="PSES High Prog21Duty64 S275"/>
    <n v="21"/>
    <x v="12"/>
    <n v="64"/>
    <m/>
    <s v="   "/>
    <n v="1"/>
    <n v="0.219"/>
    <n v="0.219"/>
    <s v="High Contractor ESA"/>
    <x v="12"/>
  </r>
  <r>
    <s v="39090"/>
    <x v="290"/>
    <s v="Personnel"/>
    <s v="M "/>
    <s v="Middle Grade Group 7-8"/>
    <s v="PS64M21S"/>
    <s v="PSES Mid Prog21Duty64 S275"/>
    <n v="21"/>
    <x v="12"/>
    <n v="64"/>
    <m/>
    <s v="   "/>
    <n v="1"/>
    <n v="0.219"/>
    <n v="0.219"/>
    <s v="Middle Contractor ESA"/>
    <x v="12"/>
  </r>
  <r>
    <s v="39090"/>
    <x v="290"/>
    <s v="Personnel"/>
    <s v="T"/>
    <s v="Elementary Grade Group K-6"/>
    <s v="PS64E09S"/>
    <s v="PSES Elem Prog09Duty64 S275"/>
    <n v="9"/>
    <x v="12"/>
    <n v="64"/>
    <n v="26"/>
    <m/>
    <n v="0.04"/>
    <n v="0.219"/>
    <n v="0"/>
    <s v="TK Contractor ESA"/>
    <x v="12"/>
  </r>
  <r>
    <s v="39090"/>
    <x v="290"/>
    <s v="Personnel"/>
    <s v="T"/>
    <s v="Elementary Grade Group K-6"/>
    <s v="PS64E09S"/>
    <s v="PSES Elem Prog09Duty64 S275"/>
    <n v="9"/>
    <x v="12"/>
    <n v="64"/>
    <n v="26"/>
    <m/>
    <n v="0.3"/>
    <n v="0.219"/>
    <n v="0"/>
    <s v="TK Contractor ESA"/>
    <x v="12"/>
  </r>
  <r>
    <s v="39090"/>
    <x v="290"/>
    <s v="Personnel"/>
    <s v="T"/>
    <s v="Elementary Grade Group K-6"/>
    <s v="PS64E09S"/>
    <s v="PSES Elem Prog09Duty64 S275"/>
    <n v="9"/>
    <x v="12"/>
    <n v="64"/>
    <n v="26"/>
    <m/>
    <n v="0.02"/>
    <n v="0.219"/>
    <n v="0"/>
    <s v="TK Contractor ESA"/>
    <x v="12"/>
  </r>
  <r>
    <s v="39119"/>
    <x v="291"/>
    <s v="Personnel"/>
    <s v="H "/>
    <s v="High Grade Group 9-12"/>
    <s v="PS24HS"/>
    <s v="PSES High Prog01Duty96 S275"/>
    <n v="1"/>
    <x v="0"/>
    <n v="96"/>
    <n v="24"/>
    <s v="   "/>
    <n v="1.577"/>
    <n v="0.1996"/>
    <n v="0"/>
    <s v="High Family Engagement Coordinator"/>
    <x v="0"/>
  </r>
  <r>
    <s v="39119"/>
    <x v="291"/>
    <s v="Personnel"/>
    <s v="H "/>
    <s v="High Grade Group 9-12"/>
    <s v="PS25HS"/>
    <s v="PSES High Prog01Act25 S275"/>
    <n v="1"/>
    <x v="1"/>
    <m/>
    <n v="25"/>
    <s v="   "/>
    <n v="0.36699999999999999"/>
    <n v="0.1996"/>
    <n v="0"/>
    <s v="High Pupil Management"/>
    <x v="1"/>
  </r>
  <r>
    <s v="39119"/>
    <x v="291"/>
    <s v="Personnel"/>
    <s v="H "/>
    <s v="High Grade Group 9-12"/>
    <s v="PS26H21S"/>
    <s v="PSES High Prog21Act26 S275"/>
    <n v="21"/>
    <x v="2"/>
    <m/>
    <n v="26"/>
    <s v="   "/>
    <n v="1.9610000000000001"/>
    <n v="0.1996"/>
    <n v="0.39100000000000001"/>
    <s v="High Health/_x000a_Related Services"/>
    <x v="2"/>
  </r>
  <r>
    <s v="39119"/>
    <x v="291"/>
    <s v="Personnel"/>
    <s v="H "/>
    <s v="High Grade Group 9-12"/>
    <s v="PS26HS"/>
    <s v="PSES High Prog01Act26 S275"/>
    <n v="1"/>
    <x v="2"/>
    <m/>
    <n v="26"/>
    <s v="   "/>
    <n v="1.6060000000000001"/>
    <n v="0.1996"/>
    <n v="0"/>
    <s v="High Health/_x000a_Related Services"/>
    <x v="2"/>
  </r>
  <r>
    <s v="39119"/>
    <x v="291"/>
    <s v="Personnel"/>
    <s v="E "/>
    <s v="Elementary Grade Group K-6"/>
    <s v="PS42ES"/>
    <s v="PSES Elem Prog01Duty42 S275"/>
    <n v="1"/>
    <x v="5"/>
    <n v="42"/>
    <m/>
    <s v="   "/>
    <n v="4"/>
    <n v="0.1996"/>
    <n v="0"/>
    <s v="Elementary Counselor"/>
    <x v="5"/>
  </r>
  <r>
    <s v="39119"/>
    <x v="291"/>
    <s v="Personnel"/>
    <s v="H "/>
    <s v="High Grade Group 9-12"/>
    <s v="PS42HS"/>
    <s v="PSES High Prog01Duty42 S275"/>
    <n v="1"/>
    <x v="5"/>
    <n v="42"/>
    <m/>
    <s v="   "/>
    <n v="2.4"/>
    <n v="0.1996"/>
    <n v="0"/>
    <s v="High Counselor"/>
    <x v="5"/>
  </r>
  <r>
    <s v="39119"/>
    <x v="291"/>
    <s v="Personnel"/>
    <s v="M "/>
    <s v="Middle Grade Group 7-8"/>
    <s v="PS42MS"/>
    <s v="PSES Mid Prog01Duty42 S275"/>
    <n v="1"/>
    <x v="5"/>
    <n v="42"/>
    <m/>
    <s v="   "/>
    <n v="2.4"/>
    <n v="0.1996"/>
    <n v="0"/>
    <s v="Middle Counselor"/>
    <x v="5"/>
  </r>
  <r>
    <s v="39119"/>
    <x v="291"/>
    <s v="Personnel"/>
    <s v="E "/>
    <s v="Elementary Grade Group K-6"/>
    <s v="PS43E21S"/>
    <s v="PSES Elem Prog21Duty43 S275"/>
    <n v="21"/>
    <x v="6"/>
    <n v="43"/>
    <m/>
    <s v="   "/>
    <n v="0.93200000000000005"/>
    <n v="0.1996"/>
    <n v="0.186"/>
    <s v="Elementary Occupational Therapist"/>
    <x v="6"/>
  </r>
  <r>
    <s v="39119"/>
    <x v="291"/>
    <s v="Personnel"/>
    <s v="H "/>
    <s v="High Grade Group 9-12"/>
    <s v="PS43H21S"/>
    <s v="PSES High Prog21Duty43 S275"/>
    <n v="21"/>
    <x v="6"/>
    <n v="43"/>
    <m/>
    <s v="   "/>
    <n v="0.4"/>
    <n v="0.1996"/>
    <n v="0.08"/>
    <s v="High Occupational Therapist"/>
    <x v="6"/>
  </r>
  <r>
    <s v="39119"/>
    <x v="291"/>
    <s v="Personnel"/>
    <s v="M "/>
    <s v="Middle Grade Group 7-8"/>
    <s v="PS43M21S"/>
    <s v="PSES Mid Prog21Duty43 S275"/>
    <n v="21"/>
    <x v="6"/>
    <n v="43"/>
    <m/>
    <s v="   "/>
    <n v="0.26800000000000002"/>
    <n v="0.1996"/>
    <n v="5.2999999999999999E-2"/>
    <s v="Middle Occupational Therapist"/>
    <x v="6"/>
  </r>
  <r>
    <s v="39119"/>
    <x v="291"/>
    <s v="Personnel"/>
    <s v="E "/>
    <s v="Elementary Grade Group K-6"/>
    <s v="PS44ES"/>
    <s v="PSES Elem Prog01Duty44 S275"/>
    <n v="1"/>
    <x v="13"/>
    <n v="44"/>
    <m/>
    <s v="   "/>
    <n v="1"/>
    <n v="0.1996"/>
    <n v="0"/>
    <s v="Elementary Social Worker"/>
    <x v="13"/>
  </r>
  <r>
    <s v="39119"/>
    <x v="291"/>
    <s v="Personnel"/>
    <s v="E "/>
    <s v="Elementary Grade Group K-6"/>
    <s v="PS45E21S"/>
    <s v="PSES Elem Prog21Duty45 S275"/>
    <n v="21"/>
    <x v="7"/>
    <n v="45"/>
    <m/>
    <s v="   "/>
    <n v="1.833"/>
    <n v="0.1996"/>
    <n v="0.36599999999999999"/>
    <s v="Elementary Speech, Language Pathway/_x000a_Audio"/>
    <x v="7"/>
  </r>
  <r>
    <s v="39119"/>
    <x v="291"/>
    <s v="Personnel"/>
    <s v="H "/>
    <s v="High Grade Group 9-12"/>
    <s v="PS45H21S"/>
    <s v="PSES High Prog21Duty45 S275"/>
    <n v="21"/>
    <x v="7"/>
    <n v="45"/>
    <m/>
    <s v="   "/>
    <n v="0.05"/>
    <n v="0.1996"/>
    <n v="0.01"/>
    <s v="High Speech, Language Pathway/_x000a_Audio"/>
    <x v="7"/>
  </r>
  <r>
    <s v="39119"/>
    <x v="291"/>
    <s v="Personnel"/>
    <s v="M "/>
    <s v="Middle Grade Group 7-8"/>
    <s v="PS45M21S"/>
    <s v="PSES Mid Prog21Duty45 S275"/>
    <n v="21"/>
    <x v="7"/>
    <n v="45"/>
    <m/>
    <s v="   "/>
    <n v="6.7000000000000004E-2"/>
    <n v="0.1996"/>
    <n v="1.2999999999999999E-2"/>
    <s v="Middle Speech, Language Pathway/_x000a_Audio"/>
    <x v="7"/>
  </r>
  <r>
    <s v="39119"/>
    <x v="291"/>
    <s v="Personnel"/>
    <s v="E "/>
    <s v="Elementary Grade Group K-6"/>
    <s v="PS46E21S"/>
    <s v="PSES Elem Prog21Duty46 S275"/>
    <n v="21"/>
    <x v="8"/>
    <n v="46"/>
    <m/>
    <s v="   "/>
    <n v="1.871"/>
    <n v="0.1996"/>
    <n v="0.373"/>
    <s v="Elementary Psychologist"/>
    <x v="8"/>
  </r>
  <r>
    <s v="39119"/>
    <x v="291"/>
    <s v="Personnel"/>
    <s v="H "/>
    <s v="High Grade Group 9-12"/>
    <s v="PS46H21S"/>
    <s v="PSES High Prog21Duty46 S275"/>
    <n v="21"/>
    <x v="8"/>
    <n v="46"/>
    <m/>
    <s v="   "/>
    <n v="1"/>
    <n v="0.1996"/>
    <n v="0.2"/>
    <s v="High Psychologist"/>
    <x v="8"/>
  </r>
  <r>
    <s v="39119"/>
    <x v="291"/>
    <s v="Personnel"/>
    <s v="M "/>
    <s v="Middle Grade Group 7-8"/>
    <s v="PS46M21S"/>
    <s v="PSES Mid Prog21Duty46 S275"/>
    <n v="21"/>
    <x v="8"/>
    <n v="46"/>
    <m/>
    <s v="   "/>
    <n v="1.768"/>
    <n v="0.1996"/>
    <n v="0.35299999999999998"/>
    <s v="Middle Psychologist"/>
    <x v="8"/>
  </r>
  <r>
    <s v="39119"/>
    <x v="291"/>
    <s v="Personnel"/>
    <s v="E "/>
    <s v="Elementary Grade Group K-6"/>
    <s v="PS47E21S"/>
    <s v="PSES Elem Prog21Duty47 S275"/>
    <n v="21"/>
    <x v="9"/>
    <n v="47"/>
    <m/>
    <s v="   "/>
    <n v="0.14000000000000001"/>
    <n v="0.1996"/>
    <n v="2.8000000000000001E-2"/>
    <s v="Elementary Nurse"/>
    <x v="9"/>
  </r>
  <r>
    <s v="39119"/>
    <x v="291"/>
    <s v="Personnel"/>
    <s v="E "/>
    <s v="Elementary Grade Group K-6"/>
    <s v="PS47ES"/>
    <s v="PSES Elem Prog01Duty47 S275"/>
    <n v="1"/>
    <x v="9"/>
    <n v="47"/>
    <m/>
    <s v="   "/>
    <n v="0.86"/>
    <n v="0.1996"/>
    <n v="0"/>
    <s v="Elementary Nurse"/>
    <x v="9"/>
  </r>
  <r>
    <s v="39119"/>
    <x v="291"/>
    <s v="Personnel"/>
    <s v="H "/>
    <s v="High Grade Group 9-12"/>
    <s v="PS47H21S"/>
    <s v="PSES High Prog21Duty47 S275"/>
    <n v="21"/>
    <x v="9"/>
    <n v="47"/>
    <m/>
    <s v="   "/>
    <n v="0.28599999999999998"/>
    <n v="0.1996"/>
    <n v="5.7000000000000002E-2"/>
    <s v="High Nurse"/>
    <x v="9"/>
  </r>
  <r>
    <s v="39119"/>
    <x v="291"/>
    <s v="Personnel"/>
    <s v="H "/>
    <s v="High Grade Group 9-12"/>
    <s v="PS47HS"/>
    <s v="PSES High Prog01Duty47 S275"/>
    <n v="1"/>
    <x v="9"/>
    <n v="47"/>
    <m/>
    <s v="   "/>
    <n v="1.714"/>
    <n v="0.1996"/>
    <n v="0"/>
    <s v="High Nurse"/>
    <x v="9"/>
  </r>
  <r>
    <s v="39120"/>
    <x v="292"/>
    <s v="Personnel"/>
    <s v="H "/>
    <s v="High Grade Group 9-12"/>
    <s v="PS26HS"/>
    <s v="PSES High Prog01Act26 S275"/>
    <n v="1"/>
    <x v="2"/>
    <m/>
    <n v="26"/>
    <s v="   "/>
    <n v="0.60599999999999998"/>
    <n v="0.252"/>
    <n v="0"/>
    <s v="High Health/_x000a_Related Services"/>
    <x v="2"/>
  </r>
  <r>
    <s v="39120"/>
    <x v="292"/>
    <s v="Personnel"/>
    <s v="E "/>
    <s v="Elementary Grade Group K-6"/>
    <s v="PS42ES"/>
    <s v="PSES Elem Prog01Duty42 S275"/>
    <n v="1"/>
    <x v="5"/>
    <n v="42"/>
    <m/>
    <s v="   "/>
    <n v="0.5"/>
    <n v="0.252"/>
    <n v="0"/>
    <s v="Elementary Counselor"/>
    <x v="5"/>
  </r>
  <r>
    <s v="39120"/>
    <x v="292"/>
    <s v="Personnel"/>
    <s v="H "/>
    <s v="High Grade Group 9-12"/>
    <s v="PS42HS"/>
    <s v="PSES High Prog01Duty42 S275"/>
    <n v="1"/>
    <x v="5"/>
    <n v="42"/>
    <m/>
    <s v="   "/>
    <n v="0.5"/>
    <n v="0.252"/>
    <n v="0"/>
    <s v="High Counselor"/>
    <x v="5"/>
  </r>
  <r>
    <s v="39200"/>
    <x v="293"/>
    <s v="Personnel"/>
    <s v="E "/>
    <s v="Elementary Grade Group K-6"/>
    <s v="PS25ES"/>
    <s v="PSES Elem Prog01Act25 S275"/>
    <n v="1"/>
    <x v="1"/>
    <m/>
    <n v="25"/>
    <s v="   "/>
    <n v="1.226"/>
    <n v="0.30709999999999998"/>
    <n v="0"/>
    <s v="Elementary Pupil Management"/>
    <x v="1"/>
  </r>
  <r>
    <s v="39200"/>
    <x v="293"/>
    <s v="Personnel"/>
    <s v="H "/>
    <s v="High Grade Group 9-12"/>
    <s v="PS25HS"/>
    <s v="PSES High Prog01Act25 S275"/>
    <n v="1"/>
    <x v="1"/>
    <m/>
    <n v="25"/>
    <s v="   "/>
    <n v="0.78500000000000003"/>
    <n v="0.30709999999999998"/>
    <n v="0"/>
    <s v="High Pupil Management"/>
    <x v="1"/>
  </r>
  <r>
    <s v="39200"/>
    <x v="293"/>
    <s v="Personnel"/>
    <s v="M "/>
    <s v="Middle Grade Group 7-8"/>
    <s v="PS25MS"/>
    <s v="PSES Mid Prog01Act25 S275"/>
    <n v="1"/>
    <x v="1"/>
    <m/>
    <n v="25"/>
    <s v="   "/>
    <n v="1.3919999999999999"/>
    <n v="0.30709999999999998"/>
    <n v="0"/>
    <s v="Middle Pupil Management"/>
    <x v="1"/>
  </r>
  <r>
    <s v="39200"/>
    <x v="293"/>
    <s v="Personnel"/>
    <s v="E "/>
    <s v="Elementary Grade Group K-6"/>
    <s v="PS26E21S"/>
    <s v="PSES Elem Prog21Act26 S275"/>
    <n v="21"/>
    <x v="2"/>
    <m/>
    <n v="26"/>
    <s v="   "/>
    <n v="2.5179999999999998"/>
    <n v="0.30709999999999998"/>
    <n v="0.77300000000000002"/>
    <s v="Elementary Health/_x000a_Related Services"/>
    <x v="2"/>
  </r>
  <r>
    <s v="39200"/>
    <x v="293"/>
    <s v="Personnel"/>
    <s v="E "/>
    <s v="Elementary Grade Group K-6"/>
    <s v="PS26ES"/>
    <s v="PSES Elem Prog01Act26 S275"/>
    <n v="1"/>
    <x v="2"/>
    <m/>
    <n v="26"/>
    <s v="   "/>
    <n v="1.9530000000000001"/>
    <n v="0.30709999999999998"/>
    <n v="0"/>
    <s v="Elementary Health/_x000a_Related Services"/>
    <x v="2"/>
  </r>
  <r>
    <s v="39200"/>
    <x v="293"/>
    <s v="Personnel"/>
    <s v="H "/>
    <s v="High Grade Group 9-12"/>
    <s v="PS26H21S"/>
    <s v="PSES High Prog21Act26 S275"/>
    <n v="21"/>
    <x v="2"/>
    <m/>
    <n v="26"/>
    <s v="   "/>
    <n v="1.544"/>
    <n v="0.30709999999999998"/>
    <n v="0.47399999999999998"/>
    <s v="High Health/_x000a_Related Services"/>
    <x v="2"/>
  </r>
  <r>
    <s v="39200"/>
    <x v="293"/>
    <s v="Personnel"/>
    <s v="H "/>
    <s v="High Grade Group 9-12"/>
    <s v="PS26HS"/>
    <s v="PSES High Prog01Act26 S275"/>
    <n v="1"/>
    <x v="2"/>
    <m/>
    <n v="26"/>
    <s v="   "/>
    <n v="1.3029999999999999"/>
    <n v="0.30709999999999998"/>
    <n v="0"/>
    <s v="High Health/_x000a_Related Services"/>
    <x v="2"/>
  </r>
  <r>
    <s v="39200"/>
    <x v="293"/>
    <s v="Personnel"/>
    <s v="M "/>
    <s v="Middle Grade Group 7-8"/>
    <s v="PS26M21S"/>
    <s v="PSES Mid Prog21Act26 S275"/>
    <n v="21"/>
    <x v="2"/>
    <m/>
    <n v="26"/>
    <s v="   "/>
    <n v="0.79"/>
    <n v="0.30709999999999998"/>
    <n v="0.24299999999999999"/>
    <s v="Middle Health/_x000a_Related Services"/>
    <x v="2"/>
  </r>
  <r>
    <s v="39200"/>
    <x v="293"/>
    <s v="Personnel"/>
    <s v="H "/>
    <s v="High Grade Group 9-12"/>
    <s v="PS35H97S"/>
    <s v="PSES High Prog97Act35 S275"/>
    <n v="97"/>
    <x v="3"/>
    <m/>
    <n v="35"/>
    <s v="   "/>
    <n v="3.35"/>
    <n v="0.30709999999999998"/>
    <n v="0"/>
    <s v="High Pupil Safety"/>
    <x v="3"/>
  </r>
  <r>
    <s v="39200"/>
    <x v="293"/>
    <s v="Personnel"/>
    <s v="M "/>
    <s v="Middle Grade Group 7-8"/>
    <s v="PS35M97S"/>
    <s v="PSES Mid Prog97Act35 S275"/>
    <n v="97"/>
    <x v="3"/>
    <m/>
    <n v="35"/>
    <s v="   "/>
    <n v="0.73099999999999998"/>
    <n v="0.30709999999999998"/>
    <n v="0"/>
    <s v="Middle Pupil Safety"/>
    <x v="3"/>
  </r>
  <r>
    <s v="39200"/>
    <x v="293"/>
    <s v="Personnel"/>
    <s v="E "/>
    <s v="Elementary Grade Group K-6"/>
    <s v="PS42ES"/>
    <s v="PSES Elem Prog01Duty42 S275"/>
    <n v="1"/>
    <x v="5"/>
    <n v="42"/>
    <m/>
    <s v="   "/>
    <n v="3"/>
    <n v="0.30709999999999998"/>
    <n v="0"/>
    <s v="Elementary Counselor"/>
    <x v="5"/>
  </r>
  <r>
    <s v="39200"/>
    <x v="293"/>
    <s v="Personnel"/>
    <s v="H "/>
    <s v="High Grade Group 9-12"/>
    <s v="PS42HS"/>
    <s v="PSES High Prog01Duty42 S275"/>
    <n v="1"/>
    <x v="5"/>
    <n v="42"/>
    <m/>
    <s v="   "/>
    <n v="2.8"/>
    <n v="0.30709999999999998"/>
    <n v="0"/>
    <s v="High Counselor"/>
    <x v="5"/>
  </r>
  <r>
    <s v="39200"/>
    <x v="293"/>
    <s v="Personnel"/>
    <s v="M "/>
    <s v="Middle Grade Group 7-8"/>
    <s v="PS42MS"/>
    <s v="PSES Mid Prog01Duty42 S275"/>
    <n v="1"/>
    <x v="5"/>
    <n v="42"/>
    <m/>
    <s v="   "/>
    <n v="2.7"/>
    <n v="0.30709999999999998"/>
    <n v="0"/>
    <s v="Middle Counselor"/>
    <x v="5"/>
  </r>
  <r>
    <s v="39200"/>
    <x v="293"/>
    <s v="Personnel"/>
    <s v="E "/>
    <s v="Elementary Grade Group K-6"/>
    <s v="PS46E21S"/>
    <s v="PSES Elem Prog21Duty46 S275"/>
    <n v="21"/>
    <x v="8"/>
    <n v="46"/>
    <m/>
    <s v="   "/>
    <n v="2"/>
    <n v="0.30709999999999998"/>
    <n v="0.61399999999999999"/>
    <s v="Elementary Psychologist"/>
    <x v="8"/>
  </r>
  <r>
    <s v="39200"/>
    <x v="293"/>
    <s v="Personnel"/>
    <s v="H "/>
    <s v="High Grade Group 9-12"/>
    <s v="PS46H21S"/>
    <s v="PSES High Prog21Duty46 S275"/>
    <n v="21"/>
    <x v="8"/>
    <n v="46"/>
    <m/>
    <s v="   "/>
    <n v="0.5"/>
    <n v="0.30709999999999998"/>
    <n v="0.154"/>
    <s v="High Psychologist"/>
    <x v="8"/>
  </r>
  <r>
    <s v="39200"/>
    <x v="293"/>
    <s v="Personnel"/>
    <s v="M "/>
    <s v="Middle Grade Group 7-8"/>
    <s v="PS46M21S"/>
    <s v="PSES Mid Prog21Duty46 S275"/>
    <n v="21"/>
    <x v="8"/>
    <n v="46"/>
    <m/>
    <s v="   "/>
    <n v="0.5"/>
    <n v="0.30709999999999998"/>
    <n v="0.154"/>
    <s v="Middle Psychologist"/>
    <x v="8"/>
  </r>
  <r>
    <s v="39200"/>
    <x v="293"/>
    <s v="Personnel"/>
    <s v="M "/>
    <s v="Middle Grade Group 7-8"/>
    <s v="PS47MS"/>
    <s v="PSES Mid Prog01Duty47 S275"/>
    <n v="1"/>
    <x v="9"/>
    <n v="47"/>
    <m/>
    <s v="   "/>
    <n v="1"/>
    <n v="0.30709999999999998"/>
    <n v="0"/>
    <s v="Middle Nurse"/>
    <x v="9"/>
  </r>
  <r>
    <s v="39200"/>
    <x v="293"/>
    <s v="Personnel"/>
    <s v="E "/>
    <s v="Elementary Grade Group K-6"/>
    <s v="PS64E21S"/>
    <s v="PSES Elem Prog21Duty64 S275"/>
    <n v="21"/>
    <x v="12"/>
    <n v="64"/>
    <m/>
    <s v="   "/>
    <n v="3.448"/>
    <n v="0.30709999999999998"/>
    <n v="1.0589999999999999"/>
    <s v="Elementary Contractor ESA"/>
    <x v="12"/>
  </r>
  <r>
    <s v="39200"/>
    <x v="293"/>
    <s v="Personnel"/>
    <s v="H "/>
    <s v="High Grade Group 9-12"/>
    <s v="PS64H21S"/>
    <s v="PSES High Prog21Duty64 S275"/>
    <n v="21"/>
    <x v="12"/>
    <n v="64"/>
    <m/>
    <s v="   "/>
    <n v="0.189"/>
    <n v="0.30709999999999998"/>
    <n v="5.8000000000000003E-2"/>
    <s v="High Contractor ESA"/>
    <x v="12"/>
  </r>
  <r>
    <s v="39200"/>
    <x v="293"/>
    <s v="Personnel"/>
    <s v="M "/>
    <s v="Middle Grade Group 7-8"/>
    <s v="PS64M21S"/>
    <s v="PSES Mid Prog21Duty64 S275"/>
    <n v="21"/>
    <x v="12"/>
    <n v="64"/>
    <m/>
    <s v="   "/>
    <n v="0.58499999999999996"/>
    <n v="0.30709999999999998"/>
    <n v="0.18"/>
    <s v="Middle Contractor ESA"/>
    <x v="12"/>
  </r>
  <r>
    <s v="39201"/>
    <x v="294"/>
    <s v="Personnel"/>
    <s v="H "/>
    <s v="High Grade Group 9-12"/>
    <s v="PS25H21S"/>
    <s v="PSES High Prog21Act25 S275"/>
    <n v="21"/>
    <x v="1"/>
    <m/>
    <n v="25"/>
    <s v="   "/>
    <n v="4.2699999999999996"/>
    <n v="0.28639999999999999"/>
    <n v="1.2230000000000001"/>
    <s v="High Pupil Management"/>
    <x v="1"/>
  </r>
  <r>
    <s v="39201"/>
    <x v="294"/>
    <s v="Personnel"/>
    <s v="H "/>
    <s v="High Grade Group 9-12"/>
    <s v="PS25HS"/>
    <s v="PSES High Prog01Act25 S275"/>
    <n v="1"/>
    <x v="1"/>
    <m/>
    <n v="25"/>
    <s v="   "/>
    <n v="7.9580000000000002"/>
    <n v="0.28639999999999999"/>
    <n v="0"/>
    <s v="High Pupil Management"/>
    <x v="1"/>
  </r>
  <r>
    <s v="39201"/>
    <x v="294"/>
    <s v="Personnel"/>
    <s v="H "/>
    <s v="High Grade Group 9-12"/>
    <s v="PS26H21S"/>
    <s v="PSES High Prog21Act26 S275"/>
    <n v="21"/>
    <x v="2"/>
    <m/>
    <n v="26"/>
    <s v="   "/>
    <n v="6.3710000000000004"/>
    <n v="0.28639999999999999"/>
    <n v="1.825"/>
    <s v="High Health/_x000a_Related Services"/>
    <x v="2"/>
  </r>
  <r>
    <s v="39201"/>
    <x v="294"/>
    <s v="Personnel"/>
    <s v="H "/>
    <s v="High Grade Group 9-12"/>
    <s v="PS26HS"/>
    <s v="PSES High Prog01Act26 S275"/>
    <n v="1"/>
    <x v="2"/>
    <m/>
    <n v="26"/>
    <s v="   "/>
    <n v="1.278"/>
    <n v="0.28639999999999999"/>
    <n v="0"/>
    <s v="High Health/_x000a_Related Services"/>
    <x v="2"/>
  </r>
  <r>
    <s v="39201"/>
    <x v="294"/>
    <s v="Personnel"/>
    <s v="E "/>
    <s v="Elementary Grade Group K-6"/>
    <s v="PS42ES"/>
    <s v="PSES Elem Prog01Duty42 S275"/>
    <n v="1"/>
    <x v="5"/>
    <n v="42"/>
    <m/>
    <s v="   "/>
    <n v="8"/>
    <n v="0.28639999999999999"/>
    <n v="0"/>
    <s v="Elementary Counselor"/>
    <x v="5"/>
  </r>
  <r>
    <s v="39201"/>
    <x v="294"/>
    <s v="Personnel"/>
    <s v="H "/>
    <s v="High Grade Group 9-12"/>
    <s v="PS42HS"/>
    <s v="PSES High Prog01Duty42 S275"/>
    <n v="1"/>
    <x v="5"/>
    <n v="42"/>
    <m/>
    <s v="   "/>
    <n v="6"/>
    <n v="0.28639999999999999"/>
    <n v="0"/>
    <s v="High Counselor"/>
    <x v="5"/>
  </r>
  <r>
    <s v="39201"/>
    <x v="294"/>
    <s v="Personnel"/>
    <s v="M "/>
    <s v="Middle Grade Group 7-8"/>
    <s v="PS42MS"/>
    <s v="PSES Mid Prog01Duty42 S275"/>
    <n v="1"/>
    <x v="5"/>
    <n v="42"/>
    <m/>
    <s v="   "/>
    <n v="5"/>
    <n v="0.28639999999999999"/>
    <n v="0"/>
    <s v="Middle Counselor"/>
    <x v="5"/>
  </r>
  <r>
    <s v="39201"/>
    <x v="294"/>
    <s v="Personnel"/>
    <s v="E "/>
    <s v="Elementary Grade Group K-6"/>
    <s v="PS45E21S"/>
    <s v="PSES Elem Prog21Duty45 S275"/>
    <n v="21"/>
    <x v="7"/>
    <n v="45"/>
    <m/>
    <s v="   "/>
    <n v="3"/>
    <n v="0.28639999999999999"/>
    <n v="0.85899999999999999"/>
    <s v="Elementary Speech, Language Pathway/_x000a_Audio"/>
    <x v="7"/>
  </r>
  <r>
    <s v="39201"/>
    <x v="294"/>
    <s v="Personnel"/>
    <s v="M "/>
    <s v="Middle Grade Group 7-8"/>
    <s v="PS45M21S"/>
    <s v="PSES Mid Prog21Duty45 S275"/>
    <n v="21"/>
    <x v="7"/>
    <n v="45"/>
    <m/>
    <s v="   "/>
    <n v="0.81699999999999995"/>
    <n v="0.28639999999999999"/>
    <n v="0.23400000000000001"/>
    <s v="Middle Speech, Language Pathway/_x000a_Audio"/>
    <x v="7"/>
  </r>
  <r>
    <s v="39201"/>
    <x v="294"/>
    <s v="Personnel"/>
    <s v="E "/>
    <s v="Elementary Grade Group K-6"/>
    <s v="PS46E21S"/>
    <s v="PSES Elem Prog21Duty46 S275"/>
    <n v="21"/>
    <x v="8"/>
    <n v="46"/>
    <m/>
    <s v="   "/>
    <n v="4"/>
    <n v="0.28639999999999999"/>
    <n v="1.1459999999999999"/>
    <s v="Elementary Psychologist"/>
    <x v="8"/>
  </r>
  <r>
    <s v="39201"/>
    <x v="294"/>
    <s v="Personnel"/>
    <s v="H "/>
    <s v="High Grade Group 9-12"/>
    <s v="PS46H21S"/>
    <s v="PSES High Prog21Duty46 S275"/>
    <n v="21"/>
    <x v="8"/>
    <n v="46"/>
    <m/>
    <s v="   "/>
    <n v="2"/>
    <n v="0.28639999999999999"/>
    <n v="0.57299999999999995"/>
    <s v="High Psychologist"/>
    <x v="8"/>
  </r>
  <r>
    <s v="39201"/>
    <x v="294"/>
    <s v="Personnel"/>
    <s v="E "/>
    <s v="Elementary Grade Group K-6"/>
    <s v="PS47ES"/>
    <s v="PSES Elem Prog01Duty47 S275"/>
    <n v="1"/>
    <x v="9"/>
    <n v="47"/>
    <m/>
    <s v="   "/>
    <n v="3"/>
    <n v="0.28639999999999999"/>
    <n v="0"/>
    <s v="Elementary Nurse"/>
    <x v="9"/>
  </r>
  <r>
    <s v="39201"/>
    <x v="294"/>
    <s v="Personnel"/>
    <s v="H "/>
    <s v="High Grade Group 9-12"/>
    <s v="PS47HS"/>
    <s v="PSES High Prog01Duty47 S275"/>
    <n v="1"/>
    <x v="9"/>
    <n v="47"/>
    <m/>
    <s v="   "/>
    <n v="1.2"/>
    <n v="0.28639999999999999"/>
    <n v="0"/>
    <s v="High Nurse"/>
    <x v="9"/>
  </r>
  <r>
    <s v="39201"/>
    <x v="294"/>
    <s v="Personnel"/>
    <s v="M "/>
    <s v="Middle Grade Group 7-8"/>
    <s v="PS47MS"/>
    <s v="PSES Mid Prog01Duty47 S275"/>
    <n v="1"/>
    <x v="9"/>
    <n v="47"/>
    <m/>
    <s v="   "/>
    <n v="2"/>
    <n v="0.28639999999999999"/>
    <n v="0"/>
    <s v="Middle Nurse"/>
    <x v="9"/>
  </r>
  <r>
    <s v="39201"/>
    <x v="294"/>
    <s v="Personnel"/>
    <m/>
    <s v="Elementary Grade Group K-6"/>
    <s v="PS25E09S"/>
    <s v="PSES Elem Prog09Duty25 S275"/>
    <n v="9"/>
    <x v="1"/>
    <n v="91"/>
    <n v="25"/>
    <m/>
    <n v="0.13700000000000001"/>
    <n v="0.28639999999999999"/>
    <n v="0"/>
    <s v="TK Pupil Management"/>
    <x v="1"/>
  </r>
  <r>
    <s v="39201"/>
    <x v="294"/>
    <s v="Personnel"/>
    <m/>
    <s v="Elementary Grade Group K-6"/>
    <s v="PS25E09S"/>
    <s v="PSES Elem Prog09Duty25 S275"/>
    <n v="9"/>
    <x v="1"/>
    <n v="91"/>
    <n v="25"/>
    <m/>
    <n v="0.128"/>
    <n v="0.28639999999999999"/>
    <n v="0"/>
    <s v="TK Pupil Management"/>
    <x v="1"/>
  </r>
  <r>
    <s v="39202"/>
    <x v="295"/>
    <s v="Personnel"/>
    <s v="H "/>
    <s v="High Grade Group 9-12"/>
    <s v="PS24HS"/>
    <s v="PSES High Prog01Duty96 S275"/>
    <n v="1"/>
    <x v="0"/>
    <n v="96"/>
    <n v="24"/>
    <s v="   "/>
    <n v="0.65"/>
    <n v="0.15629999999999999"/>
    <n v="0"/>
    <s v="High Family Engagement Coordinator"/>
    <x v="0"/>
  </r>
  <r>
    <s v="39202"/>
    <x v="295"/>
    <s v="Personnel"/>
    <s v="E "/>
    <s v="Elementary Grade Group K-6"/>
    <s v="PS26ES"/>
    <s v="PSES Elem Prog01Act26 S275"/>
    <n v="1"/>
    <x v="2"/>
    <m/>
    <n v="26"/>
    <s v="   "/>
    <n v="1.833"/>
    <n v="0.15629999999999999"/>
    <n v="0"/>
    <s v="Elementary Health/_x000a_Related Services"/>
    <x v="2"/>
  </r>
  <r>
    <s v="39202"/>
    <x v="295"/>
    <s v="Personnel"/>
    <s v="H "/>
    <s v="High Grade Group 9-12"/>
    <s v="PS26H21S"/>
    <s v="PSES High Prog21Act26 S275"/>
    <n v="21"/>
    <x v="2"/>
    <m/>
    <n v="26"/>
    <s v="   "/>
    <n v="0.63900000000000001"/>
    <n v="0.15629999999999999"/>
    <n v="0.1"/>
    <s v="High Health/_x000a_Related Services"/>
    <x v="2"/>
  </r>
  <r>
    <s v="39202"/>
    <x v="295"/>
    <s v="Personnel"/>
    <s v="H "/>
    <s v="High Grade Group 9-12"/>
    <s v="PS26HS"/>
    <s v="PSES High Prog01Act26 S275"/>
    <n v="1"/>
    <x v="2"/>
    <m/>
    <n v="26"/>
    <s v="   "/>
    <n v="1.7"/>
    <n v="0.15629999999999999"/>
    <n v="0"/>
    <s v="High Health/_x000a_Related Services"/>
    <x v="2"/>
  </r>
  <r>
    <s v="39202"/>
    <x v="295"/>
    <s v="Personnel"/>
    <s v="M "/>
    <s v="Middle Grade Group 7-8"/>
    <s v="PS26M21S"/>
    <s v="PSES Mid Prog21Act26 S275"/>
    <n v="21"/>
    <x v="2"/>
    <m/>
    <n v="26"/>
    <s v="   "/>
    <n v="0.59399999999999997"/>
    <n v="0.15629999999999999"/>
    <n v="9.2999999999999999E-2"/>
    <s v="Middle Health/_x000a_Related Services"/>
    <x v="2"/>
  </r>
  <r>
    <s v="39202"/>
    <x v="295"/>
    <s v="Personnel"/>
    <s v="M "/>
    <s v="Middle Grade Group 7-8"/>
    <s v="PS26MS"/>
    <s v="PSES Mid Prog01Act26 S275"/>
    <n v="1"/>
    <x v="2"/>
    <m/>
    <n v="26"/>
    <s v="   "/>
    <n v="0.63900000000000001"/>
    <n v="0.15629999999999999"/>
    <n v="0"/>
    <s v="Middle Health/_x000a_Related Services"/>
    <x v="2"/>
  </r>
  <r>
    <s v="39202"/>
    <x v="295"/>
    <s v="Personnel"/>
    <s v="E "/>
    <s v="Elementary Grade Group K-6"/>
    <s v="PS35ES"/>
    <s v="PSES Elem Prog01Act35 S275"/>
    <n v="1"/>
    <x v="3"/>
    <m/>
    <n v="35"/>
    <s v="   "/>
    <n v="1.7470000000000001"/>
    <n v="0.15629999999999999"/>
    <n v="0"/>
    <s v="Elementary Pupil Safety"/>
    <x v="3"/>
  </r>
  <r>
    <s v="39202"/>
    <x v="295"/>
    <s v="Personnel"/>
    <s v="H "/>
    <s v="High Grade Group 9-12"/>
    <s v="PS35H21S"/>
    <s v="PSES High Prog21Act35 S275"/>
    <n v="21"/>
    <x v="3"/>
    <m/>
    <n v="35"/>
    <s v="   "/>
    <n v="0.59399999999999997"/>
    <n v="0.15629999999999999"/>
    <n v="9.2999999999999999E-2"/>
    <s v="High Pupil Safety"/>
    <x v="3"/>
  </r>
  <r>
    <s v="39202"/>
    <x v="295"/>
    <s v="Personnel"/>
    <s v="E "/>
    <s v="Elementary Grade Group K-6"/>
    <s v="PS42ES"/>
    <s v="PSES Elem Prog01Duty42 S275"/>
    <n v="1"/>
    <x v="5"/>
    <n v="42"/>
    <m/>
    <s v="   "/>
    <n v="4.25"/>
    <n v="0.15629999999999999"/>
    <n v="0"/>
    <s v="Elementary Counselor"/>
    <x v="5"/>
  </r>
  <r>
    <s v="39202"/>
    <x v="295"/>
    <s v="Personnel"/>
    <s v="H "/>
    <s v="High Grade Group 9-12"/>
    <s v="PS42HS"/>
    <s v="PSES High Prog01Duty42 S275"/>
    <n v="1"/>
    <x v="5"/>
    <n v="42"/>
    <m/>
    <s v="   "/>
    <n v="1.75"/>
    <n v="0.15629999999999999"/>
    <n v="0"/>
    <s v="High Counselor"/>
    <x v="5"/>
  </r>
  <r>
    <s v="39202"/>
    <x v="295"/>
    <s v="Personnel"/>
    <s v="M "/>
    <s v="Middle Grade Group 7-8"/>
    <s v="PS42MS"/>
    <s v="PSES Mid Prog01Duty42 S275"/>
    <n v="1"/>
    <x v="5"/>
    <n v="42"/>
    <m/>
    <s v="   "/>
    <n v="0.75"/>
    <n v="0.15629999999999999"/>
    <n v="0"/>
    <s v="Middle Counselor"/>
    <x v="5"/>
  </r>
  <r>
    <s v="39202"/>
    <x v="295"/>
    <s v="Personnel"/>
    <s v="E "/>
    <s v="Elementary Grade Group K-6"/>
    <s v="PS45E21S"/>
    <s v="PSES Elem Prog21Duty45 S275"/>
    <n v="21"/>
    <x v="7"/>
    <n v="45"/>
    <m/>
    <s v="   "/>
    <n v="1.22"/>
    <n v="0.15629999999999999"/>
    <n v="0.191"/>
    <s v="Elementary Speech, Language Pathway/_x000a_Audio"/>
    <x v="7"/>
  </r>
  <r>
    <s v="39202"/>
    <x v="295"/>
    <s v="Personnel"/>
    <s v="E "/>
    <s v="Elementary Grade Group K-6"/>
    <s v="PS45ES"/>
    <s v="PSES Elem Prog01Duty45 S275"/>
    <n v="1"/>
    <x v="7"/>
    <n v="45"/>
    <m/>
    <s v="   "/>
    <n v="1"/>
    <n v="0.15629999999999999"/>
    <n v="0"/>
    <s v="Elementary Speech, Language Pathway/_x000a_Audio"/>
    <x v="7"/>
  </r>
  <r>
    <s v="39202"/>
    <x v="295"/>
    <s v="Personnel"/>
    <s v="H "/>
    <s v="High Grade Group 9-12"/>
    <s v="PS45H21S"/>
    <s v="PSES High Prog21Duty45 S275"/>
    <n v="21"/>
    <x v="7"/>
    <n v="45"/>
    <m/>
    <s v="   "/>
    <n v="1.4390000000000001"/>
    <n v="0.15629999999999999"/>
    <n v="0.22500000000000001"/>
    <s v="High Speech, Language Pathway/_x000a_Audio"/>
    <x v="7"/>
  </r>
  <r>
    <s v="39202"/>
    <x v="295"/>
    <s v="Personnel"/>
    <s v="M "/>
    <s v="Middle Grade Group 7-8"/>
    <s v="PS45M21S"/>
    <s v="PSES Mid Prog21Duty45 S275"/>
    <n v="21"/>
    <x v="7"/>
    <n v="45"/>
    <m/>
    <s v="   "/>
    <n v="0.22"/>
    <n v="0.15629999999999999"/>
    <n v="3.4000000000000002E-2"/>
    <s v="Middle Speech, Language Pathway/_x000a_Audio"/>
    <x v="7"/>
  </r>
  <r>
    <s v="39202"/>
    <x v="295"/>
    <s v="Personnel"/>
    <s v="E "/>
    <s v="Elementary Grade Group K-6"/>
    <s v="PS46E21S"/>
    <s v="PSES Elem Prog21Duty46 S275"/>
    <n v="21"/>
    <x v="8"/>
    <n v="46"/>
    <m/>
    <s v="   "/>
    <n v="2.75"/>
    <n v="0.15629999999999999"/>
    <n v="0.43"/>
    <s v="Elementary Psychologist"/>
    <x v="8"/>
  </r>
  <r>
    <s v="39202"/>
    <x v="295"/>
    <s v="Personnel"/>
    <s v="H "/>
    <s v="High Grade Group 9-12"/>
    <s v="PS46H21S"/>
    <s v="PSES High Prog21Duty46 S275"/>
    <n v="21"/>
    <x v="8"/>
    <n v="46"/>
    <m/>
    <s v="   "/>
    <n v="1"/>
    <n v="0.15629999999999999"/>
    <n v="0.156"/>
    <s v="High Psychologist"/>
    <x v="8"/>
  </r>
  <r>
    <s v="39202"/>
    <x v="295"/>
    <s v="Personnel"/>
    <s v="M "/>
    <s v="Middle Grade Group 7-8"/>
    <s v="PS46M21S"/>
    <s v="PSES Mid Prog21Duty46 S275"/>
    <n v="21"/>
    <x v="8"/>
    <n v="46"/>
    <m/>
    <s v="   "/>
    <n v="0.75"/>
    <n v="0.15629999999999999"/>
    <n v="0.11700000000000001"/>
    <s v="Middle Psychologist"/>
    <x v="8"/>
  </r>
  <r>
    <s v="39202"/>
    <x v="295"/>
    <s v="Personnel"/>
    <s v="E "/>
    <s v="Elementary Grade Group K-6"/>
    <s v="PS48E21S"/>
    <s v="PSES Elem Prog21Duty48 S275"/>
    <n v="21"/>
    <x v="11"/>
    <n v="48"/>
    <m/>
    <s v="   "/>
    <n v="0.5"/>
    <n v="0.15629999999999999"/>
    <n v="7.8E-2"/>
    <s v="Elementary Physical Therapist"/>
    <x v="11"/>
  </r>
  <r>
    <s v="39202"/>
    <x v="295"/>
    <s v="Personnel"/>
    <s v="H "/>
    <s v="High Grade Group 9-12"/>
    <s v="PS48H21S"/>
    <s v="PSES High Prog21Duty48 S275"/>
    <n v="21"/>
    <x v="11"/>
    <n v="48"/>
    <m/>
    <s v="   "/>
    <n v="0.5"/>
    <n v="0.15629999999999999"/>
    <n v="7.8E-2"/>
    <s v="High Physical Therapist"/>
    <x v="11"/>
  </r>
  <r>
    <s v="39202"/>
    <x v="295"/>
    <s v="Personnel"/>
    <s v="E "/>
    <s v="Elementary Grade Group K-6"/>
    <s v="PS49E21S"/>
    <s v="PSES Elem Prog21Duty49 S275"/>
    <n v="21"/>
    <x v="10"/>
    <n v="49"/>
    <m/>
    <s v="   "/>
    <n v="1"/>
    <n v="0.15629999999999999"/>
    <n v="0.156"/>
    <s v="Elementary Behavior Analyst"/>
    <x v="10"/>
  </r>
  <r>
    <s v="39202"/>
    <x v="295"/>
    <s v="Personnel"/>
    <s v="H "/>
    <s v="High Grade Group 9-12"/>
    <s v="PS49H21S"/>
    <s v="PSES High Prog21Duty49 S275"/>
    <n v="21"/>
    <x v="10"/>
    <n v="49"/>
    <m/>
    <s v="   "/>
    <n v="1"/>
    <n v="0.15629999999999999"/>
    <n v="0.156"/>
    <s v="High Behavior Analyst"/>
    <x v="10"/>
  </r>
  <r>
    <s v="39203"/>
    <x v="296"/>
    <s v="Personnel"/>
    <s v="H "/>
    <s v="High Grade Group 9-12"/>
    <s v="PS26HS"/>
    <s v="PSES High Prog01Act26 S275"/>
    <n v="1"/>
    <x v="2"/>
    <m/>
    <n v="26"/>
    <s v="   "/>
    <n v="1.01"/>
    <n v="0.25080000000000002"/>
    <n v="0"/>
    <s v="High Health/_x000a_Related Services"/>
    <x v="2"/>
  </r>
  <r>
    <s v="39203"/>
    <x v="296"/>
    <s v="Personnel"/>
    <s v="E "/>
    <s v="Elementary Grade Group K-6"/>
    <s v="PS42ES"/>
    <s v="PSES Elem Prog01Duty42 S275"/>
    <n v="1"/>
    <x v="5"/>
    <n v="42"/>
    <m/>
    <s v="   "/>
    <n v="1"/>
    <n v="0.25080000000000002"/>
    <n v="0"/>
    <s v="Elementary Counselor"/>
    <x v="5"/>
  </r>
  <r>
    <s v="39203"/>
    <x v="296"/>
    <s v="Personnel"/>
    <s v="H "/>
    <s v="High Grade Group 9-12"/>
    <s v="PS42HS"/>
    <s v="PSES High Prog01Duty42 S275"/>
    <n v="1"/>
    <x v="5"/>
    <n v="42"/>
    <m/>
    <s v="   "/>
    <n v="1"/>
    <n v="0.25080000000000002"/>
    <n v="0"/>
    <s v="High Counselor"/>
    <x v="5"/>
  </r>
  <r>
    <s v="39203"/>
    <x v="296"/>
    <s v="Personnel"/>
    <s v="M "/>
    <s v="Middle Grade Group 7-8"/>
    <s v="PS42MS"/>
    <s v="PSES Mid Prog01Duty42 S275"/>
    <n v="1"/>
    <x v="5"/>
    <n v="42"/>
    <m/>
    <s v="   "/>
    <n v="1"/>
    <n v="0.25080000000000002"/>
    <n v="0"/>
    <s v="Middle Counselor"/>
    <x v="5"/>
  </r>
  <r>
    <s v="39203"/>
    <x v="296"/>
    <s v="Personnel"/>
    <s v="E "/>
    <s v="Elementary Grade Group K-6"/>
    <s v="PS45E21S"/>
    <s v="PSES Elem Prog21Duty45 S275"/>
    <n v="21"/>
    <x v="7"/>
    <n v="45"/>
    <m/>
    <s v="   "/>
    <n v="0.5"/>
    <n v="0.25080000000000002"/>
    <n v="0.125"/>
    <s v="Elementary Speech, Language Pathway/_x000a_Audio"/>
    <x v="7"/>
  </r>
  <r>
    <s v="39203"/>
    <x v="296"/>
    <s v="Personnel"/>
    <s v="M "/>
    <s v="Middle Grade Group 7-8"/>
    <s v="PS45M21S"/>
    <s v="PSES Mid Prog21Duty45 S275"/>
    <n v="21"/>
    <x v="7"/>
    <n v="45"/>
    <m/>
    <s v="   "/>
    <n v="0.5"/>
    <n v="0.25080000000000002"/>
    <n v="0.125"/>
    <s v="Middle Speech, Language Pathway/_x000a_Audio"/>
    <x v="7"/>
  </r>
  <r>
    <s v="39203"/>
    <x v="296"/>
    <s v="Personnel"/>
    <s v="E "/>
    <s v="Elementary Grade Group K-6"/>
    <s v="PS46E21S"/>
    <s v="PSES Elem Prog21Duty46 S275"/>
    <n v="21"/>
    <x v="8"/>
    <n v="46"/>
    <m/>
    <s v="   "/>
    <n v="1"/>
    <n v="0.25080000000000002"/>
    <n v="0.251"/>
    <s v="Elementary Psychologist"/>
    <x v="8"/>
  </r>
  <r>
    <s v="39204"/>
    <x v="297"/>
    <s v="Personnel"/>
    <s v="H "/>
    <s v="High Grade Group 9-12"/>
    <s v="PS25H97S"/>
    <s v="PSES High Prog97Act25 S275"/>
    <n v="97"/>
    <x v="1"/>
    <m/>
    <n v="25"/>
    <s v="   "/>
    <n v="0.76900000000000002"/>
    <n v="0.27610000000000001"/>
    <n v="0"/>
    <s v="High Pupil Management"/>
    <x v="1"/>
  </r>
  <r>
    <s v="39204"/>
    <x v="297"/>
    <s v="Personnel"/>
    <s v="H "/>
    <s v="High Grade Group 9-12"/>
    <s v="PS26H21S"/>
    <s v="PSES High Prog21Act26 S275"/>
    <n v="21"/>
    <x v="2"/>
    <m/>
    <n v="26"/>
    <s v="   "/>
    <n v="1.837"/>
    <n v="0.27610000000000001"/>
    <n v="0.50700000000000001"/>
    <s v="High Health/_x000a_Related Services"/>
    <x v="2"/>
  </r>
  <r>
    <s v="39204"/>
    <x v="297"/>
    <s v="Personnel"/>
    <s v="H "/>
    <s v="High Grade Group 9-12"/>
    <s v="PS26HS"/>
    <s v="PSES High Prog01Act26 S275"/>
    <n v="1"/>
    <x v="2"/>
    <m/>
    <n v="26"/>
    <s v="   "/>
    <n v="1.2669999999999999"/>
    <n v="0.27610000000000001"/>
    <n v="0"/>
    <s v="High Health/_x000a_Related Services"/>
    <x v="2"/>
  </r>
  <r>
    <s v="39204"/>
    <x v="297"/>
    <s v="Personnel"/>
    <s v="E "/>
    <s v="Elementary Grade Group K-6"/>
    <s v="PS42ES"/>
    <s v="PSES Elem Prog01Duty42 S275"/>
    <n v="1"/>
    <x v="5"/>
    <n v="42"/>
    <m/>
    <s v="   "/>
    <n v="2"/>
    <n v="0.27610000000000001"/>
    <n v="0"/>
    <s v="Elementary Counselor"/>
    <x v="5"/>
  </r>
  <r>
    <s v="39204"/>
    <x v="297"/>
    <s v="Personnel"/>
    <s v="H "/>
    <s v="High Grade Group 9-12"/>
    <s v="PS42HS"/>
    <s v="PSES High Prog01Duty42 S275"/>
    <n v="1"/>
    <x v="5"/>
    <n v="42"/>
    <m/>
    <s v="   "/>
    <n v="1.38"/>
    <n v="0.27610000000000001"/>
    <n v="0"/>
    <s v="High Counselor"/>
    <x v="5"/>
  </r>
  <r>
    <s v="39204"/>
    <x v="297"/>
    <s v="Personnel"/>
    <s v="M "/>
    <s v="Middle Grade Group 7-8"/>
    <s v="PS42MS"/>
    <s v="PSES Mid Prog01Duty42 S275"/>
    <n v="1"/>
    <x v="5"/>
    <n v="42"/>
    <m/>
    <s v="   "/>
    <n v="1"/>
    <n v="0.27610000000000001"/>
    <n v="0"/>
    <s v="Middle Counselor"/>
    <x v="5"/>
  </r>
  <r>
    <s v="39204"/>
    <x v="297"/>
    <s v="Personnel"/>
    <s v="E "/>
    <s v="Elementary Grade Group K-6"/>
    <s v="PS46E21S"/>
    <s v="PSES Elem Prog21Duty46 S275"/>
    <n v="21"/>
    <x v="8"/>
    <n v="46"/>
    <m/>
    <s v="   "/>
    <n v="0.28399999999999997"/>
    <n v="0.27610000000000001"/>
    <n v="7.8E-2"/>
    <s v="Elementary Psychologist"/>
    <x v="8"/>
  </r>
  <r>
    <s v="39204"/>
    <x v="297"/>
    <s v="Personnel"/>
    <s v="H "/>
    <s v="High Grade Group 9-12"/>
    <s v="PS46H21S"/>
    <s v="PSES High Prog21Duty46 S275"/>
    <n v="21"/>
    <x v="8"/>
    <n v="46"/>
    <m/>
    <s v="   "/>
    <n v="0.27500000000000002"/>
    <n v="0.27610000000000001"/>
    <n v="7.5999999999999998E-2"/>
    <s v="High Psychologist"/>
    <x v="8"/>
  </r>
  <r>
    <s v="39204"/>
    <x v="297"/>
    <s v="Personnel"/>
    <s v="M "/>
    <s v="Middle Grade Group 7-8"/>
    <s v="PS46M21S"/>
    <s v="PSES Mid Prog21Duty46 S275"/>
    <n v="21"/>
    <x v="8"/>
    <n v="46"/>
    <m/>
    <s v="   "/>
    <n v="0.27500000000000002"/>
    <n v="0.27610000000000001"/>
    <n v="7.5999999999999998E-2"/>
    <s v="Middle Psychologist"/>
    <x v="8"/>
  </r>
  <r>
    <s v="39205"/>
    <x v="298"/>
    <s v="Personnel"/>
    <s v="E "/>
    <s v="Elementary Grade Group K-6"/>
    <s v="PS26ES"/>
    <s v="PSES Elem Prog01Act26 S275"/>
    <n v="1"/>
    <x v="2"/>
    <m/>
    <n v="26"/>
    <s v="   "/>
    <n v="0.32200000000000001"/>
    <n v="0.18459999999999999"/>
    <n v="0"/>
    <s v="Elementary Health/_x000a_Related Services"/>
    <x v="2"/>
  </r>
  <r>
    <s v="39205"/>
    <x v="298"/>
    <s v="Personnel"/>
    <s v="H "/>
    <s v="High Grade Group 9-12"/>
    <s v="PS26HS"/>
    <s v="PSES High Prog01Act26 S275"/>
    <n v="1"/>
    <x v="2"/>
    <m/>
    <n v="26"/>
    <s v="   "/>
    <n v="0.161"/>
    <n v="0.18459999999999999"/>
    <n v="0"/>
    <s v="High Health/_x000a_Related Services"/>
    <x v="2"/>
  </r>
  <r>
    <s v="39205"/>
    <x v="298"/>
    <s v="Personnel"/>
    <s v="M "/>
    <s v="Middle Grade Group 7-8"/>
    <s v="PS26MS"/>
    <s v="PSES Mid Prog01Act26 S275"/>
    <n v="1"/>
    <x v="2"/>
    <m/>
    <n v="26"/>
    <s v="   "/>
    <n v="0.161"/>
    <n v="0.18459999999999999"/>
    <n v="0"/>
    <s v="Middle Health/_x000a_Related Services"/>
    <x v="2"/>
  </r>
  <r>
    <s v="39205"/>
    <x v="298"/>
    <s v="Personnel"/>
    <s v="E "/>
    <s v="Elementary Grade Group K-6"/>
    <s v="PS42ES"/>
    <s v="PSES Elem Prog01Duty42 S275"/>
    <n v="1"/>
    <x v="5"/>
    <n v="42"/>
    <m/>
    <s v="   "/>
    <n v="1"/>
    <n v="0.18459999999999999"/>
    <n v="0"/>
    <s v="Elementary Counselor"/>
    <x v="5"/>
  </r>
  <r>
    <s v="39205"/>
    <x v="298"/>
    <s v="Personnel"/>
    <s v="H "/>
    <s v="High Grade Group 9-12"/>
    <s v="PS42HS"/>
    <s v="PSES High Prog01Duty42 S275"/>
    <n v="1"/>
    <x v="5"/>
    <n v="42"/>
    <m/>
    <s v="   "/>
    <n v="1.4"/>
    <n v="0.18459999999999999"/>
    <n v="0"/>
    <s v="High Counselor"/>
    <x v="5"/>
  </r>
  <r>
    <s v="39205"/>
    <x v="298"/>
    <s v="Personnel"/>
    <s v="M "/>
    <s v="Middle Grade Group 7-8"/>
    <s v="PS42MS"/>
    <s v="PSES Mid Prog01Duty42 S275"/>
    <n v="1"/>
    <x v="5"/>
    <n v="42"/>
    <m/>
    <s v="   "/>
    <n v="0.8"/>
    <n v="0.18459999999999999"/>
    <n v="0"/>
    <s v="Middle Counselor"/>
    <x v="5"/>
  </r>
  <r>
    <s v="39205"/>
    <x v="298"/>
    <s v="Personnel"/>
    <s v="H "/>
    <s v="High Grade Group 9-12"/>
    <s v="PS45HS"/>
    <s v="PSES High Prog01Duty45 S275"/>
    <n v="1"/>
    <x v="7"/>
    <n v="45"/>
    <m/>
    <s v="   "/>
    <n v="1.6E-2"/>
    <n v="0.18459999999999999"/>
    <n v="0"/>
    <s v="High Speech, Language Pathway/_x000a_Audio"/>
    <x v="7"/>
  </r>
  <r>
    <s v="39205"/>
    <x v="298"/>
    <s v="Personnel"/>
    <s v="E "/>
    <s v="Elementary Grade Group K-6"/>
    <s v="PS47ES"/>
    <s v="PSES Elem Prog01Duty47 S275"/>
    <n v="1"/>
    <x v="9"/>
    <n v="47"/>
    <m/>
    <s v="   "/>
    <n v="1"/>
    <n v="0.18459999999999999"/>
    <n v="0"/>
    <s v="Elementary Nurse"/>
    <x v="9"/>
  </r>
  <r>
    <s v="39205"/>
    <x v="298"/>
    <s v="Personnel"/>
    <s v="H "/>
    <s v="High Grade Group 9-12"/>
    <s v="PS47HS"/>
    <s v="PSES High Prog01Duty47 S275"/>
    <n v="1"/>
    <x v="9"/>
    <n v="47"/>
    <m/>
    <s v="   "/>
    <n v="0.5"/>
    <n v="0.18459999999999999"/>
    <n v="0"/>
    <s v="High Nurse"/>
    <x v="9"/>
  </r>
  <r>
    <s v="39205"/>
    <x v="298"/>
    <s v="Personnel"/>
    <s v="M "/>
    <s v="Middle Grade Group 7-8"/>
    <s v="PS47MS"/>
    <s v="PSES Mid Prog01Duty47 S275"/>
    <n v="1"/>
    <x v="9"/>
    <n v="47"/>
    <m/>
    <s v="   "/>
    <n v="0.5"/>
    <n v="0.18459999999999999"/>
    <n v="0"/>
    <s v="Middle Nurse"/>
    <x v="9"/>
  </r>
  <r>
    <s v="39207"/>
    <x v="299"/>
    <s v="Personnel"/>
    <s v="H "/>
    <s v="High Grade Group 9-12"/>
    <s v="PS24HS"/>
    <s v="PSES High Prog01Duty96 S275"/>
    <n v="1"/>
    <x v="0"/>
    <n v="96"/>
    <n v="24"/>
    <s v="   "/>
    <n v="3.1749999999999998"/>
    <n v="0.2258"/>
    <n v="0"/>
    <s v="High Family Engagement Coordinator"/>
    <x v="0"/>
  </r>
  <r>
    <s v="39207"/>
    <x v="299"/>
    <s v="Personnel"/>
    <s v="E "/>
    <s v="Elementary Grade Group K-6"/>
    <s v="PS25ES"/>
    <s v="PSES Elem Prog01Act25 S275"/>
    <n v="1"/>
    <x v="1"/>
    <m/>
    <n v="25"/>
    <s v="   "/>
    <n v="0.34599999999999997"/>
    <n v="0.2258"/>
    <n v="0"/>
    <s v="Elementary Pupil Management"/>
    <x v="1"/>
  </r>
  <r>
    <s v="39207"/>
    <x v="299"/>
    <s v="Personnel"/>
    <s v="H "/>
    <s v="High Grade Group 9-12"/>
    <s v="PS25H21S"/>
    <s v="PSES High Prog21Act25 S275"/>
    <n v="21"/>
    <x v="1"/>
    <m/>
    <n v="25"/>
    <s v="   "/>
    <n v="1.075"/>
    <n v="0.2258"/>
    <n v="0.24299999999999999"/>
    <s v="High Pupil Management"/>
    <x v="1"/>
  </r>
  <r>
    <s v="39207"/>
    <x v="299"/>
    <s v="Personnel"/>
    <s v="H "/>
    <s v="High Grade Group 9-12"/>
    <s v="PS25HS"/>
    <s v="PSES High Prog01Act25 S275"/>
    <n v="1"/>
    <x v="1"/>
    <m/>
    <n v="25"/>
    <s v="   "/>
    <n v="3.593"/>
    <n v="0.2258"/>
    <n v="0"/>
    <s v="High Pupil Management"/>
    <x v="1"/>
  </r>
  <r>
    <s v="39207"/>
    <x v="299"/>
    <s v="Personnel"/>
    <s v="H "/>
    <s v="High Grade Group 9-12"/>
    <s v="PS26H21S"/>
    <s v="PSES High Prog21Act26 S275"/>
    <n v="21"/>
    <x v="2"/>
    <m/>
    <n v="26"/>
    <s v="   "/>
    <n v="1.925"/>
    <n v="0.2258"/>
    <n v="0.435"/>
    <s v="High Health/_x000a_Related Services"/>
    <x v="2"/>
  </r>
  <r>
    <s v="39207"/>
    <x v="299"/>
    <s v="Personnel"/>
    <s v="H "/>
    <s v="High Grade Group 9-12"/>
    <s v="PS26HS"/>
    <s v="PSES High Prog01Act26 S275"/>
    <n v="1"/>
    <x v="2"/>
    <m/>
    <n v="26"/>
    <s v="   "/>
    <n v="3.141"/>
    <n v="0.2258"/>
    <n v="0"/>
    <s v="High Health/_x000a_Related Services"/>
    <x v="2"/>
  </r>
  <r>
    <s v="39207"/>
    <x v="299"/>
    <s v="Personnel"/>
    <s v="E "/>
    <s v="Elementary Grade Group K-6"/>
    <s v="PS42ES"/>
    <s v="PSES Elem Prog01Duty42 S275"/>
    <n v="1"/>
    <x v="5"/>
    <n v="42"/>
    <m/>
    <s v="   "/>
    <n v="4.07"/>
    <n v="0.2258"/>
    <n v="0"/>
    <s v="Elementary Counselor"/>
    <x v="5"/>
  </r>
  <r>
    <s v="39207"/>
    <x v="299"/>
    <s v="Personnel"/>
    <s v="H "/>
    <s v="High Grade Group 9-12"/>
    <s v="PS42HS"/>
    <s v="PSES High Prog01Duty42 S275"/>
    <n v="1"/>
    <x v="5"/>
    <n v="42"/>
    <m/>
    <s v="   "/>
    <n v="2.875"/>
    <n v="0.2258"/>
    <n v="0"/>
    <s v="High Counselor"/>
    <x v="5"/>
  </r>
  <r>
    <s v="39207"/>
    <x v="299"/>
    <s v="Personnel"/>
    <s v="M "/>
    <s v="Middle Grade Group 7-8"/>
    <s v="PS42MS"/>
    <s v="PSES Mid Prog01Duty42 S275"/>
    <n v="1"/>
    <x v="5"/>
    <n v="42"/>
    <m/>
    <s v="   "/>
    <n v="2.5550000000000002"/>
    <n v="0.2258"/>
    <n v="0"/>
    <s v="Middle Counselor"/>
    <x v="5"/>
  </r>
  <r>
    <s v="39207"/>
    <x v="299"/>
    <s v="Personnel"/>
    <s v="E "/>
    <s v="Elementary Grade Group K-6"/>
    <s v="PS45E21S"/>
    <s v="PSES Elem Prog21Duty45 S275"/>
    <n v="21"/>
    <x v="7"/>
    <n v="45"/>
    <m/>
    <s v="   "/>
    <n v="1.6879999999999999"/>
    <n v="0.2258"/>
    <n v="0.38100000000000001"/>
    <s v="Elementary Speech, Language Pathway/_x000a_Audio"/>
    <x v="7"/>
  </r>
  <r>
    <s v="39207"/>
    <x v="299"/>
    <s v="Personnel"/>
    <s v="H "/>
    <s v="High Grade Group 9-12"/>
    <s v="PS45H21S"/>
    <s v="PSES High Prog21Duty45 S275"/>
    <n v="21"/>
    <x v="7"/>
    <n v="45"/>
    <m/>
    <s v="   "/>
    <n v="0.03"/>
    <n v="0.2258"/>
    <n v="7.0000000000000001E-3"/>
    <s v="High Speech, Language Pathway/_x000a_Audio"/>
    <x v="7"/>
  </r>
  <r>
    <s v="39207"/>
    <x v="299"/>
    <s v="Personnel"/>
    <s v="E "/>
    <s v="Elementary Grade Group K-6"/>
    <s v="PS46E21S"/>
    <s v="PSES Elem Prog21Duty46 S275"/>
    <n v="21"/>
    <x v="8"/>
    <n v="46"/>
    <m/>
    <s v="   "/>
    <n v="0.6"/>
    <n v="0.2258"/>
    <n v="0.13500000000000001"/>
    <s v="Elementary Psychologist"/>
    <x v="8"/>
  </r>
  <r>
    <s v="39207"/>
    <x v="299"/>
    <s v="Personnel"/>
    <s v="H "/>
    <s v="High Grade Group 9-12"/>
    <s v="PS47HS"/>
    <s v="PSES High Prog01Duty47 S275"/>
    <n v="1"/>
    <x v="9"/>
    <n v="47"/>
    <m/>
    <s v="   "/>
    <n v="1"/>
    <n v="0.2258"/>
    <n v="0"/>
    <s v="High Nurse"/>
    <x v="9"/>
  </r>
  <r>
    <s v="39208"/>
    <x v="300"/>
    <s v="Personnel"/>
    <s v="H "/>
    <s v="High Grade Group 9-12"/>
    <s v="PS25HS"/>
    <s v="PSES High Prog01Act25 S275"/>
    <n v="1"/>
    <x v="1"/>
    <m/>
    <n v="25"/>
    <s v="   "/>
    <n v="0.624"/>
    <n v="0.21990000000000001"/>
    <n v="0"/>
    <s v="High Pupil Management"/>
    <x v="1"/>
  </r>
  <r>
    <s v="39208"/>
    <x v="300"/>
    <s v="Personnel"/>
    <s v="H "/>
    <s v="High Grade Group 9-12"/>
    <s v="PS26H21S"/>
    <s v="PSES High Prog21Act26 S275"/>
    <n v="21"/>
    <x v="2"/>
    <m/>
    <n v="26"/>
    <s v="   "/>
    <n v="9.798"/>
    <n v="0.21990000000000001"/>
    <n v="2.1549999999999998"/>
    <s v="High Health/_x000a_Related Services"/>
    <x v="2"/>
  </r>
  <r>
    <s v="39208"/>
    <x v="300"/>
    <s v="Personnel"/>
    <s v="H "/>
    <s v="High Grade Group 9-12"/>
    <s v="PS26HS"/>
    <s v="PSES High Prog01Act26 S275"/>
    <n v="1"/>
    <x v="2"/>
    <m/>
    <n v="26"/>
    <s v="   "/>
    <n v="4.3929999999999998"/>
    <n v="0.21990000000000001"/>
    <n v="0"/>
    <s v="High Health/_x000a_Related Services"/>
    <x v="2"/>
  </r>
  <r>
    <s v="39208"/>
    <x v="300"/>
    <s v="Personnel"/>
    <s v="E "/>
    <s v="Elementary Grade Group K-6"/>
    <s v="PS42ES"/>
    <s v="PSES Elem Prog01Duty42 S275"/>
    <n v="1"/>
    <x v="5"/>
    <n v="42"/>
    <m/>
    <s v="   "/>
    <n v="3"/>
    <n v="0.21990000000000001"/>
    <n v="0"/>
    <s v="Elementary Counselor"/>
    <x v="5"/>
  </r>
  <r>
    <s v="39208"/>
    <x v="300"/>
    <s v="Personnel"/>
    <s v="H "/>
    <s v="High Grade Group 9-12"/>
    <s v="PS42HS"/>
    <s v="PSES High Prog01Duty42 S275"/>
    <n v="1"/>
    <x v="5"/>
    <n v="42"/>
    <m/>
    <s v="   "/>
    <n v="3.2"/>
    <n v="0.21990000000000001"/>
    <n v="0"/>
    <s v="High Counselor"/>
    <x v="5"/>
  </r>
  <r>
    <s v="39208"/>
    <x v="300"/>
    <s v="Personnel"/>
    <s v="M "/>
    <s v="Middle Grade Group 7-8"/>
    <s v="PS42M21S"/>
    <s v="PSES Mid Prog21Duty42 S275"/>
    <n v="21"/>
    <x v="5"/>
    <n v="42"/>
    <m/>
    <s v="   "/>
    <n v="1"/>
    <n v="0.21990000000000001"/>
    <n v="0.22"/>
    <s v="Middle Counselor"/>
    <x v="5"/>
  </r>
  <r>
    <s v="39208"/>
    <x v="300"/>
    <s v="Personnel"/>
    <s v="M "/>
    <s v="Middle Grade Group 7-8"/>
    <s v="PS42MS"/>
    <s v="PSES Mid Prog01Duty42 S275"/>
    <n v="1"/>
    <x v="5"/>
    <n v="42"/>
    <m/>
    <s v="   "/>
    <n v="2.6"/>
    <n v="0.21990000000000001"/>
    <n v="0"/>
    <s v="Middle Counselor"/>
    <x v="5"/>
  </r>
  <r>
    <s v="39208"/>
    <x v="300"/>
    <s v="Personnel"/>
    <s v="E "/>
    <s v="Elementary Grade Group K-6"/>
    <s v="PS45E21S"/>
    <s v="PSES Elem Prog21Duty45 S275"/>
    <n v="21"/>
    <x v="7"/>
    <n v="45"/>
    <m/>
    <s v="   "/>
    <n v="3.4"/>
    <n v="0.21990000000000001"/>
    <n v="0.748"/>
    <s v="Elementary Speech, Language Pathway/_x000a_Audio"/>
    <x v="7"/>
  </r>
  <r>
    <s v="39208"/>
    <x v="300"/>
    <s v="Personnel"/>
    <s v="E "/>
    <s v="Elementary Grade Group K-6"/>
    <s v="PS46E21S"/>
    <s v="PSES Elem Prog21Duty46 S275"/>
    <n v="21"/>
    <x v="8"/>
    <n v="46"/>
    <m/>
    <s v="   "/>
    <n v="3.75"/>
    <n v="0.21990000000000001"/>
    <n v="0.82499999999999996"/>
    <s v="Elementary Psychologist"/>
    <x v="8"/>
  </r>
  <r>
    <s v="39208"/>
    <x v="300"/>
    <s v="Personnel"/>
    <s v="H "/>
    <s v="High Grade Group 9-12"/>
    <s v="PS46H21S"/>
    <s v="PSES High Prog21Duty46 S275"/>
    <n v="21"/>
    <x v="8"/>
    <n v="46"/>
    <m/>
    <s v="   "/>
    <n v="1.25"/>
    <n v="0.21990000000000001"/>
    <n v="0.27500000000000002"/>
    <s v="High Psychologist"/>
    <x v="8"/>
  </r>
  <r>
    <s v="39208"/>
    <x v="300"/>
    <s v="Personnel"/>
    <s v="M "/>
    <s v="Middle Grade Group 7-8"/>
    <s v="PS46M21S"/>
    <s v="PSES Mid Prog21Duty46 S275"/>
    <n v="21"/>
    <x v="8"/>
    <n v="46"/>
    <m/>
    <s v="   "/>
    <n v="1"/>
    <n v="0.21990000000000001"/>
    <n v="0.22"/>
    <s v="Middle Psychologist"/>
    <x v="8"/>
  </r>
  <r>
    <s v="39208"/>
    <x v="300"/>
    <s v="Personnel"/>
    <s v="E "/>
    <s v="Elementary Grade Group K-6"/>
    <s v="PS49E21S"/>
    <s v="PSES Elem Prog21Duty49 S275"/>
    <n v="21"/>
    <x v="10"/>
    <n v="49"/>
    <m/>
    <s v="   "/>
    <n v="1"/>
    <n v="0.21990000000000001"/>
    <n v="0.22"/>
    <s v="Elementary Behavior Analyst"/>
    <x v="10"/>
  </r>
  <r>
    <s v="39208"/>
    <x v="300"/>
    <s v="Personnel"/>
    <s v="E "/>
    <s v="Elementary Grade Group K-6"/>
    <s v="PS49ES"/>
    <s v="PSES Elem Prog01Duty49 S275"/>
    <n v="1"/>
    <x v="10"/>
    <n v="49"/>
    <m/>
    <s v="   "/>
    <n v="2"/>
    <n v="0.21990000000000001"/>
    <n v="0"/>
    <s v="Elementary Behavior Analyst"/>
    <x v="10"/>
  </r>
  <r>
    <s v="39209"/>
    <x v="301"/>
    <s v="Personnel"/>
    <s v="E "/>
    <s v="Elementary Grade Group K-6"/>
    <s v="PS26E21S"/>
    <s v="PSES Elem Prog21Act26 S275"/>
    <n v="21"/>
    <x v="2"/>
    <m/>
    <n v="26"/>
    <s v="   "/>
    <n v="0.74199999999999999"/>
    <n v="0.20219999999999999"/>
    <n v="0.15"/>
    <s v="Elementary Health/_x000a_Related Services"/>
    <x v="2"/>
  </r>
  <r>
    <s v="39209"/>
    <x v="301"/>
    <s v="Personnel"/>
    <s v="E "/>
    <s v="Elementary Grade Group K-6"/>
    <s v="PS26ES"/>
    <s v="PSES Elem Prog01Act26 S275"/>
    <n v="1"/>
    <x v="2"/>
    <m/>
    <n v="26"/>
    <s v="   "/>
    <n v="0.63900000000000001"/>
    <n v="0.20219999999999999"/>
    <n v="0"/>
    <s v="Elementary Health/_x000a_Related Services"/>
    <x v="2"/>
  </r>
  <r>
    <s v="39209"/>
    <x v="301"/>
    <s v="Personnel"/>
    <s v="H "/>
    <s v="High Grade Group 9-12"/>
    <s v="PS26H21S"/>
    <s v="PSES High Prog21Act26 S275"/>
    <n v="21"/>
    <x v="2"/>
    <m/>
    <n v="26"/>
    <s v="   "/>
    <n v="1.4890000000000001"/>
    <n v="0.20219999999999999"/>
    <n v="0.30099999999999999"/>
    <s v="High Health/_x000a_Related Services"/>
    <x v="2"/>
  </r>
  <r>
    <s v="39209"/>
    <x v="301"/>
    <s v="Personnel"/>
    <s v="H "/>
    <s v="High Grade Group 9-12"/>
    <s v="PS26HS"/>
    <s v="PSES High Prog01Act26 S275"/>
    <n v="1"/>
    <x v="2"/>
    <m/>
    <n v="26"/>
    <s v="   "/>
    <n v="0.63900000000000001"/>
    <n v="0.20219999999999999"/>
    <n v="0"/>
    <s v="High Health/_x000a_Related Services"/>
    <x v="2"/>
  </r>
  <r>
    <s v="39209"/>
    <x v="301"/>
    <s v="Personnel"/>
    <s v="M "/>
    <s v="Middle Grade Group 7-8"/>
    <s v="PS26M21S"/>
    <s v="PSES Mid Prog21Act26 S275"/>
    <n v="21"/>
    <x v="2"/>
    <m/>
    <n v="26"/>
    <s v="   "/>
    <n v="0.21099999999999999"/>
    <n v="0.20219999999999999"/>
    <n v="4.2999999999999997E-2"/>
    <s v="Middle Health/_x000a_Related Services"/>
    <x v="2"/>
  </r>
  <r>
    <s v="39209"/>
    <x v="301"/>
    <s v="Personnel"/>
    <s v="M "/>
    <s v="Middle Grade Group 7-8"/>
    <s v="PS26MS"/>
    <s v="PSES Mid Prog01Act26 S275"/>
    <n v="1"/>
    <x v="2"/>
    <m/>
    <n v="26"/>
    <s v="   "/>
    <n v="0.63900000000000001"/>
    <n v="0.20219999999999999"/>
    <n v="0"/>
    <s v="Middle Health/_x000a_Related Services"/>
    <x v="2"/>
  </r>
  <r>
    <s v="39209"/>
    <x v="301"/>
    <s v="Personnel"/>
    <s v="E "/>
    <s v="Elementary Grade Group K-6"/>
    <s v="PS42ES"/>
    <s v="PSES Elem Prog01Duty42 S275"/>
    <n v="1"/>
    <x v="5"/>
    <n v="42"/>
    <m/>
    <s v="   "/>
    <n v="0.78"/>
    <n v="0.20219999999999999"/>
    <n v="0"/>
    <s v="Elementary Counselor"/>
    <x v="5"/>
  </r>
  <r>
    <s v="39209"/>
    <x v="301"/>
    <s v="Personnel"/>
    <s v="M "/>
    <s v="Middle Grade Group 7-8"/>
    <s v="PS42MS"/>
    <s v="PSES Mid Prog01Duty42 S275"/>
    <n v="1"/>
    <x v="5"/>
    <n v="42"/>
    <m/>
    <s v="   "/>
    <n v="0.22"/>
    <n v="0.20219999999999999"/>
    <n v="0"/>
    <s v="Middle Counselor"/>
    <x v="5"/>
  </r>
  <r>
    <s v="39209"/>
    <x v="301"/>
    <s v="Personnel"/>
    <s v="H "/>
    <s v="High Grade Group 9-12"/>
    <s v="PS44HS"/>
    <s v="PSES High Prog01Duty44 S275"/>
    <n v="1"/>
    <x v="13"/>
    <n v="44"/>
    <m/>
    <s v="   "/>
    <n v="0.3"/>
    <n v="0.20219999999999999"/>
    <n v="0"/>
    <s v="High Social Worker"/>
    <x v="13"/>
  </r>
  <r>
    <s v="39901"/>
    <x v="302"/>
    <s v="Personnel"/>
    <s v="H "/>
    <s v="High Grade Group 9-12"/>
    <s v="PS25H97S"/>
    <s v="PSES High Prog97Act25 S275"/>
    <n v="97"/>
    <x v="1"/>
    <m/>
    <n v="25"/>
    <s v="   "/>
    <n v="6"/>
    <n v="0.21360000000000001"/>
    <n v="0"/>
    <s v="High Pupil Management"/>
    <x v="1"/>
  </r>
  <r>
    <s v="39901"/>
    <x v="302"/>
    <s v="Personnel"/>
    <s v="H "/>
    <s v="High Grade Group 9-12"/>
    <s v="PS35H97S"/>
    <s v="PSES High Prog97Act35 S275"/>
    <n v="97"/>
    <x v="3"/>
    <m/>
    <n v="35"/>
    <s v="   "/>
    <n v="1"/>
    <n v="0.21360000000000001"/>
    <n v="0"/>
    <s v="High Pupil Safety"/>
    <x v="3"/>
  </r>
  <r>
    <s v="00000"/>
    <x v="303"/>
    <s v="Personnel"/>
    <s v="E "/>
    <s v="Elementary Grade Group K-6"/>
    <s v="PS24E21S"/>
    <s v="PSES Elem Prog21Duty96 S275"/>
    <n v="21"/>
    <x v="0"/>
    <m/>
    <n v="24"/>
    <m/>
    <n v="0"/>
    <m/>
    <n v="0"/>
    <s v="Elementary Family Engagement Coordinator"/>
    <x v="0"/>
  </r>
  <r>
    <s v="00000"/>
    <x v="303"/>
    <s v="Personnel"/>
    <s v="M "/>
    <s v="Middle Grade Group 7-8"/>
    <s v="PS24M21S"/>
    <s v="PSES Mid Prog21Duty96 S275"/>
    <n v="21"/>
    <x v="0"/>
    <m/>
    <n v="24"/>
    <m/>
    <n v="0"/>
    <m/>
    <n v="0"/>
    <s v="Middle Family Engagement Coordinator"/>
    <x v="0"/>
  </r>
  <r>
    <s v="00000"/>
    <x v="303"/>
    <s v="Personnel"/>
    <s v="H "/>
    <s v="High Grade Group 9-12"/>
    <s v="PS24H21S"/>
    <s v="PSES High Prog21Duty96 S275"/>
    <n v="21"/>
    <x v="0"/>
    <m/>
    <n v="24"/>
    <m/>
    <n v="0"/>
    <m/>
    <n v="0"/>
    <s v="High Family Engagement Coordinator"/>
    <x v="0"/>
  </r>
  <r>
    <s v="00000"/>
    <x v="303"/>
    <s v="Personnel"/>
    <s v="E "/>
    <s v="Elementary Grade Group K-6"/>
    <s v="PS24E97S"/>
    <s v="PSES Elem Prog97Duty96 S275"/>
    <n v="97"/>
    <x v="0"/>
    <m/>
    <n v="24"/>
    <m/>
    <n v="0"/>
    <m/>
    <n v="0"/>
    <s v="Elementary Family Engagement Coordinator"/>
    <x v="0"/>
  </r>
  <r>
    <s v="00000"/>
    <x v="303"/>
    <s v="Personnel"/>
    <s v="M "/>
    <s v="Middle Grade Group 7-8"/>
    <s v="PS24M97S"/>
    <s v="PSES Mid Prog97Duty96 S275"/>
    <n v="97"/>
    <x v="0"/>
    <m/>
    <n v="24"/>
    <m/>
    <n v="0"/>
    <m/>
    <n v="0"/>
    <s v="Middle Family Engagement Coordinator"/>
    <x v="0"/>
  </r>
  <r>
    <s v="00000"/>
    <x v="303"/>
    <s v="Personnel"/>
    <s v="H "/>
    <s v="High Grade Group 9-12"/>
    <s v="PS24H97S"/>
    <s v="PSES High Prog97Duty96 S275"/>
    <n v="97"/>
    <x v="0"/>
    <m/>
    <n v="24"/>
    <m/>
    <n v="0"/>
    <m/>
    <n v="0"/>
    <s v="High Family Engagement Coordinator"/>
    <x v="0"/>
  </r>
  <r>
    <s v="00000"/>
    <x v="303"/>
    <s v="Personnel"/>
    <s v="E "/>
    <s v="Elementary Grade Group K-6"/>
    <s v="PS24E09S"/>
    <s v="TK Family Engage-ment Coor-dinator"/>
    <s v="09"/>
    <x v="0"/>
    <m/>
    <n v="24"/>
    <m/>
    <n v="0"/>
    <m/>
    <n v="0"/>
    <s v="TK Family Engagement Coordinator"/>
    <x v="0"/>
  </r>
  <r>
    <s v="00000"/>
    <x v="303"/>
    <s v="Personnel"/>
    <s v="E "/>
    <s v="Elementary Grade Group K-6"/>
    <s v="PS24ES"/>
    <s v="PSES Elem Prog01Duty96 S275"/>
    <s v="01"/>
    <x v="0"/>
    <m/>
    <n v="24"/>
    <m/>
    <n v="0"/>
    <m/>
    <n v="0"/>
    <s v="Elementary Family Engagement Coordinator"/>
    <x v="0"/>
  </r>
  <r>
    <s v="00000"/>
    <x v="303"/>
    <s v="Personnel"/>
    <s v="M "/>
    <s v="Middle Grade Group 7-8"/>
    <s v="PS24MS"/>
    <s v="PSES Mid Prog01Duty96 S275"/>
    <s v="01"/>
    <x v="0"/>
    <m/>
    <n v="24"/>
    <m/>
    <n v="0"/>
    <m/>
    <n v="0"/>
    <s v="Middle Family Engagement Coordinator"/>
    <x v="0"/>
  </r>
  <r>
    <s v="00000"/>
    <x v="303"/>
    <s v="Personnel"/>
    <s v="H "/>
    <s v="High Grade Group 9-12"/>
    <s v="PS24HS"/>
    <s v="PSES High Prog01Duty96 S275"/>
    <s v="01"/>
    <x v="0"/>
    <m/>
    <n v="24"/>
    <m/>
    <n v="0"/>
    <m/>
    <n v="0"/>
    <s v="High Family Engagement Coordinator"/>
    <x v="0"/>
  </r>
  <r>
    <s v="00000"/>
    <x v="303"/>
    <s v="Personnel"/>
    <s v="E "/>
    <s v="Elementary Grade Group K-6"/>
    <s v="PS25E21S"/>
    <s v="PSES Elem Prog21Act25 S275"/>
    <n v="21"/>
    <x v="1"/>
    <m/>
    <n v="25"/>
    <m/>
    <n v="0"/>
    <m/>
    <n v="0"/>
    <s v="Elementary Pupil Management"/>
    <x v="1"/>
  </r>
  <r>
    <s v="00000"/>
    <x v="303"/>
    <s v="Personnel"/>
    <s v="M "/>
    <s v="Middle Grade Group 7-8"/>
    <s v="PS25M21S"/>
    <s v="PSES Mid Prog21Act25 S275"/>
    <n v="21"/>
    <x v="1"/>
    <m/>
    <n v="25"/>
    <m/>
    <n v="0"/>
    <m/>
    <n v="0"/>
    <s v="Middle Pupil Management"/>
    <x v="1"/>
  </r>
  <r>
    <s v="00000"/>
    <x v="303"/>
    <s v="Personnel"/>
    <s v="H "/>
    <s v="High Grade Group 9-12"/>
    <s v="PS25H21S"/>
    <s v="PSES High Prog21Act25 S275"/>
    <n v="21"/>
    <x v="1"/>
    <m/>
    <n v="25"/>
    <m/>
    <n v="0"/>
    <m/>
    <n v="0"/>
    <s v="High Pupil Management"/>
    <x v="1"/>
  </r>
  <r>
    <s v="00000"/>
    <x v="303"/>
    <s v="Personnel"/>
    <s v="E "/>
    <s v="Elementary Grade Group K-6"/>
    <s v="PS25E97S"/>
    <s v="PSES Elem Prog97Act25 S275"/>
    <n v="97"/>
    <x v="1"/>
    <m/>
    <n v="25"/>
    <m/>
    <n v="0"/>
    <m/>
    <n v="0"/>
    <s v="Elementary Pupil Management"/>
    <x v="1"/>
  </r>
  <r>
    <s v="00000"/>
    <x v="303"/>
    <s v="Personnel"/>
    <s v="M "/>
    <s v="Middle Grade Group 7-8"/>
    <s v="PS25M97S"/>
    <s v="PSES Mid Prog97Act25 S275"/>
    <n v="97"/>
    <x v="1"/>
    <m/>
    <n v="25"/>
    <m/>
    <n v="0"/>
    <m/>
    <n v="0"/>
    <s v="Middle Pupil Management"/>
    <x v="1"/>
  </r>
  <r>
    <s v="00000"/>
    <x v="303"/>
    <s v="Personnel"/>
    <s v="H "/>
    <s v="High Grade Group 9-12"/>
    <s v="PS25H97S"/>
    <s v="PSES High Prog97Act25 S275"/>
    <n v="97"/>
    <x v="1"/>
    <m/>
    <n v="25"/>
    <m/>
    <n v="0"/>
    <m/>
    <n v="0"/>
    <s v="High Pupil Management"/>
    <x v="1"/>
  </r>
  <r>
    <s v="00000"/>
    <x v="303"/>
    <s v="Personnel"/>
    <s v="E "/>
    <s v="Elementary Grade Group K-6"/>
    <s v="PS25E09S"/>
    <s v="TK Pupil Management"/>
    <s v="09"/>
    <x v="1"/>
    <m/>
    <n v="25"/>
    <m/>
    <n v="0"/>
    <m/>
    <n v="0"/>
    <s v="TK Pupil Management"/>
    <x v="1"/>
  </r>
  <r>
    <s v="00000"/>
    <x v="303"/>
    <s v="Personnel"/>
    <s v="E "/>
    <s v="Elementary Grade Group K-6"/>
    <s v="PS25ES"/>
    <s v="PSES Elem Prog01Act25 S275"/>
    <s v="01"/>
    <x v="1"/>
    <m/>
    <n v="25"/>
    <m/>
    <n v="0"/>
    <m/>
    <n v="0"/>
    <s v="Elementary Pupil Management"/>
    <x v="1"/>
  </r>
  <r>
    <s v="00000"/>
    <x v="303"/>
    <s v="Personnel"/>
    <s v="M "/>
    <s v="Middle Grade Group 7-8"/>
    <s v="PS25MS"/>
    <s v="PSES Mid Prog01Act25 S275"/>
    <s v="01"/>
    <x v="1"/>
    <m/>
    <n v="25"/>
    <m/>
    <n v="0"/>
    <m/>
    <n v="0"/>
    <s v="Middle Pupil Management"/>
    <x v="1"/>
  </r>
  <r>
    <s v="00000"/>
    <x v="303"/>
    <s v="Personnel"/>
    <s v="H "/>
    <s v="High Grade Group 9-12"/>
    <s v="PS25HS"/>
    <s v="PSES High Prog01Act25 S275"/>
    <s v="01"/>
    <x v="1"/>
    <m/>
    <n v="25"/>
    <m/>
    <n v="0"/>
    <m/>
    <n v="0"/>
    <s v="High Pupil Management"/>
    <x v="1"/>
  </r>
  <r>
    <s v="00000"/>
    <x v="303"/>
    <s v="Personnel"/>
    <s v="E "/>
    <s v="Elementary Grade Group K-6"/>
    <s v="PS26E21S"/>
    <s v="PSES Elem Prog21Act26 S275"/>
    <n v="21"/>
    <x v="2"/>
    <m/>
    <n v="26"/>
    <m/>
    <n v="0"/>
    <m/>
    <n v="0"/>
    <s v="Elementary Health/_x000a_Related Services"/>
    <x v="2"/>
  </r>
  <r>
    <s v="00000"/>
    <x v="303"/>
    <s v="Personnel"/>
    <s v="M "/>
    <s v="Middle Grade Group 7-8"/>
    <s v="PS26M21S"/>
    <s v="PSES Mid Prog21Act26 S275"/>
    <n v="21"/>
    <x v="2"/>
    <m/>
    <n v="26"/>
    <m/>
    <n v="0"/>
    <m/>
    <n v="0"/>
    <s v="Middle Health/_x000a_Related Services"/>
    <x v="2"/>
  </r>
  <r>
    <s v="00000"/>
    <x v="303"/>
    <s v="Personnel"/>
    <s v="H "/>
    <s v="High Grade Group 9-12"/>
    <s v="PS26H21S"/>
    <s v="PSES High Prog21Act26 S275"/>
    <n v="21"/>
    <x v="2"/>
    <m/>
    <n v="26"/>
    <m/>
    <n v="0"/>
    <m/>
    <n v="0"/>
    <s v="High Health/_x000a_Related Services"/>
    <x v="2"/>
  </r>
  <r>
    <s v="00000"/>
    <x v="303"/>
    <s v="Personnel"/>
    <s v="E "/>
    <s v="Elementary Grade Group K-6"/>
    <s v="PS26E97S"/>
    <s v="Elementary Health/_x000a_Related Services"/>
    <n v="97"/>
    <x v="2"/>
    <m/>
    <n v="26"/>
    <m/>
    <n v="0"/>
    <m/>
    <n v="0"/>
    <s v="Elementary Health/_x000a_Related Services"/>
    <x v="2"/>
  </r>
  <r>
    <s v="00000"/>
    <x v="303"/>
    <s v="Personnel"/>
    <s v="M "/>
    <s v="Middle Grade Group 7-8"/>
    <s v="PS26M97S"/>
    <s v="Middle Health/_x000a_Related Services"/>
    <n v="97"/>
    <x v="2"/>
    <m/>
    <n v="26"/>
    <m/>
    <n v="0"/>
    <m/>
    <n v="0"/>
    <s v="Middle Health/_x000a_Related Services"/>
    <x v="2"/>
  </r>
  <r>
    <s v="00000"/>
    <x v="303"/>
    <s v="Personnel"/>
    <s v="H "/>
    <s v="High Grade Group 9-12"/>
    <s v="PS26H97S"/>
    <s v="High Health/_x000a_Related Services"/>
    <n v="97"/>
    <x v="2"/>
    <m/>
    <n v="26"/>
    <m/>
    <n v="0"/>
    <m/>
    <n v="0"/>
    <s v="High Health/_x000a_Related Services"/>
    <x v="2"/>
  </r>
  <r>
    <s v="00000"/>
    <x v="303"/>
    <s v="Personnel"/>
    <s v="E "/>
    <s v="Elementary Grade Group K-6"/>
    <s v="PS26E09S"/>
    <s v="PSES Elem Prog09Act26 S275"/>
    <s v="09"/>
    <x v="2"/>
    <m/>
    <n v="26"/>
    <m/>
    <n v="0"/>
    <m/>
    <n v="0"/>
    <s v="TK Health/_x000a_Related Services"/>
    <x v="2"/>
  </r>
  <r>
    <s v="00000"/>
    <x v="303"/>
    <s v="Personnel"/>
    <s v="E "/>
    <s v="Elementary Grade Group K-6"/>
    <s v="PS26ES"/>
    <s v="PSES Elem Prog01Act26 S275"/>
    <s v="01"/>
    <x v="2"/>
    <m/>
    <n v="26"/>
    <m/>
    <n v="0"/>
    <m/>
    <n v="0"/>
    <s v="Elementary Health/_x000a_Related Services"/>
    <x v="2"/>
  </r>
  <r>
    <s v="00000"/>
    <x v="303"/>
    <s v="Personnel"/>
    <s v="M "/>
    <s v="Middle Grade Group 7-8"/>
    <s v="PS26MS"/>
    <s v="PSES Mid Prog01Act26 S275"/>
    <s v="01"/>
    <x v="2"/>
    <m/>
    <n v="26"/>
    <m/>
    <n v="0"/>
    <m/>
    <n v="0"/>
    <s v="Middle Health/_x000a_Related Services"/>
    <x v="2"/>
  </r>
  <r>
    <s v="00000"/>
    <x v="303"/>
    <s v="Personnel"/>
    <s v="H "/>
    <s v="High Grade Group 9-12"/>
    <s v="PS26HS"/>
    <s v="PSES High Prog01Act26 S275"/>
    <s v="01"/>
    <x v="2"/>
    <m/>
    <n v="26"/>
    <m/>
    <n v="0"/>
    <m/>
    <n v="0"/>
    <s v="High Health/_x000a_Related Services"/>
    <x v="2"/>
  </r>
  <r>
    <s v="00000"/>
    <x v="303"/>
    <s v="Personnel"/>
    <s v="E "/>
    <s v="Elementary Grade Group K-6"/>
    <s v="PS35E21S"/>
    <s v="Elementary Pupil Safety"/>
    <n v="21"/>
    <x v="3"/>
    <m/>
    <n v="35"/>
    <m/>
    <n v="0"/>
    <m/>
    <n v="0"/>
    <s v="Elementary Pupil Safety"/>
    <x v="3"/>
  </r>
  <r>
    <s v="00000"/>
    <x v="303"/>
    <s v="Personnel"/>
    <s v="M "/>
    <s v="Middle Grade Group 7-8"/>
    <s v="PS35M21S"/>
    <s v="Middle Pupil Safety"/>
    <n v="21"/>
    <x v="3"/>
    <m/>
    <n v="35"/>
    <m/>
    <n v="0"/>
    <m/>
    <n v="0"/>
    <s v="Middle Pupil Safety"/>
    <x v="3"/>
  </r>
  <r>
    <s v="00000"/>
    <x v="303"/>
    <s v="Personnel"/>
    <s v="H "/>
    <s v="High Grade Group 9-12"/>
    <s v="PS35H21S"/>
    <s v="PSES High Prog21Act35 S275"/>
    <n v="21"/>
    <x v="3"/>
    <m/>
    <n v="35"/>
    <m/>
    <n v="0"/>
    <m/>
    <n v="0"/>
    <s v="High Pupil Safety"/>
    <x v="3"/>
  </r>
  <r>
    <s v="00000"/>
    <x v="303"/>
    <s v="Personnel"/>
    <s v="E "/>
    <s v="Elementary Grade Group K-6"/>
    <s v="PS35E97S"/>
    <s v="Elementary Pupil Safety"/>
    <n v="97"/>
    <x v="3"/>
    <m/>
    <n v="35"/>
    <m/>
    <n v="0"/>
    <m/>
    <n v="0"/>
    <s v="Elementary Pupil Safety"/>
    <x v="3"/>
  </r>
  <r>
    <s v="00000"/>
    <x v="303"/>
    <s v="Personnel"/>
    <s v="M "/>
    <s v="Middle Grade Group 7-8"/>
    <s v="PS35M97S"/>
    <s v="PSES Mid Prog97Act35 S275"/>
    <n v="97"/>
    <x v="3"/>
    <m/>
    <n v="35"/>
    <m/>
    <n v="0"/>
    <m/>
    <n v="0"/>
    <s v="Middle Pupil Safety"/>
    <x v="3"/>
  </r>
  <r>
    <s v="00000"/>
    <x v="303"/>
    <s v="Personnel"/>
    <s v="H "/>
    <s v="High Grade Group 9-12"/>
    <s v="PS35H97S"/>
    <s v="PSES High Prog97Act35 S275"/>
    <n v="97"/>
    <x v="3"/>
    <m/>
    <n v="35"/>
    <m/>
    <n v="0"/>
    <m/>
    <n v="0"/>
    <s v="High Pupil Safety"/>
    <x v="3"/>
  </r>
  <r>
    <s v="00000"/>
    <x v="303"/>
    <s v="Personnel"/>
    <s v="E "/>
    <s v="Elementary Grade Group K-6"/>
    <s v="PS35E09S"/>
    <s v="TK Orientation &amp; Mobility Specialist"/>
    <s v="09"/>
    <x v="3"/>
    <m/>
    <n v="35"/>
    <m/>
    <n v="0"/>
    <m/>
    <n v="0"/>
    <s v="TK Pupil Safety"/>
    <x v="3"/>
  </r>
  <r>
    <s v="00000"/>
    <x v="303"/>
    <s v="Personnel"/>
    <s v="E "/>
    <s v="Elementary Grade Group K-6"/>
    <s v="PS35ES"/>
    <s v="PSES Elem Prog01Act35 S275"/>
    <s v="01"/>
    <x v="3"/>
    <m/>
    <n v="35"/>
    <m/>
    <n v="0"/>
    <m/>
    <n v="0"/>
    <s v="Elementary Pupil Safety"/>
    <x v="3"/>
  </r>
  <r>
    <s v="00000"/>
    <x v="303"/>
    <s v="Personnel"/>
    <s v="M "/>
    <s v="Middle Grade Group 7-8"/>
    <s v="PS35MS"/>
    <s v="PSES Mid Prog01Act35 S275"/>
    <s v="01"/>
    <x v="3"/>
    <m/>
    <n v="35"/>
    <m/>
    <n v="0"/>
    <m/>
    <n v="0"/>
    <s v="Middle Pupil Safety"/>
    <x v="3"/>
  </r>
  <r>
    <s v="00000"/>
    <x v="303"/>
    <s v="Personnel"/>
    <s v="H "/>
    <s v="High Grade Group 9-12"/>
    <s v="PS35HS"/>
    <s v="PSES High Prog01Act35 S275"/>
    <s v="01"/>
    <x v="3"/>
    <m/>
    <n v="35"/>
    <m/>
    <n v="0"/>
    <m/>
    <n v="0"/>
    <s v="High Pupil Safety"/>
    <x v="3"/>
  </r>
  <r>
    <s v="00000"/>
    <x v="303"/>
    <s v="Personnel"/>
    <s v="E "/>
    <s v="Elementary Grade Group K-6"/>
    <s v="PS39E21S"/>
    <s v="PSES Elem Prog21Duty39 S275"/>
    <n v="21"/>
    <x v="4"/>
    <s v="39"/>
    <m/>
    <m/>
    <n v="0"/>
    <m/>
    <n v="0"/>
    <s v="Elementary Orientation &amp; Mobility Specialist"/>
    <x v="4"/>
  </r>
  <r>
    <s v="00000"/>
    <x v="303"/>
    <s v="Personnel"/>
    <s v="M "/>
    <s v="Middle Grade Group 7-8"/>
    <s v="PS39M21S"/>
    <s v="Middle Orientation &amp; Mobility Specialist"/>
    <n v="21"/>
    <x v="4"/>
    <s v="39"/>
    <m/>
    <m/>
    <n v="0"/>
    <m/>
    <n v="0"/>
    <s v="Middle Orientation &amp; Mobility Specialist"/>
    <x v="4"/>
  </r>
  <r>
    <s v="00000"/>
    <x v="303"/>
    <s v="Personnel"/>
    <s v="H "/>
    <s v="High Grade Group 9-12"/>
    <s v="PS39H21S"/>
    <s v="PSES High Prog21Duty39 S275"/>
    <n v="21"/>
    <x v="4"/>
    <s v="39"/>
    <m/>
    <m/>
    <n v="0"/>
    <m/>
    <n v="0"/>
    <s v="High Orientation &amp; Mobility Specialist"/>
    <x v="4"/>
  </r>
  <r>
    <s v="00000"/>
    <x v="303"/>
    <s v="Personnel"/>
    <s v="E "/>
    <s v="Elementary Grade Group K-6"/>
    <s v="PS39E97S"/>
    <s v="Elementary Orientation &amp; Mobility Specialist"/>
    <n v="97"/>
    <x v="4"/>
    <s v="39"/>
    <m/>
    <m/>
    <n v="0"/>
    <m/>
    <n v="0"/>
    <s v="Elementary Orientation &amp; Mobility Specialist"/>
    <x v="4"/>
  </r>
  <r>
    <s v="00000"/>
    <x v="303"/>
    <s v="Personnel"/>
    <s v="M "/>
    <s v="Middle Grade Group 7-8"/>
    <s v="PS39M97S"/>
    <s v="Middle Orientation &amp; Mobility Specialist"/>
    <n v="97"/>
    <x v="4"/>
    <s v="39"/>
    <m/>
    <m/>
    <n v="0"/>
    <m/>
    <n v="0"/>
    <s v="Middle Orientation &amp; Mobility Specialist"/>
    <x v="4"/>
  </r>
  <r>
    <s v="00000"/>
    <x v="303"/>
    <s v="Personnel"/>
    <s v="H "/>
    <s v="High Grade Group 9-12"/>
    <s v="PS39H97S"/>
    <s v="High Orientation &amp; Mobility Specialist"/>
    <n v="97"/>
    <x v="4"/>
    <s v="39"/>
    <m/>
    <m/>
    <n v="0"/>
    <m/>
    <n v="0"/>
    <s v="High Orientation &amp; Mobility Specialist"/>
    <x v="4"/>
  </r>
  <r>
    <s v="00000"/>
    <x v="303"/>
    <s v="Personnel"/>
    <s v="E "/>
    <s v="Elementary Grade Group K-6"/>
    <s v="PS39E09S"/>
    <s v="TK Orientation &amp; Mobility Specialist"/>
    <s v="09"/>
    <x v="4"/>
    <s v="39"/>
    <m/>
    <m/>
    <n v="0"/>
    <m/>
    <n v="0"/>
    <s v="TK Orientation &amp; Mobility Specialist"/>
    <x v="4"/>
  </r>
  <r>
    <s v="00000"/>
    <x v="303"/>
    <s v="Personnel"/>
    <s v="E "/>
    <s v="Elementary Grade Group K-6"/>
    <s v="PS39ES"/>
    <s v="Elementary Orientation &amp; Mobility Specialist"/>
    <s v="01"/>
    <x v="4"/>
    <s v="39"/>
    <m/>
    <m/>
    <n v="0"/>
    <m/>
    <n v="0"/>
    <s v="Elementary Orientation &amp; Mobility Specialist"/>
    <x v="4"/>
  </r>
  <r>
    <s v="00000"/>
    <x v="303"/>
    <s v="Personnel"/>
    <s v="M "/>
    <s v="Middle Grade Group 7-8"/>
    <s v="PS39MS"/>
    <s v="Middle Orientation &amp; Mobility Specialist"/>
    <s v="01"/>
    <x v="4"/>
    <s v="39"/>
    <m/>
    <m/>
    <n v="0"/>
    <m/>
    <n v="0"/>
    <s v="Middle Orientation &amp; Mobility Specialist"/>
    <x v="4"/>
  </r>
  <r>
    <s v="00000"/>
    <x v="303"/>
    <s v="Personnel"/>
    <s v="H "/>
    <s v="High Grade Group 9-12"/>
    <s v="PS39HS"/>
    <s v="High Orientation &amp; Mobility Specialist"/>
    <s v="01"/>
    <x v="4"/>
    <s v="39"/>
    <m/>
    <m/>
    <n v="0"/>
    <m/>
    <n v="0"/>
    <s v="High Orientation &amp; Mobility Specialist"/>
    <x v="4"/>
  </r>
  <r>
    <s v="00000"/>
    <x v="303"/>
    <s v="Personnel"/>
    <s v="E "/>
    <s v="Elementary Grade Group K-6"/>
    <s v="PS42E21S"/>
    <s v="Elementary Counselor"/>
    <n v="21"/>
    <x v="5"/>
    <s v="42"/>
    <m/>
    <m/>
    <n v="0"/>
    <m/>
    <n v="0"/>
    <s v="Elementary Counselor"/>
    <x v="5"/>
  </r>
  <r>
    <s v="00000"/>
    <x v="303"/>
    <s v="Personnel"/>
    <s v="M "/>
    <s v="Middle Grade Group 7-8"/>
    <s v="PS42M21S"/>
    <s v="Middle Counselor"/>
    <n v="21"/>
    <x v="5"/>
    <s v="42"/>
    <m/>
    <m/>
    <n v="0"/>
    <m/>
    <n v="0"/>
    <s v="Middle Counselor"/>
    <x v="5"/>
  </r>
  <r>
    <s v="00000"/>
    <x v="303"/>
    <s v="Personnel"/>
    <s v="H "/>
    <s v="High Grade Group 9-12"/>
    <s v="PS42H21S"/>
    <s v="High Counselor"/>
    <n v="21"/>
    <x v="5"/>
    <s v="42"/>
    <m/>
    <m/>
    <n v="0"/>
    <m/>
    <n v="0"/>
    <s v="High Counselor"/>
    <x v="5"/>
  </r>
  <r>
    <s v="00000"/>
    <x v="303"/>
    <s v="Personnel"/>
    <s v="E "/>
    <s v="Elementary Grade Group K-6"/>
    <s v="PS42E97S"/>
    <s v="Elementary Counselor"/>
    <n v="97"/>
    <x v="5"/>
    <s v="42"/>
    <m/>
    <m/>
    <n v="0"/>
    <m/>
    <n v="0"/>
    <s v="Elementary Counselor"/>
    <x v="5"/>
  </r>
  <r>
    <s v="00000"/>
    <x v="303"/>
    <s v="Personnel"/>
    <s v="M "/>
    <s v="Middle Grade Group 7-8"/>
    <s v="PS42M97S"/>
    <s v="Middle Counselor"/>
    <n v="97"/>
    <x v="5"/>
    <s v="42"/>
    <m/>
    <m/>
    <n v="0"/>
    <m/>
    <n v="0"/>
    <s v="Middle Counselor"/>
    <x v="5"/>
  </r>
  <r>
    <s v="00000"/>
    <x v="303"/>
    <s v="Personnel"/>
    <s v="H "/>
    <s v="High Grade Group 9-12"/>
    <s v="PS42H97S"/>
    <s v="High Counselor"/>
    <n v="97"/>
    <x v="5"/>
    <s v="42"/>
    <m/>
    <m/>
    <n v="0"/>
    <m/>
    <n v="0"/>
    <s v="High Counselor"/>
    <x v="5"/>
  </r>
  <r>
    <s v="00000"/>
    <x v="303"/>
    <s v="Personnel"/>
    <s v="E "/>
    <s v="Elementary Grade Group K-6"/>
    <s v="PS42E09S"/>
    <s v="PSES Elem Prog09Duty42 S275"/>
    <s v="09"/>
    <x v="5"/>
    <s v="42"/>
    <m/>
    <m/>
    <n v="0"/>
    <m/>
    <n v="0"/>
    <s v="TK Counselor"/>
    <x v="5"/>
  </r>
  <r>
    <s v="00000"/>
    <x v="303"/>
    <s v="Personnel"/>
    <s v="E "/>
    <s v="Elementary Grade Group K-6"/>
    <s v="PS42ES"/>
    <s v="Elementary Counselor"/>
    <s v="01"/>
    <x v="5"/>
    <s v="42"/>
    <m/>
    <m/>
    <n v="0"/>
    <m/>
    <n v="0"/>
    <s v="Elementary Counselor"/>
    <x v="5"/>
  </r>
  <r>
    <s v="00000"/>
    <x v="303"/>
    <s v="Personnel"/>
    <s v="M "/>
    <s v="Middle Grade Group 7-8"/>
    <s v="PS42MS"/>
    <s v="Middle Counselor"/>
    <s v="01"/>
    <x v="5"/>
    <s v="42"/>
    <m/>
    <m/>
    <n v="0"/>
    <m/>
    <n v="0"/>
    <s v="Middle Counselor"/>
    <x v="5"/>
  </r>
  <r>
    <s v="00000"/>
    <x v="303"/>
    <s v="Personnel"/>
    <s v="H "/>
    <s v="High Grade Group 9-12"/>
    <s v="PS42HS"/>
    <s v="High Counselor"/>
    <s v="01"/>
    <x v="5"/>
    <s v="42"/>
    <m/>
    <m/>
    <n v="0"/>
    <m/>
    <n v="0"/>
    <s v="High Counselor"/>
    <x v="5"/>
  </r>
  <r>
    <s v="00000"/>
    <x v="303"/>
    <s v="Personnel"/>
    <s v="E "/>
    <s v="Elementary Grade Group K-6"/>
    <s v="PS43E21S"/>
    <s v="Elementary occupational Therapist"/>
    <n v="21"/>
    <x v="6"/>
    <s v="43"/>
    <m/>
    <m/>
    <n v="0"/>
    <m/>
    <n v="0"/>
    <s v="Elementary Occupational Therapist"/>
    <x v="6"/>
  </r>
  <r>
    <s v="00000"/>
    <x v="303"/>
    <s v="Personnel"/>
    <s v="M "/>
    <s v="Middle Grade Group 7-8"/>
    <s v="PS43M21S"/>
    <s v="Middle occupational Therapist"/>
    <n v="21"/>
    <x v="6"/>
    <s v="43"/>
    <m/>
    <m/>
    <n v="0"/>
    <m/>
    <n v="0"/>
    <s v="Middle Occupational Therapist"/>
    <x v="6"/>
  </r>
  <r>
    <s v="00000"/>
    <x v="303"/>
    <s v="Personnel"/>
    <s v="H "/>
    <s v="High Grade Group 9-12"/>
    <s v="PS43H21S"/>
    <s v="High occupational Therapist"/>
    <n v="21"/>
    <x v="6"/>
    <s v="43"/>
    <m/>
    <m/>
    <n v="0"/>
    <m/>
    <n v="0"/>
    <s v="High Occupational Therapist"/>
    <x v="6"/>
  </r>
  <r>
    <s v="00000"/>
    <x v="303"/>
    <s v="Personnel"/>
    <s v="E "/>
    <s v="Elementary Grade Group K-6"/>
    <s v="PS43E97S"/>
    <s v="Elementary occupational Therapist"/>
    <n v="97"/>
    <x v="6"/>
    <s v="43"/>
    <m/>
    <m/>
    <n v="0"/>
    <m/>
    <n v="0"/>
    <s v="Elementary Occupational Therapist"/>
    <x v="6"/>
  </r>
  <r>
    <s v="00000"/>
    <x v="303"/>
    <s v="Personnel"/>
    <s v="M "/>
    <s v="Middle Grade Group 7-8"/>
    <s v="PS43M97S"/>
    <s v="Middle occupational Therapist"/>
    <n v="97"/>
    <x v="6"/>
    <s v="43"/>
    <m/>
    <m/>
    <n v="0"/>
    <m/>
    <n v="0"/>
    <s v="Middle Occupational Therapist"/>
    <x v="6"/>
  </r>
  <r>
    <s v="00000"/>
    <x v="303"/>
    <s v="Personnel"/>
    <s v="H "/>
    <s v="High Grade Group 9-12"/>
    <s v="PS43H97S"/>
    <s v="High occupational Therapist"/>
    <n v="97"/>
    <x v="6"/>
    <s v="43"/>
    <m/>
    <m/>
    <n v="0"/>
    <m/>
    <n v="0"/>
    <s v="High Occupational Therapist"/>
    <x v="6"/>
  </r>
  <r>
    <s v="00000"/>
    <x v="303"/>
    <s v="Personnel"/>
    <s v="E "/>
    <s v="Elementary Grade Group K-6"/>
    <s v="PS43E09S"/>
    <s v="TK occupational Therapist"/>
    <s v="09"/>
    <x v="6"/>
    <s v="43"/>
    <m/>
    <m/>
    <n v="0"/>
    <m/>
    <n v="0"/>
    <s v="TK Occupational Therapist"/>
    <x v="6"/>
  </r>
  <r>
    <s v="00000"/>
    <x v="303"/>
    <s v="Personnel"/>
    <s v="E "/>
    <s v="Elementary Grade Group K-6"/>
    <s v="PS43ES"/>
    <s v="Elementary occupational Therapist"/>
    <s v="01"/>
    <x v="6"/>
    <s v="43"/>
    <m/>
    <m/>
    <n v="0"/>
    <m/>
    <n v="0"/>
    <s v="Elementary Occupational Therapist"/>
    <x v="6"/>
  </r>
  <r>
    <s v="00000"/>
    <x v="303"/>
    <s v="Personnel"/>
    <s v="M "/>
    <s v="Middle Grade Group 7-8"/>
    <s v="PS43MS"/>
    <s v="Middle occupational Therapist"/>
    <s v="01"/>
    <x v="6"/>
    <s v="43"/>
    <m/>
    <m/>
    <n v="0"/>
    <m/>
    <n v="0"/>
    <s v="Middle Occupational Therapist"/>
    <x v="6"/>
  </r>
  <r>
    <s v="00000"/>
    <x v="303"/>
    <s v="Personnel"/>
    <s v="H "/>
    <s v="High Grade Group 9-12"/>
    <s v="PS43HS"/>
    <s v="High occupational Therapist"/>
    <s v="01"/>
    <x v="6"/>
    <s v="43"/>
    <m/>
    <m/>
    <n v="0"/>
    <m/>
    <n v="0"/>
    <s v="High Occupational Therapist"/>
    <x v="6"/>
  </r>
  <r>
    <s v="00000"/>
    <x v="303"/>
    <s v="Personnel"/>
    <s v="E "/>
    <s v="Elementary Grade Group K-6"/>
    <s v="PS44E21S"/>
    <s v="Elementary Social Worker"/>
    <n v="21"/>
    <x v="13"/>
    <s v="44"/>
    <m/>
    <m/>
    <n v="0"/>
    <m/>
    <n v="0"/>
    <s v="Elementary Social Worker"/>
    <x v="13"/>
  </r>
  <r>
    <s v="00000"/>
    <x v="303"/>
    <s v="Personnel"/>
    <s v="M "/>
    <s v="Middle Grade Group 7-8"/>
    <s v="PS44M21S"/>
    <s v="Middle Social Worker"/>
    <n v="21"/>
    <x v="13"/>
    <s v="44"/>
    <m/>
    <m/>
    <n v="0"/>
    <m/>
    <n v="0"/>
    <s v="Middle Social Worker"/>
    <x v="13"/>
  </r>
  <r>
    <s v="00000"/>
    <x v="303"/>
    <s v="Personnel"/>
    <s v="H "/>
    <s v="High Grade Group 9-12"/>
    <s v="PS44H21S"/>
    <s v="High Social Worker"/>
    <n v="21"/>
    <x v="13"/>
    <s v="44"/>
    <m/>
    <m/>
    <n v="0"/>
    <m/>
    <n v="0"/>
    <s v="High Social Worker"/>
    <x v="13"/>
  </r>
  <r>
    <s v="00000"/>
    <x v="303"/>
    <s v="Personnel"/>
    <s v="E "/>
    <s v="Elementary Grade Group K-6"/>
    <s v="PS44E97S"/>
    <s v="Elementary Social Worker"/>
    <n v="97"/>
    <x v="13"/>
    <s v="44"/>
    <m/>
    <m/>
    <n v="0"/>
    <m/>
    <n v="0"/>
    <s v="Elementary Social Worker"/>
    <x v="13"/>
  </r>
  <r>
    <s v="00000"/>
    <x v="303"/>
    <s v="Personnel"/>
    <s v="M "/>
    <s v="Middle Grade Group 7-8"/>
    <s v="PS44M97S"/>
    <s v="Middle Social Worker"/>
    <n v="97"/>
    <x v="13"/>
    <s v="44"/>
    <m/>
    <m/>
    <n v="0"/>
    <m/>
    <n v="0"/>
    <s v="Middle Social Worker"/>
    <x v="13"/>
  </r>
  <r>
    <s v="00000"/>
    <x v="303"/>
    <s v="Personnel"/>
    <s v="H "/>
    <s v="High Grade Group 9-12"/>
    <s v="PS44H97S"/>
    <s v="High Social Worker"/>
    <n v="97"/>
    <x v="13"/>
    <s v="44"/>
    <m/>
    <m/>
    <n v="0"/>
    <m/>
    <n v="0"/>
    <s v="High Social Worker"/>
    <x v="13"/>
  </r>
  <r>
    <s v="00000"/>
    <x v="303"/>
    <s v="Personnel"/>
    <s v="E "/>
    <s v="Elementary Grade Group K-6"/>
    <s v="PS44E09S"/>
    <s v="TK Social Worker"/>
    <s v="09"/>
    <x v="13"/>
    <s v="44"/>
    <m/>
    <m/>
    <n v="0"/>
    <m/>
    <n v="0"/>
    <s v="TK Social Worker"/>
    <x v="13"/>
  </r>
  <r>
    <s v="00000"/>
    <x v="303"/>
    <s v="Personnel"/>
    <s v="E "/>
    <s v="Elementary Grade Group K-6"/>
    <s v="PS44ES"/>
    <s v="Elementary Social Worker"/>
    <s v="01"/>
    <x v="13"/>
    <s v="44"/>
    <m/>
    <m/>
    <n v="0"/>
    <m/>
    <n v="0"/>
    <s v="Elementary Social Worker"/>
    <x v="13"/>
  </r>
  <r>
    <s v="00000"/>
    <x v="303"/>
    <s v="Personnel"/>
    <s v="M "/>
    <s v="Middle Grade Group 7-8"/>
    <s v="PS44MS"/>
    <s v="Middle Social Worker"/>
    <s v="01"/>
    <x v="13"/>
    <s v="44"/>
    <m/>
    <m/>
    <n v="0"/>
    <m/>
    <n v="0"/>
    <s v="Middle Social Worker"/>
    <x v="13"/>
  </r>
  <r>
    <s v="00000"/>
    <x v="303"/>
    <s v="Personnel"/>
    <s v="H "/>
    <s v="High Grade Group 9-12"/>
    <s v="PS44HS"/>
    <s v="High Social Worker"/>
    <s v="01"/>
    <x v="13"/>
    <s v="44"/>
    <m/>
    <m/>
    <n v="0"/>
    <m/>
    <n v="0"/>
    <s v="High Social Worker"/>
    <x v="13"/>
  </r>
  <r>
    <s v="00000"/>
    <x v="303"/>
    <s v="Personnel"/>
    <s v="E "/>
    <s v="Elementary Grade Group K-6"/>
    <s v="PS45E21S"/>
    <s v="Elementary Speech, Language Pathway/_x000a_Audio"/>
    <n v="21"/>
    <x v="7"/>
    <s v="45"/>
    <m/>
    <m/>
    <n v="0"/>
    <m/>
    <n v="0"/>
    <s v="Elementary Speech, Language Pathway/_x000a_Audio"/>
    <x v="7"/>
  </r>
  <r>
    <s v="00000"/>
    <x v="303"/>
    <s v="Personnel"/>
    <s v="M "/>
    <s v="Middle Grade Group 7-8"/>
    <s v="PS45M21S"/>
    <s v="Middle Speech, Language Pathway/_x000a_Audio"/>
    <n v="21"/>
    <x v="7"/>
    <s v="45"/>
    <m/>
    <m/>
    <n v="0"/>
    <m/>
    <n v="0"/>
    <s v="Middle Speech, Language Pathway/_x000a_Audio"/>
    <x v="7"/>
  </r>
  <r>
    <s v="00000"/>
    <x v="303"/>
    <s v="Personnel"/>
    <s v="H "/>
    <s v="High Grade Group 9-12"/>
    <s v="PS45H21S"/>
    <s v="High Speech, Language Pathway/_x000a_Audio"/>
    <n v="21"/>
    <x v="7"/>
    <s v="45"/>
    <m/>
    <m/>
    <n v="0"/>
    <m/>
    <n v="0"/>
    <s v="High Speech, Language Pathway/_x000a_Audio"/>
    <x v="7"/>
  </r>
  <r>
    <s v="00000"/>
    <x v="303"/>
    <s v="Personnel"/>
    <s v="E "/>
    <s v="Elementary Grade Group K-6"/>
    <s v="PS45E97S"/>
    <s v="Elementary Speech, Language Pathway/_x000a_Audio"/>
    <n v="97"/>
    <x v="7"/>
    <s v="45"/>
    <m/>
    <m/>
    <n v="0"/>
    <m/>
    <n v="0"/>
    <s v="Elementary Speech, Language Pathway/_x000a_Audio"/>
    <x v="7"/>
  </r>
  <r>
    <s v="00000"/>
    <x v="303"/>
    <s v="Personnel"/>
    <s v="M "/>
    <s v="Middle Grade Group 7-8"/>
    <s v="PS45M97S"/>
    <s v="Middle Speech, Language Pathway/_x000a_Audio"/>
    <n v="97"/>
    <x v="7"/>
    <s v="45"/>
    <m/>
    <m/>
    <n v="0"/>
    <m/>
    <n v="0"/>
    <s v="Middle Speech, Language Pathway/_x000a_Audio"/>
    <x v="7"/>
  </r>
  <r>
    <s v="00000"/>
    <x v="303"/>
    <s v="Personnel"/>
    <s v="H "/>
    <s v="High Grade Group 9-12"/>
    <s v="PS45H97S"/>
    <s v="High Speech, Language Pathway/_x000a_Audio"/>
    <n v="97"/>
    <x v="7"/>
    <s v="45"/>
    <m/>
    <m/>
    <n v="0"/>
    <m/>
    <n v="0"/>
    <s v="High Speech, Language Pathway/_x000a_Audio"/>
    <x v="7"/>
  </r>
  <r>
    <s v="00000"/>
    <x v="303"/>
    <s v="Personnel"/>
    <s v="E "/>
    <s v="Elementary Grade Group K-6"/>
    <s v="PS45E09S"/>
    <s v="TK Speech, Language Pathway/_x000a_Audio"/>
    <s v="09"/>
    <x v="7"/>
    <s v="45"/>
    <m/>
    <m/>
    <n v="0"/>
    <m/>
    <n v="0"/>
    <s v="TK Speech, Language Pathway/_x000a_Audio"/>
    <x v="7"/>
  </r>
  <r>
    <s v="00000"/>
    <x v="303"/>
    <s v="Personnel"/>
    <s v="E "/>
    <s v="Elementary Grade Group K-6"/>
    <s v="PS45ES"/>
    <s v="Elementary Speech, Language Pathway/_x000a_Audio"/>
    <s v="01"/>
    <x v="7"/>
    <s v="45"/>
    <m/>
    <m/>
    <n v="0"/>
    <m/>
    <n v="0"/>
    <s v="Elementary Speech, Language Pathway/_x000a_Audio"/>
    <x v="7"/>
  </r>
  <r>
    <s v="00000"/>
    <x v="303"/>
    <s v="Personnel"/>
    <s v="M "/>
    <s v="Middle Grade Group 7-8"/>
    <s v="PS45MS"/>
    <s v="Middle Speech, Language Pathway/_x000a_Audio"/>
    <s v="01"/>
    <x v="7"/>
    <s v="45"/>
    <m/>
    <m/>
    <n v="0"/>
    <m/>
    <n v="0"/>
    <s v="Middle Speech, Language Pathway/_x000a_Audio"/>
    <x v="7"/>
  </r>
  <r>
    <s v="00000"/>
    <x v="303"/>
    <s v="Personnel"/>
    <s v="H "/>
    <s v="High Grade Group 9-12"/>
    <s v="PS45HS"/>
    <s v="High Speech, Language Pathway/_x000a_Audio"/>
    <s v="01"/>
    <x v="7"/>
    <s v="45"/>
    <m/>
    <m/>
    <n v="0"/>
    <m/>
    <n v="0"/>
    <s v="High Speech, Language Pathway/_x000a_Audio"/>
    <x v="7"/>
  </r>
  <r>
    <s v="00000"/>
    <x v="303"/>
    <s v="Personnel"/>
    <s v="E "/>
    <s v="Elementary Grade Group K-6"/>
    <s v="PS46E21S"/>
    <s v="Elementary Psycho-logist"/>
    <n v="21"/>
    <x v="8"/>
    <s v="46"/>
    <m/>
    <m/>
    <n v="0"/>
    <m/>
    <n v="0"/>
    <s v="Elementary Psychologist"/>
    <x v="8"/>
  </r>
  <r>
    <s v="00000"/>
    <x v="303"/>
    <s v="Personnel"/>
    <s v="M "/>
    <s v="Middle Grade Group 7-8"/>
    <s v="PS46M21S"/>
    <s v="Middle Psycho-logist"/>
    <n v="21"/>
    <x v="8"/>
    <s v="46"/>
    <m/>
    <m/>
    <n v="0"/>
    <m/>
    <n v="0"/>
    <s v="Middle Psychologist"/>
    <x v="8"/>
  </r>
  <r>
    <s v="00000"/>
    <x v="303"/>
    <s v="Personnel"/>
    <s v="H "/>
    <s v="High Grade Group 9-12"/>
    <s v="PS46H21S"/>
    <s v="High Psycho-logist"/>
    <n v="21"/>
    <x v="8"/>
    <s v="46"/>
    <m/>
    <m/>
    <n v="0"/>
    <m/>
    <n v="0"/>
    <s v="High Psychologist"/>
    <x v="8"/>
  </r>
  <r>
    <s v="00000"/>
    <x v="303"/>
    <s v="Personnel"/>
    <s v="E "/>
    <s v="Elementary Grade Group K-6"/>
    <s v="PS46E97S"/>
    <s v="Elementary Psycho-logist"/>
    <n v="97"/>
    <x v="8"/>
    <s v="46"/>
    <m/>
    <m/>
    <n v="0"/>
    <m/>
    <n v="0"/>
    <s v="Elementary Psychologist"/>
    <x v="8"/>
  </r>
  <r>
    <s v="00000"/>
    <x v="303"/>
    <s v="Personnel"/>
    <s v="M "/>
    <s v="Middle Grade Group 7-8"/>
    <s v="PS46M97S"/>
    <s v="Middle Psycho-logist"/>
    <n v="97"/>
    <x v="8"/>
    <s v="46"/>
    <m/>
    <m/>
    <n v="0"/>
    <m/>
    <n v="0"/>
    <s v="Middle Psychologist"/>
    <x v="8"/>
  </r>
  <r>
    <s v="00000"/>
    <x v="303"/>
    <s v="Personnel"/>
    <s v="H "/>
    <s v="High Grade Group 9-12"/>
    <s v="PS46H97S"/>
    <s v="High Psycho-logist"/>
    <n v="97"/>
    <x v="8"/>
    <s v="46"/>
    <m/>
    <m/>
    <n v="0"/>
    <m/>
    <n v="0"/>
    <s v="High Psychologist"/>
    <x v="8"/>
  </r>
  <r>
    <s v="00000"/>
    <x v="303"/>
    <s v="Personnel"/>
    <s v="E "/>
    <s v="Elementary Grade Group K-6"/>
    <s v="PS46E09S"/>
    <s v="TK Psycho-logist"/>
    <s v="09"/>
    <x v="8"/>
    <s v="46"/>
    <m/>
    <m/>
    <n v="0"/>
    <m/>
    <n v="0"/>
    <s v="TK Psychologist"/>
    <x v="8"/>
  </r>
  <r>
    <s v="00000"/>
    <x v="303"/>
    <s v="Personnel"/>
    <s v="E "/>
    <s v="Elementary Grade Group K-6"/>
    <s v="PS46ES"/>
    <s v="Elementary Psycho-logist"/>
    <s v="01"/>
    <x v="8"/>
    <s v="46"/>
    <m/>
    <m/>
    <n v="0"/>
    <m/>
    <n v="0"/>
    <s v="Elementary Psychologist"/>
    <x v="8"/>
  </r>
  <r>
    <s v="00000"/>
    <x v="303"/>
    <s v="Personnel"/>
    <s v="M "/>
    <s v="Middle Grade Group 7-8"/>
    <s v="PS46MS"/>
    <s v="Middle Psycho-logist"/>
    <s v="01"/>
    <x v="8"/>
    <s v="46"/>
    <m/>
    <m/>
    <n v="0"/>
    <m/>
    <n v="0"/>
    <s v="Middle Psychologist"/>
    <x v="8"/>
  </r>
  <r>
    <s v="00000"/>
    <x v="303"/>
    <s v="Personnel"/>
    <s v="H "/>
    <s v="High Grade Group 9-12"/>
    <s v="PS46HS"/>
    <s v="High Psycho-logist"/>
    <s v="01"/>
    <x v="8"/>
    <s v="46"/>
    <m/>
    <m/>
    <n v="0"/>
    <m/>
    <n v="0"/>
    <s v="High Psychologist"/>
    <x v="8"/>
  </r>
  <r>
    <s v="00000"/>
    <x v="303"/>
    <s v="Personnel"/>
    <s v="E "/>
    <s v="Elementary Grade Group K-6"/>
    <s v="PS47E21S"/>
    <s v="Elementary Nurse"/>
    <n v="21"/>
    <x v="9"/>
    <s v="47"/>
    <m/>
    <m/>
    <n v="0"/>
    <m/>
    <n v="0"/>
    <s v="Elementary Nurse"/>
    <x v="9"/>
  </r>
  <r>
    <s v="00000"/>
    <x v="303"/>
    <s v="Personnel"/>
    <s v="M "/>
    <s v="Middle Grade Group 7-8"/>
    <s v="PS47M21S"/>
    <s v="Middle Nurse"/>
    <n v="21"/>
    <x v="9"/>
    <s v="47"/>
    <m/>
    <m/>
    <n v="0"/>
    <m/>
    <n v="0"/>
    <s v="Middle Nurse"/>
    <x v="9"/>
  </r>
  <r>
    <s v="00000"/>
    <x v="303"/>
    <s v="Personnel"/>
    <s v="H "/>
    <s v="High Grade Group 9-12"/>
    <s v="PS47H21S"/>
    <s v="PSES High Prog21Duty47 S275"/>
    <n v="21"/>
    <x v="9"/>
    <s v="47"/>
    <m/>
    <m/>
    <n v="0"/>
    <m/>
    <n v="0"/>
    <s v="High Nurse"/>
    <x v="9"/>
  </r>
  <r>
    <s v="00000"/>
    <x v="303"/>
    <s v="Personnel"/>
    <s v="E "/>
    <s v="Elementary Grade Group K-6"/>
    <s v="PS47E97S"/>
    <s v="Elementary Nurse"/>
    <n v="97"/>
    <x v="9"/>
    <s v="47"/>
    <m/>
    <m/>
    <n v="0"/>
    <m/>
    <n v="0"/>
    <s v="Elementary Nurse"/>
    <x v="9"/>
  </r>
  <r>
    <s v="00000"/>
    <x v="303"/>
    <s v="Personnel"/>
    <s v="M "/>
    <s v="Middle Grade Group 7-8"/>
    <s v="PS47M97S"/>
    <s v="Middle Nurse"/>
    <n v="97"/>
    <x v="9"/>
    <s v="47"/>
    <m/>
    <m/>
    <n v="0"/>
    <m/>
    <n v="0"/>
    <s v="Middle Nurse"/>
    <x v="9"/>
  </r>
  <r>
    <s v="00000"/>
    <x v="303"/>
    <s v="Personnel"/>
    <s v="H "/>
    <s v="High Grade Group 9-12"/>
    <s v="PS47H97S"/>
    <s v="High Nurse"/>
    <n v="97"/>
    <x v="9"/>
    <s v="47"/>
    <m/>
    <m/>
    <n v="0"/>
    <m/>
    <n v="0"/>
    <s v="High Nurse"/>
    <x v="9"/>
  </r>
  <r>
    <s v="00000"/>
    <x v="303"/>
    <s v="Personnel"/>
    <s v="E "/>
    <s v="Elementary Grade Group K-6"/>
    <s v="PS47E09S"/>
    <s v="TK Nurse"/>
    <s v="09"/>
    <x v="9"/>
    <s v="47"/>
    <m/>
    <m/>
    <n v="0"/>
    <m/>
    <n v="0"/>
    <s v="TK Nurse"/>
    <x v="9"/>
  </r>
  <r>
    <s v="00000"/>
    <x v="303"/>
    <s v="Personnel"/>
    <s v="E "/>
    <s v="Elementary Grade Group K-6"/>
    <s v="PS47ES"/>
    <s v="PSES Elem Prog01Duty47 S275"/>
    <s v="01"/>
    <x v="9"/>
    <s v="47"/>
    <m/>
    <m/>
    <n v="0"/>
    <m/>
    <n v="0"/>
    <s v="Elementary Nurse"/>
    <x v="9"/>
  </r>
  <r>
    <s v="00000"/>
    <x v="303"/>
    <s v="Personnel"/>
    <s v="M "/>
    <s v="Middle Grade Group 7-8"/>
    <s v="PS47MS"/>
    <s v="PSES Mid Prog01Duty47 S275"/>
    <s v="01"/>
    <x v="9"/>
    <s v="47"/>
    <m/>
    <m/>
    <n v="0"/>
    <m/>
    <n v="0"/>
    <s v="Middle Nurse"/>
    <x v="9"/>
  </r>
  <r>
    <s v="00000"/>
    <x v="303"/>
    <s v="Personnel"/>
    <s v="H "/>
    <s v="High Grade Group 9-12"/>
    <s v="PS47HS"/>
    <s v="PSES High Prog01Duty47 S275"/>
    <s v="01"/>
    <x v="9"/>
    <s v="47"/>
    <m/>
    <m/>
    <n v="0"/>
    <m/>
    <n v="0"/>
    <s v="High Nurse"/>
    <x v="9"/>
  </r>
  <r>
    <s v="00000"/>
    <x v="303"/>
    <s v="Personnel"/>
    <s v="E "/>
    <s v="Elementary Grade Group K-6"/>
    <s v="PS48E21S"/>
    <s v="PSES Elem Prog21Duty48 S275"/>
    <n v="21"/>
    <x v="11"/>
    <s v="48"/>
    <m/>
    <m/>
    <n v="0"/>
    <m/>
    <n v="0"/>
    <s v="Elementary Physical Therapist"/>
    <x v="11"/>
  </r>
  <r>
    <s v="00000"/>
    <x v="303"/>
    <s v="Personnel"/>
    <s v="M "/>
    <s v="Middle Grade Group 7-8"/>
    <s v="PS48M21S"/>
    <s v="PSES Mid Prog21Duty48 S275"/>
    <n v="21"/>
    <x v="11"/>
    <s v="48"/>
    <m/>
    <m/>
    <n v="0"/>
    <m/>
    <n v="0"/>
    <s v="Middle Physical Therapist"/>
    <x v="11"/>
  </r>
  <r>
    <s v="00000"/>
    <x v="303"/>
    <s v="Personnel"/>
    <s v="H "/>
    <s v="High Grade Group 9-12"/>
    <s v="PS48H21S"/>
    <s v="PSES High Prog21Duty48 S275"/>
    <n v="21"/>
    <x v="11"/>
    <s v="48"/>
    <m/>
    <m/>
    <n v="0"/>
    <m/>
    <n v="0"/>
    <s v="High Physical Therapist"/>
    <x v="11"/>
  </r>
  <r>
    <s v="00000"/>
    <x v="303"/>
    <s v="Personnel"/>
    <s v="E "/>
    <s v="Elementary Grade Group K-6"/>
    <s v="PS48E97S"/>
    <s v="Elementary Physical Therapist"/>
    <n v="97"/>
    <x v="11"/>
    <s v="48"/>
    <m/>
    <m/>
    <n v="0"/>
    <m/>
    <n v="0"/>
    <s v="Elementary Physical Therapist"/>
    <x v="11"/>
  </r>
  <r>
    <s v="00000"/>
    <x v="303"/>
    <s v="Personnel"/>
    <s v="M "/>
    <s v="Middle Grade Group 7-8"/>
    <s v="PS48M97S"/>
    <s v="Middle Physical Therapist"/>
    <n v="97"/>
    <x v="11"/>
    <s v="48"/>
    <m/>
    <m/>
    <n v="0"/>
    <m/>
    <n v="0"/>
    <s v="Middle Physical Therapist"/>
    <x v="11"/>
  </r>
  <r>
    <s v="00000"/>
    <x v="303"/>
    <s v="Personnel"/>
    <s v="H "/>
    <s v="High Grade Group 9-12"/>
    <s v="PS48H97S"/>
    <s v="High Physical Therapist"/>
    <n v="97"/>
    <x v="11"/>
    <s v="48"/>
    <m/>
    <m/>
    <n v="0"/>
    <m/>
    <n v="0"/>
    <s v="High Physical Therapist"/>
    <x v="11"/>
  </r>
  <r>
    <s v="00000"/>
    <x v="303"/>
    <s v="Personnel"/>
    <s v="E "/>
    <s v="Elementary Grade Group K-6"/>
    <s v="PS48E09S"/>
    <s v="TK Physical Therapist"/>
    <s v="09"/>
    <x v="11"/>
    <s v="48"/>
    <m/>
    <m/>
    <n v="0"/>
    <m/>
    <n v="0"/>
    <s v="TK Physical Therapist"/>
    <x v="11"/>
  </r>
  <r>
    <s v="00000"/>
    <x v="303"/>
    <s v="Personnel"/>
    <s v="E "/>
    <s v="Elementary Grade Group K-6"/>
    <s v="PS48ES"/>
    <s v="PSES Elem Prog01Duty48 S275"/>
    <s v="01"/>
    <x v="11"/>
    <s v="48"/>
    <m/>
    <m/>
    <n v="0"/>
    <m/>
    <n v="0"/>
    <s v="Elementary Physical Therapist"/>
    <x v="11"/>
  </r>
  <r>
    <s v="00000"/>
    <x v="303"/>
    <s v="Personnel"/>
    <s v="M "/>
    <s v="Middle Grade Group 7-8"/>
    <s v="PS48MS"/>
    <s v="PSES Mid Prog01Duty48 S275"/>
    <s v="01"/>
    <x v="11"/>
    <s v="48"/>
    <m/>
    <m/>
    <n v="0"/>
    <m/>
    <n v="0"/>
    <s v="Middle Physical Therapist"/>
    <x v="11"/>
  </r>
  <r>
    <s v="00000"/>
    <x v="303"/>
    <s v="Personnel"/>
    <s v="H "/>
    <s v="High Grade Group 9-12"/>
    <s v="PS48HS"/>
    <s v="PSES High Prog01Duty48 S275"/>
    <s v="01"/>
    <x v="11"/>
    <s v="48"/>
    <m/>
    <m/>
    <n v="0"/>
    <m/>
    <n v="0"/>
    <s v="High Physical Therapist"/>
    <x v="11"/>
  </r>
  <r>
    <s v="00000"/>
    <x v="303"/>
    <s v="Personnel"/>
    <s v="E "/>
    <s v="Elementary Grade Group K-6"/>
    <s v="PS49E21S"/>
    <s v="PSES Elem Prog21Duty49 S275"/>
    <n v="21"/>
    <x v="10"/>
    <s v="49"/>
    <m/>
    <m/>
    <n v="0"/>
    <m/>
    <n v="0"/>
    <s v="Elementary Behavior Analyst"/>
    <x v="10"/>
  </r>
  <r>
    <s v="00000"/>
    <x v="303"/>
    <s v="Personnel"/>
    <s v="M "/>
    <s v="Middle Grade Group 7-8"/>
    <s v="PS49M21S"/>
    <s v="PSES Mid Prog21Duty49 S275"/>
    <n v="21"/>
    <x v="10"/>
    <s v="49"/>
    <m/>
    <m/>
    <n v="0"/>
    <m/>
    <n v="0"/>
    <s v="Middle Behavior Analyst"/>
    <x v="10"/>
  </r>
  <r>
    <s v="00000"/>
    <x v="303"/>
    <s v="Personnel"/>
    <s v="H "/>
    <s v="High Grade Group 9-12"/>
    <s v="PS49H21S"/>
    <s v="PSES High Prog21Duty49 S275"/>
    <n v="21"/>
    <x v="10"/>
    <s v="49"/>
    <m/>
    <m/>
    <n v="0"/>
    <m/>
    <n v="0"/>
    <s v="High Behavior Analyst"/>
    <x v="10"/>
  </r>
  <r>
    <s v="00000"/>
    <x v="303"/>
    <s v="Personnel"/>
    <s v="E "/>
    <s v="Elementary Grade Group K-6"/>
    <s v="PS49E97S"/>
    <s v="Elementary Behavior Analyst"/>
    <n v="97"/>
    <x v="10"/>
    <s v="49"/>
    <m/>
    <m/>
    <n v="0"/>
    <m/>
    <n v="0"/>
    <s v="Elementary Behavior Analyst"/>
    <x v="10"/>
  </r>
  <r>
    <s v="00000"/>
    <x v="303"/>
    <s v="Personnel"/>
    <s v="M "/>
    <s v="Middle Grade Group 7-8"/>
    <s v="PS49M97S"/>
    <s v="Middle Behavior Analyst"/>
    <n v="97"/>
    <x v="10"/>
    <s v="49"/>
    <m/>
    <m/>
    <n v="0"/>
    <m/>
    <n v="0"/>
    <s v="Middle Behavior Analyst"/>
    <x v="10"/>
  </r>
  <r>
    <s v="00000"/>
    <x v="303"/>
    <s v="Personnel"/>
    <s v="H "/>
    <s v="High Grade Group 9-12"/>
    <s v="PS49H97S"/>
    <s v="High Behavior Analyst"/>
    <n v="97"/>
    <x v="10"/>
    <s v="49"/>
    <m/>
    <m/>
    <n v="0"/>
    <m/>
    <n v="0"/>
    <s v="High Behavior Analyst"/>
    <x v="10"/>
  </r>
  <r>
    <s v="00000"/>
    <x v="303"/>
    <s v="Personnel"/>
    <s v="E "/>
    <s v="Elementary Grade Group K-6"/>
    <s v="PS49E09S"/>
    <s v="TK Behavior Analyst"/>
    <s v="09"/>
    <x v="10"/>
    <s v="49"/>
    <m/>
    <m/>
    <n v="0"/>
    <m/>
    <n v="0"/>
    <s v="TK Behavior Analyst"/>
    <x v="10"/>
  </r>
  <r>
    <s v="00000"/>
    <x v="303"/>
    <s v="Personnel"/>
    <s v="E "/>
    <s v="Elementary Grade Group K-6"/>
    <s v="PS49ES"/>
    <s v="PSES Elem Prog01Duty49 S275"/>
    <s v="01"/>
    <x v="10"/>
    <s v="49"/>
    <m/>
    <m/>
    <n v="0"/>
    <m/>
    <n v="0"/>
    <s v="Elementary Behavior Analyst"/>
    <x v="10"/>
  </r>
  <r>
    <s v="00000"/>
    <x v="303"/>
    <s v="Personnel"/>
    <s v="M "/>
    <s v="Middle Grade Group 7-8"/>
    <s v="PS49MS"/>
    <s v="Middle Behavior Analyst"/>
    <s v="01"/>
    <x v="10"/>
    <s v="49"/>
    <m/>
    <m/>
    <n v="0"/>
    <m/>
    <n v="0"/>
    <s v="Middle Behavior Analyst"/>
    <x v="10"/>
  </r>
  <r>
    <s v="00000"/>
    <x v="303"/>
    <s v="Personnel"/>
    <s v="H "/>
    <s v="High Grade Group 9-12"/>
    <s v="PS49HS"/>
    <s v="PSES High Prog01Duty49 S275"/>
    <s v="01"/>
    <x v="10"/>
    <s v="49"/>
    <m/>
    <m/>
    <n v="0"/>
    <m/>
    <n v="0"/>
    <s v="High Behavior Analyst"/>
    <x v="10"/>
  </r>
  <r>
    <s v="00000"/>
    <x v="303"/>
    <s v="Personnel"/>
    <s v="E "/>
    <s v="Elementary Grade Group K-6"/>
    <s v="PS64E21S"/>
    <s v="PSES Elem Prog21Duty64 S275"/>
    <n v="21"/>
    <x v="12"/>
    <s v="64"/>
    <m/>
    <m/>
    <n v="0"/>
    <m/>
    <n v="0"/>
    <s v="Elementary Contractor ESA"/>
    <x v="12"/>
  </r>
  <r>
    <s v="00000"/>
    <x v="303"/>
    <s v="Personnel"/>
    <s v="M "/>
    <s v="Middle Grade Group 7-8"/>
    <s v="PS64M21S"/>
    <s v="PSES Mid Prog21Duty64 S275"/>
    <n v="21"/>
    <x v="12"/>
    <s v="64"/>
    <m/>
    <m/>
    <n v="0"/>
    <m/>
    <n v="0"/>
    <s v="Middle Contractor ESA"/>
    <x v="12"/>
  </r>
  <r>
    <s v="00000"/>
    <x v="303"/>
    <s v="Personnel"/>
    <s v="H "/>
    <s v="High Grade Group 9-12"/>
    <s v="PS64H21S"/>
    <s v="PSES High Prog21Duty64 S275"/>
    <n v="21"/>
    <x v="12"/>
    <s v="64"/>
    <m/>
    <m/>
    <n v="0"/>
    <m/>
    <n v="0"/>
    <s v="High Contractor ESA"/>
    <x v="12"/>
  </r>
  <r>
    <s v="00000"/>
    <x v="303"/>
    <s v="Personnel"/>
    <s v="E "/>
    <s v="Elementary Grade Group K-6"/>
    <s v="PS64E97S"/>
    <s v="Elementary Contractor ESA"/>
    <n v="97"/>
    <x v="12"/>
    <s v="64"/>
    <m/>
    <m/>
    <n v="0"/>
    <m/>
    <n v="0"/>
    <s v="Elementary Contractor ESA"/>
    <x v="12"/>
  </r>
  <r>
    <s v="00000"/>
    <x v="303"/>
    <s v="Personnel"/>
    <s v="M "/>
    <s v="Middle Grade Group 7-8"/>
    <s v="PS64M97S"/>
    <s v="Middle Contractor ESA"/>
    <n v="97"/>
    <x v="12"/>
    <s v="64"/>
    <m/>
    <m/>
    <n v="0"/>
    <m/>
    <n v="0"/>
    <s v="Middle Contractor ESA"/>
    <x v="12"/>
  </r>
  <r>
    <s v="00000"/>
    <x v="303"/>
    <s v="Personnel"/>
    <s v="H "/>
    <s v="High Grade Group 9-12"/>
    <s v="PS64H97S"/>
    <s v="High Contractor ESA"/>
    <n v="97"/>
    <x v="12"/>
    <s v="64"/>
    <m/>
    <m/>
    <n v="0"/>
    <m/>
    <n v="0"/>
    <s v="High Contractor ESA"/>
    <x v="12"/>
  </r>
  <r>
    <s v="00000"/>
    <x v="303"/>
    <s v="Personnel"/>
    <s v="E "/>
    <s v="Elementary Grade Group K-6"/>
    <s v="PS64E09S"/>
    <s v="TK Contractor ESA"/>
    <s v="09"/>
    <x v="12"/>
    <s v="64"/>
    <m/>
    <m/>
    <n v="0"/>
    <m/>
    <n v="0"/>
    <s v="TK Contractor ESA"/>
    <x v="12"/>
  </r>
  <r>
    <s v="00000"/>
    <x v="303"/>
    <s v="Personnel"/>
    <s v="E "/>
    <s v="Elementary Grade Group K-6"/>
    <s v="PS64ES"/>
    <s v="PSES Elem Prog01Duty64 S275"/>
    <s v="01"/>
    <x v="12"/>
    <s v="64"/>
    <m/>
    <m/>
    <n v="0"/>
    <m/>
    <n v="0"/>
    <s v="Elementary Contractor ESA"/>
    <x v="12"/>
  </r>
  <r>
    <s v="00000"/>
    <x v="303"/>
    <s v="Personnel"/>
    <s v="M "/>
    <s v="Middle Grade Group 7-8"/>
    <s v="PS64MS"/>
    <s v="PSES Mid Prog01Duty64 S275"/>
    <s v="01"/>
    <x v="12"/>
    <s v="64"/>
    <m/>
    <m/>
    <n v="0"/>
    <m/>
    <n v="0"/>
    <s v="Middle Contractor ESA"/>
    <x v="12"/>
  </r>
  <r>
    <s v="00000"/>
    <x v="303"/>
    <s v="Personnel"/>
    <s v="H "/>
    <s v="High Grade Group 9-12"/>
    <s v="PS64HS"/>
    <s v="PSES High Prog01Duty64 S275"/>
    <s v="01"/>
    <x v="12"/>
    <s v="64"/>
    <m/>
    <m/>
    <n v="0"/>
    <m/>
    <n v="0"/>
    <s v="High Contractor ESA"/>
    <x v="12"/>
  </r>
  <r>
    <m/>
    <x v="304"/>
    <m/>
    <m/>
    <m/>
    <m/>
    <m/>
    <m/>
    <x v="14"/>
    <m/>
    <m/>
    <m/>
    <m/>
    <m/>
    <m/>
    <m/>
    <x v="14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3">
  <r>
    <x v="0"/>
    <s v="Freeman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"/>
    <n v="0"/>
    <n v="0"/>
    <n v="0"/>
    <n v="0"/>
    <n v="0"/>
    <n v="0"/>
    <n v="0"/>
    <n v="0"/>
    <n v="0"/>
    <n v="0"/>
    <n v="0"/>
    <n v="0"/>
    <n v="0"/>
    <n v="0.2"/>
    <n v="0"/>
    <n v="0"/>
    <n v="0"/>
    <n v="0"/>
    <n v="0"/>
    <n v="0"/>
    <n v="0"/>
    <n v="0"/>
    <n v="0"/>
    <n v="0"/>
    <n v="0"/>
    <n v="0"/>
    <n v="0"/>
    <n v="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North Franklin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099999999999995"/>
    <n v="0"/>
    <n v="1.667"/>
    <n v="0.57099999999999995"/>
    <n v="0.57099999999999995"/>
    <n v="0.57099999999999995"/>
    <n v="0"/>
    <n v="0"/>
    <n v="0"/>
    <n v="0"/>
    <n v="1"/>
    <n v="0"/>
    <n v="0"/>
    <n v="0"/>
    <n v="0.14299999999999999"/>
    <n v="0"/>
    <n v="0"/>
    <n v="0.14299999999999999"/>
    <n v="0.14299999999999999"/>
    <n v="0.14299999999999999"/>
    <n v="0"/>
    <n v="0"/>
    <n v="0"/>
    <n v="0"/>
    <n v="0"/>
    <n v="0"/>
    <n v="0"/>
    <n v="0"/>
    <n v="0.28599999999999998"/>
    <n v="0"/>
    <n v="0.33300000000000002"/>
    <n v="0.28599999999999998"/>
    <n v="0.28599999999999998"/>
    <n v="0.28599999999999998"/>
    <n v="0"/>
    <n v="0"/>
    <n v="0"/>
    <n v="0"/>
    <n v="0"/>
    <n v="0"/>
  </r>
  <r>
    <x v="2"/>
    <s v="West Valley (Yak)"/>
    <m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950000000000001"/>
    <n v="0"/>
    <n v="0"/>
    <n v="0"/>
    <n v="0"/>
    <n v="0"/>
    <n v="0"/>
    <n v="0"/>
    <n v="0"/>
    <n v="0"/>
    <n v="0"/>
    <n v="0"/>
    <n v="0"/>
    <n v="0"/>
    <n v="1.4950000000000001"/>
    <n v="0"/>
    <n v="0"/>
    <n v="0"/>
    <n v="0"/>
    <n v="0"/>
    <n v="0"/>
    <n v="0"/>
    <n v="0"/>
    <n v="0"/>
    <n v="0"/>
    <n v="0"/>
    <n v="0"/>
    <n v="0"/>
    <n v="1.4950000000000001"/>
    <n v="0"/>
    <n v="0"/>
    <n v="0"/>
    <n v="0"/>
  </r>
  <r>
    <x v="3"/>
    <s v="Colfax"/>
    <m/>
    <n v="0"/>
    <n v="0"/>
    <n v="0"/>
    <n v="0"/>
    <n v="0"/>
    <n v="0"/>
    <n v="0.65"/>
    <n v="0"/>
    <n v="0"/>
    <n v="0"/>
    <n v="0"/>
    <n v="0"/>
    <n v="0"/>
    <n v="0"/>
    <n v="0"/>
    <n v="0.33"/>
    <n v="0"/>
    <n v="0"/>
    <n v="0"/>
    <n v="0"/>
    <n v="0.18"/>
    <n v="0"/>
    <n v="0"/>
    <n v="0"/>
    <n v="0"/>
    <n v="0"/>
    <n v="0"/>
    <n v="0"/>
    <n v="0"/>
    <n v="0.67"/>
    <n v="0"/>
    <n v="0"/>
    <n v="0"/>
    <n v="0"/>
    <n v="0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000000000000001"/>
    <n v="0"/>
    <n v="0"/>
    <n v="0.24"/>
    <n v="0"/>
    <n v="0.06"/>
    <n v="0"/>
    <n v="0"/>
    <n v="0"/>
    <n v="0"/>
    <n v="0"/>
    <n v="0"/>
    <n v="0"/>
    <n v="0"/>
    <n v="0.02"/>
    <n v="0"/>
    <n v="0"/>
    <n v="0.08"/>
    <n v="0"/>
    <n v="0"/>
    <n v="0"/>
    <n v="0"/>
    <n v="0"/>
    <n v="0"/>
    <n v="0"/>
    <n v="0"/>
    <n v="0"/>
    <n v="0"/>
    <n v="0.06"/>
    <n v="0"/>
    <n v="0"/>
    <n v="0.19"/>
    <n v="0"/>
    <n v="0.04"/>
    <n v="0"/>
    <n v="0"/>
    <n v="0"/>
    <n v="0"/>
    <n v="0"/>
    <n v="0"/>
  </r>
  <r>
    <x v="4"/>
    <s v="Northport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8"/>
    <n v="0.02"/>
    <n v="0"/>
    <n v="0.08"/>
    <n v="0"/>
    <n v="0"/>
    <n v="0"/>
    <n v="0"/>
    <n v="0"/>
    <n v="0"/>
    <n v="0"/>
    <n v="0"/>
    <n v="0"/>
    <n v="0"/>
    <n v="0.08"/>
    <n v="0.02"/>
    <n v="0"/>
    <n v="0.08"/>
    <n v="0"/>
    <n v="0"/>
    <n v="0"/>
    <n v="0"/>
    <n v="0"/>
    <n v="0"/>
    <n v="0"/>
    <n v="0"/>
    <n v="0"/>
    <n v="0"/>
    <n v="0.08"/>
    <n v="0.02"/>
    <n v="0"/>
    <n v="0.08"/>
    <n v="0"/>
    <n v="0"/>
    <n v="0"/>
    <n v="0"/>
    <n v="0"/>
    <n v="0"/>
    <n v="0"/>
    <n v="0"/>
    <n v="0"/>
  </r>
  <r>
    <x v="5"/>
    <s v="Morton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"/>
    <n v="0"/>
    <n v="0.6"/>
    <n v="0"/>
    <n v="0"/>
    <n v="0.2"/>
    <n v="0"/>
    <n v="0"/>
    <n v="0"/>
    <n v="0"/>
    <n v="0"/>
    <n v="0"/>
    <n v="0"/>
    <n v="0"/>
    <n v="0"/>
    <n v="0"/>
    <n v="0.2"/>
    <n v="0"/>
    <n v="0"/>
    <n v="0"/>
    <n v="0"/>
    <n v="0"/>
    <n v="0"/>
    <n v="0"/>
    <n v="0"/>
    <n v="0"/>
    <n v="0"/>
    <n v="0"/>
    <n v="0.14000000000000001"/>
    <n v="0"/>
    <n v="0.4"/>
    <n v="0"/>
    <n v="0"/>
    <n v="0"/>
    <n v="0"/>
    <n v="0"/>
    <n v="0"/>
    <n v="0"/>
    <n v="0"/>
    <n v="0"/>
  </r>
  <r>
    <x v="6"/>
    <s v="Pioneer"/>
    <m/>
    <n v="0"/>
    <n v="0"/>
    <n v="0"/>
    <n v="0"/>
    <n v="0"/>
    <n v="0"/>
    <n v="0.46"/>
    <n v="0"/>
    <n v="0"/>
    <n v="0"/>
    <n v="0"/>
    <n v="0"/>
    <n v="0"/>
    <n v="0"/>
    <n v="0"/>
    <n v="0"/>
    <n v="0"/>
    <n v="0"/>
    <n v="0"/>
    <n v="0"/>
    <n v="0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0"/>
    <n v="1"/>
    <n v="0.66"/>
    <n v="0"/>
    <n v="0.125"/>
    <n v="0"/>
    <n v="0"/>
    <n v="0"/>
    <n v="0.46"/>
    <n v="0"/>
    <n v="0"/>
    <n v="0"/>
    <n v="0"/>
    <n v="0.34"/>
    <n v="0"/>
    <n v="0.7"/>
    <n v="0.34"/>
    <n v="0"/>
    <n v="0.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7"/>
    <s v="Ridgefield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8"/>
    <s v="Mary M Knight"/>
    <m/>
    <n v="0"/>
    <n v="0"/>
    <n v="0"/>
    <n v="0"/>
    <n v="0"/>
    <n v="0"/>
    <n v="0"/>
    <n v="0"/>
    <n v="0"/>
    <n v="0"/>
    <n v="0"/>
    <n v="0"/>
    <n v="0.25"/>
    <n v="0"/>
    <n v="0"/>
    <n v="0"/>
    <n v="0"/>
    <n v="0"/>
    <n v="0"/>
    <n v="0"/>
    <n v="0"/>
    <n v="0"/>
    <n v="0"/>
    <n v="0"/>
    <n v="0"/>
    <n v="0"/>
    <n v="9.2999999999999999E-2"/>
    <n v="0"/>
    <n v="0"/>
    <n v="0"/>
    <n v="0"/>
    <n v="0"/>
    <n v="0"/>
    <n v="0"/>
    <n v="0"/>
    <n v="0"/>
    <n v="0"/>
    <n v="0"/>
    <n v="0"/>
    <n v="0"/>
    <n v="0.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9"/>
    <s v="Toledo"/>
    <m/>
    <n v="0"/>
    <n v="0"/>
    <n v="0"/>
    <n v="0"/>
    <n v="0"/>
    <n v="0"/>
    <n v="0.27"/>
    <n v="0"/>
    <n v="0"/>
    <n v="0"/>
    <n v="0"/>
    <n v="0.32"/>
    <n v="0"/>
    <n v="0"/>
    <n v="0"/>
    <n v="0"/>
    <n v="0"/>
    <n v="0"/>
    <n v="0"/>
    <n v="0"/>
    <n v="0.27"/>
    <n v="0"/>
    <n v="0"/>
    <n v="0"/>
    <n v="0"/>
    <n v="0.32"/>
    <n v="0"/>
    <n v="0"/>
    <n v="0"/>
    <n v="0"/>
    <n v="0"/>
    <n v="0"/>
    <n v="0"/>
    <n v="0"/>
    <n v="0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0"/>
    <n v="0.7"/>
    <n v="0.6"/>
    <n v="0"/>
    <n v="0.25"/>
    <n v="0"/>
    <n v="0"/>
    <n v="0"/>
    <n v="0.16"/>
    <n v="0"/>
    <n v="0"/>
    <n v="0"/>
    <n v="0"/>
    <n v="0.3"/>
    <n v="0"/>
    <n v="0.35"/>
    <n v="0.15"/>
    <n v="0"/>
    <n v="0"/>
    <n v="0"/>
    <n v="0"/>
    <n v="0"/>
    <n v="0.16"/>
    <n v="0"/>
    <n v="0"/>
    <n v="0"/>
    <n v="0"/>
    <n v="0.3"/>
    <n v="0"/>
    <n v="0.35"/>
    <n v="0.25"/>
    <n v="0"/>
    <n v="0"/>
    <n v="0"/>
    <n v="0"/>
    <n v="0"/>
    <n v="0.16"/>
    <n v="0"/>
    <n v="0"/>
  </r>
  <r>
    <x v="10"/>
    <s v="Washtucna"/>
    <m/>
    <n v="0"/>
    <n v="6.0999999999999999E-2"/>
    <n v="0"/>
    <n v="0"/>
    <n v="0"/>
    <n v="0"/>
    <n v="4.9000000000000002E-2"/>
    <n v="0"/>
    <n v="0"/>
    <n v="0"/>
    <n v="0"/>
    <n v="0"/>
    <n v="0"/>
    <n v="0"/>
    <n v="0"/>
    <n v="6.0999999999999999E-2"/>
    <n v="0"/>
    <n v="0"/>
    <n v="0"/>
    <n v="0"/>
    <n v="4.9000000000000002E-2"/>
    <n v="0"/>
    <n v="0"/>
    <n v="0"/>
    <n v="0"/>
    <n v="0"/>
    <n v="4.9000000000000002E-2"/>
    <n v="0"/>
    <n v="0"/>
    <n v="6.099999999999999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000000000000001E-2"/>
    <n v="0"/>
    <n v="3.2000000000000001E-2"/>
    <n v="0.01"/>
    <n v="0"/>
    <n v="0"/>
    <n v="0"/>
    <n v="0"/>
    <n v="0"/>
    <n v="0"/>
    <n v="0"/>
    <n v="0"/>
    <n v="0"/>
    <n v="0"/>
    <n v="0"/>
    <n v="0"/>
    <n v="3.1E-2"/>
    <n v="8.9999999999999993E-3"/>
    <n v="0"/>
    <n v="0"/>
    <n v="0"/>
    <n v="0"/>
    <n v="0"/>
    <n v="0"/>
    <n v="0"/>
    <n v="0"/>
    <n v="0"/>
    <n v="0"/>
    <n v="0"/>
    <n v="0"/>
    <n v="3.1E-2"/>
    <n v="8.9999999999999993E-3"/>
    <n v="0"/>
    <n v="0"/>
    <n v="0"/>
    <n v="0"/>
    <n v="0"/>
    <n v="0"/>
    <n v="0"/>
    <n v="0"/>
  </r>
  <r>
    <x v="11"/>
    <s v="Union Gap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000000000000003E-2"/>
    <n v="0"/>
    <n v="0"/>
    <n v="0"/>
    <n v="0"/>
    <n v="0"/>
    <n v="0"/>
    <n v="0"/>
    <n v="0"/>
    <n v="0"/>
    <n v="0"/>
    <n v="0"/>
    <n v="0"/>
    <n v="0"/>
    <n v="3.599999999999999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299999999999999"/>
    <n v="0"/>
    <n v="0"/>
    <n v="0"/>
    <n v="0.11"/>
    <n v="0"/>
    <n v="0"/>
    <n v="0"/>
    <n v="0"/>
    <n v="0"/>
    <n v="0"/>
    <n v="0"/>
    <n v="0"/>
    <n v="0"/>
    <n v="0.14299999999999999"/>
    <n v="0"/>
    <n v="0"/>
    <n v="0"/>
    <n v="0.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2"/>
    <s v="Onalaska"/>
    <m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1"/>
    <n v="0.5"/>
    <n v="0"/>
    <n v="0.125"/>
    <n v="0"/>
    <n v="0"/>
    <n v="0"/>
    <n v="0"/>
    <n v="0"/>
    <n v="0"/>
    <n v="0"/>
    <n v="0"/>
    <n v="0.3"/>
    <n v="0"/>
    <n v="0.6"/>
    <n v="0.3"/>
    <n v="0"/>
    <n v="0"/>
    <n v="0"/>
    <n v="0"/>
    <n v="0"/>
    <n v="0"/>
    <n v="0"/>
    <n v="0"/>
    <n v="0"/>
    <n v="0"/>
    <n v="0.2"/>
    <n v="0"/>
    <n v="0.6"/>
    <n v="0.2"/>
    <n v="0"/>
    <n v="0"/>
    <n v="0"/>
    <n v="0"/>
    <n v="0"/>
    <n v="0"/>
    <n v="0"/>
    <n v="0"/>
  </r>
  <r>
    <x v="13"/>
    <s v="Satsop"/>
    <m/>
    <n v="0"/>
    <n v="0"/>
    <n v="0"/>
    <n v="0"/>
    <n v="0"/>
    <n v="0"/>
    <n v="0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"/>
    <n v="0"/>
    <n v="0.20599999999999999"/>
    <n v="0.12"/>
    <n v="0"/>
    <n v="0"/>
    <n v="0"/>
    <n v="1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Colton"/>
    <m/>
    <n v="0"/>
    <n v="1.4E-2"/>
    <n v="0"/>
    <n v="0"/>
    <n v="0"/>
    <n v="0"/>
    <n v="0"/>
    <n v="0"/>
    <n v="0"/>
    <n v="0"/>
    <n v="0"/>
    <n v="0"/>
    <n v="0"/>
    <n v="0"/>
    <n v="0"/>
    <n v="0.43"/>
    <n v="0"/>
    <n v="0"/>
    <n v="0"/>
    <n v="0"/>
    <n v="0"/>
    <n v="0"/>
    <n v="0"/>
    <n v="0"/>
    <n v="0"/>
    <n v="0"/>
    <n v="0"/>
    <n v="0"/>
    <n v="0"/>
    <n v="0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2"/>
    <n v="0"/>
    <n v="0.47"/>
    <n v="0.14000000000000001"/>
    <n v="0.28999999999999998"/>
    <n v="0"/>
    <n v="0"/>
    <n v="0"/>
    <n v="0"/>
    <n v="0"/>
    <n v="0"/>
    <n v="0"/>
    <n v="0"/>
    <n v="0"/>
    <n v="0.02"/>
    <n v="0"/>
    <n v="0"/>
    <n v="0.02"/>
    <n v="0.04"/>
    <n v="0"/>
    <n v="0"/>
    <n v="0"/>
    <n v="0"/>
    <n v="0"/>
    <n v="0"/>
    <n v="0"/>
    <n v="0"/>
    <n v="0"/>
    <n v="0"/>
    <n v="0"/>
    <n v="0"/>
    <n v="0.03"/>
    <n v="7.0000000000000007E-2"/>
    <n v="0"/>
    <n v="0"/>
    <n v="0"/>
    <n v="0"/>
    <n v="0"/>
    <n v="0"/>
    <n v="0"/>
  </r>
  <r>
    <x v="15"/>
    <s v="Naches Valley"/>
    <m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.3970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</r>
  <r>
    <x v="16"/>
    <s v="Tenino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"/>
    <n v="0"/>
    <n v="1.35"/>
    <n v="1"/>
    <n v="0"/>
    <n v="0"/>
    <n v="0"/>
    <n v="0"/>
    <n v="0"/>
    <n v="0"/>
    <n v="0"/>
    <n v="0"/>
    <n v="0"/>
    <n v="0"/>
    <n v="0.2"/>
    <n v="0"/>
    <n v="0.69199999999999995"/>
    <n v="0"/>
    <n v="0"/>
    <n v="0"/>
    <n v="0"/>
    <n v="0"/>
    <n v="0"/>
    <n v="0"/>
    <n v="0"/>
    <n v="0"/>
    <n v="0"/>
    <n v="0"/>
    <n v="0.2"/>
    <n v="0"/>
    <n v="0.51800000000000002"/>
    <n v="1"/>
    <n v="0"/>
    <n v="0"/>
    <n v="1.05"/>
    <n v="0"/>
    <n v="0"/>
    <n v="0"/>
    <n v="0"/>
    <n v="0"/>
  </r>
  <r>
    <x v="17"/>
    <s v="Coupeville"/>
    <m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8"/>
    <s v="Mc Cleary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00000000000002"/>
    <n v="0"/>
    <n v="0.35399999999999998"/>
    <n v="0.35399999999999998"/>
    <n v="0.11"/>
    <n v="0.17299999999999999"/>
    <n v="0"/>
    <n v="0"/>
    <n v="0"/>
    <n v="0"/>
    <n v="0"/>
    <n v="0"/>
    <n v="0"/>
    <n v="0"/>
    <n v="7.2999999999999995E-2"/>
    <n v="0"/>
    <n v="9.6000000000000002E-2"/>
    <n v="9.6000000000000002E-2"/>
    <n v="0.03"/>
    <n v="4.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9"/>
    <s v="Oakville"/>
    <m/>
    <n v="0"/>
    <n v="0.33"/>
    <n v="0"/>
    <n v="0"/>
    <n v="0"/>
    <n v="0"/>
    <n v="0.108"/>
    <n v="0"/>
    <n v="0"/>
    <n v="0"/>
    <n v="0"/>
    <n v="0"/>
    <n v="0"/>
    <n v="0"/>
    <n v="0"/>
    <n v="0.33"/>
    <n v="0"/>
    <n v="0"/>
    <n v="0"/>
    <n v="0"/>
    <n v="0.03"/>
    <n v="0"/>
    <n v="0"/>
    <n v="0"/>
    <n v="0"/>
    <n v="0"/>
    <n v="0"/>
    <n v="0"/>
    <n v="0"/>
    <n v="0.33"/>
    <n v="0"/>
    <n v="0"/>
    <n v="0"/>
    <n v="0"/>
    <n v="6.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0"/>
    <s v="Rainier"/>
    <m/>
    <n v="0"/>
    <n v="0"/>
    <n v="0"/>
    <n v="0"/>
    <n v="0"/>
    <n v="0"/>
    <n v="0.17"/>
    <n v="0"/>
    <n v="0"/>
    <n v="0"/>
    <n v="0"/>
    <n v="0"/>
    <n v="0"/>
    <n v="0"/>
    <n v="0"/>
    <n v="0"/>
    <n v="0"/>
    <n v="0"/>
    <n v="0"/>
    <n v="0"/>
    <n v="0.17"/>
    <n v="0"/>
    <n v="0"/>
    <n v="0"/>
    <n v="0"/>
    <n v="0"/>
    <n v="0"/>
    <n v="0"/>
    <n v="0"/>
    <n v="0"/>
    <n v="0"/>
    <n v="0"/>
    <n v="0"/>
    <n v="0"/>
    <n v="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"/>
    <n v="0"/>
    <n v="0.5"/>
    <n v="0.33"/>
    <n v="0"/>
    <n v="0.1"/>
    <n v="0"/>
    <n v="0"/>
    <n v="0"/>
    <n v="0"/>
    <n v="0"/>
    <n v="0"/>
    <n v="0"/>
    <n v="0"/>
    <n v="0"/>
    <n v="0"/>
    <n v="0.25"/>
    <n v="0.33"/>
    <n v="0"/>
    <n v="0.1"/>
    <n v="0"/>
    <n v="0"/>
    <n v="0"/>
    <n v="0"/>
    <n v="0"/>
    <n v="0"/>
    <n v="0"/>
    <n v="0"/>
    <n v="0"/>
    <n v="0"/>
    <n v="0"/>
    <n v="0.34"/>
    <n v="0"/>
    <n v="0.1"/>
    <n v="0"/>
    <n v="0"/>
    <n v="0"/>
    <n v="0"/>
    <n v="0"/>
    <n v="0"/>
  </r>
  <r>
    <x v="21"/>
    <s v="South Bend"/>
    <m/>
    <n v="0"/>
    <n v="0"/>
    <n v="0"/>
    <n v="0"/>
    <n v="0"/>
    <n v="0"/>
    <n v="0.26700000000000002"/>
    <n v="0"/>
    <n v="0"/>
    <n v="0"/>
    <n v="0"/>
    <n v="0"/>
    <n v="0"/>
    <n v="0"/>
    <n v="0"/>
    <n v="0"/>
    <n v="0"/>
    <n v="0"/>
    <n v="0"/>
    <n v="0"/>
    <n v="3.3000000000000002E-2"/>
    <n v="0"/>
    <n v="0"/>
    <n v="0"/>
    <n v="0"/>
    <n v="0"/>
    <n v="0"/>
    <n v="0"/>
    <n v="0"/>
    <n v="0"/>
    <n v="0"/>
    <n v="0"/>
    <n v="0"/>
    <n v="0"/>
    <n v="3.300000000000000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0.2"/>
    <n v="0"/>
    <n v="0.25"/>
    <n v="0"/>
    <n v="0"/>
    <n v="0"/>
    <n v="0"/>
    <n v="0"/>
    <n v="0"/>
    <n v="0"/>
    <n v="0"/>
    <n v="0"/>
    <n v="0"/>
    <n v="7.1999999999999995E-2"/>
    <n v="2.5000000000000001E-2"/>
    <n v="0"/>
    <n v="3.1E-2"/>
    <n v="0"/>
    <n v="0"/>
    <n v="0"/>
    <n v="0"/>
    <n v="0"/>
    <n v="0"/>
    <n v="0"/>
    <n v="0"/>
    <n v="0"/>
    <n v="0"/>
    <n v="7.1999999999999995E-2"/>
    <n v="2.5000000000000001E-2"/>
    <n v="0"/>
    <n v="3.1E-2"/>
    <n v="0"/>
    <n v="0"/>
    <n v="0"/>
    <n v="0"/>
    <n v="0"/>
    <n v="0"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3D32C8-8AF4-4D0D-B504-C23376E06696}" name="PivotTable6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G4:H21" firstHeaderRow="1" firstDataRow="1" firstDataCol="1" rowPageCount="1" colPageCount="1"/>
  <pivotFields count="4">
    <pivotField showAll="0"/>
    <pivotField axis="axisRow" showAll="0">
      <items count="18">
        <item x="14"/>
        <item x="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h="1" x="16"/>
        <item t="default"/>
      </items>
    </pivotField>
    <pivotField dataField="1" showAll="0"/>
    <pivotField axis="axisPage" showAll="0">
      <items count="3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m="1" x="322"/>
        <item x="209"/>
        <item m="1" x="323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108"/>
        <item t="default"/>
      </items>
    </pivotField>
  </pivotFields>
  <rowFields count="1">
    <field x="1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pageFields count="1">
    <pageField fld="3" hier="-1"/>
  </pageFields>
  <dataFields count="1">
    <dataField name="Sum of Amount" fld="2" baseField="1" baseItem="43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C20559-3646-486C-8EAB-160BEB010CAD}" name="PivotTable1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P4:AQ50" firstHeaderRow="1" firstDataRow="1" firstDataCol="1" rowPageCount="2" colPageCount="1"/>
  <pivotFields count="16">
    <pivotField showAll="0"/>
    <pivotField axis="axisPage" showAll="0">
      <items count="311">
        <item x="65"/>
        <item x="136"/>
        <item x="147"/>
        <item x="199"/>
        <item x="211"/>
        <item x="4"/>
        <item x="96"/>
        <item x="112"/>
        <item x="31"/>
        <item x="93"/>
        <item x="266"/>
        <item x="186"/>
        <item x="268"/>
        <item x="111"/>
        <item x="162"/>
        <item x="41"/>
        <item x="81"/>
        <item x="197"/>
        <item x="30"/>
        <item x="21"/>
        <item x="15"/>
        <item x="14"/>
        <item x="36"/>
        <item x="116"/>
        <item x="125"/>
        <item x="114"/>
        <item x="227"/>
        <item x="144"/>
        <item x="142"/>
        <item x="229"/>
        <item x="239"/>
        <item x="190"/>
        <item x="83"/>
        <item x="3"/>
        <item x="123"/>
        <item x="183"/>
        <item x="278"/>
        <item x="261"/>
        <item x="282"/>
        <item x="246"/>
        <item x="263"/>
        <item x="242"/>
        <item x="196"/>
        <item x="201"/>
        <item x="73"/>
        <item x="78"/>
        <item x="19"/>
        <item x="47"/>
        <item x="174"/>
        <item x="118"/>
        <item x="218"/>
        <item x="151"/>
        <item x="33"/>
        <item x="233"/>
        <item x="181"/>
        <item x="230"/>
        <item x="290"/>
        <item x="43"/>
        <item x="119"/>
        <item x="187"/>
        <item x="210"/>
        <item x="121"/>
        <item x="70"/>
        <item x="283"/>
        <item x="12"/>
        <item x="87"/>
        <item x="62"/>
        <item x="133"/>
        <item x="207"/>
        <item x="29"/>
        <item x="245"/>
        <item x="86"/>
        <item x="267"/>
        <item x="189"/>
        <item x="8"/>
        <item x="185"/>
        <item x="228"/>
        <item x="280"/>
        <item x="127"/>
        <item x="130"/>
        <item x="64"/>
        <item x="293"/>
        <item x="297"/>
        <item x="219"/>
        <item x="27"/>
        <item x="255"/>
        <item x="150"/>
        <item x="296"/>
        <item x="89"/>
        <item x="25"/>
        <item x="158"/>
        <item x="66"/>
        <item x="191"/>
        <item x="107"/>
        <item x="108"/>
        <item x="49"/>
        <item x="213"/>
        <item x="99"/>
        <item x="37"/>
        <item x="46"/>
        <item x="39"/>
        <item x="5"/>
        <item x="102"/>
        <item x="249"/>
        <item x="7"/>
        <item x="122"/>
        <item x="128"/>
        <item x="26"/>
        <item x="200"/>
        <item x="275"/>
        <item x="13"/>
        <item x="72"/>
        <item x="208"/>
        <item x="101"/>
        <item x="216"/>
        <item x="231"/>
        <item x="1"/>
        <item x="34"/>
        <item x="243"/>
        <item x="194"/>
        <item x="236"/>
        <item x="274"/>
        <item x="269"/>
        <item x="292"/>
        <item x="11"/>
        <item x="155"/>
        <item x="247"/>
        <item x="212"/>
        <item x="68"/>
        <item x="226"/>
        <item x="225"/>
        <item x="88"/>
        <item x="270"/>
        <item x="164"/>
        <item x="205"/>
        <item x="214"/>
        <item x="69"/>
        <item x="135"/>
        <item x="61"/>
        <item x="134"/>
        <item x="301"/>
        <item x="272"/>
        <item x="204"/>
        <item x="202"/>
        <item x="105"/>
        <item x="209"/>
        <item x="288"/>
        <item x="132"/>
        <item x="171"/>
        <item x="159"/>
        <item x="173"/>
        <item x="224"/>
        <item x="271"/>
        <item x="67"/>
        <item x="52"/>
        <item x="113"/>
        <item x="157"/>
        <item x="251"/>
        <item x="103"/>
        <item x="77"/>
        <item x="286"/>
        <item x="76"/>
        <item x="168"/>
        <item x="75"/>
        <item x="148"/>
        <item x="161"/>
        <item x="253"/>
        <item x="160"/>
        <item x="140"/>
        <item x="193"/>
        <item x="222"/>
        <item x="48"/>
        <item x="40"/>
        <item x="166"/>
        <item x="182"/>
        <item x="0"/>
        <item x="279"/>
        <item x="51"/>
        <item x="163"/>
        <item x="141"/>
        <item x="184"/>
        <item x="156"/>
        <item x="54"/>
        <item x="18"/>
        <item x="84"/>
        <item x="265"/>
        <item m="1" x="306"/>
        <item x="9"/>
        <item x="277"/>
        <item x="177"/>
        <item x="82"/>
        <item x="23"/>
        <item x="22"/>
        <item x="56"/>
        <item x="254"/>
        <item x="169"/>
        <item x="146"/>
        <item x="91"/>
        <item x="50"/>
        <item x="10"/>
        <item x="32"/>
        <item x="2"/>
        <item x="234"/>
        <item x="95"/>
        <item x="256"/>
        <item x="284"/>
        <item x="60"/>
        <item x="195"/>
        <item x="85"/>
        <item x="198"/>
        <item x="291"/>
        <item x="175"/>
        <item x="20"/>
        <item x="154"/>
        <item x="100"/>
        <item x="203"/>
        <item x="92"/>
        <item x="215"/>
        <item x="98"/>
        <item x="59"/>
        <item x="170"/>
        <item x="115"/>
        <item x="79"/>
        <item x="152"/>
        <item x="235"/>
        <item x="221"/>
        <item x="145"/>
        <item x="285"/>
        <item x="220"/>
        <item x="176"/>
        <item x="206"/>
        <item x="217"/>
        <item x="244"/>
        <item x="180"/>
        <item x="294"/>
        <item x="117"/>
        <item x="178"/>
        <item x="71"/>
        <item x="97"/>
        <item x="257"/>
        <item x="120"/>
        <item x="139"/>
        <item x="165"/>
        <item x="295"/>
        <item x="35"/>
        <item x="126"/>
        <item x="94"/>
        <item x="252"/>
        <item x="287"/>
        <item x="179"/>
        <item x="241"/>
        <item x="24"/>
        <item x="90"/>
        <item x="258"/>
        <item x="259"/>
        <item x="55"/>
        <item x="260"/>
        <item x="299"/>
        <item x="57"/>
        <item x="28"/>
        <item x="45"/>
        <item x="240"/>
        <item x="16"/>
        <item x="232"/>
        <item x="300"/>
        <item x="273"/>
        <item x="143"/>
        <item x="188"/>
        <item x="131"/>
        <item x="109"/>
        <item x="149"/>
        <item x="172"/>
        <item x="63"/>
        <item x="137"/>
        <item x="74"/>
        <item x="124"/>
        <item x="38"/>
        <item x="289"/>
        <item x="250"/>
        <item x="298"/>
        <item x="304"/>
        <item x="110"/>
        <item x="6"/>
        <item x="106"/>
        <item x="192"/>
        <item x="104"/>
        <item m="1" x="308"/>
        <item x="44"/>
        <item x="276"/>
        <item x="167"/>
        <item x="281"/>
        <item x="138"/>
        <item x="129"/>
        <item m="1" x="305"/>
        <item x="80"/>
        <item x="153"/>
        <item m="1" x="309"/>
        <item x="264"/>
        <item x="302"/>
        <item x="303"/>
        <item x="248"/>
        <item x="238"/>
        <item x="17"/>
        <item m="1" x="307"/>
        <item x="58"/>
        <item x="223"/>
        <item x="237"/>
        <item x="53"/>
        <item x="42"/>
        <item x="262"/>
        <item t="default"/>
      </items>
    </pivotField>
    <pivotField showAll="0"/>
    <pivotField showAll="0"/>
    <pivotField axis="axisRow" showAll="0">
      <items count="5">
        <item x="0"/>
        <item x="2"/>
        <item x="1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142">
        <item x="95"/>
        <item x="56"/>
        <item x="0"/>
        <item x="86"/>
        <item x="57"/>
        <item x="1"/>
        <item x="96"/>
        <item x="58"/>
        <item x="2"/>
        <item x="67"/>
        <item x="71"/>
        <item x="3"/>
        <item x="4"/>
        <item x="53"/>
        <item x="5"/>
        <item x="82"/>
        <item x="72"/>
        <item x="6"/>
        <item x="7"/>
        <item x="8"/>
        <item x="29"/>
        <item x="9"/>
        <item x="10"/>
        <item x="11"/>
        <item x="14"/>
        <item x="83"/>
        <item x="88"/>
        <item x="76"/>
        <item x="15"/>
        <item x="77"/>
        <item x="16"/>
        <item x="75"/>
        <item x="17"/>
        <item x="18"/>
        <item x="69"/>
        <item x="19"/>
        <item x="73"/>
        <item x="31"/>
        <item x="74"/>
        <item x="41"/>
        <item x="42"/>
        <item x="43"/>
        <item x="44"/>
        <item x="45"/>
        <item x="46"/>
        <item x="20"/>
        <item x="47"/>
        <item x="21"/>
        <item x="51"/>
        <item x="28"/>
        <item x="52"/>
        <item x="22"/>
        <item x="48"/>
        <item x="23"/>
        <item x="65"/>
        <item x="24"/>
        <item x="49"/>
        <item x="32"/>
        <item x="27"/>
        <item x="61"/>
        <item x="25"/>
        <item x="33"/>
        <item x="34"/>
        <item x="35"/>
        <item x="90"/>
        <item x="36"/>
        <item x="91"/>
        <item x="37"/>
        <item x="92"/>
        <item x="26"/>
        <item x="79"/>
        <item x="55"/>
        <item x="68"/>
        <item x="50"/>
        <item x="38"/>
        <item x="39"/>
        <item x="59"/>
        <item x="80"/>
        <item x="60"/>
        <item x="81"/>
        <item x="140"/>
        <item x="70"/>
        <item x="63"/>
        <item x="13"/>
        <item x="54"/>
        <item x="12"/>
        <item x="87"/>
        <item x="62"/>
        <item x="84"/>
        <item x="40"/>
        <item x="103"/>
        <item x="109"/>
        <item x="112"/>
        <item x="116"/>
        <item x="119"/>
        <item x="122"/>
        <item x="126"/>
        <item x="129"/>
        <item x="133"/>
        <item x="137"/>
        <item x="98"/>
        <item x="30"/>
        <item x="101"/>
        <item x="106"/>
        <item x="115"/>
        <item x="64"/>
        <item x="93"/>
        <item x="125"/>
        <item x="85"/>
        <item x="132"/>
        <item x="136"/>
        <item x="94"/>
        <item x="97"/>
        <item x="66"/>
        <item x="78"/>
        <item x="107"/>
        <item x="89"/>
        <item x="104"/>
        <item x="110"/>
        <item x="113"/>
        <item x="117"/>
        <item x="120"/>
        <item x="123"/>
        <item x="127"/>
        <item x="130"/>
        <item x="134"/>
        <item x="138"/>
        <item x="99"/>
        <item x="102"/>
        <item x="108"/>
        <item x="105"/>
        <item x="111"/>
        <item x="114"/>
        <item x="118"/>
        <item x="121"/>
        <item x="124"/>
        <item x="128"/>
        <item x="131"/>
        <item x="135"/>
        <item x="139"/>
        <item x="10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Page" multipleItemSelectionAllowed="1" showAll="0">
      <items count="8">
        <item x="1"/>
        <item h="1" x="2"/>
        <item h="1" x="6"/>
        <item h="1" x="0"/>
        <item h="1" x="3"/>
        <item h="1" x="4"/>
        <item h="1" x="5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2">
    <field x="4"/>
    <field x="5"/>
  </rowFields>
  <rowItems count="46">
    <i>
      <x/>
    </i>
    <i r="1">
      <x/>
    </i>
    <i r="1">
      <x v="9"/>
    </i>
    <i r="1">
      <x v="18"/>
    </i>
    <i r="1">
      <x v="24"/>
    </i>
    <i r="1">
      <x v="27"/>
    </i>
    <i r="1">
      <x v="33"/>
    </i>
    <i r="1">
      <x v="39"/>
    </i>
    <i r="1">
      <x v="45"/>
    </i>
    <i r="1">
      <x v="51"/>
    </i>
    <i r="1">
      <x v="57"/>
    </i>
    <i r="1">
      <x v="63"/>
    </i>
    <i r="1">
      <x v="69"/>
    </i>
    <i r="1">
      <x v="74"/>
    </i>
    <i r="1">
      <x v="102"/>
    </i>
    <i>
      <x v="1"/>
    </i>
    <i r="1">
      <x v="6"/>
    </i>
    <i r="1">
      <x v="15"/>
    </i>
    <i r="1">
      <x v="22"/>
    </i>
    <i r="1">
      <x v="26"/>
    </i>
    <i r="1">
      <x v="31"/>
    </i>
    <i r="1">
      <x v="37"/>
    </i>
    <i r="1">
      <x v="43"/>
    </i>
    <i r="1">
      <x v="49"/>
    </i>
    <i r="1">
      <x v="55"/>
    </i>
    <i r="1">
      <x v="61"/>
    </i>
    <i r="1">
      <x v="67"/>
    </i>
    <i r="1">
      <x v="73"/>
    </i>
    <i r="1">
      <x v="78"/>
    </i>
    <i r="1">
      <x v="128"/>
    </i>
    <i>
      <x v="2"/>
    </i>
    <i r="1">
      <x v="3"/>
    </i>
    <i r="1">
      <x v="12"/>
    </i>
    <i r="1">
      <x v="20"/>
    </i>
    <i r="1">
      <x v="25"/>
    </i>
    <i r="1">
      <x v="29"/>
    </i>
    <i r="1">
      <x v="35"/>
    </i>
    <i r="1">
      <x v="41"/>
    </i>
    <i r="1">
      <x v="47"/>
    </i>
    <i r="1">
      <x v="53"/>
    </i>
    <i r="1">
      <x v="59"/>
    </i>
    <i r="1">
      <x v="65"/>
    </i>
    <i r="1">
      <x v="71"/>
    </i>
    <i r="1">
      <x v="76"/>
    </i>
    <i r="1">
      <x v="86"/>
    </i>
    <i t="grand">
      <x/>
    </i>
  </rowItems>
  <colItems count="1">
    <i/>
  </colItems>
  <pageFields count="2">
    <pageField fld="1" hier="-1"/>
    <pageField fld="7" hier="-1"/>
  </pageFields>
  <dataFields count="1">
    <dataField name="Sum of AMOUNT" fld="12" baseField="5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A86332-96C1-433A-BF28-359B530BC953}" name="PivotTable3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Y3:AF145" firstHeaderRow="1" firstDataRow="2" firstDataCol="1" rowPageCount="1" colPageCount="1"/>
  <pivotFields count="16">
    <pivotField showAll="0"/>
    <pivotField axis="axisPage" showAll="0">
      <items count="311">
        <item x="65"/>
        <item x="136"/>
        <item x="147"/>
        <item x="199"/>
        <item x="211"/>
        <item x="4"/>
        <item x="96"/>
        <item x="112"/>
        <item x="31"/>
        <item x="93"/>
        <item x="266"/>
        <item x="186"/>
        <item x="268"/>
        <item x="111"/>
        <item x="162"/>
        <item x="41"/>
        <item x="81"/>
        <item x="197"/>
        <item x="30"/>
        <item x="21"/>
        <item x="15"/>
        <item x="14"/>
        <item x="36"/>
        <item x="116"/>
        <item x="125"/>
        <item x="114"/>
        <item x="227"/>
        <item x="144"/>
        <item x="142"/>
        <item x="229"/>
        <item x="239"/>
        <item x="190"/>
        <item x="83"/>
        <item x="3"/>
        <item x="123"/>
        <item x="183"/>
        <item x="278"/>
        <item x="261"/>
        <item x="282"/>
        <item x="246"/>
        <item x="263"/>
        <item x="242"/>
        <item x="196"/>
        <item x="201"/>
        <item x="73"/>
        <item x="78"/>
        <item x="19"/>
        <item x="47"/>
        <item x="174"/>
        <item x="118"/>
        <item x="218"/>
        <item x="151"/>
        <item x="33"/>
        <item x="233"/>
        <item x="181"/>
        <item x="230"/>
        <item x="290"/>
        <item x="43"/>
        <item x="119"/>
        <item x="187"/>
        <item x="210"/>
        <item x="121"/>
        <item x="70"/>
        <item x="283"/>
        <item x="12"/>
        <item x="87"/>
        <item x="62"/>
        <item x="133"/>
        <item x="207"/>
        <item x="29"/>
        <item x="245"/>
        <item x="86"/>
        <item x="267"/>
        <item x="189"/>
        <item x="8"/>
        <item x="185"/>
        <item x="228"/>
        <item x="280"/>
        <item x="127"/>
        <item x="130"/>
        <item x="64"/>
        <item x="293"/>
        <item x="297"/>
        <item x="219"/>
        <item x="27"/>
        <item x="255"/>
        <item x="150"/>
        <item x="296"/>
        <item x="89"/>
        <item x="25"/>
        <item x="158"/>
        <item x="66"/>
        <item x="191"/>
        <item x="107"/>
        <item x="108"/>
        <item x="49"/>
        <item x="213"/>
        <item x="99"/>
        <item x="37"/>
        <item x="46"/>
        <item x="39"/>
        <item x="5"/>
        <item x="102"/>
        <item x="249"/>
        <item x="7"/>
        <item x="122"/>
        <item x="128"/>
        <item x="26"/>
        <item x="200"/>
        <item x="275"/>
        <item x="13"/>
        <item x="72"/>
        <item x="208"/>
        <item x="101"/>
        <item x="216"/>
        <item x="231"/>
        <item x="1"/>
        <item x="34"/>
        <item x="243"/>
        <item x="194"/>
        <item x="236"/>
        <item x="274"/>
        <item x="269"/>
        <item x="292"/>
        <item x="11"/>
        <item x="155"/>
        <item x="247"/>
        <item x="212"/>
        <item x="68"/>
        <item x="226"/>
        <item x="225"/>
        <item x="88"/>
        <item x="270"/>
        <item x="164"/>
        <item x="205"/>
        <item x="214"/>
        <item x="69"/>
        <item x="135"/>
        <item x="61"/>
        <item x="134"/>
        <item x="301"/>
        <item x="272"/>
        <item x="204"/>
        <item x="202"/>
        <item x="105"/>
        <item x="209"/>
        <item x="288"/>
        <item x="132"/>
        <item x="171"/>
        <item x="159"/>
        <item x="173"/>
        <item x="224"/>
        <item x="271"/>
        <item x="67"/>
        <item x="52"/>
        <item x="113"/>
        <item x="157"/>
        <item x="251"/>
        <item x="103"/>
        <item x="77"/>
        <item x="286"/>
        <item x="76"/>
        <item x="168"/>
        <item x="75"/>
        <item x="148"/>
        <item x="161"/>
        <item x="253"/>
        <item x="160"/>
        <item x="140"/>
        <item x="193"/>
        <item x="222"/>
        <item x="48"/>
        <item x="40"/>
        <item x="166"/>
        <item x="182"/>
        <item x="0"/>
        <item x="279"/>
        <item x="51"/>
        <item x="163"/>
        <item x="141"/>
        <item x="184"/>
        <item x="156"/>
        <item x="54"/>
        <item x="18"/>
        <item x="84"/>
        <item x="265"/>
        <item m="1" x="306"/>
        <item x="9"/>
        <item x="277"/>
        <item x="177"/>
        <item x="82"/>
        <item x="23"/>
        <item x="22"/>
        <item x="56"/>
        <item x="254"/>
        <item x="169"/>
        <item x="146"/>
        <item x="91"/>
        <item x="50"/>
        <item x="10"/>
        <item x="32"/>
        <item x="2"/>
        <item x="234"/>
        <item x="95"/>
        <item x="256"/>
        <item x="284"/>
        <item x="60"/>
        <item x="195"/>
        <item x="85"/>
        <item x="198"/>
        <item x="291"/>
        <item x="175"/>
        <item x="20"/>
        <item x="154"/>
        <item x="100"/>
        <item x="203"/>
        <item x="92"/>
        <item x="215"/>
        <item x="98"/>
        <item x="59"/>
        <item x="170"/>
        <item x="115"/>
        <item x="79"/>
        <item x="152"/>
        <item x="235"/>
        <item x="221"/>
        <item x="145"/>
        <item x="285"/>
        <item x="220"/>
        <item x="176"/>
        <item x="206"/>
        <item x="217"/>
        <item x="244"/>
        <item x="180"/>
        <item x="294"/>
        <item x="117"/>
        <item x="178"/>
        <item x="71"/>
        <item x="97"/>
        <item x="257"/>
        <item x="120"/>
        <item x="139"/>
        <item x="165"/>
        <item x="295"/>
        <item x="35"/>
        <item x="126"/>
        <item x="94"/>
        <item x="252"/>
        <item x="287"/>
        <item x="179"/>
        <item x="241"/>
        <item x="24"/>
        <item x="90"/>
        <item x="258"/>
        <item x="259"/>
        <item x="55"/>
        <item x="260"/>
        <item x="299"/>
        <item x="57"/>
        <item x="28"/>
        <item x="45"/>
        <item x="240"/>
        <item x="16"/>
        <item x="232"/>
        <item x="300"/>
        <item x="273"/>
        <item x="143"/>
        <item x="188"/>
        <item x="131"/>
        <item x="109"/>
        <item x="149"/>
        <item x="172"/>
        <item x="63"/>
        <item x="137"/>
        <item x="74"/>
        <item x="124"/>
        <item x="38"/>
        <item x="289"/>
        <item x="250"/>
        <item x="298"/>
        <item x="304"/>
        <item x="110"/>
        <item x="6"/>
        <item x="106"/>
        <item x="192"/>
        <item x="104"/>
        <item m="1" x="308"/>
        <item x="44"/>
        <item x="276"/>
        <item x="167"/>
        <item x="281"/>
        <item x="138"/>
        <item x="129"/>
        <item m="1" x="305"/>
        <item x="80"/>
        <item x="153"/>
        <item m="1" x="309"/>
        <item x="264"/>
        <item x="302"/>
        <item x="303"/>
        <item x="248"/>
        <item x="238"/>
        <item x="17"/>
        <item m="1" x="307"/>
        <item x="58"/>
        <item x="223"/>
        <item x="237"/>
        <item x="53"/>
        <item x="42"/>
        <item x="262"/>
        <item t="default"/>
      </items>
    </pivotField>
    <pivotField showAll="0"/>
    <pivotField showAll="0"/>
    <pivotField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sortType="ascending">
      <items count="142">
        <item x="97"/>
        <item x="95"/>
        <item x="56"/>
        <item x="0"/>
        <item x="86"/>
        <item x="57"/>
        <item x="1"/>
        <item x="96"/>
        <item x="58"/>
        <item x="2"/>
        <item x="66"/>
        <item x="67"/>
        <item x="71"/>
        <item x="3"/>
        <item x="4"/>
        <item x="53"/>
        <item x="5"/>
        <item x="82"/>
        <item x="72"/>
        <item x="6"/>
        <item x="84"/>
        <item x="7"/>
        <item x="98"/>
        <item x="8"/>
        <item x="29"/>
        <item x="100"/>
        <item x="9"/>
        <item x="10"/>
        <item x="99"/>
        <item x="11"/>
        <item x="78"/>
        <item x="101"/>
        <item x="30"/>
        <item x="62"/>
        <item x="87"/>
        <item x="12"/>
        <item x="54"/>
        <item x="102"/>
        <item x="13"/>
        <item x="63"/>
        <item x="106"/>
        <item x="14"/>
        <item x="103"/>
        <item x="40"/>
        <item x="83"/>
        <item x="105"/>
        <item x="108"/>
        <item x="88"/>
        <item x="104"/>
        <item x="107"/>
        <item x="70"/>
        <item x="76"/>
        <item x="109"/>
        <item x="15"/>
        <item x="77"/>
        <item x="111"/>
        <item x="16"/>
        <item x="75"/>
        <item x="110"/>
        <item x="17"/>
        <item x="115"/>
        <item x="18"/>
        <item x="112"/>
        <item x="69"/>
        <item x="19"/>
        <item x="114"/>
        <item x="73"/>
        <item x="31"/>
        <item x="113"/>
        <item x="74"/>
        <item x="64"/>
        <item x="41"/>
        <item x="116"/>
        <item x="42"/>
        <item x="43"/>
        <item x="118"/>
        <item x="44"/>
        <item x="45"/>
        <item x="117"/>
        <item x="46"/>
        <item x="93"/>
        <item x="20"/>
        <item x="119"/>
        <item x="47"/>
        <item x="21"/>
        <item x="121"/>
        <item x="51"/>
        <item x="28"/>
        <item x="120"/>
        <item x="52"/>
        <item x="125"/>
        <item x="22"/>
        <item x="122"/>
        <item x="48"/>
        <item x="23"/>
        <item x="124"/>
        <item x="65"/>
        <item x="24"/>
        <item x="123"/>
        <item x="49"/>
        <item x="85"/>
        <item x="32"/>
        <item x="126"/>
        <item x="27"/>
        <item x="61"/>
        <item x="128"/>
        <item x="25"/>
        <item x="33"/>
        <item x="127"/>
        <item x="34"/>
        <item x="132"/>
        <item x="35"/>
        <item x="129"/>
        <item x="90"/>
        <item x="36"/>
        <item x="131"/>
        <item x="91"/>
        <item x="37"/>
        <item x="130"/>
        <item x="92"/>
        <item x="136"/>
        <item x="26"/>
        <item x="133"/>
        <item x="79"/>
        <item x="55"/>
        <item x="135"/>
        <item x="68"/>
        <item x="50"/>
        <item x="134"/>
        <item x="89"/>
        <item x="94"/>
        <item x="38"/>
        <item x="137"/>
        <item x="39"/>
        <item x="59"/>
        <item x="139"/>
        <item x="80"/>
        <item x="60"/>
        <item x="138"/>
        <item x="81"/>
        <item x="14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Col" showAll="0">
      <items count="8">
        <item x="1"/>
        <item h="1" x="6"/>
        <item x="2"/>
        <item x="0"/>
        <item x="3"/>
        <item x="4"/>
        <item x="5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5"/>
  </rowFields>
  <rowItems count="1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 t="grand">
      <x/>
    </i>
  </rowItems>
  <colFields count="1">
    <field x="7"/>
  </colFields>
  <colItems count="7">
    <i>
      <x/>
    </i>
    <i>
      <x v="2"/>
    </i>
    <i>
      <x v="3"/>
    </i>
    <i>
      <x v="4"/>
    </i>
    <i>
      <x v="5"/>
    </i>
    <i>
      <x v="6"/>
    </i>
    <i t="grand">
      <x/>
    </i>
  </colItems>
  <pageFields count="1">
    <pageField fld="1" hier="-1"/>
  </pageFields>
  <dataFields count="1">
    <dataField name="Sum of AMOUNT" fld="12" baseField="5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142A34-3A4E-499B-AB6C-0453B47CD8FE}" name="PivotTable22" cacheId="6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compact="0" compactData="0" gridDropZones="1" multipleFieldFilters="0">
  <location ref="BM3:BO85" firstHeaderRow="2" firstDataRow="2" firstDataCol="2" rowPageCount="1" colPageCount="1"/>
  <pivotFields count="16">
    <pivotField compact="0" outline="0" showAll="0"/>
    <pivotField axis="axisPage" compact="0" outline="0" showAll="0">
      <items count="311">
        <item x="65"/>
        <item x="136"/>
        <item x="147"/>
        <item x="199"/>
        <item x="211"/>
        <item x="4"/>
        <item x="96"/>
        <item x="112"/>
        <item x="31"/>
        <item x="93"/>
        <item x="266"/>
        <item x="186"/>
        <item x="268"/>
        <item x="111"/>
        <item x="162"/>
        <item x="41"/>
        <item x="81"/>
        <item x="197"/>
        <item x="30"/>
        <item x="21"/>
        <item x="15"/>
        <item x="14"/>
        <item x="36"/>
        <item x="116"/>
        <item x="125"/>
        <item x="114"/>
        <item x="227"/>
        <item x="144"/>
        <item x="142"/>
        <item x="229"/>
        <item x="239"/>
        <item x="190"/>
        <item x="83"/>
        <item x="3"/>
        <item x="123"/>
        <item x="183"/>
        <item x="278"/>
        <item x="261"/>
        <item x="282"/>
        <item x="246"/>
        <item x="263"/>
        <item x="242"/>
        <item x="196"/>
        <item x="201"/>
        <item x="73"/>
        <item x="78"/>
        <item x="19"/>
        <item x="47"/>
        <item x="174"/>
        <item x="118"/>
        <item x="218"/>
        <item x="151"/>
        <item x="33"/>
        <item x="233"/>
        <item x="181"/>
        <item x="230"/>
        <item x="290"/>
        <item x="43"/>
        <item x="119"/>
        <item x="187"/>
        <item x="210"/>
        <item x="121"/>
        <item x="70"/>
        <item x="283"/>
        <item x="12"/>
        <item x="87"/>
        <item x="62"/>
        <item x="133"/>
        <item x="207"/>
        <item x="29"/>
        <item x="245"/>
        <item x="86"/>
        <item x="267"/>
        <item x="189"/>
        <item x="8"/>
        <item x="185"/>
        <item x="228"/>
        <item x="280"/>
        <item x="127"/>
        <item x="130"/>
        <item x="64"/>
        <item x="293"/>
        <item x="297"/>
        <item x="219"/>
        <item x="27"/>
        <item x="255"/>
        <item x="150"/>
        <item x="296"/>
        <item x="89"/>
        <item x="25"/>
        <item x="158"/>
        <item x="66"/>
        <item x="191"/>
        <item x="107"/>
        <item x="108"/>
        <item x="49"/>
        <item x="213"/>
        <item x="99"/>
        <item x="37"/>
        <item x="46"/>
        <item x="39"/>
        <item x="5"/>
        <item x="102"/>
        <item x="249"/>
        <item x="7"/>
        <item x="122"/>
        <item x="128"/>
        <item x="26"/>
        <item x="200"/>
        <item x="275"/>
        <item x="13"/>
        <item x="72"/>
        <item x="208"/>
        <item x="101"/>
        <item x="216"/>
        <item x="231"/>
        <item x="1"/>
        <item x="34"/>
        <item x="243"/>
        <item x="194"/>
        <item x="236"/>
        <item x="274"/>
        <item x="269"/>
        <item x="292"/>
        <item x="11"/>
        <item x="155"/>
        <item x="247"/>
        <item x="212"/>
        <item x="68"/>
        <item x="226"/>
        <item x="225"/>
        <item x="88"/>
        <item x="270"/>
        <item x="164"/>
        <item x="205"/>
        <item x="214"/>
        <item x="69"/>
        <item x="135"/>
        <item x="61"/>
        <item x="134"/>
        <item x="301"/>
        <item x="272"/>
        <item x="204"/>
        <item x="202"/>
        <item x="105"/>
        <item x="209"/>
        <item x="288"/>
        <item x="132"/>
        <item x="171"/>
        <item x="159"/>
        <item x="173"/>
        <item x="224"/>
        <item x="271"/>
        <item x="67"/>
        <item x="52"/>
        <item x="113"/>
        <item x="157"/>
        <item x="251"/>
        <item x="103"/>
        <item x="77"/>
        <item x="286"/>
        <item x="76"/>
        <item x="168"/>
        <item x="75"/>
        <item x="148"/>
        <item x="161"/>
        <item x="253"/>
        <item x="160"/>
        <item x="140"/>
        <item x="193"/>
        <item x="222"/>
        <item x="48"/>
        <item x="40"/>
        <item x="166"/>
        <item x="182"/>
        <item x="0"/>
        <item x="279"/>
        <item x="51"/>
        <item x="163"/>
        <item x="141"/>
        <item x="184"/>
        <item x="156"/>
        <item x="54"/>
        <item x="18"/>
        <item x="84"/>
        <item x="265"/>
        <item m="1" x="306"/>
        <item x="9"/>
        <item x="277"/>
        <item x="177"/>
        <item x="82"/>
        <item x="23"/>
        <item x="22"/>
        <item x="56"/>
        <item x="254"/>
        <item x="169"/>
        <item x="146"/>
        <item x="91"/>
        <item x="50"/>
        <item x="10"/>
        <item x="32"/>
        <item x="2"/>
        <item x="234"/>
        <item x="95"/>
        <item x="256"/>
        <item x="284"/>
        <item x="60"/>
        <item x="195"/>
        <item x="85"/>
        <item x="198"/>
        <item x="291"/>
        <item x="175"/>
        <item x="20"/>
        <item x="154"/>
        <item x="100"/>
        <item x="203"/>
        <item x="92"/>
        <item x="215"/>
        <item x="98"/>
        <item x="59"/>
        <item x="170"/>
        <item x="115"/>
        <item x="79"/>
        <item x="152"/>
        <item x="235"/>
        <item x="221"/>
        <item x="145"/>
        <item x="285"/>
        <item x="220"/>
        <item x="176"/>
        <item x="206"/>
        <item x="217"/>
        <item x="244"/>
        <item x="180"/>
        <item x="294"/>
        <item x="117"/>
        <item x="178"/>
        <item x="71"/>
        <item x="97"/>
        <item x="257"/>
        <item x="120"/>
        <item x="139"/>
        <item x="165"/>
        <item x="295"/>
        <item x="35"/>
        <item x="126"/>
        <item x="94"/>
        <item x="252"/>
        <item x="287"/>
        <item x="179"/>
        <item x="241"/>
        <item x="24"/>
        <item x="90"/>
        <item x="258"/>
        <item x="259"/>
        <item x="55"/>
        <item x="260"/>
        <item x="299"/>
        <item x="57"/>
        <item x="28"/>
        <item x="45"/>
        <item x="240"/>
        <item x="16"/>
        <item x="232"/>
        <item x="300"/>
        <item x="273"/>
        <item x="143"/>
        <item x="188"/>
        <item x="131"/>
        <item x="109"/>
        <item x="149"/>
        <item x="172"/>
        <item x="63"/>
        <item x="137"/>
        <item x="74"/>
        <item x="124"/>
        <item x="38"/>
        <item x="289"/>
        <item x="250"/>
        <item x="298"/>
        <item x="304"/>
        <item x="110"/>
        <item x="6"/>
        <item x="106"/>
        <item x="192"/>
        <item x="104"/>
        <item m="1" x="308"/>
        <item x="44"/>
        <item x="276"/>
        <item x="167"/>
        <item x="281"/>
        <item x="138"/>
        <item x="129"/>
        <item m="1" x="305"/>
        <item x="80"/>
        <item x="153"/>
        <item m="1" x="309"/>
        <item x="264"/>
        <item x="302"/>
        <item x="303"/>
        <item x="248"/>
        <item x="238"/>
        <item x="17"/>
        <item m="1" x="307"/>
        <item x="58"/>
        <item x="223"/>
        <item x="237"/>
        <item x="53"/>
        <item x="42"/>
        <item x="262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4">
        <item x="0"/>
        <item x="2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x="95"/>
        <item x="56"/>
        <item x="0"/>
        <item x="86"/>
        <item x="57"/>
        <item x="1"/>
        <item x="96"/>
        <item x="58"/>
        <item x="2"/>
        <item x="67"/>
        <item x="71"/>
        <item x="3"/>
        <item x="4"/>
        <item x="53"/>
        <item x="5"/>
        <item x="82"/>
        <item x="72"/>
        <item x="6"/>
        <item x="7"/>
        <item x="8"/>
        <item x="29"/>
        <item x="9"/>
        <item x="10"/>
        <item x="11"/>
        <item x="14"/>
        <item x="83"/>
        <item x="88"/>
        <item x="76"/>
        <item x="15"/>
        <item x="77"/>
        <item x="16"/>
        <item x="75"/>
        <item x="17"/>
        <item x="18"/>
        <item x="69"/>
        <item x="19"/>
        <item x="73"/>
        <item x="31"/>
        <item x="74"/>
        <item x="41"/>
        <item x="42"/>
        <item x="43"/>
        <item x="44"/>
        <item x="45"/>
        <item x="46"/>
        <item x="20"/>
        <item x="47"/>
        <item x="21"/>
        <item x="51"/>
        <item x="28"/>
        <item x="52"/>
        <item x="22"/>
        <item x="48"/>
        <item x="23"/>
        <item x="65"/>
        <item x="24"/>
        <item x="49"/>
        <item x="32"/>
        <item x="27"/>
        <item x="61"/>
        <item x="25"/>
        <item x="33"/>
        <item x="34"/>
        <item x="35"/>
        <item x="90"/>
        <item x="36"/>
        <item x="91"/>
        <item x="37"/>
        <item x="92"/>
        <item x="26"/>
        <item x="79"/>
        <item x="55"/>
        <item x="68"/>
        <item x="50"/>
        <item x="38"/>
        <item x="39"/>
        <item x="59"/>
        <item x="80"/>
        <item x="60"/>
        <item x="81"/>
        <item h="1" x="140"/>
        <item h="1" x="70"/>
        <item h="1" x="63"/>
        <item h="1" x="13"/>
        <item h="1" x="54"/>
        <item h="1" x="12"/>
        <item h="1" x="87"/>
        <item h="1" x="62"/>
        <item h="1" x="84"/>
        <item h="1" x="40"/>
        <item h="1" x="103"/>
        <item h="1" x="109"/>
        <item h="1" x="112"/>
        <item h="1" x="116"/>
        <item h="1" x="119"/>
        <item h="1" x="122"/>
        <item h="1" x="126"/>
        <item h="1" x="129"/>
        <item h="1" x="133"/>
        <item h="1" x="137"/>
        <item h="1" x="98"/>
        <item h="1" x="30"/>
        <item h="1" x="101"/>
        <item h="1" x="106"/>
        <item h="1" x="115"/>
        <item h="1" x="64"/>
        <item h="1" x="93"/>
        <item h="1" x="125"/>
        <item h="1" x="85"/>
        <item h="1" x="132"/>
        <item h="1" x="136"/>
        <item h="1" x="94"/>
        <item h="1" x="97"/>
        <item h="1" x="66"/>
        <item h="1" x="78"/>
        <item h="1" x="107"/>
        <item h="1" x="89"/>
        <item h="1" x="104"/>
        <item h="1" x="110"/>
        <item h="1" x="113"/>
        <item h="1" x="117"/>
        <item h="1" x="120"/>
        <item h="1" x="123"/>
        <item h="1" x="127"/>
        <item h="1" x="130"/>
        <item h="1" x="134"/>
        <item h="1" x="138"/>
        <item h="1" x="99"/>
        <item h="1" x="102"/>
        <item h="1" x="108"/>
        <item h="1" x="105"/>
        <item h="1" x="111"/>
        <item h="1" x="114"/>
        <item h="1" x="118"/>
        <item h="1" x="121"/>
        <item h="1" x="124"/>
        <item h="1" x="128"/>
        <item h="1" x="131"/>
        <item h="1" x="135"/>
        <item h="1" x="139"/>
        <item h="1" x="10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</pivotFields>
  <rowFields count="2">
    <field x="4"/>
    <field x="5"/>
  </rowFields>
  <rowItems count="81">
    <i>
      <x/>
      <x/>
    </i>
    <i r="1">
      <x v="1"/>
    </i>
    <i r="1">
      <x v="2"/>
    </i>
    <i r="1">
      <x v="9"/>
    </i>
    <i r="1">
      <x v="10"/>
    </i>
    <i r="1">
      <x v="11"/>
    </i>
    <i r="1">
      <x v="18"/>
    </i>
    <i r="1">
      <x v="19"/>
    </i>
    <i r="1">
      <x v="24"/>
    </i>
    <i r="1">
      <x v="27"/>
    </i>
    <i r="1">
      <x v="28"/>
    </i>
    <i r="1">
      <x v="33"/>
    </i>
    <i r="1">
      <x v="34"/>
    </i>
    <i r="1">
      <x v="39"/>
    </i>
    <i r="1">
      <x v="40"/>
    </i>
    <i r="1">
      <x v="45"/>
    </i>
    <i r="1">
      <x v="46"/>
    </i>
    <i r="1">
      <x v="51"/>
    </i>
    <i r="1">
      <x v="52"/>
    </i>
    <i r="1">
      <x v="57"/>
    </i>
    <i r="1">
      <x v="58"/>
    </i>
    <i r="1">
      <x v="63"/>
    </i>
    <i r="1">
      <x v="64"/>
    </i>
    <i r="1">
      <x v="69"/>
    </i>
    <i r="1">
      <x v="70"/>
    </i>
    <i r="1">
      <x v="74"/>
    </i>
    <i r="1">
      <x v="75"/>
    </i>
    <i>
      <x v="1"/>
      <x v="6"/>
    </i>
    <i r="1">
      <x v="7"/>
    </i>
    <i r="1">
      <x v="8"/>
    </i>
    <i r="1">
      <x v="15"/>
    </i>
    <i r="1">
      <x v="16"/>
    </i>
    <i r="1">
      <x v="17"/>
    </i>
    <i r="1">
      <x v="22"/>
    </i>
    <i r="1">
      <x v="23"/>
    </i>
    <i r="1">
      <x v="26"/>
    </i>
    <i r="1">
      <x v="31"/>
    </i>
    <i r="1">
      <x v="32"/>
    </i>
    <i r="1">
      <x v="37"/>
    </i>
    <i r="1">
      <x v="38"/>
    </i>
    <i r="1">
      <x v="43"/>
    </i>
    <i r="1">
      <x v="44"/>
    </i>
    <i r="1">
      <x v="49"/>
    </i>
    <i r="1">
      <x v="50"/>
    </i>
    <i r="1">
      <x v="55"/>
    </i>
    <i r="1">
      <x v="56"/>
    </i>
    <i r="1">
      <x v="61"/>
    </i>
    <i r="1">
      <x v="62"/>
    </i>
    <i r="1">
      <x v="67"/>
    </i>
    <i r="1">
      <x v="68"/>
    </i>
    <i r="1">
      <x v="73"/>
    </i>
    <i r="1">
      <x v="78"/>
    </i>
    <i r="1">
      <x v="79"/>
    </i>
    <i>
      <x v="2"/>
      <x v="3"/>
    </i>
    <i r="1">
      <x v="4"/>
    </i>
    <i r="1">
      <x v="5"/>
    </i>
    <i r="1">
      <x v="12"/>
    </i>
    <i r="1">
      <x v="13"/>
    </i>
    <i r="1">
      <x v="14"/>
    </i>
    <i r="1">
      <x v="20"/>
    </i>
    <i r="1">
      <x v="21"/>
    </i>
    <i r="1">
      <x v="25"/>
    </i>
    <i r="1">
      <x v="29"/>
    </i>
    <i r="1">
      <x v="30"/>
    </i>
    <i r="1">
      <x v="35"/>
    </i>
    <i r="1">
      <x v="36"/>
    </i>
    <i r="1">
      <x v="41"/>
    </i>
    <i r="1">
      <x v="42"/>
    </i>
    <i r="1">
      <x v="47"/>
    </i>
    <i r="1">
      <x v="48"/>
    </i>
    <i r="1">
      <x v="53"/>
    </i>
    <i r="1">
      <x v="54"/>
    </i>
    <i r="1">
      <x v="59"/>
    </i>
    <i r="1">
      <x v="60"/>
    </i>
    <i r="1">
      <x v="65"/>
    </i>
    <i r="1">
      <x v="66"/>
    </i>
    <i r="1">
      <x v="71"/>
    </i>
    <i r="1">
      <x v="72"/>
    </i>
    <i r="1">
      <x v="76"/>
    </i>
    <i r="1">
      <x v="77"/>
    </i>
    <i t="grand">
      <x/>
    </i>
  </rowItems>
  <colItems count="1">
    <i/>
  </colItems>
  <pageFields count="1">
    <pageField fld="1" hier="-1"/>
  </pageFields>
  <dataFields count="1">
    <dataField name="Sum of AMOUNT" fld="12" baseField="5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A80859-FCD3-4D49-80CC-439FFF2D0C3C}" name="PivotTable7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T4:AU50" firstHeaderRow="1" firstDataRow="1" firstDataCol="1" rowPageCount="2" colPageCount="1"/>
  <pivotFields count="16">
    <pivotField showAll="0"/>
    <pivotField axis="axisPage" showAll="0">
      <items count="311">
        <item x="65"/>
        <item x="136"/>
        <item x="147"/>
        <item x="199"/>
        <item x="211"/>
        <item x="4"/>
        <item x="96"/>
        <item x="112"/>
        <item x="31"/>
        <item x="93"/>
        <item x="266"/>
        <item x="186"/>
        <item x="268"/>
        <item x="111"/>
        <item x="162"/>
        <item x="41"/>
        <item x="81"/>
        <item x="197"/>
        <item x="30"/>
        <item x="21"/>
        <item x="15"/>
        <item x="14"/>
        <item x="36"/>
        <item x="116"/>
        <item x="125"/>
        <item x="114"/>
        <item x="227"/>
        <item x="144"/>
        <item x="142"/>
        <item x="229"/>
        <item x="239"/>
        <item x="190"/>
        <item x="83"/>
        <item x="3"/>
        <item x="123"/>
        <item x="183"/>
        <item x="278"/>
        <item x="261"/>
        <item x="282"/>
        <item x="246"/>
        <item x="263"/>
        <item x="242"/>
        <item x="196"/>
        <item x="201"/>
        <item x="73"/>
        <item x="78"/>
        <item x="19"/>
        <item x="47"/>
        <item x="174"/>
        <item x="118"/>
        <item x="218"/>
        <item x="151"/>
        <item x="33"/>
        <item x="233"/>
        <item x="181"/>
        <item x="230"/>
        <item x="290"/>
        <item x="43"/>
        <item x="119"/>
        <item x="187"/>
        <item x="210"/>
        <item x="121"/>
        <item x="70"/>
        <item x="283"/>
        <item x="12"/>
        <item x="87"/>
        <item x="62"/>
        <item x="133"/>
        <item x="207"/>
        <item x="29"/>
        <item x="245"/>
        <item x="86"/>
        <item x="267"/>
        <item x="189"/>
        <item x="8"/>
        <item x="185"/>
        <item x="228"/>
        <item x="280"/>
        <item x="127"/>
        <item x="130"/>
        <item x="64"/>
        <item x="293"/>
        <item x="297"/>
        <item x="219"/>
        <item x="27"/>
        <item x="255"/>
        <item x="150"/>
        <item x="296"/>
        <item x="89"/>
        <item x="25"/>
        <item x="158"/>
        <item x="66"/>
        <item x="191"/>
        <item x="107"/>
        <item x="108"/>
        <item x="49"/>
        <item x="213"/>
        <item x="99"/>
        <item x="37"/>
        <item x="46"/>
        <item x="39"/>
        <item x="5"/>
        <item x="102"/>
        <item x="249"/>
        <item x="7"/>
        <item x="122"/>
        <item x="128"/>
        <item x="26"/>
        <item x="200"/>
        <item x="275"/>
        <item x="13"/>
        <item x="72"/>
        <item x="208"/>
        <item x="101"/>
        <item x="216"/>
        <item x="231"/>
        <item x="1"/>
        <item x="34"/>
        <item x="243"/>
        <item x="194"/>
        <item x="236"/>
        <item x="274"/>
        <item x="269"/>
        <item x="292"/>
        <item x="11"/>
        <item x="155"/>
        <item x="247"/>
        <item x="212"/>
        <item x="68"/>
        <item x="226"/>
        <item x="225"/>
        <item x="88"/>
        <item x="270"/>
        <item x="164"/>
        <item x="205"/>
        <item x="214"/>
        <item x="69"/>
        <item x="135"/>
        <item x="61"/>
        <item x="134"/>
        <item x="301"/>
        <item x="272"/>
        <item x="204"/>
        <item x="202"/>
        <item x="105"/>
        <item x="209"/>
        <item x="288"/>
        <item x="132"/>
        <item x="171"/>
        <item x="159"/>
        <item x="173"/>
        <item x="224"/>
        <item x="271"/>
        <item x="67"/>
        <item x="52"/>
        <item x="113"/>
        <item x="157"/>
        <item x="251"/>
        <item x="103"/>
        <item x="77"/>
        <item x="286"/>
        <item x="76"/>
        <item x="168"/>
        <item x="75"/>
        <item x="148"/>
        <item x="161"/>
        <item x="253"/>
        <item x="160"/>
        <item x="140"/>
        <item x="193"/>
        <item x="222"/>
        <item x="48"/>
        <item x="40"/>
        <item x="166"/>
        <item x="182"/>
        <item x="0"/>
        <item x="279"/>
        <item x="51"/>
        <item x="163"/>
        <item x="141"/>
        <item x="184"/>
        <item x="156"/>
        <item x="54"/>
        <item x="18"/>
        <item x="84"/>
        <item x="265"/>
        <item m="1" x="306"/>
        <item x="9"/>
        <item x="277"/>
        <item x="177"/>
        <item x="82"/>
        <item x="23"/>
        <item x="22"/>
        <item x="56"/>
        <item x="254"/>
        <item x="169"/>
        <item x="146"/>
        <item x="91"/>
        <item x="50"/>
        <item x="10"/>
        <item x="32"/>
        <item x="2"/>
        <item x="234"/>
        <item x="95"/>
        <item x="256"/>
        <item x="284"/>
        <item x="60"/>
        <item x="195"/>
        <item x="85"/>
        <item x="198"/>
        <item x="291"/>
        <item x="175"/>
        <item x="20"/>
        <item x="154"/>
        <item x="100"/>
        <item x="203"/>
        <item x="92"/>
        <item x="215"/>
        <item x="98"/>
        <item x="59"/>
        <item x="170"/>
        <item x="115"/>
        <item x="79"/>
        <item x="152"/>
        <item x="235"/>
        <item x="221"/>
        <item x="145"/>
        <item x="285"/>
        <item x="220"/>
        <item x="176"/>
        <item x="206"/>
        <item x="217"/>
        <item x="244"/>
        <item x="180"/>
        <item x="294"/>
        <item x="117"/>
        <item x="178"/>
        <item x="71"/>
        <item x="97"/>
        <item x="257"/>
        <item x="120"/>
        <item x="139"/>
        <item x="165"/>
        <item x="295"/>
        <item x="35"/>
        <item x="126"/>
        <item x="94"/>
        <item x="252"/>
        <item x="287"/>
        <item x="179"/>
        <item x="241"/>
        <item x="24"/>
        <item x="90"/>
        <item x="258"/>
        <item x="259"/>
        <item x="55"/>
        <item x="260"/>
        <item x="299"/>
        <item x="57"/>
        <item x="28"/>
        <item x="45"/>
        <item x="240"/>
        <item x="16"/>
        <item x="232"/>
        <item x="300"/>
        <item x="273"/>
        <item x="143"/>
        <item x="188"/>
        <item x="131"/>
        <item x="109"/>
        <item x="149"/>
        <item x="172"/>
        <item x="63"/>
        <item x="137"/>
        <item x="74"/>
        <item x="124"/>
        <item x="38"/>
        <item x="289"/>
        <item x="250"/>
        <item x="298"/>
        <item x="304"/>
        <item x="110"/>
        <item x="6"/>
        <item x="106"/>
        <item x="192"/>
        <item x="104"/>
        <item m="1" x="308"/>
        <item x="44"/>
        <item x="276"/>
        <item x="167"/>
        <item x="281"/>
        <item x="138"/>
        <item x="129"/>
        <item m="1" x="305"/>
        <item x="80"/>
        <item x="153"/>
        <item m="1" x="309"/>
        <item x="264"/>
        <item x="302"/>
        <item x="303"/>
        <item x="248"/>
        <item x="238"/>
        <item x="17"/>
        <item m="1" x="307"/>
        <item x="58"/>
        <item x="223"/>
        <item x="237"/>
        <item x="53"/>
        <item x="42"/>
        <item x="262"/>
        <item t="default"/>
      </items>
    </pivotField>
    <pivotField showAll="0"/>
    <pivotField showAll="0"/>
    <pivotField axis="axisRow" showAll="0">
      <items count="5">
        <item x="0"/>
        <item x="2"/>
        <item x="1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142">
        <item x="95"/>
        <item x="56"/>
        <item x="0"/>
        <item x="86"/>
        <item x="57"/>
        <item x="1"/>
        <item x="96"/>
        <item x="58"/>
        <item x="2"/>
        <item x="67"/>
        <item x="71"/>
        <item x="3"/>
        <item x="4"/>
        <item x="53"/>
        <item x="5"/>
        <item x="82"/>
        <item x="72"/>
        <item x="6"/>
        <item x="7"/>
        <item x="8"/>
        <item x="29"/>
        <item x="9"/>
        <item x="10"/>
        <item x="11"/>
        <item x="14"/>
        <item x="83"/>
        <item x="88"/>
        <item x="76"/>
        <item x="15"/>
        <item x="77"/>
        <item x="16"/>
        <item x="75"/>
        <item x="17"/>
        <item x="18"/>
        <item x="69"/>
        <item x="19"/>
        <item x="73"/>
        <item x="31"/>
        <item x="74"/>
        <item x="41"/>
        <item x="42"/>
        <item x="43"/>
        <item x="44"/>
        <item x="45"/>
        <item x="46"/>
        <item x="20"/>
        <item x="47"/>
        <item x="21"/>
        <item x="51"/>
        <item x="28"/>
        <item x="52"/>
        <item x="22"/>
        <item x="48"/>
        <item x="23"/>
        <item x="65"/>
        <item x="24"/>
        <item x="49"/>
        <item x="32"/>
        <item x="27"/>
        <item x="61"/>
        <item x="25"/>
        <item x="33"/>
        <item x="34"/>
        <item x="35"/>
        <item x="90"/>
        <item x="36"/>
        <item x="91"/>
        <item x="37"/>
        <item x="92"/>
        <item x="26"/>
        <item x="79"/>
        <item x="55"/>
        <item x="68"/>
        <item x="50"/>
        <item x="38"/>
        <item x="39"/>
        <item x="59"/>
        <item x="80"/>
        <item x="60"/>
        <item x="81"/>
        <item x="140"/>
        <item x="70"/>
        <item x="63"/>
        <item x="13"/>
        <item x="54"/>
        <item x="12"/>
        <item x="87"/>
        <item x="62"/>
        <item x="84"/>
        <item x="40"/>
        <item x="103"/>
        <item x="109"/>
        <item x="112"/>
        <item x="116"/>
        <item x="119"/>
        <item x="122"/>
        <item x="126"/>
        <item x="129"/>
        <item x="133"/>
        <item x="137"/>
        <item x="98"/>
        <item x="30"/>
        <item x="101"/>
        <item x="106"/>
        <item x="115"/>
        <item x="64"/>
        <item x="93"/>
        <item x="125"/>
        <item x="85"/>
        <item x="132"/>
        <item x="136"/>
        <item x="94"/>
        <item x="97"/>
        <item x="66"/>
        <item x="78"/>
        <item x="107"/>
        <item x="89"/>
        <item x="104"/>
        <item x="110"/>
        <item x="113"/>
        <item x="117"/>
        <item x="120"/>
        <item x="123"/>
        <item x="127"/>
        <item x="130"/>
        <item x="134"/>
        <item x="138"/>
        <item x="99"/>
        <item x="102"/>
        <item x="108"/>
        <item x="105"/>
        <item x="111"/>
        <item x="114"/>
        <item x="118"/>
        <item x="121"/>
        <item x="124"/>
        <item x="128"/>
        <item x="131"/>
        <item x="135"/>
        <item x="139"/>
        <item x="10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Page" multipleItemSelectionAllowed="1" showAll="0">
      <items count="8">
        <item h="1" x="1"/>
        <item h="1" x="2"/>
        <item h="1" x="6"/>
        <item x="0"/>
        <item h="1" x="3"/>
        <item h="1" x="4"/>
        <item x="5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2">
    <field x="4"/>
    <field x="5"/>
  </rowFields>
  <rowItems count="46">
    <i>
      <x/>
    </i>
    <i r="1">
      <x v="2"/>
    </i>
    <i r="1">
      <x v="11"/>
    </i>
    <i r="1">
      <x v="19"/>
    </i>
    <i r="1">
      <x v="28"/>
    </i>
    <i r="1">
      <x v="34"/>
    </i>
    <i r="1">
      <x v="40"/>
    </i>
    <i r="1">
      <x v="46"/>
    </i>
    <i r="1">
      <x v="52"/>
    </i>
    <i r="1">
      <x v="58"/>
    </i>
    <i r="1">
      <x v="64"/>
    </i>
    <i r="1">
      <x v="70"/>
    </i>
    <i r="1">
      <x v="75"/>
    </i>
    <i r="1">
      <x v="87"/>
    </i>
    <i r="1">
      <x v="89"/>
    </i>
    <i>
      <x v="1"/>
    </i>
    <i r="1">
      <x v="8"/>
    </i>
    <i r="1">
      <x v="17"/>
    </i>
    <i r="1">
      <x v="23"/>
    </i>
    <i r="1">
      <x v="32"/>
    </i>
    <i r="1">
      <x v="38"/>
    </i>
    <i r="1">
      <x v="44"/>
    </i>
    <i r="1">
      <x v="50"/>
    </i>
    <i r="1">
      <x v="56"/>
    </i>
    <i r="1">
      <x v="62"/>
    </i>
    <i r="1">
      <x v="68"/>
    </i>
    <i r="1">
      <x v="79"/>
    </i>
    <i r="1">
      <x v="82"/>
    </i>
    <i r="1">
      <x v="115"/>
    </i>
    <i r="1">
      <x v="116"/>
    </i>
    <i>
      <x v="2"/>
    </i>
    <i r="1">
      <x v="5"/>
    </i>
    <i r="1">
      <x v="14"/>
    </i>
    <i r="1">
      <x v="21"/>
    </i>
    <i r="1">
      <x v="30"/>
    </i>
    <i r="1">
      <x v="36"/>
    </i>
    <i r="1">
      <x v="42"/>
    </i>
    <i r="1">
      <x v="48"/>
    </i>
    <i r="1">
      <x v="54"/>
    </i>
    <i r="1">
      <x v="60"/>
    </i>
    <i r="1">
      <x v="66"/>
    </i>
    <i r="1">
      <x v="72"/>
    </i>
    <i r="1">
      <x v="77"/>
    </i>
    <i r="1">
      <x v="84"/>
    </i>
    <i r="1">
      <x v="129"/>
    </i>
    <i t="grand">
      <x/>
    </i>
  </rowItems>
  <colItems count="1">
    <i/>
  </colItems>
  <pageFields count="2">
    <pageField fld="1" hier="-1"/>
    <pageField fld="7" hier="-1"/>
  </pageFields>
  <dataFields count="1">
    <dataField name="Sum of AMOUNT" fld="12" baseField="5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2484D4-28CE-4479-8110-0F08F0EFAD0E}" name="PivotTable4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X4:AY50" firstHeaderRow="1" firstDataRow="1" firstDataCol="1" rowPageCount="2" colPageCount="1"/>
  <pivotFields count="16">
    <pivotField showAll="0"/>
    <pivotField axis="axisPage" showAll="0">
      <items count="311">
        <item x="65"/>
        <item x="136"/>
        <item x="147"/>
        <item x="199"/>
        <item x="211"/>
        <item x="4"/>
        <item x="96"/>
        <item x="112"/>
        <item x="31"/>
        <item x="93"/>
        <item x="266"/>
        <item x="186"/>
        <item x="268"/>
        <item x="111"/>
        <item x="162"/>
        <item x="41"/>
        <item x="81"/>
        <item x="197"/>
        <item x="30"/>
        <item x="21"/>
        <item x="15"/>
        <item x="14"/>
        <item x="36"/>
        <item x="116"/>
        <item x="125"/>
        <item x="114"/>
        <item x="227"/>
        <item x="144"/>
        <item x="142"/>
        <item x="229"/>
        <item x="239"/>
        <item x="190"/>
        <item x="83"/>
        <item x="3"/>
        <item x="123"/>
        <item x="183"/>
        <item x="278"/>
        <item x="261"/>
        <item x="282"/>
        <item x="246"/>
        <item x="263"/>
        <item x="242"/>
        <item x="196"/>
        <item x="201"/>
        <item x="73"/>
        <item x="78"/>
        <item x="19"/>
        <item x="47"/>
        <item x="174"/>
        <item x="118"/>
        <item x="218"/>
        <item x="151"/>
        <item x="33"/>
        <item x="233"/>
        <item x="181"/>
        <item x="230"/>
        <item x="290"/>
        <item x="43"/>
        <item x="119"/>
        <item x="187"/>
        <item x="210"/>
        <item x="121"/>
        <item x="70"/>
        <item x="283"/>
        <item x="12"/>
        <item x="87"/>
        <item x="62"/>
        <item x="133"/>
        <item x="207"/>
        <item x="29"/>
        <item x="245"/>
        <item x="86"/>
        <item x="267"/>
        <item x="189"/>
        <item x="8"/>
        <item x="185"/>
        <item x="228"/>
        <item x="280"/>
        <item x="127"/>
        <item x="130"/>
        <item x="64"/>
        <item x="293"/>
        <item x="297"/>
        <item x="219"/>
        <item x="27"/>
        <item x="255"/>
        <item x="150"/>
        <item x="296"/>
        <item x="89"/>
        <item x="25"/>
        <item x="158"/>
        <item x="66"/>
        <item x="191"/>
        <item x="107"/>
        <item x="108"/>
        <item x="49"/>
        <item x="213"/>
        <item x="99"/>
        <item x="37"/>
        <item x="46"/>
        <item x="39"/>
        <item x="5"/>
        <item x="102"/>
        <item x="249"/>
        <item x="7"/>
        <item x="122"/>
        <item x="128"/>
        <item x="26"/>
        <item x="200"/>
        <item x="275"/>
        <item x="13"/>
        <item x="72"/>
        <item x="208"/>
        <item x="101"/>
        <item x="216"/>
        <item x="231"/>
        <item x="1"/>
        <item x="34"/>
        <item x="243"/>
        <item x="194"/>
        <item x="236"/>
        <item x="274"/>
        <item x="269"/>
        <item x="292"/>
        <item x="11"/>
        <item x="155"/>
        <item x="247"/>
        <item x="212"/>
        <item x="68"/>
        <item x="226"/>
        <item x="225"/>
        <item x="88"/>
        <item x="270"/>
        <item x="164"/>
        <item x="205"/>
        <item x="214"/>
        <item x="69"/>
        <item x="135"/>
        <item x="61"/>
        <item x="134"/>
        <item x="301"/>
        <item x="272"/>
        <item x="204"/>
        <item x="202"/>
        <item x="105"/>
        <item x="209"/>
        <item x="288"/>
        <item x="132"/>
        <item x="171"/>
        <item x="159"/>
        <item x="173"/>
        <item x="224"/>
        <item x="271"/>
        <item x="67"/>
        <item x="52"/>
        <item x="113"/>
        <item x="157"/>
        <item x="251"/>
        <item x="103"/>
        <item x="77"/>
        <item x="286"/>
        <item x="76"/>
        <item x="168"/>
        <item x="75"/>
        <item x="148"/>
        <item x="161"/>
        <item x="253"/>
        <item x="160"/>
        <item x="140"/>
        <item x="193"/>
        <item x="222"/>
        <item x="48"/>
        <item x="40"/>
        <item x="166"/>
        <item x="182"/>
        <item x="0"/>
        <item x="279"/>
        <item x="51"/>
        <item x="163"/>
        <item x="141"/>
        <item x="184"/>
        <item x="156"/>
        <item x="54"/>
        <item x="18"/>
        <item x="84"/>
        <item x="265"/>
        <item m="1" x="306"/>
        <item x="9"/>
        <item x="277"/>
        <item x="177"/>
        <item x="82"/>
        <item x="23"/>
        <item x="22"/>
        <item x="56"/>
        <item x="254"/>
        <item x="169"/>
        <item x="146"/>
        <item x="91"/>
        <item x="50"/>
        <item x="10"/>
        <item x="32"/>
        <item x="2"/>
        <item x="234"/>
        <item x="95"/>
        <item x="256"/>
        <item x="284"/>
        <item x="60"/>
        <item x="195"/>
        <item x="85"/>
        <item x="198"/>
        <item x="291"/>
        <item x="175"/>
        <item x="20"/>
        <item x="154"/>
        <item x="100"/>
        <item x="203"/>
        <item x="92"/>
        <item x="215"/>
        <item x="98"/>
        <item x="59"/>
        <item x="170"/>
        <item x="115"/>
        <item x="79"/>
        <item x="152"/>
        <item x="235"/>
        <item x="221"/>
        <item x="145"/>
        <item x="285"/>
        <item x="220"/>
        <item x="176"/>
        <item x="206"/>
        <item x="217"/>
        <item x="244"/>
        <item x="180"/>
        <item x="294"/>
        <item x="117"/>
        <item x="178"/>
        <item x="71"/>
        <item x="97"/>
        <item x="257"/>
        <item x="120"/>
        <item x="139"/>
        <item x="165"/>
        <item x="295"/>
        <item x="35"/>
        <item x="126"/>
        <item x="94"/>
        <item x="252"/>
        <item x="287"/>
        <item x="179"/>
        <item x="241"/>
        <item x="24"/>
        <item x="90"/>
        <item x="258"/>
        <item x="259"/>
        <item x="55"/>
        <item x="260"/>
        <item x="299"/>
        <item x="57"/>
        <item x="28"/>
        <item x="45"/>
        <item x="240"/>
        <item x="16"/>
        <item x="232"/>
        <item x="300"/>
        <item x="273"/>
        <item x="143"/>
        <item x="188"/>
        <item x="131"/>
        <item x="109"/>
        <item x="149"/>
        <item x="172"/>
        <item x="63"/>
        <item x="137"/>
        <item x="74"/>
        <item x="124"/>
        <item x="38"/>
        <item x="289"/>
        <item x="250"/>
        <item x="298"/>
        <item x="304"/>
        <item x="110"/>
        <item x="6"/>
        <item x="106"/>
        <item x="192"/>
        <item x="104"/>
        <item m="1" x="308"/>
        <item x="44"/>
        <item x="276"/>
        <item x="167"/>
        <item x="281"/>
        <item x="138"/>
        <item x="129"/>
        <item m="1" x="305"/>
        <item x="80"/>
        <item x="153"/>
        <item m="1" x="309"/>
        <item x="264"/>
        <item x="302"/>
        <item x="303"/>
        <item x="248"/>
        <item x="238"/>
        <item x="17"/>
        <item m="1" x="307"/>
        <item x="58"/>
        <item x="223"/>
        <item x="237"/>
        <item x="53"/>
        <item x="42"/>
        <item x="262"/>
        <item t="default"/>
      </items>
    </pivotField>
    <pivotField showAll="0"/>
    <pivotField showAll="0"/>
    <pivotField axis="axisRow" showAll="0">
      <items count="5">
        <item x="0"/>
        <item x="2"/>
        <item x="1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142">
        <item x="95"/>
        <item x="56"/>
        <item x="0"/>
        <item x="86"/>
        <item x="57"/>
        <item x="1"/>
        <item x="96"/>
        <item x="58"/>
        <item x="2"/>
        <item x="67"/>
        <item x="71"/>
        <item x="3"/>
        <item x="4"/>
        <item x="53"/>
        <item x="5"/>
        <item x="82"/>
        <item x="72"/>
        <item x="6"/>
        <item x="7"/>
        <item x="8"/>
        <item x="29"/>
        <item x="9"/>
        <item x="10"/>
        <item x="11"/>
        <item x="14"/>
        <item x="83"/>
        <item x="88"/>
        <item x="76"/>
        <item x="15"/>
        <item x="77"/>
        <item x="16"/>
        <item x="75"/>
        <item x="17"/>
        <item x="18"/>
        <item x="69"/>
        <item x="19"/>
        <item x="73"/>
        <item x="31"/>
        <item x="74"/>
        <item x="41"/>
        <item x="42"/>
        <item x="43"/>
        <item x="44"/>
        <item x="45"/>
        <item x="46"/>
        <item x="20"/>
        <item x="47"/>
        <item x="21"/>
        <item x="51"/>
        <item x="28"/>
        <item x="52"/>
        <item x="22"/>
        <item x="48"/>
        <item x="23"/>
        <item x="65"/>
        <item x="24"/>
        <item x="49"/>
        <item x="32"/>
        <item x="27"/>
        <item x="61"/>
        <item x="25"/>
        <item x="33"/>
        <item x="34"/>
        <item x="35"/>
        <item x="90"/>
        <item x="36"/>
        <item x="91"/>
        <item x="37"/>
        <item x="92"/>
        <item x="26"/>
        <item x="79"/>
        <item x="55"/>
        <item x="68"/>
        <item x="50"/>
        <item x="38"/>
        <item x="39"/>
        <item x="59"/>
        <item x="80"/>
        <item x="60"/>
        <item x="81"/>
        <item x="140"/>
        <item x="70"/>
        <item x="63"/>
        <item x="13"/>
        <item x="54"/>
        <item x="12"/>
        <item x="87"/>
        <item x="62"/>
        <item x="84"/>
        <item x="40"/>
        <item x="103"/>
        <item x="109"/>
        <item x="112"/>
        <item x="116"/>
        <item x="119"/>
        <item x="122"/>
        <item x="126"/>
        <item x="129"/>
        <item x="133"/>
        <item x="137"/>
        <item x="98"/>
        <item x="30"/>
        <item x="101"/>
        <item x="106"/>
        <item x="115"/>
        <item x="64"/>
        <item x="93"/>
        <item x="125"/>
        <item x="85"/>
        <item x="132"/>
        <item x="136"/>
        <item x="94"/>
        <item x="97"/>
        <item x="66"/>
        <item x="78"/>
        <item x="107"/>
        <item x="89"/>
        <item x="104"/>
        <item x="110"/>
        <item x="113"/>
        <item x="117"/>
        <item x="120"/>
        <item x="123"/>
        <item x="127"/>
        <item x="130"/>
        <item x="134"/>
        <item x="138"/>
        <item x="99"/>
        <item x="102"/>
        <item x="108"/>
        <item x="105"/>
        <item x="111"/>
        <item x="114"/>
        <item x="118"/>
        <item x="121"/>
        <item x="124"/>
        <item x="128"/>
        <item x="131"/>
        <item x="135"/>
        <item x="139"/>
        <item x="10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Page" multipleItemSelectionAllowed="1" showAll="0">
      <items count="8">
        <item h="1" x="1"/>
        <item x="2"/>
        <item h="1" x="6"/>
        <item h="1" x="0"/>
        <item h="1" x="3"/>
        <item h="1" x="4"/>
        <item h="1" x="5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2">
    <field x="4"/>
    <field x="5"/>
  </rowFields>
  <rowItems count="46">
    <i>
      <x/>
    </i>
    <i r="1">
      <x v="1"/>
    </i>
    <i r="1">
      <x v="10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>
      <x v="1"/>
    </i>
    <i r="1">
      <x v="7"/>
    </i>
    <i r="1">
      <x v="16"/>
    </i>
    <i r="1">
      <x v="83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>
      <x v="2"/>
    </i>
    <i r="1">
      <x v="4"/>
    </i>
    <i r="1">
      <x v="13"/>
    </i>
    <i r="1">
      <x v="85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t="grand">
      <x/>
    </i>
  </rowItems>
  <colItems count="1">
    <i/>
  </colItems>
  <pageFields count="2">
    <pageField fld="1" hier="-1"/>
    <pageField fld="7" hier="-1"/>
  </pageFields>
  <dataFields count="1">
    <dataField name="Sum of AMOUNT" fld="12" baseField="5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F4312E-6A46-4AC6-B3C1-DE33B4BE6D31}" name="PivotTable29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V4:AW20" firstHeaderRow="1" firstDataRow="1" firstDataCol="1" rowPageCount="2" colPageCount="1"/>
  <pivotFields count="16">
    <pivotField showAll="0"/>
    <pivotField axis="axisPage" showAll="0">
      <items count="311">
        <item x="65"/>
        <item x="136"/>
        <item x="147"/>
        <item x="199"/>
        <item x="211"/>
        <item x="4"/>
        <item x="96"/>
        <item x="112"/>
        <item x="31"/>
        <item x="93"/>
        <item x="266"/>
        <item x="186"/>
        <item x="268"/>
        <item x="111"/>
        <item x="162"/>
        <item x="41"/>
        <item x="81"/>
        <item x="197"/>
        <item x="30"/>
        <item x="21"/>
        <item x="15"/>
        <item x="14"/>
        <item x="36"/>
        <item x="116"/>
        <item x="125"/>
        <item x="114"/>
        <item x="227"/>
        <item x="144"/>
        <item x="142"/>
        <item x="229"/>
        <item x="239"/>
        <item x="190"/>
        <item x="83"/>
        <item x="3"/>
        <item x="123"/>
        <item x="183"/>
        <item x="278"/>
        <item x="261"/>
        <item x="282"/>
        <item x="246"/>
        <item x="263"/>
        <item x="242"/>
        <item x="196"/>
        <item x="201"/>
        <item x="73"/>
        <item x="78"/>
        <item x="19"/>
        <item x="47"/>
        <item x="174"/>
        <item x="118"/>
        <item x="218"/>
        <item x="151"/>
        <item x="33"/>
        <item x="233"/>
        <item x="181"/>
        <item x="230"/>
        <item x="290"/>
        <item x="43"/>
        <item x="119"/>
        <item x="187"/>
        <item x="210"/>
        <item x="121"/>
        <item x="70"/>
        <item x="283"/>
        <item x="12"/>
        <item x="87"/>
        <item x="62"/>
        <item x="133"/>
        <item x="207"/>
        <item x="29"/>
        <item x="245"/>
        <item x="86"/>
        <item x="267"/>
        <item x="189"/>
        <item x="8"/>
        <item x="185"/>
        <item x="228"/>
        <item x="280"/>
        <item x="127"/>
        <item x="130"/>
        <item x="64"/>
        <item x="293"/>
        <item x="297"/>
        <item x="219"/>
        <item x="27"/>
        <item x="255"/>
        <item x="150"/>
        <item x="296"/>
        <item x="89"/>
        <item x="25"/>
        <item x="158"/>
        <item x="66"/>
        <item x="191"/>
        <item x="107"/>
        <item x="108"/>
        <item x="49"/>
        <item x="213"/>
        <item x="99"/>
        <item x="37"/>
        <item x="46"/>
        <item x="39"/>
        <item x="5"/>
        <item x="102"/>
        <item x="249"/>
        <item x="7"/>
        <item x="122"/>
        <item x="128"/>
        <item x="26"/>
        <item x="200"/>
        <item x="275"/>
        <item x="13"/>
        <item x="72"/>
        <item x="208"/>
        <item x="101"/>
        <item x="216"/>
        <item x="231"/>
        <item x="1"/>
        <item x="34"/>
        <item x="243"/>
        <item x="194"/>
        <item x="236"/>
        <item x="274"/>
        <item x="269"/>
        <item x="292"/>
        <item x="11"/>
        <item x="155"/>
        <item x="247"/>
        <item x="212"/>
        <item x="68"/>
        <item x="226"/>
        <item x="225"/>
        <item x="88"/>
        <item x="270"/>
        <item x="164"/>
        <item x="205"/>
        <item x="214"/>
        <item x="69"/>
        <item x="135"/>
        <item x="61"/>
        <item x="134"/>
        <item x="301"/>
        <item x="272"/>
        <item x="204"/>
        <item x="202"/>
        <item x="105"/>
        <item x="209"/>
        <item x="288"/>
        <item x="132"/>
        <item x="171"/>
        <item x="159"/>
        <item x="173"/>
        <item x="224"/>
        <item x="271"/>
        <item x="67"/>
        <item x="52"/>
        <item x="113"/>
        <item x="157"/>
        <item x="251"/>
        <item x="103"/>
        <item x="77"/>
        <item x="286"/>
        <item x="76"/>
        <item x="168"/>
        <item x="75"/>
        <item x="148"/>
        <item x="161"/>
        <item x="253"/>
        <item x="160"/>
        <item x="140"/>
        <item x="193"/>
        <item x="222"/>
        <item x="48"/>
        <item x="40"/>
        <item x="166"/>
        <item x="182"/>
        <item x="0"/>
        <item x="279"/>
        <item x="51"/>
        <item x="163"/>
        <item x="141"/>
        <item x="184"/>
        <item x="156"/>
        <item x="54"/>
        <item x="18"/>
        <item x="84"/>
        <item x="265"/>
        <item m="1" x="306"/>
        <item x="9"/>
        <item x="277"/>
        <item x="177"/>
        <item x="82"/>
        <item x="23"/>
        <item x="22"/>
        <item x="56"/>
        <item x="254"/>
        <item x="169"/>
        <item x="146"/>
        <item x="91"/>
        <item x="50"/>
        <item x="10"/>
        <item x="32"/>
        <item x="2"/>
        <item x="234"/>
        <item x="95"/>
        <item x="256"/>
        <item x="284"/>
        <item x="60"/>
        <item x="195"/>
        <item x="85"/>
        <item x="198"/>
        <item x="291"/>
        <item x="175"/>
        <item x="20"/>
        <item x="154"/>
        <item x="100"/>
        <item x="203"/>
        <item x="92"/>
        <item x="215"/>
        <item x="98"/>
        <item x="59"/>
        <item x="170"/>
        <item x="115"/>
        <item x="79"/>
        <item x="152"/>
        <item x="235"/>
        <item x="221"/>
        <item x="145"/>
        <item x="285"/>
        <item x="220"/>
        <item x="176"/>
        <item x="206"/>
        <item x="217"/>
        <item x="244"/>
        <item x="180"/>
        <item x="294"/>
        <item x="117"/>
        <item x="178"/>
        <item x="71"/>
        <item x="97"/>
        <item x="257"/>
        <item x="120"/>
        <item x="139"/>
        <item x="165"/>
        <item x="295"/>
        <item x="35"/>
        <item x="126"/>
        <item x="94"/>
        <item x="252"/>
        <item x="287"/>
        <item x="179"/>
        <item x="241"/>
        <item x="24"/>
        <item x="90"/>
        <item x="258"/>
        <item x="259"/>
        <item x="55"/>
        <item x="260"/>
        <item x="299"/>
        <item x="57"/>
        <item x="28"/>
        <item x="45"/>
        <item x="240"/>
        <item x="16"/>
        <item x="232"/>
        <item x="300"/>
        <item x="273"/>
        <item x="143"/>
        <item x="188"/>
        <item x="131"/>
        <item x="109"/>
        <item x="149"/>
        <item x="172"/>
        <item x="63"/>
        <item x="137"/>
        <item x="74"/>
        <item x="124"/>
        <item x="38"/>
        <item x="289"/>
        <item x="250"/>
        <item x="298"/>
        <item x="304"/>
        <item x="110"/>
        <item x="6"/>
        <item x="106"/>
        <item x="192"/>
        <item x="104"/>
        <item m="1" x="308"/>
        <item x="44"/>
        <item x="276"/>
        <item x="167"/>
        <item x="281"/>
        <item x="138"/>
        <item x="129"/>
        <item m="1" x="305"/>
        <item x="80"/>
        <item x="153"/>
        <item m="1" x="309"/>
        <item x="264"/>
        <item x="302"/>
        <item x="303"/>
        <item x="248"/>
        <item x="238"/>
        <item x="17"/>
        <item m="1" x="307"/>
        <item x="58"/>
        <item x="223"/>
        <item x="237"/>
        <item x="53"/>
        <item x="42"/>
        <item x="262"/>
        <item t="default"/>
      </items>
    </pivotField>
    <pivotField showAll="0"/>
    <pivotField showAll="0"/>
    <pivotField axis="axisRow" showAll="0">
      <items count="5">
        <item x="0"/>
        <item x="2"/>
        <item x="1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142">
        <item x="95"/>
        <item x="56"/>
        <item x="0"/>
        <item x="86"/>
        <item x="57"/>
        <item x="1"/>
        <item x="96"/>
        <item x="58"/>
        <item x="2"/>
        <item x="67"/>
        <item x="71"/>
        <item x="3"/>
        <item x="4"/>
        <item x="53"/>
        <item x="5"/>
        <item x="82"/>
        <item x="72"/>
        <item x="6"/>
        <item x="7"/>
        <item x="8"/>
        <item x="29"/>
        <item x="9"/>
        <item x="10"/>
        <item x="11"/>
        <item x="14"/>
        <item x="83"/>
        <item x="88"/>
        <item x="76"/>
        <item x="15"/>
        <item x="77"/>
        <item x="16"/>
        <item x="75"/>
        <item x="17"/>
        <item x="18"/>
        <item x="69"/>
        <item x="19"/>
        <item x="73"/>
        <item x="31"/>
        <item x="74"/>
        <item x="41"/>
        <item x="42"/>
        <item x="43"/>
        <item x="44"/>
        <item x="45"/>
        <item x="46"/>
        <item x="20"/>
        <item x="47"/>
        <item x="21"/>
        <item x="51"/>
        <item x="28"/>
        <item x="52"/>
        <item x="22"/>
        <item x="48"/>
        <item x="23"/>
        <item x="65"/>
        <item x="24"/>
        <item x="49"/>
        <item x="32"/>
        <item x="27"/>
        <item x="61"/>
        <item x="25"/>
        <item x="33"/>
        <item x="34"/>
        <item x="35"/>
        <item x="90"/>
        <item x="36"/>
        <item x="91"/>
        <item x="37"/>
        <item x="92"/>
        <item x="26"/>
        <item x="79"/>
        <item x="55"/>
        <item x="68"/>
        <item x="50"/>
        <item x="38"/>
        <item x="39"/>
        <item x="59"/>
        <item x="80"/>
        <item x="60"/>
        <item x="81"/>
        <item x="140"/>
        <item x="70"/>
        <item x="63"/>
        <item x="13"/>
        <item x="54"/>
        <item x="12"/>
        <item x="87"/>
        <item x="62"/>
        <item x="84"/>
        <item x="40"/>
        <item x="103"/>
        <item x="109"/>
        <item x="112"/>
        <item x="116"/>
        <item x="119"/>
        <item x="122"/>
        <item x="126"/>
        <item x="129"/>
        <item x="133"/>
        <item x="137"/>
        <item x="98"/>
        <item x="30"/>
        <item x="101"/>
        <item x="106"/>
        <item x="115"/>
        <item x="64"/>
        <item x="93"/>
        <item x="125"/>
        <item x="85"/>
        <item x="132"/>
        <item x="136"/>
        <item x="94"/>
        <item x="97"/>
        <item x="66"/>
        <item x="78"/>
        <item x="107"/>
        <item x="89"/>
        <item x="104"/>
        <item x="110"/>
        <item x="113"/>
        <item x="117"/>
        <item x="120"/>
        <item x="123"/>
        <item x="127"/>
        <item x="130"/>
        <item x="134"/>
        <item x="138"/>
        <item x="99"/>
        <item x="102"/>
        <item x="108"/>
        <item x="105"/>
        <item x="111"/>
        <item x="114"/>
        <item x="118"/>
        <item x="121"/>
        <item x="124"/>
        <item x="128"/>
        <item x="131"/>
        <item x="135"/>
        <item x="139"/>
        <item x="10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Page" multipleItemSelectionAllowed="1" showAll="0">
      <items count="8">
        <item h="1" x="1"/>
        <item h="1" x="2"/>
        <item h="1" x="6"/>
        <item h="1" x="0"/>
        <item x="3"/>
        <item x="4"/>
        <item h="1" x="5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2">
    <field x="4"/>
    <field x="5"/>
  </rowFields>
  <rowItems count="16">
    <i>
      <x/>
    </i>
    <i r="1">
      <x v="81"/>
    </i>
    <i r="1">
      <x v="88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t="grand">
      <x/>
    </i>
  </rowItems>
  <colItems count="1">
    <i/>
  </colItems>
  <pageFields count="2">
    <pageField fld="1" hier="-1"/>
    <pageField fld="7" hier="-1"/>
  </pageFields>
  <dataFields count="1">
    <dataField name="Sum of AMOUNT" fld="12" baseField="5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3C50FA-FB2E-4705-B469-B2469E6937EC}" name="PivotTable23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I3:BJ14" firstHeaderRow="1" firstDataRow="1" firstDataCol="1" rowPageCount="1" colPageCount="1"/>
  <pivotFields count="16">
    <pivotField showAll="0"/>
    <pivotField axis="axisPage" showAll="0">
      <items count="311">
        <item x="65"/>
        <item x="136"/>
        <item x="147"/>
        <item x="199"/>
        <item x="211"/>
        <item x="4"/>
        <item x="96"/>
        <item x="112"/>
        <item x="31"/>
        <item x="93"/>
        <item x="266"/>
        <item x="186"/>
        <item x="268"/>
        <item x="111"/>
        <item x="162"/>
        <item x="41"/>
        <item x="81"/>
        <item x="197"/>
        <item x="30"/>
        <item x="21"/>
        <item x="15"/>
        <item x="14"/>
        <item x="36"/>
        <item x="116"/>
        <item x="125"/>
        <item x="114"/>
        <item x="227"/>
        <item x="144"/>
        <item x="142"/>
        <item x="229"/>
        <item x="239"/>
        <item x="190"/>
        <item x="83"/>
        <item x="3"/>
        <item x="123"/>
        <item x="183"/>
        <item x="278"/>
        <item x="261"/>
        <item x="282"/>
        <item x="246"/>
        <item x="263"/>
        <item x="242"/>
        <item x="196"/>
        <item x="201"/>
        <item x="73"/>
        <item x="78"/>
        <item x="19"/>
        <item x="47"/>
        <item x="174"/>
        <item x="118"/>
        <item x="218"/>
        <item x="151"/>
        <item x="33"/>
        <item x="233"/>
        <item x="181"/>
        <item x="230"/>
        <item x="290"/>
        <item x="43"/>
        <item x="119"/>
        <item x="187"/>
        <item x="210"/>
        <item x="121"/>
        <item x="70"/>
        <item x="283"/>
        <item x="12"/>
        <item x="87"/>
        <item x="62"/>
        <item x="133"/>
        <item x="207"/>
        <item x="29"/>
        <item x="245"/>
        <item x="86"/>
        <item x="267"/>
        <item x="189"/>
        <item x="8"/>
        <item x="185"/>
        <item x="228"/>
        <item x="280"/>
        <item x="127"/>
        <item x="130"/>
        <item x="64"/>
        <item x="293"/>
        <item x="297"/>
        <item x="219"/>
        <item x="27"/>
        <item x="255"/>
        <item x="150"/>
        <item x="296"/>
        <item x="89"/>
        <item x="25"/>
        <item x="158"/>
        <item x="66"/>
        <item x="191"/>
        <item x="107"/>
        <item x="108"/>
        <item x="49"/>
        <item x="213"/>
        <item x="99"/>
        <item x="37"/>
        <item x="46"/>
        <item x="39"/>
        <item x="5"/>
        <item x="102"/>
        <item x="249"/>
        <item x="7"/>
        <item x="122"/>
        <item x="128"/>
        <item x="26"/>
        <item x="200"/>
        <item x="275"/>
        <item x="13"/>
        <item x="72"/>
        <item x="208"/>
        <item x="101"/>
        <item x="216"/>
        <item x="231"/>
        <item x="1"/>
        <item x="34"/>
        <item x="243"/>
        <item x="194"/>
        <item x="236"/>
        <item x="274"/>
        <item x="269"/>
        <item x="292"/>
        <item x="11"/>
        <item x="155"/>
        <item x="247"/>
        <item x="212"/>
        <item x="68"/>
        <item x="226"/>
        <item x="225"/>
        <item x="88"/>
        <item x="270"/>
        <item x="164"/>
        <item x="205"/>
        <item x="214"/>
        <item x="69"/>
        <item x="135"/>
        <item x="61"/>
        <item x="134"/>
        <item x="301"/>
        <item x="272"/>
        <item x="204"/>
        <item x="202"/>
        <item x="105"/>
        <item x="209"/>
        <item x="288"/>
        <item x="132"/>
        <item x="171"/>
        <item x="159"/>
        <item x="173"/>
        <item x="224"/>
        <item x="271"/>
        <item x="67"/>
        <item x="52"/>
        <item x="113"/>
        <item x="157"/>
        <item x="251"/>
        <item x="103"/>
        <item x="77"/>
        <item x="286"/>
        <item x="76"/>
        <item x="168"/>
        <item x="75"/>
        <item x="148"/>
        <item x="161"/>
        <item x="253"/>
        <item x="160"/>
        <item x="140"/>
        <item x="193"/>
        <item x="222"/>
        <item x="48"/>
        <item x="40"/>
        <item x="166"/>
        <item x="182"/>
        <item x="0"/>
        <item x="279"/>
        <item x="51"/>
        <item x="163"/>
        <item x="141"/>
        <item x="184"/>
        <item x="156"/>
        <item x="54"/>
        <item x="18"/>
        <item x="84"/>
        <item x="265"/>
        <item m="1" x="306"/>
        <item x="9"/>
        <item x="277"/>
        <item x="177"/>
        <item x="82"/>
        <item x="23"/>
        <item x="22"/>
        <item x="56"/>
        <item x="254"/>
        <item x="169"/>
        <item x="146"/>
        <item x="91"/>
        <item x="50"/>
        <item x="10"/>
        <item x="32"/>
        <item x="2"/>
        <item x="234"/>
        <item x="95"/>
        <item x="256"/>
        <item x="284"/>
        <item x="60"/>
        <item x="195"/>
        <item x="85"/>
        <item x="198"/>
        <item x="291"/>
        <item x="175"/>
        <item x="20"/>
        <item x="154"/>
        <item x="100"/>
        <item x="203"/>
        <item x="92"/>
        <item x="215"/>
        <item x="98"/>
        <item x="59"/>
        <item x="170"/>
        <item x="115"/>
        <item x="79"/>
        <item x="152"/>
        <item x="235"/>
        <item x="221"/>
        <item x="145"/>
        <item x="285"/>
        <item x="220"/>
        <item x="176"/>
        <item x="206"/>
        <item x="217"/>
        <item x="244"/>
        <item x="180"/>
        <item x="294"/>
        <item x="117"/>
        <item x="178"/>
        <item x="71"/>
        <item x="97"/>
        <item x="257"/>
        <item x="120"/>
        <item x="139"/>
        <item x="165"/>
        <item x="295"/>
        <item x="35"/>
        <item x="126"/>
        <item x="94"/>
        <item x="252"/>
        <item x="287"/>
        <item x="179"/>
        <item x="241"/>
        <item x="24"/>
        <item x="90"/>
        <item x="258"/>
        <item x="259"/>
        <item x="55"/>
        <item x="260"/>
        <item x="299"/>
        <item x="57"/>
        <item x="28"/>
        <item x="45"/>
        <item x="240"/>
        <item x="16"/>
        <item x="232"/>
        <item x="300"/>
        <item x="273"/>
        <item x="143"/>
        <item x="188"/>
        <item x="131"/>
        <item x="109"/>
        <item x="149"/>
        <item x="172"/>
        <item x="63"/>
        <item x="137"/>
        <item x="74"/>
        <item x="124"/>
        <item x="38"/>
        <item x="289"/>
        <item x="250"/>
        <item x="298"/>
        <item x="304"/>
        <item x="110"/>
        <item x="6"/>
        <item x="106"/>
        <item x="192"/>
        <item x="104"/>
        <item m="1" x="308"/>
        <item x="44"/>
        <item x="276"/>
        <item x="167"/>
        <item x="281"/>
        <item x="138"/>
        <item x="129"/>
        <item m="1" x="305"/>
        <item x="80"/>
        <item x="153"/>
        <item m="1" x="309"/>
        <item x="264"/>
        <item x="302"/>
        <item x="303"/>
        <item x="248"/>
        <item x="238"/>
        <item x="17"/>
        <item m="1" x="307"/>
        <item x="58"/>
        <item x="223"/>
        <item x="237"/>
        <item x="53"/>
        <item x="42"/>
        <item x="262"/>
        <item t="default"/>
      </items>
    </pivotField>
    <pivotField showAll="0"/>
    <pivotField showAll="0"/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142">
        <item h="1" x="95"/>
        <item h="1" x="56"/>
        <item h="1" x="0"/>
        <item h="1" x="86"/>
        <item h="1" x="57"/>
        <item h="1" x="1"/>
        <item h="1" x="96"/>
        <item h="1" x="58"/>
        <item h="1" x="2"/>
        <item h="1" x="67"/>
        <item h="1" x="71"/>
        <item h="1" x="3"/>
        <item h="1" x="4"/>
        <item h="1" x="53"/>
        <item h="1" x="5"/>
        <item h="1" x="82"/>
        <item h="1" x="72"/>
        <item h="1" x="6"/>
        <item h="1" x="7"/>
        <item h="1" x="8"/>
        <item h="1" x="29"/>
        <item h="1" x="9"/>
        <item h="1" x="10"/>
        <item h="1" x="11"/>
        <item h="1" x="14"/>
        <item h="1" x="83"/>
        <item h="1" x="88"/>
        <item h="1" x="76"/>
        <item h="1" x="15"/>
        <item h="1" x="77"/>
        <item h="1" x="16"/>
        <item h="1" x="75"/>
        <item h="1" x="17"/>
        <item h="1" x="18"/>
        <item h="1" x="69"/>
        <item h="1" x="19"/>
        <item h="1" x="73"/>
        <item h="1" x="31"/>
        <item h="1" x="74"/>
        <item h="1" x="41"/>
        <item h="1" x="42"/>
        <item h="1" x="43"/>
        <item h="1" x="44"/>
        <item h="1" x="45"/>
        <item h="1" x="46"/>
        <item h="1" x="20"/>
        <item h="1" x="47"/>
        <item h="1" x="21"/>
        <item h="1" x="51"/>
        <item h="1" x="28"/>
        <item h="1" x="52"/>
        <item h="1" x="22"/>
        <item h="1" x="48"/>
        <item h="1" x="23"/>
        <item h="1" x="65"/>
        <item h="1" x="24"/>
        <item h="1" x="49"/>
        <item h="1" x="32"/>
        <item h="1" x="27"/>
        <item h="1" x="61"/>
        <item h="1" x="25"/>
        <item h="1" x="33"/>
        <item h="1" x="34"/>
        <item h="1" x="35"/>
        <item h="1" x="90"/>
        <item h="1" x="36"/>
        <item h="1" x="91"/>
        <item h="1" x="37"/>
        <item h="1" x="92"/>
        <item h="1" x="26"/>
        <item h="1" x="79"/>
        <item h="1" x="55"/>
        <item h="1" x="68"/>
        <item h="1" x="50"/>
        <item h="1" x="38"/>
        <item h="1" x="39"/>
        <item h="1" x="59"/>
        <item h="1" x="80"/>
        <item h="1" x="60"/>
        <item h="1" x="81"/>
        <item h="1" x="140"/>
        <item h="1" x="70"/>
        <item x="63"/>
        <item x="13"/>
        <item x="54"/>
        <item x="12"/>
        <item x="87"/>
        <item x="62"/>
        <item h="1" x="84"/>
        <item h="1" x="40"/>
        <item h="1" x="103"/>
        <item h="1" x="109"/>
        <item h="1" x="112"/>
        <item h="1" x="116"/>
        <item h="1" x="119"/>
        <item h="1" x="122"/>
        <item h="1" x="126"/>
        <item h="1" x="129"/>
        <item h="1" x="133"/>
        <item h="1" x="137"/>
        <item h="1" x="98"/>
        <item x="30"/>
        <item x="101"/>
        <item h="1" x="106"/>
        <item h="1" x="115"/>
        <item h="1" x="64"/>
        <item h="1" x="93"/>
        <item h="1" x="125"/>
        <item h="1" x="85"/>
        <item h="1" x="132"/>
        <item h="1" x="136"/>
        <item h="1" x="94"/>
        <item h="1" x="97"/>
        <item h="1" x="66"/>
        <item x="78"/>
        <item h="1" x="107"/>
        <item h="1" x="89"/>
        <item h="1" x="104"/>
        <item h="1" x="110"/>
        <item h="1" x="113"/>
        <item h="1" x="117"/>
        <item h="1" x="120"/>
        <item h="1" x="123"/>
        <item h="1" x="127"/>
        <item h="1" x="130"/>
        <item h="1" x="134"/>
        <item h="1" x="138"/>
        <item h="1" x="99"/>
        <item x="102"/>
        <item h="1" x="108"/>
        <item h="1" x="105"/>
        <item h="1" x="111"/>
        <item h="1" x="114"/>
        <item h="1" x="118"/>
        <item h="1" x="121"/>
        <item h="1" x="124"/>
        <item h="1" x="128"/>
        <item h="1" x="131"/>
        <item h="1" x="135"/>
        <item h="1" x="139"/>
        <item h="1" x="10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5"/>
  </rowFields>
  <rowItems count="11">
    <i>
      <x v="82"/>
    </i>
    <i>
      <x v="83"/>
    </i>
    <i>
      <x v="84"/>
    </i>
    <i>
      <x v="85"/>
    </i>
    <i>
      <x v="86"/>
    </i>
    <i>
      <x v="87"/>
    </i>
    <i>
      <x v="101"/>
    </i>
    <i>
      <x v="102"/>
    </i>
    <i>
      <x v="114"/>
    </i>
    <i>
      <x v="128"/>
    </i>
    <i t="grand">
      <x/>
    </i>
  </rowItems>
  <colItems count="1">
    <i/>
  </colItems>
  <pageFields count="1">
    <pageField fld="1" hier="-1"/>
  </pageFields>
  <dataFields count="1">
    <dataField name="Sum of AMOUNT" fld="12" baseField="5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D086E8-0281-4E8A-B718-3324EE1820D7}" name="PivotTable8" cacheId="1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>
  <location ref="CI3:CK14" firstHeaderRow="2" firstDataRow="2" firstDataCol="2" rowPageCount="1" colPageCount="1"/>
  <pivotFields count="17">
    <pivotField compact="0" outline="0" showAll="0"/>
    <pivotField axis="axisPage" compact="0" outline="0" showAll="0">
      <items count="311">
        <item x="65"/>
        <item x="136"/>
        <item x="147"/>
        <item x="199"/>
        <item x="211"/>
        <item x="4"/>
        <item x="96"/>
        <item x="112"/>
        <item x="31"/>
        <item x="93"/>
        <item x="266"/>
        <item x="186"/>
        <item x="268"/>
        <item x="138"/>
        <item x="111"/>
        <item x="162"/>
        <item x="41"/>
        <item x="81"/>
        <item x="197"/>
        <item x="30"/>
        <item x="21"/>
        <item x="15"/>
        <item x="14"/>
        <item x="36"/>
        <item x="116"/>
        <item x="125"/>
        <item x="114"/>
        <item x="227"/>
        <item x="144"/>
        <item x="142"/>
        <item x="229"/>
        <item x="239"/>
        <item x="190"/>
        <item x="83"/>
        <item x="3"/>
        <item x="123"/>
        <item x="183"/>
        <item x="278"/>
        <item x="261"/>
        <item x="282"/>
        <item x="246"/>
        <item x="263"/>
        <item x="242"/>
        <item x="196"/>
        <item x="201"/>
        <item x="73"/>
        <item x="78"/>
        <item x="19"/>
        <item x="47"/>
        <item x="174"/>
        <item x="118"/>
        <item x="218"/>
        <item x="151"/>
        <item x="33"/>
        <item x="233"/>
        <item x="181"/>
        <item x="230"/>
        <item x="290"/>
        <item x="43"/>
        <item x="119"/>
        <item x="187"/>
        <item x="210"/>
        <item x="121"/>
        <item x="70"/>
        <item x="283"/>
        <item x="12"/>
        <item x="87"/>
        <item x="62"/>
        <item x="133"/>
        <item x="207"/>
        <item x="29"/>
        <item x="245"/>
        <item x="86"/>
        <item x="267"/>
        <item x="189"/>
        <item x="8"/>
        <item x="185"/>
        <item x="228"/>
        <item x="280"/>
        <item x="127"/>
        <item x="130"/>
        <item x="64"/>
        <item x="293"/>
        <item x="297"/>
        <item x="219"/>
        <item x="153"/>
        <item x="27"/>
        <item x="255"/>
        <item x="150"/>
        <item x="296"/>
        <item x="89"/>
        <item x="25"/>
        <item x="158"/>
        <item x="66"/>
        <item x="110"/>
        <item x="191"/>
        <item x="107"/>
        <item x="108"/>
        <item x="49"/>
        <item x="213"/>
        <item x="99"/>
        <item x="37"/>
        <item x="46"/>
        <item x="39"/>
        <item x="5"/>
        <item x="102"/>
        <item x="249"/>
        <item x="7"/>
        <item x="122"/>
        <item x="128"/>
        <item x="26"/>
        <item x="200"/>
        <item x="275"/>
        <item x="13"/>
        <item x="72"/>
        <item x="208"/>
        <item x="101"/>
        <item x="216"/>
        <item m="1" x="305"/>
        <item x="231"/>
        <item x="1"/>
        <item x="34"/>
        <item x="243"/>
        <item x="194"/>
        <item x="236"/>
        <item x="274"/>
        <item x="269"/>
        <item x="292"/>
        <item x="44"/>
        <item x="11"/>
        <item x="155"/>
        <item x="247"/>
        <item x="212"/>
        <item x="68"/>
        <item x="226"/>
        <item x="225"/>
        <item x="88"/>
        <item x="270"/>
        <item x="164"/>
        <item x="205"/>
        <item x="214"/>
        <item x="69"/>
        <item x="135"/>
        <item x="61"/>
        <item x="134"/>
        <item x="301"/>
        <item x="272"/>
        <item x="204"/>
        <item x="202"/>
        <item x="105"/>
        <item x="209"/>
        <item x="288"/>
        <item x="132"/>
        <item x="171"/>
        <item x="159"/>
        <item x="173"/>
        <item x="224"/>
        <item x="271"/>
        <item x="67"/>
        <item x="52"/>
        <item x="113"/>
        <item x="157"/>
        <item x="251"/>
        <item x="103"/>
        <item x="77"/>
        <item x="286"/>
        <item x="76"/>
        <item x="168"/>
        <item x="75"/>
        <item x="148"/>
        <item x="161"/>
        <item x="253"/>
        <item x="160"/>
        <item x="140"/>
        <item x="193"/>
        <item x="222"/>
        <item x="48"/>
        <item x="40"/>
        <item x="166"/>
        <item x="182"/>
        <item x="0"/>
        <item x="279"/>
        <item x="167"/>
        <item x="51"/>
        <item x="163"/>
        <item x="6"/>
        <item x="141"/>
        <item x="184"/>
        <item x="156"/>
        <item x="54"/>
        <item x="18"/>
        <item x="84"/>
        <item x="265"/>
        <item m="1" x="306"/>
        <item x="9"/>
        <item x="277"/>
        <item x="177"/>
        <item x="80"/>
        <item x="82"/>
        <item x="23"/>
        <item x="22"/>
        <item x="56"/>
        <item m="1" x="308"/>
        <item x="254"/>
        <item x="169"/>
        <item x="146"/>
        <item x="91"/>
        <item x="50"/>
        <item x="10"/>
        <item x="32"/>
        <item x="2"/>
        <item x="234"/>
        <item x="95"/>
        <item x="256"/>
        <item x="129"/>
        <item m="1" x="309"/>
        <item x="284"/>
        <item x="60"/>
        <item x="195"/>
        <item x="85"/>
        <item x="198"/>
        <item x="291"/>
        <item x="175"/>
        <item x="20"/>
        <item x="154"/>
        <item x="100"/>
        <item x="203"/>
        <item x="92"/>
        <item x="215"/>
        <item x="98"/>
        <item x="59"/>
        <item x="170"/>
        <item x="115"/>
        <item x="79"/>
        <item x="152"/>
        <item x="235"/>
        <item x="221"/>
        <item x="145"/>
        <item x="285"/>
        <item x="220"/>
        <item x="176"/>
        <item x="281"/>
        <item x="206"/>
        <item x="217"/>
        <item x="106"/>
        <item x="192"/>
        <item x="104"/>
        <item x="244"/>
        <item x="180"/>
        <item x="294"/>
        <item x="117"/>
        <item x="178"/>
        <item x="71"/>
        <item x="97"/>
        <item x="276"/>
        <item x="257"/>
        <item x="120"/>
        <item x="139"/>
        <item x="165"/>
        <item x="295"/>
        <item x="35"/>
        <item x="126"/>
        <item x="94"/>
        <item x="252"/>
        <item x="287"/>
        <item x="179"/>
        <item x="241"/>
        <item x="24"/>
        <item x="90"/>
        <item x="258"/>
        <item x="259"/>
        <item x="55"/>
        <item x="264"/>
        <item x="260"/>
        <item x="299"/>
        <item x="57"/>
        <item x="28"/>
        <item x="45"/>
        <item x="240"/>
        <item x="16"/>
        <item x="232"/>
        <item x="300"/>
        <item x="273"/>
        <item x="143"/>
        <item x="188"/>
        <item x="131"/>
        <item x="109"/>
        <item x="149"/>
        <item x="172"/>
        <item x="63"/>
        <item x="137"/>
        <item x="74"/>
        <item x="124"/>
        <item x="38"/>
        <item x="302"/>
        <item x="289"/>
        <item x="250"/>
        <item x="298"/>
        <item x="303"/>
        <item x="304"/>
        <item x="248"/>
        <item x="238"/>
        <item x="17"/>
        <item m="1" x="307"/>
        <item x="58"/>
        <item x="223"/>
        <item x="237"/>
        <item x="53"/>
        <item x="42"/>
        <item x="26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6">
        <item x="4"/>
        <item x="5"/>
        <item x="6"/>
        <item x="13"/>
        <item x="7"/>
        <item x="8"/>
        <item x="9"/>
        <item x="11"/>
        <item x="10"/>
        <item x="12"/>
        <item x="0"/>
        <item x="1"/>
        <item x="2"/>
        <item x="3"/>
        <item x="14"/>
        <item m="1" x="15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7">
        <item x="10"/>
        <item x="12"/>
        <item x="5"/>
        <item x="0"/>
        <item x="2"/>
        <item x="9"/>
        <item x="6"/>
        <item x="4"/>
        <item x="11"/>
        <item x="8"/>
        <item x="1"/>
        <item x="3"/>
        <item x="13"/>
        <item x="7"/>
        <item x="14"/>
        <item m="1" x="15"/>
        <item t="default"/>
      </items>
    </pivotField>
  </pivotFields>
  <rowFields count="2">
    <field x="8"/>
    <field x="16"/>
  </rowFields>
  <rowItems count="10">
    <i>
      <x v="1"/>
      <x v="2"/>
    </i>
    <i>
      <x v="2"/>
      <x v="6"/>
    </i>
    <i>
      <x v="4"/>
      <x v="13"/>
    </i>
    <i>
      <x v="5"/>
      <x v="9"/>
    </i>
    <i>
      <x v="6"/>
      <x v="5"/>
    </i>
    <i>
      <x v="7"/>
      <x v="8"/>
    </i>
    <i>
      <x v="11"/>
      <x v="10"/>
    </i>
    <i>
      <x v="12"/>
      <x v="4"/>
    </i>
    <i>
      <x v="13"/>
      <x v="11"/>
    </i>
    <i t="grand">
      <x/>
    </i>
  </rowItems>
  <colItems count="1">
    <i/>
  </colItems>
  <pageFields count="1">
    <pageField fld="1" item="253" hier="-1"/>
  </pageFields>
  <dataFields count="1">
    <dataField name="Sum of Amount" fld="12" baseField="0" baseItem="0" numFmtId="170"/>
  </dataFields>
  <formats count="2">
    <format dxfId="19">
      <pivotArea field="8" type="button" dataOnly="0" labelOnly="1" outline="0" axis="axisRow" fieldPosition="0"/>
    </format>
    <format dxfId="1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7F6557-FE8A-47E8-88A3-0D720794BD66}" name="PivotTable24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G3:BH14" firstHeaderRow="1" firstDataRow="1" firstDataCol="1" rowPageCount="1" colPageCount="1"/>
  <pivotFields count="16">
    <pivotField showAll="0"/>
    <pivotField axis="axisPage" showAll="0">
      <items count="311">
        <item x="65"/>
        <item x="136"/>
        <item x="147"/>
        <item x="199"/>
        <item x="211"/>
        <item x="4"/>
        <item x="96"/>
        <item x="112"/>
        <item x="31"/>
        <item x="93"/>
        <item x="266"/>
        <item x="186"/>
        <item x="268"/>
        <item x="111"/>
        <item x="162"/>
        <item x="41"/>
        <item x="81"/>
        <item x="197"/>
        <item x="30"/>
        <item x="21"/>
        <item x="15"/>
        <item x="14"/>
        <item x="36"/>
        <item x="116"/>
        <item x="125"/>
        <item x="114"/>
        <item x="227"/>
        <item x="144"/>
        <item x="142"/>
        <item x="229"/>
        <item x="239"/>
        <item x="190"/>
        <item x="83"/>
        <item x="3"/>
        <item x="123"/>
        <item x="183"/>
        <item x="278"/>
        <item x="261"/>
        <item x="282"/>
        <item x="246"/>
        <item x="263"/>
        <item x="242"/>
        <item x="196"/>
        <item x="201"/>
        <item x="73"/>
        <item x="78"/>
        <item x="19"/>
        <item x="47"/>
        <item x="174"/>
        <item x="118"/>
        <item x="218"/>
        <item x="151"/>
        <item x="33"/>
        <item x="233"/>
        <item x="181"/>
        <item x="230"/>
        <item x="290"/>
        <item x="43"/>
        <item x="119"/>
        <item x="187"/>
        <item x="210"/>
        <item x="121"/>
        <item x="70"/>
        <item x="283"/>
        <item x="12"/>
        <item x="87"/>
        <item x="62"/>
        <item x="133"/>
        <item x="207"/>
        <item x="29"/>
        <item x="245"/>
        <item x="86"/>
        <item x="267"/>
        <item x="189"/>
        <item x="8"/>
        <item x="185"/>
        <item x="228"/>
        <item x="280"/>
        <item x="127"/>
        <item x="130"/>
        <item x="64"/>
        <item x="293"/>
        <item x="297"/>
        <item x="219"/>
        <item x="27"/>
        <item x="255"/>
        <item x="150"/>
        <item x="296"/>
        <item x="89"/>
        <item x="25"/>
        <item x="158"/>
        <item x="66"/>
        <item x="191"/>
        <item x="107"/>
        <item x="108"/>
        <item x="49"/>
        <item x="213"/>
        <item x="99"/>
        <item x="37"/>
        <item x="46"/>
        <item x="39"/>
        <item x="5"/>
        <item x="102"/>
        <item x="249"/>
        <item x="7"/>
        <item x="122"/>
        <item x="128"/>
        <item x="26"/>
        <item x="200"/>
        <item x="275"/>
        <item x="13"/>
        <item x="72"/>
        <item x="208"/>
        <item x="101"/>
        <item x="216"/>
        <item x="231"/>
        <item x="1"/>
        <item x="34"/>
        <item x="243"/>
        <item x="194"/>
        <item x="236"/>
        <item x="274"/>
        <item x="269"/>
        <item x="292"/>
        <item x="11"/>
        <item x="155"/>
        <item x="247"/>
        <item x="212"/>
        <item x="68"/>
        <item x="226"/>
        <item x="225"/>
        <item x="88"/>
        <item x="270"/>
        <item x="164"/>
        <item x="205"/>
        <item x="214"/>
        <item x="69"/>
        <item x="135"/>
        <item x="61"/>
        <item x="134"/>
        <item x="301"/>
        <item x="272"/>
        <item x="204"/>
        <item x="202"/>
        <item x="105"/>
        <item x="209"/>
        <item x="288"/>
        <item x="132"/>
        <item x="171"/>
        <item x="159"/>
        <item x="173"/>
        <item x="224"/>
        <item x="271"/>
        <item x="67"/>
        <item x="52"/>
        <item x="113"/>
        <item x="157"/>
        <item x="251"/>
        <item x="103"/>
        <item x="77"/>
        <item x="286"/>
        <item x="76"/>
        <item x="168"/>
        <item x="75"/>
        <item x="148"/>
        <item x="161"/>
        <item x="253"/>
        <item x="160"/>
        <item x="140"/>
        <item x="193"/>
        <item x="222"/>
        <item x="48"/>
        <item x="40"/>
        <item x="166"/>
        <item x="182"/>
        <item x="0"/>
        <item x="279"/>
        <item x="51"/>
        <item x="163"/>
        <item x="141"/>
        <item x="184"/>
        <item x="156"/>
        <item x="54"/>
        <item x="18"/>
        <item x="84"/>
        <item x="265"/>
        <item m="1" x="306"/>
        <item x="9"/>
        <item x="277"/>
        <item x="177"/>
        <item x="82"/>
        <item x="23"/>
        <item x="22"/>
        <item x="56"/>
        <item x="254"/>
        <item x="169"/>
        <item x="146"/>
        <item x="91"/>
        <item x="50"/>
        <item x="10"/>
        <item x="32"/>
        <item x="2"/>
        <item x="234"/>
        <item x="95"/>
        <item x="256"/>
        <item x="284"/>
        <item x="60"/>
        <item x="195"/>
        <item x="85"/>
        <item x="198"/>
        <item x="291"/>
        <item x="175"/>
        <item x="20"/>
        <item x="154"/>
        <item x="100"/>
        <item x="203"/>
        <item x="92"/>
        <item x="215"/>
        <item x="98"/>
        <item x="59"/>
        <item x="170"/>
        <item x="115"/>
        <item x="79"/>
        <item x="152"/>
        <item x="235"/>
        <item x="221"/>
        <item x="145"/>
        <item x="285"/>
        <item x="220"/>
        <item x="176"/>
        <item x="206"/>
        <item x="217"/>
        <item x="244"/>
        <item x="180"/>
        <item x="294"/>
        <item x="117"/>
        <item x="178"/>
        <item x="71"/>
        <item x="97"/>
        <item x="257"/>
        <item x="120"/>
        <item x="139"/>
        <item x="165"/>
        <item x="295"/>
        <item x="35"/>
        <item x="126"/>
        <item x="94"/>
        <item x="252"/>
        <item x="287"/>
        <item x="179"/>
        <item x="241"/>
        <item x="24"/>
        <item x="90"/>
        <item x="258"/>
        <item x="259"/>
        <item x="55"/>
        <item x="260"/>
        <item x="299"/>
        <item x="57"/>
        <item x="28"/>
        <item x="45"/>
        <item x="240"/>
        <item x="16"/>
        <item x="232"/>
        <item x="300"/>
        <item x="273"/>
        <item x="143"/>
        <item x="188"/>
        <item x="131"/>
        <item x="109"/>
        <item x="149"/>
        <item x="172"/>
        <item x="63"/>
        <item x="137"/>
        <item x="74"/>
        <item x="124"/>
        <item x="38"/>
        <item x="289"/>
        <item x="250"/>
        <item x="298"/>
        <item x="304"/>
        <item x="110"/>
        <item x="6"/>
        <item x="106"/>
        <item x="192"/>
        <item x="104"/>
        <item m="1" x="308"/>
        <item x="44"/>
        <item x="276"/>
        <item x="167"/>
        <item x="281"/>
        <item x="138"/>
        <item x="129"/>
        <item m="1" x="305"/>
        <item x="80"/>
        <item x="153"/>
        <item m="1" x="309"/>
        <item x="264"/>
        <item x="302"/>
        <item x="303"/>
        <item x="248"/>
        <item x="238"/>
        <item x="17"/>
        <item m="1" x="307"/>
        <item x="58"/>
        <item x="223"/>
        <item x="237"/>
        <item x="53"/>
        <item x="42"/>
        <item x="262"/>
        <item t="default"/>
      </items>
    </pivotField>
    <pivotField showAll="0"/>
    <pivotField showAll="0"/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142">
        <item h="1" x="95"/>
        <item h="1" x="56"/>
        <item h="1" x="0"/>
        <item h="1" x="86"/>
        <item h="1" x="57"/>
        <item h="1" x="1"/>
        <item h="1" x="96"/>
        <item h="1" x="58"/>
        <item h="1" x="2"/>
        <item h="1" x="67"/>
        <item h="1" x="71"/>
        <item h="1" x="3"/>
        <item h="1" x="4"/>
        <item h="1" x="53"/>
        <item h="1" x="5"/>
        <item h="1" x="82"/>
        <item h="1" x="72"/>
        <item h="1" x="6"/>
        <item x="7"/>
        <item x="8"/>
        <item x="29"/>
        <item x="9"/>
        <item x="10"/>
        <item x="11"/>
        <item h="1" x="14"/>
        <item h="1" x="83"/>
        <item h="1" x="88"/>
        <item h="1" x="76"/>
        <item h="1" x="15"/>
        <item h="1" x="77"/>
        <item h="1" x="16"/>
        <item h="1" x="75"/>
        <item h="1" x="17"/>
        <item h="1" x="18"/>
        <item h="1" x="69"/>
        <item h="1" x="19"/>
        <item h="1" x="73"/>
        <item h="1" x="31"/>
        <item h="1" x="74"/>
        <item h="1" x="41"/>
        <item h="1" x="42"/>
        <item h="1" x="43"/>
        <item h="1" x="44"/>
        <item h="1" x="45"/>
        <item h="1" x="46"/>
        <item h="1" x="20"/>
        <item h="1" x="47"/>
        <item h="1" x="21"/>
        <item h="1" x="51"/>
        <item h="1" x="28"/>
        <item h="1" x="52"/>
        <item h="1" x="22"/>
        <item h="1" x="48"/>
        <item h="1" x="23"/>
        <item h="1" x="65"/>
        <item h="1" x="24"/>
        <item h="1" x="49"/>
        <item h="1" x="32"/>
        <item h="1" x="27"/>
        <item h="1" x="61"/>
        <item h="1" x="25"/>
        <item h="1" x="33"/>
        <item h="1" x="34"/>
        <item h="1" x="35"/>
        <item h="1" x="90"/>
        <item h="1" x="36"/>
        <item h="1" x="91"/>
        <item h="1" x="37"/>
        <item h="1" x="92"/>
        <item h="1" x="26"/>
        <item h="1" x="79"/>
        <item h="1" x="55"/>
        <item h="1" x="68"/>
        <item h="1" x="50"/>
        <item h="1" x="38"/>
        <item h="1" x="39"/>
        <item h="1" x="59"/>
        <item h="1" x="80"/>
        <item h="1" x="60"/>
        <item h="1" x="81"/>
        <item h="1" x="140"/>
        <item h="1" x="70"/>
        <item h="1" x="63"/>
        <item h="1" x="13"/>
        <item h="1" x="54"/>
        <item h="1" x="12"/>
        <item h="1" x="87"/>
        <item h="1" x="62"/>
        <item x="84"/>
        <item h="1" x="40"/>
        <item h="1" x="103"/>
        <item h="1" x="109"/>
        <item h="1" x="112"/>
        <item h="1" x="116"/>
        <item h="1" x="119"/>
        <item h="1" x="122"/>
        <item h="1" x="126"/>
        <item h="1" x="129"/>
        <item h="1" x="133"/>
        <item h="1" x="137"/>
        <item x="98"/>
        <item h="1" x="30"/>
        <item h="1" x="101"/>
        <item h="1" x="106"/>
        <item h="1" x="115"/>
        <item h="1" x="64"/>
        <item h="1" x="93"/>
        <item h="1" x="125"/>
        <item h="1" x="85"/>
        <item h="1" x="132"/>
        <item h="1" x="136"/>
        <item h="1" x="94"/>
        <item h="1" x="97"/>
        <item h="1" x="66"/>
        <item h="1" x="78"/>
        <item h="1" x="107"/>
        <item h="1" x="89"/>
        <item h="1" x="104"/>
        <item h="1" x="110"/>
        <item h="1" x="113"/>
        <item h="1" x="117"/>
        <item h="1" x="120"/>
        <item h="1" x="123"/>
        <item h="1" x="127"/>
        <item h="1" x="130"/>
        <item h="1" x="134"/>
        <item h="1" x="138"/>
        <item x="99"/>
        <item h="1" x="102"/>
        <item h="1" x="108"/>
        <item h="1" x="105"/>
        <item h="1" x="111"/>
        <item h="1" x="114"/>
        <item h="1" x="118"/>
        <item h="1" x="121"/>
        <item h="1" x="124"/>
        <item h="1" x="128"/>
        <item h="1" x="131"/>
        <item h="1" x="135"/>
        <item h="1" x="139"/>
        <item x="10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5"/>
  </rowFields>
  <rowItems count="11">
    <i>
      <x v="18"/>
    </i>
    <i>
      <x v="19"/>
    </i>
    <i>
      <x v="20"/>
    </i>
    <i>
      <x v="21"/>
    </i>
    <i>
      <x v="22"/>
    </i>
    <i>
      <x v="23"/>
    </i>
    <i>
      <x v="88"/>
    </i>
    <i>
      <x v="100"/>
    </i>
    <i>
      <x v="127"/>
    </i>
    <i>
      <x v="140"/>
    </i>
    <i t="grand">
      <x/>
    </i>
  </rowItems>
  <colItems count="1">
    <i/>
  </colItems>
  <pageFields count="1">
    <pageField fld="1" hier="-1"/>
  </pageFields>
  <dataFields count="1">
    <dataField name="Sum of AMOUNT" fld="12" baseField="5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CFCD0E-B05E-4E32-BD4D-B94B3FD19E9B}" name="PivotTable10" cacheId="5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S4:AA27" firstHeaderRow="1" firstDataRow="2" firstDataCol="1" rowPageCount="2" colPageCount="1"/>
  <pivotFields count="13">
    <pivotField axis="axisRow" showAll="0" sortType="ascending">
      <items count="320">
        <item x="303"/>
        <item m="1" x="3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m="1" x="313"/>
        <item m="1" x="308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3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m="1" x="307"/>
        <item m="1" x="31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m="1" x="309"/>
        <item x="125"/>
        <item x="126"/>
        <item x="127"/>
        <item x="128"/>
        <item x="129"/>
        <item x="130"/>
        <item x="131"/>
        <item m="1" x="314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m="1" x="311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m="1" x="315"/>
        <item x="173"/>
        <item x="174"/>
        <item x="175"/>
        <item x="176"/>
        <item x="177"/>
        <item x="178"/>
        <item m="1" x="310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m="1" x="312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m="1" x="30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m="1" x="30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t="default"/>
      </items>
    </pivotField>
    <pivotField showAll="0"/>
    <pivotField showAll="0"/>
    <pivotField showAll="0"/>
    <pivotField axis="axisPage" multipleItemSelectionAllowed="1" showAll="0">
      <items count="6">
        <item x="0"/>
        <item h="1" x="2"/>
        <item h="1" x="1"/>
        <item h="1" x="3"/>
        <item h="1" m="1"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showAll="0">
      <items count="143">
        <item x="95"/>
        <item x="56"/>
        <item x="40"/>
        <item x="15"/>
        <item x="77"/>
        <item x="16"/>
        <item x="75"/>
        <item x="17"/>
        <item x="18"/>
        <item x="69"/>
        <item x="19"/>
        <item x="73"/>
        <item x="31"/>
        <item x="74"/>
        <item x="41"/>
        <item x="42"/>
        <item x="43"/>
        <item x="44"/>
        <item x="45"/>
        <item x="46"/>
        <item x="20"/>
        <item x="47"/>
        <item x="21"/>
        <item x="51"/>
        <item x="28"/>
        <item x="52"/>
        <item x="22"/>
        <item x="48"/>
        <item x="23"/>
        <item x="65"/>
        <item x="24"/>
        <item x="49"/>
        <item x="32"/>
        <item x="27"/>
        <item x="61"/>
        <item x="25"/>
        <item x="33"/>
        <item x="34"/>
        <item x="35"/>
        <item x="90"/>
        <item x="36"/>
        <item x="91"/>
        <item x="37"/>
        <item x="92"/>
        <item x="26"/>
        <item x="79"/>
        <item x="55"/>
        <item x="68"/>
        <item x="50"/>
        <item x="38"/>
        <item x="39"/>
        <item x="59"/>
        <item x="80"/>
        <item x="60"/>
        <item x="81"/>
        <item x="140"/>
        <item x="63"/>
        <item x="13"/>
        <item x="54"/>
        <item x="12"/>
        <item x="87"/>
        <item x="97"/>
        <item x="66"/>
        <item x="84"/>
        <item m="1" x="141"/>
        <item x="96"/>
        <item x="58"/>
        <item x="2"/>
        <item x="71"/>
        <item x="98"/>
        <item x="30"/>
        <item x="103"/>
        <item x="109"/>
        <item x="112"/>
        <item x="116"/>
        <item x="119"/>
        <item x="122"/>
        <item x="126"/>
        <item x="129"/>
        <item x="133"/>
        <item x="137"/>
        <item x="78"/>
        <item x="106"/>
        <item x="70"/>
        <item x="115"/>
        <item x="64"/>
        <item x="93"/>
        <item x="125"/>
        <item x="85"/>
        <item x="132"/>
        <item x="136"/>
        <item x="94"/>
        <item x="107"/>
        <item x="89"/>
        <item x="104"/>
        <item x="110"/>
        <item x="113"/>
        <item x="117"/>
        <item x="120"/>
        <item x="123"/>
        <item x="127"/>
        <item x="130"/>
        <item x="134"/>
        <item x="138"/>
        <item x="99"/>
        <item x="102"/>
        <item x="108"/>
        <item x="105"/>
        <item x="111"/>
        <item x="114"/>
        <item x="118"/>
        <item x="121"/>
        <item x="124"/>
        <item x="128"/>
        <item x="131"/>
        <item x="135"/>
        <item x="139"/>
        <item x="100"/>
        <item x="0"/>
        <item x="86"/>
        <item x="57"/>
        <item x="1"/>
        <item x="11"/>
        <item x="67"/>
        <item x="7"/>
        <item x="101"/>
        <item x="14"/>
        <item x="83"/>
        <item x="88"/>
        <item x="76"/>
        <item x="3"/>
        <item x="4"/>
        <item x="53"/>
        <item x="5"/>
        <item x="82"/>
        <item x="72"/>
        <item x="6"/>
        <item x="8"/>
        <item x="29"/>
        <item x="9"/>
        <item x="10"/>
        <item x="6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Page" multipleItemSelectionAllowed="1" showAll="0">
      <items count="8">
        <item h="1" x="1"/>
        <item h="1" x="6"/>
        <item h="1" x="2"/>
        <item h="1" x="0"/>
        <item x="3"/>
        <item h="1" x="4"/>
        <item h="1" x="5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0"/>
  </rowFields>
  <rowItems count="22">
    <i>
      <x v="27"/>
    </i>
    <i>
      <x v="41"/>
    </i>
    <i>
      <x v="64"/>
    </i>
    <i>
      <x v="73"/>
    </i>
    <i>
      <x v="96"/>
    </i>
    <i>
      <x v="129"/>
    </i>
    <i>
      <x v="142"/>
    </i>
    <i>
      <x v="159"/>
    </i>
    <i>
      <x v="163"/>
    </i>
    <i>
      <x v="173"/>
    </i>
    <i>
      <x v="198"/>
    </i>
    <i>
      <x v="200"/>
    </i>
    <i>
      <x v="243"/>
    </i>
    <i>
      <x v="262"/>
    </i>
    <i>
      <x v="273"/>
    </i>
    <i>
      <x v="281"/>
    </i>
    <i>
      <x v="283"/>
    </i>
    <i>
      <x v="292"/>
    </i>
    <i>
      <x v="303"/>
    </i>
    <i>
      <x v="305"/>
    </i>
    <i>
      <x v="309"/>
    </i>
    <i t="grand">
      <x/>
    </i>
  </rowItems>
  <colFields count="1">
    <field x="5"/>
  </colFields>
  <colItems count="8">
    <i>
      <x v="62"/>
    </i>
    <i>
      <x v="63"/>
    </i>
    <i>
      <x v="81"/>
    </i>
    <i>
      <x v="83"/>
    </i>
    <i>
      <x v="85"/>
    </i>
    <i>
      <x v="86"/>
    </i>
    <i>
      <x v="88"/>
    </i>
    <i>
      <x v="91"/>
    </i>
  </colItems>
  <pageFields count="2">
    <pageField fld="7" hier="-1"/>
    <pageField fld="4" hier="-1"/>
  </pageFields>
  <dataFields count="1">
    <dataField name="Sum of AMOUNT" fld="12" baseField="5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1AA508-C308-4F09-AB66-7D0B5070980E}" name="PivotTable11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K3:AB326" firstHeaderRow="1" firstDataRow="2" firstDataCol="1"/>
  <pivotFields count="4">
    <pivotField axis="axisRow" showAll="0">
      <items count="324">
        <item x="299"/>
        <item x="11"/>
        <item x="194"/>
        <item x="130"/>
        <item x="226"/>
        <item x="37"/>
        <item x="5"/>
        <item x="114"/>
        <item x="200"/>
        <item x="117"/>
        <item x="82"/>
        <item x="209"/>
        <item x="224"/>
        <item x="140"/>
        <item x="260"/>
        <item x="71"/>
        <item x="123"/>
        <item x="25"/>
        <item x="24"/>
        <item x="302"/>
        <item x="203"/>
        <item x="206"/>
        <item x="51"/>
        <item x="240"/>
        <item x="22"/>
        <item x="215"/>
        <item x="214"/>
        <item x="289"/>
        <item x="99"/>
        <item x="120"/>
        <item x="94"/>
        <item x="298"/>
        <item x="77"/>
        <item x="21"/>
        <item x="8"/>
        <item x="225"/>
        <item x="74"/>
        <item x="231"/>
        <item x="58"/>
        <item x="259"/>
        <item x="131"/>
        <item x="282"/>
        <item x="26"/>
        <item x="111"/>
        <item x="316"/>
        <item x="113"/>
        <item x="191"/>
        <item x="18"/>
        <item x="195"/>
        <item x="64"/>
        <item x="139"/>
        <item x="300"/>
        <item x="112"/>
        <item x="53"/>
        <item x="190"/>
        <item x="106"/>
        <item x="223"/>
        <item x="198"/>
        <item x="170"/>
        <item x="258"/>
        <item x="110"/>
        <item x="205"/>
        <item x="293"/>
        <item x="216"/>
        <item x="297"/>
        <item x="49"/>
        <item x="248"/>
        <item x="233"/>
        <item x="154"/>
        <item x="73"/>
        <item x="312"/>
        <item x="88"/>
        <item x="0"/>
        <item x="101"/>
        <item x="169"/>
        <item x="144"/>
        <item x="152"/>
        <item x="69"/>
        <item x="273"/>
        <item x="124"/>
        <item x="48"/>
        <item x="235"/>
        <item x="314"/>
        <item x="181"/>
        <item x="179"/>
        <item x="177"/>
        <item x="50"/>
        <item x="251"/>
        <item x="212"/>
        <item x="19"/>
        <item x="213"/>
        <item x="36"/>
        <item x="207"/>
        <item x="236"/>
        <item x="79"/>
        <item x="72"/>
        <item x="147"/>
        <item x="98"/>
        <item x="290"/>
        <item x="222"/>
        <item x="245"/>
        <item x="9"/>
        <item x="284"/>
        <item x="228"/>
        <item x="6"/>
        <item x="274"/>
        <item x="247"/>
        <item x="109"/>
        <item x="243"/>
        <item x="126"/>
        <item x="115"/>
        <item x="176"/>
        <item x="267"/>
        <item x="160"/>
        <item x="265"/>
        <item x="217"/>
        <item x="219"/>
        <item x="104"/>
        <item x="105"/>
        <item x="309"/>
        <item x="102"/>
        <item x="16"/>
        <item x="7"/>
        <item x="171"/>
        <item x="29"/>
        <item x="250"/>
        <item x="27"/>
        <item x="271"/>
        <item x="55"/>
        <item x="65"/>
        <item x="277"/>
        <item x="68"/>
        <item x="118"/>
        <item x="38"/>
        <item x="315"/>
        <item x="13"/>
        <item x="28"/>
        <item x="283"/>
        <item x="86"/>
        <item x="119"/>
        <item x="230"/>
        <item x="87"/>
        <item x="308"/>
        <item x="136"/>
        <item x="163"/>
        <item x="75"/>
        <item x="155"/>
        <item x="153"/>
        <item x="1"/>
        <item x="313"/>
        <item x="15"/>
        <item x="278"/>
        <item x="186"/>
        <item x="201"/>
        <item x="32"/>
        <item x="306"/>
        <item x="31"/>
        <item x="255"/>
        <item x="221"/>
        <item x="2"/>
        <item x="52"/>
        <item x="182"/>
        <item x="310"/>
        <item x="96"/>
        <item x="57"/>
        <item x="252"/>
        <item x="92"/>
        <item x="242"/>
        <item x="141"/>
        <item x="204"/>
        <item x="172"/>
        <item x="100"/>
        <item x="165"/>
        <item x="185"/>
        <item x="183"/>
        <item x="17"/>
        <item x="199"/>
        <item x="149"/>
        <item x="279"/>
        <item x="192"/>
        <item x="197"/>
        <item x="180"/>
        <item x="220"/>
        <item x="249"/>
        <item x="164"/>
        <item x="311"/>
        <item x="173"/>
        <item x="166"/>
        <item x="54"/>
        <item x="239"/>
        <item x="261"/>
        <item x="211"/>
        <item x="272"/>
        <item x="23"/>
        <item x="287"/>
        <item x="269"/>
        <item x="60"/>
        <item x="193"/>
        <item x="39"/>
        <item x="202"/>
        <item x="83"/>
        <item x="12"/>
        <item x="66"/>
        <item x="307"/>
        <item x="81"/>
        <item x="35"/>
        <item x="103"/>
        <item x="266"/>
        <item x="241"/>
        <item x="188"/>
        <item x="133"/>
        <item x="234"/>
        <item x="46"/>
        <item x="20"/>
        <item x="237"/>
        <item x="3"/>
        <item x="121"/>
        <item x="47"/>
        <item x="159"/>
        <item x="244"/>
        <item x="158"/>
        <item x="150"/>
        <item x="263"/>
        <item x="76"/>
        <item x="125"/>
        <item x="161"/>
        <item x="67"/>
        <item x="4"/>
        <item x="143"/>
        <item x="107"/>
        <item x="151"/>
        <item x="246"/>
        <item x="127"/>
        <item x="264"/>
        <item x="56"/>
        <item x="91"/>
        <item x="257"/>
        <item x="254"/>
        <item x="189"/>
        <item x="93"/>
        <item x="167"/>
        <item x="146"/>
        <item x="145"/>
        <item x="30"/>
        <item x="84"/>
        <item x="33"/>
        <item x="62"/>
        <item x="129"/>
        <item x="303"/>
        <item x="59"/>
        <item x="227"/>
        <item x="253"/>
        <item x="134"/>
        <item x="108"/>
        <item x="187"/>
        <item x="34"/>
        <item x="301"/>
        <item x="288"/>
        <item x="45"/>
        <item x="132"/>
        <item x="268"/>
        <item x="78"/>
        <item x="43"/>
        <item x="142"/>
        <item x="175"/>
        <item x="116"/>
        <item x="319"/>
        <item x="174"/>
        <item x="285"/>
        <item x="184"/>
        <item x="218"/>
        <item x="95"/>
        <item x="229"/>
        <item x="276"/>
        <item x="291"/>
        <item x="292"/>
        <item x="61"/>
        <item x="295"/>
        <item x="41"/>
        <item x="281"/>
        <item x="44"/>
        <item x="294"/>
        <item x="208"/>
        <item x="10"/>
        <item x="80"/>
        <item x="14"/>
        <item x="137"/>
        <item x="148"/>
        <item x="168"/>
        <item x="157"/>
        <item x="305"/>
        <item x="135"/>
        <item x="122"/>
        <item x="128"/>
        <item x="275"/>
        <item x="210"/>
        <item x="40"/>
        <item x="196"/>
        <item x="85"/>
        <item x="262"/>
        <item x="42"/>
        <item x="70"/>
        <item x="232"/>
        <item x="256"/>
        <item x="178"/>
        <item m="1" x="322"/>
        <item x="286"/>
        <item x="162"/>
        <item x="318"/>
        <item x="63"/>
        <item x="238"/>
        <item x="138"/>
        <item x="89"/>
        <item x="270"/>
        <item x="280"/>
        <item x="97"/>
        <item x="90"/>
        <item x="320"/>
        <item x="296"/>
        <item x="304"/>
        <item x="156"/>
        <item x="317"/>
        <item x="321"/>
        <item t="default"/>
      </items>
    </pivotField>
    <pivotField axis="axisCol" showAll="0">
      <items count="18">
        <item x="14"/>
        <item x="15"/>
        <item x="0"/>
        <item x="1"/>
        <item x="2"/>
        <item x="3"/>
        <item x="4"/>
        <item x="5"/>
        <item x="6"/>
        <item x="7"/>
        <item x="10"/>
        <item x="8"/>
        <item x="9"/>
        <item x="11"/>
        <item x="12"/>
        <item x="13"/>
        <item h="1" x="16"/>
        <item t="default"/>
      </items>
    </pivotField>
    <pivotField dataField="1" showAll="0"/>
    <pivotField showAll="0"/>
  </pivotFields>
  <rowFields count="1">
    <field x="0"/>
  </rowFields>
  <rowItems count="3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 t="grand">
      <x/>
    </i>
  </rowItems>
  <colFields count="1">
    <field x="1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dataFields count="1">
    <dataField name="Sum of Amount" fld="2" baseField="0" baseItem="0" numFmtId="43"/>
  </dataFields>
  <formats count="4">
    <format dxfId="23">
      <pivotArea dataOnly="0" labelOnly="1" fieldPosition="0">
        <references count="1">
          <reference field="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2">
      <pivotArea dataOnly="0" labelOnly="1" fieldPosition="0">
        <references count="1">
          <reference field="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21">
      <pivotArea dataOnly="0" labelOnly="1" fieldPosition="0">
        <references count="1">
          <reference field="1" count="3">
            <x v="8"/>
            <x v="9"/>
            <x v="10"/>
          </reference>
        </references>
      </pivotArea>
    </format>
    <format dxfId="20">
      <pivotArea dataOnly="0" labelOnly="1" fieldPosition="0">
        <references count="1">
          <reference field="1" count="5">
            <x v="11"/>
            <x v="12"/>
            <x v="13"/>
            <x v="14"/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8AFF68-22E6-4370-AA54-69B7FEECA703}" name="PivotTable9" cacheId="5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AK4:AY11" firstHeaderRow="1" firstDataRow="2" firstDataCol="1" rowPageCount="2" colPageCount="1"/>
  <pivotFields count="13">
    <pivotField axis="axisRow" showAll="0" sortType="ascending">
      <items count="320">
        <item x="303"/>
        <item m="1" x="3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m="1" x="313"/>
        <item m="1" x="308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3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m="1" x="307"/>
        <item m="1" x="31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m="1" x="309"/>
        <item x="125"/>
        <item x="126"/>
        <item x="127"/>
        <item x="128"/>
        <item x="129"/>
        <item x="130"/>
        <item x="131"/>
        <item m="1" x="314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m="1" x="311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m="1" x="315"/>
        <item x="173"/>
        <item x="174"/>
        <item x="175"/>
        <item x="176"/>
        <item x="177"/>
        <item x="178"/>
        <item m="1" x="310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m="1" x="312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m="1" x="30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m="1" x="30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t="default"/>
      </items>
    </pivotField>
    <pivotField showAll="0"/>
    <pivotField showAll="0"/>
    <pivotField showAll="0"/>
    <pivotField axis="axisPage" multipleItemSelectionAllowed="1" showAll="0">
      <items count="6">
        <item x="0"/>
        <item h="1" x="2"/>
        <item h="1" x="1"/>
        <item h="1" x="3"/>
        <item h="1" m="1"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showAll="0">
      <items count="143">
        <item x="95"/>
        <item x="56"/>
        <item x="40"/>
        <item x="15"/>
        <item x="77"/>
        <item x="16"/>
        <item x="75"/>
        <item x="17"/>
        <item x="18"/>
        <item x="69"/>
        <item x="19"/>
        <item x="73"/>
        <item x="31"/>
        <item x="74"/>
        <item x="41"/>
        <item x="42"/>
        <item x="43"/>
        <item x="44"/>
        <item x="45"/>
        <item x="46"/>
        <item x="20"/>
        <item x="47"/>
        <item x="21"/>
        <item x="51"/>
        <item x="28"/>
        <item x="52"/>
        <item x="22"/>
        <item x="48"/>
        <item x="23"/>
        <item x="65"/>
        <item x="24"/>
        <item x="49"/>
        <item x="32"/>
        <item x="27"/>
        <item x="61"/>
        <item x="25"/>
        <item x="33"/>
        <item x="34"/>
        <item x="35"/>
        <item x="90"/>
        <item x="36"/>
        <item x="91"/>
        <item x="37"/>
        <item x="92"/>
        <item x="26"/>
        <item x="79"/>
        <item x="55"/>
        <item x="68"/>
        <item x="50"/>
        <item x="38"/>
        <item x="39"/>
        <item x="59"/>
        <item x="80"/>
        <item x="60"/>
        <item x="81"/>
        <item x="140"/>
        <item x="63"/>
        <item x="13"/>
        <item x="54"/>
        <item x="12"/>
        <item x="87"/>
        <item x="97"/>
        <item x="66"/>
        <item x="84"/>
        <item m="1" x="141"/>
        <item x="96"/>
        <item x="58"/>
        <item x="2"/>
        <item x="71"/>
        <item x="98"/>
        <item x="30"/>
        <item x="103"/>
        <item x="109"/>
        <item x="112"/>
        <item x="116"/>
        <item x="119"/>
        <item x="122"/>
        <item x="126"/>
        <item x="129"/>
        <item x="133"/>
        <item x="137"/>
        <item x="78"/>
        <item x="106"/>
        <item x="70"/>
        <item x="115"/>
        <item x="64"/>
        <item x="93"/>
        <item x="125"/>
        <item x="85"/>
        <item x="132"/>
        <item x="136"/>
        <item x="94"/>
        <item x="107"/>
        <item x="89"/>
        <item x="104"/>
        <item x="110"/>
        <item x="113"/>
        <item x="117"/>
        <item x="120"/>
        <item x="123"/>
        <item x="127"/>
        <item x="130"/>
        <item x="134"/>
        <item x="138"/>
        <item x="99"/>
        <item x="102"/>
        <item x="108"/>
        <item x="105"/>
        <item x="111"/>
        <item x="114"/>
        <item x="118"/>
        <item x="121"/>
        <item x="124"/>
        <item x="128"/>
        <item x="131"/>
        <item x="135"/>
        <item x="139"/>
        <item x="100"/>
        <item x="0"/>
        <item x="86"/>
        <item x="57"/>
        <item x="1"/>
        <item x="11"/>
        <item x="67"/>
        <item x="7"/>
        <item x="101"/>
        <item x="14"/>
        <item x="83"/>
        <item x="88"/>
        <item x="76"/>
        <item x="3"/>
        <item x="4"/>
        <item x="53"/>
        <item x="5"/>
        <item x="82"/>
        <item x="72"/>
        <item x="6"/>
        <item x="8"/>
        <item x="29"/>
        <item x="9"/>
        <item x="10"/>
        <item x="6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Page" multipleItemSelectionAllowed="1" showAll="0">
      <items count="8">
        <item h="1" x="1"/>
        <item h="1" x="6"/>
        <item x="2"/>
        <item h="1" x="0"/>
        <item h="1" x="3"/>
        <item h="1" x="4"/>
        <item h="1" x="5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0"/>
  </rowFields>
  <rowItems count="6">
    <i>
      <x/>
    </i>
    <i>
      <x v="7"/>
    </i>
    <i>
      <x v="19"/>
    </i>
    <i>
      <x v="90"/>
    </i>
    <i>
      <x v="189"/>
    </i>
    <i t="grand">
      <x/>
    </i>
  </rowItems>
  <colFields count="1">
    <field x="5"/>
  </colFields>
  <colItems count="14">
    <i>
      <x v="1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</colItems>
  <pageFields count="2">
    <pageField fld="7" hier="-1"/>
    <pageField fld="4" hier="-1"/>
  </pageFields>
  <dataFields count="1">
    <dataField name="Sum of AMOUNT" fld="12" baseField="5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FB410D-3CEC-4F79-A2B2-9CB57A67B176}" name="PivotTable6" cacheId="5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A4:O264" firstHeaderRow="1" firstDataRow="2" firstDataCol="1" rowPageCount="2" colPageCount="1"/>
  <pivotFields count="13">
    <pivotField axis="axisRow" showAll="0" sortType="ascending">
      <items count="320">
        <item x="303"/>
        <item m="1" x="3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m="1" x="313"/>
        <item m="1" x="308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3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m="1" x="307"/>
        <item m="1" x="31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m="1" x="309"/>
        <item x="125"/>
        <item x="126"/>
        <item x="127"/>
        <item x="128"/>
        <item x="129"/>
        <item x="130"/>
        <item x="131"/>
        <item m="1" x="314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m="1" x="311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m="1" x="315"/>
        <item x="173"/>
        <item x="174"/>
        <item x="175"/>
        <item x="176"/>
        <item x="177"/>
        <item x="178"/>
        <item m="1" x="310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m="1" x="312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m="1" x="30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m="1" x="30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t="default"/>
      </items>
    </pivotField>
    <pivotField showAll="0"/>
    <pivotField showAll="0"/>
    <pivotField showAll="0"/>
    <pivotField axis="axisPage" multipleItemSelectionAllowed="1" showAll="0">
      <items count="6">
        <item x="0"/>
        <item h="1" x="2"/>
        <item h="1" x="1"/>
        <item h="1" x="3"/>
        <item h="1" m="1"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showAll="0">
      <items count="143">
        <item x="95"/>
        <item x="56"/>
        <item x="0"/>
        <item x="86"/>
        <item x="57"/>
        <item x="1"/>
        <item x="11"/>
        <item x="67"/>
        <item x="7"/>
        <item x="101"/>
        <item x="14"/>
        <item x="83"/>
        <item x="88"/>
        <item x="76"/>
        <item x="3"/>
        <item x="4"/>
        <item x="53"/>
        <item x="5"/>
        <item x="82"/>
        <item x="72"/>
        <item x="6"/>
        <item x="8"/>
        <item x="29"/>
        <item x="9"/>
        <item x="10"/>
        <item x="62"/>
        <item x="40"/>
        <item x="15"/>
        <item x="77"/>
        <item x="16"/>
        <item x="75"/>
        <item x="17"/>
        <item x="18"/>
        <item x="69"/>
        <item x="19"/>
        <item x="73"/>
        <item x="31"/>
        <item x="74"/>
        <item x="41"/>
        <item x="42"/>
        <item x="43"/>
        <item x="44"/>
        <item x="45"/>
        <item x="46"/>
        <item x="20"/>
        <item x="47"/>
        <item x="21"/>
        <item x="51"/>
        <item x="28"/>
        <item x="52"/>
        <item x="22"/>
        <item x="48"/>
        <item x="23"/>
        <item x="65"/>
        <item x="24"/>
        <item x="49"/>
        <item x="32"/>
        <item x="27"/>
        <item x="61"/>
        <item x="25"/>
        <item x="33"/>
        <item x="34"/>
        <item x="35"/>
        <item x="90"/>
        <item x="36"/>
        <item x="91"/>
        <item x="37"/>
        <item x="92"/>
        <item x="26"/>
        <item x="79"/>
        <item x="55"/>
        <item x="68"/>
        <item x="50"/>
        <item x="38"/>
        <item x="39"/>
        <item x="59"/>
        <item x="80"/>
        <item x="60"/>
        <item x="81"/>
        <item x="140"/>
        <item x="63"/>
        <item x="13"/>
        <item x="54"/>
        <item x="12"/>
        <item x="87"/>
        <item x="97"/>
        <item x="66"/>
        <item x="84"/>
        <item m="1" x="141"/>
        <item x="96"/>
        <item x="58"/>
        <item x="2"/>
        <item x="71"/>
        <item x="98"/>
        <item x="30"/>
        <item x="103"/>
        <item x="109"/>
        <item x="112"/>
        <item x="116"/>
        <item x="119"/>
        <item x="122"/>
        <item x="126"/>
        <item x="129"/>
        <item x="133"/>
        <item x="137"/>
        <item x="78"/>
        <item x="106"/>
        <item x="70"/>
        <item x="115"/>
        <item x="64"/>
        <item x="93"/>
        <item x="125"/>
        <item x="85"/>
        <item x="132"/>
        <item x="136"/>
        <item x="94"/>
        <item x="107"/>
        <item x="89"/>
        <item x="104"/>
        <item x="110"/>
        <item x="113"/>
        <item x="117"/>
        <item x="120"/>
        <item x="123"/>
        <item x="127"/>
        <item x="130"/>
        <item x="134"/>
        <item x="138"/>
        <item x="99"/>
        <item x="102"/>
        <item x="108"/>
        <item x="105"/>
        <item x="111"/>
        <item x="114"/>
        <item x="118"/>
        <item x="121"/>
        <item x="124"/>
        <item x="128"/>
        <item x="131"/>
        <item x="135"/>
        <item x="139"/>
        <item x="10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Page" multipleItemSelectionAllowed="1" showAll="0">
      <items count="8">
        <item h="1" x="1"/>
        <item h="1" x="6"/>
        <item h="1" x="2"/>
        <item x="0"/>
        <item h="1" x="3"/>
        <item h="1" x="4"/>
        <item h="1" x="5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0"/>
  </rowFields>
  <rowItems count="259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30"/>
    </i>
    <i>
      <x v="31"/>
    </i>
    <i>
      <x v="32"/>
    </i>
    <i>
      <x v="33"/>
    </i>
    <i>
      <x v="34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7"/>
    </i>
    <i>
      <x v="48"/>
    </i>
    <i>
      <x v="52"/>
    </i>
    <i>
      <x v="53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9"/>
    </i>
    <i>
      <x v="70"/>
    </i>
    <i>
      <x v="71"/>
    </i>
    <i>
      <x v="72"/>
    </i>
    <i>
      <x v="73"/>
    </i>
    <i>
      <x v="74"/>
    </i>
    <i>
      <x v="76"/>
    </i>
    <i>
      <x v="77"/>
    </i>
    <i>
      <x v="80"/>
    </i>
    <i>
      <x v="81"/>
    </i>
    <i>
      <x v="82"/>
    </i>
    <i>
      <x v="83"/>
    </i>
    <i>
      <x v="84"/>
    </i>
    <i>
      <x v="85"/>
    </i>
    <i>
      <x v="87"/>
    </i>
    <i>
      <x v="88"/>
    </i>
    <i>
      <x v="89"/>
    </i>
    <i>
      <x v="90"/>
    </i>
    <i>
      <x v="91"/>
    </i>
    <i>
      <x v="92"/>
    </i>
    <i>
      <x v="94"/>
    </i>
    <i>
      <x v="95"/>
    </i>
    <i>
      <x v="96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10"/>
    </i>
    <i>
      <x v="114"/>
    </i>
    <i>
      <x v="115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6"/>
    </i>
    <i>
      <x v="128"/>
    </i>
    <i>
      <x v="129"/>
    </i>
    <i>
      <x v="130"/>
    </i>
    <i>
      <x v="131"/>
    </i>
    <i>
      <x v="134"/>
    </i>
    <i>
      <x v="135"/>
    </i>
    <i>
      <x v="136"/>
    </i>
    <i>
      <x v="138"/>
    </i>
    <i>
      <x v="139"/>
    </i>
    <i>
      <x v="141"/>
    </i>
    <i>
      <x v="142"/>
    </i>
    <i>
      <x v="143"/>
    </i>
    <i>
      <x v="144"/>
    </i>
    <i>
      <x v="146"/>
    </i>
    <i>
      <x v="148"/>
    </i>
    <i>
      <x v="149"/>
    </i>
    <i>
      <x v="151"/>
    </i>
    <i>
      <x v="152"/>
    </i>
    <i>
      <x v="153"/>
    </i>
    <i>
      <x v="154"/>
    </i>
    <i>
      <x v="155"/>
    </i>
    <i>
      <x v="156"/>
    </i>
    <i>
      <x v="158"/>
    </i>
    <i>
      <x v="159"/>
    </i>
    <i>
      <x v="160"/>
    </i>
    <i>
      <x v="161"/>
    </i>
    <i>
      <x v="162"/>
    </i>
    <i>
      <x v="164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2"/>
    </i>
    <i>
      <x v="184"/>
    </i>
    <i>
      <x v="185"/>
    </i>
    <i>
      <x v="186"/>
    </i>
    <i>
      <x v="187"/>
    </i>
    <i>
      <x v="188"/>
    </i>
    <i>
      <x v="189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3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1"/>
    </i>
    <i>
      <x v="232"/>
    </i>
    <i>
      <x v="233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7"/>
    </i>
    <i>
      <x v="290"/>
    </i>
    <i>
      <x v="291"/>
    </i>
    <i>
      <x v="292"/>
    </i>
    <i>
      <x v="293"/>
    </i>
    <i>
      <x v="294"/>
    </i>
    <i>
      <x v="296"/>
    </i>
    <i>
      <x v="298"/>
    </i>
    <i>
      <x v="299"/>
    </i>
    <i>
      <x v="300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 t="grand">
      <x/>
    </i>
  </rowItems>
  <colFields count="1">
    <field x="5"/>
  </colFields>
  <colItems count="14">
    <i>
      <x v="2"/>
    </i>
    <i>
      <x v="14"/>
    </i>
    <i>
      <x v="21"/>
    </i>
    <i>
      <x v="25"/>
    </i>
    <i>
      <x v="26"/>
    </i>
    <i>
      <x v="27"/>
    </i>
    <i>
      <x v="33"/>
    </i>
    <i>
      <x v="39"/>
    </i>
    <i>
      <x v="45"/>
    </i>
    <i>
      <x v="51"/>
    </i>
    <i>
      <x v="57"/>
    </i>
    <i>
      <x v="63"/>
    </i>
    <i>
      <x v="69"/>
    </i>
    <i>
      <x v="74"/>
    </i>
  </colItems>
  <pageFields count="2">
    <pageField fld="7" hier="-1"/>
    <pageField fld="4" hier="-1"/>
  </pageFields>
  <dataFields count="1">
    <dataField name="Sum of AMOUNT" fld="12" baseField="5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C3E52D-A190-45B8-8622-404EDDD95A84}" name="PivotTable11" cacheId="5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BC4:BQ190" firstHeaderRow="1" firstDataRow="2" firstDataCol="1" rowPageCount="2" colPageCount="1"/>
  <pivotFields count="13">
    <pivotField axis="axisRow" showAll="0" sortType="ascending">
      <items count="320">
        <item x="303"/>
        <item m="1" x="3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m="1" x="313"/>
        <item m="1" x="308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3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m="1" x="307"/>
        <item m="1" x="31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m="1" x="309"/>
        <item x="125"/>
        <item x="126"/>
        <item x="127"/>
        <item x="128"/>
        <item x="129"/>
        <item x="130"/>
        <item x="131"/>
        <item m="1" x="314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m="1" x="311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m="1" x="315"/>
        <item x="173"/>
        <item x="174"/>
        <item x="175"/>
        <item x="176"/>
        <item x="177"/>
        <item x="178"/>
        <item m="1" x="310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m="1" x="312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m="1" x="30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m="1" x="30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t="default"/>
      </items>
    </pivotField>
    <pivotField showAll="0"/>
    <pivotField showAll="0"/>
    <pivotField showAll="0"/>
    <pivotField axis="axisPage" multipleItemSelectionAllowed="1" showAll="0">
      <items count="6">
        <item x="0"/>
        <item h="1" x="2"/>
        <item h="1" x="1"/>
        <item h="1" x="3"/>
        <item h="1" m="1"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showAll="0">
      <items count="143">
        <item x="56"/>
        <item x="40"/>
        <item x="15"/>
        <item x="77"/>
        <item x="16"/>
        <item x="75"/>
        <item x="17"/>
        <item x="95"/>
        <item x="67"/>
        <item x="7"/>
        <item x="101"/>
        <item x="14"/>
        <item x="83"/>
        <item x="88"/>
        <item x="76"/>
        <item x="18"/>
        <item x="69"/>
        <item x="19"/>
        <item x="73"/>
        <item x="31"/>
        <item x="74"/>
        <item x="41"/>
        <item x="42"/>
        <item x="43"/>
        <item x="44"/>
        <item x="45"/>
        <item x="46"/>
        <item x="20"/>
        <item x="47"/>
        <item x="21"/>
        <item x="51"/>
        <item x="28"/>
        <item x="52"/>
        <item x="22"/>
        <item x="48"/>
        <item x="23"/>
        <item x="65"/>
        <item x="24"/>
        <item x="49"/>
        <item x="32"/>
        <item x="27"/>
        <item x="61"/>
        <item x="25"/>
        <item x="33"/>
        <item x="34"/>
        <item x="35"/>
        <item x="90"/>
        <item x="36"/>
        <item x="91"/>
        <item x="37"/>
        <item x="92"/>
        <item x="26"/>
        <item x="79"/>
        <item x="55"/>
        <item x="68"/>
        <item x="50"/>
        <item x="38"/>
        <item x="39"/>
        <item x="59"/>
        <item x="80"/>
        <item x="60"/>
        <item x="81"/>
        <item x="140"/>
        <item x="63"/>
        <item x="13"/>
        <item x="54"/>
        <item x="12"/>
        <item x="87"/>
        <item x="97"/>
        <item x="66"/>
        <item x="84"/>
        <item m="1" x="141"/>
        <item x="96"/>
        <item x="58"/>
        <item x="2"/>
        <item x="71"/>
        <item x="98"/>
        <item x="30"/>
        <item x="103"/>
        <item x="109"/>
        <item x="112"/>
        <item x="116"/>
        <item x="119"/>
        <item x="122"/>
        <item x="126"/>
        <item x="129"/>
        <item x="133"/>
        <item x="137"/>
        <item x="78"/>
        <item x="106"/>
        <item x="70"/>
        <item x="115"/>
        <item x="64"/>
        <item x="93"/>
        <item x="125"/>
        <item x="85"/>
        <item x="132"/>
        <item x="136"/>
        <item x="94"/>
        <item x="107"/>
        <item x="89"/>
        <item x="104"/>
        <item x="110"/>
        <item x="113"/>
        <item x="117"/>
        <item x="120"/>
        <item x="123"/>
        <item x="127"/>
        <item x="130"/>
        <item x="134"/>
        <item x="138"/>
        <item x="99"/>
        <item x="102"/>
        <item x="108"/>
        <item x="105"/>
        <item x="111"/>
        <item x="114"/>
        <item x="118"/>
        <item x="121"/>
        <item x="124"/>
        <item x="128"/>
        <item x="131"/>
        <item x="135"/>
        <item x="139"/>
        <item x="100"/>
        <item x="0"/>
        <item x="86"/>
        <item x="57"/>
        <item x="1"/>
        <item x="11"/>
        <item x="3"/>
        <item x="4"/>
        <item x="53"/>
        <item x="5"/>
        <item x="82"/>
        <item x="72"/>
        <item x="6"/>
        <item x="8"/>
        <item x="29"/>
        <item x="9"/>
        <item x="10"/>
        <item x="6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Page" multipleItemSelectionAllowed="1" showAll="0">
      <items count="8">
        <item x="1"/>
        <item h="1" x="6"/>
        <item h="1" x="2"/>
        <item h="1" x="0"/>
        <item h="1" x="3"/>
        <item h="1" x="4"/>
        <item h="1" x="5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0"/>
  </rowFields>
  <rowItems count="185">
    <i>
      <x/>
    </i>
    <i>
      <x v="2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5"/>
    </i>
    <i>
      <x v="16"/>
    </i>
    <i>
      <x v="17"/>
    </i>
    <i>
      <x v="18"/>
    </i>
    <i>
      <x v="20"/>
    </i>
    <i>
      <x v="22"/>
    </i>
    <i>
      <x v="24"/>
    </i>
    <i>
      <x v="26"/>
    </i>
    <i>
      <x v="27"/>
    </i>
    <i>
      <x v="28"/>
    </i>
    <i>
      <x v="30"/>
    </i>
    <i>
      <x v="31"/>
    </i>
    <i>
      <x v="32"/>
    </i>
    <i>
      <x v="33"/>
    </i>
    <i>
      <x v="34"/>
    </i>
    <i>
      <x v="38"/>
    </i>
    <i>
      <x v="40"/>
    </i>
    <i>
      <x v="42"/>
    </i>
    <i>
      <x v="43"/>
    </i>
    <i>
      <x v="47"/>
    </i>
    <i>
      <x v="55"/>
    </i>
    <i>
      <x v="56"/>
    </i>
    <i>
      <x v="59"/>
    </i>
    <i>
      <x v="61"/>
    </i>
    <i>
      <x v="64"/>
    </i>
    <i>
      <x v="65"/>
    </i>
    <i>
      <x v="66"/>
    </i>
    <i>
      <x v="69"/>
    </i>
    <i>
      <x v="70"/>
    </i>
    <i>
      <x v="71"/>
    </i>
    <i>
      <x v="73"/>
    </i>
    <i>
      <x v="74"/>
    </i>
    <i>
      <x v="75"/>
    </i>
    <i>
      <x v="77"/>
    </i>
    <i>
      <x v="81"/>
    </i>
    <i>
      <x v="82"/>
    </i>
    <i>
      <x v="83"/>
    </i>
    <i>
      <x v="84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6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14"/>
    </i>
    <i>
      <x v="115"/>
    </i>
    <i>
      <x v="117"/>
    </i>
    <i>
      <x v="118"/>
    </i>
    <i>
      <x v="119"/>
    </i>
    <i>
      <x v="120"/>
    </i>
    <i>
      <x v="121"/>
    </i>
    <i>
      <x v="123"/>
    </i>
    <i>
      <x v="128"/>
    </i>
    <i>
      <x v="129"/>
    </i>
    <i>
      <x v="130"/>
    </i>
    <i>
      <x v="141"/>
    </i>
    <i>
      <x v="143"/>
    </i>
    <i>
      <x v="146"/>
    </i>
    <i>
      <x v="151"/>
    </i>
    <i>
      <x v="153"/>
    </i>
    <i>
      <x v="160"/>
    </i>
    <i>
      <x v="161"/>
    </i>
    <i>
      <x v="164"/>
    </i>
    <i>
      <x v="166"/>
    </i>
    <i>
      <x v="167"/>
    </i>
    <i>
      <x v="170"/>
    </i>
    <i>
      <x v="171"/>
    </i>
    <i>
      <x v="172"/>
    </i>
    <i>
      <x v="173"/>
    </i>
    <i>
      <x v="175"/>
    </i>
    <i>
      <x v="176"/>
    </i>
    <i>
      <x v="177"/>
    </i>
    <i>
      <x v="184"/>
    </i>
    <i>
      <x v="185"/>
    </i>
    <i>
      <x v="186"/>
    </i>
    <i>
      <x v="187"/>
    </i>
    <i>
      <x v="188"/>
    </i>
    <i>
      <x v="189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9"/>
    </i>
    <i>
      <x v="220"/>
    </i>
    <i>
      <x v="221"/>
    </i>
    <i>
      <x v="222"/>
    </i>
    <i>
      <x v="223"/>
    </i>
    <i>
      <x v="224"/>
    </i>
    <i>
      <x v="226"/>
    </i>
    <i>
      <x v="227"/>
    </i>
    <i>
      <x v="228"/>
    </i>
    <i>
      <x v="229"/>
    </i>
    <i>
      <x v="231"/>
    </i>
    <i>
      <x v="232"/>
    </i>
    <i>
      <x v="233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4"/>
    </i>
    <i>
      <x v="245"/>
    </i>
    <i>
      <x v="246"/>
    </i>
    <i>
      <x v="247"/>
    </i>
    <i>
      <x v="251"/>
    </i>
    <i>
      <x v="254"/>
    </i>
    <i>
      <x v="260"/>
    </i>
    <i>
      <x v="262"/>
    </i>
    <i>
      <x v="263"/>
    </i>
    <i>
      <x v="264"/>
    </i>
    <i>
      <x v="265"/>
    </i>
    <i>
      <x v="266"/>
    </i>
    <i>
      <x v="268"/>
    </i>
    <i>
      <x v="269"/>
    </i>
    <i>
      <x v="273"/>
    </i>
    <i>
      <x v="274"/>
    </i>
    <i>
      <x v="276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91"/>
    </i>
    <i>
      <x v="292"/>
    </i>
    <i>
      <x v="302"/>
    </i>
    <i>
      <x v="303"/>
    </i>
    <i>
      <x v="304"/>
    </i>
    <i>
      <x v="305"/>
    </i>
    <i>
      <x v="306"/>
    </i>
    <i>
      <x v="308"/>
    </i>
    <i>
      <x v="309"/>
    </i>
    <i>
      <x v="310"/>
    </i>
    <i>
      <x v="311"/>
    </i>
    <i>
      <x v="312"/>
    </i>
    <i>
      <x v="314"/>
    </i>
    <i>
      <x v="315"/>
    </i>
    <i>
      <x v="316"/>
    </i>
    <i t="grand">
      <x/>
    </i>
  </rowItems>
  <colFields count="1">
    <field x="5"/>
  </colFields>
  <colItems count="14">
    <i>
      <x v="7"/>
    </i>
    <i>
      <x v="8"/>
    </i>
    <i>
      <x v="9"/>
    </i>
    <i>
      <x v="10"/>
    </i>
    <i>
      <x v="11"/>
    </i>
    <i>
      <x v="14"/>
    </i>
    <i>
      <x v="15"/>
    </i>
    <i>
      <x v="21"/>
    </i>
    <i>
      <x v="27"/>
    </i>
    <i>
      <x v="33"/>
    </i>
    <i>
      <x v="39"/>
    </i>
    <i>
      <x v="45"/>
    </i>
    <i>
      <x v="51"/>
    </i>
    <i>
      <x v="56"/>
    </i>
  </colItems>
  <pageFields count="2">
    <pageField fld="7" hier="-1"/>
    <pageField fld="4" hier="-1"/>
  </pageFields>
  <dataFields count="1">
    <dataField name="Sum of AMOUNT" fld="12" baseField="5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35481E-66CE-437F-9116-48C7F0A24EDD}" name="PivotTable12" cacheId="5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AK4:AY158" firstHeaderRow="1" firstDataRow="2" firstDataCol="1" rowPageCount="2" colPageCount="1"/>
  <pivotFields count="13">
    <pivotField axis="axisRow" showAll="0" sortType="ascending">
      <items count="320">
        <item x="303"/>
        <item m="1" x="3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m="1" x="313"/>
        <item m="1" x="308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3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m="1" x="307"/>
        <item m="1" x="31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m="1" x="309"/>
        <item x="125"/>
        <item x="126"/>
        <item x="127"/>
        <item x="128"/>
        <item x="129"/>
        <item x="130"/>
        <item x="131"/>
        <item m="1" x="314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m="1" x="311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m="1" x="315"/>
        <item x="173"/>
        <item x="174"/>
        <item x="175"/>
        <item x="176"/>
        <item x="177"/>
        <item x="178"/>
        <item m="1" x="310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m="1" x="312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m="1" x="30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m="1" x="30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t="default"/>
      </items>
    </pivotField>
    <pivotField showAll="0"/>
    <pivotField showAll="0"/>
    <pivotField showAll="0"/>
    <pivotField axis="axisPage" multipleItemSelectionAllowed="1" showAll="0">
      <items count="6">
        <item h="1" x="0"/>
        <item x="2"/>
        <item h="1" x="1"/>
        <item h="1" x="3"/>
        <item h="1" m="1"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showAll="0">
      <items count="143">
        <item x="56"/>
        <item x="40"/>
        <item x="15"/>
        <item x="77"/>
        <item x="16"/>
        <item x="96"/>
        <item x="82"/>
        <item x="72"/>
        <item x="6"/>
        <item x="8"/>
        <item x="29"/>
        <item x="9"/>
        <item x="10"/>
        <item x="102"/>
        <item x="88"/>
        <item x="75"/>
        <item x="17"/>
        <item x="95"/>
        <item x="67"/>
        <item x="7"/>
        <item x="101"/>
        <item x="14"/>
        <item x="83"/>
        <item x="76"/>
        <item x="18"/>
        <item x="69"/>
        <item x="19"/>
        <item x="73"/>
        <item x="31"/>
        <item x="74"/>
        <item x="41"/>
        <item x="42"/>
        <item x="43"/>
        <item x="44"/>
        <item x="45"/>
        <item x="46"/>
        <item x="20"/>
        <item x="47"/>
        <item x="21"/>
        <item x="51"/>
        <item x="28"/>
        <item x="52"/>
        <item x="22"/>
        <item x="48"/>
        <item x="23"/>
        <item x="65"/>
        <item x="24"/>
        <item x="49"/>
        <item x="32"/>
        <item x="27"/>
        <item x="61"/>
        <item x="25"/>
        <item x="33"/>
        <item x="34"/>
        <item x="35"/>
        <item x="90"/>
        <item x="36"/>
        <item x="91"/>
        <item x="37"/>
        <item x="92"/>
        <item x="26"/>
        <item x="79"/>
        <item x="55"/>
        <item x="68"/>
        <item x="50"/>
        <item x="38"/>
        <item x="39"/>
        <item x="59"/>
        <item x="80"/>
        <item x="60"/>
        <item x="81"/>
        <item x="140"/>
        <item x="63"/>
        <item x="13"/>
        <item x="54"/>
        <item x="12"/>
        <item x="87"/>
        <item x="97"/>
        <item x="66"/>
        <item x="84"/>
        <item m="1" x="141"/>
        <item x="58"/>
        <item x="2"/>
        <item x="71"/>
        <item x="98"/>
        <item x="30"/>
        <item x="103"/>
        <item x="109"/>
        <item x="112"/>
        <item x="116"/>
        <item x="119"/>
        <item x="122"/>
        <item x="126"/>
        <item x="129"/>
        <item x="133"/>
        <item x="137"/>
        <item x="78"/>
        <item x="106"/>
        <item x="70"/>
        <item x="115"/>
        <item x="64"/>
        <item x="93"/>
        <item x="125"/>
        <item x="85"/>
        <item x="132"/>
        <item x="136"/>
        <item x="94"/>
        <item x="107"/>
        <item x="89"/>
        <item x="104"/>
        <item x="110"/>
        <item x="113"/>
        <item x="117"/>
        <item x="120"/>
        <item x="123"/>
        <item x="127"/>
        <item x="130"/>
        <item x="134"/>
        <item x="138"/>
        <item x="99"/>
        <item x="108"/>
        <item x="105"/>
        <item x="111"/>
        <item x="114"/>
        <item x="118"/>
        <item x="121"/>
        <item x="124"/>
        <item x="128"/>
        <item x="131"/>
        <item x="135"/>
        <item x="139"/>
        <item x="100"/>
        <item x="0"/>
        <item x="86"/>
        <item x="57"/>
        <item x="1"/>
        <item x="11"/>
        <item x="3"/>
        <item x="4"/>
        <item x="53"/>
        <item x="5"/>
        <item x="6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Page" multipleItemSelectionAllowed="1" showAll="0">
      <items count="8">
        <item x="1"/>
        <item h="1" x="6"/>
        <item h="1" x="2"/>
        <item h="1" x="0"/>
        <item h="1" x="3"/>
        <item h="1" x="4"/>
        <item h="1" x="5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0"/>
  </rowFields>
  <rowItems count="153">
    <i>
      <x/>
    </i>
    <i>
      <x v="2"/>
    </i>
    <i>
      <x v="5"/>
    </i>
    <i>
      <x v="6"/>
    </i>
    <i>
      <x v="7"/>
    </i>
    <i>
      <x v="9"/>
    </i>
    <i>
      <x v="11"/>
    </i>
    <i>
      <x v="12"/>
    </i>
    <i>
      <x v="15"/>
    </i>
    <i>
      <x v="16"/>
    </i>
    <i>
      <x v="17"/>
    </i>
    <i>
      <x v="18"/>
    </i>
    <i>
      <x v="20"/>
    </i>
    <i>
      <x v="24"/>
    </i>
    <i>
      <x v="26"/>
    </i>
    <i>
      <x v="27"/>
    </i>
    <i>
      <x v="28"/>
    </i>
    <i>
      <x v="30"/>
    </i>
    <i>
      <x v="31"/>
    </i>
    <i>
      <x v="32"/>
    </i>
    <i>
      <x v="33"/>
    </i>
    <i>
      <x v="34"/>
    </i>
    <i>
      <x v="38"/>
    </i>
    <i>
      <x v="42"/>
    </i>
    <i>
      <x v="43"/>
    </i>
    <i>
      <x v="47"/>
    </i>
    <i>
      <x v="56"/>
    </i>
    <i>
      <x v="61"/>
    </i>
    <i>
      <x v="64"/>
    </i>
    <i>
      <x v="65"/>
    </i>
    <i>
      <x v="66"/>
    </i>
    <i>
      <x v="70"/>
    </i>
    <i>
      <x v="71"/>
    </i>
    <i>
      <x v="74"/>
    </i>
    <i>
      <x v="81"/>
    </i>
    <i>
      <x v="82"/>
    </i>
    <i>
      <x v="83"/>
    </i>
    <i>
      <x v="84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18"/>
    </i>
    <i>
      <x v="119"/>
    </i>
    <i>
      <x v="120"/>
    </i>
    <i>
      <x v="121"/>
    </i>
    <i>
      <x v="123"/>
    </i>
    <i>
      <x v="128"/>
    </i>
    <i>
      <x v="141"/>
    </i>
    <i>
      <x v="146"/>
    </i>
    <i>
      <x v="148"/>
    </i>
    <i>
      <x v="153"/>
    </i>
    <i>
      <x v="164"/>
    </i>
    <i>
      <x v="167"/>
    </i>
    <i>
      <x v="171"/>
    </i>
    <i>
      <x v="172"/>
    </i>
    <i>
      <x v="173"/>
    </i>
    <i>
      <x v="175"/>
    </i>
    <i>
      <x v="176"/>
    </i>
    <i>
      <x v="177"/>
    </i>
    <i>
      <x v="184"/>
    </i>
    <i>
      <x v="185"/>
    </i>
    <i>
      <x v="187"/>
    </i>
    <i>
      <x v="188"/>
    </i>
    <i>
      <x v="189"/>
    </i>
    <i>
      <x v="191"/>
    </i>
    <i>
      <x v="192"/>
    </i>
    <i>
      <x v="193"/>
    </i>
    <i>
      <x v="194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6"/>
    </i>
    <i>
      <x v="209"/>
    </i>
    <i>
      <x v="210"/>
    </i>
    <i>
      <x v="211"/>
    </i>
    <i>
      <x v="212"/>
    </i>
    <i>
      <x v="214"/>
    </i>
    <i>
      <x v="219"/>
    </i>
    <i>
      <x v="220"/>
    </i>
    <i>
      <x v="221"/>
    </i>
    <i>
      <x v="222"/>
    </i>
    <i>
      <x v="223"/>
    </i>
    <i>
      <x v="224"/>
    </i>
    <i>
      <x v="226"/>
    </i>
    <i>
      <x v="227"/>
    </i>
    <i>
      <x v="228"/>
    </i>
    <i>
      <x v="229"/>
    </i>
    <i>
      <x v="232"/>
    </i>
    <i>
      <x v="233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51"/>
    </i>
    <i>
      <x v="254"/>
    </i>
    <i>
      <x v="261"/>
    </i>
    <i>
      <x v="262"/>
    </i>
    <i>
      <x v="263"/>
    </i>
    <i>
      <x v="264"/>
    </i>
    <i>
      <x v="265"/>
    </i>
    <i>
      <x v="266"/>
    </i>
    <i>
      <x v="273"/>
    </i>
    <i>
      <x v="276"/>
    </i>
    <i>
      <x v="279"/>
    </i>
    <i>
      <x v="280"/>
    </i>
    <i>
      <x v="281"/>
    </i>
    <i>
      <x v="282"/>
    </i>
    <i>
      <x v="283"/>
    </i>
    <i>
      <x v="285"/>
    </i>
    <i>
      <x v="291"/>
    </i>
    <i>
      <x v="292"/>
    </i>
    <i>
      <x v="302"/>
    </i>
    <i>
      <x v="303"/>
    </i>
    <i>
      <x v="304"/>
    </i>
    <i>
      <x v="305"/>
    </i>
    <i>
      <x v="306"/>
    </i>
    <i>
      <x v="308"/>
    </i>
    <i>
      <x v="309"/>
    </i>
    <i>
      <x v="310"/>
    </i>
    <i>
      <x v="311"/>
    </i>
    <i>
      <x v="312"/>
    </i>
    <i>
      <x v="315"/>
    </i>
    <i>
      <x v="316"/>
    </i>
    <i t="grand">
      <x/>
    </i>
  </rowItems>
  <colFields count="1">
    <field x="5"/>
  </colFields>
  <colItems count="14">
    <i>
      <x v="5"/>
    </i>
    <i>
      <x v="6"/>
    </i>
    <i>
      <x v="12"/>
    </i>
    <i>
      <x v="13"/>
    </i>
    <i>
      <x v="14"/>
    </i>
    <i>
      <x v="15"/>
    </i>
    <i>
      <x v="28"/>
    </i>
    <i>
      <x v="34"/>
    </i>
    <i>
      <x v="40"/>
    </i>
    <i>
      <x v="46"/>
    </i>
    <i>
      <x v="52"/>
    </i>
    <i>
      <x v="58"/>
    </i>
    <i>
      <x v="64"/>
    </i>
    <i>
      <x v="69"/>
    </i>
  </colItems>
  <pageFields count="2">
    <pageField fld="7" hier="-1"/>
    <pageField fld="4" hier="-1"/>
  </pageFields>
  <dataFields count="1">
    <dataField name="Sum of AMOUNT" fld="12" baseField="5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EAF225-1169-4AD5-B4CA-CB72955FB70B}" name="PivotTable15" cacheId="5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A4:N233" firstHeaderRow="1" firstDataRow="2" firstDataCol="1" rowPageCount="2" colPageCount="1"/>
  <pivotFields count="13">
    <pivotField axis="axisRow" showAll="0" sortType="ascending">
      <items count="320">
        <item x="303"/>
        <item m="1" x="3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m="1" x="313"/>
        <item m="1" x="308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3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m="1" x="307"/>
        <item m="1" x="31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m="1" x="309"/>
        <item x="125"/>
        <item x="126"/>
        <item x="127"/>
        <item x="128"/>
        <item x="129"/>
        <item x="130"/>
        <item x="131"/>
        <item m="1" x="314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m="1" x="311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m="1" x="315"/>
        <item x="173"/>
        <item x="174"/>
        <item x="175"/>
        <item x="176"/>
        <item x="177"/>
        <item x="178"/>
        <item m="1" x="310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m="1" x="312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m="1" x="30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m="1" x="30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t="default"/>
      </items>
    </pivotField>
    <pivotField showAll="0"/>
    <pivotField showAll="0"/>
    <pivotField showAll="0"/>
    <pivotField axis="axisPage" multipleItemSelectionAllowed="1" showAll="0">
      <items count="6">
        <item h="1" x="0"/>
        <item x="2"/>
        <item h="1" x="1"/>
        <item h="1" x="3"/>
        <item h="1" m="1"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showAll="0">
      <items count="143">
        <item x="95"/>
        <item x="56"/>
        <item x="0"/>
        <item x="86"/>
        <item x="57"/>
        <item x="1"/>
        <item x="2"/>
        <item x="6"/>
        <item x="11"/>
        <item x="67"/>
        <item x="7"/>
        <item x="101"/>
        <item x="14"/>
        <item x="83"/>
        <item x="88"/>
        <item x="76"/>
        <item x="3"/>
        <item x="4"/>
        <item x="53"/>
        <item x="5"/>
        <item x="82"/>
        <item x="72"/>
        <item x="8"/>
        <item x="29"/>
        <item x="9"/>
        <item x="10"/>
        <item x="62"/>
        <item x="40"/>
        <item x="15"/>
        <item x="77"/>
        <item x="16"/>
        <item x="75"/>
        <item x="63"/>
        <item x="13"/>
        <item x="54"/>
        <item x="12"/>
        <item x="87"/>
        <item x="97"/>
        <item x="66"/>
        <item x="84"/>
        <item m="1" x="141"/>
        <item x="96"/>
        <item x="58"/>
        <item x="71"/>
        <item x="98"/>
        <item x="30"/>
        <item x="103"/>
        <item x="109"/>
        <item x="112"/>
        <item x="116"/>
        <item x="119"/>
        <item x="122"/>
        <item x="126"/>
        <item x="129"/>
        <item x="133"/>
        <item x="137"/>
        <item x="78"/>
        <item x="106"/>
        <item x="70"/>
        <item x="115"/>
        <item x="64"/>
        <item x="93"/>
        <item x="125"/>
        <item x="85"/>
        <item x="132"/>
        <item x="136"/>
        <item x="94"/>
        <item x="107"/>
        <item x="17"/>
        <item x="18"/>
        <item x="69"/>
        <item x="19"/>
        <item x="73"/>
        <item x="31"/>
        <item x="74"/>
        <item x="41"/>
        <item x="42"/>
        <item x="43"/>
        <item x="44"/>
        <item x="45"/>
        <item x="46"/>
        <item x="20"/>
        <item x="47"/>
        <item x="21"/>
        <item x="51"/>
        <item x="28"/>
        <item x="52"/>
        <item x="22"/>
        <item x="48"/>
        <item x="23"/>
        <item x="65"/>
        <item x="24"/>
        <item x="49"/>
        <item x="32"/>
        <item x="27"/>
        <item x="61"/>
        <item x="25"/>
        <item x="33"/>
        <item x="34"/>
        <item x="35"/>
        <item x="90"/>
        <item x="36"/>
        <item x="91"/>
        <item x="37"/>
        <item x="92"/>
        <item x="26"/>
        <item x="79"/>
        <item x="55"/>
        <item x="68"/>
        <item x="50"/>
        <item x="38"/>
        <item x="39"/>
        <item x="59"/>
        <item x="80"/>
        <item x="60"/>
        <item x="140"/>
        <item x="89"/>
        <item x="104"/>
        <item x="110"/>
        <item x="113"/>
        <item x="117"/>
        <item x="120"/>
        <item x="123"/>
        <item x="127"/>
        <item x="130"/>
        <item x="134"/>
        <item x="138"/>
        <item x="99"/>
        <item x="102"/>
        <item x="108"/>
        <item x="105"/>
        <item x="111"/>
        <item x="114"/>
        <item x="118"/>
        <item x="121"/>
        <item x="124"/>
        <item x="128"/>
        <item x="131"/>
        <item x="135"/>
        <item x="139"/>
        <item x="100"/>
        <item x="8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Page" multipleItemSelectionAllowed="1" showAll="0">
      <items count="8">
        <item h="1" x="1"/>
        <item h="1" x="6"/>
        <item h="1" x="2"/>
        <item x="0"/>
        <item h="1" x="3"/>
        <item h="1" x="4"/>
        <item h="1" x="5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0"/>
  </rowFields>
  <rowItems count="228">
    <i>
      <x v="2"/>
    </i>
    <i>
      <x v="3"/>
    </i>
    <i>
      <x v="5"/>
    </i>
    <i>
      <x v="6"/>
    </i>
    <i>
      <x v="7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2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7"/>
    </i>
    <i>
      <x v="38"/>
    </i>
    <i>
      <x v="40"/>
    </i>
    <i>
      <x v="41"/>
    </i>
    <i>
      <x v="42"/>
    </i>
    <i>
      <x v="43"/>
    </i>
    <i>
      <x v="44"/>
    </i>
    <i>
      <x v="45"/>
    </i>
    <i>
      <x v="47"/>
    </i>
    <i>
      <x v="49"/>
    </i>
    <i>
      <x v="51"/>
    </i>
    <i>
      <x v="53"/>
    </i>
    <i>
      <x v="55"/>
    </i>
    <i>
      <x v="56"/>
    </i>
    <i>
      <x v="58"/>
    </i>
    <i>
      <x v="59"/>
    </i>
    <i>
      <x v="60"/>
    </i>
    <i>
      <x v="61"/>
    </i>
    <i>
      <x v="63"/>
    </i>
    <i>
      <x v="64"/>
    </i>
    <i>
      <x v="65"/>
    </i>
    <i>
      <x v="66"/>
    </i>
    <i>
      <x v="69"/>
    </i>
    <i>
      <x v="70"/>
    </i>
    <i>
      <x v="72"/>
    </i>
    <i>
      <x v="73"/>
    </i>
    <i>
      <x v="74"/>
    </i>
    <i>
      <x v="80"/>
    </i>
    <i>
      <x v="81"/>
    </i>
    <i>
      <x v="82"/>
    </i>
    <i>
      <x v="83"/>
    </i>
    <i>
      <x v="84"/>
    </i>
    <i>
      <x v="87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10"/>
    </i>
    <i>
      <x v="111"/>
    </i>
    <i>
      <x v="118"/>
    </i>
    <i>
      <x v="119"/>
    </i>
    <i>
      <x v="120"/>
    </i>
    <i>
      <x v="121"/>
    </i>
    <i>
      <x v="122"/>
    </i>
    <i>
      <x v="123"/>
    </i>
    <i>
      <x v="128"/>
    </i>
    <i>
      <x v="130"/>
    </i>
    <i>
      <x v="131"/>
    </i>
    <i>
      <x v="135"/>
    </i>
    <i>
      <x v="136"/>
    </i>
    <i>
      <x v="138"/>
    </i>
    <i>
      <x v="139"/>
    </i>
    <i>
      <x v="141"/>
    </i>
    <i>
      <x v="143"/>
    </i>
    <i>
      <x v="144"/>
    </i>
    <i>
      <x v="146"/>
    </i>
    <i>
      <x v="148"/>
    </i>
    <i>
      <x v="149"/>
    </i>
    <i>
      <x v="150"/>
    </i>
    <i>
      <x v="151"/>
    </i>
    <i>
      <x v="152"/>
    </i>
    <i>
      <x v="153"/>
    </i>
    <i>
      <x v="155"/>
    </i>
    <i>
      <x v="156"/>
    </i>
    <i>
      <x v="158"/>
    </i>
    <i>
      <x v="163"/>
    </i>
    <i>
      <x v="164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80"/>
    </i>
    <i>
      <x v="182"/>
    </i>
    <i>
      <x v="184"/>
    </i>
    <i>
      <x v="185"/>
    </i>
    <i>
      <x v="186"/>
    </i>
    <i>
      <x v="187"/>
    </i>
    <i>
      <x v="188"/>
    </i>
    <i>
      <x v="189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4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31"/>
    </i>
    <i>
      <x v="232"/>
    </i>
    <i>
      <x v="233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51"/>
    </i>
    <i>
      <x v="252"/>
    </i>
    <i>
      <x v="253"/>
    </i>
    <i>
      <x v="254"/>
    </i>
    <i>
      <x v="256"/>
    </i>
    <i>
      <x v="258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3"/>
    </i>
    <i>
      <x v="274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90"/>
    </i>
    <i>
      <x v="291"/>
    </i>
    <i>
      <x v="292"/>
    </i>
    <i>
      <x v="294"/>
    </i>
    <i>
      <x v="296"/>
    </i>
    <i>
      <x v="298"/>
    </i>
    <i>
      <x v="300"/>
    </i>
    <i>
      <x v="302"/>
    </i>
    <i>
      <x v="303"/>
    </i>
    <i>
      <x v="304"/>
    </i>
    <i>
      <x v="305"/>
    </i>
    <i>
      <x v="306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 t="grand">
      <x/>
    </i>
  </rowItems>
  <colFields count="1">
    <field x="5"/>
  </colFields>
  <colItems count="13">
    <i>
      <x v="6"/>
    </i>
    <i>
      <x v="7"/>
    </i>
    <i>
      <x v="8"/>
    </i>
    <i>
      <x v="32"/>
    </i>
    <i>
      <x v="68"/>
    </i>
    <i>
      <x v="74"/>
    </i>
    <i>
      <x v="80"/>
    </i>
    <i>
      <x v="86"/>
    </i>
    <i>
      <x v="92"/>
    </i>
    <i>
      <x v="98"/>
    </i>
    <i>
      <x v="104"/>
    </i>
    <i>
      <x v="116"/>
    </i>
    <i>
      <x v="141"/>
    </i>
  </colItems>
  <pageFields count="2">
    <pageField fld="7" hier="-1"/>
    <pageField fld="4" hier="-1"/>
  </pageFields>
  <dataFields count="1">
    <dataField name="Sum of AMOUNT" fld="12" baseField="5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5FB135-34EC-49D9-B8EC-11F6729F53E0}" name="PivotTable14" cacheId="5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S4:AG13" firstHeaderRow="1" firstDataRow="2" firstDataCol="1" rowPageCount="2" colPageCount="1"/>
  <pivotFields count="13">
    <pivotField axis="axisRow" showAll="0" sortType="ascending">
      <items count="320">
        <item x="303"/>
        <item m="1" x="3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m="1" x="313"/>
        <item m="1" x="308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3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m="1" x="307"/>
        <item m="1" x="31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m="1" x="309"/>
        <item x="125"/>
        <item x="126"/>
        <item x="127"/>
        <item x="128"/>
        <item x="129"/>
        <item x="130"/>
        <item x="131"/>
        <item m="1" x="314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m="1" x="311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m="1" x="315"/>
        <item x="173"/>
        <item x="174"/>
        <item x="175"/>
        <item x="176"/>
        <item x="177"/>
        <item x="178"/>
        <item m="1" x="310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m="1" x="312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m="1" x="30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m="1" x="30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t="default"/>
      </items>
    </pivotField>
    <pivotField showAll="0"/>
    <pivotField showAll="0"/>
    <pivotField showAll="0"/>
    <pivotField axis="axisPage" multipleItemSelectionAllowed="1" showAll="0">
      <items count="6">
        <item h="1" x="0"/>
        <item x="2"/>
        <item h="1" x="1"/>
        <item h="1" x="3"/>
        <item h="1" m="1"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showAll="0">
      <items count="143">
        <item x="95"/>
        <item x="56"/>
        <item x="40"/>
        <item x="15"/>
        <item x="77"/>
        <item x="16"/>
        <item x="75"/>
        <item x="17"/>
        <item x="18"/>
        <item x="69"/>
        <item x="19"/>
        <item x="73"/>
        <item x="31"/>
        <item x="74"/>
        <item x="41"/>
        <item x="42"/>
        <item x="43"/>
        <item x="44"/>
        <item x="45"/>
        <item x="46"/>
        <item x="20"/>
        <item x="47"/>
        <item x="21"/>
        <item x="51"/>
        <item x="28"/>
        <item x="52"/>
        <item x="22"/>
        <item x="48"/>
        <item x="23"/>
        <item x="65"/>
        <item x="24"/>
        <item x="49"/>
        <item x="32"/>
        <item x="27"/>
        <item x="61"/>
        <item x="25"/>
        <item x="33"/>
        <item x="34"/>
        <item x="35"/>
        <item x="90"/>
        <item x="36"/>
        <item x="91"/>
        <item x="37"/>
        <item x="92"/>
        <item x="26"/>
        <item x="79"/>
        <item x="55"/>
        <item x="68"/>
        <item x="50"/>
        <item x="38"/>
        <item x="39"/>
        <item x="59"/>
        <item x="80"/>
        <item x="60"/>
        <item x="81"/>
        <item x="140"/>
        <item x="63"/>
        <item x="54"/>
        <item x="12"/>
        <item x="87"/>
        <item x="97"/>
        <item x="66"/>
        <item x="84"/>
        <item m="1" x="141"/>
        <item x="96"/>
        <item x="58"/>
        <item x="2"/>
        <item x="71"/>
        <item x="98"/>
        <item x="30"/>
        <item x="103"/>
        <item x="109"/>
        <item x="112"/>
        <item x="116"/>
        <item x="119"/>
        <item x="122"/>
        <item x="126"/>
        <item x="129"/>
        <item x="133"/>
        <item x="137"/>
        <item x="78"/>
        <item x="106"/>
        <item x="70"/>
        <item x="115"/>
        <item x="64"/>
        <item x="93"/>
        <item x="125"/>
        <item x="85"/>
        <item x="132"/>
        <item x="136"/>
        <item x="94"/>
        <item x="107"/>
        <item x="89"/>
        <item x="72"/>
        <item x="99"/>
        <item x="13"/>
        <item x="104"/>
        <item x="110"/>
        <item x="113"/>
        <item x="117"/>
        <item x="120"/>
        <item x="123"/>
        <item x="127"/>
        <item x="130"/>
        <item x="134"/>
        <item x="138"/>
        <item x="102"/>
        <item x="108"/>
        <item x="105"/>
        <item x="111"/>
        <item x="114"/>
        <item x="118"/>
        <item x="121"/>
        <item x="124"/>
        <item x="128"/>
        <item x="131"/>
        <item x="135"/>
        <item x="139"/>
        <item x="100"/>
        <item x="0"/>
        <item x="86"/>
        <item x="57"/>
        <item x="1"/>
        <item x="11"/>
        <item x="67"/>
        <item x="7"/>
        <item x="101"/>
        <item x="14"/>
        <item x="83"/>
        <item x="88"/>
        <item x="76"/>
        <item x="3"/>
        <item x="4"/>
        <item x="53"/>
        <item x="5"/>
        <item x="82"/>
        <item x="6"/>
        <item x="8"/>
        <item x="29"/>
        <item x="9"/>
        <item x="10"/>
        <item x="6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Page" multipleItemSelectionAllowed="1" showAll="0">
      <items count="8">
        <item h="1" x="1"/>
        <item h="1" x="6"/>
        <item x="2"/>
        <item h="1" x="0"/>
        <item h="1" x="3"/>
        <item h="1" x="4"/>
        <item h="1" x="5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0"/>
  </rowFields>
  <rowItems count="8">
    <i>
      <x/>
    </i>
    <i>
      <x v="2"/>
    </i>
    <i>
      <x v="7"/>
    </i>
    <i>
      <x v="19"/>
    </i>
    <i>
      <x v="90"/>
    </i>
    <i>
      <x v="101"/>
    </i>
    <i>
      <x v="308"/>
    </i>
    <i t="grand">
      <x/>
    </i>
  </rowItems>
  <colFields count="1">
    <field x="5"/>
  </colFields>
  <colItems count="14">
    <i>
      <x v="65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</colItems>
  <pageFields count="2">
    <pageField fld="7" hier="-1"/>
    <pageField fld="4" hier="-1"/>
  </pageFields>
  <dataFields count="1">
    <dataField name="Sum of AMOUNT" fld="12" baseField="5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34B748-7F8A-46A7-B4CD-D0AA758B3638}" name="PivotTable17" cacheId="5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S4:AG35" firstHeaderRow="1" firstDataRow="2" firstDataCol="1" rowPageCount="2" colPageCount="1"/>
  <pivotFields count="13">
    <pivotField axis="axisRow" showAll="0" sortType="ascending">
      <items count="320">
        <item x="303"/>
        <item m="1" x="3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m="1" x="313"/>
        <item m="1" x="308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3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m="1" x="307"/>
        <item m="1" x="31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m="1" x="309"/>
        <item x="125"/>
        <item x="126"/>
        <item x="127"/>
        <item x="128"/>
        <item x="129"/>
        <item x="130"/>
        <item x="131"/>
        <item m="1" x="314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m="1" x="311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m="1" x="315"/>
        <item x="173"/>
        <item x="174"/>
        <item x="175"/>
        <item x="176"/>
        <item x="177"/>
        <item x="178"/>
        <item m="1" x="310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m="1" x="312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m="1" x="30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m="1" x="30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t="default"/>
      </items>
    </pivotField>
    <pivotField showAll="0"/>
    <pivotField showAll="0"/>
    <pivotField showAll="0"/>
    <pivotField axis="axisPage" multipleItemSelectionAllowed="1" showAll="0">
      <items count="6">
        <item h="1" x="0"/>
        <item h="1" x="2"/>
        <item x="1"/>
        <item h="1" x="3"/>
        <item h="1" m="1"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showAll="0">
      <items count="143">
        <item x="95"/>
        <item x="56"/>
        <item x="40"/>
        <item x="15"/>
        <item x="77"/>
        <item x="16"/>
        <item x="75"/>
        <item x="17"/>
        <item x="18"/>
        <item x="69"/>
        <item x="19"/>
        <item x="73"/>
        <item x="31"/>
        <item x="74"/>
        <item x="41"/>
        <item x="42"/>
        <item x="43"/>
        <item x="44"/>
        <item x="45"/>
        <item x="46"/>
        <item x="20"/>
        <item x="47"/>
        <item x="21"/>
        <item x="51"/>
        <item x="28"/>
        <item x="52"/>
        <item x="22"/>
        <item x="48"/>
        <item x="23"/>
        <item x="65"/>
        <item x="24"/>
        <item x="49"/>
        <item x="32"/>
        <item x="27"/>
        <item x="61"/>
        <item x="25"/>
        <item x="33"/>
        <item x="34"/>
        <item x="35"/>
        <item x="90"/>
        <item x="36"/>
        <item x="91"/>
        <item x="37"/>
        <item x="92"/>
        <item x="26"/>
        <item x="79"/>
        <item x="55"/>
        <item x="68"/>
        <item x="50"/>
        <item x="38"/>
        <item x="39"/>
        <item x="59"/>
        <item x="80"/>
        <item x="60"/>
        <item x="81"/>
        <item x="140"/>
        <item x="63"/>
        <item x="54"/>
        <item x="57"/>
        <item x="1"/>
        <item x="11"/>
        <item x="67"/>
        <item x="7"/>
        <item x="101"/>
        <item x="14"/>
        <item x="83"/>
        <item x="88"/>
        <item x="76"/>
        <item x="3"/>
        <item x="4"/>
        <item x="53"/>
        <item x="100"/>
        <item x="12"/>
        <item x="87"/>
        <item x="97"/>
        <item x="66"/>
        <item x="84"/>
        <item m="1" x="141"/>
        <item x="96"/>
        <item x="58"/>
        <item x="2"/>
        <item x="71"/>
        <item x="98"/>
        <item x="30"/>
        <item x="103"/>
        <item x="109"/>
        <item x="112"/>
        <item x="116"/>
        <item x="119"/>
        <item x="122"/>
        <item x="126"/>
        <item x="129"/>
        <item x="133"/>
        <item x="137"/>
        <item x="78"/>
        <item x="106"/>
        <item x="70"/>
        <item x="115"/>
        <item x="64"/>
        <item x="93"/>
        <item x="125"/>
        <item x="85"/>
        <item x="132"/>
        <item x="136"/>
        <item x="94"/>
        <item x="107"/>
        <item x="89"/>
        <item x="72"/>
        <item x="99"/>
        <item x="13"/>
        <item x="104"/>
        <item x="110"/>
        <item x="113"/>
        <item x="117"/>
        <item x="120"/>
        <item x="123"/>
        <item x="127"/>
        <item x="130"/>
        <item x="134"/>
        <item x="138"/>
        <item x="102"/>
        <item x="108"/>
        <item x="105"/>
        <item x="111"/>
        <item x="114"/>
        <item x="118"/>
        <item x="121"/>
        <item x="124"/>
        <item x="128"/>
        <item x="131"/>
        <item x="135"/>
        <item x="139"/>
        <item x="0"/>
        <item x="86"/>
        <item x="5"/>
        <item x="82"/>
        <item x="6"/>
        <item x="8"/>
        <item x="29"/>
        <item x="9"/>
        <item x="10"/>
        <item x="6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Page" multipleItemSelectionAllowed="1" showAll="0">
      <items count="8">
        <item h="1" x="1"/>
        <item h="1" x="6"/>
        <item x="2"/>
        <item h="1" x="0"/>
        <item h="1" x="3"/>
        <item h="1" x="4"/>
        <item h="1" x="5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0"/>
  </rowFields>
  <rowItems count="30">
    <i>
      <x/>
    </i>
    <i>
      <x v="2"/>
    </i>
    <i>
      <x v="7"/>
    </i>
    <i>
      <x v="15"/>
    </i>
    <i>
      <x v="19"/>
    </i>
    <i>
      <x v="26"/>
    </i>
    <i>
      <x v="33"/>
    </i>
    <i>
      <x v="59"/>
    </i>
    <i>
      <x v="66"/>
    </i>
    <i>
      <x v="90"/>
    </i>
    <i>
      <x v="91"/>
    </i>
    <i>
      <x v="96"/>
    </i>
    <i>
      <x v="101"/>
    </i>
    <i>
      <x v="102"/>
    </i>
    <i>
      <x v="118"/>
    </i>
    <i>
      <x v="151"/>
    </i>
    <i>
      <x v="164"/>
    </i>
    <i>
      <x v="186"/>
    </i>
    <i>
      <x v="187"/>
    </i>
    <i>
      <x v="195"/>
    </i>
    <i>
      <x v="209"/>
    </i>
    <i>
      <x v="220"/>
    </i>
    <i>
      <x v="249"/>
    </i>
    <i>
      <x v="264"/>
    </i>
    <i>
      <x v="279"/>
    </i>
    <i>
      <x v="286"/>
    </i>
    <i>
      <x v="308"/>
    </i>
    <i>
      <x v="312"/>
    </i>
    <i>
      <x v="317"/>
    </i>
    <i t="grand">
      <x/>
    </i>
  </rowItems>
  <colFields count="1">
    <field x="5"/>
  </colFields>
  <colItems count="14">
    <i>
      <x v="58"/>
    </i>
    <i>
      <x v="70"/>
    </i>
    <i>
      <x v="71"/>
    </i>
    <i>
      <x v="72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</colItems>
  <pageFields count="2">
    <pageField fld="7" hier="-1"/>
    <pageField fld="4" hier="-1"/>
  </pageFields>
  <dataFields count="1">
    <dataField name="Sum of AMOUNT" fld="12" baseField="5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65ABDD-DAED-49D3-9482-0D0C347BE76B}" name="PivotTable16" cacheId="5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A4:N288" firstHeaderRow="1" firstDataRow="2" firstDataCol="1" rowPageCount="2" colPageCount="1"/>
  <pivotFields count="13">
    <pivotField axis="axisRow" showAll="0" sortType="ascending">
      <items count="320">
        <item x="303"/>
        <item m="1" x="3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m="1" x="313"/>
        <item m="1" x="308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3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m="1" x="307"/>
        <item m="1" x="31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m="1" x="309"/>
        <item x="125"/>
        <item x="126"/>
        <item x="127"/>
        <item x="128"/>
        <item x="129"/>
        <item x="130"/>
        <item x="131"/>
        <item m="1" x="314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m="1" x="311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m="1" x="315"/>
        <item x="173"/>
        <item x="174"/>
        <item x="175"/>
        <item x="176"/>
        <item x="177"/>
        <item x="178"/>
        <item m="1" x="310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m="1" x="312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m="1" x="30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m="1" x="30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t="default"/>
      </items>
    </pivotField>
    <pivotField showAll="0"/>
    <pivotField showAll="0"/>
    <pivotField showAll="0"/>
    <pivotField axis="axisPage" multipleItemSelectionAllowed="1" showAll="0">
      <items count="6">
        <item h="1" x="0"/>
        <item h="1" x="2"/>
        <item x="1"/>
        <item h="1" x="3"/>
        <item h="1" m="1"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showAll="0">
      <items count="143">
        <item x="95"/>
        <item x="56"/>
        <item x="0"/>
        <item x="86"/>
        <item x="57"/>
        <item x="1"/>
        <item x="2"/>
        <item x="6"/>
        <item x="11"/>
        <item x="67"/>
        <item x="7"/>
        <item x="101"/>
        <item x="14"/>
        <item x="83"/>
        <item x="88"/>
        <item x="76"/>
        <item x="3"/>
        <item x="4"/>
        <item x="53"/>
        <item x="5"/>
        <item x="82"/>
        <item x="72"/>
        <item x="8"/>
        <item x="29"/>
        <item x="9"/>
        <item x="10"/>
        <item x="62"/>
        <item x="40"/>
        <item x="15"/>
        <item x="77"/>
        <item x="54"/>
        <item x="108"/>
        <item x="16"/>
        <item x="75"/>
        <item x="63"/>
        <item x="13"/>
        <item x="12"/>
        <item x="87"/>
        <item x="97"/>
        <item x="66"/>
        <item x="84"/>
        <item m="1" x="141"/>
        <item x="96"/>
        <item x="58"/>
        <item x="71"/>
        <item x="98"/>
        <item x="30"/>
        <item x="103"/>
        <item x="109"/>
        <item x="112"/>
        <item x="116"/>
        <item x="119"/>
        <item x="122"/>
        <item x="126"/>
        <item x="129"/>
        <item x="133"/>
        <item x="137"/>
        <item x="78"/>
        <item x="106"/>
        <item x="70"/>
        <item x="115"/>
        <item x="64"/>
        <item x="93"/>
        <item x="125"/>
        <item x="85"/>
        <item x="132"/>
        <item x="136"/>
        <item x="94"/>
        <item x="107"/>
        <item x="17"/>
        <item x="18"/>
        <item x="69"/>
        <item x="19"/>
        <item x="73"/>
        <item x="31"/>
        <item x="74"/>
        <item x="41"/>
        <item x="42"/>
        <item x="43"/>
        <item x="44"/>
        <item x="45"/>
        <item x="46"/>
        <item x="20"/>
        <item x="47"/>
        <item x="21"/>
        <item x="51"/>
        <item x="28"/>
        <item x="52"/>
        <item x="22"/>
        <item x="48"/>
        <item x="23"/>
        <item x="65"/>
        <item x="24"/>
        <item x="49"/>
        <item x="32"/>
        <item x="27"/>
        <item x="61"/>
        <item x="25"/>
        <item x="33"/>
        <item x="34"/>
        <item x="35"/>
        <item x="90"/>
        <item x="36"/>
        <item x="91"/>
        <item x="37"/>
        <item x="92"/>
        <item x="26"/>
        <item x="79"/>
        <item x="55"/>
        <item x="68"/>
        <item x="50"/>
        <item x="38"/>
        <item x="39"/>
        <item x="59"/>
        <item x="80"/>
        <item x="60"/>
        <item x="140"/>
        <item x="89"/>
        <item x="104"/>
        <item x="110"/>
        <item x="113"/>
        <item x="117"/>
        <item x="120"/>
        <item x="123"/>
        <item x="127"/>
        <item x="130"/>
        <item x="134"/>
        <item x="138"/>
        <item x="99"/>
        <item x="102"/>
        <item x="105"/>
        <item x="111"/>
        <item x="114"/>
        <item x="118"/>
        <item x="121"/>
        <item x="124"/>
        <item x="128"/>
        <item x="131"/>
        <item x="135"/>
        <item x="139"/>
        <item x="100"/>
        <item x="8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Page" multipleItemSelectionAllowed="1" showAll="0">
      <items count="8">
        <item h="1" x="1"/>
        <item h="1" x="6"/>
        <item h="1" x="2"/>
        <item x="0"/>
        <item h="1" x="3"/>
        <item h="1" x="4"/>
        <item h="1" x="5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0"/>
  </rowFields>
  <rowItems count="283"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7"/>
    </i>
    <i>
      <x v="38"/>
    </i>
    <i>
      <x v="39"/>
    </i>
    <i>
      <x v="40"/>
    </i>
    <i>
      <x v="41"/>
    </i>
    <i>
      <x v="42"/>
    </i>
    <i>
      <x v="43"/>
    </i>
    <i>
      <x v="45"/>
    </i>
    <i>
      <x v="46"/>
    </i>
    <i>
      <x v="47"/>
    </i>
    <i>
      <x v="48"/>
    </i>
    <i>
      <x v="49"/>
    </i>
    <i>
      <x v="50"/>
    </i>
    <i>
      <x v="53"/>
    </i>
    <i>
      <x v="54"/>
    </i>
    <i>
      <x v="55"/>
    </i>
    <i>
      <x v="56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9"/>
    </i>
    <i>
      <x v="80"/>
    </i>
    <i>
      <x v="81"/>
    </i>
    <i>
      <x v="82"/>
    </i>
    <i>
      <x v="83"/>
    </i>
    <i>
      <x v="84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6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1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8"/>
    </i>
    <i>
      <x v="179"/>
    </i>
    <i>
      <x v="180"/>
    </i>
    <i>
      <x v="181"/>
    </i>
    <i>
      <x v="182"/>
    </i>
    <i>
      <x v="184"/>
    </i>
    <i>
      <x v="185"/>
    </i>
    <i>
      <x v="186"/>
    </i>
    <i>
      <x v="187"/>
    </i>
    <i>
      <x v="188"/>
    </i>
    <i>
      <x v="189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8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 t="grand">
      <x/>
    </i>
  </rowItems>
  <colFields count="1">
    <field x="5"/>
  </colFields>
  <colItems count="13">
    <i>
      <x v="5"/>
    </i>
    <i>
      <x v="19"/>
    </i>
    <i>
      <x v="24"/>
    </i>
    <i>
      <x v="30"/>
    </i>
    <i>
      <x v="32"/>
    </i>
    <i>
      <x v="73"/>
    </i>
    <i>
      <x v="79"/>
    </i>
    <i>
      <x v="85"/>
    </i>
    <i>
      <x v="91"/>
    </i>
    <i>
      <x v="97"/>
    </i>
    <i>
      <x v="103"/>
    </i>
    <i>
      <x v="109"/>
    </i>
    <i>
      <x v="114"/>
    </i>
  </colItems>
  <pageFields count="2">
    <pageField fld="7" hier="-1"/>
    <pageField fld="4" hier="-1"/>
  </pageFields>
  <dataFields count="1">
    <dataField name="Sum of AMOUNT" fld="12" baseField="5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E042EA-9EFA-444F-8AC4-33A88F14A7B7}" name="PivotTable18" cacheId="5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AK4:AY183" firstHeaderRow="1" firstDataRow="2" firstDataCol="1" rowPageCount="2" colPageCount="1"/>
  <pivotFields count="13">
    <pivotField axis="axisRow" showAll="0" sortType="ascending">
      <items count="320">
        <item x="303"/>
        <item m="1" x="3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m="1" x="313"/>
        <item m="1" x="308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3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m="1" x="307"/>
        <item m="1" x="31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m="1" x="309"/>
        <item x="125"/>
        <item x="126"/>
        <item x="127"/>
        <item x="128"/>
        <item x="129"/>
        <item x="130"/>
        <item x="131"/>
        <item m="1" x="314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m="1" x="311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m="1" x="315"/>
        <item x="173"/>
        <item x="174"/>
        <item x="175"/>
        <item x="176"/>
        <item x="177"/>
        <item x="178"/>
        <item m="1" x="310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m="1" x="312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m="1" x="30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m="1" x="30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t="default"/>
      </items>
    </pivotField>
    <pivotField showAll="0"/>
    <pivotField showAll="0"/>
    <pivotField showAll="0"/>
    <pivotField axis="axisPage" multipleItemSelectionAllowed="1" showAll="0">
      <items count="6">
        <item h="1" x="0"/>
        <item h="1" x="2"/>
        <item x="1"/>
        <item h="1" x="3"/>
        <item h="1" m="1"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showAll="0">
      <items count="143">
        <item x="56"/>
        <item x="40"/>
        <item x="15"/>
        <item x="86"/>
        <item x="57"/>
        <item x="1"/>
        <item x="11"/>
        <item x="3"/>
        <item x="4"/>
        <item x="29"/>
        <item x="87"/>
        <item x="83"/>
        <item x="77"/>
        <item x="16"/>
        <item x="96"/>
        <item x="82"/>
        <item x="72"/>
        <item x="6"/>
        <item x="8"/>
        <item x="9"/>
        <item x="10"/>
        <item x="102"/>
        <item x="88"/>
        <item x="75"/>
        <item x="17"/>
        <item x="95"/>
        <item x="67"/>
        <item x="7"/>
        <item x="101"/>
        <item x="14"/>
        <item x="76"/>
        <item x="18"/>
        <item x="69"/>
        <item x="19"/>
        <item x="73"/>
        <item x="31"/>
        <item x="74"/>
        <item x="41"/>
        <item x="42"/>
        <item x="43"/>
        <item x="44"/>
        <item x="45"/>
        <item x="46"/>
        <item x="20"/>
        <item x="47"/>
        <item x="21"/>
        <item x="51"/>
        <item x="28"/>
        <item x="52"/>
        <item x="22"/>
        <item x="48"/>
        <item x="23"/>
        <item x="65"/>
        <item x="24"/>
        <item x="49"/>
        <item x="32"/>
        <item x="27"/>
        <item x="61"/>
        <item x="25"/>
        <item x="33"/>
        <item x="34"/>
        <item x="35"/>
        <item x="90"/>
        <item x="36"/>
        <item x="91"/>
        <item x="37"/>
        <item x="92"/>
        <item x="26"/>
        <item x="79"/>
        <item x="55"/>
        <item x="68"/>
        <item x="50"/>
        <item x="38"/>
        <item x="39"/>
        <item x="59"/>
        <item x="80"/>
        <item x="60"/>
        <item x="81"/>
        <item x="140"/>
        <item x="63"/>
        <item x="13"/>
        <item x="54"/>
        <item x="12"/>
        <item x="97"/>
        <item x="66"/>
        <item x="84"/>
        <item m="1" x="141"/>
        <item x="58"/>
        <item x="2"/>
        <item x="71"/>
        <item x="98"/>
        <item x="30"/>
        <item x="103"/>
        <item x="109"/>
        <item x="112"/>
        <item x="116"/>
        <item x="119"/>
        <item x="122"/>
        <item x="126"/>
        <item x="129"/>
        <item x="133"/>
        <item x="137"/>
        <item x="78"/>
        <item x="106"/>
        <item x="70"/>
        <item x="115"/>
        <item x="64"/>
        <item x="93"/>
        <item x="125"/>
        <item x="85"/>
        <item x="132"/>
        <item x="136"/>
        <item x="94"/>
        <item x="107"/>
        <item x="89"/>
        <item x="104"/>
        <item x="110"/>
        <item x="113"/>
        <item x="117"/>
        <item x="120"/>
        <item x="123"/>
        <item x="127"/>
        <item x="130"/>
        <item x="134"/>
        <item x="138"/>
        <item x="99"/>
        <item x="108"/>
        <item x="105"/>
        <item x="111"/>
        <item x="114"/>
        <item x="118"/>
        <item x="121"/>
        <item x="124"/>
        <item x="128"/>
        <item x="131"/>
        <item x="135"/>
        <item x="139"/>
        <item x="100"/>
        <item x="0"/>
        <item x="53"/>
        <item x="5"/>
        <item x="6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Page" multipleItemSelectionAllowed="1" showAll="0">
      <items count="8">
        <item x="1"/>
        <item h="1" x="6"/>
        <item h="1" x="2"/>
        <item h="1" x="0"/>
        <item h="1" x="3"/>
        <item h="1" x="4"/>
        <item h="1" x="5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0"/>
  </rowFields>
  <rowItems count="178">
    <i>
      <x/>
    </i>
    <i>
      <x v="2"/>
    </i>
    <i>
      <x v="5"/>
    </i>
    <i>
      <x v="6"/>
    </i>
    <i>
      <x v="7"/>
    </i>
    <i>
      <x v="9"/>
    </i>
    <i>
      <x v="11"/>
    </i>
    <i>
      <x v="12"/>
    </i>
    <i>
      <x v="15"/>
    </i>
    <i>
      <x v="16"/>
    </i>
    <i>
      <x v="17"/>
    </i>
    <i>
      <x v="18"/>
    </i>
    <i>
      <x v="20"/>
    </i>
    <i>
      <x v="22"/>
    </i>
    <i>
      <x v="24"/>
    </i>
    <i>
      <x v="26"/>
    </i>
    <i>
      <x v="27"/>
    </i>
    <i>
      <x v="28"/>
    </i>
    <i>
      <x v="30"/>
    </i>
    <i>
      <x v="31"/>
    </i>
    <i>
      <x v="32"/>
    </i>
    <i>
      <x v="33"/>
    </i>
    <i>
      <x v="34"/>
    </i>
    <i>
      <x v="38"/>
    </i>
    <i>
      <x v="42"/>
    </i>
    <i>
      <x v="43"/>
    </i>
    <i>
      <x v="47"/>
    </i>
    <i>
      <x v="55"/>
    </i>
    <i>
      <x v="56"/>
    </i>
    <i>
      <x v="60"/>
    </i>
    <i>
      <x v="61"/>
    </i>
    <i>
      <x v="63"/>
    </i>
    <i>
      <x v="64"/>
    </i>
    <i>
      <x v="65"/>
    </i>
    <i>
      <x v="66"/>
    </i>
    <i>
      <x v="69"/>
    </i>
    <i>
      <x v="70"/>
    </i>
    <i>
      <x v="71"/>
    </i>
    <i>
      <x v="73"/>
    </i>
    <i>
      <x v="74"/>
    </i>
    <i>
      <x v="81"/>
    </i>
    <i>
      <x v="82"/>
    </i>
    <i>
      <x v="83"/>
    </i>
    <i>
      <x v="84"/>
    </i>
    <i>
      <x v="86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1"/>
    </i>
    <i>
      <x v="118"/>
    </i>
    <i>
      <x v="119"/>
    </i>
    <i>
      <x v="120"/>
    </i>
    <i>
      <x v="121"/>
    </i>
    <i>
      <x v="122"/>
    </i>
    <i>
      <x v="128"/>
    </i>
    <i>
      <x v="129"/>
    </i>
    <i>
      <x v="130"/>
    </i>
    <i>
      <x v="141"/>
    </i>
    <i>
      <x v="143"/>
    </i>
    <i>
      <x v="145"/>
    </i>
    <i>
      <x v="146"/>
    </i>
    <i>
      <x v="147"/>
    </i>
    <i>
      <x v="148"/>
    </i>
    <i>
      <x v="151"/>
    </i>
    <i>
      <x v="153"/>
    </i>
    <i>
      <x v="160"/>
    </i>
    <i>
      <x v="161"/>
    </i>
    <i>
      <x v="164"/>
    </i>
    <i>
      <x v="167"/>
    </i>
    <i>
      <x v="170"/>
    </i>
    <i>
      <x v="171"/>
    </i>
    <i>
      <x v="172"/>
    </i>
    <i>
      <x v="173"/>
    </i>
    <i>
      <x v="175"/>
    </i>
    <i>
      <x v="176"/>
    </i>
    <i>
      <x v="184"/>
    </i>
    <i>
      <x v="185"/>
    </i>
    <i>
      <x v="187"/>
    </i>
    <i>
      <x v="188"/>
    </i>
    <i>
      <x v="189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4"/>
    </i>
    <i>
      <x v="219"/>
    </i>
    <i>
      <x v="220"/>
    </i>
    <i>
      <x v="221"/>
    </i>
    <i>
      <x v="222"/>
    </i>
    <i>
      <x v="223"/>
    </i>
    <i>
      <x v="224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9"/>
    </i>
    <i>
      <x v="251"/>
    </i>
    <i>
      <x v="254"/>
    </i>
    <i>
      <x v="261"/>
    </i>
    <i>
      <x v="262"/>
    </i>
    <i>
      <x v="263"/>
    </i>
    <i>
      <x v="264"/>
    </i>
    <i>
      <x v="265"/>
    </i>
    <i>
      <x v="266"/>
    </i>
    <i>
      <x v="268"/>
    </i>
    <i>
      <x v="273"/>
    </i>
    <i>
      <x v="274"/>
    </i>
    <i>
      <x v="276"/>
    </i>
    <i>
      <x v="277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91"/>
    </i>
    <i>
      <x v="292"/>
    </i>
    <i>
      <x v="302"/>
    </i>
    <i>
      <x v="303"/>
    </i>
    <i>
      <x v="304"/>
    </i>
    <i>
      <x v="305"/>
    </i>
    <i>
      <x v="306"/>
    </i>
    <i>
      <x v="308"/>
    </i>
    <i>
      <x v="309"/>
    </i>
    <i>
      <x v="310"/>
    </i>
    <i>
      <x v="312"/>
    </i>
    <i>
      <x v="314"/>
    </i>
    <i>
      <x v="315"/>
    </i>
    <i>
      <x v="316"/>
    </i>
    <i t="grand">
      <x/>
    </i>
  </rowItems>
  <colFields count="1">
    <field x="5"/>
  </colFields>
  <colItems count="14">
    <i>
      <x v="3"/>
    </i>
    <i>
      <x v="8"/>
    </i>
    <i>
      <x v="9"/>
    </i>
    <i>
      <x v="10"/>
    </i>
    <i>
      <x v="11"/>
    </i>
    <i>
      <x v="12"/>
    </i>
    <i>
      <x v="33"/>
    </i>
    <i>
      <x v="39"/>
    </i>
    <i>
      <x v="45"/>
    </i>
    <i>
      <x v="51"/>
    </i>
    <i>
      <x v="57"/>
    </i>
    <i>
      <x v="63"/>
    </i>
    <i>
      <x v="69"/>
    </i>
    <i>
      <x v="74"/>
    </i>
  </colItems>
  <pageFields count="2">
    <pageField fld="7" hier="-1"/>
    <pageField fld="4" hier="-1"/>
  </pageFields>
  <dataFields count="1">
    <dataField name="Sum of AMOUNT" fld="12" baseField="5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1BF920-DD23-4BDC-87FF-2E42068A4C3D}" name="PivotTable30" cacheId="5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A4:AO307" firstHeaderRow="1" firstDataRow="2" firstDataCol="1" rowPageCount="1" colPageCount="1"/>
  <pivotFields count="13">
    <pivotField axis="axisRow" showAll="0" sortType="ascending">
      <items count="320">
        <item x="303"/>
        <item m="1" x="3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m="1" x="313"/>
        <item m="1" x="308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3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m="1" x="307"/>
        <item m="1" x="31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m="1" x="309"/>
        <item x="125"/>
        <item x="126"/>
        <item x="127"/>
        <item x="128"/>
        <item x="129"/>
        <item x="130"/>
        <item x="131"/>
        <item m="1" x="314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m="1" x="311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m="1" x="315"/>
        <item x="173"/>
        <item x="174"/>
        <item x="175"/>
        <item x="176"/>
        <item x="177"/>
        <item x="178"/>
        <item m="1" x="310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m="1" x="312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m="1" x="30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m="1" x="30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t="default"/>
      </items>
    </pivotField>
    <pivotField showAll="0"/>
    <pivotField showAll="0"/>
    <pivotField showAll="0"/>
    <pivotField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showAll="0" sortType="ascending">
      <items count="143">
        <item m="1" x="141"/>
        <item x="97"/>
        <item x="95"/>
        <item x="56"/>
        <item x="0"/>
        <item x="86"/>
        <item x="57"/>
        <item x="1"/>
        <item x="96"/>
        <item x="58"/>
        <item x="2"/>
        <item x="66"/>
        <item x="67"/>
        <item x="71"/>
        <item x="3"/>
        <item x="4"/>
        <item x="53"/>
        <item x="5"/>
        <item x="82"/>
        <item x="72"/>
        <item x="6"/>
        <item x="84"/>
        <item x="7"/>
        <item x="98"/>
        <item x="8"/>
        <item x="29"/>
        <item x="100"/>
        <item x="9"/>
        <item x="10"/>
        <item x="99"/>
        <item x="11"/>
        <item x="78"/>
        <item x="101"/>
        <item x="30"/>
        <item x="62"/>
        <item x="87"/>
        <item x="12"/>
        <item x="54"/>
        <item x="102"/>
        <item x="13"/>
        <item x="63"/>
        <item x="106"/>
        <item x="14"/>
        <item x="103"/>
        <item x="40"/>
        <item x="83"/>
        <item x="105"/>
        <item x="108"/>
        <item x="88"/>
        <item x="104"/>
        <item x="107"/>
        <item x="70"/>
        <item x="76"/>
        <item x="109"/>
        <item x="15"/>
        <item x="77"/>
        <item x="111"/>
        <item x="16"/>
        <item x="75"/>
        <item x="110"/>
        <item x="17"/>
        <item x="115"/>
        <item x="18"/>
        <item x="112"/>
        <item x="69"/>
        <item x="19"/>
        <item x="114"/>
        <item x="73"/>
        <item x="31"/>
        <item x="113"/>
        <item x="74"/>
        <item x="64"/>
        <item x="41"/>
        <item x="116"/>
        <item x="42"/>
        <item x="43"/>
        <item x="118"/>
        <item x="44"/>
        <item x="45"/>
        <item x="117"/>
        <item x="46"/>
        <item x="93"/>
        <item x="20"/>
        <item x="119"/>
        <item x="47"/>
        <item x="21"/>
        <item x="121"/>
        <item x="51"/>
        <item x="28"/>
        <item x="120"/>
        <item x="52"/>
        <item x="125"/>
        <item x="22"/>
        <item x="122"/>
        <item x="48"/>
        <item x="23"/>
        <item x="124"/>
        <item x="65"/>
        <item x="24"/>
        <item x="123"/>
        <item x="49"/>
        <item x="85"/>
        <item x="32"/>
        <item x="126"/>
        <item x="27"/>
        <item x="61"/>
        <item x="128"/>
        <item x="25"/>
        <item x="33"/>
        <item x="127"/>
        <item x="34"/>
        <item x="132"/>
        <item x="35"/>
        <item x="129"/>
        <item x="90"/>
        <item x="36"/>
        <item x="131"/>
        <item x="91"/>
        <item x="37"/>
        <item x="130"/>
        <item x="92"/>
        <item x="136"/>
        <item x="26"/>
        <item x="133"/>
        <item x="79"/>
        <item x="55"/>
        <item x="135"/>
        <item x="68"/>
        <item x="50"/>
        <item x="134"/>
        <item x="89"/>
        <item x="94"/>
        <item x="38"/>
        <item x="137"/>
        <item x="39"/>
        <item x="59"/>
        <item x="139"/>
        <item x="80"/>
        <item x="60"/>
        <item x="138"/>
        <item x="81"/>
        <item x="14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Page" multipleItemSelectionAllowed="1" showAll="0">
      <items count="8">
        <item h="1" x="1"/>
        <item h="1" x="6"/>
        <item h="1" x="2"/>
        <item x="0"/>
        <item h="1" x="3"/>
        <item h="1" x="4"/>
        <item h="1" x="5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0"/>
  </rowFields>
  <rowItems count="302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4"/>
    </i>
    <i>
      <x v="185"/>
    </i>
    <i>
      <x v="186"/>
    </i>
    <i>
      <x v="187"/>
    </i>
    <i>
      <x v="188"/>
    </i>
    <i>
      <x v="189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7"/>
    </i>
    <i>
      <x v="288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 t="grand">
      <x/>
    </i>
  </rowItems>
  <colFields count="1">
    <field x="5"/>
  </colFields>
  <colItems count="40">
    <i>
      <x v="4"/>
    </i>
    <i>
      <x v="7"/>
    </i>
    <i>
      <x v="10"/>
    </i>
    <i>
      <x v="14"/>
    </i>
    <i>
      <x v="17"/>
    </i>
    <i>
      <x v="20"/>
    </i>
    <i>
      <x v="24"/>
    </i>
    <i>
      <x v="27"/>
    </i>
    <i>
      <x v="30"/>
    </i>
    <i>
      <x v="34"/>
    </i>
    <i>
      <x v="37"/>
    </i>
    <i>
      <x v="40"/>
    </i>
    <i>
      <x v="44"/>
    </i>
    <i>
      <x v="54"/>
    </i>
    <i>
      <x v="57"/>
    </i>
    <i>
      <x v="60"/>
    </i>
    <i>
      <x v="64"/>
    </i>
    <i>
      <x v="67"/>
    </i>
    <i>
      <x v="70"/>
    </i>
    <i>
      <x v="74"/>
    </i>
    <i>
      <x v="77"/>
    </i>
    <i>
      <x v="80"/>
    </i>
    <i>
      <x v="84"/>
    </i>
    <i>
      <x v="87"/>
    </i>
    <i>
      <x v="90"/>
    </i>
    <i>
      <x v="94"/>
    </i>
    <i>
      <x v="97"/>
    </i>
    <i>
      <x v="100"/>
    </i>
    <i>
      <x v="104"/>
    </i>
    <i>
      <x v="107"/>
    </i>
    <i>
      <x v="110"/>
    </i>
    <i>
      <x v="114"/>
    </i>
    <i>
      <x v="117"/>
    </i>
    <i>
      <x v="120"/>
    </i>
    <i>
      <x v="124"/>
    </i>
    <i>
      <x v="127"/>
    </i>
    <i>
      <x v="130"/>
    </i>
    <i>
      <x v="134"/>
    </i>
    <i>
      <x v="137"/>
    </i>
    <i>
      <x v="140"/>
    </i>
  </colItems>
  <pageFields count="1">
    <pageField fld="7" hier="-1"/>
  </pageFields>
  <dataFields count="1">
    <dataField name="Sum of AMOUNT" fld="12" baseField="5" baseItem="0" numFmtId="170"/>
  </dataFields>
  <formats count="1">
    <format dxfId="6">
      <pivotArea dataOnly="0" labelOnly="1" fieldPosition="0">
        <references count="1">
          <reference field="5" count="12">
            <x v="4"/>
            <x v="7"/>
            <x v="10"/>
            <x v="14"/>
            <x v="17"/>
            <x v="20"/>
            <x v="24"/>
            <x v="27"/>
            <x v="30"/>
            <x v="34"/>
            <x v="37"/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102C62-32C9-4B4D-A965-940E1C7D9642}" name="PivotTable6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I4:AJ145" firstHeaderRow="1" firstDataRow="1" firstDataCol="1" rowPageCount="1" colPageCount="1"/>
  <pivotFields count="16">
    <pivotField showAll="0"/>
    <pivotField axis="axisPage" showAll="0">
      <items count="311">
        <item x="65"/>
        <item x="136"/>
        <item x="147"/>
        <item x="199"/>
        <item x="211"/>
        <item x="4"/>
        <item x="96"/>
        <item x="112"/>
        <item x="31"/>
        <item x="93"/>
        <item x="266"/>
        <item x="186"/>
        <item x="268"/>
        <item x="111"/>
        <item x="162"/>
        <item x="41"/>
        <item x="81"/>
        <item x="197"/>
        <item x="30"/>
        <item x="21"/>
        <item x="15"/>
        <item x="14"/>
        <item x="36"/>
        <item x="116"/>
        <item x="125"/>
        <item x="114"/>
        <item x="227"/>
        <item x="144"/>
        <item x="142"/>
        <item x="229"/>
        <item x="239"/>
        <item x="190"/>
        <item x="83"/>
        <item x="3"/>
        <item x="123"/>
        <item x="183"/>
        <item x="278"/>
        <item x="261"/>
        <item x="282"/>
        <item x="246"/>
        <item x="263"/>
        <item x="242"/>
        <item x="196"/>
        <item x="201"/>
        <item x="73"/>
        <item x="78"/>
        <item x="19"/>
        <item x="47"/>
        <item x="174"/>
        <item x="118"/>
        <item x="218"/>
        <item x="151"/>
        <item x="33"/>
        <item x="233"/>
        <item x="181"/>
        <item x="230"/>
        <item x="290"/>
        <item x="43"/>
        <item x="119"/>
        <item x="187"/>
        <item x="210"/>
        <item x="121"/>
        <item x="70"/>
        <item x="283"/>
        <item x="12"/>
        <item x="87"/>
        <item x="62"/>
        <item x="133"/>
        <item x="207"/>
        <item x="29"/>
        <item x="245"/>
        <item x="86"/>
        <item x="267"/>
        <item x="189"/>
        <item x="8"/>
        <item x="185"/>
        <item x="228"/>
        <item x="280"/>
        <item x="127"/>
        <item x="130"/>
        <item x="64"/>
        <item x="293"/>
        <item x="297"/>
        <item x="219"/>
        <item x="27"/>
        <item x="255"/>
        <item x="150"/>
        <item x="296"/>
        <item x="89"/>
        <item x="25"/>
        <item x="158"/>
        <item x="66"/>
        <item x="191"/>
        <item x="107"/>
        <item x="108"/>
        <item x="49"/>
        <item x="213"/>
        <item x="99"/>
        <item x="37"/>
        <item x="46"/>
        <item x="39"/>
        <item x="5"/>
        <item x="102"/>
        <item x="249"/>
        <item x="7"/>
        <item x="122"/>
        <item x="128"/>
        <item x="26"/>
        <item x="200"/>
        <item x="275"/>
        <item x="13"/>
        <item x="72"/>
        <item x="208"/>
        <item x="101"/>
        <item x="216"/>
        <item x="231"/>
        <item x="1"/>
        <item x="34"/>
        <item x="243"/>
        <item x="194"/>
        <item x="236"/>
        <item x="274"/>
        <item x="269"/>
        <item x="292"/>
        <item x="11"/>
        <item x="155"/>
        <item x="247"/>
        <item x="212"/>
        <item x="68"/>
        <item x="226"/>
        <item x="225"/>
        <item x="88"/>
        <item x="270"/>
        <item x="164"/>
        <item x="205"/>
        <item x="214"/>
        <item x="69"/>
        <item x="135"/>
        <item x="61"/>
        <item x="134"/>
        <item x="301"/>
        <item x="272"/>
        <item x="204"/>
        <item x="202"/>
        <item x="105"/>
        <item x="209"/>
        <item x="288"/>
        <item x="132"/>
        <item x="171"/>
        <item x="159"/>
        <item x="173"/>
        <item x="224"/>
        <item x="271"/>
        <item x="67"/>
        <item x="52"/>
        <item x="113"/>
        <item x="157"/>
        <item x="251"/>
        <item x="103"/>
        <item x="77"/>
        <item x="286"/>
        <item x="76"/>
        <item x="168"/>
        <item x="75"/>
        <item x="148"/>
        <item x="161"/>
        <item x="253"/>
        <item x="160"/>
        <item x="140"/>
        <item x="193"/>
        <item x="222"/>
        <item x="48"/>
        <item x="40"/>
        <item x="166"/>
        <item x="182"/>
        <item x="0"/>
        <item x="279"/>
        <item x="51"/>
        <item x="163"/>
        <item x="141"/>
        <item x="184"/>
        <item x="156"/>
        <item x="54"/>
        <item x="18"/>
        <item x="84"/>
        <item x="265"/>
        <item m="1" x="306"/>
        <item x="9"/>
        <item x="277"/>
        <item x="177"/>
        <item x="82"/>
        <item x="23"/>
        <item x="22"/>
        <item x="56"/>
        <item x="254"/>
        <item x="169"/>
        <item x="146"/>
        <item x="91"/>
        <item x="50"/>
        <item x="10"/>
        <item x="32"/>
        <item x="2"/>
        <item x="234"/>
        <item x="95"/>
        <item x="256"/>
        <item x="284"/>
        <item x="60"/>
        <item x="195"/>
        <item x="85"/>
        <item x="198"/>
        <item x="291"/>
        <item x="175"/>
        <item x="20"/>
        <item x="154"/>
        <item x="100"/>
        <item x="203"/>
        <item x="92"/>
        <item x="215"/>
        <item x="98"/>
        <item x="59"/>
        <item x="170"/>
        <item x="115"/>
        <item x="79"/>
        <item x="152"/>
        <item x="235"/>
        <item x="221"/>
        <item x="145"/>
        <item x="285"/>
        <item x="220"/>
        <item x="176"/>
        <item x="206"/>
        <item x="217"/>
        <item x="244"/>
        <item x="180"/>
        <item x="294"/>
        <item x="117"/>
        <item x="178"/>
        <item x="71"/>
        <item x="97"/>
        <item x="257"/>
        <item x="120"/>
        <item x="139"/>
        <item x="165"/>
        <item x="295"/>
        <item x="35"/>
        <item x="126"/>
        <item x="94"/>
        <item x="252"/>
        <item x="287"/>
        <item x="179"/>
        <item x="241"/>
        <item x="24"/>
        <item x="90"/>
        <item x="258"/>
        <item x="259"/>
        <item x="55"/>
        <item x="260"/>
        <item x="299"/>
        <item x="57"/>
        <item x="28"/>
        <item x="45"/>
        <item x="240"/>
        <item x="16"/>
        <item x="232"/>
        <item x="300"/>
        <item x="273"/>
        <item x="143"/>
        <item x="188"/>
        <item x="131"/>
        <item x="109"/>
        <item x="149"/>
        <item x="172"/>
        <item x="63"/>
        <item x="137"/>
        <item x="74"/>
        <item x="124"/>
        <item x="38"/>
        <item x="289"/>
        <item x="250"/>
        <item x="298"/>
        <item x="304"/>
        <item x="110"/>
        <item x="6"/>
        <item x="106"/>
        <item x="192"/>
        <item x="104"/>
        <item m="1" x="308"/>
        <item x="44"/>
        <item x="276"/>
        <item x="167"/>
        <item x="281"/>
        <item x="138"/>
        <item x="129"/>
        <item m="1" x="305"/>
        <item x="80"/>
        <item x="153"/>
        <item m="1" x="309"/>
        <item x="264"/>
        <item x="302"/>
        <item x="303"/>
        <item x="248"/>
        <item x="238"/>
        <item x="17"/>
        <item m="1" x="307"/>
        <item x="58"/>
        <item x="223"/>
        <item x="237"/>
        <item x="53"/>
        <item x="42"/>
        <item x="262"/>
        <item t="default"/>
      </items>
    </pivotField>
    <pivotField showAll="0"/>
    <pivotField showAll="0"/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 sortType="ascending">
      <items count="142">
        <item x="97"/>
        <item x="95"/>
        <item x="56"/>
        <item x="0"/>
        <item x="86"/>
        <item x="57"/>
        <item x="1"/>
        <item x="96"/>
        <item x="58"/>
        <item x="2"/>
        <item x="66"/>
        <item x="67"/>
        <item x="71"/>
        <item x="3"/>
        <item x="4"/>
        <item x="53"/>
        <item x="5"/>
        <item x="82"/>
        <item x="72"/>
        <item x="6"/>
        <item x="84"/>
        <item x="7"/>
        <item x="98"/>
        <item x="8"/>
        <item x="29"/>
        <item x="100"/>
        <item x="9"/>
        <item x="10"/>
        <item x="99"/>
        <item x="11"/>
        <item x="78"/>
        <item x="101"/>
        <item x="30"/>
        <item x="62"/>
        <item x="87"/>
        <item x="12"/>
        <item x="54"/>
        <item x="102"/>
        <item x="13"/>
        <item x="63"/>
        <item x="106"/>
        <item x="14"/>
        <item x="103"/>
        <item x="40"/>
        <item x="83"/>
        <item x="105"/>
        <item x="108"/>
        <item x="88"/>
        <item x="104"/>
        <item x="107"/>
        <item x="70"/>
        <item x="76"/>
        <item x="109"/>
        <item x="15"/>
        <item x="77"/>
        <item x="111"/>
        <item x="16"/>
        <item x="75"/>
        <item x="110"/>
        <item x="17"/>
        <item x="115"/>
        <item x="18"/>
        <item x="112"/>
        <item x="69"/>
        <item x="19"/>
        <item x="114"/>
        <item x="73"/>
        <item x="31"/>
        <item x="113"/>
        <item x="74"/>
        <item x="64"/>
        <item x="41"/>
        <item x="116"/>
        <item x="42"/>
        <item x="43"/>
        <item x="118"/>
        <item x="44"/>
        <item x="45"/>
        <item x="117"/>
        <item x="46"/>
        <item x="93"/>
        <item x="20"/>
        <item x="119"/>
        <item x="47"/>
        <item x="21"/>
        <item x="121"/>
        <item x="51"/>
        <item x="28"/>
        <item x="120"/>
        <item x="52"/>
        <item x="125"/>
        <item x="22"/>
        <item x="122"/>
        <item x="48"/>
        <item x="23"/>
        <item x="124"/>
        <item x="65"/>
        <item x="24"/>
        <item x="123"/>
        <item x="49"/>
        <item x="85"/>
        <item x="32"/>
        <item x="126"/>
        <item x="27"/>
        <item x="61"/>
        <item x="128"/>
        <item x="25"/>
        <item x="33"/>
        <item x="127"/>
        <item x="34"/>
        <item x="132"/>
        <item x="35"/>
        <item x="129"/>
        <item x="90"/>
        <item x="36"/>
        <item x="131"/>
        <item x="91"/>
        <item x="37"/>
        <item x="130"/>
        <item x="92"/>
        <item x="136"/>
        <item x="26"/>
        <item x="133"/>
        <item x="79"/>
        <item x="55"/>
        <item x="135"/>
        <item x="68"/>
        <item x="50"/>
        <item x="134"/>
        <item x="89"/>
        <item x="94"/>
        <item x="38"/>
        <item x="137"/>
        <item x="39"/>
        <item x="59"/>
        <item x="139"/>
        <item x="80"/>
        <item x="60"/>
        <item x="138"/>
        <item x="81"/>
        <item h="1" x="14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</pivotFields>
  <rowFields count="1">
    <field x="5"/>
  </rowFields>
  <rowItems count="1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 t="grand">
      <x/>
    </i>
  </rowItems>
  <colItems count="1">
    <i/>
  </colItems>
  <pageFields count="1">
    <pageField fld="1" hier="-1"/>
  </pageFields>
  <dataFields count="1">
    <dataField name="Sum of Calculated 21 Units" fld="14" baseField="5" baseItem="2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BFD111-0146-4C76-BBC1-32E912E6CE09}" name="PivotTable33" cacheId="5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DG4:EW205" firstHeaderRow="1" firstDataRow="2" firstDataCol="1" rowPageCount="1" colPageCount="1"/>
  <pivotFields count="13">
    <pivotField axis="axisRow" showAll="0" sortType="ascending">
      <items count="320">
        <item x="303"/>
        <item m="1" x="3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m="1" x="313"/>
        <item m="1" x="308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3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m="1" x="307"/>
        <item m="1" x="31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m="1" x="309"/>
        <item x="125"/>
        <item x="126"/>
        <item x="127"/>
        <item x="128"/>
        <item x="129"/>
        <item x="130"/>
        <item x="131"/>
        <item m="1" x="314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m="1" x="311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m="1" x="315"/>
        <item x="173"/>
        <item x="174"/>
        <item x="175"/>
        <item x="176"/>
        <item x="177"/>
        <item x="178"/>
        <item m="1" x="310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m="1" x="312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m="1" x="30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m="1" x="30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t="default"/>
      </items>
    </pivotField>
    <pivotField showAll="0"/>
    <pivotField showAll="0"/>
    <pivotField showAll="0"/>
    <pivotField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showAll="0" sortType="ascending">
      <items count="143">
        <item m="1" x="141"/>
        <item x="97"/>
        <item x="95"/>
        <item x="56"/>
        <item x="0"/>
        <item x="86"/>
        <item x="57"/>
        <item x="1"/>
        <item x="96"/>
        <item x="58"/>
        <item x="2"/>
        <item x="66"/>
        <item x="67"/>
        <item x="71"/>
        <item x="3"/>
        <item x="4"/>
        <item x="53"/>
        <item x="5"/>
        <item x="82"/>
        <item x="72"/>
        <item x="6"/>
        <item x="84"/>
        <item x="7"/>
        <item x="98"/>
        <item x="8"/>
        <item x="29"/>
        <item x="100"/>
        <item x="9"/>
        <item x="10"/>
        <item x="99"/>
        <item x="11"/>
        <item x="78"/>
        <item x="101"/>
        <item x="30"/>
        <item x="62"/>
        <item x="87"/>
        <item x="12"/>
        <item x="54"/>
        <item x="102"/>
        <item x="13"/>
        <item x="63"/>
        <item x="106"/>
        <item x="14"/>
        <item x="103"/>
        <item x="40"/>
        <item x="83"/>
        <item x="105"/>
        <item x="108"/>
        <item x="88"/>
        <item x="104"/>
        <item x="107"/>
        <item x="70"/>
        <item x="76"/>
        <item x="109"/>
        <item x="15"/>
        <item x="77"/>
        <item x="111"/>
        <item x="16"/>
        <item x="75"/>
        <item x="110"/>
        <item x="17"/>
        <item x="115"/>
        <item x="18"/>
        <item x="112"/>
        <item x="69"/>
        <item x="19"/>
        <item x="114"/>
        <item x="73"/>
        <item x="31"/>
        <item x="113"/>
        <item x="74"/>
        <item x="64"/>
        <item x="41"/>
        <item x="116"/>
        <item x="42"/>
        <item x="43"/>
        <item x="118"/>
        <item x="44"/>
        <item x="45"/>
        <item x="117"/>
        <item x="46"/>
        <item x="93"/>
        <item x="20"/>
        <item x="119"/>
        <item x="47"/>
        <item x="21"/>
        <item x="121"/>
        <item x="51"/>
        <item x="28"/>
        <item x="120"/>
        <item x="52"/>
        <item x="125"/>
        <item x="22"/>
        <item x="122"/>
        <item x="48"/>
        <item x="23"/>
        <item x="124"/>
        <item x="65"/>
        <item x="24"/>
        <item x="123"/>
        <item x="49"/>
        <item x="85"/>
        <item x="32"/>
        <item x="126"/>
        <item x="27"/>
        <item x="61"/>
        <item x="128"/>
        <item x="25"/>
        <item x="33"/>
        <item x="127"/>
        <item x="34"/>
        <item x="132"/>
        <item x="35"/>
        <item x="129"/>
        <item x="90"/>
        <item x="36"/>
        <item x="131"/>
        <item x="91"/>
        <item x="37"/>
        <item x="130"/>
        <item x="92"/>
        <item x="136"/>
        <item x="26"/>
        <item x="133"/>
        <item x="79"/>
        <item x="55"/>
        <item x="135"/>
        <item x="68"/>
        <item x="50"/>
        <item x="134"/>
        <item x="89"/>
        <item x="94"/>
        <item x="38"/>
        <item x="137"/>
        <item x="39"/>
        <item x="59"/>
        <item x="139"/>
        <item x="80"/>
        <item x="60"/>
        <item x="138"/>
        <item x="81"/>
        <item x="14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Page" multipleItemSelectionAllowed="1" showAll="0">
      <items count="8">
        <item x="1"/>
        <item h="1" x="6"/>
        <item h="1" x="2"/>
        <item h="1" x="0"/>
        <item h="1" x="3"/>
        <item h="1" x="4"/>
        <item h="1" x="5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0"/>
  </rowFields>
  <rowItems count="200">
    <i>
      <x/>
    </i>
    <i>
      <x v="2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5"/>
    </i>
    <i>
      <x v="16"/>
    </i>
    <i>
      <x v="17"/>
    </i>
    <i>
      <x v="18"/>
    </i>
    <i>
      <x v="20"/>
    </i>
    <i>
      <x v="22"/>
    </i>
    <i>
      <x v="24"/>
    </i>
    <i>
      <x v="26"/>
    </i>
    <i>
      <x v="27"/>
    </i>
    <i>
      <x v="28"/>
    </i>
    <i>
      <x v="30"/>
    </i>
    <i>
      <x v="31"/>
    </i>
    <i>
      <x v="32"/>
    </i>
    <i>
      <x v="33"/>
    </i>
    <i>
      <x v="34"/>
    </i>
    <i>
      <x v="38"/>
    </i>
    <i>
      <x v="40"/>
    </i>
    <i>
      <x v="42"/>
    </i>
    <i>
      <x v="43"/>
    </i>
    <i>
      <x v="47"/>
    </i>
    <i>
      <x v="55"/>
    </i>
    <i>
      <x v="56"/>
    </i>
    <i>
      <x v="59"/>
    </i>
    <i>
      <x v="60"/>
    </i>
    <i>
      <x v="61"/>
    </i>
    <i>
      <x v="63"/>
    </i>
    <i>
      <x v="64"/>
    </i>
    <i>
      <x v="65"/>
    </i>
    <i>
      <x v="66"/>
    </i>
    <i>
      <x v="69"/>
    </i>
    <i>
      <x v="70"/>
    </i>
    <i>
      <x v="71"/>
    </i>
    <i>
      <x v="73"/>
    </i>
    <i>
      <x v="74"/>
    </i>
    <i>
      <x v="75"/>
    </i>
    <i>
      <x v="77"/>
    </i>
    <i>
      <x v="81"/>
    </i>
    <i>
      <x v="82"/>
    </i>
    <i>
      <x v="83"/>
    </i>
    <i>
      <x v="84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1"/>
    </i>
    <i>
      <x v="114"/>
    </i>
    <i>
      <x v="115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8"/>
    </i>
    <i>
      <x v="129"/>
    </i>
    <i>
      <x v="130"/>
    </i>
    <i>
      <x v="141"/>
    </i>
    <i>
      <x v="143"/>
    </i>
    <i>
      <x v="145"/>
    </i>
    <i>
      <x v="146"/>
    </i>
    <i>
      <x v="147"/>
    </i>
    <i>
      <x v="148"/>
    </i>
    <i>
      <x v="151"/>
    </i>
    <i>
      <x v="153"/>
    </i>
    <i>
      <x v="160"/>
    </i>
    <i>
      <x v="161"/>
    </i>
    <i>
      <x v="164"/>
    </i>
    <i>
      <x v="166"/>
    </i>
    <i>
      <x v="167"/>
    </i>
    <i>
      <x v="170"/>
    </i>
    <i>
      <x v="171"/>
    </i>
    <i>
      <x v="172"/>
    </i>
    <i>
      <x v="173"/>
    </i>
    <i>
      <x v="175"/>
    </i>
    <i>
      <x v="176"/>
    </i>
    <i>
      <x v="177"/>
    </i>
    <i>
      <x v="184"/>
    </i>
    <i>
      <x v="185"/>
    </i>
    <i>
      <x v="186"/>
    </i>
    <i>
      <x v="187"/>
    </i>
    <i>
      <x v="188"/>
    </i>
    <i>
      <x v="189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9"/>
    </i>
    <i>
      <x v="220"/>
    </i>
    <i>
      <x v="221"/>
    </i>
    <i>
      <x v="222"/>
    </i>
    <i>
      <x v="223"/>
    </i>
    <i>
      <x v="224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9"/>
    </i>
    <i>
      <x v="251"/>
    </i>
    <i>
      <x v="254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8"/>
    </i>
    <i>
      <x v="269"/>
    </i>
    <i>
      <x v="273"/>
    </i>
    <i>
      <x v="274"/>
    </i>
    <i>
      <x v="276"/>
    </i>
    <i>
      <x v="277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91"/>
    </i>
    <i>
      <x v="292"/>
    </i>
    <i>
      <x v="302"/>
    </i>
    <i>
      <x v="303"/>
    </i>
    <i>
      <x v="304"/>
    </i>
    <i>
      <x v="305"/>
    </i>
    <i>
      <x v="306"/>
    </i>
    <i>
      <x v="308"/>
    </i>
    <i>
      <x v="309"/>
    </i>
    <i>
      <x v="310"/>
    </i>
    <i>
      <x v="311"/>
    </i>
    <i>
      <x v="312"/>
    </i>
    <i>
      <x v="314"/>
    </i>
    <i>
      <x v="315"/>
    </i>
    <i>
      <x v="316"/>
    </i>
    <i t="grand">
      <x/>
    </i>
  </rowItems>
  <colFields count="1">
    <field x="5"/>
  </colFields>
  <colItems count="42">
    <i>
      <x v="2"/>
    </i>
    <i>
      <x v="5"/>
    </i>
    <i>
      <x v="8"/>
    </i>
    <i>
      <x v="12"/>
    </i>
    <i>
      <x v="15"/>
    </i>
    <i>
      <x v="18"/>
    </i>
    <i>
      <x v="22"/>
    </i>
    <i>
      <x v="25"/>
    </i>
    <i>
      <x v="28"/>
    </i>
    <i>
      <x v="32"/>
    </i>
    <i>
      <x v="35"/>
    </i>
    <i>
      <x v="38"/>
    </i>
    <i>
      <x v="42"/>
    </i>
    <i>
      <x v="45"/>
    </i>
    <i>
      <x v="48"/>
    </i>
    <i>
      <x v="52"/>
    </i>
    <i>
      <x v="55"/>
    </i>
    <i>
      <x v="58"/>
    </i>
    <i>
      <x v="62"/>
    </i>
    <i>
      <x v="65"/>
    </i>
    <i>
      <x v="68"/>
    </i>
    <i>
      <x v="72"/>
    </i>
    <i>
      <x v="75"/>
    </i>
    <i>
      <x v="78"/>
    </i>
    <i>
      <x v="82"/>
    </i>
    <i>
      <x v="85"/>
    </i>
    <i>
      <x v="88"/>
    </i>
    <i>
      <x v="92"/>
    </i>
    <i>
      <x v="95"/>
    </i>
    <i>
      <x v="98"/>
    </i>
    <i>
      <x v="102"/>
    </i>
    <i>
      <x v="105"/>
    </i>
    <i>
      <x v="108"/>
    </i>
    <i>
      <x v="112"/>
    </i>
    <i>
      <x v="115"/>
    </i>
    <i>
      <x v="118"/>
    </i>
    <i>
      <x v="122"/>
    </i>
    <i>
      <x v="125"/>
    </i>
    <i>
      <x v="128"/>
    </i>
    <i>
      <x v="132"/>
    </i>
    <i>
      <x v="135"/>
    </i>
    <i>
      <x v="138"/>
    </i>
  </colItems>
  <pageFields count="1">
    <pageField fld="7" hier="-1"/>
  </pageFields>
  <dataFields count="1">
    <dataField name="Sum of AMOUNT" fld="12" baseField="5" baseItem="0" numFmtId="170"/>
  </dataFields>
  <formats count="2">
    <format dxfId="8">
      <pivotArea dataOnly="0" labelOnly="1" fieldPosition="0">
        <references count="1">
          <reference field="5" count="12">
            <x v="4"/>
            <x v="7"/>
            <x v="10"/>
            <x v="14"/>
            <x v="17"/>
            <x v="20"/>
            <x v="24"/>
            <x v="27"/>
            <x v="30"/>
            <x v="34"/>
            <x v="37"/>
            <x v="40"/>
          </reference>
        </references>
      </pivotArea>
    </format>
    <format dxfId="7">
      <pivotArea dataOnly="0" labelOnly="1" fieldPosition="0">
        <references count="1">
          <reference field="5" count="12">
            <x v="2"/>
            <x v="5"/>
            <x v="8"/>
            <x v="12"/>
            <x v="15"/>
            <x v="18"/>
            <x v="22"/>
            <x v="25"/>
            <x v="28"/>
            <x v="32"/>
            <x v="35"/>
            <x v="3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A74631-100E-496D-B584-15EA3E40A05F}" name="PivotTable32" cacheId="5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CO4:CW27" firstHeaderRow="1" firstDataRow="2" firstDataCol="1" rowPageCount="1" colPageCount="1"/>
  <pivotFields count="13">
    <pivotField axis="axisRow" showAll="0" sortType="ascending">
      <items count="320">
        <item x="303"/>
        <item m="1" x="3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m="1" x="313"/>
        <item m="1" x="308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3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m="1" x="307"/>
        <item m="1" x="31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m="1" x="309"/>
        <item x="125"/>
        <item x="126"/>
        <item x="127"/>
        <item x="128"/>
        <item x="129"/>
        <item x="130"/>
        <item x="131"/>
        <item m="1" x="314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m="1" x="311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m="1" x="315"/>
        <item x="173"/>
        <item x="174"/>
        <item x="175"/>
        <item x="176"/>
        <item x="177"/>
        <item x="178"/>
        <item m="1" x="310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m="1" x="312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m="1" x="30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m="1" x="30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t="default"/>
      </items>
    </pivotField>
    <pivotField showAll="0"/>
    <pivotField showAll="0"/>
    <pivotField showAll="0"/>
    <pivotField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showAll="0" sortType="ascending">
      <items count="143">
        <item m="1" x="141"/>
        <item x="97"/>
        <item x="95"/>
        <item x="56"/>
        <item x="0"/>
        <item x="86"/>
        <item x="57"/>
        <item x="1"/>
        <item x="96"/>
        <item x="58"/>
        <item x="2"/>
        <item x="66"/>
        <item x="67"/>
        <item x="71"/>
        <item x="3"/>
        <item x="4"/>
        <item x="53"/>
        <item x="5"/>
        <item x="82"/>
        <item x="72"/>
        <item x="6"/>
        <item x="84"/>
        <item x="7"/>
        <item x="98"/>
        <item x="8"/>
        <item x="29"/>
        <item x="100"/>
        <item x="9"/>
        <item x="10"/>
        <item x="99"/>
        <item x="11"/>
        <item x="78"/>
        <item x="101"/>
        <item x="30"/>
        <item x="62"/>
        <item x="87"/>
        <item x="12"/>
        <item x="54"/>
        <item x="102"/>
        <item x="13"/>
        <item x="63"/>
        <item x="106"/>
        <item x="14"/>
        <item x="103"/>
        <item x="40"/>
        <item x="83"/>
        <item x="105"/>
        <item x="108"/>
        <item x="88"/>
        <item x="104"/>
        <item x="107"/>
        <item x="70"/>
        <item x="76"/>
        <item x="109"/>
        <item x="15"/>
        <item x="77"/>
        <item x="111"/>
        <item x="16"/>
        <item x="75"/>
        <item x="110"/>
        <item x="17"/>
        <item x="115"/>
        <item x="18"/>
        <item x="112"/>
        <item x="69"/>
        <item x="19"/>
        <item x="114"/>
        <item x="73"/>
        <item x="31"/>
        <item x="113"/>
        <item x="74"/>
        <item x="64"/>
        <item x="41"/>
        <item x="116"/>
        <item x="42"/>
        <item x="43"/>
        <item x="118"/>
        <item x="44"/>
        <item x="45"/>
        <item x="117"/>
        <item x="46"/>
        <item x="93"/>
        <item x="20"/>
        <item x="119"/>
        <item x="47"/>
        <item x="21"/>
        <item x="121"/>
        <item x="51"/>
        <item x="28"/>
        <item x="120"/>
        <item x="52"/>
        <item x="125"/>
        <item x="22"/>
        <item x="122"/>
        <item x="48"/>
        <item x="23"/>
        <item x="124"/>
        <item x="65"/>
        <item x="24"/>
        <item x="123"/>
        <item x="49"/>
        <item x="85"/>
        <item x="32"/>
        <item x="126"/>
        <item x="27"/>
        <item x="61"/>
        <item x="128"/>
        <item x="25"/>
        <item x="33"/>
        <item x="127"/>
        <item x="34"/>
        <item x="132"/>
        <item x="35"/>
        <item x="129"/>
        <item x="90"/>
        <item x="36"/>
        <item x="131"/>
        <item x="91"/>
        <item x="37"/>
        <item x="130"/>
        <item x="92"/>
        <item x="136"/>
        <item x="26"/>
        <item x="133"/>
        <item x="79"/>
        <item x="55"/>
        <item x="135"/>
        <item x="68"/>
        <item x="50"/>
        <item x="134"/>
        <item x="89"/>
        <item x="94"/>
        <item x="38"/>
        <item x="137"/>
        <item x="39"/>
        <item x="59"/>
        <item x="139"/>
        <item x="80"/>
        <item x="60"/>
        <item x="138"/>
        <item x="81"/>
        <item x="14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Page" multipleItemSelectionAllowed="1" showAll="0">
      <items count="8">
        <item h="1" x="1"/>
        <item h="1" x="6"/>
        <item h="1" x="2"/>
        <item h="1" x="0"/>
        <item x="3"/>
        <item h="1" x="4"/>
        <item h="1" x="5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0"/>
  </rowFields>
  <rowItems count="22">
    <i>
      <x v="27"/>
    </i>
    <i>
      <x v="41"/>
    </i>
    <i>
      <x v="64"/>
    </i>
    <i>
      <x v="73"/>
    </i>
    <i>
      <x v="96"/>
    </i>
    <i>
      <x v="129"/>
    </i>
    <i>
      <x v="142"/>
    </i>
    <i>
      <x v="159"/>
    </i>
    <i>
      <x v="163"/>
    </i>
    <i>
      <x v="173"/>
    </i>
    <i>
      <x v="198"/>
    </i>
    <i>
      <x v="200"/>
    </i>
    <i>
      <x v="243"/>
    </i>
    <i>
      <x v="262"/>
    </i>
    <i>
      <x v="273"/>
    </i>
    <i>
      <x v="281"/>
    </i>
    <i>
      <x v="283"/>
    </i>
    <i>
      <x v="292"/>
    </i>
    <i>
      <x v="303"/>
    </i>
    <i>
      <x v="305"/>
    </i>
    <i>
      <x v="309"/>
    </i>
    <i t="grand">
      <x/>
    </i>
  </rowItems>
  <colFields count="1">
    <field x="5"/>
  </colFields>
  <colItems count="8">
    <i>
      <x v="11"/>
    </i>
    <i>
      <x v="21"/>
    </i>
    <i>
      <x v="31"/>
    </i>
    <i>
      <x v="51"/>
    </i>
    <i>
      <x v="71"/>
    </i>
    <i>
      <x v="81"/>
    </i>
    <i>
      <x v="101"/>
    </i>
    <i>
      <x v="131"/>
    </i>
  </colItems>
  <pageFields count="1">
    <pageField fld="7" hier="-1"/>
  </pageFields>
  <dataFields count="1">
    <dataField name="Sum of AMOUNT" fld="12" baseField="5" baseItem="0" numFmtId="170"/>
  </dataFields>
  <formats count="4">
    <format dxfId="12">
      <pivotArea dataOnly="0" labelOnly="1" fieldPosition="0">
        <references count="1">
          <reference field="5" count="12">
            <x v="4"/>
            <x v="7"/>
            <x v="10"/>
            <x v="14"/>
            <x v="17"/>
            <x v="20"/>
            <x v="24"/>
            <x v="27"/>
            <x v="30"/>
            <x v="34"/>
            <x v="37"/>
            <x v="40"/>
          </reference>
        </references>
      </pivotArea>
    </format>
    <format dxfId="11">
      <pivotArea dataOnly="0" labelOnly="1" fieldPosition="0">
        <references count="1">
          <reference field="5" count="5">
            <x v="1"/>
            <x v="11"/>
            <x v="21"/>
            <x v="31"/>
            <x v="41"/>
          </reference>
        </references>
      </pivotArea>
    </format>
    <format dxfId="10">
      <pivotArea dataOnly="0" labelOnly="1" fieldPosition="0">
        <references count="1">
          <reference field="5" count="2">
            <x v="31"/>
            <x v="41"/>
          </reference>
        </references>
      </pivotArea>
    </format>
    <format dxfId="9">
      <pivotArea dataOnly="0" labelOnly="1" fieldPosition="0">
        <references count="1">
          <reference field="5" count="1">
            <x v="3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E1E039-15F9-4294-9D35-9780A7CF2E76}" name="PivotTable31" cacheId="5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outline="1" outlineData="1" multipleFieldFilters="0">
  <location ref="AU4:CK36" firstHeaderRow="1" firstDataRow="2" firstDataCol="1" rowPageCount="1" colPageCount="1"/>
  <pivotFields count="13">
    <pivotField axis="axisRow" showAll="0" sortType="ascending">
      <items count="320">
        <item x="303"/>
        <item m="1" x="3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m="1" x="313"/>
        <item m="1" x="308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3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m="1" x="307"/>
        <item m="1" x="31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m="1" x="309"/>
        <item x="125"/>
        <item x="126"/>
        <item x="127"/>
        <item x="128"/>
        <item x="129"/>
        <item x="130"/>
        <item x="131"/>
        <item m="1" x="314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m="1" x="311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m="1" x="315"/>
        <item x="173"/>
        <item x="174"/>
        <item x="175"/>
        <item x="176"/>
        <item x="177"/>
        <item x="178"/>
        <item m="1" x="310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m="1" x="312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m="1" x="30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m="1" x="30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t="default"/>
      </items>
    </pivotField>
    <pivotField showAll="0"/>
    <pivotField showAll="0"/>
    <pivotField showAll="0"/>
    <pivotField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showAll="0" sortType="ascending">
      <items count="143">
        <item m="1" x="141"/>
        <item x="97"/>
        <item x="95"/>
        <item x="56"/>
        <item x="0"/>
        <item x="86"/>
        <item x="57"/>
        <item x="1"/>
        <item x="96"/>
        <item x="58"/>
        <item x="2"/>
        <item x="66"/>
        <item x="67"/>
        <item x="71"/>
        <item x="3"/>
        <item x="4"/>
        <item x="53"/>
        <item x="5"/>
        <item x="82"/>
        <item x="72"/>
        <item x="6"/>
        <item x="84"/>
        <item x="7"/>
        <item x="98"/>
        <item x="8"/>
        <item x="29"/>
        <item x="100"/>
        <item x="9"/>
        <item x="10"/>
        <item x="99"/>
        <item x="11"/>
        <item x="78"/>
        <item x="101"/>
        <item x="30"/>
        <item x="62"/>
        <item x="87"/>
        <item x="12"/>
        <item x="54"/>
        <item x="102"/>
        <item x="13"/>
        <item x="63"/>
        <item x="106"/>
        <item x="14"/>
        <item x="103"/>
        <item x="40"/>
        <item x="83"/>
        <item x="105"/>
        <item x="108"/>
        <item x="88"/>
        <item x="104"/>
        <item x="107"/>
        <item x="70"/>
        <item x="76"/>
        <item x="109"/>
        <item x="15"/>
        <item x="77"/>
        <item x="111"/>
        <item x="16"/>
        <item x="75"/>
        <item x="110"/>
        <item x="17"/>
        <item x="115"/>
        <item x="18"/>
        <item x="112"/>
        <item x="69"/>
        <item x="19"/>
        <item x="114"/>
        <item x="73"/>
        <item x="31"/>
        <item x="113"/>
        <item x="74"/>
        <item x="64"/>
        <item x="41"/>
        <item x="116"/>
        <item x="42"/>
        <item x="43"/>
        <item x="118"/>
        <item x="44"/>
        <item x="45"/>
        <item x="117"/>
        <item x="46"/>
        <item x="93"/>
        <item x="20"/>
        <item x="119"/>
        <item x="47"/>
        <item x="21"/>
        <item x="121"/>
        <item x="51"/>
        <item x="28"/>
        <item x="120"/>
        <item x="52"/>
        <item x="125"/>
        <item x="22"/>
        <item x="122"/>
        <item x="48"/>
        <item x="23"/>
        <item x="124"/>
        <item x="65"/>
        <item x="24"/>
        <item x="123"/>
        <item x="49"/>
        <item x="85"/>
        <item x="32"/>
        <item x="126"/>
        <item x="27"/>
        <item x="61"/>
        <item x="128"/>
        <item x="25"/>
        <item x="33"/>
        <item x="127"/>
        <item x="34"/>
        <item x="132"/>
        <item x="35"/>
        <item x="129"/>
        <item x="90"/>
        <item x="36"/>
        <item x="131"/>
        <item x="91"/>
        <item x="37"/>
        <item x="130"/>
        <item x="92"/>
        <item x="136"/>
        <item x="26"/>
        <item x="133"/>
        <item x="79"/>
        <item x="55"/>
        <item x="135"/>
        <item x="68"/>
        <item x="50"/>
        <item x="134"/>
        <item x="89"/>
        <item x="94"/>
        <item x="38"/>
        <item x="137"/>
        <item x="39"/>
        <item x="59"/>
        <item x="139"/>
        <item x="80"/>
        <item x="60"/>
        <item x="138"/>
        <item x="81"/>
        <item x="14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Page" multipleItemSelectionAllowed="1" showAll="0">
      <items count="8">
        <item h="1" x="1"/>
        <item h="1" x="6"/>
        <item x="2"/>
        <item h="1" x="0"/>
        <item h="1" x="3"/>
        <item h="1" x="4"/>
        <item h="1" x="5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0"/>
  </rowFields>
  <rowItems count="31">
    <i>
      <x/>
    </i>
    <i>
      <x v="2"/>
    </i>
    <i>
      <x v="7"/>
    </i>
    <i>
      <x v="15"/>
    </i>
    <i>
      <x v="19"/>
    </i>
    <i>
      <x v="26"/>
    </i>
    <i>
      <x v="33"/>
    </i>
    <i>
      <x v="59"/>
    </i>
    <i>
      <x v="66"/>
    </i>
    <i>
      <x v="90"/>
    </i>
    <i>
      <x v="91"/>
    </i>
    <i>
      <x v="96"/>
    </i>
    <i>
      <x v="101"/>
    </i>
    <i>
      <x v="102"/>
    </i>
    <i>
      <x v="118"/>
    </i>
    <i>
      <x v="151"/>
    </i>
    <i>
      <x v="164"/>
    </i>
    <i>
      <x v="186"/>
    </i>
    <i>
      <x v="187"/>
    </i>
    <i>
      <x v="189"/>
    </i>
    <i>
      <x v="195"/>
    </i>
    <i>
      <x v="209"/>
    </i>
    <i>
      <x v="220"/>
    </i>
    <i>
      <x v="249"/>
    </i>
    <i>
      <x v="264"/>
    </i>
    <i>
      <x v="279"/>
    </i>
    <i>
      <x v="286"/>
    </i>
    <i>
      <x v="308"/>
    </i>
    <i>
      <x v="312"/>
    </i>
    <i>
      <x v="317"/>
    </i>
    <i t="grand">
      <x/>
    </i>
  </rowItems>
  <colFields count="1">
    <field x="5"/>
  </colFields>
  <colItems count="42">
    <i>
      <x v="3"/>
    </i>
    <i>
      <x v="6"/>
    </i>
    <i>
      <x v="9"/>
    </i>
    <i>
      <x v="13"/>
    </i>
    <i>
      <x v="16"/>
    </i>
    <i>
      <x v="19"/>
    </i>
    <i>
      <x v="23"/>
    </i>
    <i>
      <x v="26"/>
    </i>
    <i>
      <x v="29"/>
    </i>
    <i>
      <x v="33"/>
    </i>
    <i>
      <x v="36"/>
    </i>
    <i>
      <x v="39"/>
    </i>
    <i>
      <x v="43"/>
    </i>
    <i>
      <x v="46"/>
    </i>
    <i>
      <x v="49"/>
    </i>
    <i>
      <x v="53"/>
    </i>
    <i>
      <x v="56"/>
    </i>
    <i>
      <x v="59"/>
    </i>
    <i>
      <x v="63"/>
    </i>
    <i>
      <x v="66"/>
    </i>
    <i>
      <x v="69"/>
    </i>
    <i>
      <x v="73"/>
    </i>
    <i>
      <x v="76"/>
    </i>
    <i>
      <x v="79"/>
    </i>
    <i>
      <x v="83"/>
    </i>
    <i>
      <x v="86"/>
    </i>
    <i>
      <x v="89"/>
    </i>
    <i>
      <x v="93"/>
    </i>
    <i>
      <x v="96"/>
    </i>
    <i>
      <x v="99"/>
    </i>
    <i>
      <x v="103"/>
    </i>
    <i>
      <x v="106"/>
    </i>
    <i>
      <x v="109"/>
    </i>
    <i>
      <x v="113"/>
    </i>
    <i>
      <x v="116"/>
    </i>
    <i>
      <x v="119"/>
    </i>
    <i>
      <x v="123"/>
    </i>
    <i>
      <x v="126"/>
    </i>
    <i>
      <x v="129"/>
    </i>
    <i>
      <x v="133"/>
    </i>
    <i>
      <x v="136"/>
    </i>
    <i>
      <x v="139"/>
    </i>
  </colItems>
  <pageFields count="1">
    <pageField fld="7" hier="-1"/>
  </pageFields>
  <dataFields count="1">
    <dataField name="Sum of AMOUNT" fld="12" baseField="5" baseItem="0" numFmtId="170"/>
  </dataFields>
  <formats count="2">
    <format dxfId="14">
      <pivotArea dataOnly="0" labelOnly="1" fieldPosition="0">
        <references count="1">
          <reference field="5" count="12">
            <x v="4"/>
            <x v="7"/>
            <x v="10"/>
            <x v="14"/>
            <x v="17"/>
            <x v="20"/>
            <x v="24"/>
            <x v="27"/>
            <x v="30"/>
            <x v="34"/>
            <x v="37"/>
            <x v="40"/>
          </reference>
        </references>
      </pivotArea>
    </format>
    <format dxfId="13">
      <pivotArea dataOnly="0" labelOnly="1" fieldPosition="0">
        <references count="1">
          <reference field="5" count="12">
            <x v="3"/>
            <x v="6"/>
            <x v="9"/>
            <x v="13"/>
            <x v="16"/>
            <x v="19"/>
            <x v="23"/>
            <x v="26"/>
            <x v="29"/>
            <x v="33"/>
            <x v="36"/>
            <x v="3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B69DA5-EA4A-4495-B78A-90022F36CBD9}" name="PivotTable3" cacheId="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S3:AG28" firstHeaderRow="0" firstDataRow="1" firstDataCol="1"/>
  <pivotFields count="143">
    <pivotField axis="axisRow" showAll="0" sortType="ascending">
      <items count="179">
        <item x="23"/>
        <item x="10"/>
        <item m="1" x="24"/>
        <item m="1" x="148"/>
        <item m="1" x="149"/>
        <item m="1" x="150"/>
        <item m="1" x="133"/>
        <item m="1" x="165"/>
        <item m="1" x="25"/>
        <item m="1" x="26"/>
        <item m="1" x="27"/>
        <item m="1" x="151"/>
        <item m="1" x="122"/>
        <item m="1" x="28"/>
        <item m="1" x="173"/>
        <item m="1" x="29"/>
        <item x="7"/>
        <item m="1" x="105"/>
        <item m="1" x="30"/>
        <item m="1" x="127"/>
        <item m="1" x="31"/>
        <item m="1" x="32"/>
        <item m="1" x="33"/>
        <item m="1" x="34"/>
        <item m="1" x="113"/>
        <item m="1" x="35"/>
        <item x="1"/>
        <item m="1" x="36"/>
        <item m="1" x="153"/>
        <item m="1" x="172"/>
        <item m="1" x="37"/>
        <item m="1" x="38"/>
        <item m="1" x="39"/>
        <item m="1" x="176"/>
        <item m="1" x="40"/>
        <item m="1" x="41"/>
        <item x="18"/>
        <item m="1" x="136"/>
        <item m="1" x="152"/>
        <item x="13"/>
        <item m="1" x="42"/>
        <item x="19"/>
        <item x="17"/>
        <item m="1" x="162"/>
        <item m="1" x="43"/>
        <item m="1" x="99"/>
        <item m="1" x="44"/>
        <item m="1" x="155"/>
        <item m="1" x="115"/>
        <item m="1" x="135"/>
        <item m="1" x="121"/>
        <item m="1" x="160"/>
        <item m="1" x="126"/>
        <item m="1" x="45"/>
        <item m="1" x="128"/>
        <item m="1" x="146"/>
        <item m="1" x="46"/>
        <item m="1" x="47"/>
        <item m="1" x="48"/>
        <item m="1" x="49"/>
        <item m="1" x="124"/>
        <item m="1" x="125"/>
        <item m="1" x="144"/>
        <item m="1" x="107"/>
        <item m="1" x="161"/>
        <item m="1" x="106"/>
        <item m="1" x="170"/>
        <item m="1" x="130"/>
        <item m="1" x="50"/>
        <item m="1" x="154"/>
        <item m="1" x="51"/>
        <item m="1" x="52"/>
        <item m="1" x="53"/>
        <item m="1" x="114"/>
        <item m="1" x="137"/>
        <item x="5"/>
        <item m="1" x="54"/>
        <item m="1" x="55"/>
        <item m="1" x="100"/>
        <item x="9"/>
        <item x="12"/>
        <item m="1" x="56"/>
        <item m="1" x="108"/>
        <item m="1" x="57"/>
        <item m="1" x="58"/>
        <item m="1" x="59"/>
        <item m="1" x="60"/>
        <item m="1" x="112"/>
        <item m="1" x="61"/>
        <item m="1" x="175"/>
        <item m="1" x="62"/>
        <item x="8"/>
        <item x="6"/>
        <item m="1" x="145"/>
        <item m="1" x="142"/>
        <item m="1" x="63"/>
        <item m="1" x="104"/>
        <item m="1" x="64"/>
        <item m="1" x="65"/>
        <item m="1" x="66"/>
        <item m="1" x="67"/>
        <item m="1" x="68"/>
        <item m="1" x="69"/>
        <item x="21"/>
        <item m="1" x="70"/>
        <item m="1" x="71"/>
        <item m="1" x="72"/>
        <item m="1" x="73"/>
        <item m="1" x="157"/>
        <item m="1" x="169"/>
        <item m="1" x="74"/>
        <item m="1" x="167"/>
        <item m="1" x="75"/>
        <item m="1" x="103"/>
        <item m="1" x="174"/>
        <item m="1" x="116"/>
        <item m="1" x="123"/>
        <item m="1" x="76"/>
        <item m="1" x="131"/>
        <item m="1" x="158"/>
        <item m="1" x="140"/>
        <item m="1" x="77"/>
        <item m="1" x="132"/>
        <item m="1" x="141"/>
        <item m="1" x="101"/>
        <item m="1" x="159"/>
        <item m="1" x="78"/>
        <item m="1" x="118"/>
        <item m="1" x="163"/>
        <item m="1" x="79"/>
        <item m="1" x="80"/>
        <item m="1" x="143"/>
        <item m="1" x="134"/>
        <item x="0"/>
        <item m="1" x="109"/>
        <item m="1" x="164"/>
        <item m="1" x="81"/>
        <item m="1" x="82"/>
        <item m="1" x="83"/>
        <item m="1" x="111"/>
        <item m="1" x="84"/>
        <item m="1" x="85"/>
        <item m="1" x="86"/>
        <item m="1" x="87"/>
        <item x="4"/>
        <item m="1" x="129"/>
        <item m="1" x="88"/>
        <item m="1" x="89"/>
        <item x="20"/>
        <item m="1" x="119"/>
        <item m="1" x="90"/>
        <item x="16"/>
        <item m="1" x="91"/>
        <item m="1" x="92"/>
        <item m="1" x="110"/>
        <item m="1" x="93"/>
        <item m="1" x="102"/>
        <item m="1" x="139"/>
        <item m="1" x="94"/>
        <item m="1" x="95"/>
        <item m="1" x="96"/>
        <item x="3"/>
        <item m="1" x="97"/>
        <item m="1" x="166"/>
        <item x="14"/>
        <item m="1" x="98"/>
        <item m="1" x="147"/>
        <item x="11"/>
        <item x="15"/>
        <item m="1" x="177"/>
        <item m="1" x="156"/>
        <item m="1" x="117"/>
        <item m="1" x="168"/>
        <item m="1" x="171"/>
        <item m="1" x="120"/>
        <item x="2"/>
        <item m="1" x="138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5">
    <i>
      <x/>
    </i>
    <i>
      <x v="1"/>
    </i>
    <i>
      <x v="16"/>
    </i>
    <i>
      <x v="26"/>
    </i>
    <i>
      <x v="36"/>
    </i>
    <i>
      <x v="39"/>
    </i>
    <i>
      <x v="41"/>
    </i>
    <i>
      <x v="42"/>
    </i>
    <i>
      <x v="75"/>
    </i>
    <i>
      <x v="79"/>
    </i>
    <i>
      <x v="80"/>
    </i>
    <i>
      <x v="91"/>
    </i>
    <i>
      <x v="92"/>
    </i>
    <i>
      <x v="103"/>
    </i>
    <i>
      <x v="133"/>
    </i>
    <i>
      <x v="144"/>
    </i>
    <i>
      <x v="148"/>
    </i>
    <i>
      <x v="151"/>
    </i>
    <i>
      <x v="161"/>
    </i>
    <i>
      <x v="164"/>
    </i>
    <i>
      <x v="167"/>
    </i>
    <i>
      <x v="168"/>
    </i>
    <i>
      <x v="175"/>
    </i>
    <i>
      <x v="177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Sum of PS39E97" fld="59" baseField="0" baseItem="0"/>
    <dataField name="Sum of PS42E97" fld="60" baseField="0" baseItem="0"/>
    <dataField name="Sum of PS43E97" fld="61" baseField="0" baseItem="0"/>
    <dataField name="Sum of PS44E97" fld="62" baseField="0" baseItem="0"/>
    <dataField name="Sum of PS45E97" fld="63" baseField="0" baseItem="0"/>
    <dataField name="Sum of PS46E97" fld="64" baseField="0" baseItem="0"/>
    <dataField name="Sum of PS48E97" fld="66" baseField="0" baseItem="0"/>
    <dataField name="Sum of PS47E97" fld="65" baseField="0" baseItem="0"/>
    <dataField name="Sum of PS49E97" fld="67" baseField="0" baseItem="0"/>
    <dataField name="Sum of PS64E97" fld="68" baseField="0" baseItem="0"/>
    <dataField name="Sum of PS24E97" fld="69" baseField="0" baseItem="0"/>
    <dataField name="Sum of PS25E97" fld="70" baseField="0" baseItem="0"/>
    <dataField name="Sum of PS26E97" fld="71" baseField="0" baseItem="0"/>
    <dataField name="Sum of PS35E97" fld="7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932D5F-B45E-461F-8BDD-8BEEBFBFAD6E}" name="PivotTable1" cacheId="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O28" firstHeaderRow="0" firstDataRow="1" firstDataCol="1"/>
  <pivotFields count="143">
    <pivotField axis="axisRow" showAll="0" sortType="ascending">
      <items count="179">
        <item x="23"/>
        <item x="10"/>
        <item m="1" x="24"/>
        <item m="1" x="148"/>
        <item m="1" x="149"/>
        <item m="1" x="150"/>
        <item m="1" x="133"/>
        <item m="1" x="165"/>
        <item m="1" x="25"/>
        <item m="1" x="26"/>
        <item m="1" x="27"/>
        <item m="1" x="151"/>
        <item m="1" x="122"/>
        <item m="1" x="28"/>
        <item m="1" x="173"/>
        <item m="1" x="29"/>
        <item x="7"/>
        <item m="1" x="105"/>
        <item m="1" x="30"/>
        <item m="1" x="127"/>
        <item m="1" x="31"/>
        <item m="1" x="32"/>
        <item m="1" x="33"/>
        <item m="1" x="34"/>
        <item m="1" x="113"/>
        <item m="1" x="35"/>
        <item x="1"/>
        <item m="1" x="36"/>
        <item m="1" x="153"/>
        <item m="1" x="172"/>
        <item m="1" x="37"/>
        <item m="1" x="38"/>
        <item m="1" x="39"/>
        <item m="1" x="176"/>
        <item m="1" x="40"/>
        <item m="1" x="41"/>
        <item x="18"/>
        <item m="1" x="136"/>
        <item m="1" x="152"/>
        <item x="13"/>
        <item m="1" x="42"/>
        <item x="19"/>
        <item x="17"/>
        <item m="1" x="162"/>
        <item m="1" x="43"/>
        <item m="1" x="99"/>
        <item m="1" x="44"/>
        <item m="1" x="155"/>
        <item m="1" x="115"/>
        <item m="1" x="135"/>
        <item m="1" x="121"/>
        <item m="1" x="160"/>
        <item m="1" x="126"/>
        <item m="1" x="45"/>
        <item m="1" x="128"/>
        <item m="1" x="146"/>
        <item m="1" x="46"/>
        <item m="1" x="47"/>
        <item m="1" x="48"/>
        <item m="1" x="49"/>
        <item m="1" x="124"/>
        <item m="1" x="125"/>
        <item m="1" x="144"/>
        <item m="1" x="107"/>
        <item m="1" x="161"/>
        <item m="1" x="106"/>
        <item m="1" x="170"/>
        <item m="1" x="130"/>
        <item m="1" x="50"/>
        <item m="1" x="154"/>
        <item m="1" x="51"/>
        <item m="1" x="52"/>
        <item m="1" x="53"/>
        <item m="1" x="114"/>
        <item m="1" x="137"/>
        <item x="5"/>
        <item m="1" x="54"/>
        <item m="1" x="55"/>
        <item m="1" x="100"/>
        <item x="9"/>
        <item x="12"/>
        <item m="1" x="56"/>
        <item m="1" x="108"/>
        <item m="1" x="57"/>
        <item m="1" x="58"/>
        <item m="1" x="59"/>
        <item m="1" x="60"/>
        <item m="1" x="112"/>
        <item m="1" x="61"/>
        <item m="1" x="175"/>
        <item m="1" x="62"/>
        <item x="8"/>
        <item x="6"/>
        <item m="1" x="145"/>
        <item m="1" x="142"/>
        <item m="1" x="63"/>
        <item m="1" x="104"/>
        <item m="1" x="64"/>
        <item m="1" x="65"/>
        <item m="1" x="66"/>
        <item m="1" x="67"/>
        <item m="1" x="68"/>
        <item m="1" x="69"/>
        <item x="21"/>
        <item m="1" x="70"/>
        <item m="1" x="71"/>
        <item m="1" x="72"/>
        <item m="1" x="73"/>
        <item m="1" x="157"/>
        <item m="1" x="169"/>
        <item m="1" x="74"/>
        <item m="1" x="167"/>
        <item m="1" x="75"/>
        <item m="1" x="103"/>
        <item m="1" x="174"/>
        <item m="1" x="116"/>
        <item m="1" x="123"/>
        <item m="1" x="76"/>
        <item m="1" x="131"/>
        <item m="1" x="158"/>
        <item m="1" x="140"/>
        <item m="1" x="77"/>
        <item m="1" x="132"/>
        <item m="1" x="141"/>
        <item m="1" x="101"/>
        <item m="1" x="159"/>
        <item m="1" x="78"/>
        <item m="1" x="118"/>
        <item m="1" x="163"/>
        <item m="1" x="79"/>
        <item m="1" x="80"/>
        <item m="1" x="143"/>
        <item m="1" x="134"/>
        <item x="0"/>
        <item m="1" x="109"/>
        <item m="1" x="164"/>
        <item m="1" x="81"/>
        <item m="1" x="82"/>
        <item m="1" x="83"/>
        <item m="1" x="111"/>
        <item m="1" x="84"/>
        <item m="1" x="85"/>
        <item m="1" x="86"/>
        <item m="1" x="87"/>
        <item x="4"/>
        <item m="1" x="129"/>
        <item m="1" x="88"/>
        <item m="1" x="89"/>
        <item x="20"/>
        <item m="1" x="119"/>
        <item m="1" x="90"/>
        <item x="16"/>
        <item m="1" x="91"/>
        <item m="1" x="92"/>
        <item m="1" x="110"/>
        <item m="1" x="93"/>
        <item m="1" x="102"/>
        <item m="1" x="139"/>
        <item m="1" x="94"/>
        <item m="1" x="95"/>
        <item m="1" x="96"/>
        <item x="3"/>
        <item m="1" x="97"/>
        <item m="1" x="166"/>
        <item x="14"/>
        <item m="1" x="98"/>
        <item m="1" x="147"/>
        <item x="11"/>
        <item x="15"/>
        <item m="1" x="177"/>
        <item m="1" x="156"/>
        <item m="1" x="117"/>
        <item m="1" x="168"/>
        <item m="1" x="171"/>
        <item m="1" x="120"/>
        <item x="2"/>
        <item m="1" x="138"/>
        <item x="22"/>
        <item t="default"/>
      </items>
    </pivotField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5">
    <i>
      <x/>
    </i>
    <i>
      <x v="1"/>
    </i>
    <i>
      <x v="16"/>
    </i>
    <i>
      <x v="26"/>
    </i>
    <i>
      <x v="36"/>
    </i>
    <i>
      <x v="39"/>
    </i>
    <i>
      <x v="41"/>
    </i>
    <i>
      <x v="42"/>
    </i>
    <i>
      <x v="75"/>
    </i>
    <i>
      <x v="79"/>
    </i>
    <i>
      <x v="80"/>
    </i>
    <i>
      <x v="91"/>
    </i>
    <i>
      <x v="92"/>
    </i>
    <i>
      <x v="103"/>
    </i>
    <i>
      <x v="133"/>
    </i>
    <i>
      <x v="144"/>
    </i>
    <i>
      <x v="148"/>
    </i>
    <i>
      <x v="151"/>
    </i>
    <i>
      <x v="161"/>
    </i>
    <i>
      <x v="164"/>
    </i>
    <i>
      <x v="167"/>
    </i>
    <i>
      <x v="168"/>
    </i>
    <i>
      <x v="175"/>
    </i>
    <i>
      <x v="177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Sum of PS39E" fld="3" baseField="0" baseItem="0"/>
    <dataField name="Sum of PS42E" fld="4" baseField="0" baseItem="0"/>
    <dataField name="Sum of PS43E" fld="5" baseField="0" baseItem="0"/>
    <dataField name="Sum of PS44E" fld="6" baseField="0" baseItem="0"/>
    <dataField name="Sum of PS45E" fld="7" baseField="0" baseItem="0"/>
    <dataField name="Sum of PS46E" fld="8" baseField="0" baseItem="0"/>
    <dataField name="Sum of PS47E" fld="9" baseField="0" baseItem="0"/>
    <dataField name="Sum of PS48E" fld="10" baseField="0" baseItem="0"/>
    <dataField name="Sum of PS49E" fld="11" baseField="0" baseItem="0"/>
    <dataField name="Sum of PS64E" fld="12" baseField="0" baseItem="0"/>
    <dataField name="Sum of PS24E" fld="13" baseField="0" baseItem="0"/>
    <dataField name="Sum of PS25E" fld="14" baseField="0" baseItem="0"/>
    <dataField name="Sum of PS26E" fld="15" baseField="0" baseItem="0"/>
    <dataField name="Sum of PS35E" fld="1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D802A1-36B5-42C8-B96A-9E0A17759152}" name="PivotTable4" cacheId="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K3:AY28" firstHeaderRow="0" firstDataRow="1" firstDataCol="1"/>
  <pivotFields count="143">
    <pivotField axis="axisRow" showAll="0" sortType="ascending">
      <items count="179">
        <item x="23"/>
        <item x="10"/>
        <item m="1" x="24"/>
        <item m="1" x="148"/>
        <item m="1" x="149"/>
        <item m="1" x="150"/>
        <item m="1" x="133"/>
        <item m="1" x="165"/>
        <item m="1" x="25"/>
        <item m="1" x="26"/>
        <item m="1" x="27"/>
        <item m="1" x="151"/>
        <item m="1" x="122"/>
        <item m="1" x="28"/>
        <item m="1" x="173"/>
        <item m="1" x="29"/>
        <item x="7"/>
        <item m="1" x="105"/>
        <item m="1" x="30"/>
        <item m="1" x="127"/>
        <item m="1" x="31"/>
        <item m="1" x="32"/>
        <item m="1" x="33"/>
        <item m="1" x="34"/>
        <item m="1" x="113"/>
        <item m="1" x="35"/>
        <item x="1"/>
        <item m="1" x="36"/>
        <item m="1" x="153"/>
        <item m="1" x="172"/>
        <item m="1" x="37"/>
        <item m="1" x="38"/>
        <item m="1" x="39"/>
        <item m="1" x="176"/>
        <item m="1" x="40"/>
        <item m="1" x="41"/>
        <item x="18"/>
        <item m="1" x="136"/>
        <item m="1" x="152"/>
        <item x="13"/>
        <item m="1" x="42"/>
        <item x="19"/>
        <item x="17"/>
        <item m="1" x="162"/>
        <item m="1" x="43"/>
        <item m="1" x="99"/>
        <item m="1" x="44"/>
        <item m="1" x="155"/>
        <item m="1" x="115"/>
        <item m="1" x="135"/>
        <item m="1" x="121"/>
        <item m="1" x="160"/>
        <item m="1" x="126"/>
        <item m="1" x="45"/>
        <item m="1" x="128"/>
        <item m="1" x="146"/>
        <item m="1" x="46"/>
        <item m="1" x="47"/>
        <item m="1" x="48"/>
        <item m="1" x="49"/>
        <item m="1" x="124"/>
        <item m="1" x="125"/>
        <item m="1" x="144"/>
        <item m="1" x="107"/>
        <item m="1" x="161"/>
        <item m="1" x="106"/>
        <item m="1" x="170"/>
        <item m="1" x="130"/>
        <item m="1" x="50"/>
        <item m="1" x="154"/>
        <item m="1" x="51"/>
        <item m="1" x="52"/>
        <item m="1" x="53"/>
        <item m="1" x="114"/>
        <item m="1" x="137"/>
        <item x="5"/>
        <item m="1" x="54"/>
        <item m="1" x="55"/>
        <item m="1" x="100"/>
        <item x="9"/>
        <item x="12"/>
        <item m="1" x="56"/>
        <item m="1" x="108"/>
        <item m="1" x="57"/>
        <item m="1" x="58"/>
        <item m="1" x="59"/>
        <item m="1" x="60"/>
        <item m="1" x="112"/>
        <item m="1" x="61"/>
        <item m="1" x="175"/>
        <item m="1" x="62"/>
        <item x="8"/>
        <item x="6"/>
        <item m="1" x="145"/>
        <item m="1" x="142"/>
        <item m="1" x="63"/>
        <item m="1" x="104"/>
        <item m="1" x="64"/>
        <item m="1" x="65"/>
        <item m="1" x="66"/>
        <item m="1" x="67"/>
        <item m="1" x="68"/>
        <item m="1" x="69"/>
        <item x="21"/>
        <item m="1" x="70"/>
        <item m="1" x="71"/>
        <item m="1" x="72"/>
        <item m="1" x="73"/>
        <item m="1" x="157"/>
        <item m="1" x="169"/>
        <item m="1" x="74"/>
        <item m="1" x="167"/>
        <item m="1" x="75"/>
        <item m="1" x="103"/>
        <item m="1" x="174"/>
        <item m="1" x="116"/>
        <item m="1" x="123"/>
        <item m="1" x="76"/>
        <item m="1" x="131"/>
        <item m="1" x="158"/>
        <item m="1" x="140"/>
        <item m="1" x="77"/>
        <item m="1" x="132"/>
        <item m="1" x="141"/>
        <item m="1" x="101"/>
        <item m="1" x="159"/>
        <item m="1" x="78"/>
        <item m="1" x="118"/>
        <item m="1" x="163"/>
        <item m="1" x="79"/>
        <item m="1" x="80"/>
        <item m="1" x="143"/>
        <item m="1" x="134"/>
        <item x="0"/>
        <item m="1" x="109"/>
        <item m="1" x="164"/>
        <item m="1" x="81"/>
        <item m="1" x="82"/>
        <item m="1" x="83"/>
        <item m="1" x="111"/>
        <item m="1" x="84"/>
        <item m="1" x="85"/>
        <item m="1" x="86"/>
        <item m="1" x="87"/>
        <item x="4"/>
        <item m="1" x="129"/>
        <item m="1" x="88"/>
        <item m="1" x="89"/>
        <item x="20"/>
        <item m="1" x="119"/>
        <item m="1" x="90"/>
        <item x="16"/>
        <item m="1" x="91"/>
        <item m="1" x="92"/>
        <item m="1" x="110"/>
        <item m="1" x="93"/>
        <item m="1" x="102"/>
        <item m="1" x="139"/>
        <item m="1" x="94"/>
        <item m="1" x="95"/>
        <item m="1" x="96"/>
        <item x="3"/>
        <item m="1" x="97"/>
        <item m="1" x="166"/>
        <item x="14"/>
        <item m="1" x="98"/>
        <item m="1" x="147"/>
        <item x="11"/>
        <item x="15"/>
        <item m="1" x="177"/>
        <item m="1" x="156"/>
        <item m="1" x="117"/>
        <item m="1" x="168"/>
        <item m="1" x="171"/>
        <item m="1" x="120"/>
        <item x="2"/>
        <item m="1" x="138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5">
    <i>
      <x/>
    </i>
    <i>
      <x v="1"/>
    </i>
    <i>
      <x v="16"/>
    </i>
    <i>
      <x v="26"/>
    </i>
    <i>
      <x v="36"/>
    </i>
    <i>
      <x v="39"/>
    </i>
    <i>
      <x v="41"/>
    </i>
    <i>
      <x v="42"/>
    </i>
    <i>
      <x v="75"/>
    </i>
    <i>
      <x v="79"/>
    </i>
    <i>
      <x v="80"/>
    </i>
    <i>
      <x v="91"/>
    </i>
    <i>
      <x v="92"/>
    </i>
    <i>
      <x v="103"/>
    </i>
    <i>
      <x v="133"/>
    </i>
    <i>
      <x v="144"/>
    </i>
    <i>
      <x v="148"/>
    </i>
    <i>
      <x v="151"/>
    </i>
    <i>
      <x v="161"/>
    </i>
    <i>
      <x v="164"/>
    </i>
    <i>
      <x v="167"/>
    </i>
    <i>
      <x v="168"/>
    </i>
    <i>
      <x v="175"/>
    </i>
    <i>
      <x v="177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Sum of PS39E21" fld="101" baseField="0" baseItem="0"/>
    <dataField name="Sum of PS42E21" fld="102" baseField="0" baseItem="0"/>
    <dataField name="Sum of PS43E21" fld="103" baseField="0" baseItem="0"/>
    <dataField name="Sum of PS44E21" fld="104" baseField="0" baseItem="0"/>
    <dataField name="Sum of PS45E21" fld="105" baseField="0" baseItem="0"/>
    <dataField name="Sum of PS46E21" fld="106" baseField="0" baseItem="0"/>
    <dataField name="Sum of PS47E21" fld="107" baseField="0" baseItem="0"/>
    <dataField name="Sum of PS48E21" fld="108" baseField="0" baseItem="0"/>
    <dataField name="Sum of PS49E21" fld="109" baseField="0" baseItem="0"/>
    <dataField name="Sum of PS64E21" fld="110" baseField="0" baseItem="0"/>
    <dataField name="Sum of PS24E21" fld="111" baseField="0" baseItem="0"/>
    <dataField name="Sum of PS25E21" fld="112" baseField="0" baseItem="0"/>
    <dataField name="Sum of PS26E21" fld="113" baseField="0" baseItem="0"/>
    <dataField name="Sum of PS35E21" fld="11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F32B44-12D7-40FC-B6A8-B9042E3FC2CD}" name="PivotTable2" cacheId="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B3:BP28" firstHeaderRow="0" firstDataRow="1" firstDataCol="1"/>
  <pivotFields count="143">
    <pivotField axis="axisRow" showAll="0" sortType="ascending">
      <items count="179">
        <item x="23"/>
        <item x="10"/>
        <item m="1" x="24"/>
        <item m="1" x="148"/>
        <item m="1" x="149"/>
        <item m="1" x="150"/>
        <item m="1" x="133"/>
        <item m="1" x="165"/>
        <item m="1" x="25"/>
        <item m="1" x="26"/>
        <item m="1" x="27"/>
        <item m="1" x="151"/>
        <item m="1" x="122"/>
        <item m="1" x="28"/>
        <item m="1" x="173"/>
        <item m="1" x="29"/>
        <item x="7"/>
        <item m="1" x="105"/>
        <item m="1" x="30"/>
        <item m="1" x="127"/>
        <item m="1" x="31"/>
        <item m="1" x="32"/>
        <item m="1" x="33"/>
        <item m="1" x="34"/>
        <item m="1" x="113"/>
        <item m="1" x="35"/>
        <item x="1"/>
        <item m="1" x="36"/>
        <item m="1" x="153"/>
        <item m="1" x="172"/>
        <item m="1" x="37"/>
        <item m="1" x="38"/>
        <item m="1" x="39"/>
        <item m="1" x="176"/>
        <item m="1" x="40"/>
        <item m="1" x="41"/>
        <item x="18"/>
        <item m="1" x="136"/>
        <item m="1" x="152"/>
        <item x="13"/>
        <item m="1" x="42"/>
        <item x="19"/>
        <item x="17"/>
        <item m="1" x="162"/>
        <item m="1" x="43"/>
        <item m="1" x="99"/>
        <item m="1" x="44"/>
        <item m="1" x="155"/>
        <item m="1" x="115"/>
        <item m="1" x="135"/>
        <item m="1" x="121"/>
        <item m="1" x="160"/>
        <item m="1" x="126"/>
        <item m="1" x="45"/>
        <item m="1" x="128"/>
        <item m="1" x="146"/>
        <item m="1" x="46"/>
        <item m="1" x="47"/>
        <item m="1" x="48"/>
        <item m="1" x="49"/>
        <item m="1" x="124"/>
        <item m="1" x="125"/>
        <item m="1" x="144"/>
        <item m="1" x="107"/>
        <item m="1" x="161"/>
        <item m="1" x="106"/>
        <item m="1" x="170"/>
        <item m="1" x="130"/>
        <item m="1" x="50"/>
        <item m="1" x="154"/>
        <item m="1" x="51"/>
        <item m="1" x="52"/>
        <item m="1" x="53"/>
        <item m="1" x="114"/>
        <item m="1" x="137"/>
        <item x="5"/>
        <item m="1" x="54"/>
        <item m="1" x="55"/>
        <item m="1" x="100"/>
        <item x="9"/>
        <item x="12"/>
        <item m="1" x="56"/>
        <item m="1" x="108"/>
        <item m="1" x="57"/>
        <item m="1" x="58"/>
        <item m="1" x="59"/>
        <item m="1" x="60"/>
        <item m="1" x="112"/>
        <item m="1" x="61"/>
        <item m="1" x="175"/>
        <item m="1" x="62"/>
        <item x="8"/>
        <item x="6"/>
        <item m="1" x="145"/>
        <item m="1" x="142"/>
        <item m="1" x="63"/>
        <item m="1" x="104"/>
        <item m="1" x="64"/>
        <item m="1" x="65"/>
        <item m="1" x="66"/>
        <item m="1" x="67"/>
        <item m="1" x="68"/>
        <item m="1" x="69"/>
        <item x="21"/>
        <item m="1" x="70"/>
        <item m="1" x="71"/>
        <item m="1" x="72"/>
        <item m="1" x="73"/>
        <item m="1" x="157"/>
        <item m="1" x="169"/>
        <item m="1" x="74"/>
        <item m="1" x="167"/>
        <item m="1" x="75"/>
        <item m="1" x="103"/>
        <item m="1" x="174"/>
        <item m="1" x="116"/>
        <item m="1" x="123"/>
        <item m="1" x="76"/>
        <item m="1" x="131"/>
        <item m="1" x="158"/>
        <item m="1" x="140"/>
        <item m="1" x="77"/>
        <item m="1" x="132"/>
        <item m="1" x="141"/>
        <item m="1" x="101"/>
        <item m="1" x="159"/>
        <item m="1" x="78"/>
        <item m="1" x="118"/>
        <item m="1" x="163"/>
        <item m="1" x="79"/>
        <item m="1" x="80"/>
        <item m="1" x="143"/>
        <item m="1" x="134"/>
        <item x="0"/>
        <item m="1" x="109"/>
        <item m="1" x="164"/>
        <item m="1" x="81"/>
        <item m="1" x="82"/>
        <item m="1" x="83"/>
        <item m="1" x="111"/>
        <item m="1" x="84"/>
        <item m="1" x="85"/>
        <item m="1" x="86"/>
        <item m="1" x="87"/>
        <item x="4"/>
        <item m="1" x="129"/>
        <item m="1" x="88"/>
        <item m="1" x="89"/>
        <item x="20"/>
        <item m="1" x="119"/>
        <item m="1" x="90"/>
        <item x="16"/>
        <item m="1" x="91"/>
        <item m="1" x="92"/>
        <item m="1" x="110"/>
        <item m="1" x="93"/>
        <item m="1" x="102"/>
        <item m="1" x="139"/>
        <item m="1" x="94"/>
        <item m="1" x="95"/>
        <item m="1" x="96"/>
        <item x="3"/>
        <item m="1" x="97"/>
        <item m="1" x="166"/>
        <item x="14"/>
        <item m="1" x="98"/>
        <item m="1" x="147"/>
        <item x="11"/>
        <item x="15"/>
        <item m="1" x="177"/>
        <item m="1" x="156"/>
        <item m="1" x="117"/>
        <item m="1" x="168"/>
        <item m="1" x="171"/>
        <item m="1" x="120"/>
        <item x="2"/>
        <item m="1" x="138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5">
    <i>
      <x/>
    </i>
    <i>
      <x v="1"/>
    </i>
    <i>
      <x v="16"/>
    </i>
    <i>
      <x v="26"/>
    </i>
    <i>
      <x v="36"/>
    </i>
    <i>
      <x v="39"/>
    </i>
    <i>
      <x v="41"/>
    </i>
    <i>
      <x v="42"/>
    </i>
    <i>
      <x v="75"/>
    </i>
    <i>
      <x v="79"/>
    </i>
    <i>
      <x v="80"/>
    </i>
    <i>
      <x v="91"/>
    </i>
    <i>
      <x v="92"/>
    </i>
    <i>
      <x v="103"/>
    </i>
    <i>
      <x v="133"/>
    </i>
    <i>
      <x v="144"/>
    </i>
    <i>
      <x v="148"/>
    </i>
    <i>
      <x v="151"/>
    </i>
    <i>
      <x v="161"/>
    </i>
    <i>
      <x v="164"/>
    </i>
    <i>
      <x v="167"/>
    </i>
    <i>
      <x v="168"/>
    </i>
    <i>
      <x v="175"/>
    </i>
    <i>
      <x v="177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Sum of PS39E09" fld="45" baseField="0" baseItem="0"/>
    <dataField name="Sum of PS42E09" fld="46" baseField="0" baseItem="0"/>
    <dataField name="Sum of PS43E09" fld="47" baseField="0" baseItem="0"/>
    <dataField name="Sum of PS45E09" fld="49" baseField="0" baseItem="0"/>
    <dataField name="Sum of PS44E09" fld="48" baseField="0" baseItem="0"/>
    <dataField name="Sum of PS46E09" fld="50" baseField="0" baseItem="0"/>
    <dataField name="Sum of PS47E09" fld="51" baseField="0" baseItem="0"/>
    <dataField name="Sum of PS48E09" fld="52" baseField="0" baseItem="0"/>
    <dataField name="Sum of PS49E09" fld="53" baseField="0" baseItem="0"/>
    <dataField name="Sum of PS64E09" fld="54" baseField="0" baseItem="0"/>
    <dataField name="Sum of PS24E09" fld="55" baseField="0" baseItem="0"/>
    <dataField name="Sum of PS25E09" fld="56" baseField="0" baseItem="0"/>
    <dataField name="Sum of PS26E09" fld="57" baseField="0" baseItem="0"/>
    <dataField name="Sum of PS35E09" fld="5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67F72F-8E44-4973-A827-8C140F4B9450}" name="PivotTable4" cacheId="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K3:AY28" firstHeaderRow="0" firstDataRow="1" firstDataCol="1"/>
  <pivotFields count="143">
    <pivotField axis="axisRow" showAll="0" sortType="ascending">
      <items count="179">
        <item x="23"/>
        <item x="10"/>
        <item m="1" x="24"/>
        <item m="1" x="148"/>
        <item m="1" x="149"/>
        <item m="1" x="150"/>
        <item m="1" x="133"/>
        <item m="1" x="165"/>
        <item m="1" x="25"/>
        <item m="1" x="26"/>
        <item m="1" x="27"/>
        <item m="1" x="151"/>
        <item m="1" x="122"/>
        <item m="1" x="28"/>
        <item m="1" x="173"/>
        <item m="1" x="29"/>
        <item x="7"/>
        <item m="1" x="105"/>
        <item m="1" x="30"/>
        <item m="1" x="127"/>
        <item m="1" x="31"/>
        <item m="1" x="32"/>
        <item m="1" x="33"/>
        <item m="1" x="34"/>
        <item m="1" x="113"/>
        <item m="1" x="35"/>
        <item x="1"/>
        <item m="1" x="36"/>
        <item m="1" x="153"/>
        <item m="1" x="172"/>
        <item m="1" x="37"/>
        <item m="1" x="38"/>
        <item m="1" x="39"/>
        <item m="1" x="176"/>
        <item m="1" x="40"/>
        <item m="1" x="41"/>
        <item x="18"/>
        <item m="1" x="136"/>
        <item m="1" x="152"/>
        <item x="13"/>
        <item m="1" x="42"/>
        <item x="19"/>
        <item x="17"/>
        <item m="1" x="162"/>
        <item m="1" x="43"/>
        <item m="1" x="99"/>
        <item m="1" x="44"/>
        <item m="1" x="155"/>
        <item m="1" x="115"/>
        <item m="1" x="135"/>
        <item m="1" x="121"/>
        <item m="1" x="160"/>
        <item m="1" x="126"/>
        <item m="1" x="45"/>
        <item m="1" x="128"/>
        <item m="1" x="146"/>
        <item m="1" x="46"/>
        <item m="1" x="47"/>
        <item m="1" x="48"/>
        <item m="1" x="49"/>
        <item m="1" x="124"/>
        <item m="1" x="125"/>
        <item m="1" x="144"/>
        <item m="1" x="107"/>
        <item m="1" x="161"/>
        <item m="1" x="106"/>
        <item m="1" x="170"/>
        <item m="1" x="130"/>
        <item m="1" x="50"/>
        <item m="1" x="154"/>
        <item m="1" x="51"/>
        <item m="1" x="52"/>
        <item m="1" x="53"/>
        <item m="1" x="114"/>
        <item m="1" x="137"/>
        <item x="5"/>
        <item m="1" x="54"/>
        <item m="1" x="55"/>
        <item m="1" x="100"/>
        <item x="9"/>
        <item x="12"/>
        <item m="1" x="56"/>
        <item m="1" x="108"/>
        <item m="1" x="57"/>
        <item m="1" x="58"/>
        <item m="1" x="59"/>
        <item m="1" x="60"/>
        <item m="1" x="112"/>
        <item m="1" x="61"/>
        <item m="1" x="175"/>
        <item m="1" x="62"/>
        <item x="8"/>
        <item x="6"/>
        <item m="1" x="145"/>
        <item m="1" x="142"/>
        <item m="1" x="63"/>
        <item m="1" x="104"/>
        <item m="1" x="64"/>
        <item m="1" x="65"/>
        <item m="1" x="66"/>
        <item m="1" x="67"/>
        <item m="1" x="68"/>
        <item m="1" x="69"/>
        <item x="21"/>
        <item m="1" x="70"/>
        <item m="1" x="71"/>
        <item m="1" x="72"/>
        <item m="1" x="73"/>
        <item m="1" x="157"/>
        <item m="1" x="169"/>
        <item m="1" x="74"/>
        <item m="1" x="167"/>
        <item m="1" x="75"/>
        <item m="1" x="103"/>
        <item m="1" x="174"/>
        <item m="1" x="116"/>
        <item m="1" x="123"/>
        <item m="1" x="76"/>
        <item m="1" x="131"/>
        <item m="1" x="158"/>
        <item m="1" x="140"/>
        <item m="1" x="77"/>
        <item m="1" x="132"/>
        <item m="1" x="141"/>
        <item m="1" x="101"/>
        <item m="1" x="159"/>
        <item m="1" x="78"/>
        <item m="1" x="118"/>
        <item m="1" x="163"/>
        <item m="1" x="79"/>
        <item m="1" x="80"/>
        <item m="1" x="143"/>
        <item m="1" x="134"/>
        <item x="0"/>
        <item m="1" x="109"/>
        <item m="1" x="164"/>
        <item m="1" x="81"/>
        <item m="1" x="82"/>
        <item m="1" x="83"/>
        <item m="1" x="111"/>
        <item m="1" x="84"/>
        <item m="1" x="85"/>
        <item m="1" x="86"/>
        <item m="1" x="87"/>
        <item x="4"/>
        <item m="1" x="129"/>
        <item m="1" x="88"/>
        <item m="1" x="89"/>
        <item x="20"/>
        <item m="1" x="119"/>
        <item m="1" x="90"/>
        <item x="16"/>
        <item m="1" x="91"/>
        <item m="1" x="92"/>
        <item m="1" x="110"/>
        <item m="1" x="93"/>
        <item m="1" x="102"/>
        <item m="1" x="139"/>
        <item m="1" x="94"/>
        <item m="1" x="95"/>
        <item m="1" x="96"/>
        <item x="3"/>
        <item m="1" x="97"/>
        <item m="1" x="166"/>
        <item x="14"/>
        <item m="1" x="98"/>
        <item m="1" x="147"/>
        <item x="11"/>
        <item x="15"/>
        <item m="1" x="177"/>
        <item m="1" x="156"/>
        <item m="1" x="117"/>
        <item m="1" x="168"/>
        <item m="1" x="171"/>
        <item m="1" x="120"/>
        <item x="2"/>
        <item m="1" x="138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5">
    <i>
      <x/>
    </i>
    <i>
      <x v="1"/>
    </i>
    <i>
      <x v="16"/>
    </i>
    <i>
      <x v="26"/>
    </i>
    <i>
      <x v="36"/>
    </i>
    <i>
      <x v="39"/>
    </i>
    <i>
      <x v="41"/>
    </i>
    <i>
      <x v="42"/>
    </i>
    <i>
      <x v="75"/>
    </i>
    <i>
      <x v="79"/>
    </i>
    <i>
      <x v="80"/>
    </i>
    <i>
      <x v="91"/>
    </i>
    <i>
      <x v="92"/>
    </i>
    <i>
      <x v="103"/>
    </i>
    <i>
      <x v="133"/>
    </i>
    <i>
      <x v="144"/>
    </i>
    <i>
      <x v="148"/>
    </i>
    <i>
      <x v="151"/>
    </i>
    <i>
      <x v="161"/>
    </i>
    <i>
      <x v="164"/>
    </i>
    <i>
      <x v="167"/>
    </i>
    <i>
      <x v="168"/>
    </i>
    <i>
      <x v="175"/>
    </i>
    <i>
      <x v="177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Sum of PS39M21" fld="115" baseField="0" baseItem="0"/>
    <dataField name="Sum of PS42M21" fld="116" baseField="0" baseItem="0"/>
    <dataField name="Sum of PS43M21" fld="117" baseField="0" baseItem="0"/>
    <dataField name="Sum of PS44M21" fld="118" baseField="0" baseItem="0"/>
    <dataField name="Sum of PS45M21" fld="119" baseField="0" baseItem="0"/>
    <dataField name="Sum of PS46M21" fld="120" baseField="0" baseItem="0"/>
    <dataField name="Sum of PS47M21" fld="121" baseField="0" baseItem="0"/>
    <dataField name="Sum of PS48M21" fld="122" baseField="0" baseItem="0"/>
    <dataField name="Sum of PS49M21" fld="123" baseField="0" baseItem="0"/>
    <dataField name="Sum of PS64M21" fld="124" baseField="0" baseItem="0"/>
    <dataField name="Sum of PS24M21" fld="125" baseField="0" baseItem="0"/>
    <dataField name="Sum of PS25M21" fld="126" baseField="0" baseItem="0"/>
    <dataField name="Sum of PS26M21" fld="127" baseField="0" baseItem="0"/>
    <dataField name="Sum of PS35M21" fld="12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0C25FD-3C51-4067-AE2E-53E8C903B894}" name="PivotTable1" cacheId="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O28" firstHeaderRow="0" firstDataRow="1" firstDataCol="1"/>
  <pivotFields count="143">
    <pivotField axis="axisRow" showAll="0" sortType="ascending">
      <items count="179">
        <item x="23"/>
        <item x="10"/>
        <item m="1" x="24"/>
        <item m="1" x="148"/>
        <item m="1" x="149"/>
        <item m="1" x="150"/>
        <item m="1" x="133"/>
        <item m="1" x="165"/>
        <item m="1" x="25"/>
        <item m="1" x="26"/>
        <item m="1" x="27"/>
        <item m="1" x="151"/>
        <item m="1" x="122"/>
        <item m="1" x="28"/>
        <item m="1" x="173"/>
        <item m="1" x="29"/>
        <item x="7"/>
        <item m="1" x="105"/>
        <item m="1" x="30"/>
        <item m="1" x="127"/>
        <item m="1" x="31"/>
        <item m="1" x="32"/>
        <item m="1" x="33"/>
        <item m="1" x="34"/>
        <item m="1" x="113"/>
        <item m="1" x="35"/>
        <item x="1"/>
        <item m="1" x="36"/>
        <item m="1" x="153"/>
        <item m="1" x="172"/>
        <item m="1" x="37"/>
        <item m="1" x="38"/>
        <item m="1" x="39"/>
        <item m="1" x="176"/>
        <item m="1" x="40"/>
        <item m="1" x="41"/>
        <item x="18"/>
        <item m="1" x="136"/>
        <item m="1" x="152"/>
        <item x="13"/>
        <item m="1" x="42"/>
        <item x="19"/>
        <item x="17"/>
        <item m="1" x="162"/>
        <item m="1" x="43"/>
        <item m="1" x="99"/>
        <item m="1" x="44"/>
        <item m="1" x="155"/>
        <item m="1" x="115"/>
        <item m="1" x="135"/>
        <item m="1" x="121"/>
        <item m="1" x="160"/>
        <item m="1" x="126"/>
        <item m="1" x="45"/>
        <item m="1" x="128"/>
        <item m="1" x="146"/>
        <item m="1" x="46"/>
        <item m="1" x="47"/>
        <item m="1" x="48"/>
        <item m="1" x="49"/>
        <item m="1" x="124"/>
        <item m="1" x="125"/>
        <item m="1" x="144"/>
        <item m="1" x="107"/>
        <item m="1" x="161"/>
        <item m="1" x="106"/>
        <item m="1" x="170"/>
        <item m="1" x="130"/>
        <item m="1" x="50"/>
        <item m="1" x="154"/>
        <item m="1" x="51"/>
        <item m="1" x="52"/>
        <item m="1" x="53"/>
        <item m="1" x="114"/>
        <item m="1" x="137"/>
        <item x="5"/>
        <item m="1" x="54"/>
        <item m="1" x="55"/>
        <item m="1" x="100"/>
        <item x="9"/>
        <item x="12"/>
        <item m="1" x="56"/>
        <item m="1" x="108"/>
        <item m="1" x="57"/>
        <item m="1" x="58"/>
        <item m="1" x="59"/>
        <item m="1" x="60"/>
        <item m="1" x="112"/>
        <item m="1" x="61"/>
        <item m="1" x="175"/>
        <item m="1" x="62"/>
        <item x="8"/>
        <item x="6"/>
        <item m="1" x="145"/>
        <item m="1" x="142"/>
        <item m="1" x="63"/>
        <item m="1" x="104"/>
        <item m="1" x="64"/>
        <item m="1" x="65"/>
        <item m="1" x="66"/>
        <item m="1" x="67"/>
        <item m="1" x="68"/>
        <item m="1" x="69"/>
        <item x="21"/>
        <item m="1" x="70"/>
        <item m="1" x="71"/>
        <item m="1" x="72"/>
        <item m="1" x="73"/>
        <item m="1" x="157"/>
        <item m="1" x="169"/>
        <item m="1" x="74"/>
        <item m="1" x="167"/>
        <item m="1" x="75"/>
        <item m="1" x="103"/>
        <item m="1" x="174"/>
        <item m="1" x="116"/>
        <item m="1" x="123"/>
        <item m="1" x="76"/>
        <item m="1" x="131"/>
        <item m="1" x="158"/>
        <item m="1" x="140"/>
        <item m="1" x="77"/>
        <item m="1" x="132"/>
        <item m="1" x="141"/>
        <item m="1" x="101"/>
        <item m="1" x="159"/>
        <item m="1" x="78"/>
        <item m="1" x="118"/>
        <item m="1" x="163"/>
        <item m="1" x="79"/>
        <item m="1" x="80"/>
        <item m="1" x="143"/>
        <item m="1" x="134"/>
        <item x="0"/>
        <item m="1" x="109"/>
        <item m="1" x="164"/>
        <item m="1" x="81"/>
        <item m="1" x="82"/>
        <item m="1" x="83"/>
        <item m="1" x="111"/>
        <item m="1" x="84"/>
        <item m="1" x="85"/>
        <item m="1" x="86"/>
        <item m="1" x="87"/>
        <item x="4"/>
        <item m="1" x="129"/>
        <item m="1" x="88"/>
        <item m="1" x="89"/>
        <item x="20"/>
        <item m="1" x="119"/>
        <item m="1" x="90"/>
        <item x="16"/>
        <item m="1" x="91"/>
        <item m="1" x="92"/>
        <item m="1" x="110"/>
        <item m="1" x="93"/>
        <item m="1" x="102"/>
        <item m="1" x="139"/>
        <item m="1" x="94"/>
        <item m="1" x="95"/>
        <item m="1" x="96"/>
        <item x="3"/>
        <item m="1" x="97"/>
        <item m="1" x="166"/>
        <item x="14"/>
        <item m="1" x="98"/>
        <item m="1" x="147"/>
        <item x="11"/>
        <item x="15"/>
        <item m="1" x="177"/>
        <item m="1" x="156"/>
        <item m="1" x="117"/>
        <item m="1" x="168"/>
        <item m="1" x="171"/>
        <item m="1" x="120"/>
        <item x="2"/>
        <item m="1" x="138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5">
    <i>
      <x/>
    </i>
    <i>
      <x v="1"/>
    </i>
    <i>
      <x v="16"/>
    </i>
    <i>
      <x v="26"/>
    </i>
    <i>
      <x v="36"/>
    </i>
    <i>
      <x v="39"/>
    </i>
    <i>
      <x v="41"/>
    </i>
    <i>
      <x v="42"/>
    </i>
    <i>
      <x v="75"/>
    </i>
    <i>
      <x v="79"/>
    </i>
    <i>
      <x v="80"/>
    </i>
    <i>
      <x v="91"/>
    </i>
    <i>
      <x v="92"/>
    </i>
    <i>
      <x v="103"/>
    </i>
    <i>
      <x v="133"/>
    </i>
    <i>
      <x v="144"/>
    </i>
    <i>
      <x v="148"/>
    </i>
    <i>
      <x v="151"/>
    </i>
    <i>
      <x v="161"/>
    </i>
    <i>
      <x v="164"/>
    </i>
    <i>
      <x v="167"/>
    </i>
    <i>
      <x v="168"/>
    </i>
    <i>
      <x v="175"/>
    </i>
    <i>
      <x v="177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Sum of PS39M" fld="17" baseField="0" baseItem="0"/>
    <dataField name="Sum of PS42M" fld="18" baseField="0" baseItem="0"/>
    <dataField name="Sum of PS43M" fld="19" baseField="0" baseItem="0"/>
    <dataField name="Sum of PS44M" fld="20" baseField="0" baseItem="0"/>
    <dataField name="Sum of PS45M" fld="21" baseField="0" baseItem="0"/>
    <dataField name="Sum of PS46M" fld="22" baseField="0" baseItem="0"/>
    <dataField name="Sum of PS47M" fld="23" baseField="0" baseItem="0"/>
    <dataField name="Sum of PS48M" fld="24" baseField="0" baseItem="0"/>
    <dataField name="Sum of PS49M" fld="25" baseField="0" baseItem="0"/>
    <dataField name="Sum of PS64M" fld="26" baseField="0" baseItem="0"/>
    <dataField name="Sum of PS24M" fld="27" baseField="0" baseItem="0"/>
    <dataField name="Sum of PS25M" fld="28" baseField="0" baseItem="0"/>
    <dataField name="Sum of PS26M" fld="29" baseField="0" baseItem="0"/>
    <dataField name="Sum of PS35M" fld="3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5A2309-92B5-4856-9D4F-F5AE6AC29D40}" name="PivotTable3" cacheId="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S3:AG28" firstHeaderRow="0" firstDataRow="1" firstDataCol="1"/>
  <pivotFields count="143">
    <pivotField axis="axisRow" showAll="0" sortType="ascending">
      <items count="179">
        <item x="23"/>
        <item x="10"/>
        <item m="1" x="24"/>
        <item m="1" x="148"/>
        <item m="1" x="149"/>
        <item m="1" x="150"/>
        <item m="1" x="133"/>
        <item m="1" x="165"/>
        <item m="1" x="25"/>
        <item m="1" x="26"/>
        <item m="1" x="27"/>
        <item m="1" x="151"/>
        <item m="1" x="122"/>
        <item m="1" x="28"/>
        <item m="1" x="173"/>
        <item m="1" x="29"/>
        <item x="7"/>
        <item m="1" x="105"/>
        <item m="1" x="30"/>
        <item m="1" x="127"/>
        <item m="1" x="31"/>
        <item m="1" x="32"/>
        <item m="1" x="33"/>
        <item m="1" x="34"/>
        <item m="1" x="113"/>
        <item m="1" x="35"/>
        <item x="1"/>
        <item m="1" x="36"/>
        <item m="1" x="153"/>
        <item m="1" x="172"/>
        <item m="1" x="37"/>
        <item m="1" x="38"/>
        <item m="1" x="39"/>
        <item m="1" x="176"/>
        <item m="1" x="40"/>
        <item m="1" x="41"/>
        <item x="18"/>
        <item m="1" x="136"/>
        <item m="1" x="152"/>
        <item x="13"/>
        <item m="1" x="42"/>
        <item x="19"/>
        <item x="17"/>
        <item m="1" x="162"/>
        <item m="1" x="43"/>
        <item m="1" x="99"/>
        <item m="1" x="44"/>
        <item m="1" x="155"/>
        <item m="1" x="115"/>
        <item m="1" x="135"/>
        <item m="1" x="121"/>
        <item m="1" x="160"/>
        <item m="1" x="126"/>
        <item m="1" x="45"/>
        <item m="1" x="128"/>
        <item m="1" x="146"/>
        <item m="1" x="46"/>
        <item m="1" x="47"/>
        <item m="1" x="48"/>
        <item m="1" x="49"/>
        <item m="1" x="124"/>
        <item m="1" x="125"/>
        <item m="1" x="144"/>
        <item m="1" x="107"/>
        <item m="1" x="161"/>
        <item m="1" x="106"/>
        <item m="1" x="170"/>
        <item m="1" x="130"/>
        <item m="1" x="50"/>
        <item m="1" x="154"/>
        <item m="1" x="51"/>
        <item m="1" x="52"/>
        <item m="1" x="53"/>
        <item m="1" x="114"/>
        <item m="1" x="137"/>
        <item x="5"/>
        <item m="1" x="54"/>
        <item m="1" x="55"/>
        <item m="1" x="100"/>
        <item x="9"/>
        <item x="12"/>
        <item m="1" x="56"/>
        <item m="1" x="108"/>
        <item m="1" x="57"/>
        <item m="1" x="58"/>
        <item m="1" x="59"/>
        <item m="1" x="60"/>
        <item m="1" x="112"/>
        <item m="1" x="61"/>
        <item m="1" x="175"/>
        <item m="1" x="62"/>
        <item x="8"/>
        <item x="6"/>
        <item m="1" x="145"/>
        <item m="1" x="142"/>
        <item m="1" x="63"/>
        <item m="1" x="104"/>
        <item m="1" x="64"/>
        <item m="1" x="65"/>
        <item m="1" x="66"/>
        <item m="1" x="67"/>
        <item m="1" x="68"/>
        <item m="1" x="69"/>
        <item x="21"/>
        <item m="1" x="70"/>
        <item m="1" x="71"/>
        <item m="1" x="72"/>
        <item m="1" x="73"/>
        <item m="1" x="157"/>
        <item m="1" x="169"/>
        <item m="1" x="74"/>
        <item m="1" x="167"/>
        <item m="1" x="75"/>
        <item m="1" x="103"/>
        <item m="1" x="174"/>
        <item m="1" x="116"/>
        <item m="1" x="123"/>
        <item m="1" x="76"/>
        <item m="1" x="131"/>
        <item m="1" x="158"/>
        <item m="1" x="140"/>
        <item m="1" x="77"/>
        <item m="1" x="132"/>
        <item m="1" x="141"/>
        <item m="1" x="101"/>
        <item m="1" x="159"/>
        <item m="1" x="78"/>
        <item m="1" x="118"/>
        <item m="1" x="163"/>
        <item m="1" x="79"/>
        <item m="1" x="80"/>
        <item m="1" x="143"/>
        <item m="1" x="134"/>
        <item x="0"/>
        <item m="1" x="109"/>
        <item m="1" x="164"/>
        <item m="1" x="81"/>
        <item m="1" x="82"/>
        <item m="1" x="83"/>
        <item m="1" x="111"/>
        <item m="1" x="84"/>
        <item m="1" x="85"/>
        <item m="1" x="86"/>
        <item m="1" x="87"/>
        <item x="4"/>
        <item m="1" x="129"/>
        <item m="1" x="88"/>
        <item m="1" x="89"/>
        <item x="20"/>
        <item m="1" x="119"/>
        <item m="1" x="90"/>
        <item x="16"/>
        <item m="1" x="91"/>
        <item m="1" x="92"/>
        <item m="1" x="110"/>
        <item m="1" x="93"/>
        <item m="1" x="102"/>
        <item m="1" x="139"/>
        <item m="1" x="94"/>
        <item m="1" x="95"/>
        <item m="1" x="96"/>
        <item x="3"/>
        <item m="1" x="97"/>
        <item m="1" x="166"/>
        <item x="14"/>
        <item m="1" x="98"/>
        <item m="1" x="147"/>
        <item x="11"/>
        <item x="15"/>
        <item m="1" x="177"/>
        <item m="1" x="156"/>
        <item m="1" x="117"/>
        <item m="1" x="168"/>
        <item m="1" x="171"/>
        <item m="1" x="120"/>
        <item x="2"/>
        <item m="1" x="138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5">
    <i>
      <x/>
    </i>
    <i>
      <x v="1"/>
    </i>
    <i>
      <x v="16"/>
    </i>
    <i>
      <x v="26"/>
    </i>
    <i>
      <x v="36"/>
    </i>
    <i>
      <x v="39"/>
    </i>
    <i>
      <x v="41"/>
    </i>
    <i>
      <x v="42"/>
    </i>
    <i>
      <x v="75"/>
    </i>
    <i>
      <x v="79"/>
    </i>
    <i>
      <x v="80"/>
    </i>
    <i>
      <x v="91"/>
    </i>
    <i>
      <x v="92"/>
    </i>
    <i>
      <x v="103"/>
    </i>
    <i>
      <x v="133"/>
    </i>
    <i>
      <x v="144"/>
    </i>
    <i>
      <x v="148"/>
    </i>
    <i>
      <x v="151"/>
    </i>
    <i>
      <x v="161"/>
    </i>
    <i>
      <x v="164"/>
    </i>
    <i>
      <x v="167"/>
    </i>
    <i>
      <x v="168"/>
    </i>
    <i>
      <x v="175"/>
    </i>
    <i>
      <x v="177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Sum of PS39M97" fld="73" baseField="0" baseItem="0"/>
    <dataField name="Sum of PS42M97" fld="74" baseField="0" baseItem="0"/>
    <dataField name="Sum of PS43M97" fld="75" baseField="0" baseItem="0"/>
    <dataField name="Sum of PS44M97" fld="76" baseField="0" baseItem="0"/>
    <dataField name="Sum of PS45M97" fld="77" baseField="0" baseItem="0"/>
    <dataField name="Sum of PS46M97" fld="78" baseField="0" baseItem="0"/>
    <dataField name="Sum of PS47M97" fld="79" baseField="0" baseItem="0"/>
    <dataField name="Sum of PS48M97" fld="80" baseField="0" baseItem="0"/>
    <dataField name="Sum of PS49M97" fld="81" baseField="0" baseItem="0"/>
    <dataField name="Sum of PS64M97" fld="82" baseField="0" baseItem="0"/>
    <dataField name="Sum of PS24M97" fld="83" baseField="0" baseItem="0"/>
    <dataField name="Sum of PS25M97" fld="84" baseField="0" baseItem="0"/>
    <dataField name="Sum of PS26M97" fld="85" baseField="0" baseItem="0"/>
    <dataField name="Sum of PS35M97" fld="8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0458EC-E341-4C1D-ABBC-D2B8B388CD9E}" name="PivotTable2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R4:AS50" firstHeaderRow="1" firstDataRow="1" firstDataCol="1" rowPageCount="2" colPageCount="1"/>
  <pivotFields count="15">
    <pivotField axis="axisPage" showAll="0">
      <items count="311">
        <item x="65"/>
        <item x="136"/>
        <item x="147"/>
        <item x="199"/>
        <item x="211"/>
        <item x="4"/>
        <item x="96"/>
        <item x="112"/>
        <item x="31"/>
        <item x="93"/>
        <item x="266"/>
        <item x="186"/>
        <item x="268"/>
        <item x="111"/>
        <item x="162"/>
        <item x="41"/>
        <item x="81"/>
        <item x="197"/>
        <item x="30"/>
        <item x="21"/>
        <item x="15"/>
        <item x="14"/>
        <item x="36"/>
        <item x="116"/>
        <item x="125"/>
        <item x="114"/>
        <item x="227"/>
        <item x="144"/>
        <item x="142"/>
        <item x="229"/>
        <item x="239"/>
        <item x="190"/>
        <item x="83"/>
        <item x="3"/>
        <item x="123"/>
        <item x="183"/>
        <item x="278"/>
        <item x="261"/>
        <item x="282"/>
        <item x="246"/>
        <item x="263"/>
        <item x="242"/>
        <item x="196"/>
        <item x="201"/>
        <item x="73"/>
        <item x="78"/>
        <item x="19"/>
        <item x="47"/>
        <item x="174"/>
        <item x="118"/>
        <item x="218"/>
        <item x="151"/>
        <item x="33"/>
        <item x="233"/>
        <item x="181"/>
        <item x="230"/>
        <item x="290"/>
        <item x="43"/>
        <item x="119"/>
        <item x="187"/>
        <item x="210"/>
        <item x="121"/>
        <item x="70"/>
        <item x="283"/>
        <item x="12"/>
        <item x="87"/>
        <item x="62"/>
        <item x="133"/>
        <item x="207"/>
        <item x="29"/>
        <item x="245"/>
        <item x="86"/>
        <item x="267"/>
        <item x="189"/>
        <item x="8"/>
        <item x="185"/>
        <item x="228"/>
        <item x="280"/>
        <item x="127"/>
        <item x="130"/>
        <item x="64"/>
        <item x="293"/>
        <item x="297"/>
        <item x="219"/>
        <item x="27"/>
        <item x="255"/>
        <item x="150"/>
        <item x="296"/>
        <item x="89"/>
        <item x="25"/>
        <item x="158"/>
        <item x="66"/>
        <item x="191"/>
        <item x="107"/>
        <item x="108"/>
        <item x="49"/>
        <item x="213"/>
        <item x="99"/>
        <item x="37"/>
        <item x="46"/>
        <item x="39"/>
        <item x="5"/>
        <item x="102"/>
        <item x="249"/>
        <item x="7"/>
        <item x="122"/>
        <item x="128"/>
        <item x="26"/>
        <item x="200"/>
        <item x="275"/>
        <item x="13"/>
        <item x="72"/>
        <item x="208"/>
        <item x="101"/>
        <item x="216"/>
        <item x="231"/>
        <item x="1"/>
        <item x="34"/>
        <item x="243"/>
        <item x="194"/>
        <item x="236"/>
        <item x="274"/>
        <item x="269"/>
        <item x="292"/>
        <item x="11"/>
        <item x="155"/>
        <item x="247"/>
        <item x="212"/>
        <item x="68"/>
        <item x="226"/>
        <item x="225"/>
        <item x="88"/>
        <item x="270"/>
        <item x="164"/>
        <item x="205"/>
        <item x="214"/>
        <item x="69"/>
        <item x="135"/>
        <item x="61"/>
        <item x="134"/>
        <item x="301"/>
        <item x="272"/>
        <item x="204"/>
        <item x="202"/>
        <item x="105"/>
        <item x="209"/>
        <item x="288"/>
        <item x="132"/>
        <item x="171"/>
        <item x="159"/>
        <item x="173"/>
        <item x="224"/>
        <item x="271"/>
        <item x="67"/>
        <item x="52"/>
        <item x="113"/>
        <item x="157"/>
        <item x="251"/>
        <item x="103"/>
        <item x="77"/>
        <item x="286"/>
        <item x="76"/>
        <item x="168"/>
        <item x="75"/>
        <item x="148"/>
        <item x="161"/>
        <item x="253"/>
        <item x="160"/>
        <item x="140"/>
        <item x="193"/>
        <item x="222"/>
        <item x="48"/>
        <item x="40"/>
        <item x="166"/>
        <item x="182"/>
        <item x="0"/>
        <item x="279"/>
        <item x="51"/>
        <item x="163"/>
        <item x="141"/>
        <item x="184"/>
        <item x="156"/>
        <item x="54"/>
        <item x="18"/>
        <item x="84"/>
        <item x="265"/>
        <item m="1" x="306"/>
        <item x="9"/>
        <item x="277"/>
        <item x="177"/>
        <item x="82"/>
        <item x="23"/>
        <item x="22"/>
        <item x="56"/>
        <item x="254"/>
        <item x="169"/>
        <item x="146"/>
        <item x="91"/>
        <item x="50"/>
        <item x="10"/>
        <item x="32"/>
        <item x="2"/>
        <item x="234"/>
        <item x="95"/>
        <item x="256"/>
        <item x="284"/>
        <item x="60"/>
        <item x="195"/>
        <item x="85"/>
        <item x="198"/>
        <item x="291"/>
        <item x="175"/>
        <item x="20"/>
        <item x="154"/>
        <item x="100"/>
        <item x="203"/>
        <item x="92"/>
        <item x="215"/>
        <item x="98"/>
        <item x="59"/>
        <item x="170"/>
        <item x="115"/>
        <item x="79"/>
        <item x="152"/>
        <item x="235"/>
        <item x="221"/>
        <item x="145"/>
        <item x="285"/>
        <item x="220"/>
        <item x="176"/>
        <item x="206"/>
        <item x="217"/>
        <item x="244"/>
        <item x="180"/>
        <item x="294"/>
        <item x="117"/>
        <item x="178"/>
        <item x="71"/>
        <item x="97"/>
        <item x="257"/>
        <item x="120"/>
        <item x="139"/>
        <item x="165"/>
        <item x="295"/>
        <item x="35"/>
        <item x="126"/>
        <item x="94"/>
        <item x="252"/>
        <item x="287"/>
        <item x="179"/>
        <item x="241"/>
        <item x="24"/>
        <item x="90"/>
        <item x="258"/>
        <item x="259"/>
        <item x="55"/>
        <item x="260"/>
        <item x="299"/>
        <item x="57"/>
        <item x="28"/>
        <item x="45"/>
        <item x="240"/>
        <item x="16"/>
        <item x="232"/>
        <item x="300"/>
        <item x="273"/>
        <item x="143"/>
        <item x="188"/>
        <item x="131"/>
        <item x="109"/>
        <item x="149"/>
        <item x="172"/>
        <item x="63"/>
        <item x="137"/>
        <item x="74"/>
        <item x="124"/>
        <item x="38"/>
        <item x="289"/>
        <item x="250"/>
        <item x="298"/>
        <item x="304"/>
        <item x="110"/>
        <item x="6"/>
        <item x="106"/>
        <item x="192"/>
        <item x="104"/>
        <item m="1" x="308"/>
        <item x="44"/>
        <item x="276"/>
        <item x="167"/>
        <item x="281"/>
        <item x="138"/>
        <item x="129"/>
        <item m="1" x="305"/>
        <item x="80"/>
        <item x="153"/>
        <item m="1" x="309"/>
        <item x="264"/>
        <item x="302"/>
        <item x="303"/>
        <item x="248"/>
        <item x="238"/>
        <item x="17"/>
        <item m="1" x="307"/>
        <item x="58"/>
        <item x="223"/>
        <item x="237"/>
        <item x="53"/>
        <item x="42"/>
        <item x="262"/>
        <item t="default"/>
      </items>
    </pivotField>
    <pivotField showAll="0"/>
    <pivotField showAll="0"/>
    <pivotField axis="axisRow" showAll="0">
      <items count="5">
        <item x="0"/>
        <item x="2"/>
        <item x="1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142">
        <item x="95"/>
        <item x="56"/>
        <item x="0"/>
        <item x="86"/>
        <item x="57"/>
        <item x="1"/>
        <item x="96"/>
        <item x="58"/>
        <item x="2"/>
        <item x="67"/>
        <item x="71"/>
        <item x="3"/>
        <item x="4"/>
        <item x="53"/>
        <item x="5"/>
        <item x="82"/>
        <item x="72"/>
        <item x="6"/>
        <item x="7"/>
        <item x="8"/>
        <item x="29"/>
        <item x="9"/>
        <item x="10"/>
        <item x="11"/>
        <item x="14"/>
        <item x="83"/>
        <item x="88"/>
        <item x="76"/>
        <item x="15"/>
        <item x="77"/>
        <item x="16"/>
        <item x="75"/>
        <item x="17"/>
        <item x="18"/>
        <item x="69"/>
        <item x="19"/>
        <item x="73"/>
        <item x="31"/>
        <item x="74"/>
        <item x="41"/>
        <item x="42"/>
        <item x="43"/>
        <item x="44"/>
        <item x="45"/>
        <item x="46"/>
        <item x="20"/>
        <item x="47"/>
        <item x="21"/>
        <item x="51"/>
        <item x="28"/>
        <item x="52"/>
        <item x="22"/>
        <item x="48"/>
        <item x="23"/>
        <item x="65"/>
        <item x="24"/>
        <item x="49"/>
        <item x="32"/>
        <item x="27"/>
        <item x="61"/>
        <item x="25"/>
        <item x="33"/>
        <item x="34"/>
        <item x="35"/>
        <item x="90"/>
        <item x="36"/>
        <item x="91"/>
        <item x="37"/>
        <item x="92"/>
        <item x="26"/>
        <item x="79"/>
        <item x="55"/>
        <item x="68"/>
        <item x="50"/>
        <item x="38"/>
        <item x="39"/>
        <item x="59"/>
        <item x="80"/>
        <item x="60"/>
        <item x="81"/>
        <item x="140"/>
        <item x="70"/>
        <item x="63"/>
        <item x="13"/>
        <item x="54"/>
        <item x="12"/>
        <item x="87"/>
        <item x="62"/>
        <item x="84"/>
        <item x="40"/>
        <item x="103"/>
        <item x="109"/>
        <item x="112"/>
        <item x="116"/>
        <item x="119"/>
        <item x="122"/>
        <item x="126"/>
        <item x="129"/>
        <item x="133"/>
        <item x="137"/>
        <item x="98"/>
        <item x="30"/>
        <item x="101"/>
        <item x="106"/>
        <item x="115"/>
        <item x="64"/>
        <item x="93"/>
        <item x="125"/>
        <item x="85"/>
        <item x="132"/>
        <item x="136"/>
        <item x="94"/>
        <item x="97"/>
        <item x="66"/>
        <item x="78"/>
        <item x="107"/>
        <item x="89"/>
        <item x="104"/>
        <item x="110"/>
        <item x="113"/>
        <item x="117"/>
        <item x="120"/>
        <item x="123"/>
        <item x="127"/>
        <item x="130"/>
        <item x="134"/>
        <item x="138"/>
        <item x="99"/>
        <item x="102"/>
        <item x="108"/>
        <item x="105"/>
        <item x="111"/>
        <item x="114"/>
        <item x="118"/>
        <item x="121"/>
        <item x="124"/>
        <item x="128"/>
        <item x="131"/>
        <item x="135"/>
        <item x="139"/>
        <item x="10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Page" multipleItemSelectionAllowed="1" showAll="0">
      <items count="8">
        <item x="1"/>
        <item h="1" x="2"/>
        <item h="1" x="6"/>
        <item h="1" x="0"/>
        <item h="1" x="3"/>
        <item h="1" x="4"/>
        <item h="1" x="5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</pivotFields>
  <rowFields count="2">
    <field x="3"/>
    <field x="4"/>
  </rowFields>
  <rowItems count="46">
    <i>
      <x/>
    </i>
    <i r="1">
      <x/>
    </i>
    <i r="1">
      <x v="9"/>
    </i>
    <i r="1">
      <x v="18"/>
    </i>
    <i r="1">
      <x v="24"/>
    </i>
    <i r="1">
      <x v="27"/>
    </i>
    <i r="1">
      <x v="33"/>
    </i>
    <i r="1">
      <x v="39"/>
    </i>
    <i r="1">
      <x v="45"/>
    </i>
    <i r="1">
      <x v="51"/>
    </i>
    <i r="1">
      <x v="57"/>
    </i>
    <i r="1">
      <x v="63"/>
    </i>
    <i r="1">
      <x v="69"/>
    </i>
    <i r="1">
      <x v="74"/>
    </i>
    <i r="1">
      <x v="102"/>
    </i>
    <i>
      <x v="1"/>
    </i>
    <i r="1">
      <x v="6"/>
    </i>
    <i r="1">
      <x v="15"/>
    </i>
    <i r="1">
      <x v="22"/>
    </i>
    <i r="1">
      <x v="26"/>
    </i>
    <i r="1">
      <x v="31"/>
    </i>
    <i r="1">
      <x v="37"/>
    </i>
    <i r="1">
      <x v="43"/>
    </i>
    <i r="1">
      <x v="49"/>
    </i>
    <i r="1">
      <x v="55"/>
    </i>
    <i r="1">
      <x v="61"/>
    </i>
    <i r="1">
      <x v="67"/>
    </i>
    <i r="1">
      <x v="73"/>
    </i>
    <i r="1">
      <x v="78"/>
    </i>
    <i r="1">
      <x v="128"/>
    </i>
    <i>
      <x v="2"/>
    </i>
    <i r="1">
      <x v="3"/>
    </i>
    <i r="1">
      <x v="12"/>
    </i>
    <i r="1">
      <x v="20"/>
    </i>
    <i r="1">
      <x v="25"/>
    </i>
    <i r="1">
      <x v="29"/>
    </i>
    <i r="1">
      <x v="35"/>
    </i>
    <i r="1">
      <x v="41"/>
    </i>
    <i r="1">
      <x v="47"/>
    </i>
    <i r="1">
      <x v="53"/>
    </i>
    <i r="1">
      <x v="59"/>
    </i>
    <i r="1">
      <x v="65"/>
    </i>
    <i r="1">
      <x v="71"/>
    </i>
    <i r="1">
      <x v="76"/>
    </i>
    <i r="1">
      <x v="86"/>
    </i>
    <i t="grand">
      <x/>
    </i>
  </rowItems>
  <colItems count="1">
    <i/>
  </colItems>
  <pageFields count="2">
    <pageField fld="0" hier="-1"/>
    <pageField fld="6" hier="-1"/>
  </pageFields>
  <dataFields count="1">
    <dataField name="Sum of Calculated 21 Units" fld="13" baseField="5" baseItem="16" numFmtId="170"/>
  </dataFields>
  <formats count="1">
    <format dxfId="1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DC01AF-4085-4C28-AB24-0E4E769ACF2C}" name="PivotTable3" cacheId="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S3:AG28" firstHeaderRow="0" firstDataRow="1" firstDataCol="1"/>
  <pivotFields count="143">
    <pivotField axis="axisRow" showAll="0" sortType="ascending">
      <items count="179">
        <item x="23"/>
        <item x="10"/>
        <item m="1" x="24"/>
        <item m="1" x="148"/>
        <item m="1" x="149"/>
        <item m="1" x="150"/>
        <item m="1" x="133"/>
        <item m="1" x="165"/>
        <item m="1" x="25"/>
        <item m="1" x="26"/>
        <item m="1" x="27"/>
        <item m="1" x="151"/>
        <item m="1" x="122"/>
        <item m="1" x="28"/>
        <item m="1" x="173"/>
        <item m="1" x="29"/>
        <item x="7"/>
        <item m="1" x="105"/>
        <item m="1" x="30"/>
        <item m="1" x="127"/>
        <item m="1" x="31"/>
        <item m="1" x="32"/>
        <item m="1" x="33"/>
        <item m="1" x="34"/>
        <item m="1" x="113"/>
        <item m="1" x="35"/>
        <item x="1"/>
        <item m="1" x="36"/>
        <item m="1" x="153"/>
        <item m="1" x="172"/>
        <item m="1" x="37"/>
        <item m="1" x="38"/>
        <item m="1" x="39"/>
        <item m="1" x="176"/>
        <item m="1" x="40"/>
        <item m="1" x="41"/>
        <item x="18"/>
        <item m="1" x="136"/>
        <item m="1" x="152"/>
        <item x="13"/>
        <item m="1" x="42"/>
        <item x="19"/>
        <item x="17"/>
        <item m="1" x="162"/>
        <item m="1" x="43"/>
        <item m="1" x="99"/>
        <item m="1" x="44"/>
        <item m="1" x="155"/>
        <item m="1" x="115"/>
        <item m="1" x="135"/>
        <item m="1" x="121"/>
        <item m="1" x="160"/>
        <item m="1" x="126"/>
        <item m="1" x="45"/>
        <item m="1" x="128"/>
        <item m="1" x="146"/>
        <item m="1" x="46"/>
        <item m="1" x="47"/>
        <item m="1" x="48"/>
        <item m="1" x="49"/>
        <item m="1" x="124"/>
        <item m="1" x="125"/>
        <item m="1" x="144"/>
        <item m="1" x="107"/>
        <item m="1" x="161"/>
        <item m="1" x="106"/>
        <item m="1" x="170"/>
        <item m="1" x="130"/>
        <item m="1" x="50"/>
        <item m="1" x="154"/>
        <item m="1" x="51"/>
        <item m="1" x="52"/>
        <item m="1" x="53"/>
        <item m="1" x="114"/>
        <item m="1" x="137"/>
        <item x="5"/>
        <item m="1" x="54"/>
        <item m="1" x="55"/>
        <item m="1" x="100"/>
        <item x="9"/>
        <item x="12"/>
        <item m="1" x="56"/>
        <item m="1" x="108"/>
        <item m="1" x="57"/>
        <item m="1" x="58"/>
        <item m="1" x="59"/>
        <item m="1" x="60"/>
        <item m="1" x="112"/>
        <item m="1" x="61"/>
        <item m="1" x="175"/>
        <item m="1" x="62"/>
        <item x="8"/>
        <item x="6"/>
        <item m="1" x="145"/>
        <item m="1" x="142"/>
        <item m="1" x="63"/>
        <item m="1" x="104"/>
        <item m="1" x="64"/>
        <item m="1" x="65"/>
        <item m="1" x="66"/>
        <item m="1" x="67"/>
        <item m="1" x="68"/>
        <item m="1" x="69"/>
        <item x="21"/>
        <item m="1" x="70"/>
        <item m="1" x="71"/>
        <item m="1" x="72"/>
        <item m="1" x="73"/>
        <item m="1" x="157"/>
        <item m="1" x="169"/>
        <item m="1" x="74"/>
        <item m="1" x="167"/>
        <item m="1" x="75"/>
        <item m="1" x="103"/>
        <item m="1" x="174"/>
        <item m="1" x="116"/>
        <item m="1" x="123"/>
        <item m="1" x="76"/>
        <item m="1" x="131"/>
        <item m="1" x="158"/>
        <item m="1" x="140"/>
        <item m="1" x="77"/>
        <item m="1" x="132"/>
        <item m="1" x="141"/>
        <item m="1" x="101"/>
        <item m="1" x="159"/>
        <item m="1" x="78"/>
        <item m="1" x="118"/>
        <item m="1" x="163"/>
        <item m="1" x="79"/>
        <item m="1" x="80"/>
        <item m="1" x="143"/>
        <item m="1" x="134"/>
        <item x="0"/>
        <item m="1" x="109"/>
        <item m="1" x="164"/>
        <item m="1" x="81"/>
        <item m="1" x="82"/>
        <item m="1" x="83"/>
        <item m="1" x="111"/>
        <item m="1" x="84"/>
        <item m="1" x="85"/>
        <item m="1" x="86"/>
        <item m="1" x="87"/>
        <item x="4"/>
        <item m="1" x="129"/>
        <item m="1" x="88"/>
        <item m="1" x="89"/>
        <item x="20"/>
        <item m="1" x="119"/>
        <item m="1" x="90"/>
        <item x="16"/>
        <item m="1" x="91"/>
        <item m="1" x="92"/>
        <item m="1" x="110"/>
        <item m="1" x="93"/>
        <item m="1" x="102"/>
        <item m="1" x="139"/>
        <item m="1" x="94"/>
        <item m="1" x="95"/>
        <item m="1" x="96"/>
        <item x="3"/>
        <item m="1" x="97"/>
        <item m="1" x="166"/>
        <item x="14"/>
        <item m="1" x="98"/>
        <item m="1" x="147"/>
        <item x="11"/>
        <item x="15"/>
        <item m="1" x="177"/>
        <item m="1" x="156"/>
        <item m="1" x="117"/>
        <item m="1" x="168"/>
        <item m="1" x="171"/>
        <item m="1" x="120"/>
        <item x="2"/>
        <item m="1" x="138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5">
    <i>
      <x/>
    </i>
    <i>
      <x v="1"/>
    </i>
    <i>
      <x v="16"/>
    </i>
    <i>
      <x v="26"/>
    </i>
    <i>
      <x v="36"/>
    </i>
    <i>
      <x v="39"/>
    </i>
    <i>
      <x v="41"/>
    </i>
    <i>
      <x v="42"/>
    </i>
    <i>
      <x v="75"/>
    </i>
    <i>
      <x v="79"/>
    </i>
    <i>
      <x v="80"/>
    </i>
    <i>
      <x v="91"/>
    </i>
    <i>
      <x v="92"/>
    </i>
    <i>
      <x v="103"/>
    </i>
    <i>
      <x v="133"/>
    </i>
    <i>
      <x v="144"/>
    </i>
    <i>
      <x v="148"/>
    </i>
    <i>
      <x v="151"/>
    </i>
    <i>
      <x v="161"/>
    </i>
    <i>
      <x v="164"/>
    </i>
    <i>
      <x v="167"/>
    </i>
    <i>
      <x v="168"/>
    </i>
    <i>
      <x v="175"/>
    </i>
    <i>
      <x v="177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Sum of PS39H97" fld="87" baseField="0" baseItem="0"/>
    <dataField name="Sum of PS42H97" fld="88" baseField="0" baseItem="0"/>
    <dataField name="Sum of PS43H97" fld="89" baseField="0" baseItem="0"/>
    <dataField name="Sum of PS44H97" fld="90" baseField="0" baseItem="0"/>
    <dataField name="Sum of PS45H97" fld="91" baseField="0" baseItem="0"/>
    <dataField name="Sum of PS46H97" fld="92" baseField="0" baseItem="0"/>
    <dataField name="Sum of PS47H97" fld="93" baseField="0" baseItem="0"/>
    <dataField name="Sum of PS48H97" fld="94" baseField="0" baseItem="0"/>
    <dataField name="Sum of PS49H97" fld="95" baseField="0" baseItem="0"/>
    <dataField name="Sum of PS64H97" fld="96" baseField="0" baseItem="0"/>
    <dataField name="Sum of PS24H97" fld="97" baseField="0" baseItem="0"/>
    <dataField name="Sum of PS25H97" fld="98" baseField="0" baseItem="0"/>
    <dataField name="Sum of PS26H97" fld="99" baseField="0" baseItem="0"/>
    <dataField name="Sum of PS35H97" fld="10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2CE612-A131-4EB8-92DB-B55EBA915068}" name="PivotTable1" cacheId="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O28" firstHeaderRow="0" firstDataRow="1" firstDataCol="1"/>
  <pivotFields count="143">
    <pivotField axis="axisRow" showAll="0" sortType="ascending">
      <items count="179">
        <item x="23"/>
        <item x="10"/>
        <item m="1" x="24"/>
        <item m="1" x="148"/>
        <item m="1" x="149"/>
        <item m="1" x="150"/>
        <item m="1" x="133"/>
        <item m="1" x="165"/>
        <item m="1" x="25"/>
        <item m="1" x="26"/>
        <item m="1" x="27"/>
        <item m="1" x="151"/>
        <item m="1" x="122"/>
        <item m="1" x="28"/>
        <item m="1" x="173"/>
        <item m="1" x="29"/>
        <item x="7"/>
        <item m="1" x="105"/>
        <item m="1" x="30"/>
        <item m="1" x="127"/>
        <item m="1" x="31"/>
        <item m="1" x="32"/>
        <item m="1" x="33"/>
        <item m="1" x="34"/>
        <item m="1" x="113"/>
        <item m="1" x="35"/>
        <item x="1"/>
        <item m="1" x="36"/>
        <item m="1" x="153"/>
        <item m="1" x="172"/>
        <item m="1" x="37"/>
        <item m="1" x="38"/>
        <item m="1" x="39"/>
        <item m="1" x="176"/>
        <item m="1" x="40"/>
        <item m="1" x="41"/>
        <item x="18"/>
        <item m="1" x="136"/>
        <item m="1" x="152"/>
        <item x="13"/>
        <item m="1" x="42"/>
        <item x="19"/>
        <item x="17"/>
        <item m="1" x="162"/>
        <item m="1" x="43"/>
        <item m="1" x="99"/>
        <item m="1" x="44"/>
        <item m="1" x="155"/>
        <item m="1" x="115"/>
        <item m="1" x="135"/>
        <item m="1" x="121"/>
        <item m="1" x="160"/>
        <item m="1" x="126"/>
        <item m="1" x="45"/>
        <item m="1" x="128"/>
        <item m="1" x="146"/>
        <item m="1" x="46"/>
        <item m="1" x="47"/>
        <item m="1" x="48"/>
        <item m="1" x="49"/>
        <item m="1" x="124"/>
        <item m="1" x="125"/>
        <item m="1" x="144"/>
        <item m="1" x="107"/>
        <item m="1" x="161"/>
        <item m="1" x="106"/>
        <item m="1" x="170"/>
        <item m="1" x="130"/>
        <item m="1" x="50"/>
        <item m="1" x="154"/>
        <item m="1" x="51"/>
        <item m="1" x="52"/>
        <item m="1" x="53"/>
        <item m="1" x="114"/>
        <item m="1" x="137"/>
        <item x="5"/>
        <item m="1" x="54"/>
        <item m="1" x="55"/>
        <item m="1" x="100"/>
        <item x="9"/>
        <item x="12"/>
        <item m="1" x="56"/>
        <item m="1" x="108"/>
        <item m="1" x="57"/>
        <item m="1" x="58"/>
        <item m="1" x="59"/>
        <item m="1" x="60"/>
        <item m="1" x="112"/>
        <item m="1" x="61"/>
        <item m="1" x="175"/>
        <item m="1" x="62"/>
        <item x="8"/>
        <item x="6"/>
        <item m="1" x="145"/>
        <item m="1" x="142"/>
        <item m="1" x="63"/>
        <item m="1" x="104"/>
        <item m="1" x="64"/>
        <item m="1" x="65"/>
        <item m="1" x="66"/>
        <item m="1" x="67"/>
        <item m="1" x="68"/>
        <item m="1" x="69"/>
        <item x="21"/>
        <item m="1" x="70"/>
        <item m="1" x="71"/>
        <item m="1" x="72"/>
        <item m="1" x="73"/>
        <item m="1" x="157"/>
        <item m="1" x="169"/>
        <item m="1" x="74"/>
        <item m="1" x="167"/>
        <item m="1" x="75"/>
        <item m="1" x="103"/>
        <item m="1" x="174"/>
        <item m="1" x="116"/>
        <item m="1" x="123"/>
        <item m="1" x="76"/>
        <item m="1" x="131"/>
        <item m="1" x="158"/>
        <item m="1" x="140"/>
        <item m="1" x="77"/>
        <item m="1" x="132"/>
        <item m="1" x="141"/>
        <item m="1" x="101"/>
        <item m="1" x="159"/>
        <item m="1" x="78"/>
        <item m="1" x="118"/>
        <item m="1" x="163"/>
        <item m="1" x="79"/>
        <item m="1" x="80"/>
        <item m="1" x="143"/>
        <item m="1" x="134"/>
        <item x="0"/>
        <item m="1" x="109"/>
        <item m="1" x="164"/>
        <item m="1" x="81"/>
        <item m="1" x="82"/>
        <item m="1" x="83"/>
        <item m="1" x="111"/>
        <item m="1" x="84"/>
        <item m="1" x="85"/>
        <item m="1" x="86"/>
        <item m="1" x="87"/>
        <item x="4"/>
        <item m="1" x="129"/>
        <item m="1" x="88"/>
        <item m="1" x="89"/>
        <item x="20"/>
        <item m="1" x="119"/>
        <item m="1" x="90"/>
        <item x="16"/>
        <item m="1" x="91"/>
        <item m="1" x="92"/>
        <item m="1" x="110"/>
        <item m="1" x="93"/>
        <item m="1" x="102"/>
        <item m="1" x="139"/>
        <item m="1" x="94"/>
        <item m="1" x="95"/>
        <item m="1" x="96"/>
        <item x="3"/>
        <item m="1" x="97"/>
        <item m="1" x="166"/>
        <item x="14"/>
        <item m="1" x="98"/>
        <item m="1" x="147"/>
        <item x="11"/>
        <item x="15"/>
        <item m="1" x="177"/>
        <item m="1" x="156"/>
        <item m="1" x="117"/>
        <item m="1" x="168"/>
        <item m="1" x="171"/>
        <item m="1" x="120"/>
        <item x="2"/>
        <item m="1" x="138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5">
    <i>
      <x/>
    </i>
    <i>
      <x v="1"/>
    </i>
    <i>
      <x v="16"/>
    </i>
    <i>
      <x v="26"/>
    </i>
    <i>
      <x v="36"/>
    </i>
    <i>
      <x v="39"/>
    </i>
    <i>
      <x v="41"/>
    </i>
    <i>
      <x v="42"/>
    </i>
    <i>
      <x v="75"/>
    </i>
    <i>
      <x v="79"/>
    </i>
    <i>
      <x v="80"/>
    </i>
    <i>
      <x v="91"/>
    </i>
    <i>
      <x v="92"/>
    </i>
    <i>
      <x v="103"/>
    </i>
    <i>
      <x v="133"/>
    </i>
    <i>
      <x v="144"/>
    </i>
    <i>
      <x v="148"/>
    </i>
    <i>
      <x v="151"/>
    </i>
    <i>
      <x v="161"/>
    </i>
    <i>
      <x v="164"/>
    </i>
    <i>
      <x v="167"/>
    </i>
    <i>
      <x v="168"/>
    </i>
    <i>
      <x v="175"/>
    </i>
    <i>
      <x v="177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Sum of PS39H" fld="31" baseField="0" baseItem="0"/>
    <dataField name="Sum of PS42H" fld="32" baseField="0" baseItem="0"/>
    <dataField name="Sum of PS43H" fld="33" baseField="0" baseItem="0"/>
    <dataField name="Sum of PS44H" fld="34" baseField="0" baseItem="0"/>
    <dataField name="Sum of PS45H" fld="35" baseField="0" baseItem="0"/>
    <dataField name="Sum of PS46H" fld="36" baseField="0" baseItem="0"/>
    <dataField name="Sum of PS47H" fld="37" baseField="0" baseItem="0"/>
    <dataField name="Sum of PS48H" fld="38" baseField="0" baseItem="0"/>
    <dataField name="Sum of PS49H" fld="39" baseField="0" baseItem="0"/>
    <dataField name="Sum of PS64H" fld="40" baseField="0" baseItem="0"/>
    <dataField name="Sum of PS24H" fld="41" baseField="0" baseItem="0"/>
    <dataField name="Sum of PS25H" fld="42" baseField="0" baseItem="0"/>
    <dataField name="Sum of PS26H" fld="43" baseField="0" baseItem="0"/>
    <dataField name="Sum of PS35H" fld="4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4B0B4D-C3CF-4648-8DAD-B38FB838C97D}" name="PivotTable4" cacheId="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K3:AY28" firstHeaderRow="0" firstDataRow="1" firstDataCol="1"/>
  <pivotFields count="143">
    <pivotField axis="axisRow" showAll="0" sortType="ascending">
      <items count="179">
        <item x="23"/>
        <item x="10"/>
        <item m="1" x="24"/>
        <item m="1" x="148"/>
        <item m="1" x="149"/>
        <item m="1" x="150"/>
        <item m="1" x="133"/>
        <item m="1" x="165"/>
        <item m="1" x="25"/>
        <item m="1" x="26"/>
        <item m="1" x="27"/>
        <item m="1" x="151"/>
        <item m="1" x="122"/>
        <item m="1" x="28"/>
        <item m="1" x="173"/>
        <item m="1" x="29"/>
        <item x="7"/>
        <item m="1" x="105"/>
        <item m="1" x="30"/>
        <item m="1" x="127"/>
        <item m="1" x="31"/>
        <item m="1" x="32"/>
        <item m="1" x="33"/>
        <item m="1" x="34"/>
        <item m="1" x="113"/>
        <item m="1" x="35"/>
        <item x="1"/>
        <item m="1" x="36"/>
        <item m="1" x="153"/>
        <item m="1" x="172"/>
        <item m="1" x="37"/>
        <item m="1" x="38"/>
        <item m="1" x="39"/>
        <item m="1" x="176"/>
        <item m="1" x="40"/>
        <item m="1" x="41"/>
        <item x="18"/>
        <item m="1" x="136"/>
        <item m="1" x="152"/>
        <item x="13"/>
        <item m="1" x="42"/>
        <item x="19"/>
        <item x="17"/>
        <item m="1" x="162"/>
        <item m="1" x="43"/>
        <item m="1" x="99"/>
        <item m="1" x="44"/>
        <item m="1" x="155"/>
        <item m="1" x="115"/>
        <item m="1" x="135"/>
        <item m="1" x="121"/>
        <item m="1" x="160"/>
        <item m="1" x="126"/>
        <item m="1" x="45"/>
        <item m="1" x="128"/>
        <item m="1" x="146"/>
        <item m="1" x="46"/>
        <item m="1" x="47"/>
        <item m="1" x="48"/>
        <item m="1" x="49"/>
        <item m="1" x="124"/>
        <item m="1" x="125"/>
        <item m="1" x="144"/>
        <item m="1" x="107"/>
        <item m="1" x="161"/>
        <item m="1" x="106"/>
        <item m="1" x="170"/>
        <item m="1" x="130"/>
        <item m="1" x="50"/>
        <item m="1" x="154"/>
        <item m="1" x="51"/>
        <item m="1" x="52"/>
        <item m="1" x="53"/>
        <item m="1" x="114"/>
        <item m="1" x="137"/>
        <item x="5"/>
        <item m="1" x="54"/>
        <item m="1" x="55"/>
        <item m="1" x="100"/>
        <item x="9"/>
        <item x="12"/>
        <item m="1" x="56"/>
        <item m="1" x="108"/>
        <item m="1" x="57"/>
        <item m="1" x="58"/>
        <item m="1" x="59"/>
        <item m="1" x="60"/>
        <item m="1" x="112"/>
        <item m="1" x="61"/>
        <item m="1" x="175"/>
        <item m="1" x="62"/>
        <item x="8"/>
        <item x="6"/>
        <item m="1" x="145"/>
        <item m="1" x="142"/>
        <item m="1" x="63"/>
        <item m="1" x="104"/>
        <item m="1" x="64"/>
        <item m="1" x="65"/>
        <item m="1" x="66"/>
        <item m="1" x="67"/>
        <item m="1" x="68"/>
        <item m="1" x="69"/>
        <item x="21"/>
        <item m="1" x="70"/>
        <item m="1" x="71"/>
        <item m="1" x="72"/>
        <item m="1" x="73"/>
        <item m="1" x="157"/>
        <item m="1" x="169"/>
        <item m="1" x="74"/>
        <item m="1" x="167"/>
        <item m="1" x="75"/>
        <item m="1" x="103"/>
        <item m="1" x="174"/>
        <item m="1" x="116"/>
        <item m="1" x="123"/>
        <item m="1" x="76"/>
        <item m="1" x="131"/>
        <item m="1" x="158"/>
        <item m="1" x="140"/>
        <item m="1" x="77"/>
        <item m="1" x="132"/>
        <item m="1" x="141"/>
        <item m="1" x="101"/>
        <item m="1" x="159"/>
        <item m="1" x="78"/>
        <item m="1" x="118"/>
        <item m="1" x="163"/>
        <item m="1" x="79"/>
        <item m="1" x="80"/>
        <item m="1" x="143"/>
        <item m="1" x="134"/>
        <item x="0"/>
        <item m="1" x="109"/>
        <item m="1" x="164"/>
        <item m="1" x="81"/>
        <item m="1" x="82"/>
        <item m="1" x="83"/>
        <item m="1" x="111"/>
        <item m="1" x="84"/>
        <item m="1" x="85"/>
        <item m="1" x="86"/>
        <item m="1" x="87"/>
        <item x="4"/>
        <item m="1" x="129"/>
        <item m="1" x="88"/>
        <item m="1" x="89"/>
        <item x="20"/>
        <item m="1" x="119"/>
        <item m="1" x="90"/>
        <item x="16"/>
        <item m="1" x="91"/>
        <item m="1" x="92"/>
        <item m="1" x="110"/>
        <item m="1" x="93"/>
        <item m="1" x="102"/>
        <item m="1" x="139"/>
        <item m="1" x="94"/>
        <item m="1" x="95"/>
        <item m="1" x="96"/>
        <item x="3"/>
        <item m="1" x="97"/>
        <item m="1" x="166"/>
        <item x="14"/>
        <item m="1" x="98"/>
        <item m="1" x="147"/>
        <item x="11"/>
        <item x="15"/>
        <item m="1" x="177"/>
        <item m="1" x="156"/>
        <item m="1" x="117"/>
        <item m="1" x="168"/>
        <item m="1" x="171"/>
        <item m="1" x="120"/>
        <item x="2"/>
        <item m="1" x="138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16"/>
    </i>
    <i>
      <x v="26"/>
    </i>
    <i>
      <x v="36"/>
    </i>
    <i>
      <x v="39"/>
    </i>
    <i>
      <x v="41"/>
    </i>
    <i>
      <x v="42"/>
    </i>
    <i>
      <x v="75"/>
    </i>
    <i>
      <x v="79"/>
    </i>
    <i>
      <x v="80"/>
    </i>
    <i>
      <x v="91"/>
    </i>
    <i>
      <x v="92"/>
    </i>
    <i>
      <x v="103"/>
    </i>
    <i>
      <x v="133"/>
    </i>
    <i>
      <x v="144"/>
    </i>
    <i>
      <x v="148"/>
    </i>
    <i>
      <x v="151"/>
    </i>
    <i>
      <x v="161"/>
    </i>
    <i>
      <x v="164"/>
    </i>
    <i>
      <x v="167"/>
    </i>
    <i>
      <x v="168"/>
    </i>
    <i>
      <x v="175"/>
    </i>
    <i>
      <x v="177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dataFields count="14">
    <dataField name="Sum of PS39H21" fld="129" baseField="0" baseItem="0"/>
    <dataField name="Sum of PS42H21" fld="130" baseField="0" baseItem="0"/>
    <dataField name="Sum of PS43H21" fld="131" baseField="0" baseItem="0"/>
    <dataField name="Sum of PS44H21" fld="132" baseField="0" baseItem="0"/>
    <dataField name="Sum of PS45H21" fld="133" baseField="0" baseItem="0"/>
    <dataField name="Sum of PS46H21" fld="134" baseField="0" baseItem="0"/>
    <dataField name="Sum of PS47H21" fld="135" baseField="0" baseItem="0"/>
    <dataField name="Sum of PS48H21" fld="136" baseField="0" baseItem="0"/>
    <dataField name="Sum of PS49H21" fld="137" baseField="0" baseItem="0"/>
    <dataField name="Sum of PS64H21" fld="138" baseField="0" baseItem="0"/>
    <dataField name="Sum of PS24H21" fld="139" baseField="0" baseItem="0"/>
    <dataField name="Sum of PS25H21" fld="140" baseField="0" baseItem="0"/>
    <dataField name="Sum of PS26H21" fld="141" baseField="0" baseItem="0"/>
    <dataField name="Sum of PS35H21" fld="14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3152FC-CF63-45BC-ACF7-49CD37A23121}" name="PivotTable1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K27" firstHeaderRow="0" firstDataRow="1" firstDataCol="1"/>
  <pivotFields count="143">
    <pivotField axis="axisRow" showAll="0" sortType="ascending">
      <items count="101">
        <item x="10"/>
        <item m="1" x="23"/>
        <item m="1" x="24"/>
        <item m="1" x="25"/>
        <item m="1" x="26"/>
        <item m="1" x="27"/>
        <item m="1" x="28"/>
        <item x="7"/>
        <item m="1" x="29"/>
        <item m="1" x="30"/>
        <item m="1" x="31"/>
        <item m="1" x="32"/>
        <item m="1" x="33"/>
        <item m="1" x="34"/>
        <item x="1"/>
        <item m="1" x="35"/>
        <item m="1" x="36"/>
        <item m="1" x="37"/>
        <item m="1" x="38"/>
        <item m="1" x="39"/>
        <item m="1" x="40"/>
        <item x="18"/>
        <item x="13"/>
        <item m="1" x="41"/>
        <item x="19"/>
        <item x="17"/>
        <item m="1" x="42"/>
        <item m="1" x="98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x="5"/>
        <item m="1" x="53"/>
        <item m="1" x="54"/>
        <item m="1" x="99"/>
        <item x="9"/>
        <item x="12"/>
        <item m="1" x="55"/>
        <item m="1" x="56"/>
        <item m="1" x="57"/>
        <item m="1" x="58"/>
        <item m="1" x="59"/>
        <item m="1" x="60"/>
        <item m="1" x="61"/>
        <item x="8"/>
        <item x="6"/>
        <item m="1" x="62"/>
        <item m="1" x="63"/>
        <item m="1" x="64"/>
        <item m="1" x="65"/>
        <item m="1" x="66"/>
        <item m="1" x="67"/>
        <item m="1" x="68"/>
        <item x="21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x="0"/>
        <item m="1" x="80"/>
        <item m="1" x="81"/>
        <item m="1" x="82"/>
        <item m="1" x="83"/>
        <item m="1" x="84"/>
        <item m="1" x="85"/>
        <item m="1" x="86"/>
        <item x="4"/>
        <item m="1" x="87"/>
        <item m="1" x="88"/>
        <item x="20"/>
        <item m="1" x="89"/>
        <item x="16"/>
        <item m="1" x="90"/>
        <item m="1" x="91"/>
        <item m="1" x="92"/>
        <item m="1" x="93"/>
        <item m="1" x="94"/>
        <item m="1" x="95"/>
        <item x="3"/>
        <item m="1" x="96"/>
        <item x="14"/>
        <item m="1" x="97"/>
        <item x="11"/>
        <item x="15"/>
        <item x="2"/>
        <item x="22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4">
    <i>
      <x/>
    </i>
    <i>
      <x v="7"/>
    </i>
    <i>
      <x v="14"/>
    </i>
    <i>
      <x v="21"/>
    </i>
    <i>
      <x v="22"/>
    </i>
    <i>
      <x v="24"/>
    </i>
    <i>
      <x v="25"/>
    </i>
    <i>
      <x v="38"/>
    </i>
    <i>
      <x v="42"/>
    </i>
    <i>
      <x v="43"/>
    </i>
    <i>
      <x v="51"/>
    </i>
    <i>
      <x v="52"/>
    </i>
    <i>
      <x v="60"/>
    </i>
    <i>
      <x v="72"/>
    </i>
    <i>
      <x v="80"/>
    </i>
    <i>
      <x v="83"/>
    </i>
    <i>
      <x v="85"/>
    </i>
    <i>
      <x v="92"/>
    </i>
    <i>
      <x v="94"/>
    </i>
    <i>
      <x v="96"/>
    </i>
    <i>
      <x v="97"/>
    </i>
    <i>
      <x v="98"/>
    </i>
    <i>
      <x v="99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PS39E" fld="3" baseField="0" baseItem="0"/>
    <dataField name="Sum of PS39M" fld="17" baseField="0" baseItem="0"/>
    <dataField name="Sum of PS39H" fld="31" baseField="0" baseItem="0"/>
    <dataField name="Sum of PS39E09" fld="45" baseField="0" baseItem="0"/>
    <dataField name="Sum of PS39E97" fld="59" baseField="0" baseItem="0"/>
    <dataField name="Sum of PS39M97" fld="73" baseField="0" baseItem="0"/>
    <dataField name="Sum of PS39H97" fld="87" baseField="0" baseItem="0"/>
    <dataField name="Sum of PS39E21" fld="101" baseField="0" baseItem="0"/>
    <dataField name="Sum of PS39M21" fld="115" baseField="0" baseItem="0"/>
    <dataField name="Sum of PS39H21" fld="12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92BCE6-558E-43F9-B5DF-C9E53C1CAAA7}" name="PivotTable1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K27" firstHeaderRow="0" firstDataRow="1" firstDataCol="1"/>
  <pivotFields count="143">
    <pivotField axis="axisRow" showAll="0" sortType="ascending">
      <items count="101">
        <item x="10"/>
        <item m="1" x="23"/>
        <item m="1" x="24"/>
        <item m="1" x="25"/>
        <item m="1" x="26"/>
        <item m="1" x="27"/>
        <item m="1" x="28"/>
        <item x="7"/>
        <item m="1" x="29"/>
        <item m="1" x="30"/>
        <item m="1" x="31"/>
        <item m="1" x="32"/>
        <item m="1" x="33"/>
        <item m="1" x="34"/>
        <item x="1"/>
        <item m="1" x="35"/>
        <item m="1" x="36"/>
        <item m="1" x="37"/>
        <item m="1" x="38"/>
        <item m="1" x="39"/>
        <item m="1" x="40"/>
        <item x="18"/>
        <item x="13"/>
        <item m="1" x="41"/>
        <item x="19"/>
        <item x="17"/>
        <item m="1" x="42"/>
        <item m="1" x="98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x="5"/>
        <item m="1" x="53"/>
        <item m="1" x="54"/>
        <item m="1" x="99"/>
        <item x="9"/>
        <item x="12"/>
        <item m="1" x="55"/>
        <item m="1" x="56"/>
        <item m="1" x="57"/>
        <item m="1" x="58"/>
        <item m="1" x="59"/>
        <item m="1" x="60"/>
        <item m="1" x="61"/>
        <item x="8"/>
        <item x="6"/>
        <item m="1" x="62"/>
        <item m="1" x="63"/>
        <item m="1" x="64"/>
        <item m="1" x="65"/>
        <item m="1" x="66"/>
        <item m="1" x="67"/>
        <item m="1" x="68"/>
        <item x="21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x="0"/>
        <item m="1" x="80"/>
        <item m="1" x="81"/>
        <item m="1" x="82"/>
        <item m="1" x="83"/>
        <item m="1" x="84"/>
        <item m="1" x="85"/>
        <item m="1" x="86"/>
        <item x="4"/>
        <item m="1" x="87"/>
        <item m="1" x="88"/>
        <item x="20"/>
        <item m="1" x="89"/>
        <item x="16"/>
        <item m="1" x="90"/>
        <item m="1" x="91"/>
        <item m="1" x="92"/>
        <item m="1" x="93"/>
        <item m="1" x="94"/>
        <item m="1" x="95"/>
        <item x="3"/>
        <item m="1" x="96"/>
        <item x="14"/>
        <item m="1" x="97"/>
        <item x="11"/>
        <item x="15"/>
        <item x="2"/>
        <item x="22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4">
    <i>
      <x/>
    </i>
    <i>
      <x v="7"/>
    </i>
    <i>
      <x v="14"/>
    </i>
    <i>
      <x v="21"/>
    </i>
    <i>
      <x v="22"/>
    </i>
    <i>
      <x v="24"/>
    </i>
    <i>
      <x v="25"/>
    </i>
    <i>
      <x v="38"/>
    </i>
    <i>
      <x v="42"/>
    </i>
    <i>
      <x v="43"/>
    </i>
    <i>
      <x v="51"/>
    </i>
    <i>
      <x v="52"/>
    </i>
    <i>
      <x v="60"/>
    </i>
    <i>
      <x v="72"/>
    </i>
    <i>
      <x v="80"/>
    </i>
    <i>
      <x v="83"/>
    </i>
    <i>
      <x v="85"/>
    </i>
    <i>
      <x v="92"/>
    </i>
    <i>
      <x v="94"/>
    </i>
    <i>
      <x v="96"/>
    </i>
    <i>
      <x v="97"/>
    </i>
    <i>
      <x v="98"/>
    </i>
    <i>
      <x v="99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PS42E" fld="4" baseField="0" baseItem="0"/>
    <dataField name="Sum of PS42M" fld="18" baseField="0" baseItem="0"/>
    <dataField name="Sum of PS42H" fld="32" baseField="0" baseItem="0"/>
    <dataField name="Sum of PS42E09" fld="46" baseField="0" baseItem="0"/>
    <dataField name="Sum of PS42E97" fld="60" baseField="0" baseItem="0"/>
    <dataField name="Sum of PS42M97" fld="74" baseField="0" baseItem="0"/>
    <dataField name="Sum of PS42H97" fld="88" baseField="0" baseItem="0"/>
    <dataField name="Sum of PS42E21" fld="102" baseField="0" baseItem="0"/>
    <dataField name="Sum of PS42M21" fld="116" baseField="0" baseItem="0"/>
    <dataField name="Sum of PS42H21" fld="13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1004AC-543C-45D7-A101-9E5EB10D2CFC}" name="PivotTable1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K27" firstHeaderRow="0" firstDataRow="1" firstDataCol="1"/>
  <pivotFields count="143">
    <pivotField axis="axisRow" showAll="0" sortType="ascending">
      <items count="101">
        <item x="10"/>
        <item m="1" x="23"/>
        <item m="1" x="24"/>
        <item m="1" x="25"/>
        <item m="1" x="26"/>
        <item m="1" x="27"/>
        <item m="1" x="28"/>
        <item x="7"/>
        <item m="1" x="29"/>
        <item m="1" x="30"/>
        <item m="1" x="31"/>
        <item m="1" x="32"/>
        <item m="1" x="33"/>
        <item m="1" x="34"/>
        <item x="1"/>
        <item m="1" x="35"/>
        <item m="1" x="36"/>
        <item m="1" x="37"/>
        <item m="1" x="38"/>
        <item m="1" x="39"/>
        <item m="1" x="40"/>
        <item x="18"/>
        <item x="13"/>
        <item m="1" x="41"/>
        <item x="19"/>
        <item x="17"/>
        <item m="1" x="42"/>
        <item m="1" x="98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x="5"/>
        <item m="1" x="53"/>
        <item m="1" x="54"/>
        <item m="1" x="99"/>
        <item x="9"/>
        <item x="12"/>
        <item m="1" x="55"/>
        <item m="1" x="56"/>
        <item m="1" x="57"/>
        <item m="1" x="58"/>
        <item m="1" x="59"/>
        <item m="1" x="60"/>
        <item m="1" x="61"/>
        <item x="8"/>
        <item x="6"/>
        <item m="1" x="62"/>
        <item m="1" x="63"/>
        <item m="1" x="64"/>
        <item m="1" x="65"/>
        <item m="1" x="66"/>
        <item m="1" x="67"/>
        <item m="1" x="68"/>
        <item x="21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x="0"/>
        <item m="1" x="80"/>
        <item m="1" x="81"/>
        <item m="1" x="82"/>
        <item m="1" x="83"/>
        <item m="1" x="84"/>
        <item m="1" x="85"/>
        <item m="1" x="86"/>
        <item x="4"/>
        <item m="1" x="87"/>
        <item m="1" x="88"/>
        <item x="20"/>
        <item m="1" x="89"/>
        <item x="16"/>
        <item m="1" x="90"/>
        <item m="1" x="91"/>
        <item m="1" x="92"/>
        <item m="1" x="93"/>
        <item m="1" x="94"/>
        <item m="1" x="95"/>
        <item x="3"/>
        <item m="1" x="96"/>
        <item x="14"/>
        <item m="1" x="97"/>
        <item x="11"/>
        <item x="15"/>
        <item x="2"/>
        <item x="22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4">
    <i>
      <x/>
    </i>
    <i>
      <x v="7"/>
    </i>
    <i>
      <x v="14"/>
    </i>
    <i>
      <x v="21"/>
    </i>
    <i>
      <x v="22"/>
    </i>
    <i>
      <x v="24"/>
    </i>
    <i>
      <x v="25"/>
    </i>
    <i>
      <x v="38"/>
    </i>
    <i>
      <x v="42"/>
    </i>
    <i>
      <x v="43"/>
    </i>
    <i>
      <x v="51"/>
    </i>
    <i>
      <x v="52"/>
    </i>
    <i>
      <x v="60"/>
    </i>
    <i>
      <x v="72"/>
    </i>
    <i>
      <x v="80"/>
    </i>
    <i>
      <x v="83"/>
    </i>
    <i>
      <x v="85"/>
    </i>
    <i>
      <x v="92"/>
    </i>
    <i>
      <x v="94"/>
    </i>
    <i>
      <x v="96"/>
    </i>
    <i>
      <x v="97"/>
    </i>
    <i>
      <x v="98"/>
    </i>
    <i>
      <x v="99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PS43E" fld="5" baseField="0" baseItem="0"/>
    <dataField name="Sum of PS43M" fld="19" baseField="0" baseItem="0"/>
    <dataField name="Sum of PS43H" fld="33" baseField="0" baseItem="0"/>
    <dataField name="Sum of PS43E09" fld="47" baseField="0" baseItem="0"/>
    <dataField name="Sum of PS43E97" fld="61" baseField="0" baseItem="0"/>
    <dataField name="Sum of PS43M97" fld="75" baseField="0" baseItem="0"/>
    <dataField name="Sum of PS43H97" fld="89" baseField="0" baseItem="0"/>
    <dataField name="Sum of PS43E21" fld="103" baseField="0" baseItem="0"/>
    <dataField name="Sum of PS43M21" fld="117" baseField="0" baseItem="0"/>
    <dataField name="Sum of PS43H21" fld="13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2A2735-E648-4BB5-AB4B-F5280463808F}" name="PivotTable1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K27" firstHeaderRow="0" firstDataRow="1" firstDataCol="1"/>
  <pivotFields count="143">
    <pivotField axis="axisRow" showAll="0" sortType="ascending">
      <items count="101">
        <item x="10"/>
        <item m="1" x="23"/>
        <item m="1" x="24"/>
        <item m="1" x="25"/>
        <item m="1" x="26"/>
        <item m="1" x="27"/>
        <item m="1" x="28"/>
        <item x="7"/>
        <item m="1" x="29"/>
        <item m="1" x="30"/>
        <item m="1" x="31"/>
        <item m="1" x="32"/>
        <item m="1" x="33"/>
        <item m="1" x="34"/>
        <item x="1"/>
        <item m="1" x="35"/>
        <item m="1" x="36"/>
        <item m="1" x="37"/>
        <item m="1" x="38"/>
        <item m="1" x="39"/>
        <item m="1" x="40"/>
        <item x="18"/>
        <item x="13"/>
        <item m="1" x="41"/>
        <item x="19"/>
        <item x="17"/>
        <item m="1" x="42"/>
        <item m="1" x="98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x="5"/>
        <item m="1" x="53"/>
        <item m="1" x="54"/>
        <item m="1" x="99"/>
        <item x="9"/>
        <item x="12"/>
        <item m="1" x="55"/>
        <item m="1" x="56"/>
        <item m="1" x="57"/>
        <item m="1" x="58"/>
        <item m="1" x="59"/>
        <item m="1" x="60"/>
        <item m="1" x="61"/>
        <item x="8"/>
        <item x="6"/>
        <item m="1" x="62"/>
        <item m="1" x="63"/>
        <item m="1" x="64"/>
        <item m="1" x="65"/>
        <item m="1" x="66"/>
        <item m="1" x="67"/>
        <item m="1" x="68"/>
        <item x="21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x="0"/>
        <item m="1" x="80"/>
        <item m="1" x="81"/>
        <item m="1" x="82"/>
        <item m="1" x="83"/>
        <item m="1" x="84"/>
        <item m="1" x="85"/>
        <item m="1" x="86"/>
        <item x="4"/>
        <item m="1" x="87"/>
        <item m="1" x="88"/>
        <item x="20"/>
        <item m="1" x="89"/>
        <item x="16"/>
        <item m="1" x="90"/>
        <item m="1" x="91"/>
        <item m="1" x="92"/>
        <item m="1" x="93"/>
        <item m="1" x="94"/>
        <item m="1" x="95"/>
        <item x="3"/>
        <item m="1" x="96"/>
        <item x="14"/>
        <item m="1" x="97"/>
        <item x="11"/>
        <item x="15"/>
        <item x="2"/>
        <item x="22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4">
    <i>
      <x/>
    </i>
    <i>
      <x v="7"/>
    </i>
    <i>
      <x v="14"/>
    </i>
    <i>
      <x v="21"/>
    </i>
    <i>
      <x v="22"/>
    </i>
    <i>
      <x v="24"/>
    </i>
    <i>
      <x v="25"/>
    </i>
    <i>
      <x v="38"/>
    </i>
    <i>
      <x v="42"/>
    </i>
    <i>
      <x v="43"/>
    </i>
    <i>
      <x v="51"/>
    </i>
    <i>
      <x v="52"/>
    </i>
    <i>
      <x v="60"/>
    </i>
    <i>
      <x v="72"/>
    </i>
    <i>
      <x v="80"/>
    </i>
    <i>
      <x v="83"/>
    </i>
    <i>
      <x v="85"/>
    </i>
    <i>
      <x v="92"/>
    </i>
    <i>
      <x v="94"/>
    </i>
    <i>
      <x v="96"/>
    </i>
    <i>
      <x v="97"/>
    </i>
    <i>
      <x v="98"/>
    </i>
    <i>
      <x v="99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PS44E" fld="6" baseField="0" baseItem="0"/>
    <dataField name="Sum of PS44M" fld="20" baseField="0" baseItem="0"/>
    <dataField name="Sum of PS44H" fld="34" baseField="0" baseItem="0"/>
    <dataField name="Sum of PS44E09" fld="48" baseField="0" baseItem="0"/>
    <dataField name="Sum of PS44E97" fld="62" baseField="0" baseItem="0"/>
    <dataField name="Sum of PS44M97" fld="76" baseField="0" baseItem="0"/>
    <dataField name="Sum of PS44H97" fld="90" baseField="0" baseItem="0"/>
    <dataField name="Sum of PS44E21" fld="104" baseField="0" baseItem="0"/>
    <dataField name="Sum of PS44M21" fld="118" baseField="0" baseItem="0"/>
    <dataField name="Sum of PS44H21" fld="13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ABEF03-7F2F-4F7F-9457-DEBDEC456ABA}" name="PivotTable1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K27" firstHeaderRow="0" firstDataRow="1" firstDataCol="1"/>
  <pivotFields count="143">
    <pivotField axis="axisRow" showAll="0" sortType="ascending">
      <items count="101">
        <item x="10"/>
        <item m="1" x="23"/>
        <item m="1" x="24"/>
        <item m="1" x="25"/>
        <item m="1" x="26"/>
        <item m="1" x="27"/>
        <item m="1" x="28"/>
        <item x="7"/>
        <item m="1" x="29"/>
        <item m="1" x="30"/>
        <item m="1" x="31"/>
        <item m="1" x="32"/>
        <item m="1" x="33"/>
        <item m="1" x="34"/>
        <item x="1"/>
        <item m="1" x="35"/>
        <item m="1" x="36"/>
        <item m="1" x="37"/>
        <item m="1" x="38"/>
        <item m="1" x="39"/>
        <item m="1" x="40"/>
        <item x="18"/>
        <item x="13"/>
        <item m="1" x="41"/>
        <item x="19"/>
        <item x="17"/>
        <item m="1" x="42"/>
        <item m="1" x="98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x="5"/>
        <item m="1" x="53"/>
        <item m="1" x="54"/>
        <item m="1" x="99"/>
        <item x="9"/>
        <item x="12"/>
        <item m="1" x="55"/>
        <item m="1" x="56"/>
        <item m="1" x="57"/>
        <item m="1" x="58"/>
        <item m="1" x="59"/>
        <item m="1" x="60"/>
        <item m="1" x="61"/>
        <item x="8"/>
        <item x="6"/>
        <item m="1" x="62"/>
        <item m="1" x="63"/>
        <item m="1" x="64"/>
        <item m="1" x="65"/>
        <item m="1" x="66"/>
        <item m="1" x="67"/>
        <item m="1" x="68"/>
        <item x="21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x="0"/>
        <item m="1" x="80"/>
        <item m="1" x="81"/>
        <item m="1" x="82"/>
        <item m="1" x="83"/>
        <item m="1" x="84"/>
        <item m="1" x="85"/>
        <item m="1" x="86"/>
        <item x="4"/>
        <item m="1" x="87"/>
        <item m="1" x="88"/>
        <item x="20"/>
        <item m="1" x="89"/>
        <item x="16"/>
        <item m="1" x="90"/>
        <item m="1" x="91"/>
        <item m="1" x="92"/>
        <item m="1" x="93"/>
        <item m="1" x="94"/>
        <item m="1" x="95"/>
        <item x="3"/>
        <item m="1" x="96"/>
        <item x="14"/>
        <item m="1" x="97"/>
        <item x="11"/>
        <item x="15"/>
        <item x="2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4">
    <i>
      <x/>
    </i>
    <i>
      <x v="7"/>
    </i>
    <i>
      <x v="14"/>
    </i>
    <i>
      <x v="21"/>
    </i>
    <i>
      <x v="22"/>
    </i>
    <i>
      <x v="24"/>
    </i>
    <i>
      <x v="25"/>
    </i>
    <i>
      <x v="38"/>
    </i>
    <i>
      <x v="42"/>
    </i>
    <i>
      <x v="43"/>
    </i>
    <i>
      <x v="51"/>
    </i>
    <i>
      <x v="52"/>
    </i>
    <i>
      <x v="60"/>
    </i>
    <i>
      <x v="72"/>
    </i>
    <i>
      <x v="80"/>
    </i>
    <i>
      <x v="83"/>
    </i>
    <i>
      <x v="85"/>
    </i>
    <i>
      <x v="92"/>
    </i>
    <i>
      <x v="94"/>
    </i>
    <i>
      <x v="96"/>
    </i>
    <i>
      <x v="97"/>
    </i>
    <i>
      <x v="98"/>
    </i>
    <i>
      <x v="99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PS45E" fld="7" baseField="0" baseItem="0"/>
    <dataField name="Sum of PS45M" fld="21" baseField="0" baseItem="0"/>
    <dataField name="Sum of PS45H" fld="35" baseField="0" baseItem="0"/>
    <dataField name="Sum of PS45E09" fld="49" baseField="0" baseItem="0"/>
    <dataField name="Sum of PS45E97" fld="63" baseField="0" baseItem="0"/>
    <dataField name="Sum of PS45M97" fld="77" baseField="0" baseItem="0"/>
    <dataField name="Sum of PS45H97" fld="91" baseField="0" baseItem="0"/>
    <dataField name="Sum of PS45E21" fld="105" baseField="0" baseItem="0"/>
    <dataField name="Sum of PS45M21" fld="119" baseField="0" baseItem="0"/>
    <dataField name="Sum of PS45H21" fld="13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8CA5E2-9B17-4D38-AEA8-1DCC07A3F8BE}" name="PivotTable1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K27" firstHeaderRow="0" firstDataRow="1" firstDataCol="1"/>
  <pivotFields count="143">
    <pivotField axis="axisRow" showAll="0" sortType="ascending">
      <items count="101">
        <item x="10"/>
        <item m="1" x="23"/>
        <item m="1" x="24"/>
        <item m="1" x="25"/>
        <item m="1" x="26"/>
        <item m="1" x="27"/>
        <item m="1" x="28"/>
        <item x="7"/>
        <item m="1" x="29"/>
        <item m="1" x="30"/>
        <item m="1" x="31"/>
        <item m="1" x="32"/>
        <item m="1" x="33"/>
        <item m="1" x="34"/>
        <item x="1"/>
        <item m="1" x="35"/>
        <item m="1" x="36"/>
        <item m="1" x="37"/>
        <item m="1" x="38"/>
        <item m="1" x="39"/>
        <item m="1" x="40"/>
        <item x="18"/>
        <item x="13"/>
        <item m="1" x="41"/>
        <item x="19"/>
        <item x="17"/>
        <item m="1" x="42"/>
        <item m="1" x="98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x="5"/>
        <item m="1" x="53"/>
        <item m="1" x="54"/>
        <item m="1" x="99"/>
        <item x="9"/>
        <item x="12"/>
        <item m="1" x="55"/>
        <item m="1" x="56"/>
        <item m="1" x="57"/>
        <item m="1" x="58"/>
        <item m="1" x="59"/>
        <item m="1" x="60"/>
        <item m="1" x="61"/>
        <item x="8"/>
        <item x="6"/>
        <item m="1" x="62"/>
        <item m="1" x="63"/>
        <item m="1" x="64"/>
        <item m="1" x="65"/>
        <item m="1" x="66"/>
        <item m="1" x="67"/>
        <item m="1" x="68"/>
        <item x="21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x="0"/>
        <item m="1" x="80"/>
        <item m="1" x="81"/>
        <item m="1" x="82"/>
        <item m="1" x="83"/>
        <item m="1" x="84"/>
        <item m="1" x="85"/>
        <item m="1" x="86"/>
        <item x="4"/>
        <item m="1" x="87"/>
        <item m="1" x="88"/>
        <item x="20"/>
        <item m="1" x="89"/>
        <item x="16"/>
        <item m="1" x="90"/>
        <item m="1" x="91"/>
        <item m="1" x="92"/>
        <item m="1" x="93"/>
        <item m="1" x="94"/>
        <item m="1" x="95"/>
        <item x="3"/>
        <item m="1" x="96"/>
        <item x="14"/>
        <item m="1" x="97"/>
        <item x="11"/>
        <item x="15"/>
        <item x="2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4">
    <i>
      <x/>
    </i>
    <i>
      <x v="7"/>
    </i>
    <i>
      <x v="14"/>
    </i>
    <i>
      <x v="21"/>
    </i>
    <i>
      <x v="22"/>
    </i>
    <i>
      <x v="24"/>
    </i>
    <i>
      <x v="25"/>
    </i>
    <i>
      <x v="38"/>
    </i>
    <i>
      <x v="42"/>
    </i>
    <i>
      <x v="43"/>
    </i>
    <i>
      <x v="51"/>
    </i>
    <i>
      <x v="52"/>
    </i>
    <i>
      <x v="60"/>
    </i>
    <i>
      <x v="72"/>
    </i>
    <i>
      <x v="80"/>
    </i>
    <i>
      <x v="83"/>
    </i>
    <i>
      <x v="85"/>
    </i>
    <i>
      <x v="92"/>
    </i>
    <i>
      <x v="94"/>
    </i>
    <i>
      <x v="96"/>
    </i>
    <i>
      <x v="97"/>
    </i>
    <i>
      <x v="98"/>
    </i>
    <i>
      <x v="99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PS46E" fld="8" baseField="0" baseItem="0"/>
    <dataField name="Sum of PS46M" fld="22" baseField="0" baseItem="0"/>
    <dataField name="Sum of PS46H" fld="36" baseField="0" baseItem="0"/>
    <dataField name="Sum of PS46E09" fld="50" baseField="0" baseItem="0"/>
    <dataField name="Sum of PS46E97" fld="64" baseField="0" baseItem="0"/>
    <dataField name="Sum of PS46M97" fld="78" baseField="0" baseItem="0"/>
    <dataField name="Sum of PS46H97" fld="92" baseField="0" baseItem="0"/>
    <dataField name="Sum of PS46E21" fld="106" baseField="0" baseItem="0"/>
    <dataField name="Sum of PS46M21" fld="120" baseField="0" baseItem="0"/>
    <dataField name="Sum of PS46H21" fld="13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1ACFA3-617E-4DFC-8447-0918FC4F8BD6}" name="PivotTable1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K27" firstHeaderRow="0" firstDataRow="1" firstDataCol="1"/>
  <pivotFields count="143">
    <pivotField axis="axisRow" showAll="0" sortType="ascending">
      <items count="101">
        <item x="10"/>
        <item m="1" x="23"/>
        <item m="1" x="24"/>
        <item m="1" x="25"/>
        <item m="1" x="26"/>
        <item m="1" x="27"/>
        <item m="1" x="28"/>
        <item x="7"/>
        <item m="1" x="29"/>
        <item m="1" x="30"/>
        <item m="1" x="31"/>
        <item m="1" x="32"/>
        <item m="1" x="33"/>
        <item m="1" x="34"/>
        <item x="1"/>
        <item m="1" x="35"/>
        <item m="1" x="36"/>
        <item m="1" x="37"/>
        <item m="1" x="38"/>
        <item m="1" x="39"/>
        <item m="1" x="40"/>
        <item x="18"/>
        <item x="13"/>
        <item m="1" x="41"/>
        <item x="19"/>
        <item x="17"/>
        <item m="1" x="42"/>
        <item m="1" x="98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x="5"/>
        <item m="1" x="53"/>
        <item m="1" x="54"/>
        <item m="1" x="99"/>
        <item x="9"/>
        <item x="12"/>
        <item m="1" x="55"/>
        <item m="1" x="56"/>
        <item m="1" x="57"/>
        <item m="1" x="58"/>
        <item m="1" x="59"/>
        <item m="1" x="60"/>
        <item m="1" x="61"/>
        <item x="8"/>
        <item x="6"/>
        <item m="1" x="62"/>
        <item m="1" x="63"/>
        <item m="1" x="64"/>
        <item m="1" x="65"/>
        <item m="1" x="66"/>
        <item m="1" x="67"/>
        <item m="1" x="68"/>
        <item x="21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x="0"/>
        <item m="1" x="80"/>
        <item m="1" x="81"/>
        <item m="1" x="82"/>
        <item m="1" x="83"/>
        <item m="1" x="84"/>
        <item m="1" x="85"/>
        <item m="1" x="86"/>
        <item x="4"/>
        <item m="1" x="87"/>
        <item m="1" x="88"/>
        <item x="20"/>
        <item m="1" x="89"/>
        <item x="16"/>
        <item m="1" x="90"/>
        <item m="1" x="91"/>
        <item m="1" x="92"/>
        <item m="1" x="93"/>
        <item m="1" x="94"/>
        <item m="1" x="95"/>
        <item x="3"/>
        <item m="1" x="96"/>
        <item x="14"/>
        <item m="1" x="97"/>
        <item x="11"/>
        <item x="15"/>
        <item x="2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dataField="1"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4">
    <i>
      <x/>
    </i>
    <i>
      <x v="7"/>
    </i>
    <i>
      <x v="14"/>
    </i>
    <i>
      <x v="21"/>
    </i>
    <i>
      <x v="22"/>
    </i>
    <i>
      <x v="24"/>
    </i>
    <i>
      <x v="25"/>
    </i>
    <i>
      <x v="38"/>
    </i>
    <i>
      <x v="42"/>
    </i>
    <i>
      <x v="43"/>
    </i>
    <i>
      <x v="51"/>
    </i>
    <i>
      <x v="52"/>
    </i>
    <i>
      <x v="60"/>
    </i>
    <i>
      <x v="72"/>
    </i>
    <i>
      <x v="80"/>
    </i>
    <i>
      <x v="83"/>
    </i>
    <i>
      <x v="85"/>
    </i>
    <i>
      <x v="92"/>
    </i>
    <i>
      <x v="94"/>
    </i>
    <i>
      <x v="96"/>
    </i>
    <i>
      <x v="97"/>
    </i>
    <i>
      <x v="98"/>
    </i>
    <i>
      <x v="99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PS47E" fld="9" baseField="0" baseItem="0"/>
    <dataField name="Sum of PS47M" fld="23" baseField="0" baseItem="0"/>
    <dataField name="Sum of PS47H" fld="37" baseField="0" baseItem="0"/>
    <dataField name="Sum of PS47E09" fld="51" baseField="0" baseItem="0"/>
    <dataField name="Sum of PS47E97" fld="65" baseField="0" baseItem="0"/>
    <dataField name="Sum of PS47M97" fld="79" baseField="0" baseItem="0"/>
    <dataField name="Sum of PS47H97" fld="93" baseField="0" baseItem="0"/>
    <dataField name="Sum of PS47E21" fld="107" baseField="0" baseItem="0"/>
    <dataField name="Sum of PS47M21" fld="121" baseField="0" baseItem="0"/>
    <dataField name="Sum of PS47H21" fld="13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A97407-F388-456F-A992-B3963FA3363F}" name="PivotTable21" cacheId="6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compact="0" compactData="0" gridDropZones="1" multipleFieldFilters="0">
  <location ref="BY3:BZ61" firstHeaderRow="2" firstDataRow="2" firstDataCol="1" rowPageCount="1" colPageCount="1"/>
  <pivotFields count="16">
    <pivotField compact="0" outline="0" showAll="0"/>
    <pivotField axis="axisPage" compact="0" outline="0" showAll="0">
      <items count="311">
        <item x="65"/>
        <item x="136"/>
        <item x="147"/>
        <item x="199"/>
        <item x="211"/>
        <item x="4"/>
        <item x="96"/>
        <item x="112"/>
        <item x="31"/>
        <item x="93"/>
        <item x="266"/>
        <item x="186"/>
        <item x="268"/>
        <item x="111"/>
        <item x="162"/>
        <item x="41"/>
        <item x="81"/>
        <item x="197"/>
        <item x="30"/>
        <item x="21"/>
        <item x="15"/>
        <item x="14"/>
        <item x="36"/>
        <item x="116"/>
        <item x="125"/>
        <item x="114"/>
        <item x="227"/>
        <item x="144"/>
        <item x="142"/>
        <item x="229"/>
        <item x="239"/>
        <item x="190"/>
        <item x="83"/>
        <item x="3"/>
        <item x="123"/>
        <item x="183"/>
        <item x="278"/>
        <item x="261"/>
        <item x="282"/>
        <item x="246"/>
        <item x="263"/>
        <item x="242"/>
        <item x="196"/>
        <item x="201"/>
        <item x="73"/>
        <item x="78"/>
        <item x="19"/>
        <item x="47"/>
        <item x="174"/>
        <item x="118"/>
        <item x="218"/>
        <item x="151"/>
        <item x="33"/>
        <item x="233"/>
        <item x="181"/>
        <item x="230"/>
        <item x="290"/>
        <item x="43"/>
        <item x="119"/>
        <item x="187"/>
        <item x="210"/>
        <item x="121"/>
        <item x="70"/>
        <item x="283"/>
        <item x="12"/>
        <item x="87"/>
        <item x="62"/>
        <item x="133"/>
        <item x="207"/>
        <item x="29"/>
        <item x="245"/>
        <item x="86"/>
        <item x="267"/>
        <item x="189"/>
        <item x="8"/>
        <item x="185"/>
        <item x="228"/>
        <item x="280"/>
        <item x="127"/>
        <item x="130"/>
        <item x="64"/>
        <item x="293"/>
        <item x="297"/>
        <item x="219"/>
        <item x="27"/>
        <item x="255"/>
        <item x="150"/>
        <item x="296"/>
        <item x="89"/>
        <item x="25"/>
        <item x="158"/>
        <item x="66"/>
        <item x="191"/>
        <item x="107"/>
        <item x="108"/>
        <item x="49"/>
        <item x="213"/>
        <item x="99"/>
        <item x="37"/>
        <item x="46"/>
        <item x="39"/>
        <item x="5"/>
        <item x="102"/>
        <item x="249"/>
        <item x="7"/>
        <item x="122"/>
        <item x="128"/>
        <item x="26"/>
        <item x="200"/>
        <item x="275"/>
        <item x="13"/>
        <item x="72"/>
        <item x="208"/>
        <item x="101"/>
        <item x="216"/>
        <item x="231"/>
        <item x="1"/>
        <item x="34"/>
        <item x="243"/>
        <item x="194"/>
        <item x="236"/>
        <item x="274"/>
        <item x="269"/>
        <item x="292"/>
        <item x="11"/>
        <item x="155"/>
        <item x="247"/>
        <item x="212"/>
        <item x="68"/>
        <item x="226"/>
        <item x="225"/>
        <item x="88"/>
        <item x="270"/>
        <item x="164"/>
        <item x="205"/>
        <item x="214"/>
        <item x="69"/>
        <item x="135"/>
        <item x="61"/>
        <item x="134"/>
        <item x="301"/>
        <item x="272"/>
        <item x="204"/>
        <item x="202"/>
        <item x="105"/>
        <item x="209"/>
        <item x="288"/>
        <item x="132"/>
        <item x="171"/>
        <item x="159"/>
        <item x="173"/>
        <item x="224"/>
        <item x="271"/>
        <item x="67"/>
        <item x="52"/>
        <item x="113"/>
        <item x="157"/>
        <item x="251"/>
        <item x="103"/>
        <item x="77"/>
        <item x="286"/>
        <item x="76"/>
        <item x="168"/>
        <item x="75"/>
        <item x="148"/>
        <item x="161"/>
        <item x="253"/>
        <item x="160"/>
        <item x="140"/>
        <item x="193"/>
        <item x="222"/>
        <item x="48"/>
        <item x="40"/>
        <item x="166"/>
        <item x="182"/>
        <item x="0"/>
        <item x="279"/>
        <item x="51"/>
        <item x="163"/>
        <item x="141"/>
        <item x="184"/>
        <item x="156"/>
        <item x="54"/>
        <item x="18"/>
        <item x="84"/>
        <item x="265"/>
        <item m="1" x="306"/>
        <item x="9"/>
        <item x="277"/>
        <item x="177"/>
        <item x="82"/>
        <item x="23"/>
        <item x="22"/>
        <item x="56"/>
        <item x="254"/>
        <item x="169"/>
        <item x="146"/>
        <item x="91"/>
        <item x="50"/>
        <item x="10"/>
        <item x="32"/>
        <item x="2"/>
        <item x="234"/>
        <item x="95"/>
        <item x="256"/>
        <item x="284"/>
        <item x="60"/>
        <item x="195"/>
        <item x="85"/>
        <item x="198"/>
        <item x="291"/>
        <item x="175"/>
        <item x="20"/>
        <item x="154"/>
        <item x="100"/>
        <item x="203"/>
        <item x="92"/>
        <item x="215"/>
        <item x="98"/>
        <item x="59"/>
        <item x="170"/>
        <item x="115"/>
        <item x="79"/>
        <item x="152"/>
        <item x="235"/>
        <item x="221"/>
        <item x="145"/>
        <item x="285"/>
        <item x="220"/>
        <item x="176"/>
        <item x="206"/>
        <item x="217"/>
        <item x="244"/>
        <item x="180"/>
        <item x="294"/>
        <item x="117"/>
        <item x="178"/>
        <item x="71"/>
        <item x="97"/>
        <item x="257"/>
        <item x="120"/>
        <item x="139"/>
        <item x="165"/>
        <item x="295"/>
        <item x="35"/>
        <item x="126"/>
        <item x="94"/>
        <item x="252"/>
        <item x="287"/>
        <item x="179"/>
        <item x="241"/>
        <item x="24"/>
        <item x="90"/>
        <item x="258"/>
        <item x="259"/>
        <item x="55"/>
        <item x="260"/>
        <item x="299"/>
        <item x="57"/>
        <item x="28"/>
        <item x="45"/>
        <item x="240"/>
        <item x="16"/>
        <item x="232"/>
        <item x="300"/>
        <item x="273"/>
        <item x="143"/>
        <item x="188"/>
        <item x="131"/>
        <item x="109"/>
        <item x="149"/>
        <item x="172"/>
        <item x="63"/>
        <item x="137"/>
        <item x="74"/>
        <item x="124"/>
        <item x="38"/>
        <item x="289"/>
        <item x="250"/>
        <item x="298"/>
        <item x="304"/>
        <item x="110"/>
        <item x="6"/>
        <item x="106"/>
        <item x="192"/>
        <item x="104"/>
        <item m="1" x="308"/>
        <item x="44"/>
        <item x="276"/>
        <item x="167"/>
        <item x="281"/>
        <item x="138"/>
        <item x="129"/>
        <item m="1" x="305"/>
        <item x="80"/>
        <item x="153"/>
        <item m="1" x="309"/>
        <item x="264"/>
        <item x="302"/>
        <item x="303"/>
        <item x="248"/>
        <item x="238"/>
        <item x="17"/>
        <item m="1" x="307"/>
        <item x="58"/>
        <item x="223"/>
        <item x="237"/>
        <item x="53"/>
        <item x="42"/>
        <item x="262"/>
        <item t="default"/>
      </items>
    </pivotField>
    <pivotField compact="0" outline="0" showAll="0"/>
    <pivotField compact="0" outline="0" showAll="0"/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ascending">
      <items count="59">
        <item x="23"/>
        <item x="32"/>
        <item x="12"/>
        <item x="0"/>
        <item x="6"/>
        <item x="24"/>
        <item x="15"/>
        <item x="11"/>
        <item x="29"/>
        <item x="19"/>
        <item x="3"/>
        <item x="26"/>
        <item x="33"/>
        <item x="17"/>
        <item x="37"/>
        <item x="38"/>
        <item x="13"/>
        <item x="1"/>
        <item x="7"/>
        <item x="22"/>
        <item x="16"/>
        <item x="44"/>
        <item x="30"/>
        <item x="20"/>
        <item x="4"/>
        <item x="9"/>
        <item x="34"/>
        <item x="18"/>
        <item x="36"/>
        <item x="39"/>
        <item x="14"/>
        <item x="2"/>
        <item x="8"/>
        <item x="28"/>
        <item x="27"/>
        <item x="47"/>
        <item x="31"/>
        <item x="21"/>
        <item x="5"/>
        <item x="10"/>
        <item x="35"/>
        <item x="25"/>
        <item h="1" m="1" x="57"/>
        <item x="55"/>
        <item x="49"/>
        <item x="42"/>
        <item x="50"/>
        <item x="45"/>
        <item x="46"/>
        <item x="52"/>
        <item x="51"/>
        <item x="54"/>
        <item x="53"/>
        <item x="41"/>
        <item x="43"/>
        <item x="40"/>
        <item x="48"/>
        <item h="1" x="56"/>
        <item t="default"/>
      </items>
    </pivotField>
  </pivotFields>
  <rowFields count="1">
    <field x="15"/>
  </rowFields>
  <rowItems count="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 t="grand">
      <x/>
    </i>
  </rowItems>
  <colItems count="1">
    <i/>
  </colItems>
  <pageFields count="1">
    <pageField fld="1" hier="-1"/>
  </pageFields>
  <dataFields count="1">
    <dataField name="Sum of AMOUNT" fld="12" baseField="5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32BD08-05F5-434C-8B96-24969A2B5AF9}" name="PivotTable1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K27" firstHeaderRow="0" firstDataRow="1" firstDataCol="1"/>
  <pivotFields count="143">
    <pivotField axis="axisRow" showAll="0" sortType="ascending">
      <items count="101">
        <item x="10"/>
        <item m="1" x="23"/>
        <item m="1" x="24"/>
        <item m="1" x="25"/>
        <item m="1" x="26"/>
        <item m="1" x="27"/>
        <item m="1" x="28"/>
        <item x="7"/>
        <item m="1" x="29"/>
        <item m="1" x="30"/>
        <item m="1" x="31"/>
        <item m="1" x="32"/>
        <item m="1" x="33"/>
        <item m="1" x="34"/>
        <item x="1"/>
        <item m="1" x="35"/>
        <item m="1" x="36"/>
        <item m="1" x="37"/>
        <item m="1" x="38"/>
        <item m="1" x="39"/>
        <item m="1" x="40"/>
        <item x="18"/>
        <item x="13"/>
        <item m="1" x="41"/>
        <item x="19"/>
        <item x="17"/>
        <item m="1" x="42"/>
        <item m="1" x="98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x="5"/>
        <item m="1" x="53"/>
        <item m="1" x="54"/>
        <item m="1" x="99"/>
        <item x="9"/>
        <item x="12"/>
        <item m="1" x="55"/>
        <item m="1" x="56"/>
        <item m="1" x="57"/>
        <item m="1" x="58"/>
        <item m="1" x="59"/>
        <item m="1" x="60"/>
        <item m="1" x="61"/>
        <item x="8"/>
        <item x="6"/>
        <item m="1" x="62"/>
        <item m="1" x="63"/>
        <item m="1" x="64"/>
        <item m="1" x="65"/>
        <item m="1" x="66"/>
        <item m="1" x="67"/>
        <item m="1" x="68"/>
        <item x="21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x="0"/>
        <item m="1" x="80"/>
        <item m="1" x="81"/>
        <item m="1" x="82"/>
        <item m="1" x="83"/>
        <item m="1" x="84"/>
        <item m="1" x="85"/>
        <item m="1" x="86"/>
        <item x="4"/>
        <item m="1" x="87"/>
        <item m="1" x="88"/>
        <item x="20"/>
        <item m="1" x="89"/>
        <item x="16"/>
        <item m="1" x="90"/>
        <item m="1" x="91"/>
        <item m="1" x="92"/>
        <item m="1" x="93"/>
        <item m="1" x="94"/>
        <item m="1" x="95"/>
        <item x="3"/>
        <item m="1" x="96"/>
        <item x="14"/>
        <item m="1" x="97"/>
        <item x="11"/>
        <item x="15"/>
        <item x="2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24">
    <i>
      <x/>
    </i>
    <i>
      <x v="7"/>
    </i>
    <i>
      <x v="14"/>
    </i>
    <i>
      <x v="21"/>
    </i>
    <i>
      <x v="22"/>
    </i>
    <i>
      <x v="24"/>
    </i>
    <i>
      <x v="25"/>
    </i>
    <i>
      <x v="38"/>
    </i>
    <i>
      <x v="42"/>
    </i>
    <i>
      <x v="43"/>
    </i>
    <i>
      <x v="51"/>
    </i>
    <i>
      <x v="52"/>
    </i>
    <i>
      <x v="60"/>
    </i>
    <i>
      <x v="72"/>
    </i>
    <i>
      <x v="80"/>
    </i>
    <i>
      <x v="83"/>
    </i>
    <i>
      <x v="85"/>
    </i>
    <i>
      <x v="92"/>
    </i>
    <i>
      <x v="94"/>
    </i>
    <i>
      <x v="96"/>
    </i>
    <i>
      <x v="97"/>
    </i>
    <i>
      <x v="98"/>
    </i>
    <i>
      <x v="99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PS48E" fld="10" baseField="0" baseItem="0"/>
    <dataField name="Sum of PS48M" fld="24" baseField="0" baseItem="0"/>
    <dataField name="Sum of PS48H" fld="38" baseField="0" baseItem="0"/>
    <dataField name="Sum of PS48E09" fld="52" baseField="0" baseItem="0"/>
    <dataField name="Sum of PS48E97" fld="66" baseField="0" baseItem="0"/>
    <dataField name="Sum of PS48M97" fld="80" baseField="0" baseItem="0"/>
    <dataField name="Sum of PS48H97" fld="94" baseField="0" baseItem="0"/>
    <dataField name="Sum of PS48E21" fld="108" baseField="0" baseItem="0"/>
    <dataField name="Sum of PS48M21" fld="122" baseField="0" baseItem="0"/>
    <dataField name="Sum of PS48H21" fld="13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B35C59-9653-4185-A569-70DDDDC143BF}" name="PivotTable1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K27" firstHeaderRow="0" firstDataRow="1" firstDataCol="1"/>
  <pivotFields count="143">
    <pivotField axis="axisRow" showAll="0" sortType="ascending">
      <items count="101">
        <item x="10"/>
        <item m="1" x="23"/>
        <item m="1" x="24"/>
        <item m="1" x="25"/>
        <item m="1" x="26"/>
        <item m="1" x="27"/>
        <item m="1" x="28"/>
        <item x="7"/>
        <item m="1" x="29"/>
        <item m="1" x="30"/>
        <item m="1" x="31"/>
        <item m="1" x="32"/>
        <item m="1" x="33"/>
        <item m="1" x="34"/>
        <item x="1"/>
        <item m="1" x="35"/>
        <item m="1" x="36"/>
        <item m="1" x="37"/>
        <item m="1" x="38"/>
        <item m="1" x="39"/>
        <item m="1" x="40"/>
        <item x="18"/>
        <item x="13"/>
        <item m="1" x="41"/>
        <item x="19"/>
        <item x="17"/>
        <item m="1" x="42"/>
        <item m="1" x="98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x="5"/>
        <item m="1" x="53"/>
        <item m="1" x="54"/>
        <item m="1" x="99"/>
        <item x="9"/>
        <item x="12"/>
        <item m="1" x="55"/>
        <item m="1" x="56"/>
        <item m="1" x="57"/>
        <item m="1" x="58"/>
        <item m="1" x="59"/>
        <item m="1" x="60"/>
        <item m="1" x="61"/>
        <item x="8"/>
        <item x="6"/>
        <item m="1" x="62"/>
        <item m="1" x="63"/>
        <item m="1" x="64"/>
        <item m="1" x="65"/>
        <item m="1" x="66"/>
        <item m="1" x="67"/>
        <item m="1" x="68"/>
        <item x="21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x="0"/>
        <item m="1" x="80"/>
        <item m="1" x="81"/>
        <item m="1" x="82"/>
        <item m="1" x="83"/>
        <item m="1" x="84"/>
        <item m="1" x="85"/>
        <item m="1" x="86"/>
        <item x="4"/>
        <item m="1" x="87"/>
        <item m="1" x="88"/>
        <item x="20"/>
        <item m="1" x="89"/>
        <item x="16"/>
        <item m="1" x="90"/>
        <item m="1" x="91"/>
        <item m="1" x="92"/>
        <item m="1" x="93"/>
        <item m="1" x="94"/>
        <item m="1" x="95"/>
        <item x="3"/>
        <item m="1" x="96"/>
        <item x="14"/>
        <item m="1" x="97"/>
        <item x="11"/>
        <item x="15"/>
        <item x="2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0"/>
  </rowFields>
  <rowItems count="24">
    <i>
      <x/>
    </i>
    <i>
      <x v="7"/>
    </i>
    <i>
      <x v="14"/>
    </i>
    <i>
      <x v="21"/>
    </i>
    <i>
      <x v="22"/>
    </i>
    <i>
      <x v="24"/>
    </i>
    <i>
      <x v="25"/>
    </i>
    <i>
      <x v="38"/>
    </i>
    <i>
      <x v="42"/>
    </i>
    <i>
      <x v="43"/>
    </i>
    <i>
      <x v="51"/>
    </i>
    <i>
      <x v="52"/>
    </i>
    <i>
      <x v="60"/>
    </i>
    <i>
      <x v="72"/>
    </i>
    <i>
      <x v="80"/>
    </i>
    <i>
      <x v="83"/>
    </i>
    <i>
      <x v="85"/>
    </i>
    <i>
      <x v="92"/>
    </i>
    <i>
      <x v="94"/>
    </i>
    <i>
      <x v="96"/>
    </i>
    <i>
      <x v="97"/>
    </i>
    <i>
      <x v="98"/>
    </i>
    <i>
      <x v="99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PS49E" fld="11" baseField="0" baseItem="0"/>
    <dataField name="Sum of PS49M" fld="25" baseField="0" baseItem="0"/>
    <dataField name="Sum of PS49H" fld="39" baseField="0" baseItem="0"/>
    <dataField name="Sum of PS49E09" fld="53" baseField="0" baseItem="0"/>
    <dataField name="Sum of PS49E97" fld="67" baseField="0" baseItem="0"/>
    <dataField name="Sum of PS49M97" fld="81" baseField="0" baseItem="0"/>
    <dataField name="Sum of PS49H97" fld="95" baseField="0" baseItem="0"/>
    <dataField name="Sum of PS49E21" fld="109" baseField="0" baseItem="0"/>
    <dataField name="Sum of PS49M21" fld="123" baseField="0" baseItem="0"/>
    <dataField name="Sum of PS49H21" fld="13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E7E4C0-3AE4-4120-8941-58117B7BBE69}" name="PivotTable1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K27" firstHeaderRow="0" firstDataRow="1" firstDataCol="1"/>
  <pivotFields count="143">
    <pivotField axis="axisRow" showAll="0" sortType="ascending">
      <items count="101">
        <item x="10"/>
        <item m="1" x="23"/>
        <item m="1" x="24"/>
        <item m="1" x="25"/>
        <item m="1" x="26"/>
        <item m="1" x="27"/>
        <item m="1" x="28"/>
        <item x="7"/>
        <item m="1" x="29"/>
        <item m="1" x="30"/>
        <item m="1" x="31"/>
        <item m="1" x="32"/>
        <item m="1" x="33"/>
        <item m="1" x="34"/>
        <item x="1"/>
        <item m="1" x="35"/>
        <item m="1" x="36"/>
        <item m="1" x="37"/>
        <item m="1" x="38"/>
        <item m="1" x="39"/>
        <item m="1" x="40"/>
        <item x="18"/>
        <item x="13"/>
        <item m="1" x="41"/>
        <item x="19"/>
        <item x="17"/>
        <item m="1" x="42"/>
        <item m="1" x="98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x="5"/>
        <item m="1" x="53"/>
        <item m="1" x="54"/>
        <item m="1" x="99"/>
        <item x="9"/>
        <item x="12"/>
        <item m="1" x="55"/>
        <item m="1" x="56"/>
        <item m="1" x="57"/>
        <item m="1" x="58"/>
        <item m="1" x="59"/>
        <item m="1" x="60"/>
        <item m="1" x="61"/>
        <item x="8"/>
        <item x="6"/>
        <item m="1" x="62"/>
        <item m="1" x="63"/>
        <item m="1" x="64"/>
        <item m="1" x="65"/>
        <item m="1" x="66"/>
        <item m="1" x="67"/>
        <item m="1" x="68"/>
        <item x="21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x="0"/>
        <item m="1" x="80"/>
        <item m="1" x="81"/>
        <item m="1" x="82"/>
        <item m="1" x="83"/>
        <item m="1" x="84"/>
        <item m="1" x="85"/>
        <item m="1" x="86"/>
        <item x="4"/>
        <item m="1" x="87"/>
        <item m="1" x="88"/>
        <item x="20"/>
        <item m="1" x="89"/>
        <item x="16"/>
        <item m="1" x="90"/>
        <item m="1" x="91"/>
        <item m="1" x="92"/>
        <item m="1" x="93"/>
        <item m="1" x="94"/>
        <item m="1" x="95"/>
        <item x="3"/>
        <item m="1" x="96"/>
        <item x="14"/>
        <item m="1" x="97"/>
        <item x="11"/>
        <item x="15"/>
        <item x="2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0"/>
  </rowFields>
  <rowItems count="24">
    <i>
      <x/>
    </i>
    <i>
      <x v="7"/>
    </i>
    <i>
      <x v="14"/>
    </i>
    <i>
      <x v="21"/>
    </i>
    <i>
      <x v="22"/>
    </i>
    <i>
      <x v="24"/>
    </i>
    <i>
      <x v="25"/>
    </i>
    <i>
      <x v="38"/>
    </i>
    <i>
      <x v="42"/>
    </i>
    <i>
      <x v="43"/>
    </i>
    <i>
      <x v="51"/>
    </i>
    <i>
      <x v="52"/>
    </i>
    <i>
      <x v="60"/>
    </i>
    <i>
      <x v="72"/>
    </i>
    <i>
      <x v="80"/>
    </i>
    <i>
      <x v="83"/>
    </i>
    <i>
      <x v="85"/>
    </i>
    <i>
      <x v="92"/>
    </i>
    <i>
      <x v="94"/>
    </i>
    <i>
      <x v="96"/>
    </i>
    <i>
      <x v="97"/>
    </i>
    <i>
      <x v="98"/>
    </i>
    <i>
      <x v="99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PS64E" fld="12" baseField="0" baseItem="0"/>
    <dataField name="Sum of PS64M" fld="26" baseField="0" baseItem="0"/>
    <dataField name="Sum of PS64H" fld="40" baseField="0" baseItem="0"/>
    <dataField name="Sum of PS64E09" fld="54" baseField="0" baseItem="0"/>
    <dataField name="Sum of PS64E97" fld="68" baseField="0" baseItem="0"/>
    <dataField name="Sum of PS64M97" fld="82" baseField="0" baseItem="0"/>
    <dataField name="Sum of PS64H97" fld="96" baseField="0" baseItem="0"/>
    <dataField name="Sum of PS64E21" fld="110" baseField="0" baseItem="0"/>
    <dataField name="Sum of PS64M21" fld="124" baseField="0" baseItem="0"/>
    <dataField name="Sum of PS64H21" fld="13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4B7893-2290-41D1-8FB5-39AB2F294997}" name="PivotTable1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K27" firstHeaderRow="0" firstDataRow="1" firstDataCol="1"/>
  <pivotFields count="143">
    <pivotField axis="axisRow" showAll="0" sortType="ascending">
      <items count="101">
        <item x="10"/>
        <item m="1" x="23"/>
        <item m="1" x="24"/>
        <item m="1" x="25"/>
        <item m="1" x="26"/>
        <item m="1" x="27"/>
        <item m="1" x="28"/>
        <item x="7"/>
        <item m="1" x="29"/>
        <item m="1" x="30"/>
        <item m="1" x="31"/>
        <item m="1" x="32"/>
        <item m="1" x="33"/>
        <item m="1" x="34"/>
        <item x="1"/>
        <item m="1" x="35"/>
        <item m="1" x="36"/>
        <item m="1" x="37"/>
        <item m="1" x="38"/>
        <item m="1" x="39"/>
        <item m="1" x="40"/>
        <item x="18"/>
        <item x="13"/>
        <item m="1" x="41"/>
        <item x="19"/>
        <item x="17"/>
        <item m="1" x="42"/>
        <item m="1" x="98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x="5"/>
        <item m="1" x="53"/>
        <item m="1" x="54"/>
        <item m="1" x="99"/>
        <item x="9"/>
        <item x="12"/>
        <item m="1" x="55"/>
        <item m="1" x="56"/>
        <item m="1" x="57"/>
        <item m="1" x="58"/>
        <item m="1" x="59"/>
        <item m="1" x="60"/>
        <item m="1" x="61"/>
        <item x="8"/>
        <item x="6"/>
        <item m="1" x="62"/>
        <item m="1" x="63"/>
        <item m="1" x="64"/>
        <item m="1" x="65"/>
        <item m="1" x="66"/>
        <item m="1" x="67"/>
        <item m="1" x="68"/>
        <item x="21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x="0"/>
        <item m="1" x="80"/>
        <item m="1" x="81"/>
        <item m="1" x="82"/>
        <item m="1" x="83"/>
        <item m="1" x="84"/>
        <item m="1" x="85"/>
        <item m="1" x="86"/>
        <item x="4"/>
        <item m="1" x="87"/>
        <item m="1" x="88"/>
        <item x="20"/>
        <item m="1" x="89"/>
        <item x="16"/>
        <item m="1" x="90"/>
        <item m="1" x="91"/>
        <item m="1" x="92"/>
        <item m="1" x="93"/>
        <item m="1" x="94"/>
        <item m="1" x="95"/>
        <item x="3"/>
        <item m="1" x="96"/>
        <item x="14"/>
        <item m="1" x="97"/>
        <item x="11"/>
        <item x="15"/>
        <item x="2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0"/>
  </rowFields>
  <rowItems count="24">
    <i>
      <x/>
    </i>
    <i>
      <x v="7"/>
    </i>
    <i>
      <x v="14"/>
    </i>
    <i>
      <x v="21"/>
    </i>
    <i>
      <x v="22"/>
    </i>
    <i>
      <x v="24"/>
    </i>
    <i>
      <x v="25"/>
    </i>
    <i>
      <x v="38"/>
    </i>
    <i>
      <x v="42"/>
    </i>
    <i>
      <x v="43"/>
    </i>
    <i>
      <x v="51"/>
    </i>
    <i>
      <x v="52"/>
    </i>
    <i>
      <x v="60"/>
    </i>
    <i>
      <x v="72"/>
    </i>
    <i>
      <x v="80"/>
    </i>
    <i>
      <x v="83"/>
    </i>
    <i>
      <x v="85"/>
    </i>
    <i>
      <x v="92"/>
    </i>
    <i>
      <x v="94"/>
    </i>
    <i>
      <x v="96"/>
    </i>
    <i>
      <x v="97"/>
    </i>
    <i>
      <x v="98"/>
    </i>
    <i>
      <x v="99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PS24E" fld="13" baseField="0" baseItem="0"/>
    <dataField name="Sum of PS24M" fld="27" baseField="0" baseItem="0"/>
    <dataField name="Sum of PS24H" fld="41" baseField="0" baseItem="0"/>
    <dataField name="Sum of PS24E09" fld="55" baseField="0" baseItem="0"/>
    <dataField name="Sum of PS24E97" fld="69" baseField="0" baseItem="0"/>
    <dataField name="Sum of PS24M97" fld="83" baseField="0" baseItem="0"/>
    <dataField name="Sum of PS24H97" fld="97" baseField="0" baseItem="0"/>
    <dataField name="Sum of PS24E21" fld="111" baseField="0" baseItem="0"/>
    <dataField name="Sum of PS24M21" fld="125" baseField="0" baseItem="0"/>
    <dataField name="Sum of PS24H21" fld="13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42C4E8-94D6-4290-B545-863335D317F2}" name="PivotTable1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K27" firstHeaderRow="0" firstDataRow="1" firstDataCol="1"/>
  <pivotFields count="143">
    <pivotField axis="axisRow" showAll="0" sortType="ascending">
      <items count="101">
        <item x="10"/>
        <item m="1" x="23"/>
        <item m="1" x="24"/>
        <item m="1" x="25"/>
        <item m="1" x="26"/>
        <item m="1" x="27"/>
        <item m="1" x="28"/>
        <item x="7"/>
        <item m="1" x="29"/>
        <item m="1" x="30"/>
        <item m="1" x="31"/>
        <item m="1" x="32"/>
        <item m="1" x="33"/>
        <item m="1" x="34"/>
        <item x="1"/>
        <item m="1" x="35"/>
        <item m="1" x="36"/>
        <item m="1" x="37"/>
        <item m="1" x="38"/>
        <item m="1" x="39"/>
        <item m="1" x="40"/>
        <item x="18"/>
        <item x="13"/>
        <item m="1" x="41"/>
        <item x="19"/>
        <item x="17"/>
        <item m="1" x="42"/>
        <item m="1" x="98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x="5"/>
        <item m="1" x="53"/>
        <item m="1" x="54"/>
        <item m="1" x="99"/>
        <item x="9"/>
        <item x="12"/>
        <item m="1" x="55"/>
        <item m="1" x="56"/>
        <item m="1" x="57"/>
        <item m="1" x="58"/>
        <item m="1" x="59"/>
        <item m="1" x="60"/>
        <item m="1" x="61"/>
        <item x="8"/>
        <item x="6"/>
        <item m="1" x="62"/>
        <item m="1" x="63"/>
        <item m="1" x="64"/>
        <item m="1" x="65"/>
        <item m="1" x="66"/>
        <item m="1" x="67"/>
        <item m="1" x="68"/>
        <item x="21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x="0"/>
        <item m="1" x="80"/>
        <item m="1" x="81"/>
        <item m="1" x="82"/>
        <item m="1" x="83"/>
        <item m="1" x="84"/>
        <item m="1" x="85"/>
        <item m="1" x="86"/>
        <item x="4"/>
        <item m="1" x="87"/>
        <item m="1" x="88"/>
        <item x="20"/>
        <item m="1" x="89"/>
        <item x="16"/>
        <item m="1" x="90"/>
        <item m="1" x="91"/>
        <item m="1" x="92"/>
        <item m="1" x="93"/>
        <item m="1" x="94"/>
        <item m="1" x="95"/>
        <item x="3"/>
        <item m="1" x="96"/>
        <item x="14"/>
        <item m="1" x="97"/>
        <item x="11"/>
        <item x="15"/>
        <item x="2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1">
    <field x="0"/>
  </rowFields>
  <rowItems count="24">
    <i>
      <x/>
    </i>
    <i>
      <x v="7"/>
    </i>
    <i>
      <x v="14"/>
    </i>
    <i>
      <x v="21"/>
    </i>
    <i>
      <x v="22"/>
    </i>
    <i>
      <x v="24"/>
    </i>
    <i>
      <x v="25"/>
    </i>
    <i>
      <x v="38"/>
    </i>
    <i>
      <x v="42"/>
    </i>
    <i>
      <x v="43"/>
    </i>
    <i>
      <x v="51"/>
    </i>
    <i>
      <x v="52"/>
    </i>
    <i>
      <x v="60"/>
    </i>
    <i>
      <x v="72"/>
    </i>
    <i>
      <x v="80"/>
    </i>
    <i>
      <x v="83"/>
    </i>
    <i>
      <x v="85"/>
    </i>
    <i>
      <x v="92"/>
    </i>
    <i>
      <x v="94"/>
    </i>
    <i>
      <x v="96"/>
    </i>
    <i>
      <x v="97"/>
    </i>
    <i>
      <x v="98"/>
    </i>
    <i>
      <x v="99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PS25E" fld="14" baseField="0" baseItem="0"/>
    <dataField name="Sum of PS25M" fld="28" baseField="0" baseItem="0"/>
    <dataField name="Sum of PS25H" fld="42" baseField="0" baseItem="0"/>
    <dataField name="Sum of PS25E09" fld="56" baseField="0" baseItem="0"/>
    <dataField name="Sum of PS25E97" fld="70" baseField="0" baseItem="0"/>
    <dataField name="Sum of PS25M97" fld="84" baseField="0" baseItem="0"/>
    <dataField name="Sum of PS25H97" fld="98" baseField="0" baseItem="0"/>
    <dataField name="Sum of PS25E21" fld="112" baseField="0" baseItem="0"/>
    <dataField name="Sum of PS25M21" fld="126" baseField="0" baseItem="0"/>
    <dataField name="Sum of PS25H21" fld="14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A61D58-C603-4944-859E-949284C4AABB}" name="PivotTable1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K27" firstHeaderRow="0" firstDataRow="1" firstDataCol="1"/>
  <pivotFields count="143">
    <pivotField axis="axisRow" showAll="0" sortType="ascending">
      <items count="101">
        <item x="10"/>
        <item m="1" x="23"/>
        <item m="1" x="24"/>
        <item m="1" x="25"/>
        <item m="1" x="26"/>
        <item m="1" x="27"/>
        <item m="1" x="28"/>
        <item x="7"/>
        <item m="1" x="29"/>
        <item m="1" x="30"/>
        <item m="1" x="31"/>
        <item m="1" x="32"/>
        <item m="1" x="33"/>
        <item m="1" x="34"/>
        <item x="1"/>
        <item m="1" x="35"/>
        <item m="1" x="36"/>
        <item m="1" x="37"/>
        <item m="1" x="38"/>
        <item m="1" x="39"/>
        <item m="1" x="40"/>
        <item x="18"/>
        <item x="13"/>
        <item m="1" x="41"/>
        <item x="19"/>
        <item x="17"/>
        <item m="1" x="42"/>
        <item m="1" x="98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x="5"/>
        <item m="1" x="53"/>
        <item m="1" x="54"/>
        <item m="1" x="99"/>
        <item x="9"/>
        <item x="12"/>
        <item m="1" x="55"/>
        <item m="1" x="56"/>
        <item m="1" x="57"/>
        <item m="1" x="58"/>
        <item m="1" x="59"/>
        <item m="1" x="60"/>
        <item m="1" x="61"/>
        <item x="8"/>
        <item x="6"/>
        <item m="1" x="62"/>
        <item m="1" x="63"/>
        <item m="1" x="64"/>
        <item m="1" x="65"/>
        <item m="1" x="66"/>
        <item m="1" x="67"/>
        <item m="1" x="68"/>
        <item x="21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x="0"/>
        <item m="1" x="80"/>
        <item m="1" x="81"/>
        <item m="1" x="82"/>
        <item m="1" x="83"/>
        <item m="1" x="84"/>
        <item m="1" x="85"/>
        <item m="1" x="86"/>
        <item x="4"/>
        <item m="1" x="87"/>
        <item m="1" x="88"/>
        <item x="20"/>
        <item m="1" x="89"/>
        <item x="16"/>
        <item m="1" x="90"/>
        <item m="1" x="91"/>
        <item m="1" x="92"/>
        <item m="1" x="93"/>
        <item m="1" x="94"/>
        <item m="1" x="95"/>
        <item x="3"/>
        <item m="1" x="96"/>
        <item x="14"/>
        <item m="1" x="97"/>
        <item x="11"/>
        <item x="15"/>
        <item x="2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</pivotFields>
  <rowFields count="1">
    <field x="0"/>
  </rowFields>
  <rowItems count="24">
    <i>
      <x/>
    </i>
    <i>
      <x v="7"/>
    </i>
    <i>
      <x v="14"/>
    </i>
    <i>
      <x v="21"/>
    </i>
    <i>
      <x v="22"/>
    </i>
    <i>
      <x v="24"/>
    </i>
    <i>
      <x v="25"/>
    </i>
    <i>
      <x v="38"/>
    </i>
    <i>
      <x v="42"/>
    </i>
    <i>
      <x v="43"/>
    </i>
    <i>
      <x v="51"/>
    </i>
    <i>
      <x v="52"/>
    </i>
    <i>
      <x v="60"/>
    </i>
    <i>
      <x v="72"/>
    </i>
    <i>
      <x v="80"/>
    </i>
    <i>
      <x v="83"/>
    </i>
    <i>
      <x v="85"/>
    </i>
    <i>
      <x v="92"/>
    </i>
    <i>
      <x v="94"/>
    </i>
    <i>
      <x v="96"/>
    </i>
    <i>
      <x v="97"/>
    </i>
    <i>
      <x v="98"/>
    </i>
    <i>
      <x v="99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PS26E" fld="15" baseField="0" baseItem="0"/>
    <dataField name="Sum of PS26M" fld="29" baseField="0" baseItem="0"/>
    <dataField name="Sum of PS26H" fld="43" baseField="0" baseItem="0"/>
    <dataField name="Sum of PS26E09" fld="57" baseField="0" baseItem="0"/>
    <dataField name="Sum of PS26E97" fld="71" baseField="0" baseItem="0"/>
    <dataField name="Sum of PS26M97" fld="85" baseField="0" baseItem="0"/>
    <dataField name="Sum of PS26H97" fld="99" baseField="0" baseItem="0"/>
    <dataField name="Sum of PS26E21" fld="113" baseField="0" baseItem="0"/>
    <dataField name="Sum of PS26M21" fld="127" baseField="0" baseItem="0"/>
    <dataField name="Sum of PS26H21" fld="14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8DC527-CDB3-4AB7-85D6-C8A6EC1F2130}" name="PivotTable1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K27" firstHeaderRow="0" firstDataRow="1" firstDataCol="1"/>
  <pivotFields count="143">
    <pivotField axis="axisRow" showAll="0" sortType="ascending">
      <items count="101">
        <item x="10"/>
        <item m="1" x="23"/>
        <item m="1" x="24"/>
        <item m="1" x="25"/>
        <item m="1" x="26"/>
        <item m="1" x="27"/>
        <item m="1" x="28"/>
        <item x="7"/>
        <item m="1" x="29"/>
        <item m="1" x="30"/>
        <item m="1" x="31"/>
        <item m="1" x="32"/>
        <item m="1" x="33"/>
        <item m="1" x="34"/>
        <item x="1"/>
        <item m="1" x="35"/>
        <item m="1" x="36"/>
        <item m="1" x="37"/>
        <item m="1" x="38"/>
        <item m="1" x="39"/>
        <item m="1" x="40"/>
        <item x="18"/>
        <item x="13"/>
        <item m="1" x="41"/>
        <item x="19"/>
        <item x="17"/>
        <item m="1" x="42"/>
        <item m="1" x="98"/>
        <item m="1" x="43"/>
        <item m="1" x="44"/>
        <item m="1" x="45"/>
        <item m="1" x="46"/>
        <item m="1" x="47"/>
        <item m="1" x="48"/>
        <item m="1" x="49"/>
        <item m="1" x="50"/>
        <item m="1" x="51"/>
        <item m="1" x="52"/>
        <item x="5"/>
        <item m="1" x="53"/>
        <item m="1" x="54"/>
        <item m="1" x="99"/>
        <item x="9"/>
        <item x="12"/>
        <item m="1" x="55"/>
        <item m="1" x="56"/>
        <item m="1" x="57"/>
        <item m="1" x="58"/>
        <item m="1" x="59"/>
        <item m="1" x="60"/>
        <item m="1" x="61"/>
        <item x="8"/>
        <item x="6"/>
        <item m="1" x="62"/>
        <item m="1" x="63"/>
        <item m="1" x="64"/>
        <item m="1" x="65"/>
        <item m="1" x="66"/>
        <item m="1" x="67"/>
        <item m="1" x="68"/>
        <item x="21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x="0"/>
        <item m="1" x="80"/>
        <item m="1" x="81"/>
        <item m="1" x="82"/>
        <item m="1" x="83"/>
        <item m="1" x="84"/>
        <item m="1" x="85"/>
        <item m="1" x="86"/>
        <item x="4"/>
        <item m="1" x="87"/>
        <item m="1" x="88"/>
        <item x="20"/>
        <item m="1" x="89"/>
        <item x="16"/>
        <item m="1" x="90"/>
        <item m="1" x="91"/>
        <item m="1" x="92"/>
        <item m="1" x="93"/>
        <item m="1" x="94"/>
        <item m="1" x="95"/>
        <item x="3"/>
        <item m="1" x="96"/>
        <item x="14"/>
        <item m="1" x="97"/>
        <item x="11"/>
        <item x="15"/>
        <item x="2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0"/>
  </rowFields>
  <rowItems count="24">
    <i>
      <x/>
    </i>
    <i>
      <x v="7"/>
    </i>
    <i>
      <x v="14"/>
    </i>
    <i>
      <x v="21"/>
    </i>
    <i>
      <x v="22"/>
    </i>
    <i>
      <x v="24"/>
    </i>
    <i>
      <x v="25"/>
    </i>
    <i>
      <x v="38"/>
    </i>
    <i>
      <x v="42"/>
    </i>
    <i>
      <x v="43"/>
    </i>
    <i>
      <x v="51"/>
    </i>
    <i>
      <x v="52"/>
    </i>
    <i>
      <x v="60"/>
    </i>
    <i>
      <x v="72"/>
    </i>
    <i>
      <x v="80"/>
    </i>
    <i>
      <x v="83"/>
    </i>
    <i>
      <x v="85"/>
    </i>
    <i>
      <x v="92"/>
    </i>
    <i>
      <x v="94"/>
    </i>
    <i>
      <x v="96"/>
    </i>
    <i>
      <x v="97"/>
    </i>
    <i>
      <x v="98"/>
    </i>
    <i>
      <x v="99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PS35E" fld="16" baseField="0" baseItem="0"/>
    <dataField name="Sum of PS35M" fld="30" baseField="0" baseItem="0"/>
    <dataField name="Sum of PS35H" fld="44" baseField="0" baseItem="0"/>
    <dataField name="Sum of PS35E97" fld="72" baseField="0" baseItem="0"/>
    <dataField name="Sum of PS35M97" fld="86" baseField="0" baseItem="0"/>
    <dataField name="Sum of PS35H97" fld="100" baseField="0" baseItem="0"/>
    <dataField name="Sum of PS35E21" fld="114" baseField="0" baseItem="0"/>
    <dataField name="Sum of PS35M21" fld="128" baseField="0" baseItem="0"/>
    <dataField name="Sum of PS35H21" fld="142" baseField="0" baseItem="0"/>
    <dataField name="Sum of PS35E09" fld="5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B6743A-E3A3-47C5-BB32-C1975D64F58B}" name="PivotTable5" cacheId="1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>
  <location ref="CB1:CD18" firstHeaderRow="2" firstDataRow="2" firstDataCol="2"/>
  <pivotFields count="17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6">
        <item x="4"/>
        <item x="5"/>
        <item x="6"/>
        <item x="13"/>
        <item x="7"/>
        <item x="8"/>
        <item x="9"/>
        <item x="11"/>
        <item x="10"/>
        <item x="12"/>
        <item x="0"/>
        <item x="1"/>
        <item x="2"/>
        <item x="3"/>
        <item x="14"/>
        <item m="1" x="15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7">
        <item x="10"/>
        <item x="12"/>
        <item x="5"/>
        <item x="0"/>
        <item x="2"/>
        <item x="9"/>
        <item x="6"/>
        <item x="4"/>
        <item x="11"/>
        <item x="8"/>
        <item x="1"/>
        <item x="3"/>
        <item x="13"/>
        <item x="7"/>
        <item x="14"/>
        <item m="1" x="15"/>
        <item t="default"/>
      </items>
    </pivotField>
  </pivotFields>
  <rowFields count="2">
    <field x="8"/>
    <field x="16"/>
  </rowFields>
  <rowItems count="16">
    <i>
      <x/>
      <x v="7"/>
    </i>
    <i>
      <x v="1"/>
      <x v="2"/>
    </i>
    <i>
      <x v="2"/>
      <x v="6"/>
    </i>
    <i>
      <x v="3"/>
      <x v="12"/>
    </i>
    <i>
      <x v="4"/>
      <x v="13"/>
    </i>
    <i>
      <x v="5"/>
      <x v="9"/>
    </i>
    <i>
      <x v="6"/>
      <x v="5"/>
    </i>
    <i>
      <x v="7"/>
      <x v="8"/>
    </i>
    <i>
      <x v="8"/>
      <x/>
    </i>
    <i>
      <x v="9"/>
      <x v="1"/>
    </i>
    <i>
      <x v="10"/>
      <x v="3"/>
    </i>
    <i>
      <x v="11"/>
      <x v="10"/>
    </i>
    <i>
      <x v="12"/>
      <x v="4"/>
    </i>
    <i>
      <x v="13"/>
      <x v="11"/>
    </i>
    <i>
      <x v="14"/>
      <x v="14"/>
    </i>
    <i t="grand">
      <x/>
    </i>
  </rowItems>
  <colItems count="1">
    <i/>
  </colItems>
  <dataFields count="1">
    <dataField name="Sum of Amount" fld="12" baseField="0" baseItem="0" numFmtId="170"/>
  </dataFields>
  <formats count="2">
    <format dxfId="17">
      <pivotArea field="8" type="button" dataOnly="0" labelOnly="1" outline="0" axis="axisRow" fieldPosition="0"/>
    </format>
    <format dxfId="1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E125CA-324E-4A0A-8563-03E944761AE2}" name="PivotTable27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A3:BB104" firstHeaderRow="1" firstDataRow="1" firstDataCol="1" rowPageCount="1" colPageCount="1"/>
  <pivotFields count="16">
    <pivotField showAll="0"/>
    <pivotField axis="axisPage" showAll="0">
      <items count="311">
        <item x="65"/>
        <item x="136"/>
        <item x="147"/>
        <item x="199"/>
        <item x="211"/>
        <item x="4"/>
        <item x="96"/>
        <item x="112"/>
        <item x="31"/>
        <item x="93"/>
        <item x="266"/>
        <item x="186"/>
        <item x="268"/>
        <item x="111"/>
        <item x="162"/>
        <item x="41"/>
        <item x="81"/>
        <item x="197"/>
        <item x="30"/>
        <item x="21"/>
        <item x="15"/>
        <item x="14"/>
        <item x="36"/>
        <item x="116"/>
        <item x="125"/>
        <item x="114"/>
        <item x="227"/>
        <item x="144"/>
        <item x="142"/>
        <item x="229"/>
        <item x="239"/>
        <item x="190"/>
        <item x="83"/>
        <item x="3"/>
        <item x="123"/>
        <item x="183"/>
        <item x="278"/>
        <item x="261"/>
        <item x="282"/>
        <item x="246"/>
        <item x="263"/>
        <item x="242"/>
        <item x="196"/>
        <item x="201"/>
        <item x="73"/>
        <item x="78"/>
        <item x="19"/>
        <item x="47"/>
        <item x="174"/>
        <item x="118"/>
        <item x="218"/>
        <item x="151"/>
        <item x="33"/>
        <item x="233"/>
        <item x="181"/>
        <item x="230"/>
        <item x="290"/>
        <item x="43"/>
        <item x="119"/>
        <item x="187"/>
        <item x="210"/>
        <item x="121"/>
        <item x="70"/>
        <item x="283"/>
        <item x="12"/>
        <item x="87"/>
        <item x="62"/>
        <item x="133"/>
        <item x="207"/>
        <item x="29"/>
        <item x="245"/>
        <item x="86"/>
        <item x="267"/>
        <item x="189"/>
        <item x="8"/>
        <item x="185"/>
        <item x="228"/>
        <item x="280"/>
        <item x="127"/>
        <item x="130"/>
        <item x="64"/>
        <item x="293"/>
        <item x="297"/>
        <item x="219"/>
        <item x="27"/>
        <item x="255"/>
        <item x="150"/>
        <item x="296"/>
        <item x="89"/>
        <item x="25"/>
        <item x="158"/>
        <item x="66"/>
        <item x="191"/>
        <item x="107"/>
        <item x="108"/>
        <item x="49"/>
        <item x="213"/>
        <item x="99"/>
        <item x="37"/>
        <item x="46"/>
        <item x="39"/>
        <item x="5"/>
        <item x="102"/>
        <item x="249"/>
        <item x="7"/>
        <item x="122"/>
        <item x="128"/>
        <item x="26"/>
        <item x="200"/>
        <item x="275"/>
        <item x="13"/>
        <item x="72"/>
        <item x="208"/>
        <item x="101"/>
        <item x="216"/>
        <item x="231"/>
        <item x="1"/>
        <item x="34"/>
        <item x="243"/>
        <item x="194"/>
        <item x="236"/>
        <item x="274"/>
        <item x="269"/>
        <item x="292"/>
        <item x="11"/>
        <item x="155"/>
        <item x="247"/>
        <item x="212"/>
        <item x="68"/>
        <item x="226"/>
        <item x="225"/>
        <item x="88"/>
        <item x="270"/>
        <item x="164"/>
        <item x="205"/>
        <item x="214"/>
        <item x="69"/>
        <item x="135"/>
        <item x="61"/>
        <item x="134"/>
        <item x="301"/>
        <item x="272"/>
        <item x="204"/>
        <item x="202"/>
        <item x="105"/>
        <item x="209"/>
        <item x="288"/>
        <item x="132"/>
        <item x="171"/>
        <item x="159"/>
        <item x="173"/>
        <item x="224"/>
        <item x="271"/>
        <item x="67"/>
        <item x="52"/>
        <item x="113"/>
        <item x="157"/>
        <item x="251"/>
        <item x="103"/>
        <item x="77"/>
        <item x="286"/>
        <item x="76"/>
        <item x="168"/>
        <item x="75"/>
        <item x="148"/>
        <item x="161"/>
        <item x="253"/>
        <item x="160"/>
        <item x="140"/>
        <item x="193"/>
        <item x="222"/>
        <item x="48"/>
        <item x="40"/>
        <item x="166"/>
        <item x="182"/>
        <item x="0"/>
        <item x="279"/>
        <item x="51"/>
        <item x="163"/>
        <item x="141"/>
        <item x="184"/>
        <item x="156"/>
        <item x="54"/>
        <item x="18"/>
        <item x="84"/>
        <item x="265"/>
        <item m="1" x="306"/>
        <item x="9"/>
        <item x="277"/>
        <item x="177"/>
        <item x="82"/>
        <item x="23"/>
        <item x="22"/>
        <item x="56"/>
        <item x="254"/>
        <item x="169"/>
        <item x="146"/>
        <item x="91"/>
        <item x="50"/>
        <item x="10"/>
        <item x="32"/>
        <item x="2"/>
        <item x="234"/>
        <item x="95"/>
        <item x="256"/>
        <item x="284"/>
        <item x="60"/>
        <item x="195"/>
        <item x="85"/>
        <item x="198"/>
        <item x="291"/>
        <item x="175"/>
        <item x="20"/>
        <item x="154"/>
        <item x="100"/>
        <item x="203"/>
        <item x="92"/>
        <item x="215"/>
        <item x="98"/>
        <item x="59"/>
        <item x="170"/>
        <item x="115"/>
        <item x="79"/>
        <item x="152"/>
        <item x="235"/>
        <item x="221"/>
        <item x="145"/>
        <item x="285"/>
        <item x="220"/>
        <item x="176"/>
        <item x="206"/>
        <item x="217"/>
        <item x="244"/>
        <item x="180"/>
        <item x="294"/>
        <item x="117"/>
        <item x="178"/>
        <item x="71"/>
        <item x="97"/>
        <item x="257"/>
        <item x="120"/>
        <item x="139"/>
        <item x="165"/>
        <item x="295"/>
        <item x="35"/>
        <item x="126"/>
        <item x="94"/>
        <item x="252"/>
        <item x="287"/>
        <item x="179"/>
        <item x="241"/>
        <item x="24"/>
        <item x="90"/>
        <item x="258"/>
        <item x="259"/>
        <item x="55"/>
        <item x="260"/>
        <item x="299"/>
        <item x="57"/>
        <item x="28"/>
        <item x="45"/>
        <item x="240"/>
        <item x="16"/>
        <item x="232"/>
        <item x="300"/>
        <item x="273"/>
        <item x="143"/>
        <item x="188"/>
        <item x="131"/>
        <item x="109"/>
        <item x="149"/>
        <item x="172"/>
        <item x="63"/>
        <item x="137"/>
        <item x="74"/>
        <item x="124"/>
        <item x="38"/>
        <item x="289"/>
        <item x="250"/>
        <item x="298"/>
        <item x="304"/>
        <item x="110"/>
        <item x="6"/>
        <item x="106"/>
        <item x="192"/>
        <item x="104"/>
        <item m="1" x="308"/>
        <item x="44"/>
        <item x="276"/>
        <item x="167"/>
        <item x="281"/>
        <item x="138"/>
        <item x="129"/>
        <item m="1" x="305"/>
        <item x="80"/>
        <item x="153"/>
        <item m="1" x="309"/>
        <item x="264"/>
        <item x="302"/>
        <item x="303"/>
        <item x="248"/>
        <item x="238"/>
        <item x="17"/>
        <item m="1" x="307"/>
        <item x="58"/>
        <item x="223"/>
        <item x="237"/>
        <item x="53"/>
        <item x="42"/>
        <item x="262"/>
        <item t="default"/>
      </items>
    </pivotField>
    <pivotField showAll="0"/>
    <pivotField showAll="0"/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142">
        <item h="1" x="95"/>
        <item h="1" x="56"/>
        <item h="1" x="0"/>
        <item h="1" x="86"/>
        <item h="1" x="57"/>
        <item h="1" x="1"/>
        <item h="1" x="96"/>
        <item h="1" x="58"/>
        <item h="1" x="2"/>
        <item h="1" x="67"/>
        <item h="1" x="71"/>
        <item h="1" x="3"/>
        <item h="1" x="4"/>
        <item h="1" x="53"/>
        <item h="1" x="5"/>
        <item h="1" x="82"/>
        <item h="1" x="72"/>
        <item h="1" x="6"/>
        <item h="1" x="7"/>
        <item h="1" x="8"/>
        <item h="1" x="29"/>
        <item h="1" x="9"/>
        <item h="1" x="10"/>
        <item h="1" x="11"/>
        <item x="14"/>
        <item x="83"/>
        <item x="88"/>
        <item x="76"/>
        <item x="15"/>
        <item x="77"/>
        <item x="16"/>
        <item x="75"/>
        <item x="17"/>
        <item x="18"/>
        <item x="69"/>
        <item x="19"/>
        <item x="73"/>
        <item x="31"/>
        <item x="74"/>
        <item x="41"/>
        <item x="42"/>
        <item x="43"/>
        <item x="44"/>
        <item x="45"/>
        <item x="46"/>
        <item x="20"/>
        <item x="47"/>
        <item x="21"/>
        <item x="51"/>
        <item x="28"/>
        <item x="52"/>
        <item x="22"/>
        <item x="48"/>
        <item x="23"/>
        <item x="65"/>
        <item x="24"/>
        <item x="49"/>
        <item x="32"/>
        <item x="27"/>
        <item x="61"/>
        <item x="25"/>
        <item x="33"/>
        <item x="34"/>
        <item x="35"/>
        <item x="90"/>
        <item x="36"/>
        <item x="91"/>
        <item x="37"/>
        <item x="92"/>
        <item x="26"/>
        <item x="79"/>
        <item x="55"/>
        <item x="68"/>
        <item x="50"/>
        <item x="38"/>
        <item x="39"/>
        <item x="59"/>
        <item x="80"/>
        <item x="60"/>
        <item x="81"/>
        <item h="1" x="140"/>
        <item x="70"/>
        <item h="1" x="63"/>
        <item h="1" x="13"/>
        <item h="1" x="54"/>
        <item h="1" x="12"/>
        <item h="1" x="87"/>
        <item h="1" x="62"/>
        <item h="1" x="84"/>
        <item x="40"/>
        <item x="103"/>
        <item x="109"/>
        <item x="112"/>
        <item x="116"/>
        <item x="119"/>
        <item x="122"/>
        <item x="126"/>
        <item x="129"/>
        <item x="133"/>
        <item x="137"/>
        <item h="1" x="98"/>
        <item h="1" x="30"/>
        <item h="1" x="101"/>
        <item x="106"/>
        <item x="115"/>
        <item x="64"/>
        <item x="93"/>
        <item x="125"/>
        <item x="85"/>
        <item x="132"/>
        <item x="136"/>
        <item x="94"/>
        <item h="1" x="97"/>
        <item h="1" x="66"/>
        <item h="1" x="78"/>
        <item x="107"/>
        <item x="89"/>
        <item x="104"/>
        <item x="110"/>
        <item x="113"/>
        <item x="117"/>
        <item x="120"/>
        <item x="123"/>
        <item x="127"/>
        <item x="130"/>
        <item x="134"/>
        <item x="138"/>
        <item h="1" x="99"/>
        <item h="1" x="102"/>
        <item x="108"/>
        <item x="105"/>
        <item x="111"/>
        <item x="114"/>
        <item x="118"/>
        <item x="121"/>
        <item x="124"/>
        <item x="128"/>
        <item x="131"/>
        <item x="135"/>
        <item x="139"/>
        <item h="1" x="10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5"/>
  </rowFields>
  <rowItems count="101"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1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 t="grand">
      <x/>
    </i>
  </rowItems>
  <colItems count="1">
    <i/>
  </colItems>
  <pageFields count="1">
    <pageField fld="1" hier="-1"/>
  </pageFields>
  <dataFields count="1">
    <dataField name="Sum of AMOUNT" fld="12" baseField="5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7D2D69-169F-4A45-A078-9226CAC34BFA}" name="PivotTable26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C3:BD14" firstHeaderRow="1" firstDataRow="1" firstDataCol="1" rowPageCount="1" colPageCount="1"/>
  <pivotFields count="16">
    <pivotField showAll="0"/>
    <pivotField axis="axisPage" showAll="0">
      <items count="311">
        <item x="65"/>
        <item x="136"/>
        <item x="147"/>
        <item x="199"/>
        <item x="211"/>
        <item x="4"/>
        <item x="96"/>
        <item x="112"/>
        <item x="31"/>
        <item x="93"/>
        <item x="266"/>
        <item x="186"/>
        <item x="268"/>
        <item x="111"/>
        <item x="162"/>
        <item x="41"/>
        <item x="81"/>
        <item x="197"/>
        <item x="30"/>
        <item x="21"/>
        <item x="15"/>
        <item x="14"/>
        <item x="36"/>
        <item x="116"/>
        <item x="125"/>
        <item x="114"/>
        <item x="227"/>
        <item x="144"/>
        <item x="142"/>
        <item x="229"/>
        <item x="239"/>
        <item x="190"/>
        <item x="83"/>
        <item x="3"/>
        <item x="123"/>
        <item x="183"/>
        <item x="278"/>
        <item x="261"/>
        <item x="282"/>
        <item x="246"/>
        <item x="263"/>
        <item x="242"/>
        <item x="196"/>
        <item x="201"/>
        <item x="73"/>
        <item x="78"/>
        <item x="19"/>
        <item x="47"/>
        <item x="174"/>
        <item x="118"/>
        <item x="218"/>
        <item x="151"/>
        <item x="33"/>
        <item x="233"/>
        <item x="181"/>
        <item x="230"/>
        <item x="290"/>
        <item x="43"/>
        <item x="119"/>
        <item x="187"/>
        <item x="210"/>
        <item x="121"/>
        <item x="70"/>
        <item x="283"/>
        <item x="12"/>
        <item x="87"/>
        <item x="62"/>
        <item x="133"/>
        <item x="207"/>
        <item x="29"/>
        <item x="245"/>
        <item x="86"/>
        <item x="267"/>
        <item x="189"/>
        <item x="8"/>
        <item x="185"/>
        <item x="228"/>
        <item x="280"/>
        <item x="127"/>
        <item x="130"/>
        <item x="64"/>
        <item x="293"/>
        <item x="297"/>
        <item x="219"/>
        <item x="27"/>
        <item x="255"/>
        <item x="150"/>
        <item x="296"/>
        <item x="89"/>
        <item x="25"/>
        <item x="158"/>
        <item x="66"/>
        <item x="191"/>
        <item x="107"/>
        <item x="108"/>
        <item x="49"/>
        <item x="213"/>
        <item x="99"/>
        <item x="37"/>
        <item x="46"/>
        <item x="39"/>
        <item x="5"/>
        <item x="102"/>
        <item x="249"/>
        <item x="7"/>
        <item x="122"/>
        <item x="128"/>
        <item x="26"/>
        <item x="200"/>
        <item x="275"/>
        <item x="13"/>
        <item x="72"/>
        <item x="208"/>
        <item x="101"/>
        <item x="216"/>
        <item x="231"/>
        <item x="1"/>
        <item x="34"/>
        <item x="243"/>
        <item x="194"/>
        <item x="236"/>
        <item x="274"/>
        <item x="269"/>
        <item x="292"/>
        <item x="11"/>
        <item x="155"/>
        <item x="247"/>
        <item x="212"/>
        <item x="68"/>
        <item x="226"/>
        <item x="225"/>
        <item x="88"/>
        <item x="270"/>
        <item x="164"/>
        <item x="205"/>
        <item x="214"/>
        <item x="69"/>
        <item x="135"/>
        <item x="61"/>
        <item x="134"/>
        <item x="301"/>
        <item x="272"/>
        <item x="204"/>
        <item x="202"/>
        <item x="105"/>
        <item x="209"/>
        <item x="288"/>
        <item x="132"/>
        <item x="171"/>
        <item x="159"/>
        <item x="173"/>
        <item x="224"/>
        <item x="271"/>
        <item x="67"/>
        <item x="52"/>
        <item x="113"/>
        <item x="157"/>
        <item x="251"/>
        <item x="103"/>
        <item x="77"/>
        <item x="286"/>
        <item x="76"/>
        <item x="168"/>
        <item x="75"/>
        <item x="148"/>
        <item x="161"/>
        <item x="253"/>
        <item x="160"/>
        <item x="140"/>
        <item x="193"/>
        <item x="222"/>
        <item x="48"/>
        <item x="40"/>
        <item x="166"/>
        <item x="182"/>
        <item x="0"/>
        <item x="279"/>
        <item x="51"/>
        <item x="163"/>
        <item x="141"/>
        <item x="184"/>
        <item x="156"/>
        <item x="54"/>
        <item x="18"/>
        <item x="84"/>
        <item x="265"/>
        <item m="1" x="306"/>
        <item x="9"/>
        <item x="277"/>
        <item x="177"/>
        <item x="82"/>
        <item x="23"/>
        <item x="22"/>
        <item x="56"/>
        <item x="254"/>
        <item x="169"/>
        <item x="146"/>
        <item x="91"/>
        <item x="50"/>
        <item x="10"/>
        <item x="32"/>
        <item x="2"/>
        <item x="234"/>
        <item x="95"/>
        <item x="256"/>
        <item x="284"/>
        <item x="60"/>
        <item x="195"/>
        <item x="85"/>
        <item x="198"/>
        <item x="291"/>
        <item x="175"/>
        <item x="20"/>
        <item x="154"/>
        <item x="100"/>
        <item x="203"/>
        <item x="92"/>
        <item x="215"/>
        <item x="98"/>
        <item x="59"/>
        <item x="170"/>
        <item x="115"/>
        <item x="79"/>
        <item x="152"/>
        <item x="235"/>
        <item x="221"/>
        <item x="145"/>
        <item x="285"/>
        <item x="220"/>
        <item x="176"/>
        <item x="206"/>
        <item x="217"/>
        <item x="244"/>
        <item x="180"/>
        <item x="294"/>
        <item x="117"/>
        <item x="178"/>
        <item x="71"/>
        <item x="97"/>
        <item x="257"/>
        <item x="120"/>
        <item x="139"/>
        <item x="165"/>
        <item x="295"/>
        <item x="35"/>
        <item x="126"/>
        <item x="94"/>
        <item x="252"/>
        <item x="287"/>
        <item x="179"/>
        <item x="241"/>
        <item x="24"/>
        <item x="90"/>
        <item x="258"/>
        <item x="259"/>
        <item x="55"/>
        <item x="260"/>
        <item x="299"/>
        <item x="57"/>
        <item x="28"/>
        <item x="45"/>
        <item x="240"/>
        <item x="16"/>
        <item x="232"/>
        <item x="300"/>
        <item x="273"/>
        <item x="143"/>
        <item x="188"/>
        <item x="131"/>
        <item x="109"/>
        <item x="149"/>
        <item x="172"/>
        <item x="63"/>
        <item x="137"/>
        <item x="74"/>
        <item x="124"/>
        <item x="38"/>
        <item x="289"/>
        <item x="250"/>
        <item x="298"/>
        <item x="304"/>
        <item x="110"/>
        <item x="6"/>
        <item x="106"/>
        <item x="192"/>
        <item x="104"/>
        <item m="1" x="308"/>
        <item x="44"/>
        <item x="276"/>
        <item x="167"/>
        <item x="281"/>
        <item x="138"/>
        <item x="129"/>
        <item m="1" x="305"/>
        <item x="80"/>
        <item x="153"/>
        <item m="1" x="309"/>
        <item x="264"/>
        <item x="302"/>
        <item x="303"/>
        <item x="248"/>
        <item x="238"/>
        <item x="17"/>
        <item m="1" x="307"/>
        <item x="58"/>
        <item x="223"/>
        <item x="237"/>
        <item x="53"/>
        <item x="42"/>
        <item x="262"/>
        <item t="default"/>
      </items>
    </pivotField>
    <pivotField showAll="0"/>
    <pivotField showAll="0"/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142">
        <item x="95"/>
        <item x="56"/>
        <item x="0"/>
        <item x="86"/>
        <item x="57"/>
        <item x="1"/>
        <item x="96"/>
        <item x="58"/>
        <item x="2"/>
        <item h="1" x="67"/>
        <item h="1" x="71"/>
        <item h="1" x="3"/>
        <item h="1" x="4"/>
        <item h="1" x="53"/>
        <item h="1" x="5"/>
        <item h="1" x="82"/>
        <item h="1" x="72"/>
        <item h="1" x="6"/>
        <item h="1" x="7"/>
        <item h="1" x="8"/>
        <item h="1" x="29"/>
        <item h="1" x="9"/>
        <item h="1" x="10"/>
        <item h="1" x="11"/>
        <item h="1" x="14"/>
        <item h="1" x="83"/>
        <item h="1" x="88"/>
        <item h="1" x="76"/>
        <item h="1" x="15"/>
        <item h="1" x="77"/>
        <item h="1" x="16"/>
        <item h="1" x="75"/>
        <item h="1" x="17"/>
        <item h="1" x="18"/>
        <item h="1" x="69"/>
        <item h="1" x="19"/>
        <item h="1" x="73"/>
        <item h="1" x="31"/>
        <item h="1" x="74"/>
        <item h="1" x="41"/>
        <item h="1" x="42"/>
        <item h="1" x="43"/>
        <item h="1" x="44"/>
        <item h="1" x="45"/>
        <item h="1" x="46"/>
        <item h="1" x="20"/>
        <item h="1" x="47"/>
        <item h="1" x="21"/>
        <item h="1" x="51"/>
        <item h="1" x="28"/>
        <item h="1" x="52"/>
        <item h="1" x="22"/>
        <item h="1" x="48"/>
        <item h="1" x="23"/>
        <item h="1" x="65"/>
        <item h="1" x="24"/>
        <item h="1" x="49"/>
        <item h="1" x="32"/>
        <item h="1" x="27"/>
        <item h="1" x="61"/>
        <item h="1" x="25"/>
        <item h="1" x="33"/>
        <item h="1" x="34"/>
        <item h="1" x="35"/>
        <item h="1" x="90"/>
        <item h="1" x="36"/>
        <item h="1" x="91"/>
        <item h="1" x="37"/>
        <item h="1" x="92"/>
        <item h="1" x="26"/>
        <item h="1" x="79"/>
        <item h="1" x="55"/>
        <item h="1" x="68"/>
        <item h="1" x="50"/>
        <item h="1" x="38"/>
        <item h="1" x="39"/>
        <item h="1" x="59"/>
        <item h="1" x="80"/>
        <item h="1" x="60"/>
        <item h="1" x="81"/>
        <item h="1" x="140"/>
        <item h="1" x="70"/>
        <item h="1" x="63"/>
        <item h="1" x="13"/>
        <item h="1" x="54"/>
        <item h="1" x="12"/>
        <item h="1" x="87"/>
        <item h="1" x="62"/>
        <item h="1" x="84"/>
        <item h="1" x="40"/>
        <item h="1" x="103"/>
        <item h="1" x="109"/>
        <item h="1" x="112"/>
        <item h="1" x="116"/>
        <item h="1" x="119"/>
        <item h="1" x="122"/>
        <item h="1" x="126"/>
        <item h="1" x="129"/>
        <item h="1" x="133"/>
        <item h="1" x="137"/>
        <item h="1" x="98"/>
        <item h="1" x="30"/>
        <item h="1" x="101"/>
        <item h="1" x="106"/>
        <item h="1" x="115"/>
        <item h="1" x="64"/>
        <item h="1" x="93"/>
        <item h="1" x="125"/>
        <item h="1" x="85"/>
        <item h="1" x="132"/>
        <item h="1" x="136"/>
        <item h="1" x="94"/>
        <item x="97"/>
        <item h="1" x="66"/>
        <item h="1" x="78"/>
        <item h="1" x="107"/>
        <item h="1" x="89"/>
        <item h="1" x="104"/>
        <item h="1" x="110"/>
        <item h="1" x="113"/>
        <item h="1" x="117"/>
        <item h="1" x="120"/>
        <item h="1" x="123"/>
        <item h="1" x="127"/>
        <item h="1" x="130"/>
        <item h="1" x="134"/>
        <item h="1" x="138"/>
        <item h="1" x="99"/>
        <item h="1" x="102"/>
        <item h="1" x="108"/>
        <item h="1" x="105"/>
        <item h="1" x="111"/>
        <item h="1" x="114"/>
        <item h="1" x="118"/>
        <item h="1" x="121"/>
        <item h="1" x="124"/>
        <item h="1" x="128"/>
        <item h="1" x="131"/>
        <item h="1" x="135"/>
        <item h="1" x="139"/>
        <item h="1" x="10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12"/>
    </i>
    <i t="grand">
      <x/>
    </i>
  </rowItems>
  <colItems count="1">
    <i/>
  </colItems>
  <pageFields count="1">
    <pageField fld="1" hier="-1"/>
  </pageFields>
  <dataFields count="1">
    <dataField name="Sum of AMOUNT" fld="12" baseField="5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41ED7C-271F-444F-853E-D8C1C2956908}" name="PivotTable25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E3:BF14" firstHeaderRow="1" firstDataRow="1" firstDataCol="1" rowPageCount="1" colPageCount="1"/>
  <pivotFields count="16">
    <pivotField showAll="0"/>
    <pivotField axis="axisPage" showAll="0">
      <items count="311">
        <item x="65"/>
        <item x="136"/>
        <item x="147"/>
        <item x="199"/>
        <item x="211"/>
        <item x="4"/>
        <item x="96"/>
        <item x="112"/>
        <item x="31"/>
        <item x="93"/>
        <item x="266"/>
        <item x="186"/>
        <item x="268"/>
        <item x="111"/>
        <item x="162"/>
        <item x="41"/>
        <item x="81"/>
        <item x="197"/>
        <item x="30"/>
        <item x="21"/>
        <item x="15"/>
        <item x="14"/>
        <item x="36"/>
        <item x="116"/>
        <item x="125"/>
        <item x="114"/>
        <item x="227"/>
        <item x="144"/>
        <item x="142"/>
        <item x="229"/>
        <item x="239"/>
        <item x="190"/>
        <item x="83"/>
        <item x="3"/>
        <item x="123"/>
        <item x="183"/>
        <item x="278"/>
        <item x="261"/>
        <item x="282"/>
        <item x="246"/>
        <item x="263"/>
        <item x="242"/>
        <item x="196"/>
        <item x="201"/>
        <item x="73"/>
        <item x="78"/>
        <item x="19"/>
        <item x="47"/>
        <item x="174"/>
        <item x="118"/>
        <item x="218"/>
        <item x="151"/>
        <item x="33"/>
        <item x="233"/>
        <item x="181"/>
        <item x="230"/>
        <item x="290"/>
        <item x="43"/>
        <item x="119"/>
        <item x="187"/>
        <item x="210"/>
        <item x="121"/>
        <item x="70"/>
        <item x="283"/>
        <item x="12"/>
        <item x="87"/>
        <item x="62"/>
        <item x="133"/>
        <item x="207"/>
        <item x="29"/>
        <item x="245"/>
        <item x="86"/>
        <item x="267"/>
        <item x="189"/>
        <item x="8"/>
        <item x="185"/>
        <item x="228"/>
        <item x="280"/>
        <item x="127"/>
        <item x="130"/>
        <item x="64"/>
        <item x="293"/>
        <item x="297"/>
        <item x="219"/>
        <item x="27"/>
        <item x="255"/>
        <item x="150"/>
        <item x="296"/>
        <item x="89"/>
        <item x="25"/>
        <item x="158"/>
        <item x="66"/>
        <item x="191"/>
        <item x="107"/>
        <item x="108"/>
        <item x="49"/>
        <item x="213"/>
        <item x="99"/>
        <item x="37"/>
        <item x="46"/>
        <item x="39"/>
        <item x="5"/>
        <item x="102"/>
        <item x="249"/>
        <item x="7"/>
        <item x="122"/>
        <item x="128"/>
        <item x="26"/>
        <item x="200"/>
        <item x="275"/>
        <item x="13"/>
        <item x="72"/>
        <item x="208"/>
        <item x="101"/>
        <item x="216"/>
        <item x="231"/>
        <item x="1"/>
        <item x="34"/>
        <item x="243"/>
        <item x="194"/>
        <item x="236"/>
        <item x="274"/>
        <item x="269"/>
        <item x="292"/>
        <item x="11"/>
        <item x="155"/>
        <item x="247"/>
        <item x="212"/>
        <item x="68"/>
        <item x="226"/>
        <item x="225"/>
        <item x="88"/>
        <item x="270"/>
        <item x="164"/>
        <item x="205"/>
        <item x="214"/>
        <item x="69"/>
        <item x="135"/>
        <item x="61"/>
        <item x="134"/>
        <item x="301"/>
        <item x="272"/>
        <item x="204"/>
        <item x="202"/>
        <item x="105"/>
        <item x="209"/>
        <item x="288"/>
        <item x="132"/>
        <item x="171"/>
        <item x="159"/>
        <item x="173"/>
        <item x="224"/>
        <item x="271"/>
        <item x="67"/>
        <item x="52"/>
        <item x="113"/>
        <item x="157"/>
        <item x="251"/>
        <item x="103"/>
        <item x="77"/>
        <item x="286"/>
        <item x="76"/>
        <item x="168"/>
        <item x="75"/>
        <item x="148"/>
        <item x="161"/>
        <item x="253"/>
        <item x="160"/>
        <item x="140"/>
        <item x="193"/>
        <item x="222"/>
        <item x="48"/>
        <item x="40"/>
        <item x="166"/>
        <item x="182"/>
        <item x="0"/>
        <item x="279"/>
        <item x="51"/>
        <item x="163"/>
        <item x="141"/>
        <item x="184"/>
        <item x="156"/>
        <item x="54"/>
        <item x="18"/>
        <item x="84"/>
        <item x="265"/>
        <item m="1" x="306"/>
        <item x="9"/>
        <item x="277"/>
        <item x="177"/>
        <item x="82"/>
        <item x="23"/>
        <item x="22"/>
        <item x="56"/>
        <item x="254"/>
        <item x="169"/>
        <item x="146"/>
        <item x="91"/>
        <item x="50"/>
        <item x="10"/>
        <item x="32"/>
        <item x="2"/>
        <item x="234"/>
        <item x="95"/>
        <item x="256"/>
        <item x="284"/>
        <item x="60"/>
        <item x="195"/>
        <item x="85"/>
        <item x="198"/>
        <item x="291"/>
        <item x="175"/>
        <item x="20"/>
        <item x="154"/>
        <item x="100"/>
        <item x="203"/>
        <item x="92"/>
        <item x="215"/>
        <item x="98"/>
        <item x="59"/>
        <item x="170"/>
        <item x="115"/>
        <item x="79"/>
        <item x="152"/>
        <item x="235"/>
        <item x="221"/>
        <item x="145"/>
        <item x="285"/>
        <item x="220"/>
        <item x="176"/>
        <item x="206"/>
        <item x="217"/>
        <item x="244"/>
        <item x="180"/>
        <item x="294"/>
        <item x="117"/>
        <item x="178"/>
        <item x="71"/>
        <item x="97"/>
        <item x="257"/>
        <item x="120"/>
        <item x="139"/>
        <item x="165"/>
        <item x="295"/>
        <item x="35"/>
        <item x="126"/>
        <item x="94"/>
        <item x="252"/>
        <item x="287"/>
        <item x="179"/>
        <item x="241"/>
        <item x="24"/>
        <item x="90"/>
        <item x="258"/>
        <item x="259"/>
        <item x="55"/>
        <item x="260"/>
        <item x="299"/>
        <item x="57"/>
        <item x="28"/>
        <item x="45"/>
        <item x="240"/>
        <item x="16"/>
        <item x="232"/>
        <item x="300"/>
        <item x="273"/>
        <item x="143"/>
        <item x="188"/>
        <item x="131"/>
        <item x="109"/>
        <item x="149"/>
        <item x="172"/>
        <item x="63"/>
        <item x="137"/>
        <item x="74"/>
        <item x="124"/>
        <item x="38"/>
        <item x="289"/>
        <item x="250"/>
        <item x="298"/>
        <item x="304"/>
        <item x="110"/>
        <item x="6"/>
        <item x="106"/>
        <item x="192"/>
        <item x="104"/>
        <item m="1" x="308"/>
        <item x="44"/>
        <item x="276"/>
        <item x="167"/>
        <item x="281"/>
        <item x="138"/>
        <item x="129"/>
        <item m="1" x="305"/>
        <item x="80"/>
        <item x="153"/>
        <item m="1" x="309"/>
        <item x="264"/>
        <item x="302"/>
        <item x="303"/>
        <item x="248"/>
        <item x="238"/>
        <item x="17"/>
        <item m="1" x="307"/>
        <item x="58"/>
        <item x="223"/>
        <item x="237"/>
        <item x="53"/>
        <item x="42"/>
        <item x="262"/>
        <item t="default"/>
      </items>
    </pivotField>
    <pivotField showAll="0"/>
    <pivotField showAll="0"/>
    <pivotField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142">
        <item h="1" x="95"/>
        <item h="1" x="56"/>
        <item h="1" x="0"/>
        <item h="1" x="86"/>
        <item h="1" x="57"/>
        <item h="1" x="1"/>
        <item h="1" x="96"/>
        <item h="1" x="58"/>
        <item h="1" x="2"/>
        <item x="67"/>
        <item x="71"/>
        <item x="3"/>
        <item x="4"/>
        <item x="53"/>
        <item x="5"/>
        <item x="82"/>
        <item x="72"/>
        <item x="6"/>
        <item h="1" x="7"/>
        <item h="1" x="8"/>
        <item h="1" x="29"/>
        <item h="1" x="9"/>
        <item h="1" x="10"/>
        <item h="1" x="11"/>
        <item h="1" x="14"/>
        <item h="1" x="83"/>
        <item h="1" x="88"/>
        <item h="1" x="76"/>
        <item h="1" x="15"/>
        <item h="1" x="77"/>
        <item h="1" x="16"/>
        <item h="1" x="75"/>
        <item h="1" x="17"/>
        <item h="1" x="18"/>
        <item h="1" x="69"/>
        <item h="1" x="19"/>
        <item h="1" x="73"/>
        <item h="1" x="31"/>
        <item h="1" x="74"/>
        <item h="1" x="41"/>
        <item h="1" x="42"/>
        <item h="1" x="43"/>
        <item h="1" x="44"/>
        <item h="1" x="45"/>
        <item h="1" x="46"/>
        <item h="1" x="20"/>
        <item h="1" x="47"/>
        <item h="1" x="21"/>
        <item h="1" x="51"/>
        <item h="1" x="28"/>
        <item h="1" x="52"/>
        <item h="1" x="22"/>
        <item h="1" x="48"/>
        <item h="1" x="23"/>
        <item h="1" x="65"/>
        <item h="1" x="24"/>
        <item h="1" x="49"/>
        <item h="1" x="32"/>
        <item h="1" x="27"/>
        <item h="1" x="61"/>
        <item h="1" x="25"/>
        <item h="1" x="33"/>
        <item h="1" x="34"/>
        <item h="1" x="35"/>
        <item h="1" x="90"/>
        <item h="1" x="36"/>
        <item h="1" x="91"/>
        <item h="1" x="37"/>
        <item h="1" x="92"/>
        <item h="1" x="26"/>
        <item h="1" x="79"/>
        <item h="1" x="55"/>
        <item h="1" x="68"/>
        <item h="1" x="50"/>
        <item h="1" x="38"/>
        <item h="1" x="39"/>
        <item h="1" x="59"/>
        <item h="1" x="80"/>
        <item h="1" x="60"/>
        <item h="1" x="81"/>
        <item h="1" x="140"/>
        <item h="1" x="70"/>
        <item h="1" x="63"/>
        <item h="1" x="13"/>
        <item h="1" x="54"/>
        <item h="1" x="12"/>
        <item h="1" x="87"/>
        <item h="1" x="62"/>
        <item h="1" x="84"/>
        <item h="1" x="40"/>
        <item h="1" x="103"/>
        <item h="1" x="109"/>
        <item h="1" x="112"/>
        <item h="1" x="116"/>
        <item h="1" x="119"/>
        <item h="1" x="122"/>
        <item h="1" x="126"/>
        <item h="1" x="129"/>
        <item h="1" x="133"/>
        <item h="1" x="137"/>
        <item h="1" x="98"/>
        <item h="1" x="30"/>
        <item h="1" x="101"/>
        <item h="1" x="106"/>
        <item h="1" x="115"/>
        <item h="1" x="64"/>
        <item h="1" x="93"/>
        <item h="1" x="125"/>
        <item h="1" x="85"/>
        <item h="1" x="132"/>
        <item h="1" x="136"/>
        <item h="1" x="94"/>
        <item h="1" x="97"/>
        <item x="66"/>
        <item h="1" x="78"/>
        <item h="1" x="107"/>
        <item h="1" x="89"/>
        <item h="1" x="104"/>
        <item h="1" x="110"/>
        <item h="1" x="113"/>
        <item h="1" x="117"/>
        <item h="1" x="120"/>
        <item h="1" x="123"/>
        <item h="1" x="127"/>
        <item h="1" x="130"/>
        <item h="1" x="134"/>
        <item h="1" x="138"/>
        <item h="1" x="99"/>
        <item h="1" x="102"/>
        <item h="1" x="108"/>
        <item h="1" x="105"/>
        <item h="1" x="111"/>
        <item h="1" x="114"/>
        <item h="1" x="118"/>
        <item h="1" x="121"/>
        <item h="1" x="124"/>
        <item h="1" x="128"/>
        <item h="1" x="131"/>
        <item h="1" x="135"/>
        <item h="1" x="139"/>
        <item h="1" x="10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5"/>
  </rowFields>
  <rowItems count="11"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13"/>
    </i>
    <i t="grand">
      <x/>
    </i>
  </rowItems>
  <colItems count="1">
    <i/>
  </colItems>
  <pageFields count="1">
    <pageField fld="1" hier="-1"/>
  </pageFields>
  <dataFields count="1">
    <dataField name="Sum of AMOUNT" fld="12" baseField="5" baseItem="0" numFmtId="17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J3" dT="2023-01-27T19:45:04.58" personId="{B5F9FBB2-E486-4DB9-B97F-9A4310EC3B35}" id="{EEEFEB1F-38D6-40B4-B979-6502B1DF2C00}">
    <text>Percentage calculated by certification team, headcount percentage based on total staff reported in certificated duty roots only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app.leg.wa.gov/WAC/default.aspx?cite=392-122-435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apps.leg.wa.gov/WAC/default.aspx?cite=392-122-505" TargetMode="External"/><Relationship Id="rId7" Type="http://schemas.openxmlformats.org/officeDocument/2006/relationships/hyperlink" Target="https://app.leg.wa.gov/WAC/default.aspx?cite=392-122-430" TargetMode="External"/><Relationship Id="rId12" Type="http://schemas.openxmlformats.org/officeDocument/2006/relationships/hyperlink" Target="https://app.leg.wa.gov/WAC/default.aspx?cite=392-122-450" TargetMode="External"/><Relationship Id="rId2" Type="http://schemas.openxmlformats.org/officeDocument/2006/relationships/hyperlink" Target="https://apps.leg.wa.gov/WAC/default.aspx?cite=392-122-500" TargetMode="External"/><Relationship Id="rId1" Type="http://schemas.openxmlformats.org/officeDocument/2006/relationships/hyperlink" Target="mailto:melissa.jarmon@k12.wa.us?subject=K-3%20Class%20Size%20Calculator" TargetMode="External"/><Relationship Id="rId6" Type="http://schemas.openxmlformats.org/officeDocument/2006/relationships/hyperlink" Target="https://apps.leg.wa.gov/WAC/default.aspx?cite=392-122-520" TargetMode="External"/><Relationship Id="rId11" Type="http://schemas.openxmlformats.org/officeDocument/2006/relationships/hyperlink" Target="https://app.leg.wa.gov/WAC/default.aspx?cite=392-122-445" TargetMode="External"/><Relationship Id="rId5" Type="http://schemas.openxmlformats.org/officeDocument/2006/relationships/hyperlink" Target="https://apps.leg.wa.gov/WAC/default.aspx?cite=392-122-515" TargetMode="External"/><Relationship Id="rId10" Type="http://schemas.openxmlformats.org/officeDocument/2006/relationships/hyperlink" Target="https://app.leg.wa.gov/WAC/default.aspx?cite=392-122-455" TargetMode="External"/><Relationship Id="rId4" Type="http://schemas.openxmlformats.org/officeDocument/2006/relationships/hyperlink" Target="https://apps.leg.wa.gov/WAC/default.aspx?cite=392-122-510" TargetMode="External"/><Relationship Id="rId9" Type="http://schemas.openxmlformats.org/officeDocument/2006/relationships/hyperlink" Target="https://app.leg.wa.gov/WAC/default.aspx?cite=392-122-440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0.xml"/><Relationship Id="rId13" Type="http://schemas.openxmlformats.org/officeDocument/2006/relationships/pivotTable" Target="../pivotTables/pivotTable15.xml"/><Relationship Id="rId3" Type="http://schemas.openxmlformats.org/officeDocument/2006/relationships/pivotTable" Target="../pivotTables/pivotTable5.xml"/><Relationship Id="rId7" Type="http://schemas.openxmlformats.org/officeDocument/2006/relationships/pivotTable" Target="../pivotTables/pivotTable9.xml"/><Relationship Id="rId12" Type="http://schemas.openxmlformats.org/officeDocument/2006/relationships/pivotTable" Target="../pivotTables/pivotTable14.xml"/><Relationship Id="rId17" Type="http://schemas.openxmlformats.org/officeDocument/2006/relationships/printerSettings" Target="../printerSettings/printerSettings10.bin"/><Relationship Id="rId2" Type="http://schemas.openxmlformats.org/officeDocument/2006/relationships/pivotTable" Target="../pivotTables/pivotTable4.xml"/><Relationship Id="rId16" Type="http://schemas.openxmlformats.org/officeDocument/2006/relationships/pivotTable" Target="../pivotTables/pivotTable18.xml"/><Relationship Id="rId1" Type="http://schemas.openxmlformats.org/officeDocument/2006/relationships/pivotTable" Target="../pivotTables/pivotTable3.xml"/><Relationship Id="rId6" Type="http://schemas.openxmlformats.org/officeDocument/2006/relationships/pivotTable" Target="../pivotTables/pivotTable8.xml"/><Relationship Id="rId11" Type="http://schemas.openxmlformats.org/officeDocument/2006/relationships/pivotTable" Target="../pivotTables/pivotTable13.xml"/><Relationship Id="rId5" Type="http://schemas.openxmlformats.org/officeDocument/2006/relationships/pivotTable" Target="../pivotTables/pivotTable7.xml"/><Relationship Id="rId15" Type="http://schemas.openxmlformats.org/officeDocument/2006/relationships/pivotTable" Target="../pivotTables/pivotTable17.xml"/><Relationship Id="rId10" Type="http://schemas.openxmlformats.org/officeDocument/2006/relationships/pivotTable" Target="../pivotTables/pivotTable12.xml"/><Relationship Id="rId4" Type="http://schemas.openxmlformats.org/officeDocument/2006/relationships/pivotTable" Target="../pivotTables/pivotTable6.xml"/><Relationship Id="rId9" Type="http://schemas.openxmlformats.org/officeDocument/2006/relationships/pivotTable" Target="../pivotTables/pivotTable11.xml"/><Relationship Id="rId14" Type="http://schemas.openxmlformats.org/officeDocument/2006/relationships/pivotTable" Target="../pivotTables/pivotTable1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1.xml"/><Relationship Id="rId2" Type="http://schemas.openxmlformats.org/officeDocument/2006/relationships/pivotTable" Target="../pivotTables/pivotTable20.xml"/><Relationship Id="rId1" Type="http://schemas.openxmlformats.org/officeDocument/2006/relationships/pivotTable" Target="../pivotTables/pivotTable19.xml"/><Relationship Id="rId4" Type="http://schemas.openxmlformats.org/officeDocument/2006/relationships/pivotTable" Target="../pivotTables/pivotTable2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5.xml"/><Relationship Id="rId2" Type="http://schemas.openxmlformats.org/officeDocument/2006/relationships/pivotTable" Target="../pivotTables/pivotTable24.xml"/><Relationship Id="rId1" Type="http://schemas.openxmlformats.org/officeDocument/2006/relationships/pivotTable" Target="../pivotTables/pivotTable2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8.xml"/><Relationship Id="rId2" Type="http://schemas.openxmlformats.org/officeDocument/2006/relationships/pivotTable" Target="../pivotTables/pivotTable27.xml"/><Relationship Id="rId1" Type="http://schemas.openxmlformats.org/officeDocument/2006/relationships/pivotTable" Target="../pivotTables/pivotTable2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1.xml"/><Relationship Id="rId2" Type="http://schemas.openxmlformats.org/officeDocument/2006/relationships/pivotTable" Target="../pivotTables/pivotTable30.xml"/><Relationship Id="rId1" Type="http://schemas.openxmlformats.org/officeDocument/2006/relationships/pivotTable" Target="../pivotTables/pivotTable29.xml"/><Relationship Id="rId4" Type="http://schemas.openxmlformats.org/officeDocument/2006/relationships/pivotTable" Target="../pivotTables/pivotTable3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5.xml"/><Relationship Id="rId2" Type="http://schemas.openxmlformats.org/officeDocument/2006/relationships/pivotTable" Target="../pivotTables/pivotTable34.xml"/><Relationship Id="rId1" Type="http://schemas.openxmlformats.org/officeDocument/2006/relationships/pivotTable" Target="../pivotTables/pivotTable33.xml"/><Relationship Id="rId4" Type="http://schemas.openxmlformats.org/officeDocument/2006/relationships/pivotTable" Target="../pivotTables/pivotTable3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9.xml"/><Relationship Id="rId2" Type="http://schemas.openxmlformats.org/officeDocument/2006/relationships/pivotTable" Target="../pivotTables/pivotTable38.xml"/><Relationship Id="rId1" Type="http://schemas.openxmlformats.org/officeDocument/2006/relationships/pivotTable" Target="../pivotTables/pivotTable3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2.xml"/><Relationship Id="rId2" Type="http://schemas.openxmlformats.org/officeDocument/2006/relationships/pivotTable" Target="../pivotTables/pivotTable41.xml"/><Relationship Id="rId1" Type="http://schemas.openxmlformats.org/officeDocument/2006/relationships/pivotTable" Target="../pivotTables/pivotTable4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2:M73"/>
  <sheetViews>
    <sheetView tabSelected="1" zoomScaleNormal="100" workbookViewId="0"/>
  </sheetViews>
  <sheetFormatPr defaultRowHeight="15" x14ac:dyDescent="0.25"/>
  <cols>
    <col min="1" max="1" width="3.42578125" customWidth="1"/>
    <col min="3" max="3" width="10.7109375" customWidth="1"/>
    <col min="4" max="4" width="14" customWidth="1"/>
    <col min="5" max="5" width="10.5703125" customWidth="1"/>
    <col min="6" max="6" width="11.7109375" customWidth="1"/>
    <col min="7" max="7" width="12.28515625" customWidth="1"/>
    <col min="8" max="8" width="12" customWidth="1"/>
    <col min="9" max="10" width="14.42578125" customWidth="1"/>
    <col min="11" max="11" width="12.42578125" customWidth="1"/>
    <col min="12" max="12" width="13.5703125" customWidth="1"/>
    <col min="13" max="13" width="11.5703125" customWidth="1"/>
  </cols>
  <sheetData>
    <row r="2" spans="2:9" ht="23.25" x14ac:dyDescent="0.35">
      <c r="B2" s="109" t="s">
        <v>1624</v>
      </c>
    </row>
    <row r="4" spans="2:9" ht="23.25" x14ac:dyDescent="0.35">
      <c r="B4" s="110" t="s">
        <v>603</v>
      </c>
      <c r="C4" s="110"/>
      <c r="D4" s="110"/>
      <c r="E4" s="110"/>
      <c r="F4" s="110"/>
      <c r="G4" s="110"/>
      <c r="H4" s="110"/>
      <c r="I4" s="110"/>
    </row>
    <row r="6" spans="2:9" x14ac:dyDescent="0.25">
      <c r="B6" t="s">
        <v>765</v>
      </c>
    </row>
    <row r="7" spans="2:9" x14ac:dyDescent="0.25">
      <c r="B7" t="s">
        <v>1625</v>
      </c>
    </row>
    <row r="9" spans="2:9" x14ac:dyDescent="0.25">
      <c r="B9" s="11" t="s">
        <v>761</v>
      </c>
      <c r="C9" s="11"/>
      <c r="D9" s="11"/>
      <c r="E9" s="11"/>
      <c r="F9" s="11"/>
      <c r="G9" s="11"/>
      <c r="H9" s="11"/>
    </row>
    <row r="10" spans="2:9" x14ac:dyDescent="0.25">
      <c r="B10" t="s">
        <v>1626</v>
      </c>
    </row>
    <row r="11" spans="2:9" x14ac:dyDescent="0.25">
      <c r="B11" t="str">
        <f>"2. This will populate the yellow cells with student enrollment (P223) and staffing (S-275) data as of "&amp;E72&amp;" 2024."</f>
        <v>2. This will populate the yellow cells with student enrollment (P223) and staffing (S-275) data as of January 2024.</v>
      </c>
    </row>
    <row r="12" spans="2:9" x14ac:dyDescent="0.25">
      <c r="B12" t="s">
        <v>1627</v>
      </c>
    </row>
    <row r="13" spans="2:9" x14ac:dyDescent="0.25">
      <c r="B13" t="s">
        <v>766</v>
      </c>
    </row>
    <row r="14" spans="2:9" x14ac:dyDescent="0.25">
      <c r="B14" t="s">
        <v>1599</v>
      </c>
    </row>
    <row r="15" spans="2:9" x14ac:dyDescent="0.25">
      <c r="B15" t="s">
        <v>1588</v>
      </c>
    </row>
    <row r="17" spans="2:10" ht="60" x14ac:dyDescent="0.25">
      <c r="B17" s="3" t="s">
        <v>0</v>
      </c>
      <c r="C17" s="3" t="s">
        <v>1180</v>
      </c>
      <c r="D17" s="3" t="s">
        <v>1181</v>
      </c>
      <c r="E17" s="3" t="s">
        <v>1182</v>
      </c>
      <c r="F17" s="3" t="s">
        <v>1183</v>
      </c>
      <c r="G17" s="3" t="s">
        <v>1184</v>
      </c>
      <c r="H17" s="3" t="s">
        <v>1185</v>
      </c>
      <c r="I17" s="3" t="s">
        <v>1186</v>
      </c>
      <c r="J17" s="3" t="s">
        <v>1187</v>
      </c>
    </row>
    <row r="18" spans="2:10" x14ac:dyDescent="0.25">
      <c r="B18" s="5" t="s">
        <v>606</v>
      </c>
      <c r="C18" s="114">
        <v>5842</v>
      </c>
      <c r="D18" s="114">
        <v>25</v>
      </c>
      <c r="E18" s="115">
        <v>288.60000000000002</v>
      </c>
      <c r="F18" s="115">
        <v>23.635000000000002</v>
      </c>
      <c r="G18" s="115">
        <v>2</v>
      </c>
      <c r="H18" s="115">
        <v>0.753</v>
      </c>
      <c r="I18" s="115">
        <v>0.56200000000000006</v>
      </c>
      <c r="J18" s="115">
        <v>0.32400000000000001</v>
      </c>
    </row>
    <row r="20" spans="2:10" x14ac:dyDescent="0.25">
      <c r="B20" s="10" t="s">
        <v>770</v>
      </c>
      <c r="D20" t="s">
        <v>662</v>
      </c>
    </row>
    <row r="21" spans="2:10" x14ac:dyDescent="0.25">
      <c r="B21" s="10" t="s">
        <v>771</v>
      </c>
      <c r="D21" t="s">
        <v>657</v>
      </c>
    </row>
    <row r="22" spans="2:10" x14ac:dyDescent="0.25">
      <c r="B22" s="10" t="s">
        <v>658</v>
      </c>
      <c r="D22" t="s">
        <v>659</v>
      </c>
    </row>
    <row r="23" spans="2:10" x14ac:dyDescent="0.25">
      <c r="B23" s="10" t="s">
        <v>663</v>
      </c>
      <c r="D23" t="s">
        <v>645</v>
      </c>
    </row>
    <row r="24" spans="2:10" x14ac:dyDescent="0.25">
      <c r="B24" s="10" t="s">
        <v>660</v>
      </c>
      <c r="D24" t="s">
        <v>661</v>
      </c>
    </row>
    <row r="26" spans="2:10" ht="23.25" x14ac:dyDescent="0.35">
      <c r="B26" s="110" t="s">
        <v>762</v>
      </c>
      <c r="C26" s="110"/>
      <c r="D26" s="110"/>
      <c r="E26" s="110"/>
      <c r="F26" s="110"/>
      <c r="G26" s="110"/>
      <c r="H26" s="110"/>
      <c r="I26" s="110"/>
      <c r="J26" s="111"/>
    </row>
    <row r="28" spans="2:10" x14ac:dyDescent="0.25">
      <c r="B28" t="s">
        <v>1628</v>
      </c>
    </row>
    <row r="30" spans="2:10" x14ac:dyDescent="0.25">
      <c r="B30" s="11" t="s">
        <v>763</v>
      </c>
      <c r="C30" s="11"/>
      <c r="D30" s="11"/>
      <c r="E30" s="11"/>
      <c r="F30" s="11"/>
      <c r="G30" s="11"/>
      <c r="H30" s="11"/>
    </row>
    <row r="31" spans="2:10" x14ac:dyDescent="0.25">
      <c r="B31" t="s">
        <v>1629</v>
      </c>
    </row>
    <row r="32" spans="2:10" x14ac:dyDescent="0.25">
      <c r="B32" t="str">
        <f>"2. This sheet will populate with the student enrollment (P223) and staffing (S-275) data as of "&amp;E72&amp;" 2024 - from the blue 'grade grouping' sheets."</f>
        <v>2. This sheet will populate with the student enrollment (P223) and staffing (S-275) data as of January 2024 - from the blue 'grade grouping' sheets.</v>
      </c>
    </row>
    <row r="33" spans="2:12" x14ac:dyDescent="0.25">
      <c r="B33" t="s">
        <v>1630</v>
      </c>
    </row>
    <row r="34" spans="2:12" x14ac:dyDescent="0.25">
      <c r="B34" s="34" t="s">
        <v>768</v>
      </c>
    </row>
    <row r="35" spans="2:12" x14ac:dyDescent="0.25">
      <c r="B35" s="34" t="s">
        <v>1631</v>
      </c>
    </row>
    <row r="36" spans="2:12" x14ac:dyDescent="0.25">
      <c r="B36" t="s">
        <v>1146</v>
      </c>
    </row>
    <row r="37" spans="2:12" x14ac:dyDescent="0.25">
      <c r="B37" t="s">
        <v>773</v>
      </c>
    </row>
    <row r="38" spans="2:12" x14ac:dyDescent="0.25">
      <c r="B38" t="s">
        <v>772</v>
      </c>
    </row>
    <row r="40" spans="2:12" x14ac:dyDescent="0.25">
      <c r="B40" s="11" t="s">
        <v>767</v>
      </c>
    </row>
    <row r="41" spans="2:12" x14ac:dyDescent="0.25">
      <c r="B41" t="s">
        <v>1632</v>
      </c>
    </row>
    <row r="42" spans="2:12" x14ac:dyDescent="0.25">
      <c r="B42" t="s">
        <v>1147</v>
      </c>
    </row>
    <row r="44" spans="2:12" ht="60" x14ac:dyDescent="0.25">
      <c r="B44" s="24" t="s">
        <v>712</v>
      </c>
      <c r="C44" s="24" t="s">
        <v>725</v>
      </c>
      <c r="D44" s="3" t="s">
        <v>1145</v>
      </c>
      <c r="E44" s="3" t="s">
        <v>1150</v>
      </c>
      <c r="F44" s="3" t="s">
        <v>1151</v>
      </c>
      <c r="G44" s="3" t="s">
        <v>1152</v>
      </c>
      <c r="H44" s="3" t="s">
        <v>1153</v>
      </c>
      <c r="I44" s="3" t="s">
        <v>774</v>
      </c>
      <c r="J44" s="3" t="s">
        <v>1149</v>
      </c>
      <c r="K44" s="3" t="s">
        <v>775</v>
      </c>
      <c r="L44" s="3" t="s">
        <v>776</v>
      </c>
    </row>
    <row r="45" spans="2:12" x14ac:dyDescent="0.25">
      <c r="D45" s="112">
        <v>1295.79</v>
      </c>
      <c r="E45" s="79"/>
      <c r="F45" s="79"/>
      <c r="G45" s="79"/>
      <c r="H45" s="79"/>
      <c r="I45" s="79"/>
      <c r="J45" s="79"/>
      <c r="K45" s="79"/>
      <c r="L45" s="79"/>
    </row>
    <row r="46" spans="2:12" x14ac:dyDescent="0.25">
      <c r="B46" s="99" t="s">
        <v>747</v>
      </c>
      <c r="C46" s="22" t="s">
        <v>717</v>
      </c>
      <c r="E46" s="113">
        <v>0</v>
      </c>
      <c r="F46" s="113">
        <v>0</v>
      </c>
      <c r="G46" s="113">
        <v>0</v>
      </c>
      <c r="H46" s="113">
        <v>0</v>
      </c>
      <c r="I46" s="113">
        <v>0</v>
      </c>
      <c r="J46" s="40">
        <v>0</v>
      </c>
      <c r="K46" s="40">
        <v>0</v>
      </c>
      <c r="L46" s="40">
        <v>0</v>
      </c>
    </row>
    <row r="47" spans="2:12" x14ac:dyDescent="0.25">
      <c r="B47" s="99" t="s">
        <v>736</v>
      </c>
      <c r="C47" s="22" t="s">
        <v>717</v>
      </c>
      <c r="E47" s="113">
        <v>2.6799999999999997</v>
      </c>
      <c r="F47" s="113">
        <v>0</v>
      </c>
      <c r="G47" s="113">
        <v>0</v>
      </c>
      <c r="H47" s="113">
        <v>0</v>
      </c>
      <c r="I47" s="113">
        <v>0</v>
      </c>
      <c r="J47" s="40">
        <v>0</v>
      </c>
      <c r="K47" s="40">
        <v>0</v>
      </c>
      <c r="L47" s="40">
        <v>0</v>
      </c>
    </row>
    <row r="48" spans="2:12" x14ac:dyDescent="0.25">
      <c r="B48" s="99" t="s">
        <v>738</v>
      </c>
      <c r="C48" s="22" t="s">
        <v>717</v>
      </c>
      <c r="E48" s="113">
        <v>0</v>
      </c>
      <c r="F48" s="113">
        <v>0</v>
      </c>
      <c r="G48" s="113">
        <v>0</v>
      </c>
      <c r="H48" s="113">
        <v>0</v>
      </c>
      <c r="I48" s="113">
        <v>0</v>
      </c>
      <c r="J48" s="40">
        <v>0</v>
      </c>
      <c r="K48" s="40">
        <v>0</v>
      </c>
      <c r="L48" s="40">
        <v>0</v>
      </c>
    </row>
    <row r="49" spans="2:13" x14ac:dyDescent="0.25">
      <c r="B49" s="99" t="s">
        <v>744</v>
      </c>
      <c r="C49" s="22" t="s">
        <v>717</v>
      </c>
      <c r="E49" s="113">
        <v>0</v>
      </c>
      <c r="F49" s="113">
        <v>0</v>
      </c>
      <c r="G49" s="113">
        <v>0</v>
      </c>
      <c r="H49" s="113">
        <v>0</v>
      </c>
      <c r="I49" s="113">
        <v>0</v>
      </c>
      <c r="J49" s="40">
        <v>0</v>
      </c>
      <c r="K49" s="40">
        <v>0</v>
      </c>
      <c r="L49" s="40">
        <v>0</v>
      </c>
      <c r="M49" s="38"/>
    </row>
    <row r="50" spans="2:13" x14ac:dyDescent="0.25">
      <c r="B50" s="99" t="s">
        <v>739</v>
      </c>
      <c r="C50" s="22" t="s">
        <v>717</v>
      </c>
      <c r="E50" s="113">
        <v>0</v>
      </c>
      <c r="F50" s="113">
        <v>0</v>
      </c>
      <c r="G50" s="113">
        <v>0</v>
      </c>
      <c r="H50" s="113">
        <v>2</v>
      </c>
      <c r="I50" s="113">
        <v>0</v>
      </c>
      <c r="J50" s="40">
        <v>0</v>
      </c>
      <c r="K50" s="40">
        <v>0</v>
      </c>
      <c r="L50" s="40">
        <v>0</v>
      </c>
    </row>
    <row r="51" spans="2:13" x14ac:dyDescent="0.25">
      <c r="B51" s="99" t="s">
        <v>740</v>
      </c>
      <c r="C51" s="22" t="s">
        <v>717</v>
      </c>
      <c r="E51" s="113">
        <v>0</v>
      </c>
      <c r="F51" s="113">
        <v>0</v>
      </c>
      <c r="G51" s="113">
        <v>0</v>
      </c>
      <c r="H51" s="113">
        <v>0.26</v>
      </c>
      <c r="I51" s="113">
        <v>0</v>
      </c>
      <c r="J51" s="40">
        <v>0</v>
      </c>
      <c r="K51" s="40">
        <v>0</v>
      </c>
      <c r="L51" s="40">
        <v>0</v>
      </c>
      <c r="M51" s="38"/>
    </row>
    <row r="52" spans="2:13" x14ac:dyDescent="0.25">
      <c r="B52" s="99" t="s">
        <v>742</v>
      </c>
      <c r="C52" s="22" t="s">
        <v>717</v>
      </c>
      <c r="E52" s="113">
        <v>0</v>
      </c>
      <c r="F52" s="113">
        <v>0</v>
      </c>
      <c r="G52" s="113">
        <v>0</v>
      </c>
      <c r="H52" s="113">
        <v>0</v>
      </c>
      <c r="I52" s="113">
        <v>0</v>
      </c>
      <c r="J52" s="40">
        <v>0</v>
      </c>
      <c r="K52" s="40">
        <v>0</v>
      </c>
      <c r="L52" s="40">
        <v>0</v>
      </c>
      <c r="M52" s="38"/>
    </row>
    <row r="53" spans="2:13" x14ac:dyDescent="0.25">
      <c r="B53" s="99" t="s">
        <v>743</v>
      </c>
      <c r="C53" s="22" t="s">
        <v>717</v>
      </c>
      <c r="E53" s="113">
        <v>0</v>
      </c>
      <c r="F53" s="113">
        <v>0</v>
      </c>
      <c r="G53" s="113">
        <v>0</v>
      </c>
      <c r="H53" s="113">
        <v>0</v>
      </c>
      <c r="I53" s="113">
        <v>0</v>
      </c>
      <c r="J53" s="40">
        <v>0</v>
      </c>
      <c r="K53" s="40">
        <v>0</v>
      </c>
      <c r="L53" s="40">
        <v>0</v>
      </c>
    </row>
    <row r="54" spans="2:13" x14ac:dyDescent="0.25">
      <c r="B54" s="99" t="s">
        <v>746</v>
      </c>
      <c r="C54" s="22" t="s">
        <v>717</v>
      </c>
      <c r="E54" s="113">
        <v>0</v>
      </c>
      <c r="F54" s="113">
        <v>0</v>
      </c>
      <c r="G54" s="113">
        <v>0</v>
      </c>
      <c r="H54" s="113">
        <v>0</v>
      </c>
      <c r="I54" s="113">
        <v>0</v>
      </c>
      <c r="J54" s="40">
        <v>0</v>
      </c>
      <c r="K54" s="40">
        <v>0</v>
      </c>
      <c r="L54" s="40">
        <v>0</v>
      </c>
    </row>
    <row r="55" spans="2:13" x14ac:dyDescent="0.25">
      <c r="B55" s="99" t="s">
        <v>745</v>
      </c>
      <c r="C55" s="22" t="s">
        <v>717</v>
      </c>
      <c r="E55" s="113">
        <v>0</v>
      </c>
      <c r="F55" s="113">
        <v>0</v>
      </c>
      <c r="G55" s="113">
        <v>0</v>
      </c>
      <c r="H55" s="113">
        <v>0</v>
      </c>
      <c r="I55" s="113">
        <v>0</v>
      </c>
      <c r="J55" s="40">
        <v>0</v>
      </c>
      <c r="K55" s="40">
        <v>0</v>
      </c>
      <c r="L55" s="40">
        <v>0</v>
      </c>
      <c r="M55" s="38"/>
    </row>
    <row r="56" spans="2:13" x14ac:dyDescent="0.25">
      <c r="B56">
        <v>96</v>
      </c>
      <c r="C56" s="99" t="s">
        <v>737</v>
      </c>
      <c r="E56" s="113">
        <v>0</v>
      </c>
      <c r="F56" s="113">
        <v>0</v>
      </c>
      <c r="G56" s="113">
        <v>0</v>
      </c>
      <c r="H56" s="113">
        <v>0</v>
      </c>
      <c r="I56" s="113">
        <v>0</v>
      </c>
      <c r="J56" s="40">
        <v>0</v>
      </c>
      <c r="K56" s="40">
        <v>0</v>
      </c>
      <c r="L56" s="40">
        <v>0</v>
      </c>
      <c r="M56" s="38"/>
    </row>
    <row r="57" spans="2:13" x14ac:dyDescent="0.25">
      <c r="B57" s="85" t="s">
        <v>728</v>
      </c>
      <c r="C57" s="99" t="s">
        <v>732</v>
      </c>
      <c r="E57" s="113">
        <v>9.0999999999999998E-2</v>
      </c>
      <c r="F57" s="113">
        <v>0</v>
      </c>
      <c r="G57" s="113">
        <v>0</v>
      </c>
      <c r="H57" s="113">
        <v>0</v>
      </c>
      <c r="I57" s="113">
        <v>0</v>
      </c>
      <c r="J57" s="40">
        <v>0</v>
      </c>
      <c r="K57" s="40">
        <v>0</v>
      </c>
      <c r="L57" s="40">
        <v>0</v>
      </c>
      <c r="M57" s="38"/>
    </row>
    <row r="58" spans="2:13" x14ac:dyDescent="0.25">
      <c r="B58" s="85" t="s">
        <v>728</v>
      </c>
      <c r="C58" s="99" t="s">
        <v>733</v>
      </c>
      <c r="E58" s="113">
        <v>0</v>
      </c>
      <c r="F58" s="113">
        <v>0</v>
      </c>
      <c r="G58" s="113">
        <v>0</v>
      </c>
      <c r="H58" s="113">
        <v>0</v>
      </c>
      <c r="I58" s="113">
        <v>0</v>
      </c>
      <c r="J58" s="40">
        <v>0</v>
      </c>
      <c r="K58" s="40">
        <v>0</v>
      </c>
      <c r="L58" s="40">
        <v>0</v>
      </c>
      <c r="M58" s="38"/>
    </row>
    <row r="59" spans="2:13" x14ac:dyDescent="0.25">
      <c r="B59" s="85" t="s">
        <v>728</v>
      </c>
      <c r="C59" s="99">
        <v>35</v>
      </c>
      <c r="E59" s="113">
        <v>0</v>
      </c>
      <c r="F59" s="113">
        <v>0</v>
      </c>
      <c r="G59" s="113">
        <v>0</v>
      </c>
      <c r="H59" s="113">
        <v>0</v>
      </c>
      <c r="I59" s="113">
        <v>0</v>
      </c>
      <c r="J59" s="40">
        <v>0</v>
      </c>
      <c r="K59" s="40">
        <v>0</v>
      </c>
      <c r="L59" s="40">
        <v>0</v>
      </c>
      <c r="M59" s="38"/>
    </row>
    <row r="60" spans="2:13" x14ac:dyDescent="0.25">
      <c r="E60" s="33">
        <f>SUM(E46:E59)</f>
        <v>2.7709999999999999</v>
      </c>
      <c r="F60" s="33">
        <f t="shared" ref="F60:L60" si="0">SUM(F46:F59)</f>
        <v>0</v>
      </c>
      <c r="G60" s="33">
        <f t="shared" si="0"/>
        <v>0</v>
      </c>
      <c r="H60" s="33">
        <f t="shared" si="0"/>
        <v>2.2599999999999998</v>
      </c>
      <c r="I60" s="33">
        <f t="shared" si="0"/>
        <v>0</v>
      </c>
      <c r="J60" s="33">
        <f t="shared" si="0"/>
        <v>0</v>
      </c>
      <c r="K60" s="33">
        <f t="shared" si="0"/>
        <v>0</v>
      </c>
      <c r="L60" s="33">
        <f t="shared" si="0"/>
        <v>0</v>
      </c>
    </row>
    <row r="61" spans="2:13" x14ac:dyDescent="0.25">
      <c r="E61" s="33"/>
      <c r="F61" s="33"/>
      <c r="G61" s="33"/>
      <c r="H61" s="33"/>
      <c r="I61" s="33"/>
      <c r="J61" s="33"/>
      <c r="K61" s="33"/>
      <c r="L61" s="33"/>
    </row>
    <row r="62" spans="2:13" x14ac:dyDescent="0.25">
      <c r="B62" s="10" t="s">
        <v>1578</v>
      </c>
      <c r="D62" t="s">
        <v>1579</v>
      </c>
    </row>
    <row r="63" spans="2:13" x14ac:dyDescent="0.25">
      <c r="B63" s="10" t="s">
        <v>1580</v>
      </c>
      <c r="D63" t="s">
        <v>1581</v>
      </c>
    </row>
    <row r="64" spans="2:13" x14ac:dyDescent="0.25">
      <c r="B64" s="10" t="s">
        <v>1582</v>
      </c>
      <c r="D64" t="s">
        <v>1583</v>
      </c>
    </row>
    <row r="65" spans="2:6" x14ac:dyDescent="0.25">
      <c r="B65" s="10" t="s">
        <v>1587</v>
      </c>
      <c r="D65" t="s">
        <v>1585</v>
      </c>
    </row>
    <row r="66" spans="2:6" x14ac:dyDescent="0.25">
      <c r="B66" s="10" t="s">
        <v>1584</v>
      </c>
      <c r="D66" t="s">
        <v>1586</v>
      </c>
    </row>
    <row r="67" spans="2:6" x14ac:dyDescent="0.25">
      <c r="B67" s="10" t="s">
        <v>1589</v>
      </c>
      <c r="D67" t="s">
        <v>1590</v>
      </c>
    </row>
    <row r="69" spans="2:6" x14ac:dyDescent="0.25">
      <c r="B69" t="s">
        <v>1039</v>
      </c>
    </row>
    <row r="70" spans="2:6" x14ac:dyDescent="0.25">
      <c r="B70" s="10" t="s">
        <v>664</v>
      </c>
    </row>
    <row r="71" spans="2:6" ht="14.25" customHeight="1" x14ac:dyDescent="0.25">
      <c r="B71" t="s">
        <v>1633</v>
      </c>
    </row>
    <row r="72" spans="2:6" x14ac:dyDescent="0.25">
      <c r="B72" t="s">
        <v>764</v>
      </c>
      <c r="E72" t="s">
        <v>1634</v>
      </c>
      <c r="F72" t="s">
        <v>1635</v>
      </c>
    </row>
    <row r="73" spans="2:6" x14ac:dyDescent="0.25">
      <c r="B73" s="103"/>
    </row>
  </sheetData>
  <phoneticPr fontId="24" type="noConversion"/>
  <hyperlinks>
    <hyperlink ref="B70" r:id="rId1" xr:uid="{00000000-0004-0000-0000-000000000000}"/>
    <hyperlink ref="B20" r:id="rId2" xr:uid="{00000000-0004-0000-0000-000001000000}"/>
    <hyperlink ref="B21" r:id="rId3" xr:uid="{00000000-0004-0000-0000-000002000000}"/>
    <hyperlink ref="B22" r:id="rId4" xr:uid="{00000000-0004-0000-0000-000003000000}"/>
    <hyperlink ref="B23" r:id="rId5" xr:uid="{00000000-0004-0000-0000-000004000000}"/>
    <hyperlink ref="B24" r:id="rId6" xr:uid="{00000000-0004-0000-0000-000005000000}"/>
    <hyperlink ref="B62" r:id="rId7" xr:uid="{DFEB255F-4DF0-4FDF-BBCB-9F8CB04B95BF}"/>
    <hyperlink ref="B63" r:id="rId8" xr:uid="{16ACEE42-D1DE-4F72-9FA5-E5C4926FFC36}"/>
    <hyperlink ref="B64" r:id="rId9" xr:uid="{0289E9DD-9BB0-4035-AFEC-2A5420D234B1}"/>
    <hyperlink ref="B67" r:id="rId10" xr:uid="{1C2DBA72-E7C3-4702-9177-7577CFE75425}"/>
    <hyperlink ref="B65" r:id="rId11" xr:uid="{12EAF3AE-7A5A-428A-BC8D-3FA71B9A860C}"/>
    <hyperlink ref="B66" r:id="rId12" xr:uid="{A6703CEC-1ABF-425A-8457-C0429A385AAA}"/>
  </hyperlinks>
  <pageMargins left="0.7" right="0.7" top="0.75" bottom="0.75" header="0.3" footer="0.3"/>
  <pageSetup scale="88" fitToHeight="0" orientation="landscape" r:id="rId13"/>
  <rowBreaks count="1" manualBreakCount="1">
    <brk id="24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W323"/>
  <sheetViews>
    <sheetView workbookViewId="0">
      <pane xSplit="2" ySplit="2" topLeftCell="G3" activePane="bottomRight" state="frozen"/>
      <selection activeCell="I12" sqref="I12"/>
      <selection pane="topRight" activeCell="I12" sqref="I12"/>
      <selection pane="bottomLeft" activeCell="I12" sqref="I12"/>
      <selection pane="bottomRight" activeCell="I12" sqref="I12"/>
    </sheetView>
  </sheetViews>
  <sheetFormatPr defaultRowHeight="15" x14ac:dyDescent="0.25"/>
  <cols>
    <col min="2" max="2" width="36" customWidth="1"/>
    <col min="3" max="3" width="14" customWidth="1"/>
    <col min="4" max="4" width="14.5703125" customWidth="1"/>
    <col min="5" max="5" width="15.7109375" customWidth="1"/>
    <col min="6" max="9" width="13.7109375" bestFit="1" customWidth="1"/>
    <col min="10" max="10" width="11" customWidth="1"/>
    <col min="11" max="11" width="9.28515625" customWidth="1"/>
    <col min="12" max="12" width="9.7109375" customWidth="1"/>
    <col min="13" max="13" width="10.42578125" bestFit="1" customWidth="1"/>
    <col min="14" max="14" width="11.28515625" customWidth="1"/>
    <col min="15" max="15" width="11.42578125" customWidth="1"/>
    <col min="16" max="16" width="11.5703125" bestFit="1" customWidth="1"/>
    <col min="17" max="17" width="11" customWidth="1"/>
    <col min="18" max="18" width="11.28515625" customWidth="1"/>
    <col min="19" max="19" width="13" bestFit="1" customWidth="1"/>
    <col min="20" max="21" width="11.5703125" customWidth="1"/>
  </cols>
  <sheetData>
    <row r="1" spans="1:23" x14ac:dyDescent="0.25">
      <c r="A1" s="21">
        <f>COLUMN(A1)</f>
        <v>1</v>
      </c>
      <c r="B1" s="21">
        <f t="shared" ref="B1" si="0">COLUMN(B1)</f>
        <v>2</v>
      </c>
      <c r="C1" s="21">
        <f>B1+1</f>
        <v>3</v>
      </c>
      <c r="D1" s="21">
        <f t="shared" ref="D1:Q1" si="1">C1+1</f>
        <v>4</v>
      </c>
      <c r="E1" s="21">
        <f t="shared" si="1"/>
        <v>5</v>
      </c>
      <c r="F1" s="21">
        <f t="shared" si="1"/>
        <v>6</v>
      </c>
      <c r="G1" s="21">
        <f t="shared" si="1"/>
        <v>7</v>
      </c>
      <c r="H1" s="21">
        <f t="shared" si="1"/>
        <v>8</v>
      </c>
      <c r="I1" s="21">
        <f t="shared" si="1"/>
        <v>9</v>
      </c>
      <c r="J1" s="21">
        <f t="shared" si="1"/>
        <v>10</v>
      </c>
      <c r="K1" s="21">
        <f t="shared" si="1"/>
        <v>11</v>
      </c>
      <c r="L1" s="21">
        <f t="shared" si="1"/>
        <v>12</v>
      </c>
      <c r="M1" s="21">
        <f t="shared" si="1"/>
        <v>13</v>
      </c>
      <c r="N1" s="21">
        <f t="shared" si="1"/>
        <v>14</v>
      </c>
      <c r="O1" s="21">
        <f t="shared" si="1"/>
        <v>15</v>
      </c>
      <c r="P1" s="21">
        <f>O1+1</f>
        <v>16</v>
      </c>
      <c r="Q1" s="21">
        <f t="shared" si="1"/>
        <v>17</v>
      </c>
      <c r="R1" s="21">
        <f>Q1+1</f>
        <v>18</v>
      </c>
      <c r="S1" s="21">
        <f>R1+1</f>
        <v>19</v>
      </c>
      <c r="T1" s="21">
        <f>S1+1</f>
        <v>20</v>
      </c>
      <c r="U1" s="21">
        <f>T1+1</f>
        <v>21</v>
      </c>
    </row>
    <row r="2" spans="1:23" ht="45" x14ac:dyDescent="0.25">
      <c r="A2" t="s">
        <v>600</v>
      </c>
      <c r="B2" t="s">
        <v>607</v>
      </c>
      <c r="C2" s="24" t="s">
        <v>1253</v>
      </c>
      <c r="D2" s="24" t="s">
        <v>1251</v>
      </c>
      <c r="E2" s="24" t="s">
        <v>1252</v>
      </c>
      <c r="F2" s="152" t="s">
        <v>729</v>
      </c>
      <c r="G2" s="152" t="s">
        <v>719</v>
      </c>
      <c r="H2" s="152" t="s">
        <v>1042</v>
      </c>
      <c r="I2" s="152" t="s">
        <v>1040</v>
      </c>
      <c r="J2" s="153" t="s">
        <v>1067</v>
      </c>
      <c r="K2" s="152" t="s">
        <v>1044</v>
      </c>
      <c r="L2" s="152" t="s">
        <v>1045</v>
      </c>
      <c r="M2" s="153" t="s">
        <v>1029</v>
      </c>
      <c r="N2" s="167" t="s">
        <v>1068</v>
      </c>
      <c r="O2" s="167" t="s">
        <v>1069</v>
      </c>
      <c r="P2" s="168" t="s">
        <v>1070</v>
      </c>
      <c r="Q2" s="168" t="s">
        <v>1071</v>
      </c>
      <c r="R2" s="153" t="s">
        <v>1091</v>
      </c>
      <c r="S2" s="167" t="s">
        <v>1092</v>
      </c>
      <c r="T2" s="263" t="s">
        <v>1093</v>
      </c>
      <c r="U2" s="263"/>
    </row>
    <row r="3" spans="1:23" x14ac:dyDescent="0.25">
      <c r="A3" t="s">
        <v>7</v>
      </c>
      <c r="B3" t="s">
        <v>304</v>
      </c>
      <c r="C3" s="25">
        <f>SUMPRODUCT(VLOOKUP($A3,'PSES Enroll Snapshot 25-01-17'!$K$5:$AB$327,{2,3,4,5,6,7,8,9},0))</f>
        <v>26.799999999999997</v>
      </c>
      <c r="D3" s="25">
        <f>SUMPRODUCT(VLOOKUP($A3,'PSES Enroll Snapshot 25-01-17'!$K$5:$AB$327,{10,11},0))-VLOOKUP($A3,'PSES Enroll Snapshot 25-01-17'!$K$5:$AB$327,12,0)</f>
        <v>9.129999999999999</v>
      </c>
      <c r="E3" s="25">
        <f>SUMPRODUCT(VLOOKUP($A3,'PSES Enroll Snapshot 25-01-17'!$K$5:$AB$327,{13,14},0))-SUMPRODUCT(VLOOKUP($A3,'PSES Enroll Snapshot 25-01-17'!$K$5:$AB$327,{15,16,17},0))</f>
        <v>17.46</v>
      </c>
      <c r="F3" s="33">
        <f>ROUND($C3*'2024-25 Elementary Calculator'!$Q$13/400,3)+ROUND($D3*'2024-25 Middle Calculator'!$O$13/432,3)+ROUND($E3*'2024-25 High Calculator'!$O$13/600,3)</f>
        <v>0.191</v>
      </c>
      <c r="G3" s="33">
        <f>ROUND($C3*'2024-25 Elementary Calculator'!$Q$15/400,3)+ROUND($D3*'2024-25 Middle Calculator'!$O$15/432,3)+ROUND($E3*'2024-25 High Calculator'!$O$15/600,3)</f>
        <v>2.7E-2</v>
      </c>
      <c r="H3" s="33">
        <f>ROUND($C3*'2024-25 Elementary Calculator'!$Q$17/400,3)+ROUND($D3*'2024-25 Middle Calculator'!$O$17/432,3)+ROUND($E3*'2024-25 High Calculator'!$O$17/600,3)</f>
        <v>9.0000000000000011E-3</v>
      </c>
      <c r="I3" s="33">
        <f>ROUND($C3*'2024-25 Elementary Calculator'!$Q$18/400,3)+ROUND($D3*'2024-25 Middle Calculator'!$O$18/432,3)+ROUND($E3*'2024-25 High Calculator'!$O$18/600,3)</f>
        <v>8.199999999999999E-2</v>
      </c>
      <c r="J3" s="166">
        <f t="shared" ref="J3:J66" si="2">SUM(F3:I3)</f>
        <v>0.309</v>
      </c>
      <c r="K3" s="33">
        <f>ROUND($C3*'2024-25 Elementary Calculator'!$Q$23/400,3)+ROUND($D3*'2024-25 Middle Calculator'!$O$23/432,3)+ROUND($E3*'2024-25 High Calculator'!$O$23/600,3)</f>
        <v>1.0999999999999999E-2</v>
      </c>
      <c r="L3" s="33">
        <f>ROUND($C3*'2024-25 Elementary Calculator'!$Q$22/400,3)+ROUND($D3*'2024-25 Middle Calculator'!$O$22/432,3)+ROUND($E3*'2024-25 High Calculator'!$O$22/600,3)</f>
        <v>6.0000000000000001E-3</v>
      </c>
      <c r="M3" s="166">
        <f t="shared" ref="M3:M66" si="3">SUM(K3:L3)</f>
        <v>1.7000000000000001E-2</v>
      </c>
      <c r="N3" s="33">
        <f>VLOOKUP($A3,'District Summary'!$A$6:$AH$325,29,FALSE)</f>
        <v>0.30300000000000005</v>
      </c>
      <c r="O3" s="33">
        <f>VLOOKUP($A3,'District Summary'!$A$6:$AH$325,34,FALSE)</f>
        <v>4.9000000000000002E-2</v>
      </c>
      <c r="P3" s="67">
        <f t="shared" ref="P3:P66" si="4">N3-J3</f>
        <v>-5.9999999999999498E-3</v>
      </c>
      <c r="Q3" s="67">
        <f t="shared" ref="Q3:Q66" si="5">O3-M3</f>
        <v>3.2000000000000001E-2</v>
      </c>
      <c r="R3" s="67">
        <f>SUM(J3,M3)</f>
        <v>0.32600000000000001</v>
      </c>
      <c r="S3" s="33">
        <f>SUM(N3:O3)</f>
        <v>0.35200000000000004</v>
      </c>
      <c r="T3" s="67">
        <f>ROUND(S3-R3,3)</f>
        <v>2.5999999999999999E-2</v>
      </c>
      <c r="U3" s="67">
        <f>IF(T3&gt;0, 0,T3)</f>
        <v>0</v>
      </c>
      <c r="V3" s="273"/>
      <c r="W3" s="273"/>
    </row>
    <row r="4" spans="1:23" x14ac:dyDescent="0.25">
      <c r="A4" t="s">
        <v>8</v>
      </c>
      <c r="B4" t="s">
        <v>305</v>
      </c>
      <c r="C4" s="25">
        <f>SUMPRODUCT(VLOOKUP($A4,'PSES Enroll Snapshot 25-01-17'!$K$5:$AB$327,{2,3,4,5,6,7,8,9},0))</f>
        <v>14</v>
      </c>
      <c r="D4" s="25">
        <f>SUMPRODUCT(VLOOKUP($A4,'PSES Enroll Snapshot 25-01-17'!$K$5:$AB$327,{10,11},0))-VLOOKUP($A4,'PSES Enroll Snapshot 25-01-17'!$K$5:$AB$327,12,0)</f>
        <v>0</v>
      </c>
      <c r="E4" s="25">
        <f>SUMPRODUCT(VLOOKUP($A4,'PSES Enroll Snapshot 25-01-17'!$K$5:$AB$327,{13,14},0))-SUMPRODUCT(VLOOKUP($A4,'PSES Enroll Snapshot 25-01-17'!$K$5:$AB$327,{15,16,17},0))</f>
        <v>0</v>
      </c>
      <c r="F4" s="33">
        <f>ROUND($C4*'2024-25 Elementary Calculator'!$Q$13/400,3)+ROUND($D4*'2024-25 Middle Calculator'!$O$13/432,3)+ROUND($E4*'2024-25 High Calculator'!$O$13/600,3)</f>
        <v>3.5000000000000003E-2</v>
      </c>
      <c r="G4" s="33">
        <f>ROUND($C4*'2024-25 Elementary Calculator'!$Q$15/400,3)+ROUND($D4*'2024-25 Middle Calculator'!$O$15/432,3)+ROUND($E4*'2024-25 High Calculator'!$O$15/600,3)</f>
        <v>1.0999999999999999E-2</v>
      </c>
      <c r="H4" s="33">
        <f>ROUND($C4*'2024-25 Elementary Calculator'!$Q$17/400,3)+ROUND($D4*'2024-25 Middle Calculator'!$O$17/432,3)+ROUND($E4*'2024-25 High Calculator'!$O$17/600,3)</f>
        <v>4.0000000000000001E-3</v>
      </c>
      <c r="I4" s="33">
        <f>ROUND($C4*'2024-25 Elementary Calculator'!$Q$18/400,3)+ROUND($D4*'2024-25 Middle Calculator'!$O$18/432,3)+ROUND($E4*'2024-25 High Calculator'!$O$18/600,3)</f>
        <v>0.02</v>
      </c>
      <c r="J4" s="166">
        <f t="shared" si="2"/>
        <v>7.0000000000000007E-2</v>
      </c>
      <c r="K4" s="33">
        <f>ROUND($C4*'2024-25 Elementary Calculator'!$Q$23/400,3)+ROUND($D4*'2024-25 Middle Calculator'!$O$23/432,3)+ROUND($E4*'2024-25 High Calculator'!$O$23/600,3)</f>
        <v>3.0000000000000001E-3</v>
      </c>
      <c r="L4" s="33">
        <f>ROUND($C4*'2024-25 Elementary Calculator'!$Q$22/400,3)+ROUND($D4*'2024-25 Middle Calculator'!$O$22/432,3)+ROUND($E4*'2024-25 High Calculator'!$O$22/600,3)</f>
        <v>3.0000000000000001E-3</v>
      </c>
      <c r="M4" s="166">
        <f t="shared" si="3"/>
        <v>6.0000000000000001E-3</v>
      </c>
      <c r="N4" s="33">
        <f>VLOOKUP($A4,'District Summary'!$A$6:$AH$325,29,FALSE)</f>
        <v>0</v>
      </c>
      <c r="O4" s="33">
        <f>VLOOKUP($A4,'District Summary'!$A$6:$AH$325,34,FALSE)</f>
        <v>0</v>
      </c>
      <c r="P4" s="67">
        <f t="shared" si="4"/>
        <v>-7.0000000000000007E-2</v>
      </c>
      <c r="Q4" s="67">
        <f t="shared" si="5"/>
        <v>-6.0000000000000001E-3</v>
      </c>
      <c r="R4" s="67">
        <f>SUM(J4,M4)</f>
        <v>7.6000000000000012E-2</v>
      </c>
      <c r="S4" s="33">
        <f>SUM(N4:O4)</f>
        <v>0</v>
      </c>
      <c r="T4" s="67">
        <f t="shared" ref="T4:T67" si="6">ROUND(S4-R4,3)</f>
        <v>-7.5999999999999998E-2</v>
      </c>
      <c r="U4" s="67">
        <f t="shared" ref="U4:U66" si="7">IF(T4&gt;0, 0,T4)</f>
        <v>-7.5999999999999998E-2</v>
      </c>
      <c r="V4" s="273"/>
      <c r="W4" s="273"/>
    </row>
    <row r="5" spans="1:23" x14ac:dyDescent="0.25">
      <c r="A5" t="s">
        <v>9</v>
      </c>
      <c r="B5" t="s">
        <v>306</v>
      </c>
      <c r="C5" s="25">
        <f>SUMPRODUCT(VLOOKUP($A5,'PSES Enroll Snapshot 25-01-17'!$K$5:$AB$327,{2,3,4,5,6,7,8,9},0))</f>
        <v>2355.17</v>
      </c>
      <c r="D5" s="25">
        <f>SUMPRODUCT(VLOOKUP($A5,'PSES Enroll Snapshot 25-01-17'!$K$5:$AB$327,{10,11},0))-VLOOKUP($A5,'PSES Enroll Snapshot 25-01-17'!$K$5:$AB$327,12,0)</f>
        <v>676.46</v>
      </c>
      <c r="E5" s="25">
        <f>SUMPRODUCT(VLOOKUP($A5,'PSES Enroll Snapshot 25-01-17'!$K$5:$AB$327,{13,14},0))-SUMPRODUCT(VLOOKUP($A5,'PSES Enroll Snapshot 25-01-17'!$K$5:$AB$327,{15,16,17},0))</f>
        <v>1038.56</v>
      </c>
      <c r="F5" s="33">
        <f>ROUND($C5*'2024-25 Elementary Calculator'!$Q$13/400,3)+ROUND($D5*'2024-25 Middle Calculator'!$O$13/432,3)+ROUND($E5*'2024-25 High Calculator'!$O$13/600,3)</f>
        <v>13.794</v>
      </c>
      <c r="G5" s="33">
        <f>ROUND($C5*'2024-25 Elementary Calculator'!$Q$15/400,3)+ROUND($D5*'2024-25 Middle Calculator'!$O$15/432,3)+ROUND($E5*'2024-25 High Calculator'!$O$15/600,3)</f>
        <v>2.1890000000000001</v>
      </c>
      <c r="H5" s="33">
        <f>ROUND($C5*'2024-25 Elementary Calculator'!$Q$17/400,3)+ROUND($D5*'2024-25 Middle Calculator'!$O$17/432,3)+ROUND($E5*'2024-25 High Calculator'!$O$17/600,3)</f>
        <v>0.73499999999999999</v>
      </c>
      <c r="I5" s="33">
        <f>ROUND($C5*'2024-25 Elementary Calculator'!$Q$18/400,3)+ROUND($D5*'2024-25 Middle Calculator'!$O$18/432,3)+ROUND($E5*'2024-25 High Calculator'!$O$18/600,3)</f>
        <v>6.2610000000000001</v>
      </c>
      <c r="J5" s="166">
        <f t="shared" si="2"/>
        <v>22.978999999999999</v>
      </c>
      <c r="K5" s="33">
        <f>ROUND($C5*'2024-25 Elementary Calculator'!$Q$23/400,3)+ROUND($D5*'2024-25 Middle Calculator'!$O$23/432,3)+ROUND($E5*'2024-25 High Calculator'!$O$23/600,3)</f>
        <v>0.85299999999999998</v>
      </c>
      <c r="L5" s="33">
        <f>ROUND($C5*'2024-25 Elementary Calculator'!$Q$22/400,3)+ROUND($D5*'2024-25 Middle Calculator'!$O$22/432,3)+ROUND($E5*'2024-25 High Calculator'!$O$22/600,3)</f>
        <v>0.48599999999999999</v>
      </c>
      <c r="M5" s="166">
        <f t="shared" si="3"/>
        <v>1.339</v>
      </c>
      <c r="N5" s="33">
        <f>VLOOKUP($A5,'District Summary'!$A$6:$AH$325,29,FALSE)</f>
        <v>10.128</v>
      </c>
      <c r="O5" s="33">
        <f>VLOOKUP($A5,'District Summary'!$A$6:$AH$325,34,FALSE)</f>
        <v>17.942</v>
      </c>
      <c r="P5" s="67">
        <f t="shared" si="4"/>
        <v>-12.850999999999999</v>
      </c>
      <c r="Q5" s="67">
        <f t="shared" si="5"/>
        <v>16.603000000000002</v>
      </c>
      <c r="R5" s="67">
        <f t="shared" ref="R5:R66" si="8">SUM(J5,M5)</f>
        <v>24.317999999999998</v>
      </c>
      <c r="S5" s="33">
        <f t="shared" ref="S5:S66" si="9">SUM(N5:O5)</f>
        <v>28.07</v>
      </c>
      <c r="T5" s="67">
        <f t="shared" si="6"/>
        <v>3.7519999999999998</v>
      </c>
      <c r="U5" s="67">
        <f t="shared" si="7"/>
        <v>0</v>
      </c>
      <c r="V5" s="273"/>
      <c r="W5" s="273"/>
    </row>
    <row r="6" spans="1:23" x14ac:dyDescent="0.25">
      <c r="A6" t="s">
        <v>10</v>
      </c>
      <c r="B6" t="s">
        <v>307</v>
      </c>
      <c r="C6" s="25">
        <f>SUMPRODUCT(VLOOKUP($A6,'PSES Enroll Snapshot 25-01-17'!$K$5:$AB$327,{2,3,4,5,6,7,8,9},0))</f>
        <v>90.38</v>
      </c>
      <c r="D6" s="25">
        <f>SUMPRODUCT(VLOOKUP($A6,'PSES Enroll Snapshot 25-01-17'!$K$5:$AB$327,{10,11},0))-VLOOKUP($A6,'PSES Enroll Snapshot 25-01-17'!$K$5:$AB$327,12,0)</f>
        <v>29.8</v>
      </c>
      <c r="E6" s="25">
        <f>SUMPRODUCT(VLOOKUP($A6,'PSES Enroll Snapshot 25-01-17'!$K$5:$AB$327,{13,14},0))-SUMPRODUCT(VLOOKUP($A6,'PSES Enroll Snapshot 25-01-17'!$K$5:$AB$327,{15,16,17},0))</f>
        <v>32.169999999999995</v>
      </c>
      <c r="F6" s="33">
        <f>ROUND($C6*'2024-25 Elementary Calculator'!$Q$13/400,3)+ROUND($D6*'2024-25 Middle Calculator'!$O$13/432,3)+ROUND($E6*'2024-25 High Calculator'!$O$13/600,3)</f>
        <v>0.505</v>
      </c>
      <c r="G6" s="33">
        <f>ROUND($C6*'2024-25 Elementary Calculator'!$Q$15/400,3)+ROUND($D6*'2024-25 Middle Calculator'!$O$15/432,3)+ROUND($E6*'2024-25 High Calculator'!$O$15/600,3)</f>
        <v>8.3000000000000018E-2</v>
      </c>
      <c r="H6" s="33">
        <f>ROUND($C6*'2024-25 Elementary Calculator'!$Q$17/400,3)+ROUND($D6*'2024-25 Middle Calculator'!$O$17/432,3)+ROUND($E6*'2024-25 High Calculator'!$O$17/600,3)</f>
        <v>2.8000000000000001E-2</v>
      </c>
      <c r="I6" s="33">
        <f>ROUND($C6*'2024-25 Elementary Calculator'!$Q$18/400,3)+ROUND($D6*'2024-25 Middle Calculator'!$O$18/432,3)+ROUND($E6*'2024-25 High Calculator'!$O$18/600,3)</f>
        <v>0.23699999999999999</v>
      </c>
      <c r="J6" s="166">
        <f t="shared" si="2"/>
        <v>0.85300000000000009</v>
      </c>
      <c r="K6" s="33">
        <f>ROUND($C6*'2024-25 Elementary Calculator'!$Q$23/400,3)+ROUND($D6*'2024-25 Middle Calculator'!$O$23/432,3)+ROUND($E6*'2024-25 High Calculator'!$O$23/600,3)</f>
        <v>3.2000000000000001E-2</v>
      </c>
      <c r="L6" s="33">
        <f>ROUND($C6*'2024-25 Elementary Calculator'!$Q$22/400,3)+ROUND($D6*'2024-25 Middle Calculator'!$O$22/432,3)+ROUND($E6*'2024-25 High Calculator'!$O$22/600,3)</f>
        <v>1.9E-2</v>
      </c>
      <c r="M6" s="166">
        <f t="shared" si="3"/>
        <v>5.1000000000000004E-2</v>
      </c>
      <c r="N6" s="33">
        <f>VLOOKUP($A6,'District Summary'!$A$6:$AH$325,29,FALSE)</f>
        <v>1.7170000000000001</v>
      </c>
      <c r="O6" s="33">
        <f>VLOOKUP($A6,'District Summary'!$A$6:$AH$325,34,FALSE)</f>
        <v>0.82600000000000007</v>
      </c>
      <c r="P6" s="67">
        <f t="shared" si="4"/>
        <v>0.86399999999999999</v>
      </c>
      <c r="Q6" s="67">
        <f t="shared" si="5"/>
        <v>0.77500000000000002</v>
      </c>
      <c r="R6" s="67">
        <f t="shared" si="8"/>
        <v>0.90400000000000014</v>
      </c>
      <c r="S6" s="33">
        <f t="shared" si="9"/>
        <v>2.5430000000000001</v>
      </c>
      <c r="T6" s="67">
        <f t="shared" si="6"/>
        <v>1.639</v>
      </c>
      <c r="U6" s="67">
        <f t="shared" si="7"/>
        <v>0</v>
      </c>
      <c r="V6" s="273"/>
      <c r="W6" s="273"/>
    </row>
    <row r="7" spans="1:23" x14ac:dyDescent="0.25">
      <c r="A7" t="s">
        <v>11</v>
      </c>
      <c r="B7" t="s">
        <v>308</v>
      </c>
      <c r="C7" s="25">
        <f>SUMPRODUCT(VLOOKUP($A7,'PSES Enroll Snapshot 25-01-17'!$K$5:$AB$327,{2,3,4,5,6,7,8,9},0))</f>
        <v>191</v>
      </c>
      <c r="D7" s="25">
        <f>SUMPRODUCT(VLOOKUP($A7,'PSES Enroll Snapshot 25-01-17'!$K$5:$AB$327,{10,11},0))-VLOOKUP($A7,'PSES Enroll Snapshot 25-01-17'!$K$5:$AB$327,12,0)</f>
        <v>46.81</v>
      </c>
      <c r="E7" s="25">
        <f>SUMPRODUCT(VLOOKUP($A7,'PSES Enroll Snapshot 25-01-17'!$K$5:$AB$327,{13,14},0))-SUMPRODUCT(VLOOKUP($A7,'PSES Enroll Snapshot 25-01-17'!$K$5:$AB$327,{15,16,17},0))</f>
        <v>81.759999999999991</v>
      </c>
      <c r="F7" s="33">
        <f>ROUND($C7*'2024-25 Elementary Calculator'!$Q$13/400,3)+ROUND($D7*'2024-25 Middle Calculator'!$O$13/432,3)+ROUND($E7*'2024-25 High Calculator'!$O$13/600,3)</f>
        <v>1.0739999999999998</v>
      </c>
      <c r="G7" s="33">
        <f>ROUND($C7*'2024-25 Elementary Calculator'!$Q$15/400,3)+ROUND($D7*'2024-25 Middle Calculator'!$O$15/432,3)+ROUND($E7*'2024-25 High Calculator'!$O$15/600,3)</f>
        <v>0.17599999999999999</v>
      </c>
      <c r="H7" s="33">
        <f>ROUND($C7*'2024-25 Elementary Calculator'!$Q$17/400,3)+ROUND($D7*'2024-25 Middle Calculator'!$O$17/432,3)+ROUND($E7*'2024-25 High Calculator'!$O$17/600,3)</f>
        <v>6.0000000000000005E-2</v>
      </c>
      <c r="I7" s="33">
        <f>ROUND($C7*'2024-25 Elementary Calculator'!$Q$18/400,3)+ROUND($D7*'2024-25 Middle Calculator'!$O$18/432,3)+ROUND($E7*'2024-25 High Calculator'!$O$18/600,3)</f>
        <v>0.48699999999999999</v>
      </c>
      <c r="J7" s="166">
        <f t="shared" si="2"/>
        <v>1.7969999999999997</v>
      </c>
      <c r="K7" s="33">
        <f>ROUND($C7*'2024-25 Elementary Calculator'!$Q$23/400,3)+ROUND($D7*'2024-25 Middle Calculator'!$O$23/432,3)+ROUND($E7*'2024-25 High Calculator'!$O$23/600,3)</f>
        <v>6.7000000000000004E-2</v>
      </c>
      <c r="L7" s="33">
        <f>ROUND($C7*'2024-25 Elementary Calculator'!$Q$22/400,3)+ROUND($D7*'2024-25 Middle Calculator'!$O$22/432,3)+ROUND($E7*'2024-25 High Calculator'!$O$22/600,3)</f>
        <v>3.9E-2</v>
      </c>
      <c r="M7" s="166">
        <f t="shared" si="3"/>
        <v>0.10600000000000001</v>
      </c>
      <c r="N7" s="33">
        <f>VLOOKUP($A7,'District Summary'!$A$6:$AH$325,29,FALSE)</f>
        <v>0.625</v>
      </c>
      <c r="O7" s="33">
        <f>VLOOKUP($A7,'District Summary'!$A$6:$AH$325,34,FALSE)</f>
        <v>1.5070000000000001</v>
      </c>
      <c r="P7" s="67">
        <f t="shared" si="4"/>
        <v>-1.1719999999999997</v>
      </c>
      <c r="Q7" s="67">
        <f t="shared" si="5"/>
        <v>1.401</v>
      </c>
      <c r="R7" s="67">
        <f t="shared" si="8"/>
        <v>1.9029999999999998</v>
      </c>
      <c r="S7" s="33">
        <f t="shared" si="9"/>
        <v>2.1320000000000001</v>
      </c>
      <c r="T7" s="67">
        <f t="shared" si="6"/>
        <v>0.22900000000000001</v>
      </c>
      <c r="U7" s="67">
        <f t="shared" si="7"/>
        <v>0</v>
      </c>
      <c r="V7" s="273"/>
      <c r="W7" s="273"/>
    </row>
    <row r="8" spans="1:23" x14ac:dyDescent="0.25">
      <c r="A8" t="s">
        <v>12</v>
      </c>
      <c r="B8" t="s">
        <v>309</v>
      </c>
      <c r="C8" s="25">
        <f>SUMPRODUCT(VLOOKUP($A8,'PSES Enroll Snapshot 25-01-17'!$K$5:$AB$327,{2,3,4,5,6,7,8,9},0))</f>
        <v>1212.99</v>
      </c>
      <c r="D8" s="25">
        <f>SUMPRODUCT(VLOOKUP($A8,'PSES Enroll Snapshot 25-01-17'!$K$5:$AB$327,{10,11},0))-VLOOKUP($A8,'PSES Enroll Snapshot 25-01-17'!$K$5:$AB$327,12,0)</f>
        <v>322.27999999999997</v>
      </c>
      <c r="E8" s="25">
        <f>SUMPRODUCT(VLOOKUP($A8,'PSES Enroll Snapshot 25-01-17'!$K$5:$AB$327,{13,14},0))-SUMPRODUCT(VLOOKUP($A8,'PSES Enroll Snapshot 25-01-17'!$K$5:$AB$327,{15,16,17},0))</f>
        <v>504.02000000000004</v>
      </c>
      <c r="F8" s="33">
        <f>ROUND($C8*'2024-25 Elementary Calculator'!$Q$13/400,3)+ROUND($D8*'2024-25 Middle Calculator'!$O$13/432,3)+ROUND($E8*'2024-25 High Calculator'!$O$13/600,3)</f>
        <v>6.8440000000000003</v>
      </c>
      <c r="G8" s="33">
        <f>ROUND($C8*'2024-25 Elementary Calculator'!$Q$15/400,3)+ROUND($D8*'2024-25 Middle Calculator'!$O$15/432,3)+ROUND($E8*'2024-25 High Calculator'!$O$15/600,3)</f>
        <v>1.1159999999999999</v>
      </c>
      <c r="H8" s="33">
        <f>ROUND($C8*'2024-25 Elementary Calculator'!$Q$17/400,3)+ROUND($D8*'2024-25 Middle Calculator'!$O$17/432,3)+ROUND($E8*'2024-25 High Calculator'!$O$17/600,3)</f>
        <v>0.374</v>
      </c>
      <c r="I8" s="33">
        <f>ROUND($C8*'2024-25 Elementary Calculator'!$Q$18/400,3)+ROUND($D8*'2024-25 Middle Calculator'!$O$18/432,3)+ROUND($E8*'2024-25 High Calculator'!$O$18/600,3)</f>
        <v>3.1280000000000001</v>
      </c>
      <c r="J8" s="166">
        <f t="shared" si="2"/>
        <v>11.462</v>
      </c>
      <c r="K8" s="33">
        <f>ROUND($C8*'2024-25 Elementary Calculator'!$Q$23/400,3)+ROUND($D8*'2024-25 Middle Calculator'!$O$23/432,3)+ROUND($E8*'2024-25 High Calculator'!$O$23/600,3)</f>
        <v>0.42699999999999999</v>
      </c>
      <c r="L8" s="33">
        <f>ROUND($C8*'2024-25 Elementary Calculator'!$Q$22/400,3)+ROUND($D8*'2024-25 Middle Calculator'!$O$22/432,3)+ROUND($E8*'2024-25 High Calculator'!$O$22/600,3)</f>
        <v>0.25</v>
      </c>
      <c r="M8" s="166">
        <f t="shared" si="3"/>
        <v>0.67700000000000005</v>
      </c>
      <c r="N8" s="33">
        <f>VLOOKUP($A8,'District Summary'!$A$6:$AH$325,29,FALSE)</f>
        <v>5.0129999999999999</v>
      </c>
      <c r="O8" s="33">
        <f>VLOOKUP($A8,'District Summary'!$A$6:$AH$325,34,FALSE)</f>
        <v>3.9830000000000005</v>
      </c>
      <c r="P8" s="67">
        <f t="shared" si="4"/>
        <v>-6.4489999999999998</v>
      </c>
      <c r="Q8" s="67">
        <f t="shared" si="5"/>
        <v>3.3060000000000005</v>
      </c>
      <c r="R8" s="67">
        <f t="shared" si="8"/>
        <v>12.138999999999999</v>
      </c>
      <c r="S8" s="33">
        <f t="shared" si="9"/>
        <v>8.9960000000000004</v>
      </c>
      <c r="T8" s="67">
        <f t="shared" si="6"/>
        <v>-3.1429999999999998</v>
      </c>
      <c r="U8" s="67">
        <f t="shared" si="7"/>
        <v>-3.1429999999999998</v>
      </c>
      <c r="V8" s="273"/>
      <c r="W8" s="273"/>
    </row>
    <row r="9" spans="1:23" x14ac:dyDescent="0.25">
      <c r="A9" t="s">
        <v>13</v>
      </c>
      <c r="B9" t="s">
        <v>310</v>
      </c>
      <c r="C9" s="25">
        <f>SUMPRODUCT(VLOOKUP($A9,'PSES Enroll Snapshot 25-01-17'!$K$5:$AB$327,{2,3,4,5,6,7,8,9},0))</f>
        <v>377.24999999999994</v>
      </c>
      <c r="D9" s="25">
        <f>SUMPRODUCT(VLOOKUP($A9,'PSES Enroll Snapshot 25-01-17'!$K$5:$AB$327,{10,11},0))-VLOOKUP($A9,'PSES Enroll Snapshot 25-01-17'!$K$5:$AB$327,12,0)</f>
        <v>86.990000000000009</v>
      </c>
      <c r="E9" s="25">
        <f>SUMPRODUCT(VLOOKUP($A9,'PSES Enroll Snapshot 25-01-17'!$K$5:$AB$327,{13,14},0))-SUMPRODUCT(VLOOKUP($A9,'PSES Enroll Snapshot 25-01-17'!$K$5:$AB$327,{15,16,17},0))</f>
        <v>120.87</v>
      </c>
      <c r="F9" s="33">
        <f>ROUND($C9*'2024-25 Elementary Calculator'!$Q$13/400,3)+ROUND($D9*'2024-25 Middle Calculator'!$O$13/432,3)+ROUND($E9*'2024-25 High Calculator'!$O$13/600,3)</f>
        <v>1.895</v>
      </c>
      <c r="G9" s="33">
        <f>ROUND($C9*'2024-25 Elementary Calculator'!$Q$15/400,3)+ROUND($D9*'2024-25 Middle Calculator'!$O$15/432,3)+ROUND($E9*'2024-25 High Calculator'!$O$15/600,3)</f>
        <v>0.33700000000000002</v>
      </c>
      <c r="H9" s="33">
        <f>ROUND($C9*'2024-25 Elementary Calculator'!$Q$17/400,3)+ROUND($D9*'2024-25 Middle Calculator'!$O$17/432,3)+ROUND($E9*'2024-25 High Calculator'!$O$17/600,3)</f>
        <v>0.113</v>
      </c>
      <c r="I9" s="33">
        <f>ROUND($C9*'2024-25 Elementary Calculator'!$Q$18/400,3)+ROUND($D9*'2024-25 Middle Calculator'!$O$18/432,3)+ROUND($E9*'2024-25 High Calculator'!$O$18/600,3)</f>
        <v>0.89700000000000013</v>
      </c>
      <c r="J9" s="166">
        <f t="shared" si="2"/>
        <v>3.2420000000000004</v>
      </c>
      <c r="K9" s="33">
        <f>ROUND($C9*'2024-25 Elementary Calculator'!$Q$23/400,3)+ROUND($D9*'2024-25 Middle Calculator'!$O$23/432,3)+ROUND($E9*'2024-25 High Calculator'!$O$23/600,3)</f>
        <v>0.122</v>
      </c>
      <c r="L9" s="33">
        <f>ROUND($C9*'2024-25 Elementary Calculator'!$Q$22/400,3)+ROUND($D9*'2024-25 Middle Calculator'!$O$22/432,3)+ROUND($E9*'2024-25 High Calculator'!$O$22/600,3)</f>
        <v>7.8E-2</v>
      </c>
      <c r="M9" s="166">
        <f t="shared" si="3"/>
        <v>0.2</v>
      </c>
      <c r="N9" s="33">
        <f>VLOOKUP($A9,'District Summary'!$A$6:$AH$325,29,FALSE)</f>
        <v>1.7799999999999998</v>
      </c>
      <c r="O9" s="33">
        <f>VLOOKUP($A9,'District Summary'!$A$6:$AH$325,34,FALSE)</f>
        <v>1.397</v>
      </c>
      <c r="P9" s="67">
        <f t="shared" si="4"/>
        <v>-1.4620000000000006</v>
      </c>
      <c r="Q9" s="67">
        <f t="shared" si="5"/>
        <v>1.1970000000000001</v>
      </c>
      <c r="R9" s="67">
        <f t="shared" si="8"/>
        <v>3.4420000000000006</v>
      </c>
      <c r="S9" s="33">
        <f t="shared" si="9"/>
        <v>3.1769999999999996</v>
      </c>
      <c r="T9" s="67">
        <f t="shared" si="6"/>
        <v>-0.26500000000000001</v>
      </c>
      <c r="U9" s="67">
        <f t="shared" si="7"/>
        <v>-0.26500000000000001</v>
      </c>
      <c r="V9" s="273"/>
      <c r="W9" s="273"/>
    </row>
    <row r="10" spans="1:23" x14ac:dyDescent="0.25">
      <c r="A10" t="s">
        <v>14</v>
      </c>
      <c r="B10" t="s">
        <v>311</v>
      </c>
      <c r="C10" s="25">
        <f>SUMPRODUCT(VLOOKUP($A10,'PSES Enroll Snapshot 25-01-17'!$K$5:$AB$327,{2,3,4,5,6,7,8,9},0))</f>
        <v>9298.2200000000012</v>
      </c>
      <c r="D10" s="25">
        <f>SUMPRODUCT(VLOOKUP($A10,'PSES Enroll Snapshot 25-01-17'!$K$5:$AB$327,{10,11},0))-VLOOKUP($A10,'PSES Enroll Snapshot 25-01-17'!$K$5:$AB$327,12,0)</f>
        <v>2674.5600000000004</v>
      </c>
      <c r="E10" s="25">
        <f>SUMPRODUCT(VLOOKUP($A10,'PSES Enroll Snapshot 25-01-17'!$K$5:$AB$327,{13,14},0))-SUMPRODUCT(VLOOKUP($A10,'PSES Enroll Snapshot 25-01-17'!$K$5:$AB$327,{15,16,17},0))</f>
        <v>4115.6499999999996</v>
      </c>
      <c r="F10" s="33">
        <f>ROUND($C10*'2024-25 Elementary Calculator'!$Q$13/400,3)+ROUND($D10*'2024-25 Middle Calculator'!$O$13/432,3)+ROUND($E10*'2024-25 High Calculator'!$O$13/600,3)</f>
        <v>54.552999999999997</v>
      </c>
      <c r="G10" s="33">
        <f>ROUND($C10*'2024-25 Elementary Calculator'!$Q$15/400,3)+ROUND($D10*'2024-25 Middle Calculator'!$O$15/432,3)+ROUND($E10*'2024-25 High Calculator'!$O$15/600,3)</f>
        <v>8.6449999999999996</v>
      </c>
      <c r="H10" s="33">
        <f>ROUND($C10*'2024-25 Elementary Calculator'!$Q$17/400,3)+ROUND($D10*'2024-25 Middle Calculator'!$O$17/432,3)+ROUND($E10*'2024-25 High Calculator'!$O$17/600,3)</f>
        <v>2.903</v>
      </c>
      <c r="I10" s="33">
        <f>ROUND($C10*'2024-25 Elementary Calculator'!$Q$18/400,3)+ROUND($D10*'2024-25 Middle Calculator'!$O$18/432,3)+ROUND($E10*'2024-25 High Calculator'!$O$18/600,3)</f>
        <v>24.749000000000002</v>
      </c>
      <c r="J10" s="166">
        <f t="shared" si="2"/>
        <v>90.85</v>
      </c>
      <c r="K10" s="33">
        <f>ROUND($C10*'2024-25 Elementary Calculator'!$Q$23/400,3)+ROUND($D10*'2024-25 Middle Calculator'!$O$23/432,3)+ROUND($E10*'2024-25 High Calculator'!$O$23/600,3)</f>
        <v>3.3730000000000002</v>
      </c>
      <c r="L10" s="33">
        <f>ROUND($C10*'2024-25 Elementary Calculator'!$Q$22/400,3)+ROUND($D10*'2024-25 Middle Calculator'!$O$22/432,3)+ROUND($E10*'2024-25 High Calculator'!$O$22/600,3)</f>
        <v>1.9179999999999999</v>
      </c>
      <c r="M10" s="166">
        <f t="shared" si="3"/>
        <v>5.2910000000000004</v>
      </c>
      <c r="N10" s="33">
        <f>VLOOKUP($A10,'District Summary'!$A$6:$AH$325,29,FALSE)</f>
        <v>69.004000000000005</v>
      </c>
      <c r="O10" s="33">
        <f>VLOOKUP($A10,'District Summary'!$A$6:$AH$325,34,FALSE)</f>
        <v>56.57</v>
      </c>
      <c r="P10" s="67">
        <f>N10-J10</f>
        <v>-21.845999999999989</v>
      </c>
      <c r="Q10" s="67">
        <f>O10-M10</f>
        <v>51.278999999999996</v>
      </c>
      <c r="R10" s="67">
        <f t="shared" si="8"/>
        <v>96.140999999999991</v>
      </c>
      <c r="S10" s="33">
        <f t="shared" si="9"/>
        <v>125.57400000000001</v>
      </c>
      <c r="T10" s="67">
        <f t="shared" si="6"/>
        <v>29.433</v>
      </c>
      <c r="U10" s="67">
        <f t="shared" si="7"/>
        <v>0</v>
      </c>
      <c r="V10" s="273"/>
      <c r="W10" s="273"/>
    </row>
    <row r="11" spans="1:23" x14ac:dyDescent="0.25">
      <c r="A11" t="s">
        <v>15</v>
      </c>
      <c r="B11" t="s">
        <v>312</v>
      </c>
      <c r="C11" s="25">
        <f>SUMPRODUCT(VLOOKUP($A11,'PSES Enroll Snapshot 25-01-17'!$K$5:$AB$327,{2,3,4,5,6,7,8,9},0))</f>
        <v>106</v>
      </c>
      <c r="D11" s="25">
        <f>SUMPRODUCT(VLOOKUP($A11,'PSES Enroll Snapshot 25-01-17'!$K$5:$AB$327,{10,11},0))-VLOOKUP($A11,'PSES Enroll Snapshot 25-01-17'!$K$5:$AB$327,12,0)</f>
        <v>17.43</v>
      </c>
      <c r="E11" s="25">
        <f>SUMPRODUCT(VLOOKUP($A11,'PSES Enroll Snapshot 25-01-17'!$K$5:$AB$327,{13,14},0))-SUMPRODUCT(VLOOKUP($A11,'PSES Enroll Snapshot 25-01-17'!$K$5:$AB$327,{15,16,17},0))</f>
        <v>0</v>
      </c>
      <c r="F11" s="33">
        <f>ROUND($C11*'2024-25 Elementary Calculator'!$Q$13/400,3)+ROUND($D11*'2024-25 Middle Calculator'!$O$13/432,3)+ROUND($E11*'2024-25 High Calculator'!$O$13/600,3)</f>
        <v>0.33200000000000002</v>
      </c>
      <c r="G11" s="33">
        <f>ROUND($C11*'2024-25 Elementary Calculator'!$Q$15/400,3)+ROUND($D11*'2024-25 Middle Calculator'!$O$15/432,3)+ROUND($E11*'2024-25 High Calculator'!$O$15/600,3)</f>
        <v>8.6000000000000007E-2</v>
      </c>
      <c r="H11" s="33">
        <f>ROUND($C11*'2024-25 Elementary Calculator'!$Q$17/400,3)+ROUND($D11*'2024-25 Middle Calculator'!$O$17/432,3)+ROUND($E11*'2024-25 High Calculator'!$O$17/600,3)</f>
        <v>2.9000000000000001E-2</v>
      </c>
      <c r="I11" s="33">
        <f>ROUND($C11*'2024-25 Elementary Calculator'!$Q$18/400,3)+ROUND($D11*'2024-25 Middle Calculator'!$O$18/432,3)+ROUND($E11*'2024-25 High Calculator'!$O$18/600,3)</f>
        <v>0.191</v>
      </c>
      <c r="J11" s="166">
        <f t="shared" si="2"/>
        <v>0.63800000000000012</v>
      </c>
      <c r="K11" s="33">
        <f>ROUND($C11*'2024-25 Elementary Calculator'!$Q$23/400,3)+ROUND($D11*'2024-25 Middle Calculator'!$O$23/432,3)+ROUND($E11*'2024-25 High Calculator'!$O$23/600,3)</f>
        <v>2.5000000000000001E-2</v>
      </c>
      <c r="L11" s="33">
        <f>ROUND($C11*'2024-25 Elementary Calculator'!$Q$22/400,3)+ROUND($D11*'2024-25 Middle Calculator'!$O$22/432,3)+ROUND($E11*'2024-25 High Calculator'!$O$22/600,3)</f>
        <v>2.1999999999999999E-2</v>
      </c>
      <c r="M11" s="166">
        <f t="shared" si="3"/>
        <v>4.7E-2</v>
      </c>
      <c r="N11" s="33">
        <f>VLOOKUP($A11,'District Summary'!$A$6:$AH$325,29,FALSE)</f>
        <v>0.54200000000000004</v>
      </c>
      <c r="O11" s="33">
        <f>VLOOKUP($A11,'District Summary'!$A$6:$AH$325,34,FALSE)</f>
        <v>0</v>
      </c>
      <c r="P11" s="67">
        <f t="shared" si="4"/>
        <v>-9.6000000000000085E-2</v>
      </c>
      <c r="Q11" s="67">
        <f t="shared" si="5"/>
        <v>-4.7E-2</v>
      </c>
      <c r="R11" s="67">
        <f t="shared" si="8"/>
        <v>0.68500000000000016</v>
      </c>
      <c r="S11" s="33">
        <f t="shared" si="9"/>
        <v>0.54200000000000004</v>
      </c>
      <c r="T11" s="67">
        <f t="shared" si="6"/>
        <v>-0.14299999999999999</v>
      </c>
      <c r="U11" s="67">
        <f t="shared" si="7"/>
        <v>-0.14299999999999999</v>
      </c>
      <c r="V11" s="273"/>
      <c r="W11" s="273"/>
    </row>
    <row r="12" spans="1:23" x14ac:dyDescent="0.25">
      <c r="A12" t="s">
        <v>16</v>
      </c>
      <c r="B12" t="s">
        <v>313</v>
      </c>
      <c r="C12" s="25">
        <f>SUMPRODUCT(VLOOKUP($A12,'PSES Enroll Snapshot 25-01-17'!$K$5:$AB$327,{2,3,4,5,6,7,8,9},0))</f>
        <v>692.4</v>
      </c>
      <c r="D12" s="25">
        <f>SUMPRODUCT(VLOOKUP($A12,'PSES Enroll Snapshot 25-01-17'!$K$5:$AB$327,{10,11},0))-VLOOKUP($A12,'PSES Enroll Snapshot 25-01-17'!$K$5:$AB$327,12,0)</f>
        <v>212.05</v>
      </c>
      <c r="E12" s="25">
        <f>SUMPRODUCT(VLOOKUP($A12,'PSES Enroll Snapshot 25-01-17'!$K$5:$AB$327,{13,14},0))-SUMPRODUCT(VLOOKUP($A12,'PSES Enroll Snapshot 25-01-17'!$K$5:$AB$327,{15,16,17},0))</f>
        <v>289.25</v>
      </c>
      <c r="F12" s="33">
        <f>ROUND($C12*'2024-25 Elementary Calculator'!$Q$13/400,3)+ROUND($D12*'2024-25 Middle Calculator'!$O$13/432,3)+ROUND($E12*'2024-25 High Calculator'!$O$13/600,3)</f>
        <v>4.0259999999999998</v>
      </c>
      <c r="G12" s="33">
        <f>ROUND($C12*'2024-25 Elementary Calculator'!$Q$15/400,3)+ROUND($D12*'2024-25 Middle Calculator'!$O$15/432,3)+ROUND($E12*'2024-25 High Calculator'!$O$15/600,3)</f>
        <v>0.64200000000000013</v>
      </c>
      <c r="H12" s="33">
        <f>ROUND($C12*'2024-25 Elementary Calculator'!$Q$17/400,3)+ROUND($D12*'2024-25 Middle Calculator'!$O$17/432,3)+ROUND($E12*'2024-25 High Calculator'!$O$17/600,3)</f>
        <v>0.216</v>
      </c>
      <c r="I12" s="33">
        <f>ROUND($C12*'2024-25 Elementary Calculator'!$Q$18/400,3)+ROUND($D12*'2024-25 Middle Calculator'!$O$18/432,3)+ROUND($E12*'2024-25 High Calculator'!$O$18/600,3)</f>
        <v>1.8459999999999999</v>
      </c>
      <c r="J12" s="166">
        <f t="shared" si="2"/>
        <v>6.73</v>
      </c>
      <c r="K12" s="33">
        <f>ROUND($C12*'2024-25 Elementary Calculator'!$Q$23/400,3)+ROUND($D12*'2024-25 Middle Calculator'!$O$23/432,3)+ROUND($E12*'2024-25 High Calculator'!$O$23/600,3)</f>
        <v>0.25</v>
      </c>
      <c r="L12" s="33">
        <f>ROUND($C12*'2024-25 Elementary Calculator'!$Q$22/400,3)+ROUND($D12*'2024-25 Middle Calculator'!$O$22/432,3)+ROUND($E12*'2024-25 High Calculator'!$O$22/600,3)</f>
        <v>0.14299999999999999</v>
      </c>
      <c r="M12" s="166">
        <f t="shared" si="3"/>
        <v>0.39300000000000002</v>
      </c>
      <c r="N12" s="33">
        <f>VLOOKUP($A12,'District Summary'!$A$6:$AH$325,29,FALSE)</f>
        <v>2.8009999999999997</v>
      </c>
      <c r="O12" s="33">
        <f>VLOOKUP($A12,'District Summary'!$A$6:$AH$325,34,FALSE)</f>
        <v>4.9279999999999999</v>
      </c>
      <c r="P12" s="67">
        <f t="shared" si="4"/>
        <v>-3.9290000000000007</v>
      </c>
      <c r="Q12" s="67">
        <f t="shared" si="5"/>
        <v>4.5350000000000001</v>
      </c>
      <c r="R12" s="67">
        <f t="shared" si="8"/>
        <v>7.1230000000000002</v>
      </c>
      <c r="S12" s="33">
        <f t="shared" si="9"/>
        <v>7.7289999999999992</v>
      </c>
      <c r="T12" s="67">
        <f t="shared" si="6"/>
        <v>0.60599999999999998</v>
      </c>
      <c r="U12" s="67">
        <f t="shared" si="7"/>
        <v>0</v>
      </c>
      <c r="V12" s="273"/>
      <c r="W12" s="273"/>
    </row>
    <row r="13" spans="1:23" x14ac:dyDescent="0.25">
      <c r="A13" t="s">
        <v>17</v>
      </c>
      <c r="B13" t="s">
        <v>314</v>
      </c>
      <c r="C13" s="25">
        <f>SUMPRODUCT(VLOOKUP($A13,'PSES Enroll Snapshot 25-01-17'!$K$5:$AB$327,{2,3,4,5,6,7,8,9},0))</f>
        <v>422.42</v>
      </c>
      <c r="D13" s="25">
        <f>SUMPRODUCT(VLOOKUP($A13,'PSES Enroll Snapshot 25-01-17'!$K$5:$AB$327,{10,11},0))-VLOOKUP($A13,'PSES Enroll Snapshot 25-01-17'!$K$5:$AB$327,12,0)</f>
        <v>128.04999999999998</v>
      </c>
      <c r="E13" s="25">
        <f>SUMPRODUCT(VLOOKUP($A13,'PSES Enroll Snapshot 25-01-17'!$K$5:$AB$327,{13,14},0))-SUMPRODUCT(VLOOKUP($A13,'PSES Enroll Snapshot 25-01-17'!$K$5:$AB$327,{15,16,17},0))</f>
        <v>201.19</v>
      </c>
      <c r="F13" s="33">
        <f>ROUND($C13*'2024-25 Elementary Calculator'!$Q$13/400,3)+ROUND($D13*'2024-25 Middle Calculator'!$O$13/432,3)+ROUND($E13*'2024-25 High Calculator'!$O$13/600,3)</f>
        <v>2.577</v>
      </c>
      <c r="G13" s="33">
        <f>ROUND($C13*'2024-25 Elementary Calculator'!$Q$15/400,3)+ROUND($D13*'2024-25 Middle Calculator'!$O$15/432,3)+ROUND($E13*'2024-25 High Calculator'!$O$15/600,3)</f>
        <v>0.39700000000000002</v>
      </c>
      <c r="H13" s="33">
        <f>ROUND($C13*'2024-25 Elementary Calculator'!$Q$17/400,3)+ROUND($D13*'2024-25 Middle Calculator'!$O$17/432,3)+ROUND($E13*'2024-25 High Calculator'!$O$17/600,3)</f>
        <v>0.13300000000000001</v>
      </c>
      <c r="I13" s="33">
        <f>ROUND($C13*'2024-25 Elementary Calculator'!$Q$18/400,3)+ROUND($D13*'2024-25 Middle Calculator'!$O$18/432,3)+ROUND($E13*'2024-25 High Calculator'!$O$18/600,3)</f>
        <v>1.157</v>
      </c>
      <c r="J13" s="166">
        <f t="shared" si="2"/>
        <v>4.2640000000000002</v>
      </c>
      <c r="K13" s="33">
        <f>ROUND($C13*'2024-25 Elementary Calculator'!$Q$23/400,3)+ROUND($D13*'2024-25 Middle Calculator'!$O$23/432,3)+ROUND($E13*'2024-25 High Calculator'!$O$23/600,3)</f>
        <v>0.157</v>
      </c>
      <c r="L13" s="33">
        <f>ROUND($C13*'2024-25 Elementary Calculator'!$Q$22/400,3)+ROUND($D13*'2024-25 Middle Calculator'!$O$22/432,3)+ROUND($E13*'2024-25 High Calculator'!$O$22/600,3)</f>
        <v>8.6999999999999994E-2</v>
      </c>
      <c r="M13" s="166">
        <f t="shared" si="3"/>
        <v>0.24399999999999999</v>
      </c>
      <c r="N13" s="33">
        <f>VLOOKUP($A13,'District Summary'!$A$6:$AH$325,29,FALSE)</f>
        <v>2.14</v>
      </c>
      <c r="O13" s="33">
        <f>VLOOKUP($A13,'District Summary'!$A$6:$AH$325,34,FALSE)</f>
        <v>1.9970000000000001</v>
      </c>
      <c r="P13" s="67">
        <f t="shared" si="4"/>
        <v>-2.1240000000000001</v>
      </c>
      <c r="Q13" s="67">
        <f t="shared" si="5"/>
        <v>1.7530000000000001</v>
      </c>
      <c r="R13" s="67">
        <f t="shared" si="8"/>
        <v>4.508</v>
      </c>
      <c r="S13" s="33">
        <f t="shared" si="9"/>
        <v>4.1370000000000005</v>
      </c>
      <c r="T13" s="67">
        <f t="shared" si="6"/>
        <v>-0.371</v>
      </c>
      <c r="U13" s="67">
        <f t="shared" si="7"/>
        <v>-0.371</v>
      </c>
      <c r="V13" s="273"/>
      <c r="W13" s="273"/>
    </row>
    <row r="14" spans="1:23" x14ac:dyDescent="0.25">
      <c r="A14" t="s">
        <v>18</v>
      </c>
      <c r="B14" t="s">
        <v>315</v>
      </c>
      <c r="C14" s="25">
        <f>SUMPRODUCT(VLOOKUP($A14,'PSES Enroll Snapshot 25-01-17'!$K$5:$AB$327,{2,3,4,5,6,7,8,9},0))</f>
        <v>1198.8699999999999</v>
      </c>
      <c r="D14" s="25">
        <f>SUMPRODUCT(VLOOKUP($A14,'PSES Enroll Snapshot 25-01-17'!$K$5:$AB$327,{10,11},0))-VLOOKUP($A14,'PSES Enroll Snapshot 25-01-17'!$K$5:$AB$327,12,0)</f>
        <v>353.15999999999997</v>
      </c>
      <c r="E14" s="25">
        <f>SUMPRODUCT(VLOOKUP($A14,'PSES Enroll Snapshot 25-01-17'!$K$5:$AB$327,{13,14},0))-SUMPRODUCT(VLOOKUP($A14,'PSES Enroll Snapshot 25-01-17'!$K$5:$AB$327,{15,16,17},0))</f>
        <v>542.04</v>
      </c>
      <c r="F14" s="33">
        <f>ROUND($C14*'2024-25 Elementary Calculator'!$Q$13/400,3)+ROUND($D14*'2024-25 Middle Calculator'!$O$13/432,3)+ROUND($E14*'2024-25 High Calculator'!$O$13/600,3)</f>
        <v>7.1239999999999997</v>
      </c>
      <c r="G14" s="33">
        <f>ROUND($C14*'2024-25 Elementary Calculator'!$Q$15/400,3)+ROUND($D14*'2024-25 Middle Calculator'!$O$15/432,3)+ROUND($E14*'2024-25 High Calculator'!$O$15/600,3)</f>
        <v>1.119</v>
      </c>
      <c r="H14" s="33">
        <f>ROUND($C14*'2024-25 Elementary Calculator'!$Q$17/400,3)+ROUND($D14*'2024-25 Middle Calculator'!$O$17/432,3)+ROUND($E14*'2024-25 High Calculator'!$O$17/600,3)</f>
        <v>0.376</v>
      </c>
      <c r="I14" s="33">
        <f>ROUND($C14*'2024-25 Elementary Calculator'!$Q$18/400,3)+ROUND($D14*'2024-25 Middle Calculator'!$O$18/432,3)+ROUND($E14*'2024-25 High Calculator'!$O$18/600,3)</f>
        <v>3.2229999999999999</v>
      </c>
      <c r="J14" s="166">
        <f t="shared" si="2"/>
        <v>11.841999999999999</v>
      </c>
      <c r="K14" s="33">
        <f>ROUND($C14*'2024-25 Elementary Calculator'!$Q$23/400,3)+ROUND($D14*'2024-25 Middle Calculator'!$O$23/432,3)+ROUND($E14*'2024-25 High Calculator'!$O$23/600,3)</f>
        <v>0.439</v>
      </c>
      <c r="L14" s="33">
        <f>ROUND($C14*'2024-25 Elementary Calculator'!$Q$22/400,3)+ROUND($D14*'2024-25 Middle Calculator'!$O$22/432,3)+ROUND($E14*'2024-25 High Calculator'!$O$22/600,3)</f>
        <v>0.247</v>
      </c>
      <c r="M14" s="166">
        <f t="shared" si="3"/>
        <v>0.68599999999999994</v>
      </c>
      <c r="N14" s="33">
        <f>VLOOKUP($A14,'District Summary'!$A$6:$AH$325,29,FALSE)</f>
        <v>7.8859999999999992</v>
      </c>
      <c r="O14" s="33">
        <f>VLOOKUP($A14,'District Summary'!$A$6:$AH$325,34,FALSE)</f>
        <v>12.020999999999999</v>
      </c>
      <c r="P14" s="67">
        <f t="shared" si="4"/>
        <v>-3.9559999999999995</v>
      </c>
      <c r="Q14" s="67">
        <f t="shared" si="5"/>
        <v>11.334999999999999</v>
      </c>
      <c r="R14" s="67">
        <f t="shared" si="8"/>
        <v>12.527999999999999</v>
      </c>
      <c r="S14" s="33">
        <f t="shared" si="9"/>
        <v>19.906999999999996</v>
      </c>
      <c r="T14" s="67">
        <f t="shared" si="6"/>
        <v>7.3789999999999996</v>
      </c>
      <c r="U14" s="67">
        <f t="shared" si="7"/>
        <v>0</v>
      </c>
      <c r="V14" s="273"/>
      <c r="W14" s="273"/>
    </row>
    <row r="15" spans="1:23" x14ac:dyDescent="0.25">
      <c r="A15" t="s">
        <v>19</v>
      </c>
      <c r="B15" t="s">
        <v>316</v>
      </c>
      <c r="C15" s="25">
        <f>SUMPRODUCT(VLOOKUP($A15,'PSES Enroll Snapshot 25-01-17'!$K$5:$AB$327,{2,3,4,5,6,7,8,9},0))</f>
        <v>6557.2000000000007</v>
      </c>
      <c r="D15" s="25">
        <f>SUMPRODUCT(VLOOKUP($A15,'PSES Enroll Snapshot 25-01-17'!$K$5:$AB$327,{10,11},0))-VLOOKUP($A15,'PSES Enroll Snapshot 25-01-17'!$K$5:$AB$327,12,0)</f>
        <v>1886.28</v>
      </c>
      <c r="E15" s="25">
        <f>SUMPRODUCT(VLOOKUP($A15,'PSES Enroll Snapshot 25-01-17'!$K$5:$AB$327,{13,14},0))-SUMPRODUCT(VLOOKUP($A15,'PSES Enroll Snapshot 25-01-17'!$K$5:$AB$327,{15,16,17},0))</f>
        <v>2932.7200000000003</v>
      </c>
      <c r="F15" s="33">
        <f>ROUND($C15*'2024-25 Elementary Calculator'!$Q$13/400,3)+ROUND($D15*'2024-25 Middle Calculator'!$O$13/432,3)+ROUND($E15*'2024-25 High Calculator'!$O$13/600,3)</f>
        <v>38.625</v>
      </c>
      <c r="G15" s="33">
        <f>ROUND($C15*'2024-25 Elementary Calculator'!$Q$15/400,3)+ROUND($D15*'2024-25 Middle Calculator'!$O$15/432,3)+ROUND($E15*'2024-25 High Calculator'!$O$15/600,3)</f>
        <v>6.1029999999999998</v>
      </c>
      <c r="H15" s="33">
        <f>ROUND($C15*'2024-25 Elementary Calculator'!$Q$17/400,3)+ROUND($D15*'2024-25 Middle Calculator'!$O$17/432,3)+ROUND($E15*'2024-25 High Calculator'!$O$17/600,3)</f>
        <v>2.0499999999999998</v>
      </c>
      <c r="I15" s="33">
        <f>ROUND($C15*'2024-25 Elementary Calculator'!$Q$18/400,3)+ROUND($D15*'2024-25 Middle Calculator'!$O$18/432,3)+ROUND($E15*'2024-25 High Calculator'!$O$18/600,3)</f>
        <v>17.494999999999997</v>
      </c>
      <c r="J15" s="166">
        <f t="shared" si="2"/>
        <v>64.272999999999996</v>
      </c>
      <c r="K15" s="33">
        <f>ROUND($C15*'2024-25 Elementary Calculator'!$Q$23/400,3)+ROUND($D15*'2024-25 Middle Calculator'!$O$23/432,3)+ROUND($E15*'2024-25 High Calculator'!$O$23/600,3)</f>
        <v>2.3860000000000001</v>
      </c>
      <c r="L15" s="33">
        <f>ROUND($C15*'2024-25 Elementary Calculator'!$Q$22/400,3)+ROUND($D15*'2024-25 Middle Calculator'!$O$22/432,3)+ROUND($E15*'2024-25 High Calculator'!$O$22/600,3)</f>
        <v>1.3520000000000001</v>
      </c>
      <c r="M15" s="166">
        <f t="shared" si="3"/>
        <v>3.7380000000000004</v>
      </c>
      <c r="N15" s="33">
        <f>VLOOKUP($A15,'District Summary'!$A$6:$AH$325,29,FALSE)</f>
        <v>77.007000000000005</v>
      </c>
      <c r="O15" s="33">
        <f>VLOOKUP($A15,'District Summary'!$A$6:$AH$325,34,FALSE)</f>
        <v>15.891999999999999</v>
      </c>
      <c r="P15" s="67">
        <f t="shared" si="4"/>
        <v>12.734000000000009</v>
      </c>
      <c r="Q15" s="67">
        <f t="shared" si="5"/>
        <v>12.154</v>
      </c>
      <c r="R15" s="67">
        <f t="shared" si="8"/>
        <v>68.010999999999996</v>
      </c>
      <c r="S15" s="33">
        <f t="shared" si="9"/>
        <v>92.899000000000001</v>
      </c>
      <c r="T15" s="67">
        <f t="shared" si="6"/>
        <v>24.888000000000002</v>
      </c>
      <c r="U15" s="67">
        <f t="shared" si="7"/>
        <v>0</v>
      </c>
      <c r="V15" s="273"/>
      <c r="W15" s="273"/>
    </row>
    <row r="16" spans="1:23" x14ac:dyDescent="0.25">
      <c r="A16" t="s">
        <v>20</v>
      </c>
      <c r="B16" t="s">
        <v>317</v>
      </c>
      <c r="C16" s="25">
        <f>SUMPRODUCT(VLOOKUP($A16,'PSES Enroll Snapshot 25-01-17'!$K$5:$AB$327,{2,3,4,5,6,7,8,9},0))</f>
        <v>322.93</v>
      </c>
      <c r="D16" s="25">
        <f>SUMPRODUCT(VLOOKUP($A16,'PSES Enroll Snapshot 25-01-17'!$K$5:$AB$327,{10,11},0))-VLOOKUP($A16,'PSES Enroll Snapshot 25-01-17'!$K$5:$AB$327,12,0)</f>
        <v>83.78</v>
      </c>
      <c r="E16" s="25">
        <f>SUMPRODUCT(VLOOKUP($A16,'PSES Enroll Snapshot 25-01-17'!$K$5:$AB$327,{13,14},0))-SUMPRODUCT(VLOOKUP($A16,'PSES Enroll Snapshot 25-01-17'!$K$5:$AB$327,{15,16,17},0))</f>
        <v>160.16999999999999</v>
      </c>
      <c r="F16" s="33">
        <f>ROUND($C16*'2024-25 Elementary Calculator'!$Q$13/400,3)+ROUND($D16*'2024-25 Middle Calculator'!$O$13/432,3)+ROUND($E16*'2024-25 High Calculator'!$O$13/600,3)</f>
        <v>1.9460000000000002</v>
      </c>
      <c r="G16" s="33">
        <f>ROUND($C16*'2024-25 Elementary Calculator'!$Q$15/400,3)+ROUND($D16*'2024-25 Middle Calculator'!$O$15/432,3)+ROUND($E16*'2024-25 High Calculator'!$O$15/600,3)</f>
        <v>0.30200000000000005</v>
      </c>
      <c r="H16" s="33">
        <f>ROUND($C16*'2024-25 Elementary Calculator'!$Q$17/400,3)+ROUND($D16*'2024-25 Middle Calculator'!$O$17/432,3)+ROUND($E16*'2024-25 High Calculator'!$O$17/600,3)</f>
        <v>0.10200000000000001</v>
      </c>
      <c r="I16" s="33">
        <f>ROUND($C16*'2024-25 Elementary Calculator'!$Q$18/400,3)+ROUND($D16*'2024-25 Middle Calculator'!$O$18/432,3)+ROUND($E16*'2024-25 High Calculator'!$O$18/600,3)</f>
        <v>0.86399999999999988</v>
      </c>
      <c r="J16" s="166">
        <f t="shared" si="2"/>
        <v>3.214</v>
      </c>
      <c r="K16" s="33">
        <f>ROUND($C16*'2024-25 Elementary Calculator'!$Q$23/400,3)+ROUND($D16*'2024-25 Middle Calculator'!$O$23/432,3)+ROUND($E16*'2024-25 High Calculator'!$O$23/600,3)</f>
        <v>0.12</v>
      </c>
      <c r="L16" s="33">
        <f>ROUND($C16*'2024-25 Elementary Calculator'!$Q$22/400,3)+ROUND($D16*'2024-25 Middle Calculator'!$O$22/432,3)+ROUND($E16*'2024-25 High Calculator'!$O$22/600,3)</f>
        <v>6.7000000000000004E-2</v>
      </c>
      <c r="M16" s="166">
        <f t="shared" si="3"/>
        <v>0.187</v>
      </c>
      <c r="N16" s="33">
        <f>VLOOKUP($A16,'District Summary'!$A$6:$AH$325,29,FALSE)</f>
        <v>2.5299999999999998</v>
      </c>
      <c r="O16" s="33">
        <f>VLOOKUP($A16,'District Summary'!$A$6:$AH$325,34,FALSE)</f>
        <v>1.6060000000000001</v>
      </c>
      <c r="P16" s="67">
        <f t="shared" si="4"/>
        <v>-0.68400000000000016</v>
      </c>
      <c r="Q16" s="67">
        <f t="shared" si="5"/>
        <v>1.419</v>
      </c>
      <c r="R16" s="67">
        <f t="shared" si="8"/>
        <v>3.4009999999999998</v>
      </c>
      <c r="S16" s="33">
        <f t="shared" si="9"/>
        <v>4.1360000000000001</v>
      </c>
      <c r="T16" s="67">
        <f t="shared" si="6"/>
        <v>0.73499999999999999</v>
      </c>
      <c r="U16" s="67">
        <f t="shared" si="7"/>
        <v>0</v>
      </c>
      <c r="V16" s="273"/>
      <c r="W16" s="273"/>
    </row>
    <row r="17" spans="1:23" x14ac:dyDescent="0.25">
      <c r="A17" t="s">
        <v>21</v>
      </c>
      <c r="B17" t="s">
        <v>318</v>
      </c>
      <c r="C17" s="25">
        <f>SUMPRODUCT(VLOOKUP($A17,'PSES Enroll Snapshot 25-01-17'!$K$5:$AB$327,{2,3,4,5,6,7,8,9},0))</f>
        <v>7.39</v>
      </c>
      <c r="D17" s="25">
        <f>SUMPRODUCT(VLOOKUP($A17,'PSES Enroll Snapshot 25-01-17'!$K$5:$AB$327,{10,11},0))-VLOOKUP($A17,'PSES Enroll Snapshot 25-01-17'!$K$5:$AB$327,12,0)</f>
        <v>4</v>
      </c>
      <c r="E17" s="25">
        <f>SUMPRODUCT(VLOOKUP($A17,'PSES Enroll Snapshot 25-01-17'!$K$5:$AB$327,{13,14},0))-SUMPRODUCT(VLOOKUP($A17,'PSES Enroll Snapshot 25-01-17'!$K$5:$AB$327,{15,16,17},0))</f>
        <v>0</v>
      </c>
      <c r="F17" s="33">
        <f>ROUND($C17*'2024-25 Elementary Calculator'!$Q$13/400,3)+ROUND($D17*'2024-25 Middle Calculator'!$O$13/432,3)+ROUND($E17*'2024-25 High Calculator'!$O$13/600,3)</f>
        <v>3.4000000000000002E-2</v>
      </c>
      <c r="G17" s="33">
        <f>ROUND($C17*'2024-25 Elementary Calculator'!$Q$15/400,3)+ROUND($D17*'2024-25 Middle Calculator'!$O$15/432,3)+ROUND($E17*'2024-25 High Calculator'!$O$15/600,3)</f>
        <v>7.0000000000000001E-3</v>
      </c>
      <c r="H17" s="33">
        <f>ROUND($C17*'2024-25 Elementary Calculator'!$Q$17/400,3)+ROUND($D17*'2024-25 Middle Calculator'!$O$17/432,3)+ROUND($E17*'2024-25 High Calculator'!$O$17/600,3)</f>
        <v>2E-3</v>
      </c>
      <c r="I17" s="33">
        <f>ROUND($C17*'2024-25 Elementary Calculator'!$Q$18/400,3)+ROUND($D17*'2024-25 Middle Calculator'!$O$18/432,3)+ROUND($E17*'2024-25 High Calculator'!$O$18/600,3)</f>
        <v>1.9E-2</v>
      </c>
      <c r="J17" s="166">
        <f t="shared" si="2"/>
        <v>6.2E-2</v>
      </c>
      <c r="K17" s="33">
        <f>ROUND($C17*'2024-25 Elementary Calculator'!$Q$23/400,3)+ROUND($D17*'2024-25 Middle Calculator'!$O$23/432,3)+ROUND($E17*'2024-25 High Calculator'!$O$23/600,3)</f>
        <v>2E-3</v>
      </c>
      <c r="L17" s="33">
        <f>ROUND($C17*'2024-25 Elementary Calculator'!$Q$22/400,3)+ROUND($D17*'2024-25 Middle Calculator'!$O$22/432,3)+ROUND($E17*'2024-25 High Calculator'!$O$22/600,3)</f>
        <v>2E-3</v>
      </c>
      <c r="M17" s="166">
        <f t="shared" si="3"/>
        <v>4.0000000000000001E-3</v>
      </c>
      <c r="N17" s="33">
        <f>VLOOKUP($A17,'District Summary'!$A$6:$AH$325,29,FALSE)</f>
        <v>0</v>
      </c>
      <c r="O17" s="33">
        <f>VLOOKUP($A17,'District Summary'!$A$6:$AH$325,34,FALSE)</f>
        <v>0</v>
      </c>
      <c r="P17" s="67">
        <f t="shared" si="4"/>
        <v>-6.2E-2</v>
      </c>
      <c r="Q17" s="67">
        <f t="shared" si="5"/>
        <v>-4.0000000000000001E-3</v>
      </c>
      <c r="R17" s="67">
        <f t="shared" si="8"/>
        <v>6.6000000000000003E-2</v>
      </c>
      <c r="S17" s="33">
        <f t="shared" si="9"/>
        <v>0</v>
      </c>
      <c r="T17" s="67">
        <f t="shared" si="6"/>
        <v>-6.6000000000000003E-2</v>
      </c>
      <c r="U17" s="67">
        <f t="shared" si="7"/>
        <v>-6.6000000000000003E-2</v>
      </c>
      <c r="V17" s="273"/>
      <c r="W17" s="273"/>
    </row>
    <row r="18" spans="1:23" x14ac:dyDescent="0.25">
      <c r="A18" t="s">
        <v>22</v>
      </c>
      <c r="B18" t="s">
        <v>319</v>
      </c>
      <c r="C18" s="25">
        <f>SUMPRODUCT(VLOOKUP($A18,'PSES Enroll Snapshot 25-01-17'!$K$5:$AB$327,{2,3,4,5,6,7,8,9},0))</f>
        <v>252.4</v>
      </c>
      <c r="D18" s="25">
        <f>SUMPRODUCT(VLOOKUP($A18,'PSES Enroll Snapshot 25-01-17'!$K$5:$AB$327,{10,11},0))-VLOOKUP($A18,'PSES Enroll Snapshot 25-01-17'!$K$5:$AB$327,12,0)</f>
        <v>39.819999999999993</v>
      </c>
      <c r="E18" s="25">
        <f>SUMPRODUCT(VLOOKUP($A18,'PSES Enroll Snapshot 25-01-17'!$K$5:$AB$327,{13,14},0))-SUMPRODUCT(VLOOKUP($A18,'PSES Enroll Snapshot 25-01-17'!$K$5:$AB$327,{15,16,17},0))</f>
        <v>76.75</v>
      </c>
      <c r="F18" s="33">
        <f>ROUND($C18*'2024-25 Elementary Calculator'!$Q$13/400,3)+ROUND($D18*'2024-25 Middle Calculator'!$O$13/432,3)+ROUND($E18*'2024-25 High Calculator'!$O$13/600,3)</f>
        <v>1.1739999999999999</v>
      </c>
      <c r="G18" s="33">
        <f>ROUND($C18*'2024-25 Elementary Calculator'!$Q$15/400,3)+ROUND($D18*'2024-25 Middle Calculator'!$O$15/432,3)+ROUND($E18*'2024-25 High Calculator'!$O$15/600,3)</f>
        <v>0.22000000000000003</v>
      </c>
      <c r="H18" s="33">
        <f>ROUND($C18*'2024-25 Elementary Calculator'!$Q$17/400,3)+ROUND($D18*'2024-25 Middle Calculator'!$O$17/432,3)+ROUND($E18*'2024-25 High Calculator'!$O$17/600,3)</f>
        <v>7.400000000000001E-2</v>
      </c>
      <c r="I18" s="33">
        <f>ROUND($C18*'2024-25 Elementary Calculator'!$Q$18/400,3)+ROUND($D18*'2024-25 Middle Calculator'!$O$18/432,3)+ROUND($E18*'2024-25 High Calculator'!$O$18/600,3)</f>
        <v>0.55600000000000005</v>
      </c>
      <c r="J18" s="166">
        <f t="shared" si="2"/>
        <v>2.024</v>
      </c>
      <c r="K18" s="33">
        <f>ROUND($C18*'2024-25 Elementary Calculator'!$Q$23/400,3)+ROUND($D18*'2024-25 Middle Calculator'!$O$23/432,3)+ROUND($E18*'2024-25 High Calculator'!$O$23/600,3)</f>
        <v>7.5999999999999998E-2</v>
      </c>
      <c r="L18" s="33">
        <f>ROUND($C18*'2024-25 Elementary Calculator'!$Q$22/400,3)+ROUND($D18*'2024-25 Middle Calculator'!$O$22/432,3)+ROUND($E18*'2024-25 High Calculator'!$O$22/600,3)</f>
        <v>5.1999999999999998E-2</v>
      </c>
      <c r="M18" s="166">
        <f t="shared" si="3"/>
        <v>0.128</v>
      </c>
      <c r="N18" s="33">
        <f>VLOOKUP($A18,'District Summary'!$A$6:$AH$325,29,FALSE)</f>
        <v>1</v>
      </c>
      <c r="O18" s="33">
        <f>VLOOKUP($A18,'District Summary'!$A$6:$AH$325,34,FALSE)</f>
        <v>1.3499999999999999</v>
      </c>
      <c r="P18" s="67">
        <f t="shared" si="4"/>
        <v>-1.024</v>
      </c>
      <c r="Q18" s="67">
        <f t="shared" si="5"/>
        <v>1.222</v>
      </c>
      <c r="R18" s="67">
        <f t="shared" si="8"/>
        <v>2.1520000000000001</v>
      </c>
      <c r="S18" s="33">
        <f t="shared" si="9"/>
        <v>2.3499999999999996</v>
      </c>
      <c r="T18" s="67">
        <f t="shared" si="6"/>
        <v>0.19800000000000001</v>
      </c>
      <c r="U18" s="67">
        <f t="shared" si="7"/>
        <v>0</v>
      </c>
      <c r="V18" s="273"/>
      <c r="W18" s="273"/>
    </row>
    <row r="19" spans="1:23" x14ac:dyDescent="0.25">
      <c r="A19" t="s">
        <v>23</v>
      </c>
      <c r="B19" t="s">
        <v>320</v>
      </c>
      <c r="C19" s="25">
        <f>SUMPRODUCT(VLOOKUP($A19,'PSES Enroll Snapshot 25-01-17'!$K$5:$AB$327,{2,3,4,5,6,7,8,9},0))</f>
        <v>562.35</v>
      </c>
      <c r="D19" s="25">
        <f>SUMPRODUCT(VLOOKUP($A19,'PSES Enroll Snapshot 25-01-17'!$K$5:$AB$327,{10,11},0))-VLOOKUP($A19,'PSES Enroll Snapshot 25-01-17'!$K$5:$AB$327,12,0)</f>
        <v>176.94</v>
      </c>
      <c r="E19" s="25">
        <f>SUMPRODUCT(VLOOKUP($A19,'PSES Enroll Snapshot 25-01-17'!$K$5:$AB$327,{13,14},0))-SUMPRODUCT(VLOOKUP($A19,'PSES Enroll Snapshot 25-01-17'!$K$5:$AB$327,{15,16,17},0))</f>
        <v>291.01</v>
      </c>
      <c r="F19" s="33">
        <f>ROUND($C19*'2024-25 Elementary Calculator'!$Q$13/400,3)+ROUND($D19*'2024-25 Middle Calculator'!$O$13/432,3)+ROUND($E19*'2024-25 High Calculator'!$O$13/600,3)</f>
        <v>3.5729999999999995</v>
      </c>
      <c r="G19" s="33">
        <f>ROUND($C19*'2024-25 Elementary Calculator'!$Q$15/400,3)+ROUND($D19*'2024-25 Middle Calculator'!$O$15/432,3)+ROUND($E19*'2024-25 High Calculator'!$O$15/600,3)</f>
        <v>0.53499999999999992</v>
      </c>
      <c r="H19" s="33">
        <f>ROUND($C19*'2024-25 Elementary Calculator'!$Q$17/400,3)+ROUND($D19*'2024-25 Middle Calculator'!$O$17/432,3)+ROUND($E19*'2024-25 High Calculator'!$O$17/600,3)</f>
        <v>0.18</v>
      </c>
      <c r="I19" s="33">
        <f>ROUND($C19*'2024-25 Elementary Calculator'!$Q$18/400,3)+ROUND($D19*'2024-25 Middle Calculator'!$O$18/432,3)+ROUND($E19*'2024-25 High Calculator'!$O$18/600,3)</f>
        <v>1.5859999999999999</v>
      </c>
      <c r="J19" s="166">
        <f t="shared" si="2"/>
        <v>5.8739999999999988</v>
      </c>
      <c r="K19" s="33">
        <f>ROUND($C19*'2024-25 Elementary Calculator'!$Q$23/400,3)+ROUND($D19*'2024-25 Middle Calculator'!$O$23/432,3)+ROUND($E19*'2024-25 High Calculator'!$O$23/600,3)</f>
        <v>0.217</v>
      </c>
      <c r="L19" s="33">
        <f>ROUND($C19*'2024-25 Elementary Calculator'!$Q$22/400,3)+ROUND($D19*'2024-25 Middle Calculator'!$O$22/432,3)+ROUND($E19*'2024-25 High Calculator'!$O$22/600,3)</f>
        <v>0.11600000000000001</v>
      </c>
      <c r="M19" s="166">
        <f t="shared" si="3"/>
        <v>0.33300000000000002</v>
      </c>
      <c r="N19" s="33">
        <f>VLOOKUP($A19,'District Summary'!$A$6:$AH$325,29,FALSE)</f>
        <v>2.9699999999999998</v>
      </c>
      <c r="O19" s="33">
        <f>VLOOKUP($A19,'District Summary'!$A$6:$AH$325,34,FALSE)</f>
        <v>3.1790000000000003</v>
      </c>
      <c r="P19" s="67">
        <f t="shared" si="4"/>
        <v>-2.903999999999999</v>
      </c>
      <c r="Q19" s="67">
        <f t="shared" si="5"/>
        <v>2.8460000000000001</v>
      </c>
      <c r="R19" s="67">
        <f t="shared" si="8"/>
        <v>6.206999999999999</v>
      </c>
      <c r="S19" s="33">
        <f t="shared" si="9"/>
        <v>6.149</v>
      </c>
      <c r="T19" s="67">
        <f t="shared" si="6"/>
        <v>-5.8000000000000003E-2</v>
      </c>
      <c r="U19" s="67">
        <f t="shared" si="7"/>
        <v>-5.8000000000000003E-2</v>
      </c>
      <c r="V19" s="273"/>
      <c r="W19" s="273"/>
    </row>
    <row r="20" spans="1:23" x14ac:dyDescent="0.25">
      <c r="A20" t="s">
        <v>24</v>
      </c>
      <c r="B20" t="s">
        <v>1226</v>
      </c>
      <c r="C20" s="25">
        <f>SUMPRODUCT(VLOOKUP($A20,'PSES Enroll Snapshot 25-01-17'!$K$5:$AB$327,{2,3,4,5,6,7,8,9},0))</f>
        <v>817.21</v>
      </c>
      <c r="D20" s="25">
        <f>SUMPRODUCT(VLOOKUP($A20,'PSES Enroll Snapshot 25-01-17'!$K$5:$AB$327,{10,11},0))-VLOOKUP($A20,'PSES Enroll Snapshot 25-01-17'!$K$5:$AB$327,12,0)</f>
        <v>210.10000000000002</v>
      </c>
      <c r="E20" s="25">
        <f>SUMPRODUCT(VLOOKUP($A20,'PSES Enroll Snapshot 25-01-17'!$K$5:$AB$327,{13,14},0))-SUMPRODUCT(VLOOKUP($A20,'PSES Enroll Snapshot 25-01-17'!$K$5:$AB$327,{15,16,17},0))</f>
        <v>367.09999999999997</v>
      </c>
      <c r="F20" s="33">
        <f>ROUND($C20*'2024-25 Elementary Calculator'!$Q$13/400,3)+ROUND($D20*'2024-25 Middle Calculator'!$O$13/432,3)+ROUND($E20*'2024-25 High Calculator'!$O$13/600,3)</f>
        <v>4.7229999999999999</v>
      </c>
      <c r="G20" s="33">
        <f>ROUND($C20*'2024-25 Elementary Calculator'!$Q$15/400,3)+ROUND($D20*'2024-25 Middle Calculator'!$O$15/432,3)+ROUND($E20*'2024-25 High Calculator'!$O$15/600,3)</f>
        <v>0.75600000000000001</v>
      </c>
      <c r="H20" s="33">
        <f>ROUND($C20*'2024-25 Elementary Calculator'!$Q$17/400,3)+ROUND($D20*'2024-25 Middle Calculator'!$O$17/432,3)+ROUND($E20*'2024-25 High Calculator'!$O$17/600,3)</f>
        <v>0.254</v>
      </c>
      <c r="I20" s="33">
        <f>ROUND($C20*'2024-25 Elementary Calculator'!$Q$18/400,3)+ROUND($D20*'2024-25 Middle Calculator'!$O$18/432,3)+ROUND($E20*'2024-25 High Calculator'!$O$18/600,3)</f>
        <v>2.1310000000000002</v>
      </c>
      <c r="J20" s="166">
        <f t="shared" si="2"/>
        <v>7.8640000000000008</v>
      </c>
      <c r="K20" s="33">
        <f>ROUND($C20*'2024-25 Elementary Calculator'!$Q$23/400,3)+ROUND($D20*'2024-25 Middle Calculator'!$O$23/432,3)+ROUND($E20*'2024-25 High Calculator'!$O$23/600,3)</f>
        <v>0.29200000000000004</v>
      </c>
      <c r="L20" s="33">
        <f>ROUND($C20*'2024-25 Elementary Calculator'!$Q$22/400,3)+ROUND($D20*'2024-25 Middle Calculator'!$O$22/432,3)+ROUND($E20*'2024-25 High Calculator'!$O$22/600,3)</f>
        <v>0.16900000000000001</v>
      </c>
      <c r="M20" s="166">
        <f t="shared" si="3"/>
        <v>0.46100000000000008</v>
      </c>
      <c r="N20" s="33">
        <f>VLOOKUP($A20,'District Summary'!$A$6:$AH$325,29,FALSE)</f>
        <v>4.7769999999999992</v>
      </c>
      <c r="O20" s="33">
        <f>VLOOKUP($A20,'District Summary'!$A$6:$AH$325,34,FALSE)</f>
        <v>1.0290000000000001</v>
      </c>
      <c r="P20" s="67">
        <f t="shared" si="4"/>
        <v>-3.0870000000000015</v>
      </c>
      <c r="Q20" s="67">
        <f t="shared" si="5"/>
        <v>0.56800000000000006</v>
      </c>
      <c r="R20" s="67">
        <f t="shared" si="8"/>
        <v>8.3250000000000011</v>
      </c>
      <c r="S20" s="33">
        <f t="shared" si="9"/>
        <v>5.8059999999999992</v>
      </c>
      <c r="T20" s="67">
        <f t="shared" si="6"/>
        <v>-2.5190000000000001</v>
      </c>
      <c r="U20" s="67">
        <f t="shared" si="7"/>
        <v>-2.5190000000000001</v>
      </c>
      <c r="V20" s="273"/>
      <c r="W20" s="273"/>
    </row>
    <row r="21" spans="1:23" x14ac:dyDescent="0.25">
      <c r="A21" t="s">
        <v>25</v>
      </c>
      <c r="B21" t="s">
        <v>321</v>
      </c>
      <c r="C21" s="25">
        <f>SUMPRODUCT(VLOOKUP($A21,'PSES Enroll Snapshot 25-01-17'!$K$5:$AB$327,{2,3,4,5,6,7,8,9},0))</f>
        <v>597.19999999999993</v>
      </c>
      <c r="D21" s="25">
        <f>SUMPRODUCT(VLOOKUP($A21,'PSES Enroll Snapshot 25-01-17'!$K$5:$AB$327,{10,11},0))-VLOOKUP($A21,'PSES Enroll Snapshot 25-01-17'!$K$5:$AB$327,12,0)</f>
        <v>121.79</v>
      </c>
      <c r="E21" s="25">
        <f>SUMPRODUCT(VLOOKUP($A21,'PSES Enroll Snapshot 25-01-17'!$K$5:$AB$327,{13,14},0))-SUMPRODUCT(VLOOKUP($A21,'PSES Enroll Snapshot 25-01-17'!$K$5:$AB$327,{15,16,17},0))</f>
        <v>227.51000000000002</v>
      </c>
      <c r="F21" s="33">
        <f>ROUND($C21*'2024-25 Elementary Calculator'!$Q$13/400,3)+ROUND($D21*'2024-25 Middle Calculator'!$O$13/432,3)+ROUND($E21*'2024-25 High Calculator'!$O$13/600,3)</f>
        <v>3.1189999999999998</v>
      </c>
      <c r="G21" s="33">
        <f>ROUND($C21*'2024-25 Elementary Calculator'!$Q$15/400,3)+ROUND($D21*'2024-25 Middle Calculator'!$O$15/432,3)+ROUND($E21*'2024-25 High Calculator'!$O$15/600,3)</f>
        <v>0.53700000000000003</v>
      </c>
      <c r="H21" s="33">
        <f>ROUND($C21*'2024-25 Elementary Calculator'!$Q$17/400,3)+ROUND($D21*'2024-25 Middle Calculator'!$O$17/432,3)+ROUND($E21*'2024-25 High Calculator'!$O$17/600,3)</f>
        <v>0.18099999999999999</v>
      </c>
      <c r="I21" s="33">
        <f>ROUND($C21*'2024-25 Elementary Calculator'!$Q$18/400,3)+ROUND($D21*'2024-25 Middle Calculator'!$O$18/432,3)+ROUND($E21*'2024-25 High Calculator'!$O$18/600,3)</f>
        <v>1.4350000000000001</v>
      </c>
      <c r="J21" s="166">
        <f t="shared" si="2"/>
        <v>5.2720000000000002</v>
      </c>
      <c r="K21" s="33">
        <f>ROUND($C21*'2024-25 Elementary Calculator'!$Q$23/400,3)+ROUND($D21*'2024-25 Middle Calculator'!$O$23/432,3)+ROUND($E21*'2024-25 High Calculator'!$O$23/600,3)</f>
        <v>0.19699999999999998</v>
      </c>
      <c r="L21" s="33">
        <f>ROUND($C21*'2024-25 Elementary Calculator'!$Q$22/400,3)+ROUND($D21*'2024-25 Middle Calculator'!$O$22/432,3)+ROUND($E21*'2024-25 High Calculator'!$O$22/600,3)</f>
        <v>0.123</v>
      </c>
      <c r="M21" s="166">
        <f t="shared" si="3"/>
        <v>0.31999999999999995</v>
      </c>
      <c r="N21" s="33">
        <f>VLOOKUP($A21,'District Summary'!$A$6:$AH$325,29,FALSE)</f>
        <v>3.2810000000000001</v>
      </c>
      <c r="O21" s="33">
        <f>VLOOKUP($A21,'District Summary'!$A$6:$AH$325,34,FALSE)</f>
        <v>0.80299999999999994</v>
      </c>
      <c r="P21" s="67">
        <f t="shared" si="4"/>
        <v>-1.9910000000000001</v>
      </c>
      <c r="Q21" s="67">
        <f t="shared" si="5"/>
        <v>0.48299999999999998</v>
      </c>
      <c r="R21" s="67">
        <f t="shared" si="8"/>
        <v>5.5920000000000005</v>
      </c>
      <c r="S21" s="33">
        <f t="shared" si="9"/>
        <v>4.0839999999999996</v>
      </c>
      <c r="T21" s="67">
        <f t="shared" si="6"/>
        <v>-1.508</v>
      </c>
      <c r="U21" s="67">
        <f t="shared" si="7"/>
        <v>-1.508</v>
      </c>
      <c r="V21" s="273"/>
      <c r="W21" s="273"/>
    </row>
    <row r="22" spans="1:23" x14ac:dyDescent="0.25">
      <c r="A22" t="s">
        <v>26</v>
      </c>
      <c r="B22" t="s">
        <v>322</v>
      </c>
      <c r="C22" s="25">
        <f>SUMPRODUCT(VLOOKUP($A22,'PSES Enroll Snapshot 25-01-17'!$K$5:$AB$327,{2,3,4,5,6,7,8,9},0))</f>
        <v>3242.4400000000005</v>
      </c>
      <c r="D22" s="25">
        <f>SUMPRODUCT(VLOOKUP($A22,'PSES Enroll Snapshot 25-01-17'!$K$5:$AB$327,{10,11},0))-VLOOKUP($A22,'PSES Enroll Snapshot 25-01-17'!$K$5:$AB$327,12,0)</f>
        <v>696.07</v>
      </c>
      <c r="E22" s="25">
        <f>SUMPRODUCT(VLOOKUP($A22,'PSES Enroll Snapshot 25-01-17'!$K$5:$AB$327,{13,14},0))-SUMPRODUCT(VLOOKUP($A22,'PSES Enroll Snapshot 25-01-17'!$K$5:$AB$327,{15,16,17},0))</f>
        <v>1129.4099999999999</v>
      </c>
      <c r="F22" s="33">
        <f>ROUND($C22*'2024-25 Elementary Calculator'!$Q$13/400,3)+ROUND($D22*'2024-25 Middle Calculator'!$O$13/432,3)+ROUND($E22*'2024-25 High Calculator'!$O$13/600,3)</f>
        <v>16.533999999999999</v>
      </c>
      <c r="G22" s="33">
        <f>ROUND($C22*'2024-25 Elementary Calculator'!$Q$15/400,3)+ROUND($D22*'2024-25 Middle Calculator'!$O$15/432,3)+ROUND($E22*'2024-25 High Calculator'!$O$15/600,3)</f>
        <v>2.9019999999999997</v>
      </c>
      <c r="H22" s="33">
        <f>ROUND($C22*'2024-25 Elementary Calculator'!$Q$17/400,3)+ROUND($D22*'2024-25 Middle Calculator'!$O$17/432,3)+ROUND($E22*'2024-25 High Calculator'!$O$17/600,3)</f>
        <v>0.97399999999999998</v>
      </c>
      <c r="I22" s="33">
        <f>ROUND($C22*'2024-25 Elementary Calculator'!$Q$18/400,3)+ROUND($D22*'2024-25 Middle Calculator'!$O$18/432,3)+ROUND($E22*'2024-25 High Calculator'!$O$18/600,3)</f>
        <v>7.7240000000000002</v>
      </c>
      <c r="J22" s="166">
        <f t="shared" si="2"/>
        <v>28.134</v>
      </c>
      <c r="K22" s="33">
        <f>ROUND($C22*'2024-25 Elementary Calculator'!$Q$23/400,3)+ROUND($D22*'2024-25 Middle Calculator'!$O$23/432,3)+ROUND($E22*'2024-25 High Calculator'!$O$23/600,3)</f>
        <v>1.0529999999999999</v>
      </c>
      <c r="L22" s="33">
        <f>ROUND($C22*'2024-25 Elementary Calculator'!$Q$22/400,3)+ROUND($D22*'2024-25 Middle Calculator'!$O$22/432,3)+ROUND($E22*'2024-25 High Calculator'!$O$22/600,3)</f>
        <v>0.66900000000000004</v>
      </c>
      <c r="M22" s="166">
        <f t="shared" si="3"/>
        <v>1.722</v>
      </c>
      <c r="N22" s="33">
        <f>VLOOKUP($A22,'District Summary'!$A$6:$AH$325,29,FALSE)</f>
        <v>25.325000000000003</v>
      </c>
      <c r="O22" s="33">
        <f>VLOOKUP($A22,'District Summary'!$A$6:$AH$325,34,FALSE)</f>
        <v>2.9739999999999998</v>
      </c>
      <c r="P22" s="67">
        <f t="shared" si="4"/>
        <v>-2.8089999999999975</v>
      </c>
      <c r="Q22" s="67">
        <f t="shared" si="5"/>
        <v>1.2519999999999998</v>
      </c>
      <c r="R22" s="67">
        <f t="shared" si="8"/>
        <v>29.856000000000002</v>
      </c>
      <c r="S22" s="33">
        <f t="shared" si="9"/>
        <v>28.299000000000003</v>
      </c>
      <c r="T22" s="67">
        <f t="shared" si="6"/>
        <v>-1.5569999999999999</v>
      </c>
      <c r="U22" s="67">
        <f t="shared" si="7"/>
        <v>-1.5569999999999999</v>
      </c>
      <c r="V22" s="273"/>
      <c r="W22" s="273"/>
    </row>
    <row r="23" spans="1:23" x14ac:dyDescent="0.25">
      <c r="A23" t="s">
        <v>667</v>
      </c>
      <c r="B23" t="s">
        <v>1233</v>
      </c>
      <c r="C23" s="25">
        <f>SUMPRODUCT(VLOOKUP($A23,'PSES Enroll Snapshot 25-01-17'!$K$5:$AB$327,{2,3,4,5,6,7,8,9},0))</f>
        <v>36</v>
      </c>
      <c r="D23" s="25">
        <f>SUMPRODUCT(VLOOKUP($A23,'PSES Enroll Snapshot 25-01-17'!$K$5:$AB$327,{10,11},0))-VLOOKUP($A23,'PSES Enroll Snapshot 25-01-17'!$K$5:$AB$327,12,0)</f>
        <v>128.4</v>
      </c>
      <c r="E23" s="25">
        <f>SUMPRODUCT(VLOOKUP($A23,'PSES Enroll Snapshot 25-01-17'!$K$5:$AB$327,{13,14},0))-SUMPRODUCT(VLOOKUP($A23,'PSES Enroll Snapshot 25-01-17'!$K$5:$AB$327,{15,16,17},0))</f>
        <v>67</v>
      </c>
      <c r="F23" s="33">
        <f>ROUND($C23*'2024-25 Elementary Calculator'!$Q$13/400,3)+ROUND($D23*'2024-25 Middle Calculator'!$O$13/432,3)+ROUND($E23*'2024-25 High Calculator'!$O$13/600,3)</f>
        <v>0.93799999999999994</v>
      </c>
      <c r="G23" s="33">
        <f>ROUND($C23*'2024-25 Elementary Calculator'!$Q$15/400,3)+ROUND($D23*'2024-25 Middle Calculator'!$O$15/432,3)+ROUND($E23*'2024-25 High Calculator'!$O$15/600,3)</f>
        <v>6.8000000000000005E-2</v>
      </c>
      <c r="H23" s="33">
        <f>ROUND($C23*'2024-25 Elementary Calculator'!$Q$17/400,3)+ROUND($D23*'2024-25 Middle Calculator'!$O$17/432,3)+ROUND($E23*'2024-25 High Calculator'!$O$17/600,3)</f>
        <v>2.1000000000000001E-2</v>
      </c>
      <c r="I23" s="33">
        <f>ROUND($C23*'2024-25 Elementary Calculator'!$Q$18/400,3)+ROUND($D23*'2024-25 Middle Calculator'!$O$18/432,3)+ROUND($E23*'2024-25 High Calculator'!$O$18/600,3)</f>
        <v>0.40900000000000003</v>
      </c>
      <c r="J23" s="166">
        <f t="shared" si="2"/>
        <v>1.4359999999999999</v>
      </c>
      <c r="K23" s="33">
        <f>ROUND($C23*'2024-25 Elementary Calculator'!$Q$23/400,3)+ROUND($D23*'2024-25 Middle Calculator'!$O$23/432,3)+ROUND($E23*'2024-25 High Calculator'!$O$23/600,3)</f>
        <v>0.05</v>
      </c>
      <c r="L23" s="33">
        <f>ROUND($C23*'2024-25 Elementary Calculator'!$Q$22/400,3)+ROUND($D23*'2024-25 Middle Calculator'!$O$22/432,3)+ROUND($E23*'2024-25 High Calculator'!$O$22/600,3)</f>
        <v>7.0000000000000001E-3</v>
      </c>
      <c r="M23" s="166">
        <f t="shared" si="3"/>
        <v>5.7000000000000002E-2</v>
      </c>
      <c r="N23" s="33">
        <f>VLOOKUP($A23,'District Summary'!$A$6:$AH$325,29,FALSE)</f>
        <v>0</v>
      </c>
      <c r="O23" s="33">
        <f>VLOOKUP($A23,'District Summary'!$A$6:$AH$325,34,FALSE)</f>
        <v>1.3159999999999998</v>
      </c>
      <c r="P23" s="67">
        <f t="shared" si="4"/>
        <v>-1.4359999999999999</v>
      </c>
      <c r="Q23" s="67">
        <f t="shared" si="5"/>
        <v>1.2589999999999999</v>
      </c>
      <c r="R23" s="67">
        <f t="shared" si="8"/>
        <v>1.4929999999999999</v>
      </c>
      <c r="S23" s="33">
        <f t="shared" si="9"/>
        <v>1.3159999999999998</v>
      </c>
      <c r="T23" s="67">
        <f t="shared" si="6"/>
        <v>-0.17699999999999999</v>
      </c>
      <c r="U23" s="67">
        <f t="shared" si="7"/>
        <v>-0.17699999999999999</v>
      </c>
      <c r="V23" s="273"/>
      <c r="W23" s="273"/>
    </row>
    <row r="24" spans="1:23" x14ac:dyDescent="0.25">
      <c r="A24" t="s">
        <v>27</v>
      </c>
      <c r="B24" t="s">
        <v>323</v>
      </c>
      <c r="C24" s="25">
        <f>SUMPRODUCT(VLOOKUP($A24,'PSES Enroll Snapshot 25-01-17'!$K$5:$AB$327,{2,3,4,5,6,7,8,9},0))</f>
        <v>1677.1900000000003</v>
      </c>
      <c r="D24" s="25">
        <f>SUMPRODUCT(VLOOKUP($A24,'PSES Enroll Snapshot 25-01-17'!$K$5:$AB$327,{10,11},0))-VLOOKUP($A24,'PSES Enroll Snapshot 25-01-17'!$K$5:$AB$327,12,0)</f>
        <v>385.78</v>
      </c>
      <c r="E24" s="25">
        <f>SUMPRODUCT(VLOOKUP($A24,'PSES Enroll Snapshot 25-01-17'!$K$5:$AB$327,{13,14},0))-SUMPRODUCT(VLOOKUP($A24,'PSES Enroll Snapshot 25-01-17'!$K$5:$AB$327,{15,16,17},0))</f>
        <v>678.5</v>
      </c>
      <c r="F24" s="33">
        <f>ROUND($C24*'2024-25 Elementary Calculator'!$Q$13/400,3)+ROUND($D24*'2024-25 Middle Calculator'!$O$13/432,3)+ROUND($E24*'2024-25 High Calculator'!$O$13/600,3)</f>
        <v>9.1329999999999991</v>
      </c>
      <c r="G24" s="33">
        <f>ROUND($C24*'2024-25 Elementary Calculator'!$Q$15/400,3)+ROUND($D24*'2024-25 Middle Calculator'!$O$15/432,3)+ROUND($E24*'2024-25 High Calculator'!$O$15/600,3)</f>
        <v>1.5269999999999999</v>
      </c>
      <c r="H24" s="33">
        <f>ROUND($C24*'2024-25 Elementary Calculator'!$Q$17/400,3)+ROUND($D24*'2024-25 Middle Calculator'!$O$17/432,3)+ROUND($E24*'2024-25 High Calculator'!$O$17/600,3)</f>
        <v>0.51200000000000001</v>
      </c>
      <c r="I24" s="33">
        <f>ROUND($C24*'2024-25 Elementary Calculator'!$Q$18/400,3)+ROUND($D24*'2024-25 Middle Calculator'!$O$18/432,3)+ROUND($E24*'2024-25 High Calculator'!$O$18/600,3)</f>
        <v>4.1779999999999999</v>
      </c>
      <c r="J24" s="166">
        <f t="shared" si="2"/>
        <v>15.349999999999998</v>
      </c>
      <c r="K24" s="33">
        <f>ROUND($C24*'2024-25 Elementary Calculator'!$Q$23/400,3)+ROUND($D24*'2024-25 Middle Calculator'!$O$23/432,3)+ROUND($E24*'2024-25 High Calculator'!$O$23/600,3)</f>
        <v>0.57200000000000006</v>
      </c>
      <c r="L24" s="33">
        <f>ROUND($C24*'2024-25 Elementary Calculator'!$Q$22/400,3)+ROUND($D24*'2024-25 Middle Calculator'!$O$22/432,3)+ROUND($E24*'2024-25 High Calculator'!$O$22/600,3)</f>
        <v>0.34599999999999997</v>
      </c>
      <c r="M24" s="166">
        <f t="shared" si="3"/>
        <v>0.91800000000000004</v>
      </c>
      <c r="N24" s="33">
        <f>VLOOKUP($A24,'District Summary'!$A$6:$AH$325,29,FALSE)</f>
        <v>12.376999999999999</v>
      </c>
      <c r="O24" s="33">
        <f>VLOOKUP($A24,'District Summary'!$A$6:$AH$325,34,FALSE)</f>
        <v>5.3209999999999997</v>
      </c>
      <c r="P24" s="67">
        <f t="shared" si="4"/>
        <v>-2.972999999999999</v>
      </c>
      <c r="Q24" s="67">
        <f t="shared" si="5"/>
        <v>4.4029999999999996</v>
      </c>
      <c r="R24" s="67">
        <f t="shared" si="8"/>
        <v>16.267999999999997</v>
      </c>
      <c r="S24" s="33">
        <f t="shared" si="9"/>
        <v>17.698</v>
      </c>
      <c r="T24" s="67">
        <f t="shared" si="6"/>
        <v>1.43</v>
      </c>
      <c r="U24" s="67">
        <f t="shared" si="7"/>
        <v>0</v>
      </c>
      <c r="V24" s="273"/>
      <c r="W24" s="273"/>
    </row>
    <row r="25" spans="1:23" x14ac:dyDescent="0.25">
      <c r="A25" t="s">
        <v>28</v>
      </c>
      <c r="B25" t="s">
        <v>324</v>
      </c>
      <c r="C25" s="25">
        <f>SUMPRODUCT(VLOOKUP($A25,'PSES Enroll Snapshot 25-01-17'!$K$5:$AB$327,{2,3,4,5,6,7,8,9},0))</f>
        <v>120.2</v>
      </c>
      <c r="D25" s="25">
        <f>SUMPRODUCT(VLOOKUP($A25,'PSES Enroll Snapshot 25-01-17'!$K$5:$AB$327,{10,11},0))-VLOOKUP($A25,'PSES Enroll Snapshot 25-01-17'!$K$5:$AB$327,12,0)</f>
        <v>42.82</v>
      </c>
      <c r="E25" s="25">
        <f>SUMPRODUCT(VLOOKUP($A25,'PSES Enroll Snapshot 25-01-17'!$K$5:$AB$327,{13,14},0))-SUMPRODUCT(VLOOKUP($A25,'PSES Enroll Snapshot 25-01-17'!$K$5:$AB$327,{15,16,17},0))</f>
        <v>45.82</v>
      </c>
      <c r="F25" s="33">
        <f>ROUND($C25*'2024-25 Elementary Calculator'!$Q$13/400,3)+ROUND($D25*'2024-25 Middle Calculator'!$O$13/432,3)+ROUND($E25*'2024-25 High Calculator'!$O$13/600,3)</f>
        <v>0.7</v>
      </c>
      <c r="G25" s="33">
        <f>ROUND($C25*'2024-25 Elementary Calculator'!$Q$15/400,3)+ROUND($D25*'2024-25 Middle Calculator'!$O$15/432,3)+ROUND($E25*'2024-25 High Calculator'!$O$15/600,3)</f>
        <v>0.11199999999999999</v>
      </c>
      <c r="H25" s="33">
        <f>ROUND($C25*'2024-25 Elementary Calculator'!$Q$17/400,3)+ROUND($D25*'2024-25 Middle Calculator'!$O$17/432,3)+ROUND($E25*'2024-25 High Calculator'!$O$17/600,3)</f>
        <v>3.7000000000000005E-2</v>
      </c>
      <c r="I25" s="33">
        <f>ROUND($C25*'2024-25 Elementary Calculator'!$Q$18/400,3)+ROUND($D25*'2024-25 Middle Calculator'!$O$18/432,3)+ROUND($E25*'2024-25 High Calculator'!$O$18/600,3)</f>
        <v>0.32700000000000001</v>
      </c>
      <c r="J25" s="166">
        <f t="shared" si="2"/>
        <v>1.1759999999999999</v>
      </c>
      <c r="K25" s="33">
        <f>ROUND($C25*'2024-25 Elementary Calculator'!$Q$23/400,3)+ROUND($D25*'2024-25 Middle Calculator'!$O$23/432,3)+ROUND($E25*'2024-25 High Calculator'!$O$23/600,3)</f>
        <v>4.3999999999999997E-2</v>
      </c>
      <c r="L25" s="33">
        <f>ROUND($C25*'2024-25 Elementary Calculator'!$Q$22/400,3)+ROUND($D25*'2024-25 Middle Calculator'!$O$22/432,3)+ROUND($E25*'2024-25 High Calculator'!$O$22/600,3)</f>
        <v>2.5000000000000001E-2</v>
      </c>
      <c r="M25" s="166">
        <f t="shared" si="3"/>
        <v>6.9000000000000006E-2</v>
      </c>
      <c r="N25" s="33">
        <f>VLOOKUP($A25,'District Summary'!$A$6:$AH$325,29,FALSE)</f>
        <v>2.1259999999999999</v>
      </c>
      <c r="O25" s="33">
        <f>VLOOKUP($A25,'District Summary'!$A$6:$AH$325,34,FALSE)</f>
        <v>0.26400000000000001</v>
      </c>
      <c r="P25" s="67">
        <f t="shared" si="4"/>
        <v>0.95</v>
      </c>
      <c r="Q25" s="67">
        <f t="shared" si="5"/>
        <v>0.19500000000000001</v>
      </c>
      <c r="R25" s="67">
        <f t="shared" si="8"/>
        <v>1.2449999999999999</v>
      </c>
      <c r="S25" s="33">
        <f t="shared" si="9"/>
        <v>2.3899999999999997</v>
      </c>
      <c r="T25" s="67">
        <f t="shared" si="6"/>
        <v>1.145</v>
      </c>
      <c r="U25" s="67">
        <f t="shared" si="7"/>
        <v>0</v>
      </c>
      <c r="V25" s="273"/>
      <c r="W25" s="273"/>
    </row>
    <row r="26" spans="1:23" x14ac:dyDescent="0.25">
      <c r="A26" t="s">
        <v>29</v>
      </c>
      <c r="B26" t="s">
        <v>325</v>
      </c>
      <c r="C26" s="25">
        <f>SUMPRODUCT(VLOOKUP($A26,'PSES Enroll Snapshot 25-01-17'!$K$5:$AB$327,{2,3,4,5,6,7,8,9},0))</f>
        <v>1169.7800000000002</v>
      </c>
      <c r="D26" s="25">
        <f>SUMPRODUCT(VLOOKUP($A26,'PSES Enroll Snapshot 25-01-17'!$K$5:$AB$327,{10,11},0))-VLOOKUP($A26,'PSES Enroll Snapshot 25-01-17'!$K$5:$AB$327,12,0)</f>
        <v>304.11</v>
      </c>
      <c r="E26" s="25">
        <f>SUMPRODUCT(VLOOKUP($A26,'PSES Enroll Snapshot 25-01-17'!$K$5:$AB$327,{13,14},0))-SUMPRODUCT(VLOOKUP($A26,'PSES Enroll Snapshot 25-01-17'!$K$5:$AB$327,{15,16,17},0))</f>
        <v>483.40999999999997</v>
      </c>
      <c r="F26" s="33">
        <f>ROUND($C26*'2024-25 Elementary Calculator'!$Q$13/400,3)+ROUND($D26*'2024-25 Middle Calculator'!$O$13/432,3)+ROUND($E26*'2024-25 High Calculator'!$O$13/600,3)</f>
        <v>6.5600000000000005</v>
      </c>
      <c r="G26" s="33">
        <f>ROUND($C26*'2024-25 Elementary Calculator'!$Q$15/400,3)+ROUND($D26*'2024-25 Middle Calculator'!$O$15/432,3)+ROUND($E26*'2024-25 High Calculator'!$O$15/600,3)</f>
        <v>1.0740000000000001</v>
      </c>
      <c r="H26" s="33">
        <f>ROUND($C26*'2024-25 Elementary Calculator'!$Q$17/400,3)+ROUND($D26*'2024-25 Middle Calculator'!$O$17/432,3)+ROUND($E26*'2024-25 High Calculator'!$O$17/600,3)</f>
        <v>0.36</v>
      </c>
      <c r="I26" s="33">
        <f>ROUND($C26*'2024-25 Elementary Calculator'!$Q$18/400,3)+ROUND($D26*'2024-25 Middle Calculator'!$O$18/432,3)+ROUND($E26*'2024-25 High Calculator'!$O$18/600,3)</f>
        <v>3.0000000000000004</v>
      </c>
      <c r="J26" s="166">
        <f t="shared" si="2"/>
        <v>10.994000000000002</v>
      </c>
      <c r="K26" s="33">
        <f>ROUND($C26*'2024-25 Elementary Calculator'!$Q$23/400,3)+ROUND($D26*'2024-25 Middle Calculator'!$O$23/432,3)+ROUND($E26*'2024-25 High Calculator'!$O$23/600,3)</f>
        <v>0.41000000000000003</v>
      </c>
      <c r="L26" s="33">
        <f>ROUND($C26*'2024-25 Elementary Calculator'!$Q$22/400,3)+ROUND($D26*'2024-25 Middle Calculator'!$O$22/432,3)+ROUND($E26*'2024-25 High Calculator'!$O$22/600,3)</f>
        <v>0.24099999999999999</v>
      </c>
      <c r="M26" s="166">
        <f t="shared" si="3"/>
        <v>0.65100000000000002</v>
      </c>
      <c r="N26" s="33">
        <f>VLOOKUP($A26,'District Summary'!$A$6:$AH$325,29,FALSE)</f>
        <v>8.1860000000000017</v>
      </c>
      <c r="O26" s="33">
        <f>VLOOKUP($A26,'District Summary'!$A$6:$AH$325,34,FALSE)</f>
        <v>6.5640000000000001</v>
      </c>
      <c r="P26" s="67">
        <f t="shared" si="4"/>
        <v>-2.8079999999999998</v>
      </c>
      <c r="Q26" s="67">
        <f t="shared" si="5"/>
        <v>5.9130000000000003</v>
      </c>
      <c r="R26" s="67">
        <f t="shared" si="8"/>
        <v>11.645000000000001</v>
      </c>
      <c r="S26" s="33">
        <f t="shared" si="9"/>
        <v>14.750000000000002</v>
      </c>
      <c r="T26" s="67">
        <f t="shared" si="6"/>
        <v>3.105</v>
      </c>
      <c r="U26" s="67">
        <f t="shared" si="7"/>
        <v>0</v>
      </c>
      <c r="V26" s="273"/>
      <c r="W26" s="273"/>
    </row>
    <row r="27" spans="1:23" x14ac:dyDescent="0.25">
      <c r="A27" t="s">
        <v>30</v>
      </c>
      <c r="B27" t="s">
        <v>326</v>
      </c>
      <c r="C27" s="25">
        <f>SUMPRODUCT(VLOOKUP($A27,'PSES Enroll Snapshot 25-01-17'!$K$5:$AB$327,{2,3,4,5,6,7,8,9},0))</f>
        <v>253.39999999999998</v>
      </c>
      <c r="D27" s="25">
        <f>SUMPRODUCT(VLOOKUP($A27,'PSES Enroll Snapshot 25-01-17'!$K$5:$AB$327,{10,11},0))-VLOOKUP($A27,'PSES Enroll Snapshot 25-01-17'!$K$5:$AB$327,12,0)</f>
        <v>80.040000000000006</v>
      </c>
      <c r="E27" s="25">
        <f>SUMPRODUCT(VLOOKUP($A27,'PSES Enroll Snapshot 25-01-17'!$K$5:$AB$327,{13,14},0))-SUMPRODUCT(VLOOKUP($A27,'PSES Enroll Snapshot 25-01-17'!$K$5:$AB$327,{15,16,17},0))</f>
        <v>118.12</v>
      </c>
      <c r="F27" s="33">
        <f>ROUND($C27*'2024-25 Elementary Calculator'!$Q$13/400,3)+ROUND($D27*'2024-25 Middle Calculator'!$O$13/432,3)+ROUND($E27*'2024-25 High Calculator'!$O$13/600,3)</f>
        <v>1.5449999999999999</v>
      </c>
      <c r="G27" s="33">
        <f>ROUND($C27*'2024-25 Elementary Calculator'!$Q$15/400,3)+ROUND($D27*'2024-25 Middle Calculator'!$O$15/432,3)+ROUND($E27*'2024-25 High Calculator'!$O$15/600,3)</f>
        <v>0.23800000000000002</v>
      </c>
      <c r="H27" s="33">
        <f>ROUND($C27*'2024-25 Elementary Calculator'!$Q$17/400,3)+ROUND($D27*'2024-25 Middle Calculator'!$O$17/432,3)+ROUND($E27*'2024-25 High Calculator'!$O$17/600,3)</f>
        <v>0.08</v>
      </c>
      <c r="I27" s="33">
        <f>ROUND($C27*'2024-25 Elementary Calculator'!$Q$18/400,3)+ROUND($D27*'2024-25 Middle Calculator'!$O$18/432,3)+ROUND($E27*'2024-25 High Calculator'!$O$18/600,3)</f>
        <v>0.69800000000000006</v>
      </c>
      <c r="J27" s="166">
        <f t="shared" si="2"/>
        <v>2.5609999999999999</v>
      </c>
      <c r="K27" s="33">
        <f>ROUND($C27*'2024-25 Elementary Calculator'!$Q$23/400,3)+ROUND($D27*'2024-25 Middle Calculator'!$O$23/432,3)+ROUND($E27*'2024-25 High Calculator'!$O$23/600,3)</f>
        <v>9.5000000000000001E-2</v>
      </c>
      <c r="L27" s="33">
        <f>ROUND($C27*'2024-25 Elementary Calculator'!$Q$22/400,3)+ROUND($D27*'2024-25 Middle Calculator'!$O$22/432,3)+ROUND($E27*'2024-25 High Calculator'!$O$22/600,3)</f>
        <v>5.1999999999999998E-2</v>
      </c>
      <c r="M27" s="166">
        <f t="shared" si="3"/>
        <v>0.14699999999999999</v>
      </c>
      <c r="N27" s="33">
        <f>VLOOKUP($A27,'District Summary'!$A$6:$AH$325,29,FALSE)</f>
        <v>1.6379999999999999</v>
      </c>
      <c r="O27" s="33">
        <f>VLOOKUP($A27,'District Summary'!$A$6:$AH$325,34,FALSE)</f>
        <v>0</v>
      </c>
      <c r="P27" s="67">
        <f t="shared" si="4"/>
        <v>-0.92300000000000004</v>
      </c>
      <c r="Q27" s="67">
        <f t="shared" si="5"/>
        <v>-0.14699999999999999</v>
      </c>
      <c r="R27" s="67">
        <f t="shared" si="8"/>
        <v>2.7079999999999997</v>
      </c>
      <c r="S27" s="33">
        <f t="shared" si="9"/>
        <v>1.6379999999999999</v>
      </c>
      <c r="T27" s="67">
        <f t="shared" si="6"/>
        <v>-1.07</v>
      </c>
      <c r="U27" s="67">
        <f t="shared" si="7"/>
        <v>-1.07</v>
      </c>
      <c r="V27" s="273"/>
      <c r="W27" s="273"/>
    </row>
    <row r="28" spans="1:23" x14ac:dyDescent="0.25">
      <c r="A28" t="s">
        <v>31</v>
      </c>
      <c r="B28" t="s">
        <v>327</v>
      </c>
      <c r="C28" s="25">
        <f>SUMPRODUCT(VLOOKUP($A28,'PSES Enroll Snapshot 25-01-17'!$K$5:$AB$327,{2,3,4,5,6,7,8,9},0))</f>
        <v>486.88</v>
      </c>
      <c r="D28" s="25">
        <f>SUMPRODUCT(VLOOKUP($A28,'PSES Enroll Snapshot 25-01-17'!$K$5:$AB$327,{10,11},0))-VLOOKUP($A28,'PSES Enroll Snapshot 25-01-17'!$K$5:$AB$327,12,0)</f>
        <v>104.33</v>
      </c>
      <c r="E28" s="25">
        <f>SUMPRODUCT(VLOOKUP($A28,'PSES Enroll Snapshot 25-01-17'!$K$5:$AB$327,{13,14},0))-SUMPRODUCT(VLOOKUP($A28,'PSES Enroll Snapshot 25-01-17'!$K$5:$AB$327,{15,16,17},0))</f>
        <v>187.07999999999998</v>
      </c>
      <c r="F28" s="33">
        <f>ROUND($C28*'2024-25 Elementary Calculator'!$Q$13/400,3)+ROUND($D28*'2024-25 Middle Calculator'!$O$13/432,3)+ROUND($E28*'2024-25 High Calculator'!$O$13/600,3)</f>
        <v>2.5709999999999997</v>
      </c>
      <c r="G28" s="33">
        <f>ROUND($C28*'2024-25 Elementary Calculator'!$Q$15/400,3)+ROUND($D28*'2024-25 Middle Calculator'!$O$15/432,3)+ROUND($E28*'2024-25 High Calculator'!$O$15/600,3)</f>
        <v>0.44</v>
      </c>
      <c r="H28" s="33">
        <f>ROUND($C28*'2024-25 Elementary Calculator'!$Q$17/400,3)+ROUND($D28*'2024-25 Middle Calculator'!$O$17/432,3)+ROUND($E28*'2024-25 High Calculator'!$O$17/600,3)</f>
        <v>0.14800000000000002</v>
      </c>
      <c r="I28" s="33">
        <f>ROUND($C28*'2024-25 Elementary Calculator'!$Q$18/400,3)+ROUND($D28*'2024-25 Middle Calculator'!$O$18/432,3)+ROUND($E28*'2024-25 High Calculator'!$O$18/600,3)</f>
        <v>1.1829999999999998</v>
      </c>
      <c r="J28" s="166">
        <f t="shared" si="2"/>
        <v>4.3419999999999996</v>
      </c>
      <c r="K28" s="33">
        <f>ROUND($C28*'2024-25 Elementary Calculator'!$Q$23/400,3)+ROUND($D28*'2024-25 Middle Calculator'!$O$23/432,3)+ROUND($E28*'2024-25 High Calculator'!$O$23/600,3)</f>
        <v>0.16199999999999998</v>
      </c>
      <c r="L28" s="33">
        <f>ROUND($C28*'2024-25 Elementary Calculator'!$Q$22/400,3)+ROUND($D28*'2024-25 Middle Calculator'!$O$22/432,3)+ROUND($E28*'2024-25 High Calculator'!$O$22/600,3)</f>
        <v>0.1</v>
      </c>
      <c r="M28" s="166">
        <f t="shared" si="3"/>
        <v>0.26200000000000001</v>
      </c>
      <c r="N28" s="33">
        <f>VLOOKUP($A28,'District Summary'!$A$6:$AH$325,29,FALSE)</f>
        <v>2.1240000000000001</v>
      </c>
      <c r="O28" s="33">
        <f>VLOOKUP($A28,'District Summary'!$A$6:$AH$325,34,FALSE)</f>
        <v>3.1209999999999996</v>
      </c>
      <c r="P28" s="67">
        <f t="shared" si="4"/>
        <v>-2.2179999999999995</v>
      </c>
      <c r="Q28" s="67">
        <f t="shared" si="5"/>
        <v>2.8589999999999995</v>
      </c>
      <c r="R28" s="67">
        <f t="shared" si="8"/>
        <v>4.6039999999999992</v>
      </c>
      <c r="S28" s="33">
        <f t="shared" si="9"/>
        <v>5.2449999999999992</v>
      </c>
      <c r="T28" s="67">
        <f t="shared" si="6"/>
        <v>0.64100000000000001</v>
      </c>
      <c r="U28" s="67">
        <f t="shared" si="7"/>
        <v>0</v>
      </c>
      <c r="V28" s="273"/>
      <c r="W28" s="273"/>
    </row>
    <row r="29" spans="1:23" x14ac:dyDescent="0.25">
      <c r="A29" t="s">
        <v>613</v>
      </c>
      <c r="B29" t="s">
        <v>1235</v>
      </c>
      <c r="C29" s="25">
        <f>SUMPRODUCT(VLOOKUP($A29,'PSES Enroll Snapshot 25-01-17'!$K$5:$AB$327,{2,3,4,5,6,7,8,9},0))</f>
        <v>58.8</v>
      </c>
      <c r="D29" s="25">
        <f>SUMPRODUCT(VLOOKUP($A29,'PSES Enroll Snapshot 25-01-17'!$K$5:$AB$327,{10,11},0))-VLOOKUP($A29,'PSES Enroll Snapshot 25-01-17'!$K$5:$AB$327,12,0)</f>
        <v>14.6</v>
      </c>
      <c r="E29" s="25">
        <f>SUMPRODUCT(VLOOKUP($A29,'PSES Enroll Snapshot 25-01-17'!$K$5:$AB$327,{13,14},0))-SUMPRODUCT(VLOOKUP($A29,'PSES Enroll Snapshot 25-01-17'!$K$5:$AB$327,{15,16,17},0))</f>
        <v>37.18</v>
      </c>
      <c r="F29" s="33">
        <f>ROUND($C29*'2024-25 Elementary Calculator'!$Q$13/400,3)+ROUND($D29*'2024-25 Middle Calculator'!$O$13/432,3)+ROUND($E29*'2024-25 High Calculator'!$O$13/600,3)</f>
        <v>0.39200000000000002</v>
      </c>
      <c r="G29" s="33">
        <f>ROUND($C29*'2024-25 Elementary Calculator'!$Q$15/400,3)+ROUND($D29*'2024-25 Middle Calculator'!$O$15/432,3)+ROUND($E29*'2024-25 High Calculator'!$O$15/600,3)</f>
        <v>5.7000000000000002E-2</v>
      </c>
      <c r="H29" s="33">
        <f>ROUND($C29*'2024-25 Elementary Calculator'!$Q$17/400,3)+ROUND($D29*'2024-25 Middle Calculator'!$O$17/432,3)+ROUND($E29*'2024-25 High Calculator'!$O$17/600,3)</f>
        <v>1.9E-2</v>
      </c>
      <c r="I29" s="33">
        <f>ROUND($C29*'2024-25 Elementary Calculator'!$Q$18/400,3)+ROUND($D29*'2024-25 Middle Calculator'!$O$18/432,3)+ROUND($E29*'2024-25 High Calculator'!$O$18/600,3)</f>
        <v>0.16699999999999998</v>
      </c>
      <c r="J29" s="166">
        <f t="shared" si="2"/>
        <v>0.63500000000000001</v>
      </c>
      <c r="K29" s="33">
        <f>ROUND($C29*'2024-25 Elementary Calculator'!$Q$23/400,3)+ROUND($D29*'2024-25 Middle Calculator'!$O$23/432,3)+ROUND($E29*'2024-25 High Calculator'!$O$23/600,3)</f>
        <v>2.4E-2</v>
      </c>
      <c r="L29" s="33">
        <f>ROUND($C29*'2024-25 Elementary Calculator'!$Q$22/400,3)+ROUND($D29*'2024-25 Middle Calculator'!$O$22/432,3)+ROUND($E29*'2024-25 High Calculator'!$O$22/600,3)</f>
        <v>1.2E-2</v>
      </c>
      <c r="M29" s="166">
        <f t="shared" si="3"/>
        <v>3.6000000000000004E-2</v>
      </c>
      <c r="N29" s="33">
        <f>VLOOKUP($A29,'District Summary'!$A$6:$AH$325,29,FALSE)</f>
        <v>2</v>
      </c>
      <c r="O29" s="33">
        <f>VLOOKUP($A29,'District Summary'!$A$6:$AH$325,34,FALSE)</f>
        <v>0</v>
      </c>
      <c r="P29" s="67">
        <f t="shared" si="4"/>
        <v>1.365</v>
      </c>
      <c r="Q29" s="67">
        <f t="shared" si="5"/>
        <v>-3.6000000000000004E-2</v>
      </c>
      <c r="R29" s="67">
        <f t="shared" si="8"/>
        <v>0.67100000000000004</v>
      </c>
      <c r="S29" s="33">
        <f t="shared" si="9"/>
        <v>2</v>
      </c>
      <c r="T29" s="67">
        <f t="shared" si="6"/>
        <v>1.329</v>
      </c>
      <c r="U29" s="67">
        <f t="shared" si="7"/>
        <v>0</v>
      </c>
      <c r="V29" s="273"/>
      <c r="W29" s="273"/>
    </row>
    <row r="30" spans="1:23" x14ac:dyDescent="0.25">
      <c r="A30" t="s">
        <v>32</v>
      </c>
      <c r="B30" t="s">
        <v>328</v>
      </c>
      <c r="C30" s="25">
        <f>SUMPRODUCT(VLOOKUP($A30,'PSES Enroll Snapshot 25-01-17'!$K$5:$AB$327,{2,3,4,5,6,7,8,9},0))</f>
        <v>11026.8</v>
      </c>
      <c r="D30" s="25">
        <f>SUMPRODUCT(VLOOKUP($A30,'PSES Enroll Snapshot 25-01-17'!$K$5:$AB$327,{10,11},0))-VLOOKUP($A30,'PSES Enroll Snapshot 25-01-17'!$K$5:$AB$327,12,0)</f>
        <v>2757.97</v>
      </c>
      <c r="E30" s="25">
        <f>SUMPRODUCT(VLOOKUP($A30,'PSES Enroll Snapshot 25-01-17'!$K$5:$AB$327,{13,14},0))-SUMPRODUCT(VLOOKUP($A30,'PSES Enroll Snapshot 25-01-17'!$K$5:$AB$327,{15,16,17},0))</f>
        <v>4223.3599999999997</v>
      </c>
      <c r="F30" s="33">
        <f>ROUND($C30*'2024-25 Elementary Calculator'!$Q$13/400,3)+ROUND($D30*'2024-25 Middle Calculator'!$O$13/432,3)+ROUND($E30*'2024-25 High Calculator'!$O$13/600,3)</f>
        <v>59.72</v>
      </c>
      <c r="G30" s="33">
        <f>ROUND($C30*'2024-25 Elementary Calculator'!$Q$15/400,3)+ROUND($D30*'2024-25 Middle Calculator'!$O$15/432,3)+ROUND($E30*'2024-25 High Calculator'!$O$15/600,3)</f>
        <v>10.029</v>
      </c>
      <c r="H30" s="33">
        <f>ROUND($C30*'2024-25 Elementary Calculator'!$Q$17/400,3)+ROUND($D30*'2024-25 Middle Calculator'!$O$17/432,3)+ROUND($E30*'2024-25 High Calculator'!$O$17/600,3)</f>
        <v>3.3650000000000002</v>
      </c>
      <c r="I30" s="33">
        <f>ROUND($C30*'2024-25 Elementary Calculator'!$Q$18/400,3)+ROUND($D30*'2024-25 Middle Calculator'!$O$18/432,3)+ROUND($E30*'2024-25 High Calculator'!$O$18/600,3)</f>
        <v>27.596</v>
      </c>
      <c r="J30" s="166">
        <f t="shared" si="2"/>
        <v>100.71</v>
      </c>
      <c r="K30" s="33">
        <f>ROUND($C30*'2024-25 Elementary Calculator'!$Q$23/400,3)+ROUND($D30*'2024-25 Middle Calculator'!$O$23/432,3)+ROUND($E30*'2024-25 High Calculator'!$O$23/600,3)</f>
        <v>3.7569999999999997</v>
      </c>
      <c r="L30" s="33">
        <f>ROUND($C30*'2024-25 Elementary Calculator'!$Q$22/400,3)+ROUND($D30*'2024-25 Middle Calculator'!$O$22/432,3)+ROUND($E30*'2024-25 High Calculator'!$O$22/600,3)</f>
        <v>2.274</v>
      </c>
      <c r="M30" s="166">
        <f t="shared" si="3"/>
        <v>6.0309999999999997</v>
      </c>
      <c r="N30" s="33">
        <f>VLOOKUP($A30,'District Summary'!$A$6:$AH$325,29,FALSE)</f>
        <v>110.07899999999999</v>
      </c>
      <c r="O30" s="33">
        <f>VLOOKUP($A30,'District Summary'!$A$6:$AH$325,34,FALSE)</f>
        <v>94.215000000000003</v>
      </c>
      <c r="P30" s="67">
        <f t="shared" si="4"/>
        <v>9.3689999999999998</v>
      </c>
      <c r="Q30" s="67">
        <f t="shared" si="5"/>
        <v>88.183999999999997</v>
      </c>
      <c r="R30" s="67">
        <f t="shared" si="8"/>
        <v>106.741</v>
      </c>
      <c r="S30" s="33">
        <f t="shared" si="9"/>
        <v>204.29399999999998</v>
      </c>
      <c r="T30" s="67">
        <f t="shared" si="6"/>
        <v>97.552999999999997</v>
      </c>
      <c r="U30" s="67">
        <f t="shared" si="7"/>
        <v>0</v>
      </c>
      <c r="V30" s="273"/>
      <c r="W30" s="273"/>
    </row>
    <row r="31" spans="1:23" x14ac:dyDescent="0.25">
      <c r="A31" t="s">
        <v>33</v>
      </c>
      <c r="B31" t="s">
        <v>329</v>
      </c>
      <c r="C31" s="25">
        <f>SUMPRODUCT(VLOOKUP($A31,'PSES Enroll Snapshot 25-01-17'!$K$5:$AB$327,{2,3,4,5,6,7,8,9},0))</f>
        <v>1076.55</v>
      </c>
      <c r="D31" s="25">
        <f>SUMPRODUCT(VLOOKUP($A31,'PSES Enroll Snapshot 25-01-17'!$K$5:$AB$327,{10,11},0))-VLOOKUP($A31,'PSES Enroll Snapshot 25-01-17'!$K$5:$AB$327,12,0)</f>
        <v>310.73</v>
      </c>
      <c r="E31" s="25">
        <f>SUMPRODUCT(VLOOKUP($A31,'PSES Enroll Snapshot 25-01-17'!$K$5:$AB$327,{13,14},0))-SUMPRODUCT(VLOOKUP($A31,'PSES Enroll Snapshot 25-01-17'!$K$5:$AB$327,{15,16,17},0))</f>
        <v>509.15999999999997</v>
      </c>
      <c r="F31" s="33">
        <f>ROUND($C31*'2024-25 Elementary Calculator'!$Q$13/400,3)+ROUND($D31*'2024-25 Middle Calculator'!$O$13/432,3)+ROUND($E31*'2024-25 High Calculator'!$O$13/600,3)</f>
        <v>6.4860000000000007</v>
      </c>
      <c r="G31" s="33">
        <f>ROUND($C31*'2024-25 Elementary Calculator'!$Q$15/400,3)+ROUND($D31*'2024-25 Middle Calculator'!$O$15/432,3)+ROUND($E31*'2024-25 High Calculator'!$O$15/600,3)</f>
        <v>1.008</v>
      </c>
      <c r="H31" s="33">
        <f>ROUND($C31*'2024-25 Elementary Calculator'!$Q$17/400,3)+ROUND($D31*'2024-25 Middle Calculator'!$O$17/432,3)+ROUND($E31*'2024-25 High Calculator'!$O$17/600,3)</f>
        <v>0.33900000000000002</v>
      </c>
      <c r="I31" s="33">
        <f>ROUND($C31*'2024-25 Elementary Calculator'!$Q$18/400,3)+ROUND($D31*'2024-25 Middle Calculator'!$O$18/432,3)+ROUND($E31*'2024-25 High Calculator'!$O$18/600,3)</f>
        <v>2.9119999999999999</v>
      </c>
      <c r="J31" s="166">
        <f t="shared" si="2"/>
        <v>10.745000000000001</v>
      </c>
      <c r="K31" s="33">
        <f>ROUND($C31*'2024-25 Elementary Calculator'!$Q$23/400,3)+ROUND($D31*'2024-25 Middle Calculator'!$O$23/432,3)+ROUND($E31*'2024-25 High Calculator'!$O$23/600,3)</f>
        <v>0.39900000000000002</v>
      </c>
      <c r="L31" s="33">
        <f>ROUND($C31*'2024-25 Elementary Calculator'!$Q$22/400,3)+ROUND($D31*'2024-25 Middle Calculator'!$O$22/432,3)+ROUND($E31*'2024-25 High Calculator'!$O$22/600,3)</f>
        <v>0.222</v>
      </c>
      <c r="M31" s="166">
        <f t="shared" si="3"/>
        <v>0.621</v>
      </c>
      <c r="N31" s="33">
        <f>VLOOKUP($A31,'District Summary'!$A$6:$AH$325,29,FALSE)</f>
        <v>5.8469999999999995</v>
      </c>
      <c r="O31" s="33">
        <f>VLOOKUP($A31,'District Summary'!$A$6:$AH$325,34,FALSE)</f>
        <v>2.262</v>
      </c>
      <c r="P31" s="67">
        <f t="shared" si="4"/>
        <v>-4.8980000000000015</v>
      </c>
      <c r="Q31" s="67">
        <f t="shared" si="5"/>
        <v>1.641</v>
      </c>
      <c r="R31" s="67">
        <f t="shared" si="8"/>
        <v>11.366000000000001</v>
      </c>
      <c r="S31" s="33">
        <f t="shared" si="9"/>
        <v>8.109</v>
      </c>
      <c r="T31" s="67">
        <f t="shared" si="6"/>
        <v>-3.2570000000000001</v>
      </c>
      <c r="U31" s="67">
        <f t="shared" si="7"/>
        <v>-3.2570000000000001</v>
      </c>
      <c r="V31" s="273"/>
      <c r="W31" s="273"/>
    </row>
    <row r="32" spans="1:23" x14ac:dyDescent="0.25">
      <c r="A32" t="s">
        <v>34</v>
      </c>
      <c r="B32" t="s">
        <v>330</v>
      </c>
      <c r="C32" s="25">
        <f>SUMPRODUCT(VLOOKUP($A32,'PSES Enroll Snapshot 25-01-17'!$K$5:$AB$327,{2,3,4,5,6,7,8,9},0))</f>
        <v>926.56</v>
      </c>
      <c r="D32" s="25">
        <f>SUMPRODUCT(VLOOKUP($A32,'PSES Enroll Snapshot 25-01-17'!$K$5:$AB$327,{10,11},0))-VLOOKUP($A32,'PSES Enroll Snapshot 25-01-17'!$K$5:$AB$327,12,0)</f>
        <v>271.78000000000003</v>
      </c>
      <c r="E32" s="25">
        <f>SUMPRODUCT(VLOOKUP($A32,'PSES Enroll Snapshot 25-01-17'!$K$5:$AB$327,{13,14},0))-SUMPRODUCT(VLOOKUP($A32,'PSES Enroll Snapshot 25-01-17'!$K$5:$AB$327,{15,16,17},0))</f>
        <v>388.63</v>
      </c>
      <c r="F32" s="33">
        <f>ROUND($C32*'2024-25 Elementary Calculator'!$Q$13/400,3)+ROUND($D32*'2024-25 Middle Calculator'!$O$13/432,3)+ROUND($E32*'2024-25 High Calculator'!$O$13/600,3)</f>
        <v>5.3479999999999999</v>
      </c>
      <c r="G32" s="33">
        <f>ROUND($C32*'2024-25 Elementary Calculator'!$Q$15/400,3)+ROUND($D32*'2024-25 Middle Calculator'!$O$15/432,3)+ROUND($E32*'2024-25 High Calculator'!$O$15/600,3)</f>
        <v>0.85699999999999998</v>
      </c>
      <c r="H32" s="33">
        <f>ROUND($C32*'2024-25 Elementary Calculator'!$Q$17/400,3)+ROUND($D32*'2024-25 Middle Calculator'!$O$17/432,3)+ROUND($E32*'2024-25 High Calculator'!$O$17/600,3)</f>
        <v>0.28800000000000003</v>
      </c>
      <c r="I32" s="33">
        <f>ROUND($C32*'2024-25 Elementary Calculator'!$Q$18/400,3)+ROUND($D32*'2024-25 Middle Calculator'!$O$18/432,3)+ROUND($E32*'2024-25 High Calculator'!$O$18/600,3)</f>
        <v>2.4480000000000004</v>
      </c>
      <c r="J32" s="166">
        <f t="shared" si="2"/>
        <v>8.9410000000000007</v>
      </c>
      <c r="K32" s="33">
        <f>ROUND($C32*'2024-25 Elementary Calculator'!$Q$23/400,3)+ROUND($D32*'2024-25 Middle Calculator'!$O$23/432,3)+ROUND($E32*'2024-25 High Calculator'!$O$23/600,3)</f>
        <v>0.33199999999999996</v>
      </c>
      <c r="L32" s="33">
        <f>ROUND($C32*'2024-25 Elementary Calculator'!$Q$22/400,3)+ROUND($D32*'2024-25 Middle Calculator'!$O$22/432,3)+ROUND($E32*'2024-25 High Calculator'!$O$22/600,3)</f>
        <v>0.191</v>
      </c>
      <c r="M32" s="166">
        <f t="shared" si="3"/>
        <v>0.52299999999999991</v>
      </c>
      <c r="N32" s="33">
        <f>VLOOKUP($A32,'District Summary'!$A$6:$AH$325,29,FALSE)</f>
        <v>5.4030000000000005</v>
      </c>
      <c r="O32" s="33">
        <f>VLOOKUP($A32,'District Summary'!$A$6:$AH$325,34,FALSE)</f>
        <v>2.6179999999999999</v>
      </c>
      <c r="P32" s="67">
        <f t="shared" si="4"/>
        <v>-3.5380000000000003</v>
      </c>
      <c r="Q32" s="67">
        <f t="shared" si="5"/>
        <v>2.0949999999999998</v>
      </c>
      <c r="R32" s="67">
        <f t="shared" si="8"/>
        <v>9.4640000000000004</v>
      </c>
      <c r="S32" s="33">
        <f t="shared" si="9"/>
        <v>8.0210000000000008</v>
      </c>
      <c r="T32" s="67">
        <f t="shared" si="6"/>
        <v>-1.4430000000000001</v>
      </c>
      <c r="U32" s="67">
        <f t="shared" si="7"/>
        <v>-1.4430000000000001</v>
      </c>
      <c r="V32" s="273"/>
      <c r="W32" s="273"/>
    </row>
    <row r="33" spans="1:23" x14ac:dyDescent="0.25">
      <c r="A33" t="s">
        <v>35</v>
      </c>
      <c r="B33" t="s">
        <v>331</v>
      </c>
      <c r="C33" s="25">
        <f>SUMPRODUCT(VLOOKUP($A33,'PSES Enroll Snapshot 25-01-17'!$K$5:$AB$327,{2,3,4,5,6,7,8,9},0))</f>
        <v>130.22</v>
      </c>
      <c r="D33" s="25">
        <f>SUMPRODUCT(VLOOKUP($A33,'PSES Enroll Snapshot 25-01-17'!$K$5:$AB$327,{10,11},0))-VLOOKUP($A33,'PSES Enroll Snapshot 25-01-17'!$K$5:$AB$327,12,0)</f>
        <v>33</v>
      </c>
      <c r="E33" s="25">
        <f>SUMPRODUCT(VLOOKUP($A33,'PSES Enroll Snapshot 25-01-17'!$K$5:$AB$327,{13,14},0))-SUMPRODUCT(VLOOKUP($A33,'PSES Enroll Snapshot 25-01-17'!$K$5:$AB$327,{15,16,17},0))</f>
        <v>0</v>
      </c>
      <c r="F33" s="33">
        <f>ROUND($C33*'2024-25 Elementary Calculator'!$Q$13/400,3)+ROUND($D33*'2024-25 Middle Calculator'!$O$13/432,3)+ROUND($E33*'2024-25 High Calculator'!$O$13/600,3)</f>
        <v>0.45400000000000001</v>
      </c>
      <c r="G33" s="33">
        <f>ROUND($C33*'2024-25 Elementary Calculator'!$Q$15/400,3)+ROUND($D33*'2024-25 Middle Calculator'!$O$15/432,3)+ROUND($E33*'2024-25 High Calculator'!$O$15/600,3)</f>
        <v>0.10800000000000001</v>
      </c>
      <c r="H33" s="33">
        <f>ROUND($C33*'2024-25 Elementary Calculator'!$Q$17/400,3)+ROUND($D33*'2024-25 Middle Calculator'!$O$17/432,3)+ROUND($E33*'2024-25 High Calculator'!$O$17/600,3)</f>
        <v>3.6000000000000004E-2</v>
      </c>
      <c r="I33" s="33">
        <f>ROUND($C33*'2024-25 Elementary Calculator'!$Q$18/400,3)+ROUND($D33*'2024-25 Middle Calculator'!$O$18/432,3)+ROUND($E33*'2024-25 High Calculator'!$O$18/600,3)</f>
        <v>0.25800000000000001</v>
      </c>
      <c r="J33" s="166">
        <f t="shared" si="2"/>
        <v>0.85600000000000009</v>
      </c>
      <c r="K33" s="33">
        <f>ROUND($C33*'2024-25 Elementary Calculator'!$Q$23/400,3)+ROUND($D33*'2024-25 Middle Calculator'!$O$23/432,3)+ROUND($E33*'2024-25 High Calculator'!$O$23/600,3)</f>
        <v>3.3000000000000002E-2</v>
      </c>
      <c r="L33" s="33">
        <f>ROUND($C33*'2024-25 Elementary Calculator'!$Q$22/400,3)+ROUND($D33*'2024-25 Middle Calculator'!$O$22/432,3)+ROUND($E33*'2024-25 High Calculator'!$O$22/600,3)</f>
        <v>2.7E-2</v>
      </c>
      <c r="M33" s="166">
        <f t="shared" si="3"/>
        <v>0.06</v>
      </c>
      <c r="N33" s="33">
        <f>VLOOKUP($A33,'District Summary'!$A$6:$AH$325,29,FALSE)</f>
        <v>0.34399999999999997</v>
      </c>
      <c r="O33" s="33">
        <f>VLOOKUP($A33,'District Summary'!$A$6:$AH$325,34,FALSE)</f>
        <v>0.80200000000000005</v>
      </c>
      <c r="P33" s="67">
        <f t="shared" si="4"/>
        <v>-0.51200000000000012</v>
      </c>
      <c r="Q33" s="67">
        <f t="shared" si="5"/>
        <v>0.74199999999999999</v>
      </c>
      <c r="R33" s="67">
        <f t="shared" si="8"/>
        <v>0.91600000000000015</v>
      </c>
      <c r="S33" s="33">
        <f t="shared" si="9"/>
        <v>1.1459999999999999</v>
      </c>
      <c r="T33" s="67">
        <f t="shared" si="6"/>
        <v>0.23</v>
      </c>
      <c r="U33" s="67">
        <f t="shared" si="7"/>
        <v>0</v>
      </c>
      <c r="V33" s="273"/>
      <c r="W33" s="273"/>
    </row>
    <row r="34" spans="1:23" x14ac:dyDescent="0.25">
      <c r="A34" t="s">
        <v>36</v>
      </c>
      <c r="B34" t="s">
        <v>332</v>
      </c>
      <c r="C34" s="25">
        <f>SUMPRODUCT(VLOOKUP($A34,'PSES Enroll Snapshot 25-01-17'!$K$5:$AB$327,{2,3,4,5,6,7,8,9},0))</f>
        <v>1345.1399999999999</v>
      </c>
      <c r="D34" s="25">
        <f>SUMPRODUCT(VLOOKUP($A34,'PSES Enroll Snapshot 25-01-17'!$K$5:$AB$327,{10,11},0))-VLOOKUP($A34,'PSES Enroll Snapshot 25-01-17'!$K$5:$AB$327,12,0)</f>
        <v>351.83000000000004</v>
      </c>
      <c r="E34" s="25">
        <f>SUMPRODUCT(VLOOKUP($A34,'PSES Enroll Snapshot 25-01-17'!$K$5:$AB$327,{13,14},0))-SUMPRODUCT(VLOOKUP($A34,'PSES Enroll Snapshot 25-01-17'!$K$5:$AB$327,{15,16,17},0))</f>
        <v>603.58999999999992</v>
      </c>
      <c r="F34" s="33">
        <f>ROUND($C34*'2024-25 Elementary Calculator'!$Q$13/400,3)+ROUND($D34*'2024-25 Middle Calculator'!$O$13/432,3)+ROUND($E34*'2024-25 High Calculator'!$O$13/600,3)</f>
        <v>7.7940000000000005</v>
      </c>
      <c r="G34" s="33">
        <f>ROUND($C34*'2024-25 Elementary Calculator'!$Q$15/400,3)+ROUND($D34*'2024-25 Middle Calculator'!$O$15/432,3)+ROUND($E34*'2024-25 High Calculator'!$O$15/600,3)</f>
        <v>1.246</v>
      </c>
      <c r="H34" s="33">
        <f>ROUND($C34*'2024-25 Elementary Calculator'!$Q$17/400,3)+ROUND($D34*'2024-25 Middle Calculator'!$O$17/432,3)+ROUND($E34*'2024-25 High Calculator'!$O$17/600,3)</f>
        <v>0.41899999999999998</v>
      </c>
      <c r="I34" s="33">
        <f>ROUND($C34*'2024-25 Elementary Calculator'!$Q$18/400,3)+ROUND($D34*'2024-25 Middle Calculator'!$O$18/432,3)+ROUND($E34*'2024-25 High Calculator'!$O$18/600,3)</f>
        <v>3.5190000000000001</v>
      </c>
      <c r="J34" s="166">
        <f t="shared" si="2"/>
        <v>12.978000000000002</v>
      </c>
      <c r="K34" s="33">
        <f>ROUND($C34*'2024-25 Elementary Calculator'!$Q$23/400,3)+ROUND($D34*'2024-25 Middle Calculator'!$O$23/432,3)+ROUND($E34*'2024-25 High Calculator'!$O$23/600,3)</f>
        <v>0.48299999999999998</v>
      </c>
      <c r="L34" s="33">
        <f>ROUND($C34*'2024-25 Elementary Calculator'!$Q$22/400,3)+ROUND($D34*'2024-25 Middle Calculator'!$O$22/432,3)+ROUND($E34*'2024-25 High Calculator'!$O$22/600,3)</f>
        <v>0.27700000000000002</v>
      </c>
      <c r="M34" s="166">
        <f t="shared" si="3"/>
        <v>0.76</v>
      </c>
      <c r="N34" s="33">
        <f>VLOOKUP($A34,'District Summary'!$A$6:$AH$325,29,FALSE)</f>
        <v>8.9459999999999997</v>
      </c>
      <c r="O34" s="33">
        <f>VLOOKUP($A34,'District Summary'!$A$6:$AH$325,34,FALSE)</f>
        <v>6.6370000000000005</v>
      </c>
      <c r="P34" s="67">
        <f t="shared" si="4"/>
        <v>-4.0320000000000018</v>
      </c>
      <c r="Q34" s="67">
        <f t="shared" si="5"/>
        <v>5.8770000000000007</v>
      </c>
      <c r="R34" s="67">
        <f t="shared" si="8"/>
        <v>13.738000000000001</v>
      </c>
      <c r="S34" s="33">
        <f t="shared" si="9"/>
        <v>15.583</v>
      </c>
      <c r="T34" s="67">
        <f t="shared" si="6"/>
        <v>1.845</v>
      </c>
      <c r="U34" s="67">
        <f t="shared" si="7"/>
        <v>0</v>
      </c>
      <c r="V34" s="273"/>
      <c r="W34" s="273"/>
    </row>
    <row r="35" spans="1:23" x14ac:dyDescent="0.25">
      <c r="A35" t="s">
        <v>37</v>
      </c>
      <c r="B35" t="s">
        <v>333</v>
      </c>
      <c r="C35" s="25">
        <f>SUMPRODUCT(VLOOKUP($A35,'PSES Enroll Snapshot 25-01-17'!$K$5:$AB$327,{2,3,4,5,6,7,8,9},0))</f>
        <v>10528.710000000001</v>
      </c>
      <c r="D35" s="25">
        <f>SUMPRODUCT(VLOOKUP($A35,'PSES Enroll Snapshot 25-01-17'!$K$5:$AB$327,{10,11},0))-VLOOKUP($A35,'PSES Enroll Snapshot 25-01-17'!$K$5:$AB$327,12,0)</f>
        <v>3002.69</v>
      </c>
      <c r="E35" s="25">
        <f>SUMPRODUCT(VLOOKUP($A35,'PSES Enroll Snapshot 25-01-17'!$K$5:$AB$327,{13,14},0))-SUMPRODUCT(VLOOKUP($A35,'PSES Enroll Snapshot 25-01-17'!$K$5:$AB$327,{15,16,17},0))</f>
        <v>4522.1900000000005</v>
      </c>
      <c r="F35" s="33">
        <f>ROUND($C35*'2024-25 Elementary Calculator'!$Q$13/400,3)+ROUND($D35*'2024-25 Middle Calculator'!$O$13/432,3)+ROUND($E35*'2024-25 High Calculator'!$O$13/600,3)</f>
        <v>60.97</v>
      </c>
      <c r="G35" s="33">
        <f>ROUND($C35*'2024-25 Elementary Calculator'!$Q$15/400,3)+ROUND($D35*'2024-25 Middle Calculator'!$O$15/432,3)+ROUND($E35*'2024-25 High Calculator'!$O$15/600,3)</f>
        <v>9.7550000000000008</v>
      </c>
      <c r="H35" s="33">
        <f>ROUND($C35*'2024-25 Elementary Calculator'!$Q$17/400,3)+ROUND($D35*'2024-25 Middle Calculator'!$O$17/432,3)+ROUND($E35*'2024-25 High Calculator'!$O$17/600,3)</f>
        <v>3.2729999999999997</v>
      </c>
      <c r="I35" s="33">
        <f>ROUND($C35*'2024-25 Elementary Calculator'!$Q$18/400,3)+ROUND($D35*'2024-25 Middle Calculator'!$O$18/432,3)+ROUND($E35*'2024-25 High Calculator'!$O$18/600,3)</f>
        <v>27.78</v>
      </c>
      <c r="J35" s="166">
        <f t="shared" si="2"/>
        <v>101.77799999999999</v>
      </c>
      <c r="K35" s="33">
        <f>ROUND($C35*'2024-25 Elementary Calculator'!$Q$23/400,3)+ROUND($D35*'2024-25 Middle Calculator'!$O$23/432,3)+ROUND($E35*'2024-25 High Calculator'!$O$23/600,3)</f>
        <v>3.7809999999999997</v>
      </c>
      <c r="L35" s="33">
        <f>ROUND($C35*'2024-25 Elementary Calculator'!$Q$22/400,3)+ROUND($D35*'2024-25 Middle Calculator'!$O$22/432,3)+ROUND($E35*'2024-25 High Calculator'!$O$22/600,3)</f>
        <v>2.1720000000000002</v>
      </c>
      <c r="M35" s="166">
        <f t="shared" si="3"/>
        <v>5.9529999999999994</v>
      </c>
      <c r="N35" s="33">
        <f>VLOOKUP($A35,'District Summary'!$A$6:$AH$325,29,FALSE)</f>
        <v>90.313000000000002</v>
      </c>
      <c r="O35" s="33">
        <f>VLOOKUP($A35,'District Summary'!$A$6:$AH$325,34,FALSE)</f>
        <v>59.756999999999998</v>
      </c>
      <c r="P35" s="67">
        <f t="shared" si="4"/>
        <v>-11.464999999999989</v>
      </c>
      <c r="Q35" s="67">
        <f t="shared" si="5"/>
        <v>53.804000000000002</v>
      </c>
      <c r="R35" s="67">
        <f t="shared" si="8"/>
        <v>107.73099999999999</v>
      </c>
      <c r="S35" s="33">
        <f t="shared" si="9"/>
        <v>150.07</v>
      </c>
      <c r="T35" s="67">
        <f t="shared" si="6"/>
        <v>42.338999999999999</v>
      </c>
      <c r="U35" s="67">
        <f t="shared" si="7"/>
        <v>0</v>
      </c>
      <c r="V35" s="273"/>
      <c r="W35" s="273"/>
    </row>
    <row r="36" spans="1:23" x14ac:dyDescent="0.25">
      <c r="A36" t="s">
        <v>38</v>
      </c>
      <c r="B36" t="s">
        <v>334</v>
      </c>
      <c r="C36" s="25">
        <f>SUMPRODUCT(VLOOKUP($A36,'PSES Enroll Snapshot 25-01-17'!$K$5:$AB$327,{2,3,4,5,6,7,8,9},0))</f>
        <v>3361.67</v>
      </c>
      <c r="D36" s="25">
        <f>SUMPRODUCT(VLOOKUP($A36,'PSES Enroll Snapshot 25-01-17'!$K$5:$AB$327,{10,11},0))-VLOOKUP($A36,'PSES Enroll Snapshot 25-01-17'!$K$5:$AB$327,12,0)</f>
        <v>1119.4000000000001</v>
      </c>
      <c r="E36" s="25">
        <f>SUMPRODUCT(VLOOKUP($A36,'PSES Enroll Snapshot 25-01-17'!$K$5:$AB$327,{13,14},0))-SUMPRODUCT(VLOOKUP($A36,'PSES Enroll Snapshot 25-01-17'!$K$5:$AB$327,{15,16,17},0))</f>
        <v>1788.15</v>
      </c>
      <c r="F36" s="33">
        <f>ROUND($C36*'2024-25 Elementary Calculator'!$Q$13/400,3)+ROUND($D36*'2024-25 Middle Calculator'!$O$13/432,3)+ROUND($E36*'2024-25 High Calculator'!$O$13/600,3)</f>
        <v>21.849000000000004</v>
      </c>
      <c r="G36" s="33">
        <f>ROUND($C36*'2024-25 Elementary Calculator'!$Q$15/400,3)+ROUND($D36*'2024-25 Middle Calculator'!$O$15/432,3)+ROUND($E36*'2024-25 High Calculator'!$O$15/600,3)</f>
        <v>3.22</v>
      </c>
      <c r="H36" s="33">
        <f>ROUND($C36*'2024-25 Elementary Calculator'!$Q$17/400,3)+ROUND($D36*'2024-25 Middle Calculator'!$O$17/432,3)+ROUND($E36*'2024-25 High Calculator'!$O$17/600,3)</f>
        <v>1.0819999999999999</v>
      </c>
      <c r="I36" s="33">
        <f>ROUND($C36*'2024-25 Elementary Calculator'!$Q$18/400,3)+ROUND($D36*'2024-25 Middle Calculator'!$O$18/432,3)+ROUND($E36*'2024-25 High Calculator'!$O$18/600,3)</f>
        <v>9.673</v>
      </c>
      <c r="J36" s="166">
        <f t="shared" si="2"/>
        <v>35.824000000000005</v>
      </c>
      <c r="K36" s="33">
        <f>ROUND($C36*'2024-25 Elementary Calculator'!$Q$23/400,3)+ROUND($D36*'2024-25 Middle Calculator'!$O$23/432,3)+ROUND($E36*'2024-25 High Calculator'!$O$23/600,3)</f>
        <v>1.3220000000000001</v>
      </c>
      <c r="L36" s="33">
        <f>ROUND($C36*'2024-25 Elementary Calculator'!$Q$22/400,3)+ROUND($D36*'2024-25 Middle Calculator'!$O$22/432,3)+ROUND($E36*'2024-25 High Calculator'!$O$22/600,3)</f>
        <v>0.69299999999999995</v>
      </c>
      <c r="M36" s="166">
        <f t="shared" si="3"/>
        <v>2.0150000000000001</v>
      </c>
      <c r="N36" s="33">
        <f>VLOOKUP($A36,'District Summary'!$A$6:$AH$325,29,FALSE)</f>
        <v>24.506</v>
      </c>
      <c r="O36" s="33">
        <f>VLOOKUP($A36,'District Summary'!$A$6:$AH$325,34,FALSE)</f>
        <v>22.515999999999998</v>
      </c>
      <c r="P36" s="67">
        <f t="shared" si="4"/>
        <v>-11.318000000000005</v>
      </c>
      <c r="Q36" s="67">
        <f t="shared" si="5"/>
        <v>20.500999999999998</v>
      </c>
      <c r="R36" s="67">
        <f t="shared" si="8"/>
        <v>37.839000000000006</v>
      </c>
      <c r="S36" s="33">
        <f t="shared" si="9"/>
        <v>47.021999999999998</v>
      </c>
      <c r="T36" s="67">
        <f t="shared" si="6"/>
        <v>9.1829999999999998</v>
      </c>
      <c r="U36" s="67">
        <f t="shared" si="7"/>
        <v>0</v>
      </c>
      <c r="V36" s="273"/>
      <c r="W36" s="273"/>
    </row>
    <row r="37" spans="1:23" x14ac:dyDescent="0.25">
      <c r="A37" t="s">
        <v>39</v>
      </c>
      <c r="B37" t="s">
        <v>335</v>
      </c>
      <c r="C37" s="25">
        <f>SUMPRODUCT(VLOOKUP($A37,'PSES Enroll Snapshot 25-01-17'!$K$5:$AB$327,{2,3,4,5,6,7,8,9},0))</f>
        <v>5641.11</v>
      </c>
      <c r="D37" s="25">
        <f>SUMPRODUCT(VLOOKUP($A37,'PSES Enroll Snapshot 25-01-17'!$K$5:$AB$327,{10,11},0))-VLOOKUP($A37,'PSES Enroll Snapshot 25-01-17'!$K$5:$AB$327,12,0)</f>
        <v>1545.6</v>
      </c>
      <c r="E37" s="25">
        <f>SUMPRODUCT(VLOOKUP($A37,'PSES Enroll Snapshot 25-01-17'!$K$5:$AB$327,{13,14},0))-SUMPRODUCT(VLOOKUP($A37,'PSES Enroll Snapshot 25-01-17'!$K$5:$AB$327,{15,16,17},0))</f>
        <v>1990.67</v>
      </c>
      <c r="F37" s="33">
        <f>ROUND($C37*'2024-25 Elementary Calculator'!$Q$13/400,3)+ROUND($D37*'2024-25 Middle Calculator'!$O$13/432,3)+ROUND($E37*'2024-25 High Calculator'!$O$13/600,3)</f>
        <v>30.225999999999999</v>
      </c>
      <c r="G37" s="33">
        <f>ROUND($C37*'2024-25 Elementary Calculator'!$Q$15/400,3)+ROUND($D37*'2024-25 Middle Calculator'!$O$15/432,3)+ROUND($E37*'2024-25 High Calculator'!$O$15/600,3)</f>
        <v>5.1220000000000008</v>
      </c>
      <c r="H37" s="33">
        <f>ROUND($C37*'2024-25 Elementary Calculator'!$Q$17/400,3)+ROUND($D37*'2024-25 Middle Calculator'!$O$17/432,3)+ROUND($E37*'2024-25 High Calculator'!$O$17/600,3)</f>
        <v>1.7160000000000002</v>
      </c>
      <c r="I37" s="33">
        <f>ROUND($C37*'2024-25 Elementary Calculator'!$Q$18/400,3)+ROUND($D37*'2024-25 Middle Calculator'!$O$18/432,3)+ROUND($E37*'2024-25 High Calculator'!$O$18/600,3)</f>
        <v>14.161</v>
      </c>
      <c r="J37" s="166">
        <f t="shared" si="2"/>
        <v>51.225000000000001</v>
      </c>
      <c r="K37" s="33">
        <f>ROUND($C37*'2024-25 Elementary Calculator'!$Q$23/400,3)+ROUND($D37*'2024-25 Middle Calculator'!$O$23/432,3)+ROUND($E37*'2024-25 High Calculator'!$O$23/600,3)</f>
        <v>1.911</v>
      </c>
      <c r="L37" s="33">
        <f>ROUND($C37*'2024-25 Elementary Calculator'!$Q$22/400,3)+ROUND($D37*'2024-25 Middle Calculator'!$O$22/432,3)+ROUND($E37*'2024-25 High Calculator'!$O$22/600,3)</f>
        <v>1.163</v>
      </c>
      <c r="M37" s="166">
        <f t="shared" si="3"/>
        <v>3.0739999999999998</v>
      </c>
      <c r="N37" s="33">
        <f>VLOOKUP($A37,'District Summary'!$A$6:$AH$325,29,FALSE)</f>
        <v>41.429000000000002</v>
      </c>
      <c r="O37" s="33">
        <f>VLOOKUP($A37,'District Summary'!$A$6:$AH$325,34,FALSE)</f>
        <v>54.198999999999998</v>
      </c>
      <c r="P37" s="67">
        <f t="shared" si="4"/>
        <v>-9.7959999999999994</v>
      </c>
      <c r="Q37" s="67">
        <f t="shared" si="5"/>
        <v>51.125</v>
      </c>
      <c r="R37" s="67">
        <f t="shared" si="8"/>
        <v>54.298999999999999</v>
      </c>
      <c r="S37" s="33">
        <f t="shared" si="9"/>
        <v>95.628</v>
      </c>
      <c r="T37" s="67">
        <f t="shared" si="6"/>
        <v>41.329000000000001</v>
      </c>
      <c r="U37" s="67">
        <f t="shared" si="7"/>
        <v>0</v>
      </c>
      <c r="V37" s="273"/>
      <c r="W37" s="273"/>
    </row>
    <row r="38" spans="1:23" x14ac:dyDescent="0.25">
      <c r="A38" t="s">
        <v>40</v>
      </c>
      <c r="B38" t="s">
        <v>336</v>
      </c>
      <c r="C38" s="25">
        <f>SUMPRODUCT(VLOOKUP($A38,'PSES Enroll Snapshot 25-01-17'!$K$5:$AB$327,{2,3,4,5,6,7,8,9},0))</f>
        <v>2073.63</v>
      </c>
      <c r="D38" s="25">
        <f>SUMPRODUCT(VLOOKUP($A38,'PSES Enroll Snapshot 25-01-17'!$K$5:$AB$327,{10,11},0))-VLOOKUP($A38,'PSES Enroll Snapshot 25-01-17'!$K$5:$AB$327,12,0)</f>
        <v>595.91</v>
      </c>
      <c r="E38" s="25">
        <f>SUMPRODUCT(VLOOKUP($A38,'PSES Enroll Snapshot 25-01-17'!$K$5:$AB$327,{13,14},0))-SUMPRODUCT(VLOOKUP($A38,'PSES Enroll Snapshot 25-01-17'!$K$5:$AB$327,{15,16,17},0))</f>
        <v>909.87</v>
      </c>
      <c r="F38" s="33">
        <f>ROUND($C38*'2024-25 Elementary Calculator'!$Q$13/400,3)+ROUND($D38*'2024-25 Middle Calculator'!$O$13/432,3)+ROUND($E38*'2024-25 High Calculator'!$O$13/600,3)</f>
        <v>12.122999999999999</v>
      </c>
      <c r="G38" s="33">
        <f>ROUND($C38*'2024-25 Elementary Calculator'!$Q$15/400,3)+ROUND($D38*'2024-25 Middle Calculator'!$O$15/432,3)+ROUND($E38*'2024-25 High Calculator'!$O$15/600,3)</f>
        <v>1.9260000000000002</v>
      </c>
      <c r="H38" s="33">
        <f>ROUND($C38*'2024-25 Elementary Calculator'!$Q$17/400,3)+ROUND($D38*'2024-25 Middle Calculator'!$O$17/432,3)+ROUND($E38*'2024-25 High Calculator'!$O$17/600,3)</f>
        <v>0.64600000000000002</v>
      </c>
      <c r="I38" s="33">
        <f>ROUND($C38*'2024-25 Elementary Calculator'!$Q$18/400,3)+ROUND($D38*'2024-25 Middle Calculator'!$O$18/432,3)+ROUND($E38*'2024-25 High Calculator'!$O$18/600,3)</f>
        <v>5.508</v>
      </c>
      <c r="J38" s="166">
        <f t="shared" si="2"/>
        <v>20.202999999999999</v>
      </c>
      <c r="K38" s="33">
        <f>ROUND($C38*'2024-25 Elementary Calculator'!$Q$23/400,3)+ROUND($D38*'2024-25 Middle Calculator'!$O$23/432,3)+ROUND($E38*'2024-25 High Calculator'!$O$23/600,3)</f>
        <v>0.75099999999999989</v>
      </c>
      <c r="L38" s="33">
        <f>ROUND($C38*'2024-25 Elementary Calculator'!$Q$22/400,3)+ROUND($D38*'2024-25 Middle Calculator'!$O$22/432,3)+ROUND($E38*'2024-25 High Calculator'!$O$22/600,3)</f>
        <v>0.42799999999999999</v>
      </c>
      <c r="M38" s="166">
        <f t="shared" si="3"/>
        <v>1.1789999999999998</v>
      </c>
      <c r="N38" s="33">
        <f>VLOOKUP($A38,'District Summary'!$A$6:$AH$325,29,FALSE)</f>
        <v>11.885000000000002</v>
      </c>
      <c r="O38" s="33">
        <f>VLOOKUP($A38,'District Summary'!$A$6:$AH$325,34,FALSE)</f>
        <v>11.957999999999998</v>
      </c>
      <c r="P38" s="67">
        <f t="shared" si="4"/>
        <v>-8.3179999999999978</v>
      </c>
      <c r="Q38" s="67">
        <f t="shared" si="5"/>
        <v>10.778999999999998</v>
      </c>
      <c r="R38" s="67">
        <f t="shared" si="8"/>
        <v>21.381999999999998</v>
      </c>
      <c r="S38" s="33">
        <f t="shared" si="9"/>
        <v>23.843</v>
      </c>
      <c r="T38" s="67">
        <f t="shared" si="6"/>
        <v>2.4609999999999999</v>
      </c>
      <c r="U38" s="67">
        <f t="shared" si="7"/>
        <v>0</v>
      </c>
      <c r="V38" s="273"/>
      <c r="W38" s="273"/>
    </row>
    <row r="39" spans="1:23" x14ac:dyDescent="0.25">
      <c r="A39" t="s">
        <v>1106</v>
      </c>
      <c r="B39" t="s">
        <v>1238</v>
      </c>
      <c r="C39" s="25">
        <f>SUMPRODUCT(VLOOKUP($A39,'PSES Enroll Snapshot 25-01-17'!$K$5:$AB$327,{2,3,4,5,6,7,8,9},0))</f>
        <v>0</v>
      </c>
      <c r="D39" s="25">
        <f>SUMPRODUCT(VLOOKUP($A39,'PSES Enroll Snapshot 25-01-17'!$K$5:$AB$327,{10,11},0))-VLOOKUP($A39,'PSES Enroll Snapshot 25-01-17'!$K$5:$AB$327,12,0)</f>
        <v>0</v>
      </c>
      <c r="E39" s="25">
        <f>SUMPRODUCT(VLOOKUP($A39,'PSES Enroll Snapshot 25-01-17'!$K$5:$AB$327,{13,14},0))-SUMPRODUCT(VLOOKUP($A39,'PSES Enroll Snapshot 25-01-17'!$K$5:$AB$327,{15,16,17},0))</f>
        <v>47.07</v>
      </c>
      <c r="F39" s="33">
        <f>ROUND($C39*'2024-25 Elementary Calculator'!$Q$13/400,3)+ROUND($D39*'2024-25 Middle Calculator'!$O$13/432,3)+ROUND($E39*'2024-25 High Calculator'!$O$13/600,3)</f>
        <v>0.23799999999999999</v>
      </c>
      <c r="G39" s="33">
        <f>ROUND($C39*'2024-25 Elementary Calculator'!$Q$15/400,3)+ROUND($D39*'2024-25 Middle Calculator'!$O$15/432,3)+ROUND($E39*'2024-25 High Calculator'!$O$15/600,3)</f>
        <v>0.01</v>
      </c>
      <c r="H39" s="33">
        <f>ROUND($C39*'2024-25 Elementary Calculator'!$Q$17/400,3)+ROUND($D39*'2024-25 Middle Calculator'!$O$17/432,3)+ROUND($E39*'2024-25 High Calculator'!$O$17/600,3)</f>
        <v>4.0000000000000001E-3</v>
      </c>
      <c r="I39" s="33">
        <f>ROUND($C39*'2024-25 Elementary Calculator'!$Q$18/400,3)+ROUND($D39*'2024-25 Middle Calculator'!$O$18/432,3)+ROUND($E39*'2024-25 High Calculator'!$O$18/600,3)</f>
        <v>6.5000000000000002E-2</v>
      </c>
      <c r="J39" s="166">
        <f t="shared" si="2"/>
        <v>0.317</v>
      </c>
      <c r="K39" s="33">
        <f>ROUND($C39*'2024-25 Elementary Calculator'!$Q$23/400,3)+ROUND($D39*'2024-25 Middle Calculator'!$O$23/432,3)+ROUND($E39*'2024-25 High Calculator'!$O$23/600,3)</f>
        <v>1.0999999999999999E-2</v>
      </c>
      <c r="L39" s="33">
        <f>ROUND($C39*'2024-25 Elementary Calculator'!$Q$22/400,3)+ROUND($D39*'2024-25 Middle Calculator'!$O$22/432,3)+ROUND($E39*'2024-25 High Calculator'!$O$22/600,3)</f>
        <v>0</v>
      </c>
      <c r="M39" s="166">
        <f t="shared" si="3"/>
        <v>1.0999999999999999E-2</v>
      </c>
      <c r="N39" s="33">
        <f>VLOOKUP($A39,'District Summary'!$A$6:$AH$325,29,FALSE)</f>
        <v>0</v>
      </c>
      <c r="O39" s="33">
        <f>VLOOKUP($A39,'District Summary'!$A$6:$AH$325,34,FALSE)</f>
        <v>0</v>
      </c>
      <c r="P39" s="67">
        <f t="shared" si="4"/>
        <v>-0.317</v>
      </c>
      <c r="Q39" s="67">
        <f t="shared" si="5"/>
        <v>-1.0999999999999999E-2</v>
      </c>
      <c r="R39" s="67">
        <f t="shared" si="8"/>
        <v>0.32800000000000001</v>
      </c>
      <c r="S39" s="33">
        <f t="shared" si="9"/>
        <v>0</v>
      </c>
      <c r="T39" s="67">
        <f t="shared" si="6"/>
        <v>-0.32800000000000001</v>
      </c>
      <c r="U39" s="67">
        <f t="shared" si="7"/>
        <v>-0.32800000000000001</v>
      </c>
      <c r="V39" s="273"/>
      <c r="W39" s="273"/>
    </row>
    <row r="40" spans="1:23" x14ac:dyDescent="0.25">
      <c r="A40" t="s">
        <v>41</v>
      </c>
      <c r="B40" t="s">
        <v>337</v>
      </c>
      <c r="C40" s="25">
        <f>SUMPRODUCT(VLOOKUP($A40,'PSES Enroll Snapshot 25-01-17'!$K$5:$AB$327,{2,3,4,5,6,7,8,9},0))</f>
        <v>200.6</v>
      </c>
      <c r="D40" s="25">
        <f>SUMPRODUCT(VLOOKUP($A40,'PSES Enroll Snapshot 25-01-17'!$K$5:$AB$327,{10,11},0))-VLOOKUP($A40,'PSES Enroll Snapshot 25-01-17'!$K$5:$AB$327,12,0)</f>
        <v>53.269999999999996</v>
      </c>
      <c r="E40" s="25">
        <f>SUMPRODUCT(VLOOKUP($A40,'PSES Enroll Snapshot 25-01-17'!$K$5:$AB$327,{13,14},0))-SUMPRODUCT(VLOOKUP($A40,'PSES Enroll Snapshot 25-01-17'!$K$5:$AB$327,{15,16,17},0))</f>
        <v>48.350000000000009</v>
      </c>
      <c r="F40" s="33">
        <f>ROUND($C40*'2024-25 Elementary Calculator'!$Q$13/400,3)+ROUND($D40*'2024-25 Middle Calculator'!$O$13/432,3)+ROUND($E40*'2024-25 High Calculator'!$O$13/600,3)</f>
        <v>0.95499999999999996</v>
      </c>
      <c r="G40" s="33">
        <f>ROUND($C40*'2024-25 Elementary Calculator'!$Q$15/400,3)+ROUND($D40*'2024-25 Middle Calculator'!$O$15/432,3)+ROUND($E40*'2024-25 High Calculator'!$O$15/600,3)</f>
        <v>0.17700000000000002</v>
      </c>
      <c r="H40" s="33">
        <f>ROUND($C40*'2024-25 Elementary Calculator'!$Q$17/400,3)+ROUND($D40*'2024-25 Middle Calculator'!$O$17/432,3)+ROUND($E40*'2024-25 High Calculator'!$O$17/600,3)</f>
        <v>5.8999999999999997E-2</v>
      </c>
      <c r="I40" s="33">
        <f>ROUND($C40*'2024-25 Elementary Calculator'!$Q$18/400,3)+ROUND($D40*'2024-25 Middle Calculator'!$O$18/432,3)+ROUND($E40*'2024-25 High Calculator'!$O$18/600,3)</f>
        <v>0.46799999999999997</v>
      </c>
      <c r="J40" s="166">
        <f t="shared" si="2"/>
        <v>1.6589999999999998</v>
      </c>
      <c r="K40" s="33">
        <f>ROUND($C40*'2024-25 Elementary Calculator'!$Q$23/400,3)+ROUND($D40*'2024-25 Middle Calculator'!$O$23/432,3)+ROUND($E40*'2024-25 High Calculator'!$O$23/600,3)</f>
        <v>6.2E-2</v>
      </c>
      <c r="L40" s="33">
        <f>ROUND($C40*'2024-25 Elementary Calculator'!$Q$22/400,3)+ROUND($D40*'2024-25 Middle Calculator'!$O$22/432,3)+ROUND($E40*'2024-25 High Calculator'!$O$22/600,3)</f>
        <v>4.1000000000000002E-2</v>
      </c>
      <c r="M40" s="166">
        <f t="shared" si="3"/>
        <v>0.10300000000000001</v>
      </c>
      <c r="N40" s="33">
        <f>VLOOKUP($A40,'District Summary'!$A$6:$AH$325,29,FALSE)</f>
        <v>1</v>
      </c>
      <c r="O40" s="33">
        <f>VLOOKUP($A40,'District Summary'!$A$6:$AH$325,34,FALSE)</f>
        <v>0.54200000000000004</v>
      </c>
      <c r="P40" s="67">
        <f t="shared" si="4"/>
        <v>-0.65899999999999981</v>
      </c>
      <c r="Q40" s="67">
        <f t="shared" si="5"/>
        <v>0.43900000000000006</v>
      </c>
      <c r="R40" s="67">
        <f t="shared" si="8"/>
        <v>1.7619999999999998</v>
      </c>
      <c r="S40" s="33">
        <f t="shared" si="9"/>
        <v>1.542</v>
      </c>
      <c r="T40" s="67">
        <f t="shared" si="6"/>
        <v>-0.22</v>
      </c>
      <c r="U40" s="67">
        <f t="shared" si="7"/>
        <v>-0.22</v>
      </c>
      <c r="V40" s="273"/>
      <c r="W40" s="273"/>
    </row>
    <row r="41" spans="1:23" x14ac:dyDescent="0.25">
      <c r="A41" t="s">
        <v>42</v>
      </c>
      <c r="B41" t="s">
        <v>338</v>
      </c>
      <c r="C41" s="25">
        <f>SUMPRODUCT(VLOOKUP($A41,'PSES Enroll Snapshot 25-01-17'!$K$5:$AB$327,{2,3,4,5,6,7,8,9},0))</f>
        <v>20.2</v>
      </c>
      <c r="D41" s="25">
        <f>SUMPRODUCT(VLOOKUP($A41,'PSES Enroll Snapshot 25-01-17'!$K$5:$AB$327,{10,11},0))-VLOOKUP($A41,'PSES Enroll Snapshot 25-01-17'!$K$5:$AB$327,12,0)</f>
        <v>2</v>
      </c>
      <c r="E41" s="25">
        <f>SUMPRODUCT(VLOOKUP($A41,'PSES Enroll Snapshot 25-01-17'!$K$5:$AB$327,{13,14},0))-SUMPRODUCT(VLOOKUP($A41,'PSES Enroll Snapshot 25-01-17'!$K$5:$AB$327,{15,16,17},0))</f>
        <v>0</v>
      </c>
      <c r="F41" s="33">
        <f>ROUND($C41*'2024-25 Elementary Calculator'!$Q$13/400,3)+ROUND($D41*'2024-25 Middle Calculator'!$O$13/432,3)+ROUND($E41*'2024-25 High Calculator'!$O$13/600,3)</f>
        <v>5.8000000000000003E-2</v>
      </c>
      <c r="G41" s="33">
        <f>ROUND($C41*'2024-25 Elementary Calculator'!$Q$15/400,3)+ROUND($D41*'2024-25 Middle Calculator'!$O$15/432,3)+ROUND($E41*'2024-25 High Calculator'!$O$15/600,3)</f>
        <v>1.6E-2</v>
      </c>
      <c r="H41" s="33">
        <f>ROUND($C41*'2024-25 Elementary Calculator'!$Q$17/400,3)+ROUND($D41*'2024-25 Middle Calculator'!$O$17/432,3)+ROUND($E41*'2024-25 High Calculator'!$O$17/600,3)</f>
        <v>5.0000000000000001E-3</v>
      </c>
      <c r="I41" s="33">
        <f>ROUND($C41*'2024-25 Elementary Calculator'!$Q$18/400,3)+ROUND($D41*'2024-25 Middle Calculator'!$O$18/432,3)+ROUND($E41*'2024-25 High Calculator'!$O$18/600,3)</f>
        <v>3.4000000000000002E-2</v>
      </c>
      <c r="J41" s="166">
        <f t="shared" si="2"/>
        <v>0.11300000000000002</v>
      </c>
      <c r="K41" s="33">
        <f>ROUND($C41*'2024-25 Elementary Calculator'!$Q$23/400,3)+ROUND($D41*'2024-25 Middle Calculator'!$O$23/432,3)+ROUND($E41*'2024-25 High Calculator'!$O$23/600,3)</f>
        <v>4.0000000000000001E-3</v>
      </c>
      <c r="L41" s="33">
        <f>ROUND($C41*'2024-25 Elementary Calculator'!$Q$22/400,3)+ROUND($D41*'2024-25 Middle Calculator'!$O$22/432,3)+ROUND($E41*'2024-25 High Calculator'!$O$22/600,3)</f>
        <v>4.0000000000000001E-3</v>
      </c>
      <c r="M41" s="166">
        <f t="shared" si="3"/>
        <v>8.0000000000000002E-3</v>
      </c>
      <c r="N41" s="33">
        <f>VLOOKUP($A41,'District Summary'!$A$6:$AH$325,29,FALSE)</f>
        <v>0</v>
      </c>
      <c r="O41" s="33">
        <f>VLOOKUP($A41,'District Summary'!$A$6:$AH$325,34,FALSE)</f>
        <v>0</v>
      </c>
      <c r="P41" s="67">
        <f t="shared" si="4"/>
        <v>-0.11300000000000002</v>
      </c>
      <c r="Q41" s="67">
        <f t="shared" si="5"/>
        <v>-8.0000000000000002E-3</v>
      </c>
      <c r="R41" s="67">
        <f t="shared" si="8"/>
        <v>0.12100000000000002</v>
      </c>
      <c r="S41" s="33">
        <f t="shared" si="9"/>
        <v>0</v>
      </c>
      <c r="T41" s="67">
        <f t="shared" si="6"/>
        <v>-0.121</v>
      </c>
      <c r="U41" s="67">
        <f t="shared" si="7"/>
        <v>-0.121</v>
      </c>
      <c r="V41" s="273"/>
      <c r="W41" s="273"/>
    </row>
    <row r="42" spans="1:23" x14ac:dyDescent="0.25">
      <c r="A42" t="s">
        <v>43</v>
      </c>
      <c r="B42" t="s">
        <v>339</v>
      </c>
      <c r="C42" s="25">
        <f>SUMPRODUCT(VLOOKUP($A42,'PSES Enroll Snapshot 25-01-17'!$K$5:$AB$327,{2,3,4,5,6,7,8,9},0))</f>
        <v>3360.9900000000002</v>
      </c>
      <c r="D42" s="25">
        <f>SUMPRODUCT(VLOOKUP($A42,'PSES Enroll Snapshot 25-01-17'!$K$5:$AB$327,{10,11},0))-VLOOKUP($A42,'PSES Enroll Snapshot 25-01-17'!$K$5:$AB$327,12,0)</f>
        <v>865.07999999999993</v>
      </c>
      <c r="E42" s="25">
        <f>SUMPRODUCT(VLOOKUP($A42,'PSES Enroll Snapshot 25-01-17'!$K$5:$AB$327,{13,14},0))-SUMPRODUCT(VLOOKUP($A42,'PSES Enroll Snapshot 25-01-17'!$K$5:$AB$327,{15,16,17},0))</f>
        <v>1401.21</v>
      </c>
      <c r="F42" s="33">
        <f>ROUND($C42*'2024-25 Elementary Calculator'!$Q$13/400,3)+ROUND($D42*'2024-25 Middle Calculator'!$O$13/432,3)+ROUND($E42*'2024-25 High Calculator'!$O$13/600,3)</f>
        <v>18.876999999999999</v>
      </c>
      <c r="G42" s="33">
        <f>ROUND($C42*'2024-25 Elementary Calculator'!$Q$15/400,3)+ROUND($D42*'2024-25 Middle Calculator'!$O$15/432,3)+ROUND($E42*'2024-25 High Calculator'!$O$15/600,3)</f>
        <v>3.0860000000000003</v>
      </c>
      <c r="H42" s="33">
        <f>ROUND($C42*'2024-25 Elementary Calculator'!$Q$17/400,3)+ROUND($D42*'2024-25 Middle Calculator'!$O$17/432,3)+ROUND($E42*'2024-25 High Calculator'!$O$17/600,3)</f>
        <v>1.036</v>
      </c>
      <c r="I42" s="33">
        <f>ROUND($C42*'2024-25 Elementary Calculator'!$Q$18/400,3)+ROUND($D42*'2024-25 Middle Calculator'!$O$18/432,3)+ROUND($E42*'2024-25 High Calculator'!$O$18/600,3)</f>
        <v>8.6169999999999991</v>
      </c>
      <c r="J42" s="166">
        <f t="shared" si="2"/>
        <v>31.616</v>
      </c>
      <c r="K42" s="33">
        <f>ROUND($C42*'2024-25 Elementary Calculator'!$Q$23/400,3)+ROUND($D42*'2024-25 Middle Calculator'!$O$23/432,3)+ROUND($E42*'2024-25 High Calculator'!$O$23/600,3)</f>
        <v>1.177</v>
      </c>
      <c r="L42" s="33">
        <f>ROUND($C42*'2024-25 Elementary Calculator'!$Q$22/400,3)+ROUND($D42*'2024-25 Middle Calculator'!$O$22/432,3)+ROUND($E42*'2024-25 High Calculator'!$O$22/600,3)</f>
        <v>0.69299999999999995</v>
      </c>
      <c r="M42" s="166">
        <f t="shared" si="3"/>
        <v>1.87</v>
      </c>
      <c r="N42" s="33">
        <f>VLOOKUP($A42,'District Summary'!$A$6:$AH$325,29,FALSE)</f>
        <v>28.030999999999999</v>
      </c>
      <c r="O42" s="33">
        <f>VLOOKUP($A42,'District Summary'!$A$6:$AH$325,34,FALSE)</f>
        <v>19.873999999999999</v>
      </c>
      <c r="P42" s="67">
        <f t="shared" si="4"/>
        <v>-3.5850000000000009</v>
      </c>
      <c r="Q42" s="67">
        <f t="shared" si="5"/>
        <v>18.003999999999998</v>
      </c>
      <c r="R42" s="67">
        <f t="shared" si="8"/>
        <v>33.485999999999997</v>
      </c>
      <c r="S42" s="33">
        <f t="shared" si="9"/>
        <v>47.905000000000001</v>
      </c>
      <c r="T42" s="67">
        <f t="shared" si="6"/>
        <v>14.419</v>
      </c>
      <c r="U42" s="67">
        <f t="shared" si="7"/>
        <v>0</v>
      </c>
      <c r="V42" s="273"/>
      <c r="W42" s="273"/>
    </row>
    <row r="43" spans="1:23" x14ac:dyDescent="0.25">
      <c r="A43" t="s">
        <v>44</v>
      </c>
      <c r="B43" t="s">
        <v>340</v>
      </c>
      <c r="C43" s="25">
        <f>SUMPRODUCT(VLOOKUP($A43,'PSES Enroll Snapshot 25-01-17'!$K$5:$AB$327,{2,3,4,5,6,7,8,9},0))</f>
        <v>364.94</v>
      </c>
      <c r="D43" s="25">
        <f>SUMPRODUCT(VLOOKUP($A43,'PSES Enroll Snapshot 25-01-17'!$K$5:$AB$327,{10,11},0))-VLOOKUP($A43,'PSES Enroll Snapshot 25-01-17'!$K$5:$AB$327,12,0)</f>
        <v>107.31</v>
      </c>
      <c r="E43" s="25">
        <f>SUMPRODUCT(VLOOKUP($A43,'PSES Enroll Snapshot 25-01-17'!$K$5:$AB$327,{13,14},0))-SUMPRODUCT(VLOOKUP($A43,'PSES Enroll Snapshot 25-01-17'!$K$5:$AB$327,{15,16,17},0))</f>
        <v>115.29</v>
      </c>
      <c r="F43" s="33">
        <f>ROUND($C43*'2024-25 Elementary Calculator'!$Q$13/400,3)+ROUND($D43*'2024-25 Middle Calculator'!$O$13/432,3)+ROUND($E43*'2024-25 High Calculator'!$O$13/600,3)</f>
        <v>1.9159999999999999</v>
      </c>
      <c r="G43" s="33">
        <f>ROUND($C43*'2024-25 Elementary Calculator'!$Q$15/400,3)+ROUND($D43*'2024-25 Middle Calculator'!$O$15/432,3)+ROUND($E43*'2024-25 High Calculator'!$O$15/600,3)</f>
        <v>0.33</v>
      </c>
      <c r="H43" s="33">
        <f>ROUND($C43*'2024-25 Elementary Calculator'!$Q$17/400,3)+ROUND($D43*'2024-25 Middle Calculator'!$O$17/432,3)+ROUND($E43*'2024-25 High Calculator'!$O$17/600,3)</f>
        <v>0.11</v>
      </c>
      <c r="I43" s="33">
        <f>ROUND($C43*'2024-25 Elementary Calculator'!$Q$18/400,3)+ROUND($D43*'2024-25 Middle Calculator'!$O$18/432,3)+ROUND($E43*'2024-25 High Calculator'!$O$18/600,3)</f>
        <v>0.91300000000000003</v>
      </c>
      <c r="J43" s="166">
        <f t="shared" si="2"/>
        <v>3.2690000000000001</v>
      </c>
      <c r="K43" s="33">
        <f>ROUND($C43*'2024-25 Elementary Calculator'!$Q$23/400,3)+ROUND($D43*'2024-25 Middle Calculator'!$O$23/432,3)+ROUND($E43*'2024-25 High Calculator'!$O$23/600,3)</f>
        <v>0.122</v>
      </c>
      <c r="L43" s="33">
        <f>ROUND($C43*'2024-25 Elementary Calculator'!$Q$22/400,3)+ROUND($D43*'2024-25 Middle Calculator'!$O$22/432,3)+ROUND($E43*'2024-25 High Calculator'!$O$22/600,3)</f>
        <v>7.4999999999999997E-2</v>
      </c>
      <c r="M43" s="166">
        <f t="shared" si="3"/>
        <v>0.19700000000000001</v>
      </c>
      <c r="N43" s="33">
        <f>VLOOKUP($A43,'District Summary'!$A$6:$AH$325,29,FALSE)</f>
        <v>2</v>
      </c>
      <c r="O43" s="33">
        <f>VLOOKUP($A43,'District Summary'!$A$6:$AH$325,34,FALSE)</f>
        <v>1.3540000000000001</v>
      </c>
      <c r="P43" s="67">
        <f t="shared" si="4"/>
        <v>-1.2690000000000001</v>
      </c>
      <c r="Q43" s="67">
        <f t="shared" si="5"/>
        <v>1.157</v>
      </c>
      <c r="R43" s="67">
        <f t="shared" si="8"/>
        <v>3.4660000000000002</v>
      </c>
      <c r="S43" s="33">
        <f t="shared" si="9"/>
        <v>3.3540000000000001</v>
      </c>
      <c r="T43" s="67">
        <f t="shared" si="6"/>
        <v>-0.112</v>
      </c>
      <c r="U43" s="67">
        <f t="shared" si="7"/>
        <v>-0.112</v>
      </c>
      <c r="V43" s="273"/>
      <c r="W43" s="273"/>
    </row>
    <row r="44" spans="1:23" x14ac:dyDescent="0.25">
      <c r="A44" t="s">
        <v>45</v>
      </c>
      <c r="B44" t="s">
        <v>341</v>
      </c>
      <c r="C44" s="25">
        <f>SUMPRODUCT(VLOOKUP($A44,'PSES Enroll Snapshot 25-01-17'!$K$5:$AB$327,{2,3,4,5,6,7,8,9},0))</f>
        <v>764.64</v>
      </c>
      <c r="D44" s="25">
        <f>SUMPRODUCT(VLOOKUP($A44,'PSES Enroll Snapshot 25-01-17'!$K$5:$AB$327,{10,11},0))-VLOOKUP($A44,'PSES Enroll Snapshot 25-01-17'!$K$5:$AB$327,12,0)</f>
        <v>206.11</v>
      </c>
      <c r="E44" s="25">
        <f>SUMPRODUCT(VLOOKUP($A44,'PSES Enroll Snapshot 25-01-17'!$K$5:$AB$327,{13,14},0))-SUMPRODUCT(VLOOKUP($A44,'PSES Enroll Snapshot 25-01-17'!$K$5:$AB$327,{15,16,17},0))</f>
        <v>277.90999999999997</v>
      </c>
      <c r="F44" s="33">
        <f>ROUND($C44*'2024-25 Elementary Calculator'!$Q$13/400,3)+ROUND($D44*'2024-25 Middle Calculator'!$O$13/432,3)+ROUND($E44*'2024-25 High Calculator'!$O$13/600,3)</f>
        <v>4.125</v>
      </c>
      <c r="G44" s="33">
        <f>ROUND($C44*'2024-25 Elementary Calculator'!$Q$15/400,3)+ROUND($D44*'2024-25 Middle Calculator'!$O$15/432,3)+ROUND($E44*'2024-25 High Calculator'!$O$15/600,3)</f>
        <v>0.69599999999999995</v>
      </c>
      <c r="H44" s="33">
        <f>ROUND($C44*'2024-25 Elementary Calculator'!$Q$17/400,3)+ROUND($D44*'2024-25 Middle Calculator'!$O$17/432,3)+ROUND($E44*'2024-25 High Calculator'!$O$17/600,3)</f>
        <v>0.23300000000000001</v>
      </c>
      <c r="I44" s="33">
        <f>ROUND($C44*'2024-25 Elementary Calculator'!$Q$18/400,3)+ROUND($D44*'2024-25 Middle Calculator'!$O$18/432,3)+ROUND($E44*'2024-25 High Calculator'!$O$18/600,3)</f>
        <v>1.9239999999999999</v>
      </c>
      <c r="J44" s="166">
        <f t="shared" si="2"/>
        <v>6.9779999999999998</v>
      </c>
      <c r="K44" s="33">
        <f>ROUND($C44*'2024-25 Elementary Calculator'!$Q$23/400,3)+ROUND($D44*'2024-25 Middle Calculator'!$O$23/432,3)+ROUND($E44*'2024-25 High Calculator'!$O$23/600,3)</f>
        <v>0.26</v>
      </c>
      <c r="L44" s="33">
        <f>ROUND($C44*'2024-25 Elementary Calculator'!$Q$22/400,3)+ROUND($D44*'2024-25 Middle Calculator'!$O$22/432,3)+ROUND($E44*'2024-25 High Calculator'!$O$22/600,3)</f>
        <v>0.158</v>
      </c>
      <c r="M44" s="166">
        <f t="shared" si="3"/>
        <v>0.41800000000000004</v>
      </c>
      <c r="N44" s="33">
        <f>VLOOKUP($A44,'District Summary'!$A$6:$AH$325,29,FALSE)</f>
        <v>3.508</v>
      </c>
      <c r="O44" s="33">
        <f>VLOOKUP($A44,'District Summary'!$A$6:$AH$325,34,FALSE)</f>
        <v>4.5359999999999996</v>
      </c>
      <c r="P44" s="67">
        <f t="shared" si="4"/>
        <v>-3.4699999999999998</v>
      </c>
      <c r="Q44" s="67">
        <f t="shared" si="5"/>
        <v>4.1179999999999994</v>
      </c>
      <c r="R44" s="67">
        <f t="shared" si="8"/>
        <v>7.3959999999999999</v>
      </c>
      <c r="S44" s="33">
        <f t="shared" si="9"/>
        <v>8.0440000000000005</v>
      </c>
      <c r="T44" s="67">
        <f t="shared" si="6"/>
        <v>0.64800000000000002</v>
      </c>
      <c r="U44" s="67">
        <f t="shared" si="7"/>
        <v>0</v>
      </c>
      <c r="V44" s="273"/>
      <c r="W44" s="273"/>
    </row>
    <row r="45" spans="1:23" x14ac:dyDescent="0.25">
      <c r="A45" t="s">
        <v>46</v>
      </c>
      <c r="B45" t="s">
        <v>342</v>
      </c>
      <c r="C45" s="25">
        <f>SUMPRODUCT(VLOOKUP($A45,'PSES Enroll Snapshot 25-01-17'!$K$5:$AB$327,{2,3,4,5,6,7,8,9},0))</f>
        <v>621.24</v>
      </c>
      <c r="D45" s="25">
        <f>SUMPRODUCT(VLOOKUP($A45,'PSES Enroll Snapshot 25-01-17'!$K$5:$AB$327,{10,11},0))-VLOOKUP($A45,'PSES Enroll Snapshot 25-01-17'!$K$5:$AB$327,12,0)</f>
        <v>170.2</v>
      </c>
      <c r="E45" s="25">
        <f>SUMPRODUCT(VLOOKUP($A45,'PSES Enroll Snapshot 25-01-17'!$K$5:$AB$327,{13,14},0))-SUMPRODUCT(VLOOKUP($A45,'PSES Enroll Snapshot 25-01-17'!$K$5:$AB$327,{15,16,17},0))</f>
        <v>233.71999999999997</v>
      </c>
      <c r="F45" s="33">
        <f>ROUND($C45*'2024-25 Elementary Calculator'!$Q$13/400,3)+ROUND($D45*'2024-25 Middle Calculator'!$O$13/432,3)+ROUND($E45*'2024-25 High Calculator'!$O$13/600,3)</f>
        <v>3.4020000000000001</v>
      </c>
      <c r="G45" s="33">
        <f>ROUND($C45*'2024-25 Elementary Calculator'!$Q$15/400,3)+ROUND($D45*'2024-25 Middle Calculator'!$O$15/432,3)+ROUND($E45*'2024-25 High Calculator'!$O$15/600,3)</f>
        <v>0.56700000000000006</v>
      </c>
      <c r="H45" s="33">
        <f>ROUND($C45*'2024-25 Elementary Calculator'!$Q$17/400,3)+ROUND($D45*'2024-25 Middle Calculator'!$O$17/432,3)+ROUND($E45*'2024-25 High Calculator'!$O$17/600,3)</f>
        <v>0.19</v>
      </c>
      <c r="I45" s="33">
        <f>ROUND($C45*'2024-25 Elementary Calculator'!$Q$18/400,3)+ROUND($D45*'2024-25 Middle Calculator'!$O$18/432,3)+ROUND($E45*'2024-25 High Calculator'!$O$18/600,3)</f>
        <v>1.5799999999999998</v>
      </c>
      <c r="J45" s="166">
        <f t="shared" si="2"/>
        <v>5.7390000000000008</v>
      </c>
      <c r="K45" s="33">
        <f>ROUND($C45*'2024-25 Elementary Calculator'!$Q$23/400,3)+ROUND($D45*'2024-25 Middle Calculator'!$O$23/432,3)+ROUND($E45*'2024-25 High Calculator'!$O$23/600,3)</f>
        <v>0.214</v>
      </c>
      <c r="L45" s="33">
        <f>ROUND($C45*'2024-25 Elementary Calculator'!$Q$22/400,3)+ROUND($D45*'2024-25 Middle Calculator'!$O$22/432,3)+ROUND($E45*'2024-25 High Calculator'!$O$22/600,3)</f>
        <v>0.128</v>
      </c>
      <c r="M45" s="166">
        <f t="shared" si="3"/>
        <v>0.34199999999999997</v>
      </c>
      <c r="N45" s="33">
        <f>VLOOKUP($A45,'District Summary'!$A$6:$AH$325,29,FALSE)</f>
        <v>3.1949999999999998</v>
      </c>
      <c r="O45" s="33">
        <f>VLOOKUP($A45,'District Summary'!$A$6:$AH$325,34,FALSE)</f>
        <v>5.2469999999999999</v>
      </c>
      <c r="P45" s="67">
        <f t="shared" si="4"/>
        <v>-2.5440000000000009</v>
      </c>
      <c r="Q45" s="67">
        <f t="shared" si="5"/>
        <v>4.9050000000000002</v>
      </c>
      <c r="R45" s="67">
        <f t="shared" si="8"/>
        <v>6.0810000000000004</v>
      </c>
      <c r="S45" s="33">
        <f t="shared" si="9"/>
        <v>8.4420000000000002</v>
      </c>
      <c r="T45" s="67">
        <f t="shared" si="6"/>
        <v>2.3610000000000002</v>
      </c>
      <c r="U45" s="67">
        <f t="shared" si="7"/>
        <v>0</v>
      </c>
      <c r="V45" s="273"/>
      <c r="W45" s="273"/>
    </row>
    <row r="46" spans="1:23" x14ac:dyDescent="0.25">
      <c r="A46" t="s">
        <v>47</v>
      </c>
      <c r="B46" t="s">
        <v>343</v>
      </c>
      <c r="C46" s="25">
        <f>SUMPRODUCT(VLOOKUP($A46,'PSES Enroll Snapshot 25-01-17'!$K$5:$AB$327,{2,3,4,5,6,7,8,9},0))</f>
        <v>1243.7900000000002</v>
      </c>
      <c r="D46" s="25">
        <f>SUMPRODUCT(VLOOKUP($A46,'PSES Enroll Snapshot 25-01-17'!$K$5:$AB$327,{10,11},0))-VLOOKUP($A46,'PSES Enroll Snapshot 25-01-17'!$K$5:$AB$327,12,0)</f>
        <v>352.95</v>
      </c>
      <c r="E46" s="25">
        <f>SUMPRODUCT(VLOOKUP($A46,'PSES Enroll Snapshot 25-01-17'!$K$5:$AB$327,{13,14},0))-SUMPRODUCT(VLOOKUP($A46,'PSES Enroll Snapshot 25-01-17'!$K$5:$AB$327,{15,16,17},0))</f>
        <v>506.09000000000003</v>
      </c>
      <c r="F46" s="33">
        <f>ROUND($C46*'2024-25 Elementary Calculator'!$Q$13/400,3)+ROUND($D46*'2024-25 Middle Calculator'!$O$13/432,3)+ROUND($E46*'2024-25 High Calculator'!$O$13/600,3)</f>
        <v>7.0530000000000008</v>
      </c>
      <c r="G46" s="33">
        <f>ROUND($C46*'2024-25 Elementary Calculator'!$Q$15/400,3)+ROUND($D46*'2024-25 Middle Calculator'!$O$15/432,3)+ROUND($E46*'2024-25 High Calculator'!$O$15/600,3)</f>
        <v>1.1459999999999999</v>
      </c>
      <c r="H46" s="33">
        <f>ROUND($C46*'2024-25 Elementary Calculator'!$Q$17/400,3)+ROUND($D46*'2024-25 Middle Calculator'!$O$17/432,3)+ROUND($E46*'2024-25 High Calculator'!$O$17/600,3)</f>
        <v>0.38400000000000001</v>
      </c>
      <c r="I46" s="33">
        <f>ROUND($C46*'2024-25 Elementary Calculator'!$Q$18/400,3)+ROUND($D46*'2024-25 Middle Calculator'!$O$18/432,3)+ROUND($E46*'2024-25 High Calculator'!$O$18/600,3)</f>
        <v>3.2399999999999998</v>
      </c>
      <c r="J46" s="166">
        <f t="shared" si="2"/>
        <v>11.823000000000002</v>
      </c>
      <c r="K46" s="33">
        <f>ROUND($C46*'2024-25 Elementary Calculator'!$Q$23/400,3)+ROUND($D46*'2024-25 Middle Calculator'!$O$23/432,3)+ROUND($E46*'2024-25 High Calculator'!$O$23/600,3)</f>
        <v>0.44</v>
      </c>
      <c r="L46" s="33">
        <f>ROUND($C46*'2024-25 Elementary Calculator'!$Q$22/400,3)+ROUND($D46*'2024-25 Middle Calculator'!$O$22/432,3)+ROUND($E46*'2024-25 High Calculator'!$O$22/600,3)</f>
        <v>0.25700000000000001</v>
      </c>
      <c r="M46" s="166">
        <f t="shared" si="3"/>
        <v>0.69700000000000006</v>
      </c>
      <c r="N46" s="33">
        <f>VLOOKUP($A46,'District Summary'!$A$6:$AH$325,29,FALSE)</f>
        <v>8.3369999999999997</v>
      </c>
      <c r="O46" s="33">
        <f>VLOOKUP($A46,'District Summary'!$A$6:$AH$325,34,FALSE)</f>
        <v>1.399</v>
      </c>
      <c r="P46" s="67">
        <f t="shared" si="4"/>
        <v>-3.4860000000000024</v>
      </c>
      <c r="Q46" s="67">
        <f t="shared" si="5"/>
        <v>0.70199999999999996</v>
      </c>
      <c r="R46" s="67">
        <f t="shared" si="8"/>
        <v>12.520000000000003</v>
      </c>
      <c r="S46" s="33">
        <f t="shared" si="9"/>
        <v>9.7360000000000007</v>
      </c>
      <c r="T46" s="67">
        <f t="shared" si="6"/>
        <v>-2.7839999999999998</v>
      </c>
      <c r="U46" s="67">
        <f t="shared" si="7"/>
        <v>-2.7839999999999998</v>
      </c>
      <c r="V46" s="273"/>
      <c r="W46" s="273"/>
    </row>
    <row r="47" spans="1:23" x14ac:dyDescent="0.25">
      <c r="A47" t="s">
        <v>48</v>
      </c>
      <c r="B47" t="s">
        <v>344</v>
      </c>
      <c r="C47" s="25">
        <f>SUMPRODUCT(VLOOKUP($A47,'PSES Enroll Snapshot 25-01-17'!$K$5:$AB$327,{2,3,4,5,6,7,8,9},0))</f>
        <v>2620.4499999999998</v>
      </c>
      <c r="D47" s="25">
        <f>SUMPRODUCT(VLOOKUP($A47,'PSES Enroll Snapshot 25-01-17'!$K$5:$AB$327,{10,11},0))-VLOOKUP($A47,'PSES Enroll Snapshot 25-01-17'!$K$5:$AB$327,12,0)</f>
        <v>643.97</v>
      </c>
      <c r="E47" s="25">
        <f>SUMPRODUCT(VLOOKUP($A47,'PSES Enroll Snapshot 25-01-17'!$K$5:$AB$327,{13,14},0))-SUMPRODUCT(VLOOKUP($A47,'PSES Enroll Snapshot 25-01-17'!$K$5:$AB$327,{15,16,17},0))</f>
        <v>958.3900000000001</v>
      </c>
      <c r="F47" s="33">
        <f>ROUND($C47*'2024-25 Elementary Calculator'!$Q$13/400,3)+ROUND($D47*'2024-25 Middle Calculator'!$O$13/432,3)+ROUND($E47*'2024-25 High Calculator'!$O$13/600,3)</f>
        <v>13.916999999999998</v>
      </c>
      <c r="G47" s="33">
        <f>ROUND($C47*'2024-25 Elementary Calculator'!$Q$15/400,3)+ROUND($D47*'2024-25 Middle Calculator'!$O$15/432,3)+ROUND($E47*'2024-25 High Calculator'!$O$15/600,3)</f>
        <v>2.371</v>
      </c>
      <c r="H47" s="33">
        <f>ROUND($C47*'2024-25 Elementary Calculator'!$Q$17/400,3)+ROUND($D47*'2024-25 Middle Calculator'!$O$17/432,3)+ROUND($E47*'2024-25 High Calculator'!$O$17/600,3)</f>
        <v>0.79500000000000004</v>
      </c>
      <c r="I47" s="33">
        <f>ROUND($C47*'2024-25 Elementary Calculator'!$Q$18/400,3)+ROUND($D47*'2024-25 Middle Calculator'!$O$18/432,3)+ROUND($E47*'2024-25 High Calculator'!$O$18/600,3)</f>
        <v>6.4719999999999995</v>
      </c>
      <c r="J47" s="166">
        <f t="shared" si="2"/>
        <v>23.555</v>
      </c>
      <c r="K47" s="33">
        <f>ROUND($C47*'2024-25 Elementary Calculator'!$Q$23/400,3)+ROUND($D47*'2024-25 Middle Calculator'!$O$23/432,3)+ROUND($E47*'2024-25 High Calculator'!$O$23/600,3)</f>
        <v>0.88</v>
      </c>
      <c r="L47" s="33">
        <f>ROUND($C47*'2024-25 Elementary Calculator'!$Q$22/400,3)+ROUND($D47*'2024-25 Middle Calculator'!$O$22/432,3)+ROUND($E47*'2024-25 High Calculator'!$O$22/600,3)</f>
        <v>0.54</v>
      </c>
      <c r="M47" s="166">
        <f t="shared" si="3"/>
        <v>1.42</v>
      </c>
      <c r="N47" s="33">
        <f>VLOOKUP($A47,'District Summary'!$A$6:$AH$325,29,FALSE)</f>
        <v>18.579000000000001</v>
      </c>
      <c r="O47" s="33">
        <f>VLOOKUP($A47,'District Summary'!$A$6:$AH$325,34,FALSE)</f>
        <v>12.569000000000001</v>
      </c>
      <c r="P47" s="67">
        <f t="shared" si="4"/>
        <v>-4.9759999999999991</v>
      </c>
      <c r="Q47" s="67">
        <f t="shared" si="5"/>
        <v>11.149000000000001</v>
      </c>
      <c r="R47" s="67">
        <f t="shared" si="8"/>
        <v>24.975000000000001</v>
      </c>
      <c r="S47" s="33">
        <f t="shared" si="9"/>
        <v>31.148000000000003</v>
      </c>
      <c r="T47" s="67">
        <f t="shared" si="6"/>
        <v>6.173</v>
      </c>
      <c r="U47" s="67">
        <f t="shared" si="7"/>
        <v>0</v>
      </c>
      <c r="V47" s="273"/>
      <c r="W47" s="273"/>
    </row>
    <row r="48" spans="1:23" x14ac:dyDescent="0.25">
      <c r="A48" t="s">
        <v>49</v>
      </c>
      <c r="B48" t="s">
        <v>345</v>
      </c>
      <c r="C48" s="25">
        <f>SUMPRODUCT(VLOOKUP($A48,'PSES Enroll Snapshot 25-01-17'!$K$5:$AB$327,{2,3,4,5,6,7,8,9},0))</f>
        <v>93</v>
      </c>
      <c r="D48" s="25">
        <f>SUMPRODUCT(VLOOKUP($A48,'PSES Enroll Snapshot 25-01-17'!$K$5:$AB$327,{10,11},0))-VLOOKUP($A48,'PSES Enroll Snapshot 25-01-17'!$K$5:$AB$327,12,0)</f>
        <v>12.16</v>
      </c>
      <c r="E48" s="25">
        <f>SUMPRODUCT(VLOOKUP($A48,'PSES Enroll Snapshot 25-01-17'!$K$5:$AB$327,{13,14},0))-SUMPRODUCT(VLOOKUP($A48,'PSES Enroll Snapshot 25-01-17'!$K$5:$AB$327,{15,16,17},0))</f>
        <v>0</v>
      </c>
      <c r="F48" s="33">
        <f>ROUND($C48*'2024-25 Elementary Calculator'!$Q$13/400,3)+ROUND($D48*'2024-25 Middle Calculator'!$O$13/432,3)+ROUND($E48*'2024-25 High Calculator'!$O$13/600,3)</f>
        <v>0.27900000000000003</v>
      </c>
      <c r="G48" s="33">
        <f>ROUND($C48*'2024-25 Elementary Calculator'!$Q$15/400,3)+ROUND($D48*'2024-25 Middle Calculator'!$O$15/432,3)+ROUND($E48*'2024-25 High Calculator'!$O$15/600,3)</f>
        <v>7.3999999999999996E-2</v>
      </c>
      <c r="H48" s="33">
        <f>ROUND($C48*'2024-25 Elementary Calculator'!$Q$17/400,3)+ROUND($D48*'2024-25 Middle Calculator'!$O$17/432,3)+ROUND($E48*'2024-25 High Calculator'!$O$17/600,3)</f>
        <v>2.5000000000000001E-2</v>
      </c>
      <c r="I48" s="33">
        <f>ROUND($C48*'2024-25 Elementary Calculator'!$Q$18/400,3)+ROUND($D48*'2024-25 Middle Calculator'!$O$18/432,3)+ROUND($E48*'2024-25 High Calculator'!$O$18/600,3)</f>
        <v>0.161</v>
      </c>
      <c r="J48" s="166">
        <f t="shared" si="2"/>
        <v>0.53900000000000003</v>
      </c>
      <c r="K48" s="33">
        <f>ROUND($C48*'2024-25 Elementary Calculator'!$Q$23/400,3)+ROUND($D48*'2024-25 Middle Calculator'!$O$23/432,3)+ROUND($E48*'2024-25 High Calculator'!$O$23/600,3)</f>
        <v>2.0999999999999998E-2</v>
      </c>
      <c r="L48" s="33">
        <f>ROUND($C48*'2024-25 Elementary Calculator'!$Q$22/400,3)+ROUND($D48*'2024-25 Middle Calculator'!$O$22/432,3)+ROUND($E48*'2024-25 High Calculator'!$O$22/600,3)</f>
        <v>1.9E-2</v>
      </c>
      <c r="M48" s="166">
        <f t="shared" si="3"/>
        <v>3.9999999999999994E-2</v>
      </c>
      <c r="N48" s="33">
        <f>VLOOKUP($A48,'District Summary'!$A$6:$AH$325,29,FALSE)</f>
        <v>0</v>
      </c>
      <c r="O48" s="33">
        <f>VLOOKUP($A48,'District Summary'!$A$6:$AH$325,34,FALSE)</f>
        <v>0.13900000000000001</v>
      </c>
      <c r="P48" s="67">
        <f t="shared" si="4"/>
        <v>-0.53900000000000003</v>
      </c>
      <c r="Q48" s="67">
        <f t="shared" si="5"/>
        <v>9.9000000000000019E-2</v>
      </c>
      <c r="R48" s="67">
        <f t="shared" si="8"/>
        <v>0.57900000000000007</v>
      </c>
      <c r="S48" s="33">
        <f t="shared" si="9"/>
        <v>0.13900000000000001</v>
      </c>
      <c r="T48" s="67">
        <f t="shared" si="6"/>
        <v>-0.44</v>
      </c>
      <c r="U48" s="67">
        <f t="shared" si="7"/>
        <v>-0.44</v>
      </c>
      <c r="V48" s="273"/>
      <c r="W48" s="273"/>
    </row>
    <row r="49" spans="1:23" x14ac:dyDescent="0.25">
      <c r="A49" t="s">
        <v>50</v>
      </c>
      <c r="B49" t="s">
        <v>346</v>
      </c>
      <c r="C49" s="25">
        <f>SUMPRODUCT(VLOOKUP($A49,'PSES Enroll Snapshot 25-01-17'!$K$5:$AB$327,{2,3,4,5,6,7,8,9},0))</f>
        <v>386.07</v>
      </c>
      <c r="D49" s="25">
        <f>SUMPRODUCT(VLOOKUP($A49,'PSES Enroll Snapshot 25-01-17'!$K$5:$AB$327,{10,11},0))-VLOOKUP($A49,'PSES Enroll Snapshot 25-01-17'!$K$5:$AB$327,12,0)</f>
        <v>94.55</v>
      </c>
      <c r="E49" s="25">
        <f>SUMPRODUCT(VLOOKUP($A49,'PSES Enroll Snapshot 25-01-17'!$K$5:$AB$327,{13,14},0))-SUMPRODUCT(VLOOKUP($A49,'PSES Enroll Snapshot 25-01-17'!$K$5:$AB$327,{15,16,17},0))</f>
        <v>203.31</v>
      </c>
      <c r="F49" s="33">
        <f>ROUND($C49*'2024-25 Elementary Calculator'!$Q$13/400,3)+ROUND($D49*'2024-25 Middle Calculator'!$O$13/432,3)+ROUND($E49*'2024-25 High Calculator'!$O$13/600,3)</f>
        <v>2.3639999999999999</v>
      </c>
      <c r="G49" s="33">
        <f>ROUND($C49*'2024-25 Elementary Calculator'!$Q$15/400,3)+ROUND($D49*'2024-25 Middle Calculator'!$O$15/432,3)+ROUND($E49*'2024-25 High Calculator'!$O$15/600,3)</f>
        <v>0.36199999999999999</v>
      </c>
      <c r="H49" s="33">
        <f>ROUND($C49*'2024-25 Elementary Calculator'!$Q$17/400,3)+ROUND($D49*'2024-25 Middle Calculator'!$O$17/432,3)+ROUND($E49*'2024-25 High Calculator'!$O$17/600,3)</f>
        <v>0.12200000000000001</v>
      </c>
      <c r="I49" s="33">
        <f>ROUND($C49*'2024-25 Elementary Calculator'!$Q$18/400,3)+ROUND($D49*'2024-25 Middle Calculator'!$O$18/432,3)+ROUND($E49*'2024-25 High Calculator'!$O$18/600,3)</f>
        <v>1.0379999999999998</v>
      </c>
      <c r="J49" s="166">
        <f t="shared" si="2"/>
        <v>3.8859999999999997</v>
      </c>
      <c r="K49" s="33">
        <f>ROUND($C49*'2024-25 Elementary Calculator'!$Q$23/400,3)+ROUND($D49*'2024-25 Middle Calculator'!$O$23/432,3)+ROUND($E49*'2024-25 High Calculator'!$O$23/600,3)</f>
        <v>0.14400000000000002</v>
      </c>
      <c r="L49" s="33">
        <f>ROUND($C49*'2024-25 Elementary Calculator'!$Q$22/400,3)+ROUND($D49*'2024-25 Middle Calculator'!$O$22/432,3)+ROUND($E49*'2024-25 High Calculator'!$O$22/600,3)</f>
        <v>0.08</v>
      </c>
      <c r="M49" s="166">
        <f t="shared" si="3"/>
        <v>0.22400000000000003</v>
      </c>
      <c r="N49" s="33">
        <f>VLOOKUP($A49,'District Summary'!$A$6:$AH$325,29,FALSE)</f>
        <v>2</v>
      </c>
      <c r="O49" s="33">
        <f>VLOOKUP($A49,'District Summary'!$A$6:$AH$325,34,FALSE)</f>
        <v>1.2290000000000001</v>
      </c>
      <c r="P49" s="67">
        <f t="shared" si="4"/>
        <v>-1.8859999999999997</v>
      </c>
      <c r="Q49" s="67">
        <f t="shared" si="5"/>
        <v>1.0050000000000001</v>
      </c>
      <c r="R49" s="67">
        <f t="shared" si="8"/>
        <v>4.1099999999999994</v>
      </c>
      <c r="S49" s="33">
        <f t="shared" si="9"/>
        <v>3.2290000000000001</v>
      </c>
      <c r="T49" s="67">
        <f t="shared" si="6"/>
        <v>-0.88100000000000001</v>
      </c>
      <c r="U49" s="67">
        <f t="shared" si="7"/>
        <v>-0.88100000000000001</v>
      </c>
      <c r="V49" s="273"/>
      <c r="W49" s="273"/>
    </row>
    <row r="50" spans="1:23" x14ac:dyDescent="0.25">
      <c r="A50" t="s">
        <v>51</v>
      </c>
      <c r="B50" t="s">
        <v>347</v>
      </c>
      <c r="C50" s="25">
        <f>SUMPRODUCT(VLOOKUP($A50,'PSES Enroll Snapshot 25-01-17'!$K$5:$AB$327,{2,3,4,5,6,7,8,9},0))</f>
        <v>31.6</v>
      </c>
      <c r="D50" s="25">
        <f>SUMPRODUCT(VLOOKUP($A50,'PSES Enroll Snapshot 25-01-17'!$K$5:$AB$327,{10,11},0))-VLOOKUP($A50,'PSES Enroll Snapshot 25-01-17'!$K$5:$AB$327,12,0)</f>
        <v>0</v>
      </c>
      <c r="E50" s="25">
        <f>SUMPRODUCT(VLOOKUP($A50,'PSES Enroll Snapshot 25-01-17'!$K$5:$AB$327,{13,14},0))-SUMPRODUCT(VLOOKUP($A50,'PSES Enroll Snapshot 25-01-17'!$K$5:$AB$327,{15,16,17},0))</f>
        <v>0</v>
      </c>
      <c r="F50" s="33">
        <f>ROUND($C50*'2024-25 Elementary Calculator'!$Q$13/400,3)+ROUND($D50*'2024-25 Middle Calculator'!$O$13/432,3)+ROUND($E50*'2024-25 High Calculator'!$O$13/600,3)</f>
        <v>7.8E-2</v>
      </c>
      <c r="G50" s="33">
        <f>ROUND($C50*'2024-25 Elementary Calculator'!$Q$15/400,3)+ROUND($D50*'2024-25 Middle Calculator'!$O$15/432,3)+ROUND($E50*'2024-25 High Calculator'!$O$15/600,3)</f>
        <v>2.5000000000000001E-2</v>
      </c>
      <c r="H50" s="33">
        <f>ROUND($C50*'2024-25 Elementary Calculator'!$Q$17/400,3)+ROUND($D50*'2024-25 Middle Calculator'!$O$17/432,3)+ROUND($E50*'2024-25 High Calculator'!$O$17/600,3)</f>
        <v>8.0000000000000002E-3</v>
      </c>
      <c r="I50" s="33">
        <f>ROUND($C50*'2024-25 Elementary Calculator'!$Q$18/400,3)+ROUND($D50*'2024-25 Middle Calculator'!$O$18/432,3)+ROUND($E50*'2024-25 High Calculator'!$O$18/600,3)</f>
        <v>4.5999999999999999E-2</v>
      </c>
      <c r="J50" s="166">
        <f t="shared" si="2"/>
        <v>0.15700000000000003</v>
      </c>
      <c r="K50" s="33">
        <f>ROUND($C50*'2024-25 Elementary Calculator'!$Q$23/400,3)+ROUND($D50*'2024-25 Middle Calculator'!$O$23/432,3)+ROUND($E50*'2024-25 High Calculator'!$O$23/600,3)</f>
        <v>6.0000000000000001E-3</v>
      </c>
      <c r="L50" s="33">
        <f>ROUND($C50*'2024-25 Elementary Calculator'!$Q$22/400,3)+ROUND($D50*'2024-25 Middle Calculator'!$O$22/432,3)+ROUND($E50*'2024-25 High Calculator'!$O$22/600,3)</f>
        <v>7.0000000000000001E-3</v>
      </c>
      <c r="M50" s="166">
        <f t="shared" si="3"/>
        <v>1.3000000000000001E-2</v>
      </c>
      <c r="N50" s="33">
        <f>VLOOKUP($A50,'District Summary'!$A$6:$AH$325,29,FALSE)</f>
        <v>0</v>
      </c>
      <c r="O50" s="33">
        <f>VLOOKUP($A50,'District Summary'!$A$6:$AH$325,34,FALSE)</f>
        <v>9.6000000000000002E-2</v>
      </c>
      <c r="P50" s="67">
        <f t="shared" si="4"/>
        <v>-0.15700000000000003</v>
      </c>
      <c r="Q50" s="67">
        <f t="shared" si="5"/>
        <v>8.3000000000000004E-2</v>
      </c>
      <c r="R50" s="67">
        <f t="shared" si="8"/>
        <v>0.17000000000000004</v>
      </c>
      <c r="S50" s="33">
        <f t="shared" si="9"/>
        <v>9.6000000000000002E-2</v>
      </c>
      <c r="T50" s="67">
        <f t="shared" si="6"/>
        <v>-7.3999999999999996E-2</v>
      </c>
      <c r="U50" s="67">
        <f t="shared" si="7"/>
        <v>-7.3999999999999996E-2</v>
      </c>
      <c r="V50" s="273"/>
      <c r="W50" s="273"/>
    </row>
    <row r="51" spans="1:23" x14ac:dyDescent="0.25">
      <c r="A51" t="s">
        <v>52</v>
      </c>
      <c r="B51" t="s">
        <v>348</v>
      </c>
      <c r="C51" s="25">
        <f>SUMPRODUCT(VLOOKUP($A51,'PSES Enroll Snapshot 25-01-17'!$K$5:$AB$327,{2,3,4,5,6,7,8,9},0))</f>
        <v>2951.88</v>
      </c>
      <c r="D51" s="25">
        <f>SUMPRODUCT(VLOOKUP($A51,'PSES Enroll Snapshot 25-01-17'!$K$5:$AB$327,{10,11},0))-VLOOKUP($A51,'PSES Enroll Snapshot 25-01-17'!$K$5:$AB$327,12,0)</f>
        <v>768.73</v>
      </c>
      <c r="E51" s="25">
        <f>SUMPRODUCT(VLOOKUP($A51,'PSES Enroll Snapshot 25-01-17'!$K$5:$AB$327,{13,14},0))-SUMPRODUCT(VLOOKUP($A51,'PSES Enroll Snapshot 25-01-17'!$K$5:$AB$327,{15,16,17},0))</f>
        <v>1222.71</v>
      </c>
      <c r="F51" s="33">
        <f>ROUND($C51*'2024-25 Elementary Calculator'!$Q$13/400,3)+ROUND($D51*'2024-25 Middle Calculator'!$O$13/432,3)+ROUND($E51*'2024-25 High Calculator'!$O$13/600,3)</f>
        <v>16.574999999999999</v>
      </c>
      <c r="G51" s="33">
        <f>ROUND($C51*'2024-25 Elementary Calculator'!$Q$15/400,3)+ROUND($D51*'2024-25 Middle Calculator'!$O$15/432,3)+ROUND($E51*'2024-25 High Calculator'!$O$15/600,3)</f>
        <v>2.7109999999999999</v>
      </c>
      <c r="H51" s="33">
        <f>ROUND($C51*'2024-25 Elementary Calculator'!$Q$17/400,3)+ROUND($D51*'2024-25 Middle Calculator'!$O$17/432,3)+ROUND($E51*'2024-25 High Calculator'!$O$17/600,3)</f>
        <v>0.91</v>
      </c>
      <c r="I51" s="33">
        <f>ROUND($C51*'2024-25 Elementary Calculator'!$Q$18/400,3)+ROUND($D51*'2024-25 Middle Calculator'!$O$18/432,3)+ROUND($E51*'2024-25 High Calculator'!$O$18/600,3)</f>
        <v>7.5760000000000005</v>
      </c>
      <c r="J51" s="166">
        <f t="shared" si="2"/>
        <v>27.771999999999998</v>
      </c>
      <c r="K51" s="33">
        <f>ROUND($C51*'2024-25 Elementary Calculator'!$Q$23/400,3)+ROUND($D51*'2024-25 Middle Calculator'!$O$23/432,3)+ROUND($E51*'2024-25 High Calculator'!$O$23/600,3)</f>
        <v>1.034</v>
      </c>
      <c r="L51" s="33">
        <f>ROUND($C51*'2024-25 Elementary Calculator'!$Q$22/400,3)+ROUND($D51*'2024-25 Middle Calculator'!$O$22/432,3)+ROUND($E51*'2024-25 High Calculator'!$O$22/600,3)</f>
        <v>0.60899999999999999</v>
      </c>
      <c r="M51" s="166">
        <f t="shared" si="3"/>
        <v>1.643</v>
      </c>
      <c r="N51" s="33">
        <f>VLOOKUP($A51,'District Summary'!$A$6:$AH$325,29,FALSE)</f>
        <v>22.112999999999996</v>
      </c>
      <c r="O51" s="33">
        <f>VLOOKUP($A51,'District Summary'!$A$6:$AH$325,34,FALSE)</f>
        <v>22.277999999999999</v>
      </c>
      <c r="P51" s="67">
        <f t="shared" si="4"/>
        <v>-5.6590000000000025</v>
      </c>
      <c r="Q51" s="67">
        <f t="shared" si="5"/>
        <v>20.634999999999998</v>
      </c>
      <c r="R51" s="67">
        <f t="shared" si="8"/>
        <v>29.414999999999999</v>
      </c>
      <c r="S51" s="33">
        <f t="shared" si="9"/>
        <v>44.390999999999991</v>
      </c>
      <c r="T51" s="67">
        <f t="shared" si="6"/>
        <v>14.976000000000001</v>
      </c>
      <c r="U51" s="67">
        <f t="shared" si="7"/>
        <v>0</v>
      </c>
      <c r="V51" s="273"/>
      <c r="W51" s="273"/>
    </row>
    <row r="52" spans="1:23" x14ac:dyDescent="0.25">
      <c r="A52" t="s">
        <v>53</v>
      </c>
      <c r="B52" t="s">
        <v>349</v>
      </c>
      <c r="C52" s="25">
        <f>SUMPRODUCT(VLOOKUP($A52,'PSES Enroll Snapshot 25-01-17'!$K$5:$AB$327,{2,3,4,5,6,7,8,9},0))</f>
        <v>54.2</v>
      </c>
      <c r="D52" s="25">
        <f>SUMPRODUCT(VLOOKUP($A52,'PSES Enroll Snapshot 25-01-17'!$K$5:$AB$327,{10,11},0))-VLOOKUP($A52,'PSES Enroll Snapshot 25-01-17'!$K$5:$AB$327,12,0)</f>
        <v>17.900000000000002</v>
      </c>
      <c r="E52" s="25">
        <f>SUMPRODUCT(VLOOKUP($A52,'PSES Enroll Snapshot 25-01-17'!$K$5:$AB$327,{13,14},0))-SUMPRODUCT(VLOOKUP($A52,'PSES Enroll Snapshot 25-01-17'!$K$5:$AB$327,{15,16,17},0))</f>
        <v>18.409999999999997</v>
      </c>
      <c r="F52" s="33">
        <f>ROUND($C52*'2024-25 Elementary Calculator'!$Q$13/400,3)+ROUND($D52*'2024-25 Middle Calculator'!$O$13/432,3)+ROUND($E52*'2024-25 High Calculator'!$O$13/600,3)</f>
        <v>0.29900000000000004</v>
      </c>
      <c r="G52" s="33">
        <f>ROUND($C52*'2024-25 Elementary Calculator'!$Q$15/400,3)+ROUND($D52*'2024-25 Middle Calculator'!$O$15/432,3)+ROUND($E52*'2024-25 High Calculator'!$O$15/600,3)</f>
        <v>0.05</v>
      </c>
      <c r="H52" s="33">
        <f>ROUND($C52*'2024-25 Elementary Calculator'!$Q$17/400,3)+ROUND($D52*'2024-25 Middle Calculator'!$O$17/432,3)+ROUND($E52*'2024-25 High Calculator'!$O$17/600,3)</f>
        <v>1.7000000000000001E-2</v>
      </c>
      <c r="I52" s="33">
        <f>ROUND($C52*'2024-25 Elementary Calculator'!$Q$18/400,3)+ROUND($D52*'2024-25 Middle Calculator'!$O$18/432,3)+ROUND($E52*'2024-25 High Calculator'!$O$18/600,3)</f>
        <v>0.14099999999999999</v>
      </c>
      <c r="J52" s="166">
        <f t="shared" si="2"/>
        <v>0.50700000000000001</v>
      </c>
      <c r="K52" s="33">
        <f>ROUND($C52*'2024-25 Elementary Calculator'!$Q$23/400,3)+ROUND($D52*'2024-25 Middle Calculator'!$O$23/432,3)+ROUND($E52*'2024-25 High Calculator'!$O$23/600,3)</f>
        <v>1.9E-2</v>
      </c>
      <c r="L52" s="33">
        <f>ROUND($C52*'2024-25 Elementary Calculator'!$Q$22/400,3)+ROUND($D52*'2024-25 Middle Calculator'!$O$22/432,3)+ROUND($E52*'2024-25 High Calculator'!$O$22/600,3)</f>
        <v>1.0999999999999999E-2</v>
      </c>
      <c r="M52" s="166">
        <f t="shared" si="3"/>
        <v>0.03</v>
      </c>
      <c r="N52" s="33">
        <f>VLOOKUP($A52,'District Summary'!$A$6:$AH$325,29,FALSE)</f>
        <v>0</v>
      </c>
      <c r="O52" s="33">
        <f>VLOOKUP($A52,'District Summary'!$A$6:$AH$325,34,FALSE)</f>
        <v>0.63600000000000001</v>
      </c>
      <c r="P52" s="67">
        <f t="shared" si="4"/>
        <v>-0.50700000000000001</v>
      </c>
      <c r="Q52" s="67">
        <f t="shared" si="5"/>
        <v>0.60599999999999998</v>
      </c>
      <c r="R52" s="67">
        <f t="shared" si="8"/>
        <v>0.53700000000000003</v>
      </c>
      <c r="S52" s="33">
        <f t="shared" si="9"/>
        <v>0.63600000000000001</v>
      </c>
      <c r="T52" s="67">
        <f t="shared" si="6"/>
        <v>9.9000000000000005E-2</v>
      </c>
      <c r="U52" s="67">
        <f t="shared" si="7"/>
        <v>0</v>
      </c>
      <c r="V52" s="273"/>
      <c r="W52" s="273"/>
    </row>
    <row r="53" spans="1:23" x14ac:dyDescent="0.25">
      <c r="A53" t="s">
        <v>54</v>
      </c>
      <c r="B53" t="s">
        <v>350</v>
      </c>
      <c r="C53" s="25">
        <f>SUMPRODUCT(VLOOKUP($A53,'PSES Enroll Snapshot 25-01-17'!$K$5:$AB$327,{2,3,4,5,6,7,8,9},0))</f>
        <v>141.1</v>
      </c>
      <c r="D53" s="25">
        <f>SUMPRODUCT(VLOOKUP($A53,'PSES Enroll Snapshot 25-01-17'!$K$5:$AB$327,{10,11},0))-VLOOKUP($A53,'PSES Enroll Snapshot 25-01-17'!$K$5:$AB$327,12,0)</f>
        <v>33.380000000000003</v>
      </c>
      <c r="E53" s="25">
        <f>SUMPRODUCT(VLOOKUP($A53,'PSES Enroll Snapshot 25-01-17'!$K$5:$AB$327,{13,14},0))-SUMPRODUCT(VLOOKUP($A53,'PSES Enroll Snapshot 25-01-17'!$K$5:$AB$327,{15,16,17},0))</f>
        <v>47.84</v>
      </c>
      <c r="F53" s="33">
        <f>ROUND($C53*'2024-25 Elementary Calculator'!$Q$13/400,3)+ROUND($D53*'2024-25 Middle Calculator'!$O$13/432,3)+ROUND($E53*'2024-25 High Calculator'!$O$13/600,3)</f>
        <v>0.72499999999999998</v>
      </c>
      <c r="G53" s="33">
        <f>ROUND($C53*'2024-25 Elementary Calculator'!$Q$15/400,3)+ROUND($D53*'2024-25 Middle Calculator'!$O$15/432,3)+ROUND($E53*'2024-25 High Calculator'!$O$15/600,3)</f>
        <v>0.127</v>
      </c>
      <c r="H53" s="33">
        <f>ROUND($C53*'2024-25 Elementary Calculator'!$Q$17/400,3)+ROUND($D53*'2024-25 Middle Calculator'!$O$17/432,3)+ROUND($E53*'2024-25 High Calculator'!$O$17/600,3)</f>
        <v>4.2999999999999997E-2</v>
      </c>
      <c r="I53" s="33">
        <f>ROUND($C53*'2024-25 Elementary Calculator'!$Q$18/400,3)+ROUND($D53*'2024-25 Middle Calculator'!$O$18/432,3)+ROUND($E53*'2024-25 High Calculator'!$O$18/600,3)</f>
        <v>0.34100000000000003</v>
      </c>
      <c r="J53" s="166">
        <f t="shared" si="2"/>
        <v>1.236</v>
      </c>
      <c r="K53" s="33">
        <f>ROUND($C53*'2024-25 Elementary Calculator'!$Q$23/400,3)+ROUND($D53*'2024-25 Middle Calculator'!$O$23/432,3)+ROUND($E53*'2024-25 High Calculator'!$O$23/600,3)</f>
        <v>4.5999999999999999E-2</v>
      </c>
      <c r="L53" s="33">
        <f>ROUND($C53*'2024-25 Elementary Calculator'!$Q$22/400,3)+ROUND($D53*'2024-25 Middle Calculator'!$O$22/432,3)+ROUND($E53*'2024-25 High Calculator'!$O$22/600,3)</f>
        <v>2.9000000000000001E-2</v>
      </c>
      <c r="M53" s="166">
        <f t="shared" si="3"/>
        <v>7.4999999999999997E-2</v>
      </c>
      <c r="N53" s="33">
        <f>VLOOKUP($A53,'District Summary'!$A$6:$AH$325,29,FALSE)</f>
        <v>0.49</v>
      </c>
      <c r="O53" s="33">
        <f>VLOOKUP($A53,'District Summary'!$A$6:$AH$325,34,FALSE)</f>
        <v>0.64600000000000002</v>
      </c>
      <c r="P53" s="67">
        <f t="shared" si="4"/>
        <v>-0.746</v>
      </c>
      <c r="Q53" s="67">
        <f t="shared" si="5"/>
        <v>0.57100000000000006</v>
      </c>
      <c r="R53" s="67">
        <f t="shared" si="8"/>
        <v>1.3109999999999999</v>
      </c>
      <c r="S53" s="33">
        <f t="shared" si="9"/>
        <v>1.1360000000000001</v>
      </c>
      <c r="T53" s="67">
        <f t="shared" si="6"/>
        <v>-0.17499999999999999</v>
      </c>
      <c r="U53" s="67">
        <f t="shared" si="7"/>
        <v>-0.17499999999999999</v>
      </c>
      <c r="V53" s="273"/>
      <c r="W53" s="273"/>
    </row>
    <row r="54" spans="1:23" x14ac:dyDescent="0.25">
      <c r="A54" t="s">
        <v>55</v>
      </c>
      <c r="B54" t="s">
        <v>351</v>
      </c>
      <c r="C54" s="25">
        <f>SUMPRODUCT(VLOOKUP($A54,'PSES Enroll Snapshot 25-01-17'!$K$5:$AB$327,{2,3,4,5,6,7,8,9},0))</f>
        <v>38.200000000000003</v>
      </c>
      <c r="D54" s="25">
        <f>SUMPRODUCT(VLOOKUP($A54,'PSES Enroll Snapshot 25-01-17'!$K$5:$AB$327,{10,11},0))-VLOOKUP($A54,'PSES Enroll Snapshot 25-01-17'!$K$5:$AB$327,12,0)</f>
        <v>0</v>
      </c>
      <c r="E54" s="25">
        <f>SUMPRODUCT(VLOOKUP($A54,'PSES Enroll Snapshot 25-01-17'!$K$5:$AB$327,{13,14},0))-SUMPRODUCT(VLOOKUP($A54,'PSES Enroll Snapshot 25-01-17'!$K$5:$AB$327,{15,16,17},0))</f>
        <v>0</v>
      </c>
      <c r="F54" s="33">
        <f>ROUND($C54*'2024-25 Elementary Calculator'!$Q$13/400,3)+ROUND($D54*'2024-25 Middle Calculator'!$O$13/432,3)+ROUND($E54*'2024-25 High Calculator'!$O$13/600,3)</f>
        <v>9.5000000000000001E-2</v>
      </c>
      <c r="G54" s="33">
        <f>ROUND($C54*'2024-25 Elementary Calculator'!$Q$15/400,3)+ROUND($D54*'2024-25 Middle Calculator'!$O$15/432,3)+ROUND($E54*'2024-25 High Calculator'!$O$15/600,3)</f>
        <v>0.03</v>
      </c>
      <c r="H54" s="33">
        <f>ROUND($C54*'2024-25 Elementary Calculator'!$Q$17/400,3)+ROUND($D54*'2024-25 Middle Calculator'!$O$17/432,3)+ROUND($E54*'2024-25 High Calculator'!$O$17/600,3)</f>
        <v>0.01</v>
      </c>
      <c r="I54" s="33">
        <f>ROUND($C54*'2024-25 Elementary Calculator'!$Q$18/400,3)+ROUND($D54*'2024-25 Middle Calculator'!$O$18/432,3)+ROUND($E54*'2024-25 High Calculator'!$O$18/600,3)</f>
        <v>5.6000000000000001E-2</v>
      </c>
      <c r="J54" s="166">
        <f t="shared" si="2"/>
        <v>0.191</v>
      </c>
      <c r="K54" s="33">
        <f>ROUND($C54*'2024-25 Elementary Calculator'!$Q$23/400,3)+ROUND($D54*'2024-25 Middle Calculator'!$O$23/432,3)+ROUND($E54*'2024-25 High Calculator'!$O$23/600,3)</f>
        <v>8.0000000000000002E-3</v>
      </c>
      <c r="L54" s="33">
        <f>ROUND($C54*'2024-25 Elementary Calculator'!$Q$22/400,3)+ROUND($D54*'2024-25 Middle Calculator'!$O$22/432,3)+ROUND($E54*'2024-25 High Calculator'!$O$22/600,3)</f>
        <v>8.0000000000000002E-3</v>
      </c>
      <c r="M54" s="166">
        <f t="shared" si="3"/>
        <v>1.6E-2</v>
      </c>
      <c r="N54" s="33">
        <f>VLOOKUP($A54,'District Summary'!$A$6:$AH$325,29,FALSE)</f>
        <v>0</v>
      </c>
      <c r="O54" s="33">
        <f>VLOOKUP($A54,'District Summary'!$A$6:$AH$325,34,FALSE)</f>
        <v>0.22900000000000001</v>
      </c>
      <c r="P54" s="67">
        <f t="shared" si="4"/>
        <v>-0.191</v>
      </c>
      <c r="Q54" s="67">
        <f t="shared" si="5"/>
        <v>0.21300000000000002</v>
      </c>
      <c r="R54" s="67">
        <f t="shared" si="8"/>
        <v>0.20700000000000002</v>
      </c>
      <c r="S54" s="33">
        <f t="shared" si="9"/>
        <v>0.22900000000000001</v>
      </c>
      <c r="T54" s="67">
        <f t="shared" si="6"/>
        <v>2.1999999999999999E-2</v>
      </c>
      <c r="U54" s="67">
        <f t="shared" si="7"/>
        <v>0</v>
      </c>
      <c r="V54" s="273"/>
      <c r="W54" s="273"/>
    </row>
    <row r="55" spans="1:23" x14ac:dyDescent="0.25">
      <c r="A55" t="s">
        <v>56</v>
      </c>
      <c r="B55" t="s">
        <v>352</v>
      </c>
      <c r="C55" s="25">
        <f>SUMPRODUCT(VLOOKUP($A55,'PSES Enroll Snapshot 25-01-17'!$K$5:$AB$327,{2,3,4,5,6,7,8,9},0))</f>
        <v>95.199999999999989</v>
      </c>
      <c r="D55" s="25">
        <f>SUMPRODUCT(VLOOKUP($A55,'PSES Enroll Snapshot 25-01-17'!$K$5:$AB$327,{10,11},0))-VLOOKUP($A55,'PSES Enroll Snapshot 25-01-17'!$K$5:$AB$327,12,0)</f>
        <v>30.4</v>
      </c>
      <c r="E55" s="25">
        <f>SUMPRODUCT(VLOOKUP($A55,'PSES Enroll Snapshot 25-01-17'!$K$5:$AB$327,{13,14},0))-SUMPRODUCT(VLOOKUP($A55,'PSES Enroll Snapshot 25-01-17'!$K$5:$AB$327,{15,16,17},0))</f>
        <v>58.95</v>
      </c>
      <c r="F55" s="33">
        <f>ROUND($C55*'2024-25 Elementary Calculator'!$Q$13/400,3)+ROUND($D55*'2024-25 Middle Calculator'!$O$13/432,3)+ROUND($E55*'2024-25 High Calculator'!$O$13/600,3)</f>
        <v>0.65599999999999992</v>
      </c>
      <c r="G55" s="33">
        <f>ROUND($C55*'2024-25 Elementary Calculator'!$Q$15/400,3)+ROUND($D55*'2024-25 Middle Calculator'!$O$15/432,3)+ROUND($E55*'2024-25 High Calculator'!$O$15/600,3)</f>
        <v>9.1999999999999998E-2</v>
      </c>
      <c r="H55" s="33">
        <f>ROUND($C55*'2024-25 Elementary Calculator'!$Q$17/400,3)+ROUND($D55*'2024-25 Middle Calculator'!$O$17/432,3)+ROUND($E55*'2024-25 High Calculator'!$O$17/600,3)</f>
        <v>3.2000000000000001E-2</v>
      </c>
      <c r="I55" s="33">
        <f>ROUND($C55*'2024-25 Elementary Calculator'!$Q$18/400,3)+ROUND($D55*'2024-25 Middle Calculator'!$O$18/432,3)+ROUND($E55*'2024-25 High Calculator'!$O$18/600,3)</f>
        <v>0.28200000000000003</v>
      </c>
      <c r="J55" s="166">
        <f t="shared" si="2"/>
        <v>1.0619999999999998</v>
      </c>
      <c r="K55" s="33">
        <f>ROUND($C55*'2024-25 Elementary Calculator'!$Q$23/400,3)+ROUND($D55*'2024-25 Middle Calculator'!$O$23/432,3)+ROUND($E55*'2024-25 High Calculator'!$O$23/600,3)</f>
        <v>3.9E-2</v>
      </c>
      <c r="L55" s="33">
        <f>ROUND($C55*'2024-25 Elementary Calculator'!$Q$22/400,3)+ROUND($D55*'2024-25 Middle Calculator'!$O$22/432,3)+ROUND($E55*'2024-25 High Calculator'!$O$22/600,3)</f>
        <v>0.02</v>
      </c>
      <c r="M55" s="166">
        <f t="shared" si="3"/>
        <v>5.8999999999999997E-2</v>
      </c>
      <c r="N55" s="33">
        <f>VLOOKUP($A55,'District Summary'!$A$6:$AH$325,29,FALSE)</f>
        <v>0.5</v>
      </c>
      <c r="O55" s="33">
        <f>VLOOKUP($A55,'District Summary'!$A$6:$AH$325,34,FALSE)</f>
        <v>0</v>
      </c>
      <c r="P55" s="67">
        <f t="shared" si="4"/>
        <v>-0.56199999999999983</v>
      </c>
      <c r="Q55" s="67">
        <f t="shared" si="5"/>
        <v>-5.8999999999999997E-2</v>
      </c>
      <c r="R55" s="67">
        <f t="shared" si="8"/>
        <v>1.1209999999999998</v>
      </c>
      <c r="S55" s="33">
        <f t="shared" si="9"/>
        <v>0.5</v>
      </c>
      <c r="T55" s="67">
        <f t="shared" si="6"/>
        <v>-0.621</v>
      </c>
      <c r="U55" s="67">
        <f t="shared" si="7"/>
        <v>-0.621</v>
      </c>
      <c r="V55" s="273"/>
      <c r="W55" s="273"/>
    </row>
    <row r="56" spans="1:23" x14ac:dyDescent="0.25">
      <c r="A56" t="s">
        <v>57</v>
      </c>
      <c r="B56" t="s">
        <v>353</v>
      </c>
      <c r="C56" s="25">
        <f>SUMPRODUCT(VLOOKUP($A56,'PSES Enroll Snapshot 25-01-17'!$K$5:$AB$327,{2,3,4,5,6,7,8,9},0))</f>
        <v>34.6</v>
      </c>
      <c r="D56" s="25">
        <f>SUMPRODUCT(VLOOKUP($A56,'PSES Enroll Snapshot 25-01-17'!$K$5:$AB$327,{10,11},0))-VLOOKUP($A56,'PSES Enroll Snapshot 25-01-17'!$K$5:$AB$327,12,0)</f>
        <v>7.8</v>
      </c>
      <c r="E56" s="25">
        <f>SUMPRODUCT(VLOOKUP($A56,'PSES Enroll Snapshot 25-01-17'!$K$5:$AB$327,{13,14},0))-SUMPRODUCT(VLOOKUP($A56,'PSES Enroll Snapshot 25-01-17'!$K$5:$AB$327,{15,16,17},0))</f>
        <v>0</v>
      </c>
      <c r="F56" s="33">
        <f>ROUND($C56*'2024-25 Elementary Calculator'!$Q$13/400,3)+ROUND($D56*'2024-25 Middle Calculator'!$O$13/432,3)+ROUND($E56*'2024-25 High Calculator'!$O$13/600,3)</f>
        <v>0.11699999999999999</v>
      </c>
      <c r="G56" s="33">
        <f>ROUND($C56*'2024-25 Elementary Calculator'!$Q$15/400,3)+ROUND($D56*'2024-25 Middle Calculator'!$O$15/432,3)+ROUND($E56*'2024-25 High Calculator'!$O$15/600,3)</f>
        <v>2.8999999999999998E-2</v>
      </c>
      <c r="H56" s="33">
        <f>ROUND($C56*'2024-25 Elementary Calculator'!$Q$17/400,3)+ROUND($D56*'2024-25 Middle Calculator'!$O$17/432,3)+ROUND($E56*'2024-25 High Calculator'!$O$17/600,3)</f>
        <v>8.9999999999999993E-3</v>
      </c>
      <c r="I56" s="33">
        <f>ROUND($C56*'2024-25 Elementary Calculator'!$Q$18/400,3)+ROUND($D56*'2024-25 Middle Calculator'!$O$18/432,3)+ROUND($E56*'2024-25 High Calculator'!$O$18/600,3)</f>
        <v>6.7000000000000004E-2</v>
      </c>
      <c r="J56" s="166">
        <f t="shared" si="2"/>
        <v>0.222</v>
      </c>
      <c r="K56" s="33">
        <f>ROUND($C56*'2024-25 Elementary Calculator'!$Q$23/400,3)+ROUND($D56*'2024-25 Middle Calculator'!$O$23/432,3)+ROUND($E56*'2024-25 High Calculator'!$O$23/600,3)</f>
        <v>9.0000000000000011E-3</v>
      </c>
      <c r="L56" s="33">
        <f>ROUND($C56*'2024-25 Elementary Calculator'!$Q$22/400,3)+ROUND($D56*'2024-25 Middle Calculator'!$O$22/432,3)+ROUND($E56*'2024-25 High Calculator'!$O$22/600,3)</f>
        <v>7.0000000000000001E-3</v>
      </c>
      <c r="M56" s="166">
        <f t="shared" si="3"/>
        <v>1.6E-2</v>
      </c>
      <c r="N56" s="33">
        <f>VLOOKUP($A56,'District Summary'!$A$6:$AH$325,29,FALSE)</f>
        <v>0</v>
      </c>
      <c r="O56" s="33">
        <f>VLOOKUP($A56,'District Summary'!$A$6:$AH$325,34,FALSE)</f>
        <v>0.11899999999999999</v>
      </c>
      <c r="P56" s="67">
        <f t="shared" si="4"/>
        <v>-0.222</v>
      </c>
      <c r="Q56" s="67">
        <f t="shared" si="5"/>
        <v>0.10299999999999999</v>
      </c>
      <c r="R56" s="67">
        <f t="shared" si="8"/>
        <v>0.23799999999999999</v>
      </c>
      <c r="S56" s="33">
        <f t="shared" si="9"/>
        <v>0.11899999999999999</v>
      </c>
      <c r="T56" s="67">
        <f t="shared" si="6"/>
        <v>-0.11899999999999999</v>
      </c>
      <c r="U56" s="67">
        <f t="shared" si="7"/>
        <v>-0.11899999999999999</v>
      </c>
      <c r="V56" s="273"/>
      <c r="W56" s="273"/>
    </row>
    <row r="57" spans="1:23" x14ac:dyDescent="0.25">
      <c r="A57" t="s">
        <v>58</v>
      </c>
      <c r="B57" t="s">
        <v>354</v>
      </c>
      <c r="C57" s="25">
        <f>SUMPRODUCT(VLOOKUP($A57,'PSES Enroll Snapshot 25-01-17'!$K$5:$AB$327,{2,3,4,5,6,7,8,9},0))</f>
        <v>93.2</v>
      </c>
      <c r="D57" s="25">
        <f>SUMPRODUCT(VLOOKUP($A57,'PSES Enroll Snapshot 25-01-17'!$K$5:$AB$327,{10,11},0))-VLOOKUP($A57,'PSES Enroll Snapshot 25-01-17'!$K$5:$AB$327,12,0)</f>
        <v>29.459999999999997</v>
      </c>
      <c r="E57" s="25">
        <f>SUMPRODUCT(VLOOKUP($A57,'PSES Enroll Snapshot 25-01-17'!$K$5:$AB$327,{13,14},0))-SUMPRODUCT(VLOOKUP($A57,'PSES Enroll Snapshot 25-01-17'!$K$5:$AB$327,{15,16,17},0))</f>
        <v>44.91</v>
      </c>
      <c r="F57" s="33">
        <f>ROUND($C57*'2024-25 Elementary Calculator'!$Q$13/400,3)+ROUND($D57*'2024-25 Middle Calculator'!$O$13/432,3)+ROUND($E57*'2024-25 High Calculator'!$O$13/600,3)</f>
        <v>0.57500000000000007</v>
      </c>
      <c r="G57" s="33">
        <f>ROUND($C57*'2024-25 Elementary Calculator'!$Q$15/400,3)+ROUND($D57*'2024-25 Middle Calculator'!$O$15/432,3)+ROUND($E57*'2024-25 High Calculator'!$O$15/600,3)</f>
        <v>8.7999999999999995E-2</v>
      </c>
      <c r="H57" s="33">
        <f>ROUND($C57*'2024-25 Elementary Calculator'!$Q$17/400,3)+ROUND($D57*'2024-25 Middle Calculator'!$O$17/432,3)+ROUND($E57*'2024-25 High Calculator'!$O$17/600,3)</f>
        <v>3.0000000000000002E-2</v>
      </c>
      <c r="I57" s="33">
        <f>ROUND($C57*'2024-25 Elementary Calculator'!$Q$18/400,3)+ROUND($D57*'2024-25 Middle Calculator'!$O$18/432,3)+ROUND($E57*'2024-25 High Calculator'!$O$18/600,3)</f>
        <v>0.25900000000000001</v>
      </c>
      <c r="J57" s="166">
        <f t="shared" si="2"/>
        <v>0.95200000000000007</v>
      </c>
      <c r="K57" s="33">
        <f>ROUND($C57*'2024-25 Elementary Calculator'!$Q$23/400,3)+ROUND($D57*'2024-25 Middle Calculator'!$O$23/432,3)+ROUND($E57*'2024-25 High Calculator'!$O$23/600,3)</f>
        <v>3.5000000000000003E-2</v>
      </c>
      <c r="L57" s="33">
        <f>ROUND($C57*'2024-25 Elementary Calculator'!$Q$22/400,3)+ROUND($D57*'2024-25 Middle Calculator'!$O$22/432,3)+ROUND($E57*'2024-25 High Calculator'!$O$22/600,3)</f>
        <v>1.9E-2</v>
      </c>
      <c r="M57" s="166">
        <f t="shared" si="3"/>
        <v>5.4000000000000006E-2</v>
      </c>
      <c r="N57" s="33">
        <f>VLOOKUP($A57,'District Summary'!$A$6:$AH$325,29,FALSE)</f>
        <v>1.75</v>
      </c>
      <c r="O57" s="33">
        <f>VLOOKUP($A57,'District Summary'!$A$6:$AH$325,34,FALSE)</f>
        <v>3.7999999999999999E-2</v>
      </c>
      <c r="P57" s="67">
        <f t="shared" si="4"/>
        <v>0.79799999999999993</v>
      </c>
      <c r="Q57" s="67">
        <f t="shared" si="5"/>
        <v>-1.6000000000000007E-2</v>
      </c>
      <c r="R57" s="67">
        <f t="shared" si="8"/>
        <v>1.006</v>
      </c>
      <c r="S57" s="33">
        <f t="shared" si="9"/>
        <v>1.788</v>
      </c>
      <c r="T57" s="67">
        <f t="shared" si="6"/>
        <v>0.78200000000000003</v>
      </c>
      <c r="U57" s="67">
        <f t="shared" si="7"/>
        <v>0</v>
      </c>
      <c r="V57" s="273"/>
      <c r="W57" s="273"/>
    </row>
    <row r="58" spans="1:23" x14ac:dyDescent="0.25">
      <c r="A58" t="s">
        <v>59</v>
      </c>
      <c r="B58" t="s">
        <v>355</v>
      </c>
      <c r="C58" s="25">
        <f>SUMPRODUCT(VLOOKUP($A58,'PSES Enroll Snapshot 25-01-17'!$K$5:$AB$327,{2,3,4,5,6,7,8,9},0))</f>
        <v>170.79000000000002</v>
      </c>
      <c r="D58" s="25">
        <f>SUMPRODUCT(VLOOKUP($A58,'PSES Enroll Snapshot 25-01-17'!$K$5:$AB$327,{10,11},0))-VLOOKUP($A58,'PSES Enroll Snapshot 25-01-17'!$K$5:$AB$327,12,0)</f>
        <v>60.56</v>
      </c>
      <c r="E58" s="25">
        <f>SUMPRODUCT(VLOOKUP($A58,'PSES Enroll Snapshot 25-01-17'!$K$5:$AB$327,{13,14},0))-SUMPRODUCT(VLOOKUP($A58,'PSES Enroll Snapshot 25-01-17'!$K$5:$AB$327,{15,16,17},0))</f>
        <v>78.2</v>
      </c>
      <c r="F58" s="33">
        <f>ROUND($C58*'2024-25 Elementary Calculator'!$Q$13/400,3)+ROUND($D58*'2024-25 Middle Calculator'!$O$13/432,3)+ROUND($E58*'2024-25 High Calculator'!$O$13/600,3)</f>
        <v>1.0609999999999999</v>
      </c>
      <c r="G58" s="33">
        <f>ROUND($C58*'2024-25 Elementary Calculator'!$Q$15/400,3)+ROUND($D58*'2024-25 Middle Calculator'!$O$15/432,3)+ROUND($E58*'2024-25 High Calculator'!$O$15/600,3)</f>
        <v>0.16200000000000003</v>
      </c>
      <c r="H58" s="33">
        <f>ROUND($C58*'2024-25 Elementary Calculator'!$Q$17/400,3)+ROUND($D58*'2024-25 Middle Calculator'!$O$17/432,3)+ROUND($E58*'2024-25 High Calculator'!$O$17/600,3)</f>
        <v>5.2999999999999999E-2</v>
      </c>
      <c r="I58" s="33">
        <f>ROUND($C58*'2024-25 Elementary Calculator'!$Q$18/400,3)+ROUND($D58*'2024-25 Middle Calculator'!$O$18/432,3)+ROUND($E58*'2024-25 High Calculator'!$O$18/600,3)</f>
        <v>0.48099999999999998</v>
      </c>
      <c r="J58" s="166">
        <f t="shared" si="2"/>
        <v>1.7569999999999997</v>
      </c>
      <c r="K58" s="33">
        <f>ROUND($C58*'2024-25 Elementary Calculator'!$Q$23/400,3)+ROUND($D58*'2024-25 Middle Calculator'!$O$23/432,3)+ROUND($E58*'2024-25 High Calculator'!$O$23/600,3)</f>
        <v>6.5000000000000002E-2</v>
      </c>
      <c r="L58" s="33">
        <f>ROUND($C58*'2024-25 Elementary Calculator'!$Q$22/400,3)+ROUND($D58*'2024-25 Middle Calculator'!$O$22/432,3)+ROUND($E58*'2024-25 High Calculator'!$O$22/600,3)</f>
        <v>3.5000000000000003E-2</v>
      </c>
      <c r="M58" s="166">
        <f t="shared" si="3"/>
        <v>0.1</v>
      </c>
      <c r="N58" s="33">
        <f>VLOOKUP($A58,'District Summary'!$A$6:$AH$325,29,FALSE)</f>
        <v>0</v>
      </c>
      <c r="O58" s="33">
        <f>VLOOKUP($A58,'District Summary'!$A$6:$AH$325,34,FALSE)</f>
        <v>1.095</v>
      </c>
      <c r="P58" s="67">
        <f t="shared" si="4"/>
        <v>-1.7569999999999997</v>
      </c>
      <c r="Q58" s="67">
        <f t="shared" si="5"/>
        <v>0.995</v>
      </c>
      <c r="R58" s="67">
        <f t="shared" si="8"/>
        <v>1.8569999999999998</v>
      </c>
      <c r="S58" s="33">
        <f t="shared" si="9"/>
        <v>1.095</v>
      </c>
      <c r="T58" s="67">
        <f t="shared" si="6"/>
        <v>-0.76200000000000001</v>
      </c>
      <c r="U58" s="67">
        <f t="shared" si="7"/>
        <v>-0.76200000000000001</v>
      </c>
      <c r="V58" s="273"/>
      <c r="W58" s="273"/>
    </row>
    <row r="59" spans="1:23" x14ac:dyDescent="0.25">
      <c r="A59" t="s">
        <v>60</v>
      </c>
      <c r="B59" t="s">
        <v>356</v>
      </c>
      <c r="C59" s="25">
        <f>SUMPRODUCT(VLOOKUP($A59,'PSES Enroll Snapshot 25-01-17'!$K$5:$AB$327,{2,3,4,5,6,7,8,9},0))</f>
        <v>9543.41</v>
      </c>
      <c r="D59" s="25">
        <f>SUMPRODUCT(VLOOKUP($A59,'PSES Enroll Snapshot 25-01-17'!$K$5:$AB$327,{10,11},0))-VLOOKUP($A59,'PSES Enroll Snapshot 25-01-17'!$K$5:$AB$327,12,0)</f>
        <v>2631.75</v>
      </c>
      <c r="E59" s="25">
        <f>SUMPRODUCT(VLOOKUP($A59,'PSES Enroll Snapshot 25-01-17'!$K$5:$AB$327,{13,14},0))-SUMPRODUCT(VLOOKUP($A59,'PSES Enroll Snapshot 25-01-17'!$K$5:$AB$327,{15,16,17},0))</f>
        <v>3948.2</v>
      </c>
      <c r="F59" s="33">
        <f>ROUND($C59*'2024-25 Elementary Calculator'!$Q$13/400,3)+ROUND($D59*'2024-25 Middle Calculator'!$O$13/432,3)+ROUND($E59*'2024-25 High Calculator'!$O$13/600,3)</f>
        <v>54.144000000000005</v>
      </c>
      <c r="G59" s="33">
        <f>ROUND($C59*'2024-25 Elementary Calculator'!$Q$15/400,3)+ROUND($D59*'2024-25 Middle Calculator'!$O$15/432,3)+ROUND($E59*'2024-25 High Calculator'!$O$15/600,3)</f>
        <v>8.7919999999999998</v>
      </c>
      <c r="H59" s="33">
        <f>ROUND($C59*'2024-25 Elementary Calculator'!$Q$17/400,3)+ROUND($D59*'2024-25 Middle Calculator'!$O$17/432,3)+ROUND($E59*'2024-25 High Calculator'!$O$17/600,3)</f>
        <v>2.9489999999999998</v>
      </c>
      <c r="I59" s="33">
        <f>ROUND($C59*'2024-25 Elementary Calculator'!$Q$18/400,3)+ROUND($D59*'2024-25 Middle Calculator'!$O$18/432,3)+ROUND($E59*'2024-25 High Calculator'!$O$18/600,3)</f>
        <v>24.789000000000001</v>
      </c>
      <c r="J59" s="166">
        <f t="shared" si="2"/>
        <v>90.674000000000007</v>
      </c>
      <c r="K59" s="33">
        <f>ROUND($C59*'2024-25 Elementary Calculator'!$Q$23/400,3)+ROUND($D59*'2024-25 Middle Calculator'!$O$23/432,3)+ROUND($E59*'2024-25 High Calculator'!$O$23/600,3)</f>
        <v>3.3730000000000002</v>
      </c>
      <c r="L59" s="33">
        <f>ROUND($C59*'2024-25 Elementary Calculator'!$Q$22/400,3)+ROUND($D59*'2024-25 Middle Calculator'!$O$22/432,3)+ROUND($E59*'2024-25 High Calculator'!$O$22/600,3)</f>
        <v>1.968</v>
      </c>
      <c r="M59" s="166">
        <f t="shared" si="3"/>
        <v>5.3410000000000002</v>
      </c>
      <c r="N59" s="33">
        <f>VLOOKUP($A59,'District Summary'!$A$6:$AH$325,29,FALSE)</f>
        <v>74.456000000000003</v>
      </c>
      <c r="O59" s="33">
        <f>VLOOKUP($A59,'District Summary'!$A$6:$AH$325,34,FALSE)</f>
        <v>54.341000000000001</v>
      </c>
      <c r="P59" s="67">
        <f t="shared" si="4"/>
        <v>-16.218000000000004</v>
      </c>
      <c r="Q59" s="67">
        <f t="shared" si="5"/>
        <v>49</v>
      </c>
      <c r="R59" s="67">
        <f t="shared" si="8"/>
        <v>96.015000000000001</v>
      </c>
      <c r="S59" s="33">
        <f t="shared" si="9"/>
        <v>128.797</v>
      </c>
      <c r="T59" s="67">
        <f t="shared" si="6"/>
        <v>32.781999999999996</v>
      </c>
      <c r="U59" s="67">
        <f t="shared" si="7"/>
        <v>0</v>
      </c>
      <c r="V59" s="273"/>
      <c r="W59" s="273"/>
    </row>
    <row r="60" spans="1:23" x14ac:dyDescent="0.25">
      <c r="A60" t="s">
        <v>61</v>
      </c>
      <c r="B60" t="s">
        <v>357</v>
      </c>
      <c r="C60" s="25">
        <f>SUMPRODUCT(VLOOKUP($A60,'PSES Enroll Snapshot 25-01-17'!$K$5:$AB$327,{2,3,4,5,6,7,8,9},0))</f>
        <v>1039.3500000000001</v>
      </c>
      <c r="D60" s="25">
        <f>SUMPRODUCT(VLOOKUP($A60,'PSES Enroll Snapshot 25-01-17'!$K$5:$AB$327,{10,11},0))-VLOOKUP($A60,'PSES Enroll Snapshot 25-01-17'!$K$5:$AB$327,12,0)</f>
        <v>300.40000000000003</v>
      </c>
      <c r="E60" s="25">
        <f>SUMPRODUCT(VLOOKUP($A60,'PSES Enroll Snapshot 25-01-17'!$K$5:$AB$327,{13,14},0))-SUMPRODUCT(VLOOKUP($A60,'PSES Enroll Snapshot 25-01-17'!$K$5:$AB$327,{15,16,17},0))</f>
        <v>462.92</v>
      </c>
      <c r="F60" s="33">
        <f>ROUND($C60*'2024-25 Elementary Calculator'!$Q$13/400,3)+ROUND($D60*'2024-25 Middle Calculator'!$O$13/432,3)+ROUND($E60*'2024-25 High Calculator'!$O$13/600,3)</f>
        <v>6.1180000000000003</v>
      </c>
      <c r="G60" s="33">
        <f>ROUND($C60*'2024-25 Elementary Calculator'!$Q$15/400,3)+ROUND($D60*'2024-25 Middle Calculator'!$O$15/432,3)+ROUND($E60*'2024-25 High Calculator'!$O$15/600,3)</f>
        <v>0.96699999999999997</v>
      </c>
      <c r="H60" s="33">
        <f>ROUND($C60*'2024-25 Elementary Calculator'!$Q$17/400,3)+ROUND($D60*'2024-25 Middle Calculator'!$O$17/432,3)+ROUND($E60*'2024-25 High Calculator'!$O$17/600,3)</f>
        <v>0.32500000000000001</v>
      </c>
      <c r="I60" s="33">
        <f>ROUND($C60*'2024-25 Elementary Calculator'!$Q$18/400,3)+ROUND($D60*'2024-25 Middle Calculator'!$O$18/432,3)+ROUND($E60*'2024-25 High Calculator'!$O$18/600,3)</f>
        <v>2.7730000000000001</v>
      </c>
      <c r="J60" s="166">
        <f t="shared" si="2"/>
        <v>10.183</v>
      </c>
      <c r="K60" s="33">
        <f>ROUND($C60*'2024-25 Elementary Calculator'!$Q$23/400,3)+ROUND($D60*'2024-25 Middle Calculator'!$O$23/432,3)+ROUND($E60*'2024-25 High Calculator'!$O$23/600,3)</f>
        <v>0.378</v>
      </c>
      <c r="L60" s="33">
        <f>ROUND($C60*'2024-25 Elementary Calculator'!$Q$22/400,3)+ROUND($D60*'2024-25 Middle Calculator'!$O$22/432,3)+ROUND($E60*'2024-25 High Calculator'!$O$22/600,3)</f>
        <v>0.214</v>
      </c>
      <c r="M60" s="166">
        <f t="shared" si="3"/>
        <v>0.59199999999999997</v>
      </c>
      <c r="N60" s="33">
        <f>VLOOKUP($A60,'District Summary'!$A$6:$AH$325,29,FALSE)</f>
        <v>10.143000000000001</v>
      </c>
      <c r="O60" s="33">
        <f>VLOOKUP($A60,'District Summary'!$A$6:$AH$325,34,FALSE)</f>
        <v>3.8040000000000003</v>
      </c>
      <c r="P60" s="67">
        <f t="shared" si="4"/>
        <v>-3.9999999999999147E-2</v>
      </c>
      <c r="Q60" s="67">
        <f t="shared" si="5"/>
        <v>3.2120000000000002</v>
      </c>
      <c r="R60" s="67">
        <f t="shared" si="8"/>
        <v>10.775</v>
      </c>
      <c r="S60" s="33">
        <f t="shared" si="9"/>
        <v>13.947000000000001</v>
      </c>
      <c r="T60" s="67">
        <f t="shared" si="6"/>
        <v>3.1720000000000002</v>
      </c>
      <c r="U60" s="67">
        <f t="shared" si="7"/>
        <v>0</v>
      </c>
      <c r="V60" s="273"/>
      <c r="W60" s="273"/>
    </row>
    <row r="61" spans="1:23" x14ac:dyDescent="0.25">
      <c r="A61" t="s">
        <v>62</v>
      </c>
      <c r="B61" t="s">
        <v>358</v>
      </c>
      <c r="C61" s="25">
        <f>SUMPRODUCT(VLOOKUP($A61,'PSES Enroll Snapshot 25-01-17'!$K$5:$AB$327,{2,3,4,5,6,7,8,9},0))</f>
        <v>13</v>
      </c>
      <c r="D61" s="25">
        <f>SUMPRODUCT(VLOOKUP($A61,'PSES Enroll Snapshot 25-01-17'!$K$5:$AB$327,{10,11},0))-VLOOKUP($A61,'PSES Enroll Snapshot 25-01-17'!$K$5:$AB$327,12,0)</f>
        <v>0</v>
      </c>
      <c r="E61" s="25">
        <f>SUMPRODUCT(VLOOKUP($A61,'PSES Enroll Snapshot 25-01-17'!$K$5:$AB$327,{13,14},0))-SUMPRODUCT(VLOOKUP($A61,'PSES Enroll Snapshot 25-01-17'!$K$5:$AB$327,{15,16,17},0))</f>
        <v>0</v>
      </c>
      <c r="F61" s="33">
        <f>ROUND($C61*'2024-25 Elementary Calculator'!$Q$13/400,3)+ROUND($D61*'2024-25 Middle Calculator'!$O$13/432,3)+ROUND($E61*'2024-25 High Calculator'!$O$13/600,3)</f>
        <v>3.2000000000000001E-2</v>
      </c>
      <c r="G61" s="33">
        <f>ROUND($C61*'2024-25 Elementary Calculator'!$Q$15/400,3)+ROUND($D61*'2024-25 Middle Calculator'!$O$15/432,3)+ROUND($E61*'2024-25 High Calculator'!$O$15/600,3)</f>
        <v>0.01</v>
      </c>
      <c r="H61" s="33">
        <f>ROUND($C61*'2024-25 Elementary Calculator'!$Q$17/400,3)+ROUND($D61*'2024-25 Middle Calculator'!$O$17/432,3)+ROUND($E61*'2024-25 High Calculator'!$O$17/600,3)</f>
        <v>3.0000000000000001E-3</v>
      </c>
      <c r="I61" s="33">
        <f>ROUND($C61*'2024-25 Elementary Calculator'!$Q$18/400,3)+ROUND($D61*'2024-25 Middle Calculator'!$O$18/432,3)+ROUND($E61*'2024-25 High Calculator'!$O$18/600,3)</f>
        <v>1.9E-2</v>
      </c>
      <c r="J61" s="166">
        <f t="shared" si="2"/>
        <v>6.4000000000000001E-2</v>
      </c>
      <c r="K61" s="33">
        <f>ROUND($C61*'2024-25 Elementary Calculator'!$Q$23/400,3)+ROUND($D61*'2024-25 Middle Calculator'!$O$23/432,3)+ROUND($E61*'2024-25 High Calculator'!$O$23/600,3)</f>
        <v>3.0000000000000001E-3</v>
      </c>
      <c r="L61" s="33">
        <f>ROUND($C61*'2024-25 Elementary Calculator'!$Q$22/400,3)+ROUND($D61*'2024-25 Middle Calculator'!$O$22/432,3)+ROUND($E61*'2024-25 High Calculator'!$O$22/600,3)</f>
        <v>3.0000000000000001E-3</v>
      </c>
      <c r="M61" s="166">
        <f t="shared" si="3"/>
        <v>6.0000000000000001E-3</v>
      </c>
      <c r="N61" s="33">
        <f>VLOOKUP($A61,'District Summary'!$A$6:$AH$325,29,FALSE)</f>
        <v>0</v>
      </c>
      <c r="O61" s="33">
        <f>VLOOKUP($A61,'District Summary'!$A$6:$AH$325,34,FALSE)</f>
        <v>0</v>
      </c>
      <c r="P61" s="67">
        <f t="shared" si="4"/>
        <v>-6.4000000000000001E-2</v>
      </c>
      <c r="Q61" s="67">
        <f t="shared" si="5"/>
        <v>-6.0000000000000001E-3</v>
      </c>
      <c r="R61" s="67">
        <f t="shared" si="8"/>
        <v>7.0000000000000007E-2</v>
      </c>
      <c r="S61" s="33">
        <f t="shared" si="9"/>
        <v>0</v>
      </c>
      <c r="T61" s="67">
        <f t="shared" si="6"/>
        <v>-7.0000000000000007E-2</v>
      </c>
      <c r="U61" s="67">
        <f t="shared" si="7"/>
        <v>-7.0000000000000007E-2</v>
      </c>
      <c r="V61" s="273"/>
      <c r="W61" s="273"/>
    </row>
    <row r="62" spans="1:23" x14ac:dyDescent="0.25">
      <c r="A62" t="s">
        <v>63</v>
      </c>
      <c r="B62" t="s">
        <v>359</v>
      </c>
      <c r="C62" s="25">
        <f>SUMPRODUCT(VLOOKUP($A62,'PSES Enroll Snapshot 25-01-17'!$K$5:$AB$327,{2,3,4,5,6,7,8,9},0))</f>
        <v>34.4</v>
      </c>
      <c r="D62" s="25">
        <f>SUMPRODUCT(VLOOKUP($A62,'PSES Enroll Snapshot 25-01-17'!$K$5:$AB$327,{10,11},0))-VLOOKUP($A62,'PSES Enroll Snapshot 25-01-17'!$K$5:$AB$327,12,0)</f>
        <v>6.07</v>
      </c>
      <c r="E62" s="25">
        <f>SUMPRODUCT(VLOOKUP($A62,'PSES Enroll Snapshot 25-01-17'!$K$5:$AB$327,{13,14},0))-SUMPRODUCT(VLOOKUP($A62,'PSES Enroll Snapshot 25-01-17'!$K$5:$AB$327,{15,16,17},0))</f>
        <v>8.77</v>
      </c>
      <c r="F62" s="33">
        <f>ROUND($C62*'2024-25 Elementary Calculator'!$Q$13/400,3)+ROUND($D62*'2024-25 Middle Calculator'!$O$13/432,3)+ROUND($E62*'2024-25 High Calculator'!$O$13/600,3)</f>
        <v>0.15300000000000002</v>
      </c>
      <c r="G62" s="33">
        <f>ROUND($C62*'2024-25 Elementary Calculator'!$Q$15/400,3)+ROUND($D62*'2024-25 Middle Calculator'!$O$15/432,3)+ROUND($E62*'2024-25 High Calculator'!$O$15/600,3)</f>
        <v>0.03</v>
      </c>
      <c r="H62" s="33">
        <f>ROUND($C62*'2024-25 Elementary Calculator'!$Q$17/400,3)+ROUND($D62*'2024-25 Middle Calculator'!$O$17/432,3)+ROUND($E62*'2024-25 High Calculator'!$O$17/600,3)</f>
        <v>9.9999999999999985E-3</v>
      </c>
      <c r="I62" s="33">
        <f>ROUND($C62*'2024-25 Elementary Calculator'!$Q$18/400,3)+ROUND($D62*'2024-25 Middle Calculator'!$O$18/432,3)+ROUND($E62*'2024-25 High Calculator'!$O$18/600,3)</f>
        <v>7.3999999999999996E-2</v>
      </c>
      <c r="J62" s="166">
        <f t="shared" si="2"/>
        <v>0.26700000000000002</v>
      </c>
      <c r="K62" s="33">
        <f>ROUND($C62*'2024-25 Elementary Calculator'!$Q$23/400,3)+ROUND($D62*'2024-25 Middle Calculator'!$O$23/432,3)+ROUND($E62*'2024-25 High Calculator'!$O$23/600,3)</f>
        <v>0.01</v>
      </c>
      <c r="L62" s="33">
        <f>ROUND($C62*'2024-25 Elementary Calculator'!$Q$22/400,3)+ROUND($D62*'2024-25 Middle Calculator'!$O$22/432,3)+ROUND($E62*'2024-25 High Calculator'!$O$22/600,3)</f>
        <v>7.0000000000000001E-3</v>
      </c>
      <c r="M62" s="166">
        <f t="shared" si="3"/>
        <v>1.7000000000000001E-2</v>
      </c>
      <c r="N62" s="33">
        <f>VLOOKUP($A62,'District Summary'!$A$6:$AH$325,29,FALSE)</f>
        <v>1</v>
      </c>
      <c r="O62" s="33">
        <f>VLOOKUP($A62,'District Summary'!$A$6:$AH$325,34,FALSE)</f>
        <v>0</v>
      </c>
      <c r="P62" s="67">
        <f t="shared" si="4"/>
        <v>0.73299999999999998</v>
      </c>
      <c r="Q62" s="67">
        <f t="shared" si="5"/>
        <v>-1.7000000000000001E-2</v>
      </c>
      <c r="R62" s="67">
        <f t="shared" si="8"/>
        <v>0.28400000000000003</v>
      </c>
      <c r="S62" s="33">
        <f t="shared" si="9"/>
        <v>1</v>
      </c>
      <c r="T62" s="67">
        <f t="shared" si="6"/>
        <v>0.71599999999999997</v>
      </c>
      <c r="U62" s="67">
        <f t="shared" si="7"/>
        <v>0</v>
      </c>
      <c r="V62" s="273"/>
      <c r="W62" s="273"/>
    </row>
    <row r="63" spans="1:23" x14ac:dyDescent="0.25">
      <c r="A63" t="s">
        <v>64</v>
      </c>
      <c r="B63" t="s">
        <v>360</v>
      </c>
      <c r="C63" s="25">
        <f>SUMPRODUCT(VLOOKUP($A63,'PSES Enroll Snapshot 25-01-17'!$K$5:$AB$327,{2,3,4,5,6,7,8,9},0))</f>
        <v>200.86999999999998</v>
      </c>
      <c r="D63" s="25">
        <f>SUMPRODUCT(VLOOKUP($A63,'PSES Enroll Snapshot 25-01-17'!$K$5:$AB$327,{10,11},0))-VLOOKUP($A63,'PSES Enroll Snapshot 25-01-17'!$K$5:$AB$327,12,0)</f>
        <v>42.01</v>
      </c>
      <c r="E63" s="25">
        <f>SUMPRODUCT(VLOOKUP($A63,'PSES Enroll Snapshot 25-01-17'!$K$5:$AB$327,{13,14},0))-SUMPRODUCT(VLOOKUP($A63,'PSES Enroll Snapshot 25-01-17'!$K$5:$AB$327,{15,16,17},0))</f>
        <v>47.249999999999993</v>
      </c>
      <c r="F63" s="33">
        <f>ROUND($C63*'2024-25 Elementary Calculator'!$Q$13/400,3)+ROUND($D63*'2024-25 Middle Calculator'!$O$13/432,3)+ROUND($E63*'2024-25 High Calculator'!$O$13/600,3)</f>
        <v>0.90500000000000003</v>
      </c>
      <c r="G63" s="33">
        <f>ROUND($C63*'2024-25 Elementary Calculator'!$Q$15/400,3)+ROUND($D63*'2024-25 Middle Calculator'!$O$15/432,3)+ROUND($E63*'2024-25 High Calculator'!$O$15/600,3)</f>
        <v>0.17500000000000002</v>
      </c>
      <c r="H63" s="33">
        <f>ROUND($C63*'2024-25 Elementary Calculator'!$Q$17/400,3)+ROUND($D63*'2024-25 Middle Calculator'!$O$17/432,3)+ROUND($E63*'2024-25 High Calculator'!$O$17/600,3)</f>
        <v>5.7999999999999996E-2</v>
      </c>
      <c r="I63" s="33">
        <f>ROUND($C63*'2024-25 Elementary Calculator'!$Q$18/400,3)+ROUND($D63*'2024-25 Middle Calculator'!$O$18/432,3)+ROUND($E63*'2024-25 High Calculator'!$O$18/600,3)</f>
        <v>0.44500000000000001</v>
      </c>
      <c r="J63" s="166">
        <f t="shared" si="2"/>
        <v>1.5830000000000002</v>
      </c>
      <c r="K63" s="33">
        <f>ROUND($C63*'2024-25 Elementary Calculator'!$Q$23/400,3)+ROUND($D63*'2024-25 Middle Calculator'!$O$23/432,3)+ROUND($E63*'2024-25 High Calculator'!$O$23/600,3)</f>
        <v>0.06</v>
      </c>
      <c r="L63" s="33">
        <f>ROUND($C63*'2024-25 Elementary Calculator'!$Q$22/400,3)+ROUND($D63*'2024-25 Middle Calculator'!$O$22/432,3)+ROUND($E63*'2024-25 High Calculator'!$O$22/600,3)</f>
        <v>4.1000000000000002E-2</v>
      </c>
      <c r="M63" s="166">
        <f t="shared" si="3"/>
        <v>0.10100000000000001</v>
      </c>
      <c r="N63" s="33">
        <f>VLOOKUP($A63,'District Summary'!$A$6:$AH$325,29,FALSE)</f>
        <v>1.0030000000000001</v>
      </c>
      <c r="O63" s="33">
        <f>VLOOKUP($A63,'District Summary'!$A$6:$AH$325,34,FALSE)</f>
        <v>0.34599999999999997</v>
      </c>
      <c r="P63" s="67">
        <f t="shared" si="4"/>
        <v>-0.58000000000000007</v>
      </c>
      <c r="Q63" s="67">
        <f t="shared" si="5"/>
        <v>0.24499999999999997</v>
      </c>
      <c r="R63" s="67">
        <f t="shared" si="8"/>
        <v>1.6840000000000002</v>
      </c>
      <c r="S63" s="33">
        <f t="shared" si="9"/>
        <v>1.3490000000000002</v>
      </c>
      <c r="T63" s="67">
        <f t="shared" si="6"/>
        <v>-0.33500000000000002</v>
      </c>
      <c r="U63" s="67">
        <f t="shared" si="7"/>
        <v>-0.33500000000000002</v>
      </c>
      <c r="V63" s="273"/>
      <c r="W63" s="273"/>
    </row>
    <row r="64" spans="1:23" x14ac:dyDescent="0.25">
      <c r="A64" t="s">
        <v>65</v>
      </c>
      <c r="B64" t="s">
        <v>361</v>
      </c>
      <c r="C64" s="25">
        <f>SUMPRODUCT(VLOOKUP($A64,'PSES Enroll Snapshot 25-01-17'!$K$5:$AB$327,{2,3,4,5,6,7,8,9},0))</f>
        <v>1145.8</v>
      </c>
      <c r="D64" s="25">
        <f>SUMPRODUCT(VLOOKUP($A64,'PSES Enroll Snapshot 25-01-17'!$K$5:$AB$327,{10,11},0))-VLOOKUP($A64,'PSES Enroll Snapshot 25-01-17'!$K$5:$AB$327,12,0)</f>
        <v>334.84999999999997</v>
      </c>
      <c r="E64" s="25">
        <f>SUMPRODUCT(VLOOKUP($A64,'PSES Enroll Snapshot 25-01-17'!$K$5:$AB$327,{13,14},0))-SUMPRODUCT(VLOOKUP($A64,'PSES Enroll Snapshot 25-01-17'!$K$5:$AB$327,{15,16,17},0))</f>
        <v>502.95</v>
      </c>
      <c r="F64" s="33">
        <f>ROUND($C64*'2024-25 Elementary Calculator'!$Q$13/400,3)+ROUND($D64*'2024-25 Middle Calculator'!$O$13/432,3)+ROUND($E64*'2024-25 High Calculator'!$O$13/600,3)</f>
        <v>6.7210000000000001</v>
      </c>
      <c r="G64" s="33">
        <f>ROUND($C64*'2024-25 Elementary Calculator'!$Q$15/400,3)+ROUND($D64*'2024-25 Middle Calculator'!$O$15/432,3)+ROUND($E64*'2024-25 High Calculator'!$O$15/600,3)</f>
        <v>1.0650000000000002</v>
      </c>
      <c r="H64" s="33">
        <f>ROUND($C64*'2024-25 Elementary Calculator'!$Q$17/400,3)+ROUND($D64*'2024-25 Middle Calculator'!$O$17/432,3)+ROUND($E64*'2024-25 High Calculator'!$O$17/600,3)</f>
        <v>0.35799999999999998</v>
      </c>
      <c r="I64" s="33">
        <f>ROUND($C64*'2024-25 Elementary Calculator'!$Q$18/400,3)+ROUND($D64*'2024-25 Middle Calculator'!$O$18/432,3)+ROUND($E64*'2024-25 High Calculator'!$O$18/600,3)</f>
        <v>3.0549999999999997</v>
      </c>
      <c r="J64" s="166">
        <f t="shared" si="2"/>
        <v>11.199</v>
      </c>
      <c r="K64" s="33">
        <f>ROUND($C64*'2024-25 Elementary Calculator'!$Q$23/400,3)+ROUND($D64*'2024-25 Middle Calculator'!$O$23/432,3)+ROUND($E64*'2024-25 High Calculator'!$O$23/600,3)</f>
        <v>0.41499999999999998</v>
      </c>
      <c r="L64" s="33">
        <f>ROUND($C64*'2024-25 Elementary Calculator'!$Q$22/400,3)+ROUND($D64*'2024-25 Middle Calculator'!$O$22/432,3)+ROUND($E64*'2024-25 High Calculator'!$O$22/600,3)</f>
        <v>0.23599999999999999</v>
      </c>
      <c r="M64" s="166">
        <f t="shared" si="3"/>
        <v>0.65100000000000002</v>
      </c>
      <c r="N64" s="33">
        <f>VLOOKUP($A64,'District Summary'!$A$6:$AH$325,29,FALSE)</f>
        <v>11.193999999999999</v>
      </c>
      <c r="O64" s="33">
        <f>VLOOKUP($A64,'District Summary'!$A$6:$AH$325,34,FALSE)</f>
        <v>1.538</v>
      </c>
      <c r="P64" s="67">
        <f t="shared" si="4"/>
        <v>-5.0000000000007816E-3</v>
      </c>
      <c r="Q64" s="67">
        <f t="shared" si="5"/>
        <v>0.88700000000000001</v>
      </c>
      <c r="R64" s="67">
        <f t="shared" si="8"/>
        <v>11.85</v>
      </c>
      <c r="S64" s="33">
        <f t="shared" si="9"/>
        <v>12.731999999999999</v>
      </c>
      <c r="T64" s="67">
        <f t="shared" si="6"/>
        <v>0.88200000000000001</v>
      </c>
      <c r="U64" s="67">
        <f t="shared" si="7"/>
        <v>0</v>
      </c>
      <c r="V64" s="273"/>
      <c r="W64" s="273"/>
    </row>
    <row r="65" spans="1:23" x14ac:dyDescent="0.25">
      <c r="A65" t="s">
        <v>66</v>
      </c>
      <c r="B65" t="s">
        <v>362</v>
      </c>
      <c r="C65" s="25">
        <f>SUMPRODUCT(VLOOKUP($A65,'PSES Enroll Snapshot 25-01-17'!$K$5:$AB$327,{2,3,4,5,6,7,8,9},0))</f>
        <v>1618.5900000000001</v>
      </c>
      <c r="D65" s="25">
        <f>SUMPRODUCT(VLOOKUP($A65,'PSES Enroll Snapshot 25-01-17'!$K$5:$AB$327,{10,11},0))-VLOOKUP($A65,'PSES Enroll Snapshot 25-01-17'!$K$5:$AB$327,12,0)</f>
        <v>466.78999999999996</v>
      </c>
      <c r="E65" s="25">
        <f>SUMPRODUCT(VLOOKUP($A65,'PSES Enroll Snapshot 25-01-17'!$K$5:$AB$327,{13,14},0))-SUMPRODUCT(VLOOKUP($A65,'PSES Enroll Snapshot 25-01-17'!$K$5:$AB$327,{15,16,17},0))</f>
        <v>611.46</v>
      </c>
      <c r="F65" s="33">
        <f>ROUND($C65*'2024-25 Elementary Calculator'!$Q$13/400,3)+ROUND($D65*'2024-25 Middle Calculator'!$O$13/432,3)+ROUND($E65*'2024-25 High Calculator'!$O$13/600,3)</f>
        <v>8.9689999999999994</v>
      </c>
      <c r="G65" s="33">
        <f>ROUND($C65*'2024-25 Elementary Calculator'!$Q$15/400,3)+ROUND($D65*'2024-25 Middle Calculator'!$O$15/432,3)+ROUND($E65*'2024-25 High Calculator'!$O$15/600,3)</f>
        <v>1.482</v>
      </c>
      <c r="H65" s="33">
        <f>ROUND($C65*'2024-25 Elementary Calculator'!$Q$17/400,3)+ROUND($D65*'2024-25 Middle Calculator'!$O$17/432,3)+ROUND($E65*'2024-25 High Calculator'!$O$17/600,3)</f>
        <v>0.497</v>
      </c>
      <c r="I65" s="33">
        <f>ROUND($C65*'2024-25 Elementary Calculator'!$Q$18/400,3)+ROUND($D65*'2024-25 Middle Calculator'!$O$18/432,3)+ROUND($E65*'2024-25 High Calculator'!$O$18/600,3)</f>
        <v>4.1669999999999998</v>
      </c>
      <c r="J65" s="166">
        <f t="shared" si="2"/>
        <v>15.114999999999998</v>
      </c>
      <c r="K65" s="33">
        <f>ROUND($C65*'2024-25 Elementary Calculator'!$Q$23/400,3)+ROUND($D65*'2024-25 Middle Calculator'!$O$23/432,3)+ROUND($E65*'2024-25 High Calculator'!$O$23/600,3)</f>
        <v>0.56300000000000006</v>
      </c>
      <c r="L65" s="33">
        <f>ROUND($C65*'2024-25 Elementary Calculator'!$Q$22/400,3)+ROUND($D65*'2024-25 Middle Calculator'!$O$22/432,3)+ROUND($E65*'2024-25 High Calculator'!$O$22/600,3)</f>
        <v>0.33400000000000002</v>
      </c>
      <c r="M65" s="166">
        <f t="shared" si="3"/>
        <v>0.89700000000000002</v>
      </c>
      <c r="N65" s="33">
        <f>VLOOKUP($A65,'District Summary'!$A$6:$AH$325,29,FALSE)</f>
        <v>14.924999999999999</v>
      </c>
      <c r="O65" s="33">
        <f>VLOOKUP($A65,'District Summary'!$A$6:$AH$325,34,FALSE)</f>
        <v>4.9169999999999998</v>
      </c>
      <c r="P65" s="67">
        <f t="shared" si="4"/>
        <v>-0.1899999999999995</v>
      </c>
      <c r="Q65" s="67">
        <f t="shared" si="5"/>
        <v>4.0199999999999996</v>
      </c>
      <c r="R65" s="67">
        <f t="shared" si="8"/>
        <v>16.011999999999997</v>
      </c>
      <c r="S65" s="33">
        <f t="shared" si="9"/>
        <v>19.841999999999999</v>
      </c>
      <c r="T65" s="67">
        <f t="shared" si="6"/>
        <v>3.83</v>
      </c>
      <c r="U65" s="67">
        <f t="shared" si="7"/>
        <v>0</v>
      </c>
      <c r="V65" s="273"/>
      <c r="W65" s="273"/>
    </row>
    <row r="66" spans="1:23" x14ac:dyDescent="0.25">
      <c r="A66" t="s">
        <v>67</v>
      </c>
      <c r="B66" t="s">
        <v>363</v>
      </c>
      <c r="C66" s="25">
        <f>SUMPRODUCT(VLOOKUP($A66,'PSES Enroll Snapshot 25-01-17'!$K$5:$AB$327,{2,3,4,5,6,7,8,9},0))</f>
        <v>453.79999999999995</v>
      </c>
      <c r="D66" s="25">
        <f>SUMPRODUCT(VLOOKUP($A66,'PSES Enroll Snapshot 25-01-17'!$K$5:$AB$327,{10,11},0))-VLOOKUP($A66,'PSES Enroll Snapshot 25-01-17'!$K$5:$AB$327,12,0)</f>
        <v>149.63999999999999</v>
      </c>
      <c r="E66" s="25">
        <f>SUMPRODUCT(VLOOKUP($A66,'PSES Enroll Snapshot 25-01-17'!$K$5:$AB$327,{13,14},0))-SUMPRODUCT(VLOOKUP($A66,'PSES Enroll Snapshot 25-01-17'!$K$5:$AB$327,{15,16,17},0))</f>
        <v>196.92</v>
      </c>
      <c r="F66" s="33">
        <f>ROUND($C66*'2024-25 Elementary Calculator'!$Q$13/400,3)+ROUND($D66*'2024-25 Middle Calculator'!$O$13/432,3)+ROUND($E66*'2024-25 High Calculator'!$O$13/600,3)</f>
        <v>2.718</v>
      </c>
      <c r="G66" s="33">
        <f>ROUND($C66*'2024-25 Elementary Calculator'!$Q$15/400,3)+ROUND($D66*'2024-25 Middle Calculator'!$O$15/432,3)+ROUND($E66*'2024-25 High Calculator'!$O$15/600,3)</f>
        <v>0.42499999999999999</v>
      </c>
      <c r="H66" s="33">
        <f>ROUND($C66*'2024-25 Elementary Calculator'!$Q$17/400,3)+ROUND($D66*'2024-25 Middle Calculator'!$O$17/432,3)+ROUND($E66*'2024-25 High Calculator'!$O$17/600,3)</f>
        <v>0.14200000000000002</v>
      </c>
      <c r="I66" s="33">
        <f>ROUND($C66*'2024-25 Elementary Calculator'!$Q$18/400,3)+ROUND($D66*'2024-25 Middle Calculator'!$O$18/432,3)+ROUND($E66*'2024-25 High Calculator'!$O$18/600,3)</f>
        <v>1.242</v>
      </c>
      <c r="J66" s="166">
        <f t="shared" si="2"/>
        <v>4.5269999999999992</v>
      </c>
      <c r="K66" s="33">
        <f>ROUND($C66*'2024-25 Elementary Calculator'!$Q$23/400,3)+ROUND($D66*'2024-25 Middle Calculator'!$O$23/432,3)+ROUND($E66*'2024-25 High Calculator'!$O$23/600,3)</f>
        <v>0.16799999999999998</v>
      </c>
      <c r="L66" s="33">
        <f>ROUND($C66*'2024-25 Elementary Calculator'!$Q$22/400,3)+ROUND($D66*'2024-25 Middle Calculator'!$O$22/432,3)+ROUND($E66*'2024-25 High Calculator'!$O$22/600,3)</f>
        <v>9.4E-2</v>
      </c>
      <c r="M66" s="166">
        <f t="shared" si="3"/>
        <v>0.26200000000000001</v>
      </c>
      <c r="N66" s="33">
        <f>VLOOKUP($A66,'District Summary'!$A$6:$AH$325,29,FALSE)</f>
        <v>2.6639999999999997</v>
      </c>
      <c r="O66" s="33">
        <f>VLOOKUP($A66,'District Summary'!$A$6:$AH$325,34,FALSE)</f>
        <v>0.42199999999999999</v>
      </c>
      <c r="P66" s="67">
        <f t="shared" si="4"/>
        <v>-1.8629999999999995</v>
      </c>
      <c r="Q66" s="67">
        <f t="shared" si="5"/>
        <v>0.15999999999999998</v>
      </c>
      <c r="R66" s="67">
        <f t="shared" si="8"/>
        <v>4.7889999999999997</v>
      </c>
      <c r="S66" s="33">
        <f t="shared" si="9"/>
        <v>3.0859999999999999</v>
      </c>
      <c r="T66" s="67">
        <f t="shared" si="6"/>
        <v>-1.7030000000000001</v>
      </c>
      <c r="U66" s="67">
        <f t="shared" si="7"/>
        <v>-1.7030000000000001</v>
      </c>
      <c r="V66" s="273"/>
      <c r="W66" s="273"/>
    </row>
    <row r="67" spans="1:23" x14ac:dyDescent="0.25">
      <c r="A67" t="s">
        <v>68</v>
      </c>
      <c r="B67" t="s">
        <v>364</v>
      </c>
      <c r="C67" s="25">
        <f>SUMPRODUCT(VLOOKUP($A67,'PSES Enroll Snapshot 25-01-17'!$K$5:$AB$327,{2,3,4,5,6,7,8,9},0))</f>
        <v>83.669999999999987</v>
      </c>
      <c r="D67" s="25">
        <f>SUMPRODUCT(VLOOKUP($A67,'PSES Enroll Snapshot 25-01-17'!$K$5:$AB$327,{10,11},0))-VLOOKUP($A67,'PSES Enroll Snapshot 25-01-17'!$K$5:$AB$327,12,0)</f>
        <v>34.799999999999997</v>
      </c>
      <c r="E67" s="25">
        <f>SUMPRODUCT(VLOOKUP($A67,'PSES Enroll Snapshot 25-01-17'!$K$5:$AB$327,{13,14},0))-SUMPRODUCT(VLOOKUP($A67,'PSES Enroll Snapshot 25-01-17'!$K$5:$AB$327,{15,16,17},0))</f>
        <v>55.550000000000004</v>
      </c>
      <c r="F67" s="33">
        <f>ROUND($C67*'2024-25 Elementary Calculator'!$Q$13/400,3)+ROUND($D67*'2024-25 Middle Calculator'!$O$13/432,3)+ROUND($E67*'2024-25 High Calculator'!$O$13/600,3)</f>
        <v>0.627</v>
      </c>
      <c r="G67" s="33">
        <f>ROUND($C67*'2024-25 Elementary Calculator'!$Q$15/400,3)+ROUND($D67*'2024-25 Middle Calculator'!$O$15/432,3)+ROUND($E67*'2024-25 High Calculator'!$O$15/600,3)</f>
        <v>8.4000000000000005E-2</v>
      </c>
      <c r="H67" s="33">
        <f>ROUND($C67*'2024-25 Elementary Calculator'!$Q$17/400,3)+ROUND($D67*'2024-25 Middle Calculator'!$O$17/432,3)+ROUND($E67*'2024-25 High Calculator'!$O$17/600,3)</f>
        <v>2.9000000000000001E-2</v>
      </c>
      <c r="I67" s="33">
        <f>ROUND($C67*'2024-25 Elementary Calculator'!$Q$18/400,3)+ROUND($D67*'2024-25 Middle Calculator'!$O$18/432,3)+ROUND($E67*'2024-25 High Calculator'!$O$18/600,3)</f>
        <v>0.27</v>
      </c>
      <c r="J67" s="166">
        <f t="shared" ref="J67:J130" si="10">SUM(F67:I67)</f>
        <v>1.01</v>
      </c>
      <c r="K67" s="33">
        <f>ROUND($C67*'2024-25 Elementary Calculator'!$Q$23/400,3)+ROUND($D67*'2024-25 Middle Calculator'!$O$23/432,3)+ROUND($E67*'2024-25 High Calculator'!$O$23/600,3)</f>
        <v>3.6999999999999998E-2</v>
      </c>
      <c r="L67" s="33">
        <f>ROUND($C67*'2024-25 Elementary Calculator'!$Q$22/400,3)+ROUND($D67*'2024-25 Middle Calculator'!$O$22/432,3)+ROUND($E67*'2024-25 High Calculator'!$O$22/600,3)</f>
        <v>1.7000000000000001E-2</v>
      </c>
      <c r="M67" s="166">
        <f t="shared" ref="M67:M130" si="11">SUM(K67:L67)</f>
        <v>5.3999999999999999E-2</v>
      </c>
      <c r="N67" s="33">
        <f>VLOOKUP($A67,'District Summary'!$A$6:$AH$325,29,FALSE)</f>
        <v>0.72</v>
      </c>
      <c r="O67" s="33">
        <f>VLOOKUP($A67,'District Summary'!$A$6:$AH$325,34,FALSE)</f>
        <v>0</v>
      </c>
      <c r="P67" s="67">
        <f t="shared" ref="P67:P130" si="12">N67-J67</f>
        <v>-0.29000000000000004</v>
      </c>
      <c r="Q67" s="67">
        <f t="shared" ref="Q67:Q130" si="13">O67-M67</f>
        <v>-5.3999999999999999E-2</v>
      </c>
      <c r="R67" s="67">
        <f t="shared" ref="R67:R130" si="14">SUM(J67,M67)</f>
        <v>1.0640000000000001</v>
      </c>
      <c r="S67" s="33">
        <f t="shared" ref="S67:S130" si="15">SUM(N67:O67)</f>
        <v>0.72</v>
      </c>
      <c r="T67" s="67">
        <f t="shared" si="6"/>
        <v>-0.34399999999999997</v>
      </c>
      <c r="U67" s="67">
        <f t="shared" ref="U67:U130" si="16">IF(T67&gt;0, 0,T67)</f>
        <v>-0.34399999999999997</v>
      </c>
      <c r="V67" s="273"/>
      <c r="W67" s="273"/>
    </row>
    <row r="68" spans="1:23" x14ac:dyDescent="0.25">
      <c r="A68" t="s">
        <v>69</v>
      </c>
      <c r="B68" t="s">
        <v>365</v>
      </c>
      <c r="C68" s="25">
        <f>SUMPRODUCT(VLOOKUP($A68,'PSES Enroll Snapshot 25-01-17'!$K$5:$AB$327,{2,3,4,5,6,7,8,9},0))</f>
        <v>306.52999999999997</v>
      </c>
      <c r="D68" s="25">
        <f>SUMPRODUCT(VLOOKUP($A68,'PSES Enroll Snapshot 25-01-17'!$K$5:$AB$327,{10,11},0))-VLOOKUP($A68,'PSES Enroll Snapshot 25-01-17'!$K$5:$AB$327,12,0)</f>
        <v>80.64</v>
      </c>
      <c r="E68" s="25">
        <f>SUMPRODUCT(VLOOKUP($A68,'PSES Enroll Snapshot 25-01-17'!$K$5:$AB$327,{13,14},0))-SUMPRODUCT(VLOOKUP($A68,'PSES Enroll Snapshot 25-01-17'!$K$5:$AB$327,{15,16,17},0))</f>
        <v>83.25</v>
      </c>
      <c r="F68" s="33">
        <f>ROUND($C68*'2024-25 Elementary Calculator'!$Q$13/400,3)+ROUND($D68*'2024-25 Middle Calculator'!$O$13/432,3)+ROUND($E68*'2024-25 High Calculator'!$O$13/600,3)</f>
        <v>1.5029999999999999</v>
      </c>
      <c r="G68" s="33">
        <f>ROUND($C68*'2024-25 Elementary Calculator'!$Q$15/400,3)+ROUND($D68*'2024-25 Middle Calculator'!$O$15/432,3)+ROUND($E68*'2024-25 High Calculator'!$O$15/600,3)</f>
        <v>0.27200000000000002</v>
      </c>
      <c r="H68" s="33">
        <f>ROUND($C68*'2024-25 Elementary Calculator'!$Q$17/400,3)+ROUND($D68*'2024-25 Middle Calculator'!$O$17/432,3)+ROUND($E68*'2024-25 High Calculator'!$O$17/600,3)</f>
        <v>9.1000000000000011E-2</v>
      </c>
      <c r="I68" s="33">
        <f>ROUND($C68*'2024-25 Elementary Calculator'!$Q$18/400,3)+ROUND($D68*'2024-25 Middle Calculator'!$O$18/432,3)+ROUND($E68*'2024-25 High Calculator'!$O$18/600,3)</f>
        <v>0.72799999999999998</v>
      </c>
      <c r="J68" s="166">
        <f t="shared" si="10"/>
        <v>2.5939999999999999</v>
      </c>
      <c r="K68" s="33">
        <f>ROUND($C68*'2024-25 Elementary Calculator'!$Q$23/400,3)+ROUND($D68*'2024-25 Middle Calculator'!$O$23/432,3)+ROUND($E68*'2024-25 High Calculator'!$O$23/600,3)</f>
        <v>9.8000000000000004E-2</v>
      </c>
      <c r="L68" s="33">
        <f>ROUND($C68*'2024-25 Elementary Calculator'!$Q$22/400,3)+ROUND($D68*'2024-25 Middle Calculator'!$O$22/432,3)+ROUND($E68*'2024-25 High Calculator'!$O$22/600,3)</f>
        <v>6.3E-2</v>
      </c>
      <c r="M68" s="166">
        <f t="shared" si="11"/>
        <v>0.161</v>
      </c>
      <c r="N68" s="33">
        <f>VLOOKUP($A68,'District Summary'!$A$6:$AH$325,29,FALSE)</f>
        <v>1</v>
      </c>
      <c r="O68" s="33">
        <f>VLOOKUP($A68,'District Summary'!$A$6:$AH$325,34,FALSE)</f>
        <v>0.77300000000000002</v>
      </c>
      <c r="P68" s="67">
        <f t="shared" si="12"/>
        <v>-1.5939999999999999</v>
      </c>
      <c r="Q68" s="67">
        <f t="shared" si="13"/>
        <v>0.61199999999999999</v>
      </c>
      <c r="R68" s="67">
        <f t="shared" si="14"/>
        <v>2.7549999999999999</v>
      </c>
      <c r="S68" s="33">
        <f t="shared" si="15"/>
        <v>1.7730000000000001</v>
      </c>
      <c r="T68" s="67">
        <f t="shared" ref="T68:T131" si="17">ROUND(S68-R68,3)</f>
        <v>-0.98199999999999998</v>
      </c>
      <c r="U68" s="67">
        <f t="shared" si="16"/>
        <v>-0.98199999999999998</v>
      </c>
      <c r="V68" s="273"/>
      <c r="W68" s="273"/>
    </row>
    <row r="69" spans="1:23" x14ac:dyDescent="0.25">
      <c r="A69" t="s">
        <v>70</v>
      </c>
      <c r="B69" t="s">
        <v>366</v>
      </c>
      <c r="C69" s="25">
        <f>SUMPRODUCT(VLOOKUP($A69,'PSES Enroll Snapshot 25-01-17'!$K$5:$AB$327,{2,3,4,5,6,7,8,9},0))</f>
        <v>865.76</v>
      </c>
      <c r="D69" s="25">
        <f>SUMPRODUCT(VLOOKUP($A69,'PSES Enroll Snapshot 25-01-17'!$K$5:$AB$327,{10,11},0))-VLOOKUP($A69,'PSES Enroll Snapshot 25-01-17'!$K$5:$AB$327,12,0)</f>
        <v>263.10000000000002</v>
      </c>
      <c r="E69" s="25">
        <f>SUMPRODUCT(VLOOKUP($A69,'PSES Enroll Snapshot 25-01-17'!$K$5:$AB$327,{13,14},0))-SUMPRODUCT(VLOOKUP($A69,'PSES Enroll Snapshot 25-01-17'!$K$5:$AB$327,{15,16,17},0))</f>
        <v>418.45000000000005</v>
      </c>
      <c r="F69" s="33">
        <f>ROUND($C69*'2024-25 Elementary Calculator'!$Q$13/400,3)+ROUND($D69*'2024-25 Middle Calculator'!$O$13/432,3)+ROUND($E69*'2024-25 High Calculator'!$O$13/600,3)</f>
        <v>5.3130000000000006</v>
      </c>
      <c r="G69" s="33">
        <f>ROUND($C69*'2024-25 Elementary Calculator'!$Q$15/400,3)+ROUND($D69*'2024-25 Middle Calculator'!$O$15/432,3)+ROUND($E69*'2024-25 High Calculator'!$O$15/600,3)</f>
        <v>0.81600000000000006</v>
      </c>
      <c r="H69" s="33">
        <f>ROUND($C69*'2024-25 Elementary Calculator'!$Q$17/400,3)+ROUND($D69*'2024-25 Middle Calculator'!$O$17/432,3)+ROUND($E69*'2024-25 High Calculator'!$O$17/600,3)</f>
        <v>0.27400000000000002</v>
      </c>
      <c r="I69" s="33">
        <f>ROUND($C69*'2024-25 Elementary Calculator'!$Q$18/400,3)+ROUND($D69*'2024-25 Middle Calculator'!$O$18/432,3)+ROUND($E69*'2024-25 High Calculator'!$O$18/600,3)</f>
        <v>2.3819999999999997</v>
      </c>
      <c r="J69" s="166">
        <f t="shared" si="10"/>
        <v>8.7850000000000001</v>
      </c>
      <c r="K69" s="33">
        <f>ROUND($C69*'2024-25 Elementary Calculator'!$Q$23/400,3)+ROUND($D69*'2024-25 Middle Calculator'!$O$23/432,3)+ROUND($E69*'2024-25 High Calculator'!$O$23/600,3)</f>
        <v>0.32500000000000001</v>
      </c>
      <c r="L69" s="33">
        <f>ROUND($C69*'2024-25 Elementary Calculator'!$Q$22/400,3)+ROUND($D69*'2024-25 Middle Calculator'!$O$22/432,3)+ROUND($E69*'2024-25 High Calculator'!$O$22/600,3)</f>
        <v>0.17899999999999999</v>
      </c>
      <c r="M69" s="166">
        <f t="shared" si="11"/>
        <v>0.504</v>
      </c>
      <c r="N69" s="33">
        <f>VLOOKUP($A69,'District Summary'!$A$6:$AH$325,29,FALSE)</f>
        <v>4.4359999999999999</v>
      </c>
      <c r="O69" s="33">
        <f>VLOOKUP($A69,'District Summary'!$A$6:$AH$325,34,FALSE)</f>
        <v>1.087</v>
      </c>
      <c r="P69" s="67">
        <f t="shared" si="12"/>
        <v>-4.3490000000000002</v>
      </c>
      <c r="Q69" s="67">
        <f t="shared" si="13"/>
        <v>0.58299999999999996</v>
      </c>
      <c r="R69" s="67">
        <f t="shared" si="14"/>
        <v>9.2889999999999997</v>
      </c>
      <c r="S69" s="33">
        <f t="shared" si="15"/>
        <v>5.5229999999999997</v>
      </c>
      <c r="T69" s="67">
        <f t="shared" si="17"/>
        <v>-3.766</v>
      </c>
      <c r="U69" s="67">
        <f t="shared" si="16"/>
        <v>-3.766</v>
      </c>
      <c r="V69" s="273"/>
      <c r="W69" s="273"/>
    </row>
    <row r="70" spans="1:23" x14ac:dyDescent="0.25">
      <c r="A70" t="s">
        <v>71</v>
      </c>
      <c r="B70" t="s">
        <v>367</v>
      </c>
      <c r="C70" s="25">
        <f>SUMPRODUCT(VLOOKUP($A70,'PSES Enroll Snapshot 25-01-17'!$K$5:$AB$327,{2,3,4,5,6,7,8,9},0))</f>
        <v>4345.92</v>
      </c>
      <c r="D70" s="25">
        <f>SUMPRODUCT(VLOOKUP($A70,'PSES Enroll Snapshot 25-01-17'!$K$5:$AB$327,{10,11},0))-VLOOKUP($A70,'PSES Enroll Snapshot 25-01-17'!$K$5:$AB$327,12,0)</f>
        <v>1191.0999999999999</v>
      </c>
      <c r="E70" s="25">
        <f>SUMPRODUCT(VLOOKUP($A70,'PSES Enroll Snapshot 25-01-17'!$K$5:$AB$327,{13,14},0))-SUMPRODUCT(VLOOKUP($A70,'PSES Enroll Snapshot 25-01-17'!$K$5:$AB$327,{15,16,17},0))</f>
        <v>1388.23</v>
      </c>
      <c r="F70" s="33">
        <f>ROUND($C70*'2024-25 Elementary Calculator'!$Q$13/400,3)+ROUND($D70*'2024-25 Middle Calculator'!$O$13/432,3)+ROUND($E70*'2024-25 High Calculator'!$O$13/600,3)</f>
        <v>22.550999999999998</v>
      </c>
      <c r="G70" s="33">
        <f>ROUND($C70*'2024-25 Elementary Calculator'!$Q$15/400,3)+ROUND($D70*'2024-25 Middle Calculator'!$O$15/432,3)+ROUND($E70*'2024-25 High Calculator'!$O$15/600,3)</f>
        <v>3.9159999999999999</v>
      </c>
      <c r="H70" s="33">
        <f>ROUND($C70*'2024-25 Elementary Calculator'!$Q$17/400,3)+ROUND($D70*'2024-25 Middle Calculator'!$O$17/432,3)+ROUND($E70*'2024-25 High Calculator'!$O$17/600,3)</f>
        <v>1.3089999999999999</v>
      </c>
      <c r="I70" s="33">
        <f>ROUND($C70*'2024-25 Elementary Calculator'!$Q$18/400,3)+ROUND($D70*'2024-25 Middle Calculator'!$O$18/432,3)+ROUND($E70*'2024-25 High Calculator'!$O$18/600,3)</f>
        <v>10.711</v>
      </c>
      <c r="J70" s="166">
        <f t="shared" si="10"/>
        <v>38.487000000000002</v>
      </c>
      <c r="K70" s="33">
        <f>ROUND($C70*'2024-25 Elementary Calculator'!$Q$23/400,3)+ROUND($D70*'2024-25 Middle Calculator'!$O$23/432,3)+ROUND($E70*'2024-25 High Calculator'!$O$23/600,3)</f>
        <v>1.4380000000000002</v>
      </c>
      <c r="L70" s="33">
        <f>ROUND($C70*'2024-25 Elementary Calculator'!$Q$22/400,3)+ROUND($D70*'2024-25 Middle Calculator'!$O$22/432,3)+ROUND($E70*'2024-25 High Calculator'!$O$22/600,3)</f>
        <v>0.89600000000000002</v>
      </c>
      <c r="M70" s="166">
        <f t="shared" si="11"/>
        <v>2.3340000000000001</v>
      </c>
      <c r="N70" s="33">
        <f>VLOOKUP($A70,'District Summary'!$A$6:$AH$325,29,FALSE)</f>
        <v>34.615000000000002</v>
      </c>
      <c r="O70" s="33">
        <f>VLOOKUP($A70,'District Summary'!$A$6:$AH$325,34,FALSE)</f>
        <v>15.991999999999999</v>
      </c>
      <c r="P70" s="67">
        <f t="shared" si="12"/>
        <v>-3.8719999999999999</v>
      </c>
      <c r="Q70" s="67">
        <f t="shared" si="13"/>
        <v>13.657999999999999</v>
      </c>
      <c r="R70" s="67">
        <f t="shared" si="14"/>
        <v>40.821000000000005</v>
      </c>
      <c r="S70" s="33">
        <f t="shared" si="15"/>
        <v>50.606999999999999</v>
      </c>
      <c r="T70" s="67">
        <f t="shared" si="17"/>
        <v>9.7859999999999996</v>
      </c>
      <c r="U70" s="67">
        <f t="shared" si="16"/>
        <v>0</v>
      </c>
      <c r="V70" s="273"/>
      <c r="W70" s="273"/>
    </row>
    <row r="71" spans="1:23" x14ac:dyDescent="0.25">
      <c r="A71" t="s">
        <v>72</v>
      </c>
      <c r="B71" t="s">
        <v>368</v>
      </c>
      <c r="C71" s="25">
        <f>SUMPRODUCT(VLOOKUP($A71,'PSES Enroll Snapshot 25-01-17'!$K$5:$AB$327,{2,3,4,5,6,7,8,9},0))</f>
        <v>1363.24</v>
      </c>
      <c r="D71" s="25">
        <f>SUMPRODUCT(VLOOKUP($A71,'PSES Enroll Snapshot 25-01-17'!$K$5:$AB$327,{10,11},0))-VLOOKUP($A71,'PSES Enroll Snapshot 25-01-17'!$K$5:$AB$327,12,0)</f>
        <v>397.3</v>
      </c>
      <c r="E71" s="25">
        <f>SUMPRODUCT(VLOOKUP($A71,'PSES Enroll Snapshot 25-01-17'!$K$5:$AB$327,{13,14},0))-SUMPRODUCT(VLOOKUP($A71,'PSES Enroll Snapshot 25-01-17'!$K$5:$AB$327,{15,16,17},0))</f>
        <v>555.1</v>
      </c>
      <c r="F71" s="33">
        <f>ROUND($C71*'2024-25 Elementary Calculator'!$Q$13/400,3)+ROUND($D71*'2024-25 Middle Calculator'!$O$13/432,3)+ROUND($E71*'2024-25 High Calculator'!$O$13/600,3)</f>
        <v>7.7739999999999991</v>
      </c>
      <c r="G71" s="33">
        <f>ROUND($C71*'2024-25 Elementary Calculator'!$Q$15/400,3)+ROUND($D71*'2024-25 Middle Calculator'!$O$15/432,3)+ROUND($E71*'2024-25 High Calculator'!$O$15/600,3)</f>
        <v>1.258</v>
      </c>
      <c r="H71" s="33">
        <f>ROUND($C71*'2024-25 Elementary Calculator'!$Q$17/400,3)+ROUND($D71*'2024-25 Middle Calculator'!$O$17/432,3)+ROUND($E71*'2024-25 High Calculator'!$O$17/600,3)</f>
        <v>0.42099999999999999</v>
      </c>
      <c r="I71" s="33">
        <f>ROUND($C71*'2024-25 Elementary Calculator'!$Q$18/400,3)+ROUND($D71*'2024-25 Middle Calculator'!$O$18/432,3)+ROUND($E71*'2024-25 High Calculator'!$O$18/600,3)</f>
        <v>3.573</v>
      </c>
      <c r="J71" s="166">
        <f t="shared" si="10"/>
        <v>13.026</v>
      </c>
      <c r="K71" s="33">
        <f>ROUND($C71*'2024-25 Elementary Calculator'!$Q$23/400,3)+ROUND($D71*'2024-25 Middle Calculator'!$O$23/432,3)+ROUND($E71*'2024-25 High Calculator'!$O$23/600,3)</f>
        <v>0.48400000000000004</v>
      </c>
      <c r="L71" s="33">
        <f>ROUND($C71*'2024-25 Elementary Calculator'!$Q$22/400,3)+ROUND($D71*'2024-25 Middle Calculator'!$O$22/432,3)+ROUND($E71*'2024-25 High Calculator'!$O$22/600,3)</f>
        <v>0.28100000000000003</v>
      </c>
      <c r="M71" s="166">
        <f t="shared" si="11"/>
        <v>0.76500000000000012</v>
      </c>
      <c r="N71" s="33">
        <f>VLOOKUP($A71,'District Summary'!$A$6:$AH$325,29,FALSE)</f>
        <v>10.154</v>
      </c>
      <c r="O71" s="33">
        <f>VLOOKUP($A71,'District Summary'!$A$6:$AH$325,34,FALSE)</f>
        <v>7.6809999999999992</v>
      </c>
      <c r="P71" s="67">
        <f t="shared" si="12"/>
        <v>-2.8719999999999999</v>
      </c>
      <c r="Q71" s="67">
        <f t="shared" si="13"/>
        <v>6.9159999999999986</v>
      </c>
      <c r="R71" s="67">
        <f t="shared" si="14"/>
        <v>13.791</v>
      </c>
      <c r="S71" s="33">
        <f t="shared" si="15"/>
        <v>17.835000000000001</v>
      </c>
      <c r="T71" s="67">
        <f t="shared" si="17"/>
        <v>4.0439999999999996</v>
      </c>
      <c r="U71" s="67">
        <f t="shared" si="16"/>
        <v>0</v>
      </c>
      <c r="V71" s="273"/>
      <c r="W71" s="273"/>
    </row>
    <row r="72" spans="1:23" x14ac:dyDescent="0.25">
      <c r="A72" t="s">
        <v>73</v>
      </c>
      <c r="B72" t="s">
        <v>369</v>
      </c>
      <c r="C72" s="25">
        <f>SUMPRODUCT(VLOOKUP($A72,'PSES Enroll Snapshot 25-01-17'!$K$5:$AB$327,{2,3,4,5,6,7,8,9},0))</f>
        <v>60.96</v>
      </c>
      <c r="D72" s="25">
        <f>SUMPRODUCT(VLOOKUP($A72,'PSES Enroll Snapshot 25-01-17'!$K$5:$AB$327,{10,11},0))-VLOOKUP($A72,'PSES Enroll Snapshot 25-01-17'!$K$5:$AB$327,12,0)</f>
        <v>13.880000000000003</v>
      </c>
      <c r="E72" s="25">
        <f>SUMPRODUCT(VLOOKUP($A72,'PSES Enroll Snapshot 25-01-17'!$K$5:$AB$327,{13,14},0))-SUMPRODUCT(VLOOKUP($A72,'PSES Enroll Snapshot 25-01-17'!$K$5:$AB$327,{15,16,17},0))</f>
        <v>30.259999999999998</v>
      </c>
      <c r="F72" s="33">
        <f>ROUND($C72*'2024-25 Elementary Calculator'!$Q$13/400,3)+ROUND($D72*'2024-25 Middle Calculator'!$O$13/432,3)+ROUND($E72*'2024-25 High Calculator'!$O$13/600,3)</f>
        <v>0.35899999999999999</v>
      </c>
      <c r="G72" s="33">
        <f>ROUND($C72*'2024-25 Elementary Calculator'!$Q$15/400,3)+ROUND($D72*'2024-25 Middle Calculator'!$O$15/432,3)+ROUND($E72*'2024-25 High Calculator'!$O$15/600,3)</f>
        <v>5.6000000000000001E-2</v>
      </c>
      <c r="H72" s="33">
        <f>ROUND($C72*'2024-25 Elementary Calculator'!$Q$17/400,3)+ROUND($D72*'2024-25 Middle Calculator'!$O$17/432,3)+ROUND($E72*'2024-25 High Calculator'!$O$17/600,3)</f>
        <v>1.9000000000000003E-2</v>
      </c>
      <c r="I72" s="33">
        <f>ROUND($C72*'2024-25 Elementary Calculator'!$Q$18/400,3)+ROUND($D72*'2024-25 Middle Calculator'!$O$18/432,3)+ROUND($E72*'2024-25 High Calculator'!$O$18/600,3)</f>
        <v>0.16</v>
      </c>
      <c r="J72" s="166">
        <f t="shared" si="10"/>
        <v>0.59399999999999997</v>
      </c>
      <c r="K72" s="33">
        <f>ROUND($C72*'2024-25 Elementary Calculator'!$Q$23/400,3)+ROUND($D72*'2024-25 Middle Calculator'!$O$23/432,3)+ROUND($E72*'2024-25 High Calculator'!$O$23/600,3)</f>
        <v>2.1999999999999999E-2</v>
      </c>
      <c r="L72" s="33">
        <f>ROUND($C72*'2024-25 Elementary Calculator'!$Q$22/400,3)+ROUND($D72*'2024-25 Middle Calculator'!$O$22/432,3)+ROUND($E72*'2024-25 High Calculator'!$O$22/600,3)</f>
        <v>1.2999999999999999E-2</v>
      </c>
      <c r="M72" s="166">
        <f t="shared" si="11"/>
        <v>3.4999999999999996E-2</v>
      </c>
      <c r="N72" s="33">
        <f>VLOOKUP($A72,'District Summary'!$A$6:$AH$325,29,FALSE)</f>
        <v>0</v>
      </c>
      <c r="O72" s="33">
        <f>VLOOKUP($A72,'District Summary'!$A$6:$AH$325,34,FALSE)</f>
        <v>0.58399999999999996</v>
      </c>
      <c r="P72" s="67">
        <f t="shared" si="12"/>
        <v>-0.59399999999999997</v>
      </c>
      <c r="Q72" s="67">
        <f t="shared" si="13"/>
        <v>0.54899999999999993</v>
      </c>
      <c r="R72" s="67">
        <f t="shared" si="14"/>
        <v>0.629</v>
      </c>
      <c r="S72" s="33">
        <f t="shared" si="15"/>
        <v>0.58399999999999996</v>
      </c>
      <c r="T72" s="67">
        <f t="shared" si="17"/>
        <v>-4.4999999999999998E-2</v>
      </c>
      <c r="U72" s="67">
        <f t="shared" si="16"/>
        <v>-4.4999999999999998E-2</v>
      </c>
      <c r="V72" s="273"/>
      <c r="W72" s="273"/>
    </row>
    <row r="73" spans="1:23" x14ac:dyDescent="0.25">
      <c r="A73" t="s">
        <v>74</v>
      </c>
      <c r="B73" t="s">
        <v>370</v>
      </c>
      <c r="C73" s="25">
        <f>SUMPRODUCT(VLOOKUP($A73,'PSES Enroll Snapshot 25-01-17'!$K$5:$AB$327,{2,3,4,5,6,7,8,9},0))</f>
        <v>330.25</v>
      </c>
      <c r="D73" s="25">
        <f>SUMPRODUCT(VLOOKUP($A73,'PSES Enroll Snapshot 25-01-17'!$K$5:$AB$327,{10,11},0))-VLOOKUP($A73,'PSES Enroll Snapshot 25-01-17'!$K$5:$AB$327,12,0)</f>
        <v>87.45</v>
      </c>
      <c r="E73" s="25">
        <f>SUMPRODUCT(VLOOKUP($A73,'PSES Enroll Snapshot 25-01-17'!$K$5:$AB$327,{13,14},0))-SUMPRODUCT(VLOOKUP($A73,'PSES Enroll Snapshot 25-01-17'!$K$5:$AB$327,{15,16,17},0))</f>
        <v>161.41</v>
      </c>
      <c r="F73" s="33">
        <f>ROUND($C73*'2024-25 Elementary Calculator'!$Q$13/400,3)+ROUND($D73*'2024-25 Middle Calculator'!$O$13/432,3)+ROUND($E73*'2024-25 High Calculator'!$O$13/600,3)</f>
        <v>1.9849999999999999</v>
      </c>
      <c r="G73" s="33">
        <f>ROUND($C73*'2024-25 Elementary Calculator'!$Q$15/400,3)+ROUND($D73*'2024-25 Middle Calculator'!$O$15/432,3)+ROUND($E73*'2024-25 High Calculator'!$O$15/600,3)</f>
        <v>0.30900000000000005</v>
      </c>
      <c r="H73" s="33">
        <f>ROUND($C73*'2024-25 Elementary Calculator'!$Q$17/400,3)+ROUND($D73*'2024-25 Middle Calculator'!$O$17/432,3)+ROUND($E73*'2024-25 High Calculator'!$O$17/600,3)</f>
        <v>0.104</v>
      </c>
      <c r="I73" s="33">
        <f>ROUND($C73*'2024-25 Elementary Calculator'!$Q$18/400,3)+ROUND($D73*'2024-25 Middle Calculator'!$O$18/432,3)+ROUND($E73*'2024-25 High Calculator'!$O$18/600,3)</f>
        <v>0.88500000000000001</v>
      </c>
      <c r="J73" s="166">
        <f t="shared" si="10"/>
        <v>3.2830000000000004</v>
      </c>
      <c r="K73" s="33">
        <f>ROUND($C73*'2024-25 Elementary Calculator'!$Q$23/400,3)+ROUND($D73*'2024-25 Middle Calculator'!$O$23/432,3)+ROUND($E73*'2024-25 High Calculator'!$O$23/600,3)</f>
        <v>0.122</v>
      </c>
      <c r="L73" s="33">
        <f>ROUND($C73*'2024-25 Elementary Calculator'!$Q$22/400,3)+ROUND($D73*'2024-25 Middle Calculator'!$O$22/432,3)+ROUND($E73*'2024-25 High Calculator'!$O$22/600,3)</f>
        <v>6.8000000000000005E-2</v>
      </c>
      <c r="M73" s="166">
        <f t="shared" si="11"/>
        <v>0.19</v>
      </c>
      <c r="N73" s="33">
        <f>VLOOKUP($A73,'District Summary'!$A$6:$AH$325,29,FALSE)</f>
        <v>1</v>
      </c>
      <c r="O73" s="33">
        <f>VLOOKUP($A73,'District Summary'!$A$6:$AH$325,34,FALSE)</f>
        <v>2.198</v>
      </c>
      <c r="P73" s="67">
        <f t="shared" si="12"/>
        <v>-2.2830000000000004</v>
      </c>
      <c r="Q73" s="67">
        <f t="shared" si="13"/>
        <v>2.008</v>
      </c>
      <c r="R73" s="67">
        <f t="shared" si="14"/>
        <v>3.4730000000000003</v>
      </c>
      <c r="S73" s="33">
        <f t="shared" si="15"/>
        <v>3.198</v>
      </c>
      <c r="T73" s="67">
        <f t="shared" si="17"/>
        <v>-0.27500000000000002</v>
      </c>
      <c r="U73" s="67">
        <f t="shared" si="16"/>
        <v>-0.27500000000000002</v>
      </c>
      <c r="V73" s="273"/>
      <c r="W73" s="273"/>
    </row>
    <row r="74" spans="1:23" x14ac:dyDescent="0.25">
      <c r="A74" t="s">
        <v>75</v>
      </c>
      <c r="B74" t="s">
        <v>371</v>
      </c>
      <c r="C74" s="25">
        <f>SUMPRODUCT(VLOOKUP($A74,'PSES Enroll Snapshot 25-01-17'!$K$5:$AB$327,{2,3,4,5,6,7,8,9},0))</f>
        <v>1439.3000000000002</v>
      </c>
      <c r="D74" s="25">
        <f>SUMPRODUCT(VLOOKUP($A74,'PSES Enroll Snapshot 25-01-17'!$K$5:$AB$327,{10,11},0))-VLOOKUP($A74,'PSES Enroll Snapshot 25-01-17'!$K$5:$AB$327,12,0)</f>
        <v>333.24</v>
      </c>
      <c r="E74" s="25">
        <f>SUMPRODUCT(VLOOKUP($A74,'PSES Enroll Snapshot 25-01-17'!$K$5:$AB$327,{13,14},0))-SUMPRODUCT(VLOOKUP($A74,'PSES Enroll Snapshot 25-01-17'!$K$5:$AB$327,{15,16,17},0))</f>
        <v>664.68</v>
      </c>
      <c r="F74" s="33">
        <f>ROUND($C74*'2024-25 Elementary Calculator'!$Q$13/400,3)+ROUND($D74*'2024-25 Middle Calculator'!$O$13/432,3)+ROUND($E74*'2024-25 High Calculator'!$O$13/600,3)</f>
        <v>8.2639999999999993</v>
      </c>
      <c r="G74" s="33">
        <f>ROUND($C74*'2024-25 Elementary Calculator'!$Q$15/400,3)+ROUND($D74*'2024-25 Middle Calculator'!$O$15/432,3)+ROUND($E74*'2024-25 High Calculator'!$O$15/600,3)</f>
        <v>1.3280000000000001</v>
      </c>
      <c r="H74" s="33">
        <f>ROUND($C74*'2024-25 Elementary Calculator'!$Q$17/400,3)+ROUND($D74*'2024-25 Middle Calculator'!$O$17/432,3)+ROUND($E74*'2024-25 High Calculator'!$O$17/600,3)</f>
        <v>0.44700000000000001</v>
      </c>
      <c r="I74" s="33">
        <f>ROUND($C74*'2024-25 Elementary Calculator'!$Q$18/400,3)+ROUND($D74*'2024-25 Middle Calculator'!$O$18/432,3)+ROUND($E74*'2024-25 High Calculator'!$O$18/600,3)</f>
        <v>3.7030000000000003</v>
      </c>
      <c r="J74" s="166">
        <f t="shared" si="10"/>
        <v>13.741999999999997</v>
      </c>
      <c r="K74" s="33">
        <f>ROUND($C74*'2024-25 Elementary Calculator'!$Q$23/400,3)+ROUND($D74*'2024-25 Middle Calculator'!$O$23/432,3)+ROUND($E74*'2024-25 High Calculator'!$O$23/600,3)</f>
        <v>0.51100000000000001</v>
      </c>
      <c r="L74" s="33">
        <f>ROUND($C74*'2024-25 Elementary Calculator'!$Q$22/400,3)+ROUND($D74*'2024-25 Middle Calculator'!$O$22/432,3)+ROUND($E74*'2024-25 High Calculator'!$O$22/600,3)</f>
        <v>0.29699999999999999</v>
      </c>
      <c r="M74" s="166">
        <f t="shared" si="11"/>
        <v>0.80800000000000005</v>
      </c>
      <c r="N74" s="33">
        <f>VLOOKUP($A74,'District Summary'!$A$6:$AH$325,29,FALSE)</f>
        <v>12.125</v>
      </c>
      <c r="O74" s="33">
        <f>VLOOKUP($A74,'District Summary'!$A$6:$AH$325,34,FALSE)</f>
        <v>4.0429999999999993</v>
      </c>
      <c r="P74" s="67">
        <f t="shared" si="12"/>
        <v>-1.6169999999999973</v>
      </c>
      <c r="Q74" s="67">
        <f t="shared" si="13"/>
        <v>3.2349999999999994</v>
      </c>
      <c r="R74" s="67">
        <f t="shared" si="14"/>
        <v>14.549999999999997</v>
      </c>
      <c r="S74" s="33">
        <f t="shared" si="15"/>
        <v>16.167999999999999</v>
      </c>
      <c r="T74" s="67">
        <f t="shared" si="17"/>
        <v>1.6180000000000001</v>
      </c>
      <c r="U74" s="67">
        <f t="shared" si="16"/>
        <v>0</v>
      </c>
      <c r="V74" s="273"/>
      <c r="W74" s="273"/>
    </row>
    <row r="75" spans="1:23" x14ac:dyDescent="0.25">
      <c r="A75" t="s">
        <v>76</v>
      </c>
      <c r="B75" t="s">
        <v>372</v>
      </c>
      <c r="C75" s="25">
        <f>SUMPRODUCT(VLOOKUP($A75,'PSES Enroll Snapshot 25-01-17'!$K$5:$AB$327,{2,3,4,5,6,7,8,9},0))</f>
        <v>776.03</v>
      </c>
      <c r="D75" s="25">
        <f>SUMPRODUCT(VLOOKUP($A75,'PSES Enroll Snapshot 25-01-17'!$K$5:$AB$327,{10,11},0))-VLOOKUP($A75,'PSES Enroll Snapshot 25-01-17'!$K$5:$AB$327,12,0)</f>
        <v>215.29000000000002</v>
      </c>
      <c r="E75" s="25">
        <f>SUMPRODUCT(VLOOKUP($A75,'PSES Enroll Snapshot 25-01-17'!$K$5:$AB$327,{13,14},0))-SUMPRODUCT(VLOOKUP($A75,'PSES Enroll Snapshot 25-01-17'!$K$5:$AB$327,{15,16,17},0))</f>
        <v>293.75</v>
      </c>
      <c r="F75" s="33">
        <f>ROUND($C75*'2024-25 Elementary Calculator'!$Q$13/400,3)+ROUND($D75*'2024-25 Middle Calculator'!$O$13/432,3)+ROUND($E75*'2024-25 High Calculator'!$O$13/600,3)</f>
        <v>4.2690000000000001</v>
      </c>
      <c r="G75" s="33">
        <f>ROUND($C75*'2024-25 Elementary Calculator'!$Q$15/400,3)+ROUND($D75*'2024-25 Middle Calculator'!$O$15/432,3)+ROUND($E75*'2024-25 High Calculator'!$O$15/600,3)</f>
        <v>0.70900000000000007</v>
      </c>
      <c r="H75" s="33">
        <f>ROUND($C75*'2024-25 Elementary Calculator'!$Q$17/400,3)+ROUND($D75*'2024-25 Middle Calculator'!$O$17/432,3)+ROUND($E75*'2024-25 High Calculator'!$O$17/600,3)</f>
        <v>0.23800000000000002</v>
      </c>
      <c r="I75" s="33">
        <f>ROUND($C75*'2024-25 Elementary Calculator'!$Q$18/400,3)+ROUND($D75*'2024-25 Middle Calculator'!$O$18/432,3)+ROUND($E75*'2024-25 High Calculator'!$O$18/600,3)</f>
        <v>1.9810000000000001</v>
      </c>
      <c r="J75" s="166">
        <f t="shared" si="10"/>
        <v>7.1970000000000001</v>
      </c>
      <c r="K75" s="33">
        <f>ROUND($C75*'2024-25 Elementary Calculator'!$Q$23/400,3)+ROUND($D75*'2024-25 Middle Calculator'!$O$23/432,3)+ROUND($E75*'2024-25 High Calculator'!$O$23/600,3)</f>
        <v>0.26800000000000002</v>
      </c>
      <c r="L75" s="33">
        <f>ROUND($C75*'2024-25 Elementary Calculator'!$Q$22/400,3)+ROUND($D75*'2024-25 Middle Calculator'!$O$22/432,3)+ROUND($E75*'2024-25 High Calculator'!$O$22/600,3)</f>
        <v>0.16</v>
      </c>
      <c r="M75" s="166">
        <f t="shared" si="11"/>
        <v>0.42800000000000005</v>
      </c>
      <c r="N75" s="33">
        <f>VLOOKUP($A75,'District Summary'!$A$6:$AH$325,29,FALSE)</f>
        <v>7.8030000000000008</v>
      </c>
      <c r="O75" s="33">
        <f>VLOOKUP($A75,'District Summary'!$A$6:$AH$325,34,FALSE)</f>
        <v>1.7089999999999999</v>
      </c>
      <c r="P75" s="67">
        <f t="shared" si="12"/>
        <v>0.60600000000000076</v>
      </c>
      <c r="Q75" s="67">
        <f t="shared" si="13"/>
        <v>1.2809999999999997</v>
      </c>
      <c r="R75" s="67">
        <f t="shared" si="14"/>
        <v>7.625</v>
      </c>
      <c r="S75" s="33">
        <f t="shared" si="15"/>
        <v>9.5120000000000005</v>
      </c>
      <c r="T75" s="67">
        <f t="shared" si="17"/>
        <v>1.887</v>
      </c>
      <c r="U75" s="67">
        <f t="shared" si="16"/>
        <v>0</v>
      </c>
      <c r="V75" s="273"/>
      <c r="W75" s="273"/>
    </row>
    <row r="76" spans="1:23" x14ac:dyDescent="0.25">
      <c r="A76" t="s">
        <v>77</v>
      </c>
      <c r="B76" t="s">
        <v>373</v>
      </c>
      <c r="C76" s="25">
        <f>SUMPRODUCT(VLOOKUP($A76,'PSES Enroll Snapshot 25-01-17'!$K$5:$AB$327,{2,3,4,5,6,7,8,9},0))</f>
        <v>330.45</v>
      </c>
      <c r="D76" s="25">
        <f>SUMPRODUCT(VLOOKUP($A76,'PSES Enroll Snapshot 25-01-17'!$K$5:$AB$327,{10,11},0))-VLOOKUP($A76,'PSES Enroll Snapshot 25-01-17'!$K$5:$AB$327,12,0)</f>
        <v>84.03</v>
      </c>
      <c r="E76" s="25">
        <f>SUMPRODUCT(VLOOKUP($A76,'PSES Enroll Snapshot 25-01-17'!$K$5:$AB$327,{13,14},0))-SUMPRODUCT(VLOOKUP($A76,'PSES Enroll Snapshot 25-01-17'!$K$5:$AB$327,{15,16,17},0))</f>
        <v>139.60000000000002</v>
      </c>
      <c r="F76" s="33">
        <f>ROUND($C76*'2024-25 Elementary Calculator'!$Q$13/400,3)+ROUND($D76*'2024-25 Middle Calculator'!$O$13/432,3)+ROUND($E76*'2024-25 High Calculator'!$O$13/600,3)</f>
        <v>1.8609999999999998</v>
      </c>
      <c r="G76" s="33">
        <f>ROUND($C76*'2024-25 Elementary Calculator'!$Q$15/400,3)+ROUND($D76*'2024-25 Middle Calculator'!$O$15/432,3)+ROUND($E76*'2024-25 High Calculator'!$O$15/600,3)</f>
        <v>0.30400000000000005</v>
      </c>
      <c r="H76" s="33">
        <f>ROUND($C76*'2024-25 Elementary Calculator'!$Q$17/400,3)+ROUND($D76*'2024-25 Middle Calculator'!$O$17/432,3)+ROUND($E76*'2024-25 High Calculator'!$O$17/600,3)</f>
        <v>0.10199999999999999</v>
      </c>
      <c r="I76" s="33">
        <f>ROUND($C76*'2024-25 Elementary Calculator'!$Q$18/400,3)+ROUND($D76*'2024-25 Middle Calculator'!$O$18/432,3)+ROUND($E76*'2024-25 High Calculator'!$O$18/600,3)</f>
        <v>0.84799999999999986</v>
      </c>
      <c r="J76" s="166">
        <f t="shared" si="10"/>
        <v>3.1149999999999998</v>
      </c>
      <c r="K76" s="33">
        <f>ROUND($C76*'2024-25 Elementary Calculator'!$Q$23/400,3)+ROUND($D76*'2024-25 Middle Calculator'!$O$23/432,3)+ROUND($E76*'2024-25 High Calculator'!$O$23/600,3)</f>
        <v>0.11600000000000001</v>
      </c>
      <c r="L76" s="33">
        <f>ROUND($C76*'2024-25 Elementary Calculator'!$Q$22/400,3)+ROUND($D76*'2024-25 Middle Calculator'!$O$22/432,3)+ROUND($E76*'2024-25 High Calculator'!$O$22/600,3)</f>
        <v>6.8000000000000005E-2</v>
      </c>
      <c r="M76" s="166">
        <f t="shared" si="11"/>
        <v>0.184</v>
      </c>
      <c r="N76" s="33">
        <f>VLOOKUP($A76,'District Summary'!$A$6:$AH$325,29,FALSE)</f>
        <v>1.829</v>
      </c>
      <c r="O76" s="33">
        <f>VLOOKUP($A76,'District Summary'!$A$6:$AH$325,34,FALSE)</f>
        <v>0.80800000000000005</v>
      </c>
      <c r="P76" s="67">
        <f t="shared" si="12"/>
        <v>-1.2859999999999998</v>
      </c>
      <c r="Q76" s="67">
        <f t="shared" si="13"/>
        <v>0.62400000000000011</v>
      </c>
      <c r="R76" s="67">
        <f t="shared" si="14"/>
        <v>3.2989999999999999</v>
      </c>
      <c r="S76" s="33">
        <f t="shared" si="15"/>
        <v>2.637</v>
      </c>
      <c r="T76" s="67">
        <f t="shared" si="17"/>
        <v>-0.66200000000000003</v>
      </c>
      <c r="U76" s="67">
        <f t="shared" si="16"/>
        <v>-0.66200000000000003</v>
      </c>
      <c r="V76" s="273"/>
      <c r="W76" s="273"/>
    </row>
    <row r="77" spans="1:23" x14ac:dyDescent="0.25">
      <c r="A77" t="s">
        <v>78</v>
      </c>
      <c r="B77" t="s">
        <v>374</v>
      </c>
      <c r="C77" s="25">
        <f>SUMPRODUCT(VLOOKUP($A77,'PSES Enroll Snapshot 25-01-17'!$K$5:$AB$327,{2,3,4,5,6,7,8,9},0))</f>
        <v>244.2</v>
      </c>
      <c r="D77" s="25">
        <f>SUMPRODUCT(VLOOKUP($A77,'PSES Enroll Snapshot 25-01-17'!$K$5:$AB$327,{10,11},0))-VLOOKUP($A77,'PSES Enroll Snapshot 25-01-17'!$K$5:$AB$327,12,0)</f>
        <v>66.52</v>
      </c>
      <c r="E77" s="25">
        <f>SUMPRODUCT(VLOOKUP($A77,'PSES Enroll Snapshot 25-01-17'!$K$5:$AB$327,{13,14},0))-SUMPRODUCT(VLOOKUP($A77,'PSES Enroll Snapshot 25-01-17'!$K$5:$AB$327,{15,16,17},0))</f>
        <v>0</v>
      </c>
      <c r="F77" s="33">
        <f>ROUND($C77*'2024-25 Elementary Calculator'!$Q$13/400,3)+ROUND($D77*'2024-25 Middle Calculator'!$O$13/432,3)+ROUND($E77*'2024-25 High Calculator'!$O$13/600,3)</f>
        <v>0.87</v>
      </c>
      <c r="G77" s="33">
        <f>ROUND($C77*'2024-25 Elementary Calculator'!$Q$15/400,3)+ROUND($D77*'2024-25 Middle Calculator'!$O$15/432,3)+ROUND($E77*'2024-25 High Calculator'!$O$15/600,3)</f>
        <v>0.20400000000000001</v>
      </c>
      <c r="H77" s="33">
        <f>ROUND($C77*'2024-25 Elementary Calculator'!$Q$17/400,3)+ROUND($D77*'2024-25 Middle Calculator'!$O$17/432,3)+ROUND($E77*'2024-25 High Calculator'!$O$17/600,3)</f>
        <v>6.7000000000000004E-2</v>
      </c>
      <c r="I77" s="33">
        <f>ROUND($C77*'2024-25 Elementary Calculator'!$Q$18/400,3)+ROUND($D77*'2024-25 Middle Calculator'!$O$18/432,3)+ROUND($E77*'2024-25 High Calculator'!$O$18/600,3)</f>
        <v>0.49399999999999999</v>
      </c>
      <c r="J77" s="166">
        <f t="shared" si="10"/>
        <v>1.635</v>
      </c>
      <c r="K77" s="33">
        <f>ROUND($C77*'2024-25 Elementary Calculator'!$Q$23/400,3)+ROUND($D77*'2024-25 Middle Calculator'!$O$23/432,3)+ROUND($E77*'2024-25 High Calculator'!$O$23/600,3)</f>
        <v>6.2E-2</v>
      </c>
      <c r="L77" s="33">
        <f>ROUND($C77*'2024-25 Elementary Calculator'!$Q$22/400,3)+ROUND($D77*'2024-25 Middle Calculator'!$O$22/432,3)+ROUND($E77*'2024-25 High Calculator'!$O$22/600,3)</f>
        <v>0.05</v>
      </c>
      <c r="M77" s="166">
        <f t="shared" si="11"/>
        <v>0.112</v>
      </c>
      <c r="N77" s="33">
        <f>VLOOKUP($A77,'District Summary'!$A$6:$AH$325,29,FALSE)</f>
        <v>0.87999999999999989</v>
      </c>
      <c r="O77" s="33">
        <f>VLOOKUP($A77,'District Summary'!$A$6:$AH$325,34,FALSE)</f>
        <v>0.82499999999999996</v>
      </c>
      <c r="P77" s="67">
        <f t="shared" si="12"/>
        <v>-0.75500000000000012</v>
      </c>
      <c r="Q77" s="67">
        <f t="shared" si="13"/>
        <v>0.71299999999999997</v>
      </c>
      <c r="R77" s="67">
        <f t="shared" si="14"/>
        <v>1.7470000000000001</v>
      </c>
      <c r="S77" s="33">
        <f t="shared" si="15"/>
        <v>1.7049999999999998</v>
      </c>
      <c r="T77" s="67">
        <f t="shared" si="17"/>
        <v>-4.2000000000000003E-2</v>
      </c>
      <c r="U77" s="67">
        <f t="shared" si="16"/>
        <v>-4.2000000000000003E-2</v>
      </c>
      <c r="V77" s="273"/>
      <c r="W77" s="273"/>
    </row>
    <row r="78" spans="1:23" x14ac:dyDescent="0.25">
      <c r="A78" t="s">
        <v>79</v>
      </c>
      <c r="B78" t="s">
        <v>375</v>
      </c>
      <c r="C78" s="25">
        <f>SUMPRODUCT(VLOOKUP($A78,'PSES Enroll Snapshot 25-01-17'!$K$5:$AB$327,{2,3,4,5,6,7,8,9},0))</f>
        <v>722.79000000000008</v>
      </c>
      <c r="D78" s="25">
        <f>SUMPRODUCT(VLOOKUP($A78,'PSES Enroll Snapshot 25-01-17'!$K$5:$AB$327,{10,11},0))-VLOOKUP($A78,'PSES Enroll Snapshot 25-01-17'!$K$5:$AB$327,12,0)</f>
        <v>211.82</v>
      </c>
      <c r="E78" s="25">
        <f>SUMPRODUCT(VLOOKUP($A78,'PSES Enroll Snapshot 25-01-17'!$K$5:$AB$327,{13,14},0))-SUMPRODUCT(VLOOKUP($A78,'PSES Enroll Snapshot 25-01-17'!$K$5:$AB$327,{15,16,17},0))</f>
        <v>257.86</v>
      </c>
      <c r="F78" s="33">
        <f>ROUND($C78*'2024-25 Elementary Calculator'!$Q$13/400,3)+ROUND($D78*'2024-25 Middle Calculator'!$O$13/432,3)+ROUND($E78*'2024-25 High Calculator'!$O$13/600,3)</f>
        <v>3.9409999999999998</v>
      </c>
      <c r="G78" s="33">
        <f>ROUND($C78*'2024-25 Elementary Calculator'!$Q$15/400,3)+ROUND($D78*'2024-25 Middle Calculator'!$O$15/432,3)+ROUND($E78*'2024-25 High Calculator'!$O$15/600,3)</f>
        <v>0.66000000000000014</v>
      </c>
      <c r="H78" s="33">
        <f>ROUND($C78*'2024-25 Elementary Calculator'!$Q$17/400,3)+ROUND($D78*'2024-25 Middle Calculator'!$O$17/432,3)+ROUND($E78*'2024-25 High Calculator'!$O$17/600,3)</f>
        <v>0.221</v>
      </c>
      <c r="I78" s="33">
        <f>ROUND($C78*'2024-25 Elementary Calculator'!$Q$18/400,3)+ROUND($D78*'2024-25 Middle Calculator'!$O$18/432,3)+ROUND($E78*'2024-25 High Calculator'!$O$18/600,3)</f>
        <v>1.8460000000000001</v>
      </c>
      <c r="J78" s="166">
        <f t="shared" si="10"/>
        <v>6.6680000000000001</v>
      </c>
      <c r="K78" s="33">
        <f>ROUND($C78*'2024-25 Elementary Calculator'!$Q$23/400,3)+ROUND($D78*'2024-25 Middle Calculator'!$O$23/432,3)+ROUND($E78*'2024-25 High Calculator'!$O$23/600,3)</f>
        <v>0.249</v>
      </c>
      <c r="L78" s="33">
        <f>ROUND($C78*'2024-25 Elementary Calculator'!$Q$22/400,3)+ROUND($D78*'2024-25 Middle Calculator'!$O$22/432,3)+ROUND($E78*'2024-25 High Calculator'!$O$22/600,3)</f>
        <v>0.14899999999999999</v>
      </c>
      <c r="M78" s="166">
        <f t="shared" si="11"/>
        <v>0.39800000000000002</v>
      </c>
      <c r="N78" s="33">
        <f>VLOOKUP($A78,'District Summary'!$A$6:$AH$325,29,FALSE)</f>
        <v>4.0419999999999998</v>
      </c>
      <c r="O78" s="33">
        <f>VLOOKUP($A78,'District Summary'!$A$6:$AH$325,34,FALSE)</f>
        <v>6.0289999999999999</v>
      </c>
      <c r="P78" s="67">
        <f t="shared" si="12"/>
        <v>-2.6260000000000003</v>
      </c>
      <c r="Q78" s="67">
        <f t="shared" si="13"/>
        <v>5.6310000000000002</v>
      </c>
      <c r="R78" s="67">
        <f t="shared" si="14"/>
        <v>7.0659999999999998</v>
      </c>
      <c r="S78" s="33">
        <f t="shared" si="15"/>
        <v>10.071</v>
      </c>
      <c r="T78" s="67">
        <f t="shared" si="17"/>
        <v>3.0049999999999999</v>
      </c>
      <c r="U78" s="67">
        <f t="shared" si="16"/>
        <v>0</v>
      </c>
      <c r="V78" s="273"/>
      <c r="W78" s="273"/>
    </row>
    <row r="79" spans="1:23" x14ac:dyDescent="0.25">
      <c r="A79" t="s">
        <v>80</v>
      </c>
      <c r="B79" t="s">
        <v>376</v>
      </c>
      <c r="C79" s="25">
        <f>SUMPRODUCT(VLOOKUP($A79,'PSES Enroll Snapshot 25-01-17'!$K$5:$AB$327,{2,3,4,5,6,7,8,9},0))</f>
        <v>745.43999999999994</v>
      </c>
      <c r="D79" s="25">
        <f>SUMPRODUCT(VLOOKUP($A79,'PSES Enroll Snapshot 25-01-17'!$K$5:$AB$327,{10,11},0))-VLOOKUP($A79,'PSES Enroll Snapshot 25-01-17'!$K$5:$AB$327,12,0)</f>
        <v>155.27000000000001</v>
      </c>
      <c r="E79" s="25">
        <f>SUMPRODUCT(VLOOKUP($A79,'PSES Enroll Snapshot 25-01-17'!$K$5:$AB$327,{13,14},0))-SUMPRODUCT(VLOOKUP($A79,'PSES Enroll Snapshot 25-01-17'!$K$5:$AB$327,{15,16,17},0))</f>
        <v>157.94</v>
      </c>
      <c r="F79" s="33">
        <f>ROUND($C79*'2024-25 Elementary Calculator'!$Q$13/400,3)+ROUND($D79*'2024-25 Middle Calculator'!$O$13/432,3)+ROUND($E79*'2024-25 High Calculator'!$O$13/600,3)</f>
        <v>3.2679999999999998</v>
      </c>
      <c r="G79" s="33">
        <f>ROUND($C79*'2024-25 Elementary Calculator'!$Q$15/400,3)+ROUND($D79*'2024-25 Middle Calculator'!$O$15/432,3)+ROUND($E79*'2024-25 High Calculator'!$O$15/600,3)</f>
        <v>0.64500000000000002</v>
      </c>
      <c r="H79" s="33">
        <f>ROUND($C79*'2024-25 Elementary Calculator'!$Q$17/400,3)+ROUND($D79*'2024-25 Middle Calculator'!$O$17/432,3)+ROUND($E79*'2024-25 High Calculator'!$O$17/600,3)</f>
        <v>0.21600000000000003</v>
      </c>
      <c r="I79" s="33">
        <f>ROUND($C79*'2024-25 Elementary Calculator'!$Q$18/400,3)+ROUND($D79*'2024-25 Middle Calculator'!$O$18/432,3)+ROUND($E79*'2024-25 High Calculator'!$O$18/600,3)</f>
        <v>1.6260000000000001</v>
      </c>
      <c r="J79" s="166">
        <f t="shared" si="10"/>
        <v>5.7549999999999999</v>
      </c>
      <c r="K79" s="33">
        <f>ROUND($C79*'2024-25 Elementary Calculator'!$Q$23/400,3)+ROUND($D79*'2024-25 Middle Calculator'!$O$23/432,3)+ROUND($E79*'2024-25 High Calculator'!$O$23/600,3)</f>
        <v>0.217</v>
      </c>
      <c r="L79" s="33">
        <f>ROUND($C79*'2024-25 Elementary Calculator'!$Q$22/400,3)+ROUND($D79*'2024-25 Middle Calculator'!$O$22/432,3)+ROUND($E79*'2024-25 High Calculator'!$O$22/600,3)</f>
        <v>0.154</v>
      </c>
      <c r="M79" s="166">
        <f t="shared" si="11"/>
        <v>0.371</v>
      </c>
      <c r="N79" s="33">
        <f>VLOOKUP($A79,'District Summary'!$A$6:$AH$325,29,FALSE)</f>
        <v>3.2520000000000007</v>
      </c>
      <c r="O79" s="33">
        <f>VLOOKUP($A79,'District Summary'!$A$6:$AH$325,34,FALSE)</f>
        <v>1.278</v>
      </c>
      <c r="P79" s="67">
        <f t="shared" si="12"/>
        <v>-2.5029999999999992</v>
      </c>
      <c r="Q79" s="67">
        <f t="shared" si="13"/>
        <v>0.90700000000000003</v>
      </c>
      <c r="R79" s="67">
        <f t="shared" si="14"/>
        <v>6.1259999999999994</v>
      </c>
      <c r="S79" s="33">
        <f t="shared" si="15"/>
        <v>4.5300000000000011</v>
      </c>
      <c r="T79" s="67">
        <f t="shared" si="17"/>
        <v>-1.5960000000000001</v>
      </c>
      <c r="U79" s="67">
        <f t="shared" si="16"/>
        <v>-1.5960000000000001</v>
      </c>
      <c r="V79" s="273"/>
      <c r="W79" s="273"/>
    </row>
    <row r="80" spans="1:23" x14ac:dyDescent="0.25">
      <c r="A80" t="s">
        <v>81</v>
      </c>
      <c r="B80" t="s">
        <v>377</v>
      </c>
      <c r="C80" s="25">
        <f>SUMPRODUCT(VLOOKUP($A80,'PSES Enroll Snapshot 25-01-17'!$K$5:$AB$327,{2,3,4,5,6,7,8,9},0))</f>
        <v>90.2</v>
      </c>
      <c r="D80" s="25">
        <f>SUMPRODUCT(VLOOKUP($A80,'PSES Enroll Snapshot 25-01-17'!$K$5:$AB$327,{10,11},0))-VLOOKUP($A80,'PSES Enroll Snapshot 25-01-17'!$K$5:$AB$327,12,0)</f>
        <v>36.200000000000003</v>
      </c>
      <c r="E80" s="25">
        <f>SUMPRODUCT(VLOOKUP($A80,'PSES Enroll Snapshot 25-01-17'!$K$5:$AB$327,{13,14},0))-SUMPRODUCT(VLOOKUP($A80,'PSES Enroll Snapshot 25-01-17'!$K$5:$AB$327,{15,16,17},0))</f>
        <v>55.82</v>
      </c>
      <c r="F80" s="33">
        <f>ROUND($C80*'2024-25 Elementary Calculator'!$Q$13/400,3)+ROUND($D80*'2024-25 Middle Calculator'!$O$13/432,3)+ROUND($E80*'2024-25 High Calculator'!$O$13/600,3)</f>
        <v>0.65100000000000002</v>
      </c>
      <c r="G80" s="33">
        <f>ROUND($C80*'2024-25 Elementary Calculator'!$Q$15/400,3)+ROUND($D80*'2024-25 Middle Calculator'!$O$15/432,3)+ROUND($E80*'2024-25 High Calculator'!$O$15/600,3)</f>
        <v>8.900000000000001E-2</v>
      </c>
      <c r="H80" s="33">
        <f>ROUND($C80*'2024-25 Elementary Calculator'!$Q$17/400,3)+ROUND($D80*'2024-25 Middle Calculator'!$O$17/432,3)+ROUND($E80*'2024-25 High Calculator'!$O$17/600,3)</f>
        <v>3.0000000000000002E-2</v>
      </c>
      <c r="I80" s="33">
        <f>ROUND($C80*'2024-25 Elementary Calculator'!$Q$18/400,3)+ROUND($D80*'2024-25 Middle Calculator'!$O$18/432,3)+ROUND($E80*'2024-25 High Calculator'!$O$18/600,3)</f>
        <v>0.28300000000000003</v>
      </c>
      <c r="J80" s="166">
        <f t="shared" si="10"/>
        <v>1.0529999999999999</v>
      </c>
      <c r="K80" s="33">
        <f>ROUND($C80*'2024-25 Elementary Calculator'!$Q$23/400,3)+ROUND($D80*'2024-25 Middle Calculator'!$O$23/432,3)+ROUND($E80*'2024-25 High Calculator'!$O$23/600,3)</f>
        <v>3.9E-2</v>
      </c>
      <c r="L80" s="33">
        <f>ROUND($C80*'2024-25 Elementary Calculator'!$Q$22/400,3)+ROUND($D80*'2024-25 Middle Calculator'!$O$22/432,3)+ROUND($E80*'2024-25 High Calculator'!$O$22/600,3)</f>
        <v>1.9E-2</v>
      </c>
      <c r="M80" s="166">
        <f t="shared" si="11"/>
        <v>5.7999999999999996E-2</v>
      </c>
      <c r="N80" s="33">
        <f>VLOOKUP($A80,'District Summary'!$A$6:$AH$325,29,FALSE)</f>
        <v>0</v>
      </c>
      <c r="O80" s="33">
        <f>VLOOKUP($A80,'District Summary'!$A$6:$AH$325,34,FALSE)</f>
        <v>1.2489999999999999</v>
      </c>
      <c r="P80" s="67">
        <f t="shared" si="12"/>
        <v>-1.0529999999999999</v>
      </c>
      <c r="Q80" s="67">
        <f t="shared" si="13"/>
        <v>1.1909999999999998</v>
      </c>
      <c r="R80" s="67">
        <f t="shared" si="14"/>
        <v>1.111</v>
      </c>
      <c r="S80" s="33">
        <f t="shared" si="15"/>
        <v>1.2489999999999999</v>
      </c>
      <c r="T80" s="67">
        <f t="shared" si="17"/>
        <v>0.13800000000000001</v>
      </c>
      <c r="U80" s="67">
        <f t="shared" si="16"/>
        <v>0</v>
      </c>
      <c r="V80" s="273"/>
      <c r="W80" s="273"/>
    </row>
    <row r="81" spans="1:23" x14ac:dyDescent="0.25">
      <c r="A81" t="s">
        <v>82</v>
      </c>
      <c r="B81" t="s">
        <v>378</v>
      </c>
      <c r="C81" s="25">
        <f>SUMPRODUCT(VLOOKUP($A81,'PSES Enroll Snapshot 25-01-17'!$K$5:$AB$327,{2,3,4,5,6,7,8,9},0))</f>
        <v>102.45000000000002</v>
      </c>
      <c r="D81" s="25">
        <f>SUMPRODUCT(VLOOKUP($A81,'PSES Enroll Snapshot 25-01-17'!$K$5:$AB$327,{10,11},0))-VLOOKUP($A81,'PSES Enroll Snapshot 25-01-17'!$K$5:$AB$327,12,0)</f>
        <v>33.200000000000003</v>
      </c>
      <c r="E81" s="25">
        <f>SUMPRODUCT(VLOOKUP($A81,'PSES Enroll Snapshot 25-01-17'!$K$5:$AB$327,{13,14},0))-SUMPRODUCT(VLOOKUP($A81,'PSES Enroll Snapshot 25-01-17'!$K$5:$AB$327,{15,16,17},0))</f>
        <v>49.01</v>
      </c>
      <c r="F81" s="33">
        <f>ROUND($C81*'2024-25 Elementary Calculator'!$Q$13/400,3)+ROUND($D81*'2024-25 Middle Calculator'!$O$13/432,3)+ROUND($E81*'2024-25 High Calculator'!$O$13/600,3)</f>
        <v>0.63400000000000001</v>
      </c>
      <c r="G81" s="33">
        <f>ROUND($C81*'2024-25 Elementary Calculator'!$Q$15/400,3)+ROUND($D81*'2024-25 Middle Calculator'!$O$15/432,3)+ROUND($E81*'2024-25 High Calculator'!$O$15/600,3)</f>
        <v>9.7000000000000003E-2</v>
      </c>
      <c r="H81" s="33">
        <f>ROUND($C81*'2024-25 Elementary Calculator'!$Q$17/400,3)+ROUND($D81*'2024-25 Middle Calculator'!$O$17/432,3)+ROUND($E81*'2024-25 High Calculator'!$O$17/600,3)</f>
        <v>3.3000000000000002E-2</v>
      </c>
      <c r="I81" s="33">
        <f>ROUND($C81*'2024-25 Elementary Calculator'!$Q$18/400,3)+ROUND($D81*'2024-25 Middle Calculator'!$O$18/432,3)+ROUND($E81*'2024-25 High Calculator'!$O$18/600,3)</f>
        <v>0.28500000000000003</v>
      </c>
      <c r="J81" s="166">
        <f t="shared" si="10"/>
        <v>1.0489999999999999</v>
      </c>
      <c r="K81" s="33">
        <f>ROUND($C81*'2024-25 Elementary Calculator'!$Q$23/400,3)+ROUND($D81*'2024-25 Middle Calculator'!$O$23/432,3)+ROUND($E81*'2024-25 High Calculator'!$O$23/600,3)</f>
        <v>3.9E-2</v>
      </c>
      <c r="L81" s="33">
        <f>ROUND($C81*'2024-25 Elementary Calculator'!$Q$22/400,3)+ROUND($D81*'2024-25 Middle Calculator'!$O$22/432,3)+ROUND($E81*'2024-25 High Calculator'!$O$22/600,3)</f>
        <v>2.1000000000000001E-2</v>
      </c>
      <c r="M81" s="166">
        <f t="shared" si="11"/>
        <v>0.06</v>
      </c>
      <c r="N81" s="33">
        <f>VLOOKUP($A81,'District Summary'!$A$6:$AH$325,29,FALSE)</f>
        <v>0.3</v>
      </c>
      <c r="O81" s="33">
        <f>VLOOKUP($A81,'District Summary'!$A$6:$AH$325,34,FALSE)</f>
        <v>0.51100000000000001</v>
      </c>
      <c r="P81" s="67">
        <f t="shared" si="12"/>
        <v>-0.74899999999999989</v>
      </c>
      <c r="Q81" s="67">
        <f t="shared" si="13"/>
        <v>0.45100000000000001</v>
      </c>
      <c r="R81" s="67">
        <f t="shared" si="14"/>
        <v>1.109</v>
      </c>
      <c r="S81" s="33">
        <f t="shared" si="15"/>
        <v>0.81099999999999994</v>
      </c>
      <c r="T81" s="67">
        <f t="shared" si="17"/>
        <v>-0.29799999999999999</v>
      </c>
      <c r="U81" s="67">
        <f t="shared" si="16"/>
        <v>-0.29799999999999999</v>
      </c>
      <c r="V81" s="273"/>
      <c r="W81" s="273"/>
    </row>
    <row r="82" spans="1:23" x14ac:dyDescent="0.25">
      <c r="A82" t="s">
        <v>83</v>
      </c>
      <c r="B82" t="s">
        <v>379</v>
      </c>
      <c r="C82" s="25">
        <f>SUMPRODUCT(VLOOKUP($A82,'PSES Enroll Snapshot 25-01-17'!$K$5:$AB$327,{2,3,4,5,6,7,8,9},0))</f>
        <v>184.8</v>
      </c>
      <c r="D82" s="25">
        <f>SUMPRODUCT(VLOOKUP($A82,'PSES Enroll Snapshot 25-01-17'!$K$5:$AB$327,{10,11},0))-VLOOKUP($A82,'PSES Enroll Snapshot 25-01-17'!$K$5:$AB$327,12,0)</f>
        <v>0</v>
      </c>
      <c r="E82" s="25">
        <f>SUMPRODUCT(VLOOKUP($A82,'PSES Enroll Snapshot 25-01-17'!$K$5:$AB$327,{13,14},0))-SUMPRODUCT(VLOOKUP($A82,'PSES Enroll Snapshot 25-01-17'!$K$5:$AB$327,{15,16,17},0))</f>
        <v>0</v>
      </c>
      <c r="F82" s="33">
        <f>ROUND($C82*'2024-25 Elementary Calculator'!$Q$13/400,3)+ROUND($D82*'2024-25 Middle Calculator'!$O$13/432,3)+ROUND($E82*'2024-25 High Calculator'!$O$13/600,3)</f>
        <v>0.45900000000000002</v>
      </c>
      <c r="G82" s="33">
        <f>ROUND($C82*'2024-25 Elementary Calculator'!$Q$15/400,3)+ROUND($D82*'2024-25 Middle Calculator'!$O$15/432,3)+ROUND($E82*'2024-25 High Calculator'!$O$15/600,3)</f>
        <v>0.14399999999999999</v>
      </c>
      <c r="H82" s="33">
        <f>ROUND($C82*'2024-25 Elementary Calculator'!$Q$17/400,3)+ROUND($D82*'2024-25 Middle Calculator'!$O$17/432,3)+ROUND($E82*'2024-25 High Calculator'!$O$17/600,3)</f>
        <v>4.8000000000000001E-2</v>
      </c>
      <c r="I82" s="33">
        <f>ROUND($C82*'2024-25 Elementary Calculator'!$Q$18/400,3)+ROUND($D82*'2024-25 Middle Calculator'!$O$18/432,3)+ROUND($E82*'2024-25 High Calculator'!$O$18/600,3)</f>
        <v>0.27</v>
      </c>
      <c r="J82" s="166">
        <f t="shared" si="10"/>
        <v>0.92100000000000004</v>
      </c>
      <c r="K82" s="33">
        <f>ROUND($C82*'2024-25 Elementary Calculator'!$Q$23/400,3)+ROUND($D82*'2024-25 Middle Calculator'!$O$23/432,3)+ROUND($E82*'2024-25 High Calculator'!$O$23/600,3)</f>
        <v>3.5999999999999997E-2</v>
      </c>
      <c r="L82" s="33">
        <f>ROUND($C82*'2024-25 Elementary Calculator'!$Q$22/400,3)+ROUND($D82*'2024-25 Middle Calculator'!$O$22/432,3)+ROUND($E82*'2024-25 High Calculator'!$O$22/600,3)</f>
        <v>3.7999999999999999E-2</v>
      </c>
      <c r="M82" s="166">
        <f t="shared" si="11"/>
        <v>7.3999999999999996E-2</v>
      </c>
      <c r="N82" s="33">
        <f>VLOOKUP($A82,'District Summary'!$A$6:$AH$325,29,FALSE)</f>
        <v>0.627</v>
      </c>
      <c r="O82" s="33">
        <f>VLOOKUP($A82,'District Summary'!$A$6:$AH$325,34,FALSE)</f>
        <v>1.246</v>
      </c>
      <c r="P82" s="67">
        <f t="shared" si="12"/>
        <v>-0.29400000000000004</v>
      </c>
      <c r="Q82" s="67">
        <f t="shared" si="13"/>
        <v>1.1719999999999999</v>
      </c>
      <c r="R82" s="67">
        <f t="shared" si="14"/>
        <v>0.995</v>
      </c>
      <c r="S82" s="33">
        <f t="shared" si="15"/>
        <v>1.873</v>
      </c>
      <c r="T82" s="67">
        <f t="shared" si="17"/>
        <v>0.878</v>
      </c>
      <c r="U82" s="67">
        <f t="shared" si="16"/>
        <v>0</v>
      </c>
      <c r="V82" s="273"/>
      <c r="W82" s="273"/>
    </row>
    <row r="83" spans="1:23" x14ac:dyDescent="0.25">
      <c r="A83" t="s">
        <v>84</v>
      </c>
      <c r="B83" t="s">
        <v>380</v>
      </c>
      <c r="C83" s="25">
        <f>SUMPRODUCT(VLOOKUP($A83,'PSES Enroll Snapshot 25-01-17'!$K$5:$AB$327,{2,3,4,5,6,7,8,9},0))</f>
        <v>62.2</v>
      </c>
      <c r="D83" s="25">
        <f>SUMPRODUCT(VLOOKUP($A83,'PSES Enroll Snapshot 25-01-17'!$K$5:$AB$327,{10,11},0))-VLOOKUP($A83,'PSES Enroll Snapshot 25-01-17'!$K$5:$AB$327,12,0)</f>
        <v>0</v>
      </c>
      <c r="E83" s="25">
        <f>SUMPRODUCT(VLOOKUP($A83,'PSES Enroll Snapshot 25-01-17'!$K$5:$AB$327,{13,14},0))-SUMPRODUCT(VLOOKUP($A83,'PSES Enroll Snapshot 25-01-17'!$K$5:$AB$327,{15,16,17},0))</f>
        <v>0</v>
      </c>
      <c r="F83" s="33">
        <f>ROUND($C83*'2024-25 Elementary Calculator'!$Q$13/400,3)+ROUND($D83*'2024-25 Middle Calculator'!$O$13/432,3)+ROUND($E83*'2024-25 High Calculator'!$O$13/600,3)</f>
        <v>0.154</v>
      </c>
      <c r="G83" s="33">
        <f>ROUND($C83*'2024-25 Elementary Calculator'!$Q$15/400,3)+ROUND($D83*'2024-25 Middle Calculator'!$O$15/432,3)+ROUND($E83*'2024-25 High Calculator'!$O$15/600,3)</f>
        <v>4.8000000000000001E-2</v>
      </c>
      <c r="H83" s="33">
        <f>ROUND($C83*'2024-25 Elementary Calculator'!$Q$17/400,3)+ROUND($D83*'2024-25 Middle Calculator'!$O$17/432,3)+ROUND($E83*'2024-25 High Calculator'!$O$17/600,3)</f>
        <v>1.6E-2</v>
      </c>
      <c r="I83" s="33">
        <f>ROUND($C83*'2024-25 Elementary Calculator'!$Q$18/400,3)+ROUND($D83*'2024-25 Middle Calculator'!$O$18/432,3)+ROUND($E83*'2024-25 High Calculator'!$O$18/600,3)</f>
        <v>9.0999999999999998E-2</v>
      </c>
      <c r="J83" s="166">
        <f t="shared" si="10"/>
        <v>0.30900000000000005</v>
      </c>
      <c r="K83" s="33">
        <f>ROUND($C83*'2024-25 Elementary Calculator'!$Q$23/400,3)+ROUND($D83*'2024-25 Middle Calculator'!$O$23/432,3)+ROUND($E83*'2024-25 High Calculator'!$O$23/600,3)</f>
        <v>1.2E-2</v>
      </c>
      <c r="L83" s="33">
        <f>ROUND($C83*'2024-25 Elementary Calculator'!$Q$22/400,3)+ROUND($D83*'2024-25 Middle Calculator'!$O$22/432,3)+ROUND($E83*'2024-25 High Calculator'!$O$22/600,3)</f>
        <v>1.2999999999999999E-2</v>
      </c>
      <c r="M83" s="166">
        <f t="shared" si="11"/>
        <v>2.5000000000000001E-2</v>
      </c>
      <c r="N83" s="33">
        <f>VLOOKUP($A83,'District Summary'!$A$6:$AH$325,29,FALSE)</f>
        <v>0.34899999999999998</v>
      </c>
      <c r="O83" s="33">
        <f>VLOOKUP($A83,'District Summary'!$A$6:$AH$325,34,FALSE)</f>
        <v>0</v>
      </c>
      <c r="P83" s="67">
        <f t="shared" si="12"/>
        <v>3.9999999999999925E-2</v>
      </c>
      <c r="Q83" s="67">
        <f t="shared" si="13"/>
        <v>-2.5000000000000001E-2</v>
      </c>
      <c r="R83" s="67">
        <f t="shared" si="14"/>
        <v>0.33400000000000007</v>
      </c>
      <c r="S83" s="33">
        <f t="shared" si="15"/>
        <v>0.34899999999999998</v>
      </c>
      <c r="T83" s="67">
        <f t="shared" si="17"/>
        <v>1.4999999999999999E-2</v>
      </c>
      <c r="U83" s="67">
        <f t="shared" si="16"/>
        <v>0</v>
      </c>
      <c r="V83" s="273"/>
      <c r="W83" s="273"/>
    </row>
    <row r="84" spans="1:23" x14ac:dyDescent="0.25">
      <c r="A84" t="s">
        <v>85</v>
      </c>
      <c r="B84" t="s">
        <v>381</v>
      </c>
      <c r="C84" s="25">
        <f>SUMPRODUCT(VLOOKUP($A84,'PSES Enroll Snapshot 25-01-17'!$K$5:$AB$327,{2,3,4,5,6,7,8,9},0))</f>
        <v>99.300000000000011</v>
      </c>
      <c r="D84" s="25">
        <f>SUMPRODUCT(VLOOKUP($A84,'PSES Enroll Snapshot 25-01-17'!$K$5:$AB$327,{10,11},0))-VLOOKUP($A84,'PSES Enroll Snapshot 25-01-17'!$K$5:$AB$327,12,0)</f>
        <v>24.94</v>
      </c>
      <c r="E84" s="25">
        <f>SUMPRODUCT(VLOOKUP($A84,'PSES Enroll Snapshot 25-01-17'!$K$5:$AB$327,{13,14},0))-SUMPRODUCT(VLOOKUP($A84,'PSES Enroll Snapshot 25-01-17'!$K$5:$AB$327,{15,16,17},0))</f>
        <v>31.64</v>
      </c>
      <c r="F84" s="33">
        <f>ROUND($C84*'2024-25 Elementary Calculator'!$Q$13/400,3)+ROUND($D84*'2024-25 Middle Calculator'!$O$13/432,3)+ROUND($E84*'2024-25 High Calculator'!$O$13/600,3)</f>
        <v>0.50600000000000001</v>
      </c>
      <c r="G84" s="33">
        <f>ROUND($C84*'2024-25 Elementary Calculator'!$Q$15/400,3)+ROUND($D84*'2024-25 Middle Calculator'!$O$15/432,3)+ROUND($E84*'2024-25 High Calculator'!$O$15/600,3)</f>
        <v>8.900000000000001E-2</v>
      </c>
      <c r="H84" s="33">
        <f>ROUND($C84*'2024-25 Elementary Calculator'!$Q$17/400,3)+ROUND($D84*'2024-25 Middle Calculator'!$O$17/432,3)+ROUND($E84*'2024-25 High Calculator'!$O$17/600,3)</f>
        <v>0.03</v>
      </c>
      <c r="I84" s="33">
        <f>ROUND($C84*'2024-25 Elementary Calculator'!$Q$18/400,3)+ROUND($D84*'2024-25 Middle Calculator'!$O$18/432,3)+ROUND($E84*'2024-25 High Calculator'!$O$18/600,3)</f>
        <v>0.23899999999999999</v>
      </c>
      <c r="J84" s="166">
        <f t="shared" si="10"/>
        <v>0.86399999999999999</v>
      </c>
      <c r="K84" s="33">
        <f>ROUND($C84*'2024-25 Elementary Calculator'!$Q$23/400,3)+ROUND($D84*'2024-25 Middle Calculator'!$O$23/432,3)+ROUND($E84*'2024-25 High Calculator'!$O$23/600,3)</f>
        <v>3.2000000000000001E-2</v>
      </c>
      <c r="L84" s="33">
        <f>ROUND($C84*'2024-25 Elementary Calculator'!$Q$22/400,3)+ROUND($D84*'2024-25 Middle Calculator'!$O$22/432,3)+ROUND($E84*'2024-25 High Calculator'!$O$22/600,3)</f>
        <v>0.02</v>
      </c>
      <c r="M84" s="166">
        <f t="shared" si="11"/>
        <v>5.2000000000000005E-2</v>
      </c>
      <c r="N84" s="33">
        <f>VLOOKUP($A84,'District Summary'!$A$6:$AH$325,29,FALSE)</f>
        <v>0.53300000000000003</v>
      </c>
      <c r="O84" s="33">
        <f>VLOOKUP($A84,'District Summary'!$A$6:$AH$325,34,FALSE)</f>
        <v>0</v>
      </c>
      <c r="P84" s="67">
        <f t="shared" si="12"/>
        <v>-0.33099999999999996</v>
      </c>
      <c r="Q84" s="67">
        <f t="shared" si="13"/>
        <v>-5.2000000000000005E-2</v>
      </c>
      <c r="R84" s="67">
        <f t="shared" si="14"/>
        <v>0.91600000000000004</v>
      </c>
      <c r="S84" s="33">
        <f t="shared" si="15"/>
        <v>0.53300000000000003</v>
      </c>
      <c r="T84" s="67">
        <f t="shared" si="17"/>
        <v>-0.38300000000000001</v>
      </c>
      <c r="U84" s="67">
        <f t="shared" si="16"/>
        <v>-0.38300000000000001</v>
      </c>
      <c r="V84" s="273"/>
      <c r="W84" s="273"/>
    </row>
    <row r="85" spans="1:23" x14ac:dyDescent="0.25">
      <c r="A85" t="s">
        <v>86</v>
      </c>
      <c r="B85" t="s">
        <v>382</v>
      </c>
      <c r="C85" s="25">
        <f>SUMPRODUCT(VLOOKUP($A85,'PSES Enroll Snapshot 25-01-17'!$K$5:$AB$327,{2,3,4,5,6,7,8,9},0))</f>
        <v>306.26</v>
      </c>
      <c r="D85" s="25">
        <f>SUMPRODUCT(VLOOKUP($A85,'PSES Enroll Snapshot 25-01-17'!$K$5:$AB$327,{10,11},0))-VLOOKUP($A85,'PSES Enroll Snapshot 25-01-17'!$K$5:$AB$327,12,0)</f>
        <v>86.31</v>
      </c>
      <c r="E85" s="25">
        <f>SUMPRODUCT(VLOOKUP($A85,'PSES Enroll Snapshot 25-01-17'!$K$5:$AB$327,{13,14},0))-SUMPRODUCT(VLOOKUP($A85,'PSES Enroll Snapshot 25-01-17'!$K$5:$AB$327,{15,16,17},0))</f>
        <v>112.11</v>
      </c>
      <c r="F85" s="33">
        <f>ROUND($C85*'2024-25 Elementary Calculator'!$Q$13/400,3)+ROUND($D85*'2024-25 Middle Calculator'!$O$13/432,3)+ROUND($E85*'2024-25 High Calculator'!$O$13/600,3)</f>
        <v>1.6709999999999998</v>
      </c>
      <c r="G85" s="33">
        <f>ROUND($C85*'2024-25 Elementary Calculator'!$Q$15/400,3)+ROUND($D85*'2024-25 Middle Calculator'!$O$15/432,3)+ROUND($E85*'2024-25 High Calculator'!$O$15/600,3)</f>
        <v>0.28000000000000003</v>
      </c>
      <c r="H85" s="33">
        <f>ROUND($C85*'2024-25 Elementary Calculator'!$Q$17/400,3)+ROUND($D85*'2024-25 Middle Calculator'!$O$17/432,3)+ROUND($E85*'2024-25 High Calculator'!$O$17/600,3)</f>
        <v>9.4E-2</v>
      </c>
      <c r="I85" s="33">
        <f>ROUND($C85*'2024-25 Elementary Calculator'!$Q$18/400,3)+ROUND($D85*'2024-25 Middle Calculator'!$O$18/432,3)+ROUND($E85*'2024-25 High Calculator'!$O$18/600,3)</f>
        <v>0.77900000000000003</v>
      </c>
      <c r="J85" s="166">
        <f t="shared" si="10"/>
        <v>2.8239999999999998</v>
      </c>
      <c r="K85" s="33">
        <f>ROUND($C85*'2024-25 Elementary Calculator'!$Q$23/400,3)+ROUND($D85*'2024-25 Middle Calculator'!$O$23/432,3)+ROUND($E85*'2024-25 High Calculator'!$O$23/600,3)</f>
        <v>0.104</v>
      </c>
      <c r="L85" s="33">
        <f>ROUND($C85*'2024-25 Elementary Calculator'!$Q$22/400,3)+ROUND($D85*'2024-25 Middle Calculator'!$O$22/432,3)+ROUND($E85*'2024-25 High Calculator'!$O$22/600,3)</f>
        <v>6.3E-2</v>
      </c>
      <c r="M85" s="166">
        <f t="shared" si="11"/>
        <v>0.16699999999999998</v>
      </c>
      <c r="N85" s="33">
        <f>VLOOKUP($A85,'District Summary'!$A$6:$AH$325,29,FALSE)</f>
        <v>2</v>
      </c>
      <c r="O85" s="33">
        <f>VLOOKUP($A85,'District Summary'!$A$6:$AH$325,34,FALSE)</f>
        <v>0.626</v>
      </c>
      <c r="P85" s="67">
        <f t="shared" si="12"/>
        <v>-0.82399999999999984</v>
      </c>
      <c r="Q85" s="67">
        <f t="shared" si="13"/>
        <v>0.45900000000000002</v>
      </c>
      <c r="R85" s="67">
        <f t="shared" si="14"/>
        <v>2.9909999999999997</v>
      </c>
      <c r="S85" s="33">
        <f t="shared" si="15"/>
        <v>2.6259999999999999</v>
      </c>
      <c r="T85" s="67">
        <f t="shared" si="17"/>
        <v>-0.36499999999999999</v>
      </c>
      <c r="U85" s="67">
        <f t="shared" si="16"/>
        <v>-0.36499999999999999</v>
      </c>
      <c r="V85" s="273"/>
      <c r="W85" s="273"/>
    </row>
    <row r="86" spans="1:23" x14ac:dyDescent="0.25">
      <c r="A86" t="s">
        <v>87</v>
      </c>
      <c r="B86" t="s">
        <v>383</v>
      </c>
      <c r="C86" s="25">
        <f>SUMPRODUCT(VLOOKUP($A86,'PSES Enroll Snapshot 25-01-17'!$K$5:$AB$327,{2,3,4,5,6,7,8,9},0))</f>
        <v>174.6</v>
      </c>
      <c r="D86" s="25">
        <f>SUMPRODUCT(VLOOKUP($A86,'PSES Enroll Snapshot 25-01-17'!$K$5:$AB$327,{10,11},0))-VLOOKUP($A86,'PSES Enroll Snapshot 25-01-17'!$K$5:$AB$327,12,0)</f>
        <v>45.169999999999995</v>
      </c>
      <c r="E86" s="25">
        <f>SUMPRODUCT(VLOOKUP($A86,'PSES Enroll Snapshot 25-01-17'!$K$5:$AB$327,{13,14},0))-SUMPRODUCT(VLOOKUP($A86,'PSES Enroll Snapshot 25-01-17'!$K$5:$AB$327,{15,16,17},0))</f>
        <v>46.5</v>
      </c>
      <c r="F86" s="33">
        <f>ROUND($C86*'2024-25 Elementary Calculator'!$Q$13/400,3)+ROUND($D86*'2024-25 Middle Calculator'!$O$13/432,3)+ROUND($E86*'2024-25 High Calculator'!$O$13/600,3)</f>
        <v>0.84799999999999998</v>
      </c>
      <c r="G86" s="33">
        <f>ROUND($C86*'2024-25 Elementary Calculator'!$Q$15/400,3)+ROUND($D86*'2024-25 Middle Calculator'!$O$15/432,3)+ROUND($E86*'2024-25 High Calculator'!$O$15/600,3)</f>
        <v>0.15500000000000003</v>
      </c>
      <c r="H86" s="33">
        <f>ROUND($C86*'2024-25 Elementary Calculator'!$Q$17/400,3)+ROUND($D86*'2024-25 Middle Calculator'!$O$17/432,3)+ROUND($E86*'2024-25 High Calculator'!$O$17/600,3)</f>
        <v>5.2000000000000005E-2</v>
      </c>
      <c r="I86" s="33">
        <f>ROUND($C86*'2024-25 Elementary Calculator'!$Q$18/400,3)+ROUND($D86*'2024-25 Middle Calculator'!$O$18/432,3)+ROUND($E86*'2024-25 High Calculator'!$O$18/600,3)</f>
        <v>0.41199999999999998</v>
      </c>
      <c r="J86" s="166">
        <f t="shared" si="10"/>
        <v>1.4670000000000001</v>
      </c>
      <c r="K86" s="33">
        <f>ROUND($C86*'2024-25 Elementary Calculator'!$Q$23/400,3)+ROUND($D86*'2024-25 Middle Calculator'!$O$23/432,3)+ROUND($E86*'2024-25 High Calculator'!$O$23/600,3)</f>
        <v>5.5000000000000007E-2</v>
      </c>
      <c r="L86" s="33">
        <f>ROUND($C86*'2024-25 Elementary Calculator'!$Q$22/400,3)+ROUND($D86*'2024-25 Middle Calculator'!$O$22/432,3)+ROUND($E86*'2024-25 High Calculator'!$O$22/600,3)</f>
        <v>3.5999999999999997E-2</v>
      </c>
      <c r="M86" s="166">
        <f t="shared" si="11"/>
        <v>9.0999999999999998E-2</v>
      </c>
      <c r="N86" s="33">
        <f>VLOOKUP($A86,'District Summary'!$A$6:$AH$325,29,FALSE)</f>
        <v>2.6420000000000003</v>
      </c>
      <c r="O86" s="33">
        <f>VLOOKUP($A86,'District Summary'!$A$6:$AH$325,34,FALSE)</f>
        <v>4.5999999999999999E-2</v>
      </c>
      <c r="P86" s="67">
        <f t="shared" si="12"/>
        <v>1.1750000000000003</v>
      </c>
      <c r="Q86" s="67">
        <f t="shared" si="13"/>
        <v>-4.4999999999999998E-2</v>
      </c>
      <c r="R86" s="67">
        <f t="shared" si="14"/>
        <v>1.5580000000000001</v>
      </c>
      <c r="S86" s="33">
        <f t="shared" si="15"/>
        <v>2.6880000000000002</v>
      </c>
      <c r="T86" s="67">
        <f t="shared" si="17"/>
        <v>1.1299999999999999</v>
      </c>
      <c r="U86" s="67">
        <f t="shared" si="16"/>
        <v>0</v>
      </c>
      <c r="V86" s="273"/>
      <c r="W86" s="273"/>
    </row>
    <row r="87" spans="1:23" x14ac:dyDescent="0.25">
      <c r="A87" t="s">
        <v>88</v>
      </c>
      <c r="B87" t="s">
        <v>384</v>
      </c>
      <c r="C87" s="25">
        <f>SUMPRODUCT(VLOOKUP($A87,'PSES Enroll Snapshot 25-01-17'!$K$5:$AB$327,{2,3,4,5,6,7,8,9},0))</f>
        <v>2830.0199999999995</v>
      </c>
      <c r="D87" s="25">
        <f>SUMPRODUCT(VLOOKUP($A87,'PSES Enroll Snapshot 25-01-17'!$K$5:$AB$327,{10,11},0))-VLOOKUP($A87,'PSES Enroll Snapshot 25-01-17'!$K$5:$AB$327,12,0)</f>
        <v>669.64</v>
      </c>
      <c r="E87" s="25">
        <f>SUMPRODUCT(VLOOKUP($A87,'PSES Enroll Snapshot 25-01-17'!$K$5:$AB$327,{13,14},0))-SUMPRODUCT(VLOOKUP($A87,'PSES Enroll Snapshot 25-01-17'!$K$5:$AB$327,{15,16,17},0))</f>
        <v>1058.9000000000001</v>
      </c>
      <c r="F87" s="33">
        <f>ROUND($C87*'2024-25 Elementary Calculator'!$Q$13/400,3)+ROUND($D87*'2024-25 Middle Calculator'!$O$13/432,3)+ROUND($E87*'2024-25 High Calculator'!$O$13/600,3)</f>
        <v>15.048999999999999</v>
      </c>
      <c r="G87" s="33">
        <f>ROUND($C87*'2024-25 Elementary Calculator'!$Q$15/400,3)+ROUND($D87*'2024-25 Middle Calculator'!$O$15/432,3)+ROUND($E87*'2024-25 High Calculator'!$O$15/600,3)</f>
        <v>2.5600000000000005</v>
      </c>
      <c r="H87" s="33">
        <f>ROUND($C87*'2024-25 Elementary Calculator'!$Q$17/400,3)+ROUND($D87*'2024-25 Middle Calculator'!$O$17/432,3)+ROUND($E87*'2024-25 High Calculator'!$O$17/600,3)</f>
        <v>0.85899999999999999</v>
      </c>
      <c r="I87" s="33">
        <f>ROUND($C87*'2024-25 Elementary Calculator'!$Q$18/400,3)+ROUND($D87*'2024-25 Middle Calculator'!$O$18/432,3)+ROUND($E87*'2024-25 High Calculator'!$O$18/600,3)</f>
        <v>6.9690000000000003</v>
      </c>
      <c r="J87" s="166">
        <f t="shared" si="10"/>
        <v>25.437000000000005</v>
      </c>
      <c r="K87" s="33">
        <f>ROUND($C87*'2024-25 Elementary Calculator'!$Q$23/400,3)+ROUND($D87*'2024-25 Middle Calculator'!$O$23/432,3)+ROUND($E87*'2024-25 High Calculator'!$O$23/600,3)</f>
        <v>0.95100000000000007</v>
      </c>
      <c r="L87" s="33">
        <f>ROUND($C87*'2024-25 Elementary Calculator'!$Q$22/400,3)+ROUND($D87*'2024-25 Middle Calculator'!$O$22/432,3)+ROUND($E87*'2024-25 High Calculator'!$O$22/600,3)</f>
        <v>0.58399999999999996</v>
      </c>
      <c r="M87" s="166">
        <f t="shared" si="11"/>
        <v>1.5350000000000001</v>
      </c>
      <c r="N87" s="33">
        <f>VLOOKUP($A87,'District Summary'!$A$6:$AH$325,29,FALSE)</f>
        <v>24.383999999999993</v>
      </c>
      <c r="O87" s="33">
        <f>VLOOKUP($A87,'District Summary'!$A$6:$AH$325,34,FALSE)</f>
        <v>4.3600000000000003</v>
      </c>
      <c r="P87" s="67">
        <f t="shared" si="12"/>
        <v>-1.0530000000000115</v>
      </c>
      <c r="Q87" s="67">
        <f t="shared" si="13"/>
        <v>2.8250000000000002</v>
      </c>
      <c r="R87" s="67">
        <f t="shared" si="14"/>
        <v>26.972000000000005</v>
      </c>
      <c r="S87" s="33">
        <f t="shared" si="15"/>
        <v>28.743999999999993</v>
      </c>
      <c r="T87" s="67">
        <f t="shared" si="17"/>
        <v>1.772</v>
      </c>
      <c r="U87" s="67">
        <f t="shared" si="16"/>
        <v>0</v>
      </c>
      <c r="V87" s="273"/>
      <c r="W87" s="273"/>
    </row>
    <row r="88" spans="1:23" x14ac:dyDescent="0.25">
      <c r="A88" t="s">
        <v>89</v>
      </c>
      <c r="B88" t="s">
        <v>385</v>
      </c>
      <c r="C88" s="25">
        <f>SUMPRODUCT(VLOOKUP($A88,'PSES Enroll Snapshot 25-01-17'!$K$5:$AB$327,{2,3,4,5,6,7,8,9},0))</f>
        <v>549</v>
      </c>
      <c r="D88" s="25">
        <f>SUMPRODUCT(VLOOKUP($A88,'PSES Enroll Snapshot 25-01-17'!$K$5:$AB$327,{10,11},0))-VLOOKUP($A88,'PSES Enroll Snapshot 25-01-17'!$K$5:$AB$327,12,0)</f>
        <v>158.10999999999999</v>
      </c>
      <c r="E88" s="25">
        <f>SUMPRODUCT(VLOOKUP($A88,'PSES Enroll Snapshot 25-01-17'!$K$5:$AB$327,{13,14},0))-SUMPRODUCT(VLOOKUP($A88,'PSES Enroll Snapshot 25-01-17'!$K$5:$AB$327,{15,16,17},0))</f>
        <v>226.12</v>
      </c>
      <c r="F88" s="33">
        <f>ROUND($C88*'2024-25 Elementary Calculator'!$Q$13/400,3)+ROUND($D88*'2024-25 Middle Calculator'!$O$13/432,3)+ROUND($E88*'2024-25 High Calculator'!$O$13/600,3)</f>
        <v>3.1360000000000001</v>
      </c>
      <c r="G88" s="33">
        <f>ROUND($C88*'2024-25 Elementary Calculator'!$Q$15/400,3)+ROUND($D88*'2024-25 Middle Calculator'!$O$15/432,3)+ROUND($E88*'2024-25 High Calculator'!$O$15/600,3)</f>
        <v>0.50700000000000001</v>
      </c>
      <c r="H88" s="33">
        <f>ROUND($C88*'2024-25 Elementary Calculator'!$Q$17/400,3)+ROUND($D88*'2024-25 Middle Calculator'!$O$17/432,3)+ROUND($E88*'2024-25 High Calculator'!$O$17/600,3)</f>
        <v>0.16999999999999998</v>
      </c>
      <c r="I88" s="33">
        <f>ROUND($C88*'2024-25 Elementary Calculator'!$Q$18/400,3)+ROUND($D88*'2024-25 Middle Calculator'!$O$18/432,3)+ROUND($E88*'2024-25 High Calculator'!$O$18/600,3)</f>
        <v>1.4390000000000001</v>
      </c>
      <c r="J88" s="166">
        <f t="shared" si="10"/>
        <v>5.2520000000000007</v>
      </c>
      <c r="K88" s="33">
        <f>ROUND($C88*'2024-25 Elementary Calculator'!$Q$23/400,3)+ROUND($D88*'2024-25 Middle Calculator'!$O$23/432,3)+ROUND($E88*'2024-25 High Calculator'!$O$23/600,3)</f>
        <v>0.19500000000000001</v>
      </c>
      <c r="L88" s="33">
        <f>ROUND($C88*'2024-25 Elementary Calculator'!$Q$22/400,3)+ROUND($D88*'2024-25 Middle Calculator'!$O$22/432,3)+ROUND($E88*'2024-25 High Calculator'!$O$22/600,3)</f>
        <v>0.113</v>
      </c>
      <c r="M88" s="166">
        <f t="shared" si="11"/>
        <v>0.308</v>
      </c>
      <c r="N88" s="33">
        <f>VLOOKUP($A88,'District Summary'!$A$6:$AH$325,29,FALSE)</f>
        <v>3.4259999999999997</v>
      </c>
      <c r="O88" s="33">
        <f>VLOOKUP($A88,'District Summary'!$A$6:$AH$325,34,FALSE)</f>
        <v>2.444</v>
      </c>
      <c r="P88" s="67">
        <f t="shared" si="12"/>
        <v>-1.826000000000001</v>
      </c>
      <c r="Q88" s="67">
        <f t="shared" si="13"/>
        <v>2.1360000000000001</v>
      </c>
      <c r="R88" s="67">
        <f t="shared" si="14"/>
        <v>5.5600000000000005</v>
      </c>
      <c r="S88" s="33">
        <f t="shared" si="15"/>
        <v>5.8699999999999992</v>
      </c>
      <c r="T88" s="67">
        <f t="shared" si="17"/>
        <v>0.31</v>
      </c>
      <c r="U88" s="67">
        <f t="shared" si="16"/>
        <v>0</v>
      </c>
      <c r="V88" s="273"/>
      <c r="W88" s="273"/>
    </row>
    <row r="89" spans="1:23" x14ac:dyDescent="0.25">
      <c r="A89" t="s">
        <v>90</v>
      </c>
      <c r="B89" t="s">
        <v>386</v>
      </c>
      <c r="C89" s="25">
        <f>SUMPRODUCT(VLOOKUP($A89,'PSES Enroll Snapshot 25-01-17'!$K$5:$AB$327,{2,3,4,5,6,7,8,9},0))</f>
        <v>540.27</v>
      </c>
      <c r="D89" s="25">
        <f>SUMPRODUCT(VLOOKUP($A89,'PSES Enroll Snapshot 25-01-17'!$K$5:$AB$327,{10,11},0))-VLOOKUP($A89,'PSES Enroll Snapshot 25-01-17'!$K$5:$AB$327,12,0)</f>
        <v>167.57</v>
      </c>
      <c r="E89" s="25">
        <f>SUMPRODUCT(VLOOKUP($A89,'PSES Enroll Snapshot 25-01-17'!$K$5:$AB$327,{13,14},0))-SUMPRODUCT(VLOOKUP($A89,'PSES Enroll Snapshot 25-01-17'!$K$5:$AB$327,{15,16,17},0))</f>
        <v>310.44</v>
      </c>
      <c r="F89" s="33">
        <f>ROUND($C89*'2024-25 Elementary Calculator'!$Q$13/400,3)+ROUND($D89*'2024-25 Middle Calculator'!$O$13/432,3)+ROUND($E89*'2024-25 High Calculator'!$O$13/600,3)</f>
        <v>3.5790000000000002</v>
      </c>
      <c r="G89" s="33">
        <f>ROUND($C89*'2024-25 Elementary Calculator'!$Q$15/400,3)+ROUND($D89*'2024-25 Middle Calculator'!$O$15/432,3)+ROUND($E89*'2024-25 High Calculator'!$O$15/600,3)</f>
        <v>0.52</v>
      </c>
      <c r="H89" s="33">
        <f>ROUND($C89*'2024-25 Elementary Calculator'!$Q$17/400,3)+ROUND($D89*'2024-25 Middle Calculator'!$O$17/432,3)+ROUND($E89*'2024-25 High Calculator'!$O$17/600,3)</f>
        <v>0.17400000000000002</v>
      </c>
      <c r="I89" s="33">
        <f>ROUND($C89*'2024-25 Elementary Calculator'!$Q$18/400,3)+ROUND($D89*'2024-25 Middle Calculator'!$O$18/432,3)+ROUND($E89*'2024-25 High Calculator'!$O$18/600,3)</f>
        <v>1.5599999999999998</v>
      </c>
      <c r="J89" s="166">
        <f t="shared" si="10"/>
        <v>5.8330000000000002</v>
      </c>
      <c r="K89" s="33">
        <f>ROUND($C89*'2024-25 Elementary Calculator'!$Q$23/400,3)+ROUND($D89*'2024-25 Middle Calculator'!$O$23/432,3)+ROUND($E89*'2024-25 High Calculator'!$O$23/600,3)</f>
        <v>0.21599999999999997</v>
      </c>
      <c r="L89" s="33">
        <f>ROUND($C89*'2024-25 Elementary Calculator'!$Q$22/400,3)+ROUND($D89*'2024-25 Middle Calculator'!$O$22/432,3)+ROUND($E89*'2024-25 High Calculator'!$O$22/600,3)</f>
        <v>0.111</v>
      </c>
      <c r="M89" s="166">
        <f t="shared" si="11"/>
        <v>0.32699999999999996</v>
      </c>
      <c r="N89" s="33">
        <f>VLOOKUP($A89,'District Summary'!$A$6:$AH$325,29,FALSE)</f>
        <v>4.6709999999999994</v>
      </c>
      <c r="O89" s="33">
        <f>VLOOKUP($A89,'District Summary'!$A$6:$AH$325,34,FALSE)</f>
        <v>0.66400000000000003</v>
      </c>
      <c r="P89" s="67">
        <f t="shared" si="12"/>
        <v>-1.1620000000000008</v>
      </c>
      <c r="Q89" s="67">
        <f t="shared" si="13"/>
        <v>0.33700000000000008</v>
      </c>
      <c r="R89" s="67">
        <f t="shared" si="14"/>
        <v>6.16</v>
      </c>
      <c r="S89" s="33">
        <f t="shared" si="15"/>
        <v>5.3349999999999991</v>
      </c>
      <c r="T89" s="67">
        <f t="shared" si="17"/>
        <v>-0.82499999999999996</v>
      </c>
      <c r="U89" s="67">
        <f t="shared" si="16"/>
        <v>-0.82499999999999996</v>
      </c>
      <c r="V89" s="273"/>
      <c r="W89" s="273"/>
    </row>
    <row r="90" spans="1:23" x14ac:dyDescent="0.25">
      <c r="A90" t="s">
        <v>91</v>
      </c>
      <c r="B90" t="s">
        <v>387</v>
      </c>
      <c r="C90" s="25">
        <f>SUMPRODUCT(VLOOKUP($A90,'PSES Enroll Snapshot 25-01-17'!$K$5:$AB$327,{2,3,4,5,6,7,8,9},0))</f>
        <v>35</v>
      </c>
      <c r="D90" s="25">
        <f>SUMPRODUCT(VLOOKUP($A90,'PSES Enroll Snapshot 25-01-17'!$K$5:$AB$327,{10,11},0))-VLOOKUP($A90,'PSES Enroll Snapshot 25-01-17'!$K$5:$AB$327,12,0)</f>
        <v>2</v>
      </c>
      <c r="E90" s="25">
        <f>SUMPRODUCT(VLOOKUP($A90,'PSES Enroll Snapshot 25-01-17'!$K$5:$AB$327,{13,14},0))-SUMPRODUCT(VLOOKUP($A90,'PSES Enroll Snapshot 25-01-17'!$K$5:$AB$327,{15,16,17},0))</f>
        <v>0</v>
      </c>
      <c r="F90" s="33">
        <f>ROUND($C90*'2024-25 Elementary Calculator'!$Q$13/400,3)+ROUND($D90*'2024-25 Middle Calculator'!$O$13/432,3)+ROUND($E90*'2024-25 High Calculator'!$O$13/600,3)</f>
        <v>9.5000000000000001E-2</v>
      </c>
      <c r="G90" s="33">
        <f>ROUND($C90*'2024-25 Elementary Calculator'!$Q$15/400,3)+ROUND($D90*'2024-25 Middle Calculator'!$O$15/432,3)+ROUND($E90*'2024-25 High Calculator'!$O$15/600,3)</f>
        <v>2.7E-2</v>
      </c>
      <c r="H90" s="33">
        <f>ROUND($C90*'2024-25 Elementary Calculator'!$Q$17/400,3)+ROUND($D90*'2024-25 Middle Calculator'!$O$17/432,3)+ROUND($E90*'2024-25 High Calculator'!$O$17/600,3)</f>
        <v>8.9999999999999993E-3</v>
      </c>
      <c r="I90" s="33">
        <f>ROUND($C90*'2024-25 Elementary Calculator'!$Q$18/400,3)+ROUND($D90*'2024-25 Middle Calculator'!$O$18/432,3)+ROUND($E90*'2024-25 High Calculator'!$O$18/600,3)</f>
        <v>5.4999999999999993E-2</v>
      </c>
      <c r="J90" s="166">
        <f t="shared" si="10"/>
        <v>0.186</v>
      </c>
      <c r="K90" s="33">
        <f>ROUND($C90*'2024-25 Elementary Calculator'!$Q$23/400,3)+ROUND($D90*'2024-25 Middle Calculator'!$O$23/432,3)+ROUND($E90*'2024-25 High Calculator'!$O$23/600,3)</f>
        <v>7.0000000000000001E-3</v>
      </c>
      <c r="L90" s="33">
        <f>ROUND($C90*'2024-25 Elementary Calculator'!$Q$22/400,3)+ROUND($D90*'2024-25 Middle Calculator'!$O$22/432,3)+ROUND($E90*'2024-25 High Calculator'!$O$22/600,3)</f>
        <v>7.0000000000000001E-3</v>
      </c>
      <c r="M90" s="166">
        <f t="shared" si="11"/>
        <v>1.4E-2</v>
      </c>
      <c r="N90" s="33">
        <f>VLOOKUP($A90,'District Summary'!$A$6:$AH$325,29,FALSE)</f>
        <v>0</v>
      </c>
      <c r="O90" s="33">
        <f>VLOOKUP($A90,'District Summary'!$A$6:$AH$325,34,FALSE)</f>
        <v>4.5999999999999999E-2</v>
      </c>
      <c r="P90" s="67">
        <f t="shared" si="12"/>
        <v>-0.186</v>
      </c>
      <c r="Q90" s="67">
        <f t="shared" si="13"/>
        <v>3.2000000000000001E-2</v>
      </c>
      <c r="R90" s="67">
        <f t="shared" si="14"/>
        <v>0.2</v>
      </c>
      <c r="S90" s="33">
        <f t="shared" si="15"/>
        <v>4.5999999999999999E-2</v>
      </c>
      <c r="T90" s="67">
        <f t="shared" si="17"/>
        <v>-0.154</v>
      </c>
      <c r="U90" s="67">
        <f t="shared" si="16"/>
        <v>-0.154</v>
      </c>
      <c r="V90" s="273"/>
      <c r="W90" s="273"/>
    </row>
    <row r="91" spans="1:23" x14ac:dyDescent="0.25">
      <c r="A91" t="s">
        <v>92</v>
      </c>
      <c r="B91" t="s">
        <v>388</v>
      </c>
      <c r="C91" s="25">
        <f>SUMPRODUCT(VLOOKUP($A91,'PSES Enroll Snapshot 25-01-17'!$K$5:$AB$327,{2,3,4,5,6,7,8,9},0))</f>
        <v>49</v>
      </c>
      <c r="D91" s="25">
        <f>SUMPRODUCT(VLOOKUP($A91,'PSES Enroll Snapshot 25-01-17'!$K$5:$AB$327,{10,11},0))-VLOOKUP($A91,'PSES Enroll Snapshot 25-01-17'!$K$5:$AB$327,12,0)</f>
        <v>23</v>
      </c>
      <c r="E91" s="25">
        <f>SUMPRODUCT(VLOOKUP($A91,'PSES Enroll Snapshot 25-01-17'!$K$5:$AB$327,{13,14},0))-SUMPRODUCT(VLOOKUP($A91,'PSES Enroll Snapshot 25-01-17'!$K$5:$AB$327,{15,16,17},0))</f>
        <v>0</v>
      </c>
      <c r="F91" s="33">
        <f>ROUND($C91*'2024-25 Elementary Calculator'!$Q$13/400,3)+ROUND($D91*'2024-25 Middle Calculator'!$O$13/432,3)+ROUND($E91*'2024-25 High Calculator'!$O$13/600,3)</f>
        <v>0.21299999999999999</v>
      </c>
      <c r="G91" s="33">
        <f>ROUND($C91*'2024-25 Elementary Calculator'!$Q$15/400,3)+ROUND($D91*'2024-25 Middle Calculator'!$O$15/432,3)+ROUND($E91*'2024-25 High Calculator'!$O$15/600,3)</f>
        <v>4.2999999999999997E-2</v>
      </c>
      <c r="H91" s="33">
        <f>ROUND($C91*'2024-25 Elementary Calculator'!$Q$17/400,3)+ROUND($D91*'2024-25 Middle Calculator'!$O$17/432,3)+ROUND($E91*'2024-25 High Calculator'!$O$17/600,3)</f>
        <v>1.3999999999999999E-2</v>
      </c>
      <c r="I91" s="33">
        <f>ROUND($C91*'2024-25 Elementary Calculator'!$Q$18/400,3)+ROUND($D91*'2024-25 Middle Calculator'!$O$18/432,3)+ROUND($E91*'2024-25 High Calculator'!$O$18/600,3)</f>
        <v>0.11899999999999999</v>
      </c>
      <c r="J91" s="166">
        <f t="shared" si="10"/>
        <v>0.38900000000000001</v>
      </c>
      <c r="K91" s="33">
        <f>ROUND($C91*'2024-25 Elementary Calculator'!$Q$23/400,3)+ROUND($D91*'2024-25 Middle Calculator'!$O$23/432,3)+ROUND($E91*'2024-25 High Calculator'!$O$23/600,3)</f>
        <v>1.4999999999999999E-2</v>
      </c>
      <c r="L91" s="33">
        <f>ROUND($C91*'2024-25 Elementary Calculator'!$Q$22/400,3)+ROUND($D91*'2024-25 Middle Calculator'!$O$22/432,3)+ROUND($E91*'2024-25 High Calculator'!$O$22/600,3)</f>
        <v>0.01</v>
      </c>
      <c r="M91" s="166">
        <f t="shared" si="11"/>
        <v>2.5000000000000001E-2</v>
      </c>
      <c r="N91" s="33">
        <f>VLOOKUP($A91,'District Summary'!$A$6:$AH$325,29,FALSE)</f>
        <v>0</v>
      </c>
      <c r="O91" s="33">
        <f>VLOOKUP($A91,'District Summary'!$A$6:$AH$325,34,FALSE)</f>
        <v>0.30599999999999999</v>
      </c>
      <c r="P91" s="67">
        <f t="shared" si="12"/>
        <v>-0.38900000000000001</v>
      </c>
      <c r="Q91" s="67">
        <f t="shared" si="13"/>
        <v>0.28099999999999997</v>
      </c>
      <c r="R91" s="67">
        <f t="shared" si="14"/>
        <v>0.41400000000000003</v>
      </c>
      <c r="S91" s="33">
        <f t="shared" si="15"/>
        <v>0.30599999999999999</v>
      </c>
      <c r="T91" s="67">
        <f t="shared" si="17"/>
        <v>-0.108</v>
      </c>
      <c r="U91" s="67">
        <f t="shared" si="16"/>
        <v>-0.108</v>
      </c>
      <c r="V91" s="273"/>
      <c r="W91" s="273"/>
    </row>
    <row r="92" spans="1:23" x14ac:dyDescent="0.25">
      <c r="A92" t="s">
        <v>93</v>
      </c>
      <c r="B92" t="s">
        <v>389</v>
      </c>
      <c r="C92" s="25">
        <f>SUMPRODUCT(VLOOKUP($A92,'PSES Enroll Snapshot 25-01-17'!$K$5:$AB$327,{2,3,4,5,6,7,8,9},0))</f>
        <v>75.400000000000006</v>
      </c>
      <c r="D92" s="25">
        <f>SUMPRODUCT(VLOOKUP($A92,'PSES Enroll Snapshot 25-01-17'!$K$5:$AB$327,{10,11},0))-VLOOKUP($A92,'PSES Enroll Snapshot 25-01-17'!$K$5:$AB$327,12,0)</f>
        <v>19.32</v>
      </c>
      <c r="E92" s="25">
        <f>SUMPRODUCT(VLOOKUP($A92,'PSES Enroll Snapshot 25-01-17'!$K$5:$AB$327,{13,14},0))-SUMPRODUCT(VLOOKUP($A92,'PSES Enroll Snapshot 25-01-17'!$K$5:$AB$327,{15,16,17},0))</f>
        <v>79.199999999999989</v>
      </c>
      <c r="F92" s="33">
        <f>ROUND($C92*'2024-25 Elementary Calculator'!$Q$13/400,3)+ROUND($D92*'2024-25 Middle Calculator'!$O$13/432,3)+ROUND($E92*'2024-25 High Calculator'!$O$13/600,3)</f>
        <v>0.66500000000000004</v>
      </c>
      <c r="G92" s="33">
        <f>ROUND($C92*'2024-25 Elementary Calculator'!$Q$15/400,3)+ROUND($D92*'2024-25 Middle Calculator'!$O$15/432,3)+ROUND($E92*'2024-25 High Calculator'!$O$15/600,3)</f>
        <v>0.08</v>
      </c>
      <c r="H92" s="33">
        <f>ROUND($C92*'2024-25 Elementary Calculator'!$Q$17/400,3)+ROUND($D92*'2024-25 Middle Calculator'!$O$17/432,3)+ROUND($E92*'2024-25 High Calculator'!$O$17/600,3)</f>
        <v>2.7000000000000003E-2</v>
      </c>
      <c r="I92" s="33">
        <f>ROUND($C92*'2024-25 Elementary Calculator'!$Q$18/400,3)+ROUND($D92*'2024-25 Middle Calculator'!$O$18/432,3)+ROUND($E92*'2024-25 High Calculator'!$O$18/600,3)</f>
        <v>0.25900000000000001</v>
      </c>
      <c r="J92" s="166">
        <f t="shared" si="10"/>
        <v>1.0310000000000001</v>
      </c>
      <c r="K92" s="33">
        <f>ROUND($C92*'2024-25 Elementary Calculator'!$Q$23/400,3)+ROUND($D92*'2024-25 Middle Calculator'!$O$23/432,3)+ROUND($E92*'2024-25 High Calculator'!$O$23/600,3)</f>
        <v>3.7999999999999999E-2</v>
      </c>
      <c r="L92" s="33">
        <f>ROUND($C92*'2024-25 Elementary Calculator'!$Q$22/400,3)+ROUND($D92*'2024-25 Middle Calculator'!$O$22/432,3)+ROUND($E92*'2024-25 High Calculator'!$O$22/600,3)</f>
        <v>1.6E-2</v>
      </c>
      <c r="M92" s="166">
        <f t="shared" si="11"/>
        <v>5.3999999999999999E-2</v>
      </c>
      <c r="N92" s="33">
        <f>VLOOKUP($A92,'District Summary'!$A$6:$AH$325,29,FALSE)</f>
        <v>1.091</v>
      </c>
      <c r="O92" s="33">
        <f>VLOOKUP($A92,'District Summary'!$A$6:$AH$325,34,FALSE)</f>
        <v>0.84</v>
      </c>
      <c r="P92" s="67">
        <f t="shared" si="12"/>
        <v>5.9999999999999831E-2</v>
      </c>
      <c r="Q92" s="67">
        <f t="shared" si="13"/>
        <v>0.78599999999999992</v>
      </c>
      <c r="R92" s="67">
        <f t="shared" si="14"/>
        <v>1.0850000000000002</v>
      </c>
      <c r="S92" s="33">
        <f t="shared" si="15"/>
        <v>1.931</v>
      </c>
      <c r="T92" s="67">
        <f t="shared" si="17"/>
        <v>0.84599999999999997</v>
      </c>
      <c r="U92" s="67">
        <f t="shared" si="16"/>
        <v>0</v>
      </c>
      <c r="V92" s="273"/>
      <c r="W92" s="273"/>
    </row>
    <row r="93" spans="1:23" x14ac:dyDescent="0.25">
      <c r="A93" t="s">
        <v>94</v>
      </c>
      <c r="B93" t="s">
        <v>390</v>
      </c>
      <c r="C93" s="25">
        <f>SUMPRODUCT(VLOOKUP($A93,'PSES Enroll Snapshot 25-01-17'!$K$5:$AB$327,{2,3,4,5,6,7,8,9},0))</f>
        <v>383</v>
      </c>
      <c r="D93" s="25">
        <f>SUMPRODUCT(VLOOKUP($A93,'PSES Enroll Snapshot 25-01-17'!$K$5:$AB$327,{10,11},0))-VLOOKUP($A93,'PSES Enroll Snapshot 25-01-17'!$K$5:$AB$327,12,0)</f>
        <v>102.27</v>
      </c>
      <c r="E93" s="25">
        <f>SUMPRODUCT(VLOOKUP($A93,'PSES Enroll Snapshot 25-01-17'!$K$5:$AB$327,{13,14},0))-SUMPRODUCT(VLOOKUP($A93,'PSES Enroll Snapshot 25-01-17'!$K$5:$AB$327,{15,16,17},0))</f>
        <v>112.31</v>
      </c>
      <c r="F93" s="33">
        <f>ROUND($C93*'2024-25 Elementary Calculator'!$Q$13/400,3)+ROUND($D93*'2024-25 Middle Calculator'!$O$13/432,3)+ROUND($E93*'2024-25 High Calculator'!$O$13/600,3)</f>
        <v>1.9259999999999999</v>
      </c>
      <c r="G93" s="33">
        <f>ROUND($C93*'2024-25 Elementary Calculator'!$Q$15/400,3)+ROUND($D93*'2024-25 Middle Calculator'!$O$15/432,3)+ROUND($E93*'2024-25 High Calculator'!$O$15/600,3)</f>
        <v>0.34300000000000003</v>
      </c>
      <c r="H93" s="33">
        <f>ROUND($C93*'2024-25 Elementary Calculator'!$Q$17/400,3)+ROUND($D93*'2024-25 Middle Calculator'!$O$17/432,3)+ROUND($E93*'2024-25 High Calculator'!$O$17/600,3)</f>
        <v>0.115</v>
      </c>
      <c r="I93" s="33">
        <f>ROUND($C93*'2024-25 Elementary Calculator'!$Q$18/400,3)+ROUND($D93*'2024-25 Middle Calculator'!$O$18/432,3)+ROUND($E93*'2024-25 High Calculator'!$O$18/600,3)</f>
        <v>0.92400000000000004</v>
      </c>
      <c r="J93" s="166">
        <f t="shared" si="10"/>
        <v>3.3080000000000003</v>
      </c>
      <c r="K93" s="33">
        <f>ROUND($C93*'2024-25 Elementary Calculator'!$Q$23/400,3)+ROUND($D93*'2024-25 Middle Calculator'!$O$23/432,3)+ROUND($E93*'2024-25 High Calculator'!$O$23/600,3)</f>
        <v>0.124</v>
      </c>
      <c r="L93" s="33">
        <f>ROUND($C93*'2024-25 Elementary Calculator'!$Q$22/400,3)+ROUND($D93*'2024-25 Middle Calculator'!$O$22/432,3)+ROUND($E93*'2024-25 High Calculator'!$O$22/600,3)</f>
        <v>7.9000000000000001E-2</v>
      </c>
      <c r="M93" s="166">
        <f t="shared" si="11"/>
        <v>0.20300000000000001</v>
      </c>
      <c r="N93" s="33">
        <f>VLOOKUP($A93,'District Summary'!$A$6:$AH$325,29,FALSE)</f>
        <v>3.5589999999999997</v>
      </c>
      <c r="O93" s="33">
        <f>VLOOKUP($A93,'District Summary'!$A$6:$AH$325,34,FALSE)</f>
        <v>0.72</v>
      </c>
      <c r="P93" s="67">
        <f t="shared" si="12"/>
        <v>0.25099999999999945</v>
      </c>
      <c r="Q93" s="67">
        <f t="shared" si="13"/>
        <v>0.5169999999999999</v>
      </c>
      <c r="R93" s="67">
        <f t="shared" si="14"/>
        <v>3.5110000000000001</v>
      </c>
      <c r="S93" s="33">
        <f t="shared" si="15"/>
        <v>4.2789999999999999</v>
      </c>
      <c r="T93" s="67">
        <f t="shared" si="17"/>
        <v>0.76800000000000002</v>
      </c>
      <c r="U93" s="67">
        <f t="shared" si="16"/>
        <v>0</v>
      </c>
      <c r="V93" s="273"/>
      <c r="W93" s="273"/>
    </row>
    <row r="94" spans="1:23" x14ac:dyDescent="0.25">
      <c r="A94" t="s">
        <v>95</v>
      </c>
      <c r="B94" t="s">
        <v>391</v>
      </c>
      <c r="C94" s="25">
        <f>SUMPRODUCT(VLOOKUP($A94,'PSES Enroll Snapshot 25-01-17'!$K$5:$AB$327,{2,3,4,5,6,7,8,9},0))</f>
        <v>590.70000000000005</v>
      </c>
      <c r="D94" s="25">
        <f>SUMPRODUCT(VLOOKUP($A94,'PSES Enroll Snapshot 25-01-17'!$K$5:$AB$327,{10,11},0))-VLOOKUP($A94,'PSES Enroll Snapshot 25-01-17'!$K$5:$AB$327,12,0)</f>
        <v>133.43</v>
      </c>
      <c r="E94" s="25">
        <f>SUMPRODUCT(VLOOKUP($A94,'PSES Enroll Snapshot 25-01-17'!$K$5:$AB$327,{13,14},0))-SUMPRODUCT(VLOOKUP($A94,'PSES Enroll Snapshot 25-01-17'!$K$5:$AB$327,{15,16,17},0))</f>
        <v>276.69</v>
      </c>
      <c r="F94" s="33">
        <f>ROUND($C94*'2024-25 Elementary Calculator'!$Q$13/400,3)+ROUND($D94*'2024-25 Middle Calculator'!$O$13/432,3)+ROUND($E94*'2024-25 High Calculator'!$O$13/600,3)</f>
        <v>3.3970000000000002</v>
      </c>
      <c r="G94" s="33">
        <f>ROUND($C94*'2024-25 Elementary Calculator'!$Q$15/400,3)+ROUND($D94*'2024-25 Middle Calculator'!$O$15/432,3)+ROUND($E94*'2024-25 High Calculator'!$O$15/600,3)</f>
        <v>0.54500000000000004</v>
      </c>
      <c r="H94" s="33">
        <f>ROUND($C94*'2024-25 Elementary Calculator'!$Q$17/400,3)+ROUND($D94*'2024-25 Middle Calculator'!$O$17/432,3)+ROUND($E94*'2024-25 High Calculator'!$O$17/600,3)</f>
        <v>0.184</v>
      </c>
      <c r="I94" s="33">
        <f>ROUND($C94*'2024-25 Elementary Calculator'!$Q$18/400,3)+ROUND($D94*'2024-25 Middle Calculator'!$O$18/432,3)+ROUND($E94*'2024-25 High Calculator'!$O$18/600,3)</f>
        <v>1.5179999999999998</v>
      </c>
      <c r="J94" s="166">
        <f t="shared" si="10"/>
        <v>5.6440000000000001</v>
      </c>
      <c r="K94" s="33">
        <f>ROUND($C94*'2024-25 Elementary Calculator'!$Q$23/400,3)+ROUND($D94*'2024-25 Middle Calculator'!$O$23/432,3)+ROUND($E94*'2024-25 High Calculator'!$O$23/600,3)</f>
        <v>0.21000000000000002</v>
      </c>
      <c r="L94" s="33">
        <f>ROUND($C94*'2024-25 Elementary Calculator'!$Q$22/400,3)+ROUND($D94*'2024-25 Middle Calculator'!$O$22/432,3)+ROUND($E94*'2024-25 High Calculator'!$O$22/600,3)</f>
        <v>0.122</v>
      </c>
      <c r="M94" s="166">
        <f t="shared" si="11"/>
        <v>0.33200000000000002</v>
      </c>
      <c r="N94" s="33">
        <f>VLOOKUP($A94,'District Summary'!$A$6:$AH$325,29,FALSE)</f>
        <v>4.2059999999999995</v>
      </c>
      <c r="O94" s="33">
        <f>VLOOKUP($A94,'District Summary'!$A$6:$AH$325,34,FALSE)</f>
        <v>0</v>
      </c>
      <c r="P94" s="67">
        <f t="shared" si="12"/>
        <v>-1.4380000000000006</v>
      </c>
      <c r="Q94" s="67">
        <f t="shared" si="13"/>
        <v>-0.33200000000000002</v>
      </c>
      <c r="R94" s="67">
        <f t="shared" si="14"/>
        <v>5.976</v>
      </c>
      <c r="S94" s="33">
        <f t="shared" si="15"/>
        <v>4.2059999999999995</v>
      </c>
      <c r="T94" s="67">
        <f t="shared" si="17"/>
        <v>-1.77</v>
      </c>
      <c r="U94" s="67">
        <f t="shared" si="16"/>
        <v>-1.77</v>
      </c>
      <c r="V94" s="273"/>
      <c r="W94" s="273"/>
    </row>
    <row r="95" spans="1:23" x14ac:dyDescent="0.25">
      <c r="A95" t="s">
        <v>96</v>
      </c>
      <c r="B95" t="s">
        <v>392</v>
      </c>
      <c r="C95" s="25">
        <f>SUMPRODUCT(VLOOKUP($A95,'PSES Enroll Snapshot 25-01-17'!$K$5:$AB$327,{2,3,4,5,6,7,8,9},0))</f>
        <v>26629.58</v>
      </c>
      <c r="D95" s="25">
        <f>SUMPRODUCT(VLOOKUP($A95,'PSES Enroll Snapshot 25-01-17'!$K$5:$AB$327,{10,11},0))-VLOOKUP($A95,'PSES Enroll Snapshot 25-01-17'!$K$5:$AB$327,12,0)</f>
        <v>6619.38</v>
      </c>
      <c r="E95" s="25">
        <f>SUMPRODUCT(VLOOKUP($A95,'PSES Enroll Snapshot 25-01-17'!$K$5:$AB$327,{13,14},0))-SUMPRODUCT(VLOOKUP($A95,'PSES Enroll Snapshot 25-01-17'!$K$5:$AB$327,{15,16,17},0))</f>
        <v>11958.27</v>
      </c>
      <c r="F95" s="33">
        <f>ROUND($C95*'2024-25 Elementary Calculator'!$Q$13/400,3)+ROUND($D95*'2024-25 Middle Calculator'!$O$13/432,3)+ROUND($E95*'2024-25 High Calculator'!$O$13/600,3)</f>
        <v>152.971</v>
      </c>
      <c r="G95" s="33">
        <f>ROUND($C95*'2024-25 Elementary Calculator'!$Q$15/400,3)+ROUND($D95*'2024-25 Middle Calculator'!$O$15/432,3)+ROUND($E95*'2024-25 High Calculator'!$O$15/600,3)</f>
        <v>24.582999999999998</v>
      </c>
      <c r="H95" s="33">
        <f>ROUND($C95*'2024-25 Elementary Calculator'!$Q$17/400,3)+ROUND($D95*'2024-25 Middle Calculator'!$O$17/432,3)+ROUND($E95*'2024-25 High Calculator'!$O$17/600,3)</f>
        <v>8.2690000000000001</v>
      </c>
      <c r="I95" s="33">
        <f>ROUND($C95*'2024-25 Elementary Calculator'!$Q$18/400,3)+ROUND($D95*'2024-25 Middle Calculator'!$O$18/432,3)+ROUND($E95*'2024-25 High Calculator'!$O$18/600,3)</f>
        <v>68.975999999999999</v>
      </c>
      <c r="J95" s="166">
        <f t="shared" si="10"/>
        <v>254.79900000000001</v>
      </c>
      <c r="K95" s="33">
        <f>ROUND($C95*'2024-25 Elementary Calculator'!$Q$23/400,3)+ROUND($D95*'2024-25 Middle Calculator'!$O$23/432,3)+ROUND($E95*'2024-25 High Calculator'!$O$23/600,3)</f>
        <v>9.479000000000001</v>
      </c>
      <c r="L95" s="33">
        <f>ROUND($C95*'2024-25 Elementary Calculator'!$Q$22/400,3)+ROUND($D95*'2024-25 Middle Calculator'!$O$22/432,3)+ROUND($E95*'2024-25 High Calculator'!$O$22/600,3)</f>
        <v>5.492</v>
      </c>
      <c r="M95" s="166">
        <f t="shared" si="11"/>
        <v>14.971</v>
      </c>
      <c r="N95" s="33">
        <f>VLOOKUP($A95,'District Summary'!$A$6:$AH$325,29,FALSE)</f>
        <v>239.58200000000005</v>
      </c>
      <c r="O95" s="33">
        <f>VLOOKUP($A95,'District Summary'!$A$6:$AH$325,34,FALSE)</f>
        <v>44.591000000000001</v>
      </c>
      <c r="P95" s="67">
        <f t="shared" si="12"/>
        <v>-15.216999999999956</v>
      </c>
      <c r="Q95" s="67">
        <f t="shared" si="13"/>
        <v>29.62</v>
      </c>
      <c r="R95" s="67">
        <f t="shared" si="14"/>
        <v>269.77</v>
      </c>
      <c r="S95" s="33">
        <f t="shared" si="15"/>
        <v>284.17300000000006</v>
      </c>
      <c r="T95" s="67">
        <f t="shared" si="17"/>
        <v>14.403</v>
      </c>
      <c r="U95" s="67">
        <f t="shared" si="16"/>
        <v>0</v>
      </c>
      <c r="V95" s="273"/>
      <c r="W95" s="273"/>
    </row>
    <row r="96" spans="1:23" x14ac:dyDescent="0.25">
      <c r="A96" t="s">
        <v>97</v>
      </c>
      <c r="B96" t="s">
        <v>393</v>
      </c>
      <c r="C96" s="25">
        <f>SUMPRODUCT(VLOOKUP($A96,'PSES Enroll Snapshot 25-01-17'!$K$5:$AB$327,{2,3,4,5,6,7,8,9},0))</f>
        <v>11076.09</v>
      </c>
      <c r="D96" s="25">
        <f>SUMPRODUCT(VLOOKUP($A96,'PSES Enroll Snapshot 25-01-17'!$K$5:$AB$327,{10,11},0))-VLOOKUP($A96,'PSES Enroll Snapshot 25-01-17'!$K$5:$AB$327,12,0)</f>
        <v>3050.74</v>
      </c>
      <c r="E96" s="25">
        <f>SUMPRODUCT(VLOOKUP($A96,'PSES Enroll Snapshot 25-01-17'!$K$5:$AB$327,{13,14},0))-SUMPRODUCT(VLOOKUP($A96,'PSES Enroll Snapshot 25-01-17'!$K$5:$AB$327,{15,16,17},0))</f>
        <v>4557.1400000000003</v>
      </c>
      <c r="F96" s="33">
        <f>ROUND($C96*'2024-25 Elementary Calculator'!$Q$13/400,3)+ROUND($D96*'2024-25 Middle Calculator'!$O$13/432,3)+ROUND($E96*'2024-25 High Calculator'!$O$13/600,3)</f>
        <v>62.695999999999998</v>
      </c>
      <c r="G96" s="33">
        <f>ROUND($C96*'2024-25 Elementary Calculator'!$Q$15/400,3)+ROUND($D96*'2024-25 Middle Calculator'!$O$15/432,3)+ROUND($E96*'2024-25 High Calculator'!$O$15/600,3)</f>
        <v>10.198</v>
      </c>
      <c r="H96" s="33">
        <f>ROUND($C96*'2024-25 Elementary Calculator'!$Q$17/400,3)+ROUND($D96*'2024-25 Middle Calculator'!$O$17/432,3)+ROUND($E96*'2024-25 High Calculator'!$O$17/600,3)</f>
        <v>3.4209999999999998</v>
      </c>
      <c r="I96" s="33">
        <f>ROUND($C96*'2024-25 Elementary Calculator'!$Q$18/400,3)+ROUND($D96*'2024-25 Middle Calculator'!$O$18/432,3)+ROUND($E96*'2024-25 High Calculator'!$O$18/600,3)</f>
        <v>28.728000000000002</v>
      </c>
      <c r="J96" s="166">
        <f t="shared" si="10"/>
        <v>105.04300000000001</v>
      </c>
      <c r="K96" s="33">
        <f>ROUND($C96*'2024-25 Elementary Calculator'!$Q$23/400,3)+ROUND($D96*'2024-25 Middle Calculator'!$O$23/432,3)+ROUND($E96*'2024-25 High Calculator'!$O$23/600,3)</f>
        <v>3.9089999999999998</v>
      </c>
      <c r="L96" s="33">
        <f>ROUND($C96*'2024-25 Elementary Calculator'!$Q$22/400,3)+ROUND($D96*'2024-25 Middle Calculator'!$O$22/432,3)+ROUND($E96*'2024-25 High Calculator'!$O$22/600,3)</f>
        <v>2.2839999999999998</v>
      </c>
      <c r="M96" s="166">
        <f t="shared" si="11"/>
        <v>6.1929999999999996</v>
      </c>
      <c r="N96" s="33">
        <f>VLOOKUP($A96,'District Summary'!$A$6:$AH$325,29,FALSE)</f>
        <v>84.150999999999996</v>
      </c>
      <c r="O96" s="33">
        <f>VLOOKUP($A96,'District Summary'!$A$6:$AH$325,34,FALSE)</f>
        <v>72.594999999999999</v>
      </c>
      <c r="P96" s="67">
        <f t="shared" si="12"/>
        <v>-20.89200000000001</v>
      </c>
      <c r="Q96" s="67">
        <f t="shared" si="13"/>
        <v>66.402000000000001</v>
      </c>
      <c r="R96" s="67">
        <f t="shared" si="14"/>
        <v>111.236</v>
      </c>
      <c r="S96" s="33">
        <f t="shared" si="15"/>
        <v>156.74599999999998</v>
      </c>
      <c r="T96" s="67">
        <f t="shared" si="17"/>
        <v>45.51</v>
      </c>
      <c r="U96" s="67">
        <f t="shared" si="16"/>
        <v>0</v>
      </c>
      <c r="V96" s="273"/>
      <c r="W96" s="273"/>
    </row>
    <row r="97" spans="1:23" x14ac:dyDescent="0.25">
      <c r="A97" t="s">
        <v>98</v>
      </c>
      <c r="B97" t="s">
        <v>394</v>
      </c>
      <c r="C97" s="25">
        <f>SUMPRODUCT(VLOOKUP($A97,'PSES Enroll Snapshot 25-01-17'!$K$5:$AB$327,{2,3,4,5,6,7,8,9},0))</f>
        <v>2383.21</v>
      </c>
      <c r="D97" s="25">
        <f>SUMPRODUCT(VLOOKUP($A97,'PSES Enroll Snapshot 25-01-17'!$K$5:$AB$327,{10,11},0))-VLOOKUP($A97,'PSES Enroll Snapshot 25-01-17'!$K$5:$AB$327,12,0)</f>
        <v>521.28000000000009</v>
      </c>
      <c r="E97" s="25">
        <f>SUMPRODUCT(VLOOKUP($A97,'PSES Enroll Snapshot 25-01-17'!$K$5:$AB$327,{13,14},0))-SUMPRODUCT(VLOOKUP($A97,'PSES Enroll Snapshot 25-01-17'!$K$5:$AB$327,{15,16,17},0))</f>
        <v>716.43</v>
      </c>
      <c r="F97" s="33">
        <f>ROUND($C97*'2024-25 Elementary Calculator'!$Q$13/400,3)+ROUND($D97*'2024-25 Middle Calculator'!$O$13/432,3)+ROUND($E97*'2024-25 High Calculator'!$O$13/600,3)</f>
        <v>11.616</v>
      </c>
      <c r="G97" s="33">
        <f>ROUND($C97*'2024-25 Elementary Calculator'!$Q$15/400,3)+ROUND($D97*'2024-25 Middle Calculator'!$O$15/432,3)+ROUND($E97*'2024-25 High Calculator'!$O$15/600,3)</f>
        <v>2.1110000000000002</v>
      </c>
      <c r="H97" s="33">
        <f>ROUND($C97*'2024-25 Elementary Calculator'!$Q$17/400,3)+ROUND($D97*'2024-25 Middle Calculator'!$O$17/432,3)+ROUND($E97*'2024-25 High Calculator'!$O$17/600,3)</f>
        <v>0.70799999999999996</v>
      </c>
      <c r="I97" s="33">
        <f>ROUND($C97*'2024-25 Elementary Calculator'!$Q$18/400,3)+ROUND($D97*'2024-25 Middle Calculator'!$O$18/432,3)+ROUND($E97*'2024-25 High Calculator'!$O$18/600,3)</f>
        <v>5.5410000000000004</v>
      </c>
      <c r="J97" s="166">
        <f t="shared" si="10"/>
        <v>19.975999999999999</v>
      </c>
      <c r="K97" s="33">
        <f>ROUND($C97*'2024-25 Elementary Calculator'!$Q$23/400,3)+ROUND($D97*'2024-25 Middle Calculator'!$O$23/432,3)+ROUND($E97*'2024-25 High Calculator'!$O$23/600,3)</f>
        <v>0.75</v>
      </c>
      <c r="L97" s="33">
        <f>ROUND($C97*'2024-25 Elementary Calculator'!$Q$22/400,3)+ROUND($D97*'2024-25 Middle Calculator'!$O$22/432,3)+ROUND($E97*'2024-25 High Calculator'!$O$22/600,3)</f>
        <v>0.49199999999999999</v>
      </c>
      <c r="M97" s="166">
        <f t="shared" si="11"/>
        <v>1.242</v>
      </c>
      <c r="N97" s="33">
        <f>VLOOKUP($A97,'District Summary'!$A$6:$AH$325,29,FALSE)</f>
        <v>14.483000000000002</v>
      </c>
      <c r="O97" s="33">
        <f>VLOOKUP($A97,'District Summary'!$A$6:$AH$325,34,FALSE)</f>
        <v>7.6099999999999994</v>
      </c>
      <c r="P97" s="67">
        <f t="shared" si="12"/>
        <v>-5.4929999999999968</v>
      </c>
      <c r="Q97" s="67">
        <f t="shared" si="13"/>
        <v>6.3679999999999994</v>
      </c>
      <c r="R97" s="67">
        <f t="shared" si="14"/>
        <v>21.218</v>
      </c>
      <c r="S97" s="33">
        <f t="shared" si="15"/>
        <v>22.093000000000004</v>
      </c>
      <c r="T97" s="67">
        <f t="shared" si="17"/>
        <v>0.875</v>
      </c>
      <c r="U97" s="67">
        <f t="shared" si="16"/>
        <v>0</v>
      </c>
      <c r="V97" s="273"/>
      <c r="W97" s="273"/>
    </row>
    <row r="98" spans="1:23" x14ac:dyDescent="0.25">
      <c r="A98" t="s">
        <v>99</v>
      </c>
      <c r="B98" t="s">
        <v>395</v>
      </c>
      <c r="C98" s="25">
        <f>SUMPRODUCT(VLOOKUP($A98,'PSES Enroll Snapshot 25-01-17'!$K$5:$AB$327,{2,3,4,5,6,7,8,9},0))</f>
        <v>1849.52</v>
      </c>
      <c r="D98" s="25">
        <f>SUMPRODUCT(VLOOKUP($A98,'PSES Enroll Snapshot 25-01-17'!$K$5:$AB$327,{10,11},0))-VLOOKUP($A98,'PSES Enroll Snapshot 25-01-17'!$K$5:$AB$327,12,0)</f>
        <v>649.93999999999994</v>
      </c>
      <c r="E98" s="25">
        <f>SUMPRODUCT(VLOOKUP($A98,'PSES Enroll Snapshot 25-01-17'!$K$5:$AB$327,{13,14},0))-SUMPRODUCT(VLOOKUP($A98,'PSES Enroll Snapshot 25-01-17'!$K$5:$AB$327,{15,16,17},0))</f>
        <v>1053.3999999999999</v>
      </c>
      <c r="F98" s="33">
        <f>ROUND($C98*'2024-25 Elementary Calculator'!$Q$13/400,3)+ROUND($D98*'2024-25 Middle Calculator'!$O$13/432,3)+ROUND($E98*'2024-25 High Calculator'!$O$13/600,3)</f>
        <v>12.507999999999999</v>
      </c>
      <c r="G98" s="33">
        <f>ROUND($C98*'2024-25 Elementary Calculator'!$Q$15/400,3)+ROUND($D98*'2024-25 Middle Calculator'!$O$15/432,3)+ROUND($E98*'2024-25 High Calculator'!$O$15/600,3)</f>
        <v>1.7929999999999999</v>
      </c>
      <c r="H98" s="33">
        <f>ROUND($C98*'2024-25 Elementary Calculator'!$Q$17/400,3)+ROUND($D98*'2024-25 Middle Calculator'!$O$17/432,3)+ROUND($E98*'2024-25 High Calculator'!$O$17/600,3)</f>
        <v>0.60299999999999998</v>
      </c>
      <c r="I98" s="33">
        <f>ROUND($C98*'2024-25 Elementary Calculator'!$Q$18/400,3)+ROUND($D98*'2024-25 Middle Calculator'!$O$18/432,3)+ROUND($E98*'2024-25 High Calculator'!$O$18/600,3)</f>
        <v>5.4880000000000004</v>
      </c>
      <c r="J98" s="166">
        <f t="shared" si="10"/>
        <v>20.391999999999999</v>
      </c>
      <c r="K98" s="33">
        <f>ROUND($C98*'2024-25 Elementary Calculator'!$Q$23/400,3)+ROUND($D98*'2024-25 Middle Calculator'!$O$23/432,3)+ROUND($E98*'2024-25 High Calculator'!$O$23/600,3)</f>
        <v>0.751</v>
      </c>
      <c r="L98" s="33">
        <f>ROUND($C98*'2024-25 Elementary Calculator'!$Q$22/400,3)+ROUND($D98*'2024-25 Middle Calculator'!$O$22/432,3)+ROUND($E98*'2024-25 High Calculator'!$O$22/600,3)</f>
        <v>0.38100000000000001</v>
      </c>
      <c r="M98" s="166">
        <f t="shared" si="11"/>
        <v>1.1320000000000001</v>
      </c>
      <c r="N98" s="33">
        <f>VLOOKUP($A98,'District Summary'!$A$6:$AH$325,29,FALSE)</f>
        <v>11.398</v>
      </c>
      <c r="O98" s="33">
        <f>VLOOKUP($A98,'District Summary'!$A$6:$AH$325,34,FALSE)</f>
        <v>14.017999999999999</v>
      </c>
      <c r="P98" s="67">
        <f t="shared" si="12"/>
        <v>-8.9939999999999998</v>
      </c>
      <c r="Q98" s="67">
        <f t="shared" si="13"/>
        <v>12.885999999999999</v>
      </c>
      <c r="R98" s="67">
        <f t="shared" si="14"/>
        <v>21.524000000000001</v>
      </c>
      <c r="S98" s="33">
        <f t="shared" si="15"/>
        <v>25.415999999999997</v>
      </c>
      <c r="T98" s="67">
        <f t="shared" si="17"/>
        <v>3.8919999999999999</v>
      </c>
      <c r="U98" s="67">
        <f t="shared" si="16"/>
        <v>0</v>
      </c>
      <c r="V98" s="273"/>
      <c r="W98" s="273"/>
    </row>
    <row r="99" spans="1:23" x14ac:dyDescent="0.25">
      <c r="A99" t="s">
        <v>100</v>
      </c>
      <c r="B99" t="s">
        <v>396</v>
      </c>
      <c r="C99" s="25">
        <f>SUMPRODUCT(VLOOKUP($A99,'PSES Enroll Snapshot 25-01-17'!$K$5:$AB$327,{2,3,4,5,6,7,8,9},0))</f>
        <v>8874.34</v>
      </c>
      <c r="D99" s="25">
        <f>SUMPRODUCT(VLOOKUP($A99,'PSES Enroll Snapshot 25-01-17'!$K$5:$AB$327,{10,11},0))-VLOOKUP($A99,'PSES Enroll Snapshot 25-01-17'!$K$5:$AB$327,12,0)</f>
        <v>2170.4900000000002</v>
      </c>
      <c r="E99" s="25">
        <f>SUMPRODUCT(VLOOKUP($A99,'PSES Enroll Snapshot 25-01-17'!$K$5:$AB$327,{13,14},0))-SUMPRODUCT(VLOOKUP($A99,'PSES Enroll Snapshot 25-01-17'!$K$5:$AB$327,{15,16,17},0))</f>
        <v>4039.14</v>
      </c>
      <c r="F99" s="33">
        <f>ROUND($C99*'2024-25 Elementary Calculator'!$Q$13/400,3)+ROUND($D99*'2024-25 Middle Calculator'!$O$13/432,3)+ROUND($E99*'2024-25 High Calculator'!$O$13/600,3)</f>
        <v>51.110999999999997</v>
      </c>
      <c r="G99" s="33">
        <f>ROUND($C99*'2024-25 Elementary Calculator'!$Q$15/400,3)+ROUND($D99*'2024-25 Middle Calculator'!$O$15/432,3)+ROUND($E99*'2024-25 High Calculator'!$O$15/600,3)</f>
        <v>8.197000000000001</v>
      </c>
      <c r="H99" s="33">
        <f>ROUND($C99*'2024-25 Elementary Calculator'!$Q$17/400,3)+ROUND($D99*'2024-25 Middle Calculator'!$O$17/432,3)+ROUND($E99*'2024-25 High Calculator'!$O$17/600,3)</f>
        <v>2.758</v>
      </c>
      <c r="I99" s="33">
        <f>ROUND($C99*'2024-25 Elementary Calculator'!$Q$18/400,3)+ROUND($D99*'2024-25 Middle Calculator'!$O$18/432,3)+ROUND($E99*'2024-25 High Calculator'!$O$18/600,3)</f>
        <v>22.988</v>
      </c>
      <c r="J99" s="166">
        <f t="shared" si="10"/>
        <v>85.054000000000002</v>
      </c>
      <c r="K99" s="33">
        <f>ROUND($C99*'2024-25 Elementary Calculator'!$Q$23/400,3)+ROUND($D99*'2024-25 Middle Calculator'!$O$23/432,3)+ROUND($E99*'2024-25 High Calculator'!$O$23/600,3)</f>
        <v>3.1639999999999997</v>
      </c>
      <c r="L99" s="33">
        <f>ROUND($C99*'2024-25 Elementary Calculator'!$Q$22/400,3)+ROUND($D99*'2024-25 Middle Calculator'!$O$22/432,3)+ROUND($E99*'2024-25 High Calculator'!$O$22/600,3)</f>
        <v>1.83</v>
      </c>
      <c r="M99" s="166">
        <f t="shared" si="11"/>
        <v>4.9939999999999998</v>
      </c>
      <c r="N99" s="33">
        <f>VLOOKUP($A99,'District Summary'!$A$6:$AH$325,29,FALSE)</f>
        <v>111.85</v>
      </c>
      <c r="O99" s="33">
        <f>VLOOKUP($A99,'District Summary'!$A$6:$AH$325,34,FALSE)</f>
        <v>36.54</v>
      </c>
      <c r="P99" s="67">
        <f t="shared" si="12"/>
        <v>26.795999999999992</v>
      </c>
      <c r="Q99" s="67">
        <f t="shared" si="13"/>
        <v>31.545999999999999</v>
      </c>
      <c r="R99" s="67">
        <f t="shared" si="14"/>
        <v>90.048000000000002</v>
      </c>
      <c r="S99" s="33">
        <f t="shared" si="15"/>
        <v>148.38999999999999</v>
      </c>
      <c r="T99" s="67">
        <f t="shared" si="17"/>
        <v>58.341999999999999</v>
      </c>
      <c r="U99" s="67">
        <f t="shared" si="16"/>
        <v>0</v>
      </c>
      <c r="V99" s="273"/>
      <c r="W99" s="273"/>
    </row>
    <row r="100" spans="1:23" x14ac:dyDescent="0.25">
      <c r="A100" t="s">
        <v>101</v>
      </c>
      <c r="B100" t="s">
        <v>397</v>
      </c>
      <c r="C100" s="25">
        <f>SUMPRODUCT(VLOOKUP($A100,'PSES Enroll Snapshot 25-01-17'!$K$5:$AB$327,{2,3,4,5,6,7,8,9},0))</f>
        <v>562.07999999999993</v>
      </c>
      <c r="D100" s="25">
        <f>SUMPRODUCT(VLOOKUP($A100,'PSES Enroll Snapshot 25-01-17'!$K$5:$AB$327,{10,11},0))-VLOOKUP($A100,'PSES Enroll Snapshot 25-01-17'!$K$5:$AB$327,12,0)</f>
        <v>196.79000000000002</v>
      </c>
      <c r="E100" s="25">
        <f>SUMPRODUCT(VLOOKUP($A100,'PSES Enroll Snapshot 25-01-17'!$K$5:$AB$327,{13,14},0))-SUMPRODUCT(VLOOKUP($A100,'PSES Enroll Snapshot 25-01-17'!$K$5:$AB$327,{15,16,17},0))</f>
        <v>383.82</v>
      </c>
      <c r="F100" s="33">
        <f>ROUND($C100*'2024-25 Elementary Calculator'!$Q$13/400,3)+ROUND($D100*'2024-25 Middle Calculator'!$O$13/432,3)+ROUND($E100*'2024-25 High Calculator'!$O$13/600,3)</f>
        <v>4.1210000000000004</v>
      </c>
      <c r="G100" s="33">
        <f>ROUND($C100*'2024-25 Elementary Calculator'!$Q$15/400,3)+ROUND($D100*'2024-25 Middle Calculator'!$O$15/432,3)+ROUND($E100*'2024-25 High Calculator'!$O$15/600,3)</f>
        <v>0.55799999999999994</v>
      </c>
      <c r="H100" s="33">
        <f>ROUND($C100*'2024-25 Elementary Calculator'!$Q$17/400,3)+ROUND($D100*'2024-25 Middle Calculator'!$O$17/432,3)+ROUND($E100*'2024-25 High Calculator'!$O$17/600,3)</f>
        <v>0.188</v>
      </c>
      <c r="I100" s="33">
        <f>ROUND($C100*'2024-25 Elementary Calculator'!$Q$18/400,3)+ROUND($D100*'2024-25 Middle Calculator'!$O$18/432,3)+ROUND($E100*'2024-25 High Calculator'!$O$18/600,3)</f>
        <v>1.754</v>
      </c>
      <c r="J100" s="166">
        <f t="shared" si="10"/>
        <v>6.6210000000000004</v>
      </c>
      <c r="K100" s="33">
        <f>ROUND($C100*'2024-25 Elementary Calculator'!$Q$23/400,3)+ROUND($D100*'2024-25 Middle Calculator'!$O$23/432,3)+ROUND($E100*'2024-25 High Calculator'!$O$23/600,3)</f>
        <v>0.24299999999999999</v>
      </c>
      <c r="L100" s="33">
        <f>ROUND($C100*'2024-25 Elementary Calculator'!$Q$22/400,3)+ROUND($D100*'2024-25 Middle Calculator'!$O$22/432,3)+ROUND($E100*'2024-25 High Calculator'!$O$22/600,3)</f>
        <v>0.11600000000000001</v>
      </c>
      <c r="M100" s="166">
        <f t="shared" si="11"/>
        <v>0.35899999999999999</v>
      </c>
      <c r="N100" s="33">
        <f>VLOOKUP($A100,'District Summary'!$A$6:$AH$325,29,FALSE)</f>
        <v>4.3540000000000001</v>
      </c>
      <c r="O100" s="33">
        <f>VLOOKUP($A100,'District Summary'!$A$6:$AH$325,34,FALSE)</f>
        <v>2.8090000000000002</v>
      </c>
      <c r="P100" s="67">
        <f t="shared" si="12"/>
        <v>-2.2670000000000003</v>
      </c>
      <c r="Q100" s="67">
        <f t="shared" si="13"/>
        <v>2.4500000000000002</v>
      </c>
      <c r="R100" s="67">
        <f t="shared" si="14"/>
        <v>6.98</v>
      </c>
      <c r="S100" s="33">
        <f t="shared" si="15"/>
        <v>7.1630000000000003</v>
      </c>
      <c r="T100" s="67">
        <f t="shared" si="17"/>
        <v>0.183</v>
      </c>
      <c r="U100" s="67">
        <f t="shared" si="16"/>
        <v>0</v>
      </c>
      <c r="V100" s="273"/>
      <c r="W100" s="273"/>
    </row>
    <row r="101" spans="1:23" x14ac:dyDescent="0.25">
      <c r="A101" t="s">
        <v>102</v>
      </c>
      <c r="B101" t="s">
        <v>398</v>
      </c>
      <c r="C101" s="25">
        <f>SUMPRODUCT(VLOOKUP($A101,'PSES Enroll Snapshot 25-01-17'!$K$5:$AB$327,{2,3,4,5,6,7,8,9},0))</f>
        <v>7725.1799999999994</v>
      </c>
      <c r="D101" s="25">
        <f>SUMPRODUCT(VLOOKUP($A101,'PSES Enroll Snapshot 25-01-17'!$K$5:$AB$327,{10,11},0))-VLOOKUP($A101,'PSES Enroll Snapshot 25-01-17'!$K$5:$AB$327,12,0)</f>
        <v>1812.1000000000001</v>
      </c>
      <c r="E101" s="25">
        <f>SUMPRODUCT(VLOOKUP($A101,'PSES Enroll Snapshot 25-01-17'!$K$5:$AB$327,{13,14},0))-SUMPRODUCT(VLOOKUP($A101,'PSES Enroll Snapshot 25-01-17'!$K$5:$AB$327,{15,16,17},0))</f>
        <v>2350.0699999999997</v>
      </c>
      <c r="F101" s="33">
        <f>ROUND($C101*'2024-25 Elementary Calculator'!$Q$13/400,3)+ROUND($D101*'2024-25 Middle Calculator'!$O$13/432,3)+ROUND($E101*'2024-25 High Calculator'!$O$13/600,3)</f>
        <v>38.279000000000003</v>
      </c>
      <c r="G101" s="33">
        <f>ROUND($C101*'2024-25 Elementary Calculator'!$Q$15/400,3)+ROUND($D101*'2024-25 Middle Calculator'!$O$15/432,3)+ROUND($E101*'2024-25 High Calculator'!$O$15/600,3)</f>
        <v>6.8719999999999999</v>
      </c>
      <c r="H101" s="33">
        <f>ROUND($C101*'2024-25 Elementary Calculator'!$Q$17/400,3)+ROUND($D101*'2024-25 Middle Calculator'!$O$17/432,3)+ROUND($E101*'2024-25 High Calculator'!$O$17/600,3)</f>
        <v>2.302</v>
      </c>
      <c r="I101" s="33">
        <f>ROUND($C101*'2024-25 Elementary Calculator'!$Q$18/400,3)+ROUND($D101*'2024-25 Middle Calculator'!$O$18/432,3)+ROUND($E101*'2024-25 High Calculator'!$O$18/600,3)</f>
        <v>18.25</v>
      </c>
      <c r="J101" s="166">
        <f t="shared" si="10"/>
        <v>65.703000000000003</v>
      </c>
      <c r="K101" s="33">
        <f>ROUND($C101*'2024-25 Elementary Calculator'!$Q$23/400,3)+ROUND($D101*'2024-25 Middle Calculator'!$O$23/432,3)+ROUND($E101*'2024-25 High Calculator'!$O$23/600,3)</f>
        <v>2.464</v>
      </c>
      <c r="L101" s="33">
        <f>ROUND($C101*'2024-25 Elementary Calculator'!$Q$22/400,3)+ROUND($D101*'2024-25 Middle Calculator'!$O$22/432,3)+ROUND($E101*'2024-25 High Calculator'!$O$22/600,3)</f>
        <v>1.593</v>
      </c>
      <c r="M101" s="166">
        <f t="shared" si="11"/>
        <v>4.0570000000000004</v>
      </c>
      <c r="N101" s="33">
        <f>VLOOKUP($A101,'District Summary'!$A$6:$AH$325,29,FALSE)</f>
        <v>70.169999999999987</v>
      </c>
      <c r="O101" s="33">
        <f>VLOOKUP($A101,'District Summary'!$A$6:$AH$325,34,FALSE)</f>
        <v>55.31</v>
      </c>
      <c r="P101" s="67">
        <f t="shared" si="12"/>
        <v>4.4669999999999845</v>
      </c>
      <c r="Q101" s="67">
        <f t="shared" si="13"/>
        <v>51.253</v>
      </c>
      <c r="R101" s="67">
        <f t="shared" si="14"/>
        <v>69.760000000000005</v>
      </c>
      <c r="S101" s="33">
        <f t="shared" si="15"/>
        <v>125.47999999999999</v>
      </c>
      <c r="T101" s="67">
        <f t="shared" si="17"/>
        <v>55.72</v>
      </c>
      <c r="U101" s="67">
        <f t="shared" si="16"/>
        <v>0</v>
      </c>
      <c r="V101" s="273"/>
      <c r="W101" s="273"/>
    </row>
    <row r="102" spans="1:23" x14ac:dyDescent="0.25">
      <c r="A102" t="s">
        <v>103</v>
      </c>
      <c r="B102" t="s">
        <v>399</v>
      </c>
      <c r="C102" s="25">
        <f>SUMPRODUCT(VLOOKUP($A102,'PSES Enroll Snapshot 25-01-17'!$K$5:$AB$327,{2,3,4,5,6,7,8,9},0))</f>
        <v>20</v>
      </c>
      <c r="D102" s="25">
        <f>SUMPRODUCT(VLOOKUP($A102,'PSES Enroll Snapshot 25-01-17'!$K$5:$AB$327,{10,11},0))-VLOOKUP($A102,'PSES Enroll Snapshot 25-01-17'!$K$5:$AB$327,12,0)</f>
        <v>9.8000000000000007</v>
      </c>
      <c r="E102" s="25">
        <f>SUMPRODUCT(VLOOKUP($A102,'PSES Enroll Snapshot 25-01-17'!$K$5:$AB$327,{13,14},0))-SUMPRODUCT(VLOOKUP($A102,'PSES Enroll Snapshot 25-01-17'!$K$5:$AB$327,{15,16,17},0))</f>
        <v>10</v>
      </c>
      <c r="F102" s="33">
        <f>ROUND($C102*'2024-25 Elementary Calculator'!$Q$13/400,3)+ROUND($D102*'2024-25 Middle Calculator'!$O$13/432,3)+ROUND($E102*'2024-25 High Calculator'!$O$13/600,3)</f>
        <v>0.13999999999999999</v>
      </c>
      <c r="G102" s="33">
        <f>ROUND($C102*'2024-25 Elementary Calculator'!$Q$15/400,3)+ROUND($D102*'2024-25 Middle Calculator'!$O$15/432,3)+ROUND($E102*'2024-25 High Calculator'!$O$15/600,3)</f>
        <v>2.0000000000000004E-2</v>
      </c>
      <c r="H102" s="33">
        <f>ROUND($C102*'2024-25 Elementary Calculator'!$Q$17/400,3)+ROUND($D102*'2024-25 Middle Calculator'!$O$17/432,3)+ROUND($E102*'2024-25 High Calculator'!$O$17/600,3)</f>
        <v>7.0000000000000001E-3</v>
      </c>
      <c r="I102" s="33">
        <f>ROUND($C102*'2024-25 Elementary Calculator'!$Q$18/400,3)+ROUND($D102*'2024-25 Middle Calculator'!$O$18/432,3)+ROUND($E102*'2024-25 High Calculator'!$O$18/600,3)</f>
        <v>6.3E-2</v>
      </c>
      <c r="J102" s="166">
        <f t="shared" si="10"/>
        <v>0.22999999999999998</v>
      </c>
      <c r="K102" s="33">
        <f>ROUND($C102*'2024-25 Elementary Calculator'!$Q$23/400,3)+ROUND($D102*'2024-25 Middle Calculator'!$O$23/432,3)+ROUND($E102*'2024-25 High Calculator'!$O$23/600,3)</f>
        <v>8.0000000000000002E-3</v>
      </c>
      <c r="L102" s="33">
        <f>ROUND($C102*'2024-25 Elementary Calculator'!$Q$22/400,3)+ROUND($D102*'2024-25 Middle Calculator'!$O$22/432,3)+ROUND($E102*'2024-25 High Calculator'!$O$22/600,3)</f>
        <v>4.0000000000000001E-3</v>
      </c>
      <c r="M102" s="166">
        <f t="shared" si="11"/>
        <v>1.2E-2</v>
      </c>
      <c r="N102" s="33">
        <f>VLOOKUP($A102,'District Summary'!$A$6:$AH$325,29,FALSE)</f>
        <v>1</v>
      </c>
      <c r="O102" s="33">
        <f>VLOOKUP($A102,'District Summary'!$A$6:$AH$325,34,FALSE)</f>
        <v>1.4350000000000001</v>
      </c>
      <c r="P102" s="67">
        <f t="shared" si="12"/>
        <v>0.77</v>
      </c>
      <c r="Q102" s="67">
        <f t="shared" si="13"/>
        <v>1.423</v>
      </c>
      <c r="R102" s="67">
        <f t="shared" si="14"/>
        <v>0.24199999999999999</v>
      </c>
      <c r="S102" s="33">
        <f t="shared" si="15"/>
        <v>2.4350000000000001</v>
      </c>
      <c r="T102" s="67">
        <f t="shared" si="17"/>
        <v>2.1930000000000001</v>
      </c>
      <c r="U102" s="67">
        <f t="shared" si="16"/>
        <v>0</v>
      </c>
      <c r="V102" s="273"/>
      <c r="W102" s="273"/>
    </row>
    <row r="103" spans="1:23" x14ac:dyDescent="0.25">
      <c r="A103" t="s">
        <v>104</v>
      </c>
      <c r="B103" t="s">
        <v>400</v>
      </c>
      <c r="C103" s="25">
        <f>SUMPRODUCT(VLOOKUP($A103,'PSES Enroll Snapshot 25-01-17'!$K$5:$AB$327,{2,3,4,5,6,7,8,9},0))</f>
        <v>9303.869999999999</v>
      </c>
      <c r="D103" s="25">
        <f>SUMPRODUCT(VLOOKUP($A103,'PSES Enroll Snapshot 25-01-17'!$K$5:$AB$327,{10,11},0))-VLOOKUP($A103,'PSES Enroll Snapshot 25-01-17'!$K$5:$AB$327,12,0)</f>
        <v>2788.37</v>
      </c>
      <c r="E103" s="25">
        <f>SUMPRODUCT(VLOOKUP($A103,'PSES Enroll Snapshot 25-01-17'!$K$5:$AB$327,{13,14},0))-SUMPRODUCT(VLOOKUP($A103,'PSES Enroll Snapshot 25-01-17'!$K$5:$AB$327,{15,16,17},0))</f>
        <v>5565.6900000000005</v>
      </c>
      <c r="F103" s="33">
        <f>ROUND($C103*'2024-25 Elementary Calculator'!$Q$13/400,3)+ROUND($D103*'2024-25 Middle Calculator'!$O$13/432,3)+ROUND($E103*'2024-25 High Calculator'!$O$13/600,3)</f>
        <v>62.363</v>
      </c>
      <c r="G103" s="33">
        <f>ROUND($C103*'2024-25 Elementary Calculator'!$Q$15/400,3)+ROUND($D103*'2024-25 Middle Calculator'!$O$15/432,3)+ROUND($E103*'2024-25 High Calculator'!$O$15/600,3)</f>
        <v>8.98</v>
      </c>
      <c r="H103" s="33">
        <f>ROUND($C103*'2024-25 Elementary Calculator'!$Q$17/400,3)+ROUND($D103*'2024-25 Middle Calculator'!$O$17/432,3)+ROUND($E103*'2024-25 High Calculator'!$O$17/600,3)</f>
        <v>3.0289999999999999</v>
      </c>
      <c r="I103" s="33">
        <f>ROUND($C103*'2024-25 Elementary Calculator'!$Q$18/400,3)+ROUND($D103*'2024-25 Middle Calculator'!$O$18/432,3)+ROUND($E103*'2024-25 High Calculator'!$O$18/600,3)</f>
        <v>26.982999999999997</v>
      </c>
      <c r="J103" s="166">
        <f t="shared" si="10"/>
        <v>101.35499999999999</v>
      </c>
      <c r="K103" s="33">
        <f>ROUND($C103*'2024-25 Elementary Calculator'!$Q$23/400,3)+ROUND($D103*'2024-25 Middle Calculator'!$O$23/432,3)+ROUND($E103*'2024-25 High Calculator'!$O$23/600,3)</f>
        <v>3.74</v>
      </c>
      <c r="L103" s="33">
        <f>ROUND($C103*'2024-25 Elementary Calculator'!$Q$22/400,3)+ROUND($D103*'2024-25 Middle Calculator'!$O$22/432,3)+ROUND($E103*'2024-25 High Calculator'!$O$22/600,3)</f>
        <v>1.919</v>
      </c>
      <c r="M103" s="166">
        <f t="shared" si="11"/>
        <v>5.6590000000000007</v>
      </c>
      <c r="N103" s="33">
        <f>VLOOKUP($A103,'District Summary'!$A$6:$AH$325,29,FALSE)</f>
        <v>111.37100000000001</v>
      </c>
      <c r="O103" s="33">
        <f>VLOOKUP($A103,'District Summary'!$A$6:$AH$325,34,FALSE)</f>
        <v>51.573</v>
      </c>
      <c r="P103" s="67">
        <f t="shared" si="12"/>
        <v>10.01600000000002</v>
      </c>
      <c r="Q103" s="67">
        <f t="shared" si="13"/>
        <v>45.914000000000001</v>
      </c>
      <c r="R103" s="67">
        <f t="shared" si="14"/>
        <v>107.014</v>
      </c>
      <c r="S103" s="33">
        <f t="shared" si="15"/>
        <v>162.94400000000002</v>
      </c>
      <c r="T103" s="67">
        <f t="shared" si="17"/>
        <v>55.93</v>
      </c>
      <c r="U103" s="67">
        <f t="shared" si="16"/>
        <v>0</v>
      </c>
      <c r="V103" s="273"/>
      <c r="W103" s="273"/>
    </row>
    <row r="104" spans="1:23" x14ac:dyDescent="0.25">
      <c r="A104" t="s">
        <v>105</v>
      </c>
      <c r="B104" t="s">
        <v>401</v>
      </c>
      <c r="C104" s="25">
        <f>SUMPRODUCT(VLOOKUP($A104,'PSES Enroll Snapshot 25-01-17'!$K$5:$AB$327,{2,3,4,5,6,7,8,9},0))</f>
        <v>1422.8200000000002</v>
      </c>
      <c r="D104" s="25">
        <f>SUMPRODUCT(VLOOKUP($A104,'PSES Enroll Snapshot 25-01-17'!$K$5:$AB$327,{10,11},0))-VLOOKUP($A104,'PSES Enroll Snapshot 25-01-17'!$K$5:$AB$327,12,0)</f>
        <v>402.67</v>
      </c>
      <c r="E104" s="25">
        <f>SUMPRODUCT(VLOOKUP($A104,'PSES Enroll Snapshot 25-01-17'!$K$5:$AB$327,{13,14},0))-SUMPRODUCT(VLOOKUP($A104,'PSES Enroll Snapshot 25-01-17'!$K$5:$AB$327,{15,16,17},0))</f>
        <v>613.53</v>
      </c>
      <c r="F104" s="33">
        <f>ROUND($C104*'2024-25 Elementary Calculator'!$Q$13/400,3)+ROUND($D104*'2024-25 Middle Calculator'!$O$13/432,3)+ROUND($E104*'2024-25 High Calculator'!$O$13/600,3)</f>
        <v>8.2390000000000008</v>
      </c>
      <c r="G104" s="33">
        <f>ROUND($C104*'2024-25 Elementary Calculator'!$Q$15/400,3)+ROUND($D104*'2024-25 Middle Calculator'!$O$15/432,3)+ROUND($E104*'2024-25 High Calculator'!$O$15/600,3)</f>
        <v>1.3180000000000001</v>
      </c>
      <c r="H104" s="33">
        <f>ROUND($C104*'2024-25 Elementary Calculator'!$Q$17/400,3)+ROUND($D104*'2024-25 Middle Calculator'!$O$17/432,3)+ROUND($E104*'2024-25 High Calculator'!$O$17/600,3)</f>
        <v>0.442</v>
      </c>
      <c r="I104" s="33">
        <f>ROUND($C104*'2024-25 Elementary Calculator'!$Q$18/400,3)+ROUND($D104*'2024-25 Middle Calculator'!$O$18/432,3)+ROUND($E104*'2024-25 High Calculator'!$O$18/600,3)</f>
        <v>3.7519999999999998</v>
      </c>
      <c r="J104" s="166">
        <f t="shared" si="10"/>
        <v>13.751000000000001</v>
      </c>
      <c r="K104" s="33">
        <f>ROUND($C104*'2024-25 Elementary Calculator'!$Q$23/400,3)+ROUND($D104*'2024-25 Middle Calculator'!$O$23/432,3)+ROUND($E104*'2024-25 High Calculator'!$O$23/600,3)</f>
        <v>0.51100000000000001</v>
      </c>
      <c r="L104" s="33">
        <f>ROUND($C104*'2024-25 Elementary Calculator'!$Q$22/400,3)+ROUND($D104*'2024-25 Middle Calculator'!$O$22/432,3)+ROUND($E104*'2024-25 High Calculator'!$O$22/600,3)</f>
        <v>0.29299999999999998</v>
      </c>
      <c r="M104" s="166">
        <f t="shared" si="11"/>
        <v>0.80400000000000005</v>
      </c>
      <c r="N104" s="33">
        <f>VLOOKUP($A104,'District Summary'!$A$6:$AH$325,29,FALSE)</f>
        <v>11.706000000000001</v>
      </c>
      <c r="O104" s="33">
        <f>VLOOKUP($A104,'District Summary'!$A$6:$AH$325,34,FALSE)</f>
        <v>4.1340000000000003</v>
      </c>
      <c r="P104" s="67">
        <f t="shared" si="12"/>
        <v>-2.0449999999999999</v>
      </c>
      <c r="Q104" s="67">
        <f t="shared" si="13"/>
        <v>3.33</v>
      </c>
      <c r="R104" s="67">
        <f t="shared" si="14"/>
        <v>14.555000000000001</v>
      </c>
      <c r="S104" s="33">
        <f t="shared" si="15"/>
        <v>15.840000000000002</v>
      </c>
      <c r="T104" s="67">
        <f t="shared" si="17"/>
        <v>1.2849999999999999</v>
      </c>
      <c r="U104" s="67">
        <f t="shared" si="16"/>
        <v>0</v>
      </c>
      <c r="V104" s="273"/>
      <c r="W104" s="273"/>
    </row>
    <row r="105" spans="1:23" x14ac:dyDescent="0.25">
      <c r="A105" t="s">
        <v>106</v>
      </c>
      <c r="B105" t="s">
        <v>402</v>
      </c>
      <c r="C105" s="25">
        <f>SUMPRODUCT(VLOOKUP($A105,'PSES Enroll Snapshot 25-01-17'!$K$5:$AB$327,{2,3,4,5,6,7,8,9},0))</f>
        <v>1516.38</v>
      </c>
      <c r="D105" s="25">
        <f>SUMPRODUCT(VLOOKUP($A105,'PSES Enroll Snapshot 25-01-17'!$K$5:$AB$327,{10,11},0))-VLOOKUP($A105,'PSES Enroll Snapshot 25-01-17'!$K$5:$AB$327,12,0)</f>
        <v>385.58</v>
      </c>
      <c r="E105" s="25">
        <f>SUMPRODUCT(VLOOKUP($A105,'PSES Enroll Snapshot 25-01-17'!$K$5:$AB$327,{13,14},0))-SUMPRODUCT(VLOOKUP($A105,'PSES Enroll Snapshot 25-01-17'!$K$5:$AB$327,{15,16,17},0))</f>
        <v>588.83000000000004</v>
      </c>
      <c r="F105" s="33">
        <f>ROUND($C105*'2024-25 Elementary Calculator'!$Q$13/400,3)+ROUND($D105*'2024-25 Middle Calculator'!$O$13/432,3)+ROUND($E105*'2024-25 High Calculator'!$O$13/600,3)</f>
        <v>8.2779999999999987</v>
      </c>
      <c r="G105" s="33">
        <f>ROUND($C105*'2024-25 Elementary Calculator'!$Q$15/400,3)+ROUND($D105*'2024-25 Middle Calculator'!$O$15/432,3)+ROUND($E105*'2024-25 High Calculator'!$O$15/600,3)</f>
        <v>1.383</v>
      </c>
      <c r="H105" s="33">
        <f>ROUND($C105*'2024-25 Elementary Calculator'!$Q$17/400,3)+ROUND($D105*'2024-25 Middle Calculator'!$O$17/432,3)+ROUND($E105*'2024-25 High Calculator'!$O$17/600,3)</f>
        <v>0.46300000000000002</v>
      </c>
      <c r="I105" s="33">
        <f>ROUND($C105*'2024-25 Elementary Calculator'!$Q$18/400,3)+ROUND($D105*'2024-25 Middle Calculator'!$O$18/432,3)+ROUND($E105*'2024-25 High Calculator'!$O$18/600,3)</f>
        <v>3.8200000000000003</v>
      </c>
      <c r="J105" s="166">
        <f t="shared" si="10"/>
        <v>13.943999999999997</v>
      </c>
      <c r="K105" s="33">
        <f>ROUND($C105*'2024-25 Elementary Calculator'!$Q$23/400,3)+ROUND($D105*'2024-25 Middle Calculator'!$O$23/432,3)+ROUND($E105*'2024-25 High Calculator'!$O$23/600,3)</f>
        <v>0.51900000000000002</v>
      </c>
      <c r="L105" s="33">
        <f>ROUND($C105*'2024-25 Elementary Calculator'!$Q$22/400,3)+ROUND($D105*'2024-25 Middle Calculator'!$O$22/432,3)+ROUND($E105*'2024-25 High Calculator'!$O$22/600,3)</f>
        <v>0.313</v>
      </c>
      <c r="M105" s="166">
        <f t="shared" si="11"/>
        <v>0.83200000000000007</v>
      </c>
      <c r="N105" s="33">
        <f>VLOOKUP($A105,'District Summary'!$A$6:$AH$325,29,FALSE)</f>
        <v>12.386999999999999</v>
      </c>
      <c r="O105" s="33">
        <f>VLOOKUP($A105,'District Summary'!$A$6:$AH$325,34,FALSE)</f>
        <v>7.3579999999999997</v>
      </c>
      <c r="P105" s="67">
        <f t="shared" si="12"/>
        <v>-1.5569999999999986</v>
      </c>
      <c r="Q105" s="67">
        <f t="shared" si="13"/>
        <v>6.5259999999999998</v>
      </c>
      <c r="R105" s="67">
        <f t="shared" si="14"/>
        <v>14.775999999999998</v>
      </c>
      <c r="S105" s="33">
        <f t="shared" si="15"/>
        <v>19.744999999999997</v>
      </c>
      <c r="T105" s="67">
        <f t="shared" si="17"/>
        <v>4.9690000000000003</v>
      </c>
      <c r="U105" s="67">
        <f t="shared" si="16"/>
        <v>0</v>
      </c>
      <c r="V105" s="273"/>
      <c r="W105" s="273"/>
    </row>
    <row r="106" spans="1:23" x14ac:dyDescent="0.25">
      <c r="A106" t="s">
        <v>107</v>
      </c>
      <c r="B106" t="s">
        <v>403</v>
      </c>
      <c r="C106" s="25">
        <f>SUMPRODUCT(VLOOKUP($A106,'PSES Enroll Snapshot 25-01-17'!$K$5:$AB$327,{2,3,4,5,6,7,8,9},0))</f>
        <v>9171.7200000000012</v>
      </c>
      <c r="D106" s="25">
        <f>SUMPRODUCT(VLOOKUP($A106,'PSES Enroll Snapshot 25-01-17'!$K$5:$AB$327,{10,11},0))-VLOOKUP($A106,'PSES Enroll Snapshot 25-01-17'!$K$5:$AB$327,12,0)</f>
        <v>2208.69</v>
      </c>
      <c r="E106" s="25">
        <f>SUMPRODUCT(VLOOKUP($A106,'PSES Enroll Snapshot 25-01-17'!$K$5:$AB$327,{13,14},0))-SUMPRODUCT(VLOOKUP($A106,'PSES Enroll Snapshot 25-01-17'!$K$5:$AB$327,{15,16,17},0))</f>
        <v>4126.29</v>
      </c>
      <c r="F106" s="33">
        <f>ROUND($C106*'2024-25 Elementary Calculator'!$Q$13/400,3)+ROUND($D106*'2024-25 Middle Calculator'!$O$13/432,3)+ROUND($E106*'2024-25 High Calculator'!$O$13/600,3)</f>
        <v>52.441999999999993</v>
      </c>
      <c r="G106" s="33">
        <f>ROUND($C106*'2024-25 Elementary Calculator'!$Q$15/400,3)+ROUND($D106*'2024-25 Middle Calculator'!$O$15/432,3)+ROUND($E106*'2024-25 High Calculator'!$O$15/600,3)</f>
        <v>8.4540000000000006</v>
      </c>
      <c r="H106" s="33">
        <f>ROUND($C106*'2024-25 Elementary Calculator'!$Q$17/400,3)+ROUND($D106*'2024-25 Middle Calculator'!$O$17/432,3)+ROUND($E106*'2024-25 High Calculator'!$O$17/600,3)</f>
        <v>2.8450000000000002</v>
      </c>
      <c r="I106" s="33">
        <f>ROUND($C106*'2024-25 Elementary Calculator'!$Q$18/400,3)+ROUND($D106*'2024-25 Middle Calculator'!$O$18/432,3)+ROUND($E106*'2024-25 High Calculator'!$O$18/600,3)</f>
        <v>23.621000000000002</v>
      </c>
      <c r="J106" s="166">
        <f t="shared" si="10"/>
        <v>87.361999999999995</v>
      </c>
      <c r="K106" s="33">
        <f>ROUND($C106*'2024-25 Elementary Calculator'!$Q$23/400,3)+ROUND($D106*'2024-25 Middle Calculator'!$O$23/432,3)+ROUND($E106*'2024-25 High Calculator'!$O$23/600,3)</f>
        <v>3.2509999999999994</v>
      </c>
      <c r="L106" s="33">
        <f>ROUND($C106*'2024-25 Elementary Calculator'!$Q$22/400,3)+ROUND($D106*'2024-25 Middle Calculator'!$O$22/432,3)+ROUND($E106*'2024-25 High Calculator'!$O$22/600,3)</f>
        <v>1.8919999999999999</v>
      </c>
      <c r="M106" s="166">
        <f t="shared" si="11"/>
        <v>5.1429999999999989</v>
      </c>
      <c r="N106" s="33">
        <f>VLOOKUP($A106,'District Summary'!$A$6:$AH$325,29,FALSE)</f>
        <v>85.713000000000008</v>
      </c>
      <c r="O106" s="33">
        <f>VLOOKUP($A106,'District Summary'!$A$6:$AH$325,34,FALSE)</f>
        <v>43.860999999999997</v>
      </c>
      <c r="P106" s="67">
        <f t="shared" si="12"/>
        <v>-1.6489999999999867</v>
      </c>
      <c r="Q106" s="67">
        <f t="shared" si="13"/>
        <v>38.717999999999996</v>
      </c>
      <c r="R106" s="67">
        <f t="shared" si="14"/>
        <v>92.504999999999995</v>
      </c>
      <c r="S106" s="33">
        <f t="shared" si="15"/>
        <v>129.57400000000001</v>
      </c>
      <c r="T106" s="67">
        <f t="shared" si="17"/>
        <v>37.069000000000003</v>
      </c>
      <c r="U106" s="67">
        <f t="shared" si="16"/>
        <v>0</v>
      </c>
      <c r="V106" s="273"/>
      <c r="W106" s="273"/>
    </row>
    <row r="107" spans="1:23" x14ac:dyDescent="0.25">
      <c r="A107" t="s">
        <v>108</v>
      </c>
      <c r="B107" t="s">
        <v>404</v>
      </c>
      <c r="C107" s="25">
        <f>SUMPRODUCT(VLOOKUP($A107,'PSES Enroll Snapshot 25-01-17'!$K$5:$AB$327,{2,3,4,5,6,7,8,9},0))</f>
        <v>4641.08</v>
      </c>
      <c r="D107" s="25">
        <f>SUMPRODUCT(VLOOKUP($A107,'PSES Enroll Snapshot 25-01-17'!$K$5:$AB$327,{10,11},0))-VLOOKUP($A107,'PSES Enroll Snapshot 25-01-17'!$K$5:$AB$327,12,0)</f>
        <v>1424.16</v>
      </c>
      <c r="E107" s="25">
        <f>SUMPRODUCT(VLOOKUP($A107,'PSES Enroll Snapshot 25-01-17'!$K$5:$AB$327,{13,14},0))-SUMPRODUCT(VLOOKUP($A107,'PSES Enroll Snapshot 25-01-17'!$K$5:$AB$327,{15,16,17},0))</f>
        <v>1983.8100000000002</v>
      </c>
      <c r="F107" s="33">
        <f>ROUND($C107*'2024-25 Elementary Calculator'!$Q$13/400,3)+ROUND($D107*'2024-25 Middle Calculator'!$O$13/432,3)+ROUND($E107*'2024-25 High Calculator'!$O$13/600,3)</f>
        <v>27.225999999999999</v>
      </c>
      <c r="G107" s="33">
        <f>ROUND($C107*'2024-25 Elementary Calculator'!$Q$15/400,3)+ROUND($D107*'2024-25 Middle Calculator'!$O$15/432,3)+ROUND($E107*'2024-25 High Calculator'!$O$15/600,3)</f>
        <v>4.3180000000000005</v>
      </c>
      <c r="H107" s="33">
        <f>ROUND($C107*'2024-25 Elementary Calculator'!$Q$17/400,3)+ROUND($D107*'2024-25 Middle Calculator'!$O$17/432,3)+ROUND($E107*'2024-25 High Calculator'!$O$17/600,3)</f>
        <v>1.448</v>
      </c>
      <c r="I107" s="33">
        <f>ROUND($C107*'2024-25 Elementary Calculator'!$Q$18/400,3)+ROUND($D107*'2024-25 Middle Calculator'!$O$18/432,3)+ROUND($E107*'2024-25 High Calculator'!$O$18/600,3)</f>
        <v>12.439</v>
      </c>
      <c r="J107" s="166">
        <f t="shared" si="10"/>
        <v>45.430999999999997</v>
      </c>
      <c r="K107" s="33">
        <f>ROUND($C107*'2024-25 Elementary Calculator'!$Q$23/400,3)+ROUND($D107*'2024-25 Middle Calculator'!$O$23/432,3)+ROUND($E107*'2024-25 High Calculator'!$O$23/600,3)</f>
        <v>1.6859999999999999</v>
      </c>
      <c r="L107" s="33">
        <f>ROUND($C107*'2024-25 Elementary Calculator'!$Q$22/400,3)+ROUND($D107*'2024-25 Middle Calculator'!$O$22/432,3)+ROUND($E107*'2024-25 High Calculator'!$O$22/600,3)</f>
        <v>0.95699999999999996</v>
      </c>
      <c r="M107" s="166">
        <f t="shared" si="11"/>
        <v>2.6429999999999998</v>
      </c>
      <c r="N107" s="33">
        <f>VLOOKUP($A107,'District Summary'!$A$6:$AH$325,29,FALSE)</f>
        <v>27.134999999999998</v>
      </c>
      <c r="O107" s="33">
        <f>VLOOKUP($A107,'District Summary'!$A$6:$AH$325,34,FALSE)</f>
        <v>19.243000000000002</v>
      </c>
      <c r="P107" s="67">
        <f t="shared" si="12"/>
        <v>-18.295999999999999</v>
      </c>
      <c r="Q107" s="67">
        <f t="shared" si="13"/>
        <v>16.600000000000001</v>
      </c>
      <c r="R107" s="67">
        <f t="shared" si="14"/>
        <v>48.073999999999998</v>
      </c>
      <c r="S107" s="33">
        <f t="shared" si="15"/>
        <v>46.378</v>
      </c>
      <c r="T107" s="67">
        <f t="shared" si="17"/>
        <v>-1.696</v>
      </c>
      <c r="U107" s="67">
        <f t="shared" si="16"/>
        <v>-1.696</v>
      </c>
      <c r="V107" s="273"/>
      <c r="W107" s="273"/>
    </row>
    <row r="108" spans="1:23" x14ac:dyDescent="0.25">
      <c r="A108" t="s">
        <v>109</v>
      </c>
      <c r="B108" t="s">
        <v>405</v>
      </c>
      <c r="C108" s="25">
        <f>SUMPRODUCT(VLOOKUP($A108,'PSES Enroll Snapshot 25-01-17'!$K$5:$AB$327,{2,3,4,5,6,7,8,9},0))</f>
        <v>3578</v>
      </c>
      <c r="D108" s="25">
        <f>SUMPRODUCT(VLOOKUP($A108,'PSES Enroll Snapshot 25-01-17'!$K$5:$AB$327,{10,11},0))-VLOOKUP($A108,'PSES Enroll Snapshot 25-01-17'!$K$5:$AB$327,12,0)</f>
        <v>992.62999999999988</v>
      </c>
      <c r="E108" s="25">
        <f>SUMPRODUCT(VLOOKUP($A108,'PSES Enroll Snapshot 25-01-17'!$K$5:$AB$327,{13,14},0))-SUMPRODUCT(VLOOKUP($A108,'PSES Enroll Snapshot 25-01-17'!$K$5:$AB$327,{15,16,17},0))</f>
        <v>1556.5300000000002</v>
      </c>
      <c r="F108" s="33">
        <f>ROUND($C108*'2024-25 Elementary Calculator'!$Q$13/400,3)+ROUND($D108*'2024-25 Middle Calculator'!$O$13/432,3)+ROUND($E108*'2024-25 High Calculator'!$O$13/600,3)</f>
        <v>20.709</v>
      </c>
      <c r="G108" s="33">
        <f>ROUND($C108*'2024-25 Elementary Calculator'!$Q$15/400,3)+ROUND($D108*'2024-25 Middle Calculator'!$O$15/432,3)+ROUND($E108*'2024-25 High Calculator'!$O$15/600,3)</f>
        <v>3.3130000000000002</v>
      </c>
      <c r="H108" s="33">
        <f>ROUND($C108*'2024-25 Elementary Calculator'!$Q$17/400,3)+ROUND($D108*'2024-25 Middle Calculator'!$O$17/432,3)+ROUND($E108*'2024-25 High Calculator'!$O$17/600,3)</f>
        <v>1.1120000000000001</v>
      </c>
      <c r="I108" s="33">
        <f>ROUND($C108*'2024-25 Elementary Calculator'!$Q$18/400,3)+ROUND($D108*'2024-25 Middle Calculator'!$O$18/432,3)+ROUND($E108*'2024-25 High Calculator'!$O$18/600,3)</f>
        <v>9.4109999999999996</v>
      </c>
      <c r="J108" s="166">
        <f t="shared" si="10"/>
        <v>34.545000000000002</v>
      </c>
      <c r="K108" s="33">
        <f>ROUND($C108*'2024-25 Elementary Calculator'!$Q$23/400,3)+ROUND($D108*'2024-25 Middle Calculator'!$O$23/432,3)+ROUND($E108*'2024-25 High Calculator'!$O$23/600,3)</f>
        <v>1.2839999999999998</v>
      </c>
      <c r="L108" s="33">
        <f>ROUND($C108*'2024-25 Elementary Calculator'!$Q$22/400,3)+ROUND($D108*'2024-25 Middle Calculator'!$O$22/432,3)+ROUND($E108*'2024-25 High Calculator'!$O$22/600,3)</f>
        <v>0.73799999999999999</v>
      </c>
      <c r="M108" s="166">
        <f t="shared" si="11"/>
        <v>2.0219999999999998</v>
      </c>
      <c r="N108" s="33">
        <f>VLOOKUP($A108,'District Summary'!$A$6:$AH$325,29,FALSE)</f>
        <v>37.020000000000003</v>
      </c>
      <c r="O108" s="33">
        <f>VLOOKUP($A108,'District Summary'!$A$6:$AH$325,34,FALSE)</f>
        <v>8.8930000000000007</v>
      </c>
      <c r="P108" s="67">
        <f t="shared" si="12"/>
        <v>2.4750000000000014</v>
      </c>
      <c r="Q108" s="67">
        <f t="shared" si="13"/>
        <v>6.8710000000000004</v>
      </c>
      <c r="R108" s="67">
        <f t="shared" si="14"/>
        <v>36.567</v>
      </c>
      <c r="S108" s="33">
        <f t="shared" si="15"/>
        <v>45.913000000000004</v>
      </c>
      <c r="T108" s="67">
        <f t="shared" si="17"/>
        <v>9.3460000000000001</v>
      </c>
      <c r="U108" s="67">
        <f t="shared" si="16"/>
        <v>0</v>
      </c>
      <c r="V108" s="273"/>
      <c r="W108" s="273"/>
    </row>
    <row r="109" spans="1:23" x14ac:dyDescent="0.25">
      <c r="A109" t="s">
        <v>110</v>
      </c>
      <c r="B109" t="s">
        <v>406</v>
      </c>
      <c r="C109" s="25">
        <f>SUMPRODUCT(VLOOKUP($A109,'PSES Enroll Snapshot 25-01-17'!$K$5:$AB$327,{2,3,4,5,6,7,8,9},0))</f>
        <v>9347.98</v>
      </c>
      <c r="D109" s="25">
        <f>SUMPRODUCT(VLOOKUP($A109,'PSES Enroll Snapshot 25-01-17'!$K$5:$AB$327,{10,11},0))-VLOOKUP($A109,'PSES Enroll Snapshot 25-01-17'!$K$5:$AB$327,12,0)</f>
        <v>2985.8199999999997</v>
      </c>
      <c r="E109" s="25">
        <f>SUMPRODUCT(VLOOKUP($A109,'PSES Enroll Snapshot 25-01-17'!$K$5:$AB$327,{13,14},0))-SUMPRODUCT(VLOOKUP($A109,'PSES Enroll Snapshot 25-01-17'!$K$5:$AB$327,{15,16,17},0))</f>
        <v>4584.5499999999993</v>
      </c>
      <c r="F109" s="33">
        <f>ROUND($C109*'2024-25 Elementary Calculator'!$Q$13/400,3)+ROUND($D109*'2024-25 Middle Calculator'!$O$13/432,3)+ROUND($E109*'2024-25 High Calculator'!$O$13/600,3)</f>
        <v>58.287000000000006</v>
      </c>
      <c r="G109" s="33">
        <f>ROUND($C109*'2024-25 Elementary Calculator'!$Q$15/400,3)+ROUND($D109*'2024-25 Middle Calculator'!$O$15/432,3)+ROUND($E109*'2024-25 High Calculator'!$O$15/600,3)</f>
        <v>8.8460000000000001</v>
      </c>
      <c r="H109" s="33">
        <f>ROUND($C109*'2024-25 Elementary Calculator'!$Q$17/400,3)+ROUND($D109*'2024-25 Middle Calculator'!$O$17/432,3)+ROUND($E109*'2024-25 High Calculator'!$O$17/600,3)</f>
        <v>2.97</v>
      </c>
      <c r="I109" s="33">
        <f>ROUND($C109*'2024-25 Elementary Calculator'!$Q$18/400,3)+ROUND($D109*'2024-25 Middle Calculator'!$O$18/432,3)+ROUND($E109*'2024-25 High Calculator'!$O$18/600,3)</f>
        <v>26.104999999999997</v>
      </c>
      <c r="J109" s="166">
        <f t="shared" si="10"/>
        <v>96.207999999999998</v>
      </c>
      <c r="K109" s="33">
        <f>ROUND($C109*'2024-25 Elementary Calculator'!$Q$23/400,3)+ROUND($D109*'2024-25 Middle Calculator'!$O$23/432,3)+ROUND($E109*'2024-25 High Calculator'!$O$23/600,3)</f>
        <v>3.5590000000000002</v>
      </c>
      <c r="L109" s="33">
        <f>ROUND($C109*'2024-25 Elementary Calculator'!$Q$22/400,3)+ROUND($D109*'2024-25 Middle Calculator'!$O$22/432,3)+ROUND($E109*'2024-25 High Calculator'!$O$22/600,3)</f>
        <v>1.9279999999999999</v>
      </c>
      <c r="M109" s="166">
        <f t="shared" si="11"/>
        <v>5.4870000000000001</v>
      </c>
      <c r="N109" s="33">
        <f>VLOOKUP($A109,'District Summary'!$A$6:$AH$325,29,FALSE)</f>
        <v>62.513999999999996</v>
      </c>
      <c r="O109" s="33">
        <f>VLOOKUP($A109,'District Summary'!$A$6:$AH$325,34,FALSE)</f>
        <v>67.608000000000004</v>
      </c>
      <c r="P109" s="67">
        <f t="shared" si="12"/>
        <v>-33.694000000000003</v>
      </c>
      <c r="Q109" s="67">
        <f t="shared" si="13"/>
        <v>62.121000000000002</v>
      </c>
      <c r="R109" s="67">
        <f t="shared" si="14"/>
        <v>101.69499999999999</v>
      </c>
      <c r="S109" s="33">
        <f t="shared" si="15"/>
        <v>130.12200000000001</v>
      </c>
      <c r="T109" s="67">
        <f t="shared" si="17"/>
        <v>28.427</v>
      </c>
      <c r="U109" s="67">
        <f t="shared" si="16"/>
        <v>0</v>
      </c>
      <c r="V109" s="273"/>
      <c r="W109" s="273"/>
    </row>
    <row r="110" spans="1:23" x14ac:dyDescent="0.25">
      <c r="A110" t="s">
        <v>111</v>
      </c>
      <c r="B110" t="s">
        <v>407</v>
      </c>
      <c r="C110" s="25">
        <f>SUMPRODUCT(VLOOKUP($A110,'PSES Enroll Snapshot 25-01-17'!$K$5:$AB$327,{2,3,4,5,6,7,8,9},0))</f>
        <v>4610.3500000000004</v>
      </c>
      <c r="D110" s="25">
        <f>SUMPRODUCT(VLOOKUP($A110,'PSES Enroll Snapshot 25-01-17'!$K$5:$AB$327,{10,11},0))-VLOOKUP($A110,'PSES Enroll Snapshot 25-01-17'!$K$5:$AB$327,12,0)</f>
        <v>1391.2600000000002</v>
      </c>
      <c r="E110" s="25">
        <f>SUMPRODUCT(VLOOKUP($A110,'PSES Enroll Snapshot 25-01-17'!$K$5:$AB$327,{13,14},0))-SUMPRODUCT(VLOOKUP($A110,'PSES Enroll Snapshot 25-01-17'!$K$5:$AB$327,{15,16,17},0))</f>
        <v>2394.6499999999996</v>
      </c>
      <c r="F110" s="33">
        <f>ROUND($C110*'2024-25 Elementary Calculator'!$Q$13/400,3)+ROUND($D110*'2024-25 Middle Calculator'!$O$13/432,3)+ROUND($E110*'2024-25 High Calculator'!$O$13/600,3)</f>
        <v>29.1</v>
      </c>
      <c r="G110" s="33">
        <f>ROUND($C110*'2024-25 Elementary Calculator'!$Q$15/400,3)+ROUND($D110*'2024-25 Middle Calculator'!$O$15/432,3)+ROUND($E110*'2024-25 High Calculator'!$O$15/600,3)</f>
        <v>4.375</v>
      </c>
      <c r="H110" s="33">
        <f>ROUND($C110*'2024-25 Elementary Calculator'!$Q$17/400,3)+ROUND($D110*'2024-25 Middle Calculator'!$O$17/432,3)+ROUND($E110*'2024-25 High Calculator'!$O$17/600,3)</f>
        <v>1.472</v>
      </c>
      <c r="I110" s="33">
        <f>ROUND($C110*'2024-25 Elementary Calculator'!$Q$18/400,3)+ROUND($D110*'2024-25 Middle Calculator'!$O$18/432,3)+ROUND($E110*'2024-25 High Calculator'!$O$18/600,3)</f>
        <v>12.891999999999999</v>
      </c>
      <c r="J110" s="166">
        <f t="shared" si="10"/>
        <v>47.838999999999999</v>
      </c>
      <c r="K110" s="33">
        <f>ROUND($C110*'2024-25 Elementary Calculator'!$Q$23/400,3)+ROUND($D110*'2024-25 Middle Calculator'!$O$23/432,3)+ROUND($E110*'2024-25 High Calculator'!$O$23/600,3)</f>
        <v>1.77</v>
      </c>
      <c r="L110" s="33">
        <f>ROUND($C110*'2024-25 Elementary Calculator'!$Q$22/400,3)+ROUND($D110*'2024-25 Middle Calculator'!$O$22/432,3)+ROUND($E110*'2024-25 High Calculator'!$O$22/600,3)</f>
        <v>0.95099999999999996</v>
      </c>
      <c r="M110" s="166">
        <f t="shared" si="11"/>
        <v>2.7210000000000001</v>
      </c>
      <c r="N110" s="33">
        <f>VLOOKUP($A110,'District Summary'!$A$6:$AH$325,29,FALSE)</f>
        <v>32.253999999999998</v>
      </c>
      <c r="O110" s="33">
        <f>VLOOKUP($A110,'District Summary'!$A$6:$AH$325,34,FALSE)</f>
        <v>32.625</v>
      </c>
      <c r="P110" s="67">
        <f t="shared" si="12"/>
        <v>-15.585000000000001</v>
      </c>
      <c r="Q110" s="67">
        <f t="shared" si="13"/>
        <v>29.904</v>
      </c>
      <c r="R110" s="67">
        <f t="shared" si="14"/>
        <v>50.56</v>
      </c>
      <c r="S110" s="33">
        <f t="shared" si="15"/>
        <v>64.878999999999991</v>
      </c>
      <c r="T110" s="67">
        <f t="shared" si="17"/>
        <v>14.319000000000001</v>
      </c>
      <c r="U110" s="67">
        <f t="shared" si="16"/>
        <v>0</v>
      </c>
      <c r="V110" s="273"/>
      <c r="W110" s="273"/>
    </row>
    <row r="111" spans="1:23" x14ac:dyDescent="0.25">
      <c r="A111" t="s">
        <v>112</v>
      </c>
      <c r="B111" t="s">
        <v>408</v>
      </c>
      <c r="C111" s="25">
        <f>SUMPRODUCT(VLOOKUP($A111,'PSES Enroll Snapshot 25-01-17'!$K$5:$AB$327,{2,3,4,5,6,7,8,9},0))</f>
        <v>15923.669999999998</v>
      </c>
      <c r="D111" s="25">
        <f>SUMPRODUCT(VLOOKUP($A111,'PSES Enroll Snapshot 25-01-17'!$K$5:$AB$327,{10,11},0))-VLOOKUP($A111,'PSES Enroll Snapshot 25-01-17'!$K$5:$AB$327,12,0)</f>
        <v>4502.71</v>
      </c>
      <c r="E111" s="25">
        <f>SUMPRODUCT(VLOOKUP($A111,'PSES Enroll Snapshot 25-01-17'!$K$5:$AB$327,{13,14},0))-SUMPRODUCT(VLOOKUP($A111,'PSES Enroll Snapshot 25-01-17'!$K$5:$AB$327,{15,16,17},0))</f>
        <v>6782.75</v>
      </c>
      <c r="F111" s="33">
        <f>ROUND($C111*'2024-25 Elementary Calculator'!$Q$13/400,3)+ROUND($D111*'2024-25 Middle Calculator'!$O$13/432,3)+ROUND($E111*'2024-25 High Calculator'!$O$13/600,3)</f>
        <v>91.771999999999991</v>
      </c>
      <c r="G111" s="33">
        <f>ROUND($C111*'2024-25 Elementary Calculator'!$Q$15/400,3)+ROUND($D111*'2024-25 Middle Calculator'!$O$15/432,3)+ROUND($E111*'2024-25 High Calculator'!$O$15/600,3)</f>
        <v>14.734</v>
      </c>
      <c r="H111" s="33">
        <f>ROUND($C111*'2024-25 Elementary Calculator'!$Q$17/400,3)+ROUND($D111*'2024-25 Middle Calculator'!$O$17/432,3)+ROUND($E111*'2024-25 High Calculator'!$O$17/600,3)</f>
        <v>4.944</v>
      </c>
      <c r="I111" s="33">
        <f>ROUND($C111*'2024-25 Elementary Calculator'!$Q$18/400,3)+ROUND($D111*'2024-25 Middle Calculator'!$O$18/432,3)+ROUND($E111*'2024-25 High Calculator'!$O$18/600,3)</f>
        <v>41.858999999999995</v>
      </c>
      <c r="J111" s="166">
        <f t="shared" si="10"/>
        <v>153.30899999999997</v>
      </c>
      <c r="K111" s="33">
        <f>ROUND($C111*'2024-25 Elementary Calculator'!$Q$23/400,3)+ROUND($D111*'2024-25 Middle Calculator'!$O$23/432,3)+ROUND($E111*'2024-25 High Calculator'!$O$23/600,3)</f>
        <v>5.6980000000000004</v>
      </c>
      <c r="L111" s="33">
        <f>ROUND($C111*'2024-25 Elementary Calculator'!$Q$22/400,3)+ROUND($D111*'2024-25 Middle Calculator'!$O$22/432,3)+ROUND($E111*'2024-25 High Calculator'!$O$22/600,3)</f>
        <v>3.2839999999999998</v>
      </c>
      <c r="M111" s="166">
        <f t="shared" si="11"/>
        <v>8.9819999999999993</v>
      </c>
      <c r="N111" s="33">
        <f>VLOOKUP($A111,'District Summary'!$A$6:$AH$325,29,FALSE)</f>
        <v>125.089</v>
      </c>
      <c r="O111" s="33">
        <f>VLOOKUP($A111,'District Summary'!$A$6:$AH$325,34,FALSE)</f>
        <v>117.943</v>
      </c>
      <c r="P111" s="67">
        <f t="shared" si="12"/>
        <v>-28.21999999999997</v>
      </c>
      <c r="Q111" s="67">
        <f t="shared" si="13"/>
        <v>108.961</v>
      </c>
      <c r="R111" s="67">
        <f t="shared" si="14"/>
        <v>162.29099999999997</v>
      </c>
      <c r="S111" s="33">
        <f t="shared" si="15"/>
        <v>243.03199999999998</v>
      </c>
      <c r="T111" s="67">
        <f t="shared" si="17"/>
        <v>80.741</v>
      </c>
      <c r="U111" s="67">
        <f t="shared" si="16"/>
        <v>0</v>
      </c>
      <c r="V111" s="273"/>
      <c r="W111" s="273"/>
    </row>
    <row r="112" spans="1:23" x14ac:dyDescent="0.25">
      <c r="A112" t="s">
        <v>113</v>
      </c>
      <c r="B112" t="s">
        <v>409</v>
      </c>
      <c r="C112" s="25">
        <f>SUMPRODUCT(VLOOKUP($A112,'PSES Enroll Snapshot 25-01-17'!$K$5:$AB$327,{2,3,4,5,6,7,8,9},0))</f>
        <v>13317.300000000001</v>
      </c>
      <c r="D112" s="25">
        <f>SUMPRODUCT(VLOOKUP($A112,'PSES Enroll Snapshot 25-01-17'!$K$5:$AB$327,{10,11},0))-VLOOKUP($A112,'PSES Enroll Snapshot 25-01-17'!$K$5:$AB$327,12,0)</f>
        <v>3523.49</v>
      </c>
      <c r="E112" s="25">
        <f>SUMPRODUCT(VLOOKUP($A112,'PSES Enroll Snapshot 25-01-17'!$K$5:$AB$327,{13,14},0))-SUMPRODUCT(VLOOKUP($A112,'PSES Enroll Snapshot 25-01-17'!$K$5:$AB$327,{15,16,17},0))</f>
        <v>4835.97</v>
      </c>
      <c r="F112" s="33">
        <f>ROUND($C112*'2024-25 Elementary Calculator'!$Q$13/400,3)+ROUND($D112*'2024-25 Middle Calculator'!$O$13/432,3)+ROUND($E112*'2024-25 High Calculator'!$O$13/600,3)</f>
        <v>71.550000000000011</v>
      </c>
      <c r="G112" s="33">
        <f>ROUND($C112*'2024-25 Elementary Calculator'!$Q$15/400,3)+ROUND($D112*'2024-25 Middle Calculator'!$O$15/432,3)+ROUND($E112*'2024-25 High Calculator'!$O$15/600,3)</f>
        <v>12.096</v>
      </c>
      <c r="H112" s="33">
        <f>ROUND($C112*'2024-25 Elementary Calculator'!$Q$17/400,3)+ROUND($D112*'2024-25 Middle Calculator'!$O$17/432,3)+ROUND($E112*'2024-25 High Calculator'!$O$17/600,3)</f>
        <v>4.0530000000000008</v>
      </c>
      <c r="I112" s="33">
        <f>ROUND($C112*'2024-25 Elementary Calculator'!$Q$18/400,3)+ROUND($D112*'2024-25 Middle Calculator'!$O$18/432,3)+ROUND($E112*'2024-25 High Calculator'!$O$18/600,3)</f>
        <v>33.360999999999997</v>
      </c>
      <c r="J112" s="166">
        <f t="shared" si="10"/>
        <v>121.06</v>
      </c>
      <c r="K112" s="33">
        <f>ROUND($C112*'2024-25 Elementary Calculator'!$Q$23/400,3)+ROUND($D112*'2024-25 Middle Calculator'!$O$23/432,3)+ROUND($E112*'2024-25 High Calculator'!$O$23/600,3)</f>
        <v>4.516</v>
      </c>
      <c r="L112" s="33">
        <f>ROUND($C112*'2024-25 Elementary Calculator'!$Q$22/400,3)+ROUND($D112*'2024-25 Middle Calculator'!$O$22/432,3)+ROUND($E112*'2024-25 High Calculator'!$O$22/600,3)</f>
        <v>2.7469999999999999</v>
      </c>
      <c r="M112" s="166">
        <f t="shared" si="11"/>
        <v>7.2629999999999999</v>
      </c>
      <c r="N112" s="33">
        <f>VLOOKUP($A112,'District Summary'!$A$6:$AH$325,29,FALSE)</f>
        <v>103.59399999999999</v>
      </c>
      <c r="O112" s="33">
        <f>VLOOKUP($A112,'District Summary'!$A$6:$AH$325,34,FALSE)</f>
        <v>98.41</v>
      </c>
      <c r="P112" s="67">
        <f t="shared" si="12"/>
        <v>-17.466000000000008</v>
      </c>
      <c r="Q112" s="67">
        <f t="shared" si="13"/>
        <v>91.146999999999991</v>
      </c>
      <c r="R112" s="67">
        <f t="shared" si="14"/>
        <v>128.32300000000001</v>
      </c>
      <c r="S112" s="33">
        <f t="shared" si="15"/>
        <v>202.00399999999999</v>
      </c>
      <c r="T112" s="67">
        <f t="shared" si="17"/>
        <v>73.680999999999997</v>
      </c>
      <c r="U112" s="67">
        <f t="shared" si="16"/>
        <v>0</v>
      </c>
      <c r="V112" s="273"/>
      <c r="W112" s="273"/>
    </row>
    <row r="113" spans="1:23" x14ac:dyDescent="0.25">
      <c r="A113" t="s">
        <v>114</v>
      </c>
      <c r="B113" t="s">
        <v>410</v>
      </c>
      <c r="C113" s="25">
        <f>SUMPRODUCT(VLOOKUP($A113,'PSES Enroll Snapshot 25-01-17'!$K$5:$AB$327,{2,3,4,5,6,7,8,9},0))</f>
        <v>11247.970000000001</v>
      </c>
      <c r="D113" s="25">
        <f>SUMPRODUCT(VLOOKUP($A113,'PSES Enroll Snapshot 25-01-17'!$K$5:$AB$327,{10,11},0))-VLOOKUP($A113,'PSES Enroll Snapshot 25-01-17'!$K$5:$AB$327,12,0)</f>
        <v>3228.41</v>
      </c>
      <c r="E113" s="25">
        <f>SUMPRODUCT(VLOOKUP($A113,'PSES Enroll Snapshot 25-01-17'!$K$5:$AB$327,{13,14},0))-SUMPRODUCT(VLOOKUP($A113,'PSES Enroll Snapshot 25-01-17'!$K$5:$AB$327,{15,16,17},0))</f>
        <v>5437.9</v>
      </c>
      <c r="F113" s="33">
        <f>ROUND($C113*'2024-25 Elementary Calculator'!$Q$13/400,3)+ROUND($D113*'2024-25 Middle Calculator'!$O$13/432,3)+ROUND($E113*'2024-25 High Calculator'!$O$13/600,3)</f>
        <v>68.289999999999992</v>
      </c>
      <c r="G113" s="33">
        <f>ROUND($C113*'2024-25 Elementary Calculator'!$Q$15/400,3)+ROUND($D113*'2024-25 Middle Calculator'!$O$15/432,3)+ROUND($E113*'2024-25 High Calculator'!$O$15/600,3)</f>
        <v>10.553999999999998</v>
      </c>
      <c r="H113" s="33">
        <f>ROUND($C113*'2024-25 Elementary Calculator'!$Q$17/400,3)+ROUND($D113*'2024-25 Middle Calculator'!$O$17/432,3)+ROUND($E113*'2024-25 High Calculator'!$O$17/600,3)</f>
        <v>3.5469999999999997</v>
      </c>
      <c r="I113" s="33">
        <f>ROUND($C113*'2024-25 Elementary Calculator'!$Q$18/400,3)+ROUND($D113*'2024-25 Middle Calculator'!$O$18/432,3)+ROUND($E113*'2024-25 High Calculator'!$O$18/600,3)</f>
        <v>30.553999999999998</v>
      </c>
      <c r="J113" s="166">
        <f t="shared" si="10"/>
        <v>112.94499999999999</v>
      </c>
      <c r="K113" s="33">
        <f>ROUND($C113*'2024-25 Elementary Calculator'!$Q$23/400,3)+ROUND($D113*'2024-25 Middle Calculator'!$O$23/432,3)+ROUND($E113*'2024-25 High Calculator'!$O$23/600,3)</f>
        <v>4.1869999999999994</v>
      </c>
      <c r="L113" s="33">
        <f>ROUND($C113*'2024-25 Elementary Calculator'!$Q$22/400,3)+ROUND($D113*'2024-25 Middle Calculator'!$O$22/432,3)+ROUND($E113*'2024-25 High Calculator'!$O$22/600,3)</f>
        <v>2.3199999999999998</v>
      </c>
      <c r="M113" s="166">
        <f t="shared" si="11"/>
        <v>6.5069999999999997</v>
      </c>
      <c r="N113" s="33">
        <f>VLOOKUP($A113,'District Summary'!$A$6:$AH$325,29,FALSE)</f>
        <v>78.146999999999991</v>
      </c>
      <c r="O113" s="33">
        <f>VLOOKUP($A113,'District Summary'!$A$6:$AH$325,34,FALSE)</f>
        <v>53.510000000000005</v>
      </c>
      <c r="P113" s="67">
        <f t="shared" si="12"/>
        <v>-34.798000000000002</v>
      </c>
      <c r="Q113" s="67">
        <f t="shared" si="13"/>
        <v>47.003000000000007</v>
      </c>
      <c r="R113" s="67">
        <f t="shared" si="14"/>
        <v>119.452</v>
      </c>
      <c r="S113" s="33">
        <f t="shared" si="15"/>
        <v>131.65699999999998</v>
      </c>
      <c r="T113" s="67">
        <f t="shared" si="17"/>
        <v>12.205</v>
      </c>
      <c r="U113" s="67">
        <f t="shared" si="16"/>
        <v>0</v>
      </c>
      <c r="V113" s="273"/>
      <c r="W113" s="273"/>
    </row>
    <row r="114" spans="1:23" x14ac:dyDescent="0.25">
      <c r="A114" t="s">
        <v>619</v>
      </c>
      <c r="B114" t="s">
        <v>1242</v>
      </c>
      <c r="C114" s="25">
        <f>SUMPRODUCT(VLOOKUP($A114,'PSES Enroll Snapshot 25-01-17'!$K$5:$AB$327,{2,3,4,5,6,7,8,9},0))</f>
        <v>0</v>
      </c>
      <c r="D114" s="25">
        <f>SUMPRODUCT(VLOOKUP($A114,'PSES Enroll Snapshot 25-01-17'!$K$5:$AB$327,{10,11},0))-VLOOKUP($A114,'PSES Enroll Snapshot 25-01-17'!$K$5:$AB$327,12,0)</f>
        <v>0</v>
      </c>
      <c r="E114" s="25">
        <f>SUMPRODUCT(VLOOKUP($A114,'PSES Enroll Snapshot 25-01-17'!$K$5:$AB$327,{13,14},0))-SUMPRODUCT(VLOOKUP($A114,'PSES Enroll Snapshot 25-01-17'!$K$5:$AB$327,{15,16,17},0))</f>
        <v>207.18</v>
      </c>
      <c r="F114" s="33">
        <f>ROUND($C114*'2024-25 Elementary Calculator'!$Q$13/400,3)+ROUND($D114*'2024-25 Middle Calculator'!$O$13/432,3)+ROUND($E114*'2024-25 High Calculator'!$O$13/600,3)</f>
        <v>1.0489999999999999</v>
      </c>
      <c r="G114" s="33">
        <f>ROUND($C114*'2024-25 Elementary Calculator'!$Q$15/400,3)+ROUND($D114*'2024-25 Middle Calculator'!$O$15/432,3)+ROUND($E114*'2024-25 High Calculator'!$O$15/600,3)</f>
        <v>4.3999999999999997E-2</v>
      </c>
      <c r="H114" s="33">
        <f>ROUND($C114*'2024-25 Elementary Calculator'!$Q$17/400,3)+ROUND($D114*'2024-25 Middle Calculator'!$O$17/432,3)+ROUND($E114*'2024-25 High Calculator'!$O$17/600,3)</f>
        <v>1.7000000000000001E-2</v>
      </c>
      <c r="I114" s="33">
        <f>ROUND($C114*'2024-25 Elementary Calculator'!$Q$18/400,3)+ROUND($D114*'2024-25 Middle Calculator'!$O$18/432,3)+ROUND($E114*'2024-25 High Calculator'!$O$18/600,3)</f>
        <v>0.28499999999999998</v>
      </c>
      <c r="J114" s="166">
        <f t="shared" si="10"/>
        <v>1.3949999999999998</v>
      </c>
      <c r="K114" s="33">
        <f>ROUND($C114*'2024-25 Elementary Calculator'!$Q$23/400,3)+ROUND($D114*'2024-25 Middle Calculator'!$O$23/432,3)+ROUND($E114*'2024-25 High Calculator'!$O$23/600,3)</f>
        <v>4.9000000000000002E-2</v>
      </c>
      <c r="L114" s="33">
        <f>ROUND($C114*'2024-25 Elementary Calculator'!$Q$22/400,3)+ROUND($D114*'2024-25 Middle Calculator'!$O$22/432,3)+ROUND($E114*'2024-25 High Calculator'!$O$22/600,3)</f>
        <v>0</v>
      </c>
      <c r="M114" s="166">
        <f t="shared" si="11"/>
        <v>4.9000000000000002E-2</v>
      </c>
      <c r="N114" s="33">
        <f>VLOOKUP($A114,'District Summary'!$A$6:$AH$325,29,FALSE)</f>
        <v>1</v>
      </c>
      <c r="O114" s="33">
        <f>VLOOKUP($A114,'District Summary'!$A$6:$AH$325,34,FALSE)</f>
        <v>0.105</v>
      </c>
      <c r="P114" s="67">
        <f t="shared" si="12"/>
        <v>-0.3949999999999998</v>
      </c>
      <c r="Q114" s="67">
        <f t="shared" si="13"/>
        <v>5.5999999999999994E-2</v>
      </c>
      <c r="R114" s="67">
        <f t="shared" si="14"/>
        <v>1.4439999999999997</v>
      </c>
      <c r="S114" s="33">
        <f t="shared" si="15"/>
        <v>1.105</v>
      </c>
      <c r="T114" s="67">
        <f t="shared" si="17"/>
        <v>-0.33900000000000002</v>
      </c>
      <c r="U114" s="67">
        <f t="shared" si="16"/>
        <v>-0.33900000000000002</v>
      </c>
      <c r="V114" s="273"/>
      <c r="W114" s="273"/>
    </row>
    <row r="115" spans="1:23" x14ac:dyDescent="0.25">
      <c r="A115" t="s">
        <v>115</v>
      </c>
      <c r="B115" t="s">
        <v>411</v>
      </c>
      <c r="C115" s="25">
        <f>SUMPRODUCT(VLOOKUP($A115,'PSES Enroll Snapshot 25-01-17'!$K$5:$AB$327,{2,3,4,5,6,7,8,9},0))</f>
        <v>220.14000000000001</v>
      </c>
      <c r="D115" s="25">
        <f>SUMPRODUCT(VLOOKUP($A115,'PSES Enroll Snapshot 25-01-17'!$K$5:$AB$327,{10,11},0))-VLOOKUP($A115,'PSES Enroll Snapshot 25-01-17'!$K$5:$AB$327,12,0)</f>
        <v>84.2</v>
      </c>
      <c r="E115" s="25">
        <f>SUMPRODUCT(VLOOKUP($A115,'PSES Enroll Snapshot 25-01-17'!$K$5:$AB$327,{13,14},0))-SUMPRODUCT(VLOOKUP($A115,'PSES Enroll Snapshot 25-01-17'!$K$5:$AB$327,{15,16,17},0))</f>
        <v>136.54</v>
      </c>
      <c r="F115" s="33">
        <f>ROUND($C115*'2024-25 Elementary Calculator'!$Q$13/400,3)+ROUND($D115*'2024-25 Middle Calculator'!$O$13/432,3)+ROUND($E115*'2024-25 High Calculator'!$O$13/600,3)</f>
        <v>1.5720000000000001</v>
      </c>
      <c r="G115" s="33">
        <f>ROUND($C115*'2024-25 Elementary Calculator'!$Q$15/400,3)+ROUND($D115*'2024-25 Middle Calculator'!$O$15/432,3)+ROUND($E115*'2024-25 High Calculator'!$O$15/600,3)</f>
        <v>0.217</v>
      </c>
      <c r="H115" s="33">
        <f>ROUND($C115*'2024-25 Elementary Calculator'!$Q$17/400,3)+ROUND($D115*'2024-25 Middle Calculator'!$O$17/432,3)+ROUND($E115*'2024-25 High Calculator'!$O$17/600,3)</f>
        <v>7.2999999999999995E-2</v>
      </c>
      <c r="I115" s="33">
        <f>ROUND($C115*'2024-25 Elementary Calculator'!$Q$18/400,3)+ROUND($D115*'2024-25 Middle Calculator'!$O$18/432,3)+ROUND($E115*'2024-25 High Calculator'!$O$18/600,3)</f>
        <v>0.68300000000000005</v>
      </c>
      <c r="J115" s="166">
        <f t="shared" si="10"/>
        <v>2.5449999999999999</v>
      </c>
      <c r="K115" s="33">
        <f>ROUND($C115*'2024-25 Elementary Calculator'!$Q$23/400,3)+ROUND($D115*'2024-25 Middle Calculator'!$O$23/432,3)+ROUND($E115*'2024-25 High Calculator'!$O$23/600,3)</f>
        <v>9.2999999999999999E-2</v>
      </c>
      <c r="L115" s="33">
        <f>ROUND($C115*'2024-25 Elementary Calculator'!$Q$22/400,3)+ROUND($D115*'2024-25 Middle Calculator'!$O$22/432,3)+ROUND($E115*'2024-25 High Calculator'!$O$22/600,3)</f>
        <v>4.4999999999999998E-2</v>
      </c>
      <c r="M115" s="166">
        <f t="shared" si="11"/>
        <v>0.13800000000000001</v>
      </c>
      <c r="N115" s="33">
        <f>VLOOKUP($A115,'District Summary'!$A$6:$AH$325,29,FALSE)</f>
        <v>3.9960000000000004</v>
      </c>
      <c r="O115" s="33">
        <f>VLOOKUP($A115,'District Summary'!$A$6:$AH$325,34,FALSE)</f>
        <v>0</v>
      </c>
      <c r="P115" s="67">
        <f t="shared" si="12"/>
        <v>1.4510000000000005</v>
      </c>
      <c r="Q115" s="67">
        <f t="shared" si="13"/>
        <v>-0.13800000000000001</v>
      </c>
      <c r="R115" s="67">
        <f t="shared" si="14"/>
        <v>2.6829999999999998</v>
      </c>
      <c r="S115" s="33">
        <f t="shared" si="15"/>
        <v>3.9960000000000004</v>
      </c>
      <c r="T115" s="67">
        <f t="shared" si="17"/>
        <v>1.3129999999999999</v>
      </c>
      <c r="U115" s="67">
        <f t="shared" si="16"/>
        <v>0</v>
      </c>
      <c r="V115" s="273"/>
      <c r="W115" s="273"/>
    </row>
    <row r="116" spans="1:23" x14ac:dyDescent="0.25">
      <c r="A116" t="s">
        <v>621</v>
      </c>
      <c r="B116" t="s">
        <v>1240</v>
      </c>
      <c r="C116" s="25">
        <f>SUMPRODUCT(VLOOKUP($A116,'PSES Enroll Snapshot 25-01-17'!$K$5:$AB$327,{2,3,4,5,6,7,8,9},0))</f>
        <v>107.8</v>
      </c>
      <c r="D116" s="25">
        <f>SUMPRODUCT(VLOOKUP($A116,'PSES Enroll Snapshot 25-01-17'!$K$5:$AB$327,{10,11},0))-VLOOKUP($A116,'PSES Enroll Snapshot 25-01-17'!$K$5:$AB$327,12,0)</f>
        <v>194.2</v>
      </c>
      <c r="E116" s="25">
        <f>SUMPRODUCT(VLOOKUP($A116,'PSES Enroll Snapshot 25-01-17'!$K$5:$AB$327,{13,14},0))-SUMPRODUCT(VLOOKUP($A116,'PSES Enroll Snapshot 25-01-17'!$K$5:$AB$327,{15,16,17},0))</f>
        <v>235.28</v>
      </c>
      <c r="F116" s="33">
        <f>ROUND($C116*'2024-25 Elementary Calculator'!$Q$13/400,3)+ROUND($D116*'2024-25 Middle Calculator'!$O$13/432,3)+ROUND($E116*'2024-25 High Calculator'!$O$13/600,3)</f>
        <v>2.2309999999999999</v>
      </c>
      <c r="G116" s="33">
        <f>ROUND($C116*'2024-25 Elementary Calculator'!$Q$15/400,3)+ROUND($D116*'2024-25 Middle Calculator'!$O$15/432,3)+ROUND($E116*'2024-25 High Calculator'!$O$15/600,3)</f>
        <v>0.17399999999999999</v>
      </c>
      <c r="H116" s="33">
        <f>ROUND($C116*'2024-25 Elementary Calculator'!$Q$17/400,3)+ROUND($D116*'2024-25 Middle Calculator'!$O$17/432,3)+ROUND($E116*'2024-25 High Calculator'!$O$17/600,3)</f>
        <v>5.7999999999999996E-2</v>
      </c>
      <c r="I116" s="33">
        <f>ROUND($C116*'2024-25 Elementary Calculator'!$Q$18/400,3)+ROUND($D116*'2024-25 Middle Calculator'!$O$18/432,3)+ROUND($E116*'2024-25 High Calculator'!$O$18/600,3)</f>
        <v>0.88000000000000012</v>
      </c>
      <c r="J116" s="166">
        <f t="shared" si="10"/>
        <v>3.343</v>
      </c>
      <c r="K116" s="33">
        <f>ROUND($C116*'2024-25 Elementary Calculator'!$Q$23/400,3)+ROUND($D116*'2024-25 Middle Calculator'!$O$23/432,3)+ROUND($E116*'2024-25 High Calculator'!$O$23/600,3)</f>
        <v>0.11699999999999999</v>
      </c>
      <c r="L116" s="33">
        <f>ROUND($C116*'2024-25 Elementary Calculator'!$Q$22/400,3)+ROUND($D116*'2024-25 Middle Calculator'!$O$22/432,3)+ROUND($E116*'2024-25 High Calculator'!$O$22/600,3)</f>
        <v>2.1999999999999999E-2</v>
      </c>
      <c r="M116" s="166">
        <f t="shared" si="11"/>
        <v>0.13899999999999998</v>
      </c>
      <c r="N116" s="33">
        <f>VLOOKUP($A116,'District Summary'!$A$6:$AH$325,29,FALSE)</f>
        <v>1</v>
      </c>
      <c r="O116" s="33">
        <f>VLOOKUP($A116,'District Summary'!$A$6:$AH$325,34,FALSE)</f>
        <v>0.106</v>
      </c>
      <c r="P116" s="67">
        <f t="shared" si="12"/>
        <v>-2.343</v>
      </c>
      <c r="Q116" s="67">
        <f t="shared" si="13"/>
        <v>-3.2999999999999988E-2</v>
      </c>
      <c r="R116" s="67">
        <f t="shared" si="14"/>
        <v>3.4819999999999998</v>
      </c>
      <c r="S116" s="33">
        <f t="shared" si="15"/>
        <v>1.1060000000000001</v>
      </c>
      <c r="T116" s="67">
        <f t="shared" si="17"/>
        <v>-2.3759999999999999</v>
      </c>
      <c r="U116" s="67">
        <f t="shared" si="16"/>
        <v>-2.3759999999999999</v>
      </c>
      <c r="V116" s="273"/>
      <c r="W116" s="273"/>
    </row>
    <row r="117" spans="1:23" x14ac:dyDescent="0.25">
      <c r="A117" t="s">
        <v>623</v>
      </c>
      <c r="B117" t="s">
        <v>1236</v>
      </c>
      <c r="C117" s="25">
        <f>SUMPRODUCT(VLOOKUP($A117,'PSES Enroll Snapshot 25-01-17'!$K$5:$AB$327,{2,3,4,5,6,7,8,9},0))</f>
        <v>180.4</v>
      </c>
      <c r="D117" s="25">
        <f>SUMPRODUCT(VLOOKUP($A117,'PSES Enroll Snapshot 25-01-17'!$K$5:$AB$327,{10,11},0))-VLOOKUP($A117,'PSES Enroll Snapshot 25-01-17'!$K$5:$AB$327,12,0)</f>
        <v>179.6</v>
      </c>
      <c r="E117" s="25">
        <f>SUMPRODUCT(VLOOKUP($A117,'PSES Enroll Snapshot 25-01-17'!$K$5:$AB$327,{13,14},0))-SUMPRODUCT(VLOOKUP($A117,'PSES Enroll Snapshot 25-01-17'!$K$5:$AB$327,{15,16,17},0))</f>
        <v>0</v>
      </c>
      <c r="F117" s="33">
        <f>ROUND($C117*'2024-25 Elementary Calculator'!$Q$13/400,3)+ROUND($D117*'2024-25 Middle Calculator'!$O$13/432,3)+ROUND($E117*'2024-25 High Calculator'!$O$13/600,3)</f>
        <v>1.161</v>
      </c>
      <c r="G117" s="33">
        <f>ROUND($C117*'2024-25 Elementary Calculator'!$Q$15/400,3)+ROUND($D117*'2024-25 Middle Calculator'!$O$15/432,3)+ROUND($E117*'2024-25 High Calculator'!$O$15/600,3)</f>
        <v>0.17700000000000002</v>
      </c>
      <c r="H117" s="33">
        <f>ROUND($C117*'2024-25 Elementary Calculator'!$Q$17/400,3)+ROUND($D117*'2024-25 Middle Calculator'!$O$17/432,3)+ROUND($E117*'2024-25 High Calculator'!$O$17/600,3)</f>
        <v>5.7000000000000002E-2</v>
      </c>
      <c r="I117" s="33">
        <f>ROUND($C117*'2024-25 Elementary Calculator'!$Q$18/400,3)+ROUND($D117*'2024-25 Middle Calculator'!$O$18/432,3)+ROUND($E117*'2024-25 High Calculator'!$O$18/600,3)</f>
        <v>0.63300000000000001</v>
      </c>
      <c r="J117" s="166">
        <f t="shared" si="10"/>
        <v>2.028</v>
      </c>
      <c r="K117" s="33">
        <f>ROUND($C117*'2024-25 Elementary Calculator'!$Q$23/400,3)+ROUND($D117*'2024-25 Middle Calculator'!$O$23/432,3)+ROUND($E117*'2024-25 High Calculator'!$O$23/600,3)</f>
        <v>7.3999999999999996E-2</v>
      </c>
      <c r="L117" s="33">
        <f>ROUND($C117*'2024-25 Elementary Calculator'!$Q$22/400,3)+ROUND($D117*'2024-25 Middle Calculator'!$O$22/432,3)+ROUND($E117*'2024-25 High Calculator'!$O$22/600,3)</f>
        <v>3.6999999999999998E-2</v>
      </c>
      <c r="M117" s="166">
        <f t="shared" si="11"/>
        <v>0.11099999999999999</v>
      </c>
      <c r="N117" s="33">
        <f>VLOOKUP($A117,'District Summary'!$A$6:$AH$325,29,FALSE)</f>
        <v>0</v>
      </c>
      <c r="O117" s="33">
        <f>VLOOKUP($A117,'District Summary'!$A$6:$AH$325,34,FALSE)</f>
        <v>0</v>
      </c>
      <c r="P117" s="67">
        <f t="shared" si="12"/>
        <v>-2.028</v>
      </c>
      <c r="Q117" s="67">
        <f t="shared" si="13"/>
        <v>-0.11099999999999999</v>
      </c>
      <c r="R117" s="67">
        <f t="shared" si="14"/>
        <v>2.1390000000000002</v>
      </c>
      <c r="S117" s="33">
        <f t="shared" si="15"/>
        <v>0</v>
      </c>
      <c r="T117" s="67">
        <f t="shared" si="17"/>
        <v>-2.1389999999999998</v>
      </c>
      <c r="U117" s="67">
        <f t="shared" si="16"/>
        <v>-2.1389999999999998</v>
      </c>
      <c r="V117" s="273"/>
      <c r="W117" s="273"/>
    </row>
    <row r="118" spans="1:23" x14ac:dyDescent="0.25">
      <c r="A118" t="s">
        <v>625</v>
      </c>
      <c r="B118" t="s">
        <v>1237</v>
      </c>
      <c r="C118" s="25">
        <f>SUMPRODUCT(VLOOKUP($A118,'PSES Enroll Snapshot 25-01-17'!$K$5:$AB$327,{2,3,4,5,6,7,8,9},0))</f>
        <v>37.200000000000003</v>
      </c>
      <c r="D118" s="25">
        <f>SUMPRODUCT(VLOOKUP($A118,'PSES Enroll Snapshot 25-01-17'!$K$5:$AB$327,{10,11},0))-VLOOKUP($A118,'PSES Enroll Snapshot 25-01-17'!$K$5:$AB$327,12,0)</f>
        <v>43</v>
      </c>
      <c r="E118" s="25">
        <f>SUMPRODUCT(VLOOKUP($A118,'PSES Enroll Snapshot 25-01-17'!$K$5:$AB$327,{13,14},0))-SUMPRODUCT(VLOOKUP($A118,'PSES Enroll Snapshot 25-01-17'!$K$5:$AB$327,{15,16,17},0))</f>
        <v>35.379999999999995</v>
      </c>
      <c r="F118" s="33">
        <f>ROUND($C118*'2024-25 Elementary Calculator'!$Q$13/400,3)+ROUND($D118*'2024-25 Middle Calculator'!$O$13/432,3)+ROUND($E118*'2024-25 High Calculator'!$O$13/600,3)</f>
        <v>0.442</v>
      </c>
      <c r="G118" s="33">
        <f>ROUND($C118*'2024-25 Elementary Calculator'!$Q$15/400,3)+ROUND($D118*'2024-25 Middle Calculator'!$O$15/432,3)+ROUND($E118*'2024-25 High Calculator'!$O$15/600,3)</f>
        <v>4.4999999999999998E-2</v>
      </c>
      <c r="H118" s="33">
        <f>ROUND($C118*'2024-25 Elementary Calculator'!$Q$17/400,3)+ROUND($D118*'2024-25 Middle Calculator'!$O$17/432,3)+ROUND($E118*'2024-25 High Calculator'!$O$17/600,3)</f>
        <v>1.4999999999999999E-2</v>
      </c>
      <c r="I118" s="33">
        <f>ROUND($C118*'2024-25 Elementary Calculator'!$Q$18/400,3)+ROUND($D118*'2024-25 Middle Calculator'!$O$18/432,3)+ROUND($E118*'2024-25 High Calculator'!$O$18/600,3)</f>
        <v>0.191</v>
      </c>
      <c r="J118" s="166">
        <f t="shared" si="10"/>
        <v>0.69300000000000006</v>
      </c>
      <c r="K118" s="33">
        <f>ROUND($C118*'2024-25 Elementary Calculator'!$Q$23/400,3)+ROUND($D118*'2024-25 Middle Calculator'!$O$23/432,3)+ROUND($E118*'2024-25 High Calculator'!$O$23/600,3)</f>
        <v>2.4E-2</v>
      </c>
      <c r="L118" s="33">
        <f>ROUND($C118*'2024-25 Elementary Calculator'!$Q$22/400,3)+ROUND($D118*'2024-25 Middle Calculator'!$O$22/432,3)+ROUND($E118*'2024-25 High Calculator'!$O$22/600,3)</f>
        <v>8.0000000000000002E-3</v>
      </c>
      <c r="M118" s="166">
        <f t="shared" si="11"/>
        <v>3.2000000000000001E-2</v>
      </c>
      <c r="N118" s="33">
        <f>VLOOKUP($A118,'District Summary'!$A$6:$AH$325,29,FALSE)</f>
        <v>0</v>
      </c>
      <c r="O118" s="33">
        <f>VLOOKUP($A118,'District Summary'!$A$6:$AH$325,34,FALSE)</f>
        <v>0</v>
      </c>
      <c r="P118" s="67">
        <f t="shared" si="12"/>
        <v>-0.69300000000000006</v>
      </c>
      <c r="Q118" s="67">
        <f t="shared" si="13"/>
        <v>-3.2000000000000001E-2</v>
      </c>
      <c r="R118" s="67">
        <f t="shared" si="14"/>
        <v>0.72500000000000009</v>
      </c>
      <c r="S118" s="33">
        <f t="shared" si="15"/>
        <v>0</v>
      </c>
      <c r="T118" s="67">
        <f t="shared" si="17"/>
        <v>-0.72499999999999998</v>
      </c>
      <c r="U118" s="67">
        <f t="shared" si="16"/>
        <v>-0.72499999999999998</v>
      </c>
      <c r="V118" s="273"/>
      <c r="W118" s="273"/>
    </row>
    <row r="119" spans="1:23" x14ac:dyDescent="0.25">
      <c r="A119" t="s">
        <v>631</v>
      </c>
      <c r="B119" t="s">
        <v>1108</v>
      </c>
      <c r="C119" s="25">
        <f>SUMPRODUCT(VLOOKUP($A119,'PSES Enroll Snapshot 25-01-17'!$K$5:$AB$327,{2,3,4,5,6,7,8,9},0))</f>
        <v>498.59999999999997</v>
      </c>
      <c r="D119" s="25">
        <f>SUMPRODUCT(VLOOKUP($A119,'PSES Enroll Snapshot 25-01-17'!$K$5:$AB$327,{10,11},0))-VLOOKUP($A119,'PSES Enroll Snapshot 25-01-17'!$K$5:$AB$327,12,0)</f>
        <v>0</v>
      </c>
      <c r="E119" s="25">
        <f>SUMPRODUCT(VLOOKUP($A119,'PSES Enroll Snapshot 25-01-17'!$K$5:$AB$327,{13,14},0))-SUMPRODUCT(VLOOKUP($A119,'PSES Enroll Snapshot 25-01-17'!$K$5:$AB$327,{15,16,17},0))</f>
        <v>0</v>
      </c>
      <c r="F119" s="33">
        <f>ROUND($C119*'2024-25 Elementary Calculator'!$Q$13/400,3)+ROUND($D119*'2024-25 Middle Calculator'!$O$13/432,3)+ROUND($E119*'2024-25 High Calculator'!$O$13/600,3)</f>
        <v>1.238</v>
      </c>
      <c r="G119" s="33">
        <f>ROUND($C119*'2024-25 Elementary Calculator'!$Q$15/400,3)+ROUND($D119*'2024-25 Middle Calculator'!$O$15/432,3)+ROUND($E119*'2024-25 High Calculator'!$O$15/600,3)</f>
        <v>0.38800000000000001</v>
      </c>
      <c r="H119" s="33">
        <f>ROUND($C119*'2024-25 Elementary Calculator'!$Q$17/400,3)+ROUND($D119*'2024-25 Middle Calculator'!$O$17/432,3)+ROUND($E119*'2024-25 High Calculator'!$O$17/600,3)</f>
        <v>0.13</v>
      </c>
      <c r="I119" s="33">
        <f>ROUND($C119*'2024-25 Elementary Calculator'!$Q$18/400,3)+ROUND($D119*'2024-25 Middle Calculator'!$O$18/432,3)+ROUND($E119*'2024-25 High Calculator'!$O$18/600,3)</f>
        <v>0.72899999999999998</v>
      </c>
      <c r="J119" s="166">
        <f t="shared" si="10"/>
        <v>2.4849999999999999</v>
      </c>
      <c r="K119" s="33">
        <f>ROUND($C119*'2024-25 Elementary Calculator'!$Q$23/400,3)+ROUND($D119*'2024-25 Middle Calculator'!$O$23/432,3)+ROUND($E119*'2024-25 High Calculator'!$O$23/600,3)</f>
        <v>9.8000000000000004E-2</v>
      </c>
      <c r="L119" s="33">
        <f>ROUND($C119*'2024-25 Elementary Calculator'!$Q$22/400,3)+ROUND($D119*'2024-25 Middle Calculator'!$O$22/432,3)+ROUND($E119*'2024-25 High Calculator'!$O$22/600,3)</f>
        <v>0.10299999999999999</v>
      </c>
      <c r="M119" s="166">
        <f t="shared" si="11"/>
        <v>0.20100000000000001</v>
      </c>
      <c r="N119" s="33">
        <f>VLOOKUP($A119,'District Summary'!$A$6:$AH$325,29,FALSE)</f>
        <v>0.40799999999999997</v>
      </c>
      <c r="O119" s="33">
        <f>VLOOKUP($A119,'District Summary'!$A$6:$AH$325,34,FALSE)</f>
        <v>3</v>
      </c>
      <c r="P119" s="67">
        <f t="shared" si="12"/>
        <v>-2.077</v>
      </c>
      <c r="Q119" s="67">
        <f t="shared" si="13"/>
        <v>2.7989999999999999</v>
      </c>
      <c r="R119" s="67">
        <f t="shared" si="14"/>
        <v>2.6859999999999999</v>
      </c>
      <c r="S119" s="33">
        <f t="shared" si="15"/>
        <v>3.4079999999999999</v>
      </c>
      <c r="T119" s="67">
        <f t="shared" si="17"/>
        <v>0.72199999999999998</v>
      </c>
      <c r="U119" s="67">
        <f t="shared" si="16"/>
        <v>0</v>
      </c>
      <c r="V119" s="273"/>
      <c r="W119" s="273"/>
    </row>
    <row r="120" spans="1:23" x14ac:dyDescent="0.25">
      <c r="A120" t="s">
        <v>654</v>
      </c>
      <c r="B120" t="s">
        <v>1109</v>
      </c>
      <c r="C120" s="25">
        <f>SUMPRODUCT(VLOOKUP($A120,'PSES Enroll Snapshot 25-01-17'!$K$5:$AB$327,{2,3,4,5,6,7,8,9},0))</f>
        <v>388.99999999999994</v>
      </c>
      <c r="D120" s="25">
        <f>SUMPRODUCT(VLOOKUP($A120,'PSES Enroll Snapshot 25-01-17'!$K$5:$AB$327,{10,11},0))-VLOOKUP($A120,'PSES Enroll Snapshot 25-01-17'!$K$5:$AB$327,12,0)</f>
        <v>0</v>
      </c>
      <c r="E120" s="25">
        <f>SUMPRODUCT(VLOOKUP($A120,'PSES Enroll Snapshot 25-01-17'!$K$5:$AB$327,{13,14},0))-SUMPRODUCT(VLOOKUP($A120,'PSES Enroll Snapshot 25-01-17'!$K$5:$AB$327,{15,16,17},0))</f>
        <v>0</v>
      </c>
      <c r="F120" s="33">
        <f>ROUND($C120*'2024-25 Elementary Calculator'!$Q$13/400,3)+ROUND($D120*'2024-25 Middle Calculator'!$O$13/432,3)+ROUND($E120*'2024-25 High Calculator'!$O$13/600,3)</f>
        <v>0.96599999999999997</v>
      </c>
      <c r="G120" s="33">
        <f>ROUND($C120*'2024-25 Elementary Calculator'!$Q$15/400,3)+ROUND($D120*'2024-25 Middle Calculator'!$O$15/432,3)+ROUND($E120*'2024-25 High Calculator'!$O$15/600,3)</f>
        <v>0.30199999999999999</v>
      </c>
      <c r="H120" s="33">
        <f>ROUND($C120*'2024-25 Elementary Calculator'!$Q$17/400,3)+ROUND($D120*'2024-25 Middle Calculator'!$O$17/432,3)+ROUND($E120*'2024-25 High Calculator'!$O$17/600,3)</f>
        <v>0.10100000000000001</v>
      </c>
      <c r="I120" s="33">
        <f>ROUND($C120*'2024-25 Elementary Calculator'!$Q$18/400,3)+ROUND($D120*'2024-25 Middle Calculator'!$O$18/432,3)+ROUND($E120*'2024-25 High Calculator'!$O$18/600,3)</f>
        <v>0.56899999999999995</v>
      </c>
      <c r="J120" s="166">
        <f t="shared" si="10"/>
        <v>1.9379999999999999</v>
      </c>
      <c r="K120" s="33">
        <f>ROUND($C120*'2024-25 Elementary Calculator'!$Q$23/400,3)+ROUND($D120*'2024-25 Middle Calculator'!$O$23/432,3)+ROUND($E120*'2024-25 High Calculator'!$O$23/600,3)</f>
        <v>7.6999999999999999E-2</v>
      </c>
      <c r="L120" s="33">
        <f>ROUND($C120*'2024-25 Elementary Calculator'!$Q$22/400,3)+ROUND($D120*'2024-25 Middle Calculator'!$O$22/432,3)+ROUND($E120*'2024-25 High Calculator'!$O$22/600,3)</f>
        <v>0.08</v>
      </c>
      <c r="M120" s="166">
        <f t="shared" si="11"/>
        <v>0.157</v>
      </c>
      <c r="N120" s="33">
        <f>VLOOKUP($A120,'District Summary'!$A$6:$AH$325,29,FALSE)</f>
        <v>0.15</v>
      </c>
      <c r="O120" s="33">
        <f>VLOOKUP($A120,'District Summary'!$A$6:$AH$325,34,FALSE)</f>
        <v>3</v>
      </c>
      <c r="P120" s="67">
        <f t="shared" si="12"/>
        <v>-1.788</v>
      </c>
      <c r="Q120" s="67">
        <f t="shared" si="13"/>
        <v>2.843</v>
      </c>
      <c r="R120" s="67">
        <f t="shared" si="14"/>
        <v>2.0949999999999998</v>
      </c>
      <c r="S120" s="33">
        <f t="shared" si="15"/>
        <v>3.15</v>
      </c>
      <c r="T120" s="67">
        <f t="shared" si="17"/>
        <v>1.0549999999999999</v>
      </c>
      <c r="U120" s="67">
        <f t="shared" si="16"/>
        <v>0</v>
      </c>
      <c r="V120" s="273"/>
      <c r="W120" s="273"/>
    </row>
    <row r="121" spans="1:23" x14ac:dyDescent="0.25">
      <c r="A121" t="s">
        <v>674</v>
      </c>
      <c r="B121" t="s">
        <v>1245</v>
      </c>
      <c r="C121" s="25">
        <f>SUMPRODUCT(VLOOKUP($A121,'PSES Enroll Snapshot 25-01-17'!$K$5:$AB$327,{2,3,4,5,6,7,8,9},0))</f>
        <v>0</v>
      </c>
      <c r="D121" s="25">
        <f>SUMPRODUCT(VLOOKUP($A121,'PSES Enroll Snapshot 25-01-17'!$K$5:$AB$327,{10,11},0))-VLOOKUP($A121,'PSES Enroll Snapshot 25-01-17'!$K$5:$AB$327,12,0)</f>
        <v>0</v>
      </c>
      <c r="E121" s="25">
        <f>SUMPRODUCT(VLOOKUP($A121,'PSES Enroll Snapshot 25-01-17'!$K$5:$AB$327,{13,14},0))-SUMPRODUCT(VLOOKUP($A121,'PSES Enroll Snapshot 25-01-17'!$K$5:$AB$327,{15,16,17},0))</f>
        <v>127.72</v>
      </c>
      <c r="F121" s="33">
        <f>ROUND($C121*'2024-25 Elementary Calculator'!$Q$13/400,3)+ROUND($D121*'2024-25 Middle Calculator'!$O$13/432,3)+ROUND($E121*'2024-25 High Calculator'!$O$13/600,3)</f>
        <v>0.64700000000000002</v>
      </c>
      <c r="G121" s="33">
        <f>ROUND($C121*'2024-25 Elementary Calculator'!$Q$15/400,3)+ROUND($D121*'2024-25 Middle Calculator'!$O$15/432,3)+ROUND($E121*'2024-25 High Calculator'!$O$15/600,3)</f>
        <v>2.7E-2</v>
      </c>
      <c r="H121" s="33">
        <f>ROUND($C121*'2024-25 Elementary Calculator'!$Q$17/400,3)+ROUND($D121*'2024-25 Middle Calculator'!$O$17/432,3)+ROUND($E121*'2024-25 High Calculator'!$O$17/600,3)</f>
        <v>0.01</v>
      </c>
      <c r="I121" s="33">
        <f>ROUND($C121*'2024-25 Elementary Calculator'!$Q$18/400,3)+ROUND($D121*'2024-25 Middle Calculator'!$O$18/432,3)+ROUND($E121*'2024-25 High Calculator'!$O$18/600,3)</f>
        <v>0.17499999999999999</v>
      </c>
      <c r="J121" s="166">
        <f t="shared" si="10"/>
        <v>0.85899999999999999</v>
      </c>
      <c r="K121" s="33">
        <f>ROUND($C121*'2024-25 Elementary Calculator'!$Q$23/400,3)+ROUND($D121*'2024-25 Middle Calculator'!$O$23/432,3)+ROUND($E121*'2024-25 High Calculator'!$O$23/600,3)</f>
        <v>0.03</v>
      </c>
      <c r="L121" s="33">
        <f>ROUND($C121*'2024-25 Elementary Calculator'!$Q$22/400,3)+ROUND($D121*'2024-25 Middle Calculator'!$O$22/432,3)+ROUND($E121*'2024-25 High Calculator'!$O$22/600,3)</f>
        <v>0</v>
      </c>
      <c r="M121" s="166">
        <f t="shared" si="11"/>
        <v>0.03</v>
      </c>
      <c r="N121" s="33">
        <f>VLOOKUP($A121,'District Summary'!$A$6:$AH$325,29,FALSE)</f>
        <v>0</v>
      </c>
      <c r="O121" s="33">
        <f>VLOOKUP($A121,'District Summary'!$A$6:$AH$325,34,FALSE)</f>
        <v>6.9000000000000006E-2</v>
      </c>
      <c r="P121" s="67">
        <f t="shared" si="12"/>
        <v>-0.85899999999999999</v>
      </c>
      <c r="Q121" s="67">
        <f t="shared" si="13"/>
        <v>3.9000000000000007E-2</v>
      </c>
      <c r="R121" s="67">
        <f t="shared" si="14"/>
        <v>0.88900000000000001</v>
      </c>
      <c r="S121" s="33">
        <f t="shared" si="15"/>
        <v>6.9000000000000006E-2</v>
      </c>
      <c r="T121" s="67">
        <f t="shared" si="17"/>
        <v>-0.82</v>
      </c>
      <c r="U121" s="67">
        <f t="shared" si="16"/>
        <v>-0.82</v>
      </c>
      <c r="V121" s="273"/>
      <c r="W121" s="273"/>
    </row>
    <row r="122" spans="1:23" x14ac:dyDescent="0.25">
      <c r="A122" t="s">
        <v>1111</v>
      </c>
      <c r="B122" t="s">
        <v>1112</v>
      </c>
      <c r="C122" s="25">
        <f>SUMPRODUCT(VLOOKUP($A122,'PSES Enroll Snapshot 25-01-17'!$K$5:$AB$327,{2,3,4,5,6,7,8,9},0))</f>
        <v>208.2</v>
      </c>
      <c r="D122" s="25">
        <f>SUMPRODUCT(VLOOKUP($A122,'PSES Enroll Snapshot 25-01-17'!$K$5:$AB$327,{10,11},0))-VLOOKUP($A122,'PSES Enroll Snapshot 25-01-17'!$K$5:$AB$327,12,0)</f>
        <v>0</v>
      </c>
      <c r="E122" s="25">
        <f>SUMPRODUCT(VLOOKUP($A122,'PSES Enroll Snapshot 25-01-17'!$K$5:$AB$327,{13,14},0))-SUMPRODUCT(VLOOKUP($A122,'PSES Enroll Snapshot 25-01-17'!$K$5:$AB$327,{15,16,17},0))</f>
        <v>0</v>
      </c>
      <c r="F122" s="33">
        <f>ROUND($C122*'2024-25 Elementary Calculator'!$Q$13/400,3)+ROUND($D122*'2024-25 Middle Calculator'!$O$13/432,3)+ROUND($E122*'2024-25 High Calculator'!$O$13/600,3)</f>
        <v>0.51700000000000002</v>
      </c>
      <c r="G122" s="33">
        <f>ROUND($C122*'2024-25 Elementary Calculator'!$Q$15/400,3)+ROUND($D122*'2024-25 Middle Calculator'!$O$15/432,3)+ROUND($E122*'2024-25 High Calculator'!$O$15/600,3)</f>
        <v>0.16200000000000001</v>
      </c>
      <c r="H122" s="33">
        <f>ROUND($C122*'2024-25 Elementary Calculator'!$Q$17/400,3)+ROUND($D122*'2024-25 Middle Calculator'!$O$17/432,3)+ROUND($E122*'2024-25 High Calculator'!$O$17/600,3)</f>
        <v>5.3999999999999999E-2</v>
      </c>
      <c r="I122" s="33">
        <f>ROUND($C122*'2024-25 Elementary Calculator'!$Q$18/400,3)+ROUND($D122*'2024-25 Middle Calculator'!$O$18/432,3)+ROUND($E122*'2024-25 High Calculator'!$O$18/600,3)</f>
        <v>0.30399999999999999</v>
      </c>
      <c r="J122" s="166">
        <f t="shared" si="10"/>
        <v>1.0370000000000001</v>
      </c>
      <c r="K122" s="33">
        <f>ROUND($C122*'2024-25 Elementary Calculator'!$Q$23/400,3)+ROUND($D122*'2024-25 Middle Calculator'!$O$23/432,3)+ROUND($E122*'2024-25 High Calculator'!$O$23/600,3)</f>
        <v>4.1000000000000002E-2</v>
      </c>
      <c r="L122" s="33">
        <f>ROUND($C122*'2024-25 Elementary Calculator'!$Q$22/400,3)+ROUND($D122*'2024-25 Middle Calculator'!$O$22/432,3)+ROUND($E122*'2024-25 High Calculator'!$O$22/600,3)</f>
        <v>4.2999999999999997E-2</v>
      </c>
      <c r="M122" s="166">
        <f t="shared" si="11"/>
        <v>8.3999999999999991E-2</v>
      </c>
      <c r="N122" s="33">
        <f>VLOOKUP($A122,'District Summary'!$A$6:$AH$325,29,FALSE)</f>
        <v>0.13600000000000001</v>
      </c>
      <c r="O122" s="33">
        <f>VLOOKUP($A122,'District Summary'!$A$6:$AH$325,34,FALSE)</f>
        <v>1.175</v>
      </c>
      <c r="P122" s="67">
        <f t="shared" si="12"/>
        <v>-0.90100000000000013</v>
      </c>
      <c r="Q122" s="67">
        <f t="shared" si="13"/>
        <v>1.091</v>
      </c>
      <c r="R122" s="67">
        <f t="shared" si="14"/>
        <v>1.1210000000000002</v>
      </c>
      <c r="S122" s="33">
        <f t="shared" si="15"/>
        <v>1.3109999999999999</v>
      </c>
      <c r="T122" s="67">
        <f t="shared" si="17"/>
        <v>0.19</v>
      </c>
      <c r="U122" s="67">
        <f t="shared" si="16"/>
        <v>0</v>
      </c>
      <c r="V122" s="273"/>
      <c r="W122" s="273"/>
    </row>
    <row r="123" spans="1:23" x14ac:dyDescent="0.25">
      <c r="A123" t="s">
        <v>116</v>
      </c>
      <c r="B123" t="s">
        <v>412</v>
      </c>
      <c r="C123" s="25">
        <f>SUMPRODUCT(VLOOKUP($A123,'PSES Enroll Snapshot 25-01-17'!$K$5:$AB$327,{2,3,4,5,6,7,8,9},0))</f>
        <v>2338.8500000000004</v>
      </c>
      <c r="D123" s="25">
        <f>SUMPRODUCT(VLOOKUP($A123,'PSES Enroll Snapshot 25-01-17'!$K$5:$AB$327,{10,11},0))-VLOOKUP($A123,'PSES Enroll Snapshot 25-01-17'!$K$5:$AB$327,12,0)</f>
        <v>434.76</v>
      </c>
      <c r="E123" s="25">
        <f>SUMPRODUCT(VLOOKUP($A123,'PSES Enroll Snapshot 25-01-17'!$K$5:$AB$327,{13,14},0))-SUMPRODUCT(VLOOKUP($A123,'PSES Enroll Snapshot 25-01-17'!$K$5:$AB$327,{15,16,17},0))</f>
        <v>676.75999999999988</v>
      </c>
      <c r="F123" s="33">
        <f>ROUND($C123*'2024-25 Elementary Calculator'!$Q$13/400,3)+ROUND($D123*'2024-25 Middle Calculator'!$O$13/432,3)+ROUND($E123*'2024-25 High Calculator'!$O$13/600,3)</f>
        <v>10.961</v>
      </c>
      <c r="G123" s="33">
        <f>ROUND($C123*'2024-25 Elementary Calculator'!$Q$15/400,3)+ROUND($D123*'2024-25 Middle Calculator'!$O$15/432,3)+ROUND($E123*'2024-25 High Calculator'!$O$15/600,3)</f>
        <v>2.0499999999999998</v>
      </c>
      <c r="H123" s="33">
        <f>ROUND($C123*'2024-25 Elementary Calculator'!$Q$17/400,3)+ROUND($D123*'2024-25 Middle Calculator'!$O$17/432,3)+ROUND($E123*'2024-25 High Calculator'!$O$17/600,3)</f>
        <v>0.68700000000000006</v>
      </c>
      <c r="I123" s="33">
        <f>ROUND($C123*'2024-25 Elementary Calculator'!$Q$18/400,3)+ROUND($D123*'2024-25 Middle Calculator'!$O$18/432,3)+ROUND($E123*'2024-25 High Calculator'!$O$18/600,3)</f>
        <v>5.2439999999999998</v>
      </c>
      <c r="J123" s="166">
        <f t="shared" si="10"/>
        <v>18.942</v>
      </c>
      <c r="K123" s="33">
        <f>ROUND($C123*'2024-25 Elementary Calculator'!$Q$23/400,3)+ROUND($D123*'2024-25 Middle Calculator'!$O$23/432,3)+ROUND($E123*'2024-25 High Calculator'!$O$23/600,3)</f>
        <v>0.71400000000000008</v>
      </c>
      <c r="L123" s="33">
        <f>ROUND($C123*'2024-25 Elementary Calculator'!$Q$22/400,3)+ROUND($D123*'2024-25 Middle Calculator'!$O$22/432,3)+ROUND($E123*'2024-25 High Calculator'!$O$22/600,3)</f>
        <v>0.48199999999999998</v>
      </c>
      <c r="M123" s="166">
        <f t="shared" si="11"/>
        <v>1.1960000000000002</v>
      </c>
      <c r="N123" s="33">
        <f>VLOOKUP($A123,'District Summary'!$A$6:$AH$325,29,FALSE)</f>
        <v>15.689000000000002</v>
      </c>
      <c r="O123" s="33">
        <f>VLOOKUP($A123,'District Summary'!$A$6:$AH$325,34,FALSE)</f>
        <v>13.815999999999999</v>
      </c>
      <c r="P123" s="67">
        <f t="shared" si="12"/>
        <v>-3.2529999999999983</v>
      </c>
      <c r="Q123" s="67">
        <f t="shared" si="13"/>
        <v>12.62</v>
      </c>
      <c r="R123" s="67">
        <f t="shared" si="14"/>
        <v>20.138000000000002</v>
      </c>
      <c r="S123" s="33">
        <f t="shared" si="15"/>
        <v>29.505000000000003</v>
      </c>
      <c r="T123" s="67">
        <f t="shared" si="17"/>
        <v>9.3670000000000009</v>
      </c>
      <c r="U123" s="67">
        <f t="shared" si="16"/>
        <v>0</v>
      </c>
      <c r="V123" s="273"/>
      <c r="W123" s="273"/>
    </row>
    <row r="124" spans="1:23" x14ac:dyDescent="0.25">
      <c r="A124" t="s">
        <v>117</v>
      </c>
      <c r="B124" t="s">
        <v>413</v>
      </c>
      <c r="C124" s="25">
        <f>SUMPRODUCT(VLOOKUP($A124,'PSES Enroll Snapshot 25-01-17'!$K$5:$AB$327,{2,3,4,5,6,7,8,9},0))</f>
        <v>1600.02</v>
      </c>
      <c r="D124" s="25">
        <f>SUMPRODUCT(VLOOKUP($A124,'PSES Enroll Snapshot 25-01-17'!$K$5:$AB$327,{10,11},0))-VLOOKUP($A124,'PSES Enroll Snapshot 25-01-17'!$K$5:$AB$327,12,0)</f>
        <v>466.90999999999997</v>
      </c>
      <c r="E124" s="25">
        <f>SUMPRODUCT(VLOOKUP($A124,'PSES Enroll Snapshot 25-01-17'!$K$5:$AB$327,{13,14},0))-SUMPRODUCT(VLOOKUP($A124,'PSES Enroll Snapshot 25-01-17'!$K$5:$AB$327,{15,16,17},0))</f>
        <v>905.64999999999986</v>
      </c>
      <c r="F124" s="33">
        <f>ROUND($C124*'2024-25 Elementary Calculator'!$Q$13/400,3)+ROUND($D124*'2024-25 Middle Calculator'!$O$13/432,3)+ROUND($E124*'2024-25 High Calculator'!$O$13/600,3)</f>
        <v>10.414</v>
      </c>
      <c r="G124" s="33">
        <f>ROUND($C124*'2024-25 Elementary Calculator'!$Q$15/400,3)+ROUND($D124*'2024-25 Middle Calculator'!$O$15/432,3)+ROUND($E124*'2024-25 High Calculator'!$O$15/600,3)</f>
        <v>1.5309999999999999</v>
      </c>
      <c r="H124" s="33">
        <f>ROUND($C124*'2024-25 Elementary Calculator'!$Q$17/400,3)+ROUND($D124*'2024-25 Middle Calculator'!$O$17/432,3)+ROUND($E124*'2024-25 High Calculator'!$O$17/600,3)</f>
        <v>0.51600000000000001</v>
      </c>
      <c r="I124" s="33">
        <f>ROUND($C124*'2024-25 Elementary Calculator'!$Q$18/400,3)+ROUND($D124*'2024-25 Middle Calculator'!$O$18/432,3)+ROUND($E124*'2024-25 High Calculator'!$O$18/600,3)</f>
        <v>4.5439999999999996</v>
      </c>
      <c r="J124" s="166">
        <f t="shared" si="10"/>
        <v>17.004999999999999</v>
      </c>
      <c r="K124" s="33">
        <f>ROUND($C124*'2024-25 Elementary Calculator'!$Q$23/400,3)+ROUND($D124*'2024-25 Middle Calculator'!$O$23/432,3)+ROUND($E124*'2024-25 High Calculator'!$O$23/600,3)</f>
        <v>0.628</v>
      </c>
      <c r="L124" s="33">
        <f>ROUND($C124*'2024-25 Elementary Calculator'!$Q$22/400,3)+ROUND($D124*'2024-25 Middle Calculator'!$O$22/432,3)+ROUND($E124*'2024-25 High Calculator'!$O$22/600,3)</f>
        <v>0.33</v>
      </c>
      <c r="M124" s="166">
        <f t="shared" si="11"/>
        <v>0.95799999999999996</v>
      </c>
      <c r="N124" s="33">
        <f>VLOOKUP($A124,'District Summary'!$A$6:$AH$325,29,FALSE)</f>
        <v>15.437999999999999</v>
      </c>
      <c r="O124" s="33">
        <f>VLOOKUP($A124,'District Summary'!$A$6:$AH$325,34,FALSE)</f>
        <v>8.8209999999999997</v>
      </c>
      <c r="P124" s="67">
        <f t="shared" si="12"/>
        <v>-1.5670000000000002</v>
      </c>
      <c r="Q124" s="67">
        <f t="shared" si="13"/>
        <v>7.8629999999999995</v>
      </c>
      <c r="R124" s="67">
        <f t="shared" si="14"/>
        <v>17.962999999999997</v>
      </c>
      <c r="S124" s="33">
        <f t="shared" si="15"/>
        <v>24.259</v>
      </c>
      <c r="T124" s="67">
        <f t="shared" si="17"/>
        <v>6.2960000000000003</v>
      </c>
      <c r="U124" s="67">
        <f t="shared" si="16"/>
        <v>0</v>
      </c>
      <c r="V124" s="273"/>
      <c r="W124" s="273"/>
    </row>
    <row r="125" spans="1:23" x14ac:dyDescent="0.25">
      <c r="A125" t="s">
        <v>118</v>
      </c>
      <c r="B125" t="s">
        <v>414</v>
      </c>
      <c r="C125" s="25">
        <f>SUMPRODUCT(VLOOKUP($A125,'PSES Enroll Snapshot 25-01-17'!$K$5:$AB$327,{2,3,4,5,6,7,8,9},0))</f>
        <v>2649.2200000000003</v>
      </c>
      <c r="D125" s="25">
        <f>SUMPRODUCT(VLOOKUP($A125,'PSES Enroll Snapshot 25-01-17'!$K$5:$AB$327,{10,11},0))-VLOOKUP($A125,'PSES Enroll Snapshot 25-01-17'!$K$5:$AB$327,12,0)</f>
        <v>723.48</v>
      </c>
      <c r="E125" s="25">
        <f>SUMPRODUCT(VLOOKUP($A125,'PSES Enroll Snapshot 25-01-17'!$K$5:$AB$327,{13,14},0))-SUMPRODUCT(VLOOKUP($A125,'PSES Enroll Snapshot 25-01-17'!$K$5:$AB$327,{15,16,17},0))</f>
        <v>1208.48</v>
      </c>
      <c r="F125" s="33">
        <f>ROUND($C125*'2024-25 Elementary Calculator'!$Q$13/400,3)+ROUND($D125*'2024-25 Middle Calculator'!$O$13/432,3)+ROUND($E125*'2024-25 High Calculator'!$O$13/600,3)</f>
        <v>15.572000000000001</v>
      </c>
      <c r="G125" s="33">
        <f>ROUND($C125*'2024-25 Elementary Calculator'!$Q$15/400,3)+ROUND($D125*'2024-25 Middle Calculator'!$O$15/432,3)+ROUND($E125*'2024-25 High Calculator'!$O$15/600,3)</f>
        <v>2.4630000000000001</v>
      </c>
      <c r="H125" s="33">
        <f>ROUND($C125*'2024-25 Elementary Calculator'!$Q$17/400,3)+ROUND($D125*'2024-25 Middle Calculator'!$O$17/432,3)+ROUND($E125*'2024-25 High Calculator'!$O$17/600,3)</f>
        <v>0.82799999999999996</v>
      </c>
      <c r="I125" s="33">
        <f>ROUND($C125*'2024-25 Elementary Calculator'!$Q$18/400,3)+ROUND($D125*'2024-25 Middle Calculator'!$O$18/432,3)+ROUND($E125*'2024-25 High Calculator'!$O$18/600,3)</f>
        <v>7.0210000000000008</v>
      </c>
      <c r="J125" s="166">
        <f t="shared" si="10"/>
        <v>25.884</v>
      </c>
      <c r="K125" s="33">
        <f>ROUND($C125*'2024-25 Elementary Calculator'!$Q$23/400,3)+ROUND($D125*'2024-25 Middle Calculator'!$O$23/432,3)+ROUND($E125*'2024-25 High Calculator'!$O$23/600,3)</f>
        <v>0.96100000000000008</v>
      </c>
      <c r="L125" s="33">
        <f>ROUND($C125*'2024-25 Elementary Calculator'!$Q$22/400,3)+ROUND($D125*'2024-25 Middle Calculator'!$O$22/432,3)+ROUND($E125*'2024-25 High Calculator'!$O$22/600,3)</f>
        <v>0.54600000000000004</v>
      </c>
      <c r="M125" s="166">
        <f t="shared" si="11"/>
        <v>1.5070000000000001</v>
      </c>
      <c r="N125" s="33">
        <f>VLOOKUP($A125,'District Summary'!$A$6:$AH$325,29,FALSE)</f>
        <v>18.064999999999998</v>
      </c>
      <c r="O125" s="33">
        <f>VLOOKUP($A125,'District Summary'!$A$6:$AH$325,34,FALSE)</f>
        <v>13.198</v>
      </c>
      <c r="P125" s="67">
        <f t="shared" si="12"/>
        <v>-7.8190000000000026</v>
      </c>
      <c r="Q125" s="67">
        <f t="shared" si="13"/>
        <v>11.691000000000001</v>
      </c>
      <c r="R125" s="67">
        <f t="shared" si="14"/>
        <v>27.391000000000002</v>
      </c>
      <c r="S125" s="33">
        <f t="shared" si="15"/>
        <v>31.262999999999998</v>
      </c>
      <c r="T125" s="67">
        <f t="shared" si="17"/>
        <v>3.8719999999999999</v>
      </c>
      <c r="U125" s="67">
        <f t="shared" si="16"/>
        <v>0</v>
      </c>
      <c r="V125" s="273"/>
      <c r="W125" s="273"/>
    </row>
    <row r="126" spans="1:23" x14ac:dyDescent="0.25">
      <c r="A126" t="s">
        <v>119</v>
      </c>
      <c r="B126" t="s">
        <v>415</v>
      </c>
      <c r="C126" s="25">
        <f>SUMPRODUCT(VLOOKUP($A126,'PSES Enroll Snapshot 25-01-17'!$K$5:$AB$327,{2,3,4,5,6,7,8,9},0))</f>
        <v>5551.84</v>
      </c>
      <c r="D126" s="25">
        <f>SUMPRODUCT(VLOOKUP($A126,'PSES Enroll Snapshot 25-01-17'!$K$5:$AB$327,{10,11},0))-VLOOKUP($A126,'PSES Enroll Snapshot 25-01-17'!$K$5:$AB$327,12,0)</f>
        <v>1511.97</v>
      </c>
      <c r="E126" s="25">
        <f>SUMPRODUCT(VLOOKUP($A126,'PSES Enroll Snapshot 25-01-17'!$K$5:$AB$327,{13,14},0))-SUMPRODUCT(VLOOKUP($A126,'PSES Enroll Snapshot 25-01-17'!$K$5:$AB$327,{15,16,17},0))</f>
        <v>2163.83</v>
      </c>
      <c r="F126" s="33">
        <f>ROUND($C126*'2024-25 Elementary Calculator'!$Q$13/400,3)+ROUND($D126*'2024-25 Middle Calculator'!$O$13/432,3)+ROUND($E126*'2024-25 High Calculator'!$O$13/600,3)</f>
        <v>30.748000000000001</v>
      </c>
      <c r="G126" s="33">
        <f>ROUND($C126*'2024-25 Elementary Calculator'!$Q$15/400,3)+ROUND($D126*'2024-25 Middle Calculator'!$O$15/432,3)+ROUND($E126*'2024-25 High Calculator'!$O$15/600,3)</f>
        <v>5.0830000000000002</v>
      </c>
      <c r="H126" s="33">
        <f>ROUND($C126*'2024-25 Elementary Calculator'!$Q$17/400,3)+ROUND($D126*'2024-25 Middle Calculator'!$O$17/432,3)+ROUND($E126*'2024-25 High Calculator'!$O$17/600,3)</f>
        <v>1.7040000000000002</v>
      </c>
      <c r="I126" s="33">
        <f>ROUND($C126*'2024-25 Elementary Calculator'!$Q$18/400,3)+ROUND($D126*'2024-25 Middle Calculator'!$O$18/432,3)+ROUND($E126*'2024-25 High Calculator'!$O$18/600,3)</f>
        <v>14.2</v>
      </c>
      <c r="J126" s="166">
        <f t="shared" si="10"/>
        <v>51.734999999999999</v>
      </c>
      <c r="K126" s="33">
        <f>ROUND($C126*'2024-25 Elementary Calculator'!$Q$23/400,3)+ROUND($D126*'2024-25 Middle Calculator'!$O$23/432,3)+ROUND($E126*'2024-25 High Calculator'!$O$23/600,3)</f>
        <v>1.927</v>
      </c>
      <c r="L126" s="33">
        <f>ROUND($C126*'2024-25 Elementary Calculator'!$Q$22/400,3)+ROUND($D126*'2024-25 Middle Calculator'!$O$22/432,3)+ROUND($E126*'2024-25 High Calculator'!$O$22/600,3)</f>
        <v>1.145</v>
      </c>
      <c r="M126" s="166">
        <f t="shared" si="11"/>
        <v>3.0720000000000001</v>
      </c>
      <c r="N126" s="33">
        <f>VLOOKUP($A126,'District Summary'!$A$6:$AH$325,29,FALSE)</f>
        <v>45.905999999999999</v>
      </c>
      <c r="O126" s="33">
        <f>VLOOKUP($A126,'District Summary'!$A$6:$AH$325,34,FALSE)</f>
        <v>17.036999999999999</v>
      </c>
      <c r="P126" s="67">
        <f t="shared" si="12"/>
        <v>-5.8290000000000006</v>
      </c>
      <c r="Q126" s="67">
        <f t="shared" si="13"/>
        <v>13.965</v>
      </c>
      <c r="R126" s="67">
        <f t="shared" si="14"/>
        <v>54.807000000000002</v>
      </c>
      <c r="S126" s="33">
        <f t="shared" si="15"/>
        <v>62.942999999999998</v>
      </c>
      <c r="T126" s="67">
        <f t="shared" si="17"/>
        <v>8.1359999999999992</v>
      </c>
      <c r="U126" s="67">
        <f t="shared" si="16"/>
        <v>0</v>
      </c>
      <c r="V126" s="273"/>
      <c r="W126" s="273"/>
    </row>
    <row r="127" spans="1:23" x14ac:dyDescent="0.25">
      <c r="A127" t="s">
        <v>120</v>
      </c>
      <c r="B127" t="s">
        <v>416</v>
      </c>
      <c r="C127" s="25">
        <f>SUMPRODUCT(VLOOKUP($A127,'PSES Enroll Snapshot 25-01-17'!$K$5:$AB$327,{2,3,4,5,6,7,8,9},0))</f>
        <v>4918.43</v>
      </c>
      <c r="D127" s="25">
        <f>SUMPRODUCT(VLOOKUP($A127,'PSES Enroll Snapshot 25-01-17'!$K$5:$AB$327,{10,11},0))-VLOOKUP($A127,'PSES Enroll Snapshot 25-01-17'!$K$5:$AB$327,12,0)</f>
        <v>1018.5799999999999</v>
      </c>
      <c r="E127" s="25">
        <f>SUMPRODUCT(VLOOKUP($A127,'PSES Enroll Snapshot 25-01-17'!$K$5:$AB$327,{13,14},0))-SUMPRODUCT(VLOOKUP($A127,'PSES Enroll Snapshot 25-01-17'!$K$5:$AB$327,{15,16,17},0))</f>
        <v>1455.3000000000002</v>
      </c>
      <c r="F127" s="33">
        <f>ROUND($C127*'2024-25 Elementary Calculator'!$Q$13/400,3)+ROUND($D127*'2024-25 Middle Calculator'!$O$13/432,3)+ROUND($E127*'2024-25 High Calculator'!$O$13/600,3)</f>
        <v>23.627000000000002</v>
      </c>
      <c r="G127" s="33">
        <f>ROUND($C127*'2024-25 Elementary Calculator'!$Q$15/400,3)+ROUND($D127*'2024-25 Middle Calculator'!$O$15/432,3)+ROUND($E127*'2024-25 High Calculator'!$O$15/600,3)</f>
        <v>4.3389999999999995</v>
      </c>
      <c r="H127" s="33">
        <f>ROUND($C127*'2024-25 Elementary Calculator'!$Q$17/400,3)+ROUND($D127*'2024-25 Middle Calculator'!$O$17/432,3)+ROUND($E127*'2024-25 High Calculator'!$O$17/600,3)</f>
        <v>1.4549999999999998</v>
      </c>
      <c r="I127" s="33">
        <f>ROUND($C127*'2024-25 Elementary Calculator'!$Q$18/400,3)+ROUND($D127*'2024-25 Middle Calculator'!$O$18/432,3)+ROUND($E127*'2024-25 High Calculator'!$O$18/600,3)</f>
        <v>11.286</v>
      </c>
      <c r="J127" s="166">
        <f t="shared" si="10"/>
        <v>40.707000000000001</v>
      </c>
      <c r="K127" s="33">
        <f>ROUND($C127*'2024-25 Elementary Calculator'!$Q$23/400,3)+ROUND($D127*'2024-25 Middle Calculator'!$O$23/432,3)+ROUND($E127*'2024-25 High Calculator'!$O$23/600,3)</f>
        <v>1.53</v>
      </c>
      <c r="L127" s="33">
        <f>ROUND($C127*'2024-25 Elementary Calculator'!$Q$22/400,3)+ROUND($D127*'2024-25 Middle Calculator'!$O$22/432,3)+ROUND($E127*'2024-25 High Calculator'!$O$22/600,3)</f>
        <v>1.014</v>
      </c>
      <c r="M127" s="166">
        <f t="shared" si="11"/>
        <v>2.544</v>
      </c>
      <c r="N127" s="33">
        <f>VLOOKUP($A127,'District Summary'!$A$6:$AH$325,29,FALSE)</f>
        <v>36.001999999999995</v>
      </c>
      <c r="O127" s="33">
        <f>VLOOKUP($A127,'District Summary'!$A$6:$AH$325,34,FALSE)</f>
        <v>28.646000000000001</v>
      </c>
      <c r="P127" s="67">
        <f t="shared" si="12"/>
        <v>-4.7050000000000054</v>
      </c>
      <c r="Q127" s="67">
        <f t="shared" si="13"/>
        <v>26.102</v>
      </c>
      <c r="R127" s="67">
        <f t="shared" si="14"/>
        <v>43.250999999999998</v>
      </c>
      <c r="S127" s="33">
        <f t="shared" si="15"/>
        <v>64.647999999999996</v>
      </c>
      <c r="T127" s="67">
        <f t="shared" si="17"/>
        <v>21.396999999999998</v>
      </c>
      <c r="U127" s="67">
        <f t="shared" si="16"/>
        <v>0</v>
      </c>
      <c r="V127" s="273"/>
      <c r="W127" s="273"/>
    </row>
    <row r="128" spans="1:23" x14ac:dyDescent="0.25">
      <c r="A128" t="s">
        <v>652</v>
      </c>
      <c r="B128" t="s">
        <v>653</v>
      </c>
      <c r="C128" s="25">
        <f>SUMPRODUCT(VLOOKUP($A128,'PSES Enroll Snapshot 25-01-17'!$K$5:$AB$327,{2,3,4,5,6,7,8,9},0))</f>
        <v>392.20000000000005</v>
      </c>
      <c r="D128" s="25">
        <f>SUMPRODUCT(VLOOKUP($A128,'PSES Enroll Snapshot 25-01-17'!$K$5:$AB$327,{10,11},0))-VLOOKUP($A128,'PSES Enroll Snapshot 25-01-17'!$K$5:$AB$327,12,0)</f>
        <v>93.4</v>
      </c>
      <c r="E128" s="25">
        <f>SUMPRODUCT(VLOOKUP($A128,'PSES Enroll Snapshot 25-01-17'!$K$5:$AB$327,{13,14},0))-SUMPRODUCT(VLOOKUP($A128,'PSES Enroll Snapshot 25-01-17'!$K$5:$AB$327,{15,16,17},0))</f>
        <v>22.3</v>
      </c>
      <c r="F128" s="33">
        <f>ROUND($C128*'2024-25 Elementary Calculator'!$Q$13/400,3)+ROUND($D128*'2024-25 Middle Calculator'!$O$13/432,3)+ROUND($E128*'2024-25 High Calculator'!$O$13/600,3)</f>
        <v>1.458</v>
      </c>
      <c r="G128" s="33">
        <f>ROUND($C128*'2024-25 Elementary Calculator'!$Q$15/400,3)+ROUND($D128*'2024-25 Middle Calculator'!$O$15/432,3)+ROUND($E128*'2024-25 High Calculator'!$O$15/600,3)</f>
        <v>0.32900000000000001</v>
      </c>
      <c r="H128" s="33">
        <f>ROUND($C128*'2024-25 Elementary Calculator'!$Q$17/400,3)+ROUND($D128*'2024-25 Middle Calculator'!$O$17/432,3)+ROUND($E128*'2024-25 High Calculator'!$O$17/600,3)</f>
        <v>0.109</v>
      </c>
      <c r="I128" s="33">
        <f>ROUND($C128*'2024-25 Elementary Calculator'!$Q$18/400,3)+ROUND($D128*'2024-25 Middle Calculator'!$O$18/432,3)+ROUND($E128*'2024-25 High Calculator'!$O$18/600,3)</f>
        <v>0.79700000000000004</v>
      </c>
      <c r="J128" s="166">
        <f t="shared" si="10"/>
        <v>2.6930000000000001</v>
      </c>
      <c r="K128" s="33">
        <f>ROUND($C128*'2024-25 Elementary Calculator'!$Q$23/400,3)+ROUND($D128*'2024-25 Middle Calculator'!$O$23/432,3)+ROUND($E128*'2024-25 High Calculator'!$O$23/600,3)</f>
        <v>0.10200000000000001</v>
      </c>
      <c r="L128" s="33">
        <f>ROUND($C128*'2024-25 Elementary Calculator'!$Q$22/400,3)+ROUND($D128*'2024-25 Middle Calculator'!$O$22/432,3)+ROUND($E128*'2024-25 High Calculator'!$O$22/600,3)</f>
        <v>8.1000000000000003E-2</v>
      </c>
      <c r="M128" s="166">
        <f t="shared" si="11"/>
        <v>0.183</v>
      </c>
      <c r="N128" s="33">
        <f>VLOOKUP($A128,'District Summary'!$A$6:$AH$325,29,FALSE)</f>
        <v>0.64400000000000002</v>
      </c>
      <c r="O128" s="33">
        <f>VLOOKUP($A128,'District Summary'!$A$6:$AH$325,34,FALSE)</f>
        <v>0.748</v>
      </c>
      <c r="P128" s="67">
        <f t="shared" si="12"/>
        <v>-2.0489999999999999</v>
      </c>
      <c r="Q128" s="67">
        <f t="shared" si="13"/>
        <v>0.56499999999999995</v>
      </c>
      <c r="R128" s="67">
        <f t="shared" si="14"/>
        <v>2.8759999999999999</v>
      </c>
      <c r="S128" s="33">
        <f t="shared" si="15"/>
        <v>1.3919999999999999</v>
      </c>
      <c r="T128" s="67">
        <f t="shared" si="17"/>
        <v>-1.484</v>
      </c>
      <c r="U128" s="67">
        <f t="shared" si="16"/>
        <v>-1.484</v>
      </c>
      <c r="V128" s="273"/>
      <c r="W128" s="273"/>
    </row>
    <row r="129" spans="1:23" x14ac:dyDescent="0.25">
      <c r="A129" t="s">
        <v>121</v>
      </c>
      <c r="B129" t="s">
        <v>417</v>
      </c>
      <c r="C129" s="25">
        <f>SUMPRODUCT(VLOOKUP($A129,'PSES Enroll Snapshot 25-01-17'!$K$5:$AB$327,{2,3,4,5,6,7,8,9},0))</f>
        <v>11.6</v>
      </c>
      <c r="D129" s="25">
        <f>SUMPRODUCT(VLOOKUP($A129,'PSES Enroll Snapshot 25-01-17'!$K$5:$AB$327,{10,11},0))-VLOOKUP($A129,'PSES Enroll Snapshot 25-01-17'!$K$5:$AB$327,12,0)</f>
        <v>21.33</v>
      </c>
      <c r="E129" s="25">
        <f>SUMPRODUCT(VLOOKUP($A129,'PSES Enroll Snapshot 25-01-17'!$K$5:$AB$327,{13,14},0))-SUMPRODUCT(VLOOKUP($A129,'PSES Enroll Snapshot 25-01-17'!$K$5:$AB$327,{15,16,17},0))</f>
        <v>36.93</v>
      </c>
      <c r="F129" s="33">
        <f>ROUND($C129*'2024-25 Elementary Calculator'!$Q$13/400,3)+ROUND($D129*'2024-25 Middle Calculator'!$O$13/432,3)+ROUND($E129*'2024-25 High Calculator'!$O$13/600,3)</f>
        <v>0.30099999999999999</v>
      </c>
      <c r="G129" s="33">
        <f>ROUND($C129*'2024-25 Elementary Calculator'!$Q$15/400,3)+ROUND($D129*'2024-25 Middle Calculator'!$O$15/432,3)+ROUND($E129*'2024-25 High Calculator'!$O$15/600,3)</f>
        <v>2.0999999999999998E-2</v>
      </c>
      <c r="H129" s="33">
        <f>ROUND($C129*'2024-25 Elementary Calculator'!$Q$17/400,3)+ROUND($D129*'2024-25 Middle Calculator'!$O$17/432,3)+ROUND($E129*'2024-25 High Calculator'!$O$17/600,3)</f>
        <v>7.0000000000000001E-3</v>
      </c>
      <c r="I129" s="33">
        <f>ROUND($C129*'2024-25 Elementary Calculator'!$Q$18/400,3)+ROUND($D129*'2024-25 Middle Calculator'!$O$18/432,3)+ROUND($E129*'2024-25 High Calculator'!$O$18/600,3)</f>
        <v>0.11199999999999999</v>
      </c>
      <c r="J129" s="166">
        <f t="shared" si="10"/>
        <v>0.441</v>
      </c>
      <c r="K129" s="33">
        <f>ROUND($C129*'2024-25 Elementary Calculator'!$Q$23/400,3)+ROUND($D129*'2024-25 Middle Calculator'!$O$23/432,3)+ROUND($E129*'2024-25 High Calculator'!$O$23/600,3)</f>
        <v>1.6E-2</v>
      </c>
      <c r="L129" s="33">
        <f>ROUND($C129*'2024-25 Elementary Calculator'!$Q$22/400,3)+ROUND($D129*'2024-25 Middle Calculator'!$O$22/432,3)+ROUND($E129*'2024-25 High Calculator'!$O$22/600,3)</f>
        <v>2E-3</v>
      </c>
      <c r="M129" s="166">
        <f t="shared" si="11"/>
        <v>1.8000000000000002E-2</v>
      </c>
      <c r="N129" s="33">
        <f>VLOOKUP($A129,'District Summary'!$A$6:$AH$325,29,FALSE)</f>
        <v>1</v>
      </c>
      <c r="O129" s="33">
        <f>VLOOKUP($A129,'District Summary'!$A$6:$AH$325,34,FALSE)</f>
        <v>0</v>
      </c>
      <c r="P129" s="67">
        <f t="shared" si="12"/>
        <v>0.55899999999999994</v>
      </c>
      <c r="Q129" s="67">
        <f t="shared" si="13"/>
        <v>-1.8000000000000002E-2</v>
      </c>
      <c r="R129" s="67">
        <f t="shared" si="14"/>
        <v>0.45900000000000002</v>
      </c>
      <c r="S129" s="33">
        <f t="shared" si="15"/>
        <v>1</v>
      </c>
      <c r="T129" s="67">
        <f t="shared" si="17"/>
        <v>0.54100000000000004</v>
      </c>
      <c r="U129" s="67">
        <f t="shared" si="16"/>
        <v>0</v>
      </c>
      <c r="V129" s="273"/>
      <c r="W129" s="273"/>
    </row>
    <row r="130" spans="1:23" x14ac:dyDescent="0.25">
      <c r="A130" t="s">
        <v>122</v>
      </c>
      <c r="B130" t="s">
        <v>418</v>
      </c>
      <c r="C130" s="25">
        <f>SUMPRODUCT(VLOOKUP($A130,'PSES Enroll Snapshot 25-01-17'!$K$5:$AB$327,{2,3,4,5,6,7,8,9},0))</f>
        <v>46.2</v>
      </c>
      <c r="D130" s="25">
        <f>SUMPRODUCT(VLOOKUP($A130,'PSES Enroll Snapshot 25-01-17'!$K$5:$AB$327,{10,11},0))-VLOOKUP($A130,'PSES Enroll Snapshot 25-01-17'!$K$5:$AB$327,12,0)</f>
        <v>0</v>
      </c>
      <c r="E130" s="25">
        <f>SUMPRODUCT(VLOOKUP($A130,'PSES Enroll Snapshot 25-01-17'!$K$5:$AB$327,{13,14},0))-SUMPRODUCT(VLOOKUP($A130,'PSES Enroll Snapshot 25-01-17'!$K$5:$AB$327,{15,16,17},0))</f>
        <v>0</v>
      </c>
      <c r="F130" s="33">
        <f>ROUND($C130*'2024-25 Elementary Calculator'!$Q$13/400,3)+ROUND($D130*'2024-25 Middle Calculator'!$O$13/432,3)+ROUND($E130*'2024-25 High Calculator'!$O$13/600,3)</f>
        <v>0.115</v>
      </c>
      <c r="G130" s="33">
        <f>ROUND($C130*'2024-25 Elementary Calculator'!$Q$15/400,3)+ROUND($D130*'2024-25 Middle Calculator'!$O$15/432,3)+ROUND($E130*'2024-25 High Calculator'!$O$15/600,3)</f>
        <v>3.5999999999999997E-2</v>
      </c>
      <c r="H130" s="33">
        <f>ROUND($C130*'2024-25 Elementary Calculator'!$Q$17/400,3)+ROUND($D130*'2024-25 Middle Calculator'!$O$17/432,3)+ROUND($E130*'2024-25 High Calculator'!$O$17/600,3)</f>
        <v>1.2E-2</v>
      </c>
      <c r="I130" s="33">
        <f>ROUND($C130*'2024-25 Elementary Calculator'!$Q$18/400,3)+ROUND($D130*'2024-25 Middle Calculator'!$O$18/432,3)+ROUND($E130*'2024-25 High Calculator'!$O$18/600,3)</f>
        <v>6.8000000000000005E-2</v>
      </c>
      <c r="J130" s="166">
        <f t="shared" si="10"/>
        <v>0.23100000000000001</v>
      </c>
      <c r="K130" s="33">
        <f>ROUND($C130*'2024-25 Elementary Calculator'!$Q$23/400,3)+ROUND($D130*'2024-25 Middle Calculator'!$O$23/432,3)+ROUND($E130*'2024-25 High Calculator'!$O$23/600,3)</f>
        <v>8.9999999999999993E-3</v>
      </c>
      <c r="L130" s="33">
        <f>ROUND($C130*'2024-25 Elementary Calculator'!$Q$22/400,3)+ROUND($D130*'2024-25 Middle Calculator'!$O$22/432,3)+ROUND($E130*'2024-25 High Calculator'!$O$22/600,3)</f>
        <v>0.01</v>
      </c>
      <c r="M130" s="166">
        <f t="shared" si="11"/>
        <v>1.9E-2</v>
      </c>
      <c r="N130" s="33">
        <f>VLOOKUP($A130,'District Summary'!$A$6:$AH$325,29,FALSE)</f>
        <v>6.9000000000000006E-2</v>
      </c>
      <c r="O130" s="33">
        <f>VLOOKUP($A130,'District Summary'!$A$6:$AH$325,34,FALSE)</f>
        <v>0</v>
      </c>
      <c r="P130" s="67">
        <f t="shared" si="12"/>
        <v>-0.16200000000000001</v>
      </c>
      <c r="Q130" s="67">
        <f t="shared" si="13"/>
        <v>-1.9E-2</v>
      </c>
      <c r="R130" s="67">
        <f t="shared" si="14"/>
        <v>0.25</v>
      </c>
      <c r="S130" s="33">
        <f t="shared" si="15"/>
        <v>6.9000000000000006E-2</v>
      </c>
      <c r="T130" s="67">
        <f t="shared" si="17"/>
        <v>-0.18099999999999999</v>
      </c>
      <c r="U130" s="67">
        <f t="shared" si="16"/>
        <v>-0.18099999999999999</v>
      </c>
      <c r="V130" s="273"/>
      <c r="W130" s="273"/>
    </row>
    <row r="131" spans="1:23" x14ac:dyDescent="0.25">
      <c r="A131" t="s">
        <v>123</v>
      </c>
      <c r="B131" t="s">
        <v>419</v>
      </c>
      <c r="C131" s="25">
        <f>SUMPRODUCT(VLOOKUP($A131,'PSES Enroll Snapshot 25-01-17'!$K$5:$AB$327,{2,3,4,5,6,7,8,9},0))</f>
        <v>38.799999999999997</v>
      </c>
      <c r="D131" s="25">
        <f>SUMPRODUCT(VLOOKUP($A131,'PSES Enroll Snapshot 25-01-17'!$K$5:$AB$327,{10,11},0))-VLOOKUP($A131,'PSES Enroll Snapshot 25-01-17'!$K$5:$AB$327,12,0)</f>
        <v>12</v>
      </c>
      <c r="E131" s="25">
        <f>SUMPRODUCT(VLOOKUP($A131,'PSES Enroll Snapshot 25-01-17'!$K$5:$AB$327,{13,14},0))-SUMPRODUCT(VLOOKUP($A131,'PSES Enroll Snapshot 25-01-17'!$K$5:$AB$327,{15,16,17},0))</f>
        <v>33.53</v>
      </c>
      <c r="F131" s="33">
        <f>ROUND($C131*'2024-25 Elementary Calculator'!$Q$13/400,3)+ROUND($D131*'2024-25 Middle Calculator'!$O$13/432,3)+ROUND($E131*'2024-25 High Calculator'!$O$13/600,3)</f>
        <v>0.31400000000000006</v>
      </c>
      <c r="G131" s="33">
        <f>ROUND($C131*'2024-25 Elementary Calculator'!$Q$15/400,3)+ROUND($D131*'2024-25 Middle Calculator'!$O$15/432,3)+ROUND($E131*'2024-25 High Calculator'!$O$15/600,3)</f>
        <v>3.9E-2</v>
      </c>
      <c r="H131" s="33">
        <f>ROUND($C131*'2024-25 Elementary Calculator'!$Q$17/400,3)+ROUND($D131*'2024-25 Middle Calculator'!$O$17/432,3)+ROUND($E131*'2024-25 High Calculator'!$O$17/600,3)</f>
        <v>1.3999999999999999E-2</v>
      </c>
      <c r="I131" s="33">
        <f>ROUND($C131*'2024-25 Elementary Calculator'!$Q$18/400,3)+ROUND($D131*'2024-25 Middle Calculator'!$O$18/432,3)+ROUND($E131*'2024-25 High Calculator'!$O$18/600,3)</f>
        <v>0.128</v>
      </c>
      <c r="J131" s="166">
        <f t="shared" ref="J131:J194" si="18">SUM(F131:I131)</f>
        <v>0.49500000000000005</v>
      </c>
      <c r="K131" s="33">
        <f>ROUND($C131*'2024-25 Elementary Calculator'!$Q$23/400,3)+ROUND($D131*'2024-25 Middle Calculator'!$O$23/432,3)+ROUND($E131*'2024-25 High Calculator'!$O$23/600,3)</f>
        <v>1.9E-2</v>
      </c>
      <c r="L131" s="33">
        <f>ROUND($C131*'2024-25 Elementary Calculator'!$Q$22/400,3)+ROUND($D131*'2024-25 Middle Calculator'!$O$22/432,3)+ROUND($E131*'2024-25 High Calculator'!$O$22/600,3)</f>
        <v>8.0000000000000002E-3</v>
      </c>
      <c r="M131" s="166">
        <f t="shared" ref="M131:M194" si="19">SUM(K131:L131)</f>
        <v>2.7E-2</v>
      </c>
      <c r="N131" s="33">
        <f>VLOOKUP($A131,'District Summary'!$A$6:$AH$325,29,FALSE)</f>
        <v>0.79</v>
      </c>
      <c r="O131" s="33">
        <f>VLOOKUP($A131,'District Summary'!$A$6:$AH$325,34,FALSE)</f>
        <v>1.7000000000000001E-2</v>
      </c>
      <c r="P131" s="67">
        <f t="shared" ref="P131:P194" si="20">N131-J131</f>
        <v>0.29499999999999998</v>
      </c>
      <c r="Q131" s="67">
        <f t="shared" ref="Q131:Q194" si="21">O131-M131</f>
        <v>-9.9999999999999985E-3</v>
      </c>
      <c r="R131" s="67">
        <f t="shared" ref="R131:R194" si="22">SUM(J131,M131)</f>
        <v>0.52200000000000002</v>
      </c>
      <c r="S131" s="33">
        <f t="shared" ref="S131:S194" si="23">SUM(N131:O131)</f>
        <v>0.80700000000000005</v>
      </c>
      <c r="T131" s="67">
        <f t="shared" si="17"/>
        <v>0.28499999999999998</v>
      </c>
      <c r="U131" s="67">
        <f t="shared" ref="U131:U194" si="24">IF(T131&gt;0, 0,T131)</f>
        <v>0</v>
      </c>
      <c r="V131" s="273"/>
      <c r="W131" s="273"/>
    </row>
    <row r="132" spans="1:23" x14ac:dyDescent="0.25">
      <c r="A132" t="s">
        <v>124</v>
      </c>
      <c r="B132" t="s">
        <v>420</v>
      </c>
      <c r="C132" s="25">
        <f>SUMPRODUCT(VLOOKUP($A132,'PSES Enroll Snapshot 25-01-17'!$K$5:$AB$327,{2,3,4,5,6,7,8,9},0))</f>
        <v>167.82999999999998</v>
      </c>
      <c r="D132" s="25">
        <f>SUMPRODUCT(VLOOKUP($A132,'PSES Enroll Snapshot 25-01-17'!$K$5:$AB$327,{10,11},0))-VLOOKUP($A132,'PSES Enroll Snapshot 25-01-17'!$K$5:$AB$327,12,0)</f>
        <v>27.659999999999997</v>
      </c>
      <c r="E132" s="25">
        <f>SUMPRODUCT(VLOOKUP($A132,'PSES Enroll Snapshot 25-01-17'!$K$5:$AB$327,{13,14},0))-SUMPRODUCT(VLOOKUP($A132,'PSES Enroll Snapshot 25-01-17'!$K$5:$AB$327,{15,16,17},0))</f>
        <v>23.54</v>
      </c>
      <c r="F132" s="33">
        <f>ROUND($C132*'2024-25 Elementary Calculator'!$Q$13/400,3)+ROUND($D132*'2024-25 Middle Calculator'!$O$13/432,3)+ROUND($E132*'2024-25 High Calculator'!$O$13/600,3)</f>
        <v>0.64600000000000002</v>
      </c>
      <c r="G132" s="33">
        <f>ROUND($C132*'2024-25 Elementary Calculator'!$Q$15/400,3)+ROUND($D132*'2024-25 Middle Calculator'!$O$15/432,3)+ROUND($E132*'2024-25 High Calculator'!$O$15/600,3)</f>
        <v>0.14100000000000001</v>
      </c>
      <c r="H132" s="33">
        <f>ROUND($C132*'2024-25 Elementary Calculator'!$Q$17/400,3)+ROUND($D132*'2024-25 Middle Calculator'!$O$17/432,3)+ROUND($E132*'2024-25 High Calculator'!$O$17/600,3)</f>
        <v>4.8000000000000001E-2</v>
      </c>
      <c r="I132" s="33">
        <f>ROUND($C132*'2024-25 Elementary Calculator'!$Q$18/400,3)+ROUND($D132*'2024-25 Middle Calculator'!$O$18/432,3)+ROUND($E132*'2024-25 High Calculator'!$O$18/600,3)</f>
        <v>0.33399999999999996</v>
      </c>
      <c r="J132" s="166">
        <f t="shared" si="18"/>
        <v>1.169</v>
      </c>
      <c r="K132" s="33">
        <f>ROUND($C132*'2024-25 Elementary Calculator'!$Q$23/400,3)+ROUND($D132*'2024-25 Middle Calculator'!$O$23/432,3)+ROUND($E132*'2024-25 High Calculator'!$O$23/600,3)</f>
        <v>4.4999999999999998E-2</v>
      </c>
      <c r="L132" s="33">
        <f>ROUND($C132*'2024-25 Elementary Calculator'!$Q$22/400,3)+ROUND($D132*'2024-25 Middle Calculator'!$O$22/432,3)+ROUND($E132*'2024-25 High Calculator'!$O$22/600,3)</f>
        <v>3.5000000000000003E-2</v>
      </c>
      <c r="M132" s="166">
        <f t="shared" si="19"/>
        <v>0.08</v>
      </c>
      <c r="N132" s="33">
        <f>VLOOKUP($A132,'District Summary'!$A$6:$AH$325,29,FALSE)</f>
        <v>0</v>
      </c>
      <c r="O132" s="33">
        <f>VLOOKUP($A132,'District Summary'!$A$6:$AH$325,34,FALSE)</f>
        <v>0.109</v>
      </c>
      <c r="P132" s="67">
        <f t="shared" si="20"/>
        <v>-1.169</v>
      </c>
      <c r="Q132" s="67">
        <f t="shared" si="21"/>
        <v>2.8999999999999998E-2</v>
      </c>
      <c r="R132" s="67">
        <f t="shared" si="22"/>
        <v>1.2490000000000001</v>
      </c>
      <c r="S132" s="33">
        <f t="shared" si="23"/>
        <v>0.109</v>
      </c>
      <c r="T132" s="67">
        <f t="shared" ref="T132:T195" si="25">ROUND(S132-R132,3)</f>
        <v>-1.1399999999999999</v>
      </c>
      <c r="U132" s="67">
        <f t="shared" si="24"/>
        <v>-1.1399999999999999</v>
      </c>
      <c r="V132" s="273"/>
      <c r="W132" s="273"/>
    </row>
    <row r="133" spans="1:23" x14ac:dyDescent="0.25">
      <c r="A133" t="s">
        <v>125</v>
      </c>
      <c r="B133" t="s">
        <v>421</v>
      </c>
      <c r="C133" s="25">
        <f>SUMPRODUCT(VLOOKUP($A133,'PSES Enroll Snapshot 25-01-17'!$K$5:$AB$327,{2,3,4,5,6,7,8,9},0))</f>
        <v>1687.1999999999998</v>
      </c>
      <c r="D133" s="25">
        <f>SUMPRODUCT(VLOOKUP($A133,'PSES Enroll Snapshot 25-01-17'!$K$5:$AB$327,{10,11},0))-VLOOKUP($A133,'PSES Enroll Snapshot 25-01-17'!$K$5:$AB$327,12,0)</f>
        <v>488.22</v>
      </c>
      <c r="E133" s="25">
        <f>SUMPRODUCT(VLOOKUP($A133,'PSES Enroll Snapshot 25-01-17'!$K$5:$AB$327,{13,14},0))-SUMPRODUCT(VLOOKUP($A133,'PSES Enroll Snapshot 25-01-17'!$K$5:$AB$327,{15,16,17},0))</f>
        <v>653.93000000000006</v>
      </c>
      <c r="F133" s="33">
        <f>ROUND($C133*'2024-25 Elementary Calculator'!$Q$13/400,3)+ROUND($D133*'2024-25 Middle Calculator'!$O$13/432,3)+ROUND($E133*'2024-25 High Calculator'!$O$13/600,3)</f>
        <v>9.4390000000000001</v>
      </c>
      <c r="G133" s="33">
        <f>ROUND($C133*'2024-25 Elementary Calculator'!$Q$15/400,3)+ROUND($D133*'2024-25 Middle Calculator'!$O$15/432,3)+ROUND($E133*'2024-25 High Calculator'!$O$15/600,3)</f>
        <v>1.5489999999999999</v>
      </c>
      <c r="H133" s="33">
        <f>ROUND($C133*'2024-25 Elementary Calculator'!$Q$17/400,3)+ROUND($D133*'2024-25 Middle Calculator'!$O$17/432,3)+ROUND($E133*'2024-25 High Calculator'!$O$17/600,3)</f>
        <v>0.51900000000000002</v>
      </c>
      <c r="I133" s="33">
        <f>ROUND($C133*'2024-25 Elementary Calculator'!$Q$18/400,3)+ROUND($D133*'2024-25 Middle Calculator'!$O$18/432,3)+ROUND($E133*'2024-25 High Calculator'!$O$18/600,3)</f>
        <v>4.37</v>
      </c>
      <c r="J133" s="166">
        <f t="shared" si="18"/>
        <v>15.876999999999999</v>
      </c>
      <c r="K133" s="33">
        <f>ROUND($C133*'2024-25 Elementary Calculator'!$Q$23/400,3)+ROUND($D133*'2024-25 Middle Calculator'!$O$23/432,3)+ROUND($E133*'2024-25 High Calculator'!$O$23/600,3)</f>
        <v>0.59099999999999997</v>
      </c>
      <c r="L133" s="33">
        <f>ROUND($C133*'2024-25 Elementary Calculator'!$Q$22/400,3)+ROUND($D133*'2024-25 Middle Calculator'!$O$22/432,3)+ROUND($E133*'2024-25 High Calculator'!$O$22/600,3)</f>
        <v>0.34799999999999998</v>
      </c>
      <c r="M133" s="166">
        <f t="shared" si="19"/>
        <v>0.93899999999999995</v>
      </c>
      <c r="N133" s="33">
        <f>VLOOKUP($A133,'District Summary'!$A$6:$AH$325,29,FALSE)</f>
        <v>10.176</v>
      </c>
      <c r="O133" s="33">
        <f>VLOOKUP($A133,'District Summary'!$A$6:$AH$325,34,FALSE)</f>
        <v>9.9329999999999998</v>
      </c>
      <c r="P133" s="67">
        <f t="shared" si="20"/>
        <v>-5.7009999999999987</v>
      </c>
      <c r="Q133" s="67">
        <f t="shared" si="21"/>
        <v>8.9939999999999998</v>
      </c>
      <c r="R133" s="67">
        <f t="shared" si="22"/>
        <v>16.815999999999999</v>
      </c>
      <c r="S133" s="33">
        <f t="shared" si="23"/>
        <v>20.109000000000002</v>
      </c>
      <c r="T133" s="67">
        <f t="shared" si="25"/>
        <v>3.2930000000000001</v>
      </c>
      <c r="U133" s="67">
        <f t="shared" si="24"/>
        <v>0</v>
      </c>
      <c r="V133" s="273"/>
      <c r="W133" s="273"/>
    </row>
    <row r="134" spans="1:23" x14ac:dyDescent="0.25">
      <c r="A134" t="s">
        <v>126</v>
      </c>
      <c r="B134" t="s">
        <v>422</v>
      </c>
      <c r="C134" s="25">
        <f>SUMPRODUCT(VLOOKUP($A134,'PSES Enroll Snapshot 25-01-17'!$K$5:$AB$327,{2,3,4,5,6,7,8,9},0))</f>
        <v>290</v>
      </c>
      <c r="D134" s="25">
        <f>SUMPRODUCT(VLOOKUP($A134,'PSES Enroll Snapshot 25-01-17'!$K$5:$AB$327,{10,11},0))-VLOOKUP($A134,'PSES Enroll Snapshot 25-01-17'!$K$5:$AB$327,12,0)</f>
        <v>74.849999999999994</v>
      </c>
      <c r="E134" s="25">
        <f>SUMPRODUCT(VLOOKUP($A134,'PSES Enroll Snapshot 25-01-17'!$K$5:$AB$327,{13,14},0))-SUMPRODUCT(VLOOKUP($A134,'PSES Enroll Snapshot 25-01-17'!$K$5:$AB$327,{15,16,17},0))</f>
        <v>131.46</v>
      </c>
      <c r="F134" s="33">
        <f>ROUND($C134*'2024-25 Elementary Calculator'!$Q$13/400,3)+ROUND($D134*'2024-25 Middle Calculator'!$O$13/432,3)+ROUND($E134*'2024-25 High Calculator'!$O$13/600,3)</f>
        <v>1.6829999999999998</v>
      </c>
      <c r="G134" s="33">
        <f>ROUND($C134*'2024-25 Elementary Calculator'!$Q$15/400,3)+ROUND($D134*'2024-25 Middle Calculator'!$O$15/432,3)+ROUND($E134*'2024-25 High Calculator'!$O$15/600,3)</f>
        <v>0.26800000000000002</v>
      </c>
      <c r="H134" s="33">
        <f>ROUND($C134*'2024-25 Elementary Calculator'!$Q$17/400,3)+ROUND($D134*'2024-25 Middle Calculator'!$O$17/432,3)+ROUND($E134*'2024-25 High Calculator'!$O$17/600,3)</f>
        <v>0.09</v>
      </c>
      <c r="I134" s="33">
        <f>ROUND($C134*'2024-25 Elementary Calculator'!$Q$18/400,3)+ROUND($D134*'2024-25 Middle Calculator'!$O$18/432,3)+ROUND($E134*'2024-25 High Calculator'!$O$18/600,3)</f>
        <v>0.7589999999999999</v>
      </c>
      <c r="J134" s="166">
        <f t="shared" si="18"/>
        <v>2.8</v>
      </c>
      <c r="K134" s="33">
        <f>ROUND($C134*'2024-25 Elementary Calculator'!$Q$23/400,3)+ROUND($D134*'2024-25 Middle Calculator'!$O$23/432,3)+ROUND($E134*'2024-25 High Calculator'!$O$23/600,3)</f>
        <v>0.10400000000000001</v>
      </c>
      <c r="L134" s="33">
        <f>ROUND($C134*'2024-25 Elementary Calculator'!$Q$22/400,3)+ROUND($D134*'2024-25 Middle Calculator'!$O$22/432,3)+ROUND($E134*'2024-25 High Calculator'!$O$22/600,3)</f>
        <v>0.06</v>
      </c>
      <c r="M134" s="166">
        <f t="shared" si="19"/>
        <v>0.16400000000000001</v>
      </c>
      <c r="N134" s="33">
        <f>VLOOKUP($A134,'District Summary'!$A$6:$AH$325,29,FALSE)</f>
        <v>1.58</v>
      </c>
      <c r="O134" s="33">
        <f>VLOOKUP($A134,'District Summary'!$A$6:$AH$325,34,FALSE)</f>
        <v>1.1220000000000001</v>
      </c>
      <c r="P134" s="67">
        <f t="shared" si="20"/>
        <v>-1.2199999999999998</v>
      </c>
      <c r="Q134" s="67">
        <f t="shared" si="21"/>
        <v>0.95800000000000007</v>
      </c>
      <c r="R134" s="67">
        <f t="shared" si="22"/>
        <v>2.964</v>
      </c>
      <c r="S134" s="33">
        <f t="shared" si="23"/>
        <v>2.702</v>
      </c>
      <c r="T134" s="67">
        <f t="shared" si="25"/>
        <v>-0.26200000000000001</v>
      </c>
      <c r="U134" s="67">
        <f t="shared" si="24"/>
        <v>-0.26200000000000001</v>
      </c>
      <c r="V134" s="273"/>
      <c r="W134" s="273"/>
    </row>
    <row r="135" spans="1:23" x14ac:dyDescent="0.25">
      <c r="A135" t="s">
        <v>127</v>
      </c>
      <c r="B135" t="s">
        <v>423</v>
      </c>
      <c r="C135" s="25">
        <f>SUMPRODUCT(VLOOKUP($A135,'PSES Enroll Snapshot 25-01-17'!$K$5:$AB$327,{2,3,4,5,6,7,8,9},0))</f>
        <v>509.12</v>
      </c>
      <c r="D135" s="25">
        <f>SUMPRODUCT(VLOOKUP($A135,'PSES Enroll Snapshot 25-01-17'!$K$5:$AB$327,{10,11},0))-VLOOKUP($A135,'PSES Enroll Snapshot 25-01-17'!$K$5:$AB$327,12,0)</f>
        <v>135.05000000000001</v>
      </c>
      <c r="E135" s="25">
        <f>SUMPRODUCT(VLOOKUP($A135,'PSES Enroll Snapshot 25-01-17'!$K$5:$AB$327,{13,14},0))-SUMPRODUCT(VLOOKUP($A135,'PSES Enroll Snapshot 25-01-17'!$K$5:$AB$327,{15,16,17},0))</f>
        <v>202.08</v>
      </c>
      <c r="F135" s="33">
        <f>ROUND($C135*'2024-25 Elementary Calculator'!$Q$13/400,3)+ROUND($D135*'2024-25 Middle Calculator'!$O$13/432,3)+ROUND($E135*'2024-25 High Calculator'!$O$13/600,3)</f>
        <v>2.8239999999999998</v>
      </c>
      <c r="G135" s="33">
        <f>ROUND($C135*'2024-25 Elementary Calculator'!$Q$15/400,3)+ROUND($D135*'2024-25 Middle Calculator'!$O$15/432,3)+ROUND($E135*'2024-25 High Calculator'!$O$15/600,3)</f>
        <v>0.46700000000000003</v>
      </c>
      <c r="H135" s="33">
        <f>ROUND($C135*'2024-25 Elementary Calculator'!$Q$17/400,3)+ROUND($D135*'2024-25 Middle Calculator'!$O$17/432,3)+ROUND($E135*'2024-25 High Calculator'!$O$17/600,3)</f>
        <v>0.15700000000000003</v>
      </c>
      <c r="I135" s="33">
        <f>ROUND($C135*'2024-25 Elementary Calculator'!$Q$18/400,3)+ROUND($D135*'2024-25 Middle Calculator'!$O$18/432,3)+ROUND($E135*'2024-25 High Calculator'!$O$18/600,3)</f>
        <v>1.3010000000000002</v>
      </c>
      <c r="J135" s="166">
        <f t="shared" si="18"/>
        <v>4.7490000000000006</v>
      </c>
      <c r="K135" s="33">
        <f>ROUND($C135*'2024-25 Elementary Calculator'!$Q$23/400,3)+ROUND($D135*'2024-25 Middle Calculator'!$O$23/432,3)+ROUND($E135*'2024-25 High Calculator'!$O$23/600,3)</f>
        <v>0.17699999999999999</v>
      </c>
      <c r="L135" s="33">
        <f>ROUND($C135*'2024-25 Elementary Calculator'!$Q$22/400,3)+ROUND($D135*'2024-25 Middle Calculator'!$O$22/432,3)+ROUND($E135*'2024-25 High Calculator'!$O$22/600,3)</f>
        <v>0.105</v>
      </c>
      <c r="M135" s="166">
        <f t="shared" si="19"/>
        <v>0.28199999999999997</v>
      </c>
      <c r="N135" s="33">
        <f>VLOOKUP($A135,'District Summary'!$A$6:$AH$325,29,FALSE)</f>
        <v>3.2650000000000001</v>
      </c>
      <c r="O135" s="33">
        <f>VLOOKUP($A135,'District Summary'!$A$6:$AH$325,34,FALSE)</f>
        <v>0.22800000000000001</v>
      </c>
      <c r="P135" s="67">
        <f t="shared" si="20"/>
        <v>-1.4840000000000004</v>
      </c>
      <c r="Q135" s="67">
        <f t="shared" si="21"/>
        <v>-5.3999999999999965E-2</v>
      </c>
      <c r="R135" s="67">
        <f t="shared" si="22"/>
        <v>5.0310000000000006</v>
      </c>
      <c r="S135" s="33">
        <f t="shared" si="23"/>
        <v>3.4930000000000003</v>
      </c>
      <c r="T135" s="67">
        <f t="shared" si="25"/>
        <v>-1.538</v>
      </c>
      <c r="U135" s="67">
        <f t="shared" si="24"/>
        <v>-1.538</v>
      </c>
      <c r="V135" s="273"/>
      <c r="W135" s="273"/>
    </row>
    <row r="136" spans="1:23" x14ac:dyDescent="0.25">
      <c r="A136" t="s">
        <v>128</v>
      </c>
      <c r="B136" t="s">
        <v>424</v>
      </c>
      <c r="C136" s="25">
        <f>SUMPRODUCT(VLOOKUP($A136,'PSES Enroll Snapshot 25-01-17'!$K$5:$AB$327,{2,3,4,5,6,7,8,9},0))</f>
        <v>52.2</v>
      </c>
      <c r="D136" s="25">
        <f>SUMPRODUCT(VLOOKUP($A136,'PSES Enroll Snapshot 25-01-17'!$K$5:$AB$327,{10,11},0))-VLOOKUP($A136,'PSES Enroll Snapshot 25-01-17'!$K$5:$AB$327,12,0)</f>
        <v>8.6</v>
      </c>
      <c r="E136" s="25">
        <f>SUMPRODUCT(VLOOKUP($A136,'PSES Enroll Snapshot 25-01-17'!$K$5:$AB$327,{13,14},0))-SUMPRODUCT(VLOOKUP($A136,'PSES Enroll Snapshot 25-01-17'!$K$5:$AB$327,{15,16,17},0))</f>
        <v>19.240000000000002</v>
      </c>
      <c r="F136" s="33">
        <f>ROUND($C136*'2024-25 Elementary Calculator'!$Q$13/400,3)+ROUND($D136*'2024-25 Middle Calculator'!$O$13/432,3)+ROUND($E136*'2024-25 High Calculator'!$O$13/600,3)</f>
        <v>0.26100000000000001</v>
      </c>
      <c r="G136" s="33">
        <f>ROUND($C136*'2024-25 Elementary Calculator'!$Q$15/400,3)+ROUND($D136*'2024-25 Middle Calculator'!$O$15/432,3)+ROUND($E136*'2024-25 High Calculator'!$O$15/600,3)</f>
        <v>4.7E-2</v>
      </c>
      <c r="H136" s="33">
        <f>ROUND($C136*'2024-25 Elementary Calculator'!$Q$17/400,3)+ROUND($D136*'2024-25 Middle Calculator'!$O$17/432,3)+ROUND($E136*'2024-25 High Calculator'!$O$17/600,3)</f>
        <v>1.6E-2</v>
      </c>
      <c r="I136" s="33">
        <f>ROUND($C136*'2024-25 Elementary Calculator'!$Q$18/400,3)+ROUND($D136*'2024-25 Middle Calculator'!$O$18/432,3)+ROUND($E136*'2024-25 High Calculator'!$O$18/600,3)</f>
        <v>0.12</v>
      </c>
      <c r="J136" s="166">
        <f t="shared" si="18"/>
        <v>0.44400000000000001</v>
      </c>
      <c r="K136" s="33">
        <f>ROUND($C136*'2024-25 Elementary Calculator'!$Q$23/400,3)+ROUND($D136*'2024-25 Middle Calculator'!$O$23/432,3)+ROUND($E136*'2024-25 High Calculator'!$O$23/600,3)</f>
        <v>1.7000000000000001E-2</v>
      </c>
      <c r="L136" s="33">
        <f>ROUND($C136*'2024-25 Elementary Calculator'!$Q$22/400,3)+ROUND($D136*'2024-25 Middle Calculator'!$O$22/432,3)+ROUND($E136*'2024-25 High Calculator'!$O$22/600,3)</f>
        <v>1.0999999999999999E-2</v>
      </c>
      <c r="M136" s="166">
        <f t="shared" si="19"/>
        <v>2.8000000000000001E-2</v>
      </c>
      <c r="N136" s="33">
        <f>VLOOKUP($A136,'District Summary'!$A$6:$AH$325,29,FALSE)</f>
        <v>0.624</v>
      </c>
      <c r="O136" s="33">
        <f>VLOOKUP($A136,'District Summary'!$A$6:$AH$325,34,FALSE)</f>
        <v>1.7969999999999999</v>
      </c>
      <c r="P136" s="67">
        <f t="shared" si="20"/>
        <v>0.18</v>
      </c>
      <c r="Q136" s="67">
        <f t="shared" si="21"/>
        <v>1.7689999999999999</v>
      </c>
      <c r="R136" s="67">
        <f t="shared" si="22"/>
        <v>0.47200000000000003</v>
      </c>
      <c r="S136" s="33">
        <f t="shared" si="23"/>
        <v>2.4209999999999998</v>
      </c>
      <c r="T136" s="67">
        <f t="shared" si="25"/>
        <v>1.9490000000000001</v>
      </c>
      <c r="U136" s="67">
        <f t="shared" si="24"/>
        <v>0</v>
      </c>
      <c r="V136" s="273"/>
      <c r="W136" s="273"/>
    </row>
    <row r="137" spans="1:23" x14ac:dyDescent="0.25">
      <c r="A137" t="s">
        <v>129</v>
      </c>
      <c r="B137" t="s">
        <v>425</v>
      </c>
      <c r="C137" s="25">
        <f>SUMPRODUCT(VLOOKUP($A137,'PSES Enroll Snapshot 25-01-17'!$K$5:$AB$327,{2,3,4,5,6,7,8,9},0))</f>
        <v>55.8</v>
      </c>
      <c r="D137" s="25">
        <f>SUMPRODUCT(VLOOKUP($A137,'PSES Enroll Snapshot 25-01-17'!$K$5:$AB$327,{10,11},0))-VLOOKUP($A137,'PSES Enroll Snapshot 25-01-17'!$K$5:$AB$327,12,0)</f>
        <v>20.8</v>
      </c>
      <c r="E137" s="25">
        <f>SUMPRODUCT(VLOOKUP($A137,'PSES Enroll Snapshot 25-01-17'!$K$5:$AB$327,{13,14},0))-SUMPRODUCT(VLOOKUP($A137,'PSES Enroll Snapshot 25-01-17'!$K$5:$AB$327,{15,16,17},0))</f>
        <v>15.32</v>
      </c>
      <c r="F137" s="33">
        <f>ROUND($C137*'2024-25 Elementary Calculator'!$Q$13/400,3)+ROUND($D137*'2024-25 Middle Calculator'!$O$13/432,3)+ROUND($E137*'2024-25 High Calculator'!$O$13/600,3)</f>
        <v>0.30000000000000004</v>
      </c>
      <c r="G137" s="33">
        <f>ROUND($C137*'2024-25 Elementary Calculator'!$Q$15/400,3)+ROUND($D137*'2024-25 Middle Calculator'!$O$15/432,3)+ROUND($E137*'2024-25 High Calculator'!$O$15/600,3)</f>
        <v>0.05</v>
      </c>
      <c r="H137" s="33">
        <f>ROUND($C137*'2024-25 Elementary Calculator'!$Q$17/400,3)+ROUND($D137*'2024-25 Middle Calculator'!$O$17/432,3)+ROUND($E137*'2024-25 High Calculator'!$O$17/600,3)</f>
        <v>1.7000000000000001E-2</v>
      </c>
      <c r="I137" s="33">
        <f>ROUND($C137*'2024-25 Elementary Calculator'!$Q$18/400,3)+ROUND($D137*'2024-25 Middle Calculator'!$O$18/432,3)+ROUND($E137*'2024-25 High Calculator'!$O$18/600,3)</f>
        <v>0.14599999999999999</v>
      </c>
      <c r="J137" s="166">
        <f t="shared" si="18"/>
        <v>0.51300000000000001</v>
      </c>
      <c r="K137" s="33">
        <f>ROUND($C137*'2024-25 Elementary Calculator'!$Q$23/400,3)+ROUND($D137*'2024-25 Middle Calculator'!$O$23/432,3)+ROUND($E137*'2024-25 High Calculator'!$O$23/600,3)</f>
        <v>1.9E-2</v>
      </c>
      <c r="L137" s="33">
        <f>ROUND($C137*'2024-25 Elementary Calculator'!$Q$22/400,3)+ROUND($D137*'2024-25 Middle Calculator'!$O$22/432,3)+ROUND($E137*'2024-25 High Calculator'!$O$22/600,3)</f>
        <v>1.2E-2</v>
      </c>
      <c r="M137" s="166">
        <f t="shared" si="19"/>
        <v>3.1E-2</v>
      </c>
      <c r="N137" s="33">
        <f>VLOOKUP($A137,'District Summary'!$A$6:$AH$325,29,FALSE)</f>
        <v>0</v>
      </c>
      <c r="O137" s="33">
        <f>VLOOKUP($A137,'District Summary'!$A$6:$AH$325,34,FALSE)</f>
        <v>0</v>
      </c>
      <c r="P137" s="67">
        <f t="shared" si="20"/>
        <v>-0.51300000000000001</v>
      </c>
      <c r="Q137" s="67">
        <f t="shared" si="21"/>
        <v>-3.1E-2</v>
      </c>
      <c r="R137" s="67">
        <f t="shared" si="22"/>
        <v>0.54400000000000004</v>
      </c>
      <c r="S137" s="33">
        <f t="shared" si="23"/>
        <v>0</v>
      </c>
      <c r="T137" s="67">
        <f t="shared" si="25"/>
        <v>-0.54400000000000004</v>
      </c>
      <c r="U137" s="67">
        <f t="shared" si="24"/>
        <v>-0.54400000000000004</v>
      </c>
      <c r="V137" s="273"/>
      <c r="W137" s="273"/>
    </row>
    <row r="138" spans="1:23" x14ac:dyDescent="0.25">
      <c r="A138" t="s">
        <v>130</v>
      </c>
      <c r="B138" t="s">
        <v>426</v>
      </c>
      <c r="C138" s="25">
        <f>SUMPRODUCT(VLOOKUP($A138,'PSES Enroll Snapshot 25-01-17'!$K$5:$AB$327,{2,3,4,5,6,7,8,9},0))</f>
        <v>74.2</v>
      </c>
      <c r="D138" s="25">
        <f>SUMPRODUCT(VLOOKUP($A138,'PSES Enroll Snapshot 25-01-17'!$K$5:$AB$327,{10,11},0))-VLOOKUP($A138,'PSES Enroll Snapshot 25-01-17'!$K$5:$AB$327,12,0)</f>
        <v>16.600000000000001</v>
      </c>
      <c r="E138" s="25">
        <f>SUMPRODUCT(VLOOKUP($A138,'PSES Enroll Snapshot 25-01-17'!$K$5:$AB$327,{13,14},0))-SUMPRODUCT(VLOOKUP($A138,'PSES Enroll Snapshot 25-01-17'!$K$5:$AB$327,{15,16,17},0))</f>
        <v>0</v>
      </c>
      <c r="F138" s="33">
        <f>ROUND($C138*'2024-25 Elementary Calculator'!$Q$13/400,3)+ROUND($D138*'2024-25 Middle Calculator'!$O$13/432,3)+ROUND($E138*'2024-25 High Calculator'!$O$13/600,3)</f>
        <v>0.25</v>
      </c>
      <c r="G138" s="33">
        <f>ROUND($C138*'2024-25 Elementary Calculator'!$Q$15/400,3)+ROUND($D138*'2024-25 Middle Calculator'!$O$15/432,3)+ROUND($E138*'2024-25 High Calculator'!$O$15/600,3)</f>
        <v>6.1000000000000006E-2</v>
      </c>
      <c r="H138" s="33">
        <f>ROUND($C138*'2024-25 Elementary Calculator'!$Q$17/400,3)+ROUND($D138*'2024-25 Middle Calculator'!$O$17/432,3)+ROUND($E138*'2024-25 High Calculator'!$O$17/600,3)</f>
        <v>0.02</v>
      </c>
      <c r="I138" s="33">
        <f>ROUND($C138*'2024-25 Elementary Calculator'!$Q$18/400,3)+ROUND($D138*'2024-25 Middle Calculator'!$O$18/432,3)+ROUND($E138*'2024-25 High Calculator'!$O$18/600,3)</f>
        <v>0.14300000000000002</v>
      </c>
      <c r="J138" s="166">
        <f t="shared" si="18"/>
        <v>0.47400000000000003</v>
      </c>
      <c r="K138" s="33">
        <f>ROUND($C138*'2024-25 Elementary Calculator'!$Q$23/400,3)+ROUND($D138*'2024-25 Middle Calculator'!$O$23/432,3)+ROUND($E138*'2024-25 High Calculator'!$O$23/600,3)</f>
        <v>1.9E-2</v>
      </c>
      <c r="L138" s="33">
        <f>ROUND($C138*'2024-25 Elementary Calculator'!$Q$22/400,3)+ROUND($D138*'2024-25 Middle Calculator'!$O$22/432,3)+ROUND($E138*'2024-25 High Calculator'!$O$22/600,3)</f>
        <v>1.4999999999999999E-2</v>
      </c>
      <c r="M138" s="166">
        <f t="shared" si="19"/>
        <v>3.4000000000000002E-2</v>
      </c>
      <c r="N138" s="33">
        <f>VLOOKUP($A138,'District Summary'!$A$6:$AH$325,29,FALSE)</f>
        <v>0</v>
      </c>
      <c r="O138" s="33">
        <f>VLOOKUP($A138,'District Summary'!$A$6:$AH$325,34,FALSE)</f>
        <v>0.56000000000000005</v>
      </c>
      <c r="P138" s="67">
        <f t="shared" si="20"/>
        <v>-0.47400000000000003</v>
      </c>
      <c r="Q138" s="67">
        <f t="shared" si="21"/>
        <v>0.52600000000000002</v>
      </c>
      <c r="R138" s="67">
        <f t="shared" si="22"/>
        <v>0.50800000000000001</v>
      </c>
      <c r="S138" s="33">
        <f t="shared" si="23"/>
        <v>0.56000000000000005</v>
      </c>
      <c r="T138" s="67">
        <f t="shared" si="25"/>
        <v>5.1999999999999998E-2</v>
      </c>
      <c r="U138" s="67">
        <f t="shared" si="24"/>
        <v>0</v>
      </c>
      <c r="V138" s="273"/>
      <c r="W138" s="273"/>
    </row>
    <row r="139" spans="1:23" x14ac:dyDescent="0.25">
      <c r="A139" t="s">
        <v>131</v>
      </c>
      <c r="B139" t="s">
        <v>427</v>
      </c>
      <c r="C139" s="25">
        <f>SUMPRODUCT(VLOOKUP($A139,'PSES Enroll Snapshot 25-01-17'!$K$5:$AB$327,{2,3,4,5,6,7,8,9},0))</f>
        <v>108</v>
      </c>
      <c r="D139" s="25">
        <f>SUMPRODUCT(VLOOKUP($A139,'PSES Enroll Snapshot 25-01-17'!$K$5:$AB$327,{10,11},0))-VLOOKUP($A139,'PSES Enroll Snapshot 25-01-17'!$K$5:$AB$327,12,0)</f>
        <v>28</v>
      </c>
      <c r="E139" s="25">
        <f>SUMPRODUCT(VLOOKUP($A139,'PSES Enroll Snapshot 25-01-17'!$K$5:$AB$327,{13,14},0))-SUMPRODUCT(VLOOKUP($A139,'PSES Enroll Snapshot 25-01-17'!$K$5:$AB$327,{15,16,17},0))</f>
        <v>67.820000000000007</v>
      </c>
      <c r="F139" s="33">
        <f>ROUND($C139*'2024-25 Elementary Calculator'!$Q$13/400,3)+ROUND($D139*'2024-25 Middle Calculator'!$O$13/432,3)+ROUND($E139*'2024-25 High Calculator'!$O$13/600,3)</f>
        <v>0.72299999999999998</v>
      </c>
      <c r="G139" s="33">
        <f>ROUND($C139*'2024-25 Elementary Calculator'!$Q$15/400,3)+ROUND($D139*'2024-25 Middle Calculator'!$O$15/432,3)+ROUND($E139*'2024-25 High Calculator'!$O$15/600,3)</f>
        <v>0.10400000000000001</v>
      </c>
      <c r="H139" s="33">
        <f>ROUND($C139*'2024-25 Elementary Calculator'!$Q$17/400,3)+ROUND($D139*'2024-25 Middle Calculator'!$O$17/432,3)+ROUND($E139*'2024-25 High Calculator'!$O$17/600,3)</f>
        <v>3.5999999999999997E-2</v>
      </c>
      <c r="I139" s="33">
        <f>ROUND($C139*'2024-25 Elementary Calculator'!$Q$18/400,3)+ROUND($D139*'2024-25 Middle Calculator'!$O$18/432,3)+ROUND($E139*'2024-25 High Calculator'!$O$18/600,3)</f>
        <v>0.309</v>
      </c>
      <c r="J139" s="166">
        <f t="shared" si="18"/>
        <v>1.1719999999999999</v>
      </c>
      <c r="K139" s="33">
        <f>ROUND($C139*'2024-25 Elementary Calculator'!$Q$23/400,3)+ROUND($D139*'2024-25 Middle Calculator'!$O$23/432,3)+ROUND($E139*'2024-25 High Calculator'!$O$23/600,3)</f>
        <v>4.3000000000000003E-2</v>
      </c>
      <c r="L139" s="33">
        <f>ROUND($C139*'2024-25 Elementary Calculator'!$Q$22/400,3)+ROUND($D139*'2024-25 Middle Calculator'!$O$22/432,3)+ROUND($E139*'2024-25 High Calculator'!$O$22/600,3)</f>
        <v>2.1999999999999999E-2</v>
      </c>
      <c r="M139" s="166">
        <f t="shared" si="19"/>
        <v>6.5000000000000002E-2</v>
      </c>
      <c r="N139" s="33">
        <f>VLOOKUP($A139,'District Summary'!$A$6:$AH$325,29,FALSE)</f>
        <v>0.5</v>
      </c>
      <c r="O139" s="33">
        <f>VLOOKUP($A139,'District Summary'!$A$6:$AH$325,34,FALSE)</f>
        <v>0.26500000000000001</v>
      </c>
      <c r="P139" s="67">
        <f t="shared" si="20"/>
        <v>-0.67199999999999993</v>
      </c>
      <c r="Q139" s="67">
        <f t="shared" si="21"/>
        <v>0.2</v>
      </c>
      <c r="R139" s="67">
        <f t="shared" si="22"/>
        <v>1.2369999999999999</v>
      </c>
      <c r="S139" s="33">
        <f t="shared" si="23"/>
        <v>0.76500000000000001</v>
      </c>
      <c r="T139" s="67">
        <f t="shared" si="25"/>
        <v>-0.47199999999999998</v>
      </c>
      <c r="U139" s="67">
        <f t="shared" si="24"/>
        <v>-0.47199999999999998</v>
      </c>
      <c r="V139" s="273"/>
      <c r="W139" s="273"/>
    </row>
    <row r="140" spans="1:23" x14ac:dyDescent="0.25">
      <c r="A140" t="s">
        <v>132</v>
      </c>
      <c r="B140" t="s">
        <v>428</v>
      </c>
      <c r="C140" s="25">
        <f>SUMPRODUCT(VLOOKUP($A140,'PSES Enroll Snapshot 25-01-17'!$K$5:$AB$327,{2,3,4,5,6,7,8,9},0))</f>
        <v>29.4</v>
      </c>
      <c r="D140" s="25">
        <f>SUMPRODUCT(VLOOKUP($A140,'PSES Enroll Snapshot 25-01-17'!$K$5:$AB$327,{10,11},0))-VLOOKUP($A140,'PSES Enroll Snapshot 25-01-17'!$K$5:$AB$327,12,0)</f>
        <v>4</v>
      </c>
      <c r="E140" s="25">
        <f>SUMPRODUCT(VLOOKUP($A140,'PSES Enroll Snapshot 25-01-17'!$K$5:$AB$327,{13,14},0))-SUMPRODUCT(VLOOKUP($A140,'PSES Enroll Snapshot 25-01-17'!$K$5:$AB$327,{15,16,17},0))</f>
        <v>22</v>
      </c>
      <c r="F140" s="33">
        <f>ROUND($C140*'2024-25 Elementary Calculator'!$Q$13/400,3)+ROUND($D140*'2024-25 Middle Calculator'!$O$13/432,3)+ROUND($E140*'2024-25 High Calculator'!$O$13/600,3)</f>
        <v>0.2</v>
      </c>
      <c r="G140" s="33">
        <f>ROUND($C140*'2024-25 Elementary Calculator'!$Q$15/400,3)+ROUND($D140*'2024-25 Middle Calculator'!$O$15/432,3)+ROUND($E140*'2024-25 High Calculator'!$O$15/600,3)</f>
        <v>2.9000000000000001E-2</v>
      </c>
      <c r="H140" s="33">
        <f>ROUND($C140*'2024-25 Elementary Calculator'!$Q$17/400,3)+ROUND($D140*'2024-25 Middle Calculator'!$O$17/432,3)+ROUND($E140*'2024-25 High Calculator'!$O$17/600,3)</f>
        <v>0.01</v>
      </c>
      <c r="I140" s="33">
        <f>ROUND($C140*'2024-25 Elementary Calculator'!$Q$18/400,3)+ROUND($D140*'2024-25 Middle Calculator'!$O$18/432,3)+ROUND($E140*'2024-25 High Calculator'!$O$18/600,3)</f>
        <v>8.0999999999999989E-2</v>
      </c>
      <c r="J140" s="166">
        <f t="shared" si="18"/>
        <v>0.32</v>
      </c>
      <c r="K140" s="33">
        <f>ROUND($C140*'2024-25 Elementary Calculator'!$Q$23/400,3)+ROUND($D140*'2024-25 Middle Calculator'!$O$23/432,3)+ROUND($E140*'2024-25 High Calculator'!$O$23/600,3)</f>
        <v>1.2E-2</v>
      </c>
      <c r="L140" s="33">
        <f>ROUND($C140*'2024-25 Elementary Calculator'!$Q$22/400,3)+ROUND($D140*'2024-25 Middle Calculator'!$O$22/432,3)+ROUND($E140*'2024-25 High Calculator'!$O$22/600,3)</f>
        <v>6.0000000000000001E-3</v>
      </c>
      <c r="M140" s="166">
        <f t="shared" si="19"/>
        <v>1.8000000000000002E-2</v>
      </c>
      <c r="N140" s="33">
        <f>VLOOKUP($A140,'District Summary'!$A$6:$AH$325,29,FALSE)</f>
        <v>0.71899999999999997</v>
      </c>
      <c r="O140" s="33">
        <f>VLOOKUP($A140,'District Summary'!$A$6:$AH$325,34,FALSE)</f>
        <v>0</v>
      </c>
      <c r="P140" s="67">
        <f t="shared" si="20"/>
        <v>0.39899999999999997</v>
      </c>
      <c r="Q140" s="67">
        <f t="shared" si="21"/>
        <v>-1.8000000000000002E-2</v>
      </c>
      <c r="R140" s="67">
        <f t="shared" si="22"/>
        <v>0.33800000000000002</v>
      </c>
      <c r="S140" s="33">
        <f t="shared" si="23"/>
        <v>0.71899999999999997</v>
      </c>
      <c r="T140" s="67">
        <f t="shared" si="25"/>
        <v>0.38100000000000001</v>
      </c>
      <c r="U140" s="67">
        <f t="shared" si="24"/>
        <v>0</v>
      </c>
      <c r="V140" s="273"/>
      <c r="W140" s="273"/>
    </row>
    <row r="141" spans="1:23" x14ac:dyDescent="0.25">
      <c r="A141" t="s">
        <v>133</v>
      </c>
      <c r="B141" t="s">
        <v>429</v>
      </c>
      <c r="C141" s="25">
        <f>SUMPRODUCT(VLOOKUP($A141,'PSES Enroll Snapshot 25-01-17'!$K$5:$AB$327,{2,3,4,5,6,7,8,9},0))</f>
        <v>39.799999999999997</v>
      </c>
      <c r="D141" s="25">
        <f>SUMPRODUCT(VLOOKUP($A141,'PSES Enroll Snapshot 25-01-17'!$K$5:$AB$327,{10,11},0))-VLOOKUP($A141,'PSES Enroll Snapshot 25-01-17'!$K$5:$AB$327,12,0)</f>
        <v>13</v>
      </c>
      <c r="E141" s="25">
        <f>SUMPRODUCT(VLOOKUP($A141,'PSES Enroll Snapshot 25-01-17'!$K$5:$AB$327,{13,14},0))-SUMPRODUCT(VLOOKUP($A141,'PSES Enroll Snapshot 25-01-17'!$K$5:$AB$327,{15,16,17},0))</f>
        <v>18.7</v>
      </c>
      <c r="F141" s="33">
        <f>ROUND($C141*'2024-25 Elementary Calculator'!$Q$13/400,3)+ROUND($D141*'2024-25 Middle Calculator'!$O$13/432,3)+ROUND($E141*'2024-25 High Calculator'!$O$13/600,3)</f>
        <v>0.246</v>
      </c>
      <c r="G141" s="33">
        <f>ROUND($C141*'2024-25 Elementary Calculator'!$Q$15/400,3)+ROUND($D141*'2024-25 Middle Calculator'!$O$15/432,3)+ROUND($E141*'2024-25 High Calculator'!$O$15/600,3)</f>
        <v>3.8000000000000006E-2</v>
      </c>
      <c r="H141" s="33">
        <f>ROUND($C141*'2024-25 Elementary Calculator'!$Q$17/400,3)+ROUND($D141*'2024-25 Middle Calculator'!$O$17/432,3)+ROUND($E141*'2024-25 High Calculator'!$O$17/600,3)</f>
        <v>1.2999999999999999E-2</v>
      </c>
      <c r="I141" s="33">
        <f>ROUND($C141*'2024-25 Elementary Calculator'!$Q$18/400,3)+ROUND($D141*'2024-25 Middle Calculator'!$O$18/432,3)+ROUND($E141*'2024-25 High Calculator'!$O$18/600,3)</f>
        <v>0.111</v>
      </c>
      <c r="J141" s="166">
        <f t="shared" si="18"/>
        <v>0.40800000000000003</v>
      </c>
      <c r="K141" s="33">
        <f>ROUND($C141*'2024-25 Elementary Calculator'!$Q$23/400,3)+ROUND($D141*'2024-25 Middle Calculator'!$O$23/432,3)+ROUND($E141*'2024-25 High Calculator'!$O$23/600,3)</f>
        <v>1.4999999999999999E-2</v>
      </c>
      <c r="L141" s="33">
        <f>ROUND($C141*'2024-25 Elementary Calculator'!$Q$22/400,3)+ROUND($D141*'2024-25 Middle Calculator'!$O$22/432,3)+ROUND($E141*'2024-25 High Calculator'!$O$22/600,3)</f>
        <v>8.0000000000000002E-3</v>
      </c>
      <c r="M141" s="166">
        <f t="shared" si="19"/>
        <v>2.3E-2</v>
      </c>
      <c r="N141" s="33">
        <f>VLOOKUP($A141,'District Summary'!$A$6:$AH$325,29,FALSE)</f>
        <v>0.501</v>
      </c>
      <c r="O141" s="33">
        <f>VLOOKUP($A141,'District Summary'!$A$6:$AH$325,34,FALSE)</f>
        <v>0.183</v>
      </c>
      <c r="P141" s="67">
        <f t="shared" si="20"/>
        <v>9.2999999999999972E-2</v>
      </c>
      <c r="Q141" s="67">
        <f t="shared" si="21"/>
        <v>0.16</v>
      </c>
      <c r="R141" s="67">
        <f t="shared" si="22"/>
        <v>0.43100000000000005</v>
      </c>
      <c r="S141" s="33">
        <f t="shared" si="23"/>
        <v>0.68399999999999994</v>
      </c>
      <c r="T141" s="67">
        <f t="shared" si="25"/>
        <v>0.253</v>
      </c>
      <c r="U141" s="67">
        <f t="shared" si="24"/>
        <v>0</v>
      </c>
      <c r="V141" s="273"/>
      <c r="W141" s="273"/>
    </row>
    <row r="142" spans="1:23" x14ac:dyDescent="0.25">
      <c r="A142" t="s">
        <v>134</v>
      </c>
      <c r="B142" t="s">
        <v>430</v>
      </c>
      <c r="C142" s="25">
        <f>SUMPRODUCT(VLOOKUP($A142,'PSES Enroll Snapshot 25-01-17'!$K$5:$AB$327,{2,3,4,5,6,7,8,9},0))</f>
        <v>25</v>
      </c>
      <c r="D142" s="25">
        <f>SUMPRODUCT(VLOOKUP($A142,'PSES Enroll Snapshot 25-01-17'!$K$5:$AB$327,{10,11},0))-VLOOKUP($A142,'PSES Enroll Snapshot 25-01-17'!$K$5:$AB$327,12,0)</f>
        <v>0</v>
      </c>
      <c r="E142" s="25">
        <f>SUMPRODUCT(VLOOKUP($A142,'PSES Enroll Snapshot 25-01-17'!$K$5:$AB$327,{13,14},0))-SUMPRODUCT(VLOOKUP($A142,'PSES Enroll Snapshot 25-01-17'!$K$5:$AB$327,{15,16,17},0))</f>
        <v>0</v>
      </c>
      <c r="F142" s="33">
        <f>ROUND($C142*'2024-25 Elementary Calculator'!$Q$13/400,3)+ROUND($D142*'2024-25 Middle Calculator'!$O$13/432,3)+ROUND($E142*'2024-25 High Calculator'!$O$13/600,3)</f>
        <v>6.2E-2</v>
      </c>
      <c r="G142" s="33">
        <f>ROUND($C142*'2024-25 Elementary Calculator'!$Q$15/400,3)+ROUND($D142*'2024-25 Middle Calculator'!$O$15/432,3)+ROUND($E142*'2024-25 High Calculator'!$O$15/600,3)</f>
        <v>1.9E-2</v>
      </c>
      <c r="H142" s="33">
        <f>ROUND($C142*'2024-25 Elementary Calculator'!$Q$17/400,3)+ROUND($D142*'2024-25 Middle Calculator'!$O$17/432,3)+ROUND($E142*'2024-25 High Calculator'!$O$17/600,3)</f>
        <v>7.0000000000000001E-3</v>
      </c>
      <c r="I142" s="33">
        <f>ROUND($C142*'2024-25 Elementary Calculator'!$Q$18/400,3)+ROUND($D142*'2024-25 Middle Calculator'!$O$18/432,3)+ROUND($E142*'2024-25 High Calculator'!$O$18/600,3)</f>
        <v>3.6999999999999998E-2</v>
      </c>
      <c r="J142" s="166">
        <f t="shared" si="18"/>
        <v>0.125</v>
      </c>
      <c r="K142" s="33">
        <f>ROUND($C142*'2024-25 Elementary Calculator'!$Q$23/400,3)+ROUND($D142*'2024-25 Middle Calculator'!$O$23/432,3)+ROUND($E142*'2024-25 High Calculator'!$O$23/600,3)</f>
        <v>5.0000000000000001E-3</v>
      </c>
      <c r="L142" s="33">
        <f>ROUND($C142*'2024-25 Elementary Calculator'!$Q$22/400,3)+ROUND($D142*'2024-25 Middle Calculator'!$O$22/432,3)+ROUND($E142*'2024-25 High Calculator'!$O$22/600,3)</f>
        <v>5.0000000000000001E-3</v>
      </c>
      <c r="M142" s="166">
        <f t="shared" si="19"/>
        <v>0.01</v>
      </c>
      <c r="N142" s="33">
        <f>VLOOKUP($A142,'District Summary'!$A$6:$AH$325,29,FALSE)</f>
        <v>0</v>
      </c>
      <c r="O142" s="33">
        <f>VLOOKUP($A142,'District Summary'!$A$6:$AH$325,34,FALSE)</f>
        <v>7.3999999999999996E-2</v>
      </c>
      <c r="P142" s="67">
        <f t="shared" si="20"/>
        <v>-0.125</v>
      </c>
      <c r="Q142" s="67">
        <f t="shared" si="21"/>
        <v>6.4000000000000001E-2</v>
      </c>
      <c r="R142" s="67">
        <f t="shared" si="22"/>
        <v>0.13500000000000001</v>
      </c>
      <c r="S142" s="33">
        <f t="shared" si="23"/>
        <v>7.3999999999999996E-2</v>
      </c>
      <c r="T142" s="67">
        <f t="shared" si="25"/>
        <v>-6.0999999999999999E-2</v>
      </c>
      <c r="U142" s="67">
        <f t="shared" si="24"/>
        <v>-6.0999999999999999E-2</v>
      </c>
      <c r="V142" s="273"/>
      <c r="W142" s="273"/>
    </row>
    <row r="143" spans="1:23" x14ac:dyDescent="0.25">
      <c r="A143" t="s">
        <v>135</v>
      </c>
      <c r="B143" t="s">
        <v>431</v>
      </c>
      <c r="C143" s="25">
        <f>SUMPRODUCT(VLOOKUP($A143,'PSES Enroll Snapshot 25-01-17'!$K$5:$AB$327,{2,3,4,5,6,7,8,9},0))</f>
        <v>410.61</v>
      </c>
      <c r="D143" s="25">
        <f>SUMPRODUCT(VLOOKUP($A143,'PSES Enroll Snapshot 25-01-17'!$K$5:$AB$327,{10,11},0))-VLOOKUP($A143,'PSES Enroll Snapshot 25-01-17'!$K$5:$AB$327,12,0)</f>
        <v>130.46</v>
      </c>
      <c r="E143" s="25">
        <f>SUMPRODUCT(VLOOKUP($A143,'PSES Enroll Snapshot 25-01-17'!$K$5:$AB$327,{13,14},0))-SUMPRODUCT(VLOOKUP($A143,'PSES Enroll Snapshot 25-01-17'!$K$5:$AB$327,{15,16,17},0))</f>
        <v>215.65000000000003</v>
      </c>
      <c r="F143" s="33">
        <f>ROUND($C143*'2024-25 Elementary Calculator'!$Q$13/400,3)+ROUND($D143*'2024-25 Middle Calculator'!$O$13/432,3)+ROUND($E143*'2024-25 High Calculator'!$O$13/600,3)</f>
        <v>2.629</v>
      </c>
      <c r="G143" s="33">
        <f>ROUND($C143*'2024-25 Elementary Calculator'!$Q$15/400,3)+ROUND($D143*'2024-25 Middle Calculator'!$O$15/432,3)+ROUND($E143*'2024-25 High Calculator'!$O$15/600,3)</f>
        <v>0.39200000000000002</v>
      </c>
      <c r="H143" s="33">
        <f>ROUND($C143*'2024-25 Elementary Calculator'!$Q$17/400,3)+ROUND($D143*'2024-25 Middle Calculator'!$O$17/432,3)+ROUND($E143*'2024-25 High Calculator'!$O$17/600,3)</f>
        <v>0.13200000000000001</v>
      </c>
      <c r="I143" s="33">
        <f>ROUND($C143*'2024-25 Elementary Calculator'!$Q$18/400,3)+ROUND($D143*'2024-25 Middle Calculator'!$O$18/432,3)+ROUND($E143*'2024-25 High Calculator'!$O$18/600,3)</f>
        <v>1.165</v>
      </c>
      <c r="J143" s="166">
        <f t="shared" si="18"/>
        <v>4.3179999999999996</v>
      </c>
      <c r="K143" s="33">
        <f>ROUND($C143*'2024-25 Elementary Calculator'!$Q$23/400,3)+ROUND($D143*'2024-25 Middle Calculator'!$O$23/432,3)+ROUND($E143*'2024-25 High Calculator'!$O$23/600,3)</f>
        <v>0.16</v>
      </c>
      <c r="L143" s="33">
        <f>ROUND($C143*'2024-25 Elementary Calculator'!$Q$22/400,3)+ROUND($D143*'2024-25 Middle Calculator'!$O$22/432,3)+ROUND($E143*'2024-25 High Calculator'!$O$22/600,3)</f>
        <v>8.5000000000000006E-2</v>
      </c>
      <c r="M143" s="166">
        <f t="shared" si="19"/>
        <v>0.245</v>
      </c>
      <c r="N143" s="33">
        <f>VLOOKUP($A143,'District Summary'!$A$6:$AH$325,29,FALSE)</f>
        <v>2.9499999999999997</v>
      </c>
      <c r="O143" s="33">
        <f>VLOOKUP($A143,'District Summary'!$A$6:$AH$325,34,FALSE)</f>
        <v>0.64300000000000002</v>
      </c>
      <c r="P143" s="67">
        <f t="shared" si="20"/>
        <v>-1.3679999999999999</v>
      </c>
      <c r="Q143" s="67">
        <f t="shared" si="21"/>
        <v>0.39800000000000002</v>
      </c>
      <c r="R143" s="67">
        <f t="shared" si="22"/>
        <v>4.5629999999999997</v>
      </c>
      <c r="S143" s="33">
        <f t="shared" si="23"/>
        <v>3.593</v>
      </c>
      <c r="T143" s="67">
        <f t="shared" si="25"/>
        <v>-0.97</v>
      </c>
      <c r="U143" s="67">
        <f t="shared" si="24"/>
        <v>-0.97</v>
      </c>
      <c r="V143" s="273"/>
      <c r="W143" s="273"/>
    </row>
    <row r="144" spans="1:23" x14ac:dyDescent="0.25">
      <c r="A144" t="s">
        <v>136</v>
      </c>
      <c r="B144" t="s">
        <v>432</v>
      </c>
      <c r="C144" s="25">
        <f>SUMPRODUCT(VLOOKUP($A144,'PSES Enroll Snapshot 25-01-17'!$K$5:$AB$327,{2,3,4,5,6,7,8,9},0))</f>
        <v>512.78</v>
      </c>
      <c r="D144" s="25">
        <f>SUMPRODUCT(VLOOKUP($A144,'PSES Enroll Snapshot 25-01-17'!$K$5:$AB$327,{10,11},0))-VLOOKUP($A144,'PSES Enroll Snapshot 25-01-17'!$K$5:$AB$327,12,0)</f>
        <v>166.78</v>
      </c>
      <c r="E144" s="25">
        <f>SUMPRODUCT(VLOOKUP($A144,'PSES Enroll Snapshot 25-01-17'!$K$5:$AB$327,{13,14},0))-SUMPRODUCT(VLOOKUP($A144,'PSES Enroll Snapshot 25-01-17'!$K$5:$AB$327,{15,16,17},0))</f>
        <v>279.28000000000003</v>
      </c>
      <c r="F144" s="33">
        <f>ROUND($C144*'2024-25 Elementary Calculator'!$Q$13/400,3)+ROUND($D144*'2024-25 Middle Calculator'!$O$13/432,3)+ROUND($E144*'2024-25 High Calculator'!$O$13/600,3)</f>
        <v>3.35</v>
      </c>
      <c r="G144" s="33">
        <f>ROUND($C144*'2024-25 Elementary Calculator'!$Q$15/400,3)+ROUND($D144*'2024-25 Middle Calculator'!$O$15/432,3)+ROUND($E144*'2024-25 High Calculator'!$O$15/600,3)</f>
        <v>0.49200000000000005</v>
      </c>
      <c r="H144" s="33">
        <f>ROUND($C144*'2024-25 Elementary Calculator'!$Q$17/400,3)+ROUND($D144*'2024-25 Middle Calculator'!$O$17/432,3)+ROUND($E144*'2024-25 High Calculator'!$O$17/600,3)</f>
        <v>0.16500000000000001</v>
      </c>
      <c r="I144" s="33">
        <f>ROUND($C144*'2024-25 Elementary Calculator'!$Q$18/400,3)+ROUND($D144*'2024-25 Middle Calculator'!$O$18/432,3)+ROUND($E144*'2024-25 High Calculator'!$O$18/600,3)</f>
        <v>1.4769999999999999</v>
      </c>
      <c r="J144" s="166">
        <f t="shared" si="18"/>
        <v>5.484</v>
      </c>
      <c r="K144" s="33">
        <f>ROUND($C144*'2024-25 Elementary Calculator'!$Q$23/400,3)+ROUND($D144*'2024-25 Middle Calculator'!$O$23/432,3)+ROUND($E144*'2024-25 High Calculator'!$O$23/600,3)</f>
        <v>0.20300000000000001</v>
      </c>
      <c r="L144" s="33">
        <f>ROUND($C144*'2024-25 Elementary Calculator'!$Q$22/400,3)+ROUND($D144*'2024-25 Middle Calculator'!$O$22/432,3)+ROUND($E144*'2024-25 High Calculator'!$O$22/600,3)</f>
        <v>0.106</v>
      </c>
      <c r="M144" s="166">
        <f t="shared" si="19"/>
        <v>0.309</v>
      </c>
      <c r="N144" s="33">
        <f>VLOOKUP($A144,'District Summary'!$A$6:$AH$325,29,FALSE)</f>
        <v>1</v>
      </c>
      <c r="O144" s="33">
        <f>VLOOKUP($A144,'District Summary'!$A$6:$AH$325,34,FALSE)</f>
        <v>2.1240000000000001</v>
      </c>
      <c r="P144" s="67">
        <f t="shared" si="20"/>
        <v>-4.484</v>
      </c>
      <c r="Q144" s="67">
        <f t="shared" si="21"/>
        <v>1.8150000000000002</v>
      </c>
      <c r="R144" s="67">
        <f t="shared" si="22"/>
        <v>5.7930000000000001</v>
      </c>
      <c r="S144" s="33">
        <f t="shared" si="23"/>
        <v>3.1240000000000001</v>
      </c>
      <c r="T144" s="67">
        <f t="shared" si="25"/>
        <v>-2.669</v>
      </c>
      <c r="U144" s="67">
        <f t="shared" si="24"/>
        <v>-2.669</v>
      </c>
      <c r="V144" s="273"/>
      <c r="W144" s="273"/>
    </row>
    <row r="145" spans="1:23" x14ac:dyDescent="0.25">
      <c r="A145" t="s">
        <v>137</v>
      </c>
      <c r="B145" t="s">
        <v>433</v>
      </c>
      <c r="C145" s="25">
        <f>SUMPRODUCT(VLOOKUP($A145,'PSES Enroll Snapshot 25-01-17'!$K$5:$AB$327,{2,3,4,5,6,7,8,9},0))</f>
        <v>108.19999999999999</v>
      </c>
      <c r="D145" s="25">
        <f>SUMPRODUCT(VLOOKUP($A145,'PSES Enroll Snapshot 25-01-17'!$K$5:$AB$327,{10,11},0))-VLOOKUP($A145,'PSES Enroll Snapshot 25-01-17'!$K$5:$AB$327,12,0)</f>
        <v>40.6</v>
      </c>
      <c r="E145" s="25">
        <f>SUMPRODUCT(VLOOKUP($A145,'PSES Enroll Snapshot 25-01-17'!$K$5:$AB$327,{13,14},0))-SUMPRODUCT(VLOOKUP($A145,'PSES Enroll Snapshot 25-01-17'!$K$5:$AB$327,{15,16,17},0))</f>
        <v>40.32</v>
      </c>
      <c r="F145" s="33">
        <f>ROUND($C145*'2024-25 Elementary Calculator'!$Q$13/400,3)+ROUND($D145*'2024-25 Middle Calculator'!$O$13/432,3)+ROUND($E145*'2024-25 High Calculator'!$O$13/600,3)</f>
        <v>0.63400000000000001</v>
      </c>
      <c r="G145" s="33">
        <f>ROUND($C145*'2024-25 Elementary Calculator'!$Q$15/400,3)+ROUND($D145*'2024-25 Middle Calculator'!$O$15/432,3)+ROUND($E145*'2024-25 High Calculator'!$O$15/600,3)</f>
        <v>0.10099999999999999</v>
      </c>
      <c r="H145" s="33">
        <f>ROUND($C145*'2024-25 Elementary Calculator'!$Q$17/400,3)+ROUND($D145*'2024-25 Middle Calculator'!$O$17/432,3)+ROUND($E145*'2024-25 High Calculator'!$O$17/600,3)</f>
        <v>3.3000000000000002E-2</v>
      </c>
      <c r="I145" s="33">
        <f>ROUND($C145*'2024-25 Elementary Calculator'!$Q$18/400,3)+ROUND($D145*'2024-25 Middle Calculator'!$O$18/432,3)+ROUND($E145*'2024-25 High Calculator'!$O$18/600,3)</f>
        <v>0.29599999999999999</v>
      </c>
      <c r="J145" s="166">
        <f t="shared" si="18"/>
        <v>1.0640000000000001</v>
      </c>
      <c r="K145" s="33">
        <f>ROUND($C145*'2024-25 Elementary Calculator'!$Q$23/400,3)+ROUND($D145*'2024-25 Middle Calculator'!$O$23/432,3)+ROUND($E145*'2024-25 High Calculator'!$O$23/600,3)</f>
        <v>3.9E-2</v>
      </c>
      <c r="L145" s="33">
        <f>ROUND($C145*'2024-25 Elementary Calculator'!$Q$22/400,3)+ROUND($D145*'2024-25 Middle Calculator'!$O$22/432,3)+ROUND($E145*'2024-25 High Calculator'!$O$22/600,3)</f>
        <v>2.1999999999999999E-2</v>
      </c>
      <c r="M145" s="166">
        <f t="shared" si="19"/>
        <v>6.0999999999999999E-2</v>
      </c>
      <c r="N145" s="33">
        <f>VLOOKUP($A145,'District Summary'!$A$6:$AH$325,29,FALSE)</f>
        <v>0</v>
      </c>
      <c r="O145" s="33">
        <f>VLOOKUP($A145,'District Summary'!$A$6:$AH$325,34,FALSE)</f>
        <v>0</v>
      </c>
      <c r="P145" s="67">
        <f t="shared" si="20"/>
        <v>-1.0640000000000001</v>
      </c>
      <c r="Q145" s="67">
        <f t="shared" si="21"/>
        <v>-6.0999999999999999E-2</v>
      </c>
      <c r="R145" s="67">
        <f t="shared" si="22"/>
        <v>1.125</v>
      </c>
      <c r="S145" s="33">
        <f t="shared" si="23"/>
        <v>0</v>
      </c>
      <c r="T145" s="67">
        <f t="shared" si="25"/>
        <v>-1.125</v>
      </c>
      <c r="U145" s="67">
        <f t="shared" si="24"/>
        <v>-1.125</v>
      </c>
      <c r="V145" s="273"/>
      <c r="W145" s="273"/>
    </row>
    <row r="146" spans="1:23" x14ac:dyDescent="0.25">
      <c r="A146" t="s">
        <v>138</v>
      </c>
      <c r="B146" t="s">
        <v>434</v>
      </c>
      <c r="C146" s="25">
        <f>SUMPRODUCT(VLOOKUP($A146,'PSES Enroll Snapshot 25-01-17'!$K$5:$AB$327,{2,3,4,5,6,7,8,9},0))</f>
        <v>396.6</v>
      </c>
      <c r="D146" s="25">
        <f>SUMPRODUCT(VLOOKUP($A146,'PSES Enroll Snapshot 25-01-17'!$K$5:$AB$327,{10,11},0))-VLOOKUP($A146,'PSES Enroll Snapshot 25-01-17'!$K$5:$AB$327,12,0)</f>
        <v>91.23</v>
      </c>
      <c r="E146" s="25">
        <f>SUMPRODUCT(VLOOKUP($A146,'PSES Enroll Snapshot 25-01-17'!$K$5:$AB$327,{13,14},0))-SUMPRODUCT(VLOOKUP($A146,'PSES Enroll Snapshot 25-01-17'!$K$5:$AB$327,{15,16,17},0))</f>
        <v>109.51</v>
      </c>
      <c r="F146" s="33">
        <f>ROUND($C146*'2024-25 Elementary Calculator'!$Q$13/400,3)+ROUND($D146*'2024-25 Middle Calculator'!$O$13/432,3)+ROUND($E146*'2024-25 High Calculator'!$O$13/600,3)</f>
        <v>1.9020000000000001</v>
      </c>
      <c r="G146" s="33">
        <f>ROUND($C146*'2024-25 Elementary Calculator'!$Q$15/400,3)+ROUND($D146*'2024-25 Middle Calculator'!$O$15/432,3)+ROUND($E146*'2024-25 High Calculator'!$O$15/600,3)</f>
        <v>0.35000000000000003</v>
      </c>
      <c r="H146" s="33">
        <f>ROUND($C146*'2024-25 Elementary Calculator'!$Q$17/400,3)+ROUND($D146*'2024-25 Middle Calculator'!$O$17/432,3)+ROUND($E146*'2024-25 High Calculator'!$O$17/600,3)</f>
        <v>0.11699999999999999</v>
      </c>
      <c r="I146" s="33">
        <f>ROUND($C146*'2024-25 Elementary Calculator'!$Q$18/400,3)+ROUND($D146*'2024-25 Middle Calculator'!$O$18/432,3)+ROUND($E146*'2024-25 High Calculator'!$O$18/600,3)</f>
        <v>0.91800000000000004</v>
      </c>
      <c r="J146" s="166">
        <f t="shared" si="18"/>
        <v>3.2870000000000004</v>
      </c>
      <c r="K146" s="33">
        <f>ROUND($C146*'2024-25 Elementary Calculator'!$Q$23/400,3)+ROUND($D146*'2024-25 Middle Calculator'!$O$23/432,3)+ROUND($E146*'2024-25 High Calculator'!$O$23/600,3)</f>
        <v>0.123</v>
      </c>
      <c r="L146" s="33">
        <f>ROUND($C146*'2024-25 Elementary Calculator'!$Q$22/400,3)+ROUND($D146*'2024-25 Middle Calculator'!$O$22/432,3)+ROUND($E146*'2024-25 High Calculator'!$O$22/600,3)</f>
        <v>8.2000000000000003E-2</v>
      </c>
      <c r="M146" s="166">
        <f t="shared" si="19"/>
        <v>0.20500000000000002</v>
      </c>
      <c r="N146" s="33">
        <f>VLOOKUP($A146,'District Summary'!$A$6:$AH$325,29,FALSE)</f>
        <v>2.4009999999999998</v>
      </c>
      <c r="O146" s="33">
        <f>VLOOKUP($A146,'District Summary'!$A$6:$AH$325,34,FALSE)</f>
        <v>1.7629999999999999</v>
      </c>
      <c r="P146" s="67">
        <f t="shared" si="20"/>
        <v>-0.88600000000000056</v>
      </c>
      <c r="Q146" s="67">
        <f t="shared" si="21"/>
        <v>1.5579999999999998</v>
      </c>
      <c r="R146" s="67">
        <f t="shared" si="22"/>
        <v>3.4920000000000004</v>
      </c>
      <c r="S146" s="33">
        <f t="shared" si="23"/>
        <v>4.1639999999999997</v>
      </c>
      <c r="T146" s="67">
        <f t="shared" si="25"/>
        <v>0.67200000000000004</v>
      </c>
      <c r="U146" s="67">
        <f t="shared" si="24"/>
        <v>0</v>
      </c>
      <c r="V146" s="273"/>
      <c r="W146" s="273"/>
    </row>
    <row r="147" spans="1:23" x14ac:dyDescent="0.25">
      <c r="A147" t="s">
        <v>139</v>
      </c>
      <c r="B147" t="s">
        <v>435</v>
      </c>
      <c r="C147" s="25">
        <f>SUMPRODUCT(VLOOKUP($A147,'PSES Enroll Snapshot 25-01-17'!$K$5:$AB$327,{2,3,4,5,6,7,8,9},0))</f>
        <v>53.199999999999996</v>
      </c>
      <c r="D147" s="25">
        <f>SUMPRODUCT(VLOOKUP($A147,'PSES Enroll Snapshot 25-01-17'!$K$5:$AB$327,{10,11},0))-VLOOKUP($A147,'PSES Enroll Snapshot 25-01-17'!$K$5:$AB$327,12,0)</f>
        <v>0</v>
      </c>
      <c r="E147" s="25">
        <f>SUMPRODUCT(VLOOKUP($A147,'PSES Enroll Snapshot 25-01-17'!$K$5:$AB$327,{13,14},0))-SUMPRODUCT(VLOOKUP($A147,'PSES Enroll Snapshot 25-01-17'!$K$5:$AB$327,{15,16,17},0))</f>
        <v>0</v>
      </c>
      <c r="F147" s="33">
        <f>ROUND($C147*'2024-25 Elementary Calculator'!$Q$13/400,3)+ROUND($D147*'2024-25 Middle Calculator'!$O$13/432,3)+ROUND($E147*'2024-25 High Calculator'!$O$13/600,3)</f>
        <v>0.13200000000000001</v>
      </c>
      <c r="G147" s="33">
        <f>ROUND($C147*'2024-25 Elementary Calculator'!$Q$15/400,3)+ROUND($D147*'2024-25 Middle Calculator'!$O$15/432,3)+ROUND($E147*'2024-25 High Calculator'!$O$15/600,3)</f>
        <v>4.1000000000000002E-2</v>
      </c>
      <c r="H147" s="33">
        <f>ROUND($C147*'2024-25 Elementary Calculator'!$Q$17/400,3)+ROUND($D147*'2024-25 Middle Calculator'!$O$17/432,3)+ROUND($E147*'2024-25 High Calculator'!$O$17/600,3)</f>
        <v>1.4E-2</v>
      </c>
      <c r="I147" s="33">
        <f>ROUND($C147*'2024-25 Elementary Calculator'!$Q$18/400,3)+ROUND($D147*'2024-25 Middle Calculator'!$O$18/432,3)+ROUND($E147*'2024-25 High Calculator'!$O$18/600,3)</f>
        <v>7.8E-2</v>
      </c>
      <c r="J147" s="166">
        <f t="shared" si="18"/>
        <v>0.26500000000000001</v>
      </c>
      <c r="K147" s="33">
        <f>ROUND($C147*'2024-25 Elementary Calculator'!$Q$23/400,3)+ROUND($D147*'2024-25 Middle Calculator'!$O$23/432,3)+ROUND($E147*'2024-25 High Calculator'!$O$23/600,3)</f>
        <v>1.0999999999999999E-2</v>
      </c>
      <c r="L147" s="33">
        <f>ROUND($C147*'2024-25 Elementary Calculator'!$Q$22/400,3)+ROUND($D147*'2024-25 Middle Calculator'!$O$22/432,3)+ROUND($E147*'2024-25 High Calculator'!$O$22/600,3)</f>
        <v>1.0999999999999999E-2</v>
      </c>
      <c r="M147" s="166">
        <f t="shared" si="19"/>
        <v>2.1999999999999999E-2</v>
      </c>
      <c r="N147" s="33">
        <f>VLOOKUP($A147,'District Summary'!$A$6:$AH$325,29,FALSE)</f>
        <v>0.128</v>
      </c>
      <c r="O147" s="33">
        <f>VLOOKUP($A147,'District Summary'!$A$6:$AH$325,34,FALSE)</f>
        <v>0.58000000000000007</v>
      </c>
      <c r="P147" s="67">
        <f t="shared" si="20"/>
        <v>-0.13700000000000001</v>
      </c>
      <c r="Q147" s="67">
        <f t="shared" si="21"/>
        <v>0.55800000000000005</v>
      </c>
      <c r="R147" s="67">
        <f t="shared" si="22"/>
        <v>0.28700000000000003</v>
      </c>
      <c r="S147" s="33">
        <f t="shared" si="23"/>
        <v>0.70800000000000007</v>
      </c>
      <c r="T147" s="67">
        <f t="shared" si="25"/>
        <v>0.42099999999999999</v>
      </c>
      <c r="U147" s="67">
        <f t="shared" si="24"/>
        <v>0</v>
      </c>
      <c r="V147" s="273"/>
      <c r="W147" s="273"/>
    </row>
    <row r="148" spans="1:23" x14ac:dyDescent="0.25">
      <c r="A148" t="s">
        <v>140</v>
      </c>
      <c r="B148" t="s">
        <v>436</v>
      </c>
      <c r="C148" s="25">
        <f>SUMPRODUCT(VLOOKUP($A148,'PSES Enroll Snapshot 25-01-17'!$K$5:$AB$327,{2,3,4,5,6,7,8,9},0))</f>
        <v>347</v>
      </c>
      <c r="D148" s="25">
        <f>SUMPRODUCT(VLOOKUP($A148,'PSES Enroll Snapshot 25-01-17'!$K$5:$AB$327,{10,11},0))-VLOOKUP($A148,'PSES Enroll Snapshot 25-01-17'!$K$5:$AB$327,12,0)</f>
        <v>80.819999999999993</v>
      </c>
      <c r="E148" s="25">
        <f>SUMPRODUCT(VLOOKUP($A148,'PSES Enroll Snapshot 25-01-17'!$K$5:$AB$327,{13,14},0))-SUMPRODUCT(VLOOKUP($A148,'PSES Enroll Snapshot 25-01-17'!$K$5:$AB$327,{15,16,17},0))</f>
        <v>127.71000000000001</v>
      </c>
      <c r="F148" s="33">
        <f>ROUND($C148*'2024-25 Elementary Calculator'!$Q$13/400,3)+ROUND($D148*'2024-25 Middle Calculator'!$O$13/432,3)+ROUND($E148*'2024-25 High Calculator'!$O$13/600,3)</f>
        <v>1.829</v>
      </c>
      <c r="G148" s="33">
        <f>ROUND($C148*'2024-25 Elementary Calculator'!$Q$15/400,3)+ROUND($D148*'2024-25 Middle Calculator'!$O$15/432,3)+ROUND($E148*'2024-25 High Calculator'!$O$15/600,3)</f>
        <v>0.31300000000000006</v>
      </c>
      <c r="H148" s="33">
        <f>ROUND($C148*'2024-25 Elementary Calculator'!$Q$17/400,3)+ROUND($D148*'2024-25 Middle Calculator'!$O$17/432,3)+ROUND($E148*'2024-25 High Calculator'!$O$17/600,3)</f>
        <v>0.104</v>
      </c>
      <c r="I148" s="33">
        <f>ROUND($C148*'2024-25 Elementary Calculator'!$Q$18/400,3)+ROUND($D148*'2024-25 Middle Calculator'!$O$18/432,3)+ROUND($E148*'2024-25 High Calculator'!$O$18/600,3)</f>
        <v>0.84800000000000009</v>
      </c>
      <c r="J148" s="166">
        <f t="shared" si="18"/>
        <v>3.0940000000000003</v>
      </c>
      <c r="K148" s="33">
        <f>ROUND($C148*'2024-25 Elementary Calculator'!$Q$23/400,3)+ROUND($D148*'2024-25 Middle Calculator'!$O$23/432,3)+ROUND($E148*'2024-25 High Calculator'!$O$23/600,3)</f>
        <v>0.11600000000000001</v>
      </c>
      <c r="L148" s="33">
        <f>ROUND($C148*'2024-25 Elementary Calculator'!$Q$22/400,3)+ROUND($D148*'2024-25 Middle Calculator'!$O$22/432,3)+ROUND($E148*'2024-25 High Calculator'!$O$22/600,3)</f>
        <v>7.1999999999999995E-2</v>
      </c>
      <c r="M148" s="166">
        <f t="shared" si="19"/>
        <v>0.188</v>
      </c>
      <c r="N148" s="33">
        <f>VLOOKUP($A148,'District Summary'!$A$6:$AH$325,29,FALSE)</f>
        <v>2.5940000000000003</v>
      </c>
      <c r="O148" s="33">
        <f>VLOOKUP($A148,'District Summary'!$A$6:$AH$325,34,FALSE)</f>
        <v>1.7509999999999999</v>
      </c>
      <c r="P148" s="67">
        <f t="shared" si="20"/>
        <v>-0.5</v>
      </c>
      <c r="Q148" s="67">
        <f t="shared" si="21"/>
        <v>1.5629999999999999</v>
      </c>
      <c r="R148" s="67">
        <f t="shared" si="22"/>
        <v>3.2820000000000005</v>
      </c>
      <c r="S148" s="33">
        <f t="shared" si="23"/>
        <v>4.3450000000000006</v>
      </c>
      <c r="T148" s="67">
        <f t="shared" si="25"/>
        <v>1.0629999999999999</v>
      </c>
      <c r="U148" s="67">
        <f t="shared" si="24"/>
        <v>0</v>
      </c>
      <c r="V148" s="273"/>
      <c r="W148" s="273"/>
    </row>
    <row r="149" spans="1:23" x14ac:dyDescent="0.25">
      <c r="A149" t="s">
        <v>141</v>
      </c>
      <c r="B149" t="s">
        <v>437</v>
      </c>
      <c r="C149" s="25">
        <f>SUMPRODUCT(VLOOKUP($A149,'PSES Enroll Snapshot 25-01-17'!$K$5:$AB$327,{2,3,4,5,6,7,8,9},0))</f>
        <v>236.89999999999998</v>
      </c>
      <c r="D149" s="25">
        <f>SUMPRODUCT(VLOOKUP($A149,'PSES Enroll Snapshot 25-01-17'!$K$5:$AB$327,{10,11},0))-VLOOKUP($A149,'PSES Enroll Snapshot 25-01-17'!$K$5:$AB$327,12,0)</f>
        <v>14.060000000000002</v>
      </c>
      <c r="E149" s="25">
        <f>SUMPRODUCT(VLOOKUP($A149,'PSES Enroll Snapshot 25-01-17'!$K$5:$AB$327,{13,14},0))-SUMPRODUCT(VLOOKUP($A149,'PSES Enroll Snapshot 25-01-17'!$K$5:$AB$327,{15,16,17},0))</f>
        <v>25.909999999999997</v>
      </c>
      <c r="F149" s="33">
        <f>ROUND($C149*'2024-25 Elementary Calculator'!$Q$13/400,3)+ROUND($D149*'2024-25 Middle Calculator'!$O$13/432,3)+ROUND($E149*'2024-25 High Calculator'!$O$13/600,3)</f>
        <v>0.77500000000000002</v>
      </c>
      <c r="G149" s="33">
        <f>ROUND($C149*'2024-25 Elementary Calculator'!$Q$15/400,3)+ROUND($D149*'2024-25 Middle Calculator'!$O$15/432,3)+ROUND($E149*'2024-25 High Calculator'!$O$15/600,3)</f>
        <v>0.192</v>
      </c>
      <c r="H149" s="33">
        <f>ROUND($C149*'2024-25 Elementary Calculator'!$Q$17/400,3)+ROUND($D149*'2024-25 Middle Calculator'!$O$17/432,3)+ROUND($E149*'2024-25 High Calculator'!$O$17/600,3)</f>
        <v>6.5000000000000002E-2</v>
      </c>
      <c r="I149" s="33">
        <f>ROUND($C149*'2024-25 Elementary Calculator'!$Q$18/400,3)+ROUND($D149*'2024-25 Middle Calculator'!$O$18/432,3)+ROUND($E149*'2024-25 High Calculator'!$O$18/600,3)</f>
        <v>0.41099999999999998</v>
      </c>
      <c r="J149" s="166">
        <f t="shared" si="18"/>
        <v>1.4430000000000001</v>
      </c>
      <c r="K149" s="33">
        <f>ROUND($C149*'2024-25 Elementary Calculator'!$Q$23/400,3)+ROUND($D149*'2024-25 Middle Calculator'!$O$23/432,3)+ROUND($E149*'2024-25 High Calculator'!$O$23/600,3)</f>
        <v>5.6000000000000001E-2</v>
      </c>
      <c r="L149" s="33">
        <f>ROUND($C149*'2024-25 Elementary Calculator'!$Q$22/400,3)+ROUND($D149*'2024-25 Middle Calculator'!$O$22/432,3)+ROUND($E149*'2024-25 High Calculator'!$O$22/600,3)</f>
        <v>4.9000000000000002E-2</v>
      </c>
      <c r="M149" s="166">
        <f t="shared" si="19"/>
        <v>0.10500000000000001</v>
      </c>
      <c r="N149" s="33">
        <f>VLOOKUP($A149,'District Summary'!$A$6:$AH$325,29,FALSE)</f>
        <v>3.3710000000000009</v>
      </c>
      <c r="O149" s="33">
        <f>VLOOKUP($A149,'District Summary'!$A$6:$AH$325,34,FALSE)</f>
        <v>0</v>
      </c>
      <c r="P149" s="67">
        <f t="shared" si="20"/>
        <v>1.9280000000000008</v>
      </c>
      <c r="Q149" s="67">
        <f t="shared" si="21"/>
        <v>-0.10500000000000001</v>
      </c>
      <c r="R149" s="67">
        <f t="shared" si="22"/>
        <v>1.548</v>
      </c>
      <c r="S149" s="33">
        <f t="shared" si="23"/>
        <v>3.3710000000000009</v>
      </c>
      <c r="T149" s="67">
        <f t="shared" si="25"/>
        <v>1.823</v>
      </c>
      <c r="U149" s="67">
        <f t="shared" si="24"/>
        <v>0</v>
      </c>
      <c r="V149" s="273"/>
      <c r="W149" s="273"/>
    </row>
    <row r="150" spans="1:23" x14ac:dyDescent="0.25">
      <c r="A150" t="s">
        <v>142</v>
      </c>
      <c r="B150" t="s">
        <v>438</v>
      </c>
      <c r="C150" s="25">
        <f>SUMPRODUCT(VLOOKUP($A150,'PSES Enroll Snapshot 25-01-17'!$K$5:$AB$327,{2,3,4,5,6,7,8,9},0))</f>
        <v>292.09000000000003</v>
      </c>
      <c r="D150" s="25">
        <f>SUMPRODUCT(VLOOKUP($A150,'PSES Enroll Snapshot 25-01-17'!$K$5:$AB$327,{10,11},0))-VLOOKUP($A150,'PSES Enroll Snapshot 25-01-17'!$K$5:$AB$327,12,0)</f>
        <v>86.96</v>
      </c>
      <c r="E150" s="25">
        <f>SUMPRODUCT(VLOOKUP($A150,'PSES Enroll Snapshot 25-01-17'!$K$5:$AB$327,{13,14},0))-SUMPRODUCT(VLOOKUP($A150,'PSES Enroll Snapshot 25-01-17'!$K$5:$AB$327,{15,16,17},0))</f>
        <v>152.06</v>
      </c>
      <c r="F150" s="33">
        <f>ROUND($C150*'2024-25 Elementary Calculator'!$Q$13/400,3)+ROUND($D150*'2024-25 Middle Calculator'!$O$13/432,3)+ROUND($E150*'2024-25 High Calculator'!$O$13/600,3)</f>
        <v>1.8399999999999999</v>
      </c>
      <c r="G150" s="33">
        <f>ROUND($C150*'2024-25 Elementary Calculator'!$Q$15/400,3)+ROUND($D150*'2024-25 Middle Calculator'!$O$15/432,3)+ROUND($E150*'2024-25 High Calculator'!$O$15/600,3)</f>
        <v>0.27700000000000002</v>
      </c>
      <c r="H150" s="33">
        <f>ROUND($C150*'2024-25 Elementary Calculator'!$Q$17/400,3)+ROUND($D150*'2024-25 Middle Calculator'!$O$17/432,3)+ROUND($E150*'2024-25 High Calculator'!$O$17/600,3)</f>
        <v>9.2999999999999999E-2</v>
      </c>
      <c r="I150" s="33">
        <f>ROUND($C150*'2024-25 Elementary Calculator'!$Q$18/400,3)+ROUND($D150*'2024-25 Middle Calculator'!$O$18/432,3)+ROUND($E150*'2024-25 High Calculator'!$O$18/600,3)</f>
        <v>0.81499999999999995</v>
      </c>
      <c r="J150" s="166">
        <f t="shared" si="18"/>
        <v>3.0249999999999999</v>
      </c>
      <c r="K150" s="33">
        <f>ROUND($C150*'2024-25 Elementary Calculator'!$Q$23/400,3)+ROUND($D150*'2024-25 Middle Calculator'!$O$23/432,3)+ROUND($E150*'2024-25 High Calculator'!$O$23/600,3)</f>
        <v>0.11299999999999999</v>
      </c>
      <c r="L150" s="33">
        <f>ROUND($C150*'2024-25 Elementary Calculator'!$Q$22/400,3)+ROUND($D150*'2024-25 Middle Calculator'!$O$22/432,3)+ROUND($E150*'2024-25 High Calculator'!$O$22/600,3)</f>
        <v>0.06</v>
      </c>
      <c r="M150" s="166">
        <f t="shared" si="19"/>
        <v>0.17299999999999999</v>
      </c>
      <c r="N150" s="33">
        <f>VLOOKUP($A150,'District Summary'!$A$6:$AH$325,29,FALSE)</f>
        <v>1.589</v>
      </c>
      <c r="O150" s="33">
        <f>VLOOKUP($A150,'District Summary'!$A$6:$AH$325,34,FALSE)</f>
        <v>1.889</v>
      </c>
      <c r="P150" s="67">
        <f t="shared" si="20"/>
        <v>-1.4359999999999999</v>
      </c>
      <c r="Q150" s="67">
        <f t="shared" si="21"/>
        <v>1.716</v>
      </c>
      <c r="R150" s="67">
        <f t="shared" si="22"/>
        <v>3.198</v>
      </c>
      <c r="S150" s="33">
        <f t="shared" si="23"/>
        <v>3.4779999999999998</v>
      </c>
      <c r="T150" s="67">
        <f t="shared" si="25"/>
        <v>0.28000000000000003</v>
      </c>
      <c r="U150" s="67">
        <f t="shared" si="24"/>
        <v>0</v>
      </c>
      <c r="V150" s="273"/>
      <c r="W150" s="273"/>
    </row>
    <row r="151" spans="1:23" x14ac:dyDescent="0.25">
      <c r="A151" t="s">
        <v>143</v>
      </c>
      <c r="B151" t="s">
        <v>439</v>
      </c>
      <c r="C151" s="25">
        <f>SUMPRODUCT(VLOOKUP($A151,'PSES Enroll Snapshot 25-01-17'!$K$5:$AB$327,{2,3,4,5,6,7,8,9},0))</f>
        <v>435.59999999999997</v>
      </c>
      <c r="D151" s="25">
        <f>SUMPRODUCT(VLOOKUP($A151,'PSES Enroll Snapshot 25-01-17'!$K$5:$AB$327,{10,11},0))-VLOOKUP($A151,'PSES Enroll Snapshot 25-01-17'!$K$5:$AB$327,12,0)</f>
        <v>101.45</v>
      </c>
      <c r="E151" s="25">
        <f>SUMPRODUCT(VLOOKUP($A151,'PSES Enroll Snapshot 25-01-17'!$K$5:$AB$327,{13,14},0))-SUMPRODUCT(VLOOKUP($A151,'PSES Enroll Snapshot 25-01-17'!$K$5:$AB$327,{15,16,17},0))</f>
        <v>127.79</v>
      </c>
      <c r="F151" s="33">
        <f>ROUND($C151*'2024-25 Elementary Calculator'!$Q$13/400,3)+ROUND($D151*'2024-25 Middle Calculator'!$O$13/432,3)+ROUND($E151*'2024-25 High Calculator'!$O$13/600,3)</f>
        <v>2.1310000000000002</v>
      </c>
      <c r="G151" s="33">
        <f>ROUND($C151*'2024-25 Elementary Calculator'!$Q$15/400,3)+ROUND($D151*'2024-25 Middle Calculator'!$O$15/432,3)+ROUND($E151*'2024-25 High Calculator'!$O$15/600,3)</f>
        <v>0.38700000000000007</v>
      </c>
      <c r="H151" s="33">
        <f>ROUND($C151*'2024-25 Elementary Calculator'!$Q$17/400,3)+ROUND($D151*'2024-25 Middle Calculator'!$O$17/432,3)+ROUND($E151*'2024-25 High Calculator'!$O$17/600,3)</f>
        <v>0.129</v>
      </c>
      <c r="I151" s="33">
        <f>ROUND($C151*'2024-25 Elementary Calculator'!$Q$18/400,3)+ROUND($D151*'2024-25 Middle Calculator'!$O$18/432,3)+ROUND($E151*'2024-25 High Calculator'!$O$18/600,3)</f>
        <v>1.0209999999999999</v>
      </c>
      <c r="J151" s="166">
        <f t="shared" si="18"/>
        <v>3.6680000000000001</v>
      </c>
      <c r="K151" s="33">
        <f>ROUND($C151*'2024-25 Elementary Calculator'!$Q$23/400,3)+ROUND($D151*'2024-25 Middle Calculator'!$O$23/432,3)+ROUND($E151*'2024-25 High Calculator'!$O$23/600,3)</f>
        <v>0.13799999999999998</v>
      </c>
      <c r="L151" s="33">
        <f>ROUND($C151*'2024-25 Elementary Calculator'!$Q$22/400,3)+ROUND($D151*'2024-25 Middle Calculator'!$O$22/432,3)+ROUND($E151*'2024-25 High Calculator'!$O$22/600,3)</f>
        <v>0.09</v>
      </c>
      <c r="M151" s="166">
        <f t="shared" si="19"/>
        <v>0.22799999999999998</v>
      </c>
      <c r="N151" s="33">
        <f>VLOOKUP($A151,'District Summary'!$A$6:$AH$325,29,FALSE)</f>
        <v>2.9580000000000002</v>
      </c>
      <c r="O151" s="33">
        <f>VLOOKUP($A151,'District Summary'!$A$6:$AH$325,34,FALSE)</f>
        <v>0.45800000000000002</v>
      </c>
      <c r="P151" s="67">
        <f t="shared" si="20"/>
        <v>-0.71</v>
      </c>
      <c r="Q151" s="67">
        <f t="shared" si="21"/>
        <v>0.23000000000000004</v>
      </c>
      <c r="R151" s="67">
        <f t="shared" si="22"/>
        <v>3.8959999999999999</v>
      </c>
      <c r="S151" s="33">
        <f t="shared" si="23"/>
        <v>3.4160000000000004</v>
      </c>
      <c r="T151" s="67">
        <f t="shared" si="25"/>
        <v>-0.48</v>
      </c>
      <c r="U151" s="67">
        <f t="shared" si="24"/>
        <v>-0.48</v>
      </c>
      <c r="V151" s="273"/>
      <c r="W151" s="273"/>
    </row>
    <row r="152" spans="1:23" x14ac:dyDescent="0.25">
      <c r="A152" t="s">
        <v>144</v>
      </c>
      <c r="B152" t="s">
        <v>440</v>
      </c>
      <c r="C152" s="25">
        <f>SUMPRODUCT(VLOOKUP($A152,'PSES Enroll Snapshot 25-01-17'!$K$5:$AB$327,{2,3,4,5,6,7,8,9},0))</f>
        <v>62.24</v>
      </c>
      <c r="D152" s="25">
        <f>SUMPRODUCT(VLOOKUP($A152,'PSES Enroll Snapshot 25-01-17'!$K$5:$AB$327,{10,11},0))-VLOOKUP($A152,'PSES Enroll Snapshot 25-01-17'!$K$5:$AB$327,12,0)</f>
        <v>10.94</v>
      </c>
      <c r="E152" s="25">
        <f>SUMPRODUCT(VLOOKUP($A152,'PSES Enroll Snapshot 25-01-17'!$K$5:$AB$327,{13,14},0))-SUMPRODUCT(VLOOKUP($A152,'PSES Enroll Snapshot 25-01-17'!$K$5:$AB$327,{15,16,17},0))</f>
        <v>0</v>
      </c>
      <c r="F152" s="33">
        <f>ROUND($C152*'2024-25 Elementary Calculator'!$Q$13/400,3)+ROUND($D152*'2024-25 Middle Calculator'!$O$13/432,3)+ROUND($E152*'2024-25 High Calculator'!$O$13/600,3)</f>
        <v>0.19800000000000001</v>
      </c>
      <c r="G152" s="33">
        <f>ROUND($C152*'2024-25 Elementary Calculator'!$Q$15/400,3)+ROUND($D152*'2024-25 Middle Calculator'!$O$15/432,3)+ROUND($E152*'2024-25 High Calculator'!$O$15/600,3)</f>
        <v>0.05</v>
      </c>
      <c r="H152" s="33">
        <f>ROUND($C152*'2024-25 Elementary Calculator'!$Q$17/400,3)+ROUND($D152*'2024-25 Middle Calculator'!$O$17/432,3)+ROUND($E152*'2024-25 High Calculator'!$O$17/600,3)</f>
        <v>1.7000000000000001E-2</v>
      </c>
      <c r="I152" s="33">
        <f>ROUND($C152*'2024-25 Elementary Calculator'!$Q$18/400,3)+ROUND($D152*'2024-25 Middle Calculator'!$O$18/432,3)+ROUND($E152*'2024-25 High Calculator'!$O$18/600,3)</f>
        <v>0.11299999999999999</v>
      </c>
      <c r="J152" s="166">
        <f t="shared" si="18"/>
        <v>0.378</v>
      </c>
      <c r="K152" s="33">
        <f>ROUND($C152*'2024-25 Elementary Calculator'!$Q$23/400,3)+ROUND($D152*'2024-25 Middle Calculator'!$O$23/432,3)+ROUND($E152*'2024-25 High Calculator'!$O$23/600,3)</f>
        <v>1.4E-2</v>
      </c>
      <c r="L152" s="33">
        <f>ROUND($C152*'2024-25 Elementary Calculator'!$Q$22/400,3)+ROUND($D152*'2024-25 Middle Calculator'!$O$22/432,3)+ROUND($E152*'2024-25 High Calculator'!$O$22/600,3)</f>
        <v>1.2999999999999999E-2</v>
      </c>
      <c r="M152" s="166">
        <f t="shared" si="19"/>
        <v>2.7E-2</v>
      </c>
      <c r="N152" s="33">
        <f>VLOOKUP($A152,'District Summary'!$A$6:$AH$325,29,FALSE)</f>
        <v>0</v>
      </c>
      <c r="O152" s="33">
        <f>VLOOKUP($A152,'District Summary'!$A$6:$AH$325,34,FALSE)</f>
        <v>7.0000000000000007E-2</v>
      </c>
      <c r="P152" s="67">
        <f t="shared" si="20"/>
        <v>-0.378</v>
      </c>
      <c r="Q152" s="67">
        <f t="shared" si="21"/>
        <v>4.300000000000001E-2</v>
      </c>
      <c r="R152" s="67">
        <f t="shared" si="22"/>
        <v>0.40500000000000003</v>
      </c>
      <c r="S152" s="33">
        <f t="shared" si="23"/>
        <v>7.0000000000000007E-2</v>
      </c>
      <c r="T152" s="67">
        <f t="shared" si="25"/>
        <v>-0.33500000000000002</v>
      </c>
      <c r="U152" s="67">
        <f t="shared" si="24"/>
        <v>-0.33500000000000002</v>
      </c>
      <c r="V152" s="273"/>
      <c r="W152" s="273"/>
    </row>
    <row r="153" spans="1:23" x14ac:dyDescent="0.25">
      <c r="A153" t="s">
        <v>145</v>
      </c>
      <c r="B153" t="s">
        <v>441</v>
      </c>
      <c r="C153" s="25">
        <f>SUMPRODUCT(VLOOKUP($A153,'PSES Enroll Snapshot 25-01-17'!$K$5:$AB$327,{2,3,4,5,6,7,8,9},0))</f>
        <v>505</v>
      </c>
      <c r="D153" s="25">
        <f>SUMPRODUCT(VLOOKUP($A153,'PSES Enroll Snapshot 25-01-17'!$K$5:$AB$327,{10,11},0))-VLOOKUP($A153,'PSES Enroll Snapshot 25-01-17'!$K$5:$AB$327,12,0)</f>
        <v>91.63</v>
      </c>
      <c r="E153" s="25">
        <f>SUMPRODUCT(VLOOKUP($A153,'PSES Enroll Snapshot 25-01-17'!$K$5:$AB$327,{13,14},0))-SUMPRODUCT(VLOOKUP($A153,'PSES Enroll Snapshot 25-01-17'!$K$5:$AB$327,{15,16,17},0))</f>
        <v>152.66</v>
      </c>
      <c r="F153" s="33">
        <f>ROUND($C153*'2024-25 Elementary Calculator'!$Q$13/400,3)+ROUND($D153*'2024-25 Middle Calculator'!$O$13/432,3)+ROUND($E153*'2024-25 High Calculator'!$O$13/600,3)</f>
        <v>2.391</v>
      </c>
      <c r="G153" s="33">
        <f>ROUND($C153*'2024-25 Elementary Calculator'!$Q$15/400,3)+ROUND($D153*'2024-25 Middle Calculator'!$O$15/432,3)+ROUND($E153*'2024-25 High Calculator'!$O$15/600,3)</f>
        <v>0.44400000000000006</v>
      </c>
      <c r="H153" s="33">
        <f>ROUND($C153*'2024-25 Elementary Calculator'!$Q$17/400,3)+ROUND($D153*'2024-25 Middle Calculator'!$O$17/432,3)+ROUND($E153*'2024-25 High Calculator'!$O$17/600,3)</f>
        <v>0.14800000000000002</v>
      </c>
      <c r="I153" s="33">
        <f>ROUND($C153*'2024-25 Elementary Calculator'!$Q$18/400,3)+ROUND($D153*'2024-25 Middle Calculator'!$O$18/432,3)+ROUND($E153*'2024-25 High Calculator'!$O$18/600,3)</f>
        <v>1.137</v>
      </c>
      <c r="J153" s="166">
        <f t="shared" si="18"/>
        <v>4.12</v>
      </c>
      <c r="K153" s="33">
        <f>ROUND($C153*'2024-25 Elementary Calculator'!$Q$23/400,3)+ROUND($D153*'2024-25 Middle Calculator'!$O$23/432,3)+ROUND($E153*'2024-25 High Calculator'!$O$23/600,3)</f>
        <v>0.156</v>
      </c>
      <c r="L153" s="33">
        <f>ROUND($C153*'2024-25 Elementary Calculator'!$Q$22/400,3)+ROUND($D153*'2024-25 Middle Calculator'!$O$22/432,3)+ROUND($E153*'2024-25 High Calculator'!$O$22/600,3)</f>
        <v>0.104</v>
      </c>
      <c r="M153" s="166">
        <f t="shared" si="19"/>
        <v>0.26</v>
      </c>
      <c r="N153" s="33">
        <f>VLOOKUP($A153,'District Summary'!$A$6:$AH$325,29,FALSE)</f>
        <v>2.7269999999999999</v>
      </c>
      <c r="O153" s="33">
        <f>VLOOKUP($A153,'District Summary'!$A$6:$AH$325,34,FALSE)</f>
        <v>2.8659999999999997</v>
      </c>
      <c r="P153" s="67">
        <f t="shared" si="20"/>
        <v>-1.3930000000000002</v>
      </c>
      <c r="Q153" s="67">
        <f t="shared" si="21"/>
        <v>2.6059999999999999</v>
      </c>
      <c r="R153" s="67">
        <f t="shared" si="22"/>
        <v>4.38</v>
      </c>
      <c r="S153" s="33">
        <f t="shared" si="23"/>
        <v>5.593</v>
      </c>
      <c r="T153" s="67">
        <f t="shared" si="25"/>
        <v>1.2130000000000001</v>
      </c>
      <c r="U153" s="67">
        <f t="shared" si="24"/>
        <v>0</v>
      </c>
      <c r="V153" s="273"/>
      <c r="W153" s="273"/>
    </row>
    <row r="154" spans="1:23" x14ac:dyDescent="0.25">
      <c r="A154" t="s">
        <v>146</v>
      </c>
      <c r="B154" t="s">
        <v>442</v>
      </c>
      <c r="C154" s="25">
        <f>SUMPRODUCT(VLOOKUP($A154,'PSES Enroll Snapshot 25-01-17'!$K$5:$AB$327,{2,3,4,5,6,7,8,9},0))</f>
        <v>460.96</v>
      </c>
      <c r="D154" s="25">
        <f>SUMPRODUCT(VLOOKUP($A154,'PSES Enroll Snapshot 25-01-17'!$K$5:$AB$327,{10,11},0))-VLOOKUP($A154,'PSES Enroll Snapshot 25-01-17'!$K$5:$AB$327,12,0)</f>
        <v>115.13</v>
      </c>
      <c r="E154" s="25">
        <f>SUMPRODUCT(VLOOKUP($A154,'PSES Enroll Snapshot 25-01-17'!$K$5:$AB$327,{13,14},0))-SUMPRODUCT(VLOOKUP($A154,'PSES Enroll Snapshot 25-01-17'!$K$5:$AB$327,{15,16,17},0))</f>
        <v>139.69</v>
      </c>
      <c r="F154" s="33">
        <f>ROUND($C154*'2024-25 Elementary Calculator'!$Q$13/400,3)+ROUND($D154*'2024-25 Middle Calculator'!$O$13/432,3)+ROUND($E154*'2024-25 High Calculator'!$O$13/600,3)</f>
        <v>2.3090000000000002</v>
      </c>
      <c r="G154" s="33">
        <f>ROUND($C154*'2024-25 Elementary Calculator'!$Q$15/400,3)+ROUND($D154*'2024-25 Middle Calculator'!$O$15/432,3)+ROUND($E154*'2024-25 High Calculator'!$O$15/600,3)</f>
        <v>0.41100000000000003</v>
      </c>
      <c r="H154" s="33">
        <f>ROUND($C154*'2024-25 Elementary Calculator'!$Q$17/400,3)+ROUND($D154*'2024-25 Middle Calculator'!$O$17/432,3)+ROUND($E154*'2024-25 High Calculator'!$O$17/600,3)</f>
        <v>0.13700000000000001</v>
      </c>
      <c r="I154" s="33">
        <f>ROUND($C154*'2024-25 Elementary Calculator'!$Q$18/400,3)+ROUND($D154*'2024-25 Middle Calculator'!$O$18/432,3)+ROUND($E154*'2024-25 High Calculator'!$O$18/600,3)</f>
        <v>1.103</v>
      </c>
      <c r="J154" s="166">
        <f t="shared" si="18"/>
        <v>3.96</v>
      </c>
      <c r="K154" s="33">
        <f>ROUND($C154*'2024-25 Elementary Calculator'!$Q$23/400,3)+ROUND($D154*'2024-25 Middle Calculator'!$O$23/432,3)+ROUND($E154*'2024-25 High Calculator'!$O$23/600,3)</f>
        <v>0.14899999999999999</v>
      </c>
      <c r="L154" s="33">
        <f>ROUND($C154*'2024-25 Elementary Calculator'!$Q$22/400,3)+ROUND($D154*'2024-25 Middle Calculator'!$O$22/432,3)+ROUND($E154*'2024-25 High Calculator'!$O$22/600,3)</f>
        <v>9.5000000000000001E-2</v>
      </c>
      <c r="M154" s="166">
        <f t="shared" si="19"/>
        <v>0.24399999999999999</v>
      </c>
      <c r="N154" s="33">
        <f>VLOOKUP($A154,'District Summary'!$A$6:$AH$325,29,FALSE)</f>
        <v>3.8650000000000002</v>
      </c>
      <c r="O154" s="33">
        <f>VLOOKUP($A154,'District Summary'!$A$6:$AH$325,34,FALSE)</f>
        <v>0.79200000000000004</v>
      </c>
      <c r="P154" s="67">
        <f t="shared" si="20"/>
        <v>-9.4999999999999751E-2</v>
      </c>
      <c r="Q154" s="67">
        <f t="shared" si="21"/>
        <v>0.54800000000000004</v>
      </c>
      <c r="R154" s="67">
        <f t="shared" si="22"/>
        <v>4.2039999999999997</v>
      </c>
      <c r="S154" s="33">
        <f t="shared" si="23"/>
        <v>4.657</v>
      </c>
      <c r="T154" s="67">
        <f t="shared" si="25"/>
        <v>0.45300000000000001</v>
      </c>
      <c r="U154" s="67">
        <f t="shared" si="24"/>
        <v>0</v>
      </c>
      <c r="V154" s="273"/>
      <c r="W154" s="273"/>
    </row>
    <row r="155" spans="1:23" x14ac:dyDescent="0.25">
      <c r="A155" t="s">
        <v>147</v>
      </c>
      <c r="B155" t="s">
        <v>443</v>
      </c>
      <c r="C155" s="25">
        <f>SUMPRODUCT(VLOOKUP($A155,'PSES Enroll Snapshot 25-01-17'!$K$5:$AB$327,{2,3,4,5,6,7,8,9},0))</f>
        <v>166.39999999999998</v>
      </c>
      <c r="D155" s="25">
        <f>SUMPRODUCT(VLOOKUP($A155,'PSES Enroll Snapshot 25-01-17'!$K$5:$AB$327,{10,11},0))-VLOOKUP($A155,'PSES Enroll Snapshot 25-01-17'!$K$5:$AB$327,12,0)</f>
        <v>42.13</v>
      </c>
      <c r="E155" s="25">
        <f>SUMPRODUCT(VLOOKUP($A155,'PSES Enroll Snapshot 25-01-17'!$K$5:$AB$327,{13,14},0))-SUMPRODUCT(VLOOKUP($A155,'PSES Enroll Snapshot 25-01-17'!$K$5:$AB$327,{15,16,17},0))</f>
        <v>58.35</v>
      </c>
      <c r="F155" s="33">
        <f>ROUND($C155*'2024-25 Elementary Calculator'!$Q$13/400,3)+ROUND($D155*'2024-25 Middle Calculator'!$O$13/432,3)+ROUND($E155*'2024-25 High Calculator'!$O$13/600,3)</f>
        <v>0.87599999999999989</v>
      </c>
      <c r="G155" s="33">
        <f>ROUND($C155*'2024-25 Elementary Calculator'!$Q$15/400,3)+ROUND($D155*'2024-25 Middle Calculator'!$O$15/432,3)+ROUND($E155*'2024-25 High Calculator'!$O$15/600,3)</f>
        <v>0.15000000000000002</v>
      </c>
      <c r="H155" s="33">
        <f>ROUND($C155*'2024-25 Elementary Calculator'!$Q$17/400,3)+ROUND($D155*'2024-25 Middle Calculator'!$O$17/432,3)+ROUND($E155*'2024-25 High Calculator'!$O$17/600,3)</f>
        <v>4.9999999999999996E-2</v>
      </c>
      <c r="I155" s="33">
        <f>ROUND($C155*'2024-25 Elementary Calculator'!$Q$18/400,3)+ROUND($D155*'2024-25 Middle Calculator'!$O$18/432,3)+ROUND($E155*'2024-25 High Calculator'!$O$18/600,3)</f>
        <v>0.41</v>
      </c>
      <c r="J155" s="166">
        <f t="shared" si="18"/>
        <v>1.4859999999999998</v>
      </c>
      <c r="K155" s="33">
        <f>ROUND($C155*'2024-25 Elementary Calculator'!$Q$23/400,3)+ROUND($D155*'2024-25 Middle Calculator'!$O$23/432,3)+ROUND($E155*'2024-25 High Calculator'!$O$23/600,3)</f>
        <v>5.6000000000000001E-2</v>
      </c>
      <c r="L155" s="33">
        <f>ROUND($C155*'2024-25 Elementary Calculator'!$Q$22/400,3)+ROUND($D155*'2024-25 Middle Calculator'!$O$22/432,3)+ROUND($E155*'2024-25 High Calculator'!$O$22/600,3)</f>
        <v>3.4000000000000002E-2</v>
      </c>
      <c r="M155" s="166">
        <f t="shared" si="19"/>
        <v>0.09</v>
      </c>
      <c r="N155" s="33">
        <f>VLOOKUP($A155,'District Summary'!$A$6:$AH$325,29,FALSE)</f>
        <v>1</v>
      </c>
      <c r="O155" s="33">
        <f>VLOOKUP($A155,'District Summary'!$A$6:$AH$325,34,FALSE)</f>
        <v>0</v>
      </c>
      <c r="P155" s="67">
        <f t="shared" si="20"/>
        <v>-0.48599999999999977</v>
      </c>
      <c r="Q155" s="67">
        <f t="shared" si="21"/>
        <v>-0.09</v>
      </c>
      <c r="R155" s="67">
        <f t="shared" si="22"/>
        <v>1.5759999999999998</v>
      </c>
      <c r="S155" s="33">
        <f t="shared" si="23"/>
        <v>1</v>
      </c>
      <c r="T155" s="67">
        <f t="shared" si="25"/>
        <v>-0.57599999999999996</v>
      </c>
      <c r="U155" s="67">
        <f t="shared" si="24"/>
        <v>-0.57599999999999996</v>
      </c>
      <c r="V155" s="273"/>
      <c r="W155" s="273"/>
    </row>
    <row r="156" spans="1:23" x14ac:dyDescent="0.25">
      <c r="A156" t="s">
        <v>148</v>
      </c>
      <c r="B156" t="s">
        <v>444</v>
      </c>
      <c r="C156" s="25">
        <f>SUMPRODUCT(VLOOKUP($A156,'PSES Enroll Snapshot 25-01-17'!$K$5:$AB$327,{2,3,4,5,6,7,8,9},0))</f>
        <v>1477.6</v>
      </c>
      <c r="D156" s="25">
        <f>SUMPRODUCT(VLOOKUP($A156,'PSES Enroll Snapshot 25-01-17'!$K$5:$AB$327,{10,11},0))-VLOOKUP($A156,'PSES Enroll Snapshot 25-01-17'!$K$5:$AB$327,12,0)</f>
        <v>466.36</v>
      </c>
      <c r="E156" s="25">
        <f>SUMPRODUCT(VLOOKUP($A156,'PSES Enroll Snapshot 25-01-17'!$K$5:$AB$327,{13,14},0))-SUMPRODUCT(VLOOKUP($A156,'PSES Enroll Snapshot 25-01-17'!$K$5:$AB$327,{15,16,17},0))</f>
        <v>659.19999999999993</v>
      </c>
      <c r="F156" s="33">
        <f>ROUND($C156*'2024-25 Elementary Calculator'!$Q$13/400,3)+ROUND($D156*'2024-25 Middle Calculator'!$O$13/432,3)+ROUND($E156*'2024-25 High Calculator'!$O$13/600,3)</f>
        <v>8.859</v>
      </c>
      <c r="G156" s="33">
        <f>ROUND($C156*'2024-25 Elementary Calculator'!$Q$15/400,3)+ROUND($D156*'2024-25 Middle Calculator'!$O$15/432,3)+ROUND($E156*'2024-25 High Calculator'!$O$15/600,3)</f>
        <v>1.3839999999999999</v>
      </c>
      <c r="H156" s="33">
        <f>ROUND($C156*'2024-25 Elementary Calculator'!$Q$17/400,3)+ROUND($D156*'2024-25 Middle Calculator'!$O$17/432,3)+ROUND($E156*'2024-25 High Calculator'!$O$17/600,3)</f>
        <v>0.46400000000000002</v>
      </c>
      <c r="I156" s="33">
        <f>ROUND($C156*'2024-25 Elementary Calculator'!$Q$18/400,3)+ROUND($D156*'2024-25 Middle Calculator'!$O$18/432,3)+ROUND($E156*'2024-25 High Calculator'!$O$18/600,3)</f>
        <v>4.0250000000000004</v>
      </c>
      <c r="J156" s="166">
        <f t="shared" si="18"/>
        <v>14.732000000000001</v>
      </c>
      <c r="K156" s="33">
        <f>ROUND($C156*'2024-25 Elementary Calculator'!$Q$23/400,3)+ROUND($D156*'2024-25 Middle Calculator'!$O$23/432,3)+ROUND($E156*'2024-25 High Calculator'!$O$23/600,3)</f>
        <v>0.54600000000000004</v>
      </c>
      <c r="L156" s="33">
        <f>ROUND($C156*'2024-25 Elementary Calculator'!$Q$22/400,3)+ROUND($D156*'2024-25 Middle Calculator'!$O$22/432,3)+ROUND($E156*'2024-25 High Calculator'!$O$22/600,3)</f>
        <v>0.30499999999999999</v>
      </c>
      <c r="M156" s="166">
        <f t="shared" si="19"/>
        <v>0.85099999999999998</v>
      </c>
      <c r="N156" s="33">
        <f>VLOOKUP($A156,'District Summary'!$A$6:$AH$325,29,FALSE)</f>
        <v>6.6129999999999995</v>
      </c>
      <c r="O156" s="33">
        <f>VLOOKUP($A156,'District Summary'!$A$6:$AH$325,34,FALSE)</f>
        <v>9.8219999999999992</v>
      </c>
      <c r="P156" s="67">
        <f t="shared" si="20"/>
        <v>-8.1190000000000015</v>
      </c>
      <c r="Q156" s="67">
        <f t="shared" si="21"/>
        <v>8.9710000000000001</v>
      </c>
      <c r="R156" s="67">
        <f t="shared" si="22"/>
        <v>15.583000000000002</v>
      </c>
      <c r="S156" s="33">
        <f t="shared" si="23"/>
        <v>16.434999999999999</v>
      </c>
      <c r="T156" s="67">
        <f t="shared" si="25"/>
        <v>0.85199999999999998</v>
      </c>
      <c r="U156" s="67">
        <f t="shared" si="24"/>
        <v>0</v>
      </c>
      <c r="V156" s="273"/>
      <c r="W156" s="273"/>
    </row>
    <row r="157" spans="1:23" x14ac:dyDescent="0.25">
      <c r="A157" t="s">
        <v>149</v>
      </c>
      <c r="B157" t="s">
        <v>445</v>
      </c>
      <c r="C157" s="25">
        <f>SUMPRODUCT(VLOOKUP($A157,'PSES Enroll Snapshot 25-01-17'!$K$5:$AB$327,{2,3,4,5,6,7,8,9},0))</f>
        <v>204.33999999999997</v>
      </c>
      <c r="D157" s="25">
        <f>SUMPRODUCT(VLOOKUP($A157,'PSES Enroll Snapshot 25-01-17'!$K$5:$AB$327,{10,11},0))-VLOOKUP($A157,'PSES Enroll Snapshot 25-01-17'!$K$5:$AB$327,12,0)</f>
        <v>47.81</v>
      </c>
      <c r="E157" s="25">
        <f>SUMPRODUCT(VLOOKUP($A157,'PSES Enroll Snapshot 25-01-17'!$K$5:$AB$327,{13,14},0))-SUMPRODUCT(VLOOKUP($A157,'PSES Enroll Snapshot 25-01-17'!$K$5:$AB$327,{15,16,17},0))</f>
        <v>44.64</v>
      </c>
      <c r="F157" s="33">
        <f>ROUND($C157*'2024-25 Elementary Calculator'!$Q$13/400,3)+ROUND($D157*'2024-25 Middle Calculator'!$O$13/432,3)+ROUND($E157*'2024-25 High Calculator'!$O$13/600,3)</f>
        <v>0.92300000000000004</v>
      </c>
      <c r="G157" s="33">
        <f>ROUND($C157*'2024-25 Elementary Calculator'!$Q$15/400,3)+ROUND($D157*'2024-25 Middle Calculator'!$O$15/432,3)+ROUND($E157*'2024-25 High Calculator'!$O$15/600,3)</f>
        <v>0.17800000000000002</v>
      </c>
      <c r="H157" s="33">
        <f>ROUND($C157*'2024-25 Elementary Calculator'!$Q$17/400,3)+ROUND($D157*'2024-25 Middle Calculator'!$O$17/432,3)+ROUND($E157*'2024-25 High Calculator'!$O$17/600,3)</f>
        <v>0.06</v>
      </c>
      <c r="I157" s="33">
        <f>ROUND($C157*'2024-25 Elementary Calculator'!$Q$18/400,3)+ROUND($D157*'2024-25 Middle Calculator'!$O$18/432,3)+ROUND($E157*'2024-25 High Calculator'!$O$18/600,3)</f>
        <v>0.45800000000000002</v>
      </c>
      <c r="J157" s="166">
        <f t="shared" si="18"/>
        <v>1.619</v>
      </c>
      <c r="K157" s="33">
        <f>ROUND($C157*'2024-25 Elementary Calculator'!$Q$23/400,3)+ROUND($D157*'2024-25 Middle Calculator'!$O$23/432,3)+ROUND($E157*'2024-25 High Calculator'!$O$23/600,3)</f>
        <v>6.0000000000000005E-2</v>
      </c>
      <c r="L157" s="33">
        <f>ROUND($C157*'2024-25 Elementary Calculator'!$Q$22/400,3)+ROUND($D157*'2024-25 Middle Calculator'!$O$22/432,3)+ROUND($E157*'2024-25 High Calculator'!$O$22/600,3)</f>
        <v>4.2000000000000003E-2</v>
      </c>
      <c r="M157" s="166">
        <f t="shared" si="19"/>
        <v>0.10200000000000001</v>
      </c>
      <c r="N157" s="33">
        <f>VLOOKUP($A157,'District Summary'!$A$6:$AH$325,29,FALSE)</f>
        <v>1.0999999999999999</v>
      </c>
      <c r="O157" s="33">
        <f>VLOOKUP($A157,'District Summary'!$A$6:$AH$325,34,FALSE)</f>
        <v>3.609</v>
      </c>
      <c r="P157" s="67">
        <f t="shared" si="20"/>
        <v>-0.51900000000000013</v>
      </c>
      <c r="Q157" s="67">
        <f t="shared" si="21"/>
        <v>3.5070000000000001</v>
      </c>
      <c r="R157" s="67">
        <f t="shared" si="22"/>
        <v>1.7210000000000001</v>
      </c>
      <c r="S157" s="33">
        <f t="shared" si="23"/>
        <v>4.7089999999999996</v>
      </c>
      <c r="T157" s="67">
        <f t="shared" si="25"/>
        <v>2.988</v>
      </c>
      <c r="U157" s="67">
        <f t="shared" si="24"/>
        <v>0</v>
      </c>
      <c r="V157" s="273"/>
      <c r="W157" s="273"/>
    </row>
    <row r="158" spans="1:23" x14ac:dyDescent="0.25">
      <c r="A158" t="s">
        <v>150</v>
      </c>
      <c r="B158" t="s">
        <v>446</v>
      </c>
      <c r="C158" s="25">
        <f>SUMPRODUCT(VLOOKUP($A158,'PSES Enroll Snapshot 25-01-17'!$K$5:$AB$327,{2,3,4,5,6,7,8,9},0))</f>
        <v>1730.83</v>
      </c>
      <c r="D158" s="25">
        <f>SUMPRODUCT(VLOOKUP($A158,'PSES Enroll Snapshot 25-01-17'!$K$5:$AB$327,{10,11},0))-VLOOKUP($A158,'PSES Enroll Snapshot 25-01-17'!$K$5:$AB$327,12,0)</f>
        <v>375.98</v>
      </c>
      <c r="E158" s="25">
        <f>SUMPRODUCT(VLOOKUP($A158,'PSES Enroll Snapshot 25-01-17'!$K$5:$AB$327,{13,14},0))-SUMPRODUCT(VLOOKUP($A158,'PSES Enroll Snapshot 25-01-17'!$K$5:$AB$327,{15,16,17},0))</f>
        <v>546.13</v>
      </c>
      <c r="F158" s="33">
        <f>ROUND($C158*'2024-25 Elementary Calculator'!$Q$13/400,3)+ROUND($D158*'2024-25 Middle Calculator'!$O$13/432,3)+ROUND($E158*'2024-25 High Calculator'!$O$13/600,3)</f>
        <v>8.5560000000000009</v>
      </c>
      <c r="G158" s="33">
        <f>ROUND($C158*'2024-25 Elementary Calculator'!$Q$15/400,3)+ROUND($D158*'2024-25 Middle Calculator'!$O$15/432,3)+ROUND($E158*'2024-25 High Calculator'!$O$15/600,3)</f>
        <v>1.5390000000000001</v>
      </c>
      <c r="H158" s="33">
        <f>ROUND($C158*'2024-25 Elementary Calculator'!$Q$17/400,3)+ROUND($D158*'2024-25 Middle Calculator'!$O$17/432,3)+ROUND($E158*'2024-25 High Calculator'!$O$17/600,3)</f>
        <v>0.51600000000000001</v>
      </c>
      <c r="I158" s="33">
        <f>ROUND($C158*'2024-25 Elementary Calculator'!$Q$18/400,3)+ROUND($D158*'2024-25 Middle Calculator'!$O$18/432,3)+ROUND($E158*'2024-25 High Calculator'!$O$18/600,3)</f>
        <v>4.0540000000000003</v>
      </c>
      <c r="J158" s="166">
        <f t="shared" si="18"/>
        <v>14.665000000000001</v>
      </c>
      <c r="K158" s="33">
        <f>ROUND($C158*'2024-25 Elementary Calculator'!$Q$23/400,3)+ROUND($D158*'2024-25 Middle Calculator'!$O$23/432,3)+ROUND($E158*'2024-25 High Calculator'!$O$23/600,3)</f>
        <v>0.55000000000000004</v>
      </c>
      <c r="L158" s="33">
        <f>ROUND($C158*'2024-25 Elementary Calculator'!$Q$22/400,3)+ROUND($D158*'2024-25 Middle Calculator'!$O$22/432,3)+ROUND($E158*'2024-25 High Calculator'!$O$22/600,3)</f>
        <v>0.35699999999999998</v>
      </c>
      <c r="M158" s="166">
        <f t="shared" si="19"/>
        <v>0.90700000000000003</v>
      </c>
      <c r="N158" s="33">
        <f>VLOOKUP($A158,'District Summary'!$A$6:$AH$325,29,FALSE)</f>
        <v>11.178000000000001</v>
      </c>
      <c r="O158" s="33">
        <f>VLOOKUP($A158,'District Summary'!$A$6:$AH$325,34,FALSE)</f>
        <v>7.6399999999999988</v>
      </c>
      <c r="P158" s="67">
        <f t="shared" si="20"/>
        <v>-3.4870000000000001</v>
      </c>
      <c r="Q158" s="67">
        <f t="shared" si="21"/>
        <v>6.7329999999999988</v>
      </c>
      <c r="R158" s="67">
        <f t="shared" si="22"/>
        <v>15.572000000000001</v>
      </c>
      <c r="S158" s="33">
        <f t="shared" si="23"/>
        <v>18.817999999999998</v>
      </c>
      <c r="T158" s="67">
        <f t="shared" si="25"/>
        <v>3.246</v>
      </c>
      <c r="U158" s="67">
        <f t="shared" si="24"/>
        <v>0</v>
      </c>
      <c r="V158" s="273"/>
      <c r="W158" s="273"/>
    </row>
    <row r="159" spans="1:23" x14ac:dyDescent="0.25">
      <c r="A159" t="s">
        <v>151</v>
      </c>
      <c r="B159" t="s">
        <v>447</v>
      </c>
      <c r="C159" s="25">
        <f>SUMPRODUCT(VLOOKUP($A159,'PSES Enroll Snapshot 25-01-17'!$K$5:$AB$327,{2,3,4,5,6,7,8,9},0))</f>
        <v>26</v>
      </c>
      <c r="D159" s="25">
        <f>SUMPRODUCT(VLOOKUP($A159,'PSES Enroll Snapshot 25-01-17'!$K$5:$AB$327,{10,11},0))-VLOOKUP($A159,'PSES Enroll Snapshot 25-01-17'!$K$5:$AB$327,12,0)</f>
        <v>0</v>
      </c>
      <c r="E159" s="25">
        <f>SUMPRODUCT(VLOOKUP($A159,'PSES Enroll Snapshot 25-01-17'!$K$5:$AB$327,{13,14},0))-SUMPRODUCT(VLOOKUP($A159,'PSES Enroll Snapshot 25-01-17'!$K$5:$AB$327,{15,16,17},0))</f>
        <v>17.690000000000001</v>
      </c>
      <c r="F159" s="33">
        <f>ROUND($C159*'2024-25 Elementary Calculator'!$Q$13/400,3)+ROUND($D159*'2024-25 Middle Calculator'!$O$13/432,3)+ROUND($E159*'2024-25 High Calculator'!$O$13/600,3)</f>
        <v>0.155</v>
      </c>
      <c r="G159" s="33">
        <f>ROUND($C159*'2024-25 Elementary Calculator'!$Q$15/400,3)+ROUND($D159*'2024-25 Middle Calculator'!$O$15/432,3)+ROUND($E159*'2024-25 High Calculator'!$O$15/600,3)</f>
        <v>2.4E-2</v>
      </c>
      <c r="H159" s="33">
        <f>ROUND($C159*'2024-25 Elementary Calculator'!$Q$17/400,3)+ROUND($D159*'2024-25 Middle Calculator'!$O$17/432,3)+ROUND($E159*'2024-25 High Calculator'!$O$17/600,3)</f>
        <v>8.0000000000000002E-3</v>
      </c>
      <c r="I159" s="33">
        <f>ROUND($C159*'2024-25 Elementary Calculator'!$Q$18/400,3)+ROUND($D159*'2024-25 Middle Calculator'!$O$18/432,3)+ROUND($E159*'2024-25 High Calculator'!$O$18/600,3)</f>
        <v>6.2E-2</v>
      </c>
      <c r="J159" s="166">
        <f t="shared" si="18"/>
        <v>0.249</v>
      </c>
      <c r="K159" s="33">
        <f>ROUND($C159*'2024-25 Elementary Calculator'!$Q$23/400,3)+ROUND($D159*'2024-25 Middle Calculator'!$O$23/432,3)+ROUND($E159*'2024-25 High Calculator'!$O$23/600,3)</f>
        <v>9.0000000000000011E-3</v>
      </c>
      <c r="L159" s="33">
        <f>ROUND($C159*'2024-25 Elementary Calculator'!$Q$22/400,3)+ROUND($D159*'2024-25 Middle Calculator'!$O$22/432,3)+ROUND($E159*'2024-25 High Calculator'!$O$22/600,3)</f>
        <v>5.0000000000000001E-3</v>
      </c>
      <c r="M159" s="166">
        <f t="shared" si="19"/>
        <v>1.4000000000000002E-2</v>
      </c>
      <c r="N159" s="33">
        <f>VLOOKUP($A159,'District Summary'!$A$6:$AH$325,29,FALSE)</f>
        <v>1</v>
      </c>
      <c r="O159" s="33">
        <f>VLOOKUP($A159,'District Summary'!$A$6:$AH$325,34,FALSE)</f>
        <v>0.33500000000000002</v>
      </c>
      <c r="P159" s="67">
        <f t="shared" si="20"/>
        <v>0.751</v>
      </c>
      <c r="Q159" s="67">
        <f t="shared" si="21"/>
        <v>0.32100000000000001</v>
      </c>
      <c r="R159" s="67">
        <f t="shared" si="22"/>
        <v>0.26300000000000001</v>
      </c>
      <c r="S159" s="33">
        <f t="shared" si="23"/>
        <v>1.335</v>
      </c>
      <c r="T159" s="67">
        <f t="shared" si="25"/>
        <v>1.0720000000000001</v>
      </c>
      <c r="U159" s="67">
        <f t="shared" si="24"/>
        <v>0</v>
      </c>
      <c r="V159" s="273"/>
      <c r="W159" s="273"/>
    </row>
    <row r="160" spans="1:23" x14ac:dyDescent="0.25">
      <c r="A160" t="s">
        <v>152</v>
      </c>
      <c r="B160" t="s">
        <v>448</v>
      </c>
      <c r="C160" s="25">
        <f>SUMPRODUCT(VLOOKUP($A160,'PSES Enroll Snapshot 25-01-17'!$K$5:$AB$327,{2,3,4,5,6,7,8,9},0))</f>
        <v>342.22999999999996</v>
      </c>
      <c r="D160" s="25">
        <f>SUMPRODUCT(VLOOKUP($A160,'PSES Enroll Snapshot 25-01-17'!$K$5:$AB$327,{10,11},0))-VLOOKUP($A160,'PSES Enroll Snapshot 25-01-17'!$K$5:$AB$327,12,0)</f>
        <v>106.58000000000001</v>
      </c>
      <c r="E160" s="25">
        <f>SUMPRODUCT(VLOOKUP($A160,'PSES Enroll Snapshot 25-01-17'!$K$5:$AB$327,{13,14},0))-SUMPRODUCT(VLOOKUP($A160,'PSES Enroll Snapshot 25-01-17'!$K$5:$AB$327,{15,16,17},0))</f>
        <v>143.69999999999999</v>
      </c>
      <c r="F160" s="33">
        <f>ROUND($C160*'2024-25 Elementary Calculator'!$Q$13/400,3)+ROUND($D160*'2024-25 Middle Calculator'!$O$13/432,3)+ROUND($E160*'2024-25 High Calculator'!$O$13/600,3)</f>
        <v>2.0009999999999999</v>
      </c>
      <c r="G160" s="33">
        <f>ROUND($C160*'2024-25 Elementary Calculator'!$Q$15/400,3)+ROUND($D160*'2024-25 Middle Calculator'!$O$15/432,3)+ROUND($E160*'2024-25 High Calculator'!$O$15/600,3)</f>
        <v>0.31800000000000006</v>
      </c>
      <c r="H160" s="33">
        <f>ROUND($C160*'2024-25 Elementary Calculator'!$Q$17/400,3)+ROUND($D160*'2024-25 Middle Calculator'!$O$17/432,3)+ROUND($E160*'2024-25 High Calculator'!$O$17/600,3)</f>
        <v>0.107</v>
      </c>
      <c r="I160" s="33">
        <f>ROUND($C160*'2024-25 Elementary Calculator'!$Q$18/400,3)+ROUND($D160*'2024-25 Middle Calculator'!$O$18/432,3)+ROUND($E160*'2024-25 High Calculator'!$O$18/600,3)</f>
        <v>0.91700000000000004</v>
      </c>
      <c r="J160" s="166">
        <f t="shared" si="18"/>
        <v>3.343</v>
      </c>
      <c r="K160" s="33">
        <f>ROUND($C160*'2024-25 Elementary Calculator'!$Q$23/400,3)+ROUND($D160*'2024-25 Middle Calculator'!$O$23/432,3)+ROUND($E160*'2024-25 High Calculator'!$O$23/600,3)</f>
        <v>0.125</v>
      </c>
      <c r="L160" s="33">
        <f>ROUND($C160*'2024-25 Elementary Calculator'!$Q$22/400,3)+ROUND($D160*'2024-25 Middle Calculator'!$O$22/432,3)+ROUND($E160*'2024-25 High Calculator'!$O$22/600,3)</f>
        <v>7.0999999999999994E-2</v>
      </c>
      <c r="M160" s="166">
        <f t="shared" si="19"/>
        <v>0.19600000000000001</v>
      </c>
      <c r="N160" s="33">
        <f>VLOOKUP($A160,'District Summary'!$A$6:$AH$325,29,FALSE)</f>
        <v>1.55</v>
      </c>
      <c r="O160" s="33">
        <f>VLOOKUP($A160,'District Summary'!$A$6:$AH$325,34,FALSE)</f>
        <v>1.206</v>
      </c>
      <c r="P160" s="67">
        <f t="shared" si="20"/>
        <v>-1.7929999999999999</v>
      </c>
      <c r="Q160" s="67">
        <f t="shared" si="21"/>
        <v>1.01</v>
      </c>
      <c r="R160" s="67">
        <f t="shared" si="22"/>
        <v>3.5390000000000001</v>
      </c>
      <c r="S160" s="33">
        <f t="shared" si="23"/>
        <v>2.7560000000000002</v>
      </c>
      <c r="T160" s="67">
        <f t="shared" si="25"/>
        <v>-0.78300000000000003</v>
      </c>
      <c r="U160" s="67">
        <f t="shared" si="24"/>
        <v>-0.78300000000000003</v>
      </c>
      <c r="V160" s="273"/>
      <c r="W160" s="273"/>
    </row>
    <row r="161" spans="1:23" x14ac:dyDescent="0.25">
      <c r="A161" t="s">
        <v>153</v>
      </c>
      <c r="B161" t="s">
        <v>449</v>
      </c>
      <c r="C161" s="25">
        <f>SUMPRODUCT(VLOOKUP($A161,'PSES Enroll Snapshot 25-01-17'!$K$5:$AB$327,{2,3,4,5,6,7,8,9},0))</f>
        <v>64.849999999999994</v>
      </c>
      <c r="D161" s="25">
        <f>SUMPRODUCT(VLOOKUP($A161,'PSES Enroll Snapshot 25-01-17'!$K$5:$AB$327,{10,11},0))-VLOOKUP($A161,'PSES Enroll Snapshot 25-01-17'!$K$5:$AB$327,12,0)</f>
        <v>15</v>
      </c>
      <c r="E161" s="25">
        <f>SUMPRODUCT(VLOOKUP($A161,'PSES Enroll Snapshot 25-01-17'!$K$5:$AB$327,{13,14},0))-SUMPRODUCT(VLOOKUP($A161,'PSES Enroll Snapshot 25-01-17'!$K$5:$AB$327,{15,16,17},0))</f>
        <v>18.989999999999998</v>
      </c>
      <c r="F161" s="33">
        <f>ROUND($C161*'2024-25 Elementary Calculator'!$Q$13/400,3)+ROUND($D161*'2024-25 Middle Calculator'!$O$13/432,3)+ROUND($E161*'2024-25 High Calculator'!$O$13/600,3)</f>
        <v>0.317</v>
      </c>
      <c r="G161" s="33">
        <f>ROUND($C161*'2024-25 Elementary Calculator'!$Q$15/400,3)+ROUND($D161*'2024-25 Middle Calculator'!$O$15/432,3)+ROUND($E161*'2024-25 High Calculator'!$O$15/600,3)</f>
        <v>5.7000000000000009E-2</v>
      </c>
      <c r="H161" s="33">
        <f>ROUND($C161*'2024-25 Elementary Calculator'!$Q$17/400,3)+ROUND($D161*'2024-25 Middle Calculator'!$O$17/432,3)+ROUND($E161*'2024-25 High Calculator'!$O$17/600,3)</f>
        <v>2.0000000000000004E-2</v>
      </c>
      <c r="I161" s="33">
        <f>ROUND($C161*'2024-25 Elementary Calculator'!$Q$18/400,3)+ROUND($D161*'2024-25 Middle Calculator'!$O$18/432,3)+ROUND($E161*'2024-25 High Calculator'!$O$18/600,3)</f>
        <v>0.152</v>
      </c>
      <c r="J161" s="166">
        <f t="shared" si="18"/>
        <v>0.54600000000000004</v>
      </c>
      <c r="K161" s="33">
        <f>ROUND($C161*'2024-25 Elementary Calculator'!$Q$23/400,3)+ROUND($D161*'2024-25 Middle Calculator'!$O$23/432,3)+ROUND($E161*'2024-25 High Calculator'!$O$23/600,3)</f>
        <v>0.02</v>
      </c>
      <c r="L161" s="33">
        <f>ROUND($C161*'2024-25 Elementary Calculator'!$Q$22/400,3)+ROUND($D161*'2024-25 Middle Calculator'!$O$22/432,3)+ROUND($E161*'2024-25 High Calculator'!$O$22/600,3)</f>
        <v>1.2999999999999999E-2</v>
      </c>
      <c r="M161" s="166">
        <f t="shared" si="19"/>
        <v>3.3000000000000002E-2</v>
      </c>
      <c r="N161" s="33">
        <f>VLOOKUP($A161,'District Summary'!$A$6:$AH$325,29,FALSE)</f>
        <v>0.627</v>
      </c>
      <c r="O161" s="33">
        <f>VLOOKUP($A161,'District Summary'!$A$6:$AH$325,34,FALSE)</f>
        <v>0.14399999999999999</v>
      </c>
      <c r="P161" s="67">
        <f t="shared" si="20"/>
        <v>8.0999999999999961E-2</v>
      </c>
      <c r="Q161" s="67">
        <f t="shared" si="21"/>
        <v>0.11099999999999999</v>
      </c>
      <c r="R161" s="67">
        <f t="shared" si="22"/>
        <v>0.57900000000000007</v>
      </c>
      <c r="S161" s="33">
        <f t="shared" si="23"/>
        <v>0.77100000000000002</v>
      </c>
      <c r="T161" s="67">
        <f t="shared" si="25"/>
        <v>0.192</v>
      </c>
      <c r="U161" s="67">
        <f t="shared" si="24"/>
        <v>0</v>
      </c>
      <c r="V161" s="273"/>
      <c r="W161" s="273"/>
    </row>
    <row r="162" spans="1:23" x14ac:dyDescent="0.25">
      <c r="A162" t="s">
        <v>154</v>
      </c>
      <c r="B162" t="s">
        <v>450</v>
      </c>
      <c r="C162" s="25">
        <f>SUMPRODUCT(VLOOKUP($A162,'PSES Enroll Snapshot 25-01-17'!$K$5:$AB$327,{2,3,4,5,6,7,8,9},0))</f>
        <v>38.999999999999993</v>
      </c>
      <c r="D162" s="25">
        <f>SUMPRODUCT(VLOOKUP($A162,'PSES Enroll Snapshot 25-01-17'!$K$5:$AB$327,{10,11},0))-VLOOKUP($A162,'PSES Enroll Snapshot 25-01-17'!$K$5:$AB$327,12,0)</f>
        <v>11.17</v>
      </c>
      <c r="E162" s="25">
        <f>SUMPRODUCT(VLOOKUP($A162,'PSES Enroll Snapshot 25-01-17'!$K$5:$AB$327,{13,14},0))-SUMPRODUCT(VLOOKUP($A162,'PSES Enroll Snapshot 25-01-17'!$K$5:$AB$327,{15,16,17},0))</f>
        <v>16.7</v>
      </c>
      <c r="F162" s="33">
        <f>ROUND($C162*'2024-25 Elementary Calculator'!$Q$13/400,3)+ROUND($D162*'2024-25 Middle Calculator'!$O$13/432,3)+ROUND($E162*'2024-25 High Calculator'!$O$13/600,3)</f>
        <v>0.22600000000000003</v>
      </c>
      <c r="G162" s="33">
        <f>ROUND($C162*'2024-25 Elementary Calculator'!$Q$15/400,3)+ROUND($D162*'2024-25 Middle Calculator'!$O$15/432,3)+ROUND($E162*'2024-25 High Calculator'!$O$15/600,3)</f>
        <v>3.6000000000000004E-2</v>
      </c>
      <c r="H162" s="33">
        <f>ROUND($C162*'2024-25 Elementary Calculator'!$Q$17/400,3)+ROUND($D162*'2024-25 Middle Calculator'!$O$17/432,3)+ROUND($E162*'2024-25 High Calculator'!$O$17/600,3)</f>
        <v>1.2E-2</v>
      </c>
      <c r="I162" s="33">
        <f>ROUND($C162*'2024-25 Elementary Calculator'!$Q$18/400,3)+ROUND($D162*'2024-25 Middle Calculator'!$O$18/432,3)+ROUND($E162*'2024-25 High Calculator'!$O$18/600,3)</f>
        <v>0.10300000000000001</v>
      </c>
      <c r="J162" s="166">
        <f t="shared" si="18"/>
        <v>0.377</v>
      </c>
      <c r="K162" s="33">
        <f>ROUND($C162*'2024-25 Elementary Calculator'!$Q$23/400,3)+ROUND($D162*'2024-25 Middle Calculator'!$O$23/432,3)+ROUND($E162*'2024-25 High Calculator'!$O$23/600,3)</f>
        <v>1.4E-2</v>
      </c>
      <c r="L162" s="33">
        <f>ROUND($C162*'2024-25 Elementary Calculator'!$Q$22/400,3)+ROUND($D162*'2024-25 Middle Calculator'!$O$22/432,3)+ROUND($E162*'2024-25 High Calculator'!$O$22/600,3)</f>
        <v>8.0000000000000002E-3</v>
      </c>
      <c r="M162" s="166">
        <f t="shared" si="19"/>
        <v>2.1999999999999999E-2</v>
      </c>
      <c r="N162" s="33">
        <f>VLOOKUP($A162,'District Summary'!$A$6:$AH$325,29,FALSE)</f>
        <v>0</v>
      </c>
      <c r="O162" s="33">
        <f>VLOOKUP($A162,'District Summary'!$A$6:$AH$325,34,FALSE)</f>
        <v>0</v>
      </c>
      <c r="P162" s="67">
        <f t="shared" si="20"/>
        <v>-0.377</v>
      </c>
      <c r="Q162" s="67">
        <f t="shared" si="21"/>
        <v>-2.1999999999999999E-2</v>
      </c>
      <c r="R162" s="67">
        <f t="shared" si="22"/>
        <v>0.39900000000000002</v>
      </c>
      <c r="S162" s="33">
        <f t="shared" si="23"/>
        <v>0</v>
      </c>
      <c r="T162" s="67">
        <f t="shared" si="25"/>
        <v>-0.39900000000000002</v>
      </c>
      <c r="U162" s="67">
        <f t="shared" si="24"/>
        <v>-0.39900000000000002</v>
      </c>
      <c r="V162" s="273"/>
      <c r="W162" s="273"/>
    </row>
    <row r="163" spans="1:23" x14ac:dyDescent="0.25">
      <c r="A163" t="s">
        <v>155</v>
      </c>
      <c r="B163" t="s">
        <v>451</v>
      </c>
      <c r="C163" s="25">
        <f>SUMPRODUCT(VLOOKUP($A163,'PSES Enroll Snapshot 25-01-17'!$K$5:$AB$327,{2,3,4,5,6,7,8,9},0))</f>
        <v>118.11</v>
      </c>
      <c r="D163" s="25">
        <f>SUMPRODUCT(VLOOKUP($A163,'PSES Enroll Snapshot 25-01-17'!$K$5:$AB$327,{10,11},0))-VLOOKUP($A163,'PSES Enroll Snapshot 25-01-17'!$K$5:$AB$327,12,0)</f>
        <v>30.61</v>
      </c>
      <c r="E163" s="25">
        <f>SUMPRODUCT(VLOOKUP($A163,'PSES Enroll Snapshot 25-01-17'!$K$5:$AB$327,{13,14},0))-SUMPRODUCT(VLOOKUP($A163,'PSES Enroll Snapshot 25-01-17'!$K$5:$AB$327,{15,16,17},0))</f>
        <v>51.52</v>
      </c>
      <c r="F163" s="33">
        <f>ROUND($C163*'2024-25 Elementary Calculator'!$Q$13/400,3)+ROUND($D163*'2024-25 Middle Calculator'!$O$13/432,3)+ROUND($E163*'2024-25 High Calculator'!$O$13/600,3)</f>
        <v>0.67599999999999993</v>
      </c>
      <c r="G163" s="33">
        <f>ROUND($C163*'2024-25 Elementary Calculator'!$Q$15/400,3)+ROUND($D163*'2024-25 Middle Calculator'!$O$15/432,3)+ROUND($E163*'2024-25 High Calculator'!$O$15/600,3)</f>
        <v>0.109</v>
      </c>
      <c r="H163" s="33">
        <f>ROUND($C163*'2024-25 Elementary Calculator'!$Q$17/400,3)+ROUND($D163*'2024-25 Middle Calculator'!$O$17/432,3)+ROUND($E163*'2024-25 High Calculator'!$O$17/600,3)</f>
        <v>3.7000000000000005E-2</v>
      </c>
      <c r="I163" s="33">
        <f>ROUND($C163*'2024-25 Elementary Calculator'!$Q$18/400,3)+ROUND($D163*'2024-25 Middle Calculator'!$O$18/432,3)+ROUND($E163*'2024-25 High Calculator'!$O$18/600,3)</f>
        <v>0.307</v>
      </c>
      <c r="J163" s="166">
        <f t="shared" si="18"/>
        <v>1.129</v>
      </c>
      <c r="K163" s="33">
        <f>ROUND($C163*'2024-25 Elementary Calculator'!$Q$23/400,3)+ROUND($D163*'2024-25 Middle Calculator'!$O$23/432,3)+ROUND($E163*'2024-25 High Calculator'!$O$23/600,3)</f>
        <v>4.1999999999999996E-2</v>
      </c>
      <c r="L163" s="33">
        <f>ROUND($C163*'2024-25 Elementary Calculator'!$Q$22/400,3)+ROUND($D163*'2024-25 Middle Calculator'!$O$22/432,3)+ROUND($E163*'2024-25 High Calculator'!$O$22/600,3)</f>
        <v>2.4E-2</v>
      </c>
      <c r="M163" s="166">
        <f t="shared" si="19"/>
        <v>6.6000000000000003E-2</v>
      </c>
      <c r="N163" s="33">
        <f>VLOOKUP($A163,'District Summary'!$A$6:$AH$325,29,FALSE)</f>
        <v>0.9930000000000001</v>
      </c>
      <c r="O163" s="33">
        <f>VLOOKUP($A163,'District Summary'!$A$6:$AH$325,34,FALSE)</f>
        <v>0.83099999999999996</v>
      </c>
      <c r="P163" s="67">
        <f t="shared" si="20"/>
        <v>-0.1359999999999999</v>
      </c>
      <c r="Q163" s="67">
        <f t="shared" si="21"/>
        <v>0.7649999999999999</v>
      </c>
      <c r="R163" s="67">
        <f t="shared" si="22"/>
        <v>1.1950000000000001</v>
      </c>
      <c r="S163" s="33">
        <f t="shared" si="23"/>
        <v>1.8240000000000001</v>
      </c>
      <c r="T163" s="67">
        <f t="shared" si="25"/>
        <v>0.629</v>
      </c>
      <c r="U163" s="67">
        <f t="shared" si="24"/>
        <v>0</v>
      </c>
      <c r="V163" s="273"/>
      <c r="W163" s="273"/>
    </row>
    <row r="164" spans="1:23" x14ac:dyDescent="0.25">
      <c r="A164" t="s">
        <v>156</v>
      </c>
      <c r="B164" t="s">
        <v>452</v>
      </c>
      <c r="C164" s="25">
        <f>SUMPRODUCT(VLOOKUP($A164,'PSES Enroll Snapshot 25-01-17'!$K$5:$AB$327,{2,3,4,5,6,7,8,9},0))</f>
        <v>117.19999999999999</v>
      </c>
      <c r="D164" s="25">
        <f>SUMPRODUCT(VLOOKUP($A164,'PSES Enroll Snapshot 25-01-17'!$K$5:$AB$327,{10,11},0))-VLOOKUP($A164,'PSES Enroll Snapshot 25-01-17'!$K$5:$AB$327,12,0)</f>
        <v>34.35</v>
      </c>
      <c r="E164" s="25">
        <f>SUMPRODUCT(VLOOKUP($A164,'PSES Enroll Snapshot 25-01-17'!$K$5:$AB$327,{13,14},0))-SUMPRODUCT(VLOOKUP($A164,'PSES Enroll Snapshot 25-01-17'!$K$5:$AB$327,{15,16,17},0))</f>
        <v>52.330000000000005</v>
      </c>
      <c r="F164" s="33">
        <f>ROUND($C164*'2024-25 Elementary Calculator'!$Q$13/400,3)+ROUND($D164*'2024-25 Middle Calculator'!$O$13/432,3)+ROUND($E164*'2024-25 High Calculator'!$O$13/600,3)</f>
        <v>0.69199999999999995</v>
      </c>
      <c r="G164" s="33">
        <f>ROUND($C164*'2024-25 Elementary Calculator'!$Q$15/400,3)+ROUND($D164*'2024-25 Middle Calculator'!$O$15/432,3)+ROUND($E164*'2024-25 High Calculator'!$O$15/600,3)</f>
        <v>0.109</v>
      </c>
      <c r="H164" s="33">
        <f>ROUND($C164*'2024-25 Elementary Calculator'!$Q$17/400,3)+ROUND($D164*'2024-25 Middle Calculator'!$O$17/432,3)+ROUND($E164*'2024-25 High Calculator'!$O$17/600,3)</f>
        <v>3.6000000000000004E-2</v>
      </c>
      <c r="I164" s="33">
        <f>ROUND($C164*'2024-25 Elementary Calculator'!$Q$18/400,3)+ROUND($D164*'2024-25 Middle Calculator'!$O$18/432,3)+ROUND($E164*'2024-25 High Calculator'!$O$18/600,3)</f>
        <v>0.314</v>
      </c>
      <c r="J164" s="166">
        <f t="shared" si="18"/>
        <v>1.151</v>
      </c>
      <c r="K164" s="33">
        <f>ROUND($C164*'2024-25 Elementary Calculator'!$Q$23/400,3)+ROUND($D164*'2024-25 Middle Calculator'!$O$23/432,3)+ROUND($E164*'2024-25 High Calculator'!$O$23/600,3)</f>
        <v>4.1999999999999996E-2</v>
      </c>
      <c r="L164" s="33">
        <f>ROUND($C164*'2024-25 Elementary Calculator'!$Q$22/400,3)+ROUND($D164*'2024-25 Middle Calculator'!$O$22/432,3)+ROUND($E164*'2024-25 High Calculator'!$O$22/600,3)</f>
        <v>2.4E-2</v>
      </c>
      <c r="M164" s="166">
        <f t="shared" si="19"/>
        <v>6.6000000000000003E-2</v>
      </c>
      <c r="N164" s="33">
        <f>VLOOKUP($A164,'District Summary'!$A$6:$AH$325,29,FALSE)</f>
        <v>0</v>
      </c>
      <c r="O164" s="33">
        <f>VLOOKUP($A164,'District Summary'!$A$6:$AH$325,34,FALSE)</f>
        <v>0.69200000000000006</v>
      </c>
      <c r="P164" s="67">
        <f t="shared" si="20"/>
        <v>-1.151</v>
      </c>
      <c r="Q164" s="67">
        <f t="shared" si="21"/>
        <v>0.62600000000000011</v>
      </c>
      <c r="R164" s="67">
        <f t="shared" si="22"/>
        <v>1.2170000000000001</v>
      </c>
      <c r="S164" s="33">
        <f t="shared" si="23"/>
        <v>0.69200000000000006</v>
      </c>
      <c r="T164" s="67">
        <f t="shared" si="25"/>
        <v>-0.52500000000000002</v>
      </c>
      <c r="U164" s="67">
        <f t="shared" si="24"/>
        <v>-0.52500000000000002</v>
      </c>
      <c r="V164" s="273"/>
      <c r="W164" s="273"/>
    </row>
    <row r="165" spans="1:23" x14ac:dyDescent="0.25">
      <c r="A165" t="s">
        <v>157</v>
      </c>
      <c r="B165" t="s">
        <v>453</v>
      </c>
      <c r="C165" s="25">
        <f>SUMPRODUCT(VLOOKUP($A165,'PSES Enroll Snapshot 25-01-17'!$K$5:$AB$327,{2,3,4,5,6,7,8,9},0))</f>
        <v>72</v>
      </c>
      <c r="D165" s="25">
        <f>SUMPRODUCT(VLOOKUP($A165,'PSES Enroll Snapshot 25-01-17'!$K$5:$AB$327,{10,11},0))-VLOOKUP($A165,'PSES Enroll Snapshot 25-01-17'!$K$5:$AB$327,12,0)</f>
        <v>16.349999999999998</v>
      </c>
      <c r="E165" s="25">
        <f>SUMPRODUCT(VLOOKUP($A165,'PSES Enroll Snapshot 25-01-17'!$K$5:$AB$327,{13,14},0))-SUMPRODUCT(VLOOKUP($A165,'PSES Enroll Snapshot 25-01-17'!$K$5:$AB$327,{15,16,17},0))</f>
        <v>19.18</v>
      </c>
      <c r="F165" s="33">
        <f>ROUND($C165*'2024-25 Elementary Calculator'!$Q$13/400,3)+ROUND($D165*'2024-25 Middle Calculator'!$O$13/432,3)+ROUND($E165*'2024-25 High Calculator'!$O$13/600,3)</f>
        <v>0.34099999999999997</v>
      </c>
      <c r="G165" s="33">
        <f>ROUND($C165*'2024-25 Elementary Calculator'!$Q$15/400,3)+ROUND($D165*'2024-25 Middle Calculator'!$O$15/432,3)+ROUND($E165*'2024-25 High Calculator'!$O$15/600,3)</f>
        <v>6.3E-2</v>
      </c>
      <c r="H165" s="33">
        <f>ROUND($C165*'2024-25 Elementary Calculator'!$Q$17/400,3)+ROUND($D165*'2024-25 Middle Calculator'!$O$17/432,3)+ROUND($E165*'2024-25 High Calculator'!$O$17/600,3)</f>
        <v>2.1999999999999999E-2</v>
      </c>
      <c r="I165" s="33">
        <f>ROUND($C165*'2024-25 Elementary Calculator'!$Q$18/400,3)+ROUND($D165*'2024-25 Middle Calculator'!$O$18/432,3)+ROUND($E165*'2024-25 High Calculator'!$O$18/600,3)</f>
        <v>0.16500000000000001</v>
      </c>
      <c r="J165" s="166">
        <f t="shared" si="18"/>
        <v>0.59099999999999997</v>
      </c>
      <c r="K165" s="33">
        <f>ROUND($C165*'2024-25 Elementary Calculator'!$Q$23/400,3)+ROUND($D165*'2024-25 Middle Calculator'!$O$23/432,3)+ROUND($E165*'2024-25 High Calculator'!$O$23/600,3)</f>
        <v>2.2000000000000002E-2</v>
      </c>
      <c r="L165" s="33">
        <f>ROUND($C165*'2024-25 Elementary Calculator'!$Q$22/400,3)+ROUND($D165*'2024-25 Middle Calculator'!$O$22/432,3)+ROUND($E165*'2024-25 High Calculator'!$O$22/600,3)</f>
        <v>1.4999999999999999E-2</v>
      </c>
      <c r="M165" s="166">
        <f t="shared" si="19"/>
        <v>3.7000000000000005E-2</v>
      </c>
      <c r="N165" s="33">
        <f>VLOOKUP($A165,'District Summary'!$A$6:$AH$325,29,FALSE)</f>
        <v>1.1120000000000001</v>
      </c>
      <c r="O165" s="33">
        <f>VLOOKUP($A165,'District Summary'!$A$6:$AH$325,34,FALSE)</f>
        <v>4.2000000000000003E-2</v>
      </c>
      <c r="P165" s="67">
        <f t="shared" si="20"/>
        <v>0.52100000000000013</v>
      </c>
      <c r="Q165" s="67">
        <f t="shared" si="21"/>
        <v>4.9999999999999975E-3</v>
      </c>
      <c r="R165" s="67">
        <f t="shared" si="22"/>
        <v>0.628</v>
      </c>
      <c r="S165" s="33">
        <f t="shared" si="23"/>
        <v>1.1540000000000001</v>
      </c>
      <c r="T165" s="67">
        <f t="shared" si="25"/>
        <v>0.52600000000000002</v>
      </c>
      <c r="U165" s="67">
        <f t="shared" si="24"/>
        <v>0</v>
      </c>
      <c r="V165" s="273"/>
      <c r="W165" s="273"/>
    </row>
    <row r="166" spans="1:23" x14ac:dyDescent="0.25">
      <c r="A166" t="s">
        <v>158</v>
      </c>
      <c r="B166" t="s">
        <v>454</v>
      </c>
      <c r="C166" s="25">
        <f>SUMPRODUCT(VLOOKUP($A166,'PSES Enroll Snapshot 25-01-17'!$K$5:$AB$327,{2,3,4,5,6,7,8,9},0))</f>
        <v>380.93</v>
      </c>
      <c r="D166" s="25">
        <f>SUMPRODUCT(VLOOKUP($A166,'PSES Enroll Snapshot 25-01-17'!$K$5:$AB$327,{10,11},0))-VLOOKUP($A166,'PSES Enroll Snapshot 25-01-17'!$K$5:$AB$327,12,0)</f>
        <v>74.039999999999992</v>
      </c>
      <c r="E166" s="25">
        <f>SUMPRODUCT(VLOOKUP($A166,'PSES Enroll Snapshot 25-01-17'!$K$5:$AB$327,{13,14},0))-SUMPRODUCT(VLOOKUP($A166,'PSES Enroll Snapshot 25-01-17'!$K$5:$AB$327,{15,16,17},0))</f>
        <v>118.19</v>
      </c>
      <c r="F166" s="33">
        <f>ROUND($C166*'2024-25 Elementary Calculator'!$Q$13/400,3)+ROUND($D166*'2024-25 Middle Calculator'!$O$13/432,3)+ROUND($E166*'2024-25 High Calculator'!$O$13/600,3)</f>
        <v>1.839</v>
      </c>
      <c r="G166" s="33">
        <f>ROUND($C166*'2024-25 Elementary Calculator'!$Q$15/400,3)+ROUND($D166*'2024-25 Middle Calculator'!$O$15/432,3)+ROUND($E166*'2024-25 High Calculator'!$O$15/600,3)</f>
        <v>0.33600000000000002</v>
      </c>
      <c r="H166" s="33">
        <f>ROUND($C166*'2024-25 Elementary Calculator'!$Q$17/400,3)+ROUND($D166*'2024-25 Middle Calculator'!$O$17/432,3)+ROUND($E166*'2024-25 High Calculator'!$O$17/600,3)</f>
        <v>0.113</v>
      </c>
      <c r="I166" s="33">
        <f>ROUND($C166*'2024-25 Elementary Calculator'!$Q$18/400,3)+ROUND($D166*'2024-25 Middle Calculator'!$O$18/432,3)+ROUND($E166*'2024-25 High Calculator'!$O$18/600,3)</f>
        <v>0.87100000000000011</v>
      </c>
      <c r="J166" s="166">
        <f t="shared" si="18"/>
        <v>3.1589999999999998</v>
      </c>
      <c r="K166" s="33">
        <f>ROUND($C166*'2024-25 Elementary Calculator'!$Q$23/400,3)+ROUND($D166*'2024-25 Middle Calculator'!$O$23/432,3)+ROUND($E166*'2024-25 High Calculator'!$O$23/600,3)</f>
        <v>0.11899999999999999</v>
      </c>
      <c r="L166" s="33">
        <f>ROUND($C166*'2024-25 Elementary Calculator'!$Q$22/400,3)+ROUND($D166*'2024-25 Middle Calculator'!$O$22/432,3)+ROUND($E166*'2024-25 High Calculator'!$O$22/600,3)</f>
        <v>7.9000000000000001E-2</v>
      </c>
      <c r="M166" s="166">
        <f t="shared" si="19"/>
        <v>0.19800000000000001</v>
      </c>
      <c r="N166" s="33">
        <f>VLOOKUP($A166,'District Summary'!$A$6:$AH$325,29,FALSE)</f>
        <v>1.9610000000000001</v>
      </c>
      <c r="O166" s="33">
        <f>VLOOKUP($A166,'District Summary'!$A$6:$AH$325,34,FALSE)</f>
        <v>0.98499999999999999</v>
      </c>
      <c r="P166" s="67">
        <f t="shared" si="20"/>
        <v>-1.1979999999999997</v>
      </c>
      <c r="Q166" s="67">
        <f t="shared" si="21"/>
        <v>0.78699999999999992</v>
      </c>
      <c r="R166" s="67">
        <f t="shared" si="22"/>
        <v>3.3569999999999998</v>
      </c>
      <c r="S166" s="33">
        <f t="shared" si="23"/>
        <v>2.9460000000000002</v>
      </c>
      <c r="T166" s="67">
        <f t="shared" si="25"/>
        <v>-0.41099999999999998</v>
      </c>
      <c r="U166" s="67">
        <f t="shared" si="24"/>
        <v>-0.41099999999999998</v>
      </c>
      <c r="V166" s="273"/>
      <c r="W166" s="273"/>
    </row>
    <row r="167" spans="1:23" x14ac:dyDescent="0.25">
      <c r="A167" t="s">
        <v>159</v>
      </c>
      <c r="B167" t="s">
        <v>455</v>
      </c>
      <c r="C167" s="25">
        <f>SUMPRODUCT(VLOOKUP($A167,'PSES Enroll Snapshot 25-01-17'!$K$5:$AB$327,{2,3,4,5,6,7,8,9},0))</f>
        <v>189.6</v>
      </c>
      <c r="D167" s="25">
        <f>SUMPRODUCT(VLOOKUP($A167,'PSES Enroll Snapshot 25-01-17'!$K$5:$AB$327,{10,11},0))-VLOOKUP($A167,'PSES Enroll Snapshot 25-01-17'!$K$5:$AB$327,12,0)</f>
        <v>19</v>
      </c>
      <c r="E167" s="25">
        <f>SUMPRODUCT(VLOOKUP($A167,'PSES Enroll Snapshot 25-01-17'!$K$5:$AB$327,{13,14},0))-SUMPRODUCT(VLOOKUP($A167,'PSES Enroll Snapshot 25-01-17'!$K$5:$AB$327,{15,16,17},0))</f>
        <v>0</v>
      </c>
      <c r="F167" s="33">
        <f>ROUND($C167*'2024-25 Elementary Calculator'!$Q$13/400,3)+ROUND($D167*'2024-25 Middle Calculator'!$O$13/432,3)+ROUND($E167*'2024-25 High Calculator'!$O$13/600,3)</f>
        <v>0.54599999999999993</v>
      </c>
      <c r="G167" s="33">
        <f>ROUND($C167*'2024-25 Elementary Calculator'!$Q$15/400,3)+ROUND($D167*'2024-25 Middle Calculator'!$O$15/432,3)+ROUND($E167*'2024-25 High Calculator'!$O$15/600,3)</f>
        <v>0.151</v>
      </c>
      <c r="H167" s="33">
        <f>ROUND($C167*'2024-25 Elementary Calculator'!$Q$17/400,3)+ROUND($D167*'2024-25 Middle Calculator'!$O$17/432,3)+ROUND($E167*'2024-25 High Calculator'!$O$17/600,3)</f>
        <v>0.05</v>
      </c>
      <c r="I167" s="33">
        <f>ROUND($C167*'2024-25 Elementary Calculator'!$Q$18/400,3)+ROUND($D167*'2024-25 Middle Calculator'!$O$18/432,3)+ROUND($E167*'2024-25 High Calculator'!$O$18/600,3)</f>
        <v>0.316</v>
      </c>
      <c r="J167" s="166">
        <f t="shared" si="18"/>
        <v>1.0629999999999999</v>
      </c>
      <c r="K167" s="33">
        <f>ROUND($C167*'2024-25 Elementary Calculator'!$Q$23/400,3)+ROUND($D167*'2024-25 Middle Calculator'!$O$23/432,3)+ROUND($E167*'2024-25 High Calculator'!$O$23/600,3)</f>
        <v>4.0999999999999995E-2</v>
      </c>
      <c r="L167" s="33">
        <f>ROUND($C167*'2024-25 Elementary Calculator'!$Q$22/400,3)+ROUND($D167*'2024-25 Middle Calculator'!$O$22/432,3)+ROUND($E167*'2024-25 High Calculator'!$O$22/600,3)</f>
        <v>3.9E-2</v>
      </c>
      <c r="M167" s="166">
        <f t="shared" si="19"/>
        <v>7.9999999999999988E-2</v>
      </c>
      <c r="N167" s="33">
        <f>VLOOKUP($A167,'District Summary'!$A$6:$AH$325,29,FALSE)</f>
        <v>0.26600000000000001</v>
      </c>
      <c r="O167" s="33">
        <f>VLOOKUP($A167,'District Summary'!$A$6:$AH$325,34,FALSE)</f>
        <v>0.17599999999999999</v>
      </c>
      <c r="P167" s="67">
        <f t="shared" si="20"/>
        <v>-0.79699999999999993</v>
      </c>
      <c r="Q167" s="67">
        <f t="shared" si="21"/>
        <v>9.6000000000000002E-2</v>
      </c>
      <c r="R167" s="67">
        <f t="shared" si="22"/>
        <v>1.143</v>
      </c>
      <c r="S167" s="33">
        <f t="shared" si="23"/>
        <v>0.442</v>
      </c>
      <c r="T167" s="67">
        <f t="shared" si="25"/>
        <v>-0.70099999999999996</v>
      </c>
      <c r="U167" s="67">
        <f t="shared" si="24"/>
        <v>-0.70099999999999996</v>
      </c>
      <c r="V167" s="273"/>
      <c r="W167" s="273"/>
    </row>
    <row r="168" spans="1:23" x14ac:dyDescent="0.25">
      <c r="A168" t="s">
        <v>160</v>
      </c>
      <c r="B168" t="s">
        <v>456</v>
      </c>
      <c r="C168" s="25">
        <f>SUMPRODUCT(VLOOKUP($A168,'PSES Enroll Snapshot 25-01-17'!$K$5:$AB$327,{2,3,4,5,6,7,8,9},0))</f>
        <v>177.48</v>
      </c>
      <c r="D168" s="25">
        <f>SUMPRODUCT(VLOOKUP($A168,'PSES Enroll Snapshot 25-01-17'!$K$5:$AB$327,{10,11},0))-VLOOKUP($A168,'PSES Enroll Snapshot 25-01-17'!$K$5:$AB$327,12,0)</f>
        <v>46</v>
      </c>
      <c r="E168" s="25">
        <f>SUMPRODUCT(VLOOKUP($A168,'PSES Enroll Snapshot 25-01-17'!$K$5:$AB$327,{13,14},0))-SUMPRODUCT(VLOOKUP($A168,'PSES Enroll Snapshot 25-01-17'!$K$5:$AB$327,{15,16,17},0))</f>
        <v>0</v>
      </c>
      <c r="F168" s="33">
        <f>ROUND($C168*'2024-25 Elementary Calculator'!$Q$13/400,3)+ROUND($D168*'2024-25 Middle Calculator'!$O$13/432,3)+ROUND($E168*'2024-25 High Calculator'!$O$13/600,3)</f>
        <v>0.624</v>
      </c>
      <c r="G168" s="33">
        <f>ROUND($C168*'2024-25 Elementary Calculator'!$Q$15/400,3)+ROUND($D168*'2024-25 Middle Calculator'!$O$15/432,3)+ROUND($E168*'2024-25 High Calculator'!$O$15/600,3)</f>
        <v>0.14700000000000002</v>
      </c>
      <c r="H168" s="33">
        <f>ROUND($C168*'2024-25 Elementary Calculator'!$Q$17/400,3)+ROUND($D168*'2024-25 Middle Calculator'!$O$17/432,3)+ROUND($E168*'2024-25 High Calculator'!$O$17/600,3)</f>
        <v>4.9000000000000002E-2</v>
      </c>
      <c r="I168" s="33">
        <f>ROUND($C168*'2024-25 Elementary Calculator'!$Q$18/400,3)+ROUND($D168*'2024-25 Middle Calculator'!$O$18/432,3)+ROUND($E168*'2024-25 High Calculator'!$O$18/600,3)</f>
        <v>0.35499999999999998</v>
      </c>
      <c r="J168" s="166">
        <f t="shared" si="18"/>
        <v>1.175</v>
      </c>
      <c r="K168" s="33">
        <f>ROUND($C168*'2024-25 Elementary Calculator'!$Q$23/400,3)+ROUND($D168*'2024-25 Middle Calculator'!$O$23/432,3)+ROUND($E168*'2024-25 High Calculator'!$O$23/600,3)</f>
        <v>4.5000000000000005E-2</v>
      </c>
      <c r="L168" s="33">
        <f>ROUND($C168*'2024-25 Elementary Calculator'!$Q$22/400,3)+ROUND($D168*'2024-25 Middle Calculator'!$O$22/432,3)+ROUND($E168*'2024-25 High Calculator'!$O$22/600,3)</f>
        <v>3.6999999999999998E-2</v>
      </c>
      <c r="M168" s="166">
        <f t="shared" si="19"/>
        <v>8.2000000000000003E-2</v>
      </c>
      <c r="N168" s="33">
        <f>VLOOKUP($A168,'District Summary'!$A$6:$AH$325,29,FALSE)</f>
        <v>0.217</v>
      </c>
      <c r="O168" s="33">
        <f>VLOOKUP($A168,'District Summary'!$A$6:$AH$325,34,FALSE)</f>
        <v>0.71500000000000008</v>
      </c>
      <c r="P168" s="67">
        <f t="shared" si="20"/>
        <v>-0.95800000000000007</v>
      </c>
      <c r="Q168" s="67">
        <f t="shared" si="21"/>
        <v>0.63300000000000012</v>
      </c>
      <c r="R168" s="67">
        <f t="shared" si="22"/>
        <v>1.2570000000000001</v>
      </c>
      <c r="S168" s="33">
        <f t="shared" si="23"/>
        <v>0.93200000000000005</v>
      </c>
      <c r="T168" s="67">
        <f t="shared" si="25"/>
        <v>-0.32500000000000001</v>
      </c>
      <c r="U168" s="67">
        <f t="shared" si="24"/>
        <v>-0.32500000000000001</v>
      </c>
      <c r="V168" s="273"/>
      <c r="W168" s="273"/>
    </row>
    <row r="169" spans="1:23" x14ac:dyDescent="0.25">
      <c r="A169" t="s">
        <v>161</v>
      </c>
      <c r="B169" t="s">
        <v>457</v>
      </c>
      <c r="C169" s="25">
        <f>SUMPRODUCT(VLOOKUP($A169,'PSES Enroll Snapshot 25-01-17'!$K$5:$AB$327,{2,3,4,5,6,7,8,9},0))</f>
        <v>2044.9299999999998</v>
      </c>
      <c r="D169" s="25">
        <f>SUMPRODUCT(VLOOKUP($A169,'PSES Enroll Snapshot 25-01-17'!$K$5:$AB$327,{10,11},0))-VLOOKUP($A169,'PSES Enroll Snapshot 25-01-17'!$K$5:$AB$327,12,0)</f>
        <v>390.84999999999997</v>
      </c>
      <c r="E169" s="25">
        <f>SUMPRODUCT(VLOOKUP($A169,'PSES Enroll Snapshot 25-01-17'!$K$5:$AB$327,{13,14},0))-SUMPRODUCT(VLOOKUP($A169,'PSES Enroll Snapshot 25-01-17'!$K$5:$AB$327,{15,16,17},0))</f>
        <v>765.65</v>
      </c>
      <c r="F169" s="33">
        <f>ROUND($C169*'2024-25 Elementary Calculator'!$Q$13/400,3)+ROUND($D169*'2024-25 Middle Calculator'!$O$13/432,3)+ROUND($E169*'2024-25 High Calculator'!$O$13/600,3)</f>
        <v>10.507999999999999</v>
      </c>
      <c r="G169" s="33">
        <f>ROUND($C169*'2024-25 Elementary Calculator'!$Q$15/400,3)+ROUND($D169*'2024-25 Middle Calculator'!$O$15/432,3)+ROUND($E169*'2024-25 High Calculator'!$O$15/600,3)</f>
        <v>1.8320000000000001</v>
      </c>
      <c r="H169" s="33">
        <f>ROUND($C169*'2024-25 Elementary Calculator'!$Q$17/400,3)+ROUND($D169*'2024-25 Middle Calculator'!$O$17/432,3)+ROUND($E169*'2024-25 High Calculator'!$O$17/600,3)</f>
        <v>0.61699999999999999</v>
      </c>
      <c r="I169" s="33">
        <f>ROUND($C169*'2024-25 Elementary Calculator'!$Q$18/400,3)+ROUND($D169*'2024-25 Middle Calculator'!$O$18/432,3)+ROUND($E169*'2024-25 High Calculator'!$O$18/600,3)</f>
        <v>4.8449999999999998</v>
      </c>
      <c r="J169" s="166">
        <f t="shared" si="18"/>
        <v>17.802</v>
      </c>
      <c r="K169" s="33">
        <f>ROUND($C169*'2024-25 Elementary Calculator'!$Q$23/400,3)+ROUND($D169*'2024-25 Middle Calculator'!$O$23/432,3)+ROUND($E169*'2024-25 High Calculator'!$O$23/600,3)</f>
        <v>0.66700000000000004</v>
      </c>
      <c r="L169" s="33">
        <f>ROUND($C169*'2024-25 Elementary Calculator'!$Q$22/400,3)+ROUND($D169*'2024-25 Middle Calculator'!$O$22/432,3)+ROUND($E169*'2024-25 High Calculator'!$O$22/600,3)</f>
        <v>0.42199999999999999</v>
      </c>
      <c r="M169" s="166">
        <f t="shared" si="19"/>
        <v>1.089</v>
      </c>
      <c r="N169" s="33">
        <f>VLOOKUP($A169,'District Summary'!$A$6:$AH$325,29,FALSE)</f>
        <v>16.917000000000002</v>
      </c>
      <c r="O169" s="33">
        <f>VLOOKUP($A169,'District Summary'!$A$6:$AH$325,34,FALSE)</f>
        <v>11.958</v>
      </c>
      <c r="P169" s="67">
        <f t="shared" si="20"/>
        <v>-0.88499999999999801</v>
      </c>
      <c r="Q169" s="67">
        <f t="shared" si="21"/>
        <v>10.869</v>
      </c>
      <c r="R169" s="67">
        <f t="shared" si="22"/>
        <v>18.890999999999998</v>
      </c>
      <c r="S169" s="33">
        <f t="shared" si="23"/>
        <v>28.875</v>
      </c>
      <c r="T169" s="67">
        <f t="shared" si="25"/>
        <v>9.984</v>
      </c>
      <c r="U169" s="67">
        <f t="shared" si="24"/>
        <v>0</v>
      </c>
      <c r="V169" s="273"/>
      <c r="W169" s="273"/>
    </row>
    <row r="170" spans="1:23" x14ac:dyDescent="0.25">
      <c r="A170" t="s">
        <v>162</v>
      </c>
      <c r="B170" t="s">
        <v>458</v>
      </c>
      <c r="C170" s="25">
        <f>SUMPRODUCT(VLOOKUP($A170,'PSES Enroll Snapshot 25-01-17'!$K$5:$AB$327,{2,3,4,5,6,7,8,9},0))</f>
        <v>96.800000000000011</v>
      </c>
      <c r="D170" s="25">
        <f>SUMPRODUCT(VLOOKUP($A170,'PSES Enroll Snapshot 25-01-17'!$K$5:$AB$327,{10,11},0))-VLOOKUP($A170,'PSES Enroll Snapshot 25-01-17'!$K$5:$AB$327,12,0)</f>
        <v>28.569999999999997</v>
      </c>
      <c r="E170" s="25">
        <f>SUMPRODUCT(VLOOKUP($A170,'PSES Enroll Snapshot 25-01-17'!$K$5:$AB$327,{13,14},0))-SUMPRODUCT(VLOOKUP($A170,'PSES Enroll Snapshot 25-01-17'!$K$5:$AB$327,{15,16,17},0))</f>
        <v>27.080000000000002</v>
      </c>
      <c r="F170" s="33">
        <f>ROUND($C170*'2024-25 Elementary Calculator'!$Q$13/400,3)+ROUND($D170*'2024-25 Middle Calculator'!$O$13/432,3)+ROUND($E170*'2024-25 High Calculator'!$O$13/600,3)</f>
        <v>0.49</v>
      </c>
      <c r="G170" s="33">
        <f>ROUND($C170*'2024-25 Elementary Calculator'!$Q$15/400,3)+ROUND($D170*'2024-25 Middle Calculator'!$O$15/432,3)+ROUND($E170*'2024-25 High Calculator'!$O$15/600,3)</f>
        <v>8.7000000000000008E-2</v>
      </c>
      <c r="H170" s="33">
        <f>ROUND($C170*'2024-25 Elementary Calculator'!$Q$17/400,3)+ROUND($D170*'2024-25 Middle Calculator'!$O$17/432,3)+ROUND($E170*'2024-25 High Calculator'!$O$17/600,3)</f>
        <v>2.9000000000000005E-2</v>
      </c>
      <c r="I170" s="33">
        <f>ROUND($C170*'2024-25 Elementary Calculator'!$Q$18/400,3)+ROUND($D170*'2024-25 Middle Calculator'!$O$18/432,3)+ROUND($E170*'2024-25 High Calculator'!$O$18/600,3)</f>
        <v>0.23799999999999999</v>
      </c>
      <c r="J170" s="166">
        <f t="shared" si="18"/>
        <v>0.84399999999999997</v>
      </c>
      <c r="K170" s="33">
        <f>ROUND($C170*'2024-25 Elementary Calculator'!$Q$23/400,3)+ROUND($D170*'2024-25 Middle Calculator'!$O$23/432,3)+ROUND($E170*'2024-25 High Calculator'!$O$23/600,3)</f>
        <v>3.1E-2</v>
      </c>
      <c r="L170" s="33">
        <f>ROUND($C170*'2024-25 Elementary Calculator'!$Q$22/400,3)+ROUND($D170*'2024-25 Middle Calculator'!$O$22/432,3)+ROUND($E170*'2024-25 High Calculator'!$O$22/600,3)</f>
        <v>0.02</v>
      </c>
      <c r="M170" s="166">
        <f t="shared" si="19"/>
        <v>5.1000000000000004E-2</v>
      </c>
      <c r="N170" s="33">
        <f>VLOOKUP($A170,'District Summary'!$A$6:$AH$325,29,FALSE)</f>
        <v>0</v>
      </c>
      <c r="O170" s="33">
        <f>VLOOKUP($A170,'District Summary'!$A$6:$AH$325,34,FALSE)</f>
        <v>1.2010000000000001</v>
      </c>
      <c r="P170" s="67">
        <f t="shared" si="20"/>
        <v>-0.84399999999999997</v>
      </c>
      <c r="Q170" s="67">
        <f t="shared" si="21"/>
        <v>1.1500000000000001</v>
      </c>
      <c r="R170" s="67">
        <f t="shared" si="22"/>
        <v>0.89500000000000002</v>
      </c>
      <c r="S170" s="33">
        <f t="shared" si="23"/>
        <v>1.2010000000000001</v>
      </c>
      <c r="T170" s="67">
        <f t="shared" si="25"/>
        <v>0.30599999999999999</v>
      </c>
      <c r="U170" s="67">
        <f t="shared" si="24"/>
        <v>0</v>
      </c>
      <c r="V170" s="273"/>
      <c r="W170" s="273"/>
    </row>
    <row r="171" spans="1:23" x14ac:dyDescent="0.25">
      <c r="A171" t="s">
        <v>163</v>
      </c>
      <c r="B171" t="s">
        <v>459</v>
      </c>
      <c r="C171" s="25">
        <f>SUMPRODUCT(VLOOKUP($A171,'PSES Enroll Snapshot 25-01-17'!$K$5:$AB$327,{2,3,4,5,6,7,8,9},0))</f>
        <v>547.31999999999994</v>
      </c>
      <c r="D171" s="25">
        <f>SUMPRODUCT(VLOOKUP($A171,'PSES Enroll Snapshot 25-01-17'!$K$5:$AB$327,{10,11},0))-VLOOKUP($A171,'PSES Enroll Snapshot 25-01-17'!$K$5:$AB$327,12,0)</f>
        <v>165.24</v>
      </c>
      <c r="E171" s="25">
        <f>SUMPRODUCT(VLOOKUP($A171,'PSES Enroll Snapshot 25-01-17'!$K$5:$AB$327,{13,14},0))-SUMPRODUCT(VLOOKUP($A171,'PSES Enroll Snapshot 25-01-17'!$K$5:$AB$327,{15,16,17},0))</f>
        <v>0</v>
      </c>
      <c r="F171" s="33">
        <f>ROUND($C171*'2024-25 Elementary Calculator'!$Q$13/400,3)+ROUND($D171*'2024-25 Middle Calculator'!$O$13/432,3)+ROUND($E171*'2024-25 High Calculator'!$O$13/600,3)</f>
        <v>2.0150000000000001</v>
      </c>
      <c r="G171" s="33">
        <f>ROUND($C171*'2024-25 Elementary Calculator'!$Q$15/400,3)+ROUND($D171*'2024-25 Middle Calculator'!$O$15/432,3)+ROUND($E171*'2024-25 High Calculator'!$O$15/600,3)</f>
        <v>0.45999999999999996</v>
      </c>
      <c r="H171" s="33">
        <f>ROUND($C171*'2024-25 Elementary Calculator'!$Q$17/400,3)+ROUND($D171*'2024-25 Middle Calculator'!$O$17/432,3)+ROUND($E171*'2024-25 High Calculator'!$O$17/600,3)</f>
        <v>0.151</v>
      </c>
      <c r="I171" s="33">
        <f>ROUND($C171*'2024-25 Elementary Calculator'!$Q$18/400,3)+ROUND($D171*'2024-25 Middle Calculator'!$O$18/432,3)+ROUND($E171*'2024-25 High Calculator'!$O$18/600,3)</f>
        <v>1.1400000000000001</v>
      </c>
      <c r="J171" s="166">
        <f t="shared" si="18"/>
        <v>3.766</v>
      </c>
      <c r="K171" s="33">
        <f>ROUND($C171*'2024-25 Elementary Calculator'!$Q$23/400,3)+ROUND($D171*'2024-25 Middle Calculator'!$O$23/432,3)+ROUND($E171*'2024-25 High Calculator'!$O$23/600,3)</f>
        <v>0.14300000000000002</v>
      </c>
      <c r="L171" s="33">
        <f>ROUND($C171*'2024-25 Elementary Calculator'!$Q$22/400,3)+ROUND($D171*'2024-25 Middle Calculator'!$O$22/432,3)+ROUND($E171*'2024-25 High Calculator'!$O$22/600,3)</f>
        <v>0.113</v>
      </c>
      <c r="M171" s="166">
        <f t="shared" si="19"/>
        <v>0.25600000000000001</v>
      </c>
      <c r="N171" s="33">
        <f>VLOOKUP($A171,'District Summary'!$A$6:$AH$325,29,FALSE)</f>
        <v>3.7490000000000001</v>
      </c>
      <c r="O171" s="33">
        <f>VLOOKUP($A171,'District Summary'!$A$6:$AH$325,34,FALSE)</f>
        <v>0.39100000000000001</v>
      </c>
      <c r="P171" s="67">
        <f t="shared" si="20"/>
        <v>-1.6999999999999904E-2</v>
      </c>
      <c r="Q171" s="67">
        <f t="shared" si="21"/>
        <v>0.13500000000000001</v>
      </c>
      <c r="R171" s="67">
        <f t="shared" si="22"/>
        <v>4.0220000000000002</v>
      </c>
      <c r="S171" s="33">
        <f t="shared" si="23"/>
        <v>4.1400000000000006</v>
      </c>
      <c r="T171" s="67">
        <f t="shared" si="25"/>
        <v>0.11799999999999999</v>
      </c>
      <c r="U171" s="67">
        <f t="shared" si="24"/>
        <v>0</v>
      </c>
      <c r="V171" s="273"/>
      <c r="W171" s="273"/>
    </row>
    <row r="172" spans="1:23" x14ac:dyDescent="0.25">
      <c r="A172" t="s">
        <v>164</v>
      </c>
      <c r="B172" t="s">
        <v>460</v>
      </c>
      <c r="C172" s="25">
        <f>SUMPRODUCT(VLOOKUP($A172,'PSES Enroll Snapshot 25-01-17'!$K$5:$AB$327,{2,3,4,5,6,7,8,9},0))</f>
        <v>1136.73</v>
      </c>
      <c r="D172" s="25">
        <f>SUMPRODUCT(VLOOKUP($A172,'PSES Enroll Snapshot 25-01-17'!$K$5:$AB$327,{10,11},0))-VLOOKUP($A172,'PSES Enroll Snapshot 25-01-17'!$K$5:$AB$327,12,0)</f>
        <v>255.75</v>
      </c>
      <c r="E172" s="25">
        <f>SUMPRODUCT(VLOOKUP($A172,'PSES Enroll Snapshot 25-01-17'!$K$5:$AB$327,{13,14},0))-SUMPRODUCT(VLOOKUP($A172,'PSES Enroll Snapshot 25-01-17'!$K$5:$AB$327,{15,16,17},0))</f>
        <v>448.09</v>
      </c>
      <c r="F172" s="33">
        <f>ROUND($C172*'2024-25 Elementary Calculator'!$Q$13/400,3)+ROUND($D172*'2024-25 Middle Calculator'!$O$13/432,3)+ROUND($E172*'2024-25 High Calculator'!$O$13/600,3)</f>
        <v>6.1080000000000005</v>
      </c>
      <c r="G172" s="33">
        <f>ROUND($C172*'2024-25 Elementary Calculator'!$Q$15/400,3)+ROUND($D172*'2024-25 Middle Calculator'!$O$15/432,3)+ROUND($E172*'2024-25 High Calculator'!$O$15/600,3)</f>
        <v>1.0310000000000001</v>
      </c>
      <c r="H172" s="33">
        <f>ROUND($C172*'2024-25 Elementary Calculator'!$Q$17/400,3)+ROUND($D172*'2024-25 Middle Calculator'!$O$17/432,3)+ROUND($E172*'2024-25 High Calculator'!$O$17/600,3)</f>
        <v>0.34699999999999998</v>
      </c>
      <c r="I172" s="33">
        <f>ROUND($C172*'2024-25 Elementary Calculator'!$Q$18/400,3)+ROUND($D172*'2024-25 Middle Calculator'!$O$18/432,3)+ROUND($E172*'2024-25 High Calculator'!$O$18/600,3)</f>
        <v>2.8029999999999999</v>
      </c>
      <c r="J172" s="166">
        <f t="shared" si="18"/>
        <v>10.289000000000001</v>
      </c>
      <c r="K172" s="33">
        <f>ROUND($C172*'2024-25 Elementary Calculator'!$Q$23/400,3)+ROUND($D172*'2024-25 Middle Calculator'!$O$23/432,3)+ROUND($E172*'2024-25 High Calculator'!$O$23/600,3)</f>
        <v>0.38400000000000001</v>
      </c>
      <c r="L172" s="33">
        <f>ROUND($C172*'2024-25 Elementary Calculator'!$Q$22/400,3)+ROUND($D172*'2024-25 Middle Calculator'!$O$22/432,3)+ROUND($E172*'2024-25 High Calculator'!$O$22/600,3)</f>
        <v>0.23400000000000001</v>
      </c>
      <c r="M172" s="166">
        <f t="shared" si="19"/>
        <v>0.61799999999999999</v>
      </c>
      <c r="N172" s="33">
        <f>VLOOKUP($A172,'District Summary'!$A$6:$AH$325,29,FALSE)</f>
        <v>7.1719999999999997</v>
      </c>
      <c r="O172" s="33">
        <f>VLOOKUP($A172,'District Summary'!$A$6:$AH$325,34,FALSE)</f>
        <v>4.1079999999999997</v>
      </c>
      <c r="P172" s="67">
        <f t="shared" si="20"/>
        <v>-3.1170000000000018</v>
      </c>
      <c r="Q172" s="67">
        <f t="shared" si="21"/>
        <v>3.4899999999999998</v>
      </c>
      <c r="R172" s="67">
        <f t="shared" si="22"/>
        <v>10.907000000000002</v>
      </c>
      <c r="S172" s="33">
        <f t="shared" si="23"/>
        <v>11.28</v>
      </c>
      <c r="T172" s="67">
        <f t="shared" si="25"/>
        <v>0.373</v>
      </c>
      <c r="U172" s="67">
        <f t="shared" si="24"/>
        <v>0</v>
      </c>
      <c r="V172" s="273"/>
      <c r="W172" s="273"/>
    </row>
    <row r="173" spans="1:23" x14ac:dyDescent="0.25">
      <c r="A173" t="s">
        <v>165</v>
      </c>
      <c r="B173" t="s">
        <v>461</v>
      </c>
      <c r="C173" s="25">
        <f>SUMPRODUCT(VLOOKUP($A173,'PSES Enroll Snapshot 25-01-17'!$K$5:$AB$327,{2,3,4,5,6,7,8,9},0))</f>
        <v>265.2</v>
      </c>
      <c r="D173" s="25">
        <f>SUMPRODUCT(VLOOKUP($A173,'PSES Enroll Snapshot 25-01-17'!$K$5:$AB$327,{10,11},0))-VLOOKUP($A173,'PSES Enroll Snapshot 25-01-17'!$K$5:$AB$327,12,0)</f>
        <v>59.6</v>
      </c>
      <c r="E173" s="25">
        <f>SUMPRODUCT(VLOOKUP($A173,'PSES Enroll Snapshot 25-01-17'!$K$5:$AB$327,{13,14},0))-SUMPRODUCT(VLOOKUP($A173,'PSES Enroll Snapshot 25-01-17'!$K$5:$AB$327,{15,16,17},0))</f>
        <v>0</v>
      </c>
      <c r="F173" s="33">
        <f>ROUND($C173*'2024-25 Elementary Calculator'!$Q$13/400,3)+ROUND($D173*'2024-25 Middle Calculator'!$O$13/432,3)+ROUND($E173*'2024-25 High Calculator'!$O$13/600,3)</f>
        <v>0.89500000000000002</v>
      </c>
      <c r="G173" s="33">
        <f>ROUND($C173*'2024-25 Elementary Calculator'!$Q$15/400,3)+ROUND($D173*'2024-25 Middle Calculator'!$O$15/432,3)+ROUND($E173*'2024-25 High Calculator'!$O$15/600,3)</f>
        <v>0.218</v>
      </c>
      <c r="H173" s="33">
        <f>ROUND($C173*'2024-25 Elementary Calculator'!$Q$17/400,3)+ROUND($D173*'2024-25 Middle Calculator'!$O$17/432,3)+ROUND($E173*'2024-25 High Calculator'!$O$17/600,3)</f>
        <v>7.2000000000000008E-2</v>
      </c>
      <c r="I173" s="33">
        <f>ROUND($C173*'2024-25 Elementary Calculator'!$Q$18/400,3)+ROUND($D173*'2024-25 Middle Calculator'!$O$18/432,3)+ROUND($E173*'2024-25 High Calculator'!$O$18/600,3)</f>
        <v>0.51100000000000001</v>
      </c>
      <c r="J173" s="166">
        <f t="shared" si="18"/>
        <v>1.6960000000000002</v>
      </c>
      <c r="K173" s="33">
        <f>ROUND($C173*'2024-25 Elementary Calculator'!$Q$23/400,3)+ROUND($D173*'2024-25 Middle Calculator'!$O$23/432,3)+ROUND($E173*'2024-25 High Calculator'!$O$23/600,3)</f>
        <v>6.5000000000000002E-2</v>
      </c>
      <c r="L173" s="33">
        <f>ROUND($C173*'2024-25 Elementary Calculator'!$Q$22/400,3)+ROUND($D173*'2024-25 Middle Calculator'!$O$22/432,3)+ROUND($E173*'2024-25 High Calculator'!$O$22/600,3)</f>
        <v>5.5E-2</v>
      </c>
      <c r="M173" s="166">
        <f t="shared" si="19"/>
        <v>0.12</v>
      </c>
      <c r="N173" s="33">
        <f>VLOOKUP($A173,'District Summary'!$A$6:$AH$325,29,FALSE)</f>
        <v>1.4000000000000001</v>
      </c>
      <c r="O173" s="33">
        <f>VLOOKUP($A173,'District Summary'!$A$6:$AH$325,34,FALSE)</f>
        <v>0.51</v>
      </c>
      <c r="P173" s="67">
        <f t="shared" si="20"/>
        <v>-0.29600000000000004</v>
      </c>
      <c r="Q173" s="67">
        <f t="shared" si="21"/>
        <v>0.39</v>
      </c>
      <c r="R173" s="67">
        <f t="shared" si="22"/>
        <v>1.8160000000000003</v>
      </c>
      <c r="S173" s="33">
        <f t="shared" si="23"/>
        <v>1.9100000000000001</v>
      </c>
      <c r="T173" s="67">
        <f t="shared" si="25"/>
        <v>9.4E-2</v>
      </c>
      <c r="U173" s="67">
        <f t="shared" si="24"/>
        <v>0</v>
      </c>
      <c r="V173" s="273"/>
      <c r="W173" s="273"/>
    </row>
    <row r="174" spans="1:23" x14ac:dyDescent="0.25">
      <c r="A174" t="s">
        <v>166</v>
      </c>
      <c r="B174" t="s">
        <v>1611</v>
      </c>
      <c r="C174" s="25">
        <f>SUMPRODUCT(VLOOKUP($A174,'PSES Enroll Snapshot 25-01-17'!$K$5:$AB$327,{2,3,4,5,6,7,8,9},0))</f>
        <v>107.80000000000001</v>
      </c>
      <c r="D174" s="25">
        <f>SUMPRODUCT(VLOOKUP($A174,'PSES Enroll Snapshot 25-01-17'!$K$5:$AB$327,{10,11},0))-VLOOKUP($A174,'PSES Enroll Snapshot 25-01-17'!$K$5:$AB$327,12,0)</f>
        <v>14.739999999999998</v>
      </c>
      <c r="E174" s="25">
        <f>SUMPRODUCT(VLOOKUP($A174,'PSES Enroll Snapshot 25-01-17'!$K$5:$AB$327,{13,14},0))-SUMPRODUCT(VLOOKUP($A174,'PSES Enroll Snapshot 25-01-17'!$K$5:$AB$327,{15,16,17},0))</f>
        <v>9.8899999999999988</v>
      </c>
      <c r="F174" s="33">
        <f>ROUND($C174*'2024-25 Elementary Calculator'!$Q$13/400,3)+ROUND($D174*'2024-25 Middle Calculator'!$O$13/432,3)+ROUND($E174*'2024-25 High Calculator'!$O$13/600,3)</f>
        <v>0.377</v>
      </c>
      <c r="G174" s="33">
        <f>ROUND($C174*'2024-25 Elementary Calculator'!$Q$15/400,3)+ROUND($D174*'2024-25 Middle Calculator'!$O$15/432,3)+ROUND($E174*'2024-25 High Calculator'!$O$15/600,3)</f>
        <v>8.900000000000001E-2</v>
      </c>
      <c r="H174" s="33">
        <f>ROUND($C174*'2024-25 Elementary Calculator'!$Q$17/400,3)+ROUND($D174*'2024-25 Middle Calculator'!$O$17/432,3)+ROUND($E174*'2024-25 High Calculator'!$O$17/600,3)</f>
        <v>3.0000000000000002E-2</v>
      </c>
      <c r="I174" s="33">
        <f>ROUND($C174*'2024-25 Elementary Calculator'!$Q$18/400,3)+ROUND($D174*'2024-25 Middle Calculator'!$O$18/432,3)+ROUND($E174*'2024-25 High Calculator'!$O$18/600,3)</f>
        <v>0.20200000000000001</v>
      </c>
      <c r="J174" s="166">
        <f t="shared" si="18"/>
        <v>0.69800000000000006</v>
      </c>
      <c r="K174" s="33">
        <f>ROUND($C174*'2024-25 Elementary Calculator'!$Q$23/400,3)+ROUND($D174*'2024-25 Middle Calculator'!$O$23/432,3)+ROUND($E174*'2024-25 High Calculator'!$O$23/600,3)</f>
        <v>2.6000000000000002E-2</v>
      </c>
      <c r="L174" s="33">
        <f>ROUND($C174*'2024-25 Elementary Calculator'!$Q$22/400,3)+ROUND($D174*'2024-25 Middle Calculator'!$O$22/432,3)+ROUND($E174*'2024-25 High Calculator'!$O$22/600,3)</f>
        <v>2.1999999999999999E-2</v>
      </c>
      <c r="M174" s="166">
        <f t="shared" si="19"/>
        <v>4.8000000000000001E-2</v>
      </c>
      <c r="N174" s="33">
        <f>VLOOKUP($A174,'District Summary'!$A$6:$AH$325,29,FALSE)</f>
        <v>0.5</v>
      </c>
      <c r="O174" s="33">
        <f>VLOOKUP($A174,'District Summary'!$A$6:$AH$325,34,FALSE)</f>
        <v>0.94199999999999995</v>
      </c>
      <c r="P174" s="67">
        <f t="shared" si="20"/>
        <v>-0.19800000000000006</v>
      </c>
      <c r="Q174" s="67">
        <f t="shared" si="21"/>
        <v>0.89399999999999991</v>
      </c>
      <c r="R174" s="67">
        <f t="shared" si="22"/>
        <v>0.74600000000000011</v>
      </c>
      <c r="S174" s="33">
        <f t="shared" si="23"/>
        <v>1.4419999999999999</v>
      </c>
      <c r="T174" s="67">
        <f t="shared" si="25"/>
        <v>0.69599999999999995</v>
      </c>
      <c r="U174" s="67">
        <f t="shared" si="24"/>
        <v>0</v>
      </c>
      <c r="V174" s="273"/>
      <c r="W174" s="273"/>
    </row>
    <row r="175" spans="1:23" x14ac:dyDescent="0.25">
      <c r="A175" t="s">
        <v>167</v>
      </c>
      <c r="B175" t="s">
        <v>463</v>
      </c>
      <c r="C175" s="25">
        <f>SUMPRODUCT(VLOOKUP($A175,'PSES Enroll Snapshot 25-01-17'!$K$5:$AB$327,{2,3,4,5,6,7,8,9},0))</f>
        <v>752.59999999999991</v>
      </c>
      <c r="D175" s="25">
        <f>SUMPRODUCT(VLOOKUP($A175,'PSES Enroll Snapshot 25-01-17'!$K$5:$AB$327,{10,11},0))-VLOOKUP($A175,'PSES Enroll Snapshot 25-01-17'!$K$5:$AB$327,12,0)</f>
        <v>179.68</v>
      </c>
      <c r="E175" s="25">
        <f>SUMPRODUCT(VLOOKUP($A175,'PSES Enroll Snapshot 25-01-17'!$K$5:$AB$327,{13,14},0))-SUMPRODUCT(VLOOKUP($A175,'PSES Enroll Snapshot 25-01-17'!$K$5:$AB$327,{15,16,17},0))</f>
        <v>266.25</v>
      </c>
      <c r="F175" s="33">
        <f>ROUND($C175*'2024-25 Elementary Calculator'!$Q$13/400,3)+ROUND($D175*'2024-25 Middle Calculator'!$O$13/432,3)+ROUND($E175*'2024-25 High Calculator'!$O$13/600,3)</f>
        <v>3.931</v>
      </c>
      <c r="G175" s="33">
        <f>ROUND($C175*'2024-25 Elementary Calculator'!$Q$15/400,3)+ROUND($D175*'2024-25 Middle Calculator'!$O$15/432,3)+ROUND($E175*'2024-25 High Calculator'!$O$15/600,3)</f>
        <v>0.67800000000000005</v>
      </c>
      <c r="H175" s="33">
        <f>ROUND($C175*'2024-25 Elementary Calculator'!$Q$17/400,3)+ROUND($D175*'2024-25 Middle Calculator'!$O$17/432,3)+ROUND($E175*'2024-25 High Calculator'!$O$17/600,3)</f>
        <v>0.22800000000000001</v>
      </c>
      <c r="I175" s="33">
        <f>ROUND($C175*'2024-25 Elementary Calculator'!$Q$18/400,3)+ROUND($D175*'2024-25 Middle Calculator'!$O$18/432,3)+ROUND($E175*'2024-25 High Calculator'!$O$18/600,3)</f>
        <v>1.8359999999999999</v>
      </c>
      <c r="J175" s="166">
        <f t="shared" si="18"/>
        <v>6.673</v>
      </c>
      <c r="K175" s="33">
        <f>ROUND($C175*'2024-25 Elementary Calculator'!$Q$23/400,3)+ROUND($D175*'2024-25 Middle Calculator'!$O$23/432,3)+ROUND($E175*'2024-25 High Calculator'!$O$23/600,3)</f>
        <v>0.25</v>
      </c>
      <c r="L175" s="33">
        <f>ROUND($C175*'2024-25 Elementary Calculator'!$Q$22/400,3)+ROUND($D175*'2024-25 Middle Calculator'!$O$22/432,3)+ROUND($E175*'2024-25 High Calculator'!$O$22/600,3)</f>
        <v>0.155</v>
      </c>
      <c r="M175" s="166">
        <f t="shared" si="19"/>
        <v>0.40500000000000003</v>
      </c>
      <c r="N175" s="33">
        <f>VLOOKUP($A175,'District Summary'!$A$6:$AH$325,29,FALSE)</f>
        <v>5.4010000000000007</v>
      </c>
      <c r="O175" s="33">
        <f>VLOOKUP($A175,'District Summary'!$A$6:$AH$325,34,FALSE)</f>
        <v>1.431</v>
      </c>
      <c r="P175" s="67">
        <f t="shared" si="20"/>
        <v>-1.2719999999999994</v>
      </c>
      <c r="Q175" s="67">
        <f t="shared" si="21"/>
        <v>1.026</v>
      </c>
      <c r="R175" s="67">
        <f t="shared" si="22"/>
        <v>7.0780000000000003</v>
      </c>
      <c r="S175" s="33">
        <f t="shared" si="23"/>
        <v>6.8320000000000007</v>
      </c>
      <c r="T175" s="67">
        <f t="shared" si="25"/>
        <v>-0.246</v>
      </c>
      <c r="U175" s="67">
        <f t="shared" si="24"/>
        <v>-0.246</v>
      </c>
      <c r="V175" s="273"/>
      <c r="W175" s="273"/>
    </row>
    <row r="176" spans="1:23" x14ac:dyDescent="0.25">
      <c r="A176" t="s">
        <v>168</v>
      </c>
      <c r="B176" t="s">
        <v>464</v>
      </c>
      <c r="C176" s="25">
        <f>SUMPRODUCT(VLOOKUP($A176,'PSES Enroll Snapshot 25-01-17'!$K$5:$AB$327,{2,3,4,5,6,7,8,9},0))</f>
        <v>485.87</v>
      </c>
      <c r="D176" s="25">
        <f>SUMPRODUCT(VLOOKUP($A176,'PSES Enroll Snapshot 25-01-17'!$K$5:$AB$327,{10,11},0))-VLOOKUP($A176,'PSES Enroll Snapshot 25-01-17'!$K$5:$AB$327,12,0)</f>
        <v>137.56</v>
      </c>
      <c r="E176" s="25">
        <f>SUMPRODUCT(VLOOKUP($A176,'PSES Enroll Snapshot 25-01-17'!$K$5:$AB$327,{13,14},0))-SUMPRODUCT(VLOOKUP($A176,'PSES Enroll Snapshot 25-01-17'!$K$5:$AB$327,{15,16,17},0))</f>
        <v>213.13000000000002</v>
      </c>
      <c r="F176" s="33">
        <f>ROUND($C176*'2024-25 Elementary Calculator'!$Q$13/400,3)+ROUND($D176*'2024-25 Middle Calculator'!$O$13/432,3)+ROUND($E176*'2024-25 High Calculator'!$O$13/600,3)</f>
        <v>2.8319999999999999</v>
      </c>
      <c r="G176" s="33">
        <f>ROUND($C176*'2024-25 Elementary Calculator'!$Q$15/400,3)+ROUND($D176*'2024-25 Middle Calculator'!$O$15/432,3)+ROUND($E176*'2024-25 High Calculator'!$O$15/600,3)</f>
        <v>0.45100000000000001</v>
      </c>
      <c r="H176" s="33">
        <f>ROUND($C176*'2024-25 Elementary Calculator'!$Q$17/400,3)+ROUND($D176*'2024-25 Middle Calculator'!$O$17/432,3)+ROUND($E176*'2024-25 High Calculator'!$O$17/600,3)</f>
        <v>0.15100000000000002</v>
      </c>
      <c r="I176" s="33">
        <f>ROUND($C176*'2024-25 Elementary Calculator'!$Q$18/400,3)+ROUND($D176*'2024-25 Middle Calculator'!$O$18/432,3)+ROUND($E176*'2024-25 High Calculator'!$O$18/600,3)</f>
        <v>1.2869999999999999</v>
      </c>
      <c r="J176" s="166">
        <f t="shared" si="18"/>
        <v>4.7210000000000001</v>
      </c>
      <c r="K176" s="33">
        <f>ROUND($C176*'2024-25 Elementary Calculator'!$Q$23/400,3)+ROUND($D176*'2024-25 Middle Calculator'!$O$23/432,3)+ROUND($E176*'2024-25 High Calculator'!$O$23/600,3)</f>
        <v>0.17499999999999999</v>
      </c>
      <c r="L176" s="33">
        <f>ROUND($C176*'2024-25 Elementary Calculator'!$Q$22/400,3)+ROUND($D176*'2024-25 Middle Calculator'!$O$22/432,3)+ROUND($E176*'2024-25 High Calculator'!$O$22/600,3)</f>
        <v>0.1</v>
      </c>
      <c r="M176" s="166">
        <f t="shared" si="19"/>
        <v>0.27500000000000002</v>
      </c>
      <c r="N176" s="33">
        <f>VLOOKUP($A176,'District Summary'!$A$6:$AH$325,29,FALSE)</f>
        <v>3.66</v>
      </c>
      <c r="O176" s="33">
        <f>VLOOKUP($A176,'District Summary'!$A$6:$AH$325,34,FALSE)</f>
        <v>3.7590000000000003</v>
      </c>
      <c r="P176" s="67">
        <f t="shared" si="20"/>
        <v>-1.0609999999999999</v>
      </c>
      <c r="Q176" s="67">
        <f t="shared" si="21"/>
        <v>3.4840000000000004</v>
      </c>
      <c r="R176" s="67">
        <f t="shared" si="22"/>
        <v>4.9960000000000004</v>
      </c>
      <c r="S176" s="33">
        <f t="shared" si="23"/>
        <v>7.4190000000000005</v>
      </c>
      <c r="T176" s="67">
        <f t="shared" si="25"/>
        <v>2.423</v>
      </c>
      <c r="U176" s="67">
        <f t="shared" si="24"/>
        <v>0</v>
      </c>
      <c r="V176" s="273"/>
      <c r="W176" s="273"/>
    </row>
    <row r="177" spans="1:23" x14ac:dyDescent="0.25">
      <c r="A177" t="s">
        <v>169</v>
      </c>
      <c r="B177" t="s">
        <v>465</v>
      </c>
      <c r="C177" s="25">
        <f>SUMPRODUCT(VLOOKUP($A177,'PSES Enroll Snapshot 25-01-17'!$K$5:$AB$327,{2,3,4,5,6,7,8,9},0))</f>
        <v>474.24</v>
      </c>
      <c r="D177" s="25">
        <f>SUMPRODUCT(VLOOKUP($A177,'PSES Enroll Snapshot 25-01-17'!$K$5:$AB$327,{10,11},0))-VLOOKUP($A177,'PSES Enroll Snapshot 25-01-17'!$K$5:$AB$327,12,0)</f>
        <v>137.61000000000001</v>
      </c>
      <c r="E177" s="25">
        <f>SUMPRODUCT(VLOOKUP($A177,'PSES Enroll Snapshot 25-01-17'!$K$5:$AB$327,{13,14},0))-SUMPRODUCT(VLOOKUP($A177,'PSES Enroll Snapshot 25-01-17'!$K$5:$AB$327,{15,16,17},0))</f>
        <v>217.88</v>
      </c>
      <c r="F177" s="33">
        <f>ROUND($C177*'2024-25 Elementary Calculator'!$Q$13/400,3)+ROUND($D177*'2024-25 Middle Calculator'!$O$13/432,3)+ROUND($E177*'2024-25 High Calculator'!$O$13/600,3)</f>
        <v>2.8280000000000003</v>
      </c>
      <c r="G177" s="33">
        <f>ROUND($C177*'2024-25 Elementary Calculator'!$Q$15/400,3)+ROUND($D177*'2024-25 Middle Calculator'!$O$15/432,3)+ROUND($E177*'2024-25 High Calculator'!$O$15/600,3)</f>
        <v>0.443</v>
      </c>
      <c r="H177" s="33">
        <f>ROUND($C177*'2024-25 Elementary Calculator'!$Q$17/400,3)+ROUND($D177*'2024-25 Middle Calculator'!$O$17/432,3)+ROUND($E177*'2024-25 High Calculator'!$O$17/600,3)</f>
        <v>0.14899999999999999</v>
      </c>
      <c r="I177" s="33">
        <f>ROUND($C177*'2024-25 Elementary Calculator'!$Q$18/400,3)+ROUND($D177*'2024-25 Middle Calculator'!$O$18/432,3)+ROUND($E177*'2024-25 High Calculator'!$O$18/600,3)</f>
        <v>1.2759999999999998</v>
      </c>
      <c r="J177" s="166">
        <f t="shared" si="18"/>
        <v>4.6959999999999997</v>
      </c>
      <c r="K177" s="33">
        <f>ROUND($C177*'2024-25 Elementary Calculator'!$Q$23/400,3)+ROUND($D177*'2024-25 Middle Calculator'!$O$23/432,3)+ROUND($E177*'2024-25 High Calculator'!$O$23/600,3)</f>
        <v>0.17399999999999999</v>
      </c>
      <c r="L177" s="33">
        <f>ROUND($C177*'2024-25 Elementary Calculator'!$Q$22/400,3)+ROUND($D177*'2024-25 Middle Calculator'!$O$22/432,3)+ROUND($E177*'2024-25 High Calculator'!$O$22/600,3)</f>
        <v>9.8000000000000004E-2</v>
      </c>
      <c r="M177" s="166">
        <f t="shared" si="19"/>
        <v>0.27200000000000002</v>
      </c>
      <c r="N177" s="33">
        <f>VLOOKUP($A177,'District Summary'!$A$6:$AH$325,29,FALSE)</f>
        <v>3.1240000000000001</v>
      </c>
      <c r="O177" s="33">
        <f>VLOOKUP($A177,'District Summary'!$A$6:$AH$325,34,FALSE)</f>
        <v>1.1899999999999997</v>
      </c>
      <c r="P177" s="67">
        <f t="shared" si="20"/>
        <v>-1.5719999999999996</v>
      </c>
      <c r="Q177" s="67">
        <f t="shared" si="21"/>
        <v>0.91799999999999971</v>
      </c>
      <c r="R177" s="67">
        <f t="shared" si="22"/>
        <v>4.968</v>
      </c>
      <c r="S177" s="33">
        <f t="shared" si="23"/>
        <v>4.3140000000000001</v>
      </c>
      <c r="T177" s="67">
        <f t="shared" si="25"/>
        <v>-0.65400000000000003</v>
      </c>
      <c r="U177" s="67">
        <f t="shared" si="24"/>
        <v>-0.65400000000000003</v>
      </c>
      <c r="V177" s="273"/>
      <c r="W177" s="273"/>
    </row>
    <row r="178" spans="1:23" x14ac:dyDescent="0.25">
      <c r="A178" t="s">
        <v>170</v>
      </c>
      <c r="B178" t="s">
        <v>466</v>
      </c>
      <c r="C178" s="25">
        <f>SUMPRODUCT(VLOOKUP($A178,'PSES Enroll Snapshot 25-01-17'!$K$5:$AB$327,{2,3,4,5,6,7,8,9},0))</f>
        <v>117.4</v>
      </c>
      <c r="D178" s="25">
        <f>SUMPRODUCT(VLOOKUP($A178,'PSES Enroll Snapshot 25-01-17'!$K$5:$AB$327,{10,11},0))-VLOOKUP($A178,'PSES Enroll Snapshot 25-01-17'!$K$5:$AB$327,12,0)</f>
        <v>36.620000000000005</v>
      </c>
      <c r="E178" s="25">
        <f>SUMPRODUCT(VLOOKUP($A178,'PSES Enroll Snapshot 25-01-17'!$K$5:$AB$327,{13,14},0))-SUMPRODUCT(VLOOKUP($A178,'PSES Enroll Snapshot 25-01-17'!$K$5:$AB$327,{15,16,17},0))</f>
        <v>47.849999999999994</v>
      </c>
      <c r="F178" s="33">
        <f>ROUND($C178*'2024-25 Elementary Calculator'!$Q$13/400,3)+ROUND($D178*'2024-25 Middle Calculator'!$O$13/432,3)+ROUND($E178*'2024-25 High Calculator'!$O$13/600,3)</f>
        <v>0.67799999999999994</v>
      </c>
      <c r="G178" s="33">
        <f>ROUND($C178*'2024-25 Elementary Calculator'!$Q$15/400,3)+ROUND($D178*'2024-25 Middle Calculator'!$O$15/432,3)+ROUND($E178*'2024-25 High Calculator'!$O$15/600,3)</f>
        <v>0.108</v>
      </c>
      <c r="H178" s="33">
        <f>ROUND($C178*'2024-25 Elementary Calculator'!$Q$17/400,3)+ROUND($D178*'2024-25 Middle Calculator'!$O$17/432,3)+ROUND($E178*'2024-25 High Calculator'!$O$17/600,3)</f>
        <v>3.7000000000000005E-2</v>
      </c>
      <c r="I178" s="33">
        <f>ROUND($C178*'2024-25 Elementary Calculator'!$Q$18/400,3)+ROUND($D178*'2024-25 Middle Calculator'!$O$18/432,3)+ROUND($E178*'2024-25 High Calculator'!$O$18/600,3)</f>
        <v>0.313</v>
      </c>
      <c r="J178" s="166">
        <f t="shared" si="18"/>
        <v>1.1359999999999999</v>
      </c>
      <c r="K178" s="33">
        <f>ROUND($C178*'2024-25 Elementary Calculator'!$Q$23/400,3)+ROUND($D178*'2024-25 Middle Calculator'!$O$23/432,3)+ROUND($E178*'2024-25 High Calculator'!$O$23/600,3)</f>
        <v>4.1999999999999996E-2</v>
      </c>
      <c r="L178" s="33">
        <f>ROUND($C178*'2024-25 Elementary Calculator'!$Q$22/400,3)+ROUND($D178*'2024-25 Middle Calculator'!$O$22/432,3)+ROUND($E178*'2024-25 High Calculator'!$O$22/600,3)</f>
        <v>2.4E-2</v>
      </c>
      <c r="M178" s="166">
        <f t="shared" si="19"/>
        <v>6.6000000000000003E-2</v>
      </c>
      <c r="N178" s="33">
        <f>VLOOKUP($A178,'District Summary'!$A$6:$AH$325,29,FALSE)</f>
        <v>1.0780000000000001</v>
      </c>
      <c r="O178" s="33">
        <f>VLOOKUP($A178,'District Summary'!$A$6:$AH$325,34,FALSE)</f>
        <v>0</v>
      </c>
      <c r="P178" s="67">
        <f t="shared" si="20"/>
        <v>-5.7999999999999829E-2</v>
      </c>
      <c r="Q178" s="67">
        <f t="shared" si="21"/>
        <v>-6.6000000000000003E-2</v>
      </c>
      <c r="R178" s="67">
        <f t="shared" si="22"/>
        <v>1.202</v>
      </c>
      <c r="S178" s="33">
        <f t="shared" si="23"/>
        <v>1.0780000000000001</v>
      </c>
      <c r="T178" s="67">
        <f t="shared" si="25"/>
        <v>-0.124</v>
      </c>
      <c r="U178" s="67">
        <f t="shared" si="24"/>
        <v>-0.124</v>
      </c>
      <c r="V178" s="273"/>
      <c r="W178" s="273"/>
    </row>
    <row r="179" spans="1:23" x14ac:dyDescent="0.25">
      <c r="A179" t="s">
        <v>171</v>
      </c>
      <c r="B179" t="s">
        <v>467</v>
      </c>
      <c r="C179" s="25">
        <f>SUMPRODUCT(VLOOKUP($A179,'PSES Enroll Snapshot 25-01-17'!$K$5:$AB$327,{2,3,4,5,6,7,8,9},0))</f>
        <v>400.83000000000004</v>
      </c>
      <c r="D179" s="25">
        <f>SUMPRODUCT(VLOOKUP($A179,'PSES Enroll Snapshot 25-01-17'!$K$5:$AB$327,{10,11},0))-VLOOKUP($A179,'PSES Enroll Snapshot 25-01-17'!$K$5:$AB$327,12,0)</f>
        <v>107.1</v>
      </c>
      <c r="E179" s="25">
        <f>SUMPRODUCT(VLOOKUP($A179,'PSES Enroll Snapshot 25-01-17'!$K$5:$AB$327,{13,14},0))-SUMPRODUCT(VLOOKUP($A179,'PSES Enroll Snapshot 25-01-17'!$K$5:$AB$327,{15,16,17},0))</f>
        <v>159.44999999999999</v>
      </c>
      <c r="F179" s="33">
        <f>ROUND($C179*'2024-25 Elementary Calculator'!$Q$13/400,3)+ROUND($D179*'2024-25 Middle Calculator'!$O$13/432,3)+ROUND($E179*'2024-25 High Calculator'!$O$13/600,3)</f>
        <v>2.2279999999999998</v>
      </c>
      <c r="G179" s="33">
        <f>ROUND($C179*'2024-25 Elementary Calculator'!$Q$15/400,3)+ROUND($D179*'2024-25 Middle Calculator'!$O$15/432,3)+ROUND($E179*'2024-25 High Calculator'!$O$15/600,3)</f>
        <v>0.36799999999999999</v>
      </c>
      <c r="H179" s="33">
        <f>ROUND($C179*'2024-25 Elementary Calculator'!$Q$17/400,3)+ROUND($D179*'2024-25 Middle Calculator'!$O$17/432,3)+ROUND($E179*'2024-25 High Calculator'!$O$17/600,3)</f>
        <v>0.123</v>
      </c>
      <c r="I179" s="33">
        <f>ROUND($C179*'2024-25 Elementary Calculator'!$Q$18/400,3)+ROUND($D179*'2024-25 Middle Calculator'!$O$18/432,3)+ROUND($E179*'2024-25 High Calculator'!$O$18/600,3)</f>
        <v>1.0249999999999999</v>
      </c>
      <c r="J179" s="166">
        <f t="shared" si="18"/>
        <v>3.7439999999999993</v>
      </c>
      <c r="K179" s="33">
        <f>ROUND($C179*'2024-25 Elementary Calculator'!$Q$23/400,3)+ROUND($D179*'2024-25 Middle Calculator'!$O$23/432,3)+ROUND($E179*'2024-25 High Calculator'!$O$23/600,3)</f>
        <v>0.13900000000000001</v>
      </c>
      <c r="L179" s="33">
        <f>ROUND($C179*'2024-25 Elementary Calculator'!$Q$22/400,3)+ROUND($D179*'2024-25 Middle Calculator'!$O$22/432,3)+ROUND($E179*'2024-25 High Calculator'!$O$22/600,3)</f>
        <v>8.3000000000000004E-2</v>
      </c>
      <c r="M179" s="166">
        <f t="shared" si="19"/>
        <v>0.22200000000000003</v>
      </c>
      <c r="N179" s="33">
        <f>VLOOKUP($A179,'District Summary'!$A$6:$AH$325,29,FALSE)</f>
        <v>1.9</v>
      </c>
      <c r="O179" s="33">
        <f>VLOOKUP($A179,'District Summary'!$A$6:$AH$325,34,FALSE)</f>
        <v>1.8210000000000002</v>
      </c>
      <c r="P179" s="67">
        <f t="shared" si="20"/>
        <v>-1.8439999999999994</v>
      </c>
      <c r="Q179" s="67">
        <f t="shared" si="21"/>
        <v>1.5990000000000002</v>
      </c>
      <c r="R179" s="67">
        <f t="shared" si="22"/>
        <v>3.9659999999999993</v>
      </c>
      <c r="S179" s="33">
        <f t="shared" si="23"/>
        <v>3.7210000000000001</v>
      </c>
      <c r="T179" s="67">
        <f t="shared" si="25"/>
        <v>-0.245</v>
      </c>
      <c r="U179" s="67">
        <f t="shared" si="24"/>
        <v>-0.245</v>
      </c>
      <c r="V179" s="273"/>
      <c r="W179" s="273"/>
    </row>
    <row r="180" spans="1:23" x14ac:dyDescent="0.25">
      <c r="A180" t="s">
        <v>172</v>
      </c>
      <c r="B180" t="s">
        <v>468</v>
      </c>
      <c r="C180" s="25">
        <f>SUMPRODUCT(VLOOKUP($A180,'PSES Enroll Snapshot 25-01-17'!$K$5:$AB$327,{2,3,4,5,6,7,8,9},0))</f>
        <v>518.79999999999995</v>
      </c>
      <c r="D180" s="25">
        <f>SUMPRODUCT(VLOOKUP($A180,'PSES Enroll Snapshot 25-01-17'!$K$5:$AB$327,{10,11},0))-VLOOKUP($A180,'PSES Enroll Snapshot 25-01-17'!$K$5:$AB$327,12,0)</f>
        <v>131.47</v>
      </c>
      <c r="E180" s="25">
        <f>SUMPRODUCT(VLOOKUP($A180,'PSES Enroll Snapshot 25-01-17'!$K$5:$AB$327,{13,14},0))-SUMPRODUCT(VLOOKUP($A180,'PSES Enroll Snapshot 25-01-17'!$K$5:$AB$327,{15,16,17},0))</f>
        <v>228.64</v>
      </c>
      <c r="F180" s="33">
        <f>ROUND($C180*'2024-25 Elementary Calculator'!$Q$13/400,3)+ROUND($D180*'2024-25 Middle Calculator'!$O$13/432,3)+ROUND($E180*'2024-25 High Calculator'!$O$13/600,3)</f>
        <v>2.968</v>
      </c>
      <c r="G180" s="33">
        <f>ROUND($C180*'2024-25 Elementary Calculator'!$Q$15/400,3)+ROUND($D180*'2024-25 Middle Calculator'!$O$15/432,3)+ROUND($E180*'2024-25 High Calculator'!$O$15/600,3)</f>
        <v>0.47800000000000004</v>
      </c>
      <c r="H180" s="33">
        <f>ROUND($C180*'2024-25 Elementary Calculator'!$Q$17/400,3)+ROUND($D180*'2024-25 Middle Calculator'!$O$17/432,3)+ROUND($E180*'2024-25 High Calculator'!$O$17/600,3)</f>
        <v>0.161</v>
      </c>
      <c r="I180" s="33">
        <f>ROUND($C180*'2024-25 Elementary Calculator'!$Q$18/400,3)+ROUND($D180*'2024-25 Middle Calculator'!$O$18/432,3)+ROUND($E180*'2024-25 High Calculator'!$O$18/600,3)</f>
        <v>1.343</v>
      </c>
      <c r="J180" s="166">
        <f t="shared" si="18"/>
        <v>4.95</v>
      </c>
      <c r="K180" s="33">
        <f>ROUND($C180*'2024-25 Elementary Calculator'!$Q$23/400,3)+ROUND($D180*'2024-25 Middle Calculator'!$O$23/432,3)+ROUND($E180*'2024-25 High Calculator'!$O$23/600,3)</f>
        <v>0.184</v>
      </c>
      <c r="L180" s="33">
        <f>ROUND($C180*'2024-25 Elementary Calculator'!$Q$22/400,3)+ROUND($D180*'2024-25 Middle Calculator'!$O$22/432,3)+ROUND($E180*'2024-25 High Calculator'!$O$22/600,3)</f>
        <v>0.107</v>
      </c>
      <c r="M180" s="166">
        <f t="shared" si="19"/>
        <v>0.29099999999999998</v>
      </c>
      <c r="N180" s="33">
        <f>VLOOKUP($A180,'District Summary'!$A$6:$AH$325,29,FALSE)</f>
        <v>2.8719999999999999</v>
      </c>
      <c r="O180" s="33">
        <f>VLOOKUP($A180,'District Summary'!$A$6:$AH$325,34,FALSE)</f>
        <v>1.1019999999999999</v>
      </c>
      <c r="P180" s="67">
        <f t="shared" si="20"/>
        <v>-2.0780000000000003</v>
      </c>
      <c r="Q180" s="67">
        <f t="shared" si="21"/>
        <v>0.81099999999999994</v>
      </c>
      <c r="R180" s="67">
        <f t="shared" si="22"/>
        <v>5.2410000000000005</v>
      </c>
      <c r="S180" s="33">
        <f t="shared" si="23"/>
        <v>3.9739999999999998</v>
      </c>
      <c r="T180" s="67">
        <f t="shared" si="25"/>
        <v>-1.2669999999999999</v>
      </c>
      <c r="U180" s="67">
        <f t="shared" si="24"/>
        <v>-1.2669999999999999</v>
      </c>
      <c r="V180" s="273"/>
      <c r="W180" s="273"/>
    </row>
    <row r="181" spans="1:23" x14ac:dyDescent="0.25">
      <c r="A181" t="s">
        <v>173</v>
      </c>
      <c r="B181" t="s">
        <v>469</v>
      </c>
      <c r="C181" s="25">
        <f>SUMPRODUCT(VLOOKUP($A181,'PSES Enroll Snapshot 25-01-17'!$K$5:$AB$327,{2,3,4,5,6,7,8,9},0))</f>
        <v>267.17</v>
      </c>
      <c r="D181" s="25">
        <f>SUMPRODUCT(VLOOKUP($A181,'PSES Enroll Snapshot 25-01-17'!$K$5:$AB$327,{10,11},0))-VLOOKUP($A181,'PSES Enroll Snapshot 25-01-17'!$K$5:$AB$327,12,0)</f>
        <v>72.37</v>
      </c>
      <c r="E181" s="25">
        <f>SUMPRODUCT(VLOOKUP($A181,'PSES Enroll Snapshot 25-01-17'!$K$5:$AB$327,{13,14},0))-SUMPRODUCT(VLOOKUP($A181,'PSES Enroll Snapshot 25-01-17'!$K$5:$AB$327,{15,16,17},0))</f>
        <v>109.14</v>
      </c>
      <c r="F181" s="33">
        <f>ROUND($C181*'2024-25 Elementary Calculator'!$Q$13/400,3)+ROUND($D181*'2024-25 Middle Calculator'!$O$13/432,3)+ROUND($E181*'2024-25 High Calculator'!$O$13/600,3)</f>
        <v>1.5030000000000001</v>
      </c>
      <c r="G181" s="33">
        <f>ROUND($C181*'2024-25 Elementary Calculator'!$Q$15/400,3)+ROUND($D181*'2024-25 Middle Calculator'!$O$15/432,3)+ROUND($E181*'2024-25 High Calculator'!$O$15/600,3)</f>
        <v>0.24599999999999997</v>
      </c>
      <c r="H181" s="33">
        <f>ROUND($C181*'2024-25 Elementary Calculator'!$Q$17/400,3)+ROUND($D181*'2024-25 Middle Calculator'!$O$17/432,3)+ROUND($E181*'2024-25 High Calculator'!$O$17/600,3)</f>
        <v>8.2000000000000003E-2</v>
      </c>
      <c r="I181" s="33">
        <f>ROUND($C181*'2024-25 Elementary Calculator'!$Q$18/400,3)+ROUND($D181*'2024-25 Middle Calculator'!$O$18/432,3)+ROUND($E181*'2024-25 High Calculator'!$O$18/600,3)</f>
        <v>0.69000000000000006</v>
      </c>
      <c r="J181" s="166">
        <f t="shared" si="18"/>
        <v>2.5210000000000004</v>
      </c>
      <c r="K181" s="33">
        <f>ROUND($C181*'2024-25 Elementary Calculator'!$Q$23/400,3)+ROUND($D181*'2024-25 Middle Calculator'!$O$23/432,3)+ROUND($E181*'2024-25 High Calculator'!$O$23/600,3)</f>
        <v>9.4E-2</v>
      </c>
      <c r="L181" s="33">
        <f>ROUND($C181*'2024-25 Elementary Calculator'!$Q$22/400,3)+ROUND($D181*'2024-25 Middle Calculator'!$O$22/432,3)+ROUND($E181*'2024-25 High Calculator'!$O$22/600,3)</f>
        <v>5.5E-2</v>
      </c>
      <c r="M181" s="166">
        <f t="shared" si="19"/>
        <v>0.14899999999999999</v>
      </c>
      <c r="N181" s="33">
        <f>VLOOKUP($A181,'District Summary'!$A$6:$AH$325,29,FALSE)</f>
        <v>1.9609999999999999</v>
      </c>
      <c r="O181" s="33">
        <f>VLOOKUP($A181,'District Summary'!$A$6:$AH$325,34,FALSE)</f>
        <v>0.77700000000000002</v>
      </c>
      <c r="P181" s="67">
        <f t="shared" si="20"/>
        <v>-0.5600000000000005</v>
      </c>
      <c r="Q181" s="67">
        <f t="shared" si="21"/>
        <v>0.628</v>
      </c>
      <c r="R181" s="67">
        <f t="shared" si="22"/>
        <v>2.6700000000000004</v>
      </c>
      <c r="S181" s="33">
        <f t="shared" si="23"/>
        <v>2.738</v>
      </c>
      <c r="T181" s="67">
        <f t="shared" si="25"/>
        <v>6.8000000000000005E-2</v>
      </c>
      <c r="U181" s="67">
        <f t="shared" si="24"/>
        <v>0</v>
      </c>
      <c r="V181" s="273"/>
      <c r="W181" s="273"/>
    </row>
    <row r="182" spans="1:23" x14ac:dyDescent="0.25">
      <c r="A182" t="s">
        <v>1247</v>
      </c>
      <c r="B182" t="s">
        <v>1232</v>
      </c>
      <c r="C182" s="25">
        <f>SUMPRODUCT(VLOOKUP($A182,'PSES Enroll Snapshot 25-01-17'!$K$5:$AB$327,{2,3,4,5,6,7,8,9},0))</f>
        <v>110.81</v>
      </c>
      <c r="D182" s="25">
        <f>SUMPRODUCT(VLOOKUP($A182,'PSES Enroll Snapshot 25-01-17'!$K$5:$AB$327,{10,11},0))-VLOOKUP($A182,'PSES Enroll Snapshot 25-01-17'!$K$5:$AB$327,12,0)</f>
        <v>27</v>
      </c>
      <c r="E182" s="25">
        <f>SUMPRODUCT(VLOOKUP($A182,'PSES Enroll Snapshot 25-01-17'!$K$5:$AB$327,{13,14},0))-SUMPRODUCT(VLOOKUP($A182,'PSES Enroll Snapshot 25-01-17'!$K$5:$AB$327,{15,16,17},0))</f>
        <v>8</v>
      </c>
      <c r="F182" s="33">
        <f>ROUND($C182*'2024-25 Elementary Calculator'!$Q$13/400,3)+ROUND($D182*'2024-25 Middle Calculator'!$O$13/432,3)+ROUND($E182*'2024-25 High Calculator'!$O$13/600,3)</f>
        <v>0.42299999999999999</v>
      </c>
      <c r="G182" s="33">
        <f>ROUND($C182*'2024-25 Elementary Calculator'!$Q$15/400,3)+ROUND($D182*'2024-25 Middle Calculator'!$O$15/432,3)+ROUND($E182*'2024-25 High Calculator'!$O$15/600,3)</f>
        <v>9.4E-2</v>
      </c>
      <c r="H182" s="33">
        <f>ROUND($C182*'2024-25 Elementary Calculator'!$Q$17/400,3)+ROUND($D182*'2024-25 Middle Calculator'!$O$17/432,3)+ROUND($E182*'2024-25 High Calculator'!$O$17/600,3)</f>
        <v>3.2000000000000001E-2</v>
      </c>
      <c r="I182" s="33">
        <f>ROUND($C182*'2024-25 Elementary Calculator'!$Q$18/400,3)+ROUND($D182*'2024-25 Middle Calculator'!$O$18/432,3)+ROUND($E182*'2024-25 High Calculator'!$O$18/600,3)</f>
        <v>0.22900000000000001</v>
      </c>
      <c r="J182" s="166">
        <f t="shared" si="18"/>
        <v>0.77800000000000002</v>
      </c>
      <c r="K182" s="33">
        <f>ROUND($C182*'2024-25 Elementary Calculator'!$Q$23/400,3)+ROUND($D182*'2024-25 Middle Calculator'!$O$23/432,3)+ROUND($E182*'2024-25 High Calculator'!$O$23/600,3)</f>
        <v>0.03</v>
      </c>
      <c r="L182" s="33">
        <f>ROUND($C182*'2024-25 Elementary Calculator'!$Q$22/400,3)+ROUND($D182*'2024-25 Middle Calculator'!$O$22/432,3)+ROUND($E182*'2024-25 High Calculator'!$O$22/600,3)</f>
        <v>2.3E-2</v>
      </c>
      <c r="M182" s="166">
        <f t="shared" si="19"/>
        <v>5.2999999999999999E-2</v>
      </c>
      <c r="N182" s="33">
        <f>VLOOKUP($A182,'District Summary'!$A$6:$AH$325,29,FALSE)</f>
        <v>0</v>
      </c>
      <c r="O182" s="33">
        <f>VLOOKUP($A182,'District Summary'!$A$6:$AH$325,34,FALSE)</f>
        <v>6.5640000000000001</v>
      </c>
      <c r="P182" s="67">
        <f t="shared" si="20"/>
        <v>-0.77800000000000002</v>
      </c>
      <c r="Q182" s="67">
        <f t="shared" si="21"/>
        <v>6.5110000000000001</v>
      </c>
      <c r="R182" s="67">
        <f t="shared" si="22"/>
        <v>0.83100000000000007</v>
      </c>
      <c r="S182" s="33">
        <f t="shared" si="23"/>
        <v>6.5640000000000001</v>
      </c>
      <c r="T182" s="67">
        <f t="shared" si="25"/>
        <v>5.7329999999999997</v>
      </c>
      <c r="U182" s="67">
        <f t="shared" si="24"/>
        <v>0</v>
      </c>
      <c r="V182" s="273"/>
      <c r="W182" s="273"/>
    </row>
    <row r="183" spans="1:23" x14ac:dyDescent="0.25">
      <c r="A183" t="s">
        <v>174</v>
      </c>
      <c r="B183" t="s">
        <v>470</v>
      </c>
      <c r="C183" s="25">
        <f>SUMPRODUCT(VLOOKUP($A183,'PSES Enroll Snapshot 25-01-17'!$K$5:$AB$327,{2,3,4,5,6,7,8,9},0))</f>
        <v>456.73</v>
      </c>
      <c r="D183" s="25">
        <f>SUMPRODUCT(VLOOKUP($A183,'PSES Enroll Snapshot 25-01-17'!$K$5:$AB$327,{10,11},0))-VLOOKUP($A183,'PSES Enroll Snapshot 25-01-17'!$K$5:$AB$327,12,0)</f>
        <v>145.02000000000001</v>
      </c>
      <c r="E183" s="25">
        <f>SUMPRODUCT(VLOOKUP($A183,'PSES Enroll Snapshot 25-01-17'!$K$5:$AB$327,{13,14},0))-SUMPRODUCT(VLOOKUP($A183,'PSES Enroll Snapshot 25-01-17'!$K$5:$AB$327,{15,16,17},0))</f>
        <v>188.44</v>
      </c>
      <c r="F183" s="33">
        <f>ROUND($C183*'2024-25 Elementary Calculator'!$Q$13/400,3)+ROUND($D183*'2024-25 Middle Calculator'!$O$13/432,3)+ROUND($E183*'2024-25 High Calculator'!$O$13/600,3)</f>
        <v>2.6639999999999997</v>
      </c>
      <c r="G183" s="33">
        <f>ROUND($C183*'2024-25 Elementary Calculator'!$Q$15/400,3)+ROUND($D183*'2024-25 Middle Calculator'!$O$15/432,3)+ROUND($E183*'2024-25 High Calculator'!$O$15/600,3)</f>
        <v>0.42499999999999999</v>
      </c>
      <c r="H183" s="33">
        <f>ROUND($C183*'2024-25 Elementary Calculator'!$Q$17/400,3)+ROUND($D183*'2024-25 Middle Calculator'!$O$17/432,3)+ROUND($E183*'2024-25 High Calculator'!$O$17/600,3)</f>
        <v>0.14200000000000002</v>
      </c>
      <c r="I183" s="33">
        <f>ROUND($C183*'2024-25 Elementary Calculator'!$Q$18/400,3)+ROUND($D183*'2024-25 Middle Calculator'!$O$18/432,3)+ROUND($E183*'2024-25 High Calculator'!$O$18/600,3)</f>
        <v>1.2250000000000001</v>
      </c>
      <c r="J183" s="166">
        <f t="shared" si="18"/>
        <v>4.4559999999999995</v>
      </c>
      <c r="K183" s="33">
        <f>ROUND($C183*'2024-25 Elementary Calculator'!$Q$23/400,3)+ROUND($D183*'2024-25 Middle Calculator'!$O$23/432,3)+ROUND($E183*'2024-25 High Calculator'!$O$23/600,3)</f>
        <v>0.16499999999999998</v>
      </c>
      <c r="L183" s="33">
        <f>ROUND($C183*'2024-25 Elementary Calculator'!$Q$22/400,3)+ROUND($D183*'2024-25 Middle Calculator'!$O$22/432,3)+ROUND($E183*'2024-25 High Calculator'!$O$22/600,3)</f>
        <v>9.4E-2</v>
      </c>
      <c r="M183" s="166">
        <f t="shared" si="19"/>
        <v>0.25900000000000001</v>
      </c>
      <c r="N183" s="33">
        <f>VLOOKUP($A183,'District Summary'!$A$6:$AH$325,29,FALSE)</f>
        <v>1.5</v>
      </c>
      <c r="O183" s="33">
        <f>VLOOKUP($A183,'District Summary'!$A$6:$AH$325,34,FALSE)</f>
        <v>1.837</v>
      </c>
      <c r="P183" s="67">
        <f t="shared" si="20"/>
        <v>-2.9559999999999995</v>
      </c>
      <c r="Q183" s="67">
        <f t="shared" si="21"/>
        <v>1.5779999999999998</v>
      </c>
      <c r="R183" s="67">
        <f t="shared" si="22"/>
        <v>4.7149999999999999</v>
      </c>
      <c r="S183" s="33">
        <f t="shared" si="23"/>
        <v>3.3369999999999997</v>
      </c>
      <c r="T183" s="67">
        <f t="shared" si="25"/>
        <v>-1.3779999999999999</v>
      </c>
      <c r="U183" s="67">
        <f t="shared" si="24"/>
        <v>-1.3779999999999999</v>
      </c>
      <c r="V183" s="273"/>
      <c r="W183" s="273"/>
    </row>
    <row r="184" spans="1:23" x14ac:dyDescent="0.25">
      <c r="A184" t="s">
        <v>175</v>
      </c>
      <c r="B184" t="s">
        <v>471</v>
      </c>
      <c r="C184" s="25">
        <f>SUMPRODUCT(VLOOKUP($A184,'PSES Enroll Snapshot 25-01-17'!$K$5:$AB$327,{2,3,4,5,6,7,8,9},0))</f>
        <v>241.2</v>
      </c>
      <c r="D184" s="25">
        <f>SUMPRODUCT(VLOOKUP($A184,'PSES Enroll Snapshot 25-01-17'!$K$5:$AB$327,{10,11},0))-VLOOKUP($A184,'PSES Enroll Snapshot 25-01-17'!$K$5:$AB$327,12,0)</f>
        <v>67.8</v>
      </c>
      <c r="E184" s="25">
        <f>SUMPRODUCT(VLOOKUP($A184,'PSES Enroll Snapshot 25-01-17'!$K$5:$AB$327,{13,14},0))-SUMPRODUCT(VLOOKUP($A184,'PSES Enroll Snapshot 25-01-17'!$K$5:$AB$327,{15,16,17},0))</f>
        <v>125.67999999999999</v>
      </c>
      <c r="F184" s="33">
        <f>ROUND($C184*'2024-25 Elementary Calculator'!$Q$13/400,3)+ROUND($D184*'2024-25 Middle Calculator'!$O$13/432,3)+ROUND($E184*'2024-25 High Calculator'!$O$13/600,3)</f>
        <v>1.5049999999999999</v>
      </c>
      <c r="G184" s="33">
        <f>ROUND($C184*'2024-25 Elementary Calculator'!$Q$15/400,3)+ROUND($D184*'2024-25 Middle Calculator'!$O$15/432,3)+ROUND($E184*'2024-25 High Calculator'!$O$15/600,3)</f>
        <v>0.22900000000000001</v>
      </c>
      <c r="H184" s="33">
        <f>ROUND($C184*'2024-25 Elementary Calculator'!$Q$17/400,3)+ROUND($D184*'2024-25 Middle Calculator'!$O$17/432,3)+ROUND($E184*'2024-25 High Calculator'!$O$17/600,3)</f>
        <v>7.6999999999999999E-2</v>
      </c>
      <c r="I184" s="33">
        <f>ROUND($C184*'2024-25 Elementary Calculator'!$Q$18/400,3)+ROUND($D184*'2024-25 Middle Calculator'!$O$18/432,3)+ROUND($E184*'2024-25 High Calculator'!$O$18/600,3)</f>
        <v>0.66500000000000004</v>
      </c>
      <c r="J184" s="166">
        <f t="shared" si="18"/>
        <v>2.476</v>
      </c>
      <c r="K184" s="33">
        <f>ROUND($C184*'2024-25 Elementary Calculator'!$Q$23/400,3)+ROUND($D184*'2024-25 Middle Calculator'!$O$23/432,3)+ROUND($E184*'2024-25 High Calculator'!$O$23/600,3)</f>
        <v>9.1999999999999998E-2</v>
      </c>
      <c r="L184" s="33">
        <f>ROUND($C184*'2024-25 Elementary Calculator'!$Q$22/400,3)+ROUND($D184*'2024-25 Middle Calculator'!$O$22/432,3)+ROUND($E184*'2024-25 High Calculator'!$O$22/600,3)</f>
        <v>0.05</v>
      </c>
      <c r="M184" s="166">
        <f t="shared" si="19"/>
        <v>0.14200000000000002</v>
      </c>
      <c r="N184" s="33">
        <f>VLOOKUP($A184,'District Summary'!$A$6:$AH$325,29,FALSE)</f>
        <v>1.5</v>
      </c>
      <c r="O184" s="33">
        <f>VLOOKUP($A184,'District Summary'!$A$6:$AH$325,34,FALSE)</f>
        <v>0.64600000000000002</v>
      </c>
      <c r="P184" s="67">
        <f t="shared" si="20"/>
        <v>-0.97599999999999998</v>
      </c>
      <c r="Q184" s="67">
        <f t="shared" si="21"/>
        <v>0.504</v>
      </c>
      <c r="R184" s="67">
        <f t="shared" si="22"/>
        <v>2.6179999999999999</v>
      </c>
      <c r="S184" s="33">
        <f t="shared" si="23"/>
        <v>2.1459999999999999</v>
      </c>
      <c r="T184" s="67">
        <f t="shared" si="25"/>
        <v>-0.47199999999999998</v>
      </c>
      <c r="U184" s="67">
        <f t="shared" si="24"/>
        <v>-0.47199999999999998</v>
      </c>
      <c r="V184" s="273"/>
      <c r="W184" s="273"/>
    </row>
    <row r="185" spans="1:23" x14ac:dyDescent="0.25">
      <c r="A185" t="s">
        <v>176</v>
      </c>
      <c r="B185" t="s">
        <v>472</v>
      </c>
      <c r="C185" s="25">
        <f>SUMPRODUCT(VLOOKUP($A185,'PSES Enroll Snapshot 25-01-17'!$K$5:$AB$327,{2,3,4,5,6,7,8,9},0))</f>
        <v>289.2</v>
      </c>
      <c r="D185" s="25">
        <f>SUMPRODUCT(VLOOKUP($A185,'PSES Enroll Snapshot 25-01-17'!$K$5:$AB$327,{10,11},0))-VLOOKUP($A185,'PSES Enroll Snapshot 25-01-17'!$K$5:$AB$327,12,0)</f>
        <v>76.399999999999991</v>
      </c>
      <c r="E185" s="25">
        <f>SUMPRODUCT(VLOOKUP($A185,'PSES Enroll Snapshot 25-01-17'!$K$5:$AB$327,{13,14},0))-SUMPRODUCT(VLOOKUP($A185,'PSES Enroll Snapshot 25-01-17'!$K$5:$AB$327,{15,16,17},0))</f>
        <v>109.83</v>
      </c>
      <c r="F185" s="33">
        <f>ROUND($C185*'2024-25 Elementary Calculator'!$Q$13/400,3)+ROUND($D185*'2024-25 Middle Calculator'!$O$13/432,3)+ROUND($E185*'2024-25 High Calculator'!$O$13/600,3)</f>
        <v>1.577</v>
      </c>
      <c r="G185" s="33">
        <f>ROUND($C185*'2024-25 Elementary Calculator'!$Q$15/400,3)+ROUND($D185*'2024-25 Middle Calculator'!$O$15/432,3)+ROUND($E185*'2024-25 High Calculator'!$O$15/600,3)</f>
        <v>0.26400000000000001</v>
      </c>
      <c r="H185" s="33">
        <f>ROUND($C185*'2024-25 Elementary Calculator'!$Q$17/400,3)+ROUND($D185*'2024-25 Middle Calculator'!$O$17/432,3)+ROUND($E185*'2024-25 High Calculator'!$O$17/600,3)</f>
        <v>8.7999999999999995E-2</v>
      </c>
      <c r="I185" s="33">
        <f>ROUND($C185*'2024-25 Elementary Calculator'!$Q$18/400,3)+ROUND($D185*'2024-25 Middle Calculator'!$O$18/432,3)+ROUND($E185*'2024-25 High Calculator'!$O$18/600,3)</f>
        <v>0.73099999999999998</v>
      </c>
      <c r="J185" s="166">
        <f t="shared" si="18"/>
        <v>2.66</v>
      </c>
      <c r="K185" s="33">
        <f>ROUND($C185*'2024-25 Elementary Calculator'!$Q$23/400,3)+ROUND($D185*'2024-25 Middle Calculator'!$O$23/432,3)+ROUND($E185*'2024-25 High Calculator'!$O$23/600,3)</f>
        <v>9.9000000000000005E-2</v>
      </c>
      <c r="L185" s="33">
        <f>ROUND($C185*'2024-25 Elementary Calculator'!$Q$22/400,3)+ROUND($D185*'2024-25 Middle Calculator'!$O$22/432,3)+ROUND($E185*'2024-25 High Calculator'!$O$22/600,3)</f>
        <v>0.06</v>
      </c>
      <c r="M185" s="166">
        <f t="shared" si="19"/>
        <v>0.159</v>
      </c>
      <c r="N185" s="33">
        <f>VLOOKUP($A185,'District Summary'!$A$6:$AH$325,29,FALSE)</f>
        <v>0.71599999999999997</v>
      </c>
      <c r="O185" s="33">
        <f>VLOOKUP($A185,'District Summary'!$A$6:$AH$325,34,FALSE)</f>
        <v>1.1020000000000001</v>
      </c>
      <c r="P185" s="67">
        <f t="shared" si="20"/>
        <v>-1.9440000000000002</v>
      </c>
      <c r="Q185" s="67">
        <f t="shared" si="21"/>
        <v>0.94300000000000006</v>
      </c>
      <c r="R185" s="67">
        <f t="shared" si="22"/>
        <v>2.819</v>
      </c>
      <c r="S185" s="33">
        <f t="shared" si="23"/>
        <v>1.8180000000000001</v>
      </c>
      <c r="T185" s="67">
        <f t="shared" si="25"/>
        <v>-1.0009999999999999</v>
      </c>
      <c r="U185" s="67">
        <f t="shared" si="24"/>
        <v>-1.0009999999999999</v>
      </c>
      <c r="V185" s="273"/>
      <c r="W185" s="273"/>
    </row>
    <row r="186" spans="1:23" x14ac:dyDescent="0.25">
      <c r="A186" t="s">
        <v>177</v>
      </c>
      <c r="B186" t="s">
        <v>473</v>
      </c>
      <c r="C186" s="25">
        <f>SUMPRODUCT(VLOOKUP($A186,'PSES Enroll Snapshot 25-01-17'!$K$5:$AB$327,{2,3,4,5,6,7,8,9},0))</f>
        <v>150.60000000000002</v>
      </c>
      <c r="D186" s="25">
        <f>SUMPRODUCT(VLOOKUP($A186,'PSES Enroll Snapshot 25-01-17'!$K$5:$AB$327,{10,11},0))-VLOOKUP($A186,'PSES Enroll Snapshot 25-01-17'!$K$5:$AB$327,12,0)</f>
        <v>45.9</v>
      </c>
      <c r="E186" s="25">
        <f>SUMPRODUCT(VLOOKUP($A186,'PSES Enroll Snapshot 25-01-17'!$K$5:$AB$327,{13,14},0))-SUMPRODUCT(VLOOKUP($A186,'PSES Enroll Snapshot 25-01-17'!$K$5:$AB$327,{15,16,17},0))</f>
        <v>87.63</v>
      </c>
      <c r="F186" s="33">
        <f>ROUND($C186*'2024-25 Elementary Calculator'!$Q$13/400,3)+ROUND($D186*'2024-25 Middle Calculator'!$O$13/432,3)+ROUND($E186*'2024-25 High Calculator'!$O$13/600,3)</f>
        <v>1</v>
      </c>
      <c r="G186" s="33">
        <f>ROUND($C186*'2024-25 Elementary Calculator'!$Q$15/400,3)+ROUND($D186*'2024-25 Middle Calculator'!$O$15/432,3)+ROUND($E186*'2024-25 High Calculator'!$O$15/600,3)</f>
        <v>0.14499999999999999</v>
      </c>
      <c r="H186" s="33">
        <f>ROUND($C186*'2024-25 Elementary Calculator'!$Q$17/400,3)+ROUND($D186*'2024-25 Middle Calculator'!$O$17/432,3)+ROUND($E186*'2024-25 High Calculator'!$O$17/600,3)</f>
        <v>4.9000000000000002E-2</v>
      </c>
      <c r="I186" s="33">
        <f>ROUND($C186*'2024-25 Elementary Calculator'!$Q$18/400,3)+ROUND($D186*'2024-25 Middle Calculator'!$O$18/432,3)+ROUND($E186*'2024-25 High Calculator'!$O$18/600,3)</f>
        <v>0.434</v>
      </c>
      <c r="J186" s="166">
        <f t="shared" si="18"/>
        <v>1.6279999999999999</v>
      </c>
      <c r="K186" s="33">
        <f>ROUND($C186*'2024-25 Elementary Calculator'!$Q$23/400,3)+ROUND($D186*'2024-25 Middle Calculator'!$O$23/432,3)+ROUND($E186*'2024-25 High Calculator'!$O$23/600,3)</f>
        <v>6.0999999999999999E-2</v>
      </c>
      <c r="L186" s="33">
        <f>ROUND($C186*'2024-25 Elementary Calculator'!$Q$22/400,3)+ROUND($D186*'2024-25 Middle Calculator'!$O$22/432,3)+ROUND($E186*'2024-25 High Calculator'!$O$22/600,3)</f>
        <v>3.1E-2</v>
      </c>
      <c r="M186" s="166">
        <f t="shared" si="19"/>
        <v>9.1999999999999998E-2</v>
      </c>
      <c r="N186" s="33">
        <f>VLOOKUP($A186,'District Summary'!$A$6:$AH$325,29,FALSE)</f>
        <v>1</v>
      </c>
      <c r="O186" s="33">
        <f>VLOOKUP($A186,'District Summary'!$A$6:$AH$325,34,FALSE)</f>
        <v>0</v>
      </c>
      <c r="P186" s="67">
        <f t="shared" si="20"/>
        <v>-0.62799999999999989</v>
      </c>
      <c r="Q186" s="67">
        <f t="shared" si="21"/>
        <v>-9.1999999999999998E-2</v>
      </c>
      <c r="R186" s="67">
        <f t="shared" si="22"/>
        <v>1.72</v>
      </c>
      <c r="S186" s="33">
        <f t="shared" si="23"/>
        <v>1</v>
      </c>
      <c r="T186" s="67">
        <f t="shared" si="25"/>
        <v>-0.72</v>
      </c>
      <c r="U186" s="67">
        <f t="shared" si="24"/>
        <v>-0.72</v>
      </c>
      <c r="V186" s="273"/>
      <c r="W186" s="273"/>
    </row>
    <row r="187" spans="1:23" x14ac:dyDescent="0.25">
      <c r="A187" t="s">
        <v>178</v>
      </c>
      <c r="B187" t="s">
        <v>474</v>
      </c>
      <c r="C187" s="25">
        <f>SUMPRODUCT(VLOOKUP($A187,'PSES Enroll Snapshot 25-01-17'!$K$5:$AB$327,{2,3,4,5,6,7,8,9},0))</f>
        <v>170</v>
      </c>
      <c r="D187" s="25">
        <f>SUMPRODUCT(VLOOKUP($A187,'PSES Enroll Snapshot 25-01-17'!$K$5:$AB$327,{10,11},0))-VLOOKUP($A187,'PSES Enroll Snapshot 25-01-17'!$K$5:$AB$327,12,0)</f>
        <v>47.7</v>
      </c>
      <c r="E187" s="25">
        <f>SUMPRODUCT(VLOOKUP($A187,'PSES Enroll Snapshot 25-01-17'!$K$5:$AB$327,{13,14},0))-SUMPRODUCT(VLOOKUP($A187,'PSES Enroll Snapshot 25-01-17'!$K$5:$AB$327,{15,16,17},0))</f>
        <v>69.27000000000001</v>
      </c>
      <c r="F187" s="33">
        <f>ROUND($C187*'2024-25 Elementary Calculator'!$Q$13/400,3)+ROUND($D187*'2024-25 Middle Calculator'!$O$13/432,3)+ROUND($E187*'2024-25 High Calculator'!$O$13/600,3)</f>
        <v>0.96199999999999997</v>
      </c>
      <c r="G187" s="33">
        <f>ROUND($C187*'2024-25 Elementary Calculator'!$Q$15/400,3)+ROUND($D187*'2024-25 Middle Calculator'!$O$15/432,3)+ROUND($E187*'2024-25 High Calculator'!$O$15/600,3)</f>
        <v>0.15700000000000003</v>
      </c>
      <c r="H187" s="33">
        <f>ROUND($C187*'2024-25 Elementary Calculator'!$Q$17/400,3)+ROUND($D187*'2024-25 Middle Calculator'!$O$17/432,3)+ROUND($E187*'2024-25 High Calculator'!$O$17/600,3)</f>
        <v>5.2999999999999999E-2</v>
      </c>
      <c r="I187" s="33">
        <f>ROUND($C187*'2024-25 Elementary Calculator'!$Q$18/400,3)+ROUND($D187*'2024-25 Middle Calculator'!$O$18/432,3)+ROUND($E187*'2024-25 High Calculator'!$O$18/600,3)</f>
        <v>0.44199999999999995</v>
      </c>
      <c r="J187" s="166">
        <f t="shared" si="18"/>
        <v>1.6139999999999999</v>
      </c>
      <c r="K187" s="33">
        <f>ROUND($C187*'2024-25 Elementary Calculator'!$Q$23/400,3)+ROUND($D187*'2024-25 Middle Calculator'!$O$23/432,3)+ROUND($E187*'2024-25 High Calculator'!$O$23/600,3)</f>
        <v>6.0000000000000005E-2</v>
      </c>
      <c r="L187" s="33">
        <f>ROUND($C187*'2024-25 Elementary Calculator'!$Q$22/400,3)+ROUND($D187*'2024-25 Middle Calculator'!$O$22/432,3)+ROUND($E187*'2024-25 High Calculator'!$O$22/600,3)</f>
        <v>3.5000000000000003E-2</v>
      </c>
      <c r="M187" s="166">
        <f t="shared" si="19"/>
        <v>9.5000000000000001E-2</v>
      </c>
      <c r="N187" s="33">
        <f>VLOOKUP($A187,'District Summary'!$A$6:$AH$325,29,FALSE)</f>
        <v>0.9850000000000001</v>
      </c>
      <c r="O187" s="33">
        <f>VLOOKUP($A187,'District Summary'!$A$6:$AH$325,34,FALSE)</f>
        <v>1.117</v>
      </c>
      <c r="P187" s="67">
        <f t="shared" si="20"/>
        <v>-0.62899999999999978</v>
      </c>
      <c r="Q187" s="67">
        <f t="shared" si="21"/>
        <v>1.022</v>
      </c>
      <c r="R187" s="67">
        <f t="shared" si="22"/>
        <v>1.7089999999999999</v>
      </c>
      <c r="S187" s="33">
        <f t="shared" si="23"/>
        <v>2.1020000000000003</v>
      </c>
      <c r="T187" s="67">
        <f t="shared" si="25"/>
        <v>0.39300000000000002</v>
      </c>
      <c r="U187" s="67">
        <f t="shared" si="24"/>
        <v>0</v>
      </c>
      <c r="V187" s="273"/>
      <c r="W187" s="273"/>
    </row>
    <row r="188" spans="1:23" x14ac:dyDescent="0.25">
      <c r="A188" t="s">
        <v>179</v>
      </c>
      <c r="B188" t="s">
        <v>475</v>
      </c>
      <c r="C188" s="25">
        <f>SUMPRODUCT(VLOOKUP($A188,'PSES Enroll Snapshot 25-01-17'!$K$5:$AB$327,{2,3,4,5,6,7,8,9},0))</f>
        <v>34.51</v>
      </c>
      <c r="D188" s="25">
        <f>SUMPRODUCT(VLOOKUP($A188,'PSES Enroll Snapshot 25-01-17'!$K$5:$AB$327,{10,11},0))-VLOOKUP($A188,'PSES Enroll Snapshot 25-01-17'!$K$5:$AB$327,12,0)</f>
        <v>4.99</v>
      </c>
      <c r="E188" s="25">
        <f>SUMPRODUCT(VLOOKUP($A188,'PSES Enroll Snapshot 25-01-17'!$K$5:$AB$327,{13,14},0))-SUMPRODUCT(VLOOKUP($A188,'PSES Enroll Snapshot 25-01-17'!$K$5:$AB$327,{15,16,17},0))</f>
        <v>9.9499999999999993</v>
      </c>
      <c r="F188" s="33">
        <f>ROUND($C188*'2024-25 Elementary Calculator'!$Q$13/400,3)+ROUND($D188*'2024-25 Middle Calculator'!$O$13/432,3)+ROUND($E188*'2024-25 High Calculator'!$O$13/600,3)</f>
        <v>0.156</v>
      </c>
      <c r="G188" s="33">
        <f>ROUND($C188*'2024-25 Elementary Calculator'!$Q$15/400,3)+ROUND($D188*'2024-25 Middle Calculator'!$O$15/432,3)+ROUND($E188*'2024-25 High Calculator'!$O$15/600,3)</f>
        <v>0.03</v>
      </c>
      <c r="H188" s="33">
        <f>ROUND($C188*'2024-25 Elementary Calculator'!$Q$17/400,3)+ROUND($D188*'2024-25 Middle Calculator'!$O$17/432,3)+ROUND($E188*'2024-25 High Calculator'!$O$17/600,3)</f>
        <v>9.9999999999999985E-3</v>
      </c>
      <c r="I188" s="33">
        <f>ROUND($C188*'2024-25 Elementary Calculator'!$Q$18/400,3)+ROUND($D188*'2024-25 Middle Calculator'!$O$18/432,3)+ROUND($E188*'2024-25 High Calculator'!$O$18/600,3)</f>
        <v>7.400000000000001E-2</v>
      </c>
      <c r="J188" s="166">
        <f t="shared" si="18"/>
        <v>0.27</v>
      </c>
      <c r="K188" s="33">
        <f>ROUND($C188*'2024-25 Elementary Calculator'!$Q$23/400,3)+ROUND($D188*'2024-25 Middle Calculator'!$O$23/432,3)+ROUND($E188*'2024-25 High Calculator'!$O$23/600,3)</f>
        <v>0.01</v>
      </c>
      <c r="L188" s="33">
        <f>ROUND($C188*'2024-25 Elementary Calculator'!$Q$22/400,3)+ROUND($D188*'2024-25 Middle Calculator'!$O$22/432,3)+ROUND($E188*'2024-25 High Calculator'!$O$22/600,3)</f>
        <v>7.0000000000000001E-3</v>
      </c>
      <c r="M188" s="166">
        <f t="shared" si="19"/>
        <v>1.7000000000000001E-2</v>
      </c>
      <c r="N188" s="33">
        <f>VLOOKUP($A188,'District Summary'!$A$6:$AH$325,29,FALSE)</f>
        <v>0</v>
      </c>
      <c r="O188" s="33">
        <f>VLOOKUP($A188,'District Summary'!$A$6:$AH$325,34,FALSE)</f>
        <v>0</v>
      </c>
      <c r="P188" s="67">
        <f t="shared" si="20"/>
        <v>-0.27</v>
      </c>
      <c r="Q188" s="67">
        <f t="shared" si="21"/>
        <v>-1.7000000000000001E-2</v>
      </c>
      <c r="R188" s="67">
        <f t="shared" si="22"/>
        <v>0.28700000000000003</v>
      </c>
      <c r="S188" s="33">
        <f t="shared" si="23"/>
        <v>0</v>
      </c>
      <c r="T188" s="67">
        <f t="shared" si="25"/>
        <v>-0.28699999999999998</v>
      </c>
      <c r="U188" s="67">
        <f t="shared" si="24"/>
        <v>-0.28699999999999998</v>
      </c>
      <c r="V188" s="273"/>
      <c r="W188" s="273"/>
    </row>
    <row r="189" spans="1:23" x14ac:dyDescent="0.25">
      <c r="A189" t="s">
        <v>180</v>
      </c>
      <c r="B189" t="s">
        <v>476</v>
      </c>
      <c r="C189" s="25">
        <f>SUMPRODUCT(VLOOKUP($A189,'PSES Enroll Snapshot 25-01-17'!$K$5:$AB$327,{2,3,4,5,6,7,8,9},0))</f>
        <v>512.73</v>
      </c>
      <c r="D189" s="25">
        <f>SUMPRODUCT(VLOOKUP($A189,'PSES Enroll Snapshot 25-01-17'!$K$5:$AB$327,{10,11},0))-VLOOKUP($A189,'PSES Enroll Snapshot 25-01-17'!$K$5:$AB$327,12,0)</f>
        <v>112.14</v>
      </c>
      <c r="E189" s="25">
        <f>SUMPRODUCT(VLOOKUP($A189,'PSES Enroll Snapshot 25-01-17'!$K$5:$AB$327,{13,14},0))-SUMPRODUCT(VLOOKUP($A189,'PSES Enroll Snapshot 25-01-17'!$K$5:$AB$327,{15,16,17},0))</f>
        <v>187.75</v>
      </c>
      <c r="F189" s="33">
        <f>ROUND($C189*'2024-25 Elementary Calculator'!$Q$13/400,3)+ROUND($D189*'2024-25 Middle Calculator'!$O$13/432,3)+ROUND($E189*'2024-25 High Calculator'!$O$13/600,3)</f>
        <v>2.669</v>
      </c>
      <c r="G189" s="33">
        <f>ROUND($C189*'2024-25 Elementary Calculator'!$Q$15/400,3)+ROUND($D189*'2024-25 Middle Calculator'!$O$15/432,3)+ROUND($E189*'2024-25 High Calculator'!$O$15/600,3)</f>
        <v>0.46200000000000002</v>
      </c>
      <c r="H189" s="33">
        <f>ROUND($C189*'2024-25 Elementary Calculator'!$Q$17/400,3)+ROUND($D189*'2024-25 Middle Calculator'!$O$17/432,3)+ROUND($E189*'2024-25 High Calculator'!$O$17/600,3)</f>
        <v>0.15400000000000003</v>
      </c>
      <c r="I189" s="33">
        <f>ROUND($C189*'2024-25 Elementary Calculator'!$Q$18/400,3)+ROUND($D189*'2024-25 Middle Calculator'!$O$18/432,3)+ROUND($E189*'2024-25 High Calculator'!$O$18/600,3)</f>
        <v>1.2389999999999999</v>
      </c>
      <c r="J189" s="166">
        <f t="shared" si="18"/>
        <v>4.524</v>
      </c>
      <c r="K189" s="33">
        <f>ROUND($C189*'2024-25 Elementary Calculator'!$Q$23/400,3)+ROUND($D189*'2024-25 Middle Calculator'!$O$23/432,3)+ROUND($E189*'2024-25 High Calculator'!$O$23/600,3)</f>
        <v>0.16899999999999998</v>
      </c>
      <c r="L189" s="33">
        <f>ROUND($C189*'2024-25 Elementary Calculator'!$Q$22/400,3)+ROUND($D189*'2024-25 Middle Calculator'!$O$22/432,3)+ROUND($E189*'2024-25 High Calculator'!$O$22/600,3)</f>
        <v>0.106</v>
      </c>
      <c r="M189" s="166">
        <f t="shared" si="19"/>
        <v>0.27499999999999997</v>
      </c>
      <c r="N189" s="33">
        <f>VLOOKUP($A189,'District Summary'!$A$6:$AH$325,29,FALSE)</f>
        <v>4.7270000000000003</v>
      </c>
      <c r="O189" s="33">
        <f>VLOOKUP($A189,'District Summary'!$A$6:$AH$325,34,FALSE)</f>
        <v>1.3</v>
      </c>
      <c r="P189" s="67">
        <f t="shared" si="20"/>
        <v>0.20300000000000029</v>
      </c>
      <c r="Q189" s="67">
        <f t="shared" si="21"/>
        <v>1.0250000000000001</v>
      </c>
      <c r="R189" s="67">
        <f t="shared" si="22"/>
        <v>4.7990000000000004</v>
      </c>
      <c r="S189" s="33">
        <f t="shared" si="23"/>
        <v>6.0270000000000001</v>
      </c>
      <c r="T189" s="67">
        <f t="shared" si="25"/>
        <v>1.228</v>
      </c>
      <c r="U189" s="67">
        <f t="shared" si="24"/>
        <v>0</v>
      </c>
      <c r="V189" s="273"/>
      <c r="W189" s="273"/>
    </row>
    <row r="190" spans="1:23" x14ac:dyDescent="0.25">
      <c r="A190" t="s">
        <v>181</v>
      </c>
      <c r="B190" t="s">
        <v>477</v>
      </c>
      <c r="C190" s="25">
        <f>SUMPRODUCT(VLOOKUP($A190,'PSES Enroll Snapshot 25-01-17'!$K$5:$AB$327,{2,3,4,5,6,7,8,9},0))</f>
        <v>152.75</v>
      </c>
      <c r="D190" s="25">
        <f>SUMPRODUCT(VLOOKUP($A190,'PSES Enroll Snapshot 25-01-17'!$K$5:$AB$327,{10,11},0))-VLOOKUP($A190,'PSES Enroll Snapshot 25-01-17'!$K$5:$AB$327,12,0)</f>
        <v>39.799999999999997</v>
      </c>
      <c r="E190" s="25">
        <f>SUMPRODUCT(VLOOKUP($A190,'PSES Enroll Snapshot 25-01-17'!$K$5:$AB$327,{13,14},0))-SUMPRODUCT(VLOOKUP($A190,'PSES Enroll Snapshot 25-01-17'!$K$5:$AB$327,{15,16,17},0))</f>
        <v>66.41</v>
      </c>
      <c r="F190" s="33">
        <f>ROUND($C190*'2024-25 Elementary Calculator'!$Q$13/400,3)+ROUND($D190*'2024-25 Middle Calculator'!$O$13/432,3)+ROUND($E190*'2024-25 High Calculator'!$O$13/600,3)</f>
        <v>0.873</v>
      </c>
      <c r="G190" s="33">
        <f>ROUND($C190*'2024-25 Elementary Calculator'!$Q$15/400,3)+ROUND($D190*'2024-25 Middle Calculator'!$O$15/432,3)+ROUND($E190*'2024-25 High Calculator'!$O$15/600,3)</f>
        <v>0.14100000000000001</v>
      </c>
      <c r="H190" s="33">
        <f>ROUND($C190*'2024-25 Elementary Calculator'!$Q$17/400,3)+ROUND($D190*'2024-25 Middle Calculator'!$O$17/432,3)+ROUND($E190*'2024-25 High Calculator'!$O$17/600,3)</f>
        <v>4.7E-2</v>
      </c>
      <c r="I190" s="33">
        <f>ROUND($C190*'2024-25 Elementary Calculator'!$Q$18/400,3)+ROUND($D190*'2024-25 Middle Calculator'!$O$18/432,3)+ROUND($E190*'2024-25 High Calculator'!$O$18/600,3)</f>
        <v>0.39600000000000002</v>
      </c>
      <c r="J190" s="166">
        <f t="shared" si="18"/>
        <v>1.4569999999999999</v>
      </c>
      <c r="K190" s="33">
        <f>ROUND($C190*'2024-25 Elementary Calculator'!$Q$23/400,3)+ROUND($D190*'2024-25 Middle Calculator'!$O$23/432,3)+ROUND($E190*'2024-25 High Calculator'!$O$23/600,3)</f>
        <v>5.3999999999999999E-2</v>
      </c>
      <c r="L190" s="33">
        <f>ROUND($C190*'2024-25 Elementary Calculator'!$Q$22/400,3)+ROUND($D190*'2024-25 Middle Calculator'!$O$22/432,3)+ROUND($E190*'2024-25 High Calculator'!$O$22/600,3)</f>
        <v>3.2000000000000001E-2</v>
      </c>
      <c r="M190" s="166">
        <f t="shared" si="19"/>
        <v>8.5999999999999993E-2</v>
      </c>
      <c r="N190" s="33">
        <f>VLOOKUP($A190,'District Summary'!$A$6:$AH$325,29,FALSE)</f>
        <v>0.7589999999999999</v>
      </c>
      <c r="O190" s="33">
        <f>VLOOKUP($A190,'District Summary'!$A$6:$AH$325,34,FALSE)</f>
        <v>2.0920000000000001</v>
      </c>
      <c r="P190" s="67">
        <f t="shared" si="20"/>
        <v>-0.69799999999999995</v>
      </c>
      <c r="Q190" s="67">
        <f t="shared" si="21"/>
        <v>2.0060000000000002</v>
      </c>
      <c r="R190" s="67">
        <f t="shared" si="22"/>
        <v>1.5429999999999999</v>
      </c>
      <c r="S190" s="33">
        <f t="shared" si="23"/>
        <v>2.851</v>
      </c>
      <c r="T190" s="67">
        <f t="shared" si="25"/>
        <v>1.3080000000000001</v>
      </c>
      <c r="U190" s="67">
        <f t="shared" si="24"/>
        <v>0</v>
      </c>
      <c r="V190" s="273"/>
      <c r="W190" s="273"/>
    </row>
    <row r="191" spans="1:23" x14ac:dyDescent="0.25">
      <c r="A191" t="s">
        <v>182</v>
      </c>
      <c r="B191" t="s">
        <v>478</v>
      </c>
      <c r="C191" s="25">
        <f>SUMPRODUCT(VLOOKUP($A191,'PSES Enroll Snapshot 25-01-17'!$K$5:$AB$327,{2,3,4,5,6,7,8,9},0))</f>
        <v>140.4</v>
      </c>
      <c r="D191" s="25">
        <f>SUMPRODUCT(VLOOKUP($A191,'PSES Enroll Snapshot 25-01-17'!$K$5:$AB$327,{10,11},0))-VLOOKUP($A191,'PSES Enroll Snapshot 25-01-17'!$K$5:$AB$327,12,0)</f>
        <v>29.99</v>
      </c>
      <c r="E191" s="25">
        <f>SUMPRODUCT(VLOOKUP($A191,'PSES Enroll Snapshot 25-01-17'!$K$5:$AB$327,{13,14},0))-SUMPRODUCT(VLOOKUP($A191,'PSES Enroll Snapshot 25-01-17'!$K$5:$AB$327,{15,16,17},0))</f>
        <v>53.14</v>
      </c>
      <c r="F191" s="33">
        <f>ROUND($C191*'2024-25 Elementary Calculator'!$Q$13/400,3)+ROUND($D191*'2024-25 Middle Calculator'!$O$13/432,3)+ROUND($E191*'2024-25 High Calculator'!$O$13/600,3)</f>
        <v>0.73699999999999999</v>
      </c>
      <c r="G191" s="33">
        <f>ROUND($C191*'2024-25 Elementary Calculator'!$Q$15/400,3)+ROUND($D191*'2024-25 Middle Calculator'!$O$15/432,3)+ROUND($E191*'2024-25 High Calculator'!$O$15/600,3)</f>
        <v>0.126</v>
      </c>
      <c r="H191" s="33">
        <f>ROUND($C191*'2024-25 Elementary Calculator'!$Q$17/400,3)+ROUND($D191*'2024-25 Middle Calculator'!$O$17/432,3)+ROUND($E191*'2024-25 High Calculator'!$O$17/600,3)</f>
        <v>4.2999999999999997E-2</v>
      </c>
      <c r="I191" s="33">
        <f>ROUND($C191*'2024-25 Elementary Calculator'!$Q$18/400,3)+ROUND($D191*'2024-25 Middle Calculator'!$O$18/432,3)+ROUND($E191*'2024-25 High Calculator'!$O$18/600,3)</f>
        <v>0.34</v>
      </c>
      <c r="J191" s="166">
        <f t="shared" si="18"/>
        <v>1.246</v>
      </c>
      <c r="K191" s="33">
        <f>ROUND($C191*'2024-25 Elementary Calculator'!$Q$23/400,3)+ROUND($D191*'2024-25 Middle Calculator'!$O$23/432,3)+ROUND($E191*'2024-25 High Calculator'!$O$23/600,3)</f>
        <v>4.5999999999999999E-2</v>
      </c>
      <c r="L191" s="33">
        <f>ROUND($C191*'2024-25 Elementary Calculator'!$Q$22/400,3)+ROUND($D191*'2024-25 Middle Calculator'!$O$22/432,3)+ROUND($E191*'2024-25 High Calculator'!$O$22/600,3)</f>
        <v>2.9000000000000001E-2</v>
      </c>
      <c r="M191" s="166">
        <f t="shared" si="19"/>
        <v>7.4999999999999997E-2</v>
      </c>
      <c r="N191" s="33">
        <f>VLOOKUP($A191,'District Summary'!$A$6:$AH$325,29,FALSE)</f>
        <v>1.2290000000000001</v>
      </c>
      <c r="O191" s="33">
        <f>VLOOKUP($A191,'District Summary'!$A$6:$AH$325,34,FALSE)</f>
        <v>0.57600000000000007</v>
      </c>
      <c r="P191" s="67">
        <f t="shared" si="20"/>
        <v>-1.6999999999999904E-2</v>
      </c>
      <c r="Q191" s="67">
        <f t="shared" si="21"/>
        <v>0.50100000000000011</v>
      </c>
      <c r="R191" s="67">
        <f t="shared" si="22"/>
        <v>1.321</v>
      </c>
      <c r="S191" s="33">
        <f t="shared" si="23"/>
        <v>1.8050000000000002</v>
      </c>
      <c r="T191" s="67">
        <f t="shared" si="25"/>
        <v>0.48399999999999999</v>
      </c>
      <c r="U191" s="67">
        <f t="shared" si="24"/>
        <v>0</v>
      </c>
      <c r="V191" s="273"/>
      <c r="W191" s="273"/>
    </row>
    <row r="192" spans="1:23" x14ac:dyDescent="0.25">
      <c r="A192" t="s">
        <v>183</v>
      </c>
      <c r="B192" t="s">
        <v>479</v>
      </c>
      <c r="C192" s="25">
        <f>SUMPRODUCT(VLOOKUP($A192,'PSES Enroll Snapshot 25-01-17'!$K$5:$AB$327,{2,3,4,5,6,7,8,9},0))</f>
        <v>1525.8400000000001</v>
      </c>
      <c r="D192" s="25">
        <f>SUMPRODUCT(VLOOKUP($A192,'PSES Enroll Snapshot 25-01-17'!$K$5:$AB$327,{10,11},0))-VLOOKUP($A192,'PSES Enroll Snapshot 25-01-17'!$K$5:$AB$327,12,0)</f>
        <v>477.9</v>
      </c>
      <c r="E192" s="25">
        <f>SUMPRODUCT(VLOOKUP($A192,'PSES Enroll Snapshot 25-01-17'!$K$5:$AB$327,{13,14},0))-SUMPRODUCT(VLOOKUP($A192,'PSES Enroll Snapshot 25-01-17'!$K$5:$AB$327,{15,16,17},0))</f>
        <v>551.93999999999994</v>
      </c>
      <c r="F192" s="33">
        <f>ROUND($C192*'2024-25 Elementary Calculator'!$Q$13/400,3)+ROUND($D192*'2024-25 Middle Calculator'!$O$13/432,3)+ROUND($E192*'2024-25 High Calculator'!$O$13/600,3)</f>
        <v>8.4819999999999993</v>
      </c>
      <c r="G192" s="33">
        <f>ROUND($C192*'2024-25 Elementary Calculator'!$Q$15/400,3)+ROUND($D192*'2024-25 Middle Calculator'!$O$15/432,3)+ROUND($E192*'2024-25 High Calculator'!$O$15/600,3)</f>
        <v>1.4</v>
      </c>
      <c r="H192" s="33">
        <f>ROUND($C192*'2024-25 Elementary Calculator'!$Q$17/400,3)+ROUND($D192*'2024-25 Middle Calculator'!$O$17/432,3)+ROUND($E192*'2024-25 High Calculator'!$O$17/600,3)</f>
        <v>0.46900000000000003</v>
      </c>
      <c r="I192" s="33">
        <f>ROUND($C192*'2024-25 Elementary Calculator'!$Q$18/400,3)+ROUND($D192*'2024-25 Middle Calculator'!$O$18/432,3)+ROUND($E192*'2024-25 High Calculator'!$O$18/600,3)</f>
        <v>3.9720000000000004</v>
      </c>
      <c r="J192" s="166">
        <f t="shared" si="18"/>
        <v>14.323</v>
      </c>
      <c r="K192" s="33">
        <f>ROUND($C192*'2024-25 Elementary Calculator'!$Q$23/400,3)+ROUND($D192*'2024-25 Middle Calculator'!$O$23/432,3)+ROUND($E192*'2024-25 High Calculator'!$O$23/600,3)</f>
        <v>0.53299999999999992</v>
      </c>
      <c r="L192" s="33">
        <f>ROUND($C192*'2024-25 Elementary Calculator'!$Q$22/400,3)+ROUND($D192*'2024-25 Middle Calculator'!$O$22/432,3)+ROUND($E192*'2024-25 High Calculator'!$O$22/600,3)</f>
        <v>0.315</v>
      </c>
      <c r="M192" s="166">
        <f t="shared" si="19"/>
        <v>0.84799999999999986</v>
      </c>
      <c r="N192" s="33">
        <f>VLOOKUP($A192,'District Summary'!$A$6:$AH$325,29,FALSE)</f>
        <v>11.297000000000001</v>
      </c>
      <c r="O192" s="33">
        <f>VLOOKUP($A192,'District Summary'!$A$6:$AH$325,34,FALSE)</f>
        <v>6.1529999999999996</v>
      </c>
      <c r="P192" s="67">
        <f t="shared" si="20"/>
        <v>-3.0259999999999998</v>
      </c>
      <c r="Q192" s="67">
        <f t="shared" si="21"/>
        <v>5.3049999999999997</v>
      </c>
      <c r="R192" s="67">
        <f t="shared" si="22"/>
        <v>15.170999999999999</v>
      </c>
      <c r="S192" s="33">
        <f t="shared" si="23"/>
        <v>17.45</v>
      </c>
      <c r="T192" s="67">
        <f t="shared" si="25"/>
        <v>2.2789999999999999</v>
      </c>
      <c r="U192" s="67">
        <f t="shared" si="24"/>
        <v>0</v>
      </c>
      <c r="V192" s="273"/>
      <c r="W192" s="273"/>
    </row>
    <row r="193" spans="1:23" x14ac:dyDescent="0.25">
      <c r="A193" t="s">
        <v>184</v>
      </c>
      <c r="B193" t="s">
        <v>480</v>
      </c>
      <c r="C193" s="25">
        <f>SUMPRODUCT(VLOOKUP($A193,'PSES Enroll Snapshot 25-01-17'!$K$5:$AB$327,{2,3,4,5,6,7,8,9},0))</f>
        <v>11891.7</v>
      </c>
      <c r="D193" s="25">
        <f>SUMPRODUCT(VLOOKUP($A193,'PSES Enroll Snapshot 25-01-17'!$K$5:$AB$327,{10,11},0))-VLOOKUP($A193,'PSES Enroll Snapshot 25-01-17'!$K$5:$AB$327,12,0)</f>
        <v>3078.52</v>
      </c>
      <c r="E193" s="25">
        <f>SUMPRODUCT(VLOOKUP($A193,'PSES Enroll Snapshot 25-01-17'!$K$5:$AB$327,{13,14},0))-SUMPRODUCT(VLOOKUP($A193,'PSES Enroll Snapshot 25-01-17'!$K$5:$AB$327,{15,16,17},0))</f>
        <v>5054.0400000000009</v>
      </c>
      <c r="F193" s="33">
        <f>ROUND($C193*'2024-25 Elementary Calculator'!$Q$13/400,3)+ROUND($D193*'2024-25 Middle Calculator'!$O$13/432,3)+ROUND($E193*'2024-25 High Calculator'!$O$13/600,3)</f>
        <v>67.349000000000004</v>
      </c>
      <c r="G193" s="33">
        <f>ROUND($C193*'2024-25 Elementary Calculator'!$Q$15/400,3)+ROUND($D193*'2024-25 Middle Calculator'!$O$15/432,3)+ROUND($E193*'2024-25 High Calculator'!$O$15/600,3)</f>
        <v>10.943000000000001</v>
      </c>
      <c r="H193" s="33">
        <f>ROUND($C193*'2024-25 Elementary Calculator'!$Q$17/400,3)+ROUND($D193*'2024-25 Middle Calculator'!$O$17/432,3)+ROUND($E193*'2024-25 High Calculator'!$O$17/600,3)</f>
        <v>3.6759999999999997</v>
      </c>
      <c r="I193" s="33">
        <f>ROUND($C193*'2024-25 Elementary Calculator'!$Q$18/400,3)+ROUND($D193*'2024-25 Middle Calculator'!$O$18/432,3)+ROUND($E193*'2024-25 High Calculator'!$O$18/600,3)</f>
        <v>30.660999999999998</v>
      </c>
      <c r="J193" s="166">
        <f t="shared" si="18"/>
        <v>112.629</v>
      </c>
      <c r="K193" s="33">
        <f>ROUND($C193*'2024-25 Elementary Calculator'!$Q$23/400,3)+ROUND($D193*'2024-25 Middle Calculator'!$O$23/432,3)+ROUND($E193*'2024-25 High Calculator'!$O$23/600,3)</f>
        <v>4.1930000000000005</v>
      </c>
      <c r="L193" s="33">
        <f>ROUND($C193*'2024-25 Elementary Calculator'!$Q$22/400,3)+ROUND($D193*'2024-25 Middle Calculator'!$O$22/432,3)+ROUND($E193*'2024-25 High Calculator'!$O$22/600,3)</f>
        <v>2.4529999999999998</v>
      </c>
      <c r="M193" s="166">
        <f t="shared" si="19"/>
        <v>6.6460000000000008</v>
      </c>
      <c r="N193" s="33">
        <f>VLOOKUP($A193,'District Summary'!$A$6:$AH$325,29,FALSE)</f>
        <v>91.376000000000005</v>
      </c>
      <c r="O193" s="33">
        <f>VLOOKUP($A193,'District Summary'!$A$6:$AH$325,34,FALSE)</f>
        <v>73.478000000000009</v>
      </c>
      <c r="P193" s="67">
        <f t="shared" si="20"/>
        <v>-21.253</v>
      </c>
      <c r="Q193" s="67">
        <f t="shared" si="21"/>
        <v>66.832000000000008</v>
      </c>
      <c r="R193" s="67">
        <f t="shared" si="22"/>
        <v>119.27500000000001</v>
      </c>
      <c r="S193" s="33">
        <f t="shared" si="23"/>
        <v>164.85400000000001</v>
      </c>
      <c r="T193" s="67">
        <f t="shared" si="25"/>
        <v>45.579000000000001</v>
      </c>
      <c r="U193" s="67">
        <f t="shared" si="24"/>
        <v>0</v>
      </c>
      <c r="V193" s="273"/>
      <c r="W193" s="273"/>
    </row>
    <row r="194" spans="1:23" x14ac:dyDescent="0.25">
      <c r="A194" t="s">
        <v>185</v>
      </c>
      <c r="B194" t="s">
        <v>481</v>
      </c>
      <c r="C194" s="25">
        <f>SUMPRODUCT(VLOOKUP($A194,'PSES Enroll Snapshot 25-01-17'!$K$5:$AB$327,{2,3,4,5,6,7,8,9},0))</f>
        <v>14626.27</v>
      </c>
      <c r="D194" s="25">
        <f>SUMPRODUCT(VLOOKUP($A194,'PSES Enroll Snapshot 25-01-17'!$K$5:$AB$327,{10,11},0))-VLOOKUP($A194,'PSES Enroll Snapshot 25-01-17'!$K$5:$AB$327,12,0)</f>
        <v>3510.24</v>
      </c>
      <c r="E194" s="25">
        <f>SUMPRODUCT(VLOOKUP($A194,'PSES Enroll Snapshot 25-01-17'!$K$5:$AB$327,{13,14},0))-SUMPRODUCT(VLOOKUP($A194,'PSES Enroll Snapshot 25-01-17'!$K$5:$AB$327,{15,16,17},0))</f>
        <v>5986.9599999999991</v>
      </c>
      <c r="F194" s="33">
        <f>ROUND($C194*'2024-25 Elementary Calculator'!$Q$13/400,3)+ROUND($D194*'2024-25 Middle Calculator'!$O$13/432,3)+ROUND($E194*'2024-25 High Calculator'!$O$13/600,3)</f>
        <v>80.576999999999998</v>
      </c>
      <c r="G194" s="33">
        <f>ROUND($C194*'2024-25 Elementary Calculator'!$Q$15/400,3)+ROUND($D194*'2024-25 Middle Calculator'!$O$15/432,3)+ROUND($E194*'2024-25 High Calculator'!$O$15/600,3)</f>
        <v>13.353999999999999</v>
      </c>
      <c r="H194" s="33">
        <f>ROUND($C194*'2024-25 Elementary Calculator'!$Q$17/400,3)+ROUND($D194*'2024-25 Middle Calculator'!$O$17/432,3)+ROUND($E194*'2024-25 High Calculator'!$O$17/600,3)</f>
        <v>4.4870000000000001</v>
      </c>
      <c r="I194" s="33">
        <f>ROUND($C194*'2024-25 Elementary Calculator'!$Q$18/400,3)+ROUND($D194*'2024-25 Middle Calculator'!$O$18/432,3)+ROUND($E194*'2024-25 High Calculator'!$O$18/600,3)</f>
        <v>36.827999999999996</v>
      </c>
      <c r="J194" s="166">
        <f t="shared" si="18"/>
        <v>135.24599999999998</v>
      </c>
      <c r="K194" s="33">
        <f>ROUND($C194*'2024-25 Elementary Calculator'!$Q$23/400,3)+ROUND($D194*'2024-25 Middle Calculator'!$O$23/432,3)+ROUND($E194*'2024-25 High Calculator'!$O$23/600,3)</f>
        <v>5.0439999999999996</v>
      </c>
      <c r="L194" s="33">
        <f>ROUND($C194*'2024-25 Elementary Calculator'!$Q$22/400,3)+ROUND($D194*'2024-25 Middle Calculator'!$O$22/432,3)+ROUND($E194*'2024-25 High Calculator'!$O$22/600,3)</f>
        <v>3.0169999999999999</v>
      </c>
      <c r="M194" s="166">
        <f t="shared" si="19"/>
        <v>8.0609999999999999</v>
      </c>
      <c r="N194" s="33">
        <f>VLOOKUP($A194,'District Summary'!$A$6:$AH$325,29,FALSE)</f>
        <v>146.07799999999997</v>
      </c>
      <c r="O194" s="33">
        <f>VLOOKUP($A194,'District Summary'!$A$6:$AH$325,34,FALSE)</f>
        <v>44.144999999999996</v>
      </c>
      <c r="P194" s="67">
        <f t="shared" si="20"/>
        <v>10.831999999999994</v>
      </c>
      <c r="Q194" s="67">
        <f t="shared" si="21"/>
        <v>36.083999999999996</v>
      </c>
      <c r="R194" s="67">
        <f t="shared" si="22"/>
        <v>143.30699999999999</v>
      </c>
      <c r="S194" s="33">
        <f t="shared" si="23"/>
        <v>190.22299999999996</v>
      </c>
      <c r="T194" s="67">
        <f t="shared" si="25"/>
        <v>46.915999999999997</v>
      </c>
      <c r="U194" s="67">
        <f t="shared" si="24"/>
        <v>0</v>
      </c>
      <c r="V194" s="273"/>
      <c r="W194" s="273"/>
    </row>
    <row r="195" spans="1:23" x14ac:dyDescent="0.25">
      <c r="A195" t="s">
        <v>186</v>
      </c>
      <c r="B195" t="s">
        <v>482</v>
      </c>
      <c r="C195" s="25">
        <f>SUMPRODUCT(VLOOKUP($A195,'PSES Enroll Snapshot 25-01-17'!$K$5:$AB$327,{2,3,4,5,6,7,8,9},0))</f>
        <v>137.80000000000001</v>
      </c>
      <c r="D195" s="25">
        <f>SUMPRODUCT(VLOOKUP($A195,'PSES Enroll Snapshot 25-01-17'!$K$5:$AB$327,{10,11},0))-VLOOKUP($A195,'PSES Enroll Snapshot 25-01-17'!$K$5:$AB$327,12,0)</f>
        <v>39</v>
      </c>
      <c r="E195" s="25">
        <f>SUMPRODUCT(VLOOKUP($A195,'PSES Enroll Snapshot 25-01-17'!$K$5:$AB$327,{13,14},0))-SUMPRODUCT(VLOOKUP($A195,'PSES Enroll Snapshot 25-01-17'!$K$5:$AB$327,{15,16,17},0))</f>
        <v>0</v>
      </c>
      <c r="F195" s="33">
        <f>ROUND($C195*'2024-25 Elementary Calculator'!$Q$13/400,3)+ROUND($D195*'2024-25 Middle Calculator'!$O$13/432,3)+ROUND($E195*'2024-25 High Calculator'!$O$13/600,3)</f>
        <v>0.497</v>
      </c>
      <c r="G195" s="33">
        <f>ROUND($C195*'2024-25 Elementary Calculator'!$Q$15/400,3)+ROUND($D195*'2024-25 Middle Calculator'!$O$15/432,3)+ROUND($E195*'2024-25 High Calculator'!$O$15/600,3)</f>
        <v>0.11499999999999999</v>
      </c>
      <c r="H195" s="33">
        <f>ROUND($C195*'2024-25 Elementary Calculator'!$Q$17/400,3)+ROUND($D195*'2024-25 Middle Calculator'!$O$17/432,3)+ROUND($E195*'2024-25 High Calculator'!$O$17/600,3)</f>
        <v>3.7999999999999999E-2</v>
      </c>
      <c r="I195" s="33">
        <f>ROUND($C195*'2024-25 Elementary Calculator'!$Q$18/400,3)+ROUND($D195*'2024-25 Middle Calculator'!$O$18/432,3)+ROUND($E195*'2024-25 High Calculator'!$O$18/600,3)</f>
        <v>0.28200000000000003</v>
      </c>
      <c r="J195" s="166">
        <f t="shared" ref="J195:J258" si="26">SUM(F195:I195)</f>
        <v>0.93200000000000005</v>
      </c>
      <c r="K195" s="33">
        <f>ROUND($C195*'2024-25 Elementary Calculator'!$Q$23/400,3)+ROUND($D195*'2024-25 Middle Calculator'!$O$23/432,3)+ROUND($E195*'2024-25 High Calculator'!$O$23/600,3)</f>
        <v>3.5000000000000003E-2</v>
      </c>
      <c r="L195" s="33">
        <f>ROUND($C195*'2024-25 Elementary Calculator'!$Q$22/400,3)+ROUND($D195*'2024-25 Middle Calculator'!$O$22/432,3)+ROUND($E195*'2024-25 High Calculator'!$O$22/600,3)</f>
        <v>2.8000000000000001E-2</v>
      </c>
      <c r="M195" s="166">
        <f t="shared" ref="M195:M258" si="27">SUM(K195:L195)</f>
        <v>6.3E-2</v>
      </c>
      <c r="N195" s="33">
        <f>VLOOKUP($A195,'District Summary'!$A$6:$AH$325,29,FALSE)</f>
        <v>0</v>
      </c>
      <c r="O195" s="33">
        <f>VLOOKUP($A195,'District Summary'!$A$6:$AH$325,34,FALSE)</f>
        <v>0</v>
      </c>
      <c r="P195" s="67">
        <f t="shared" ref="P195:P258" si="28">N195-J195</f>
        <v>-0.93200000000000005</v>
      </c>
      <c r="Q195" s="67">
        <f t="shared" ref="Q195:Q258" si="29">O195-M195</f>
        <v>-6.3E-2</v>
      </c>
      <c r="R195" s="67">
        <f t="shared" ref="R195:R258" si="30">SUM(J195,M195)</f>
        <v>0.99500000000000011</v>
      </c>
      <c r="S195" s="33">
        <f t="shared" ref="S195:S258" si="31">SUM(N195:O195)</f>
        <v>0</v>
      </c>
      <c r="T195" s="67">
        <f t="shared" si="25"/>
        <v>-0.995</v>
      </c>
      <c r="U195" s="67">
        <f t="shared" ref="U195:U258" si="32">IF(T195&gt;0, 0,T195)</f>
        <v>-0.995</v>
      </c>
      <c r="V195" s="273"/>
      <c r="W195" s="273"/>
    </row>
    <row r="196" spans="1:23" x14ac:dyDescent="0.25">
      <c r="A196" t="s">
        <v>187</v>
      </c>
      <c r="B196" t="s">
        <v>483</v>
      </c>
      <c r="C196" s="25">
        <f>SUMPRODUCT(VLOOKUP($A196,'PSES Enroll Snapshot 25-01-17'!$K$5:$AB$327,{2,3,4,5,6,7,8,9},0))</f>
        <v>2888.6</v>
      </c>
      <c r="D196" s="25">
        <f>SUMPRODUCT(VLOOKUP($A196,'PSES Enroll Snapshot 25-01-17'!$K$5:$AB$327,{10,11},0))-VLOOKUP($A196,'PSES Enroll Snapshot 25-01-17'!$K$5:$AB$327,12,0)</f>
        <v>954.75</v>
      </c>
      <c r="E196" s="25">
        <f>SUMPRODUCT(VLOOKUP($A196,'PSES Enroll Snapshot 25-01-17'!$K$5:$AB$327,{13,14},0))-SUMPRODUCT(VLOOKUP($A196,'PSES Enroll Snapshot 25-01-17'!$K$5:$AB$327,{15,16,17},0))</f>
        <v>1207.03</v>
      </c>
      <c r="F196" s="33">
        <f>ROUND($C196*'2024-25 Elementary Calculator'!$Q$13/400,3)+ROUND($D196*'2024-25 Middle Calculator'!$O$13/432,3)+ROUND($E196*'2024-25 High Calculator'!$O$13/600,3)</f>
        <v>17.077000000000002</v>
      </c>
      <c r="G196" s="33">
        <f>ROUND($C196*'2024-25 Elementary Calculator'!$Q$15/400,3)+ROUND($D196*'2024-25 Middle Calculator'!$O$15/432,3)+ROUND($E196*'2024-25 High Calculator'!$O$15/600,3)</f>
        <v>2.6949999999999998</v>
      </c>
      <c r="H196" s="33">
        <f>ROUND($C196*'2024-25 Elementary Calculator'!$Q$17/400,3)+ROUND($D196*'2024-25 Middle Calculator'!$O$17/432,3)+ROUND($E196*'2024-25 High Calculator'!$O$17/600,3)</f>
        <v>0.90300000000000002</v>
      </c>
      <c r="I196" s="33">
        <f>ROUND($C196*'2024-25 Elementary Calculator'!$Q$18/400,3)+ROUND($D196*'2024-25 Middle Calculator'!$O$18/432,3)+ROUND($E196*'2024-25 High Calculator'!$O$18/600,3)</f>
        <v>7.8460000000000001</v>
      </c>
      <c r="J196" s="166">
        <f t="shared" si="26"/>
        <v>28.521000000000001</v>
      </c>
      <c r="K196" s="33">
        <f>ROUND($C196*'2024-25 Elementary Calculator'!$Q$23/400,3)+ROUND($D196*'2024-25 Middle Calculator'!$O$23/432,3)+ROUND($E196*'2024-25 High Calculator'!$O$23/600,3)</f>
        <v>1.0569999999999999</v>
      </c>
      <c r="L196" s="33">
        <f>ROUND($C196*'2024-25 Elementary Calculator'!$Q$22/400,3)+ROUND($D196*'2024-25 Middle Calculator'!$O$22/432,3)+ROUND($E196*'2024-25 High Calculator'!$O$22/600,3)</f>
        <v>0.59599999999999997</v>
      </c>
      <c r="M196" s="166">
        <f t="shared" si="27"/>
        <v>1.653</v>
      </c>
      <c r="N196" s="33">
        <f>VLOOKUP($A196,'District Summary'!$A$6:$AH$325,29,FALSE)</f>
        <v>17.72</v>
      </c>
      <c r="O196" s="33">
        <f>VLOOKUP($A196,'District Summary'!$A$6:$AH$325,34,FALSE)</f>
        <v>17.279</v>
      </c>
      <c r="P196" s="67">
        <f t="shared" si="28"/>
        <v>-10.801000000000002</v>
      </c>
      <c r="Q196" s="67">
        <f t="shared" si="29"/>
        <v>15.625999999999999</v>
      </c>
      <c r="R196" s="67">
        <f t="shared" si="30"/>
        <v>30.173999999999999</v>
      </c>
      <c r="S196" s="33">
        <f t="shared" si="31"/>
        <v>34.998999999999995</v>
      </c>
      <c r="T196" s="67">
        <f t="shared" ref="T196:T259" si="33">ROUND(S196-R196,3)</f>
        <v>4.8250000000000002</v>
      </c>
      <c r="U196" s="67">
        <f t="shared" si="32"/>
        <v>0</v>
      </c>
      <c r="V196" s="273"/>
      <c r="W196" s="273"/>
    </row>
    <row r="197" spans="1:23" x14ac:dyDescent="0.25">
      <c r="A197" t="s">
        <v>188</v>
      </c>
      <c r="B197" t="s">
        <v>1612</v>
      </c>
      <c r="C197" s="25">
        <f>SUMPRODUCT(VLOOKUP($A197,'PSES Enroll Snapshot 25-01-17'!$K$5:$AB$327,{2,3,4,5,6,7,8,9},0))</f>
        <v>5293.3099999999995</v>
      </c>
      <c r="D197" s="25">
        <f>SUMPRODUCT(VLOOKUP($A197,'PSES Enroll Snapshot 25-01-17'!$K$5:$AB$327,{10,11},0))-VLOOKUP($A197,'PSES Enroll Snapshot 25-01-17'!$K$5:$AB$327,12,0)</f>
        <v>1446.9699999999998</v>
      </c>
      <c r="E197" s="25">
        <f>SUMPRODUCT(VLOOKUP($A197,'PSES Enroll Snapshot 25-01-17'!$K$5:$AB$327,{13,14},0))-SUMPRODUCT(VLOOKUP($A197,'PSES Enroll Snapshot 25-01-17'!$K$5:$AB$327,{15,16,17},0))</f>
        <v>2423.5500000000002</v>
      </c>
      <c r="F197" s="33">
        <f>ROUND($C197*'2024-25 Elementary Calculator'!$Q$13/400,3)+ROUND($D197*'2024-25 Middle Calculator'!$O$13/432,3)+ROUND($E197*'2024-25 High Calculator'!$O$13/600,3)</f>
        <v>31.164000000000001</v>
      </c>
      <c r="G197" s="33">
        <f>ROUND($C197*'2024-25 Elementary Calculator'!$Q$15/400,3)+ROUND($D197*'2024-25 Middle Calculator'!$O$15/432,3)+ROUND($E197*'2024-25 High Calculator'!$O$15/600,3)</f>
        <v>4.9239999999999995</v>
      </c>
      <c r="H197" s="33">
        <f>ROUND($C197*'2024-25 Elementary Calculator'!$Q$17/400,3)+ROUND($D197*'2024-25 Middle Calculator'!$O$17/432,3)+ROUND($E197*'2024-25 High Calculator'!$O$17/600,3)</f>
        <v>1.6539999999999999</v>
      </c>
      <c r="I197" s="33">
        <f>ROUND($C197*'2024-25 Elementary Calculator'!$Q$18/400,3)+ROUND($D197*'2024-25 Middle Calculator'!$O$18/432,3)+ROUND($E197*'2024-25 High Calculator'!$O$18/600,3)</f>
        <v>14.042999999999999</v>
      </c>
      <c r="J197" s="166">
        <f t="shared" si="26"/>
        <v>51.785000000000004</v>
      </c>
      <c r="K197" s="33">
        <f>ROUND($C197*'2024-25 Elementary Calculator'!$Q$23/400,3)+ROUND($D197*'2024-25 Middle Calculator'!$O$23/432,3)+ROUND($E197*'2024-25 High Calculator'!$O$23/600,3)</f>
        <v>1.923</v>
      </c>
      <c r="L197" s="33">
        <f>ROUND($C197*'2024-25 Elementary Calculator'!$Q$22/400,3)+ROUND($D197*'2024-25 Middle Calculator'!$O$22/432,3)+ROUND($E197*'2024-25 High Calculator'!$O$22/600,3)</f>
        <v>1.0920000000000001</v>
      </c>
      <c r="M197" s="166">
        <f t="shared" si="27"/>
        <v>3.0150000000000001</v>
      </c>
      <c r="N197" s="33">
        <f>VLOOKUP($A197,'District Summary'!$A$6:$AH$325,29,FALSE)</f>
        <v>45.947999999999993</v>
      </c>
      <c r="O197" s="33">
        <f>VLOOKUP($A197,'District Summary'!$A$6:$AH$325,34,FALSE)</f>
        <v>18.650000000000002</v>
      </c>
      <c r="P197" s="67">
        <f t="shared" si="28"/>
        <v>-5.8370000000000104</v>
      </c>
      <c r="Q197" s="67">
        <f t="shared" si="29"/>
        <v>15.635000000000002</v>
      </c>
      <c r="R197" s="67">
        <f t="shared" si="30"/>
        <v>54.800000000000004</v>
      </c>
      <c r="S197" s="33">
        <f t="shared" si="31"/>
        <v>64.597999999999999</v>
      </c>
      <c r="T197" s="67">
        <f t="shared" si="33"/>
        <v>9.798</v>
      </c>
      <c r="U197" s="67">
        <f t="shared" si="32"/>
        <v>0</v>
      </c>
      <c r="V197" s="273"/>
      <c r="W197" s="273"/>
    </row>
    <row r="198" spans="1:23" x14ac:dyDescent="0.25">
      <c r="A198" t="s">
        <v>189</v>
      </c>
      <c r="B198" t="s">
        <v>484</v>
      </c>
      <c r="C198" s="25">
        <f>SUMPRODUCT(VLOOKUP($A198,'PSES Enroll Snapshot 25-01-17'!$K$5:$AB$327,{2,3,4,5,6,7,8,9},0))</f>
        <v>1077.53</v>
      </c>
      <c r="D198" s="25">
        <f>SUMPRODUCT(VLOOKUP($A198,'PSES Enroll Snapshot 25-01-17'!$K$5:$AB$327,{10,11},0))-VLOOKUP($A198,'PSES Enroll Snapshot 25-01-17'!$K$5:$AB$327,12,0)</f>
        <v>256.78999999999996</v>
      </c>
      <c r="E198" s="25">
        <f>SUMPRODUCT(VLOOKUP($A198,'PSES Enroll Snapshot 25-01-17'!$K$5:$AB$327,{13,14},0))-SUMPRODUCT(VLOOKUP($A198,'PSES Enroll Snapshot 25-01-17'!$K$5:$AB$327,{15,16,17},0))</f>
        <v>0</v>
      </c>
      <c r="F198" s="33">
        <f>ROUND($C198*'2024-25 Elementary Calculator'!$Q$13/400,3)+ROUND($D198*'2024-25 Middle Calculator'!$O$13/432,3)+ROUND($E198*'2024-25 High Calculator'!$O$13/600,3)</f>
        <v>3.6949999999999998</v>
      </c>
      <c r="G198" s="33">
        <f>ROUND($C198*'2024-25 Elementary Calculator'!$Q$15/400,3)+ROUND($D198*'2024-25 Middle Calculator'!$O$15/432,3)+ROUND($E198*'2024-25 High Calculator'!$O$15/600,3)</f>
        <v>0.89</v>
      </c>
      <c r="H198" s="33">
        <f>ROUND($C198*'2024-25 Elementary Calculator'!$Q$17/400,3)+ROUND($D198*'2024-25 Middle Calculator'!$O$17/432,3)+ROUND($E198*'2024-25 High Calculator'!$O$17/600,3)</f>
        <v>0.29400000000000004</v>
      </c>
      <c r="I198" s="33">
        <f>ROUND($C198*'2024-25 Elementary Calculator'!$Q$18/400,3)+ROUND($D198*'2024-25 Middle Calculator'!$O$18/432,3)+ROUND($E198*'2024-25 High Calculator'!$O$18/600,3)</f>
        <v>2.1040000000000001</v>
      </c>
      <c r="J198" s="166">
        <f t="shared" si="26"/>
        <v>6.9829999999999997</v>
      </c>
      <c r="K198" s="33">
        <f>ROUND($C198*'2024-25 Elementary Calculator'!$Q$23/400,3)+ROUND($D198*'2024-25 Middle Calculator'!$O$23/432,3)+ROUND($E198*'2024-25 High Calculator'!$O$23/600,3)</f>
        <v>0.26800000000000002</v>
      </c>
      <c r="L198" s="33">
        <f>ROUND($C198*'2024-25 Elementary Calculator'!$Q$22/400,3)+ROUND($D198*'2024-25 Middle Calculator'!$O$22/432,3)+ROUND($E198*'2024-25 High Calculator'!$O$22/600,3)</f>
        <v>0.222</v>
      </c>
      <c r="M198" s="166">
        <f t="shared" si="27"/>
        <v>0.49</v>
      </c>
      <c r="N198" s="33">
        <f>VLOOKUP($A198,'District Summary'!$A$6:$AH$325,29,FALSE)</f>
        <v>5.9739999999999993</v>
      </c>
      <c r="O198" s="33">
        <f>VLOOKUP($A198,'District Summary'!$A$6:$AH$325,34,FALSE)</f>
        <v>4.2240000000000002</v>
      </c>
      <c r="P198" s="67">
        <f t="shared" si="28"/>
        <v>-1.0090000000000003</v>
      </c>
      <c r="Q198" s="67">
        <f t="shared" si="29"/>
        <v>3.734</v>
      </c>
      <c r="R198" s="67">
        <f t="shared" si="30"/>
        <v>7.4729999999999999</v>
      </c>
      <c r="S198" s="33">
        <f t="shared" si="31"/>
        <v>10.198</v>
      </c>
      <c r="T198" s="67">
        <f t="shared" si="33"/>
        <v>2.7250000000000001</v>
      </c>
      <c r="U198" s="67">
        <f t="shared" si="32"/>
        <v>0</v>
      </c>
      <c r="V198" s="273"/>
      <c r="W198" s="273"/>
    </row>
    <row r="199" spans="1:23" x14ac:dyDescent="0.25">
      <c r="A199" t="s">
        <v>190</v>
      </c>
      <c r="B199" t="s">
        <v>485</v>
      </c>
      <c r="C199" s="25">
        <f>SUMPRODUCT(VLOOKUP($A199,'PSES Enroll Snapshot 25-01-17'!$K$5:$AB$327,{2,3,4,5,6,7,8,9},0))</f>
        <v>1461.0900000000001</v>
      </c>
      <c r="D199" s="25">
        <f>SUMPRODUCT(VLOOKUP($A199,'PSES Enroll Snapshot 25-01-17'!$K$5:$AB$327,{10,11},0))-VLOOKUP($A199,'PSES Enroll Snapshot 25-01-17'!$K$5:$AB$327,12,0)</f>
        <v>336.21000000000004</v>
      </c>
      <c r="E199" s="25">
        <f>SUMPRODUCT(VLOOKUP($A199,'PSES Enroll Snapshot 25-01-17'!$K$5:$AB$327,{13,14},0))-SUMPRODUCT(VLOOKUP($A199,'PSES Enroll Snapshot 25-01-17'!$K$5:$AB$327,{15,16,17},0))</f>
        <v>564.67999999999995</v>
      </c>
      <c r="F199" s="33">
        <f>ROUND($C199*'2024-25 Elementary Calculator'!$Q$13/400,3)+ROUND($D199*'2024-25 Middle Calculator'!$O$13/432,3)+ROUND($E199*'2024-25 High Calculator'!$O$13/600,3)</f>
        <v>7.8230000000000004</v>
      </c>
      <c r="G199" s="33">
        <f>ROUND($C199*'2024-25 Elementary Calculator'!$Q$15/400,3)+ROUND($D199*'2024-25 Middle Calculator'!$O$15/432,3)+ROUND($E199*'2024-25 High Calculator'!$O$15/600,3)</f>
        <v>1.3239999999999998</v>
      </c>
      <c r="H199" s="33">
        <f>ROUND($C199*'2024-25 Elementary Calculator'!$Q$17/400,3)+ROUND($D199*'2024-25 Middle Calculator'!$O$17/432,3)+ROUND($E199*'2024-25 High Calculator'!$O$17/600,3)</f>
        <v>0.44500000000000001</v>
      </c>
      <c r="I199" s="33">
        <f>ROUND($C199*'2024-25 Elementary Calculator'!$Q$18/400,3)+ROUND($D199*'2024-25 Middle Calculator'!$O$18/432,3)+ROUND($E199*'2024-25 High Calculator'!$O$18/600,3)</f>
        <v>3.6029999999999998</v>
      </c>
      <c r="J199" s="166">
        <f t="shared" si="26"/>
        <v>13.195</v>
      </c>
      <c r="K199" s="33">
        <f>ROUND($C199*'2024-25 Elementary Calculator'!$Q$23/400,3)+ROUND($D199*'2024-25 Middle Calculator'!$O$23/432,3)+ROUND($E199*'2024-25 High Calculator'!$O$23/600,3)</f>
        <v>0.49399999999999999</v>
      </c>
      <c r="L199" s="33">
        <f>ROUND($C199*'2024-25 Elementary Calculator'!$Q$22/400,3)+ROUND($D199*'2024-25 Middle Calculator'!$O$22/432,3)+ROUND($E199*'2024-25 High Calculator'!$O$22/600,3)</f>
        <v>0.30099999999999999</v>
      </c>
      <c r="M199" s="166">
        <f t="shared" si="27"/>
        <v>0.79499999999999993</v>
      </c>
      <c r="N199" s="33">
        <f>VLOOKUP($A199,'District Summary'!$A$6:$AH$325,29,FALSE)</f>
        <v>7.7240000000000002</v>
      </c>
      <c r="O199" s="33">
        <f>VLOOKUP($A199,'District Summary'!$A$6:$AH$325,34,FALSE)</f>
        <v>8.5659999999999989</v>
      </c>
      <c r="P199" s="67">
        <f t="shared" si="28"/>
        <v>-5.4710000000000001</v>
      </c>
      <c r="Q199" s="67">
        <f t="shared" si="29"/>
        <v>7.770999999999999</v>
      </c>
      <c r="R199" s="67">
        <f t="shared" si="30"/>
        <v>13.99</v>
      </c>
      <c r="S199" s="33">
        <f t="shared" si="31"/>
        <v>16.29</v>
      </c>
      <c r="T199" s="67">
        <f t="shared" si="33"/>
        <v>2.2999999999999998</v>
      </c>
      <c r="U199" s="67">
        <f t="shared" si="32"/>
        <v>0</v>
      </c>
      <c r="V199" s="273"/>
      <c r="W199" s="273"/>
    </row>
    <row r="200" spans="1:23" x14ac:dyDescent="0.25">
      <c r="A200" t="s">
        <v>191</v>
      </c>
      <c r="B200" t="s">
        <v>486</v>
      </c>
      <c r="C200" s="25">
        <f>SUMPRODUCT(VLOOKUP($A200,'PSES Enroll Snapshot 25-01-17'!$K$5:$AB$327,{2,3,4,5,6,7,8,9},0))</f>
        <v>6977.96</v>
      </c>
      <c r="D200" s="25">
        <f>SUMPRODUCT(VLOOKUP($A200,'PSES Enroll Snapshot 25-01-17'!$K$5:$AB$327,{10,11},0))-VLOOKUP($A200,'PSES Enroll Snapshot 25-01-17'!$K$5:$AB$327,12,0)</f>
        <v>1229.8600000000001</v>
      </c>
      <c r="E200" s="25">
        <f>SUMPRODUCT(VLOOKUP($A200,'PSES Enroll Snapshot 25-01-17'!$K$5:$AB$327,{13,14},0))-SUMPRODUCT(VLOOKUP($A200,'PSES Enroll Snapshot 25-01-17'!$K$5:$AB$327,{15,16,17},0))</f>
        <v>1889.9900000000002</v>
      </c>
      <c r="F200" s="33">
        <f>ROUND($C200*'2024-25 Elementary Calculator'!$Q$13/400,3)+ROUND($D200*'2024-25 Middle Calculator'!$O$13/432,3)+ROUND($E200*'2024-25 High Calculator'!$O$13/600,3)</f>
        <v>31.780999999999999</v>
      </c>
      <c r="G200" s="33">
        <f>ROUND($C200*'2024-25 Elementary Calculator'!$Q$15/400,3)+ROUND($D200*'2024-25 Middle Calculator'!$O$15/432,3)+ROUND($E200*'2024-25 High Calculator'!$O$15/600,3)</f>
        <v>6.0760000000000005</v>
      </c>
      <c r="H200" s="33">
        <f>ROUND($C200*'2024-25 Elementary Calculator'!$Q$17/400,3)+ROUND($D200*'2024-25 Middle Calculator'!$O$17/432,3)+ROUND($E200*'2024-25 High Calculator'!$O$17/600,3)</f>
        <v>2.036</v>
      </c>
      <c r="I200" s="33">
        <f>ROUND($C200*'2024-25 Elementary Calculator'!$Q$18/400,3)+ROUND($D200*'2024-25 Middle Calculator'!$O$18/432,3)+ROUND($E200*'2024-25 High Calculator'!$O$18/600,3)</f>
        <v>15.329000000000001</v>
      </c>
      <c r="J200" s="166">
        <f t="shared" si="26"/>
        <v>55.222000000000001</v>
      </c>
      <c r="K200" s="33">
        <f>ROUND($C200*'2024-25 Elementary Calculator'!$Q$23/400,3)+ROUND($D200*'2024-25 Middle Calculator'!$O$23/432,3)+ROUND($E200*'2024-25 High Calculator'!$O$23/600,3)</f>
        <v>2.0840000000000001</v>
      </c>
      <c r="L200" s="33">
        <f>ROUND($C200*'2024-25 Elementary Calculator'!$Q$22/400,3)+ROUND($D200*'2024-25 Middle Calculator'!$O$22/432,3)+ROUND($E200*'2024-25 High Calculator'!$O$22/600,3)</f>
        <v>1.4390000000000001</v>
      </c>
      <c r="M200" s="166">
        <f t="shared" si="27"/>
        <v>3.5230000000000001</v>
      </c>
      <c r="N200" s="33">
        <f>VLOOKUP($A200,'District Summary'!$A$6:$AH$325,29,FALSE)</f>
        <v>50.57800000000001</v>
      </c>
      <c r="O200" s="33">
        <f>VLOOKUP($A200,'District Summary'!$A$6:$AH$325,34,FALSE)</f>
        <v>50.565999999999995</v>
      </c>
      <c r="P200" s="67">
        <f t="shared" si="28"/>
        <v>-4.6439999999999912</v>
      </c>
      <c r="Q200" s="67">
        <f t="shared" si="29"/>
        <v>47.042999999999992</v>
      </c>
      <c r="R200" s="67">
        <f t="shared" si="30"/>
        <v>58.745000000000005</v>
      </c>
      <c r="S200" s="33">
        <f t="shared" si="31"/>
        <v>101.14400000000001</v>
      </c>
      <c r="T200" s="67">
        <f t="shared" si="33"/>
        <v>42.399000000000001</v>
      </c>
      <c r="U200" s="67">
        <f t="shared" si="32"/>
        <v>0</v>
      </c>
      <c r="V200" s="273"/>
      <c r="W200" s="273"/>
    </row>
    <row r="201" spans="1:23" x14ac:dyDescent="0.25">
      <c r="A201" t="s">
        <v>192</v>
      </c>
      <c r="B201" t="s">
        <v>487</v>
      </c>
      <c r="C201" s="25">
        <f>SUMPRODUCT(VLOOKUP($A201,'PSES Enroll Snapshot 25-01-17'!$K$5:$AB$327,{2,3,4,5,6,7,8,9},0))</f>
        <v>4599.0099999999993</v>
      </c>
      <c r="D201" s="25">
        <f>SUMPRODUCT(VLOOKUP($A201,'PSES Enroll Snapshot 25-01-17'!$K$5:$AB$327,{10,11},0))-VLOOKUP($A201,'PSES Enroll Snapshot 25-01-17'!$K$5:$AB$327,12,0)</f>
        <v>1296.55</v>
      </c>
      <c r="E201" s="25">
        <f>SUMPRODUCT(VLOOKUP($A201,'PSES Enroll Snapshot 25-01-17'!$K$5:$AB$327,{13,14},0))-SUMPRODUCT(VLOOKUP($A201,'PSES Enroll Snapshot 25-01-17'!$K$5:$AB$327,{15,16,17},0))</f>
        <v>1948.1200000000001</v>
      </c>
      <c r="F201" s="33">
        <f>ROUND($C201*'2024-25 Elementary Calculator'!$Q$13/400,3)+ROUND($D201*'2024-25 Middle Calculator'!$O$13/432,3)+ROUND($E201*'2024-25 High Calculator'!$O$13/600,3)</f>
        <v>26.434000000000001</v>
      </c>
      <c r="G201" s="33">
        <f>ROUND($C201*'2024-25 Elementary Calculator'!$Q$15/400,3)+ROUND($D201*'2024-25 Middle Calculator'!$O$15/432,3)+ROUND($E201*'2024-25 High Calculator'!$O$15/600,3)</f>
        <v>4.2519999999999998</v>
      </c>
      <c r="H201" s="33">
        <f>ROUND($C201*'2024-25 Elementary Calculator'!$Q$17/400,3)+ROUND($D201*'2024-25 Middle Calculator'!$O$17/432,3)+ROUND($E201*'2024-25 High Calculator'!$O$17/600,3)</f>
        <v>1.427</v>
      </c>
      <c r="I201" s="33">
        <f>ROUND($C201*'2024-25 Elementary Calculator'!$Q$18/400,3)+ROUND($D201*'2024-25 Middle Calculator'!$O$18/432,3)+ROUND($E201*'2024-25 High Calculator'!$O$18/600,3)</f>
        <v>12.065999999999999</v>
      </c>
      <c r="J201" s="166">
        <f t="shared" si="26"/>
        <v>44.179000000000002</v>
      </c>
      <c r="K201" s="33">
        <f>ROUND($C201*'2024-25 Elementary Calculator'!$Q$23/400,3)+ROUND($D201*'2024-25 Middle Calculator'!$O$23/432,3)+ROUND($E201*'2024-25 High Calculator'!$O$23/600,3)</f>
        <v>1.6420000000000001</v>
      </c>
      <c r="L201" s="33">
        <f>ROUND($C201*'2024-25 Elementary Calculator'!$Q$22/400,3)+ROUND($D201*'2024-25 Middle Calculator'!$O$22/432,3)+ROUND($E201*'2024-25 High Calculator'!$O$22/600,3)</f>
        <v>0.94899999999999995</v>
      </c>
      <c r="M201" s="166">
        <f t="shared" si="27"/>
        <v>2.5910000000000002</v>
      </c>
      <c r="N201" s="33">
        <f>VLOOKUP($A201,'District Summary'!$A$6:$AH$325,29,FALSE)</f>
        <v>46.592999999999996</v>
      </c>
      <c r="O201" s="33">
        <f>VLOOKUP($A201,'District Summary'!$A$6:$AH$325,34,FALSE)</f>
        <v>28.637</v>
      </c>
      <c r="P201" s="67">
        <f t="shared" si="28"/>
        <v>2.4139999999999944</v>
      </c>
      <c r="Q201" s="67">
        <f t="shared" si="29"/>
        <v>26.045999999999999</v>
      </c>
      <c r="R201" s="67">
        <f t="shared" si="30"/>
        <v>46.77</v>
      </c>
      <c r="S201" s="33">
        <f t="shared" si="31"/>
        <v>75.22999999999999</v>
      </c>
      <c r="T201" s="67">
        <f t="shared" si="33"/>
        <v>28.46</v>
      </c>
      <c r="U201" s="67">
        <f t="shared" si="32"/>
        <v>0</v>
      </c>
      <c r="V201" s="273"/>
      <c r="W201" s="273"/>
    </row>
    <row r="202" spans="1:23" x14ac:dyDescent="0.25">
      <c r="A202" t="s">
        <v>193</v>
      </c>
      <c r="B202" t="s">
        <v>488</v>
      </c>
      <c r="C202" s="25">
        <f>SUMPRODUCT(VLOOKUP($A202,'PSES Enroll Snapshot 25-01-17'!$K$5:$AB$327,{2,3,4,5,6,7,8,9},0))</f>
        <v>3790.8999999999996</v>
      </c>
      <c r="D202" s="25">
        <f>SUMPRODUCT(VLOOKUP($A202,'PSES Enroll Snapshot 25-01-17'!$K$5:$AB$327,{10,11},0))-VLOOKUP($A202,'PSES Enroll Snapshot 25-01-17'!$K$5:$AB$327,12,0)</f>
        <v>927.51</v>
      </c>
      <c r="E202" s="25">
        <f>SUMPRODUCT(VLOOKUP($A202,'PSES Enroll Snapshot 25-01-17'!$K$5:$AB$327,{13,14},0))-SUMPRODUCT(VLOOKUP($A202,'PSES Enroll Snapshot 25-01-17'!$K$5:$AB$327,{15,16,17},0))</f>
        <v>1568.06</v>
      </c>
      <c r="F202" s="33">
        <f>ROUND($C202*'2024-25 Elementary Calculator'!$Q$13/400,3)+ROUND($D202*'2024-25 Middle Calculator'!$O$13/432,3)+ROUND($E202*'2024-25 High Calculator'!$O$13/600,3)</f>
        <v>21.036999999999999</v>
      </c>
      <c r="G202" s="33">
        <f>ROUND($C202*'2024-25 Elementary Calculator'!$Q$15/400,3)+ROUND($D202*'2024-25 Middle Calculator'!$O$15/432,3)+ROUND($E202*'2024-25 High Calculator'!$O$15/600,3)</f>
        <v>3.468</v>
      </c>
      <c r="H202" s="33">
        <f>ROUND($C202*'2024-25 Elementary Calculator'!$Q$17/400,3)+ROUND($D202*'2024-25 Middle Calculator'!$O$17/432,3)+ROUND($E202*'2024-25 High Calculator'!$O$17/600,3)</f>
        <v>1.1659999999999999</v>
      </c>
      <c r="I202" s="33">
        <f>ROUND($C202*'2024-25 Elementary Calculator'!$Q$18/400,3)+ROUND($D202*'2024-25 Middle Calculator'!$O$18/432,3)+ROUND($E202*'2024-25 High Calculator'!$O$18/600,3)</f>
        <v>9.6039999999999992</v>
      </c>
      <c r="J202" s="166">
        <f t="shared" si="26"/>
        <v>35.274999999999999</v>
      </c>
      <c r="K202" s="33">
        <f>ROUND($C202*'2024-25 Elementary Calculator'!$Q$23/400,3)+ROUND($D202*'2024-25 Middle Calculator'!$O$23/432,3)+ROUND($E202*'2024-25 High Calculator'!$O$23/600,3)</f>
        <v>1.3149999999999999</v>
      </c>
      <c r="L202" s="33">
        <f>ROUND($C202*'2024-25 Elementary Calculator'!$Q$22/400,3)+ROUND($D202*'2024-25 Middle Calculator'!$O$22/432,3)+ROUND($E202*'2024-25 High Calculator'!$O$22/600,3)</f>
        <v>0.78200000000000003</v>
      </c>
      <c r="M202" s="166">
        <f t="shared" si="27"/>
        <v>2.097</v>
      </c>
      <c r="N202" s="33">
        <f>VLOOKUP($A202,'District Summary'!$A$6:$AH$325,29,FALSE)</f>
        <v>32.456999999999994</v>
      </c>
      <c r="O202" s="33">
        <f>VLOOKUP($A202,'District Summary'!$A$6:$AH$325,34,FALSE)</f>
        <v>21.887</v>
      </c>
      <c r="P202" s="67">
        <f t="shared" si="28"/>
        <v>-2.8180000000000049</v>
      </c>
      <c r="Q202" s="67">
        <f t="shared" si="29"/>
        <v>19.79</v>
      </c>
      <c r="R202" s="67">
        <f t="shared" si="30"/>
        <v>37.372</v>
      </c>
      <c r="S202" s="33">
        <f t="shared" si="31"/>
        <v>54.343999999999994</v>
      </c>
      <c r="T202" s="67">
        <f t="shared" si="33"/>
        <v>16.972000000000001</v>
      </c>
      <c r="U202" s="67">
        <f t="shared" si="32"/>
        <v>0</v>
      </c>
      <c r="V202" s="273"/>
      <c r="W202" s="273"/>
    </row>
    <row r="203" spans="1:23" x14ac:dyDescent="0.25">
      <c r="A203" t="s">
        <v>194</v>
      </c>
      <c r="B203" t="s">
        <v>489</v>
      </c>
      <c r="C203" s="25">
        <f>SUMPRODUCT(VLOOKUP($A203,'PSES Enroll Snapshot 25-01-17'!$K$5:$AB$327,{2,3,4,5,6,7,8,9},0))</f>
        <v>10778.84</v>
      </c>
      <c r="D203" s="25">
        <f>SUMPRODUCT(VLOOKUP($A203,'PSES Enroll Snapshot 25-01-17'!$K$5:$AB$327,{10,11},0))-VLOOKUP($A203,'PSES Enroll Snapshot 25-01-17'!$K$5:$AB$327,12,0)</f>
        <v>2670.36</v>
      </c>
      <c r="E203" s="25">
        <f>SUMPRODUCT(VLOOKUP($A203,'PSES Enroll Snapshot 25-01-17'!$K$5:$AB$327,{13,14},0))-SUMPRODUCT(VLOOKUP($A203,'PSES Enroll Snapshot 25-01-17'!$K$5:$AB$327,{15,16,17},0))</f>
        <v>3811.6600000000003</v>
      </c>
      <c r="F203" s="33">
        <f>ROUND($C203*'2024-25 Elementary Calculator'!$Q$13/400,3)+ROUND($D203*'2024-25 Middle Calculator'!$O$13/432,3)+ROUND($E203*'2024-25 High Calculator'!$O$13/600,3)</f>
        <v>56.670999999999992</v>
      </c>
      <c r="G203" s="33">
        <f>ROUND($C203*'2024-25 Elementary Calculator'!$Q$15/400,3)+ROUND($D203*'2024-25 Middle Calculator'!$O$15/432,3)+ROUND($E203*'2024-25 High Calculator'!$O$15/600,3)</f>
        <v>9.7320000000000011</v>
      </c>
      <c r="H203" s="33">
        <f>ROUND($C203*'2024-25 Elementary Calculator'!$Q$17/400,3)+ROUND($D203*'2024-25 Middle Calculator'!$O$17/432,3)+ROUND($E203*'2024-25 High Calculator'!$O$17/600,3)</f>
        <v>3.2610000000000001</v>
      </c>
      <c r="I203" s="33">
        <f>ROUND($C203*'2024-25 Elementary Calculator'!$Q$18/400,3)+ROUND($D203*'2024-25 Middle Calculator'!$O$18/432,3)+ROUND($E203*'2024-25 High Calculator'!$O$18/600,3)</f>
        <v>26.488</v>
      </c>
      <c r="J203" s="166">
        <f t="shared" si="26"/>
        <v>96.151999999999987</v>
      </c>
      <c r="K203" s="33">
        <f>ROUND($C203*'2024-25 Elementary Calculator'!$Q$23/400,3)+ROUND($D203*'2024-25 Middle Calculator'!$O$23/432,3)+ROUND($E203*'2024-25 High Calculator'!$O$23/600,3)</f>
        <v>3.5939999999999999</v>
      </c>
      <c r="L203" s="33">
        <f>ROUND($C203*'2024-25 Elementary Calculator'!$Q$22/400,3)+ROUND($D203*'2024-25 Middle Calculator'!$O$22/432,3)+ROUND($E203*'2024-25 High Calculator'!$O$22/600,3)</f>
        <v>2.2229999999999999</v>
      </c>
      <c r="M203" s="166">
        <f t="shared" si="27"/>
        <v>5.8170000000000002</v>
      </c>
      <c r="N203" s="33">
        <f>VLOOKUP($A203,'District Summary'!$A$6:$AH$325,29,FALSE)</f>
        <v>84.560999999999993</v>
      </c>
      <c r="O203" s="33">
        <f>VLOOKUP($A203,'District Summary'!$A$6:$AH$325,34,FALSE)</f>
        <v>63.342999999999996</v>
      </c>
      <c r="P203" s="67">
        <f t="shared" si="28"/>
        <v>-11.590999999999994</v>
      </c>
      <c r="Q203" s="67">
        <f t="shared" si="29"/>
        <v>57.525999999999996</v>
      </c>
      <c r="R203" s="67">
        <f t="shared" si="30"/>
        <v>101.96899999999999</v>
      </c>
      <c r="S203" s="33">
        <f t="shared" si="31"/>
        <v>147.904</v>
      </c>
      <c r="T203" s="67">
        <f t="shared" si="33"/>
        <v>45.935000000000002</v>
      </c>
      <c r="U203" s="67">
        <f t="shared" si="32"/>
        <v>0</v>
      </c>
      <c r="V203" s="273"/>
      <c r="W203" s="273"/>
    </row>
    <row r="204" spans="1:23" x14ac:dyDescent="0.25">
      <c r="A204" t="s">
        <v>195</v>
      </c>
      <c r="B204" t="s">
        <v>490</v>
      </c>
      <c r="C204" s="25">
        <f>SUMPRODUCT(VLOOKUP($A204,'PSES Enroll Snapshot 25-01-17'!$K$5:$AB$327,{2,3,4,5,6,7,8,9},0))</f>
        <v>1071.83</v>
      </c>
      <c r="D204" s="25">
        <f>SUMPRODUCT(VLOOKUP($A204,'PSES Enroll Snapshot 25-01-17'!$K$5:$AB$327,{10,11},0))-VLOOKUP($A204,'PSES Enroll Snapshot 25-01-17'!$K$5:$AB$327,12,0)</f>
        <v>231.91</v>
      </c>
      <c r="E204" s="25">
        <f>SUMPRODUCT(VLOOKUP($A204,'PSES Enroll Snapshot 25-01-17'!$K$5:$AB$327,{13,14},0))-SUMPRODUCT(VLOOKUP($A204,'PSES Enroll Snapshot 25-01-17'!$K$5:$AB$327,{15,16,17},0))</f>
        <v>390.08999999999992</v>
      </c>
      <c r="F204" s="33">
        <f>ROUND($C204*'2024-25 Elementary Calculator'!$Q$13/400,3)+ROUND($D204*'2024-25 Middle Calculator'!$O$13/432,3)+ROUND($E204*'2024-25 High Calculator'!$O$13/600,3)</f>
        <v>5.5579999999999998</v>
      </c>
      <c r="G204" s="33">
        <f>ROUND($C204*'2024-25 Elementary Calculator'!$Q$15/400,3)+ROUND($D204*'2024-25 Middle Calculator'!$O$15/432,3)+ROUND($E204*'2024-25 High Calculator'!$O$15/600,3)</f>
        <v>0.96299999999999997</v>
      </c>
      <c r="H204" s="33">
        <f>ROUND($C204*'2024-25 Elementary Calculator'!$Q$17/400,3)+ROUND($D204*'2024-25 Middle Calculator'!$O$17/432,3)+ROUND($E204*'2024-25 High Calculator'!$O$17/600,3)</f>
        <v>0.32400000000000007</v>
      </c>
      <c r="I204" s="33">
        <f>ROUND($C204*'2024-25 Elementary Calculator'!$Q$18/400,3)+ROUND($D204*'2024-25 Middle Calculator'!$O$18/432,3)+ROUND($E204*'2024-25 High Calculator'!$O$18/600,3)</f>
        <v>2.581</v>
      </c>
      <c r="J204" s="166">
        <f t="shared" si="26"/>
        <v>9.4260000000000002</v>
      </c>
      <c r="K204" s="33">
        <f>ROUND($C204*'2024-25 Elementary Calculator'!$Q$23/400,3)+ROUND($D204*'2024-25 Middle Calculator'!$O$23/432,3)+ROUND($E204*'2024-25 High Calculator'!$O$23/600,3)</f>
        <v>0.35299999999999998</v>
      </c>
      <c r="L204" s="33">
        <f>ROUND($C204*'2024-25 Elementary Calculator'!$Q$22/400,3)+ROUND($D204*'2024-25 Middle Calculator'!$O$22/432,3)+ROUND($E204*'2024-25 High Calculator'!$O$22/600,3)</f>
        <v>0.221</v>
      </c>
      <c r="M204" s="166">
        <f t="shared" si="27"/>
        <v>0.57399999999999995</v>
      </c>
      <c r="N204" s="33">
        <f>VLOOKUP($A204,'District Summary'!$A$6:$AH$325,29,FALSE)</f>
        <v>6.9510000000000005</v>
      </c>
      <c r="O204" s="33">
        <f>VLOOKUP($A204,'District Summary'!$A$6:$AH$325,34,FALSE)</f>
        <v>5.3260000000000005</v>
      </c>
      <c r="P204" s="67">
        <f t="shared" si="28"/>
        <v>-2.4749999999999996</v>
      </c>
      <c r="Q204" s="67">
        <f t="shared" si="29"/>
        <v>4.7520000000000007</v>
      </c>
      <c r="R204" s="67">
        <f t="shared" si="30"/>
        <v>10</v>
      </c>
      <c r="S204" s="33">
        <f t="shared" si="31"/>
        <v>12.277000000000001</v>
      </c>
      <c r="T204" s="67">
        <f t="shared" si="33"/>
        <v>2.2770000000000001</v>
      </c>
      <c r="U204" s="67">
        <f t="shared" si="32"/>
        <v>0</v>
      </c>
      <c r="V204" s="273"/>
      <c r="W204" s="273"/>
    </row>
    <row r="205" spans="1:23" x14ac:dyDescent="0.25">
      <c r="A205" t="s">
        <v>196</v>
      </c>
      <c r="B205" t="s">
        <v>491</v>
      </c>
      <c r="C205" s="25">
        <f>SUMPRODUCT(VLOOKUP($A205,'PSES Enroll Snapshot 25-01-17'!$K$5:$AB$327,{2,3,4,5,6,7,8,9},0))</f>
        <v>2313.9700000000003</v>
      </c>
      <c r="D205" s="25">
        <f>SUMPRODUCT(VLOOKUP($A205,'PSES Enroll Snapshot 25-01-17'!$K$5:$AB$327,{10,11},0))-VLOOKUP($A205,'PSES Enroll Snapshot 25-01-17'!$K$5:$AB$327,12,0)</f>
        <v>613.06000000000006</v>
      </c>
      <c r="E205" s="25">
        <f>SUMPRODUCT(VLOOKUP($A205,'PSES Enroll Snapshot 25-01-17'!$K$5:$AB$327,{13,14},0))-SUMPRODUCT(VLOOKUP($A205,'PSES Enroll Snapshot 25-01-17'!$K$5:$AB$327,{15,16,17},0))</f>
        <v>881.22</v>
      </c>
      <c r="F205" s="33">
        <f>ROUND($C205*'2024-25 Elementary Calculator'!$Q$13/400,3)+ROUND($D205*'2024-25 Middle Calculator'!$O$13/432,3)+ROUND($E205*'2024-25 High Calculator'!$O$13/600,3)</f>
        <v>12.641999999999999</v>
      </c>
      <c r="G205" s="33">
        <f>ROUND($C205*'2024-25 Elementary Calculator'!$Q$15/400,3)+ROUND($D205*'2024-25 Middle Calculator'!$O$15/432,3)+ROUND($E205*'2024-25 High Calculator'!$O$15/600,3)</f>
        <v>2.1109999999999998</v>
      </c>
      <c r="H205" s="33">
        <f>ROUND($C205*'2024-25 Elementary Calculator'!$Q$17/400,3)+ROUND($D205*'2024-25 Middle Calculator'!$O$17/432,3)+ROUND($E205*'2024-25 High Calculator'!$O$17/600,3)</f>
        <v>0.70799999999999996</v>
      </c>
      <c r="I205" s="33">
        <f>ROUND($C205*'2024-25 Elementary Calculator'!$Q$18/400,3)+ROUND($D205*'2024-25 Middle Calculator'!$O$18/432,3)+ROUND($E205*'2024-25 High Calculator'!$O$18/600,3)</f>
        <v>5.8540000000000001</v>
      </c>
      <c r="J205" s="166">
        <f t="shared" si="26"/>
        <v>21.315000000000001</v>
      </c>
      <c r="K205" s="33">
        <f>ROUND($C205*'2024-25 Elementary Calculator'!$Q$23/400,3)+ROUND($D205*'2024-25 Middle Calculator'!$O$23/432,3)+ROUND($E205*'2024-25 High Calculator'!$O$23/600,3)</f>
        <v>0.79500000000000004</v>
      </c>
      <c r="L205" s="33">
        <f>ROUND($C205*'2024-25 Elementary Calculator'!$Q$22/400,3)+ROUND($D205*'2024-25 Middle Calculator'!$O$22/432,3)+ROUND($E205*'2024-25 High Calculator'!$O$22/600,3)</f>
        <v>0.47699999999999998</v>
      </c>
      <c r="M205" s="166">
        <f t="shared" si="27"/>
        <v>1.272</v>
      </c>
      <c r="N205" s="33">
        <f>VLOOKUP($A205,'District Summary'!$A$6:$AH$325,29,FALSE)</f>
        <v>14.625999999999999</v>
      </c>
      <c r="O205" s="33">
        <f>VLOOKUP($A205,'District Summary'!$A$6:$AH$325,34,FALSE)</f>
        <v>14.773</v>
      </c>
      <c r="P205" s="67">
        <f t="shared" si="28"/>
        <v>-6.6890000000000018</v>
      </c>
      <c r="Q205" s="67">
        <f t="shared" si="29"/>
        <v>13.500999999999999</v>
      </c>
      <c r="R205" s="67">
        <f t="shared" si="30"/>
        <v>22.587</v>
      </c>
      <c r="S205" s="33">
        <f t="shared" si="31"/>
        <v>29.399000000000001</v>
      </c>
      <c r="T205" s="67">
        <f t="shared" si="33"/>
        <v>6.8120000000000003</v>
      </c>
      <c r="U205" s="67">
        <f t="shared" si="32"/>
        <v>0</v>
      </c>
      <c r="V205" s="273"/>
      <c r="W205" s="273"/>
    </row>
    <row r="206" spans="1:23" x14ac:dyDescent="0.25">
      <c r="A206" t="s">
        <v>197</v>
      </c>
      <c r="B206" t="s">
        <v>492</v>
      </c>
      <c r="C206" s="25">
        <f>SUMPRODUCT(VLOOKUP($A206,'PSES Enroll Snapshot 25-01-17'!$K$5:$AB$327,{2,3,4,5,6,7,8,9},0))</f>
        <v>2088.67</v>
      </c>
      <c r="D206" s="25">
        <f>SUMPRODUCT(VLOOKUP($A206,'PSES Enroll Snapshot 25-01-17'!$K$5:$AB$327,{10,11},0))-VLOOKUP($A206,'PSES Enroll Snapshot 25-01-17'!$K$5:$AB$327,12,0)</f>
        <v>568.63</v>
      </c>
      <c r="E206" s="25">
        <f>SUMPRODUCT(VLOOKUP($A206,'PSES Enroll Snapshot 25-01-17'!$K$5:$AB$327,{13,14},0))-SUMPRODUCT(VLOOKUP($A206,'PSES Enroll Snapshot 25-01-17'!$K$5:$AB$327,{15,16,17},0))</f>
        <v>744.3</v>
      </c>
      <c r="F206" s="33">
        <f>ROUND($C206*'2024-25 Elementary Calculator'!$Q$13/400,3)+ROUND($D206*'2024-25 Middle Calculator'!$O$13/432,3)+ROUND($E206*'2024-25 High Calculator'!$O$13/600,3)</f>
        <v>11.213999999999999</v>
      </c>
      <c r="G206" s="33">
        <f>ROUND($C206*'2024-25 Elementary Calculator'!$Q$15/400,3)+ROUND($D206*'2024-25 Middle Calculator'!$O$15/432,3)+ROUND($E206*'2024-25 High Calculator'!$O$15/600,3)</f>
        <v>1.8980000000000001</v>
      </c>
      <c r="H206" s="33">
        <f>ROUND($C206*'2024-25 Elementary Calculator'!$Q$17/400,3)+ROUND($D206*'2024-25 Middle Calculator'!$O$17/432,3)+ROUND($E206*'2024-25 High Calculator'!$O$17/600,3)</f>
        <v>0.63600000000000012</v>
      </c>
      <c r="I206" s="33">
        <f>ROUND($C206*'2024-25 Elementary Calculator'!$Q$18/400,3)+ROUND($D206*'2024-25 Middle Calculator'!$O$18/432,3)+ROUND($E206*'2024-25 High Calculator'!$O$18/600,3)</f>
        <v>5.2460000000000004</v>
      </c>
      <c r="J206" s="166">
        <f t="shared" si="26"/>
        <v>18.994</v>
      </c>
      <c r="K206" s="33">
        <f>ROUND($C206*'2024-25 Elementary Calculator'!$Q$23/400,3)+ROUND($D206*'2024-25 Middle Calculator'!$O$23/432,3)+ROUND($E206*'2024-25 High Calculator'!$O$23/600,3)</f>
        <v>0.70900000000000007</v>
      </c>
      <c r="L206" s="33">
        <f>ROUND($C206*'2024-25 Elementary Calculator'!$Q$22/400,3)+ROUND($D206*'2024-25 Middle Calculator'!$O$22/432,3)+ROUND($E206*'2024-25 High Calculator'!$O$22/600,3)</f>
        <v>0.43099999999999999</v>
      </c>
      <c r="M206" s="166">
        <f t="shared" si="27"/>
        <v>1.1400000000000001</v>
      </c>
      <c r="N206" s="33">
        <f>VLOOKUP($A206,'District Summary'!$A$6:$AH$325,29,FALSE)</f>
        <v>16.867000000000001</v>
      </c>
      <c r="O206" s="33">
        <f>VLOOKUP($A206,'District Summary'!$A$6:$AH$325,34,FALSE)</f>
        <v>6.8660000000000005</v>
      </c>
      <c r="P206" s="67">
        <f t="shared" si="28"/>
        <v>-2.1269999999999989</v>
      </c>
      <c r="Q206" s="67">
        <f t="shared" si="29"/>
        <v>5.7260000000000009</v>
      </c>
      <c r="R206" s="67">
        <f t="shared" si="30"/>
        <v>20.134</v>
      </c>
      <c r="S206" s="33">
        <f t="shared" si="31"/>
        <v>23.733000000000001</v>
      </c>
      <c r="T206" s="67">
        <f t="shared" si="33"/>
        <v>3.5990000000000002</v>
      </c>
      <c r="U206" s="67">
        <f t="shared" si="32"/>
        <v>0</v>
      </c>
      <c r="V206" s="273"/>
      <c r="W206" s="273"/>
    </row>
    <row r="207" spans="1:23" x14ac:dyDescent="0.25">
      <c r="A207" t="s">
        <v>632</v>
      </c>
      <c r="B207" t="s">
        <v>1227</v>
      </c>
      <c r="C207" s="25">
        <f>SUMPRODUCT(VLOOKUP($A207,'PSES Enroll Snapshot 25-01-17'!$K$5:$AB$327,{2,3,4,5,6,7,8,9},0))</f>
        <v>351.4</v>
      </c>
      <c r="D207" s="25">
        <f>SUMPRODUCT(VLOOKUP($A207,'PSES Enroll Snapshot 25-01-17'!$K$5:$AB$327,{10,11},0))-VLOOKUP($A207,'PSES Enroll Snapshot 25-01-17'!$K$5:$AB$327,12,0)</f>
        <v>95.17</v>
      </c>
      <c r="E207" s="25">
        <f>SUMPRODUCT(VLOOKUP($A207,'PSES Enroll Snapshot 25-01-17'!$K$5:$AB$327,{13,14},0))-SUMPRODUCT(VLOOKUP($A207,'PSES Enroll Snapshot 25-01-17'!$K$5:$AB$327,{15,16,17},0))</f>
        <v>142.69</v>
      </c>
      <c r="F207" s="33">
        <f>ROUND($C207*'2024-25 Elementary Calculator'!$Q$13/400,3)+ROUND($D207*'2024-25 Middle Calculator'!$O$13/432,3)+ROUND($E207*'2024-25 High Calculator'!$O$13/600,3)</f>
        <v>1.9729999999999999</v>
      </c>
      <c r="G207" s="33">
        <f>ROUND($C207*'2024-25 Elementary Calculator'!$Q$15/400,3)+ROUND($D207*'2024-25 Middle Calculator'!$O$15/432,3)+ROUND($E207*'2024-25 High Calculator'!$O$15/600,3)</f>
        <v>0.32200000000000006</v>
      </c>
      <c r="H207" s="33">
        <f>ROUND($C207*'2024-25 Elementary Calculator'!$Q$17/400,3)+ROUND($D207*'2024-25 Middle Calculator'!$O$17/432,3)+ROUND($E207*'2024-25 High Calculator'!$O$17/600,3)</f>
        <v>0.108</v>
      </c>
      <c r="I207" s="33">
        <f>ROUND($C207*'2024-25 Elementary Calculator'!$Q$18/400,3)+ROUND($D207*'2024-25 Middle Calculator'!$O$18/432,3)+ROUND($E207*'2024-25 High Calculator'!$O$18/600,3)</f>
        <v>0.90599999999999992</v>
      </c>
      <c r="J207" s="166">
        <f t="shared" si="26"/>
        <v>3.3090000000000002</v>
      </c>
      <c r="K207" s="33">
        <f>ROUND($C207*'2024-25 Elementary Calculator'!$Q$23/400,3)+ROUND($D207*'2024-25 Middle Calculator'!$O$23/432,3)+ROUND($E207*'2024-25 High Calculator'!$O$23/600,3)</f>
        <v>0.12300000000000001</v>
      </c>
      <c r="L207" s="33">
        <f>ROUND($C207*'2024-25 Elementary Calculator'!$Q$22/400,3)+ROUND($D207*'2024-25 Middle Calculator'!$O$22/432,3)+ROUND($E207*'2024-25 High Calculator'!$O$22/600,3)</f>
        <v>7.1999999999999995E-2</v>
      </c>
      <c r="M207" s="166">
        <f t="shared" si="27"/>
        <v>0.19500000000000001</v>
      </c>
      <c r="N207" s="33">
        <f>VLOOKUP($A207,'District Summary'!$A$6:$AH$325,29,FALSE)</f>
        <v>4.173</v>
      </c>
      <c r="O207" s="33">
        <f>VLOOKUP($A207,'District Summary'!$A$6:$AH$325,34,FALSE)</f>
        <v>2.2170000000000001</v>
      </c>
      <c r="P207" s="67">
        <f t="shared" si="28"/>
        <v>0.86399999999999988</v>
      </c>
      <c r="Q207" s="67">
        <f t="shared" si="29"/>
        <v>2.0220000000000002</v>
      </c>
      <c r="R207" s="67">
        <f t="shared" si="30"/>
        <v>3.504</v>
      </c>
      <c r="S207" s="33">
        <f t="shared" si="31"/>
        <v>6.3900000000000006</v>
      </c>
      <c r="T207" s="67">
        <f t="shared" si="33"/>
        <v>2.8860000000000001</v>
      </c>
      <c r="U207" s="67">
        <f t="shared" si="32"/>
        <v>0</v>
      </c>
      <c r="V207" s="273"/>
      <c r="W207" s="273"/>
    </row>
    <row r="208" spans="1:23" x14ac:dyDescent="0.25">
      <c r="A208" t="s">
        <v>666</v>
      </c>
      <c r="B208" t="s">
        <v>1110</v>
      </c>
      <c r="C208" s="25">
        <f>SUMPRODUCT(VLOOKUP($A208,'PSES Enroll Snapshot 25-01-17'!$K$5:$AB$327,{2,3,4,5,6,7,8,9},0))</f>
        <v>230.8</v>
      </c>
      <c r="D208" s="25">
        <f>SUMPRODUCT(VLOOKUP($A208,'PSES Enroll Snapshot 25-01-17'!$K$5:$AB$327,{10,11},0))-VLOOKUP($A208,'PSES Enroll Snapshot 25-01-17'!$K$5:$AB$327,12,0)</f>
        <v>0</v>
      </c>
      <c r="E208" s="25">
        <f>SUMPRODUCT(VLOOKUP($A208,'PSES Enroll Snapshot 25-01-17'!$K$5:$AB$327,{13,14},0))-SUMPRODUCT(VLOOKUP($A208,'PSES Enroll Snapshot 25-01-17'!$K$5:$AB$327,{15,16,17},0))</f>
        <v>0</v>
      </c>
      <c r="F208" s="33">
        <f>ROUND($C208*'2024-25 Elementary Calculator'!$Q$13/400,3)+ROUND($D208*'2024-25 Middle Calculator'!$O$13/432,3)+ROUND($E208*'2024-25 High Calculator'!$O$13/600,3)</f>
        <v>0.57299999999999995</v>
      </c>
      <c r="G208" s="33">
        <f>ROUND($C208*'2024-25 Elementary Calculator'!$Q$15/400,3)+ROUND($D208*'2024-25 Middle Calculator'!$O$15/432,3)+ROUND($E208*'2024-25 High Calculator'!$O$15/600,3)</f>
        <v>0.17899999999999999</v>
      </c>
      <c r="H208" s="33">
        <f>ROUND($C208*'2024-25 Elementary Calculator'!$Q$17/400,3)+ROUND($D208*'2024-25 Middle Calculator'!$O$17/432,3)+ROUND($E208*'2024-25 High Calculator'!$O$17/600,3)</f>
        <v>0.06</v>
      </c>
      <c r="I208" s="33">
        <f>ROUND($C208*'2024-25 Elementary Calculator'!$Q$18/400,3)+ROUND($D208*'2024-25 Middle Calculator'!$O$18/432,3)+ROUND($E208*'2024-25 High Calculator'!$O$18/600,3)</f>
        <v>0.33800000000000002</v>
      </c>
      <c r="J208" s="166">
        <f t="shared" si="26"/>
        <v>1.1500000000000001</v>
      </c>
      <c r="K208" s="33">
        <f>ROUND($C208*'2024-25 Elementary Calculator'!$Q$23/400,3)+ROUND($D208*'2024-25 Middle Calculator'!$O$23/432,3)+ROUND($E208*'2024-25 High Calculator'!$O$23/600,3)</f>
        <v>4.5999999999999999E-2</v>
      </c>
      <c r="L208" s="33">
        <f>ROUND($C208*'2024-25 Elementary Calculator'!$Q$22/400,3)+ROUND($D208*'2024-25 Middle Calculator'!$O$22/432,3)+ROUND($E208*'2024-25 High Calculator'!$O$22/600,3)</f>
        <v>4.8000000000000001E-2</v>
      </c>
      <c r="M208" s="166">
        <f t="shared" si="27"/>
        <v>9.4E-2</v>
      </c>
      <c r="N208" s="33">
        <f>VLOOKUP($A208,'District Summary'!$A$6:$AH$325,29,FALSE)</f>
        <v>0.39</v>
      </c>
      <c r="O208" s="33">
        <f>VLOOKUP($A208,'District Summary'!$A$6:$AH$325,34,FALSE)</f>
        <v>1</v>
      </c>
      <c r="P208" s="67">
        <f t="shared" si="28"/>
        <v>-0.76000000000000012</v>
      </c>
      <c r="Q208" s="67">
        <f t="shared" si="29"/>
        <v>0.90600000000000003</v>
      </c>
      <c r="R208" s="67">
        <f t="shared" si="30"/>
        <v>1.2440000000000002</v>
      </c>
      <c r="S208" s="33">
        <f t="shared" si="31"/>
        <v>1.3900000000000001</v>
      </c>
      <c r="T208" s="67">
        <f t="shared" si="33"/>
        <v>0.14599999999999999</v>
      </c>
      <c r="U208" s="67">
        <f t="shared" si="32"/>
        <v>0</v>
      </c>
      <c r="V208" s="273"/>
      <c r="W208" s="273"/>
    </row>
    <row r="209" spans="1:23" x14ac:dyDescent="0.25">
      <c r="A209" t="s">
        <v>626</v>
      </c>
      <c r="B209" t="s">
        <v>1241</v>
      </c>
      <c r="C209" s="25">
        <f>SUMPRODUCT(VLOOKUP($A209,'PSES Enroll Snapshot 25-01-17'!$K$5:$AB$327,{2,3,4,5,6,7,8,9},0))</f>
        <v>0</v>
      </c>
      <c r="D209" s="25">
        <f>SUMPRODUCT(VLOOKUP($A209,'PSES Enroll Snapshot 25-01-17'!$K$5:$AB$327,{10,11},0))-VLOOKUP($A209,'PSES Enroll Snapshot 25-01-17'!$K$5:$AB$327,12,0)</f>
        <v>0</v>
      </c>
      <c r="E209" s="25">
        <f>SUMPRODUCT(VLOOKUP($A209,'PSES Enroll Snapshot 25-01-17'!$K$5:$AB$327,{13,14},0))-SUMPRODUCT(VLOOKUP($A209,'PSES Enroll Snapshot 25-01-17'!$K$5:$AB$327,{15,16,17},0))</f>
        <v>107.4</v>
      </c>
      <c r="F209" s="33">
        <f>ROUND($C209*'2024-25 Elementary Calculator'!$Q$13/400,3)+ROUND($D209*'2024-25 Middle Calculator'!$O$13/432,3)+ROUND($E209*'2024-25 High Calculator'!$O$13/600,3)</f>
        <v>0.54400000000000004</v>
      </c>
      <c r="G209" s="33">
        <f>ROUND($C209*'2024-25 Elementary Calculator'!$Q$15/400,3)+ROUND($D209*'2024-25 Middle Calculator'!$O$15/432,3)+ROUND($E209*'2024-25 High Calculator'!$O$15/600,3)</f>
        <v>2.3E-2</v>
      </c>
      <c r="H209" s="33">
        <f>ROUND($C209*'2024-25 Elementary Calculator'!$Q$17/400,3)+ROUND($D209*'2024-25 Middle Calculator'!$O$17/432,3)+ROUND($E209*'2024-25 High Calculator'!$O$17/600,3)</f>
        <v>8.9999999999999993E-3</v>
      </c>
      <c r="I209" s="33">
        <f>ROUND($C209*'2024-25 Elementary Calculator'!$Q$18/400,3)+ROUND($D209*'2024-25 Middle Calculator'!$O$18/432,3)+ROUND($E209*'2024-25 High Calculator'!$O$18/600,3)</f>
        <v>0.14699999999999999</v>
      </c>
      <c r="J209" s="166">
        <f t="shared" si="26"/>
        <v>0.72300000000000009</v>
      </c>
      <c r="K209" s="33">
        <f>ROUND($C209*'2024-25 Elementary Calculator'!$Q$23/400,3)+ROUND($D209*'2024-25 Middle Calculator'!$O$23/432,3)+ROUND($E209*'2024-25 High Calculator'!$O$23/600,3)</f>
        <v>2.5000000000000001E-2</v>
      </c>
      <c r="L209" s="33">
        <f>ROUND($C209*'2024-25 Elementary Calculator'!$Q$22/400,3)+ROUND($D209*'2024-25 Middle Calculator'!$O$22/432,3)+ROUND($E209*'2024-25 High Calculator'!$O$22/600,3)</f>
        <v>0</v>
      </c>
      <c r="M209" s="166">
        <f t="shared" si="27"/>
        <v>2.5000000000000001E-2</v>
      </c>
      <c r="N209" s="33">
        <f>VLOOKUP($A209,'District Summary'!$A$6:$AH$325,29,FALSE)</f>
        <v>1</v>
      </c>
      <c r="O209" s="33">
        <f>VLOOKUP($A209,'District Summary'!$A$6:$AH$325,34,FALSE)</f>
        <v>0</v>
      </c>
      <c r="P209" s="67">
        <f t="shared" si="28"/>
        <v>0.27699999999999991</v>
      </c>
      <c r="Q209" s="67">
        <f t="shared" si="29"/>
        <v>-2.5000000000000001E-2</v>
      </c>
      <c r="R209" s="67">
        <f t="shared" si="30"/>
        <v>0.74800000000000011</v>
      </c>
      <c r="S209" s="33">
        <f t="shared" si="31"/>
        <v>1</v>
      </c>
      <c r="T209" s="67">
        <f t="shared" si="33"/>
        <v>0.252</v>
      </c>
      <c r="U209" s="67">
        <f t="shared" si="32"/>
        <v>0</v>
      </c>
      <c r="V209" s="273"/>
      <c r="W209" s="273"/>
    </row>
    <row r="210" spans="1:23" x14ac:dyDescent="0.25">
      <c r="A210" t="s">
        <v>198</v>
      </c>
      <c r="B210" t="s">
        <v>493</v>
      </c>
      <c r="C210" s="25">
        <f>SUMPRODUCT(VLOOKUP($A210,'PSES Enroll Snapshot 25-01-17'!$K$5:$AB$327,{2,3,4,5,6,7,8,9},0))</f>
        <v>7.16</v>
      </c>
      <c r="D210" s="25">
        <f>SUMPRODUCT(VLOOKUP($A210,'PSES Enroll Snapshot 25-01-17'!$K$5:$AB$327,{10,11},0))-VLOOKUP($A210,'PSES Enroll Snapshot 25-01-17'!$K$5:$AB$327,12,0)</f>
        <v>0</v>
      </c>
      <c r="E210" s="25">
        <f>SUMPRODUCT(VLOOKUP($A210,'PSES Enroll Snapshot 25-01-17'!$K$5:$AB$327,{13,14},0))-SUMPRODUCT(VLOOKUP($A210,'PSES Enroll Snapshot 25-01-17'!$K$5:$AB$327,{15,16,17},0))</f>
        <v>0</v>
      </c>
      <c r="F210" s="33">
        <f>ROUND($C210*'2024-25 Elementary Calculator'!$Q$13/400,3)+ROUND($D210*'2024-25 Middle Calculator'!$O$13/432,3)+ROUND($E210*'2024-25 High Calculator'!$O$13/600,3)</f>
        <v>1.7999999999999999E-2</v>
      </c>
      <c r="G210" s="33">
        <f>ROUND($C210*'2024-25 Elementary Calculator'!$Q$15/400,3)+ROUND($D210*'2024-25 Middle Calculator'!$O$15/432,3)+ROUND($E210*'2024-25 High Calculator'!$O$15/600,3)</f>
        <v>6.0000000000000001E-3</v>
      </c>
      <c r="H210" s="33">
        <f>ROUND($C210*'2024-25 Elementary Calculator'!$Q$17/400,3)+ROUND($D210*'2024-25 Middle Calculator'!$O$17/432,3)+ROUND($E210*'2024-25 High Calculator'!$O$17/600,3)</f>
        <v>2E-3</v>
      </c>
      <c r="I210" s="33">
        <f>ROUND($C210*'2024-25 Elementary Calculator'!$Q$18/400,3)+ROUND($D210*'2024-25 Middle Calculator'!$O$18/432,3)+ROUND($E210*'2024-25 High Calculator'!$O$18/600,3)</f>
        <v>0.01</v>
      </c>
      <c r="J210" s="166">
        <f t="shared" si="26"/>
        <v>3.6000000000000004E-2</v>
      </c>
      <c r="K210" s="33">
        <f>ROUND($C210*'2024-25 Elementary Calculator'!$Q$23/400,3)+ROUND($D210*'2024-25 Middle Calculator'!$O$23/432,3)+ROUND($E210*'2024-25 High Calculator'!$O$23/600,3)</f>
        <v>1E-3</v>
      </c>
      <c r="L210" s="33">
        <f>ROUND($C210*'2024-25 Elementary Calculator'!$Q$22/400,3)+ROUND($D210*'2024-25 Middle Calculator'!$O$22/432,3)+ROUND($E210*'2024-25 High Calculator'!$O$22/600,3)</f>
        <v>1E-3</v>
      </c>
      <c r="M210" s="166">
        <f t="shared" si="27"/>
        <v>2E-3</v>
      </c>
      <c r="N210" s="33">
        <f>VLOOKUP($A210,'District Summary'!$A$6:$AH$325,29,FALSE)</f>
        <v>0</v>
      </c>
      <c r="O210" s="33">
        <f>VLOOKUP($A210,'District Summary'!$A$6:$AH$325,34,FALSE)</f>
        <v>0</v>
      </c>
      <c r="P210" s="67">
        <f t="shared" si="28"/>
        <v>-3.6000000000000004E-2</v>
      </c>
      <c r="Q210" s="67">
        <f t="shared" si="29"/>
        <v>-2E-3</v>
      </c>
      <c r="R210" s="67">
        <f t="shared" si="30"/>
        <v>3.8000000000000006E-2</v>
      </c>
      <c r="S210" s="33">
        <f t="shared" si="31"/>
        <v>0</v>
      </c>
      <c r="T210" s="67">
        <f t="shared" si="33"/>
        <v>-3.7999999999999999E-2</v>
      </c>
      <c r="U210" s="67">
        <f t="shared" si="32"/>
        <v>-3.7999999999999999E-2</v>
      </c>
      <c r="V210" s="273"/>
      <c r="W210" s="273"/>
    </row>
    <row r="211" spans="1:23" x14ac:dyDescent="0.25">
      <c r="A211" t="s">
        <v>199</v>
      </c>
      <c r="B211" t="s">
        <v>494</v>
      </c>
      <c r="C211" s="25">
        <f>SUMPRODUCT(VLOOKUP($A211,'PSES Enroll Snapshot 25-01-17'!$K$5:$AB$327,{2,3,4,5,6,7,8,9},0))</f>
        <v>213.45000000000002</v>
      </c>
      <c r="D211" s="25">
        <f>SUMPRODUCT(VLOOKUP($A211,'PSES Enroll Snapshot 25-01-17'!$K$5:$AB$327,{10,11},0))-VLOOKUP($A211,'PSES Enroll Snapshot 25-01-17'!$K$5:$AB$327,12,0)</f>
        <v>70.510000000000005</v>
      </c>
      <c r="E211" s="25">
        <f>SUMPRODUCT(VLOOKUP($A211,'PSES Enroll Snapshot 25-01-17'!$K$5:$AB$327,{13,14},0))-SUMPRODUCT(VLOOKUP($A211,'PSES Enroll Snapshot 25-01-17'!$K$5:$AB$327,{15,16,17},0))</f>
        <v>152.30000000000001</v>
      </c>
      <c r="F211" s="33">
        <f>ROUND($C211*'2024-25 Elementary Calculator'!$Q$13/400,3)+ROUND($D211*'2024-25 Middle Calculator'!$O$13/432,3)+ROUND($E211*'2024-25 High Calculator'!$O$13/600,3)</f>
        <v>1.581</v>
      </c>
      <c r="G211" s="33">
        <f>ROUND($C211*'2024-25 Elementary Calculator'!$Q$15/400,3)+ROUND($D211*'2024-25 Middle Calculator'!$O$15/432,3)+ROUND($E211*'2024-25 High Calculator'!$O$15/600,3)</f>
        <v>0.21200000000000002</v>
      </c>
      <c r="H211" s="33">
        <f>ROUND($C211*'2024-25 Elementary Calculator'!$Q$17/400,3)+ROUND($D211*'2024-25 Middle Calculator'!$O$17/432,3)+ROUND($E211*'2024-25 High Calculator'!$O$17/600,3)</f>
        <v>7.0999999999999994E-2</v>
      </c>
      <c r="I211" s="33">
        <f>ROUND($C211*'2024-25 Elementary Calculator'!$Q$18/400,3)+ROUND($D211*'2024-25 Middle Calculator'!$O$18/432,3)+ROUND($E211*'2024-25 High Calculator'!$O$18/600,3)</f>
        <v>0.66599999999999993</v>
      </c>
      <c r="J211" s="166">
        <f t="shared" si="26"/>
        <v>2.5299999999999998</v>
      </c>
      <c r="K211" s="33">
        <f>ROUND($C211*'2024-25 Elementary Calculator'!$Q$23/400,3)+ROUND($D211*'2024-25 Middle Calculator'!$O$23/432,3)+ROUND($E211*'2024-25 High Calculator'!$O$23/600,3)</f>
        <v>9.2999999999999999E-2</v>
      </c>
      <c r="L211" s="33">
        <f>ROUND($C211*'2024-25 Elementary Calculator'!$Q$22/400,3)+ROUND($D211*'2024-25 Middle Calculator'!$O$22/432,3)+ROUND($E211*'2024-25 High Calculator'!$O$22/600,3)</f>
        <v>4.3999999999999997E-2</v>
      </c>
      <c r="M211" s="166">
        <f t="shared" si="27"/>
        <v>0.13700000000000001</v>
      </c>
      <c r="N211" s="33">
        <f>VLOOKUP($A211,'District Summary'!$A$6:$AH$325,29,FALSE)</f>
        <v>1.123</v>
      </c>
      <c r="O211" s="33">
        <f>VLOOKUP($A211,'District Summary'!$A$6:$AH$325,34,FALSE)</f>
        <v>0.63300000000000001</v>
      </c>
      <c r="P211" s="67">
        <f t="shared" si="28"/>
        <v>-1.4069999999999998</v>
      </c>
      <c r="Q211" s="67">
        <f t="shared" si="29"/>
        <v>0.496</v>
      </c>
      <c r="R211" s="67">
        <f t="shared" si="30"/>
        <v>2.6669999999999998</v>
      </c>
      <c r="S211" s="33">
        <f t="shared" si="31"/>
        <v>1.756</v>
      </c>
      <c r="T211" s="67">
        <f t="shared" si="33"/>
        <v>-0.91100000000000003</v>
      </c>
      <c r="U211" s="67">
        <f t="shared" si="32"/>
        <v>-0.91100000000000003</v>
      </c>
      <c r="V211" s="273"/>
      <c r="W211" s="273"/>
    </row>
    <row r="212" spans="1:23" x14ac:dyDescent="0.25">
      <c r="A212" t="s">
        <v>200</v>
      </c>
      <c r="B212" t="s">
        <v>495</v>
      </c>
      <c r="C212" s="25">
        <f>SUMPRODUCT(VLOOKUP($A212,'PSES Enroll Snapshot 25-01-17'!$K$5:$AB$327,{2,3,4,5,6,7,8,9},0))</f>
        <v>90.51</v>
      </c>
      <c r="D212" s="25">
        <f>SUMPRODUCT(VLOOKUP($A212,'PSES Enroll Snapshot 25-01-17'!$K$5:$AB$327,{10,11},0))-VLOOKUP($A212,'PSES Enroll Snapshot 25-01-17'!$K$5:$AB$327,12,0)</f>
        <v>28.16</v>
      </c>
      <c r="E212" s="25">
        <f>SUMPRODUCT(VLOOKUP($A212,'PSES Enroll Snapshot 25-01-17'!$K$5:$AB$327,{13,14},0))-SUMPRODUCT(VLOOKUP($A212,'PSES Enroll Snapshot 25-01-17'!$K$5:$AB$327,{15,16,17},0))</f>
        <v>66.040000000000006</v>
      </c>
      <c r="F212" s="33">
        <f>ROUND($C212*'2024-25 Elementary Calculator'!$Q$13/400,3)+ROUND($D212*'2024-25 Middle Calculator'!$O$13/432,3)+ROUND($E212*'2024-25 High Calculator'!$O$13/600,3)</f>
        <v>0.67100000000000004</v>
      </c>
      <c r="G212" s="33">
        <f>ROUND($C212*'2024-25 Elementary Calculator'!$Q$15/400,3)+ROUND($D212*'2024-25 Middle Calculator'!$O$15/432,3)+ROUND($E212*'2024-25 High Calculator'!$O$15/600,3)</f>
        <v>9.0000000000000011E-2</v>
      </c>
      <c r="H212" s="33">
        <f>ROUND($C212*'2024-25 Elementary Calculator'!$Q$17/400,3)+ROUND($D212*'2024-25 Middle Calculator'!$O$17/432,3)+ROUND($E212*'2024-25 High Calculator'!$O$17/600,3)</f>
        <v>3.1000000000000003E-2</v>
      </c>
      <c r="I212" s="33">
        <f>ROUND($C212*'2024-25 Elementary Calculator'!$Q$18/400,3)+ROUND($D212*'2024-25 Middle Calculator'!$O$18/432,3)+ROUND($E212*'2024-25 High Calculator'!$O$18/600,3)</f>
        <v>0.28100000000000003</v>
      </c>
      <c r="J212" s="166">
        <f t="shared" si="26"/>
        <v>1.073</v>
      </c>
      <c r="K212" s="33">
        <f>ROUND($C212*'2024-25 Elementary Calculator'!$Q$23/400,3)+ROUND($D212*'2024-25 Middle Calculator'!$O$23/432,3)+ROUND($E212*'2024-25 High Calculator'!$O$23/600,3)</f>
        <v>0.04</v>
      </c>
      <c r="L212" s="33">
        <f>ROUND($C212*'2024-25 Elementary Calculator'!$Q$22/400,3)+ROUND($D212*'2024-25 Middle Calculator'!$O$22/432,3)+ROUND($E212*'2024-25 High Calculator'!$O$22/600,3)</f>
        <v>1.9E-2</v>
      </c>
      <c r="M212" s="166">
        <f t="shared" si="27"/>
        <v>5.8999999999999997E-2</v>
      </c>
      <c r="N212" s="33">
        <f>VLOOKUP($A212,'District Summary'!$A$6:$AH$325,29,FALSE)</f>
        <v>1.1099999999999999</v>
      </c>
      <c r="O212" s="33">
        <f>VLOOKUP($A212,'District Summary'!$A$6:$AH$325,34,FALSE)</f>
        <v>0.72299999999999998</v>
      </c>
      <c r="P212" s="67">
        <f t="shared" si="28"/>
        <v>3.6999999999999922E-2</v>
      </c>
      <c r="Q212" s="67">
        <f t="shared" si="29"/>
        <v>0.66399999999999992</v>
      </c>
      <c r="R212" s="67">
        <f t="shared" si="30"/>
        <v>1.1319999999999999</v>
      </c>
      <c r="S212" s="33">
        <f t="shared" si="31"/>
        <v>1.8329999999999997</v>
      </c>
      <c r="T212" s="67">
        <f t="shared" si="33"/>
        <v>0.70099999999999996</v>
      </c>
      <c r="U212" s="67">
        <f t="shared" si="32"/>
        <v>0</v>
      </c>
      <c r="V212" s="273"/>
      <c r="W212" s="273"/>
    </row>
    <row r="213" spans="1:23" x14ac:dyDescent="0.25">
      <c r="A213" t="s">
        <v>201</v>
      </c>
      <c r="B213" t="s">
        <v>496</v>
      </c>
      <c r="C213" s="25">
        <f>SUMPRODUCT(VLOOKUP($A213,'PSES Enroll Snapshot 25-01-17'!$K$5:$AB$327,{2,3,4,5,6,7,8,9},0))</f>
        <v>389.03</v>
      </c>
      <c r="D213" s="25">
        <f>SUMPRODUCT(VLOOKUP($A213,'PSES Enroll Snapshot 25-01-17'!$K$5:$AB$327,{10,11},0))-VLOOKUP($A213,'PSES Enroll Snapshot 25-01-17'!$K$5:$AB$327,12,0)</f>
        <v>98.93</v>
      </c>
      <c r="E213" s="25">
        <f>SUMPRODUCT(VLOOKUP($A213,'PSES Enroll Snapshot 25-01-17'!$K$5:$AB$327,{13,14},0))-SUMPRODUCT(VLOOKUP($A213,'PSES Enroll Snapshot 25-01-17'!$K$5:$AB$327,{15,16,17},0))</f>
        <v>227.4</v>
      </c>
      <c r="F213" s="33">
        <f>ROUND($C213*'2024-25 Elementary Calculator'!$Q$13/400,3)+ROUND($D213*'2024-25 Middle Calculator'!$O$13/432,3)+ROUND($E213*'2024-25 High Calculator'!$O$13/600,3)</f>
        <v>2.5110000000000001</v>
      </c>
      <c r="G213" s="33">
        <f>ROUND($C213*'2024-25 Elementary Calculator'!$Q$15/400,3)+ROUND($D213*'2024-25 Middle Calculator'!$O$15/432,3)+ROUND($E213*'2024-25 High Calculator'!$O$15/600,3)</f>
        <v>0.37</v>
      </c>
      <c r="H213" s="33">
        <f>ROUND($C213*'2024-25 Elementary Calculator'!$Q$17/400,3)+ROUND($D213*'2024-25 Middle Calculator'!$O$17/432,3)+ROUND($E213*'2024-25 High Calculator'!$O$17/600,3)</f>
        <v>0.125</v>
      </c>
      <c r="I213" s="33">
        <f>ROUND($C213*'2024-25 Elementary Calculator'!$Q$18/400,3)+ROUND($D213*'2024-25 Middle Calculator'!$O$18/432,3)+ROUND($E213*'2024-25 High Calculator'!$O$18/600,3)</f>
        <v>1.0840000000000001</v>
      </c>
      <c r="J213" s="166">
        <f t="shared" si="26"/>
        <v>4.09</v>
      </c>
      <c r="K213" s="33">
        <f>ROUND($C213*'2024-25 Elementary Calculator'!$Q$23/400,3)+ROUND($D213*'2024-25 Middle Calculator'!$O$23/432,3)+ROUND($E213*'2024-25 High Calculator'!$O$23/600,3)</f>
        <v>0.151</v>
      </c>
      <c r="L213" s="33">
        <f>ROUND($C213*'2024-25 Elementary Calculator'!$Q$22/400,3)+ROUND($D213*'2024-25 Middle Calculator'!$O$22/432,3)+ROUND($E213*'2024-25 High Calculator'!$O$22/600,3)</f>
        <v>0.08</v>
      </c>
      <c r="M213" s="166">
        <f t="shared" si="27"/>
        <v>0.23099999999999998</v>
      </c>
      <c r="N213" s="33">
        <f>VLOOKUP($A213,'District Summary'!$A$6:$AH$325,29,FALSE)</f>
        <v>4.3109999999999999</v>
      </c>
      <c r="O213" s="33">
        <f>VLOOKUP($A213,'District Summary'!$A$6:$AH$325,34,FALSE)</f>
        <v>9.1999999999999998E-2</v>
      </c>
      <c r="P213" s="67">
        <f t="shared" si="28"/>
        <v>0.22100000000000009</v>
      </c>
      <c r="Q213" s="67">
        <f t="shared" si="29"/>
        <v>-0.13899999999999998</v>
      </c>
      <c r="R213" s="67">
        <f t="shared" si="30"/>
        <v>4.3209999999999997</v>
      </c>
      <c r="S213" s="33">
        <f t="shared" si="31"/>
        <v>4.4029999999999996</v>
      </c>
      <c r="T213" s="67">
        <f t="shared" si="33"/>
        <v>8.2000000000000003E-2</v>
      </c>
      <c r="U213" s="67">
        <f t="shared" si="32"/>
        <v>0</v>
      </c>
      <c r="V213" s="273"/>
      <c r="W213" s="273"/>
    </row>
    <row r="214" spans="1:23" x14ac:dyDescent="0.25">
      <c r="A214" t="s">
        <v>202</v>
      </c>
      <c r="B214" t="s">
        <v>497</v>
      </c>
      <c r="C214" s="25">
        <f>SUMPRODUCT(VLOOKUP($A214,'PSES Enroll Snapshot 25-01-17'!$K$5:$AB$327,{2,3,4,5,6,7,8,9},0))</f>
        <v>307.22000000000003</v>
      </c>
      <c r="D214" s="25">
        <f>SUMPRODUCT(VLOOKUP($A214,'PSES Enroll Snapshot 25-01-17'!$K$5:$AB$327,{10,11},0))-VLOOKUP($A214,'PSES Enroll Snapshot 25-01-17'!$K$5:$AB$327,12,0)</f>
        <v>75.740000000000009</v>
      </c>
      <c r="E214" s="25">
        <f>SUMPRODUCT(VLOOKUP($A214,'PSES Enroll Snapshot 25-01-17'!$K$5:$AB$327,{13,14},0))-SUMPRODUCT(VLOOKUP($A214,'PSES Enroll Snapshot 25-01-17'!$K$5:$AB$327,{15,16,17},0))</f>
        <v>94.11</v>
      </c>
      <c r="F214" s="33">
        <f>ROUND($C214*'2024-25 Elementary Calculator'!$Q$13/400,3)+ROUND($D214*'2024-25 Middle Calculator'!$O$13/432,3)+ROUND($E214*'2024-25 High Calculator'!$O$13/600,3)</f>
        <v>1.5409999999999999</v>
      </c>
      <c r="G214" s="33">
        <f>ROUND($C214*'2024-25 Elementary Calculator'!$Q$15/400,3)+ROUND($D214*'2024-25 Middle Calculator'!$O$15/432,3)+ROUND($E214*'2024-25 High Calculator'!$O$15/600,3)</f>
        <v>0.27400000000000002</v>
      </c>
      <c r="H214" s="33">
        <f>ROUND($C214*'2024-25 Elementary Calculator'!$Q$17/400,3)+ROUND($D214*'2024-25 Middle Calculator'!$O$17/432,3)+ROUND($E214*'2024-25 High Calculator'!$O$17/600,3)</f>
        <v>9.1999999999999998E-2</v>
      </c>
      <c r="I214" s="33">
        <f>ROUND($C214*'2024-25 Elementary Calculator'!$Q$18/400,3)+ROUND($D214*'2024-25 Middle Calculator'!$O$18/432,3)+ROUND($E214*'2024-25 High Calculator'!$O$18/600,3)</f>
        <v>0.73399999999999999</v>
      </c>
      <c r="J214" s="166">
        <f t="shared" si="26"/>
        <v>2.641</v>
      </c>
      <c r="K214" s="33">
        <f>ROUND($C214*'2024-25 Elementary Calculator'!$Q$23/400,3)+ROUND($D214*'2024-25 Middle Calculator'!$O$23/432,3)+ROUND($E214*'2024-25 High Calculator'!$O$23/600,3)</f>
        <v>9.9000000000000005E-2</v>
      </c>
      <c r="L214" s="33">
        <f>ROUND($C214*'2024-25 Elementary Calculator'!$Q$22/400,3)+ROUND($D214*'2024-25 Middle Calculator'!$O$22/432,3)+ROUND($E214*'2024-25 High Calculator'!$O$22/600,3)</f>
        <v>6.3E-2</v>
      </c>
      <c r="M214" s="166">
        <f t="shared" si="27"/>
        <v>0.16200000000000001</v>
      </c>
      <c r="N214" s="33">
        <f>VLOOKUP($A214,'District Summary'!$A$6:$AH$325,29,FALSE)</f>
        <v>1.07</v>
      </c>
      <c r="O214" s="33">
        <f>VLOOKUP($A214,'District Summary'!$A$6:$AH$325,34,FALSE)</f>
        <v>1.7719999999999998</v>
      </c>
      <c r="P214" s="67">
        <f t="shared" si="28"/>
        <v>-1.571</v>
      </c>
      <c r="Q214" s="67">
        <f t="shared" si="29"/>
        <v>1.6099999999999999</v>
      </c>
      <c r="R214" s="67">
        <f t="shared" si="30"/>
        <v>2.8029999999999999</v>
      </c>
      <c r="S214" s="33">
        <f t="shared" si="31"/>
        <v>2.8419999999999996</v>
      </c>
      <c r="T214" s="67">
        <f t="shared" si="33"/>
        <v>3.9E-2</v>
      </c>
      <c r="U214" s="67">
        <f t="shared" si="32"/>
        <v>0</v>
      </c>
      <c r="V214" s="273"/>
      <c r="W214" s="273"/>
    </row>
    <row r="215" spans="1:23" x14ac:dyDescent="0.25">
      <c r="A215" t="s">
        <v>203</v>
      </c>
      <c r="B215" t="s">
        <v>498</v>
      </c>
      <c r="C215" s="25">
        <f>SUMPRODUCT(VLOOKUP($A215,'PSES Enroll Snapshot 25-01-17'!$K$5:$AB$327,{2,3,4,5,6,7,8,9},0))</f>
        <v>1662.95</v>
      </c>
      <c r="D215" s="25">
        <f>SUMPRODUCT(VLOOKUP($A215,'PSES Enroll Snapshot 25-01-17'!$K$5:$AB$327,{10,11},0))-VLOOKUP($A215,'PSES Enroll Snapshot 25-01-17'!$K$5:$AB$327,12,0)</f>
        <v>447.15</v>
      </c>
      <c r="E215" s="25">
        <f>SUMPRODUCT(VLOOKUP($A215,'PSES Enroll Snapshot 25-01-17'!$K$5:$AB$327,{13,14},0))-SUMPRODUCT(VLOOKUP($A215,'PSES Enroll Snapshot 25-01-17'!$K$5:$AB$327,{15,16,17},0))</f>
        <v>651.89</v>
      </c>
      <c r="F215" s="33">
        <f>ROUND($C215*'2024-25 Elementary Calculator'!$Q$13/400,3)+ROUND($D215*'2024-25 Middle Calculator'!$O$13/432,3)+ROUND($E215*'2024-25 High Calculator'!$O$13/600,3)</f>
        <v>9.2059999999999995</v>
      </c>
      <c r="G215" s="33">
        <f>ROUND($C215*'2024-25 Elementary Calculator'!$Q$15/400,3)+ROUND($D215*'2024-25 Middle Calculator'!$O$15/432,3)+ROUND($E215*'2024-25 High Calculator'!$O$15/600,3)</f>
        <v>1.5219999999999998</v>
      </c>
      <c r="H215" s="33">
        <f>ROUND($C215*'2024-25 Elementary Calculator'!$Q$17/400,3)+ROUND($D215*'2024-25 Middle Calculator'!$O$17/432,3)+ROUND($E215*'2024-25 High Calculator'!$O$17/600,3)</f>
        <v>0.51</v>
      </c>
      <c r="I215" s="33">
        <f>ROUND($C215*'2024-25 Elementary Calculator'!$Q$18/400,3)+ROUND($D215*'2024-25 Middle Calculator'!$O$18/432,3)+ROUND($E215*'2024-25 High Calculator'!$O$18/600,3)</f>
        <v>4.2460000000000004</v>
      </c>
      <c r="J215" s="166">
        <f t="shared" si="26"/>
        <v>15.484</v>
      </c>
      <c r="K215" s="33">
        <f>ROUND($C215*'2024-25 Elementary Calculator'!$Q$23/400,3)+ROUND($D215*'2024-25 Middle Calculator'!$O$23/432,3)+ROUND($E215*'2024-25 High Calculator'!$O$23/600,3)</f>
        <v>0.57600000000000007</v>
      </c>
      <c r="L215" s="33">
        <f>ROUND($C215*'2024-25 Elementary Calculator'!$Q$22/400,3)+ROUND($D215*'2024-25 Middle Calculator'!$O$22/432,3)+ROUND($E215*'2024-25 High Calculator'!$O$22/600,3)</f>
        <v>0.34300000000000003</v>
      </c>
      <c r="M215" s="166">
        <f t="shared" si="27"/>
        <v>0.91900000000000004</v>
      </c>
      <c r="N215" s="33">
        <f>VLOOKUP($A215,'District Summary'!$A$6:$AH$325,29,FALSE)</f>
        <v>14.362</v>
      </c>
      <c r="O215" s="33">
        <f>VLOOKUP($A215,'District Summary'!$A$6:$AH$325,34,FALSE)</f>
        <v>6.9429999999999996</v>
      </c>
      <c r="P215" s="67">
        <f t="shared" si="28"/>
        <v>-1.1219999999999999</v>
      </c>
      <c r="Q215" s="67">
        <f t="shared" si="29"/>
        <v>6.0239999999999991</v>
      </c>
      <c r="R215" s="67">
        <f t="shared" si="30"/>
        <v>16.402999999999999</v>
      </c>
      <c r="S215" s="33">
        <f t="shared" si="31"/>
        <v>21.305</v>
      </c>
      <c r="T215" s="67">
        <f t="shared" si="33"/>
        <v>4.9020000000000001</v>
      </c>
      <c r="U215" s="67">
        <f t="shared" si="32"/>
        <v>0</v>
      </c>
      <c r="V215" s="273"/>
      <c r="W215" s="273"/>
    </row>
    <row r="216" spans="1:23" x14ac:dyDescent="0.25">
      <c r="A216" t="s">
        <v>204</v>
      </c>
      <c r="B216" t="s">
        <v>499</v>
      </c>
      <c r="C216" s="25">
        <f>SUMPRODUCT(VLOOKUP($A216,'PSES Enroll Snapshot 25-01-17'!$K$5:$AB$327,{2,3,4,5,6,7,8,9},0))</f>
        <v>2366.15</v>
      </c>
      <c r="D216" s="25">
        <f>SUMPRODUCT(VLOOKUP($A216,'PSES Enroll Snapshot 25-01-17'!$K$5:$AB$327,{10,11},0))-VLOOKUP($A216,'PSES Enroll Snapshot 25-01-17'!$K$5:$AB$327,12,0)</f>
        <v>627.01</v>
      </c>
      <c r="E216" s="25">
        <f>SUMPRODUCT(VLOOKUP($A216,'PSES Enroll Snapshot 25-01-17'!$K$5:$AB$327,{13,14},0))-SUMPRODUCT(VLOOKUP($A216,'PSES Enroll Snapshot 25-01-17'!$K$5:$AB$327,{15,16,17},0))</f>
        <v>863.69999999999993</v>
      </c>
      <c r="F216" s="33">
        <f>ROUND($C216*'2024-25 Elementary Calculator'!$Q$13/400,3)+ROUND($D216*'2024-25 Middle Calculator'!$O$13/432,3)+ROUND($E216*'2024-25 High Calculator'!$O$13/600,3)</f>
        <v>12.74</v>
      </c>
      <c r="G216" s="33">
        <f>ROUND($C216*'2024-25 Elementary Calculator'!$Q$15/400,3)+ROUND($D216*'2024-25 Middle Calculator'!$O$15/432,3)+ROUND($E216*'2024-25 High Calculator'!$O$15/600,3)</f>
        <v>2.1509999999999998</v>
      </c>
      <c r="H216" s="33">
        <f>ROUND($C216*'2024-25 Elementary Calculator'!$Q$17/400,3)+ROUND($D216*'2024-25 Middle Calculator'!$O$17/432,3)+ROUND($E216*'2024-25 High Calculator'!$O$17/600,3)</f>
        <v>0.72099999999999997</v>
      </c>
      <c r="I216" s="33">
        <f>ROUND($C216*'2024-25 Elementary Calculator'!$Q$18/400,3)+ROUND($D216*'2024-25 Middle Calculator'!$O$18/432,3)+ROUND($E216*'2024-25 High Calculator'!$O$18/600,3)</f>
        <v>5.9349999999999996</v>
      </c>
      <c r="J216" s="166">
        <f t="shared" si="26"/>
        <v>21.547000000000001</v>
      </c>
      <c r="K216" s="33">
        <f>ROUND($C216*'2024-25 Elementary Calculator'!$Q$23/400,3)+ROUND($D216*'2024-25 Middle Calculator'!$O$23/432,3)+ROUND($E216*'2024-25 High Calculator'!$O$23/600,3)</f>
        <v>0.80400000000000005</v>
      </c>
      <c r="L216" s="33">
        <f>ROUND($C216*'2024-25 Elementary Calculator'!$Q$22/400,3)+ROUND($D216*'2024-25 Middle Calculator'!$O$22/432,3)+ROUND($E216*'2024-25 High Calculator'!$O$22/600,3)</f>
        <v>0.48799999999999999</v>
      </c>
      <c r="M216" s="166">
        <f t="shared" si="27"/>
        <v>1.292</v>
      </c>
      <c r="N216" s="33">
        <f>VLOOKUP($A216,'District Summary'!$A$6:$AH$325,29,FALSE)</f>
        <v>16.64</v>
      </c>
      <c r="O216" s="33">
        <f>VLOOKUP($A216,'District Summary'!$A$6:$AH$325,34,FALSE)</f>
        <v>17.633000000000003</v>
      </c>
      <c r="P216" s="67">
        <f t="shared" si="28"/>
        <v>-4.907</v>
      </c>
      <c r="Q216" s="67">
        <f t="shared" si="29"/>
        <v>16.341000000000001</v>
      </c>
      <c r="R216" s="67">
        <f t="shared" si="30"/>
        <v>22.839000000000002</v>
      </c>
      <c r="S216" s="33">
        <f t="shared" si="31"/>
        <v>34.273000000000003</v>
      </c>
      <c r="T216" s="67">
        <f t="shared" si="33"/>
        <v>11.433999999999999</v>
      </c>
      <c r="U216" s="67">
        <f t="shared" si="32"/>
        <v>0</v>
      </c>
      <c r="V216" s="273"/>
      <c r="W216" s="273"/>
    </row>
    <row r="217" spans="1:23" x14ac:dyDescent="0.25">
      <c r="A217" t="s">
        <v>205</v>
      </c>
      <c r="B217" t="s">
        <v>500</v>
      </c>
      <c r="C217" s="25">
        <f>SUMPRODUCT(VLOOKUP($A217,'PSES Enroll Snapshot 25-01-17'!$K$5:$AB$327,{2,3,4,5,6,7,8,9},0))</f>
        <v>1335.65</v>
      </c>
      <c r="D217" s="25">
        <f>SUMPRODUCT(VLOOKUP($A217,'PSES Enroll Snapshot 25-01-17'!$K$5:$AB$327,{10,11},0))-VLOOKUP($A217,'PSES Enroll Snapshot 25-01-17'!$K$5:$AB$327,12,0)</f>
        <v>381.93</v>
      </c>
      <c r="E217" s="25">
        <f>SUMPRODUCT(VLOOKUP($A217,'PSES Enroll Snapshot 25-01-17'!$K$5:$AB$327,{13,14},0))-SUMPRODUCT(VLOOKUP($A217,'PSES Enroll Snapshot 25-01-17'!$K$5:$AB$327,{15,16,17},0))</f>
        <v>593.11</v>
      </c>
      <c r="F217" s="33">
        <f>ROUND($C217*'2024-25 Elementary Calculator'!$Q$13/400,3)+ROUND($D217*'2024-25 Middle Calculator'!$O$13/432,3)+ROUND($E217*'2024-25 High Calculator'!$O$13/600,3)</f>
        <v>7.8369999999999997</v>
      </c>
      <c r="G217" s="33">
        <f>ROUND($C217*'2024-25 Elementary Calculator'!$Q$15/400,3)+ROUND($D217*'2024-25 Middle Calculator'!$O$15/432,3)+ROUND($E217*'2024-25 High Calculator'!$O$15/600,3)</f>
        <v>1.242</v>
      </c>
      <c r="H217" s="33">
        <f>ROUND($C217*'2024-25 Elementary Calculator'!$Q$17/400,3)+ROUND($D217*'2024-25 Middle Calculator'!$O$17/432,3)+ROUND($E217*'2024-25 High Calculator'!$O$17/600,3)</f>
        <v>0.41599999999999998</v>
      </c>
      <c r="I217" s="33">
        <f>ROUND($C217*'2024-25 Elementary Calculator'!$Q$18/400,3)+ROUND($D217*'2024-25 Middle Calculator'!$O$18/432,3)+ROUND($E217*'2024-25 High Calculator'!$O$18/600,3)</f>
        <v>3.5529999999999999</v>
      </c>
      <c r="J217" s="166">
        <f t="shared" si="26"/>
        <v>13.048000000000002</v>
      </c>
      <c r="K217" s="33">
        <f>ROUND($C217*'2024-25 Elementary Calculator'!$Q$23/400,3)+ROUND($D217*'2024-25 Middle Calculator'!$O$23/432,3)+ROUND($E217*'2024-25 High Calculator'!$O$23/600,3)</f>
        <v>0.48400000000000004</v>
      </c>
      <c r="L217" s="33">
        <f>ROUND($C217*'2024-25 Elementary Calculator'!$Q$22/400,3)+ROUND($D217*'2024-25 Middle Calculator'!$O$22/432,3)+ROUND($E217*'2024-25 High Calculator'!$O$22/600,3)</f>
        <v>0.27500000000000002</v>
      </c>
      <c r="M217" s="166">
        <f t="shared" si="27"/>
        <v>0.75900000000000012</v>
      </c>
      <c r="N217" s="33">
        <f>VLOOKUP($A217,'District Summary'!$A$6:$AH$325,29,FALSE)</f>
        <v>11.834</v>
      </c>
      <c r="O217" s="33">
        <f>VLOOKUP($A217,'District Summary'!$A$6:$AH$325,34,FALSE)</f>
        <v>8.7460000000000004</v>
      </c>
      <c r="P217" s="67">
        <f t="shared" si="28"/>
        <v>-1.2140000000000022</v>
      </c>
      <c r="Q217" s="67">
        <f t="shared" si="29"/>
        <v>7.9870000000000001</v>
      </c>
      <c r="R217" s="67">
        <f t="shared" si="30"/>
        <v>13.807000000000002</v>
      </c>
      <c r="S217" s="33">
        <f t="shared" si="31"/>
        <v>20.58</v>
      </c>
      <c r="T217" s="67">
        <f t="shared" si="33"/>
        <v>6.7729999999999997</v>
      </c>
      <c r="U217" s="67">
        <f t="shared" si="32"/>
        <v>0</v>
      </c>
      <c r="V217" s="273"/>
      <c r="W217" s="273"/>
    </row>
    <row r="218" spans="1:23" x14ac:dyDescent="0.25">
      <c r="A218" t="s">
        <v>206</v>
      </c>
      <c r="B218" t="s">
        <v>501</v>
      </c>
      <c r="C218" s="25">
        <f>SUMPRODUCT(VLOOKUP($A218,'PSES Enroll Snapshot 25-01-17'!$K$5:$AB$327,{2,3,4,5,6,7,8,9},0))</f>
        <v>227.39999999999998</v>
      </c>
      <c r="D218" s="25">
        <f>SUMPRODUCT(VLOOKUP($A218,'PSES Enroll Snapshot 25-01-17'!$K$5:$AB$327,{10,11},0))-VLOOKUP($A218,'PSES Enroll Snapshot 25-01-17'!$K$5:$AB$327,12,0)</f>
        <v>71.339999999999989</v>
      </c>
      <c r="E218" s="25">
        <f>SUMPRODUCT(VLOOKUP($A218,'PSES Enroll Snapshot 25-01-17'!$K$5:$AB$327,{13,14},0))-SUMPRODUCT(VLOOKUP($A218,'PSES Enroll Snapshot 25-01-17'!$K$5:$AB$327,{15,16,17},0))</f>
        <v>131.38</v>
      </c>
      <c r="F218" s="33">
        <f>ROUND($C218*'2024-25 Elementary Calculator'!$Q$13/400,3)+ROUND($D218*'2024-25 Middle Calculator'!$O$13/432,3)+ROUND($E218*'2024-25 High Calculator'!$O$13/600,3)</f>
        <v>1.5129999999999999</v>
      </c>
      <c r="G218" s="33">
        <f>ROUND($C218*'2024-25 Elementary Calculator'!$Q$15/400,3)+ROUND($D218*'2024-25 Middle Calculator'!$O$15/432,3)+ROUND($E218*'2024-25 High Calculator'!$O$15/600,3)</f>
        <v>0.22</v>
      </c>
      <c r="H218" s="33">
        <f>ROUND($C218*'2024-25 Elementary Calculator'!$Q$17/400,3)+ROUND($D218*'2024-25 Middle Calculator'!$O$17/432,3)+ROUND($E218*'2024-25 High Calculator'!$O$17/600,3)</f>
        <v>7.3999999999999996E-2</v>
      </c>
      <c r="I218" s="33">
        <f>ROUND($C218*'2024-25 Elementary Calculator'!$Q$18/400,3)+ROUND($D218*'2024-25 Middle Calculator'!$O$18/432,3)+ROUND($E218*'2024-25 High Calculator'!$O$18/600,3)</f>
        <v>0.65999999999999992</v>
      </c>
      <c r="J218" s="166">
        <f t="shared" si="26"/>
        <v>2.4669999999999996</v>
      </c>
      <c r="K218" s="33">
        <f>ROUND($C218*'2024-25 Elementary Calculator'!$Q$23/400,3)+ROUND($D218*'2024-25 Middle Calculator'!$O$23/432,3)+ROUND($E218*'2024-25 High Calculator'!$O$23/600,3)</f>
        <v>9.0999999999999998E-2</v>
      </c>
      <c r="L218" s="33">
        <f>ROUND($C218*'2024-25 Elementary Calculator'!$Q$22/400,3)+ROUND($D218*'2024-25 Middle Calculator'!$O$22/432,3)+ROUND($E218*'2024-25 High Calculator'!$O$22/600,3)</f>
        <v>4.7E-2</v>
      </c>
      <c r="M218" s="166">
        <f t="shared" si="27"/>
        <v>0.13800000000000001</v>
      </c>
      <c r="N218" s="33">
        <f>VLOOKUP($A218,'District Summary'!$A$6:$AH$325,29,FALSE)</f>
        <v>1.625</v>
      </c>
      <c r="O218" s="33">
        <f>VLOOKUP($A218,'District Summary'!$A$6:$AH$325,34,FALSE)</f>
        <v>1.0249999999999999</v>
      </c>
      <c r="P218" s="67">
        <f t="shared" si="28"/>
        <v>-0.84199999999999964</v>
      </c>
      <c r="Q218" s="67">
        <f t="shared" si="29"/>
        <v>0.8869999999999999</v>
      </c>
      <c r="R218" s="67">
        <f t="shared" si="30"/>
        <v>2.6049999999999995</v>
      </c>
      <c r="S218" s="33">
        <f t="shared" si="31"/>
        <v>2.65</v>
      </c>
      <c r="T218" s="67">
        <f t="shared" si="33"/>
        <v>4.4999999999999998E-2</v>
      </c>
      <c r="U218" s="67">
        <f t="shared" si="32"/>
        <v>0</v>
      </c>
      <c r="V218" s="273"/>
      <c r="W218" s="273"/>
    </row>
    <row r="219" spans="1:23" x14ac:dyDescent="0.25">
      <c r="A219" t="s">
        <v>207</v>
      </c>
      <c r="B219" t="s">
        <v>502</v>
      </c>
      <c r="C219" s="25">
        <f>SUMPRODUCT(VLOOKUP($A219,'PSES Enroll Snapshot 25-01-17'!$K$5:$AB$327,{2,3,4,5,6,7,8,9},0))</f>
        <v>337.58</v>
      </c>
      <c r="D219" s="25">
        <f>SUMPRODUCT(VLOOKUP($A219,'PSES Enroll Snapshot 25-01-17'!$K$5:$AB$327,{10,11},0))-VLOOKUP($A219,'PSES Enroll Snapshot 25-01-17'!$K$5:$AB$327,12,0)</f>
        <v>82.6</v>
      </c>
      <c r="E219" s="25">
        <f>SUMPRODUCT(VLOOKUP($A219,'PSES Enroll Snapshot 25-01-17'!$K$5:$AB$327,{13,14},0))-SUMPRODUCT(VLOOKUP($A219,'PSES Enroll Snapshot 25-01-17'!$K$5:$AB$327,{15,16,17},0))</f>
        <v>0</v>
      </c>
      <c r="F219" s="33">
        <f>ROUND($C219*'2024-25 Elementary Calculator'!$Q$13/400,3)+ROUND($D219*'2024-25 Middle Calculator'!$O$13/432,3)+ROUND($E219*'2024-25 High Calculator'!$O$13/600,3)</f>
        <v>1.1659999999999999</v>
      </c>
      <c r="G219" s="33">
        <f>ROUND($C219*'2024-25 Elementary Calculator'!$Q$15/400,3)+ROUND($D219*'2024-25 Middle Calculator'!$O$15/432,3)+ROUND($E219*'2024-25 High Calculator'!$O$15/600,3)</f>
        <v>0.27900000000000003</v>
      </c>
      <c r="H219" s="33">
        <f>ROUND($C219*'2024-25 Elementary Calculator'!$Q$17/400,3)+ROUND($D219*'2024-25 Middle Calculator'!$O$17/432,3)+ROUND($E219*'2024-25 High Calculator'!$O$17/600,3)</f>
        <v>9.2999999999999999E-2</v>
      </c>
      <c r="I219" s="33">
        <f>ROUND($C219*'2024-25 Elementary Calculator'!$Q$18/400,3)+ROUND($D219*'2024-25 Middle Calculator'!$O$18/432,3)+ROUND($E219*'2024-25 High Calculator'!$O$18/600,3)</f>
        <v>0.66400000000000003</v>
      </c>
      <c r="J219" s="166">
        <f t="shared" si="26"/>
        <v>2.202</v>
      </c>
      <c r="K219" s="33">
        <f>ROUND($C219*'2024-25 Elementary Calculator'!$Q$23/400,3)+ROUND($D219*'2024-25 Middle Calculator'!$O$23/432,3)+ROUND($E219*'2024-25 High Calculator'!$O$23/600,3)</f>
        <v>8.5000000000000006E-2</v>
      </c>
      <c r="L219" s="33">
        <f>ROUND($C219*'2024-25 Elementary Calculator'!$Q$22/400,3)+ROUND($D219*'2024-25 Middle Calculator'!$O$22/432,3)+ROUND($E219*'2024-25 High Calculator'!$O$22/600,3)</f>
        <v>7.0000000000000007E-2</v>
      </c>
      <c r="M219" s="166">
        <f t="shared" si="27"/>
        <v>0.15500000000000003</v>
      </c>
      <c r="N219" s="33">
        <f>VLOOKUP($A219,'District Summary'!$A$6:$AH$325,29,FALSE)</f>
        <v>0.91700000000000015</v>
      </c>
      <c r="O219" s="33">
        <f>VLOOKUP($A219,'District Summary'!$A$6:$AH$325,34,FALSE)</f>
        <v>0.92500000000000004</v>
      </c>
      <c r="P219" s="67">
        <f t="shared" si="28"/>
        <v>-1.2849999999999997</v>
      </c>
      <c r="Q219" s="67">
        <f t="shared" si="29"/>
        <v>0.77</v>
      </c>
      <c r="R219" s="67">
        <f t="shared" si="30"/>
        <v>2.3570000000000002</v>
      </c>
      <c r="S219" s="33">
        <f t="shared" si="31"/>
        <v>1.8420000000000001</v>
      </c>
      <c r="T219" s="67">
        <f t="shared" si="33"/>
        <v>-0.51500000000000001</v>
      </c>
      <c r="U219" s="67">
        <f t="shared" si="32"/>
        <v>-0.51500000000000001</v>
      </c>
      <c r="V219" s="273"/>
      <c r="W219" s="273"/>
    </row>
    <row r="220" spans="1:23" x14ac:dyDescent="0.25">
      <c r="A220" t="s">
        <v>208</v>
      </c>
      <c r="B220" t="s">
        <v>503</v>
      </c>
      <c r="C220" s="25">
        <f>SUMPRODUCT(VLOOKUP($A220,'PSES Enroll Snapshot 25-01-17'!$K$5:$AB$327,{2,3,4,5,6,7,8,9},0))</f>
        <v>3036.9300000000003</v>
      </c>
      <c r="D220" s="25">
        <f>SUMPRODUCT(VLOOKUP($A220,'PSES Enroll Snapshot 25-01-17'!$K$5:$AB$327,{10,11},0))-VLOOKUP($A220,'PSES Enroll Snapshot 25-01-17'!$K$5:$AB$327,12,0)</f>
        <v>787.45</v>
      </c>
      <c r="E220" s="25">
        <f>SUMPRODUCT(VLOOKUP($A220,'PSES Enroll Snapshot 25-01-17'!$K$5:$AB$327,{13,14},0))-SUMPRODUCT(VLOOKUP($A220,'PSES Enroll Snapshot 25-01-17'!$K$5:$AB$327,{15,16,17},0))</f>
        <v>1252.5299999999997</v>
      </c>
      <c r="F220" s="33">
        <f>ROUND($C220*'2024-25 Elementary Calculator'!$Q$13/400,3)+ROUND($D220*'2024-25 Middle Calculator'!$O$13/432,3)+ROUND($E220*'2024-25 High Calculator'!$O$13/600,3)</f>
        <v>17.010999999999999</v>
      </c>
      <c r="G220" s="33">
        <f>ROUND($C220*'2024-25 Elementary Calculator'!$Q$15/400,3)+ROUND($D220*'2024-25 Middle Calculator'!$O$15/432,3)+ROUND($E220*'2024-25 High Calculator'!$O$15/600,3)</f>
        <v>2.7860000000000005</v>
      </c>
      <c r="H220" s="33">
        <f>ROUND($C220*'2024-25 Elementary Calculator'!$Q$17/400,3)+ROUND($D220*'2024-25 Middle Calculator'!$O$17/432,3)+ROUND($E220*'2024-25 High Calculator'!$O$17/600,3)</f>
        <v>0.93600000000000005</v>
      </c>
      <c r="I220" s="33">
        <f>ROUND($C220*'2024-25 Elementary Calculator'!$Q$18/400,3)+ROUND($D220*'2024-25 Middle Calculator'!$O$18/432,3)+ROUND($E220*'2024-25 High Calculator'!$O$18/600,3)</f>
        <v>7.7809999999999997</v>
      </c>
      <c r="J220" s="166">
        <f t="shared" si="26"/>
        <v>28.513999999999999</v>
      </c>
      <c r="K220" s="33">
        <f>ROUND($C220*'2024-25 Elementary Calculator'!$Q$23/400,3)+ROUND($D220*'2024-25 Middle Calculator'!$O$23/432,3)+ROUND($E220*'2024-25 High Calculator'!$O$23/600,3)</f>
        <v>1.0620000000000001</v>
      </c>
      <c r="L220" s="33">
        <f>ROUND($C220*'2024-25 Elementary Calculator'!$Q$22/400,3)+ROUND($D220*'2024-25 Middle Calculator'!$O$22/432,3)+ROUND($E220*'2024-25 High Calculator'!$O$22/600,3)</f>
        <v>0.626</v>
      </c>
      <c r="M220" s="166">
        <f t="shared" si="27"/>
        <v>1.6880000000000002</v>
      </c>
      <c r="N220" s="33">
        <f>VLOOKUP($A220,'District Summary'!$A$6:$AH$325,29,FALSE)</f>
        <v>25.414999999999996</v>
      </c>
      <c r="O220" s="33">
        <f>VLOOKUP($A220,'District Summary'!$A$6:$AH$325,34,FALSE)</f>
        <v>19.384000000000004</v>
      </c>
      <c r="P220" s="67">
        <f t="shared" si="28"/>
        <v>-3.0990000000000038</v>
      </c>
      <c r="Q220" s="67">
        <f t="shared" si="29"/>
        <v>17.696000000000005</v>
      </c>
      <c r="R220" s="67">
        <f t="shared" si="30"/>
        <v>30.201999999999998</v>
      </c>
      <c r="S220" s="33">
        <f t="shared" si="31"/>
        <v>44.798999999999999</v>
      </c>
      <c r="T220" s="67">
        <f t="shared" si="33"/>
        <v>14.597</v>
      </c>
      <c r="U220" s="67">
        <f t="shared" si="32"/>
        <v>0</v>
      </c>
      <c r="V220" s="273"/>
      <c r="W220" s="273"/>
    </row>
    <row r="221" spans="1:23" x14ac:dyDescent="0.25">
      <c r="A221" t="s">
        <v>209</v>
      </c>
      <c r="B221" t="s">
        <v>504</v>
      </c>
      <c r="C221" s="25">
        <f>SUMPRODUCT(VLOOKUP($A221,'PSES Enroll Snapshot 25-01-17'!$K$5:$AB$327,{2,3,4,5,6,7,8,9},0))</f>
        <v>91.4</v>
      </c>
      <c r="D221" s="25">
        <f>SUMPRODUCT(VLOOKUP($A221,'PSES Enroll Snapshot 25-01-17'!$K$5:$AB$327,{10,11},0))-VLOOKUP($A221,'PSES Enroll Snapshot 25-01-17'!$K$5:$AB$327,12,0)</f>
        <v>16.600000000000001</v>
      </c>
      <c r="E221" s="25">
        <f>SUMPRODUCT(VLOOKUP($A221,'PSES Enroll Snapshot 25-01-17'!$K$5:$AB$327,{13,14},0))-SUMPRODUCT(VLOOKUP($A221,'PSES Enroll Snapshot 25-01-17'!$K$5:$AB$327,{15,16,17},0))</f>
        <v>0</v>
      </c>
      <c r="F221" s="33">
        <f>ROUND($C221*'2024-25 Elementary Calculator'!$Q$13/400,3)+ROUND($D221*'2024-25 Middle Calculator'!$O$13/432,3)+ROUND($E221*'2024-25 High Calculator'!$O$13/600,3)</f>
        <v>0.29300000000000004</v>
      </c>
      <c r="G221" s="33">
        <f>ROUND($C221*'2024-25 Elementary Calculator'!$Q$15/400,3)+ROUND($D221*'2024-25 Middle Calculator'!$O$15/432,3)+ROUND($E221*'2024-25 High Calculator'!$O$15/600,3)</f>
        <v>7.3999999999999996E-2</v>
      </c>
      <c r="H221" s="33">
        <f>ROUND($C221*'2024-25 Elementary Calculator'!$Q$17/400,3)+ROUND($D221*'2024-25 Middle Calculator'!$O$17/432,3)+ROUND($E221*'2024-25 High Calculator'!$O$17/600,3)</f>
        <v>2.5000000000000001E-2</v>
      </c>
      <c r="I221" s="33">
        <f>ROUND($C221*'2024-25 Elementary Calculator'!$Q$18/400,3)+ROUND($D221*'2024-25 Middle Calculator'!$O$18/432,3)+ROUND($E221*'2024-25 High Calculator'!$O$18/600,3)</f>
        <v>0.16800000000000001</v>
      </c>
      <c r="J221" s="166">
        <f t="shared" si="26"/>
        <v>0.56000000000000005</v>
      </c>
      <c r="K221" s="33">
        <f>ROUND($C221*'2024-25 Elementary Calculator'!$Q$23/400,3)+ROUND($D221*'2024-25 Middle Calculator'!$O$23/432,3)+ROUND($E221*'2024-25 High Calculator'!$O$23/600,3)</f>
        <v>2.1999999999999999E-2</v>
      </c>
      <c r="L221" s="33">
        <f>ROUND($C221*'2024-25 Elementary Calculator'!$Q$22/400,3)+ROUND($D221*'2024-25 Middle Calculator'!$O$22/432,3)+ROUND($E221*'2024-25 High Calculator'!$O$22/600,3)</f>
        <v>1.9E-2</v>
      </c>
      <c r="M221" s="166">
        <f t="shared" si="27"/>
        <v>4.0999999999999995E-2</v>
      </c>
      <c r="N221" s="33">
        <f>VLOOKUP($A221,'District Summary'!$A$6:$AH$325,29,FALSE)</f>
        <v>0</v>
      </c>
      <c r="O221" s="33">
        <f>VLOOKUP($A221,'District Summary'!$A$6:$AH$325,34,FALSE)</f>
        <v>0.20100000000000001</v>
      </c>
      <c r="P221" s="67">
        <f t="shared" si="28"/>
        <v>-0.56000000000000005</v>
      </c>
      <c r="Q221" s="67">
        <f t="shared" si="29"/>
        <v>0.16000000000000003</v>
      </c>
      <c r="R221" s="67">
        <f t="shared" si="30"/>
        <v>0.60100000000000009</v>
      </c>
      <c r="S221" s="33">
        <f t="shared" si="31"/>
        <v>0.20100000000000001</v>
      </c>
      <c r="T221" s="67">
        <f t="shared" si="33"/>
        <v>-0.4</v>
      </c>
      <c r="U221" s="67">
        <f t="shared" si="32"/>
        <v>-0.4</v>
      </c>
      <c r="V221" s="273"/>
      <c r="W221" s="273"/>
    </row>
    <row r="222" spans="1:23" x14ac:dyDescent="0.25">
      <c r="A222" t="s">
        <v>210</v>
      </c>
      <c r="B222" t="s">
        <v>505</v>
      </c>
      <c r="C222" s="25">
        <f>SUMPRODUCT(VLOOKUP($A222,'PSES Enroll Snapshot 25-01-17'!$K$5:$AB$327,{2,3,4,5,6,7,8,9},0))</f>
        <v>58.599999999999994</v>
      </c>
      <c r="D222" s="25">
        <f>SUMPRODUCT(VLOOKUP($A222,'PSES Enroll Snapshot 25-01-17'!$K$5:$AB$327,{10,11},0))-VLOOKUP($A222,'PSES Enroll Snapshot 25-01-17'!$K$5:$AB$327,12,0)</f>
        <v>13</v>
      </c>
      <c r="E222" s="25">
        <f>SUMPRODUCT(VLOOKUP($A222,'PSES Enroll Snapshot 25-01-17'!$K$5:$AB$327,{13,14},0))-SUMPRODUCT(VLOOKUP($A222,'PSES Enroll Snapshot 25-01-17'!$K$5:$AB$327,{15,16,17},0))</f>
        <v>0</v>
      </c>
      <c r="F222" s="33">
        <f>ROUND($C222*'2024-25 Elementary Calculator'!$Q$13/400,3)+ROUND($D222*'2024-25 Middle Calculator'!$O$13/432,3)+ROUND($E222*'2024-25 High Calculator'!$O$13/600,3)</f>
        <v>0.19699999999999998</v>
      </c>
      <c r="G222" s="33">
        <f>ROUND($C222*'2024-25 Elementary Calculator'!$Q$15/400,3)+ROUND($D222*'2024-25 Middle Calculator'!$O$15/432,3)+ROUND($E222*'2024-25 High Calculator'!$O$15/600,3)</f>
        <v>4.9000000000000002E-2</v>
      </c>
      <c r="H222" s="33">
        <f>ROUND($C222*'2024-25 Elementary Calculator'!$Q$17/400,3)+ROUND($D222*'2024-25 Middle Calculator'!$O$17/432,3)+ROUND($E222*'2024-25 High Calculator'!$O$17/600,3)</f>
        <v>1.6E-2</v>
      </c>
      <c r="I222" s="33">
        <f>ROUND($C222*'2024-25 Elementary Calculator'!$Q$18/400,3)+ROUND($D222*'2024-25 Middle Calculator'!$O$18/432,3)+ROUND($E222*'2024-25 High Calculator'!$O$18/600,3)</f>
        <v>0.11299999999999999</v>
      </c>
      <c r="J222" s="166">
        <f t="shared" si="26"/>
        <v>0.375</v>
      </c>
      <c r="K222" s="33">
        <f>ROUND($C222*'2024-25 Elementary Calculator'!$Q$23/400,3)+ROUND($D222*'2024-25 Middle Calculator'!$O$23/432,3)+ROUND($E222*'2024-25 High Calculator'!$O$23/600,3)</f>
        <v>1.4999999999999999E-2</v>
      </c>
      <c r="L222" s="33">
        <f>ROUND($C222*'2024-25 Elementary Calculator'!$Q$22/400,3)+ROUND($D222*'2024-25 Middle Calculator'!$O$22/432,3)+ROUND($E222*'2024-25 High Calculator'!$O$22/600,3)</f>
        <v>1.2E-2</v>
      </c>
      <c r="M222" s="166">
        <f t="shared" si="27"/>
        <v>2.7E-2</v>
      </c>
      <c r="N222" s="33">
        <f>VLOOKUP($A222,'District Summary'!$A$6:$AH$325,29,FALSE)</f>
        <v>0</v>
      </c>
      <c r="O222" s="33">
        <f>VLOOKUP($A222,'District Summary'!$A$6:$AH$325,34,FALSE)</f>
        <v>0.28000000000000003</v>
      </c>
      <c r="P222" s="67">
        <f t="shared" si="28"/>
        <v>-0.375</v>
      </c>
      <c r="Q222" s="67">
        <f t="shared" si="29"/>
        <v>0.253</v>
      </c>
      <c r="R222" s="67">
        <f t="shared" si="30"/>
        <v>0.40200000000000002</v>
      </c>
      <c r="S222" s="33">
        <f t="shared" si="31"/>
        <v>0.28000000000000003</v>
      </c>
      <c r="T222" s="67">
        <f t="shared" si="33"/>
        <v>-0.122</v>
      </c>
      <c r="U222" s="67">
        <f t="shared" si="32"/>
        <v>-0.122</v>
      </c>
      <c r="V222" s="273"/>
      <c r="W222" s="273"/>
    </row>
    <row r="223" spans="1:23" x14ac:dyDescent="0.25">
      <c r="A223" t="s">
        <v>211</v>
      </c>
      <c r="B223" t="s">
        <v>506</v>
      </c>
      <c r="C223" s="25">
        <f>SUMPRODUCT(VLOOKUP($A223,'PSES Enroll Snapshot 25-01-17'!$K$5:$AB$327,{2,3,4,5,6,7,8,9},0))</f>
        <v>31.400000000000002</v>
      </c>
      <c r="D223" s="25">
        <f>SUMPRODUCT(VLOOKUP($A223,'PSES Enroll Snapshot 25-01-17'!$K$5:$AB$327,{10,11},0))-VLOOKUP($A223,'PSES Enroll Snapshot 25-01-17'!$K$5:$AB$327,12,0)</f>
        <v>10</v>
      </c>
      <c r="E223" s="25">
        <f>SUMPRODUCT(VLOOKUP($A223,'PSES Enroll Snapshot 25-01-17'!$K$5:$AB$327,{13,14},0))-SUMPRODUCT(VLOOKUP($A223,'PSES Enroll Snapshot 25-01-17'!$K$5:$AB$327,{15,16,17},0))</f>
        <v>19.87</v>
      </c>
      <c r="F223" s="33">
        <f>ROUND($C223*'2024-25 Elementary Calculator'!$Q$13/400,3)+ROUND($D223*'2024-25 Middle Calculator'!$O$13/432,3)+ROUND($E223*'2024-25 High Calculator'!$O$13/600,3)</f>
        <v>0.219</v>
      </c>
      <c r="G223" s="33">
        <f>ROUND($C223*'2024-25 Elementary Calculator'!$Q$15/400,3)+ROUND($D223*'2024-25 Middle Calculator'!$O$15/432,3)+ROUND($E223*'2024-25 High Calculator'!$O$15/600,3)</f>
        <v>3.0000000000000002E-2</v>
      </c>
      <c r="H223" s="33">
        <f>ROUND($C223*'2024-25 Elementary Calculator'!$Q$17/400,3)+ROUND($D223*'2024-25 Middle Calculator'!$O$17/432,3)+ROUND($E223*'2024-25 High Calculator'!$O$17/600,3)</f>
        <v>1.1000000000000001E-2</v>
      </c>
      <c r="I223" s="33">
        <f>ROUND($C223*'2024-25 Elementary Calculator'!$Q$18/400,3)+ROUND($D223*'2024-25 Middle Calculator'!$O$18/432,3)+ROUND($E223*'2024-25 High Calculator'!$O$18/600,3)</f>
        <v>9.4E-2</v>
      </c>
      <c r="J223" s="166">
        <f t="shared" si="26"/>
        <v>0.35399999999999998</v>
      </c>
      <c r="K223" s="33">
        <f>ROUND($C223*'2024-25 Elementary Calculator'!$Q$23/400,3)+ROUND($D223*'2024-25 Middle Calculator'!$O$23/432,3)+ROUND($E223*'2024-25 High Calculator'!$O$23/600,3)</f>
        <v>1.3000000000000001E-2</v>
      </c>
      <c r="L223" s="33">
        <f>ROUND($C223*'2024-25 Elementary Calculator'!$Q$22/400,3)+ROUND($D223*'2024-25 Middle Calculator'!$O$22/432,3)+ROUND($E223*'2024-25 High Calculator'!$O$22/600,3)</f>
        <v>6.0000000000000001E-3</v>
      </c>
      <c r="M223" s="166">
        <f t="shared" si="27"/>
        <v>1.9000000000000003E-2</v>
      </c>
      <c r="N223" s="33">
        <f>VLOOKUP($A223,'District Summary'!$A$6:$AH$325,29,FALSE)</f>
        <v>0.75</v>
      </c>
      <c r="O223" s="33">
        <f>VLOOKUP($A223,'District Summary'!$A$6:$AH$325,34,FALSE)</f>
        <v>0</v>
      </c>
      <c r="P223" s="67">
        <f t="shared" si="28"/>
        <v>0.39600000000000002</v>
      </c>
      <c r="Q223" s="67">
        <f t="shared" si="29"/>
        <v>-1.9000000000000003E-2</v>
      </c>
      <c r="R223" s="67">
        <f t="shared" si="30"/>
        <v>0.373</v>
      </c>
      <c r="S223" s="33">
        <f t="shared" si="31"/>
        <v>0.75</v>
      </c>
      <c r="T223" s="67">
        <f t="shared" si="33"/>
        <v>0.377</v>
      </c>
      <c r="U223" s="67">
        <f t="shared" si="32"/>
        <v>0</v>
      </c>
      <c r="V223" s="273"/>
      <c r="W223" s="273"/>
    </row>
    <row r="224" spans="1:23" x14ac:dyDescent="0.25">
      <c r="A224" t="s">
        <v>212</v>
      </c>
      <c r="B224" t="s">
        <v>507</v>
      </c>
      <c r="C224" s="25">
        <f>SUMPRODUCT(VLOOKUP($A224,'PSES Enroll Snapshot 25-01-17'!$K$5:$AB$327,{2,3,4,5,6,7,8,9},0))</f>
        <v>357.27</v>
      </c>
      <c r="D224" s="25">
        <f>SUMPRODUCT(VLOOKUP($A224,'PSES Enroll Snapshot 25-01-17'!$K$5:$AB$327,{10,11},0))-VLOOKUP($A224,'PSES Enroll Snapshot 25-01-17'!$K$5:$AB$327,12,0)</f>
        <v>103.11</v>
      </c>
      <c r="E224" s="25">
        <f>SUMPRODUCT(VLOOKUP($A224,'PSES Enroll Snapshot 25-01-17'!$K$5:$AB$327,{13,14},0))-SUMPRODUCT(VLOOKUP($A224,'PSES Enroll Snapshot 25-01-17'!$K$5:$AB$327,{15,16,17},0))</f>
        <v>220.51</v>
      </c>
      <c r="F224" s="33">
        <f>ROUND($C224*'2024-25 Elementary Calculator'!$Q$13/400,3)+ROUND($D224*'2024-25 Middle Calculator'!$O$13/432,3)+ROUND($E224*'2024-25 High Calculator'!$O$13/600,3)</f>
        <v>2.4139999999999997</v>
      </c>
      <c r="G224" s="33">
        <f>ROUND($C224*'2024-25 Elementary Calculator'!$Q$15/400,3)+ROUND($D224*'2024-25 Middle Calculator'!$O$15/432,3)+ROUND($E224*'2024-25 High Calculator'!$O$15/600,3)</f>
        <v>0.34600000000000003</v>
      </c>
      <c r="H224" s="33">
        <f>ROUND($C224*'2024-25 Elementary Calculator'!$Q$17/400,3)+ROUND($D224*'2024-25 Middle Calculator'!$O$17/432,3)+ROUND($E224*'2024-25 High Calculator'!$O$17/600,3)</f>
        <v>0.11700000000000001</v>
      </c>
      <c r="I224" s="33">
        <f>ROUND($C224*'2024-25 Elementary Calculator'!$Q$18/400,3)+ROUND($D224*'2024-25 Middle Calculator'!$O$18/432,3)+ROUND($E224*'2024-25 High Calculator'!$O$18/600,3)</f>
        <v>1.038</v>
      </c>
      <c r="J224" s="166">
        <f t="shared" si="26"/>
        <v>3.915</v>
      </c>
      <c r="K224" s="33">
        <f>ROUND($C224*'2024-25 Elementary Calculator'!$Q$23/400,3)+ROUND($D224*'2024-25 Middle Calculator'!$O$23/432,3)+ROUND($E224*'2024-25 High Calculator'!$O$23/600,3)</f>
        <v>0.14499999999999999</v>
      </c>
      <c r="L224" s="33">
        <f>ROUND($C224*'2024-25 Elementary Calculator'!$Q$22/400,3)+ROUND($D224*'2024-25 Middle Calculator'!$O$22/432,3)+ROUND($E224*'2024-25 High Calculator'!$O$22/600,3)</f>
        <v>7.3999999999999996E-2</v>
      </c>
      <c r="M224" s="166">
        <f t="shared" si="27"/>
        <v>0.21899999999999997</v>
      </c>
      <c r="N224" s="33">
        <f>VLOOKUP($A224,'District Summary'!$A$6:$AH$325,29,FALSE)</f>
        <v>2.8</v>
      </c>
      <c r="O224" s="33">
        <f>VLOOKUP($A224,'District Summary'!$A$6:$AH$325,34,FALSE)</f>
        <v>1.427</v>
      </c>
      <c r="P224" s="67">
        <f t="shared" si="28"/>
        <v>-1.1150000000000002</v>
      </c>
      <c r="Q224" s="67">
        <f t="shared" si="29"/>
        <v>1.2080000000000002</v>
      </c>
      <c r="R224" s="67">
        <f t="shared" si="30"/>
        <v>4.1340000000000003</v>
      </c>
      <c r="S224" s="33">
        <f t="shared" si="31"/>
        <v>4.2270000000000003</v>
      </c>
      <c r="T224" s="67">
        <f t="shared" si="33"/>
        <v>9.2999999999999999E-2</v>
      </c>
      <c r="U224" s="67">
        <f t="shared" si="32"/>
        <v>0</v>
      </c>
      <c r="V224" s="273"/>
      <c r="W224" s="273"/>
    </row>
    <row r="225" spans="1:23" x14ac:dyDescent="0.25">
      <c r="A225" t="s">
        <v>213</v>
      </c>
      <c r="B225" t="s">
        <v>508</v>
      </c>
      <c r="C225" s="25">
        <f>SUMPRODUCT(VLOOKUP($A225,'PSES Enroll Snapshot 25-01-17'!$K$5:$AB$327,{2,3,4,5,6,7,8,9},0))</f>
        <v>11093.39</v>
      </c>
      <c r="D225" s="25">
        <f>SUMPRODUCT(VLOOKUP($A225,'PSES Enroll Snapshot 25-01-17'!$K$5:$AB$327,{10,11},0))-VLOOKUP($A225,'PSES Enroll Snapshot 25-01-17'!$K$5:$AB$327,12,0)</f>
        <v>2540.12</v>
      </c>
      <c r="E225" s="25">
        <f>SUMPRODUCT(VLOOKUP($A225,'PSES Enroll Snapshot 25-01-17'!$K$5:$AB$327,{13,14},0))-SUMPRODUCT(VLOOKUP($A225,'PSES Enroll Snapshot 25-01-17'!$K$5:$AB$327,{15,16,17},0))</f>
        <v>3659.33</v>
      </c>
      <c r="F225" s="33">
        <f>ROUND($C225*'2024-25 Elementary Calculator'!$Q$13/400,3)+ROUND($D225*'2024-25 Middle Calculator'!$O$13/432,3)+ROUND($E225*'2024-25 High Calculator'!$O$13/600,3)</f>
        <v>56.164000000000001</v>
      </c>
      <c r="G225" s="33">
        <f>ROUND($C225*'2024-25 Elementary Calculator'!$Q$15/400,3)+ROUND($D225*'2024-25 Middle Calculator'!$O$15/432,3)+ROUND($E225*'2024-25 High Calculator'!$O$15/600,3)</f>
        <v>9.9169999999999998</v>
      </c>
      <c r="H225" s="33">
        <f>ROUND($C225*'2024-25 Elementary Calculator'!$Q$17/400,3)+ROUND($D225*'2024-25 Middle Calculator'!$O$17/432,3)+ROUND($E225*'2024-25 High Calculator'!$O$17/600,3)</f>
        <v>3.3239999999999998</v>
      </c>
      <c r="I225" s="33">
        <f>ROUND($C225*'2024-25 Elementary Calculator'!$Q$18/400,3)+ROUND($D225*'2024-25 Middle Calculator'!$O$18/432,3)+ROUND($E225*'2024-25 High Calculator'!$O$18/600,3)</f>
        <v>26.47</v>
      </c>
      <c r="J225" s="166">
        <f t="shared" si="26"/>
        <v>95.875</v>
      </c>
      <c r="K225" s="33">
        <f>ROUND($C225*'2024-25 Elementary Calculator'!$Q$23/400,3)+ROUND($D225*'2024-25 Middle Calculator'!$O$23/432,3)+ROUND($E225*'2024-25 High Calculator'!$O$23/600,3)</f>
        <v>3.5919999999999996</v>
      </c>
      <c r="L225" s="33">
        <f>ROUND($C225*'2024-25 Elementary Calculator'!$Q$22/400,3)+ROUND($D225*'2024-25 Middle Calculator'!$O$22/432,3)+ROUND($E225*'2024-25 High Calculator'!$O$22/600,3)</f>
        <v>2.2879999999999998</v>
      </c>
      <c r="M225" s="166">
        <f t="shared" si="27"/>
        <v>5.879999999999999</v>
      </c>
      <c r="N225" s="33">
        <f>VLOOKUP($A225,'District Summary'!$A$6:$AH$325,29,FALSE)</f>
        <v>71.097000000000008</v>
      </c>
      <c r="O225" s="33">
        <f>VLOOKUP($A225,'District Summary'!$A$6:$AH$325,34,FALSE)</f>
        <v>71.225999999999999</v>
      </c>
      <c r="P225" s="67">
        <f t="shared" si="28"/>
        <v>-24.777999999999992</v>
      </c>
      <c r="Q225" s="67">
        <f t="shared" si="29"/>
        <v>65.346000000000004</v>
      </c>
      <c r="R225" s="67">
        <f t="shared" si="30"/>
        <v>101.755</v>
      </c>
      <c r="S225" s="33">
        <f t="shared" si="31"/>
        <v>142.32300000000001</v>
      </c>
      <c r="T225" s="67">
        <f t="shared" si="33"/>
        <v>40.567999999999998</v>
      </c>
      <c r="U225" s="67">
        <f t="shared" si="32"/>
        <v>0</v>
      </c>
      <c r="V225" s="273"/>
      <c r="W225" s="273"/>
    </row>
    <row r="226" spans="1:23" x14ac:dyDescent="0.25">
      <c r="A226" t="s">
        <v>214</v>
      </c>
      <c r="B226" t="s">
        <v>509</v>
      </c>
      <c r="C226" s="25">
        <f>SUMPRODUCT(VLOOKUP($A226,'PSES Enroll Snapshot 25-01-17'!$K$5:$AB$327,{2,3,4,5,6,7,8,9},0))</f>
        <v>5327.81</v>
      </c>
      <c r="D226" s="25">
        <f>SUMPRODUCT(VLOOKUP($A226,'PSES Enroll Snapshot 25-01-17'!$K$5:$AB$327,{10,11},0))-VLOOKUP($A226,'PSES Enroll Snapshot 25-01-17'!$K$5:$AB$327,12,0)</f>
        <v>1394.54</v>
      </c>
      <c r="E226" s="25">
        <f>SUMPRODUCT(VLOOKUP($A226,'PSES Enroll Snapshot 25-01-17'!$K$5:$AB$327,{13,14},0))-SUMPRODUCT(VLOOKUP($A226,'PSES Enroll Snapshot 25-01-17'!$K$5:$AB$327,{15,16,17},0))</f>
        <v>2152.9199999999996</v>
      </c>
      <c r="F226" s="33">
        <f>ROUND($C226*'2024-25 Elementary Calculator'!$Q$13/400,3)+ROUND($D226*'2024-25 Middle Calculator'!$O$13/432,3)+ROUND($E226*'2024-25 High Calculator'!$O$13/600,3)</f>
        <v>29.67</v>
      </c>
      <c r="G226" s="33">
        <f>ROUND($C226*'2024-25 Elementary Calculator'!$Q$15/400,3)+ROUND($D226*'2024-25 Middle Calculator'!$O$15/432,3)+ROUND($E226*'2024-25 High Calculator'!$O$15/600,3)</f>
        <v>4.8820000000000006</v>
      </c>
      <c r="H226" s="33">
        <f>ROUND($C226*'2024-25 Elementary Calculator'!$Q$17/400,3)+ROUND($D226*'2024-25 Middle Calculator'!$O$17/432,3)+ROUND($E226*'2024-25 High Calculator'!$O$17/600,3)</f>
        <v>1.6379999999999999</v>
      </c>
      <c r="I226" s="33">
        <f>ROUND($C226*'2024-25 Elementary Calculator'!$Q$18/400,3)+ROUND($D226*'2024-25 Middle Calculator'!$O$18/432,3)+ROUND($E226*'2024-25 High Calculator'!$O$18/600,3)</f>
        <v>13.616</v>
      </c>
      <c r="J226" s="166">
        <f t="shared" si="26"/>
        <v>49.805999999999997</v>
      </c>
      <c r="K226" s="33">
        <f>ROUND($C226*'2024-25 Elementary Calculator'!$Q$23/400,3)+ROUND($D226*'2024-25 Middle Calculator'!$O$23/432,3)+ROUND($E226*'2024-25 High Calculator'!$O$23/600,3)</f>
        <v>1.855</v>
      </c>
      <c r="L226" s="33">
        <f>ROUND($C226*'2024-25 Elementary Calculator'!$Q$22/400,3)+ROUND($D226*'2024-25 Middle Calculator'!$O$22/432,3)+ROUND($E226*'2024-25 High Calculator'!$O$22/600,3)</f>
        <v>1.099</v>
      </c>
      <c r="M226" s="166">
        <f t="shared" si="27"/>
        <v>2.9539999999999997</v>
      </c>
      <c r="N226" s="33">
        <f>VLOOKUP($A226,'District Summary'!$A$6:$AH$325,29,FALSE)</f>
        <v>30.795000000000002</v>
      </c>
      <c r="O226" s="33">
        <f>VLOOKUP($A226,'District Summary'!$A$6:$AH$325,34,FALSE)</f>
        <v>26.528999999999996</v>
      </c>
      <c r="P226" s="67">
        <f t="shared" si="28"/>
        <v>-19.010999999999996</v>
      </c>
      <c r="Q226" s="67">
        <f t="shared" si="29"/>
        <v>23.574999999999996</v>
      </c>
      <c r="R226" s="67">
        <f t="shared" si="30"/>
        <v>52.76</v>
      </c>
      <c r="S226" s="33">
        <f t="shared" si="31"/>
        <v>57.323999999999998</v>
      </c>
      <c r="T226" s="67">
        <f t="shared" si="33"/>
        <v>4.5640000000000001</v>
      </c>
      <c r="U226" s="67">
        <f t="shared" si="32"/>
        <v>0</v>
      </c>
      <c r="V226" s="273"/>
      <c r="W226" s="273"/>
    </row>
    <row r="227" spans="1:23" x14ac:dyDescent="0.25">
      <c r="A227" t="s">
        <v>215</v>
      </c>
      <c r="B227" t="s">
        <v>510</v>
      </c>
      <c r="C227" s="25">
        <f>SUMPRODUCT(VLOOKUP($A227,'PSES Enroll Snapshot 25-01-17'!$K$5:$AB$327,{2,3,4,5,6,7,8,9},0))</f>
        <v>7858.3099999999995</v>
      </c>
      <c r="D227" s="25">
        <f>SUMPRODUCT(VLOOKUP($A227,'PSES Enroll Snapshot 25-01-17'!$K$5:$AB$327,{10,11},0))-VLOOKUP($A227,'PSES Enroll Snapshot 25-01-17'!$K$5:$AB$327,12,0)</f>
        <v>2017.6999999999998</v>
      </c>
      <c r="E227" s="25">
        <f>SUMPRODUCT(VLOOKUP($A227,'PSES Enroll Snapshot 25-01-17'!$K$5:$AB$327,{13,14},0))-SUMPRODUCT(VLOOKUP($A227,'PSES Enroll Snapshot 25-01-17'!$K$5:$AB$327,{15,16,17},0))</f>
        <v>3523.58</v>
      </c>
      <c r="F227" s="33">
        <f>ROUND($C227*'2024-25 Elementary Calculator'!$Q$13/400,3)+ROUND($D227*'2024-25 Middle Calculator'!$O$13/432,3)+ROUND($E227*'2024-25 High Calculator'!$O$13/600,3)</f>
        <v>45.370000000000005</v>
      </c>
      <c r="G227" s="33">
        <f>ROUND($C227*'2024-25 Elementary Calculator'!$Q$15/400,3)+ROUND($D227*'2024-25 Middle Calculator'!$O$15/432,3)+ROUND($E227*'2024-25 High Calculator'!$O$15/600,3)</f>
        <v>7.2669999999999995</v>
      </c>
      <c r="H227" s="33">
        <f>ROUND($C227*'2024-25 Elementary Calculator'!$Q$17/400,3)+ROUND($D227*'2024-25 Middle Calculator'!$O$17/432,3)+ROUND($E227*'2024-25 High Calculator'!$O$17/600,3)</f>
        <v>2.4430000000000001</v>
      </c>
      <c r="I227" s="33">
        <f>ROUND($C227*'2024-25 Elementary Calculator'!$Q$18/400,3)+ROUND($D227*'2024-25 Middle Calculator'!$O$18/432,3)+ROUND($E227*'2024-25 High Calculator'!$O$18/600,3)</f>
        <v>20.478999999999999</v>
      </c>
      <c r="J227" s="166">
        <f t="shared" si="26"/>
        <v>75.558999999999997</v>
      </c>
      <c r="K227" s="33">
        <f>ROUND($C227*'2024-25 Elementary Calculator'!$Q$23/400,3)+ROUND($D227*'2024-25 Middle Calculator'!$O$23/432,3)+ROUND($E227*'2024-25 High Calculator'!$O$23/600,3)</f>
        <v>2.81</v>
      </c>
      <c r="L227" s="33">
        <f>ROUND($C227*'2024-25 Elementary Calculator'!$Q$22/400,3)+ROUND($D227*'2024-25 Middle Calculator'!$O$22/432,3)+ROUND($E227*'2024-25 High Calculator'!$O$22/600,3)</f>
        <v>1.621</v>
      </c>
      <c r="M227" s="166">
        <f t="shared" si="27"/>
        <v>4.431</v>
      </c>
      <c r="N227" s="33">
        <f>VLOOKUP($A227,'District Summary'!$A$6:$AH$325,29,FALSE)</f>
        <v>68.63300000000001</v>
      </c>
      <c r="O227" s="33">
        <f>VLOOKUP($A227,'District Summary'!$A$6:$AH$325,34,FALSE)</f>
        <v>8.3049999999999997</v>
      </c>
      <c r="P227" s="67">
        <f t="shared" si="28"/>
        <v>-6.9259999999999877</v>
      </c>
      <c r="Q227" s="67">
        <f t="shared" si="29"/>
        <v>3.8739999999999997</v>
      </c>
      <c r="R227" s="67">
        <f t="shared" si="30"/>
        <v>79.989999999999995</v>
      </c>
      <c r="S227" s="33">
        <f t="shared" si="31"/>
        <v>76.938000000000017</v>
      </c>
      <c r="T227" s="67">
        <f t="shared" si="33"/>
        <v>-3.052</v>
      </c>
      <c r="U227" s="67">
        <f t="shared" si="32"/>
        <v>-3.052</v>
      </c>
      <c r="V227" s="273"/>
      <c r="W227" s="273"/>
    </row>
    <row r="228" spans="1:23" x14ac:dyDescent="0.25">
      <c r="A228" t="s">
        <v>216</v>
      </c>
      <c r="B228" t="s">
        <v>511</v>
      </c>
      <c r="C228" s="25">
        <f>SUMPRODUCT(VLOOKUP($A228,'PSES Enroll Snapshot 25-01-17'!$K$5:$AB$327,{2,3,4,5,6,7,8,9},0))</f>
        <v>10287.84</v>
      </c>
      <c r="D228" s="25">
        <f>SUMPRODUCT(VLOOKUP($A228,'PSES Enroll Snapshot 25-01-17'!$K$5:$AB$327,{10,11},0))-VLOOKUP($A228,'PSES Enroll Snapshot 25-01-17'!$K$5:$AB$327,12,0)</f>
        <v>2697.6800000000003</v>
      </c>
      <c r="E228" s="25">
        <f>SUMPRODUCT(VLOOKUP($A228,'PSES Enroll Snapshot 25-01-17'!$K$5:$AB$327,{13,14},0))-SUMPRODUCT(VLOOKUP($A228,'PSES Enroll Snapshot 25-01-17'!$K$5:$AB$327,{15,16,17},0))</f>
        <v>4386.45</v>
      </c>
      <c r="F228" s="33">
        <f>ROUND($C228*'2024-25 Elementary Calculator'!$Q$13/400,3)+ROUND($D228*'2024-25 Middle Calculator'!$O$13/432,3)+ROUND($E228*'2024-25 High Calculator'!$O$13/600,3)</f>
        <v>58.472999999999999</v>
      </c>
      <c r="G228" s="33">
        <f>ROUND($C228*'2024-25 Elementary Calculator'!$Q$15/400,3)+ROUND($D228*'2024-25 Middle Calculator'!$O$15/432,3)+ROUND($E228*'2024-25 High Calculator'!$O$15/600,3)</f>
        <v>9.4770000000000003</v>
      </c>
      <c r="H228" s="33">
        <f>ROUND($C228*'2024-25 Elementary Calculator'!$Q$17/400,3)+ROUND($D228*'2024-25 Middle Calculator'!$O$17/432,3)+ROUND($E228*'2024-25 High Calculator'!$O$17/600,3)</f>
        <v>3.1829999999999998</v>
      </c>
      <c r="I228" s="33">
        <f>ROUND($C228*'2024-25 Elementary Calculator'!$Q$18/400,3)+ROUND($D228*'2024-25 Middle Calculator'!$O$18/432,3)+ROUND($E228*'2024-25 High Calculator'!$O$18/600,3)</f>
        <v>26.615000000000002</v>
      </c>
      <c r="J228" s="166">
        <f t="shared" si="26"/>
        <v>97.748000000000019</v>
      </c>
      <c r="K228" s="33">
        <f>ROUND($C228*'2024-25 Elementary Calculator'!$Q$23/400,3)+ROUND($D228*'2024-25 Middle Calculator'!$O$23/432,3)+ROUND($E228*'2024-25 High Calculator'!$O$23/600,3)</f>
        <v>3.6379999999999999</v>
      </c>
      <c r="L228" s="33">
        <f>ROUND($C228*'2024-25 Elementary Calculator'!$Q$22/400,3)+ROUND($D228*'2024-25 Middle Calculator'!$O$22/432,3)+ROUND($E228*'2024-25 High Calculator'!$O$22/600,3)</f>
        <v>2.1219999999999999</v>
      </c>
      <c r="M228" s="166">
        <f t="shared" si="27"/>
        <v>5.76</v>
      </c>
      <c r="N228" s="33">
        <f>VLOOKUP($A228,'District Summary'!$A$6:$AH$325,29,FALSE)</f>
        <v>103.589</v>
      </c>
      <c r="O228" s="33">
        <f>VLOOKUP($A228,'District Summary'!$A$6:$AH$325,34,FALSE)</f>
        <v>22.253</v>
      </c>
      <c r="P228" s="67">
        <f t="shared" si="28"/>
        <v>5.8409999999999798</v>
      </c>
      <c r="Q228" s="67">
        <f t="shared" si="29"/>
        <v>16.493000000000002</v>
      </c>
      <c r="R228" s="67">
        <f t="shared" si="30"/>
        <v>103.50800000000002</v>
      </c>
      <c r="S228" s="33">
        <f t="shared" si="31"/>
        <v>125.842</v>
      </c>
      <c r="T228" s="67">
        <f t="shared" si="33"/>
        <v>22.334</v>
      </c>
      <c r="U228" s="67">
        <f t="shared" si="32"/>
        <v>0</v>
      </c>
      <c r="V228" s="273"/>
      <c r="W228" s="273"/>
    </row>
    <row r="229" spans="1:23" x14ac:dyDescent="0.25">
      <c r="A229" t="s">
        <v>217</v>
      </c>
      <c r="B229" t="s">
        <v>512</v>
      </c>
      <c r="C229" s="25">
        <f>SUMPRODUCT(VLOOKUP($A229,'PSES Enroll Snapshot 25-01-17'!$K$5:$AB$327,{2,3,4,5,6,7,8,9},0))</f>
        <v>2725.33</v>
      </c>
      <c r="D229" s="25">
        <f>SUMPRODUCT(VLOOKUP($A229,'PSES Enroll Snapshot 25-01-17'!$K$5:$AB$327,{10,11},0))-VLOOKUP($A229,'PSES Enroll Snapshot 25-01-17'!$K$5:$AB$327,12,0)</f>
        <v>764.81</v>
      </c>
      <c r="E229" s="25">
        <f>SUMPRODUCT(VLOOKUP($A229,'PSES Enroll Snapshot 25-01-17'!$K$5:$AB$327,{13,14},0))-SUMPRODUCT(VLOOKUP($A229,'PSES Enroll Snapshot 25-01-17'!$K$5:$AB$327,{15,16,17},0))</f>
        <v>1275.6599999999999</v>
      </c>
      <c r="F229" s="33">
        <f>ROUND($C229*'2024-25 Elementary Calculator'!$Q$13/400,3)+ROUND($D229*'2024-25 Middle Calculator'!$O$13/432,3)+ROUND($E229*'2024-25 High Calculator'!$O$13/600,3)</f>
        <v>16.265000000000001</v>
      </c>
      <c r="G229" s="33">
        <f>ROUND($C229*'2024-25 Elementary Calculator'!$Q$15/400,3)+ROUND($D229*'2024-25 Middle Calculator'!$O$15/432,3)+ROUND($E229*'2024-25 High Calculator'!$O$15/600,3)</f>
        <v>2.5450000000000004</v>
      </c>
      <c r="H229" s="33">
        <f>ROUND($C229*'2024-25 Elementary Calculator'!$Q$17/400,3)+ROUND($D229*'2024-25 Middle Calculator'!$O$17/432,3)+ROUND($E229*'2024-25 High Calculator'!$O$17/600,3)</f>
        <v>0.85499999999999998</v>
      </c>
      <c r="I229" s="33">
        <f>ROUND($C229*'2024-25 Elementary Calculator'!$Q$18/400,3)+ROUND($D229*'2024-25 Middle Calculator'!$O$18/432,3)+ROUND($E229*'2024-25 High Calculator'!$O$18/600,3)</f>
        <v>7.31</v>
      </c>
      <c r="J229" s="166">
        <f t="shared" si="26"/>
        <v>26.975000000000001</v>
      </c>
      <c r="K229" s="33">
        <f>ROUND($C229*'2024-25 Elementary Calculator'!$Q$23/400,3)+ROUND($D229*'2024-25 Middle Calculator'!$O$23/432,3)+ROUND($E229*'2024-25 High Calculator'!$O$23/600,3)</f>
        <v>1.0010000000000001</v>
      </c>
      <c r="L229" s="33">
        <f>ROUND($C229*'2024-25 Elementary Calculator'!$Q$22/400,3)+ROUND($D229*'2024-25 Middle Calculator'!$O$22/432,3)+ROUND($E229*'2024-25 High Calculator'!$O$22/600,3)</f>
        <v>0.56200000000000006</v>
      </c>
      <c r="M229" s="166">
        <f t="shared" si="27"/>
        <v>1.5630000000000002</v>
      </c>
      <c r="N229" s="33">
        <f>VLOOKUP($A229,'District Summary'!$A$6:$AH$325,29,FALSE)</f>
        <v>15.831999999999999</v>
      </c>
      <c r="O229" s="33">
        <f>VLOOKUP($A229,'District Summary'!$A$6:$AH$325,34,FALSE)</f>
        <v>7.6029999999999998</v>
      </c>
      <c r="P229" s="67">
        <f t="shared" si="28"/>
        <v>-11.143000000000002</v>
      </c>
      <c r="Q229" s="67">
        <f t="shared" si="29"/>
        <v>6.0399999999999991</v>
      </c>
      <c r="R229" s="67">
        <f t="shared" si="30"/>
        <v>28.538</v>
      </c>
      <c r="S229" s="33">
        <f t="shared" si="31"/>
        <v>23.434999999999999</v>
      </c>
      <c r="T229" s="67">
        <f t="shared" si="33"/>
        <v>-5.1029999999999998</v>
      </c>
      <c r="U229" s="67">
        <f t="shared" si="32"/>
        <v>-5.1029999999999998</v>
      </c>
      <c r="V229" s="273"/>
      <c r="W229" s="273"/>
    </row>
    <row r="230" spans="1:23" x14ac:dyDescent="0.25">
      <c r="A230" t="s">
        <v>218</v>
      </c>
      <c r="B230" t="s">
        <v>513</v>
      </c>
      <c r="C230" s="25">
        <f>SUMPRODUCT(VLOOKUP($A230,'PSES Enroll Snapshot 25-01-17'!$K$5:$AB$327,{2,3,4,5,6,7,8,9},0))</f>
        <v>4982.63</v>
      </c>
      <c r="D230" s="25">
        <f>SUMPRODUCT(VLOOKUP($A230,'PSES Enroll Snapshot 25-01-17'!$K$5:$AB$327,{10,11},0))-VLOOKUP($A230,'PSES Enroll Snapshot 25-01-17'!$K$5:$AB$327,12,0)</f>
        <v>1188.78</v>
      </c>
      <c r="E230" s="25">
        <f>SUMPRODUCT(VLOOKUP($A230,'PSES Enroll Snapshot 25-01-17'!$K$5:$AB$327,{13,14},0))-SUMPRODUCT(VLOOKUP($A230,'PSES Enroll Snapshot 25-01-17'!$K$5:$AB$327,{15,16,17},0))</f>
        <v>1949.1799999999998</v>
      </c>
      <c r="F230" s="33">
        <f>ROUND($C230*'2024-25 Elementary Calculator'!$Q$13/400,3)+ROUND($D230*'2024-25 Middle Calculator'!$O$13/432,3)+ROUND($E230*'2024-25 High Calculator'!$O$13/600,3)</f>
        <v>26.963999999999999</v>
      </c>
      <c r="G230" s="33">
        <f>ROUND($C230*'2024-25 Elementary Calculator'!$Q$15/400,3)+ROUND($D230*'2024-25 Middle Calculator'!$O$15/432,3)+ROUND($E230*'2024-25 High Calculator'!$O$15/600,3)</f>
        <v>4.5289999999999999</v>
      </c>
      <c r="H230" s="33">
        <f>ROUND($C230*'2024-25 Elementary Calculator'!$Q$17/400,3)+ROUND($D230*'2024-25 Middle Calculator'!$O$17/432,3)+ROUND($E230*'2024-25 High Calculator'!$O$17/600,3)</f>
        <v>1.52</v>
      </c>
      <c r="I230" s="33">
        <f>ROUND($C230*'2024-25 Elementary Calculator'!$Q$18/400,3)+ROUND($D230*'2024-25 Middle Calculator'!$O$18/432,3)+ROUND($E230*'2024-25 High Calculator'!$O$18/600,3)</f>
        <v>12.407999999999999</v>
      </c>
      <c r="J230" s="166">
        <f t="shared" si="26"/>
        <v>45.420999999999999</v>
      </c>
      <c r="K230" s="33">
        <f>ROUND($C230*'2024-25 Elementary Calculator'!$Q$23/400,3)+ROUND($D230*'2024-25 Middle Calculator'!$O$23/432,3)+ROUND($E230*'2024-25 High Calculator'!$O$23/600,3)</f>
        <v>1.6950000000000001</v>
      </c>
      <c r="L230" s="33">
        <f>ROUND($C230*'2024-25 Elementary Calculator'!$Q$22/400,3)+ROUND($D230*'2024-25 Middle Calculator'!$O$22/432,3)+ROUND($E230*'2024-25 High Calculator'!$O$22/600,3)</f>
        <v>1.028</v>
      </c>
      <c r="M230" s="166">
        <f t="shared" si="27"/>
        <v>2.7229999999999999</v>
      </c>
      <c r="N230" s="33">
        <f>VLOOKUP($A230,'District Summary'!$A$6:$AH$325,29,FALSE)</f>
        <v>28.629000000000001</v>
      </c>
      <c r="O230" s="33">
        <f>VLOOKUP($A230,'District Summary'!$A$6:$AH$325,34,FALSE)</f>
        <v>29.250999999999998</v>
      </c>
      <c r="P230" s="67">
        <f t="shared" si="28"/>
        <v>-16.791999999999998</v>
      </c>
      <c r="Q230" s="67">
        <f t="shared" si="29"/>
        <v>26.527999999999999</v>
      </c>
      <c r="R230" s="67">
        <f t="shared" si="30"/>
        <v>48.143999999999998</v>
      </c>
      <c r="S230" s="33">
        <f t="shared" si="31"/>
        <v>57.879999999999995</v>
      </c>
      <c r="T230" s="67">
        <f t="shared" si="33"/>
        <v>9.7360000000000007</v>
      </c>
      <c r="U230" s="67">
        <f t="shared" si="32"/>
        <v>0</v>
      </c>
      <c r="V230" s="273"/>
      <c r="W230" s="273"/>
    </row>
    <row r="231" spans="1:23" x14ac:dyDescent="0.25">
      <c r="A231" t="s">
        <v>219</v>
      </c>
      <c r="B231" t="s">
        <v>514</v>
      </c>
      <c r="C231" s="25">
        <f>SUMPRODUCT(VLOOKUP($A231,'PSES Enroll Snapshot 25-01-17'!$K$5:$AB$327,{2,3,4,5,6,7,8,9},0))</f>
        <v>31.18</v>
      </c>
      <c r="D231" s="25">
        <f>SUMPRODUCT(VLOOKUP($A231,'PSES Enroll Snapshot 25-01-17'!$K$5:$AB$327,{10,11},0))-VLOOKUP($A231,'PSES Enroll Snapshot 25-01-17'!$K$5:$AB$327,12,0)</f>
        <v>3</v>
      </c>
      <c r="E231" s="25">
        <f>SUMPRODUCT(VLOOKUP($A231,'PSES Enroll Snapshot 25-01-17'!$K$5:$AB$327,{13,14},0))-SUMPRODUCT(VLOOKUP($A231,'PSES Enroll Snapshot 25-01-17'!$K$5:$AB$327,{15,16,17},0))</f>
        <v>0</v>
      </c>
      <c r="F231" s="33">
        <f>ROUND($C231*'2024-25 Elementary Calculator'!$Q$13/400,3)+ROUND($D231*'2024-25 Middle Calculator'!$O$13/432,3)+ROUND($E231*'2024-25 High Calculator'!$O$13/600,3)</f>
        <v>8.8999999999999996E-2</v>
      </c>
      <c r="G231" s="33">
        <f>ROUND($C231*'2024-25 Elementary Calculator'!$Q$15/400,3)+ROUND($D231*'2024-25 Middle Calculator'!$O$15/432,3)+ROUND($E231*'2024-25 High Calculator'!$O$15/600,3)</f>
        <v>2.5000000000000001E-2</v>
      </c>
      <c r="H231" s="33">
        <f>ROUND($C231*'2024-25 Elementary Calculator'!$Q$17/400,3)+ROUND($D231*'2024-25 Middle Calculator'!$O$17/432,3)+ROUND($E231*'2024-25 High Calculator'!$O$17/600,3)</f>
        <v>8.0000000000000002E-3</v>
      </c>
      <c r="I231" s="33">
        <f>ROUND($C231*'2024-25 Elementary Calculator'!$Q$18/400,3)+ROUND($D231*'2024-25 Middle Calculator'!$O$18/432,3)+ROUND($E231*'2024-25 High Calculator'!$O$18/600,3)</f>
        <v>5.1999999999999998E-2</v>
      </c>
      <c r="J231" s="166">
        <f t="shared" si="26"/>
        <v>0.17399999999999999</v>
      </c>
      <c r="K231" s="33">
        <f>ROUND($C231*'2024-25 Elementary Calculator'!$Q$23/400,3)+ROUND($D231*'2024-25 Middle Calculator'!$O$23/432,3)+ROUND($E231*'2024-25 High Calculator'!$O$23/600,3)</f>
        <v>7.0000000000000001E-3</v>
      </c>
      <c r="L231" s="33">
        <f>ROUND($C231*'2024-25 Elementary Calculator'!$Q$22/400,3)+ROUND($D231*'2024-25 Middle Calculator'!$O$22/432,3)+ROUND($E231*'2024-25 High Calculator'!$O$22/600,3)</f>
        <v>6.0000000000000001E-3</v>
      </c>
      <c r="M231" s="166">
        <f t="shared" si="27"/>
        <v>1.3000000000000001E-2</v>
      </c>
      <c r="N231" s="33">
        <f>VLOOKUP($A231,'District Summary'!$A$6:$AH$325,29,FALSE)</f>
        <v>0</v>
      </c>
      <c r="O231" s="33">
        <f>VLOOKUP($A231,'District Summary'!$A$6:$AH$325,34,FALSE)</f>
        <v>0.14000000000000001</v>
      </c>
      <c r="P231" s="67">
        <f t="shared" si="28"/>
        <v>-0.17399999999999999</v>
      </c>
      <c r="Q231" s="67">
        <f t="shared" si="29"/>
        <v>0.127</v>
      </c>
      <c r="R231" s="67">
        <f t="shared" si="30"/>
        <v>0.187</v>
      </c>
      <c r="S231" s="33">
        <f t="shared" si="31"/>
        <v>0.14000000000000001</v>
      </c>
      <c r="T231" s="67">
        <f t="shared" si="33"/>
        <v>-4.7E-2</v>
      </c>
      <c r="U231" s="67">
        <f t="shared" si="32"/>
        <v>-4.7E-2</v>
      </c>
      <c r="V231" s="273"/>
      <c r="W231" s="273"/>
    </row>
    <row r="232" spans="1:23" x14ac:dyDescent="0.25">
      <c r="A232" t="s">
        <v>220</v>
      </c>
      <c r="B232" t="s">
        <v>515</v>
      </c>
      <c r="C232" s="25">
        <f>SUMPRODUCT(VLOOKUP($A232,'PSES Enroll Snapshot 25-01-17'!$K$5:$AB$327,{2,3,4,5,6,7,8,9},0))</f>
        <v>2581.63</v>
      </c>
      <c r="D232" s="25">
        <f>SUMPRODUCT(VLOOKUP($A232,'PSES Enroll Snapshot 25-01-17'!$K$5:$AB$327,{10,11},0))-VLOOKUP($A232,'PSES Enroll Snapshot 25-01-17'!$K$5:$AB$327,12,0)</f>
        <v>605.71</v>
      </c>
      <c r="E232" s="25">
        <f>SUMPRODUCT(VLOOKUP($A232,'PSES Enroll Snapshot 25-01-17'!$K$5:$AB$327,{13,14},0))-SUMPRODUCT(VLOOKUP($A232,'PSES Enroll Snapshot 25-01-17'!$K$5:$AB$327,{15,16,17},0))</f>
        <v>957.41</v>
      </c>
      <c r="F232" s="33">
        <f>ROUND($C232*'2024-25 Elementary Calculator'!$Q$13/400,3)+ROUND($D232*'2024-25 Middle Calculator'!$O$13/432,3)+ROUND($E232*'2024-25 High Calculator'!$O$13/600,3)</f>
        <v>13.664</v>
      </c>
      <c r="G232" s="33">
        <f>ROUND($C232*'2024-25 Elementary Calculator'!$Q$15/400,3)+ROUND($D232*'2024-25 Middle Calculator'!$O$15/432,3)+ROUND($E232*'2024-25 High Calculator'!$O$15/600,3)</f>
        <v>2.3329999999999997</v>
      </c>
      <c r="H232" s="33">
        <f>ROUND($C232*'2024-25 Elementary Calculator'!$Q$17/400,3)+ROUND($D232*'2024-25 Middle Calculator'!$O$17/432,3)+ROUND($E232*'2024-25 High Calculator'!$O$17/600,3)</f>
        <v>0.78300000000000003</v>
      </c>
      <c r="I232" s="33">
        <f>ROUND($C232*'2024-25 Elementary Calculator'!$Q$18/400,3)+ROUND($D232*'2024-25 Middle Calculator'!$O$18/432,3)+ROUND($E232*'2024-25 High Calculator'!$O$18/600,3)</f>
        <v>6.3360000000000003</v>
      </c>
      <c r="J232" s="166">
        <f t="shared" si="26"/>
        <v>23.116</v>
      </c>
      <c r="K232" s="33">
        <f>ROUND($C232*'2024-25 Elementary Calculator'!$Q$23/400,3)+ROUND($D232*'2024-25 Middle Calculator'!$O$23/432,3)+ROUND($E232*'2024-25 High Calculator'!$O$23/600,3)</f>
        <v>0.86399999999999999</v>
      </c>
      <c r="L232" s="33">
        <f>ROUND($C232*'2024-25 Elementary Calculator'!$Q$22/400,3)+ROUND($D232*'2024-25 Middle Calculator'!$O$22/432,3)+ROUND($E232*'2024-25 High Calculator'!$O$22/600,3)</f>
        <v>0.53200000000000003</v>
      </c>
      <c r="M232" s="166">
        <f t="shared" si="27"/>
        <v>1.3959999999999999</v>
      </c>
      <c r="N232" s="33">
        <f>VLOOKUP($A232,'District Summary'!$A$6:$AH$325,29,FALSE)</f>
        <v>19.954000000000001</v>
      </c>
      <c r="O232" s="33">
        <f>VLOOKUP($A232,'District Summary'!$A$6:$AH$325,34,FALSE)</f>
        <v>14.564</v>
      </c>
      <c r="P232" s="67">
        <f t="shared" si="28"/>
        <v>-3.161999999999999</v>
      </c>
      <c r="Q232" s="67">
        <f t="shared" si="29"/>
        <v>13.167999999999999</v>
      </c>
      <c r="R232" s="67">
        <f t="shared" si="30"/>
        <v>24.512</v>
      </c>
      <c r="S232" s="33">
        <f t="shared" si="31"/>
        <v>34.518000000000001</v>
      </c>
      <c r="T232" s="67">
        <f t="shared" si="33"/>
        <v>10.006</v>
      </c>
      <c r="U232" s="67">
        <f t="shared" si="32"/>
        <v>0</v>
      </c>
      <c r="V232" s="273"/>
      <c r="W232" s="273"/>
    </row>
    <row r="233" spans="1:23" x14ac:dyDescent="0.25">
      <c r="A233" t="s">
        <v>221</v>
      </c>
      <c r="B233" t="s">
        <v>516</v>
      </c>
      <c r="C233" s="25">
        <f>SUMPRODUCT(VLOOKUP($A233,'PSES Enroll Snapshot 25-01-17'!$K$5:$AB$327,{2,3,4,5,6,7,8,9},0))</f>
        <v>4820.62</v>
      </c>
      <c r="D233" s="25">
        <f>SUMPRODUCT(VLOOKUP($A233,'PSES Enroll Snapshot 25-01-17'!$K$5:$AB$327,{10,11},0))-VLOOKUP($A233,'PSES Enroll Snapshot 25-01-17'!$K$5:$AB$327,12,0)</f>
        <v>1251.02</v>
      </c>
      <c r="E233" s="25">
        <f>SUMPRODUCT(VLOOKUP($A233,'PSES Enroll Snapshot 25-01-17'!$K$5:$AB$327,{13,14},0))-SUMPRODUCT(VLOOKUP($A233,'PSES Enroll Snapshot 25-01-17'!$K$5:$AB$327,{15,16,17},0))</f>
        <v>2437.91</v>
      </c>
      <c r="F233" s="33">
        <f>ROUND($C233*'2024-25 Elementary Calculator'!$Q$13/400,3)+ROUND($D233*'2024-25 Middle Calculator'!$O$13/432,3)+ROUND($E233*'2024-25 High Calculator'!$O$13/600,3)</f>
        <v>29.283999999999999</v>
      </c>
      <c r="G233" s="33">
        <f>ROUND($C233*'2024-25 Elementary Calculator'!$Q$15/400,3)+ROUND($D233*'2024-25 Middle Calculator'!$O$15/432,3)+ROUND($E233*'2024-25 High Calculator'!$O$15/600,3)</f>
        <v>4.5190000000000001</v>
      </c>
      <c r="H233" s="33">
        <f>ROUND($C233*'2024-25 Elementary Calculator'!$Q$17/400,3)+ROUND($D233*'2024-25 Middle Calculator'!$O$17/432,3)+ROUND($E233*'2024-25 High Calculator'!$O$17/600,3)</f>
        <v>1.522</v>
      </c>
      <c r="I233" s="33">
        <f>ROUND($C233*'2024-25 Elementary Calculator'!$Q$18/400,3)+ROUND($D233*'2024-25 Middle Calculator'!$O$18/432,3)+ROUND($E233*'2024-25 High Calculator'!$O$18/600,3)</f>
        <v>12.969999999999999</v>
      </c>
      <c r="J233" s="166">
        <f t="shared" si="26"/>
        <v>48.294999999999995</v>
      </c>
      <c r="K233" s="33">
        <f>ROUND($C233*'2024-25 Elementary Calculator'!$Q$23/400,3)+ROUND($D233*'2024-25 Middle Calculator'!$O$23/432,3)+ROUND($E233*'2024-25 High Calculator'!$O$23/600,3)</f>
        <v>1.7909999999999999</v>
      </c>
      <c r="L233" s="33">
        <f>ROUND($C233*'2024-25 Elementary Calculator'!$Q$22/400,3)+ROUND($D233*'2024-25 Middle Calculator'!$O$22/432,3)+ROUND($E233*'2024-25 High Calculator'!$O$22/600,3)</f>
        <v>0.99399999999999999</v>
      </c>
      <c r="M233" s="166">
        <f t="shared" si="27"/>
        <v>2.7850000000000001</v>
      </c>
      <c r="N233" s="33">
        <f>VLOOKUP($A233,'District Summary'!$A$6:$AH$325,29,FALSE)</f>
        <v>45.189000000000007</v>
      </c>
      <c r="O233" s="33">
        <f>VLOOKUP($A233,'District Summary'!$A$6:$AH$325,34,FALSE)</f>
        <v>5.1470000000000002</v>
      </c>
      <c r="P233" s="67">
        <f t="shared" si="28"/>
        <v>-3.1059999999999874</v>
      </c>
      <c r="Q233" s="67">
        <f t="shared" si="29"/>
        <v>2.3620000000000001</v>
      </c>
      <c r="R233" s="67">
        <f t="shared" si="30"/>
        <v>51.08</v>
      </c>
      <c r="S233" s="33">
        <f t="shared" si="31"/>
        <v>50.336000000000006</v>
      </c>
      <c r="T233" s="67">
        <f t="shared" si="33"/>
        <v>-0.74399999999999999</v>
      </c>
      <c r="U233" s="67">
        <f t="shared" si="32"/>
        <v>-0.74399999999999999</v>
      </c>
      <c r="V233" s="273"/>
      <c r="W233" s="273"/>
    </row>
    <row r="234" spans="1:23" x14ac:dyDescent="0.25">
      <c r="A234" t="s">
        <v>222</v>
      </c>
      <c r="B234" t="s">
        <v>517</v>
      </c>
      <c r="C234" s="25">
        <f>SUMPRODUCT(VLOOKUP($A234,'PSES Enroll Snapshot 25-01-17'!$K$5:$AB$327,{2,3,4,5,6,7,8,9},0))</f>
        <v>1401.12</v>
      </c>
      <c r="D234" s="25">
        <f>SUMPRODUCT(VLOOKUP($A234,'PSES Enroll Snapshot 25-01-17'!$K$5:$AB$327,{10,11},0))-VLOOKUP($A234,'PSES Enroll Snapshot 25-01-17'!$K$5:$AB$327,12,0)</f>
        <v>392</v>
      </c>
      <c r="E234" s="25">
        <f>SUMPRODUCT(VLOOKUP($A234,'PSES Enroll Snapshot 25-01-17'!$K$5:$AB$327,{13,14},0))-SUMPRODUCT(VLOOKUP($A234,'PSES Enroll Snapshot 25-01-17'!$K$5:$AB$327,{15,16,17},0))</f>
        <v>576.78</v>
      </c>
      <c r="F234" s="33">
        <f>ROUND($C234*'2024-25 Elementary Calculator'!$Q$13/400,3)+ROUND($D234*'2024-25 Middle Calculator'!$O$13/432,3)+ROUND($E234*'2024-25 High Calculator'!$O$13/600,3)</f>
        <v>7.9559999999999995</v>
      </c>
      <c r="G234" s="33">
        <f>ROUND($C234*'2024-25 Elementary Calculator'!$Q$15/400,3)+ROUND($D234*'2024-25 Middle Calculator'!$O$15/432,3)+ROUND($E234*'2024-25 High Calculator'!$O$15/600,3)</f>
        <v>1.2909999999999999</v>
      </c>
      <c r="H234" s="33">
        <f>ROUND($C234*'2024-25 Elementary Calculator'!$Q$17/400,3)+ROUND($D234*'2024-25 Middle Calculator'!$O$17/432,3)+ROUND($E234*'2024-25 High Calculator'!$O$17/600,3)</f>
        <v>0.433</v>
      </c>
      <c r="I234" s="33">
        <f>ROUND($C234*'2024-25 Elementary Calculator'!$Q$18/400,3)+ROUND($D234*'2024-25 Middle Calculator'!$O$18/432,3)+ROUND($E234*'2024-25 High Calculator'!$O$18/600,3)</f>
        <v>3.6470000000000002</v>
      </c>
      <c r="J234" s="166">
        <f t="shared" si="26"/>
        <v>13.327</v>
      </c>
      <c r="K234" s="33">
        <f>ROUND($C234*'2024-25 Elementary Calculator'!$Q$23/400,3)+ROUND($D234*'2024-25 Middle Calculator'!$O$23/432,3)+ROUND($E234*'2024-25 High Calculator'!$O$23/600,3)</f>
        <v>0.49600000000000005</v>
      </c>
      <c r="L234" s="33">
        <f>ROUND($C234*'2024-25 Elementary Calculator'!$Q$22/400,3)+ROUND($D234*'2024-25 Middle Calculator'!$O$22/432,3)+ROUND($E234*'2024-25 High Calculator'!$O$22/600,3)</f>
        <v>0.28899999999999998</v>
      </c>
      <c r="M234" s="166">
        <f t="shared" si="27"/>
        <v>0.78500000000000003</v>
      </c>
      <c r="N234" s="33">
        <f>VLOOKUP($A234,'District Summary'!$A$6:$AH$325,29,FALSE)</f>
        <v>8.2650000000000006</v>
      </c>
      <c r="O234" s="33">
        <f>VLOOKUP($A234,'District Summary'!$A$6:$AH$325,34,FALSE)</f>
        <v>7.2670000000000003</v>
      </c>
      <c r="P234" s="67">
        <f t="shared" si="28"/>
        <v>-5.0619999999999994</v>
      </c>
      <c r="Q234" s="67">
        <f t="shared" si="29"/>
        <v>6.4820000000000002</v>
      </c>
      <c r="R234" s="67">
        <f t="shared" si="30"/>
        <v>14.112</v>
      </c>
      <c r="S234" s="33">
        <f t="shared" si="31"/>
        <v>15.532</v>
      </c>
      <c r="T234" s="67">
        <f t="shared" si="33"/>
        <v>1.42</v>
      </c>
      <c r="U234" s="67">
        <f t="shared" si="32"/>
        <v>0</v>
      </c>
      <c r="V234" s="273"/>
      <c r="W234" s="273"/>
    </row>
    <row r="235" spans="1:23" x14ac:dyDescent="0.25">
      <c r="A235" t="s">
        <v>223</v>
      </c>
      <c r="B235" t="s">
        <v>518</v>
      </c>
      <c r="C235" s="25">
        <f>SUMPRODUCT(VLOOKUP($A235,'PSES Enroll Snapshot 25-01-17'!$K$5:$AB$327,{2,3,4,5,6,7,8,9},0))</f>
        <v>1207.96</v>
      </c>
      <c r="D235" s="25">
        <f>SUMPRODUCT(VLOOKUP($A235,'PSES Enroll Snapshot 25-01-17'!$K$5:$AB$327,{10,11},0))-VLOOKUP($A235,'PSES Enroll Snapshot 25-01-17'!$K$5:$AB$327,12,0)</f>
        <v>291.37</v>
      </c>
      <c r="E235" s="25">
        <f>SUMPRODUCT(VLOOKUP($A235,'PSES Enroll Snapshot 25-01-17'!$K$5:$AB$327,{13,14},0))-SUMPRODUCT(VLOOKUP($A235,'PSES Enroll Snapshot 25-01-17'!$K$5:$AB$327,{15,16,17},0))</f>
        <v>337.57</v>
      </c>
      <c r="F235" s="33">
        <f>ROUND($C235*'2024-25 Elementary Calculator'!$Q$13/400,3)+ROUND($D235*'2024-25 Middle Calculator'!$O$13/432,3)+ROUND($E235*'2024-25 High Calculator'!$O$13/600,3)</f>
        <v>5.8660000000000005</v>
      </c>
      <c r="G235" s="33">
        <f>ROUND($C235*'2024-25 Elementary Calculator'!$Q$15/400,3)+ROUND($D235*'2024-25 Middle Calculator'!$O$15/432,3)+ROUND($E235*'2024-25 High Calculator'!$O$15/600,3)</f>
        <v>1.069</v>
      </c>
      <c r="H235" s="33">
        <f>ROUND($C235*'2024-25 Elementary Calculator'!$Q$17/400,3)+ROUND($D235*'2024-25 Middle Calculator'!$O$17/432,3)+ROUND($E235*'2024-25 High Calculator'!$O$17/600,3)</f>
        <v>0.35800000000000004</v>
      </c>
      <c r="I235" s="33">
        <f>ROUND($C235*'2024-25 Elementary Calculator'!$Q$18/400,3)+ROUND($D235*'2024-25 Middle Calculator'!$O$18/432,3)+ROUND($E235*'2024-25 High Calculator'!$O$18/600,3)</f>
        <v>2.8299999999999996</v>
      </c>
      <c r="J235" s="166">
        <f t="shared" si="26"/>
        <v>10.122999999999999</v>
      </c>
      <c r="K235" s="33">
        <f>ROUND($C235*'2024-25 Elementary Calculator'!$Q$23/400,3)+ROUND($D235*'2024-25 Middle Calculator'!$O$23/432,3)+ROUND($E235*'2024-25 High Calculator'!$O$23/600,3)</f>
        <v>0.38</v>
      </c>
      <c r="L235" s="33">
        <f>ROUND($C235*'2024-25 Elementary Calculator'!$Q$22/400,3)+ROUND($D235*'2024-25 Middle Calculator'!$O$22/432,3)+ROUND($E235*'2024-25 High Calculator'!$O$22/600,3)</f>
        <v>0.249</v>
      </c>
      <c r="M235" s="166">
        <f t="shared" si="27"/>
        <v>0.629</v>
      </c>
      <c r="N235" s="33">
        <f>VLOOKUP($A235,'District Summary'!$A$6:$AH$325,29,FALSE)</f>
        <v>5.6080000000000005</v>
      </c>
      <c r="O235" s="33">
        <f>VLOOKUP($A235,'District Summary'!$A$6:$AH$325,34,FALSE)</f>
        <v>2.7690000000000001</v>
      </c>
      <c r="P235" s="67">
        <f t="shared" si="28"/>
        <v>-4.5149999999999988</v>
      </c>
      <c r="Q235" s="67">
        <f t="shared" si="29"/>
        <v>2.14</v>
      </c>
      <c r="R235" s="67">
        <f t="shared" si="30"/>
        <v>10.751999999999999</v>
      </c>
      <c r="S235" s="33">
        <f t="shared" si="31"/>
        <v>8.3770000000000007</v>
      </c>
      <c r="T235" s="67">
        <f t="shared" si="33"/>
        <v>-2.375</v>
      </c>
      <c r="U235" s="67">
        <f t="shared" si="32"/>
        <v>-2.375</v>
      </c>
      <c r="V235" s="273"/>
      <c r="W235" s="273"/>
    </row>
    <row r="236" spans="1:23" x14ac:dyDescent="0.25">
      <c r="A236" t="s">
        <v>224</v>
      </c>
      <c r="B236" t="s">
        <v>519</v>
      </c>
      <c r="C236" s="25">
        <f>SUMPRODUCT(VLOOKUP($A236,'PSES Enroll Snapshot 25-01-17'!$K$5:$AB$327,{2,3,4,5,6,7,8,9},0))</f>
        <v>263.2</v>
      </c>
      <c r="D236" s="25">
        <f>SUMPRODUCT(VLOOKUP($A236,'PSES Enroll Snapshot 25-01-17'!$K$5:$AB$327,{10,11},0))-VLOOKUP($A236,'PSES Enroll Snapshot 25-01-17'!$K$5:$AB$327,12,0)</f>
        <v>59.8</v>
      </c>
      <c r="E236" s="25">
        <f>SUMPRODUCT(VLOOKUP($A236,'PSES Enroll Snapshot 25-01-17'!$K$5:$AB$327,{13,14},0))-SUMPRODUCT(VLOOKUP($A236,'PSES Enroll Snapshot 25-01-17'!$K$5:$AB$327,{15,16,17},0))</f>
        <v>85.740000000000009</v>
      </c>
      <c r="F236" s="33">
        <f>ROUND($C236*'2024-25 Elementary Calculator'!$Q$13/400,3)+ROUND($D236*'2024-25 Middle Calculator'!$O$13/432,3)+ROUND($E236*'2024-25 High Calculator'!$O$13/600,3)</f>
        <v>1.325</v>
      </c>
      <c r="G236" s="33">
        <f>ROUND($C236*'2024-25 Elementary Calculator'!$Q$15/400,3)+ROUND($D236*'2024-25 Middle Calculator'!$O$15/432,3)+ROUND($E236*'2024-25 High Calculator'!$O$15/600,3)</f>
        <v>0.23499999999999999</v>
      </c>
      <c r="H236" s="33">
        <f>ROUND($C236*'2024-25 Elementary Calculator'!$Q$17/400,3)+ROUND($D236*'2024-25 Middle Calculator'!$O$17/432,3)+ROUND($E236*'2024-25 High Calculator'!$O$17/600,3)</f>
        <v>7.8000000000000014E-2</v>
      </c>
      <c r="I236" s="33">
        <f>ROUND($C236*'2024-25 Elementary Calculator'!$Q$18/400,3)+ROUND($D236*'2024-25 Middle Calculator'!$O$18/432,3)+ROUND($E236*'2024-25 High Calculator'!$O$18/600,3)</f>
        <v>0.626</v>
      </c>
      <c r="J236" s="166">
        <f t="shared" si="26"/>
        <v>2.2640000000000002</v>
      </c>
      <c r="K236" s="33">
        <f>ROUND($C236*'2024-25 Elementary Calculator'!$Q$23/400,3)+ROUND($D236*'2024-25 Middle Calculator'!$O$23/432,3)+ROUND($E236*'2024-25 High Calculator'!$O$23/600,3)</f>
        <v>8.5000000000000006E-2</v>
      </c>
      <c r="L236" s="33">
        <f>ROUND($C236*'2024-25 Elementary Calculator'!$Q$22/400,3)+ROUND($D236*'2024-25 Middle Calculator'!$O$22/432,3)+ROUND($E236*'2024-25 High Calculator'!$O$22/600,3)</f>
        <v>5.3999999999999999E-2</v>
      </c>
      <c r="M236" s="166">
        <f t="shared" si="27"/>
        <v>0.13900000000000001</v>
      </c>
      <c r="N236" s="33">
        <f>VLOOKUP($A236,'District Summary'!$A$6:$AH$325,29,FALSE)</f>
        <v>0</v>
      </c>
      <c r="O236" s="33">
        <f>VLOOKUP($A236,'District Summary'!$A$6:$AH$325,34,FALSE)</f>
        <v>1.4430000000000001</v>
      </c>
      <c r="P236" s="67">
        <f t="shared" si="28"/>
        <v>-2.2640000000000002</v>
      </c>
      <c r="Q236" s="67">
        <f t="shared" si="29"/>
        <v>1.304</v>
      </c>
      <c r="R236" s="67">
        <f t="shared" si="30"/>
        <v>2.4030000000000005</v>
      </c>
      <c r="S236" s="33">
        <f t="shared" si="31"/>
        <v>1.4430000000000001</v>
      </c>
      <c r="T236" s="67">
        <f t="shared" si="33"/>
        <v>-0.96</v>
      </c>
      <c r="U236" s="67">
        <f t="shared" si="32"/>
        <v>-0.96</v>
      </c>
      <c r="V236" s="273"/>
      <c r="W236" s="273"/>
    </row>
    <row r="237" spans="1:23" x14ac:dyDescent="0.25">
      <c r="A237" t="s">
        <v>225</v>
      </c>
      <c r="B237" t="s">
        <v>520</v>
      </c>
      <c r="C237" s="25">
        <f>SUMPRODUCT(VLOOKUP($A237,'PSES Enroll Snapshot 25-01-17'!$K$5:$AB$327,{2,3,4,5,6,7,8,9},0))</f>
        <v>1132.6199999999999</v>
      </c>
      <c r="D237" s="25">
        <f>SUMPRODUCT(VLOOKUP($A237,'PSES Enroll Snapshot 25-01-17'!$K$5:$AB$327,{10,11},0))-VLOOKUP($A237,'PSES Enroll Snapshot 25-01-17'!$K$5:$AB$327,12,0)</f>
        <v>248.34000000000003</v>
      </c>
      <c r="E237" s="25">
        <f>SUMPRODUCT(VLOOKUP($A237,'PSES Enroll Snapshot 25-01-17'!$K$5:$AB$327,{13,14},0))-SUMPRODUCT(VLOOKUP($A237,'PSES Enroll Snapshot 25-01-17'!$K$5:$AB$327,{15,16,17},0))</f>
        <v>466.62</v>
      </c>
      <c r="F237" s="33">
        <f>ROUND($C237*'2024-25 Elementary Calculator'!$Q$13/400,3)+ROUND($D237*'2024-25 Middle Calculator'!$O$13/432,3)+ROUND($E237*'2024-25 High Calculator'!$O$13/600,3)</f>
        <v>6.1609999999999996</v>
      </c>
      <c r="G237" s="33">
        <f>ROUND($C237*'2024-25 Elementary Calculator'!$Q$15/400,3)+ROUND($D237*'2024-25 Middle Calculator'!$O$15/432,3)+ROUND($E237*'2024-25 High Calculator'!$O$15/600,3)</f>
        <v>1.0310000000000001</v>
      </c>
      <c r="H237" s="33">
        <f>ROUND($C237*'2024-25 Elementary Calculator'!$Q$17/400,3)+ROUND($D237*'2024-25 Middle Calculator'!$O$17/432,3)+ROUND($E237*'2024-25 High Calculator'!$O$17/600,3)</f>
        <v>0.34599999999999997</v>
      </c>
      <c r="I237" s="33">
        <f>ROUND($C237*'2024-25 Elementary Calculator'!$Q$18/400,3)+ROUND($D237*'2024-25 Middle Calculator'!$O$18/432,3)+ROUND($E237*'2024-25 High Calculator'!$O$18/600,3)</f>
        <v>2.8069999999999999</v>
      </c>
      <c r="J237" s="166">
        <f t="shared" si="26"/>
        <v>10.345000000000001</v>
      </c>
      <c r="K237" s="33">
        <f>ROUND($C237*'2024-25 Elementary Calculator'!$Q$23/400,3)+ROUND($D237*'2024-25 Middle Calculator'!$O$23/432,3)+ROUND($E237*'2024-25 High Calculator'!$O$23/600,3)</f>
        <v>0.38700000000000001</v>
      </c>
      <c r="L237" s="33">
        <f>ROUND($C237*'2024-25 Elementary Calculator'!$Q$22/400,3)+ROUND($D237*'2024-25 Middle Calculator'!$O$22/432,3)+ROUND($E237*'2024-25 High Calculator'!$O$22/600,3)</f>
        <v>0.23400000000000001</v>
      </c>
      <c r="M237" s="166">
        <f t="shared" si="27"/>
        <v>0.621</v>
      </c>
      <c r="N237" s="33">
        <f>VLOOKUP($A237,'District Summary'!$A$6:$AH$325,29,FALSE)</f>
        <v>5.694</v>
      </c>
      <c r="O237" s="33">
        <f>VLOOKUP($A237,'District Summary'!$A$6:$AH$325,34,FALSE)</f>
        <v>10.436999999999999</v>
      </c>
      <c r="P237" s="67">
        <f t="shared" si="28"/>
        <v>-4.6510000000000007</v>
      </c>
      <c r="Q237" s="67">
        <f t="shared" si="29"/>
        <v>9.8159999999999989</v>
      </c>
      <c r="R237" s="67">
        <f t="shared" si="30"/>
        <v>10.966000000000001</v>
      </c>
      <c r="S237" s="33">
        <f t="shared" si="31"/>
        <v>16.131</v>
      </c>
      <c r="T237" s="67">
        <f t="shared" si="33"/>
        <v>5.165</v>
      </c>
      <c r="U237" s="67">
        <f t="shared" si="32"/>
        <v>0</v>
      </c>
      <c r="V237" s="273"/>
      <c r="W237" s="273"/>
    </row>
    <row r="238" spans="1:23" x14ac:dyDescent="0.25">
      <c r="A238" t="s">
        <v>226</v>
      </c>
      <c r="B238" t="s">
        <v>521</v>
      </c>
      <c r="C238" s="25">
        <f>SUMPRODUCT(VLOOKUP($A238,'PSES Enroll Snapshot 25-01-17'!$K$5:$AB$327,{2,3,4,5,6,7,8,9},0))</f>
        <v>2437.89</v>
      </c>
      <c r="D238" s="25">
        <f>SUMPRODUCT(VLOOKUP($A238,'PSES Enroll Snapshot 25-01-17'!$K$5:$AB$327,{10,11},0))-VLOOKUP($A238,'PSES Enroll Snapshot 25-01-17'!$K$5:$AB$327,12,0)</f>
        <v>621.97</v>
      </c>
      <c r="E238" s="25">
        <f>SUMPRODUCT(VLOOKUP($A238,'PSES Enroll Snapshot 25-01-17'!$K$5:$AB$327,{13,14},0))-SUMPRODUCT(VLOOKUP($A238,'PSES Enroll Snapshot 25-01-17'!$K$5:$AB$327,{15,16,17},0))</f>
        <v>942.45</v>
      </c>
      <c r="F238" s="33">
        <f>ROUND($C238*'2024-25 Elementary Calculator'!$Q$13/400,3)+ROUND($D238*'2024-25 Middle Calculator'!$O$13/432,3)+ROUND($E238*'2024-25 High Calculator'!$O$13/600,3)</f>
        <v>13.297000000000001</v>
      </c>
      <c r="G238" s="33">
        <f>ROUND($C238*'2024-25 Elementary Calculator'!$Q$15/400,3)+ROUND($D238*'2024-25 Middle Calculator'!$O$15/432,3)+ROUND($E238*'2024-25 High Calculator'!$O$15/600,3)</f>
        <v>2.2210000000000001</v>
      </c>
      <c r="H238" s="33">
        <f>ROUND($C238*'2024-25 Elementary Calculator'!$Q$17/400,3)+ROUND($D238*'2024-25 Middle Calculator'!$O$17/432,3)+ROUND($E238*'2024-25 High Calculator'!$O$17/600,3)</f>
        <v>0.746</v>
      </c>
      <c r="I238" s="33">
        <f>ROUND($C238*'2024-25 Elementary Calculator'!$Q$18/400,3)+ROUND($D238*'2024-25 Middle Calculator'!$O$18/432,3)+ROUND($E238*'2024-25 High Calculator'!$O$18/600,3)</f>
        <v>6.1370000000000005</v>
      </c>
      <c r="J238" s="166">
        <f t="shared" si="26"/>
        <v>22.401</v>
      </c>
      <c r="K238" s="33">
        <f>ROUND($C238*'2024-25 Elementary Calculator'!$Q$23/400,3)+ROUND($D238*'2024-25 Middle Calculator'!$O$23/432,3)+ROUND($E238*'2024-25 High Calculator'!$O$23/600,3)</f>
        <v>0.83399999999999996</v>
      </c>
      <c r="L238" s="33">
        <f>ROUND($C238*'2024-25 Elementary Calculator'!$Q$22/400,3)+ROUND($D238*'2024-25 Middle Calculator'!$O$22/432,3)+ROUND($E238*'2024-25 High Calculator'!$O$22/600,3)</f>
        <v>0.503</v>
      </c>
      <c r="M238" s="166">
        <f t="shared" si="27"/>
        <v>1.337</v>
      </c>
      <c r="N238" s="33">
        <f>VLOOKUP($A238,'District Summary'!$A$6:$AH$325,29,FALSE)</f>
        <v>20.21</v>
      </c>
      <c r="O238" s="33">
        <f>VLOOKUP($A238,'District Summary'!$A$6:$AH$325,34,FALSE)</f>
        <v>14.929</v>
      </c>
      <c r="P238" s="67">
        <f t="shared" si="28"/>
        <v>-2.1909999999999989</v>
      </c>
      <c r="Q238" s="67">
        <f t="shared" si="29"/>
        <v>13.592000000000001</v>
      </c>
      <c r="R238" s="67">
        <f t="shared" si="30"/>
        <v>23.738</v>
      </c>
      <c r="S238" s="33">
        <f t="shared" si="31"/>
        <v>35.139000000000003</v>
      </c>
      <c r="T238" s="67">
        <f t="shared" si="33"/>
        <v>11.401</v>
      </c>
      <c r="U238" s="67">
        <f t="shared" si="32"/>
        <v>0</v>
      </c>
      <c r="V238" s="273"/>
      <c r="W238" s="273"/>
    </row>
    <row r="239" spans="1:23" x14ac:dyDescent="0.25">
      <c r="A239" t="s">
        <v>1</v>
      </c>
      <c r="B239" t="s">
        <v>522</v>
      </c>
      <c r="C239" s="25">
        <f>SUMPRODUCT(VLOOKUP($A239,'PSES Enroll Snapshot 25-01-17'!$K$5:$AB$327,{2,3,4,5,6,7,8,9},0))</f>
        <v>14881.630000000001</v>
      </c>
      <c r="D239" s="25">
        <f>SUMPRODUCT(VLOOKUP($A239,'PSES Enroll Snapshot 25-01-17'!$K$5:$AB$327,{10,11},0))-VLOOKUP($A239,'PSES Enroll Snapshot 25-01-17'!$K$5:$AB$327,12,0)</f>
        <v>3827.4500000000003</v>
      </c>
      <c r="E239" s="25">
        <f>SUMPRODUCT(VLOOKUP($A239,'PSES Enroll Snapshot 25-01-17'!$K$5:$AB$327,{13,14},0))-SUMPRODUCT(VLOOKUP($A239,'PSES Enroll Snapshot 25-01-17'!$K$5:$AB$327,{15,16,17},0))</f>
        <v>5993.68</v>
      </c>
      <c r="F239" s="33">
        <f>ROUND($C239*'2024-25 Elementary Calculator'!$Q$13/400,3)+ROUND($D239*'2024-25 Middle Calculator'!$O$13/432,3)+ROUND($E239*'2024-25 High Calculator'!$O$13/600,3)</f>
        <v>82.50500000000001</v>
      </c>
      <c r="G239" s="33">
        <f>ROUND($C239*'2024-25 Elementary Calculator'!$Q$15/400,3)+ROUND($D239*'2024-25 Middle Calculator'!$O$15/432,3)+ROUND($E239*'2024-25 High Calculator'!$O$15/600,3)</f>
        <v>13.619</v>
      </c>
      <c r="H239" s="33">
        <f>ROUND($C239*'2024-25 Elementary Calculator'!$Q$17/400,3)+ROUND($D239*'2024-25 Middle Calculator'!$O$17/432,3)+ROUND($E239*'2024-25 High Calculator'!$O$17/600,3)</f>
        <v>4.5709999999999997</v>
      </c>
      <c r="I239" s="33">
        <f>ROUND($C239*'2024-25 Elementary Calculator'!$Q$18/400,3)+ROUND($D239*'2024-25 Middle Calculator'!$O$18/432,3)+ROUND($E239*'2024-25 High Calculator'!$O$18/600,3)</f>
        <v>37.863</v>
      </c>
      <c r="J239" s="166">
        <f t="shared" si="26"/>
        <v>138.55799999999999</v>
      </c>
      <c r="K239" s="33">
        <f>ROUND($C239*'2024-25 Elementary Calculator'!$Q$23/400,3)+ROUND($D239*'2024-25 Middle Calculator'!$O$23/432,3)+ROUND($E239*'2024-25 High Calculator'!$O$23/600,3)</f>
        <v>5.1630000000000003</v>
      </c>
      <c r="L239" s="33">
        <f>ROUND($C239*'2024-25 Elementary Calculator'!$Q$22/400,3)+ROUND($D239*'2024-25 Middle Calculator'!$O$22/432,3)+ROUND($E239*'2024-25 High Calculator'!$O$22/600,3)</f>
        <v>3.069</v>
      </c>
      <c r="M239" s="166">
        <f t="shared" si="27"/>
        <v>8.2319999999999993</v>
      </c>
      <c r="N239" s="33">
        <f>VLOOKUP($A239,'District Summary'!$A$6:$AH$325,29,FALSE)</f>
        <v>119.539</v>
      </c>
      <c r="O239" s="33">
        <f>VLOOKUP($A239,'District Summary'!$A$6:$AH$325,34,FALSE)</f>
        <v>60.788000000000004</v>
      </c>
      <c r="P239" s="67">
        <f t="shared" si="28"/>
        <v>-19.018999999999991</v>
      </c>
      <c r="Q239" s="67">
        <f t="shared" si="29"/>
        <v>52.556000000000004</v>
      </c>
      <c r="R239" s="67">
        <f t="shared" si="30"/>
        <v>146.79</v>
      </c>
      <c r="S239" s="33">
        <f t="shared" si="31"/>
        <v>180.327</v>
      </c>
      <c r="T239" s="67">
        <f t="shared" si="33"/>
        <v>33.536999999999999</v>
      </c>
      <c r="U239" s="67">
        <f t="shared" si="32"/>
        <v>0</v>
      </c>
      <c r="V239" s="273"/>
      <c r="W239" s="273"/>
    </row>
    <row r="240" spans="1:23" x14ac:dyDescent="0.25">
      <c r="A240" t="s">
        <v>227</v>
      </c>
      <c r="B240" t="s">
        <v>523</v>
      </c>
      <c r="C240" s="25">
        <f>SUMPRODUCT(VLOOKUP($A240,'PSES Enroll Snapshot 25-01-17'!$K$5:$AB$327,{2,3,4,5,6,7,8,9},0))</f>
        <v>72.400000000000006</v>
      </c>
      <c r="D240" s="25">
        <f>SUMPRODUCT(VLOOKUP($A240,'PSES Enroll Snapshot 25-01-17'!$K$5:$AB$327,{10,11},0))-VLOOKUP($A240,'PSES Enroll Snapshot 25-01-17'!$K$5:$AB$327,12,0)</f>
        <v>5</v>
      </c>
      <c r="E240" s="25">
        <f>SUMPRODUCT(VLOOKUP($A240,'PSES Enroll Snapshot 25-01-17'!$K$5:$AB$327,{13,14},0))-SUMPRODUCT(VLOOKUP($A240,'PSES Enroll Snapshot 25-01-17'!$K$5:$AB$327,{15,16,17},0))</f>
        <v>0</v>
      </c>
      <c r="F240" s="33">
        <f>ROUND($C240*'2024-25 Elementary Calculator'!$Q$13/400,3)+ROUND($D240*'2024-25 Middle Calculator'!$O$13/432,3)+ROUND($E240*'2024-25 High Calculator'!$O$13/600,3)</f>
        <v>0.19999999999999998</v>
      </c>
      <c r="G240" s="33">
        <f>ROUND($C240*'2024-25 Elementary Calculator'!$Q$15/400,3)+ROUND($D240*'2024-25 Middle Calculator'!$O$15/432,3)+ROUND($E240*'2024-25 High Calculator'!$O$15/600,3)</f>
        <v>5.7000000000000002E-2</v>
      </c>
      <c r="H240" s="33">
        <f>ROUND($C240*'2024-25 Elementary Calculator'!$Q$17/400,3)+ROUND($D240*'2024-25 Middle Calculator'!$O$17/432,3)+ROUND($E240*'2024-25 High Calculator'!$O$17/600,3)</f>
        <v>1.9E-2</v>
      </c>
      <c r="I240" s="33">
        <f>ROUND($C240*'2024-25 Elementary Calculator'!$Q$18/400,3)+ROUND($D240*'2024-25 Middle Calculator'!$O$18/432,3)+ROUND($E240*'2024-25 High Calculator'!$O$18/600,3)</f>
        <v>0.11599999999999999</v>
      </c>
      <c r="J240" s="166">
        <f t="shared" si="26"/>
        <v>0.39200000000000002</v>
      </c>
      <c r="K240" s="33">
        <f>ROUND($C240*'2024-25 Elementary Calculator'!$Q$23/400,3)+ROUND($D240*'2024-25 Middle Calculator'!$O$23/432,3)+ROUND($E240*'2024-25 High Calculator'!$O$23/600,3)</f>
        <v>1.4999999999999999E-2</v>
      </c>
      <c r="L240" s="33">
        <f>ROUND($C240*'2024-25 Elementary Calculator'!$Q$22/400,3)+ROUND($D240*'2024-25 Middle Calculator'!$O$22/432,3)+ROUND($E240*'2024-25 High Calculator'!$O$22/600,3)</f>
        <v>1.4999999999999999E-2</v>
      </c>
      <c r="M240" s="166">
        <f t="shared" si="27"/>
        <v>0.03</v>
      </c>
      <c r="N240" s="33">
        <f>VLOOKUP($A240,'District Summary'!$A$6:$AH$325,29,FALSE)</f>
        <v>0</v>
      </c>
      <c r="O240" s="33">
        <f>VLOOKUP($A240,'District Summary'!$A$6:$AH$325,34,FALSE)</f>
        <v>0.21400000000000002</v>
      </c>
      <c r="P240" s="67">
        <f t="shared" si="28"/>
        <v>-0.39200000000000002</v>
      </c>
      <c r="Q240" s="67">
        <f t="shared" si="29"/>
        <v>0.18400000000000002</v>
      </c>
      <c r="R240" s="67">
        <f t="shared" si="30"/>
        <v>0.42200000000000004</v>
      </c>
      <c r="S240" s="33">
        <f t="shared" si="31"/>
        <v>0.21400000000000002</v>
      </c>
      <c r="T240" s="67">
        <f t="shared" si="33"/>
        <v>-0.20799999999999999</v>
      </c>
      <c r="U240" s="67">
        <f t="shared" si="32"/>
        <v>-0.20799999999999999</v>
      </c>
      <c r="V240" s="273"/>
      <c r="W240" s="273"/>
    </row>
    <row r="241" spans="1:23" x14ac:dyDescent="0.25">
      <c r="A241" t="s">
        <v>228</v>
      </c>
      <c r="B241" t="s">
        <v>524</v>
      </c>
      <c r="C241" s="25">
        <f>SUMPRODUCT(VLOOKUP($A241,'PSES Enroll Snapshot 25-01-17'!$K$5:$AB$327,{2,3,4,5,6,7,8,9},0))</f>
        <v>44.2</v>
      </c>
      <c r="D241" s="25">
        <f>SUMPRODUCT(VLOOKUP($A241,'PSES Enroll Snapshot 25-01-17'!$K$5:$AB$327,{10,11},0))-VLOOKUP($A241,'PSES Enroll Snapshot 25-01-17'!$K$5:$AB$327,12,0)</f>
        <v>0</v>
      </c>
      <c r="E241" s="25">
        <f>SUMPRODUCT(VLOOKUP($A241,'PSES Enroll Snapshot 25-01-17'!$K$5:$AB$327,{13,14},0))-SUMPRODUCT(VLOOKUP($A241,'PSES Enroll Snapshot 25-01-17'!$K$5:$AB$327,{15,16,17},0))</f>
        <v>0</v>
      </c>
      <c r="F241" s="33">
        <f>ROUND($C241*'2024-25 Elementary Calculator'!$Q$13/400,3)+ROUND($D241*'2024-25 Middle Calculator'!$O$13/432,3)+ROUND($E241*'2024-25 High Calculator'!$O$13/600,3)</f>
        <v>0.11</v>
      </c>
      <c r="G241" s="33">
        <f>ROUND($C241*'2024-25 Elementary Calculator'!$Q$15/400,3)+ROUND($D241*'2024-25 Middle Calculator'!$O$15/432,3)+ROUND($E241*'2024-25 High Calculator'!$O$15/600,3)</f>
        <v>3.4000000000000002E-2</v>
      </c>
      <c r="H241" s="33">
        <f>ROUND($C241*'2024-25 Elementary Calculator'!$Q$17/400,3)+ROUND($D241*'2024-25 Middle Calculator'!$O$17/432,3)+ROUND($E241*'2024-25 High Calculator'!$O$17/600,3)</f>
        <v>1.0999999999999999E-2</v>
      </c>
      <c r="I241" s="33">
        <f>ROUND($C241*'2024-25 Elementary Calculator'!$Q$18/400,3)+ROUND($D241*'2024-25 Middle Calculator'!$O$18/432,3)+ROUND($E241*'2024-25 High Calculator'!$O$18/600,3)</f>
        <v>6.5000000000000002E-2</v>
      </c>
      <c r="J241" s="166">
        <f t="shared" si="26"/>
        <v>0.22000000000000003</v>
      </c>
      <c r="K241" s="33">
        <f>ROUND($C241*'2024-25 Elementary Calculator'!$Q$23/400,3)+ROUND($D241*'2024-25 Middle Calculator'!$O$23/432,3)+ROUND($E241*'2024-25 High Calculator'!$O$23/600,3)</f>
        <v>8.9999999999999993E-3</v>
      </c>
      <c r="L241" s="33">
        <f>ROUND($C241*'2024-25 Elementary Calculator'!$Q$22/400,3)+ROUND($D241*'2024-25 Middle Calculator'!$O$22/432,3)+ROUND($E241*'2024-25 High Calculator'!$O$22/600,3)</f>
        <v>8.9999999999999993E-3</v>
      </c>
      <c r="M241" s="166">
        <f t="shared" si="27"/>
        <v>1.7999999999999999E-2</v>
      </c>
      <c r="N241" s="33">
        <f>VLOOKUP($A241,'District Summary'!$A$6:$AH$325,29,FALSE)</f>
        <v>0</v>
      </c>
      <c r="O241" s="33">
        <f>VLOOKUP($A241,'District Summary'!$A$6:$AH$325,34,FALSE)</f>
        <v>0.28799999999999998</v>
      </c>
      <c r="P241" s="67">
        <f t="shared" si="28"/>
        <v>-0.22000000000000003</v>
      </c>
      <c r="Q241" s="67">
        <f t="shared" si="29"/>
        <v>0.26999999999999996</v>
      </c>
      <c r="R241" s="67">
        <f t="shared" si="30"/>
        <v>0.23800000000000002</v>
      </c>
      <c r="S241" s="33">
        <f t="shared" si="31"/>
        <v>0.28799999999999998</v>
      </c>
      <c r="T241" s="67">
        <f t="shared" si="33"/>
        <v>0.05</v>
      </c>
      <c r="U241" s="67">
        <f t="shared" si="32"/>
        <v>0</v>
      </c>
      <c r="V241" s="273"/>
      <c r="W241" s="273"/>
    </row>
    <row r="242" spans="1:23" x14ac:dyDescent="0.25">
      <c r="A242" t="s">
        <v>229</v>
      </c>
      <c r="B242" t="s">
        <v>525</v>
      </c>
      <c r="C242" s="25">
        <f>SUMPRODUCT(VLOOKUP($A242,'PSES Enroll Snapshot 25-01-17'!$K$5:$AB$327,{2,3,4,5,6,7,8,9},0))</f>
        <v>666.33999999999992</v>
      </c>
      <c r="D242" s="25">
        <f>SUMPRODUCT(VLOOKUP($A242,'PSES Enroll Snapshot 25-01-17'!$K$5:$AB$327,{10,11},0))-VLOOKUP($A242,'PSES Enroll Snapshot 25-01-17'!$K$5:$AB$327,12,0)</f>
        <v>194.79</v>
      </c>
      <c r="E242" s="25">
        <f>SUMPRODUCT(VLOOKUP($A242,'PSES Enroll Snapshot 25-01-17'!$K$5:$AB$327,{13,14},0))-SUMPRODUCT(VLOOKUP($A242,'PSES Enroll Snapshot 25-01-17'!$K$5:$AB$327,{15,16,17},0))</f>
        <v>306.58999999999997</v>
      </c>
      <c r="F242" s="33">
        <f>ROUND($C242*'2024-25 Elementary Calculator'!$Q$13/400,3)+ROUND($D242*'2024-25 Middle Calculator'!$O$13/432,3)+ROUND($E242*'2024-25 High Calculator'!$O$13/600,3)</f>
        <v>3.9809999999999999</v>
      </c>
      <c r="G242" s="33">
        <f>ROUND($C242*'2024-25 Elementary Calculator'!$Q$15/400,3)+ROUND($D242*'2024-25 Middle Calculator'!$O$15/432,3)+ROUND($E242*'2024-25 High Calculator'!$O$15/600,3)</f>
        <v>0.623</v>
      </c>
      <c r="H242" s="33">
        <f>ROUND($C242*'2024-25 Elementary Calculator'!$Q$17/400,3)+ROUND($D242*'2024-25 Middle Calculator'!$O$17/432,3)+ROUND($E242*'2024-25 High Calculator'!$O$17/600,3)</f>
        <v>0.20899999999999999</v>
      </c>
      <c r="I242" s="33">
        <f>ROUND($C242*'2024-25 Elementary Calculator'!$Q$18/400,3)+ROUND($D242*'2024-25 Middle Calculator'!$O$18/432,3)+ROUND($E242*'2024-25 High Calculator'!$O$18/600,3)</f>
        <v>1.796</v>
      </c>
      <c r="J242" s="166">
        <f t="shared" si="26"/>
        <v>6.609</v>
      </c>
      <c r="K242" s="33">
        <f>ROUND($C242*'2024-25 Elementary Calculator'!$Q$23/400,3)+ROUND($D242*'2024-25 Middle Calculator'!$O$23/432,3)+ROUND($E242*'2024-25 High Calculator'!$O$23/600,3)</f>
        <v>0.245</v>
      </c>
      <c r="L242" s="33">
        <f>ROUND($C242*'2024-25 Elementary Calculator'!$Q$22/400,3)+ROUND($D242*'2024-25 Middle Calculator'!$O$22/432,3)+ROUND($E242*'2024-25 High Calculator'!$O$22/600,3)</f>
        <v>0.13700000000000001</v>
      </c>
      <c r="M242" s="166">
        <f t="shared" si="27"/>
        <v>0.38200000000000001</v>
      </c>
      <c r="N242" s="33">
        <f>VLOOKUP($A242,'District Summary'!$A$6:$AH$325,29,FALSE)</f>
        <v>6.7710000000000008</v>
      </c>
      <c r="O242" s="33">
        <f>VLOOKUP($A242,'District Summary'!$A$6:$AH$325,34,FALSE)</f>
        <v>2.7269999999999999</v>
      </c>
      <c r="P242" s="67">
        <f t="shared" si="28"/>
        <v>0.16200000000000081</v>
      </c>
      <c r="Q242" s="67">
        <f t="shared" si="29"/>
        <v>2.3449999999999998</v>
      </c>
      <c r="R242" s="67">
        <f t="shared" si="30"/>
        <v>6.9909999999999997</v>
      </c>
      <c r="S242" s="33">
        <f t="shared" si="31"/>
        <v>9.4980000000000011</v>
      </c>
      <c r="T242" s="67">
        <f t="shared" si="33"/>
        <v>2.5070000000000001</v>
      </c>
      <c r="U242" s="67">
        <f t="shared" si="32"/>
        <v>0</v>
      </c>
      <c r="V242" s="273"/>
      <c r="W242" s="273"/>
    </row>
    <row r="243" spans="1:23" x14ac:dyDescent="0.25">
      <c r="A243" t="s">
        <v>230</v>
      </c>
      <c r="B243" t="s">
        <v>526</v>
      </c>
      <c r="C243" s="25">
        <f>SUMPRODUCT(VLOOKUP($A243,'PSES Enroll Snapshot 25-01-17'!$K$5:$AB$327,{2,3,4,5,6,7,8,9},0))</f>
        <v>990.02</v>
      </c>
      <c r="D243" s="25">
        <f>SUMPRODUCT(VLOOKUP($A243,'PSES Enroll Snapshot 25-01-17'!$K$5:$AB$327,{10,11},0))-VLOOKUP($A243,'PSES Enroll Snapshot 25-01-17'!$K$5:$AB$327,12,0)</f>
        <v>238.11</v>
      </c>
      <c r="E243" s="25">
        <f>SUMPRODUCT(VLOOKUP($A243,'PSES Enroll Snapshot 25-01-17'!$K$5:$AB$327,{13,14},0))-SUMPRODUCT(VLOOKUP($A243,'PSES Enroll Snapshot 25-01-17'!$K$5:$AB$327,{15,16,17},0))</f>
        <v>311.54000000000002</v>
      </c>
      <c r="F243" s="33">
        <f>ROUND($C243*'2024-25 Elementary Calculator'!$Q$13/400,3)+ROUND($D243*'2024-25 Middle Calculator'!$O$13/432,3)+ROUND($E243*'2024-25 High Calculator'!$O$13/600,3)</f>
        <v>4.9820000000000002</v>
      </c>
      <c r="G243" s="33">
        <f>ROUND($C243*'2024-25 Elementary Calculator'!$Q$15/400,3)+ROUND($D243*'2024-25 Middle Calculator'!$O$15/432,3)+ROUND($E243*'2024-25 High Calculator'!$O$15/600,3)</f>
        <v>0.88500000000000001</v>
      </c>
      <c r="H243" s="33">
        <f>ROUND($C243*'2024-25 Elementary Calculator'!$Q$17/400,3)+ROUND($D243*'2024-25 Middle Calculator'!$O$17/432,3)+ROUND($E243*'2024-25 High Calculator'!$O$17/600,3)</f>
        <v>0.29500000000000004</v>
      </c>
      <c r="I243" s="33">
        <f>ROUND($C243*'2024-25 Elementary Calculator'!$Q$18/400,3)+ROUND($D243*'2024-25 Middle Calculator'!$O$18/432,3)+ROUND($E243*'2024-25 High Calculator'!$O$18/600,3)</f>
        <v>2.3649999999999998</v>
      </c>
      <c r="J243" s="166">
        <f t="shared" si="26"/>
        <v>8.5269999999999992</v>
      </c>
      <c r="K243" s="33">
        <f>ROUND($C243*'2024-25 Elementary Calculator'!$Q$23/400,3)+ROUND($D243*'2024-25 Middle Calculator'!$O$23/432,3)+ROUND($E243*'2024-25 High Calculator'!$O$23/600,3)</f>
        <v>0.32</v>
      </c>
      <c r="L243" s="33">
        <f>ROUND($C243*'2024-25 Elementary Calculator'!$Q$22/400,3)+ROUND($D243*'2024-25 Middle Calculator'!$O$22/432,3)+ROUND($E243*'2024-25 High Calculator'!$O$22/600,3)</f>
        <v>0.20399999999999999</v>
      </c>
      <c r="M243" s="166">
        <f t="shared" si="27"/>
        <v>0.52400000000000002</v>
      </c>
      <c r="N243" s="33">
        <f>VLOOKUP($A243,'District Summary'!$A$6:$AH$325,29,FALSE)</f>
        <v>6.9740000000000002</v>
      </c>
      <c r="O243" s="33">
        <f>VLOOKUP($A243,'District Summary'!$A$6:$AH$325,34,FALSE)</f>
        <v>3.8630000000000004</v>
      </c>
      <c r="P243" s="67">
        <f t="shared" si="28"/>
        <v>-1.552999999999999</v>
      </c>
      <c r="Q243" s="67">
        <f t="shared" si="29"/>
        <v>3.3390000000000004</v>
      </c>
      <c r="R243" s="67">
        <f t="shared" si="30"/>
        <v>9.0509999999999984</v>
      </c>
      <c r="S243" s="33">
        <f t="shared" si="31"/>
        <v>10.837</v>
      </c>
      <c r="T243" s="67">
        <f t="shared" si="33"/>
        <v>1.786</v>
      </c>
      <c r="U243" s="67">
        <f t="shared" si="32"/>
        <v>0</v>
      </c>
      <c r="V243" s="273"/>
      <c r="W243" s="273"/>
    </row>
    <row r="244" spans="1:23" x14ac:dyDescent="0.25">
      <c r="A244" t="s">
        <v>231</v>
      </c>
      <c r="B244" t="s">
        <v>527</v>
      </c>
      <c r="C244" s="25">
        <f>SUMPRODUCT(VLOOKUP($A244,'PSES Enroll Snapshot 25-01-17'!$K$5:$AB$327,{2,3,4,5,6,7,8,9},0))</f>
        <v>4906.5499999999993</v>
      </c>
      <c r="D244" s="25">
        <f>SUMPRODUCT(VLOOKUP($A244,'PSES Enroll Snapshot 25-01-17'!$K$5:$AB$327,{10,11},0))-VLOOKUP($A244,'PSES Enroll Snapshot 25-01-17'!$K$5:$AB$327,12,0)</f>
        <v>1168.3900000000001</v>
      </c>
      <c r="E244" s="25">
        <f>SUMPRODUCT(VLOOKUP($A244,'PSES Enroll Snapshot 25-01-17'!$K$5:$AB$327,{13,14},0))-SUMPRODUCT(VLOOKUP($A244,'PSES Enroll Snapshot 25-01-17'!$K$5:$AB$327,{15,16,17},0))</f>
        <v>2317.0299999999997</v>
      </c>
      <c r="F244" s="33">
        <f>ROUND($C244*'2024-25 Elementary Calculator'!$Q$13/400,3)+ROUND($D244*'2024-25 Middle Calculator'!$O$13/432,3)+ROUND($E244*'2024-25 High Calculator'!$O$13/600,3)</f>
        <v>28.558</v>
      </c>
      <c r="G244" s="33">
        <f>ROUND($C244*'2024-25 Elementary Calculator'!$Q$15/400,3)+ROUND($D244*'2024-25 Middle Calculator'!$O$15/432,3)+ROUND($E244*'2024-25 High Calculator'!$O$15/600,3)</f>
        <v>4.5430000000000001</v>
      </c>
      <c r="H244" s="33">
        <f>ROUND($C244*'2024-25 Elementary Calculator'!$Q$17/400,3)+ROUND($D244*'2024-25 Middle Calculator'!$O$17/432,3)+ROUND($E244*'2024-25 High Calculator'!$O$17/600,3)</f>
        <v>1.53</v>
      </c>
      <c r="I244" s="33">
        <f>ROUND($C244*'2024-25 Elementary Calculator'!$Q$18/400,3)+ROUND($D244*'2024-25 Middle Calculator'!$O$18/432,3)+ROUND($E244*'2024-25 High Calculator'!$O$18/600,3)</f>
        <v>12.76</v>
      </c>
      <c r="J244" s="166">
        <f t="shared" si="26"/>
        <v>47.390999999999998</v>
      </c>
      <c r="K244" s="33">
        <f>ROUND($C244*'2024-25 Elementary Calculator'!$Q$23/400,3)+ROUND($D244*'2024-25 Middle Calculator'!$O$23/432,3)+ROUND($E244*'2024-25 High Calculator'!$O$23/600,3)</f>
        <v>1.7629999999999999</v>
      </c>
      <c r="L244" s="33">
        <f>ROUND($C244*'2024-25 Elementary Calculator'!$Q$22/400,3)+ROUND($D244*'2024-25 Middle Calculator'!$O$22/432,3)+ROUND($E244*'2024-25 High Calculator'!$O$22/600,3)</f>
        <v>1.012</v>
      </c>
      <c r="M244" s="166">
        <f t="shared" si="27"/>
        <v>2.7749999999999999</v>
      </c>
      <c r="N244" s="33">
        <f>VLOOKUP($A244,'District Summary'!$A$6:$AH$325,29,FALSE)</f>
        <v>41.585999999999999</v>
      </c>
      <c r="O244" s="33">
        <f>VLOOKUP($A244,'District Summary'!$A$6:$AH$325,34,FALSE)</f>
        <v>10.193</v>
      </c>
      <c r="P244" s="67">
        <f t="shared" si="28"/>
        <v>-5.8049999999999997</v>
      </c>
      <c r="Q244" s="67">
        <f t="shared" si="29"/>
        <v>7.4179999999999993</v>
      </c>
      <c r="R244" s="67">
        <f t="shared" si="30"/>
        <v>50.165999999999997</v>
      </c>
      <c r="S244" s="33">
        <f t="shared" si="31"/>
        <v>51.778999999999996</v>
      </c>
      <c r="T244" s="67">
        <f t="shared" si="33"/>
        <v>1.613</v>
      </c>
      <c r="U244" s="67">
        <f t="shared" si="32"/>
        <v>0</v>
      </c>
      <c r="V244" s="273"/>
      <c r="W244" s="273"/>
    </row>
    <row r="245" spans="1:23" x14ac:dyDescent="0.25">
      <c r="A245" t="s">
        <v>232</v>
      </c>
      <c r="B245" t="s">
        <v>528</v>
      </c>
      <c r="C245" s="25">
        <f>SUMPRODUCT(VLOOKUP($A245,'PSES Enroll Snapshot 25-01-17'!$K$5:$AB$327,{2,3,4,5,6,7,8,9},0))</f>
        <v>7344.24</v>
      </c>
      <c r="D245" s="25">
        <f>SUMPRODUCT(VLOOKUP($A245,'PSES Enroll Snapshot 25-01-17'!$K$5:$AB$327,{10,11},0))-VLOOKUP($A245,'PSES Enroll Snapshot 25-01-17'!$K$5:$AB$327,12,0)</f>
        <v>1772.2599999999998</v>
      </c>
      <c r="E245" s="25">
        <f>SUMPRODUCT(VLOOKUP($A245,'PSES Enroll Snapshot 25-01-17'!$K$5:$AB$327,{13,14},0))-SUMPRODUCT(VLOOKUP($A245,'PSES Enroll Snapshot 25-01-17'!$K$5:$AB$327,{15,16,17},0))</f>
        <v>3450.33</v>
      </c>
      <c r="F245" s="33">
        <f>ROUND($C245*'2024-25 Elementary Calculator'!$Q$13/400,3)+ROUND($D245*'2024-25 Middle Calculator'!$O$13/432,3)+ROUND($E245*'2024-25 High Calculator'!$O$13/600,3)</f>
        <v>42.747999999999998</v>
      </c>
      <c r="G245" s="33">
        <f>ROUND($C245*'2024-25 Elementary Calculator'!$Q$15/400,3)+ROUND($D245*'2024-25 Middle Calculator'!$O$15/432,3)+ROUND($E245*'2024-25 High Calculator'!$O$15/600,3)</f>
        <v>6.8010000000000002</v>
      </c>
      <c r="H245" s="33">
        <f>ROUND($C245*'2024-25 Elementary Calculator'!$Q$17/400,3)+ROUND($D245*'2024-25 Middle Calculator'!$O$17/432,3)+ROUND($E245*'2024-25 High Calculator'!$O$17/600,3)</f>
        <v>2.29</v>
      </c>
      <c r="I245" s="33">
        <f>ROUND($C245*'2024-25 Elementary Calculator'!$Q$18/400,3)+ROUND($D245*'2024-25 Middle Calculator'!$O$18/432,3)+ROUND($E245*'2024-25 High Calculator'!$O$18/600,3)</f>
        <v>19.122</v>
      </c>
      <c r="J245" s="166">
        <f t="shared" si="26"/>
        <v>70.960999999999999</v>
      </c>
      <c r="K245" s="33">
        <f>ROUND($C245*'2024-25 Elementary Calculator'!$Q$23/400,3)+ROUND($D245*'2024-25 Middle Calculator'!$O$23/432,3)+ROUND($E245*'2024-25 High Calculator'!$O$23/600,3)</f>
        <v>2.6379999999999999</v>
      </c>
      <c r="L245" s="33">
        <f>ROUND($C245*'2024-25 Elementary Calculator'!$Q$22/400,3)+ROUND($D245*'2024-25 Middle Calculator'!$O$22/432,3)+ROUND($E245*'2024-25 High Calculator'!$O$22/600,3)</f>
        <v>1.5149999999999999</v>
      </c>
      <c r="M245" s="166">
        <f t="shared" si="27"/>
        <v>4.1529999999999996</v>
      </c>
      <c r="N245" s="33">
        <f>VLOOKUP($A245,'District Summary'!$A$6:$AH$325,29,FALSE)</f>
        <v>73.219000000000008</v>
      </c>
      <c r="O245" s="33">
        <f>VLOOKUP($A245,'District Summary'!$A$6:$AH$325,34,FALSE)</f>
        <v>44.652000000000001</v>
      </c>
      <c r="P245" s="67">
        <f t="shared" si="28"/>
        <v>2.2580000000000098</v>
      </c>
      <c r="Q245" s="67">
        <f t="shared" si="29"/>
        <v>40.499000000000002</v>
      </c>
      <c r="R245" s="67">
        <f t="shared" si="30"/>
        <v>75.114000000000004</v>
      </c>
      <c r="S245" s="33">
        <f t="shared" si="31"/>
        <v>117.87100000000001</v>
      </c>
      <c r="T245" s="67">
        <f t="shared" si="33"/>
        <v>42.756999999999998</v>
      </c>
      <c r="U245" s="67">
        <f t="shared" si="32"/>
        <v>0</v>
      </c>
      <c r="V245" s="273"/>
      <c r="W245" s="273"/>
    </row>
    <row r="246" spans="1:23" x14ac:dyDescent="0.25">
      <c r="A246" t="s">
        <v>233</v>
      </c>
      <c r="B246" t="s">
        <v>529</v>
      </c>
      <c r="C246" s="25">
        <f>SUMPRODUCT(VLOOKUP($A246,'PSES Enroll Snapshot 25-01-17'!$K$5:$AB$327,{2,3,4,5,6,7,8,9},0))</f>
        <v>454.2</v>
      </c>
      <c r="D246" s="25">
        <f>SUMPRODUCT(VLOOKUP($A246,'PSES Enroll Snapshot 25-01-17'!$K$5:$AB$327,{10,11},0))-VLOOKUP($A246,'PSES Enroll Snapshot 25-01-17'!$K$5:$AB$327,12,0)</f>
        <v>102.64000000000001</v>
      </c>
      <c r="E246" s="25">
        <f>SUMPRODUCT(VLOOKUP($A246,'PSES Enroll Snapshot 25-01-17'!$K$5:$AB$327,{13,14},0))-SUMPRODUCT(VLOOKUP($A246,'PSES Enroll Snapshot 25-01-17'!$K$5:$AB$327,{15,16,17},0))</f>
        <v>159.61000000000001</v>
      </c>
      <c r="F246" s="33">
        <f>ROUND($C246*'2024-25 Elementary Calculator'!$Q$13/400,3)+ROUND($D246*'2024-25 Middle Calculator'!$O$13/432,3)+ROUND($E246*'2024-25 High Calculator'!$O$13/600,3)</f>
        <v>2.3439999999999999</v>
      </c>
      <c r="G246" s="33">
        <f>ROUND($C246*'2024-25 Elementary Calculator'!$Q$15/400,3)+ROUND($D246*'2024-25 Middle Calculator'!$O$15/432,3)+ROUND($E246*'2024-25 High Calculator'!$O$15/600,3)</f>
        <v>0.40800000000000003</v>
      </c>
      <c r="H246" s="33">
        <f>ROUND($C246*'2024-25 Elementary Calculator'!$Q$17/400,3)+ROUND($D246*'2024-25 Middle Calculator'!$O$17/432,3)+ROUND($E246*'2024-25 High Calculator'!$O$17/600,3)</f>
        <v>0.13700000000000001</v>
      </c>
      <c r="I246" s="33">
        <f>ROUND($C246*'2024-25 Elementary Calculator'!$Q$18/400,3)+ROUND($D246*'2024-25 Middle Calculator'!$O$18/432,3)+ROUND($E246*'2024-25 High Calculator'!$O$18/600,3)</f>
        <v>1.0940000000000001</v>
      </c>
      <c r="J246" s="166">
        <f t="shared" si="26"/>
        <v>3.9829999999999997</v>
      </c>
      <c r="K246" s="33">
        <f>ROUND($C246*'2024-25 Elementary Calculator'!$Q$23/400,3)+ROUND($D246*'2024-25 Middle Calculator'!$O$23/432,3)+ROUND($E246*'2024-25 High Calculator'!$O$23/600,3)</f>
        <v>0.15</v>
      </c>
      <c r="L246" s="33">
        <f>ROUND($C246*'2024-25 Elementary Calculator'!$Q$22/400,3)+ROUND($D246*'2024-25 Middle Calculator'!$O$22/432,3)+ROUND($E246*'2024-25 High Calculator'!$O$22/600,3)</f>
        <v>9.4E-2</v>
      </c>
      <c r="M246" s="166">
        <f t="shared" si="27"/>
        <v>0.24399999999999999</v>
      </c>
      <c r="N246" s="33">
        <f>VLOOKUP($A246,'District Summary'!$A$6:$AH$325,29,FALSE)</f>
        <v>3.4660000000000002</v>
      </c>
      <c r="O246" s="33">
        <f>VLOOKUP($A246,'District Summary'!$A$6:$AH$325,34,FALSE)</f>
        <v>0.8</v>
      </c>
      <c r="P246" s="67">
        <f t="shared" si="28"/>
        <v>-0.51699999999999946</v>
      </c>
      <c r="Q246" s="67">
        <f t="shared" si="29"/>
        <v>0.55600000000000005</v>
      </c>
      <c r="R246" s="67">
        <f t="shared" si="30"/>
        <v>4.2269999999999994</v>
      </c>
      <c r="S246" s="33">
        <f t="shared" si="31"/>
        <v>4.266</v>
      </c>
      <c r="T246" s="67">
        <f t="shared" si="33"/>
        <v>3.9E-2</v>
      </c>
      <c r="U246" s="67">
        <f t="shared" si="32"/>
        <v>0</v>
      </c>
      <c r="V246" s="273"/>
      <c r="W246" s="273"/>
    </row>
    <row r="247" spans="1:23" x14ac:dyDescent="0.25">
      <c r="A247" t="s">
        <v>234</v>
      </c>
      <c r="B247" t="s">
        <v>530</v>
      </c>
      <c r="C247" s="25">
        <f>SUMPRODUCT(VLOOKUP($A247,'PSES Enroll Snapshot 25-01-17'!$K$5:$AB$327,{2,3,4,5,6,7,8,9},0))</f>
        <v>2846.94</v>
      </c>
      <c r="D247" s="25">
        <f>SUMPRODUCT(VLOOKUP($A247,'PSES Enroll Snapshot 25-01-17'!$K$5:$AB$327,{10,11},0))-VLOOKUP($A247,'PSES Enroll Snapshot 25-01-17'!$K$5:$AB$327,12,0)</f>
        <v>714.41000000000008</v>
      </c>
      <c r="E247" s="25">
        <f>SUMPRODUCT(VLOOKUP($A247,'PSES Enroll Snapshot 25-01-17'!$K$5:$AB$327,{13,14},0))-SUMPRODUCT(VLOOKUP($A247,'PSES Enroll Snapshot 25-01-17'!$K$5:$AB$327,{15,16,17},0))</f>
        <v>1006.1500000000001</v>
      </c>
      <c r="F247" s="33">
        <f>ROUND($C247*'2024-25 Elementary Calculator'!$Q$13/400,3)+ROUND($D247*'2024-25 Middle Calculator'!$O$13/432,3)+ROUND($E247*'2024-25 High Calculator'!$O$13/600,3)</f>
        <v>15.001999999999999</v>
      </c>
      <c r="G247" s="33">
        <f>ROUND($C247*'2024-25 Elementary Calculator'!$Q$15/400,3)+ROUND($D247*'2024-25 Middle Calculator'!$O$15/432,3)+ROUND($E247*'2024-25 High Calculator'!$O$15/600,3)</f>
        <v>2.5720000000000001</v>
      </c>
      <c r="H247" s="33">
        <f>ROUND($C247*'2024-25 Elementary Calculator'!$Q$17/400,3)+ROUND($D247*'2024-25 Middle Calculator'!$O$17/432,3)+ROUND($E247*'2024-25 High Calculator'!$O$17/600,3)</f>
        <v>0.86199999999999999</v>
      </c>
      <c r="I247" s="33">
        <f>ROUND($C247*'2024-25 Elementary Calculator'!$Q$18/400,3)+ROUND($D247*'2024-25 Middle Calculator'!$O$18/432,3)+ROUND($E247*'2024-25 High Calculator'!$O$18/600,3)</f>
        <v>7.0149999999999997</v>
      </c>
      <c r="J247" s="166">
        <f t="shared" si="26"/>
        <v>25.450999999999997</v>
      </c>
      <c r="K247" s="33">
        <f>ROUND($C247*'2024-25 Elementary Calculator'!$Q$23/400,3)+ROUND($D247*'2024-25 Middle Calculator'!$O$23/432,3)+ROUND($E247*'2024-25 High Calculator'!$O$23/600,3)</f>
        <v>0.95000000000000007</v>
      </c>
      <c r="L247" s="33">
        <f>ROUND($C247*'2024-25 Elementary Calculator'!$Q$22/400,3)+ROUND($D247*'2024-25 Middle Calculator'!$O$22/432,3)+ROUND($E247*'2024-25 High Calculator'!$O$22/600,3)</f>
        <v>0.58699999999999997</v>
      </c>
      <c r="M247" s="166">
        <f t="shared" si="27"/>
        <v>1.5369999999999999</v>
      </c>
      <c r="N247" s="33">
        <f>VLOOKUP($A247,'District Summary'!$A$6:$AH$325,29,FALSE)</f>
        <v>25.324000000000002</v>
      </c>
      <c r="O247" s="33">
        <f>VLOOKUP($A247,'District Summary'!$A$6:$AH$325,34,FALSE)</f>
        <v>13.384</v>
      </c>
      <c r="P247" s="67">
        <f t="shared" si="28"/>
        <v>-0.12699999999999534</v>
      </c>
      <c r="Q247" s="67">
        <f t="shared" si="29"/>
        <v>11.847000000000001</v>
      </c>
      <c r="R247" s="67">
        <f t="shared" si="30"/>
        <v>26.987999999999996</v>
      </c>
      <c r="S247" s="33">
        <f t="shared" si="31"/>
        <v>38.707999999999998</v>
      </c>
      <c r="T247" s="67">
        <f t="shared" si="33"/>
        <v>11.72</v>
      </c>
      <c r="U247" s="67">
        <f t="shared" si="32"/>
        <v>0</v>
      </c>
      <c r="V247" s="273"/>
      <c r="W247" s="273"/>
    </row>
    <row r="248" spans="1:23" x14ac:dyDescent="0.25">
      <c r="A248" t="s">
        <v>235</v>
      </c>
      <c r="B248" t="s">
        <v>531</v>
      </c>
      <c r="C248" s="25">
        <f>SUMPRODUCT(VLOOKUP($A248,'PSES Enroll Snapshot 25-01-17'!$K$5:$AB$327,{2,3,4,5,6,7,8,9},0))</f>
        <v>1753.7</v>
      </c>
      <c r="D248" s="25">
        <f>SUMPRODUCT(VLOOKUP($A248,'PSES Enroll Snapshot 25-01-17'!$K$5:$AB$327,{10,11},0))-VLOOKUP($A248,'PSES Enroll Snapshot 25-01-17'!$K$5:$AB$327,12,0)</f>
        <v>432.14</v>
      </c>
      <c r="E248" s="25">
        <f>SUMPRODUCT(VLOOKUP($A248,'PSES Enroll Snapshot 25-01-17'!$K$5:$AB$327,{13,14},0))-SUMPRODUCT(VLOOKUP($A248,'PSES Enroll Snapshot 25-01-17'!$K$5:$AB$327,{15,16,17},0))</f>
        <v>640.32999999999993</v>
      </c>
      <c r="F248" s="33">
        <f>ROUND($C248*'2024-25 Elementary Calculator'!$Q$13/400,3)+ROUND($D248*'2024-25 Middle Calculator'!$O$13/432,3)+ROUND($E248*'2024-25 High Calculator'!$O$13/600,3)</f>
        <v>9.3140000000000001</v>
      </c>
      <c r="G248" s="33">
        <f>ROUND($C248*'2024-25 Elementary Calculator'!$Q$15/400,3)+ROUND($D248*'2024-25 Middle Calculator'!$O$15/432,3)+ROUND($E248*'2024-25 High Calculator'!$O$15/600,3)</f>
        <v>1.5880000000000001</v>
      </c>
      <c r="H248" s="33">
        <f>ROUND($C248*'2024-25 Elementary Calculator'!$Q$17/400,3)+ROUND($D248*'2024-25 Middle Calculator'!$O$17/432,3)+ROUND($E248*'2024-25 High Calculator'!$O$17/600,3)</f>
        <v>0.53200000000000003</v>
      </c>
      <c r="I248" s="33">
        <f>ROUND($C248*'2024-25 Elementary Calculator'!$Q$18/400,3)+ROUND($D248*'2024-25 Middle Calculator'!$O$18/432,3)+ROUND($E248*'2024-25 High Calculator'!$O$18/600,3)</f>
        <v>4.3319999999999999</v>
      </c>
      <c r="J248" s="166">
        <f t="shared" si="26"/>
        <v>15.766000000000002</v>
      </c>
      <c r="K248" s="33">
        <f>ROUND($C248*'2024-25 Elementary Calculator'!$Q$23/400,3)+ROUND($D248*'2024-25 Middle Calculator'!$O$23/432,3)+ROUND($E248*'2024-25 High Calculator'!$O$23/600,3)</f>
        <v>0.58799999999999997</v>
      </c>
      <c r="L248" s="33">
        <f>ROUND($C248*'2024-25 Elementary Calculator'!$Q$22/400,3)+ROUND($D248*'2024-25 Middle Calculator'!$O$22/432,3)+ROUND($E248*'2024-25 High Calculator'!$O$22/600,3)</f>
        <v>0.36199999999999999</v>
      </c>
      <c r="M248" s="166">
        <f t="shared" si="27"/>
        <v>0.95</v>
      </c>
      <c r="N248" s="33">
        <f>VLOOKUP($A248,'District Summary'!$A$6:$AH$325,29,FALSE)</f>
        <v>16.476999999999997</v>
      </c>
      <c r="O248" s="33">
        <f>VLOOKUP($A248,'District Summary'!$A$6:$AH$325,34,FALSE)</f>
        <v>15.677000000000001</v>
      </c>
      <c r="P248" s="67">
        <f t="shared" si="28"/>
        <v>0.71099999999999497</v>
      </c>
      <c r="Q248" s="67">
        <f t="shared" si="29"/>
        <v>14.727000000000002</v>
      </c>
      <c r="R248" s="67">
        <f t="shared" si="30"/>
        <v>16.716000000000001</v>
      </c>
      <c r="S248" s="33">
        <f t="shared" si="31"/>
        <v>32.153999999999996</v>
      </c>
      <c r="T248" s="67">
        <f t="shared" si="33"/>
        <v>15.438000000000001</v>
      </c>
      <c r="U248" s="67">
        <f t="shared" si="32"/>
        <v>0</v>
      </c>
      <c r="V248" s="273"/>
      <c r="W248" s="273"/>
    </row>
    <row r="249" spans="1:23" x14ac:dyDescent="0.25">
      <c r="A249" t="s">
        <v>236</v>
      </c>
      <c r="B249" t="s">
        <v>532</v>
      </c>
      <c r="C249" s="25">
        <f>SUMPRODUCT(VLOOKUP($A249,'PSES Enroll Snapshot 25-01-17'!$K$5:$AB$327,{2,3,4,5,6,7,8,9},0))</f>
        <v>342.15999999999997</v>
      </c>
      <c r="D249" s="25">
        <f>SUMPRODUCT(VLOOKUP($A249,'PSES Enroll Snapshot 25-01-17'!$K$5:$AB$327,{10,11},0))-VLOOKUP($A249,'PSES Enroll Snapshot 25-01-17'!$K$5:$AB$327,12,0)</f>
        <v>93</v>
      </c>
      <c r="E249" s="25">
        <f>SUMPRODUCT(VLOOKUP($A249,'PSES Enroll Snapshot 25-01-17'!$K$5:$AB$327,{13,14},0))-SUMPRODUCT(VLOOKUP($A249,'PSES Enroll Snapshot 25-01-17'!$K$5:$AB$327,{15,16,17},0))</f>
        <v>116.72000000000001</v>
      </c>
      <c r="F249" s="33">
        <f>ROUND($C249*'2024-25 Elementary Calculator'!$Q$13/400,3)+ROUND($D249*'2024-25 Middle Calculator'!$O$13/432,3)+ROUND($E249*'2024-25 High Calculator'!$O$13/600,3)</f>
        <v>1.8089999999999999</v>
      </c>
      <c r="G249" s="33">
        <f>ROUND($C249*'2024-25 Elementary Calculator'!$Q$15/400,3)+ROUND($D249*'2024-25 Middle Calculator'!$O$15/432,3)+ROUND($E249*'2024-25 High Calculator'!$O$15/600,3)</f>
        <v>0.31000000000000005</v>
      </c>
      <c r="H249" s="33">
        <f>ROUND($C249*'2024-25 Elementary Calculator'!$Q$17/400,3)+ROUND($D249*'2024-25 Middle Calculator'!$O$17/432,3)+ROUND($E249*'2024-25 High Calculator'!$O$17/600,3)</f>
        <v>0.104</v>
      </c>
      <c r="I249" s="33">
        <f>ROUND($C249*'2024-25 Elementary Calculator'!$Q$18/400,3)+ROUND($D249*'2024-25 Middle Calculator'!$O$18/432,3)+ROUND($E249*'2024-25 High Calculator'!$O$18/600,3)</f>
        <v>0.85100000000000009</v>
      </c>
      <c r="J249" s="166">
        <f t="shared" si="26"/>
        <v>3.0739999999999998</v>
      </c>
      <c r="K249" s="33">
        <f>ROUND($C249*'2024-25 Elementary Calculator'!$Q$23/400,3)+ROUND($D249*'2024-25 Middle Calculator'!$O$23/432,3)+ROUND($E249*'2024-25 High Calculator'!$O$23/600,3)</f>
        <v>0.115</v>
      </c>
      <c r="L249" s="33">
        <f>ROUND($C249*'2024-25 Elementary Calculator'!$Q$22/400,3)+ROUND($D249*'2024-25 Middle Calculator'!$O$22/432,3)+ROUND($E249*'2024-25 High Calculator'!$O$22/600,3)</f>
        <v>7.0999999999999994E-2</v>
      </c>
      <c r="M249" s="166">
        <f t="shared" si="27"/>
        <v>0.186</v>
      </c>
      <c r="N249" s="33">
        <f>VLOOKUP($A249,'District Summary'!$A$6:$AH$325,29,FALSE)</f>
        <v>3.4500000000000006</v>
      </c>
      <c r="O249" s="33">
        <f>VLOOKUP($A249,'District Summary'!$A$6:$AH$325,34,FALSE)</f>
        <v>1.1659999999999999</v>
      </c>
      <c r="P249" s="67">
        <f t="shared" si="28"/>
        <v>0.37600000000000078</v>
      </c>
      <c r="Q249" s="67">
        <f t="shared" si="29"/>
        <v>0.98</v>
      </c>
      <c r="R249" s="67">
        <f t="shared" si="30"/>
        <v>3.26</v>
      </c>
      <c r="S249" s="33">
        <f t="shared" si="31"/>
        <v>4.6160000000000005</v>
      </c>
      <c r="T249" s="67">
        <f t="shared" si="33"/>
        <v>1.3560000000000001</v>
      </c>
      <c r="U249" s="67">
        <f t="shared" si="32"/>
        <v>0</v>
      </c>
      <c r="V249" s="273"/>
      <c r="W249" s="273"/>
    </row>
    <row r="250" spans="1:23" x14ac:dyDescent="0.25">
      <c r="A250" t="s">
        <v>237</v>
      </c>
      <c r="B250" t="s">
        <v>533</v>
      </c>
      <c r="C250" s="25">
        <f>SUMPRODUCT(VLOOKUP($A250,'PSES Enroll Snapshot 25-01-17'!$K$5:$AB$327,{2,3,4,5,6,7,8,9},0))</f>
        <v>1423.5</v>
      </c>
      <c r="D250" s="25">
        <f>SUMPRODUCT(VLOOKUP($A250,'PSES Enroll Snapshot 25-01-17'!$K$5:$AB$327,{10,11},0))-VLOOKUP($A250,'PSES Enroll Snapshot 25-01-17'!$K$5:$AB$327,12,0)</f>
        <v>253.59999999999997</v>
      </c>
      <c r="E250" s="25">
        <f>SUMPRODUCT(VLOOKUP($A250,'PSES Enroll Snapshot 25-01-17'!$K$5:$AB$327,{13,14},0))-SUMPRODUCT(VLOOKUP($A250,'PSES Enroll Snapshot 25-01-17'!$K$5:$AB$327,{15,16,17},0))</f>
        <v>616.29</v>
      </c>
      <c r="F250" s="33">
        <f>ROUND($C250*'2024-25 Elementary Calculator'!$Q$13/400,3)+ROUND($D250*'2024-25 Middle Calculator'!$O$13/432,3)+ROUND($E250*'2024-25 High Calculator'!$O$13/600,3)</f>
        <v>7.6629999999999994</v>
      </c>
      <c r="G250" s="33">
        <f>ROUND($C250*'2024-25 Elementary Calculator'!$Q$15/400,3)+ROUND($D250*'2024-25 Middle Calculator'!$O$15/432,3)+ROUND($E250*'2024-25 High Calculator'!$O$15/600,3)</f>
        <v>1.2890000000000001</v>
      </c>
      <c r="H250" s="33">
        <f>ROUND($C250*'2024-25 Elementary Calculator'!$Q$17/400,3)+ROUND($D250*'2024-25 Middle Calculator'!$O$17/432,3)+ROUND($E250*'2024-25 High Calculator'!$O$17/600,3)</f>
        <v>0.434</v>
      </c>
      <c r="I250" s="33">
        <f>ROUND($C250*'2024-25 Elementary Calculator'!$Q$18/400,3)+ROUND($D250*'2024-25 Middle Calculator'!$O$18/432,3)+ROUND($E250*'2024-25 High Calculator'!$O$18/600,3)</f>
        <v>3.4489999999999998</v>
      </c>
      <c r="J250" s="166">
        <f t="shared" si="26"/>
        <v>12.834999999999999</v>
      </c>
      <c r="K250" s="33">
        <f>ROUND($C250*'2024-25 Elementary Calculator'!$Q$23/400,3)+ROUND($D250*'2024-25 Middle Calculator'!$O$23/432,3)+ROUND($E250*'2024-25 High Calculator'!$O$23/600,3)</f>
        <v>0.48</v>
      </c>
      <c r="L250" s="33">
        <f>ROUND($C250*'2024-25 Elementary Calculator'!$Q$22/400,3)+ROUND($D250*'2024-25 Middle Calculator'!$O$22/432,3)+ROUND($E250*'2024-25 High Calculator'!$O$22/600,3)</f>
        <v>0.29399999999999998</v>
      </c>
      <c r="M250" s="166">
        <f t="shared" si="27"/>
        <v>0.77400000000000002</v>
      </c>
      <c r="N250" s="33">
        <f>VLOOKUP($A250,'District Summary'!$A$6:$AH$325,29,FALSE)</f>
        <v>13.401</v>
      </c>
      <c r="O250" s="33">
        <f>VLOOKUP($A250,'District Summary'!$A$6:$AH$325,34,FALSE)</f>
        <v>3.423</v>
      </c>
      <c r="P250" s="67">
        <f t="shared" si="28"/>
        <v>0.56600000000000072</v>
      </c>
      <c r="Q250" s="67">
        <f t="shared" si="29"/>
        <v>2.649</v>
      </c>
      <c r="R250" s="67">
        <f t="shared" si="30"/>
        <v>13.608999999999998</v>
      </c>
      <c r="S250" s="33">
        <f t="shared" si="31"/>
        <v>16.823999999999998</v>
      </c>
      <c r="T250" s="67">
        <f t="shared" si="33"/>
        <v>3.2149999999999999</v>
      </c>
      <c r="U250" s="67">
        <f t="shared" si="32"/>
        <v>0</v>
      </c>
      <c r="V250" s="273"/>
      <c r="W250" s="273"/>
    </row>
    <row r="251" spans="1:23" x14ac:dyDescent="0.25">
      <c r="A251" t="s">
        <v>238</v>
      </c>
      <c r="B251" t="s">
        <v>534</v>
      </c>
      <c r="C251" s="25">
        <f>SUMPRODUCT(VLOOKUP($A251,'PSES Enroll Snapshot 25-01-17'!$K$5:$AB$327,{2,3,4,5,6,7,8,9},0))</f>
        <v>1014.72</v>
      </c>
      <c r="D251" s="25">
        <f>SUMPRODUCT(VLOOKUP($A251,'PSES Enroll Snapshot 25-01-17'!$K$5:$AB$327,{10,11},0))-VLOOKUP($A251,'PSES Enroll Snapshot 25-01-17'!$K$5:$AB$327,12,0)</f>
        <v>345.69</v>
      </c>
      <c r="E251" s="25">
        <f>SUMPRODUCT(VLOOKUP($A251,'PSES Enroll Snapshot 25-01-17'!$K$5:$AB$327,{13,14},0))-SUMPRODUCT(VLOOKUP($A251,'PSES Enroll Snapshot 25-01-17'!$K$5:$AB$327,{15,16,17},0))</f>
        <v>428.76000000000005</v>
      </c>
      <c r="F251" s="33">
        <f>ROUND($C251*'2024-25 Elementary Calculator'!$Q$13/400,3)+ROUND($D251*'2024-25 Middle Calculator'!$O$13/432,3)+ROUND($E251*'2024-25 High Calculator'!$O$13/600,3)</f>
        <v>6.0640000000000001</v>
      </c>
      <c r="G251" s="33">
        <f>ROUND($C251*'2024-25 Elementary Calculator'!$Q$15/400,3)+ROUND($D251*'2024-25 Middle Calculator'!$O$15/432,3)+ROUND($E251*'2024-25 High Calculator'!$O$15/600,3)</f>
        <v>0.95</v>
      </c>
      <c r="H251" s="33">
        <f>ROUND($C251*'2024-25 Elementary Calculator'!$Q$17/400,3)+ROUND($D251*'2024-25 Middle Calculator'!$O$17/432,3)+ROUND($E251*'2024-25 High Calculator'!$O$17/600,3)</f>
        <v>0.31800000000000006</v>
      </c>
      <c r="I251" s="33">
        <f>ROUND($C251*'2024-25 Elementary Calculator'!$Q$18/400,3)+ROUND($D251*'2024-25 Middle Calculator'!$O$18/432,3)+ROUND($E251*'2024-25 High Calculator'!$O$18/600,3)</f>
        <v>2.7839999999999998</v>
      </c>
      <c r="J251" s="166">
        <f t="shared" si="26"/>
        <v>10.116</v>
      </c>
      <c r="K251" s="33">
        <f>ROUND($C251*'2024-25 Elementary Calculator'!$Q$23/400,3)+ROUND($D251*'2024-25 Middle Calculator'!$O$23/432,3)+ROUND($E251*'2024-25 High Calculator'!$O$23/600,3)</f>
        <v>0.375</v>
      </c>
      <c r="L251" s="33">
        <f>ROUND($C251*'2024-25 Elementary Calculator'!$Q$22/400,3)+ROUND($D251*'2024-25 Middle Calculator'!$O$22/432,3)+ROUND($E251*'2024-25 High Calculator'!$O$22/600,3)</f>
        <v>0.20899999999999999</v>
      </c>
      <c r="M251" s="166">
        <f t="shared" si="27"/>
        <v>0.58399999999999996</v>
      </c>
      <c r="N251" s="33">
        <f>VLOOKUP($A251,'District Summary'!$A$6:$AH$325,29,FALSE)</f>
        <v>7.8439999999999994</v>
      </c>
      <c r="O251" s="33">
        <f>VLOOKUP($A251,'District Summary'!$A$6:$AH$325,34,FALSE)</f>
        <v>2.7309999999999999</v>
      </c>
      <c r="P251" s="67">
        <f t="shared" si="28"/>
        <v>-2.2720000000000002</v>
      </c>
      <c r="Q251" s="67">
        <f t="shared" si="29"/>
        <v>2.1469999999999998</v>
      </c>
      <c r="R251" s="67">
        <f t="shared" si="30"/>
        <v>10.7</v>
      </c>
      <c r="S251" s="33">
        <f t="shared" si="31"/>
        <v>10.574999999999999</v>
      </c>
      <c r="T251" s="67">
        <f t="shared" si="33"/>
        <v>-0.125</v>
      </c>
      <c r="U251" s="67">
        <f t="shared" si="32"/>
        <v>-0.125</v>
      </c>
      <c r="V251" s="273"/>
      <c r="W251" s="273"/>
    </row>
    <row r="252" spans="1:23" x14ac:dyDescent="0.25">
      <c r="A252" t="s">
        <v>239</v>
      </c>
      <c r="B252" t="s">
        <v>535</v>
      </c>
      <c r="C252" s="25">
        <f>SUMPRODUCT(VLOOKUP($A252,'PSES Enroll Snapshot 25-01-17'!$K$5:$AB$327,{2,3,4,5,6,7,8,9},0))</f>
        <v>712.48</v>
      </c>
      <c r="D252" s="25">
        <f>SUMPRODUCT(VLOOKUP($A252,'PSES Enroll Snapshot 25-01-17'!$K$5:$AB$327,{10,11},0))-VLOOKUP($A252,'PSES Enroll Snapshot 25-01-17'!$K$5:$AB$327,12,0)</f>
        <v>172.97</v>
      </c>
      <c r="E252" s="25">
        <f>SUMPRODUCT(VLOOKUP($A252,'PSES Enroll Snapshot 25-01-17'!$K$5:$AB$327,{13,14},0))-SUMPRODUCT(VLOOKUP($A252,'PSES Enroll Snapshot 25-01-17'!$K$5:$AB$327,{15,16,17},0))</f>
        <v>255.74</v>
      </c>
      <c r="F252" s="33">
        <f>ROUND($C252*'2024-25 Elementary Calculator'!$Q$13/400,3)+ROUND($D252*'2024-25 Middle Calculator'!$O$13/432,3)+ROUND($E252*'2024-25 High Calculator'!$O$13/600,3)</f>
        <v>3.7509999999999999</v>
      </c>
      <c r="G252" s="33">
        <f>ROUND($C252*'2024-25 Elementary Calculator'!$Q$15/400,3)+ROUND($D252*'2024-25 Middle Calculator'!$O$15/432,3)+ROUND($E252*'2024-25 High Calculator'!$O$15/600,3)</f>
        <v>0.64300000000000013</v>
      </c>
      <c r="H252" s="33">
        <f>ROUND($C252*'2024-25 Elementary Calculator'!$Q$17/400,3)+ROUND($D252*'2024-25 Middle Calculator'!$O$17/432,3)+ROUND($E252*'2024-25 High Calculator'!$O$17/600,3)</f>
        <v>0.216</v>
      </c>
      <c r="I252" s="33">
        <f>ROUND($C252*'2024-25 Elementary Calculator'!$Q$18/400,3)+ROUND($D252*'2024-25 Middle Calculator'!$O$18/432,3)+ROUND($E252*'2024-25 High Calculator'!$O$18/600,3)</f>
        <v>1.7490000000000001</v>
      </c>
      <c r="J252" s="166">
        <f t="shared" si="26"/>
        <v>6.359</v>
      </c>
      <c r="K252" s="33">
        <f>ROUND($C252*'2024-25 Elementary Calculator'!$Q$23/400,3)+ROUND($D252*'2024-25 Middle Calculator'!$O$23/432,3)+ROUND($E252*'2024-25 High Calculator'!$O$23/600,3)</f>
        <v>0.23799999999999999</v>
      </c>
      <c r="L252" s="33">
        <f>ROUND($C252*'2024-25 Elementary Calculator'!$Q$22/400,3)+ROUND($D252*'2024-25 Middle Calculator'!$O$22/432,3)+ROUND($E252*'2024-25 High Calculator'!$O$22/600,3)</f>
        <v>0.14699999999999999</v>
      </c>
      <c r="M252" s="166">
        <f t="shared" si="27"/>
        <v>0.38500000000000001</v>
      </c>
      <c r="N252" s="33">
        <f>VLOOKUP($A252,'District Summary'!$A$6:$AH$325,29,FALSE)</f>
        <v>6.3300000000000018</v>
      </c>
      <c r="O252" s="33">
        <f>VLOOKUP($A252,'District Summary'!$A$6:$AH$325,34,FALSE)</f>
        <v>6.4459999999999997</v>
      </c>
      <c r="P252" s="67">
        <f t="shared" si="28"/>
        <v>-2.8999999999998138E-2</v>
      </c>
      <c r="Q252" s="67">
        <f t="shared" si="29"/>
        <v>6.0609999999999999</v>
      </c>
      <c r="R252" s="67">
        <f t="shared" si="30"/>
        <v>6.7439999999999998</v>
      </c>
      <c r="S252" s="33">
        <f t="shared" si="31"/>
        <v>12.776000000000002</v>
      </c>
      <c r="T252" s="67">
        <f t="shared" si="33"/>
        <v>6.032</v>
      </c>
      <c r="U252" s="67">
        <f t="shared" si="32"/>
        <v>0</v>
      </c>
      <c r="V252" s="273"/>
      <c r="W252" s="273"/>
    </row>
    <row r="253" spans="1:23" x14ac:dyDescent="0.25">
      <c r="A253" t="s">
        <v>615</v>
      </c>
      <c r="B253" t="s">
        <v>1239</v>
      </c>
      <c r="C253" s="25">
        <f>SUMPRODUCT(VLOOKUP($A253,'PSES Enroll Snapshot 25-01-17'!$K$5:$AB$327,{2,3,4,5,6,7,8,9},0))</f>
        <v>605.70000000000005</v>
      </c>
      <c r="D253" s="25">
        <f>SUMPRODUCT(VLOOKUP($A253,'PSES Enroll Snapshot 25-01-17'!$K$5:$AB$327,{10,11},0))-VLOOKUP($A253,'PSES Enroll Snapshot 25-01-17'!$K$5:$AB$327,12,0)</f>
        <v>140</v>
      </c>
      <c r="E253" s="25">
        <f>SUMPRODUCT(VLOOKUP($A253,'PSES Enroll Snapshot 25-01-17'!$K$5:$AB$327,{13,14},0))-SUMPRODUCT(VLOOKUP($A253,'PSES Enroll Snapshot 25-01-17'!$K$5:$AB$327,{15,16,17},0))</f>
        <v>74.599999999999994</v>
      </c>
      <c r="F253" s="33">
        <f>ROUND($C253*'2024-25 Elementary Calculator'!$Q$13/400,3)+ROUND($D253*'2024-25 Middle Calculator'!$O$13/432,3)+ROUND($E253*'2024-25 High Calculator'!$O$13/600,3)</f>
        <v>2.4380000000000002</v>
      </c>
      <c r="G253" s="33">
        <f>ROUND($C253*'2024-25 Elementary Calculator'!$Q$15/400,3)+ROUND($D253*'2024-25 Middle Calculator'!$O$15/432,3)+ROUND($E253*'2024-25 High Calculator'!$O$15/600,3)</f>
        <v>0.51600000000000001</v>
      </c>
      <c r="H253" s="33">
        <f>ROUND($C253*'2024-25 Elementary Calculator'!$Q$17/400,3)+ROUND($D253*'2024-25 Middle Calculator'!$O$17/432,3)+ROUND($E253*'2024-25 High Calculator'!$O$17/600,3)</f>
        <v>0.17100000000000001</v>
      </c>
      <c r="I253" s="33">
        <f>ROUND($C253*'2024-25 Elementary Calculator'!$Q$18/400,3)+ROUND($D253*'2024-25 Middle Calculator'!$O$18/432,3)+ROUND($E253*'2024-25 High Calculator'!$O$18/600,3)</f>
        <v>1.276</v>
      </c>
      <c r="J253" s="166">
        <f t="shared" si="26"/>
        <v>4.4009999999999998</v>
      </c>
      <c r="K253" s="33">
        <f>ROUND($C253*'2024-25 Elementary Calculator'!$Q$23/400,3)+ROUND($D253*'2024-25 Middle Calculator'!$O$23/432,3)+ROUND($E253*'2024-25 High Calculator'!$O$23/600,3)</f>
        <v>0.16799999999999998</v>
      </c>
      <c r="L253" s="33">
        <f>ROUND($C253*'2024-25 Elementary Calculator'!$Q$22/400,3)+ROUND($D253*'2024-25 Middle Calculator'!$O$22/432,3)+ROUND($E253*'2024-25 High Calculator'!$O$22/600,3)</f>
        <v>0.125</v>
      </c>
      <c r="M253" s="166">
        <f t="shared" si="27"/>
        <v>0.29299999999999998</v>
      </c>
      <c r="N253" s="33">
        <f>VLOOKUP($A253,'District Summary'!$A$6:$AH$325,29,FALSE)</f>
        <v>3.0950000000000002</v>
      </c>
      <c r="O253" s="33">
        <f>VLOOKUP($A253,'District Summary'!$A$6:$AH$325,34,FALSE)</f>
        <v>0.76200000000000001</v>
      </c>
      <c r="P253" s="67">
        <f t="shared" si="28"/>
        <v>-1.3059999999999996</v>
      </c>
      <c r="Q253" s="67">
        <f t="shared" si="29"/>
        <v>0.46900000000000003</v>
      </c>
      <c r="R253" s="67">
        <f t="shared" si="30"/>
        <v>4.694</v>
      </c>
      <c r="S253" s="33">
        <f t="shared" si="31"/>
        <v>3.8570000000000002</v>
      </c>
      <c r="T253" s="67">
        <f t="shared" si="33"/>
        <v>-0.83699999999999997</v>
      </c>
      <c r="U253" s="67">
        <f t="shared" si="32"/>
        <v>-0.83699999999999997</v>
      </c>
      <c r="V253" s="273"/>
      <c r="W253" s="273"/>
    </row>
    <row r="254" spans="1:23" x14ac:dyDescent="0.25">
      <c r="A254" t="s">
        <v>655</v>
      </c>
      <c r="B254" t="s">
        <v>1230</v>
      </c>
      <c r="C254" s="25">
        <f>SUMPRODUCT(VLOOKUP($A254,'PSES Enroll Snapshot 25-01-17'!$K$5:$AB$327,{2,3,4,5,6,7,8,9},0))</f>
        <v>0</v>
      </c>
      <c r="D254" s="25">
        <f>SUMPRODUCT(VLOOKUP($A254,'PSES Enroll Snapshot 25-01-17'!$K$5:$AB$327,{10,11},0))-VLOOKUP($A254,'PSES Enroll Snapshot 25-01-17'!$K$5:$AB$327,12,0)</f>
        <v>0</v>
      </c>
      <c r="E254" s="25">
        <f>SUMPRODUCT(VLOOKUP($A254,'PSES Enroll Snapshot 25-01-17'!$K$5:$AB$327,{13,14},0))-SUMPRODUCT(VLOOKUP($A254,'PSES Enroll Snapshot 25-01-17'!$K$5:$AB$327,{15,16,17},0))</f>
        <v>28.73</v>
      </c>
      <c r="F254" s="33">
        <f>ROUND($C254*'2024-25 Elementary Calculator'!$Q$13/400,3)+ROUND($D254*'2024-25 Middle Calculator'!$O$13/432,3)+ROUND($E254*'2024-25 High Calculator'!$O$13/600,3)</f>
        <v>0.14599999999999999</v>
      </c>
      <c r="G254" s="33">
        <f>ROUND($C254*'2024-25 Elementary Calculator'!$Q$15/400,3)+ROUND($D254*'2024-25 Middle Calculator'!$O$15/432,3)+ROUND($E254*'2024-25 High Calculator'!$O$15/600,3)</f>
        <v>6.0000000000000001E-3</v>
      </c>
      <c r="H254" s="33">
        <f>ROUND($C254*'2024-25 Elementary Calculator'!$Q$17/400,3)+ROUND($D254*'2024-25 Middle Calculator'!$O$17/432,3)+ROUND($E254*'2024-25 High Calculator'!$O$17/600,3)</f>
        <v>2E-3</v>
      </c>
      <c r="I254" s="33">
        <f>ROUND($C254*'2024-25 Elementary Calculator'!$Q$18/400,3)+ROUND($D254*'2024-25 Middle Calculator'!$O$18/432,3)+ROUND($E254*'2024-25 High Calculator'!$O$18/600,3)</f>
        <v>3.9E-2</v>
      </c>
      <c r="J254" s="166">
        <f t="shared" si="26"/>
        <v>0.193</v>
      </c>
      <c r="K254" s="33">
        <f>ROUND($C254*'2024-25 Elementary Calculator'!$Q$23/400,3)+ROUND($D254*'2024-25 Middle Calculator'!$O$23/432,3)+ROUND($E254*'2024-25 High Calculator'!$O$23/600,3)</f>
        <v>7.0000000000000001E-3</v>
      </c>
      <c r="L254" s="33">
        <f>ROUND($C254*'2024-25 Elementary Calculator'!$Q$22/400,3)+ROUND($D254*'2024-25 Middle Calculator'!$O$22/432,3)+ROUND($E254*'2024-25 High Calculator'!$O$22/600,3)</f>
        <v>0</v>
      </c>
      <c r="M254" s="166">
        <f t="shared" si="27"/>
        <v>7.0000000000000001E-3</v>
      </c>
      <c r="N254" s="33">
        <f>VLOOKUP($A254,'District Summary'!$A$6:$AH$325,29,FALSE)</f>
        <v>0.86</v>
      </c>
      <c r="O254" s="33">
        <f>VLOOKUP($A254,'District Summary'!$A$6:$AH$325,34,FALSE)</f>
        <v>0</v>
      </c>
      <c r="P254" s="67">
        <f t="shared" si="28"/>
        <v>0.66700000000000004</v>
      </c>
      <c r="Q254" s="67">
        <f t="shared" si="29"/>
        <v>-7.0000000000000001E-3</v>
      </c>
      <c r="R254" s="67">
        <f t="shared" si="30"/>
        <v>0.2</v>
      </c>
      <c r="S254" s="33">
        <f t="shared" si="31"/>
        <v>0.86</v>
      </c>
      <c r="T254" s="67">
        <f t="shared" si="33"/>
        <v>0.66</v>
      </c>
      <c r="U254" s="67">
        <f t="shared" si="32"/>
        <v>0</v>
      </c>
      <c r="V254" s="273"/>
      <c r="W254" s="273"/>
    </row>
    <row r="255" spans="1:23" x14ac:dyDescent="0.25">
      <c r="A255" t="s">
        <v>628</v>
      </c>
      <c r="B255" t="s">
        <v>1234</v>
      </c>
      <c r="C255" s="25">
        <f>SUMPRODUCT(VLOOKUP($A255,'PSES Enroll Snapshot 25-01-17'!$K$5:$AB$327,{2,3,4,5,6,7,8,9},0))</f>
        <v>0</v>
      </c>
      <c r="D255" s="25">
        <f>SUMPRODUCT(VLOOKUP($A255,'PSES Enroll Snapshot 25-01-17'!$K$5:$AB$327,{10,11},0))-VLOOKUP($A255,'PSES Enroll Snapshot 25-01-17'!$K$5:$AB$327,12,0)</f>
        <v>0</v>
      </c>
      <c r="E255" s="25">
        <f>SUMPRODUCT(VLOOKUP($A255,'PSES Enroll Snapshot 25-01-17'!$K$5:$AB$327,{13,14},0))-SUMPRODUCT(VLOOKUP($A255,'PSES Enroll Snapshot 25-01-17'!$K$5:$AB$327,{15,16,17},0))</f>
        <v>208.98999999999998</v>
      </c>
      <c r="F255" s="33">
        <f>ROUND($C255*'2024-25 Elementary Calculator'!$Q$13/400,3)+ROUND($D255*'2024-25 Middle Calculator'!$O$13/432,3)+ROUND($E255*'2024-25 High Calculator'!$O$13/600,3)</f>
        <v>1.0589999999999999</v>
      </c>
      <c r="G255" s="33">
        <f>ROUND($C255*'2024-25 Elementary Calculator'!$Q$15/400,3)+ROUND($D255*'2024-25 Middle Calculator'!$O$15/432,3)+ROUND($E255*'2024-25 High Calculator'!$O$15/600,3)</f>
        <v>4.3999999999999997E-2</v>
      </c>
      <c r="H255" s="33">
        <f>ROUND($C255*'2024-25 Elementary Calculator'!$Q$17/400,3)+ROUND($D255*'2024-25 Middle Calculator'!$O$17/432,3)+ROUND($E255*'2024-25 High Calculator'!$O$17/600,3)</f>
        <v>1.7000000000000001E-2</v>
      </c>
      <c r="I255" s="33">
        <f>ROUND($C255*'2024-25 Elementary Calculator'!$Q$18/400,3)+ROUND($D255*'2024-25 Middle Calculator'!$O$18/432,3)+ROUND($E255*'2024-25 High Calculator'!$O$18/600,3)</f>
        <v>0.28699999999999998</v>
      </c>
      <c r="J255" s="166">
        <f t="shared" si="26"/>
        <v>1.4069999999999998</v>
      </c>
      <c r="K255" s="33">
        <f>ROUND($C255*'2024-25 Elementary Calculator'!$Q$23/400,3)+ROUND($D255*'2024-25 Middle Calculator'!$O$23/432,3)+ROUND($E255*'2024-25 High Calculator'!$O$23/600,3)</f>
        <v>4.9000000000000002E-2</v>
      </c>
      <c r="L255" s="33">
        <f>ROUND($C255*'2024-25 Elementary Calculator'!$Q$22/400,3)+ROUND($D255*'2024-25 Middle Calculator'!$O$22/432,3)+ROUND($E255*'2024-25 High Calculator'!$O$22/600,3)</f>
        <v>0</v>
      </c>
      <c r="M255" s="166">
        <f t="shared" si="27"/>
        <v>4.9000000000000002E-2</v>
      </c>
      <c r="N255" s="33">
        <f>VLOOKUP($A255,'District Summary'!$A$6:$AH$325,29,FALSE)</f>
        <v>1.099</v>
      </c>
      <c r="O255" s="33">
        <f>VLOOKUP($A255,'District Summary'!$A$6:$AH$325,34,FALSE)</f>
        <v>1</v>
      </c>
      <c r="P255" s="67">
        <f t="shared" si="28"/>
        <v>-0.30799999999999983</v>
      </c>
      <c r="Q255" s="67">
        <f t="shared" si="29"/>
        <v>0.95099999999999996</v>
      </c>
      <c r="R255" s="67">
        <f t="shared" si="30"/>
        <v>1.4559999999999997</v>
      </c>
      <c r="S255" s="33">
        <f t="shared" si="31"/>
        <v>2.0990000000000002</v>
      </c>
      <c r="T255" s="67">
        <f t="shared" si="33"/>
        <v>0.64300000000000002</v>
      </c>
      <c r="U255" s="67">
        <f t="shared" si="32"/>
        <v>0</v>
      </c>
      <c r="V255" s="273"/>
      <c r="W255" s="273"/>
    </row>
    <row r="256" spans="1:23" x14ac:dyDescent="0.25">
      <c r="A256" t="s">
        <v>240</v>
      </c>
      <c r="B256" t="s">
        <v>536</v>
      </c>
      <c r="C256" s="25">
        <f>SUMPRODUCT(VLOOKUP($A256,'PSES Enroll Snapshot 25-01-17'!$K$5:$AB$327,{2,3,4,5,6,7,8,9},0))</f>
        <v>34.200000000000003</v>
      </c>
      <c r="D256" s="25">
        <f>SUMPRODUCT(VLOOKUP($A256,'PSES Enroll Snapshot 25-01-17'!$K$5:$AB$327,{10,11},0))-VLOOKUP($A256,'PSES Enroll Snapshot 25-01-17'!$K$5:$AB$327,12,0)</f>
        <v>6.2</v>
      </c>
      <c r="E256" s="25">
        <f>SUMPRODUCT(VLOOKUP($A256,'PSES Enroll Snapshot 25-01-17'!$K$5:$AB$327,{13,14},0))-SUMPRODUCT(VLOOKUP($A256,'PSES Enroll Snapshot 25-01-17'!$K$5:$AB$327,{15,16,17},0))</f>
        <v>0</v>
      </c>
      <c r="F256" s="33">
        <f>ROUND($C256*'2024-25 Elementary Calculator'!$Q$13/400,3)+ROUND($D256*'2024-25 Middle Calculator'!$O$13/432,3)+ROUND($E256*'2024-25 High Calculator'!$O$13/600,3)</f>
        <v>0.11000000000000001</v>
      </c>
      <c r="G256" s="33">
        <f>ROUND($C256*'2024-25 Elementary Calculator'!$Q$15/400,3)+ROUND($D256*'2024-25 Middle Calculator'!$O$15/432,3)+ROUND($E256*'2024-25 High Calculator'!$O$15/600,3)</f>
        <v>2.8000000000000001E-2</v>
      </c>
      <c r="H256" s="33">
        <f>ROUND($C256*'2024-25 Elementary Calculator'!$Q$17/400,3)+ROUND($D256*'2024-25 Middle Calculator'!$O$17/432,3)+ROUND($E256*'2024-25 High Calculator'!$O$17/600,3)</f>
        <v>8.9999999999999993E-3</v>
      </c>
      <c r="I256" s="33">
        <f>ROUND($C256*'2024-25 Elementary Calculator'!$Q$18/400,3)+ROUND($D256*'2024-25 Middle Calculator'!$O$18/432,3)+ROUND($E256*'2024-25 High Calculator'!$O$18/600,3)</f>
        <v>6.3E-2</v>
      </c>
      <c r="J256" s="166">
        <f t="shared" si="26"/>
        <v>0.21000000000000002</v>
      </c>
      <c r="K256" s="33">
        <f>ROUND($C256*'2024-25 Elementary Calculator'!$Q$23/400,3)+ROUND($D256*'2024-25 Middle Calculator'!$O$23/432,3)+ROUND($E256*'2024-25 High Calculator'!$O$23/600,3)</f>
        <v>8.0000000000000002E-3</v>
      </c>
      <c r="L256" s="33">
        <f>ROUND($C256*'2024-25 Elementary Calculator'!$Q$22/400,3)+ROUND($D256*'2024-25 Middle Calculator'!$O$22/432,3)+ROUND($E256*'2024-25 High Calculator'!$O$22/600,3)</f>
        <v>7.0000000000000001E-3</v>
      </c>
      <c r="M256" s="166">
        <f t="shared" si="27"/>
        <v>1.4999999999999999E-2</v>
      </c>
      <c r="N256" s="33">
        <f>VLOOKUP($A256,'District Summary'!$A$6:$AH$325,29,FALSE)</f>
        <v>0</v>
      </c>
      <c r="O256" s="33">
        <f>VLOOKUP($A256,'District Summary'!$A$6:$AH$325,34,FALSE)</f>
        <v>0.1</v>
      </c>
      <c r="P256" s="67">
        <f t="shared" si="28"/>
        <v>-0.21000000000000002</v>
      </c>
      <c r="Q256" s="67">
        <f t="shared" si="29"/>
        <v>8.5000000000000006E-2</v>
      </c>
      <c r="R256" s="67">
        <f t="shared" si="30"/>
        <v>0.22500000000000003</v>
      </c>
      <c r="S256" s="33">
        <f t="shared" si="31"/>
        <v>0.1</v>
      </c>
      <c r="T256" s="67">
        <f t="shared" si="33"/>
        <v>-0.125</v>
      </c>
      <c r="U256" s="67">
        <f t="shared" si="32"/>
        <v>-0.125</v>
      </c>
      <c r="V256" s="273"/>
      <c r="W256" s="273"/>
    </row>
    <row r="257" spans="1:23" x14ac:dyDescent="0.25">
      <c r="A257" t="s">
        <v>241</v>
      </c>
      <c r="B257" t="s">
        <v>537</v>
      </c>
      <c r="C257" s="25">
        <f>SUMPRODUCT(VLOOKUP($A257,'PSES Enroll Snapshot 25-01-17'!$K$5:$AB$327,{2,3,4,5,6,7,8,9},0))</f>
        <v>327.11</v>
      </c>
      <c r="D257" s="25">
        <f>SUMPRODUCT(VLOOKUP($A257,'PSES Enroll Snapshot 25-01-17'!$K$5:$AB$327,{10,11},0))-VLOOKUP($A257,'PSES Enroll Snapshot 25-01-17'!$K$5:$AB$327,12,0)</f>
        <v>85.240000000000009</v>
      </c>
      <c r="E257" s="25">
        <f>SUMPRODUCT(VLOOKUP($A257,'PSES Enroll Snapshot 25-01-17'!$K$5:$AB$327,{13,14},0))-SUMPRODUCT(VLOOKUP($A257,'PSES Enroll Snapshot 25-01-17'!$K$5:$AB$327,{15,16,17},0))</f>
        <v>154.86000000000001</v>
      </c>
      <c r="F257" s="33">
        <f>ROUND($C257*'2024-25 Elementary Calculator'!$Q$13/400,3)+ROUND($D257*'2024-25 Middle Calculator'!$O$13/432,3)+ROUND($E257*'2024-25 High Calculator'!$O$13/600,3)</f>
        <v>1.9350000000000001</v>
      </c>
      <c r="G257" s="33">
        <f>ROUND($C257*'2024-25 Elementary Calculator'!$Q$15/400,3)+ROUND($D257*'2024-25 Middle Calculator'!$O$15/432,3)+ROUND($E257*'2024-25 High Calculator'!$O$15/600,3)</f>
        <v>0.30400000000000005</v>
      </c>
      <c r="H257" s="33">
        <f>ROUND($C257*'2024-25 Elementary Calculator'!$Q$17/400,3)+ROUND($D257*'2024-25 Middle Calculator'!$O$17/432,3)+ROUND($E257*'2024-25 High Calculator'!$O$17/600,3)</f>
        <v>0.10300000000000001</v>
      </c>
      <c r="I257" s="33">
        <f>ROUND($C257*'2024-25 Elementary Calculator'!$Q$18/400,3)+ROUND($D257*'2024-25 Middle Calculator'!$O$18/432,3)+ROUND($E257*'2024-25 High Calculator'!$O$18/600,3)</f>
        <v>0.86599999999999999</v>
      </c>
      <c r="J257" s="166">
        <f t="shared" si="26"/>
        <v>3.2080000000000002</v>
      </c>
      <c r="K257" s="33">
        <f>ROUND($C257*'2024-25 Elementary Calculator'!$Q$23/400,3)+ROUND($D257*'2024-25 Middle Calculator'!$O$23/432,3)+ROUND($E257*'2024-25 High Calculator'!$O$23/600,3)</f>
        <v>0.11899999999999999</v>
      </c>
      <c r="L257" s="33">
        <f>ROUND($C257*'2024-25 Elementary Calculator'!$Q$22/400,3)+ROUND($D257*'2024-25 Middle Calculator'!$O$22/432,3)+ROUND($E257*'2024-25 High Calculator'!$O$22/600,3)</f>
        <v>6.7000000000000004E-2</v>
      </c>
      <c r="M257" s="166">
        <f t="shared" si="27"/>
        <v>0.186</v>
      </c>
      <c r="N257" s="33">
        <f>VLOOKUP($A257,'District Summary'!$A$6:$AH$325,29,FALSE)</f>
        <v>2.8489999999999998</v>
      </c>
      <c r="O257" s="33">
        <f>VLOOKUP($A257,'District Summary'!$A$6:$AH$325,34,FALSE)</f>
        <v>0.75900000000000001</v>
      </c>
      <c r="P257" s="67">
        <f t="shared" si="28"/>
        <v>-0.35900000000000043</v>
      </c>
      <c r="Q257" s="67">
        <f t="shared" si="29"/>
        <v>0.57299999999999995</v>
      </c>
      <c r="R257" s="67">
        <f t="shared" si="30"/>
        <v>3.3940000000000001</v>
      </c>
      <c r="S257" s="33">
        <f t="shared" si="31"/>
        <v>3.6079999999999997</v>
      </c>
      <c r="T257" s="67">
        <f t="shared" si="33"/>
        <v>0.214</v>
      </c>
      <c r="U257" s="67">
        <f t="shared" si="32"/>
        <v>0</v>
      </c>
      <c r="V257" s="273"/>
      <c r="W257" s="273"/>
    </row>
    <row r="258" spans="1:23" x14ac:dyDescent="0.25">
      <c r="A258" t="s">
        <v>242</v>
      </c>
      <c r="B258" t="s">
        <v>538</v>
      </c>
      <c r="C258" s="25">
        <f>SUMPRODUCT(VLOOKUP($A258,'PSES Enroll Snapshot 25-01-17'!$K$5:$AB$327,{2,3,4,5,6,7,8,9},0))</f>
        <v>163.40000000000003</v>
      </c>
      <c r="D258" s="25">
        <f>SUMPRODUCT(VLOOKUP($A258,'PSES Enroll Snapshot 25-01-17'!$K$5:$AB$327,{10,11},0))-VLOOKUP($A258,'PSES Enroll Snapshot 25-01-17'!$K$5:$AB$327,12,0)</f>
        <v>56.6</v>
      </c>
      <c r="E258" s="25">
        <f>SUMPRODUCT(VLOOKUP($A258,'PSES Enroll Snapshot 25-01-17'!$K$5:$AB$327,{13,14},0))-SUMPRODUCT(VLOOKUP($A258,'PSES Enroll Snapshot 25-01-17'!$K$5:$AB$327,{15,16,17},0))</f>
        <v>87.6</v>
      </c>
      <c r="F258" s="33">
        <f>ROUND($C258*'2024-25 Elementary Calculator'!$Q$13/400,3)+ROUND($D258*'2024-25 Middle Calculator'!$O$13/432,3)+ROUND($E258*'2024-25 High Calculator'!$O$13/600,3)</f>
        <v>1.075</v>
      </c>
      <c r="G258" s="33">
        <f>ROUND($C258*'2024-25 Elementary Calculator'!$Q$15/400,3)+ROUND($D258*'2024-25 Middle Calculator'!$O$15/432,3)+ROUND($E258*'2024-25 High Calculator'!$O$15/600,3)</f>
        <v>0.158</v>
      </c>
      <c r="H258" s="33">
        <f>ROUND($C258*'2024-25 Elementary Calculator'!$Q$17/400,3)+ROUND($D258*'2024-25 Middle Calculator'!$O$17/432,3)+ROUND($E258*'2024-25 High Calculator'!$O$17/600,3)</f>
        <v>5.2000000000000005E-2</v>
      </c>
      <c r="I258" s="33">
        <f>ROUND($C258*'2024-25 Elementary Calculator'!$Q$18/400,3)+ROUND($D258*'2024-25 Middle Calculator'!$O$18/432,3)+ROUND($E258*'2024-25 High Calculator'!$O$18/600,3)</f>
        <v>0.47499999999999998</v>
      </c>
      <c r="J258" s="166">
        <f t="shared" si="26"/>
        <v>1.7599999999999998</v>
      </c>
      <c r="K258" s="33">
        <f>ROUND($C258*'2024-25 Elementary Calculator'!$Q$23/400,3)+ROUND($D258*'2024-25 Middle Calculator'!$O$23/432,3)+ROUND($E258*'2024-25 High Calculator'!$O$23/600,3)</f>
        <v>6.5000000000000002E-2</v>
      </c>
      <c r="L258" s="33">
        <f>ROUND($C258*'2024-25 Elementary Calculator'!$Q$22/400,3)+ROUND($D258*'2024-25 Middle Calculator'!$O$22/432,3)+ROUND($E258*'2024-25 High Calculator'!$O$22/600,3)</f>
        <v>3.4000000000000002E-2</v>
      </c>
      <c r="M258" s="166">
        <f t="shared" si="27"/>
        <v>9.9000000000000005E-2</v>
      </c>
      <c r="N258" s="33">
        <f>VLOOKUP($A258,'District Summary'!$A$6:$AH$325,29,FALSE)</f>
        <v>2</v>
      </c>
      <c r="O258" s="33">
        <f>VLOOKUP($A258,'District Summary'!$A$6:$AH$325,34,FALSE)</f>
        <v>0</v>
      </c>
      <c r="P258" s="67">
        <f t="shared" si="28"/>
        <v>0.24000000000000021</v>
      </c>
      <c r="Q258" s="67">
        <f t="shared" si="29"/>
        <v>-9.9000000000000005E-2</v>
      </c>
      <c r="R258" s="67">
        <f t="shared" si="30"/>
        <v>1.8589999999999998</v>
      </c>
      <c r="S258" s="33">
        <f t="shared" si="31"/>
        <v>2</v>
      </c>
      <c r="T258" s="67">
        <f t="shared" si="33"/>
        <v>0.14099999999999999</v>
      </c>
      <c r="U258" s="67">
        <f t="shared" si="32"/>
        <v>0</v>
      </c>
      <c r="V258" s="273"/>
      <c r="W258" s="273"/>
    </row>
    <row r="259" spans="1:23" x14ac:dyDescent="0.25">
      <c r="A259" t="s">
        <v>243</v>
      </c>
      <c r="B259" t="s">
        <v>539</v>
      </c>
      <c r="C259" s="25">
        <f>SUMPRODUCT(VLOOKUP($A259,'PSES Enroll Snapshot 25-01-17'!$K$5:$AB$327,{2,3,4,5,6,7,8,9},0))</f>
        <v>149.4</v>
      </c>
      <c r="D259" s="25">
        <f>SUMPRODUCT(VLOOKUP($A259,'PSES Enroll Snapshot 25-01-17'!$K$5:$AB$327,{10,11},0))-VLOOKUP($A259,'PSES Enroll Snapshot 25-01-17'!$K$5:$AB$327,12,0)</f>
        <v>27.31</v>
      </c>
      <c r="E259" s="25">
        <f>SUMPRODUCT(VLOOKUP($A259,'PSES Enroll Snapshot 25-01-17'!$K$5:$AB$327,{13,14},0))-SUMPRODUCT(VLOOKUP($A259,'PSES Enroll Snapshot 25-01-17'!$K$5:$AB$327,{15,16,17},0))</f>
        <v>21.66</v>
      </c>
      <c r="F259" s="33">
        <f>ROUND($C259*'2024-25 Elementary Calculator'!$Q$13/400,3)+ROUND($D259*'2024-25 Middle Calculator'!$O$13/432,3)+ROUND($E259*'2024-25 High Calculator'!$O$13/600,3)</f>
        <v>0.58899999999999997</v>
      </c>
      <c r="G259" s="33">
        <f>ROUND($C259*'2024-25 Elementary Calculator'!$Q$15/400,3)+ROUND($D259*'2024-25 Middle Calculator'!$O$15/432,3)+ROUND($E259*'2024-25 High Calculator'!$O$15/600,3)</f>
        <v>0.127</v>
      </c>
      <c r="H259" s="33">
        <f>ROUND($C259*'2024-25 Elementary Calculator'!$Q$17/400,3)+ROUND($D259*'2024-25 Middle Calculator'!$O$17/432,3)+ROUND($E259*'2024-25 High Calculator'!$O$17/600,3)</f>
        <v>4.3000000000000003E-2</v>
      </c>
      <c r="I259" s="33">
        <f>ROUND($C259*'2024-25 Elementary Calculator'!$Q$18/400,3)+ROUND($D259*'2024-25 Middle Calculator'!$O$18/432,3)+ROUND($E259*'2024-25 High Calculator'!$O$18/600,3)</f>
        <v>0.30400000000000005</v>
      </c>
      <c r="J259" s="166">
        <f t="shared" ref="J259:J321" si="34">SUM(F259:I259)</f>
        <v>1.0630000000000002</v>
      </c>
      <c r="K259" s="33">
        <f>ROUND($C259*'2024-25 Elementary Calculator'!$Q$23/400,3)+ROUND($D259*'2024-25 Middle Calculator'!$O$23/432,3)+ROUND($E259*'2024-25 High Calculator'!$O$23/600,3)</f>
        <v>4.0999999999999995E-2</v>
      </c>
      <c r="L259" s="33">
        <f>ROUND($C259*'2024-25 Elementary Calculator'!$Q$22/400,3)+ROUND($D259*'2024-25 Middle Calculator'!$O$22/432,3)+ROUND($E259*'2024-25 High Calculator'!$O$22/600,3)</f>
        <v>3.1E-2</v>
      </c>
      <c r="M259" s="166">
        <f t="shared" ref="M259:M321" si="35">SUM(K259:L259)</f>
        <v>7.1999999999999995E-2</v>
      </c>
      <c r="N259" s="33">
        <f>VLOOKUP($A259,'District Summary'!$A$6:$AH$325,29,FALSE)</f>
        <v>1</v>
      </c>
      <c r="O259" s="33">
        <f>VLOOKUP($A259,'District Summary'!$A$6:$AH$325,34,FALSE)</f>
        <v>1.365</v>
      </c>
      <c r="P259" s="67">
        <f t="shared" ref="P259:P322" si="36">N259-J259</f>
        <v>-6.3000000000000167E-2</v>
      </c>
      <c r="Q259" s="67">
        <f t="shared" ref="Q259:Q322" si="37">O259-M259</f>
        <v>1.2929999999999999</v>
      </c>
      <c r="R259" s="67">
        <f t="shared" ref="R259:R322" si="38">SUM(J259,M259)</f>
        <v>1.1350000000000002</v>
      </c>
      <c r="S259" s="33">
        <f t="shared" ref="S259:S322" si="39">SUM(N259:O259)</f>
        <v>2.3650000000000002</v>
      </c>
      <c r="T259" s="67">
        <f t="shared" si="33"/>
        <v>1.23</v>
      </c>
      <c r="U259" s="67">
        <f t="shared" ref="U259:U321" si="40">IF(T259&gt;0, 0,T259)</f>
        <v>0</v>
      </c>
      <c r="V259" s="273"/>
      <c r="W259" s="273"/>
    </row>
    <row r="260" spans="1:23" x14ac:dyDescent="0.25">
      <c r="A260" t="s">
        <v>244</v>
      </c>
      <c r="B260" t="s">
        <v>540</v>
      </c>
      <c r="C260" s="25">
        <f>SUMPRODUCT(VLOOKUP($A260,'PSES Enroll Snapshot 25-01-17'!$K$5:$AB$327,{2,3,4,5,6,7,8,9},0))</f>
        <v>891.25999999999988</v>
      </c>
      <c r="D260" s="25">
        <f>SUMPRODUCT(VLOOKUP($A260,'PSES Enroll Snapshot 25-01-17'!$K$5:$AB$327,{10,11},0))-VLOOKUP($A260,'PSES Enroll Snapshot 25-01-17'!$K$5:$AB$327,12,0)</f>
        <v>235.64</v>
      </c>
      <c r="E260" s="25">
        <f>SUMPRODUCT(VLOOKUP($A260,'PSES Enroll Snapshot 25-01-17'!$K$5:$AB$327,{13,14},0))-SUMPRODUCT(VLOOKUP($A260,'PSES Enroll Snapshot 25-01-17'!$K$5:$AB$327,{15,16,17},0))</f>
        <v>360.64000000000004</v>
      </c>
      <c r="F260" s="33">
        <f>ROUND($C260*'2024-25 Elementary Calculator'!$Q$13/400,3)+ROUND($D260*'2024-25 Middle Calculator'!$O$13/432,3)+ROUND($E260*'2024-25 High Calculator'!$O$13/600,3)</f>
        <v>4.976</v>
      </c>
      <c r="G260" s="33">
        <f>ROUND($C260*'2024-25 Elementary Calculator'!$Q$15/400,3)+ROUND($D260*'2024-25 Middle Calculator'!$O$15/432,3)+ROUND($E260*'2024-25 High Calculator'!$O$15/600,3)</f>
        <v>0.81699999999999995</v>
      </c>
      <c r="H260" s="33">
        <f>ROUND($C260*'2024-25 Elementary Calculator'!$Q$17/400,3)+ROUND($D260*'2024-25 Middle Calculator'!$O$17/432,3)+ROUND($E260*'2024-25 High Calculator'!$O$17/600,3)</f>
        <v>0.27400000000000002</v>
      </c>
      <c r="I260" s="33">
        <f>ROUND($C260*'2024-25 Elementary Calculator'!$Q$18/400,3)+ROUND($D260*'2024-25 Middle Calculator'!$O$18/432,3)+ROUND($E260*'2024-25 High Calculator'!$O$18/600,3)</f>
        <v>2.282</v>
      </c>
      <c r="J260" s="166">
        <f t="shared" si="34"/>
        <v>8.3490000000000002</v>
      </c>
      <c r="K260" s="33">
        <f>ROUND($C260*'2024-25 Elementary Calculator'!$Q$23/400,3)+ROUND($D260*'2024-25 Middle Calculator'!$O$23/432,3)+ROUND($E260*'2024-25 High Calculator'!$O$23/600,3)</f>
        <v>0.311</v>
      </c>
      <c r="L260" s="33">
        <f>ROUND($C260*'2024-25 Elementary Calculator'!$Q$22/400,3)+ROUND($D260*'2024-25 Middle Calculator'!$O$22/432,3)+ROUND($E260*'2024-25 High Calculator'!$O$22/600,3)</f>
        <v>0.184</v>
      </c>
      <c r="M260" s="166">
        <f t="shared" si="35"/>
        <v>0.495</v>
      </c>
      <c r="N260" s="33">
        <f>VLOOKUP($A260,'District Summary'!$A$6:$AH$325,29,FALSE)</f>
        <v>7.6440000000000001</v>
      </c>
      <c r="O260" s="33">
        <f>VLOOKUP($A260,'District Summary'!$A$6:$AH$325,34,FALSE)</f>
        <v>1.3359999999999999</v>
      </c>
      <c r="P260" s="67">
        <f t="shared" si="36"/>
        <v>-0.70500000000000007</v>
      </c>
      <c r="Q260" s="67">
        <f t="shared" si="37"/>
        <v>0.84099999999999986</v>
      </c>
      <c r="R260" s="67">
        <f t="shared" si="38"/>
        <v>8.8439999999999994</v>
      </c>
      <c r="S260" s="33">
        <f t="shared" si="39"/>
        <v>8.98</v>
      </c>
      <c r="T260" s="67">
        <f t="shared" ref="T260:T322" si="41">ROUND(S260-R260,3)</f>
        <v>0.13600000000000001</v>
      </c>
      <c r="U260" s="67">
        <f t="shared" si="40"/>
        <v>0</v>
      </c>
      <c r="V260" s="273"/>
      <c r="W260" s="273"/>
    </row>
    <row r="261" spans="1:23" x14ac:dyDescent="0.25">
      <c r="A261" t="s">
        <v>245</v>
      </c>
      <c r="B261" t="s">
        <v>541</v>
      </c>
      <c r="C261" s="25">
        <f>SUMPRODUCT(VLOOKUP($A261,'PSES Enroll Snapshot 25-01-17'!$K$5:$AB$327,{2,3,4,5,6,7,8,9},0))</f>
        <v>100</v>
      </c>
      <c r="D261" s="25">
        <f>SUMPRODUCT(VLOOKUP($A261,'PSES Enroll Snapshot 25-01-17'!$K$5:$AB$327,{10,11},0))-VLOOKUP($A261,'PSES Enroll Snapshot 25-01-17'!$K$5:$AB$327,12,0)</f>
        <v>0</v>
      </c>
      <c r="E261" s="25">
        <f>SUMPRODUCT(VLOOKUP($A261,'PSES Enroll Snapshot 25-01-17'!$K$5:$AB$327,{13,14},0))-SUMPRODUCT(VLOOKUP($A261,'PSES Enroll Snapshot 25-01-17'!$K$5:$AB$327,{15,16,17},0))</f>
        <v>0</v>
      </c>
      <c r="F261" s="33">
        <f>ROUND($C261*'2024-25 Elementary Calculator'!$Q$13/400,3)+ROUND($D261*'2024-25 Middle Calculator'!$O$13/432,3)+ROUND($E261*'2024-25 High Calculator'!$O$13/600,3)</f>
        <v>0.248</v>
      </c>
      <c r="G261" s="33">
        <f>ROUND($C261*'2024-25 Elementary Calculator'!$Q$15/400,3)+ROUND($D261*'2024-25 Middle Calculator'!$O$15/432,3)+ROUND($E261*'2024-25 High Calculator'!$O$15/600,3)</f>
        <v>7.8E-2</v>
      </c>
      <c r="H261" s="33">
        <f>ROUND($C261*'2024-25 Elementary Calculator'!$Q$17/400,3)+ROUND($D261*'2024-25 Middle Calculator'!$O$17/432,3)+ROUND($E261*'2024-25 High Calculator'!$O$17/600,3)</f>
        <v>2.5999999999999999E-2</v>
      </c>
      <c r="I261" s="33">
        <f>ROUND($C261*'2024-25 Elementary Calculator'!$Q$18/400,3)+ROUND($D261*'2024-25 Middle Calculator'!$O$18/432,3)+ROUND($E261*'2024-25 High Calculator'!$O$18/600,3)</f>
        <v>0.14599999999999999</v>
      </c>
      <c r="J261" s="166">
        <f t="shared" si="34"/>
        <v>0.498</v>
      </c>
      <c r="K261" s="33">
        <f>ROUND($C261*'2024-25 Elementary Calculator'!$Q$23/400,3)+ROUND($D261*'2024-25 Middle Calculator'!$O$23/432,3)+ROUND($E261*'2024-25 High Calculator'!$O$23/600,3)</f>
        <v>0.02</v>
      </c>
      <c r="L261" s="33">
        <f>ROUND($C261*'2024-25 Elementary Calculator'!$Q$22/400,3)+ROUND($D261*'2024-25 Middle Calculator'!$O$22/432,3)+ROUND($E261*'2024-25 High Calculator'!$O$22/600,3)</f>
        <v>2.1000000000000001E-2</v>
      </c>
      <c r="M261" s="166">
        <f t="shared" si="35"/>
        <v>4.1000000000000002E-2</v>
      </c>
      <c r="N261" s="33">
        <f>VLOOKUP($A261,'District Summary'!$A$6:$AH$325,29,FALSE)</f>
        <v>0</v>
      </c>
      <c r="O261" s="33">
        <f>VLOOKUP($A261,'District Summary'!$A$6:$AH$325,34,FALSE)</f>
        <v>0.315</v>
      </c>
      <c r="P261" s="67">
        <f t="shared" si="36"/>
        <v>-0.498</v>
      </c>
      <c r="Q261" s="67">
        <f t="shared" si="37"/>
        <v>0.27400000000000002</v>
      </c>
      <c r="R261" s="67">
        <f t="shared" si="38"/>
        <v>0.53900000000000003</v>
      </c>
      <c r="S261" s="33">
        <f t="shared" si="39"/>
        <v>0.315</v>
      </c>
      <c r="T261" s="67">
        <f t="shared" si="41"/>
        <v>-0.224</v>
      </c>
      <c r="U261" s="67">
        <f t="shared" si="40"/>
        <v>-0.224</v>
      </c>
      <c r="V261" s="273"/>
      <c r="W261" s="273"/>
    </row>
    <row r="262" spans="1:23" x14ac:dyDescent="0.25">
      <c r="A262" t="s">
        <v>246</v>
      </c>
      <c r="B262" t="s">
        <v>542</v>
      </c>
      <c r="C262" s="25">
        <f>SUMPRODUCT(VLOOKUP($A262,'PSES Enroll Snapshot 25-01-17'!$K$5:$AB$327,{2,3,4,5,6,7,8,9},0))</f>
        <v>80.599999999999994</v>
      </c>
      <c r="D262" s="25">
        <f>SUMPRODUCT(VLOOKUP($A262,'PSES Enroll Snapshot 25-01-17'!$K$5:$AB$327,{10,11},0))-VLOOKUP($A262,'PSES Enroll Snapshot 25-01-17'!$K$5:$AB$327,12,0)</f>
        <v>15.7</v>
      </c>
      <c r="E262" s="25">
        <f>SUMPRODUCT(VLOOKUP($A262,'PSES Enroll Snapshot 25-01-17'!$K$5:$AB$327,{13,14},0))-SUMPRODUCT(VLOOKUP($A262,'PSES Enroll Snapshot 25-01-17'!$K$5:$AB$327,{15,16,17},0))</f>
        <v>0</v>
      </c>
      <c r="F262" s="33">
        <f>ROUND($C262*'2024-25 Elementary Calculator'!$Q$13/400,3)+ROUND($D262*'2024-25 Middle Calculator'!$O$13/432,3)+ROUND($E262*'2024-25 High Calculator'!$O$13/600,3)</f>
        <v>0.26200000000000001</v>
      </c>
      <c r="G262" s="33">
        <f>ROUND($C262*'2024-25 Elementary Calculator'!$Q$15/400,3)+ROUND($D262*'2024-25 Middle Calculator'!$O$15/432,3)+ROUND($E262*'2024-25 High Calculator'!$O$15/600,3)</f>
        <v>6.6000000000000003E-2</v>
      </c>
      <c r="H262" s="33">
        <f>ROUND($C262*'2024-25 Elementary Calculator'!$Q$17/400,3)+ROUND($D262*'2024-25 Middle Calculator'!$O$17/432,3)+ROUND($E262*'2024-25 High Calculator'!$O$17/600,3)</f>
        <v>2.2000000000000002E-2</v>
      </c>
      <c r="I262" s="33">
        <f>ROUND($C262*'2024-25 Elementary Calculator'!$Q$18/400,3)+ROUND($D262*'2024-25 Middle Calculator'!$O$18/432,3)+ROUND($E262*'2024-25 High Calculator'!$O$18/600,3)</f>
        <v>0.15</v>
      </c>
      <c r="J262" s="166">
        <f t="shared" si="34"/>
        <v>0.5</v>
      </c>
      <c r="K262" s="33">
        <f>ROUND($C262*'2024-25 Elementary Calculator'!$Q$23/400,3)+ROUND($D262*'2024-25 Middle Calculator'!$O$23/432,3)+ROUND($E262*'2024-25 High Calculator'!$O$23/600,3)</f>
        <v>1.9E-2</v>
      </c>
      <c r="L262" s="33">
        <f>ROUND($C262*'2024-25 Elementary Calculator'!$Q$22/400,3)+ROUND($D262*'2024-25 Middle Calculator'!$O$22/432,3)+ROUND($E262*'2024-25 High Calculator'!$O$22/600,3)</f>
        <v>1.7000000000000001E-2</v>
      </c>
      <c r="M262" s="166">
        <f t="shared" si="35"/>
        <v>3.6000000000000004E-2</v>
      </c>
      <c r="N262" s="33">
        <f>VLOOKUP($A262,'District Summary'!$A$6:$AH$325,29,FALSE)</f>
        <v>0.251</v>
      </c>
      <c r="O262" s="33">
        <f>VLOOKUP($A262,'District Summary'!$A$6:$AH$325,34,FALSE)</f>
        <v>0</v>
      </c>
      <c r="P262" s="67">
        <f t="shared" si="36"/>
        <v>-0.249</v>
      </c>
      <c r="Q262" s="67">
        <f t="shared" si="37"/>
        <v>-3.6000000000000004E-2</v>
      </c>
      <c r="R262" s="67">
        <f t="shared" si="38"/>
        <v>0.53600000000000003</v>
      </c>
      <c r="S262" s="33">
        <f t="shared" si="39"/>
        <v>0.251</v>
      </c>
      <c r="T262" s="67">
        <f t="shared" si="41"/>
        <v>-0.28499999999999998</v>
      </c>
      <c r="U262" s="67">
        <f t="shared" si="40"/>
        <v>-0.28499999999999998</v>
      </c>
      <c r="V262" s="273"/>
      <c r="W262" s="273"/>
    </row>
    <row r="263" spans="1:23" x14ac:dyDescent="0.25">
      <c r="A263" t="s">
        <v>247</v>
      </c>
      <c r="B263" t="s">
        <v>543</v>
      </c>
      <c r="C263" s="25">
        <f>SUMPRODUCT(VLOOKUP($A263,'PSES Enroll Snapshot 25-01-17'!$K$5:$AB$327,{2,3,4,5,6,7,8,9},0))</f>
        <v>40.200000000000003</v>
      </c>
      <c r="D263" s="25">
        <f>SUMPRODUCT(VLOOKUP($A263,'PSES Enroll Snapshot 25-01-17'!$K$5:$AB$327,{10,11},0))-VLOOKUP($A263,'PSES Enroll Snapshot 25-01-17'!$K$5:$AB$327,12,0)</f>
        <v>0</v>
      </c>
      <c r="E263" s="25">
        <f>SUMPRODUCT(VLOOKUP($A263,'PSES Enroll Snapshot 25-01-17'!$K$5:$AB$327,{13,14},0))-SUMPRODUCT(VLOOKUP($A263,'PSES Enroll Snapshot 25-01-17'!$K$5:$AB$327,{15,16,17},0))</f>
        <v>0</v>
      </c>
      <c r="F263" s="33">
        <f>ROUND($C263*'2024-25 Elementary Calculator'!$Q$13/400,3)+ROUND($D263*'2024-25 Middle Calculator'!$O$13/432,3)+ROUND($E263*'2024-25 High Calculator'!$O$13/600,3)</f>
        <v>0.1</v>
      </c>
      <c r="G263" s="33">
        <f>ROUND($C263*'2024-25 Elementary Calculator'!$Q$15/400,3)+ROUND($D263*'2024-25 Middle Calculator'!$O$15/432,3)+ROUND($E263*'2024-25 High Calculator'!$O$15/600,3)</f>
        <v>3.1E-2</v>
      </c>
      <c r="H263" s="33">
        <f>ROUND($C263*'2024-25 Elementary Calculator'!$Q$17/400,3)+ROUND($D263*'2024-25 Middle Calculator'!$O$17/432,3)+ROUND($E263*'2024-25 High Calculator'!$O$17/600,3)</f>
        <v>0.01</v>
      </c>
      <c r="I263" s="33">
        <f>ROUND($C263*'2024-25 Elementary Calculator'!$Q$18/400,3)+ROUND($D263*'2024-25 Middle Calculator'!$O$18/432,3)+ROUND($E263*'2024-25 High Calculator'!$O$18/600,3)</f>
        <v>5.8999999999999997E-2</v>
      </c>
      <c r="J263" s="166">
        <f t="shared" si="34"/>
        <v>0.2</v>
      </c>
      <c r="K263" s="33">
        <f>ROUND($C263*'2024-25 Elementary Calculator'!$Q$23/400,3)+ROUND($D263*'2024-25 Middle Calculator'!$O$23/432,3)+ROUND($E263*'2024-25 High Calculator'!$O$23/600,3)</f>
        <v>8.0000000000000002E-3</v>
      </c>
      <c r="L263" s="33">
        <f>ROUND($C263*'2024-25 Elementary Calculator'!$Q$22/400,3)+ROUND($D263*'2024-25 Middle Calculator'!$O$22/432,3)+ROUND($E263*'2024-25 High Calculator'!$O$22/600,3)</f>
        <v>8.0000000000000002E-3</v>
      </c>
      <c r="M263" s="166">
        <f t="shared" si="35"/>
        <v>1.6E-2</v>
      </c>
      <c r="N263" s="33">
        <f>VLOOKUP($A263,'District Summary'!$A$6:$AH$325,29,FALSE)</f>
        <v>0.11899999999999999</v>
      </c>
      <c r="O263" s="33">
        <f>VLOOKUP($A263,'District Summary'!$A$6:$AH$325,34,FALSE)</f>
        <v>0</v>
      </c>
      <c r="P263" s="67">
        <f t="shared" si="36"/>
        <v>-8.1000000000000016E-2</v>
      </c>
      <c r="Q263" s="67">
        <f t="shared" si="37"/>
        <v>-1.6E-2</v>
      </c>
      <c r="R263" s="67">
        <f t="shared" si="38"/>
        <v>0.21600000000000003</v>
      </c>
      <c r="S263" s="33">
        <f t="shared" si="39"/>
        <v>0.11899999999999999</v>
      </c>
      <c r="T263" s="67">
        <f t="shared" si="41"/>
        <v>-9.7000000000000003E-2</v>
      </c>
      <c r="U263" s="67">
        <f t="shared" si="40"/>
        <v>-9.7000000000000003E-2</v>
      </c>
      <c r="V263" s="273"/>
      <c r="W263" s="273"/>
    </row>
    <row r="264" spans="1:23" x14ac:dyDescent="0.25">
      <c r="A264" t="s">
        <v>248</v>
      </c>
      <c r="B264" t="s">
        <v>544</v>
      </c>
      <c r="C264" s="25">
        <f>SUMPRODUCT(VLOOKUP($A264,'PSES Enroll Snapshot 25-01-17'!$K$5:$AB$327,{2,3,4,5,6,7,8,9},0))</f>
        <v>58.52</v>
      </c>
      <c r="D264" s="25">
        <f>SUMPRODUCT(VLOOKUP($A264,'PSES Enroll Snapshot 25-01-17'!$K$5:$AB$327,{10,11},0))-VLOOKUP($A264,'PSES Enroll Snapshot 25-01-17'!$K$5:$AB$327,12,0)</f>
        <v>18.21</v>
      </c>
      <c r="E264" s="25">
        <f>SUMPRODUCT(VLOOKUP($A264,'PSES Enroll Snapshot 25-01-17'!$K$5:$AB$327,{13,14},0))-SUMPRODUCT(VLOOKUP($A264,'PSES Enroll Snapshot 25-01-17'!$K$5:$AB$327,{15,16,17},0))</f>
        <v>24.68</v>
      </c>
      <c r="F264" s="33">
        <f>ROUND($C264*'2024-25 Elementary Calculator'!$Q$13/400,3)+ROUND($D264*'2024-25 Middle Calculator'!$O$13/432,3)+ROUND($E264*'2024-25 High Calculator'!$O$13/600,3)</f>
        <v>0.34199999999999997</v>
      </c>
      <c r="G264" s="33">
        <f>ROUND($C264*'2024-25 Elementary Calculator'!$Q$15/400,3)+ROUND($D264*'2024-25 Middle Calculator'!$O$15/432,3)+ROUND($E264*'2024-25 High Calculator'!$O$15/600,3)</f>
        <v>5.3999999999999999E-2</v>
      </c>
      <c r="H264" s="33">
        <f>ROUND($C264*'2024-25 Elementary Calculator'!$Q$17/400,3)+ROUND($D264*'2024-25 Middle Calculator'!$O$17/432,3)+ROUND($E264*'2024-25 High Calculator'!$O$17/600,3)</f>
        <v>1.8000000000000002E-2</v>
      </c>
      <c r="I264" s="33">
        <f>ROUND($C264*'2024-25 Elementary Calculator'!$Q$18/400,3)+ROUND($D264*'2024-25 Middle Calculator'!$O$18/432,3)+ROUND($E264*'2024-25 High Calculator'!$O$18/600,3)</f>
        <v>0.157</v>
      </c>
      <c r="J264" s="166">
        <f t="shared" si="34"/>
        <v>0.57099999999999995</v>
      </c>
      <c r="K264" s="33">
        <f>ROUND($C264*'2024-25 Elementary Calculator'!$Q$23/400,3)+ROUND($D264*'2024-25 Middle Calculator'!$O$23/432,3)+ROUND($E264*'2024-25 High Calculator'!$O$23/600,3)</f>
        <v>2.1999999999999999E-2</v>
      </c>
      <c r="L264" s="33">
        <f>ROUND($C264*'2024-25 Elementary Calculator'!$Q$22/400,3)+ROUND($D264*'2024-25 Middle Calculator'!$O$22/432,3)+ROUND($E264*'2024-25 High Calculator'!$O$22/600,3)</f>
        <v>1.2E-2</v>
      </c>
      <c r="M264" s="166">
        <f t="shared" si="35"/>
        <v>3.4000000000000002E-2</v>
      </c>
      <c r="N264" s="33">
        <f>VLOOKUP($A264,'District Summary'!$A$6:$AH$325,29,FALSE)</f>
        <v>0.38500000000000001</v>
      </c>
      <c r="O264" s="33">
        <f>VLOOKUP($A264,'District Summary'!$A$6:$AH$325,34,FALSE)</f>
        <v>0</v>
      </c>
      <c r="P264" s="67">
        <f t="shared" si="36"/>
        <v>-0.18599999999999994</v>
      </c>
      <c r="Q264" s="67">
        <f t="shared" si="37"/>
        <v>-3.4000000000000002E-2</v>
      </c>
      <c r="R264" s="67">
        <f t="shared" si="38"/>
        <v>0.60499999999999998</v>
      </c>
      <c r="S264" s="33">
        <f t="shared" si="39"/>
        <v>0.38500000000000001</v>
      </c>
      <c r="T264" s="67">
        <f t="shared" si="41"/>
        <v>-0.22</v>
      </c>
      <c r="U264" s="67">
        <f t="shared" si="40"/>
        <v>-0.22</v>
      </c>
      <c r="V264" s="273"/>
      <c r="W264" s="273"/>
    </row>
    <row r="265" spans="1:23" x14ac:dyDescent="0.25">
      <c r="A265" t="s">
        <v>249</v>
      </c>
      <c r="B265" t="s">
        <v>545</v>
      </c>
      <c r="C265" s="25">
        <f>SUMPRODUCT(VLOOKUP($A265,'PSES Enroll Snapshot 25-01-17'!$K$5:$AB$327,{2,3,4,5,6,7,8,9},0))</f>
        <v>241.3</v>
      </c>
      <c r="D265" s="25">
        <f>SUMPRODUCT(VLOOKUP($A265,'PSES Enroll Snapshot 25-01-17'!$K$5:$AB$327,{10,11},0))-VLOOKUP($A265,'PSES Enroll Snapshot 25-01-17'!$K$5:$AB$327,12,0)</f>
        <v>70.599999999999994</v>
      </c>
      <c r="E265" s="25">
        <f>SUMPRODUCT(VLOOKUP($A265,'PSES Enroll Snapshot 25-01-17'!$K$5:$AB$327,{13,14},0))-SUMPRODUCT(VLOOKUP($A265,'PSES Enroll Snapshot 25-01-17'!$K$5:$AB$327,{15,16,17},0))</f>
        <v>118.21</v>
      </c>
      <c r="F265" s="33">
        <f>ROUND($C265*'2024-25 Elementary Calculator'!$Q$13/400,3)+ROUND($D265*'2024-25 Middle Calculator'!$O$13/432,3)+ROUND($E265*'2024-25 High Calculator'!$O$13/600,3)</f>
        <v>1.478</v>
      </c>
      <c r="G265" s="33">
        <f>ROUND($C265*'2024-25 Elementary Calculator'!$Q$15/400,3)+ROUND($D265*'2024-25 Middle Calculator'!$O$15/432,3)+ROUND($E265*'2024-25 High Calculator'!$O$15/600,3)</f>
        <v>0.22700000000000001</v>
      </c>
      <c r="H265" s="33">
        <f>ROUND($C265*'2024-25 Elementary Calculator'!$Q$17/400,3)+ROUND($D265*'2024-25 Middle Calculator'!$O$17/432,3)+ROUND($E265*'2024-25 High Calculator'!$O$17/600,3)</f>
        <v>7.6999999999999999E-2</v>
      </c>
      <c r="I265" s="33">
        <f>ROUND($C265*'2024-25 Elementary Calculator'!$Q$18/400,3)+ROUND($D265*'2024-25 Middle Calculator'!$O$18/432,3)+ROUND($E265*'2024-25 High Calculator'!$O$18/600,3)</f>
        <v>0.66</v>
      </c>
      <c r="J265" s="166">
        <f t="shared" si="34"/>
        <v>2.4420000000000002</v>
      </c>
      <c r="K265" s="33">
        <f>ROUND($C265*'2024-25 Elementary Calculator'!$Q$23/400,3)+ROUND($D265*'2024-25 Middle Calculator'!$O$23/432,3)+ROUND($E265*'2024-25 High Calculator'!$O$23/600,3)</f>
        <v>9.0999999999999998E-2</v>
      </c>
      <c r="L265" s="33">
        <f>ROUND($C265*'2024-25 Elementary Calculator'!$Q$22/400,3)+ROUND($D265*'2024-25 Middle Calculator'!$O$22/432,3)+ROUND($E265*'2024-25 High Calculator'!$O$22/600,3)</f>
        <v>0.05</v>
      </c>
      <c r="M265" s="166">
        <f t="shared" si="35"/>
        <v>0.14100000000000001</v>
      </c>
      <c r="N265" s="33">
        <f>VLOOKUP($A265,'District Summary'!$A$6:$AH$325,29,FALSE)</f>
        <v>0.42299999999999999</v>
      </c>
      <c r="O265" s="33">
        <f>VLOOKUP($A265,'District Summary'!$A$6:$AH$325,34,FALSE)</f>
        <v>0.38700000000000001</v>
      </c>
      <c r="P265" s="67">
        <f t="shared" si="36"/>
        <v>-2.0190000000000001</v>
      </c>
      <c r="Q265" s="67">
        <f t="shared" si="37"/>
        <v>0.246</v>
      </c>
      <c r="R265" s="67">
        <f t="shared" si="38"/>
        <v>2.5830000000000002</v>
      </c>
      <c r="S265" s="33">
        <f t="shared" si="39"/>
        <v>0.81</v>
      </c>
      <c r="T265" s="67">
        <f t="shared" si="41"/>
        <v>-1.7729999999999999</v>
      </c>
      <c r="U265" s="67">
        <f t="shared" si="40"/>
        <v>-1.7729999999999999</v>
      </c>
      <c r="V265" s="273"/>
      <c r="W265" s="273"/>
    </row>
    <row r="266" spans="1:23" x14ac:dyDescent="0.25">
      <c r="A266" t="s">
        <v>250</v>
      </c>
      <c r="B266" t="s">
        <v>546</v>
      </c>
      <c r="C266" s="25">
        <f>SUMPRODUCT(VLOOKUP($A266,'PSES Enroll Snapshot 25-01-17'!$K$5:$AB$327,{2,3,4,5,6,7,8,9},0))</f>
        <v>81.8</v>
      </c>
      <c r="D266" s="25">
        <f>SUMPRODUCT(VLOOKUP($A266,'PSES Enroll Snapshot 25-01-17'!$K$5:$AB$327,{10,11},0))-VLOOKUP($A266,'PSES Enroll Snapshot 25-01-17'!$K$5:$AB$327,12,0)</f>
        <v>24.6</v>
      </c>
      <c r="E266" s="25">
        <f>SUMPRODUCT(VLOOKUP($A266,'PSES Enroll Snapshot 25-01-17'!$K$5:$AB$327,{13,14},0))-SUMPRODUCT(VLOOKUP($A266,'PSES Enroll Snapshot 25-01-17'!$K$5:$AB$327,{15,16,17},0))</f>
        <v>49.16</v>
      </c>
      <c r="F266" s="33">
        <f>ROUND($C266*'2024-25 Elementary Calculator'!$Q$13/400,3)+ROUND($D266*'2024-25 Middle Calculator'!$O$13/432,3)+ROUND($E266*'2024-25 High Calculator'!$O$13/600,3)</f>
        <v>0.55000000000000004</v>
      </c>
      <c r="G266" s="33">
        <f>ROUND($C266*'2024-25 Elementary Calculator'!$Q$15/400,3)+ROUND($D266*'2024-25 Middle Calculator'!$O$15/432,3)+ROUND($E266*'2024-25 High Calculator'!$O$15/600,3)</f>
        <v>7.9000000000000001E-2</v>
      </c>
      <c r="H266" s="33">
        <f>ROUND($C266*'2024-25 Elementary Calculator'!$Q$17/400,3)+ROUND($D266*'2024-25 Middle Calculator'!$O$17/432,3)+ROUND($E266*'2024-25 High Calculator'!$O$17/600,3)</f>
        <v>2.6000000000000002E-2</v>
      </c>
      <c r="I266" s="33">
        <f>ROUND($C266*'2024-25 Elementary Calculator'!$Q$18/400,3)+ROUND($D266*'2024-25 Middle Calculator'!$O$18/432,3)+ROUND($E266*'2024-25 High Calculator'!$O$18/600,3)</f>
        <v>0.23899999999999999</v>
      </c>
      <c r="J266" s="166">
        <f t="shared" si="34"/>
        <v>0.89400000000000002</v>
      </c>
      <c r="K266" s="33">
        <f>ROUND($C266*'2024-25 Elementary Calculator'!$Q$23/400,3)+ROUND($D266*'2024-25 Middle Calculator'!$O$23/432,3)+ROUND($E266*'2024-25 High Calculator'!$O$23/600,3)</f>
        <v>3.3000000000000002E-2</v>
      </c>
      <c r="L266" s="33">
        <f>ROUND($C266*'2024-25 Elementary Calculator'!$Q$22/400,3)+ROUND($D266*'2024-25 Middle Calculator'!$O$22/432,3)+ROUND($E266*'2024-25 High Calculator'!$O$22/600,3)</f>
        <v>1.7000000000000001E-2</v>
      </c>
      <c r="M266" s="166">
        <f t="shared" si="35"/>
        <v>0.05</v>
      </c>
      <c r="N266" s="33">
        <f>VLOOKUP($A266,'District Summary'!$A$6:$AH$325,29,FALSE)</f>
        <v>8.6999999999999994E-2</v>
      </c>
      <c r="O266" s="33">
        <f>VLOOKUP($A266,'District Summary'!$A$6:$AH$325,34,FALSE)</f>
        <v>0.35500000000000004</v>
      </c>
      <c r="P266" s="67">
        <f t="shared" si="36"/>
        <v>-0.80700000000000005</v>
      </c>
      <c r="Q266" s="67">
        <f t="shared" si="37"/>
        <v>0.30500000000000005</v>
      </c>
      <c r="R266" s="67">
        <f t="shared" si="38"/>
        <v>0.94400000000000006</v>
      </c>
      <c r="S266" s="33">
        <f t="shared" si="39"/>
        <v>0.44200000000000006</v>
      </c>
      <c r="T266" s="67">
        <f t="shared" si="41"/>
        <v>-0.502</v>
      </c>
      <c r="U266" s="67">
        <f t="shared" si="40"/>
        <v>-0.502</v>
      </c>
      <c r="V266" s="273"/>
      <c r="W266" s="273"/>
    </row>
    <row r="267" spans="1:23" x14ac:dyDescent="0.25">
      <c r="A267" t="s">
        <v>251</v>
      </c>
      <c r="B267" t="s">
        <v>547</v>
      </c>
      <c r="C267" s="25">
        <f>SUMPRODUCT(VLOOKUP($A267,'PSES Enroll Snapshot 25-01-17'!$K$5:$AB$327,{2,3,4,5,6,7,8,9},0))</f>
        <v>348.38</v>
      </c>
      <c r="D267" s="25">
        <f>SUMPRODUCT(VLOOKUP($A267,'PSES Enroll Snapshot 25-01-17'!$K$5:$AB$327,{10,11},0))-VLOOKUP($A267,'PSES Enroll Snapshot 25-01-17'!$K$5:$AB$327,12,0)</f>
        <v>97.64</v>
      </c>
      <c r="E267" s="25">
        <f>SUMPRODUCT(VLOOKUP($A267,'PSES Enroll Snapshot 25-01-17'!$K$5:$AB$327,{13,14},0))-SUMPRODUCT(VLOOKUP($A267,'PSES Enroll Snapshot 25-01-17'!$K$5:$AB$327,{15,16,17},0))</f>
        <v>149.44999999999999</v>
      </c>
      <c r="F267" s="33">
        <f>ROUND($C267*'2024-25 Elementary Calculator'!$Q$13/400,3)+ROUND($D267*'2024-25 Middle Calculator'!$O$13/432,3)+ROUND($E267*'2024-25 High Calculator'!$O$13/600,3)</f>
        <v>2.0100000000000002</v>
      </c>
      <c r="G267" s="33">
        <f>ROUND($C267*'2024-25 Elementary Calculator'!$Q$15/400,3)+ROUND($D267*'2024-25 Middle Calculator'!$O$15/432,3)+ROUND($E267*'2024-25 High Calculator'!$O$15/600,3)</f>
        <v>0.32300000000000006</v>
      </c>
      <c r="H267" s="33">
        <f>ROUND($C267*'2024-25 Elementary Calculator'!$Q$17/400,3)+ROUND($D267*'2024-25 Middle Calculator'!$O$17/432,3)+ROUND($E267*'2024-25 High Calculator'!$O$17/600,3)</f>
        <v>0.108</v>
      </c>
      <c r="I267" s="33">
        <f>ROUND($C267*'2024-25 Elementary Calculator'!$Q$18/400,3)+ROUND($D267*'2024-25 Middle Calculator'!$O$18/432,3)+ROUND($E267*'2024-25 High Calculator'!$O$18/600,3)</f>
        <v>0.91600000000000004</v>
      </c>
      <c r="J267" s="166">
        <f t="shared" si="34"/>
        <v>3.3570000000000002</v>
      </c>
      <c r="K267" s="33">
        <f>ROUND($C267*'2024-25 Elementary Calculator'!$Q$23/400,3)+ROUND($D267*'2024-25 Middle Calculator'!$O$23/432,3)+ROUND($E267*'2024-25 High Calculator'!$O$23/600,3)</f>
        <v>0.125</v>
      </c>
      <c r="L267" s="33">
        <f>ROUND($C267*'2024-25 Elementary Calculator'!$Q$22/400,3)+ROUND($D267*'2024-25 Middle Calculator'!$O$22/432,3)+ROUND($E267*'2024-25 High Calculator'!$O$22/600,3)</f>
        <v>7.1999999999999995E-2</v>
      </c>
      <c r="M267" s="166">
        <f t="shared" si="35"/>
        <v>0.19700000000000001</v>
      </c>
      <c r="N267" s="33">
        <f>VLOOKUP($A267,'District Summary'!$A$6:$AH$325,29,FALSE)</f>
        <v>4.0650000000000004</v>
      </c>
      <c r="O267" s="33">
        <f>VLOOKUP($A267,'District Summary'!$A$6:$AH$325,34,FALSE)</f>
        <v>2.343</v>
      </c>
      <c r="P267" s="67">
        <f t="shared" si="36"/>
        <v>0.70800000000000018</v>
      </c>
      <c r="Q267" s="67">
        <f t="shared" si="37"/>
        <v>2.1459999999999999</v>
      </c>
      <c r="R267" s="67">
        <f t="shared" si="38"/>
        <v>3.5540000000000003</v>
      </c>
      <c r="S267" s="33">
        <f t="shared" si="39"/>
        <v>6.4080000000000004</v>
      </c>
      <c r="T267" s="67">
        <f t="shared" si="41"/>
        <v>2.8540000000000001</v>
      </c>
      <c r="U267" s="67">
        <f t="shared" si="40"/>
        <v>0</v>
      </c>
      <c r="V267" s="273"/>
      <c r="W267" s="273"/>
    </row>
    <row r="268" spans="1:23" x14ac:dyDescent="0.25">
      <c r="A268" t="s">
        <v>252</v>
      </c>
      <c r="B268" t="s">
        <v>548</v>
      </c>
      <c r="C268" s="25">
        <f>SUMPRODUCT(VLOOKUP($A268,'PSES Enroll Snapshot 25-01-17'!$K$5:$AB$327,{2,3,4,5,6,7,8,9},0))</f>
        <v>2982.3599999999997</v>
      </c>
      <c r="D268" s="25">
        <f>SUMPRODUCT(VLOOKUP($A268,'PSES Enroll Snapshot 25-01-17'!$K$5:$AB$327,{10,11},0))-VLOOKUP($A268,'PSES Enroll Snapshot 25-01-17'!$K$5:$AB$327,12,0)</f>
        <v>810.15</v>
      </c>
      <c r="E268" s="25">
        <f>SUMPRODUCT(VLOOKUP($A268,'PSES Enroll Snapshot 25-01-17'!$K$5:$AB$327,{13,14},0))-SUMPRODUCT(VLOOKUP($A268,'PSES Enroll Snapshot 25-01-17'!$K$5:$AB$327,{15,16,17},0))</f>
        <v>1139.4099999999999</v>
      </c>
      <c r="F268" s="33">
        <f>ROUND($C268*'2024-25 Elementary Calculator'!$Q$13/400,3)+ROUND($D268*'2024-25 Middle Calculator'!$O$13/432,3)+ROUND($E268*'2024-25 High Calculator'!$O$13/600,3)</f>
        <v>16.393000000000001</v>
      </c>
      <c r="G268" s="33">
        <f>ROUND($C268*'2024-25 Elementary Calculator'!$Q$15/400,3)+ROUND($D268*'2024-25 Middle Calculator'!$O$15/432,3)+ROUND($E268*'2024-25 High Calculator'!$O$15/600,3)</f>
        <v>2.7250000000000001</v>
      </c>
      <c r="H268" s="33">
        <f>ROUND($C268*'2024-25 Elementary Calculator'!$Q$17/400,3)+ROUND($D268*'2024-25 Middle Calculator'!$O$17/432,3)+ROUND($E268*'2024-25 High Calculator'!$O$17/600,3)</f>
        <v>0.91300000000000003</v>
      </c>
      <c r="I268" s="33">
        <f>ROUND($C268*'2024-25 Elementary Calculator'!$Q$18/400,3)+ROUND($D268*'2024-25 Middle Calculator'!$O$18/432,3)+ROUND($E268*'2024-25 High Calculator'!$O$18/600,3)</f>
        <v>7.5920000000000005</v>
      </c>
      <c r="J268" s="166">
        <f t="shared" si="34"/>
        <v>27.623000000000005</v>
      </c>
      <c r="K268" s="33">
        <f>ROUND($C268*'2024-25 Elementary Calculator'!$Q$23/400,3)+ROUND($D268*'2024-25 Middle Calculator'!$O$23/432,3)+ROUND($E268*'2024-25 High Calculator'!$O$23/600,3)</f>
        <v>1.03</v>
      </c>
      <c r="L268" s="33">
        <f>ROUND($C268*'2024-25 Elementary Calculator'!$Q$22/400,3)+ROUND($D268*'2024-25 Middle Calculator'!$O$22/432,3)+ROUND($E268*'2024-25 High Calculator'!$O$22/600,3)</f>
        <v>0.61499999999999999</v>
      </c>
      <c r="M268" s="166">
        <f t="shared" si="35"/>
        <v>1.645</v>
      </c>
      <c r="N268" s="33">
        <f>VLOOKUP($A268,'District Summary'!$A$6:$AH$325,29,FALSE)</f>
        <v>17.204000000000001</v>
      </c>
      <c r="O268" s="33">
        <f>VLOOKUP($A268,'District Summary'!$A$6:$AH$325,34,FALSE)</f>
        <v>14.353</v>
      </c>
      <c r="P268" s="67">
        <f t="shared" si="36"/>
        <v>-10.419000000000004</v>
      </c>
      <c r="Q268" s="67">
        <f t="shared" si="37"/>
        <v>12.708</v>
      </c>
      <c r="R268" s="67">
        <f t="shared" si="38"/>
        <v>29.268000000000004</v>
      </c>
      <c r="S268" s="33">
        <f t="shared" si="39"/>
        <v>31.557000000000002</v>
      </c>
      <c r="T268" s="67">
        <f t="shared" si="41"/>
        <v>2.2890000000000001</v>
      </c>
      <c r="U268" s="67">
        <f t="shared" si="40"/>
        <v>0</v>
      </c>
      <c r="V268" s="273"/>
      <c r="W268" s="273"/>
    </row>
    <row r="269" spans="1:23" x14ac:dyDescent="0.25">
      <c r="A269" t="s">
        <v>253</v>
      </c>
      <c r="B269" t="s">
        <v>549</v>
      </c>
      <c r="C269" s="25">
        <f>SUMPRODUCT(VLOOKUP($A269,'PSES Enroll Snapshot 25-01-17'!$K$5:$AB$327,{2,3,4,5,6,7,8,9},0))</f>
        <v>7785.56</v>
      </c>
      <c r="D269" s="25">
        <f>SUMPRODUCT(VLOOKUP($A269,'PSES Enroll Snapshot 25-01-17'!$K$5:$AB$327,{10,11},0))-VLOOKUP($A269,'PSES Enroll Snapshot 25-01-17'!$K$5:$AB$327,12,0)</f>
        <v>1930.3500000000001</v>
      </c>
      <c r="E269" s="25">
        <f>SUMPRODUCT(VLOOKUP($A269,'PSES Enroll Snapshot 25-01-17'!$K$5:$AB$327,{13,14},0))-SUMPRODUCT(VLOOKUP($A269,'PSES Enroll Snapshot 25-01-17'!$K$5:$AB$327,{15,16,17},0))</f>
        <v>3131.96</v>
      </c>
      <c r="F269" s="33">
        <f>ROUND($C269*'2024-25 Elementary Calculator'!$Q$13/400,3)+ROUND($D269*'2024-25 Middle Calculator'!$O$13/432,3)+ROUND($E269*'2024-25 High Calculator'!$O$13/600,3)</f>
        <v>42.858999999999995</v>
      </c>
      <c r="G269" s="33">
        <f>ROUND($C269*'2024-25 Elementary Calculator'!$Q$15/400,3)+ROUND($D269*'2024-25 Middle Calculator'!$O$15/432,3)+ROUND($E269*'2024-25 High Calculator'!$O$15/600,3)</f>
        <v>7.109</v>
      </c>
      <c r="H269" s="33">
        <f>ROUND($C269*'2024-25 Elementary Calculator'!$Q$17/400,3)+ROUND($D269*'2024-25 Middle Calculator'!$O$17/432,3)+ROUND($E269*'2024-25 High Calculator'!$O$17/600,3)</f>
        <v>2.3870000000000005</v>
      </c>
      <c r="I269" s="33">
        <f>ROUND($C269*'2024-25 Elementary Calculator'!$Q$18/400,3)+ROUND($D269*'2024-25 Middle Calculator'!$O$18/432,3)+ROUND($E269*'2024-25 High Calculator'!$O$18/600,3)</f>
        <v>19.655000000000001</v>
      </c>
      <c r="J269" s="166">
        <f t="shared" si="34"/>
        <v>72.009999999999991</v>
      </c>
      <c r="K269" s="33">
        <f>ROUND($C269*'2024-25 Elementary Calculator'!$Q$23/400,3)+ROUND($D269*'2024-25 Middle Calculator'!$O$23/432,3)+ROUND($E269*'2024-25 High Calculator'!$O$23/600,3)</f>
        <v>2.6850000000000001</v>
      </c>
      <c r="L269" s="33">
        <f>ROUND($C269*'2024-25 Elementary Calculator'!$Q$22/400,3)+ROUND($D269*'2024-25 Middle Calculator'!$O$22/432,3)+ROUND($E269*'2024-25 High Calculator'!$O$22/600,3)</f>
        <v>1.6060000000000001</v>
      </c>
      <c r="M269" s="166">
        <f t="shared" si="35"/>
        <v>4.2910000000000004</v>
      </c>
      <c r="N269" s="33">
        <f>VLOOKUP($A269,'District Summary'!$A$6:$AH$325,29,FALSE)</f>
        <v>72.301999999999992</v>
      </c>
      <c r="O269" s="33">
        <f>VLOOKUP($A269,'District Summary'!$A$6:$AH$325,34,FALSE)</f>
        <v>43.701999999999998</v>
      </c>
      <c r="P269" s="67">
        <f t="shared" si="36"/>
        <v>0.29200000000000159</v>
      </c>
      <c r="Q269" s="67">
        <f t="shared" si="37"/>
        <v>39.411000000000001</v>
      </c>
      <c r="R269" s="67">
        <f t="shared" si="38"/>
        <v>76.300999999999988</v>
      </c>
      <c r="S269" s="33">
        <f t="shared" si="39"/>
        <v>116.00399999999999</v>
      </c>
      <c r="T269" s="67">
        <f t="shared" si="41"/>
        <v>39.703000000000003</v>
      </c>
      <c r="U269" s="67">
        <f t="shared" si="40"/>
        <v>0</v>
      </c>
      <c r="V269" s="273"/>
      <c r="W269" s="273"/>
    </row>
    <row r="270" spans="1:23" x14ac:dyDescent="0.25">
      <c r="A270" t="s">
        <v>254</v>
      </c>
      <c r="B270" t="s">
        <v>550</v>
      </c>
      <c r="C270" s="25">
        <f>SUMPRODUCT(VLOOKUP($A270,'PSES Enroll Snapshot 25-01-17'!$K$5:$AB$327,{2,3,4,5,6,7,8,9},0))</f>
        <v>3159.67</v>
      </c>
      <c r="D270" s="25">
        <f>SUMPRODUCT(VLOOKUP($A270,'PSES Enroll Snapshot 25-01-17'!$K$5:$AB$327,{10,11},0))-VLOOKUP($A270,'PSES Enroll Snapshot 25-01-17'!$K$5:$AB$327,12,0)</f>
        <v>777.54</v>
      </c>
      <c r="E270" s="25">
        <f>SUMPRODUCT(VLOOKUP($A270,'PSES Enroll Snapshot 25-01-17'!$K$5:$AB$327,{13,14},0))-SUMPRODUCT(VLOOKUP($A270,'PSES Enroll Snapshot 25-01-17'!$K$5:$AB$327,{15,16,17},0))</f>
        <v>1186.48</v>
      </c>
      <c r="F270" s="33">
        <f>ROUND($C270*'2024-25 Elementary Calculator'!$Q$13/400,3)+ROUND($D270*'2024-25 Middle Calculator'!$O$13/432,3)+ROUND($E270*'2024-25 High Calculator'!$O$13/600,3)</f>
        <v>16.942999999999998</v>
      </c>
      <c r="G270" s="33">
        <f>ROUND($C270*'2024-25 Elementary Calculator'!$Q$15/400,3)+ROUND($D270*'2024-25 Middle Calculator'!$O$15/432,3)+ROUND($E270*'2024-25 High Calculator'!$O$15/600,3)</f>
        <v>2.8659999999999997</v>
      </c>
      <c r="H270" s="33">
        <f>ROUND($C270*'2024-25 Elementary Calculator'!$Q$17/400,3)+ROUND($D270*'2024-25 Middle Calculator'!$O$17/432,3)+ROUND($E270*'2024-25 High Calculator'!$O$17/600,3)</f>
        <v>0.96199999999999997</v>
      </c>
      <c r="I270" s="33">
        <f>ROUND($C270*'2024-25 Elementary Calculator'!$Q$18/400,3)+ROUND($D270*'2024-25 Middle Calculator'!$O$18/432,3)+ROUND($E270*'2024-25 High Calculator'!$O$18/600,3)</f>
        <v>7.8480000000000008</v>
      </c>
      <c r="J270" s="166">
        <f t="shared" si="34"/>
        <v>28.619</v>
      </c>
      <c r="K270" s="33">
        <f>ROUND($C270*'2024-25 Elementary Calculator'!$Q$23/400,3)+ROUND($D270*'2024-25 Middle Calculator'!$O$23/432,3)+ROUND($E270*'2024-25 High Calculator'!$O$23/600,3)</f>
        <v>1.069</v>
      </c>
      <c r="L270" s="33">
        <f>ROUND($C270*'2024-25 Elementary Calculator'!$Q$22/400,3)+ROUND($D270*'2024-25 Middle Calculator'!$O$22/432,3)+ROUND($E270*'2024-25 High Calculator'!$O$22/600,3)</f>
        <v>0.65200000000000002</v>
      </c>
      <c r="M270" s="166">
        <f t="shared" si="35"/>
        <v>1.7210000000000001</v>
      </c>
      <c r="N270" s="33">
        <f>VLOOKUP($A270,'District Summary'!$A$6:$AH$325,29,FALSE)</f>
        <v>27.806999999999999</v>
      </c>
      <c r="O270" s="33">
        <f>VLOOKUP($A270,'District Summary'!$A$6:$AH$325,34,FALSE)</f>
        <v>21.498000000000001</v>
      </c>
      <c r="P270" s="67">
        <f t="shared" si="36"/>
        <v>-0.81200000000000117</v>
      </c>
      <c r="Q270" s="67">
        <f t="shared" si="37"/>
        <v>19.777000000000001</v>
      </c>
      <c r="R270" s="67">
        <f t="shared" si="38"/>
        <v>30.34</v>
      </c>
      <c r="S270" s="33">
        <f t="shared" si="39"/>
        <v>49.305</v>
      </c>
      <c r="T270" s="67">
        <f t="shared" si="41"/>
        <v>18.965</v>
      </c>
      <c r="U270" s="67">
        <f t="shared" si="40"/>
        <v>0</v>
      </c>
      <c r="V270" s="273"/>
      <c r="W270" s="273"/>
    </row>
    <row r="271" spans="1:23" x14ac:dyDescent="0.25">
      <c r="A271" t="s">
        <v>255</v>
      </c>
      <c r="B271" t="s">
        <v>551</v>
      </c>
      <c r="C271" s="25">
        <f>SUMPRODUCT(VLOOKUP($A271,'PSES Enroll Snapshot 25-01-17'!$K$5:$AB$327,{2,3,4,5,6,7,8,9},0))</f>
        <v>4335.97</v>
      </c>
      <c r="D271" s="25">
        <f>SUMPRODUCT(VLOOKUP($A271,'PSES Enroll Snapshot 25-01-17'!$K$5:$AB$327,{10,11},0))-VLOOKUP($A271,'PSES Enroll Snapshot 25-01-17'!$K$5:$AB$327,12,0)</f>
        <v>1262.83</v>
      </c>
      <c r="E271" s="25">
        <f>SUMPRODUCT(VLOOKUP($A271,'PSES Enroll Snapshot 25-01-17'!$K$5:$AB$327,{13,14},0))-SUMPRODUCT(VLOOKUP($A271,'PSES Enroll Snapshot 25-01-17'!$K$5:$AB$327,{15,16,17},0))</f>
        <v>2174.4899999999998</v>
      </c>
      <c r="F271" s="33">
        <f>ROUND($C271*'2024-25 Elementary Calculator'!$Q$13/400,3)+ROUND($D271*'2024-25 Middle Calculator'!$O$13/432,3)+ROUND($E271*'2024-25 High Calculator'!$O$13/600,3)</f>
        <v>26.793999999999997</v>
      </c>
      <c r="G271" s="33">
        <f>ROUND($C271*'2024-25 Elementary Calculator'!$Q$15/400,3)+ROUND($D271*'2024-25 Middle Calculator'!$O$15/432,3)+ROUND($E271*'2024-25 High Calculator'!$O$15/600,3)</f>
        <v>4.0880000000000001</v>
      </c>
      <c r="H271" s="33">
        <f>ROUND($C271*'2024-25 Elementary Calculator'!$Q$17/400,3)+ROUND($D271*'2024-25 Middle Calculator'!$O$17/432,3)+ROUND($E271*'2024-25 High Calculator'!$O$17/600,3)</f>
        <v>1.375</v>
      </c>
      <c r="I271" s="33">
        <f>ROUND($C271*'2024-25 Elementary Calculator'!$Q$18/400,3)+ROUND($D271*'2024-25 Middle Calculator'!$O$18/432,3)+ROUND($E271*'2024-25 High Calculator'!$O$18/600,3)</f>
        <v>11.923000000000002</v>
      </c>
      <c r="J271" s="166">
        <f t="shared" si="34"/>
        <v>44.18</v>
      </c>
      <c r="K271" s="33">
        <f>ROUND($C271*'2024-25 Elementary Calculator'!$Q$23/400,3)+ROUND($D271*'2024-25 Middle Calculator'!$O$23/432,3)+ROUND($E271*'2024-25 High Calculator'!$O$23/600,3)</f>
        <v>1.6360000000000001</v>
      </c>
      <c r="L271" s="33">
        <f>ROUND($C271*'2024-25 Elementary Calculator'!$Q$22/400,3)+ROUND($D271*'2024-25 Middle Calculator'!$O$22/432,3)+ROUND($E271*'2024-25 High Calculator'!$O$22/600,3)</f>
        <v>0.89400000000000002</v>
      </c>
      <c r="M271" s="166">
        <f t="shared" si="35"/>
        <v>2.5300000000000002</v>
      </c>
      <c r="N271" s="33">
        <f>VLOOKUP($A271,'District Summary'!$A$6:$AH$325,29,FALSE)</f>
        <v>39.128</v>
      </c>
      <c r="O271" s="33">
        <f>VLOOKUP($A271,'District Summary'!$A$6:$AH$325,34,FALSE)</f>
        <v>13.618999999999998</v>
      </c>
      <c r="P271" s="67">
        <f t="shared" si="36"/>
        <v>-5.0519999999999996</v>
      </c>
      <c r="Q271" s="67">
        <f t="shared" si="37"/>
        <v>11.088999999999999</v>
      </c>
      <c r="R271" s="67">
        <f t="shared" si="38"/>
        <v>46.71</v>
      </c>
      <c r="S271" s="33">
        <f t="shared" si="39"/>
        <v>52.747</v>
      </c>
      <c r="T271" s="67">
        <f t="shared" si="41"/>
        <v>6.0369999999999999</v>
      </c>
      <c r="U271" s="67">
        <f t="shared" si="40"/>
        <v>0</v>
      </c>
      <c r="V271" s="273"/>
      <c r="W271" s="273"/>
    </row>
    <row r="272" spans="1:23" x14ac:dyDescent="0.25">
      <c r="A272" t="s">
        <v>256</v>
      </c>
      <c r="B272" t="s">
        <v>552</v>
      </c>
      <c r="C272" s="25">
        <f>SUMPRODUCT(VLOOKUP($A272,'PSES Enroll Snapshot 25-01-17'!$K$5:$AB$327,{2,3,4,5,6,7,8,9},0))</f>
        <v>516.35</v>
      </c>
      <c r="D272" s="25">
        <f>SUMPRODUCT(VLOOKUP($A272,'PSES Enroll Snapshot 25-01-17'!$K$5:$AB$327,{10,11},0))-VLOOKUP($A272,'PSES Enroll Snapshot 25-01-17'!$K$5:$AB$327,12,0)</f>
        <v>157.41999999999999</v>
      </c>
      <c r="E272" s="25">
        <f>SUMPRODUCT(VLOOKUP($A272,'PSES Enroll Snapshot 25-01-17'!$K$5:$AB$327,{13,14},0))-SUMPRODUCT(VLOOKUP($A272,'PSES Enroll Snapshot 25-01-17'!$K$5:$AB$327,{15,16,17},0))</f>
        <v>181.88000000000002</v>
      </c>
      <c r="F272" s="33">
        <f>ROUND($C272*'2024-25 Elementary Calculator'!$Q$13/400,3)+ROUND($D272*'2024-25 Middle Calculator'!$O$13/432,3)+ROUND($E272*'2024-25 High Calculator'!$O$13/600,3)</f>
        <v>2.8280000000000003</v>
      </c>
      <c r="G272" s="33">
        <f>ROUND($C272*'2024-25 Elementary Calculator'!$Q$15/400,3)+ROUND($D272*'2024-25 Middle Calculator'!$O$15/432,3)+ROUND($E272*'2024-25 High Calculator'!$O$15/600,3)</f>
        <v>0.47100000000000003</v>
      </c>
      <c r="H272" s="33">
        <f>ROUND($C272*'2024-25 Elementary Calculator'!$Q$17/400,3)+ROUND($D272*'2024-25 Middle Calculator'!$O$17/432,3)+ROUND($E272*'2024-25 High Calculator'!$O$17/600,3)</f>
        <v>0.15800000000000003</v>
      </c>
      <c r="I272" s="33">
        <f>ROUND($C272*'2024-25 Elementary Calculator'!$Q$18/400,3)+ROUND($D272*'2024-25 Middle Calculator'!$O$18/432,3)+ROUND($E272*'2024-25 High Calculator'!$O$18/600,3)</f>
        <v>1.329</v>
      </c>
      <c r="J272" s="166">
        <f t="shared" si="34"/>
        <v>4.7860000000000005</v>
      </c>
      <c r="K272" s="33">
        <f>ROUND($C272*'2024-25 Elementary Calculator'!$Q$23/400,3)+ROUND($D272*'2024-25 Middle Calculator'!$O$23/432,3)+ROUND($E272*'2024-25 High Calculator'!$O$23/600,3)</f>
        <v>0.17899999999999999</v>
      </c>
      <c r="L272" s="33">
        <f>ROUND($C272*'2024-25 Elementary Calculator'!$Q$22/400,3)+ROUND($D272*'2024-25 Middle Calculator'!$O$22/432,3)+ROUND($E272*'2024-25 High Calculator'!$O$22/600,3)</f>
        <v>0.106</v>
      </c>
      <c r="M272" s="166">
        <f t="shared" si="35"/>
        <v>0.28499999999999998</v>
      </c>
      <c r="N272" s="33">
        <f>VLOOKUP($A272,'District Summary'!$A$6:$AH$325,29,FALSE)</f>
        <v>4.8839999999999995</v>
      </c>
      <c r="O272" s="33">
        <f>VLOOKUP($A272,'District Summary'!$A$6:$AH$325,34,FALSE)</f>
        <v>1.56</v>
      </c>
      <c r="P272" s="67">
        <f t="shared" si="36"/>
        <v>9.7999999999998977E-2</v>
      </c>
      <c r="Q272" s="67">
        <f t="shared" si="37"/>
        <v>1.2750000000000001</v>
      </c>
      <c r="R272" s="67">
        <f t="shared" si="38"/>
        <v>5.0710000000000006</v>
      </c>
      <c r="S272" s="33">
        <f t="shared" si="39"/>
        <v>6.4439999999999991</v>
      </c>
      <c r="T272" s="67">
        <f t="shared" si="41"/>
        <v>1.373</v>
      </c>
      <c r="U272" s="67">
        <f t="shared" si="40"/>
        <v>0</v>
      </c>
      <c r="V272" s="273"/>
      <c r="W272" s="273"/>
    </row>
    <row r="273" spans="1:23" x14ac:dyDescent="0.25">
      <c r="A273" t="s">
        <v>257</v>
      </c>
      <c r="B273" t="s">
        <v>553</v>
      </c>
      <c r="C273" s="25">
        <f>SUMPRODUCT(VLOOKUP($A273,'PSES Enroll Snapshot 25-01-17'!$K$5:$AB$327,{2,3,4,5,6,7,8,9},0))</f>
        <v>455.81999999999994</v>
      </c>
      <c r="D273" s="25">
        <f>SUMPRODUCT(VLOOKUP($A273,'PSES Enroll Snapshot 25-01-17'!$K$5:$AB$327,{10,11},0))-VLOOKUP($A273,'PSES Enroll Snapshot 25-01-17'!$K$5:$AB$327,12,0)</f>
        <v>121.29</v>
      </c>
      <c r="E273" s="25">
        <f>SUMPRODUCT(VLOOKUP($A273,'PSES Enroll Snapshot 25-01-17'!$K$5:$AB$327,{13,14},0))-SUMPRODUCT(VLOOKUP($A273,'PSES Enroll Snapshot 25-01-17'!$K$5:$AB$327,{15,16,17},0))</f>
        <v>0</v>
      </c>
      <c r="F273" s="33">
        <f>ROUND($C273*'2024-25 Elementary Calculator'!$Q$13/400,3)+ROUND($D273*'2024-25 Middle Calculator'!$O$13/432,3)+ROUND($E273*'2024-25 High Calculator'!$O$13/600,3)</f>
        <v>1.6139999999999999</v>
      </c>
      <c r="G273" s="33">
        <f>ROUND($C273*'2024-25 Elementary Calculator'!$Q$15/400,3)+ROUND($D273*'2024-25 Middle Calculator'!$O$15/432,3)+ROUND($E273*'2024-25 High Calculator'!$O$15/600,3)</f>
        <v>0.379</v>
      </c>
      <c r="H273" s="33">
        <f>ROUND($C273*'2024-25 Elementary Calculator'!$Q$17/400,3)+ROUND($D273*'2024-25 Middle Calculator'!$O$17/432,3)+ROUND($E273*'2024-25 High Calculator'!$O$17/600,3)</f>
        <v>0.126</v>
      </c>
      <c r="I273" s="33">
        <f>ROUND($C273*'2024-25 Elementary Calculator'!$Q$18/400,3)+ROUND($D273*'2024-25 Middle Calculator'!$O$18/432,3)+ROUND($E273*'2024-25 High Calculator'!$O$18/600,3)</f>
        <v>0.91600000000000004</v>
      </c>
      <c r="J273" s="166">
        <f t="shared" si="34"/>
        <v>3.0349999999999997</v>
      </c>
      <c r="K273" s="33">
        <f>ROUND($C273*'2024-25 Elementary Calculator'!$Q$23/400,3)+ROUND($D273*'2024-25 Middle Calculator'!$O$23/432,3)+ROUND($E273*'2024-25 High Calculator'!$O$23/600,3)</f>
        <v>0.11599999999999999</v>
      </c>
      <c r="L273" s="33">
        <f>ROUND($C273*'2024-25 Elementary Calculator'!$Q$22/400,3)+ROUND($D273*'2024-25 Middle Calculator'!$O$22/432,3)+ROUND($E273*'2024-25 High Calculator'!$O$22/600,3)</f>
        <v>9.4E-2</v>
      </c>
      <c r="M273" s="166">
        <f t="shared" si="35"/>
        <v>0.21</v>
      </c>
      <c r="N273" s="33">
        <f>VLOOKUP($A273,'District Summary'!$A$6:$AH$325,29,FALSE)</f>
        <v>1.8</v>
      </c>
      <c r="O273" s="33">
        <f>VLOOKUP($A273,'District Summary'!$A$6:$AH$325,34,FALSE)</f>
        <v>2.2290000000000001</v>
      </c>
      <c r="P273" s="67">
        <f t="shared" si="36"/>
        <v>-1.2349999999999997</v>
      </c>
      <c r="Q273" s="67">
        <f t="shared" si="37"/>
        <v>2.0190000000000001</v>
      </c>
      <c r="R273" s="67">
        <f t="shared" si="38"/>
        <v>3.2449999999999997</v>
      </c>
      <c r="S273" s="33">
        <f t="shared" si="39"/>
        <v>4.0289999999999999</v>
      </c>
      <c r="T273" s="67">
        <f t="shared" si="41"/>
        <v>0.78400000000000003</v>
      </c>
      <c r="U273" s="67">
        <f t="shared" si="40"/>
        <v>0</v>
      </c>
      <c r="V273" s="273"/>
      <c r="W273" s="273"/>
    </row>
    <row r="274" spans="1:23" x14ac:dyDescent="0.25">
      <c r="A274" t="s">
        <v>258</v>
      </c>
      <c r="B274" t="s">
        <v>554</v>
      </c>
      <c r="C274" s="25">
        <f>SUMPRODUCT(VLOOKUP($A274,'PSES Enroll Snapshot 25-01-17'!$K$5:$AB$327,{2,3,4,5,6,7,8,9},0))</f>
        <v>1153.6600000000001</v>
      </c>
      <c r="D274" s="25">
        <f>SUMPRODUCT(VLOOKUP($A274,'PSES Enroll Snapshot 25-01-17'!$K$5:$AB$327,{10,11},0))-VLOOKUP($A274,'PSES Enroll Snapshot 25-01-17'!$K$5:$AB$327,12,0)</f>
        <v>340.93</v>
      </c>
      <c r="E274" s="25">
        <f>SUMPRODUCT(VLOOKUP($A274,'PSES Enroll Snapshot 25-01-17'!$K$5:$AB$327,{13,14},0))-SUMPRODUCT(VLOOKUP($A274,'PSES Enroll Snapshot 25-01-17'!$K$5:$AB$327,{15,16,17},0))</f>
        <v>384.85</v>
      </c>
      <c r="F274" s="33">
        <f>ROUND($C274*'2024-25 Elementary Calculator'!$Q$13/400,3)+ROUND($D274*'2024-25 Middle Calculator'!$O$13/432,3)+ROUND($E274*'2024-25 High Calculator'!$O$13/600,3)</f>
        <v>6.1669999999999998</v>
      </c>
      <c r="G274" s="33">
        <f>ROUND($C274*'2024-25 Elementary Calculator'!$Q$15/400,3)+ROUND($D274*'2024-25 Middle Calculator'!$O$15/432,3)+ROUND($E274*'2024-25 High Calculator'!$O$15/600,3)</f>
        <v>1.0469999999999999</v>
      </c>
      <c r="H274" s="33">
        <f>ROUND($C274*'2024-25 Elementary Calculator'!$Q$17/400,3)+ROUND($D274*'2024-25 Middle Calculator'!$O$17/432,3)+ROUND($E274*'2024-25 High Calculator'!$O$17/600,3)</f>
        <v>0.35</v>
      </c>
      <c r="I274" s="33">
        <f>ROUND($C274*'2024-25 Elementary Calculator'!$Q$18/400,3)+ROUND($D274*'2024-25 Middle Calculator'!$O$18/432,3)+ROUND($E274*'2024-25 High Calculator'!$O$18/600,3)</f>
        <v>2.9169999999999998</v>
      </c>
      <c r="J274" s="166">
        <f t="shared" si="34"/>
        <v>10.480999999999998</v>
      </c>
      <c r="K274" s="33">
        <f>ROUND($C274*'2024-25 Elementary Calculator'!$Q$23/400,3)+ROUND($D274*'2024-25 Middle Calculator'!$O$23/432,3)+ROUND($E274*'2024-25 High Calculator'!$O$23/600,3)</f>
        <v>0.39100000000000001</v>
      </c>
      <c r="L274" s="33">
        <f>ROUND($C274*'2024-25 Elementary Calculator'!$Q$22/400,3)+ROUND($D274*'2024-25 Middle Calculator'!$O$22/432,3)+ROUND($E274*'2024-25 High Calculator'!$O$22/600,3)</f>
        <v>0.23799999999999999</v>
      </c>
      <c r="M274" s="166">
        <f t="shared" si="35"/>
        <v>0.629</v>
      </c>
      <c r="N274" s="33">
        <f>VLOOKUP($A274,'District Summary'!$A$6:$AH$325,29,FALSE)</f>
        <v>5.6450000000000005</v>
      </c>
      <c r="O274" s="33">
        <f>VLOOKUP($A274,'District Summary'!$A$6:$AH$325,34,FALSE)</f>
        <v>0.20599999999999999</v>
      </c>
      <c r="P274" s="67">
        <f t="shared" si="36"/>
        <v>-4.8359999999999976</v>
      </c>
      <c r="Q274" s="67">
        <f t="shared" si="37"/>
        <v>-0.42300000000000004</v>
      </c>
      <c r="R274" s="67">
        <f t="shared" si="38"/>
        <v>11.109999999999998</v>
      </c>
      <c r="S274" s="33">
        <f t="shared" si="39"/>
        <v>5.8510000000000009</v>
      </c>
      <c r="T274" s="67">
        <f t="shared" si="41"/>
        <v>-5.2590000000000003</v>
      </c>
      <c r="U274" s="67">
        <f t="shared" si="40"/>
        <v>-5.2590000000000003</v>
      </c>
      <c r="V274" s="273"/>
      <c r="W274" s="273"/>
    </row>
    <row r="275" spans="1:23" x14ac:dyDescent="0.25">
      <c r="A275" t="s">
        <v>259</v>
      </c>
      <c r="B275" t="s">
        <v>555</v>
      </c>
      <c r="C275" s="25">
        <f>SUMPRODUCT(VLOOKUP($A275,'PSES Enroll Snapshot 25-01-17'!$K$5:$AB$327,{2,3,4,5,6,7,8,9},0))</f>
        <v>670.03000000000009</v>
      </c>
      <c r="D275" s="25">
        <f>SUMPRODUCT(VLOOKUP($A275,'PSES Enroll Snapshot 25-01-17'!$K$5:$AB$327,{10,11},0))-VLOOKUP($A275,'PSES Enroll Snapshot 25-01-17'!$K$5:$AB$327,12,0)</f>
        <v>180.13</v>
      </c>
      <c r="E275" s="25">
        <f>SUMPRODUCT(VLOOKUP($A275,'PSES Enroll Snapshot 25-01-17'!$K$5:$AB$327,{13,14},0))-SUMPRODUCT(VLOOKUP($A275,'PSES Enroll Snapshot 25-01-17'!$K$5:$AB$327,{15,16,17},0))</f>
        <v>252.82000000000002</v>
      </c>
      <c r="F275" s="33">
        <f>ROUND($C275*'2024-25 Elementary Calculator'!$Q$13/400,3)+ROUND($D275*'2024-25 Middle Calculator'!$O$13/432,3)+ROUND($E275*'2024-25 High Calculator'!$O$13/600,3)</f>
        <v>3.66</v>
      </c>
      <c r="G275" s="33">
        <f>ROUND($C275*'2024-25 Elementary Calculator'!$Q$15/400,3)+ROUND($D275*'2024-25 Middle Calculator'!$O$15/432,3)+ROUND($E275*'2024-25 High Calculator'!$O$15/600,3)</f>
        <v>0.6120000000000001</v>
      </c>
      <c r="H275" s="33">
        <f>ROUND($C275*'2024-25 Elementary Calculator'!$Q$17/400,3)+ROUND($D275*'2024-25 Middle Calculator'!$O$17/432,3)+ROUND($E275*'2024-25 High Calculator'!$O$17/600,3)</f>
        <v>0.20499999999999999</v>
      </c>
      <c r="I275" s="33">
        <f>ROUND($C275*'2024-25 Elementary Calculator'!$Q$18/400,3)+ROUND($D275*'2024-25 Middle Calculator'!$O$18/432,3)+ROUND($E275*'2024-25 High Calculator'!$O$18/600,3)</f>
        <v>1.6970000000000001</v>
      </c>
      <c r="J275" s="166">
        <f t="shared" si="34"/>
        <v>6.1740000000000004</v>
      </c>
      <c r="K275" s="33">
        <f>ROUND($C275*'2024-25 Elementary Calculator'!$Q$23/400,3)+ROUND($D275*'2024-25 Middle Calculator'!$O$23/432,3)+ROUND($E275*'2024-25 High Calculator'!$O$23/600,3)</f>
        <v>0.22900000000000001</v>
      </c>
      <c r="L275" s="33">
        <f>ROUND($C275*'2024-25 Elementary Calculator'!$Q$22/400,3)+ROUND($D275*'2024-25 Middle Calculator'!$O$22/432,3)+ROUND($E275*'2024-25 High Calculator'!$O$22/600,3)</f>
        <v>0.13800000000000001</v>
      </c>
      <c r="M275" s="166">
        <f t="shared" si="35"/>
        <v>0.36699999999999999</v>
      </c>
      <c r="N275" s="33">
        <f>VLOOKUP($A275,'District Summary'!$A$6:$AH$325,29,FALSE)</f>
        <v>5.0440000000000005</v>
      </c>
      <c r="O275" s="33">
        <f>VLOOKUP($A275,'District Summary'!$A$6:$AH$325,34,FALSE)</f>
        <v>1.5</v>
      </c>
      <c r="P275" s="67">
        <f t="shared" si="36"/>
        <v>-1.1299999999999999</v>
      </c>
      <c r="Q275" s="67">
        <f t="shared" si="37"/>
        <v>1.133</v>
      </c>
      <c r="R275" s="67">
        <f t="shared" si="38"/>
        <v>6.5410000000000004</v>
      </c>
      <c r="S275" s="33">
        <f t="shared" si="39"/>
        <v>6.5440000000000005</v>
      </c>
      <c r="T275" s="67">
        <f t="shared" si="41"/>
        <v>3.0000000000000001E-3</v>
      </c>
      <c r="U275" s="67">
        <f t="shared" si="40"/>
        <v>0</v>
      </c>
      <c r="V275" s="273"/>
      <c r="W275" s="273"/>
    </row>
    <row r="276" spans="1:23" x14ac:dyDescent="0.25">
      <c r="A276" t="s">
        <v>617</v>
      </c>
      <c r="B276" t="s">
        <v>1243</v>
      </c>
      <c r="C276" s="25">
        <f>SUMPRODUCT(VLOOKUP($A276,'PSES Enroll Snapshot 25-01-17'!$K$5:$AB$327,{2,3,4,5,6,7,8,9},0))</f>
        <v>108.2</v>
      </c>
      <c r="D276" s="25">
        <f>SUMPRODUCT(VLOOKUP($A276,'PSES Enroll Snapshot 25-01-17'!$K$5:$AB$327,{10,11},0))-VLOOKUP($A276,'PSES Enroll Snapshot 25-01-17'!$K$5:$AB$327,12,0)</f>
        <v>24.2</v>
      </c>
      <c r="E276" s="25">
        <f>SUMPRODUCT(VLOOKUP($A276,'PSES Enroll Snapshot 25-01-17'!$K$5:$AB$327,{13,14},0))-SUMPRODUCT(VLOOKUP($A276,'PSES Enroll Snapshot 25-01-17'!$K$5:$AB$327,{15,16,17},0))</f>
        <v>0</v>
      </c>
      <c r="F276" s="33">
        <f>ROUND($C276*'2024-25 Elementary Calculator'!$Q$13/400,3)+ROUND($D276*'2024-25 Middle Calculator'!$O$13/432,3)+ROUND($E276*'2024-25 High Calculator'!$O$13/600,3)</f>
        <v>0.36499999999999999</v>
      </c>
      <c r="G276" s="33">
        <f>ROUND($C276*'2024-25 Elementary Calculator'!$Q$15/400,3)+ROUND($D276*'2024-25 Middle Calculator'!$O$15/432,3)+ROUND($E276*'2024-25 High Calculator'!$O$15/600,3)</f>
        <v>8.900000000000001E-2</v>
      </c>
      <c r="H276" s="33">
        <f>ROUND($C276*'2024-25 Elementary Calculator'!$Q$17/400,3)+ROUND($D276*'2024-25 Middle Calculator'!$O$17/432,3)+ROUND($E276*'2024-25 High Calculator'!$O$17/600,3)</f>
        <v>2.9000000000000001E-2</v>
      </c>
      <c r="I276" s="33">
        <f>ROUND($C276*'2024-25 Elementary Calculator'!$Q$18/400,3)+ROUND($D276*'2024-25 Middle Calculator'!$O$18/432,3)+ROUND($E276*'2024-25 High Calculator'!$O$18/600,3)</f>
        <v>0.20800000000000002</v>
      </c>
      <c r="J276" s="166">
        <f t="shared" si="34"/>
        <v>0.69100000000000006</v>
      </c>
      <c r="K276" s="33">
        <f>ROUND($C276*'2024-25 Elementary Calculator'!$Q$23/400,3)+ROUND($D276*'2024-25 Middle Calculator'!$O$23/432,3)+ROUND($E276*'2024-25 High Calculator'!$O$23/600,3)</f>
        <v>2.6000000000000002E-2</v>
      </c>
      <c r="L276" s="33">
        <f>ROUND($C276*'2024-25 Elementary Calculator'!$Q$22/400,3)+ROUND($D276*'2024-25 Middle Calculator'!$O$22/432,3)+ROUND($E276*'2024-25 High Calculator'!$O$22/600,3)</f>
        <v>2.1999999999999999E-2</v>
      </c>
      <c r="M276" s="166">
        <f t="shared" si="35"/>
        <v>4.8000000000000001E-2</v>
      </c>
      <c r="N276" s="33">
        <f>VLOOKUP($A276,'District Summary'!$A$6:$AH$325,29,FALSE)</f>
        <v>1</v>
      </c>
      <c r="O276" s="33">
        <f>VLOOKUP($A276,'District Summary'!$A$6:$AH$325,34,FALSE)</f>
        <v>0</v>
      </c>
      <c r="P276" s="67">
        <f t="shared" si="36"/>
        <v>0.30899999999999994</v>
      </c>
      <c r="Q276" s="67">
        <f t="shared" si="37"/>
        <v>-4.8000000000000001E-2</v>
      </c>
      <c r="R276" s="67">
        <f t="shared" si="38"/>
        <v>0.7390000000000001</v>
      </c>
      <c r="S276" s="33">
        <f t="shared" si="39"/>
        <v>1</v>
      </c>
      <c r="T276" s="67">
        <f t="shared" si="41"/>
        <v>0.26100000000000001</v>
      </c>
      <c r="U276" s="67">
        <f t="shared" si="40"/>
        <v>0</v>
      </c>
      <c r="V276" s="273"/>
      <c r="W276" s="273"/>
    </row>
    <row r="277" spans="1:23" x14ac:dyDescent="0.25">
      <c r="A277" t="s">
        <v>260</v>
      </c>
      <c r="B277" t="s">
        <v>556</v>
      </c>
      <c r="C277" s="25">
        <f>SUMPRODUCT(VLOOKUP($A277,'PSES Enroll Snapshot 25-01-17'!$K$5:$AB$327,{2,3,4,5,6,7,8,9},0))</f>
        <v>212.84000000000003</v>
      </c>
      <c r="D277" s="25">
        <f>SUMPRODUCT(VLOOKUP($A277,'PSES Enroll Snapshot 25-01-17'!$K$5:$AB$327,{10,11},0))-VLOOKUP($A277,'PSES Enroll Snapshot 25-01-17'!$K$5:$AB$327,12,0)</f>
        <v>52.83</v>
      </c>
      <c r="E277" s="25">
        <f>SUMPRODUCT(VLOOKUP($A277,'PSES Enroll Snapshot 25-01-17'!$K$5:$AB$327,{13,14},0))-SUMPRODUCT(VLOOKUP($A277,'PSES Enroll Snapshot 25-01-17'!$K$5:$AB$327,{15,16,17},0))</f>
        <v>83.410000000000011</v>
      </c>
      <c r="F277" s="33">
        <f>ROUND($C277*'2024-25 Elementary Calculator'!$Q$13/400,3)+ROUND($D277*'2024-25 Middle Calculator'!$O$13/432,3)+ROUND($E277*'2024-25 High Calculator'!$O$13/600,3)</f>
        <v>1.1599999999999999</v>
      </c>
      <c r="G277" s="33">
        <f>ROUND($C277*'2024-25 Elementary Calculator'!$Q$15/400,3)+ROUND($D277*'2024-25 Middle Calculator'!$O$15/432,3)+ROUND($E277*'2024-25 High Calculator'!$O$15/600,3)</f>
        <v>0.19400000000000001</v>
      </c>
      <c r="H277" s="33">
        <f>ROUND($C277*'2024-25 Elementary Calculator'!$Q$17/400,3)+ROUND($D277*'2024-25 Middle Calculator'!$O$17/432,3)+ROUND($E277*'2024-25 High Calculator'!$O$17/600,3)</f>
        <v>6.5000000000000002E-2</v>
      </c>
      <c r="I277" s="33">
        <f>ROUND($C277*'2024-25 Elementary Calculator'!$Q$18/400,3)+ROUND($D277*'2024-25 Middle Calculator'!$O$18/432,3)+ROUND($E277*'2024-25 High Calculator'!$O$18/600,3)</f>
        <v>0.53500000000000003</v>
      </c>
      <c r="J277" s="166">
        <f t="shared" si="34"/>
        <v>1.9539999999999997</v>
      </c>
      <c r="K277" s="33">
        <f>ROUND($C277*'2024-25 Elementary Calculator'!$Q$23/400,3)+ROUND($D277*'2024-25 Middle Calculator'!$O$23/432,3)+ROUND($E277*'2024-25 High Calculator'!$O$23/600,3)</f>
        <v>7.3000000000000009E-2</v>
      </c>
      <c r="L277" s="33">
        <f>ROUND($C277*'2024-25 Elementary Calculator'!$Q$22/400,3)+ROUND($D277*'2024-25 Middle Calculator'!$O$22/432,3)+ROUND($E277*'2024-25 High Calculator'!$O$22/600,3)</f>
        <v>4.3999999999999997E-2</v>
      </c>
      <c r="M277" s="166">
        <f t="shared" si="35"/>
        <v>0.11700000000000001</v>
      </c>
      <c r="N277" s="33">
        <f>VLOOKUP($A277,'District Summary'!$A$6:$AH$325,29,FALSE)</f>
        <v>0</v>
      </c>
      <c r="O277" s="33">
        <f>VLOOKUP($A277,'District Summary'!$A$6:$AH$325,34,FALSE)</f>
        <v>1.1140000000000001</v>
      </c>
      <c r="P277" s="67">
        <f t="shared" si="36"/>
        <v>-1.9539999999999997</v>
      </c>
      <c r="Q277" s="67">
        <f t="shared" si="37"/>
        <v>0.99700000000000011</v>
      </c>
      <c r="R277" s="67">
        <f t="shared" si="38"/>
        <v>2.0709999999999997</v>
      </c>
      <c r="S277" s="33">
        <f t="shared" si="39"/>
        <v>1.1140000000000001</v>
      </c>
      <c r="T277" s="67">
        <f t="shared" si="41"/>
        <v>-0.95699999999999996</v>
      </c>
      <c r="U277" s="67">
        <f t="shared" si="40"/>
        <v>-0.95699999999999996</v>
      </c>
      <c r="V277" s="273"/>
      <c r="W277" s="273"/>
    </row>
    <row r="278" spans="1:23" x14ac:dyDescent="0.25">
      <c r="A278" t="s">
        <v>261</v>
      </c>
      <c r="B278" t="s">
        <v>557</v>
      </c>
      <c r="C278" s="25">
        <f>SUMPRODUCT(VLOOKUP($A278,'PSES Enroll Snapshot 25-01-17'!$K$5:$AB$327,{2,3,4,5,6,7,8,9},0))</f>
        <v>14.6</v>
      </c>
      <c r="D278" s="25">
        <f>SUMPRODUCT(VLOOKUP($A278,'PSES Enroll Snapshot 25-01-17'!$K$5:$AB$327,{10,11},0))-VLOOKUP($A278,'PSES Enroll Snapshot 25-01-17'!$K$5:$AB$327,12,0)</f>
        <v>0</v>
      </c>
      <c r="E278" s="25">
        <f>SUMPRODUCT(VLOOKUP($A278,'PSES Enroll Snapshot 25-01-17'!$K$5:$AB$327,{13,14},0))-SUMPRODUCT(VLOOKUP($A278,'PSES Enroll Snapshot 25-01-17'!$K$5:$AB$327,{15,16,17},0))</f>
        <v>0</v>
      </c>
      <c r="F278" s="33">
        <f>ROUND($C278*'2024-25 Elementary Calculator'!$Q$13/400,3)+ROUND($D278*'2024-25 Middle Calculator'!$O$13/432,3)+ROUND($E278*'2024-25 High Calculator'!$O$13/600,3)</f>
        <v>3.5999999999999997E-2</v>
      </c>
      <c r="G278" s="33">
        <f>ROUND($C278*'2024-25 Elementary Calculator'!$Q$15/400,3)+ROUND($D278*'2024-25 Middle Calculator'!$O$15/432,3)+ROUND($E278*'2024-25 High Calculator'!$O$15/600,3)</f>
        <v>1.0999999999999999E-2</v>
      </c>
      <c r="H278" s="33">
        <f>ROUND($C278*'2024-25 Elementary Calculator'!$Q$17/400,3)+ROUND($D278*'2024-25 Middle Calculator'!$O$17/432,3)+ROUND($E278*'2024-25 High Calculator'!$O$17/600,3)</f>
        <v>4.0000000000000001E-3</v>
      </c>
      <c r="I278" s="33">
        <f>ROUND($C278*'2024-25 Elementary Calculator'!$Q$18/400,3)+ROUND($D278*'2024-25 Middle Calculator'!$O$18/432,3)+ROUND($E278*'2024-25 High Calculator'!$O$18/600,3)</f>
        <v>2.1000000000000001E-2</v>
      </c>
      <c r="J278" s="166">
        <f t="shared" si="34"/>
        <v>7.2000000000000008E-2</v>
      </c>
      <c r="K278" s="33">
        <f>ROUND($C278*'2024-25 Elementary Calculator'!$Q$23/400,3)+ROUND($D278*'2024-25 Middle Calculator'!$O$23/432,3)+ROUND($E278*'2024-25 High Calculator'!$O$23/600,3)</f>
        <v>3.0000000000000001E-3</v>
      </c>
      <c r="L278" s="33">
        <f>ROUND($C278*'2024-25 Elementary Calculator'!$Q$22/400,3)+ROUND($D278*'2024-25 Middle Calculator'!$O$22/432,3)+ROUND($E278*'2024-25 High Calculator'!$O$22/600,3)</f>
        <v>3.0000000000000001E-3</v>
      </c>
      <c r="M278" s="166">
        <f t="shared" si="35"/>
        <v>6.0000000000000001E-3</v>
      </c>
      <c r="N278" s="33">
        <f>VLOOKUP($A278,'District Summary'!$A$6:$AH$325,29,FALSE)</f>
        <v>0</v>
      </c>
      <c r="O278" s="33">
        <f>VLOOKUP($A278,'District Summary'!$A$6:$AH$325,34,FALSE)</f>
        <v>0</v>
      </c>
      <c r="P278" s="67">
        <f t="shared" si="36"/>
        <v>-7.2000000000000008E-2</v>
      </c>
      <c r="Q278" s="67">
        <f t="shared" si="37"/>
        <v>-6.0000000000000001E-3</v>
      </c>
      <c r="R278" s="67">
        <f t="shared" si="38"/>
        <v>7.8000000000000014E-2</v>
      </c>
      <c r="S278" s="33">
        <f t="shared" si="39"/>
        <v>0</v>
      </c>
      <c r="T278" s="67">
        <f t="shared" si="41"/>
        <v>-7.8E-2</v>
      </c>
      <c r="U278" s="67">
        <f t="shared" si="40"/>
        <v>-7.8E-2</v>
      </c>
      <c r="V278" s="273"/>
      <c r="W278" s="273"/>
    </row>
    <row r="279" spans="1:23" x14ac:dyDescent="0.25">
      <c r="A279" t="s">
        <v>262</v>
      </c>
      <c r="B279" t="s">
        <v>558</v>
      </c>
      <c r="C279" s="25">
        <f>SUMPRODUCT(VLOOKUP($A279,'PSES Enroll Snapshot 25-01-17'!$K$5:$AB$327,{2,3,4,5,6,7,8,9},0))</f>
        <v>2559.4499999999998</v>
      </c>
      <c r="D279" s="25">
        <f>SUMPRODUCT(VLOOKUP($A279,'PSES Enroll Snapshot 25-01-17'!$K$5:$AB$327,{10,11},0))-VLOOKUP($A279,'PSES Enroll Snapshot 25-01-17'!$K$5:$AB$327,12,0)</f>
        <v>684.14</v>
      </c>
      <c r="E279" s="25">
        <f>SUMPRODUCT(VLOOKUP($A279,'PSES Enroll Snapshot 25-01-17'!$K$5:$AB$327,{13,14},0))-SUMPRODUCT(VLOOKUP($A279,'PSES Enroll Snapshot 25-01-17'!$K$5:$AB$327,{15,16,17},0))</f>
        <v>1048.93</v>
      </c>
      <c r="F279" s="33">
        <f>ROUND($C279*'2024-25 Elementary Calculator'!$Q$13/400,3)+ROUND($D279*'2024-25 Middle Calculator'!$O$13/432,3)+ROUND($E279*'2024-25 High Calculator'!$O$13/600,3)</f>
        <v>14.384999999999998</v>
      </c>
      <c r="G279" s="33">
        <f>ROUND($C279*'2024-25 Elementary Calculator'!$Q$15/400,3)+ROUND($D279*'2024-25 Middle Calculator'!$O$15/432,3)+ROUND($E279*'2024-25 High Calculator'!$O$15/600,3)</f>
        <v>2.351</v>
      </c>
      <c r="H279" s="33">
        <f>ROUND($C279*'2024-25 Elementary Calculator'!$Q$17/400,3)+ROUND($D279*'2024-25 Middle Calculator'!$O$17/432,3)+ROUND($E279*'2024-25 High Calculator'!$O$17/600,3)</f>
        <v>0.78900000000000003</v>
      </c>
      <c r="I279" s="33">
        <f>ROUND($C279*'2024-25 Elementary Calculator'!$Q$18/400,3)+ROUND($D279*'2024-25 Middle Calculator'!$O$18/432,3)+ROUND($E279*'2024-25 High Calculator'!$O$18/600,3)</f>
        <v>6.59</v>
      </c>
      <c r="J279" s="166">
        <f t="shared" si="34"/>
        <v>24.114999999999998</v>
      </c>
      <c r="K279" s="33">
        <f>ROUND($C279*'2024-25 Elementary Calculator'!$Q$23/400,3)+ROUND($D279*'2024-25 Middle Calculator'!$O$23/432,3)+ROUND($E279*'2024-25 High Calculator'!$O$23/600,3)</f>
        <v>0.89700000000000002</v>
      </c>
      <c r="L279" s="33">
        <f>ROUND($C279*'2024-25 Elementary Calculator'!$Q$22/400,3)+ROUND($D279*'2024-25 Middle Calculator'!$O$22/432,3)+ROUND($E279*'2024-25 High Calculator'!$O$22/600,3)</f>
        <v>0.52800000000000002</v>
      </c>
      <c r="M279" s="166">
        <f t="shared" si="35"/>
        <v>1.425</v>
      </c>
      <c r="N279" s="33">
        <f>VLOOKUP($A279,'District Summary'!$A$6:$AH$325,29,FALSE)</f>
        <v>20.731999999999999</v>
      </c>
      <c r="O279" s="33">
        <f>VLOOKUP($A279,'District Summary'!$A$6:$AH$325,34,FALSE)</f>
        <v>10.084</v>
      </c>
      <c r="P279" s="67">
        <f t="shared" si="36"/>
        <v>-3.3829999999999991</v>
      </c>
      <c r="Q279" s="67">
        <f t="shared" si="37"/>
        <v>8.6589999999999989</v>
      </c>
      <c r="R279" s="67">
        <f t="shared" si="38"/>
        <v>25.54</v>
      </c>
      <c r="S279" s="33">
        <f t="shared" si="39"/>
        <v>30.815999999999999</v>
      </c>
      <c r="T279" s="67">
        <f t="shared" si="41"/>
        <v>5.2759999999999998</v>
      </c>
      <c r="U279" s="67">
        <f t="shared" si="40"/>
        <v>0</v>
      </c>
      <c r="V279" s="273"/>
      <c r="W279" s="273"/>
    </row>
    <row r="280" spans="1:23" x14ac:dyDescent="0.25">
      <c r="A280" t="s">
        <v>263</v>
      </c>
      <c r="B280" t="s">
        <v>559</v>
      </c>
      <c r="C280" s="25">
        <f>SUMPRODUCT(VLOOKUP($A280,'PSES Enroll Snapshot 25-01-17'!$K$5:$AB$327,{2,3,4,5,6,7,8,9},0))</f>
        <v>765.1</v>
      </c>
      <c r="D280" s="25">
        <f>SUMPRODUCT(VLOOKUP($A280,'PSES Enroll Snapshot 25-01-17'!$K$5:$AB$327,{10,11},0))-VLOOKUP($A280,'PSES Enroll Snapshot 25-01-17'!$K$5:$AB$327,12,0)</f>
        <v>216.46</v>
      </c>
      <c r="E280" s="25">
        <f>SUMPRODUCT(VLOOKUP($A280,'PSES Enroll Snapshot 25-01-17'!$K$5:$AB$327,{13,14},0))-SUMPRODUCT(VLOOKUP($A280,'PSES Enroll Snapshot 25-01-17'!$K$5:$AB$327,{15,16,17},0))</f>
        <v>282.55999999999995</v>
      </c>
      <c r="F280" s="33">
        <f>ROUND($C280*'2024-25 Elementary Calculator'!$Q$13/400,3)+ROUND($D280*'2024-25 Middle Calculator'!$O$13/432,3)+ROUND($E280*'2024-25 High Calculator'!$O$13/600,3)</f>
        <v>4.1899999999999995</v>
      </c>
      <c r="G280" s="33">
        <f>ROUND($C280*'2024-25 Elementary Calculator'!$Q$15/400,3)+ROUND($D280*'2024-25 Middle Calculator'!$O$15/432,3)+ROUND($E280*'2024-25 High Calculator'!$O$15/600,3)</f>
        <v>0.69900000000000007</v>
      </c>
      <c r="H280" s="33">
        <f>ROUND($C280*'2024-25 Elementary Calculator'!$Q$17/400,3)+ROUND($D280*'2024-25 Middle Calculator'!$O$17/432,3)+ROUND($E280*'2024-25 High Calculator'!$O$17/600,3)</f>
        <v>0.23400000000000001</v>
      </c>
      <c r="I280" s="33">
        <f>ROUND($C280*'2024-25 Elementary Calculator'!$Q$18/400,3)+ROUND($D280*'2024-25 Middle Calculator'!$O$18/432,3)+ROUND($E280*'2024-25 High Calculator'!$O$18/600,3)</f>
        <v>1.952</v>
      </c>
      <c r="J280" s="166">
        <f t="shared" si="34"/>
        <v>7.0749999999999993</v>
      </c>
      <c r="K280" s="33">
        <f>ROUND($C280*'2024-25 Elementary Calculator'!$Q$23/400,3)+ROUND($D280*'2024-25 Middle Calculator'!$O$23/432,3)+ROUND($E280*'2024-25 High Calculator'!$O$23/600,3)</f>
        <v>0.26300000000000001</v>
      </c>
      <c r="L280" s="33">
        <f>ROUND($C280*'2024-25 Elementary Calculator'!$Q$22/400,3)+ROUND($D280*'2024-25 Middle Calculator'!$O$22/432,3)+ROUND($E280*'2024-25 High Calculator'!$O$22/600,3)</f>
        <v>0.158</v>
      </c>
      <c r="M280" s="166">
        <f t="shared" si="35"/>
        <v>0.42100000000000004</v>
      </c>
      <c r="N280" s="33">
        <f>VLOOKUP($A280,'District Summary'!$A$6:$AH$325,29,FALSE)</f>
        <v>5.4039999999999999</v>
      </c>
      <c r="O280" s="33">
        <f>VLOOKUP($A280,'District Summary'!$A$6:$AH$325,34,FALSE)</f>
        <v>4.2119999999999997</v>
      </c>
      <c r="P280" s="67">
        <f t="shared" si="36"/>
        <v>-1.6709999999999994</v>
      </c>
      <c r="Q280" s="67">
        <f t="shared" si="37"/>
        <v>3.7909999999999995</v>
      </c>
      <c r="R280" s="67">
        <f t="shared" si="38"/>
        <v>7.4959999999999996</v>
      </c>
      <c r="S280" s="33">
        <f t="shared" si="39"/>
        <v>9.6159999999999997</v>
      </c>
      <c r="T280" s="67">
        <f t="shared" si="41"/>
        <v>2.12</v>
      </c>
      <c r="U280" s="67">
        <f t="shared" si="40"/>
        <v>0</v>
      </c>
      <c r="V280" s="273"/>
      <c r="W280" s="273"/>
    </row>
    <row r="281" spans="1:23" x14ac:dyDescent="0.25">
      <c r="A281" t="s">
        <v>264</v>
      </c>
      <c r="B281" t="s">
        <v>560</v>
      </c>
      <c r="C281" s="25">
        <f>SUMPRODUCT(VLOOKUP($A281,'PSES Enroll Snapshot 25-01-17'!$K$5:$AB$327,{2,3,4,5,6,7,8,9},0))</f>
        <v>121.75</v>
      </c>
      <c r="D281" s="25">
        <f>SUMPRODUCT(VLOOKUP($A281,'PSES Enroll Snapshot 25-01-17'!$K$5:$AB$327,{10,11},0))-VLOOKUP($A281,'PSES Enroll Snapshot 25-01-17'!$K$5:$AB$327,12,0)</f>
        <v>28.88</v>
      </c>
      <c r="E281" s="25">
        <f>SUMPRODUCT(VLOOKUP($A281,'PSES Enroll Snapshot 25-01-17'!$K$5:$AB$327,{13,14},0))-SUMPRODUCT(VLOOKUP($A281,'PSES Enroll Snapshot 25-01-17'!$K$5:$AB$327,{15,16,17},0))</f>
        <v>30.15</v>
      </c>
      <c r="F281" s="33">
        <f>ROUND($C281*'2024-25 Elementary Calculator'!$Q$13/400,3)+ROUND($D281*'2024-25 Middle Calculator'!$O$13/432,3)+ROUND($E281*'2024-25 High Calculator'!$O$13/600,3)</f>
        <v>0.56999999999999995</v>
      </c>
      <c r="G281" s="33">
        <f>ROUND($C281*'2024-25 Elementary Calculator'!$Q$15/400,3)+ROUND($D281*'2024-25 Middle Calculator'!$O$15/432,3)+ROUND($E281*'2024-25 High Calculator'!$O$15/600,3)</f>
        <v>0.10700000000000001</v>
      </c>
      <c r="H281" s="33">
        <f>ROUND($C281*'2024-25 Elementary Calculator'!$Q$17/400,3)+ROUND($D281*'2024-25 Middle Calculator'!$O$17/432,3)+ROUND($E281*'2024-25 High Calculator'!$O$17/600,3)</f>
        <v>3.6000000000000004E-2</v>
      </c>
      <c r="I281" s="33">
        <f>ROUND($C281*'2024-25 Elementary Calculator'!$Q$18/400,3)+ROUND($D281*'2024-25 Middle Calculator'!$O$18/432,3)+ROUND($E281*'2024-25 High Calculator'!$O$18/600,3)</f>
        <v>0.27799999999999997</v>
      </c>
      <c r="J281" s="166">
        <f t="shared" si="34"/>
        <v>0.99099999999999988</v>
      </c>
      <c r="K281" s="33">
        <f>ROUND($C281*'2024-25 Elementary Calculator'!$Q$23/400,3)+ROUND($D281*'2024-25 Middle Calculator'!$O$23/432,3)+ROUND($E281*'2024-25 High Calculator'!$O$23/600,3)</f>
        <v>3.6999999999999998E-2</v>
      </c>
      <c r="L281" s="33">
        <f>ROUND($C281*'2024-25 Elementary Calculator'!$Q$22/400,3)+ROUND($D281*'2024-25 Middle Calculator'!$O$22/432,3)+ROUND($E281*'2024-25 High Calculator'!$O$22/600,3)</f>
        <v>2.5000000000000001E-2</v>
      </c>
      <c r="M281" s="166">
        <f t="shared" si="35"/>
        <v>6.2E-2</v>
      </c>
      <c r="N281" s="33">
        <f>VLOOKUP($A281,'District Summary'!$A$6:$AH$325,29,FALSE)</f>
        <v>0.6</v>
      </c>
      <c r="O281" s="33">
        <f>VLOOKUP($A281,'District Summary'!$A$6:$AH$325,34,FALSE)</f>
        <v>0.25</v>
      </c>
      <c r="P281" s="67">
        <f t="shared" si="36"/>
        <v>-0.3909999999999999</v>
      </c>
      <c r="Q281" s="67">
        <f t="shared" si="37"/>
        <v>0.188</v>
      </c>
      <c r="R281" s="67">
        <f t="shared" si="38"/>
        <v>1.0529999999999999</v>
      </c>
      <c r="S281" s="33">
        <f t="shared" si="39"/>
        <v>0.85</v>
      </c>
      <c r="T281" s="67">
        <f t="shared" si="41"/>
        <v>-0.20300000000000001</v>
      </c>
      <c r="U281" s="67">
        <f t="shared" si="40"/>
        <v>-0.20300000000000001</v>
      </c>
      <c r="V281" s="273"/>
      <c r="W281" s="273"/>
    </row>
    <row r="282" spans="1:23" x14ac:dyDescent="0.25">
      <c r="A282" t="s">
        <v>265</v>
      </c>
      <c r="B282" t="s">
        <v>561</v>
      </c>
      <c r="C282" s="25">
        <f>SUMPRODUCT(VLOOKUP($A282,'PSES Enroll Snapshot 25-01-17'!$K$5:$AB$327,{2,3,4,5,6,7,8,9},0))</f>
        <v>426.42</v>
      </c>
      <c r="D282" s="25">
        <f>SUMPRODUCT(VLOOKUP($A282,'PSES Enroll Snapshot 25-01-17'!$K$5:$AB$327,{10,11},0))-VLOOKUP($A282,'PSES Enroll Snapshot 25-01-17'!$K$5:$AB$327,12,0)</f>
        <v>118.2</v>
      </c>
      <c r="E282" s="25">
        <f>SUMPRODUCT(VLOOKUP($A282,'PSES Enroll Snapshot 25-01-17'!$K$5:$AB$327,{13,14},0))-SUMPRODUCT(VLOOKUP($A282,'PSES Enroll Snapshot 25-01-17'!$K$5:$AB$327,{15,16,17},0))</f>
        <v>141.83000000000001</v>
      </c>
      <c r="F282" s="33">
        <f>ROUND($C282*'2024-25 Elementary Calculator'!$Q$13/400,3)+ROUND($D282*'2024-25 Middle Calculator'!$O$13/432,3)+ROUND($E282*'2024-25 High Calculator'!$O$13/600,3)</f>
        <v>2.2469999999999999</v>
      </c>
      <c r="G282" s="33">
        <f>ROUND($C282*'2024-25 Elementary Calculator'!$Q$15/400,3)+ROUND($D282*'2024-25 Middle Calculator'!$O$15/432,3)+ROUND($E282*'2024-25 High Calculator'!$O$15/600,3)</f>
        <v>0.38600000000000001</v>
      </c>
      <c r="H282" s="33">
        <f>ROUND($C282*'2024-25 Elementary Calculator'!$Q$17/400,3)+ROUND($D282*'2024-25 Middle Calculator'!$O$17/432,3)+ROUND($E282*'2024-25 High Calculator'!$O$17/600,3)</f>
        <v>0.13</v>
      </c>
      <c r="I282" s="33">
        <f>ROUND($C282*'2024-25 Elementary Calculator'!$Q$18/400,3)+ROUND($D282*'2024-25 Middle Calculator'!$O$18/432,3)+ROUND($E282*'2024-25 High Calculator'!$O$18/600,3)</f>
        <v>1.0620000000000001</v>
      </c>
      <c r="J282" s="166">
        <f t="shared" si="34"/>
        <v>3.8250000000000002</v>
      </c>
      <c r="K282" s="33">
        <f>ROUND($C282*'2024-25 Elementary Calculator'!$Q$23/400,3)+ROUND($D282*'2024-25 Middle Calculator'!$O$23/432,3)+ROUND($E282*'2024-25 High Calculator'!$O$23/600,3)</f>
        <v>0.14200000000000002</v>
      </c>
      <c r="L282" s="33">
        <f>ROUND($C282*'2024-25 Elementary Calculator'!$Q$22/400,3)+ROUND($D282*'2024-25 Middle Calculator'!$O$22/432,3)+ROUND($E282*'2024-25 High Calculator'!$O$22/600,3)</f>
        <v>8.7999999999999995E-2</v>
      </c>
      <c r="M282" s="166">
        <f t="shared" si="35"/>
        <v>0.23</v>
      </c>
      <c r="N282" s="33">
        <f>VLOOKUP($A282,'District Summary'!$A$6:$AH$325,29,FALSE)</f>
        <v>1.6240000000000001</v>
      </c>
      <c r="O282" s="33">
        <f>VLOOKUP($A282,'District Summary'!$A$6:$AH$325,34,FALSE)</f>
        <v>0.73</v>
      </c>
      <c r="P282" s="67">
        <f t="shared" si="36"/>
        <v>-2.2010000000000001</v>
      </c>
      <c r="Q282" s="67">
        <f t="shared" si="37"/>
        <v>0.5</v>
      </c>
      <c r="R282" s="67">
        <f t="shared" si="38"/>
        <v>4.0550000000000006</v>
      </c>
      <c r="S282" s="33">
        <f t="shared" si="39"/>
        <v>2.3540000000000001</v>
      </c>
      <c r="T282" s="67">
        <f t="shared" si="41"/>
        <v>-1.7010000000000001</v>
      </c>
      <c r="U282" s="67">
        <f t="shared" si="40"/>
        <v>-1.7010000000000001</v>
      </c>
      <c r="V282" s="273"/>
      <c r="W282" s="273"/>
    </row>
    <row r="283" spans="1:23" x14ac:dyDescent="0.25">
      <c r="A283" t="s">
        <v>266</v>
      </c>
      <c r="B283" t="s">
        <v>562</v>
      </c>
      <c r="C283" s="25">
        <f>SUMPRODUCT(VLOOKUP($A283,'PSES Enroll Snapshot 25-01-17'!$K$5:$AB$327,{2,3,4,5,6,7,8,9},0))</f>
        <v>144.36000000000001</v>
      </c>
      <c r="D283" s="25">
        <f>SUMPRODUCT(VLOOKUP($A283,'PSES Enroll Snapshot 25-01-17'!$K$5:$AB$327,{10,11},0))-VLOOKUP($A283,'PSES Enroll Snapshot 25-01-17'!$K$5:$AB$327,12,0)</f>
        <v>44.66</v>
      </c>
      <c r="E283" s="25">
        <f>SUMPRODUCT(VLOOKUP($A283,'PSES Enroll Snapshot 25-01-17'!$K$5:$AB$327,{13,14},0))-SUMPRODUCT(VLOOKUP($A283,'PSES Enroll Snapshot 25-01-17'!$K$5:$AB$327,{15,16,17},0))</f>
        <v>68.94</v>
      </c>
      <c r="F283" s="33">
        <f>ROUND($C283*'2024-25 Elementary Calculator'!$Q$13/400,3)+ROUND($D283*'2024-25 Middle Calculator'!$O$13/432,3)+ROUND($E283*'2024-25 High Calculator'!$O$13/600,3)</f>
        <v>0.8839999999999999</v>
      </c>
      <c r="G283" s="33">
        <f>ROUND($C283*'2024-25 Elementary Calculator'!$Q$15/400,3)+ROUND($D283*'2024-25 Middle Calculator'!$O$15/432,3)+ROUND($E283*'2024-25 High Calculator'!$O$15/600,3)</f>
        <v>0.13600000000000001</v>
      </c>
      <c r="H283" s="33">
        <f>ROUND($C283*'2024-25 Elementary Calculator'!$Q$17/400,3)+ROUND($D283*'2024-25 Middle Calculator'!$O$17/432,3)+ROUND($E283*'2024-25 High Calculator'!$O$17/600,3)</f>
        <v>4.5999999999999999E-2</v>
      </c>
      <c r="I283" s="33">
        <f>ROUND($C283*'2024-25 Elementary Calculator'!$Q$18/400,3)+ROUND($D283*'2024-25 Middle Calculator'!$O$18/432,3)+ROUND($E283*'2024-25 High Calculator'!$O$18/600,3)</f>
        <v>0.39800000000000002</v>
      </c>
      <c r="J283" s="166">
        <f t="shared" si="34"/>
        <v>1.464</v>
      </c>
      <c r="K283" s="33">
        <f>ROUND($C283*'2024-25 Elementary Calculator'!$Q$23/400,3)+ROUND($D283*'2024-25 Middle Calculator'!$O$23/432,3)+ROUND($E283*'2024-25 High Calculator'!$O$23/600,3)</f>
        <v>5.5E-2</v>
      </c>
      <c r="L283" s="33">
        <f>ROUND($C283*'2024-25 Elementary Calculator'!$Q$22/400,3)+ROUND($D283*'2024-25 Middle Calculator'!$O$22/432,3)+ROUND($E283*'2024-25 High Calculator'!$O$22/600,3)</f>
        <v>0.03</v>
      </c>
      <c r="M283" s="166">
        <f t="shared" si="35"/>
        <v>8.4999999999999992E-2</v>
      </c>
      <c r="N283" s="33">
        <f>VLOOKUP($A283,'District Summary'!$A$6:$AH$325,29,FALSE)</f>
        <v>0</v>
      </c>
      <c r="O283" s="33">
        <f>VLOOKUP($A283,'District Summary'!$A$6:$AH$325,34,FALSE)</f>
        <v>1.1469999999999998</v>
      </c>
      <c r="P283" s="67">
        <f t="shared" si="36"/>
        <v>-1.464</v>
      </c>
      <c r="Q283" s="67">
        <f t="shared" si="37"/>
        <v>1.0619999999999998</v>
      </c>
      <c r="R283" s="67">
        <f t="shared" si="38"/>
        <v>1.5489999999999999</v>
      </c>
      <c r="S283" s="33">
        <f t="shared" si="39"/>
        <v>1.1469999999999998</v>
      </c>
      <c r="T283" s="67">
        <f t="shared" si="41"/>
        <v>-0.40200000000000002</v>
      </c>
      <c r="U283" s="67">
        <f t="shared" si="40"/>
        <v>-0.40200000000000002</v>
      </c>
      <c r="V283" s="273"/>
      <c r="W283" s="273"/>
    </row>
    <row r="284" spans="1:23" x14ac:dyDescent="0.25">
      <c r="A284" t="s">
        <v>267</v>
      </c>
      <c r="B284" t="s">
        <v>563</v>
      </c>
      <c r="C284" s="25">
        <f>SUMPRODUCT(VLOOKUP($A284,'PSES Enroll Snapshot 25-01-17'!$K$5:$AB$327,{2,3,4,5,6,7,8,9},0))</f>
        <v>155</v>
      </c>
      <c r="D284" s="25">
        <f>SUMPRODUCT(VLOOKUP($A284,'PSES Enroll Snapshot 25-01-17'!$K$5:$AB$327,{10,11},0))-VLOOKUP($A284,'PSES Enroll Snapshot 25-01-17'!$K$5:$AB$327,12,0)</f>
        <v>38.6</v>
      </c>
      <c r="E284" s="25">
        <f>SUMPRODUCT(VLOOKUP($A284,'PSES Enroll Snapshot 25-01-17'!$K$5:$AB$327,{13,14},0))-SUMPRODUCT(VLOOKUP($A284,'PSES Enroll Snapshot 25-01-17'!$K$5:$AB$327,{15,16,17},0))</f>
        <v>49.720000000000006</v>
      </c>
      <c r="F284" s="33">
        <f>ROUND($C284*'2024-25 Elementary Calculator'!$Q$13/400,3)+ROUND($D284*'2024-25 Middle Calculator'!$O$13/432,3)+ROUND($E284*'2024-25 High Calculator'!$O$13/600,3)</f>
        <v>0.79</v>
      </c>
      <c r="G284" s="33">
        <f>ROUND($C284*'2024-25 Elementary Calculator'!$Q$15/400,3)+ROUND($D284*'2024-25 Middle Calculator'!$O$15/432,3)+ROUND($E284*'2024-25 High Calculator'!$O$15/600,3)</f>
        <v>0.14000000000000001</v>
      </c>
      <c r="H284" s="33">
        <f>ROUND($C284*'2024-25 Elementary Calculator'!$Q$17/400,3)+ROUND($D284*'2024-25 Middle Calculator'!$O$17/432,3)+ROUND($E284*'2024-25 High Calculator'!$O$17/600,3)</f>
        <v>4.5999999999999999E-2</v>
      </c>
      <c r="I284" s="33">
        <f>ROUND($C284*'2024-25 Elementary Calculator'!$Q$18/400,3)+ROUND($D284*'2024-25 Middle Calculator'!$O$18/432,3)+ROUND($E284*'2024-25 High Calculator'!$O$18/600,3)</f>
        <v>0.374</v>
      </c>
      <c r="J284" s="166">
        <f t="shared" si="34"/>
        <v>1.35</v>
      </c>
      <c r="K284" s="33">
        <f>ROUND($C284*'2024-25 Elementary Calculator'!$Q$23/400,3)+ROUND($D284*'2024-25 Middle Calculator'!$O$23/432,3)+ROUND($E284*'2024-25 High Calculator'!$O$23/600,3)</f>
        <v>5.1000000000000004E-2</v>
      </c>
      <c r="L284" s="33">
        <f>ROUND($C284*'2024-25 Elementary Calculator'!$Q$22/400,3)+ROUND($D284*'2024-25 Middle Calculator'!$O$22/432,3)+ROUND($E284*'2024-25 High Calculator'!$O$22/600,3)</f>
        <v>3.2000000000000001E-2</v>
      </c>
      <c r="M284" s="166">
        <f t="shared" si="35"/>
        <v>8.3000000000000004E-2</v>
      </c>
      <c r="N284" s="33">
        <f>VLOOKUP($A284,'District Summary'!$A$6:$AH$325,29,FALSE)</f>
        <v>0.4</v>
      </c>
      <c r="O284" s="33">
        <f>VLOOKUP($A284,'District Summary'!$A$6:$AH$325,34,FALSE)</f>
        <v>1.2999999999999999E-2</v>
      </c>
      <c r="P284" s="67">
        <f t="shared" si="36"/>
        <v>-0.95000000000000007</v>
      </c>
      <c r="Q284" s="67">
        <f t="shared" si="37"/>
        <v>-7.0000000000000007E-2</v>
      </c>
      <c r="R284" s="67">
        <f t="shared" si="38"/>
        <v>1.4330000000000001</v>
      </c>
      <c r="S284" s="33">
        <f t="shared" si="39"/>
        <v>0.41300000000000003</v>
      </c>
      <c r="T284" s="67">
        <f t="shared" si="41"/>
        <v>-1.02</v>
      </c>
      <c r="U284" s="67">
        <f t="shared" si="40"/>
        <v>-1.02</v>
      </c>
      <c r="V284" s="273"/>
      <c r="W284" s="273"/>
    </row>
    <row r="285" spans="1:23" x14ac:dyDescent="0.25">
      <c r="A285" t="s">
        <v>268</v>
      </c>
      <c r="B285" t="s">
        <v>564</v>
      </c>
      <c r="C285" s="25">
        <f>SUMPRODUCT(VLOOKUP($A285,'PSES Enroll Snapshot 25-01-17'!$K$5:$AB$327,{2,3,4,5,6,7,8,9},0))</f>
        <v>5508.92</v>
      </c>
      <c r="D285" s="25">
        <f>SUMPRODUCT(VLOOKUP($A285,'PSES Enroll Snapshot 25-01-17'!$K$5:$AB$327,{10,11},0))-VLOOKUP($A285,'PSES Enroll Snapshot 25-01-17'!$K$5:$AB$327,12,0)</f>
        <v>1391.11</v>
      </c>
      <c r="E285" s="25">
        <f>SUMPRODUCT(VLOOKUP($A285,'PSES Enroll Snapshot 25-01-17'!$K$5:$AB$327,{13,14},0))-SUMPRODUCT(VLOOKUP($A285,'PSES Enroll Snapshot 25-01-17'!$K$5:$AB$327,{15,16,17},0))</f>
        <v>2342.08</v>
      </c>
      <c r="F285" s="33">
        <f>ROUND($C285*'2024-25 Elementary Calculator'!$Q$13/400,3)+ROUND($D285*'2024-25 Middle Calculator'!$O$13/432,3)+ROUND($E285*'2024-25 High Calculator'!$O$13/600,3)</f>
        <v>31.064999999999998</v>
      </c>
      <c r="G285" s="33">
        <f>ROUND($C285*'2024-25 Elementary Calculator'!$Q$15/400,3)+ROUND($D285*'2024-25 Middle Calculator'!$O$15/432,3)+ROUND($E285*'2024-25 High Calculator'!$O$15/600,3)</f>
        <v>5.0620000000000012</v>
      </c>
      <c r="H285" s="33">
        <f>ROUND($C285*'2024-25 Elementary Calculator'!$Q$17/400,3)+ROUND($D285*'2024-25 Middle Calculator'!$O$17/432,3)+ROUND($E285*'2024-25 High Calculator'!$O$17/600,3)</f>
        <v>1.7</v>
      </c>
      <c r="I285" s="33">
        <f>ROUND($C285*'2024-25 Elementary Calculator'!$Q$18/400,3)+ROUND($D285*'2024-25 Middle Calculator'!$O$18/432,3)+ROUND($E285*'2024-25 High Calculator'!$O$18/600,3)</f>
        <v>14.132999999999999</v>
      </c>
      <c r="J285" s="166">
        <f t="shared" si="34"/>
        <v>51.959999999999994</v>
      </c>
      <c r="K285" s="33">
        <f>ROUND($C285*'2024-25 Elementary Calculator'!$Q$23/400,3)+ROUND($D285*'2024-25 Middle Calculator'!$O$23/432,3)+ROUND($E285*'2024-25 High Calculator'!$O$23/600,3)</f>
        <v>1.9340000000000002</v>
      </c>
      <c r="L285" s="33">
        <f>ROUND($C285*'2024-25 Elementary Calculator'!$Q$22/400,3)+ROUND($D285*'2024-25 Middle Calculator'!$O$22/432,3)+ROUND($E285*'2024-25 High Calculator'!$O$22/600,3)</f>
        <v>1.1359999999999999</v>
      </c>
      <c r="M285" s="166">
        <f t="shared" si="35"/>
        <v>3.0700000000000003</v>
      </c>
      <c r="N285" s="33">
        <f>VLOOKUP($A285,'District Summary'!$A$6:$AH$325,29,FALSE)</f>
        <v>36.007000000000005</v>
      </c>
      <c r="O285" s="33">
        <f>VLOOKUP($A285,'District Summary'!$A$6:$AH$325,34,FALSE)</f>
        <v>28.167999999999996</v>
      </c>
      <c r="P285" s="67">
        <f t="shared" si="36"/>
        <v>-15.952999999999989</v>
      </c>
      <c r="Q285" s="67">
        <f t="shared" si="37"/>
        <v>25.097999999999995</v>
      </c>
      <c r="R285" s="67">
        <f t="shared" si="38"/>
        <v>55.029999999999994</v>
      </c>
      <c r="S285" s="33">
        <f t="shared" si="39"/>
        <v>64.174999999999997</v>
      </c>
      <c r="T285" s="67">
        <f t="shared" si="41"/>
        <v>9.1449999999999996</v>
      </c>
      <c r="U285" s="67">
        <f t="shared" si="40"/>
        <v>0</v>
      </c>
      <c r="V285" s="273"/>
      <c r="W285" s="273"/>
    </row>
    <row r="286" spans="1:23" x14ac:dyDescent="0.25">
      <c r="A286" t="s">
        <v>269</v>
      </c>
      <c r="B286" t="s">
        <v>565</v>
      </c>
      <c r="C286" s="25">
        <f>SUMPRODUCT(VLOOKUP($A286,'PSES Enroll Snapshot 25-01-17'!$K$5:$AB$327,{2,3,4,5,6,7,8,9},0))</f>
        <v>2505.63</v>
      </c>
      <c r="D286" s="25">
        <f>SUMPRODUCT(VLOOKUP($A286,'PSES Enroll Snapshot 25-01-17'!$K$5:$AB$327,{10,11},0))-VLOOKUP($A286,'PSES Enroll Snapshot 25-01-17'!$K$5:$AB$327,12,0)</f>
        <v>607.44999999999993</v>
      </c>
      <c r="E286" s="25">
        <f>SUMPRODUCT(VLOOKUP($A286,'PSES Enroll Snapshot 25-01-17'!$K$5:$AB$327,{13,14},0))-SUMPRODUCT(VLOOKUP($A286,'PSES Enroll Snapshot 25-01-17'!$K$5:$AB$327,{15,16,17},0))</f>
        <v>842.19999999999993</v>
      </c>
      <c r="F286" s="33">
        <f>ROUND($C286*'2024-25 Elementary Calculator'!$Q$13/400,3)+ROUND($D286*'2024-25 Middle Calculator'!$O$13/432,3)+ROUND($E286*'2024-25 High Calculator'!$O$13/600,3)</f>
        <v>12.898999999999999</v>
      </c>
      <c r="G286" s="33">
        <f>ROUND($C286*'2024-25 Elementary Calculator'!$Q$15/400,3)+ROUND($D286*'2024-25 Middle Calculator'!$O$15/432,3)+ROUND($E286*'2024-25 High Calculator'!$O$15/600,3)</f>
        <v>2.25</v>
      </c>
      <c r="H286" s="33">
        <f>ROUND($C286*'2024-25 Elementary Calculator'!$Q$17/400,3)+ROUND($D286*'2024-25 Middle Calculator'!$O$17/432,3)+ROUND($E286*'2024-25 High Calculator'!$O$17/600,3)</f>
        <v>0.754</v>
      </c>
      <c r="I286" s="33">
        <f>ROUND($C286*'2024-25 Elementary Calculator'!$Q$18/400,3)+ROUND($D286*'2024-25 Middle Calculator'!$O$18/432,3)+ROUND($E286*'2024-25 High Calculator'!$O$18/600,3)</f>
        <v>6.07</v>
      </c>
      <c r="J286" s="166">
        <f t="shared" si="34"/>
        <v>21.972999999999999</v>
      </c>
      <c r="K286" s="33">
        <f>ROUND($C286*'2024-25 Elementary Calculator'!$Q$23/400,3)+ROUND($D286*'2024-25 Middle Calculator'!$O$23/432,3)+ROUND($E286*'2024-25 High Calculator'!$O$23/600,3)</f>
        <v>0.82200000000000006</v>
      </c>
      <c r="L286" s="33">
        <f>ROUND($C286*'2024-25 Elementary Calculator'!$Q$22/400,3)+ROUND($D286*'2024-25 Middle Calculator'!$O$22/432,3)+ROUND($E286*'2024-25 High Calculator'!$O$22/600,3)</f>
        <v>0.51700000000000002</v>
      </c>
      <c r="M286" s="166">
        <f t="shared" si="35"/>
        <v>1.339</v>
      </c>
      <c r="N286" s="33">
        <f>VLOOKUP($A286,'District Summary'!$A$6:$AH$325,29,FALSE)</f>
        <v>12.214</v>
      </c>
      <c r="O286" s="33">
        <f>VLOOKUP($A286,'District Summary'!$A$6:$AH$325,34,FALSE)</f>
        <v>12.090999999999999</v>
      </c>
      <c r="P286" s="67">
        <f t="shared" si="36"/>
        <v>-9.7589999999999986</v>
      </c>
      <c r="Q286" s="67">
        <f t="shared" si="37"/>
        <v>10.751999999999999</v>
      </c>
      <c r="R286" s="67">
        <f t="shared" si="38"/>
        <v>23.311999999999998</v>
      </c>
      <c r="S286" s="33">
        <f t="shared" si="39"/>
        <v>24.305</v>
      </c>
      <c r="T286" s="67">
        <f t="shared" si="41"/>
        <v>0.99299999999999999</v>
      </c>
      <c r="U286" s="67">
        <f t="shared" si="40"/>
        <v>0</v>
      </c>
      <c r="V286" s="273"/>
      <c r="W286" s="273"/>
    </row>
    <row r="287" spans="1:23" x14ac:dyDescent="0.25">
      <c r="A287" t="s">
        <v>270</v>
      </c>
      <c r="B287" t="s">
        <v>566</v>
      </c>
      <c r="C287" s="25">
        <f>SUMPRODUCT(VLOOKUP($A287,'PSES Enroll Snapshot 25-01-17'!$K$5:$AB$327,{2,3,4,5,6,7,8,9},0))</f>
        <v>1042.1500000000001</v>
      </c>
      <c r="D287" s="25">
        <f>SUMPRODUCT(VLOOKUP($A287,'PSES Enroll Snapshot 25-01-17'!$K$5:$AB$327,{10,11},0))-VLOOKUP($A287,'PSES Enroll Snapshot 25-01-17'!$K$5:$AB$327,12,0)</f>
        <v>293.31</v>
      </c>
      <c r="E287" s="25">
        <f>SUMPRODUCT(VLOOKUP($A287,'PSES Enroll Snapshot 25-01-17'!$K$5:$AB$327,{13,14},0))-SUMPRODUCT(VLOOKUP($A287,'PSES Enroll Snapshot 25-01-17'!$K$5:$AB$327,{15,16,17},0))</f>
        <v>386.63</v>
      </c>
      <c r="F287" s="33">
        <f>ROUND($C287*'2024-25 Elementary Calculator'!$Q$13/400,3)+ROUND($D287*'2024-25 Middle Calculator'!$O$13/432,3)+ROUND($E287*'2024-25 High Calculator'!$O$13/600,3)</f>
        <v>5.71</v>
      </c>
      <c r="G287" s="33">
        <f>ROUND($C287*'2024-25 Elementary Calculator'!$Q$15/400,3)+ROUND($D287*'2024-25 Middle Calculator'!$O$15/432,3)+ROUND($E287*'2024-25 High Calculator'!$O$15/600,3)</f>
        <v>0.95200000000000007</v>
      </c>
      <c r="H287" s="33">
        <f>ROUND($C287*'2024-25 Elementary Calculator'!$Q$17/400,3)+ROUND($D287*'2024-25 Middle Calculator'!$O$17/432,3)+ROUND($E287*'2024-25 High Calculator'!$O$17/600,3)</f>
        <v>0.31900000000000006</v>
      </c>
      <c r="I287" s="33">
        <f>ROUND($C287*'2024-25 Elementary Calculator'!$Q$18/400,3)+ROUND($D287*'2024-25 Middle Calculator'!$O$18/432,3)+ROUND($E287*'2024-25 High Calculator'!$O$18/600,3)</f>
        <v>2.6579999999999999</v>
      </c>
      <c r="J287" s="166">
        <f t="shared" si="34"/>
        <v>9.6389999999999993</v>
      </c>
      <c r="K287" s="33">
        <f>ROUND($C287*'2024-25 Elementary Calculator'!$Q$23/400,3)+ROUND($D287*'2024-25 Middle Calculator'!$O$23/432,3)+ROUND($E287*'2024-25 High Calculator'!$O$23/600,3)</f>
        <v>0.35899999999999999</v>
      </c>
      <c r="L287" s="33">
        <f>ROUND($C287*'2024-25 Elementary Calculator'!$Q$22/400,3)+ROUND($D287*'2024-25 Middle Calculator'!$O$22/432,3)+ROUND($E287*'2024-25 High Calculator'!$O$22/600,3)</f>
        <v>0.215</v>
      </c>
      <c r="M287" s="166">
        <f t="shared" si="35"/>
        <v>0.57399999999999995</v>
      </c>
      <c r="N287" s="33">
        <f>VLOOKUP($A287,'District Summary'!$A$6:$AH$325,29,FALSE)</f>
        <v>8.2609999999999992</v>
      </c>
      <c r="O287" s="33">
        <f>VLOOKUP($A287,'District Summary'!$A$6:$AH$325,34,FALSE)</f>
        <v>3.2490000000000001</v>
      </c>
      <c r="P287" s="67">
        <f t="shared" si="36"/>
        <v>-1.3780000000000001</v>
      </c>
      <c r="Q287" s="67">
        <f t="shared" si="37"/>
        <v>2.6750000000000003</v>
      </c>
      <c r="R287" s="67">
        <f t="shared" si="38"/>
        <v>10.212999999999999</v>
      </c>
      <c r="S287" s="33">
        <f t="shared" si="39"/>
        <v>11.51</v>
      </c>
      <c r="T287" s="67">
        <f t="shared" si="41"/>
        <v>1.2969999999999999</v>
      </c>
      <c r="U287" s="67">
        <f t="shared" si="40"/>
        <v>0</v>
      </c>
      <c r="V287" s="273"/>
      <c r="W287" s="273"/>
    </row>
    <row r="288" spans="1:23" x14ac:dyDescent="0.25">
      <c r="A288" t="s">
        <v>271</v>
      </c>
      <c r="B288" t="s">
        <v>567</v>
      </c>
      <c r="C288" s="25">
        <f>SUMPRODUCT(VLOOKUP($A288,'PSES Enroll Snapshot 25-01-17'!$K$5:$AB$327,{2,3,4,5,6,7,8,9},0))</f>
        <v>1657.47</v>
      </c>
      <c r="D288" s="25">
        <f>SUMPRODUCT(VLOOKUP($A288,'PSES Enroll Snapshot 25-01-17'!$K$5:$AB$327,{10,11},0))-VLOOKUP($A288,'PSES Enroll Snapshot 25-01-17'!$K$5:$AB$327,12,0)</f>
        <v>457.6</v>
      </c>
      <c r="E288" s="25">
        <f>SUMPRODUCT(VLOOKUP($A288,'PSES Enroll Snapshot 25-01-17'!$K$5:$AB$327,{13,14},0))-SUMPRODUCT(VLOOKUP($A288,'PSES Enroll Snapshot 25-01-17'!$K$5:$AB$327,{15,16,17},0))</f>
        <v>690.56999999999994</v>
      </c>
      <c r="F288" s="33">
        <f>ROUND($C288*'2024-25 Elementary Calculator'!$Q$13/400,3)+ROUND($D288*'2024-25 Middle Calculator'!$O$13/432,3)+ROUND($E288*'2024-25 High Calculator'!$O$13/600,3)</f>
        <v>9.4310000000000009</v>
      </c>
      <c r="G288" s="33">
        <f>ROUND($C288*'2024-25 Elementary Calculator'!$Q$15/400,3)+ROUND($D288*'2024-25 Middle Calculator'!$O$15/432,3)+ROUND($E288*'2024-25 High Calculator'!$O$15/600,3)</f>
        <v>1.5279999999999998</v>
      </c>
      <c r="H288" s="33">
        <f>ROUND($C288*'2024-25 Elementary Calculator'!$Q$17/400,3)+ROUND($D288*'2024-25 Middle Calculator'!$O$17/432,3)+ROUND($E288*'2024-25 High Calculator'!$O$17/600,3)</f>
        <v>0.51200000000000001</v>
      </c>
      <c r="I288" s="33">
        <f>ROUND($C288*'2024-25 Elementary Calculator'!$Q$18/400,3)+ROUND($D288*'2024-25 Middle Calculator'!$O$18/432,3)+ROUND($E288*'2024-25 High Calculator'!$O$18/600,3)</f>
        <v>4.3129999999999997</v>
      </c>
      <c r="J288" s="166">
        <f t="shared" si="34"/>
        <v>15.784000000000002</v>
      </c>
      <c r="K288" s="33">
        <f>ROUND($C288*'2024-25 Elementary Calculator'!$Q$23/400,3)+ROUND($D288*'2024-25 Middle Calculator'!$O$23/432,3)+ROUND($E288*'2024-25 High Calculator'!$O$23/600,3)</f>
        <v>0.58600000000000008</v>
      </c>
      <c r="L288" s="33">
        <f>ROUND($C288*'2024-25 Elementary Calculator'!$Q$22/400,3)+ROUND($D288*'2024-25 Middle Calculator'!$O$22/432,3)+ROUND($E288*'2024-25 High Calculator'!$O$22/600,3)</f>
        <v>0.34200000000000003</v>
      </c>
      <c r="M288" s="166">
        <f t="shared" si="35"/>
        <v>0.92800000000000016</v>
      </c>
      <c r="N288" s="33">
        <f>VLOOKUP($A288,'District Summary'!$A$6:$AH$325,29,FALSE)</f>
        <v>12.678999999999998</v>
      </c>
      <c r="O288" s="33">
        <f>VLOOKUP($A288,'District Summary'!$A$6:$AH$325,34,FALSE)</f>
        <v>7.0259999999999998</v>
      </c>
      <c r="P288" s="67">
        <f t="shared" si="36"/>
        <v>-3.105000000000004</v>
      </c>
      <c r="Q288" s="67">
        <f t="shared" si="37"/>
        <v>6.0979999999999999</v>
      </c>
      <c r="R288" s="67">
        <f t="shared" si="38"/>
        <v>16.712000000000003</v>
      </c>
      <c r="S288" s="33">
        <f t="shared" si="39"/>
        <v>19.704999999999998</v>
      </c>
      <c r="T288" s="67">
        <f t="shared" si="41"/>
        <v>2.9929999999999999</v>
      </c>
      <c r="U288" s="67">
        <f t="shared" si="40"/>
        <v>0</v>
      </c>
      <c r="V288" s="273"/>
      <c r="W288" s="273"/>
    </row>
    <row r="289" spans="1:23" x14ac:dyDescent="0.25">
      <c r="A289" t="s">
        <v>272</v>
      </c>
      <c r="B289" t="s">
        <v>568</v>
      </c>
      <c r="C289" s="25">
        <f>SUMPRODUCT(VLOOKUP($A289,'PSES Enroll Snapshot 25-01-17'!$K$5:$AB$327,{2,3,4,5,6,7,8,9},0))</f>
        <v>873.72</v>
      </c>
      <c r="D289" s="25">
        <f>SUMPRODUCT(VLOOKUP($A289,'PSES Enroll Snapshot 25-01-17'!$K$5:$AB$327,{10,11},0))-VLOOKUP($A289,'PSES Enroll Snapshot 25-01-17'!$K$5:$AB$327,12,0)</f>
        <v>239.05</v>
      </c>
      <c r="E289" s="25">
        <f>SUMPRODUCT(VLOOKUP($A289,'PSES Enroll Snapshot 25-01-17'!$K$5:$AB$327,{13,14},0))-SUMPRODUCT(VLOOKUP($A289,'PSES Enroll Snapshot 25-01-17'!$K$5:$AB$327,{15,16,17},0))</f>
        <v>393.85</v>
      </c>
      <c r="F289" s="33">
        <f>ROUND($C289*'2024-25 Elementary Calculator'!$Q$13/400,3)+ROUND($D289*'2024-25 Middle Calculator'!$O$13/432,3)+ROUND($E289*'2024-25 High Calculator'!$O$13/600,3)</f>
        <v>5.1139999999999999</v>
      </c>
      <c r="G289" s="33">
        <f>ROUND($C289*'2024-25 Elementary Calculator'!$Q$15/400,3)+ROUND($D289*'2024-25 Middle Calculator'!$O$15/432,3)+ROUND($E289*'2024-25 High Calculator'!$O$15/600,3)</f>
        <v>0.81100000000000005</v>
      </c>
      <c r="H289" s="33">
        <f>ROUND($C289*'2024-25 Elementary Calculator'!$Q$17/400,3)+ROUND($D289*'2024-25 Middle Calculator'!$O$17/432,3)+ROUND($E289*'2024-25 High Calculator'!$O$17/600,3)</f>
        <v>0.27200000000000002</v>
      </c>
      <c r="I289" s="33">
        <f>ROUND($C289*'2024-25 Elementary Calculator'!$Q$18/400,3)+ROUND($D289*'2024-25 Middle Calculator'!$O$18/432,3)+ROUND($E289*'2024-25 High Calculator'!$O$18/600,3)</f>
        <v>2.31</v>
      </c>
      <c r="J289" s="166">
        <f t="shared" si="34"/>
        <v>8.5069999999999997</v>
      </c>
      <c r="K289" s="33">
        <f>ROUND($C289*'2024-25 Elementary Calculator'!$Q$23/400,3)+ROUND($D289*'2024-25 Middle Calculator'!$O$23/432,3)+ROUND($E289*'2024-25 High Calculator'!$O$23/600,3)</f>
        <v>0.31699999999999995</v>
      </c>
      <c r="L289" s="33">
        <f>ROUND($C289*'2024-25 Elementary Calculator'!$Q$22/400,3)+ROUND($D289*'2024-25 Middle Calculator'!$O$22/432,3)+ROUND($E289*'2024-25 High Calculator'!$O$22/600,3)</f>
        <v>0.18</v>
      </c>
      <c r="M289" s="166">
        <f t="shared" si="35"/>
        <v>0.49699999999999994</v>
      </c>
      <c r="N289" s="33">
        <f>VLOOKUP($A289,'District Summary'!$A$6:$AH$325,29,FALSE)</f>
        <v>8.7279999999999998</v>
      </c>
      <c r="O289" s="33">
        <f>VLOOKUP($A289,'District Summary'!$A$6:$AH$325,34,FALSE)</f>
        <v>5.4159999999999995</v>
      </c>
      <c r="P289" s="67">
        <f t="shared" si="36"/>
        <v>0.22100000000000009</v>
      </c>
      <c r="Q289" s="67">
        <f t="shared" si="37"/>
        <v>4.9189999999999996</v>
      </c>
      <c r="R289" s="67">
        <f t="shared" si="38"/>
        <v>9.0039999999999996</v>
      </c>
      <c r="S289" s="33">
        <f t="shared" si="39"/>
        <v>14.143999999999998</v>
      </c>
      <c r="T289" s="67">
        <f t="shared" si="41"/>
        <v>5.14</v>
      </c>
      <c r="U289" s="67">
        <f t="shared" si="40"/>
        <v>0</v>
      </c>
      <c r="V289" s="273"/>
      <c r="W289" s="273"/>
    </row>
    <row r="290" spans="1:23" x14ac:dyDescent="0.25">
      <c r="A290" t="s">
        <v>273</v>
      </c>
      <c r="B290" t="s">
        <v>569</v>
      </c>
      <c r="C290" s="25">
        <f>SUMPRODUCT(VLOOKUP($A290,'PSES Enroll Snapshot 25-01-17'!$K$5:$AB$327,{2,3,4,5,6,7,8,9},0))</f>
        <v>1135.8600000000001</v>
      </c>
      <c r="D290" s="25">
        <f>SUMPRODUCT(VLOOKUP($A290,'PSES Enroll Snapshot 25-01-17'!$K$5:$AB$327,{10,11},0))-VLOOKUP($A290,'PSES Enroll Snapshot 25-01-17'!$K$5:$AB$327,12,0)</f>
        <v>303.58</v>
      </c>
      <c r="E290" s="25">
        <f>SUMPRODUCT(VLOOKUP($A290,'PSES Enroll Snapshot 25-01-17'!$K$5:$AB$327,{13,14},0))-SUMPRODUCT(VLOOKUP($A290,'PSES Enroll Snapshot 25-01-17'!$K$5:$AB$327,{15,16,17},0))</f>
        <v>366.98</v>
      </c>
      <c r="F290" s="33">
        <f>ROUND($C290*'2024-25 Elementary Calculator'!$Q$13/400,3)+ROUND($D290*'2024-25 Middle Calculator'!$O$13/432,3)+ROUND($E290*'2024-25 High Calculator'!$O$13/600,3)</f>
        <v>5.8849999999999998</v>
      </c>
      <c r="G290" s="33">
        <f>ROUND($C290*'2024-25 Elementary Calculator'!$Q$15/400,3)+ROUND($D290*'2024-25 Middle Calculator'!$O$15/432,3)+ROUND($E290*'2024-25 High Calculator'!$O$15/600,3)</f>
        <v>1.0230000000000001</v>
      </c>
      <c r="H290" s="33">
        <f>ROUND($C290*'2024-25 Elementary Calculator'!$Q$17/400,3)+ROUND($D290*'2024-25 Middle Calculator'!$O$17/432,3)+ROUND($E290*'2024-25 High Calculator'!$O$17/600,3)</f>
        <v>0.34199999999999997</v>
      </c>
      <c r="I290" s="33">
        <f>ROUND($C290*'2024-25 Elementary Calculator'!$Q$18/400,3)+ROUND($D290*'2024-25 Middle Calculator'!$O$18/432,3)+ROUND($E290*'2024-25 High Calculator'!$O$18/600,3)</f>
        <v>2.7890000000000001</v>
      </c>
      <c r="J290" s="166">
        <f t="shared" si="34"/>
        <v>10.039</v>
      </c>
      <c r="K290" s="33">
        <f>ROUND($C290*'2024-25 Elementary Calculator'!$Q$23/400,3)+ROUND($D290*'2024-25 Middle Calculator'!$O$23/432,3)+ROUND($E290*'2024-25 High Calculator'!$O$23/600,3)</f>
        <v>0.375</v>
      </c>
      <c r="L290" s="33">
        <f>ROUND($C290*'2024-25 Elementary Calculator'!$Q$22/400,3)+ROUND($D290*'2024-25 Middle Calculator'!$O$22/432,3)+ROUND($E290*'2024-25 High Calculator'!$O$22/600,3)</f>
        <v>0.23400000000000001</v>
      </c>
      <c r="M290" s="166">
        <f t="shared" si="35"/>
        <v>0.60899999999999999</v>
      </c>
      <c r="N290" s="33">
        <f>VLOOKUP($A290,'District Summary'!$A$6:$AH$325,29,FALSE)</f>
        <v>6.9700000000000006</v>
      </c>
      <c r="O290" s="33">
        <f>VLOOKUP($A290,'District Summary'!$A$6:$AH$325,34,FALSE)</f>
        <v>1.944</v>
      </c>
      <c r="P290" s="67">
        <f t="shared" si="36"/>
        <v>-3.0689999999999991</v>
      </c>
      <c r="Q290" s="67">
        <f t="shared" si="37"/>
        <v>1.335</v>
      </c>
      <c r="R290" s="67">
        <f t="shared" si="38"/>
        <v>10.648</v>
      </c>
      <c r="S290" s="33">
        <f t="shared" si="39"/>
        <v>8.9140000000000015</v>
      </c>
      <c r="T290" s="67">
        <f t="shared" si="41"/>
        <v>-1.734</v>
      </c>
      <c r="U290" s="67">
        <f t="shared" si="40"/>
        <v>-1.734</v>
      </c>
      <c r="V290" s="273"/>
      <c r="W290" s="273"/>
    </row>
    <row r="291" spans="1:23" x14ac:dyDescent="0.25">
      <c r="A291" t="s">
        <v>274</v>
      </c>
      <c r="B291" t="s">
        <v>570</v>
      </c>
      <c r="C291" s="25">
        <f>SUMPRODUCT(VLOOKUP($A291,'PSES Enroll Snapshot 25-01-17'!$K$5:$AB$327,{2,3,4,5,6,7,8,9},0))</f>
        <v>777.82</v>
      </c>
      <c r="D291" s="25">
        <f>SUMPRODUCT(VLOOKUP($A291,'PSES Enroll Snapshot 25-01-17'!$K$5:$AB$327,{10,11},0))-VLOOKUP($A291,'PSES Enroll Snapshot 25-01-17'!$K$5:$AB$327,12,0)</f>
        <v>242.48000000000002</v>
      </c>
      <c r="E291" s="25">
        <f>SUMPRODUCT(VLOOKUP($A291,'PSES Enroll Snapshot 25-01-17'!$K$5:$AB$327,{13,14},0))-SUMPRODUCT(VLOOKUP($A291,'PSES Enroll Snapshot 25-01-17'!$K$5:$AB$327,{15,16,17},0))</f>
        <v>366.53</v>
      </c>
      <c r="F291" s="33">
        <f>ROUND($C291*'2024-25 Elementary Calculator'!$Q$13/400,3)+ROUND($D291*'2024-25 Middle Calculator'!$O$13/432,3)+ROUND($E291*'2024-25 High Calculator'!$O$13/600,3)</f>
        <v>4.75</v>
      </c>
      <c r="G291" s="33">
        <f>ROUND($C291*'2024-25 Elementary Calculator'!$Q$15/400,3)+ROUND($D291*'2024-25 Middle Calculator'!$O$15/432,3)+ROUND($E291*'2024-25 High Calculator'!$O$15/600,3)</f>
        <v>0.73199999999999998</v>
      </c>
      <c r="H291" s="33">
        <f>ROUND($C291*'2024-25 Elementary Calculator'!$Q$17/400,3)+ROUND($D291*'2024-25 Middle Calculator'!$O$17/432,3)+ROUND($E291*'2024-25 High Calculator'!$O$17/600,3)</f>
        <v>0.24500000000000002</v>
      </c>
      <c r="I291" s="33">
        <f>ROUND($C291*'2024-25 Elementary Calculator'!$Q$18/400,3)+ROUND($D291*'2024-25 Middle Calculator'!$O$18/432,3)+ROUND($E291*'2024-25 High Calculator'!$O$18/600,3)</f>
        <v>2.1389999999999998</v>
      </c>
      <c r="J291" s="166">
        <f t="shared" si="34"/>
        <v>7.8659999999999997</v>
      </c>
      <c r="K291" s="33">
        <f>ROUND($C291*'2024-25 Elementary Calculator'!$Q$23/400,3)+ROUND($D291*'2024-25 Middle Calculator'!$O$23/432,3)+ROUND($E291*'2024-25 High Calculator'!$O$23/600,3)</f>
        <v>0.29199999999999998</v>
      </c>
      <c r="L291" s="33">
        <f>ROUND($C291*'2024-25 Elementary Calculator'!$Q$22/400,3)+ROUND($D291*'2024-25 Middle Calculator'!$O$22/432,3)+ROUND($E291*'2024-25 High Calculator'!$O$22/600,3)</f>
        <v>0.16</v>
      </c>
      <c r="M291" s="166">
        <f t="shared" si="35"/>
        <v>0.45199999999999996</v>
      </c>
      <c r="N291" s="33">
        <f>VLOOKUP($A291,'District Summary'!$A$6:$AH$325,29,FALSE)</f>
        <v>7.3680000000000003</v>
      </c>
      <c r="O291" s="33">
        <f>VLOOKUP($A291,'District Summary'!$A$6:$AH$325,34,FALSE)</f>
        <v>1.871</v>
      </c>
      <c r="P291" s="67">
        <f t="shared" si="36"/>
        <v>-0.49799999999999933</v>
      </c>
      <c r="Q291" s="67">
        <f t="shared" si="37"/>
        <v>1.419</v>
      </c>
      <c r="R291" s="67">
        <f t="shared" si="38"/>
        <v>8.3179999999999996</v>
      </c>
      <c r="S291" s="33">
        <f t="shared" si="39"/>
        <v>9.2390000000000008</v>
      </c>
      <c r="T291" s="67">
        <f t="shared" si="41"/>
        <v>0.92100000000000004</v>
      </c>
      <c r="U291" s="67">
        <f t="shared" si="40"/>
        <v>0</v>
      </c>
      <c r="V291" s="273"/>
      <c r="W291" s="273"/>
    </row>
    <row r="292" spans="1:23" x14ac:dyDescent="0.25">
      <c r="A292" t="s">
        <v>672</v>
      </c>
      <c r="B292" t="s">
        <v>1244</v>
      </c>
      <c r="C292" s="25">
        <f>SUMPRODUCT(VLOOKUP($A292,'PSES Enroll Snapshot 25-01-17'!$K$5:$AB$327,{2,3,4,5,6,7,8,9},0))</f>
        <v>0</v>
      </c>
      <c r="D292" s="25">
        <f>SUMPRODUCT(VLOOKUP($A292,'PSES Enroll Snapshot 25-01-17'!$K$5:$AB$327,{10,11},0))-VLOOKUP($A292,'PSES Enroll Snapshot 25-01-17'!$K$5:$AB$327,12,0)</f>
        <v>0</v>
      </c>
      <c r="E292" s="25">
        <f>SUMPRODUCT(VLOOKUP($A292,'PSES Enroll Snapshot 25-01-17'!$K$5:$AB$327,{13,14},0))-SUMPRODUCT(VLOOKUP($A292,'PSES Enroll Snapshot 25-01-17'!$K$5:$AB$327,{15,16,17},0))</f>
        <v>95.67</v>
      </c>
      <c r="F292" s="33">
        <f>ROUND($C292*'2024-25 Elementary Calculator'!$Q$13/400,3)+ROUND($D292*'2024-25 Middle Calculator'!$O$13/432,3)+ROUND($E292*'2024-25 High Calculator'!$O$13/600,3)</f>
        <v>0.48499999999999999</v>
      </c>
      <c r="G292" s="33">
        <f>ROUND($C292*'2024-25 Elementary Calculator'!$Q$15/400,3)+ROUND($D292*'2024-25 Middle Calculator'!$O$15/432,3)+ROUND($E292*'2024-25 High Calculator'!$O$15/600,3)</f>
        <v>0.02</v>
      </c>
      <c r="H292" s="33">
        <f>ROUND($C292*'2024-25 Elementary Calculator'!$Q$17/400,3)+ROUND($D292*'2024-25 Middle Calculator'!$O$17/432,3)+ROUND($E292*'2024-25 High Calculator'!$O$17/600,3)</f>
        <v>8.0000000000000002E-3</v>
      </c>
      <c r="I292" s="33">
        <f>ROUND($C292*'2024-25 Elementary Calculator'!$Q$18/400,3)+ROUND($D292*'2024-25 Middle Calculator'!$O$18/432,3)+ROUND($E292*'2024-25 High Calculator'!$O$18/600,3)</f>
        <v>0.13100000000000001</v>
      </c>
      <c r="J292" s="166">
        <f t="shared" si="34"/>
        <v>0.64400000000000002</v>
      </c>
      <c r="K292" s="33">
        <f>ROUND($C292*'2024-25 Elementary Calculator'!$Q$23/400,3)+ROUND($D292*'2024-25 Middle Calculator'!$O$23/432,3)+ROUND($E292*'2024-25 High Calculator'!$O$23/600,3)</f>
        <v>2.1999999999999999E-2</v>
      </c>
      <c r="L292" s="33">
        <f>ROUND($C292*'2024-25 Elementary Calculator'!$Q$22/400,3)+ROUND($D292*'2024-25 Middle Calculator'!$O$22/432,3)+ROUND($E292*'2024-25 High Calculator'!$O$22/600,3)</f>
        <v>0</v>
      </c>
      <c r="M292" s="166">
        <f t="shared" si="35"/>
        <v>2.1999999999999999E-2</v>
      </c>
      <c r="N292" s="33">
        <f>VLOOKUP($A292,'District Summary'!$A$6:$AH$325,29,FALSE)</f>
        <v>0</v>
      </c>
      <c r="O292" s="33">
        <f>VLOOKUP($A292,'District Summary'!$A$6:$AH$325,34,FALSE)</f>
        <v>0.255</v>
      </c>
      <c r="P292" s="67">
        <f t="shared" si="36"/>
        <v>-0.64400000000000002</v>
      </c>
      <c r="Q292" s="67">
        <f t="shared" si="37"/>
        <v>0.23300000000000001</v>
      </c>
      <c r="R292" s="67">
        <f t="shared" si="38"/>
        <v>0.66600000000000004</v>
      </c>
      <c r="S292" s="33">
        <f t="shared" si="39"/>
        <v>0.255</v>
      </c>
      <c r="T292" s="67">
        <f t="shared" si="41"/>
        <v>-0.41099999999999998</v>
      </c>
      <c r="U292" s="67">
        <f t="shared" si="40"/>
        <v>-0.41099999999999998</v>
      </c>
      <c r="V292" s="273"/>
      <c r="W292" s="273"/>
    </row>
    <row r="293" spans="1:23" x14ac:dyDescent="0.25">
      <c r="A293" t="s">
        <v>275</v>
      </c>
      <c r="B293" t="s">
        <v>571</v>
      </c>
      <c r="C293" s="25">
        <f>SUMPRODUCT(VLOOKUP($A293,'PSES Enroll Snapshot 25-01-17'!$K$5:$AB$327,{2,3,4,5,6,7,8,9},0))</f>
        <v>215.8</v>
      </c>
      <c r="D293" s="25">
        <f>SUMPRODUCT(VLOOKUP($A293,'PSES Enroll Snapshot 25-01-17'!$K$5:$AB$327,{10,11},0))-VLOOKUP($A293,'PSES Enroll Snapshot 25-01-17'!$K$5:$AB$327,12,0)</f>
        <v>67.2</v>
      </c>
      <c r="E293" s="25">
        <f>SUMPRODUCT(VLOOKUP($A293,'PSES Enroll Snapshot 25-01-17'!$K$5:$AB$327,{13,14},0))-SUMPRODUCT(VLOOKUP($A293,'PSES Enroll Snapshot 25-01-17'!$K$5:$AB$327,{15,16,17},0))</f>
        <v>125.67999999999999</v>
      </c>
      <c r="F293" s="33">
        <f>ROUND($C293*'2024-25 Elementary Calculator'!$Q$13/400,3)+ROUND($D293*'2024-25 Middle Calculator'!$O$13/432,3)+ROUND($E293*'2024-25 High Calculator'!$O$13/600,3)</f>
        <v>1.44</v>
      </c>
      <c r="G293" s="33">
        <f>ROUND($C293*'2024-25 Elementary Calculator'!$Q$15/400,3)+ROUND($D293*'2024-25 Middle Calculator'!$O$15/432,3)+ROUND($E293*'2024-25 High Calculator'!$O$15/600,3)</f>
        <v>0.20900000000000002</v>
      </c>
      <c r="H293" s="33">
        <f>ROUND($C293*'2024-25 Elementary Calculator'!$Q$17/400,3)+ROUND($D293*'2024-25 Middle Calculator'!$O$17/432,3)+ROUND($E293*'2024-25 High Calculator'!$O$17/600,3)</f>
        <v>6.9999999999999993E-2</v>
      </c>
      <c r="I293" s="33">
        <f>ROUND($C293*'2024-25 Elementary Calculator'!$Q$18/400,3)+ROUND($D293*'2024-25 Middle Calculator'!$O$18/432,3)+ROUND($E293*'2024-25 High Calculator'!$O$18/600,3)</f>
        <v>0.627</v>
      </c>
      <c r="J293" s="166">
        <f t="shared" si="34"/>
        <v>2.3460000000000001</v>
      </c>
      <c r="K293" s="33">
        <f>ROUND($C293*'2024-25 Elementary Calculator'!$Q$23/400,3)+ROUND($D293*'2024-25 Middle Calculator'!$O$23/432,3)+ROUND($E293*'2024-25 High Calculator'!$O$23/600,3)</f>
        <v>8.6999999999999994E-2</v>
      </c>
      <c r="L293" s="33">
        <f>ROUND($C293*'2024-25 Elementary Calculator'!$Q$22/400,3)+ROUND($D293*'2024-25 Middle Calculator'!$O$22/432,3)+ROUND($E293*'2024-25 High Calculator'!$O$22/600,3)</f>
        <v>4.4999999999999998E-2</v>
      </c>
      <c r="M293" s="166">
        <f t="shared" si="35"/>
        <v>0.13200000000000001</v>
      </c>
      <c r="N293" s="33">
        <f>VLOOKUP($A293,'District Summary'!$A$6:$AH$325,29,FALSE)</f>
        <v>1</v>
      </c>
      <c r="O293" s="33">
        <f>VLOOKUP($A293,'District Summary'!$A$6:$AH$325,34,FALSE)</f>
        <v>0</v>
      </c>
      <c r="P293" s="67">
        <f t="shared" si="36"/>
        <v>-1.3460000000000001</v>
      </c>
      <c r="Q293" s="67">
        <f t="shared" si="37"/>
        <v>-0.13200000000000001</v>
      </c>
      <c r="R293" s="67">
        <f t="shared" si="38"/>
        <v>2.4780000000000002</v>
      </c>
      <c r="S293" s="33">
        <f t="shared" si="39"/>
        <v>1</v>
      </c>
      <c r="T293" s="67">
        <f t="shared" si="41"/>
        <v>-1.478</v>
      </c>
      <c r="U293" s="67">
        <f t="shared" si="40"/>
        <v>-1.478</v>
      </c>
      <c r="V293" s="273"/>
      <c r="W293" s="273"/>
    </row>
    <row r="294" spans="1:23" x14ac:dyDescent="0.25">
      <c r="A294" t="s">
        <v>276</v>
      </c>
      <c r="B294" t="s">
        <v>572</v>
      </c>
      <c r="C294" s="25">
        <f>SUMPRODUCT(VLOOKUP($A294,'PSES Enroll Snapshot 25-01-17'!$K$5:$AB$327,{2,3,4,5,6,7,8,9},0))</f>
        <v>38.979999999999997</v>
      </c>
      <c r="D294" s="25">
        <f>SUMPRODUCT(VLOOKUP($A294,'PSES Enroll Snapshot 25-01-17'!$K$5:$AB$327,{10,11},0))-VLOOKUP($A294,'PSES Enroll Snapshot 25-01-17'!$K$5:$AB$327,12,0)</f>
        <v>7.2700000000000005</v>
      </c>
      <c r="E294" s="25">
        <f>SUMPRODUCT(VLOOKUP($A294,'PSES Enroll Snapshot 25-01-17'!$K$5:$AB$327,{13,14},0))-SUMPRODUCT(VLOOKUP($A294,'PSES Enroll Snapshot 25-01-17'!$K$5:$AB$327,{15,16,17},0))</f>
        <v>21.369999999999997</v>
      </c>
      <c r="F294" s="33">
        <f>ROUND($C294*'2024-25 Elementary Calculator'!$Q$13/400,3)+ROUND($D294*'2024-25 Middle Calculator'!$O$13/432,3)+ROUND($E294*'2024-25 High Calculator'!$O$13/600,3)</f>
        <v>0.23399999999999999</v>
      </c>
      <c r="G294" s="33">
        <f>ROUND($C294*'2024-25 Elementary Calculator'!$Q$15/400,3)+ROUND($D294*'2024-25 Middle Calculator'!$O$15/432,3)+ROUND($E294*'2024-25 High Calculator'!$O$15/600,3)</f>
        <v>3.5999999999999997E-2</v>
      </c>
      <c r="H294" s="33">
        <f>ROUND($C294*'2024-25 Elementary Calculator'!$Q$17/400,3)+ROUND($D294*'2024-25 Middle Calculator'!$O$17/432,3)+ROUND($E294*'2024-25 High Calculator'!$O$17/600,3)</f>
        <v>1.2E-2</v>
      </c>
      <c r="I294" s="33">
        <f>ROUND($C294*'2024-25 Elementary Calculator'!$Q$18/400,3)+ROUND($D294*'2024-25 Middle Calculator'!$O$18/432,3)+ROUND($E294*'2024-25 High Calculator'!$O$18/600,3)</f>
        <v>0.10100000000000001</v>
      </c>
      <c r="J294" s="166">
        <f t="shared" si="34"/>
        <v>0.38300000000000001</v>
      </c>
      <c r="K294" s="33">
        <f>ROUND($C294*'2024-25 Elementary Calculator'!$Q$23/400,3)+ROUND($D294*'2024-25 Middle Calculator'!$O$23/432,3)+ROUND($E294*'2024-25 High Calculator'!$O$23/600,3)</f>
        <v>1.4999999999999999E-2</v>
      </c>
      <c r="L294" s="33">
        <f>ROUND($C294*'2024-25 Elementary Calculator'!$Q$22/400,3)+ROUND($D294*'2024-25 Middle Calculator'!$O$22/432,3)+ROUND($E294*'2024-25 High Calculator'!$O$22/600,3)</f>
        <v>8.0000000000000002E-3</v>
      </c>
      <c r="M294" s="166">
        <f t="shared" si="35"/>
        <v>2.3E-2</v>
      </c>
      <c r="N294" s="33">
        <f>VLOOKUP($A294,'District Summary'!$A$6:$AH$325,29,FALSE)</f>
        <v>0.45</v>
      </c>
      <c r="O294" s="33">
        <f>VLOOKUP($A294,'District Summary'!$A$6:$AH$325,34,FALSE)</f>
        <v>7.4999999999999997E-2</v>
      </c>
      <c r="P294" s="67">
        <f t="shared" si="36"/>
        <v>6.7000000000000004E-2</v>
      </c>
      <c r="Q294" s="67">
        <f t="shared" si="37"/>
        <v>5.1999999999999998E-2</v>
      </c>
      <c r="R294" s="67">
        <f t="shared" si="38"/>
        <v>0.40600000000000003</v>
      </c>
      <c r="S294" s="33">
        <f t="shared" si="39"/>
        <v>0.52500000000000002</v>
      </c>
      <c r="T294" s="67">
        <f t="shared" si="41"/>
        <v>0.11899999999999999</v>
      </c>
      <c r="U294" s="67">
        <f t="shared" si="40"/>
        <v>0</v>
      </c>
      <c r="V294" s="273"/>
      <c r="W294" s="273"/>
    </row>
    <row r="295" spans="1:23" x14ac:dyDescent="0.25">
      <c r="A295" t="s">
        <v>277</v>
      </c>
      <c r="B295" t="s">
        <v>573</v>
      </c>
      <c r="C295" s="25">
        <f>SUMPRODUCT(VLOOKUP($A295,'PSES Enroll Snapshot 25-01-17'!$K$5:$AB$327,{2,3,4,5,6,7,8,9},0))</f>
        <v>17.399999999999999</v>
      </c>
      <c r="D295" s="25">
        <f>SUMPRODUCT(VLOOKUP($A295,'PSES Enroll Snapshot 25-01-17'!$K$5:$AB$327,{10,11},0))-VLOOKUP($A295,'PSES Enroll Snapshot 25-01-17'!$K$5:$AB$327,12,0)</f>
        <v>11.7</v>
      </c>
      <c r="E295" s="25">
        <f>SUMPRODUCT(VLOOKUP($A295,'PSES Enroll Snapshot 25-01-17'!$K$5:$AB$327,{13,14},0))-SUMPRODUCT(VLOOKUP($A295,'PSES Enroll Snapshot 25-01-17'!$K$5:$AB$327,{15,16,17},0))</f>
        <v>0</v>
      </c>
      <c r="F295" s="33">
        <f>ROUND($C295*'2024-25 Elementary Calculator'!$Q$13/400,3)+ROUND($D295*'2024-25 Middle Calculator'!$O$13/432,3)+ROUND($E295*'2024-25 High Calculator'!$O$13/600,3)</f>
        <v>8.8999999999999996E-2</v>
      </c>
      <c r="G295" s="33">
        <f>ROUND($C295*'2024-25 Elementary Calculator'!$Q$15/400,3)+ROUND($D295*'2024-25 Middle Calculator'!$O$15/432,3)+ROUND($E295*'2024-25 High Calculator'!$O$15/600,3)</f>
        <v>1.6E-2</v>
      </c>
      <c r="H295" s="33">
        <f>ROUND($C295*'2024-25 Elementary Calculator'!$Q$17/400,3)+ROUND($D295*'2024-25 Middle Calculator'!$O$17/432,3)+ROUND($E295*'2024-25 High Calculator'!$O$17/600,3)</f>
        <v>6.0000000000000001E-3</v>
      </c>
      <c r="I295" s="33">
        <f>ROUND($C295*'2024-25 Elementary Calculator'!$Q$18/400,3)+ROUND($D295*'2024-25 Middle Calculator'!$O$18/432,3)+ROUND($E295*'2024-25 High Calculator'!$O$18/600,3)</f>
        <v>4.9000000000000002E-2</v>
      </c>
      <c r="J295" s="166">
        <f t="shared" si="34"/>
        <v>0.16</v>
      </c>
      <c r="K295" s="33">
        <f>ROUND($C295*'2024-25 Elementary Calculator'!$Q$23/400,3)+ROUND($D295*'2024-25 Middle Calculator'!$O$23/432,3)+ROUND($E295*'2024-25 High Calculator'!$O$23/600,3)</f>
        <v>5.0000000000000001E-3</v>
      </c>
      <c r="L295" s="33">
        <f>ROUND($C295*'2024-25 Elementary Calculator'!$Q$22/400,3)+ROUND($D295*'2024-25 Middle Calculator'!$O$22/432,3)+ROUND($E295*'2024-25 High Calculator'!$O$22/600,3)</f>
        <v>4.0000000000000001E-3</v>
      </c>
      <c r="M295" s="166">
        <f t="shared" si="35"/>
        <v>9.0000000000000011E-3</v>
      </c>
      <c r="N295" s="33">
        <f>VLOOKUP($A295,'District Summary'!$A$6:$AH$325,29,FALSE)</f>
        <v>0</v>
      </c>
      <c r="O295" s="33">
        <f>VLOOKUP($A295,'District Summary'!$A$6:$AH$325,34,FALSE)</f>
        <v>0</v>
      </c>
      <c r="P295" s="67">
        <f t="shared" si="36"/>
        <v>-0.16</v>
      </c>
      <c r="Q295" s="67">
        <f t="shared" si="37"/>
        <v>-9.0000000000000011E-3</v>
      </c>
      <c r="R295" s="67">
        <f t="shared" si="38"/>
        <v>0.16900000000000001</v>
      </c>
      <c r="S295" s="33">
        <f t="shared" si="39"/>
        <v>0</v>
      </c>
      <c r="T295" s="67">
        <f t="shared" si="41"/>
        <v>-0.16900000000000001</v>
      </c>
      <c r="U295" s="67">
        <f t="shared" si="40"/>
        <v>-0.16900000000000001</v>
      </c>
      <c r="V295" s="273"/>
      <c r="W295" s="273"/>
    </row>
    <row r="296" spans="1:23" x14ac:dyDescent="0.25">
      <c r="A296" t="s">
        <v>278</v>
      </c>
      <c r="B296" t="s">
        <v>574</v>
      </c>
      <c r="C296" s="25">
        <f>SUMPRODUCT(VLOOKUP($A296,'PSES Enroll Snapshot 25-01-17'!$K$5:$AB$327,{2,3,4,5,6,7,8,9},0))</f>
        <v>97.65</v>
      </c>
      <c r="D296" s="25">
        <f>SUMPRODUCT(VLOOKUP($A296,'PSES Enroll Snapshot 25-01-17'!$K$5:$AB$327,{10,11},0))-VLOOKUP($A296,'PSES Enroll Snapshot 25-01-17'!$K$5:$AB$327,12,0)</f>
        <v>34.24</v>
      </c>
      <c r="E296" s="25">
        <f>SUMPRODUCT(VLOOKUP($A296,'PSES Enroll Snapshot 25-01-17'!$K$5:$AB$327,{13,14},0))-SUMPRODUCT(VLOOKUP($A296,'PSES Enroll Snapshot 25-01-17'!$K$5:$AB$327,{15,16,17},0))</f>
        <v>25.069999999999997</v>
      </c>
      <c r="F296" s="33">
        <f>ROUND($C296*'2024-25 Elementary Calculator'!$Q$13/400,3)+ROUND($D296*'2024-25 Middle Calculator'!$O$13/432,3)+ROUND($E296*'2024-25 High Calculator'!$O$13/600,3)</f>
        <v>0.505</v>
      </c>
      <c r="G296" s="33">
        <f>ROUND($C296*'2024-25 Elementary Calculator'!$Q$15/400,3)+ROUND($D296*'2024-25 Middle Calculator'!$O$15/432,3)+ROUND($E296*'2024-25 High Calculator'!$O$15/600,3)</f>
        <v>8.8000000000000009E-2</v>
      </c>
      <c r="H296" s="33">
        <f>ROUND($C296*'2024-25 Elementary Calculator'!$Q$17/400,3)+ROUND($D296*'2024-25 Middle Calculator'!$O$17/432,3)+ROUND($E296*'2024-25 High Calculator'!$O$17/600,3)</f>
        <v>2.9000000000000005E-2</v>
      </c>
      <c r="I296" s="33">
        <f>ROUND($C296*'2024-25 Elementary Calculator'!$Q$18/400,3)+ROUND($D296*'2024-25 Middle Calculator'!$O$18/432,3)+ROUND($E296*'2024-25 High Calculator'!$O$18/600,3)</f>
        <v>0.247</v>
      </c>
      <c r="J296" s="166">
        <f t="shared" si="34"/>
        <v>0.86899999999999999</v>
      </c>
      <c r="K296" s="33">
        <f>ROUND($C296*'2024-25 Elementary Calculator'!$Q$23/400,3)+ROUND($D296*'2024-25 Middle Calculator'!$O$23/432,3)+ROUND($E296*'2024-25 High Calculator'!$O$23/600,3)</f>
        <v>3.2000000000000001E-2</v>
      </c>
      <c r="L296" s="33">
        <f>ROUND($C296*'2024-25 Elementary Calculator'!$Q$22/400,3)+ROUND($D296*'2024-25 Middle Calculator'!$O$22/432,3)+ROUND($E296*'2024-25 High Calculator'!$O$22/600,3)</f>
        <v>0.02</v>
      </c>
      <c r="M296" s="166">
        <f t="shared" si="35"/>
        <v>5.2000000000000005E-2</v>
      </c>
      <c r="N296" s="33">
        <f>VLOOKUP($A296,'District Summary'!$A$6:$AH$325,29,FALSE)</f>
        <v>1.3880000000000001</v>
      </c>
      <c r="O296" s="33">
        <f>VLOOKUP($A296,'District Summary'!$A$6:$AH$325,34,FALSE)</f>
        <v>0</v>
      </c>
      <c r="P296" s="67">
        <f t="shared" si="36"/>
        <v>0.51900000000000013</v>
      </c>
      <c r="Q296" s="67">
        <f t="shared" si="37"/>
        <v>-5.2000000000000005E-2</v>
      </c>
      <c r="R296" s="67">
        <f t="shared" si="38"/>
        <v>0.92100000000000004</v>
      </c>
      <c r="S296" s="33">
        <f t="shared" si="39"/>
        <v>1.3880000000000001</v>
      </c>
      <c r="T296" s="67">
        <f t="shared" si="41"/>
        <v>0.46700000000000003</v>
      </c>
      <c r="U296" s="67">
        <f t="shared" si="40"/>
        <v>0</v>
      </c>
      <c r="V296" s="273"/>
      <c r="W296" s="273"/>
    </row>
    <row r="297" spans="1:23" x14ac:dyDescent="0.25">
      <c r="A297" t="s">
        <v>279</v>
      </c>
      <c r="B297" t="s">
        <v>575</v>
      </c>
      <c r="C297" s="25">
        <f>SUMPRODUCT(VLOOKUP($A297,'PSES Enroll Snapshot 25-01-17'!$K$5:$AB$327,{2,3,4,5,6,7,8,9},0))</f>
        <v>1423.1100000000001</v>
      </c>
      <c r="D297" s="25">
        <f>SUMPRODUCT(VLOOKUP($A297,'PSES Enroll Snapshot 25-01-17'!$K$5:$AB$327,{10,11},0))-VLOOKUP($A297,'PSES Enroll Snapshot 25-01-17'!$K$5:$AB$327,12,0)</f>
        <v>384.35</v>
      </c>
      <c r="E297" s="25">
        <f>SUMPRODUCT(VLOOKUP($A297,'PSES Enroll Snapshot 25-01-17'!$K$5:$AB$327,{13,14},0))-SUMPRODUCT(VLOOKUP($A297,'PSES Enroll Snapshot 25-01-17'!$K$5:$AB$327,{15,16,17},0))</f>
        <v>623.55000000000007</v>
      </c>
      <c r="F297" s="33">
        <f>ROUND($C297*'2024-25 Elementary Calculator'!$Q$13/400,3)+ROUND($D297*'2024-25 Middle Calculator'!$O$13/432,3)+ROUND($E297*'2024-25 High Calculator'!$O$13/600,3)</f>
        <v>8.218</v>
      </c>
      <c r="G297" s="33">
        <f>ROUND($C297*'2024-25 Elementary Calculator'!$Q$15/400,3)+ROUND($D297*'2024-25 Middle Calculator'!$O$15/432,3)+ROUND($E297*'2024-25 High Calculator'!$O$15/600,3)</f>
        <v>1.3160000000000003</v>
      </c>
      <c r="H297" s="33">
        <f>ROUND($C297*'2024-25 Elementary Calculator'!$Q$17/400,3)+ROUND($D297*'2024-25 Middle Calculator'!$O$17/432,3)+ROUND($E297*'2024-25 High Calculator'!$O$17/600,3)</f>
        <v>0.442</v>
      </c>
      <c r="I297" s="33">
        <f>ROUND($C297*'2024-25 Elementary Calculator'!$Q$18/400,3)+ROUND($D297*'2024-25 Middle Calculator'!$O$18/432,3)+ROUND($E297*'2024-25 High Calculator'!$O$18/600,3)</f>
        <v>3.7269999999999999</v>
      </c>
      <c r="J297" s="166">
        <f t="shared" si="34"/>
        <v>13.703000000000001</v>
      </c>
      <c r="K297" s="33">
        <f>ROUND($C297*'2024-25 Elementary Calculator'!$Q$23/400,3)+ROUND($D297*'2024-25 Middle Calculator'!$O$23/432,3)+ROUND($E297*'2024-25 High Calculator'!$O$23/600,3)</f>
        <v>0.51</v>
      </c>
      <c r="L297" s="33">
        <f>ROUND($C297*'2024-25 Elementary Calculator'!$Q$22/400,3)+ROUND($D297*'2024-25 Middle Calculator'!$O$22/432,3)+ROUND($E297*'2024-25 High Calculator'!$O$22/600,3)</f>
        <v>0.29399999999999998</v>
      </c>
      <c r="M297" s="166">
        <f t="shared" si="35"/>
        <v>0.80400000000000005</v>
      </c>
      <c r="N297" s="33">
        <f>VLOOKUP($A297,'District Summary'!$A$6:$AH$325,29,FALSE)</f>
        <v>8.8150000000000013</v>
      </c>
      <c r="O297" s="33">
        <f>VLOOKUP($A297,'District Summary'!$A$6:$AH$325,34,FALSE)</f>
        <v>5.5979999999999999</v>
      </c>
      <c r="P297" s="67">
        <f t="shared" si="36"/>
        <v>-4.8879999999999999</v>
      </c>
      <c r="Q297" s="67">
        <f t="shared" si="37"/>
        <v>4.7939999999999996</v>
      </c>
      <c r="R297" s="67">
        <f t="shared" si="38"/>
        <v>14.507000000000001</v>
      </c>
      <c r="S297" s="33">
        <f t="shared" si="39"/>
        <v>14.413</v>
      </c>
      <c r="T297" s="67">
        <f t="shared" si="41"/>
        <v>-9.4E-2</v>
      </c>
      <c r="U297" s="67">
        <f t="shared" si="40"/>
        <v>-9.4E-2</v>
      </c>
      <c r="V297" s="273"/>
      <c r="W297" s="273"/>
    </row>
    <row r="298" spans="1:23" x14ac:dyDescent="0.25">
      <c r="A298" t="s">
        <v>280</v>
      </c>
      <c r="B298" t="s">
        <v>576</v>
      </c>
      <c r="C298" s="25">
        <f>SUMPRODUCT(VLOOKUP($A298,'PSES Enroll Snapshot 25-01-17'!$K$5:$AB$327,{2,3,4,5,6,7,8,9},0))</f>
        <v>268.2</v>
      </c>
      <c r="D298" s="25">
        <f>SUMPRODUCT(VLOOKUP($A298,'PSES Enroll Snapshot 25-01-17'!$K$5:$AB$327,{10,11},0))-VLOOKUP($A298,'PSES Enroll Snapshot 25-01-17'!$K$5:$AB$327,12,0)</f>
        <v>81.86999999999999</v>
      </c>
      <c r="E298" s="25">
        <f>SUMPRODUCT(VLOOKUP($A298,'PSES Enroll Snapshot 25-01-17'!$K$5:$AB$327,{13,14},0))-SUMPRODUCT(VLOOKUP($A298,'PSES Enroll Snapshot 25-01-17'!$K$5:$AB$327,{15,16,17},0))</f>
        <v>125.67999999999999</v>
      </c>
      <c r="F298" s="33">
        <f>ROUND($C298*'2024-25 Elementary Calculator'!$Q$13/400,3)+ROUND($D298*'2024-25 Middle Calculator'!$O$13/432,3)+ROUND($E298*'2024-25 High Calculator'!$O$13/600,3)</f>
        <v>1.6280000000000001</v>
      </c>
      <c r="G298" s="33">
        <f>ROUND($C298*'2024-25 Elementary Calculator'!$Q$15/400,3)+ROUND($D298*'2024-25 Middle Calculator'!$O$15/432,3)+ROUND($E298*'2024-25 High Calculator'!$O$15/600,3)</f>
        <v>0.253</v>
      </c>
      <c r="H298" s="33">
        <f>ROUND($C298*'2024-25 Elementary Calculator'!$Q$17/400,3)+ROUND($D298*'2024-25 Middle Calculator'!$O$17/432,3)+ROUND($E298*'2024-25 High Calculator'!$O$17/600,3)</f>
        <v>8.5000000000000006E-2</v>
      </c>
      <c r="I298" s="33">
        <f>ROUND($C298*'2024-25 Elementary Calculator'!$Q$18/400,3)+ROUND($D298*'2024-25 Middle Calculator'!$O$18/432,3)+ROUND($E298*'2024-25 High Calculator'!$O$18/600,3)</f>
        <v>0.7330000000000001</v>
      </c>
      <c r="J298" s="166">
        <f t="shared" si="34"/>
        <v>2.6990000000000003</v>
      </c>
      <c r="K298" s="33">
        <f>ROUND($C298*'2024-25 Elementary Calculator'!$Q$23/400,3)+ROUND($D298*'2024-25 Middle Calculator'!$O$23/432,3)+ROUND($E298*'2024-25 High Calculator'!$O$23/600,3)</f>
        <v>0.1</v>
      </c>
      <c r="L298" s="33">
        <f>ROUND($C298*'2024-25 Elementary Calculator'!$Q$22/400,3)+ROUND($D298*'2024-25 Middle Calculator'!$O$22/432,3)+ROUND($E298*'2024-25 High Calculator'!$O$22/600,3)</f>
        <v>5.5E-2</v>
      </c>
      <c r="M298" s="166">
        <f t="shared" si="35"/>
        <v>0.155</v>
      </c>
      <c r="N298" s="33">
        <f>VLOOKUP($A298,'District Summary'!$A$6:$AH$325,29,FALSE)</f>
        <v>4.3120000000000003</v>
      </c>
      <c r="O298" s="33">
        <f>VLOOKUP($A298,'District Summary'!$A$6:$AH$325,34,FALSE)</f>
        <v>0.66600000000000004</v>
      </c>
      <c r="P298" s="67">
        <f t="shared" si="36"/>
        <v>1.613</v>
      </c>
      <c r="Q298" s="67">
        <f t="shared" si="37"/>
        <v>0.51100000000000001</v>
      </c>
      <c r="R298" s="67">
        <f t="shared" si="38"/>
        <v>2.8540000000000001</v>
      </c>
      <c r="S298" s="33">
        <f t="shared" si="39"/>
        <v>4.9780000000000006</v>
      </c>
      <c r="T298" s="67">
        <f t="shared" si="41"/>
        <v>2.1240000000000001</v>
      </c>
      <c r="U298" s="67">
        <f t="shared" si="40"/>
        <v>0</v>
      </c>
      <c r="V298" s="273"/>
      <c r="W298" s="273"/>
    </row>
    <row r="299" spans="1:23" x14ac:dyDescent="0.25">
      <c r="A299" t="s">
        <v>281</v>
      </c>
      <c r="B299" t="s">
        <v>577</v>
      </c>
      <c r="C299" s="25">
        <f>SUMPRODUCT(VLOOKUP($A299,'PSES Enroll Snapshot 25-01-17'!$K$5:$AB$327,{2,3,4,5,6,7,8,9},0))</f>
        <v>104.03999999999999</v>
      </c>
      <c r="D299" s="25">
        <f>SUMPRODUCT(VLOOKUP($A299,'PSES Enroll Snapshot 25-01-17'!$K$5:$AB$327,{10,11},0))-VLOOKUP($A299,'PSES Enroll Snapshot 25-01-17'!$K$5:$AB$327,12,0)</f>
        <v>18.399999999999999</v>
      </c>
      <c r="E299" s="25">
        <f>SUMPRODUCT(VLOOKUP($A299,'PSES Enroll Snapshot 25-01-17'!$K$5:$AB$327,{13,14},0))-SUMPRODUCT(VLOOKUP($A299,'PSES Enroll Snapshot 25-01-17'!$K$5:$AB$327,{15,16,17},0))</f>
        <v>42.17</v>
      </c>
      <c r="F299" s="33">
        <f>ROUND($C299*'2024-25 Elementary Calculator'!$Q$13/400,3)+ROUND($D299*'2024-25 Middle Calculator'!$O$13/432,3)+ROUND($E299*'2024-25 High Calculator'!$O$13/600,3)</f>
        <v>0.54500000000000004</v>
      </c>
      <c r="G299" s="33">
        <f>ROUND($C299*'2024-25 Elementary Calculator'!$Q$15/400,3)+ROUND($D299*'2024-25 Middle Calculator'!$O$15/432,3)+ROUND($E299*'2024-25 High Calculator'!$O$15/600,3)</f>
        <v>9.4E-2</v>
      </c>
      <c r="H299" s="33">
        <f>ROUND($C299*'2024-25 Elementary Calculator'!$Q$17/400,3)+ROUND($D299*'2024-25 Middle Calculator'!$O$17/432,3)+ROUND($E299*'2024-25 High Calculator'!$O$17/600,3)</f>
        <v>3.1E-2</v>
      </c>
      <c r="I299" s="33">
        <f>ROUND($C299*'2024-25 Elementary Calculator'!$Q$18/400,3)+ROUND($D299*'2024-25 Middle Calculator'!$O$18/432,3)+ROUND($E299*'2024-25 High Calculator'!$O$18/600,3)</f>
        <v>0.248</v>
      </c>
      <c r="J299" s="166">
        <f t="shared" si="34"/>
        <v>0.91800000000000004</v>
      </c>
      <c r="K299" s="33">
        <f>ROUND($C299*'2024-25 Elementary Calculator'!$Q$23/400,3)+ROUND($D299*'2024-25 Middle Calculator'!$O$23/432,3)+ROUND($E299*'2024-25 High Calculator'!$O$23/600,3)</f>
        <v>3.5000000000000003E-2</v>
      </c>
      <c r="L299" s="33">
        <f>ROUND($C299*'2024-25 Elementary Calculator'!$Q$22/400,3)+ROUND($D299*'2024-25 Middle Calculator'!$O$22/432,3)+ROUND($E299*'2024-25 High Calculator'!$O$22/600,3)</f>
        <v>2.1000000000000001E-2</v>
      </c>
      <c r="M299" s="166">
        <f t="shared" si="35"/>
        <v>5.6000000000000008E-2</v>
      </c>
      <c r="N299" s="33">
        <f>VLOOKUP($A299,'District Summary'!$A$6:$AH$325,29,FALSE)</f>
        <v>1</v>
      </c>
      <c r="O299" s="33">
        <f>VLOOKUP($A299,'District Summary'!$A$6:$AH$325,34,FALSE)</f>
        <v>0</v>
      </c>
      <c r="P299" s="67">
        <f t="shared" si="36"/>
        <v>8.1999999999999962E-2</v>
      </c>
      <c r="Q299" s="67">
        <f t="shared" si="37"/>
        <v>-5.6000000000000008E-2</v>
      </c>
      <c r="R299" s="67">
        <f t="shared" si="38"/>
        <v>0.97400000000000009</v>
      </c>
      <c r="S299" s="33">
        <f t="shared" si="39"/>
        <v>1</v>
      </c>
      <c r="T299" s="67">
        <f t="shared" si="41"/>
        <v>2.5999999999999999E-2</v>
      </c>
      <c r="U299" s="67">
        <f t="shared" si="40"/>
        <v>0</v>
      </c>
      <c r="V299" s="273"/>
      <c r="W299" s="273"/>
    </row>
    <row r="300" spans="1:23" x14ac:dyDescent="0.25">
      <c r="A300" t="s">
        <v>282</v>
      </c>
      <c r="B300" t="s">
        <v>578</v>
      </c>
      <c r="C300" s="25">
        <f>SUMPRODUCT(VLOOKUP($A300,'PSES Enroll Snapshot 25-01-17'!$K$5:$AB$327,{2,3,4,5,6,7,8,9},0))</f>
        <v>58.68</v>
      </c>
      <c r="D300" s="25">
        <f>SUMPRODUCT(VLOOKUP($A300,'PSES Enroll Snapshot 25-01-17'!$K$5:$AB$327,{10,11},0))-VLOOKUP($A300,'PSES Enroll Snapshot 25-01-17'!$K$5:$AB$327,12,0)</f>
        <v>14.8</v>
      </c>
      <c r="E300" s="25">
        <f>SUMPRODUCT(VLOOKUP($A300,'PSES Enroll Snapshot 25-01-17'!$K$5:$AB$327,{13,14},0))-SUMPRODUCT(VLOOKUP($A300,'PSES Enroll Snapshot 25-01-17'!$K$5:$AB$327,{15,16,17},0))</f>
        <v>31.95</v>
      </c>
      <c r="F300" s="33">
        <f>ROUND($C300*'2024-25 Elementary Calculator'!$Q$13/400,3)+ROUND($D300*'2024-25 Middle Calculator'!$O$13/432,3)+ROUND($E300*'2024-25 High Calculator'!$O$13/600,3)</f>
        <v>0.36699999999999999</v>
      </c>
      <c r="G300" s="33">
        <f>ROUND($C300*'2024-25 Elementary Calculator'!$Q$15/400,3)+ROUND($D300*'2024-25 Middle Calculator'!$O$15/432,3)+ROUND($E300*'2024-25 High Calculator'!$O$15/600,3)</f>
        <v>5.6000000000000001E-2</v>
      </c>
      <c r="H300" s="33">
        <f>ROUND($C300*'2024-25 Elementary Calculator'!$Q$17/400,3)+ROUND($D300*'2024-25 Middle Calculator'!$O$17/432,3)+ROUND($E300*'2024-25 High Calculator'!$O$17/600,3)</f>
        <v>1.9E-2</v>
      </c>
      <c r="I300" s="33">
        <f>ROUND($C300*'2024-25 Elementary Calculator'!$Q$18/400,3)+ROUND($D300*'2024-25 Middle Calculator'!$O$18/432,3)+ROUND($E300*'2024-25 High Calculator'!$O$18/600,3)</f>
        <v>0.15999999999999998</v>
      </c>
      <c r="J300" s="166">
        <f t="shared" si="34"/>
        <v>0.60199999999999998</v>
      </c>
      <c r="K300" s="33">
        <f>ROUND($C300*'2024-25 Elementary Calculator'!$Q$23/400,3)+ROUND($D300*'2024-25 Middle Calculator'!$O$23/432,3)+ROUND($E300*'2024-25 High Calculator'!$O$23/600,3)</f>
        <v>2.3E-2</v>
      </c>
      <c r="L300" s="33">
        <f>ROUND($C300*'2024-25 Elementary Calculator'!$Q$22/400,3)+ROUND($D300*'2024-25 Middle Calculator'!$O$22/432,3)+ROUND($E300*'2024-25 High Calculator'!$O$22/600,3)</f>
        <v>1.2E-2</v>
      </c>
      <c r="M300" s="166">
        <f t="shared" si="35"/>
        <v>3.5000000000000003E-2</v>
      </c>
      <c r="N300" s="33">
        <f>VLOOKUP($A300,'District Summary'!$A$6:$AH$325,29,FALSE)</f>
        <v>1</v>
      </c>
      <c r="O300" s="33">
        <f>VLOOKUP($A300,'District Summary'!$A$6:$AH$325,34,FALSE)</f>
        <v>0.10200000000000001</v>
      </c>
      <c r="P300" s="67">
        <f t="shared" si="36"/>
        <v>0.39800000000000002</v>
      </c>
      <c r="Q300" s="67">
        <f t="shared" si="37"/>
        <v>6.7000000000000004E-2</v>
      </c>
      <c r="R300" s="67">
        <f t="shared" si="38"/>
        <v>0.63700000000000001</v>
      </c>
      <c r="S300" s="33">
        <f t="shared" si="39"/>
        <v>1.1020000000000001</v>
      </c>
      <c r="T300" s="67">
        <f t="shared" si="41"/>
        <v>0.46500000000000002</v>
      </c>
      <c r="U300" s="67">
        <f t="shared" si="40"/>
        <v>0</v>
      </c>
      <c r="V300" s="273"/>
      <c r="W300" s="273"/>
    </row>
    <row r="301" spans="1:23" x14ac:dyDescent="0.25">
      <c r="A301" t="s">
        <v>283</v>
      </c>
      <c r="B301" t="s">
        <v>579</v>
      </c>
      <c r="C301" s="25">
        <f>SUMPRODUCT(VLOOKUP($A301,'PSES Enroll Snapshot 25-01-17'!$K$5:$AB$327,{2,3,4,5,6,7,8,9},0))</f>
        <v>26.4</v>
      </c>
      <c r="D301" s="25">
        <f>SUMPRODUCT(VLOOKUP($A301,'PSES Enroll Snapshot 25-01-17'!$K$5:$AB$327,{10,11},0))-VLOOKUP($A301,'PSES Enroll Snapshot 25-01-17'!$K$5:$AB$327,12,0)</f>
        <v>3.8</v>
      </c>
      <c r="E301" s="25">
        <f>SUMPRODUCT(VLOOKUP($A301,'PSES Enroll Snapshot 25-01-17'!$K$5:$AB$327,{13,14},0))-SUMPRODUCT(VLOOKUP($A301,'PSES Enroll Snapshot 25-01-17'!$K$5:$AB$327,{15,16,17},0))</f>
        <v>0</v>
      </c>
      <c r="F301" s="33">
        <f>ROUND($C301*'2024-25 Elementary Calculator'!$Q$13/400,3)+ROUND($D301*'2024-25 Middle Calculator'!$O$13/432,3)+ROUND($E301*'2024-25 High Calculator'!$O$13/600,3)</f>
        <v>8.1000000000000003E-2</v>
      </c>
      <c r="G301" s="33">
        <f>ROUND($C301*'2024-25 Elementary Calculator'!$Q$15/400,3)+ROUND($D301*'2024-25 Middle Calculator'!$O$15/432,3)+ROUND($E301*'2024-25 High Calculator'!$O$15/600,3)</f>
        <v>2.2000000000000002E-2</v>
      </c>
      <c r="H301" s="33">
        <f>ROUND($C301*'2024-25 Elementary Calculator'!$Q$17/400,3)+ROUND($D301*'2024-25 Middle Calculator'!$O$17/432,3)+ROUND($E301*'2024-25 High Calculator'!$O$17/600,3)</f>
        <v>7.0000000000000001E-3</v>
      </c>
      <c r="I301" s="33">
        <f>ROUND($C301*'2024-25 Elementary Calculator'!$Q$18/400,3)+ROUND($D301*'2024-25 Middle Calculator'!$O$18/432,3)+ROUND($E301*'2024-25 High Calculator'!$O$18/600,3)</f>
        <v>4.7E-2</v>
      </c>
      <c r="J301" s="166">
        <f t="shared" si="34"/>
        <v>0.15700000000000003</v>
      </c>
      <c r="K301" s="33">
        <f>ROUND($C301*'2024-25 Elementary Calculator'!$Q$23/400,3)+ROUND($D301*'2024-25 Middle Calculator'!$O$23/432,3)+ROUND($E301*'2024-25 High Calculator'!$O$23/600,3)</f>
        <v>6.0000000000000001E-3</v>
      </c>
      <c r="L301" s="33">
        <f>ROUND($C301*'2024-25 Elementary Calculator'!$Q$22/400,3)+ROUND($D301*'2024-25 Middle Calculator'!$O$22/432,3)+ROUND($E301*'2024-25 High Calculator'!$O$22/600,3)</f>
        <v>5.0000000000000001E-3</v>
      </c>
      <c r="M301" s="166">
        <f t="shared" si="35"/>
        <v>1.0999999999999999E-2</v>
      </c>
      <c r="N301" s="33">
        <f>VLOOKUP($A301,'District Summary'!$A$6:$AH$325,29,FALSE)</f>
        <v>0</v>
      </c>
      <c r="O301" s="33">
        <f>VLOOKUP($A301,'District Summary'!$A$6:$AH$325,34,FALSE)</f>
        <v>3.5000000000000003E-2</v>
      </c>
      <c r="P301" s="67">
        <f t="shared" si="36"/>
        <v>-0.15700000000000003</v>
      </c>
      <c r="Q301" s="67">
        <f t="shared" si="37"/>
        <v>2.4000000000000004E-2</v>
      </c>
      <c r="R301" s="67">
        <f t="shared" si="38"/>
        <v>0.16800000000000004</v>
      </c>
      <c r="S301" s="33">
        <f t="shared" si="39"/>
        <v>3.5000000000000003E-2</v>
      </c>
      <c r="T301" s="67">
        <f t="shared" si="41"/>
        <v>-0.13300000000000001</v>
      </c>
      <c r="U301" s="67">
        <f t="shared" si="40"/>
        <v>-0.13300000000000001</v>
      </c>
      <c r="V301" s="273"/>
      <c r="W301" s="273"/>
    </row>
    <row r="302" spans="1:23" x14ac:dyDescent="0.25">
      <c r="A302" t="s">
        <v>284</v>
      </c>
      <c r="B302" t="s">
        <v>580</v>
      </c>
      <c r="C302" s="25">
        <f>SUMPRODUCT(VLOOKUP($A302,'PSES Enroll Snapshot 25-01-17'!$K$5:$AB$327,{2,3,4,5,6,7,8,9},0))</f>
        <v>100</v>
      </c>
      <c r="D302" s="25">
        <f>SUMPRODUCT(VLOOKUP($A302,'PSES Enroll Snapshot 25-01-17'!$K$5:$AB$327,{10,11},0))-VLOOKUP($A302,'PSES Enroll Snapshot 25-01-17'!$K$5:$AB$327,12,0)</f>
        <v>21.520000000000003</v>
      </c>
      <c r="E302" s="25">
        <f>SUMPRODUCT(VLOOKUP($A302,'PSES Enroll Snapshot 25-01-17'!$K$5:$AB$327,{13,14},0))-SUMPRODUCT(VLOOKUP($A302,'PSES Enroll Snapshot 25-01-17'!$K$5:$AB$327,{15,16,17},0))</f>
        <v>23.380000000000003</v>
      </c>
      <c r="F302" s="33">
        <f>ROUND($C302*'2024-25 Elementary Calculator'!$Q$13/400,3)+ROUND($D302*'2024-25 Middle Calculator'!$O$13/432,3)+ROUND($E302*'2024-25 High Calculator'!$O$13/600,3)</f>
        <v>0.45100000000000001</v>
      </c>
      <c r="G302" s="33">
        <f>ROUND($C302*'2024-25 Elementary Calculator'!$Q$15/400,3)+ROUND($D302*'2024-25 Middle Calculator'!$O$15/432,3)+ROUND($E302*'2024-25 High Calculator'!$O$15/600,3)</f>
        <v>8.7000000000000008E-2</v>
      </c>
      <c r="H302" s="33">
        <f>ROUND($C302*'2024-25 Elementary Calculator'!$Q$17/400,3)+ROUND($D302*'2024-25 Middle Calculator'!$O$17/432,3)+ROUND($E302*'2024-25 High Calculator'!$O$17/600,3)</f>
        <v>2.8999999999999998E-2</v>
      </c>
      <c r="I302" s="33">
        <f>ROUND($C302*'2024-25 Elementary Calculator'!$Q$18/400,3)+ROUND($D302*'2024-25 Middle Calculator'!$O$18/432,3)+ROUND($E302*'2024-25 High Calculator'!$O$18/600,3)</f>
        <v>0.222</v>
      </c>
      <c r="J302" s="166">
        <f t="shared" si="34"/>
        <v>0.78900000000000003</v>
      </c>
      <c r="K302" s="33">
        <f>ROUND($C302*'2024-25 Elementary Calculator'!$Q$23/400,3)+ROUND($D302*'2024-25 Middle Calculator'!$O$23/432,3)+ROUND($E302*'2024-25 High Calculator'!$O$23/600,3)</f>
        <v>3.0000000000000002E-2</v>
      </c>
      <c r="L302" s="33">
        <f>ROUND($C302*'2024-25 Elementary Calculator'!$Q$22/400,3)+ROUND($D302*'2024-25 Middle Calculator'!$O$22/432,3)+ROUND($E302*'2024-25 High Calculator'!$O$22/600,3)</f>
        <v>2.1000000000000001E-2</v>
      </c>
      <c r="M302" s="166">
        <f t="shared" si="35"/>
        <v>5.1000000000000004E-2</v>
      </c>
      <c r="N302" s="33">
        <f>VLOOKUP($A302,'District Summary'!$A$6:$AH$325,29,FALSE)</f>
        <v>1.67</v>
      </c>
      <c r="O302" s="33">
        <f>VLOOKUP($A302,'District Summary'!$A$6:$AH$325,34,FALSE)</f>
        <v>0</v>
      </c>
      <c r="P302" s="67">
        <f t="shared" si="36"/>
        <v>0.88099999999999989</v>
      </c>
      <c r="Q302" s="67">
        <f t="shared" si="37"/>
        <v>-5.1000000000000004E-2</v>
      </c>
      <c r="R302" s="67">
        <f t="shared" si="38"/>
        <v>0.84000000000000008</v>
      </c>
      <c r="S302" s="33">
        <f t="shared" si="39"/>
        <v>1.67</v>
      </c>
      <c r="T302" s="67">
        <f t="shared" si="41"/>
        <v>0.83</v>
      </c>
      <c r="U302" s="67">
        <f t="shared" si="40"/>
        <v>0</v>
      </c>
      <c r="V302" s="273"/>
      <c r="W302" s="273"/>
    </row>
    <row r="303" spans="1:23" x14ac:dyDescent="0.25">
      <c r="A303" t="s">
        <v>285</v>
      </c>
      <c r="B303" t="s">
        <v>581</v>
      </c>
      <c r="C303" s="25">
        <f>SUMPRODUCT(VLOOKUP($A303,'PSES Enroll Snapshot 25-01-17'!$K$5:$AB$327,{2,3,4,5,6,7,8,9},0))</f>
        <v>40.4</v>
      </c>
      <c r="D303" s="25">
        <f>SUMPRODUCT(VLOOKUP($A303,'PSES Enroll Snapshot 25-01-17'!$K$5:$AB$327,{10,11},0))-VLOOKUP($A303,'PSES Enroll Snapshot 25-01-17'!$K$5:$AB$327,12,0)</f>
        <v>11</v>
      </c>
      <c r="E303" s="25">
        <f>SUMPRODUCT(VLOOKUP($A303,'PSES Enroll Snapshot 25-01-17'!$K$5:$AB$327,{13,14},0))-SUMPRODUCT(VLOOKUP($A303,'PSES Enroll Snapshot 25-01-17'!$K$5:$AB$327,{15,16,17},0))</f>
        <v>19.2</v>
      </c>
      <c r="F303" s="33">
        <f>ROUND($C303*'2024-25 Elementary Calculator'!$Q$13/400,3)+ROUND($D303*'2024-25 Middle Calculator'!$O$13/432,3)+ROUND($E303*'2024-25 High Calculator'!$O$13/600,3)</f>
        <v>0.24100000000000002</v>
      </c>
      <c r="G303" s="33">
        <f>ROUND($C303*'2024-25 Elementary Calculator'!$Q$15/400,3)+ROUND($D303*'2024-25 Middle Calculator'!$O$15/432,3)+ROUND($E303*'2024-25 High Calculator'!$O$15/600,3)</f>
        <v>3.7000000000000005E-2</v>
      </c>
      <c r="H303" s="33">
        <f>ROUND($C303*'2024-25 Elementary Calculator'!$Q$17/400,3)+ROUND($D303*'2024-25 Middle Calculator'!$O$17/432,3)+ROUND($E303*'2024-25 High Calculator'!$O$17/600,3)</f>
        <v>1.4E-2</v>
      </c>
      <c r="I303" s="33">
        <f>ROUND($C303*'2024-25 Elementary Calculator'!$Q$18/400,3)+ROUND($D303*'2024-25 Middle Calculator'!$O$18/432,3)+ROUND($E303*'2024-25 High Calculator'!$O$18/600,3)</f>
        <v>0.10799999999999998</v>
      </c>
      <c r="J303" s="166">
        <f t="shared" si="34"/>
        <v>0.4</v>
      </c>
      <c r="K303" s="33">
        <f>ROUND($C303*'2024-25 Elementary Calculator'!$Q$23/400,3)+ROUND($D303*'2024-25 Middle Calculator'!$O$23/432,3)+ROUND($E303*'2024-25 High Calculator'!$O$23/600,3)</f>
        <v>1.4999999999999999E-2</v>
      </c>
      <c r="L303" s="33">
        <f>ROUND($C303*'2024-25 Elementary Calculator'!$Q$22/400,3)+ROUND($D303*'2024-25 Middle Calculator'!$O$22/432,3)+ROUND($E303*'2024-25 High Calculator'!$O$22/600,3)</f>
        <v>8.0000000000000002E-3</v>
      </c>
      <c r="M303" s="166">
        <f t="shared" si="35"/>
        <v>2.3E-2</v>
      </c>
      <c r="N303" s="33">
        <f>VLOOKUP($A303,'District Summary'!$A$6:$AH$325,29,FALSE)</f>
        <v>0</v>
      </c>
      <c r="O303" s="33">
        <f>VLOOKUP($A303,'District Summary'!$A$6:$AH$325,34,FALSE)</f>
        <v>0.91300000000000003</v>
      </c>
      <c r="P303" s="67">
        <f t="shared" si="36"/>
        <v>-0.4</v>
      </c>
      <c r="Q303" s="67">
        <f t="shared" si="37"/>
        <v>0.89</v>
      </c>
      <c r="R303" s="67">
        <f t="shared" si="38"/>
        <v>0.42300000000000004</v>
      </c>
      <c r="S303" s="33">
        <f t="shared" si="39"/>
        <v>0.91300000000000003</v>
      </c>
      <c r="T303" s="67">
        <f t="shared" si="41"/>
        <v>0.49</v>
      </c>
      <c r="U303" s="67">
        <f t="shared" si="40"/>
        <v>0</v>
      </c>
      <c r="V303" s="273"/>
      <c r="W303" s="273"/>
    </row>
    <row r="304" spans="1:23" x14ac:dyDescent="0.25">
      <c r="A304" t="s">
        <v>286</v>
      </c>
      <c r="B304" t="s">
        <v>582</v>
      </c>
      <c r="C304" s="25">
        <f>SUMPRODUCT(VLOOKUP($A304,'PSES Enroll Snapshot 25-01-17'!$K$5:$AB$327,{2,3,4,5,6,7,8,9},0))</f>
        <v>82.47</v>
      </c>
      <c r="D304" s="25">
        <f>SUMPRODUCT(VLOOKUP($A304,'PSES Enroll Snapshot 25-01-17'!$K$5:$AB$327,{10,11},0))-VLOOKUP($A304,'PSES Enroll Snapshot 25-01-17'!$K$5:$AB$327,12,0)</f>
        <v>23.099999999999998</v>
      </c>
      <c r="E304" s="25">
        <f>SUMPRODUCT(VLOOKUP($A304,'PSES Enroll Snapshot 25-01-17'!$K$5:$AB$327,{13,14},0))-SUMPRODUCT(VLOOKUP($A304,'PSES Enroll Snapshot 25-01-17'!$K$5:$AB$327,{15,16,17},0))</f>
        <v>31.17</v>
      </c>
      <c r="F304" s="33">
        <f>ROUND($C304*'2024-25 Elementary Calculator'!$Q$13/400,3)+ROUND($D304*'2024-25 Middle Calculator'!$O$13/432,3)+ROUND($E304*'2024-25 High Calculator'!$O$13/600,3)</f>
        <v>0.45499999999999996</v>
      </c>
      <c r="G304" s="33">
        <f>ROUND($C304*'2024-25 Elementary Calculator'!$Q$15/400,3)+ROUND($D304*'2024-25 Middle Calculator'!$O$15/432,3)+ROUND($E304*'2024-25 High Calculator'!$O$15/600,3)</f>
        <v>7.6000000000000012E-2</v>
      </c>
      <c r="H304" s="33">
        <f>ROUND($C304*'2024-25 Elementary Calculator'!$Q$17/400,3)+ROUND($D304*'2024-25 Middle Calculator'!$O$17/432,3)+ROUND($E304*'2024-25 High Calculator'!$O$17/600,3)</f>
        <v>2.5000000000000001E-2</v>
      </c>
      <c r="I304" s="33">
        <f>ROUND($C304*'2024-25 Elementary Calculator'!$Q$18/400,3)+ROUND($D304*'2024-25 Middle Calculator'!$O$18/432,3)+ROUND($E304*'2024-25 High Calculator'!$O$18/600,3)</f>
        <v>0.21099999999999997</v>
      </c>
      <c r="J304" s="166">
        <f t="shared" si="34"/>
        <v>0.7669999999999999</v>
      </c>
      <c r="K304" s="33">
        <f>ROUND($C304*'2024-25 Elementary Calculator'!$Q$23/400,3)+ROUND($D304*'2024-25 Middle Calculator'!$O$23/432,3)+ROUND($E304*'2024-25 High Calculator'!$O$23/600,3)</f>
        <v>2.8000000000000001E-2</v>
      </c>
      <c r="L304" s="33">
        <f>ROUND($C304*'2024-25 Elementary Calculator'!$Q$22/400,3)+ROUND($D304*'2024-25 Middle Calculator'!$O$22/432,3)+ROUND($E304*'2024-25 High Calculator'!$O$22/600,3)</f>
        <v>1.7000000000000001E-2</v>
      </c>
      <c r="M304" s="166">
        <f t="shared" si="35"/>
        <v>4.4999999999999998E-2</v>
      </c>
      <c r="N304" s="33">
        <f>VLOOKUP($A304,'District Summary'!$A$6:$AH$325,29,FALSE)</f>
        <v>0.61199999999999999</v>
      </c>
      <c r="O304" s="33">
        <f>VLOOKUP($A304,'District Summary'!$A$6:$AH$325,34,FALSE)</f>
        <v>0.55700000000000005</v>
      </c>
      <c r="P304" s="67">
        <f t="shared" si="36"/>
        <v>-0.15499999999999992</v>
      </c>
      <c r="Q304" s="67">
        <f t="shared" si="37"/>
        <v>0.51200000000000001</v>
      </c>
      <c r="R304" s="67">
        <f t="shared" si="38"/>
        <v>0.81199999999999994</v>
      </c>
      <c r="S304" s="33">
        <f t="shared" si="39"/>
        <v>1.169</v>
      </c>
      <c r="T304" s="67">
        <f t="shared" si="41"/>
        <v>0.35699999999999998</v>
      </c>
      <c r="U304" s="67">
        <f t="shared" si="40"/>
        <v>0</v>
      </c>
      <c r="V304" s="273"/>
      <c r="W304" s="273"/>
    </row>
    <row r="305" spans="1:23" x14ac:dyDescent="0.25">
      <c r="A305" t="s">
        <v>287</v>
      </c>
      <c r="B305" t="s">
        <v>583</v>
      </c>
      <c r="C305" s="25">
        <f>SUMPRODUCT(VLOOKUP($A305,'PSES Enroll Snapshot 25-01-17'!$K$5:$AB$327,{2,3,4,5,6,7,8,9},0))</f>
        <v>87</v>
      </c>
      <c r="D305" s="25">
        <f>SUMPRODUCT(VLOOKUP($A305,'PSES Enroll Snapshot 25-01-17'!$K$5:$AB$327,{10,11},0))-VLOOKUP($A305,'PSES Enroll Snapshot 25-01-17'!$K$5:$AB$327,12,0)</f>
        <v>22.6</v>
      </c>
      <c r="E305" s="25">
        <f>SUMPRODUCT(VLOOKUP($A305,'PSES Enroll Snapshot 25-01-17'!$K$5:$AB$327,{13,14},0))-SUMPRODUCT(VLOOKUP($A305,'PSES Enroll Snapshot 25-01-17'!$K$5:$AB$327,{15,16,17},0))</f>
        <v>28.85</v>
      </c>
      <c r="F305" s="33">
        <f>ROUND($C305*'2024-25 Elementary Calculator'!$Q$13/400,3)+ROUND($D305*'2024-25 Middle Calculator'!$O$13/432,3)+ROUND($E305*'2024-25 High Calculator'!$O$13/600,3)</f>
        <v>0.45199999999999996</v>
      </c>
      <c r="G305" s="33">
        <f>ROUND($C305*'2024-25 Elementary Calculator'!$Q$15/400,3)+ROUND($D305*'2024-25 Middle Calculator'!$O$15/432,3)+ROUND($E305*'2024-25 High Calculator'!$O$15/600,3)</f>
        <v>7.9000000000000015E-2</v>
      </c>
      <c r="H305" s="33">
        <f>ROUND($C305*'2024-25 Elementary Calculator'!$Q$17/400,3)+ROUND($D305*'2024-25 Middle Calculator'!$O$17/432,3)+ROUND($E305*'2024-25 High Calculator'!$O$17/600,3)</f>
        <v>2.6000000000000002E-2</v>
      </c>
      <c r="I305" s="33">
        <f>ROUND($C305*'2024-25 Elementary Calculator'!$Q$18/400,3)+ROUND($D305*'2024-25 Middle Calculator'!$O$18/432,3)+ROUND($E305*'2024-25 High Calculator'!$O$18/600,3)</f>
        <v>0.21299999999999999</v>
      </c>
      <c r="J305" s="166">
        <f t="shared" si="34"/>
        <v>0.76999999999999991</v>
      </c>
      <c r="K305" s="33">
        <f>ROUND($C305*'2024-25 Elementary Calculator'!$Q$23/400,3)+ROUND($D305*'2024-25 Middle Calculator'!$O$23/432,3)+ROUND($E305*'2024-25 High Calculator'!$O$23/600,3)</f>
        <v>2.9000000000000001E-2</v>
      </c>
      <c r="L305" s="33">
        <f>ROUND($C305*'2024-25 Elementary Calculator'!$Q$22/400,3)+ROUND($D305*'2024-25 Middle Calculator'!$O$22/432,3)+ROUND($E305*'2024-25 High Calculator'!$O$22/600,3)</f>
        <v>1.7999999999999999E-2</v>
      </c>
      <c r="M305" s="166">
        <f t="shared" si="35"/>
        <v>4.7E-2</v>
      </c>
      <c r="N305" s="33">
        <f>VLOOKUP($A305,'District Summary'!$A$6:$AH$325,29,FALSE)</f>
        <v>0.433</v>
      </c>
      <c r="O305" s="33">
        <f>VLOOKUP($A305,'District Summary'!$A$6:$AH$325,34,FALSE)</f>
        <v>0</v>
      </c>
      <c r="P305" s="67">
        <f t="shared" si="36"/>
        <v>-0.33699999999999991</v>
      </c>
      <c r="Q305" s="67">
        <f t="shared" si="37"/>
        <v>-4.7E-2</v>
      </c>
      <c r="R305" s="67">
        <f t="shared" si="38"/>
        <v>0.81699999999999995</v>
      </c>
      <c r="S305" s="33">
        <f t="shared" si="39"/>
        <v>0.433</v>
      </c>
      <c r="T305" s="67">
        <f t="shared" si="41"/>
        <v>-0.38400000000000001</v>
      </c>
      <c r="U305" s="67">
        <f t="shared" si="40"/>
        <v>-0.38400000000000001</v>
      </c>
      <c r="V305" s="273"/>
      <c r="W305" s="273"/>
    </row>
    <row r="306" spans="1:23" x14ac:dyDescent="0.25">
      <c r="A306" t="s">
        <v>288</v>
      </c>
      <c r="B306" t="s">
        <v>584</v>
      </c>
      <c r="C306" s="25">
        <f>SUMPRODUCT(VLOOKUP($A306,'PSES Enroll Snapshot 25-01-17'!$K$5:$AB$327,{2,3,4,5,6,7,8,9},0))</f>
        <v>76.460000000000008</v>
      </c>
      <c r="D306" s="25">
        <f>SUMPRODUCT(VLOOKUP($A306,'PSES Enroll Snapshot 25-01-17'!$K$5:$AB$327,{10,11},0))-VLOOKUP($A306,'PSES Enroll Snapshot 25-01-17'!$K$5:$AB$327,12,0)</f>
        <v>18.72</v>
      </c>
      <c r="E306" s="25">
        <f>SUMPRODUCT(VLOOKUP($A306,'PSES Enroll Snapshot 25-01-17'!$K$5:$AB$327,{13,14},0))-SUMPRODUCT(VLOOKUP($A306,'PSES Enroll Snapshot 25-01-17'!$K$5:$AB$327,{15,16,17},0))</f>
        <v>29.020000000000003</v>
      </c>
      <c r="F306" s="33">
        <f>ROUND($C306*'2024-25 Elementary Calculator'!$Q$13/400,3)+ROUND($D306*'2024-25 Middle Calculator'!$O$13/432,3)+ROUND($E306*'2024-25 High Calculator'!$O$13/600,3)</f>
        <v>0.41100000000000003</v>
      </c>
      <c r="G306" s="33">
        <f>ROUND($C306*'2024-25 Elementary Calculator'!$Q$15/400,3)+ROUND($D306*'2024-25 Middle Calculator'!$O$15/432,3)+ROUND($E306*'2024-25 High Calculator'!$O$15/600,3)</f>
        <v>6.9000000000000006E-2</v>
      </c>
      <c r="H306" s="33">
        <f>ROUND($C306*'2024-25 Elementary Calculator'!$Q$17/400,3)+ROUND($D306*'2024-25 Middle Calculator'!$O$17/432,3)+ROUND($E306*'2024-25 High Calculator'!$O$17/600,3)</f>
        <v>2.3E-2</v>
      </c>
      <c r="I306" s="33">
        <f>ROUND($C306*'2024-25 Elementary Calculator'!$Q$18/400,3)+ROUND($D306*'2024-25 Middle Calculator'!$O$18/432,3)+ROUND($E306*'2024-25 High Calculator'!$O$18/600,3)</f>
        <v>0.19</v>
      </c>
      <c r="J306" s="166">
        <f t="shared" si="34"/>
        <v>0.69300000000000006</v>
      </c>
      <c r="K306" s="33">
        <f>ROUND($C306*'2024-25 Elementary Calculator'!$Q$23/400,3)+ROUND($D306*'2024-25 Middle Calculator'!$O$23/432,3)+ROUND($E306*'2024-25 High Calculator'!$O$23/600,3)</f>
        <v>2.5999999999999999E-2</v>
      </c>
      <c r="L306" s="33">
        <f>ROUND($C306*'2024-25 Elementary Calculator'!$Q$22/400,3)+ROUND($D306*'2024-25 Middle Calculator'!$O$22/432,3)+ROUND($E306*'2024-25 High Calculator'!$O$22/600,3)</f>
        <v>1.6E-2</v>
      </c>
      <c r="M306" s="166">
        <f t="shared" si="35"/>
        <v>4.1999999999999996E-2</v>
      </c>
      <c r="N306" s="33">
        <f>VLOOKUP($A306,'District Summary'!$A$6:$AH$325,29,FALSE)</f>
        <v>0.6</v>
      </c>
      <c r="O306" s="33">
        <f>VLOOKUP($A306,'District Summary'!$A$6:$AH$325,34,FALSE)</f>
        <v>0.45300000000000001</v>
      </c>
      <c r="P306" s="67">
        <f t="shared" si="36"/>
        <v>-9.3000000000000083E-2</v>
      </c>
      <c r="Q306" s="67">
        <f t="shared" si="37"/>
        <v>0.41100000000000003</v>
      </c>
      <c r="R306" s="67">
        <f t="shared" si="38"/>
        <v>0.7350000000000001</v>
      </c>
      <c r="S306" s="33">
        <f t="shared" si="39"/>
        <v>1.0529999999999999</v>
      </c>
      <c r="T306" s="67">
        <f t="shared" si="41"/>
        <v>0.318</v>
      </c>
      <c r="U306" s="67">
        <f t="shared" si="40"/>
        <v>0</v>
      </c>
      <c r="V306" s="273"/>
      <c r="W306" s="273"/>
    </row>
    <row r="307" spans="1:23" x14ac:dyDescent="0.25">
      <c r="A307" t="s">
        <v>289</v>
      </c>
      <c r="B307" t="s">
        <v>585</v>
      </c>
      <c r="C307" s="25">
        <f>SUMPRODUCT(VLOOKUP($A307,'PSES Enroll Snapshot 25-01-17'!$K$5:$AB$327,{2,3,4,5,6,7,8,9},0))</f>
        <v>427.2</v>
      </c>
      <c r="D307" s="25">
        <f>SUMPRODUCT(VLOOKUP($A307,'PSES Enroll Snapshot 25-01-17'!$K$5:$AB$327,{10,11},0))-VLOOKUP($A307,'PSES Enroll Snapshot 25-01-17'!$K$5:$AB$327,12,0)</f>
        <v>115.2</v>
      </c>
      <c r="E307" s="25">
        <f>SUMPRODUCT(VLOOKUP($A307,'PSES Enroll Snapshot 25-01-17'!$K$5:$AB$327,{13,14},0))-SUMPRODUCT(VLOOKUP($A307,'PSES Enroll Snapshot 25-01-17'!$K$5:$AB$327,{15,16,17},0))</f>
        <v>0</v>
      </c>
      <c r="F307" s="33">
        <f>ROUND($C307*'2024-25 Elementary Calculator'!$Q$13/400,3)+ROUND($D307*'2024-25 Middle Calculator'!$O$13/432,3)+ROUND($E307*'2024-25 High Calculator'!$O$13/600,3)</f>
        <v>1.5189999999999999</v>
      </c>
      <c r="G307" s="33">
        <f>ROUND($C307*'2024-25 Elementary Calculator'!$Q$15/400,3)+ROUND($D307*'2024-25 Middle Calculator'!$O$15/432,3)+ROUND($E307*'2024-25 High Calculator'!$O$15/600,3)</f>
        <v>0.35500000000000004</v>
      </c>
      <c r="H307" s="33">
        <f>ROUND($C307*'2024-25 Elementary Calculator'!$Q$17/400,3)+ROUND($D307*'2024-25 Middle Calculator'!$O$17/432,3)+ROUND($E307*'2024-25 High Calculator'!$O$17/600,3)</f>
        <v>0.11700000000000001</v>
      </c>
      <c r="I307" s="33">
        <f>ROUND($C307*'2024-25 Elementary Calculator'!$Q$18/400,3)+ROUND($D307*'2024-25 Middle Calculator'!$O$18/432,3)+ROUND($E307*'2024-25 High Calculator'!$O$18/600,3)</f>
        <v>0.86199999999999999</v>
      </c>
      <c r="J307" s="166">
        <f t="shared" si="34"/>
        <v>2.8529999999999998</v>
      </c>
      <c r="K307" s="33">
        <f>ROUND($C307*'2024-25 Elementary Calculator'!$Q$23/400,3)+ROUND($D307*'2024-25 Middle Calculator'!$O$23/432,3)+ROUND($E307*'2024-25 High Calculator'!$O$23/600,3)</f>
        <v>0.10900000000000001</v>
      </c>
      <c r="L307" s="33">
        <f>ROUND($C307*'2024-25 Elementary Calculator'!$Q$22/400,3)+ROUND($D307*'2024-25 Middle Calculator'!$O$22/432,3)+ROUND($E307*'2024-25 High Calculator'!$O$22/600,3)</f>
        <v>8.7999999999999995E-2</v>
      </c>
      <c r="M307" s="166">
        <f t="shared" si="35"/>
        <v>0.19700000000000001</v>
      </c>
      <c r="N307" s="33">
        <f>VLOOKUP($A307,'District Summary'!$A$6:$AH$325,29,FALSE)</f>
        <v>1.357</v>
      </c>
      <c r="O307" s="33">
        <f>VLOOKUP($A307,'District Summary'!$A$6:$AH$325,34,FALSE)</f>
        <v>4.1280000000000001</v>
      </c>
      <c r="P307" s="67">
        <f t="shared" si="36"/>
        <v>-1.4959999999999998</v>
      </c>
      <c r="Q307" s="67">
        <f t="shared" si="37"/>
        <v>3.931</v>
      </c>
      <c r="R307" s="67">
        <f t="shared" si="38"/>
        <v>3.05</v>
      </c>
      <c r="S307" s="33">
        <f t="shared" si="39"/>
        <v>5.4850000000000003</v>
      </c>
      <c r="T307" s="67">
        <f t="shared" si="41"/>
        <v>2.4350000000000001</v>
      </c>
      <c r="U307" s="67">
        <f t="shared" si="40"/>
        <v>0</v>
      </c>
      <c r="V307" s="273"/>
      <c r="W307" s="273"/>
    </row>
    <row r="308" spans="1:23" x14ac:dyDescent="0.25">
      <c r="A308" t="s">
        <v>290</v>
      </c>
      <c r="B308" t="s">
        <v>586</v>
      </c>
      <c r="C308" s="25">
        <f>SUMPRODUCT(VLOOKUP($A308,'PSES Enroll Snapshot 25-01-17'!$K$5:$AB$327,{2,3,4,5,6,7,8,9},0))</f>
        <v>689.48</v>
      </c>
      <c r="D308" s="25">
        <f>SUMPRODUCT(VLOOKUP($A308,'PSES Enroll Snapshot 25-01-17'!$K$5:$AB$327,{10,11},0))-VLOOKUP($A308,'PSES Enroll Snapshot 25-01-17'!$K$5:$AB$327,12,0)</f>
        <v>143.87</v>
      </c>
      <c r="E308" s="25">
        <f>SUMPRODUCT(VLOOKUP($A308,'PSES Enroll Snapshot 25-01-17'!$K$5:$AB$327,{13,14},0))-SUMPRODUCT(VLOOKUP($A308,'PSES Enroll Snapshot 25-01-17'!$K$5:$AB$327,{15,16,17},0))</f>
        <v>231.25</v>
      </c>
      <c r="F308" s="33">
        <f>ROUND($C308*'2024-25 Elementary Calculator'!$Q$13/400,3)+ROUND($D308*'2024-25 Middle Calculator'!$O$13/432,3)+ROUND($E308*'2024-25 High Calculator'!$O$13/600,3)</f>
        <v>3.4539999999999997</v>
      </c>
      <c r="G308" s="33">
        <f>ROUND($C308*'2024-25 Elementary Calculator'!$Q$15/400,3)+ROUND($D308*'2024-25 Middle Calculator'!$O$15/432,3)+ROUND($E308*'2024-25 High Calculator'!$O$15/600,3)</f>
        <v>0.6140000000000001</v>
      </c>
      <c r="H308" s="33">
        <f>ROUND($C308*'2024-25 Elementary Calculator'!$Q$17/400,3)+ROUND($D308*'2024-25 Middle Calculator'!$O$17/432,3)+ROUND($E308*'2024-25 High Calculator'!$O$17/600,3)</f>
        <v>0.20599999999999999</v>
      </c>
      <c r="I308" s="33">
        <f>ROUND($C308*'2024-25 Elementary Calculator'!$Q$18/400,3)+ROUND($D308*'2024-25 Middle Calculator'!$O$18/432,3)+ROUND($E308*'2024-25 High Calculator'!$O$18/600,3)</f>
        <v>1.6220000000000001</v>
      </c>
      <c r="J308" s="166">
        <f t="shared" si="34"/>
        <v>5.8959999999999999</v>
      </c>
      <c r="K308" s="33">
        <f>ROUND($C308*'2024-25 Elementary Calculator'!$Q$23/400,3)+ROUND($D308*'2024-25 Middle Calculator'!$O$23/432,3)+ROUND($E308*'2024-25 High Calculator'!$O$23/600,3)</f>
        <v>0.221</v>
      </c>
      <c r="L308" s="33">
        <f>ROUND($C308*'2024-25 Elementary Calculator'!$Q$22/400,3)+ROUND($D308*'2024-25 Middle Calculator'!$O$22/432,3)+ROUND($E308*'2024-25 High Calculator'!$O$22/600,3)</f>
        <v>0.14199999999999999</v>
      </c>
      <c r="M308" s="166">
        <f t="shared" si="35"/>
        <v>0.36299999999999999</v>
      </c>
      <c r="N308" s="33">
        <f>VLOOKUP($A308,'District Summary'!$A$6:$AH$325,29,FALSE)</f>
        <v>5.9379999999999997</v>
      </c>
      <c r="O308" s="33">
        <f>VLOOKUP($A308,'District Summary'!$A$6:$AH$325,34,FALSE)</f>
        <v>1.6779999999999999</v>
      </c>
      <c r="P308" s="67">
        <f t="shared" si="36"/>
        <v>4.1999999999999815E-2</v>
      </c>
      <c r="Q308" s="67">
        <f t="shared" si="37"/>
        <v>1.3149999999999999</v>
      </c>
      <c r="R308" s="67">
        <f t="shared" si="38"/>
        <v>6.2590000000000003</v>
      </c>
      <c r="S308" s="33">
        <f t="shared" si="39"/>
        <v>7.6159999999999997</v>
      </c>
      <c r="T308" s="67">
        <f t="shared" si="41"/>
        <v>1.357</v>
      </c>
      <c r="U308" s="67">
        <f t="shared" si="40"/>
        <v>0</v>
      </c>
      <c r="V308" s="273"/>
      <c r="W308" s="273"/>
    </row>
    <row r="309" spans="1:23" x14ac:dyDescent="0.25">
      <c r="A309" t="s">
        <v>291</v>
      </c>
      <c r="B309" t="s">
        <v>587</v>
      </c>
      <c r="C309" s="25">
        <f>SUMPRODUCT(VLOOKUP($A309,'PSES Enroll Snapshot 25-01-17'!$K$5:$AB$327,{2,3,4,5,6,7,8,9},0))</f>
        <v>7446.74</v>
      </c>
      <c r="D309" s="25">
        <f>SUMPRODUCT(VLOOKUP($A309,'PSES Enroll Snapshot 25-01-17'!$K$5:$AB$327,{10,11},0))-VLOOKUP($A309,'PSES Enroll Snapshot 25-01-17'!$K$5:$AB$327,12,0)</f>
        <v>1653.27</v>
      </c>
      <c r="E309" s="25">
        <f>SUMPRODUCT(VLOOKUP($A309,'PSES Enroll Snapshot 25-01-17'!$K$5:$AB$327,{13,14},0))-SUMPRODUCT(VLOOKUP($A309,'PSES Enroll Snapshot 25-01-17'!$K$5:$AB$327,{15,16,17},0))</f>
        <v>3412.1900000000005</v>
      </c>
      <c r="F309" s="33">
        <f>ROUND($C309*'2024-25 Elementary Calculator'!$Q$13/400,3)+ROUND($D309*'2024-25 Middle Calculator'!$O$13/432,3)+ROUND($E309*'2024-25 High Calculator'!$O$13/600,3)</f>
        <v>42.337000000000003</v>
      </c>
      <c r="G309" s="33">
        <f>ROUND($C309*'2024-25 Elementary Calculator'!$Q$15/400,3)+ROUND($D309*'2024-25 Middle Calculator'!$O$15/432,3)+ROUND($E309*'2024-25 High Calculator'!$O$15/600,3)</f>
        <v>6.8490000000000002</v>
      </c>
      <c r="H309" s="33">
        <f>ROUND($C309*'2024-25 Elementary Calculator'!$Q$17/400,3)+ROUND($D309*'2024-25 Middle Calculator'!$O$17/432,3)+ROUND($E309*'2024-25 High Calculator'!$O$17/600,3)</f>
        <v>2.3069999999999999</v>
      </c>
      <c r="I309" s="33">
        <f>ROUND($C309*'2024-25 Elementary Calculator'!$Q$18/400,3)+ROUND($D309*'2024-25 Middle Calculator'!$O$18/432,3)+ROUND($E309*'2024-25 High Calculator'!$O$18/600,3)</f>
        <v>18.975000000000001</v>
      </c>
      <c r="J309" s="166">
        <f t="shared" si="34"/>
        <v>70.468000000000018</v>
      </c>
      <c r="K309" s="33">
        <f>ROUND($C309*'2024-25 Elementary Calculator'!$Q$23/400,3)+ROUND($D309*'2024-25 Middle Calculator'!$O$23/432,3)+ROUND($E309*'2024-25 High Calculator'!$O$23/600,3)</f>
        <v>2.625</v>
      </c>
      <c r="L309" s="33">
        <f>ROUND($C309*'2024-25 Elementary Calculator'!$Q$22/400,3)+ROUND($D309*'2024-25 Middle Calculator'!$O$22/432,3)+ROUND($E309*'2024-25 High Calculator'!$O$22/600,3)</f>
        <v>1.536</v>
      </c>
      <c r="M309" s="166">
        <f t="shared" si="35"/>
        <v>4.1609999999999996</v>
      </c>
      <c r="N309" s="33">
        <f>VLOOKUP($A309,'District Summary'!$A$6:$AH$325,29,FALSE)</f>
        <v>45.867000000000004</v>
      </c>
      <c r="O309" s="33">
        <f>VLOOKUP($A309,'District Summary'!$A$6:$AH$325,34,FALSE)</f>
        <v>44.494999999999997</v>
      </c>
      <c r="P309" s="67">
        <f t="shared" si="36"/>
        <v>-24.601000000000013</v>
      </c>
      <c r="Q309" s="67">
        <f t="shared" si="37"/>
        <v>40.333999999999996</v>
      </c>
      <c r="R309" s="67">
        <f t="shared" si="38"/>
        <v>74.629000000000019</v>
      </c>
      <c r="S309" s="33">
        <f t="shared" si="39"/>
        <v>90.361999999999995</v>
      </c>
      <c r="T309" s="67">
        <f t="shared" si="41"/>
        <v>15.733000000000001</v>
      </c>
      <c r="U309" s="67">
        <f t="shared" si="40"/>
        <v>0</v>
      </c>
      <c r="V309" s="273"/>
      <c r="W309" s="273"/>
    </row>
    <row r="310" spans="1:23" x14ac:dyDescent="0.25">
      <c r="A310" t="s">
        <v>292</v>
      </c>
      <c r="B310" t="s">
        <v>588</v>
      </c>
      <c r="C310" s="25">
        <f>SUMPRODUCT(VLOOKUP($A310,'PSES Enroll Snapshot 25-01-17'!$K$5:$AB$327,{2,3,4,5,6,7,8,9},0))</f>
        <v>1747.49</v>
      </c>
      <c r="D310" s="25">
        <f>SUMPRODUCT(VLOOKUP($A310,'PSES Enroll Snapshot 25-01-17'!$K$5:$AB$327,{10,11},0))-VLOOKUP($A310,'PSES Enroll Snapshot 25-01-17'!$K$5:$AB$327,12,0)</f>
        <v>525.15000000000009</v>
      </c>
      <c r="E310" s="25">
        <f>SUMPRODUCT(VLOOKUP($A310,'PSES Enroll Snapshot 25-01-17'!$K$5:$AB$327,{13,14},0))-SUMPRODUCT(VLOOKUP($A310,'PSES Enroll Snapshot 25-01-17'!$K$5:$AB$327,{15,16,17},0))</f>
        <v>775.48</v>
      </c>
      <c r="F310" s="33">
        <f>ROUND($C310*'2024-25 Elementary Calculator'!$Q$13/400,3)+ROUND($D310*'2024-25 Middle Calculator'!$O$13/432,3)+ROUND($E310*'2024-25 High Calculator'!$O$13/600,3)</f>
        <v>10.352</v>
      </c>
      <c r="G310" s="33">
        <f>ROUND($C310*'2024-25 Elementary Calculator'!$Q$15/400,3)+ROUND($D310*'2024-25 Middle Calculator'!$O$15/432,3)+ROUND($E310*'2024-25 High Calculator'!$O$15/600,3)</f>
        <v>1.63</v>
      </c>
      <c r="H310" s="33">
        <f>ROUND($C310*'2024-25 Elementary Calculator'!$Q$17/400,3)+ROUND($D310*'2024-25 Middle Calculator'!$O$17/432,3)+ROUND($E310*'2024-25 High Calculator'!$O$17/600,3)</f>
        <v>0.54600000000000004</v>
      </c>
      <c r="I310" s="33">
        <f>ROUND($C310*'2024-25 Elementary Calculator'!$Q$18/400,3)+ROUND($D310*'2024-25 Middle Calculator'!$O$18/432,3)+ROUND($E310*'2024-25 High Calculator'!$O$18/600,3)</f>
        <v>4.6999999999999993</v>
      </c>
      <c r="J310" s="166">
        <f t="shared" si="34"/>
        <v>17.227999999999998</v>
      </c>
      <c r="K310" s="33">
        <f>ROUND($C310*'2024-25 Elementary Calculator'!$Q$23/400,3)+ROUND($D310*'2024-25 Middle Calculator'!$O$23/432,3)+ROUND($E310*'2024-25 High Calculator'!$O$23/600,3)</f>
        <v>0.63900000000000001</v>
      </c>
      <c r="L310" s="33">
        <f>ROUND($C310*'2024-25 Elementary Calculator'!$Q$22/400,3)+ROUND($D310*'2024-25 Middle Calculator'!$O$22/432,3)+ROUND($E310*'2024-25 High Calculator'!$O$22/600,3)</f>
        <v>0.36</v>
      </c>
      <c r="M310" s="166">
        <f t="shared" si="35"/>
        <v>0.999</v>
      </c>
      <c r="N310" s="33">
        <f>VLOOKUP($A310,'District Summary'!$A$6:$AH$325,29,FALSE)</f>
        <v>10.629000000000001</v>
      </c>
      <c r="O310" s="33">
        <f>VLOOKUP($A310,'District Summary'!$A$6:$AH$325,34,FALSE)</f>
        <v>8.109</v>
      </c>
      <c r="P310" s="67">
        <f t="shared" si="36"/>
        <v>-6.5989999999999966</v>
      </c>
      <c r="Q310" s="67">
        <f t="shared" si="37"/>
        <v>7.11</v>
      </c>
      <c r="R310" s="67">
        <f t="shared" si="38"/>
        <v>18.226999999999997</v>
      </c>
      <c r="S310" s="33">
        <f t="shared" si="39"/>
        <v>18.738</v>
      </c>
      <c r="T310" s="67">
        <f t="shared" si="41"/>
        <v>0.51100000000000001</v>
      </c>
      <c r="U310" s="67">
        <f t="shared" si="40"/>
        <v>0</v>
      </c>
      <c r="V310" s="273"/>
      <c r="W310" s="273"/>
    </row>
    <row r="311" spans="1:23" x14ac:dyDescent="0.25">
      <c r="A311" t="s">
        <v>293</v>
      </c>
      <c r="B311" t="s">
        <v>589</v>
      </c>
      <c r="C311" s="25">
        <f>SUMPRODUCT(VLOOKUP($A311,'PSES Enroll Snapshot 25-01-17'!$K$5:$AB$327,{2,3,4,5,6,7,8,9},0))</f>
        <v>1811.7600000000002</v>
      </c>
      <c r="D311" s="25">
        <f>SUMPRODUCT(VLOOKUP($A311,'PSES Enroll Snapshot 25-01-17'!$K$5:$AB$327,{10,11},0))-VLOOKUP($A311,'PSES Enroll Snapshot 25-01-17'!$K$5:$AB$327,12,0)</f>
        <v>397.87999999999994</v>
      </c>
      <c r="E311" s="25">
        <f>SUMPRODUCT(VLOOKUP($A311,'PSES Enroll Snapshot 25-01-17'!$K$5:$AB$327,{13,14},0))-SUMPRODUCT(VLOOKUP($A311,'PSES Enroll Snapshot 25-01-17'!$K$5:$AB$327,{15,16,17},0))</f>
        <v>657.84</v>
      </c>
      <c r="F311" s="33">
        <f>ROUND($C311*'2024-25 Elementary Calculator'!$Q$13/400,3)+ROUND($D311*'2024-25 Middle Calculator'!$O$13/432,3)+ROUND($E311*'2024-25 High Calculator'!$O$13/600,3)</f>
        <v>9.41</v>
      </c>
      <c r="G311" s="33">
        <f>ROUND($C311*'2024-25 Elementary Calculator'!$Q$15/400,3)+ROUND($D311*'2024-25 Middle Calculator'!$O$15/432,3)+ROUND($E311*'2024-25 High Calculator'!$O$15/600,3)</f>
        <v>1.629</v>
      </c>
      <c r="H311" s="33">
        <f>ROUND($C311*'2024-25 Elementary Calculator'!$Q$17/400,3)+ROUND($D311*'2024-25 Middle Calculator'!$O$17/432,3)+ROUND($E311*'2024-25 High Calculator'!$O$17/600,3)</f>
        <v>0.54700000000000004</v>
      </c>
      <c r="I311" s="33">
        <f>ROUND($C311*'2024-25 Elementary Calculator'!$Q$18/400,3)+ROUND($D311*'2024-25 Middle Calculator'!$O$18/432,3)+ROUND($E311*'2024-25 High Calculator'!$O$18/600,3)</f>
        <v>4.3710000000000004</v>
      </c>
      <c r="J311" s="166">
        <f t="shared" si="34"/>
        <v>15.957000000000001</v>
      </c>
      <c r="K311" s="33">
        <f>ROUND($C311*'2024-25 Elementary Calculator'!$Q$23/400,3)+ROUND($D311*'2024-25 Middle Calculator'!$O$23/432,3)+ROUND($E311*'2024-25 High Calculator'!$O$23/600,3)</f>
        <v>0.59799999999999998</v>
      </c>
      <c r="L311" s="33">
        <f>ROUND($C311*'2024-25 Elementary Calculator'!$Q$22/400,3)+ROUND($D311*'2024-25 Middle Calculator'!$O$22/432,3)+ROUND($E311*'2024-25 High Calculator'!$O$22/600,3)</f>
        <v>0.374</v>
      </c>
      <c r="M311" s="166">
        <f t="shared" si="35"/>
        <v>0.97199999999999998</v>
      </c>
      <c r="N311" s="33">
        <f>VLOOKUP($A311,'District Summary'!$A$6:$AH$325,29,FALSE)</f>
        <v>14.093</v>
      </c>
      <c r="O311" s="33">
        <f>VLOOKUP($A311,'District Summary'!$A$6:$AH$325,34,FALSE)</f>
        <v>3.9409999999999998</v>
      </c>
      <c r="P311" s="67">
        <f t="shared" si="36"/>
        <v>-1.8640000000000008</v>
      </c>
      <c r="Q311" s="67">
        <f t="shared" si="37"/>
        <v>2.9689999999999999</v>
      </c>
      <c r="R311" s="67">
        <f t="shared" si="38"/>
        <v>16.929000000000002</v>
      </c>
      <c r="S311" s="33">
        <f t="shared" si="39"/>
        <v>18.033999999999999</v>
      </c>
      <c r="T311" s="67">
        <f t="shared" si="41"/>
        <v>1.105</v>
      </c>
      <c r="U311" s="67">
        <f t="shared" si="40"/>
        <v>0</v>
      </c>
      <c r="V311" s="273"/>
      <c r="W311" s="273"/>
    </row>
    <row r="312" spans="1:23" x14ac:dyDescent="0.25">
      <c r="A312" t="s">
        <v>294</v>
      </c>
      <c r="B312" t="s">
        <v>590</v>
      </c>
      <c r="C312" s="25">
        <f>SUMPRODUCT(VLOOKUP($A312,'PSES Enroll Snapshot 25-01-17'!$K$5:$AB$327,{2,3,4,5,6,7,8,9},0))</f>
        <v>357.79999999999995</v>
      </c>
      <c r="D312" s="25">
        <f>SUMPRODUCT(VLOOKUP($A312,'PSES Enroll Snapshot 25-01-17'!$K$5:$AB$327,{10,11},0))-VLOOKUP($A312,'PSES Enroll Snapshot 25-01-17'!$K$5:$AB$327,12,0)</f>
        <v>100.16</v>
      </c>
      <c r="E312" s="25">
        <f>SUMPRODUCT(VLOOKUP($A312,'PSES Enroll Snapshot 25-01-17'!$K$5:$AB$327,{13,14},0))-SUMPRODUCT(VLOOKUP($A312,'PSES Enroll Snapshot 25-01-17'!$K$5:$AB$327,{15,16,17},0))</f>
        <v>171.18</v>
      </c>
      <c r="F312" s="33">
        <f>ROUND($C312*'2024-25 Elementary Calculator'!$Q$13/400,3)+ROUND($D312*'2024-25 Middle Calculator'!$O$13/432,3)+ROUND($E312*'2024-25 High Calculator'!$O$13/600,3)</f>
        <v>2.153</v>
      </c>
      <c r="G312" s="33">
        <f>ROUND($C312*'2024-25 Elementary Calculator'!$Q$15/400,3)+ROUND($D312*'2024-25 Middle Calculator'!$O$15/432,3)+ROUND($E312*'2024-25 High Calculator'!$O$15/600,3)</f>
        <v>0.33400000000000002</v>
      </c>
      <c r="H312" s="33">
        <f>ROUND($C312*'2024-25 Elementary Calculator'!$Q$17/400,3)+ROUND($D312*'2024-25 Middle Calculator'!$O$17/432,3)+ROUND($E312*'2024-25 High Calculator'!$O$17/600,3)</f>
        <v>0.113</v>
      </c>
      <c r="I312" s="33">
        <f>ROUND($C312*'2024-25 Elementary Calculator'!$Q$18/400,3)+ROUND($D312*'2024-25 Middle Calculator'!$O$18/432,3)+ROUND($E312*'2024-25 High Calculator'!$O$18/600,3)</f>
        <v>0.96399999999999997</v>
      </c>
      <c r="J312" s="166">
        <f t="shared" si="34"/>
        <v>3.5640000000000001</v>
      </c>
      <c r="K312" s="33">
        <f>ROUND($C312*'2024-25 Elementary Calculator'!$Q$23/400,3)+ROUND($D312*'2024-25 Middle Calculator'!$O$23/432,3)+ROUND($E312*'2024-25 High Calculator'!$O$23/600,3)</f>
        <v>0.13200000000000001</v>
      </c>
      <c r="L312" s="33">
        <f>ROUND($C312*'2024-25 Elementary Calculator'!$Q$22/400,3)+ROUND($D312*'2024-25 Middle Calculator'!$O$22/432,3)+ROUND($E312*'2024-25 High Calculator'!$O$22/600,3)</f>
        <v>7.3999999999999996E-2</v>
      </c>
      <c r="M312" s="166">
        <f t="shared" si="35"/>
        <v>0.20600000000000002</v>
      </c>
      <c r="N312" s="33">
        <f>VLOOKUP($A312,'District Summary'!$A$6:$AH$325,29,FALSE)</f>
        <v>1</v>
      </c>
      <c r="O312" s="33">
        <f>VLOOKUP($A312,'District Summary'!$A$6:$AH$325,34,FALSE)</f>
        <v>0.60599999999999998</v>
      </c>
      <c r="P312" s="67">
        <f t="shared" si="36"/>
        <v>-2.5640000000000001</v>
      </c>
      <c r="Q312" s="67">
        <f t="shared" si="37"/>
        <v>0.39999999999999997</v>
      </c>
      <c r="R312" s="67">
        <f t="shared" si="38"/>
        <v>3.77</v>
      </c>
      <c r="S312" s="33">
        <f t="shared" si="39"/>
        <v>1.6059999999999999</v>
      </c>
      <c r="T312" s="67">
        <f t="shared" si="41"/>
        <v>-2.1640000000000001</v>
      </c>
      <c r="U312" s="67">
        <f t="shared" si="40"/>
        <v>-2.1640000000000001</v>
      </c>
      <c r="V312" s="273"/>
      <c r="W312" s="273"/>
    </row>
    <row r="313" spans="1:23" x14ac:dyDescent="0.25">
      <c r="A313" t="s">
        <v>295</v>
      </c>
      <c r="B313" t="s">
        <v>591</v>
      </c>
      <c r="C313" s="25">
        <f>SUMPRODUCT(VLOOKUP($A313,'PSES Enroll Snapshot 25-01-17'!$K$5:$AB$327,{2,3,4,5,6,7,8,9},0))</f>
        <v>1800.81</v>
      </c>
      <c r="D313" s="25">
        <f>SUMPRODUCT(VLOOKUP($A313,'PSES Enroll Snapshot 25-01-17'!$K$5:$AB$327,{10,11},0))-VLOOKUP($A313,'PSES Enroll Snapshot 25-01-17'!$K$5:$AB$327,12,0)</f>
        <v>510.65999999999997</v>
      </c>
      <c r="E313" s="25">
        <f>SUMPRODUCT(VLOOKUP($A313,'PSES Enroll Snapshot 25-01-17'!$K$5:$AB$327,{13,14},0))-SUMPRODUCT(VLOOKUP($A313,'PSES Enroll Snapshot 25-01-17'!$K$5:$AB$327,{15,16,17},0))</f>
        <v>754.70999999999992</v>
      </c>
      <c r="F313" s="33">
        <f>ROUND($C313*'2024-25 Elementary Calculator'!$Q$13/400,3)+ROUND($D313*'2024-25 Middle Calculator'!$O$13/432,3)+ROUND($E313*'2024-25 High Calculator'!$O$13/600,3)</f>
        <v>10.322000000000001</v>
      </c>
      <c r="G313" s="33">
        <f>ROUND($C313*'2024-25 Elementary Calculator'!$Q$15/400,3)+ROUND($D313*'2024-25 Middle Calculator'!$O$15/432,3)+ROUND($E313*'2024-25 High Calculator'!$O$15/600,3)</f>
        <v>1.6639999999999999</v>
      </c>
      <c r="H313" s="33">
        <f>ROUND($C313*'2024-25 Elementary Calculator'!$Q$17/400,3)+ROUND($D313*'2024-25 Middle Calculator'!$O$17/432,3)+ROUND($E313*'2024-25 High Calculator'!$O$17/600,3)</f>
        <v>0.55800000000000005</v>
      </c>
      <c r="I313" s="33">
        <f>ROUND($C313*'2024-25 Elementary Calculator'!$Q$18/400,3)+ROUND($D313*'2024-25 Middle Calculator'!$O$18/432,3)+ROUND($E313*'2024-25 High Calculator'!$O$18/600,3)</f>
        <v>4.7200000000000006</v>
      </c>
      <c r="J313" s="166">
        <f t="shared" si="34"/>
        <v>17.264000000000003</v>
      </c>
      <c r="K313" s="33">
        <f>ROUND($C313*'2024-25 Elementary Calculator'!$Q$23/400,3)+ROUND($D313*'2024-25 Middle Calculator'!$O$23/432,3)+ROUND($E313*'2024-25 High Calculator'!$O$23/600,3)</f>
        <v>0.6419999999999999</v>
      </c>
      <c r="L313" s="33">
        <f>ROUND($C313*'2024-25 Elementary Calculator'!$Q$22/400,3)+ROUND($D313*'2024-25 Middle Calculator'!$O$22/432,3)+ROUND($E313*'2024-25 High Calculator'!$O$22/600,3)</f>
        <v>0.371</v>
      </c>
      <c r="M313" s="166">
        <f t="shared" si="35"/>
        <v>1.0129999999999999</v>
      </c>
      <c r="N313" s="33">
        <f>VLOOKUP($A313,'District Summary'!$A$6:$AH$325,29,FALSE)</f>
        <v>11.719000000000001</v>
      </c>
      <c r="O313" s="33">
        <f>VLOOKUP($A313,'District Summary'!$A$6:$AH$325,34,FALSE)</f>
        <v>12.23</v>
      </c>
      <c r="P313" s="67">
        <f t="shared" si="36"/>
        <v>-5.5450000000000017</v>
      </c>
      <c r="Q313" s="67">
        <f t="shared" si="37"/>
        <v>11.217000000000001</v>
      </c>
      <c r="R313" s="67">
        <f t="shared" si="38"/>
        <v>18.277000000000001</v>
      </c>
      <c r="S313" s="33">
        <f t="shared" si="39"/>
        <v>23.949000000000002</v>
      </c>
      <c r="T313" s="67">
        <f t="shared" si="41"/>
        <v>5.6719999999999997</v>
      </c>
      <c r="U313" s="67">
        <f t="shared" si="40"/>
        <v>0</v>
      </c>
      <c r="V313" s="273"/>
      <c r="W313" s="273"/>
    </row>
    <row r="314" spans="1:23" x14ac:dyDescent="0.25">
      <c r="A314" t="s">
        <v>296</v>
      </c>
      <c r="B314" t="s">
        <v>592</v>
      </c>
      <c r="C314" s="25">
        <f>SUMPRODUCT(VLOOKUP($A314,'PSES Enroll Snapshot 25-01-17'!$K$5:$AB$327,{2,3,4,5,6,7,8,9},0))</f>
        <v>3014.9700000000003</v>
      </c>
      <c r="D314" s="25">
        <f>SUMPRODUCT(VLOOKUP($A314,'PSES Enroll Snapshot 25-01-17'!$K$5:$AB$327,{10,11},0))-VLOOKUP($A314,'PSES Enroll Snapshot 25-01-17'!$K$5:$AB$327,12,0)</f>
        <v>874.05</v>
      </c>
      <c r="E314" s="25">
        <f>SUMPRODUCT(VLOOKUP($A314,'PSES Enroll Snapshot 25-01-17'!$K$5:$AB$327,{13,14},0))-SUMPRODUCT(VLOOKUP($A314,'PSES Enroll Snapshot 25-01-17'!$K$5:$AB$327,{15,16,17},0))</f>
        <v>1526.53</v>
      </c>
      <c r="F314" s="33">
        <f>ROUND($C314*'2024-25 Elementary Calculator'!$Q$13/400,3)+ROUND($D314*'2024-25 Middle Calculator'!$O$13/432,3)+ROUND($E314*'2024-25 High Calculator'!$O$13/600,3)</f>
        <v>18.689</v>
      </c>
      <c r="G314" s="33">
        <f>ROUND($C314*'2024-25 Elementary Calculator'!$Q$15/400,3)+ROUND($D314*'2024-25 Middle Calculator'!$O$15/432,3)+ROUND($E314*'2024-25 High Calculator'!$O$15/600,3)</f>
        <v>2.8449999999999998</v>
      </c>
      <c r="H314" s="33">
        <f>ROUND($C314*'2024-25 Elementary Calculator'!$Q$17/400,3)+ROUND($D314*'2024-25 Middle Calculator'!$O$17/432,3)+ROUND($E314*'2024-25 High Calculator'!$O$17/600,3)</f>
        <v>0.95800000000000007</v>
      </c>
      <c r="I314" s="33">
        <f>ROUND($C314*'2024-25 Elementary Calculator'!$Q$18/400,3)+ROUND($D314*'2024-25 Middle Calculator'!$O$18/432,3)+ROUND($E314*'2024-25 High Calculator'!$O$18/600,3)</f>
        <v>8.3019999999999996</v>
      </c>
      <c r="J314" s="166">
        <f t="shared" si="34"/>
        <v>30.793999999999997</v>
      </c>
      <c r="K314" s="33">
        <f>ROUND($C314*'2024-25 Elementary Calculator'!$Q$23/400,3)+ROUND($D314*'2024-25 Middle Calculator'!$O$23/432,3)+ROUND($E314*'2024-25 High Calculator'!$O$23/600,3)</f>
        <v>1.1399999999999999</v>
      </c>
      <c r="L314" s="33">
        <f>ROUND($C314*'2024-25 Elementary Calculator'!$Q$22/400,3)+ROUND($D314*'2024-25 Middle Calculator'!$O$22/432,3)+ROUND($E314*'2024-25 High Calculator'!$O$22/600,3)</f>
        <v>0.622</v>
      </c>
      <c r="M314" s="166">
        <f t="shared" si="35"/>
        <v>1.762</v>
      </c>
      <c r="N314" s="33">
        <f>VLOOKUP($A314,'District Summary'!$A$6:$AH$325,29,FALSE)</f>
        <v>28.012</v>
      </c>
      <c r="O314" s="33">
        <f>VLOOKUP($A314,'District Summary'!$A$6:$AH$325,34,FALSE)</f>
        <v>12.549000000000001</v>
      </c>
      <c r="P314" s="67">
        <f t="shared" si="36"/>
        <v>-2.7819999999999965</v>
      </c>
      <c r="Q314" s="67">
        <f t="shared" si="37"/>
        <v>10.787000000000001</v>
      </c>
      <c r="R314" s="67">
        <f t="shared" si="38"/>
        <v>32.555999999999997</v>
      </c>
      <c r="S314" s="33">
        <f t="shared" si="39"/>
        <v>40.561</v>
      </c>
      <c r="T314" s="67">
        <f t="shared" si="41"/>
        <v>8.0050000000000008</v>
      </c>
      <c r="U314" s="67">
        <f t="shared" si="40"/>
        <v>0</v>
      </c>
      <c r="V314" s="273"/>
      <c r="W314" s="273"/>
    </row>
    <row r="315" spans="1:23" x14ac:dyDescent="0.25">
      <c r="A315" t="s">
        <v>297</v>
      </c>
      <c r="B315" t="s">
        <v>593</v>
      </c>
      <c r="C315" s="25">
        <f>SUMPRODUCT(VLOOKUP($A315,'PSES Enroll Snapshot 25-01-17'!$K$5:$AB$327,{2,3,4,5,6,7,8,9},0))</f>
        <v>1696.8</v>
      </c>
      <c r="D315" s="25">
        <f>SUMPRODUCT(VLOOKUP($A315,'PSES Enroll Snapshot 25-01-17'!$K$5:$AB$327,{10,11},0))-VLOOKUP($A315,'PSES Enroll Snapshot 25-01-17'!$K$5:$AB$327,12,0)</f>
        <v>335.52</v>
      </c>
      <c r="E315" s="25">
        <f>SUMPRODUCT(VLOOKUP($A315,'PSES Enroll Snapshot 25-01-17'!$K$5:$AB$327,{13,14},0))-SUMPRODUCT(VLOOKUP($A315,'PSES Enroll Snapshot 25-01-17'!$K$5:$AB$327,{15,16,17},0))</f>
        <v>443.47</v>
      </c>
      <c r="F315" s="33">
        <f>ROUND($C315*'2024-25 Elementary Calculator'!$Q$13/400,3)+ROUND($D315*'2024-25 Middle Calculator'!$O$13/432,3)+ROUND($E315*'2024-25 High Calculator'!$O$13/600,3)</f>
        <v>7.7910000000000004</v>
      </c>
      <c r="G315" s="33">
        <f>ROUND($C315*'2024-25 Elementary Calculator'!$Q$15/400,3)+ROUND($D315*'2024-25 Middle Calculator'!$O$15/432,3)+ROUND($E315*'2024-25 High Calculator'!$O$15/600,3)</f>
        <v>1.4810000000000001</v>
      </c>
      <c r="H315" s="33">
        <f>ROUND($C315*'2024-25 Elementary Calculator'!$Q$17/400,3)+ROUND($D315*'2024-25 Middle Calculator'!$O$17/432,3)+ROUND($E315*'2024-25 High Calculator'!$O$17/600,3)</f>
        <v>0.496</v>
      </c>
      <c r="I315" s="33">
        <f>ROUND($C315*'2024-25 Elementary Calculator'!$Q$18/400,3)+ROUND($D315*'2024-25 Middle Calculator'!$O$18/432,3)+ROUND($E315*'2024-25 High Calculator'!$O$18/600,3)</f>
        <v>3.7810000000000001</v>
      </c>
      <c r="J315" s="166">
        <f t="shared" si="34"/>
        <v>13.549000000000001</v>
      </c>
      <c r="K315" s="33">
        <f>ROUND($C315*'2024-25 Elementary Calculator'!$Q$23/400,3)+ROUND($D315*'2024-25 Middle Calculator'!$O$23/432,3)+ROUND($E315*'2024-25 High Calculator'!$O$23/600,3)</f>
        <v>0.51</v>
      </c>
      <c r="L315" s="33">
        <f>ROUND($C315*'2024-25 Elementary Calculator'!$Q$22/400,3)+ROUND($D315*'2024-25 Middle Calculator'!$O$22/432,3)+ROUND($E315*'2024-25 High Calculator'!$O$22/600,3)</f>
        <v>0.35</v>
      </c>
      <c r="M315" s="166">
        <f t="shared" si="35"/>
        <v>0.86</v>
      </c>
      <c r="N315" s="33">
        <f>VLOOKUP($A315,'District Summary'!$A$6:$AH$325,29,FALSE)</f>
        <v>9.3709999999999987</v>
      </c>
      <c r="O315" s="33">
        <f>VLOOKUP($A315,'District Summary'!$A$6:$AH$325,34,FALSE)</f>
        <v>6.8549999999999995</v>
      </c>
      <c r="P315" s="67">
        <f t="shared" si="36"/>
        <v>-4.1780000000000026</v>
      </c>
      <c r="Q315" s="67">
        <f t="shared" si="37"/>
        <v>5.9949999999999992</v>
      </c>
      <c r="R315" s="67">
        <f t="shared" si="38"/>
        <v>14.409000000000001</v>
      </c>
      <c r="S315" s="33">
        <f t="shared" si="39"/>
        <v>16.225999999999999</v>
      </c>
      <c r="T315" s="67">
        <f t="shared" si="41"/>
        <v>1.8169999999999999</v>
      </c>
      <c r="U315" s="67">
        <f t="shared" si="40"/>
        <v>0</v>
      </c>
      <c r="V315" s="273"/>
      <c r="W315" s="273"/>
    </row>
    <row r="316" spans="1:23" x14ac:dyDescent="0.25">
      <c r="A316" t="s">
        <v>298</v>
      </c>
      <c r="B316" t="s">
        <v>594</v>
      </c>
      <c r="C316" s="25">
        <f>SUMPRODUCT(VLOOKUP($A316,'PSES Enroll Snapshot 25-01-17'!$K$5:$AB$327,{2,3,4,5,6,7,8,9},0))</f>
        <v>528.9</v>
      </c>
      <c r="D316" s="25">
        <f>SUMPRODUCT(VLOOKUP($A316,'PSES Enroll Snapshot 25-01-17'!$K$5:$AB$327,{10,11},0))-VLOOKUP($A316,'PSES Enroll Snapshot 25-01-17'!$K$5:$AB$327,12,0)</f>
        <v>161.80000000000001</v>
      </c>
      <c r="E316" s="25">
        <f>SUMPRODUCT(VLOOKUP($A316,'PSES Enroll Snapshot 25-01-17'!$K$5:$AB$327,{13,14},0))-SUMPRODUCT(VLOOKUP($A316,'PSES Enroll Snapshot 25-01-17'!$K$5:$AB$327,{15,16,17},0))</f>
        <v>286.26000000000005</v>
      </c>
      <c r="F316" s="33">
        <f>ROUND($C316*'2024-25 Elementary Calculator'!$Q$13/400,3)+ROUND($D316*'2024-25 Middle Calculator'!$O$13/432,3)+ROUND($E316*'2024-25 High Calculator'!$O$13/600,3)</f>
        <v>3.4059999999999997</v>
      </c>
      <c r="G316" s="33">
        <f>ROUND($C316*'2024-25 Elementary Calculator'!$Q$15/400,3)+ROUND($D316*'2024-25 Middle Calculator'!$O$15/432,3)+ROUND($E316*'2024-25 High Calculator'!$O$15/600,3)</f>
        <v>0.50499999999999989</v>
      </c>
      <c r="H316" s="33">
        <f>ROUND($C316*'2024-25 Elementary Calculator'!$Q$17/400,3)+ROUND($D316*'2024-25 Middle Calculator'!$O$17/432,3)+ROUND($E316*'2024-25 High Calculator'!$O$17/600,3)</f>
        <v>0.17</v>
      </c>
      <c r="I316" s="33">
        <f>ROUND($C316*'2024-25 Elementary Calculator'!$Q$18/400,3)+ROUND($D316*'2024-25 Middle Calculator'!$O$18/432,3)+ROUND($E316*'2024-25 High Calculator'!$O$18/600,3)</f>
        <v>1.5</v>
      </c>
      <c r="J316" s="166">
        <f t="shared" si="34"/>
        <v>5.5809999999999995</v>
      </c>
      <c r="K316" s="33">
        <f>ROUND($C316*'2024-25 Elementary Calculator'!$Q$23/400,3)+ROUND($D316*'2024-25 Middle Calculator'!$O$23/432,3)+ROUND($E316*'2024-25 High Calculator'!$O$23/600,3)</f>
        <v>0.20500000000000002</v>
      </c>
      <c r="L316" s="33">
        <f>ROUND($C316*'2024-25 Elementary Calculator'!$Q$22/400,3)+ROUND($D316*'2024-25 Middle Calculator'!$O$22/432,3)+ROUND($E316*'2024-25 High Calculator'!$O$22/600,3)</f>
        <v>0.109</v>
      </c>
      <c r="M316" s="166">
        <f t="shared" si="35"/>
        <v>0.314</v>
      </c>
      <c r="N316" s="33">
        <f>VLOOKUP($A316,'District Summary'!$A$6:$AH$325,29,FALSE)</f>
        <v>3.5009999999999999</v>
      </c>
      <c r="O316" s="33">
        <f>VLOOKUP($A316,'District Summary'!$A$6:$AH$325,34,FALSE)</f>
        <v>1.01</v>
      </c>
      <c r="P316" s="67">
        <f t="shared" si="36"/>
        <v>-2.0799999999999996</v>
      </c>
      <c r="Q316" s="67">
        <f t="shared" si="37"/>
        <v>0.69599999999999995</v>
      </c>
      <c r="R316" s="67">
        <f t="shared" si="38"/>
        <v>5.8949999999999996</v>
      </c>
      <c r="S316" s="33">
        <f t="shared" si="39"/>
        <v>4.5110000000000001</v>
      </c>
      <c r="T316" s="67">
        <f t="shared" si="41"/>
        <v>-1.3839999999999999</v>
      </c>
      <c r="U316" s="67">
        <f t="shared" si="40"/>
        <v>-1.3839999999999999</v>
      </c>
      <c r="V316" s="273"/>
      <c r="W316" s="273"/>
    </row>
    <row r="317" spans="1:23" x14ac:dyDescent="0.25">
      <c r="A317" t="s">
        <v>299</v>
      </c>
      <c r="B317" t="s">
        <v>595</v>
      </c>
      <c r="C317" s="25">
        <f>SUMPRODUCT(VLOOKUP($A317,'PSES Enroll Snapshot 25-01-17'!$K$5:$AB$327,{2,3,4,5,6,7,8,9},0))</f>
        <v>723.4</v>
      </c>
      <c r="D317" s="25">
        <f>SUMPRODUCT(VLOOKUP($A317,'PSES Enroll Snapshot 25-01-17'!$K$5:$AB$327,{10,11},0))-VLOOKUP($A317,'PSES Enroll Snapshot 25-01-17'!$K$5:$AB$327,12,0)</f>
        <v>187.26999999999998</v>
      </c>
      <c r="E317" s="25">
        <f>SUMPRODUCT(VLOOKUP($A317,'PSES Enroll Snapshot 25-01-17'!$K$5:$AB$327,{13,14},0))-SUMPRODUCT(VLOOKUP($A317,'PSES Enroll Snapshot 25-01-17'!$K$5:$AB$327,{15,16,17},0))</f>
        <v>240.42</v>
      </c>
      <c r="F317" s="33">
        <f>ROUND($C317*'2024-25 Elementary Calculator'!$Q$13/400,3)+ROUND($D317*'2024-25 Middle Calculator'!$O$13/432,3)+ROUND($E317*'2024-25 High Calculator'!$O$13/600,3)</f>
        <v>3.758</v>
      </c>
      <c r="G317" s="33">
        <f>ROUND($C317*'2024-25 Elementary Calculator'!$Q$15/400,3)+ROUND($D317*'2024-25 Middle Calculator'!$O$15/432,3)+ROUND($E317*'2024-25 High Calculator'!$O$15/600,3)</f>
        <v>0.65100000000000013</v>
      </c>
      <c r="H317" s="33">
        <f>ROUND($C317*'2024-25 Elementary Calculator'!$Q$17/400,3)+ROUND($D317*'2024-25 Middle Calculator'!$O$17/432,3)+ROUND($E317*'2024-25 High Calculator'!$O$17/600,3)</f>
        <v>0.218</v>
      </c>
      <c r="I317" s="33">
        <f>ROUND($C317*'2024-25 Elementary Calculator'!$Q$18/400,3)+ROUND($D317*'2024-25 Middle Calculator'!$O$18/432,3)+ROUND($E317*'2024-25 High Calculator'!$O$18/600,3)</f>
        <v>1.7730000000000001</v>
      </c>
      <c r="J317" s="166">
        <f t="shared" si="34"/>
        <v>6.4</v>
      </c>
      <c r="K317" s="33">
        <f>ROUND($C317*'2024-25 Elementary Calculator'!$Q$23/400,3)+ROUND($D317*'2024-25 Middle Calculator'!$O$23/432,3)+ROUND($E317*'2024-25 High Calculator'!$O$23/600,3)</f>
        <v>0.23899999999999999</v>
      </c>
      <c r="L317" s="33">
        <f>ROUND($C317*'2024-25 Elementary Calculator'!$Q$22/400,3)+ROUND($D317*'2024-25 Middle Calculator'!$O$22/432,3)+ROUND($E317*'2024-25 High Calculator'!$O$22/600,3)</f>
        <v>0.14899999999999999</v>
      </c>
      <c r="M317" s="166">
        <f t="shared" si="35"/>
        <v>0.38800000000000001</v>
      </c>
      <c r="N317" s="33">
        <f>VLOOKUP($A317,'District Summary'!$A$6:$AH$325,29,FALSE)</f>
        <v>4.6099999999999994</v>
      </c>
      <c r="O317" s="33">
        <f>VLOOKUP($A317,'District Summary'!$A$6:$AH$325,34,FALSE)</f>
        <v>2.5430000000000001</v>
      </c>
      <c r="P317" s="67">
        <f t="shared" si="36"/>
        <v>-1.7900000000000009</v>
      </c>
      <c r="Q317" s="67">
        <f t="shared" si="37"/>
        <v>2.1550000000000002</v>
      </c>
      <c r="R317" s="67">
        <f t="shared" si="38"/>
        <v>6.7880000000000003</v>
      </c>
      <c r="S317" s="33">
        <f t="shared" si="39"/>
        <v>7.1529999999999996</v>
      </c>
      <c r="T317" s="67">
        <f t="shared" si="41"/>
        <v>0.36499999999999999</v>
      </c>
      <c r="U317" s="67">
        <f t="shared" si="40"/>
        <v>0</v>
      </c>
      <c r="V317" s="273"/>
      <c r="W317" s="273"/>
    </row>
    <row r="318" spans="1:23" x14ac:dyDescent="0.25">
      <c r="A318" t="s">
        <v>300</v>
      </c>
      <c r="B318" t="s">
        <v>596</v>
      </c>
      <c r="C318" s="25">
        <f>SUMPRODUCT(VLOOKUP($A318,'PSES Enroll Snapshot 25-01-17'!$K$5:$AB$327,{2,3,4,5,6,7,8,9},0))</f>
        <v>665.48</v>
      </c>
      <c r="D318" s="25">
        <f>SUMPRODUCT(VLOOKUP($A318,'PSES Enroll Snapshot 25-01-17'!$K$5:$AB$327,{10,11},0))-VLOOKUP($A318,'PSES Enroll Snapshot 25-01-17'!$K$5:$AB$327,12,0)</f>
        <v>203.39</v>
      </c>
      <c r="E318" s="25">
        <f>SUMPRODUCT(VLOOKUP($A318,'PSES Enroll Snapshot 25-01-17'!$K$5:$AB$327,{13,14},0))-SUMPRODUCT(VLOOKUP($A318,'PSES Enroll Snapshot 25-01-17'!$K$5:$AB$327,{15,16,17},0))</f>
        <v>359.09999999999997</v>
      </c>
      <c r="F318" s="33">
        <f>ROUND($C318*'2024-25 Elementary Calculator'!$Q$13/400,3)+ROUND($D318*'2024-25 Middle Calculator'!$O$13/432,3)+ROUND($E318*'2024-25 High Calculator'!$O$13/600,3)</f>
        <v>4.2789999999999999</v>
      </c>
      <c r="G318" s="33">
        <f>ROUND($C318*'2024-25 Elementary Calculator'!$Q$15/400,3)+ROUND($D318*'2024-25 Middle Calculator'!$O$15/432,3)+ROUND($E318*'2024-25 High Calculator'!$O$15/600,3)</f>
        <v>0.63400000000000001</v>
      </c>
      <c r="H318" s="33">
        <f>ROUND($C318*'2024-25 Elementary Calculator'!$Q$17/400,3)+ROUND($D318*'2024-25 Middle Calculator'!$O$17/432,3)+ROUND($E318*'2024-25 High Calculator'!$O$17/600,3)</f>
        <v>0.21299999999999999</v>
      </c>
      <c r="I318" s="33">
        <f>ROUND($C318*'2024-25 Elementary Calculator'!$Q$18/400,3)+ROUND($D318*'2024-25 Middle Calculator'!$O$18/432,3)+ROUND($E318*'2024-25 High Calculator'!$O$18/600,3)</f>
        <v>1.8839999999999999</v>
      </c>
      <c r="J318" s="166">
        <f t="shared" si="34"/>
        <v>7.01</v>
      </c>
      <c r="K318" s="33">
        <f>ROUND($C318*'2024-25 Elementary Calculator'!$Q$23/400,3)+ROUND($D318*'2024-25 Middle Calculator'!$O$23/432,3)+ROUND($E318*'2024-25 High Calculator'!$O$23/600,3)</f>
        <v>0.25800000000000001</v>
      </c>
      <c r="L318" s="33">
        <f>ROUND($C318*'2024-25 Elementary Calculator'!$Q$22/400,3)+ROUND($D318*'2024-25 Middle Calculator'!$O$22/432,3)+ROUND($E318*'2024-25 High Calculator'!$O$22/600,3)</f>
        <v>0.13700000000000001</v>
      </c>
      <c r="M318" s="166">
        <f t="shared" si="35"/>
        <v>0.39500000000000002</v>
      </c>
      <c r="N318" s="33">
        <f>VLOOKUP($A318,'District Summary'!$A$6:$AH$325,29,FALSE)</f>
        <v>5.2160000000000002</v>
      </c>
      <c r="O318" s="33">
        <f>VLOOKUP($A318,'District Summary'!$A$6:$AH$325,34,FALSE)</f>
        <v>0.64400000000000002</v>
      </c>
      <c r="P318" s="67">
        <f t="shared" si="36"/>
        <v>-1.7939999999999996</v>
      </c>
      <c r="Q318" s="67">
        <f t="shared" si="37"/>
        <v>0.249</v>
      </c>
      <c r="R318" s="67">
        <f t="shared" si="38"/>
        <v>7.4049999999999994</v>
      </c>
      <c r="S318" s="33">
        <f t="shared" si="39"/>
        <v>5.86</v>
      </c>
      <c r="T318" s="67">
        <f t="shared" si="41"/>
        <v>-1.5449999999999999</v>
      </c>
      <c r="U318" s="67">
        <f t="shared" si="40"/>
        <v>-1.5449999999999999</v>
      </c>
      <c r="V318" s="273"/>
      <c r="W318" s="273"/>
    </row>
    <row r="319" spans="1:23" x14ac:dyDescent="0.25">
      <c r="A319" t="s">
        <v>301</v>
      </c>
      <c r="B319" t="s">
        <v>597</v>
      </c>
      <c r="C319" s="25">
        <f>SUMPRODUCT(VLOOKUP($A319,'PSES Enroll Snapshot 25-01-17'!$K$5:$AB$327,{2,3,4,5,6,7,8,9},0))</f>
        <v>1701.6000000000001</v>
      </c>
      <c r="D319" s="25">
        <f>SUMPRODUCT(VLOOKUP($A319,'PSES Enroll Snapshot 25-01-17'!$K$5:$AB$327,{10,11},0))-VLOOKUP($A319,'PSES Enroll Snapshot 25-01-17'!$K$5:$AB$327,12,0)</f>
        <v>403.39</v>
      </c>
      <c r="E319" s="25">
        <f>SUMPRODUCT(VLOOKUP($A319,'PSES Enroll Snapshot 25-01-17'!$K$5:$AB$327,{13,14},0))-SUMPRODUCT(VLOOKUP($A319,'PSES Enroll Snapshot 25-01-17'!$K$5:$AB$327,{15,16,17},0))</f>
        <v>633.92000000000007</v>
      </c>
      <c r="F319" s="33">
        <f>ROUND($C319*'2024-25 Elementary Calculator'!$Q$13/400,3)+ROUND($D319*'2024-25 Middle Calculator'!$O$13/432,3)+ROUND($E319*'2024-25 High Calculator'!$O$13/600,3)</f>
        <v>9.0370000000000008</v>
      </c>
      <c r="G319" s="33">
        <f>ROUND($C319*'2024-25 Elementary Calculator'!$Q$15/400,3)+ROUND($D319*'2024-25 Middle Calculator'!$O$15/432,3)+ROUND($E319*'2024-25 High Calculator'!$O$15/600,3)</f>
        <v>1.5390000000000001</v>
      </c>
      <c r="H319" s="33">
        <f>ROUND($C319*'2024-25 Elementary Calculator'!$Q$17/400,3)+ROUND($D319*'2024-25 Middle Calculator'!$O$17/432,3)+ROUND($E319*'2024-25 High Calculator'!$O$17/600,3)</f>
        <v>0.51600000000000001</v>
      </c>
      <c r="I319" s="33">
        <f>ROUND($C319*'2024-25 Elementary Calculator'!$Q$18/400,3)+ROUND($D319*'2024-25 Middle Calculator'!$O$18/432,3)+ROUND($E319*'2024-25 High Calculator'!$O$18/600,3)</f>
        <v>4.1890000000000001</v>
      </c>
      <c r="J319" s="166">
        <f t="shared" si="34"/>
        <v>15.281000000000001</v>
      </c>
      <c r="K319" s="33">
        <f>ROUND($C319*'2024-25 Elementary Calculator'!$Q$23/400,3)+ROUND($D319*'2024-25 Middle Calculator'!$O$23/432,3)+ROUND($E319*'2024-25 High Calculator'!$O$23/600,3)</f>
        <v>0.57100000000000006</v>
      </c>
      <c r="L319" s="33">
        <f>ROUND($C319*'2024-25 Elementary Calculator'!$Q$22/400,3)+ROUND($D319*'2024-25 Middle Calculator'!$O$22/432,3)+ROUND($E319*'2024-25 High Calculator'!$O$22/600,3)</f>
        <v>0.35099999999999998</v>
      </c>
      <c r="M319" s="166">
        <f t="shared" si="35"/>
        <v>0.92200000000000004</v>
      </c>
      <c r="N319" s="33">
        <f>VLOOKUP($A319,'District Summary'!$A$6:$AH$325,29,FALSE)</f>
        <v>11.023</v>
      </c>
      <c r="O319" s="33">
        <f>VLOOKUP($A319,'District Summary'!$A$6:$AH$325,34,FALSE)</f>
        <v>10.933</v>
      </c>
      <c r="P319" s="67">
        <f t="shared" si="36"/>
        <v>-4.2580000000000009</v>
      </c>
      <c r="Q319" s="67">
        <f t="shared" si="37"/>
        <v>10.010999999999999</v>
      </c>
      <c r="R319" s="67">
        <f t="shared" si="38"/>
        <v>16.202999999999999</v>
      </c>
      <c r="S319" s="33">
        <f t="shared" si="39"/>
        <v>21.956</v>
      </c>
      <c r="T319" s="67">
        <f t="shared" si="41"/>
        <v>5.7530000000000001</v>
      </c>
      <c r="U319" s="67">
        <f t="shared" si="40"/>
        <v>0</v>
      </c>
      <c r="V319" s="273"/>
      <c r="W319" s="273"/>
    </row>
    <row r="320" spans="1:23" x14ac:dyDescent="0.25">
      <c r="A320" t="s">
        <v>302</v>
      </c>
      <c r="B320" t="s">
        <v>598</v>
      </c>
      <c r="C320" s="25">
        <f>SUMPRODUCT(VLOOKUP($A320,'PSES Enroll Snapshot 25-01-17'!$K$5:$AB$327,{2,3,4,5,6,7,8,9},0))</f>
        <v>2747.3199999999997</v>
      </c>
      <c r="D320" s="25">
        <f>SUMPRODUCT(VLOOKUP($A320,'PSES Enroll Snapshot 25-01-17'!$K$5:$AB$327,{10,11},0))-VLOOKUP($A320,'PSES Enroll Snapshot 25-01-17'!$K$5:$AB$327,12,0)</f>
        <v>540.51</v>
      </c>
      <c r="E320" s="25">
        <f>SUMPRODUCT(VLOOKUP($A320,'PSES Enroll Snapshot 25-01-17'!$K$5:$AB$327,{13,14},0))-SUMPRODUCT(VLOOKUP($A320,'PSES Enroll Snapshot 25-01-17'!$K$5:$AB$327,{15,16,17},0))</f>
        <v>1008.6999999999998</v>
      </c>
      <c r="F320" s="33">
        <f>ROUND($C320*'2024-25 Elementary Calculator'!$Q$13/400,3)+ROUND($D320*'2024-25 Middle Calculator'!$O$13/432,3)+ROUND($E320*'2024-25 High Calculator'!$O$13/600,3)</f>
        <v>14.076000000000001</v>
      </c>
      <c r="G320" s="33">
        <f>ROUND($C320*'2024-25 Elementary Calculator'!$Q$15/400,3)+ROUND($D320*'2024-25 Middle Calculator'!$O$15/432,3)+ROUND($E320*'2024-25 High Calculator'!$O$15/600,3)</f>
        <v>2.46</v>
      </c>
      <c r="H320" s="33">
        <f>ROUND($C320*'2024-25 Elementary Calculator'!$Q$17/400,3)+ROUND($D320*'2024-25 Middle Calculator'!$O$17/432,3)+ROUND($E320*'2024-25 High Calculator'!$O$17/600,3)</f>
        <v>0.82599999999999996</v>
      </c>
      <c r="I320" s="33">
        <f>ROUND($C320*'2024-25 Elementary Calculator'!$Q$18/400,3)+ROUND($D320*'2024-25 Middle Calculator'!$O$18/432,3)+ROUND($E320*'2024-25 High Calculator'!$O$18/600,3)</f>
        <v>6.5139999999999993</v>
      </c>
      <c r="J320" s="166">
        <f t="shared" si="34"/>
        <v>23.876000000000001</v>
      </c>
      <c r="K320" s="33">
        <f>ROUND($C320*'2024-25 Elementary Calculator'!$Q$23/400,3)+ROUND($D320*'2024-25 Middle Calculator'!$O$23/432,3)+ROUND($E320*'2024-25 High Calculator'!$O$23/600,3)</f>
        <v>0.89500000000000002</v>
      </c>
      <c r="L320" s="33">
        <f>ROUND($C320*'2024-25 Elementary Calculator'!$Q$22/400,3)+ROUND($D320*'2024-25 Middle Calculator'!$O$22/432,3)+ROUND($E320*'2024-25 High Calculator'!$O$22/600,3)</f>
        <v>0.56699999999999995</v>
      </c>
      <c r="M320" s="166">
        <f t="shared" si="35"/>
        <v>1.462</v>
      </c>
      <c r="N320" s="33">
        <f>VLOOKUP($A320,'District Summary'!$A$6:$AH$325,29,FALSE)</f>
        <v>21.515000000000001</v>
      </c>
      <c r="O320" s="33">
        <f>VLOOKUP($A320,'District Summary'!$A$6:$AH$325,34,FALSE)</f>
        <v>7.1719999999999997</v>
      </c>
      <c r="P320" s="67">
        <f t="shared" si="36"/>
        <v>-2.3610000000000007</v>
      </c>
      <c r="Q320" s="67">
        <f t="shared" si="37"/>
        <v>5.71</v>
      </c>
      <c r="R320" s="67">
        <f t="shared" si="38"/>
        <v>25.338000000000001</v>
      </c>
      <c r="S320" s="33">
        <f t="shared" si="39"/>
        <v>28.687000000000001</v>
      </c>
      <c r="T320" s="67">
        <f t="shared" si="41"/>
        <v>3.3490000000000002</v>
      </c>
      <c r="U320" s="67">
        <f t="shared" si="40"/>
        <v>0</v>
      </c>
      <c r="V320" s="273"/>
      <c r="W320" s="273"/>
    </row>
    <row r="321" spans="1:23" x14ac:dyDescent="0.25">
      <c r="A321" t="s">
        <v>303</v>
      </c>
      <c r="B321" t="s">
        <v>599</v>
      </c>
      <c r="C321" s="25">
        <f>SUMPRODUCT(VLOOKUP($A321,'PSES Enroll Snapshot 25-01-17'!$K$5:$AB$327,{2,3,4,5,6,7,8,9},0))</f>
        <v>438</v>
      </c>
      <c r="D321" s="25">
        <f>SUMPRODUCT(VLOOKUP($A321,'PSES Enroll Snapshot 25-01-17'!$K$5:$AB$327,{10,11},0))-VLOOKUP($A321,'PSES Enroll Snapshot 25-01-17'!$K$5:$AB$327,12,0)</f>
        <v>136</v>
      </c>
      <c r="E321" s="25">
        <f>SUMPRODUCT(VLOOKUP($A321,'PSES Enroll Snapshot 25-01-17'!$K$5:$AB$327,{13,14},0))-SUMPRODUCT(VLOOKUP($A321,'PSES Enroll Snapshot 25-01-17'!$K$5:$AB$327,{15,16,17},0))</f>
        <v>176.13</v>
      </c>
      <c r="F321" s="33">
        <f>ROUND($C321*'2024-25 Elementary Calculator'!$Q$13/400,3)+ROUND($D321*'2024-25 Middle Calculator'!$O$13/432,3)+ROUND($E321*'2024-25 High Calculator'!$O$13/600,3)</f>
        <v>2.5190000000000001</v>
      </c>
      <c r="G321" s="33">
        <f>ROUND($C321*'2024-25 Elementary Calculator'!$Q$15/400,3)+ROUND($D321*'2024-25 Middle Calculator'!$O$15/432,3)+ROUND($E321*'2024-25 High Calculator'!$O$15/600,3)</f>
        <v>0.40600000000000003</v>
      </c>
      <c r="H321" s="33">
        <f>ROUND($C321*'2024-25 Elementary Calculator'!$Q$17/400,3)+ROUND($D321*'2024-25 Middle Calculator'!$O$17/432,3)+ROUND($E321*'2024-25 High Calculator'!$O$17/600,3)</f>
        <v>0.13600000000000001</v>
      </c>
      <c r="I321" s="33">
        <f>ROUND($C321*'2024-25 Elementary Calculator'!$Q$18/400,3)+ROUND($D321*'2024-25 Middle Calculator'!$O$18/432,3)+ROUND($E321*'2024-25 High Calculator'!$O$18/600,3)</f>
        <v>1.163</v>
      </c>
      <c r="J321" s="166">
        <f t="shared" si="34"/>
        <v>4.2240000000000002</v>
      </c>
      <c r="K321" s="33">
        <f>ROUND($C321*'2024-25 Elementary Calculator'!$Q$23/400,3)+ROUND($D321*'2024-25 Middle Calculator'!$O$23/432,3)+ROUND($E321*'2024-25 High Calculator'!$O$23/600,3)</f>
        <v>0.157</v>
      </c>
      <c r="L321" s="33">
        <f>ROUND($C321*'2024-25 Elementary Calculator'!$Q$22/400,3)+ROUND($D321*'2024-25 Middle Calculator'!$O$22/432,3)+ROUND($E321*'2024-25 High Calculator'!$O$22/600,3)</f>
        <v>0.09</v>
      </c>
      <c r="M321" s="166">
        <f t="shared" si="35"/>
        <v>0.247</v>
      </c>
      <c r="N321" s="33">
        <f>VLOOKUP($A321,'District Summary'!$A$6:$AH$325,29,FALSE)</f>
        <v>1.3</v>
      </c>
      <c r="O321" s="33">
        <f>VLOOKUP($A321,'District Summary'!$A$6:$AH$325,34,FALSE)</f>
        <v>2.4110000000000005</v>
      </c>
      <c r="P321" s="67">
        <f t="shared" si="36"/>
        <v>-2.9240000000000004</v>
      </c>
      <c r="Q321" s="67">
        <f t="shared" si="37"/>
        <v>2.1640000000000006</v>
      </c>
      <c r="R321" s="67">
        <f t="shared" si="38"/>
        <v>4.4710000000000001</v>
      </c>
      <c r="S321" s="33">
        <f t="shared" si="39"/>
        <v>3.7110000000000003</v>
      </c>
      <c r="T321" s="67">
        <f t="shared" si="41"/>
        <v>-0.76</v>
      </c>
      <c r="U321" s="67">
        <f t="shared" si="40"/>
        <v>-0.76</v>
      </c>
      <c r="V321" s="273"/>
      <c r="W321" s="273"/>
    </row>
    <row r="322" spans="1:23" x14ac:dyDescent="0.25">
      <c r="A322" t="s">
        <v>633</v>
      </c>
      <c r="B322" t="s">
        <v>1246</v>
      </c>
      <c r="C322" s="25">
        <f>SUMPRODUCT(VLOOKUP($A322,'PSES Enroll Snapshot 25-01-17'!$K$5:$AB$327,{2,3,4,5,6,7,8,9},0))</f>
        <v>0</v>
      </c>
      <c r="D322" s="25">
        <f>SUMPRODUCT(VLOOKUP($A322,'PSES Enroll Snapshot 25-01-17'!$K$5:$AB$327,{10,11},0))-VLOOKUP($A322,'PSES Enroll Snapshot 25-01-17'!$K$5:$AB$327,12,0)</f>
        <v>11.8</v>
      </c>
      <c r="E322" s="25">
        <f>SUMPRODUCT(VLOOKUP($A322,'PSES Enroll Snapshot 25-01-17'!$K$5:$AB$327,{13,14},0))-SUMPRODUCT(VLOOKUP($A322,'PSES Enroll Snapshot 25-01-17'!$K$5:$AB$327,{15,16,17},0))</f>
        <v>120</v>
      </c>
      <c r="F322" s="33">
        <f>ROUND($C322*'2024-25 Elementary Calculator'!$Q$13/400,3)+ROUND($D322*'2024-25 Middle Calculator'!$O$13/432,3)+ROUND($E322*'2024-25 High Calculator'!$O$13/600,3)</f>
        <v>0.65500000000000003</v>
      </c>
      <c r="G322" s="33">
        <f>ROUND($C322*'2024-25 Elementary Calculator'!$Q$15/400,3)+ROUND($D322*'2024-25 Middle Calculator'!$O$15/432,3)+ROUND($E322*'2024-25 High Calculator'!$O$15/600,3)</f>
        <v>2.7000000000000003E-2</v>
      </c>
      <c r="H322" s="33">
        <f>ROUND($C322*'2024-25 Elementary Calculator'!$Q$17/400,3)+ROUND($D322*'2024-25 Middle Calculator'!$O$17/432,3)+ROUND($E322*'2024-25 High Calculator'!$O$17/600,3)</f>
        <v>1.0999999999999999E-2</v>
      </c>
      <c r="I322" s="33">
        <f>ROUND($C322*'2024-25 Elementary Calculator'!$Q$18/400,3)+ROUND($D322*'2024-25 Middle Calculator'!$O$18/432,3)+ROUND($E322*'2024-25 High Calculator'!$O$18/600,3)</f>
        <v>0.189</v>
      </c>
      <c r="J322" s="166">
        <f t="shared" ref="J322" si="42">SUM(F322:I322)</f>
        <v>0.88200000000000012</v>
      </c>
      <c r="K322" s="33">
        <f>ROUND($C322*'2024-25 Elementary Calculator'!$Q$23/400,3)+ROUND($D322*'2024-25 Middle Calculator'!$O$23/432,3)+ROUND($E322*'2024-25 High Calculator'!$O$23/600,3)</f>
        <v>3.1E-2</v>
      </c>
      <c r="L322" s="33">
        <f>ROUND($C322*'2024-25 Elementary Calculator'!$Q$22/400,3)+ROUND($D322*'2024-25 Middle Calculator'!$O$22/432,3)+ROUND($E322*'2024-25 High Calculator'!$O$22/600,3)</f>
        <v>0</v>
      </c>
      <c r="M322" s="166">
        <f t="shared" ref="M322" si="43">SUM(K322:L322)</f>
        <v>3.1E-2</v>
      </c>
      <c r="N322" s="33">
        <f>VLOOKUP($A322,'District Summary'!$A$6:$AH$325,29,FALSE)</f>
        <v>0</v>
      </c>
      <c r="O322" s="33">
        <f>VLOOKUP($A322,'District Summary'!$A$6:$AH$325,34,FALSE)</f>
        <v>7</v>
      </c>
      <c r="P322" s="67">
        <f t="shared" si="36"/>
        <v>-0.88200000000000012</v>
      </c>
      <c r="Q322" s="67">
        <f t="shared" si="37"/>
        <v>6.9690000000000003</v>
      </c>
      <c r="R322" s="67">
        <f t="shared" si="38"/>
        <v>0.91300000000000014</v>
      </c>
      <c r="S322" s="33">
        <f t="shared" si="39"/>
        <v>7</v>
      </c>
      <c r="T322" s="67">
        <f t="shared" si="41"/>
        <v>6.0869999999999997</v>
      </c>
      <c r="U322" s="33"/>
      <c r="V322" s="273"/>
      <c r="W322" s="273"/>
    </row>
    <row r="323" spans="1:23" x14ac:dyDescent="0.25">
      <c r="A323" t="s">
        <v>759</v>
      </c>
      <c r="B323" t="s">
        <v>1084</v>
      </c>
      <c r="C323" s="23">
        <f>SUM(C3:C322)</f>
        <v>542958.22000000032</v>
      </c>
      <c r="D323" s="23">
        <f t="shared" ref="D323:U323" si="44">SUM(D3:D322)</f>
        <v>141906.96000000005</v>
      </c>
      <c r="E323" s="23">
        <f t="shared" si="44"/>
        <v>223483.84000000003</v>
      </c>
      <c r="F323" s="23">
        <f t="shared" si="44"/>
        <v>3043.5270000000023</v>
      </c>
      <c r="G323" s="23">
        <f t="shared" si="44"/>
        <v>498.36599999999999</v>
      </c>
      <c r="H323" s="23">
        <f t="shared" si="44"/>
        <v>167.30599999999995</v>
      </c>
      <c r="I323" s="23">
        <f t="shared" si="44"/>
        <v>1392.6970000000001</v>
      </c>
      <c r="J323" s="23">
        <f t="shared" si="44"/>
        <v>5101.8959999999979</v>
      </c>
      <c r="K323" s="23">
        <f t="shared" si="44"/>
        <v>189.97600000000017</v>
      </c>
      <c r="L323" s="23">
        <f t="shared" si="44"/>
        <v>111.98099999999995</v>
      </c>
      <c r="M323" s="23">
        <f t="shared" si="44"/>
        <v>301.95700000000011</v>
      </c>
      <c r="N323" s="23">
        <f t="shared" si="44"/>
        <v>4307.744999999999</v>
      </c>
      <c r="O323" s="23">
        <f t="shared" si="44"/>
        <v>2655.4649999999992</v>
      </c>
      <c r="P323" s="23">
        <f t="shared" si="44"/>
        <v>-794.15100000000029</v>
      </c>
      <c r="Q323" s="23">
        <f t="shared" si="44"/>
        <v>2353.5079999999998</v>
      </c>
      <c r="R323" s="23">
        <f t="shared" si="44"/>
        <v>5403.853000000001</v>
      </c>
      <c r="S323" s="23">
        <f t="shared" si="44"/>
        <v>6963.2099999999982</v>
      </c>
      <c r="T323" s="23">
        <f t="shared" si="44"/>
        <v>1559.3569999999991</v>
      </c>
      <c r="U323" s="23">
        <f t="shared" si="44"/>
        <v>-105.01699999999998</v>
      </c>
    </row>
  </sheetData>
  <autoFilter ref="A2:T323" xr:uid="{00000000-0001-0000-0C00-000000000000}">
    <sortState xmlns:xlrd2="http://schemas.microsoft.com/office/spreadsheetml/2017/richdata2" ref="A3:T322">
      <sortCondition ref="A2:A322"/>
    </sortState>
  </autoFilter>
  <sortState xmlns:xlrd2="http://schemas.microsoft.com/office/spreadsheetml/2017/richdata2" ref="A3:T318">
    <sortCondition ref="T2:T318"/>
  </sortState>
  <conditionalFormatting sqref="A323 A3:A318">
    <cfRule type="duplicateValues" dxfId="5" priority="6"/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9A699-003B-4269-89D5-91990D1865D1}">
  <sheetPr codeName="Sheet15">
    <tabColor rgb="FF7030A0"/>
  </sheetPr>
  <dimension ref="A1:J322"/>
  <sheetViews>
    <sheetView workbookViewId="0">
      <pane ySplit="1" topLeftCell="A2" activePane="bottomLeft" state="frozen"/>
      <selection activeCell="J3" sqref="J3"/>
      <selection pane="bottomLeft" activeCell="J3" sqref="J3"/>
    </sheetView>
  </sheetViews>
  <sheetFormatPr defaultRowHeight="15" x14ac:dyDescent="0.25"/>
  <cols>
    <col min="4" max="4" width="12.7109375" bestFit="1" customWidth="1"/>
    <col min="6" max="6" width="12.42578125" customWidth="1"/>
    <col min="9" max="9" width="10.5703125" customWidth="1"/>
  </cols>
  <sheetData>
    <row r="1" spans="1:10" ht="60" x14ac:dyDescent="0.25">
      <c r="B1" t="s">
        <v>1094</v>
      </c>
      <c r="C1" t="s">
        <v>682</v>
      </c>
      <c r="D1" t="s">
        <v>683</v>
      </c>
      <c r="F1" s="183" t="s">
        <v>1095</v>
      </c>
      <c r="I1" s="183" t="s">
        <v>1096</v>
      </c>
    </row>
    <row r="2" spans="1:10" x14ac:dyDescent="0.25">
      <c r="A2" s="43" t="s">
        <v>7</v>
      </c>
      <c r="B2">
        <f>IF(VLOOKUP(A2,'Enroll Data as of January 2025'!$A$3:$T$321,20,FALSE)&gt;0,0,VLOOKUP(A2,'Enroll Data as of January 2025'!$A$3:$T$321,20,FALSE))</f>
        <v>0</v>
      </c>
      <c r="C2">
        <f>IF(B2&gt;0,0,ROUND(-B2*'2024-25 PSES Compliance'!$G$13,3))</f>
        <v>0</v>
      </c>
      <c r="D2">
        <f t="shared" ref="D2:D65" si="0">IF(B2&gt;0,0,(-B2-C2))</f>
        <v>0</v>
      </c>
      <c r="E2" t="str">
        <f t="shared" ref="E2:E65" si="1">$A2</f>
        <v>01109</v>
      </c>
      <c r="F2" t="s">
        <v>710</v>
      </c>
      <c r="G2">
        <f t="shared" ref="G2:G65" si="2">C2</f>
        <v>0</v>
      </c>
      <c r="H2" t="str">
        <f t="shared" ref="H2:H65" si="3">$A2</f>
        <v>01109</v>
      </c>
      <c r="I2" t="s">
        <v>711</v>
      </c>
      <c r="J2">
        <f t="shared" ref="J2:J65" si="4">D2</f>
        <v>0</v>
      </c>
    </row>
    <row r="3" spans="1:10" x14ac:dyDescent="0.25">
      <c r="A3" s="43" t="s">
        <v>8</v>
      </c>
      <c r="B3">
        <f>IF(VLOOKUP(A3,'Enroll Data as of January 2025'!$A$3:$T$321,20,FALSE)&gt;0,0,VLOOKUP(A3,'Enroll Data as of January 2025'!$A$3:$T$321,20,FALSE))</f>
        <v>-7.5999999999999998E-2</v>
      </c>
      <c r="C3">
        <f>IF(B3&gt;0,0,ROUND(-B3*'2024-25 PSES Compliance'!$G$13,3))</f>
        <v>7.2999999999999995E-2</v>
      </c>
      <c r="D3">
        <f>IF(B3&gt;0,0,(-B3-C3))</f>
        <v>3.0000000000000027E-3</v>
      </c>
      <c r="E3" t="str">
        <f t="shared" si="1"/>
        <v>01122</v>
      </c>
      <c r="F3" t="s">
        <v>710</v>
      </c>
      <c r="G3">
        <f t="shared" si="2"/>
        <v>7.2999999999999995E-2</v>
      </c>
      <c r="H3" t="str">
        <f t="shared" si="3"/>
        <v>01122</v>
      </c>
      <c r="I3" t="s">
        <v>711</v>
      </c>
      <c r="J3">
        <f t="shared" si="4"/>
        <v>3.0000000000000027E-3</v>
      </c>
    </row>
    <row r="4" spans="1:10" x14ac:dyDescent="0.25">
      <c r="A4" s="43" t="s">
        <v>9</v>
      </c>
      <c r="B4">
        <f>IF(VLOOKUP(A4,'Enroll Data as of January 2025'!$A$3:$T$321,20,FALSE)&gt;0,0,VLOOKUP(A4,'Enroll Data as of January 2025'!$A$3:$T$321,20,FALSE))</f>
        <v>0</v>
      </c>
      <c r="C4">
        <f>IF(B4&gt;0,0,ROUND(-B4*'2024-25 PSES Compliance'!$G$13,3))</f>
        <v>0</v>
      </c>
      <c r="D4">
        <f t="shared" si="0"/>
        <v>0</v>
      </c>
      <c r="E4" t="str">
        <f t="shared" si="1"/>
        <v>01147</v>
      </c>
      <c r="F4" t="s">
        <v>710</v>
      </c>
      <c r="G4">
        <f t="shared" si="2"/>
        <v>0</v>
      </c>
      <c r="H4" t="str">
        <f t="shared" si="3"/>
        <v>01147</v>
      </c>
      <c r="I4" t="s">
        <v>711</v>
      </c>
      <c r="J4">
        <f t="shared" si="4"/>
        <v>0</v>
      </c>
    </row>
    <row r="5" spans="1:10" x14ac:dyDescent="0.25">
      <c r="A5" s="43" t="s">
        <v>10</v>
      </c>
      <c r="B5">
        <f>IF(VLOOKUP(A5,'Enroll Data as of January 2025'!$A$3:$T$321,20,FALSE)&gt;0,0,VLOOKUP(A5,'Enroll Data as of January 2025'!$A$3:$T$321,20,FALSE))</f>
        <v>0</v>
      </c>
      <c r="C5">
        <f>IF(B5&gt;0,0,ROUND(-B5*'2024-25 PSES Compliance'!$G$13,3))</f>
        <v>0</v>
      </c>
      <c r="D5">
        <f t="shared" si="0"/>
        <v>0</v>
      </c>
      <c r="E5" t="str">
        <f t="shared" si="1"/>
        <v>01158</v>
      </c>
      <c r="F5" t="s">
        <v>710</v>
      </c>
      <c r="G5">
        <f t="shared" si="2"/>
        <v>0</v>
      </c>
      <c r="H5" t="str">
        <f t="shared" si="3"/>
        <v>01158</v>
      </c>
      <c r="I5" t="s">
        <v>711</v>
      </c>
      <c r="J5">
        <f t="shared" si="4"/>
        <v>0</v>
      </c>
    </row>
    <row r="6" spans="1:10" x14ac:dyDescent="0.25">
      <c r="A6" s="43" t="s">
        <v>11</v>
      </c>
      <c r="B6">
        <f>IF(VLOOKUP(A6,'Enroll Data as of January 2025'!$A$3:$T$321,20,FALSE)&gt;0,0,VLOOKUP(A6,'Enroll Data as of January 2025'!$A$3:$T$321,20,FALSE))</f>
        <v>0</v>
      </c>
      <c r="C6">
        <f>IF(B6&gt;0,0,ROUND(-B6*'2024-25 PSES Compliance'!$G$13,3))</f>
        <v>0</v>
      </c>
      <c r="D6">
        <f t="shared" si="0"/>
        <v>0</v>
      </c>
      <c r="E6" t="str">
        <f t="shared" si="1"/>
        <v>01160</v>
      </c>
      <c r="F6" t="s">
        <v>710</v>
      </c>
      <c r="G6">
        <f t="shared" si="2"/>
        <v>0</v>
      </c>
      <c r="H6" t="str">
        <f t="shared" si="3"/>
        <v>01160</v>
      </c>
      <c r="I6" t="s">
        <v>711</v>
      </c>
      <c r="J6">
        <f t="shared" si="4"/>
        <v>0</v>
      </c>
    </row>
    <row r="7" spans="1:10" x14ac:dyDescent="0.25">
      <c r="A7" s="43" t="s">
        <v>12</v>
      </c>
      <c r="B7">
        <f>IF(VLOOKUP(A7,'Enroll Data as of January 2025'!$A$3:$T$321,20,FALSE)&gt;0,0,VLOOKUP(A7,'Enroll Data as of January 2025'!$A$3:$T$321,20,FALSE))</f>
        <v>-3.1429999999999998</v>
      </c>
      <c r="C7">
        <f>IF(B7&gt;0,0,ROUND(-B7*'2024-25 PSES Compliance'!$G$13,3))</f>
        <v>3.0169999999999999</v>
      </c>
      <c r="D7">
        <f t="shared" si="0"/>
        <v>0.12599999999999989</v>
      </c>
      <c r="E7" t="str">
        <f t="shared" si="1"/>
        <v>02250</v>
      </c>
      <c r="F7" t="s">
        <v>710</v>
      </c>
      <c r="G7">
        <f t="shared" si="2"/>
        <v>3.0169999999999999</v>
      </c>
      <c r="H7" t="str">
        <f t="shared" si="3"/>
        <v>02250</v>
      </c>
      <c r="I7" t="s">
        <v>711</v>
      </c>
      <c r="J7">
        <f t="shared" si="4"/>
        <v>0.12599999999999989</v>
      </c>
    </row>
    <row r="8" spans="1:10" x14ac:dyDescent="0.25">
      <c r="A8" s="43" t="s">
        <v>13</v>
      </c>
      <c r="B8">
        <f>IF(VLOOKUP(A8,'Enroll Data as of January 2025'!$A$3:$T$321,20,FALSE)&gt;0,0,VLOOKUP(A8,'Enroll Data as of January 2025'!$A$3:$T$321,20,FALSE))</f>
        <v>-0.26500000000000001</v>
      </c>
      <c r="C8">
        <f>IF(B8&gt;0,0,ROUND(-B8*'2024-25 PSES Compliance'!$G$13,3))</f>
        <v>0.254</v>
      </c>
      <c r="D8">
        <f t="shared" si="0"/>
        <v>1.100000000000001E-2</v>
      </c>
      <c r="E8" t="str">
        <f t="shared" si="1"/>
        <v>02420</v>
      </c>
      <c r="F8" t="s">
        <v>710</v>
      </c>
      <c r="G8">
        <f t="shared" si="2"/>
        <v>0.254</v>
      </c>
      <c r="H8" t="str">
        <f t="shared" si="3"/>
        <v>02420</v>
      </c>
      <c r="I8" t="s">
        <v>711</v>
      </c>
      <c r="J8">
        <f t="shared" si="4"/>
        <v>1.100000000000001E-2</v>
      </c>
    </row>
    <row r="9" spans="1:10" x14ac:dyDescent="0.25">
      <c r="A9" s="43" t="s">
        <v>14</v>
      </c>
      <c r="B9">
        <f>IF(VLOOKUP(A9,'Enroll Data as of January 2025'!$A$3:$T$321,20,FALSE)&gt;0,0,VLOOKUP(A9,'Enroll Data as of January 2025'!$A$3:$T$321,20,FALSE))</f>
        <v>0</v>
      </c>
      <c r="C9">
        <f>IF(B9&gt;0,0,ROUND(-B9*'2024-25 PSES Compliance'!$G$13,3))</f>
        <v>0</v>
      </c>
      <c r="D9">
        <f t="shared" si="0"/>
        <v>0</v>
      </c>
      <c r="E9" t="str">
        <f t="shared" si="1"/>
        <v>03017</v>
      </c>
      <c r="F9" t="s">
        <v>710</v>
      </c>
      <c r="G9">
        <f t="shared" si="2"/>
        <v>0</v>
      </c>
      <c r="H9" t="str">
        <f t="shared" si="3"/>
        <v>03017</v>
      </c>
      <c r="I9" t="s">
        <v>711</v>
      </c>
      <c r="J9">
        <f t="shared" si="4"/>
        <v>0</v>
      </c>
    </row>
    <row r="10" spans="1:10" x14ac:dyDescent="0.25">
      <c r="A10" s="43" t="s">
        <v>15</v>
      </c>
      <c r="B10">
        <f>IF(VLOOKUP(A10,'Enroll Data as of January 2025'!$A$3:$T$321,20,FALSE)&gt;0,0,VLOOKUP(A10,'Enroll Data as of January 2025'!$A$3:$T$321,20,FALSE))</f>
        <v>-0.14299999999999999</v>
      </c>
      <c r="C10">
        <f>IF(B10&gt;0,0,ROUND(-B10*'2024-25 PSES Compliance'!$G$13,3))</f>
        <v>0.13700000000000001</v>
      </c>
      <c r="D10">
        <f t="shared" si="0"/>
        <v>5.9999999999999776E-3</v>
      </c>
      <c r="E10" t="str">
        <f t="shared" si="1"/>
        <v>03050</v>
      </c>
      <c r="F10" t="s">
        <v>710</v>
      </c>
      <c r="G10">
        <f t="shared" si="2"/>
        <v>0.13700000000000001</v>
      </c>
      <c r="H10" t="str">
        <f t="shared" si="3"/>
        <v>03050</v>
      </c>
      <c r="I10" t="s">
        <v>711</v>
      </c>
      <c r="J10">
        <f t="shared" si="4"/>
        <v>5.9999999999999776E-3</v>
      </c>
    </row>
    <row r="11" spans="1:10" x14ac:dyDescent="0.25">
      <c r="A11" s="43" t="s">
        <v>16</v>
      </c>
      <c r="B11">
        <f>IF(VLOOKUP(A11,'Enroll Data as of January 2025'!$A$3:$T$321,20,FALSE)&gt;0,0,VLOOKUP(A11,'Enroll Data as of January 2025'!$A$3:$T$321,20,FALSE))</f>
        <v>0</v>
      </c>
      <c r="C11">
        <f>IF(B11&gt;0,0,ROUND(-B11*'2024-25 PSES Compliance'!$G$13,3))</f>
        <v>0</v>
      </c>
      <c r="D11">
        <f t="shared" si="0"/>
        <v>0</v>
      </c>
      <c r="E11" t="str">
        <f t="shared" si="1"/>
        <v>03052</v>
      </c>
      <c r="F11" t="s">
        <v>710</v>
      </c>
      <c r="G11">
        <f t="shared" si="2"/>
        <v>0</v>
      </c>
      <c r="H11" t="str">
        <f t="shared" si="3"/>
        <v>03052</v>
      </c>
      <c r="I11" t="s">
        <v>711</v>
      </c>
      <c r="J11">
        <f t="shared" si="4"/>
        <v>0</v>
      </c>
    </row>
    <row r="12" spans="1:10" x14ac:dyDescent="0.25">
      <c r="A12" s="43" t="s">
        <v>17</v>
      </c>
      <c r="B12">
        <f>IF(VLOOKUP(A12,'Enroll Data as of January 2025'!$A$3:$T$321,20,FALSE)&gt;0,0,VLOOKUP(A12,'Enroll Data as of January 2025'!$A$3:$T$321,20,FALSE))</f>
        <v>-0.371</v>
      </c>
      <c r="C12">
        <f>IF(B12&gt;0,0,ROUND(-B12*'2024-25 PSES Compliance'!$G$13,3))</f>
        <v>0.35599999999999998</v>
      </c>
      <c r="D12">
        <f t="shared" si="0"/>
        <v>1.5000000000000013E-2</v>
      </c>
      <c r="E12" t="str">
        <f t="shared" si="1"/>
        <v>03053</v>
      </c>
      <c r="F12" t="s">
        <v>710</v>
      </c>
      <c r="G12">
        <f t="shared" si="2"/>
        <v>0.35599999999999998</v>
      </c>
      <c r="H12" t="str">
        <f t="shared" si="3"/>
        <v>03053</v>
      </c>
      <c r="I12" t="s">
        <v>711</v>
      </c>
      <c r="J12">
        <f t="shared" si="4"/>
        <v>1.5000000000000013E-2</v>
      </c>
    </row>
    <row r="13" spans="1:10" x14ac:dyDescent="0.25">
      <c r="A13" s="43" t="s">
        <v>18</v>
      </c>
      <c r="B13">
        <f>IF(VLOOKUP(A13,'Enroll Data as of January 2025'!$A$3:$T$321,20,FALSE)&gt;0,0,VLOOKUP(A13,'Enroll Data as of January 2025'!$A$3:$T$321,20,FALSE))</f>
        <v>0</v>
      </c>
      <c r="C13">
        <f>IF(B13&gt;0,0,ROUND(-B13*'2024-25 PSES Compliance'!$G$13,3))</f>
        <v>0</v>
      </c>
      <c r="D13">
        <f t="shared" si="0"/>
        <v>0</v>
      </c>
      <c r="E13" t="str">
        <f t="shared" si="1"/>
        <v>03116</v>
      </c>
      <c r="F13" t="s">
        <v>710</v>
      </c>
      <c r="G13">
        <f t="shared" si="2"/>
        <v>0</v>
      </c>
      <c r="H13" t="str">
        <f t="shared" si="3"/>
        <v>03116</v>
      </c>
      <c r="I13" t="s">
        <v>711</v>
      </c>
      <c r="J13">
        <f t="shared" si="4"/>
        <v>0</v>
      </c>
    </row>
    <row r="14" spans="1:10" x14ac:dyDescent="0.25">
      <c r="A14" s="43" t="s">
        <v>19</v>
      </c>
      <c r="B14">
        <f>IF(VLOOKUP(A14,'Enroll Data as of January 2025'!$A$3:$T$321,20,FALSE)&gt;0,0,VLOOKUP(A14,'Enroll Data as of January 2025'!$A$3:$T$321,20,FALSE))</f>
        <v>0</v>
      </c>
      <c r="C14">
        <f>IF(B14&gt;0,0,ROUND(-B14*'2024-25 PSES Compliance'!$G$13,3))</f>
        <v>0</v>
      </c>
      <c r="D14">
        <f t="shared" si="0"/>
        <v>0</v>
      </c>
      <c r="E14" t="str">
        <f t="shared" si="1"/>
        <v>03400</v>
      </c>
      <c r="F14" t="s">
        <v>710</v>
      </c>
      <c r="G14">
        <f t="shared" si="2"/>
        <v>0</v>
      </c>
      <c r="H14" t="str">
        <f t="shared" si="3"/>
        <v>03400</v>
      </c>
      <c r="I14" t="s">
        <v>711</v>
      </c>
      <c r="J14">
        <f t="shared" si="4"/>
        <v>0</v>
      </c>
    </row>
    <row r="15" spans="1:10" x14ac:dyDescent="0.25">
      <c r="A15" s="43" t="s">
        <v>20</v>
      </c>
      <c r="B15">
        <f>IF(VLOOKUP(A15,'Enroll Data as of January 2025'!$A$3:$T$321,20,FALSE)&gt;0,0,VLOOKUP(A15,'Enroll Data as of January 2025'!$A$3:$T$321,20,FALSE))</f>
        <v>0</v>
      </c>
      <c r="C15">
        <f>IF(B15&gt;0,0,ROUND(-B15*'2024-25 PSES Compliance'!$G$13,3))</f>
        <v>0</v>
      </c>
      <c r="D15">
        <f t="shared" si="0"/>
        <v>0</v>
      </c>
      <c r="E15" t="str">
        <f t="shared" si="1"/>
        <v>04019</v>
      </c>
      <c r="F15" t="s">
        <v>710</v>
      </c>
      <c r="G15">
        <f t="shared" si="2"/>
        <v>0</v>
      </c>
      <c r="H15" t="str">
        <f t="shared" si="3"/>
        <v>04019</v>
      </c>
      <c r="I15" t="s">
        <v>711</v>
      </c>
      <c r="J15">
        <f t="shared" si="4"/>
        <v>0</v>
      </c>
    </row>
    <row r="16" spans="1:10" x14ac:dyDescent="0.25">
      <c r="A16" s="43" t="s">
        <v>21</v>
      </c>
      <c r="B16">
        <f>IF(VLOOKUP(A16,'Enroll Data as of January 2025'!$A$3:$T$321,20,FALSE)&gt;0,0,VLOOKUP(A16,'Enroll Data as of January 2025'!$A$3:$T$321,20,FALSE))</f>
        <v>-6.6000000000000003E-2</v>
      </c>
      <c r="C16">
        <f>IF(B16&gt;0,0,ROUND(-B16*'2024-25 PSES Compliance'!$G$13,3))</f>
        <v>6.3E-2</v>
      </c>
      <c r="D16">
        <f t="shared" si="0"/>
        <v>3.0000000000000027E-3</v>
      </c>
      <c r="E16" t="str">
        <f t="shared" si="1"/>
        <v>04069</v>
      </c>
      <c r="F16" t="s">
        <v>710</v>
      </c>
      <c r="G16">
        <f t="shared" si="2"/>
        <v>6.3E-2</v>
      </c>
      <c r="H16" t="str">
        <f t="shared" si="3"/>
        <v>04069</v>
      </c>
      <c r="I16" t="s">
        <v>711</v>
      </c>
      <c r="J16">
        <f t="shared" si="4"/>
        <v>3.0000000000000027E-3</v>
      </c>
    </row>
    <row r="17" spans="1:10" x14ac:dyDescent="0.25">
      <c r="A17" s="43" t="s">
        <v>22</v>
      </c>
      <c r="B17">
        <f>IF(VLOOKUP(A17,'Enroll Data as of January 2025'!$A$3:$T$321,20,FALSE)&gt;0,0,VLOOKUP(A17,'Enroll Data as of January 2025'!$A$3:$T$321,20,FALSE))</f>
        <v>0</v>
      </c>
      <c r="C17">
        <f>IF(B17&gt;0,0,ROUND(-B17*'2024-25 PSES Compliance'!$G$13,3))</f>
        <v>0</v>
      </c>
      <c r="D17">
        <f t="shared" si="0"/>
        <v>0</v>
      </c>
      <c r="E17" t="str">
        <f t="shared" si="1"/>
        <v>04127</v>
      </c>
      <c r="F17" t="s">
        <v>710</v>
      </c>
      <c r="G17">
        <f t="shared" si="2"/>
        <v>0</v>
      </c>
      <c r="H17" t="str">
        <f t="shared" si="3"/>
        <v>04127</v>
      </c>
      <c r="I17" t="s">
        <v>711</v>
      </c>
      <c r="J17">
        <f t="shared" si="4"/>
        <v>0</v>
      </c>
    </row>
    <row r="18" spans="1:10" x14ac:dyDescent="0.25">
      <c r="A18" s="43" t="s">
        <v>23</v>
      </c>
      <c r="B18">
        <f>IF(VLOOKUP(A18,'Enroll Data as of January 2025'!$A$3:$T$321,20,FALSE)&gt;0,0,VLOOKUP(A18,'Enroll Data as of January 2025'!$A$3:$T$321,20,FALSE))</f>
        <v>-5.8000000000000003E-2</v>
      </c>
      <c r="C18">
        <f>IF(B18&gt;0,0,ROUND(-B18*'2024-25 PSES Compliance'!$G$13,3))</f>
        <v>5.6000000000000001E-2</v>
      </c>
      <c r="D18">
        <f t="shared" si="0"/>
        <v>2.0000000000000018E-3</v>
      </c>
      <c r="E18" t="str">
        <f t="shared" si="1"/>
        <v>04129</v>
      </c>
      <c r="F18" t="s">
        <v>710</v>
      </c>
      <c r="G18">
        <f t="shared" si="2"/>
        <v>5.6000000000000001E-2</v>
      </c>
      <c r="H18" t="str">
        <f t="shared" si="3"/>
        <v>04129</v>
      </c>
      <c r="I18" t="s">
        <v>711</v>
      </c>
      <c r="J18">
        <f t="shared" si="4"/>
        <v>2.0000000000000018E-3</v>
      </c>
    </row>
    <row r="19" spans="1:10" x14ac:dyDescent="0.25">
      <c r="A19" s="43" t="s">
        <v>24</v>
      </c>
      <c r="B19">
        <f>IF(VLOOKUP(A19,'Enroll Data as of January 2025'!$A$3:$T$321,20,FALSE)&gt;0,0,VLOOKUP(A19,'Enroll Data as of January 2025'!$A$3:$T$321,20,FALSE))</f>
        <v>-2.5190000000000001</v>
      </c>
      <c r="C19">
        <f>IF(B19&gt;0,0,ROUND(-B19*'2024-25 PSES Compliance'!$G$13,3))</f>
        <v>2.4180000000000001</v>
      </c>
      <c r="D19">
        <f t="shared" si="0"/>
        <v>0.10099999999999998</v>
      </c>
      <c r="E19" t="str">
        <f t="shared" si="1"/>
        <v>04222</v>
      </c>
      <c r="F19" t="s">
        <v>710</v>
      </c>
      <c r="G19">
        <f t="shared" si="2"/>
        <v>2.4180000000000001</v>
      </c>
      <c r="H19" t="str">
        <f t="shared" si="3"/>
        <v>04222</v>
      </c>
      <c r="I19" t="s">
        <v>711</v>
      </c>
      <c r="J19">
        <f t="shared" si="4"/>
        <v>0.10099999999999998</v>
      </c>
    </row>
    <row r="20" spans="1:10" x14ac:dyDescent="0.25">
      <c r="A20" s="43" t="s">
        <v>25</v>
      </c>
      <c r="B20">
        <f>IF(VLOOKUP(A20,'Enroll Data as of January 2025'!$A$3:$T$321,20,FALSE)&gt;0,0,VLOOKUP(A20,'Enroll Data as of January 2025'!$A$3:$T$321,20,FALSE))</f>
        <v>-1.508</v>
      </c>
      <c r="C20">
        <f>IF(B20&gt;0,0,ROUND(-B20*'2024-25 PSES Compliance'!$G$13,3))</f>
        <v>1.448</v>
      </c>
      <c r="D20">
        <f t="shared" si="0"/>
        <v>6.0000000000000053E-2</v>
      </c>
      <c r="E20" t="str">
        <f t="shared" si="1"/>
        <v>04228</v>
      </c>
      <c r="F20" t="s">
        <v>710</v>
      </c>
      <c r="G20">
        <f t="shared" si="2"/>
        <v>1.448</v>
      </c>
      <c r="H20" t="str">
        <f t="shared" si="3"/>
        <v>04228</v>
      </c>
      <c r="I20" t="s">
        <v>711</v>
      </c>
      <c r="J20">
        <f t="shared" si="4"/>
        <v>6.0000000000000053E-2</v>
      </c>
    </row>
    <row r="21" spans="1:10" x14ac:dyDescent="0.25">
      <c r="A21" s="43" t="s">
        <v>26</v>
      </c>
      <c r="B21">
        <f>IF(VLOOKUP(A21,'Enroll Data as of January 2025'!$A$3:$T$321,20,FALSE)&gt;0,0,VLOOKUP(A21,'Enroll Data as of January 2025'!$A$3:$T$321,20,FALSE))</f>
        <v>-1.5569999999999999</v>
      </c>
      <c r="C21">
        <f>IF(B21&gt;0,0,ROUND(-B21*'2024-25 PSES Compliance'!$G$13,3))</f>
        <v>1.4950000000000001</v>
      </c>
      <c r="D21">
        <f t="shared" si="0"/>
        <v>6.1999999999999833E-2</v>
      </c>
      <c r="E21" t="str">
        <f t="shared" si="1"/>
        <v>04246</v>
      </c>
      <c r="F21" t="s">
        <v>710</v>
      </c>
      <c r="G21">
        <f t="shared" si="2"/>
        <v>1.4950000000000001</v>
      </c>
      <c r="H21" t="str">
        <f t="shared" si="3"/>
        <v>04246</v>
      </c>
      <c r="I21" t="s">
        <v>711</v>
      </c>
      <c r="J21">
        <f t="shared" si="4"/>
        <v>6.1999999999999833E-2</v>
      </c>
    </row>
    <row r="22" spans="1:10" x14ac:dyDescent="0.25">
      <c r="A22" s="43" t="s">
        <v>667</v>
      </c>
      <c r="B22">
        <f>IF(VLOOKUP(A22,'Enroll Data as of January 2025'!$A$3:$T$321,20,FALSE)&gt;0,0,VLOOKUP(A22,'Enroll Data as of January 2025'!$A$3:$T$321,20,FALSE))</f>
        <v>-0.17699999999999999</v>
      </c>
      <c r="C22">
        <f>IF(B22&gt;0,0,ROUND(-B22*'2024-25 PSES Compliance'!$G$13,3))</f>
        <v>0.17</v>
      </c>
      <c r="D22">
        <f t="shared" si="0"/>
        <v>6.9999999999999785E-3</v>
      </c>
      <c r="E22" t="str">
        <f t="shared" si="1"/>
        <v>04901</v>
      </c>
      <c r="F22" t="s">
        <v>710</v>
      </c>
      <c r="G22">
        <f t="shared" si="2"/>
        <v>0.17</v>
      </c>
      <c r="H22" t="str">
        <f t="shared" si="3"/>
        <v>04901</v>
      </c>
      <c r="I22" t="s">
        <v>711</v>
      </c>
      <c r="J22">
        <f t="shared" si="4"/>
        <v>6.9999999999999785E-3</v>
      </c>
    </row>
    <row r="23" spans="1:10" x14ac:dyDescent="0.25">
      <c r="A23" s="43" t="s">
        <v>27</v>
      </c>
      <c r="B23">
        <f>IF(VLOOKUP(A23,'Enroll Data as of January 2025'!$A$3:$T$321,20,FALSE)&gt;0,0,VLOOKUP(A23,'Enroll Data as of January 2025'!$A$3:$T$321,20,FALSE))</f>
        <v>0</v>
      </c>
      <c r="C23">
        <f>IF(B23&gt;0,0,ROUND(-B23*'2024-25 PSES Compliance'!$G$13,3))</f>
        <v>0</v>
      </c>
      <c r="D23">
        <f t="shared" si="0"/>
        <v>0</v>
      </c>
      <c r="E23" t="str">
        <f t="shared" si="1"/>
        <v>05121</v>
      </c>
      <c r="F23" t="s">
        <v>710</v>
      </c>
      <c r="G23">
        <f t="shared" si="2"/>
        <v>0</v>
      </c>
      <c r="H23" t="str">
        <f t="shared" si="3"/>
        <v>05121</v>
      </c>
      <c r="I23" t="s">
        <v>711</v>
      </c>
      <c r="J23">
        <f t="shared" si="4"/>
        <v>0</v>
      </c>
    </row>
    <row r="24" spans="1:10" x14ac:dyDescent="0.25">
      <c r="A24" s="43" t="s">
        <v>28</v>
      </c>
      <c r="B24">
        <f>IF(VLOOKUP(A24,'Enroll Data as of January 2025'!$A$3:$T$321,20,FALSE)&gt;0,0,VLOOKUP(A24,'Enroll Data as of January 2025'!$A$3:$T$321,20,FALSE))</f>
        <v>0</v>
      </c>
      <c r="C24">
        <f>IF(B24&gt;0,0,ROUND(-B24*'2024-25 PSES Compliance'!$G$13,3))</f>
        <v>0</v>
      </c>
      <c r="D24">
        <f t="shared" si="0"/>
        <v>0</v>
      </c>
      <c r="E24" t="str">
        <f t="shared" si="1"/>
        <v>05313</v>
      </c>
      <c r="F24" t="s">
        <v>710</v>
      </c>
      <c r="G24">
        <f t="shared" si="2"/>
        <v>0</v>
      </c>
      <c r="H24" t="str">
        <f t="shared" si="3"/>
        <v>05313</v>
      </c>
      <c r="I24" t="s">
        <v>711</v>
      </c>
      <c r="J24">
        <f t="shared" si="4"/>
        <v>0</v>
      </c>
    </row>
    <row r="25" spans="1:10" x14ac:dyDescent="0.25">
      <c r="A25" s="43" t="s">
        <v>29</v>
      </c>
      <c r="B25">
        <f>IF(VLOOKUP(A25,'Enroll Data as of January 2025'!$A$3:$T$321,20,FALSE)&gt;0,0,VLOOKUP(A25,'Enroll Data as of January 2025'!$A$3:$T$321,20,FALSE))</f>
        <v>0</v>
      </c>
      <c r="C25">
        <f>IF(B25&gt;0,0,ROUND(-B25*'2024-25 PSES Compliance'!$G$13,3))</f>
        <v>0</v>
      </c>
      <c r="D25">
        <f t="shared" si="0"/>
        <v>0</v>
      </c>
      <c r="E25" t="str">
        <f t="shared" si="1"/>
        <v>05323</v>
      </c>
      <c r="F25" t="s">
        <v>710</v>
      </c>
      <c r="G25">
        <f t="shared" si="2"/>
        <v>0</v>
      </c>
      <c r="H25" t="str">
        <f t="shared" si="3"/>
        <v>05323</v>
      </c>
      <c r="I25" t="s">
        <v>711</v>
      </c>
      <c r="J25">
        <f t="shared" si="4"/>
        <v>0</v>
      </c>
    </row>
    <row r="26" spans="1:10" x14ac:dyDescent="0.25">
      <c r="A26" s="43" t="s">
        <v>30</v>
      </c>
      <c r="B26">
        <f>IF(VLOOKUP(A26,'Enroll Data as of January 2025'!$A$3:$T$321,20,FALSE)&gt;0,0,VLOOKUP(A26,'Enroll Data as of January 2025'!$A$3:$T$321,20,FALSE))</f>
        <v>-1.07</v>
      </c>
      <c r="C26">
        <f>IF(B26&gt;0,0,ROUND(-B26*'2024-25 PSES Compliance'!$G$13,3))</f>
        <v>1.0269999999999999</v>
      </c>
      <c r="D26">
        <f t="shared" si="0"/>
        <v>4.3000000000000149E-2</v>
      </c>
      <c r="E26" t="str">
        <f t="shared" si="1"/>
        <v>05401</v>
      </c>
      <c r="F26" t="s">
        <v>710</v>
      </c>
      <c r="G26">
        <f t="shared" si="2"/>
        <v>1.0269999999999999</v>
      </c>
      <c r="H26" t="str">
        <f t="shared" si="3"/>
        <v>05401</v>
      </c>
      <c r="I26" t="s">
        <v>711</v>
      </c>
      <c r="J26">
        <f t="shared" si="4"/>
        <v>4.3000000000000149E-2</v>
      </c>
    </row>
    <row r="27" spans="1:10" x14ac:dyDescent="0.25">
      <c r="A27" s="43" t="s">
        <v>31</v>
      </c>
      <c r="B27">
        <f>IF(VLOOKUP(A27,'Enroll Data as of January 2025'!$A$3:$T$321,20,FALSE)&gt;0,0,VLOOKUP(A27,'Enroll Data as of January 2025'!$A$3:$T$321,20,FALSE))</f>
        <v>0</v>
      </c>
      <c r="C27">
        <f>IF(B27&gt;0,0,ROUND(-B27*'2024-25 PSES Compliance'!$G$13,3))</f>
        <v>0</v>
      </c>
      <c r="D27">
        <f t="shared" si="0"/>
        <v>0</v>
      </c>
      <c r="E27" t="str">
        <f t="shared" si="1"/>
        <v>05402</v>
      </c>
      <c r="F27" t="s">
        <v>710</v>
      </c>
      <c r="G27">
        <f t="shared" si="2"/>
        <v>0</v>
      </c>
      <c r="H27" t="str">
        <f t="shared" si="3"/>
        <v>05402</v>
      </c>
      <c r="I27" t="s">
        <v>711</v>
      </c>
      <c r="J27">
        <f t="shared" si="4"/>
        <v>0</v>
      </c>
    </row>
    <row r="28" spans="1:10" x14ac:dyDescent="0.25">
      <c r="A28" s="43" t="s">
        <v>613</v>
      </c>
      <c r="B28">
        <f>IF(VLOOKUP(A28,'Enroll Data as of January 2025'!$A$3:$T$321,20,FALSE)&gt;0,0,VLOOKUP(A28,'Enroll Data as of January 2025'!$A$3:$T$321,20,FALSE))</f>
        <v>0</v>
      </c>
      <c r="C28">
        <f>IF(B28&gt;0,0,ROUND(-B28*'2024-25 PSES Compliance'!$G$13,3))</f>
        <v>0</v>
      </c>
      <c r="D28">
        <f t="shared" si="0"/>
        <v>0</v>
      </c>
      <c r="E28" t="str">
        <f t="shared" si="1"/>
        <v>05903</v>
      </c>
      <c r="F28" t="s">
        <v>710</v>
      </c>
      <c r="G28">
        <f t="shared" si="2"/>
        <v>0</v>
      </c>
      <c r="H28" t="str">
        <f t="shared" si="3"/>
        <v>05903</v>
      </c>
      <c r="I28" t="s">
        <v>711</v>
      </c>
      <c r="J28">
        <f t="shared" si="4"/>
        <v>0</v>
      </c>
    </row>
    <row r="29" spans="1:10" x14ac:dyDescent="0.25">
      <c r="A29" t="s">
        <v>32</v>
      </c>
      <c r="B29">
        <f>IF(VLOOKUP(A29,'Enroll Data as of January 2025'!$A$3:$T$321,20,FALSE)&gt;0,0,VLOOKUP(A29,'Enroll Data as of January 2025'!$A$3:$T$321,20,FALSE))</f>
        <v>0</v>
      </c>
      <c r="C29">
        <f>IF(B29&gt;0,0,ROUND(-B29*'2024-25 PSES Compliance'!$G$13,3))</f>
        <v>0</v>
      </c>
      <c r="D29">
        <f t="shared" si="0"/>
        <v>0</v>
      </c>
      <c r="E29" t="str">
        <f t="shared" si="1"/>
        <v>06037</v>
      </c>
      <c r="F29" t="s">
        <v>710</v>
      </c>
      <c r="G29">
        <f t="shared" si="2"/>
        <v>0</v>
      </c>
      <c r="H29" t="str">
        <f t="shared" si="3"/>
        <v>06037</v>
      </c>
      <c r="I29" t="s">
        <v>711</v>
      </c>
      <c r="J29">
        <f t="shared" si="4"/>
        <v>0</v>
      </c>
    </row>
    <row r="30" spans="1:10" x14ac:dyDescent="0.25">
      <c r="A30" s="43" t="s">
        <v>33</v>
      </c>
      <c r="B30">
        <f>IF(VLOOKUP(A30,'Enroll Data as of January 2025'!$A$3:$T$321,20,FALSE)&gt;0,0,VLOOKUP(A30,'Enroll Data as of January 2025'!$A$3:$T$321,20,FALSE))</f>
        <v>-3.2570000000000001</v>
      </c>
      <c r="C30">
        <f>IF(B30&gt;0,0,ROUND(-B30*'2024-25 PSES Compliance'!$G$13,3))</f>
        <v>3.1269999999999998</v>
      </c>
      <c r="D30">
        <f t="shared" si="0"/>
        <v>0.13000000000000034</v>
      </c>
      <c r="E30" t="str">
        <f t="shared" si="1"/>
        <v>06098</v>
      </c>
      <c r="F30" t="s">
        <v>710</v>
      </c>
      <c r="G30">
        <f t="shared" si="2"/>
        <v>3.1269999999999998</v>
      </c>
      <c r="H30" t="str">
        <f t="shared" si="3"/>
        <v>06098</v>
      </c>
      <c r="I30" t="s">
        <v>711</v>
      </c>
      <c r="J30">
        <f t="shared" si="4"/>
        <v>0.13000000000000034</v>
      </c>
    </row>
    <row r="31" spans="1:10" x14ac:dyDescent="0.25">
      <c r="A31" s="43" t="s">
        <v>34</v>
      </c>
      <c r="B31">
        <f>IF(VLOOKUP(A31,'Enroll Data as of January 2025'!$A$3:$T$321,20,FALSE)&gt;0,0,VLOOKUP(A31,'Enroll Data as of January 2025'!$A$3:$T$321,20,FALSE))</f>
        <v>-1.4430000000000001</v>
      </c>
      <c r="C31">
        <f>IF(B31&gt;0,0,ROUND(-B31*'2024-25 PSES Compliance'!$G$13,3))</f>
        <v>1.385</v>
      </c>
      <c r="D31">
        <f t="shared" si="0"/>
        <v>5.8000000000000052E-2</v>
      </c>
      <c r="E31" t="str">
        <f t="shared" si="1"/>
        <v>06101</v>
      </c>
      <c r="F31" t="s">
        <v>710</v>
      </c>
      <c r="G31">
        <f t="shared" si="2"/>
        <v>1.385</v>
      </c>
      <c r="H31" t="str">
        <f t="shared" si="3"/>
        <v>06101</v>
      </c>
      <c r="I31" t="s">
        <v>711</v>
      </c>
      <c r="J31">
        <f t="shared" si="4"/>
        <v>5.8000000000000052E-2</v>
      </c>
    </row>
    <row r="32" spans="1:10" x14ac:dyDescent="0.25">
      <c r="A32" s="43" t="s">
        <v>35</v>
      </c>
      <c r="B32">
        <f>IF(VLOOKUP(A32,'Enroll Data as of January 2025'!$A$3:$T$321,20,FALSE)&gt;0,0,VLOOKUP(A32,'Enroll Data as of January 2025'!$A$3:$T$321,20,FALSE))</f>
        <v>0</v>
      </c>
      <c r="C32">
        <f>IF(B32&gt;0,0,ROUND(-B32*'2024-25 PSES Compliance'!$G$13,3))</f>
        <v>0</v>
      </c>
      <c r="D32">
        <f t="shared" si="0"/>
        <v>0</v>
      </c>
      <c r="E32" t="str">
        <f t="shared" si="1"/>
        <v>06103</v>
      </c>
      <c r="F32" t="s">
        <v>710</v>
      </c>
      <c r="G32">
        <f t="shared" si="2"/>
        <v>0</v>
      </c>
      <c r="H32" t="str">
        <f t="shared" si="3"/>
        <v>06103</v>
      </c>
      <c r="I32" t="s">
        <v>711</v>
      </c>
      <c r="J32">
        <f t="shared" si="4"/>
        <v>0</v>
      </c>
    </row>
    <row r="33" spans="1:10" x14ac:dyDescent="0.25">
      <c r="A33" s="43" t="s">
        <v>36</v>
      </c>
      <c r="B33">
        <f>IF(VLOOKUP(A33,'Enroll Data as of January 2025'!$A$3:$T$321,20,FALSE)&gt;0,0,VLOOKUP(A33,'Enroll Data as of January 2025'!$A$3:$T$321,20,FALSE))</f>
        <v>0</v>
      </c>
      <c r="C33">
        <f>IF(B33&gt;0,0,ROUND(-B33*'2024-25 PSES Compliance'!$G$13,3))</f>
        <v>0</v>
      </c>
      <c r="D33">
        <f t="shared" si="0"/>
        <v>0</v>
      </c>
      <c r="E33" t="str">
        <f t="shared" si="1"/>
        <v>06112</v>
      </c>
      <c r="F33" t="s">
        <v>710</v>
      </c>
      <c r="G33">
        <f t="shared" si="2"/>
        <v>0</v>
      </c>
      <c r="H33" t="str">
        <f t="shared" si="3"/>
        <v>06112</v>
      </c>
      <c r="I33" t="s">
        <v>711</v>
      </c>
      <c r="J33">
        <f t="shared" si="4"/>
        <v>0</v>
      </c>
    </row>
    <row r="34" spans="1:10" x14ac:dyDescent="0.25">
      <c r="A34" s="43" t="s">
        <v>37</v>
      </c>
      <c r="B34">
        <f>IF(VLOOKUP(A34,'Enroll Data as of January 2025'!$A$3:$T$321,20,FALSE)&gt;0,0,VLOOKUP(A34,'Enroll Data as of January 2025'!$A$3:$T$321,20,FALSE))</f>
        <v>0</v>
      </c>
      <c r="C34">
        <f>IF(B34&gt;0,0,ROUND(-B34*'2024-25 PSES Compliance'!$G$13,3))</f>
        <v>0</v>
      </c>
      <c r="D34">
        <f t="shared" si="0"/>
        <v>0</v>
      </c>
      <c r="E34" t="str">
        <f t="shared" si="1"/>
        <v>06114</v>
      </c>
      <c r="F34" t="s">
        <v>710</v>
      </c>
      <c r="G34">
        <f t="shared" si="2"/>
        <v>0</v>
      </c>
      <c r="H34" t="str">
        <f t="shared" si="3"/>
        <v>06114</v>
      </c>
      <c r="I34" t="s">
        <v>711</v>
      </c>
      <c r="J34">
        <f t="shared" si="4"/>
        <v>0</v>
      </c>
    </row>
    <row r="35" spans="1:10" x14ac:dyDescent="0.25">
      <c r="A35" s="43" t="s">
        <v>38</v>
      </c>
      <c r="B35">
        <f>IF(VLOOKUP(A35,'Enroll Data as of January 2025'!$A$3:$T$321,20,FALSE)&gt;0,0,VLOOKUP(A35,'Enroll Data as of January 2025'!$A$3:$T$321,20,FALSE))</f>
        <v>0</v>
      </c>
      <c r="C35">
        <f>IF(B35&gt;0,0,ROUND(-B35*'2024-25 PSES Compliance'!$G$13,3))</f>
        <v>0</v>
      </c>
      <c r="D35">
        <f t="shared" si="0"/>
        <v>0</v>
      </c>
      <c r="E35" t="str">
        <f t="shared" si="1"/>
        <v>06117</v>
      </c>
      <c r="F35" t="s">
        <v>710</v>
      </c>
      <c r="G35">
        <f t="shared" si="2"/>
        <v>0</v>
      </c>
      <c r="H35" t="str">
        <f t="shared" si="3"/>
        <v>06117</v>
      </c>
      <c r="I35" t="s">
        <v>711</v>
      </c>
      <c r="J35">
        <f t="shared" si="4"/>
        <v>0</v>
      </c>
    </row>
    <row r="36" spans="1:10" x14ac:dyDescent="0.25">
      <c r="A36" s="43" t="s">
        <v>39</v>
      </c>
      <c r="B36">
        <f>IF(VLOOKUP(A36,'Enroll Data as of January 2025'!$A$3:$T$321,20,FALSE)&gt;0,0,VLOOKUP(A36,'Enroll Data as of January 2025'!$A$3:$T$321,20,FALSE))</f>
        <v>0</v>
      </c>
      <c r="C36">
        <f>IF(B36&gt;0,0,ROUND(-B36*'2024-25 PSES Compliance'!$G$13,3))</f>
        <v>0</v>
      </c>
      <c r="D36">
        <f t="shared" si="0"/>
        <v>0</v>
      </c>
      <c r="E36" t="str">
        <f t="shared" si="1"/>
        <v>06119</v>
      </c>
      <c r="F36" t="s">
        <v>710</v>
      </c>
      <c r="G36">
        <f t="shared" si="2"/>
        <v>0</v>
      </c>
      <c r="H36" t="str">
        <f t="shared" si="3"/>
        <v>06119</v>
      </c>
      <c r="I36" t="s">
        <v>711</v>
      </c>
      <c r="J36">
        <f t="shared" si="4"/>
        <v>0</v>
      </c>
    </row>
    <row r="37" spans="1:10" x14ac:dyDescent="0.25">
      <c r="A37" s="43" t="s">
        <v>40</v>
      </c>
      <c r="B37">
        <f>IF(VLOOKUP(A37,'Enroll Data as of January 2025'!$A$3:$T$321,20,FALSE)&gt;0,0,VLOOKUP(A37,'Enroll Data as of January 2025'!$A$3:$T$321,20,FALSE))</f>
        <v>0</v>
      </c>
      <c r="C37">
        <f>IF(B37&gt;0,0,ROUND(-B37*'2024-25 PSES Compliance'!$G$13,3))</f>
        <v>0</v>
      </c>
      <c r="D37">
        <f t="shared" si="0"/>
        <v>0</v>
      </c>
      <c r="E37" t="str">
        <f t="shared" si="1"/>
        <v>06122</v>
      </c>
      <c r="F37" t="s">
        <v>710</v>
      </c>
      <c r="G37">
        <f t="shared" si="2"/>
        <v>0</v>
      </c>
      <c r="H37" t="str">
        <f t="shared" si="3"/>
        <v>06122</v>
      </c>
      <c r="I37" t="s">
        <v>711</v>
      </c>
      <c r="J37">
        <f t="shared" si="4"/>
        <v>0</v>
      </c>
    </row>
    <row r="38" spans="1:10" x14ac:dyDescent="0.25">
      <c r="A38" s="43" t="s">
        <v>1106</v>
      </c>
      <c r="B38">
        <f>IF(VLOOKUP(A38,'Enroll Data as of January 2025'!$A$3:$T$321,20,FALSE)&gt;0,0,VLOOKUP(A38,'Enroll Data as of January 2025'!$A$3:$T$321,20,FALSE))</f>
        <v>-0.32800000000000001</v>
      </c>
      <c r="C38">
        <f>IF(B38&gt;0,0,ROUND(-B38*'2024-25 PSES Compliance'!$G$13,3))</f>
        <v>0.315</v>
      </c>
      <c r="D38">
        <f t="shared" si="0"/>
        <v>1.3000000000000012E-2</v>
      </c>
      <c r="E38" t="str">
        <f t="shared" si="1"/>
        <v>06901</v>
      </c>
      <c r="F38" t="s">
        <v>710</v>
      </c>
      <c r="G38">
        <f t="shared" si="2"/>
        <v>0.315</v>
      </c>
      <c r="H38" t="str">
        <f t="shared" si="3"/>
        <v>06901</v>
      </c>
      <c r="I38" t="s">
        <v>711</v>
      </c>
      <c r="J38">
        <f t="shared" si="4"/>
        <v>1.3000000000000012E-2</v>
      </c>
    </row>
    <row r="39" spans="1:10" x14ac:dyDescent="0.25">
      <c r="A39" s="43" t="s">
        <v>41</v>
      </c>
      <c r="B39">
        <f>IF(VLOOKUP(A39,'Enroll Data as of January 2025'!$A$3:$T$321,20,FALSE)&gt;0,0,VLOOKUP(A39,'Enroll Data as of January 2025'!$A$3:$T$321,20,FALSE))</f>
        <v>-0.22</v>
      </c>
      <c r="C39">
        <f>IF(B39&gt;0,0,ROUND(-B39*'2024-25 PSES Compliance'!$G$13,3))</f>
        <v>0.21099999999999999</v>
      </c>
      <c r="D39">
        <f t="shared" si="0"/>
        <v>9.000000000000008E-3</v>
      </c>
      <c r="E39" t="str">
        <f t="shared" si="1"/>
        <v>07002</v>
      </c>
      <c r="F39" t="s">
        <v>710</v>
      </c>
      <c r="G39">
        <f t="shared" si="2"/>
        <v>0.21099999999999999</v>
      </c>
      <c r="H39" t="str">
        <f t="shared" si="3"/>
        <v>07002</v>
      </c>
      <c r="I39" t="s">
        <v>711</v>
      </c>
      <c r="J39">
        <f t="shared" si="4"/>
        <v>9.000000000000008E-3</v>
      </c>
    </row>
    <row r="40" spans="1:10" x14ac:dyDescent="0.25">
      <c r="A40" s="43" t="s">
        <v>42</v>
      </c>
      <c r="B40">
        <f>IF(VLOOKUP(A40,'Enroll Data as of January 2025'!$A$3:$T$321,20,FALSE)&gt;0,0,VLOOKUP(A40,'Enroll Data as of January 2025'!$A$3:$T$321,20,FALSE))</f>
        <v>-0.121</v>
      </c>
      <c r="C40">
        <f>IF(B40&gt;0,0,ROUND(-B40*'2024-25 PSES Compliance'!$G$13,3))</f>
        <v>0.11600000000000001</v>
      </c>
      <c r="D40">
        <f t="shared" si="0"/>
        <v>4.9999999999999906E-3</v>
      </c>
      <c r="E40" t="str">
        <f t="shared" si="1"/>
        <v>07035</v>
      </c>
      <c r="F40" t="s">
        <v>710</v>
      </c>
      <c r="G40">
        <f t="shared" si="2"/>
        <v>0.11600000000000001</v>
      </c>
      <c r="H40" t="str">
        <f t="shared" si="3"/>
        <v>07035</v>
      </c>
      <c r="I40" t="s">
        <v>711</v>
      </c>
      <c r="J40">
        <f t="shared" si="4"/>
        <v>4.9999999999999906E-3</v>
      </c>
    </row>
    <row r="41" spans="1:10" x14ac:dyDescent="0.25">
      <c r="A41" s="43" t="s">
        <v>43</v>
      </c>
      <c r="B41">
        <f>IF(VLOOKUP(A41,'Enroll Data as of January 2025'!$A$3:$T$321,20,FALSE)&gt;0,0,VLOOKUP(A41,'Enroll Data as of January 2025'!$A$3:$T$321,20,FALSE))</f>
        <v>0</v>
      </c>
      <c r="C41">
        <f>IF(B41&gt;0,0,ROUND(-B41*'2024-25 PSES Compliance'!$G$13,3))</f>
        <v>0</v>
      </c>
      <c r="D41">
        <f t="shared" si="0"/>
        <v>0</v>
      </c>
      <c r="E41" t="str">
        <f t="shared" si="1"/>
        <v>08122</v>
      </c>
      <c r="F41" t="s">
        <v>710</v>
      </c>
      <c r="G41">
        <f t="shared" si="2"/>
        <v>0</v>
      </c>
      <c r="H41" t="str">
        <f t="shared" si="3"/>
        <v>08122</v>
      </c>
      <c r="I41" t="s">
        <v>711</v>
      </c>
      <c r="J41">
        <f t="shared" si="4"/>
        <v>0</v>
      </c>
    </row>
    <row r="42" spans="1:10" x14ac:dyDescent="0.25">
      <c r="A42" s="43" t="s">
        <v>44</v>
      </c>
      <c r="B42">
        <f>IF(VLOOKUP(A42,'Enroll Data as of January 2025'!$A$3:$T$321,20,FALSE)&gt;0,0,VLOOKUP(A42,'Enroll Data as of January 2025'!$A$3:$T$321,20,FALSE))</f>
        <v>-0.112</v>
      </c>
      <c r="C42">
        <f>IF(B42&gt;0,0,ROUND(-B42*'2024-25 PSES Compliance'!$G$13,3))</f>
        <v>0.108</v>
      </c>
      <c r="D42">
        <f t="shared" si="0"/>
        <v>4.0000000000000036E-3</v>
      </c>
      <c r="E42" t="str">
        <f t="shared" si="1"/>
        <v>08130</v>
      </c>
      <c r="F42" t="s">
        <v>710</v>
      </c>
      <c r="G42">
        <f t="shared" si="2"/>
        <v>0.108</v>
      </c>
      <c r="H42" t="str">
        <f t="shared" si="3"/>
        <v>08130</v>
      </c>
      <c r="I42" t="s">
        <v>711</v>
      </c>
      <c r="J42">
        <f t="shared" si="4"/>
        <v>4.0000000000000036E-3</v>
      </c>
    </row>
    <row r="43" spans="1:10" x14ac:dyDescent="0.25">
      <c r="A43" s="43" t="s">
        <v>45</v>
      </c>
      <c r="B43">
        <f>IF(VLOOKUP(A43,'Enroll Data as of January 2025'!$A$3:$T$321,20,FALSE)&gt;0,0,VLOOKUP(A43,'Enroll Data as of January 2025'!$A$3:$T$321,20,FALSE))</f>
        <v>0</v>
      </c>
      <c r="C43">
        <f>IF(B43&gt;0,0,ROUND(-B43*'2024-25 PSES Compliance'!$G$13,3))</f>
        <v>0</v>
      </c>
      <c r="D43">
        <f t="shared" si="0"/>
        <v>0</v>
      </c>
      <c r="E43" t="str">
        <f t="shared" si="1"/>
        <v>08401</v>
      </c>
      <c r="F43" t="s">
        <v>710</v>
      </c>
      <c r="G43">
        <f t="shared" si="2"/>
        <v>0</v>
      </c>
      <c r="H43" t="str">
        <f t="shared" si="3"/>
        <v>08401</v>
      </c>
      <c r="I43" t="s">
        <v>711</v>
      </c>
      <c r="J43">
        <f t="shared" si="4"/>
        <v>0</v>
      </c>
    </row>
    <row r="44" spans="1:10" x14ac:dyDescent="0.25">
      <c r="A44" s="43" t="s">
        <v>46</v>
      </c>
      <c r="B44">
        <f>IF(VLOOKUP(A44,'Enroll Data as of January 2025'!$A$3:$T$321,20,FALSE)&gt;0,0,VLOOKUP(A44,'Enroll Data as of January 2025'!$A$3:$T$321,20,FALSE))</f>
        <v>0</v>
      </c>
      <c r="C44">
        <f>IF(B44&gt;0,0,ROUND(-B44*'2024-25 PSES Compliance'!$G$13,3))</f>
        <v>0</v>
      </c>
      <c r="D44">
        <f t="shared" si="0"/>
        <v>0</v>
      </c>
      <c r="E44" t="str">
        <f t="shared" si="1"/>
        <v>08402</v>
      </c>
      <c r="F44" t="s">
        <v>710</v>
      </c>
      <c r="G44">
        <f t="shared" si="2"/>
        <v>0</v>
      </c>
      <c r="H44" t="str">
        <f t="shared" si="3"/>
        <v>08402</v>
      </c>
      <c r="I44" t="s">
        <v>711</v>
      </c>
      <c r="J44">
        <f t="shared" si="4"/>
        <v>0</v>
      </c>
    </row>
    <row r="45" spans="1:10" x14ac:dyDescent="0.25">
      <c r="A45" s="43" t="s">
        <v>47</v>
      </c>
      <c r="B45">
        <f>IF(VLOOKUP(A45,'Enroll Data as of January 2025'!$A$3:$T$321,20,FALSE)&gt;0,0,VLOOKUP(A45,'Enroll Data as of January 2025'!$A$3:$T$321,20,FALSE))</f>
        <v>-2.7839999999999998</v>
      </c>
      <c r="C45">
        <f>IF(B45&gt;0,0,ROUND(-B45*'2024-25 PSES Compliance'!$G$13,3))</f>
        <v>2.673</v>
      </c>
      <c r="D45">
        <f t="shared" si="0"/>
        <v>0.11099999999999977</v>
      </c>
      <c r="E45" t="str">
        <f t="shared" si="1"/>
        <v>08404</v>
      </c>
      <c r="F45" t="s">
        <v>710</v>
      </c>
      <c r="G45">
        <f t="shared" si="2"/>
        <v>2.673</v>
      </c>
      <c r="H45" t="str">
        <f t="shared" si="3"/>
        <v>08404</v>
      </c>
      <c r="I45" t="s">
        <v>711</v>
      </c>
      <c r="J45">
        <f t="shared" si="4"/>
        <v>0.11099999999999977</v>
      </c>
    </row>
    <row r="46" spans="1:10" x14ac:dyDescent="0.25">
      <c r="A46" s="43" t="s">
        <v>48</v>
      </c>
      <c r="B46">
        <f>IF(VLOOKUP(A46,'Enroll Data as of January 2025'!$A$3:$T$321,20,FALSE)&gt;0,0,VLOOKUP(A46,'Enroll Data as of January 2025'!$A$3:$T$321,20,FALSE))</f>
        <v>0</v>
      </c>
      <c r="C46">
        <f>IF(B46&gt;0,0,ROUND(-B46*'2024-25 PSES Compliance'!$G$13,3))</f>
        <v>0</v>
      </c>
      <c r="D46">
        <f t="shared" si="0"/>
        <v>0</v>
      </c>
      <c r="E46" t="str">
        <f t="shared" si="1"/>
        <v>08458</v>
      </c>
      <c r="F46" t="s">
        <v>710</v>
      </c>
      <c r="G46">
        <f t="shared" si="2"/>
        <v>0</v>
      </c>
      <c r="H46" t="str">
        <f t="shared" si="3"/>
        <v>08458</v>
      </c>
      <c r="I46" t="s">
        <v>711</v>
      </c>
      <c r="J46">
        <f t="shared" si="4"/>
        <v>0</v>
      </c>
    </row>
    <row r="47" spans="1:10" x14ac:dyDescent="0.25">
      <c r="A47" s="43" t="s">
        <v>49</v>
      </c>
      <c r="B47">
        <f>IF(VLOOKUP(A47,'Enroll Data as of January 2025'!$A$3:$T$321,20,FALSE)&gt;0,0,VLOOKUP(A47,'Enroll Data as of January 2025'!$A$3:$T$321,20,FALSE))</f>
        <v>-0.44</v>
      </c>
      <c r="C47">
        <f>IF(B47&gt;0,0,ROUND(-B47*'2024-25 PSES Compliance'!$G$13,3))</f>
        <v>0.42199999999999999</v>
      </c>
      <c r="D47">
        <f t="shared" si="0"/>
        <v>1.8000000000000016E-2</v>
      </c>
      <c r="E47" t="str">
        <f t="shared" si="1"/>
        <v>09013</v>
      </c>
      <c r="F47" t="s">
        <v>710</v>
      </c>
      <c r="G47">
        <f t="shared" si="2"/>
        <v>0.42199999999999999</v>
      </c>
      <c r="H47" t="str">
        <f t="shared" si="3"/>
        <v>09013</v>
      </c>
      <c r="I47" t="s">
        <v>711</v>
      </c>
      <c r="J47">
        <f t="shared" si="4"/>
        <v>1.8000000000000016E-2</v>
      </c>
    </row>
    <row r="48" spans="1:10" x14ac:dyDescent="0.25">
      <c r="A48" s="43" t="s">
        <v>50</v>
      </c>
      <c r="B48">
        <f>IF(VLOOKUP(A48,'Enroll Data as of January 2025'!$A$3:$T$321,20,FALSE)&gt;0,0,VLOOKUP(A48,'Enroll Data as of January 2025'!$A$3:$T$321,20,FALSE))</f>
        <v>-0.88100000000000001</v>
      </c>
      <c r="C48">
        <f>IF(B48&gt;0,0,ROUND(-B48*'2024-25 PSES Compliance'!$G$13,3))</f>
        <v>0.84599999999999997</v>
      </c>
      <c r="D48">
        <f t="shared" si="0"/>
        <v>3.5000000000000031E-2</v>
      </c>
      <c r="E48" t="str">
        <f t="shared" si="1"/>
        <v>09075</v>
      </c>
      <c r="F48" t="s">
        <v>710</v>
      </c>
      <c r="G48">
        <f t="shared" si="2"/>
        <v>0.84599999999999997</v>
      </c>
      <c r="H48" t="str">
        <f t="shared" si="3"/>
        <v>09075</v>
      </c>
      <c r="I48" t="s">
        <v>711</v>
      </c>
      <c r="J48">
        <f t="shared" si="4"/>
        <v>3.5000000000000031E-2</v>
      </c>
    </row>
    <row r="49" spans="1:10" x14ac:dyDescent="0.25">
      <c r="A49" s="43" t="s">
        <v>51</v>
      </c>
      <c r="B49">
        <f>IF(VLOOKUP(A49,'Enroll Data as of January 2025'!$A$3:$T$321,20,FALSE)&gt;0,0,VLOOKUP(A49,'Enroll Data as of January 2025'!$A$3:$T$321,20,FALSE))</f>
        <v>-7.3999999999999996E-2</v>
      </c>
      <c r="C49">
        <f>IF(B49&gt;0,0,ROUND(-B49*'2024-25 PSES Compliance'!$G$13,3))</f>
        <v>7.0999999999999994E-2</v>
      </c>
      <c r="D49">
        <f t="shared" si="0"/>
        <v>3.0000000000000027E-3</v>
      </c>
      <c r="E49" t="str">
        <f t="shared" si="1"/>
        <v>09102</v>
      </c>
      <c r="F49" t="s">
        <v>710</v>
      </c>
      <c r="G49">
        <f t="shared" si="2"/>
        <v>7.0999999999999994E-2</v>
      </c>
      <c r="H49" t="str">
        <f t="shared" si="3"/>
        <v>09102</v>
      </c>
      <c r="I49" t="s">
        <v>711</v>
      </c>
      <c r="J49">
        <f t="shared" si="4"/>
        <v>3.0000000000000027E-3</v>
      </c>
    </row>
    <row r="50" spans="1:10" x14ac:dyDescent="0.25">
      <c r="A50" s="43" t="s">
        <v>52</v>
      </c>
      <c r="B50">
        <f>IF(VLOOKUP(A50,'Enroll Data as of January 2025'!$A$3:$T$321,20,FALSE)&gt;0,0,VLOOKUP(A50,'Enroll Data as of January 2025'!$A$3:$T$321,20,FALSE))</f>
        <v>0</v>
      </c>
      <c r="C50">
        <f>IF(B50&gt;0,0,ROUND(-B50*'2024-25 PSES Compliance'!$G$13,3))</f>
        <v>0</v>
      </c>
      <c r="D50">
        <f t="shared" si="0"/>
        <v>0</v>
      </c>
      <c r="E50" t="str">
        <f t="shared" si="1"/>
        <v>09206</v>
      </c>
      <c r="F50" t="s">
        <v>710</v>
      </c>
      <c r="G50">
        <f t="shared" si="2"/>
        <v>0</v>
      </c>
      <c r="H50" t="str">
        <f t="shared" si="3"/>
        <v>09206</v>
      </c>
      <c r="I50" t="s">
        <v>711</v>
      </c>
      <c r="J50">
        <f t="shared" si="4"/>
        <v>0</v>
      </c>
    </row>
    <row r="51" spans="1:10" x14ac:dyDescent="0.25">
      <c r="A51" s="43" t="s">
        <v>53</v>
      </c>
      <c r="B51">
        <f>IF(VLOOKUP(A51,'Enroll Data as of January 2025'!$A$3:$T$321,20,FALSE)&gt;0,0,VLOOKUP(A51,'Enroll Data as of January 2025'!$A$3:$T$321,20,FALSE))</f>
        <v>0</v>
      </c>
      <c r="C51">
        <f>IF(B51&gt;0,0,ROUND(-B51*'2024-25 PSES Compliance'!$G$13,3))</f>
        <v>0</v>
      </c>
      <c r="D51">
        <f t="shared" si="0"/>
        <v>0</v>
      </c>
      <c r="E51" t="str">
        <f t="shared" si="1"/>
        <v>09207</v>
      </c>
      <c r="F51" t="s">
        <v>710</v>
      </c>
      <c r="G51">
        <f t="shared" si="2"/>
        <v>0</v>
      </c>
      <c r="H51" t="str">
        <f t="shared" si="3"/>
        <v>09207</v>
      </c>
      <c r="I51" t="s">
        <v>711</v>
      </c>
      <c r="J51">
        <f t="shared" si="4"/>
        <v>0</v>
      </c>
    </row>
    <row r="52" spans="1:10" x14ac:dyDescent="0.25">
      <c r="A52" s="43" t="s">
        <v>54</v>
      </c>
      <c r="B52">
        <f>IF(VLOOKUP(A52,'Enroll Data as of January 2025'!$A$3:$T$321,20,FALSE)&gt;0,0,VLOOKUP(A52,'Enroll Data as of January 2025'!$A$3:$T$321,20,FALSE))</f>
        <v>-0.17499999999999999</v>
      </c>
      <c r="C52">
        <f>IF(B52&gt;0,0,ROUND(-B52*'2024-25 PSES Compliance'!$G$13,3))</f>
        <v>0.16800000000000001</v>
      </c>
      <c r="D52">
        <f t="shared" si="0"/>
        <v>6.9999999999999785E-3</v>
      </c>
      <c r="E52" t="str">
        <f t="shared" si="1"/>
        <v>09209</v>
      </c>
      <c r="F52" t="s">
        <v>710</v>
      </c>
      <c r="G52">
        <f t="shared" si="2"/>
        <v>0.16800000000000001</v>
      </c>
      <c r="H52" t="str">
        <f t="shared" si="3"/>
        <v>09209</v>
      </c>
      <c r="I52" t="s">
        <v>711</v>
      </c>
      <c r="J52">
        <f t="shared" si="4"/>
        <v>6.9999999999999785E-3</v>
      </c>
    </row>
    <row r="53" spans="1:10" x14ac:dyDescent="0.25">
      <c r="A53" s="43" t="s">
        <v>55</v>
      </c>
      <c r="B53">
        <f>IF(VLOOKUP(A53,'Enroll Data as of January 2025'!$A$3:$T$321,20,FALSE)&gt;0,0,VLOOKUP(A53,'Enroll Data as of January 2025'!$A$3:$T$321,20,FALSE))</f>
        <v>0</v>
      </c>
      <c r="C53">
        <f>IF(B53&gt;0,0,ROUND(-B53*'2024-25 PSES Compliance'!$G$13,3))</f>
        <v>0</v>
      </c>
      <c r="D53">
        <f t="shared" si="0"/>
        <v>0</v>
      </c>
      <c r="E53" t="str">
        <f t="shared" si="1"/>
        <v>10003</v>
      </c>
      <c r="F53" t="s">
        <v>710</v>
      </c>
      <c r="G53">
        <f t="shared" si="2"/>
        <v>0</v>
      </c>
      <c r="H53" t="str">
        <f t="shared" si="3"/>
        <v>10003</v>
      </c>
      <c r="I53" t="s">
        <v>711</v>
      </c>
      <c r="J53">
        <f t="shared" si="4"/>
        <v>0</v>
      </c>
    </row>
    <row r="54" spans="1:10" x14ac:dyDescent="0.25">
      <c r="A54" s="43" t="s">
        <v>56</v>
      </c>
      <c r="B54">
        <f>IF(VLOOKUP(A54,'Enroll Data as of January 2025'!$A$3:$T$321,20,FALSE)&gt;0,0,VLOOKUP(A54,'Enroll Data as of January 2025'!$A$3:$T$321,20,FALSE))</f>
        <v>-0.621</v>
      </c>
      <c r="C54">
        <f>IF(B54&gt;0,0,ROUND(-B54*'2024-25 PSES Compliance'!$G$13,3))</f>
        <v>0.59599999999999997</v>
      </c>
      <c r="D54">
        <f t="shared" si="0"/>
        <v>2.5000000000000022E-2</v>
      </c>
      <c r="E54" t="str">
        <f t="shared" si="1"/>
        <v>10050</v>
      </c>
      <c r="F54" t="s">
        <v>710</v>
      </c>
      <c r="G54">
        <f t="shared" si="2"/>
        <v>0.59599999999999997</v>
      </c>
      <c r="H54" t="str">
        <f t="shared" si="3"/>
        <v>10050</v>
      </c>
      <c r="I54" t="s">
        <v>711</v>
      </c>
      <c r="J54">
        <f t="shared" si="4"/>
        <v>2.5000000000000022E-2</v>
      </c>
    </row>
    <row r="55" spans="1:10" x14ac:dyDescent="0.25">
      <c r="A55" s="43" t="s">
        <v>57</v>
      </c>
      <c r="B55">
        <f>IF(VLOOKUP(A55,'Enroll Data as of January 2025'!$A$3:$T$321,20,FALSE)&gt;0,0,VLOOKUP(A55,'Enroll Data as of January 2025'!$A$3:$T$321,20,FALSE))</f>
        <v>-0.11899999999999999</v>
      </c>
      <c r="C55">
        <f>IF(B55&gt;0,0,ROUND(-B55*'2024-25 PSES Compliance'!$G$13,3))</f>
        <v>0.114</v>
      </c>
      <c r="D55">
        <f t="shared" si="0"/>
        <v>4.9999999999999906E-3</v>
      </c>
      <c r="E55" t="str">
        <f t="shared" si="1"/>
        <v>10065</v>
      </c>
      <c r="F55" t="s">
        <v>710</v>
      </c>
      <c r="G55">
        <f t="shared" si="2"/>
        <v>0.114</v>
      </c>
      <c r="H55" t="str">
        <f t="shared" si="3"/>
        <v>10065</v>
      </c>
      <c r="I55" t="s">
        <v>711</v>
      </c>
      <c r="J55">
        <f t="shared" si="4"/>
        <v>4.9999999999999906E-3</v>
      </c>
    </row>
    <row r="56" spans="1:10" x14ac:dyDescent="0.25">
      <c r="A56" s="43" t="s">
        <v>58</v>
      </c>
      <c r="B56">
        <f>IF(VLOOKUP(A56,'Enroll Data as of January 2025'!$A$3:$T$321,20,FALSE)&gt;0,0,VLOOKUP(A56,'Enroll Data as of January 2025'!$A$3:$T$321,20,FALSE))</f>
        <v>0</v>
      </c>
      <c r="C56">
        <f>IF(B56&gt;0,0,ROUND(-B56*'2024-25 PSES Compliance'!$G$13,3))</f>
        <v>0</v>
      </c>
      <c r="D56">
        <f t="shared" si="0"/>
        <v>0</v>
      </c>
      <c r="E56" t="str">
        <f t="shared" si="1"/>
        <v>10070</v>
      </c>
      <c r="F56" t="s">
        <v>710</v>
      </c>
      <c r="G56">
        <f t="shared" si="2"/>
        <v>0</v>
      </c>
      <c r="H56" t="str">
        <f t="shared" si="3"/>
        <v>10070</v>
      </c>
      <c r="I56" t="s">
        <v>711</v>
      </c>
      <c r="J56">
        <f t="shared" si="4"/>
        <v>0</v>
      </c>
    </row>
    <row r="57" spans="1:10" x14ac:dyDescent="0.25">
      <c r="A57" s="43" t="s">
        <v>59</v>
      </c>
      <c r="B57">
        <f>IF(VLOOKUP(A57,'Enroll Data as of January 2025'!$A$3:$T$321,20,FALSE)&gt;0,0,VLOOKUP(A57,'Enroll Data as of January 2025'!$A$3:$T$321,20,FALSE))</f>
        <v>-0.76200000000000001</v>
      </c>
      <c r="C57">
        <f>IF(B57&gt;0,0,ROUND(-B57*'2024-25 PSES Compliance'!$G$13,3))</f>
        <v>0.73199999999999998</v>
      </c>
      <c r="D57">
        <f t="shared" si="0"/>
        <v>3.0000000000000027E-2</v>
      </c>
      <c r="E57" t="str">
        <f t="shared" si="1"/>
        <v>10309</v>
      </c>
      <c r="F57" t="s">
        <v>710</v>
      </c>
      <c r="G57">
        <f t="shared" si="2"/>
        <v>0.73199999999999998</v>
      </c>
      <c r="H57" t="str">
        <f t="shared" si="3"/>
        <v>10309</v>
      </c>
      <c r="I57" t="s">
        <v>711</v>
      </c>
      <c r="J57">
        <f t="shared" si="4"/>
        <v>3.0000000000000027E-2</v>
      </c>
    </row>
    <row r="58" spans="1:10" x14ac:dyDescent="0.25">
      <c r="A58" s="43" t="s">
        <v>60</v>
      </c>
      <c r="B58">
        <f>IF(VLOOKUP(A58,'Enroll Data as of January 2025'!$A$3:$T$321,20,FALSE)&gt;0,0,VLOOKUP(A58,'Enroll Data as of January 2025'!$A$3:$T$321,20,FALSE))</f>
        <v>0</v>
      </c>
      <c r="C58">
        <f>IF(B58&gt;0,0,ROUND(-B58*'2024-25 PSES Compliance'!$G$13,3))</f>
        <v>0</v>
      </c>
      <c r="D58">
        <f t="shared" si="0"/>
        <v>0</v>
      </c>
      <c r="E58" t="str">
        <f t="shared" si="1"/>
        <v>11001</v>
      </c>
      <c r="F58" t="s">
        <v>710</v>
      </c>
      <c r="G58">
        <f t="shared" si="2"/>
        <v>0</v>
      </c>
      <c r="H58" t="str">
        <f t="shared" si="3"/>
        <v>11001</v>
      </c>
      <c r="I58" t="s">
        <v>711</v>
      </c>
      <c r="J58">
        <f t="shared" si="4"/>
        <v>0</v>
      </c>
    </row>
    <row r="59" spans="1:10" x14ac:dyDescent="0.25">
      <c r="A59" s="43" t="s">
        <v>61</v>
      </c>
      <c r="B59">
        <f>IF(VLOOKUP(A59,'Enroll Data as of January 2025'!$A$3:$T$321,20,FALSE)&gt;0,0,VLOOKUP(A59,'Enroll Data as of January 2025'!$A$3:$T$321,20,FALSE))</f>
        <v>0</v>
      </c>
      <c r="C59">
        <f>IF(B59&gt;0,0,ROUND(-B59*'2024-25 PSES Compliance'!$G$13,3))</f>
        <v>0</v>
      </c>
      <c r="D59">
        <f t="shared" si="0"/>
        <v>0</v>
      </c>
      <c r="E59" t="str">
        <f t="shared" si="1"/>
        <v>11051</v>
      </c>
      <c r="F59" t="s">
        <v>710</v>
      </c>
      <c r="G59">
        <f t="shared" si="2"/>
        <v>0</v>
      </c>
      <c r="H59" t="str">
        <f t="shared" si="3"/>
        <v>11051</v>
      </c>
      <c r="I59" t="s">
        <v>711</v>
      </c>
      <c r="J59">
        <f t="shared" si="4"/>
        <v>0</v>
      </c>
    </row>
    <row r="60" spans="1:10" x14ac:dyDescent="0.25">
      <c r="A60" s="43" t="s">
        <v>62</v>
      </c>
      <c r="B60">
        <f>IF(VLOOKUP(A60,'Enroll Data as of January 2025'!$A$3:$T$321,20,FALSE)&gt;0,0,VLOOKUP(A60,'Enroll Data as of January 2025'!$A$3:$T$321,20,FALSE))</f>
        <v>-7.0000000000000007E-2</v>
      </c>
      <c r="C60">
        <f>IF(B60&gt;0,0,ROUND(-B60*'2024-25 PSES Compliance'!$G$13,3))</f>
        <v>6.7000000000000004E-2</v>
      </c>
      <c r="D60">
        <f t="shared" si="0"/>
        <v>3.0000000000000027E-3</v>
      </c>
      <c r="E60" t="str">
        <f t="shared" si="1"/>
        <v>11054</v>
      </c>
      <c r="F60" t="s">
        <v>710</v>
      </c>
      <c r="G60">
        <f t="shared" si="2"/>
        <v>6.7000000000000004E-2</v>
      </c>
      <c r="H60" t="str">
        <f t="shared" si="3"/>
        <v>11054</v>
      </c>
      <c r="I60" t="s">
        <v>711</v>
      </c>
      <c r="J60">
        <f t="shared" si="4"/>
        <v>3.0000000000000027E-3</v>
      </c>
    </row>
    <row r="61" spans="1:10" x14ac:dyDescent="0.25">
      <c r="A61" s="43" t="s">
        <v>63</v>
      </c>
      <c r="B61">
        <f>IF(VLOOKUP(A61,'Enroll Data as of January 2025'!$A$3:$T$321,20,FALSE)&gt;0,0,VLOOKUP(A61,'Enroll Data as of January 2025'!$A$3:$T$321,20,FALSE))</f>
        <v>0</v>
      </c>
      <c r="C61">
        <f>IF(B61&gt;0,0,ROUND(-B61*'2024-25 PSES Compliance'!$G$13,3))</f>
        <v>0</v>
      </c>
      <c r="D61">
        <f t="shared" si="0"/>
        <v>0</v>
      </c>
      <c r="E61" t="str">
        <f t="shared" si="1"/>
        <v>11056</v>
      </c>
      <c r="F61" t="s">
        <v>710</v>
      </c>
      <c r="G61">
        <f t="shared" si="2"/>
        <v>0</v>
      </c>
      <c r="H61" t="str">
        <f t="shared" si="3"/>
        <v>11056</v>
      </c>
      <c r="I61" t="s">
        <v>711</v>
      </c>
      <c r="J61">
        <f t="shared" si="4"/>
        <v>0</v>
      </c>
    </row>
    <row r="62" spans="1:10" x14ac:dyDescent="0.25">
      <c r="A62" s="43" t="s">
        <v>64</v>
      </c>
      <c r="B62">
        <f>IF(VLOOKUP(A62,'Enroll Data as of January 2025'!$A$3:$T$321,20,FALSE)&gt;0,0,VLOOKUP(A62,'Enroll Data as of January 2025'!$A$3:$T$321,20,FALSE))</f>
        <v>-0.33500000000000002</v>
      </c>
      <c r="C62">
        <f>IF(B62&gt;0,0,ROUND(-B62*'2024-25 PSES Compliance'!$G$13,3))</f>
        <v>0.32200000000000001</v>
      </c>
      <c r="D62">
        <f t="shared" si="0"/>
        <v>1.3000000000000012E-2</v>
      </c>
      <c r="E62" t="str">
        <f t="shared" si="1"/>
        <v>12110</v>
      </c>
      <c r="F62" t="s">
        <v>710</v>
      </c>
      <c r="G62">
        <f t="shared" si="2"/>
        <v>0.32200000000000001</v>
      </c>
      <c r="H62" t="str">
        <f t="shared" si="3"/>
        <v>12110</v>
      </c>
      <c r="I62" t="s">
        <v>711</v>
      </c>
      <c r="J62">
        <f t="shared" si="4"/>
        <v>1.3000000000000012E-2</v>
      </c>
    </row>
    <row r="63" spans="1:10" x14ac:dyDescent="0.25">
      <c r="A63" s="43" t="s">
        <v>65</v>
      </c>
      <c r="B63">
        <f>IF(VLOOKUP(A63,'Enroll Data as of January 2025'!$A$3:$T$321,20,FALSE)&gt;0,0,VLOOKUP(A63,'Enroll Data as of January 2025'!$A$3:$T$321,20,FALSE))</f>
        <v>0</v>
      </c>
      <c r="C63">
        <f>IF(B63&gt;0,0,ROUND(-B63*'2024-25 PSES Compliance'!$G$13,3))</f>
        <v>0</v>
      </c>
      <c r="D63">
        <f t="shared" si="0"/>
        <v>0</v>
      </c>
      <c r="E63" t="str">
        <f t="shared" si="1"/>
        <v>13073</v>
      </c>
      <c r="F63" t="s">
        <v>710</v>
      </c>
      <c r="G63">
        <f t="shared" si="2"/>
        <v>0</v>
      </c>
      <c r="H63" t="str">
        <f t="shared" si="3"/>
        <v>13073</v>
      </c>
      <c r="I63" t="s">
        <v>711</v>
      </c>
      <c r="J63">
        <f t="shared" si="4"/>
        <v>0</v>
      </c>
    </row>
    <row r="64" spans="1:10" x14ac:dyDescent="0.25">
      <c r="A64" s="43" t="s">
        <v>66</v>
      </c>
      <c r="B64">
        <f>IF(VLOOKUP(A64,'Enroll Data as of January 2025'!$A$3:$T$321,20,FALSE)&gt;0,0,VLOOKUP(A64,'Enroll Data as of January 2025'!$A$3:$T$321,20,FALSE))</f>
        <v>0</v>
      </c>
      <c r="C64">
        <f>IF(B64&gt;0,0,ROUND(-B64*'2024-25 PSES Compliance'!$G$13,3))</f>
        <v>0</v>
      </c>
      <c r="D64">
        <f t="shared" si="0"/>
        <v>0</v>
      </c>
      <c r="E64" t="str">
        <f t="shared" si="1"/>
        <v>13144</v>
      </c>
      <c r="F64" t="s">
        <v>710</v>
      </c>
      <c r="G64">
        <f t="shared" si="2"/>
        <v>0</v>
      </c>
      <c r="H64" t="str">
        <f t="shared" si="3"/>
        <v>13144</v>
      </c>
      <c r="I64" t="s">
        <v>711</v>
      </c>
      <c r="J64">
        <f t="shared" si="4"/>
        <v>0</v>
      </c>
    </row>
    <row r="65" spans="1:10" x14ac:dyDescent="0.25">
      <c r="A65" s="43" t="s">
        <v>67</v>
      </c>
      <c r="B65">
        <f>IF(VLOOKUP(A65,'Enroll Data as of January 2025'!$A$3:$T$321,20,FALSE)&gt;0,0,VLOOKUP(A65,'Enroll Data as of January 2025'!$A$3:$T$321,20,FALSE))</f>
        <v>-1.7030000000000001</v>
      </c>
      <c r="C65">
        <f>IF(B65&gt;0,0,ROUND(-B65*'2024-25 PSES Compliance'!$G$13,3))</f>
        <v>1.635</v>
      </c>
      <c r="D65">
        <f t="shared" si="0"/>
        <v>6.800000000000006E-2</v>
      </c>
      <c r="E65" t="str">
        <f t="shared" si="1"/>
        <v>13146</v>
      </c>
      <c r="F65" t="s">
        <v>710</v>
      </c>
      <c r="G65">
        <f t="shared" si="2"/>
        <v>1.635</v>
      </c>
      <c r="H65" t="str">
        <f t="shared" si="3"/>
        <v>13146</v>
      </c>
      <c r="I65" t="s">
        <v>711</v>
      </c>
      <c r="J65">
        <f t="shared" si="4"/>
        <v>6.800000000000006E-2</v>
      </c>
    </row>
    <row r="66" spans="1:10" x14ac:dyDescent="0.25">
      <c r="A66" s="43" t="s">
        <v>68</v>
      </c>
      <c r="B66">
        <f>IF(VLOOKUP(A66,'Enroll Data as of January 2025'!$A$3:$T$321,20,FALSE)&gt;0,0,VLOOKUP(A66,'Enroll Data as of January 2025'!$A$3:$T$321,20,FALSE))</f>
        <v>-0.34399999999999997</v>
      </c>
      <c r="C66">
        <f>IF(B66&gt;0,0,ROUND(-B66*'2024-25 PSES Compliance'!$G$13,3))</f>
        <v>0.33</v>
      </c>
      <c r="D66">
        <f t="shared" ref="D66:D129" si="5">IF(B66&gt;0,0,(-B66-C66))</f>
        <v>1.3999999999999957E-2</v>
      </c>
      <c r="E66" t="str">
        <f t="shared" ref="E66:E129" si="6">$A66</f>
        <v>13151</v>
      </c>
      <c r="F66" t="s">
        <v>710</v>
      </c>
      <c r="G66">
        <f t="shared" ref="G66:G129" si="7">C66</f>
        <v>0.33</v>
      </c>
      <c r="H66" t="str">
        <f t="shared" ref="H66:H129" si="8">$A66</f>
        <v>13151</v>
      </c>
      <c r="I66" t="s">
        <v>711</v>
      </c>
      <c r="J66">
        <f t="shared" ref="J66:J129" si="9">D66</f>
        <v>1.3999999999999957E-2</v>
      </c>
    </row>
    <row r="67" spans="1:10" x14ac:dyDescent="0.25">
      <c r="A67" s="43" t="s">
        <v>69</v>
      </c>
      <c r="B67">
        <f>IF(VLOOKUP(A67,'Enroll Data as of January 2025'!$A$3:$T$321,20,FALSE)&gt;0,0,VLOOKUP(A67,'Enroll Data as of January 2025'!$A$3:$T$321,20,FALSE))</f>
        <v>-0.98199999999999998</v>
      </c>
      <c r="C67">
        <f>IF(B67&gt;0,0,ROUND(-B67*'2024-25 PSES Compliance'!$G$13,3))</f>
        <v>0.94299999999999995</v>
      </c>
      <c r="D67">
        <f t="shared" si="5"/>
        <v>3.9000000000000035E-2</v>
      </c>
      <c r="E67" t="str">
        <f t="shared" si="6"/>
        <v>13156</v>
      </c>
      <c r="F67" t="s">
        <v>710</v>
      </c>
      <c r="G67">
        <f t="shared" si="7"/>
        <v>0.94299999999999995</v>
      </c>
      <c r="H67" t="str">
        <f t="shared" si="8"/>
        <v>13156</v>
      </c>
      <c r="I67" t="s">
        <v>711</v>
      </c>
      <c r="J67">
        <f t="shared" si="9"/>
        <v>3.9000000000000035E-2</v>
      </c>
    </row>
    <row r="68" spans="1:10" x14ac:dyDescent="0.25">
      <c r="A68" s="43" t="s">
        <v>70</v>
      </c>
      <c r="B68">
        <f>IF(VLOOKUP(A68,'Enroll Data as of January 2025'!$A$3:$T$321,20,FALSE)&gt;0,0,VLOOKUP(A68,'Enroll Data as of January 2025'!$A$3:$T$321,20,FALSE))</f>
        <v>-3.766</v>
      </c>
      <c r="C68">
        <f>IF(B68&gt;0,0,ROUND(-B68*'2024-25 PSES Compliance'!$G$13,3))</f>
        <v>3.6150000000000002</v>
      </c>
      <c r="D68">
        <f t="shared" si="5"/>
        <v>0.1509999999999998</v>
      </c>
      <c r="E68" t="str">
        <f t="shared" si="6"/>
        <v>13160</v>
      </c>
      <c r="F68" t="s">
        <v>710</v>
      </c>
      <c r="G68">
        <f t="shared" si="7"/>
        <v>3.6150000000000002</v>
      </c>
      <c r="H68" t="str">
        <f t="shared" si="8"/>
        <v>13160</v>
      </c>
      <c r="I68" t="s">
        <v>711</v>
      </c>
      <c r="J68">
        <f t="shared" si="9"/>
        <v>0.1509999999999998</v>
      </c>
    </row>
    <row r="69" spans="1:10" x14ac:dyDescent="0.25">
      <c r="A69" s="43" t="s">
        <v>71</v>
      </c>
      <c r="B69">
        <f>IF(VLOOKUP(A69,'Enroll Data as of January 2025'!$A$3:$T$321,20,FALSE)&gt;0,0,VLOOKUP(A69,'Enroll Data as of January 2025'!$A$3:$T$321,20,FALSE))</f>
        <v>0</v>
      </c>
      <c r="C69">
        <f>IF(B69&gt;0,0,ROUND(-B69*'2024-25 PSES Compliance'!$G$13,3))</f>
        <v>0</v>
      </c>
      <c r="D69">
        <f t="shared" si="5"/>
        <v>0</v>
      </c>
      <c r="E69" t="str">
        <f t="shared" si="6"/>
        <v>13161</v>
      </c>
      <c r="F69" t="s">
        <v>710</v>
      </c>
      <c r="G69">
        <f t="shared" si="7"/>
        <v>0</v>
      </c>
      <c r="H69" t="str">
        <f t="shared" si="8"/>
        <v>13161</v>
      </c>
      <c r="I69" t="s">
        <v>711</v>
      </c>
      <c r="J69">
        <f t="shared" si="9"/>
        <v>0</v>
      </c>
    </row>
    <row r="70" spans="1:10" x14ac:dyDescent="0.25">
      <c r="A70" s="43" t="s">
        <v>72</v>
      </c>
      <c r="B70">
        <f>IF(VLOOKUP(A70,'Enroll Data as of January 2025'!$A$3:$T$321,20,FALSE)&gt;0,0,VLOOKUP(A70,'Enroll Data as of January 2025'!$A$3:$T$321,20,FALSE))</f>
        <v>0</v>
      </c>
      <c r="C70">
        <f>IF(B70&gt;0,0,ROUND(-B70*'2024-25 PSES Compliance'!$G$13,3))</f>
        <v>0</v>
      </c>
      <c r="D70">
        <f t="shared" si="5"/>
        <v>0</v>
      </c>
      <c r="E70" t="str">
        <f t="shared" si="6"/>
        <v>13165</v>
      </c>
      <c r="F70" t="s">
        <v>710</v>
      </c>
      <c r="G70">
        <f t="shared" si="7"/>
        <v>0</v>
      </c>
      <c r="H70" t="str">
        <f t="shared" si="8"/>
        <v>13165</v>
      </c>
      <c r="I70" t="s">
        <v>711</v>
      </c>
      <c r="J70">
        <f t="shared" si="9"/>
        <v>0</v>
      </c>
    </row>
    <row r="71" spans="1:10" x14ac:dyDescent="0.25">
      <c r="A71" s="43" t="s">
        <v>73</v>
      </c>
      <c r="B71">
        <f>IF(VLOOKUP(A71,'Enroll Data as of January 2025'!$A$3:$T$321,20,FALSE)&gt;0,0,VLOOKUP(A71,'Enroll Data as of January 2025'!$A$3:$T$321,20,FALSE))</f>
        <v>-4.4999999999999998E-2</v>
      </c>
      <c r="C71">
        <f>IF(B71&gt;0,0,ROUND(-B71*'2024-25 PSES Compliance'!$G$13,3))</f>
        <v>4.2999999999999997E-2</v>
      </c>
      <c r="D71">
        <f t="shared" si="5"/>
        <v>2.0000000000000018E-3</v>
      </c>
      <c r="E71" t="str">
        <f t="shared" si="6"/>
        <v>13167</v>
      </c>
      <c r="F71" t="s">
        <v>710</v>
      </c>
      <c r="G71">
        <f t="shared" si="7"/>
        <v>4.2999999999999997E-2</v>
      </c>
      <c r="H71" t="str">
        <f t="shared" si="8"/>
        <v>13167</v>
      </c>
      <c r="I71" t="s">
        <v>711</v>
      </c>
      <c r="J71">
        <f t="shared" si="9"/>
        <v>2.0000000000000018E-3</v>
      </c>
    </row>
    <row r="72" spans="1:10" x14ac:dyDescent="0.25">
      <c r="A72" s="43" t="s">
        <v>74</v>
      </c>
      <c r="B72">
        <f>IF(VLOOKUP(A72,'Enroll Data as of January 2025'!$A$3:$T$321,20,FALSE)&gt;0,0,VLOOKUP(A72,'Enroll Data as of January 2025'!$A$3:$T$321,20,FALSE))</f>
        <v>-0.27500000000000002</v>
      </c>
      <c r="C72">
        <f>IF(B72&gt;0,0,ROUND(-B72*'2024-25 PSES Compliance'!$G$13,3))</f>
        <v>0.26400000000000001</v>
      </c>
      <c r="D72">
        <f t="shared" si="5"/>
        <v>1.100000000000001E-2</v>
      </c>
      <c r="E72" t="str">
        <f t="shared" si="6"/>
        <v>13301</v>
      </c>
      <c r="F72" t="s">
        <v>710</v>
      </c>
      <c r="G72">
        <f t="shared" si="7"/>
        <v>0.26400000000000001</v>
      </c>
      <c r="H72" t="str">
        <f t="shared" si="8"/>
        <v>13301</v>
      </c>
      <c r="I72" t="s">
        <v>711</v>
      </c>
      <c r="J72">
        <f t="shared" si="9"/>
        <v>1.100000000000001E-2</v>
      </c>
    </row>
    <row r="73" spans="1:10" x14ac:dyDescent="0.25">
      <c r="A73" s="43" t="s">
        <v>75</v>
      </c>
      <c r="B73">
        <f>IF(VLOOKUP(A73,'Enroll Data as of January 2025'!$A$3:$T$321,20,FALSE)&gt;0,0,VLOOKUP(A73,'Enroll Data as of January 2025'!$A$3:$T$321,20,FALSE))</f>
        <v>0</v>
      </c>
      <c r="C73">
        <f>IF(B73&gt;0,0,ROUND(-B73*'2024-25 PSES Compliance'!$G$13,3))</f>
        <v>0</v>
      </c>
      <c r="D73">
        <f t="shared" si="5"/>
        <v>0</v>
      </c>
      <c r="E73" t="str">
        <f t="shared" si="6"/>
        <v>14005</v>
      </c>
      <c r="F73" t="s">
        <v>710</v>
      </c>
      <c r="G73">
        <f t="shared" si="7"/>
        <v>0</v>
      </c>
      <c r="H73" t="str">
        <f t="shared" si="8"/>
        <v>14005</v>
      </c>
      <c r="I73" t="s">
        <v>711</v>
      </c>
      <c r="J73">
        <f t="shared" si="9"/>
        <v>0</v>
      </c>
    </row>
    <row r="74" spans="1:10" x14ac:dyDescent="0.25">
      <c r="A74" s="43" t="s">
        <v>76</v>
      </c>
      <c r="B74">
        <f>IF(VLOOKUP(A74,'Enroll Data as of January 2025'!$A$3:$T$321,20,FALSE)&gt;0,0,VLOOKUP(A74,'Enroll Data as of January 2025'!$A$3:$T$321,20,FALSE))</f>
        <v>0</v>
      </c>
      <c r="C74">
        <f>IF(B74&gt;0,0,ROUND(-B74*'2024-25 PSES Compliance'!$G$13,3))</f>
        <v>0</v>
      </c>
      <c r="D74">
        <f t="shared" si="5"/>
        <v>0</v>
      </c>
      <c r="E74" t="str">
        <f t="shared" si="6"/>
        <v>14028</v>
      </c>
      <c r="F74" t="s">
        <v>710</v>
      </c>
      <c r="G74">
        <f t="shared" si="7"/>
        <v>0</v>
      </c>
      <c r="H74" t="str">
        <f t="shared" si="8"/>
        <v>14028</v>
      </c>
      <c r="I74" t="s">
        <v>711</v>
      </c>
      <c r="J74">
        <f t="shared" si="9"/>
        <v>0</v>
      </c>
    </row>
    <row r="75" spans="1:10" x14ac:dyDescent="0.25">
      <c r="A75" s="43" t="s">
        <v>77</v>
      </c>
      <c r="B75">
        <f>IF(VLOOKUP(A75,'Enroll Data as of January 2025'!$A$3:$T$321,20,FALSE)&gt;0,0,VLOOKUP(A75,'Enroll Data as of January 2025'!$A$3:$T$321,20,FALSE))</f>
        <v>-0.66200000000000003</v>
      </c>
      <c r="C75">
        <f>IF(B75&gt;0,0,ROUND(-B75*'2024-25 PSES Compliance'!$G$13,3))</f>
        <v>0.63600000000000001</v>
      </c>
      <c r="D75">
        <f t="shared" si="5"/>
        <v>2.6000000000000023E-2</v>
      </c>
      <c r="E75" t="str">
        <f t="shared" si="6"/>
        <v>14064</v>
      </c>
      <c r="F75" t="s">
        <v>710</v>
      </c>
      <c r="G75">
        <f t="shared" si="7"/>
        <v>0.63600000000000001</v>
      </c>
      <c r="H75" t="str">
        <f t="shared" si="8"/>
        <v>14064</v>
      </c>
      <c r="I75" t="s">
        <v>711</v>
      </c>
      <c r="J75">
        <f t="shared" si="9"/>
        <v>2.6000000000000023E-2</v>
      </c>
    </row>
    <row r="76" spans="1:10" x14ac:dyDescent="0.25">
      <c r="A76" s="43" t="s">
        <v>78</v>
      </c>
      <c r="B76">
        <f>IF(VLOOKUP(A76,'Enroll Data as of January 2025'!$A$3:$T$321,20,FALSE)&gt;0,0,VLOOKUP(A76,'Enroll Data as of January 2025'!$A$3:$T$321,20,FALSE))</f>
        <v>-4.2000000000000003E-2</v>
      </c>
      <c r="C76">
        <f>IF(B76&gt;0,0,ROUND(-B76*'2024-25 PSES Compliance'!$G$13,3))</f>
        <v>0.04</v>
      </c>
      <c r="D76">
        <f t="shared" si="5"/>
        <v>2.0000000000000018E-3</v>
      </c>
      <c r="E76" t="str">
        <f t="shared" si="6"/>
        <v>14065</v>
      </c>
      <c r="F76" t="s">
        <v>710</v>
      </c>
      <c r="G76">
        <f t="shared" si="7"/>
        <v>0.04</v>
      </c>
      <c r="H76" t="str">
        <f t="shared" si="8"/>
        <v>14065</v>
      </c>
      <c r="I76" t="s">
        <v>711</v>
      </c>
      <c r="J76">
        <f t="shared" si="9"/>
        <v>2.0000000000000018E-3</v>
      </c>
    </row>
    <row r="77" spans="1:10" x14ac:dyDescent="0.25">
      <c r="A77" s="43" t="s">
        <v>79</v>
      </c>
      <c r="B77">
        <f>IF(VLOOKUP(A77,'Enroll Data as of January 2025'!$A$3:$T$321,20,FALSE)&gt;0,0,VLOOKUP(A77,'Enroll Data as of January 2025'!$A$3:$T$321,20,FALSE))</f>
        <v>0</v>
      </c>
      <c r="C77">
        <f>IF(B77&gt;0,0,ROUND(-B77*'2024-25 PSES Compliance'!$G$13,3))</f>
        <v>0</v>
      </c>
      <c r="D77">
        <f t="shared" si="5"/>
        <v>0</v>
      </c>
      <c r="E77" t="str">
        <f t="shared" si="6"/>
        <v>14066</v>
      </c>
      <c r="F77" t="s">
        <v>710</v>
      </c>
      <c r="G77">
        <f t="shared" si="7"/>
        <v>0</v>
      </c>
      <c r="H77" t="str">
        <f t="shared" si="8"/>
        <v>14066</v>
      </c>
      <c r="I77" t="s">
        <v>711</v>
      </c>
      <c r="J77">
        <f t="shared" si="9"/>
        <v>0</v>
      </c>
    </row>
    <row r="78" spans="1:10" x14ac:dyDescent="0.25">
      <c r="A78" s="43" t="s">
        <v>80</v>
      </c>
      <c r="B78">
        <f>IF(VLOOKUP(A78,'Enroll Data as of January 2025'!$A$3:$T$321,20,FALSE)&gt;0,0,VLOOKUP(A78,'Enroll Data as of January 2025'!$A$3:$T$321,20,FALSE))</f>
        <v>-1.5960000000000001</v>
      </c>
      <c r="C78">
        <f>IF(B78&gt;0,0,ROUND(-B78*'2024-25 PSES Compliance'!$G$13,3))</f>
        <v>1.532</v>
      </c>
      <c r="D78">
        <f t="shared" si="5"/>
        <v>6.4000000000000057E-2</v>
      </c>
      <c r="E78" t="str">
        <f t="shared" si="6"/>
        <v>14068</v>
      </c>
      <c r="F78" t="s">
        <v>710</v>
      </c>
      <c r="G78">
        <f t="shared" si="7"/>
        <v>1.532</v>
      </c>
      <c r="H78" t="str">
        <f t="shared" si="8"/>
        <v>14068</v>
      </c>
      <c r="I78" t="s">
        <v>711</v>
      </c>
      <c r="J78">
        <f t="shared" si="9"/>
        <v>6.4000000000000057E-2</v>
      </c>
    </row>
    <row r="79" spans="1:10" x14ac:dyDescent="0.25">
      <c r="A79" s="43" t="s">
        <v>81</v>
      </c>
      <c r="B79">
        <f>IF(VLOOKUP(A79,'Enroll Data as of January 2025'!$A$3:$T$321,20,FALSE)&gt;0,0,VLOOKUP(A79,'Enroll Data as of January 2025'!$A$3:$T$321,20,FALSE))</f>
        <v>0</v>
      </c>
      <c r="C79">
        <f>IF(B79&gt;0,0,ROUND(-B79*'2024-25 PSES Compliance'!$G$13,3))</f>
        <v>0</v>
      </c>
      <c r="D79">
        <f t="shared" si="5"/>
        <v>0</v>
      </c>
      <c r="E79" t="str">
        <f t="shared" si="6"/>
        <v>14077</v>
      </c>
      <c r="F79" t="s">
        <v>710</v>
      </c>
      <c r="G79">
        <f t="shared" si="7"/>
        <v>0</v>
      </c>
      <c r="H79" t="str">
        <f t="shared" si="8"/>
        <v>14077</v>
      </c>
      <c r="I79" t="s">
        <v>711</v>
      </c>
      <c r="J79">
        <f t="shared" si="9"/>
        <v>0</v>
      </c>
    </row>
    <row r="80" spans="1:10" x14ac:dyDescent="0.25">
      <c r="A80" s="43" t="s">
        <v>82</v>
      </c>
      <c r="B80">
        <f>IF(VLOOKUP(A80,'Enroll Data as of January 2025'!$A$3:$T$321,20,FALSE)&gt;0,0,VLOOKUP(A80,'Enroll Data as of January 2025'!$A$3:$T$321,20,FALSE))</f>
        <v>-0.29799999999999999</v>
      </c>
      <c r="C80">
        <f>IF(B80&gt;0,0,ROUND(-B80*'2024-25 PSES Compliance'!$G$13,3))</f>
        <v>0.28599999999999998</v>
      </c>
      <c r="D80">
        <f t="shared" si="5"/>
        <v>1.2000000000000011E-2</v>
      </c>
      <c r="E80" t="str">
        <f t="shared" si="6"/>
        <v>14097</v>
      </c>
      <c r="F80" t="s">
        <v>710</v>
      </c>
      <c r="G80">
        <f t="shared" si="7"/>
        <v>0.28599999999999998</v>
      </c>
      <c r="H80" t="str">
        <f t="shared" si="8"/>
        <v>14097</v>
      </c>
      <c r="I80" t="s">
        <v>711</v>
      </c>
      <c r="J80">
        <f t="shared" si="9"/>
        <v>1.2000000000000011E-2</v>
      </c>
    </row>
    <row r="81" spans="1:10" x14ac:dyDescent="0.25">
      <c r="A81" s="43" t="s">
        <v>83</v>
      </c>
      <c r="B81">
        <f>IF(VLOOKUP(A81,'Enroll Data as of January 2025'!$A$3:$T$321,20,FALSE)&gt;0,0,VLOOKUP(A81,'Enroll Data as of January 2025'!$A$3:$T$321,20,FALSE))</f>
        <v>0</v>
      </c>
      <c r="C81">
        <f>IF(B81&gt;0,0,ROUND(-B81*'2024-25 PSES Compliance'!$G$13,3))</f>
        <v>0</v>
      </c>
      <c r="D81">
        <f t="shared" si="5"/>
        <v>0</v>
      </c>
      <c r="E81" t="str">
        <f t="shared" si="6"/>
        <v>14099</v>
      </c>
      <c r="F81" t="s">
        <v>710</v>
      </c>
      <c r="G81">
        <f t="shared" si="7"/>
        <v>0</v>
      </c>
      <c r="H81" t="str">
        <f t="shared" si="8"/>
        <v>14099</v>
      </c>
      <c r="I81" t="s">
        <v>711</v>
      </c>
      <c r="J81">
        <f t="shared" si="9"/>
        <v>0</v>
      </c>
    </row>
    <row r="82" spans="1:10" x14ac:dyDescent="0.25">
      <c r="A82" s="43" t="s">
        <v>84</v>
      </c>
      <c r="B82">
        <f>IF(VLOOKUP(A82,'Enroll Data as of January 2025'!$A$3:$T$321,20,FALSE)&gt;0,0,VLOOKUP(A82,'Enroll Data as of January 2025'!$A$3:$T$321,20,FALSE))</f>
        <v>0</v>
      </c>
      <c r="C82">
        <f>IF(B82&gt;0,0,ROUND(-B82*'2024-25 PSES Compliance'!$G$13,3))</f>
        <v>0</v>
      </c>
      <c r="D82">
        <f t="shared" si="5"/>
        <v>0</v>
      </c>
      <c r="E82" t="str">
        <f t="shared" si="6"/>
        <v>14104</v>
      </c>
      <c r="F82" t="s">
        <v>710</v>
      </c>
      <c r="G82">
        <f t="shared" si="7"/>
        <v>0</v>
      </c>
      <c r="H82" t="str">
        <f t="shared" si="8"/>
        <v>14104</v>
      </c>
      <c r="I82" t="s">
        <v>711</v>
      </c>
      <c r="J82">
        <f t="shared" si="9"/>
        <v>0</v>
      </c>
    </row>
    <row r="83" spans="1:10" x14ac:dyDescent="0.25">
      <c r="A83" s="43" t="s">
        <v>85</v>
      </c>
      <c r="B83">
        <f>IF(VLOOKUP(A83,'Enroll Data as of January 2025'!$A$3:$T$321,20,FALSE)&gt;0,0,VLOOKUP(A83,'Enroll Data as of January 2025'!$A$3:$T$321,20,FALSE))</f>
        <v>-0.38300000000000001</v>
      </c>
      <c r="C83">
        <f>IF(B83&gt;0,0,ROUND(-B83*'2024-25 PSES Compliance'!$G$13,3))</f>
        <v>0.36799999999999999</v>
      </c>
      <c r="D83">
        <f t="shared" si="5"/>
        <v>1.5000000000000013E-2</v>
      </c>
      <c r="E83" t="str">
        <f t="shared" si="6"/>
        <v>14117</v>
      </c>
      <c r="F83" t="s">
        <v>710</v>
      </c>
      <c r="G83">
        <f t="shared" si="7"/>
        <v>0.36799999999999999</v>
      </c>
      <c r="H83" t="str">
        <f t="shared" si="8"/>
        <v>14117</v>
      </c>
      <c r="I83" t="s">
        <v>711</v>
      </c>
      <c r="J83">
        <f t="shared" si="9"/>
        <v>1.5000000000000013E-2</v>
      </c>
    </row>
    <row r="84" spans="1:10" x14ac:dyDescent="0.25">
      <c r="A84" s="43" t="s">
        <v>86</v>
      </c>
      <c r="B84">
        <f>IF(VLOOKUP(A84,'Enroll Data as of January 2025'!$A$3:$T$321,20,FALSE)&gt;0,0,VLOOKUP(A84,'Enroll Data as of January 2025'!$A$3:$T$321,20,FALSE))</f>
        <v>-0.36499999999999999</v>
      </c>
      <c r="C84">
        <f>IF(B84&gt;0,0,ROUND(-B84*'2024-25 PSES Compliance'!$G$13,3))</f>
        <v>0.35</v>
      </c>
      <c r="D84">
        <f t="shared" si="5"/>
        <v>1.5000000000000013E-2</v>
      </c>
      <c r="E84" t="str">
        <f t="shared" si="6"/>
        <v>14172</v>
      </c>
      <c r="F84" t="s">
        <v>710</v>
      </c>
      <c r="G84">
        <f t="shared" si="7"/>
        <v>0.35</v>
      </c>
      <c r="H84" t="str">
        <f t="shared" si="8"/>
        <v>14172</v>
      </c>
      <c r="I84" t="s">
        <v>711</v>
      </c>
      <c r="J84">
        <f t="shared" si="9"/>
        <v>1.5000000000000013E-2</v>
      </c>
    </row>
    <row r="85" spans="1:10" x14ac:dyDescent="0.25">
      <c r="A85" s="43" t="s">
        <v>87</v>
      </c>
      <c r="B85">
        <f>IF(VLOOKUP(A85,'Enroll Data as of January 2025'!$A$3:$T$321,20,FALSE)&gt;0,0,VLOOKUP(A85,'Enroll Data as of January 2025'!$A$3:$T$321,20,FALSE))</f>
        <v>0</v>
      </c>
      <c r="C85">
        <f>IF(B85&gt;0,0,ROUND(-B85*'2024-25 PSES Compliance'!$G$13,3))</f>
        <v>0</v>
      </c>
      <c r="D85">
        <f t="shared" si="5"/>
        <v>0</v>
      </c>
      <c r="E85" t="str">
        <f t="shared" si="6"/>
        <v>14400</v>
      </c>
      <c r="F85" t="s">
        <v>710</v>
      </c>
      <c r="G85">
        <f t="shared" si="7"/>
        <v>0</v>
      </c>
      <c r="H85" t="str">
        <f t="shared" si="8"/>
        <v>14400</v>
      </c>
      <c r="I85" t="s">
        <v>711</v>
      </c>
      <c r="J85">
        <f t="shared" si="9"/>
        <v>0</v>
      </c>
    </row>
    <row r="86" spans="1:10" x14ac:dyDescent="0.25">
      <c r="A86" s="43" t="s">
        <v>88</v>
      </c>
      <c r="B86">
        <f>IF(VLOOKUP(A86,'Enroll Data as of January 2025'!$A$3:$T$321,20,FALSE)&gt;0,0,VLOOKUP(A86,'Enroll Data as of January 2025'!$A$3:$T$321,20,FALSE))</f>
        <v>0</v>
      </c>
      <c r="C86">
        <f>IF(B86&gt;0,0,ROUND(-B86*'2024-25 PSES Compliance'!$G$13,3))</f>
        <v>0</v>
      </c>
      <c r="D86">
        <f t="shared" si="5"/>
        <v>0</v>
      </c>
      <c r="E86" t="str">
        <f t="shared" si="6"/>
        <v>15201</v>
      </c>
      <c r="F86" t="s">
        <v>710</v>
      </c>
      <c r="G86">
        <f t="shared" si="7"/>
        <v>0</v>
      </c>
      <c r="H86" t="str">
        <f t="shared" si="8"/>
        <v>15201</v>
      </c>
      <c r="I86" t="s">
        <v>711</v>
      </c>
      <c r="J86">
        <f t="shared" si="9"/>
        <v>0</v>
      </c>
    </row>
    <row r="87" spans="1:10" x14ac:dyDescent="0.25">
      <c r="A87" s="43" t="s">
        <v>89</v>
      </c>
      <c r="B87">
        <f>IF(VLOOKUP(A87,'Enroll Data as of January 2025'!$A$3:$T$321,20,FALSE)&gt;0,0,VLOOKUP(A87,'Enroll Data as of January 2025'!$A$3:$T$321,20,FALSE))</f>
        <v>0</v>
      </c>
      <c r="C87">
        <f>IF(B87&gt;0,0,ROUND(-B87*'2024-25 PSES Compliance'!$G$13,3))</f>
        <v>0</v>
      </c>
      <c r="D87">
        <f t="shared" si="5"/>
        <v>0</v>
      </c>
      <c r="E87" t="str">
        <f t="shared" si="6"/>
        <v>15204</v>
      </c>
      <c r="F87" t="s">
        <v>710</v>
      </c>
      <c r="G87">
        <f t="shared" si="7"/>
        <v>0</v>
      </c>
      <c r="H87" t="str">
        <f t="shared" si="8"/>
        <v>15204</v>
      </c>
      <c r="I87" t="s">
        <v>711</v>
      </c>
      <c r="J87">
        <f t="shared" si="9"/>
        <v>0</v>
      </c>
    </row>
    <row r="88" spans="1:10" x14ac:dyDescent="0.25">
      <c r="A88" s="43" t="s">
        <v>90</v>
      </c>
      <c r="B88">
        <f>IF(VLOOKUP(A88,'Enroll Data as of January 2025'!$A$3:$T$321,20,FALSE)&gt;0,0,VLOOKUP(A88,'Enroll Data as of January 2025'!$A$3:$T$321,20,FALSE))</f>
        <v>-0.82499999999999996</v>
      </c>
      <c r="C88">
        <f>IF(B88&gt;0,0,ROUND(-B88*'2024-25 PSES Compliance'!$G$13,3))</f>
        <v>0.79200000000000004</v>
      </c>
      <c r="D88">
        <f t="shared" si="5"/>
        <v>3.2999999999999918E-2</v>
      </c>
      <c r="E88" t="str">
        <f t="shared" si="6"/>
        <v>15206</v>
      </c>
      <c r="F88" t="s">
        <v>710</v>
      </c>
      <c r="G88">
        <f t="shared" si="7"/>
        <v>0.79200000000000004</v>
      </c>
      <c r="H88" t="str">
        <f t="shared" si="8"/>
        <v>15206</v>
      </c>
      <c r="I88" t="s">
        <v>711</v>
      </c>
      <c r="J88">
        <f t="shared" si="9"/>
        <v>3.2999999999999918E-2</v>
      </c>
    </row>
    <row r="89" spans="1:10" x14ac:dyDescent="0.25">
      <c r="A89" s="269" t="s">
        <v>91</v>
      </c>
      <c r="B89" s="236">
        <f>IF(VLOOKUP(A89,'Enroll Data as of January 2025'!$A$3:$T$321,20,FALSE)&gt;0,0,VLOOKUP(A89,'Enroll Data as of January 2025'!$A$3:$T$321,20,FALSE))</f>
        <v>-0.154</v>
      </c>
      <c r="C89">
        <f>IF(B89&gt;0,0,ROUND(-B89*'2024-25 PSES Compliance'!$G$13,3))</f>
        <v>0.14799999999999999</v>
      </c>
      <c r="D89">
        <f t="shared" si="5"/>
        <v>6.0000000000000053E-3</v>
      </c>
      <c r="E89" t="str">
        <f t="shared" si="6"/>
        <v>16020</v>
      </c>
      <c r="F89" t="s">
        <v>710</v>
      </c>
      <c r="G89">
        <f t="shared" si="7"/>
        <v>0.14799999999999999</v>
      </c>
      <c r="H89" t="str">
        <f t="shared" si="8"/>
        <v>16020</v>
      </c>
      <c r="I89" t="s">
        <v>711</v>
      </c>
      <c r="J89">
        <f t="shared" si="9"/>
        <v>6.0000000000000053E-3</v>
      </c>
    </row>
    <row r="90" spans="1:10" x14ac:dyDescent="0.25">
      <c r="A90" s="43" t="s">
        <v>92</v>
      </c>
      <c r="B90">
        <f>IF(VLOOKUP(A90,'Enroll Data as of January 2025'!$A$3:$T$321,20,FALSE)&gt;0,0,VLOOKUP(A90,'Enroll Data as of January 2025'!$A$3:$T$321,20,FALSE))</f>
        <v>-0.108</v>
      </c>
      <c r="C90">
        <f>IF(B90&gt;0,0,ROUND(-B90*'2024-25 PSES Compliance'!$G$13,3))</f>
        <v>0.104</v>
      </c>
      <c r="D90">
        <f t="shared" si="5"/>
        <v>4.0000000000000036E-3</v>
      </c>
      <c r="E90" t="str">
        <f t="shared" si="6"/>
        <v>16046</v>
      </c>
      <c r="F90" t="s">
        <v>710</v>
      </c>
      <c r="G90">
        <f t="shared" si="7"/>
        <v>0.104</v>
      </c>
      <c r="H90" t="str">
        <f t="shared" si="8"/>
        <v>16046</v>
      </c>
      <c r="I90" t="s">
        <v>711</v>
      </c>
      <c r="J90">
        <f t="shared" si="9"/>
        <v>4.0000000000000036E-3</v>
      </c>
    </row>
    <row r="91" spans="1:10" x14ac:dyDescent="0.25">
      <c r="A91" s="43" t="s">
        <v>93</v>
      </c>
      <c r="B91">
        <f>IF(VLOOKUP(A91,'Enroll Data as of January 2025'!$A$3:$T$321,20,FALSE)&gt;0,0,VLOOKUP(A91,'Enroll Data as of January 2025'!$A$3:$T$321,20,FALSE))</f>
        <v>0</v>
      </c>
      <c r="C91">
        <f>IF(B91&gt;0,0,ROUND(-B91*'2024-25 PSES Compliance'!$G$13,3))</f>
        <v>0</v>
      </c>
      <c r="D91">
        <f t="shared" si="5"/>
        <v>0</v>
      </c>
      <c r="E91" t="str">
        <f t="shared" si="6"/>
        <v>16048</v>
      </c>
      <c r="F91" t="s">
        <v>710</v>
      </c>
      <c r="G91">
        <f t="shared" si="7"/>
        <v>0</v>
      </c>
      <c r="H91" t="str">
        <f t="shared" si="8"/>
        <v>16048</v>
      </c>
      <c r="I91" t="s">
        <v>711</v>
      </c>
      <c r="J91">
        <f t="shared" si="9"/>
        <v>0</v>
      </c>
    </row>
    <row r="92" spans="1:10" x14ac:dyDescent="0.25">
      <c r="A92" s="43" t="s">
        <v>94</v>
      </c>
      <c r="B92">
        <f>IF(VLOOKUP(A92,'Enroll Data as of January 2025'!$A$3:$T$321,20,FALSE)&gt;0,0,VLOOKUP(A92,'Enroll Data as of January 2025'!$A$3:$T$321,20,FALSE))</f>
        <v>0</v>
      </c>
      <c r="C92">
        <f>IF(B92&gt;0,0,ROUND(-B92*'2024-25 PSES Compliance'!$G$13,3))</f>
        <v>0</v>
      </c>
      <c r="D92">
        <f t="shared" si="5"/>
        <v>0</v>
      </c>
      <c r="E92" t="str">
        <f t="shared" si="6"/>
        <v>16049</v>
      </c>
      <c r="F92" t="s">
        <v>710</v>
      </c>
      <c r="G92">
        <f t="shared" si="7"/>
        <v>0</v>
      </c>
      <c r="H92" t="str">
        <f t="shared" si="8"/>
        <v>16049</v>
      </c>
      <c r="I92" t="s">
        <v>711</v>
      </c>
      <c r="J92">
        <f t="shared" si="9"/>
        <v>0</v>
      </c>
    </row>
    <row r="93" spans="1:10" x14ac:dyDescent="0.25">
      <c r="A93" s="43" t="s">
        <v>95</v>
      </c>
      <c r="B93">
        <f>IF(VLOOKUP(A93,'Enroll Data as of January 2025'!$A$3:$T$321,20,FALSE)&gt;0,0,VLOOKUP(A93,'Enroll Data as of January 2025'!$A$3:$T$321,20,FALSE))</f>
        <v>-1.77</v>
      </c>
      <c r="C93">
        <f>IF(B93&gt;0,0,ROUND(-B93*'2024-25 PSES Compliance'!$G$13,3))</f>
        <v>1.6990000000000001</v>
      </c>
      <c r="D93">
        <f t="shared" si="5"/>
        <v>7.0999999999999952E-2</v>
      </c>
      <c r="E93" t="str">
        <f t="shared" si="6"/>
        <v>16050</v>
      </c>
      <c r="F93" t="s">
        <v>710</v>
      </c>
      <c r="G93">
        <f t="shared" si="7"/>
        <v>1.6990000000000001</v>
      </c>
      <c r="H93" t="str">
        <f t="shared" si="8"/>
        <v>16050</v>
      </c>
      <c r="I93" t="s">
        <v>711</v>
      </c>
      <c r="J93">
        <f t="shared" si="9"/>
        <v>7.0999999999999952E-2</v>
      </c>
    </row>
    <row r="94" spans="1:10" x14ac:dyDescent="0.25">
      <c r="A94" s="42" t="s">
        <v>96</v>
      </c>
      <c r="B94">
        <f>IF(VLOOKUP(A94,'Enroll Data as of January 2025'!$A$3:$T$321,20,FALSE)&gt;0,0,VLOOKUP(A94,'Enroll Data as of January 2025'!$A$3:$T$321,20,FALSE))</f>
        <v>0</v>
      </c>
      <c r="C94">
        <f>IF(B94&gt;0,0,ROUND(-B94*'2024-25 PSES Compliance'!$G$13,3))</f>
        <v>0</v>
      </c>
      <c r="D94">
        <f t="shared" si="5"/>
        <v>0</v>
      </c>
      <c r="E94" t="str">
        <f t="shared" si="6"/>
        <v>17001</v>
      </c>
      <c r="F94" t="s">
        <v>710</v>
      </c>
      <c r="G94">
        <f t="shared" si="7"/>
        <v>0</v>
      </c>
      <c r="H94" t="str">
        <f t="shared" si="8"/>
        <v>17001</v>
      </c>
      <c r="I94" t="s">
        <v>711</v>
      </c>
      <c r="J94">
        <f t="shared" si="9"/>
        <v>0</v>
      </c>
    </row>
    <row r="95" spans="1:10" x14ac:dyDescent="0.25">
      <c r="A95" s="43" t="s">
        <v>97</v>
      </c>
      <c r="B95">
        <f>IF(VLOOKUP(A95,'Enroll Data as of January 2025'!$A$3:$T$321,20,FALSE)&gt;0,0,VLOOKUP(A95,'Enroll Data as of January 2025'!$A$3:$T$321,20,FALSE))</f>
        <v>0</v>
      </c>
      <c r="C95">
        <f>IF(B95&gt;0,0,ROUND(-B95*'2024-25 PSES Compliance'!$G$13,3))</f>
        <v>0</v>
      </c>
      <c r="D95">
        <f t="shared" si="5"/>
        <v>0</v>
      </c>
      <c r="E95" t="str">
        <f t="shared" si="6"/>
        <v>17210</v>
      </c>
      <c r="F95" t="s">
        <v>710</v>
      </c>
      <c r="G95">
        <f t="shared" si="7"/>
        <v>0</v>
      </c>
      <c r="H95" t="str">
        <f t="shared" si="8"/>
        <v>17210</v>
      </c>
      <c r="I95" t="s">
        <v>711</v>
      </c>
      <c r="J95">
        <f t="shared" si="9"/>
        <v>0</v>
      </c>
    </row>
    <row r="96" spans="1:10" x14ac:dyDescent="0.25">
      <c r="A96" s="43" t="s">
        <v>98</v>
      </c>
      <c r="B96">
        <f>IF(VLOOKUP(A96,'Enroll Data as of January 2025'!$A$3:$T$321,20,FALSE)&gt;0,0,VLOOKUP(A96,'Enroll Data as of January 2025'!$A$3:$T$321,20,FALSE))</f>
        <v>0</v>
      </c>
      <c r="C96">
        <f>IF(B96&gt;0,0,ROUND(-B96*'2024-25 PSES Compliance'!$G$13,3))</f>
        <v>0</v>
      </c>
      <c r="D96">
        <f t="shared" si="5"/>
        <v>0</v>
      </c>
      <c r="E96" t="str">
        <f t="shared" si="6"/>
        <v>17216</v>
      </c>
      <c r="F96" t="s">
        <v>710</v>
      </c>
      <c r="G96">
        <f t="shared" si="7"/>
        <v>0</v>
      </c>
      <c r="H96" t="str">
        <f t="shared" si="8"/>
        <v>17216</v>
      </c>
      <c r="I96" t="s">
        <v>711</v>
      </c>
      <c r="J96">
        <f t="shared" si="9"/>
        <v>0</v>
      </c>
    </row>
    <row r="97" spans="1:10" x14ac:dyDescent="0.25">
      <c r="A97" s="43" t="s">
        <v>99</v>
      </c>
      <c r="B97">
        <f>IF(VLOOKUP(A97,'Enroll Data as of January 2025'!$A$3:$T$321,20,FALSE)&gt;0,0,VLOOKUP(A97,'Enroll Data as of January 2025'!$A$3:$T$321,20,FALSE))</f>
        <v>0</v>
      </c>
      <c r="C97">
        <f>IF(B97&gt;0,0,ROUND(-B97*'2024-25 PSES Compliance'!$G$13,3))</f>
        <v>0</v>
      </c>
      <c r="D97">
        <f t="shared" si="5"/>
        <v>0</v>
      </c>
      <c r="E97" t="str">
        <f t="shared" si="6"/>
        <v>17400</v>
      </c>
      <c r="F97" t="s">
        <v>710</v>
      </c>
      <c r="G97">
        <f t="shared" si="7"/>
        <v>0</v>
      </c>
      <c r="H97" t="str">
        <f t="shared" si="8"/>
        <v>17400</v>
      </c>
      <c r="I97" t="s">
        <v>711</v>
      </c>
      <c r="J97">
        <f t="shared" si="9"/>
        <v>0</v>
      </c>
    </row>
    <row r="98" spans="1:10" x14ac:dyDescent="0.25">
      <c r="A98" s="126" t="s">
        <v>100</v>
      </c>
      <c r="B98">
        <f>IF(VLOOKUP(A98,'Enroll Data as of January 2025'!$A$3:$T$321,20,FALSE)&gt;0,0,VLOOKUP(A98,'Enroll Data as of January 2025'!$A$3:$T$321,20,FALSE))</f>
        <v>0</v>
      </c>
      <c r="C98">
        <f>IF(B98&gt;0,0,ROUND(-B98*'2024-25 PSES Compliance'!$G$13,3))</f>
        <v>0</v>
      </c>
      <c r="D98">
        <f t="shared" si="5"/>
        <v>0</v>
      </c>
      <c r="E98" t="str">
        <f t="shared" si="6"/>
        <v>17401</v>
      </c>
      <c r="F98" t="s">
        <v>710</v>
      </c>
      <c r="G98">
        <f t="shared" si="7"/>
        <v>0</v>
      </c>
      <c r="H98" t="str">
        <f t="shared" si="8"/>
        <v>17401</v>
      </c>
      <c r="I98" t="s">
        <v>711</v>
      </c>
      <c r="J98">
        <f t="shared" si="9"/>
        <v>0</v>
      </c>
    </row>
    <row r="99" spans="1:10" x14ac:dyDescent="0.25">
      <c r="A99" s="43" t="s">
        <v>101</v>
      </c>
      <c r="B99">
        <f>IF(VLOOKUP(A99,'Enroll Data as of January 2025'!$A$3:$T$321,20,FALSE)&gt;0,0,VLOOKUP(A99,'Enroll Data as of January 2025'!$A$3:$T$321,20,FALSE))</f>
        <v>0</v>
      </c>
      <c r="C99">
        <f>IF(B99&gt;0,0,ROUND(-B99*'2024-25 PSES Compliance'!$G$13,3))</f>
        <v>0</v>
      </c>
      <c r="D99">
        <f t="shared" si="5"/>
        <v>0</v>
      </c>
      <c r="E99" t="str">
        <f t="shared" si="6"/>
        <v>17402</v>
      </c>
      <c r="F99" t="s">
        <v>710</v>
      </c>
      <c r="G99">
        <f t="shared" si="7"/>
        <v>0</v>
      </c>
      <c r="H99" t="str">
        <f t="shared" si="8"/>
        <v>17402</v>
      </c>
      <c r="I99" t="s">
        <v>711</v>
      </c>
      <c r="J99">
        <f t="shared" si="9"/>
        <v>0</v>
      </c>
    </row>
    <row r="100" spans="1:10" x14ac:dyDescent="0.25">
      <c r="A100" s="126" t="s">
        <v>102</v>
      </c>
      <c r="B100">
        <f>IF(VLOOKUP(A100,'Enroll Data as of January 2025'!$A$3:$T$321,20,FALSE)&gt;0,0,VLOOKUP(A100,'Enroll Data as of January 2025'!$A$3:$T$321,20,FALSE))</f>
        <v>0</v>
      </c>
      <c r="C100">
        <f>IF(B100&gt;0,0,ROUND(-B100*'2024-25 PSES Compliance'!$G$13,3))</f>
        <v>0</v>
      </c>
      <c r="D100">
        <f t="shared" si="5"/>
        <v>0</v>
      </c>
      <c r="E100" t="str">
        <f t="shared" si="6"/>
        <v>17403</v>
      </c>
      <c r="F100" t="s">
        <v>710</v>
      </c>
      <c r="G100">
        <f t="shared" si="7"/>
        <v>0</v>
      </c>
      <c r="H100" t="str">
        <f t="shared" si="8"/>
        <v>17403</v>
      </c>
      <c r="I100" t="s">
        <v>711</v>
      </c>
      <c r="J100">
        <f t="shared" si="9"/>
        <v>0</v>
      </c>
    </row>
    <row r="101" spans="1:10" x14ac:dyDescent="0.25">
      <c r="A101" s="122" t="s">
        <v>103</v>
      </c>
      <c r="B101">
        <f>IF(VLOOKUP(A101,'Enroll Data as of January 2025'!$A$3:$T$321,20,FALSE)&gt;0,0,VLOOKUP(A101,'Enroll Data as of January 2025'!$A$3:$T$321,20,FALSE))</f>
        <v>0</v>
      </c>
      <c r="C101">
        <f>IF(B101&gt;0,0,ROUND(-B101*'2024-25 PSES Compliance'!$G$13,3))</f>
        <v>0</v>
      </c>
      <c r="D101">
        <f t="shared" si="5"/>
        <v>0</v>
      </c>
      <c r="E101" t="str">
        <f t="shared" si="6"/>
        <v>17404</v>
      </c>
      <c r="F101" t="s">
        <v>710</v>
      </c>
      <c r="G101">
        <f t="shared" si="7"/>
        <v>0</v>
      </c>
      <c r="H101" t="str">
        <f t="shared" si="8"/>
        <v>17404</v>
      </c>
      <c r="I101" t="s">
        <v>711</v>
      </c>
      <c r="J101">
        <f t="shared" si="9"/>
        <v>0</v>
      </c>
    </row>
    <row r="102" spans="1:10" x14ac:dyDescent="0.25">
      <c r="A102" s="126" t="s">
        <v>104</v>
      </c>
      <c r="B102">
        <f>IF(VLOOKUP(A102,'Enroll Data as of January 2025'!$A$3:$T$321,20,FALSE)&gt;0,0,VLOOKUP(A102,'Enroll Data as of January 2025'!$A$3:$T$321,20,FALSE))</f>
        <v>0</v>
      </c>
      <c r="C102">
        <f>IF(B102&gt;0,0,ROUND(-B102*'2024-25 PSES Compliance'!$G$13,3))</f>
        <v>0</v>
      </c>
      <c r="D102">
        <f t="shared" si="5"/>
        <v>0</v>
      </c>
      <c r="E102" t="str">
        <f t="shared" si="6"/>
        <v>17405</v>
      </c>
      <c r="F102" t="s">
        <v>710</v>
      </c>
      <c r="G102">
        <f t="shared" si="7"/>
        <v>0</v>
      </c>
      <c r="H102" t="str">
        <f t="shared" si="8"/>
        <v>17405</v>
      </c>
      <c r="I102" t="s">
        <v>711</v>
      </c>
      <c r="J102">
        <f t="shared" si="9"/>
        <v>0</v>
      </c>
    </row>
    <row r="103" spans="1:10" x14ac:dyDescent="0.25">
      <c r="A103" s="43" t="s">
        <v>105</v>
      </c>
      <c r="B103">
        <f>IF(VLOOKUP(A103,'Enroll Data as of January 2025'!$A$3:$T$321,20,FALSE)&gt;0,0,VLOOKUP(A103,'Enroll Data as of January 2025'!$A$3:$T$321,20,FALSE))</f>
        <v>0</v>
      </c>
      <c r="C103">
        <f>IF(B103&gt;0,0,ROUND(-B103*'2024-25 PSES Compliance'!$G$13,3))</f>
        <v>0</v>
      </c>
      <c r="D103">
        <f t="shared" si="5"/>
        <v>0</v>
      </c>
      <c r="E103" t="str">
        <f t="shared" si="6"/>
        <v>17406</v>
      </c>
      <c r="F103" t="s">
        <v>710</v>
      </c>
      <c r="G103">
        <f t="shared" si="7"/>
        <v>0</v>
      </c>
      <c r="H103" t="str">
        <f t="shared" si="8"/>
        <v>17406</v>
      </c>
      <c r="I103" t="s">
        <v>711</v>
      </c>
      <c r="J103">
        <f t="shared" si="9"/>
        <v>0</v>
      </c>
    </row>
    <row r="104" spans="1:10" x14ac:dyDescent="0.25">
      <c r="A104" s="43" t="s">
        <v>106</v>
      </c>
      <c r="B104">
        <f>IF(VLOOKUP(A104,'Enroll Data as of January 2025'!$A$3:$T$321,20,FALSE)&gt;0,0,VLOOKUP(A104,'Enroll Data as of January 2025'!$A$3:$T$321,20,FALSE))</f>
        <v>0</v>
      </c>
      <c r="C104">
        <f>IF(B104&gt;0,0,ROUND(-B104*'2024-25 PSES Compliance'!$G$13,3))</f>
        <v>0</v>
      </c>
      <c r="D104">
        <f t="shared" si="5"/>
        <v>0</v>
      </c>
      <c r="E104" t="str">
        <f t="shared" si="6"/>
        <v>17407</v>
      </c>
      <c r="F104" t="s">
        <v>710</v>
      </c>
      <c r="G104">
        <f t="shared" si="7"/>
        <v>0</v>
      </c>
      <c r="H104" t="str">
        <f t="shared" si="8"/>
        <v>17407</v>
      </c>
      <c r="I104" t="s">
        <v>711</v>
      </c>
      <c r="J104">
        <f t="shared" si="9"/>
        <v>0</v>
      </c>
    </row>
    <row r="105" spans="1:10" x14ac:dyDescent="0.25">
      <c r="A105" s="43" t="s">
        <v>107</v>
      </c>
      <c r="B105">
        <f>IF(VLOOKUP(A105,'Enroll Data as of January 2025'!$A$3:$T$321,20,FALSE)&gt;0,0,VLOOKUP(A105,'Enroll Data as of January 2025'!$A$3:$T$321,20,FALSE))</f>
        <v>0</v>
      </c>
      <c r="C105">
        <f>IF(B105&gt;0,0,ROUND(-B105*'2024-25 PSES Compliance'!$G$13,3))</f>
        <v>0</v>
      </c>
      <c r="D105">
        <f t="shared" si="5"/>
        <v>0</v>
      </c>
      <c r="E105" t="str">
        <f t="shared" si="6"/>
        <v>17408</v>
      </c>
      <c r="F105" t="s">
        <v>710</v>
      </c>
      <c r="G105">
        <f t="shared" si="7"/>
        <v>0</v>
      </c>
      <c r="H105" t="str">
        <f t="shared" si="8"/>
        <v>17408</v>
      </c>
      <c r="I105" t="s">
        <v>711</v>
      </c>
      <c r="J105">
        <f t="shared" si="9"/>
        <v>0</v>
      </c>
    </row>
    <row r="106" spans="1:10" x14ac:dyDescent="0.25">
      <c r="A106" s="43" t="s">
        <v>108</v>
      </c>
      <c r="B106">
        <f>IF(VLOOKUP(A106,'Enroll Data as of January 2025'!$A$3:$T$321,20,FALSE)&gt;0,0,VLOOKUP(A106,'Enroll Data as of January 2025'!$A$3:$T$321,20,FALSE))</f>
        <v>-1.696</v>
      </c>
      <c r="C106">
        <f>IF(B106&gt;0,0,ROUND(-B106*'2024-25 PSES Compliance'!$G$13,3))</f>
        <v>1.6279999999999999</v>
      </c>
      <c r="D106">
        <f t="shared" si="5"/>
        <v>6.800000000000006E-2</v>
      </c>
      <c r="E106" t="str">
        <f t="shared" si="6"/>
        <v>17409</v>
      </c>
      <c r="F106" t="s">
        <v>710</v>
      </c>
      <c r="G106">
        <f t="shared" si="7"/>
        <v>1.6279999999999999</v>
      </c>
      <c r="H106" t="str">
        <f t="shared" si="8"/>
        <v>17409</v>
      </c>
      <c r="I106" t="s">
        <v>711</v>
      </c>
      <c r="J106">
        <f t="shared" si="9"/>
        <v>6.800000000000006E-2</v>
      </c>
    </row>
    <row r="107" spans="1:10" x14ac:dyDescent="0.25">
      <c r="A107" s="43" t="s">
        <v>109</v>
      </c>
      <c r="B107">
        <f>IF(VLOOKUP(A107,'Enroll Data as of January 2025'!$A$3:$T$321,20,FALSE)&gt;0,0,VLOOKUP(A107,'Enroll Data as of January 2025'!$A$3:$T$321,20,FALSE))</f>
        <v>0</v>
      </c>
      <c r="C107">
        <f>IF(B107&gt;0,0,ROUND(-B107*'2024-25 PSES Compliance'!$G$13,3))</f>
        <v>0</v>
      </c>
      <c r="D107">
        <f t="shared" si="5"/>
        <v>0</v>
      </c>
      <c r="E107" t="str">
        <f t="shared" si="6"/>
        <v>17410</v>
      </c>
      <c r="F107" t="s">
        <v>710</v>
      </c>
      <c r="G107">
        <f t="shared" si="7"/>
        <v>0</v>
      </c>
      <c r="H107" t="str">
        <f t="shared" si="8"/>
        <v>17410</v>
      </c>
      <c r="I107" t="s">
        <v>711</v>
      </c>
      <c r="J107">
        <f t="shared" si="9"/>
        <v>0</v>
      </c>
    </row>
    <row r="108" spans="1:10" x14ac:dyDescent="0.25">
      <c r="A108" s="43" t="s">
        <v>110</v>
      </c>
      <c r="B108">
        <f>IF(VLOOKUP(A108,'Enroll Data as of January 2025'!$A$3:$T$321,20,FALSE)&gt;0,0,VLOOKUP(A108,'Enroll Data as of January 2025'!$A$3:$T$321,20,FALSE))</f>
        <v>0</v>
      </c>
      <c r="C108">
        <f>IF(B108&gt;0,0,ROUND(-B108*'2024-25 PSES Compliance'!$G$13,3))</f>
        <v>0</v>
      </c>
      <c r="D108">
        <f t="shared" si="5"/>
        <v>0</v>
      </c>
      <c r="E108" t="str">
        <f t="shared" si="6"/>
        <v>17411</v>
      </c>
      <c r="F108" t="s">
        <v>710</v>
      </c>
      <c r="G108">
        <f t="shared" si="7"/>
        <v>0</v>
      </c>
      <c r="H108" t="str">
        <f t="shared" si="8"/>
        <v>17411</v>
      </c>
      <c r="I108" t="s">
        <v>711</v>
      </c>
      <c r="J108">
        <f t="shared" si="9"/>
        <v>0</v>
      </c>
    </row>
    <row r="109" spans="1:10" x14ac:dyDescent="0.25">
      <c r="A109" s="43" t="s">
        <v>111</v>
      </c>
      <c r="B109">
        <f>IF(VLOOKUP(A109,'Enroll Data as of January 2025'!$A$3:$T$321,20,FALSE)&gt;0,0,VLOOKUP(A109,'Enroll Data as of January 2025'!$A$3:$T$321,20,FALSE))</f>
        <v>0</v>
      </c>
      <c r="C109">
        <f>IF(B109&gt;0,0,ROUND(-B109*'2024-25 PSES Compliance'!$G$13,3))</f>
        <v>0</v>
      </c>
      <c r="D109">
        <f t="shared" si="5"/>
        <v>0</v>
      </c>
      <c r="E109" t="str">
        <f t="shared" si="6"/>
        <v>17412</v>
      </c>
      <c r="F109" t="s">
        <v>710</v>
      </c>
      <c r="G109">
        <f t="shared" si="7"/>
        <v>0</v>
      </c>
      <c r="H109" t="str">
        <f t="shared" si="8"/>
        <v>17412</v>
      </c>
      <c r="I109" t="s">
        <v>711</v>
      </c>
      <c r="J109">
        <f t="shared" si="9"/>
        <v>0</v>
      </c>
    </row>
    <row r="110" spans="1:10" x14ac:dyDescent="0.25">
      <c r="A110" t="s">
        <v>112</v>
      </c>
      <c r="B110">
        <f>IF(VLOOKUP(A110,'Enroll Data as of January 2025'!$A$3:$T$321,20,FALSE)&gt;0,0,VLOOKUP(A110,'Enroll Data as of January 2025'!$A$3:$T$321,20,FALSE))</f>
        <v>0</v>
      </c>
      <c r="C110">
        <f>IF(B110&gt;0,0,ROUND(-B110*'2024-25 PSES Compliance'!$G$13,3))</f>
        <v>0</v>
      </c>
      <c r="D110">
        <f t="shared" si="5"/>
        <v>0</v>
      </c>
      <c r="E110" t="str">
        <f t="shared" si="6"/>
        <v>17414</v>
      </c>
      <c r="F110" t="s">
        <v>710</v>
      </c>
      <c r="G110">
        <f t="shared" si="7"/>
        <v>0</v>
      </c>
      <c r="H110" t="str">
        <f t="shared" si="8"/>
        <v>17414</v>
      </c>
      <c r="I110" t="s">
        <v>711</v>
      </c>
      <c r="J110">
        <f t="shared" si="9"/>
        <v>0</v>
      </c>
    </row>
    <row r="111" spans="1:10" x14ac:dyDescent="0.25">
      <c r="A111" t="s">
        <v>113</v>
      </c>
      <c r="B111">
        <f>IF(VLOOKUP(A111,'Enroll Data as of January 2025'!$A$3:$T$321,20,FALSE)&gt;0,0,VLOOKUP(A111,'Enroll Data as of January 2025'!$A$3:$T$321,20,FALSE))</f>
        <v>0</v>
      </c>
      <c r="C111">
        <f>IF(B111&gt;0,0,ROUND(-B111*'2024-25 PSES Compliance'!$G$13,3))</f>
        <v>0</v>
      </c>
      <c r="D111">
        <f t="shared" si="5"/>
        <v>0</v>
      </c>
      <c r="E111" t="str">
        <f t="shared" si="6"/>
        <v>17415</v>
      </c>
      <c r="F111" t="s">
        <v>710</v>
      </c>
      <c r="G111">
        <f t="shared" si="7"/>
        <v>0</v>
      </c>
      <c r="H111" t="str">
        <f t="shared" si="8"/>
        <v>17415</v>
      </c>
      <c r="I111" t="s">
        <v>711</v>
      </c>
      <c r="J111">
        <f t="shared" si="9"/>
        <v>0</v>
      </c>
    </row>
    <row r="112" spans="1:10" x14ac:dyDescent="0.25">
      <c r="A112" s="43" t="s">
        <v>114</v>
      </c>
      <c r="B112">
        <f>IF(VLOOKUP(A112,'Enroll Data as of January 2025'!$A$3:$T$321,20,FALSE)&gt;0,0,VLOOKUP(A112,'Enroll Data as of January 2025'!$A$3:$T$321,20,FALSE))</f>
        <v>0</v>
      </c>
      <c r="C112">
        <f>IF(B112&gt;0,0,ROUND(-B112*'2024-25 PSES Compliance'!$G$13,3))</f>
        <v>0</v>
      </c>
      <c r="D112">
        <f t="shared" si="5"/>
        <v>0</v>
      </c>
      <c r="E112" t="str">
        <f t="shared" si="6"/>
        <v>17417</v>
      </c>
      <c r="F112" t="s">
        <v>710</v>
      </c>
      <c r="G112">
        <f t="shared" si="7"/>
        <v>0</v>
      </c>
      <c r="H112" t="str">
        <f t="shared" si="8"/>
        <v>17417</v>
      </c>
      <c r="I112" t="s">
        <v>711</v>
      </c>
      <c r="J112">
        <f t="shared" si="9"/>
        <v>0</v>
      </c>
    </row>
    <row r="113" spans="1:10" x14ac:dyDescent="0.25">
      <c r="A113" s="43" t="s">
        <v>619</v>
      </c>
      <c r="B113">
        <f>IF(VLOOKUP(A113,'Enroll Data as of January 2025'!$A$3:$T$321,20,FALSE)&gt;0,0,VLOOKUP(A113,'Enroll Data as of January 2025'!$A$3:$T$321,20,FALSE))</f>
        <v>-0.33900000000000002</v>
      </c>
      <c r="C113">
        <f>IF(B113&gt;0,0,ROUND(-B113*'2024-25 PSES Compliance'!$G$13,3))</f>
        <v>0.32500000000000001</v>
      </c>
      <c r="D113">
        <f t="shared" si="5"/>
        <v>1.4000000000000012E-2</v>
      </c>
      <c r="E113" t="str">
        <f t="shared" si="6"/>
        <v>17902</v>
      </c>
      <c r="F113" t="s">
        <v>710</v>
      </c>
      <c r="G113">
        <f t="shared" si="7"/>
        <v>0.32500000000000001</v>
      </c>
      <c r="H113" t="str">
        <f t="shared" si="8"/>
        <v>17902</v>
      </c>
      <c r="I113" t="s">
        <v>711</v>
      </c>
      <c r="J113">
        <f t="shared" si="9"/>
        <v>1.4000000000000012E-2</v>
      </c>
    </row>
    <row r="114" spans="1:10" x14ac:dyDescent="0.25">
      <c r="A114" s="43" t="s">
        <v>115</v>
      </c>
      <c r="B114">
        <f>IF(VLOOKUP(A114,'Enroll Data as of January 2025'!$A$3:$T$321,20,FALSE)&gt;0,0,VLOOKUP(A114,'Enroll Data as of January 2025'!$A$3:$T$321,20,FALSE))</f>
        <v>0</v>
      </c>
      <c r="C114">
        <f>IF(B114&gt;0,0,ROUND(-B114*'2024-25 PSES Compliance'!$G$13,3))</f>
        <v>0</v>
      </c>
      <c r="D114">
        <f t="shared" si="5"/>
        <v>0</v>
      </c>
      <c r="E114" t="str">
        <f t="shared" si="6"/>
        <v>17903</v>
      </c>
      <c r="F114" t="s">
        <v>710</v>
      </c>
      <c r="G114">
        <f t="shared" si="7"/>
        <v>0</v>
      </c>
      <c r="H114" t="str">
        <f t="shared" si="8"/>
        <v>17903</v>
      </c>
      <c r="I114" t="s">
        <v>711</v>
      </c>
      <c r="J114">
        <f t="shared" si="9"/>
        <v>0</v>
      </c>
    </row>
    <row r="115" spans="1:10" x14ac:dyDescent="0.25">
      <c r="A115" s="43" t="s">
        <v>621</v>
      </c>
      <c r="B115">
        <f>IF(VLOOKUP(A115,'Enroll Data as of January 2025'!$A$3:$T$321,20,FALSE)&gt;0,0,VLOOKUP(A115,'Enroll Data as of January 2025'!$A$3:$T$321,20,FALSE))</f>
        <v>-2.3759999999999999</v>
      </c>
      <c r="C115">
        <f>IF(B115&gt;0,0,ROUND(-B115*'2024-25 PSES Compliance'!$G$13,3))</f>
        <v>2.2810000000000001</v>
      </c>
      <c r="D115">
        <f t="shared" si="5"/>
        <v>9.4999999999999751E-2</v>
      </c>
      <c r="E115" t="str">
        <f t="shared" si="6"/>
        <v>17905</v>
      </c>
      <c r="F115" t="s">
        <v>710</v>
      </c>
      <c r="G115">
        <f t="shared" si="7"/>
        <v>2.2810000000000001</v>
      </c>
      <c r="H115" t="str">
        <f t="shared" si="8"/>
        <v>17905</v>
      </c>
      <c r="I115" t="s">
        <v>711</v>
      </c>
      <c r="J115">
        <f t="shared" si="9"/>
        <v>9.4999999999999751E-2</v>
      </c>
    </row>
    <row r="116" spans="1:10" x14ac:dyDescent="0.25">
      <c r="A116" s="43" t="s">
        <v>623</v>
      </c>
      <c r="B116">
        <f>IF(VLOOKUP(A116,'Enroll Data as of January 2025'!$A$3:$T$321,20,FALSE)&gt;0,0,VLOOKUP(A116,'Enroll Data as of January 2025'!$A$3:$T$321,20,FALSE))</f>
        <v>-2.1389999999999998</v>
      </c>
      <c r="C116">
        <f>IF(B116&gt;0,0,ROUND(-B116*'2024-25 PSES Compliance'!$G$13,3))</f>
        <v>2.0529999999999999</v>
      </c>
      <c r="D116">
        <f t="shared" si="5"/>
        <v>8.5999999999999854E-2</v>
      </c>
      <c r="E116" t="str">
        <f t="shared" si="6"/>
        <v>17908</v>
      </c>
      <c r="F116" t="s">
        <v>710</v>
      </c>
      <c r="G116">
        <f t="shared" si="7"/>
        <v>2.0529999999999999</v>
      </c>
      <c r="H116" t="str">
        <f t="shared" si="8"/>
        <v>17908</v>
      </c>
      <c r="I116" t="s">
        <v>711</v>
      </c>
      <c r="J116">
        <f t="shared" si="9"/>
        <v>8.5999999999999854E-2</v>
      </c>
    </row>
    <row r="117" spans="1:10" x14ac:dyDescent="0.25">
      <c r="A117" s="43" t="s">
        <v>625</v>
      </c>
      <c r="B117">
        <f>IF(VLOOKUP(A117,'Enroll Data as of January 2025'!$A$3:$T$321,20,FALSE)&gt;0,0,VLOOKUP(A117,'Enroll Data as of January 2025'!$A$3:$T$321,20,FALSE))</f>
        <v>-0.72499999999999998</v>
      </c>
      <c r="C117">
        <f>IF(B117&gt;0,0,ROUND(-B117*'2024-25 PSES Compliance'!$G$13,3))</f>
        <v>0.69599999999999995</v>
      </c>
      <c r="D117">
        <f t="shared" si="5"/>
        <v>2.9000000000000026E-2</v>
      </c>
      <c r="E117" t="str">
        <f t="shared" si="6"/>
        <v>17910</v>
      </c>
      <c r="F117" t="s">
        <v>710</v>
      </c>
      <c r="G117">
        <f t="shared" si="7"/>
        <v>0.69599999999999995</v>
      </c>
      <c r="H117" t="str">
        <f t="shared" si="8"/>
        <v>17910</v>
      </c>
      <c r="I117" t="s">
        <v>711</v>
      </c>
      <c r="J117">
        <f t="shared" si="9"/>
        <v>2.9000000000000026E-2</v>
      </c>
    </row>
    <row r="118" spans="1:10" x14ac:dyDescent="0.25">
      <c r="A118" s="43" t="s">
        <v>631</v>
      </c>
      <c r="B118">
        <f>IF(VLOOKUP(A118,'Enroll Data as of January 2025'!$A$3:$T$321,20,FALSE)&gt;0,0,VLOOKUP(A118,'Enroll Data as of January 2025'!$A$3:$T$321,20,FALSE))</f>
        <v>0</v>
      </c>
      <c r="C118">
        <f>IF(B118&gt;0,0,ROUND(-B118*'2024-25 PSES Compliance'!$G$13,3))</f>
        <v>0</v>
      </c>
      <c r="D118">
        <f t="shared" si="5"/>
        <v>0</v>
      </c>
      <c r="E118" t="str">
        <f t="shared" si="6"/>
        <v>17911</v>
      </c>
      <c r="F118" t="s">
        <v>710</v>
      </c>
      <c r="G118">
        <f t="shared" si="7"/>
        <v>0</v>
      </c>
      <c r="H118" t="str">
        <f t="shared" si="8"/>
        <v>17911</v>
      </c>
      <c r="I118" t="s">
        <v>711</v>
      </c>
      <c r="J118">
        <f t="shared" si="9"/>
        <v>0</v>
      </c>
    </row>
    <row r="119" spans="1:10" x14ac:dyDescent="0.25">
      <c r="A119" s="43" t="s">
        <v>654</v>
      </c>
      <c r="B119">
        <f>IF(VLOOKUP(A119,'Enroll Data as of January 2025'!$A$3:$T$321,20,FALSE)&gt;0,0,VLOOKUP(A119,'Enroll Data as of January 2025'!$A$3:$T$321,20,FALSE))</f>
        <v>0</v>
      </c>
      <c r="C119">
        <f>IF(B119&gt;0,0,ROUND(-B119*'2024-25 PSES Compliance'!$G$13,3))</f>
        <v>0</v>
      </c>
      <c r="D119">
        <f t="shared" si="5"/>
        <v>0</v>
      </c>
      <c r="E119" t="str">
        <f t="shared" si="6"/>
        <v>17916</v>
      </c>
      <c r="F119" t="s">
        <v>710</v>
      </c>
      <c r="G119">
        <f t="shared" si="7"/>
        <v>0</v>
      </c>
      <c r="H119" t="str">
        <f t="shared" si="8"/>
        <v>17916</v>
      </c>
      <c r="I119" t="s">
        <v>711</v>
      </c>
      <c r="J119">
        <f t="shared" si="9"/>
        <v>0</v>
      </c>
    </row>
    <row r="120" spans="1:10" x14ac:dyDescent="0.25">
      <c r="A120" s="43" t="s">
        <v>674</v>
      </c>
      <c r="B120">
        <f>IF(VLOOKUP(A120,'Enroll Data as of January 2025'!$A$3:$T$321,20,FALSE)&gt;0,0,VLOOKUP(A120,'Enroll Data as of January 2025'!$A$3:$T$321,20,FALSE))</f>
        <v>-0.82</v>
      </c>
      <c r="C120">
        <f>IF(B120&gt;0,0,ROUND(-B120*'2024-25 PSES Compliance'!$G$13,3))</f>
        <v>0.78700000000000003</v>
      </c>
      <c r="D120">
        <f t="shared" si="5"/>
        <v>3.2999999999999918E-2</v>
      </c>
      <c r="E120" t="str">
        <f t="shared" si="6"/>
        <v>17917</v>
      </c>
      <c r="F120" t="s">
        <v>710</v>
      </c>
      <c r="G120">
        <f t="shared" si="7"/>
        <v>0.78700000000000003</v>
      </c>
      <c r="H120" t="str">
        <f t="shared" si="8"/>
        <v>17917</v>
      </c>
      <c r="I120" t="s">
        <v>711</v>
      </c>
      <c r="J120">
        <f t="shared" si="9"/>
        <v>3.2999999999999918E-2</v>
      </c>
    </row>
    <row r="121" spans="1:10" x14ac:dyDescent="0.25">
      <c r="A121" s="43" t="s">
        <v>1111</v>
      </c>
      <c r="B121">
        <f>IF(VLOOKUP(A121,'Enroll Data as of January 2025'!$A$3:$T$321,20,FALSE)&gt;0,0,VLOOKUP(A121,'Enroll Data as of January 2025'!$A$3:$T$321,20,FALSE))</f>
        <v>0</v>
      </c>
      <c r="C121">
        <f>IF(B121&gt;0,0,ROUND(-B121*'2024-25 PSES Compliance'!$G$13,3))</f>
        <v>0</v>
      </c>
      <c r="D121">
        <f t="shared" si="5"/>
        <v>0</v>
      </c>
      <c r="E121" t="str">
        <f t="shared" si="6"/>
        <v>17919</v>
      </c>
      <c r="F121" t="s">
        <v>710</v>
      </c>
      <c r="G121">
        <f t="shared" si="7"/>
        <v>0</v>
      </c>
      <c r="H121" t="str">
        <f t="shared" si="8"/>
        <v>17919</v>
      </c>
      <c r="I121" t="s">
        <v>711</v>
      </c>
      <c r="J121">
        <f t="shared" si="9"/>
        <v>0</v>
      </c>
    </row>
    <row r="122" spans="1:10" x14ac:dyDescent="0.25">
      <c r="A122" s="42" t="s">
        <v>116</v>
      </c>
      <c r="B122">
        <f>IF(VLOOKUP(A122,'Enroll Data as of January 2025'!$A$3:$T$321,20,FALSE)&gt;0,0,VLOOKUP(A122,'Enroll Data as of January 2025'!$A$3:$T$321,20,FALSE))</f>
        <v>0</v>
      </c>
      <c r="C122">
        <f>IF(B122&gt;0,0,ROUND(-B122*'2024-25 PSES Compliance'!$G$13,3))</f>
        <v>0</v>
      </c>
      <c r="D122">
        <f t="shared" si="5"/>
        <v>0</v>
      </c>
      <c r="E122" t="str">
        <f t="shared" si="6"/>
        <v>18100</v>
      </c>
      <c r="F122" t="s">
        <v>710</v>
      </c>
      <c r="G122">
        <f t="shared" si="7"/>
        <v>0</v>
      </c>
      <c r="H122" t="str">
        <f t="shared" si="8"/>
        <v>18100</v>
      </c>
      <c r="I122" t="s">
        <v>711</v>
      </c>
      <c r="J122">
        <f t="shared" si="9"/>
        <v>0</v>
      </c>
    </row>
    <row r="123" spans="1:10" x14ac:dyDescent="0.25">
      <c r="A123" s="43" t="s">
        <v>117</v>
      </c>
      <c r="B123">
        <f>IF(VLOOKUP(A123,'Enroll Data as of January 2025'!$A$3:$T$321,20,FALSE)&gt;0,0,VLOOKUP(A123,'Enroll Data as of January 2025'!$A$3:$T$321,20,FALSE))</f>
        <v>0</v>
      </c>
      <c r="C123">
        <f>IF(B123&gt;0,0,ROUND(-B123*'2024-25 PSES Compliance'!$G$13,3))</f>
        <v>0</v>
      </c>
      <c r="D123">
        <f t="shared" si="5"/>
        <v>0</v>
      </c>
      <c r="E123" t="str">
        <f t="shared" si="6"/>
        <v>18303</v>
      </c>
      <c r="F123" t="s">
        <v>710</v>
      </c>
      <c r="G123">
        <f t="shared" si="7"/>
        <v>0</v>
      </c>
      <c r="H123" t="str">
        <f t="shared" si="8"/>
        <v>18303</v>
      </c>
      <c r="I123" t="s">
        <v>711</v>
      </c>
      <c r="J123">
        <f t="shared" si="9"/>
        <v>0</v>
      </c>
    </row>
    <row r="124" spans="1:10" x14ac:dyDescent="0.25">
      <c r="A124" s="43" t="s">
        <v>118</v>
      </c>
      <c r="B124">
        <f>IF(VLOOKUP(A124,'Enroll Data as of January 2025'!$A$3:$T$321,20,FALSE)&gt;0,0,VLOOKUP(A124,'Enroll Data as of January 2025'!$A$3:$T$321,20,FALSE))</f>
        <v>0</v>
      </c>
      <c r="C124">
        <f>IF(B124&gt;0,0,ROUND(-B124*'2024-25 PSES Compliance'!$G$13,3))</f>
        <v>0</v>
      </c>
      <c r="D124">
        <f t="shared" si="5"/>
        <v>0</v>
      </c>
      <c r="E124" t="str">
        <f t="shared" si="6"/>
        <v>18400</v>
      </c>
      <c r="F124" t="s">
        <v>710</v>
      </c>
      <c r="G124">
        <f t="shared" si="7"/>
        <v>0</v>
      </c>
      <c r="H124" t="str">
        <f t="shared" si="8"/>
        <v>18400</v>
      </c>
      <c r="I124" t="s">
        <v>711</v>
      </c>
      <c r="J124">
        <f t="shared" si="9"/>
        <v>0</v>
      </c>
    </row>
    <row r="125" spans="1:10" x14ac:dyDescent="0.25">
      <c r="A125" s="43" t="s">
        <v>119</v>
      </c>
      <c r="B125">
        <f>IF(VLOOKUP(A125,'Enroll Data as of January 2025'!$A$3:$T$321,20,FALSE)&gt;0,0,VLOOKUP(A125,'Enroll Data as of January 2025'!$A$3:$T$321,20,FALSE))</f>
        <v>0</v>
      </c>
      <c r="C125">
        <f>IF(B125&gt;0,0,ROUND(-B125*'2024-25 PSES Compliance'!$G$13,3))</f>
        <v>0</v>
      </c>
      <c r="D125">
        <f t="shared" si="5"/>
        <v>0</v>
      </c>
      <c r="E125" t="str">
        <f t="shared" si="6"/>
        <v>18401</v>
      </c>
      <c r="F125" t="s">
        <v>710</v>
      </c>
      <c r="G125">
        <f t="shared" si="7"/>
        <v>0</v>
      </c>
      <c r="H125" t="str">
        <f t="shared" si="8"/>
        <v>18401</v>
      </c>
      <c r="I125" t="s">
        <v>711</v>
      </c>
      <c r="J125">
        <f t="shared" si="9"/>
        <v>0</v>
      </c>
    </row>
    <row r="126" spans="1:10" x14ac:dyDescent="0.25">
      <c r="A126" s="43" t="s">
        <v>120</v>
      </c>
      <c r="B126">
        <f>IF(VLOOKUP(A126,'Enroll Data as of January 2025'!$A$3:$T$321,20,FALSE)&gt;0,0,VLOOKUP(A126,'Enroll Data as of January 2025'!$A$3:$T$321,20,FALSE))</f>
        <v>0</v>
      </c>
      <c r="C126">
        <f>IF(B126&gt;0,0,ROUND(-B126*'2024-25 PSES Compliance'!$G$13,3))</f>
        <v>0</v>
      </c>
      <c r="D126">
        <f t="shared" si="5"/>
        <v>0</v>
      </c>
      <c r="E126" t="str">
        <f t="shared" si="6"/>
        <v>18402</v>
      </c>
      <c r="F126" t="s">
        <v>710</v>
      </c>
      <c r="G126">
        <f t="shared" si="7"/>
        <v>0</v>
      </c>
      <c r="H126" t="str">
        <f t="shared" si="8"/>
        <v>18402</v>
      </c>
      <c r="I126" t="s">
        <v>711</v>
      </c>
      <c r="J126">
        <f t="shared" si="9"/>
        <v>0</v>
      </c>
    </row>
    <row r="127" spans="1:10" x14ac:dyDescent="0.25">
      <c r="A127" s="43" t="s">
        <v>652</v>
      </c>
      <c r="B127">
        <f>IF(VLOOKUP(A127,'Enroll Data as of January 2025'!$A$3:$T$321,20,FALSE)&gt;0,0,VLOOKUP(A127,'Enroll Data as of January 2025'!$A$3:$T$321,20,FALSE))</f>
        <v>-1.484</v>
      </c>
      <c r="C127">
        <f>IF(B127&gt;0,0,ROUND(-B127*'2024-25 PSES Compliance'!$G$13,3))</f>
        <v>1.425</v>
      </c>
      <c r="D127">
        <f t="shared" si="5"/>
        <v>5.8999999999999941E-2</v>
      </c>
      <c r="E127" t="str">
        <f t="shared" si="6"/>
        <v>18901</v>
      </c>
      <c r="F127" t="s">
        <v>710</v>
      </c>
      <c r="G127">
        <f t="shared" si="7"/>
        <v>1.425</v>
      </c>
      <c r="H127" t="str">
        <f t="shared" si="8"/>
        <v>18901</v>
      </c>
      <c r="I127" t="s">
        <v>711</v>
      </c>
      <c r="J127">
        <f t="shared" si="9"/>
        <v>5.8999999999999941E-2</v>
      </c>
    </row>
    <row r="128" spans="1:10" x14ac:dyDescent="0.25">
      <c r="A128" s="43" t="s">
        <v>121</v>
      </c>
      <c r="B128">
        <f>IF(VLOOKUP(A128,'Enroll Data as of January 2025'!$A$3:$T$321,20,FALSE)&gt;0,0,VLOOKUP(A128,'Enroll Data as of January 2025'!$A$3:$T$321,20,FALSE))</f>
        <v>0</v>
      </c>
      <c r="C128">
        <f>IF(B128&gt;0,0,ROUND(-B128*'2024-25 PSES Compliance'!$G$13,3))</f>
        <v>0</v>
      </c>
      <c r="D128">
        <f t="shared" si="5"/>
        <v>0</v>
      </c>
      <c r="E128" t="str">
        <f t="shared" si="6"/>
        <v>18902</v>
      </c>
      <c r="F128" t="s">
        <v>710</v>
      </c>
      <c r="G128">
        <f t="shared" si="7"/>
        <v>0</v>
      </c>
      <c r="H128" t="str">
        <f t="shared" si="8"/>
        <v>18902</v>
      </c>
      <c r="I128" t="s">
        <v>711</v>
      </c>
      <c r="J128">
        <f t="shared" si="9"/>
        <v>0</v>
      </c>
    </row>
    <row r="129" spans="1:10" x14ac:dyDescent="0.25">
      <c r="A129" s="43" t="s">
        <v>122</v>
      </c>
      <c r="B129">
        <f>IF(VLOOKUP(A129,'Enroll Data as of January 2025'!$A$3:$T$321,20,FALSE)&gt;0,0,VLOOKUP(A129,'Enroll Data as of January 2025'!$A$3:$T$321,20,FALSE))</f>
        <v>-0.18099999999999999</v>
      </c>
      <c r="C129">
        <f>IF(B129&gt;0,0,ROUND(-B129*'2024-25 PSES Compliance'!$G$13,3))</f>
        <v>0.17399999999999999</v>
      </c>
      <c r="D129">
        <f t="shared" si="5"/>
        <v>7.0000000000000062E-3</v>
      </c>
      <c r="E129" t="str">
        <f t="shared" si="6"/>
        <v>19007</v>
      </c>
      <c r="F129" t="s">
        <v>710</v>
      </c>
      <c r="G129">
        <f t="shared" si="7"/>
        <v>0.17399999999999999</v>
      </c>
      <c r="H129" t="str">
        <f t="shared" si="8"/>
        <v>19007</v>
      </c>
      <c r="I129" t="s">
        <v>711</v>
      </c>
      <c r="J129">
        <f t="shared" si="9"/>
        <v>7.0000000000000062E-3</v>
      </c>
    </row>
    <row r="130" spans="1:10" x14ac:dyDescent="0.25">
      <c r="A130" s="43" t="s">
        <v>123</v>
      </c>
      <c r="B130">
        <f>IF(VLOOKUP(A130,'Enroll Data as of January 2025'!$A$3:$T$321,20,FALSE)&gt;0,0,VLOOKUP(A130,'Enroll Data as of January 2025'!$A$3:$T$321,20,FALSE))</f>
        <v>0</v>
      </c>
      <c r="C130">
        <f>IF(B130&gt;0,0,ROUND(-B130*'2024-25 PSES Compliance'!$G$13,3))</f>
        <v>0</v>
      </c>
      <c r="D130">
        <f t="shared" ref="D130:D193" si="10">IF(B130&gt;0,0,(-B130-C130))</f>
        <v>0</v>
      </c>
      <c r="E130" t="str">
        <f t="shared" ref="E130:E193" si="11">$A130</f>
        <v>19028</v>
      </c>
      <c r="F130" t="s">
        <v>710</v>
      </c>
      <c r="G130">
        <f t="shared" ref="G130:G193" si="12">C130</f>
        <v>0</v>
      </c>
      <c r="H130" t="str">
        <f t="shared" ref="H130:H193" si="13">$A130</f>
        <v>19028</v>
      </c>
      <c r="I130" t="s">
        <v>711</v>
      </c>
      <c r="J130">
        <f t="shared" ref="J130:J193" si="14">D130</f>
        <v>0</v>
      </c>
    </row>
    <row r="131" spans="1:10" x14ac:dyDescent="0.25">
      <c r="A131" s="43" t="s">
        <v>124</v>
      </c>
      <c r="B131">
        <f>IF(VLOOKUP(A131,'Enroll Data as of January 2025'!$A$3:$T$321,20,FALSE)&gt;0,0,VLOOKUP(A131,'Enroll Data as of January 2025'!$A$3:$T$321,20,FALSE))</f>
        <v>-1.1399999999999999</v>
      </c>
      <c r="C131">
        <f>IF(B131&gt;0,0,ROUND(-B131*'2024-25 PSES Compliance'!$G$13,3))</f>
        <v>1.0940000000000001</v>
      </c>
      <c r="D131">
        <f t="shared" si="10"/>
        <v>4.5999999999999819E-2</v>
      </c>
      <c r="E131" t="str">
        <f t="shared" si="11"/>
        <v>19400</v>
      </c>
      <c r="F131" t="s">
        <v>710</v>
      </c>
      <c r="G131">
        <f t="shared" si="12"/>
        <v>1.0940000000000001</v>
      </c>
      <c r="H131" t="str">
        <f t="shared" si="13"/>
        <v>19400</v>
      </c>
      <c r="I131" t="s">
        <v>711</v>
      </c>
      <c r="J131">
        <f t="shared" si="14"/>
        <v>4.5999999999999819E-2</v>
      </c>
    </row>
    <row r="132" spans="1:10" x14ac:dyDescent="0.25">
      <c r="A132" s="43" t="s">
        <v>125</v>
      </c>
      <c r="B132">
        <f>IF(VLOOKUP(A132,'Enroll Data as of January 2025'!$A$3:$T$321,20,FALSE)&gt;0,0,VLOOKUP(A132,'Enroll Data as of January 2025'!$A$3:$T$321,20,FALSE))</f>
        <v>0</v>
      </c>
      <c r="C132">
        <f>IF(B132&gt;0,0,ROUND(-B132*'2024-25 PSES Compliance'!$G$13,3))</f>
        <v>0</v>
      </c>
      <c r="D132">
        <f t="shared" si="10"/>
        <v>0</v>
      </c>
      <c r="E132" t="str">
        <f t="shared" si="11"/>
        <v>19401</v>
      </c>
      <c r="F132" t="s">
        <v>710</v>
      </c>
      <c r="G132">
        <f t="shared" si="12"/>
        <v>0</v>
      </c>
      <c r="H132" t="str">
        <f t="shared" si="13"/>
        <v>19401</v>
      </c>
      <c r="I132" t="s">
        <v>711</v>
      </c>
      <c r="J132">
        <f t="shared" si="14"/>
        <v>0</v>
      </c>
    </row>
    <row r="133" spans="1:10" x14ac:dyDescent="0.25">
      <c r="A133" s="43" t="s">
        <v>126</v>
      </c>
      <c r="B133">
        <f>IF(VLOOKUP(A133,'Enroll Data as of January 2025'!$A$3:$T$321,20,FALSE)&gt;0,0,VLOOKUP(A133,'Enroll Data as of January 2025'!$A$3:$T$321,20,FALSE))</f>
        <v>-0.26200000000000001</v>
      </c>
      <c r="C133">
        <f>IF(B133&gt;0,0,ROUND(-B133*'2024-25 PSES Compliance'!$G$13,3))</f>
        <v>0.252</v>
      </c>
      <c r="D133">
        <f t="shared" si="10"/>
        <v>1.0000000000000009E-2</v>
      </c>
      <c r="E133" t="str">
        <f t="shared" si="11"/>
        <v>19403</v>
      </c>
      <c r="F133" t="s">
        <v>710</v>
      </c>
      <c r="G133">
        <f t="shared" si="12"/>
        <v>0.252</v>
      </c>
      <c r="H133" t="str">
        <f t="shared" si="13"/>
        <v>19403</v>
      </c>
      <c r="I133" t="s">
        <v>711</v>
      </c>
      <c r="J133">
        <f t="shared" si="14"/>
        <v>1.0000000000000009E-2</v>
      </c>
    </row>
    <row r="134" spans="1:10" x14ac:dyDescent="0.25">
      <c r="A134" s="43" t="s">
        <v>127</v>
      </c>
      <c r="B134">
        <f>IF(VLOOKUP(A134,'Enroll Data as of January 2025'!$A$3:$T$321,20,FALSE)&gt;0,0,VLOOKUP(A134,'Enroll Data as of January 2025'!$A$3:$T$321,20,FALSE))</f>
        <v>-1.538</v>
      </c>
      <c r="C134">
        <f>IF(B134&gt;0,0,ROUND(-B134*'2024-25 PSES Compliance'!$G$13,3))</f>
        <v>1.476</v>
      </c>
      <c r="D134">
        <f t="shared" si="10"/>
        <v>6.2000000000000055E-2</v>
      </c>
      <c r="E134" t="str">
        <f t="shared" si="11"/>
        <v>19404</v>
      </c>
      <c r="F134" t="s">
        <v>710</v>
      </c>
      <c r="G134">
        <f t="shared" si="12"/>
        <v>1.476</v>
      </c>
      <c r="H134" t="str">
        <f t="shared" si="13"/>
        <v>19404</v>
      </c>
      <c r="I134" t="s">
        <v>711</v>
      </c>
      <c r="J134">
        <f t="shared" si="14"/>
        <v>6.2000000000000055E-2</v>
      </c>
    </row>
    <row r="135" spans="1:10" x14ac:dyDescent="0.25">
      <c r="A135" s="43" t="s">
        <v>128</v>
      </c>
      <c r="B135">
        <f>IF(VLOOKUP(A135,'Enroll Data as of January 2025'!$A$3:$T$321,20,FALSE)&gt;0,0,VLOOKUP(A135,'Enroll Data as of January 2025'!$A$3:$T$321,20,FALSE))</f>
        <v>0</v>
      </c>
      <c r="C135">
        <f>IF(B135&gt;0,0,ROUND(-B135*'2024-25 PSES Compliance'!$G$13,3))</f>
        <v>0</v>
      </c>
      <c r="D135">
        <f t="shared" si="10"/>
        <v>0</v>
      </c>
      <c r="E135" t="str">
        <f t="shared" si="11"/>
        <v>20094</v>
      </c>
      <c r="F135" t="s">
        <v>710</v>
      </c>
      <c r="G135">
        <f t="shared" si="12"/>
        <v>0</v>
      </c>
      <c r="H135" t="str">
        <f t="shared" si="13"/>
        <v>20094</v>
      </c>
      <c r="I135" t="s">
        <v>711</v>
      </c>
      <c r="J135">
        <f t="shared" si="14"/>
        <v>0</v>
      </c>
    </row>
    <row r="136" spans="1:10" x14ac:dyDescent="0.25">
      <c r="A136" s="43" t="s">
        <v>129</v>
      </c>
      <c r="B136">
        <f>IF(VLOOKUP(A136,'Enroll Data as of January 2025'!$A$3:$T$321,20,FALSE)&gt;0,0,VLOOKUP(A136,'Enroll Data as of January 2025'!$A$3:$T$321,20,FALSE))</f>
        <v>-0.54400000000000004</v>
      </c>
      <c r="C136">
        <f>IF(B136&gt;0,0,ROUND(-B136*'2024-25 PSES Compliance'!$G$13,3))</f>
        <v>0.52200000000000002</v>
      </c>
      <c r="D136">
        <f t="shared" si="10"/>
        <v>2.200000000000002E-2</v>
      </c>
      <c r="E136" t="str">
        <f t="shared" si="11"/>
        <v>20203</v>
      </c>
      <c r="F136" t="s">
        <v>710</v>
      </c>
      <c r="G136">
        <f t="shared" si="12"/>
        <v>0.52200000000000002</v>
      </c>
      <c r="H136" t="str">
        <f t="shared" si="13"/>
        <v>20203</v>
      </c>
      <c r="I136" t="s">
        <v>711</v>
      </c>
      <c r="J136">
        <f t="shared" si="14"/>
        <v>2.200000000000002E-2</v>
      </c>
    </row>
    <row r="137" spans="1:10" x14ac:dyDescent="0.25">
      <c r="A137" s="43" t="s">
        <v>130</v>
      </c>
      <c r="B137">
        <f>IF(VLOOKUP(A137,'Enroll Data as of January 2025'!$A$3:$T$321,20,FALSE)&gt;0,0,VLOOKUP(A137,'Enroll Data as of January 2025'!$A$3:$T$321,20,FALSE))</f>
        <v>0</v>
      </c>
      <c r="C137">
        <f>IF(B137&gt;0,0,ROUND(-B137*'2024-25 PSES Compliance'!$G$13,3))</f>
        <v>0</v>
      </c>
      <c r="D137">
        <f t="shared" si="10"/>
        <v>0</v>
      </c>
      <c r="E137" t="str">
        <f t="shared" si="11"/>
        <v>20215</v>
      </c>
      <c r="F137" t="s">
        <v>710</v>
      </c>
      <c r="G137">
        <f t="shared" si="12"/>
        <v>0</v>
      </c>
      <c r="H137" t="str">
        <f t="shared" si="13"/>
        <v>20215</v>
      </c>
      <c r="I137" t="s">
        <v>711</v>
      </c>
      <c r="J137">
        <f t="shared" si="14"/>
        <v>0</v>
      </c>
    </row>
    <row r="138" spans="1:10" x14ac:dyDescent="0.25">
      <c r="A138" s="43" t="s">
        <v>131</v>
      </c>
      <c r="B138">
        <f>IF(VLOOKUP(A138,'Enroll Data as of January 2025'!$A$3:$T$321,20,FALSE)&gt;0,0,VLOOKUP(A138,'Enroll Data as of January 2025'!$A$3:$T$321,20,FALSE))</f>
        <v>-0.47199999999999998</v>
      </c>
      <c r="C138">
        <f>IF(B138&gt;0,0,ROUND(-B138*'2024-25 PSES Compliance'!$G$13,3))</f>
        <v>0.45300000000000001</v>
      </c>
      <c r="D138">
        <f t="shared" si="10"/>
        <v>1.8999999999999961E-2</v>
      </c>
      <c r="E138" t="str">
        <f t="shared" si="11"/>
        <v>20400</v>
      </c>
      <c r="F138" t="s">
        <v>710</v>
      </c>
      <c r="G138">
        <f t="shared" si="12"/>
        <v>0.45300000000000001</v>
      </c>
      <c r="H138" t="str">
        <f t="shared" si="13"/>
        <v>20400</v>
      </c>
      <c r="I138" t="s">
        <v>711</v>
      </c>
      <c r="J138">
        <f t="shared" si="14"/>
        <v>1.8999999999999961E-2</v>
      </c>
    </row>
    <row r="139" spans="1:10" x14ac:dyDescent="0.25">
      <c r="A139" s="43" t="s">
        <v>132</v>
      </c>
      <c r="B139">
        <f>IF(VLOOKUP(A139,'Enroll Data as of January 2025'!$A$3:$T$321,20,FALSE)&gt;0,0,VLOOKUP(A139,'Enroll Data as of January 2025'!$A$3:$T$321,20,FALSE))</f>
        <v>0</v>
      </c>
      <c r="C139">
        <f>IF(B139&gt;0,0,ROUND(-B139*'2024-25 PSES Compliance'!$G$13,3))</f>
        <v>0</v>
      </c>
      <c r="D139">
        <f t="shared" si="10"/>
        <v>0</v>
      </c>
      <c r="E139" t="str">
        <f t="shared" si="11"/>
        <v>20401</v>
      </c>
      <c r="F139" t="s">
        <v>710</v>
      </c>
      <c r="G139">
        <f t="shared" si="12"/>
        <v>0</v>
      </c>
      <c r="H139" t="str">
        <f t="shared" si="13"/>
        <v>20401</v>
      </c>
      <c r="I139" t="s">
        <v>711</v>
      </c>
      <c r="J139">
        <f t="shared" si="14"/>
        <v>0</v>
      </c>
    </row>
    <row r="140" spans="1:10" x14ac:dyDescent="0.25">
      <c r="A140" s="43" t="s">
        <v>133</v>
      </c>
      <c r="B140">
        <f>IF(VLOOKUP(A140,'Enroll Data as of January 2025'!$A$3:$T$321,20,FALSE)&gt;0,0,VLOOKUP(A140,'Enroll Data as of January 2025'!$A$3:$T$321,20,FALSE))</f>
        <v>0</v>
      </c>
      <c r="C140">
        <f>IF(B140&gt;0,0,ROUND(-B140*'2024-25 PSES Compliance'!$G$13,3))</f>
        <v>0</v>
      </c>
      <c r="D140">
        <f t="shared" si="10"/>
        <v>0</v>
      </c>
      <c r="E140" t="str">
        <f t="shared" si="11"/>
        <v>20402</v>
      </c>
      <c r="F140" t="s">
        <v>710</v>
      </c>
      <c r="G140">
        <f t="shared" si="12"/>
        <v>0</v>
      </c>
      <c r="H140" t="str">
        <f t="shared" si="13"/>
        <v>20402</v>
      </c>
      <c r="I140" t="s">
        <v>711</v>
      </c>
      <c r="J140">
        <f t="shared" si="14"/>
        <v>0</v>
      </c>
    </row>
    <row r="141" spans="1:10" x14ac:dyDescent="0.25">
      <c r="A141" s="43" t="s">
        <v>134</v>
      </c>
      <c r="B141">
        <f>IF(VLOOKUP(A141,'Enroll Data as of January 2025'!$A$3:$T$321,20,FALSE)&gt;0,0,VLOOKUP(A141,'Enroll Data as of January 2025'!$A$3:$T$321,20,FALSE))</f>
        <v>-6.0999999999999999E-2</v>
      </c>
      <c r="C141">
        <f>IF(B141&gt;0,0,ROUND(-B141*'2024-25 PSES Compliance'!$G$13,3))</f>
        <v>5.8999999999999997E-2</v>
      </c>
      <c r="D141">
        <f t="shared" si="10"/>
        <v>2.0000000000000018E-3</v>
      </c>
      <c r="E141" t="str">
        <f t="shared" si="11"/>
        <v>20403</v>
      </c>
      <c r="F141" t="s">
        <v>710</v>
      </c>
      <c r="G141">
        <f t="shared" si="12"/>
        <v>5.8999999999999997E-2</v>
      </c>
      <c r="H141" t="str">
        <f t="shared" si="13"/>
        <v>20403</v>
      </c>
      <c r="I141" t="s">
        <v>711</v>
      </c>
      <c r="J141">
        <f t="shared" si="14"/>
        <v>2.0000000000000018E-3</v>
      </c>
    </row>
    <row r="142" spans="1:10" x14ac:dyDescent="0.25">
      <c r="A142" s="43" t="s">
        <v>135</v>
      </c>
      <c r="B142">
        <f>IF(VLOOKUP(A142,'Enroll Data as of January 2025'!$A$3:$T$321,20,FALSE)&gt;0,0,VLOOKUP(A142,'Enroll Data as of January 2025'!$A$3:$T$321,20,FALSE))</f>
        <v>-0.97</v>
      </c>
      <c r="C142">
        <f>IF(B142&gt;0,0,ROUND(-B142*'2024-25 PSES Compliance'!$G$13,3))</f>
        <v>0.93100000000000005</v>
      </c>
      <c r="D142">
        <f t="shared" si="10"/>
        <v>3.8999999999999924E-2</v>
      </c>
      <c r="E142" t="str">
        <f t="shared" si="11"/>
        <v>20404</v>
      </c>
      <c r="F142" t="s">
        <v>710</v>
      </c>
      <c r="G142">
        <f t="shared" si="12"/>
        <v>0.93100000000000005</v>
      </c>
      <c r="H142" t="str">
        <f t="shared" si="13"/>
        <v>20404</v>
      </c>
      <c r="I142" t="s">
        <v>711</v>
      </c>
      <c r="J142">
        <f t="shared" si="14"/>
        <v>3.8999999999999924E-2</v>
      </c>
    </row>
    <row r="143" spans="1:10" x14ac:dyDescent="0.25">
      <c r="A143" s="43" t="s">
        <v>136</v>
      </c>
      <c r="B143">
        <f>IF(VLOOKUP(A143,'Enroll Data as of January 2025'!$A$3:$T$321,20,FALSE)&gt;0,0,VLOOKUP(A143,'Enroll Data as of January 2025'!$A$3:$T$321,20,FALSE))</f>
        <v>-2.669</v>
      </c>
      <c r="C143">
        <f>IF(B143&gt;0,0,ROUND(-B143*'2024-25 PSES Compliance'!$G$13,3))</f>
        <v>2.5619999999999998</v>
      </c>
      <c r="D143">
        <f t="shared" si="10"/>
        <v>0.10700000000000021</v>
      </c>
      <c r="E143" t="str">
        <f t="shared" si="11"/>
        <v>20405</v>
      </c>
      <c r="F143" t="s">
        <v>710</v>
      </c>
      <c r="G143">
        <f t="shared" si="12"/>
        <v>2.5619999999999998</v>
      </c>
      <c r="H143" t="str">
        <f t="shared" si="13"/>
        <v>20405</v>
      </c>
      <c r="I143" t="s">
        <v>711</v>
      </c>
      <c r="J143">
        <f t="shared" si="14"/>
        <v>0.10700000000000021</v>
      </c>
    </row>
    <row r="144" spans="1:10" x14ac:dyDescent="0.25">
      <c r="A144" s="43" t="s">
        <v>137</v>
      </c>
      <c r="B144">
        <f>IF(VLOOKUP(A144,'Enroll Data as of January 2025'!$A$3:$T$321,20,FALSE)&gt;0,0,VLOOKUP(A144,'Enroll Data as of January 2025'!$A$3:$T$321,20,FALSE))</f>
        <v>-1.125</v>
      </c>
      <c r="C144">
        <f>IF(B144&gt;0,0,ROUND(-B144*'2024-25 PSES Compliance'!$G$13,3))</f>
        <v>1.08</v>
      </c>
      <c r="D144">
        <f t="shared" si="10"/>
        <v>4.4999999999999929E-2</v>
      </c>
      <c r="E144" t="str">
        <f t="shared" si="11"/>
        <v>20406</v>
      </c>
      <c r="F144" t="s">
        <v>710</v>
      </c>
      <c r="G144">
        <f t="shared" si="12"/>
        <v>1.08</v>
      </c>
      <c r="H144" t="str">
        <f t="shared" si="13"/>
        <v>20406</v>
      </c>
      <c r="I144" t="s">
        <v>711</v>
      </c>
      <c r="J144">
        <f t="shared" si="14"/>
        <v>4.4999999999999929E-2</v>
      </c>
    </row>
    <row r="145" spans="1:10" x14ac:dyDescent="0.25">
      <c r="A145" s="43" t="s">
        <v>138</v>
      </c>
      <c r="B145">
        <f>IF(VLOOKUP(A145,'Enroll Data as of January 2025'!$A$3:$T$321,20,FALSE)&gt;0,0,VLOOKUP(A145,'Enroll Data as of January 2025'!$A$3:$T$321,20,FALSE))</f>
        <v>0</v>
      </c>
      <c r="C145">
        <f>IF(B145&gt;0,0,ROUND(-B145*'2024-25 PSES Compliance'!$G$13,3))</f>
        <v>0</v>
      </c>
      <c r="D145">
        <f t="shared" si="10"/>
        <v>0</v>
      </c>
      <c r="E145" t="str">
        <f t="shared" si="11"/>
        <v>21014</v>
      </c>
      <c r="F145" t="s">
        <v>710</v>
      </c>
      <c r="G145">
        <f t="shared" si="12"/>
        <v>0</v>
      </c>
      <c r="H145" t="str">
        <f t="shared" si="13"/>
        <v>21014</v>
      </c>
      <c r="I145" t="s">
        <v>711</v>
      </c>
      <c r="J145">
        <f t="shared" si="14"/>
        <v>0</v>
      </c>
    </row>
    <row r="146" spans="1:10" x14ac:dyDescent="0.25">
      <c r="A146" s="42" t="s">
        <v>139</v>
      </c>
      <c r="B146">
        <f>IF(VLOOKUP(A146,'Enroll Data as of January 2025'!$A$3:$T$321,20,FALSE)&gt;0,0,VLOOKUP(A146,'Enroll Data as of January 2025'!$A$3:$T$321,20,FALSE))</f>
        <v>0</v>
      </c>
      <c r="C146">
        <f>IF(B146&gt;0,0,ROUND(-B146*'2024-25 PSES Compliance'!$G$13,3))</f>
        <v>0</v>
      </c>
      <c r="D146">
        <f t="shared" si="10"/>
        <v>0</v>
      </c>
      <c r="E146" t="str">
        <f t="shared" si="11"/>
        <v>21036</v>
      </c>
      <c r="F146" t="s">
        <v>710</v>
      </c>
      <c r="G146">
        <f t="shared" si="12"/>
        <v>0</v>
      </c>
      <c r="H146" t="str">
        <f t="shared" si="13"/>
        <v>21036</v>
      </c>
      <c r="I146" t="s">
        <v>711</v>
      </c>
      <c r="J146">
        <f t="shared" si="14"/>
        <v>0</v>
      </c>
    </row>
    <row r="147" spans="1:10" x14ac:dyDescent="0.25">
      <c r="A147" s="123" t="s">
        <v>140</v>
      </c>
      <c r="B147">
        <f>IF(VLOOKUP(A147,'Enroll Data as of January 2025'!$A$3:$T$321,20,FALSE)&gt;0,0,VLOOKUP(A147,'Enroll Data as of January 2025'!$A$3:$T$321,20,FALSE))</f>
        <v>0</v>
      </c>
      <c r="C147">
        <f>IF(B147&gt;0,0,ROUND(-B147*'2024-25 PSES Compliance'!$G$13,3))</f>
        <v>0</v>
      </c>
      <c r="D147">
        <f t="shared" si="10"/>
        <v>0</v>
      </c>
      <c r="E147" t="str">
        <f t="shared" si="11"/>
        <v>21206</v>
      </c>
      <c r="F147" t="s">
        <v>710</v>
      </c>
      <c r="G147">
        <f t="shared" si="12"/>
        <v>0</v>
      </c>
      <c r="H147" t="str">
        <f t="shared" si="13"/>
        <v>21206</v>
      </c>
      <c r="I147" t="s">
        <v>711</v>
      </c>
      <c r="J147">
        <f t="shared" si="14"/>
        <v>0</v>
      </c>
    </row>
    <row r="148" spans="1:10" x14ac:dyDescent="0.25">
      <c r="A148" s="43" t="s">
        <v>141</v>
      </c>
      <c r="B148">
        <f>IF(VLOOKUP(A148,'Enroll Data as of January 2025'!$A$3:$T$321,20,FALSE)&gt;0,0,VLOOKUP(A148,'Enroll Data as of January 2025'!$A$3:$T$321,20,FALSE))</f>
        <v>0</v>
      </c>
      <c r="C148">
        <f>IF(B148&gt;0,0,ROUND(-B148*'2024-25 PSES Compliance'!$G$13,3))</f>
        <v>0</v>
      </c>
      <c r="D148">
        <f t="shared" si="10"/>
        <v>0</v>
      </c>
      <c r="E148" t="str">
        <f t="shared" si="11"/>
        <v>21214</v>
      </c>
      <c r="F148" t="s">
        <v>710</v>
      </c>
      <c r="G148">
        <f t="shared" si="12"/>
        <v>0</v>
      </c>
      <c r="H148" t="str">
        <f t="shared" si="13"/>
        <v>21214</v>
      </c>
      <c r="I148" t="s">
        <v>711</v>
      </c>
      <c r="J148">
        <f t="shared" si="14"/>
        <v>0</v>
      </c>
    </row>
    <row r="149" spans="1:10" x14ac:dyDescent="0.25">
      <c r="A149" s="43" t="s">
        <v>142</v>
      </c>
      <c r="B149">
        <f>IF(VLOOKUP(A149,'Enroll Data as of January 2025'!$A$3:$T$321,20,FALSE)&gt;0,0,VLOOKUP(A149,'Enroll Data as of January 2025'!$A$3:$T$321,20,FALSE))</f>
        <v>0</v>
      </c>
      <c r="C149">
        <f>IF(B149&gt;0,0,ROUND(-B149*'2024-25 PSES Compliance'!$G$13,3))</f>
        <v>0</v>
      </c>
      <c r="D149">
        <f t="shared" si="10"/>
        <v>0</v>
      </c>
      <c r="E149" t="str">
        <f t="shared" si="11"/>
        <v>21226</v>
      </c>
      <c r="F149" t="s">
        <v>710</v>
      </c>
      <c r="G149">
        <f t="shared" si="12"/>
        <v>0</v>
      </c>
      <c r="H149" t="str">
        <f t="shared" si="13"/>
        <v>21226</v>
      </c>
      <c r="I149" t="s">
        <v>711</v>
      </c>
      <c r="J149">
        <f t="shared" si="14"/>
        <v>0</v>
      </c>
    </row>
    <row r="150" spans="1:10" x14ac:dyDescent="0.25">
      <c r="A150" s="43" t="s">
        <v>143</v>
      </c>
      <c r="B150">
        <f>IF(VLOOKUP(A150,'Enroll Data as of January 2025'!$A$3:$T$321,20,FALSE)&gt;0,0,VLOOKUP(A150,'Enroll Data as of January 2025'!$A$3:$T$321,20,FALSE))</f>
        <v>-0.48</v>
      </c>
      <c r="C150">
        <f>IF(B150&gt;0,0,ROUND(-B150*'2024-25 PSES Compliance'!$G$13,3))</f>
        <v>0.46100000000000002</v>
      </c>
      <c r="D150">
        <f t="shared" si="10"/>
        <v>1.8999999999999961E-2</v>
      </c>
      <c r="E150" t="str">
        <f t="shared" si="11"/>
        <v>21232</v>
      </c>
      <c r="F150" t="s">
        <v>710</v>
      </c>
      <c r="G150">
        <f t="shared" si="12"/>
        <v>0.46100000000000002</v>
      </c>
      <c r="H150" t="str">
        <f t="shared" si="13"/>
        <v>21232</v>
      </c>
      <c r="I150" t="s">
        <v>711</v>
      </c>
      <c r="J150">
        <f t="shared" si="14"/>
        <v>1.8999999999999961E-2</v>
      </c>
    </row>
    <row r="151" spans="1:10" x14ac:dyDescent="0.25">
      <c r="A151" s="43" t="s">
        <v>144</v>
      </c>
      <c r="B151">
        <f>IF(VLOOKUP(A151,'Enroll Data as of January 2025'!$A$3:$T$321,20,FALSE)&gt;0,0,VLOOKUP(A151,'Enroll Data as of January 2025'!$A$3:$T$321,20,FALSE))</f>
        <v>-0.33500000000000002</v>
      </c>
      <c r="C151">
        <f>IF(B151&gt;0,0,ROUND(-B151*'2024-25 PSES Compliance'!$G$13,3))</f>
        <v>0.32200000000000001</v>
      </c>
      <c r="D151">
        <f t="shared" si="10"/>
        <v>1.3000000000000012E-2</v>
      </c>
      <c r="E151" t="str">
        <f t="shared" si="11"/>
        <v>21234</v>
      </c>
      <c r="F151" t="s">
        <v>710</v>
      </c>
      <c r="G151">
        <f t="shared" si="12"/>
        <v>0.32200000000000001</v>
      </c>
      <c r="H151" t="str">
        <f t="shared" si="13"/>
        <v>21234</v>
      </c>
      <c r="I151" t="s">
        <v>711</v>
      </c>
      <c r="J151">
        <f t="shared" si="14"/>
        <v>1.3000000000000012E-2</v>
      </c>
    </row>
    <row r="152" spans="1:10" x14ac:dyDescent="0.25">
      <c r="A152" s="43" t="s">
        <v>145</v>
      </c>
      <c r="B152">
        <f>IF(VLOOKUP(A152,'Enroll Data as of January 2025'!$A$3:$T$321,20,FALSE)&gt;0,0,VLOOKUP(A152,'Enroll Data as of January 2025'!$A$3:$T$321,20,FALSE))</f>
        <v>0</v>
      </c>
      <c r="C152">
        <f>IF(B152&gt;0,0,ROUND(-B152*'2024-25 PSES Compliance'!$G$13,3))</f>
        <v>0</v>
      </c>
      <c r="D152">
        <f t="shared" si="10"/>
        <v>0</v>
      </c>
      <c r="E152" t="str">
        <f t="shared" si="11"/>
        <v>21237</v>
      </c>
      <c r="F152" t="s">
        <v>710</v>
      </c>
      <c r="G152">
        <f t="shared" si="12"/>
        <v>0</v>
      </c>
      <c r="H152" t="str">
        <f t="shared" si="13"/>
        <v>21237</v>
      </c>
      <c r="I152" t="s">
        <v>711</v>
      </c>
      <c r="J152">
        <f t="shared" si="14"/>
        <v>0</v>
      </c>
    </row>
    <row r="153" spans="1:10" x14ac:dyDescent="0.25">
      <c r="A153" s="43" t="s">
        <v>146</v>
      </c>
      <c r="B153">
        <f>IF(VLOOKUP(A153,'Enroll Data as of January 2025'!$A$3:$T$321,20,FALSE)&gt;0,0,VLOOKUP(A153,'Enroll Data as of January 2025'!$A$3:$T$321,20,FALSE))</f>
        <v>0</v>
      </c>
      <c r="C153">
        <f>IF(B153&gt;0,0,ROUND(-B153*'2024-25 PSES Compliance'!$G$13,3))</f>
        <v>0</v>
      </c>
      <c r="D153">
        <f t="shared" si="10"/>
        <v>0</v>
      </c>
      <c r="E153" t="str">
        <f t="shared" si="11"/>
        <v>21300</v>
      </c>
      <c r="F153" t="s">
        <v>710</v>
      </c>
      <c r="G153">
        <f t="shared" si="12"/>
        <v>0</v>
      </c>
      <c r="H153" t="str">
        <f t="shared" si="13"/>
        <v>21300</v>
      </c>
      <c r="I153" t="s">
        <v>711</v>
      </c>
      <c r="J153">
        <f t="shared" si="14"/>
        <v>0</v>
      </c>
    </row>
    <row r="154" spans="1:10" x14ac:dyDescent="0.25">
      <c r="A154" s="43" t="s">
        <v>147</v>
      </c>
      <c r="B154">
        <f>IF(VLOOKUP(A154,'Enroll Data as of January 2025'!$A$3:$T$321,20,FALSE)&gt;0,0,VLOOKUP(A154,'Enroll Data as of January 2025'!$A$3:$T$321,20,FALSE))</f>
        <v>-0.57599999999999996</v>
      </c>
      <c r="C154">
        <f>IF(B154&gt;0,0,ROUND(-B154*'2024-25 PSES Compliance'!$G$13,3))</f>
        <v>0.55300000000000005</v>
      </c>
      <c r="D154">
        <f t="shared" si="10"/>
        <v>2.2999999999999909E-2</v>
      </c>
      <c r="E154" t="str">
        <f t="shared" si="11"/>
        <v>21301</v>
      </c>
      <c r="F154" t="s">
        <v>710</v>
      </c>
      <c r="G154">
        <f t="shared" si="12"/>
        <v>0.55300000000000005</v>
      </c>
      <c r="H154" t="str">
        <f t="shared" si="13"/>
        <v>21301</v>
      </c>
      <c r="I154" t="s">
        <v>711</v>
      </c>
      <c r="J154">
        <f t="shared" si="14"/>
        <v>2.2999999999999909E-2</v>
      </c>
    </row>
    <row r="155" spans="1:10" x14ac:dyDescent="0.25">
      <c r="A155" s="43" t="s">
        <v>148</v>
      </c>
      <c r="B155">
        <f>IF(VLOOKUP(A155,'Enroll Data as of January 2025'!$A$3:$T$321,20,FALSE)&gt;0,0,VLOOKUP(A155,'Enroll Data as of January 2025'!$A$3:$T$321,20,FALSE))</f>
        <v>0</v>
      </c>
      <c r="C155">
        <f>IF(B155&gt;0,0,ROUND(-B155*'2024-25 PSES Compliance'!$G$13,3))</f>
        <v>0</v>
      </c>
      <c r="D155">
        <f t="shared" si="10"/>
        <v>0</v>
      </c>
      <c r="E155" t="str">
        <f t="shared" si="11"/>
        <v>21302</v>
      </c>
      <c r="F155" t="s">
        <v>710</v>
      </c>
      <c r="G155">
        <f t="shared" si="12"/>
        <v>0</v>
      </c>
      <c r="H155" t="str">
        <f t="shared" si="13"/>
        <v>21302</v>
      </c>
      <c r="I155" t="s">
        <v>711</v>
      </c>
      <c r="J155">
        <f t="shared" si="14"/>
        <v>0</v>
      </c>
    </row>
    <row r="156" spans="1:10" x14ac:dyDescent="0.25">
      <c r="A156" s="125" t="s">
        <v>149</v>
      </c>
      <c r="B156">
        <f>IF(VLOOKUP(A156,'Enroll Data as of January 2025'!$A$3:$T$321,20,FALSE)&gt;0,0,VLOOKUP(A156,'Enroll Data as of January 2025'!$A$3:$T$321,20,FALSE))</f>
        <v>0</v>
      </c>
      <c r="C156">
        <f>IF(B156&gt;0,0,ROUND(-B156*'2024-25 PSES Compliance'!$G$13,3))</f>
        <v>0</v>
      </c>
      <c r="D156">
        <f t="shared" si="10"/>
        <v>0</v>
      </c>
      <c r="E156" t="str">
        <f t="shared" si="11"/>
        <v>21303</v>
      </c>
      <c r="F156" t="s">
        <v>710</v>
      </c>
      <c r="G156">
        <f t="shared" si="12"/>
        <v>0</v>
      </c>
      <c r="H156" t="str">
        <f t="shared" si="13"/>
        <v>21303</v>
      </c>
      <c r="I156" t="s">
        <v>711</v>
      </c>
      <c r="J156">
        <f t="shared" si="14"/>
        <v>0</v>
      </c>
    </row>
    <row r="157" spans="1:10" x14ac:dyDescent="0.25">
      <c r="A157" s="43" t="s">
        <v>150</v>
      </c>
      <c r="B157">
        <f>IF(VLOOKUP(A157,'Enroll Data as of January 2025'!$A$3:$T$321,20,FALSE)&gt;0,0,VLOOKUP(A157,'Enroll Data as of January 2025'!$A$3:$T$321,20,FALSE))</f>
        <v>0</v>
      </c>
      <c r="C157">
        <f>IF(B157&gt;0,0,ROUND(-B157*'2024-25 PSES Compliance'!$G$13,3))</f>
        <v>0</v>
      </c>
      <c r="D157">
        <f t="shared" si="10"/>
        <v>0</v>
      </c>
      <c r="E157" t="str">
        <f t="shared" si="11"/>
        <v>21401</v>
      </c>
      <c r="F157" t="s">
        <v>710</v>
      </c>
      <c r="G157">
        <f t="shared" si="12"/>
        <v>0</v>
      </c>
      <c r="H157" t="str">
        <f t="shared" si="13"/>
        <v>21401</v>
      </c>
      <c r="I157" t="s">
        <v>711</v>
      </c>
      <c r="J157">
        <f t="shared" si="14"/>
        <v>0</v>
      </c>
    </row>
    <row r="158" spans="1:10" x14ac:dyDescent="0.25">
      <c r="A158" s="43" t="s">
        <v>151</v>
      </c>
      <c r="B158">
        <f>IF(VLOOKUP(A158,'Enroll Data as of January 2025'!$A$3:$T$321,20,FALSE)&gt;0,0,VLOOKUP(A158,'Enroll Data as of January 2025'!$A$3:$T$321,20,FALSE))</f>
        <v>0</v>
      </c>
      <c r="C158">
        <f>IF(B158&gt;0,0,ROUND(-B158*'2024-25 PSES Compliance'!$G$13,3))</f>
        <v>0</v>
      </c>
      <c r="D158">
        <f t="shared" si="10"/>
        <v>0</v>
      </c>
      <c r="E158" t="str">
        <f t="shared" si="11"/>
        <v>22008</v>
      </c>
      <c r="F158" t="s">
        <v>710</v>
      </c>
      <c r="G158">
        <f t="shared" si="12"/>
        <v>0</v>
      </c>
      <c r="H158" t="str">
        <f t="shared" si="13"/>
        <v>22008</v>
      </c>
      <c r="I158" t="s">
        <v>711</v>
      </c>
      <c r="J158">
        <f t="shared" si="14"/>
        <v>0</v>
      </c>
    </row>
    <row r="159" spans="1:10" x14ac:dyDescent="0.25">
      <c r="A159" s="43" t="s">
        <v>152</v>
      </c>
      <c r="B159">
        <f>IF(VLOOKUP(A159,'Enroll Data as of January 2025'!$A$3:$T$321,20,FALSE)&gt;0,0,VLOOKUP(A159,'Enroll Data as of January 2025'!$A$3:$T$321,20,FALSE))</f>
        <v>-0.78300000000000003</v>
      </c>
      <c r="C159">
        <f>IF(B159&gt;0,0,ROUND(-B159*'2024-25 PSES Compliance'!$G$13,3))</f>
        <v>0.752</v>
      </c>
      <c r="D159">
        <f t="shared" si="10"/>
        <v>3.1000000000000028E-2</v>
      </c>
      <c r="E159" t="str">
        <f t="shared" si="11"/>
        <v>22009</v>
      </c>
      <c r="F159" t="s">
        <v>710</v>
      </c>
      <c r="G159">
        <f t="shared" si="12"/>
        <v>0.752</v>
      </c>
      <c r="H159" t="str">
        <f t="shared" si="13"/>
        <v>22009</v>
      </c>
      <c r="I159" t="s">
        <v>711</v>
      </c>
      <c r="J159">
        <f t="shared" si="14"/>
        <v>3.1000000000000028E-2</v>
      </c>
    </row>
    <row r="160" spans="1:10" x14ac:dyDescent="0.25">
      <c r="A160" s="43" t="s">
        <v>153</v>
      </c>
      <c r="B160">
        <f>IF(VLOOKUP(A160,'Enroll Data as of January 2025'!$A$3:$T$321,20,FALSE)&gt;0,0,VLOOKUP(A160,'Enroll Data as of January 2025'!$A$3:$T$321,20,FALSE))</f>
        <v>0</v>
      </c>
      <c r="C160">
        <f>IF(B160&gt;0,0,ROUND(-B160*'2024-25 PSES Compliance'!$G$13,3))</f>
        <v>0</v>
      </c>
      <c r="D160">
        <f t="shared" si="10"/>
        <v>0</v>
      </c>
      <c r="E160" t="str">
        <f t="shared" si="11"/>
        <v>22017</v>
      </c>
      <c r="F160" t="s">
        <v>710</v>
      </c>
      <c r="G160">
        <f t="shared" si="12"/>
        <v>0</v>
      </c>
      <c r="H160" t="str">
        <f t="shared" si="13"/>
        <v>22017</v>
      </c>
      <c r="I160" t="s">
        <v>711</v>
      </c>
      <c r="J160">
        <f t="shared" si="14"/>
        <v>0</v>
      </c>
    </row>
    <row r="161" spans="1:10" x14ac:dyDescent="0.25">
      <c r="A161" s="43" t="s">
        <v>154</v>
      </c>
      <c r="B161">
        <f>IF(VLOOKUP(A161,'Enroll Data as of January 2025'!$A$3:$T$321,20,FALSE)&gt;0,0,VLOOKUP(A161,'Enroll Data as of January 2025'!$A$3:$T$321,20,FALSE))</f>
        <v>-0.39900000000000002</v>
      </c>
      <c r="C161">
        <f>IF(B161&gt;0,0,ROUND(-B161*'2024-25 PSES Compliance'!$G$13,3))</f>
        <v>0.38300000000000001</v>
      </c>
      <c r="D161">
        <f t="shared" si="10"/>
        <v>1.6000000000000014E-2</v>
      </c>
      <c r="E161" t="str">
        <f t="shared" si="11"/>
        <v>22073</v>
      </c>
      <c r="F161" t="s">
        <v>710</v>
      </c>
      <c r="G161">
        <f t="shared" si="12"/>
        <v>0.38300000000000001</v>
      </c>
      <c r="H161" t="str">
        <f t="shared" si="13"/>
        <v>22073</v>
      </c>
      <c r="I161" t="s">
        <v>711</v>
      </c>
      <c r="J161">
        <f t="shared" si="14"/>
        <v>1.6000000000000014E-2</v>
      </c>
    </row>
    <row r="162" spans="1:10" x14ac:dyDescent="0.25">
      <c r="A162" s="43" t="s">
        <v>155</v>
      </c>
      <c r="B162">
        <f>IF(VLOOKUP(A162,'Enroll Data as of January 2025'!$A$3:$T$321,20,FALSE)&gt;0,0,VLOOKUP(A162,'Enroll Data as of January 2025'!$A$3:$T$321,20,FALSE))</f>
        <v>0</v>
      </c>
      <c r="C162">
        <f>IF(B162&gt;0,0,ROUND(-B162*'2024-25 PSES Compliance'!$G$13,3))</f>
        <v>0</v>
      </c>
      <c r="D162">
        <f t="shared" si="10"/>
        <v>0</v>
      </c>
      <c r="E162" t="str">
        <f t="shared" si="11"/>
        <v>22105</v>
      </c>
      <c r="F162" t="s">
        <v>710</v>
      </c>
      <c r="G162">
        <f t="shared" si="12"/>
        <v>0</v>
      </c>
      <c r="H162" t="str">
        <f t="shared" si="13"/>
        <v>22105</v>
      </c>
      <c r="I162" t="s">
        <v>711</v>
      </c>
      <c r="J162">
        <f t="shared" si="14"/>
        <v>0</v>
      </c>
    </row>
    <row r="163" spans="1:10" x14ac:dyDescent="0.25">
      <c r="A163" s="43" t="s">
        <v>156</v>
      </c>
      <c r="B163">
        <f>IF(VLOOKUP(A163,'Enroll Data as of January 2025'!$A$3:$T$321,20,FALSE)&gt;0,0,VLOOKUP(A163,'Enroll Data as of January 2025'!$A$3:$T$321,20,FALSE))</f>
        <v>-0.52500000000000002</v>
      </c>
      <c r="C163">
        <f>IF(B163&gt;0,0,ROUND(-B163*'2024-25 PSES Compliance'!$G$13,3))</f>
        <v>0.504</v>
      </c>
      <c r="D163">
        <f t="shared" si="10"/>
        <v>2.1000000000000019E-2</v>
      </c>
      <c r="E163" t="str">
        <f t="shared" si="11"/>
        <v>22200</v>
      </c>
      <c r="F163" t="s">
        <v>710</v>
      </c>
      <c r="G163">
        <f t="shared" si="12"/>
        <v>0.504</v>
      </c>
      <c r="H163" t="str">
        <f t="shared" si="13"/>
        <v>22200</v>
      </c>
      <c r="I163" t="s">
        <v>711</v>
      </c>
      <c r="J163">
        <f t="shared" si="14"/>
        <v>2.1000000000000019E-2</v>
      </c>
    </row>
    <row r="164" spans="1:10" x14ac:dyDescent="0.25">
      <c r="A164" s="43" t="s">
        <v>157</v>
      </c>
      <c r="B164">
        <f>IF(VLOOKUP(A164,'Enroll Data as of January 2025'!$A$3:$T$321,20,FALSE)&gt;0,0,VLOOKUP(A164,'Enroll Data as of January 2025'!$A$3:$T$321,20,FALSE))</f>
        <v>0</v>
      </c>
      <c r="C164">
        <f>IF(B164&gt;0,0,ROUND(-B164*'2024-25 PSES Compliance'!$G$13,3))</f>
        <v>0</v>
      </c>
      <c r="D164">
        <f t="shared" si="10"/>
        <v>0</v>
      </c>
      <c r="E164" t="str">
        <f t="shared" si="11"/>
        <v>22204</v>
      </c>
      <c r="F164" t="s">
        <v>710</v>
      </c>
      <c r="G164">
        <f t="shared" si="12"/>
        <v>0</v>
      </c>
      <c r="H164" t="str">
        <f t="shared" si="13"/>
        <v>22204</v>
      </c>
      <c r="I164" t="s">
        <v>711</v>
      </c>
      <c r="J164">
        <f t="shared" si="14"/>
        <v>0</v>
      </c>
    </row>
    <row r="165" spans="1:10" x14ac:dyDescent="0.25">
      <c r="A165" s="43" t="s">
        <v>158</v>
      </c>
      <c r="B165">
        <f>IF(VLOOKUP(A165,'Enroll Data as of January 2025'!$A$3:$T$321,20,FALSE)&gt;0,0,VLOOKUP(A165,'Enroll Data as of January 2025'!$A$3:$T$321,20,FALSE))</f>
        <v>-0.41099999999999998</v>
      </c>
      <c r="C165">
        <f>IF(B165&gt;0,0,ROUND(-B165*'2024-25 PSES Compliance'!$G$13,3))</f>
        <v>0.39500000000000002</v>
      </c>
      <c r="D165">
        <f t="shared" si="10"/>
        <v>1.5999999999999959E-2</v>
      </c>
      <c r="E165" t="str">
        <f t="shared" si="11"/>
        <v>22207</v>
      </c>
      <c r="F165" t="s">
        <v>710</v>
      </c>
      <c r="G165">
        <f t="shared" si="12"/>
        <v>0.39500000000000002</v>
      </c>
      <c r="H165" t="str">
        <f t="shared" si="13"/>
        <v>22207</v>
      </c>
      <c r="I165" t="s">
        <v>711</v>
      </c>
      <c r="J165">
        <f t="shared" si="14"/>
        <v>1.5999999999999959E-2</v>
      </c>
    </row>
    <row r="166" spans="1:10" x14ac:dyDescent="0.25">
      <c r="A166" s="43" t="s">
        <v>159</v>
      </c>
      <c r="B166">
        <f>IF(VLOOKUP(A166,'Enroll Data as of January 2025'!$A$3:$T$321,20,FALSE)&gt;0,0,VLOOKUP(A166,'Enroll Data as of January 2025'!$A$3:$T$321,20,FALSE))</f>
        <v>-0.70099999999999996</v>
      </c>
      <c r="C166">
        <f>IF(B166&gt;0,0,ROUND(-B166*'2024-25 PSES Compliance'!$G$13,3))</f>
        <v>0.67300000000000004</v>
      </c>
      <c r="D166">
        <f t="shared" si="10"/>
        <v>2.7999999999999914E-2</v>
      </c>
      <c r="E166" t="str">
        <f t="shared" si="11"/>
        <v>23042</v>
      </c>
      <c r="F166" t="s">
        <v>710</v>
      </c>
      <c r="G166">
        <f t="shared" si="12"/>
        <v>0.67300000000000004</v>
      </c>
      <c r="H166" t="str">
        <f t="shared" si="13"/>
        <v>23042</v>
      </c>
      <c r="I166" t="s">
        <v>711</v>
      </c>
      <c r="J166">
        <f t="shared" si="14"/>
        <v>2.7999999999999914E-2</v>
      </c>
    </row>
    <row r="167" spans="1:10" x14ac:dyDescent="0.25">
      <c r="A167" s="43" t="s">
        <v>160</v>
      </c>
      <c r="B167">
        <f>IF(VLOOKUP(A167,'Enroll Data as of January 2025'!$A$3:$T$321,20,FALSE)&gt;0,0,VLOOKUP(A167,'Enroll Data as of January 2025'!$A$3:$T$321,20,FALSE))</f>
        <v>-0.32500000000000001</v>
      </c>
      <c r="C167">
        <f>IF(B167&gt;0,0,ROUND(-B167*'2024-25 PSES Compliance'!$G$13,3))</f>
        <v>0.312</v>
      </c>
      <c r="D167">
        <f t="shared" si="10"/>
        <v>1.3000000000000012E-2</v>
      </c>
      <c r="E167" t="str">
        <f t="shared" si="11"/>
        <v>23054</v>
      </c>
      <c r="F167" t="s">
        <v>710</v>
      </c>
      <c r="G167">
        <f t="shared" si="12"/>
        <v>0.312</v>
      </c>
      <c r="H167" t="str">
        <f t="shared" si="13"/>
        <v>23054</v>
      </c>
      <c r="I167" t="s">
        <v>711</v>
      </c>
      <c r="J167">
        <f t="shared" si="14"/>
        <v>1.3000000000000012E-2</v>
      </c>
    </row>
    <row r="168" spans="1:10" x14ac:dyDescent="0.25">
      <c r="A168" s="43" t="s">
        <v>161</v>
      </c>
      <c r="B168">
        <f>IF(VLOOKUP(A168,'Enroll Data as of January 2025'!$A$3:$T$321,20,FALSE)&gt;0,0,VLOOKUP(A168,'Enroll Data as of January 2025'!$A$3:$T$321,20,FALSE))</f>
        <v>0</v>
      </c>
      <c r="C168">
        <f>IF(B168&gt;0,0,ROUND(-B168*'2024-25 PSES Compliance'!$G$13,3))</f>
        <v>0</v>
      </c>
      <c r="D168">
        <f t="shared" si="10"/>
        <v>0</v>
      </c>
      <c r="E168" t="str">
        <f t="shared" si="11"/>
        <v>23309</v>
      </c>
      <c r="F168" t="s">
        <v>710</v>
      </c>
      <c r="G168">
        <f t="shared" si="12"/>
        <v>0</v>
      </c>
      <c r="H168" t="str">
        <f t="shared" si="13"/>
        <v>23309</v>
      </c>
      <c r="I168" t="s">
        <v>711</v>
      </c>
      <c r="J168">
        <f t="shared" si="14"/>
        <v>0</v>
      </c>
    </row>
    <row r="169" spans="1:10" x14ac:dyDescent="0.25">
      <c r="A169" s="43" t="s">
        <v>162</v>
      </c>
      <c r="B169">
        <f>IF(VLOOKUP(A169,'Enroll Data as of January 2025'!$A$3:$T$321,20,FALSE)&gt;0,0,VLOOKUP(A169,'Enroll Data as of January 2025'!$A$3:$T$321,20,FALSE))</f>
        <v>0</v>
      </c>
      <c r="C169">
        <f>IF(B169&gt;0,0,ROUND(-B169*'2024-25 PSES Compliance'!$G$13,3))</f>
        <v>0</v>
      </c>
      <c r="D169">
        <f t="shared" si="10"/>
        <v>0</v>
      </c>
      <c r="E169" t="str">
        <f t="shared" si="11"/>
        <v>23311</v>
      </c>
      <c r="F169" t="s">
        <v>710</v>
      </c>
      <c r="G169">
        <f t="shared" si="12"/>
        <v>0</v>
      </c>
      <c r="H169" t="str">
        <f t="shared" si="13"/>
        <v>23311</v>
      </c>
      <c r="I169" t="s">
        <v>711</v>
      </c>
      <c r="J169">
        <f t="shared" si="14"/>
        <v>0</v>
      </c>
    </row>
    <row r="170" spans="1:10" x14ac:dyDescent="0.25">
      <c r="A170" s="43" t="s">
        <v>163</v>
      </c>
      <c r="B170">
        <f>IF(VLOOKUP(A170,'Enroll Data as of January 2025'!$A$3:$T$321,20,FALSE)&gt;0,0,VLOOKUP(A170,'Enroll Data as of January 2025'!$A$3:$T$321,20,FALSE))</f>
        <v>0</v>
      </c>
      <c r="C170">
        <f>IF(B170&gt;0,0,ROUND(-B170*'2024-25 PSES Compliance'!$G$13,3))</f>
        <v>0</v>
      </c>
      <c r="D170">
        <f t="shared" si="10"/>
        <v>0</v>
      </c>
      <c r="E170" t="str">
        <f t="shared" si="11"/>
        <v>23402</v>
      </c>
      <c r="F170" t="s">
        <v>710</v>
      </c>
      <c r="G170">
        <f t="shared" si="12"/>
        <v>0</v>
      </c>
      <c r="H170" t="str">
        <f t="shared" si="13"/>
        <v>23402</v>
      </c>
      <c r="I170" t="s">
        <v>711</v>
      </c>
      <c r="J170">
        <f t="shared" si="14"/>
        <v>0</v>
      </c>
    </row>
    <row r="171" spans="1:10" x14ac:dyDescent="0.25">
      <c r="A171" s="43" t="s">
        <v>164</v>
      </c>
      <c r="B171">
        <f>IF(VLOOKUP(A171,'Enroll Data as of January 2025'!$A$3:$T$321,20,FALSE)&gt;0,0,VLOOKUP(A171,'Enroll Data as of January 2025'!$A$3:$T$321,20,FALSE))</f>
        <v>0</v>
      </c>
      <c r="C171">
        <f>IF(B171&gt;0,0,ROUND(-B171*'2024-25 PSES Compliance'!$G$13,3))</f>
        <v>0</v>
      </c>
      <c r="D171">
        <f t="shared" si="10"/>
        <v>0</v>
      </c>
      <c r="E171" t="str">
        <f t="shared" si="11"/>
        <v>23403</v>
      </c>
      <c r="F171" t="s">
        <v>710</v>
      </c>
      <c r="G171">
        <f t="shared" si="12"/>
        <v>0</v>
      </c>
      <c r="H171" t="str">
        <f t="shared" si="13"/>
        <v>23403</v>
      </c>
      <c r="I171" t="s">
        <v>711</v>
      </c>
      <c r="J171">
        <f t="shared" si="14"/>
        <v>0</v>
      </c>
    </row>
    <row r="172" spans="1:10" x14ac:dyDescent="0.25">
      <c r="A172" s="43" t="s">
        <v>165</v>
      </c>
      <c r="B172">
        <f>IF(VLOOKUP(A172,'Enroll Data as of January 2025'!$A$3:$T$321,20,FALSE)&gt;0,0,VLOOKUP(A172,'Enroll Data as of January 2025'!$A$3:$T$321,20,FALSE))</f>
        <v>0</v>
      </c>
      <c r="C172">
        <f>IF(B172&gt;0,0,ROUND(-B172*'2024-25 PSES Compliance'!$G$13,3))</f>
        <v>0</v>
      </c>
      <c r="D172">
        <f t="shared" si="10"/>
        <v>0</v>
      </c>
      <c r="E172" t="str">
        <f t="shared" si="11"/>
        <v>23404</v>
      </c>
      <c r="F172" t="s">
        <v>710</v>
      </c>
      <c r="G172">
        <f t="shared" si="12"/>
        <v>0</v>
      </c>
      <c r="H172" t="str">
        <f t="shared" si="13"/>
        <v>23404</v>
      </c>
      <c r="I172" t="s">
        <v>711</v>
      </c>
      <c r="J172">
        <f t="shared" si="14"/>
        <v>0</v>
      </c>
    </row>
    <row r="173" spans="1:10" x14ac:dyDescent="0.25">
      <c r="A173" s="43" t="s">
        <v>166</v>
      </c>
      <c r="B173">
        <f>IF(VLOOKUP(A173,'Enroll Data as of January 2025'!$A$3:$T$321,20,FALSE)&gt;0,0,VLOOKUP(A173,'Enroll Data as of January 2025'!$A$3:$T$321,20,FALSE))</f>
        <v>0</v>
      </c>
      <c r="C173">
        <f>IF(B173&gt;0,0,ROUND(-B173*'2024-25 PSES Compliance'!$G$13,3))</f>
        <v>0</v>
      </c>
      <c r="D173">
        <f t="shared" si="10"/>
        <v>0</v>
      </c>
      <c r="E173" t="str">
        <f t="shared" si="11"/>
        <v>24014</v>
      </c>
      <c r="F173" t="s">
        <v>710</v>
      </c>
      <c r="G173">
        <f t="shared" si="12"/>
        <v>0</v>
      </c>
      <c r="H173" t="str">
        <f t="shared" si="13"/>
        <v>24014</v>
      </c>
      <c r="I173" t="s">
        <v>711</v>
      </c>
      <c r="J173">
        <f t="shared" si="14"/>
        <v>0</v>
      </c>
    </row>
    <row r="174" spans="1:10" x14ac:dyDescent="0.25">
      <c r="A174" s="43" t="s">
        <v>167</v>
      </c>
      <c r="B174">
        <f>IF(VLOOKUP(A174,'Enroll Data as of January 2025'!$A$3:$T$321,20,FALSE)&gt;0,0,VLOOKUP(A174,'Enroll Data as of January 2025'!$A$3:$T$321,20,FALSE))</f>
        <v>-0.246</v>
      </c>
      <c r="C174">
        <f>IF(B174&gt;0,0,ROUND(-B174*'2024-25 PSES Compliance'!$G$13,3))</f>
        <v>0.23599999999999999</v>
      </c>
      <c r="D174">
        <f t="shared" si="10"/>
        <v>1.0000000000000009E-2</v>
      </c>
      <c r="E174" t="str">
        <f t="shared" si="11"/>
        <v>24019</v>
      </c>
      <c r="F174" t="s">
        <v>710</v>
      </c>
      <c r="G174">
        <f t="shared" si="12"/>
        <v>0.23599999999999999</v>
      </c>
      <c r="H174" t="str">
        <f t="shared" si="13"/>
        <v>24019</v>
      </c>
      <c r="I174" t="s">
        <v>711</v>
      </c>
      <c r="J174">
        <f t="shared" si="14"/>
        <v>1.0000000000000009E-2</v>
      </c>
    </row>
    <row r="175" spans="1:10" x14ac:dyDescent="0.25">
      <c r="A175" s="43" t="s">
        <v>168</v>
      </c>
      <c r="B175">
        <f>IF(VLOOKUP(A175,'Enroll Data as of January 2025'!$A$3:$T$321,20,FALSE)&gt;0,0,VLOOKUP(A175,'Enroll Data as of January 2025'!$A$3:$T$321,20,FALSE))</f>
        <v>0</v>
      </c>
      <c r="C175">
        <f>IF(B175&gt;0,0,ROUND(-B175*'2024-25 PSES Compliance'!$G$13,3))</f>
        <v>0</v>
      </c>
      <c r="D175">
        <f t="shared" si="10"/>
        <v>0</v>
      </c>
      <c r="E175" t="str">
        <f t="shared" si="11"/>
        <v>24105</v>
      </c>
      <c r="F175" t="s">
        <v>710</v>
      </c>
      <c r="G175">
        <f t="shared" si="12"/>
        <v>0</v>
      </c>
      <c r="H175" t="str">
        <f t="shared" si="13"/>
        <v>24105</v>
      </c>
      <c r="I175" t="s">
        <v>711</v>
      </c>
      <c r="J175">
        <f t="shared" si="14"/>
        <v>0</v>
      </c>
    </row>
    <row r="176" spans="1:10" x14ac:dyDescent="0.25">
      <c r="A176" s="43" t="s">
        <v>169</v>
      </c>
      <c r="B176">
        <f>IF(VLOOKUP(A176,'Enroll Data as of January 2025'!$A$3:$T$321,20,FALSE)&gt;0,0,VLOOKUP(A176,'Enroll Data as of January 2025'!$A$3:$T$321,20,FALSE))</f>
        <v>-0.65400000000000003</v>
      </c>
      <c r="C176">
        <f>IF(B176&gt;0,0,ROUND(-B176*'2024-25 PSES Compliance'!$G$13,3))</f>
        <v>0.628</v>
      </c>
      <c r="D176">
        <f t="shared" si="10"/>
        <v>2.6000000000000023E-2</v>
      </c>
      <c r="E176" t="str">
        <f t="shared" si="11"/>
        <v>24111</v>
      </c>
      <c r="F176" t="s">
        <v>710</v>
      </c>
      <c r="G176">
        <f t="shared" si="12"/>
        <v>0.628</v>
      </c>
      <c r="H176" t="str">
        <f t="shared" si="13"/>
        <v>24111</v>
      </c>
      <c r="I176" t="s">
        <v>711</v>
      </c>
      <c r="J176">
        <f t="shared" si="14"/>
        <v>2.6000000000000023E-2</v>
      </c>
    </row>
    <row r="177" spans="1:10" x14ac:dyDescent="0.25">
      <c r="A177" s="43" t="s">
        <v>170</v>
      </c>
      <c r="B177">
        <f>IF(VLOOKUP(A177,'Enroll Data as of January 2025'!$A$3:$T$321,20,FALSE)&gt;0,0,VLOOKUP(A177,'Enroll Data as of January 2025'!$A$3:$T$321,20,FALSE))</f>
        <v>-0.124</v>
      </c>
      <c r="C177">
        <f>IF(B177&gt;0,0,ROUND(-B177*'2024-25 PSES Compliance'!$G$13,3))</f>
        <v>0.11899999999999999</v>
      </c>
      <c r="D177">
        <f t="shared" si="10"/>
        <v>5.0000000000000044E-3</v>
      </c>
      <c r="E177" t="str">
        <f t="shared" si="11"/>
        <v>24122</v>
      </c>
      <c r="F177" t="s">
        <v>710</v>
      </c>
      <c r="G177">
        <f t="shared" si="12"/>
        <v>0.11899999999999999</v>
      </c>
      <c r="H177" t="str">
        <f t="shared" si="13"/>
        <v>24122</v>
      </c>
      <c r="I177" t="s">
        <v>711</v>
      </c>
      <c r="J177">
        <f t="shared" si="14"/>
        <v>5.0000000000000044E-3</v>
      </c>
    </row>
    <row r="178" spans="1:10" x14ac:dyDescent="0.25">
      <c r="A178" s="43" t="s">
        <v>171</v>
      </c>
      <c r="B178">
        <f>IF(VLOOKUP(A178,'Enroll Data as of January 2025'!$A$3:$T$321,20,FALSE)&gt;0,0,VLOOKUP(A178,'Enroll Data as of January 2025'!$A$3:$T$321,20,FALSE))</f>
        <v>-0.245</v>
      </c>
      <c r="C178">
        <f>IF(B178&gt;0,0,ROUND(-B178*'2024-25 PSES Compliance'!$G$13,3))</f>
        <v>0.23499999999999999</v>
      </c>
      <c r="D178">
        <f t="shared" si="10"/>
        <v>1.0000000000000009E-2</v>
      </c>
      <c r="E178" t="str">
        <f t="shared" si="11"/>
        <v>24350</v>
      </c>
      <c r="F178" t="s">
        <v>710</v>
      </c>
      <c r="G178">
        <f t="shared" si="12"/>
        <v>0.23499999999999999</v>
      </c>
      <c r="H178" t="str">
        <f t="shared" si="13"/>
        <v>24350</v>
      </c>
      <c r="I178" t="s">
        <v>711</v>
      </c>
      <c r="J178">
        <f t="shared" si="14"/>
        <v>1.0000000000000009E-2</v>
      </c>
    </row>
    <row r="179" spans="1:10" x14ac:dyDescent="0.25">
      <c r="A179" s="123" t="s">
        <v>172</v>
      </c>
      <c r="B179">
        <f>IF(VLOOKUP(A179,'Enroll Data as of January 2025'!$A$3:$T$321,20,FALSE)&gt;0,0,VLOOKUP(A179,'Enroll Data as of January 2025'!$A$3:$T$321,20,FALSE))</f>
        <v>-1.2669999999999999</v>
      </c>
      <c r="C179">
        <f>IF(B179&gt;0,0,ROUND(-B179*'2024-25 PSES Compliance'!$G$13,3))</f>
        <v>1.216</v>
      </c>
      <c r="D179">
        <f t="shared" si="10"/>
        <v>5.0999999999999934E-2</v>
      </c>
      <c r="E179" t="str">
        <f t="shared" si="11"/>
        <v>24404</v>
      </c>
      <c r="F179" t="s">
        <v>710</v>
      </c>
      <c r="G179">
        <f t="shared" si="12"/>
        <v>1.216</v>
      </c>
      <c r="H179" t="str">
        <f t="shared" si="13"/>
        <v>24404</v>
      </c>
      <c r="I179" t="s">
        <v>711</v>
      </c>
      <c r="J179">
        <f t="shared" si="14"/>
        <v>5.0999999999999934E-2</v>
      </c>
    </row>
    <row r="180" spans="1:10" x14ac:dyDescent="0.25">
      <c r="A180" s="124" t="s">
        <v>173</v>
      </c>
      <c r="B180">
        <f>IF(VLOOKUP(A180,'Enroll Data as of January 2025'!$A$3:$T$321,20,FALSE)&gt;0,0,VLOOKUP(A180,'Enroll Data as of January 2025'!$A$3:$T$321,20,FALSE))</f>
        <v>0</v>
      </c>
      <c r="C180">
        <f>IF(B180&gt;0,0,ROUND(-B180*'2024-25 PSES Compliance'!$G$13,3))</f>
        <v>0</v>
      </c>
      <c r="D180">
        <f t="shared" si="10"/>
        <v>0</v>
      </c>
      <c r="E180" t="str">
        <f t="shared" si="11"/>
        <v>24410</v>
      </c>
      <c r="F180" t="s">
        <v>710</v>
      </c>
      <c r="G180">
        <f t="shared" si="12"/>
        <v>0</v>
      </c>
      <c r="H180" t="str">
        <f t="shared" si="13"/>
        <v>24410</v>
      </c>
      <c r="I180" t="s">
        <v>711</v>
      </c>
      <c r="J180">
        <f t="shared" si="14"/>
        <v>0</v>
      </c>
    </row>
    <row r="181" spans="1:10" x14ac:dyDescent="0.25">
      <c r="A181" s="42" t="s">
        <v>1247</v>
      </c>
      <c r="B181">
        <f>IF(VLOOKUP(A181,'Enroll Data as of January 2025'!$A$3:$T$321,20,FALSE)&gt;0,0,VLOOKUP(A181,'Enroll Data as of January 2025'!$A$3:$T$321,20,FALSE))</f>
        <v>0</v>
      </c>
      <c r="C181">
        <f>IF(B181&gt;0,0,ROUND(-B181*'2024-25 PSES Compliance'!$G$13,3))</f>
        <v>0</v>
      </c>
      <c r="D181">
        <f t="shared" si="10"/>
        <v>0</v>
      </c>
      <c r="E181" t="str">
        <f t="shared" si="11"/>
        <v>24915</v>
      </c>
      <c r="F181" t="s">
        <v>710</v>
      </c>
      <c r="G181">
        <f t="shared" si="12"/>
        <v>0</v>
      </c>
      <c r="H181" t="str">
        <f t="shared" si="13"/>
        <v>24915</v>
      </c>
      <c r="I181" t="s">
        <v>711</v>
      </c>
      <c r="J181">
        <f t="shared" si="14"/>
        <v>0</v>
      </c>
    </row>
    <row r="182" spans="1:10" x14ac:dyDescent="0.25">
      <c r="A182" s="43" t="s">
        <v>174</v>
      </c>
      <c r="B182">
        <f>IF(VLOOKUP(A182,'Enroll Data as of January 2025'!$A$3:$T$321,20,FALSE)&gt;0,0,VLOOKUP(A182,'Enroll Data as of January 2025'!$A$3:$T$321,20,FALSE))</f>
        <v>-1.3779999999999999</v>
      </c>
      <c r="C182">
        <f>IF(B182&gt;0,0,ROUND(-B182*'2024-25 PSES Compliance'!$G$13,3))</f>
        <v>1.323</v>
      </c>
      <c r="D182">
        <f t="shared" si="10"/>
        <v>5.4999999999999938E-2</v>
      </c>
      <c r="E182" t="str">
        <f t="shared" si="11"/>
        <v>25101</v>
      </c>
      <c r="F182" t="s">
        <v>710</v>
      </c>
      <c r="G182">
        <f t="shared" si="12"/>
        <v>1.323</v>
      </c>
      <c r="H182" t="str">
        <f t="shared" si="13"/>
        <v>25101</v>
      </c>
      <c r="I182" t="s">
        <v>711</v>
      </c>
      <c r="J182">
        <f t="shared" si="14"/>
        <v>5.4999999999999938E-2</v>
      </c>
    </row>
    <row r="183" spans="1:10" x14ac:dyDescent="0.25">
      <c r="A183" s="43" t="s">
        <v>175</v>
      </c>
      <c r="B183">
        <f>IF(VLOOKUP(A183,'Enroll Data as of January 2025'!$A$3:$T$321,20,FALSE)&gt;0,0,VLOOKUP(A183,'Enroll Data as of January 2025'!$A$3:$T$321,20,FALSE))</f>
        <v>-0.47199999999999998</v>
      </c>
      <c r="C183">
        <f>IF(B183&gt;0,0,ROUND(-B183*'2024-25 PSES Compliance'!$G$13,3))</f>
        <v>0.45300000000000001</v>
      </c>
      <c r="D183">
        <f t="shared" si="10"/>
        <v>1.8999999999999961E-2</v>
      </c>
      <c r="E183" t="str">
        <f t="shared" si="11"/>
        <v>25116</v>
      </c>
      <c r="F183" t="s">
        <v>710</v>
      </c>
      <c r="G183">
        <f t="shared" si="12"/>
        <v>0.45300000000000001</v>
      </c>
      <c r="H183" t="str">
        <f t="shared" si="13"/>
        <v>25116</v>
      </c>
      <c r="I183" t="s">
        <v>711</v>
      </c>
      <c r="J183">
        <f t="shared" si="14"/>
        <v>1.8999999999999961E-2</v>
      </c>
    </row>
    <row r="184" spans="1:10" x14ac:dyDescent="0.25">
      <c r="A184" s="43" t="s">
        <v>176</v>
      </c>
      <c r="B184">
        <f>IF(VLOOKUP(A184,'Enroll Data as of January 2025'!$A$3:$T$321,20,FALSE)&gt;0,0,VLOOKUP(A184,'Enroll Data as of January 2025'!$A$3:$T$321,20,FALSE))</f>
        <v>-1.0009999999999999</v>
      </c>
      <c r="C184">
        <f>IF(B184&gt;0,0,ROUND(-B184*'2024-25 PSES Compliance'!$G$13,3))</f>
        <v>0.96099999999999997</v>
      </c>
      <c r="D184">
        <f t="shared" si="10"/>
        <v>3.9999999999999925E-2</v>
      </c>
      <c r="E184" t="str">
        <f t="shared" si="11"/>
        <v>25118</v>
      </c>
      <c r="F184" t="s">
        <v>710</v>
      </c>
      <c r="G184">
        <f t="shared" si="12"/>
        <v>0.96099999999999997</v>
      </c>
      <c r="H184" t="str">
        <f t="shared" si="13"/>
        <v>25118</v>
      </c>
      <c r="I184" t="s">
        <v>711</v>
      </c>
      <c r="J184">
        <f t="shared" si="14"/>
        <v>3.9999999999999925E-2</v>
      </c>
    </row>
    <row r="185" spans="1:10" x14ac:dyDescent="0.25">
      <c r="A185" s="43" t="s">
        <v>177</v>
      </c>
      <c r="B185">
        <f>IF(VLOOKUP(A185,'Enroll Data as of January 2025'!$A$3:$T$321,20,FALSE)&gt;0,0,VLOOKUP(A185,'Enroll Data as of January 2025'!$A$3:$T$321,20,FALSE))</f>
        <v>-0.72</v>
      </c>
      <c r="C185">
        <f>IF(B185&gt;0,0,ROUND(-B185*'2024-25 PSES Compliance'!$G$13,3))</f>
        <v>0.69099999999999995</v>
      </c>
      <c r="D185">
        <f t="shared" si="10"/>
        <v>2.9000000000000026E-2</v>
      </c>
      <c r="E185" t="str">
        <f t="shared" si="11"/>
        <v>25155</v>
      </c>
      <c r="F185" t="s">
        <v>710</v>
      </c>
      <c r="G185">
        <f t="shared" si="12"/>
        <v>0.69099999999999995</v>
      </c>
      <c r="H185" t="str">
        <f t="shared" si="13"/>
        <v>25155</v>
      </c>
      <c r="I185" t="s">
        <v>711</v>
      </c>
      <c r="J185">
        <f t="shared" si="14"/>
        <v>2.9000000000000026E-2</v>
      </c>
    </row>
    <row r="186" spans="1:10" x14ac:dyDescent="0.25">
      <c r="A186" s="43" t="s">
        <v>178</v>
      </c>
      <c r="B186">
        <f>IF(VLOOKUP(A186,'Enroll Data as of January 2025'!$A$3:$T$321,20,FALSE)&gt;0,0,VLOOKUP(A186,'Enroll Data as of January 2025'!$A$3:$T$321,20,FALSE))</f>
        <v>0</v>
      </c>
      <c r="C186">
        <f>IF(B186&gt;0,0,ROUND(-B186*'2024-25 PSES Compliance'!$G$13,3))</f>
        <v>0</v>
      </c>
      <c r="D186">
        <f t="shared" si="10"/>
        <v>0</v>
      </c>
      <c r="E186" t="str">
        <f t="shared" si="11"/>
        <v>25160</v>
      </c>
      <c r="F186" t="s">
        <v>710</v>
      </c>
      <c r="G186">
        <f t="shared" si="12"/>
        <v>0</v>
      </c>
      <c r="H186" t="str">
        <f t="shared" si="13"/>
        <v>25160</v>
      </c>
      <c r="I186" t="s">
        <v>711</v>
      </c>
      <c r="J186">
        <f t="shared" si="14"/>
        <v>0</v>
      </c>
    </row>
    <row r="187" spans="1:10" x14ac:dyDescent="0.25">
      <c r="A187" s="43" t="s">
        <v>179</v>
      </c>
      <c r="B187">
        <f>IF(VLOOKUP(A187,'Enroll Data as of January 2025'!$A$3:$T$321,20,FALSE)&gt;0,0,VLOOKUP(A187,'Enroll Data as of January 2025'!$A$3:$T$321,20,FALSE))</f>
        <v>-0.28699999999999998</v>
      </c>
      <c r="C187">
        <f>IF(B187&gt;0,0,ROUND(-B187*'2024-25 PSES Compliance'!$G$13,3))</f>
        <v>0.27600000000000002</v>
      </c>
      <c r="D187">
        <f t="shared" si="10"/>
        <v>1.0999999999999954E-2</v>
      </c>
      <c r="E187" t="str">
        <f t="shared" si="11"/>
        <v>25200</v>
      </c>
      <c r="F187" t="s">
        <v>710</v>
      </c>
      <c r="G187">
        <f t="shared" si="12"/>
        <v>0.27600000000000002</v>
      </c>
      <c r="H187" t="str">
        <f t="shared" si="13"/>
        <v>25200</v>
      </c>
      <c r="I187" t="s">
        <v>711</v>
      </c>
      <c r="J187">
        <f t="shared" si="14"/>
        <v>1.0999999999999954E-2</v>
      </c>
    </row>
    <row r="188" spans="1:10" x14ac:dyDescent="0.25">
      <c r="A188" s="43" t="s">
        <v>180</v>
      </c>
      <c r="B188">
        <f>IF(VLOOKUP(A188,'Enroll Data as of January 2025'!$A$3:$T$321,20,FALSE)&gt;0,0,VLOOKUP(A188,'Enroll Data as of January 2025'!$A$3:$T$321,20,FALSE))</f>
        <v>0</v>
      </c>
      <c r="C188">
        <f>IF(B188&gt;0,0,ROUND(-B188*'2024-25 PSES Compliance'!$G$13,3))</f>
        <v>0</v>
      </c>
      <c r="D188">
        <f t="shared" si="10"/>
        <v>0</v>
      </c>
      <c r="E188" t="str">
        <f t="shared" si="11"/>
        <v>26056</v>
      </c>
      <c r="F188" t="s">
        <v>710</v>
      </c>
      <c r="G188">
        <f t="shared" si="12"/>
        <v>0</v>
      </c>
      <c r="H188" t="str">
        <f t="shared" si="13"/>
        <v>26056</v>
      </c>
      <c r="I188" t="s">
        <v>711</v>
      </c>
      <c r="J188">
        <f t="shared" si="14"/>
        <v>0</v>
      </c>
    </row>
    <row r="189" spans="1:10" x14ac:dyDescent="0.25">
      <c r="A189" s="43" t="s">
        <v>181</v>
      </c>
      <c r="B189">
        <f>IF(VLOOKUP(A189,'Enroll Data as of January 2025'!$A$3:$T$321,20,FALSE)&gt;0,0,VLOOKUP(A189,'Enroll Data as of January 2025'!$A$3:$T$321,20,FALSE))</f>
        <v>0</v>
      </c>
      <c r="C189">
        <f>IF(B189&gt;0,0,ROUND(-B189*'2024-25 PSES Compliance'!$G$13,3))</f>
        <v>0</v>
      </c>
      <c r="D189">
        <f t="shared" si="10"/>
        <v>0</v>
      </c>
      <c r="E189" t="str">
        <f t="shared" si="11"/>
        <v>26059</v>
      </c>
      <c r="F189" t="s">
        <v>710</v>
      </c>
      <c r="G189">
        <f t="shared" si="12"/>
        <v>0</v>
      </c>
      <c r="H189" t="str">
        <f t="shared" si="13"/>
        <v>26059</v>
      </c>
      <c r="I189" t="s">
        <v>711</v>
      </c>
      <c r="J189">
        <f t="shared" si="14"/>
        <v>0</v>
      </c>
    </row>
    <row r="190" spans="1:10" x14ac:dyDescent="0.25">
      <c r="A190" s="122" t="s">
        <v>182</v>
      </c>
      <c r="B190">
        <f>IF(VLOOKUP(A190,'Enroll Data as of January 2025'!$A$3:$T$321,20,FALSE)&gt;0,0,VLOOKUP(A190,'Enroll Data as of January 2025'!$A$3:$T$321,20,FALSE))</f>
        <v>0</v>
      </c>
      <c r="C190">
        <f>IF(B190&gt;0,0,ROUND(-B190*'2024-25 PSES Compliance'!$G$13,3))</f>
        <v>0</v>
      </c>
      <c r="D190">
        <f t="shared" si="10"/>
        <v>0</v>
      </c>
      <c r="E190" t="str">
        <f t="shared" si="11"/>
        <v>26070</v>
      </c>
      <c r="F190" t="s">
        <v>710</v>
      </c>
      <c r="G190">
        <f t="shared" si="12"/>
        <v>0</v>
      </c>
      <c r="H190" t="str">
        <f t="shared" si="13"/>
        <v>26070</v>
      </c>
      <c r="I190" t="s">
        <v>711</v>
      </c>
      <c r="J190">
        <f t="shared" si="14"/>
        <v>0</v>
      </c>
    </row>
    <row r="191" spans="1:10" x14ac:dyDescent="0.25">
      <c r="A191" s="43" t="s">
        <v>183</v>
      </c>
      <c r="B191">
        <f>IF(VLOOKUP(A191,'Enroll Data as of January 2025'!$A$3:$T$321,20,FALSE)&gt;0,0,VLOOKUP(A191,'Enroll Data as of January 2025'!$A$3:$T$321,20,FALSE))</f>
        <v>0</v>
      </c>
      <c r="C191">
        <f>IF(B191&gt;0,0,ROUND(-B191*'2024-25 PSES Compliance'!$G$13,3))</f>
        <v>0</v>
      </c>
      <c r="D191">
        <f t="shared" si="10"/>
        <v>0</v>
      </c>
      <c r="E191" t="str">
        <f t="shared" si="11"/>
        <v>27001</v>
      </c>
      <c r="F191" t="s">
        <v>710</v>
      </c>
      <c r="G191">
        <f t="shared" si="12"/>
        <v>0</v>
      </c>
      <c r="H191" t="str">
        <f t="shared" si="13"/>
        <v>27001</v>
      </c>
      <c r="I191" t="s">
        <v>711</v>
      </c>
      <c r="J191">
        <f t="shared" si="14"/>
        <v>0</v>
      </c>
    </row>
    <row r="192" spans="1:10" x14ac:dyDescent="0.25">
      <c r="A192" s="43" t="s">
        <v>184</v>
      </c>
      <c r="B192">
        <f>IF(VLOOKUP(A192,'Enroll Data as of January 2025'!$A$3:$T$321,20,FALSE)&gt;0,0,VLOOKUP(A192,'Enroll Data as of January 2025'!$A$3:$T$321,20,FALSE))</f>
        <v>0</v>
      </c>
      <c r="C192">
        <f>IF(B192&gt;0,0,ROUND(-B192*'2024-25 PSES Compliance'!$G$13,3))</f>
        <v>0</v>
      </c>
      <c r="D192">
        <f t="shared" si="10"/>
        <v>0</v>
      </c>
      <c r="E192" t="str">
        <f t="shared" si="11"/>
        <v>27003</v>
      </c>
      <c r="F192" t="s">
        <v>710</v>
      </c>
      <c r="G192">
        <f t="shared" si="12"/>
        <v>0</v>
      </c>
      <c r="H192" t="str">
        <f t="shared" si="13"/>
        <v>27003</v>
      </c>
      <c r="I192" t="s">
        <v>711</v>
      </c>
      <c r="J192">
        <f t="shared" si="14"/>
        <v>0</v>
      </c>
    </row>
    <row r="193" spans="1:10" x14ac:dyDescent="0.25">
      <c r="A193" s="42" t="s">
        <v>185</v>
      </c>
      <c r="B193">
        <f>IF(VLOOKUP(A193,'Enroll Data as of January 2025'!$A$3:$T$321,20,FALSE)&gt;0,0,VLOOKUP(A193,'Enroll Data as of January 2025'!$A$3:$T$321,20,FALSE))</f>
        <v>0</v>
      </c>
      <c r="C193">
        <f>IF(B193&gt;0,0,ROUND(-B193*'2024-25 PSES Compliance'!$G$13,3))</f>
        <v>0</v>
      </c>
      <c r="D193">
        <f t="shared" si="10"/>
        <v>0</v>
      </c>
      <c r="E193" t="str">
        <f t="shared" si="11"/>
        <v>27010</v>
      </c>
      <c r="F193" t="s">
        <v>710</v>
      </c>
      <c r="G193">
        <f t="shared" si="12"/>
        <v>0</v>
      </c>
      <c r="H193" t="str">
        <f t="shared" si="13"/>
        <v>27010</v>
      </c>
      <c r="I193" t="s">
        <v>711</v>
      </c>
      <c r="J193">
        <f t="shared" si="14"/>
        <v>0</v>
      </c>
    </row>
    <row r="194" spans="1:10" x14ac:dyDescent="0.25">
      <c r="A194" s="43" t="s">
        <v>186</v>
      </c>
      <c r="B194">
        <f>IF(VLOOKUP(A194,'Enroll Data as of January 2025'!$A$3:$T$321,20,FALSE)&gt;0,0,VLOOKUP(A194,'Enroll Data as of January 2025'!$A$3:$T$321,20,FALSE))</f>
        <v>-0.995</v>
      </c>
      <c r="C194">
        <f>IF(B194&gt;0,0,ROUND(-B194*'2024-25 PSES Compliance'!$G$13,3))</f>
        <v>0.95499999999999996</v>
      </c>
      <c r="D194">
        <f t="shared" ref="D194:D257" si="15">IF(B194&gt;0,0,(-B194-C194))</f>
        <v>4.0000000000000036E-2</v>
      </c>
      <c r="E194" t="str">
        <f t="shared" ref="E194:E257" si="16">$A194</f>
        <v>27019</v>
      </c>
      <c r="F194" t="s">
        <v>710</v>
      </c>
      <c r="G194">
        <f t="shared" ref="G194:G257" si="17">C194</f>
        <v>0.95499999999999996</v>
      </c>
      <c r="H194" t="str">
        <f t="shared" ref="H194:H257" si="18">$A194</f>
        <v>27019</v>
      </c>
      <c r="I194" t="s">
        <v>711</v>
      </c>
      <c r="J194">
        <f t="shared" ref="J194:J257" si="19">D194</f>
        <v>4.0000000000000036E-2</v>
      </c>
    </row>
    <row r="195" spans="1:10" x14ac:dyDescent="0.25">
      <c r="A195" s="43" t="s">
        <v>187</v>
      </c>
      <c r="B195">
        <f>IF(VLOOKUP(A195,'Enroll Data as of January 2025'!$A$3:$T$321,20,FALSE)&gt;0,0,VLOOKUP(A195,'Enroll Data as of January 2025'!$A$3:$T$321,20,FALSE))</f>
        <v>0</v>
      </c>
      <c r="C195">
        <f>IF(B195&gt;0,0,ROUND(-B195*'2024-25 PSES Compliance'!$G$13,3))</f>
        <v>0</v>
      </c>
      <c r="D195">
        <f t="shared" si="15"/>
        <v>0</v>
      </c>
      <c r="E195" t="str">
        <f t="shared" si="16"/>
        <v>27083</v>
      </c>
      <c r="F195" t="s">
        <v>710</v>
      </c>
      <c r="G195">
        <f t="shared" si="17"/>
        <v>0</v>
      </c>
      <c r="H195" t="str">
        <f t="shared" si="18"/>
        <v>27083</v>
      </c>
      <c r="I195" t="s">
        <v>711</v>
      </c>
      <c r="J195">
        <f t="shared" si="19"/>
        <v>0</v>
      </c>
    </row>
    <row r="196" spans="1:10" x14ac:dyDescent="0.25">
      <c r="A196" s="43" t="s">
        <v>188</v>
      </c>
      <c r="B196">
        <f>IF(VLOOKUP(A196,'Enroll Data as of January 2025'!$A$3:$T$321,20,FALSE)&gt;0,0,VLOOKUP(A196,'Enroll Data as of January 2025'!$A$3:$T$321,20,FALSE))</f>
        <v>0</v>
      </c>
      <c r="C196">
        <f>IF(B196&gt;0,0,ROUND(-B196*'2024-25 PSES Compliance'!$G$13,3))</f>
        <v>0</v>
      </c>
      <c r="D196">
        <f t="shared" si="15"/>
        <v>0</v>
      </c>
      <c r="E196" t="str">
        <f t="shared" si="16"/>
        <v>27320</v>
      </c>
      <c r="F196" t="s">
        <v>710</v>
      </c>
      <c r="G196">
        <f t="shared" si="17"/>
        <v>0</v>
      </c>
      <c r="H196" t="str">
        <f t="shared" si="18"/>
        <v>27320</v>
      </c>
      <c r="I196" t="s">
        <v>711</v>
      </c>
      <c r="J196">
        <f t="shared" si="19"/>
        <v>0</v>
      </c>
    </row>
    <row r="197" spans="1:10" x14ac:dyDescent="0.25">
      <c r="A197" s="43" t="s">
        <v>189</v>
      </c>
      <c r="B197">
        <f>IF(VLOOKUP(A197,'Enroll Data as of January 2025'!$A$3:$T$321,20,FALSE)&gt;0,0,VLOOKUP(A197,'Enroll Data as of January 2025'!$A$3:$T$321,20,FALSE))</f>
        <v>0</v>
      </c>
      <c r="C197">
        <f>IF(B197&gt;0,0,ROUND(-B197*'2024-25 PSES Compliance'!$G$13,3))</f>
        <v>0</v>
      </c>
      <c r="D197">
        <f t="shared" si="15"/>
        <v>0</v>
      </c>
      <c r="E197" t="str">
        <f t="shared" si="16"/>
        <v>27343</v>
      </c>
      <c r="F197" t="s">
        <v>710</v>
      </c>
      <c r="G197">
        <f t="shared" si="17"/>
        <v>0</v>
      </c>
      <c r="H197" t="str">
        <f t="shared" si="18"/>
        <v>27343</v>
      </c>
      <c r="I197" t="s">
        <v>711</v>
      </c>
      <c r="J197">
        <f t="shared" si="19"/>
        <v>0</v>
      </c>
    </row>
    <row r="198" spans="1:10" x14ac:dyDescent="0.25">
      <c r="A198" s="43" t="s">
        <v>190</v>
      </c>
      <c r="B198">
        <f>IF(VLOOKUP(A198,'Enroll Data as of January 2025'!$A$3:$T$321,20,FALSE)&gt;0,0,VLOOKUP(A198,'Enroll Data as of January 2025'!$A$3:$T$321,20,FALSE))</f>
        <v>0</v>
      </c>
      <c r="C198">
        <f>IF(B198&gt;0,0,ROUND(-B198*'2024-25 PSES Compliance'!$G$13,3))</f>
        <v>0</v>
      </c>
      <c r="D198">
        <f t="shared" si="15"/>
        <v>0</v>
      </c>
      <c r="E198" t="str">
        <f t="shared" si="16"/>
        <v>27344</v>
      </c>
      <c r="F198" t="s">
        <v>710</v>
      </c>
      <c r="G198">
        <f t="shared" si="17"/>
        <v>0</v>
      </c>
      <c r="H198" t="str">
        <f t="shared" si="18"/>
        <v>27344</v>
      </c>
      <c r="I198" t="s">
        <v>711</v>
      </c>
      <c r="J198">
        <f t="shared" si="19"/>
        <v>0</v>
      </c>
    </row>
    <row r="199" spans="1:10" x14ac:dyDescent="0.25">
      <c r="A199" s="43" t="s">
        <v>191</v>
      </c>
      <c r="B199">
        <f>IF(VLOOKUP(A199,'Enroll Data as of January 2025'!$A$3:$T$321,20,FALSE)&gt;0,0,VLOOKUP(A199,'Enroll Data as of January 2025'!$A$3:$T$321,20,FALSE))</f>
        <v>0</v>
      </c>
      <c r="C199">
        <f>IF(B199&gt;0,0,ROUND(-B199*'2024-25 PSES Compliance'!$G$13,3))</f>
        <v>0</v>
      </c>
      <c r="D199">
        <f t="shared" si="15"/>
        <v>0</v>
      </c>
      <c r="E199" t="str">
        <f t="shared" si="16"/>
        <v>27400</v>
      </c>
      <c r="F199" t="s">
        <v>710</v>
      </c>
      <c r="G199">
        <f t="shared" si="17"/>
        <v>0</v>
      </c>
      <c r="H199" t="str">
        <f t="shared" si="18"/>
        <v>27400</v>
      </c>
      <c r="I199" t="s">
        <v>711</v>
      </c>
      <c r="J199">
        <f t="shared" si="19"/>
        <v>0</v>
      </c>
    </row>
    <row r="200" spans="1:10" x14ac:dyDescent="0.25">
      <c r="A200" s="43" t="s">
        <v>192</v>
      </c>
      <c r="B200">
        <f>IF(VLOOKUP(A200,'Enroll Data as of January 2025'!$A$3:$T$321,20,FALSE)&gt;0,0,VLOOKUP(A200,'Enroll Data as of January 2025'!$A$3:$T$321,20,FALSE))</f>
        <v>0</v>
      </c>
      <c r="C200">
        <f>IF(B200&gt;0,0,ROUND(-B200*'2024-25 PSES Compliance'!$G$13,3))</f>
        <v>0</v>
      </c>
      <c r="D200">
        <f t="shared" si="15"/>
        <v>0</v>
      </c>
      <c r="E200" t="str">
        <f t="shared" si="16"/>
        <v>27401</v>
      </c>
      <c r="F200" t="s">
        <v>710</v>
      </c>
      <c r="G200">
        <f t="shared" si="17"/>
        <v>0</v>
      </c>
      <c r="H200" t="str">
        <f t="shared" si="18"/>
        <v>27401</v>
      </c>
      <c r="I200" t="s">
        <v>711</v>
      </c>
      <c r="J200">
        <f t="shared" si="19"/>
        <v>0</v>
      </c>
    </row>
    <row r="201" spans="1:10" x14ac:dyDescent="0.25">
      <c r="A201" s="43" t="s">
        <v>193</v>
      </c>
      <c r="B201">
        <f>IF(VLOOKUP(A201,'Enroll Data as of January 2025'!$A$3:$T$321,20,FALSE)&gt;0,0,VLOOKUP(A201,'Enroll Data as of January 2025'!$A$3:$T$321,20,FALSE))</f>
        <v>0</v>
      </c>
      <c r="C201">
        <f>IF(B201&gt;0,0,ROUND(-B201*'2024-25 PSES Compliance'!$G$13,3))</f>
        <v>0</v>
      </c>
      <c r="D201">
        <f t="shared" si="15"/>
        <v>0</v>
      </c>
      <c r="E201" t="str">
        <f t="shared" si="16"/>
        <v>27402</v>
      </c>
      <c r="F201" t="s">
        <v>710</v>
      </c>
      <c r="G201">
        <f t="shared" si="17"/>
        <v>0</v>
      </c>
      <c r="H201" t="str">
        <f t="shared" si="18"/>
        <v>27402</v>
      </c>
      <c r="I201" t="s">
        <v>711</v>
      </c>
      <c r="J201">
        <f t="shared" si="19"/>
        <v>0</v>
      </c>
    </row>
    <row r="202" spans="1:10" x14ac:dyDescent="0.25">
      <c r="A202" s="43" t="s">
        <v>194</v>
      </c>
      <c r="B202">
        <f>IF(VLOOKUP(A202,'Enroll Data as of January 2025'!$A$3:$T$321,20,FALSE)&gt;0,0,VLOOKUP(A202,'Enroll Data as of January 2025'!$A$3:$T$321,20,FALSE))</f>
        <v>0</v>
      </c>
      <c r="C202">
        <f>IF(B202&gt;0,0,ROUND(-B202*'2024-25 PSES Compliance'!$G$13,3))</f>
        <v>0</v>
      </c>
      <c r="D202">
        <f t="shared" si="15"/>
        <v>0</v>
      </c>
      <c r="E202" t="str">
        <f t="shared" si="16"/>
        <v>27403</v>
      </c>
      <c r="F202" t="s">
        <v>710</v>
      </c>
      <c r="G202">
        <f t="shared" si="17"/>
        <v>0</v>
      </c>
      <c r="H202" t="str">
        <f t="shared" si="18"/>
        <v>27403</v>
      </c>
      <c r="I202" t="s">
        <v>711</v>
      </c>
      <c r="J202">
        <f t="shared" si="19"/>
        <v>0</v>
      </c>
    </row>
    <row r="203" spans="1:10" x14ac:dyDescent="0.25">
      <c r="A203" s="43" t="s">
        <v>195</v>
      </c>
      <c r="B203">
        <f>IF(VLOOKUP(A203,'Enroll Data as of January 2025'!$A$3:$T$321,20,FALSE)&gt;0,0,VLOOKUP(A203,'Enroll Data as of January 2025'!$A$3:$T$321,20,FALSE))</f>
        <v>0</v>
      </c>
      <c r="C203">
        <f>IF(B203&gt;0,0,ROUND(-B203*'2024-25 PSES Compliance'!$G$13,3))</f>
        <v>0</v>
      </c>
      <c r="D203">
        <f t="shared" si="15"/>
        <v>0</v>
      </c>
      <c r="E203" t="str">
        <f t="shared" si="16"/>
        <v>27404</v>
      </c>
      <c r="F203" t="s">
        <v>710</v>
      </c>
      <c r="G203">
        <f t="shared" si="17"/>
        <v>0</v>
      </c>
      <c r="H203" t="str">
        <f t="shared" si="18"/>
        <v>27404</v>
      </c>
      <c r="I203" t="s">
        <v>711</v>
      </c>
      <c r="J203">
        <f t="shared" si="19"/>
        <v>0</v>
      </c>
    </row>
    <row r="204" spans="1:10" x14ac:dyDescent="0.25">
      <c r="A204" s="43" t="s">
        <v>196</v>
      </c>
      <c r="B204">
        <f>IF(VLOOKUP(A204,'Enroll Data as of January 2025'!$A$3:$T$321,20,FALSE)&gt;0,0,VLOOKUP(A204,'Enroll Data as of January 2025'!$A$3:$T$321,20,FALSE))</f>
        <v>0</v>
      </c>
      <c r="C204">
        <f>IF(B204&gt;0,0,ROUND(-B204*'2024-25 PSES Compliance'!$G$13,3))</f>
        <v>0</v>
      </c>
      <c r="D204">
        <f t="shared" si="15"/>
        <v>0</v>
      </c>
      <c r="E204" t="str">
        <f t="shared" si="16"/>
        <v>27416</v>
      </c>
      <c r="F204" t="s">
        <v>710</v>
      </c>
      <c r="G204">
        <f t="shared" si="17"/>
        <v>0</v>
      </c>
      <c r="H204" t="str">
        <f t="shared" si="18"/>
        <v>27416</v>
      </c>
      <c r="I204" t="s">
        <v>711</v>
      </c>
      <c r="J204">
        <f t="shared" si="19"/>
        <v>0</v>
      </c>
    </row>
    <row r="205" spans="1:10" x14ac:dyDescent="0.25">
      <c r="A205" s="122" t="s">
        <v>197</v>
      </c>
      <c r="B205">
        <f>IF(VLOOKUP(A205,'Enroll Data as of January 2025'!$A$3:$T$321,20,FALSE)&gt;0,0,VLOOKUP(A205,'Enroll Data as of January 2025'!$A$3:$T$321,20,FALSE))</f>
        <v>0</v>
      </c>
      <c r="C205">
        <f>IF(B205&gt;0,0,ROUND(-B205*'2024-25 PSES Compliance'!$G$13,3))</f>
        <v>0</v>
      </c>
      <c r="D205">
        <f t="shared" si="15"/>
        <v>0</v>
      </c>
      <c r="E205" t="str">
        <f t="shared" si="16"/>
        <v>27417</v>
      </c>
      <c r="F205" t="s">
        <v>710</v>
      </c>
      <c r="G205">
        <f t="shared" si="17"/>
        <v>0</v>
      </c>
      <c r="H205" t="str">
        <f t="shared" si="18"/>
        <v>27417</v>
      </c>
      <c r="I205" t="s">
        <v>711</v>
      </c>
      <c r="J205">
        <f t="shared" si="19"/>
        <v>0</v>
      </c>
    </row>
    <row r="206" spans="1:10" x14ac:dyDescent="0.25">
      <c r="A206" s="43" t="s">
        <v>632</v>
      </c>
      <c r="B206">
        <f>IF(VLOOKUP(A206,'Enroll Data as of January 2025'!$A$3:$T$321,20,FALSE)&gt;0,0,VLOOKUP(A206,'Enroll Data as of January 2025'!$A$3:$T$321,20,FALSE))</f>
        <v>0</v>
      </c>
      <c r="C206">
        <f>IF(B206&gt;0,0,ROUND(-B206*'2024-25 PSES Compliance'!$G$13,3))</f>
        <v>0</v>
      </c>
      <c r="D206">
        <f t="shared" si="15"/>
        <v>0</v>
      </c>
      <c r="E206" t="str">
        <f t="shared" si="16"/>
        <v>27901</v>
      </c>
      <c r="F206" t="s">
        <v>710</v>
      </c>
      <c r="G206">
        <f t="shared" si="17"/>
        <v>0</v>
      </c>
      <c r="H206" t="str">
        <f t="shared" si="18"/>
        <v>27901</v>
      </c>
      <c r="I206" t="s">
        <v>711</v>
      </c>
      <c r="J206">
        <f t="shared" si="19"/>
        <v>0</v>
      </c>
    </row>
    <row r="207" spans="1:10" x14ac:dyDescent="0.25">
      <c r="A207" s="43" t="s">
        <v>666</v>
      </c>
      <c r="B207">
        <f>IF(VLOOKUP(A207,'Enroll Data as of January 2025'!$A$3:$T$321,20,FALSE)&gt;0,0,VLOOKUP(A207,'Enroll Data as of January 2025'!$A$3:$T$321,20,FALSE))</f>
        <v>0</v>
      </c>
      <c r="C207">
        <f>IF(B207&gt;0,0,ROUND(-B207*'2024-25 PSES Compliance'!$G$13,3))</f>
        <v>0</v>
      </c>
      <c r="D207">
        <f t="shared" si="15"/>
        <v>0</v>
      </c>
      <c r="E207" t="str">
        <f t="shared" si="16"/>
        <v>27902</v>
      </c>
      <c r="F207" t="s">
        <v>710</v>
      </c>
      <c r="G207">
        <f t="shared" si="17"/>
        <v>0</v>
      </c>
      <c r="H207" t="str">
        <f t="shared" si="18"/>
        <v>27902</v>
      </c>
      <c r="I207" t="s">
        <v>711</v>
      </c>
      <c r="J207">
        <f t="shared" si="19"/>
        <v>0</v>
      </c>
    </row>
    <row r="208" spans="1:10" x14ac:dyDescent="0.25">
      <c r="A208" s="43" t="s">
        <v>626</v>
      </c>
      <c r="B208">
        <f>IF(VLOOKUP(A208,'Enroll Data as of January 2025'!$A$3:$T$321,20,FALSE)&gt;0,0,VLOOKUP(A208,'Enroll Data as of January 2025'!$A$3:$T$321,20,FALSE))</f>
        <v>0</v>
      </c>
      <c r="C208">
        <f>IF(B208&gt;0,0,ROUND(-B208*'2024-25 PSES Compliance'!$G$13,3))</f>
        <v>0</v>
      </c>
      <c r="D208">
        <f t="shared" si="15"/>
        <v>0</v>
      </c>
      <c r="E208" t="str">
        <f t="shared" si="16"/>
        <v>27905</v>
      </c>
      <c r="F208" t="s">
        <v>710</v>
      </c>
      <c r="G208">
        <f t="shared" si="17"/>
        <v>0</v>
      </c>
      <c r="H208" t="str">
        <f t="shared" si="18"/>
        <v>27905</v>
      </c>
      <c r="I208" t="s">
        <v>711</v>
      </c>
      <c r="J208">
        <f t="shared" si="19"/>
        <v>0</v>
      </c>
    </row>
    <row r="209" spans="1:10" x14ac:dyDescent="0.25">
      <c r="A209" s="43" t="s">
        <v>198</v>
      </c>
      <c r="B209">
        <f>IF(VLOOKUP(A209,'Enroll Data as of January 2025'!$A$3:$T$321,20,FALSE)&gt;0,0,VLOOKUP(A209,'Enroll Data as of January 2025'!$A$3:$T$321,20,FALSE))</f>
        <v>-3.7999999999999999E-2</v>
      </c>
      <c r="C209">
        <f>IF(B209&gt;0,0,ROUND(-B209*'2024-25 PSES Compliance'!$G$13,3))</f>
        <v>3.5999999999999997E-2</v>
      </c>
      <c r="D209">
        <f t="shared" si="15"/>
        <v>2.0000000000000018E-3</v>
      </c>
      <c r="E209" t="str">
        <f t="shared" si="16"/>
        <v>28010</v>
      </c>
      <c r="F209" t="s">
        <v>710</v>
      </c>
      <c r="G209">
        <f t="shared" si="17"/>
        <v>3.5999999999999997E-2</v>
      </c>
      <c r="H209" t="str">
        <f t="shared" si="18"/>
        <v>28010</v>
      </c>
      <c r="I209" t="s">
        <v>711</v>
      </c>
      <c r="J209">
        <f t="shared" si="19"/>
        <v>2.0000000000000018E-3</v>
      </c>
    </row>
    <row r="210" spans="1:10" x14ac:dyDescent="0.25">
      <c r="A210" s="43" t="s">
        <v>199</v>
      </c>
      <c r="B210">
        <f>IF(VLOOKUP(A210,'Enroll Data as of January 2025'!$A$3:$T$321,20,FALSE)&gt;0,0,VLOOKUP(A210,'Enroll Data as of January 2025'!$A$3:$T$321,20,FALSE))</f>
        <v>-0.91100000000000003</v>
      </c>
      <c r="C210">
        <f>IF(B210&gt;0,0,ROUND(-B210*'2024-25 PSES Compliance'!$G$13,3))</f>
        <v>0.875</v>
      </c>
      <c r="D210">
        <f t="shared" si="15"/>
        <v>3.6000000000000032E-2</v>
      </c>
      <c r="E210" t="str">
        <f t="shared" si="16"/>
        <v>28137</v>
      </c>
      <c r="F210" t="s">
        <v>710</v>
      </c>
      <c r="G210">
        <f t="shared" si="17"/>
        <v>0.875</v>
      </c>
      <c r="H210" t="str">
        <f t="shared" si="18"/>
        <v>28137</v>
      </c>
      <c r="I210" t="s">
        <v>711</v>
      </c>
      <c r="J210">
        <f t="shared" si="19"/>
        <v>3.6000000000000032E-2</v>
      </c>
    </row>
    <row r="211" spans="1:10" x14ac:dyDescent="0.25">
      <c r="A211" s="43" t="s">
        <v>200</v>
      </c>
      <c r="B211">
        <f>IF(VLOOKUP(A211,'Enroll Data as of January 2025'!$A$3:$T$321,20,FALSE)&gt;0,0,VLOOKUP(A211,'Enroll Data as of January 2025'!$A$3:$T$321,20,FALSE))</f>
        <v>0</v>
      </c>
      <c r="C211">
        <f>IF(B211&gt;0,0,ROUND(-B211*'2024-25 PSES Compliance'!$G$13,3))</f>
        <v>0</v>
      </c>
      <c r="D211">
        <f t="shared" si="15"/>
        <v>0</v>
      </c>
      <c r="E211" t="str">
        <f t="shared" si="16"/>
        <v>28144</v>
      </c>
      <c r="F211" t="s">
        <v>710</v>
      </c>
      <c r="G211">
        <f t="shared" si="17"/>
        <v>0</v>
      </c>
      <c r="H211" t="str">
        <f t="shared" si="18"/>
        <v>28144</v>
      </c>
      <c r="I211" t="s">
        <v>711</v>
      </c>
      <c r="J211">
        <f t="shared" si="19"/>
        <v>0</v>
      </c>
    </row>
    <row r="212" spans="1:10" x14ac:dyDescent="0.25">
      <c r="A212" s="43" t="s">
        <v>201</v>
      </c>
      <c r="B212">
        <f>IF(VLOOKUP(A212,'Enroll Data as of January 2025'!$A$3:$T$321,20,FALSE)&gt;0,0,VLOOKUP(A212,'Enroll Data as of January 2025'!$A$3:$T$321,20,FALSE))</f>
        <v>0</v>
      </c>
      <c r="C212">
        <f>IF(B212&gt;0,0,ROUND(-B212*'2024-25 PSES Compliance'!$G$13,3))</f>
        <v>0</v>
      </c>
      <c r="D212">
        <f t="shared" si="15"/>
        <v>0</v>
      </c>
      <c r="E212" t="str">
        <f t="shared" si="16"/>
        <v>28149</v>
      </c>
      <c r="F212" t="s">
        <v>710</v>
      </c>
      <c r="G212">
        <f t="shared" si="17"/>
        <v>0</v>
      </c>
      <c r="H212" t="str">
        <f t="shared" si="18"/>
        <v>28149</v>
      </c>
      <c r="I212" t="s">
        <v>711</v>
      </c>
      <c r="J212">
        <f t="shared" si="19"/>
        <v>0</v>
      </c>
    </row>
    <row r="213" spans="1:10" x14ac:dyDescent="0.25">
      <c r="A213" s="43" t="s">
        <v>202</v>
      </c>
      <c r="B213">
        <f>IF(VLOOKUP(A213,'Enroll Data as of January 2025'!$A$3:$T$321,20,FALSE)&gt;0,0,VLOOKUP(A213,'Enroll Data as of January 2025'!$A$3:$T$321,20,FALSE))</f>
        <v>0</v>
      </c>
      <c r="C213">
        <f>IF(B213&gt;0,0,ROUND(-B213*'2024-25 PSES Compliance'!$G$13,3))</f>
        <v>0</v>
      </c>
      <c r="D213">
        <f t="shared" si="15"/>
        <v>0</v>
      </c>
      <c r="E213" t="str">
        <f t="shared" si="16"/>
        <v>29011</v>
      </c>
      <c r="F213" t="s">
        <v>710</v>
      </c>
      <c r="G213">
        <f t="shared" si="17"/>
        <v>0</v>
      </c>
      <c r="H213" t="str">
        <f t="shared" si="18"/>
        <v>29011</v>
      </c>
      <c r="I213" t="s">
        <v>711</v>
      </c>
      <c r="J213">
        <f t="shared" si="19"/>
        <v>0</v>
      </c>
    </row>
    <row r="214" spans="1:10" x14ac:dyDescent="0.25">
      <c r="A214" s="43" t="s">
        <v>203</v>
      </c>
      <c r="B214">
        <f>IF(VLOOKUP(A214,'Enroll Data as of January 2025'!$A$3:$T$321,20,FALSE)&gt;0,0,VLOOKUP(A214,'Enroll Data as of January 2025'!$A$3:$T$321,20,FALSE))</f>
        <v>0</v>
      </c>
      <c r="C214">
        <f>IF(B214&gt;0,0,ROUND(-B214*'2024-25 PSES Compliance'!$G$13,3))</f>
        <v>0</v>
      </c>
      <c r="D214">
        <f t="shared" si="15"/>
        <v>0</v>
      </c>
      <c r="E214" t="str">
        <f t="shared" si="16"/>
        <v>29100</v>
      </c>
      <c r="F214" t="s">
        <v>710</v>
      </c>
      <c r="G214">
        <f t="shared" si="17"/>
        <v>0</v>
      </c>
      <c r="H214" t="str">
        <f t="shared" si="18"/>
        <v>29100</v>
      </c>
      <c r="I214" t="s">
        <v>711</v>
      </c>
      <c r="J214">
        <f t="shared" si="19"/>
        <v>0</v>
      </c>
    </row>
    <row r="215" spans="1:10" x14ac:dyDescent="0.25">
      <c r="A215" s="43" t="s">
        <v>204</v>
      </c>
      <c r="B215">
        <f>IF(VLOOKUP(A215,'Enroll Data as of January 2025'!$A$3:$T$321,20,FALSE)&gt;0,0,VLOOKUP(A215,'Enroll Data as of January 2025'!$A$3:$T$321,20,FALSE))</f>
        <v>0</v>
      </c>
      <c r="C215">
        <f>IF(B215&gt;0,0,ROUND(-B215*'2024-25 PSES Compliance'!$G$13,3))</f>
        <v>0</v>
      </c>
      <c r="D215">
        <f t="shared" si="15"/>
        <v>0</v>
      </c>
      <c r="E215" t="str">
        <f t="shared" si="16"/>
        <v>29101</v>
      </c>
      <c r="F215" t="s">
        <v>710</v>
      </c>
      <c r="G215">
        <f t="shared" si="17"/>
        <v>0</v>
      </c>
      <c r="H215" t="str">
        <f t="shared" si="18"/>
        <v>29101</v>
      </c>
      <c r="I215" t="s">
        <v>711</v>
      </c>
      <c r="J215">
        <f t="shared" si="19"/>
        <v>0</v>
      </c>
    </row>
    <row r="216" spans="1:10" x14ac:dyDescent="0.25">
      <c r="A216" s="43" t="s">
        <v>205</v>
      </c>
      <c r="B216">
        <f>IF(VLOOKUP(A216,'Enroll Data as of January 2025'!$A$3:$T$321,20,FALSE)&gt;0,0,VLOOKUP(A216,'Enroll Data as of January 2025'!$A$3:$T$321,20,FALSE))</f>
        <v>0</v>
      </c>
      <c r="C216">
        <f>IF(B216&gt;0,0,ROUND(-B216*'2024-25 PSES Compliance'!$G$13,3))</f>
        <v>0</v>
      </c>
      <c r="D216">
        <f t="shared" si="15"/>
        <v>0</v>
      </c>
      <c r="E216" t="str">
        <f t="shared" si="16"/>
        <v>29103</v>
      </c>
      <c r="F216" t="s">
        <v>710</v>
      </c>
      <c r="G216">
        <f t="shared" si="17"/>
        <v>0</v>
      </c>
      <c r="H216" t="str">
        <f t="shared" si="18"/>
        <v>29103</v>
      </c>
      <c r="I216" t="s">
        <v>711</v>
      </c>
      <c r="J216">
        <f t="shared" si="19"/>
        <v>0</v>
      </c>
    </row>
    <row r="217" spans="1:10" x14ac:dyDescent="0.25">
      <c r="A217" s="43" t="s">
        <v>206</v>
      </c>
      <c r="B217">
        <f>IF(VLOOKUP(A217,'Enroll Data as of January 2025'!$A$3:$T$321,20,FALSE)&gt;0,0,VLOOKUP(A217,'Enroll Data as of January 2025'!$A$3:$T$321,20,FALSE))</f>
        <v>0</v>
      </c>
      <c r="C217">
        <f>IF(B217&gt;0,0,ROUND(-B217*'2024-25 PSES Compliance'!$G$13,3))</f>
        <v>0</v>
      </c>
      <c r="D217">
        <f t="shared" si="15"/>
        <v>0</v>
      </c>
      <c r="E217" t="str">
        <f t="shared" si="16"/>
        <v>29311</v>
      </c>
      <c r="F217" t="s">
        <v>710</v>
      </c>
      <c r="G217">
        <f t="shared" si="17"/>
        <v>0</v>
      </c>
      <c r="H217" t="str">
        <f t="shared" si="18"/>
        <v>29311</v>
      </c>
      <c r="I217" t="s">
        <v>711</v>
      </c>
      <c r="J217">
        <f t="shared" si="19"/>
        <v>0</v>
      </c>
    </row>
    <row r="218" spans="1:10" x14ac:dyDescent="0.25">
      <c r="A218" s="43" t="s">
        <v>207</v>
      </c>
      <c r="B218">
        <f>IF(VLOOKUP(A218,'Enroll Data as of January 2025'!$A$3:$T$321,20,FALSE)&gt;0,0,VLOOKUP(A218,'Enroll Data as of January 2025'!$A$3:$T$321,20,FALSE))</f>
        <v>-0.51500000000000001</v>
      </c>
      <c r="C218">
        <f>IF(B218&gt;0,0,ROUND(-B218*'2024-25 PSES Compliance'!$G$13,3))</f>
        <v>0.49399999999999999</v>
      </c>
      <c r="D218">
        <f t="shared" si="15"/>
        <v>2.1000000000000019E-2</v>
      </c>
      <c r="E218" t="str">
        <f t="shared" si="16"/>
        <v>29317</v>
      </c>
      <c r="F218" t="s">
        <v>710</v>
      </c>
      <c r="G218">
        <f t="shared" si="17"/>
        <v>0.49399999999999999</v>
      </c>
      <c r="H218" t="str">
        <f t="shared" si="18"/>
        <v>29317</v>
      </c>
      <c r="I218" t="s">
        <v>711</v>
      </c>
      <c r="J218">
        <f t="shared" si="19"/>
        <v>2.1000000000000019E-2</v>
      </c>
    </row>
    <row r="219" spans="1:10" x14ac:dyDescent="0.25">
      <c r="A219" s="43" t="s">
        <v>208</v>
      </c>
      <c r="B219">
        <f>IF(VLOOKUP(A219,'Enroll Data as of January 2025'!$A$3:$T$321,20,FALSE)&gt;0,0,VLOOKUP(A219,'Enroll Data as of January 2025'!$A$3:$T$321,20,FALSE))</f>
        <v>0</v>
      </c>
      <c r="C219">
        <f>IF(B219&gt;0,0,ROUND(-B219*'2024-25 PSES Compliance'!$G$13,3))</f>
        <v>0</v>
      </c>
      <c r="D219">
        <f t="shared" si="15"/>
        <v>0</v>
      </c>
      <c r="E219" t="str">
        <f t="shared" si="16"/>
        <v>29320</v>
      </c>
      <c r="F219" t="s">
        <v>710</v>
      </c>
      <c r="G219">
        <f t="shared" si="17"/>
        <v>0</v>
      </c>
      <c r="H219" t="str">
        <f t="shared" si="18"/>
        <v>29320</v>
      </c>
      <c r="I219" t="s">
        <v>711</v>
      </c>
      <c r="J219">
        <f t="shared" si="19"/>
        <v>0</v>
      </c>
    </row>
    <row r="220" spans="1:10" x14ac:dyDescent="0.25">
      <c r="A220" s="43" t="s">
        <v>209</v>
      </c>
      <c r="B220">
        <f>IF(VLOOKUP(A220,'Enroll Data as of January 2025'!$A$3:$T$321,20,FALSE)&gt;0,0,VLOOKUP(A220,'Enroll Data as of January 2025'!$A$3:$T$321,20,FALSE))</f>
        <v>-0.4</v>
      </c>
      <c r="C220">
        <f>IF(B220&gt;0,0,ROUND(-B220*'2024-25 PSES Compliance'!$G$13,3))</f>
        <v>0.38400000000000001</v>
      </c>
      <c r="D220">
        <f t="shared" si="15"/>
        <v>1.6000000000000014E-2</v>
      </c>
      <c r="E220" t="str">
        <f t="shared" si="16"/>
        <v>30002</v>
      </c>
      <c r="F220" t="s">
        <v>710</v>
      </c>
      <c r="G220">
        <f t="shared" si="17"/>
        <v>0.38400000000000001</v>
      </c>
      <c r="H220" t="str">
        <f t="shared" si="18"/>
        <v>30002</v>
      </c>
      <c r="I220" t="s">
        <v>711</v>
      </c>
      <c r="J220">
        <f t="shared" si="19"/>
        <v>1.6000000000000014E-2</v>
      </c>
    </row>
    <row r="221" spans="1:10" x14ac:dyDescent="0.25">
      <c r="A221" s="43" t="s">
        <v>210</v>
      </c>
      <c r="B221">
        <f>IF(VLOOKUP(A221,'Enroll Data as of January 2025'!$A$3:$T$321,20,FALSE)&gt;0,0,VLOOKUP(A221,'Enroll Data as of January 2025'!$A$3:$T$321,20,FALSE))</f>
        <v>-0.122</v>
      </c>
      <c r="C221">
        <f>IF(B221&gt;0,0,ROUND(-B221*'2024-25 PSES Compliance'!$G$13,3))</f>
        <v>0.11700000000000001</v>
      </c>
      <c r="D221">
        <f t="shared" si="15"/>
        <v>4.9999999999999906E-3</v>
      </c>
      <c r="E221" t="str">
        <f t="shared" si="16"/>
        <v>30029</v>
      </c>
      <c r="F221" t="s">
        <v>710</v>
      </c>
      <c r="G221">
        <f t="shared" si="17"/>
        <v>0.11700000000000001</v>
      </c>
      <c r="H221" t="str">
        <f t="shared" si="18"/>
        <v>30029</v>
      </c>
      <c r="I221" t="s">
        <v>711</v>
      </c>
      <c r="J221">
        <f t="shared" si="19"/>
        <v>4.9999999999999906E-3</v>
      </c>
    </row>
    <row r="222" spans="1:10" x14ac:dyDescent="0.25">
      <c r="A222" s="42" t="s">
        <v>211</v>
      </c>
      <c r="B222">
        <f>IF(VLOOKUP(A222,'Enroll Data as of January 2025'!$A$3:$T$321,20,FALSE)&gt;0,0,VLOOKUP(A222,'Enroll Data as of January 2025'!$A$3:$T$321,20,FALSE))</f>
        <v>0</v>
      </c>
      <c r="C222">
        <f>IF(B222&gt;0,0,ROUND(-B222*'2024-25 PSES Compliance'!$G$13,3))</f>
        <v>0</v>
      </c>
      <c r="D222">
        <f t="shared" si="15"/>
        <v>0</v>
      </c>
      <c r="E222" t="str">
        <f t="shared" si="16"/>
        <v>30031</v>
      </c>
      <c r="F222" t="s">
        <v>710</v>
      </c>
      <c r="G222">
        <f t="shared" si="17"/>
        <v>0</v>
      </c>
      <c r="H222" t="str">
        <f t="shared" si="18"/>
        <v>30031</v>
      </c>
      <c r="I222" t="s">
        <v>711</v>
      </c>
      <c r="J222">
        <f t="shared" si="19"/>
        <v>0</v>
      </c>
    </row>
    <row r="223" spans="1:10" x14ac:dyDescent="0.25">
      <c r="A223" s="43" t="s">
        <v>212</v>
      </c>
      <c r="B223">
        <f>IF(VLOOKUP(A223,'Enroll Data as of January 2025'!$A$3:$T$321,20,FALSE)&gt;0,0,VLOOKUP(A223,'Enroll Data as of January 2025'!$A$3:$T$321,20,FALSE))</f>
        <v>0</v>
      </c>
      <c r="C223">
        <f>IF(B223&gt;0,0,ROUND(-B223*'2024-25 PSES Compliance'!$G$13,3))</f>
        <v>0</v>
      </c>
      <c r="D223">
        <f t="shared" si="15"/>
        <v>0</v>
      </c>
      <c r="E223" t="str">
        <f t="shared" si="16"/>
        <v>30303</v>
      </c>
      <c r="F223" t="s">
        <v>710</v>
      </c>
      <c r="G223">
        <f t="shared" si="17"/>
        <v>0</v>
      </c>
      <c r="H223" t="str">
        <f t="shared" si="18"/>
        <v>30303</v>
      </c>
      <c r="I223" t="s">
        <v>711</v>
      </c>
      <c r="J223">
        <f t="shared" si="19"/>
        <v>0</v>
      </c>
    </row>
    <row r="224" spans="1:10" x14ac:dyDescent="0.25">
      <c r="A224" s="43" t="s">
        <v>213</v>
      </c>
      <c r="B224">
        <f>IF(VLOOKUP(A224,'Enroll Data as of January 2025'!$A$3:$T$321,20,FALSE)&gt;0,0,VLOOKUP(A224,'Enroll Data as of January 2025'!$A$3:$T$321,20,FALSE))</f>
        <v>0</v>
      </c>
      <c r="C224">
        <f>IF(B224&gt;0,0,ROUND(-B224*'2024-25 PSES Compliance'!$G$13,3))</f>
        <v>0</v>
      </c>
      <c r="D224">
        <f t="shared" si="15"/>
        <v>0</v>
      </c>
      <c r="E224" t="str">
        <f t="shared" si="16"/>
        <v>31002</v>
      </c>
      <c r="F224" t="s">
        <v>710</v>
      </c>
      <c r="G224">
        <f t="shared" si="17"/>
        <v>0</v>
      </c>
      <c r="H224" t="str">
        <f t="shared" si="18"/>
        <v>31002</v>
      </c>
      <c r="I224" t="s">
        <v>711</v>
      </c>
      <c r="J224">
        <f t="shared" si="19"/>
        <v>0</v>
      </c>
    </row>
    <row r="225" spans="1:10" x14ac:dyDescent="0.25">
      <c r="A225" s="43" t="s">
        <v>214</v>
      </c>
      <c r="B225">
        <f>IF(VLOOKUP(A225,'Enroll Data as of January 2025'!$A$3:$T$321,20,FALSE)&gt;0,0,VLOOKUP(A225,'Enroll Data as of January 2025'!$A$3:$T$321,20,FALSE))</f>
        <v>0</v>
      </c>
      <c r="C225">
        <f>IF(B225&gt;0,0,ROUND(-B225*'2024-25 PSES Compliance'!$G$13,3))</f>
        <v>0</v>
      </c>
      <c r="D225">
        <f t="shared" si="15"/>
        <v>0</v>
      </c>
      <c r="E225" t="str">
        <f t="shared" si="16"/>
        <v>31004</v>
      </c>
      <c r="F225" t="s">
        <v>710</v>
      </c>
      <c r="G225">
        <f t="shared" si="17"/>
        <v>0</v>
      </c>
      <c r="H225" t="str">
        <f t="shared" si="18"/>
        <v>31004</v>
      </c>
      <c r="I225" t="s">
        <v>711</v>
      </c>
      <c r="J225">
        <f t="shared" si="19"/>
        <v>0</v>
      </c>
    </row>
    <row r="226" spans="1:10" x14ac:dyDescent="0.25">
      <c r="A226" s="43" t="s">
        <v>215</v>
      </c>
      <c r="B226">
        <f>IF(VLOOKUP(A226,'Enroll Data as of January 2025'!$A$3:$T$321,20,FALSE)&gt;0,0,VLOOKUP(A226,'Enroll Data as of January 2025'!$A$3:$T$321,20,FALSE))</f>
        <v>-3.052</v>
      </c>
      <c r="C226">
        <f>IF(B226&gt;0,0,ROUND(-B226*'2024-25 PSES Compliance'!$G$13,3))</f>
        <v>2.93</v>
      </c>
      <c r="D226">
        <f t="shared" si="15"/>
        <v>0.12199999999999989</v>
      </c>
      <c r="E226" t="str">
        <f t="shared" si="16"/>
        <v>31006</v>
      </c>
      <c r="F226" t="s">
        <v>710</v>
      </c>
      <c r="G226">
        <f t="shared" si="17"/>
        <v>2.93</v>
      </c>
      <c r="H226" t="str">
        <f t="shared" si="18"/>
        <v>31006</v>
      </c>
      <c r="I226" t="s">
        <v>711</v>
      </c>
      <c r="J226">
        <f t="shared" si="19"/>
        <v>0.12199999999999989</v>
      </c>
    </row>
    <row r="227" spans="1:10" x14ac:dyDescent="0.25">
      <c r="A227" s="43" t="s">
        <v>216</v>
      </c>
      <c r="B227">
        <f>IF(VLOOKUP(A227,'Enroll Data as of January 2025'!$A$3:$T$321,20,FALSE)&gt;0,0,VLOOKUP(A227,'Enroll Data as of January 2025'!$A$3:$T$321,20,FALSE))</f>
        <v>0</v>
      </c>
      <c r="C227">
        <f>IF(B227&gt;0,0,ROUND(-B227*'2024-25 PSES Compliance'!$G$13,3))</f>
        <v>0</v>
      </c>
      <c r="D227">
        <f t="shared" si="15"/>
        <v>0</v>
      </c>
      <c r="E227" t="str">
        <f t="shared" si="16"/>
        <v>31015</v>
      </c>
      <c r="F227" t="s">
        <v>710</v>
      </c>
      <c r="G227">
        <f t="shared" si="17"/>
        <v>0</v>
      </c>
      <c r="H227" t="str">
        <f t="shared" si="18"/>
        <v>31015</v>
      </c>
      <c r="I227" t="s">
        <v>711</v>
      </c>
      <c r="J227">
        <f t="shared" si="19"/>
        <v>0</v>
      </c>
    </row>
    <row r="228" spans="1:10" x14ac:dyDescent="0.25">
      <c r="A228" s="43" t="s">
        <v>217</v>
      </c>
      <c r="B228">
        <f>IF(VLOOKUP(A228,'Enroll Data as of January 2025'!$A$3:$T$321,20,FALSE)&gt;0,0,VLOOKUP(A228,'Enroll Data as of January 2025'!$A$3:$T$321,20,FALSE))</f>
        <v>-5.1029999999999998</v>
      </c>
      <c r="C228">
        <f>IF(B228&gt;0,0,ROUND(-B228*'2024-25 PSES Compliance'!$G$13,3))</f>
        <v>4.899</v>
      </c>
      <c r="D228">
        <f t="shared" si="15"/>
        <v>0.20399999999999974</v>
      </c>
      <c r="E228" t="str">
        <f t="shared" si="16"/>
        <v>31016</v>
      </c>
      <c r="F228" t="s">
        <v>710</v>
      </c>
      <c r="G228">
        <f t="shared" si="17"/>
        <v>4.899</v>
      </c>
      <c r="H228" t="str">
        <f t="shared" si="18"/>
        <v>31016</v>
      </c>
      <c r="I228" t="s">
        <v>711</v>
      </c>
      <c r="J228">
        <f t="shared" si="19"/>
        <v>0.20399999999999974</v>
      </c>
    </row>
    <row r="229" spans="1:10" x14ac:dyDescent="0.25">
      <c r="A229" s="43" t="s">
        <v>218</v>
      </c>
      <c r="B229">
        <f>IF(VLOOKUP(A229,'Enroll Data as of January 2025'!$A$3:$T$321,20,FALSE)&gt;0,0,VLOOKUP(A229,'Enroll Data as of January 2025'!$A$3:$T$321,20,FALSE))</f>
        <v>0</v>
      </c>
      <c r="C229">
        <f>IF(B229&gt;0,0,ROUND(-B229*'2024-25 PSES Compliance'!$G$13,3))</f>
        <v>0</v>
      </c>
      <c r="D229">
        <f t="shared" si="15"/>
        <v>0</v>
      </c>
      <c r="E229" t="str">
        <f t="shared" si="16"/>
        <v>31025</v>
      </c>
      <c r="F229" t="s">
        <v>710</v>
      </c>
      <c r="G229">
        <f t="shared" si="17"/>
        <v>0</v>
      </c>
      <c r="H229" t="str">
        <f t="shared" si="18"/>
        <v>31025</v>
      </c>
      <c r="I229" t="s">
        <v>711</v>
      </c>
      <c r="J229">
        <f t="shared" si="19"/>
        <v>0</v>
      </c>
    </row>
    <row r="230" spans="1:10" x14ac:dyDescent="0.25">
      <c r="A230" s="43" t="s">
        <v>219</v>
      </c>
      <c r="B230">
        <f>IF(VLOOKUP(A230,'Enroll Data as of January 2025'!$A$3:$T$321,20,FALSE)&gt;0,0,VLOOKUP(A230,'Enroll Data as of January 2025'!$A$3:$T$321,20,FALSE))</f>
        <v>-4.7E-2</v>
      </c>
      <c r="C230">
        <f>IF(B230&gt;0,0,ROUND(-B230*'2024-25 PSES Compliance'!$G$13,3))</f>
        <v>4.4999999999999998E-2</v>
      </c>
      <c r="D230">
        <f t="shared" si="15"/>
        <v>2.0000000000000018E-3</v>
      </c>
      <c r="E230" t="str">
        <f t="shared" si="16"/>
        <v>31063</v>
      </c>
      <c r="F230" t="s">
        <v>710</v>
      </c>
      <c r="G230">
        <f t="shared" si="17"/>
        <v>4.4999999999999998E-2</v>
      </c>
      <c r="H230" t="str">
        <f t="shared" si="18"/>
        <v>31063</v>
      </c>
      <c r="I230" t="s">
        <v>711</v>
      </c>
      <c r="J230">
        <f t="shared" si="19"/>
        <v>2.0000000000000018E-3</v>
      </c>
    </row>
    <row r="231" spans="1:10" x14ac:dyDescent="0.25">
      <c r="A231" s="43" t="s">
        <v>220</v>
      </c>
      <c r="B231">
        <f>IF(VLOOKUP(A231,'Enroll Data as of January 2025'!$A$3:$T$321,20,FALSE)&gt;0,0,VLOOKUP(A231,'Enroll Data as of January 2025'!$A$3:$T$321,20,FALSE))</f>
        <v>0</v>
      </c>
      <c r="C231">
        <f>IF(B231&gt;0,0,ROUND(-B231*'2024-25 PSES Compliance'!$G$13,3))</f>
        <v>0</v>
      </c>
      <c r="D231">
        <f t="shared" si="15"/>
        <v>0</v>
      </c>
      <c r="E231" t="str">
        <f t="shared" si="16"/>
        <v>31103</v>
      </c>
      <c r="F231" t="s">
        <v>710</v>
      </c>
      <c r="G231">
        <f t="shared" si="17"/>
        <v>0</v>
      </c>
      <c r="H231" t="str">
        <f t="shared" si="18"/>
        <v>31103</v>
      </c>
      <c r="I231" t="s">
        <v>711</v>
      </c>
      <c r="J231">
        <f t="shared" si="19"/>
        <v>0</v>
      </c>
    </row>
    <row r="232" spans="1:10" x14ac:dyDescent="0.25">
      <c r="A232" s="43" t="s">
        <v>221</v>
      </c>
      <c r="B232">
        <f>IF(VLOOKUP(A232,'Enroll Data as of January 2025'!$A$3:$T$321,20,FALSE)&gt;0,0,VLOOKUP(A232,'Enroll Data as of January 2025'!$A$3:$T$321,20,FALSE))</f>
        <v>-0.74399999999999999</v>
      </c>
      <c r="C232">
        <f>IF(B232&gt;0,0,ROUND(-B232*'2024-25 PSES Compliance'!$G$13,3))</f>
        <v>0.71399999999999997</v>
      </c>
      <c r="D232">
        <f t="shared" si="15"/>
        <v>3.0000000000000027E-2</v>
      </c>
      <c r="E232" t="str">
        <f t="shared" si="16"/>
        <v>31201</v>
      </c>
      <c r="F232" t="s">
        <v>710</v>
      </c>
      <c r="G232">
        <f t="shared" si="17"/>
        <v>0.71399999999999997</v>
      </c>
      <c r="H232" t="str">
        <f t="shared" si="18"/>
        <v>31201</v>
      </c>
      <c r="I232" t="s">
        <v>711</v>
      </c>
      <c r="J232">
        <f t="shared" si="19"/>
        <v>3.0000000000000027E-2</v>
      </c>
    </row>
    <row r="233" spans="1:10" x14ac:dyDescent="0.25">
      <c r="A233" s="42" t="s">
        <v>222</v>
      </c>
      <c r="B233">
        <f>IF(VLOOKUP(A233,'Enroll Data as of January 2025'!$A$3:$T$321,20,FALSE)&gt;0,0,VLOOKUP(A233,'Enroll Data as of January 2025'!$A$3:$T$321,20,FALSE))</f>
        <v>0</v>
      </c>
      <c r="C233">
        <f>IF(B233&gt;0,0,ROUND(-B233*'2024-25 PSES Compliance'!$G$13,3))</f>
        <v>0</v>
      </c>
      <c r="D233">
        <f t="shared" si="15"/>
        <v>0</v>
      </c>
      <c r="E233" t="str">
        <f t="shared" si="16"/>
        <v>31306</v>
      </c>
      <c r="F233" t="s">
        <v>710</v>
      </c>
      <c r="G233">
        <f t="shared" si="17"/>
        <v>0</v>
      </c>
      <c r="H233" t="str">
        <f t="shared" si="18"/>
        <v>31306</v>
      </c>
      <c r="I233" t="s">
        <v>711</v>
      </c>
      <c r="J233">
        <f t="shared" si="19"/>
        <v>0</v>
      </c>
    </row>
    <row r="234" spans="1:10" x14ac:dyDescent="0.25">
      <c r="A234" s="43" t="s">
        <v>223</v>
      </c>
      <c r="B234">
        <f>IF(VLOOKUP(A234,'Enroll Data as of January 2025'!$A$3:$T$321,20,FALSE)&gt;0,0,VLOOKUP(A234,'Enroll Data as of January 2025'!$A$3:$T$321,20,FALSE))</f>
        <v>-2.375</v>
      </c>
      <c r="C234">
        <f>IF(B234&gt;0,0,ROUND(-B234*'2024-25 PSES Compliance'!$G$13,3))</f>
        <v>2.2799999999999998</v>
      </c>
      <c r="D234">
        <f t="shared" si="15"/>
        <v>9.5000000000000195E-2</v>
      </c>
      <c r="E234" t="str">
        <f t="shared" si="16"/>
        <v>31311</v>
      </c>
      <c r="F234" t="s">
        <v>710</v>
      </c>
      <c r="G234">
        <f t="shared" si="17"/>
        <v>2.2799999999999998</v>
      </c>
      <c r="H234" t="str">
        <f t="shared" si="18"/>
        <v>31311</v>
      </c>
      <c r="I234" t="s">
        <v>711</v>
      </c>
      <c r="J234">
        <f t="shared" si="19"/>
        <v>9.5000000000000195E-2</v>
      </c>
    </row>
    <row r="235" spans="1:10" x14ac:dyDescent="0.25">
      <c r="A235" s="43" t="s">
        <v>224</v>
      </c>
      <c r="B235">
        <f>IF(VLOOKUP(A235,'Enroll Data as of January 2025'!$A$3:$T$321,20,FALSE)&gt;0,0,VLOOKUP(A235,'Enroll Data as of January 2025'!$A$3:$T$321,20,FALSE))</f>
        <v>-0.96</v>
      </c>
      <c r="C235">
        <f>IF(B235&gt;0,0,ROUND(-B235*'2024-25 PSES Compliance'!$G$13,3))</f>
        <v>0.92200000000000004</v>
      </c>
      <c r="D235">
        <f t="shared" si="15"/>
        <v>3.7999999999999923E-2</v>
      </c>
      <c r="E235" t="str">
        <f t="shared" si="16"/>
        <v>31330</v>
      </c>
      <c r="F235" t="s">
        <v>710</v>
      </c>
      <c r="G235">
        <f t="shared" si="17"/>
        <v>0.92200000000000004</v>
      </c>
      <c r="H235" t="str">
        <f t="shared" si="18"/>
        <v>31330</v>
      </c>
      <c r="I235" t="s">
        <v>711</v>
      </c>
      <c r="J235">
        <f t="shared" si="19"/>
        <v>3.7999999999999923E-2</v>
      </c>
    </row>
    <row r="236" spans="1:10" x14ac:dyDescent="0.25">
      <c r="A236" s="43" t="s">
        <v>225</v>
      </c>
      <c r="B236">
        <f>IF(VLOOKUP(A236,'Enroll Data as of January 2025'!$A$3:$T$321,20,FALSE)&gt;0,0,VLOOKUP(A236,'Enroll Data as of January 2025'!$A$3:$T$321,20,FALSE))</f>
        <v>0</v>
      </c>
      <c r="C236">
        <f>IF(B236&gt;0,0,ROUND(-B236*'2024-25 PSES Compliance'!$G$13,3))</f>
        <v>0</v>
      </c>
      <c r="D236">
        <f t="shared" si="15"/>
        <v>0</v>
      </c>
      <c r="E236" t="str">
        <f t="shared" si="16"/>
        <v>31332</v>
      </c>
      <c r="F236" t="s">
        <v>710</v>
      </c>
      <c r="G236">
        <f t="shared" si="17"/>
        <v>0</v>
      </c>
      <c r="H236" t="str">
        <f t="shared" si="18"/>
        <v>31332</v>
      </c>
      <c r="I236" t="s">
        <v>711</v>
      </c>
      <c r="J236">
        <f t="shared" si="19"/>
        <v>0</v>
      </c>
    </row>
    <row r="237" spans="1:10" x14ac:dyDescent="0.25">
      <c r="A237" s="43" t="s">
        <v>226</v>
      </c>
      <c r="B237">
        <f>IF(VLOOKUP(A237,'Enroll Data as of January 2025'!$A$3:$T$321,20,FALSE)&gt;0,0,VLOOKUP(A237,'Enroll Data as of January 2025'!$A$3:$T$321,20,FALSE))</f>
        <v>0</v>
      </c>
      <c r="C237">
        <f>IF(B237&gt;0,0,ROUND(-B237*'2024-25 PSES Compliance'!$G$13,3))</f>
        <v>0</v>
      </c>
      <c r="D237">
        <f t="shared" si="15"/>
        <v>0</v>
      </c>
      <c r="E237" t="str">
        <f t="shared" si="16"/>
        <v>31401</v>
      </c>
      <c r="F237" t="s">
        <v>710</v>
      </c>
      <c r="G237">
        <f t="shared" si="17"/>
        <v>0</v>
      </c>
      <c r="H237" t="str">
        <f t="shared" si="18"/>
        <v>31401</v>
      </c>
      <c r="I237" t="s">
        <v>711</v>
      </c>
      <c r="J237">
        <f t="shared" si="19"/>
        <v>0</v>
      </c>
    </row>
    <row r="238" spans="1:10" x14ac:dyDescent="0.25">
      <c r="A238" s="43" t="s">
        <v>1</v>
      </c>
      <c r="B238">
        <f>IF(VLOOKUP(A238,'Enroll Data as of January 2025'!$A$3:$T$321,20,FALSE)&gt;0,0,VLOOKUP(A238,'Enroll Data as of January 2025'!$A$3:$T$321,20,FALSE))</f>
        <v>0</v>
      </c>
      <c r="C238">
        <f>IF(B238&gt;0,0,ROUND(-B238*'2024-25 PSES Compliance'!$G$13,3))</f>
        <v>0</v>
      </c>
      <c r="D238">
        <f t="shared" si="15"/>
        <v>0</v>
      </c>
      <c r="E238" t="str">
        <f t="shared" si="16"/>
        <v>32081</v>
      </c>
      <c r="F238" t="s">
        <v>710</v>
      </c>
      <c r="G238">
        <f t="shared" si="17"/>
        <v>0</v>
      </c>
      <c r="H238" t="str">
        <f t="shared" si="18"/>
        <v>32081</v>
      </c>
      <c r="I238" t="s">
        <v>711</v>
      </c>
      <c r="J238">
        <f t="shared" si="19"/>
        <v>0</v>
      </c>
    </row>
    <row r="239" spans="1:10" x14ac:dyDescent="0.25">
      <c r="A239" s="43" t="s">
        <v>227</v>
      </c>
      <c r="B239">
        <f>IF(VLOOKUP(A239,'Enroll Data as of January 2025'!$A$3:$T$321,20,FALSE)&gt;0,0,VLOOKUP(A239,'Enroll Data as of January 2025'!$A$3:$T$321,20,FALSE))</f>
        <v>-0.20799999999999999</v>
      </c>
      <c r="C239">
        <f>IF(B239&gt;0,0,ROUND(-B239*'2024-25 PSES Compliance'!$G$13,3))</f>
        <v>0.2</v>
      </c>
      <c r="D239">
        <f t="shared" si="15"/>
        <v>7.9999999999999793E-3</v>
      </c>
      <c r="E239" t="str">
        <f t="shared" si="16"/>
        <v>32123</v>
      </c>
      <c r="F239" t="s">
        <v>710</v>
      </c>
      <c r="G239">
        <f t="shared" si="17"/>
        <v>0.2</v>
      </c>
      <c r="H239" t="str">
        <f t="shared" si="18"/>
        <v>32123</v>
      </c>
      <c r="I239" t="s">
        <v>711</v>
      </c>
      <c r="J239">
        <f t="shared" si="19"/>
        <v>7.9999999999999793E-3</v>
      </c>
    </row>
    <row r="240" spans="1:10" x14ac:dyDescent="0.25">
      <c r="A240" s="43" t="s">
        <v>228</v>
      </c>
      <c r="B240">
        <f>IF(VLOOKUP(A240,'Enroll Data as of January 2025'!$A$3:$T$321,20,FALSE)&gt;0,0,VLOOKUP(A240,'Enroll Data as of January 2025'!$A$3:$T$321,20,FALSE))</f>
        <v>0</v>
      </c>
      <c r="C240">
        <f>IF(B240&gt;0,0,ROUND(-B240*'2024-25 PSES Compliance'!$G$13,3))</f>
        <v>0</v>
      </c>
      <c r="D240">
        <f t="shared" si="15"/>
        <v>0</v>
      </c>
      <c r="E240" t="str">
        <f t="shared" si="16"/>
        <v>32312</v>
      </c>
      <c r="F240" t="s">
        <v>710</v>
      </c>
      <c r="G240">
        <f t="shared" si="17"/>
        <v>0</v>
      </c>
      <c r="H240" t="str">
        <f t="shared" si="18"/>
        <v>32312</v>
      </c>
      <c r="I240" t="s">
        <v>711</v>
      </c>
      <c r="J240">
        <f t="shared" si="19"/>
        <v>0</v>
      </c>
    </row>
    <row r="241" spans="1:10" x14ac:dyDescent="0.25">
      <c r="A241" s="43" t="s">
        <v>229</v>
      </c>
      <c r="B241">
        <f>IF(VLOOKUP(A241,'Enroll Data as of January 2025'!$A$3:$T$321,20,FALSE)&gt;0,0,VLOOKUP(A241,'Enroll Data as of January 2025'!$A$3:$T$321,20,FALSE))</f>
        <v>0</v>
      </c>
      <c r="C241">
        <f>IF(B241&gt;0,0,ROUND(-B241*'2024-25 PSES Compliance'!$G$13,3))</f>
        <v>0</v>
      </c>
      <c r="D241">
        <f t="shared" si="15"/>
        <v>0</v>
      </c>
      <c r="E241" t="str">
        <f t="shared" si="16"/>
        <v>32325</v>
      </c>
      <c r="F241" t="s">
        <v>710</v>
      </c>
      <c r="G241">
        <f t="shared" si="17"/>
        <v>0</v>
      </c>
      <c r="H241" t="str">
        <f t="shared" si="18"/>
        <v>32325</v>
      </c>
      <c r="I241" t="s">
        <v>711</v>
      </c>
      <c r="J241">
        <f t="shared" si="19"/>
        <v>0</v>
      </c>
    </row>
    <row r="242" spans="1:10" x14ac:dyDescent="0.25">
      <c r="A242" s="43" t="s">
        <v>230</v>
      </c>
      <c r="B242">
        <f>IF(VLOOKUP(A242,'Enroll Data as of January 2025'!$A$3:$T$321,20,FALSE)&gt;0,0,VLOOKUP(A242,'Enroll Data as of January 2025'!$A$3:$T$321,20,FALSE))</f>
        <v>0</v>
      </c>
      <c r="C242">
        <f>IF(B242&gt;0,0,ROUND(-B242*'2024-25 PSES Compliance'!$G$13,3))</f>
        <v>0</v>
      </c>
      <c r="D242">
        <f t="shared" si="15"/>
        <v>0</v>
      </c>
      <c r="E242" t="str">
        <f t="shared" si="16"/>
        <v>32326</v>
      </c>
      <c r="F242" t="s">
        <v>710</v>
      </c>
      <c r="G242">
        <f t="shared" si="17"/>
        <v>0</v>
      </c>
      <c r="H242" t="str">
        <f t="shared" si="18"/>
        <v>32326</v>
      </c>
      <c r="I242" t="s">
        <v>711</v>
      </c>
      <c r="J242">
        <f t="shared" si="19"/>
        <v>0</v>
      </c>
    </row>
    <row r="243" spans="1:10" x14ac:dyDescent="0.25">
      <c r="A243" s="43" t="s">
        <v>231</v>
      </c>
      <c r="B243">
        <f>IF(VLOOKUP(A243,'Enroll Data as of January 2025'!$A$3:$T$321,20,FALSE)&gt;0,0,VLOOKUP(A243,'Enroll Data as of January 2025'!$A$3:$T$321,20,FALSE))</f>
        <v>0</v>
      </c>
      <c r="C243">
        <f>IF(B243&gt;0,0,ROUND(-B243*'2024-25 PSES Compliance'!$G$13,3))</f>
        <v>0</v>
      </c>
      <c r="D243">
        <f t="shared" si="15"/>
        <v>0</v>
      </c>
      <c r="E243" t="str">
        <f t="shared" si="16"/>
        <v>32354</v>
      </c>
      <c r="F243" t="s">
        <v>710</v>
      </c>
      <c r="G243">
        <f t="shared" si="17"/>
        <v>0</v>
      </c>
      <c r="H243" t="str">
        <f t="shared" si="18"/>
        <v>32354</v>
      </c>
      <c r="I243" t="s">
        <v>711</v>
      </c>
      <c r="J243">
        <f t="shared" si="19"/>
        <v>0</v>
      </c>
    </row>
    <row r="244" spans="1:10" x14ac:dyDescent="0.25">
      <c r="A244" s="43" t="s">
        <v>232</v>
      </c>
      <c r="B244">
        <f>IF(VLOOKUP(A244,'Enroll Data as of January 2025'!$A$3:$T$321,20,FALSE)&gt;0,0,VLOOKUP(A244,'Enroll Data as of January 2025'!$A$3:$T$321,20,FALSE))</f>
        <v>0</v>
      </c>
      <c r="C244">
        <f>IF(B244&gt;0,0,ROUND(-B244*'2024-25 PSES Compliance'!$G$13,3))</f>
        <v>0</v>
      </c>
      <c r="D244">
        <f t="shared" si="15"/>
        <v>0</v>
      </c>
      <c r="E244" t="str">
        <f t="shared" si="16"/>
        <v>32356</v>
      </c>
      <c r="F244" t="s">
        <v>710</v>
      </c>
      <c r="G244">
        <f t="shared" si="17"/>
        <v>0</v>
      </c>
      <c r="H244" t="str">
        <f t="shared" si="18"/>
        <v>32356</v>
      </c>
      <c r="I244" t="s">
        <v>711</v>
      </c>
      <c r="J244">
        <f t="shared" si="19"/>
        <v>0</v>
      </c>
    </row>
    <row r="245" spans="1:10" x14ac:dyDescent="0.25">
      <c r="A245" s="43" t="s">
        <v>233</v>
      </c>
      <c r="B245">
        <f>IF(VLOOKUP(A245,'Enroll Data as of January 2025'!$A$3:$T$321,20,FALSE)&gt;0,0,VLOOKUP(A245,'Enroll Data as of January 2025'!$A$3:$T$321,20,FALSE))</f>
        <v>0</v>
      </c>
      <c r="C245">
        <f>IF(B245&gt;0,0,ROUND(-B245*'2024-25 PSES Compliance'!$G$13,3))</f>
        <v>0</v>
      </c>
      <c r="D245">
        <f t="shared" si="15"/>
        <v>0</v>
      </c>
      <c r="E245" t="str">
        <f t="shared" si="16"/>
        <v>32358</v>
      </c>
      <c r="F245" t="s">
        <v>710</v>
      </c>
      <c r="G245">
        <f t="shared" si="17"/>
        <v>0</v>
      </c>
      <c r="H245" t="str">
        <f t="shared" si="18"/>
        <v>32358</v>
      </c>
      <c r="I245" t="s">
        <v>711</v>
      </c>
      <c r="J245">
        <f t="shared" si="19"/>
        <v>0</v>
      </c>
    </row>
    <row r="246" spans="1:10" x14ac:dyDescent="0.25">
      <c r="A246" s="43" t="s">
        <v>234</v>
      </c>
      <c r="B246">
        <f>IF(VLOOKUP(A246,'Enroll Data as of January 2025'!$A$3:$T$321,20,FALSE)&gt;0,0,VLOOKUP(A246,'Enroll Data as of January 2025'!$A$3:$T$321,20,FALSE))</f>
        <v>0</v>
      </c>
      <c r="C246">
        <f>IF(B246&gt;0,0,ROUND(-B246*'2024-25 PSES Compliance'!$G$13,3))</f>
        <v>0</v>
      </c>
      <c r="D246">
        <f t="shared" si="15"/>
        <v>0</v>
      </c>
      <c r="E246" t="str">
        <f t="shared" si="16"/>
        <v>32360</v>
      </c>
      <c r="F246" t="s">
        <v>710</v>
      </c>
      <c r="G246">
        <f t="shared" si="17"/>
        <v>0</v>
      </c>
      <c r="H246" t="str">
        <f t="shared" si="18"/>
        <v>32360</v>
      </c>
      <c r="I246" t="s">
        <v>711</v>
      </c>
      <c r="J246">
        <f t="shared" si="19"/>
        <v>0</v>
      </c>
    </row>
    <row r="247" spans="1:10" x14ac:dyDescent="0.25">
      <c r="A247" s="124" t="s">
        <v>235</v>
      </c>
      <c r="B247">
        <f>IF(VLOOKUP(A247,'Enroll Data as of January 2025'!$A$3:$T$321,20,FALSE)&gt;0,0,VLOOKUP(A247,'Enroll Data as of January 2025'!$A$3:$T$321,20,FALSE))</f>
        <v>0</v>
      </c>
      <c r="C247">
        <f>IF(B247&gt;0,0,ROUND(-B247*'2024-25 PSES Compliance'!$G$13,3))</f>
        <v>0</v>
      </c>
      <c r="D247">
        <f t="shared" si="15"/>
        <v>0</v>
      </c>
      <c r="E247" t="str">
        <f t="shared" si="16"/>
        <v>32361</v>
      </c>
      <c r="F247" t="s">
        <v>710</v>
      </c>
      <c r="G247">
        <f t="shared" si="17"/>
        <v>0</v>
      </c>
      <c r="H247" t="str">
        <f t="shared" si="18"/>
        <v>32361</v>
      </c>
      <c r="I247" t="s">
        <v>711</v>
      </c>
      <c r="J247">
        <f t="shared" si="19"/>
        <v>0</v>
      </c>
    </row>
    <row r="248" spans="1:10" x14ac:dyDescent="0.25">
      <c r="A248" s="43" t="s">
        <v>236</v>
      </c>
      <c r="B248">
        <f>IF(VLOOKUP(A248,'Enroll Data as of January 2025'!$A$3:$T$321,20,FALSE)&gt;0,0,VLOOKUP(A248,'Enroll Data as of January 2025'!$A$3:$T$321,20,FALSE))</f>
        <v>0</v>
      </c>
      <c r="C248">
        <f>IF(B248&gt;0,0,ROUND(-B248*'2024-25 PSES Compliance'!$G$13,3))</f>
        <v>0</v>
      </c>
      <c r="D248">
        <f t="shared" si="15"/>
        <v>0</v>
      </c>
      <c r="E248" t="str">
        <f t="shared" si="16"/>
        <v>32362</v>
      </c>
      <c r="F248" t="s">
        <v>710</v>
      </c>
      <c r="G248">
        <f t="shared" si="17"/>
        <v>0</v>
      </c>
      <c r="H248" t="str">
        <f t="shared" si="18"/>
        <v>32362</v>
      </c>
      <c r="I248" t="s">
        <v>711</v>
      </c>
      <c r="J248">
        <f t="shared" si="19"/>
        <v>0</v>
      </c>
    </row>
    <row r="249" spans="1:10" x14ac:dyDescent="0.25">
      <c r="A249" s="43" t="s">
        <v>237</v>
      </c>
      <c r="B249">
        <f>IF(VLOOKUP(A249,'Enroll Data as of January 2025'!$A$3:$T$321,20,FALSE)&gt;0,0,VLOOKUP(A249,'Enroll Data as of January 2025'!$A$3:$T$321,20,FALSE))</f>
        <v>0</v>
      </c>
      <c r="C249">
        <f>IF(B249&gt;0,0,ROUND(-B249*'2024-25 PSES Compliance'!$G$13,3))</f>
        <v>0</v>
      </c>
      <c r="D249">
        <f t="shared" si="15"/>
        <v>0</v>
      </c>
      <c r="E249" t="str">
        <f t="shared" si="16"/>
        <v>32363</v>
      </c>
      <c r="F249" t="s">
        <v>710</v>
      </c>
      <c r="G249">
        <f t="shared" si="17"/>
        <v>0</v>
      </c>
      <c r="H249" t="str">
        <f t="shared" si="18"/>
        <v>32363</v>
      </c>
      <c r="I249" t="s">
        <v>711</v>
      </c>
      <c r="J249">
        <f t="shared" si="19"/>
        <v>0</v>
      </c>
    </row>
    <row r="250" spans="1:10" x14ac:dyDescent="0.25">
      <c r="A250" s="43" t="s">
        <v>238</v>
      </c>
      <c r="B250">
        <f>IF(VLOOKUP(A250,'Enroll Data as of January 2025'!$A$3:$T$321,20,FALSE)&gt;0,0,VLOOKUP(A250,'Enroll Data as of January 2025'!$A$3:$T$321,20,FALSE))</f>
        <v>-0.125</v>
      </c>
      <c r="C250">
        <f>IF(B250&gt;0,0,ROUND(-B250*'2024-25 PSES Compliance'!$G$13,3))</f>
        <v>0.12</v>
      </c>
      <c r="D250">
        <f t="shared" si="15"/>
        <v>5.0000000000000044E-3</v>
      </c>
      <c r="E250" t="str">
        <f t="shared" si="16"/>
        <v>32414</v>
      </c>
      <c r="F250" t="s">
        <v>710</v>
      </c>
      <c r="G250">
        <f t="shared" si="17"/>
        <v>0.12</v>
      </c>
      <c r="H250" t="str">
        <f t="shared" si="18"/>
        <v>32414</v>
      </c>
      <c r="I250" t="s">
        <v>711</v>
      </c>
      <c r="J250">
        <f t="shared" si="19"/>
        <v>5.0000000000000044E-3</v>
      </c>
    </row>
    <row r="251" spans="1:10" x14ac:dyDescent="0.25">
      <c r="A251" s="43" t="s">
        <v>239</v>
      </c>
      <c r="B251">
        <f>IF(VLOOKUP(A251,'Enroll Data as of January 2025'!$A$3:$T$321,20,FALSE)&gt;0,0,VLOOKUP(A251,'Enroll Data as of January 2025'!$A$3:$T$321,20,FALSE))</f>
        <v>0</v>
      </c>
      <c r="C251">
        <f>IF(B251&gt;0,0,ROUND(-B251*'2024-25 PSES Compliance'!$G$13,3))</f>
        <v>0</v>
      </c>
      <c r="D251">
        <f t="shared" si="15"/>
        <v>0</v>
      </c>
      <c r="E251" t="str">
        <f t="shared" si="16"/>
        <v>32416</v>
      </c>
      <c r="F251" t="s">
        <v>710</v>
      </c>
      <c r="G251">
        <f t="shared" si="17"/>
        <v>0</v>
      </c>
      <c r="H251" t="str">
        <f t="shared" si="18"/>
        <v>32416</v>
      </c>
      <c r="I251" t="s">
        <v>711</v>
      </c>
      <c r="J251">
        <f t="shared" si="19"/>
        <v>0</v>
      </c>
    </row>
    <row r="252" spans="1:10" x14ac:dyDescent="0.25">
      <c r="A252" s="43" t="s">
        <v>615</v>
      </c>
      <c r="B252">
        <f>IF(VLOOKUP(A252,'Enroll Data as of January 2025'!$A$3:$T$321,20,FALSE)&gt;0,0,VLOOKUP(A252,'Enroll Data as of January 2025'!$A$3:$T$321,20,FALSE))</f>
        <v>-0.83699999999999997</v>
      </c>
      <c r="C252">
        <f>IF(B252&gt;0,0,ROUND(-B252*'2024-25 PSES Compliance'!$G$13,3))</f>
        <v>0.80400000000000005</v>
      </c>
      <c r="D252">
        <f t="shared" si="15"/>
        <v>3.2999999999999918E-2</v>
      </c>
      <c r="E252" t="str">
        <f t="shared" si="16"/>
        <v>32901</v>
      </c>
      <c r="F252" t="s">
        <v>710</v>
      </c>
      <c r="G252">
        <f t="shared" si="17"/>
        <v>0.80400000000000005</v>
      </c>
      <c r="H252" t="str">
        <f t="shared" si="18"/>
        <v>32901</v>
      </c>
      <c r="I252" t="s">
        <v>711</v>
      </c>
      <c r="J252">
        <f t="shared" si="19"/>
        <v>3.2999999999999918E-2</v>
      </c>
    </row>
    <row r="253" spans="1:10" x14ac:dyDescent="0.25">
      <c r="A253" s="43" t="s">
        <v>655</v>
      </c>
      <c r="B253">
        <f>IF(VLOOKUP(A253,'Enroll Data as of January 2025'!$A$3:$T$321,20,FALSE)&gt;0,0,VLOOKUP(A253,'Enroll Data as of January 2025'!$A$3:$T$321,20,FALSE))</f>
        <v>0</v>
      </c>
      <c r="C253">
        <f>IF(B253&gt;0,0,ROUND(-B253*'2024-25 PSES Compliance'!$G$13,3))</f>
        <v>0</v>
      </c>
      <c r="D253">
        <f t="shared" si="15"/>
        <v>0</v>
      </c>
      <c r="E253" t="str">
        <f t="shared" si="16"/>
        <v>32903</v>
      </c>
      <c r="F253" t="s">
        <v>710</v>
      </c>
      <c r="G253">
        <f t="shared" si="17"/>
        <v>0</v>
      </c>
      <c r="H253" t="str">
        <f t="shared" si="18"/>
        <v>32903</v>
      </c>
      <c r="I253" t="s">
        <v>711</v>
      </c>
      <c r="J253">
        <f t="shared" si="19"/>
        <v>0</v>
      </c>
    </row>
    <row r="254" spans="1:10" x14ac:dyDescent="0.25">
      <c r="A254" s="42" t="s">
        <v>628</v>
      </c>
      <c r="B254">
        <f>IF(VLOOKUP(A254,'Enroll Data as of January 2025'!$A$3:$T$321,20,FALSE)&gt;0,0,VLOOKUP(A254,'Enroll Data as of January 2025'!$A$3:$T$321,20,FALSE))</f>
        <v>0</v>
      </c>
      <c r="C254">
        <f>IF(B254&gt;0,0,ROUND(-B254*'2024-25 PSES Compliance'!$G$13,3))</f>
        <v>0</v>
      </c>
      <c r="D254">
        <f t="shared" si="15"/>
        <v>0</v>
      </c>
      <c r="E254" t="str">
        <f t="shared" si="16"/>
        <v>32907</v>
      </c>
      <c r="F254" t="s">
        <v>710</v>
      </c>
      <c r="G254">
        <f t="shared" si="17"/>
        <v>0</v>
      </c>
      <c r="H254" t="str">
        <f t="shared" si="18"/>
        <v>32907</v>
      </c>
      <c r="I254" t="s">
        <v>711</v>
      </c>
      <c r="J254">
        <f t="shared" si="19"/>
        <v>0</v>
      </c>
    </row>
    <row r="255" spans="1:10" x14ac:dyDescent="0.25">
      <c r="A255" s="43" t="s">
        <v>240</v>
      </c>
      <c r="B255">
        <f>IF(VLOOKUP(A255,'Enroll Data as of January 2025'!$A$3:$T$321,20,FALSE)&gt;0,0,VLOOKUP(A255,'Enroll Data as of January 2025'!$A$3:$T$321,20,FALSE))</f>
        <v>-0.125</v>
      </c>
      <c r="C255">
        <f>IF(B255&gt;0,0,ROUND(-B255*'2024-25 PSES Compliance'!$G$13,3))</f>
        <v>0.12</v>
      </c>
      <c r="D255">
        <f t="shared" si="15"/>
        <v>5.0000000000000044E-3</v>
      </c>
      <c r="E255" t="str">
        <f t="shared" si="16"/>
        <v>33030</v>
      </c>
      <c r="F255" t="s">
        <v>710</v>
      </c>
      <c r="G255">
        <f t="shared" si="17"/>
        <v>0.12</v>
      </c>
      <c r="H255" t="str">
        <f t="shared" si="18"/>
        <v>33030</v>
      </c>
      <c r="I255" t="s">
        <v>711</v>
      </c>
      <c r="J255">
        <f t="shared" si="19"/>
        <v>5.0000000000000044E-3</v>
      </c>
    </row>
    <row r="256" spans="1:10" x14ac:dyDescent="0.25">
      <c r="A256" s="43" t="s">
        <v>241</v>
      </c>
      <c r="B256">
        <f>IF(VLOOKUP(A256,'Enroll Data as of January 2025'!$A$3:$T$321,20,FALSE)&gt;0,0,VLOOKUP(A256,'Enroll Data as of January 2025'!$A$3:$T$321,20,FALSE))</f>
        <v>0</v>
      </c>
      <c r="C256">
        <f>IF(B256&gt;0,0,ROUND(-B256*'2024-25 PSES Compliance'!$G$13,3))</f>
        <v>0</v>
      </c>
      <c r="D256">
        <f t="shared" si="15"/>
        <v>0</v>
      </c>
      <c r="E256" t="str">
        <f t="shared" si="16"/>
        <v>33036</v>
      </c>
      <c r="F256" t="s">
        <v>710</v>
      </c>
      <c r="G256">
        <f t="shared" si="17"/>
        <v>0</v>
      </c>
      <c r="H256" t="str">
        <f t="shared" si="18"/>
        <v>33036</v>
      </c>
      <c r="I256" t="s">
        <v>711</v>
      </c>
      <c r="J256">
        <f t="shared" si="19"/>
        <v>0</v>
      </c>
    </row>
    <row r="257" spans="1:10" x14ac:dyDescent="0.25">
      <c r="A257" s="43" t="s">
        <v>242</v>
      </c>
      <c r="B257">
        <f>IF(VLOOKUP(A257,'Enroll Data as of January 2025'!$A$3:$T$321,20,FALSE)&gt;0,0,VLOOKUP(A257,'Enroll Data as of January 2025'!$A$3:$T$321,20,FALSE))</f>
        <v>0</v>
      </c>
      <c r="C257">
        <f>IF(B257&gt;0,0,ROUND(-B257*'2024-25 PSES Compliance'!$G$13,3))</f>
        <v>0</v>
      </c>
      <c r="D257">
        <f t="shared" si="15"/>
        <v>0</v>
      </c>
      <c r="E257" t="str">
        <f t="shared" si="16"/>
        <v>33049</v>
      </c>
      <c r="F257" t="s">
        <v>710</v>
      </c>
      <c r="G257">
        <f t="shared" si="17"/>
        <v>0</v>
      </c>
      <c r="H257" t="str">
        <f t="shared" si="18"/>
        <v>33049</v>
      </c>
      <c r="I257" t="s">
        <v>711</v>
      </c>
      <c r="J257">
        <f t="shared" si="19"/>
        <v>0</v>
      </c>
    </row>
    <row r="258" spans="1:10" x14ac:dyDescent="0.25">
      <c r="A258" s="43" t="s">
        <v>243</v>
      </c>
      <c r="B258">
        <f>IF(VLOOKUP(A258,'Enroll Data as of January 2025'!$A$3:$T$321,20,FALSE)&gt;0,0,VLOOKUP(A258,'Enroll Data as of January 2025'!$A$3:$T$321,20,FALSE))</f>
        <v>0</v>
      </c>
      <c r="C258">
        <f>IF(B258&gt;0,0,ROUND(-B258*'2024-25 PSES Compliance'!$G$13,3))</f>
        <v>0</v>
      </c>
      <c r="D258">
        <f t="shared" ref="D258:D318" si="20">IF(B258&gt;0,0,(-B258-C258))</f>
        <v>0</v>
      </c>
      <c r="E258" t="str">
        <f t="shared" ref="E258:E318" si="21">$A258</f>
        <v>33070</v>
      </c>
      <c r="F258" t="s">
        <v>710</v>
      </c>
      <c r="G258">
        <f t="shared" ref="G258:G318" si="22">C258</f>
        <v>0</v>
      </c>
      <c r="H258" t="str">
        <f t="shared" ref="H258:H318" si="23">$A258</f>
        <v>33070</v>
      </c>
      <c r="I258" t="s">
        <v>711</v>
      </c>
      <c r="J258">
        <f t="shared" ref="J258:J318" si="24">D258</f>
        <v>0</v>
      </c>
    </row>
    <row r="259" spans="1:10" x14ac:dyDescent="0.25">
      <c r="A259" s="43" t="s">
        <v>244</v>
      </c>
      <c r="B259">
        <f>IF(VLOOKUP(A259,'Enroll Data as of January 2025'!$A$3:$T$321,20,FALSE)&gt;0,0,VLOOKUP(A259,'Enroll Data as of January 2025'!$A$3:$T$321,20,FALSE))</f>
        <v>0</v>
      </c>
      <c r="C259">
        <f>IF(B259&gt;0,0,ROUND(-B259*'2024-25 PSES Compliance'!$G$13,3))</f>
        <v>0</v>
      </c>
      <c r="D259">
        <f t="shared" si="20"/>
        <v>0</v>
      </c>
      <c r="E259" t="str">
        <f t="shared" si="21"/>
        <v>33115</v>
      </c>
      <c r="F259" t="s">
        <v>710</v>
      </c>
      <c r="G259">
        <f t="shared" si="22"/>
        <v>0</v>
      </c>
      <c r="H259" t="str">
        <f t="shared" si="23"/>
        <v>33115</v>
      </c>
      <c r="I259" t="s">
        <v>711</v>
      </c>
      <c r="J259">
        <f t="shared" si="24"/>
        <v>0</v>
      </c>
    </row>
    <row r="260" spans="1:10" x14ac:dyDescent="0.25">
      <c r="A260" s="43" t="s">
        <v>245</v>
      </c>
      <c r="B260">
        <f>IF(VLOOKUP(A260,'Enroll Data as of January 2025'!$A$3:$T$321,20,FALSE)&gt;0,0,VLOOKUP(A260,'Enroll Data as of January 2025'!$A$3:$T$321,20,FALSE))</f>
        <v>-0.224</v>
      </c>
      <c r="C260">
        <f>IF(B260&gt;0,0,ROUND(-B260*'2024-25 PSES Compliance'!$G$13,3))</f>
        <v>0.215</v>
      </c>
      <c r="D260">
        <f t="shared" si="20"/>
        <v>9.000000000000008E-3</v>
      </c>
      <c r="E260" t="str">
        <f t="shared" si="21"/>
        <v>33183</v>
      </c>
      <c r="F260" t="s">
        <v>710</v>
      </c>
      <c r="G260">
        <f t="shared" si="22"/>
        <v>0.215</v>
      </c>
      <c r="H260" t="str">
        <f t="shared" si="23"/>
        <v>33183</v>
      </c>
      <c r="I260" t="s">
        <v>711</v>
      </c>
      <c r="J260">
        <f t="shared" si="24"/>
        <v>9.000000000000008E-3</v>
      </c>
    </row>
    <row r="261" spans="1:10" x14ac:dyDescent="0.25">
      <c r="A261" s="124" t="s">
        <v>246</v>
      </c>
      <c r="B261">
        <f>IF(VLOOKUP(A261,'Enroll Data as of January 2025'!$A$3:$T$321,20,FALSE)&gt;0,0,VLOOKUP(A261,'Enroll Data as of January 2025'!$A$3:$T$321,20,FALSE))</f>
        <v>-0.28499999999999998</v>
      </c>
      <c r="C261">
        <f>IF(B261&gt;0,0,ROUND(-B261*'2024-25 PSES Compliance'!$G$13,3))</f>
        <v>0.27400000000000002</v>
      </c>
      <c r="D261">
        <f t="shared" si="20"/>
        <v>1.0999999999999954E-2</v>
      </c>
      <c r="E261" t="str">
        <f t="shared" si="21"/>
        <v>33202</v>
      </c>
      <c r="F261" t="s">
        <v>710</v>
      </c>
      <c r="G261">
        <f t="shared" si="22"/>
        <v>0.27400000000000002</v>
      </c>
      <c r="H261" t="str">
        <f t="shared" si="23"/>
        <v>33202</v>
      </c>
      <c r="I261" t="s">
        <v>711</v>
      </c>
      <c r="J261">
        <f t="shared" si="24"/>
        <v>1.0999999999999954E-2</v>
      </c>
    </row>
    <row r="262" spans="1:10" x14ac:dyDescent="0.25">
      <c r="A262" s="43" t="s">
        <v>247</v>
      </c>
      <c r="B262">
        <f>IF(VLOOKUP(A262,'Enroll Data as of January 2025'!$A$3:$T$321,20,FALSE)&gt;0,0,VLOOKUP(A262,'Enroll Data as of January 2025'!$A$3:$T$321,20,FALSE))</f>
        <v>-9.7000000000000003E-2</v>
      </c>
      <c r="C262">
        <f>IF(B262&gt;0,0,ROUND(-B262*'2024-25 PSES Compliance'!$G$13,3))</f>
        <v>9.2999999999999999E-2</v>
      </c>
      <c r="D262">
        <f t="shared" si="20"/>
        <v>4.0000000000000036E-3</v>
      </c>
      <c r="E262" t="str">
        <f t="shared" si="21"/>
        <v>33205</v>
      </c>
      <c r="F262" t="s">
        <v>710</v>
      </c>
      <c r="G262">
        <f t="shared" si="22"/>
        <v>9.2999999999999999E-2</v>
      </c>
      <c r="H262" t="str">
        <f t="shared" si="23"/>
        <v>33205</v>
      </c>
      <c r="I262" t="s">
        <v>711</v>
      </c>
      <c r="J262">
        <f t="shared" si="24"/>
        <v>4.0000000000000036E-3</v>
      </c>
    </row>
    <row r="263" spans="1:10" x14ac:dyDescent="0.25">
      <c r="A263" s="43" t="s">
        <v>248</v>
      </c>
      <c r="B263">
        <f>IF(VLOOKUP(A263,'Enroll Data as of January 2025'!$A$3:$T$321,20,FALSE)&gt;0,0,VLOOKUP(A263,'Enroll Data as of January 2025'!$A$3:$T$321,20,FALSE))</f>
        <v>-0.22</v>
      </c>
      <c r="C263">
        <f>IF(B263&gt;0,0,ROUND(-B263*'2024-25 PSES Compliance'!$G$13,3))</f>
        <v>0.21099999999999999</v>
      </c>
      <c r="D263">
        <f t="shared" si="20"/>
        <v>9.000000000000008E-3</v>
      </c>
      <c r="E263" t="str">
        <f t="shared" si="21"/>
        <v>33206</v>
      </c>
      <c r="F263" t="s">
        <v>710</v>
      </c>
      <c r="G263">
        <f t="shared" si="22"/>
        <v>0.21099999999999999</v>
      </c>
      <c r="H263" t="str">
        <f t="shared" si="23"/>
        <v>33206</v>
      </c>
      <c r="I263" t="s">
        <v>711</v>
      </c>
      <c r="J263">
        <f t="shared" si="24"/>
        <v>9.000000000000008E-3</v>
      </c>
    </row>
    <row r="264" spans="1:10" x14ac:dyDescent="0.25">
      <c r="A264" s="43" t="s">
        <v>249</v>
      </c>
      <c r="B264">
        <f>IF(VLOOKUP(A264,'Enroll Data as of January 2025'!$A$3:$T$321,20,FALSE)&gt;0,0,VLOOKUP(A264,'Enroll Data as of January 2025'!$A$3:$T$321,20,FALSE))</f>
        <v>-1.7729999999999999</v>
      </c>
      <c r="C264">
        <f>IF(B264&gt;0,0,ROUND(-B264*'2024-25 PSES Compliance'!$G$13,3))</f>
        <v>1.702</v>
      </c>
      <c r="D264">
        <f t="shared" si="20"/>
        <v>7.0999999999999952E-2</v>
      </c>
      <c r="E264" t="str">
        <f t="shared" si="21"/>
        <v>33207</v>
      </c>
      <c r="F264" t="s">
        <v>710</v>
      </c>
      <c r="G264">
        <f t="shared" si="22"/>
        <v>1.702</v>
      </c>
      <c r="H264" t="str">
        <f t="shared" si="23"/>
        <v>33207</v>
      </c>
      <c r="I264" t="s">
        <v>711</v>
      </c>
      <c r="J264">
        <f t="shared" si="24"/>
        <v>7.0999999999999952E-2</v>
      </c>
    </row>
    <row r="265" spans="1:10" x14ac:dyDescent="0.25">
      <c r="A265" s="43" t="s">
        <v>250</v>
      </c>
      <c r="B265">
        <f>IF(VLOOKUP(A265,'Enroll Data as of January 2025'!$A$3:$T$321,20,FALSE)&gt;0,0,VLOOKUP(A265,'Enroll Data as of January 2025'!$A$3:$T$321,20,FALSE))</f>
        <v>-0.502</v>
      </c>
      <c r="C265">
        <f>IF(B265&gt;0,0,ROUND(-B265*'2024-25 PSES Compliance'!$G$13,3))</f>
        <v>0.48199999999999998</v>
      </c>
      <c r="D265">
        <f t="shared" si="20"/>
        <v>2.0000000000000018E-2</v>
      </c>
      <c r="E265" t="str">
        <f t="shared" si="21"/>
        <v>33211</v>
      </c>
      <c r="F265" t="s">
        <v>710</v>
      </c>
      <c r="G265">
        <f t="shared" si="22"/>
        <v>0.48199999999999998</v>
      </c>
      <c r="H265" t="str">
        <f t="shared" si="23"/>
        <v>33211</v>
      </c>
      <c r="I265" t="s">
        <v>711</v>
      </c>
      <c r="J265">
        <f t="shared" si="24"/>
        <v>2.0000000000000018E-2</v>
      </c>
    </row>
    <row r="266" spans="1:10" x14ac:dyDescent="0.25">
      <c r="A266" s="43" t="s">
        <v>251</v>
      </c>
      <c r="B266">
        <f>IF(VLOOKUP(A266,'Enroll Data as of January 2025'!$A$3:$T$321,20,FALSE)&gt;0,0,VLOOKUP(A266,'Enroll Data as of January 2025'!$A$3:$T$321,20,FALSE))</f>
        <v>0</v>
      </c>
      <c r="C266">
        <f>IF(B266&gt;0,0,ROUND(-B266*'2024-25 PSES Compliance'!$G$13,3))</f>
        <v>0</v>
      </c>
      <c r="D266">
        <f t="shared" si="20"/>
        <v>0</v>
      </c>
      <c r="E266" t="str">
        <f t="shared" si="21"/>
        <v>33212</v>
      </c>
      <c r="F266" t="s">
        <v>710</v>
      </c>
      <c r="G266">
        <f t="shared" si="22"/>
        <v>0</v>
      </c>
      <c r="H266" t="str">
        <f t="shared" si="23"/>
        <v>33212</v>
      </c>
      <c r="I266" t="s">
        <v>711</v>
      </c>
      <c r="J266">
        <f t="shared" si="24"/>
        <v>0</v>
      </c>
    </row>
    <row r="267" spans="1:10" x14ac:dyDescent="0.25">
      <c r="A267" s="43" t="s">
        <v>252</v>
      </c>
      <c r="B267">
        <f>IF(VLOOKUP(A267,'Enroll Data as of January 2025'!$A$3:$T$321,20,FALSE)&gt;0,0,VLOOKUP(A267,'Enroll Data as of January 2025'!$A$3:$T$321,20,FALSE))</f>
        <v>0</v>
      </c>
      <c r="C267">
        <f>IF(B267&gt;0,0,ROUND(-B267*'2024-25 PSES Compliance'!$G$13,3))</f>
        <v>0</v>
      </c>
      <c r="D267">
        <f t="shared" si="20"/>
        <v>0</v>
      </c>
      <c r="E267" t="str">
        <f t="shared" si="21"/>
        <v>34002</v>
      </c>
      <c r="F267" t="s">
        <v>710</v>
      </c>
      <c r="G267">
        <f t="shared" si="22"/>
        <v>0</v>
      </c>
      <c r="H267" t="str">
        <f t="shared" si="23"/>
        <v>34002</v>
      </c>
      <c r="I267" t="s">
        <v>711</v>
      </c>
      <c r="J267">
        <f t="shared" si="24"/>
        <v>0</v>
      </c>
    </row>
    <row r="268" spans="1:10" x14ac:dyDescent="0.25">
      <c r="A268" s="126" t="s">
        <v>253</v>
      </c>
      <c r="B268">
        <f>IF(VLOOKUP(A268,'Enroll Data as of January 2025'!$A$3:$T$321,20,FALSE)&gt;0,0,VLOOKUP(A268,'Enroll Data as of January 2025'!$A$3:$T$321,20,FALSE))</f>
        <v>0</v>
      </c>
      <c r="C268">
        <f>IF(B268&gt;0,0,ROUND(-B268*'2024-25 PSES Compliance'!$G$13,3))</f>
        <v>0</v>
      </c>
      <c r="D268">
        <f t="shared" si="20"/>
        <v>0</v>
      </c>
      <c r="E268" t="str">
        <f t="shared" si="21"/>
        <v>34003</v>
      </c>
      <c r="F268" t="s">
        <v>710</v>
      </c>
      <c r="G268">
        <f t="shared" si="22"/>
        <v>0</v>
      </c>
      <c r="H268" t="str">
        <f t="shared" si="23"/>
        <v>34003</v>
      </c>
      <c r="I268" t="s">
        <v>711</v>
      </c>
      <c r="J268">
        <f t="shared" si="24"/>
        <v>0</v>
      </c>
    </row>
    <row r="269" spans="1:10" x14ac:dyDescent="0.25">
      <c r="A269" s="43" t="s">
        <v>254</v>
      </c>
      <c r="B269">
        <f>IF(VLOOKUP(A269,'Enroll Data as of January 2025'!$A$3:$T$321,20,FALSE)&gt;0,0,VLOOKUP(A269,'Enroll Data as of January 2025'!$A$3:$T$321,20,FALSE))</f>
        <v>0</v>
      </c>
      <c r="C269">
        <f>IF(B269&gt;0,0,ROUND(-B269*'2024-25 PSES Compliance'!$G$13,3))</f>
        <v>0</v>
      </c>
      <c r="D269">
        <f t="shared" si="20"/>
        <v>0</v>
      </c>
      <c r="E269" t="str">
        <f t="shared" si="21"/>
        <v>34033</v>
      </c>
      <c r="F269" t="s">
        <v>710</v>
      </c>
      <c r="G269">
        <f t="shared" si="22"/>
        <v>0</v>
      </c>
      <c r="H269" t="str">
        <f t="shared" si="23"/>
        <v>34033</v>
      </c>
      <c r="I269" t="s">
        <v>711</v>
      </c>
      <c r="J269">
        <f t="shared" si="24"/>
        <v>0</v>
      </c>
    </row>
    <row r="270" spans="1:10" x14ac:dyDescent="0.25">
      <c r="A270" s="43" t="s">
        <v>255</v>
      </c>
      <c r="B270">
        <f>IF(VLOOKUP(A270,'Enroll Data as of January 2025'!$A$3:$T$321,20,FALSE)&gt;0,0,VLOOKUP(A270,'Enroll Data as of January 2025'!$A$3:$T$321,20,FALSE))</f>
        <v>0</v>
      </c>
      <c r="C270">
        <f>IF(B270&gt;0,0,ROUND(-B270*'2024-25 PSES Compliance'!$G$13,3))</f>
        <v>0</v>
      </c>
      <c r="D270">
        <f t="shared" si="20"/>
        <v>0</v>
      </c>
      <c r="E270" t="str">
        <f t="shared" si="21"/>
        <v>34111</v>
      </c>
      <c r="F270" t="s">
        <v>710</v>
      </c>
      <c r="G270">
        <f t="shared" si="22"/>
        <v>0</v>
      </c>
      <c r="H270" t="str">
        <f t="shared" si="23"/>
        <v>34111</v>
      </c>
      <c r="I270" t="s">
        <v>711</v>
      </c>
      <c r="J270">
        <f t="shared" si="24"/>
        <v>0</v>
      </c>
    </row>
    <row r="271" spans="1:10" x14ac:dyDescent="0.25">
      <c r="A271" s="43" t="s">
        <v>256</v>
      </c>
      <c r="B271">
        <f>IF(VLOOKUP(A271,'Enroll Data as of January 2025'!$A$3:$T$321,20,FALSE)&gt;0,0,VLOOKUP(A271,'Enroll Data as of January 2025'!$A$3:$T$321,20,FALSE))</f>
        <v>0</v>
      </c>
      <c r="C271">
        <f>IF(B271&gt;0,0,ROUND(-B271*'2024-25 PSES Compliance'!$G$13,3))</f>
        <v>0</v>
      </c>
      <c r="D271">
        <f t="shared" si="20"/>
        <v>0</v>
      </c>
      <c r="E271" t="str">
        <f t="shared" si="21"/>
        <v>34307</v>
      </c>
      <c r="F271" t="s">
        <v>710</v>
      </c>
      <c r="G271">
        <f t="shared" si="22"/>
        <v>0</v>
      </c>
      <c r="H271" t="str">
        <f t="shared" si="23"/>
        <v>34307</v>
      </c>
      <c r="I271" t="s">
        <v>711</v>
      </c>
      <c r="J271">
        <f t="shared" si="24"/>
        <v>0</v>
      </c>
    </row>
    <row r="272" spans="1:10" x14ac:dyDescent="0.25">
      <c r="A272" s="43" t="s">
        <v>257</v>
      </c>
      <c r="B272">
        <f>IF(VLOOKUP(A272,'Enroll Data as of January 2025'!$A$3:$T$321,20,FALSE)&gt;0,0,VLOOKUP(A272,'Enroll Data as of January 2025'!$A$3:$T$321,20,FALSE))</f>
        <v>0</v>
      </c>
      <c r="C272">
        <f>IF(B272&gt;0,0,ROUND(-B272*'2024-25 PSES Compliance'!$G$13,3))</f>
        <v>0</v>
      </c>
      <c r="D272">
        <f t="shared" si="20"/>
        <v>0</v>
      </c>
      <c r="E272" t="str">
        <f t="shared" si="21"/>
        <v>34324</v>
      </c>
      <c r="F272" t="s">
        <v>710</v>
      </c>
      <c r="G272">
        <f t="shared" si="22"/>
        <v>0</v>
      </c>
      <c r="H272" t="str">
        <f t="shared" si="23"/>
        <v>34324</v>
      </c>
      <c r="I272" t="s">
        <v>711</v>
      </c>
      <c r="J272">
        <f t="shared" si="24"/>
        <v>0</v>
      </c>
    </row>
    <row r="273" spans="1:10" x14ac:dyDescent="0.25">
      <c r="A273" s="43" t="s">
        <v>258</v>
      </c>
      <c r="B273">
        <f>IF(VLOOKUP(A273,'Enroll Data as of January 2025'!$A$3:$T$321,20,FALSE)&gt;0,0,VLOOKUP(A273,'Enroll Data as of January 2025'!$A$3:$T$321,20,FALSE))</f>
        <v>-5.2590000000000003</v>
      </c>
      <c r="C273">
        <f>IF(B273&gt;0,0,ROUND(-B273*'2024-25 PSES Compliance'!$G$13,3))</f>
        <v>5.0490000000000004</v>
      </c>
      <c r="D273">
        <f t="shared" si="20"/>
        <v>0.20999999999999996</v>
      </c>
      <c r="E273" t="str">
        <f t="shared" si="21"/>
        <v>34401</v>
      </c>
      <c r="F273" t="s">
        <v>710</v>
      </c>
      <c r="G273">
        <f t="shared" si="22"/>
        <v>5.0490000000000004</v>
      </c>
      <c r="H273" t="str">
        <f t="shared" si="23"/>
        <v>34401</v>
      </c>
      <c r="I273" t="s">
        <v>711</v>
      </c>
      <c r="J273">
        <f t="shared" si="24"/>
        <v>0.20999999999999996</v>
      </c>
    </row>
    <row r="274" spans="1:10" x14ac:dyDescent="0.25">
      <c r="A274" s="43" t="s">
        <v>259</v>
      </c>
      <c r="B274">
        <f>IF(VLOOKUP(A274,'Enroll Data as of January 2025'!$A$3:$T$321,20,FALSE)&gt;0,0,VLOOKUP(A274,'Enroll Data as of January 2025'!$A$3:$T$321,20,FALSE))</f>
        <v>0</v>
      </c>
      <c r="C274">
        <f>IF(B274&gt;0,0,ROUND(-B274*'2024-25 PSES Compliance'!$G$13,3))</f>
        <v>0</v>
      </c>
      <c r="D274">
        <f t="shared" si="20"/>
        <v>0</v>
      </c>
      <c r="E274" t="str">
        <f t="shared" si="21"/>
        <v>34402</v>
      </c>
      <c r="F274" t="s">
        <v>710</v>
      </c>
      <c r="G274">
        <f t="shared" si="22"/>
        <v>0</v>
      </c>
      <c r="H274" t="str">
        <f t="shared" si="23"/>
        <v>34402</v>
      </c>
      <c r="I274" t="s">
        <v>711</v>
      </c>
      <c r="J274">
        <f t="shared" si="24"/>
        <v>0</v>
      </c>
    </row>
    <row r="275" spans="1:10" x14ac:dyDescent="0.25">
      <c r="A275" s="43" t="s">
        <v>617</v>
      </c>
      <c r="B275">
        <f>IF(VLOOKUP(A275,'Enroll Data as of January 2025'!$A$3:$T$321,20,FALSE)&gt;0,0,VLOOKUP(A275,'Enroll Data as of January 2025'!$A$3:$T$321,20,FALSE))</f>
        <v>0</v>
      </c>
      <c r="C275">
        <f>IF(B275&gt;0,0,ROUND(-B275*'2024-25 PSES Compliance'!$G$13,3))</f>
        <v>0</v>
      </c>
      <c r="D275">
        <f t="shared" si="20"/>
        <v>0</v>
      </c>
      <c r="E275" t="str">
        <f t="shared" si="21"/>
        <v>34901</v>
      </c>
      <c r="F275" t="s">
        <v>710</v>
      </c>
      <c r="G275">
        <f t="shared" si="22"/>
        <v>0</v>
      </c>
      <c r="H275" t="str">
        <f t="shared" si="23"/>
        <v>34901</v>
      </c>
      <c r="I275" t="s">
        <v>711</v>
      </c>
      <c r="J275">
        <f t="shared" si="24"/>
        <v>0</v>
      </c>
    </row>
    <row r="276" spans="1:10" x14ac:dyDescent="0.25">
      <c r="A276" s="42" t="s">
        <v>260</v>
      </c>
      <c r="B276">
        <f>IF(VLOOKUP(A276,'Enroll Data as of January 2025'!$A$3:$T$321,20,FALSE)&gt;0,0,VLOOKUP(A276,'Enroll Data as of January 2025'!$A$3:$T$321,20,FALSE))</f>
        <v>-0.95699999999999996</v>
      </c>
      <c r="C276">
        <f>IF(B276&gt;0,0,ROUND(-B276*'2024-25 PSES Compliance'!$G$13,3))</f>
        <v>0.91900000000000004</v>
      </c>
      <c r="D276">
        <f t="shared" si="20"/>
        <v>3.7999999999999923E-2</v>
      </c>
      <c r="E276" t="str">
        <f t="shared" si="21"/>
        <v>35200</v>
      </c>
      <c r="F276" t="s">
        <v>710</v>
      </c>
      <c r="G276">
        <f t="shared" si="22"/>
        <v>0.91900000000000004</v>
      </c>
      <c r="H276" t="str">
        <f t="shared" si="23"/>
        <v>35200</v>
      </c>
      <c r="I276" t="s">
        <v>711</v>
      </c>
      <c r="J276">
        <f t="shared" si="24"/>
        <v>3.7999999999999923E-2</v>
      </c>
    </row>
    <row r="277" spans="1:10" x14ac:dyDescent="0.25">
      <c r="A277" s="43" t="s">
        <v>261</v>
      </c>
      <c r="B277">
        <f>IF(VLOOKUP(A277,'Enroll Data as of January 2025'!$A$3:$T$321,20,FALSE)&gt;0,0,VLOOKUP(A277,'Enroll Data as of January 2025'!$A$3:$T$321,20,FALSE))</f>
        <v>-7.8E-2</v>
      </c>
      <c r="C277">
        <f>IF(B277&gt;0,0,ROUND(-B277*'2024-25 PSES Compliance'!$G$13,3))</f>
        <v>7.4999999999999997E-2</v>
      </c>
      <c r="D277">
        <f t="shared" si="20"/>
        <v>3.0000000000000027E-3</v>
      </c>
      <c r="E277" t="str">
        <f t="shared" si="21"/>
        <v>36101</v>
      </c>
      <c r="F277" t="s">
        <v>710</v>
      </c>
      <c r="G277">
        <f t="shared" si="22"/>
        <v>7.4999999999999997E-2</v>
      </c>
      <c r="H277" t="str">
        <f t="shared" si="23"/>
        <v>36101</v>
      </c>
      <c r="I277" t="s">
        <v>711</v>
      </c>
      <c r="J277">
        <f t="shared" si="24"/>
        <v>3.0000000000000027E-3</v>
      </c>
    </row>
    <row r="278" spans="1:10" x14ac:dyDescent="0.25">
      <c r="A278" s="43" t="s">
        <v>262</v>
      </c>
      <c r="B278">
        <f>IF(VLOOKUP(A278,'Enroll Data as of January 2025'!$A$3:$T$321,20,FALSE)&gt;0,0,VLOOKUP(A278,'Enroll Data as of January 2025'!$A$3:$T$321,20,FALSE))</f>
        <v>0</v>
      </c>
      <c r="C278">
        <f>IF(B278&gt;0,0,ROUND(-B278*'2024-25 PSES Compliance'!$G$13,3))</f>
        <v>0</v>
      </c>
      <c r="D278">
        <f t="shared" si="20"/>
        <v>0</v>
      </c>
      <c r="E278" t="str">
        <f t="shared" si="21"/>
        <v>36140</v>
      </c>
      <c r="F278" t="s">
        <v>710</v>
      </c>
      <c r="G278">
        <f t="shared" si="22"/>
        <v>0</v>
      </c>
      <c r="H278" t="str">
        <f t="shared" si="23"/>
        <v>36140</v>
      </c>
      <c r="I278" t="s">
        <v>711</v>
      </c>
      <c r="J278">
        <f t="shared" si="24"/>
        <v>0</v>
      </c>
    </row>
    <row r="279" spans="1:10" x14ac:dyDescent="0.25">
      <c r="A279" s="43" t="s">
        <v>263</v>
      </c>
      <c r="B279">
        <f>IF(VLOOKUP(A279,'Enroll Data as of January 2025'!$A$3:$T$321,20,FALSE)&gt;0,0,VLOOKUP(A279,'Enroll Data as of January 2025'!$A$3:$T$321,20,FALSE))</f>
        <v>0</v>
      </c>
      <c r="C279">
        <f>IF(B279&gt;0,0,ROUND(-B279*'2024-25 PSES Compliance'!$G$13,3))</f>
        <v>0</v>
      </c>
      <c r="D279">
        <f t="shared" si="20"/>
        <v>0</v>
      </c>
      <c r="E279" t="str">
        <f t="shared" si="21"/>
        <v>36250</v>
      </c>
      <c r="F279" t="s">
        <v>710</v>
      </c>
      <c r="G279">
        <f t="shared" si="22"/>
        <v>0</v>
      </c>
      <c r="H279" t="str">
        <f t="shared" si="23"/>
        <v>36250</v>
      </c>
      <c r="I279" t="s">
        <v>711</v>
      </c>
      <c r="J279">
        <f t="shared" si="24"/>
        <v>0</v>
      </c>
    </row>
    <row r="280" spans="1:10" x14ac:dyDescent="0.25">
      <c r="A280" s="42" t="s">
        <v>264</v>
      </c>
      <c r="B280">
        <f>IF(VLOOKUP(A280,'Enroll Data as of January 2025'!$A$3:$T$321,20,FALSE)&gt;0,0,VLOOKUP(A280,'Enroll Data as of January 2025'!$A$3:$T$321,20,FALSE))</f>
        <v>-0.20300000000000001</v>
      </c>
      <c r="C280">
        <f>IF(B280&gt;0,0,ROUND(-B280*'2024-25 PSES Compliance'!$G$13,3))</f>
        <v>0.19500000000000001</v>
      </c>
      <c r="D280">
        <f t="shared" si="20"/>
        <v>8.0000000000000071E-3</v>
      </c>
      <c r="E280" t="str">
        <f t="shared" si="21"/>
        <v>36300</v>
      </c>
      <c r="F280" t="s">
        <v>710</v>
      </c>
      <c r="G280">
        <f t="shared" si="22"/>
        <v>0.19500000000000001</v>
      </c>
      <c r="H280" t="str">
        <f t="shared" si="23"/>
        <v>36300</v>
      </c>
      <c r="I280" t="s">
        <v>711</v>
      </c>
      <c r="J280">
        <f t="shared" si="24"/>
        <v>8.0000000000000071E-3</v>
      </c>
    </row>
    <row r="281" spans="1:10" x14ac:dyDescent="0.25">
      <c r="A281" s="43" t="s">
        <v>265</v>
      </c>
      <c r="B281">
        <f>IF(VLOOKUP(A281,'Enroll Data as of January 2025'!$A$3:$T$321,20,FALSE)&gt;0,0,VLOOKUP(A281,'Enroll Data as of January 2025'!$A$3:$T$321,20,FALSE))</f>
        <v>-1.7010000000000001</v>
      </c>
      <c r="C281">
        <f>IF(B281&gt;0,0,ROUND(-B281*'2024-25 PSES Compliance'!$G$13,3))</f>
        <v>1.633</v>
      </c>
      <c r="D281">
        <f t="shared" si="20"/>
        <v>6.800000000000006E-2</v>
      </c>
      <c r="E281" t="str">
        <f t="shared" si="21"/>
        <v>36400</v>
      </c>
      <c r="F281" t="s">
        <v>710</v>
      </c>
      <c r="G281">
        <f t="shared" si="22"/>
        <v>1.633</v>
      </c>
      <c r="H281" t="str">
        <f t="shared" si="23"/>
        <v>36400</v>
      </c>
      <c r="I281" t="s">
        <v>711</v>
      </c>
      <c r="J281">
        <f t="shared" si="24"/>
        <v>6.800000000000006E-2</v>
      </c>
    </row>
    <row r="282" spans="1:10" x14ac:dyDescent="0.25">
      <c r="A282" s="43" t="s">
        <v>266</v>
      </c>
      <c r="B282">
        <f>IF(VLOOKUP(A282,'Enroll Data as of January 2025'!$A$3:$T$321,20,FALSE)&gt;0,0,VLOOKUP(A282,'Enroll Data as of January 2025'!$A$3:$T$321,20,FALSE))</f>
        <v>-0.40200000000000002</v>
      </c>
      <c r="C282">
        <f>IF(B282&gt;0,0,ROUND(-B282*'2024-25 PSES Compliance'!$G$13,3))</f>
        <v>0.38600000000000001</v>
      </c>
      <c r="D282">
        <f t="shared" si="20"/>
        <v>1.6000000000000014E-2</v>
      </c>
      <c r="E282" t="str">
        <f t="shared" si="21"/>
        <v>36401</v>
      </c>
      <c r="F282" t="s">
        <v>710</v>
      </c>
      <c r="G282">
        <f t="shared" si="22"/>
        <v>0.38600000000000001</v>
      </c>
      <c r="H282" t="str">
        <f t="shared" si="23"/>
        <v>36401</v>
      </c>
      <c r="I282" t="s">
        <v>711</v>
      </c>
      <c r="J282">
        <f t="shared" si="24"/>
        <v>1.6000000000000014E-2</v>
      </c>
    </row>
    <row r="283" spans="1:10" x14ac:dyDescent="0.25">
      <c r="A283" s="43" t="s">
        <v>267</v>
      </c>
      <c r="B283">
        <f>IF(VLOOKUP(A283,'Enroll Data as of January 2025'!$A$3:$T$321,20,FALSE)&gt;0,0,VLOOKUP(A283,'Enroll Data as of January 2025'!$A$3:$T$321,20,FALSE))</f>
        <v>-1.02</v>
      </c>
      <c r="C283">
        <f>IF(B283&gt;0,0,ROUND(-B283*'2024-25 PSES Compliance'!$G$13,3))</f>
        <v>0.97899999999999998</v>
      </c>
      <c r="D283">
        <f t="shared" si="20"/>
        <v>4.1000000000000036E-2</v>
      </c>
      <c r="E283" t="str">
        <f t="shared" si="21"/>
        <v>36402</v>
      </c>
      <c r="F283" t="s">
        <v>710</v>
      </c>
      <c r="G283">
        <f t="shared" si="22"/>
        <v>0.97899999999999998</v>
      </c>
      <c r="H283" t="str">
        <f t="shared" si="23"/>
        <v>36402</v>
      </c>
      <c r="I283" t="s">
        <v>711</v>
      </c>
      <c r="J283">
        <f t="shared" si="24"/>
        <v>4.1000000000000036E-2</v>
      </c>
    </row>
    <row r="284" spans="1:10" x14ac:dyDescent="0.25">
      <c r="A284" s="42" t="s">
        <v>268</v>
      </c>
      <c r="B284">
        <f>IF(VLOOKUP(A284,'Enroll Data as of January 2025'!$A$3:$T$321,20,FALSE)&gt;0,0,VLOOKUP(A284,'Enroll Data as of January 2025'!$A$3:$T$321,20,FALSE))</f>
        <v>0</v>
      </c>
      <c r="C284">
        <f>IF(B284&gt;0,0,ROUND(-B284*'2024-25 PSES Compliance'!$G$13,3))</f>
        <v>0</v>
      </c>
      <c r="D284">
        <f t="shared" si="20"/>
        <v>0</v>
      </c>
      <c r="E284" t="str">
        <f t="shared" si="21"/>
        <v>37501</v>
      </c>
      <c r="F284" t="s">
        <v>710</v>
      </c>
      <c r="G284">
        <f t="shared" si="22"/>
        <v>0</v>
      </c>
      <c r="H284" t="str">
        <f t="shared" si="23"/>
        <v>37501</v>
      </c>
      <c r="I284" t="s">
        <v>711</v>
      </c>
      <c r="J284">
        <f t="shared" si="24"/>
        <v>0</v>
      </c>
    </row>
    <row r="285" spans="1:10" x14ac:dyDescent="0.25">
      <c r="A285" s="43" t="s">
        <v>269</v>
      </c>
      <c r="B285">
        <f>IF(VLOOKUP(A285,'Enroll Data as of January 2025'!$A$3:$T$321,20,FALSE)&gt;0,0,VLOOKUP(A285,'Enroll Data as of January 2025'!$A$3:$T$321,20,FALSE))</f>
        <v>0</v>
      </c>
      <c r="C285">
        <f>IF(B285&gt;0,0,ROUND(-B285*'2024-25 PSES Compliance'!$G$13,3))</f>
        <v>0</v>
      </c>
      <c r="D285">
        <f t="shared" si="20"/>
        <v>0</v>
      </c>
      <c r="E285" t="str">
        <f t="shared" si="21"/>
        <v>37502</v>
      </c>
      <c r="F285" t="s">
        <v>710</v>
      </c>
      <c r="G285">
        <f t="shared" si="22"/>
        <v>0</v>
      </c>
      <c r="H285" t="str">
        <f t="shared" si="23"/>
        <v>37502</v>
      </c>
      <c r="I285" t="s">
        <v>711</v>
      </c>
      <c r="J285">
        <f t="shared" si="24"/>
        <v>0</v>
      </c>
    </row>
    <row r="286" spans="1:10" x14ac:dyDescent="0.25">
      <c r="A286" s="43" t="s">
        <v>270</v>
      </c>
      <c r="B286">
        <f>IF(VLOOKUP(A286,'Enroll Data as of January 2025'!$A$3:$T$321,20,FALSE)&gt;0,0,VLOOKUP(A286,'Enroll Data as of January 2025'!$A$3:$T$321,20,FALSE))</f>
        <v>0</v>
      </c>
      <c r="C286">
        <f>IF(B286&gt;0,0,ROUND(-B286*'2024-25 PSES Compliance'!$G$13,3))</f>
        <v>0</v>
      </c>
      <c r="D286">
        <f t="shared" si="20"/>
        <v>0</v>
      </c>
      <c r="E286" t="str">
        <f t="shared" si="21"/>
        <v>37503</v>
      </c>
      <c r="F286" t="s">
        <v>710</v>
      </c>
      <c r="G286">
        <f t="shared" si="22"/>
        <v>0</v>
      </c>
      <c r="H286" t="str">
        <f t="shared" si="23"/>
        <v>37503</v>
      </c>
      <c r="I286" t="s">
        <v>711</v>
      </c>
      <c r="J286">
        <f t="shared" si="24"/>
        <v>0</v>
      </c>
    </row>
    <row r="287" spans="1:10" x14ac:dyDescent="0.25">
      <c r="A287" s="43" t="s">
        <v>271</v>
      </c>
      <c r="B287">
        <f>IF(VLOOKUP(A287,'Enroll Data as of January 2025'!$A$3:$T$321,20,FALSE)&gt;0,0,VLOOKUP(A287,'Enroll Data as of January 2025'!$A$3:$T$321,20,FALSE))</f>
        <v>0</v>
      </c>
      <c r="C287">
        <f>IF(B287&gt;0,0,ROUND(-B287*'2024-25 PSES Compliance'!$G$13,3))</f>
        <v>0</v>
      </c>
      <c r="D287">
        <f t="shared" si="20"/>
        <v>0</v>
      </c>
      <c r="E287" t="str">
        <f t="shared" si="21"/>
        <v>37504</v>
      </c>
      <c r="F287" t="s">
        <v>710</v>
      </c>
      <c r="G287">
        <f t="shared" si="22"/>
        <v>0</v>
      </c>
      <c r="H287" t="str">
        <f t="shared" si="23"/>
        <v>37504</v>
      </c>
      <c r="I287" t="s">
        <v>711</v>
      </c>
      <c r="J287">
        <f t="shared" si="24"/>
        <v>0</v>
      </c>
    </row>
    <row r="288" spans="1:10" x14ac:dyDescent="0.25">
      <c r="A288" s="43" t="s">
        <v>272</v>
      </c>
      <c r="B288">
        <f>IF(VLOOKUP(A288,'Enroll Data as of January 2025'!$A$3:$T$321,20,FALSE)&gt;0,0,VLOOKUP(A288,'Enroll Data as of January 2025'!$A$3:$T$321,20,FALSE))</f>
        <v>0</v>
      </c>
      <c r="C288">
        <f>IF(B288&gt;0,0,ROUND(-B288*'2024-25 PSES Compliance'!$G$13,3))</f>
        <v>0</v>
      </c>
      <c r="D288">
        <f t="shared" si="20"/>
        <v>0</v>
      </c>
      <c r="E288" t="str">
        <f t="shared" si="21"/>
        <v>37505</v>
      </c>
      <c r="F288" t="s">
        <v>710</v>
      </c>
      <c r="G288">
        <f t="shared" si="22"/>
        <v>0</v>
      </c>
      <c r="H288" t="str">
        <f t="shared" si="23"/>
        <v>37505</v>
      </c>
      <c r="I288" t="s">
        <v>711</v>
      </c>
      <c r="J288">
        <f t="shared" si="24"/>
        <v>0</v>
      </c>
    </row>
    <row r="289" spans="1:10" x14ac:dyDescent="0.25">
      <c r="A289" s="43" t="s">
        <v>273</v>
      </c>
      <c r="B289">
        <f>IF(VLOOKUP(A289,'Enroll Data as of January 2025'!$A$3:$T$321,20,FALSE)&gt;0,0,VLOOKUP(A289,'Enroll Data as of January 2025'!$A$3:$T$321,20,FALSE))</f>
        <v>-1.734</v>
      </c>
      <c r="C289">
        <f>IF(B289&gt;0,0,ROUND(-B289*'2024-25 PSES Compliance'!$G$13,3))</f>
        <v>1.665</v>
      </c>
      <c r="D289">
        <f t="shared" si="20"/>
        <v>6.899999999999995E-2</v>
      </c>
      <c r="E289" t="str">
        <f t="shared" si="21"/>
        <v>37506</v>
      </c>
      <c r="F289" t="s">
        <v>710</v>
      </c>
      <c r="G289">
        <f t="shared" si="22"/>
        <v>1.665</v>
      </c>
      <c r="H289" t="str">
        <f t="shared" si="23"/>
        <v>37506</v>
      </c>
      <c r="I289" t="s">
        <v>711</v>
      </c>
      <c r="J289">
        <f t="shared" si="24"/>
        <v>6.899999999999995E-2</v>
      </c>
    </row>
    <row r="290" spans="1:10" x14ac:dyDescent="0.25">
      <c r="A290" s="43" t="s">
        <v>274</v>
      </c>
      <c r="B290">
        <f>IF(VLOOKUP(A290,'Enroll Data as of January 2025'!$A$3:$T$321,20,FALSE)&gt;0,0,VLOOKUP(A290,'Enroll Data as of January 2025'!$A$3:$T$321,20,FALSE))</f>
        <v>0</v>
      </c>
      <c r="C290">
        <f>IF(B290&gt;0,0,ROUND(-B290*'2024-25 PSES Compliance'!$G$13,3))</f>
        <v>0</v>
      </c>
      <c r="D290">
        <f t="shared" si="20"/>
        <v>0</v>
      </c>
      <c r="E290" t="str">
        <f t="shared" si="21"/>
        <v>37507</v>
      </c>
      <c r="F290" t="s">
        <v>710</v>
      </c>
      <c r="G290">
        <f t="shared" si="22"/>
        <v>0</v>
      </c>
      <c r="H290" t="str">
        <f t="shared" si="23"/>
        <v>37507</v>
      </c>
      <c r="I290" t="s">
        <v>711</v>
      </c>
      <c r="J290">
        <f t="shared" si="24"/>
        <v>0</v>
      </c>
    </row>
    <row r="291" spans="1:10" x14ac:dyDescent="0.25">
      <c r="A291" s="43" t="s">
        <v>672</v>
      </c>
      <c r="B291">
        <f>IF(VLOOKUP(A291,'Enroll Data as of January 2025'!$A$3:$T$321,20,FALSE)&gt;0,0,VLOOKUP(A291,'Enroll Data as of January 2025'!$A$3:$T$321,20,FALSE))</f>
        <v>-0.41099999999999998</v>
      </c>
      <c r="C291">
        <f>IF(B291&gt;0,0,ROUND(-B291*'2024-25 PSES Compliance'!$G$13,3))</f>
        <v>0.39500000000000002</v>
      </c>
      <c r="D291">
        <f t="shared" si="20"/>
        <v>1.5999999999999959E-2</v>
      </c>
      <c r="E291" t="str">
        <f t="shared" si="21"/>
        <v>37902</v>
      </c>
      <c r="F291" t="s">
        <v>710</v>
      </c>
      <c r="G291">
        <f t="shared" si="22"/>
        <v>0.39500000000000002</v>
      </c>
      <c r="H291" t="str">
        <f t="shared" si="23"/>
        <v>37902</v>
      </c>
      <c r="I291" t="s">
        <v>711</v>
      </c>
      <c r="J291">
        <f t="shared" si="24"/>
        <v>1.5999999999999959E-2</v>
      </c>
    </row>
    <row r="292" spans="1:10" x14ac:dyDescent="0.25">
      <c r="A292" s="43" t="s">
        <v>275</v>
      </c>
      <c r="B292">
        <f>IF(VLOOKUP(A292,'Enroll Data as of January 2025'!$A$3:$T$321,20,FALSE)&gt;0,0,VLOOKUP(A292,'Enroll Data as of January 2025'!$A$3:$T$321,20,FALSE))</f>
        <v>-1.478</v>
      </c>
      <c r="C292">
        <f>IF(B292&gt;0,0,ROUND(-B292*'2024-25 PSES Compliance'!$G$13,3))</f>
        <v>1.419</v>
      </c>
      <c r="D292">
        <f t="shared" si="20"/>
        <v>5.8999999999999941E-2</v>
      </c>
      <c r="E292" t="str">
        <f t="shared" si="21"/>
        <v>37903</v>
      </c>
      <c r="F292" t="s">
        <v>710</v>
      </c>
      <c r="G292">
        <f t="shared" si="22"/>
        <v>1.419</v>
      </c>
      <c r="H292" t="str">
        <f t="shared" si="23"/>
        <v>37903</v>
      </c>
      <c r="I292" t="s">
        <v>711</v>
      </c>
      <c r="J292">
        <f t="shared" si="24"/>
        <v>5.8999999999999941E-2</v>
      </c>
    </row>
    <row r="293" spans="1:10" x14ac:dyDescent="0.25">
      <c r="A293" s="43" t="s">
        <v>276</v>
      </c>
      <c r="B293">
        <f>IF(VLOOKUP(A293,'Enroll Data as of January 2025'!$A$3:$T$321,20,FALSE)&gt;0,0,VLOOKUP(A293,'Enroll Data as of January 2025'!$A$3:$T$321,20,FALSE))</f>
        <v>0</v>
      </c>
      <c r="C293">
        <f>IF(B293&gt;0,0,ROUND(-B293*'2024-25 PSES Compliance'!$G$13,3))</f>
        <v>0</v>
      </c>
      <c r="D293">
        <f t="shared" si="20"/>
        <v>0</v>
      </c>
      <c r="E293" t="str">
        <f t="shared" si="21"/>
        <v>38126</v>
      </c>
      <c r="F293" t="s">
        <v>710</v>
      </c>
      <c r="G293">
        <f t="shared" si="22"/>
        <v>0</v>
      </c>
      <c r="H293" t="str">
        <f t="shared" si="23"/>
        <v>38126</v>
      </c>
      <c r="I293" t="s">
        <v>711</v>
      </c>
      <c r="J293">
        <f t="shared" si="24"/>
        <v>0</v>
      </c>
    </row>
    <row r="294" spans="1:10" x14ac:dyDescent="0.25">
      <c r="A294" s="43" t="s">
        <v>277</v>
      </c>
      <c r="B294">
        <f>IF(VLOOKUP(A294,'Enroll Data as of January 2025'!$A$3:$T$321,20,FALSE)&gt;0,0,VLOOKUP(A294,'Enroll Data as of January 2025'!$A$3:$T$321,20,FALSE))</f>
        <v>-0.16900000000000001</v>
      </c>
      <c r="C294">
        <f>IF(B294&gt;0,0,ROUND(-B294*'2024-25 PSES Compliance'!$G$13,3))</f>
        <v>0.16200000000000001</v>
      </c>
      <c r="D294">
        <f t="shared" si="20"/>
        <v>7.0000000000000062E-3</v>
      </c>
      <c r="E294" t="str">
        <f t="shared" si="21"/>
        <v>38264</v>
      </c>
      <c r="F294" t="s">
        <v>710</v>
      </c>
      <c r="G294">
        <f t="shared" si="22"/>
        <v>0.16200000000000001</v>
      </c>
      <c r="H294" t="str">
        <f t="shared" si="23"/>
        <v>38264</v>
      </c>
      <c r="I294" t="s">
        <v>711</v>
      </c>
      <c r="J294">
        <f t="shared" si="24"/>
        <v>7.0000000000000062E-3</v>
      </c>
    </row>
    <row r="295" spans="1:10" x14ac:dyDescent="0.25">
      <c r="A295" s="125" t="s">
        <v>278</v>
      </c>
      <c r="B295">
        <f>IF(VLOOKUP(A295,'Enroll Data as of January 2025'!$A$3:$T$321,20,FALSE)&gt;0,0,VLOOKUP(A295,'Enroll Data as of January 2025'!$A$3:$T$321,20,FALSE))</f>
        <v>0</v>
      </c>
      <c r="C295">
        <f>IF(B295&gt;0,0,ROUND(-B295*'2024-25 PSES Compliance'!$G$13,3))</f>
        <v>0</v>
      </c>
      <c r="D295">
        <f t="shared" si="20"/>
        <v>0</v>
      </c>
      <c r="E295" t="str">
        <f t="shared" si="21"/>
        <v>38265</v>
      </c>
      <c r="F295" t="s">
        <v>710</v>
      </c>
      <c r="G295">
        <f t="shared" si="22"/>
        <v>0</v>
      </c>
      <c r="H295" t="str">
        <f t="shared" si="23"/>
        <v>38265</v>
      </c>
      <c r="I295" t="s">
        <v>711</v>
      </c>
      <c r="J295">
        <f t="shared" si="24"/>
        <v>0</v>
      </c>
    </row>
    <row r="296" spans="1:10" x14ac:dyDescent="0.25">
      <c r="A296" s="122" t="s">
        <v>279</v>
      </c>
      <c r="B296">
        <f>IF(VLOOKUP(A296,'Enroll Data as of January 2025'!$A$3:$T$321,20,FALSE)&gt;0,0,VLOOKUP(A296,'Enroll Data as of January 2025'!$A$3:$T$321,20,FALSE))</f>
        <v>-9.4E-2</v>
      </c>
      <c r="C296">
        <f>IF(B296&gt;0,0,ROUND(-B296*'2024-25 PSES Compliance'!$G$13,3))</f>
        <v>0.09</v>
      </c>
      <c r="D296">
        <f t="shared" si="20"/>
        <v>4.0000000000000036E-3</v>
      </c>
      <c r="E296" t="str">
        <f t="shared" si="21"/>
        <v>38267</v>
      </c>
      <c r="F296" t="s">
        <v>710</v>
      </c>
      <c r="G296">
        <f t="shared" si="22"/>
        <v>0.09</v>
      </c>
      <c r="H296" t="str">
        <f t="shared" si="23"/>
        <v>38267</v>
      </c>
      <c r="I296" t="s">
        <v>711</v>
      </c>
      <c r="J296">
        <f t="shared" si="24"/>
        <v>4.0000000000000036E-3</v>
      </c>
    </row>
    <row r="297" spans="1:10" x14ac:dyDescent="0.25">
      <c r="A297" s="43" t="s">
        <v>280</v>
      </c>
      <c r="B297">
        <f>IF(VLOOKUP(A297,'Enroll Data as of January 2025'!$A$3:$T$321,20,FALSE)&gt;0,0,VLOOKUP(A297,'Enroll Data as of January 2025'!$A$3:$T$321,20,FALSE))</f>
        <v>0</v>
      </c>
      <c r="C297">
        <f>IF(B297&gt;0,0,ROUND(-B297*'2024-25 PSES Compliance'!$G$13,3))</f>
        <v>0</v>
      </c>
      <c r="D297">
        <f t="shared" si="20"/>
        <v>0</v>
      </c>
      <c r="E297" t="str">
        <f t="shared" si="21"/>
        <v>38300</v>
      </c>
      <c r="F297" t="s">
        <v>710</v>
      </c>
      <c r="G297">
        <f t="shared" si="22"/>
        <v>0</v>
      </c>
      <c r="H297" t="str">
        <f t="shared" si="23"/>
        <v>38300</v>
      </c>
      <c r="I297" t="s">
        <v>711</v>
      </c>
      <c r="J297">
        <f t="shared" si="24"/>
        <v>0</v>
      </c>
    </row>
    <row r="298" spans="1:10" x14ac:dyDescent="0.25">
      <c r="A298" s="123" t="s">
        <v>281</v>
      </c>
      <c r="B298">
        <f>IF(VLOOKUP(A298,'Enroll Data as of January 2025'!$A$3:$T$321,20,FALSE)&gt;0,0,VLOOKUP(A298,'Enroll Data as of January 2025'!$A$3:$T$321,20,FALSE))</f>
        <v>0</v>
      </c>
      <c r="C298">
        <f>IF(B298&gt;0,0,ROUND(-B298*'2024-25 PSES Compliance'!$G$13,3))</f>
        <v>0</v>
      </c>
      <c r="D298">
        <f t="shared" si="20"/>
        <v>0</v>
      </c>
      <c r="E298" t="str">
        <f t="shared" si="21"/>
        <v>38301</v>
      </c>
      <c r="F298" t="s">
        <v>710</v>
      </c>
      <c r="G298">
        <f t="shared" si="22"/>
        <v>0</v>
      </c>
      <c r="H298" t="str">
        <f t="shared" si="23"/>
        <v>38301</v>
      </c>
      <c r="I298" t="s">
        <v>711</v>
      </c>
      <c r="J298">
        <f t="shared" si="24"/>
        <v>0</v>
      </c>
    </row>
    <row r="299" spans="1:10" x14ac:dyDescent="0.25">
      <c r="A299" s="43" t="s">
        <v>282</v>
      </c>
      <c r="B299">
        <f>IF(VLOOKUP(A299,'Enroll Data as of January 2025'!$A$3:$T$321,20,FALSE)&gt;0,0,VLOOKUP(A299,'Enroll Data as of January 2025'!$A$3:$T$321,20,FALSE))</f>
        <v>0</v>
      </c>
      <c r="C299">
        <f>IF(B299&gt;0,0,ROUND(-B299*'2024-25 PSES Compliance'!$G$13,3))</f>
        <v>0</v>
      </c>
      <c r="D299">
        <f t="shared" si="20"/>
        <v>0</v>
      </c>
      <c r="E299" t="str">
        <f t="shared" si="21"/>
        <v>38302</v>
      </c>
      <c r="F299" t="s">
        <v>710</v>
      </c>
      <c r="G299">
        <f t="shared" si="22"/>
        <v>0</v>
      </c>
      <c r="H299" t="str">
        <f t="shared" si="23"/>
        <v>38302</v>
      </c>
      <c r="I299" t="s">
        <v>711</v>
      </c>
      <c r="J299">
        <f t="shared" si="24"/>
        <v>0</v>
      </c>
    </row>
    <row r="300" spans="1:10" x14ac:dyDescent="0.25">
      <c r="A300" s="43" t="s">
        <v>283</v>
      </c>
      <c r="B300">
        <f>IF(VLOOKUP(A300,'Enroll Data as of January 2025'!$A$3:$T$321,20,FALSE)&gt;0,0,VLOOKUP(A300,'Enroll Data as of January 2025'!$A$3:$T$321,20,FALSE))</f>
        <v>-0.13300000000000001</v>
      </c>
      <c r="C300">
        <f>IF(B300&gt;0,0,ROUND(-B300*'2024-25 PSES Compliance'!$G$13,3))</f>
        <v>0.128</v>
      </c>
      <c r="D300">
        <f t="shared" si="20"/>
        <v>5.0000000000000044E-3</v>
      </c>
      <c r="E300" t="str">
        <f t="shared" si="21"/>
        <v>38304</v>
      </c>
      <c r="F300" t="s">
        <v>710</v>
      </c>
      <c r="G300">
        <f t="shared" si="22"/>
        <v>0.128</v>
      </c>
      <c r="H300" t="str">
        <f t="shared" si="23"/>
        <v>38304</v>
      </c>
      <c r="I300" t="s">
        <v>711</v>
      </c>
      <c r="J300">
        <f t="shared" si="24"/>
        <v>5.0000000000000044E-3</v>
      </c>
    </row>
    <row r="301" spans="1:10" x14ac:dyDescent="0.25">
      <c r="A301" s="43" t="s">
        <v>284</v>
      </c>
      <c r="B301">
        <f>IF(VLOOKUP(A301,'Enroll Data as of January 2025'!$A$3:$T$321,20,FALSE)&gt;0,0,VLOOKUP(A301,'Enroll Data as of January 2025'!$A$3:$T$321,20,FALSE))</f>
        <v>0</v>
      </c>
      <c r="C301">
        <f>IF(B301&gt;0,0,ROUND(-B301*'2024-25 PSES Compliance'!$G$13,3))</f>
        <v>0</v>
      </c>
      <c r="D301">
        <f t="shared" si="20"/>
        <v>0</v>
      </c>
      <c r="E301" t="str">
        <f t="shared" si="21"/>
        <v>38306</v>
      </c>
      <c r="F301" t="s">
        <v>710</v>
      </c>
      <c r="G301">
        <f t="shared" si="22"/>
        <v>0</v>
      </c>
      <c r="H301" t="str">
        <f t="shared" si="23"/>
        <v>38306</v>
      </c>
      <c r="I301" t="s">
        <v>711</v>
      </c>
      <c r="J301">
        <f t="shared" si="24"/>
        <v>0</v>
      </c>
    </row>
    <row r="302" spans="1:10" x14ac:dyDescent="0.25">
      <c r="A302" s="43" t="s">
        <v>285</v>
      </c>
      <c r="B302">
        <f>IF(VLOOKUP(A302,'Enroll Data as of January 2025'!$A$3:$T$321,20,FALSE)&gt;0,0,VLOOKUP(A302,'Enroll Data as of January 2025'!$A$3:$T$321,20,FALSE))</f>
        <v>0</v>
      </c>
      <c r="C302">
        <f>IF(B302&gt;0,0,ROUND(-B302*'2024-25 PSES Compliance'!$G$13,3))</f>
        <v>0</v>
      </c>
      <c r="D302">
        <f t="shared" si="20"/>
        <v>0</v>
      </c>
      <c r="E302" t="str">
        <f t="shared" si="21"/>
        <v>38308</v>
      </c>
      <c r="F302" t="s">
        <v>710</v>
      </c>
      <c r="G302">
        <f t="shared" si="22"/>
        <v>0</v>
      </c>
      <c r="H302" t="str">
        <f t="shared" si="23"/>
        <v>38308</v>
      </c>
      <c r="I302" t="s">
        <v>711</v>
      </c>
      <c r="J302">
        <f t="shared" si="24"/>
        <v>0</v>
      </c>
    </row>
    <row r="303" spans="1:10" x14ac:dyDescent="0.25">
      <c r="A303" s="43" t="s">
        <v>286</v>
      </c>
      <c r="B303">
        <f>IF(VLOOKUP(A303,'Enroll Data as of January 2025'!$A$3:$T$321,20,FALSE)&gt;0,0,VLOOKUP(A303,'Enroll Data as of January 2025'!$A$3:$T$321,20,FALSE))</f>
        <v>0</v>
      </c>
      <c r="C303">
        <f>IF(B303&gt;0,0,ROUND(-B303*'2024-25 PSES Compliance'!$G$13,3))</f>
        <v>0</v>
      </c>
      <c r="D303">
        <f t="shared" si="20"/>
        <v>0</v>
      </c>
      <c r="E303" t="str">
        <f t="shared" si="21"/>
        <v>38320</v>
      </c>
      <c r="F303" t="s">
        <v>710</v>
      </c>
      <c r="G303">
        <f t="shared" si="22"/>
        <v>0</v>
      </c>
      <c r="H303" t="str">
        <f t="shared" si="23"/>
        <v>38320</v>
      </c>
      <c r="I303" t="s">
        <v>711</v>
      </c>
      <c r="J303">
        <f t="shared" si="24"/>
        <v>0</v>
      </c>
    </row>
    <row r="304" spans="1:10" x14ac:dyDescent="0.25">
      <c r="A304" s="43" t="s">
        <v>287</v>
      </c>
      <c r="B304">
        <f>IF(VLOOKUP(A304,'Enroll Data as of January 2025'!$A$3:$T$321,20,FALSE)&gt;0,0,VLOOKUP(A304,'Enroll Data as of January 2025'!$A$3:$T$321,20,FALSE))</f>
        <v>-0.38400000000000001</v>
      </c>
      <c r="C304">
        <f>IF(B304&gt;0,0,ROUND(-B304*'2024-25 PSES Compliance'!$G$13,3))</f>
        <v>0.36899999999999999</v>
      </c>
      <c r="D304">
        <f t="shared" si="20"/>
        <v>1.5000000000000013E-2</v>
      </c>
      <c r="E304" t="str">
        <f t="shared" si="21"/>
        <v>38322</v>
      </c>
      <c r="F304" t="s">
        <v>710</v>
      </c>
      <c r="G304">
        <f t="shared" si="22"/>
        <v>0.36899999999999999</v>
      </c>
      <c r="H304" t="str">
        <f t="shared" si="23"/>
        <v>38322</v>
      </c>
      <c r="I304" t="s">
        <v>711</v>
      </c>
      <c r="J304">
        <f t="shared" si="24"/>
        <v>1.5000000000000013E-2</v>
      </c>
    </row>
    <row r="305" spans="1:10" x14ac:dyDescent="0.25">
      <c r="A305" s="43" t="s">
        <v>288</v>
      </c>
      <c r="B305">
        <f>IF(VLOOKUP(A305,'Enroll Data as of January 2025'!$A$3:$T$321,20,FALSE)&gt;0,0,VLOOKUP(A305,'Enroll Data as of January 2025'!$A$3:$T$321,20,FALSE))</f>
        <v>0</v>
      </c>
      <c r="C305">
        <f>IF(B305&gt;0,0,ROUND(-B305*'2024-25 PSES Compliance'!$G$13,3))</f>
        <v>0</v>
      </c>
      <c r="D305">
        <f t="shared" si="20"/>
        <v>0</v>
      </c>
      <c r="E305" t="str">
        <f t="shared" si="21"/>
        <v>38324</v>
      </c>
      <c r="F305" t="s">
        <v>710</v>
      </c>
      <c r="G305">
        <f t="shared" si="22"/>
        <v>0</v>
      </c>
      <c r="H305" t="str">
        <f t="shared" si="23"/>
        <v>38324</v>
      </c>
      <c r="I305" t="s">
        <v>711</v>
      </c>
      <c r="J305">
        <f t="shared" si="24"/>
        <v>0</v>
      </c>
    </row>
    <row r="306" spans="1:10" x14ac:dyDescent="0.25">
      <c r="A306" s="43" t="s">
        <v>289</v>
      </c>
      <c r="B306">
        <f>IF(VLOOKUP(A306,'Enroll Data as of January 2025'!$A$3:$T$321,20,FALSE)&gt;0,0,VLOOKUP(A306,'Enroll Data as of January 2025'!$A$3:$T$321,20,FALSE))</f>
        <v>0</v>
      </c>
      <c r="C306">
        <f>IF(B306&gt;0,0,ROUND(-B306*'2024-25 PSES Compliance'!$G$13,3))</f>
        <v>0</v>
      </c>
      <c r="D306">
        <f t="shared" si="20"/>
        <v>0</v>
      </c>
      <c r="E306" t="str">
        <f t="shared" si="21"/>
        <v>39002</v>
      </c>
      <c r="F306" t="s">
        <v>710</v>
      </c>
      <c r="G306">
        <f t="shared" si="22"/>
        <v>0</v>
      </c>
      <c r="H306" t="str">
        <f t="shared" si="23"/>
        <v>39002</v>
      </c>
      <c r="I306" t="s">
        <v>711</v>
      </c>
      <c r="J306">
        <f t="shared" si="24"/>
        <v>0</v>
      </c>
    </row>
    <row r="307" spans="1:10" x14ac:dyDescent="0.25">
      <c r="A307" s="43" t="s">
        <v>290</v>
      </c>
      <c r="B307">
        <f>IF(VLOOKUP(A307,'Enroll Data as of January 2025'!$A$3:$T$321,20,FALSE)&gt;0,0,VLOOKUP(A307,'Enroll Data as of January 2025'!$A$3:$T$321,20,FALSE))</f>
        <v>0</v>
      </c>
      <c r="C307">
        <f>IF(B307&gt;0,0,ROUND(-B307*'2024-25 PSES Compliance'!$G$13,3))</f>
        <v>0</v>
      </c>
      <c r="D307">
        <f t="shared" si="20"/>
        <v>0</v>
      </c>
      <c r="E307" t="str">
        <f t="shared" si="21"/>
        <v>39003</v>
      </c>
      <c r="F307" t="s">
        <v>710</v>
      </c>
      <c r="G307">
        <f t="shared" si="22"/>
        <v>0</v>
      </c>
      <c r="H307" t="str">
        <f t="shared" si="23"/>
        <v>39003</v>
      </c>
      <c r="I307" t="s">
        <v>711</v>
      </c>
      <c r="J307">
        <f t="shared" si="24"/>
        <v>0</v>
      </c>
    </row>
    <row r="308" spans="1:10" x14ac:dyDescent="0.25">
      <c r="A308" s="43" t="s">
        <v>291</v>
      </c>
      <c r="B308">
        <f>IF(VLOOKUP(A308,'Enroll Data as of January 2025'!$A$3:$T$321,20,FALSE)&gt;0,0,VLOOKUP(A308,'Enroll Data as of January 2025'!$A$3:$T$321,20,FALSE))</f>
        <v>0</v>
      </c>
      <c r="C308">
        <f>IF(B308&gt;0,0,ROUND(-B308*'2024-25 PSES Compliance'!$G$13,3))</f>
        <v>0</v>
      </c>
      <c r="D308">
        <f t="shared" si="20"/>
        <v>0</v>
      </c>
      <c r="E308" t="str">
        <f t="shared" si="21"/>
        <v>39007</v>
      </c>
      <c r="F308" t="s">
        <v>710</v>
      </c>
      <c r="G308">
        <f t="shared" si="22"/>
        <v>0</v>
      </c>
      <c r="H308" t="str">
        <f t="shared" si="23"/>
        <v>39007</v>
      </c>
      <c r="I308" t="s">
        <v>711</v>
      </c>
      <c r="J308">
        <f t="shared" si="24"/>
        <v>0</v>
      </c>
    </row>
    <row r="309" spans="1:10" x14ac:dyDescent="0.25">
      <c r="A309" s="43" t="s">
        <v>292</v>
      </c>
      <c r="B309">
        <f>IF(VLOOKUP(A309,'Enroll Data as of January 2025'!$A$3:$T$321,20,FALSE)&gt;0,0,VLOOKUP(A309,'Enroll Data as of January 2025'!$A$3:$T$321,20,FALSE))</f>
        <v>0</v>
      </c>
      <c r="C309">
        <f>IF(B309&gt;0,0,ROUND(-B309*'2024-25 PSES Compliance'!$G$13,3))</f>
        <v>0</v>
      </c>
      <c r="D309">
        <f t="shared" si="20"/>
        <v>0</v>
      </c>
      <c r="E309" t="str">
        <f t="shared" si="21"/>
        <v>39090</v>
      </c>
      <c r="F309" t="s">
        <v>710</v>
      </c>
      <c r="G309">
        <f t="shared" si="22"/>
        <v>0</v>
      </c>
      <c r="H309" t="str">
        <f t="shared" si="23"/>
        <v>39090</v>
      </c>
      <c r="I309" t="s">
        <v>711</v>
      </c>
      <c r="J309">
        <f t="shared" si="24"/>
        <v>0</v>
      </c>
    </row>
    <row r="310" spans="1:10" x14ac:dyDescent="0.25">
      <c r="A310" s="43" t="s">
        <v>293</v>
      </c>
      <c r="B310">
        <f>IF(VLOOKUP(A310,'Enroll Data as of January 2025'!$A$3:$T$321,20,FALSE)&gt;0,0,VLOOKUP(A310,'Enroll Data as of January 2025'!$A$3:$T$321,20,FALSE))</f>
        <v>0</v>
      </c>
      <c r="C310">
        <f>IF(B310&gt;0,0,ROUND(-B310*'2024-25 PSES Compliance'!$G$13,3))</f>
        <v>0</v>
      </c>
      <c r="D310">
        <f t="shared" si="20"/>
        <v>0</v>
      </c>
      <c r="E310" t="str">
        <f t="shared" si="21"/>
        <v>39119</v>
      </c>
      <c r="F310" t="s">
        <v>710</v>
      </c>
      <c r="G310">
        <f t="shared" si="22"/>
        <v>0</v>
      </c>
      <c r="H310" t="str">
        <f t="shared" si="23"/>
        <v>39119</v>
      </c>
      <c r="I310" t="s">
        <v>711</v>
      </c>
      <c r="J310">
        <f t="shared" si="24"/>
        <v>0</v>
      </c>
    </row>
    <row r="311" spans="1:10" x14ac:dyDescent="0.25">
      <c r="A311" s="43" t="s">
        <v>294</v>
      </c>
      <c r="B311">
        <f>IF(VLOOKUP(A311,'Enroll Data as of January 2025'!$A$3:$T$321,20,FALSE)&gt;0,0,VLOOKUP(A311,'Enroll Data as of January 2025'!$A$3:$T$321,20,FALSE))</f>
        <v>-2.1640000000000001</v>
      </c>
      <c r="C311">
        <f>IF(B311&gt;0,0,ROUND(-B311*'2024-25 PSES Compliance'!$G$13,3))</f>
        <v>2.077</v>
      </c>
      <c r="D311">
        <f t="shared" si="20"/>
        <v>8.7000000000000188E-2</v>
      </c>
      <c r="E311" t="str">
        <f t="shared" si="21"/>
        <v>39120</v>
      </c>
      <c r="F311" t="s">
        <v>710</v>
      </c>
      <c r="G311">
        <f t="shared" si="22"/>
        <v>2.077</v>
      </c>
      <c r="H311" t="str">
        <f t="shared" si="23"/>
        <v>39120</v>
      </c>
      <c r="I311" t="s">
        <v>711</v>
      </c>
      <c r="J311">
        <f t="shared" si="24"/>
        <v>8.7000000000000188E-2</v>
      </c>
    </row>
    <row r="312" spans="1:10" x14ac:dyDescent="0.25">
      <c r="A312" s="43" t="s">
        <v>295</v>
      </c>
      <c r="B312">
        <f>IF(VLOOKUP(A312,'Enroll Data as of January 2025'!$A$3:$T$321,20,FALSE)&gt;0,0,VLOOKUP(A312,'Enroll Data as of January 2025'!$A$3:$T$321,20,FALSE))</f>
        <v>0</v>
      </c>
      <c r="C312">
        <f>IF(B312&gt;0,0,ROUND(-B312*'2024-25 PSES Compliance'!$G$13,3))</f>
        <v>0</v>
      </c>
      <c r="D312">
        <f t="shared" si="20"/>
        <v>0</v>
      </c>
      <c r="E312" t="str">
        <f t="shared" si="21"/>
        <v>39200</v>
      </c>
      <c r="F312" t="s">
        <v>710</v>
      </c>
      <c r="G312">
        <f t="shared" si="22"/>
        <v>0</v>
      </c>
      <c r="H312" t="str">
        <f t="shared" si="23"/>
        <v>39200</v>
      </c>
      <c r="I312" t="s">
        <v>711</v>
      </c>
      <c r="J312">
        <f t="shared" si="24"/>
        <v>0</v>
      </c>
    </row>
    <row r="313" spans="1:10" x14ac:dyDescent="0.25">
      <c r="A313" s="43" t="s">
        <v>296</v>
      </c>
      <c r="B313">
        <f>IF(VLOOKUP(A313,'Enroll Data as of January 2025'!$A$3:$T$321,20,FALSE)&gt;0,0,VLOOKUP(A313,'Enroll Data as of January 2025'!$A$3:$T$321,20,FALSE))</f>
        <v>0</v>
      </c>
      <c r="C313">
        <f>IF(B313&gt;0,0,ROUND(-B313*'2024-25 PSES Compliance'!$G$13,3))</f>
        <v>0</v>
      </c>
      <c r="D313">
        <f t="shared" si="20"/>
        <v>0</v>
      </c>
      <c r="E313" t="str">
        <f t="shared" si="21"/>
        <v>39201</v>
      </c>
      <c r="F313" t="s">
        <v>710</v>
      </c>
      <c r="G313">
        <f t="shared" si="22"/>
        <v>0</v>
      </c>
      <c r="H313" t="str">
        <f t="shared" si="23"/>
        <v>39201</v>
      </c>
      <c r="I313" t="s">
        <v>711</v>
      </c>
      <c r="J313">
        <f t="shared" si="24"/>
        <v>0</v>
      </c>
    </row>
    <row r="314" spans="1:10" x14ac:dyDescent="0.25">
      <c r="A314" s="43" t="s">
        <v>297</v>
      </c>
      <c r="B314">
        <f>IF(VLOOKUP(A314,'Enroll Data as of January 2025'!$A$3:$T$321,20,FALSE)&gt;0,0,VLOOKUP(A314,'Enroll Data as of January 2025'!$A$3:$T$321,20,FALSE))</f>
        <v>0</v>
      </c>
      <c r="C314">
        <f>IF(B314&gt;0,0,ROUND(-B314*'2024-25 PSES Compliance'!$G$13,3))</f>
        <v>0</v>
      </c>
      <c r="D314">
        <f t="shared" si="20"/>
        <v>0</v>
      </c>
      <c r="E314" t="str">
        <f t="shared" si="21"/>
        <v>39202</v>
      </c>
      <c r="F314" t="s">
        <v>710</v>
      </c>
      <c r="G314">
        <f t="shared" si="22"/>
        <v>0</v>
      </c>
      <c r="H314" t="str">
        <f t="shared" si="23"/>
        <v>39202</v>
      </c>
      <c r="I314" t="s">
        <v>711</v>
      </c>
      <c r="J314">
        <f t="shared" si="24"/>
        <v>0</v>
      </c>
    </row>
    <row r="315" spans="1:10" x14ac:dyDescent="0.25">
      <c r="A315" s="43" t="s">
        <v>298</v>
      </c>
      <c r="B315">
        <f>IF(VLOOKUP(A315,'Enroll Data as of January 2025'!$A$3:$T$321,20,FALSE)&gt;0,0,VLOOKUP(A315,'Enroll Data as of January 2025'!$A$3:$T$321,20,FALSE))</f>
        <v>-1.3839999999999999</v>
      </c>
      <c r="C315">
        <f>IF(B315&gt;0,0,ROUND(-B315*'2024-25 PSES Compliance'!$G$13,3))</f>
        <v>1.329</v>
      </c>
      <c r="D315">
        <f t="shared" si="20"/>
        <v>5.4999999999999938E-2</v>
      </c>
      <c r="E315" t="str">
        <f t="shared" si="21"/>
        <v>39203</v>
      </c>
      <c r="F315" t="s">
        <v>710</v>
      </c>
      <c r="G315">
        <f t="shared" si="22"/>
        <v>1.329</v>
      </c>
      <c r="H315" t="str">
        <f t="shared" si="23"/>
        <v>39203</v>
      </c>
      <c r="I315" t="s">
        <v>711</v>
      </c>
      <c r="J315">
        <f t="shared" si="24"/>
        <v>5.4999999999999938E-2</v>
      </c>
    </row>
    <row r="316" spans="1:10" x14ac:dyDescent="0.25">
      <c r="A316" s="43" t="s">
        <v>299</v>
      </c>
      <c r="B316">
        <f>IF(VLOOKUP(A316,'Enroll Data as of January 2025'!$A$3:$T$321,20,FALSE)&gt;0,0,VLOOKUP(A316,'Enroll Data as of January 2025'!$A$3:$T$321,20,FALSE))</f>
        <v>0</v>
      </c>
      <c r="C316">
        <f>IF(B316&gt;0,0,ROUND(-B316*'2024-25 PSES Compliance'!$G$13,3))</f>
        <v>0</v>
      </c>
      <c r="D316">
        <f t="shared" si="20"/>
        <v>0</v>
      </c>
      <c r="E316" t="str">
        <f t="shared" si="21"/>
        <v>39204</v>
      </c>
      <c r="F316" t="s">
        <v>710</v>
      </c>
      <c r="G316">
        <f t="shared" si="22"/>
        <v>0</v>
      </c>
      <c r="H316" t="str">
        <f t="shared" si="23"/>
        <v>39204</v>
      </c>
      <c r="I316" t="s">
        <v>711</v>
      </c>
      <c r="J316">
        <f t="shared" si="24"/>
        <v>0</v>
      </c>
    </row>
    <row r="317" spans="1:10" x14ac:dyDescent="0.25">
      <c r="A317" s="43" t="s">
        <v>300</v>
      </c>
      <c r="B317">
        <f>IF(VLOOKUP(A317,'Enroll Data as of January 2025'!$A$3:$T$321,20,FALSE)&gt;0,0,VLOOKUP(A317,'Enroll Data as of January 2025'!$A$3:$T$321,20,FALSE))</f>
        <v>-1.5449999999999999</v>
      </c>
      <c r="C317">
        <f>IF(B317&gt;0,0,ROUND(-B317*'2024-25 PSES Compliance'!$G$13,3))</f>
        <v>1.4830000000000001</v>
      </c>
      <c r="D317">
        <f t="shared" si="20"/>
        <v>6.1999999999999833E-2</v>
      </c>
      <c r="E317" t="str">
        <f t="shared" si="21"/>
        <v>39205</v>
      </c>
      <c r="F317" t="s">
        <v>710</v>
      </c>
      <c r="G317">
        <f t="shared" si="22"/>
        <v>1.4830000000000001</v>
      </c>
      <c r="H317" t="str">
        <f t="shared" si="23"/>
        <v>39205</v>
      </c>
      <c r="I317" t="s">
        <v>711</v>
      </c>
      <c r="J317">
        <f t="shared" si="24"/>
        <v>6.1999999999999833E-2</v>
      </c>
    </row>
    <row r="318" spans="1:10" x14ac:dyDescent="0.25">
      <c r="A318" s="43" t="s">
        <v>301</v>
      </c>
      <c r="B318">
        <f>IF(VLOOKUP(A318,'Enroll Data as of January 2025'!$A$3:$T$321,20,FALSE)&gt;0,0,VLOOKUP(A318,'Enroll Data as of January 2025'!$A$3:$T$321,20,FALSE))</f>
        <v>0</v>
      </c>
      <c r="C318">
        <f>IF(B318&gt;0,0,ROUND(-B318*'2024-25 PSES Compliance'!$G$13,3))</f>
        <v>0</v>
      </c>
      <c r="D318">
        <f t="shared" si="20"/>
        <v>0</v>
      </c>
      <c r="E318" t="str">
        <f t="shared" si="21"/>
        <v>39207</v>
      </c>
      <c r="F318" t="s">
        <v>710</v>
      </c>
      <c r="G318">
        <f t="shared" si="22"/>
        <v>0</v>
      </c>
      <c r="H318" t="str">
        <f t="shared" si="23"/>
        <v>39207</v>
      </c>
      <c r="I318" t="s">
        <v>711</v>
      </c>
      <c r="J318">
        <f t="shared" si="24"/>
        <v>0</v>
      </c>
    </row>
    <row r="319" spans="1:10" x14ac:dyDescent="0.25">
      <c r="A319" s="43" t="s">
        <v>302</v>
      </c>
      <c r="B319">
        <f>IF(VLOOKUP(A319,'Enroll Data as of January 2025'!$A$3:$T$321,20,FALSE)&gt;0,0,VLOOKUP(A319,'Enroll Data as of January 2025'!$A$3:$T$321,20,FALSE))</f>
        <v>0</v>
      </c>
      <c r="C319">
        <f>IF(B319&gt;0,0,ROUND(-B319*'2024-25 PSES Compliance'!$G$13,3))</f>
        <v>0</v>
      </c>
      <c r="D319">
        <f t="shared" ref="D319:D321" si="25">IF(B319&gt;0,0,(-B319-C319))</f>
        <v>0</v>
      </c>
      <c r="E319" t="str">
        <f t="shared" ref="E319:E321" si="26">$A319</f>
        <v>39208</v>
      </c>
      <c r="F319" t="s">
        <v>710</v>
      </c>
      <c r="G319">
        <f t="shared" ref="G319:G321" si="27">C319</f>
        <v>0</v>
      </c>
      <c r="H319" t="str">
        <f t="shared" ref="H319:H321" si="28">$A319</f>
        <v>39208</v>
      </c>
      <c r="I319" t="s">
        <v>711</v>
      </c>
      <c r="J319">
        <f t="shared" ref="J319:J321" si="29">D319</f>
        <v>0</v>
      </c>
    </row>
    <row r="320" spans="1:10" x14ac:dyDescent="0.25">
      <c r="A320" s="43" t="s">
        <v>303</v>
      </c>
      <c r="B320">
        <f>IF(VLOOKUP(A320,'Enroll Data as of January 2025'!$A$3:$T$321,20,FALSE)&gt;0,0,VLOOKUP(A320,'Enroll Data as of January 2025'!$A$3:$T$321,20,FALSE))</f>
        <v>-0.76</v>
      </c>
      <c r="C320">
        <f>IF(B320&gt;0,0,ROUND(-B320*'2024-25 PSES Compliance'!$G$13,3))</f>
        <v>0.73</v>
      </c>
      <c r="D320">
        <f t="shared" si="25"/>
        <v>3.0000000000000027E-2</v>
      </c>
      <c r="E320" t="str">
        <f t="shared" si="26"/>
        <v>39209</v>
      </c>
      <c r="F320" t="s">
        <v>710</v>
      </c>
      <c r="G320">
        <f t="shared" si="27"/>
        <v>0.73</v>
      </c>
      <c r="H320" t="str">
        <f t="shared" si="28"/>
        <v>39209</v>
      </c>
      <c r="I320" t="s">
        <v>711</v>
      </c>
      <c r="J320">
        <f t="shared" si="29"/>
        <v>3.0000000000000027E-2</v>
      </c>
    </row>
    <row r="321" spans="1:10" x14ac:dyDescent="0.25">
      <c r="A321" s="43" t="s">
        <v>633</v>
      </c>
      <c r="B321" t="e">
        <f>IF(VLOOKUP(A321,'Enroll Data as of January 2025'!$A$3:$T$321,20,FALSE)&gt;0,0,VLOOKUP(A321,'Enroll Data as of January 2025'!$A$3:$T$321,20,FALSE))</f>
        <v>#N/A</v>
      </c>
      <c r="C321" t="e">
        <f>IF(B321&gt;0,0,ROUND(-B321*'2024-25 PSES Compliance'!$G$13,3))</f>
        <v>#N/A</v>
      </c>
      <c r="D321" t="e">
        <f t="shared" si="25"/>
        <v>#N/A</v>
      </c>
      <c r="E321" t="str">
        <f t="shared" si="26"/>
        <v>39901</v>
      </c>
      <c r="F321" t="s">
        <v>710</v>
      </c>
      <c r="G321" t="e">
        <f t="shared" si="27"/>
        <v>#N/A</v>
      </c>
      <c r="H321" t="str">
        <f t="shared" si="28"/>
        <v>39901</v>
      </c>
      <c r="I321" t="s">
        <v>711</v>
      </c>
      <c r="J321" t="e">
        <f t="shared" si="29"/>
        <v>#N/A</v>
      </c>
    </row>
    <row r="322" spans="1:10" x14ac:dyDescent="0.25">
      <c r="B322">
        <v>-0.63200000000000145</v>
      </c>
    </row>
  </sheetData>
  <autoFilter ref="A1:K322" xr:uid="{D569A699-003B-4269-89D5-91990D1865D1}"/>
  <sortState xmlns:xlrd2="http://schemas.microsoft.com/office/spreadsheetml/2017/richdata2" ref="A2:A320">
    <sortCondition ref="A2:A320"/>
  </sortState>
  <conditionalFormatting sqref="A2:A318">
    <cfRule type="duplicateValues" dxfId="4" priority="18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CB781-B03B-4B65-9B6D-53555EFEB908}">
  <sheetPr>
    <tabColor rgb="FFA365D1"/>
  </sheetPr>
  <dimension ref="A1:CK3695"/>
  <sheetViews>
    <sheetView topLeftCell="Z1" zoomScale="80" zoomScaleNormal="80" workbookViewId="0">
      <pane ySplit="1" topLeftCell="A2" activePane="bottomLeft" state="frozen"/>
      <selection activeCell="J3" sqref="J3"/>
      <selection pane="bottomLeft" activeCell="J3" sqref="J3"/>
    </sheetView>
  </sheetViews>
  <sheetFormatPr defaultRowHeight="15" x14ac:dyDescent="0.25"/>
  <cols>
    <col min="1" max="1" width="15.7109375" bestFit="1" customWidth="1"/>
    <col min="2" max="2" width="9.85546875" bestFit="1" customWidth="1"/>
    <col min="4" max="4" width="31.85546875" bestFit="1" customWidth="1"/>
    <col min="5" max="5" width="14.140625" bestFit="1" customWidth="1"/>
    <col min="6" max="6" width="15.7109375" bestFit="1" customWidth="1"/>
    <col min="8" max="8" width="54.28515625" bestFit="1" customWidth="1"/>
    <col min="9" max="9" width="13.5703125" bestFit="1" customWidth="1"/>
    <col min="10" max="10" width="5.5703125" bestFit="1" customWidth="1"/>
    <col min="11" max="11" width="26.5703125" bestFit="1" customWidth="1"/>
    <col min="12" max="12" width="9.85546875" bestFit="1" customWidth="1"/>
    <col min="13" max="13" width="27.5703125" bestFit="1" customWidth="1"/>
    <col min="14" max="14" width="8.42578125" bestFit="1" customWidth="1"/>
    <col min="16" max="16" width="9.28515625" bestFit="1" customWidth="1"/>
    <col min="17" max="17" width="7.7109375" bestFit="1" customWidth="1"/>
    <col min="18" max="18" width="6.85546875" bestFit="1" customWidth="1"/>
    <col min="19" max="19" width="8.140625" bestFit="1" customWidth="1"/>
    <col min="20" max="20" width="7" bestFit="1" customWidth="1"/>
    <col min="21" max="21" width="10.28515625" customWidth="1"/>
    <col min="22" max="23" width="43.7109375" bestFit="1" customWidth="1"/>
    <col min="24" max="24" width="11.42578125" customWidth="1"/>
    <col min="25" max="25" width="19.85546875" bestFit="1" customWidth="1"/>
    <col min="26" max="26" width="16.7109375" bestFit="1" customWidth="1"/>
    <col min="27" max="27" width="7.140625" bestFit="1" customWidth="1"/>
    <col min="28" max="28" width="9.85546875" bestFit="1" customWidth="1"/>
    <col min="29" max="31" width="6" bestFit="1" customWidth="1"/>
    <col min="32" max="33" width="11.5703125" customWidth="1"/>
    <col min="34" max="34" width="11.28515625" bestFit="1" customWidth="1"/>
    <col min="35" max="35" width="19.85546875" bestFit="1" customWidth="1"/>
    <col min="36" max="36" width="25.5703125" bestFit="1" customWidth="1"/>
    <col min="37" max="38" width="9.85546875" bestFit="1" customWidth="1"/>
    <col min="39" max="39" width="9.140625" bestFit="1" customWidth="1"/>
    <col min="40" max="40" width="15.85546875" bestFit="1" customWidth="1"/>
    <col min="41" max="41" width="10.5703125" customWidth="1"/>
    <col min="42" max="42" width="28.85546875" bestFit="1" customWidth="1"/>
    <col min="43" max="43" width="16.5703125" bestFit="1" customWidth="1"/>
    <col min="44" max="44" width="28.85546875" bestFit="1" customWidth="1"/>
    <col min="45" max="45" width="25.5703125" bestFit="1" customWidth="1"/>
    <col min="46" max="46" width="28.85546875" bestFit="1" customWidth="1"/>
    <col min="47" max="47" width="20.140625" bestFit="1" customWidth="1"/>
    <col min="48" max="48" width="28.85546875" bestFit="1" customWidth="1"/>
    <col min="49" max="49" width="20.140625" bestFit="1" customWidth="1"/>
    <col min="50" max="50" width="28.85546875" bestFit="1" customWidth="1"/>
    <col min="51" max="51" width="16.5703125" bestFit="1" customWidth="1"/>
    <col min="53" max="53" width="19.85546875" bestFit="1" customWidth="1"/>
    <col min="54" max="54" width="16.5703125" bestFit="1" customWidth="1"/>
    <col min="55" max="55" width="19.85546875" bestFit="1" customWidth="1"/>
    <col min="56" max="56" width="17.85546875" bestFit="1" customWidth="1"/>
    <col min="57" max="57" width="19.85546875" bestFit="1" customWidth="1"/>
    <col min="58" max="58" width="16.5703125" bestFit="1" customWidth="1"/>
    <col min="59" max="59" width="19.85546875" bestFit="1" customWidth="1"/>
    <col min="60" max="60" width="16.5703125" bestFit="1" customWidth="1"/>
    <col min="61" max="61" width="19.85546875" bestFit="1" customWidth="1"/>
    <col min="62" max="62" width="16.5703125" bestFit="1" customWidth="1"/>
    <col min="63" max="64" width="12.5703125" bestFit="1" customWidth="1"/>
    <col min="65" max="65" width="29.42578125" bestFit="1" customWidth="1"/>
    <col min="66" max="66" width="12.42578125" bestFit="1" customWidth="1"/>
    <col min="67" max="67" width="9.85546875" bestFit="1" customWidth="1"/>
    <col min="72" max="72" width="43.7109375" style="88" bestFit="1" customWidth="1"/>
    <col min="77" max="77" width="47.7109375" bestFit="1" customWidth="1"/>
    <col min="78" max="78" width="9.85546875" bestFit="1" customWidth="1"/>
    <col min="80" max="80" width="15.28515625" bestFit="1" customWidth="1"/>
    <col min="81" max="81" width="35.7109375" bestFit="1" customWidth="1"/>
    <col min="82" max="82" width="9.85546875" bestFit="1" customWidth="1"/>
    <col min="83" max="83" width="11.28515625" bestFit="1" customWidth="1"/>
    <col min="84" max="84" width="11.7109375" customWidth="1"/>
    <col min="87" max="87" width="15.28515625" bestFit="1" customWidth="1"/>
    <col min="88" max="88" width="35.7109375" bestFit="1" customWidth="1"/>
    <col min="89" max="89" width="7.140625" bestFit="1" customWidth="1"/>
    <col min="168" max="168" width="22.85546875" bestFit="1" customWidth="1"/>
    <col min="169" max="169" width="27.85546875" bestFit="1" customWidth="1"/>
    <col min="170" max="170" width="23.28515625" bestFit="1" customWidth="1"/>
    <col min="171" max="229" width="21.42578125" bestFit="1" customWidth="1"/>
    <col min="230" max="230" width="26.42578125" bestFit="1" customWidth="1"/>
    <col min="231" max="231" width="11.28515625" bestFit="1" customWidth="1"/>
  </cols>
  <sheetData>
    <row r="1" spans="1:89" ht="30" x14ac:dyDescent="0.25">
      <c r="A1" t="s">
        <v>1188</v>
      </c>
      <c r="B1" t="s">
        <v>1189</v>
      </c>
      <c r="C1" t="s">
        <v>1254</v>
      </c>
      <c r="D1" t="s">
        <v>1255</v>
      </c>
      <c r="E1" t="s">
        <v>1256</v>
      </c>
      <c r="F1" t="s">
        <v>1188</v>
      </c>
      <c r="G1" s="264" t="s">
        <v>600</v>
      </c>
      <c r="H1" t="s">
        <v>1191</v>
      </c>
      <c r="I1" t="s">
        <v>1257</v>
      </c>
      <c r="J1" t="s">
        <v>1258</v>
      </c>
      <c r="K1" t="s">
        <v>714</v>
      </c>
      <c r="L1" t="s">
        <v>1189</v>
      </c>
      <c r="M1" t="s">
        <v>1259</v>
      </c>
      <c r="N1" t="s">
        <v>910</v>
      </c>
      <c r="O1" s="264" t="s">
        <v>1576</v>
      </c>
      <c r="P1" t="s">
        <v>1260</v>
      </c>
      <c r="Q1" t="s">
        <v>713</v>
      </c>
      <c r="R1" t="s">
        <v>1261</v>
      </c>
      <c r="S1" t="s">
        <v>1190</v>
      </c>
      <c r="T1" t="s">
        <v>1577</v>
      </c>
      <c r="U1" s="264" t="s">
        <v>1262</v>
      </c>
      <c r="V1" s="24" t="s">
        <v>1505</v>
      </c>
      <c r="W1" s="24" t="s">
        <v>1600</v>
      </c>
      <c r="X1" s="150">
        <f>SUBTOTAL(9,S2:S9735)</f>
        <v>9874.1679999999997</v>
      </c>
      <c r="Y1" s="91" t="s">
        <v>1191</v>
      </c>
      <c r="Z1" t="s">
        <v>1064</v>
      </c>
      <c r="AP1" s="91" t="s">
        <v>1191</v>
      </c>
      <c r="AQ1" t="s">
        <v>1064</v>
      </c>
      <c r="AR1" s="91" t="s">
        <v>1191</v>
      </c>
      <c r="AS1" t="s">
        <v>1064</v>
      </c>
      <c r="AT1" s="91" t="s">
        <v>1191</v>
      </c>
      <c r="AU1" t="s">
        <v>1064</v>
      </c>
      <c r="AV1" s="91" t="s">
        <v>1191</v>
      </c>
      <c r="AW1" t="s">
        <v>1064</v>
      </c>
      <c r="AX1" s="91" t="s">
        <v>1191</v>
      </c>
      <c r="AY1" t="s">
        <v>1064</v>
      </c>
      <c r="BA1" s="91" t="s">
        <v>1191</v>
      </c>
      <c r="BB1" t="s">
        <v>1064</v>
      </c>
      <c r="BC1" s="91" t="s">
        <v>1191</v>
      </c>
      <c r="BD1" t="s">
        <v>1064</v>
      </c>
      <c r="BE1" s="91" t="s">
        <v>1191</v>
      </c>
      <c r="BF1" t="s">
        <v>1064</v>
      </c>
      <c r="BG1" s="91" t="s">
        <v>1191</v>
      </c>
      <c r="BH1" t="s">
        <v>1064</v>
      </c>
      <c r="BI1" s="91" t="s">
        <v>1191</v>
      </c>
      <c r="BJ1" t="s">
        <v>1064</v>
      </c>
      <c r="BK1" s="86" t="s">
        <v>1562</v>
      </c>
      <c r="BM1" s="91" t="s">
        <v>1191</v>
      </c>
      <c r="BN1" t="s">
        <v>1064</v>
      </c>
      <c r="BQ1" s="24" t="s">
        <v>1576</v>
      </c>
      <c r="BR1" s="77" t="s">
        <v>710</v>
      </c>
      <c r="BS1" s="77"/>
      <c r="BT1" s="77" t="s">
        <v>1563</v>
      </c>
      <c r="BY1" s="91" t="s">
        <v>1191</v>
      </c>
      <c r="BZ1" t="s">
        <v>1064</v>
      </c>
      <c r="CA1" s="24"/>
      <c r="CB1" s="91" t="s">
        <v>1196</v>
      </c>
      <c r="CE1" s="265" t="s">
        <v>1100</v>
      </c>
      <c r="CF1" s="24" t="s">
        <v>1097</v>
      </c>
      <c r="CI1" s="91" t="s">
        <v>1191</v>
      </c>
      <c r="CJ1" t="s">
        <v>404</v>
      </c>
    </row>
    <row r="2" spans="1:89" x14ac:dyDescent="0.25">
      <c r="A2">
        <v>1147</v>
      </c>
      <c r="B2" t="s">
        <v>1297</v>
      </c>
      <c r="C2">
        <v>1.387</v>
      </c>
      <c r="D2" t="s">
        <v>1264</v>
      </c>
      <c r="E2">
        <v>100192</v>
      </c>
      <c r="F2">
        <v>1147</v>
      </c>
      <c r="G2" t="str">
        <f t="shared" ref="G2:G65" si="0">TEXT(F2,"00000")</f>
        <v>01147</v>
      </c>
      <c r="H2" t="s">
        <v>306</v>
      </c>
      <c r="I2" t="s">
        <v>1265</v>
      </c>
      <c r="J2" t="s">
        <v>1276</v>
      </c>
      <c r="K2" t="s">
        <v>1277</v>
      </c>
      <c r="L2" t="s">
        <v>1297</v>
      </c>
      <c r="M2" t="s">
        <v>1381</v>
      </c>
      <c r="N2">
        <v>1</v>
      </c>
      <c r="O2" t="str">
        <f>MID(L2,3,2)</f>
        <v>24</v>
      </c>
      <c r="P2">
        <v>96</v>
      </c>
      <c r="Q2">
        <v>24</v>
      </c>
      <c r="R2" t="s">
        <v>1269</v>
      </c>
      <c r="S2">
        <v>1.387</v>
      </c>
      <c r="T2">
        <v>0.24879999999999999</v>
      </c>
      <c r="U2">
        <f>IF(N2=21,ROUND(T2*S2,3),0)</f>
        <v>0</v>
      </c>
      <c r="V2" t="str">
        <f t="shared" ref="V2:V65" si="1">_xlfn.XLOOKUP(L2,$BV:$BV,$BT:$BT,,0)</f>
        <v>Elementary Family Engagement Coordinator</v>
      </c>
      <c r="W2" t="str">
        <f t="shared" ref="W2:W65" si="2">_xlfn.TEXTAFTER(V2," ")</f>
        <v>Family Engagement Coordinator</v>
      </c>
      <c r="AI2" s="91" t="s">
        <v>1191</v>
      </c>
      <c r="AJ2" t="s">
        <v>1064</v>
      </c>
      <c r="AP2" s="91" t="s">
        <v>910</v>
      </c>
      <c r="AQ2" s="88">
        <v>21</v>
      </c>
      <c r="AR2" s="91" t="s">
        <v>910</v>
      </c>
      <c r="AS2" s="88">
        <v>21</v>
      </c>
      <c r="AT2" s="91" t="s">
        <v>910</v>
      </c>
      <c r="AU2" t="s">
        <v>1663</v>
      </c>
      <c r="AV2" s="91" t="s">
        <v>910</v>
      </c>
      <c r="AW2" t="s">
        <v>1663</v>
      </c>
      <c r="AX2" s="91" t="s">
        <v>910</v>
      </c>
      <c r="AY2" s="88">
        <v>97</v>
      </c>
      <c r="BB2" t="s">
        <v>1564</v>
      </c>
      <c r="BD2" t="s">
        <v>1565</v>
      </c>
      <c r="BF2" t="s">
        <v>1249</v>
      </c>
      <c r="BH2" t="s">
        <v>784</v>
      </c>
      <c r="BJ2" t="s">
        <v>783</v>
      </c>
      <c r="BK2" s="90">
        <f>BB104+BD14+BF14+BH14+BJ14</f>
        <v>9874.1679999999978</v>
      </c>
      <c r="BR2" s="77" t="s">
        <v>711</v>
      </c>
      <c r="BS2" s="77"/>
      <c r="BT2" s="77" t="s">
        <v>1566</v>
      </c>
      <c r="CB2" s="266" t="s">
        <v>1576</v>
      </c>
      <c r="CC2" s="91" t="s">
        <v>1600</v>
      </c>
      <c r="CD2" t="s">
        <v>606</v>
      </c>
      <c r="CE2" s="265"/>
      <c r="CF2" s="24"/>
    </row>
    <row r="3" spans="1:89" x14ac:dyDescent="0.25">
      <c r="A3">
        <v>1147</v>
      </c>
      <c r="B3" t="s">
        <v>1286</v>
      </c>
      <c r="C3">
        <v>0.35199999999999998</v>
      </c>
      <c r="D3" t="s">
        <v>1264</v>
      </c>
      <c r="E3">
        <v>100192</v>
      </c>
      <c r="F3">
        <v>1147</v>
      </c>
      <c r="G3" t="str">
        <f t="shared" si="0"/>
        <v>01147</v>
      </c>
      <c r="H3" t="s">
        <v>306</v>
      </c>
      <c r="I3" t="s">
        <v>1265</v>
      </c>
      <c r="J3" t="s">
        <v>1271</v>
      </c>
      <c r="K3" t="s">
        <v>1272</v>
      </c>
      <c r="L3" t="s">
        <v>1286</v>
      </c>
      <c r="M3" t="s">
        <v>1287</v>
      </c>
      <c r="N3">
        <v>1</v>
      </c>
      <c r="O3" t="str">
        <f t="shared" ref="O3:O66" si="3">MID(L3,3,2)</f>
        <v>24</v>
      </c>
      <c r="P3">
        <v>96</v>
      </c>
      <c r="Q3">
        <v>24</v>
      </c>
      <c r="R3" t="s">
        <v>1269</v>
      </c>
      <c r="S3">
        <v>0.35199999999999998</v>
      </c>
      <c r="T3">
        <v>0.24879999999999999</v>
      </c>
      <c r="U3">
        <f>IF(N3=21,ROUND(T3*S3,3),0)</f>
        <v>0</v>
      </c>
      <c r="V3" t="str">
        <f t="shared" si="1"/>
        <v>High Family Engagement Coordinator</v>
      </c>
      <c r="W3" t="str">
        <f t="shared" si="2"/>
        <v>Family Engagement Coordinator</v>
      </c>
      <c r="Y3" s="91" t="s">
        <v>1274</v>
      </c>
      <c r="Z3" s="91" t="s">
        <v>751</v>
      </c>
      <c r="BA3" s="91" t="s">
        <v>752</v>
      </c>
      <c r="BB3" t="s">
        <v>1274</v>
      </c>
      <c r="BC3" s="91" t="s">
        <v>752</v>
      </c>
      <c r="BD3" t="s">
        <v>1274</v>
      </c>
      <c r="BE3" s="91" t="s">
        <v>752</v>
      </c>
      <c r="BF3" t="s">
        <v>1274</v>
      </c>
      <c r="BG3" s="91" t="s">
        <v>752</v>
      </c>
      <c r="BH3" t="s">
        <v>1274</v>
      </c>
      <c r="BI3" s="91" t="s">
        <v>752</v>
      </c>
      <c r="BJ3" t="s">
        <v>1274</v>
      </c>
      <c r="BM3" s="91" t="s">
        <v>1274</v>
      </c>
      <c r="BR3" s="77" t="s">
        <v>1567</v>
      </c>
      <c r="BS3" s="77"/>
      <c r="BT3" s="77" t="s">
        <v>1568</v>
      </c>
      <c r="BY3" s="91" t="s">
        <v>1274</v>
      </c>
      <c r="CB3" t="s">
        <v>747</v>
      </c>
      <c r="CC3" t="s">
        <v>716</v>
      </c>
      <c r="CD3" s="90">
        <v>18.663</v>
      </c>
      <c r="CE3" s="270">
        <v>15.902999999999999</v>
      </c>
      <c r="CF3" s="164">
        <f>CD3-CE3</f>
        <v>2.7600000000000016</v>
      </c>
      <c r="CI3" s="91" t="s">
        <v>1196</v>
      </c>
    </row>
    <row r="4" spans="1:89" x14ac:dyDescent="0.25">
      <c r="A4">
        <v>1147</v>
      </c>
      <c r="B4" t="s">
        <v>1284</v>
      </c>
      <c r="C4">
        <v>0.36299999999999999</v>
      </c>
      <c r="D4" t="s">
        <v>1264</v>
      </c>
      <c r="E4">
        <v>100192</v>
      </c>
      <c r="F4">
        <v>1147</v>
      </c>
      <c r="G4" t="str">
        <f t="shared" si="0"/>
        <v>01147</v>
      </c>
      <c r="H4" t="s">
        <v>306</v>
      </c>
      <c r="I4" t="s">
        <v>1265</v>
      </c>
      <c r="J4" t="s">
        <v>1266</v>
      </c>
      <c r="K4" t="s">
        <v>1267</v>
      </c>
      <c r="L4" t="s">
        <v>1284</v>
      </c>
      <c r="M4" t="s">
        <v>1285</v>
      </c>
      <c r="N4">
        <v>1</v>
      </c>
      <c r="O4" t="str">
        <f t="shared" si="3"/>
        <v>24</v>
      </c>
      <c r="P4">
        <v>96</v>
      </c>
      <c r="Q4">
        <v>24</v>
      </c>
      <c r="R4" t="s">
        <v>1269</v>
      </c>
      <c r="S4">
        <v>0.36299999999999999</v>
      </c>
      <c r="T4">
        <v>0.24879999999999999</v>
      </c>
      <c r="U4">
        <f t="shared" ref="U4:U66" si="4">IF(N4=21,ROUND(T4*S4,3),0)</f>
        <v>0</v>
      </c>
      <c r="V4" t="str">
        <f t="shared" si="1"/>
        <v>Middle Family Engagement Coordinator</v>
      </c>
      <c r="W4" t="str">
        <f t="shared" si="2"/>
        <v>Family Engagement Coordinator</v>
      </c>
      <c r="Y4" s="91" t="s">
        <v>752</v>
      </c>
      <c r="Z4">
        <v>21</v>
      </c>
      <c r="AA4">
        <v>97</v>
      </c>
      <c r="AB4">
        <v>1</v>
      </c>
      <c r="AC4">
        <v>9</v>
      </c>
      <c r="AD4" t="s">
        <v>1129</v>
      </c>
      <c r="AE4" t="s">
        <v>731</v>
      </c>
      <c r="AF4" t="s">
        <v>753</v>
      </c>
      <c r="AI4" s="91" t="s">
        <v>752</v>
      </c>
      <c r="AJ4" t="s">
        <v>1279</v>
      </c>
      <c r="AK4" t="s">
        <v>1280</v>
      </c>
      <c r="AL4" t="s">
        <v>1281</v>
      </c>
      <c r="AM4" t="s">
        <v>1282</v>
      </c>
      <c r="AN4" t="s">
        <v>1283</v>
      </c>
      <c r="AP4" s="91" t="s">
        <v>752</v>
      </c>
      <c r="AQ4" t="s">
        <v>1274</v>
      </c>
      <c r="AR4" s="91" t="s">
        <v>752</v>
      </c>
      <c r="AS4" s="86" t="s">
        <v>1279</v>
      </c>
      <c r="AT4" s="91" t="s">
        <v>752</v>
      </c>
      <c r="AU4" t="s">
        <v>1274</v>
      </c>
      <c r="AV4" s="91" t="s">
        <v>752</v>
      </c>
      <c r="AW4" t="s">
        <v>1274</v>
      </c>
      <c r="AX4" s="91" t="s">
        <v>752</v>
      </c>
      <c r="AY4" t="s">
        <v>1274</v>
      </c>
      <c r="BA4" s="88" t="s">
        <v>1319</v>
      </c>
      <c r="BB4" s="90">
        <v>13.084</v>
      </c>
      <c r="BC4" s="88" t="s">
        <v>1288</v>
      </c>
      <c r="BD4" s="90">
        <v>0</v>
      </c>
      <c r="BE4" s="88" t="s">
        <v>1301</v>
      </c>
      <c r="BF4" s="90">
        <v>6.5350000000000001</v>
      </c>
      <c r="BG4" s="88" t="s">
        <v>1311</v>
      </c>
      <c r="BH4" s="90">
        <v>42.279000000000011</v>
      </c>
      <c r="BI4" s="88" t="s">
        <v>1377</v>
      </c>
      <c r="BJ4" s="90">
        <v>17.317</v>
      </c>
      <c r="BM4" s="91" t="s">
        <v>714</v>
      </c>
      <c r="BN4" s="91" t="s">
        <v>1189</v>
      </c>
      <c r="BO4" t="s">
        <v>606</v>
      </c>
      <c r="BR4" s="77" t="s">
        <v>1569</v>
      </c>
      <c r="BS4" s="77"/>
      <c r="BT4" s="77" t="s">
        <v>1570</v>
      </c>
      <c r="BY4" s="91" t="s">
        <v>1505</v>
      </c>
      <c r="BZ4" t="s">
        <v>606</v>
      </c>
      <c r="CB4" t="s">
        <v>736</v>
      </c>
      <c r="CC4" t="s">
        <v>729</v>
      </c>
      <c r="CD4" s="90">
        <v>2532.3929999999987</v>
      </c>
      <c r="CE4" s="270">
        <v>2523.3150000000001</v>
      </c>
      <c r="CF4" s="164">
        <f t="shared" ref="CF4:CF15" si="5">CD4-CE4</f>
        <v>9.0779999999986103</v>
      </c>
      <c r="CI4" s="266" t="s">
        <v>1576</v>
      </c>
      <c r="CJ4" s="91" t="s">
        <v>1600</v>
      </c>
      <c r="CK4" t="s">
        <v>606</v>
      </c>
    </row>
    <row r="5" spans="1:89" x14ac:dyDescent="0.25">
      <c r="A5">
        <v>1147</v>
      </c>
      <c r="B5" t="s">
        <v>1308</v>
      </c>
      <c r="C5">
        <v>7.2370000000000001</v>
      </c>
      <c r="D5" t="s">
        <v>1264</v>
      </c>
      <c r="E5">
        <v>100192</v>
      </c>
      <c r="F5">
        <v>1147</v>
      </c>
      <c r="G5" t="str">
        <f t="shared" si="0"/>
        <v>01147</v>
      </c>
      <c r="H5" t="s">
        <v>306</v>
      </c>
      <c r="I5" t="s">
        <v>1265</v>
      </c>
      <c r="J5" t="s">
        <v>1276</v>
      </c>
      <c r="K5" t="s">
        <v>1277</v>
      </c>
      <c r="L5" t="s">
        <v>1308</v>
      </c>
      <c r="M5" t="s">
        <v>1389</v>
      </c>
      <c r="N5">
        <v>1</v>
      </c>
      <c r="O5" t="str">
        <f t="shared" si="3"/>
        <v>25</v>
      </c>
      <c r="Q5">
        <v>25</v>
      </c>
      <c r="R5" t="s">
        <v>1269</v>
      </c>
      <c r="S5">
        <v>7.2370000000000001</v>
      </c>
      <c r="T5">
        <v>0.24879999999999999</v>
      </c>
      <c r="U5">
        <f t="shared" si="4"/>
        <v>0</v>
      </c>
      <c r="V5" t="str">
        <f t="shared" si="1"/>
        <v>Elementary Pupil Management</v>
      </c>
      <c r="W5" t="str">
        <f t="shared" si="2"/>
        <v>Pupil Management</v>
      </c>
      <c r="Y5" s="88" t="s">
        <v>1473</v>
      </c>
      <c r="Z5" s="90"/>
      <c r="AA5" s="90"/>
      <c r="AB5" s="90"/>
      <c r="AC5" s="90"/>
      <c r="AD5" s="90">
        <v>0</v>
      </c>
      <c r="AE5" s="90"/>
      <c r="AF5" s="90">
        <v>0</v>
      </c>
      <c r="AG5" s="90"/>
      <c r="AI5" s="88" t="s">
        <v>1473</v>
      </c>
      <c r="AJ5" s="90">
        <v>0</v>
      </c>
      <c r="AK5" s="90">
        <f>AB5</f>
        <v>0</v>
      </c>
      <c r="AL5" s="90">
        <f>AC5</f>
        <v>0</v>
      </c>
      <c r="AM5" s="90">
        <f>AA5</f>
        <v>0</v>
      </c>
      <c r="AN5" s="90">
        <f>SUM(AJ5:AM5)</f>
        <v>0</v>
      </c>
      <c r="AO5" s="90">
        <f>SUM(AN5:AN14)</f>
        <v>121.01899999999998</v>
      </c>
      <c r="AP5" s="88" t="s">
        <v>1277</v>
      </c>
      <c r="AQ5" s="90">
        <v>2305.4389999999994</v>
      </c>
      <c r="AR5" s="88" t="s">
        <v>1277</v>
      </c>
      <c r="AS5" s="90">
        <v>581.3900000000001</v>
      </c>
      <c r="AT5" s="88" t="s">
        <v>1277</v>
      </c>
      <c r="AU5" s="90">
        <v>1946.9399999999996</v>
      </c>
      <c r="AV5" s="88" t="s">
        <v>1277</v>
      </c>
      <c r="AW5" s="90">
        <v>7.4359999999999999</v>
      </c>
      <c r="AX5" s="88" t="s">
        <v>1277</v>
      </c>
      <c r="AY5" s="90">
        <v>4.7459999999999996</v>
      </c>
      <c r="BA5" s="88" t="s">
        <v>1384</v>
      </c>
      <c r="BB5" s="90">
        <v>2.7930000000000001</v>
      </c>
      <c r="BC5" s="88" t="s">
        <v>1293</v>
      </c>
      <c r="BD5" s="90">
        <v>0.124</v>
      </c>
      <c r="BE5" s="88" t="s">
        <v>1305</v>
      </c>
      <c r="BF5" s="90">
        <v>3.4219999999999997</v>
      </c>
      <c r="BG5" s="88" t="s">
        <v>1315</v>
      </c>
      <c r="BH5" s="90">
        <v>155.46199999999999</v>
      </c>
      <c r="BI5" s="88" t="s">
        <v>1378</v>
      </c>
      <c r="BJ5" s="90">
        <v>8.1769999999999996</v>
      </c>
      <c r="BM5" t="s">
        <v>1277</v>
      </c>
      <c r="BN5" t="s">
        <v>1288</v>
      </c>
      <c r="BO5" s="90">
        <v>0</v>
      </c>
      <c r="BQ5" t="str">
        <f>MID(BR5,3,2)</f>
        <v>39</v>
      </c>
      <c r="BR5" s="132" t="s">
        <v>912</v>
      </c>
      <c r="BS5">
        <v>1E-3</v>
      </c>
      <c r="BT5" s="244" t="s">
        <v>1506</v>
      </c>
      <c r="BU5" s="34" t="s">
        <v>759</v>
      </c>
      <c r="BV5" t="s">
        <v>1450</v>
      </c>
      <c r="BW5">
        <v>0</v>
      </c>
      <c r="BY5" t="s">
        <v>1512</v>
      </c>
      <c r="BZ5" s="90">
        <v>34.646999999999998</v>
      </c>
      <c r="CB5" t="s">
        <v>738</v>
      </c>
      <c r="CC5" t="s">
        <v>680</v>
      </c>
      <c r="CD5" s="90">
        <v>564.32299999999964</v>
      </c>
      <c r="CE5" s="270">
        <v>545.30999999999949</v>
      </c>
      <c r="CF5" s="164">
        <f t="shared" si="5"/>
        <v>19.013000000000147</v>
      </c>
      <c r="CI5" t="s">
        <v>736</v>
      </c>
      <c r="CJ5" t="s">
        <v>729</v>
      </c>
      <c r="CK5" s="90">
        <v>19.2</v>
      </c>
    </row>
    <row r="6" spans="1:89" x14ac:dyDescent="0.25">
      <c r="A6">
        <v>1147</v>
      </c>
      <c r="B6" t="s">
        <v>1383</v>
      </c>
      <c r="C6">
        <v>3.8879999999999999</v>
      </c>
      <c r="D6" t="s">
        <v>1264</v>
      </c>
      <c r="E6">
        <v>100192</v>
      </c>
      <c r="F6">
        <v>1147</v>
      </c>
      <c r="G6" t="str">
        <f t="shared" si="0"/>
        <v>01147</v>
      </c>
      <c r="H6" t="s">
        <v>306</v>
      </c>
      <c r="I6" t="s">
        <v>1265</v>
      </c>
      <c r="J6" t="s">
        <v>1271</v>
      </c>
      <c r="K6" t="s">
        <v>1272</v>
      </c>
      <c r="L6" t="s">
        <v>1383</v>
      </c>
      <c r="M6" t="s">
        <v>1409</v>
      </c>
      <c r="N6">
        <v>21</v>
      </c>
      <c r="O6" t="str">
        <f t="shared" si="3"/>
        <v>25</v>
      </c>
      <c r="Q6">
        <v>25</v>
      </c>
      <c r="R6" t="s">
        <v>1269</v>
      </c>
      <c r="S6">
        <v>3.8879999999999999</v>
      </c>
      <c r="T6">
        <v>0.24879999999999999</v>
      </c>
      <c r="U6">
        <f t="shared" si="4"/>
        <v>0.96699999999999997</v>
      </c>
      <c r="V6" t="str">
        <f t="shared" si="1"/>
        <v>High Pupil Management</v>
      </c>
      <c r="W6" t="str">
        <f t="shared" si="2"/>
        <v>Pupil Management</v>
      </c>
      <c r="Y6" s="88" t="s">
        <v>1288</v>
      </c>
      <c r="Z6" s="90">
        <v>0</v>
      </c>
      <c r="AA6" s="90"/>
      <c r="AB6" s="90"/>
      <c r="AC6" s="90"/>
      <c r="AD6" s="90"/>
      <c r="AE6" s="90"/>
      <c r="AF6" s="90">
        <v>0</v>
      </c>
      <c r="AG6" s="90"/>
      <c r="AI6" s="88" t="s">
        <v>1288</v>
      </c>
      <c r="AJ6" s="90">
        <v>0</v>
      </c>
      <c r="AK6" s="90">
        <f t="shared" ref="AK6:AK69" si="6">AB6</f>
        <v>0</v>
      </c>
      <c r="AL6" s="90">
        <f t="shared" ref="AL6:AL69" si="7">AC6</f>
        <v>0</v>
      </c>
      <c r="AM6" s="90">
        <f t="shared" ref="AM6:AM69" si="8">AA6</f>
        <v>0</v>
      </c>
      <c r="AN6" s="90">
        <f t="shared" ref="AN6:AN69" si="9">SUM(AJ6:AM6)</f>
        <v>0</v>
      </c>
      <c r="AO6" t="e">
        <f>#REF!</f>
        <v>#REF!</v>
      </c>
      <c r="AP6" s="119" t="s">
        <v>1288</v>
      </c>
      <c r="AQ6" s="90">
        <v>0</v>
      </c>
      <c r="AR6" s="119" t="s">
        <v>1288</v>
      </c>
      <c r="AS6" s="90">
        <v>0</v>
      </c>
      <c r="AT6" s="119" t="s">
        <v>1297</v>
      </c>
      <c r="AU6" s="90">
        <v>12.494000000000002</v>
      </c>
      <c r="AV6" s="119" t="s">
        <v>1348</v>
      </c>
      <c r="AW6" s="90">
        <v>0.44500000000000006</v>
      </c>
      <c r="AX6" s="119" t="s">
        <v>1293</v>
      </c>
      <c r="AY6" s="90">
        <v>0.124</v>
      </c>
      <c r="BA6" s="88" t="s">
        <v>1364</v>
      </c>
      <c r="BB6" s="90">
        <v>1.786</v>
      </c>
      <c r="BC6" s="88" t="s">
        <v>1297</v>
      </c>
      <c r="BD6" s="90">
        <v>12.494000000000002</v>
      </c>
      <c r="BE6" s="88" t="s">
        <v>1308</v>
      </c>
      <c r="BF6" s="90">
        <v>168.99900000000002</v>
      </c>
      <c r="BG6" s="88" t="s">
        <v>1324</v>
      </c>
      <c r="BH6" s="90">
        <v>330.07799999999986</v>
      </c>
      <c r="BI6" s="88" t="s">
        <v>1401</v>
      </c>
      <c r="BJ6" s="90">
        <v>241.34900000000005</v>
      </c>
      <c r="BM6" t="s">
        <v>1277</v>
      </c>
      <c r="BN6" t="s">
        <v>1293</v>
      </c>
      <c r="BO6" s="90">
        <v>0.124</v>
      </c>
      <c r="BQ6" t="str">
        <f t="shared" ref="BQ6:BQ69" si="10">MID(BR6,3,2)</f>
        <v>42</v>
      </c>
      <c r="BR6" s="132" t="s">
        <v>913</v>
      </c>
      <c r="BS6">
        <v>2E-3</v>
      </c>
      <c r="BT6" s="244" t="s">
        <v>1507</v>
      </c>
      <c r="BU6" s="34" t="s">
        <v>759</v>
      </c>
      <c r="BV6" t="s">
        <v>1275</v>
      </c>
      <c r="BW6">
        <v>0</v>
      </c>
      <c r="BY6" t="s">
        <v>1513</v>
      </c>
      <c r="BZ6" s="90">
        <v>92.77</v>
      </c>
      <c r="CB6" t="s">
        <v>744</v>
      </c>
      <c r="CC6" t="s">
        <v>719</v>
      </c>
      <c r="CD6" s="90">
        <v>202.93900000000008</v>
      </c>
      <c r="CE6" s="270">
        <v>174.19500000000002</v>
      </c>
      <c r="CF6" s="164">
        <f t="shared" si="5"/>
        <v>28.744000000000057</v>
      </c>
      <c r="CI6" t="s">
        <v>738</v>
      </c>
      <c r="CJ6" t="s">
        <v>680</v>
      </c>
      <c r="CK6" s="90">
        <v>3.0230000000000001</v>
      </c>
    </row>
    <row r="7" spans="1:89" x14ac:dyDescent="0.25">
      <c r="A7">
        <v>1147</v>
      </c>
      <c r="B7" t="s">
        <v>1299</v>
      </c>
      <c r="C7">
        <v>0.50600000000000001</v>
      </c>
      <c r="D7" t="s">
        <v>1264</v>
      </c>
      <c r="E7">
        <v>100192</v>
      </c>
      <c r="F7">
        <v>1147</v>
      </c>
      <c r="G7" t="str">
        <f t="shared" si="0"/>
        <v>01147</v>
      </c>
      <c r="H7" t="s">
        <v>306</v>
      </c>
      <c r="I7" t="s">
        <v>1265</v>
      </c>
      <c r="J7" t="s">
        <v>1271</v>
      </c>
      <c r="K7" t="s">
        <v>1272</v>
      </c>
      <c r="L7" t="s">
        <v>1299</v>
      </c>
      <c r="M7" t="s">
        <v>1300</v>
      </c>
      <c r="N7">
        <v>1</v>
      </c>
      <c r="O7" t="str">
        <f t="shared" si="3"/>
        <v>25</v>
      </c>
      <c r="Q7">
        <v>25</v>
      </c>
      <c r="R7" t="s">
        <v>1269</v>
      </c>
      <c r="S7">
        <v>0.50600000000000001</v>
      </c>
      <c r="T7">
        <v>0.24879999999999999</v>
      </c>
      <c r="U7">
        <f t="shared" si="4"/>
        <v>0</v>
      </c>
      <c r="V7" t="str">
        <f t="shared" si="1"/>
        <v>High Pupil Management</v>
      </c>
      <c r="W7" t="str">
        <f t="shared" si="2"/>
        <v>Pupil Management</v>
      </c>
      <c r="Y7" s="88" t="s">
        <v>1293</v>
      </c>
      <c r="Z7" s="90"/>
      <c r="AA7" s="90">
        <v>0.124</v>
      </c>
      <c r="AB7" s="90"/>
      <c r="AC7" s="90"/>
      <c r="AD7" s="90"/>
      <c r="AE7" s="90"/>
      <c r="AF7" s="90">
        <v>0.124</v>
      </c>
      <c r="AG7" s="90"/>
      <c r="AI7" s="88" t="s">
        <v>1293</v>
      </c>
      <c r="AJ7" s="90">
        <v>0</v>
      </c>
      <c r="AK7" s="90">
        <f t="shared" si="6"/>
        <v>0</v>
      </c>
      <c r="AL7" s="90">
        <f t="shared" si="7"/>
        <v>0</v>
      </c>
      <c r="AM7" s="90">
        <f t="shared" si="8"/>
        <v>0.124</v>
      </c>
      <c r="AN7" s="90">
        <f t="shared" si="9"/>
        <v>0.124</v>
      </c>
      <c r="AO7" s="261" t="e">
        <f>SUM(AO5:AO6)</f>
        <v>#REF!</v>
      </c>
      <c r="AP7" s="119" t="s">
        <v>1301</v>
      </c>
      <c r="AQ7" s="90">
        <v>6.5350000000000001</v>
      </c>
      <c r="AR7" s="119" t="s">
        <v>1301</v>
      </c>
      <c r="AS7" s="90">
        <v>1.405</v>
      </c>
      <c r="AT7" s="119" t="s">
        <v>1308</v>
      </c>
      <c r="AU7" s="90">
        <v>168.999</v>
      </c>
      <c r="AV7" s="119" t="s">
        <v>1352</v>
      </c>
      <c r="AW7" s="90">
        <v>1.242</v>
      </c>
      <c r="AX7" s="119" t="s">
        <v>1305</v>
      </c>
      <c r="AY7" s="90">
        <v>3.4219999999999997</v>
      </c>
      <c r="BA7" s="88" t="s">
        <v>1321</v>
      </c>
      <c r="BB7" s="90">
        <v>7.4440000000000008</v>
      </c>
      <c r="BC7" s="88" t="s">
        <v>1379</v>
      </c>
      <c r="BD7" s="90">
        <v>4.1950000000000003</v>
      </c>
      <c r="BE7" s="88" t="s">
        <v>1383</v>
      </c>
      <c r="BF7" s="90">
        <v>162.89399999999998</v>
      </c>
      <c r="BG7" s="88" t="s">
        <v>1295</v>
      </c>
      <c r="BH7" s="90">
        <v>591.59000000000037</v>
      </c>
      <c r="BI7" s="88" t="s">
        <v>1402</v>
      </c>
      <c r="BJ7" s="90">
        <v>48.981000000000002</v>
      </c>
      <c r="BM7" t="s">
        <v>1277</v>
      </c>
      <c r="BN7" t="s">
        <v>1297</v>
      </c>
      <c r="BO7" s="90">
        <v>12.494</v>
      </c>
      <c r="BQ7" t="str">
        <f t="shared" si="10"/>
        <v>43</v>
      </c>
      <c r="BR7" s="132" t="s">
        <v>914</v>
      </c>
      <c r="BS7">
        <v>3.0000000000000001E-3</v>
      </c>
      <c r="BT7" s="244" t="s">
        <v>1546</v>
      </c>
      <c r="BU7" s="34" t="s">
        <v>759</v>
      </c>
      <c r="BV7" t="s">
        <v>1328</v>
      </c>
      <c r="BW7">
        <v>0</v>
      </c>
      <c r="BY7" t="s">
        <v>1507</v>
      </c>
      <c r="BZ7" s="90">
        <v>1083.5769999999998</v>
      </c>
      <c r="CB7" t="s">
        <v>739</v>
      </c>
      <c r="CC7" t="s">
        <v>905</v>
      </c>
      <c r="CD7" s="90">
        <v>1455.0179999999991</v>
      </c>
      <c r="CE7" s="270">
        <v>1406.6840000000002</v>
      </c>
      <c r="CF7" s="164">
        <f t="shared" si="5"/>
        <v>48.333999999998923</v>
      </c>
      <c r="CI7" t="s">
        <v>739</v>
      </c>
      <c r="CJ7" t="s">
        <v>905</v>
      </c>
      <c r="CK7" s="90">
        <v>13.507</v>
      </c>
    </row>
    <row r="8" spans="1:89" x14ac:dyDescent="0.25">
      <c r="A8">
        <v>1147</v>
      </c>
      <c r="B8" t="s">
        <v>1363</v>
      </c>
      <c r="C8">
        <v>0.495</v>
      </c>
      <c r="D8" t="s">
        <v>1264</v>
      </c>
      <c r="E8">
        <v>100192</v>
      </c>
      <c r="F8">
        <v>1147</v>
      </c>
      <c r="G8" t="str">
        <f t="shared" si="0"/>
        <v>01147</v>
      </c>
      <c r="H8" t="s">
        <v>306</v>
      </c>
      <c r="I8" t="s">
        <v>1265</v>
      </c>
      <c r="J8" t="s">
        <v>1266</v>
      </c>
      <c r="K8" t="s">
        <v>1267</v>
      </c>
      <c r="L8" t="s">
        <v>1363</v>
      </c>
      <c r="M8" t="s">
        <v>1386</v>
      </c>
      <c r="N8">
        <v>1</v>
      </c>
      <c r="O8" t="str">
        <f t="shared" si="3"/>
        <v>25</v>
      </c>
      <c r="Q8">
        <v>25</v>
      </c>
      <c r="R8" t="s">
        <v>1269</v>
      </c>
      <c r="S8">
        <v>0.495</v>
      </c>
      <c r="T8">
        <v>0.24879999999999999</v>
      </c>
      <c r="U8">
        <f t="shared" si="4"/>
        <v>0</v>
      </c>
      <c r="V8" t="str">
        <f t="shared" si="1"/>
        <v>Middle Pupil Management</v>
      </c>
      <c r="W8" t="str">
        <f t="shared" si="2"/>
        <v>Pupil Management</v>
      </c>
      <c r="Y8" s="88" t="s">
        <v>1297</v>
      </c>
      <c r="Z8" s="90"/>
      <c r="AA8" s="90"/>
      <c r="AB8" s="90">
        <v>12.494</v>
      </c>
      <c r="AC8" s="90"/>
      <c r="AD8" s="90"/>
      <c r="AE8" s="90">
        <v>0</v>
      </c>
      <c r="AF8" s="90">
        <v>12.494</v>
      </c>
      <c r="AG8" s="90"/>
      <c r="AI8" s="88" t="s">
        <v>1297</v>
      </c>
      <c r="AJ8" s="90">
        <v>0</v>
      </c>
      <c r="AK8" s="90">
        <f t="shared" si="6"/>
        <v>12.494</v>
      </c>
      <c r="AL8" s="90">
        <f t="shared" si="7"/>
        <v>0</v>
      </c>
      <c r="AM8" s="90">
        <f t="shared" si="8"/>
        <v>0</v>
      </c>
      <c r="AN8" s="90">
        <f t="shared" si="9"/>
        <v>12.494</v>
      </c>
      <c r="AP8" s="119" t="s">
        <v>1311</v>
      </c>
      <c r="AQ8" s="90">
        <v>42.279000000000003</v>
      </c>
      <c r="AR8" s="119" t="s">
        <v>1311</v>
      </c>
      <c r="AS8" s="90">
        <v>10.16</v>
      </c>
      <c r="AT8" s="119" t="s">
        <v>1315</v>
      </c>
      <c r="AU8" s="90">
        <v>155.46200000000002</v>
      </c>
      <c r="AV8" s="119" t="s">
        <v>1464</v>
      </c>
      <c r="AW8" s="90">
        <v>0</v>
      </c>
      <c r="AX8" s="119" t="s">
        <v>1451</v>
      </c>
      <c r="AY8" s="90">
        <v>0</v>
      </c>
      <c r="BA8" s="88" t="s">
        <v>1275</v>
      </c>
      <c r="BB8" s="90">
        <v>1076.1329999999996</v>
      </c>
      <c r="BC8" s="88" t="s">
        <v>1382</v>
      </c>
      <c r="BD8" s="90">
        <v>1.2050000000000001</v>
      </c>
      <c r="BE8" s="88" t="s">
        <v>1290</v>
      </c>
      <c r="BF8" s="90">
        <v>18.603999999999996</v>
      </c>
      <c r="BG8" s="88" t="s">
        <v>1322</v>
      </c>
      <c r="BH8" s="90">
        <v>8.7050000000000001</v>
      </c>
      <c r="BI8" s="88" t="s">
        <v>1404</v>
      </c>
      <c r="BJ8" s="90">
        <v>0.78200000000000003</v>
      </c>
      <c r="BM8" t="s">
        <v>1277</v>
      </c>
      <c r="BN8" t="s">
        <v>1301</v>
      </c>
      <c r="BO8" s="90">
        <v>6.5350000000000001</v>
      </c>
      <c r="BQ8" t="str">
        <f t="shared" si="10"/>
        <v>44</v>
      </c>
      <c r="BR8" s="132" t="s">
        <v>915</v>
      </c>
      <c r="BS8">
        <v>4.0000000000000001E-3</v>
      </c>
      <c r="BT8" s="244" t="s">
        <v>1508</v>
      </c>
      <c r="BU8" s="34" t="s">
        <v>759</v>
      </c>
      <c r="BV8" t="s">
        <v>1331</v>
      </c>
      <c r="BW8">
        <v>0</v>
      </c>
      <c r="BY8" t="s">
        <v>1551</v>
      </c>
      <c r="BZ8" s="90">
        <v>12.618</v>
      </c>
      <c r="CB8" t="s">
        <v>740</v>
      </c>
      <c r="CC8" t="s">
        <v>720</v>
      </c>
      <c r="CD8" s="90">
        <v>973.83</v>
      </c>
      <c r="CE8" s="270">
        <v>924.97899999999947</v>
      </c>
      <c r="CF8" s="164">
        <f t="shared" si="5"/>
        <v>48.851000000000568</v>
      </c>
      <c r="CI8" t="s">
        <v>740</v>
      </c>
      <c r="CJ8" t="s">
        <v>720</v>
      </c>
      <c r="CK8" s="90">
        <v>7.9729999999999999</v>
      </c>
    </row>
    <row r="9" spans="1:89" x14ac:dyDescent="0.25">
      <c r="A9">
        <v>1147</v>
      </c>
      <c r="B9" t="s">
        <v>1311</v>
      </c>
      <c r="C9">
        <v>1.3140000000000001</v>
      </c>
      <c r="D9" t="s">
        <v>1264</v>
      </c>
      <c r="E9">
        <v>100192</v>
      </c>
      <c r="F9">
        <v>1147</v>
      </c>
      <c r="G9" t="str">
        <f t="shared" si="0"/>
        <v>01147</v>
      </c>
      <c r="H9" t="s">
        <v>306</v>
      </c>
      <c r="I9" t="s">
        <v>1265</v>
      </c>
      <c r="J9" t="s">
        <v>1276</v>
      </c>
      <c r="K9" t="s">
        <v>1277</v>
      </c>
      <c r="L9" t="s">
        <v>1311</v>
      </c>
      <c r="M9" t="s">
        <v>1327</v>
      </c>
      <c r="N9">
        <v>21</v>
      </c>
      <c r="O9" t="str">
        <f t="shared" si="3"/>
        <v>26</v>
      </c>
      <c r="Q9">
        <v>26</v>
      </c>
      <c r="R9" t="s">
        <v>1269</v>
      </c>
      <c r="S9">
        <v>1.3140000000000001</v>
      </c>
      <c r="T9">
        <v>0.24879999999999999</v>
      </c>
      <c r="U9">
        <f t="shared" si="4"/>
        <v>0.32700000000000001</v>
      </c>
      <c r="V9" t="str">
        <f t="shared" si="1"/>
        <v>Elementary Health/
Related Services</v>
      </c>
      <c r="W9" t="str">
        <f t="shared" si="2"/>
        <v>Health/
Related Services</v>
      </c>
      <c r="Y9" s="88" t="s">
        <v>1379</v>
      </c>
      <c r="Z9" s="90">
        <v>4.1950000000000003</v>
      </c>
      <c r="AA9" s="90"/>
      <c r="AB9" s="90"/>
      <c r="AC9" s="90"/>
      <c r="AD9" s="90"/>
      <c r="AE9" s="90"/>
      <c r="AF9" s="90">
        <v>4.1950000000000003</v>
      </c>
      <c r="AG9" s="90"/>
      <c r="AI9" s="88" t="s">
        <v>1379</v>
      </c>
      <c r="AJ9" s="90">
        <v>1.288</v>
      </c>
      <c r="AK9" s="90">
        <f t="shared" si="6"/>
        <v>0</v>
      </c>
      <c r="AL9" s="90">
        <f t="shared" si="7"/>
        <v>0</v>
      </c>
      <c r="AM9" s="90">
        <f t="shared" si="8"/>
        <v>0</v>
      </c>
      <c r="AN9" s="90">
        <f t="shared" si="9"/>
        <v>1.288</v>
      </c>
      <c r="AP9" s="119" t="s">
        <v>1319</v>
      </c>
      <c r="AQ9" s="90">
        <v>13.084</v>
      </c>
      <c r="AR9" s="119" t="s">
        <v>1319</v>
      </c>
      <c r="AS9" s="90">
        <v>3.4770000000000003</v>
      </c>
      <c r="AT9" s="119" t="s">
        <v>1275</v>
      </c>
      <c r="AU9" s="90">
        <v>1076.1329999999998</v>
      </c>
      <c r="AV9" s="119" t="s">
        <v>1465</v>
      </c>
      <c r="AW9" s="90">
        <v>0</v>
      </c>
      <c r="AX9" s="119" t="s">
        <v>1452</v>
      </c>
      <c r="AY9" s="90">
        <v>0</v>
      </c>
      <c r="BA9" s="88" t="s">
        <v>1385</v>
      </c>
      <c r="BB9" s="90">
        <v>5.383</v>
      </c>
      <c r="BC9" s="88" t="s">
        <v>1286</v>
      </c>
      <c r="BD9" s="90">
        <v>101.34000000000003</v>
      </c>
      <c r="BE9" s="88" t="s">
        <v>1299</v>
      </c>
      <c r="BF9" s="90">
        <v>1057.1390000000001</v>
      </c>
      <c r="BG9" s="88" t="s">
        <v>1291</v>
      </c>
      <c r="BH9" s="90">
        <v>39.97</v>
      </c>
      <c r="BI9" s="88" t="s">
        <v>1350</v>
      </c>
      <c r="BJ9" s="90">
        <v>4.2629999999999999</v>
      </c>
      <c r="BM9" t="s">
        <v>1277</v>
      </c>
      <c r="BN9" t="s">
        <v>1305</v>
      </c>
      <c r="BO9" s="90">
        <v>3.4219999999999997</v>
      </c>
      <c r="BQ9" t="str">
        <f t="shared" si="10"/>
        <v>45</v>
      </c>
      <c r="BR9" s="132" t="s">
        <v>916</v>
      </c>
      <c r="BS9">
        <v>5.0000000000000001E-3</v>
      </c>
      <c r="BT9" s="244" t="s">
        <v>1509</v>
      </c>
      <c r="BU9" s="34" t="s">
        <v>759</v>
      </c>
      <c r="BV9" t="s">
        <v>1332</v>
      </c>
      <c r="BW9">
        <v>0</v>
      </c>
      <c r="BY9" t="s">
        <v>1514</v>
      </c>
      <c r="BZ9" s="90">
        <v>197.74100000000004</v>
      </c>
      <c r="CB9" t="s">
        <v>742</v>
      </c>
      <c r="CC9" t="s">
        <v>721</v>
      </c>
      <c r="CD9" s="90">
        <v>661.50399999999956</v>
      </c>
      <c r="CE9" s="270">
        <v>639.04099999999983</v>
      </c>
      <c r="CF9" s="164">
        <f t="shared" si="5"/>
        <v>22.462999999999738</v>
      </c>
      <c r="CI9" t="s">
        <v>742</v>
      </c>
      <c r="CJ9" t="s">
        <v>721</v>
      </c>
      <c r="CK9" s="90">
        <v>1.9000000000000001</v>
      </c>
    </row>
    <row r="10" spans="1:89" x14ac:dyDescent="0.25">
      <c r="A10">
        <v>1147</v>
      </c>
      <c r="B10" t="s">
        <v>1315</v>
      </c>
      <c r="C10">
        <v>2.3239999999999998</v>
      </c>
      <c r="D10" t="s">
        <v>1264</v>
      </c>
      <c r="E10">
        <v>100192</v>
      </c>
      <c r="F10">
        <v>1147</v>
      </c>
      <c r="G10" t="str">
        <f t="shared" si="0"/>
        <v>01147</v>
      </c>
      <c r="H10" t="s">
        <v>306</v>
      </c>
      <c r="I10" t="s">
        <v>1265</v>
      </c>
      <c r="J10" t="s">
        <v>1276</v>
      </c>
      <c r="K10" t="s">
        <v>1277</v>
      </c>
      <c r="L10" t="s">
        <v>1315</v>
      </c>
      <c r="M10" t="s">
        <v>1375</v>
      </c>
      <c r="N10">
        <v>1</v>
      </c>
      <c r="O10" t="str">
        <f t="shared" si="3"/>
        <v>26</v>
      </c>
      <c r="Q10">
        <v>26</v>
      </c>
      <c r="R10" t="s">
        <v>1269</v>
      </c>
      <c r="S10">
        <v>2.3239999999999998</v>
      </c>
      <c r="T10">
        <v>0.24879999999999999</v>
      </c>
      <c r="U10">
        <f t="shared" si="4"/>
        <v>0</v>
      </c>
      <c r="V10" t="str">
        <f t="shared" si="1"/>
        <v>Elementary Health/
Related Services</v>
      </c>
      <c r="W10" t="str">
        <f t="shared" si="2"/>
        <v>Health/
Related Services</v>
      </c>
      <c r="Y10" s="88" t="s">
        <v>1382</v>
      </c>
      <c r="Z10" s="90"/>
      <c r="AA10" s="90">
        <v>1.2050000000000001</v>
      </c>
      <c r="AB10" s="90"/>
      <c r="AC10" s="90"/>
      <c r="AD10" s="90"/>
      <c r="AE10" s="90"/>
      <c r="AF10" s="90">
        <v>1.2050000000000001</v>
      </c>
      <c r="AG10" s="90"/>
      <c r="AI10" s="88" t="s">
        <v>1382</v>
      </c>
      <c r="AJ10" s="90">
        <v>0</v>
      </c>
      <c r="AK10" s="90">
        <f t="shared" si="6"/>
        <v>0</v>
      </c>
      <c r="AL10" s="90">
        <f t="shared" si="7"/>
        <v>0</v>
      </c>
      <c r="AM10" s="90">
        <f t="shared" si="8"/>
        <v>1.2050000000000001</v>
      </c>
      <c r="AN10" s="90">
        <f t="shared" si="9"/>
        <v>1.2050000000000001</v>
      </c>
      <c r="AP10" s="119" t="s">
        <v>1321</v>
      </c>
      <c r="AQ10" s="90">
        <v>7.4440000000000008</v>
      </c>
      <c r="AR10" s="119" t="s">
        <v>1321</v>
      </c>
      <c r="AS10" s="90">
        <v>2.1059999999999999</v>
      </c>
      <c r="AT10" s="119" t="s">
        <v>1328</v>
      </c>
      <c r="AU10" s="90">
        <v>2.6389999999999998</v>
      </c>
      <c r="AV10" s="119" t="s">
        <v>1466</v>
      </c>
      <c r="AW10" s="90">
        <v>0.5</v>
      </c>
      <c r="AX10" s="119" t="s">
        <v>1453</v>
      </c>
      <c r="AY10" s="90">
        <v>0</v>
      </c>
      <c r="BA10" s="88" t="s">
        <v>1270</v>
      </c>
      <c r="BB10" s="90">
        <v>926.64799999999957</v>
      </c>
      <c r="BC10" s="88" t="s">
        <v>1355</v>
      </c>
      <c r="BD10" s="90">
        <v>0</v>
      </c>
      <c r="BE10" s="88" t="s">
        <v>1361</v>
      </c>
      <c r="BF10" s="90">
        <v>1.3740000000000001</v>
      </c>
      <c r="BG10" s="88" t="s">
        <v>1352</v>
      </c>
      <c r="BH10" s="90">
        <v>1.242</v>
      </c>
      <c r="BI10" s="88" t="s">
        <v>1462</v>
      </c>
      <c r="BJ10" s="90">
        <v>1.2</v>
      </c>
      <c r="BM10" t="s">
        <v>1277</v>
      </c>
      <c r="BN10" t="s">
        <v>1308</v>
      </c>
      <c r="BO10" s="90">
        <v>168.99900000000005</v>
      </c>
      <c r="BQ10" t="str">
        <f t="shared" si="10"/>
        <v>46</v>
      </c>
      <c r="BR10" s="132" t="s">
        <v>917</v>
      </c>
      <c r="BS10">
        <v>6.0000000000000001E-3</v>
      </c>
      <c r="BT10" s="244" t="s">
        <v>1549</v>
      </c>
      <c r="BU10" s="34" t="s">
        <v>759</v>
      </c>
      <c r="BV10" t="s">
        <v>1333</v>
      </c>
      <c r="BW10">
        <v>0</v>
      </c>
      <c r="BY10" t="s">
        <v>1510</v>
      </c>
      <c r="BZ10" s="90">
        <v>378.5229999999998</v>
      </c>
      <c r="CB10" t="s">
        <v>743</v>
      </c>
      <c r="CC10" t="s">
        <v>722</v>
      </c>
      <c r="CD10" s="90">
        <v>204.13900000000001</v>
      </c>
      <c r="CE10" s="270">
        <v>194.654</v>
      </c>
      <c r="CF10" s="164">
        <f t="shared" si="5"/>
        <v>9.4850000000000136</v>
      </c>
      <c r="CI10" t="s">
        <v>743</v>
      </c>
      <c r="CJ10" t="s">
        <v>722</v>
      </c>
      <c r="CK10" s="90">
        <v>1</v>
      </c>
    </row>
    <row r="11" spans="1:89" x14ac:dyDescent="0.25">
      <c r="A11">
        <v>1147</v>
      </c>
      <c r="B11" t="s">
        <v>1295</v>
      </c>
      <c r="C11">
        <v>0.2</v>
      </c>
      <c r="D11" t="s">
        <v>1264</v>
      </c>
      <c r="E11">
        <v>100192</v>
      </c>
      <c r="F11">
        <v>1147</v>
      </c>
      <c r="G11" t="str">
        <f t="shared" si="0"/>
        <v>01147</v>
      </c>
      <c r="H11" t="s">
        <v>306</v>
      </c>
      <c r="I11" t="s">
        <v>1265</v>
      </c>
      <c r="J11" t="s">
        <v>1271</v>
      </c>
      <c r="K11" t="s">
        <v>1272</v>
      </c>
      <c r="L11" t="s">
        <v>1295</v>
      </c>
      <c r="M11" t="s">
        <v>1296</v>
      </c>
      <c r="N11">
        <v>1</v>
      </c>
      <c r="O11" t="str">
        <f t="shared" si="3"/>
        <v>26</v>
      </c>
      <c r="Q11">
        <v>26</v>
      </c>
      <c r="R11" t="s">
        <v>1269</v>
      </c>
      <c r="S11">
        <v>0.2</v>
      </c>
      <c r="T11">
        <v>0.24879999999999999</v>
      </c>
      <c r="U11">
        <f t="shared" si="4"/>
        <v>0</v>
      </c>
      <c r="V11" t="str">
        <f t="shared" si="1"/>
        <v>High Health/
Related Services</v>
      </c>
      <c r="W11" t="str">
        <f t="shared" si="2"/>
        <v>Health/
Related Services</v>
      </c>
      <c r="Y11" s="88" t="s">
        <v>1286</v>
      </c>
      <c r="Z11" s="90"/>
      <c r="AA11" s="90"/>
      <c r="AB11" s="90">
        <v>101.33999999999997</v>
      </c>
      <c r="AC11" s="90"/>
      <c r="AD11" s="90"/>
      <c r="AE11" s="90">
        <v>0</v>
      </c>
      <c r="AF11" s="90">
        <v>101.33999999999997</v>
      </c>
      <c r="AG11" s="90"/>
      <c r="AI11" s="88" t="s">
        <v>1286</v>
      </c>
      <c r="AJ11" s="90">
        <v>0</v>
      </c>
      <c r="AK11" s="90">
        <f t="shared" si="6"/>
        <v>101.33999999999997</v>
      </c>
      <c r="AL11" s="90">
        <f t="shared" si="7"/>
        <v>0</v>
      </c>
      <c r="AM11" s="90">
        <f t="shared" si="8"/>
        <v>0</v>
      </c>
      <c r="AN11" s="90">
        <f t="shared" si="9"/>
        <v>101.33999999999997</v>
      </c>
      <c r="AP11" s="119" t="s">
        <v>1289</v>
      </c>
      <c r="AQ11" s="90">
        <v>400.18000000000012</v>
      </c>
      <c r="AR11" s="119" t="s">
        <v>1289</v>
      </c>
      <c r="AS11" s="90">
        <v>100.52700000000002</v>
      </c>
      <c r="AT11" s="119" t="s">
        <v>1331</v>
      </c>
      <c r="AU11" s="90">
        <v>107.14800000000001</v>
      </c>
      <c r="AV11" s="119" t="s">
        <v>1467</v>
      </c>
      <c r="AW11" s="90">
        <v>0.5</v>
      </c>
      <c r="AX11" s="119" t="s">
        <v>1454</v>
      </c>
      <c r="AY11" s="90">
        <v>0</v>
      </c>
      <c r="BA11" s="88" t="s">
        <v>1365</v>
      </c>
      <c r="BB11" s="90">
        <v>4.5110000000000001</v>
      </c>
      <c r="BC11" s="88" t="s">
        <v>1358</v>
      </c>
      <c r="BD11" s="90">
        <v>0.40200000000000002</v>
      </c>
      <c r="BE11" s="88" t="s">
        <v>1362</v>
      </c>
      <c r="BF11" s="90">
        <v>0.54</v>
      </c>
      <c r="BG11" s="88" t="s">
        <v>1461</v>
      </c>
      <c r="BH11" s="90">
        <v>0</v>
      </c>
      <c r="BI11" s="88" t="s">
        <v>1463</v>
      </c>
      <c r="BJ11" s="90">
        <v>0</v>
      </c>
      <c r="BM11" t="s">
        <v>1277</v>
      </c>
      <c r="BN11" t="s">
        <v>1311</v>
      </c>
      <c r="BO11" s="90">
        <v>42.279000000000011</v>
      </c>
      <c r="BQ11" t="str">
        <f t="shared" si="10"/>
        <v>47</v>
      </c>
      <c r="BR11" s="132" t="s">
        <v>918</v>
      </c>
      <c r="BS11">
        <v>7.0000000000000001E-3</v>
      </c>
      <c r="BT11" s="244" t="s">
        <v>1510</v>
      </c>
      <c r="BU11" s="34" t="s">
        <v>759</v>
      </c>
      <c r="BV11" t="s">
        <v>1335</v>
      </c>
      <c r="BW11">
        <v>0</v>
      </c>
      <c r="BY11" t="s">
        <v>1546</v>
      </c>
      <c r="BZ11" s="90">
        <v>402.81900000000002</v>
      </c>
      <c r="CB11" t="s">
        <v>746</v>
      </c>
      <c r="CC11" t="s">
        <v>681</v>
      </c>
      <c r="CD11" s="90">
        <v>63.311000000000007</v>
      </c>
      <c r="CE11" s="270">
        <v>40.805000000000007</v>
      </c>
      <c r="CF11" s="164">
        <f t="shared" si="5"/>
        <v>22.506</v>
      </c>
      <c r="CI11" t="s">
        <v>732</v>
      </c>
      <c r="CJ11" t="s">
        <v>1158</v>
      </c>
      <c r="CK11" s="90">
        <v>2.5619999999999998</v>
      </c>
    </row>
    <row r="12" spans="1:89" x14ac:dyDescent="0.25">
      <c r="A12">
        <v>1147</v>
      </c>
      <c r="B12" t="s">
        <v>1322</v>
      </c>
      <c r="C12">
        <v>0.25</v>
      </c>
      <c r="D12" t="s">
        <v>1264</v>
      </c>
      <c r="E12">
        <v>100192</v>
      </c>
      <c r="F12">
        <v>1147</v>
      </c>
      <c r="G12" t="str">
        <f t="shared" si="0"/>
        <v>01147</v>
      </c>
      <c r="H12" t="s">
        <v>306</v>
      </c>
      <c r="I12" t="s">
        <v>1265</v>
      </c>
      <c r="J12" t="s">
        <v>1266</v>
      </c>
      <c r="K12" t="s">
        <v>1267</v>
      </c>
      <c r="L12" t="s">
        <v>1322</v>
      </c>
      <c r="M12" t="s">
        <v>1323</v>
      </c>
      <c r="N12">
        <v>21</v>
      </c>
      <c r="O12" t="str">
        <f t="shared" si="3"/>
        <v>26</v>
      </c>
      <c r="Q12">
        <v>26</v>
      </c>
      <c r="R12" t="s">
        <v>1269</v>
      </c>
      <c r="S12">
        <v>0.25</v>
      </c>
      <c r="T12">
        <v>0.24879999999999999</v>
      </c>
      <c r="U12">
        <f t="shared" si="4"/>
        <v>6.2E-2</v>
      </c>
      <c r="V12" t="str">
        <f t="shared" si="1"/>
        <v>Middle Health/
Related Services</v>
      </c>
      <c r="W12" t="str">
        <f t="shared" si="2"/>
        <v>Health/
Related Services</v>
      </c>
      <c r="Y12" s="88" t="s">
        <v>1355</v>
      </c>
      <c r="Z12" s="90">
        <v>0</v>
      </c>
      <c r="AA12" s="90"/>
      <c r="AB12" s="90"/>
      <c r="AC12" s="90"/>
      <c r="AD12" s="90"/>
      <c r="AE12" s="90"/>
      <c r="AF12" s="90">
        <v>0</v>
      </c>
      <c r="AG12" s="90"/>
      <c r="AI12" s="88" t="s">
        <v>1355</v>
      </c>
      <c r="AJ12" s="90">
        <v>0</v>
      </c>
      <c r="AK12" s="90">
        <f t="shared" si="6"/>
        <v>0</v>
      </c>
      <c r="AL12" s="90">
        <f t="shared" si="7"/>
        <v>0</v>
      </c>
      <c r="AM12" s="90">
        <f t="shared" si="8"/>
        <v>0</v>
      </c>
      <c r="AN12" s="90">
        <f t="shared" si="9"/>
        <v>0</v>
      </c>
      <c r="AP12" s="119" t="s">
        <v>1329</v>
      </c>
      <c r="AQ12" s="90">
        <v>13.919999999999998</v>
      </c>
      <c r="AR12" s="119" t="s">
        <v>1329</v>
      </c>
      <c r="AS12" s="90">
        <v>3.403</v>
      </c>
      <c r="AT12" s="119" t="s">
        <v>1332</v>
      </c>
      <c r="AU12" s="90">
        <v>7.6520000000000019</v>
      </c>
      <c r="AV12" s="119" t="s">
        <v>1468</v>
      </c>
      <c r="AW12" s="90">
        <v>0</v>
      </c>
      <c r="AX12" s="119" t="s">
        <v>1455</v>
      </c>
      <c r="AY12" s="90">
        <v>0</v>
      </c>
      <c r="BA12" s="88" t="s">
        <v>1263</v>
      </c>
      <c r="BB12" s="90">
        <v>511.82899999999989</v>
      </c>
      <c r="BC12" s="88" t="s">
        <v>1284</v>
      </c>
      <c r="BD12" s="90">
        <v>4.1660000000000004</v>
      </c>
      <c r="BE12" s="88" t="s">
        <v>1363</v>
      </c>
      <c r="BF12" s="90">
        <v>22.510999999999996</v>
      </c>
      <c r="BG12" s="88" t="s">
        <v>1488</v>
      </c>
      <c r="BH12" s="90">
        <v>0</v>
      </c>
      <c r="BI12" s="88" t="s">
        <v>1475</v>
      </c>
      <c r="BJ12" s="90">
        <v>0.67700000000000005</v>
      </c>
      <c r="BM12" t="s">
        <v>1277</v>
      </c>
      <c r="BN12" t="s">
        <v>1315</v>
      </c>
      <c r="BO12" s="90">
        <v>155.46200000000005</v>
      </c>
      <c r="BQ12" t="str">
        <f t="shared" si="10"/>
        <v>48</v>
      </c>
      <c r="BR12" s="132" t="s">
        <v>919</v>
      </c>
      <c r="BS12">
        <v>8.0000000000000002E-3</v>
      </c>
      <c r="BT12" s="244" t="s">
        <v>1511</v>
      </c>
      <c r="BU12" s="34" t="s">
        <v>759</v>
      </c>
      <c r="BV12" t="s">
        <v>1337</v>
      </c>
      <c r="BW12">
        <v>0</v>
      </c>
      <c r="BY12" t="s">
        <v>1506</v>
      </c>
      <c r="BZ12" s="90">
        <v>14.083999999999998</v>
      </c>
      <c r="CB12" t="s">
        <v>745</v>
      </c>
      <c r="CC12" t="s">
        <v>723</v>
      </c>
      <c r="CD12" s="90">
        <v>136.64100000000002</v>
      </c>
      <c r="CE12" s="270">
        <v>157.25500000000011</v>
      </c>
      <c r="CF12" s="164">
        <f t="shared" si="5"/>
        <v>-20.61400000000009</v>
      </c>
      <c r="CI12" t="s">
        <v>733</v>
      </c>
      <c r="CJ12" t="s">
        <v>908</v>
      </c>
      <c r="CK12" s="90">
        <v>16.157</v>
      </c>
    </row>
    <row r="13" spans="1:89" x14ac:dyDescent="0.25">
      <c r="A13">
        <v>1147</v>
      </c>
      <c r="B13" t="s">
        <v>1291</v>
      </c>
      <c r="C13">
        <v>0.58099999999999996</v>
      </c>
      <c r="D13" t="s">
        <v>1264</v>
      </c>
      <c r="E13">
        <v>100192</v>
      </c>
      <c r="F13">
        <v>1147</v>
      </c>
      <c r="G13" t="str">
        <f t="shared" si="0"/>
        <v>01147</v>
      </c>
      <c r="H13" t="s">
        <v>306</v>
      </c>
      <c r="I13" t="s">
        <v>1265</v>
      </c>
      <c r="J13" t="s">
        <v>1266</v>
      </c>
      <c r="K13" t="s">
        <v>1267</v>
      </c>
      <c r="L13" t="s">
        <v>1291</v>
      </c>
      <c r="M13" t="s">
        <v>1292</v>
      </c>
      <c r="N13">
        <v>1</v>
      </c>
      <c r="O13" t="str">
        <f t="shared" si="3"/>
        <v>26</v>
      </c>
      <c r="Q13">
        <v>26</v>
      </c>
      <c r="R13" t="s">
        <v>1269</v>
      </c>
      <c r="S13">
        <v>0.58099999999999996</v>
      </c>
      <c r="T13">
        <v>0.24879999999999999</v>
      </c>
      <c r="U13">
        <f t="shared" si="4"/>
        <v>0</v>
      </c>
      <c r="V13" t="str">
        <f t="shared" si="1"/>
        <v>Middle Health/
Related Services</v>
      </c>
      <c r="W13" t="str">
        <f t="shared" si="2"/>
        <v>Health/
Related Services</v>
      </c>
      <c r="Y13" s="88" t="s">
        <v>1358</v>
      </c>
      <c r="Z13" s="90"/>
      <c r="AA13" s="90">
        <v>0.40200000000000002</v>
      </c>
      <c r="AB13" s="90"/>
      <c r="AC13" s="90"/>
      <c r="AD13" s="90"/>
      <c r="AE13" s="90"/>
      <c r="AF13" s="90">
        <v>0.40200000000000002</v>
      </c>
      <c r="AG13" s="90"/>
      <c r="AI13" s="88" t="s">
        <v>1358</v>
      </c>
      <c r="AJ13" s="90">
        <v>0</v>
      </c>
      <c r="AK13" s="90">
        <f t="shared" si="6"/>
        <v>0</v>
      </c>
      <c r="AL13" s="90">
        <f t="shared" si="7"/>
        <v>0</v>
      </c>
      <c r="AM13" s="90">
        <f t="shared" si="8"/>
        <v>0.40200000000000002</v>
      </c>
      <c r="AN13" s="90">
        <f t="shared" si="9"/>
        <v>0.40200000000000002</v>
      </c>
      <c r="AP13" s="119" t="s">
        <v>1294</v>
      </c>
      <c r="AQ13" s="90">
        <v>1020.7279999999997</v>
      </c>
      <c r="AR13" s="119" t="s">
        <v>1294</v>
      </c>
      <c r="AS13" s="90">
        <v>257.78899999999987</v>
      </c>
      <c r="AT13" s="119" t="s">
        <v>1333</v>
      </c>
      <c r="AU13" s="90">
        <v>33.662999999999997</v>
      </c>
      <c r="AV13" s="119" t="s">
        <v>1469</v>
      </c>
      <c r="AW13" s="90">
        <v>0.32100000000000001</v>
      </c>
      <c r="AX13" s="119" t="s">
        <v>1456</v>
      </c>
      <c r="AY13" s="90">
        <v>0</v>
      </c>
      <c r="BA13" s="88" t="s">
        <v>1289</v>
      </c>
      <c r="BB13" s="90">
        <v>400.18000000000006</v>
      </c>
      <c r="BC13" s="88" t="s">
        <v>1473</v>
      </c>
      <c r="BD13" s="90">
        <v>0</v>
      </c>
      <c r="BE13" s="88" t="s">
        <v>1474</v>
      </c>
      <c r="BF13" s="90">
        <v>3.391</v>
      </c>
      <c r="BG13" s="88" t="s">
        <v>1501</v>
      </c>
      <c r="BH13" s="90">
        <v>0</v>
      </c>
      <c r="BI13" s="88" t="s">
        <v>1489</v>
      </c>
      <c r="BJ13" s="90">
        <v>0</v>
      </c>
      <c r="BM13" t="s">
        <v>1277</v>
      </c>
      <c r="BN13" t="s">
        <v>1319</v>
      </c>
      <c r="BO13" s="90">
        <v>13.083999999999998</v>
      </c>
      <c r="BQ13" t="str">
        <f t="shared" si="10"/>
        <v>49</v>
      </c>
      <c r="BR13" s="132" t="s">
        <v>920</v>
      </c>
      <c r="BS13">
        <v>8.9999999999999993E-3</v>
      </c>
      <c r="BT13" s="244" t="s">
        <v>1512</v>
      </c>
      <c r="BU13" s="34" t="s">
        <v>759</v>
      </c>
      <c r="BV13" t="s">
        <v>1343</v>
      </c>
      <c r="BW13">
        <v>0</v>
      </c>
      <c r="BY13" t="s">
        <v>1511</v>
      </c>
      <c r="BZ13" s="90">
        <v>138.98599999999999</v>
      </c>
      <c r="CB13" t="s">
        <v>737</v>
      </c>
      <c r="CC13" t="s">
        <v>727</v>
      </c>
      <c r="CD13" s="90">
        <v>123.92599999999999</v>
      </c>
      <c r="CE13" s="270">
        <v>113.33399999999996</v>
      </c>
      <c r="CF13" s="164">
        <f t="shared" si="5"/>
        <v>10.592000000000027</v>
      </c>
      <c r="CI13" t="s">
        <v>1159</v>
      </c>
      <c r="CJ13" t="s">
        <v>1058</v>
      </c>
      <c r="CK13" s="90">
        <v>2.113</v>
      </c>
    </row>
    <row r="14" spans="1:89" x14ac:dyDescent="0.25">
      <c r="A14">
        <v>1147</v>
      </c>
      <c r="B14" t="s">
        <v>1402</v>
      </c>
      <c r="C14">
        <v>1.84</v>
      </c>
      <c r="D14" t="s">
        <v>1264</v>
      </c>
      <c r="E14">
        <v>100192</v>
      </c>
      <c r="F14">
        <v>1147</v>
      </c>
      <c r="G14" t="str">
        <f t="shared" si="0"/>
        <v>01147</v>
      </c>
      <c r="H14" t="s">
        <v>306</v>
      </c>
      <c r="I14" t="s">
        <v>1265</v>
      </c>
      <c r="J14" t="s">
        <v>1271</v>
      </c>
      <c r="K14" t="s">
        <v>1272</v>
      </c>
      <c r="L14" t="s">
        <v>1402</v>
      </c>
      <c r="M14" t="s">
        <v>1408</v>
      </c>
      <c r="N14">
        <v>97</v>
      </c>
      <c r="O14" t="str">
        <f t="shared" si="3"/>
        <v>35</v>
      </c>
      <c r="Q14">
        <v>35</v>
      </c>
      <c r="R14" t="s">
        <v>1269</v>
      </c>
      <c r="S14">
        <v>1.84</v>
      </c>
      <c r="T14">
        <v>0.24879999999999999</v>
      </c>
      <c r="U14">
        <f t="shared" si="4"/>
        <v>0</v>
      </c>
      <c r="V14" t="str">
        <f t="shared" si="1"/>
        <v>High Pupil Safety</v>
      </c>
      <c r="W14" t="str">
        <f t="shared" si="2"/>
        <v>Pupil Safety</v>
      </c>
      <c r="Y14" s="88" t="s">
        <v>1284</v>
      </c>
      <c r="Z14" s="90"/>
      <c r="AA14" s="90"/>
      <c r="AB14" s="90">
        <v>4.1659999999999995</v>
      </c>
      <c r="AC14" s="90"/>
      <c r="AD14" s="90"/>
      <c r="AE14" s="90">
        <v>0</v>
      </c>
      <c r="AF14" s="90">
        <v>4.1659999999999995</v>
      </c>
      <c r="AG14" s="90"/>
      <c r="AI14" s="88" t="s">
        <v>1284</v>
      </c>
      <c r="AJ14" s="90">
        <v>0</v>
      </c>
      <c r="AK14" s="90">
        <f t="shared" si="6"/>
        <v>4.1659999999999995</v>
      </c>
      <c r="AL14" s="90">
        <f t="shared" si="7"/>
        <v>0</v>
      </c>
      <c r="AM14" s="90">
        <f t="shared" si="8"/>
        <v>0</v>
      </c>
      <c r="AN14" s="90">
        <f t="shared" si="9"/>
        <v>4.1659999999999995</v>
      </c>
      <c r="AO14" s="90"/>
      <c r="AP14" s="119" t="s">
        <v>1298</v>
      </c>
      <c r="AQ14" s="90">
        <v>533.83000000000015</v>
      </c>
      <c r="AR14" s="119" t="s">
        <v>1298</v>
      </c>
      <c r="AS14" s="90">
        <v>135.14700000000011</v>
      </c>
      <c r="AT14" s="119" t="s">
        <v>1335</v>
      </c>
      <c r="AU14" s="90">
        <v>365.64900000000006</v>
      </c>
      <c r="AV14" s="119" t="s">
        <v>1470</v>
      </c>
      <c r="AW14" s="90">
        <v>0</v>
      </c>
      <c r="AX14" s="119" t="s">
        <v>1457</v>
      </c>
      <c r="AY14" s="90">
        <v>0</v>
      </c>
      <c r="BA14" s="88" t="s">
        <v>1328</v>
      </c>
      <c r="BB14" s="90">
        <v>2.6389999999999998</v>
      </c>
      <c r="BC14" s="88" t="s">
        <v>753</v>
      </c>
      <c r="BD14" s="90">
        <v>123.92600000000003</v>
      </c>
      <c r="BE14" s="88" t="s">
        <v>753</v>
      </c>
      <c r="BF14" s="90">
        <v>1445.4090000000001</v>
      </c>
      <c r="BG14" s="88" t="s">
        <v>753</v>
      </c>
      <c r="BH14" s="90">
        <v>1169.326</v>
      </c>
      <c r="BI14" s="88" t="s">
        <v>753</v>
      </c>
      <c r="BJ14" s="90">
        <v>322.74600000000004</v>
      </c>
      <c r="BM14" t="s">
        <v>1277</v>
      </c>
      <c r="BN14" t="s">
        <v>1321</v>
      </c>
      <c r="BO14" s="90">
        <v>7.4440000000000008</v>
      </c>
      <c r="BQ14" t="str">
        <f t="shared" si="10"/>
        <v>64</v>
      </c>
      <c r="BR14" s="132" t="s">
        <v>921</v>
      </c>
      <c r="BS14">
        <v>0.01</v>
      </c>
      <c r="BT14" s="244" t="s">
        <v>1513</v>
      </c>
      <c r="BU14" s="34" t="s">
        <v>759</v>
      </c>
      <c r="BV14" t="s">
        <v>1347</v>
      </c>
      <c r="BW14">
        <v>0</v>
      </c>
      <c r="BY14" t="s">
        <v>1549</v>
      </c>
      <c r="BZ14" s="90">
        <v>567.49300000000005</v>
      </c>
      <c r="CB14" t="s">
        <v>732</v>
      </c>
      <c r="CC14" t="s">
        <v>1158</v>
      </c>
      <c r="CD14" s="90">
        <v>1445.4090000000008</v>
      </c>
      <c r="CE14" s="270">
        <v>1465.9660000000001</v>
      </c>
      <c r="CF14" s="164">
        <f t="shared" si="5"/>
        <v>-20.556999999999334</v>
      </c>
      <c r="CI14" t="s">
        <v>753</v>
      </c>
      <c r="CK14" s="90">
        <v>67.434999999999988</v>
      </c>
    </row>
    <row r="15" spans="1:89" x14ac:dyDescent="0.25">
      <c r="A15">
        <v>1147</v>
      </c>
      <c r="B15" t="s">
        <v>1378</v>
      </c>
      <c r="C15">
        <v>1.3009999999999999</v>
      </c>
      <c r="D15" t="s">
        <v>1264</v>
      </c>
      <c r="E15">
        <v>100192</v>
      </c>
      <c r="F15">
        <v>1147</v>
      </c>
      <c r="G15" t="str">
        <f t="shared" si="0"/>
        <v>01147</v>
      </c>
      <c r="H15" t="s">
        <v>306</v>
      </c>
      <c r="I15" t="s">
        <v>1265</v>
      </c>
      <c r="J15" t="s">
        <v>1266</v>
      </c>
      <c r="K15" t="s">
        <v>1267</v>
      </c>
      <c r="L15" t="s">
        <v>1378</v>
      </c>
      <c r="M15" t="s">
        <v>1407</v>
      </c>
      <c r="N15">
        <v>97</v>
      </c>
      <c r="O15" t="str">
        <f t="shared" si="3"/>
        <v>35</v>
      </c>
      <c r="Q15">
        <v>35</v>
      </c>
      <c r="R15" t="s">
        <v>1269</v>
      </c>
      <c r="S15">
        <v>1.3009999999999999</v>
      </c>
      <c r="T15">
        <v>0.24879999999999999</v>
      </c>
      <c r="U15">
        <f t="shared" si="4"/>
        <v>0</v>
      </c>
      <c r="V15" t="str">
        <f t="shared" si="1"/>
        <v>Middle Pupil Safety</v>
      </c>
      <c r="W15" t="str">
        <f t="shared" si="2"/>
        <v>Pupil Safety</v>
      </c>
      <c r="Y15" s="88" t="s">
        <v>1474</v>
      </c>
      <c r="Z15" s="90"/>
      <c r="AA15" s="90"/>
      <c r="AB15" s="90"/>
      <c r="AC15" s="90">
        <v>3.3909999999999996</v>
      </c>
      <c r="AD15" s="90">
        <v>0</v>
      </c>
      <c r="AE15" s="90"/>
      <c r="AF15" s="90">
        <v>3.3909999999999996</v>
      </c>
      <c r="AG15" s="90"/>
      <c r="AI15" s="88" t="s">
        <v>1474</v>
      </c>
      <c r="AJ15" s="90">
        <v>0</v>
      </c>
      <c r="AK15" s="90">
        <f t="shared" si="6"/>
        <v>0</v>
      </c>
      <c r="AL15" s="90">
        <f t="shared" si="7"/>
        <v>3.3909999999999996</v>
      </c>
      <c r="AM15" s="90">
        <f t="shared" si="8"/>
        <v>0</v>
      </c>
      <c r="AN15" s="90">
        <f t="shared" si="9"/>
        <v>3.3909999999999996</v>
      </c>
      <c r="AO15" s="90">
        <f>SUM(AN15:AN24)</f>
        <v>1319.3720000000003</v>
      </c>
      <c r="AP15" s="119" t="s">
        <v>1334</v>
      </c>
      <c r="AQ15" s="90">
        <v>12.874000000000001</v>
      </c>
      <c r="AR15" s="119" t="s">
        <v>1334</v>
      </c>
      <c r="AS15" s="90">
        <v>3.0509999999999993</v>
      </c>
      <c r="AT15" s="119" t="s">
        <v>1337</v>
      </c>
      <c r="AU15" s="90">
        <v>1.0650000000000002</v>
      </c>
      <c r="AV15" s="119" t="s">
        <v>1471</v>
      </c>
      <c r="AW15" s="90">
        <v>0</v>
      </c>
      <c r="AX15" s="119" t="s">
        <v>1458</v>
      </c>
      <c r="AY15" s="90">
        <v>0</v>
      </c>
      <c r="BA15" s="88" t="s">
        <v>1387</v>
      </c>
      <c r="BB15" s="90">
        <v>97.703000000000003</v>
      </c>
      <c r="BD15" s="90">
        <v>110.752</v>
      </c>
      <c r="BH15" s="90">
        <v>1089.8109999999999</v>
      </c>
      <c r="BJ15" s="90">
        <v>189.12200000000001</v>
      </c>
      <c r="BM15" t="s">
        <v>1277</v>
      </c>
      <c r="BN15" t="s">
        <v>1275</v>
      </c>
      <c r="BO15" s="90">
        <v>1076.1329999999996</v>
      </c>
      <c r="BQ15" t="str">
        <f t="shared" si="10"/>
        <v>24</v>
      </c>
      <c r="BR15" s="132" t="s">
        <v>922</v>
      </c>
      <c r="BS15">
        <v>1.0999999999999999E-2</v>
      </c>
      <c r="BT15" s="244" t="s">
        <v>1551</v>
      </c>
      <c r="BU15" s="34" t="s">
        <v>759</v>
      </c>
      <c r="BV15" t="s">
        <v>1297</v>
      </c>
      <c r="BW15">
        <v>0</v>
      </c>
      <c r="BY15" t="s">
        <v>1552</v>
      </c>
      <c r="BZ15" s="90">
        <v>178.95600000000002</v>
      </c>
      <c r="CB15" t="s">
        <v>733</v>
      </c>
      <c r="CC15" t="s">
        <v>908</v>
      </c>
      <c r="CD15" s="90">
        <v>1169.3260000000002</v>
      </c>
      <c r="CE15" s="270">
        <v>1088.2860000000005</v>
      </c>
      <c r="CF15" s="164">
        <f t="shared" si="5"/>
        <v>81.039999999999736</v>
      </c>
    </row>
    <row r="16" spans="1:89" x14ac:dyDescent="0.25">
      <c r="A16">
        <v>1147</v>
      </c>
      <c r="B16" t="s">
        <v>1319</v>
      </c>
      <c r="C16">
        <v>1</v>
      </c>
      <c r="D16" t="s">
        <v>1264</v>
      </c>
      <c r="E16">
        <v>100192</v>
      </c>
      <c r="F16">
        <v>1147</v>
      </c>
      <c r="G16" t="str">
        <f t="shared" si="0"/>
        <v>01147</v>
      </c>
      <c r="H16" t="s">
        <v>306</v>
      </c>
      <c r="I16" t="s">
        <v>1265</v>
      </c>
      <c r="J16" t="s">
        <v>1276</v>
      </c>
      <c r="K16" t="s">
        <v>1277</v>
      </c>
      <c r="L16" t="s">
        <v>1319</v>
      </c>
      <c r="M16" t="s">
        <v>1426</v>
      </c>
      <c r="N16">
        <v>21</v>
      </c>
      <c r="O16" t="str">
        <f t="shared" si="3"/>
        <v>39</v>
      </c>
      <c r="P16">
        <v>39</v>
      </c>
      <c r="R16" t="s">
        <v>1269</v>
      </c>
      <c r="S16">
        <v>1</v>
      </c>
      <c r="T16">
        <v>0.24879999999999999</v>
      </c>
      <c r="U16">
        <f t="shared" si="4"/>
        <v>0.249</v>
      </c>
      <c r="V16" t="str">
        <f t="shared" si="1"/>
        <v>Elementary Orientation &amp; Mobility Specialist</v>
      </c>
      <c r="W16" t="str">
        <f t="shared" si="2"/>
        <v>Orientation &amp; Mobility Specialist</v>
      </c>
      <c r="Y16" s="88" t="s">
        <v>1301</v>
      </c>
      <c r="Z16" s="90">
        <v>6.5350000000000001</v>
      </c>
      <c r="AA16" s="90"/>
      <c r="AB16" s="90"/>
      <c r="AC16" s="90"/>
      <c r="AD16" s="90"/>
      <c r="AE16" s="90"/>
      <c r="AF16" s="90">
        <v>6.5350000000000001</v>
      </c>
      <c r="AG16" s="90"/>
      <c r="AI16" s="88" t="s">
        <v>1301</v>
      </c>
      <c r="AJ16" s="90">
        <v>1.405</v>
      </c>
      <c r="AK16" s="90">
        <f t="shared" si="6"/>
        <v>0</v>
      </c>
      <c r="AL16" s="90">
        <f t="shared" si="7"/>
        <v>0</v>
      </c>
      <c r="AM16" s="90">
        <f t="shared" si="8"/>
        <v>0</v>
      </c>
      <c r="AN16" s="90">
        <f t="shared" si="9"/>
        <v>1.405</v>
      </c>
      <c r="AO16" t="e">
        <f>#REF!</f>
        <v>#REF!</v>
      </c>
      <c r="AP16" s="119" t="s">
        <v>1302</v>
      </c>
      <c r="AQ16" s="90">
        <v>137.92099999999999</v>
      </c>
      <c r="AR16" s="119" t="s">
        <v>1302</v>
      </c>
      <c r="AS16" s="90">
        <v>35.340000000000003</v>
      </c>
      <c r="AT16" s="119" t="s">
        <v>1343</v>
      </c>
      <c r="AU16" s="90">
        <v>9.3689999999999998</v>
      </c>
      <c r="AV16" s="119" t="s">
        <v>1472</v>
      </c>
      <c r="AW16" s="90">
        <v>0.36</v>
      </c>
      <c r="AX16" s="119" t="s">
        <v>1459</v>
      </c>
      <c r="AY16" s="90">
        <v>0</v>
      </c>
      <c r="BA16" s="88" t="s">
        <v>1388</v>
      </c>
      <c r="BB16" s="90">
        <v>0.80800000000000005</v>
      </c>
      <c r="BD16" s="90">
        <f>BD15-BD14</f>
        <v>-13.174000000000035</v>
      </c>
      <c r="BH16" s="90">
        <f>BH15-BH14</f>
        <v>-79.5150000000001</v>
      </c>
      <c r="BJ16" s="90">
        <f>BJ15-BJ14</f>
        <v>-133.62400000000002</v>
      </c>
      <c r="BM16" t="s">
        <v>1277</v>
      </c>
      <c r="BN16" t="s">
        <v>1289</v>
      </c>
      <c r="BO16" s="90">
        <v>400.18</v>
      </c>
      <c r="BQ16" t="str">
        <f t="shared" si="10"/>
        <v>25</v>
      </c>
      <c r="BR16" s="132" t="s">
        <v>923</v>
      </c>
      <c r="BS16">
        <v>1.2E-2</v>
      </c>
      <c r="BT16" s="245" t="s">
        <v>1552</v>
      </c>
      <c r="BU16" s="34" t="s">
        <v>759</v>
      </c>
      <c r="BV16" t="s">
        <v>1308</v>
      </c>
      <c r="BW16">
        <v>0</v>
      </c>
      <c r="BY16" t="s">
        <v>1515</v>
      </c>
      <c r="BZ16" s="90">
        <v>5.4630000000000001</v>
      </c>
      <c r="CB16" t="s">
        <v>1159</v>
      </c>
      <c r="CC16" t="s">
        <v>1058</v>
      </c>
      <c r="CD16" s="90">
        <v>322.74599999999998</v>
      </c>
      <c r="CE16" s="270">
        <v>191.83000000000004</v>
      </c>
      <c r="CF16" s="164">
        <f>CD16-CE16</f>
        <v>130.91599999999994</v>
      </c>
    </row>
    <row r="17" spans="1:84" x14ac:dyDescent="0.25">
      <c r="A17">
        <v>1147</v>
      </c>
      <c r="B17" t="s">
        <v>1275</v>
      </c>
      <c r="C17">
        <v>1.8</v>
      </c>
      <c r="D17" t="s">
        <v>1264</v>
      </c>
      <c r="E17">
        <v>100192</v>
      </c>
      <c r="F17">
        <v>1147</v>
      </c>
      <c r="G17" t="str">
        <f t="shared" si="0"/>
        <v>01147</v>
      </c>
      <c r="H17" t="s">
        <v>306</v>
      </c>
      <c r="I17" t="s">
        <v>1265</v>
      </c>
      <c r="J17" t="s">
        <v>1276</v>
      </c>
      <c r="K17" t="s">
        <v>1277</v>
      </c>
      <c r="L17" t="s">
        <v>1275</v>
      </c>
      <c r="M17" t="s">
        <v>1278</v>
      </c>
      <c r="N17">
        <v>1</v>
      </c>
      <c r="O17" t="str">
        <f t="shared" si="3"/>
        <v>42</v>
      </c>
      <c r="P17">
        <v>42</v>
      </c>
      <c r="R17" t="s">
        <v>1269</v>
      </c>
      <c r="S17">
        <v>1.8</v>
      </c>
      <c r="T17">
        <v>0.24879999999999999</v>
      </c>
      <c r="U17">
        <f t="shared" si="4"/>
        <v>0</v>
      </c>
      <c r="V17" t="str">
        <f t="shared" si="1"/>
        <v>Elementary Counselor</v>
      </c>
      <c r="W17" t="str">
        <f t="shared" si="2"/>
        <v>Counselor</v>
      </c>
      <c r="Y17" s="88" t="s">
        <v>1305</v>
      </c>
      <c r="Z17" s="90"/>
      <c r="AA17" s="90">
        <v>3.4219999999999997</v>
      </c>
      <c r="AB17" s="90"/>
      <c r="AC17" s="90"/>
      <c r="AD17" s="90"/>
      <c r="AE17" s="90"/>
      <c r="AF17" s="90">
        <v>3.4219999999999997</v>
      </c>
      <c r="AG17" s="90"/>
      <c r="AI17" s="88" t="s">
        <v>1305</v>
      </c>
      <c r="AJ17" s="90">
        <v>0</v>
      </c>
      <c r="AK17" s="90">
        <f t="shared" si="6"/>
        <v>0</v>
      </c>
      <c r="AL17" s="90">
        <f t="shared" si="7"/>
        <v>0</v>
      </c>
      <c r="AM17" s="90">
        <f t="shared" si="8"/>
        <v>3.4219999999999997</v>
      </c>
      <c r="AN17" s="90">
        <f t="shared" si="9"/>
        <v>3.4219999999999997</v>
      </c>
      <c r="AO17" s="261" t="e">
        <f>SUM(AO15:AO16)</f>
        <v>#REF!</v>
      </c>
      <c r="AP17" s="119" t="s">
        <v>1340</v>
      </c>
      <c r="AQ17" s="90">
        <v>25.277999999999995</v>
      </c>
      <c r="AR17" s="119" t="s">
        <v>1340</v>
      </c>
      <c r="AS17" s="90">
        <v>6.0819999999999999</v>
      </c>
      <c r="AT17" s="119" t="s">
        <v>1347</v>
      </c>
      <c r="AU17" s="90">
        <v>1.4039999999999999</v>
      </c>
      <c r="AV17" s="119" t="s">
        <v>1473</v>
      </c>
      <c r="AW17" s="90">
        <v>0</v>
      </c>
      <c r="AX17" s="119" t="s">
        <v>1460</v>
      </c>
      <c r="AY17" s="90">
        <v>0</v>
      </c>
      <c r="BA17" s="88" t="s">
        <v>1303</v>
      </c>
      <c r="BB17" s="90">
        <v>62.614000000000019</v>
      </c>
      <c r="BM17" t="s">
        <v>1277</v>
      </c>
      <c r="BN17" t="s">
        <v>1328</v>
      </c>
      <c r="BO17" s="90">
        <v>2.6389999999999998</v>
      </c>
      <c r="BQ17" t="str">
        <f t="shared" si="10"/>
        <v>26</v>
      </c>
      <c r="BR17" s="132" t="s">
        <v>924</v>
      </c>
      <c r="BS17">
        <v>1.2999999999999999E-2</v>
      </c>
      <c r="BT17" s="244" t="s">
        <v>1514</v>
      </c>
      <c r="BU17" s="34" t="s">
        <v>759</v>
      </c>
      <c r="BV17" t="s">
        <v>1315</v>
      </c>
      <c r="BW17">
        <v>0</v>
      </c>
      <c r="BY17" t="s">
        <v>1508</v>
      </c>
      <c r="BZ17" s="90">
        <v>121.068</v>
      </c>
      <c r="CB17" t="s">
        <v>1098</v>
      </c>
      <c r="CC17" t="s">
        <v>1098</v>
      </c>
      <c r="CD17" s="90"/>
      <c r="CF17" s="164"/>
    </row>
    <row r="18" spans="1:84" x14ac:dyDescent="0.25">
      <c r="A18">
        <v>1147</v>
      </c>
      <c r="B18" t="s">
        <v>1270</v>
      </c>
      <c r="C18">
        <v>2.5299999999999998</v>
      </c>
      <c r="D18" t="s">
        <v>1264</v>
      </c>
      <c r="E18">
        <v>100192</v>
      </c>
      <c r="F18">
        <v>1147</v>
      </c>
      <c r="G18" t="str">
        <f t="shared" si="0"/>
        <v>01147</v>
      </c>
      <c r="H18" t="s">
        <v>306</v>
      </c>
      <c r="I18" t="s">
        <v>1265</v>
      </c>
      <c r="J18" t="s">
        <v>1271</v>
      </c>
      <c r="K18" t="s">
        <v>1272</v>
      </c>
      <c r="L18" t="s">
        <v>1270</v>
      </c>
      <c r="M18" t="s">
        <v>1273</v>
      </c>
      <c r="N18">
        <v>1</v>
      </c>
      <c r="O18" t="str">
        <f t="shared" si="3"/>
        <v>42</v>
      </c>
      <c r="P18">
        <v>42</v>
      </c>
      <c r="R18" t="s">
        <v>1269</v>
      </c>
      <c r="S18">
        <v>2.5299999999999998</v>
      </c>
      <c r="T18">
        <v>0.24879999999999999</v>
      </c>
      <c r="U18">
        <f t="shared" si="4"/>
        <v>0</v>
      </c>
      <c r="V18" t="str">
        <f t="shared" si="1"/>
        <v>High Counselor</v>
      </c>
      <c r="W18" t="str">
        <f t="shared" si="2"/>
        <v>Counselor</v>
      </c>
      <c r="Y18" s="88" t="s">
        <v>1308</v>
      </c>
      <c r="Z18" s="90"/>
      <c r="AA18" s="90"/>
      <c r="AB18" s="90">
        <v>168.99900000000005</v>
      </c>
      <c r="AC18" s="90"/>
      <c r="AD18" s="90"/>
      <c r="AE18" s="90">
        <v>0</v>
      </c>
      <c r="AF18" s="90">
        <v>168.99900000000005</v>
      </c>
      <c r="AG18" s="90"/>
      <c r="AI18" s="88" t="s">
        <v>1308</v>
      </c>
      <c r="AJ18" s="90">
        <v>0</v>
      </c>
      <c r="AK18" s="90">
        <f t="shared" si="6"/>
        <v>168.99900000000005</v>
      </c>
      <c r="AL18" s="90">
        <f t="shared" si="7"/>
        <v>0</v>
      </c>
      <c r="AM18" s="90">
        <f t="shared" si="8"/>
        <v>0</v>
      </c>
      <c r="AN18" s="90">
        <f t="shared" si="9"/>
        <v>168.99900000000005</v>
      </c>
      <c r="AP18" s="119" t="s">
        <v>1306</v>
      </c>
      <c r="AQ18" s="90">
        <v>91.366</v>
      </c>
      <c r="AR18" s="119" t="s">
        <v>1306</v>
      </c>
      <c r="AS18" s="90">
        <v>22.902999999999999</v>
      </c>
      <c r="AT18" s="119" t="s">
        <v>1350</v>
      </c>
      <c r="AU18" s="90">
        <v>4.2630000000000008</v>
      </c>
      <c r="AV18" s="119" t="s">
        <v>1474</v>
      </c>
      <c r="AW18" s="90">
        <v>3.391</v>
      </c>
      <c r="AX18" s="119" t="s">
        <v>1461</v>
      </c>
      <c r="AY18" s="90">
        <v>0</v>
      </c>
      <c r="BA18" s="88" t="s">
        <v>1368</v>
      </c>
      <c r="BB18" s="90">
        <v>0.379</v>
      </c>
      <c r="BM18" t="s">
        <v>1277</v>
      </c>
      <c r="BN18" t="s">
        <v>1329</v>
      </c>
      <c r="BO18" s="90">
        <v>13.920000000000002</v>
      </c>
      <c r="BQ18" t="str">
        <f t="shared" si="10"/>
        <v>35</v>
      </c>
      <c r="BR18" s="209" t="s">
        <v>1160</v>
      </c>
      <c r="BS18">
        <v>1.4E-2</v>
      </c>
      <c r="BT18" s="245" t="s">
        <v>1515</v>
      </c>
      <c r="BU18" s="34" t="s">
        <v>759</v>
      </c>
      <c r="BV18" t="s">
        <v>1350</v>
      </c>
      <c r="BW18">
        <v>0</v>
      </c>
      <c r="BY18" t="s">
        <v>1509</v>
      </c>
      <c r="BZ18" s="90">
        <v>1028.3799999999999</v>
      </c>
      <c r="CB18" t="s">
        <v>753</v>
      </c>
      <c r="CD18" s="90">
        <v>9874.1679999999978</v>
      </c>
      <c r="CE18" s="260">
        <f>SUM(CE3:CE16)</f>
        <v>9481.5569999999989</v>
      </c>
      <c r="CF18" s="164">
        <f>CD18-CE18</f>
        <v>392.61099999999897</v>
      </c>
    </row>
    <row r="19" spans="1:84" x14ac:dyDescent="0.25">
      <c r="A19">
        <v>1147</v>
      </c>
      <c r="B19" t="s">
        <v>1263</v>
      </c>
      <c r="C19">
        <v>2.25</v>
      </c>
      <c r="D19" t="s">
        <v>1264</v>
      </c>
      <c r="E19">
        <v>100192</v>
      </c>
      <c r="F19">
        <v>1147</v>
      </c>
      <c r="G19" t="str">
        <f t="shared" si="0"/>
        <v>01147</v>
      </c>
      <c r="H19" t="s">
        <v>306</v>
      </c>
      <c r="I19" t="s">
        <v>1265</v>
      </c>
      <c r="J19" t="s">
        <v>1266</v>
      </c>
      <c r="K19" t="s">
        <v>1267</v>
      </c>
      <c r="L19" t="s">
        <v>1263</v>
      </c>
      <c r="M19" t="s">
        <v>1268</v>
      </c>
      <c r="N19">
        <v>1</v>
      </c>
      <c r="O19" t="str">
        <f t="shared" si="3"/>
        <v>42</v>
      </c>
      <c r="P19">
        <v>42</v>
      </c>
      <c r="R19" t="s">
        <v>1269</v>
      </c>
      <c r="S19">
        <v>2.25</v>
      </c>
      <c r="T19">
        <v>0.24879999999999999</v>
      </c>
      <c r="U19">
        <f t="shared" si="4"/>
        <v>0</v>
      </c>
      <c r="V19" t="str">
        <f t="shared" si="1"/>
        <v>Middle Counselor</v>
      </c>
      <c r="W19" t="str">
        <f t="shared" si="2"/>
        <v>Counselor</v>
      </c>
      <c r="Y19" s="88" t="s">
        <v>1383</v>
      </c>
      <c r="Z19" s="90">
        <v>162.89399999999989</v>
      </c>
      <c r="AA19" s="90"/>
      <c r="AB19" s="90"/>
      <c r="AC19" s="90"/>
      <c r="AD19" s="90"/>
      <c r="AE19" s="90"/>
      <c r="AF19" s="90">
        <v>162.89399999999989</v>
      </c>
      <c r="AG19" s="90"/>
      <c r="AI19" s="88" t="s">
        <v>1383</v>
      </c>
      <c r="AJ19" s="90">
        <v>43.091999999999999</v>
      </c>
      <c r="AK19" s="90">
        <f t="shared" si="6"/>
        <v>0</v>
      </c>
      <c r="AL19" s="90">
        <f t="shared" si="7"/>
        <v>0</v>
      </c>
      <c r="AM19" s="90">
        <f t="shared" si="8"/>
        <v>0</v>
      </c>
      <c r="AN19" s="90">
        <f t="shared" si="9"/>
        <v>43.091999999999999</v>
      </c>
      <c r="AP19" s="119" t="s">
        <v>1463</v>
      </c>
      <c r="AQ19" s="90">
        <v>0</v>
      </c>
      <c r="AR19" s="119" t="s">
        <v>1463</v>
      </c>
      <c r="AS19" s="90">
        <v>0</v>
      </c>
      <c r="AT19" s="119" t="s">
        <v>1450</v>
      </c>
      <c r="AU19" s="90">
        <v>1</v>
      </c>
      <c r="AV19" s="119" t="s">
        <v>1475</v>
      </c>
      <c r="AW19" s="90">
        <v>0.67700000000000005</v>
      </c>
      <c r="AX19" s="119" t="s">
        <v>1462</v>
      </c>
      <c r="AY19" s="90">
        <v>1.2</v>
      </c>
      <c r="BA19" s="88" t="s">
        <v>1329</v>
      </c>
      <c r="BB19" s="90">
        <v>13.920000000000002</v>
      </c>
      <c r="BM19" t="s">
        <v>1277</v>
      </c>
      <c r="BN19" t="s">
        <v>1331</v>
      </c>
      <c r="BO19" s="90">
        <v>107.14800000000001</v>
      </c>
      <c r="BQ19" t="str">
        <f t="shared" si="10"/>
        <v>39</v>
      </c>
      <c r="BR19" s="133" t="s">
        <v>951</v>
      </c>
      <c r="BS19">
        <v>1.4999999999999999E-2</v>
      </c>
      <c r="BT19" s="246" t="s">
        <v>1506</v>
      </c>
      <c r="BU19" s="34" t="s">
        <v>759</v>
      </c>
      <c r="BV19" t="s">
        <v>1451</v>
      </c>
      <c r="BW19">
        <v>0</v>
      </c>
      <c r="BY19" t="s">
        <v>1540</v>
      </c>
      <c r="BZ19" s="90">
        <v>21.3</v>
      </c>
    </row>
    <row r="20" spans="1:84" x14ac:dyDescent="0.25">
      <c r="A20">
        <v>1147</v>
      </c>
      <c r="B20" t="s">
        <v>1289</v>
      </c>
      <c r="C20">
        <v>0.75</v>
      </c>
      <c r="D20" t="s">
        <v>1264</v>
      </c>
      <c r="E20">
        <v>100192</v>
      </c>
      <c r="F20">
        <v>1147</v>
      </c>
      <c r="G20" t="str">
        <f t="shared" si="0"/>
        <v>01147</v>
      </c>
      <c r="H20" t="s">
        <v>306</v>
      </c>
      <c r="I20" t="s">
        <v>1265</v>
      </c>
      <c r="J20" t="s">
        <v>1276</v>
      </c>
      <c r="K20" t="s">
        <v>1277</v>
      </c>
      <c r="L20" t="s">
        <v>1289</v>
      </c>
      <c r="M20" t="s">
        <v>1307</v>
      </c>
      <c r="N20">
        <v>21</v>
      </c>
      <c r="O20" t="str">
        <f t="shared" si="3"/>
        <v>43</v>
      </c>
      <c r="P20">
        <v>43</v>
      </c>
      <c r="R20" t="s">
        <v>1269</v>
      </c>
      <c r="S20">
        <v>0.75</v>
      </c>
      <c r="T20">
        <v>0.24879999999999999</v>
      </c>
      <c r="U20">
        <f t="shared" si="4"/>
        <v>0.187</v>
      </c>
      <c r="V20" t="str">
        <f t="shared" si="1"/>
        <v>Elementary Occupational Therapist</v>
      </c>
      <c r="W20" t="str">
        <f t="shared" si="2"/>
        <v>Occupational Therapist</v>
      </c>
      <c r="Y20" s="88" t="s">
        <v>1290</v>
      </c>
      <c r="Z20" s="90"/>
      <c r="AA20" s="90">
        <v>18.603999999999999</v>
      </c>
      <c r="AB20" s="90"/>
      <c r="AC20" s="90"/>
      <c r="AD20" s="90"/>
      <c r="AE20" s="90"/>
      <c r="AF20" s="90">
        <v>18.603999999999999</v>
      </c>
      <c r="AG20" s="90"/>
      <c r="AI20" s="88" t="s">
        <v>1290</v>
      </c>
      <c r="AJ20" s="90">
        <v>0</v>
      </c>
      <c r="AK20" s="90">
        <f t="shared" si="6"/>
        <v>0</v>
      </c>
      <c r="AL20" s="90">
        <f t="shared" si="7"/>
        <v>0</v>
      </c>
      <c r="AM20" s="90">
        <f t="shared" si="8"/>
        <v>18.603999999999999</v>
      </c>
      <c r="AN20" s="90">
        <f t="shared" si="9"/>
        <v>18.603999999999999</v>
      </c>
      <c r="AP20" s="88" t="s">
        <v>1267</v>
      </c>
      <c r="AQ20" s="90">
        <v>422.11800000000005</v>
      </c>
      <c r="AR20" s="88" t="s">
        <v>1267</v>
      </c>
      <c r="AS20" s="90">
        <v>107.15299999999996</v>
      </c>
      <c r="AT20" s="88" t="s">
        <v>1267</v>
      </c>
      <c r="AU20" s="90">
        <v>739.41</v>
      </c>
      <c r="AV20" s="88" t="s">
        <v>753</v>
      </c>
      <c r="AW20" s="90">
        <v>7.4359999999999999</v>
      </c>
      <c r="AX20" s="88" t="s">
        <v>1267</v>
      </c>
      <c r="AY20" s="90">
        <v>9.1189999999999998</v>
      </c>
      <c r="BA20" s="88" t="s">
        <v>1331</v>
      </c>
      <c r="BB20" s="90">
        <v>107.14800000000001</v>
      </c>
      <c r="BM20" t="s">
        <v>1277</v>
      </c>
      <c r="BN20" t="s">
        <v>1294</v>
      </c>
      <c r="BO20" s="90">
        <v>1020.7279999999995</v>
      </c>
      <c r="BQ20" t="str">
        <f t="shared" si="10"/>
        <v>42</v>
      </c>
      <c r="BR20" s="133" t="s">
        <v>952</v>
      </c>
      <c r="BS20">
        <v>1.6E-2</v>
      </c>
      <c r="BT20" s="246" t="s">
        <v>1507</v>
      </c>
      <c r="BU20" s="34" t="s">
        <v>759</v>
      </c>
      <c r="BV20" t="s">
        <v>1452</v>
      </c>
      <c r="BW20">
        <v>0</v>
      </c>
      <c r="BY20" t="s">
        <v>1541</v>
      </c>
      <c r="BZ20" s="90">
        <v>23.898000000000003</v>
      </c>
    </row>
    <row r="21" spans="1:84" x14ac:dyDescent="0.25">
      <c r="A21">
        <v>1147</v>
      </c>
      <c r="B21" t="s">
        <v>1387</v>
      </c>
      <c r="C21">
        <v>0.25</v>
      </c>
      <c r="D21" t="s">
        <v>1264</v>
      </c>
      <c r="E21">
        <v>100192</v>
      </c>
      <c r="F21">
        <v>1147</v>
      </c>
      <c r="G21" t="str">
        <f t="shared" si="0"/>
        <v>01147</v>
      </c>
      <c r="H21" t="s">
        <v>306</v>
      </c>
      <c r="I21" t="s">
        <v>1265</v>
      </c>
      <c r="J21" t="s">
        <v>1271</v>
      </c>
      <c r="K21" t="s">
        <v>1272</v>
      </c>
      <c r="L21" t="s">
        <v>1387</v>
      </c>
      <c r="M21" t="s">
        <v>1406</v>
      </c>
      <c r="N21">
        <v>21</v>
      </c>
      <c r="O21" t="str">
        <f t="shared" si="3"/>
        <v>43</v>
      </c>
      <c r="P21">
        <v>43</v>
      </c>
      <c r="R21" t="s">
        <v>1269</v>
      </c>
      <c r="S21">
        <v>0.25</v>
      </c>
      <c r="T21">
        <v>0.24879999999999999</v>
      </c>
      <c r="U21">
        <f t="shared" si="4"/>
        <v>6.2E-2</v>
      </c>
      <c r="V21" t="str">
        <f t="shared" si="1"/>
        <v>High Occupational Therapist</v>
      </c>
      <c r="W21" t="str">
        <f t="shared" si="2"/>
        <v>Occupational Therapist</v>
      </c>
      <c r="Y21" s="88" t="s">
        <v>1299</v>
      </c>
      <c r="Z21" s="90"/>
      <c r="AA21" s="90"/>
      <c r="AB21" s="90">
        <v>1057.1390000000004</v>
      </c>
      <c r="AC21" s="90"/>
      <c r="AD21" s="90"/>
      <c r="AE21" s="90">
        <v>0</v>
      </c>
      <c r="AF21" s="90">
        <v>1057.1390000000004</v>
      </c>
      <c r="AG21" s="90"/>
      <c r="AI21" s="88" t="s">
        <v>1299</v>
      </c>
      <c r="AJ21" s="90">
        <v>0</v>
      </c>
      <c r="AK21" s="90">
        <f t="shared" si="6"/>
        <v>1057.1390000000004</v>
      </c>
      <c r="AL21" s="90">
        <f t="shared" si="7"/>
        <v>0</v>
      </c>
      <c r="AM21" s="90">
        <f t="shared" si="8"/>
        <v>0</v>
      </c>
      <c r="AN21" s="90">
        <f t="shared" si="9"/>
        <v>1057.1390000000004</v>
      </c>
      <c r="AP21" s="119" t="s">
        <v>1355</v>
      </c>
      <c r="AQ21" s="90">
        <v>0</v>
      </c>
      <c r="AR21" s="119" t="s">
        <v>1355</v>
      </c>
      <c r="AS21" s="90">
        <v>0</v>
      </c>
      <c r="AT21" s="119" t="s">
        <v>1284</v>
      </c>
      <c r="AU21" s="90">
        <v>4.1659999999999995</v>
      </c>
      <c r="AW21" s="90">
        <v>2.1259999999999999</v>
      </c>
      <c r="AX21" s="119" t="s">
        <v>1358</v>
      </c>
      <c r="AY21" s="90">
        <v>0.40200000000000002</v>
      </c>
      <c r="BA21" s="88" t="s">
        <v>1390</v>
      </c>
      <c r="BB21" s="90">
        <v>8.4669999999999987</v>
      </c>
      <c r="BM21" t="s">
        <v>1277</v>
      </c>
      <c r="BN21" t="s">
        <v>1332</v>
      </c>
      <c r="BO21" s="90">
        <v>7.652000000000001</v>
      </c>
      <c r="BQ21" t="str">
        <f t="shared" si="10"/>
        <v>43</v>
      </c>
      <c r="BR21" s="133" t="s">
        <v>953</v>
      </c>
      <c r="BS21">
        <v>1.7000000000000001E-2</v>
      </c>
      <c r="BT21" s="246" t="s">
        <v>1546</v>
      </c>
      <c r="BU21" s="34" t="s">
        <v>759</v>
      </c>
      <c r="BV21" t="s">
        <v>1453</v>
      </c>
      <c r="BW21">
        <v>0</v>
      </c>
      <c r="BY21" t="s">
        <v>1535</v>
      </c>
      <c r="BZ21" s="90">
        <v>932.03099999999995</v>
      </c>
    </row>
    <row r="22" spans="1:84" x14ac:dyDescent="0.25">
      <c r="A22">
        <v>1147</v>
      </c>
      <c r="B22" t="s">
        <v>1294</v>
      </c>
      <c r="C22">
        <v>2.782</v>
      </c>
      <c r="D22" t="s">
        <v>1264</v>
      </c>
      <c r="E22">
        <v>100192</v>
      </c>
      <c r="F22">
        <v>1147</v>
      </c>
      <c r="G22" t="str">
        <f t="shared" si="0"/>
        <v>01147</v>
      </c>
      <c r="H22" t="s">
        <v>306</v>
      </c>
      <c r="I22" t="s">
        <v>1265</v>
      </c>
      <c r="J22" t="s">
        <v>1276</v>
      </c>
      <c r="K22" t="s">
        <v>1277</v>
      </c>
      <c r="L22" t="s">
        <v>1294</v>
      </c>
      <c r="M22" t="s">
        <v>1354</v>
      </c>
      <c r="N22">
        <v>21</v>
      </c>
      <c r="O22" t="str">
        <f t="shared" si="3"/>
        <v>45</v>
      </c>
      <c r="P22">
        <v>45</v>
      </c>
      <c r="R22" t="s">
        <v>1269</v>
      </c>
      <c r="S22">
        <v>2.782</v>
      </c>
      <c r="T22">
        <v>0.24879999999999999</v>
      </c>
      <c r="U22">
        <f t="shared" si="4"/>
        <v>0.69199999999999995</v>
      </c>
      <c r="V22" t="str">
        <f t="shared" si="1"/>
        <v>Elementary Speech, Language Pathway/
Audio</v>
      </c>
      <c r="W22" t="str">
        <f t="shared" si="2"/>
        <v>Speech, Language Pathway/
Audio</v>
      </c>
      <c r="Y22" s="88" t="s">
        <v>1361</v>
      </c>
      <c r="Z22" s="90">
        <v>1.3740000000000001</v>
      </c>
      <c r="AA22" s="90"/>
      <c r="AB22" s="90"/>
      <c r="AC22" s="90"/>
      <c r="AD22" s="90"/>
      <c r="AE22" s="90"/>
      <c r="AF22" s="90">
        <v>1.3740000000000001</v>
      </c>
      <c r="AG22" s="90"/>
      <c r="AI22" s="88" t="s">
        <v>1361</v>
      </c>
      <c r="AJ22" s="90">
        <v>0.26899999999999996</v>
      </c>
      <c r="AK22" s="90">
        <f t="shared" si="6"/>
        <v>0</v>
      </c>
      <c r="AL22" s="90">
        <f t="shared" si="7"/>
        <v>0</v>
      </c>
      <c r="AM22" s="90">
        <f t="shared" si="8"/>
        <v>0</v>
      </c>
      <c r="AN22" s="90">
        <f t="shared" si="9"/>
        <v>0.26899999999999996</v>
      </c>
      <c r="AP22" s="119" t="s">
        <v>1361</v>
      </c>
      <c r="AQ22" s="90">
        <v>1.3740000000000001</v>
      </c>
      <c r="AR22" s="119" t="s">
        <v>1361</v>
      </c>
      <c r="AS22" s="90">
        <v>0.26900000000000002</v>
      </c>
      <c r="AT22" s="119" t="s">
        <v>1363</v>
      </c>
      <c r="AU22" s="90">
        <v>22.510999999999992</v>
      </c>
      <c r="AW22" s="90">
        <v>5.31</v>
      </c>
      <c r="AX22" s="119" t="s">
        <v>1362</v>
      </c>
      <c r="AY22" s="90">
        <v>0.54</v>
      </c>
      <c r="BA22" s="88" t="s">
        <v>1359</v>
      </c>
      <c r="BB22" s="90">
        <v>39.434999999999995</v>
      </c>
      <c r="BM22" t="s">
        <v>1277</v>
      </c>
      <c r="BN22" t="s">
        <v>1298</v>
      </c>
      <c r="BO22" s="90">
        <v>533.8299999999997</v>
      </c>
      <c r="BQ22" t="str">
        <f t="shared" si="10"/>
        <v>44</v>
      </c>
      <c r="BR22" s="133" t="s">
        <v>954</v>
      </c>
      <c r="BS22">
        <v>1.7999999999999999E-2</v>
      </c>
      <c r="BT22" s="246" t="s">
        <v>1508</v>
      </c>
      <c r="BU22" s="34" t="s">
        <v>759</v>
      </c>
      <c r="BV22" t="s">
        <v>1454</v>
      </c>
      <c r="BW22">
        <v>0</v>
      </c>
      <c r="BY22" t="s">
        <v>1543</v>
      </c>
      <c r="BZ22" s="90">
        <v>106.73999999999998</v>
      </c>
    </row>
    <row r="23" spans="1:84" x14ac:dyDescent="0.25">
      <c r="A23">
        <v>1147</v>
      </c>
      <c r="B23" t="s">
        <v>1326</v>
      </c>
      <c r="C23">
        <v>0.46</v>
      </c>
      <c r="D23" t="s">
        <v>1264</v>
      </c>
      <c r="E23">
        <v>100192</v>
      </c>
      <c r="F23">
        <v>1147</v>
      </c>
      <c r="G23" t="str">
        <f t="shared" si="0"/>
        <v>01147</v>
      </c>
      <c r="H23" t="s">
        <v>306</v>
      </c>
      <c r="I23" t="s">
        <v>1265</v>
      </c>
      <c r="J23" t="s">
        <v>1271</v>
      </c>
      <c r="K23" t="s">
        <v>1272</v>
      </c>
      <c r="L23" t="s">
        <v>1326</v>
      </c>
      <c r="M23" t="s">
        <v>1353</v>
      </c>
      <c r="N23">
        <v>21</v>
      </c>
      <c r="O23" t="str">
        <f t="shared" si="3"/>
        <v>45</v>
      </c>
      <c r="P23">
        <v>45</v>
      </c>
      <c r="R23" t="s">
        <v>1269</v>
      </c>
      <c r="S23">
        <v>0.46</v>
      </c>
      <c r="T23">
        <v>0.24879999999999999</v>
      </c>
      <c r="U23">
        <f t="shared" si="4"/>
        <v>0.114</v>
      </c>
      <c r="V23" t="str">
        <f t="shared" si="1"/>
        <v>High Speech, Language Pathway/
Audio</v>
      </c>
      <c r="W23" t="str">
        <f t="shared" si="2"/>
        <v>Speech, Language Pathway/
Audio</v>
      </c>
      <c r="Y23" s="88" t="s">
        <v>1362</v>
      </c>
      <c r="Z23" s="90"/>
      <c r="AA23" s="90">
        <v>0.54</v>
      </c>
      <c r="AB23" s="90"/>
      <c r="AC23" s="90"/>
      <c r="AD23" s="90"/>
      <c r="AE23" s="90"/>
      <c r="AF23" s="90">
        <v>0.54</v>
      </c>
      <c r="AG23" s="90"/>
      <c r="AI23" s="88" t="s">
        <v>1362</v>
      </c>
      <c r="AJ23" s="90">
        <v>0</v>
      </c>
      <c r="AK23" s="90">
        <f t="shared" si="6"/>
        <v>0</v>
      </c>
      <c r="AL23" s="90">
        <f t="shared" si="7"/>
        <v>0</v>
      </c>
      <c r="AM23" s="90">
        <f t="shared" si="8"/>
        <v>0.54</v>
      </c>
      <c r="AN23" s="90">
        <f t="shared" si="9"/>
        <v>0.54</v>
      </c>
      <c r="AP23" s="119" t="s">
        <v>1322</v>
      </c>
      <c r="AQ23" s="90">
        <v>8.7050000000000018</v>
      </c>
      <c r="AR23" s="119" t="s">
        <v>1322</v>
      </c>
      <c r="AS23" s="90">
        <v>2.0129999999999999</v>
      </c>
      <c r="AT23" s="119" t="s">
        <v>1291</v>
      </c>
      <c r="AU23" s="90">
        <v>39.970000000000006</v>
      </c>
      <c r="AW23" s="287">
        <f>AW20-AW21-AW22</f>
        <v>0</v>
      </c>
      <c r="AX23" s="119" t="s">
        <v>1378</v>
      </c>
      <c r="AY23" s="90">
        <v>8.1769999999999996</v>
      </c>
      <c r="BA23" s="88" t="s">
        <v>1369</v>
      </c>
      <c r="BB23" s="90">
        <v>4.5449999999999999</v>
      </c>
      <c r="BM23" t="s">
        <v>1277</v>
      </c>
      <c r="BN23" t="s">
        <v>1333</v>
      </c>
      <c r="BO23" s="90">
        <v>33.663000000000004</v>
      </c>
      <c r="BQ23" t="str">
        <f t="shared" si="10"/>
        <v>45</v>
      </c>
      <c r="BR23" s="133" t="s">
        <v>955</v>
      </c>
      <c r="BS23">
        <v>1.9E-2</v>
      </c>
      <c r="BT23" s="246" t="s">
        <v>1509</v>
      </c>
      <c r="BU23" s="34" t="s">
        <v>759</v>
      </c>
      <c r="BV23" t="s">
        <v>1455</v>
      </c>
      <c r="BW23">
        <v>0</v>
      </c>
      <c r="BY23" t="s">
        <v>1542</v>
      </c>
      <c r="BZ23" s="90">
        <v>921.66799999999978</v>
      </c>
    </row>
    <row r="24" spans="1:84" x14ac:dyDescent="0.25">
      <c r="A24">
        <v>1147</v>
      </c>
      <c r="B24" t="s">
        <v>1298</v>
      </c>
      <c r="C24">
        <v>2</v>
      </c>
      <c r="D24" t="s">
        <v>1264</v>
      </c>
      <c r="E24">
        <v>100192</v>
      </c>
      <c r="F24">
        <v>1147</v>
      </c>
      <c r="G24" t="str">
        <f t="shared" si="0"/>
        <v>01147</v>
      </c>
      <c r="H24" t="s">
        <v>306</v>
      </c>
      <c r="I24" t="s">
        <v>1265</v>
      </c>
      <c r="J24" t="s">
        <v>1276</v>
      </c>
      <c r="K24" t="s">
        <v>1277</v>
      </c>
      <c r="L24" t="s">
        <v>1298</v>
      </c>
      <c r="M24" t="s">
        <v>1349</v>
      </c>
      <c r="N24">
        <v>21</v>
      </c>
      <c r="O24" t="str">
        <f t="shared" si="3"/>
        <v>46</v>
      </c>
      <c r="P24">
        <v>46</v>
      </c>
      <c r="R24" t="s">
        <v>1269</v>
      </c>
      <c r="S24">
        <v>2</v>
      </c>
      <c r="T24">
        <v>0.24879999999999999</v>
      </c>
      <c r="U24">
        <f t="shared" si="4"/>
        <v>0.498</v>
      </c>
      <c r="V24" t="str">
        <f t="shared" si="1"/>
        <v>Elementary Psychologist</v>
      </c>
      <c r="W24" t="str">
        <f t="shared" si="2"/>
        <v>Psychologist</v>
      </c>
      <c r="Y24" s="88" t="s">
        <v>1363</v>
      </c>
      <c r="Z24" s="90"/>
      <c r="AA24" s="90"/>
      <c r="AB24" s="90">
        <v>22.510999999999996</v>
      </c>
      <c r="AC24" s="90"/>
      <c r="AD24" s="90"/>
      <c r="AE24" s="90">
        <v>0</v>
      </c>
      <c r="AF24" s="90">
        <v>22.510999999999996</v>
      </c>
      <c r="AG24" s="90"/>
      <c r="AI24" s="88" t="s">
        <v>1363</v>
      </c>
      <c r="AJ24" s="90">
        <v>0</v>
      </c>
      <c r="AK24" s="90">
        <f t="shared" si="6"/>
        <v>22.510999999999996</v>
      </c>
      <c r="AL24" s="90">
        <f t="shared" si="7"/>
        <v>0</v>
      </c>
      <c r="AM24" s="90">
        <f t="shared" si="8"/>
        <v>0</v>
      </c>
      <c r="AN24" s="90">
        <f t="shared" si="9"/>
        <v>22.510999999999996</v>
      </c>
      <c r="AP24" s="119" t="s">
        <v>1364</v>
      </c>
      <c r="AQ24" s="90">
        <v>1.786</v>
      </c>
      <c r="AR24" s="119" t="s">
        <v>1364</v>
      </c>
      <c r="AS24" s="90">
        <v>0.50700000000000001</v>
      </c>
      <c r="AT24" s="119" t="s">
        <v>1263</v>
      </c>
      <c r="AU24" s="90">
        <v>511.82899999999989</v>
      </c>
      <c r="AX24" s="119" t="s">
        <v>1478</v>
      </c>
      <c r="AY24" s="90">
        <v>0</v>
      </c>
      <c r="BA24" s="88" t="s">
        <v>1356</v>
      </c>
      <c r="BB24" s="90">
        <v>28.924000000000003</v>
      </c>
      <c r="BM24" t="s">
        <v>1277</v>
      </c>
      <c r="BN24" t="s">
        <v>1334</v>
      </c>
      <c r="BO24" s="90">
        <v>12.874000000000001</v>
      </c>
      <c r="BQ24" t="str">
        <f t="shared" si="10"/>
        <v>46</v>
      </c>
      <c r="BR24" s="133" t="s">
        <v>956</v>
      </c>
      <c r="BS24">
        <v>0.02</v>
      </c>
      <c r="BT24" s="246" t="s">
        <v>1549</v>
      </c>
      <c r="BU24" s="34" t="s">
        <v>759</v>
      </c>
      <c r="BV24" t="s">
        <v>1456</v>
      </c>
      <c r="BW24">
        <v>0</v>
      </c>
      <c r="BY24" t="s">
        <v>1538</v>
      </c>
      <c r="BZ24" s="90">
        <v>179.37599999999998</v>
      </c>
    </row>
    <row r="25" spans="1:84" x14ac:dyDescent="0.25">
      <c r="A25">
        <v>1147</v>
      </c>
      <c r="B25" t="s">
        <v>1309</v>
      </c>
      <c r="C25">
        <v>1.4</v>
      </c>
      <c r="D25" t="s">
        <v>1264</v>
      </c>
      <c r="E25">
        <v>100192</v>
      </c>
      <c r="F25">
        <v>1147</v>
      </c>
      <c r="G25" t="str">
        <f t="shared" si="0"/>
        <v>01147</v>
      </c>
      <c r="H25" t="s">
        <v>306</v>
      </c>
      <c r="I25" t="s">
        <v>1265</v>
      </c>
      <c r="J25" t="s">
        <v>1271</v>
      </c>
      <c r="K25" t="s">
        <v>1272</v>
      </c>
      <c r="L25" t="s">
        <v>1309</v>
      </c>
      <c r="M25" t="s">
        <v>1310</v>
      </c>
      <c r="N25">
        <v>21</v>
      </c>
      <c r="O25" t="str">
        <f t="shared" si="3"/>
        <v>46</v>
      </c>
      <c r="P25">
        <v>46</v>
      </c>
      <c r="R25" t="s">
        <v>1269</v>
      </c>
      <c r="S25">
        <v>1.4</v>
      </c>
      <c r="T25">
        <v>0.24879999999999999</v>
      </c>
      <c r="U25">
        <f t="shared" si="4"/>
        <v>0.34799999999999998</v>
      </c>
      <c r="V25" t="str">
        <f t="shared" si="1"/>
        <v>High Psychologist</v>
      </c>
      <c r="W25" t="str">
        <f t="shared" si="2"/>
        <v>Psychologist</v>
      </c>
      <c r="Y25" s="88" t="s">
        <v>1352</v>
      </c>
      <c r="Z25" s="90"/>
      <c r="AA25" s="90"/>
      <c r="AB25" s="90"/>
      <c r="AC25" s="90">
        <v>1.242</v>
      </c>
      <c r="AD25" s="90">
        <v>0</v>
      </c>
      <c r="AE25" s="90"/>
      <c r="AF25" s="90">
        <v>1.242</v>
      </c>
      <c r="AG25" s="90"/>
      <c r="AI25" s="88" t="s">
        <v>1352</v>
      </c>
      <c r="AJ25" s="90">
        <v>0</v>
      </c>
      <c r="AK25" s="90">
        <f t="shared" si="6"/>
        <v>0</v>
      </c>
      <c r="AL25" s="90">
        <f t="shared" si="7"/>
        <v>1.242</v>
      </c>
      <c r="AM25" s="90">
        <f t="shared" si="8"/>
        <v>0</v>
      </c>
      <c r="AN25" s="90">
        <f t="shared" si="9"/>
        <v>1.242</v>
      </c>
      <c r="AO25" s="90">
        <f>SUM(AN25:AN34)</f>
        <v>885.09500000000014</v>
      </c>
      <c r="AP25" s="119" t="s">
        <v>1365</v>
      </c>
      <c r="AQ25" s="90">
        <v>4.5110000000000001</v>
      </c>
      <c r="AR25" s="119" t="s">
        <v>1365</v>
      </c>
      <c r="AS25" s="90">
        <v>1.17</v>
      </c>
      <c r="AT25" s="119" t="s">
        <v>1368</v>
      </c>
      <c r="AU25" s="90">
        <v>0.379</v>
      </c>
      <c r="AX25" s="119" t="s">
        <v>1479</v>
      </c>
      <c r="AY25" s="90">
        <v>0</v>
      </c>
      <c r="BA25" s="88" t="s">
        <v>1294</v>
      </c>
      <c r="BB25" s="90">
        <v>1020.7279999999998</v>
      </c>
      <c r="BM25" t="s">
        <v>1277</v>
      </c>
      <c r="BN25" t="s">
        <v>1335</v>
      </c>
      <c r="BO25" s="90">
        <v>365.64899999999989</v>
      </c>
      <c r="BQ25" t="str">
        <f t="shared" si="10"/>
        <v>47</v>
      </c>
      <c r="BR25" s="133" t="s">
        <v>957</v>
      </c>
      <c r="BS25">
        <v>2.1000000000000001E-2</v>
      </c>
      <c r="BT25" s="246" t="s">
        <v>1510</v>
      </c>
      <c r="BU25" s="34" t="s">
        <v>759</v>
      </c>
      <c r="BV25" t="s">
        <v>1457</v>
      </c>
      <c r="BW25">
        <v>0</v>
      </c>
      <c r="BY25" t="s">
        <v>1555</v>
      </c>
      <c r="BZ25" s="90">
        <v>98.511000000000024</v>
      </c>
    </row>
    <row r="26" spans="1:84" x14ac:dyDescent="0.25">
      <c r="A26">
        <v>1147</v>
      </c>
      <c r="B26" t="s">
        <v>1345</v>
      </c>
      <c r="C26">
        <v>0.6</v>
      </c>
      <c r="D26" t="s">
        <v>1264</v>
      </c>
      <c r="E26">
        <v>100192</v>
      </c>
      <c r="F26">
        <v>1147</v>
      </c>
      <c r="G26" t="str">
        <f t="shared" si="0"/>
        <v>01147</v>
      </c>
      <c r="H26" t="s">
        <v>306</v>
      </c>
      <c r="I26" t="s">
        <v>1265</v>
      </c>
      <c r="J26" t="s">
        <v>1266</v>
      </c>
      <c r="K26" t="s">
        <v>1267</v>
      </c>
      <c r="L26" t="s">
        <v>1345</v>
      </c>
      <c r="M26" t="s">
        <v>1346</v>
      </c>
      <c r="N26">
        <v>21</v>
      </c>
      <c r="O26" t="str">
        <f t="shared" si="3"/>
        <v>46</v>
      </c>
      <c r="P26">
        <v>46</v>
      </c>
      <c r="R26" t="s">
        <v>1269</v>
      </c>
      <c r="S26">
        <v>0.6</v>
      </c>
      <c r="T26">
        <v>0.24879999999999999</v>
      </c>
      <c r="U26">
        <f t="shared" si="4"/>
        <v>0.14899999999999999</v>
      </c>
      <c r="V26" t="str">
        <f t="shared" si="1"/>
        <v>Middle Psychologist</v>
      </c>
      <c r="W26" t="str">
        <f t="shared" si="2"/>
        <v>Psychologist</v>
      </c>
      <c r="Y26" s="88" t="s">
        <v>1311</v>
      </c>
      <c r="Z26" s="90">
        <v>42.279000000000003</v>
      </c>
      <c r="AA26" s="90"/>
      <c r="AB26" s="90"/>
      <c r="AC26" s="90"/>
      <c r="AD26" s="90"/>
      <c r="AE26" s="90"/>
      <c r="AF26" s="90">
        <v>42.279000000000003</v>
      </c>
      <c r="AG26" s="90"/>
      <c r="AI26" s="88" t="s">
        <v>1311</v>
      </c>
      <c r="AJ26" s="90">
        <v>10.159999999999998</v>
      </c>
      <c r="AK26" s="90">
        <f t="shared" si="6"/>
        <v>0</v>
      </c>
      <c r="AL26" s="90">
        <f t="shared" si="7"/>
        <v>0</v>
      </c>
      <c r="AM26" s="90">
        <f t="shared" si="8"/>
        <v>0</v>
      </c>
      <c r="AN26" s="90">
        <f t="shared" si="9"/>
        <v>10.159999999999998</v>
      </c>
      <c r="AO26" t="e">
        <f>#REF!</f>
        <v>#REF!</v>
      </c>
      <c r="AP26" s="119" t="s">
        <v>1303</v>
      </c>
      <c r="AQ26" s="90">
        <v>62.614000000000004</v>
      </c>
      <c r="AR26" s="119" t="s">
        <v>1303</v>
      </c>
      <c r="AS26" s="90">
        <v>15.962999999999992</v>
      </c>
      <c r="AT26" s="119" t="s">
        <v>1356</v>
      </c>
      <c r="AU26" s="90">
        <v>28.924000000000003</v>
      </c>
      <c r="AX26" s="119" t="s">
        <v>1480</v>
      </c>
      <c r="AY26" s="90">
        <v>0</v>
      </c>
      <c r="BA26" s="88" t="s">
        <v>1332</v>
      </c>
      <c r="BB26" s="90">
        <v>7.6520000000000019</v>
      </c>
      <c r="BM26" t="s">
        <v>1277</v>
      </c>
      <c r="BN26" t="s">
        <v>1302</v>
      </c>
      <c r="BO26" s="90">
        <v>137.92099999999996</v>
      </c>
      <c r="BQ26" t="str">
        <f t="shared" si="10"/>
        <v>48</v>
      </c>
      <c r="BR26" s="133" t="s">
        <v>958</v>
      </c>
      <c r="BS26">
        <v>2.1999999999999999E-2</v>
      </c>
      <c r="BT26" s="246" t="s">
        <v>1511</v>
      </c>
      <c r="BU26" s="34" t="s">
        <v>759</v>
      </c>
      <c r="BV26" t="s">
        <v>1458</v>
      </c>
      <c r="BW26">
        <v>0</v>
      </c>
      <c r="BY26" t="s">
        <v>1534</v>
      </c>
      <c r="BZ26" s="90">
        <v>2.7930000000000001</v>
      </c>
    </row>
    <row r="27" spans="1:84" x14ac:dyDescent="0.25">
      <c r="A27">
        <v>1147</v>
      </c>
      <c r="B27" t="s">
        <v>1341</v>
      </c>
      <c r="C27">
        <v>1</v>
      </c>
      <c r="D27" t="s">
        <v>1264</v>
      </c>
      <c r="E27">
        <v>100192</v>
      </c>
      <c r="F27">
        <v>1147</v>
      </c>
      <c r="G27" t="str">
        <f t="shared" si="0"/>
        <v>01147</v>
      </c>
      <c r="H27" t="s">
        <v>306</v>
      </c>
      <c r="I27" t="s">
        <v>1265</v>
      </c>
      <c r="J27" t="s">
        <v>1271</v>
      </c>
      <c r="K27" t="s">
        <v>1272</v>
      </c>
      <c r="L27" t="s">
        <v>1341</v>
      </c>
      <c r="M27" t="s">
        <v>1342</v>
      </c>
      <c r="N27">
        <v>1</v>
      </c>
      <c r="O27" t="str">
        <f t="shared" si="3"/>
        <v>47</v>
      </c>
      <c r="P27">
        <v>47</v>
      </c>
      <c r="R27" t="s">
        <v>1269</v>
      </c>
      <c r="S27">
        <v>1</v>
      </c>
      <c r="T27">
        <v>0.24879999999999999</v>
      </c>
      <c r="U27">
        <f t="shared" si="4"/>
        <v>0</v>
      </c>
      <c r="V27" t="str">
        <f t="shared" si="1"/>
        <v>High Nurse</v>
      </c>
      <c r="W27" t="str">
        <f t="shared" si="2"/>
        <v>Nurse</v>
      </c>
      <c r="Y27" s="88" t="s">
        <v>1461</v>
      </c>
      <c r="Z27" s="90"/>
      <c r="AA27" s="90">
        <v>0</v>
      </c>
      <c r="AB27" s="90"/>
      <c r="AC27" s="90"/>
      <c r="AD27" s="90"/>
      <c r="AE27" s="90"/>
      <c r="AF27" s="90">
        <v>0</v>
      </c>
      <c r="AG27" s="90"/>
      <c r="AI27" s="88" t="s">
        <v>1461</v>
      </c>
      <c r="AJ27" s="90">
        <v>0</v>
      </c>
      <c r="AK27" s="90">
        <f t="shared" si="6"/>
        <v>0</v>
      </c>
      <c r="AL27" s="90">
        <f t="shared" si="7"/>
        <v>0</v>
      </c>
      <c r="AM27" s="90">
        <f t="shared" si="8"/>
        <v>0</v>
      </c>
      <c r="AN27" s="90">
        <f t="shared" si="9"/>
        <v>0</v>
      </c>
      <c r="AO27" s="261" t="e">
        <f>SUM(AO25:AO26)</f>
        <v>#REF!</v>
      </c>
      <c r="AP27" s="119" t="s">
        <v>1369</v>
      </c>
      <c r="AQ27" s="90">
        <v>4.5449999999999999</v>
      </c>
      <c r="AR27" s="119" t="s">
        <v>1369</v>
      </c>
      <c r="AS27" s="90">
        <v>1.1220000000000001</v>
      </c>
      <c r="AT27" s="119" t="s">
        <v>1370</v>
      </c>
      <c r="AU27" s="90">
        <v>0.66800000000000004</v>
      </c>
      <c r="AX27" s="119" t="s">
        <v>1481</v>
      </c>
      <c r="AY27" s="90">
        <v>0</v>
      </c>
      <c r="BA27" s="88" t="s">
        <v>1326</v>
      </c>
      <c r="BB27" s="90">
        <v>273.64699999999999</v>
      </c>
      <c r="BM27" t="s">
        <v>1277</v>
      </c>
      <c r="BN27" t="s">
        <v>1337</v>
      </c>
      <c r="BO27" s="90">
        <v>1.0649999999999999</v>
      </c>
      <c r="BQ27" t="str">
        <f t="shared" si="10"/>
        <v>49</v>
      </c>
      <c r="BR27" s="133" t="s">
        <v>959</v>
      </c>
      <c r="BS27">
        <v>2.3E-2</v>
      </c>
      <c r="BT27" s="246" t="s">
        <v>1512</v>
      </c>
      <c r="BU27" s="34" t="s">
        <v>759</v>
      </c>
      <c r="BV27" t="s">
        <v>1459</v>
      </c>
      <c r="BW27">
        <v>0</v>
      </c>
      <c r="BY27" t="s">
        <v>1539</v>
      </c>
      <c r="BZ27" s="90">
        <v>39.914999999999992</v>
      </c>
    </row>
    <row r="28" spans="1:84" x14ac:dyDescent="0.25">
      <c r="A28">
        <v>1147</v>
      </c>
      <c r="B28" t="s">
        <v>1340</v>
      </c>
      <c r="C28">
        <v>1</v>
      </c>
      <c r="D28" t="s">
        <v>1264</v>
      </c>
      <c r="E28">
        <v>100192</v>
      </c>
      <c r="F28">
        <v>1147</v>
      </c>
      <c r="G28" t="str">
        <f t="shared" si="0"/>
        <v>01147</v>
      </c>
      <c r="H28" t="s">
        <v>306</v>
      </c>
      <c r="I28" t="s">
        <v>1265</v>
      </c>
      <c r="J28" t="s">
        <v>1276</v>
      </c>
      <c r="K28" t="s">
        <v>1277</v>
      </c>
      <c r="L28" t="s">
        <v>1340</v>
      </c>
      <c r="M28" t="s">
        <v>1395</v>
      </c>
      <c r="N28">
        <v>21</v>
      </c>
      <c r="O28" t="str">
        <f t="shared" si="3"/>
        <v>49</v>
      </c>
      <c r="P28">
        <v>49</v>
      </c>
      <c r="R28" t="s">
        <v>1269</v>
      </c>
      <c r="S28">
        <v>1</v>
      </c>
      <c r="T28">
        <v>0.24879999999999999</v>
      </c>
      <c r="U28">
        <f t="shared" si="4"/>
        <v>0.249</v>
      </c>
      <c r="V28" t="str">
        <f t="shared" si="1"/>
        <v>Elementary Behavior Analyst</v>
      </c>
      <c r="W28" t="str">
        <f t="shared" si="2"/>
        <v>Behavior Analyst</v>
      </c>
      <c r="Y28" s="88" t="s">
        <v>1315</v>
      </c>
      <c r="Z28" s="90"/>
      <c r="AA28" s="90"/>
      <c r="AB28" s="90">
        <v>155.46200000000005</v>
      </c>
      <c r="AC28" s="90"/>
      <c r="AD28" s="90"/>
      <c r="AE28" s="90">
        <v>0</v>
      </c>
      <c r="AF28" s="90">
        <v>155.46200000000005</v>
      </c>
      <c r="AG28" s="90"/>
      <c r="AI28" s="88" t="s">
        <v>1315</v>
      </c>
      <c r="AJ28" s="90">
        <v>0</v>
      </c>
      <c r="AK28" s="90">
        <f t="shared" si="6"/>
        <v>155.46200000000005</v>
      </c>
      <c r="AL28" s="90">
        <f t="shared" si="7"/>
        <v>0</v>
      </c>
      <c r="AM28" s="90">
        <f t="shared" si="8"/>
        <v>0</v>
      </c>
      <c r="AN28" s="90">
        <f t="shared" si="9"/>
        <v>155.46200000000005</v>
      </c>
      <c r="AP28" s="119" t="s">
        <v>1312</v>
      </c>
      <c r="AQ28" s="90">
        <v>151.15500000000006</v>
      </c>
      <c r="AR28" s="119" t="s">
        <v>1312</v>
      </c>
      <c r="AS28" s="90">
        <v>38.337999999999987</v>
      </c>
      <c r="AT28" s="119" t="s">
        <v>1371</v>
      </c>
      <c r="AU28" s="90">
        <v>10.060999999999998</v>
      </c>
      <c r="AX28" s="119" t="s">
        <v>1482</v>
      </c>
      <c r="AY28" s="90">
        <v>0</v>
      </c>
      <c r="BA28" s="88" t="s">
        <v>1394</v>
      </c>
      <c r="BB28" s="90">
        <v>0.66800000000000004</v>
      </c>
      <c r="BM28" t="s">
        <v>1277</v>
      </c>
      <c r="BN28" t="s">
        <v>1340</v>
      </c>
      <c r="BO28" s="90">
        <v>25.277999999999999</v>
      </c>
      <c r="BQ28" t="str">
        <f t="shared" si="10"/>
        <v>64</v>
      </c>
      <c r="BR28" s="133" t="s">
        <v>960</v>
      </c>
      <c r="BS28">
        <v>2.4E-2</v>
      </c>
      <c r="BT28" s="246" t="s">
        <v>1513</v>
      </c>
      <c r="BU28" s="34" t="s">
        <v>759</v>
      </c>
      <c r="BV28" t="s">
        <v>1460</v>
      </c>
      <c r="BW28">
        <v>0</v>
      </c>
      <c r="BY28" t="s">
        <v>1548</v>
      </c>
      <c r="BZ28" s="90">
        <v>260.76200000000006</v>
      </c>
    </row>
    <row r="29" spans="1:84" x14ac:dyDescent="0.25">
      <c r="A29">
        <v>1158</v>
      </c>
      <c r="B29" t="s">
        <v>1308</v>
      </c>
      <c r="C29">
        <v>0.17799999999999999</v>
      </c>
      <c r="D29" t="s">
        <v>1264</v>
      </c>
      <c r="E29">
        <v>100131</v>
      </c>
      <c r="F29">
        <v>1158</v>
      </c>
      <c r="G29" t="str">
        <f t="shared" si="0"/>
        <v>01158</v>
      </c>
      <c r="H29" t="s">
        <v>307</v>
      </c>
      <c r="I29" t="s">
        <v>1265</v>
      </c>
      <c r="J29" t="s">
        <v>1276</v>
      </c>
      <c r="K29" t="s">
        <v>1277</v>
      </c>
      <c r="L29" t="s">
        <v>1308</v>
      </c>
      <c r="M29" t="s">
        <v>1389</v>
      </c>
      <c r="N29">
        <v>1</v>
      </c>
      <c r="O29" t="str">
        <f t="shared" si="3"/>
        <v>25</v>
      </c>
      <c r="Q29">
        <v>25</v>
      </c>
      <c r="R29" t="s">
        <v>1269</v>
      </c>
      <c r="S29">
        <v>0.17799999999999999</v>
      </c>
      <c r="T29">
        <v>0.14000000000000001</v>
      </c>
      <c r="U29">
        <f t="shared" si="4"/>
        <v>0</v>
      </c>
      <c r="V29" t="str">
        <f t="shared" si="1"/>
        <v>Elementary Pupil Management</v>
      </c>
      <c r="W29" t="str">
        <f t="shared" si="2"/>
        <v>Pupil Management</v>
      </c>
      <c r="Y29" s="88" t="s">
        <v>1324</v>
      </c>
      <c r="Z29" s="90">
        <v>330.07799999999986</v>
      </c>
      <c r="AA29" s="90"/>
      <c r="AB29" s="90"/>
      <c r="AC29" s="90"/>
      <c r="AD29" s="90"/>
      <c r="AE29" s="90"/>
      <c r="AF29" s="90">
        <v>330.07799999999986</v>
      </c>
      <c r="AG29" s="90"/>
      <c r="AI29" s="88" t="s">
        <v>1324</v>
      </c>
      <c r="AJ29" s="90">
        <v>84.657999999999987</v>
      </c>
      <c r="AK29" s="90">
        <f t="shared" si="6"/>
        <v>0</v>
      </c>
      <c r="AL29" s="90">
        <f t="shared" si="7"/>
        <v>0</v>
      </c>
      <c r="AM29" s="90">
        <f t="shared" si="8"/>
        <v>0</v>
      </c>
      <c r="AN29" s="90">
        <f t="shared" si="9"/>
        <v>84.657999999999987</v>
      </c>
      <c r="AP29" s="119" t="s">
        <v>1345</v>
      </c>
      <c r="AQ29" s="90">
        <v>135.51400000000004</v>
      </c>
      <c r="AR29" s="119" t="s">
        <v>1345</v>
      </c>
      <c r="AS29" s="90">
        <v>34.49499999999999</v>
      </c>
      <c r="AT29" s="119" t="s">
        <v>1338</v>
      </c>
      <c r="AU29" s="90">
        <v>102.197</v>
      </c>
      <c r="AX29" s="119" t="s">
        <v>1483</v>
      </c>
      <c r="AY29" s="90">
        <v>0</v>
      </c>
      <c r="BA29" s="88" t="s">
        <v>1312</v>
      </c>
      <c r="BB29" s="90">
        <v>151.15500000000006</v>
      </c>
      <c r="BM29" t="s">
        <v>1277</v>
      </c>
      <c r="BN29" t="s">
        <v>1343</v>
      </c>
      <c r="BO29" s="90">
        <v>9.3690000000000015</v>
      </c>
      <c r="BQ29" t="str">
        <f t="shared" si="10"/>
        <v>24</v>
      </c>
      <c r="BR29" s="133" t="s">
        <v>961</v>
      </c>
      <c r="BS29">
        <v>2.5000000000000001E-2</v>
      </c>
      <c r="BT29" s="246" t="s">
        <v>1551</v>
      </c>
      <c r="BU29" s="34" t="s">
        <v>759</v>
      </c>
      <c r="BV29" t="s">
        <v>1293</v>
      </c>
      <c r="BW29">
        <v>0</v>
      </c>
      <c r="BY29" t="s">
        <v>1545</v>
      </c>
      <c r="BZ29" s="90">
        <v>1238.6370000000013</v>
      </c>
    </row>
    <row r="30" spans="1:84" x14ac:dyDescent="0.25">
      <c r="A30">
        <v>1158</v>
      </c>
      <c r="B30" t="s">
        <v>1363</v>
      </c>
      <c r="C30">
        <v>5.6000000000000001E-2</v>
      </c>
      <c r="D30" t="s">
        <v>1264</v>
      </c>
      <c r="E30">
        <v>100131</v>
      </c>
      <c r="F30">
        <v>1158</v>
      </c>
      <c r="G30" t="str">
        <f t="shared" si="0"/>
        <v>01158</v>
      </c>
      <c r="H30" t="s">
        <v>307</v>
      </c>
      <c r="I30" t="s">
        <v>1265</v>
      </c>
      <c r="J30" t="s">
        <v>1266</v>
      </c>
      <c r="K30" t="s">
        <v>1267</v>
      </c>
      <c r="L30" t="s">
        <v>1363</v>
      </c>
      <c r="M30" t="s">
        <v>1386</v>
      </c>
      <c r="N30">
        <v>1</v>
      </c>
      <c r="O30" t="str">
        <f t="shared" si="3"/>
        <v>25</v>
      </c>
      <c r="Q30">
        <v>25</v>
      </c>
      <c r="R30" t="s">
        <v>1269</v>
      </c>
      <c r="S30">
        <v>5.6000000000000001E-2</v>
      </c>
      <c r="T30">
        <v>0.14000000000000001</v>
      </c>
      <c r="U30">
        <f t="shared" si="4"/>
        <v>0</v>
      </c>
      <c r="V30" t="str">
        <f t="shared" si="1"/>
        <v>Middle Pupil Management</v>
      </c>
      <c r="W30" t="str">
        <f t="shared" si="2"/>
        <v>Pupil Management</v>
      </c>
      <c r="Y30" s="88" t="s">
        <v>1501</v>
      </c>
      <c r="Z30" s="90"/>
      <c r="AA30" s="90">
        <v>0</v>
      </c>
      <c r="AB30" s="90"/>
      <c r="AC30" s="90"/>
      <c r="AD30" s="90"/>
      <c r="AE30" s="90"/>
      <c r="AF30" s="90">
        <v>0</v>
      </c>
      <c r="AG30" s="90"/>
      <c r="AI30" s="88" t="s">
        <v>1501</v>
      </c>
      <c r="AJ30" s="90">
        <v>0</v>
      </c>
      <c r="AK30" s="90">
        <f t="shared" si="6"/>
        <v>0</v>
      </c>
      <c r="AL30" s="90">
        <f t="shared" si="7"/>
        <v>0</v>
      </c>
      <c r="AM30" s="90">
        <f t="shared" si="8"/>
        <v>0</v>
      </c>
      <c r="AN30" s="90">
        <f t="shared" si="9"/>
        <v>0</v>
      </c>
      <c r="AP30" s="119" t="s">
        <v>1372</v>
      </c>
      <c r="AQ30" s="90">
        <v>1.087</v>
      </c>
      <c r="AR30" s="119" t="s">
        <v>1372</v>
      </c>
      <c r="AS30" s="90">
        <v>0.25800000000000001</v>
      </c>
      <c r="AT30" s="119" t="s">
        <v>1373</v>
      </c>
      <c r="AU30" s="90">
        <v>9.9000000000000005E-2</v>
      </c>
      <c r="AX30" s="119" t="s">
        <v>1484</v>
      </c>
      <c r="AY30" s="90">
        <v>0</v>
      </c>
      <c r="BA30" s="88" t="s">
        <v>1370</v>
      </c>
      <c r="BB30" s="90">
        <v>0.66799999999999993</v>
      </c>
      <c r="BM30" t="s">
        <v>1277</v>
      </c>
      <c r="BN30" t="s">
        <v>1306</v>
      </c>
      <c r="BO30" s="90">
        <v>91.366</v>
      </c>
      <c r="BQ30" t="str">
        <f t="shared" si="10"/>
        <v>25</v>
      </c>
      <c r="BR30" s="133" t="s">
        <v>962</v>
      </c>
      <c r="BS30">
        <v>2.5999999999999999E-2</v>
      </c>
      <c r="BT30" s="247" t="s">
        <v>1552</v>
      </c>
      <c r="BU30" s="34" t="s">
        <v>759</v>
      </c>
      <c r="BV30" t="s">
        <v>1305</v>
      </c>
      <c r="BW30">
        <v>0</v>
      </c>
      <c r="BY30" t="s">
        <v>1554</v>
      </c>
      <c r="BZ30" s="90">
        <v>291.11199999999997</v>
      </c>
    </row>
    <row r="31" spans="1:84" x14ac:dyDescent="0.25">
      <c r="A31">
        <v>1158</v>
      </c>
      <c r="B31" t="s">
        <v>1315</v>
      </c>
      <c r="C31">
        <v>0.27700000000000002</v>
      </c>
      <c r="D31" t="s">
        <v>1264</v>
      </c>
      <c r="E31">
        <v>100131</v>
      </c>
      <c r="F31">
        <v>1158</v>
      </c>
      <c r="G31" t="str">
        <f t="shared" si="0"/>
        <v>01158</v>
      </c>
      <c r="H31" t="s">
        <v>307</v>
      </c>
      <c r="I31" t="s">
        <v>1265</v>
      </c>
      <c r="J31" t="s">
        <v>1276</v>
      </c>
      <c r="K31" t="s">
        <v>1277</v>
      </c>
      <c r="L31" t="s">
        <v>1315</v>
      </c>
      <c r="M31" t="s">
        <v>1375</v>
      </c>
      <c r="N31">
        <v>1</v>
      </c>
      <c r="O31" t="str">
        <f t="shared" si="3"/>
        <v>26</v>
      </c>
      <c r="Q31">
        <v>26</v>
      </c>
      <c r="R31" t="s">
        <v>1269</v>
      </c>
      <c r="S31">
        <v>0.27700000000000002</v>
      </c>
      <c r="T31">
        <v>0.14000000000000001</v>
      </c>
      <c r="U31">
        <f t="shared" si="4"/>
        <v>0</v>
      </c>
      <c r="V31" t="str">
        <f t="shared" si="1"/>
        <v>Elementary Health/
Related Services</v>
      </c>
      <c r="W31" t="str">
        <f t="shared" si="2"/>
        <v>Health/
Related Services</v>
      </c>
      <c r="Y31" s="88" t="s">
        <v>1295</v>
      </c>
      <c r="Z31" s="90"/>
      <c r="AA31" s="90"/>
      <c r="AB31" s="90">
        <v>591.59</v>
      </c>
      <c r="AC31" s="90"/>
      <c r="AD31" s="90"/>
      <c r="AE31" s="90">
        <v>0</v>
      </c>
      <c r="AF31" s="90">
        <v>591.59</v>
      </c>
      <c r="AG31" s="90"/>
      <c r="AI31" s="88" t="s">
        <v>1295</v>
      </c>
      <c r="AJ31" s="90">
        <v>0</v>
      </c>
      <c r="AK31" s="90">
        <f t="shared" si="6"/>
        <v>591.59</v>
      </c>
      <c r="AL31" s="90">
        <f t="shared" si="7"/>
        <v>0</v>
      </c>
      <c r="AM31" s="90">
        <f t="shared" si="8"/>
        <v>0</v>
      </c>
      <c r="AN31" s="90">
        <f t="shared" si="9"/>
        <v>591.59</v>
      </c>
      <c r="AP31" s="119" t="s">
        <v>1316</v>
      </c>
      <c r="AQ31" s="90">
        <v>25.138999999999992</v>
      </c>
      <c r="AR31" s="119" t="s">
        <v>1316</v>
      </c>
      <c r="AS31" s="90">
        <v>6.2629999999999999</v>
      </c>
      <c r="AT31" s="119" t="s">
        <v>1376</v>
      </c>
      <c r="AU31" s="90">
        <v>0.249</v>
      </c>
      <c r="AX31" s="119" t="s">
        <v>1485</v>
      </c>
      <c r="AY31" s="90">
        <v>0</v>
      </c>
      <c r="BA31" s="88" t="s">
        <v>1298</v>
      </c>
      <c r="BB31" s="90">
        <v>533.82999999999993</v>
      </c>
      <c r="BM31" t="s">
        <v>1277</v>
      </c>
      <c r="BN31" t="s">
        <v>1347</v>
      </c>
      <c r="BO31" s="90">
        <v>1.4039999999999999</v>
      </c>
      <c r="BQ31" t="str">
        <f t="shared" si="10"/>
        <v>26</v>
      </c>
      <c r="BR31" s="133" t="s">
        <v>963</v>
      </c>
      <c r="BS31">
        <v>2.7E-2</v>
      </c>
      <c r="BT31" s="246" t="s">
        <v>1514</v>
      </c>
      <c r="BU31" s="34" t="s">
        <v>759</v>
      </c>
      <c r="BV31" t="s">
        <v>1461</v>
      </c>
      <c r="BW31">
        <v>0</v>
      </c>
      <c r="BY31" t="s">
        <v>1536</v>
      </c>
      <c r="BZ31" s="90">
        <v>47.901999999999987</v>
      </c>
    </row>
    <row r="32" spans="1:84" x14ac:dyDescent="0.25">
      <c r="A32">
        <v>1158</v>
      </c>
      <c r="B32" t="s">
        <v>1295</v>
      </c>
      <c r="C32">
        <v>0.14599999999999999</v>
      </c>
      <c r="D32" t="s">
        <v>1264</v>
      </c>
      <c r="E32">
        <v>100131</v>
      </c>
      <c r="F32">
        <v>1158</v>
      </c>
      <c r="G32" t="str">
        <f t="shared" si="0"/>
        <v>01158</v>
      </c>
      <c r="H32" t="s">
        <v>307</v>
      </c>
      <c r="I32" t="s">
        <v>1265</v>
      </c>
      <c r="J32" t="s">
        <v>1271</v>
      </c>
      <c r="K32" t="s">
        <v>1272</v>
      </c>
      <c r="L32" t="s">
        <v>1295</v>
      </c>
      <c r="M32" t="s">
        <v>1296</v>
      </c>
      <c r="N32">
        <v>1</v>
      </c>
      <c r="O32" t="str">
        <f t="shared" si="3"/>
        <v>26</v>
      </c>
      <c r="Q32">
        <v>26</v>
      </c>
      <c r="R32" t="s">
        <v>1269</v>
      </c>
      <c r="S32">
        <v>0.14599999999999999</v>
      </c>
      <c r="T32">
        <v>0.14000000000000001</v>
      </c>
      <c r="U32">
        <f t="shared" si="4"/>
        <v>0</v>
      </c>
      <c r="V32" t="str">
        <f t="shared" si="1"/>
        <v>High Health/
Related Services</v>
      </c>
      <c r="W32" t="str">
        <f t="shared" si="2"/>
        <v>Health/
Related Services</v>
      </c>
      <c r="Y32" s="88" t="s">
        <v>1322</v>
      </c>
      <c r="Z32" s="90">
        <v>8.7050000000000018</v>
      </c>
      <c r="AA32" s="90"/>
      <c r="AB32" s="90"/>
      <c r="AC32" s="90"/>
      <c r="AD32" s="90"/>
      <c r="AE32" s="90"/>
      <c r="AF32" s="90">
        <v>8.7050000000000018</v>
      </c>
      <c r="AG32" s="90"/>
      <c r="AI32" s="88" t="s">
        <v>1322</v>
      </c>
      <c r="AJ32" s="90">
        <v>2.0130000000000003</v>
      </c>
      <c r="AK32" s="90">
        <f t="shared" si="6"/>
        <v>0</v>
      </c>
      <c r="AL32" s="90">
        <f t="shared" si="7"/>
        <v>0</v>
      </c>
      <c r="AM32" s="90">
        <f t="shared" si="8"/>
        <v>0</v>
      </c>
      <c r="AN32" s="90">
        <f t="shared" si="9"/>
        <v>2.0130000000000003</v>
      </c>
      <c r="AP32" s="119" t="s">
        <v>1374</v>
      </c>
      <c r="AQ32" s="90">
        <v>6.3240000000000007</v>
      </c>
      <c r="AR32" s="119" t="s">
        <v>1374</v>
      </c>
      <c r="AS32" s="90">
        <v>1.573</v>
      </c>
      <c r="AT32" s="119" t="s">
        <v>1377</v>
      </c>
      <c r="AU32" s="90">
        <v>17.317</v>
      </c>
      <c r="AX32" s="119" t="s">
        <v>1486</v>
      </c>
      <c r="AY32" s="90">
        <v>0</v>
      </c>
      <c r="BA32" s="88" t="s">
        <v>1333</v>
      </c>
      <c r="BB32" s="90">
        <v>33.662999999999997</v>
      </c>
      <c r="BM32" t="s">
        <v>1267</v>
      </c>
      <c r="BN32" t="s">
        <v>1355</v>
      </c>
      <c r="BO32" s="90">
        <v>0</v>
      </c>
      <c r="BQ32" t="str">
        <f t="shared" si="10"/>
        <v>35</v>
      </c>
      <c r="BR32" s="215" t="s">
        <v>1167</v>
      </c>
      <c r="BS32">
        <v>2.8000000000000001E-2</v>
      </c>
      <c r="BT32" s="247" t="s">
        <v>1515</v>
      </c>
      <c r="BU32" s="34" t="s">
        <v>759</v>
      </c>
      <c r="BV32" t="s">
        <v>1462</v>
      </c>
      <c r="BW32">
        <v>0</v>
      </c>
      <c r="BY32" t="s">
        <v>1537</v>
      </c>
      <c r="BZ32" s="90">
        <v>274.31499999999994</v>
      </c>
    </row>
    <row r="33" spans="1:78" x14ac:dyDescent="0.25">
      <c r="A33">
        <v>1158</v>
      </c>
      <c r="B33" t="s">
        <v>1291</v>
      </c>
      <c r="C33">
        <v>0.16900000000000001</v>
      </c>
      <c r="D33" t="s">
        <v>1264</v>
      </c>
      <c r="E33">
        <v>100131</v>
      </c>
      <c r="F33">
        <v>1158</v>
      </c>
      <c r="G33" t="str">
        <f t="shared" si="0"/>
        <v>01158</v>
      </c>
      <c r="H33" t="s">
        <v>307</v>
      </c>
      <c r="I33" t="s">
        <v>1265</v>
      </c>
      <c r="J33" t="s">
        <v>1266</v>
      </c>
      <c r="K33" t="s">
        <v>1267</v>
      </c>
      <c r="L33" t="s">
        <v>1291</v>
      </c>
      <c r="M33" t="s">
        <v>1292</v>
      </c>
      <c r="N33">
        <v>1</v>
      </c>
      <c r="O33" t="str">
        <f t="shared" si="3"/>
        <v>26</v>
      </c>
      <c r="Q33">
        <v>26</v>
      </c>
      <c r="R33" t="s">
        <v>1269</v>
      </c>
      <c r="S33">
        <v>0.16900000000000001</v>
      </c>
      <c r="T33">
        <v>0.14000000000000001</v>
      </c>
      <c r="U33">
        <f t="shared" si="4"/>
        <v>0</v>
      </c>
      <c r="V33" t="str">
        <f t="shared" si="1"/>
        <v>Middle Health/
Related Services</v>
      </c>
      <c r="W33" t="str">
        <f t="shared" si="2"/>
        <v>Health/
Related Services</v>
      </c>
      <c r="Y33" s="88" t="s">
        <v>1488</v>
      </c>
      <c r="Z33" s="90"/>
      <c r="AA33" s="90">
        <v>0</v>
      </c>
      <c r="AB33" s="90"/>
      <c r="AC33" s="90"/>
      <c r="AD33" s="90"/>
      <c r="AE33" s="90"/>
      <c r="AF33" s="90">
        <v>0</v>
      </c>
      <c r="AG33" s="90"/>
      <c r="AI33" s="88" t="s">
        <v>1488</v>
      </c>
      <c r="AJ33" s="90">
        <v>0</v>
      </c>
      <c r="AK33" s="90">
        <f t="shared" si="6"/>
        <v>0</v>
      </c>
      <c r="AL33" s="90">
        <f t="shared" si="7"/>
        <v>0</v>
      </c>
      <c r="AM33" s="90">
        <f t="shared" si="8"/>
        <v>0</v>
      </c>
      <c r="AN33" s="90">
        <f t="shared" si="9"/>
        <v>0</v>
      </c>
      <c r="AP33" s="119" t="s">
        <v>1313</v>
      </c>
      <c r="AQ33" s="90">
        <v>19.364000000000001</v>
      </c>
      <c r="AR33" s="119" t="s">
        <v>1313</v>
      </c>
      <c r="AS33" s="90">
        <v>5.1819999999999995</v>
      </c>
      <c r="AT33" s="119" t="s">
        <v>1476</v>
      </c>
      <c r="AU33" s="90">
        <v>0</v>
      </c>
      <c r="AX33" s="119" t="s">
        <v>1487</v>
      </c>
      <c r="AY33" s="90">
        <v>0</v>
      </c>
      <c r="BA33" s="88" t="s">
        <v>1309</v>
      </c>
      <c r="BB33" s="90">
        <v>247.57800000000006</v>
      </c>
      <c r="BM33" t="s">
        <v>1267</v>
      </c>
      <c r="BN33" t="s">
        <v>1358</v>
      </c>
      <c r="BO33" s="90">
        <v>0.40200000000000002</v>
      </c>
      <c r="BQ33" t="str">
        <f t="shared" si="10"/>
        <v>39</v>
      </c>
      <c r="BR33" s="134" t="s">
        <v>990</v>
      </c>
      <c r="BS33">
        <v>2.9000000000000001E-2</v>
      </c>
      <c r="BT33" s="248" t="s">
        <v>1506</v>
      </c>
      <c r="BU33" s="34" t="s">
        <v>759</v>
      </c>
      <c r="BV33" t="s">
        <v>1319</v>
      </c>
      <c r="BW33">
        <v>0</v>
      </c>
      <c r="BY33" t="s">
        <v>1528</v>
      </c>
      <c r="BZ33" s="90">
        <v>7.3639999999999999</v>
      </c>
    </row>
    <row r="34" spans="1:78" x14ac:dyDescent="0.25">
      <c r="A34">
        <v>1158</v>
      </c>
      <c r="B34" t="s">
        <v>1275</v>
      </c>
      <c r="C34">
        <v>0.96199999999999997</v>
      </c>
      <c r="D34" t="s">
        <v>1264</v>
      </c>
      <c r="E34">
        <v>100131</v>
      </c>
      <c r="F34">
        <v>1158</v>
      </c>
      <c r="G34" t="str">
        <f t="shared" si="0"/>
        <v>01158</v>
      </c>
      <c r="H34" t="s">
        <v>307</v>
      </c>
      <c r="I34" t="s">
        <v>1265</v>
      </c>
      <c r="J34" t="s">
        <v>1276</v>
      </c>
      <c r="K34" t="s">
        <v>1277</v>
      </c>
      <c r="L34" t="s">
        <v>1275</v>
      </c>
      <c r="M34" t="s">
        <v>1278</v>
      </c>
      <c r="N34">
        <v>1</v>
      </c>
      <c r="O34" t="str">
        <f t="shared" si="3"/>
        <v>42</v>
      </c>
      <c r="P34">
        <v>42</v>
      </c>
      <c r="R34" t="s">
        <v>1269</v>
      </c>
      <c r="S34">
        <v>0.96199999999999997</v>
      </c>
      <c r="T34">
        <v>0.14000000000000001</v>
      </c>
      <c r="U34">
        <f t="shared" si="4"/>
        <v>0</v>
      </c>
      <c r="V34" t="str">
        <f t="shared" si="1"/>
        <v>Elementary Counselor</v>
      </c>
      <c r="W34" t="str">
        <f t="shared" si="2"/>
        <v>Counselor</v>
      </c>
      <c r="Y34" s="88" t="s">
        <v>1291</v>
      </c>
      <c r="Z34" s="90"/>
      <c r="AA34" s="90"/>
      <c r="AB34" s="90">
        <v>39.970000000000006</v>
      </c>
      <c r="AC34" s="90"/>
      <c r="AD34" s="90"/>
      <c r="AE34" s="90">
        <v>0</v>
      </c>
      <c r="AF34" s="90">
        <v>39.970000000000006</v>
      </c>
      <c r="AG34" s="90"/>
      <c r="AI34" s="88" t="s">
        <v>1291</v>
      </c>
      <c r="AJ34" s="90">
        <v>0</v>
      </c>
      <c r="AK34" s="90">
        <f t="shared" si="6"/>
        <v>39.970000000000006</v>
      </c>
      <c r="AL34" s="90">
        <f t="shared" si="7"/>
        <v>0</v>
      </c>
      <c r="AM34" s="90">
        <f t="shared" si="8"/>
        <v>0</v>
      </c>
      <c r="AN34" s="90">
        <f t="shared" si="9"/>
        <v>39.970000000000006</v>
      </c>
      <c r="AP34" s="119" t="s">
        <v>1489</v>
      </c>
      <c r="AQ34" s="90">
        <v>0</v>
      </c>
      <c r="AR34" s="119" t="s">
        <v>1489</v>
      </c>
      <c r="AS34" s="90">
        <v>0</v>
      </c>
      <c r="AT34" s="119" t="s">
        <v>1477</v>
      </c>
      <c r="AU34" s="90">
        <v>1.04</v>
      </c>
      <c r="AX34" s="119" t="s">
        <v>1488</v>
      </c>
      <c r="AY34" s="90">
        <v>0</v>
      </c>
      <c r="BA34" s="88" t="s">
        <v>1396</v>
      </c>
      <c r="BB34" s="90">
        <v>13.183999999999999</v>
      </c>
      <c r="BM34" t="s">
        <v>1267</v>
      </c>
      <c r="BN34" t="s">
        <v>1284</v>
      </c>
      <c r="BO34" s="90">
        <v>4.1659999999999995</v>
      </c>
      <c r="BQ34" t="str">
        <f t="shared" si="10"/>
        <v>42</v>
      </c>
      <c r="BR34" s="134" t="s">
        <v>991</v>
      </c>
      <c r="BS34">
        <v>0.03</v>
      </c>
      <c r="BT34" s="248" t="s">
        <v>1507</v>
      </c>
      <c r="BU34" s="34" t="s">
        <v>759</v>
      </c>
      <c r="BV34" t="s">
        <v>1321</v>
      </c>
      <c r="BW34">
        <v>0</v>
      </c>
      <c r="BY34" t="s">
        <v>1531</v>
      </c>
      <c r="BZ34" s="90">
        <v>19.613</v>
      </c>
    </row>
    <row r="35" spans="1:78" x14ac:dyDescent="0.25">
      <c r="A35">
        <v>1158</v>
      </c>
      <c r="B35" t="s">
        <v>1263</v>
      </c>
      <c r="C35">
        <v>0.755</v>
      </c>
      <c r="D35" t="s">
        <v>1264</v>
      </c>
      <c r="E35">
        <v>100131</v>
      </c>
      <c r="F35">
        <v>1158</v>
      </c>
      <c r="G35" t="str">
        <f t="shared" si="0"/>
        <v>01158</v>
      </c>
      <c r="H35" t="s">
        <v>307</v>
      </c>
      <c r="I35" t="s">
        <v>1265</v>
      </c>
      <c r="J35" t="s">
        <v>1266</v>
      </c>
      <c r="K35" t="s">
        <v>1267</v>
      </c>
      <c r="L35" t="s">
        <v>1263</v>
      </c>
      <c r="M35" t="s">
        <v>1268</v>
      </c>
      <c r="N35">
        <v>1</v>
      </c>
      <c r="O35" t="str">
        <f t="shared" si="3"/>
        <v>42</v>
      </c>
      <c r="P35">
        <v>42</v>
      </c>
      <c r="R35" t="s">
        <v>1269</v>
      </c>
      <c r="S35">
        <v>0.755</v>
      </c>
      <c r="T35">
        <v>0.14000000000000001</v>
      </c>
      <c r="U35">
        <f t="shared" si="4"/>
        <v>0</v>
      </c>
      <c r="V35" t="str">
        <f t="shared" si="1"/>
        <v>Middle Counselor</v>
      </c>
      <c r="W35" t="str">
        <f t="shared" si="2"/>
        <v>Counselor</v>
      </c>
      <c r="Y35" s="88" t="s">
        <v>1475</v>
      </c>
      <c r="Z35" s="90"/>
      <c r="AA35" s="90"/>
      <c r="AB35" s="90"/>
      <c r="AC35" s="90">
        <v>0.67700000000000005</v>
      </c>
      <c r="AD35" s="90">
        <v>0</v>
      </c>
      <c r="AE35" s="90"/>
      <c r="AF35" s="90">
        <v>0.67700000000000005</v>
      </c>
      <c r="AG35" s="90"/>
      <c r="AI35" s="88" t="s">
        <v>1475</v>
      </c>
      <c r="AJ35" s="90">
        <v>0</v>
      </c>
      <c r="AK35" s="90">
        <f t="shared" si="6"/>
        <v>0</v>
      </c>
      <c r="AL35" s="90">
        <f t="shared" si="7"/>
        <v>0.67700000000000005</v>
      </c>
      <c r="AM35" s="90">
        <f t="shared" si="8"/>
        <v>0</v>
      </c>
      <c r="AN35" s="90">
        <f t="shared" si="9"/>
        <v>0.67700000000000005</v>
      </c>
      <c r="AO35" s="90">
        <f>SUM(AN35:AN44)</f>
        <v>322.11400000000003</v>
      </c>
      <c r="AP35" s="88" t="s">
        <v>1272</v>
      </c>
      <c r="AQ35" s="90">
        <v>1220.9069999999997</v>
      </c>
      <c r="AR35" s="88" t="s">
        <v>1272</v>
      </c>
      <c r="AS35" s="90">
        <v>314.93900000000002</v>
      </c>
      <c r="AT35" s="88" t="s">
        <v>1272</v>
      </c>
      <c r="AU35" s="90">
        <v>3149.2629999999995</v>
      </c>
      <c r="AX35" s="88" t="s">
        <v>1272</v>
      </c>
      <c r="AY35" s="90">
        <v>68.789999999999992</v>
      </c>
      <c r="BA35" s="88" t="s">
        <v>1345</v>
      </c>
      <c r="BB35" s="90">
        <v>135.51400000000004</v>
      </c>
      <c r="BM35" t="s">
        <v>1267</v>
      </c>
      <c r="BN35" t="s">
        <v>1361</v>
      </c>
      <c r="BO35" s="90">
        <v>1.3740000000000001</v>
      </c>
      <c r="BQ35" t="str">
        <f t="shared" si="10"/>
        <v>43</v>
      </c>
      <c r="BR35" s="134" t="s">
        <v>992</v>
      </c>
      <c r="BS35">
        <v>3.1E-2</v>
      </c>
      <c r="BT35" s="248" t="s">
        <v>1546</v>
      </c>
      <c r="BU35" s="34" t="s">
        <v>759</v>
      </c>
      <c r="BV35" t="s">
        <v>1289</v>
      </c>
      <c r="BW35">
        <v>0</v>
      </c>
      <c r="BY35" t="s">
        <v>1525</v>
      </c>
      <c r="BZ35" s="90">
        <v>516.34</v>
      </c>
    </row>
    <row r="36" spans="1:78" x14ac:dyDescent="0.25">
      <c r="A36">
        <v>1160</v>
      </c>
      <c r="B36" t="s">
        <v>1308</v>
      </c>
      <c r="C36">
        <v>0.86599999999999999</v>
      </c>
      <c r="D36" t="s">
        <v>1264</v>
      </c>
      <c r="E36">
        <v>100220</v>
      </c>
      <c r="F36">
        <v>1160</v>
      </c>
      <c r="G36" t="str">
        <f t="shared" si="0"/>
        <v>01160</v>
      </c>
      <c r="H36" t="s">
        <v>308</v>
      </c>
      <c r="I36" t="s">
        <v>1265</v>
      </c>
      <c r="J36" t="s">
        <v>1276</v>
      </c>
      <c r="K36" t="s">
        <v>1277</v>
      </c>
      <c r="L36" t="s">
        <v>1308</v>
      </c>
      <c r="M36" t="s">
        <v>1389</v>
      </c>
      <c r="N36">
        <v>1</v>
      </c>
      <c r="O36" t="str">
        <f t="shared" si="3"/>
        <v>25</v>
      </c>
      <c r="Q36">
        <v>25</v>
      </c>
      <c r="R36" t="s">
        <v>1269</v>
      </c>
      <c r="S36">
        <v>0.86599999999999999</v>
      </c>
      <c r="T36">
        <v>0.15029999999999999</v>
      </c>
      <c r="U36">
        <f t="shared" si="4"/>
        <v>0</v>
      </c>
      <c r="V36" t="str">
        <f t="shared" si="1"/>
        <v>Elementary Pupil Management</v>
      </c>
      <c r="W36" t="str">
        <f t="shared" si="2"/>
        <v>Pupil Management</v>
      </c>
      <c r="Y36" s="88" t="s">
        <v>1463</v>
      </c>
      <c r="Z36" s="90">
        <v>0</v>
      </c>
      <c r="AA36" s="90"/>
      <c r="AB36" s="90"/>
      <c r="AC36" s="90"/>
      <c r="AD36" s="90"/>
      <c r="AE36" s="90"/>
      <c r="AF36" s="90">
        <v>0</v>
      </c>
      <c r="AG36" s="90"/>
      <c r="AI36" s="88" t="s">
        <v>1463</v>
      </c>
      <c r="AJ36" s="90">
        <v>0</v>
      </c>
      <c r="AK36" s="90">
        <f t="shared" si="6"/>
        <v>0</v>
      </c>
      <c r="AL36" s="90">
        <f t="shared" si="7"/>
        <v>0</v>
      </c>
      <c r="AM36" s="90">
        <f t="shared" si="8"/>
        <v>0</v>
      </c>
      <c r="AN36" s="90">
        <f t="shared" si="9"/>
        <v>0</v>
      </c>
      <c r="AO36" t="e">
        <f>#REF!</f>
        <v>#REF!</v>
      </c>
      <c r="AP36" s="119" t="s">
        <v>1379</v>
      </c>
      <c r="AQ36" s="90">
        <v>4.1950000000000003</v>
      </c>
      <c r="AR36" s="119" t="s">
        <v>1379</v>
      </c>
      <c r="AS36" s="90">
        <v>1.288</v>
      </c>
      <c r="AT36" s="119" t="s">
        <v>1286</v>
      </c>
      <c r="AU36" s="90">
        <v>101.33999999999997</v>
      </c>
      <c r="AX36" s="119" t="s">
        <v>1382</v>
      </c>
      <c r="AY36" s="90">
        <v>1.2050000000000001</v>
      </c>
      <c r="BA36" s="88" t="s">
        <v>1371</v>
      </c>
      <c r="BB36" s="90">
        <v>10.061</v>
      </c>
      <c r="BM36" t="s">
        <v>1267</v>
      </c>
      <c r="BN36" t="s">
        <v>1362</v>
      </c>
      <c r="BO36" s="90">
        <v>0.54</v>
      </c>
      <c r="BQ36" t="str">
        <f t="shared" si="10"/>
        <v>44</v>
      </c>
      <c r="BR36" s="134" t="s">
        <v>993</v>
      </c>
      <c r="BS36">
        <v>3.2000000000000001E-2</v>
      </c>
      <c r="BT36" s="248" t="s">
        <v>1508</v>
      </c>
      <c r="BU36" s="34" t="s">
        <v>759</v>
      </c>
      <c r="BV36" t="s">
        <v>1329</v>
      </c>
      <c r="BW36">
        <v>0</v>
      </c>
      <c r="BY36" t="s">
        <v>1544</v>
      </c>
      <c r="BZ36" s="90">
        <v>4.5679999999999996</v>
      </c>
    </row>
    <row r="37" spans="1:78" x14ac:dyDescent="0.25">
      <c r="A37">
        <v>1160</v>
      </c>
      <c r="B37" t="s">
        <v>1299</v>
      </c>
      <c r="C37">
        <v>4.2000000000000003E-2</v>
      </c>
      <c r="D37" t="s">
        <v>1264</v>
      </c>
      <c r="E37">
        <v>100220</v>
      </c>
      <c r="F37">
        <v>1160</v>
      </c>
      <c r="G37" t="str">
        <f t="shared" si="0"/>
        <v>01160</v>
      </c>
      <c r="H37" t="s">
        <v>308</v>
      </c>
      <c r="I37" t="s">
        <v>1265</v>
      </c>
      <c r="J37" t="s">
        <v>1271</v>
      </c>
      <c r="K37" t="s">
        <v>1272</v>
      </c>
      <c r="L37" t="s">
        <v>1299</v>
      </c>
      <c r="M37" t="s">
        <v>1300</v>
      </c>
      <c r="N37">
        <v>1</v>
      </c>
      <c r="O37" t="str">
        <f t="shared" si="3"/>
        <v>25</v>
      </c>
      <c r="Q37">
        <v>25</v>
      </c>
      <c r="R37" t="s">
        <v>1269</v>
      </c>
      <c r="S37">
        <v>4.2000000000000003E-2</v>
      </c>
      <c r="T37">
        <v>0.15029999999999999</v>
      </c>
      <c r="U37">
        <f t="shared" si="4"/>
        <v>0</v>
      </c>
      <c r="V37" t="str">
        <f t="shared" si="1"/>
        <v>High Pupil Management</v>
      </c>
      <c r="W37" t="str">
        <f t="shared" si="2"/>
        <v>Pupil Management</v>
      </c>
      <c r="Y37" s="88" t="s">
        <v>1462</v>
      </c>
      <c r="Z37" s="90"/>
      <c r="AA37" s="90">
        <v>1.2</v>
      </c>
      <c r="AB37" s="90"/>
      <c r="AC37" s="90"/>
      <c r="AD37" s="90"/>
      <c r="AE37" s="90"/>
      <c r="AF37" s="90">
        <v>1.2</v>
      </c>
      <c r="AG37" s="90"/>
      <c r="AI37" s="88" t="s">
        <v>1462</v>
      </c>
      <c r="AJ37" s="90">
        <v>0</v>
      </c>
      <c r="AK37" s="90">
        <f t="shared" si="6"/>
        <v>0</v>
      </c>
      <c r="AL37" s="90">
        <f t="shared" si="7"/>
        <v>0</v>
      </c>
      <c r="AM37" s="90">
        <f t="shared" si="8"/>
        <v>1.2</v>
      </c>
      <c r="AN37" s="90">
        <f t="shared" si="9"/>
        <v>1.2</v>
      </c>
      <c r="AO37" s="261" t="e">
        <f>SUM(AO35:AO36)</f>
        <v>#REF!</v>
      </c>
      <c r="AP37" s="119" t="s">
        <v>1383</v>
      </c>
      <c r="AQ37" s="90">
        <v>162.89399999999998</v>
      </c>
      <c r="AR37" s="119" t="s">
        <v>1383</v>
      </c>
      <c r="AS37" s="90">
        <v>43.092000000000006</v>
      </c>
      <c r="AT37" s="119" t="s">
        <v>1299</v>
      </c>
      <c r="AU37" s="90">
        <v>1057.1389999999999</v>
      </c>
      <c r="AX37" s="119" t="s">
        <v>1290</v>
      </c>
      <c r="AY37" s="90">
        <v>18.603999999999996</v>
      </c>
      <c r="BA37" s="88" t="s">
        <v>1334</v>
      </c>
      <c r="BB37" s="90">
        <v>12.873999999999999</v>
      </c>
      <c r="BM37" t="s">
        <v>1267</v>
      </c>
      <c r="BN37" t="s">
        <v>1363</v>
      </c>
      <c r="BO37" s="90">
        <v>22.510999999999996</v>
      </c>
      <c r="BQ37" t="str">
        <f t="shared" si="10"/>
        <v>45</v>
      </c>
      <c r="BR37" s="134" t="s">
        <v>994</v>
      </c>
      <c r="BS37">
        <v>3.3000000000000002E-2</v>
      </c>
      <c r="BT37" s="248" t="s">
        <v>1509</v>
      </c>
      <c r="BU37" s="34" t="s">
        <v>759</v>
      </c>
      <c r="BV37" t="s">
        <v>1294</v>
      </c>
      <c r="BW37">
        <v>0</v>
      </c>
      <c r="BY37" t="s">
        <v>1532</v>
      </c>
      <c r="BZ37" s="90">
        <v>48.674999999999997</v>
      </c>
    </row>
    <row r="38" spans="1:78" x14ac:dyDescent="0.25">
      <c r="A38">
        <v>1160</v>
      </c>
      <c r="B38" t="s">
        <v>1315</v>
      </c>
      <c r="C38">
        <v>0.59899999999999998</v>
      </c>
      <c r="D38" t="s">
        <v>1264</v>
      </c>
      <c r="E38">
        <v>100220</v>
      </c>
      <c r="F38">
        <v>1160</v>
      </c>
      <c r="G38" t="str">
        <f t="shared" si="0"/>
        <v>01160</v>
      </c>
      <c r="H38" t="s">
        <v>308</v>
      </c>
      <c r="I38" t="s">
        <v>1265</v>
      </c>
      <c r="J38" t="s">
        <v>1276</v>
      </c>
      <c r="K38" t="s">
        <v>1277</v>
      </c>
      <c r="L38" t="s">
        <v>1315</v>
      </c>
      <c r="M38" t="s">
        <v>1375</v>
      </c>
      <c r="N38">
        <v>1</v>
      </c>
      <c r="O38" t="str">
        <f t="shared" si="3"/>
        <v>26</v>
      </c>
      <c r="Q38">
        <v>26</v>
      </c>
      <c r="R38" t="s">
        <v>1269</v>
      </c>
      <c r="S38">
        <v>0.59899999999999998</v>
      </c>
      <c r="T38">
        <v>0.15029999999999999</v>
      </c>
      <c r="U38">
        <f t="shared" si="4"/>
        <v>0</v>
      </c>
      <c r="V38" t="str">
        <f t="shared" si="1"/>
        <v>Elementary Health/
Related Services</v>
      </c>
      <c r="W38" t="str">
        <f t="shared" si="2"/>
        <v>Health/
Related Services</v>
      </c>
      <c r="Y38" s="88" t="s">
        <v>1350</v>
      </c>
      <c r="Z38" s="90"/>
      <c r="AA38" s="90"/>
      <c r="AB38" s="90">
        <v>4.2629999999999999</v>
      </c>
      <c r="AC38" s="90"/>
      <c r="AD38" s="90"/>
      <c r="AE38" s="90">
        <v>0</v>
      </c>
      <c r="AF38" s="90">
        <v>4.2629999999999999</v>
      </c>
      <c r="AG38" s="90"/>
      <c r="AI38" s="88" t="s">
        <v>1350</v>
      </c>
      <c r="AJ38" s="90">
        <v>0</v>
      </c>
      <c r="AK38" s="90">
        <f t="shared" si="6"/>
        <v>4.2629999999999999</v>
      </c>
      <c r="AL38" s="90">
        <f t="shared" si="7"/>
        <v>0</v>
      </c>
      <c r="AM38" s="90">
        <f t="shared" si="8"/>
        <v>0</v>
      </c>
      <c r="AN38" s="90">
        <f t="shared" si="9"/>
        <v>4.2629999999999999</v>
      </c>
      <c r="AP38" s="119" t="s">
        <v>1324</v>
      </c>
      <c r="AQ38" s="90">
        <v>330.07799999999997</v>
      </c>
      <c r="AR38" s="119" t="s">
        <v>1324</v>
      </c>
      <c r="AS38" s="90">
        <v>84.658000000000015</v>
      </c>
      <c r="AT38" s="119" t="s">
        <v>1295</v>
      </c>
      <c r="AU38" s="90">
        <v>591.59000000000015</v>
      </c>
      <c r="AX38" s="119" t="s">
        <v>1402</v>
      </c>
      <c r="AY38" s="90">
        <v>48.981000000000002</v>
      </c>
      <c r="BA38" s="88" t="s">
        <v>1335</v>
      </c>
      <c r="BB38" s="90">
        <v>365.64899999999983</v>
      </c>
      <c r="BM38" t="s">
        <v>1267</v>
      </c>
      <c r="BN38" t="s">
        <v>1322</v>
      </c>
      <c r="BO38" s="90">
        <v>8.7050000000000001</v>
      </c>
      <c r="BQ38" t="str">
        <f t="shared" si="10"/>
        <v>46</v>
      </c>
      <c r="BR38" s="134" t="s">
        <v>995</v>
      </c>
      <c r="BS38">
        <v>3.4000000000000002E-2</v>
      </c>
      <c r="BT38" s="248" t="s">
        <v>1549</v>
      </c>
      <c r="BU38" s="34" t="s">
        <v>759</v>
      </c>
      <c r="BV38" t="s">
        <v>1298</v>
      </c>
      <c r="BW38">
        <v>0</v>
      </c>
      <c r="BY38" t="s">
        <v>1529</v>
      </c>
      <c r="BZ38" s="90">
        <v>103.28400000000005</v>
      </c>
    </row>
    <row r="39" spans="1:78" x14ac:dyDescent="0.25">
      <c r="A39">
        <v>1160</v>
      </c>
      <c r="B39" t="s">
        <v>1270</v>
      </c>
      <c r="C39">
        <v>0.625</v>
      </c>
      <c r="D39" t="s">
        <v>1264</v>
      </c>
      <c r="E39">
        <v>100220</v>
      </c>
      <c r="F39">
        <v>1160</v>
      </c>
      <c r="G39" t="str">
        <f t="shared" si="0"/>
        <v>01160</v>
      </c>
      <c r="H39" t="s">
        <v>308</v>
      </c>
      <c r="I39" t="s">
        <v>1265</v>
      </c>
      <c r="J39" t="s">
        <v>1271</v>
      </c>
      <c r="K39" t="s">
        <v>1272</v>
      </c>
      <c r="L39" t="s">
        <v>1270</v>
      </c>
      <c r="M39" t="s">
        <v>1273</v>
      </c>
      <c r="N39">
        <v>1</v>
      </c>
      <c r="O39" t="str">
        <f t="shared" si="3"/>
        <v>42</v>
      </c>
      <c r="P39">
        <v>42</v>
      </c>
      <c r="R39" t="s">
        <v>1269</v>
      </c>
      <c r="S39">
        <v>0.625</v>
      </c>
      <c r="T39">
        <v>0.15029999999999999</v>
      </c>
      <c r="U39">
        <f t="shared" si="4"/>
        <v>0</v>
      </c>
      <c r="V39" t="str">
        <f t="shared" si="1"/>
        <v>High Counselor</v>
      </c>
      <c r="W39" t="str">
        <f t="shared" si="2"/>
        <v>Counselor</v>
      </c>
      <c r="Y39" s="88" t="s">
        <v>1404</v>
      </c>
      <c r="Z39" s="90">
        <v>0.78200000000000003</v>
      </c>
      <c r="AA39" s="90"/>
      <c r="AB39" s="90"/>
      <c r="AC39" s="90"/>
      <c r="AD39" s="90"/>
      <c r="AE39" s="90"/>
      <c r="AF39" s="90">
        <v>0.78200000000000003</v>
      </c>
      <c r="AG39" s="90"/>
      <c r="AI39" s="88" t="s">
        <v>1404</v>
      </c>
      <c r="AJ39" s="90">
        <v>0.15</v>
      </c>
      <c r="AK39" s="90">
        <f t="shared" si="6"/>
        <v>0</v>
      </c>
      <c r="AL39" s="90">
        <f t="shared" si="7"/>
        <v>0</v>
      </c>
      <c r="AM39" s="90">
        <f t="shared" si="8"/>
        <v>0</v>
      </c>
      <c r="AN39" s="90">
        <f t="shared" si="9"/>
        <v>0.15</v>
      </c>
      <c r="AP39" s="119" t="s">
        <v>1384</v>
      </c>
      <c r="AQ39" s="90">
        <v>2.7929999999999997</v>
      </c>
      <c r="AR39" s="119" t="s">
        <v>1384</v>
      </c>
      <c r="AS39" s="90">
        <v>0.7629999999999999</v>
      </c>
      <c r="AT39" s="119" t="s">
        <v>1270</v>
      </c>
      <c r="AU39" s="90">
        <v>926.64799999999957</v>
      </c>
      <c r="AX39" s="119" t="s">
        <v>1491</v>
      </c>
      <c r="AY39" s="90">
        <v>0</v>
      </c>
      <c r="BA39" s="88" t="s">
        <v>1397</v>
      </c>
      <c r="BB39" s="90">
        <v>5.08</v>
      </c>
      <c r="BM39" t="s">
        <v>1267</v>
      </c>
      <c r="BN39" t="s">
        <v>1291</v>
      </c>
      <c r="BO39" s="90">
        <v>39.97</v>
      </c>
      <c r="BQ39" t="str">
        <f t="shared" si="10"/>
        <v>47</v>
      </c>
      <c r="BR39" s="134" t="s">
        <v>996</v>
      </c>
      <c r="BS39">
        <v>3.5000000000000003E-2</v>
      </c>
      <c r="BT39" s="248" t="s">
        <v>1510</v>
      </c>
      <c r="BU39" s="34" t="s">
        <v>759</v>
      </c>
      <c r="BV39" t="s">
        <v>1334</v>
      </c>
      <c r="BW39">
        <v>0</v>
      </c>
      <c r="BY39" t="s">
        <v>1547</v>
      </c>
      <c r="BZ39" s="90">
        <v>62.993000000000031</v>
      </c>
    </row>
    <row r="40" spans="1:78" x14ac:dyDescent="0.25">
      <c r="A40">
        <v>2250</v>
      </c>
      <c r="B40" t="s">
        <v>1308</v>
      </c>
      <c r="C40">
        <v>0.14000000000000001</v>
      </c>
      <c r="D40" t="s">
        <v>1264</v>
      </c>
      <c r="E40">
        <v>100045</v>
      </c>
      <c r="F40">
        <v>2250</v>
      </c>
      <c r="G40" t="str">
        <f t="shared" si="0"/>
        <v>02250</v>
      </c>
      <c r="H40" t="s">
        <v>309</v>
      </c>
      <c r="I40" t="s">
        <v>1265</v>
      </c>
      <c r="J40" t="s">
        <v>1276</v>
      </c>
      <c r="K40" t="s">
        <v>1277</v>
      </c>
      <c r="L40" t="s">
        <v>1308</v>
      </c>
      <c r="M40" t="s">
        <v>1389</v>
      </c>
      <c r="N40">
        <v>1</v>
      </c>
      <c r="O40" t="str">
        <f t="shared" si="3"/>
        <v>25</v>
      </c>
      <c r="Q40">
        <v>25</v>
      </c>
      <c r="R40" t="s">
        <v>1269</v>
      </c>
      <c r="S40">
        <v>0.14000000000000001</v>
      </c>
      <c r="T40">
        <v>0.22459999999999999</v>
      </c>
      <c r="U40">
        <f t="shared" si="4"/>
        <v>0</v>
      </c>
      <c r="V40" t="str">
        <f t="shared" si="1"/>
        <v>Elementary Pupil Management</v>
      </c>
      <c r="W40" t="str">
        <f t="shared" si="2"/>
        <v>Pupil Management</v>
      </c>
      <c r="Y40" s="88" t="s">
        <v>1402</v>
      </c>
      <c r="Z40" s="90"/>
      <c r="AA40" s="90">
        <v>48.981000000000002</v>
      </c>
      <c r="AB40" s="90"/>
      <c r="AC40" s="90"/>
      <c r="AD40" s="90"/>
      <c r="AE40" s="90"/>
      <c r="AF40" s="90">
        <v>48.981000000000002</v>
      </c>
      <c r="AG40" s="90"/>
      <c r="AI40" s="88" t="s">
        <v>1402</v>
      </c>
      <c r="AJ40" s="90">
        <v>0</v>
      </c>
      <c r="AK40" s="90">
        <f t="shared" si="6"/>
        <v>0</v>
      </c>
      <c r="AL40" s="90">
        <f t="shared" si="7"/>
        <v>0</v>
      </c>
      <c r="AM40" s="90">
        <f t="shared" si="8"/>
        <v>48.981000000000002</v>
      </c>
      <c r="AN40" s="90">
        <f t="shared" si="9"/>
        <v>48.981000000000002</v>
      </c>
      <c r="AP40" s="119" t="s">
        <v>1385</v>
      </c>
      <c r="AQ40" s="90">
        <v>5.383</v>
      </c>
      <c r="AR40" s="119" t="s">
        <v>1385</v>
      </c>
      <c r="AS40" s="90">
        <v>1.431</v>
      </c>
      <c r="AT40" s="119" t="s">
        <v>1388</v>
      </c>
      <c r="AU40" s="90">
        <v>0.80800000000000005</v>
      </c>
      <c r="AX40" s="119" t="s">
        <v>1492</v>
      </c>
      <c r="AY40" s="90">
        <v>0</v>
      </c>
      <c r="BA40" s="88" t="s">
        <v>1341</v>
      </c>
      <c r="BB40" s="90">
        <v>174.29599999999994</v>
      </c>
      <c r="BM40" t="s">
        <v>1267</v>
      </c>
      <c r="BN40" t="s">
        <v>1364</v>
      </c>
      <c r="BO40" s="90">
        <v>1.7859999999999998</v>
      </c>
      <c r="BQ40" t="str">
        <f t="shared" si="10"/>
        <v>48</v>
      </c>
      <c r="BR40" s="134" t="s">
        <v>997</v>
      </c>
      <c r="BS40">
        <v>3.5999999999999997E-2</v>
      </c>
      <c r="BT40" s="248" t="s">
        <v>1511</v>
      </c>
      <c r="BU40" s="34" t="s">
        <v>759</v>
      </c>
      <c r="BV40" t="s">
        <v>1302</v>
      </c>
      <c r="BW40">
        <v>0</v>
      </c>
      <c r="BY40" t="s">
        <v>1524</v>
      </c>
      <c r="BZ40" s="90">
        <v>1.7859999999999998</v>
      </c>
    </row>
    <row r="41" spans="1:78" x14ac:dyDescent="0.25">
      <c r="A41">
        <v>2250</v>
      </c>
      <c r="B41" t="s">
        <v>1383</v>
      </c>
      <c r="C41">
        <v>3.9E-2</v>
      </c>
      <c r="D41" t="s">
        <v>1264</v>
      </c>
      <c r="E41">
        <v>100045</v>
      </c>
      <c r="F41">
        <v>2250</v>
      </c>
      <c r="G41" t="str">
        <f t="shared" si="0"/>
        <v>02250</v>
      </c>
      <c r="H41" t="s">
        <v>309</v>
      </c>
      <c r="I41" t="s">
        <v>1265</v>
      </c>
      <c r="J41" t="s">
        <v>1271</v>
      </c>
      <c r="K41" t="s">
        <v>1272</v>
      </c>
      <c r="L41" t="s">
        <v>1383</v>
      </c>
      <c r="M41" t="s">
        <v>1409</v>
      </c>
      <c r="N41">
        <v>21</v>
      </c>
      <c r="O41" t="str">
        <f t="shared" si="3"/>
        <v>25</v>
      </c>
      <c r="Q41">
        <v>25</v>
      </c>
      <c r="R41" t="s">
        <v>1269</v>
      </c>
      <c r="S41">
        <v>3.9E-2</v>
      </c>
      <c r="T41">
        <v>0.22459999999999999</v>
      </c>
      <c r="U41">
        <f t="shared" si="4"/>
        <v>8.9999999999999993E-3</v>
      </c>
      <c r="V41" t="str">
        <f t="shared" si="1"/>
        <v>High Pupil Management</v>
      </c>
      <c r="W41" t="str">
        <f t="shared" si="2"/>
        <v>Pupil Management</v>
      </c>
      <c r="Y41" s="88" t="s">
        <v>1401</v>
      </c>
      <c r="Z41" s="90"/>
      <c r="AA41" s="90"/>
      <c r="AB41" s="90">
        <v>241.34900000000002</v>
      </c>
      <c r="AC41" s="90"/>
      <c r="AD41" s="90"/>
      <c r="AE41" s="90">
        <v>0</v>
      </c>
      <c r="AF41" s="90">
        <v>241.34900000000002</v>
      </c>
      <c r="AG41" s="90"/>
      <c r="AI41" s="88" t="s">
        <v>1401</v>
      </c>
      <c r="AJ41" s="90">
        <v>0</v>
      </c>
      <c r="AK41" s="90">
        <f t="shared" si="6"/>
        <v>241.34900000000002</v>
      </c>
      <c r="AL41" s="90">
        <f t="shared" si="7"/>
        <v>0</v>
      </c>
      <c r="AM41" s="90">
        <f t="shared" si="8"/>
        <v>0</v>
      </c>
      <c r="AN41" s="90">
        <f t="shared" si="9"/>
        <v>241.34900000000002</v>
      </c>
      <c r="AP41" s="119" t="s">
        <v>1387</v>
      </c>
      <c r="AQ41" s="90">
        <v>97.703000000000017</v>
      </c>
      <c r="AR41" s="119" t="s">
        <v>1387</v>
      </c>
      <c r="AS41" s="90">
        <v>25.414999999999996</v>
      </c>
      <c r="AT41" s="119" t="s">
        <v>1359</v>
      </c>
      <c r="AU41" s="90">
        <v>39.434999999999995</v>
      </c>
      <c r="AX41" s="119" t="s">
        <v>1493</v>
      </c>
      <c r="AY41" s="90">
        <v>0</v>
      </c>
      <c r="BA41" s="88" t="s">
        <v>1372</v>
      </c>
      <c r="BB41" s="90">
        <v>1.087</v>
      </c>
      <c r="BM41" t="s">
        <v>1267</v>
      </c>
      <c r="BN41" t="s">
        <v>1365</v>
      </c>
      <c r="BO41" s="90">
        <v>4.5110000000000001</v>
      </c>
      <c r="BQ41" t="str">
        <f t="shared" si="10"/>
        <v>49</v>
      </c>
      <c r="BR41" s="134" t="s">
        <v>998</v>
      </c>
      <c r="BS41">
        <v>3.6999999999999998E-2</v>
      </c>
      <c r="BT41" s="248" t="s">
        <v>1512</v>
      </c>
      <c r="BU41" s="34" t="s">
        <v>759</v>
      </c>
      <c r="BV41" t="s">
        <v>1340</v>
      </c>
      <c r="BW41">
        <v>0</v>
      </c>
      <c r="BY41" t="s">
        <v>1530</v>
      </c>
      <c r="BZ41" s="90">
        <v>25.238</v>
      </c>
    </row>
    <row r="42" spans="1:78" x14ac:dyDescent="0.25">
      <c r="A42">
        <v>2250</v>
      </c>
      <c r="B42" t="s">
        <v>1299</v>
      </c>
      <c r="C42">
        <v>0.69199999999999995</v>
      </c>
      <c r="D42" t="s">
        <v>1264</v>
      </c>
      <c r="E42">
        <v>100045</v>
      </c>
      <c r="F42">
        <v>2250</v>
      </c>
      <c r="G42" t="str">
        <f t="shared" si="0"/>
        <v>02250</v>
      </c>
      <c r="H42" t="s">
        <v>309</v>
      </c>
      <c r="I42" t="s">
        <v>1265</v>
      </c>
      <c r="J42" t="s">
        <v>1271</v>
      </c>
      <c r="K42" t="s">
        <v>1272</v>
      </c>
      <c r="L42" t="s">
        <v>1299</v>
      </c>
      <c r="M42" t="s">
        <v>1300</v>
      </c>
      <c r="N42">
        <v>1</v>
      </c>
      <c r="O42" t="str">
        <f t="shared" si="3"/>
        <v>25</v>
      </c>
      <c r="Q42">
        <v>25</v>
      </c>
      <c r="R42" t="s">
        <v>1269</v>
      </c>
      <c r="S42">
        <v>0.69199999999999995</v>
      </c>
      <c r="T42">
        <v>0.22459999999999999</v>
      </c>
      <c r="U42">
        <f t="shared" si="4"/>
        <v>0</v>
      </c>
      <c r="V42" t="str">
        <f t="shared" si="1"/>
        <v>High Pupil Management</v>
      </c>
      <c r="W42" t="str">
        <f t="shared" si="2"/>
        <v>Pupil Management</v>
      </c>
      <c r="Y42" s="88" t="s">
        <v>1489</v>
      </c>
      <c r="Z42" s="90">
        <v>0</v>
      </c>
      <c r="AA42" s="90"/>
      <c r="AB42" s="90"/>
      <c r="AC42" s="90"/>
      <c r="AD42" s="90"/>
      <c r="AE42" s="90"/>
      <c r="AF42" s="90">
        <v>0</v>
      </c>
      <c r="AG42" s="90"/>
      <c r="AI42" s="88" t="s">
        <v>1489</v>
      </c>
      <c r="AJ42" s="90">
        <v>0</v>
      </c>
      <c r="AK42" s="90">
        <f t="shared" si="6"/>
        <v>0</v>
      </c>
      <c r="AL42" s="90">
        <f t="shared" si="7"/>
        <v>0</v>
      </c>
      <c r="AM42" s="90">
        <f t="shared" si="8"/>
        <v>0</v>
      </c>
      <c r="AN42" s="90">
        <f t="shared" si="9"/>
        <v>0</v>
      </c>
      <c r="AP42" s="119" t="s">
        <v>1390</v>
      </c>
      <c r="AQ42" s="90">
        <v>8.4670000000000005</v>
      </c>
      <c r="AR42" s="119" t="s">
        <v>1390</v>
      </c>
      <c r="AS42" s="90">
        <v>2.1219999999999999</v>
      </c>
      <c r="AT42" s="119" t="s">
        <v>1394</v>
      </c>
      <c r="AU42" s="90">
        <v>0.66800000000000004</v>
      </c>
      <c r="AX42" s="119" t="s">
        <v>1494</v>
      </c>
      <c r="AY42" s="90">
        <v>0</v>
      </c>
      <c r="BA42" s="88" t="s">
        <v>1338</v>
      </c>
      <c r="BB42" s="90">
        <v>102.19700000000002</v>
      </c>
      <c r="BM42" t="s">
        <v>1267</v>
      </c>
      <c r="BN42" t="s">
        <v>1263</v>
      </c>
      <c r="BO42" s="90">
        <v>511.82900000000006</v>
      </c>
      <c r="BQ42" t="str">
        <f t="shared" si="10"/>
        <v>64</v>
      </c>
      <c r="BR42" s="134" t="s">
        <v>999</v>
      </c>
      <c r="BS42">
        <v>3.7999999999999999E-2</v>
      </c>
      <c r="BT42" s="248" t="s">
        <v>1513</v>
      </c>
      <c r="BU42" s="34" t="s">
        <v>759</v>
      </c>
      <c r="BV42" t="s">
        <v>1306</v>
      </c>
      <c r="BW42">
        <v>0</v>
      </c>
      <c r="BY42" t="s">
        <v>1550</v>
      </c>
      <c r="BZ42" s="90">
        <v>145.57500000000002</v>
      </c>
    </row>
    <row r="43" spans="1:78" x14ac:dyDescent="0.25">
      <c r="A43">
        <v>2250</v>
      </c>
      <c r="B43" t="s">
        <v>1311</v>
      </c>
      <c r="C43">
        <v>0.496</v>
      </c>
      <c r="D43" t="s">
        <v>1264</v>
      </c>
      <c r="E43">
        <v>100045</v>
      </c>
      <c r="F43">
        <v>2250</v>
      </c>
      <c r="G43" t="str">
        <f t="shared" si="0"/>
        <v>02250</v>
      </c>
      <c r="H43" t="s">
        <v>309</v>
      </c>
      <c r="I43" t="s">
        <v>1265</v>
      </c>
      <c r="J43" t="s">
        <v>1276</v>
      </c>
      <c r="K43" t="s">
        <v>1277</v>
      </c>
      <c r="L43" t="s">
        <v>1311</v>
      </c>
      <c r="M43" t="s">
        <v>1327</v>
      </c>
      <c r="N43">
        <v>21</v>
      </c>
      <c r="O43" t="str">
        <f t="shared" si="3"/>
        <v>26</v>
      </c>
      <c r="Q43">
        <v>26</v>
      </c>
      <c r="R43" t="s">
        <v>1269</v>
      </c>
      <c r="S43">
        <v>0.496</v>
      </c>
      <c r="T43">
        <v>0.22459999999999999</v>
      </c>
      <c r="U43">
        <f t="shared" si="4"/>
        <v>0.111</v>
      </c>
      <c r="V43" t="str">
        <f t="shared" si="1"/>
        <v>Elementary Health/
Related Services</v>
      </c>
      <c r="W43" t="str">
        <f t="shared" si="2"/>
        <v>Health/
Related Services</v>
      </c>
      <c r="Y43" s="88" t="s">
        <v>1378</v>
      </c>
      <c r="Z43" s="90"/>
      <c r="AA43" s="90">
        <v>8.1769999999999996</v>
      </c>
      <c r="AB43" s="90"/>
      <c r="AC43" s="90"/>
      <c r="AD43" s="90"/>
      <c r="AE43" s="90"/>
      <c r="AF43" s="90">
        <v>8.1769999999999996</v>
      </c>
      <c r="AG43" s="90"/>
      <c r="AI43" s="88" t="s">
        <v>1378</v>
      </c>
      <c r="AJ43" s="90">
        <v>0</v>
      </c>
      <c r="AK43" s="90">
        <f t="shared" si="6"/>
        <v>0</v>
      </c>
      <c r="AL43" s="90">
        <f t="shared" si="7"/>
        <v>0</v>
      </c>
      <c r="AM43" s="90">
        <f t="shared" si="8"/>
        <v>8.1769999999999996</v>
      </c>
      <c r="AN43" s="90">
        <f t="shared" si="9"/>
        <v>8.1769999999999996</v>
      </c>
      <c r="AP43" s="119" t="s">
        <v>1326</v>
      </c>
      <c r="AQ43" s="90">
        <v>273.64699999999999</v>
      </c>
      <c r="AR43" s="119" t="s">
        <v>1326</v>
      </c>
      <c r="AS43" s="90">
        <v>70.495000000000047</v>
      </c>
      <c r="AT43" s="119" t="s">
        <v>1396</v>
      </c>
      <c r="AU43" s="90">
        <v>13.183999999999999</v>
      </c>
      <c r="AX43" s="119" t="s">
        <v>1495</v>
      </c>
      <c r="AY43" s="90">
        <v>0</v>
      </c>
      <c r="BA43" s="88" t="s">
        <v>1302</v>
      </c>
      <c r="BB43" s="90">
        <v>137.92099999999999</v>
      </c>
      <c r="BM43" t="s">
        <v>1267</v>
      </c>
      <c r="BN43" t="s">
        <v>1303</v>
      </c>
      <c r="BO43" s="90">
        <v>62.614000000000033</v>
      </c>
      <c r="BQ43" t="str">
        <f t="shared" si="10"/>
        <v>24</v>
      </c>
      <c r="BR43" s="134" t="s">
        <v>1000</v>
      </c>
      <c r="BS43">
        <v>3.9E-2</v>
      </c>
      <c r="BT43" s="248" t="s">
        <v>1551</v>
      </c>
      <c r="BU43" s="34" t="s">
        <v>759</v>
      </c>
      <c r="BV43" t="s">
        <v>1288</v>
      </c>
      <c r="BW43">
        <v>0</v>
      </c>
      <c r="BY43" t="s">
        <v>1553</v>
      </c>
      <c r="BZ43" s="90">
        <v>24.424999999999994</v>
      </c>
    </row>
    <row r="44" spans="1:78" x14ac:dyDescent="0.25">
      <c r="A44">
        <v>2250</v>
      </c>
      <c r="B44" t="s">
        <v>1295</v>
      </c>
      <c r="C44">
        <v>3.0310000000000001</v>
      </c>
      <c r="D44" t="s">
        <v>1264</v>
      </c>
      <c r="E44">
        <v>100045</v>
      </c>
      <c r="F44">
        <v>2250</v>
      </c>
      <c r="G44" t="str">
        <f t="shared" si="0"/>
        <v>02250</v>
      </c>
      <c r="H44" t="s">
        <v>309</v>
      </c>
      <c r="I44" t="s">
        <v>1265</v>
      </c>
      <c r="J44" t="s">
        <v>1271</v>
      </c>
      <c r="K44" t="s">
        <v>1272</v>
      </c>
      <c r="L44" t="s">
        <v>1295</v>
      </c>
      <c r="M44" t="s">
        <v>1296</v>
      </c>
      <c r="N44">
        <v>1</v>
      </c>
      <c r="O44" t="str">
        <f t="shared" si="3"/>
        <v>26</v>
      </c>
      <c r="Q44">
        <v>26</v>
      </c>
      <c r="R44" t="s">
        <v>1269</v>
      </c>
      <c r="S44">
        <v>3.0310000000000001</v>
      </c>
      <c r="T44">
        <v>0.22459999999999999</v>
      </c>
      <c r="U44">
        <f t="shared" si="4"/>
        <v>0</v>
      </c>
      <c r="V44" t="str">
        <f t="shared" si="1"/>
        <v>High Health/
Related Services</v>
      </c>
      <c r="W44" t="str">
        <f t="shared" si="2"/>
        <v>Health/
Related Services</v>
      </c>
      <c r="Y44" s="88" t="s">
        <v>1377</v>
      </c>
      <c r="Z44" s="90"/>
      <c r="AA44" s="90"/>
      <c r="AB44" s="90">
        <v>17.316999999999997</v>
      </c>
      <c r="AC44" s="90"/>
      <c r="AD44" s="90"/>
      <c r="AE44" s="90">
        <v>0</v>
      </c>
      <c r="AF44" s="90">
        <v>17.316999999999997</v>
      </c>
      <c r="AG44" s="90"/>
      <c r="AI44" s="88" t="s">
        <v>1377</v>
      </c>
      <c r="AJ44" s="90">
        <v>0</v>
      </c>
      <c r="AK44" s="90">
        <f t="shared" si="6"/>
        <v>17.316999999999997</v>
      </c>
      <c r="AL44" s="90">
        <f t="shared" si="7"/>
        <v>0</v>
      </c>
      <c r="AM44" s="90">
        <f t="shared" si="8"/>
        <v>0</v>
      </c>
      <c r="AN44" s="90">
        <f t="shared" si="9"/>
        <v>17.316999999999997</v>
      </c>
      <c r="AP44" s="119" t="s">
        <v>1309</v>
      </c>
      <c r="AQ44" s="90">
        <v>247.57800000000009</v>
      </c>
      <c r="AR44" s="119" t="s">
        <v>1309</v>
      </c>
      <c r="AS44" s="90">
        <v>63.205999999999982</v>
      </c>
      <c r="AT44" s="119" t="s">
        <v>1341</v>
      </c>
      <c r="AU44" s="90">
        <v>174.29599999999999</v>
      </c>
      <c r="AX44" s="119" t="s">
        <v>1496</v>
      </c>
      <c r="AY44" s="90">
        <v>0</v>
      </c>
      <c r="BA44" s="88" t="s">
        <v>1337</v>
      </c>
      <c r="BB44" s="90">
        <v>1.0650000000000002</v>
      </c>
      <c r="BM44" t="s">
        <v>1267</v>
      </c>
      <c r="BN44" t="s">
        <v>1368</v>
      </c>
      <c r="BO44" s="90">
        <v>0.379</v>
      </c>
      <c r="BQ44" t="str">
        <f t="shared" si="10"/>
        <v>25</v>
      </c>
      <c r="BR44" s="134" t="s">
        <v>1001</v>
      </c>
      <c r="BS44">
        <v>0.04</v>
      </c>
      <c r="BT44" s="249" t="s">
        <v>1552</v>
      </c>
      <c r="BU44" s="34" t="s">
        <v>759</v>
      </c>
      <c r="BV44" t="s">
        <v>1301</v>
      </c>
      <c r="BW44">
        <v>0</v>
      </c>
      <c r="BY44" t="s">
        <v>1533</v>
      </c>
      <c r="BZ44" s="90">
        <v>25.494</v>
      </c>
    </row>
    <row r="45" spans="1:78" x14ac:dyDescent="0.25">
      <c r="A45">
        <v>2250</v>
      </c>
      <c r="B45" t="s">
        <v>1270</v>
      </c>
      <c r="C45">
        <v>1.5</v>
      </c>
      <c r="D45" t="s">
        <v>1264</v>
      </c>
      <c r="E45">
        <v>100045</v>
      </c>
      <c r="F45">
        <v>2250</v>
      </c>
      <c r="G45" t="str">
        <f t="shared" si="0"/>
        <v>02250</v>
      </c>
      <c r="H45" t="s">
        <v>309</v>
      </c>
      <c r="I45" t="s">
        <v>1265</v>
      </c>
      <c r="J45" t="s">
        <v>1271</v>
      </c>
      <c r="K45" t="s">
        <v>1272</v>
      </c>
      <c r="L45" t="s">
        <v>1270</v>
      </c>
      <c r="M45" t="s">
        <v>1273</v>
      </c>
      <c r="N45">
        <v>1</v>
      </c>
      <c r="O45" t="str">
        <f t="shared" si="3"/>
        <v>42</v>
      </c>
      <c r="P45">
        <v>42</v>
      </c>
      <c r="R45" t="s">
        <v>1269</v>
      </c>
      <c r="S45">
        <v>1.5</v>
      </c>
      <c r="T45">
        <v>0.22459999999999999</v>
      </c>
      <c r="U45">
        <f t="shared" si="4"/>
        <v>0</v>
      </c>
      <c r="V45" t="str">
        <f t="shared" si="1"/>
        <v>High Counselor</v>
      </c>
      <c r="W45" t="str">
        <f t="shared" si="2"/>
        <v>Counselor</v>
      </c>
      <c r="Y45" s="88" t="s">
        <v>1464</v>
      </c>
      <c r="Z45" s="90"/>
      <c r="AA45" s="90"/>
      <c r="AB45" s="90"/>
      <c r="AC45" s="90"/>
      <c r="AD45" s="90">
        <v>0</v>
      </c>
      <c r="AE45" s="90"/>
      <c r="AF45" s="90">
        <v>0</v>
      </c>
      <c r="AG45" s="90"/>
      <c r="AI45" s="88" t="s">
        <v>1464</v>
      </c>
      <c r="AJ45" s="90">
        <v>0</v>
      </c>
      <c r="AK45" s="90">
        <f t="shared" si="6"/>
        <v>0</v>
      </c>
      <c r="AL45" s="90">
        <f t="shared" si="7"/>
        <v>0</v>
      </c>
      <c r="AM45" s="90">
        <f t="shared" si="8"/>
        <v>0</v>
      </c>
      <c r="AN45" s="90">
        <f t="shared" si="9"/>
        <v>0</v>
      </c>
      <c r="AO45" s="90">
        <f>SUM(AN45:AN54)</f>
        <v>5.7469999999999999</v>
      </c>
      <c r="AP45" s="119" t="s">
        <v>1397</v>
      </c>
      <c r="AQ45" s="90">
        <v>5.08</v>
      </c>
      <c r="AR45" s="119" t="s">
        <v>1397</v>
      </c>
      <c r="AS45" s="90">
        <v>1.2619999999999998</v>
      </c>
      <c r="AT45" s="119" t="s">
        <v>1398</v>
      </c>
      <c r="AU45" s="90">
        <v>0.153</v>
      </c>
      <c r="AX45" s="119" t="s">
        <v>1497</v>
      </c>
      <c r="AY45" s="90">
        <v>0</v>
      </c>
      <c r="BA45" s="88" t="s">
        <v>1330</v>
      </c>
      <c r="BB45" s="90">
        <v>39.762</v>
      </c>
      <c r="BM45" t="s">
        <v>1267</v>
      </c>
      <c r="BN45" t="s">
        <v>1369</v>
      </c>
      <c r="BO45" s="90">
        <v>4.5449999999999999</v>
      </c>
      <c r="BQ45" t="str">
        <f t="shared" si="10"/>
        <v>26</v>
      </c>
      <c r="BR45" s="134" t="s">
        <v>1002</v>
      </c>
      <c r="BS45">
        <v>4.1000000000000002E-2</v>
      </c>
      <c r="BT45" s="248" t="s">
        <v>1514</v>
      </c>
      <c r="BU45" s="34" t="s">
        <v>759</v>
      </c>
      <c r="BV45" t="s">
        <v>1311</v>
      </c>
      <c r="BW45">
        <v>0</v>
      </c>
      <c r="BY45" t="s">
        <v>1526</v>
      </c>
      <c r="BZ45" s="90">
        <v>33.469000000000001</v>
      </c>
    </row>
    <row r="46" spans="1:78" x14ac:dyDescent="0.25">
      <c r="A46">
        <v>2250</v>
      </c>
      <c r="B46" t="s">
        <v>1263</v>
      </c>
      <c r="C46">
        <v>0.6</v>
      </c>
      <c r="D46" t="s">
        <v>1264</v>
      </c>
      <c r="E46">
        <v>100045</v>
      </c>
      <c r="F46">
        <v>2250</v>
      </c>
      <c r="G46" t="str">
        <f t="shared" si="0"/>
        <v>02250</v>
      </c>
      <c r="H46" t="s">
        <v>309</v>
      </c>
      <c r="I46" t="s">
        <v>1265</v>
      </c>
      <c r="J46" t="s">
        <v>1266</v>
      </c>
      <c r="K46" t="s">
        <v>1267</v>
      </c>
      <c r="L46" t="s">
        <v>1263</v>
      </c>
      <c r="M46" t="s">
        <v>1268</v>
      </c>
      <c r="N46">
        <v>1</v>
      </c>
      <c r="O46" t="str">
        <f t="shared" si="3"/>
        <v>42</v>
      </c>
      <c r="P46">
        <v>42</v>
      </c>
      <c r="R46" t="s">
        <v>1269</v>
      </c>
      <c r="S46">
        <v>0.6</v>
      </c>
      <c r="T46">
        <v>0.22459999999999999</v>
      </c>
      <c r="U46">
        <f t="shared" si="4"/>
        <v>0</v>
      </c>
      <c r="V46" t="str">
        <f t="shared" si="1"/>
        <v>Middle Counselor</v>
      </c>
      <c r="W46" t="str">
        <f t="shared" si="2"/>
        <v>Counselor</v>
      </c>
      <c r="Y46" s="88" t="s">
        <v>1319</v>
      </c>
      <c r="Z46" s="90">
        <v>13.083999999999998</v>
      </c>
      <c r="AA46" s="90"/>
      <c r="AB46" s="90"/>
      <c r="AC46" s="90"/>
      <c r="AD46" s="90"/>
      <c r="AE46" s="90"/>
      <c r="AF46" s="90">
        <v>13.083999999999998</v>
      </c>
      <c r="AG46" s="90"/>
      <c r="AI46" s="88" t="s">
        <v>1319</v>
      </c>
      <c r="AJ46" s="90">
        <v>3.4769999999999999</v>
      </c>
      <c r="AK46" s="90">
        <f t="shared" si="6"/>
        <v>0</v>
      </c>
      <c r="AL46" s="90">
        <f t="shared" si="7"/>
        <v>0</v>
      </c>
      <c r="AM46" s="90">
        <f t="shared" si="8"/>
        <v>0</v>
      </c>
      <c r="AN46" s="90">
        <f t="shared" si="9"/>
        <v>3.4769999999999999</v>
      </c>
      <c r="AO46" t="e">
        <f>#REF!</f>
        <v>#REF!</v>
      </c>
      <c r="AP46" s="119" t="s">
        <v>1330</v>
      </c>
      <c r="AQ46" s="90">
        <v>39.762000000000008</v>
      </c>
      <c r="AR46" s="119" t="s">
        <v>1330</v>
      </c>
      <c r="AS46" s="90">
        <v>10.447999999999999</v>
      </c>
      <c r="AT46" s="119" t="s">
        <v>1399</v>
      </c>
      <c r="AU46" s="90">
        <v>2.1559999999999997</v>
      </c>
      <c r="AX46" s="119" t="s">
        <v>1498</v>
      </c>
      <c r="AY46" s="90">
        <v>0</v>
      </c>
      <c r="BA46" s="88" t="s">
        <v>1398</v>
      </c>
      <c r="BB46" s="90">
        <v>0.153</v>
      </c>
      <c r="BM46" t="s">
        <v>1267</v>
      </c>
      <c r="BN46" t="s">
        <v>1356</v>
      </c>
      <c r="BO46" s="90">
        <v>28.923999999999999</v>
      </c>
      <c r="BQ46" t="str">
        <f t="shared" si="10"/>
        <v>35</v>
      </c>
      <c r="BR46" s="220" t="s">
        <v>1169</v>
      </c>
      <c r="BS46">
        <v>4.2000000000000003E-2</v>
      </c>
      <c r="BT46" s="249" t="s">
        <v>1515</v>
      </c>
      <c r="BU46" s="34" t="s">
        <v>759</v>
      </c>
      <c r="BV46" t="s">
        <v>1463</v>
      </c>
      <c r="BW46">
        <v>0</v>
      </c>
      <c r="BY46" t="s">
        <v>1527</v>
      </c>
      <c r="BZ46" s="90">
        <v>151.82300000000004</v>
      </c>
    </row>
    <row r="47" spans="1:78" x14ac:dyDescent="0.25">
      <c r="A47">
        <v>2250</v>
      </c>
      <c r="B47" t="s">
        <v>1289</v>
      </c>
      <c r="C47">
        <v>1.857</v>
      </c>
      <c r="D47" t="s">
        <v>1264</v>
      </c>
      <c r="E47">
        <v>100045</v>
      </c>
      <c r="F47">
        <v>2250</v>
      </c>
      <c r="G47" t="str">
        <f t="shared" si="0"/>
        <v>02250</v>
      </c>
      <c r="H47" t="s">
        <v>309</v>
      </c>
      <c r="I47" t="s">
        <v>1265</v>
      </c>
      <c r="J47" t="s">
        <v>1276</v>
      </c>
      <c r="K47" t="s">
        <v>1277</v>
      </c>
      <c r="L47" t="s">
        <v>1289</v>
      </c>
      <c r="M47" t="s">
        <v>1307</v>
      </c>
      <c r="N47">
        <v>21</v>
      </c>
      <c r="O47" t="str">
        <f t="shared" si="3"/>
        <v>43</v>
      </c>
      <c r="P47">
        <v>43</v>
      </c>
      <c r="R47" t="s">
        <v>1269</v>
      </c>
      <c r="S47">
        <v>1.857</v>
      </c>
      <c r="T47">
        <v>0.22459999999999999</v>
      </c>
      <c r="U47">
        <f t="shared" si="4"/>
        <v>0.41699999999999998</v>
      </c>
      <c r="V47" t="str">
        <f t="shared" si="1"/>
        <v>Elementary Occupational Therapist</v>
      </c>
      <c r="W47" t="str">
        <f t="shared" si="2"/>
        <v>Occupational Therapist</v>
      </c>
      <c r="Y47" s="88" t="s">
        <v>1451</v>
      </c>
      <c r="Z47" s="90"/>
      <c r="AA47" s="90">
        <v>0</v>
      </c>
      <c r="AB47" s="90"/>
      <c r="AC47" s="90"/>
      <c r="AD47" s="90"/>
      <c r="AE47" s="90"/>
      <c r="AF47" s="90">
        <v>0</v>
      </c>
      <c r="AG47" s="90"/>
      <c r="AI47" s="88" t="s">
        <v>1451</v>
      </c>
      <c r="AJ47" s="90">
        <v>0</v>
      </c>
      <c r="AK47" s="90">
        <f t="shared" si="6"/>
        <v>0</v>
      </c>
      <c r="AL47" s="90">
        <f t="shared" si="7"/>
        <v>0</v>
      </c>
      <c r="AM47" s="90">
        <f t="shared" si="8"/>
        <v>0</v>
      </c>
      <c r="AN47" s="90">
        <f t="shared" si="9"/>
        <v>0</v>
      </c>
      <c r="AO47" s="261">
        <f>SUM(AO45:AP45)</f>
        <v>5.7469999999999999</v>
      </c>
      <c r="AP47" s="119" t="s">
        <v>1392</v>
      </c>
      <c r="AQ47" s="90">
        <v>19.144000000000002</v>
      </c>
      <c r="AR47" s="119" t="s">
        <v>1392</v>
      </c>
      <c r="AS47" s="90">
        <v>4.7539999999999996</v>
      </c>
      <c r="AT47" s="119" t="s">
        <v>1400</v>
      </c>
      <c r="AU47" s="90">
        <v>0.497</v>
      </c>
      <c r="AX47" s="119" t="s">
        <v>1499</v>
      </c>
      <c r="AY47" s="90">
        <v>0</v>
      </c>
      <c r="BA47" s="88" t="s">
        <v>1316</v>
      </c>
      <c r="BB47" s="90">
        <v>25.138999999999999</v>
      </c>
      <c r="BM47" t="s">
        <v>1267</v>
      </c>
      <c r="BN47" t="s">
        <v>1312</v>
      </c>
      <c r="BO47" s="90">
        <v>151.15500000000003</v>
      </c>
      <c r="BQ47" t="str">
        <f t="shared" si="10"/>
        <v>39</v>
      </c>
      <c r="BR47" s="200" t="s">
        <v>1116</v>
      </c>
      <c r="BS47">
        <v>4.2999999999999997E-2</v>
      </c>
      <c r="BT47" s="250" t="s">
        <v>1516</v>
      </c>
      <c r="BU47" s="34" t="s">
        <v>759</v>
      </c>
      <c r="BV47" t="s">
        <v>1464</v>
      </c>
      <c r="BW47">
        <v>0</v>
      </c>
      <c r="BY47" t="s">
        <v>1521</v>
      </c>
      <c r="BZ47" s="90">
        <v>0</v>
      </c>
    </row>
    <row r="48" spans="1:78" x14ac:dyDescent="0.25">
      <c r="A48">
        <v>2250</v>
      </c>
      <c r="B48" t="s">
        <v>1387</v>
      </c>
      <c r="C48">
        <v>8.3000000000000004E-2</v>
      </c>
      <c r="D48" t="s">
        <v>1264</v>
      </c>
      <c r="E48">
        <v>100045</v>
      </c>
      <c r="F48">
        <v>2250</v>
      </c>
      <c r="G48" t="str">
        <f t="shared" si="0"/>
        <v>02250</v>
      </c>
      <c r="H48" t="s">
        <v>309</v>
      </c>
      <c r="I48" t="s">
        <v>1265</v>
      </c>
      <c r="J48" t="s">
        <v>1271</v>
      </c>
      <c r="K48" t="s">
        <v>1272</v>
      </c>
      <c r="L48" t="s">
        <v>1387</v>
      </c>
      <c r="M48" t="s">
        <v>1406</v>
      </c>
      <c r="N48">
        <v>21</v>
      </c>
      <c r="O48" t="str">
        <f t="shared" si="3"/>
        <v>43</v>
      </c>
      <c r="P48">
        <v>43</v>
      </c>
      <c r="R48" t="s">
        <v>1269</v>
      </c>
      <c r="S48">
        <v>8.3000000000000004E-2</v>
      </c>
      <c r="T48">
        <v>0.22459999999999999</v>
      </c>
      <c r="U48">
        <f t="shared" si="4"/>
        <v>1.9E-2</v>
      </c>
      <c r="V48" t="str">
        <f t="shared" si="1"/>
        <v>High Occupational Therapist</v>
      </c>
      <c r="W48" t="str">
        <f t="shared" si="2"/>
        <v>Occupational Therapist</v>
      </c>
      <c r="Y48" s="88" t="s">
        <v>1450</v>
      </c>
      <c r="Z48" s="90"/>
      <c r="AA48" s="90"/>
      <c r="AB48" s="90">
        <v>1</v>
      </c>
      <c r="AC48" s="90"/>
      <c r="AD48" s="90"/>
      <c r="AE48" s="90">
        <v>0</v>
      </c>
      <c r="AF48" s="90">
        <v>1</v>
      </c>
      <c r="AG48" s="90"/>
      <c r="AI48" s="88" t="s">
        <v>1450</v>
      </c>
      <c r="AJ48" s="90">
        <v>0</v>
      </c>
      <c r="AK48" s="90">
        <f t="shared" si="6"/>
        <v>1</v>
      </c>
      <c r="AL48" s="90">
        <f t="shared" si="7"/>
        <v>0</v>
      </c>
      <c r="AM48" s="90">
        <f t="shared" si="8"/>
        <v>0</v>
      </c>
      <c r="AN48" s="90">
        <f t="shared" si="9"/>
        <v>1</v>
      </c>
      <c r="AP48" s="119" t="s">
        <v>1317</v>
      </c>
      <c r="AQ48" s="90">
        <v>23.400999999999996</v>
      </c>
      <c r="AR48" s="119" t="s">
        <v>1317</v>
      </c>
      <c r="AS48" s="90">
        <v>5.8549999999999986</v>
      </c>
      <c r="AT48" s="119" t="s">
        <v>1401</v>
      </c>
      <c r="AU48" s="90">
        <v>241.34899999999999</v>
      </c>
      <c r="AX48" s="119" t="s">
        <v>1500</v>
      </c>
      <c r="AY48" s="90">
        <v>0</v>
      </c>
      <c r="BA48" s="88" t="s">
        <v>1373</v>
      </c>
      <c r="BB48" s="90">
        <v>9.9000000000000005E-2</v>
      </c>
      <c r="BM48" t="s">
        <v>1267</v>
      </c>
      <c r="BN48" t="s">
        <v>1370</v>
      </c>
      <c r="BO48" s="90">
        <v>0.66800000000000015</v>
      </c>
      <c r="BQ48" t="str">
        <f t="shared" si="10"/>
        <v>42</v>
      </c>
      <c r="BR48" s="200" t="s">
        <v>1117</v>
      </c>
      <c r="BS48">
        <v>4.3999999999999997E-2</v>
      </c>
      <c r="BT48" s="250" t="s">
        <v>1556</v>
      </c>
      <c r="BU48" s="34" t="s">
        <v>759</v>
      </c>
      <c r="BV48" t="s">
        <v>1348</v>
      </c>
      <c r="BW48">
        <v>0</v>
      </c>
      <c r="BY48" t="s">
        <v>1522</v>
      </c>
      <c r="BZ48" s="90">
        <v>0.36</v>
      </c>
    </row>
    <row r="49" spans="1:78" x14ac:dyDescent="0.25">
      <c r="A49">
        <v>2250</v>
      </c>
      <c r="B49" t="s">
        <v>1294</v>
      </c>
      <c r="C49">
        <v>3.581</v>
      </c>
      <c r="D49" t="s">
        <v>1264</v>
      </c>
      <c r="E49">
        <v>100045</v>
      </c>
      <c r="F49">
        <v>2250</v>
      </c>
      <c r="G49" t="str">
        <f t="shared" si="0"/>
        <v>02250</v>
      </c>
      <c r="H49" t="s">
        <v>309</v>
      </c>
      <c r="I49" t="s">
        <v>1265</v>
      </c>
      <c r="J49" t="s">
        <v>1276</v>
      </c>
      <c r="K49" t="s">
        <v>1277</v>
      </c>
      <c r="L49" t="s">
        <v>1294</v>
      </c>
      <c r="M49" t="s">
        <v>1354</v>
      </c>
      <c r="N49">
        <v>21</v>
      </c>
      <c r="O49" t="str">
        <f t="shared" si="3"/>
        <v>45</v>
      </c>
      <c r="P49">
        <v>45</v>
      </c>
      <c r="R49" t="s">
        <v>1269</v>
      </c>
      <c r="S49">
        <v>3.581</v>
      </c>
      <c r="T49">
        <v>0.22459999999999999</v>
      </c>
      <c r="U49">
        <f t="shared" si="4"/>
        <v>0.80400000000000005</v>
      </c>
      <c r="V49" t="str">
        <f t="shared" si="1"/>
        <v>Elementary Speech, Language Pathway/
Audio</v>
      </c>
      <c r="W49" t="str">
        <f t="shared" si="2"/>
        <v>Speech, Language Pathway/
Audio</v>
      </c>
      <c r="Y49" s="88" t="s">
        <v>1384</v>
      </c>
      <c r="Z49" s="90">
        <v>2.7930000000000001</v>
      </c>
      <c r="AA49" s="90"/>
      <c r="AB49" s="90"/>
      <c r="AC49" s="90"/>
      <c r="AD49" s="90"/>
      <c r="AE49" s="90"/>
      <c r="AF49" s="90">
        <v>2.7930000000000001</v>
      </c>
      <c r="AG49" s="90"/>
      <c r="AI49" s="88" t="s">
        <v>1384</v>
      </c>
      <c r="AJ49" s="90">
        <v>0.7629999999999999</v>
      </c>
      <c r="AK49" s="90">
        <f t="shared" si="6"/>
        <v>0</v>
      </c>
      <c r="AL49" s="90">
        <f t="shared" si="7"/>
        <v>0</v>
      </c>
      <c r="AM49" s="90">
        <f t="shared" si="8"/>
        <v>0</v>
      </c>
      <c r="AN49" s="90">
        <f t="shared" si="9"/>
        <v>0.7629999999999999</v>
      </c>
      <c r="AP49" s="119" t="s">
        <v>1404</v>
      </c>
      <c r="AQ49" s="90">
        <v>0.78200000000000003</v>
      </c>
      <c r="AR49" s="119" t="s">
        <v>1404</v>
      </c>
      <c r="AS49" s="90">
        <v>0.15</v>
      </c>
      <c r="AT49" s="119" t="s">
        <v>1490</v>
      </c>
      <c r="AU49" s="90">
        <v>0</v>
      </c>
      <c r="AX49" s="119" t="s">
        <v>1501</v>
      </c>
      <c r="AY49" s="90">
        <v>0</v>
      </c>
      <c r="BA49" s="88" t="s">
        <v>1340</v>
      </c>
      <c r="BB49" s="90">
        <v>25.277999999999999</v>
      </c>
      <c r="BM49" t="s">
        <v>1267</v>
      </c>
      <c r="BN49" t="s">
        <v>1345</v>
      </c>
      <c r="BO49" s="90">
        <v>135.51400000000004</v>
      </c>
      <c r="BQ49" t="str">
        <f t="shared" si="10"/>
        <v>43</v>
      </c>
      <c r="BR49" s="200" t="s">
        <v>1118</v>
      </c>
      <c r="BS49">
        <v>4.4999999999999998E-2</v>
      </c>
      <c r="BT49" s="250" t="s">
        <v>1558</v>
      </c>
      <c r="BU49" s="34" t="s">
        <v>759</v>
      </c>
      <c r="BV49" t="s">
        <v>1465</v>
      </c>
      <c r="BW49">
        <v>0</v>
      </c>
      <c r="BY49" t="s">
        <v>1556</v>
      </c>
      <c r="BZ49" s="90">
        <v>0.44500000000000001</v>
      </c>
    </row>
    <row r="50" spans="1:78" x14ac:dyDescent="0.25">
      <c r="A50">
        <v>2250</v>
      </c>
      <c r="B50" t="s">
        <v>1298</v>
      </c>
      <c r="C50">
        <v>2.012</v>
      </c>
      <c r="D50" t="s">
        <v>1264</v>
      </c>
      <c r="E50">
        <v>100045</v>
      </c>
      <c r="F50">
        <v>2250</v>
      </c>
      <c r="G50" t="str">
        <f t="shared" si="0"/>
        <v>02250</v>
      </c>
      <c r="H50" t="s">
        <v>309</v>
      </c>
      <c r="I50" t="s">
        <v>1265</v>
      </c>
      <c r="J50" t="s">
        <v>1276</v>
      </c>
      <c r="K50" t="s">
        <v>1277</v>
      </c>
      <c r="L50" t="s">
        <v>1298</v>
      </c>
      <c r="M50" t="s">
        <v>1349</v>
      </c>
      <c r="N50">
        <v>21</v>
      </c>
      <c r="O50" t="str">
        <f t="shared" si="3"/>
        <v>46</v>
      </c>
      <c r="P50">
        <v>46</v>
      </c>
      <c r="R50" t="s">
        <v>1269</v>
      </c>
      <c r="S50">
        <v>2.012</v>
      </c>
      <c r="T50">
        <v>0.22459999999999999</v>
      </c>
      <c r="U50">
        <f t="shared" si="4"/>
        <v>0.45200000000000001</v>
      </c>
      <c r="V50" t="str">
        <f t="shared" si="1"/>
        <v>Elementary Psychologist</v>
      </c>
      <c r="W50" t="str">
        <f t="shared" si="2"/>
        <v>Psychologist</v>
      </c>
      <c r="Y50" s="88" t="s">
        <v>1491</v>
      </c>
      <c r="Z50" s="90"/>
      <c r="AA50" s="90">
        <v>0</v>
      </c>
      <c r="AB50" s="90"/>
      <c r="AC50" s="90"/>
      <c r="AD50" s="90"/>
      <c r="AE50" s="90"/>
      <c r="AF50" s="90">
        <v>0</v>
      </c>
      <c r="AG50" s="90"/>
      <c r="AI50" s="88" t="s">
        <v>1491</v>
      </c>
      <c r="AJ50" s="90">
        <v>0</v>
      </c>
      <c r="AK50" s="90">
        <f t="shared" si="6"/>
        <v>0</v>
      </c>
      <c r="AL50" s="90">
        <f t="shared" si="7"/>
        <v>0</v>
      </c>
      <c r="AM50" s="90">
        <f t="shared" si="8"/>
        <v>0</v>
      </c>
      <c r="AN50" s="90">
        <f t="shared" si="9"/>
        <v>0</v>
      </c>
      <c r="AP50" s="88" t="s">
        <v>753</v>
      </c>
      <c r="AQ50" s="90">
        <v>3948.4639999999995</v>
      </c>
      <c r="AR50" s="88" t="s">
        <v>753</v>
      </c>
      <c r="AS50" s="90">
        <v>1003.482</v>
      </c>
      <c r="AT50" s="88" t="s">
        <v>753</v>
      </c>
      <c r="AU50" s="90">
        <v>5835.6130000000003</v>
      </c>
      <c r="AX50" s="88" t="s">
        <v>753</v>
      </c>
      <c r="AY50" s="90">
        <v>82.655000000000001</v>
      </c>
      <c r="BA50" s="88" t="s">
        <v>1343</v>
      </c>
      <c r="BB50" s="90">
        <v>9.3689999999999998</v>
      </c>
      <c r="BM50" t="s">
        <v>1267</v>
      </c>
      <c r="BN50" t="s">
        <v>1371</v>
      </c>
      <c r="BO50" s="90">
        <v>10.061</v>
      </c>
      <c r="BQ50" t="str">
        <f t="shared" si="10"/>
        <v>44</v>
      </c>
      <c r="BR50" s="200" t="s">
        <v>1119</v>
      </c>
      <c r="BS50">
        <v>4.5999999999999999E-2</v>
      </c>
      <c r="BT50" s="250" t="s">
        <v>1517</v>
      </c>
      <c r="BU50" s="34" t="s">
        <v>759</v>
      </c>
      <c r="BV50" t="s">
        <v>1466</v>
      </c>
      <c r="BW50">
        <v>0</v>
      </c>
      <c r="BY50" t="s">
        <v>1560</v>
      </c>
      <c r="BZ50" s="90">
        <v>0</v>
      </c>
    </row>
    <row r="51" spans="1:78" x14ac:dyDescent="0.25">
      <c r="A51">
        <v>2250</v>
      </c>
      <c r="B51" t="s">
        <v>1309</v>
      </c>
      <c r="C51">
        <v>0.70099999999999996</v>
      </c>
      <c r="D51" t="s">
        <v>1264</v>
      </c>
      <c r="E51">
        <v>100045</v>
      </c>
      <c r="F51">
        <v>2250</v>
      </c>
      <c r="G51" t="str">
        <f t="shared" si="0"/>
        <v>02250</v>
      </c>
      <c r="H51" t="s">
        <v>309</v>
      </c>
      <c r="I51" t="s">
        <v>1265</v>
      </c>
      <c r="J51" t="s">
        <v>1271</v>
      </c>
      <c r="K51" t="s">
        <v>1272</v>
      </c>
      <c r="L51" t="s">
        <v>1309</v>
      </c>
      <c r="M51" t="s">
        <v>1310</v>
      </c>
      <c r="N51">
        <v>21</v>
      </c>
      <c r="O51" t="str">
        <f t="shared" si="3"/>
        <v>46</v>
      </c>
      <c r="P51">
        <v>46</v>
      </c>
      <c r="R51" t="s">
        <v>1269</v>
      </c>
      <c r="S51">
        <v>0.70099999999999996</v>
      </c>
      <c r="T51">
        <v>0.22459999999999999</v>
      </c>
      <c r="U51">
        <f t="shared" si="4"/>
        <v>0.157</v>
      </c>
      <c r="V51" t="str">
        <f t="shared" si="1"/>
        <v>High Psychologist</v>
      </c>
      <c r="W51" t="str">
        <f t="shared" si="2"/>
        <v>Psychologist</v>
      </c>
      <c r="Y51" s="88" t="s">
        <v>1490</v>
      </c>
      <c r="Z51" s="90"/>
      <c r="AA51" s="90"/>
      <c r="AB51" s="90"/>
      <c r="AC51" s="90"/>
      <c r="AD51" s="90"/>
      <c r="AE51" s="90">
        <v>0</v>
      </c>
      <c r="AF51" s="90">
        <v>0</v>
      </c>
      <c r="AG51" s="90"/>
      <c r="AI51" s="88" t="s">
        <v>1490</v>
      </c>
      <c r="AJ51" s="90">
        <v>0</v>
      </c>
      <c r="AK51" s="90">
        <f t="shared" si="6"/>
        <v>0</v>
      </c>
      <c r="AL51" s="90">
        <f t="shared" si="7"/>
        <v>0</v>
      </c>
      <c r="AM51" s="90">
        <f t="shared" si="8"/>
        <v>0</v>
      </c>
      <c r="AN51" s="90">
        <f t="shared" si="9"/>
        <v>0</v>
      </c>
      <c r="AQ51" s="90">
        <v>3391.6219999999998</v>
      </c>
      <c r="AU51" s="90">
        <v>3419.0129999999999</v>
      </c>
      <c r="AY51" s="90">
        <v>0</v>
      </c>
      <c r="BA51" s="88" t="s">
        <v>1392</v>
      </c>
      <c r="BB51" s="90">
        <v>19.143999999999998</v>
      </c>
      <c r="BM51" t="s">
        <v>1267</v>
      </c>
      <c r="BN51" t="s">
        <v>1372</v>
      </c>
      <c r="BO51" s="90">
        <v>1.087</v>
      </c>
      <c r="BQ51" t="str">
        <f t="shared" si="10"/>
        <v>45</v>
      </c>
      <c r="BR51" s="200" t="s">
        <v>1120</v>
      </c>
      <c r="BS51">
        <v>4.7E-2</v>
      </c>
      <c r="BT51" s="250" t="s">
        <v>1518</v>
      </c>
      <c r="BU51" s="34" t="s">
        <v>759</v>
      </c>
      <c r="BV51" t="s">
        <v>1467</v>
      </c>
      <c r="BW51">
        <v>0</v>
      </c>
      <c r="BY51" t="s">
        <v>1557</v>
      </c>
      <c r="BZ51" s="90">
        <v>1.242</v>
      </c>
    </row>
    <row r="52" spans="1:78" x14ac:dyDescent="0.25">
      <c r="A52">
        <v>2250</v>
      </c>
      <c r="B52" t="s">
        <v>1345</v>
      </c>
      <c r="C52">
        <v>0.28699999999999998</v>
      </c>
      <c r="D52" t="s">
        <v>1264</v>
      </c>
      <c r="E52">
        <v>100045</v>
      </c>
      <c r="F52">
        <v>2250</v>
      </c>
      <c r="G52" t="str">
        <f t="shared" si="0"/>
        <v>02250</v>
      </c>
      <c r="H52" t="s">
        <v>309</v>
      </c>
      <c r="I52" t="s">
        <v>1265</v>
      </c>
      <c r="J52" t="s">
        <v>1266</v>
      </c>
      <c r="K52" t="s">
        <v>1267</v>
      </c>
      <c r="L52" t="s">
        <v>1345</v>
      </c>
      <c r="M52" t="s">
        <v>1346</v>
      </c>
      <c r="N52">
        <v>21</v>
      </c>
      <c r="O52" t="str">
        <f t="shared" si="3"/>
        <v>46</v>
      </c>
      <c r="P52">
        <v>46</v>
      </c>
      <c r="R52" t="s">
        <v>1269</v>
      </c>
      <c r="S52">
        <v>0.28699999999999998</v>
      </c>
      <c r="T52">
        <v>0.22459999999999999</v>
      </c>
      <c r="U52">
        <f t="shared" si="4"/>
        <v>6.4000000000000001E-2</v>
      </c>
      <c r="V52" t="str">
        <f t="shared" si="1"/>
        <v>Middle Psychologist</v>
      </c>
      <c r="W52" t="str">
        <f t="shared" si="2"/>
        <v>Psychologist</v>
      </c>
      <c r="Y52" s="88" t="s">
        <v>1364</v>
      </c>
      <c r="Z52" s="90">
        <v>1.7859999999999998</v>
      </c>
      <c r="AA52" s="90"/>
      <c r="AB52" s="90"/>
      <c r="AC52" s="90"/>
      <c r="AD52" s="90"/>
      <c r="AE52" s="90"/>
      <c r="AF52" s="90">
        <v>1.7859999999999998</v>
      </c>
      <c r="AG52" s="90"/>
      <c r="AI52" s="88" t="s">
        <v>1364</v>
      </c>
      <c r="AJ52" s="90">
        <v>0.50700000000000001</v>
      </c>
      <c r="AK52" s="90">
        <f t="shared" si="6"/>
        <v>0</v>
      </c>
      <c r="AL52" s="90">
        <f t="shared" si="7"/>
        <v>0</v>
      </c>
      <c r="AM52" s="90">
        <f t="shared" si="8"/>
        <v>0</v>
      </c>
      <c r="AN52" s="90">
        <f t="shared" si="9"/>
        <v>0.50700000000000001</v>
      </c>
      <c r="AQ52" s="90">
        <v>556.84199999999998</v>
      </c>
      <c r="AU52" s="90">
        <v>2416.6</v>
      </c>
      <c r="AY52" s="90">
        <v>82.655000000000001</v>
      </c>
      <c r="BA52" s="88" t="s">
        <v>1399</v>
      </c>
      <c r="BB52" s="90">
        <v>2.1559999999999997</v>
      </c>
      <c r="BM52" t="s">
        <v>1267</v>
      </c>
      <c r="BN52" t="s">
        <v>1338</v>
      </c>
      <c r="BO52" s="90">
        <v>102.19700000000005</v>
      </c>
      <c r="BQ52" t="str">
        <f t="shared" si="10"/>
        <v>46</v>
      </c>
      <c r="BR52" s="200" t="s">
        <v>1121</v>
      </c>
      <c r="BS52">
        <v>4.8000000000000001E-2</v>
      </c>
      <c r="BT52" s="250" t="s">
        <v>1559</v>
      </c>
      <c r="BU52" s="34" t="s">
        <v>759</v>
      </c>
      <c r="BV52" t="s">
        <v>1468</v>
      </c>
      <c r="BW52">
        <v>0</v>
      </c>
      <c r="BY52" t="s">
        <v>1519</v>
      </c>
      <c r="BZ52" s="90">
        <v>0.32100000000000001</v>
      </c>
    </row>
    <row r="53" spans="1:78" x14ac:dyDescent="0.25">
      <c r="A53">
        <v>2250</v>
      </c>
      <c r="B53" t="s">
        <v>1335</v>
      </c>
      <c r="C53">
        <v>1</v>
      </c>
      <c r="D53" t="s">
        <v>1264</v>
      </c>
      <c r="E53">
        <v>100045</v>
      </c>
      <c r="F53">
        <v>2250</v>
      </c>
      <c r="G53" t="str">
        <f t="shared" si="0"/>
        <v>02250</v>
      </c>
      <c r="H53" t="s">
        <v>309</v>
      </c>
      <c r="I53" t="s">
        <v>1265</v>
      </c>
      <c r="J53" t="s">
        <v>1276</v>
      </c>
      <c r="K53" t="s">
        <v>1277</v>
      </c>
      <c r="L53" t="s">
        <v>1335</v>
      </c>
      <c r="M53" t="s">
        <v>1344</v>
      </c>
      <c r="N53">
        <v>1</v>
      </c>
      <c r="O53" t="str">
        <f t="shared" si="3"/>
        <v>47</v>
      </c>
      <c r="P53">
        <v>47</v>
      </c>
      <c r="R53" t="s">
        <v>1269</v>
      </c>
      <c r="S53">
        <v>1</v>
      </c>
      <c r="T53">
        <v>0.22459999999999999</v>
      </c>
      <c r="U53">
        <f t="shared" si="4"/>
        <v>0</v>
      </c>
      <c r="V53" t="str">
        <f t="shared" si="1"/>
        <v>Elementary Nurse</v>
      </c>
      <c r="W53" t="str">
        <f t="shared" si="2"/>
        <v>Nurse</v>
      </c>
      <c r="Y53" s="88" t="s">
        <v>1478</v>
      </c>
      <c r="Z53" s="90"/>
      <c r="AA53" s="90">
        <v>0</v>
      </c>
      <c r="AB53" s="90"/>
      <c r="AC53" s="90"/>
      <c r="AD53" s="90"/>
      <c r="AE53" s="90"/>
      <c r="AF53" s="90">
        <v>0</v>
      </c>
      <c r="AG53" s="90"/>
      <c r="AI53" s="88" t="s">
        <v>1478</v>
      </c>
      <c r="AJ53" s="90">
        <v>0</v>
      </c>
      <c r="AK53" s="90">
        <f t="shared" si="6"/>
        <v>0</v>
      </c>
      <c r="AL53" s="90">
        <f t="shared" si="7"/>
        <v>0</v>
      </c>
      <c r="AM53" s="90">
        <f t="shared" si="8"/>
        <v>0</v>
      </c>
      <c r="AN53" s="90">
        <f t="shared" si="9"/>
        <v>0</v>
      </c>
      <c r="AQ53" s="287">
        <f>AQ50-AQ51-AQ52</f>
        <v>0</v>
      </c>
      <c r="AU53" s="287">
        <f>AU50-AU51-AU52</f>
        <v>0</v>
      </c>
      <c r="AY53" s="287">
        <f>AY50-AY51-AY52</f>
        <v>0</v>
      </c>
      <c r="BA53" s="88" t="s">
        <v>1374</v>
      </c>
      <c r="BB53" s="90">
        <v>6.3240000000000007</v>
      </c>
      <c r="BM53" t="s">
        <v>1267</v>
      </c>
      <c r="BN53" t="s">
        <v>1316</v>
      </c>
      <c r="BO53" s="90">
        <v>25.138999999999999</v>
      </c>
      <c r="BQ53" t="str">
        <f t="shared" si="10"/>
        <v>47</v>
      </c>
      <c r="BR53" s="200" t="s">
        <v>1122</v>
      </c>
      <c r="BS53">
        <v>4.9000000000000002E-2</v>
      </c>
      <c r="BT53" s="250" t="s">
        <v>1519</v>
      </c>
      <c r="BU53" s="34" t="s">
        <v>759</v>
      </c>
      <c r="BV53" t="s">
        <v>1469</v>
      </c>
      <c r="BW53">
        <v>0</v>
      </c>
      <c r="BY53" t="s">
        <v>1558</v>
      </c>
      <c r="BZ53" s="90">
        <v>0</v>
      </c>
    </row>
    <row r="54" spans="1:78" x14ac:dyDescent="0.25">
      <c r="A54">
        <v>2420</v>
      </c>
      <c r="B54" t="s">
        <v>1308</v>
      </c>
      <c r="C54">
        <v>1.319</v>
      </c>
      <c r="D54" t="s">
        <v>1264</v>
      </c>
      <c r="E54">
        <v>100015</v>
      </c>
      <c r="F54">
        <v>2420</v>
      </c>
      <c r="G54" t="str">
        <f t="shared" si="0"/>
        <v>02420</v>
      </c>
      <c r="H54" t="s">
        <v>310</v>
      </c>
      <c r="I54" t="s">
        <v>1265</v>
      </c>
      <c r="J54" t="s">
        <v>1276</v>
      </c>
      <c r="K54" t="s">
        <v>1277</v>
      </c>
      <c r="L54" t="s">
        <v>1308</v>
      </c>
      <c r="M54" t="s">
        <v>1389</v>
      </c>
      <c r="N54">
        <v>1</v>
      </c>
      <c r="O54" t="str">
        <f t="shared" si="3"/>
        <v>25</v>
      </c>
      <c r="Q54">
        <v>25</v>
      </c>
      <c r="R54" t="s">
        <v>1269</v>
      </c>
      <c r="S54">
        <v>1.319</v>
      </c>
      <c r="T54">
        <v>0.21659999999999999</v>
      </c>
      <c r="U54">
        <f t="shared" si="4"/>
        <v>0</v>
      </c>
      <c r="V54" t="str">
        <f t="shared" si="1"/>
        <v>Elementary Pupil Management</v>
      </c>
      <c r="W54" t="str">
        <f t="shared" si="2"/>
        <v>Pupil Management</v>
      </c>
      <c r="Y54" s="88" t="s">
        <v>1476</v>
      </c>
      <c r="Z54" s="90"/>
      <c r="AA54" s="90"/>
      <c r="AB54" s="90"/>
      <c r="AC54" s="90"/>
      <c r="AD54" s="90"/>
      <c r="AE54" s="90">
        <v>0</v>
      </c>
      <c r="AF54" s="90">
        <v>0</v>
      </c>
      <c r="AG54" s="90"/>
      <c r="AI54" s="88" t="s">
        <v>1476</v>
      </c>
      <c r="AJ54" s="90">
        <v>0</v>
      </c>
      <c r="AK54" s="90">
        <f t="shared" si="6"/>
        <v>0</v>
      </c>
      <c r="AL54" s="90">
        <f t="shared" si="7"/>
        <v>0</v>
      </c>
      <c r="AM54" s="90">
        <f t="shared" si="8"/>
        <v>0</v>
      </c>
      <c r="AN54" s="90">
        <f t="shared" si="9"/>
        <v>0</v>
      </c>
      <c r="BA54" s="88" t="s">
        <v>1306</v>
      </c>
      <c r="BB54" s="90">
        <v>91.366</v>
      </c>
      <c r="BM54" t="s">
        <v>1267</v>
      </c>
      <c r="BN54" t="s">
        <v>1373</v>
      </c>
      <c r="BO54" s="90">
        <v>9.9000000000000005E-2</v>
      </c>
      <c r="BQ54" t="str">
        <f t="shared" si="10"/>
        <v>48</v>
      </c>
      <c r="BR54" s="200" t="s">
        <v>1123</v>
      </c>
      <c r="BS54">
        <v>0.05</v>
      </c>
      <c r="BT54" s="250" t="s">
        <v>1520</v>
      </c>
      <c r="BU54" s="34" t="s">
        <v>759</v>
      </c>
      <c r="BV54" t="s">
        <v>1470</v>
      </c>
      <c r="BW54">
        <v>0</v>
      </c>
      <c r="BY54" t="s">
        <v>1516</v>
      </c>
      <c r="BZ54" s="90">
        <v>0</v>
      </c>
    </row>
    <row r="55" spans="1:78" x14ac:dyDescent="0.25">
      <c r="A55">
        <v>2420</v>
      </c>
      <c r="B55" t="s">
        <v>1299</v>
      </c>
      <c r="C55">
        <v>7.5999999999999998E-2</v>
      </c>
      <c r="D55" t="s">
        <v>1264</v>
      </c>
      <c r="E55">
        <v>100015</v>
      </c>
      <c r="F55">
        <v>2420</v>
      </c>
      <c r="G55" t="str">
        <f t="shared" si="0"/>
        <v>02420</v>
      </c>
      <c r="H55" t="s">
        <v>310</v>
      </c>
      <c r="I55" t="s">
        <v>1265</v>
      </c>
      <c r="J55" t="s">
        <v>1271</v>
      </c>
      <c r="K55" t="s">
        <v>1272</v>
      </c>
      <c r="L55" t="s">
        <v>1299</v>
      </c>
      <c r="M55" t="s">
        <v>1300</v>
      </c>
      <c r="N55">
        <v>1</v>
      </c>
      <c r="O55" t="str">
        <f t="shared" si="3"/>
        <v>25</v>
      </c>
      <c r="Q55">
        <v>25</v>
      </c>
      <c r="R55" t="s">
        <v>1269</v>
      </c>
      <c r="S55">
        <v>7.5999999999999998E-2</v>
      </c>
      <c r="T55">
        <v>0.21659999999999999</v>
      </c>
      <c r="U55">
        <f t="shared" si="4"/>
        <v>0</v>
      </c>
      <c r="V55" t="str">
        <f t="shared" si="1"/>
        <v>High Pupil Management</v>
      </c>
      <c r="W55" t="str">
        <f t="shared" si="2"/>
        <v>Pupil Management</v>
      </c>
      <c r="Y55" s="88" t="s">
        <v>1348</v>
      </c>
      <c r="Z55" s="90"/>
      <c r="AA55" s="90"/>
      <c r="AB55" s="90"/>
      <c r="AC55" s="90">
        <v>0.44500000000000001</v>
      </c>
      <c r="AD55" s="90">
        <v>0</v>
      </c>
      <c r="AE55" s="90"/>
      <c r="AF55" s="90">
        <v>0.44500000000000001</v>
      </c>
      <c r="AG55" s="90"/>
      <c r="AI55" s="88" t="s">
        <v>1348</v>
      </c>
      <c r="AJ55" s="90">
        <v>0</v>
      </c>
      <c r="AK55" s="90">
        <f t="shared" si="6"/>
        <v>0</v>
      </c>
      <c r="AL55" s="90">
        <f t="shared" si="7"/>
        <v>0.44500000000000001</v>
      </c>
      <c r="AM55" s="90">
        <f t="shared" si="8"/>
        <v>0</v>
      </c>
      <c r="AN55" s="90">
        <f t="shared" si="9"/>
        <v>0.44500000000000001</v>
      </c>
      <c r="AO55" s="90">
        <f>SUM(AN55:AN64)</f>
        <v>2519.7619999999997</v>
      </c>
      <c r="BA55" s="88" t="s">
        <v>1347</v>
      </c>
      <c r="BB55" s="90">
        <v>1.4039999999999999</v>
      </c>
      <c r="BM55" t="s">
        <v>1267</v>
      </c>
      <c r="BN55" t="s">
        <v>1374</v>
      </c>
      <c r="BO55" s="90">
        <v>6.3240000000000007</v>
      </c>
      <c r="BQ55" t="str">
        <f t="shared" si="10"/>
        <v>49</v>
      </c>
      <c r="BR55" s="200" t="s">
        <v>1124</v>
      </c>
      <c r="BS55">
        <v>5.0999999999999997E-2</v>
      </c>
      <c r="BT55" s="250" t="s">
        <v>1521</v>
      </c>
      <c r="BU55" s="34" t="s">
        <v>759</v>
      </c>
      <c r="BV55" t="s">
        <v>1471</v>
      </c>
      <c r="BW55">
        <v>0</v>
      </c>
      <c r="BY55" t="s">
        <v>1520</v>
      </c>
      <c r="BZ55" s="90">
        <v>0</v>
      </c>
    </row>
    <row r="56" spans="1:78" x14ac:dyDescent="0.25">
      <c r="A56">
        <v>2420</v>
      </c>
      <c r="B56" t="s">
        <v>1363</v>
      </c>
      <c r="C56">
        <v>2E-3</v>
      </c>
      <c r="D56" t="s">
        <v>1264</v>
      </c>
      <c r="E56">
        <v>100015</v>
      </c>
      <c r="F56">
        <v>2420</v>
      </c>
      <c r="G56" t="str">
        <f t="shared" si="0"/>
        <v>02420</v>
      </c>
      <c r="H56" t="s">
        <v>310</v>
      </c>
      <c r="I56" t="s">
        <v>1265</v>
      </c>
      <c r="J56" t="s">
        <v>1266</v>
      </c>
      <c r="K56" t="s">
        <v>1267</v>
      </c>
      <c r="L56" t="s">
        <v>1363</v>
      </c>
      <c r="M56" t="s">
        <v>1386</v>
      </c>
      <c r="N56">
        <v>1</v>
      </c>
      <c r="O56" t="str">
        <f t="shared" si="3"/>
        <v>25</v>
      </c>
      <c r="Q56">
        <v>25</v>
      </c>
      <c r="R56" t="s">
        <v>1269</v>
      </c>
      <c r="S56">
        <v>2E-3</v>
      </c>
      <c r="T56">
        <v>0.21659999999999999</v>
      </c>
      <c r="U56">
        <f t="shared" si="4"/>
        <v>0</v>
      </c>
      <c r="V56" t="str">
        <f t="shared" si="1"/>
        <v>Middle Pupil Management</v>
      </c>
      <c r="W56" t="str">
        <f t="shared" si="2"/>
        <v>Pupil Management</v>
      </c>
      <c r="Y56" s="88" t="s">
        <v>1321</v>
      </c>
      <c r="Z56" s="90">
        <v>7.4440000000000008</v>
      </c>
      <c r="AA56" s="90"/>
      <c r="AB56" s="90"/>
      <c r="AC56" s="90"/>
      <c r="AD56" s="90"/>
      <c r="AE56" s="90"/>
      <c r="AF56" s="90">
        <v>7.4440000000000008</v>
      </c>
      <c r="AG56" s="90"/>
      <c r="AI56" s="88" t="s">
        <v>1321</v>
      </c>
      <c r="AJ56" s="90">
        <v>2.1059999999999999</v>
      </c>
      <c r="AK56" s="90">
        <f t="shared" si="6"/>
        <v>0</v>
      </c>
      <c r="AL56" s="90">
        <f t="shared" si="7"/>
        <v>0</v>
      </c>
      <c r="AM56" s="90">
        <f t="shared" si="8"/>
        <v>0</v>
      </c>
      <c r="AN56" s="90">
        <f t="shared" si="9"/>
        <v>2.1059999999999999</v>
      </c>
      <c r="AO56" t="e">
        <f>#REF!</f>
        <v>#REF!</v>
      </c>
      <c r="BA56" s="88" t="s">
        <v>1317</v>
      </c>
      <c r="BB56" s="90">
        <v>23.400999999999996</v>
      </c>
      <c r="BM56" t="s">
        <v>1267</v>
      </c>
      <c r="BN56" t="s">
        <v>1313</v>
      </c>
      <c r="BO56" s="90">
        <v>19.364000000000001</v>
      </c>
      <c r="BQ56" t="str">
        <f t="shared" si="10"/>
        <v>64</v>
      </c>
      <c r="BR56" s="200" t="s">
        <v>1125</v>
      </c>
      <c r="BS56">
        <v>5.1999999999999998E-2</v>
      </c>
      <c r="BT56" s="250" t="s">
        <v>1522</v>
      </c>
      <c r="BU56" s="34" t="s">
        <v>759</v>
      </c>
      <c r="BV56" t="s">
        <v>1472</v>
      </c>
      <c r="BW56">
        <v>0</v>
      </c>
      <c r="BY56" t="s">
        <v>1559</v>
      </c>
      <c r="BZ56" s="90">
        <v>0</v>
      </c>
    </row>
    <row r="57" spans="1:78" x14ac:dyDescent="0.25">
      <c r="A57">
        <v>2420</v>
      </c>
      <c r="B57" t="s">
        <v>1275</v>
      </c>
      <c r="C57">
        <v>0.499</v>
      </c>
      <c r="D57" t="s">
        <v>1264</v>
      </c>
      <c r="E57">
        <v>100015</v>
      </c>
      <c r="F57">
        <v>2420</v>
      </c>
      <c r="G57" t="str">
        <f t="shared" si="0"/>
        <v>02420</v>
      </c>
      <c r="H57" t="s">
        <v>310</v>
      </c>
      <c r="I57" t="s">
        <v>1265</v>
      </c>
      <c r="J57" t="s">
        <v>1276</v>
      </c>
      <c r="K57" t="s">
        <v>1277</v>
      </c>
      <c r="L57" t="s">
        <v>1275</v>
      </c>
      <c r="M57" t="s">
        <v>1278</v>
      </c>
      <c r="N57">
        <v>1</v>
      </c>
      <c r="O57" t="str">
        <f t="shared" si="3"/>
        <v>42</v>
      </c>
      <c r="P57">
        <v>42</v>
      </c>
      <c r="R57" t="s">
        <v>1269</v>
      </c>
      <c r="S57">
        <v>0.499</v>
      </c>
      <c r="T57">
        <v>0.21659999999999999</v>
      </c>
      <c r="U57">
        <f t="shared" si="4"/>
        <v>0</v>
      </c>
      <c r="V57" t="str">
        <f t="shared" si="1"/>
        <v>Elementary Counselor</v>
      </c>
      <c r="W57" t="str">
        <f t="shared" si="2"/>
        <v>Counselor</v>
      </c>
      <c r="Y57" s="88" t="s">
        <v>1452</v>
      </c>
      <c r="Z57" s="90"/>
      <c r="AA57" s="90">
        <v>0</v>
      </c>
      <c r="AB57" s="90"/>
      <c r="AC57" s="90"/>
      <c r="AD57" s="90"/>
      <c r="AE57" s="90"/>
      <c r="AF57" s="90">
        <v>0</v>
      </c>
      <c r="AG57" s="90"/>
      <c r="AI57" s="88" t="s">
        <v>1452</v>
      </c>
      <c r="AJ57" s="90">
        <v>0</v>
      </c>
      <c r="AK57" s="90">
        <f t="shared" si="6"/>
        <v>0</v>
      </c>
      <c r="AL57" s="90">
        <f t="shared" si="7"/>
        <v>0</v>
      </c>
      <c r="AM57" s="90">
        <f t="shared" si="8"/>
        <v>0</v>
      </c>
      <c r="AN57" s="90">
        <f t="shared" si="9"/>
        <v>0</v>
      </c>
      <c r="AO57" s="261" t="e">
        <f>SUM(AO55:AO56)</f>
        <v>#REF!</v>
      </c>
      <c r="BA57" s="88" t="s">
        <v>1400</v>
      </c>
      <c r="BB57" s="90">
        <v>0.497</v>
      </c>
      <c r="BM57" t="s">
        <v>1267</v>
      </c>
      <c r="BN57" t="s">
        <v>1376</v>
      </c>
      <c r="BO57" s="90">
        <v>0.249</v>
      </c>
      <c r="BQ57" t="str">
        <f t="shared" si="10"/>
        <v>24</v>
      </c>
      <c r="BR57" s="200" t="s">
        <v>1126</v>
      </c>
      <c r="BS57">
        <v>5.2999999999999999E-2</v>
      </c>
      <c r="BT57" s="250" t="s">
        <v>1560</v>
      </c>
      <c r="BU57" s="34" t="s">
        <v>759</v>
      </c>
      <c r="BV57" t="s">
        <v>1473</v>
      </c>
      <c r="BW57">
        <v>0</v>
      </c>
      <c r="BY57" t="s">
        <v>1523</v>
      </c>
      <c r="BZ57" s="90">
        <v>3.3909999999999996</v>
      </c>
    </row>
    <row r="58" spans="1:78" x14ac:dyDescent="0.25">
      <c r="A58">
        <v>2420</v>
      </c>
      <c r="B58" t="s">
        <v>1270</v>
      </c>
      <c r="C58">
        <v>0.8</v>
      </c>
      <c r="D58" t="s">
        <v>1264</v>
      </c>
      <c r="E58">
        <v>100015</v>
      </c>
      <c r="F58">
        <v>2420</v>
      </c>
      <c r="G58" t="str">
        <f t="shared" si="0"/>
        <v>02420</v>
      </c>
      <c r="H58" t="s">
        <v>310</v>
      </c>
      <c r="I58" t="s">
        <v>1265</v>
      </c>
      <c r="J58" t="s">
        <v>1271</v>
      </c>
      <c r="K58" t="s">
        <v>1272</v>
      </c>
      <c r="L58" t="s">
        <v>1270</v>
      </c>
      <c r="M58" t="s">
        <v>1273</v>
      </c>
      <c r="N58">
        <v>1</v>
      </c>
      <c r="O58" t="str">
        <f t="shared" si="3"/>
        <v>42</v>
      </c>
      <c r="P58">
        <v>42</v>
      </c>
      <c r="R58" t="s">
        <v>1269</v>
      </c>
      <c r="S58">
        <v>0.8</v>
      </c>
      <c r="T58">
        <v>0.21659999999999999</v>
      </c>
      <c r="U58">
        <f t="shared" si="4"/>
        <v>0</v>
      </c>
      <c r="V58" t="str">
        <f t="shared" si="1"/>
        <v>High Counselor</v>
      </c>
      <c r="W58" t="str">
        <f t="shared" si="2"/>
        <v>Counselor</v>
      </c>
      <c r="Y58" s="88" t="s">
        <v>1275</v>
      </c>
      <c r="Z58" s="90"/>
      <c r="AA58" s="90"/>
      <c r="AB58" s="90">
        <v>1076.1329999999996</v>
      </c>
      <c r="AC58" s="90"/>
      <c r="AD58" s="90"/>
      <c r="AE58" s="90">
        <v>0</v>
      </c>
      <c r="AF58" s="90">
        <v>1076.1329999999996</v>
      </c>
      <c r="AG58" s="90"/>
      <c r="AI58" s="88" t="s">
        <v>1275</v>
      </c>
      <c r="AJ58" s="90">
        <v>0</v>
      </c>
      <c r="AK58" s="90">
        <f t="shared" si="6"/>
        <v>1076.1329999999996</v>
      </c>
      <c r="AL58" s="90">
        <f t="shared" si="7"/>
        <v>0</v>
      </c>
      <c r="AM58" s="90">
        <f t="shared" si="8"/>
        <v>0</v>
      </c>
      <c r="AN58" s="90">
        <f t="shared" si="9"/>
        <v>1076.1329999999996</v>
      </c>
      <c r="BA58" s="88" t="s">
        <v>1313</v>
      </c>
      <c r="BB58" s="90">
        <v>19.364000000000001</v>
      </c>
      <c r="BM58" t="s">
        <v>1272</v>
      </c>
      <c r="BN58" t="s">
        <v>1379</v>
      </c>
      <c r="BO58" s="90">
        <v>4.1950000000000003</v>
      </c>
      <c r="BQ58" t="str">
        <f t="shared" si="10"/>
        <v>25</v>
      </c>
      <c r="BR58" s="200" t="s">
        <v>1127</v>
      </c>
      <c r="BS58">
        <v>5.3999999999999999E-2</v>
      </c>
      <c r="BT58" s="251" t="s">
        <v>1523</v>
      </c>
      <c r="BU58" s="34" t="s">
        <v>759</v>
      </c>
      <c r="BV58" t="s">
        <v>1474</v>
      </c>
      <c r="BW58">
        <v>0</v>
      </c>
      <c r="BY58" t="s">
        <v>1561</v>
      </c>
      <c r="BZ58" s="90">
        <v>0.67700000000000005</v>
      </c>
    </row>
    <row r="59" spans="1:78" x14ac:dyDescent="0.25">
      <c r="A59">
        <v>2420</v>
      </c>
      <c r="B59" t="s">
        <v>1263</v>
      </c>
      <c r="C59">
        <v>0.2</v>
      </c>
      <c r="D59" t="s">
        <v>1264</v>
      </c>
      <c r="E59">
        <v>100015</v>
      </c>
      <c r="F59">
        <v>2420</v>
      </c>
      <c r="G59" t="str">
        <f t="shared" si="0"/>
        <v>02420</v>
      </c>
      <c r="H59" t="s">
        <v>310</v>
      </c>
      <c r="I59" t="s">
        <v>1265</v>
      </c>
      <c r="J59" t="s">
        <v>1266</v>
      </c>
      <c r="K59" t="s">
        <v>1267</v>
      </c>
      <c r="L59" t="s">
        <v>1263</v>
      </c>
      <c r="M59" t="s">
        <v>1268</v>
      </c>
      <c r="N59">
        <v>1</v>
      </c>
      <c r="O59" t="str">
        <f t="shared" si="3"/>
        <v>42</v>
      </c>
      <c r="P59">
        <v>42</v>
      </c>
      <c r="R59" t="s">
        <v>1269</v>
      </c>
      <c r="S59">
        <v>0.2</v>
      </c>
      <c r="T59">
        <v>0.21659999999999999</v>
      </c>
      <c r="U59">
        <f t="shared" si="4"/>
        <v>0</v>
      </c>
      <c r="V59" t="str">
        <f t="shared" si="1"/>
        <v>Middle Counselor</v>
      </c>
      <c r="W59" t="str">
        <f t="shared" si="2"/>
        <v>Counselor</v>
      </c>
      <c r="Y59" s="88" t="s">
        <v>1385</v>
      </c>
      <c r="Z59" s="90">
        <v>5.383</v>
      </c>
      <c r="AA59" s="90"/>
      <c r="AB59" s="90"/>
      <c r="AC59" s="90"/>
      <c r="AD59" s="90"/>
      <c r="AE59" s="90"/>
      <c r="AF59" s="90">
        <v>5.383</v>
      </c>
      <c r="AG59" s="90"/>
      <c r="AI59" s="88" t="s">
        <v>1385</v>
      </c>
      <c r="AJ59" s="90">
        <v>1.431</v>
      </c>
      <c r="AK59" s="90">
        <f t="shared" si="6"/>
        <v>0</v>
      </c>
      <c r="AL59" s="90">
        <f t="shared" si="7"/>
        <v>0</v>
      </c>
      <c r="AM59" s="90">
        <f t="shared" si="8"/>
        <v>0</v>
      </c>
      <c r="AN59" s="90">
        <f t="shared" si="9"/>
        <v>1.431</v>
      </c>
      <c r="BA59" s="88" t="s">
        <v>1376</v>
      </c>
      <c r="BB59" s="90">
        <v>0.249</v>
      </c>
      <c r="BM59" t="s">
        <v>1272</v>
      </c>
      <c r="BN59" t="s">
        <v>1382</v>
      </c>
      <c r="BO59" s="90">
        <v>1.2050000000000001</v>
      </c>
      <c r="BQ59" t="str">
        <f t="shared" si="10"/>
        <v>26</v>
      </c>
      <c r="BR59" s="200" t="s">
        <v>1128</v>
      </c>
      <c r="BS59">
        <v>5.5E-2</v>
      </c>
      <c r="BT59" s="250" t="s">
        <v>1557</v>
      </c>
      <c r="BU59" s="34" t="s">
        <v>759</v>
      </c>
      <c r="BV59" t="s">
        <v>1352</v>
      </c>
      <c r="BW59">
        <v>0</v>
      </c>
      <c r="BY59" t="s">
        <v>1517</v>
      </c>
      <c r="BZ59" s="90">
        <v>0.5</v>
      </c>
    </row>
    <row r="60" spans="1:78" x14ac:dyDescent="0.25">
      <c r="A60">
        <v>2420</v>
      </c>
      <c r="B60" t="s">
        <v>1294</v>
      </c>
      <c r="C60">
        <v>0.60799999999999998</v>
      </c>
      <c r="D60" t="s">
        <v>1264</v>
      </c>
      <c r="E60">
        <v>100015</v>
      </c>
      <c r="F60">
        <v>2420</v>
      </c>
      <c r="G60" t="str">
        <f t="shared" si="0"/>
        <v>02420</v>
      </c>
      <c r="H60" t="s">
        <v>310</v>
      </c>
      <c r="I60" t="s">
        <v>1265</v>
      </c>
      <c r="J60" t="s">
        <v>1276</v>
      </c>
      <c r="K60" t="s">
        <v>1277</v>
      </c>
      <c r="L60" t="s">
        <v>1294</v>
      </c>
      <c r="M60" t="s">
        <v>1354</v>
      </c>
      <c r="N60">
        <v>21</v>
      </c>
      <c r="O60" t="str">
        <f t="shared" si="3"/>
        <v>45</v>
      </c>
      <c r="P60">
        <v>45</v>
      </c>
      <c r="R60" t="s">
        <v>1269</v>
      </c>
      <c r="S60">
        <v>0.60799999999999998</v>
      </c>
      <c r="T60">
        <v>0.21659999999999999</v>
      </c>
      <c r="U60">
        <f t="shared" si="4"/>
        <v>0.13200000000000001</v>
      </c>
      <c r="V60" t="str">
        <f t="shared" si="1"/>
        <v>Elementary Speech, Language Pathway/
Audio</v>
      </c>
      <c r="W60" t="str">
        <f t="shared" si="2"/>
        <v>Speech, Language Pathway/
Audio</v>
      </c>
      <c r="Y60" s="88" t="s">
        <v>1492</v>
      </c>
      <c r="Z60" s="90"/>
      <c r="AA60" s="90">
        <v>0</v>
      </c>
      <c r="AB60" s="90"/>
      <c r="AC60" s="90"/>
      <c r="AD60" s="90"/>
      <c r="AE60" s="90"/>
      <c r="AF60" s="90">
        <v>0</v>
      </c>
      <c r="AG60" s="90"/>
      <c r="AI60" s="88" t="s">
        <v>1492</v>
      </c>
      <c r="AJ60" s="90">
        <v>0</v>
      </c>
      <c r="AK60" s="90">
        <f t="shared" si="6"/>
        <v>0</v>
      </c>
      <c r="AL60" s="90">
        <f t="shared" si="7"/>
        <v>0</v>
      </c>
      <c r="AM60" s="90">
        <f t="shared" si="8"/>
        <v>0</v>
      </c>
      <c r="AN60" s="90">
        <f t="shared" si="9"/>
        <v>0</v>
      </c>
      <c r="BA60" s="88" t="s">
        <v>1348</v>
      </c>
      <c r="BB60" s="90">
        <v>0.44500000000000006</v>
      </c>
      <c r="BM60" t="s">
        <v>1272</v>
      </c>
      <c r="BN60" t="s">
        <v>1286</v>
      </c>
      <c r="BO60" s="90">
        <v>101.33999999999997</v>
      </c>
      <c r="BQ60" t="str">
        <f t="shared" si="10"/>
        <v>35</v>
      </c>
      <c r="BR60" s="252" t="s">
        <v>1164</v>
      </c>
      <c r="BS60">
        <v>5.6000000000000001E-2</v>
      </c>
      <c r="BT60" s="251" t="s">
        <v>1561</v>
      </c>
      <c r="BU60" s="34" t="s">
        <v>759</v>
      </c>
      <c r="BV60" t="s">
        <v>1475</v>
      </c>
      <c r="BW60">
        <v>0</v>
      </c>
      <c r="BY60" t="s">
        <v>1518</v>
      </c>
      <c r="BZ60" s="90">
        <v>0.5</v>
      </c>
    </row>
    <row r="61" spans="1:78" x14ac:dyDescent="0.25">
      <c r="A61">
        <v>2420</v>
      </c>
      <c r="B61" t="s">
        <v>1326</v>
      </c>
      <c r="C61">
        <v>5.6000000000000001E-2</v>
      </c>
      <c r="D61" t="s">
        <v>1264</v>
      </c>
      <c r="E61">
        <v>100015</v>
      </c>
      <c r="F61">
        <v>2420</v>
      </c>
      <c r="G61" t="str">
        <f t="shared" si="0"/>
        <v>02420</v>
      </c>
      <c r="H61" t="s">
        <v>310</v>
      </c>
      <c r="I61" t="s">
        <v>1265</v>
      </c>
      <c r="J61" t="s">
        <v>1271</v>
      </c>
      <c r="K61" t="s">
        <v>1272</v>
      </c>
      <c r="L61" t="s">
        <v>1326</v>
      </c>
      <c r="M61" t="s">
        <v>1353</v>
      </c>
      <c r="N61">
        <v>21</v>
      </c>
      <c r="O61" t="str">
        <f t="shared" si="3"/>
        <v>45</v>
      </c>
      <c r="P61">
        <v>45</v>
      </c>
      <c r="R61" t="s">
        <v>1269</v>
      </c>
      <c r="S61">
        <v>5.6000000000000001E-2</v>
      </c>
      <c r="T61">
        <v>0.21659999999999999</v>
      </c>
      <c r="U61">
        <f t="shared" si="4"/>
        <v>1.2E-2</v>
      </c>
      <c r="V61" t="str">
        <f t="shared" si="1"/>
        <v>High Speech, Language Pathway/
Audio</v>
      </c>
      <c r="W61" t="str">
        <f t="shared" si="2"/>
        <v>Speech, Language Pathway/
Audio</v>
      </c>
      <c r="Y61" s="88" t="s">
        <v>1270</v>
      </c>
      <c r="Z61" s="90"/>
      <c r="AA61" s="90"/>
      <c r="AB61" s="90">
        <v>926.64799999999991</v>
      </c>
      <c r="AC61" s="90"/>
      <c r="AD61" s="90"/>
      <c r="AE61" s="90">
        <v>0</v>
      </c>
      <c r="AF61" s="90">
        <v>926.64799999999991</v>
      </c>
      <c r="AG61" s="90"/>
      <c r="AI61" s="88" t="s">
        <v>1270</v>
      </c>
      <c r="AJ61" s="90">
        <v>0</v>
      </c>
      <c r="AK61" s="90">
        <f t="shared" si="6"/>
        <v>926.64799999999991</v>
      </c>
      <c r="AL61" s="90">
        <f t="shared" si="7"/>
        <v>0</v>
      </c>
      <c r="AM61" s="90">
        <f t="shared" si="8"/>
        <v>0</v>
      </c>
      <c r="AN61" s="90">
        <f t="shared" si="9"/>
        <v>926.64799999999991</v>
      </c>
      <c r="BA61" s="88" t="s">
        <v>1450</v>
      </c>
      <c r="BB61" s="90">
        <v>1</v>
      </c>
      <c r="BM61" t="s">
        <v>1272</v>
      </c>
      <c r="BN61" t="s">
        <v>1383</v>
      </c>
      <c r="BO61" s="90">
        <v>162.89399999999989</v>
      </c>
      <c r="BQ61" t="str">
        <f t="shared" si="10"/>
        <v>39</v>
      </c>
      <c r="BR61" s="132" t="s">
        <v>925</v>
      </c>
      <c r="BS61">
        <v>5.7000000000000002E-2</v>
      </c>
      <c r="BT61" s="244" t="s">
        <v>1524</v>
      </c>
      <c r="BU61" s="34" t="s">
        <v>759</v>
      </c>
      <c r="BV61" t="s">
        <v>1476</v>
      </c>
      <c r="BW61">
        <v>0</v>
      </c>
      <c r="BY61" t="s">
        <v>753</v>
      </c>
      <c r="BZ61" s="90">
        <v>9874.1679999999978</v>
      </c>
    </row>
    <row r="62" spans="1:78" x14ac:dyDescent="0.25">
      <c r="A62">
        <v>2420</v>
      </c>
      <c r="B62" t="s">
        <v>1312</v>
      </c>
      <c r="C62">
        <v>0.13600000000000001</v>
      </c>
      <c r="D62" t="s">
        <v>1264</v>
      </c>
      <c r="E62">
        <v>100015</v>
      </c>
      <c r="F62">
        <v>2420</v>
      </c>
      <c r="G62" t="str">
        <f t="shared" si="0"/>
        <v>02420</v>
      </c>
      <c r="H62" t="s">
        <v>310</v>
      </c>
      <c r="I62" t="s">
        <v>1265</v>
      </c>
      <c r="J62" t="s">
        <v>1266</v>
      </c>
      <c r="K62" t="s">
        <v>1267</v>
      </c>
      <c r="L62" t="s">
        <v>1312</v>
      </c>
      <c r="M62" t="s">
        <v>1351</v>
      </c>
      <c r="N62">
        <v>21</v>
      </c>
      <c r="O62" t="str">
        <f t="shared" si="3"/>
        <v>45</v>
      </c>
      <c r="P62">
        <v>45</v>
      </c>
      <c r="R62" t="s">
        <v>1269</v>
      </c>
      <c r="S62">
        <v>0.13600000000000001</v>
      </c>
      <c r="T62">
        <v>0.21659999999999999</v>
      </c>
      <c r="U62">
        <f t="shared" si="4"/>
        <v>2.9000000000000001E-2</v>
      </c>
      <c r="V62" t="str">
        <f t="shared" si="1"/>
        <v>Middle Speech, Language Pathway/
Audio</v>
      </c>
      <c r="W62" t="str">
        <f t="shared" si="2"/>
        <v>Speech, Language Pathway/
Audio</v>
      </c>
      <c r="Y62" s="88" t="s">
        <v>1365</v>
      </c>
      <c r="Z62" s="90">
        <v>4.5110000000000001</v>
      </c>
      <c r="AA62" s="90"/>
      <c r="AB62" s="90"/>
      <c r="AC62" s="90"/>
      <c r="AD62" s="90"/>
      <c r="AE62" s="90"/>
      <c r="AF62" s="90">
        <v>4.5110000000000001</v>
      </c>
      <c r="AG62" s="90"/>
      <c r="AI62" s="88" t="s">
        <v>1365</v>
      </c>
      <c r="AJ62" s="90">
        <v>1.17</v>
      </c>
      <c r="AK62" s="90">
        <f t="shared" si="6"/>
        <v>0</v>
      </c>
      <c r="AL62" s="90">
        <f t="shared" si="7"/>
        <v>0</v>
      </c>
      <c r="AM62" s="90">
        <f t="shared" si="8"/>
        <v>0</v>
      </c>
      <c r="AN62" s="90">
        <f t="shared" si="9"/>
        <v>1.17</v>
      </c>
      <c r="BA62" s="88" t="s">
        <v>1451</v>
      </c>
      <c r="BB62" s="90">
        <v>0</v>
      </c>
      <c r="BM62" t="s">
        <v>1272</v>
      </c>
      <c r="BN62" t="s">
        <v>1290</v>
      </c>
      <c r="BO62" s="90">
        <v>18.603999999999996</v>
      </c>
      <c r="BQ62" t="str">
        <f t="shared" si="10"/>
        <v>42</v>
      </c>
      <c r="BR62" s="132" t="s">
        <v>926</v>
      </c>
      <c r="BS62">
        <v>5.8000000000000003E-2</v>
      </c>
      <c r="BT62" s="244" t="s">
        <v>1525</v>
      </c>
      <c r="BU62" s="34" t="s">
        <v>759</v>
      </c>
      <c r="BV62" t="s">
        <v>1263</v>
      </c>
      <c r="BW62">
        <v>0</v>
      </c>
    </row>
    <row r="63" spans="1:78" x14ac:dyDescent="0.25">
      <c r="A63">
        <v>2420</v>
      </c>
      <c r="B63" t="s">
        <v>1298</v>
      </c>
      <c r="C63">
        <v>0.16700000000000001</v>
      </c>
      <c r="D63" t="s">
        <v>1264</v>
      </c>
      <c r="E63">
        <v>100015</v>
      </c>
      <c r="F63">
        <v>2420</v>
      </c>
      <c r="G63" t="str">
        <f t="shared" si="0"/>
        <v>02420</v>
      </c>
      <c r="H63" t="s">
        <v>310</v>
      </c>
      <c r="I63" t="s">
        <v>1265</v>
      </c>
      <c r="J63" t="s">
        <v>1276</v>
      </c>
      <c r="K63" t="s">
        <v>1277</v>
      </c>
      <c r="L63" t="s">
        <v>1298</v>
      </c>
      <c r="M63" t="s">
        <v>1349</v>
      </c>
      <c r="N63">
        <v>21</v>
      </c>
      <c r="O63" t="str">
        <f t="shared" si="3"/>
        <v>46</v>
      </c>
      <c r="P63">
        <v>46</v>
      </c>
      <c r="R63" t="s">
        <v>1269</v>
      </c>
      <c r="S63">
        <v>0.16700000000000001</v>
      </c>
      <c r="T63">
        <v>0.21659999999999999</v>
      </c>
      <c r="U63">
        <f t="shared" si="4"/>
        <v>3.5999999999999997E-2</v>
      </c>
      <c r="V63" t="str">
        <f t="shared" si="1"/>
        <v>Elementary Psychologist</v>
      </c>
      <c r="W63" t="str">
        <f t="shared" si="2"/>
        <v>Psychologist</v>
      </c>
      <c r="Y63" s="88" t="s">
        <v>1479</v>
      </c>
      <c r="Z63" s="90"/>
      <c r="AA63" s="90">
        <v>0</v>
      </c>
      <c r="AB63" s="90"/>
      <c r="AC63" s="90"/>
      <c r="AD63" s="90"/>
      <c r="AE63" s="90"/>
      <c r="AF63" s="90">
        <v>0</v>
      </c>
      <c r="AG63" s="90"/>
      <c r="AI63" s="88" t="s">
        <v>1479</v>
      </c>
      <c r="AJ63" s="90">
        <v>0</v>
      </c>
      <c r="AK63" s="90">
        <f t="shared" si="6"/>
        <v>0</v>
      </c>
      <c r="AL63" s="90">
        <f t="shared" si="7"/>
        <v>0</v>
      </c>
      <c r="AM63" s="90">
        <f t="shared" si="8"/>
        <v>0</v>
      </c>
      <c r="AN63" s="90">
        <f t="shared" si="9"/>
        <v>0</v>
      </c>
      <c r="BA63" s="88" t="s">
        <v>1452</v>
      </c>
      <c r="BB63" s="90">
        <v>0</v>
      </c>
      <c r="BM63" t="s">
        <v>1272</v>
      </c>
      <c r="BN63" t="s">
        <v>1299</v>
      </c>
      <c r="BO63" s="90">
        <v>1057.1390000000004</v>
      </c>
      <c r="BQ63" t="str">
        <f t="shared" si="10"/>
        <v>43</v>
      </c>
      <c r="BR63" s="132" t="s">
        <v>927</v>
      </c>
      <c r="BS63">
        <v>5.8999999999999997E-2</v>
      </c>
      <c r="BT63" s="244" t="s">
        <v>1547</v>
      </c>
      <c r="BU63" s="34" t="s">
        <v>759</v>
      </c>
      <c r="BV63" t="s">
        <v>1368</v>
      </c>
      <c r="BW63">
        <v>0</v>
      </c>
    </row>
    <row r="64" spans="1:78" x14ac:dyDescent="0.25">
      <c r="A64">
        <v>2420</v>
      </c>
      <c r="B64" t="s">
        <v>1309</v>
      </c>
      <c r="C64">
        <v>0.16700000000000001</v>
      </c>
      <c r="D64" t="s">
        <v>1264</v>
      </c>
      <c r="E64">
        <v>100015</v>
      </c>
      <c r="F64">
        <v>2420</v>
      </c>
      <c r="G64" t="str">
        <f t="shared" si="0"/>
        <v>02420</v>
      </c>
      <c r="H64" t="s">
        <v>310</v>
      </c>
      <c r="I64" t="s">
        <v>1265</v>
      </c>
      <c r="J64" t="s">
        <v>1271</v>
      </c>
      <c r="K64" t="s">
        <v>1272</v>
      </c>
      <c r="L64" t="s">
        <v>1309</v>
      </c>
      <c r="M64" t="s">
        <v>1310</v>
      </c>
      <c r="N64">
        <v>21</v>
      </c>
      <c r="O64" t="str">
        <f t="shared" si="3"/>
        <v>46</v>
      </c>
      <c r="P64">
        <v>46</v>
      </c>
      <c r="R64" t="s">
        <v>1269</v>
      </c>
      <c r="S64">
        <v>0.16700000000000001</v>
      </c>
      <c r="T64">
        <v>0.21659999999999999</v>
      </c>
      <c r="U64">
        <f t="shared" si="4"/>
        <v>3.5999999999999997E-2</v>
      </c>
      <c r="V64" t="str">
        <f t="shared" si="1"/>
        <v>High Psychologist</v>
      </c>
      <c r="W64" t="str">
        <f t="shared" si="2"/>
        <v>Psychologist</v>
      </c>
      <c r="Y64" s="88" t="s">
        <v>1263</v>
      </c>
      <c r="Z64" s="90"/>
      <c r="AA64" s="90"/>
      <c r="AB64" s="90">
        <v>511.82900000000006</v>
      </c>
      <c r="AC64" s="90"/>
      <c r="AD64" s="90"/>
      <c r="AE64" s="90">
        <v>0</v>
      </c>
      <c r="AF64" s="90">
        <v>511.82900000000006</v>
      </c>
      <c r="AG64" s="90"/>
      <c r="AI64" s="88" t="s">
        <v>1263</v>
      </c>
      <c r="AJ64" s="90">
        <v>0</v>
      </c>
      <c r="AK64" s="90">
        <f t="shared" si="6"/>
        <v>511.82900000000006</v>
      </c>
      <c r="AL64" s="90">
        <f t="shared" si="7"/>
        <v>0</v>
      </c>
      <c r="AM64" s="90">
        <f t="shared" si="8"/>
        <v>0</v>
      </c>
      <c r="AN64" s="90">
        <f t="shared" si="9"/>
        <v>511.82900000000006</v>
      </c>
      <c r="BA64" s="88" t="s">
        <v>1453</v>
      </c>
      <c r="BB64" s="90">
        <v>0</v>
      </c>
      <c r="BM64" t="s">
        <v>1272</v>
      </c>
      <c r="BN64" t="s">
        <v>1324</v>
      </c>
      <c r="BO64" s="90">
        <v>330.07799999999992</v>
      </c>
      <c r="BQ64" t="str">
        <f t="shared" si="10"/>
        <v>44</v>
      </c>
      <c r="BR64" s="132" t="s">
        <v>928</v>
      </c>
      <c r="BS64">
        <v>0.06</v>
      </c>
      <c r="BT64" s="244" t="s">
        <v>1526</v>
      </c>
      <c r="BU64" s="34" t="s">
        <v>759</v>
      </c>
      <c r="BV64" t="s">
        <v>1356</v>
      </c>
      <c r="BW64">
        <v>0</v>
      </c>
    </row>
    <row r="65" spans="1:75" x14ac:dyDescent="0.25">
      <c r="A65">
        <v>2420</v>
      </c>
      <c r="B65" t="s">
        <v>1345</v>
      </c>
      <c r="C65">
        <v>0.16700000000000001</v>
      </c>
      <c r="D65" t="s">
        <v>1264</v>
      </c>
      <c r="E65">
        <v>100015</v>
      </c>
      <c r="F65">
        <v>2420</v>
      </c>
      <c r="G65" t="str">
        <f t="shared" si="0"/>
        <v>02420</v>
      </c>
      <c r="H65" t="s">
        <v>310</v>
      </c>
      <c r="I65" t="s">
        <v>1265</v>
      </c>
      <c r="J65" t="s">
        <v>1266</v>
      </c>
      <c r="K65" t="s">
        <v>1267</v>
      </c>
      <c r="L65" t="s">
        <v>1345</v>
      </c>
      <c r="M65" t="s">
        <v>1346</v>
      </c>
      <c r="N65">
        <v>21</v>
      </c>
      <c r="O65" t="str">
        <f t="shared" si="3"/>
        <v>46</v>
      </c>
      <c r="P65">
        <v>46</v>
      </c>
      <c r="R65" t="s">
        <v>1269</v>
      </c>
      <c r="S65">
        <v>0.16700000000000001</v>
      </c>
      <c r="T65">
        <v>0.21659999999999999</v>
      </c>
      <c r="U65">
        <f t="shared" si="4"/>
        <v>3.5999999999999997E-2</v>
      </c>
      <c r="V65" t="str">
        <f t="shared" si="1"/>
        <v>Middle Psychologist</v>
      </c>
      <c r="W65" t="str">
        <f t="shared" si="2"/>
        <v>Psychologist</v>
      </c>
      <c r="Y65" s="88" t="s">
        <v>1465</v>
      </c>
      <c r="Z65" s="90"/>
      <c r="AA65" s="90"/>
      <c r="AB65" s="90"/>
      <c r="AC65" s="90"/>
      <c r="AD65" s="90">
        <v>0</v>
      </c>
      <c r="AE65" s="90"/>
      <c r="AF65" s="90">
        <v>0</v>
      </c>
      <c r="AG65" s="90"/>
      <c r="AI65" s="88" t="s">
        <v>1465</v>
      </c>
      <c r="AJ65" s="90">
        <v>0</v>
      </c>
      <c r="AK65" s="90">
        <f t="shared" si="6"/>
        <v>0</v>
      </c>
      <c r="AL65" s="90">
        <f t="shared" si="7"/>
        <v>0</v>
      </c>
      <c r="AM65" s="90">
        <f t="shared" si="8"/>
        <v>0</v>
      </c>
      <c r="AN65" s="90">
        <f t="shared" si="9"/>
        <v>0</v>
      </c>
      <c r="AO65" s="90">
        <f>SUM(AN65:AN74)</f>
        <v>145.73099999999999</v>
      </c>
      <c r="BA65" s="88" t="s">
        <v>1454</v>
      </c>
      <c r="BB65" s="90">
        <v>0</v>
      </c>
      <c r="BM65" t="s">
        <v>1272</v>
      </c>
      <c r="BN65" t="s">
        <v>1295</v>
      </c>
      <c r="BO65" s="90">
        <v>591.59</v>
      </c>
      <c r="BQ65" t="str">
        <f t="shared" si="10"/>
        <v>45</v>
      </c>
      <c r="BR65" s="132" t="s">
        <v>929</v>
      </c>
      <c r="BS65">
        <v>6.0999999999999999E-2</v>
      </c>
      <c r="BT65" s="244" t="s">
        <v>1527</v>
      </c>
      <c r="BU65" s="34" t="s">
        <v>759</v>
      </c>
      <c r="BV65" t="s">
        <v>1370</v>
      </c>
      <c r="BW65">
        <v>0</v>
      </c>
    </row>
    <row r="66" spans="1:75" x14ac:dyDescent="0.25">
      <c r="A66">
        <v>3017</v>
      </c>
      <c r="B66" t="s">
        <v>1286</v>
      </c>
      <c r="C66">
        <v>2.3610000000000002</v>
      </c>
      <c r="D66" t="s">
        <v>1264</v>
      </c>
      <c r="E66">
        <v>100116</v>
      </c>
      <c r="F66">
        <v>3017</v>
      </c>
      <c r="G66" t="str">
        <f t="shared" ref="G66:G129" si="11">TEXT(F66,"00000")</f>
        <v>03017</v>
      </c>
      <c r="H66" t="s">
        <v>311</v>
      </c>
      <c r="I66" t="s">
        <v>1265</v>
      </c>
      <c r="J66" t="s">
        <v>1271</v>
      </c>
      <c r="K66" t="s">
        <v>1272</v>
      </c>
      <c r="L66" t="s">
        <v>1286</v>
      </c>
      <c r="M66" t="s">
        <v>1287</v>
      </c>
      <c r="N66">
        <v>1</v>
      </c>
      <c r="O66" t="str">
        <f t="shared" si="3"/>
        <v>24</v>
      </c>
      <c r="P66">
        <v>96</v>
      </c>
      <c r="Q66">
        <v>24</v>
      </c>
      <c r="R66" t="s">
        <v>1269</v>
      </c>
      <c r="S66">
        <v>2.3610000000000002</v>
      </c>
      <c r="T66">
        <v>0.30080000000000001</v>
      </c>
      <c r="U66">
        <f t="shared" si="4"/>
        <v>0</v>
      </c>
      <c r="V66" t="str">
        <f t="shared" ref="V66:V129" si="12">_xlfn.XLOOKUP(L66,$BV:$BV,$BT:$BT,,0)</f>
        <v>High Family Engagement Coordinator</v>
      </c>
      <c r="W66" t="str">
        <f t="shared" ref="W66:W129" si="13">_xlfn.TEXTAFTER(V66," ")</f>
        <v>Family Engagement Coordinator</v>
      </c>
      <c r="Y66" s="88" t="s">
        <v>1289</v>
      </c>
      <c r="Z66" s="90">
        <v>400.18</v>
      </c>
      <c r="AA66" s="90"/>
      <c r="AB66" s="90"/>
      <c r="AC66" s="90"/>
      <c r="AD66" s="90"/>
      <c r="AE66" s="90"/>
      <c r="AF66" s="90">
        <v>400.18</v>
      </c>
      <c r="AG66" s="90"/>
      <c r="AI66" s="88" t="s">
        <v>1289</v>
      </c>
      <c r="AJ66" s="90">
        <v>100.52700000000004</v>
      </c>
      <c r="AK66" s="90">
        <f t="shared" si="6"/>
        <v>0</v>
      </c>
      <c r="AL66" s="90">
        <f t="shared" si="7"/>
        <v>0</v>
      </c>
      <c r="AM66" s="90">
        <f t="shared" si="8"/>
        <v>0</v>
      </c>
      <c r="AN66" s="90">
        <f t="shared" si="9"/>
        <v>100.52700000000004</v>
      </c>
      <c r="AO66" t="e">
        <f>#REF!</f>
        <v>#REF!</v>
      </c>
      <c r="BA66" s="88" t="s">
        <v>1455</v>
      </c>
      <c r="BB66" s="90">
        <v>0</v>
      </c>
      <c r="BM66" t="s">
        <v>1272</v>
      </c>
      <c r="BN66" t="s">
        <v>1384</v>
      </c>
      <c r="BO66" s="90">
        <v>2.7930000000000001</v>
      </c>
      <c r="BQ66" t="str">
        <f t="shared" si="10"/>
        <v>46</v>
      </c>
      <c r="BR66" s="132" t="s">
        <v>930</v>
      </c>
      <c r="BS66">
        <v>6.2E-2</v>
      </c>
      <c r="BT66" s="244" t="s">
        <v>1550</v>
      </c>
      <c r="BU66" s="34" t="s">
        <v>759</v>
      </c>
      <c r="BV66" t="s">
        <v>1371</v>
      </c>
      <c r="BW66">
        <v>0</v>
      </c>
    </row>
    <row r="67" spans="1:75" x14ac:dyDescent="0.25">
      <c r="A67">
        <v>3017</v>
      </c>
      <c r="B67" t="s">
        <v>1383</v>
      </c>
      <c r="C67">
        <v>6.077</v>
      </c>
      <c r="D67" t="s">
        <v>1264</v>
      </c>
      <c r="E67">
        <v>100116</v>
      </c>
      <c r="F67">
        <v>3017</v>
      </c>
      <c r="G67" t="str">
        <f t="shared" si="11"/>
        <v>03017</v>
      </c>
      <c r="H67" t="s">
        <v>311</v>
      </c>
      <c r="I67" t="s">
        <v>1265</v>
      </c>
      <c r="J67" t="s">
        <v>1271</v>
      </c>
      <c r="K67" t="s">
        <v>1272</v>
      </c>
      <c r="L67" t="s">
        <v>1383</v>
      </c>
      <c r="M67" t="s">
        <v>1409</v>
      </c>
      <c r="N67">
        <v>21</v>
      </c>
      <c r="O67" t="str">
        <f t="shared" ref="O67:O130" si="14">MID(L67,3,2)</f>
        <v>25</v>
      </c>
      <c r="Q67">
        <v>25</v>
      </c>
      <c r="R67" t="s">
        <v>1269</v>
      </c>
      <c r="S67">
        <v>6.077</v>
      </c>
      <c r="T67">
        <v>0.30080000000000001</v>
      </c>
      <c r="U67">
        <f t="shared" ref="U67:U130" si="15">IF(N67=21,ROUND(T67*S67,3),0)</f>
        <v>1.8280000000000001</v>
      </c>
      <c r="V67" t="str">
        <f t="shared" si="12"/>
        <v>High Pupil Management</v>
      </c>
      <c r="W67" t="str">
        <f t="shared" si="13"/>
        <v>Pupil Management</v>
      </c>
      <c r="Y67" s="88" t="s">
        <v>1453</v>
      </c>
      <c r="Z67" s="90"/>
      <c r="AA67" s="90">
        <v>0</v>
      </c>
      <c r="AB67" s="90"/>
      <c r="AC67" s="90"/>
      <c r="AD67" s="90"/>
      <c r="AE67" s="90"/>
      <c r="AF67" s="90">
        <v>0</v>
      </c>
      <c r="AG67" s="90"/>
      <c r="AI67" s="88" t="s">
        <v>1453</v>
      </c>
      <c r="AJ67" s="90">
        <v>0</v>
      </c>
      <c r="AK67" s="90">
        <f t="shared" si="6"/>
        <v>0</v>
      </c>
      <c r="AL67" s="90">
        <f t="shared" si="7"/>
        <v>0</v>
      </c>
      <c r="AM67" s="90">
        <f t="shared" si="8"/>
        <v>0</v>
      </c>
      <c r="AN67" s="90">
        <f t="shared" si="9"/>
        <v>0</v>
      </c>
      <c r="AO67" s="261" t="e">
        <f>SUM(AO65:AO66)</f>
        <v>#REF!</v>
      </c>
      <c r="BA67" s="88" t="s">
        <v>1456</v>
      </c>
      <c r="BB67" s="90">
        <v>0</v>
      </c>
      <c r="BM67" t="s">
        <v>1272</v>
      </c>
      <c r="BN67" t="s">
        <v>1385</v>
      </c>
      <c r="BO67" s="90">
        <v>5.383</v>
      </c>
      <c r="BQ67" t="str">
        <f t="shared" si="10"/>
        <v>47</v>
      </c>
      <c r="BR67" s="132" t="s">
        <v>931</v>
      </c>
      <c r="BS67">
        <v>6.3E-2</v>
      </c>
      <c r="BT67" s="244" t="s">
        <v>1529</v>
      </c>
      <c r="BU67" s="34" t="s">
        <v>759</v>
      </c>
      <c r="BV67" t="s">
        <v>1338</v>
      </c>
      <c r="BW67">
        <v>0</v>
      </c>
    </row>
    <row r="68" spans="1:75" x14ac:dyDescent="0.25">
      <c r="A68">
        <v>3017</v>
      </c>
      <c r="B68" t="s">
        <v>1299</v>
      </c>
      <c r="C68">
        <v>31.879000000000001</v>
      </c>
      <c r="D68" t="s">
        <v>1264</v>
      </c>
      <c r="E68">
        <v>100116</v>
      </c>
      <c r="F68">
        <v>3017</v>
      </c>
      <c r="G68" t="str">
        <f t="shared" si="11"/>
        <v>03017</v>
      </c>
      <c r="H68" t="s">
        <v>311</v>
      </c>
      <c r="I68" t="s">
        <v>1265</v>
      </c>
      <c r="J68" t="s">
        <v>1271</v>
      </c>
      <c r="K68" t="s">
        <v>1272</v>
      </c>
      <c r="L68" t="s">
        <v>1299</v>
      </c>
      <c r="M68" t="s">
        <v>1300</v>
      </c>
      <c r="N68">
        <v>1</v>
      </c>
      <c r="O68" t="str">
        <f t="shared" si="14"/>
        <v>25</v>
      </c>
      <c r="Q68">
        <v>25</v>
      </c>
      <c r="R68" t="s">
        <v>1269</v>
      </c>
      <c r="S68">
        <v>31.879000000000001</v>
      </c>
      <c r="T68">
        <v>0.30080000000000001</v>
      </c>
      <c r="U68">
        <f t="shared" si="15"/>
        <v>0</v>
      </c>
      <c r="V68" t="str">
        <f t="shared" si="12"/>
        <v>High Pupil Management</v>
      </c>
      <c r="W68" t="str">
        <f t="shared" si="13"/>
        <v>Pupil Management</v>
      </c>
      <c r="Y68" s="88" t="s">
        <v>1328</v>
      </c>
      <c r="Z68" s="90"/>
      <c r="AA68" s="90"/>
      <c r="AB68" s="90">
        <v>2.6389999999999998</v>
      </c>
      <c r="AC68" s="90"/>
      <c r="AD68" s="90"/>
      <c r="AE68" s="90">
        <v>0</v>
      </c>
      <c r="AF68" s="90">
        <v>2.6389999999999998</v>
      </c>
      <c r="AG68" s="90"/>
      <c r="AI68" s="88" t="s">
        <v>1328</v>
      </c>
      <c r="AJ68" s="90">
        <v>0</v>
      </c>
      <c r="AK68" s="90">
        <f t="shared" si="6"/>
        <v>2.6389999999999998</v>
      </c>
      <c r="AL68" s="90">
        <f t="shared" si="7"/>
        <v>0</v>
      </c>
      <c r="AM68" s="90">
        <f t="shared" si="8"/>
        <v>0</v>
      </c>
      <c r="AN68" s="90">
        <f t="shared" si="9"/>
        <v>2.6389999999999998</v>
      </c>
      <c r="BA68" s="88" t="s">
        <v>1457</v>
      </c>
      <c r="BB68" s="90">
        <v>0</v>
      </c>
      <c r="BM68" t="s">
        <v>1272</v>
      </c>
      <c r="BN68" t="s">
        <v>1270</v>
      </c>
      <c r="BO68" s="90">
        <v>926.64799999999991</v>
      </c>
      <c r="BQ68" t="str">
        <f t="shared" si="10"/>
        <v>48</v>
      </c>
      <c r="BR68" s="132" t="s">
        <v>932</v>
      </c>
      <c r="BS68">
        <v>6.4000000000000001E-2</v>
      </c>
      <c r="BT68" s="244" t="s">
        <v>1530</v>
      </c>
      <c r="BU68" s="34" t="s">
        <v>759</v>
      </c>
      <c r="BV68" t="s">
        <v>1373</v>
      </c>
      <c r="BW68">
        <v>0</v>
      </c>
    </row>
    <row r="69" spans="1:75" x14ac:dyDescent="0.25">
      <c r="A69">
        <v>3017</v>
      </c>
      <c r="B69" t="s">
        <v>1324</v>
      </c>
      <c r="C69">
        <v>5.7409999999999997</v>
      </c>
      <c r="D69" t="s">
        <v>1264</v>
      </c>
      <c r="E69">
        <v>100116</v>
      </c>
      <c r="F69">
        <v>3017</v>
      </c>
      <c r="G69" t="str">
        <f t="shared" si="11"/>
        <v>03017</v>
      </c>
      <c r="H69" t="s">
        <v>311</v>
      </c>
      <c r="I69" t="s">
        <v>1265</v>
      </c>
      <c r="J69" t="s">
        <v>1271</v>
      </c>
      <c r="K69" t="s">
        <v>1272</v>
      </c>
      <c r="L69" t="s">
        <v>1324</v>
      </c>
      <c r="M69" t="s">
        <v>1325</v>
      </c>
      <c r="N69">
        <v>21</v>
      </c>
      <c r="O69" t="str">
        <f t="shared" si="14"/>
        <v>26</v>
      </c>
      <c r="Q69">
        <v>26</v>
      </c>
      <c r="R69" t="s">
        <v>1269</v>
      </c>
      <c r="S69">
        <v>5.7409999999999997</v>
      </c>
      <c r="T69">
        <v>0.30080000000000001</v>
      </c>
      <c r="U69">
        <f t="shared" si="15"/>
        <v>1.7270000000000001</v>
      </c>
      <c r="V69" t="str">
        <f t="shared" si="12"/>
        <v>High Health/
Related Services</v>
      </c>
      <c r="W69" t="str">
        <f t="shared" si="13"/>
        <v>Health/
Related Services</v>
      </c>
      <c r="Y69" s="88" t="s">
        <v>1387</v>
      </c>
      <c r="Z69" s="90">
        <v>97.703000000000017</v>
      </c>
      <c r="AA69" s="90"/>
      <c r="AB69" s="90"/>
      <c r="AC69" s="90"/>
      <c r="AD69" s="90"/>
      <c r="AE69" s="90"/>
      <c r="AF69" s="90">
        <v>97.703000000000017</v>
      </c>
      <c r="AG69" s="90"/>
      <c r="AI69" s="88" t="s">
        <v>1387</v>
      </c>
      <c r="AJ69" s="90">
        <v>25.414999999999992</v>
      </c>
      <c r="AK69" s="90">
        <f t="shared" si="6"/>
        <v>0</v>
      </c>
      <c r="AL69" s="90">
        <f t="shared" si="7"/>
        <v>0</v>
      </c>
      <c r="AM69" s="90">
        <f t="shared" si="8"/>
        <v>0</v>
      </c>
      <c r="AN69" s="90">
        <f t="shared" si="9"/>
        <v>25.414999999999992</v>
      </c>
      <c r="BA69" s="88" t="s">
        <v>1458</v>
      </c>
      <c r="BB69" s="90">
        <v>0</v>
      </c>
      <c r="BM69" t="s">
        <v>1272</v>
      </c>
      <c r="BN69" t="s">
        <v>1387</v>
      </c>
      <c r="BO69" s="90">
        <v>97.703000000000017</v>
      </c>
      <c r="BQ69" t="str">
        <f t="shared" si="10"/>
        <v>49</v>
      </c>
      <c r="BR69" s="132" t="s">
        <v>933</v>
      </c>
      <c r="BS69">
        <v>6.5000000000000002E-2</v>
      </c>
      <c r="BT69" s="244" t="s">
        <v>1528</v>
      </c>
      <c r="BU69" s="34" t="s">
        <v>759</v>
      </c>
      <c r="BV69" t="s">
        <v>1477</v>
      </c>
      <c r="BW69">
        <v>0</v>
      </c>
    </row>
    <row r="70" spans="1:75" x14ac:dyDescent="0.25">
      <c r="A70">
        <v>3017</v>
      </c>
      <c r="B70" t="s">
        <v>1295</v>
      </c>
      <c r="C70">
        <v>4.2389999999999999</v>
      </c>
      <c r="D70" t="s">
        <v>1264</v>
      </c>
      <c r="E70">
        <v>100116</v>
      </c>
      <c r="F70">
        <v>3017</v>
      </c>
      <c r="G70" t="str">
        <f t="shared" si="11"/>
        <v>03017</v>
      </c>
      <c r="H70" t="s">
        <v>311</v>
      </c>
      <c r="I70" t="s">
        <v>1265</v>
      </c>
      <c r="J70" t="s">
        <v>1271</v>
      </c>
      <c r="K70" t="s">
        <v>1272</v>
      </c>
      <c r="L70" t="s">
        <v>1295</v>
      </c>
      <c r="M70" t="s">
        <v>1296</v>
      </c>
      <c r="N70">
        <v>1</v>
      </c>
      <c r="O70" t="str">
        <f t="shared" si="14"/>
        <v>26</v>
      </c>
      <c r="Q70">
        <v>26</v>
      </c>
      <c r="R70" t="s">
        <v>1269</v>
      </c>
      <c r="S70">
        <v>4.2389999999999999</v>
      </c>
      <c r="T70">
        <v>0.30080000000000001</v>
      </c>
      <c r="U70">
        <f t="shared" si="15"/>
        <v>0</v>
      </c>
      <c r="V70" t="str">
        <f t="shared" si="12"/>
        <v>High Health/
Related Services</v>
      </c>
      <c r="W70" t="str">
        <f t="shared" si="13"/>
        <v>Health/
Related Services</v>
      </c>
      <c r="Y70" s="88" t="s">
        <v>1493</v>
      </c>
      <c r="Z70" s="90"/>
      <c r="AA70" s="90">
        <v>0</v>
      </c>
      <c r="AB70" s="90"/>
      <c r="AC70" s="90"/>
      <c r="AD70" s="90"/>
      <c r="AE70" s="90"/>
      <c r="AF70" s="90">
        <v>0</v>
      </c>
      <c r="AG70" s="90"/>
      <c r="AI70" s="88" t="s">
        <v>1493</v>
      </c>
      <c r="AJ70" s="90">
        <v>0</v>
      </c>
      <c r="AK70" s="90">
        <f t="shared" ref="AK70:AK133" si="16">AB70</f>
        <v>0</v>
      </c>
      <c r="AL70" s="90">
        <f t="shared" ref="AL70:AL133" si="17">AC70</f>
        <v>0</v>
      </c>
      <c r="AM70" s="90">
        <f t="shared" ref="AM70:AM133" si="18">AA70</f>
        <v>0</v>
      </c>
      <c r="AN70" s="90">
        <f t="shared" ref="AN70:AN133" si="19">SUM(AJ70:AM70)</f>
        <v>0</v>
      </c>
      <c r="BA70" s="88" t="s">
        <v>1459</v>
      </c>
      <c r="BB70" s="90">
        <v>0</v>
      </c>
      <c r="BM70" t="s">
        <v>1272</v>
      </c>
      <c r="BN70" t="s">
        <v>1388</v>
      </c>
      <c r="BO70" s="90">
        <v>0.80800000000000005</v>
      </c>
      <c r="BQ70" t="str">
        <f t="shared" ref="BQ70:BQ133" si="20">MID(BR70,3,2)</f>
        <v>64</v>
      </c>
      <c r="BR70" s="132" t="s">
        <v>934</v>
      </c>
      <c r="BS70">
        <v>6.6000000000000003E-2</v>
      </c>
      <c r="BT70" s="244" t="s">
        <v>1531</v>
      </c>
      <c r="BU70" s="34" t="s">
        <v>759</v>
      </c>
      <c r="BV70" t="s">
        <v>1376</v>
      </c>
      <c r="BW70">
        <v>0</v>
      </c>
    </row>
    <row r="71" spans="1:75" x14ac:dyDescent="0.25">
      <c r="A71">
        <v>3017</v>
      </c>
      <c r="B71" t="s">
        <v>1462</v>
      </c>
      <c r="C71">
        <v>1.2</v>
      </c>
      <c r="D71" t="s">
        <v>1264</v>
      </c>
      <c r="E71">
        <v>100116</v>
      </c>
      <c r="F71">
        <v>3017</v>
      </c>
      <c r="G71" t="str">
        <f t="shared" si="11"/>
        <v>03017</v>
      </c>
      <c r="H71" t="s">
        <v>311</v>
      </c>
      <c r="I71" t="s">
        <v>1265</v>
      </c>
      <c r="J71" t="s">
        <v>1276</v>
      </c>
      <c r="K71" t="s">
        <v>1277</v>
      </c>
      <c r="L71" t="s">
        <v>1462</v>
      </c>
      <c r="M71" t="s">
        <v>1638</v>
      </c>
      <c r="N71">
        <v>97</v>
      </c>
      <c r="O71" t="str">
        <f t="shared" si="14"/>
        <v>35</v>
      </c>
      <c r="Q71">
        <v>35</v>
      </c>
      <c r="R71" t="s">
        <v>1269</v>
      </c>
      <c r="S71">
        <v>1.2</v>
      </c>
      <c r="T71">
        <v>0.30080000000000001</v>
      </c>
      <c r="U71">
        <f t="shared" si="15"/>
        <v>0</v>
      </c>
      <c r="V71" t="str">
        <f t="shared" si="12"/>
        <v>Elementary Pupil Safety</v>
      </c>
      <c r="W71" t="str">
        <f t="shared" si="13"/>
        <v>Pupil Safety</v>
      </c>
      <c r="Y71" s="88" t="s">
        <v>1388</v>
      </c>
      <c r="Z71" s="90"/>
      <c r="AA71" s="90"/>
      <c r="AB71" s="90">
        <v>0.80800000000000005</v>
      </c>
      <c r="AC71" s="90"/>
      <c r="AD71" s="90"/>
      <c r="AE71" s="90">
        <v>0</v>
      </c>
      <c r="AF71" s="90">
        <v>0.80800000000000005</v>
      </c>
      <c r="AG71" s="90"/>
      <c r="AI71" s="88" t="s">
        <v>1388</v>
      </c>
      <c r="AJ71" s="90">
        <v>0</v>
      </c>
      <c r="AK71" s="90">
        <f t="shared" si="16"/>
        <v>0.80800000000000005</v>
      </c>
      <c r="AL71" s="90">
        <f t="shared" si="17"/>
        <v>0</v>
      </c>
      <c r="AM71" s="90">
        <f t="shared" si="18"/>
        <v>0</v>
      </c>
      <c r="AN71" s="90">
        <f t="shared" si="19"/>
        <v>0.80800000000000005</v>
      </c>
      <c r="BA71" s="88" t="s">
        <v>1460</v>
      </c>
      <c r="BB71" s="90">
        <v>0</v>
      </c>
      <c r="BM71" t="s">
        <v>1272</v>
      </c>
      <c r="BN71" t="s">
        <v>1390</v>
      </c>
      <c r="BO71" s="90">
        <v>8.4669999999999987</v>
      </c>
      <c r="BQ71" t="str">
        <f t="shared" si="20"/>
        <v>24</v>
      </c>
      <c r="BR71" s="132" t="s">
        <v>935</v>
      </c>
      <c r="BS71">
        <v>6.7000000000000004E-2</v>
      </c>
      <c r="BT71" s="244" t="s">
        <v>1544</v>
      </c>
      <c r="BU71" s="34" t="s">
        <v>759</v>
      </c>
      <c r="BV71" t="s">
        <v>1284</v>
      </c>
      <c r="BW71">
        <v>0</v>
      </c>
    </row>
    <row r="72" spans="1:75" x14ac:dyDescent="0.25">
      <c r="A72">
        <v>3017</v>
      </c>
      <c r="B72" t="s">
        <v>1402</v>
      </c>
      <c r="C72">
        <v>10.901</v>
      </c>
      <c r="D72" t="s">
        <v>1264</v>
      </c>
      <c r="E72">
        <v>100116</v>
      </c>
      <c r="F72">
        <v>3017</v>
      </c>
      <c r="G72" t="str">
        <f t="shared" si="11"/>
        <v>03017</v>
      </c>
      <c r="H72" t="s">
        <v>311</v>
      </c>
      <c r="I72" t="s">
        <v>1265</v>
      </c>
      <c r="J72" t="s">
        <v>1271</v>
      </c>
      <c r="K72" t="s">
        <v>1272</v>
      </c>
      <c r="L72" t="s">
        <v>1402</v>
      </c>
      <c r="M72" t="s">
        <v>1408</v>
      </c>
      <c r="N72">
        <v>97</v>
      </c>
      <c r="O72" t="str">
        <f t="shared" si="14"/>
        <v>35</v>
      </c>
      <c r="Q72">
        <v>35</v>
      </c>
      <c r="R72" t="s">
        <v>1269</v>
      </c>
      <c r="S72">
        <v>10.901</v>
      </c>
      <c r="T72">
        <v>0.30080000000000001</v>
      </c>
      <c r="U72">
        <f t="shared" si="15"/>
        <v>0</v>
      </c>
      <c r="V72" t="str">
        <f t="shared" si="12"/>
        <v>High Pupil Safety</v>
      </c>
      <c r="W72" t="str">
        <f t="shared" si="13"/>
        <v>Pupil Safety</v>
      </c>
      <c r="Y72" s="88" t="s">
        <v>1303</v>
      </c>
      <c r="Z72" s="90">
        <v>62.614000000000033</v>
      </c>
      <c r="AA72" s="90"/>
      <c r="AB72" s="90"/>
      <c r="AC72" s="90"/>
      <c r="AD72" s="90"/>
      <c r="AE72" s="90"/>
      <c r="AF72" s="90">
        <v>62.614000000000033</v>
      </c>
      <c r="AG72" s="90"/>
      <c r="AI72" s="88" t="s">
        <v>1303</v>
      </c>
      <c r="AJ72" s="90">
        <v>15.962999999999997</v>
      </c>
      <c r="AK72" s="90">
        <f t="shared" si="16"/>
        <v>0</v>
      </c>
      <c r="AL72" s="90">
        <f t="shared" si="17"/>
        <v>0</v>
      </c>
      <c r="AM72" s="90">
        <f t="shared" si="18"/>
        <v>0</v>
      </c>
      <c r="AN72" s="90">
        <f t="shared" si="19"/>
        <v>15.962999999999997</v>
      </c>
      <c r="BA72" s="88" t="s">
        <v>1464</v>
      </c>
      <c r="BB72" s="90">
        <v>0</v>
      </c>
      <c r="BM72" t="s">
        <v>1272</v>
      </c>
      <c r="BN72" t="s">
        <v>1359</v>
      </c>
      <c r="BO72" s="90">
        <v>39.434999999999995</v>
      </c>
      <c r="BQ72" t="str">
        <f t="shared" si="20"/>
        <v>25</v>
      </c>
      <c r="BR72" s="132" t="s">
        <v>936</v>
      </c>
      <c r="BS72">
        <v>6.8000000000000005E-2</v>
      </c>
      <c r="BT72" s="245" t="s">
        <v>1553</v>
      </c>
      <c r="BU72" s="34" t="s">
        <v>759</v>
      </c>
      <c r="BV72" t="s">
        <v>1363</v>
      </c>
      <c r="BW72">
        <v>0</v>
      </c>
    </row>
    <row r="73" spans="1:75" x14ac:dyDescent="0.25">
      <c r="A73">
        <v>3017</v>
      </c>
      <c r="B73" t="s">
        <v>1378</v>
      </c>
      <c r="C73">
        <v>2.4350000000000001</v>
      </c>
      <c r="D73" t="s">
        <v>1264</v>
      </c>
      <c r="E73">
        <v>100116</v>
      </c>
      <c r="F73">
        <v>3017</v>
      </c>
      <c r="G73" t="str">
        <f t="shared" si="11"/>
        <v>03017</v>
      </c>
      <c r="H73" t="s">
        <v>311</v>
      </c>
      <c r="I73" t="s">
        <v>1265</v>
      </c>
      <c r="J73" t="s">
        <v>1266</v>
      </c>
      <c r="K73" t="s">
        <v>1267</v>
      </c>
      <c r="L73" t="s">
        <v>1378</v>
      </c>
      <c r="M73" t="s">
        <v>1407</v>
      </c>
      <c r="N73">
        <v>97</v>
      </c>
      <c r="O73" t="str">
        <f t="shared" si="14"/>
        <v>35</v>
      </c>
      <c r="Q73">
        <v>35</v>
      </c>
      <c r="R73" t="s">
        <v>1269</v>
      </c>
      <c r="S73">
        <v>2.4350000000000001</v>
      </c>
      <c r="T73">
        <v>0.30080000000000001</v>
      </c>
      <c r="U73">
        <f t="shared" si="15"/>
        <v>0</v>
      </c>
      <c r="V73" t="str">
        <f t="shared" si="12"/>
        <v>Middle Pupil Safety</v>
      </c>
      <c r="W73" t="str">
        <f t="shared" si="13"/>
        <v>Pupil Safety</v>
      </c>
      <c r="Y73" s="88" t="s">
        <v>1480</v>
      </c>
      <c r="Z73" s="90"/>
      <c r="AA73" s="90">
        <v>0</v>
      </c>
      <c r="AB73" s="90"/>
      <c r="AC73" s="90"/>
      <c r="AD73" s="90"/>
      <c r="AE73" s="90"/>
      <c r="AF73" s="90">
        <v>0</v>
      </c>
      <c r="AG73" s="90"/>
      <c r="AI73" s="88" t="s">
        <v>1480</v>
      </c>
      <c r="AJ73" s="90">
        <v>0</v>
      </c>
      <c r="AK73" s="90">
        <f t="shared" si="16"/>
        <v>0</v>
      </c>
      <c r="AL73" s="90">
        <f t="shared" si="17"/>
        <v>0</v>
      </c>
      <c r="AM73" s="90">
        <f t="shared" si="18"/>
        <v>0</v>
      </c>
      <c r="AN73" s="90">
        <f t="shared" si="19"/>
        <v>0</v>
      </c>
      <c r="BA73" s="88" t="s">
        <v>1465</v>
      </c>
      <c r="BB73" s="90">
        <v>0</v>
      </c>
      <c r="BM73" t="s">
        <v>1272</v>
      </c>
      <c r="BN73" t="s">
        <v>1326</v>
      </c>
      <c r="BO73" s="90">
        <v>273.64699999999993</v>
      </c>
      <c r="BQ73" t="str">
        <f t="shared" si="20"/>
        <v>26</v>
      </c>
      <c r="BR73" s="132" t="s">
        <v>937</v>
      </c>
      <c r="BS73">
        <v>6.9000000000000006E-2</v>
      </c>
      <c r="BT73" s="244" t="s">
        <v>1532</v>
      </c>
      <c r="BU73" s="34" t="s">
        <v>759</v>
      </c>
      <c r="BV73" t="s">
        <v>1291</v>
      </c>
      <c r="BW73">
        <v>0</v>
      </c>
    </row>
    <row r="74" spans="1:75" x14ac:dyDescent="0.25">
      <c r="A74">
        <v>3017</v>
      </c>
      <c r="B74" t="s">
        <v>1275</v>
      </c>
      <c r="C74">
        <v>20.2</v>
      </c>
      <c r="D74" t="s">
        <v>1264</v>
      </c>
      <c r="E74">
        <v>100116</v>
      </c>
      <c r="F74">
        <v>3017</v>
      </c>
      <c r="G74" t="str">
        <f t="shared" si="11"/>
        <v>03017</v>
      </c>
      <c r="H74" t="s">
        <v>311</v>
      </c>
      <c r="I74" t="s">
        <v>1265</v>
      </c>
      <c r="J74" t="s">
        <v>1276</v>
      </c>
      <c r="K74" t="s">
        <v>1277</v>
      </c>
      <c r="L74" t="s">
        <v>1275</v>
      </c>
      <c r="M74" t="s">
        <v>1278</v>
      </c>
      <c r="N74">
        <v>1</v>
      </c>
      <c r="O74" t="str">
        <f t="shared" si="14"/>
        <v>42</v>
      </c>
      <c r="P74">
        <v>42</v>
      </c>
      <c r="R74" t="s">
        <v>1269</v>
      </c>
      <c r="S74">
        <v>20.2</v>
      </c>
      <c r="T74">
        <v>0.30080000000000001</v>
      </c>
      <c r="U74">
        <f t="shared" si="15"/>
        <v>0</v>
      </c>
      <c r="V74" t="str">
        <f t="shared" si="12"/>
        <v>Elementary Counselor</v>
      </c>
      <c r="W74" t="str">
        <f t="shared" si="13"/>
        <v>Counselor</v>
      </c>
      <c r="Y74" s="88" t="s">
        <v>1368</v>
      </c>
      <c r="Z74" s="90"/>
      <c r="AA74" s="90"/>
      <c r="AB74" s="90">
        <v>0.379</v>
      </c>
      <c r="AC74" s="90"/>
      <c r="AD74" s="90"/>
      <c r="AE74" s="90">
        <v>0</v>
      </c>
      <c r="AF74" s="90">
        <v>0.379</v>
      </c>
      <c r="AG74" s="90"/>
      <c r="AI74" s="88" t="s">
        <v>1368</v>
      </c>
      <c r="AJ74" s="90">
        <v>0</v>
      </c>
      <c r="AK74" s="90">
        <f t="shared" si="16"/>
        <v>0.379</v>
      </c>
      <c r="AL74" s="90">
        <f t="shared" si="17"/>
        <v>0</v>
      </c>
      <c r="AM74" s="90">
        <f t="shared" si="18"/>
        <v>0</v>
      </c>
      <c r="AN74" s="90">
        <f t="shared" si="19"/>
        <v>0.379</v>
      </c>
      <c r="BA74" s="88" t="s">
        <v>1466</v>
      </c>
      <c r="BB74" s="90">
        <v>0.5</v>
      </c>
      <c r="BM74" t="s">
        <v>1272</v>
      </c>
      <c r="BN74" t="s">
        <v>1394</v>
      </c>
      <c r="BO74" s="90">
        <v>0.66800000000000004</v>
      </c>
      <c r="BQ74" t="str">
        <f t="shared" si="20"/>
        <v>35</v>
      </c>
      <c r="BR74" s="209" t="s">
        <v>1166</v>
      </c>
      <c r="BS74">
        <v>7.0000000000000007E-2</v>
      </c>
      <c r="BT74" s="245" t="s">
        <v>1533</v>
      </c>
      <c r="BU74" s="34" t="s">
        <v>759</v>
      </c>
      <c r="BV74" t="s">
        <v>1377</v>
      </c>
      <c r="BW74">
        <v>0</v>
      </c>
    </row>
    <row r="75" spans="1:75" x14ac:dyDescent="0.25">
      <c r="A75">
        <v>3017</v>
      </c>
      <c r="B75" t="s">
        <v>1270</v>
      </c>
      <c r="C75">
        <v>11.894</v>
      </c>
      <c r="D75" t="s">
        <v>1264</v>
      </c>
      <c r="E75">
        <v>100116</v>
      </c>
      <c r="F75">
        <v>3017</v>
      </c>
      <c r="G75" t="str">
        <f t="shared" si="11"/>
        <v>03017</v>
      </c>
      <c r="H75" t="s">
        <v>311</v>
      </c>
      <c r="I75" t="s">
        <v>1265</v>
      </c>
      <c r="J75" t="s">
        <v>1271</v>
      </c>
      <c r="K75" t="s">
        <v>1272</v>
      </c>
      <c r="L75" t="s">
        <v>1270</v>
      </c>
      <c r="M75" t="s">
        <v>1273</v>
      </c>
      <c r="N75">
        <v>1</v>
      </c>
      <c r="O75" t="str">
        <f t="shared" si="14"/>
        <v>42</v>
      </c>
      <c r="P75">
        <v>42</v>
      </c>
      <c r="R75" t="s">
        <v>1269</v>
      </c>
      <c r="S75">
        <v>11.894</v>
      </c>
      <c r="T75">
        <v>0.30080000000000001</v>
      </c>
      <c r="U75">
        <f t="shared" si="15"/>
        <v>0</v>
      </c>
      <c r="V75" t="str">
        <f t="shared" si="12"/>
        <v>High Counselor</v>
      </c>
      <c r="W75" t="str">
        <f t="shared" si="13"/>
        <v>Counselor</v>
      </c>
      <c r="Y75" s="88" t="s">
        <v>1466</v>
      </c>
      <c r="Z75" s="90"/>
      <c r="AA75" s="90"/>
      <c r="AB75" s="90"/>
      <c r="AC75" s="90">
        <v>0.5</v>
      </c>
      <c r="AD75" s="90">
        <v>0</v>
      </c>
      <c r="AE75" s="90"/>
      <c r="AF75" s="90">
        <v>0.5</v>
      </c>
      <c r="AG75" s="90"/>
      <c r="AI75" s="88" t="s">
        <v>1466</v>
      </c>
      <c r="AJ75" s="90">
        <v>0</v>
      </c>
      <c r="AK75" s="90">
        <f t="shared" si="16"/>
        <v>0</v>
      </c>
      <c r="AL75" s="90">
        <f t="shared" si="17"/>
        <v>0.5</v>
      </c>
      <c r="AM75" s="90">
        <f t="shared" si="18"/>
        <v>0</v>
      </c>
      <c r="AN75" s="90">
        <f t="shared" si="19"/>
        <v>0.5</v>
      </c>
      <c r="AO75" s="90">
        <f>SUM(AN75:AN84)</f>
        <v>182.65400000000002</v>
      </c>
      <c r="BA75" s="88" t="s">
        <v>1467</v>
      </c>
      <c r="BB75" s="90">
        <v>0.5</v>
      </c>
      <c r="BM75" t="s">
        <v>1272</v>
      </c>
      <c r="BN75" t="s">
        <v>1309</v>
      </c>
      <c r="BO75" s="90">
        <v>247.57800000000003</v>
      </c>
      <c r="BQ75" t="str">
        <f t="shared" si="20"/>
        <v>39</v>
      </c>
      <c r="BR75" s="133" t="s">
        <v>964</v>
      </c>
      <c r="BS75">
        <v>7.0999999999999994E-2</v>
      </c>
      <c r="BT75" s="246" t="s">
        <v>1524</v>
      </c>
      <c r="BU75" s="34" t="s">
        <v>759</v>
      </c>
      <c r="BV75" t="s">
        <v>1478</v>
      </c>
      <c r="BW75">
        <v>0</v>
      </c>
    </row>
    <row r="76" spans="1:75" x14ac:dyDescent="0.25">
      <c r="A76">
        <v>3017</v>
      </c>
      <c r="B76" t="s">
        <v>1263</v>
      </c>
      <c r="C76">
        <v>6.8</v>
      </c>
      <c r="D76" t="s">
        <v>1264</v>
      </c>
      <c r="E76">
        <v>100116</v>
      </c>
      <c r="F76">
        <v>3017</v>
      </c>
      <c r="G76" t="str">
        <f t="shared" si="11"/>
        <v>03017</v>
      </c>
      <c r="H76" t="s">
        <v>311</v>
      </c>
      <c r="I76" t="s">
        <v>1265</v>
      </c>
      <c r="J76" t="s">
        <v>1266</v>
      </c>
      <c r="K76" t="s">
        <v>1267</v>
      </c>
      <c r="L76" t="s">
        <v>1263</v>
      </c>
      <c r="M76" t="s">
        <v>1268</v>
      </c>
      <c r="N76">
        <v>1</v>
      </c>
      <c r="O76" t="str">
        <f t="shared" si="14"/>
        <v>42</v>
      </c>
      <c r="P76">
        <v>42</v>
      </c>
      <c r="R76" t="s">
        <v>1269</v>
      </c>
      <c r="S76">
        <v>6.8</v>
      </c>
      <c r="T76">
        <v>0.30080000000000001</v>
      </c>
      <c r="U76">
        <f t="shared" si="15"/>
        <v>0</v>
      </c>
      <c r="V76" t="str">
        <f t="shared" si="12"/>
        <v>Middle Counselor</v>
      </c>
      <c r="W76" t="str">
        <f t="shared" si="13"/>
        <v>Counselor</v>
      </c>
      <c r="Y76" s="88" t="s">
        <v>1329</v>
      </c>
      <c r="Z76" s="90">
        <v>13.920000000000002</v>
      </c>
      <c r="AA76" s="90"/>
      <c r="AB76" s="90"/>
      <c r="AC76" s="90"/>
      <c r="AD76" s="90"/>
      <c r="AE76" s="90"/>
      <c r="AF76" s="90">
        <v>13.920000000000002</v>
      </c>
      <c r="AG76" s="90"/>
      <c r="AI76" s="88" t="s">
        <v>1329</v>
      </c>
      <c r="AJ76" s="90">
        <v>3.4029999999999996</v>
      </c>
      <c r="AK76" s="90">
        <f t="shared" si="16"/>
        <v>0</v>
      </c>
      <c r="AL76" s="90">
        <f t="shared" si="17"/>
        <v>0</v>
      </c>
      <c r="AM76" s="90">
        <f t="shared" si="18"/>
        <v>0</v>
      </c>
      <c r="AN76" s="90">
        <f t="shared" si="19"/>
        <v>3.4029999999999996</v>
      </c>
      <c r="AO76" t="e">
        <f>#REF!</f>
        <v>#REF!</v>
      </c>
      <c r="BA76" s="88" t="s">
        <v>1468</v>
      </c>
      <c r="BB76" s="90">
        <v>0</v>
      </c>
      <c r="BM76" t="s">
        <v>1272</v>
      </c>
      <c r="BN76" t="s">
        <v>1396</v>
      </c>
      <c r="BO76" s="90">
        <v>13.183999999999999</v>
      </c>
      <c r="BQ76" t="str">
        <f t="shared" si="20"/>
        <v>42</v>
      </c>
      <c r="BR76" s="133" t="s">
        <v>965</v>
      </c>
      <c r="BS76">
        <v>7.1999999999999995E-2</v>
      </c>
      <c r="BT76" s="246" t="s">
        <v>1525</v>
      </c>
      <c r="BU76" s="34" t="s">
        <v>759</v>
      </c>
      <c r="BV76" t="s">
        <v>1479</v>
      </c>
      <c r="BW76">
        <v>0</v>
      </c>
    </row>
    <row r="77" spans="1:75" x14ac:dyDescent="0.25">
      <c r="A77">
        <v>3017</v>
      </c>
      <c r="B77" t="s">
        <v>1289</v>
      </c>
      <c r="C77">
        <v>2.754</v>
      </c>
      <c r="D77" t="s">
        <v>1264</v>
      </c>
      <c r="E77">
        <v>100116</v>
      </c>
      <c r="F77">
        <v>3017</v>
      </c>
      <c r="G77" t="str">
        <f t="shared" si="11"/>
        <v>03017</v>
      </c>
      <c r="H77" t="s">
        <v>311</v>
      </c>
      <c r="I77" t="s">
        <v>1265</v>
      </c>
      <c r="J77" t="s">
        <v>1276</v>
      </c>
      <c r="K77" t="s">
        <v>1277</v>
      </c>
      <c r="L77" t="s">
        <v>1289</v>
      </c>
      <c r="M77" t="s">
        <v>1307</v>
      </c>
      <c r="N77">
        <v>21</v>
      </c>
      <c r="O77" t="str">
        <f t="shared" si="14"/>
        <v>43</v>
      </c>
      <c r="P77">
        <v>43</v>
      </c>
      <c r="R77" t="s">
        <v>1269</v>
      </c>
      <c r="S77">
        <v>2.754</v>
      </c>
      <c r="T77">
        <v>0.30080000000000001</v>
      </c>
      <c r="U77">
        <f t="shared" si="15"/>
        <v>0.82799999999999996</v>
      </c>
      <c r="V77" t="str">
        <f t="shared" si="12"/>
        <v>Elementary Occupational Therapist</v>
      </c>
      <c r="W77" t="str">
        <f t="shared" si="13"/>
        <v>Occupational Therapist</v>
      </c>
      <c r="Y77" s="88" t="s">
        <v>1454</v>
      </c>
      <c r="Z77" s="90"/>
      <c r="AA77" s="90">
        <v>0</v>
      </c>
      <c r="AB77" s="90"/>
      <c r="AC77" s="90"/>
      <c r="AD77" s="90"/>
      <c r="AE77" s="90"/>
      <c r="AF77" s="90">
        <v>0</v>
      </c>
      <c r="AG77" s="90"/>
      <c r="AI77" s="88" t="s">
        <v>1454</v>
      </c>
      <c r="AJ77" s="90">
        <v>0</v>
      </c>
      <c r="AK77" s="90">
        <f t="shared" si="16"/>
        <v>0</v>
      </c>
      <c r="AL77" s="90">
        <f t="shared" si="17"/>
        <v>0</v>
      </c>
      <c r="AM77" s="90">
        <f t="shared" si="18"/>
        <v>0</v>
      </c>
      <c r="AN77" s="90">
        <f t="shared" si="19"/>
        <v>0</v>
      </c>
      <c r="AO77" s="261" t="e">
        <f>SUM(AO75:AO76)</f>
        <v>#REF!</v>
      </c>
      <c r="BA77" s="88" t="s">
        <v>1469</v>
      </c>
      <c r="BB77" s="90">
        <v>0.32100000000000001</v>
      </c>
      <c r="BM77" t="s">
        <v>1272</v>
      </c>
      <c r="BN77" t="s">
        <v>1397</v>
      </c>
      <c r="BO77" s="90">
        <v>5.0799999999999992</v>
      </c>
      <c r="BQ77" t="str">
        <f t="shared" si="20"/>
        <v>43</v>
      </c>
      <c r="BR77" s="133" t="s">
        <v>966</v>
      </c>
      <c r="BS77">
        <v>7.2999999999999995E-2</v>
      </c>
      <c r="BT77" s="246" t="s">
        <v>1547</v>
      </c>
      <c r="BU77" s="34" t="s">
        <v>759</v>
      </c>
      <c r="BV77" t="s">
        <v>1480</v>
      </c>
      <c r="BW77">
        <v>0</v>
      </c>
    </row>
    <row r="78" spans="1:75" x14ac:dyDescent="0.25">
      <c r="A78">
        <v>3017</v>
      </c>
      <c r="B78" t="s">
        <v>1387</v>
      </c>
      <c r="C78">
        <v>0.24</v>
      </c>
      <c r="D78" t="s">
        <v>1264</v>
      </c>
      <c r="E78">
        <v>100116</v>
      </c>
      <c r="F78">
        <v>3017</v>
      </c>
      <c r="G78" t="str">
        <f t="shared" si="11"/>
        <v>03017</v>
      </c>
      <c r="H78" t="s">
        <v>311</v>
      </c>
      <c r="I78" t="s">
        <v>1265</v>
      </c>
      <c r="J78" t="s">
        <v>1271</v>
      </c>
      <c r="K78" t="s">
        <v>1272</v>
      </c>
      <c r="L78" t="s">
        <v>1387</v>
      </c>
      <c r="M78" t="s">
        <v>1406</v>
      </c>
      <c r="N78">
        <v>21</v>
      </c>
      <c r="O78" t="str">
        <f t="shared" si="14"/>
        <v>43</v>
      </c>
      <c r="P78">
        <v>43</v>
      </c>
      <c r="R78" t="s">
        <v>1269</v>
      </c>
      <c r="S78">
        <v>0.24</v>
      </c>
      <c r="T78">
        <v>0.30080000000000001</v>
      </c>
      <c r="U78">
        <f t="shared" si="15"/>
        <v>7.1999999999999995E-2</v>
      </c>
      <c r="V78" t="str">
        <f t="shared" si="12"/>
        <v>High Occupational Therapist</v>
      </c>
      <c r="W78" t="str">
        <f t="shared" si="13"/>
        <v>Occupational Therapist</v>
      </c>
      <c r="Y78" s="88" t="s">
        <v>1331</v>
      </c>
      <c r="Z78" s="90"/>
      <c r="AA78" s="90"/>
      <c r="AB78" s="90">
        <v>107.14800000000001</v>
      </c>
      <c r="AC78" s="90"/>
      <c r="AD78" s="90"/>
      <c r="AE78" s="90">
        <v>0</v>
      </c>
      <c r="AF78" s="90">
        <v>107.14800000000001</v>
      </c>
      <c r="AG78" s="90"/>
      <c r="AI78" s="88" t="s">
        <v>1331</v>
      </c>
      <c r="AJ78" s="90">
        <v>0</v>
      </c>
      <c r="AK78" s="90">
        <f t="shared" si="16"/>
        <v>107.14800000000001</v>
      </c>
      <c r="AL78" s="90">
        <f t="shared" si="17"/>
        <v>0</v>
      </c>
      <c r="AM78" s="90">
        <f t="shared" si="18"/>
        <v>0</v>
      </c>
      <c r="AN78" s="90">
        <f t="shared" si="19"/>
        <v>107.14800000000001</v>
      </c>
      <c r="BA78" s="88" t="s">
        <v>1470</v>
      </c>
      <c r="BB78" s="90">
        <v>0</v>
      </c>
      <c r="BM78" t="s">
        <v>1272</v>
      </c>
      <c r="BN78" t="s">
        <v>1341</v>
      </c>
      <c r="BO78" s="90">
        <v>174.29599999999999</v>
      </c>
      <c r="BQ78" t="str">
        <f t="shared" si="20"/>
        <v>44</v>
      </c>
      <c r="BR78" s="133" t="s">
        <v>967</v>
      </c>
      <c r="BS78">
        <v>7.3999999999999996E-2</v>
      </c>
      <c r="BT78" s="246" t="s">
        <v>1526</v>
      </c>
      <c r="BU78" s="34" t="s">
        <v>759</v>
      </c>
      <c r="BV78" t="s">
        <v>1481</v>
      </c>
      <c r="BW78">
        <v>0</v>
      </c>
    </row>
    <row r="79" spans="1:75" x14ac:dyDescent="0.25">
      <c r="A79">
        <v>3017</v>
      </c>
      <c r="B79" t="s">
        <v>1303</v>
      </c>
      <c r="C79">
        <v>0.126</v>
      </c>
      <c r="D79" t="s">
        <v>1264</v>
      </c>
      <c r="E79">
        <v>100116</v>
      </c>
      <c r="F79">
        <v>3017</v>
      </c>
      <c r="G79" t="str">
        <f t="shared" si="11"/>
        <v>03017</v>
      </c>
      <c r="H79" t="s">
        <v>311</v>
      </c>
      <c r="I79" t="s">
        <v>1265</v>
      </c>
      <c r="J79" t="s">
        <v>1266</v>
      </c>
      <c r="K79" t="s">
        <v>1267</v>
      </c>
      <c r="L79" t="s">
        <v>1303</v>
      </c>
      <c r="M79" t="s">
        <v>1304</v>
      </c>
      <c r="N79">
        <v>21</v>
      </c>
      <c r="O79" t="str">
        <f t="shared" si="14"/>
        <v>43</v>
      </c>
      <c r="P79">
        <v>43</v>
      </c>
      <c r="R79" t="s">
        <v>1269</v>
      </c>
      <c r="S79">
        <v>0.126</v>
      </c>
      <c r="T79">
        <v>0.30080000000000001</v>
      </c>
      <c r="U79">
        <f t="shared" si="15"/>
        <v>3.7999999999999999E-2</v>
      </c>
      <c r="V79" t="str">
        <f t="shared" si="12"/>
        <v>Middle Occupational Therapist</v>
      </c>
      <c r="W79" t="str">
        <f t="shared" si="13"/>
        <v>Occupational Therapist</v>
      </c>
      <c r="Y79" s="88" t="s">
        <v>1390</v>
      </c>
      <c r="Z79" s="90">
        <v>8.4669999999999987</v>
      </c>
      <c r="AA79" s="90"/>
      <c r="AB79" s="90"/>
      <c r="AC79" s="90"/>
      <c r="AD79" s="90"/>
      <c r="AE79" s="90"/>
      <c r="AF79" s="90">
        <v>8.4669999999999987</v>
      </c>
      <c r="AG79" s="90"/>
      <c r="AI79" s="88" t="s">
        <v>1390</v>
      </c>
      <c r="AJ79" s="90">
        <v>2.1219999999999999</v>
      </c>
      <c r="AK79" s="90">
        <f t="shared" si="16"/>
        <v>0</v>
      </c>
      <c r="AL79" s="90">
        <f t="shared" si="17"/>
        <v>0</v>
      </c>
      <c r="AM79" s="90">
        <f t="shared" si="18"/>
        <v>0</v>
      </c>
      <c r="AN79" s="90">
        <f t="shared" si="19"/>
        <v>2.1219999999999999</v>
      </c>
      <c r="BA79" s="88" t="s">
        <v>1471</v>
      </c>
      <c r="BB79" s="90">
        <v>0</v>
      </c>
      <c r="BM79" t="s">
        <v>1272</v>
      </c>
      <c r="BN79" t="s">
        <v>1330</v>
      </c>
      <c r="BO79" s="90">
        <v>39.761999999999993</v>
      </c>
      <c r="BQ79" t="str">
        <f t="shared" si="20"/>
        <v>45</v>
      </c>
      <c r="BR79" s="133" t="s">
        <v>968</v>
      </c>
      <c r="BS79">
        <v>7.4999999999999997E-2</v>
      </c>
      <c r="BT79" s="246" t="s">
        <v>1527</v>
      </c>
      <c r="BU79" s="34" t="s">
        <v>759</v>
      </c>
      <c r="BV79" t="s">
        <v>1482</v>
      </c>
      <c r="BW79">
        <v>0</v>
      </c>
    </row>
    <row r="80" spans="1:75" x14ac:dyDescent="0.25">
      <c r="A80">
        <v>3017</v>
      </c>
      <c r="B80" t="s">
        <v>1294</v>
      </c>
      <c r="C80">
        <v>16.623999999999999</v>
      </c>
      <c r="D80" t="s">
        <v>1264</v>
      </c>
      <c r="E80">
        <v>100116</v>
      </c>
      <c r="F80">
        <v>3017</v>
      </c>
      <c r="G80" t="str">
        <f t="shared" si="11"/>
        <v>03017</v>
      </c>
      <c r="H80" t="s">
        <v>311</v>
      </c>
      <c r="I80" t="s">
        <v>1265</v>
      </c>
      <c r="J80" t="s">
        <v>1276</v>
      </c>
      <c r="K80" t="s">
        <v>1277</v>
      </c>
      <c r="L80" t="s">
        <v>1294</v>
      </c>
      <c r="M80" t="s">
        <v>1354</v>
      </c>
      <c r="N80">
        <v>21</v>
      </c>
      <c r="O80" t="str">
        <f t="shared" si="14"/>
        <v>45</v>
      </c>
      <c r="P80">
        <v>45</v>
      </c>
      <c r="R80" t="s">
        <v>1269</v>
      </c>
      <c r="S80">
        <v>16.623999999999999</v>
      </c>
      <c r="T80">
        <v>0.30080000000000001</v>
      </c>
      <c r="U80">
        <f t="shared" si="15"/>
        <v>5</v>
      </c>
      <c r="V80" t="str">
        <f t="shared" si="12"/>
        <v>Elementary Speech, Language Pathway/
Audio</v>
      </c>
      <c r="W80" t="str">
        <f t="shared" si="13"/>
        <v>Speech, Language Pathway/
Audio</v>
      </c>
      <c r="Y80" s="88" t="s">
        <v>1494</v>
      </c>
      <c r="Z80" s="90"/>
      <c r="AA80" s="90">
        <v>0</v>
      </c>
      <c r="AB80" s="90"/>
      <c r="AC80" s="90"/>
      <c r="AD80" s="90"/>
      <c r="AE80" s="90"/>
      <c r="AF80" s="90">
        <v>0</v>
      </c>
      <c r="AG80" s="90"/>
      <c r="AI80" s="88" t="s">
        <v>1494</v>
      </c>
      <c r="AJ80" s="90">
        <v>0</v>
      </c>
      <c r="AK80" s="90">
        <f t="shared" si="16"/>
        <v>0</v>
      </c>
      <c r="AL80" s="90">
        <f t="shared" si="17"/>
        <v>0</v>
      </c>
      <c r="AM80" s="90">
        <f t="shared" si="18"/>
        <v>0</v>
      </c>
      <c r="AN80" s="90">
        <f t="shared" si="19"/>
        <v>0</v>
      </c>
      <c r="BA80" s="88" t="s">
        <v>1472</v>
      </c>
      <c r="BB80" s="90">
        <v>0.36</v>
      </c>
      <c r="BM80" t="s">
        <v>1272</v>
      </c>
      <c r="BN80" t="s">
        <v>1398</v>
      </c>
      <c r="BO80" s="90">
        <v>0.153</v>
      </c>
      <c r="BQ80" t="str">
        <f t="shared" si="20"/>
        <v>46</v>
      </c>
      <c r="BR80" s="133" t="s">
        <v>969</v>
      </c>
      <c r="BS80">
        <v>7.5999999999999998E-2</v>
      </c>
      <c r="BT80" s="246" t="s">
        <v>1550</v>
      </c>
      <c r="BU80" s="34" t="s">
        <v>759</v>
      </c>
      <c r="BV80" t="s">
        <v>1483</v>
      </c>
      <c r="BW80">
        <v>0</v>
      </c>
    </row>
    <row r="81" spans="1:75" x14ac:dyDescent="0.25">
      <c r="A81">
        <v>3017</v>
      </c>
      <c r="B81" t="s">
        <v>1326</v>
      </c>
      <c r="C81">
        <v>1.7</v>
      </c>
      <c r="D81" t="s">
        <v>1264</v>
      </c>
      <c r="E81">
        <v>100116</v>
      </c>
      <c r="F81">
        <v>3017</v>
      </c>
      <c r="G81" t="str">
        <f t="shared" si="11"/>
        <v>03017</v>
      </c>
      <c r="H81" t="s">
        <v>311</v>
      </c>
      <c r="I81" t="s">
        <v>1265</v>
      </c>
      <c r="J81" t="s">
        <v>1271</v>
      </c>
      <c r="K81" t="s">
        <v>1272</v>
      </c>
      <c r="L81" t="s">
        <v>1326</v>
      </c>
      <c r="M81" t="s">
        <v>1353</v>
      </c>
      <c r="N81">
        <v>21</v>
      </c>
      <c r="O81" t="str">
        <f t="shared" si="14"/>
        <v>45</v>
      </c>
      <c r="P81">
        <v>45</v>
      </c>
      <c r="R81" t="s">
        <v>1269</v>
      </c>
      <c r="S81">
        <v>1.7</v>
      </c>
      <c r="T81">
        <v>0.30080000000000001</v>
      </c>
      <c r="U81">
        <f t="shared" si="15"/>
        <v>0.51100000000000001</v>
      </c>
      <c r="V81" t="str">
        <f t="shared" si="12"/>
        <v>High Speech, Language Pathway/
Audio</v>
      </c>
      <c r="W81" t="str">
        <f t="shared" si="13"/>
        <v>Speech, Language Pathway/
Audio</v>
      </c>
      <c r="Y81" s="88" t="s">
        <v>1359</v>
      </c>
      <c r="Z81" s="90"/>
      <c r="AA81" s="90"/>
      <c r="AB81" s="90">
        <v>39.434999999999995</v>
      </c>
      <c r="AC81" s="90"/>
      <c r="AD81" s="90"/>
      <c r="AE81" s="90">
        <v>0</v>
      </c>
      <c r="AF81" s="90">
        <v>39.434999999999995</v>
      </c>
      <c r="AG81" s="90"/>
      <c r="AI81" s="88" t="s">
        <v>1359</v>
      </c>
      <c r="AJ81" s="90">
        <v>0</v>
      </c>
      <c r="AK81" s="90">
        <f t="shared" si="16"/>
        <v>39.434999999999995</v>
      </c>
      <c r="AL81" s="90">
        <f t="shared" si="17"/>
        <v>0</v>
      </c>
      <c r="AM81" s="90">
        <f t="shared" si="18"/>
        <v>0</v>
      </c>
      <c r="AN81" s="90">
        <f t="shared" si="19"/>
        <v>39.434999999999995</v>
      </c>
      <c r="BA81" s="88" t="s">
        <v>1476</v>
      </c>
      <c r="BB81" s="90">
        <v>0</v>
      </c>
      <c r="BM81" t="s">
        <v>1272</v>
      </c>
      <c r="BN81" t="s">
        <v>1392</v>
      </c>
      <c r="BO81" s="90">
        <v>19.143999999999998</v>
      </c>
      <c r="BQ81" t="str">
        <f t="shared" si="20"/>
        <v>47</v>
      </c>
      <c r="BR81" s="133" t="s">
        <v>970</v>
      </c>
      <c r="BS81">
        <v>7.6999999999999999E-2</v>
      </c>
      <c r="BT81" s="246" t="s">
        <v>1529</v>
      </c>
      <c r="BU81" s="34" t="s">
        <v>759</v>
      </c>
      <c r="BV81" t="s">
        <v>1484</v>
      </c>
      <c r="BW81">
        <v>0</v>
      </c>
    </row>
    <row r="82" spans="1:75" x14ac:dyDescent="0.25">
      <c r="A82">
        <v>3017</v>
      </c>
      <c r="B82" t="s">
        <v>1312</v>
      </c>
      <c r="C82">
        <v>1.3819999999999999</v>
      </c>
      <c r="D82" t="s">
        <v>1264</v>
      </c>
      <c r="E82">
        <v>100116</v>
      </c>
      <c r="F82">
        <v>3017</v>
      </c>
      <c r="G82" t="str">
        <f t="shared" si="11"/>
        <v>03017</v>
      </c>
      <c r="H82" t="s">
        <v>311</v>
      </c>
      <c r="I82" t="s">
        <v>1265</v>
      </c>
      <c r="J82" t="s">
        <v>1266</v>
      </c>
      <c r="K82" t="s">
        <v>1267</v>
      </c>
      <c r="L82" t="s">
        <v>1312</v>
      </c>
      <c r="M82" t="s">
        <v>1351</v>
      </c>
      <c r="N82">
        <v>21</v>
      </c>
      <c r="O82" t="str">
        <f t="shared" si="14"/>
        <v>45</v>
      </c>
      <c r="P82">
        <v>45</v>
      </c>
      <c r="R82" t="s">
        <v>1269</v>
      </c>
      <c r="S82">
        <v>1.3819999999999999</v>
      </c>
      <c r="T82">
        <v>0.30080000000000001</v>
      </c>
      <c r="U82">
        <f t="shared" si="15"/>
        <v>0.41599999999999998</v>
      </c>
      <c r="V82" t="str">
        <f t="shared" si="12"/>
        <v>Middle Speech, Language Pathway/
Audio</v>
      </c>
      <c r="W82" t="str">
        <f t="shared" si="13"/>
        <v>Speech, Language Pathway/
Audio</v>
      </c>
      <c r="Y82" s="88" t="s">
        <v>1369</v>
      </c>
      <c r="Z82" s="90">
        <v>4.5449999999999999</v>
      </c>
      <c r="AA82" s="90"/>
      <c r="AB82" s="90"/>
      <c r="AC82" s="90"/>
      <c r="AD82" s="90"/>
      <c r="AE82" s="90"/>
      <c r="AF82" s="90">
        <v>4.5449999999999999</v>
      </c>
      <c r="AG82" s="90"/>
      <c r="AI82" s="88" t="s">
        <v>1369</v>
      </c>
      <c r="AJ82" s="90">
        <v>1.1219999999999999</v>
      </c>
      <c r="AK82" s="90">
        <f t="shared" si="16"/>
        <v>0</v>
      </c>
      <c r="AL82" s="90">
        <f t="shared" si="17"/>
        <v>0</v>
      </c>
      <c r="AM82" s="90">
        <f t="shared" si="18"/>
        <v>0</v>
      </c>
      <c r="AN82" s="90">
        <f t="shared" si="19"/>
        <v>1.1219999999999999</v>
      </c>
      <c r="BA82" s="88" t="s">
        <v>1477</v>
      </c>
      <c r="BB82" s="90">
        <v>1.04</v>
      </c>
      <c r="BM82" t="s">
        <v>1272</v>
      </c>
      <c r="BN82" t="s">
        <v>1399</v>
      </c>
      <c r="BO82" s="90">
        <v>2.1560000000000001</v>
      </c>
      <c r="BQ82" t="str">
        <f t="shared" si="20"/>
        <v>48</v>
      </c>
      <c r="BR82" s="133" t="s">
        <v>971</v>
      </c>
      <c r="BS82">
        <v>7.8E-2</v>
      </c>
      <c r="BT82" s="246" t="s">
        <v>1530</v>
      </c>
      <c r="BU82" s="34" t="s">
        <v>759</v>
      </c>
      <c r="BV82" t="s">
        <v>1485</v>
      </c>
      <c r="BW82">
        <v>0</v>
      </c>
    </row>
    <row r="83" spans="1:75" x14ac:dyDescent="0.25">
      <c r="A83">
        <v>3017</v>
      </c>
      <c r="B83" t="s">
        <v>1298</v>
      </c>
      <c r="C83">
        <v>6.8739999999999997</v>
      </c>
      <c r="D83" t="s">
        <v>1264</v>
      </c>
      <c r="E83">
        <v>100116</v>
      </c>
      <c r="F83">
        <v>3017</v>
      </c>
      <c r="G83" t="str">
        <f t="shared" si="11"/>
        <v>03017</v>
      </c>
      <c r="H83" t="s">
        <v>311</v>
      </c>
      <c r="I83" t="s">
        <v>1265</v>
      </c>
      <c r="J83" t="s">
        <v>1276</v>
      </c>
      <c r="K83" t="s">
        <v>1277</v>
      </c>
      <c r="L83" t="s">
        <v>1298</v>
      </c>
      <c r="M83" t="s">
        <v>1349</v>
      </c>
      <c r="N83">
        <v>21</v>
      </c>
      <c r="O83" t="str">
        <f t="shared" si="14"/>
        <v>46</v>
      </c>
      <c r="P83">
        <v>46</v>
      </c>
      <c r="R83" t="s">
        <v>1269</v>
      </c>
      <c r="S83">
        <v>6.8739999999999997</v>
      </c>
      <c r="T83">
        <v>0.30080000000000001</v>
      </c>
      <c r="U83">
        <f t="shared" si="15"/>
        <v>2.0680000000000001</v>
      </c>
      <c r="V83" t="str">
        <f t="shared" si="12"/>
        <v>Elementary Psychologist</v>
      </c>
      <c r="W83" t="str">
        <f t="shared" si="13"/>
        <v>Psychologist</v>
      </c>
      <c r="Y83" s="88" t="s">
        <v>1481</v>
      </c>
      <c r="Z83" s="90"/>
      <c r="AA83" s="90">
        <v>0</v>
      </c>
      <c r="AB83" s="90"/>
      <c r="AC83" s="90"/>
      <c r="AD83" s="90"/>
      <c r="AE83" s="90"/>
      <c r="AF83" s="90">
        <v>0</v>
      </c>
      <c r="AG83" s="90"/>
      <c r="AI83" s="88" t="s">
        <v>1481</v>
      </c>
      <c r="AJ83" s="90">
        <v>0</v>
      </c>
      <c r="AK83" s="90">
        <f t="shared" si="16"/>
        <v>0</v>
      </c>
      <c r="AL83" s="90">
        <f t="shared" si="17"/>
        <v>0</v>
      </c>
      <c r="AM83" s="90">
        <f t="shared" si="18"/>
        <v>0</v>
      </c>
      <c r="AN83" s="90">
        <f t="shared" si="19"/>
        <v>0</v>
      </c>
      <c r="BA83" s="88" t="s">
        <v>1478</v>
      </c>
      <c r="BB83" s="90">
        <v>0</v>
      </c>
      <c r="BM83" t="s">
        <v>1272</v>
      </c>
      <c r="BN83" t="s">
        <v>1317</v>
      </c>
      <c r="BO83" s="90">
        <v>23.401000000000003</v>
      </c>
      <c r="BQ83" t="str">
        <f t="shared" si="20"/>
        <v>49</v>
      </c>
      <c r="BR83" s="133" t="s">
        <v>972</v>
      </c>
      <c r="BS83">
        <v>7.9000000000000001E-2</v>
      </c>
      <c r="BT83" s="246" t="s">
        <v>1528</v>
      </c>
      <c r="BU83" s="34" t="s">
        <v>759</v>
      </c>
      <c r="BV83" t="s">
        <v>1486</v>
      </c>
      <c r="BW83">
        <v>0</v>
      </c>
    </row>
    <row r="84" spans="1:75" x14ac:dyDescent="0.25">
      <c r="A84">
        <v>3017</v>
      </c>
      <c r="B84" t="s">
        <v>1309</v>
      </c>
      <c r="C84">
        <v>3.75</v>
      </c>
      <c r="D84" t="s">
        <v>1264</v>
      </c>
      <c r="E84">
        <v>100116</v>
      </c>
      <c r="F84">
        <v>3017</v>
      </c>
      <c r="G84" t="str">
        <f t="shared" si="11"/>
        <v>03017</v>
      </c>
      <c r="H84" t="s">
        <v>311</v>
      </c>
      <c r="I84" t="s">
        <v>1265</v>
      </c>
      <c r="J84" t="s">
        <v>1271</v>
      </c>
      <c r="K84" t="s">
        <v>1272</v>
      </c>
      <c r="L84" t="s">
        <v>1309</v>
      </c>
      <c r="M84" t="s">
        <v>1310</v>
      </c>
      <c r="N84">
        <v>21</v>
      </c>
      <c r="O84" t="str">
        <f t="shared" si="14"/>
        <v>46</v>
      </c>
      <c r="P84">
        <v>46</v>
      </c>
      <c r="R84" t="s">
        <v>1269</v>
      </c>
      <c r="S84">
        <v>3.75</v>
      </c>
      <c r="T84">
        <v>0.30080000000000001</v>
      </c>
      <c r="U84">
        <f t="shared" si="15"/>
        <v>1.1279999999999999</v>
      </c>
      <c r="V84" t="str">
        <f t="shared" si="12"/>
        <v>High Psychologist</v>
      </c>
      <c r="W84" t="str">
        <f t="shared" si="13"/>
        <v>Psychologist</v>
      </c>
      <c r="Y84" s="88" t="s">
        <v>1356</v>
      </c>
      <c r="Z84" s="90"/>
      <c r="AA84" s="90"/>
      <c r="AB84" s="90">
        <v>28.923999999999999</v>
      </c>
      <c r="AC84" s="90"/>
      <c r="AD84" s="90"/>
      <c r="AE84" s="90">
        <v>0</v>
      </c>
      <c r="AF84" s="90">
        <v>28.923999999999999</v>
      </c>
      <c r="AG84" s="90"/>
      <c r="AI84" s="88" t="s">
        <v>1356</v>
      </c>
      <c r="AJ84" s="90">
        <v>0</v>
      </c>
      <c r="AK84" s="90">
        <f t="shared" si="16"/>
        <v>28.923999999999999</v>
      </c>
      <c r="AL84" s="90">
        <f t="shared" si="17"/>
        <v>0</v>
      </c>
      <c r="AM84" s="90">
        <f t="shared" si="18"/>
        <v>0</v>
      </c>
      <c r="AN84" s="90">
        <f t="shared" si="19"/>
        <v>28.923999999999999</v>
      </c>
      <c r="BA84" s="88" t="s">
        <v>1479</v>
      </c>
      <c r="BB84" s="90">
        <v>0</v>
      </c>
      <c r="BM84" t="s">
        <v>1272</v>
      </c>
      <c r="BN84" t="s">
        <v>1400</v>
      </c>
      <c r="BO84" s="90">
        <v>0.497</v>
      </c>
      <c r="BQ84" t="str">
        <f t="shared" si="20"/>
        <v>64</v>
      </c>
      <c r="BR84" s="133" t="s">
        <v>973</v>
      </c>
      <c r="BS84">
        <v>0.08</v>
      </c>
      <c r="BT84" s="246" t="s">
        <v>1531</v>
      </c>
      <c r="BU84" s="34" t="s">
        <v>759</v>
      </c>
      <c r="BV84" t="s">
        <v>1487</v>
      </c>
      <c r="BW84">
        <v>0</v>
      </c>
    </row>
    <row r="85" spans="1:75" x14ac:dyDescent="0.25">
      <c r="A85">
        <v>3017</v>
      </c>
      <c r="B85" t="s">
        <v>1345</v>
      </c>
      <c r="C85">
        <v>2.4460000000000002</v>
      </c>
      <c r="D85" t="s">
        <v>1264</v>
      </c>
      <c r="E85">
        <v>100116</v>
      </c>
      <c r="F85">
        <v>3017</v>
      </c>
      <c r="G85" t="str">
        <f t="shared" si="11"/>
        <v>03017</v>
      </c>
      <c r="H85" t="s">
        <v>311</v>
      </c>
      <c r="I85" t="s">
        <v>1265</v>
      </c>
      <c r="J85" t="s">
        <v>1266</v>
      </c>
      <c r="K85" t="s">
        <v>1267</v>
      </c>
      <c r="L85" t="s">
        <v>1345</v>
      </c>
      <c r="M85" t="s">
        <v>1346</v>
      </c>
      <c r="N85">
        <v>21</v>
      </c>
      <c r="O85" t="str">
        <f t="shared" si="14"/>
        <v>46</v>
      </c>
      <c r="P85">
        <v>46</v>
      </c>
      <c r="R85" t="s">
        <v>1269</v>
      </c>
      <c r="S85">
        <v>2.4460000000000002</v>
      </c>
      <c r="T85">
        <v>0.30080000000000001</v>
      </c>
      <c r="U85">
        <f t="shared" si="15"/>
        <v>0.73599999999999999</v>
      </c>
      <c r="V85" t="str">
        <f t="shared" si="12"/>
        <v>Middle Psychologist</v>
      </c>
      <c r="W85" t="str">
        <f t="shared" si="13"/>
        <v>Psychologist</v>
      </c>
      <c r="Y85" s="88" t="s">
        <v>1467</v>
      </c>
      <c r="Z85" s="90"/>
      <c r="AA85" s="90"/>
      <c r="AB85" s="90"/>
      <c r="AC85" s="90">
        <v>0.5</v>
      </c>
      <c r="AD85" s="90">
        <v>0</v>
      </c>
      <c r="AE85" s="90"/>
      <c r="AF85" s="90">
        <v>0.5</v>
      </c>
      <c r="AG85" s="90"/>
      <c r="AI85" s="88" t="s">
        <v>1467</v>
      </c>
      <c r="AJ85" s="90">
        <v>0</v>
      </c>
      <c r="AK85" s="90">
        <f t="shared" si="16"/>
        <v>0</v>
      </c>
      <c r="AL85" s="90">
        <f t="shared" si="17"/>
        <v>0.5</v>
      </c>
      <c r="AM85" s="90">
        <f t="shared" si="18"/>
        <v>0</v>
      </c>
      <c r="AN85" s="90">
        <f t="shared" si="19"/>
        <v>0.5</v>
      </c>
      <c r="AO85" s="90">
        <f>SUM(AN85:AN94)</f>
        <v>376.11000000000007</v>
      </c>
      <c r="BA85" s="88" t="s">
        <v>1480</v>
      </c>
      <c r="BB85" s="90">
        <v>0</v>
      </c>
      <c r="BM85" t="s">
        <v>753</v>
      </c>
      <c r="BO85" s="90">
        <v>9542.6229999999978</v>
      </c>
      <c r="BQ85" t="str">
        <f t="shared" si="20"/>
        <v>24</v>
      </c>
      <c r="BR85" s="133" t="s">
        <v>974</v>
      </c>
      <c r="BS85">
        <v>8.1000000000000003E-2</v>
      </c>
      <c r="BT85" s="246" t="s">
        <v>1544</v>
      </c>
      <c r="BU85" s="34" t="s">
        <v>759</v>
      </c>
      <c r="BV85" t="s">
        <v>1358</v>
      </c>
      <c r="BW85">
        <v>0</v>
      </c>
    </row>
    <row r="86" spans="1:75" x14ac:dyDescent="0.25">
      <c r="A86">
        <v>3017</v>
      </c>
      <c r="B86" t="s">
        <v>1334</v>
      </c>
      <c r="C86">
        <v>0.05</v>
      </c>
      <c r="D86" t="s">
        <v>1264</v>
      </c>
      <c r="E86">
        <v>100116</v>
      </c>
      <c r="F86">
        <v>3017</v>
      </c>
      <c r="G86" t="str">
        <f t="shared" si="11"/>
        <v>03017</v>
      </c>
      <c r="H86" t="s">
        <v>311</v>
      </c>
      <c r="I86" t="s">
        <v>1265</v>
      </c>
      <c r="J86" t="s">
        <v>1276</v>
      </c>
      <c r="K86" t="s">
        <v>1277</v>
      </c>
      <c r="L86" t="s">
        <v>1334</v>
      </c>
      <c r="M86" t="s">
        <v>1413</v>
      </c>
      <c r="N86">
        <v>21</v>
      </c>
      <c r="O86" t="str">
        <f t="shared" si="14"/>
        <v>47</v>
      </c>
      <c r="P86">
        <v>47</v>
      </c>
      <c r="R86" t="s">
        <v>1269</v>
      </c>
      <c r="S86">
        <v>0.05</v>
      </c>
      <c r="T86">
        <v>0.30080000000000001</v>
      </c>
      <c r="U86">
        <f t="shared" si="15"/>
        <v>1.4999999999999999E-2</v>
      </c>
      <c r="V86" t="str">
        <f t="shared" si="12"/>
        <v>Elementary Nurse</v>
      </c>
      <c r="W86" t="str">
        <f t="shared" si="13"/>
        <v>Nurse</v>
      </c>
      <c r="Y86" s="88" t="s">
        <v>1294</v>
      </c>
      <c r="Z86" s="90">
        <v>1020.7279999999995</v>
      </c>
      <c r="AA86" s="90"/>
      <c r="AB86" s="90"/>
      <c r="AC86" s="90"/>
      <c r="AD86" s="90"/>
      <c r="AE86" s="90"/>
      <c r="AF86" s="90">
        <v>1020.7279999999995</v>
      </c>
      <c r="AG86" s="90"/>
      <c r="AI86" s="88" t="s">
        <v>1294</v>
      </c>
      <c r="AJ86" s="90">
        <v>257.78899999999999</v>
      </c>
      <c r="AK86" s="90">
        <f t="shared" si="16"/>
        <v>0</v>
      </c>
      <c r="AL86" s="90">
        <f t="shared" si="17"/>
        <v>0</v>
      </c>
      <c r="AM86" s="90">
        <f t="shared" si="18"/>
        <v>0</v>
      </c>
      <c r="AN86" s="90">
        <f t="shared" si="19"/>
        <v>257.78899999999999</v>
      </c>
      <c r="AO86" t="e">
        <f>#REF!</f>
        <v>#REF!</v>
      </c>
      <c r="BA86" s="88" t="s">
        <v>1481</v>
      </c>
      <c r="BB86" s="90">
        <v>0</v>
      </c>
      <c r="BQ86" t="str">
        <f t="shared" si="20"/>
        <v>25</v>
      </c>
      <c r="BR86" s="133" t="s">
        <v>975</v>
      </c>
      <c r="BS86">
        <v>8.2000000000000003E-2</v>
      </c>
      <c r="BT86" s="247" t="s">
        <v>1553</v>
      </c>
      <c r="BU86" s="34" t="s">
        <v>759</v>
      </c>
      <c r="BV86" t="s">
        <v>1362</v>
      </c>
      <c r="BW86">
        <v>0</v>
      </c>
    </row>
    <row r="87" spans="1:75" x14ac:dyDescent="0.25">
      <c r="A87">
        <v>3017</v>
      </c>
      <c r="B87" t="s">
        <v>1335</v>
      </c>
      <c r="C87">
        <v>8.0860000000000003</v>
      </c>
      <c r="D87" t="s">
        <v>1264</v>
      </c>
      <c r="E87">
        <v>100116</v>
      </c>
      <c r="F87">
        <v>3017</v>
      </c>
      <c r="G87" t="str">
        <f t="shared" si="11"/>
        <v>03017</v>
      </c>
      <c r="H87" t="s">
        <v>311</v>
      </c>
      <c r="I87" t="s">
        <v>1265</v>
      </c>
      <c r="J87" t="s">
        <v>1276</v>
      </c>
      <c r="K87" t="s">
        <v>1277</v>
      </c>
      <c r="L87" t="s">
        <v>1335</v>
      </c>
      <c r="M87" t="s">
        <v>1344</v>
      </c>
      <c r="N87">
        <v>1</v>
      </c>
      <c r="O87" t="str">
        <f t="shared" si="14"/>
        <v>47</v>
      </c>
      <c r="P87">
        <v>47</v>
      </c>
      <c r="R87" t="s">
        <v>1269</v>
      </c>
      <c r="S87">
        <v>8.0860000000000003</v>
      </c>
      <c r="T87">
        <v>0.30080000000000001</v>
      </c>
      <c r="U87">
        <f t="shared" si="15"/>
        <v>0</v>
      </c>
      <c r="V87" t="str">
        <f t="shared" si="12"/>
        <v>Elementary Nurse</v>
      </c>
      <c r="W87" t="str">
        <f t="shared" si="13"/>
        <v>Nurse</v>
      </c>
      <c r="Y87" s="88" t="s">
        <v>1455</v>
      </c>
      <c r="Z87" s="90"/>
      <c r="AA87" s="90">
        <v>0</v>
      </c>
      <c r="AB87" s="90"/>
      <c r="AC87" s="90"/>
      <c r="AD87" s="90"/>
      <c r="AE87" s="90"/>
      <c r="AF87" s="90">
        <v>0</v>
      </c>
      <c r="AG87" s="90"/>
      <c r="AI87" s="88" t="s">
        <v>1455</v>
      </c>
      <c r="AJ87" s="90">
        <v>0</v>
      </c>
      <c r="AK87" s="90">
        <f t="shared" si="16"/>
        <v>0</v>
      </c>
      <c r="AL87" s="90">
        <f t="shared" si="17"/>
        <v>0</v>
      </c>
      <c r="AM87" s="90">
        <f t="shared" si="18"/>
        <v>0</v>
      </c>
      <c r="AN87" s="90">
        <f t="shared" si="19"/>
        <v>0</v>
      </c>
      <c r="AO87" s="261" t="e">
        <f>SUM(AO85:AO86)</f>
        <v>#REF!</v>
      </c>
      <c r="BA87" s="88" t="s">
        <v>1482</v>
      </c>
      <c r="BB87" s="90">
        <v>0</v>
      </c>
      <c r="BQ87" t="str">
        <f t="shared" si="20"/>
        <v>26</v>
      </c>
      <c r="BR87" s="133" t="s">
        <v>976</v>
      </c>
      <c r="BS87">
        <v>8.3000000000000004E-2</v>
      </c>
      <c r="BT87" s="246" t="s">
        <v>1532</v>
      </c>
      <c r="BU87" s="34" t="s">
        <v>759</v>
      </c>
      <c r="BV87" t="s">
        <v>1488</v>
      </c>
      <c r="BW87">
        <v>0</v>
      </c>
    </row>
    <row r="88" spans="1:75" x14ac:dyDescent="0.25">
      <c r="A88">
        <v>3017</v>
      </c>
      <c r="B88" t="s">
        <v>1341</v>
      </c>
      <c r="C88">
        <v>3.35</v>
      </c>
      <c r="D88" t="s">
        <v>1264</v>
      </c>
      <c r="E88">
        <v>100116</v>
      </c>
      <c r="F88">
        <v>3017</v>
      </c>
      <c r="G88" t="str">
        <f t="shared" si="11"/>
        <v>03017</v>
      </c>
      <c r="H88" t="s">
        <v>311</v>
      </c>
      <c r="I88" t="s">
        <v>1265</v>
      </c>
      <c r="J88" t="s">
        <v>1271</v>
      </c>
      <c r="K88" t="s">
        <v>1272</v>
      </c>
      <c r="L88" t="s">
        <v>1341</v>
      </c>
      <c r="M88" t="s">
        <v>1342</v>
      </c>
      <c r="N88">
        <v>1</v>
      </c>
      <c r="O88" t="str">
        <f t="shared" si="14"/>
        <v>47</v>
      </c>
      <c r="P88">
        <v>47</v>
      </c>
      <c r="R88" t="s">
        <v>1269</v>
      </c>
      <c r="S88">
        <v>3.35</v>
      </c>
      <c r="T88">
        <v>0.30080000000000001</v>
      </c>
      <c r="U88">
        <f t="shared" si="15"/>
        <v>0</v>
      </c>
      <c r="V88" t="str">
        <f t="shared" si="12"/>
        <v>High Nurse</v>
      </c>
      <c r="W88" t="str">
        <f t="shared" si="13"/>
        <v>Nurse</v>
      </c>
      <c r="Y88" s="88" t="s">
        <v>1332</v>
      </c>
      <c r="Z88" s="90"/>
      <c r="AA88" s="90"/>
      <c r="AB88" s="90">
        <v>7.652000000000001</v>
      </c>
      <c r="AC88" s="90"/>
      <c r="AD88" s="90"/>
      <c r="AE88" s="90">
        <v>0</v>
      </c>
      <c r="AF88" s="90">
        <v>7.652000000000001</v>
      </c>
      <c r="AG88" s="90"/>
      <c r="AI88" s="88" t="s">
        <v>1332</v>
      </c>
      <c r="AJ88" s="90">
        <v>0</v>
      </c>
      <c r="AK88" s="90">
        <f t="shared" si="16"/>
        <v>7.652000000000001</v>
      </c>
      <c r="AL88" s="90">
        <f t="shared" si="17"/>
        <v>0</v>
      </c>
      <c r="AM88" s="90">
        <f t="shared" si="18"/>
        <v>0</v>
      </c>
      <c r="AN88" s="90">
        <f t="shared" si="19"/>
        <v>7.652000000000001</v>
      </c>
      <c r="BA88" s="88" t="s">
        <v>1483</v>
      </c>
      <c r="BB88" s="90">
        <v>0</v>
      </c>
      <c r="BQ88" t="str">
        <f t="shared" si="20"/>
        <v>35</v>
      </c>
      <c r="BR88" s="215" t="s">
        <v>1168</v>
      </c>
      <c r="BS88">
        <v>8.4000000000000005E-2</v>
      </c>
      <c r="BT88" s="247" t="s">
        <v>1533</v>
      </c>
      <c r="BU88" s="34" t="s">
        <v>759</v>
      </c>
      <c r="BV88" t="s">
        <v>1378</v>
      </c>
      <c r="BW88">
        <v>0</v>
      </c>
    </row>
    <row r="89" spans="1:75" x14ac:dyDescent="0.25">
      <c r="A89">
        <v>3017</v>
      </c>
      <c r="B89" t="s">
        <v>1372</v>
      </c>
      <c r="C89">
        <v>0.1</v>
      </c>
      <c r="D89" t="s">
        <v>1264</v>
      </c>
      <c r="E89">
        <v>100116</v>
      </c>
      <c r="F89">
        <v>3017</v>
      </c>
      <c r="G89" t="str">
        <f t="shared" si="11"/>
        <v>03017</v>
      </c>
      <c r="H89" t="s">
        <v>311</v>
      </c>
      <c r="I89" t="s">
        <v>1265</v>
      </c>
      <c r="J89" t="s">
        <v>1266</v>
      </c>
      <c r="K89" t="s">
        <v>1267</v>
      </c>
      <c r="L89" t="s">
        <v>1372</v>
      </c>
      <c r="M89" t="s">
        <v>1436</v>
      </c>
      <c r="N89">
        <v>21</v>
      </c>
      <c r="O89" t="str">
        <f t="shared" si="14"/>
        <v>47</v>
      </c>
      <c r="P89">
        <v>47</v>
      </c>
      <c r="R89" t="s">
        <v>1269</v>
      </c>
      <c r="S89">
        <v>0.1</v>
      </c>
      <c r="T89">
        <v>0.30080000000000001</v>
      </c>
      <c r="U89">
        <f t="shared" si="15"/>
        <v>0.03</v>
      </c>
      <c r="V89" t="str">
        <f t="shared" si="12"/>
        <v>Middle Nurse</v>
      </c>
      <c r="W89" t="str">
        <f t="shared" si="13"/>
        <v>Nurse</v>
      </c>
      <c r="Y89" s="88" t="s">
        <v>1326</v>
      </c>
      <c r="Z89" s="90">
        <v>273.64699999999993</v>
      </c>
      <c r="AA89" s="90"/>
      <c r="AB89" s="90"/>
      <c r="AC89" s="90"/>
      <c r="AD89" s="90"/>
      <c r="AE89" s="90"/>
      <c r="AF89" s="90">
        <v>273.64699999999993</v>
      </c>
      <c r="AG89" s="90"/>
      <c r="AI89" s="88" t="s">
        <v>1326</v>
      </c>
      <c r="AJ89" s="90">
        <v>70.495000000000033</v>
      </c>
      <c r="AK89" s="90">
        <f t="shared" si="16"/>
        <v>0</v>
      </c>
      <c r="AL89" s="90">
        <f t="shared" si="17"/>
        <v>0</v>
      </c>
      <c r="AM89" s="90">
        <f t="shared" si="18"/>
        <v>0</v>
      </c>
      <c r="AN89" s="90">
        <f t="shared" si="19"/>
        <v>70.495000000000033</v>
      </c>
      <c r="BA89" s="88" t="s">
        <v>1484</v>
      </c>
      <c r="BB89" s="90">
        <v>0</v>
      </c>
      <c r="BQ89" t="str">
        <f t="shared" si="20"/>
        <v>39</v>
      </c>
      <c r="BR89" s="134" t="s">
        <v>1003</v>
      </c>
      <c r="BS89">
        <v>8.5000000000000006E-2</v>
      </c>
      <c r="BT89" s="248" t="s">
        <v>1524</v>
      </c>
      <c r="BU89" s="34" t="s">
        <v>759</v>
      </c>
      <c r="BV89" t="s">
        <v>1364</v>
      </c>
      <c r="BW89">
        <v>0</v>
      </c>
    </row>
    <row r="90" spans="1:75" x14ac:dyDescent="0.25">
      <c r="A90">
        <v>3017</v>
      </c>
      <c r="B90" t="s">
        <v>1338</v>
      </c>
      <c r="C90">
        <v>7.0140000000000002</v>
      </c>
      <c r="D90" t="s">
        <v>1264</v>
      </c>
      <c r="E90">
        <v>100116</v>
      </c>
      <c r="F90">
        <v>3017</v>
      </c>
      <c r="G90" t="str">
        <f t="shared" si="11"/>
        <v>03017</v>
      </c>
      <c r="H90" t="s">
        <v>311</v>
      </c>
      <c r="I90" t="s">
        <v>1265</v>
      </c>
      <c r="J90" t="s">
        <v>1266</v>
      </c>
      <c r="K90" t="s">
        <v>1267</v>
      </c>
      <c r="L90" t="s">
        <v>1338</v>
      </c>
      <c r="M90" t="s">
        <v>1339</v>
      </c>
      <c r="N90">
        <v>1</v>
      </c>
      <c r="O90" t="str">
        <f t="shared" si="14"/>
        <v>47</v>
      </c>
      <c r="P90">
        <v>47</v>
      </c>
      <c r="R90" t="s">
        <v>1269</v>
      </c>
      <c r="S90">
        <v>7.0140000000000002</v>
      </c>
      <c r="T90">
        <v>0.30080000000000001</v>
      </c>
      <c r="U90">
        <f t="shared" si="15"/>
        <v>0</v>
      </c>
      <c r="V90" t="str">
        <f t="shared" si="12"/>
        <v>Middle Nurse</v>
      </c>
      <c r="W90" t="str">
        <f t="shared" si="13"/>
        <v>Nurse</v>
      </c>
      <c r="Y90" s="88" t="s">
        <v>1495</v>
      </c>
      <c r="Z90" s="90"/>
      <c r="AA90" s="90">
        <v>0</v>
      </c>
      <c r="AB90" s="90"/>
      <c r="AC90" s="90"/>
      <c r="AD90" s="90"/>
      <c r="AE90" s="90"/>
      <c r="AF90" s="90">
        <v>0</v>
      </c>
      <c r="AG90" s="90"/>
      <c r="AI90" s="88" t="s">
        <v>1495</v>
      </c>
      <c r="AJ90" s="90">
        <v>0</v>
      </c>
      <c r="AK90" s="90">
        <f t="shared" si="16"/>
        <v>0</v>
      </c>
      <c r="AL90" s="90">
        <f t="shared" si="17"/>
        <v>0</v>
      </c>
      <c r="AM90" s="90">
        <f t="shared" si="18"/>
        <v>0</v>
      </c>
      <c r="AN90" s="90">
        <f t="shared" si="19"/>
        <v>0</v>
      </c>
      <c r="BA90" s="88" t="s">
        <v>1485</v>
      </c>
      <c r="BB90" s="90">
        <v>0</v>
      </c>
      <c r="BQ90" t="str">
        <f t="shared" si="20"/>
        <v>42</v>
      </c>
      <c r="BR90" s="134" t="s">
        <v>1004</v>
      </c>
      <c r="BS90">
        <v>8.5999999999999993E-2</v>
      </c>
      <c r="BT90" s="248" t="s">
        <v>1525</v>
      </c>
      <c r="BU90" s="34" t="s">
        <v>759</v>
      </c>
      <c r="BV90" t="s">
        <v>1365</v>
      </c>
      <c r="BW90">
        <v>0</v>
      </c>
    </row>
    <row r="91" spans="1:75" x14ac:dyDescent="0.25">
      <c r="A91">
        <v>3017</v>
      </c>
      <c r="B91" t="s">
        <v>1302</v>
      </c>
      <c r="C91">
        <v>2.4700000000000002</v>
      </c>
      <c r="D91" t="s">
        <v>1264</v>
      </c>
      <c r="E91">
        <v>100116</v>
      </c>
      <c r="F91">
        <v>3017</v>
      </c>
      <c r="G91" t="str">
        <f t="shared" si="11"/>
        <v>03017</v>
      </c>
      <c r="H91" t="s">
        <v>311</v>
      </c>
      <c r="I91" t="s">
        <v>1265</v>
      </c>
      <c r="J91" t="s">
        <v>1276</v>
      </c>
      <c r="K91" t="s">
        <v>1277</v>
      </c>
      <c r="L91" t="s">
        <v>1302</v>
      </c>
      <c r="M91" t="s">
        <v>1336</v>
      </c>
      <c r="N91">
        <v>21</v>
      </c>
      <c r="O91" t="str">
        <f t="shared" si="14"/>
        <v>48</v>
      </c>
      <c r="P91">
        <v>48</v>
      </c>
      <c r="R91" t="s">
        <v>1269</v>
      </c>
      <c r="S91">
        <v>2.4700000000000002</v>
      </c>
      <c r="T91">
        <v>0.30080000000000001</v>
      </c>
      <c r="U91">
        <f t="shared" si="15"/>
        <v>0.74299999999999999</v>
      </c>
      <c r="V91" t="str">
        <f t="shared" si="12"/>
        <v>Elementary Physical Therapist</v>
      </c>
      <c r="W91" t="str">
        <f t="shared" si="13"/>
        <v>Physical Therapist</v>
      </c>
      <c r="Y91" s="88" t="s">
        <v>1394</v>
      </c>
      <c r="Z91" s="90"/>
      <c r="AA91" s="90"/>
      <c r="AB91" s="90">
        <v>0.66800000000000004</v>
      </c>
      <c r="AC91" s="90"/>
      <c r="AD91" s="90"/>
      <c r="AE91" s="90">
        <v>0</v>
      </c>
      <c r="AF91" s="90">
        <v>0.66800000000000004</v>
      </c>
      <c r="AG91" s="90"/>
      <c r="AI91" s="88" t="s">
        <v>1394</v>
      </c>
      <c r="AJ91" s="90">
        <v>0</v>
      </c>
      <c r="AK91" s="90">
        <f t="shared" si="16"/>
        <v>0.66800000000000004</v>
      </c>
      <c r="AL91" s="90">
        <f t="shared" si="17"/>
        <v>0</v>
      </c>
      <c r="AM91" s="90">
        <f t="shared" si="18"/>
        <v>0</v>
      </c>
      <c r="AN91" s="90">
        <f t="shared" si="19"/>
        <v>0.66800000000000004</v>
      </c>
      <c r="BA91" s="88" t="s">
        <v>1486</v>
      </c>
      <c r="BB91" s="90">
        <v>0</v>
      </c>
      <c r="BQ91" t="str">
        <f t="shared" si="20"/>
        <v>43</v>
      </c>
      <c r="BR91" s="134" t="s">
        <v>1005</v>
      </c>
      <c r="BS91">
        <v>8.6999999999999994E-2</v>
      </c>
      <c r="BT91" s="248" t="s">
        <v>1547</v>
      </c>
      <c r="BU91" s="34" t="s">
        <v>759</v>
      </c>
      <c r="BV91" t="s">
        <v>1303</v>
      </c>
      <c r="BW91">
        <v>0</v>
      </c>
    </row>
    <row r="92" spans="1:75" x14ac:dyDescent="0.25">
      <c r="A92">
        <v>3017</v>
      </c>
      <c r="B92" t="s">
        <v>1330</v>
      </c>
      <c r="C92">
        <v>0.2</v>
      </c>
      <c r="D92" t="s">
        <v>1264</v>
      </c>
      <c r="E92">
        <v>100116</v>
      </c>
      <c r="F92">
        <v>3017</v>
      </c>
      <c r="G92" t="str">
        <f t="shared" si="11"/>
        <v>03017</v>
      </c>
      <c r="H92" t="s">
        <v>311</v>
      </c>
      <c r="I92" t="s">
        <v>1265</v>
      </c>
      <c r="J92" t="s">
        <v>1271</v>
      </c>
      <c r="K92" t="s">
        <v>1272</v>
      </c>
      <c r="L92" t="s">
        <v>1330</v>
      </c>
      <c r="M92" t="s">
        <v>1367</v>
      </c>
      <c r="N92">
        <v>21</v>
      </c>
      <c r="O92" t="str">
        <f t="shared" si="14"/>
        <v>48</v>
      </c>
      <c r="P92">
        <v>48</v>
      </c>
      <c r="R92" t="s">
        <v>1269</v>
      </c>
      <c r="S92">
        <v>0.2</v>
      </c>
      <c r="T92">
        <v>0.30080000000000001</v>
      </c>
      <c r="U92">
        <f t="shared" si="15"/>
        <v>0.06</v>
      </c>
      <c r="V92" t="str">
        <f t="shared" si="12"/>
        <v>High Physical Therapist</v>
      </c>
      <c r="W92" t="str">
        <f t="shared" si="13"/>
        <v>Physical Therapist</v>
      </c>
      <c r="Y92" s="88" t="s">
        <v>1312</v>
      </c>
      <c r="Z92" s="90">
        <v>151.15500000000003</v>
      </c>
      <c r="AA92" s="90"/>
      <c r="AB92" s="90"/>
      <c r="AC92" s="90"/>
      <c r="AD92" s="90"/>
      <c r="AE92" s="90"/>
      <c r="AF92" s="90">
        <v>151.15500000000003</v>
      </c>
      <c r="AG92" s="90"/>
      <c r="AI92" s="88" t="s">
        <v>1312</v>
      </c>
      <c r="AJ92" s="90">
        <v>38.338000000000001</v>
      </c>
      <c r="AK92" s="90">
        <f t="shared" si="16"/>
        <v>0</v>
      </c>
      <c r="AL92" s="90">
        <f t="shared" si="17"/>
        <v>0</v>
      </c>
      <c r="AM92" s="90">
        <f t="shared" si="18"/>
        <v>0</v>
      </c>
      <c r="AN92" s="90">
        <f t="shared" si="19"/>
        <v>38.338000000000001</v>
      </c>
      <c r="BA92" s="88" t="s">
        <v>1487</v>
      </c>
      <c r="BB92" s="90">
        <v>0</v>
      </c>
      <c r="BQ92" t="str">
        <f t="shared" si="20"/>
        <v>44</v>
      </c>
      <c r="BR92" s="134" t="s">
        <v>1006</v>
      </c>
      <c r="BS92">
        <v>8.7999999999999995E-2</v>
      </c>
      <c r="BT92" s="248" t="s">
        <v>1526</v>
      </c>
      <c r="BU92" s="34" t="s">
        <v>759</v>
      </c>
      <c r="BV92" t="s">
        <v>1369</v>
      </c>
      <c r="BW92">
        <v>0</v>
      </c>
    </row>
    <row r="93" spans="1:75" x14ac:dyDescent="0.25">
      <c r="A93">
        <v>3017</v>
      </c>
      <c r="B93" t="s">
        <v>1316</v>
      </c>
      <c r="C93">
        <v>0.05</v>
      </c>
      <c r="D93" t="s">
        <v>1264</v>
      </c>
      <c r="E93">
        <v>100116</v>
      </c>
      <c r="F93">
        <v>3017</v>
      </c>
      <c r="G93" t="str">
        <f t="shared" si="11"/>
        <v>03017</v>
      </c>
      <c r="H93" t="s">
        <v>311</v>
      </c>
      <c r="I93" t="s">
        <v>1265</v>
      </c>
      <c r="J93" t="s">
        <v>1266</v>
      </c>
      <c r="K93" t="s">
        <v>1267</v>
      </c>
      <c r="L93" t="s">
        <v>1316</v>
      </c>
      <c r="M93" t="s">
        <v>1366</v>
      </c>
      <c r="N93">
        <v>21</v>
      </c>
      <c r="O93" t="str">
        <f t="shared" si="14"/>
        <v>48</v>
      </c>
      <c r="P93">
        <v>48</v>
      </c>
      <c r="R93" t="s">
        <v>1269</v>
      </c>
      <c r="S93">
        <v>0.05</v>
      </c>
      <c r="T93">
        <v>0.30080000000000001</v>
      </c>
      <c r="U93">
        <f t="shared" si="15"/>
        <v>1.4999999999999999E-2</v>
      </c>
      <c r="V93" t="str">
        <f t="shared" si="12"/>
        <v>Middle Physical Therapist</v>
      </c>
      <c r="W93" t="str">
        <f t="shared" si="13"/>
        <v>Physical Therapist</v>
      </c>
      <c r="Y93" s="88" t="s">
        <v>1482</v>
      </c>
      <c r="Z93" s="90"/>
      <c r="AA93" s="90">
        <v>0</v>
      </c>
      <c r="AB93" s="90"/>
      <c r="AC93" s="90"/>
      <c r="AD93" s="90"/>
      <c r="AE93" s="90"/>
      <c r="AF93" s="90">
        <v>0</v>
      </c>
      <c r="AG93" s="90"/>
      <c r="AI93" s="88" t="s">
        <v>1482</v>
      </c>
      <c r="AJ93" s="90">
        <v>0</v>
      </c>
      <c r="AK93" s="90">
        <f t="shared" si="16"/>
        <v>0</v>
      </c>
      <c r="AL93" s="90">
        <f t="shared" si="17"/>
        <v>0</v>
      </c>
      <c r="AM93" s="90">
        <f t="shared" si="18"/>
        <v>0</v>
      </c>
      <c r="AN93" s="90">
        <f t="shared" si="19"/>
        <v>0</v>
      </c>
      <c r="BA93" s="88" t="s">
        <v>1490</v>
      </c>
      <c r="BB93" s="90">
        <v>0</v>
      </c>
      <c r="BQ93" t="str">
        <f t="shared" si="20"/>
        <v>45</v>
      </c>
      <c r="BR93" s="134" t="s">
        <v>1007</v>
      </c>
      <c r="BS93">
        <v>8.8999999999999996E-2</v>
      </c>
      <c r="BT93" s="248" t="s">
        <v>1527</v>
      </c>
      <c r="BU93" s="34" t="s">
        <v>759</v>
      </c>
      <c r="BV93" t="s">
        <v>1312</v>
      </c>
      <c r="BW93">
        <v>0</v>
      </c>
    </row>
    <row r="94" spans="1:75" x14ac:dyDescent="0.25">
      <c r="A94">
        <v>3050</v>
      </c>
      <c r="B94" t="s">
        <v>1306</v>
      </c>
      <c r="C94">
        <v>0.5</v>
      </c>
      <c r="D94" t="s">
        <v>1264</v>
      </c>
      <c r="E94">
        <v>100197</v>
      </c>
      <c r="F94">
        <v>3050</v>
      </c>
      <c r="G94" t="str">
        <f t="shared" si="11"/>
        <v>03050</v>
      </c>
      <c r="H94" t="s">
        <v>312</v>
      </c>
      <c r="I94" t="s">
        <v>1265</v>
      </c>
      <c r="J94" t="s">
        <v>1276</v>
      </c>
      <c r="K94" t="s">
        <v>1277</v>
      </c>
      <c r="L94" t="s">
        <v>1306</v>
      </c>
      <c r="M94" t="s">
        <v>1320</v>
      </c>
      <c r="N94">
        <v>21</v>
      </c>
      <c r="O94" t="str">
        <f t="shared" si="14"/>
        <v>64</v>
      </c>
      <c r="P94">
        <v>64</v>
      </c>
      <c r="R94" t="s">
        <v>1269</v>
      </c>
      <c r="S94">
        <v>0.5</v>
      </c>
      <c r="T94">
        <v>8.4199999999999997E-2</v>
      </c>
      <c r="U94">
        <f t="shared" si="15"/>
        <v>4.2000000000000003E-2</v>
      </c>
      <c r="V94" t="str">
        <f t="shared" si="12"/>
        <v>Elementary Contractor ESA</v>
      </c>
      <c r="W94" t="str">
        <f t="shared" si="13"/>
        <v>Contractor ESA</v>
      </c>
      <c r="Y94" s="88" t="s">
        <v>1370</v>
      </c>
      <c r="Z94" s="90"/>
      <c r="AA94" s="90"/>
      <c r="AB94" s="90">
        <v>0.66800000000000015</v>
      </c>
      <c r="AC94" s="90"/>
      <c r="AD94" s="90"/>
      <c r="AE94" s="90">
        <v>0</v>
      </c>
      <c r="AF94" s="90">
        <v>0.66800000000000015</v>
      </c>
      <c r="AG94" s="90"/>
      <c r="AI94" s="88" t="s">
        <v>1370</v>
      </c>
      <c r="AJ94" s="90">
        <v>0</v>
      </c>
      <c r="AK94" s="90">
        <f t="shared" si="16"/>
        <v>0.66800000000000015</v>
      </c>
      <c r="AL94" s="90">
        <f t="shared" si="17"/>
        <v>0</v>
      </c>
      <c r="AM94" s="90">
        <f t="shared" si="18"/>
        <v>0</v>
      </c>
      <c r="AN94" s="90">
        <f t="shared" si="19"/>
        <v>0.66800000000000015</v>
      </c>
      <c r="BA94" s="88" t="s">
        <v>1491</v>
      </c>
      <c r="BB94" s="90">
        <v>0</v>
      </c>
      <c r="BQ94" t="str">
        <f t="shared" si="20"/>
        <v>46</v>
      </c>
      <c r="BR94" s="134" t="s">
        <v>1008</v>
      </c>
      <c r="BS94">
        <v>0.09</v>
      </c>
      <c r="BT94" s="248" t="s">
        <v>1550</v>
      </c>
      <c r="BU94" s="34" t="s">
        <v>759</v>
      </c>
      <c r="BV94" t="s">
        <v>1345</v>
      </c>
      <c r="BW94">
        <v>0</v>
      </c>
    </row>
    <row r="95" spans="1:75" x14ac:dyDescent="0.25">
      <c r="A95">
        <v>3050</v>
      </c>
      <c r="B95" t="s">
        <v>1347</v>
      </c>
      <c r="C95">
        <v>0.5</v>
      </c>
      <c r="D95" t="s">
        <v>1264</v>
      </c>
      <c r="E95">
        <v>100197</v>
      </c>
      <c r="F95">
        <v>3050</v>
      </c>
      <c r="G95" t="str">
        <f t="shared" si="11"/>
        <v>03050</v>
      </c>
      <c r="H95" t="s">
        <v>312</v>
      </c>
      <c r="I95" t="s">
        <v>1265</v>
      </c>
      <c r="J95" t="s">
        <v>1276</v>
      </c>
      <c r="K95" t="s">
        <v>1277</v>
      </c>
      <c r="L95" t="s">
        <v>1347</v>
      </c>
      <c r="M95" t="s">
        <v>1420</v>
      </c>
      <c r="N95">
        <v>1</v>
      </c>
      <c r="O95" t="str">
        <f t="shared" si="14"/>
        <v>64</v>
      </c>
      <c r="P95">
        <v>64</v>
      </c>
      <c r="R95" t="s">
        <v>1269</v>
      </c>
      <c r="S95">
        <v>0.5</v>
      </c>
      <c r="T95">
        <v>8.4199999999999997E-2</v>
      </c>
      <c r="U95">
        <f t="shared" si="15"/>
        <v>0</v>
      </c>
      <c r="V95" t="str">
        <f t="shared" si="12"/>
        <v>Elementary Contractor ESA</v>
      </c>
      <c r="W95" t="str">
        <f t="shared" si="13"/>
        <v>Contractor ESA</v>
      </c>
      <c r="Y95" s="88" t="s">
        <v>1468</v>
      </c>
      <c r="Z95" s="90"/>
      <c r="AA95" s="90"/>
      <c r="AB95" s="90"/>
      <c r="AC95" s="90"/>
      <c r="AD95" s="90">
        <v>0</v>
      </c>
      <c r="AE95" s="90"/>
      <c r="AF95" s="90">
        <v>0</v>
      </c>
      <c r="AG95" s="90"/>
      <c r="AI95" s="88" t="s">
        <v>1468</v>
      </c>
      <c r="AJ95" s="90">
        <v>0</v>
      </c>
      <c r="AK95" s="90">
        <f t="shared" si="16"/>
        <v>0</v>
      </c>
      <c r="AL95" s="90">
        <f t="shared" si="17"/>
        <v>0</v>
      </c>
      <c r="AM95" s="90">
        <f t="shared" si="18"/>
        <v>0</v>
      </c>
      <c r="AN95" s="90">
        <f t="shared" si="19"/>
        <v>0</v>
      </c>
      <c r="AO95" s="90">
        <f>SUM(AN95:AN104)</f>
        <v>289.75599999999997</v>
      </c>
      <c r="BA95" s="88" t="s">
        <v>1492</v>
      </c>
      <c r="BB95" s="90">
        <v>0</v>
      </c>
      <c r="BQ95" t="str">
        <f t="shared" si="20"/>
        <v>47</v>
      </c>
      <c r="BR95" s="134" t="s">
        <v>1009</v>
      </c>
      <c r="BS95">
        <v>9.0999999999999998E-2</v>
      </c>
      <c r="BT95" s="248" t="s">
        <v>1529</v>
      </c>
      <c r="BU95" s="34" t="s">
        <v>759</v>
      </c>
      <c r="BV95" t="s">
        <v>1372</v>
      </c>
      <c r="BW95">
        <v>0</v>
      </c>
    </row>
    <row r="96" spans="1:75" x14ac:dyDescent="0.25">
      <c r="A96">
        <v>3052</v>
      </c>
      <c r="B96" t="s">
        <v>1299</v>
      </c>
      <c r="C96">
        <v>4.1239999999999997</v>
      </c>
      <c r="D96" t="s">
        <v>1264</v>
      </c>
      <c r="E96">
        <v>100119</v>
      </c>
      <c r="F96">
        <v>3052</v>
      </c>
      <c r="G96" t="str">
        <f t="shared" si="11"/>
        <v>03052</v>
      </c>
      <c r="H96" t="s">
        <v>313</v>
      </c>
      <c r="I96" t="s">
        <v>1265</v>
      </c>
      <c r="J96" t="s">
        <v>1271</v>
      </c>
      <c r="K96" t="s">
        <v>1272</v>
      </c>
      <c r="L96" t="s">
        <v>1299</v>
      </c>
      <c r="M96" t="s">
        <v>1300</v>
      </c>
      <c r="N96">
        <v>1</v>
      </c>
      <c r="O96" t="str">
        <f t="shared" si="14"/>
        <v>25</v>
      </c>
      <c r="Q96">
        <v>25</v>
      </c>
      <c r="R96" t="s">
        <v>1269</v>
      </c>
      <c r="S96">
        <v>4.1239999999999997</v>
      </c>
      <c r="T96">
        <v>0.21010000000000001</v>
      </c>
      <c r="U96">
        <f t="shared" si="15"/>
        <v>0</v>
      </c>
      <c r="V96" t="str">
        <f t="shared" si="12"/>
        <v>High Pupil Management</v>
      </c>
      <c r="W96" t="str">
        <f t="shared" si="13"/>
        <v>Pupil Management</v>
      </c>
      <c r="Y96" s="88" t="s">
        <v>1298</v>
      </c>
      <c r="Z96" s="90">
        <v>533.82999999999981</v>
      </c>
      <c r="AA96" s="90"/>
      <c r="AB96" s="90"/>
      <c r="AC96" s="90"/>
      <c r="AD96" s="90"/>
      <c r="AE96" s="90"/>
      <c r="AF96" s="90">
        <v>533.82999999999981</v>
      </c>
      <c r="AG96" s="90"/>
      <c r="AI96" s="88" t="s">
        <v>1298</v>
      </c>
      <c r="AJ96" s="90">
        <v>135.14699999999999</v>
      </c>
      <c r="AK96" s="90">
        <f t="shared" si="16"/>
        <v>0</v>
      </c>
      <c r="AL96" s="90">
        <f t="shared" si="17"/>
        <v>0</v>
      </c>
      <c r="AM96" s="90">
        <f t="shared" si="18"/>
        <v>0</v>
      </c>
      <c r="AN96" s="90">
        <f t="shared" si="19"/>
        <v>135.14699999999999</v>
      </c>
      <c r="AO96" t="e">
        <f>#REF!</f>
        <v>#REF!</v>
      </c>
      <c r="BA96" s="88" t="s">
        <v>1493</v>
      </c>
      <c r="BB96" s="90">
        <v>0</v>
      </c>
      <c r="BQ96" t="str">
        <f t="shared" si="20"/>
        <v>48</v>
      </c>
      <c r="BR96" s="134" t="s">
        <v>1010</v>
      </c>
      <c r="BS96">
        <v>9.1999999999999998E-2</v>
      </c>
      <c r="BT96" s="248" t="s">
        <v>1530</v>
      </c>
      <c r="BU96" s="34" t="s">
        <v>759</v>
      </c>
      <c r="BV96" t="s">
        <v>1316</v>
      </c>
      <c r="BW96">
        <v>0</v>
      </c>
    </row>
    <row r="97" spans="1:75" x14ac:dyDescent="0.25">
      <c r="A97">
        <v>3052</v>
      </c>
      <c r="B97" t="s">
        <v>1324</v>
      </c>
      <c r="C97">
        <v>1.2190000000000001</v>
      </c>
      <c r="D97" t="s">
        <v>1264</v>
      </c>
      <c r="E97">
        <v>100119</v>
      </c>
      <c r="F97">
        <v>3052</v>
      </c>
      <c r="G97" t="str">
        <f t="shared" si="11"/>
        <v>03052</v>
      </c>
      <c r="H97" t="s">
        <v>313</v>
      </c>
      <c r="I97" t="s">
        <v>1265</v>
      </c>
      <c r="J97" t="s">
        <v>1271</v>
      </c>
      <c r="K97" t="s">
        <v>1272</v>
      </c>
      <c r="L97" t="s">
        <v>1324</v>
      </c>
      <c r="M97" t="s">
        <v>1325</v>
      </c>
      <c r="N97">
        <v>21</v>
      </c>
      <c r="O97" t="str">
        <f t="shared" si="14"/>
        <v>26</v>
      </c>
      <c r="Q97">
        <v>26</v>
      </c>
      <c r="R97" t="s">
        <v>1269</v>
      </c>
      <c r="S97">
        <v>1.2190000000000001</v>
      </c>
      <c r="T97">
        <v>0.21010000000000001</v>
      </c>
      <c r="U97">
        <f t="shared" si="15"/>
        <v>0.25600000000000001</v>
      </c>
      <c r="V97" t="str">
        <f t="shared" si="12"/>
        <v>High Health/
Related Services</v>
      </c>
      <c r="W97" t="str">
        <f t="shared" si="13"/>
        <v>Health/
Related Services</v>
      </c>
      <c r="Y97" s="88" t="s">
        <v>1456</v>
      </c>
      <c r="Z97" s="90"/>
      <c r="AA97" s="90">
        <v>0</v>
      </c>
      <c r="AB97" s="90"/>
      <c r="AC97" s="90"/>
      <c r="AD97" s="90"/>
      <c r="AE97" s="90"/>
      <c r="AF97" s="90">
        <v>0</v>
      </c>
      <c r="AG97" s="90"/>
      <c r="AI97" s="88" t="s">
        <v>1456</v>
      </c>
      <c r="AJ97" s="90">
        <v>0</v>
      </c>
      <c r="AK97" s="90">
        <f t="shared" si="16"/>
        <v>0</v>
      </c>
      <c r="AL97" s="90">
        <f t="shared" si="17"/>
        <v>0</v>
      </c>
      <c r="AM97" s="90">
        <f t="shared" si="18"/>
        <v>0</v>
      </c>
      <c r="AN97" s="90">
        <f t="shared" si="19"/>
        <v>0</v>
      </c>
      <c r="AO97" s="261" t="e">
        <f>SUM(AO95:AO96)</f>
        <v>#REF!</v>
      </c>
      <c r="BA97" s="88" t="s">
        <v>1494</v>
      </c>
      <c r="BB97" s="90">
        <v>0</v>
      </c>
      <c r="BQ97" t="str">
        <f t="shared" si="20"/>
        <v>49</v>
      </c>
      <c r="BR97" s="134" t="s">
        <v>1011</v>
      </c>
      <c r="BS97">
        <v>9.2999999999999999E-2</v>
      </c>
      <c r="BT97" s="248" t="s">
        <v>1528</v>
      </c>
      <c r="BU97" s="34" t="s">
        <v>759</v>
      </c>
      <c r="BV97" t="s">
        <v>1374</v>
      </c>
      <c r="BW97">
        <v>0</v>
      </c>
    </row>
    <row r="98" spans="1:75" x14ac:dyDescent="0.25">
      <c r="A98">
        <v>3052</v>
      </c>
      <c r="B98" t="s">
        <v>1295</v>
      </c>
      <c r="C98">
        <v>0.54800000000000004</v>
      </c>
      <c r="D98" t="s">
        <v>1264</v>
      </c>
      <c r="E98">
        <v>100119</v>
      </c>
      <c r="F98">
        <v>3052</v>
      </c>
      <c r="G98" t="str">
        <f t="shared" si="11"/>
        <v>03052</v>
      </c>
      <c r="H98" t="s">
        <v>313</v>
      </c>
      <c r="I98" t="s">
        <v>1265</v>
      </c>
      <c r="J98" t="s">
        <v>1271</v>
      </c>
      <c r="K98" t="s">
        <v>1272</v>
      </c>
      <c r="L98" t="s">
        <v>1295</v>
      </c>
      <c r="M98" t="s">
        <v>1296</v>
      </c>
      <c r="N98">
        <v>1</v>
      </c>
      <c r="O98" t="str">
        <f t="shared" si="14"/>
        <v>26</v>
      </c>
      <c r="Q98">
        <v>26</v>
      </c>
      <c r="R98" t="s">
        <v>1269</v>
      </c>
      <c r="S98">
        <v>0.54800000000000004</v>
      </c>
      <c r="T98">
        <v>0.21010000000000001</v>
      </c>
      <c r="U98">
        <f t="shared" si="15"/>
        <v>0</v>
      </c>
      <c r="V98" t="str">
        <f t="shared" si="12"/>
        <v>High Health/
Related Services</v>
      </c>
      <c r="W98" t="str">
        <f t="shared" si="13"/>
        <v>Health/
Related Services</v>
      </c>
      <c r="Y98" s="88" t="s">
        <v>1333</v>
      </c>
      <c r="Z98" s="90"/>
      <c r="AA98" s="90"/>
      <c r="AB98" s="90">
        <v>33.663000000000004</v>
      </c>
      <c r="AC98" s="90"/>
      <c r="AD98" s="90"/>
      <c r="AE98" s="90">
        <v>0</v>
      </c>
      <c r="AF98" s="90">
        <v>33.663000000000004</v>
      </c>
      <c r="AG98" s="90"/>
      <c r="AI98" s="88" t="s">
        <v>1333</v>
      </c>
      <c r="AJ98" s="90">
        <v>0</v>
      </c>
      <c r="AK98" s="90">
        <f t="shared" si="16"/>
        <v>33.663000000000004</v>
      </c>
      <c r="AL98" s="90">
        <f t="shared" si="17"/>
        <v>0</v>
      </c>
      <c r="AM98" s="90">
        <f t="shared" si="18"/>
        <v>0</v>
      </c>
      <c r="AN98" s="90">
        <f t="shared" si="19"/>
        <v>33.663000000000004</v>
      </c>
      <c r="BA98" s="88" t="s">
        <v>1495</v>
      </c>
      <c r="BB98" s="90">
        <v>0</v>
      </c>
      <c r="BQ98" t="str">
        <f t="shared" si="20"/>
        <v>64</v>
      </c>
      <c r="BR98" s="134" t="s">
        <v>1012</v>
      </c>
      <c r="BS98">
        <v>9.4E-2</v>
      </c>
      <c r="BT98" s="248" t="s">
        <v>1531</v>
      </c>
      <c r="BU98" s="34" t="s">
        <v>759</v>
      </c>
      <c r="BV98" t="s">
        <v>1313</v>
      </c>
      <c r="BW98">
        <v>0</v>
      </c>
    </row>
    <row r="99" spans="1:75" x14ac:dyDescent="0.25">
      <c r="A99">
        <v>3052</v>
      </c>
      <c r="B99" t="s">
        <v>1275</v>
      </c>
      <c r="C99">
        <v>1</v>
      </c>
      <c r="D99" t="s">
        <v>1264</v>
      </c>
      <c r="E99">
        <v>100119</v>
      </c>
      <c r="F99">
        <v>3052</v>
      </c>
      <c r="G99" t="str">
        <f t="shared" si="11"/>
        <v>03052</v>
      </c>
      <c r="H99" t="s">
        <v>313</v>
      </c>
      <c r="I99" t="s">
        <v>1265</v>
      </c>
      <c r="J99" t="s">
        <v>1276</v>
      </c>
      <c r="K99" t="s">
        <v>1277</v>
      </c>
      <c r="L99" t="s">
        <v>1275</v>
      </c>
      <c r="M99" t="s">
        <v>1278</v>
      </c>
      <c r="N99">
        <v>1</v>
      </c>
      <c r="O99" t="str">
        <f t="shared" si="14"/>
        <v>42</v>
      </c>
      <c r="P99">
        <v>42</v>
      </c>
      <c r="R99" t="s">
        <v>1269</v>
      </c>
      <c r="S99">
        <v>1</v>
      </c>
      <c r="T99">
        <v>0.21010000000000001</v>
      </c>
      <c r="U99">
        <f t="shared" si="15"/>
        <v>0</v>
      </c>
      <c r="V99" t="str">
        <f t="shared" si="12"/>
        <v>Elementary Counselor</v>
      </c>
      <c r="W99" t="str">
        <f t="shared" si="13"/>
        <v>Counselor</v>
      </c>
      <c r="Y99" s="88" t="s">
        <v>1309</v>
      </c>
      <c r="Z99" s="90">
        <v>247.57800000000003</v>
      </c>
      <c r="AA99" s="90"/>
      <c r="AB99" s="90"/>
      <c r="AC99" s="90"/>
      <c r="AD99" s="90"/>
      <c r="AE99" s="90"/>
      <c r="AF99" s="90">
        <v>247.57800000000003</v>
      </c>
      <c r="AG99" s="90"/>
      <c r="AI99" s="88" t="s">
        <v>1309</v>
      </c>
      <c r="AJ99" s="90">
        <v>63.205999999999975</v>
      </c>
      <c r="AK99" s="90">
        <f t="shared" si="16"/>
        <v>0</v>
      </c>
      <c r="AL99" s="90">
        <f t="shared" si="17"/>
        <v>0</v>
      </c>
      <c r="AM99" s="90">
        <f t="shared" si="18"/>
        <v>0</v>
      </c>
      <c r="AN99" s="90">
        <f t="shared" si="19"/>
        <v>63.205999999999975</v>
      </c>
      <c r="BA99" s="88" t="s">
        <v>1496</v>
      </c>
      <c r="BB99" s="90">
        <v>0</v>
      </c>
      <c r="BQ99" t="str">
        <f t="shared" si="20"/>
        <v>24</v>
      </c>
      <c r="BR99" s="134" t="s">
        <v>1013</v>
      </c>
      <c r="BS99">
        <v>9.5000000000000001E-2</v>
      </c>
      <c r="BT99" s="248" t="s">
        <v>1544</v>
      </c>
      <c r="BU99" s="34" t="s">
        <v>759</v>
      </c>
      <c r="BV99" t="s">
        <v>1355</v>
      </c>
      <c r="BW99">
        <v>0</v>
      </c>
    </row>
    <row r="100" spans="1:75" x14ac:dyDescent="0.25">
      <c r="A100">
        <v>3052</v>
      </c>
      <c r="B100" t="s">
        <v>1270</v>
      </c>
      <c r="C100">
        <v>1.5069999999999999</v>
      </c>
      <c r="D100" t="s">
        <v>1264</v>
      </c>
      <c r="E100">
        <v>100119</v>
      </c>
      <c r="F100">
        <v>3052</v>
      </c>
      <c r="G100" t="str">
        <f t="shared" si="11"/>
        <v>03052</v>
      </c>
      <c r="H100" t="s">
        <v>313</v>
      </c>
      <c r="I100" t="s">
        <v>1265</v>
      </c>
      <c r="J100" t="s">
        <v>1271</v>
      </c>
      <c r="K100" t="s">
        <v>1272</v>
      </c>
      <c r="L100" t="s">
        <v>1270</v>
      </c>
      <c r="M100" t="s">
        <v>1273</v>
      </c>
      <c r="N100">
        <v>1</v>
      </c>
      <c r="O100" t="str">
        <f t="shared" si="14"/>
        <v>42</v>
      </c>
      <c r="P100">
        <v>42</v>
      </c>
      <c r="R100" t="s">
        <v>1269</v>
      </c>
      <c r="S100">
        <v>1.5069999999999999</v>
      </c>
      <c r="T100">
        <v>0.21010000000000001</v>
      </c>
      <c r="U100">
        <f t="shared" si="15"/>
        <v>0</v>
      </c>
      <c r="V100" t="str">
        <f t="shared" si="12"/>
        <v>High Counselor</v>
      </c>
      <c r="W100" t="str">
        <f t="shared" si="13"/>
        <v>Counselor</v>
      </c>
      <c r="Y100" s="88" t="s">
        <v>1496</v>
      </c>
      <c r="Z100" s="90"/>
      <c r="AA100" s="90">
        <v>0</v>
      </c>
      <c r="AB100" s="90"/>
      <c r="AC100" s="90"/>
      <c r="AD100" s="90"/>
      <c r="AE100" s="90"/>
      <c r="AF100" s="90">
        <v>0</v>
      </c>
      <c r="AG100" s="90"/>
      <c r="AI100" s="88" t="s">
        <v>1496</v>
      </c>
      <c r="AJ100" s="90">
        <v>0</v>
      </c>
      <c r="AK100" s="90">
        <f t="shared" si="16"/>
        <v>0</v>
      </c>
      <c r="AL100" s="90">
        <f t="shared" si="17"/>
        <v>0</v>
      </c>
      <c r="AM100" s="90">
        <f t="shared" si="18"/>
        <v>0</v>
      </c>
      <c r="AN100" s="90">
        <f t="shared" si="19"/>
        <v>0</v>
      </c>
      <c r="BA100" s="88" t="s">
        <v>1497</v>
      </c>
      <c r="BB100" s="90">
        <v>0</v>
      </c>
      <c r="BQ100" t="str">
        <f t="shared" si="20"/>
        <v>25</v>
      </c>
      <c r="BR100" s="134" t="s">
        <v>1014</v>
      </c>
      <c r="BS100">
        <v>9.6000000000000002E-2</v>
      </c>
      <c r="BT100" s="249" t="s">
        <v>1553</v>
      </c>
      <c r="BU100" s="34" t="s">
        <v>759</v>
      </c>
      <c r="BV100" t="s">
        <v>1361</v>
      </c>
      <c r="BW100">
        <v>0</v>
      </c>
    </row>
    <row r="101" spans="1:75" x14ac:dyDescent="0.25">
      <c r="A101">
        <v>3052</v>
      </c>
      <c r="B101" t="s">
        <v>1289</v>
      </c>
      <c r="C101">
        <v>0.4</v>
      </c>
      <c r="D101" t="s">
        <v>1264</v>
      </c>
      <c r="E101">
        <v>100119</v>
      </c>
      <c r="F101">
        <v>3052</v>
      </c>
      <c r="G101" t="str">
        <f t="shared" si="11"/>
        <v>03052</v>
      </c>
      <c r="H101" t="s">
        <v>313</v>
      </c>
      <c r="I101" t="s">
        <v>1265</v>
      </c>
      <c r="J101" t="s">
        <v>1276</v>
      </c>
      <c r="K101" t="s">
        <v>1277</v>
      </c>
      <c r="L101" t="s">
        <v>1289</v>
      </c>
      <c r="M101" t="s">
        <v>1307</v>
      </c>
      <c r="N101">
        <v>21</v>
      </c>
      <c r="O101" t="str">
        <f t="shared" si="14"/>
        <v>43</v>
      </c>
      <c r="P101">
        <v>43</v>
      </c>
      <c r="R101" t="s">
        <v>1269</v>
      </c>
      <c r="S101">
        <v>0.4</v>
      </c>
      <c r="T101">
        <v>0.21010000000000001</v>
      </c>
      <c r="U101">
        <f t="shared" si="15"/>
        <v>8.4000000000000005E-2</v>
      </c>
      <c r="V101" t="str">
        <f t="shared" si="12"/>
        <v>Elementary Occupational Therapist</v>
      </c>
      <c r="W101" t="str">
        <f t="shared" si="13"/>
        <v>Occupational Therapist</v>
      </c>
      <c r="Y101" s="88" t="s">
        <v>1396</v>
      </c>
      <c r="Z101" s="90"/>
      <c r="AA101" s="90"/>
      <c r="AB101" s="90">
        <v>13.183999999999999</v>
      </c>
      <c r="AC101" s="90"/>
      <c r="AD101" s="90"/>
      <c r="AE101" s="90">
        <v>0</v>
      </c>
      <c r="AF101" s="90">
        <v>13.183999999999999</v>
      </c>
      <c r="AG101" s="90"/>
      <c r="AI101" s="88" t="s">
        <v>1396</v>
      </c>
      <c r="AJ101" s="90">
        <v>0</v>
      </c>
      <c r="AK101" s="90">
        <f t="shared" si="16"/>
        <v>13.183999999999999</v>
      </c>
      <c r="AL101" s="90">
        <f t="shared" si="17"/>
        <v>0</v>
      </c>
      <c r="AM101" s="90">
        <f t="shared" si="18"/>
        <v>0</v>
      </c>
      <c r="AN101" s="90">
        <f t="shared" si="19"/>
        <v>13.183999999999999</v>
      </c>
      <c r="BA101" s="88" t="s">
        <v>1498</v>
      </c>
      <c r="BB101" s="90">
        <v>0</v>
      </c>
      <c r="BQ101" t="str">
        <f t="shared" si="20"/>
        <v>26</v>
      </c>
      <c r="BR101" s="134" t="s">
        <v>1015</v>
      </c>
      <c r="BS101">
        <v>9.7000000000000003E-2</v>
      </c>
      <c r="BT101" s="248" t="s">
        <v>1532</v>
      </c>
      <c r="BU101" s="34" t="s">
        <v>759</v>
      </c>
      <c r="BV101" t="s">
        <v>1322</v>
      </c>
      <c r="BW101">
        <v>0</v>
      </c>
    </row>
    <row r="102" spans="1:75" x14ac:dyDescent="0.25">
      <c r="A102">
        <v>3052</v>
      </c>
      <c r="B102" t="s">
        <v>1298</v>
      </c>
      <c r="C102">
        <v>0.47499999999999998</v>
      </c>
      <c r="D102" t="s">
        <v>1264</v>
      </c>
      <c r="E102">
        <v>100119</v>
      </c>
      <c r="F102">
        <v>3052</v>
      </c>
      <c r="G102" t="str">
        <f t="shared" si="11"/>
        <v>03052</v>
      </c>
      <c r="H102" t="s">
        <v>313</v>
      </c>
      <c r="I102" t="s">
        <v>1265</v>
      </c>
      <c r="J102" t="s">
        <v>1276</v>
      </c>
      <c r="K102" t="s">
        <v>1277</v>
      </c>
      <c r="L102" t="s">
        <v>1298</v>
      </c>
      <c r="M102" t="s">
        <v>1349</v>
      </c>
      <c r="N102">
        <v>21</v>
      </c>
      <c r="O102" t="str">
        <f t="shared" si="14"/>
        <v>46</v>
      </c>
      <c r="P102">
        <v>46</v>
      </c>
      <c r="R102" t="s">
        <v>1269</v>
      </c>
      <c r="S102">
        <v>0.47499999999999998</v>
      </c>
      <c r="T102">
        <v>0.21010000000000001</v>
      </c>
      <c r="U102">
        <f t="shared" si="15"/>
        <v>0.1</v>
      </c>
      <c r="V102" t="str">
        <f t="shared" si="12"/>
        <v>Elementary Psychologist</v>
      </c>
      <c r="W102" t="str">
        <f t="shared" si="13"/>
        <v>Psychologist</v>
      </c>
      <c r="Y102" s="88" t="s">
        <v>1345</v>
      </c>
      <c r="Z102" s="90">
        <v>135.51400000000004</v>
      </c>
      <c r="AA102" s="90"/>
      <c r="AB102" s="90"/>
      <c r="AC102" s="90"/>
      <c r="AD102" s="90"/>
      <c r="AE102" s="90"/>
      <c r="AF102" s="90">
        <v>135.51400000000004</v>
      </c>
      <c r="AG102" s="90"/>
      <c r="AI102" s="88" t="s">
        <v>1345</v>
      </c>
      <c r="AJ102" s="90">
        <v>34.495000000000012</v>
      </c>
      <c r="AK102" s="90">
        <f t="shared" si="16"/>
        <v>0</v>
      </c>
      <c r="AL102" s="90">
        <f t="shared" si="17"/>
        <v>0</v>
      </c>
      <c r="AM102" s="90">
        <f t="shared" si="18"/>
        <v>0</v>
      </c>
      <c r="AN102" s="90">
        <f t="shared" si="19"/>
        <v>34.495000000000012</v>
      </c>
      <c r="BA102" s="88" t="s">
        <v>1499</v>
      </c>
      <c r="BB102" s="90">
        <v>0</v>
      </c>
      <c r="BQ102" t="str">
        <f t="shared" si="20"/>
        <v>35</v>
      </c>
      <c r="BR102" s="220" t="s">
        <v>1170</v>
      </c>
      <c r="BS102">
        <v>9.8000000000000004E-2</v>
      </c>
      <c r="BT102" s="249" t="s">
        <v>1533</v>
      </c>
      <c r="BU102" s="34" t="s">
        <v>759</v>
      </c>
      <c r="BV102" t="s">
        <v>1489</v>
      </c>
      <c r="BW102">
        <v>0</v>
      </c>
    </row>
    <row r="103" spans="1:75" x14ac:dyDescent="0.25">
      <c r="A103">
        <v>3052</v>
      </c>
      <c r="B103" t="s">
        <v>1309</v>
      </c>
      <c r="C103">
        <v>0.20200000000000001</v>
      </c>
      <c r="D103" t="s">
        <v>1264</v>
      </c>
      <c r="E103">
        <v>100119</v>
      </c>
      <c r="F103">
        <v>3052</v>
      </c>
      <c r="G103" t="str">
        <f t="shared" si="11"/>
        <v>03052</v>
      </c>
      <c r="H103" t="s">
        <v>313</v>
      </c>
      <c r="I103" t="s">
        <v>1265</v>
      </c>
      <c r="J103" t="s">
        <v>1271</v>
      </c>
      <c r="K103" t="s">
        <v>1272</v>
      </c>
      <c r="L103" t="s">
        <v>1309</v>
      </c>
      <c r="M103" t="s">
        <v>1310</v>
      </c>
      <c r="N103">
        <v>21</v>
      </c>
      <c r="O103" t="str">
        <f t="shared" si="14"/>
        <v>46</v>
      </c>
      <c r="P103">
        <v>46</v>
      </c>
      <c r="R103" t="s">
        <v>1269</v>
      </c>
      <c r="S103">
        <v>0.20200000000000001</v>
      </c>
      <c r="T103">
        <v>0.21010000000000001</v>
      </c>
      <c r="U103">
        <f t="shared" si="15"/>
        <v>4.2000000000000003E-2</v>
      </c>
      <c r="V103" t="str">
        <f t="shared" si="12"/>
        <v>High Psychologist</v>
      </c>
      <c r="W103" t="str">
        <f t="shared" si="13"/>
        <v>Psychologist</v>
      </c>
      <c r="Y103" s="88" t="s">
        <v>1483</v>
      </c>
      <c r="Z103" s="90"/>
      <c r="AA103" s="90">
        <v>0</v>
      </c>
      <c r="AB103" s="90"/>
      <c r="AC103" s="90"/>
      <c r="AD103" s="90"/>
      <c r="AE103" s="90"/>
      <c r="AF103" s="90">
        <v>0</v>
      </c>
      <c r="AG103" s="90"/>
      <c r="AI103" s="88" t="s">
        <v>1483</v>
      </c>
      <c r="AJ103" s="90">
        <v>0</v>
      </c>
      <c r="AK103" s="90">
        <f t="shared" si="16"/>
        <v>0</v>
      </c>
      <c r="AL103" s="90">
        <f t="shared" si="17"/>
        <v>0</v>
      </c>
      <c r="AM103" s="90">
        <f t="shared" si="18"/>
        <v>0</v>
      </c>
      <c r="AN103" s="90">
        <f t="shared" si="19"/>
        <v>0</v>
      </c>
      <c r="BA103" s="88" t="s">
        <v>1500</v>
      </c>
      <c r="BB103" s="90">
        <v>0</v>
      </c>
      <c r="BQ103" t="str">
        <f t="shared" si="20"/>
        <v>39</v>
      </c>
      <c r="BR103" s="132" t="s">
        <v>938</v>
      </c>
      <c r="BS103">
        <v>9.9000000000000005E-2</v>
      </c>
      <c r="BT103" s="244" t="s">
        <v>1534</v>
      </c>
      <c r="BU103" s="34" t="s">
        <v>759</v>
      </c>
      <c r="BV103" t="s">
        <v>1490</v>
      </c>
      <c r="BW103">
        <v>0</v>
      </c>
    </row>
    <row r="104" spans="1:75" x14ac:dyDescent="0.25">
      <c r="A104">
        <v>3052</v>
      </c>
      <c r="B104" t="s">
        <v>1345</v>
      </c>
      <c r="C104">
        <v>0.32300000000000001</v>
      </c>
      <c r="D104" t="s">
        <v>1264</v>
      </c>
      <c r="E104">
        <v>100119</v>
      </c>
      <c r="F104">
        <v>3052</v>
      </c>
      <c r="G104" t="str">
        <f t="shared" si="11"/>
        <v>03052</v>
      </c>
      <c r="H104" t="s">
        <v>313</v>
      </c>
      <c r="I104" t="s">
        <v>1265</v>
      </c>
      <c r="J104" t="s">
        <v>1266</v>
      </c>
      <c r="K104" t="s">
        <v>1267</v>
      </c>
      <c r="L104" t="s">
        <v>1345</v>
      </c>
      <c r="M104" t="s">
        <v>1346</v>
      </c>
      <c r="N104">
        <v>21</v>
      </c>
      <c r="O104" t="str">
        <f t="shared" si="14"/>
        <v>46</v>
      </c>
      <c r="P104">
        <v>46</v>
      </c>
      <c r="R104" t="s">
        <v>1269</v>
      </c>
      <c r="S104">
        <v>0.32300000000000001</v>
      </c>
      <c r="T104">
        <v>0.21010000000000001</v>
      </c>
      <c r="U104">
        <f t="shared" si="15"/>
        <v>6.8000000000000005E-2</v>
      </c>
      <c r="V104" t="str">
        <f t="shared" si="12"/>
        <v>Middle Psychologist</v>
      </c>
      <c r="W104" t="str">
        <f t="shared" si="13"/>
        <v>Psychologist</v>
      </c>
      <c r="Y104" s="88" t="s">
        <v>1371</v>
      </c>
      <c r="Z104" s="90"/>
      <c r="AA104" s="90"/>
      <c r="AB104" s="90">
        <v>10.061</v>
      </c>
      <c r="AC104" s="90"/>
      <c r="AD104" s="90"/>
      <c r="AE104" s="90">
        <v>0</v>
      </c>
      <c r="AF104" s="90">
        <v>10.061</v>
      </c>
      <c r="AG104" s="90"/>
      <c r="AI104" s="88" t="s">
        <v>1371</v>
      </c>
      <c r="AJ104" s="90">
        <v>0</v>
      </c>
      <c r="AK104" s="90">
        <f t="shared" si="16"/>
        <v>10.061</v>
      </c>
      <c r="AL104" s="90">
        <f t="shared" si="17"/>
        <v>0</v>
      </c>
      <c r="AM104" s="90">
        <f t="shared" si="18"/>
        <v>0</v>
      </c>
      <c r="AN104" s="90">
        <f t="shared" si="19"/>
        <v>10.061</v>
      </c>
      <c r="BA104" s="88" t="s">
        <v>753</v>
      </c>
      <c r="BB104" s="90">
        <v>6812.7609999999977</v>
      </c>
      <c r="BQ104" t="str">
        <f t="shared" si="20"/>
        <v>42</v>
      </c>
      <c r="BR104" s="132" t="s">
        <v>939</v>
      </c>
      <c r="BS104">
        <v>0.1</v>
      </c>
      <c r="BT104" s="244" t="s">
        <v>1535</v>
      </c>
      <c r="BU104" s="34" t="s">
        <v>759</v>
      </c>
      <c r="BV104" t="s">
        <v>1270</v>
      </c>
      <c r="BW104">
        <v>0</v>
      </c>
    </row>
    <row r="105" spans="1:75" x14ac:dyDescent="0.25">
      <c r="A105">
        <v>3053</v>
      </c>
      <c r="B105" t="s">
        <v>1308</v>
      </c>
      <c r="C105">
        <v>0.94099999999999995</v>
      </c>
      <c r="D105" t="s">
        <v>1264</v>
      </c>
      <c r="E105">
        <v>100089</v>
      </c>
      <c r="F105">
        <v>3053</v>
      </c>
      <c r="G105" t="str">
        <f t="shared" si="11"/>
        <v>03053</v>
      </c>
      <c r="H105" t="s">
        <v>314</v>
      </c>
      <c r="I105" t="s">
        <v>1265</v>
      </c>
      <c r="J105" t="s">
        <v>1276</v>
      </c>
      <c r="K105" t="s">
        <v>1277</v>
      </c>
      <c r="L105" t="s">
        <v>1308</v>
      </c>
      <c r="M105" t="s">
        <v>1389</v>
      </c>
      <c r="N105">
        <v>1</v>
      </c>
      <c r="O105" t="str">
        <f t="shared" si="14"/>
        <v>25</v>
      </c>
      <c r="Q105">
        <v>25</v>
      </c>
      <c r="R105" t="s">
        <v>1269</v>
      </c>
      <c r="S105">
        <v>0.94099999999999995</v>
      </c>
      <c r="T105">
        <v>0.27039999999999997</v>
      </c>
      <c r="U105">
        <f t="shared" si="15"/>
        <v>0</v>
      </c>
      <c r="V105" t="str">
        <f t="shared" si="12"/>
        <v>Elementary Pupil Management</v>
      </c>
      <c r="W105" t="str">
        <f t="shared" si="13"/>
        <v>Pupil Management</v>
      </c>
      <c r="Y105" s="88" t="s">
        <v>1469</v>
      </c>
      <c r="Z105" s="90"/>
      <c r="AA105" s="90"/>
      <c r="AB105" s="90"/>
      <c r="AC105" s="90">
        <v>0.32100000000000001</v>
      </c>
      <c r="AD105" s="90">
        <v>0</v>
      </c>
      <c r="AE105" s="90"/>
      <c r="AF105" s="90">
        <v>0.32100000000000001</v>
      </c>
      <c r="AG105" s="90"/>
      <c r="AI105" s="88" t="s">
        <v>1469</v>
      </c>
      <c r="AJ105" s="90">
        <v>0</v>
      </c>
      <c r="AK105" s="90">
        <f t="shared" si="16"/>
        <v>0</v>
      </c>
      <c r="AL105" s="90">
        <f t="shared" si="17"/>
        <v>0.32100000000000001</v>
      </c>
      <c r="AM105" s="90">
        <f t="shared" si="18"/>
        <v>0</v>
      </c>
      <c r="AN105" s="90">
        <f t="shared" si="19"/>
        <v>0.32100000000000001</v>
      </c>
      <c r="AO105" s="90">
        <f>SUM(AN105:AN114)</f>
        <v>647.03399999999999</v>
      </c>
      <c r="BB105" s="90">
        <v>6587.6760000000004</v>
      </c>
      <c r="BQ105" t="str">
        <f t="shared" si="20"/>
        <v>43</v>
      </c>
      <c r="BR105" s="132" t="s">
        <v>940</v>
      </c>
      <c r="BS105">
        <v>0.10100000000000001</v>
      </c>
      <c r="BT105" s="244" t="s">
        <v>1555</v>
      </c>
      <c r="BU105" s="34" t="s">
        <v>759</v>
      </c>
      <c r="BV105" t="s">
        <v>1388</v>
      </c>
      <c r="BW105">
        <v>0</v>
      </c>
    </row>
    <row r="106" spans="1:75" x14ac:dyDescent="0.25">
      <c r="A106">
        <v>3053</v>
      </c>
      <c r="B106" t="s">
        <v>1299</v>
      </c>
      <c r="C106">
        <v>0.36799999999999999</v>
      </c>
      <c r="D106" t="s">
        <v>1264</v>
      </c>
      <c r="E106">
        <v>100089</v>
      </c>
      <c r="F106">
        <v>3053</v>
      </c>
      <c r="G106" t="str">
        <f t="shared" si="11"/>
        <v>03053</v>
      </c>
      <c r="H106" t="s">
        <v>314</v>
      </c>
      <c r="I106" t="s">
        <v>1265</v>
      </c>
      <c r="J106" t="s">
        <v>1271</v>
      </c>
      <c r="K106" t="s">
        <v>1272</v>
      </c>
      <c r="L106" t="s">
        <v>1299</v>
      </c>
      <c r="M106" t="s">
        <v>1300</v>
      </c>
      <c r="N106">
        <v>1</v>
      </c>
      <c r="O106" t="str">
        <f t="shared" si="14"/>
        <v>25</v>
      </c>
      <c r="Q106">
        <v>25</v>
      </c>
      <c r="R106" t="s">
        <v>1269</v>
      </c>
      <c r="S106">
        <v>0.36799999999999999</v>
      </c>
      <c r="T106">
        <v>0.27039999999999997</v>
      </c>
      <c r="U106">
        <f t="shared" si="15"/>
        <v>0</v>
      </c>
      <c r="V106" t="str">
        <f t="shared" si="12"/>
        <v>High Pupil Management</v>
      </c>
      <c r="W106" t="str">
        <f t="shared" si="13"/>
        <v>Pupil Management</v>
      </c>
      <c r="Y106" s="88" t="s">
        <v>1334</v>
      </c>
      <c r="Z106" s="90">
        <v>12.874000000000001</v>
      </c>
      <c r="AA106" s="90"/>
      <c r="AB106" s="90"/>
      <c r="AC106" s="90"/>
      <c r="AD106" s="90"/>
      <c r="AE106" s="90"/>
      <c r="AF106" s="90">
        <v>12.874000000000001</v>
      </c>
      <c r="AG106" s="90"/>
      <c r="AI106" s="88" t="s">
        <v>1334</v>
      </c>
      <c r="AJ106" s="90">
        <v>3.0510000000000002</v>
      </c>
      <c r="AK106" s="90">
        <f t="shared" si="16"/>
        <v>0</v>
      </c>
      <c r="AL106" s="90">
        <f t="shared" si="17"/>
        <v>0</v>
      </c>
      <c r="AM106" s="90">
        <f t="shared" si="18"/>
        <v>0</v>
      </c>
      <c r="AN106" s="90">
        <f t="shared" si="19"/>
        <v>3.0510000000000002</v>
      </c>
      <c r="AO106" t="e">
        <f>#REF!</f>
        <v>#REF!</v>
      </c>
      <c r="BB106" s="90">
        <f>BB105-BB104</f>
        <v>-225.08499999999731</v>
      </c>
      <c r="BQ106" t="str">
        <f t="shared" si="20"/>
        <v>44</v>
      </c>
      <c r="BR106" s="132" t="s">
        <v>941</v>
      </c>
      <c r="BS106">
        <v>0.10199999999999999</v>
      </c>
      <c r="BT106" s="244" t="s">
        <v>1536</v>
      </c>
      <c r="BU106" s="34" t="s">
        <v>759</v>
      </c>
      <c r="BV106" t="s">
        <v>1359</v>
      </c>
      <c r="BW106">
        <v>0</v>
      </c>
    </row>
    <row r="107" spans="1:75" x14ac:dyDescent="0.25">
      <c r="A107">
        <v>3053</v>
      </c>
      <c r="B107" t="s">
        <v>1363</v>
      </c>
      <c r="C107">
        <v>0.27500000000000002</v>
      </c>
      <c r="D107" t="s">
        <v>1264</v>
      </c>
      <c r="E107">
        <v>100089</v>
      </c>
      <c r="F107">
        <v>3053</v>
      </c>
      <c r="G107" t="str">
        <f t="shared" si="11"/>
        <v>03053</v>
      </c>
      <c r="H107" t="s">
        <v>314</v>
      </c>
      <c r="I107" t="s">
        <v>1265</v>
      </c>
      <c r="J107" t="s">
        <v>1266</v>
      </c>
      <c r="K107" t="s">
        <v>1267</v>
      </c>
      <c r="L107" t="s">
        <v>1363</v>
      </c>
      <c r="M107" t="s">
        <v>1386</v>
      </c>
      <c r="N107">
        <v>1</v>
      </c>
      <c r="O107" t="str">
        <f t="shared" si="14"/>
        <v>25</v>
      </c>
      <c r="Q107">
        <v>25</v>
      </c>
      <c r="R107" t="s">
        <v>1269</v>
      </c>
      <c r="S107">
        <v>0.27500000000000002</v>
      </c>
      <c r="T107">
        <v>0.27039999999999997</v>
      </c>
      <c r="U107">
        <f t="shared" si="15"/>
        <v>0</v>
      </c>
      <c r="V107" t="str">
        <f t="shared" si="12"/>
        <v>Middle Pupil Management</v>
      </c>
      <c r="W107" t="str">
        <f t="shared" si="13"/>
        <v>Pupil Management</v>
      </c>
      <c r="Y107" s="88" t="s">
        <v>1457</v>
      </c>
      <c r="Z107" s="90"/>
      <c r="AA107" s="90">
        <v>0</v>
      </c>
      <c r="AB107" s="90"/>
      <c r="AC107" s="90"/>
      <c r="AD107" s="90"/>
      <c r="AE107" s="90"/>
      <c r="AF107" s="90">
        <v>0</v>
      </c>
      <c r="AG107" s="90"/>
      <c r="AI107" s="88" t="s">
        <v>1457</v>
      </c>
      <c r="AJ107" s="90">
        <v>0</v>
      </c>
      <c r="AK107" s="90">
        <f t="shared" si="16"/>
        <v>0</v>
      </c>
      <c r="AL107" s="90">
        <f t="shared" si="17"/>
        <v>0</v>
      </c>
      <c r="AM107" s="90">
        <f t="shared" si="18"/>
        <v>0</v>
      </c>
      <c r="AN107" s="90">
        <f t="shared" si="19"/>
        <v>0</v>
      </c>
      <c r="AO107" s="261" t="e">
        <f>SUM(AO105:AO106)</f>
        <v>#REF!</v>
      </c>
      <c r="BQ107" t="str">
        <f t="shared" si="20"/>
        <v>45</v>
      </c>
      <c r="BR107" s="132" t="s">
        <v>942</v>
      </c>
      <c r="BS107">
        <v>0.10299999999999999</v>
      </c>
      <c r="BT107" s="244" t="s">
        <v>1537</v>
      </c>
      <c r="BU107" s="34" t="s">
        <v>759</v>
      </c>
      <c r="BV107" t="s">
        <v>1394</v>
      </c>
      <c r="BW107">
        <v>0</v>
      </c>
    </row>
    <row r="108" spans="1:75" x14ac:dyDescent="0.25">
      <c r="A108">
        <v>3053</v>
      </c>
      <c r="B108" t="s">
        <v>1315</v>
      </c>
      <c r="C108">
        <v>0.41299999999999998</v>
      </c>
      <c r="D108" t="s">
        <v>1264</v>
      </c>
      <c r="E108">
        <v>100089</v>
      </c>
      <c r="F108">
        <v>3053</v>
      </c>
      <c r="G108" t="str">
        <f t="shared" si="11"/>
        <v>03053</v>
      </c>
      <c r="H108" t="s">
        <v>314</v>
      </c>
      <c r="I108" t="s">
        <v>1265</v>
      </c>
      <c r="J108" t="s">
        <v>1276</v>
      </c>
      <c r="K108" t="s">
        <v>1277</v>
      </c>
      <c r="L108" t="s">
        <v>1315</v>
      </c>
      <c r="M108" t="s">
        <v>1375</v>
      </c>
      <c r="N108">
        <v>1</v>
      </c>
      <c r="O108" t="str">
        <f t="shared" si="14"/>
        <v>26</v>
      </c>
      <c r="Q108">
        <v>26</v>
      </c>
      <c r="R108" t="s">
        <v>1269</v>
      </c>
      <c r="S108">
        <v>0.41299999999999998</v>
      </c>
      <c r="T108">
        <v>0.27039999999999997</v>
      </c>
      <c r="U108">
        <f t="shared" si="15"/>
        <v>0</v>
      </c>
      <c r="V108" t="str">
        <f t="shared" si="12"/>
        <v>Elementary Health/
Related Services</v>
      </c>
      <c r="W108" t="str">
        <f t="shared" si="13"/>
        <v>Health/
Related Services</v>
      </c>
      <c r="Y108" s="88" t="s">
        <v>1335</v>
      </c>
      <c r="Z108" s="90"/>
      <c r="AA108" s="90"/>
      <c r="AB108" s="90">
        <v>365.64899999999989</v>
      </c>
      <c r="AC108" s="90"/>
      <c r="AD108" s="90"/>
      <c r="AE108" s="90">
        <v>0</v>
      </c>
      <c r="AF108" s="90">
        <v>365.64899999999989</v>
      </c>
      <c r="AG108" s="90"/>
      <c r="AI108" s="88" t="s">
        <v>1335</v>
      </c>
      <c r="AJ108" s="90">
        <v>0</v>
      </c>
      <c r="AK108" s="90">
        <f t="shared" si="16"/>
        <v>365.64899999999989</v>
      </c>
      <c r="AL108" s="90">
        <f t="shared" si="17"/>
        <v>0</v>
      </c>
      <c r="AM108" s="90">
        <f t="shared" si="18"/>
        <v>0</v>
      </c>
      <c r="AN108" s="90">
        <f t="shared" si="19"/>
        <v>365.64899999999989</v>
      </c>
      <c r="BQ108" t="str">
        <f t="shared" si="20"/>
        <v>46</v>
      </c>
      <c r="BR108" s="132" t="s">
        <v>943</v>
      </c>
      <c r="BS108">
        <v>0.104</v>
      </c>
      <c r="BT108" s="244" t="s">
        <v>1548</v>
      </c>
      <c r="BU108" s="34" t="s">
        <v>759</v>
      </c>
      <c r="BV108" t="s">
        <v>1396</v>
      </c>
      <c r="BW108">
        <v>0</v>
      </c>
    </row>
    <row r="109" spans="1:75" x14ac:dyDescent="0.25">
      <c r="A109">
        <v>3053</v>
      </c>
      <c r="B109" t="s">
        <v>1275</v>
      </c>
      <c r="C109">
        <v>0.4</v>
      </c>
      <c r="D109" t="s">
        <v>1264</v>
      </c>
      <c r="E109">
        <v>100089</v>
      </c>
      <c r="F109">
        <v>3053</v>
      </c>
      <c r="G109" t="str">
        <f t="shared" si="11"/>
        <v>03053</v>
      </c>
      <c r="H109" t="s">
        <v>314</v>
      </c>
      <c r="I109" t="s">
        <v>1265</v>
      </c>
      <c r="J109" t="s">
        <v>1276</v>
      </c>
      <c r="K109" t="s">
        <v>1277</v>
      </c>
      <c r="L109" t="s">
        <v>1275</v>
      </c>
      <c r="M109" t="s">
        <v>1278</v>
      </c>
      <c r="N109">
        <v>1</v>
      </c>
      <c r="O109" t="str">
        <f t="shared" si="14"/>
        <v>42</v>
      </c>
      <c r="P109">
        <v>42</v>
      </c>
      <c r="R109" t="s">
        <v>1269</v>
      </c>
      <c r="S109">
        <v>0.4</v>
      </c>
      <c r="T109">
        <v>0.27039999999999997</v>
      </c>
      <c r="U109">
        <f t="shared" si="15"/>
        <v>0</v>
      </c>
      <c r="V109" t="str">
        <f t="shared" si="12"/>
        <v>Elementary Counselor</v>
      </c>
      <c r="W109" t="str">
        <f t="shared" si="13"/>
        <v>Counselor</v>
      </c>
      <c r="Y109" s="88" t="s">
        <v>1397</v>
      </c>
      <c r="Z109" s="90">
        <v>5.0799999999999992</v>
      </c>
      <c r="AA109" s="90"/>
      <c r="AB109" s="90"/>
      <c r="AC109" s="90"/>
      <c r="AD109" s="90"/>
      <c r="AE109" s="90"/>
      <c r="AF109" s="90">
        <v>5.0799999999999992</v>
      </c>
      <c r="AG109" s="90"/>
      <c r="AI109" s="88" t="s">
        <v>1397</v>
      </c>
      <c r="AJ109" s="90">
        <v>1.2619999999999998</v>
      </c>
      <c r="AK109" s="90">
        <f t="shared" si="16"/>
        <v>0</v>
      </c>
      <c r="AL109" s="90">
        <f t="shared" si="17"/>
        <v>0</v>
      </c>
      <c r="AM109" s="90">
        <f t="shared" si="18"/>
        <v>0</v>
      </c>
      <c r="AN109" s="90">
        <f t="shared" si="19"/>
        <v>1.2619999999999998</v>
      </c>
      <c r="BQ109" t="str">
        <f t="shared" si="20"/>
        <v>47</v>
      </c>
      <c r="BR109" s="132" t="s">
        <v>944</v>
      </c>
      <c r="BS109">
        <v>0.105</v>
      </c>
      <c r="BT109" s="244" t="s">
        <v>1538</v>
      </c>
      <c r="BU109" s="34" t="s">
        <v>759</v>
      </c>
      <c r="BV109" t="s">
        <v>1341</v>
      </c>
      <c r="BW109">
        <v>0</v>
      </c>
    </row>
    <row r="110" spans="1:75" x14ac:dyDescent="0.25">
      <c r="A110">
        <v>3053</v>
      </c>
      <c r="B110" t="s">
        <v>1270</v>
      </c>
      <c r="C110">
        <v>0.8</v>
      </c>
      <c r="D110" t="s">
        <v>1264</v>
      </c>
      <c r="E110">
        <v>100089</v>
      </c>
      <c r="F110">
        <v>3053</v>
      </c>
      <c r="G110" t="str">
        <f t="shared" si="11"/>
        <v>03053</v>
      </c>
      <c r="H110" t="s">
        <v>314</v>
      </c>
      <c r="I110" t="s">
        <v>1265</v>
      </c>
      <c r="J110" t="s">
        <v>1271</v>
      </c>
      <c r="K110" t="s">
        <v>1272</v>
      </c>
      <c r="L110" t="s">
        <v>1270</v>
      </c>
      <c r="M110" t="s">
        <v>1273</v>
      </c>
      <c r="N110">
        <v>1</v>
      </c>
      <c r="O110" t="str">
        <f t="shared" si="14"/>
        <v>42</v>
      </c>
      <c r="P110">
        <v>42</v>
      </c>
      <c r="R110" t="s">
        <v>1269</v>
      </c>
      <c r="S110">
        <v>0.8</v>
      </c>
      <c r="T110">
        <v>0.27039999999999997</v>
      </c>
      <c r="U110">
        <f t="shared" si="15"/>
        <v>0</v>
      </c>
      <c r="V110" t="str">
        <f t="shared" si="12"/>
        <v>High Counselor</v>
      </c>
      <c r="W110" t="str">
        <f t="shared" si="13"/>
        <v>Counselor</v>
      </c>
      <c r="Y110" s="88" t="s">
        <v>1497</v>
      </c>
      <c r="Z110" s="90"/>
      <c r="AA110" s="90">
        <v>0</v>
      </c>
      <c r="AB110" s="90"/>
      <c r="AC110" s="90"/>
      <c r="AD110" s="90"/>
      <c r="AE110" s="90"/>
      <c r="AF110" s="90">
        <v>0</v>
      </c>
      <c r="AG110" s="90"/>
      <c r="AI110" s="88" t="s">
        <v>1497</v>
      </c>
      <c r="AJ110" s="90">
        <v>0</v>
      </c>
      <c r="AK110" s="90">
        <f t="shared" si="16"/>
        <v>0</v>
      </c>
      <c r="AL110" s="90">
        <f t="shared" si="17"/>
        <v>0</v>
      </c>
      <c r="AM110" s="90">
        <f t="shared" si="18"/>
        <v>0</v>
      </c>
      <c r="AN110" s="90">
        <f t="shared" si="19"/>
        <v>0</v>
      </c>
      <c r="BQ110" t="str">
        <f t="shared" si="20"/>
        <v>48</v>
      </c>
      <c r="BR110" s="132" t="s">
        <v>945</v>
      </c>
      <c r="BS110">
        <v>0.106</v>
      </c>
      <c r="BT110" s="244" t="s">
        <v>1539</v>
      </c>
      <c r="BU110" s="34" t="s">
        <v>759</v>
      </c>
      <c r="BV110" t="s">
        <v>1398</v>
      </c>
      <c r="BW110">
        <v>0</v>
      </c>
    </row>
    <row r="111" spans="1:75" x14ac:dyDescent="0.25">
      <c r="A111">
        <v>3053</v>
      </c>
      <c r="B111" t="s">
        <v>1263</v>
      </c>
      <c r="C111">
        <v>0.4</v>
      </c>
      <c r="D111" t="s">
        <v>1264</v>
      </c>
      <c r="E111">
        <v>100089</v>
      </c>
      <c r="F111">
        <v>3053</v>
      </c>
      <c r="G111" t="str">
        <f t="shared" si="11"/>
        <v>03053</v>
      </c>
      <c r="H111" t="s">
        <v>314</v>
      </c>
      <c r="I111" t="s">
        <v>1265</v>
      </c>
      <c r="J111" t="s">
        <v>1266</v>
      </c>
      <c r="K111" t="s">
        <v>1267</v>
      </c>
      <c r="L111" t="s">
        <v>1263</v>
      </c>
      <c r="M111" t="s">
        <v>1268</v>
      </c>
      <c r="N111">
        <v>1</v>
      </c>
      <c r="O111" t="str">
        <f t="shared" si="14"/>
        <v>42</v>
      </c>
      <c r="P111">
        <v>42</v>
      </c>
      <c r="R111" t="s">
        <v>1269</v>
      </c>
      <c r="S111">
        <v>0.4</v>
      </c>
      <c r="T111">
        <v>0.27039999999999997</v>
      </c>
      <c r="U111">
        <f t="shared" si="15"/>
        <v>0</v>
      </c>
      <c r="V111" t="str">
        <f t="shared" si="12"/>
        <v>Middle Counselor</v>
      </c>
      <c r="W111" t="str">
        <f t="shared" si="13"/>
        <v>Counselor</v>
      </c>
      <c r="Y111" s="88" t="s">
        <v>1341</v>
      </c>
      <c r="Z111" s="90"/>
      <c r="AA111" s="90"/>
      <c r="AB111" s="90">
        <v>174.29599999999999</v>
      </c>
      <c r="AC111" s="90"/>
      <c r="AD111" s="90"/>
      <c r="AE111" s="90">
        <v>0</v>
      </c>
      <c r="AF111" s="90">
        <v>174.29599999999999</v>
      </c>
      <c r="AG111" s="90"/>
      <c r="AI111" s="88" t="s">
        <v>1341</v>
      </c>
      <c r="AJ111" s="90">
        <v>0</v>
      </c>
      <c r="AK111" s="90">
        <f t="shared" si="16"/>
        <v>174.29599999999999</v>
      </c>
      <c r="AL111" s="90">
        <f t="shared" si="17"/>
        <v>0</v>
      </c>
      <c r="AM111" s="90">
        <f t="shared" si="18"/>
        <v>0</v>
      </c>
      <c r="AN111" s="90">
        <f t="shared" si="19"/>
        <v>174.29599999999999</v>
      </c>
      <c r="BQ111" t="str">
        <f t="shared" si="20"/>
        <v>49</v>
      </c>
      <c r="BR111" s="132" t="s">
        <v>946</v>
      </c>
      <c r="BS111">
        <v>0.107</v>
      </c>
      <c r="BT111" s="244" t="s">
        <v>1540</v>
      </c>
      <c r="BU111" s="34" t="s">
        <v>759</v>
      </c>
      <c r="BV111" t="s">
        <v>1399</v>
      </c>
      <c r="BW111">
        <v>0</v>
      </c>
    </row>
    <row r="112" spans="1:75" x14ac:dyDescent="0.25">
      <c r="A112">
        <v>3053</v>
      </c>
      <c r="B112" t="s">
        <v>1294</v>
      </c>
      <c r="C112">
        <v>1</v>
      </c>
      <c r="D112" t="s">
        <v>1264</v>
      </c>
      <c r="E112">
        <v>100089</v>
      </c>
      <c r="F112">
        <v>3053</v>
      </c>
      <c r="G112" t="str">
        <f t="shared" si="11"/>
        <v>03053</v>
      </c>
      <c r="H112" t="s">
        <v>314</v>
      </c>
      <c r="I112" t="s">
        <v>1265</v>
      </c>
      <c r="J112" t="s">
        <v>1276</v>
      </c>
      <c r="K112" t="s">
        <v>1277</v>
      </c>
      <c r="L112" t="s">
        <v>1294</v>
      </c>
      <c r="M112" t="s">
        <v>1354</v>
      </c>
      <c r="N112">
        <v>21</v>
      </c>
      <c r="O112" t="str">
        <f t="shared" si="14"/>
        <v>45</v>
      </c>
      <c r="P112">
        <v>45</v>
      </c>
      <c r="R112" t="s">
        <v>1269</v>
      </c>
      <c r="S112">
        <v>1</v>
      </c>
      <c r="T112">
        <v>0.27039999999999997</v>
      </c>
      <c r="U112">
        <f t="shared" si="15"/>
        <v>0.27</v>
      </c>
      <c r="V112" t="str">
        <f t="shared" si="12"/>
        <v>Elementary Speech, Language Pathway/
Audio</v>
      </c>
      <c r="W112" t="str">
        <f t="shared" si="13"/>
        <v>Speech, Language Pathway/
Audio</v>
      </c>
      <c r="Y112" s="88" t="s">
        <v>1372</v>
      </c>
      <c r="Z112" s="90">
        <v>1.087</v>
      </c>
      <c r="AA112" s="90"/>
      <c r="AB112" s="90"/>
      <c r="AC112" s="90"/>
      <c r="AD112" s="90"/>
      <c r="AE112" s="90"/>
      <c r="AF112" s="90">
        <v>1.087</v>
      </c>
      <c r="AG112" s="90"/>
      <c r="AI112" s="88" t="s">
        <v>1372</v>
      </c>
      <c r="AJ112" s="90">
        <v>0.25800000000000001</v>
      </c>
      <c r="AK112" s="90">
        <f t="shared" si="16"/>
        <v>0</v>
      </c>
      <c r="AL112" s="90">
        <f t="shared" si="17"/>
        <v>0</v>
      </c>
      <c r="AM112" s="90">
        <f t="shared" si="18"/>
        <v>0</v>
      </c>
      <c r="AN112" s="90">
        <f t="shared" si="19"/>
        <v>0.25800000000000001</v>
      </c>
      <c r="BQ112" t="str">
        <f t="shared" si="20"/>
        <v>64</v>
      </c>
      <c r="BR112" s="132" t="s">
        <v>947</v>
      </c>
      <c r="BS112">
        <v>0.108</v>
      </c>
      <c r="BT112" s="244" t="s">
        <v>1541</v>
      </c>
      <c r="BU112" s="34" t="s">
        <v>759</v>
      </c>
      <c r="BV112" t="s">
        <v>1400</v>
      </c>
      <c r="BW112">
        <v>0</v>
      </c>
    </row>
    <row r="113" spans="1:75" x14ac:dyDescent="0.25">
      <c r="A113">
        <v>3053</v>
      </c>
      <c r="B113" t="s">
        <v>1298</v>
      </c>
      <c r="C113">
        <v>1</v>
      </c>
      <c r="D113" t="s">
        <v>1264</v>
      </c>
      <c r="E113">
        <v>100089</v>
      </c>
      <c r="F113">
        <v>3053</v>
      </c>
      <c r="G113" t="str">
        <f t="shared" si="11"/>
        <v>03053</v>
      </c>
      <c r="H113" t="s">
        <v>314</v>
      </c>
      <c r="I113" t="s">
        <v>1265</v>
      </c>
      <c r="J113" t="s">
        <v>1276</v>
      </c>
      <c r="K113" t="s">
        <v>1277</v>
      </c>
      <c r="L113" t="s">
        <v>1298</v>
      </c>
      <c r="M113" t="s">
        <v>1349</v>
      </c>
      <c r="N113">
        <v>21</v>
      </c>
      <c r="O113" t="str">
        <f t="shared" si="14"/>
        <v>46</v>
      </c>
      <c r="P113">
        <v>46</v>
      </c>
      <c r="R113" t="s">
        <v>1269</v>
      </c>
      <c r="S113">
        <v>1</v>
      </c>
      <c r="T113">
        <v>0.27039999999999997</v>
      </c>
      <c r="U113">
        <f t="shared" si="15"/>
        <v>0.27</v>
      </c>
      <c r="V113" t="str">
        <f t="shared" si="12"/>
        <v>Elementary Psychologist</v>
      </c>
      <c r="W113" t="str">
        <f t="shared" si="13"/>
        <v>Psychologist</v>
      </c>
      <c r="Y113" s="88" t="s">
        <v>1484</v>
      </c>
      <c r="Z113" s="90"/>
      <c r="AA113" s="90">
        <v>0</v>
      </c>
      <c r="AB113" s="90"/>
      <c r="AC113" s="90"/>
      <c r="AD113" s="90"/>
      <c r="AE113" s="90"/>
      <c r="AF113" s="90">
        <v>0</v>
      </c>
      <c r="AG113" s="90"/>
      <c r="AI113" s="88" t="s">
        <v>1484</v>
      </c>
      <c r="AJ113" s="90">
        <v>0</v>
      </c>
      <c r="AK113" s="90">
        <f t="shared" si="16"/>
        <v>0</v>
      </c>
      <c r="AL113" s="90">
        <f t="shared" si="17"/>
        <v>0</v>
      </c>
      <c r="AM113" s="90">
        <f t="shared" si="18"/>
        <v>0</v>
      </c>
      <c r="AN113" s="90">
        <f t="shared" si="19"/>
        <v>0</v>
      </c>
      <c r="BQ113" t="str">
        <f t="shared" si="20"/>
        <v>24</v>
      </c>
      <c r="BR113" s="132" t="s">
        <v>948</v>
      </c>
      <c r="BS113">
        <v>0.109</v>
      </c>
      <c r="BT113" s="244" t="s">
        <v>1543</v>
      </c>
      <c r="BU113" s="34" t="s">
        <v>759</v>
      </c>
      <c r="BV113" t="s">
        <v>1286</v>
      </c>
      <c r="BW113">
        <v>0</v>
      </c>
    </row>
    <row r="114" spans="1:75" x14ac:dyDescent="0.25">
      <c r="A114">
        <v>3116</v>
      </c>
      <c r="B114" t="s">
        <v>1308</v>
      </c>
      <c r="C114">
        <v>7.3999999999999996E-2</v>
      </c>
      <c r="D114" t="s">
        <v>1264</v>
      </c>
      <c r="E114">
        <v>100205</v>
      </c>
      <c r="F114">
        <v>3116</v>
      </c>
      <c r="G114" t="str">
        <f t="shared" si="11"/>
        <v>03116</v>
      </c>
      <c r="H114" t="s">
        <v>315</v>
      </c>
      <c r="I114" t="s">
        <v>1265</v>
      </c>
      <c r="J114" t="s">
        <v>1276</v>
      </c>
      <c r="K114" t="s">
        <v>1277</v>
      </c>
      <c r="L114" t="s">
        <v>1308</v>
      </c>
      <c r="M114" t="s">
        <v>1389</v>
      </c>
      <c r="N114">
        <v>1</v>
      </c>
      <c r="O114" t="str">
        <f t="shared" si="14"/>
        <v>25</v>
      </c>
      <c r="Q114">
        <v>25</v>
      </c>
      <c r="R114" t="s">
        <v>1269</v>
      </c>
      <c r="S114">
        <v>7.3999999999999996E-2</v>
      </c>
      <c r="T114">
        <v>0.28079999999999999</v>
      </c>
      <c r="U114">
        <f t="shared" si="15"/>
        <v>0</v>
      </c>
      <c r="V114" t="str">
        <f t="shared" si="12"/>
        <v>Elementary Pupil Management</v>
      </c>
      <c r="W114" t="str">
        <f t="shared" si="13"/>
        <v>Pupil Management</v>
      </c>
      <c r="Y114" s="88" t="s">
        <v>1338</v>
      </c>
      <c r="Z114" s="90"/>
      <c r="AA114" s="90"/>
      <c r="AB114" s="90">
        <v>102.19700000000005</v>
      </c>
      <c r="AC114" s="90"/>
      <c r="AD114" s="90"/>
      <c r="AE114" s="90">
        <v>0</v>
      </c>
      <c r="AF114" s="90">
        <v>102.19700000000005</v>
      </c>
      <c r="AG114" s="90"/>
      <c r="AI114" s="88" t="s">
        <v>1338</v>
      </c>
      <c r="AJ114" s="90">
        <v>0</v>
      </c>
      <c r="AK114" s="90">
        <f t="shared" si="16"/>
        <v>102.19700000000005</v>
      </c>
      <c r="AL114" s="90">
        <f t="shared" si="17"/>
        <v>0</v>
      </c>
      <c r="AM114" s="90">
        <f t="shared" si="18"/>
        <v>0</v>
      </c>
      <c r="AN114" s="90">
        <f t="shared" si="19"/>
        <v>102.19700000000005</v>
      </c>
      <c r="BQ114" t="str">
        <f t="shared" si="20"/>
        <v>25</v>
      </c>
      <c r="BR114" s="132" t="s">
        <v>949</v>
      </c>
      <c r="BS114">
        <v>0.11</v>
      </c>
      <c r="BT114" s="245" t="s">
        <v>1545</v>
      </c>
      <c r="BU114" s="34" t="s">
        <v>759</v>
      </c>
      <c r="BV114" t="s">
        <v>1299</v>
      </c>
      <c r="BW114">
        <v>0</v>
      </c>
    </row>
    <row r="115" spans="1:75" x14ac:dyDescent="0.25">
      <c r="A115">
        <v>3116</v>
      </c>
      <c r="B115" t="s">
        <v>1299</v>
      </c>
      <c r="C115">
        <v>7.532</v>
      </c>
      <c r="D115" t="s">
        <v>1264</v>
      </c>
      <c r="E115">
        <v>100205</v>
      </c>
      <c r="F115">
        <v>3116</v>
      </c>
      <c r="G115" t="str">
        <f t="shared" si="11"/>
        <v>03116</v>
      </c>
      <c r="H115" t="s">
        <v>315</v>
      </c>
      <c r="I115" t="s">
        <v>1265</v>
      </c>
      <c r="J115" t="s">
        <v>1271</v>
      </c>
      <c r="K115" t="s">
        <v>1272</v>
      </c>
      <c r="L115" t="s">
        <v>1299</v>
      </c>
      <c r="M115" t="s">
        <v>1300</v>
      </c>
      <c r="N115">
        <v>1</v>
      </c>
      <c r="O115" t="str">
        <f t="shared" si="14"/>
        <v>25</v>
      </c>
      <c r="Q115">
        <v>25</v>
      </c>
      <c r="R115" t="s">
        <v>1269</v>
      </c>
      <c r="S115">
        <v>7.532</v>
      </c>
      <c r="T115">
        <v>0.28079999999999999</v>
      </c>
      <c r="U115">
        <f t="shared" si="15"/>
        <v>0</v>
      </c>
      <c r="V115" t="str">
        <f t="shared" si="12"/>
        <v>High Pupil Management</v>
      </c>
      <c r="W115" t="str">
        <f t="shared" si="13"/>
        <v>Pupil Management</v>
      </c>
      <c r="Y115" s="88" t="s">
        <v>1470</v>
      </c>
      <c r="Z115" s="90"/>
      <c r="AA115" s="90"/>
      <c r="AB115" s="90"/>
      <c r="AC115" s="90"/>
      <c r="AD115" s="90">
        <v>0</v>
      </c>
      <c r="AE115" s="90"/>
      <c r="AF115" s="90">
        <v>0</v>
      </c>
      <c r="AG115" s="90"/>
      <c r="AI115" s="88" t="s">
        <v>1470</v>
      </c>
      <c r="AJ115" s="90">
        <v>0</v>
      </c>
      <c r="AK115" s="90">
        <f t="shared" si="16"/>
        <v>0</v>
      </c>
      <c r="AL115" s="90">
        <f t="shared" si="17"/>
        <v>0</v>
      </c>
      <c r="AM115" s="90">
        <f t="shared" si="18"/>
        <v>0</v>
      </c>
      <c r="AN115" s="90">
        <f t="shared" si="19"/>
        <v>0</v>
      </c>
      <c r="AO115" s="90">
        <f>SUM(AN115:AN124)</f>
        <v>53.368000000000002</v>
      </c>
      <c r="BQ115" t="str">
        <f t="shared" si="20"/>
        <v>26</v>
      </c>
      <c r="BR115" s="132" t="s">
        <v>950</v>
      </c>
      <c r="BS115">
        <v>0.111</v>
      </c>
      <c r="BT115" s="244" t="s">
        <v>1542</v>
      </c>
      <c r="BU115" s="34" t="s">
        <v>759</v>
      </c>
      <c r="BV115" t="s">
        <v>1295</v>
      </c>
      <c r="BW115">
        <v>0</v>
      </c>
    </row>
    <row r="116" spans="1:75" x14ac:dyDescent="0.25">
      <c r="A116">
        <v>3116</v>
      </c>
      <c r="B116" t="s">
        <v>1311</v>
      </c>
      <c r="C116">
        <v>0.60599999999999998</v>
      </c>
      <c r="D116" t="s">
        <v>1264</v>
      </c>
      <c r="E116">
        <v>100205</v>
      </c>
      <c r="F116">
        <v>3116</v>
      </c>
      <c r="G116" t="str">
        <f t="shared" si="11"/>
        <v>03116</v>
      </c>
      <c r="H116" t="s">
        <v>315</v>
      </c>
      <c r="I116" t="s">
        <v>1265</v>
      </c>
      <c r="J116" t="s">
        <v>1276</v>
      </c>
      <c r="K116" t="s">
        <v>1277</v>
      </c>
      <c r="L116" t="s">
        <v>1311</v>
      </c>
      <c r="M116" t="s">
        <v>1327</v>
      </c>
      <c r="N116">
        <v>21</v>
      </c>
      <c r="O116" t="str">
        <f t="shared" si="14"/>
        <v>26</v>
      </c>
      <c r="Q116">
        <v>26</v>
      </c>
      <c r="R116" t="s">
        <v>1269</v>
      </c>
      <c r="S116">
        <v>0.60599999999999998</v>
      </c>
      <c r="T116">
        <v>0.28079999999999999</v>
      </c>
      <c r="U116">
        <f t="shared" si="15"/>
        <v>0.17</v>
      </c>
      <c r="V116" t="str">
        <f t="shared" si="12"/>
        <v>Elementary Health/
Related Services</v>
      </c>
      <c r="W116" t="str">
        <f t="shared" si="13"/>
        <v>Health/
Related Services</v>
      </c>
      <c r="Y116" s="88" t="s">
        <v>1302</v>
      </c>
      <c r="Z116" s="90">
        <v>137.92099999999996</v>
      </c>
      <c r="AA116" s="90"/>
      <c r="AB116" s="90"/>
      <c r="AC116" s="90"/>
      <c r="AD116" s="90"/>
      <c r="AE116" s="90"/>
      <c r="AF116" s="90">
        <v>137.92099999999996</v>
      </c>
      <c r="AG116" s="90"/>
      <c r="AI116" s="88" t="s">
        <v>1302</v>
      </c>
      <c r="AJ116" s="90">
        <v>35.340000000000003</v>
      </c>
      <c r="AK116" s="90">
        <f t="shared" si="16"/>
        <v>0</v>
      </c>
      <c r="AL116" s="90">
        <f t="shared" si="17"/>
        <v>0</v>
      </c>
      <c r="AM116" s="90">
        <f t="shared" si="18"/>
        <v>0</v>
      </c>
      <c r="AN116" s="90">
        <f t="shared" si="19"/>
        <v>35.340000000000003</v>
      </c>
      <c r="AO116" t="e">
        <f>#REF!</f>
        <v>#REF!</v>
      </c>
      <c r="BQ116" t="str">
        <f t="shared" si="20"/>
        <v>35</v>
      </c>
      <c r="BR116" s="209" t="s">
        <v>1161</v>
      </c>
      <c r="BS116">
        <v>0.112</v>
      </c>
      <c r="BT116" s="245" t="s">
        <v>1554</v>
      </c>
      <c r="BU116" s="34" t="s">
        <v>759</v>
      </c>
      <c r="BV116" t="s">
        <v>1401</v>
      </c>
      <c r="BW116">
        <v>0</v>
      </c>
    </row>
    <row r="117" spans="1:75" x14ac:dyDescent="0.25">
      <c r="A117">
        <v>3116</v>
      </c>
      <c r="B117" t="s">
        <v>1315</v>
      </c>
      <c r="C117">
        <v>0.63900000000000001</v>
      </c>
      <c r="D117" t="s">
        <v>1264</v>
      </c>
      <c r="E117">
        <v>100205</v>
      </c>
      <c r="F117">
        <v>3116</v>
      </c>
      <c r="G117" t="str">
        <f t="shared" si="11"/>
        <v>03116</v>
      </c>
      <c r="H117" t="s">
        <v>315</v>
      </c>
      <c r="I117" t="s">
        <v>1265</v>
      </c>
      <c r="J117" t="s">
        <v>1276</v>
      </c>
      <c r="K117" t="s">
        <v>1277</v>
      </c>
      <c r="L117" t="s">
        <v>1315</v>
      </c>
      <c r="M117" t="s">
        <v>1375</v>
      </c>
      <c r="N117">
        <v>1</v>
      </c>
      <c r="O117" t="str">
        <f t="shared" si="14"/>
        <v>26</v>
      </c>
      <c r="Q117">
        <v>26</v>
      </c>
      <c r="R117" t="s">
        <v>1269</v>
      </c>
      <c r="S117">
        <v>0.63900000000000001</v>
      </c>
      <c r="T117">
        <v>0.28079999999999999</v>
      </c>
      <c r="U117">
        <f t="shared" si="15"/>
        <v>0</v>
      </c>
      <c r="V117" t="str">
        <f t="shared" si="12"/>
        <v>Elementary Health/
Related Services</v>
      </c>
      <c r="W117" t="str">
        <f t="shared" si="13"/>
        <v>Health/
Related Services</v>
      </c>
      <c r="Y117" s="88" t="s">
        <v>1458</v>
      </c>
      <c r="Z117" s="90"/>
      <c r="AA117" s="90">
        <v>0</v>
      </c>
      <c r="AB117" s="90"/>
      <c r="AC117" s="90"/>
      <c r="AD117" s="90"/>
      <c r="AE117" s="90"/>
      <c r="AF117" s="90">
        <v>0</v>
      </c>
      <c r="AG117" s="90"/>
      <c r="AI117" s="88" t="s">
        <v>1458</v>
      </c>
      <c r="AJ117" s="90">
        <v>0</v>
      </c>
      <c r="AK117" s="90">
        <f t="shared" si="16"/>
        <v>0</v>
      </c>
      <c r="AL117" s="90">
        <f t="shared" si="17"/>
        <v>0</v>
      </c>
      <c r="AM117" s="90">
        <f t="shared" si="18"/>
        <v>0</v>
      </c>
      <c r="AN117" s="90">
        <f t="shared" si="19"/>
        <v>0</v>
      </c>
      <c r="AO117" s="261" t="e">
        <f>SUM(AO115:AO116)</f>
        <v>#REF!</v>
      </c>
      <c r="BQ117" t="str">
        <f t="shared" si="20"/>
        <v>39</v>
      </c>
      <c r="BR117" s="133" t="s">
        <v>977</v>
      </c>
      <c r="BS117">
        <v>0.113</v>
      </c>
      <c r="BT117" s="246" t="s">
        <v>1534</v>
      </c>
      <c r="BU117" s="34" t="s">
        <v>759</v>
      </c>
      <c r="BV117" t="s">
        <v>1491</v>
      </c>
      <c r="BW117">
        <v>0</v>
      </c>
    </row>
    <row r="118" spans="1:75" x14ac:dyDescent="0.25">
      <c r="A118">
        <v>3116</v>
      </c>
      <c r="B118" t="s">
        <v>1324</v>
      </c>
      <c r="C118">
        <v>1.246</v>
      </c>
      <c r="D118" t="s">
        <v>1264</v>
      </c>
      <c r="E118">
        <v>100205</v>
      </c>
      <c r="F118">
        <v>3116</v>
      </c>
      <c r="G118" t="str">
        <f t="shared" si="11"/>
        <v>03116</v>
      </c>
      <c r="H118" t="s">
        <v>315</v>
      </c>
      <c r="I118" t="s">
        <v>1265</v>
      </c>
      <c r="J118" t="s">
        <v>1271</v>
      </c>
      <c r="K118" t="s">
        <v>1272</v>
      </c>
      <c r="L118" t="s">
        <v>1324</v>
      </c>
      <c r="M118" t="s">
        <v>1325</v>
      </c>
      <c r="N118">
        <v>21</v>
      </c>
      <c r="O118" t="str">
        <f t="shared" si="14"/>
        <v>26</v>
      </c>
      <c r="Q118">
        <v>26</v>
      </c>
      <c r="R118" t="s">
        <v>1269</v>
      </c>
      <c r="S118">
        <v>1.246</v>
      </c>
      <c r="T118">
        <v>0.28079999999999999</v>
      </c>
      <c r="U118">
        <f t="shared" si="15"/>
        <v>0.35</v>
      </c>
      <c r="V118" t="str">
        <f t="shared" si="12"/>
        <v>High Health/
Related Services</v>
      </c>
      <c r="W118" t="str">
        <f t="shared" si="13"/>
        <v>Health/
Related Services</v>
      </c>
      <c r="Y118" s="88" t="s">
        <v>1337</v>
      </c>
      <c r="Z118" s="90"/>
      <c r="AA118" s="90"/>
      <c r="AB118" s="90">
        <v>1.0649999999999999</v>
      </c>
      <c r="AC118" s="90"/>
      <c r="AD118" s="90"/>
      <c r="AE118" s="90">
        <v>0</v>
      </c>
      <c r="AF118" s="90">
        <v>1.0649999999999999</v>
      </c>
      <c r="AG118" s="90"/>
      <c r="AI118" s="88" t="s">
        <v>1337</v>
      </c>
      <c r="AJ118" s="90">
        <v>0</v>
      </c>
      <c r="AK118" s="90">
        <f t="shared" si="16"/>
        <v>1.0649999999999999</v>
      </c>
      <c r="AL118" s="90">
        <f t="shared" si="17"/>
        <v>0</v>
      </c>
      <c r="AM118" s="90">
        <f t="shared" si="18"/>
        <v>0</v>
      </c>
      <c r="AN118" s="90">
        <f t="shared" si="19"/>
        <v>1.0649999999999999</v>
      </c>
      <c r="BQ118" t="str">
        <f t="shared" si="20"/>
        <v>42</v>
      </c>
      <c r="BR118" s="133" t="s">
        <v>978</v>
      </c>
      <c r="BS118">
        <v>0.114</v>
      </c>
      <c r="BT118" s="246" t="s">
        <v>1535</v>
      </c>
      <c r="BU118" s="34" t="s">
        <v>759</v>
      </c>
      <c r="BV118" t="s">
        <v>1492</v>
      </c>
      <c r="BW118">
        <v>0</v>
      </c>
    </row>
    <row r="119" spans="1:75" x14ac:dyDescent="0.25">
      <c r="A119">
        <v>3116</v>
      </c>
      <c r="B119" t="s">
        <v>1295</v>
      </c>
      <c r="C119">
        <v>3.2559999999999998</v>
      </c>
      <c r="D119" t="s">
        <v>1264</v>
      </c>
      <c r="E119">
        <v>100205</v>
      </c>
      <c r="F119">
        <v>3116</v>
      </c>
      <c r="G119" t="str">
        <f t="shared" si="11"/>
        <v>03116</v>
      </c>
      <c r="H119" t="s">
        <v>315</v>
      </c>
      <c r="I119" t="s">
        <v>1265</v>
      </c>
      <c r="J119" t="s">
        <v>1271</v>
      </c>
      <c r="K119" t="s">
        <v>1272</v>
      </c>
      <c r="L119" t="s">
        <v>1295</v>
      </c>
      <c r="M119" t="s">
        <v>1296</v>
      </c>
      <c r="N119">
        <v>1</v>
      </c>
      <c r="O119" t="str">
        <f t="shared" si="14"/>
        <v>26</v>
      </c>
      <c r="Q119">
        <v>26</v>
      </c>
      <c r="R119" t="s">
        <v>1269</v>
      </c>
      <c r="S119">
        <v>3.2559999999999998</v>
      </c>
      <c r="T119">
        <v>0.28079999999999999</v>
      </c>
      <c r="U119">
        <f t="shared" si="15"/>
        <v>0</v>
      </c>
      <c r="V119" t="str">
        <f t="shared" si="12"/>
        <v>High Health/
Related Services</v>
      </c>
      <c r="W119" t="str">
        <f t="shared" si="13"/>
        <v>Health/
Related Services</v>
      </c>
      <c r="Y119" s="88" t="s">
        <v>1330</v>
      </c>
      <c r="Z119" s="90">
        <v>39.761999999999993</v>
      </c>
      <c r="AA119" s="90"/>
      <c r="AB119" s="90"/>
      <c r="AC119" s="90"/>
      <c r="AD119" s="90"/>
      <c r="AE119" s="90"/>
      <c r="AF119" s="90">
        <v>39.761999999999993</v>
      </c>
      <c r="AG119" s="90"/>
      <c r="AI119" s="88" t="s">
        <v>1330</v>
      </c>
      <c r="AJ119" s="90">
        <v>10.448000000000004</v>
      </c>
      <c r="AK119" s="90">
        <f t="shared" si="16"/>
        <v>0</v>
      </c>
      <c r="AL119" s="90">
        <f t="shared" si="17"/>
        <v>0</v>
      </c>
      <c r="AM119" s="90">
        <f t="shared" si="18"/>
        <v>0</v>
      </c>
      <c r="AN119" s="90">
        <f t="shared" si="19"/>
        <v>10.448000000000004</v>
      </c>
      <c r="BQ119" t="str">
        <f t="shared" si="20"/>
        <v>43</v>
      </c>
      <c r="BR119" s="133" t="s">
        <v>979</v>
      </c>
      <c r="BS119">
        <v>0.115</v>
      </c>
      <c r="BT119" s="246" t="s">
        <v>1555</v>
      </c>
      <c r="BU119" s="34" t="s">
        <v>759</v>
      </c>
      <c r="BV119" t="s">
        <v>1493</v>
      </c>
      <c r="BW119">
        <v>0</v>
      </c>
    </row>
    <row r="120" spans="1:75" x14ac:dyDescent="0.25">
      <c r="A120">
        <v>3116</v>
      </c>
      <c r="B120" t="s">
        <v>1275</v>
      </c>
      <c r="C120">
        <v>3</v>
      </c>
      <c r="D120" t="s">
        <v>1264</v>
      </c>
      <c r="E120">
        <v>100205</v>
      </c>
      <c r="F120">
        <v>3116</v>
      </c>
      <c r="G120" t="str">
        <f t="shared" si="11"/>
        <v>03116</v>
      </c>
      <c r="H120" t="s">
        <v>315</v>
      </c>
      <c r="I120" t="s">
        <v>1265</v>
      </c>
      <c r="J120" t="s">
        <v>1276</v>
      </c>
      <c r="K120" t="s">
        <v>1277</v>
      </c>
      <c r="L120" t="s">
        <v>1275</v>
      </c>
      <c r="M120" t="s">
        <v>1278</v>
      </c>
      <c r="N120">
        <v>1</v>
      </c>
      <c r="O120" t="str">
        <f t="shared" si="14"/>
        <v>42</v>
      </c>
      <c r="P120">
        <v>42</v>
      </c>
      <c r="R120" t="s">
        <v>1269</v>
      </c>
      <c r="S120">
        <v>3</v>
      </c>
      <c r="T120">
        <v>0.28079999999999999</v>
      </c>
      <c r="U120">
        <f t="shared" si="15"/>
        <v>0</v>
      </c>
      <c r="V120" t="str">
        <f t="shared" si="12"/>
        <v>Elementary Counselor</v>
      </c>
      <c r="W120" t="str">
        <f t="shared" si="13"/>
        <v>Counselor</v>
      </c>
      <c r="Y120" s="88" t="s">
        <v>1498</v>
      </c>
      <c r="Z120" s="90"/>
      <c r="AA120" s="90">
        <v>0</v>
      </c>
      <c r="AB120" s="90"/>
      <c r="AC120" s="90"/>
      <c r="AD120" s="90"/>
      <c r="AE120" s="90"/>
      <c r="AF120" s="90">
        <v>0</v>
      </c>
      <c r="AG120" s="90"/>
      <c r="AI120" s="88" t="s">
        <v>1498</v>
      </c>
      <c r="AJ120" s="90">
        <v>0</v>
      </c>
      <c r="AK120" s="90">
        <f t="shared" si="16"/>
        <v>0</v>
      </c>
      <c r="AL120" s="90">
        <f t="shared" si="17"/>
        <v>0</v>
      </c>
      <c r="AM120" s="90">
        <f t="shared" si="18"/>
        <v>0</v>
      </c>
      <c r="AN120" s="90">
        <f t="shared" si="19"/>
        <v>0</v>
      </c>
      <c r="BQ120" t="str">
        <f t="shared" si="20"/>
        <v>44</v>
      </c>
      <c r="BR120" s="133" t="s">
        <v>980</v>
      </c>
      <c r="BS120">
        <v>0.11600000000000001</v>
      </c>
      <c r="BT120" s="246" t="s">
        <v>1536</v>
      </c>
      <c r="BU120" s="34" t="s">
        <v>759</v>
      </c>
      <c r="BV120" t="s">
        <v>1494</v>
      </c>
      <c r="BW120">
        <v>0</v>
      </c>
    </row>
    <row r="121" spans="1:75" x14ac:dyDescent="0.25">
      <c r="A121">
        <v>3116</v>
      </c>
      <c r="B121" t="s">
        <v>1270</v>
      </c>
      <c r="C121">
        <v>1.52</v>
      </c>
      <c r="D121" t="s">
        <v>1264</v>
      </c>
      <c r="E121">
        <v>100205</v>
      </c>
      <c r="F121">
        <v>3116</v>
      </c>
      <c r="G121" t="str">
        <f t="shared" si="11"/>
        <v>03116</v>
      </c>
      <c r="H121" t="s">
        <v>315</v>
      </c>
      <c r="I121" t="s">
        <v>1265</v>
      </c>
      <c r="J121" t="s">
        <v>1271</v>
      </c>
      <c r="K121" t="s">
        <v>1272</v>
      </c>
      <c r="L121" t="s">
        <v>1270</v>
      </c>
      <c r="M121" t="s">
        <v>1273</v>
      </c>
      <c r="N121">
        <v>1</v>
      </c>
      <c r="O121" t="str">
        <f t="shared" si="14"/>
        <v>42</v>
      </c>
      <c r="P121">
        <v>42</v>
      </c>
      <c r="R121" t="s">
        <v>1269</v>
      </c>
      <c r="S121">
        <v>1.52</v>
      </c>
      <c r="T121">
        <v>0.28079999999999999</v>
      </c>
      <c r="U121">
        <f t="shared" si="15"/>
        <v>0</v>
      </c>
      <c r="V121" t="str">
        <f t="shared" si="12"/>
        <v>High Counselor</v>
      </c>
      <c r="W121" t="str">
        <f t="shared" si="13"/>
        <v>Counselor</v>
      </c>
      <c r="Y121" s="88" t="s">
        <v>1398</v>
      </c>
      <c r="Z121" s="90"/>
      <c r="AA121" s="90"/>
      <c r="AB121" s="90">
        <v>0.153</v>
      </c>
      <c r="AC121" s="90"/>
      <c r="AD121" s="90"/>
      <c r="AE121" s="90">
        <v>0</v>
      </c>
      <c r="AF121" s="90">
        <v>0.153</v>
      </c>
      <c r="AG121" s="90"/>
      <c r="AI121" s="88" t="s">
        <v>1398</v>
      </c>
      <c r="AJ121" s="90">
        <v>0</v>
      </c>
      <c r="AK121" s="90">
        <f t="shared" si="16"/>
        <v>0.153</v>
      </c>
      <c r="AL121" s="90">
        <f t="shared" si="17"/>
        <v>0</v>
      </c>
      <c r="AM121" s="90">
        <f t="shared" si="18"/>
        <v>0</v>
      </c>
      <c r="AN121" s="90">
        <f t="shared" si="19"/>
        <v>0.153</v>
      </c>
      <c r="BQ121" t="str">
        <f t="shared" si="20"/>
        <v>45</v>
      </c>
      <c r="BR121" s="133" t="s">
        <v>981</v>
      </c>
      <c r="BS121">
        <v>0.11700000000000001</v>
      </c>
      <c r="BT121" s="246" t="s">
        <v>1537</v>
      </c>
      <c r="BU121" s="34" t="s">
        <v>759</v>
      </c>
      <c r="BV121" t="s">
        <v>1495</v>
      </c>
      <c r="BW121">
        <v>0</v>
      </c>
    </row>
    <row r="122" spans="1:75" x14ac:dyDescent="0.25">
      <c r="A122">
        <v>3116</v>
      </c>
      <c r="B122" t="s">
        <v>1263</v>
      </c>
      <c r="C122">
        <v>2</v>
      </c>
      <c r="D122" t="s">
        <v>1264</v>
      </c>
      <c r="E122">
        <v>100205</v>
      </c>
      <c r="F122">
        <v>3116</v>
      </c>
      <c r="G122" t="str">
        <f t="shared" si="11"/>
        <v>03116</v>
      </c>
      <c r="H122" t="s">
        <v>315</v>
      </c>
      <c r="I122" t="s">
        <v>1265</v>
      </c>
      <c r="J122" t="s">
        <v>1266</v>
      </c>
      <c r="K122" t="s">
        <v>1267</v>
      </c>
      <c r="L122" t="s">
        <v>1263</v>
      </c>
      <c r="M122" t="s">
        <v>1268</v>
      </c>
      <c r="N122">
        <v>1</v>
      </c>
      <c r="O122" t="str">
        <f t="shared" si="14"/>
        <v>42</v>
      </c>
      <c r="P122">
        <v>42</v>
      </c>
      <c r="R122" t="s">
        <v>1269</v>
      </c>
      <c r="S122">
        <v>2</v>
      </c>
      <c r="T122">
        <v>0.28079999999999999</v>
      </c>
      <c r="U122">
        <f t="shared" si="15"/>
        <v>0</v>
      </c>
      <c r="V122" t="str">
        <f t="shared" si="12"/>
        <v>Middle Counselor</v>
      </c>
      <c r="W122" t="str">
        <f t="shared" si="13"/>
        <v>Counselor</v>
      </c>
      <c r="Y122" s="88" t="s">
        <v>1316</v>
      </c>
      <c r="Z122" s="90">
        <v>25.138999999999999</v>
      </c>
      <c r="AA122" s="90"/>
      <c r="AB122" s="90"/>
      <c r="AC122" s="90"/>
      <c r="AD122" s="90"/>
      <c r="AE122" s="90"/>
      <c r="AF122" s="90">
        <v>25.138999999999999</v>
      </c>
      <c r="AG122" s="90"/>
      <c r="AI122" s="88" t="s">
        <v>1316</v>
      </c>
      <c r="AJ122" s="90">
        <v>6.262999999999999</v>
      </c>
      <c r="AK122" s="90">
        <f t="shared" si="16"/>
        <v>0</v>
      </c>
      <c r="AL122" s="90">
        <f t="shared" si="17"/>
        <v>0</v>
      </c>
      <c r="AM122" s="90">
        <f t="shared" si="18"/>
        <v>0</v>
      </c>
      <c r="AN122" s="90">
        <f t="shared" si="19"/>
        <v>6.262999999999999</v>
      </c>
      <c r="BQ122" t="str">
        <f t="shared" si="20"/>
        <v>46</v>
      </c>
      <c r="BR122" s="133" t="s">
        <v>982</v>
      </c>
      <c r="BS122">
        <v>0.11799999999999999</v>
      </c>
      <c r="BT122" s="246" t="s">
        <v>1548</v>
      </c>
      <c r="BU122" s="34" t="s">
        <v>759</v>
      </c>
      <c r="BV122" t="s">
        <v>1496</v>
      </c>
      <c r="BW122">
        <v>0</v>
      </c>
    </row>
    <row r="123" spans="1:75" x14ac:dyDescent="0.25">
      <c r="A123">
        <v>3116</v>
      </c>
      <c r="B123" t="s">
        <v>1387</v>
      </c>
      <c r="C123">
        <v>1</v>
      </c>
      <c r="D123" t="s">
        <v>1264</v>
      </c>
      <c r="E123">
        <v>100205</v>
      </c>
      <c r="F123">
        <v>3116</v>
      </c>
      <c r="G123" t="str">
        <f t="shared" si="11"/>
        <v>03116</v>
      </c>
      <c r="H123" t="s">
        <v>315</v>
      </c>
      <c r="I123" t="s">
        <v>1265</v>
      </c>
      <c r="J123" t="s">
        <v>1271</v>
      </c>
      <c r="K123" t="s">
        <v>1272</v>
      </c>
      <c r="L123" t="s">
        <v>1387</v>
      </c>
      <c r="M123" t="s">
        <v>1406</v>
      </c>
      <c r="N123">
        <v>21</v>
      </c>
      <c r="O123" t="str">
        <f t="shared" si="14"/>
        <v>43</v>
      </c>
      <c r="P123">
        <v>43</v>
      </c>
      <c r="R123" t="s">
        <v>1269</v>
      </c>
      <c r="S123">
        <v>1</v>
      </c>
      <c r="T123">
        <v>0.28079999999999999</v>
      </c>
      <c r="U123">
        <f t="shared" si="15"/>
        <v>0.28100000000000003</v>
      </c>
      <c r="V123" t="str">
        <f t="shared" si="12"/>
        <v>High Occupational Therapist</v>
      </c>
      <c r="W123" t="str">
        <f t="shared" si="13"/>
        <v>Occupational Therapist</v>
      </c>
      <c r="Y123" s="88" t="s">
        <v>1485</v>
      </c>
      <c r="Z123" s="90"/>
      <c r="AA123" s="90">
        <v>0</v>
      </c>
      <c r="AB123" s="90"/>
      <c r="AC123" s="90"/>
      <c r="AD123" s="90"/>
      <c r="AE123" s="90"/>
      <c r="AF123" s="90">
        <v>0</v>
      </c>
      <c r="AG123" s="90"/>
      <c r="AI123" s="88" t="s">
        <v>1485</v>
      </c>
      <c r="AJ123" s="90">
        <v>0</v>
      </c>
      <c r="AK123" s="90">
        <f t="shared" si="16"/>
        <v>0</v>
      </c>
      <c r="AL123" s="90">
        <f t="shared" si="17"/>
        <v>0</v>
      </c>
      <c r="AM123" s="90">
        <f t="shared" si="18"/>
        <v>0</v>
      </c>
      <c r="AN123" s="90">
        <f t="shared" si="19"/>
        <v>0</v>
      </c>
      <c r="BQ123" t="str">
        <f t="shared" si="20"/>
        <v>47</v>
      </c>
      <c r="BR123" s="133" t="s">
        <v>983</v>
      </c>
      <c r="BS123">
        <v>0.11899999999999999</v>
      </c>
      <c r="BT123" s="246" t="s">
        <v>1538</v>
      </c>
      <c r="BU123" s="34" t="s">
        <v>759</v>
      </c>
      <c r="BV123" t="s">
        <v>1497</v>
      </c>
      <c r="BW123">
        <v>0</v>
      </c>
    </row>
    <row r="124" spans="1:75" x14ac:dyDescent="0.25">
      <c r="A124">
        <v>3116</v>
      </c>
      <c r="B124" t="s">
        <v>1294</v>
      </c>
      <c r="C124">
        <v>1.04</v>
      </c>
      <c r="D124" t="s">
        <v>1264</v>
      </c>
      <c r="E124">
        <v>100205</v>
      </c>
      <c r="F124">
        <v>3116</v>
      </c>
      <c r="G124" t="str">
        <f t="shared" si="11"/>
        <v>03116</v>
      </c>
      <c r="H124" t="s">
        <v>315</v>
      </c>
      <c r="I124" t="s">
        <v>1265</v>
      </c>
      <c r="J124" t="s">
        <v>1276</v>
      </c>
      <c r="K124" t="s">
        <v>1277</v>
      </c>
      <c r="L124" t="s">
        <v>1294</v>
      </c>
      <c r="M124" t="s">
        <v>1354</v>
      </c>
      <c r="N124">
        <v>21</v>
      </c>
      <c r="O124" t="str">
        <f t="shared" si="14"/>
        <v>45</v>
      </c>
      <c r="P124">
        <v>45</v>
      </c>
      <c r="R124" t="s">
        <v>1269</v>
      </c>
      <c r="S124">
        <v>1.04</v>
      </c>
      <c r="T124">
        <v>0.28079999999999999</v>
      </c>
      <c r="U124">
        <f t="shared" si="15"/>
        <v>0.29199999999999998</v>
      </c>
      <c r="V124" t="str">
        <f t="shared" si="12"/>
        <v>Elementary Speech, Language Pathway/
Audio</v>
      </c>
      <c r="W124" t="str">
        <f t="shared" si="13"/>
        <v>Speech, Language Pathway/
Audio</v>
      </c>
      <c r="Y124" s="88" t="s">
        <v>1373</v>
      </c>
      <c r="Z124" s="90"/>
      <c r="AA124" s="90"/>
      <c r="AB124" s="90">
        <v>9.9000000000000005E-2</v>
      </c>
      <c r="AC124" s="90"/>
      <c r="AD124" s="90"/>
      <c r="AE124" s="90">
        <v>0</v>
      </c>
      <c r="AF124" s="90">
        <v>9.9000000000000005E-2</v>
      </c>
      <c r="AG124" s="90"/>
      <c r="AI124" s="88" t="s">
        <v>1373</v>
      </c>
      <c r="AJ124" s="90">
        <v>0</v>
      </c>
      <c r="AK124" s="90">
        <f t="shared" si="16"/>
        <v>9.9000000000000005E-2</v>
      </c>
      <c r="AL124" s="90">
        <f t="shared" si="17"/>
        <v>0</v>
      </c>
      <c r="AM124" s="90">
        <f t="shared" si="18"/>
        <v>0</v>
      </c>
      <c r="AN124" s="90">
        <f t="shared" si="19"/>
        <v>9.9000000000000005E-2</v>
      </c>
      <c r="BQ124" t="str">
        <f t="shared" si="20"/>
        <v>48</v>
      </c>
      <c r="BR124" s="133" t="s">
        <v>984</v>
      </c>
      <c r="BS124">
        <v>0.12</v>
      </c>
      <c r="BT124" s="246" t="s">
        <v>1539</v>
      </c>
      <c r="BU124" s="34" t="s">
        <v>759</v>
      </c>
      <c r="BV124" t="s">
        <v>1498</v>
      </c>
      <c r="BW124">
        <v>0</v>
      </c>
    </row>
    <row r="125" spans="1:75" x14ac:dyDescent="0.25">
      <c r="A125">
        <v>3116</v>
      </c>
      <c r="B125" t="s">
        <v>1326</v>
      </c>
      <c r="C125">
        <v>1.1599999999999999</v>
      </c>
      <c r="D125" t="s">
        <v>1264</v>
      </c>
      <c r="E125">
        <v>100205</v>
      </c>
      <c r="F125">
        <v>3116</v>
      </c>
      <c r="G125" t="str">
        <f t="shared" si="11"/>
        <v>03116</v>
      </c>
      <c r="H125" t="s">
        <v>315</v>
      </c>
      <c r="I125" t="s">
        <v>1265</v>
      </c>
      <c r="J125" t="s">
        <v>1271</v>
      </c>
      <c r="K125" t="s">
        <v>1272</v>
      </c>
      <c r="L125" t="s">
        <v>1326</v>
      </c>
      <c r="M125" t="s">
        <v>1353</v>
      </c>
      <c r="N125">
        <v>21</v>
      </c>
      <c r="O125" t="str">
        <f t="shared" si="14"/>
        <v>45</v>
      </c>
      <c r="P125">
        <v>45</v>
      </c>
      <c r="R125" t="s">
        <v>1269</v>
      </c>
      <c r="S125">
        <v>1.1599999999999999</v>
      </c>
      <c r="T125">
        <v>0.28079999999999999</v>
      </c>
      <c r="U125">
        <f t="shared" si="15"/>
        <v>0.32600000000000001</v>
      </c>
      <c r="V125" t="str">
        <f t="shared" si="12"/>
        <v>High Speech, Language Pathway/
Audio</v>
      </c>
      <c r="W125" t="str">
        <f t="shared" si="13"/>
        <v>Speech, Language Pathway/
Audio</v>
      </c>
      <c r="Y125" s="88" t="s">
        <v>1471</v>
      </c>
      <c r="Z125" s="90"/>
      <c r="AA125" s="90"/>
      <c r="AB125" s="90"/>
      <c r="AC125" s="90"/>
      <c r="AD125" s="90">
        <v>0</v>
      </c>
      <c r="AE125" s="90"/>
      <c r="AF125" s="90">
        <v>0</v>
      </c>
      <c r="AG125" s="90"/>
      <c r="AI125" s="88" t="s">
        <v>1471</v>
      </c>
      <c r="AJ125" s="90">
        <v>0</v>
      </c>
      <c r="AK125" s="90">
        <f t="shared" si="16"/>
        <v>0</v>
      </c>
      <c r="AL125" s="90">
        <f t="shared" si="17"/>
        <v>0</v>
      </c>
      <c r="AM125" s="90">
        <f t="shared" si="18"/>
        <v>0</v>
      </c>
      <c r="AN125" s="90">
        <f t="shared" si="19"/>
        <v>0</v>
      </c>
      <c r="AO125" s="90">
        <f>SUM(AN125:AN134)</f>
        <v>24.973999999999997</v>
      </c>
      <c r="BQ125" t="str">
        <f t="shared" si="20"/>
        <v>49</v>
      </c>
      <c r="BR125" s="133" t="s">
        <v>985</v>
      </c>
      <c r="BS125">
        <v>0.121</v>
      </c>
      <c r="BT125" s="246" t="s">
        <v>1540</v>
      </c>
      <c r="BU125" s="34" t="s">
        <v>759</v>
      </c>
      <c r="BV125" t="s">
        <v>1499</v>
      </c>
      <c r="BW125">
        <v>0</v>
      </c>
    </row>
    <row r="126" spans="1:75" x14ac:dyDescent="0.25">
      <c r="A126">
        <v>3116</v>
      </c>
      <c r="B126" t="s">
        <v>1312</v>
      </c>
      <c r="C126">
        <v>0.8</v>
      </c>
      <c r="D126" t="s">
        <v>1264</v>
      </c>
      <c r="E126">
        <v>100205</v>
      </c>
      <c r="F126">
        <v>3116</v>
      </c>
      <c r="G126" t="str">
        <f t="shared" si="11"/>
        <v>03116</v>
      </c>
      <c r="H126" t="s">
        <v>315</v>
      </c>
      <c r="I126" t="s">
        <v>1265</v>
      </c>
      <c r="J126" t="s">
        <v>1266</v>
      </c>
      <c r="K126" t="s">
        <v>1267</v>
      </c>
      <c r="L126" t="s">
        <v>1312</v>
      </c>
      <c r="M126" t="s">
        <v>1351</v>
      </c>
      <c r="N126">
        <v>21</v>
      </c>
      <c r="O126" t="str">
        <f t="shared" si="14"/>
        <v>45</v>
      </c>
      <c r="P126">
        <v>45</v>
      </c>
      <c r="R126" t="s">
        <v>1269</v>
      </c>
      <c r="S126">
        <v>0.8</v>
      </c>
      <c r="T126">
        <v>0.28079999999999999</v>
      </c>
      <c r="U126">
        <f t="shared" si="15"/>
        <v>0.22500000000000001</v>
      </c>
      <c r="V126" t="str">
        <f t="shared" si="12"/>
        <v>Middle Speech, Language Pathway/
Audio</v>
      </c>
      <c r="W126" t="str">
        <f t="shared" si="13"/>
        <v>Speech, Language Pathway/
Audio</v>
      </c>
      <c r="Y126" s="88" t="s">
        <v>1340</v>
      </c>
      <c r="Z126" s="90">
        <v>25.277999999999999</v>
      </c>
      <c r="AA126" s="90"/>
      <c r="AB126" s="90"/>
      <c r="AC126" s="90"/>
      <c r="AD126" s="90"/>
      <c r="AE126" s="90"/>
      <c r="AF126" s="90">
        <v>25.277999999999999</v>
      </c>
      <c r="AG126" s="90"/>
      <c r="AI126" s="88" t="s">
        <v>1340</v>
      </c>
      <c r="AJ126" s="90">
        <v>6.081999999999999</v>
      </c>
      <c r="AK126" s="90">
        <f t="shared" si="16"/>
        <v>0</v>
      </c>
      <c r="AL126" s="90">
        <f t="shared" si="17"/>
        <v>0</v>
      </c>
      <c r="AM126" s="90">
        <f t="shared" si="18"/>
        <v>0</v>
      </c>
      <c r="AN126" s="90">
        <f t="shared" si="19"/>
        <v>6.081999999999999</v>
      </c>
      <c r="AO126" t="e">
        <f>#REF!</f>
        <v>#REF!</v>
      </c>
      <c r="BQ126" t="str">
        <f t="shared" si="20"/>
        <v>64</v>
      </c>
      <c r="BR126" s="133" t="s">
        <v>986</v>
      </c>
      <c r="BS126">
        <v>0.122</v>
      </c>
      <c r="BT126" s="246" t="s">
        <v>1541</v>
      </c>
      <c r="BU126" s="34" t="s">
        <v>759</v>
      </c>
      <c r="BV126" t="s">
        <v>1500</v>
      </c>
      <c r="BW126">
        <v>0</v>
      </c>
    </row>
    <row r="127" spans="1:75" x14ac:dyDescent="0.25">
      <c r="A127">
        <v>3116</v>
      </c>
      <c r="B127" t="s">
        <v>1302</v>
      </c>
      <c r="C127">
        <v>0.34399999999999997</v>
      </c>
      <c r="D127" t="s">
        <v>1264</v>
      </c>
      <c r="E127">
        <v>100205</v>
      </c>
      <c r="F127">
        <v>3116</v>
      </c>
      <c r="G127" t="str">
        <f t="shared" si="11"/>
        <v>03116</v>
      </c>
      <c r="H127" t="s">
        <v>315</v>
      </c>
      <c r="I127" t="s">
        <v>1265</v>
      </c>
      <c r="J127" t="s">
        <v>1276</v>
      </c>
      <c r="K127" t="s">
        <v>1277</v>
      </c>
      <c r="L127" t="s">
        <v>1302</v>
      </c>
      <c r="M127" t="s">
        <v>1336</v>
      </c>
      <c r="N127">
        <v>21</v>
      </c>
      <c r="O127" t="str">
        <f t="shared" si="14"/>
        <v>48</v>
      </c>
      <c r="P127">
        <v>48</v>
      </c>
      <c r="R127" t="s">
        <v>1269</v>
      </c>
      <c r="S127">
        <v>0.34399999999999997</v>
      </c>
      <c r="T127">
        <v>0.28079999999999999</v>
      </c>
      <c r="U127">
        <f t="shared" si="15"/>
        <v>9.7000000000000003E-2</v>
      </c>
      <c r="V127" t="str">
        <f t="shared" si="12"/>
        <v>Elementary Physical Therapist</v>
      </c>
      <c r="W127" t="str">
        <f t="shared" si="13"/>
        <v>Physical Therapist</v>
      </c>
      <c r="Y127" s="88" t="s">
        <v>1459</v>
      </c>
      <c r="Z127" s="90"/>
      <c r="AA127" s="90">
        <v>0</v>
      </c>
      <c r="AB127" s="90"/>
      <c r="AC127" s="90"/>
      <c r="AD127" s="90"/>
      <c r="AE127" s="90"/>
      <c r="AF127" s="90">
        <v>0</v>
      </c>
      <c r="AG127" s="90"/>
      <c r="AI127" s="88" t="s">
        <v>1459</v>
      </c>
      <c r="AJ127" s="90">
        <v>0</v>
      </c>
      <c r="AK127" s="90">
        <f t="shared" si="16"/>
        <v>0</v>
      </c>
      <c r="AL127" s="90">
        <f t="shared" si="17"/>
        <v>0</v>
      </c>
      <c r="AM127" s="90">
        <f t="shared" si="18"/>
        <v>0</v>
      </c>
      <c r="AN127" s="90">
        <f t="shared" si="19"/>
        <v>0</v>
      </c>
      <c r="AO127" s="261" t="e">
        <f>SUM(AO125:AO126)</f>
        <v>#REF!</v>
      </c>
      <c r="BQ127" t="str">
        <f t="shared" si="20"/>
        <v>24</v>
      </c>
      <c r="BR127" s="133" t="s">
        <v>987</v>
      </c>
      <c r="BS127">
        <v>0.123</v>
      </c>
      <c r="BT127" s="246" t="s">
        <v>1543</v>
      </c>
      <c r="BU127" s="34" t="s">
        <v>759</v>
      </c>
      <c r="BV127" t="s">
        <v>1382</v>
      </c>
      <c r="BW127">
        <v>0</v>
      </c>
    </row>
    <row r="128" spans="1:75" x14ac:dyDescent="0.25">
      <c r="A128">
        <v>3116</v>
      </c>
      <c r="B128" t="s">
        <v>1330</v>
      </c>
      <c r="C128">
        <v>0.31</v>
      </c>
      <c r="D128" t="s">
        <v>1264</v>
      </c>
      <c r="E128">
        <v>100205</v>
      </c>
      <c r="F128">
        <v>3116</v>
      </c>
      <c r="G128" t="str">
        <f t="shared" si="11"/>
        <v>03116</v>
      </c>
      <c r="H128" t="s">
        <v>315</v>
      </c>
      <c r="I128" t="s">
        <v>1265</v>
      </c>
      <c r="J128" t="s">
        <v>1271</v>
      </c>
      <c r="K128" t="s">
        <v>1272</v>
      </c>
      <c r="L128" t="s">
        <v>1330</v>
      </c>
      <c r="M128" t="s">
        <v>1367</v>
      </c>
      <c r="N128">
        <v>21</v>
      </c>
      <c r="O128" t="str">
        <f t="shared" si="14"/>
        <v>48</v>
      </c>
      <c r="P128">
        <v>48</v>
      </c>
      <c r="R128" t="s">
        <v>1269</v>
      </c>
      <c r="S128">
        <v>0.31</v>
      </c>
      <c r="T128">
        <v>0.28079999999999999</v>
      </c>
      <c r="U128">
        <f t="shared" si="15"/>
        <v>8.6999999999999994E-2</v>
      </c>
      <c r="V128" t="str">
        <f t="shared" si="12"/>
        <v>High Physical Therapist</v>
      </c>
      <c r="W128" t="str">
        <f t="shared" si="13"/>
        <v>Physical Therapist</v>
      </c>
      <c r="Y128" s="88" t="s">
        <v>1343</v>
      </c>
      <c r="Z128" s="90"/>
      <c r="AA128" s="90"/>
      <c r="AB128" s="90">
        <v>9.3689999999999998</v>
      </c>
      <c r="AC128" s="90"/>
      <c r="AD128" s="90"/>
      <c r="AE128" s="90">
        <v>0</v>
      </c>
      <c r="AF128" s="90">
        <v>9.3689999999999998</v>
      </c>
      <c r="AG128" s="90"/>
      <c r="AI128" s="88" t="s">
        <v>1343</v>
      </c>
      <c r="AJ128" s="90">
        <v>0</v>
      </c>
      <c r="AK128" s="90">
        <f t="shared" si="16"/>
        <v>9.3689999999999998</v>
      </c>
      <c r="AL128" s="90">
        <f t="shared" si="17"/>
        <v>0</v>
      </c>
      <c r="AM128" s="90">
        <f t="shared" si="18"/>
        <v>0</v>
      </c>
      <c r="AN128" s="90">
        <f t="shared" si="19"/>
        <v>9.3689999999999998</v>
      </c>
      <c r="BQ128" t="str">
        <f t="shared" si="20"/>
        <v>25</v>
      </c>
      <c r="BR128" s="133" t="s">
        <v>988</v>
      </c>
      <c r="BS128">
        <v>0.124</v>
      </c>
      <c r="BT128" s="247" t="s">
        <v>1545</v>
      </c>
      <c r="BU128" s="34" t="s">
        <v>759</v>
      </c>
      <c r="BV128" t="s">
        <v>1290</v>
      </c>
      <c r="BW128">
        <v>0</v>
      </c>
    </row>
    <row r="129" spans="1:75" x14ac:dyDescent="0.25">
      <c r="A129">
        <v>3116</v>
      </c>
      <c r="B129" t="s">
        <v>1316</v>
      </c>
      <c r="C129">
        <v>0.20599999999999999</v>
      </c>
      <c r="D129" t="s">
        <v>1264</v>
      </c>
      <c r="E129">
        <v>100205</v>
      </c>
      <c r="F129">
        <v>3116</v>
      </c>
      <c r="G129" t="str">
        <f t="shared" si="11"/>
        <v>03116</v>
      </c>
      <c r="H129" t="s">
        <v>315</v>
      </c>
      <c r="I129" t="s">
        <v>1265</v>
      </c>
      <c r="J129" t="s">
        <v>1266</v>
      </c>
      <c r="K129" t="s">
        <v>1267</v>
      </c>
      <c r="L129" t="s">
        <v>1316</v>
      </c>
      <c r="M129" t="s">
        <v>1366</v>
      </c>
      <c r="N129">
        <v>21</v>
      </c>
      <c r="O129" t="str">
        <f t="shared" si="14"/>
        <v>48</v>
      </c>
      <c r="P129">
        <v>48</v>
      </c>
      <c r="R129" t="s">
        <v>1269</v>
      </c>
      <c r="S129">
        <v>0.20599999999999999</v>
      </c>
      <c r="T129">
        <v>0.28079999999999999</v>
      </c>
      <c r="U129">
        <f t="shared" si="15"/>
        <v>5.8000000000000003E-2</v>
      </c>
      <c r="V129" t="str">
        <f t="shared" si="12"/>
        <v>Middle Physical Therapist</v>
      </c>
      <c r="W129" t="str">
        <f t="shared" si="13"/>
        <v>Physical Therapist</v>
      </c>
      <c r="Y129" s="88" t="s">
        <v>1392</v>
      </c>
      <c r="Z129" s="90">
        <v>19.143999999999998</v>
      </c>
      <c r="AA129" s="90"/>
      <c r="AB129" s="90"/>
      <c r="AC129" s="90"/>
      <c r="AD129" s="90"/>
      <c r="AE129" s="90"/>
      <c r="AF129" s="90">
        <v>19.143999999999998</v>
      </c>
      <c r="AG129" s="90"/>
      <c r="AI129" s="88" t="s">
        <v>1392</v>
      </c>
      <c r="AJ129" s="90">
        <v>4.7539999999999996</v>
      </c>
      <c r="AK129" s="90">
        <f t="shared" si="16"/>
        <v>0</v>
      </c>
      <c r="AL129" s="90">
        <f t="shared" si="17"/>
        <v>0</v>
      </c>
      <c r="AM129" s="90">
        <f t="shared" si="18"/>
        <v>0</v>
      </c>
      <c r="AN129" s="90">
        <f t="shared" si="19"/>
        <v>4.7539999999999996</v>
      </c>
      <c r="BQ129" t="str">
        <f t="shared" si="20"/>
        <v>26</v>
      </c>
      <c r="BR129" s="133" t="s">
        <v>989</v>
      </c>
      <c r="BS129">
        <v>0.125</v>
      </c>
      <c r="BT129" s="246" t="s">
        <v>1542</v>
      </c>
      <c r="BU129" s="34" t="s">
        <v>759</v>
      </c>
      <c r="BV129" t="s">
        <v>1501</v>
      </c>
      <c r="BW129">
        <v>0</v>
      </c>
    </row>
    <row r="130" spans="1:75" x14ac:dyDescent="0.25">
      <c r="A130">
        <v>3400</v>
      </c>
      <c r="B130" t="s">
        <v>1383</v>
      </c>
      <c r="C130">
        <v>6.8129999999999997</v>
      </c>
      <c r="D130" t="s">
        <v>1264</v>
      </c>
      <c r="E130">
        <v>100218</v>
      </c>
      <c r="F130">
        <v>3400</v>
      </c>
      <c r="G130" t="str">
        <f t="shared" ref="G130:G193" si="21">TEXT(F130,"00000")</f>
        <v>03400</v>
      </c>
      <c r="H130" t="s">
        <v>316</v>
      </c>
      <c r="I130" t="s">
        <v>1265</v>
      </c>
      <c r="J130" t="s">
        <v>1271</v>
      </c>
      <c r="K130" t="s">
        <v>1272</v>
      </c>
      <c r="L130" t="s">
        <v>1383</v>
      </c>
      <c r="M130" t="s">
        <v>1409</v>
      </c>
      <c r="N130">
        <v>21</v>
      </c>
      <c r="O130" t="str">
        <f t="shared" si="14"/>
        <v>25</v>
      </c>
      <c r="Q130">
        <v>25</v>
      </c>
      <c r="R130" t="s">
        <v>1269</v>
      </c>
      <c r="S130">
        <v>6.8129999999999997</v>
      </c>
      <c r="T130">
        <v>0.26869999999999999</v>
      </c>
      <c r="U130">
        <f t="shared" si="15"/>
        <v>1.831</v>
      </c>
      <c r="V130" t="str">
        <f t="shared" ref="V130:V193" si="22">_xlfn.XLOOKUP(L130,$BV:$BV,$BT:$BT,,0)</f>
        <v>High Pupil Management</v>
      </c>
      <c r="W130" t="str">
        <f t="shared" ref="W130:W193" si="23">_xlfn.TEXTAFTER(V130," ")</f>
        <v>Pupil Management</v>
      </c>
      <c r="Y130" s="88" t="s">
        <v>1499</v>
      </c>
      <c r="Z130" s="90"/>
      <c r="AA130" s="90">
        <v>0</v>
      </c>
      <c r="AB130" s="90"/>
      <c r="AC130" s="90"/>
      <c r="AD130" s="90"/>
      <c r="AE130" s="90"/>
      <c r="AF130" s="90">
        <v>0</v>
      </c>
      <c r="AG130" s="90"/>
      <c r="AI130" s="88" t="s">
        <v>1499</v>
      </c>
      <c r="AJ130" s="90">
        <v>0</v>
      </c>
      <c r="AK130" s="90">
        <f t="shared" si="16"/>
        <v>0</v>
      </c>
      <c r="AL130" s="90">
        <f t="shared" si="17"/>
        <v>0</v>
      </c>
      <c r="AM130" s="90">
        <f t="shared" si="18"/>
        <v>0</v>
      </c>
      <c r="AN130" s="90">
        <f t="shared" si="19"/>
        <v>0</v>
      </c>
      <c r="BQ130" t="str">
        <f t="shared" si="20"/>
        <v>35</v>
      </c>
      <c r="BR130" s="215" t="s">
        <v>1162</v>
      </c>
      <c r="BS130">
        <v>0.126</v>
      </c>
      <c r="BT130" s="247" t="s">
        <v>1554</v>
      </c>
      <c r="BU130" s="34" t="s">
        <v>759</v>
      </c>
      <c r="BV130" t="s">
        <v>1402</v>
      </c>
      <c r="BW130">
        <v>0</v>
      </c>
    </row>
    <row r="131" spans="1:75" x14ac:dyDescent="0.25">
      <c r="A131">
        <v>3400</v>
      </c>
      <c r="B131" t="s">
        <v>1299</v>
      </c>
      <c r="C131">
        <v>3.645</v>
      </c>
      <c r="D131" t="s">
        <v>1264</v>
      </c>
      <c r="E131">
        <v>100218</v>
      </c>
      <c r="F131">
        <v>3400</v>
      </c>
      <c r="G131" t="str">
        <f t="shared" si="21"/>
        <v>03400</v>
      </c>
      <c r="H131" t="s">
        <v>316</v>
      </c>
      <c r="I131" t="s">
        <v>1265</v>
      </c>
      <c r="J131" t="s">
        <v>1271</v>
      </c>
      <c r="K131" t="s">
        <v>1272</v>
      </c>
      <c r="L131" t="s">
        <v>1299</v>
      </c>
      <c r="M131" t="s">
        <v>1300</v>
      </c>
      <c r="N131">
        <v>1</v>
      </c>
      <c r="O131" t="str">
        <f t="shared" ref="O131:O194" si="24">MID(L131,3,2)</f>
        <v>25</v>
      </c>
      <c r="Q131">
        <v>25</v>
      </c>
      <c r="R131" t="s">
        <v>1269</v>
      </c>
      <c r="S131">
        <v>3.645</v>
      </c>
      <c r="T131">
        <v>0.26869999999999999</v>
      </c>
      <c r="U131">
        <f t="shared" ref="U131:U194" si="25">IF(N131=21,ROUND(T131*S131,3),0)</f>
        <v>0</v>
      </c>
      <c r="V131" t="str">
        <f t="shared" si="22"/>
        <v>High Pupil Management</v>
      </c>
      <c r="W131" t="str">
        <f t="shared" si="23"/>
        <v>Pupil Management</v>
      </c>
      <c r="Y131" s="88" t="s">
        <v>1399</v>
      </c>
      <c r="Z131" s="90"/>
      <c r="AA131" s="90"/>
      <c r="AB131" s="90">
        <v>2.1560000000000001</v>
      </c>
      <c r="AC131" s="90"/>
      <c r="AD131" s="90"/>
      <c r="AE131" s="90">
        <v>0</v>
      </c>
      <c r="AF131" s="90">
        <v>2.1560000000000001</v>
      </c>
      <c r="AG131" s="90"/>
      <c r="AI131" s="88" t="s">
        <v>1399</v>
      </c>
      <c r="AJ131" s="90">
        <v>0</v>
      </c>
      <c r="AK131" s="90">
        <f t="shared" si="16"/>
        <v>2.1560000000000001</v>
      </c>
      <c r="AL131" s="90">
        <f t="shared" si="17"/>
        <v>0</v>
      </c>
      <c r="AM131" s="90">
        <f t="shared" si="18"/>
        <v>0</v>
      </c>
      <c r="AN131" s="90">
        <f t="shared" si="19"/>
        <v>2.1560000000000001</v>
      </c>
      <c r="BQ131" t="str">
        <f t="shared" si="20"/>
        <v>39</v>
      </c>
      <c r="BR131" s="134" t="s">
        <v>1016</v>
      </c>
      <c r="BS131">
        <v>0.127</v>
      </c>
      <c r="BT131" s="248" t="s">
        <v>1534</v>
      </c>
      <c r="BU131" s="34" t="s">
        <v>759</v>
      </c>
      <c r="BV131" t="s">
        <v>1384</v>
      </c>
      <c r="BW131">
        <v>0</v>
      </c>
    </row>
    <row r="132" spans="1:75" x14ac:dyDescent="0.25">
      <c r="A132">
        <v>3400</v>
      </c>
      <c r="B132" t="s">
        <v>1324</v>
      </c>
      <c r="C132">
        <v>5.6</v>
      </c>
      <c r="D132" t="s">
        <v>1264</v>
      </c>
      <c r="E132">
        <v>100218</v>
      </c>
      <c r="F132">
        <v>3400</v>
      </c>
      <c r="G132" t="str">
        <f t="shared" si="21"/>
        <v>03400</v>
      </c>
      <c r="H132" t="s">
        <v>316</v>
      </c>
      <c r="I132" t="s">
        <v>1265</v>
      </c>
      <c r="J132" t="s">
        <v>1271</v>
      </c>
      <c r="K132" t="s">
        <v>1272</v>
      </c>
      <c r="L132" t="s">
        <v>1324</v>
      </c>
      <c r="M132" t="s">
        <v>1325</v>
      </c>
      <c r="N132">
        <v>21</v>
      </c>
      <c r="O132" t="str">
        <f t="shared" si="24"/>
        <v>26</v>
      </c>
      <c r="Q132">
        <v>26</v>
      </c>
      <c r="R132" t="s">
        <v>1269</v>
      </c>
      <c r="S132">
        <v>5.6</v>
      </c>
      <c r="T132">
        <v>0.26869999999999999</v>
      </c>
      <c r="U132">
        <f t="shared" si="25"/>
        <v>1.5049999999999999</v>
      </c>
      <c r="V132" t="str">
        <f t="shared" si="22"/>
        <v>High Health/
Related Services</v>
      </c>
      <c r="W132" t="str">
        <f t="shared" si="23"/>
        <v>Health/
Related Services</v>
      </c>
      <c r="Y132" s="88" t="s">
        <v>1374</v>
      </c>
      <c r="Z132" s="90">
        <v>6.3240000000000007</v>
      </c>
      <c r="AA132" s="90"/>
      <c r="AB132" s="90"/>
      <c r="AC132" s="90"/>
      <c r="AD132" s="90"/>
      <c r="AE132" s="90"/>
      <c r="AF132" s="90">
        <v>6.3240000000000007</v>
      </c>
      <c r="AG132" s="90"/>
      <c r="AI132" s="88" t="s">
        <v>1374</v>
      </c>
      <c r="AJ132" s="90">
        <v>1.5730000000000002</v>
      </c>
      <c r="AK132" s="90">
        <f t="shared" si="16"/>
        <v>0</v>
      </c>
      <c r="AL132" s="90">
        <f t="shared" si="17"/>
        <v>0</v>
      </c>
      <c r="AM132" s="90">
        <f t="shared" si="18"/>
        <v>0</v>
      </c>
      <c r="AN132" s="90">
        <f t="shared" si="19"/>
        <v>1.5730000000000002</v>
      </c>
      <c r="BQ132" t="str">
        <f t="shared" si="20"/>
        <v>42</v>
      </c>
      <c r="BR132" s="134" t="s">
        <v>1017</v>
      </c>
      <c r="BS132">
        <v>0.128</v>
      </c>
      <c r="BT132" s="248" t="s">
        <v>1535</v>
      </c>
      <c r="BU132" s="34" t="s">
        <v>759</v>
      </c>
      <c r="BV132" t="s">
        <v>1385</v>
      </c>
      <c r="BW132">
        <v>0</v>
      </c>
    </row>
    <row r="133" spans="1:75" x14ac:dyDescent="0.25">
      <c r="A133">
        <v>3400</v>
      </c>
      <c r="B133" t="s">
        <v>1295</v>
      </c>
      <c r="C133">
        <v>8.9109999999999996</v>
      </c>
      <c r="D133" t="s">
        <v>1264</v>
      </c>
      <c r="E133">
        <v>100218</v>
      </c>
      <c r="F133">
        <v>3400</v>
      </c>
      <c r="G133" t="str">
        <f t="shared" si="21"/>
        <v>03400</v>
      </c>
      <c r="H133" t="s">
        <v>316</v>
      </c>
      <c r="I133" t="s">
        <v>1265</v>
      </c>
      <c r="J133" t="s">
        <v>1271</v>
      </c>
      <c r="K133" t="s">
        <v>1272</v>
      </c>
      <c r="L133" t="s">
        <v>1295</v>
      </c>
      <c r="M133" t="s">
        <v>1296</v>
      </c>
      <c r="N133">
        <v>1</v>
      </c>
      <c r="O133" t="str">
        <f t="shared" si="24"/>
        <v>26</v>
      </c>
      <c r="Q133">
        <v>26</v>
      </c>
      <c r="R133" t="s">
        <v>1269</v>
      </c>
      <c r="S133">
        <v>8.9109999999999996</v>
      </c>
      <c r="T133">
        <v>0.26869999999999999</v>
      </c>
      <c r="U133">
        <f t="shared" si="25"/>
        <v>0</v>
      </c>
      <c r="V133" t="str">
        <f t="shared" si="22"/>
        <v>High Health/
Related Services</v>
      </c>
      <c r="W133" t="str">
        <f t="shared" si="23"/>
        <v>Health/
Related Services</v>
      </c>
      <c r="Y133" s="88" t="s">
        <v>1486</v>
      </c>
      <c r="Z133" s="90"/>
      <c r="AA133" s="90">
        <v>0</v>
      </c>
      <c r="AB133" s="90"/>
      <c r="AC133" s="90"/>
      <c r="AD133" s="90"/>
      <c r="AE133" s="90"/>
      <c r="AF133" s="90">
        <v>0</v>
      </c>
      <c r="AG133" s="90"/>
      <c r="AI133" s="88" t="s">
        <v>1486</v>
      </c>
      <c r="AJ133" s="90">
        <v>0</v>
      </c>
      <c r="AK133" s="90">
        <f t="shared" si="16"/>
        <v>0</v>
      </c>
      <c r="AL133" s="90">
        <f t="shared" si="17"/>
        <v>0</v>
      </c>
      <c r="AM133" s="90">
        <f t="shared" si="18"/>
        <v>0</v>
      </c>
      <c r="AN133" s="90">
        <f t="shared" si="19"/>
        <v>0</v>
      </c>
      <c r="BQ133" t="str">
        <f t="shared" si="20"/>
        <v>43</v>
      </c>
      <c r="BR133" s="134" t="s">
        <v>1018</v>
      </c>
      <c r="BS133">
        <v>0.129</v>
      </c>
      <c r="BT133" s="248" t="s">
        <v>1555</v>
      </c>
      <c r="BU133" s="34" t="s">
        <v>759</v>
      </c>
      <c r="BV133" t="s">
        <v>1387</v>
      </c>
      <c r="BW133">
        <v>0</v>
      </c>
    </row>
    <row r="134" spans="1:75" x14ac:dyDescent="0.25">
      <c r="A134">
        <v>3400</v>
      </c>
      <c r="B134" t="s">
        <v>1319</v>
      </c>
      <c r="C134">
        <v>1</v>
      </c>
      <c r="D134" t="s">
        <v>1264</v>
      </c>
      <c r="E134">
        <v>100218</v>
      </c>
      <c r="F134">
        <v>3400</v>
      </c>
      <c r="G134" t="str">
        <f t="shared" si="21"/>
        <v>03400</v>
      </c>
      <c r="H134" t="s">
        <v>316</v>
      </c>
      <c r="I134" t="s">
        <v>1265</v>
      </c>
      <c r="J134" t="s">
        <v>1276</v>
      </c>
      <c r="K134" t="s">
        <v>1277</v>
      </c>
      <c r="L134" t="s">
        <v>1319</v>
      </c>
      <c r="M134" t="s">
        <v>1426</v>
      </c>
      <c r="N134">
        <v>21</v>
      </c>
      <c r="O134" t="str">
        <f t="shared" si="24"/>
        <v>39</v>
      </c>
      <c r="P134">
        <v>39</v>
      </c>
      <c r="R134" t="s">
        <v>1269</v>
      </c>
      <c r="S134">
        <v>1</v>
      </c>
      <c r="T134">
        <v>0.26869999999999999</v>
      </c>
      <c r="U134">
        <f t="shared" si="25"/>
        <v>0.26900000000000002</v>
      </c>
      <c r="V134" t="str">
        <f t="shared" si="22"/>
        <v>Elementary Orientation &amp; Mobility Specialist</v>
      </c>
      <c r="W134" t="str">
        <f t="shared" si="23"/>
        <v>Orientation &amp; Mobility Specialist</v>
      </c>
      <c r="Y134" s="88" t="s">
        <v>1477</v>
      </c>
      <c r="Z134" s="90"/>
      <c r="AA134" s="90"/>
      <c r="AB134" s="90">
        <v>1.04</v>
      </c>
      <c r="AC134" s="90"/>
      <c r="AD134" s="90"/>
      <c r="AE134" s="90">
        <v>0</v>
      </c>
      <c r="AF134" s="90">
        <v>1.04</v>
      </c>
      <c r="AG134" s="90"/>
      <c r="AI134" s="88" t="s">
        <v>1477</v>
      </c>
      <c r="AJ134" s="90">
        <v>0</v>
      </c>
      <c r="AK134" s="90">
        <f t="shared" ref="AK134:AK144" si="26">AB134</f>
        <v>1.04</v>
      </c>
      <c r="AL134" s="90">
        <f t="shared" ref="AL134:AL144" si="27">AC134</f>
        <v>0</v>
      </c>
      <c r="AM134" s="90">
        <f t="shared" ref="AM134:AM144" si="28">AA134</f>
        <v>0</v>
      </c>
      <c r="AN134" s="90">
        <f t="shared" ref="AN134:AN144" si="29">SUM(AJ134:AM134)</f>
        <v>1.04</v>
      </c>
      <c r="BQ134" t="str">
        <f t="shared" ref="BQ134:BQ144" si="30">MID(BR134,3,2)</f>
        <v>44</v>
      </c>
      <c r="BR134" s="134" t="s">
        <v>1019</v>
      </c>
      <c r="BS134">
        <v>0.13</v>
      </c>
      <c r="BT134" s="248" t="s">
        <v>1536</v>
      </c>
      <c r="BU134" s="34" t="s">
        <v>759</v>
      </c>
      <c r="BV134" t="s">
        <v>1390</v>
      </c>
      <c r="BW134">
        <v>0</v>
      </c>
    </row>
    <row r="135" spans="1:75" x14ac:dyDescent="0.25">
      <c r="A135">
        <v>3400</v>
      </c>
      <c r="B135" t="s">
        <v>1450</v>
      </c>
      <c r="C135">
        <v>1</v>
      </c>
      <c r="D135" t="s">
        <v>1264</v>
      </c>
      <c r="E135">
        <v>100218</v>
      </c>
      <c r="F135">
        <v>3400</v>
      </c>
      <c r="G135" t="str">
        <f t="shared" si="21"/>
        <v>03400</v>
      </c>
      <c r="H135" t="s">
        <v>316</v>
      </c>
      <c r="I135" t="s">
        <v>1265</v>
      </c>
      <c r="J135" t="s">
        <v>1276</v>
      </c>
      <c r="K135" t="s">
        <v>1277</v>
      </c>
      <c r="L135" t="s">
        <v>1450</v>
      </c>
      <c r="M135" t="s">
        <v>1639</v>
      </c>
      <c r="N135">
        <v>1</v>
      </c>
      <c r="O135" t="str">
        <f t="shared" si="24"/>
        <v>39</v>
      </c>
      <c r="P135">
        <v>39</v>
      </c>
      <c r="R135" t="s">
        <v>1269</v>
      </c>
      <c r="S135">
        <v>1</v>
      </c>
      <c r="T135">
        <v>0.26869999999999999</v>
      </c>
      <c r="U135">
        <f t="shared" si="25"/>
        <v>0</v>
      </c>
      <c r="V135" t="str">
        <f t="shared" si="22"/>
        <v>Elementary Orientation &amp; Mobility Specialist</v>
      </c>
      <c r="W135" t="str">
        <f t="shared" si="23"/>
        <v>Orientation &amp; Mobility Specialist</v>
      </c>
      <c r="Y135" s="88" t="s">
        <v>1472</v>
      </c>
      <c r="Z135" s="90"/>
      <c r="AA135" s="90"/>
      <c r="AB135" s="90"/>
      <c r="AC135" s="90">
        <v>0.36</v>
      </c>
      <c r="AD135" s="90">
        <v>0</v>
      </c>
      <c r="AE135" s="90"/>
      <c r="AF135" s="90">
        <v>0.36</v>
      </c>
      <c r="AG135" s="90"/>
      <c r="AI135" s="88" t="s">
        <v>1472</v>
      </c>
      <c r="AJ135" s="90">
        <v>0</v>
      </c>
      <c r="AK135" s="90">
        <f t="shared" si="26"/>
        <v>0</v>
      </c>
      <c r="AL135" s="90">
        <f t="shared" si="27"/>
        <v>0.36</v>
      </c>
      <c r="AM135" s="90">
        <f t="shared" si="28"/>
        <v>0</v>
      </c>
      <c r="AN135" s="90">
        <f t="shared" si="29"/>
        <v>0.36</v>
      </c>
      <c r="AO135" s="90">
        <f>SUM(AN135:AN144)</f>
        <v>36.450000000000003</v>
      </c>
      <c r="BQ135" t="str">
        <f t="shared" si="30"/>
        <v>45</v>
      </c>
      <c r="BR135" s="134" t="s">
        <v>1020</v>
      </c>
      <c r="BS135">
        <v>0.13100000000000001</v>
      </c>
      <c r="BT135" s="248" t="s">
        <v>1537</v>
      </c>
      <c r="BU135" s="34" t="s">
        <v>759</v>
      </c>
      <c r="BV135" t="s">
        <v>1326</v>
      </c>
      <c r="BW135">
        <v>0</v>
      </c>
    </row>
    <row r="136" spans="1:75" x14ac:dyDescent="0.25">
      <c r="A136">
        <v>3400</v>
      </c>
      <c r="B136" t="s">
        <v>1275</v>
      </c>
      <c r="C136">
        <v>11.445</v>
      </c>
      <c r="D136" t="s">
        <v>1264</v>
      </c>
      <c r="E136">
        <v>100218</v>
      </c>
      <c r="F136">
        <v>3400</v>
      </c>
      <c r="G136" t="str">
        <f t="shared" si="21"/>
        <v>03400</v>
      </c>
      <c r="H136" t="s">
        <v>316</v>
      </c>
      <c r="I136" t="s">
        <v>1265</v>
      </c>
      <c r="J136" t="s">
        <v>1276</v>
      </c>
      <c r="K136" t="s">
        <v>1277</v>
      </c>
      <c r="L136" t="s">
        <v>1275</v>
      </c>
      <c r="M136" t="s">
        <v>1278</v>
      </c>
      <c r="N136">
        <v>1</v>
      </c>
      <c r="O136" t="str">
        <f t="shared" si="24"/>
        <v>42</v>
      </c>
      <c r="P136">
        <v>42</v>
      </c>
      <c r="R136" t="s">
        <v>1269</v>
      </c>
      <c r="S136">
        <v>11.445</v>
      </c>
      <c r="T136">
        <v>0.26869999999999999</v>
      </c>
      <c r="U136">
        <f t="shared" si="25"/>
        <v>0</v>
      </c>
      <c r="V136" t="str">
        <f t="shared" si="22"/>
        <v>Elementary Counselor</v>
      </c>
      <c r="W136" t="str">
        <f t="shared" si="23"/>
        <v>Counselor</v>
      </c>
      <c r="Y136" s="88" t="s">
        <v>1306</v>
      </c>
      <c r="Z136" s="90">
        <v>91.366</v>
      </c>
      <c r="AA136" s="90"/>
      <c r="AB136" s="90"/>
      <c r="AC136" s="90"/>
      <c r="AD136" s="90"/>
      <c r="AE136" s="90"/>
      <c r="AF136" s="90">
        <v>91.366</v>
      </c>
      <c r="AG136" s="90"/>
      <c r="AI136" s="88" t="s">
        <v>1306</v>
      </c>
      <c r="AJ136" s="90">
        <v>22.903000000000002</v>
      </c>
      <c r="AK136" s="90">
        <f t="shared" si="26"/>
        <v>0</v>
      </c>
      <c r="AL136" s="90">
        <f t="shared" si="27"/>
        <v>0</v>
      </c>
      <c r="AM136" s="90">
        <f t="shared" si="28"/>
        <v>0</v>
      </c>
      <c r="AN136" s="90">
        <f t="shared" si="29"/>
        <v>22.903000000000002</v>
      </c>
      <c r="AO136" t="e">
        <f>#REF!</f>
        <v>#REF!</v>
      </c>
      <c r="BQ136" t="str">
        <f t="shared" si="30"/>
        <v>46</v>
      </c>
      <c r="BR136" s="134" t="s">
        <v>1021</v>
      </c>
      <c r="BS136">
        <v>0.13200000000000001</v>
      </c>
      <c r="BT136" s="248" t="s">
        <v>1548</v>
      </c>
      <c r="BU136" s="34" t="s">
        <v>759</v>
      </c>
      <c r="BV136" t="s">
        <v>1309</v>
      </c>
      <c r="BW136">
        <v>0</v>
      </c>
    </row>
    <row r="137" spans="1:75" x14ac:dyDescent="0.25">
      <c r="A137">
        <v>3400</v>
      </c>
      <c r="B137" t="s">
        <v>1270</v>
      </c>
      <c r="C137">
        <v>15</v>
      </c>
      <c r="D137" t="s">
        <v>1264</v>
      </c>
      <c r="E137">
        <v>100218</v>
      </c>
      <c r="F137">
        <v>3400</v>
      </c>
      <c r="G137" t="str">
        <f t="shared" si="21"/>
        <v>03400</v>
      </c>
      <c r="H137" t="s">
        <v>316</v>
      </c>
      <c r="I137" t="s">
        <v>1265</v>
      </c>
      <c r="J137" t="s">
        <v>1271</v>
      </c>
      <c r="K137" t="s">
        <v>1272</v>
      </c>
      <c r="L137" t="s">
        <v>1270</v>
      </c>
      <c r="M137" t="s">
        <v>1273</v>
      </c>
      <c r="N137">
        <v>1</v>
      </c>
      <c r="O137" t="str">
        <f t="shared" si="24"/>
        <v>42</v>
      </c>
      <c r="P137">
        <v>42</v>
      </c>
      <c r="R137" t="s">
        <v>1269</v>
      </c>
      <c r="S137">
        <v>15</v>
      </c>
      <c r="T137">
        <v>0.26869999999999999</v>
      </c>
      <c r="U137">
        <f t="shared" si="25"/>
        <v>0</v>
      </c>
      <c r="V137" t="str">
        <f t="shared" si="22"/>
        <v>High Counselor</v>
      </c>
      <c r="W137" t="str">
        <f t="shared" si="23"/>
        <v>Counselor</v>
      </c>
      <c r="Y137" s="88" t="s">
        <v>1460</v>
      </c>
      <c r="Z137" s="90"/>
      <c r="AA137" s="90">
        <v>0</v>
      </c>
      <c r="AB137" s="90"/>
      <c r="AC137" s="90"/>
      <c r="AD137" s="90"/>
      <c r="AE137" s="90"/>
      <c r="AF137" s="90">
        <v>0</v>
      </c>
      <c r="AG137" s="90"/>
      <c r="AI137" s="88" t="s">
        <v>1460</v>
      </c>
      <c r="AJ137" s="90">
        <v>0</v>
      </c>
      <c r="AK137" s="90">
        <f t="shared" si="26"/>
        <v>0</v>
      </c>
      <c r="AL137" s="90">
        <f t="shared" si="27"/>
        <v>0</v>
      </c>
      <c r="AM137" s="90">
        <f t="shared" si="28"/>
        <v>0</v>
      </c>
      <c r="AN137" s="90">
        <f t="shared" si="29"/>
        <v>0</v>
      </c>
      <c r="AO137" s="261" t="e">
        <f>SUM(AO135:AO136)</f>
        <v>#REF!</v>
      </c>
      <c r="BQ137" t="str">
        <f t="shared" si="30"/>
        <v>47</v>
      </c>
      <c r="BR137" s="134" t="s">
        <v>1022</v>
      </c>
      <c r="BS137">
        <v>0.13300000000000001</v>
      </c>
      <c r="BT137" s="248" t="s">
        <v>1538</v>
      </c>
      <c r="BU137" s="34" t="s">
        <v>759</v>
      </c>
      <c r="BV137" t="s">
        <v>1397</v>
      </c>
      <c r="BW137">
        <v>0</v>
      </c>
    </row>
    <row r="138" spans="1:75" x14ac:dyDescent="0.25">
      <c r="A138">
        <v>3400</v>
      </c>
      <c r="B138" t="s">
        <v>1263</v>
      </c>
      <c r="C138">
        <v>9.8000000000000007</v>
      </c>
      <c r="D138" t="s">
        <v>1264</v>
      </c>
      <c r="E138">
        <v>100218</v>
      </c>
      <c r="F138">
        <v>3400</v>
      </c>
      <c r="G138" t="str">
        <f t="shared" si="21"/>
        <v>03400</v>
      </c>
      <c r="H138" t="s">
        <v>316</v>
      </c>
      <c r="I138" t="s">
        <v>1265</v>
      </c>
      <c r="J138" t="s">
        <v>1266</v>
      </c>
      <c r="K138" t="s">
        <v>1267</v>
      </c>
      <c r="L138" t="s">
        <v>1263</v>
      </c>
      <c r="M138" t="s">
        <v>1268</v>
      </c>
      <c r="N138">
        <v>1</v>
      </c>
      <c r="O138" t="str">
        <f t="shared" si="24"/>
        <v>42</v>
      </c>
      <c r="P138">
        <v>42</v>
      </c>
      <c r="R138" t="s">
        <v>1269</v>
      </c>
      <c r="S138">
        <v>9.8000000000000007</v>
      </c>
      <c r="T138">
        <v>0.26869999999999999</v>
      </c>
      <c r="U138">
        <f t="shared" si="25"/>
        <v>0</v>
      </c>
      <c r="V138" t="str">
        <f t="shared" si="22"/>
        <v>Middle Counselor</v>
      </c>
      <c r="W138" t="str">
        <f t="shared" si="23"/>
        <v>Counselor</v>
      </c>
      <c r="Y138" s="88" t="s">
        <v>1347</v>
      </c>
      <c r="Z138" s="90"/>
      <c r="AA138" s="90"/>
      <c r="AB138" s="90">
        <v>1.4039999999999999</v>
      </c>
      <c r="AC138" s="90"/>
      <c r="AD138" s="90"/>
      <c r="AE138" s="90">
        <v>0</v>
      </c>
      <c r="AF138" s="90">
        <v>1.4039999999999999</v>
      </c>
      <c r="AI138" s="88" t="s">
        <v>1347</v>
      </c>
      <c r="AJ138" s="90">
        <v>0</v>
      </c>
      <c r="AK138" s="90">
        <f t="shared" si="26"/>
        <v>1.4039999999999999</v>
      </c>
      <c r="AL138" s="90">
        <f t="shared" si="27"/>
        <v>0</v>
      </c>
      <c r="AM138" s="90">
        <f t="shared" si="28"/>
        <v>0</v>
      </c>
      <c r="AN138" s="90">
        <f t="shared" si="29"/>
        <v>1.4039999999999999</v>
      </c>
      <c r="BQ138" t="str">
        <f t="shared" si="30"/>
        <v>48</v>
      </c>
      <c r="BR138" s="134" t="s">
        <v>1023</v>
      </c>
      <c r="BS138">
        <v>0.13400000000000001</v>
      </c>
      <c r="BT138" s="248" t="s">
        <v>1539</v>
      </c>
      <c r="BU138" s="34" t="s">
        <v>759</v>
      </c>
      <c r="BV138" t="s">
        <v>1330</v>
      </c>
      <c r="BW138">
        <v>0</v>
      </c>
    </row>
    <row r="139" spans="1:75" x14ac:dyDescent="0.25">
      <c r="A139">
        <v>3400</v>
      </c>
      <c r="B139" t="s">
        <v>1289</v>
      </c>
      <c r="C139">
        <v>8.2129999999999992</v>
      </c>
      <c r="D139" t="s">
        <v>1264</v>
      </c>
      <c r="E139">
        <v>100218</v>
      </c>
      <c r="F139">
        <v>3400</v>
      </c>
      <c r="G139" t="str">
        <f t="shared" si="21"/>
        <v>03400</v>
      </c>
      <c r="H139" t="s">
        <v>316</v>
      </c>
      <c r="I139" t="s">
        <v>1265</v>
      </c>
      <c r="J139" t="s">
        <v>1276</v>
      </c>
      <c r="K139" t="s">
        <v>1277</v>
      </c>
      <c r="L139" t="s">
        <v>1289</v>
      </c>
      <c r="M139" t="s">
        <v>1307</v>
      </c>
      <c r="N139">
        <v>21</v>
      </c>
      <c r="O139" t="str">
        <f t="shared" si="24"/>
        <v>43</v>
      </c>
      <c r="P139">
        <v>43</v>
      </c>
      <c r="R139" t="s">
        <v>1269</v>
      </c>
      <c r="S139">
        <v>8.2129999999999992</v>
      </c>
      <c r="T139">
        <v>0.26869999999999999</v>
      </c>
      <c r="U139">
        <f t="shared" si="25"/>
        <v>2.2069999999999999</v>
      </c>
      <c r="V139" t="str">
        <f t="shared" si="22"/>
        <v>Elementary Occupational Therapist</v>
      </c>
      <c r="W139" t="str">
        <f t="shared" si="23"/>
        <v>Occupational Therapist</v>
      </c>
      <c r="Y139" s="88" t="s">
        <v>1317</v>
      </c>
      <c r="Z139" s="90">
        <v>23.401000000000003</v>
      </c>
      <c r="AA139" s="90"/>
      <c r="AB139" s="90"/>
      <c r="AC139" s="90"/>
      <c r="AD139" s="90"/>
      <c r="AE139" s="90"/>
      <c r="AF139" s="90">
        <v>23.401000000000003</v>
      </c>
      <c r="AI139" s="88" t="s">
        <v>1317</v>
      </c>
      <c r="AJ139" s="90">
        <v>5.8550000000000004</v>
      </c>
      <c r="AK139" s="90">
        <f t="shared" si="26"/>
        <v>0</v>
      </c>
      <c r="AL139" s="90">
        <f t="shared" si="27"/>
        <v>0</v>
      </c>
      <c r="AM139" s="90">
        <f t="shared" si="28"/>
        <v>0</v>
      </c>
      <c r="AN139" s="90">
        <f t="shared" si="29"/>
        <v>5.8550000000000004</v>
      </c>
      <c r="BQ139" t="str">
        <f t="shared" si="30"/>
        <v>49</v>
      </c>
      <c r="BR139" s="134" t="s">
        <v>1024</v>
      </c>
      <c r="BS139">
        <v>0.13500000000000001</v>
      </c>
      <c r="BT139" s="248" t="s">
        <v>1540</v>
      </c>
      <c r="BU139" s="34" t="s">
        <v>759</v>
      </c>
      <c r="BV139" t="s">
        <v>1392</v>
      </c>
      <c r="BW139">
        <v>0</v>
      </c>
    </row>
    <row r="140" spans="1:75" x14ac:dyDescent="0.25">
      <c r="A140">
        <v>3400</v>
      </c>
      <c r="B140" t="s">
        <v>1329</v>
      </c>
      <c r="C140">
        <v>0.5</v>
      </c>
      <c r="D140" t="s">
        <v>1264</v>
      </c>
      <c r="E140">
        <v>100218</v>
      </c>
      <c r="F140">
        <v>3400</v>
      </c>
      <c r="G140" t="str">
        <f t="shared" si="21"/>
        <v>03400</v>
      </c>
      <c r="H140" t="s">
        <v>316</v>
      </c>
      <c r="I140" t="s">
        <v>1265</v>
      </c>
      <c r="J140" t="s">
        <v>1276</v>
      </c>
      <c r="K140" t="s">
        <v>1277</v>
      </c>
      <c r="L140" t="s">
        <v>1329</v>
      </c>
      <c r="M140" t="s">
        <v>1418</v>
      </c>
      <c r="N140">
        <v>21</v>
      </c>
      <c r="O140" t="str">
        <f t="shared" si="24"/>
        <v>44</v>
      </c>
      <c r="P140">
        <v>44</v>
      </c>
      <c r="R140" t="s">
        <v>1269</v>
      </c>
      <c r="S140">
        <v>0.5</v>
      </c>
      <c r="T140">
        <v>0.26869999999999999</v>
      </c>
      <c r="U140">
        <f t="shared" si="25"/>
        <v>0.13400000000000001</v>
      </c>
      <c r="V140" t="str">
        <f t="shared" si="22"/>
        <v>Elementary Social Worker</v>
      </c>
      <c r="W140" t="str">
        <f t="shared" si="23"/>
        <v>Social Worker</v>
      </c>
      <c r="Y140" s="88" t="s">
        <v>1500</v>
      </c>
      <c r="Z140" s="90"/>
      <c r="AA140" s="90">
        <v>0</v>
      </c>
      <c r="AB140" s="90"/>
      <c r="AC140" s="90"/>
      <c r="AD140" s="90"/>
      <c r="AE140" s="90"/>
      <c r="AF140" s="90">
        <v>0</v>
      </c>
      <c r="AI140" s="88" t="s">
        <v>1500</v>
      </c>
      <c r="AJ140" s="90">
        <v>0</v>
      </c>
      <c r="AK140" s="90">
        <f t="shared" si="26"/>
        <v>0</v>
      </c>
      <c r="AL140" s="90">
        <f t="shared" si="27"/>
        <v>0</v>
      </c>
      <c r="AM140" s="90">
        <f t="shared" si="28"/>
        <v>0</v>
      </c>
      <c r="AN140" s="90">
        <f t="shared" si="29"/>
        <v>0</v>
      </c>
      <c r="BQ140" t="str">
        <f t="shared" si="30"/>
        <v>64</v>
      </c>
      <c r="BR140" s="134" t="s">
        <v>1025</v>
      </c>
      <c r="BS140">
        <v>0.13600000000000001</v>
      </c>
      <c r="BT140" s="248" t="s">
        <v>1541</v>
      </c>
      <c r="BU140" s="34" t="s">
        <v>759</v>
      </c>
      <c r="BV140" t="s">
        <v>1317</v>
      </c>
      <c r="BW140">
        <v>0</v>
      </c>
    </row>
    <row r="141" spans="1:75" x14ac:dyDescent="0.25">
      <c r="A141">
        <v>3400</v>
      </c>
      <c r="B141" t="s">
        <v>1331</v>
      </c>
      <c r="C141">
        <v>0.5</v>
      </c>
      <c r="D141" t="s">
        <v>1264</v>
      </c>
      <c r="E141">
        <v>100218</v>
      </c>
      <c r="F141">
        <v>3400</v>
      </c>
      <c r="G141" t="str">
        <f t="shared" si="21"/>
        <v>03400</v>
      </c>
      <c r="H141" t="s">
        <v>316</v>
      </c>
      <c r="I141" t="s">
        <v>1265</v>
      </c>
      <c r="J141" t="s">
        <v>1276</v>
      </c>
      <c r="K141" t="s">
        <v>1277</v>
      </c>
      <c r="L141" t="s">
        <v>1331</v>
      </c>
      <c r="M141" t="s">
        <v>1405</v>
      </c>
      <c r="N141">
        <v>1</v>
      </c>
      <c r="O141" t="str">
        <f t="shared" si="24"/>
        <v>44</v>
      </c>
      <c r="P141">
        <v>44</v>
      </c>
      <c r="R141" t="s">
        <v>1269</v>
      </c>
      <c r="S141">
        <v>0.5</v>
      </c>
      <c r="T141">
        <v>0.26869999999999999</v>
      </c>
      <c r="U141">
        <f t="shared" si="25"/>
        <v>0</v>
      </c>
      <c r="V141" t="str">
        <f t="shared" si="22"/>
        <v>Elementary Social Worker</v>
      </c>
      <c r="W141" t="str">
        <f t="shared" si="23"/>
        <v>Social Worker</v>
      </c>
      <c r="Y141" s="88" t="s">
        <v>1400</v>
      </c>
      <c r="Z141" s="90"/>
      <c r="AA141" s="90"/>
      <c r="AB141" s="90">
        <v>0.497</v>
      </c>
      <c r="AC141" s="90"/>
      <c r="AD141" s="90"/>
      <c r="AE141" s="90">
        <v>0</v>
      </c>
      <c r="AF141" s="90">
        <v>0.497</v>
      </c>
      <c r="AI141" s="88" t="s">
        <v>1400</v>
      </c>
      <c r="AJ141" s="90">
        <v>0</v>
      </c>
      <c r="AK141" s="90">
        <f t="shared" si="26"/>
        <v>0.497</v>
      </c>
      <c r="AL141" s="90">
        <f t="shared" si="27"/>
        <v>0</v>
      </c>
      <c r="AM141" s="90">
        <f t="shared" si="28"/>
        <v>0</v>
      </c>
      <c r="AN141" s="90">
        <f t="shared" si="29"/>
        <v>0.497</v>
      </c>
      <c r="BQ141" t="str">
        <f t="shared" si="30"/>
        <v>24</v>
      </c>
      <c r="BR141" s="134" t="s">
        <v>1026</v>
      </c>
      <c r="BS141">
        <v>0.13700000000000001</v>
      </c>
      <c r="BT141" s="248" t="s">
        <v>1543</v>
      </c>
      <c r="BU141" s="34" t="s">
        <v>759</v>
      </c>
      <c r="BV141" t="s">
        <v>1379</v>
      </c>
      <c r="BW141">
        <v>0</v>
      </c>
    </row>
    <row r="142" spans="1:75" x14ac:dyDescent="0.25">
      <c r="A142">
        <v>3400</v>
      </c>
      <c r="B142" t="s">
        <v>1390</v>
      </c>
      <c r="C142">
        <v>0.5</v>
      </c>
      <c r="D142" t="s">
        <v>1264</v>
      </c>
      <c r="E142">
        <v>100218</v>
      </c>
      <c r="F142">
        <v>3400</v>
      </c>
      <c r="G142" t="str">
        <f t="shared" si="21"/>
        <v>03400</v>
      </c>
      <c r="H142" t="s">
        <v>316</v>
      </c>
      <c r="I142" t="s">
        <v>1265</v>
      </c>
      <c r="J142" t="s">
        <v>1271</v>
      </c>
      <c r="K142" t="s">
        <v>1272</v>
      </c>
      <c r="L142" t="s">
        <v>1390</v>
      </c>
      <c r="M142" t="s">
        <v>1417</v>
      </c>
      <c r="N142">
        <v>21</v>
      </c>
      <c r="O142" t="str">
        <f t="shared" si="24"/>
        <v>44</v>
      </c>
      <c r="P142">
        <v>44</v>
      </c>
      <c r="R142" t="s">
        <v>1269</v>
      </c>
      <c r="S142">
        <v>0.5</v>
      </c>
      <c r="T142">
        <v>0.26869999999999999</v>
      </c>
      <c r="U142">
        <f t="shared" si="25"/>
        <v>0.13400000000000001</v>
      </c>
      <c r="V142" t="str">
        <f t="shared" si="22"/>
        <v>High Social Worker</v>
      </c>
      <c r="W142" t="str">
        <f t="shared" si="23"/>
        <v>Social Worker</v>
      </c>
      <c r="Y142" s="88" t="s">
        <v>1313</v>
      </c>
      <c r="Z142" s="90">
        <v>19.364000000000001</v>
      </c>
      <c r="AA142" s="90"/>
      <c r="AB142" s="90"/>
      <c r="AC142" s="90"/>
      <c r="AD142" s="90"/>
      <c r="AE142" s="90"/>
      <c r="AF142" s="90">
        <v>19.364000000000001</v>
      </c>
      <c r="AI142" s="88" t="s">
        <v>1313</v>
      </c>
      <c r="AJ142" s="90">
        <v>5.1820000000000004</v>
      </c>
      <c r="AK142" s="90">
        <f t="shared" si="26"/>
        <v>0</v>
      </c>
      <c r="AL142" s="90">
        <f t="shared" si="27"/>
        <v>0</v>
      </c>
      <c r="AM142" s="90">
        <f t="shared" si="28"/>
        <v>0</v>
      </c>
      <c r="AN142" s="90">
        <f t="shared" si="29"/>
        <v>5.1820000000000004</v>
      </c>
      <c r="BQ142" t="str">
        <f t="shared" si="30"/>
        <v>25</v>
      </c>
      <c r="BR142" s="134" t="s">
        <v>1027</v>
      </c>
      <c r="BS142">
        <v>0.13800000000000001</v>
      </c>
      <c r="BT142" s="249" t="s">
        <v>1545</v>
      </c>
      <c r="BU142" s="34" t="s">
        <v>759</v>
      </c>
      <c r="BV142" t="s">
        <v>1383</v>
      </c>
      <c r="BW142">
        <v>0</v>
      </c>
    </row>
    <row r="143" spans="1:75" x14ac:dyDescent="0.25">
      <c r="A143">
        <v>3400</v>
      </c>
      <c r="B143" t="s">
        <v>1359</v>
      </c>
      <c r="C143">
        <v>2.5</v>
      </c>
      <c r="D143" t="s">
        <v>1264</v>
      </c>
      <c r="E143">
        <v>100218</v>
      </c>
      <c r="F143">
        <v>3400</v>
      </c>
      <c r="G143" t="str">
        <f t="shared" si="21"/>
        <v>03400</v>
      </c>
      <c r="H143" t="s">
        <v>316</v>
      </c>
      <c r="I143" t="s">
        <v>1265</v>
      </c>
      <c r="J143" t="s">
        <v>1271</v>
      </c>
      <c r="K143" t="s">
        <v>1272</v>
      </c>
      <c r="L143" t="s">
        <v>1359</v>
      </c>
      <c r="M143" t="s">
        <v>1360</v>
      </c>
      <c r="N143">
        <v>1</v>
      </c>
      <c r="O143" t="str">
        <f t="shared" si="24"/>
        <v>44</v>
      </c>
      <c r="P143">
        <v>44</v>
      </c>
      <c r="R143" t="s">
        <v>1269</v>
      </c>
      <c r="S143">
        <v>2.5</v>
      </c>
      <c r="T143">
        <v>0.26869999999999999</v>
      </c>
      <c r="U143">
        <f t="shared" si="25"/>
        <v>0</v>
      </c>
      <c r="V143" t="str">
        <f t="shared" si="22"/>
        <v>High Social Worker</v>
      </c>
      <c r="W143" t="str">
        <f t="shared" si="23"/>
        <v>Social Worker</v>
      </c>
      <c r="Y143" s="88" t="s">
        <v>1487</v>
      </c>
      <c r="Z143" s="90"/>
      <c r="AA143" s="90">
        <v>0</v>
      </c>
      <c r="AB143" s="90"/>
      <c r="AC143" s="90"/>
      <c r="AD143" s="90"/>
      <c r="AE143" s="90"/>
      <c r="AF143" s="90">
        <v>0</v>
      </c>
      <c r="AI143" s="88" t="s">
        <v>1487</v>
      </c>
      <c r="AJ143" s="90">
        <v>0</v>
      </c>
      <c r="AK143" s="90">
        <f t="shared" si="26"/>
        <v>0</v>
      </c>
      <c r="AL143" s="90">
        <f t="shared" si="27"/>
        <v>0</v>
      </c>
      <c r="AM143" s="90">
        <f t="shared" si="28"/>
        <v>0</v>
      </c>
      <c r="AN143" s="90">
        <f t="shared" si="29"/>
        <v>0</v>
      </c>
      <c r="BQ143" t="str">
        <f t="shared" si="30"/>
        <v>26</v>
      </c>
      <c r="BR143" s="134" t="s">
        <v>1028</v>
      </c>
      <c r="BS143">
        <v>0.13900000000000001</v>
      </c>
      <c r="BT143" s="248" t="s">
        <v>1542</v>
      </c>
      <c r="BU143" s="34" t="s">
        <v>759</v>
      </c>
      <c r="BV143" t="s">
        <v>1324</v>
      </c>
      <c r="BW143">
        <v>0</v>
      </c>
    </row>
    <row r="144" spans="1:75" x14ac:dyDescent="0.25">
      <c r="A144">
        <v>3400</v>
      </c>
      <c r="B144" t="s">
        <v>1369</v>
      </c>
      <c r="C144">
        <v>1</v>
      </c>
      <c r="D144" t="s">
        <v>1264</v>
      </c>
      <c r="E144">
        <v>100218</v>
      </c>
      <c r="F144">
        <v>3400</v>
      </c>
      <c r="G144" t="str">
        <f t="shared" si="21"/>
        <v>03400</v>
      </c>
      <c r="H144" t="s">
        <v>316</v>
      </c>
      <c r="I144" t="s">
        <v>1265</v>
      </c>
      <c r="J144" t="s">
        <v>1266</v>
      </c>
      <c r="K144" t="s">
        <v>1267</v>
      </c>
      <c r="L144" t="s">
        <v>1369</v>
      </c>
      <c r="M144" t="s">
        <v>1416</v>
      </c>
      <c r="N144">
        <v>21</v>
      </c>
      <c r="O144" t="str">
        <f t="shared" si="24"/>
        <v>44</v>
      </c>
      <c r="P144">
        <v>44</v>
      </c>
      <c r="R144" t="s">
        <v>1269</v>
      </c>
      <c r="S144">
        <v>1</v>
      </c>
      <c r="T144">
        <v>0.26869999999999999</v>
      </c>
      <c r="U144">
        <f t="shared" si="25"/>
        <v>0.26900000000000002</v>
      </c>
      <c r="V144" t="str">
        <f t="shared" si="22"/>
        <v>Middle Social Worker</v>
      </c>
      <c r="W144" t="str">
        <f t="shared" si="23"/>
        <v>Social Worker</v>
      </c>
      <c r="Y144" s="88" t="s">
        <v>1376</v>
      </c>
      <c r="Z144" s="90"/>
      <c r="AA144" s="90"/>
      <c r="AB144" s="90">
        <v>0.249</v>
      </c>
      <c r="AC144" s="90"/>
      <c r="AD144" s="90"/>
      <c r="AE144" s="90">
        <v>0</v>
      </c>
      <c r="AF144" s="90">
        <v>0.249</v>
      </c>
      <c r="AI144" s="88" t="s">
        <v>1376</v>
      </c>
      <c r="AJ144" s="90">
        <v>0</v>
      </c>
      <c r="AK144" s="90">
        <f t="shared" si="26"/>
        <v>0.249</v>
      </c>
      <c r="AL144" s="90">
        <f t="shared" si="27"/>
        <v>0</v>
      </c>
      <c r="AM144" s="90">
        <f t="shared" si="28"/>
        <v>0</v>
      </c>
      <c r="AN144" s="90">
        <f t="shared" si="29"/>
        <v>0.249</v>
      </c>
      <c r="BQ144" t="str">
        <f t="shared" si="30"/>
        <v>35</v>
      </c>
      <c r="BR144" s="220" t="s">
        <v>1163</v>
      </c>
      <c r="BS144">
        <v>0.14000000000000001</v>
      </c>
      <c r="BT144" s="249" t="s">
        <v>1554</v>
      </c>
      <c r="BU144" s="34" t="s">
        <v>759</v>
      </c>
      <c r="BV144" t="s">
        <v>1404</v>
      </c>
      <c r="BW144">
        <v>0</v>
      </c>
    </row>
    <row r="145" spans="1:40" x14ac:dyDescent="0.25">
      <c r="A145">
        <v>3400</v>
      </c>
      <c r="B145" t="s">
        <v>1356</v>
      </c>
      <c r="C145">
        <v>1</v>
      </c>
      <c r="D145" t="s">
        <v>1264</v>
      </c>
      <c r="E145">
        <v>100218</v>
      </c>
      <c r="F145">
        <v>3400</v>
      </c>
      <c r="G145" t="str">
        <f t="shared" si="21"/>
        <v>03400</v>
      </c>
      <c r="H145" t="s">
        <v>316</v>
      </c>
      <c r="I145" t="s">
        <v>1265</v>
      </c>
      <c r="J145" t="s">
        <v>1266</v>
      </c>
      <c r="K145" t="s">
        <v>1267</v>
      </c>
      <c r="L145" t="s">
        <v>1356</v>
      </c>
      <c r="M145" t="s">
        <v>1357</v>
      </c>
      <c r="N145">
        <v>1</v>
      </c>
      <c r="O145" t="str">
        <f t="shared" si="24"/>
        <v>44</v>
      </c>
      <c r="P145">
        <v>44</v>
      </c>
      <c r="R145" t="s">
        <v>1269</v>
      </c>
      <c r="S145">
        <v>1</v>
      </c>
      <c r="T145">
        <v>0.26869999999999999</v>
      </c>
      <c r="U145">
        <f t="shared" si="25"/>
        <v>0</v>
      </c>
      <c r="V145" t="str">
        <f t="shared" si="22"/>
        <v>Middle Social Worker</v>
      </c>
      <c r="W145" t="str">
        <f t="shared" si="23"/>
        <v>Social Worker</v>
      </c>
      <c r="Y145" s="88" t="s">
        <v>753</v>
      </c>
      <c r="Z145" s="90">
        <v>3948.463999999999</v>
      </c>
      <c r="AA145" s="90">
        <v>82.655000000000001</v>
      </c>
      <c r="AB145" s="90">
        <v>5835.6130000000003</v>
      </c>
      <c r="AC145" s="90">
        <v>7.4359999999999991</v>
      </c>
      <c r="AD145" s="90">
        <v>0</v>
      </c>
      <c r="AE145" s="90">
        <v>0</v>
      </c>
      <c r="AF145" s="90">
        <v>9874.1679999999997</v>
      </c>
      <c r="AI145" s="88" t="s">
        <v>753</v>
      </c>
      <c r="AJ145" s="90">
        <v>1003.4820000000003</v>
      </c>
      <c r="AK145" s="90"/>
      <c r="AL145" s="90"/>
      <c r="AM145" s="90"/>
      <c r="AN145" s="90"/>
    </row>
    <row r="146" spans="1:40" x14ac:dyDescent="0.25">
      <c r="A146">
        <v>3400</v>
      </c>
      <c r="B146" t="s">
        <v>1294</v>
      </c>
      <c r="C146">
        <v>16.8</v>
      </c>
      <c r="D146" t="s">
        <v>1264</v>
      </c>
      <c r="E146">
        <v>100218</v>
      </c>
      <c r="F146">
        <v>3400</v>
      </c>
      <c r="G146" t="str">
        <f t="shared" si="21"/>
        <v>03400</v>
      </c>
      <c r="H146" t="s">
        <v>316</v>
      </c>
      <c r="I146" t="s">
        <v>1265</v>
      </c>
      <c r="J146" t="s">
        <v>1276</v>
      </c>
      <c r="K146" t="s">
        <v>1277</v>
      </c>
      <c r="L146" t="s">
        <v>1294</v>
      </c>
      <c r="M146" t="s">
        <v>1354</v>
      </c>
      <c r="N146">
        <v>21</v>
      </c>
      <c r="O146" t="str">
        <f t="shared" si="24"/>
        <v>45</v>
      </c>
      <c r="P146">
        <v>45</v>
      </c>
      <c r="R146" t="s">
        <v>1269</v>
      </c>
      <c r="S146">
        <v>16.8</v>
      </c>
      <c r="T146">
        <v>0.26869999999999999</v>
      </c>
      <c r="U146">
        <f t="shared" si="25"/>
        <v>4.5140000000000002</v>
      </c>
      <c r="V146" t="str">
        <f t="shared" si="22"/>
        <v>Elementary Speech, Language Pathway/
Audio</v>
      </c>
      <c r="W146" t="str">
        <f t="shared" si="23"/>
        <v>Speech, Language Pathway/
Audio</v>
      </c>
      <c r="AK146" s="90"/>
      <c r="AL146" s="90"/>
      <c r="AM146" s="90"/>
      <c r="AN146" s="90"/>
    </row>
    <row r="147" spans="1:40" x14ac:dyDescent="0.25">
      <c r="A147">
        <v>3400</v>
      </c>
      <c r="B147" t="s">
        <v>1332</v>
      </c>
      <c r="C147">
        <v>1</v>
      </c>
      <c r="D147" t="s">
        <v>1264</v>
      </c>
      <c r="E147">
        <v>100218</v>
      </c>
      <c r="F147">
        <v>3400</v>
      </c>
      <c r="G147" t="str">
        <f t="shared" si="21"/>
        <v>03400</v>
      </c>
      <c r="H147" t="s">
        <v>316</v>
      </c>
      <c r="I147" t="s">
        <v>1265</v>
      </c>
      <c r="J147" t="s">
        <v>1276</v>
      </c>
      <c r="K147" t="s">
        <v>1277</v>
      </c>
      <c r="L147" t="s">
        <v>1332</v>
      </c>
      <c r="M147" t="s">
        <v>1403</v>
      </c>
      <c r="N147">
        <v>1</v>
      </c>
      <c r="O147" t="str">
        <f t="shared" si="24"/>
        <v>45</v>
      </c>
      <c r="P147">
        <v>45</v>
      </c>
      <c r="R147" t="s">
        <v>1269</v>
      </c>
      <c r="S147">
        <v>1</v>
      </c>
      <c r="T147">
        <v>0.26869999999999999</v>
      </c>
      <c r="U147">
        <f t="shared" si="25"/>
        <v>0</v>
      </c>
      <c r="V147" t="str">
        <f t="shared" si="22"/>
        <v>Elementary Speech, Language Pathway/
Audio</v>
      </c>
      <c r="W147" t="str">
        <f t="shared" si="23"/>
        <v>Speech, Language Pathway/
Audio</v>
      </c>
      <c r="AK147" s="90"/>
      <c r="AL147" s="90"/>
      <c r="AM147" s="90"/>
      <c r="AN147" s="90"/>
    </row>
    <row r="148" spans="1:40" x14ac:dyDescent="0.25">
      <c r="A148">
        <v>3400</v>
      </c>
      <c r="B148" t="s">
        <v>1326</v>
      </c>
      <c r="C148">
        <v>2</v>
      </c>
      <c r="D148" t="s">
        <v>1264</v>
      </c>
      <c r="E148">
        <v>100218</v>
      </c>
      <c r="F148">
        <v>3400</v>
      </c>
      <c r="G148" t="str">
        <f t="shared" si="21"/>
        <v>03400</v>
      </c>
      <c r="H148" t="s">
        <v>316</v>
      </c>
      <c r="I148" t="s">
        <v>1265</v>
      </c>
      <c r="J148" t="s">
        <v>1271</v>
      </c>
      <c r="K148" t="s">
        <v>1272</v>
      </c>
      <c r="L148" t="s">
        <v>1326</v>
      </c>
      <c r="M148" t="s">
        <v>1353</v>
      </c>
      <c r="N148">
        <v>21</v>
      </c>
      <c r="O148" t="str">
        <f t="shared" si="24"/>
        <v>45</v>
      </c>
      <c r="P148">
        <v>45</v>
      </c>
      <c r="R148" t="s">
        <v>1269</v>
      </c>
      <c r="S148">
        <v>2</v>
      </c>
      <c r="T148">
        <v>0.26869999999999999</v>
      </c>
      <c r="U148">
        <f t="shared" si="25"/>
        <v>0.53700000000000003</v>
      </c>
      <c r="V148" t="str">
        <f t="shared" si="22"/>
        <v>High Speech, Language Pathway/
Audio</v>
      </c>
      <c r="W148" t="str">
        <f t="shared" si="23"/>
        <v>Speech, Language Pathway/
Audio</v>
      </c>
    </row>
    <row r="149" spans="1:40" x14ac:dyDescent="0.25">
      <c r="A149">
        <v>3400</v>
      </c>
      <c r="B149" t="s">
        <v>1312</v>
      </c>
      <c r="C149">
        <v>1.8</v>
      </c>
      <c r="D149" t="s">
        <v>1264</v>
      </c>
      <c r="E149">
        <v>100218</v>
      </c>
      <c r="F149">
        <v>3400</v>
      </c>
      <c r="G149" t="str">
        <f t="shared" si="21"/>
        <v>03400</v>
      </c>
      <c r="H149" t="s">
        <v>316</v>
      </c>
      <c r="I149" t="s">
        <v>1265</v>
      </c>
      <c r="J149" t="s">
        <v>1266</v>
      </c>
      <c r="K149" t="s">
        <v>1267</v>
      </c>
      <c r="L149" t="s">
        <v>1312</v>
      </c>
      <c r="M149" t="s">
        <v>1351</v>
      </c>
      <c r="N149">
        <v>21</v>
      </c>
      <c r="O149" t="str">
        <f t="shared" si="24"/>
        <v>45</v>
      </c>
      <c r="P149">
        <v>45</v>
      </c>
      <c r="R149" t="s">
        <v>1269</v>
      </c>
      <c r="S149">
        <v>1.8</v>
      </c>
      <c r="T149">
        <v>0.26869999999999999</v>
      </c>
      <c r="U149">
        <f t="shared" si="25"/>
        <v>0.48399999999999999</v>
      </c>
      <c r="V149" t="str">
        <f t="shared" si="22"/>
        <v>Middle Speech, Language Pathway/
Audio</v>
      </c>
      <c r="W149" t="str">
        <f t="shared" si="23"/>
        <v>Speech, Language Pathway/
Audio</v>
      </c>
    </row>
    <row r="150" spans="1:40" x14ac:dyDescent="0.25">
      <c r="A150">
        <v>3400</v>
      </c>
      <c r="B150" t="s">
        <v>1298</v>
      </c>
      <c r="C150">
        <v>7.9</v>
      </c>
      <c r="D150" t="s">
        <v>1264</v>
      </c>
      <c r="E150">
        <v>100218</v>
      </c>
      <c r="F150">
        <v>3400</v>
      </c>
      <c r="G150" t="str">
        <f t="shared" si="21"/>
        <v>03400</v>
      </c>
      <c r="H150" t="s">
        <v>316</v>
      </c>
      <c r="I150" t="s">
        <v>1265</v>
      </c>
      <c r="J150" t="s">
        <v>1276</v>
      </c>
      <c r="K150" t="s">
        <v>1277</v>
      </c>
      <c r="L150" t="s">
        <v>1298</v>
      </c>
      <c r="M150" t="s">
        <v>1349</v>
      </c>
      <c r="N150">
        <v>21</v>
      </c>
      <c r="O150" t="str">
        <f t="shared" si="24"/>
        <v>46</v>
      </c>
      <c r="P150">
        <v>46</v>
      </c>
      <c r="R150" t="s">
        <v>1269</v>
      </c>
      <c r="S150">
        <v>7.9</v>
      </c>
      <c r="T150">
        <v>0.26869999999999999</v>
      </c>
      <c r="U150">
        <f t="shared" si="25"/>
        <v>2.1230000000000002</v>
      </c>
      <c r="V150" t="str">
        <f t="shared" si="22"/>
        <v>Elementary Psychologist</v>
      </c>
      <c r="W150" t="str">
        <f t="shared" si="23"/>
        <v>Psychologist</v>
      </c>
    </row>
    <row r="151" spans="1:40" x14ac:dyDescent="0.25">
      <c r="A151">
        <v>3400</v>
      </c>
      <c r="B151" t="s">
        <v>1333</v>
      </c>
      <c r="C151">
        <v>4.9000000000000004</v>
      </c>
      <c r="D151" t="s">
        <v>1264</v>
      </c>
      <c r="E151">
        <v>100218</v>
      </c>
      <c r="F151">
        <v>3400</v>
      </c>
      <c r="G151" t="str">
        <f t="shared" si="21"/>
        <v>03400</v>
      </c>
      <c r="H151" t="s">
        <v>316</v>
      </c>
      <c r="I151" t="s">
        <v>1265</v>
      </c>
      <c r="J151" t="s">
        <v>1276</v>
      </c>
      <c r="K151" t="s">
        <v>1277</v>
      </c>
      <c r="L151" t="s">
        <v>1333</v>
      </c>
      <c r="M151" t="s">
        <v>1432</v>
      </c>
      <c r="N151">
        <v>1</v>
      </c>
      <c r="O151" t="str">
        <f t="shared" si="24"/>
        <v>46</v>
      </c>
      <c r="P151">
        <v>46</v>
      </c>
      <c r="R151" t="s">
        <v>1269</v>
      </c>
      <c r="S151">
        <v>4.9000000000000004</v>
      </c>
      <c r="T151">
        <v>0.26869999999999999</v>
      </c>
      <c r="U151">
        <f t="shared" si="25"/>
        <v>0</v>
      </c>
      <c r="V151" t="str">
        <f t="shared" si="22"/>
        <v>Elementary Psychologist</v>
      </c>
      <c r="W151" t="str">
        <f t="shared" si="23"/>
        <v>Psychologist</v>
      </c>
    </row>
    <row r="152" spans="1:40" x14ac:dyDescent="0.25">
      <c r="A152">
        <v>3400</v>
      </c>
      <c r="B152" t="s">
        <v>1309</v>
      </c>
      <c r="C152">
        <v>4</v>
      </c>
      <c r="D152" t="s">
        <v>1264</v>
      </c>
      <c r="E152">
        <v>100218</v>
      </c>
      <c r="F152">
        <v>3400</v>
      </c>
      <c r="G152" t="str">
        <f t="shared" si="21"/>
        <v>03400</v>
      </c>
      <c r="H152" t="s">
        <v>316</v>
      </c>
      <c r="I152" t="s">
        <v>1265</v>
      </c>
      <c r="J152" t="s">
        <v>1271</v>
      </c>
      <c r="K152" t="s">
        <v>1272</v>
      </c>
      <c r="L152" t="s">
        <v>1309</v>
      </c>
      <c r="M152" t="s">
        <v>1310</v>
      </c>
      <c r="N152">
        <v>21</v>
      </c>
      <c r="O152" t="str">
        <f t="shared" si="24"/>
        <v>46</v>
      </c>
      <c r="P152">
        <v>46</v>
      </c>
      <c r="R152" t="s">
        <v>1269</v>
      </c>
      <c r="S152">
        <v>4</v>
      </c>
      <c r="T152">
        <v>0.26869999999999999</v>
      </c>
      <c r="U152">
        <f t="shared" si="25"/>
        <v>1.075</v>
      </c>
      <c r="V152" t="str">
        <f t="shared" si="22"/>
        <v>High Psychologist</v>
      </c>
      <c r="W152" t="str">
        <f t="shared" si="23"/>
        <v>Psychologist</v>
      </c>
    </row>
    <row r="153" spans="1:40" x14ac:dyDescent="0.25">
      <c r="A153">
        <v>3400</v>
      </c>
      <c r="B153" t="s">
        <v>1345</v>
      </c>
      <c r="C153">
        <v>2.5</v>
      </c>
      <c r="D153" t="s">
        <v>1264</v>
      </c>
      <c r="E153">
        <v>100218</v>
      </c>
      <c r="F153">
        <v>3400</v>
      </c>
      <c r="G153" t="str">
        <f t="shared" si="21"/>
        <v>03400</v>
      </c>
      <c r="H153" t="s">
        <v>316</v>
      </c>
      <c r="I153" t="s">
        <v>1265</v>
      </c>
      <c r="J153" t="s">
        <v>1266</v>
      </c>
      <c r="K153" t="s">
        <v>1267</v>
      </c>
      <c r="L153" t="s">
        <v>1345</v>
      </c>
      <c r="M153" t="s">
        <v>1346</v>
      </c>
      <c r="N153">
        <v>21</v>
      </c>
      <c r="O153" t="str">
        <f t="shared" si="24"/>
        <v>46</v>
      </c>
      <c r="P153">
        <v>46</v>
      </c>
      <c r="R153" t="s">
        <v>1269</v>
      </c>
      <c r="S153">
        <v>2.5</v>
      </c>
      <c r="T153">
        <v>0.26869999999999999</v>
      </c>
      <c r="U153">
        <f t="shared" si="25"/>
        <v>0.67200000000000004</v>
      </c>
      <c r="V153" t="str">
        <f t="shared" si="22"/>
        <v>Middle Psychologist</v>
      </c>
      <c r="W153" t="str">
        <f t="shared" si="23"/>
        <v>Psychologist</v>
      </c>
    </row>
    <row r="154" spans="1:40" x14ac:dyDescent="0.25">
      <c r="A154">
        <v>3400</v>
      </c>
      <c r="B154" t="s">
        <v>1371</v>
      </c>
      <c r="C154">
        <v>0.5</v>
      </c>
      <c r="D154" t="s">
        <v>1264</v>
      </c>
      <c r="E154">
        <v>100218</v>
      </c>
      <c r="F154">
        <v>3400</v>
      </c>
      <c r="G154" t="str">
        <f t="shared" si="21"/>
        <v>03400</v>
      </c>
      <c r="H154" t="s">
        <v>316</v>
      </c>
      <c r="I154" t="s">
        <v>1265</v>
      </c>
      <c r="J154" t="s">
        <v>1266</v>
      </c>
      <c r="K154" t="s">
        <v>1267</v>
      </c>
      <c r="L154" t="s">
        <v>1371</v>
      </c>
      <c r="M154" t="s">
        <v>1430</v>
      </c>
      <c r="N154">
        <v>1</v>
      </c>
      <c r="O154" t="str">
        <f t="shared" si="24"/>
        <v>46</v>
      </c>
      <c r="P154">
        <v>46</v>
      </c>
      <c r="R154" t="s">
        <v>1269</v>
      </c>
      <c r="S154">
        <v>0.5</v>
      </c>
      <c r="T154">
        <v>0.26869999999999999</v>
      </c>
      <c r="U154">
        <f t="shared" si="25"/>
        <v>0</v>
      </c>
      <c r="V154" t="str">
        <f t="shared" si="22"/>
        <v>Middle Psychologist</v>
      </c>
      <c r="W154" t="str">
        <f t="shared" si="23"/>
        <v>Psychologist</v>
      </c>
    </row>
    <row r="155" spans="1:40" x14ac:dyDescent="0.25">
      <c r="A155">
        <v>3400</v>
      </c>
      <c r="B155" t="s">
        <v>1335</v>
      </c>
      <c r="C155">
        <v>9.6</v>
      </c>
      <c r="D155" t="s">
        <v>1264</v>
      </c>
      <c r="E155">
        <v>100218</v>
      </c>
      <c r="F155">
        <v>3400</v>
      </c>
      <c r="G155" t="str">
        <f t="shared" si="21"/>
        <v>03400</v>
      </c>
      <c r="H155" t="s">
        <v>316</v>
      </c>
      <c r="I155" t="s">
        <v>1265</v>
      </c>
      <c r="J155" t="s">
        <v>1276</v>
      </c>
      <c r="K155" t="s">
        <v>1277</v>
      </c>
      <c r="L155" t="s">
        <v>1335</v>
      </c>
      <c r="M155" t="s">
        <v>1344</v>
      </c>
      <c r="N155">
        <v>1</v>
      </c>
      <c r="O155" t="str">
        <f t="shared" si="24"/>
        <v>47</v>
      </c>
      <c r="P155">
        <v>47</v>
      </c>
      <c r="R155" t="s">
        <v>1269</v>
      </c>
      <c r="S155">
        <v>9.6</v>
      </c>
      <c r="T155">
        <v>0.26869999999999999</v>
      </c>
      <c r="U155">
        <f t="shared" si="25"/>
        <v>0</v>
      </c>
      <c r="V155" t="str">
        <f t="shared" si="22"/>
        <v>Elementary Nurse</v>
      </c>
      <c r="W155" t="str">
        <f t="shared" si="23"/>
        <v>Nurse</v>
      </c>
    </row>
    <row r="156" spans="1:40" x14ac:dyDescent="0.25">
      <c r="A156">
        <v>3400</v>
      </c>
      <c r="B156" t="s">
        <v>1341</v>
      </c>
      <c r="C156">
        <v>3</v>
      </c>
      <c r="D156" t="s">
        <v>1264</v>
      </c>
      <c r="E156">
        <v>100218</v>
      </c>
      <c r="F156">
        <v>3400</v>
      </c>
      <c r="G156" t="str">
        <f t="shared" si="21"/>
        <v>03400</v>
      </c>
      <c r="H156" t="s">
        <v>316</v>
      </c>
      <c r="I156" t="s">
        <v>1265</v>
      </c>
      <c r="J156" t="s">
        <v>1271</v>
      </c>
      <c r="K156" t="s">
        <v>1272</v>
      </c>
      <c r="L156" t="s">
        <v>1341</v>
      </c>
      <c r="M156" t="s">
        <v>1342</v>
      </c>
      <c r="N156">
        <v>1</v>
      </c>
      <c r="O156" t="str">
        <f t="shared" si="24"/>
        <v>47</v>
      </c>
      <c r="P156">
        <v>47</v>
      </c>
      <c r="R156" t="s">
        <v>1269</v>
      </c>
      <c r="S156">
        <v>3</v>
      </c>
      <c r="T156">
        <v>0.26869999999999999</v>
      </c>
      <c r="U156">
        <f t="shared" si="25"/>
        <v>0</v>
      </c>
      <c r="V156" t="str">
        <f t="shared" si="22"/>
        <v>High Nurse</v>
      </c>
      <c r="W156" t="str">
        <f t="shared" si="23"/>
        <v>Nurse</v>
      </c>
    </row>
    <row r="157" spans="1:40" x14ac:dyDescent="0.25">
      <c r="A157">
        <v>3400</v>
      </c>
      <c r="B157" t="s">
        <v>1338</v>
      </c>
      <c r="C157">
        <v>3</v>
      </c>
      <c r="D157" t="s">
        <v>1264</v>
      </c>
      <c r="E157">
        <v>100218</v>
      </c>
      <c r="F157">
        <v>3400</v>
      </c>
      <c r="G157" t="str">
        <f t="shared" si="21"/>
        <v>03400</v>
      </c>
      <c r="H157" t="s">
        <v>316</v>
      </c>
      <c r="I157" t="s">
        <v>1265</v>
      </c>
      <c r="J157" t="s">
        <v>1266</v>
      </c>
      <c r="K157" t="s">
        <v>1267</v>
      </c>
      <c r="L157" t="s">
        <v>1338</v>
      </c>
      <c r="M157" t="s">
        <v>1339</v>
      </c>
      <c r="N157">
        <v>1</v>
      </c>
      <c r="O157" t="str">
        <f t="shared" si="24"/>
        <v>47</v>
      </c>
      <c r="P157">
        <v>47</v>
      </c>
      <c r="R157" t="s">
        <v>1269</v>
      </c>
      <c r="S157">
        <v>3</v>
      </c>
      <c r="T157">
        <v>0.26869999999999999</v>
      </c>
      <c r="U157">
        <f t="shared" si="25"/>
        <v>0</v>
      </c>
      <c r="V157" t="str">
        <f t="shared" si="22"/>
        <v>Middle Nurse</v>
      </c>
      <c r="W157" t="str">
        <f t="shared" si="23"/>
        <v>Nurse</v>
      </c>
    </row>
    <row r="158" spans="1:40" x14ac:dyDescent="0.25">
      <c r="A158">
        <v>3400</v>
      </c>
      <c r="B158" t="s">
        <v>1302</v>
      </c>
      <c r="C158">
        <v>4</v>
      </c>
      <c r="D158" t="s">
        <v>1264</v>
      </c>
      <c r="E158">
        <v>100218</v>
      </c>
      <c r="F158">
        <v>3400</v>
      </c>
      <c r="G158" t="str">
        <f t="shared" si="21"/>
        <v>03400</v>
      </c>
      <c r="H158" t="s">
        <v>316</v>
      </c>
      <c r="I158" t="s">
        <v>1265</v>
      </c>
      <c r="J158" t="s">
        <v>1276</v>
      </c>
      <c r="K158" t="s">
        <v>1277</v>
      </c>
      <c r="L158" t="s">
        <v>1302</v>
      </c>
      <c r="M158" t="s">
        <v>1336</v>
      </c>
      <c r="N158">
        <v>21</v>
      </c>
      <c r="O158" t="str">
        <f t="shared" si="24"/>
        <v>48</v>
      </c>
      <c r="P158">
        <v>48</v>
      </c>
      <c r="R158" t="s">
        <v>1269</v>
      </c>
      <c r="S158">
        <v>4</v>
      </c>
      <c r="T158">
        <v>0.26869999999999999</v>
      </c>
      <c r="U158">
        <f t="shared" si="25"/>
        <v>1.075</v>
      </c>
      <c r="V158" t="str">
        <f t="shared" si="22"/>
        <v>Elementary Physical Therapist</v>
      </c>
      <c r="W158" t="str">
        <f t="shared" si="23"/>
        <v>Physical Therapist</v>
      </c>
    </row>
    <row r="159" spans="1:40" x14ac:dyDescent="0.25">
      <c r="A159">
        <v>3400</v>
      </c>
      <c r="B159" t="s">
        <v>1374</v>
      </c>
      <c r="C159">
        <v>1</v>
      </c>
      <c r="D159" t="s">
        <v>1264</v>
      </c>
      <c r="E159">
        <v>100218</v>
      </c>
      <c r="F159">
        <v>3400</v>
      </c>
      <c r="G159" t="str">
        <f t="shared" si="21"/>
        <v>03400</v>
      </c>
      <c r="H159" t="s">
        <v>316</v>
      </c>
      <c r="I159" t="s">
        <v>1265</v>
      </c>
      <c r="J159" t="s">
        <v>1266</v>
      </c>
      <c r="K159" t="s">
        <v>1267</v>
      </c>
      <c r="L159" t="s">
        <v>1374</v>
      </c>
      <c r="M159" t="s">
        <v>1391</v>
      </c>
      <c r="N159">
        <v>21</v>
      </c>
      <c r="O159" t="str">
        <f t="shared" si="24"/>
        <v>49</v>
      </c>
      <c r="P159">
        <v>49</v>
      </c>
      <c r="R159" t="s">
        <v>1269</v>
      </c>
      <c r="S159">
        <v>1</v>
      </c>
      <c r="T159">
        <v>0.26869999999999999</v>
      </c>
      <c r="U159">
        <f t="shared" si="25"/>
        <v>0.26900000000000002</v>
      </c>
      <c r="V159" t="str">
        <f t="shared" si="22"/>
        <v>Middle Behavior Analyst</v>
      </c>
      <c r="W159" t="str">
        <f t="shared" si="23"/>
        <v>Behavior Analyst</v>
      </c>
    </row>
    <row r="160" spans="1:40" x14ac:dyDescent="0.25">
      <c r="A160">
        <v>4019</v>
      </c>
      <c r="B160" t="s">
        <v>1299</v>
      </c>
      <c r="C160">
        <v>0.92700000000000005</v>
      </c>
      <c r="D160" t="s">
        <v>1264</v>
      </c>
      <c r="E160">
        <v>100139</v>
      </c>
      <c r="F160">
        <v>4019</v>
      </c>
      <c r="G160" t="str">
        <f t="shared" si="21"/>
        <v>04019</v>
      </c>
      <c r="H160" t="s">
        <v>317</v>
      </c>
      <c r="I160" t="s">
        <v>1265</v>
      </c>
      <c r="J160" t="s">
        <v>1271</v>
      </c>
      <c r="K160" t="s">
        <v>1272</v>
      </c>
      <c r="L160" t="s">
        <v>1299</v>
      </c>
      <c r="M160" t="s">
        <v>1300</v>
      </c>
      <c r="N160">
        <v>1</v>
      </c>
      <c r="O160" t="str">
        <f t="shared" si="24"/>
        <v>25</v>
      </c>
      <c r="Q160">
        <v>25</v>
      </c>
      <c r="R160" t="s">
        <v>1269</v>
      </c>
      <c r="S160">
        <v>0.92700000000000005</v>
      </c>
      <c r="T160">
        <v>0.1913</v>
      </c>
      <c r="U160">
        <f t="shared" si="25"/>
        <v>0</v>
      </c>
      <c r="V160" t="str">
        <f t="shared" si="22"/>
        <v>High Pupil Management</v>
      </c>
      <c r="W160" t="str">
        <f t="shared" si="23"/>
        <v>Pupil Management</v>
      </c>
    </row>
    <row r="161" spans="1:23" x14ac:dyDescent="0.25">
      <c r="A161">
        <v>4019</v>
      </c>
      <c r="B161" t="s">
        <v>1295</v>
      </c>
      <c r="C161">
        <v>0.67900000000000005</v>
      </c>
      <c r="D161" t="s">
        <v>1264</v>
      </c>
      <c r="E161">
        <v>100139</v>
      </c>
      <c r="F161">
        <v>4019</v>
      </c>
      <c r="G161" t="str">
        <f t="shared" si="21"/>
        <v>04019</v>
      </c>
      <c r="H161" t="s">
        <v>317</v>
      </c>
      <c r="I161" t="s">
        <v>1265</v>
      </c>
      <c r="J161" t="s">
        <v>1271</v>
      </c>
      <c r="K161" t="s">
        <v>1272</v>
      </c>
      <c r="L161" t="s">
        <v>1295</v>
      </c>
      <c r="M161" t="s">
        <v>1296</v>
      </c>
      <c r="N161">
        <v>1</v>
      </c>
      <c r="O161" t="str">
        <f t="shared" si="24"/>
        <v>26</v>
      </c>
      <c r="Q161">
        <v>26</v>
      </c>
      <c r="R161" t="s">
        <v>1269</v>
      </c>
      <c r="S161">
        <v>0.67900000000000005</v>
      </c>
      <c r="T161">
        <v>0.1913</v>
      </c>
      <c r="U161">
        <f t="shared" si="25"/>
        <v>0</v>
      </c>
      <c r="V161" t="str">
        <f t="shared" si="22"/>
        <v>High Health/
Related Services</v>
      </c>
      <c r="W161" t="str">
        <f t="shared" si="23"/>
        <v>Health/
Related Services</v>
      </c>
    </row>
    <row r="162" spans="1:23" x14ac:dyDescent="0.25">
      <c r="A162">
        <v>4019</v>
      </c>
      <c r="B162" t="s">
        <v>1275</v>
      </c>
      <c r="C162">
        <v>0.8</v>
      </c>
      <c r="D162" t="s">
        <v>1264</v>
      </c>
      <c r="E162">
        <v>100139</v>
      </c>
      <c r="F162">
        <v>4019</v>
      </c>
      <c r="G162" t="str">
        <f t="shared" si="21"/>
        <v>04019</v>
      </c>
      <c r="H162" t="s">
        <v>317</v>
      </c>
      <c r="I162" t="s">
        <v>1265</v>
      </c>
      <c r="J162" t="s">
        <v>1276</v>
      </c>
      <c r="K162" t="s">
        <v>1277</v>
      </c>
      <c r="L162" t="s">
        <v>1275</v>
      </c>
      <c r="M162" t="s">
        <v>1278</v>
      </c>
      <c r="N162">
        <v>1</v>
      </c>
      <c r="O162" t="str">
        <f t="shared" si="24"/>
        <v>42</v>
      </c>
      <c r="P162">
        <v>42</v>
      </c>
      <c r="R162" t="s">
        <v>1269</v>
      </c>
      <c r="S162">
        <v>0.8</v>
      </c>
      <c r="T162">
        <v>0.1913</v>
      </c>
      <c r="U162">
        <f t="shared" si="25"/>
        <v>0</v>
      </c>
      <c r="V162" t="str">
        <f t="shared" si="22"/>
        <v>Elementary Counselor</v>
      </c>
      <c r="W162" t="str">
        <f t="shared" si="23"/>
        <v>Counselor</v>
      </c>
    </row>
    <row r="163" spans="1:23" x14ac:dyDescent="0.25">
      <c r="A163">
        <v>4019</v>
      </c>
      <c r="B163" t="s">
        <v>1270</v>
      </c>
      <c r="C163">
        <v>0.3</v>
      </c>
      <c r="D163" t="s">
        <v>1264</v>
      </c>
      <c r="E163">
        <v>100139</v>
      </c>
      <c r="F163">
        <v>4019</v>
      </c>
      <c r="G163" t="str">
        <f t="shared" si="21"/>
        <v>04019</v>
      </c>
      <c r="H163" t="s">
        <v>317</v>
      </c>
      <c r="I163" t="s">
        <v>1265</v>
      </c>
      <c r="J163" t="s">
        <v>1271</v>
      </c>
      <c r="K163" t="s">
        <v>1272</v>
      </c>
      <c r="L163" t="s">
        <v>1270</v>
      </c>
      <c r="M163" t="s">
        <v>1273</v>
      </c>
      <c r="N163">
        <v>1</v>
      </c>
      <c r="O163" t="str">
        <f t="shared" si="24"/>
        <v>42</v>
      </c>
      <c r="P163">
        <v>42</v>
      </c>
      <c r="R163" t="s">
        <v>1269</v>
      </c>
      <c r="S163">
        <v>0.3</v>
      </c>
      <c r="T163">
        <v>0.1913</v>
      </c>
      <c r="U163">
        <f t="shared" si="25"/>
        <v>0</v>
      </c>
      <c r="V163" t="str">
        <f t="shared" si="22"/>
        <v>High Counselor</v>
      </c>
      <c r="W163" t="str">
        <f t="shared" si="23"/>
        <v>Counselor</v>
      </c>
    </row>
    <row r="164" spans="1:23" x14ac:dyDescent="0.25">
      <c r="A164">
        <v>4019</v>
      </c>
      <c r="B164" t="s">
        <v>1263</v>
      </c>
      <c r="C164">
        <v>0.43</v>
      </c>
      <c r="D164" t="s">
        <v>1264</v>
      </c>
      <c r="E164">
        <v>100139</v>
      </c>
      <c r="F164">
        <v>4019</v>
      </c>
      <c r="G164" t="str">
        <f t="shared" si="21"/>
        <v>04019</v>
      </c>
      <c r="H164" t="s">
        <v>317</v>
      </c>
      <c r="I164" t="s">
        <v>1265</v>
      </c>
      <c r="J164" t="s">
        <v>1266</v>
      </c>
      <c r="K164" t="s">
        <v>1267</v>
      </c>
      <c r="L164" t="s">
        <v>1263</v>
      </c>
      <c r="M164" t="s">
        <v>1268</v>
      </c>
      <c r="N164">
        <v>1</v>
      </c>
      <c r="O164" t="str">
        <f t="shared" si="24"/>
        <v>42</v>
      </c>
      <c r="P164">
        <v>42</v>
      </c>
      <c r="R164" t="s">
        <v>1269</v>
      </c>
      <c r="S164">
        <v>0.43</v>
      </c>
      <c r="T164">
        <v>0.1913</v>
      </c>
      <c r="U164">
        <f t="shared" si="25"/>
        <v>0</v>
      </c>
      <c r="V164" t="str">
        <f t="shared" si="22"/>
        <v>Middle Counselor</v>
      </c>
      <c r="W164" t="str">
        <f t="shared" si="23"/>
        <v>Counselor</v>
      </c>
    </row>
    <row r="165" spans="1:23" x14ac:dyDescent="0.25">
      <c r="A165">
        <v>4019</v>
      </c>
      <c r="B165" t="s">
        <v>1332</v>
      </c>
      <c r="C165">
        <v>0.7</v>
      </c>
      <c r="D165" t="s">
        <v>1264</v>
      </c>
      <c r="E165">
        <v>100139</v>
      </c>
      <c r="F165">
        <v>4019</v>
      </c>
      <c r="G165" t="str">
        <f t="shared" si="21"/>
        <v>04019</v>
      </c>
      <c r="H165" t="s">
        <v>317</v>
      </c>
      <c r="I165" t="s">
        <v>1265</v>
      </c>
      <c r="J165" t="s">
        <v>1276</v>
      </c>
      <c r="K165" t="s">
        <v>1277</v>
      </c>
      <c r="L165" t="s">
        <v>1332</v>
      </c>
      <c r="M165" t="s">
        <v>1403</v>
      </c>
      <c r="N165">
        <v>1</v>
      </c>
      <c r="O165" t="str">
        <f t="shared" si="24"/>
        <v>45</v>
      </c>
      <c r="P165">
        <v>45</v>
      </c>
      <c r="R165" t="s">
        <v>1269</v>
      </c>
      <c r="S165">
        <v>0.7</v>
      </c>
      <c r="T165">
        <v>0.1913</v>
      </c>
      <c r="U165">
        <f t="shared" si="25"/>
        <v>0</v>
      </c>
      <c r="V165" t="str">
        <f t="shared" si="22"/>
        <v>Elementary Speech, Language Pathway/
Audio</v>
      </c>
      <c r="W165" t="str">
        <f t="shared" si="23"/>
        <v>Speech, Language Pathway/
Audio</v>
      </c>
    </row>
    <row r="166" spans="1:23" x14ac:dyDescent="0.25">
      <c r="A166">
        <v>4019</v>
      </c>
      <c r="B166" t="s">
        <v>1394</v>
      </c>
      <c r="C166">
        <v>7.0000000000000007E-2</v>
      </c>
      <c r="D166" t="s">
        <v>1264</v>
      </c>
      <c r="E166">
        <v>100139</v>
      </c>
      <c r="F166">
        <v>4019</v>
      </c>
      <c r="G166" t="str">
        <f t="shared" si="21"/>
        <v>04019</v>
      </c>
      <c r="H166" t="s">
        <v>317</v>
      </c>
      <c r="I166" t="s">
        <v>1265</v>
      </c>
      <c r="J166" t="s">
        <v>1271</v>
      </c>
      <c r="K166" t="s">
        <v>1272</v>
      </c>
      <c r="L166" t="s">
        <v>1394</v>
      </c>
      <c r="M166" t="s">
        <v>1415</v>
      </c>
      <c r="N166">
        <v>1</v>
      </c>
      <c r="O166" t="str">
        <f t="shared" si="24"/>
        <v>45</v>
      </c>
      <c r="P166">
        <v>45</v>
      </c>
      <c r="R166" t="s">
        <v>1269</v>
      </c>
      <c r="S166">
        <v>7.0000000000000007E-2</v>
      </c>
      <c r="T166">
        <v>0.1913</v>
      </c>
      <c r="U166">
        <f t="shared" si="25"/>
        <v>0</v>
      </c>
      <c r="V166" t="str">
        <f t="shared" si="22"/>
        <v>High Speech, Language Pathway/
Audio</v>
      </c>
      <c r="W166" t="str">
        <f t="shared" si="23"/>
        <v>Speech, Language Pathway/
Audio</v>
      </c>
    </row>
    <row r="167" spans="1:23" x14ac:dyDescent="0.25">
      <c r="A167">
        <v>4019</v>
      </c>
      <c r="B167" t="s">
        <v>1370</v>
      </c>
      <c r="C167">
        <v>0.23</v>
      </c>
      <c r="D167" t="s">
        <v>1264</v>
      </c>
      <c r="E167">
        <v>100139</v>
      </c>
      <c r="F167">
        <v>4019</v>
      </c>
      <c r="G167" t="str">
        <f t="shared" si="21"/>
        <v>04019</v>
      </c>
      <c r="H167" t="s">
        <v>317</v>
      </c>
      <c r="I167" t="s">
        <v>1265</v>
      </c>
      <c r="J167" t="s">
        <v>1266</v>
      </c>
      <c r="K167" t="s">
        <v>1267</v>
      </c>
      <c r="L167" t="s">
        <v>1370</v>
      </c>
      <c r="M167" t="s">
        <v>1414</v>
      </c>
      <c r="N167">
        <v>1</v>
      </c>
      <c r="O167" t="str">
        <f t="shared" si="24"/>
        <v>45</v>
      </c>
      <c r="P167">
        <v>45</v>
      </c>
      <c r="R167" t="s">
        <v>1269</v>
      </c>
      <c r="S167">
        <v>0.23</v>
      </c>
      <c r="T167">
        <v>0.1913</v>
      </c>
      <c r="U167">
        <f t="shared" si="25"/>
        <v>0</v>
      </c>
      <c r="V167" t="str">
        <f t="shared" si="22"/>
        <v>Middle Speech, Language Pathway/
Audio</v>
      </c>
      <c r="W167" t="str">
        <f t="shared" si="23"/>
        <v>Speech, Language Pathway/
Audio</v>
      </c>
    </row>
    <row r="168" spans="1:23" x14ac:dyDescent="0.25">
      <c r="A168">
        <v>4127</v>
      </c>
      <c r="B168" t="s">
        <v>1308</v>
      </c>
      <c r="C168">
        <v>0.17199999999999999</v>
      </c>
      <c r="D168" t="s">
        <v>1264</v>
      </c>
      <c r="E168">
        <v>100079</v>
      </c>
      <c r="F168">
        <v>4127</v>
      </c>
      <c r="G168" t="str">
        <f t="shared" si="21"/>
        <v>04127</v>
      </c>
      <c r="H168" t="s">
        <v>319</v>
      </c>
      <c r="I168" t="s">
        <v>1265</v>
      </c>
      <c r="J168" t="s">
        <v>1276</v>
      </c>
      <c r="K168" t="s">
        <v>1277</v>
      </c>
      <c r="L168" t="s">
        <v>1308</v>
      </c>
      <c r="M168" t="s">
        <v>1389</v>
      </c>
      <c r="N168">
        <v>1</v>
      </c>
      <c r="O168" t="str">
        <f t="shared" si="24"/>
        <v>25</v>
      </c>
      <c r="Q168">
        <v>25</v>
      </c>
      <c r="R168" t="s">
        <v>1269</v>
      </c>
      <c r="S168">
        <v>0.17199999999999999</v>
      </c>
      <c r="T168">
        <v>0.1913</v>
      </c>
      <c r="U168">
        <f t="shared" si="25"/>
        <v>0</v>
      </c>
      <c r="V168" t="str">
        <f t="shared" si="22"/>
        <v>Elementary Pupil Management</v>
      </c>
      <c r="W168" t="str">
        <f t="shared" si="23"/>
        <v>Pupil Management</v>
      </c>
    </row>
    <row r="169" spans="1:23" x14ac:dyDescent="0.25">
      <c r="A169">
        <v>4127</v>
      </c>
      <c r="B169" t="s">
        <v>1299</v>
      </c>
      <c r="C169">
        <v>1.1779999999999999</v>
      </c>
      <c r="D169" t="s">
        <v>1264</v>
      </c>
      <c r="E169">
        <v>100079</v>
      </c>
      <c r="F169">
        <v>4127</v>
      </c>
      <c r="G169" t="str">
        <f t="shared" si="21"/>
        <v>04127</v>
      </c>
      <c r="H169" t="s">
        <v>319</v>
      </c>
      <c r="I169" t="s">
        <v>1265</v>
      </c>
      <c r="J169" t="s">
        <v>1271</v>
      </c>
      <c r="K169" t="s">
        <v>1272</v>
      </c>
      <c r="L169" t="s">
        <v>1299</v>
      </c>
      <c r="M169" t="s">
        <v>1300</v>
      </c>
      <c r="N169">
        <v>1</v>
      </c>
      <c r="O169" t="str">
        <f t="shared" si="24"/>
        <v>25</v>
      </c>
      <c r="Q169">
        <v>25</v>
      </c>
      <c r="R169" t="s">
        <v>1269</v>
      </c>
      <c r="S169">
        <v>1.1779999999999999</v>
      </c>
      <c r="T169">
        <v>0.1913</v>
      </c>
      <c r="U169">
        <f t="shared" si="25"/>
        <v>0</v>
      </c>
      <c r="V169" t="str">
        <f t="shared" si="22"/>
        <v>High Pupil Management</v>
      </c>
      <c r="W169" t="str">
        <f t="shared" si="23"/>
        <v>Pupil Management</v>
      </c>
    </row>
    <row r="170" spans="1:23" x14ac:dyDescent="0.25">
      <c r="A170">
        <v>4127</v>
      </c>
      <c r="B170" t="s">
        <v>1275</v>
      </c>
      <c r="C170">
        <v>0.5</v>
      </c>
      <c r="D170" t="s">
        <v>1264</v>
      </c>
      <c r="E170">
        <v>100079</v>
      </c>
      <c r="F170">
        <v>4127</v>
      </c>
      <c r="G170" t="str">
        <f t="shared" si="21"/>
        <v>04127</v>
      </c>
      <c r="H170" t="s">
        <v>319</v>
      </c>
      <c r="I170" t="s">
        <v>1265</v>
      </c>
      <c r="J170" t="s">
        <v>1276</v>
      </c>
      <c r="K170" t="s">
        <v>1277</v>
      </c>
      <c r="L170" t="s">
        <v>1275</v>
      </c>
      <c r="M170" t="s">
        <v>1278</v>
      </c>
      <c r="N170">
        <v>1</v>
      </c>
      <c r="O170" t="str">
        <f t="shared" si="24"/>
        <v>42</v>
      </c>
      <c r="P170">
        <v>42</v>
      </c>
      <c r="R170" t="s">
        <v>1269</v>
      </c>
      <c r="S170">
        <v>0.5</v>
      </c>
      <c r="T170">
        <v>0.1913</v>
      </c>
      <c r="U170">
        <f t="shared" si="25"/>
        <v>0</v>
      </c>
      <c r="V170" t="str">
        <f t="shared" si="22"/>
        <v>Elementary Counselor</v>
      </c>
      <c r="W170" t="str">
        <f t="shared" si="23"/>
        <v>Counselor</v>
      </c>
    </row>
    <row r="171" spans="1:23" x14ac:dyDescent="0.25">
      <c r="A171">
        <v>4127</v>
      </c>
      <c r="B171" t="s">
        <v>1270</v>
      </c>
      <c r="C171">
        <v>0.3</v>
      </c>
      <c r="D171" t="s">
        <v>1264</v>
      </c>
      <c r="E171">
        <v>100079</v>
      </c>
      <c r="F171">
        <v>4127</v>
      </c>
      <c r="G171" t="str">
        <f t="shared" si="21"/>
        <v>04127</v>
      </c>
      <c r="H171" t="s">
        <v>319</v>
      </c>
      <c r="I171" t="s">
        <v>1265</v>
      </c>
      <c r="J171" t="s">
        <v>1271</v>
      </c>
      <c r="K171" t="s">
        <v>1272</v>
      </c>
      <c r="L171" t="s">
        <v>1270</v>
      </c>
      <c r="M171" t="s">
        <v>1273</v>
      </c>
      <c r="N171">
        <v>1</v>
      </c>
      <c r="O171" t="str">
        <f t="shared" si="24"/>
        <v>42</v>
      </c>
      <c r="P171">
        <v>42</v>
      </c>
      <c r="R171" t="s">
        <v>1269</v>
      </c>
      <c r="S171">
        <v>0.3</v>
      </c>
      <c r="T171">
        <v>0.1913</v>
      </c>
      <c r="U171">
        <f t="shared" si="25"/>
        <v>0</v>
      </c>
      <c r="V171" t="str">
        <f t="shared" si="22"/>
        <v>High Counselor</v>
      </c>
      <c r="W171" t="str">
        <f t="shared" si="23"/>
        <v>Counselor</v>
      </c>
    </row>
    <row r="172" spans="1:23" x14ac:dyDescent="0.25">
      <c r="A172">
        <v>4127</v>
      </c>
      <c r="B172" t="s">
        <v>1263</v>
      </c>
      <c r="C172">
        <v>0.2</v>
      </c>
      <c r="D172" t="s">
        <v>1264</v>
      </c>
      <c r="E172">
        <v>100079</v>
      </c>
      <c r="F172">
        <v>4127</v>
      </c>
      <c r="G172" t="str">
        <f t="shared" si="21"/>
        <v>04127</v>
      </c>
      <c r="H172" t="s">
        <v>319</v>
      </c>
      <c r="I172" t="s">
        <v>1265</v>
      </c>
      <c r="J172" t="s">
        <v>1266</v>
      </c>
      <c r="K172" t="s">
        <v>1267</v>
      </c>
      <c r="L172" t="s">
        <v>1263</v>
      </c>
      <c r="M172" t="s">
        <v>1268</v>
      </c>
      <c r="N172">
        <v>1</v>
      </c>
      <c r="O172" t="str">
        <f t="shared" si="24"/>
        <v>42</v>
      </c>
      <c r="P172">
        <v>42</v>
      </c>
      <c r="R172" t="s">
        <v>1269</v>
      </c>
      <c r="S172">
        <v>0.2</v>
      </c>
      <c r="T172">
        <v>0.1913</v>
      </c>
      <c r="U172">
        <f t="shared" si="25"/>
        <v>0</v>
      </c>
      <c r="V172" t="str">
        <f t="shared" si="22"/>
        <v>Middle Counselor</v>
      </c>
      <c r="W172" t="str">
        <f t="shared" si="23"/>
        <v>Counselor</v>
      </c>
    </row>
    <row r="173" spans="1:23" x14ac:dyDescent="0.25">
      <c r="A173">
        <v>4129</v>
      </c>
      <c r="B173" t="s">
        <v>1308</v>
      </c>
      <c r="C173">
        <v>0.82799999999999996</v>
      </c>
      <c r="D173" t="s">
        <v>1264</v>
      </c>
      <c r="E173">
        <v>100125</v>
      </c>
      <c r="F173">
        <v>4129</v>
      </c>
      <c r="G173" t="str">
        <f t="shared" si="21"/>
        <v>04129</v>
      </c>
      <c r="H173" t="s">
        <v>320</v>
      </c>
      <c r="I173" t="s">
        <v>1265</v>
      </c>
      <c r="J173" t="s">
        <v>1276</v>
      </c>
      <c r="K173" t="s">
        <v>1277</v>
      </c>
      <c r="L173" t="s">
        <v>1308</v>
      </c>
      <c r="M173" t="s">
        <v>1389</v>
      </c>
      <c r="N173">
        <v>1</v>
      </c>
      <c r="O173" t="str">
        <f t="shared" si="24"/>
        <v>25</v>
      </c>
      <c r="Q173">
        <v>25</v>
      </c>
      <c r="R173" t="s">
        <v>1269</v>
      </c>
      <c r="S173">
        <v>0.82799999999999996</v>
      </c>
      <c r="T173">
        <v>0.15359999999999999</v>
      </c>
      <c r="U173">
        <f t="shared" si="25"/>
        <v>0</v>
      </c>
      <c r="V173" t="str">
        <f t="shared" si="22"/>
        <v>Elementary Pupil Management</v>
      </c>
      <c r="W173" t="str">
        <f t="shared" si="23"/>
        <v>Pupil Management</v>
      </c>
    </row>
    <row r="174" spans="1:23" x14ac:dyDescent="0.25">
      <c r="A174">
        <v>4129</v>
      </c>
      <c r="B174" t="s">
        <v>1290</v>
      </c>
      <c r="C174">
        <v>0.14699999999999999</v>
      </c>
      <c r="D174" t="s">
        <v>1264</v>
      </c>
      <c r="E174">
        <v>100125</v>
      </c>
      <c r="F174">
        <v>4129</v>
      </c>
      <c r="G174" t="str">
        <f t="shared" si="21"/>
        <v>04129</v>
      </c>
      <c r="H174" t="s">
        <v>320</v>
      </c>
      <c r="I174" t="s">
        <v>1265</v>
      </c>
      <c r="J174" t="s">
        <v>1271</v>
      </c>
      <c r="K174" t="s">
        <v>1272</v>
      </c>
      <c r="L174" t="s">
        <v>1290</v>
      </c>
      <c r="M174" t="s">
        <v>1412</v>
      </c>
      <c r="N174">
        <v>97</v>
      </c>
      <c r="O174" t="str">
        <f t="shared" si="24"/>
        <v>25</v>
      </c>
      <c r="Q174">
        <v>25</v>
      </c>
      <c r="R174" t="s">
        <v>1269</v>
      </c>
      <c r="S174">
        <v>0.14699999999999999</v>
      </c>
      <c r="T174">
        <v>0.15359999999999999</v>
      </c>
      <c r="U174">
        <f t="shared" si="25"/>
        <v>0</v>
      </c>
      <c r="V174" t="str">
        <f t="shared" si="22"/>
        <v>High Pupil Management</v>
      </c>
      <c r="W174" t="str">
        <f t="shared" si="23"/>
        <v>Pupil Management</v>
      </c>
    </row>
    <row r="175" spans="1:23" x14ac:dyDescent="0.25">
      <c r="A175">
        <v>4129</v>
      </c>
      <c r="B175" t="s">
        <v>1299</v>
      </c>
      <c r="C175">
        <v>0.84799999999999998</v>
      </c>
      <c r="D175" t="s">
        <v>1264</v>
      </c>
      <c r="E175">
        <v>100125</v>
      </c>
      <c r="F175">
        <v>4129</v>
      </c>
      <c r="G175" t="str">
        <f t="shared" si="21"/>
        <v>04129</v>
      </c>
      <c r="H175" t="s">
        <v>320</v>
      </c>
      <c r="I175" t="s">
        <v>1265</v>
      </c>
      <c r="J175" t="s">
        <v>1271</v>
      </c>
      <c r="K175" t="s">
        <v>1272</v>
      </c>
      <c r="L175" t="s">
        <v>1299</v>
      </c>
      <c r="M175" t="s">
        <v>1300</v>
      </c>
      <c r="N175">
        <v>1</v>
      </c>
      <c r="O175" t="str">
        <f t="shared" si="24"/>
        <v>25</v>
      </c>
      <c r="Q175">
        <v>25</v>
      </c>
      <c r="R175" t="s">
        <v>1269</v>
      </c>
      <c r="S175">
        <v>0.84799999999999998</v>
      </c>
      <c r="T175">
        <v>0.15359999999999999</v>
      </c>
      <c r="U175">
        <f t="shared" si="25"/>
        <v>0</v>
      </c>
      <c r="V175" t="str">
        <f t="shared" si="22"/>
        <v>High Pupil Management</v>
      </c>
      <c r="W175" t="str">
        <f t="shared" si="23"/>
        <v>Pupil Management</v>
      </c>
    </row>
    <row r="176" spans="1:23" x14ac:dyDescent="0.25">
      <c r="A176">
        <v>4129</v>
      </c>
      <c r="B176" t="s">
        <v>1363</v>
      </c>
      <c r="C176">
        <v>6.2E-2</v>
      </c>
      <c r="D176" t="s">
        <v>1264</v>
      </c>
      <c r="E176">
        <v>100125</v>
      </c>
      <c r="F176">
        <v>4129</v>
      </c>
      <c r="G176" t="str">
        <f t="shared" si="21"/>
        <v>04129</v>
      </c>
      <c r="H176" t="s">
        <v>320</v>
      </c>
      <c r="I176" t="s">
        <v>1265</v>
      </c>
      <c r="J176" t="s">
        <v>1266</v>
      </c>
      <c r="K176" t="s">
        <v>1267</v>
      </c>
      <c r="L176" t="s">
        <v>1363</v>
      </c>
      <c r="M176" t="s">
        <v>1386</v>
      </c>
      <c r="N176">
        <v>1</v>
      </c>
      <c r="O176" t="str">
        <f t="shared" si="24"/>
        <v>25</v>
      </c>
      <c r="Q176">
        <v>25</v>
      </c>
      <c r="R176" t="s">
        <v>1269</v>
      </c>
      <c r="S176">
        <v>6.2E-2</v>
      </c>
      <c r="T176">
        <v>0.15359999999999999</v>
      </c>
      <c r="U176">
        <f t="shared" si="25"/>
        <v>0</v>
      </c>
      <c r="V176" t="str">
        <f t="shared" si="22"/>
        <v>Middle Pupil Management</v>
      </c>
      <c r="W176" t="str">
        <f t="shared" si="23"/>
        <v>Pupil Management</v>
      </c>
    </row>
    <row r="177" spans="1:23" x14ac:dyDescent="0.25">
      <c r="A177">
        <v>4129</v>
      </c>
      <c r="B177" t="s">
        <v>1315</v>
      </c>
      <c r="C177">
        <v>0.72699999999999998</v>
      </c>
      <c r="D177" t="s">
        <v>1264</v>
      </c>
      <c r="E177">
        <v>100125</v>
      </c>
      <c r="F177">
        <v>4129</v>
      </c>
      <c r="G177" t="str">
        <f t="shared" si="21"/>
        <v>04129</v>
      </c>
      <c r="H177" t="s">
        <v>320</v>
      </c>
      <c r="I177" t="s">
        <v>1265</v>
      </c>
      <c r="J177" t="s">
        <v>1276</v>
      </c>
      <c r="K177" t="s">
        <v>1277</v>
      </c>
      <c r="L177" t="s">
        <v>1315</v>
      </c>
      <c r="M177" t="s">
        <v>1375</v>
      </c>
      <c r="N177">
        <v>1</v>
      </c>
      <c r="O177" t="str">
        <f t="shared" si="24"/>
        <v>26</v>
      </c>
      <c r="Q177">
        <v>26</v>
      </c>
      <c r="R177" t="s">
        <v>1269</v>
      </c>
      <c r="S177">
        <v>0.72699999999999998</v>
      </c>
      <c r="T177">
        <v>0.15359999999999999</v>
      </c>
      <c r="U177">
        <f t="shared" si="25"/>
        <v>0</v>
      </c>
      <c r="V177" t="str">
        <f t="shared" si="22"/>
        <v>Elementary Health/
Related Services</v>
      </c>
      <c r="W177" t="str">
        <f t="shared" si="23"/>
        <v>Health/
Related Services</v>
      </c>
    </row>
    <row r="178" spans="1:23" x14ac:dyDescent="0.25">
      <c r="A178">
        <v>4129</v>
      </c>
      <c r="B178" t="s">
        <v>1295</v>
      </c>
      <c r="C178">
        <v>0.46400000000000002</v>
      </c>
      <c r="D178" t="s">
        <v>1264</v>
      </c>
      <c r="E178">
        <v>100125</v>
      </c>
      <c r="F178">
        <v>4129</v>
      </c>
      <c r="G178" t="str">
        <f t="shared" si="21"/>
        <v>04129</v>
      </c>
      <c r="H178" t="s">
        <v>320</v>
      </c>
      <c r="I178" t="s">
        <v>1265</v>
      </c>
      <c r="J178" t="s">
        <v>1271</v>
      </c>
      <c r="K178" t="s">
        <v>1272</v>
      </c>
      <c r="L178" t="s">
        <v>1295</v>
      </c>
      <c r="M178" t="s">
        <v>1296</v>
      </c>
      <c r="N178">
        <v>1</v>
      </c>
      <c r="O178" t="str">
        <f t="shared" si="24"/>
        <v>26</v>
      </c>
      <c r="Q178">
        <v>26</v>
      </c>
      <c r="R178" t="s">
        <v>1269</v>
      </c>
      <c r="S178">
        <v>0.46400000000000002</v>
      </c>
      <c r="T178">
        <v>0.15359999999999999</v>
      </c>
      <c r="U178">
        <f t="shared" si="25"/>
        <v>0</v>
      </c>
      <c r="V178" t="str">
        <f t="shared" si="22"/>
        <v>High Health/
Related Services</v>
      </c>
      <c r="W178" t="str">
        <f t="shared" si="23"/>
        <v>Health/
Related Services</v>
      </c>
    </row>
    <row r="179" spans="1:23" x14ac:dyDescent="0.25">
      <c r="A179">
        <v>4129</v>
      </c>
      <c r="B179" t="s">
        <v>1291</v>
      </c>
      <c r="C179">
        <v>0.10299999999999999</v>
      </c>
      <c r="D179" t="s">
        <v>1264</v>
      </c>
      <c r="E179">
        <v>100125</v>
      </c>
      <c r="F179">
        <v>4129</v>
      </c>
      <c r="G179" t="str">
        <f t="shared" si="21"/>
        <v>04129</v>
      </c>
      <c r="H179" t="s">
        <v>320</v>
      </c>
      <c r="I179" t="s">
        <v>1265</v>
      </c>
      <c r="J179" t="s">
        <v>1266</v>
      </c>
      <c r="K179" t="s">
        <v>1267</v>
      </c>
      <c r="L179" t="s">
        <v>1291</v>
      </c>
      <c r="M179" t="s">
        <v>1292</v>
      </c>
      <c r="N179">
        <v>1</v>
      </c>
      <c r="O179" t="str">
        <f t="shared" si="24"/>
        <v>26</v>
      </c>
      <c r="Q179">
        <v>26</v>
      </c>
      <c r="R179" t="s">
        <v>1269</v>
      </c>
      <c r="S179">
        <v>0.10299999999999999</v>
      </c>
      <c r="T179">
        <v>0.15359999999999999</v>
      </c>
      <c r="U179">
        <f t="shared" si="25"/>
        <v>0</v>
      </c>
      <c r="V179" t="str">
        <f t="shared" si="22"/>
        <v>Middle Health/
Related Services</v>
      </c>
      <c r="W179" t="str">
        <f t="shared" si="23"/>
        <v>Health/
Related Services</v>
      </c>
    </row>
    <row r="180" spans="1:23" x14ac:dyDescent="0.25">
      <c r="A180">
        <v>4129</v>
      </c>
      <c r="B180" t="s">
        <v>1275</v>
      </c>
      <c r="C180">
        <v>1.33</v>
      </c>
      <c r="D180" t="s">
        <v>1264</v>
      </c>
      <c r="E180">
        <v>100125</v>
      </c>
      <c r="F180">
        <v>4129</v>
      </c>
      <c r="G180" t="str">
        <f t="shared" si="21"/>
        <v>04129</v>
      </c>
      <c r="H180" t="s">
        <v>320</v>
      </c>
      <c r="I180" t="s">
        <v>1265</v>
      </c>
      <c r="J180" t="s">
        <v>1276</v>
      </c>
      <c r="K180" t="s">
        <v>1277</v>
      </c>
      <c r="L180" t="s">
        <v>1275</v>
      </c>
      <c r="M180" t="s">
        <v>1278</v>
      </c>
      <c r="N180">
        <v>1</v>
      </c>
      <c r="O180" t="str">
        <f t="shared" si="24"/>
        <v>42</v>
      </c>
      <c r="P180">
        <v>42</v>
      </c>
      <c r="R180" t="s">
        <v>1269</v>
      </c>
      <c r="S180">
        <v>1.33</v>
      </c>
      <c r="T180">
        <v>0.15359999999999999</v>
      </c>
      <c r="U180">
        <f t="shared" si="25"/>
        <v>0</v>
      </c>
      <c r="V180" t="str">
        <f t="shared" si="22"/>
        <v>Elementary Counselor</v>
      </c>
      <c r="W180" t="str">
        <f t="shared" si="23"/>
        <v>Counselor</v>
      </c>
    </row>
    <row r="181" spans="1:23" x14ac:dyDescent="0.25">
      <c r="A181">
        <v>4129</v>
      </c>
      <c r="B181" t="s">
        <v>1270</v>
      </c>
      <c r="C181">
        <v>0.61</v>
      </c>
      <c r="D181" t="s">
        <v>1264</v>
      </c>
      <c r="E181">
        <v>100125</v>
      </c>
      <c r="F181">
        <v>4129</v>
      </c>
      <c r="G181" t="str">
        <f t="shared" si="21"/>
        <v>04129</v>
      </c>
      <c r="H181" t="s">
        <v>320</v>
      </c>
      <c r="I181" t="s">
        <v>1265</v>
      </c>
      <c r="J181" t="s">
        <v>1271</v>
      </c>
      <c r="K181" t="s">
        <v>1272</v>
      </c>
      <c r="L181" t="s">
        <v>1270</v>
      </c>
      <c r="M181" t="s">
        <v>1273</v>
      </c>
      <c r="N181">
        <v>1</v>
      </c>
      <c r="O181" t="str">
        <f t="shared" si="24"/>
        <v>42</v>
      </c>
      <c r="P181">
        <v>42</v>
      </c>
      <c r="R181" t="s">
        <v>1269</v>
      </c>
      <c r="S181">
        <v>0.61</v>
      </c>
      <c r="T181">
        <v>0.15359999999999999</v>
      </c>
      <c r="U181">
        <f t="shared" si="25"/>
        <v>0</v>
      </c>
      <c r="V181" t="str">
        <f t="shared" si="22"/>
        <v>High Counselor</v>
      </c>
      <c r="W181" t="str">
        <f t="shared" si="23"/>
        <v>Counselor</v>
      </c>
    </row>
    <row r="182" spans="1:23" x14ac:dyDescent="0.25">
      <c r="A182">
        <v>4129</v>
      </c>
      <c r="B182" t="s">
        <v>1263</v>
      </c>
      <c r="C182">
        <v>0.67</v>
      </c>
      <c r="D182" t="s">
        <v>1264</v>
      </c>
      <c r="E182">
        <v>100125</v>
      </c>
      <c r="F182">
        <v>4129</v>
      </c>
      <c r="G182" t="str">
        <f t="shared" si="21"/>
        <v>04129</v>
      </c>
      <c r="H182" t="s">
        <v>320</v>
      </c>
      <c r="I182" t="s">
        <v>1265</v>
      </c>
      <c r="J182" t="s">
        <v>1266</v>
      </c>
      <c r="K182" t="s">
        <v>1267</v>
      </c>
      <c r="L182" t="s">
        <v>1263</v>
      </c>
      <c r="M182" t="s">
        <v>1268</v>
      </c>
      <c r="N182">
        <v>1</v>
      </c>
      <c r="O182" t="str">
        <f t="shared" si="24"/>
        <v>42</v>
      </c>
      <c r="P182">
        <v>42</v>
      </c>
      <c r="R182" t="s">
        <v>1269</v>
      </c>
      <c r="S182">
        <v>0.67</v>
      </c>
      <c r="T182">
        <v>0.15359999999999999</v>
      </c>
      <c r="U182">
        <f t="shared" si="25"/>
        <v>0</v>
      </c>
      <c r="V182" t="str">
        <f t="shared" si="22"/>
        <v>Middle Counselor</v>
      </c>
      <c r="W182" t="str">
        <f t="shared" si="23"/>
        <v>Counselor</v>
      </c>
    </row>
    <row r="183" spans="1:23" x14ac:dyDescent="0.25">
      <c r="A183">
        <v>4129</v>
      </c>
      <c r="B183" t="s">
        <v>1289</v>
      </c>
      <c r="C183">
        <v>0.25</v>
      </c>
      <c r="D183" t="s">
        <v>1264</v>
      </c>
      <c r="E183">
        <v>100125</v>
      </c>
      <c r="F183">
        <v>4129</v>
      </c>
      <c r="G183" t="str">
        <f t="shared" si="21"/>
        <v>04129</v>
      </c>
      <c r="H183" t="s">
        <v>320</v>
      </c>
      <c r="I183" t="s">
        <v>1265</v>
      </c>
      <c r="J183" t="s">
        <v>1276</v>
      </c>
      <c r="K183" t="s">
        <v>1277</v>
      </c>
      <c r="L183" t="s">
        <v>1289</v>
      </c>
      <c r="M183" t="s">
        <v>1307</v>
      </c>
      <c r="N183">
        <v>21</v>
      </c>
      <c r="O183" t="str">
        <f t="shared" si="24"/>
        <v>43</v>
      </c>
      <c r="P183">
        <v>43</v>
      </c>
      <c r="R183" t="s">
        <v>1269</v>
      </c>
      <c r="S183">
        <v>0.25</v>
      </c>
      <c r="T183">
        <v>0.15359999999999999</v>
      </c>
      <c r="U183">
        <f t="shared" si="25"/>
        <v>3.7999999999999999E-2</v>
      </c>
      <c r="V183" t="str">
        <f t="shared" si="22"/>
        <v>Elementary Occupational Therapist</v>
      </c>
      <c r="W183" t="str">
        <f t="shared" si="23"/>
        <v>Occupational Therapist</v>
      </c>
    </row>
    <row r="184" spans="1:23" x14ac:dyDescent="0.25">
      <c r="A184">
        <v>4129</v>
      </c>
      <c r="B184" t="s">
        <v>1387</v>
      </c>
      <c r="C184">
        <v>0.15</v>
      </c>
      <c r="D184" t="s">
        <v>1264</v>
      </c>
      <c r="E184">
        <v>100125</v>
      </c>
      <c r="F184">
        <v>4129</v>
      </c>
      <c r="G184" t="str">
        <f t="shared" si="21"/>
        <v>04129</v>
      </c>
      <c r="H184" t="s">
        <v>320</v>
      </c>
      <c r="I184" t="s">
        <v>1265</v>
      </c>
      <c r="J184" t="s">
        <v>1271</v>
      </c>
      <c r="K184" t="s">
        <v>1272</v>
      </c>
      <c r="L184" t="s">
        <v>1387</v>
      </c>
      <c r="M184" t="s">
        <v>1406</v>
      </c>
      <c r="N184">
        <v>21</v>
      </c>
      <c r="O184" t="str">
        <f t="shared" si="24"/>
        <v>43</v>
      </c>
      <c r="P184">
        <v>43</v>
      </c>
      <c r="R184" t="s">
        <v>1269</v>
      </c>
      <c r="S184">
        <v>0.15</v>
      </c>
      <c r="T184">
        <v>0.15359999999999999</v>
      </c>
      <c r="U184">
        <f t="shared" si="25"/>
        <v>2.3E-2</v>
      </c>
      <c r="V184" t="str">
        <f t="shared" si="22"/>
        <v>High Occupational Therapist</v>
      </c>
      <c r="W184" t="str">
        <f t="shared" si="23"/>
        <v>Occupational Therapist</v>
      </c>
    </row>
    <row r="185" spans="1:23" x14ac:dyDescent="0.25">
      <c r="A185">
        <v>4129</v>
      </c>
      <c r="B185" t="s">
        <v>1303</v>
      </c>
      <c r="C185">
        <v>0.32</v>
      </c>
      <c r="D185" t="s">
        <v>1264</v>
      </c>
      <c r="E185">
        <v>100125</v>
      </c>
      <c r="F185">
        <v>4129</v>
      </c>
      <c r="G185" t="str">
        <f t="shared" si="21"/>
        <v>04129</v>
      </c>
      <c r="H185" t="s">
        <v>320</v>
      </c>
      <c r="I185" t="s">
        <v>1265</v>
      </c>
      <c r="J185" t="s">
        <v>1266</v>
      </c>
      <c r="K185" t="s">
        <v>1267</v>
      </c>
      <c r="L185" t="s">
        <v>1303</v>
      </c>
      <c r="M185" t="s">
        <v>1304</v>
      </c>
      <c r="N185">
        <v>21</v>
      </c>
      <c r="O185" t="str">
        <f t="shared" si="24"/>
        <v>43</v>
      </c>
      <c r="P185">
        <v>43</v>
      </c>
      <c r="R185" t="s">
        <v>1269</v>
      </c>
      <c r="S185">
        <v>0.32</v>
      </c>
      <c r="T185">
        <v>0.15359999999999999</v>
      </c>
      <c r="U185">
        <f t="shared" si="25"/>
        <v>4.9000000000000002E-2</v>
      </c>
      <c r="V185" t="str">
        <f t="shared" si="22"/>
        <v>Middle Occupational Therapist</v>
      </c>
      <c r="W185" t="str">
        <f t="shared" si="23"/>
        <v>Occupational Therapist</v>
      </c>
    </row>
    <row r="186" spans="1:23" x14ac:dyDescent="0.25">
      <c r="A186">
        <v>4129</v>
      </c>
      <c r="B186" t="s">
        <v>1294</v>
      </c>
      <c r="C186">
        <v>0.63300000000000001</v>
      </c>
      <c r="D186" t="s">
        <v>1264</v>
      </c>
      <c r="E186">
        <v>100125</v>
      </c>
      <c r="F186">
        <v>4129</v>
      </c>
      <c r="G186" t="str">
        <f t="shared" si="21"/>
        <v>04129</v>
      </c>
      <c r="H186" t="s">
        <v>320</v>
      </c>
      <c r="I186" t="s">
        <v>1265</v>
      </c>
      <c r="J186" t="s">
        <v>1276</v>
      </c>
      <c r="K186" t="s">
        <v>1277</v>
      </c>
      <c r="L186" t="s">
        <v>1294</v>
      </c>
      <c r="M186" t="s">
        <v>1354</v>
      </c>
      <c r="N186">
        <v>21</v>
      </c>
      <c r="O186" t="str">
        <f t="shared" si="24"/>
        <v>45</v>
      </c>
      <c r="P186">
        <v>45</v>
      </c>
      <c r="R186" t="s">
        <v>1269</v>
      </c>
      <c r="S186">
        <v>0.63300000000000001</v>
      </c>
      <c r="T186">
        <v>0.15359999999999999</v>
      </c>
      <c r="U186">
        <f t="shared" si="25"/>
        <v>9.7000000000000003E-2</v>
      </c>
      <c r="V186" t="str">
        <f t="shared" si="22"/>
        <v>Elementary Speech, Language Pathway/
Audio</v>
      </c>
      <c r="W186" t="str">
        <f t="shared" si="23"/>
        <v>Speech, Language Pathway/
Audio</v>
      </c>
    </row>
    <row r="187" spans="1:23" x14ac:dyDescent="0.25">
      <c r="A187">
        <v>4129</v>
      </c>
      <c r="B187" t="s">
        <v>1298</v>
      </c>
      <c r="C187">
        <v>0.4</v>
      </c>
      <c r="D187" t="s">
        <v>1264</v>
      </c>
      <c r="E187">
        <v>100125</v>
      </c>
      <c r="F187">
        <v>4129</v>
      </c>
      <c r="G187" t="str">
        <f t="shared" si="21"/>
        <v>04129</v>
      </c>
      <c r="H187" t="s">
        <v>320</v>
      </c>
      <c r="I187" t="s">
        <v>1265</v>
      </c>
      <c r="J187" t="s">
        <v>1276</v>
      </c>
      <c r="K187" t="s">
        <v>1277</v>
      </c>
      <c r="L187" t="s">
        <v>1298</v>
      </c>
      <c r="M187" t="s">
        <v>1349</v>
      </c>
      <c r="N187">
        <v>21</v>
      </c>
      <c r="O187" t="str">
        <f t="shared" si="24"/>
        <v>46</v>
      </c>
      <c r="P187">
        <v>46</v>
      </c>
      <c r="R187" t="s">
        <v>1269</v>
      </c>
      <c r="S187">
        <v>0.4</v>
      </c>
      <c r="T187">
        <v>0.15359999999999999</v>
      </c>
      <c r="U187">
        <f t="shared" si="25"/>
        <v>6.0999999999999999E-2</v>
      </c>
      <c r="V187" t="str">
        <f t="shared" si="22"/>
        <v>Elementary Psychologist</v>
      </c>
      <c r="W187" t="str">
        <f t="shared" si="23"/>
        <v>Psychologist</v>
      </c>
    </row>
    <row r="188" spans="1:23" x14ac:dyDescent="0.25">
      <c r="A188">
        <v>4129</v>
      </c>
      <c r="B188" t="s">
        <v>1309</v>
      </c>
      <c r="C188">
        <v>0.6</v>
      </c>
      <c r="D188" t="s">
        <v>1264</v>
      </c>
      <c r="E188">
        <v>100125</v>
      </c>
      <c r="F188">
        <v>4129</v>
      </c>
      <c r="G188" t="str">
        <f t="shared" si="21"/>
        <v>04129</v>
      </c>
      <c r="H188" t="s">
        <v>320</v>
      </c>
      <c r="I188" t="s">
        <v>1265</v>
      </c>
      <c r="J188" t="s">
        <v>1271</v>
      </c>
      <c r="K188" t="s">
        <v>1272</v>
      </c>
      <c r="L188" t="s">
        <v>1309</v>
      </c>
      <c r="M188" t="s">
        <v>1310</v>
      </c>
      <c r="N188">
        <v>21</v>
      </c>
      <c r="O188" t="str">
        <f t="shared" si="24"/>
        <v>46</v>
      </c>
      <c r="P188">
        <v>46</v>
      </c>
      <c r="R188" t="s">
        <v>1269</v>
      </c>
      <c r="S188">
        <v>0.6</v>
      </c>
      <c r="T188">
        <v>0.15359999999999999</v>
      </c>
      <c r="U188">
        <f t="shared" si="25"/>
        <v>9.1999999999999998E-2</v>
      </c>
      <c r="V188" t="str">
        <f t="shared" si="22"/>
        <v>High Psychologist</v>
      </c>
      <c r="W188" t="str">
        <f t="shared" si="23"/>
        <v>Psychologist</v>
      </c>
    </row>
    <row r="189" spans="1:23" x14ac:dyDescent="0.25">
      <c r="A189">
        <v>4222</v>
      </c>
      <c r="B189" t="s">
        <v>1299</v>
      </c>
      <c r="C189">
        <v>0.17499999999999999</v>
      </c>
      <c r="D189" t="s">
        <v>1264</v>
      </c>
      <c r="E189">
        <v>100035</v>
      </c>
      <c r="F189">
        <v>4222</v>
      </c>
      <c r="G189" t="str">
        <f t="shared" si="21"/>
        <v>04222</v>
      </c>
      <c r="H189" t="s">
        <v>1226</v>
      </c>
      <c r="I189" t="s">
        <v>1265</v>
      </c>
      <c r="J189" t="s">
        <v>1271</v>
      </c>
      <c r="K189" t="s">
        <v>1272</v>
      </c>
      <c r="L189" t="s">
        <v>1299</v>
      </c>
      <c r="M189" t="s">
        <v>1300</v>
      </c>
      <c r="N189">
        <v>1</v>
      </c>
      <c r="O189" t="str">
        <f t="shared" si="24"/>
        <v>25</v>
      </c>
      <c r="Q189">
        <v>25</v>
      </c>
      <c r="R189" t="s">
        <v>1269</v>
      </c>
      <c r="S189">
        <v>0.17499999999999999</v>
      </c>
      <c r="T189">
        <v>0.15129999999999999</v>
      </c>
      <c r="U189">
        <f t="shared" si="25"/>
        <v>0</v>
      </c>
      <c r="V189" t="str">
        <f t="shared" si="22"/>
        <v>High Pupil Management</v>
      </c>
      <c r="W189" t="str">
        <f t="shared" si="23"/>
        <v>Pupil Management</v>
      </c>
    </row>
    <row r="190" spans="1:23" x14ac:dyDescent="0.25">
      <c r="A190">
        <v>4222</v>
      </c>
      <c r="B190" t="s">
        <v>1311</v>
      </c>
      <c r="C190">
        <v>0.33</v>
      </c>
      <c r="D190" t="s">
        <v>1264</v>
      </c>
      <c r="E190">
        <v>100035</v>
      </c>
      <c r="F190">
        <v>4222</v>
      </c>
      <c r="G190" t="str">
        <f t="shared" si="21"/>
        <v>04222</v>
      </c>
      <c r="H190" t="s">
        <v>1226</v>
      </c>
      <c r="I190" t="s">
        <v>1265</v>
      </c>
      <c r="J190" t="s">
        <v>1276</v>
      </c>
      <c r="K190" t="s">
        <v>1277</v>
      </c>
      <c r="L190" t="s">
        <v>1311</v>
      </c>
      <c r="M190" t="s">
        <v>1327</v>
      </c>
      <c r="N190">
        <v>21</v>
      </c>
      <c r="O190" t="str">
        <f t="shared" si="24"/>
        <v>26</v>
      </c>
      <c r="Q190">
        <v>26</v>
      </c>
      <c r="R190" t="s">
        <v>1269</v>
      </c>
      <c r="S190">
        <v>0.33</v>
      </c>
      <c r="T190">
        <v>0.15129999999999999</v>
      </c>
      <c r="U190">
        <f t="shared" si="25"/>
        <v>0.05</v>
      </c>
      <c r="V190" t="str">
        <f t="shared" si="22"/>
        <v>Elementary Health/
Related Services</v>
      </c>
      <c r="W190" t="str">
        <f t="shared" si="23"/>
        <v>Health/
Related Services</v>
      </c>
    </row>
    <row r="191" spans="1:23" x14ac:dyDescent="0.25">
      <c r="A191">
        <v>4222</v>
      </c>
      <c r="B191" t="s">
        <v>1315</v>
      </c>
      <c r="C191">
        <v>0.754</v>
      </c>
      <c r="D191" t="s">
        <v>1264</v>
      </c>
      <c r="E191">
        <v>100035</v>
      </c>
      <c r="F191">
        <v>4222</v>
      </c>
      <c r="G191" t="str">
        <f t="shared" si="21"/>
        <v>04222</v>
      </c>
      <c r="H191" t="s">
        <v>1226</v>
      </c>
      <c r="I191" t="s">
        <v>1265</v>
      </c>
      <c r="J191" t="s">
        <v>1276</v>
      </c>
      <c r="K191" t="s">
        <v>1277</v>
      </c>
      <c r="L191" t="s">
        <v>1315</v>
      </c>
      <c r="M191" t="s">
        <v>1375</v>
      </c>
      <c r="N191">
        <v>1</v>
      </c>
      <c r="O191" t="str">
        <f t="shared" si="24"/>
        <v>26</v>
      </c>
      <c r="Q191">
        <v>26</v>
      </c>
      <c r="R191" t="s">
        <v>1269</v>
      </c>
      <c r="S191">
        <v>0.754</v>
      </c>
      <c r="T191">
        <v>0.15129999999999999</v>
      </c>
      <c r="U191">
        <f t="shared" si="25"/>
        <v>0</v>
      </c>
      <c r="V191" t="str">
        <f t="shared" si="22"/>
        <v>Elementary Health/
Related Services</v>
      </c>
      <c r="W191" t="str">
        <f t="shared" si="23"/>
        <v>Health/
Related Services</v>
      </c>
    </row>
    <row r="192" spans="1:23" x14ac:dyDescent="0.25">
      <c r="A192">
        <v>4222</v>
      </c>
      <c r="B192" t="s">
        <v>1324</v>
      </c>
      <c r="C192">
        <v>6.6000000000000003E-2</v>
      </c>
      <c r="D192" t="s">
        <v>1264</v>
      </c>
      <c r="E192">
        <v>100035</v>
      </c>
      <c r="F192">
        <v>4222</v>
      </c>
      <c r="G192" t="str">
        <f t="shared" si="21"/>
        <v>04222</v>
      </c>
      <c r="H192" t="s">
        <v>1226</v>
      </c>
      <c r="I192" t="s">
        <v>1265</v>
      </c>
      <c r="J192" t="s">
        <v>1271</v>
      </c>
      <c r="K192" t="s">
        <v>1272</v>
      </c>
      <c r="L192" t="s">
        <v>1324</v>
      </c>
      <c r="M192" t="s">
        <v>1325</v>
      </c>
      <c r="N192">
        <v>21</v>
      </c>
      <c r="O192" t="str">
        <f t="shared" si="24"/>
        <v>26</v>
      </c>
      <c r="Q192">
        <v>26</v>
      </c>
      <c r="R192" t="s">
        <v>1269</v>
      </c>
      <c r="S192">
        <v>6.6000000000000003E-2</v>
      </c>
      <c r="T192">
        <v>0.15129999999999999</v>
      </c>
      <c r="U192">
        <f t="shared" si="25"/>
        <v>0.01</v>
      </c>
      <c r="V192" t="str">
        <f t="shared" si="22"/>
        <v>High Health/
Related Services</v>
      </c>
      <c r="W192" t="str">
        <f t="shared" si="23"/>
        <v>Health/
Related Services</v>
      </c>
    </row>
    <row r="193" spans="1:23" x14ac:dyDescent="0.25">
      <c r="A193">
        <v>4222</v>
      </c>
      <c r="B193" t="s">
        <v>1322</v>
      </c>
      <c r="C193">
        <v>0.26400000000000001</v>
      </c>
      <c r="D193" t="s">
        <v>1264</v>
      </c>
      <c r="E193">
        <v>100035</v>
      </c>
      <c r="F193">
        <v>4222</v>
      </c>
      <c r="G193" t="str">
        <f t="shared" si="21"/>
        <v>04222</v>
      </c>
      <c r="H193" t="s">
        <v>1226</v>
      </c>
      <c r="I193" t="s">
        <v>1265</v>
      </c>
      <c r="J193" t="s">
        <v>1266</v>
      </c>
      <c r="K193" t="s">
        <v>1267</v>
      </c>
      <c r="L193" t="s">
        <v>1322</v>
      </c>
      <c r="M193" t="s">
        <v>1323</v>
      </c>
      <c r="N193">
        <v>21</v>
      </c>
      <c r="O193" t="str">
        <f t="shared" si="24"/>
        <v>26</v>
      </c>
      <c r="Q193">
        <v>26</v>
      </c>
      <c r="R193" t="s">
        <v>1269</v>
      </c>
      <c r="S193">
        <v>0.26400000000000001</v>
      </c>
      <c r="T193">
        <v>0.15129999999999999</v>
      </c>
      <c r="U193">
        <f t="shared" si="25"/>
        <v>0.04</v>
      </c>
      <c r="V193" t="str">
        <f t="shared" si="22"/>
        <v>Middle Health/
Related Services</v>
      </c>
      <c r="W193" t="str">
        <f t="shared" si="23"/>
        <v>Health/
Related Services</v>
      </c>
    </row>
    <row r="194" spans="1:23" x14ac:dyDescent="0.25">
      <c r="A194">
        <v>4222</v>
      </c>
      <c r="B194" t="s">
        <v>1275</v>
      </c>
      <c r="C194">
        <v>1.6379999999999999</v>
      </c>
      <c r="D194" t="s">
        <v>1264</v>
      </c>
      <c r="E194">
        <v>100035</v>
      </c>
      <c r="F194">
        <v>4222</v>
      </c>
      <c r="G194" t="str">
        <f t="shared" ref="G194:G257" si="31">TEXT(F194,"00000")</f>
        <v>04222</v>
      </c>
      <c r="H194" t="s">
        <v>1226</v>
      </c>
      <c r="I194" t="s">
        <v>1265</v>
      </c>
      <c r="J194" t="s">
        <v>1276</v>
      </c>
      <c r="K194" t="s">
        <v>1277</v>
      </c>
      <c r="L194" t="s">
        <v>1275</v>
      </c>
      <c r="M194" t="s">
        <v>1278</v>
      </c>
      <c r="N194">
        <v>1</v>
      </c>
      <c r="O194" t="str">
        <f t="shared" si="24"/>
        <v>42</v>
      </c>
      <c r="P194">
        <v>42</v>
      </c>
      <c r="R194" t="s">
        <v>1269</v>
      </c>
      <c r="S194">
        <v>1.6379999999999999</v>
      </c>
      <c r="T194">
        <v>0.15129999999999999</v>
      </c>
      <c r="U194">
        <f t="shared" si="25"/>
        <v>0</v>
      </c>
      <c r="V194" t="str">
        <f t="shared" ref="V194:V257" si="32">_xlfn.XLOOKUP(L194,$BV:$BV,$BT:$BT,,0)</f>
        <v>Elementary Counselor</v>
      </c>
      <c r="W194" t="str">
        <f t="shared" ref="W194:W257" si="33">_xlfn.TEXTAFTER(V194," ")</f>
        <v>Counselor</v>
      </c>
    </row>
    <row r="195" spans="1:23" x14ac:dyDescent="0.25">
      <c r="A195">
        <v>4222</v>
      </c>
      <c r="B195" t="s">
        <v>1270</v>
      </c>
      <c r="C195">
        <v>1.8</v>
      </c>
      <c r="D195" t="s">
        <v>1264</v>
      </c>
      <c r="E195">
        <v>100035</v>
      </c>
      <c r="F195">
        <v>4222</v>
      </c>
      <c r="G195" t="str">
        <f t="shared" si="31"/>
        <v>04222</v>
      </c>
      <c r="H195" t="s">
        <v>1226</v>
      </c>
      <c r="I195" t="s">
        <v>1265</v>
      </c>
      <c r="J195" t="s">
        <v>1271</v>
      </c>
      <c r="K195" t="s">
        <v>1272</v>
      </c>
      <c r="L195" t="s">
        <v>1270</v>
      </c>
      <c r="M195" t="s">
        <v>1273</v>
      </c>
      <c r="N195">
        <v>1</v>
      </c>
      <c r="O195" t="str">
        <f t="shared" ref="O195:O258" si="34">MID(L195,3,2)</f>
        <v>42</v>
      </c>
      <c r="P195">
        <v>42</v>
      </c>
      <c r="R195" t="s">
        <v>1269</v>
      </c>
      <c r="S195">
        <v>1.8</v>
      </c>
      <c r="T195">
        <v>0.15129999999999999</v>
      </c>
      <c r="U195">
        <f t="shared" ref="U195:U258" si="35">IF(N195=21,ROUND(T195*S195,3),0)</f>
        <v>0</v>
      </c>
      <c r="V195" t="str">
        <f t="shared" si="32"/>
        <v>High Counselor</v>
      </c>
      <c r="W195" t="str">
        <f t="shared" si="33"/>
        <v>Counselor</v>
      </c>
    </row>
    <row r="196" spans="1:23" x14ac:dyDescent="0.25">
      <c r="A196">
        <v>4222</v>
      </c>
      <c r="B196" t="s">
        <v>1263</v>
      </c>
      <c r="C196">
        <v>0.7</v>
      </c>
      <c r="D196" t="s">
        <v>1264</v>
      </c>
      <c r="E196">
        <v>100035</v>
      </c>
      <c r="F196">
        <v>4222</v>
      </c>
      <c r="G196" t="str">
        <f t="shared" si="31"/>
        <v>04222</v>
      </c>
      <c r="H196" t="s">
        <v>1226</v>
      </c>
      <c r="I196" t="s">
        <v>1265</v>
      </c>
      <c r="J196" t="s">
        <v>1266</v>
      </c>
      <c r="K196" t="s">
        <v>1267</v>
      </c>
      <c r="L196" t="s">
        <v>1263</v>
      </c>
      <c r="M196" t="s">
        <v>1268</v>
      </c>
      <c r="N196">
        <v>1</v>
      </c>
      <c r="O196" t="str">
        <f t="shared" si="34"/>
        <v>42</v>
      </c>
      <c r="P196">
        <v>42</v>
      </c>
      <c r="R196" t="s">
        <v>1269</v>
      </c>
      <c r="S196">
        <v>0.7</v>
      </c>
      <c r="T196">
        <v>0.15129999999999999</v>
      </c>
      <c r="U196">
        <f t="shared" si="35"/>
        <v>0</v>
      </c>
      <c r="V196" t="str">
        <f t="shared" si="32"/>
        <v>Middle Counselor</v>
      </c>
      <c r="W196" t="str">
        <f t="shared" si="33"/>
        <v>Counselor</v>
      </c>
    </row>
    <row r="197" spans="1:23" x14ac:dyDescent="0.25">
      <c r="A197">
        <v>4222</v>
      </c>
      <c r="B197" t="s">
        <v>1289</v>
      </c>
      <c r="C197">
        <v>0.80600000000000005</v>
      </c>
      <c r="D197" t="s">
        <v>1264</v>
      </c>
      <c r="E197">
        <v>100035</v>
      </c>
      <c r="F197">
        <v>4222</v>
      </c>
      <c r="G197" t="str">
        <f t="shared" si="31"/>
        <v>04222</v>
      </c>
      <c r="H197" t="s">
        <v>1226</v>
      </c>
      <c r="I197" t="s">
        <v>1265</v>
      </c>
      <c r="J197" t="s">
        <v>1276</v>
      </c>
      <c r="K197" t="s">
        <v>1277</v>
      </c>
      <c r="L197" t="s">
        <v>1289</v>
      </c>
      <c r="M197" t="s">
        <v>1307</v>
      </c>
      <c r="N197">
        <v>21</v>
      </c>
      <c r="O197" t="str">
        <f t="shared" si="34"/>
        <v>43</v>
      </c>
      <c r="P197">
        <v>43</v>
      </c>
      <c r="R197" t="s">
        <v>1269</v>
      </c>
      <c r="S197">
        <v>0.80600000000000005</v>
      </c>
      <c r="T197">
        <v>0.15129999999999999</v>
      </c>
      <c r="U197">
        <f t="shared" si="35"/>
        <v>0.122</v>
      </c>
      <c r="V197" t="str">
        <f t="shared" si="32"/>
        <v>Elementary Occupational Therapist</v>
      </c>
      <c r="W197" t="str">
        <f t="shared" si="33"/>
        <v>Occupational Therapist</v>
      </c>
    </row>
    <row r="198" spans="1:23" x14ac:dyDescent="0.25">
      <c r="A198">
        <v>4222</v>
      </c>
      <c r="B198" t="s">
        <v>1294</v>
      </c>
      <c r="C198">
        <v>1.6220000000000001</v>
      </c>
      <c r="D198" t="s">
        <v>1264</v>
      </c>
      <c r="E198">
        <v>100035</v>
      </c>
      <c r="F198">
        <v>4222</v>
      </c>
      <c r="G198" t="str">
        <f t="shared" si="31"/>
        <v>04222</v>
      </c>
      <c r="H198" t="s">
        <v>1226</v>
      </c>
      <c r="I198" t="s">
        <v>1265</v>
      </c>
      <c r="J198" t="s">
        <v>1276</v>
      </c>
      <c r="K198" t="s">
        <v>1277</v>
      </c>
      <c r="L198" t="s">
        <v>1294</v>
      </c>
      <c r="M198" t="s">
        <v>1354</v>
      </c>
      <c r="N198">
        <v>21</v>
      </c>
      <c r="O198" t="str">
        <f t="shared" si="34"/>
        <v>45</v>
      </c>
      <c r="P198">
        <v>45</v>
      </c>
      <c r="R198" t="s">
        <v>1269</v>
      </c>
      <c r="S198">
        <v>1.6220000000000001</v>
      </c>
      <c r="T198">
        <v>0.15129999999999999</v>
      </c>
      <c r="U198">
        <f t="shared" si="35"/>
        <v>0.245</v>
      </c>
      <c r="V198" t="str">
        <f t="shared" si="32"/>
        <v>Elementary Speech, Language Pathway/
Audio</v>
      </c>
      <c r="W198" t="str">
        <f t="shared" si="33"/>
        <v>Speech, Language Pathway/
Audio</v>
      </c>
    </row>
    <row r="199" spans="1:23" x14ac:dyDescent="0.25">
      <c r="A199">
        <v>4222</v>
      </c>
      <c r="B199" t="s">
        <v>1298</v>
      </c>
      <c r="C199">
        <v>1</v>
      </c>
      <c r="D199" t="s">
        <v>1264</v>
      </c>
      <c r="E199">
        <v>100035</v>
      </c>
      <c r="F199">
        <v>4222</v>
      </c>
      <c r="G199" t="str">
        <f t="shared" si="31"/>
        <v>04222</v>
      </c>
      <c r="H199" t="s">
        <v>1226</v>
      </c>
      <c r="I199" t="s">
        <v>1265</v>
      </c>
      <c r="J199" t="s">
        <v>1276</v>
      </c>
      <c r="K199" t="s">
        <v>1277</v>
      </c>
      <c r="L199" t="s">
        <v>1298</v>
      </c>
      <c r="M199" t="s">
        <v>1349</v>
      </c>
      <c r="N199">
        <v>21</v>
      </c>
      <c r="O199" t="str">
        <f t="shared" si="34"/>
        <v>46</v>
      </c>
      <c r="P199">
        <v>46</v>
      </c>
      <c r="R199" t="s">
        <v>1269</v>
      </c>
      <c r="S199">
        <v>1</v>
      </c>
      <c r="T199">
        <v>0.15129999999999999</v>
      </c>
      <c r="U199">
        <f t="shared" si="35"/>
        <v>0.151</v>
      </c>
      <c r="V199" t="str">
        <f t="shared" si="32"/>
        <v>Elementary Psychologist</v>
      </c>
      <c r="W199" t="str">
        <f t="shared" si="33"/>
        <v>Psychologist</v>
      </c>
    </row>
    <row r="200" spans="1:23" x14ac:dyDescent="0.25">
      <c r="A200">
        <v>4222</v>
      </c>
      <c r="B200" t="s">
        <v>1302</v>
      </c>
      <c r="C200">
        <v>0.8</v>
      </c>
      <c r="D200" t="s">
        <v>1264</v>
      </c>
      <c r="E200">
        <v>100035</v>
      </c>
      <c r="F200">
        <v>4222</v>
      </c>
      <c r="G200" t="str">
        <f t="shared" si="31"/>
        <v>04222</v>
      </c>
      <c r="H200" t="s">
        <v>1226</v>
      </c>
      <c r="I200" t="s">
        <v>1265</v>
      </c>
      <c r="J200" t="s">
        <v>1276</v>
      </c>
      <c r="K200" t="s">
        <v>1277</v>
      </c>
      <c r="L200" t="s">
        <v>1302</v>
      </c>
      <c r="M200" t="s">
        <v>1336</v>
      </c>
      <c r="N200">
        <v>21</v>
      </c>
      <c r="O200" t="str">
        <f t="shared" si="34"/>
        <v>48</v>
      </c>
      <c r="P200">
        <v>48</v>
      </c>
      <c r="R200" t="s">
        <v>1269</v>
      </c>
      <c r="S200">
        <v>0.8</v>
      </c>
      <c r="T200">
        <v>0.15129999999999999</v>
      </c>
      <c r="U200">
        <f t="shared" si="35"/>
        <v>0.121</v>
      </c>
      <c r="V200" t="str">
        <f t="shared" si="32"/>
        <v>Elementary Physical Therapist</v>
      </c>
      <c r="W200" t="str">
        <f t="shared" si="33"/>
        <v>Physical Therapist</v>
      </c>
    </row>
    <row r="201" spans="1:23" x14ac:dyDescent="0.25">
      <c r="A201">
        <v>4228</v>
      </c>
      <c r="B201" t="s">
        <v>1311</v>
      </c>
      <c r="C201">
        <v>0.128</v>
      </c>
      <c r="D201" t="s">
        <v>1264</v>
      </c>
      <c r="E201">
        <v>100034</v>
      </c>
      <c r="F201">
        <v>4228</v>
      </c>
      <c r="G201" t="str">
        <f t="shared" si="31"/>
        <v>04228</v>
      </c>
      <c r="H201" t="s">
        <v>321</v>
      </c>
      <c r="I201" t="s">
        <v>1265</v>
      </c>
      <c r="J201" t="s">
        <v>1276</v>
      </c>
      <c r="K201" t="s">
        <v>1277</v>
      </c>
      <c r="L201" t="s">
        <v>1311</v>
      </c>
      <c r="M201" t="s">
        <v>1327</v>
      </c>
      <c r="N201">
        <v>21</v>
      </c>
      <c r="O201" t="str">
        <f t="shared" si="34"/>
        <v>26</v>
      </c>
      <c r="Q201">
        <v>26</v>
      </c>
      <c r="R201" t="s">
        <v>1269</v>
      </c>
      <c r="S201">
        <v>0.128</v>
      </c>
      <c r="T201">
        <v>0.1913</v>
      </c>
      <c r="U201">
        <f t="shared" si="35"/>
        <v>2.4E-2</v>
      </c>
      <c r="V201" t="str">
        <f t="shared" si="32"/>
        <v>Elementary Health/
Related Services</v>
      </c>
      <c r="W201" t="str">
        <f t="shared" si="33"/>
        <v>Health/
Related Services</v>
      </c>
    </row>
    <row r="202" spans="1:23" x14ac:dyDescent="0.25">
      <c r="A202">
        <v>4228</v>
      </c>
      <c r="B202" t="s">
        <v>1315</v>
      </c>
      <c r="C202">
        <v>0.39200000000000002</v>
      </c>
      <c r="D202" t="s">
        <v>1264</v>
      </c>
      <c r="E202">
        <v>100034</v>
      </c>
      <c r="F202">
        <v>4228</v>
      </c>
      <c r="G202" t="str">
        <f t="shared" si="31"/>
        <v>04228</v>
      </c>
      <c r="H202" t="s">
        <v>321</v>
      </c>
      <c r="I202" t="s">
        <v>1265</v>
      </c>
      <c r="J202" t="s">
        <v>1276</v>
      </c>
      <c r="K202" t="s">
        <v>1277</v>
      </c>
      <c r="L202" t="s">
        <v>1315</v>
      </c>
      <c r="M202" t="s">
        <v>1375</v>
      </c>
      <c r="N202">
        <v>1</v>
      </c>
      <c r="O202" t="str">
        <f t="shared" si="34"/>
        <v>26</v>
      </c>
      <c r="Q202">
        <v>26</v>
      </c>
      <c r="R202" t="s">
        <v>1269</v>
      </c>
      <c r="S202">
        <v>0.39200000000000002</v>
      </c>
      <c r="T202">
        <v>0.1913</v>
      </c>
      <c r="U202">
        <f t="shared" si="35"/>
        <v>0</v>
      </c>
      <c r="V202" t="str">
        <f t="shared" si="32"/>
        <v>Elementary Health/
Related Services</v>
      </c>
      <c r="W202" t="str">
        <f t="shared" si="33"/>
        <v>Health/
Related Services</v>
      </c>
    </row>
    <row r="203" spans="1:23" x14ac:dyDescent="0.25">
      <c r="A203">
        <v>4228</v>
      </c>
      <c r="B203" t="s">
        <v>1295</v>
      </c>
      <c r="C203">
        <v>0.20599999999999999</v>
      </c>
      <c r="D203" t="s">
        <v>1264</v>
      </c>
      <c r="E203">
        <v>100034</v>
      </c>
      <c r="F203">
        <v>4228</v>
      </c>
      <c r="G203" t="str">
        <f t="shared" si="31"/>
        <v>04228</v>
      </c>
      <c r="H203" t="s">
        <v>321</v>
      </c>
      <c r="I203" t="s">
        <v>1265</v>
      </c>
      <c r="J203" t="s">
        <v>1271</v>
      </c>
      <c r="K203" t="s">
        <v>1272</v>
      </c>
      <c r="L203" t="s">
        <v>1295</v>
      </c>
      <c r="M203" t="s">
        <v>1296</v>
      </c>
      <c r="N203">
        <v>1</v>
      </c>
      <c r="O203" t="str">
        <f t="shared" si="34"/>
        <v>26</v>
      </c>
      <c r="Q203">
        <v>26</v>
      </c>
      <c r="R203" t="s">
        <v>1269</v>
      </c>
      <c r="S203">
        <v>0.20599999999999999</v>
      </c>
      <c r="T203">
        <v>0.1913</v>
      </c>
      <c r="U203">
        <f t="shared" si="35"/>
        <v>0</v>
      </c>
      <c r="V203" t="str">
        <f t="shared" si="32"/>
        <v>High Health/
Related Services</v>
      </c>
      <c r="W203" t="str">
        <f t="shared" si="33"/>
        <v>Health/
Related Services</v>
      </c>
    </row>
    <row r="204" spans="1:23" x14ac:dyDescent="0.25">
      <c r="A204">
        <v>4228</v>
      </c>
      <c r="B204" t="s">
        <v>1291</v>
      </c>
      <c r="C204">
        <v>0.18099999999999999</v>
      </c>
      <c r="D204" t="s">
        <v>1264</v>
      </c>
      <c r="E204">
        <v>100034</v>
      </c>
      <c r="F204">
        <v>4228</v>
      </c>
      <c r="G204" t="str">
        <f t="shared" si="31"/>
        <v>04228</v>
      </c>
      <c r="H204" t="s">
        <v>321</v>
      </c>
      <c r="I204" t="s">
        <v>1265</v>
      </c>
      <c r="J204" t="s">
        <v>1266</v>
      </c>
      <c r="K204" t="s">
        <v>1267</v>
      </c>
      <c r="L204" t="s">
        <v>1291</v>
      </c>
      <c r="M204" t="s">
        <v>1292</v>
      </c>
      <c r="N204">
        <v>1</v>
      </c>
      <c r="O204" t="str">
        <f t="shared" si="34"/>
        <v>26</v>
      </c>
      <c r="Q204">
        <v>26</v>
      </c>
      <c r="R204" t="s">
        <v>1269</v>
      </c>
      <c r="S204">
        <v>0.18099999999999999</v>
      </c>
      <c r="T204">
        <v>0.1913</v>
      </c>
      <c r="U204">
        <f t="shared" si="35"/>
        <v>0</v>
      </c>
      <c r="V204" t="str">
        <f t="shared" si="32"/>
        <v>Middle Health/
Related Services</v>
      </c>
      <c r="W204" t="str">
        <f t="shared" si="33"/>
        <v>Health/
Related Services</v>
      </c>
    </row>
    <row r="205" spans="1:23" x14ac:dyDescent="0.25">
      <c r="A205">
        <v>4228</v>
      </c>
      <c r="B205" t="s">
        <v>1275</v>
      </c>
      <c r="C205">
        <v>1.3169999999999999</v>
      </c>
      <c r="D205" t="s">
        <v>1264</v>
      </c>
      <c r="E205">
        <v>100034</v>
      </c>
      <c r="F205">
        <v>4228</v>
      </c>
      <c r="G205" t="str">
        <f t="shared" si="31"/>
        <v>04228</v>
      </c>
      <c r="H205" t="s">
        <v>321</v>
      </c>
      <c r="I205" t="s">
        <v>1265</v>
      </c>
      <c r="J205" t="s">
        <v>1276</v>
      </c>
      <c r="K205" t="s">
        <v>1277</v>
      </c>
      <c r="L205" t="s">
        <v>1275</v>
      </c>
      <c r="M205" t="s">
        <v>1278</v>
      </c>
      <c r="N205">
        <v>1</v>
      </c>
      <c r="O205" t="str">
        <f t="shared" si="34"/>
        <v>42</v>
      </c>
      <c r="P205">
        <v>42</v>
      </c>
      <c r="R205" t="s">
        <v>1269</v>
      </c>
      <c r="S205">
        <v>1.3169999999999999</v>
      </c>
      <c r="T205">
        <v>0.1913</v>
      </c>
      <c r="U205">
        <f t="shared" si="35"/>
        <v>0</v>
      </c>
      <c r="V205" t="str">
        <f t="shared" si="32"/>
        <v>Elementary Counselor</v>
      </c>
      <c r="W205" t="str">
        <f t="shared" si="33"/>
        <v>Counselor</v>
      </c>
    </row>
    <row r="206" spans="1:23" x14ac:dyDescent="0.25">
      <c r="A206">
        <v>4228</v>
      </c>
      <c r="B206" t="s">
        <v>1270</v>
      </c>
      <c r="C206">
        <v>1</v>
      </c>
      <c r="D206" t="s">
        <v>1264</v>
      </c>
      <c r="E206">
        <v>100034</v>
      </c>
      <c r="F206">
        <v>4228</v>
      </c>
      <c r="G206" t="str">
        <f t="shared" si="31"/>
        <v>04228</v>
      </c>
      <c r="H206" t="s">
        <v>321</v>
      </c>
      <c r="I206" t="s">
        <v>1265</v>
      </c>
      <c r="J206" t="s">
        <v>1271</v>
      </c>
      <c r="K206" t="s">
        <v>1272</v>
      </c>
      <c r="L206" t="s">
        <v>1270</v>
      </c>
      <c r="M206" t="s">
        <v>1273</v>
      </c>
      <c r="N206">
        <v>1</v>
      </c>
      <c r="O206" t="str">
        <f t="shared" si="34"/>
        <v>42</v>
      </c>
      <c r="P206">
        <v>42</v>
      </c>
      <c r="R206" t="s">
        <v>1269</v>
      </c>
      <c r="S206">
        <v>1</v>
      </c>
      <c r="T206">
        <v>0.1913</v>
      </c>
      <c r="U206">
        <f t="shared" si="35"/>
        <v>0</v>
      </c>
      <c r="V206" t="str">
        <f t="shared" si="32"/>
        <v>High Counselor</v>
      </c>
      <c r="W206" t="str">
        <f t="shared" si="33"/>
        <v>Counselor</v>
      </c>
    </row>
    <row r="207" spans="1:23" x14ac:dyDescent="0.25">
      <c r="A207">
        <v>4228</v>
      </c>
      <c r="B207" t="s">
        <v>1263</v>
      </c>
      <c r="C207">
        <v>0.63300000000000001</v>
      </c>
      <c r="D207" t="s">
        <v>1264</v>
      </c>
      <c r="E207">
        <v>100034</v>
      </c>
      <c r="F207">
        <v>4228</v>
      </c>
      <c r="G207" t="str">
        <f t="shared" si="31"/>
        <v>04228</v>
      </c>
      <c r="H207" t="s">
        <v>321</v>
      </c>
      <c r="I207" t="s">
        <v>1265</v>
      </c>
      <c r="J207" t="s">
        <v>1266</v>
      </c>
      <c r="K207" t="s">
        <v>1267</v>
      </c>
      <c r="L207" t="s">
        <v>1263</v>
      </c>
      <c r="M207" t="s">
        <v>1268</v>
      </c>
      <c r="N207">
        <v>1</v>
      </c>
      <c r="O207" t="str">
        <f t="shared" si="34"/>
        <v>42</v>
      </c>
      <c r="P207">
        <v>42</v>
      </c>
      <c r="R207" t="s">
        <v>1269</v>
      </c>
      <c r="S207">
        <v>0.63300000000000001</v>
      </c>
      <c r="T207">
        <v>0.1913</v>
      </c>
      <c r="U207">
        <f t="shared" si="35"/>
        <v>0</v>
      </c>
      <c r="V207" t="str">
        <f t="shared" si="32"/>
        <v>Middle Counselor</v>
      </c>
      <c r="W207" t="str">
        <f t="shared" si="33"/>
        <v>Counselor</v>
      </c>
    </row>
    <row r="208" spans="1:23" x14ac:dyDescent="0.25">
      <c r="A208">
        <v>4228</v>
      </c>
      <c r="B208" t="s">
        <v>1298</v>
      </c>
      <c r="C208">
        <v>0.49</v>
      </c>
      <c r="D208" t="s">
        <v>1264</v>
      </c>
      <c r="E208">
        <v>100034</v>
      </c>
      <c r="F208">
        <v>4228</v>
      </c>
      <c r="G208" t="str">
        <f t="shared" si="31"/>
        <v>04228</v>
      </c>
      <c r="H208" t="s">
        <v>321</v>
      </c>
      <c r="I208" t="s">
        <v>1265</v>
      </c>
      <c r="J208" t="s">
        <v>1276</v>
      </c>
      <c r="K208" t="s">
        <v>1277</v>
      </c>
      <c r="L208" t="s">
        <v>1298</v>
      </c>
      <c r="M208" t="s">
        <v>1349</v>
      </c>
      <c r="N208">
        <v>21</v>
      </c>
      <c r="O208" t="str">
        <f t="shared" si="34"/>
        <v>46</v>
      </c>
      <c r="P208">
        <v>46</v>
      </c>
      <c r="R208" t="s">
        <v>1269</v>
      </c>
      <c r="S208">
        <v>0.49</v>
      </c>
      <c r="T208">
        <v>0.1913</v>
      </c>
      <c r="U208">
        <f t="shared" si="35"/>
        <v>9.4E-2</v>
      </c>
      <c r="V208" t="str">
        <f t="shared" si="32"/>
        <v>Elementary Psychologist</v>
      </c>
      <c r="W208" t="str">
        <f t="shared" si="33"/>
        <v>Psychologist</v>
      </c>
    </row>
    <row r="209" spans="1:23" x14ac:dyDescent="0.25">
      <c r="A209">
        <v>4228</v>
      </c>
      <c r="B209" t="s">
        <v>1309</v>
      </c>
      <c r="C209">
        <v>0.22</v>
      </c>
      <c r="D209" t="s">
        <v>1264</v>
      </c>
      <c r="E209">
        <v>100034</v>
      </c>
      <c r="F209">
        <v>4228</v>
      </c>
      <c r="G209" t="str">
        <f t="shared" si="31"/>
        <v>04228</v>
      </c>
      <c r="H209" t="s">
        <v>321</v>
      </c>
      <c r="I209" t="s">
        <v>1265</v>
      </c>
      <c r="J209" t="s">
        <v>1271</v>
      </c>
      <c r="K209" t="s">
        <v>1272</v>
      </c>
      <c r="L209" t="s">
        <v>1309</v>
      </c>
      <c r="M209" t="s">
        <v>1310</v>
      </c>
      <c r="N209">
        <v>21</v>
      </c>
      <c r="O209" t="str">
        <f t="shared" si="34"/>
        <v>46</v>
      </c>
      <c r="P209">
        <v>46</v>
      </c>
      <c r="R209" t="s">
        <v>1269</v>
      </c>
      <c r="S209">
        <v>0.22</v>
      </c>
      <c r="T209">
        <v>0.1913</v>
      </c>
      <c r="U209">
        <f t="shared" si="35"/>
        <v>4.2000000000000003E-2</v>
      </c>
      <c r="V209" t="str">
        <f t="shared" si="32"/>
        <v>High Psychologist</v>
      </c>
      <c r="W209" t="str">
        <f t="shared" si="33"/>
        <v>Psychologist</v>
      </c>
    </row>
    <row r="210" spans="1:23" x14ac:dyDescent="0.25">
      <c r="A210">
        <v>4228</v>
      </c>
      <c r="B210" t="s">
        <v>1345</v>
      </c>
      <c r="C210">
        <v>0.22</v>
      </c>
      <c r="D210" t="s">
        <v>1264</v>
      </c>
      <c r="E210">
        <v>100034</v>
      </c>
      <c r="F210">
        <v>4228</v>
      </c>
      <c r="G210" t="str">
        <f t="shared" si="31"/>
        <v>04228</v>
      </c>
      <c r="H210" t="s">
        <v>321</v>
      </c>
      <c r="I210" t="s">
        <v>1265</v>
      </c>
      <c r="J210" t="s">
        <v>1266</v>
      </c>
      <c r="K210" t="s">
        <v>1267</v>
      </c>
      <c r="L210" t="s">
        <v>1345</v>
      </c>
      <c r="M210" t="s">
        <v>1346</v>
      </c>
      <c r="N210">
        <v>21</v>
      </c>
      <c r="O210" t="str">
        <f t="shared" si="34"/>
        <v>46</v>
      </c>
      <c r="P210">
        <v>46</v>
      </c>
      <c r="R210" t="s">
        <v>1269</v>
      </c>
      <c r="S210">
        <v>0.22</v>
      </c>
      <c r="T210">
        <v>0.1913</v>
      </c>
      <c r="U210">
        <f t="shared" si="35"/>
        <v>4.2000000000000003E-2</v>
      </c>
      <c r="V210" t="str">
        <f t="shared" si="32"/>
        <v>Middle Psychologist</v>
      </c>
      <c r="W210" t="str">
        <f t="shared" si="33"/>
        <v>Psychologist</v>
      </c>
    </row>
    <row r="211" spans="1:23" x14ac:dyDescent="0.25">
      <c r="A211">
        <v>4228</v>
      </c>
      <c r="B211" t="s">
        <v>1302</v>
      </c>
      <c r="C211">
        <v>0.8</v>
      </c>
      <c r="D211" t="s">
        <v>1264</v>
      </c>
      <c r="E211">
        <v>100034</v>
      </c>
      <c r="F211">
        <v>4228</v>
      </c>
      <c r="G211" t="str">
        <f t="shared" si="31"/>
        <v>04228</v>
      </c>
      <c r="H211" t="s">
        <v>321</v>
      </c>
      <c r="I211" t="s">
        <v>1265</v>
      </c>
      <c r="J211" t="s">
        <v>1276</v>
      </c>
      <c r="K211" t="s">
        <v>1277</v>
      </c>
      <c r="L211" t="s">
        <v>1302</v>
      </c>
      <c r="M211" t="s">
        <v>1336</v>
      </c>
      <c r="N211">
        <v>21</v>
      </c>
      <c r="O211" t="str">
        <f t="shared" si="34"/>
        <v>48</v>
      </c>
      <c r="P211">
        <v>48</v>
      </c>
      <c r="R211" t="s">
        <v>1269</v>
      </c>
      <c r="S211">
        <v>0.8</v>
      </c>
      <c r="T211">
        <v>0.1913</v>
      </c>
      <c r="U211">
        <f t="shared" si="35"/>
        <v>0.153</v>
      </c>
      <c r="V211" t="str">
        <f t="shared" si="32"/>
        <v>Elementary Physical Therapist</v>
      </c>
      <c r="W211" t="str">
        <f t="shared" si="33"/>
        <v>Physical Therapist</v>
      </c>
    </row>
    <row r="212" spans="1:23" x14ac:dyDescent="0.25">
      <c r="A212">
        <v>4246</v>
      </c>
      <c r="B212" t="s">
        <v>1286</v>
      </c>
      <c r="C212">
        <v>1.0229999999999999</v>
      </c>
      <c r="D212" t="s">
        <v>1264</v>
      </c>
      <c r="E212">
        <v>100290</v>
      </c>
      <c r="F212">
        <v>4246</v>
      </c>
      <c r="G212" t="str">
        <f t="shared" si="31"/>
        <v>04246</v>
      </c>
      <c r="H212" t="s">
        <v>322</v>
      </c>
      <c r="I212" t="s">
        <v>1265</v>
      </c>
      <c r="J212" t="s">
        <v>1271</v>
      </c>
      <c r="K212" t="s">
        <v>1272</v>
      </c>
      <c r="L212" t="s">
        <v>1286</v>
      </c>
      <c r="M212" t="s">
        <v>1287</v>
      </c>
      <c r="N212">
        <v>1</v>
      </c>
      <c r="O212" t="str">
        <f t="shared" si="34"/>
        <v>24</v>
      </c>
      <c r="P212">
        <v>96</v>
      </c>
      <c r="Q212">
        <v>24</v>
      </c>
      <c r="R212" t="s">
        <v>1269</v>
      </c>
      <c r="S212">
        <v>1.0229999999999999</v>
      </c>
      <c r="T212">
        <v>0.17519999999999999</v>
      </c>
      <c r="U212">
        <f t="shared" si="35"/>
        <v>0</v>
      </c>
      <c r="V212" t="str">
        <f t="shared" si="32"/>
        <v>High Family Engagement Coordinator</v>
      </c>
      <c r="W212" t="str">
        <f t="shared" si="33"/>
        <v>Family Engagement Coordinator</v>
      </c>
    </row>
    <row r="213" spans="1:23" x14ac:dyDescent="0.25">
      <c r="A213">
        <v>4246</v>
      </c>
      <c r="B213" t="s">
        <v>1324</v>
      </c>
      <c r="C213">
        <v>1.3779999999999999</v>
      </c>
      <c r="D213" t="s">
        <v>1264</v>
      </c>
      <c r="E213">
        <v>100290</v>
      </c>
      <c r="F213">
        <v>4246</v>
      </c>
      <c r="G213" t="str">
        <f t="shared" si="31"/>
        <v>04246</v>
      </c>
      <c r="H213" t="s">
        <v>322</v>
      </c>
      <c r="I213" t="s">
        <v>1265</v>
      </c>
      <c r="J213" t="s">
        <v>1271</v>
      </c>
      <c r="K213" t="s">
        <v>1272</v>
      </c>
      <c r="L213" t="s">
        <v>1324</v>
      </c>
      <c r="M213" t="s">
        <v>1325</v>
      </c>
      <c r="N213">
        <v>21</v>
      </c>
      <c r="O213" t="str">
        <f t="shared" si="34"/>
        <v>26</v>
      </c>
      <c r="Q213">
        <v>26</v>
      </c>
      <c r="R213" t="s">
        <v>1269</v>
      </c>
      <c r="S213">
        <v>1.3779999999999999</v>
      </c>
      <c r="T213">
        <v>0.17519999999999999</v>
      </c>
      <c r="U213">
        <f t="shared" si="35"/>
        <v>0.24099999999999999</v>
      </c>
      <c r="V213" t="str">
        <f t="shared" si="32"/>
        <v>High Health/
Related Services</v>
      </c>
      <c r="W213" t="str">
        <f t="shared" si="33"/>
        <v>Health/
Related Services</v>
      </c>
    </row>
    <row r="214" spans="1:23" x14ac:dyDescent="0.25">
      <c r="A214">
        <v>4246</v>
      </c>
      <c r="B214" t="s">
        <v>1295</v>
      </c>
      <c r="C214">
        <v>0.36699999999999999</v>
      </c>
      <c r="D214" t="s">
        <v>1264</v>
      </c>
      <c r="E214">
        <v>100290</v>
      </c>
      <c r="F214">
        <v>4246</v>
      </c>
      <c r="G214" t="str">
        <f t="shared" si="31"/>
        <v>04246</v>
      </c>
      <c r="H214" t="s">
        <v>322</v>
      </c>
      <c r="I214" t="s">
        <v>1265</v>
      </c>
      <c r="J214" t="s">
        <v>1271</v>
      </c>
      <c r="K214" t="s">
        <v>1272</v>
      </c>
      <c r="L214" t="s">
        <v>1295</v>
      </c>
      <c r="M214" t="s">
        <v>1296</v>
      </c>
      <c r="N214">
        <v>1</v>
      </c>
      <c r="O214" t="str">
        <f t="shared" si="34"/>
        <v>26</v>
      </c>
      <c r="Q214">
        <v>26</v>
      </c>
      <c r="R214" t="s">
        <v>1269</v>
      </c>
      <c r="S214">
        <v>0.36699999999999999</v>
      </c>
      <c r="T214">
        <v>0.17519999999999999</v>
      </c>
      <c r="U214">
        <f t="shared" si="35"/>
        <v>0</v>
      </c>
      <c r="V214" t="str">
        <f t="shared" si="32"/>
        <v>High Health/
Related Services</v>
      </c>
      <c r="W214" t="str">
        <f t="shared" si="33"/>
        <v>Health/
Related Services</v>
      </c>
    </row>
    <row r="215" spans="1:23" x14ac:dyDescent="0.25">
      <c r="A215">
        <v>4246</v>
      </c>
      <c r="B215" t="s">
        <v>1401</v>
      </c>
      <c r="C215">
        <v>1.343</v>
      </c>
      <c r="D215" t="s">
        <v>1264</v>
      </c>
      <c r="E215">
        <v>100290</v>
      </c>
      <c r="F215">
        <v>4246</v>
      </c>
      <c r="G215" t="str">
        <f t="shared" si="31"/>
        <v>04246</v>
      </c>
      <c r="H215" t="s">
        <v>322</v>
      </c>
      <c r="I215" t="s">
        <v>1265</v>
      </c>
      <c r="J215" t="s">
        <v>1271</v>
      </c>
      <c r="K215" t="s">
        <v>1272</v>
      </c>
      <c r="L215" t="s">
        <v>1401</v>
      </c>
      <c r="M215" t="s">
        <v>1422</v>
      </c>
      <c r="N215">
        <v>1</v>
      </c>
      <c r="O215" t="str">
        <f t="shared" si="34"/>
        <v>35</v>
      </c>
      <c r="Q215">
        <v>35</v>
      </c>
      <c r="R215" t="s">
        <v>1269</v>
      </c>
      <c r="S215">
        <v>1.343</v>
      </c>
      <c r="T215">
        <v>0.17519999999999999</v>
      </c>
      <c r="U215">
        <f t="shared" si="35"/>
        <v>0</v>
      </c>
      <c r="V215" t="str">
        <f t="shared" si="32"/>
        <v>High Pupil Safety</v>
      </c>
      <c r="W215" t="str">
        <f t="shared" si="33"/>
        <v>Pupil Safety</v>
      </c>
    </row>
    <row r="216" spans="1:23" x14ac:dyDescent="0.25">
      <c r="A216">
        <v>4246</v>
      </c>
      <c r="B216" t="s">
        <v>1275</v>
      </c>
      <c r="C216">
        <v>6.6210000000000004</v>
      </c>
      <c r="D216" t="s">
        <v>1264</v>
      </c>
      <c r="E216">
        <v>100290</v>
      </c>
      <c r="F216">
        <v>4246</v>
      </c>
      <c r="G216" t="str">
        <f t="shared" si="31"/>
        <v>04246</v>
      </c>
      <c r="H216" t="s">
        <v>322</v>
      </c>
      <c r="I216" t="s">
        <v>1265</v>
      </c>
      <c r="J216" t="s">
        <v>1276</v>
      </c>
      <c r="K216" t="s">
        <v>1277</v>
      </c>
      <c r="L216" t="s">
        <v>1275</v>
      </c>
      <c r="M216" t="s">
        <v>1278</v>
      </c>
      <c r="N216">
        <v>1</v>
      </c>
      <c r="O216" t="str">
        <f t="shared" si="34"/>
        <v>42</v>
      </c>
      <c r="P216">
        <v>42</v>
      </c>
      <c r="R216" t="s">
        <v>1269</v>
      </c>
      <c r="S216">
        <v>6.6210000000000004</v>
      </c>
      <c r="T216">
        <v>0.17519999999999999</v>
      </c>
      <c r="U216">
        <f t="shared" si="35"/>
        <v>0</v>
      </c>
      <c r="V216" t="str">
        <f t="shared" si="32"/>
        <v>Elementary Counselor</v>
      </c>
      <c r="W216" t="str">
        <f t="shared" si="33"/>
        <v>Counselor</v>
      </c>
    </row>
    <row r="217" spans="1:23" x14ac:dyDescent="0.25">
      <c r="A217">
        <v>4246</v>
      </c>
      <c r="B217" t="s">
        <v>1270</v>
      </c>
      <c r="C217">
        <v>3.597</v>
      </c>
      <c r="D217" t="s">
        <v>1264</v>
      </c>
      <c r="E217">
        <v>100290</v>
      </c>
      <c r="F217">
        <v>4246</v>
      </c>
      <c r="G217" t="str">
        <f t="shared" si="31"/>
        <v>04246</v>
      </c>
      <c r="H217" t="s">
        <v>322</v>
      </c>
      <c r="I217" t="s">
        <v>1265</v>
      </c>
      <c r="J217" t="s">
        <v>1271</v>
      </c>
      <c r="K217" t="s">
        <v>1272</v>
      </c>
      <c r="L217" t="s">
        <v>1270</v>
      </c>
      <c r="M217" t="s">
        <v>1273</v>
      </c>
      <c r="N217">
        <v>1</v>
      </c>
      <c r="O217" t="str">
        <f t="shared" si="34"/>
        <v>42</v>
      </c>
      <c r="P217">
        <v>42</v>
      </c>
      <c r="R217" t="s">
        <v>1269</v>
      </c>
      <c r="S217">
        <v>3.597</v>
      </c>
      <c r="T217">
        <v>0.17519999999999999</v>
      </c>
      <c r="U217">
        <f t="shared" si="35"/>
        <v>0</v>
      </c>
      <c r="V217" t="str">
        <f t="shared" si="32"/>
        <v>High Counselor</v>
      </c>
      <c r="W217" t="str">
        <f t="shared" si="33"/>
        <v>Counselor</v>
      </c>
    </row>
    <row r="218" spans="1:23" x14ac:dyDescent="0.25">
      <c r="A218">
        <v>4246</v>
      </c>
      <c r="B218" t="s">
        <v>1263</v>
      </c>
      <c r="C218">
        <v>2.9020000000000001</v>
      </c>
      <c r="D218" t="s">
        <v>1264</v>
      </c>
      <c r="E218">
        <v>100290</v>
      </c>
      <c r="F218">
        <v>4246</v>
      </c>
      <c r="G218" t="str">
        <f t="shared" si="31"/>
        <v>04246</v>
      </c>
      <c r="H218" t="s">
        <v>322</v>
      </c>
      <c r="I218" t="s">
        <v>1265</v>
      </c>
      <c r="J218" t="s">
        <v>1266</v>
      </c>
      <c r="K218" t="s">
        <v>1267</v>
      </c>
      <c r="L218" t="s">
        <v>1263</v>
      </c>
      <c r="M218" t="s">
        <v>1268</v>
      </c>
      <c r="N218">
        <v>1</v>
      </c>
      <c r="O218" t="str">
        <f t="shared" si="34"/>
        <v>42</v>
      </c>
      <c r="P218">
        <v>42</v>
      </c>
      <c r="R218" t="s">
        <v>1269</v>
      </c>
      <c r="S218">
        <v>2.9020000000000001</v>
      </c>
      <c r="T218">
        <v>0.17519999999999999</v>
      </c>
      <c r="U218">
        <f t="shared" si="35"/>
        <v>0</v>
      </c>
      <c r="V218" t="str">
        <f t="shared" si="32"/>
        <v>Middle Counselor</v>
      </c>
      <c r="W218" t="str">
        <f t="shared" si="33"/>
        <v>Counselor</v>
      </c>
    </row>
    <row r="219" spans="1:23" x14ac:dyDescent="0.25">
      <c r="A219">
        <v>4246</v>
      </c>
      <c r="B219" t="s">
        <v>1289</v>
      </c>
      <c r="C219">
        <v>3.1</v>
      </c>
      <c r="D219" t="s">
        <v>1264</v>
      </c>
      <c r="E219">
        <v>100290</v>
      </c>
      <c r="F219">
        <v>4246</v>
      </c>
      <c r="G219" t="str">
        <f t="shared" si="31"/>
        <v>04246</v>
      </c>
      <c r="H219" t="s">
        <v>322</v>
      </c>
      <c r="I219" t="s">
        <v>1265</v>
      </c>
      <c r="J219" t="s">
        <v>1276</v>
      </c>
      <c r="K219" t="s">
        <v>1277</v>
      </c>
      <c r="L219" t="s">
        <v>1289</v>
      </c>
      <c r="M219" t="s">
        <v>1307</v>
      </c>
      <c r="N219">
        <v>21</v>
      </c>
      <c r="O219" t="str">
        <f t="shared" si="34"/>
        <v>43</v>
      </c>
      <c r="P219">
        <v>43</v>
      </c>
      <c r="R219" t="s">
        <v>1269</v>
      </c>
      <c r="S219">
        <v>3.1</v>
      </c>
      <c r="T219">
        <v>0.17519999999999999</v>
      </c>
      <c r="U219">
        <f t="shared" si="35"/>
        <v>0.54300000000000004</v>
      </c>
      <c r="V219" t="str">
        <f t="shared" si="32"/>
        <v>Elementary Occupational Therapist</v>
      </c>
      <c r="W219" t="str">
        <f t="shared" si="33"/>
        <v>Occupational Therapist</v>
      </c>
    </row>
    <row r="220" spans="1:23" x14ac:dyDescent="0.25">
      <c r="A220">
        <v>4246</v>
      </c>
      <c r="B220" t="s">
        <v>1387</v>
      </c>
      <c r="C220">
        <v>0.4</v>
      </c>
      <c r="D220" t="s">
        <v>1264</v>
      </c>
      <c r="E220">
        <v>100290</v>
      </c>
      <c r="F220">
        <v>4246</v>
      </c>
      <c r="G220" t="str">
        <f t="shared" si="31"/>
        <v>04246</v>
      </c>
      <c r="H220" t="s">
        <v>322</v>
      </c>
      <c r="I220" t="s">
        <v>1265</v>
      </c>
      <c r="J220" t="s">
        <v>1271</v>
      </c>
      <c r="K220" t="s">
        <v>1272</v>
      </c>
      <c r="L220" t="s">
        <v>1387</v>
      </c>
      <c r="M220" t="s">
        <v>1406</v>
      </c>
      <c r="N220">
        <v>21</v>
      </c>
      <c r="O220" t="str">
        <f t="shared" si="34"/>
        <v>43</v>
      </c>
      <c r="P220">
        <v>43</v>
      </c>
      <c r="R220" t="s">
        <v>1269</v>
      </c>
      <c r="S220">
        <v>0.4</v>
      </c>
      <c r="T220">
        <v>0.17519999999999999</v>
      </c>
      <c r="U220">
        <f t="shared" si="35"/>
        <v>7.0000000000000007E-2</v>
      </c>
      <c r="V220" t="str">
        <f t="shared" si="32"/>
        <v>High Occupational Therapist</v>
      </c>
      <c r="W220" t="str">
        <f t="shared" si="33"/>
        <v>Occupational Therapist</v>
      </c>
    </row>
    <row r="221" spans="1:23" x14ac:dyDescent="0.25">
      <c r="A221">
        <v>4246</v>
      </c>
      <c r="B221" t="s">
        <v>1303</v>
      </c>
      <c r="C221">
        <v>0.5</v>
      </c>
      <c r="D221" t="s">
        <v>1264</v>
      </c>
      <c r="E221">
        <v>100290</v>
      </c>
      <c r="F221">
        <v>4246</v>
      </c>
      <c r="G221" t="str">
        <f t="shared" si="31"/>
        <v>04246</v>
      </c>
      <c r="H221" t="s">
        <v>322</v>
      </c>
      <c r="I221" t="s">
        <v>1265</v>
      </c>
      <c r="J221" t="s">
        <v>1266</v>
      </c>
      <c r="K221" t="s">
        <v>1267</v>
      </c>
      <c r="L221" t="s">
        <v>1303</v>
      </c>
      <c r="M221" t="s">
        <v>1304</v>
      </c>
      <c r="N221">
        <v>21</v>
      </c>
      <c r="O221" t="str">
        <f t="shared" si="34"/>
        <v>43</v>
      </c>
      <c r="P221">
        <v>43</v>
      </c>
      <c r="R221" t="s">
        <v>1269</v>
      </c>
      <c r="S221">
        <v>0.5</v>
      </c>
      <c r="T221">
        <v>0.17519999999999999</v>
      </c>
      <c r="U221">
        <f t="shared" si="35"/>
        <v>8.7999999999999995E-2</v>
      </c>
      <c r="V221" t="str">
        <f t="shared" si="32"/>
        <v>Middle Occupational Therapist</v>
      </c>
      <c r="W221" t="str">
        <f t="shared" si="33"/>
        <v>Occupational Therapist</v>
      </c>
    </row>
    <row r="222" spans="1:23" x14ac:dyDescent="0.25">
      <c r="A222">
        <v>4246</v>
      </c>
      <c r="B222" t="s">
        <v>1294</v>
      </c>
      <c r="C222">
        <v>6.2930000000000001</v>
      </c>
      <c r="D222" t="s">
        <v>1264</v>
      </c>
      <c r="E222">
        <v>100290</v>
      </c>
      <c r="F222">
        <v>4246</v>
      </c>
      <c r="G222" t="str">
        <f t="shared" si="31"/>
        <v>04246</v>
      </c>
      <c r="H222" t="s">
        <v>322</v>
      </c>
      <c r="I222" t="s">
        <v>1265</v>
      </c>
      <c r="J222" t="s">
        <v>1276</v>
      </c>
      <c r="K222" t="s">
        <v>1277</v>
      </c>
      <c r="L222" t="s">
        <v>1294</v>
      </c>
      <c r="M222" t="s">
        <v>1354</v>
      </c>
      <c r="N222">
        <v>21</v>
      </c>
      <c r="O222" t="str">
        <f t="shared" si="34"/>
        <v>45</v>
      </c>
      <c r="P222">
        <v>45</v>
      </c>
      <c r="R222" t="s">
        <v>1269</v>
      </c>
      <c r="S222">
        <v>6.2930000000000001</v>
      </c>
      <c r="T222">
        <v>0.17519999999999999</v>
      </c>
      <c r="U222">
        <f t="shared" si="35"/>
        <v>1.103</v>
      </c>
      <c r="V222" t="str">
        <f t="shared" si="32"/>
        <v>Elementary Speech, Language Pathway/
Audio</v>
      </c>
      <c r="W222" t="str">
        <f t="shared" si="33"/>
        <v>Speech, Language Pathway/
Audio</v>
      </c>
    </row>
    <row r="223" spans="1:23" x14ac:dyDescent="0.25">
      <c r="A223">
        <v>4246</v>
      </c>
      <c r="B223" t="s">
        <v>1332</v>
      </c>
      <c r="C223">
        <v>1</v>
      </c>
      <c r="D223" t="s">
        <v>1264</v>
      </c>
      <c r="E223">
        <v>100290</v>
      </c>
      <c r="F223">
        <v>4246</v>
      </c>
      <c r="G223" t="str">
        <f t="shared" si="31"/>
        <v>04246</v>
      </c>
      <c r="H223" t="s">
        <v>322</v>
      </c>
      <c r="I223" t="s">
        <v>1265</v>
      </c>
      <c r="J223" t="s">
        <v>1276</v>
      </c>
      <c r="K223" t="s">
        <v>1277</v>
      </c>
      <c r="L223" t="s">
        <v>1332</v>
      </c>
      <c r="M223" t="s">
        <v>1403</v>
      </c>
      <c r="N223">
        <v>1</v>
      </c>
      <c r="O223" t="str">
        <f t="shared" si="34"/>
        <v>45</v>
      </c>
      <c r="P223">
        <v>45</v>
      </c>
      <c r="R223" t="s">
        <v>1269</v>
      </c>
      <c r="S223">
        <v>1</v>
      </c>
      <c r="T223">
        <v>0.17519999999999999</v>
      </c>
      <c r="U223">
        <f t="shared" si="35"/>
        <v>0</v>
      </c>
      <c r="V223" t="str">
        <f t="shared" si="32"/>
        <v>Elementary Speech, Language Pathway/
Audio</v>
      </c>
      <c r="W223" t="str">
        <f t="shared" si="33"/>
        <v>Speech, Language Pathway/
Audio</v>
      </c>
    </row>
    <row r="224" spans="1:23" x14ac:dyDescent="0.25">
      <c r="A224">
        <v>4246</v>
      </c>
      <c r="B224" t="s">
        <v>1326</v>
      </c>
      <c r="C224">
        <v>1</v>
      </c>
      <c r="D224" t="s">
        <v>1264</v>
      </c>
      <c r="E224">
        <v>100290</v>
      </c>
      <c r="F224">
        <v>4246</v>
      </c>
      <c r="G224" t="str">
        <f t="shared" si="31"/>
        <v>04246</v>
      </c>
      <c r="H224" t="s">
        <v>322</v>
      </c>
      <c r="I224" t="s">
        <v>1265</v>
      </c>
      <c r="J224" t="s">
        <v>1271</v>
      </c>
      <c r="K224" t="s">
        <v>1272</v>
      </c>
      <c r="L224" t="s">
        <v>1326</v>
      </c>
      <c r="M224" t="s">
        <v>1353</v>
      </c>
      <c r="N224">
        <v>21</v>
      </c>
      <c r="O224" t="str">
        <f t="shared" si="34"/>
        <v>45</v>
      </c>
      <c r="P224">
        <v>45</v>
      </c>
      <c r="R224" t="s">
        <v>1269</v>
      </c>
      <c r="S224">
        <v>1</v>
      </c>
      <c r="T224">
        <v>0.17519999999999999</v>
      </c>
      <c r="U224">
        <f t="shared" si="35"/>
        <v>0.17499999999999999</v>
      </c>
      <c r="V224" t="str">
        <f t="shared" si="32"/>
        <v>High Speech, Language Pathway/
Audio</v>
      </c>
      <c r="W224" t="str">
        <f t="shared" si="33"/>
        <v>Speech, Language Pathway/
Audio</v>
      </c>
    </row>
    <row r="225" spans="1:23" x14ac:dyDescent="0.25">
      <c r="A225">
        <v>4246</v>
      </c>
      <c r="B225" t="s">
        <v>1312</v>
      </c>
      <c r="C225">
        <v>1</v>
      </c>
      <c r="D225" t="s">
        <v>1264</v>
      </c>
      <c r="E225">
        <v>100290</v>
      </c>
      <c r="F225">
        <v>4246</v>
      </c>
      <c r="G225" t="str">
        <f t="shared" si="31"/>
        <v>04246</v>
      </c>
      <c r="H225" t="s">
        <v>322</v>
      </c>
      <c r="I225" t="s">
        <v>1265</v>
      </c>
      <c r="J225" t="s">
        <v>1266</v>
      </c>
      <c r="K225" t="s">
        <v>1267</v>
      </c>
      <c r="L225" t="s">
        <v>1312</v>
      </c>
      <c r="M225" t="s">
        <v>1351</v>
      </c>
      <c r="N225">
        <v>21</v>
      </c>
      <c r="O225" t="str">
        <f t="shared" si="34"/>
        <v>45</v>
      </c>
      <c r="P225">
        <v>45</v>
      </c>
      <c r="R225" t="s">
        <v>1269</v>
      </c>
      <c r="S225">
        <v>1</v>
      </c>
      <c r="T225">
        <v>0.17519999999999999</v>
      </c>
      <c r="U225">
        <f t="shared" si="35"/>
        <v>0.17499999999999999</v>
      </c>
      <c r="V225" t="str">
        <f t="shared" si="32"/>
        <v>Middle Speech, Language Pathway/
Audio</v>
      </c>
      <c r="W225" t="str">
        <f t="shared" si="33"/>
        <v>Speech, Language Pathway/
Audio</v>
      </c>
    </row>
    <row r="226" spans="1:23" x14ac:dyDescent="0.25">
      <c r="A226">
        <v>4246</v>
      </c>
      <c r="B226" t="s">
        <v>1298</v>
      </c>
      <c r="C226">
        <v>5.2</v>
      </c>
      <c r="D226" t="s">
        <v>1264</v>
      </c>
      <c r="E226">
        <v>100290</v>
      </c>
      <c r="F226">
        <v>4246</v>
      </c>
      <c r="G226" t="str">
        <f t="shared" si="31"/>
        <v>04246</v>
      </c>
      <c r="H226" t="s">
        <v>322</v>
      </c>
      <c r="I226" t="s">
        <v>1265</v>
      </c>
      <c r="J226" t="s">
        <v>1276</v>
      </c>
      <c r="K226" t="s">
        <v>1277</v>
      </c>
      <c r="L226" t="s">
        <v>1298</v>
      </c>
      <c r="M226" t="s">
        <v>1349</v>
      </c>
      <c r="N226">
        <v>21</v>
      </c>
      <c r="O226" t="str">
        <f t="shared" si="34"/>
        <v>46</v>
      </c>
      <c r="P226">
        <v>46</v>
      </c>
      <c r="R226" t="s">
        <v>1269</v>
      </c>
      <c r="S226">
        <v>5.2</v>
      </c>
      <c r="T226">
        <v>0.17519999999999999</v>
      </c>
      <c r="U226">
        <f t="shared" si="35"/>
        <v>0.91100000000000003</v>
      </c>
      <c r="V226" t="str">
        <f t="shared" si="32"/>
        <v>Elementary Psychologist</v>
      </c>
      <c r="W226" t="str">
        <f t="shared" si="33"/>
        <v>Psychologist</v>
      </c>
    </row>
    <row r="227" spans="1:23" x14ac:dyDescent="0.25">
      <c r="A227">
        <v>4246</v>
      </c>
      <c r="B227" t="s">
        <v>1309</v>
      </c>
      <c r="C227">
        <v>2.4</v>
      </c>
      <c r="D227" t="s">
        <v>1264</v>
      </c>
      <c r="E227">
        <v>100290</v>
      </c>
      <c r="F227">
        <v>4246</v>
      </c>
      <c r="G227" t="str">
        <f t="shared" si="31"/>
        <v>04246</v>
      </c>
      <c r="H227" t="s">
        <v>322</v>
      </c>
      <c r="I227" t="s">
        <v>1265</v>
      </c>
      <c r="J227" t="s">
        <v>1271</v>
      </c>
      <c r="K227" t="s">
        <v>1272</v>
      </c>
      <c r="L227" t="s">
        <v>1309</v>
      </c>
      <c r="M227" t="s">
        <v>1310</v>
      </c>
      <c r="N227">
        <v>21</v>
      </c>
      <c r="O227" t="str">
        <f t="shared" si="34"/>
        <v>46</v>
      </c>
      <c r="P227">
        <v>46</v>
      </c>
      <c r="R227" t="s">
        <v>1269</v>
      </c>
      <c r="S227">
        <v>2.4</v>
      </c>
      <c r="T227">
        <v>0.17519999999999999</v>
      </c>
      <c r="U227">
        <f t="shared" si="35"/>
        <v>0.42</v>
      </c>
      <c r="V227" t="str">
        <f t="shared" si="32"/>
        <v>High Psychologist</v>
      </c>
      <c r="W227" t="str">
        <f t="shared" si="33"/>
        <v>Psychologist</v>
      </c>
    </row>
    <row r="228" spans="1:23" x14ac:dyDescent="0.25">
      <c r="A228">
        <v>4246</v>
      </c>
      <c r="B228" t="s">
        <v>1345</v>
      </c>
      <c r="C228">
        <v>0.8</v>
      </c>
      <c r="D228" t="s">
        <v>1264</v>
      </c>
      <c r="E228">
        <v>100290</v>
      </c>
      <c r="F228">
        <v>4246</v>
      </c>
      <c r="G228" t="str">
        <f t="shared" si="31"/>
        <v>04246</v>
      </c>
      <c r="H228" t="s">
        <v>322</v>
      </c>
      <c r="I228" t="s">
        <v>1265</v>
      </c>
      <c r="J228" t="s">
        <v>1266</v>
      </c>
      <c r="K228" t="s">
        <v>1267</v>
      </c>
      <c r="L228" t="s">
        <v>1345</v>
      </c>
      <c r="M228" t="s">
        <v>1346</v>
      </c>
      <c r="N228">
        <v>21</v>
      </c>
      <c r="O228" t="str">
        <f t="shared" si="34"/>
        <v>46</v>
      </c>
      <c r="P228">
        <v>46</v>
      </c>
      <c r="R228" t="s">
        <v>1269</v>
      </c>
      <c r="S228">
        <v>0.8</v>
      </c>
      <c r="T228">
        <v>0.17519999999999999</v>
      </c>
      <c r="U228">
        <f t="shared" si="35"/>
        <v>0.14000000000000001</v>
      </c>
      <c r="V228" t="str">
        <f t="shared" si="32"/>
        <v>Middle Psychologist</v>
      </c>
      <c r="W228" t="str">
        <f t="shared" si="33"/>
        <v>Psychologist</v>
      </c>
    </row>
    <row r="229" spans="1:23" x14ac:dyDescent="0.25">
      <c r="A229">
        <v>4246</v>
      </c>
      <c r="B229" t="s">
        <v>1334</v>
      </c>
      <c r="C229">
        <v>1.3</v>
      </c>
      <c r="D229" t="s">
        <v>1264</v>
      </c>
      <c r="E229">
        <v>100290</v>
      </c>
      <c r="F229">
        <v>4246</v>
      </c>
      <c r="G229" t="str">
        <f t="shared" si="31"/>
        <v>04246</v>
      </c>
      <c r="H229" t="s">
        <v>322</v>
      </c>
      <c r="I229" t="s">
        <v>1265</v>
      </c>
      <c r="J229" t="s">
        <v>1276</v>
      </c>
      <c r="K229" t="s">
        <v>1277</v>
      </c>
      <c r="L229" t="s">
        <v>1334</v>
      </c>
      <c r="M229" t="s">
        <v>1413</v>
      </c>
      <c r="N229">
        <v>21</v>
      </c>
      <c r="O229" t="str">
        <f t="shared" si="34"/>
        <v>47</v>
      </c>
      <c r="P229">
        <v>47</v>
      </c>
      <c r="R229" t="s">
        <v>1269</v>
      </c>
      <c r="S229">
        <v>1.3</v>
      </c>
      <c r="T229">
        <v>0.17519999999999999</v>
      </c>
      <c r="U229">
        <f t="shared" si="35"/>
        <v>0.22800000000000001</v>
      </c>
      <c r="V229" t="str">
        <f t="shared" si="32"/>
        <v>Elementary Nurse</v>
      </c>
      <c r="W229" t="str">
        <f t="shared" si="33"/>
        <v>Nurse</v>
      </c>
    </row>
    <row r="230" spans="1:23" x14ac:dyDescent="0.25">
      <c r="A230">
        <v>4246</v>
      </c>
      <c r="B230" t="s">
        <v>1335</v>
      </c>
      <c r="C230">
        <v>2.5</v>
      </c>
      <c r="D230" t="s">
        <v>1264</v>
      </c>
      <c r="E230">
        <v>100290</v>
      </c>
      <c r="F230">
        <v>4246</v>
      </c>
      <c r="G230" t="str">
        <f t="shared" si="31"/>
        <v>04246</v>
      </c>
      <c r="H230" t="s">
        <v>322</v>
      </c>
      <c r="I230" t="s">
        <v>1265</v>
      </c>
      <c r="J230" t="s">
        <v>1276</v>
      </c>
      <c r="K230" t="s">
        <v>1277</v>
      </c>
      <c r="L230" t="s">
        <v>1335</v>
      </c>
      <c r="M230" t="s">
        <v>1344</v>
      </c>
      <c r="N230">
        <v>1</v>
      </c>
      <c r="O230" t="str">
        <f t="shared" si="34"/>
        <v>47</v>
      </c>
      <c r="P230">
        <v>47</v>
      </c>
      <c r="R230" t="s">
        <v>1269</v>
      </c>
      <c r="S230">
        <v>2.5</v>
      </c>
      <c r="T230">
        <v>0.17519999999999999</v>
      </c>
      <c r="U230">
        <f t="shared" si="35"/>
        <v>0</v>
      </c>
      <c r="V230" t="str">
        <f t="shared" si="32"/>
        <v>Elementary Nurse</v>
      </c>
      <c r="W230" t="str">
        <f t="shared" si="33"/>
        <v>Nurse</v>
      </c>
    </row>
    <row r="231" spans="1:23" x14ac:dyDescent="0.25">
      <c r="A231">
        <v>4246</v>
      </c>
      <c r="B231" t="s">
        <v>1341</v>
      </c>
      <c r="C231">
        <v>2.2999999999999998</v>
      </c>
      <c r="D231" t="s">
        <v>1264</v>
      </c>
      <c r="E231">
        <v>100290</v>
      </c>
      <c r="F231">
        <v>4246</v>
      </c>
      <c r="G231" t="str">
        <f t="shared" si="31"/>
        <v>04246</v>
      </c>
      <c r="H231" t="s">
        <v>322</v>
      </c>
      <c r="I231" t="s">
        <v>1265</v>
      </c>
      <c r="J231" t="s">
        <v>1271</v>
      </c>
      <c r="K231" t="s">
        <v>1272</v>
      </c>
      <c r="L231" t="s">
        <v>1341</v>
      </c>
      <c r="M231" t="s">
        <v>1342</v>
      </c>
      <c r="N231">
        <v>1</v>
      </c>
      <c r="O231" t="str">
        <f t="shared" si="34"/>
        <v>47</v>
      </c>
      <c r="P231">
        <v>47</v>
      </c>
      <c r="R231" t="s">
        <v>1269</v>
      </c>
      <c r="S231">
        <v>2.2999999999999998</v>
      </c>
      <c r="T231">
        <v>0.17519999999999999</v>
      </c>
      <c r="U231">
        <f t="shared" si="35"/>
        <v>0</v>
      </c>
      <c r="V231" t="str">
        <f t="shared" si="32"/>
        <v>High Nurse</v>
      </c>
      <c r="W231" t="str">
        <f t="shared" si="33"/>
        <v>Nurse</v>
      </c>
    </row>
    <row r="232" spans="1:23" x14ac:dyDescent="0.25">
      <c r="A232">
        <v>4246</v>
      </c>
      <c r="B232" t="s">
        <v>1338</v>
      </c>
      <c r="C232">
        <v>1.5</v>
      </c>
      <c r="D232" t="s">
        <v>1264</v>
      </c>
      <c r="E232">
        <v>100290</v>
      </c>
      <c r="F232">
        <v>4246</v>
      </c>
      <c r="G232" t="str">
        <f t="shared" si="31"/>
        <v>04246</v>
      </c>
      <c r="H232" t="s">
        <v>322</v>
      </c>
      <c r="I232" t="s">
        <v>1265</v>
      </c>
      <c r="J232" t="s">
        <v>1266</v>
      </c>
      <c r="K232" t="s">
        <v>1267</v>
      </c>
      <c r="L232" t="s">
        <v>1338</v>
      </c>
      <c r="M232" t="s">
        <v>1339</v>
      </c>
      <c r="N232">
        <v>1</v>
      </c>
      <c r="O232" t="str">
        <f t="shared" si="34"/>
        <v>47</v>
      </c>
      <c r="P232">
        <v>47</v>
      </c>
      <c r="R232" t="s">
        <v>1269</v>
      </c>
      <c r="S232">
        <v>1.5</v>
      </c>
      <c r="T232">
        <v>0.17519999999999999</v>
      </c>
      <c r="U232">
        <f t="shared" si="35"/>
        <v>0</v>
      </c>
      <c r="V232" t="str">
        <f t="shared" si="32"/>
        <v>Middle Nurse</v>
      </c>
      <c r="W232" t="str">
        <f t="shared" si="33"/>
        <v>Nurse</v>
      </c>
    </row>
    <row r="233" spans="1:23" x14ac:dyDescent="0.25">
      <c r="A233">
        <v>4246</v>
      </c>
      <c r="B233" t="s">
        <v>1302</v>
      </c>
      <c r="C233">
        <v>2.1</v>
      </c>
      <c r="D233" t="s">
        <v>1264</v>
      </c>
      <c r="E233">
        <v>100290</v>
      </c>
      <c r="F233">
        <v>4246</v>
      </c>
      <c r="G233" t="str">
        <f t="shared" si="31"/>
        <v>04246</v>
      </c>
      <c r="H233" t="s">
        <v>322</v>
      </c>
      <c r="I233" t="s">
        <v>1265</v>
      </c>
      <c r="J233" t="s">
        <v>1276</v>
      </c>
      <c r="K233" t="s">
        <v>1277</v>
      </c>
      <c r="L233" t="s">
        <v>1302</v>
      </c>
      <c r="M233" t="s">
        <v>1336</v>
      </c>
      <c r="N233">
        <v>21</v>
      </c>
      <c r="O233" t="str">
        <f t="shared" si="34"/>
        <v>48</v>
      </c>
      <c r="P233">
        <v>48</v>
      </c>
      <c r="R233" t="s">
        <v>1269</v>
      </c>
      <c r="S233">
        <v>2.1</v>
      </c>
      <c r="T233">
        <v>0.17519999999999999</v>
      </c>
      <c r="U233">
        <f t="shared" si="35"/>
        <v>0.36799999999999999</v>
      </c>
      <c r="V233" t="str">
        <f t="shared" si="32"/>
        <v>Elementary Physical Therapist</v>
      </c>
      <c r="W233" t="str">
        <f t="shared" si="33"/>
        <v>Physical Therapist</v>
      </c>
    </row>
    <row r="234" spans="1:23" x14ac:dyDescent="0.25">
      <c r="A234">
        <v>4246</v>
      </c>
      <c r="B234" t="s">
        <v>1330</v>
      </c>
      <c r="C234">
        <v>0.4</v>
      </c>
      <c r="D234" t="s">
        <v>1264</v>
      </c>
      <c r="E234">
        <v>100290</v>
      </c>
      <c r="F234">
        <v>4246</v>
      </c>
      <c r="G234" t="str">
        <f t="shared" si="31"/>
        <v>04246</v>
      </c>
      <c r="H234" t="s">
        <v>322</v>
      </c>
      <c r="I234" t="s">
        <v>1265</v>
      </c>
      <c r="J234" t="s">
        <v>1271</v>
      </c>
      <c r="K234" t="s">
        <v>1272</v>
      </c>
      <c r="L234" t="s">
        <v>1330</v>
      </c>
      <c r="M234" t="s">
        <v>1367</v>
      </c>
      <c r="N234">
        <v>21</v>
      </c>
      <c r="O234" t="str">
        <f t="shared" si="34"/>
        <v>48</v>
      </c>
      <c r="P234">
        <v>48</v>
      </c>
      <c r="R234" t="s">
        <v>1269</v>
      </c>
      <c r="S234">
        <v>0.4</v>
      </c>
      <c r="T234">
        <v>0.17519999999999999</v>
      </c>
      <c r="U234">
        <f t="shared" si="35"/>
        <v>7.0000000000000007E-2</v>
      </c>
      <c r="V234" t="str">
        <f t="shared" si="32"/>
        <v>High Physical Therapist</v>
      </c>
      <c r="W234" t="str">
        <f t="shared" si="33"/>
        <v>Physical Therapist</v>
      </c>
    </row>
    <row r="235" spans="1:23" x14ac:dyDescent="0.25">
      <c r="A235">
        <v>4246</v>
      </c>
      <c r="B235" t="s">
        <v>1316</v>
      </c>
      <c r="C235">
        <v>0.5</v>
      </c>
      <c r="D235" t="s">
        <v>1264</v>
      </c>
      <c r="E235">
        <v>100290</v>
      </c>
      <c r="F235">
        <v>4246</v>
      </c>
      <c r="G235" t="str">
        <f t="shared" si="31"/>
        <v>04246</v>
      </c>
      <c r="H235" t="s">
        <v>322</v>
      </c>
      <c r="I235" t="s">
        <v>1265</v>
      </c>
      <c r="J235" t="s">
        <v>1266</v>
      </c>
      <c r="K235" t="s">
        <v>1267</v>
      </c>
      <c r="L235" t="s">
        <v>1316</v>
      </c>
      <c r="M235" t="s">
        <v>1366</v>
      </c>
      <c r="N235">
        <v>21</v>
      </c>
      <c r="O235" t="str">
        <f t="shared" si="34"/>
        <v>48</v>
      </c>
      <c r="P235">
        <v>48</v>
      </c>
      <c r="R235" t="s">
        <v>1269</v>
      </c>
      <c r="S235">
        <v>0.5</v>
      </c>
      <c r="T235">
        <v>0.17519999999999999</v>
      </c>
      <c r="U235">
        <f t="shared" si="35"/>
        <v>8.7999999999999995E-2</v>
      </c>
      <c r="V235" t="str">
        <f t="shared" si="32"/>
        <v>Middle Physical Therapist</v>
      </c>
      <c r="W235" t="str">
        <f t="shared" si="33"/>
        <v>Physical Therapist</v>
      </c>
    </row>
    <row r="236" spans="1:23" x14ac:dyDescent="0.25">
      <c r="A236">
        <v>4246</v>
      </c>
      <c r="B236" t="s">
        <v>1340</v>
      </c>
      <c r="C236">
        <v>1.71</v>
      </c>
      <c r="D236" t="s">
        <v>1264</v>
      </c>
      <c r="E236">
        <v>100290</v>
      </c>
      <c r="F236">
        <v>4246</v>
      </c>
      <c r="G236" t="str">
        <f t="shared" si="31"/>
        <v>04246</v>
      </c>
      <c r="H236" t="s">
        <v>322</v>
      </c>
      <c r="I236" t="s">
        <v>1265</v>
      </c>
      <c r="J236" t="s">
        <v>1276</v>
      </c>
      <c r="K236" t="s">
        <v>1277</v>
      </c>
      <c r="L236" t="s">
        <v>1340</v>
      </c>
      <c r="M236" t="s">
        <v>1395</v>
      </c>
      <c r="N236">
        <v>21</v>
      </c>
      <c r="O236" t="str">
        <f t="shared" si="34"/>
        <v>49</v>
      </c>
      <c r="P236">
        <v>49</v>
      </c>
      <c r="R236" t="s">
        <v>1269</v>
      </c>
      <c r="S236">
        <v>1.71</v>
      </c>
      <c r="T236">
        <v>0.17519999999999999</v>
      </c>
      <c r="U236">
        <f t="shared" si="35"/>
        <v>0.3</v>
      </c>
      <c r="V236" t="str">
        <f t="shared" si="32"/>
        <v>Elementary Behavior Analyst</v>
      </c>
      <c r="W236" t="str">
        <f t="shared" si="33"/>
        <v>Behavior Analyst</v>
      </c>
    </row>
    <row r="237" spans="1:23" x14ac:dyDescent="0.25">
      <c r="A237">
        <v>4246</v>
      </c>
      <c r="B237" t="s">
        <v>1392</v>
      </c>
      <c r="C237">
        <v>0.54</v>
      </c>
      <c r="D237" t="s">
        <v>1264</v>
      </c>
      <c r="E237">
        <v>100290</v>
      </c>
      <c r="F237">
        <v>4246</v>
      </c>
      <c r="G237" t="str">
        <f t="shared" si="31"/>
        <v>04246</v>
      </c>
      <c r="H237" t="s">
        <v>322</v>
      </c>
      <c r="I237" t="s">
        <v>1265</v>
      </c>
      <c r="J237" t="s">
        <v>1271</v>
      </c>
      <c r="K237" t="s">
        <v>1272</v>
      </c>
      <c r="L237" t="s">
        <v>1392</v>
      </c>
      <c r="M237" t="s">
        <v>1393</v>
      </c>
      <c r="N237">
        <v>21</v>
      </c>
      <c r="O237" t="str">
        <f t="shared" si="34"/>
        <v>49</v>
      </c>
      <c r="P237">
        <v>49</v>
      </c>
      <c r="R237" t="s">
        <v>1269</v>
      </c>
      <c r="S237">
        <v>0.54</v>
      </c>
      <c r="T237">
        <v>0.17519999999999999</v>
      </c>
      <c r="U237">
        <f t="shared" si="35"/>
        <v>9.5000000000000001E-2</v>
      </c>
      <c r="V237" t="str">
        <f t="shared" si="32"/>
        <v>High Behavior Analyst</v>
      </c>
      <c r="W237" t="str">
        <f t="shared" si="33"/>
        <v>Behavior Analyst</v>
      </c>
    </row>
    <row r="238" spans="1:23" x14ac:dyDescent="0.25">
      <c r="A238">
        <v>4246</v>
      </c>
      <c r="B238" t="s">
        <v>1374</v>
      </c>
      <c r="C238">
        <v>0.75</v>
      </c>
      <c r="D238" t="s">
        <v>1264</v>
      </c>
      <c r="E238">
        <v>100290</v>
      </c>
      <c r="F238">
        <v>4246</v>
      </c>
      <c r="G238" t="str">
        <f t="shared" si="31"/>
        <v>04246</v>
      </c>
      <c r="H238" t="s">
        <v>322</v>
      </c>
      <c r="I238" t="s">
        <v>1265</v>
      </c>
      <c r="J238" t="s">
        <v>1266</v>
      </c>
      <c r="K238" t="s">
        <v>1267</v>
      </c>
      <c r="L238" t="s">
        <v>1374</v>
      </c>
      <c r="M238" t="s">
        <v>1391</v>
      </c>
      <c r="N238">
        <v>21</v>
      </c>
      <c r="O238" t="str">
        <f t="shared" si="34"/>
        <v>49</v>
      </c>
      <c r="P238">
        <v>49</v>
      </c>
      <c r="R238" t="s">
        <v>1269</v>
      </c>
      <c r="S238">
        <v>0.75</v>
      </c>
      <c r="T238">
        <v>0.17519999999999999</v>
      </c>
      <c r="U238">
        <f t="shared" si="35"/>
        <v>0.13100000000000001</v>
      </c>
      <c r="V238" t="str">
        <f t="shared" si="32"/>
        <v>Middle Behavior Analyst</v>
      </c>
      <c r="W238" t="str">
        <f t="shared" si="33"/>
        <v>Behavior Analyst</v>
      </c>
    </row>
    <row r="239" spans="1:23" x14ac:dyDescent="0.25">
      <c r="A239">
        <v>4901</v>
      </c>
      <c r="B239" t="s">
        <v>1293</v>
      </c>
      <c r="C239">
        <v>0.124</v>
      </c>
      <c r="D239" t="s">
        <v>1264</v>
      </c>
      <c r="E239">
        <v>106675</v>
      </c>
      <c r="F239">
        <v>4901</v>
      </c>
      <c r="G239" t="str">
        <f t="shared" si="31"/>
        <v>04901</v>
      </c>
      <c r="H239" t="s">
        <v>1233</v>
      </c>
      <c r="I239" t="s">
        <v>1265</v>
      </c>
      <c r="J239" t="s">
        <v>1276</v>
      </c>
      <c r="K239" t="s">
        <v>1277</v>
      </c>
      <c r="L239" t="s">
        <v>1293</v>
      </c>
      <c r="M239" t="s">
        <v>1449</v>
      </c>
      <c r="N239">
        <v>97</v>
      </c>
      <c r="O239" t="str">
        <f t="shared" si="34"/>
        <v>24</v>
      </c>
      <c r="P239">
        <v>96</v>
      </c>
      <c r="Q239">
        <v>24</v>
      </c>
      <c r="R239" t="s">
        <v>1269</v>
      </c>
      <c r="S239">
        <v>0.124</v>
      </c>
      <c r="T239">
        <v>0.1235</v>
      </c>
      <c r="U239">
        <f t="shared" si="35"/>
        <v>0</v>
      </c>
      <c r="V239" t="str">
        <f t="shared" si="32"/>
        <v>Elementary Family Engagement Coordinator</v>
      </c>
      <c r="W239" t="str">
        <f t="shared" si="33"/>
        <v>Family Engagement Coordinator</v>
      </c>
    </row>
    <row r="240" spans="1:23" x14ac:dyDescent="0.25">
      <c r="A240">
        <v>4901</v>
      </c>
      <c r="B240" t="s">
        <v>1382</v>
      </c>
      <c r="C240">
        <v>0.20499999999999999</v>
      </c>
      <c r="D240" t="s">
        <v>1264</v>
      </c>
      <c r="E240">
        <v>106675</v>
      </c>
      <c r="F240">
        <v>4901</v>
      </c>
      <c r="G240" t="str">
        <f t="shared" si="31"/>
        <v>04901</v>
      </c>
      <c r="H240" t="s">
        <v>1233</v>
      </c>
      <c r="I240" t="s">
        <v>1265</v>
      </c>
      <c r="J240" t="s">
        <v>1271</v>
      </c>
      <c r="K240" t="s">
        <v>1272</v>
      </c>
      <c r="L240" t="s">
        <v>1382</v>
      </c>
      <c r="M240" t="s">
        <v>1419</v>
      </c>
      <c r="N240">
        <v>97</v>
      </c>
      <c r="O240" t="str">
        <f t="shared" si="34"/>
        <v>24</v>
      </c>
      <c r="P240">
        <v>96</v>
      </c>
      <c r="Q240">
        <v>24</v>
      </c>
      <c r="R240" t="s">
        <v>1269</v>
      </c>
      <c r="S240">
        <v>0.20499999999999999</v>
      </c>
      <c r="T240">
        <v>0.1235</v>
      </c>
      <c r="U240">
        <f t="shared" si="35"/>
        <v>0</v>
      </c>
      <c r="V240" t="str">
        <f t="shared" si="32"/>
        <v>High Family Engagement Coordinator</v>
      </c>
      <c r="W240" t="str">
        <f t="shared" si="33"/>
        <v>Family Engagement Coordinator</v>
      </c>
    </row>
    <row r="241" spans="1:23" x14ac:dyDescent="0.25">
      <c r="A241">
        <v>4901</v>
      </c>
      <c r="B241" t="s">
        <v>1358</v>
      </c>
      <c r="C241">
        <v>0.40200000000000002</v>
      </c>
      <c r="D241" t="s">
        <v>1264</v>
      </c>
      <c r="E241">
        <v>106675</v>
      </c>
      <c r="F241">
        <v>4901</v>
      </c>
      <c r="G241" t="str">
        <f t="shared" si="31"/>
        <v>04901</v>
      </c>
      <c r="H241" t="s">
        <v>1233</v>
      </c>
      <c r="I241" t="s">
        <v>1265</v>
      </c>
      <c r="J241" t="s">
        <v>1266</v>
      </c>
      <c r="K241" t="s">
        <v>1267</v>
      </c>
      <c r="L241" t="s">
        <v>1358</v>
      </c>
      <c r="M241" t="s">
        <v>1448</v>
      </c>
      <c r="N241">
        <v>97</v>
      </c>
      <c r="O241" t="str">
        <f t="shared" si="34"/>
        <v>24</v>
      </c>
      <c r="P241">
        <v>96</v>
      </c>
      <c r="Q241">
        <v>24</v>
      </c>
      <c r="R241" t="s">
        <v>1269</v>
      </c>
      <c r="S241">
        <v>0.40200000000000002</v>
      </c>
      <c r="T241">
        <v>0.1235</v>
      </c>
      <c r="U241">
        <f t="shared" si="35"/>
        <v>0</v>
      </c>
      <c r="V241" t="str">
        <f t="shared" si="32"/>
        <v>Middle Family Engagement Coordinator</v>
      </c>
      <c r="W241" t="str">
        <f t="shared" si="33"/>
        <v>Family Engagement Coordinator</v>
      </c>
    </row>
    <row r="242" spans="1:23" x14ac:dyDescent="0.25">
      <c r="A242">
        <v>4901</v>
      </c>
      <c r="B242" t="s">
        <v>1315</v>
      </c>
      <c r="C242">
        <v>0.1</v>
      </c>
      <c r="D242" t="s">
        <v>1264</v>
      </c>
      <c r="E242">
        <v>106675</v>
      </c>
      <c r="F242">
        <v>4901</v>
      </c>
      <c r="G242" t="str">
        <f t="shared" si="31"/>
        <v>04901</v>
      </c>
      <c r="H242" t="s">
        <v>1233</v>
      </c>
      <c r="I242" t="s">
        <v>1265</v>
      </c>
      <c r="J242" t="s">
        <v>1276</v>
      </c>
      <c r="K242" t="s">
        <v>1277</v>
      </c>
      <c r="L242" t="s">
        <v>1315</v>
      </c>
      <c r="M242" t="s">
        <v>1375</v>
      </c>
      <c r="N242">
        <v>1</v>
      </c>
      <c r="O242" t="str">
        <f t="shared" si="34"/>
        <v>26</v>
      </c>
      <c r="Q242">
        <v>26</v>
      </c>
      <c r="R242" t="s">
        <v>1269</v>
      </c>
      <c r="S242">
        <v>0.1</v>
      </c>
      <c r="T242">
        <v>0.1235</v>
      </c>
      <c r="U242">
        <f t="shared" si="35"/>
        <v>0</v>
      </c>
      <c r="V242" t="str">
        <f t="shared" si="32"/>
        <v>Elementary Health/
Related Services</v>
      </c>
      <c r="W242" t="str">
        <f t="shared" si="33"/>
        <v>Health/
Related Services</v>
      </c>
    </row>
    <row r="243" spans="1:23" x14ac:dyDescent="0.25">
      <c r="A243">
        <v>4901</v>
      </c>
      <c r="B243" t="s">
        <v>1295</v>
      </c>
      <c r="C243">
        <v>0.16300000000000001</v>
      </c>
      <c r="D243" t="s">
        <v>1264</v>
      </c>
      <c r="E243">
        <v>106675</v>
      </c>
      <c r="F243">
        <v>4901</v>
      </c>
      <c r="G243" t="str">
        <f t="shared" si="31"/>
        <v>04901</v>
      </c>
      <c r="H243" t="s">
        <v>1233</v>
      </c>
      <c r="I243" t="s">
        <v>1265</v>
      </c>
      <c r="J243" t="s">
        <v>1271</v>
      </c>
      <c r="K243" t="s">
        <v>1272</v>
      </c>
      <c r="L243" t="s">
        <v>1295</v>
      </c>
      <c r="M243" t="s">
        <v>1296</v>
      </c>
      <c r="N243">
        <v>1</v>
      </c>
      <c r="O243" t="str">
        <f t="shared" si="34"/>
        <v>26</v>
      </c>
      <c r="Q243">
        <v>26</v>
      </c>
      <c r="R243" t="s">
        <v>1269</v>
      </c>
      <c r="S243">
        <v>0.16300000000000001</v>
      </c>
      <c r="T243">
        <v>0.1235</v>
      </c>
      <c r="U243">
        <f t="shared" si="35"/>
        <v>0</v>
      </c>
      <c r="V243" t="str">
        <f t="shared" si="32"/>
        <v>High Health/
Related Services</v>
      </c>
      <c r="W243" t="str">
        <f t="shared" si="33"/>
        <v>Health/
Related Services</v>
      </c>
    </row>
    <row r="244" spans="1:23" x14ac:dyDescent="0.25">
      <c r="A244">
        <v>4901</v>
      </c>
      <c r="B244" t="s">
        <v>1291</v>
      </c>
      <c r="C244">
        <v>0.32200000000000001</v>
      </c>
      <c r="D244" t="s">
        <v>1264</v>
      </c>
      <c r="E244">
        <v>106675</v>
      </c>
      <c r="F244">
        <v>4901</v>
      </c>
      <c r="G244" t="str">
        <f t="shared" si="31"/>
        <v>04901</v>
      </c>
      <c r="H244" t="s">
        <v>1233</v>
      </c>
      <c r="I244" t="s">
        <v>1265</v>
      </c>
      <c r="J244" t="s">
        <v>1266</v>
      </c>
      <c r="K244" t="s">
        <v>1267</v>
      </c>
      <c r="L244" t="s">
        <v>1291</v>
      </c>
      <c r="M244" t="s">
        <v>1292</v>
      </c>
      <c r="N244">
        <v>1</v>
      </c>
      <c r="O244" t="str">
        <f t="shared" si="34"/>
        <v>26</v>
      </c>
      <c r="Q244">
        <v>26</v>
      </c>
      <c r="R244" t="s">
        <v>1269</v>
      </c>
      <c r="S244">
        <v>0.32200000000000001</v>
      </c>
      <c r="T244">
        <v>0.1235</v>
      </c>
      <c r="U244">
        <f t="shared" si="35"/>
        <v>0</v>
      </c>
      <c r="V244" t="str">
        <f t="shared" si="32"/>
        <v>Middle Health/
Related Services</v>
      </c>
      <c r="W244" t="str">
        <f t="shared" si="33"/>
        <v>Health/
Related Services</v>
      </c>
    </row>
    <row r="245" spans="1:23" x14ac:dyDescent="0.25">
      <c r="A245">
        <v>5121</v>
      </c>
      <c r="B245" t="s">
        <v>1308</v>
      </c>
      <c r="C245">
        <v>0.88800000000000001</v>
      </c>
      <c r="D245" t="s">
        <v>1264</v>
      </c>
      <c r="E245">
        <v>100202</v>
      </c>
      <c r="F245">
        <v>5121</v>
      </c>
      <c r="G245" t="str">
        <f t="shared" si="31"/>
        <v>05121</v>
      </c>
      <c r="H245" t="s">
        <v>323</v>
      </c>
      <c r="I245" t="s">
        <v>1265</v>
      </c>
      <c r="J245" t="s">
        <v>1276</v>
      </c>
      <c r="K245" t="s">
        <v>1277</v>
      </c>
      <c r="L245" t="s">
        <v>1308</v>
      </c>
      <c r="M245" t="s">
        <v>1389</v>
      </c>
      <c r="N245">
        <v>1</v>
      </c>
      <c r="O245" t="str">
        <f t="shared" si="34"/>
        <v>25</v>
      </c>
      <c r="Q245">
        <v>25</v>
      </c>
      <c r="R245" t="s">
        <v>1269</v>
      </c>
      <c r="S245">
        <v>0.88800000000000001</v>
      </c>
      <c r="T245">
        <v>0.25690000000000002</v>
      </c>
      <c r="U245">
        <f t="shared" si="35"/>
        <v>0</v>
      </c>
      <c r="V245" t="str">
        <f t="shared" si="32"/>
        <v>Elementary Pupil Management</v>
      </c>
      <c r="W245" t="str">
        <f t="shared" si="33"/>
        <v>Pupil Management</v>
      </c>
    </row>
    <row r="246" spans="1:23" x14ac:dyDescent="0.25">
      <c r="A246">
        <v>5121</v>
      </c>
      <c r="B246" t="s">
        <v>1299</v>
      </c>
      <c r="C246">
        <v>2.7789999999999999</v>
      </c>
      <c r="D246" t="s">
        <v>1264</v>
      </c>
      <c r="E246">
        <v>100202</v>
      </c>
      <c r="F246">
        <v>5121</v>
      </c>
      <c r="G246" t="str">
        <f t="shared" si="31"/>
        <v>05121</v>
      </c>
      <c r="H246" t="s">
        <v>323</v>
      </c>
      <c r="I246" t="s">
        <v>1265</v>
      </c>
      <c r="J246" t="s">
        <v>1271</v>
      </c>
      <c r="K246" t="s">
        <v>1272</v>
      </c>
      <c r="L246" t="s">
        <v>1299</v>
      </c>
      <c r="M246" t="s">
        <v>1300</v>
      </c>
      <c r="N246">
        <v>1</v>
      </c>
      <c r="O246" t="str">
        <f t="shared" si="34"/>
        <v>25</v>
      </c>
      <c r="Q246">
        <v>25</v>
      </c>
      <c r="R246" t="s">
        <v>1269</v>
      </c>
      <c r="S246">
        <v>2.7789999999999999</v>
      </c>
      <c r="T246">
        <v>0.25690000000000002</v>
      </c>
      <c r="U246">
        <f t="shared" si="35"/>
        <v>0</v>
      </c>
      <c r="V246" t="str">
        <f t="shared" si="32"/>
        <v>High Pupil Management</v>
      </c>
      <c r="W246" t="str">
        <f t="shared" si="33"/>
        <v>Pupil Management</v>
      </c>
    </row>
    <row r="247" spans="1:23" x14ac:dyDescent="0.25">
      <c r="A247">
        <v>5121</v>
      </c>
      <c r="B247" t="s">
        <v>1324</v>
      </c>
      <c r="C247">
        <v>1.2410000000000001</v>
      </c>
      <c r="D247" t="s">
        <v>1264</v>
      </c>
      <c r="E247">
        <v>100202</v>
      </c>
      <c r="F247">
        <v>5121</v>
      </c>
      <c r="G247" t="str">
        <f t="shared" si="31"/>
        <v>05121</v>
      </c>
      <c r="H247" t="s">
        <v>323</v>
      </c>
      <c r="I247" t="s">
        <v>1265</v>
      </c>
      <c r="J247" t="s">
        <v>1271</v>
      </c>
      <c r="K247" t="s">
        <v>1272</v>
      </c>
      <c r="L247" t="s">
        <v>1324</v>
      </c>
      <c r="M247" t="s">
        <v>1325</v>
      </c>
      <c r="N247">
        <v>21</v>
      </c>
      <c r="O247" t="str">
        <f t="shared" si="34"/>
        <v>26</v>
      </c>
      <c r="Q247">
        <v>26</v>
      </c>
      <c r="R247" t="s">
        <v>1269</v>
      </c>
      <c r="S247">
        <v>1.2410000000000001</v>
      </c>
      <c r="T247">
        <v>0.25690000000000002</v>
      </c>
      <c r="U247">
        <f t="shared" si="35"/>
        <v>0.31900000000000001</v>
      </c>
      <c r="V247" t="str">
        <f t="shared" si="32"/>
        <v>High Health/
Related Services</v>
      </c>
      <c r="W247" t="str">
        <f t="shared" si="33"/>
        <v>Health/
Related Services</v>
      </c>
    </row>
    <row r="248" spans="1:23" x14ac:dyDescent="0.25">
      <c r="A248">
        <v>5121</v>
      </c>
      <c r="B248" t="s">
        <v>1295</v>
      </c>
      <c r="C248">
        <v>1.335</v>
      </c>
      <c r="D248" t="s">
        <v>1264</v>
      </c>
      <c r="E248">
        <v>100202</v>
      </c>
      <c r="F248">
        <v>5121</v>
      </c>
      <c r="G248" t="str">
        <f t="shared" si="31"/>
        <v>05121</v>
      </c>
      <c r="H248" t="s">
        <v>323</v>
      </c>
      <c r="I248" t="s">
        <v>1265</v>
      </c>
      <c r="J248" t="s">
        <v>1271</v>
      </c>
      <c r="K248" t="s">
        <v>1272</v>
      </c>
      <c r="L248" t="s">
        <v>1295</v>
      </c>
      <c r="M248" t="s">
        <v>1296</v>
      </c>
      <c r="N248">
        <v>1</v>
      </c>
      <c r="O248" t="str">
        <f t="shared" si="34"/>
        <v>26</v>
      </c>
      <c r="Q248">
        <v>26</v>
      </c>
      <c r="R248" t="s">
        <v>1269</v>
      </c>
      <c r="S248">
        <v>1.335</v>
      </c>
      <c r="T248">
        <v>0.25690000000000002</v>
      </c>
      <c r="U248">
        <f t="shared" si="35"/>
        <v>0</v>
      </c>
      <c r="V248" t="str">
        <f t="shared" si="32"/>
        <v>High Health/
Related Services</v>
      </c>
      <c r="W248" t="str">
        <f t="shared" si="33"/>
        <v>Health/
Related Services</v>
      </c>
    </row>
    <row r="249" spans="1:23" x14ac:dyDescent="0.25">
      <c r="A249">
        <v>5121</v>
      </c>
      <c r="B249" t="s">
        <v>1275</v>
      </c>
      <c r="C249">
        <v>3</v>
      </c>
      <c r="D249" t="s">
        <v>1264</v>
      </c>
      <c r="E249">
        <v>100202</v>
      </c>
      <c r="F249">
        <v>5121</v>
      </c>
      <c r="G249" t="str">
        <f t="shared" si="31"/>
        <v>05121</v>
      </c>
      <c r="H249" t="s">
        <v>323</v>
      </c>
      <c r="I249" t="s">
        <v>1265</v>
      </c>
      <c r="J249" t="s">
        <v>1276</v>
      </c>
      <c r="K249" t="s">
        <v>1277</v>
      </c>
      <c r="L249" t="s">
        <v>1275</v>
      </c>
      <c r="M249" t="s">
        <v>1278</v>
      </c>
      <c r="N249">
        <v>1</v>
      </c>
      <c r="O249" t="str">
        <f t="shared" si="34"/>
        <v>42</v>
      </c>
      <c r="P249">
        <v>42</v>
      </c>
      <c r="R249" t="s">
        <v>1269</v>
      </c>
      <c r="S249">
        <v>3</v>
      </c>
      <c r="T249">
        <v>0.25690000000000002</v>
      </c>
      <c r="U249">
        <f t="shared" si="35"/>
        <v>0</v>
      </c>
      <c r="V249" t="str">
        <f t="shared" si="32"/>
        <v>Elementary Counselor</v>
      </c>
      <c r="W249" t="str">
        <f t="shared" si="33"/>
        <v>Counselor</v>
      </c>
    </row>
    <row r="250" spans="1:23" x14ac:dyDescent="0.25">
      <c r="A250">
        <v>5121</v>
      </c>
      <c r="B250" t="s">
        <v>1270</v>
      </c>
      <c r="C250">
        <v>3.55</v>
      </c>
      <c r="D250" t="s">
        <v>1264</v>
      </c>
      <c r="E250">
        <v>100202</v>
      </c>
      <c r="F250">
        <v>5121</v>
      </c>
      <c r="G250" t="str">
        <f t="shared" si="31"/>
        <v>05121</v>
      </c>
      <c r="H250" t="s">
        <v>323</v>
      </c>
      <c r="I250" t="s">
        <v>1265</v>
      </c>
      <c r="J250" t="s">
        <v>1271</v>
      </c>
      <c r="K250" t="s">
        <v>1272</v>
      </c>
      <c r="L250" t="s">
        <v>1270</v>
      </c>
      <c r="M250" t="s">
        <v>1273</v>
      </c>
      <c r="N250">
        <v>1</v>
      </c>
      <c r="O250" t="str">
        <f t="shared" si="34"/>
        <v>42</v>
      </c>
      <c r="P250">
        <v>42</v>
      </c>
      <c r="R250" t="s">
        <v>1269</v>
      </c>
      <c r="S250">
        <v>3.55</v>
      </c>
      <c r="T250">
        <v>0.25690000000000002</v>
      </c>
      <c r="U250">
        <f t="shared" si="35"/>
        <v>0</v>
      </c>
      <c r="V250" t="str">
        <f t="shared" si="32"/>
        <v>High Counselor</v>
      </c>
      <c r="W250" t="str">
        <f t="shared" si="33"/>
        <v>Counselor</v>
      </c>
    </row>
    <row r="251" spans="1:23" x14ac:dyDescent="0.25">
      <c r="A251">
        <v>5121</v>
      </c>
      <c r="B251" t="s">
        <v>1289</v>
      </c>
      <c r="C251">
        <v>0.57199999999999995</v>
      </c>
      <c r="D251" t="s">
        <v>1264</v>
      </c>
      <c r="E251">
        <v>100202</v>
      </c>
      <c r="F251">
        <v>5121</v>
      </c>
      <c r="G251" t="str">
        <f t="shared" si="31"/>
        <v>05121</v>
      </c>
      <c r="H251" t="s">
        <v>323</v>
      </c>
      <c r="I251" t="s">
        <v>1265</v>
      </c>
      <c r="J251" t="s">
        <v>1276</v>
      </c>
      <c r="K251" t="s">
        <v>1277</v>
      </c>
      <c r="L251" t="s">
        <v>1289</v>
      </c>
      <c r="M251" t="s">
        <v>1307</v>
      </c>
      <c r="N251">
        <v>21</v>
      </c>
      <c r="O251" t="str">
        <f t="shared" si="34"/>
        <v>43</v>
      </c>
      <c r="P251">
        <v>43</v>
      </c>
      <c r="R251" t="s">
        <v>1269</v>
      </c>
      <c r="S251">
        <v>0.57199999999999995</v>
      </c>
      <c r="T251">
        <v>0.25690000000000002</v>
      </c>
      <c r="U251">
        <f t="shared" si="35"/>
        <v>0.14699999999999999</v>
      </c>
      <c r="V251" t="str">
        <f t="shared" si="32"/>
        <v>Elementary Occupational Therapist</v>
      </c>
      <c r="W251" t="str">
        <f t="shared" si="33"/>
        <v>Occupational Therapist</v>
      </c>
    </row>
    <row r="252" spans="1:23" x14ac:dyDescent="0.25">
      <c r="A252">
        <v>5121</v>
      </c>
      <c r="B252" t="s">
        <v>1387</v>
      </c>
      <c r="C252">
        <v>9.5000000000000001E-2</v>
      </c>
      <c r="D252" t="s">
        <v>1264</v>
      </c>
      <c r="E252">
        <v>100202</v>
      </c>
      <c r="F252">
        <v>5121</v>
      </c>
      <c r="G252" t="str">
        <f t="shared" si="31"/>
        <v>05121</v>
      </c>
      <c r="H252" t="s">
        <v>323</v>
      </c>
      <c r="I252" t="s">
        <v>1265</v>
      </c>
      <c r="J252" t="s">
        <v>1271</v>
      </c>
      <c r="K252" t="s">
        <v>1272</v>
      </c>
      <c r="L252" t="s">
        <v>1387</v>
      </c>
      <c r="M252" t="s">
        <v>1406</v>
      </c>
      <c r="N252">
        <v>21</v>
      </c>
      <c r="O252" t="str">
        <f t="shared" si="34"/>
        <v>43</v>
      </c>
      <c r="P252">
        <v>43</v>
      </c>
      <c r="R252" t="s">
        <v>1269</v>
      </c>
      <c r="S252">
        <v>9.5000000000000001E-2</v>
      </c>
      <c r="T252">
        <v>0.25690000000000002</v>
      </c>
      <c r="U252">
        <f t="shared" si="35"/>
        <v>2.4E-2</v>
      </c>
      <c r="V252" t="str">
        <f t="shared" si="32"/>
        <v>High Occupational Therapist</v>
      </c>
      <c r="W252" t="str">
        <f t="shared" si="33"/>
        <v>Occupational Therapist</v>
      </c>
    </row>
    <row r="253" spans="1:23" x14ac:dyDescent="0.25">
      <c r="A253">
        <v>5121</v>
      </c>
      <c r="B253" t="s">
        <v>1303</v>
      </c>
      <c r="C253">
        <v>0.33300000000000002</v>
      </c>
      <c r="D253" t="s">
        <v>1264</v>
      </c>
      <c r="E253">
        <v>100202</v>
      </c>
      <c r="F253">
        <v>5121</v>
      </c>
      <c r="G253" t="str">
        <f t="shared" si="31"/>
        <v>05121</v>
      </c>
      <c r="H253" t="s">
        <v>323</v>
      </c>
      <c r="I253" t="s">
        <v>1265</v>
      </c>
      <c r="J253" t="s">
        <v>1266</v>
      </c>
      <c r="K253" t="s">
        <v>1267</v>
      </c>
      <c r="L253" t="s">
        <v>1303</v>
      </c>
      <c r="M253" t="s">
        <v>1304</v>
      </c>
      <c r="N253">
        <v>21</v>
      </c>
      <c r="O253" t="str">
        <f t="shared" si="34"/>
        <v>43</v>
      </c>
      <c r="P253">
        <v>43</v>
      </c>
      <c r="R253" t="s">
        <v>1269</v>
      </c>
      <c r="S253">
        <v>0.33300000000000002</v>
      </c>
      <c r="T253">
        <v>0.25690000000000002</v>
      </c>
      <c r="U253">
        <f t="shared" si="35"/>
        <v>8.5999999999999993E-2</v>
      </c>
      <c r="V253" t="str">
        <f t="shared" si="32"/>
        <v>Middle Occupational Therapist</v>
      </c>
      <c r="W253" t="str">
        <f t="shared" si="33"/>
        <v>Occupational Therapist</v>
      </c>
    </row>
    <row r="254" spans="1:23" x14ac:dyDescent="0.25">
      <c r="A254">
        <v>5121</v>
      </c>
      <c r="B254" t="s">
        <v>1294</v>
      </c>
      <c r="C254">
        <v>5</v>
      </c>
      <c r="D254" t="s">
        <v>1264</v>
      </c>
      <c r="E254">
        <v>100202</v>
      </c>
      <c r="F254">
        <v>5121</v>
      </c>
      <c r="G254" t="str">
        <f t="shared" si="31"/>
        <v>05121</v>
      </c>
      <c r="H254" t="s">
        <v>323</v>
      </c>
      <c r="I254" t="s">
        <v>1265</v>
      </c>
      <c r="J254" t="s">
        <v>1276</v>
      </c>
      <c r="K254" t="s">
        <v>1277</v>
      </c>
      <c r="L254" t="s">
        <v>1294</v>
      </c>
      <c r="M254" t="s">
        <v>1354</v>
      </c>
      <c r="N254">
        <v>21</v>
      </c>
      <c r="O254" t="str">
        <f t="shared" si="34"/>
        <v>45</v>
      </c>
      <c r="P254">
        <v>45</v>
      </c>
      <c r="R254" t="s">
        <v>1269</v>
      </c>
      <c r="S254">
        <v>5</v>
      </c>
      <c r="T254">
        <v>0.25690000000000002</v>
      </c>
      <c r="U254">
        <f t="shared" si="35"/>
        <v>1.2849999999999999</v>
      </c>
      <c r="V254" t="str">
        <f t="shared" si="32"/>
        <v>Elementary Speech, Language Pathway/
Audio</v>
      </c>
      <c r="W254" t="str">
        <f t="shared" si="33"/>
        <v>Speech, Language Pathway/
Audio</v>
      </c>
    </row>
    <row r="255" spans="1:23" x14ac:dyDescent="0.25">
      <c r="A255">
        <v>5121</v>
      </c>
      <c r="B255" t="s">
        <v>1298</v>
      </c>
      <c r="C255">
        <v>5</v>
      </c>
      <c r="D255" t="s">
        <v>1264</v>
      </c>
      <c r="E255">
        <v>100202</v>
      </c>
      <c r="F255">
        <v>5121</v>
      </c>
      <c r="G255" t="str">
        <f t="shared" si="31"/>
        <v>05121</v>
      </c>
      <c r="H255" t="s">
        <v>323</v>
      </c>
      <c r="I255" t="s">
        <v>1265</v>
      </c>
      <c r="J255" t="s">
        <v>1276</v>
      </c>
      <c r="K255" t="s">
        <v>1277</v>
      </c>
      <c r="L255" t="s">
        <v>1298</v>
      </c>
      <c r="M255" t="s">
        <v>1349</v>
      </c>
      <c r="N255">
        <v>21</v>
      </c>
      <c r="O255" t="str">
        <f t="shared" si="34"/>
        <v>46</v>
      </c>
      <c r="P255">
        <v>46</v>
      </c>
      <c r="R255" t="s">
        <v>1269</v>
      </c>
      <c r="S255">
        <v>5</v>
      </c>
      <c r="T255">
        <v>0.25690000000000002</v>
      </c>
      <c r="U255">
        <f t="shared" si="35"/>
        <v>1.2849999999999999</v>
      </c>
      <c r="V255" t="str">
        <f t="shared" si="32"/>
        <v>Elementary Psychologist</v>
      </c>
      <c r="W255" t="str">
        <f t="shared" si="33"/>
        <v>Psychologist</v>
      </c>
    </row>
    <row r="256" spans="1:23" x14ac:dyDescent="0.25">
      <c r="A256">
        <v>5121</v>
      </c>
      <c r="B256" t="s">
        <v>1335</v>
      </c>
      <c r="C256">
        <v>3</v>
      </c>
      <c r="D256" t="s">
        <v>1264</v>
      </c>
      <c r="E256">
        <v>100202</v>
      </c>
      <c r="F256">
        <v>5121</v>
      </c>
      <c r="G256" t="str">
        <f t="shared" si="31"/>
        <v>05121</v>
      </c>
      <c r="H256" t="s">
        <v>323</v>
      </c>
      <c r="I256" t="s">
        <v>1265</v>
      </c>
      <c r="J256" t="s">
        <v>1276</v>
      </c>
      <c r="K256" t="s">
        <v>1277</v>
      </c>
      <c r="L256" t="s">
        <v>1335</v>
      </c>
      <c r="M256" t="s">
        <v>1344</v>
      </c>
      <c r="N256">
        <v>1</v>
      </c>
      <c r="O256" t="str">
        <f t="shared" si="34"/>
        <v>47</v>
      </c>
      <c r="P256">
        <v>47</v>
      </c>
      <c r="R256" t="s">
        <v>1269</v>
      </c>
      <c r="S256">
        <v>3</v>
      </c>
      <c r="T256">
        <v>0.25690000000000002</v>
      </c>
      <c r="U256">
        <f t="shared" si="35"/>
        <v>0</v>
      </c>
      <c r="V256" t="str">
        <f t="shared" si="32"/>
        <v>Elementary Nurse</v>
      </c>
      <c r="W256" t="str">
        <f t="shared" si="33"/>
        <v>Nurse</v>
      </c>
    </row>
    <row r="257" spans="1:23" x14ac:dyDescent="0.25">
      <c r="A257">
        <v>5313</v>
      </c>
      <c r="B257" t="s">
        <v>1299</v>
      </c>
      <c r="C257">
        <v>0.26400000000000001</v>
      </c>
      <c r="D257" t="s">
        <v>1264</v>
      </c>
      <c r="E257">
        <v>100059</v>
      </c>
      <c r="F257">
        <v>5313</v>
      </c>
      <c r="G257" t="str">
        <f t="shared" si="31"/>
        <v>05313</v>
      </c>
      <c r="H257" t="s">
        <v>324</v>
      </c>
      <c r="I257" t="s">
        <v>1265</v>
      </c>
      <c r="J257" t="s">
        <v>1271</v>
      </c>
      <c r="K257" t="s">
        <v>1272</v>
      </c>
      <c r="L257" t="s">
        <v>1299</v>
      </c>
      <c r="M257" t="s">
        <v>1300</v>
      </c>
      <c r="N257">
        <v>1</v>
      </c>
      <c r="O257" t="str">
        <f t="shared" si="34"/>
        <v>25</v>
      </c>
      <c r="Q257">
        <v>25</v>
      </c>
      <c r="R257" t="s">
        <v>1269</v>
      </c>
      <c r="S257">
        <v>0.26400000000000001</v>
      </c>
      <c r="T257">
        <v>0.19059999999999999</v>
      </c>
      <c r="U257">
        <f t="shared" si="35"/>
        <v>0</v>
      </c>
      <c r="V257" t="str">
        <f t="shared" si="32"/>
        <v>High Pupil Management</v>
      </c>
      <c r="W257" t="str">
        <f t="shared" si="33"/>
        <v>Pupil Management</v>
      </c>
    </row>
    <row r="258" spans="1:23" x14ac:dyDescent="0.25">
      <c r="A258">
        <v>5313</v>
      </c>
      <c r="B258" t="s">
        <v>1270</v>
      </c>
      <c r="C258">
        <v>1</v>
      </c>
      <c r="D258" t="s">
        <v>1264</v>
      </c>
      <c r="E258">
        <v>100059</v>
      </c>
      <c r="F258">
        <v>5313</v>
      </c>
      <c r="G258" t="str">
        <f t="shared" ref="G258:G321" si="36">TEXT(F258,"00000")</f>
        <v>05313</v>
      </c>
      <c r="H258" t="s">
        <v>324</v>
      </c>
      <c r="I258" t="s">
        <v>1265</v>
      </c>
      <c r="J258" t="s">
        <v>1271</v>
      </c>
      <c r="K258" t="s">
        <v>1272</v>
      </c>
      <c r="L258" t="s">
        <v>1270</v>
      </c>
      <c r="M258" t="s">
        <v>1273</v>
      </c>
      <c r="N258">
        <v>1</v>
      </c>
      <c r="O258" t="str">
        <f t="shared" si="34"/>
        <v>42</v>
      </c>
      <c r="P258">
        <v>42</v>
      </c>
      <c r="R258" t="s">
        <v>1269</v>
      </c>
      <c r="S258">
        <v>1</v>
      </c>
      <c r="T258">
        <v>0.19059999999999999</v>
      </c>
      <c r="U258">
        <f t="shared" si="35"/>
        <v>0</v>
      </c>
      <c r="V258" t="str">
        <f t="shared" ref="V258:V321" si="37">_xlfn.XLOOKUP(L258,$BV:$BV,$BT:$BT,,0)</f>
        <v>High Counselor</v>
      </c>
      <c r="W258" t="str">
        <f t="shared" ref="W258:W321" si="38">_xlfn.TEXTAFTER(V258," ")</f>
        <v>Counselor</v>
      </c>
    </row>
    <row r="259" spans="1:23" x14ac:dyDescent="0.25">
      <c r="A259">
        <v>5313</v>
      </c>
      <c r="B259" t="s">
        <v>1335</v>
      </c>
      <c r="C259">
        <v>1.1259999999999999</v>
      </c>
      <c r="D259" t="s">
        <v>1264</v>
      </c>
      <c r="E259">
        <v>100059</v>
      </c>
      <c r="F259">
        <v>5313</v>
      </c>
      <c r="G259" t="str">
        <f t="shared" si="36"/>
        <v>05313</v>
      </c>
      <c r="H259" t="s">
        <v>324</v>
      </c>
      <c r="I259" t="s">
        <v>1265</v>
      </c>
      <c r="J259" t="s">
        <v>1276</v>
      </c>
      <c r="K259" t="s">
        <v>1277</v>
      </c>
      <c r="L259" t="s">
        <v>1335</v>
      </c>
      <c r="M259" t="s">
        <v>1344</v>
      </c>
      <c r="N259">
        <v>1</v>
      </c>
      <c r="O259" t="str">
        <f t="shared" ref="O259:O322" si="39">MID(L259,3,2)</f>
        <v>47</v>
      </c>
      <c r="P259">
        <v>47</v>
      </c>
      <c r="R259" t="s">
        <v>1269</v>
      </c>
      <c r="S259">
        <v>1.1259999999999999</v>
      </c>
      <c r="T259">
        <v>0.19059999999999999</v>
      </c>
      <c r="U259">
        <f t="shared" ref="U259:U322" si="40">IF(N259=21,ROUND(T259*S259,3),0)</f>
        <v>0</v>
      </c>
      <c r="V259" t="str">
        <f t="shared" si="37"/>
        <v>Elementary Nurse</v>
      </c>
      <c r="W259" t="str">
        <f t="shared" si="38"/>
        <v>Nurse</v>
      </c>
    </row>
    <row r="260" spans="1:23" x14ac:dyDescent="0.25">
      <c r="A260">
        <v>5323</v>
      </c>
      <c r="B260" t="s">
        <v>1383</v>
      </c>
      <c r="C260">
        <v>2.8090000000000002</v>
      </c>
      <c r="D260" t="s">
        <v>1264</v>
      </c>
      <c r="E260">
        <v>100233</v>
      </c>
      <c r="F260">
        <v>5323</v>
      </c>
      <c r="G260" t="str">
        <f t="shared" si="36"/>
        <v>05323</v>
      </c>
      <c r="H260" t="s">
        <v>325</v>
      </c>
      <c r="I260" t="s">
        <v>1265</v>
      </c>
      <c r="J260" t="s">
        <v>1271</v>
      </c>
      <c r="K260" t="s">
        <v>1272</v>
      </c>
      <c r="L260" t="s">
        <v>1383</v>
      </c>
      <c r="M260" t="s">
        <v>1409</v>
      </c>
      <c r="N260">
        <v>21</v>
      </c>
      <c r="O260" t="str">
        <f t="shared" si="39"/>
        <v>25</v>
      </c>
      <c r="Q260">
        <v>25</v>
      </c>
      <c r="R260" t="s">
        <v>1269</v>
      </c>
      <c r="S260">
        <v>2.8090000000000002</v>
      </c>
      <c r="T260">
        <v>0.15290000000000001</v>
      </c>
      <c r="U260">
        <f t="shared" si="40"/>
        <v>0.42899999999999999</v>
      </c>
      <c r="V260" t="str">
        <f t="shared" si="37"/>
        <v>High Pupil Management</v>
      </c>
      <c r="W260" t="str">
        <f t="shared" si="38"/>
        <v>Pupil Management</v>
      </c>
    </row>
    <row r="261" spans="1:23" x14ac:dyDescent="0.25">
      <c r="A261">
        <v>5323</v>
      </c>
      <c r="B261" t="s">
        <v>1299</v>
      </c>
      <c r="C261">
        <v>3.149</v>
      </c>
      <c r="D261" t="s">
        <v>1264</v>
      </c>
      <c r="E261">
        <v>100233</v>
      </c>
      <c r="F261">
        <v>5323</v>
      </c>
      <c r="G261" t="str">
        <f t="shared" si="36"/>
        <v>05323</v>
      </c>
      <c r="H261" t="s">
        <v>325</v>
      </c>
      <c r="I261" t="s">
        <v>1265</v>
      </c>
      <c r="J261" t="s">
        <v>1271</v>
      </c>
      <c r="K261" t="s">
        <v>1272</v>
      </c>
      <c r="L261" t="s">
        <v>1299</v>
      </c>
      <c r="M261" t="s">
        <v>1300</v>
      </c>
      <c r="N261">
        <v>1</v>
      </c>
      <c r="O261" t="str">
        <f t="shared" si="39"/>
        <v>25</v>
      </c>
      <c r="Q261">
        <v>25</v>
      </c>
      <c r="R261" t="s">
        <v>1269</v>
      </c>
      <c r="S261">
        <v>3.149</v>
      </c>
      <c r="T261">
        <v>0.15290000000000001</v>
      </c>
      <c r="U261">
        <f t="shared" si="40"/>
        <v>0</v>
      </c>
      <c r="V261" t="str">
        <f t="shared" si="37"/>
        <v>High Pupil Management</v>
      </c>
      <c r="W261" t="str">
        <f t="shared" si="38"/>
        <v>Pupil Management</v>
      </c>
    </row>
    <row r="262" spans="1:23" x14ac:dyDescent="0.25">
      <c r="A262">
        <v>5323</v>
      </c>
      <c r="B262" t="s">
        <v>1324</v>
      </c>
      <c r="C262">
        <v>1.4219999999999999</v>
      </c>
      <c r="D262" t="s">
        <v>1264</v>
      </c>
      <c r="E262">
        <v>100233</v>
      </c>
      <c r="F262">
        <v>5323</v>
      </c>
      <c r="G262" t="str">
        <f t="shared" si="36"/>
        <v>05323</v>
      </c>
      <c r="H262" t="s">
        <v>325</v>
      </c>
      <c r="I262" t="s">
        <v>1265</v>
      </c>
      <c r="J262" t="s">
        <v>1271</v>
      </c>
      <c r="K262" t="s">
        <v>1272</v>
      </c>
      <c r="L262" t="s">
        <v>1324</v>
      </c>
      <c r="M262" t="s">
        <v>1325</v>
      </c>
      <c r="N262">
        <v>21</v>
      </c>
      <c r="O262" t="str">
        <f t="shared" si="39"/>
        <v>26</v>
      </c>
      <c r="Q262">
        <v>26</v>
      </c>
      <c r="R262" t="s">
        <v>1269</v>
      </c>
      <c r="S262">
        <v>1.4219999999999999</v>
      </c>
      <c r="T262">
        <v>0.15290000000000001</v>
      </c>
      <c r="U262">
        <f t="shared" si="40"/>
        <v>0.217</v>
      </c>
      <c r="V262" t="str">
        <f t="shared" si="37"/>
        <v>High Health/
Related Services</v>
      </c>
      <c r="W262" t="str">
        <f t="shared" si="38"/>
        <v>Health/
Related Services</v>
      </c>
    </row>
    <row r="263" spans="1:23" x14ac:dyDescent="0.25">
      <c r="A263">
        <v>5323</v>
      </c>
      <c r="B263" t="s">
        <v>1295</v>
      </c>
      <c r="C263">
        <v>2.7690000000000001</v>
      </c>
      <c r="D263" t="s">
        <v>1264</v>
      </c>
      <c r="E263">
        <v>100233</v>
      </c>
      <c r="F263">
        <v>5323</v>
      </c>
      <c r="G263" t="str">
        <f t="shared" si="36"/>
        <v>05323</v>
      </c>
      <c r="H263" t="s">
        <v>325</v>
      </c>
      <c r="I263" t="s">
        <v>1265</v>
      </c>
      <c r="J263" t="s">
        <v>1271</v>
      </c>
      <c r="K263" t="s">
        <v>1272</v>
      </c>
      <c r="L263" t="s">
        <v>1295</v>
      </c>
      <c r="M263" t="s">
        <v>1296</v>
      </c>
      <c r="N263">
        <v>1</v>
      </c>
      <c r="O263" t="str">
        <f t="shared" si="39"/>
        <v>26</v>
      </c>
      <c r="Q263">
        <v>26</v>
      </c>
      <c r="R263" t="s">
        <v>1269</v>
      </c>
      <c r="S263">
        <v>2.7690000000000001</v>
      </c>
      <c r="T263">
        <v>0.15290000000000001</v>
      </c>
      <c r="U263">
        <f t="shared" si="40"/>
        <v>0</v>
      </c>
      <c r="V263" t="str">
        <f t="shared" si="37"/>
        <v>High Health/
Related Services</v>
      </c>
      <c r="W263" t="str">
        <f t="shared" si="38"/>
        <v>Health/
Related Services</v>
      </c>
    </row>
    <row r="264" spans="1:23" x14ac:dyDescent="0.25">
      <c r="A264">
        <v>5323</v>
      </c>
      <c r="B264" t="s">
        <v>1275</v>
      </c>
      <c r="C264">
        <v>4.7430000000000003</v>
      </c>
      <c r="D264" t="s">
        <v>1264</v>
      </c>
      <c r="E264">
        <v>100233</v>
      </c>
      <c r="F264">
        <v>5323</v>
      </c>
      <c r="G264" t="str">
        <f t="shared" si="36"/>
        <v>05323</v>
      </c>
      <c r="H264" t="s">
        <v>325</v>
      </c>
      <c r="I264" t="s">
        <v>1265</v>
      </c>
      <c r="J264" t="s">
        <v>1276</v>
      </c>
      <c r="K264" t="s">
        <v>1277</v>
      </c>
      <c r="L264" t="s">
        <v>1275</v>
      </c>
      <c r="M264" t="s">
        <v>1278</v>
      </c>
      <c r="N264">
        <v>1</v>
      </c>
      <c r="O264" t="str">
        <f t="shared" si="39"/>
        <v>42</v>
      </c>
      <c r="P264">
        <v>42</v>
      </c>
      <c r="R264" t="s">
        <v>1269</v>
      </c>
      <c r="S264">
        <v>4.7430000000000003</v>
      </c>
      <c r="T264">
        <v>0.15290000000000001</v>
      </c>
      <c r="U264">
        <f t="shared" si="40"/>
        <v>0</v>
      </c>
      <c r="V264" t="str">
        <f t="shared" si="37"/>
        <v>Elementary Counselor</v>
      </c>
      <c r="W264" t="str">
        <f t="shared" si="38"/>
        <v>Counselor</v>
      </c>
    </row>
    <row r="265" spans="1:23" x14ac:dyDescent="0.25">
      <c r="A265">
        <v>5323</v>
      </c>
      <c r="B265" t="s">
        <v>1270</v>
      </c>
      <c r="C265">
        <v>1.52</v>
      </c>
      <c r="D265" t="s">
        <v>1264</v>
      </c>
      <c r="E265">
        <v>100233</v>
      </c>
      <c r="F265">
        <v>5323</v>
      </c>
      <c r="G265" t="str">
        <f t="shared" si="36"/>
        <v>05323</v>
      </c>
      <c r="H265" t="s">
        <v>325</v>
      </c>
      <c r="I265" t="s">
        <v>1265</v>
      </c>
      <c r="J265" t="s">
        <v>1271</v>
      </c>
      <c r="K265" t="s">
        <v>1272</v>
      </c>
      <c r="L265" t="s">
        <v>1270</v>
      </c>
      <c r="M265" t="s">
        <v>1273</v>
      </c>
      <c r="N265">
        <v>1</v>
      </c>
      <c r="O265" t="str">
        <f t="shared" si="39"/>
        <v>42</v>
      </c>
      <c r="P265">
        <v>42</v>
      </c>
      <c r="R265" t="s">
        <v>1269</v>
      </c>
      <c r="S265">
        <v>1.52</v>
      </c>
      <c r="T265">
        <v>0.15290000000000001</v>
      </c>
      <c r="U265">
        <f t="shared" si="40"/>
        <v>0</v>
      </c>
      <c r="V265" t="str">
        <f t="shared" si="37"/>
        <v>High Counselor</v>
      </c>
      <c r="W265" t="str">
        <f t="shared" si="38"/>
        <v>Counselor</v>
      </c>
    </row>
    <row r="266" spans="1:23" x14ac:dyDescent="0.25">
      <c r="A266">
        <v>5323</v>
      </c>
      <c r="B266" t="s">
        <v>1263</v>
      </c>
      <c r="C266">
        <v>1.7000000000000001E-2</v>
      </c>
      <c r="D266" t="s">
        <v>1264</v>
      </c>
      <c r="E266">
        <v>100233</v>
      </c>
      <c r="F266">
        <v>5323</v>
      </c>
      <c r="G266" t="str">
        <f t="shared" si="36"/>
        <v>05323</v>
      </c>
      <c r="H266" t="s">
        <v>325</v>
      </c>
      <c r="I266" t="s">
        <v>1265</v>
      </c>
      <c r="J266" t="s">
        <v>1266</v>
      </c>
      <c r="K266" t="s">
        <v>1267</v>
      </c>
      <c r="L266" t="s">
        <v>1263</v>
      </c>
      <c r="M266" t="s">
        <v>1268</v>
      </c>
      <c r="N266">
        <v>1</v>
      </c>
      <c r="O266" t="str">
        <f t="shared" si="39"/>
        <v>42</v>
      </c>
      <c r="P266">
        <v>42</v>
      </c>
      <c r="R266" t="s">
        <v>1269</v>
      </c>
      <c r="S266">
        <v>1.7000000000000001E-2</v>
      </c>
      <c r="T266">
        <v>0.15290000000000001</v>
      </c>
      <c r="U266">
        <f t="shared" si="40"/>
        <v>0</v>
      </c>
      <c r="V266" t="str">
        <f t="shared" si="37"/>
        <v>Middle Counselor</v>
      </c>
      <c r="W266" t="str">
        <f t="shared" si="38"/>
        <v>Counselor</v>
      </c>
    </row>
    <row r="267" spans="1:23" x14ac:dyDescent="0.25">
      <c r="A267">
        <v>5323</v>
      </c>
      <c r="B267" t="s">
        <v>1294</v>
      </c>
      <c r="C267">
        <v>2.6259999999999999</v>
      </c>
      <c r="D267" t="s">
        <v>1264</v>
      </c>
      <c r="E267">
        <v>100233</v>
      </c>
      <c r="F267">
        <v>5323</v>
      </c>
      <c r="G267" t="str">
        <f t="shared" si="36"/>
        <v>05323</v>
      </c>
      <c r="H267" t="s">
        <v>325</v>
      </c>
      <c r="I267" t="s">
        <v>1265</v>
      </c>
      <c r="J267" t="s">
        <v>1276</v>
      </c>
      <c r="K267" t="s">
        <v>1277</v>
      </c>
      <c r="L267" t="s">
        <v>1294</v>
      </c>
      <c r="M267" t="s">
        <v>1354</v>
      </c>
      <c r="N267">
        <v>21</v>
      </c>
      <c r="O267" t="str">
        <f t="shared" si="39"/>
        <v>45</v>
      </c>
      <c r="P267">
        <v>45</v>
      </c>
      <c r="R267" t="s">
        <v>1269</v>
      </c>
      <c r="S267">
        <v>2.6259999999999999</v>
      </c>
      <c r="T267">
        <v>0.15290000000000001</v>
      </c>
      <c r="U267">
        <f t="shared" si="40"/>
        <v>0.40200000000000002</v>
      </c>
      <c r="V267" t="str">
        <f t="shared" si="37"/>
        <v>Elementary Speech, Language Pathway/
Audio</v>
      </c>
      <c r="W267" t="str">
        <f t="shared" si="38"/>
        <v>Speech, Language Pathway/
Audio</v>
      </c>
    </row>
    <row r="268" spans="1:23" x14ac:dyDescent="0.25">
      <c r="A268">
        <v>5323</v>
      </c>
      <c r="B268" t="s">
        <v>1298</v>
      </c>
      <c r="C268">
        <v>2.9950000000000001</v>
      </c>
      <c r="D268" t="s">
        <v>1264</v>
      </c>
      <c r="E268">
        <v>100233</v>
      </c>
      <c r="F268">
        <v>5323</v>
      </c>
      <c r="G268" t="str">
        <f t="shared" si="36"/>
        <v>05323</v>
      </c>
      <c r="H268" t="s">
        <v>325</v>
      </c>
      <c r="I268" t="s">
        <v>1265</v>
      </c>
      <c r="J268" t="s">
        <v>1276</v>
      </c>
      <c r="K268" t="s">
        <v>1277</v>
      </c>
      <c r="L268" t="s">
        <v>1298</v>
      </c>
      <c r="M268" t="s">
        <v>1349</v>
      </c>
      <c r="N268">
        <v>21</v>
      </c>
      <c r="O268" t="str">
        <f t="shared" si="39"/>
        <v>46</v>
      </c>
      <c r="P268">
        <v>46</v>
      </c>
      <c r="R268" t="s">
        <v>1269</v>
      </c>
      <c r="S268">
        <v>2.9950000000000001</v>
      </c>
      <c r="T268">
        <v>0.15290000000000001</v>
      </c>
      <c r="U268">
        <f t="shared" si="40"/>
        <v>0.45800000000000002</v>
      </c>
      <c r="V268" t="str">
        <f t="shared" si="37"/>
        <v>Elementary Psychologist</v>
      </c>
      <c r="W268" t="str">
        <f t="shared" si="38"/>
        <v>Psychologist</v>
      </c>
    </row>
    <row r="269" spans="1:23" x14ac:dyDescent="0.25">
      <c r="A269">
        <v>5323</v>
      </c>
      <c r="B269" t="s">
        <v>1334</v>
      </c>
      <c r="C269">
        <v>0.12</v>
      </c>
      <c r="D269" t="s">
        <v>1264</v>
      </c>
      <c r="E269">
        <v>100233</v>
      </c>
      <c r="F269">
        <v>5323</v>
      </c>
      <c r="G269" t="str">
        <f t="shared" si="36"/>
        <v>05323</v>
      </c>
      <c r="H269" t="s">
        <v>325</v>
      </c>
      <c r="I269" t="s">
        <v>1265</v>
      </c>
      <c r="J269" t="s">
        <v>1276</v>
      </c>
      <c r="K269" t="s">
        <v>1277</v>
      </c>
      <c r="L269" t="s">
        <v>1334</v>
      </c>
      <c r="M269" t="s">
        <v>1413</v>
      </c>
      <c r="N269">
        <v>21</v>
      </c>
      <c r="O269" t="str">
        <f t="shared" si="39"/>
        <v>47</v>
      </c>
      <c r="P269">
        <v>47</v>
      </c>
      <c r="R269" t="s">
        <v>1269</v>
      </c>
      <c r="S269">
        <v>0.12</v>
      </c>
      <c r="T269">
        <v>0.15290000000000001</v>
      </c>
      <c r="U269">
        <f t="shared" si="40"/>
        <v>1.7999999999999999E-2</v>
      </c>
      <c r="V269" t="str">
        <f t="shared" si="37"/>
        <v>Elementary Nurse</v>
      </c>
      <c r="W269" t="str">
        <f t="shared" si="38"/>
        <v>Nurse</v>
      </c>
    </row>
    <row r="270" spans="1:23" x14ac:dyDescent="0.25">
      <c r="A270">
        <v>5323</v>
      </c>
      <c r="B270" t="s">
        <v>1335</v>
      </c>
      <c r="C270">
        <v>0.875</v>
      </c>
      <c r="D270" t="s">
        <v>1264</v>
      </c>
      <c r="E270">
        <v>100233</v>
      </c>
      <c r="F270">
        <v>5323</v>
      </c>
      <c r="G270" t="str">
        <f t="shared" si="36"/>
        <v>05323</v>
      </c>
      <c r="H270" t="s">
        <v>325</v>
      </c>
      <c r="I270" t="s">
        <v>1265</v>
      </c>
      <c r="J270" t="s">
        <v>1276</v>
      </c>
      <c r="K270" t="s">
        <v>1277</v>
      </c>
      <c r="L270" t="s">
        <v>1335</v>
      </c>
      <c r="M270" t="s">
        <v>1344</v>
      </c>
      <c r="N270">
        <v>1</v>
      </c>
      <c r="O270" t="str">
        <f t="shared" si="39"/>
        <v>47</v>
      </c>
      <c r="P270">
        <v>47</v>
      </c>
      <c r="R270" t="s">
        <v>1269</v>
      </c>
      <c r="S270">
        <v>0.875</v>
      </c>
      <c r="T270">
        <v>0.15290000000000001</v>
      </c>
      <c r="U270">
        <f t="shared" si="40"/>
        <v>0</v>
      </c>
      <c r="V270" t="str">
        <f t="shared" si="37"/>
        <v>Elementary Nurse</v>
      </c>
      <c r="W270" t="str">
        <f t="shared" si="38"/>
        <v>Nurse</v>
      </c>
    </row>
    <row r="271" spans="1:23" x14ac:dyDescent="0.25">
      <c r="A271">
        <v>5323</v>
      </c>
      <c r="B271" t="s">
        <v>1302</v>
      </c>
      <c r="C271">
        <v>1</v>
      </c>
      <c r="D271" t="s">
        <v>1264</v>
      </c>
      <c r="E271">
        <v>100233</v>
      </c>
      <c r="F271">
        <v>5323</v>
      </c>
      <c r="G271" t="str">
        <f t="shared" si="36"/>
        <v>05323</v>
      </c>
      <c r="H271" t="s">
        <v>325</v>
      </c>
      <c r="I271" t="s">
        <v>1265</v>
      </c>
      <c r="J271" t="s">
        <v>1276</v>
      </c>
      <c r="K271" t="s">
        <v>1277</v>
      </c>
      <c r="L271" t="s">
        <v>1302</v>
      </c>
      <c r="M271" t="s">
        <v>1336</v>
      </c>
      <c r="N271">
        <v>21</v>
      </c>
      <c r="O271" t="str">
        <f t="shared" si="39"/>
        <v>48</v>
      </c>
      <c r="P271">
        <v>48</v>
      </c>
      <c r="R271" t="s">
        <v>1269</v>
      </c>
      <c r="S271">
        <v>1</v>
      </c>
      <c r="T271">
        <v>0.15290000000000001</v>
      </c>
      <c r="U271">
        <f t="shared" si="40"/>
        <v>0.153</v>
      </c>
      <c r="V271" t="str">
        <f t="shared" si="37"/>
        <v>Elementary Physical Therapist</v>
      </c>
      <c r="W271" t="str">
        <f t="shared" si="38"/>
        <v>Physical Therapist</v>
      </c>
    </row>
    <row r="272" spans="1:23" x14ac:dyDescent="0.25">
      <c r="A272">
        <v>5401</v>
      </c>
      <c r="B272" t="s">
        <v>1275</v>
      </c>
      <c r="C272">
        <v>0.63800000000000001</v>
      </c>
      <c r="D272" t="s">
        <v>1264</v>
      </c>
      <c r="E272">
        <v>100032</v>
      </c>
      <c r="F272">
        <v>5401</v>
      </c>
      <c r="G272" t="str">
        <f t="shared" si="36"/>
        <v>05401</v>
      </c>
      <c r="H272" t="s">
        <v>326</v>
      </c>
      <c r="I272" t="s">
        <v>1265</v>
      </c>
      <c r="J272" t="s">
        <v>1276</v>
      </c>
      <c r="K272" t="s">
        <v>1277</v>
      </c>
      <c r="L272" t="s">
        <v>1275</v>
      </c>
      <c r="M272" t="s">
        <v>1278</v>
      </c>
      <c r="N272">
        <v>1</v>
      </c>
      <c r="O272" t="str">
        <f t="shared" si="39"/>
        <v>42</v>
      </c>
      <c r="P272">
        <v>42</v>
      </c>
      <c r="R272" t="s">
        <v>1269</v>
      </c>
      <c r="S272">
        <v>0.63800000000000001</v>
      </c>
      <c r="T272">
        <v>0.17349999999999999</v>
      </c>
      <c r="U272">
        <f t="shared" si="40"/>
        <v>0</v>
      </c>
      <c r="V272" t="str">
        <f t="shared" si="37"/>
        <v>Elementary Counselor</v>
      </c>
      <c r="W272" t="str">
        <f t="shared" si="38"/>
        <v>Counselor</v>
      </c>
    </row>
    <row r="273" spans="1:23" x14ac:dyDescent="0.25">
      <c r="A273">
        <v>5401</v>
      </c>
      <c r="B273" t="s">
        <v>1270</v>
      </c>
      <c r="C273">
        <v>1</v>
      </c>
      <c r="D273" t="s">
        <v>1264</v>
      </c>
      <c r="E273">
        <v>100032</v>
      </c>
      <c r="F273">
        <v>5401</v>
      </c>
      <c r="G273" t="str">
        <f t="shared" si="36"/>
        <v>05401</v>
      </c>
      <c r="H273" t="s">
        <v>326</v>
      </c>
      <c r="I273" t="s">
        <v>1265</v>
      </c>
      <c r="J273" t="s">
        <v>1271</v>
      </c>
      <c r="K273" t="s">
        <v>1272</v>
      </c>
      <c r="L273" t="s">
        <v>1270</v>
      </c>
      <c r="M273" t="s">
        <v>1273</v>
      </c>
      <c r="N273">
        <v>1</v>
      </c>
      <c r="O273" t="str">
        <f t="shared" si="39"/>
        <v>42</v>
      </c>
      <c r="P273">
        <v>42</v>
      </c>
      <c r="R273" t="s">
        <v>1269</v>
      </c>
      <c r="S273">
        <v>1</v>
      </c>
      <c r="T273">
        <v>0.17349999999999999</v>
      </c>
      <c r="U273">
        <f t="shared" si="40"/>
        <v>0</v>
      </c>
      <c r="V273" t="str">
        <f t="shared" si="37"/>
        <v>High Counselor</v>
      </c>
      <c r="W273" t="str">
        <f t="shared" si="38"/>
        <v>Counselor</v>
      </c>
    </row>
    <row r="274" spans="1:23" x14ac:dyDescent="0.25">
      <c r="A274">
        <v>5402</v>
      </c>
      <c r="B274" t="s">
        <v>1299</v>
      </c>
      <c r="C274">
        <v>2.2959999999999998</v>
      </c>
      <c r="D274" t="s">
        <v>1264</v>
      </c>
      <c r="E274">
        <v>100210</v>
      </c>
      <c r="F274">
        <v>5402</v>
      </c>
      <c r="G274" t="str">
        <f t="shared" si="36"/>
        <v>05402</v>
      </c>
      <c r="H274" t="s">
        <v>327</v>
      </c>
      <c r="I274" t="s">
        <v>1265</v>
      </c>
      <c r="J274" t="s">
        <v>1271</v>
      </c>
      <c r="K274" t="s">
        <v>1272</v>
      </c>
      <c r="L274" t="s">
        <v>1299</v>
      </c>
      <c r="M274" t="s">
        <v>1300</v>
      </c>
      <c r="N274">
        <v>1</v>
      </c>
      <c r="O274" t="str">
        <f t="shared" si="39"/>
        <v>25</v>
      </c>
      <c r="Q274">
        <v>25</v>
      </c>
      <c r="R274" t="s">
        <v>1269</v>
      </c>
      <c r="S274">
        <v>2.2959999999999998</v>
      </c>
      <c r="T274">
        <v>0.14960000000000001</v>
      </c>
      <c r="U274">
        <f t="shared" si="40"/>
        <v>0</v>
      </c>
      <c r="V274" t="str">
        <f t="shared" si="37"/>
        <v>High Pupil Management</v>
      </c>
      <c r="W274" t="str">
        <f t="shared" si="38"/>
        <v>Pupil Management</v>
      </c>
    </row>
    <row r="275" spans="1:23" x14ac:dyDescent="0.25">
      <c r="A275">
        <v>5402</v>
      </c>
      <c r="B275" t="s">
        <v>1324</v>
      </c>
      <c r="C275">
        <v>7.0000000000000007E-2</v>
      </c>
      <c r="D275" t="s">
        <v>1264</v>
      </c>
      <c r="E275">
        <v>100210</v>
      </c>
      <c r="F275">
        <v>5402</v>
      </c>
      <c r="G275" t="str">
        <f t="shared" si="36"/>
        <v>05402</v>
      </c>
      <c r="H275" t="s">
        <v>327</v>
      </c>
      <c r="I275" t="s">
        <v>1265</v>
      </c>
      <c r="J275" t="s">
        <v>1271</v>
      </c>
      <c r="K275" t="s">
        <v>1272</v>
      </c>
      <c r="L275" t="s">
        <v>1324</v>
      </c>
      <c r="M275" t="s">
        <v>1325</v>
      </c>
      <c r="N275">
        <v>21</v>
      </c>
      <c r="O275" t="str">
        <f t="shared" si="39"/>
        <v>26</v>
      </c>
      <c r="Q275">
        <v>26</v>
      </c>
      <c r="R275" t="s">
        <v>1269</v>
      </c>
      <c r="S275">
        <v>7.0000000000000007E-2</v>
      </c>
      <c r="T275">
        <v>0.14960000000000001</v>
      </c>
      <c r="U275">
        <f t="shared" si="40"/>
        <v>0.01</v>
      </c>
      <c r="V275" t="str">
        <f t="shared" si="37"/>
        <v>High Health/
Related Services</v>
      </c>
      <c r="W275" t="str">
        <f t="shared" si="38"/>
        <v>Health/
Related Services</v>
      </c>
    </row>
    <row r="276" spans="1:23" x14ac:dyDescent="0.25">
      <c r="A276">
        <v>5402</v>
      </c>
      <c r="B276" t="s">
        <v>1295</v>
      </c>
      <c r="C276">
        <v>0.81499999999999995</v>
      </c>
      <c r="D276" t="s">
        <v>1264</v>
      </c>
      <c r="E276">
        <v>100210</v>
      </c>
      <c r="F276">
        <v>5402</v>
      </c>
      <c r="G276" t="str">
        <f t="shared" si="36"/>
        <v>05402</v>
      </c>
      <c r="H276" t="s">
        <v>327</v>
      </c>
      <c r="I276" t="s">
        <v>1265</v>
      </c>
      <c r="J276" t="s">
        <v>1271</v>
      </c>
      <c r="K276" t="s">
        <v>1272</v>
      </c>
      <c r="L276" t="s">
        <v>1295</v>
      </c>
      <c r="M276" t="s">
        <v>1296</v>
      </c>
      <c r="N276">
        <v>1</v>
      </c>
      <c r="O276" t="str">
        <f t="shared" si="39"/>
        <v>26</v>
      </c>
      <c r="Q276">
        <v>26</v>
      </c>
      <c r="R276" t="s">
        <v>1269</v>
      </c>
      <c r="S276">
        <v>0.81499999999999995</v>
      </c>
      <c r="T276">
        <v>0.14960000000000001</v>
      </c>
      <c r="U276">
        <f t="shared" si="40"/>
        <v>0</v>
      </c>
      <c r="V276" t="str">
        <f t="shared" si="37"/>
        <v>High Health/
Related Services</v>
      </c>
      <c r="W276" t="str">
        <f t="shared" si="38"/>
        <v>Health/
Related Services</v>
      </c>
    </row>
    <row r="277" spans="1:23" x14ac:dyDescent="0.25">
      <c r="A277">
        <v>5402</v>
      </c>
      <c r="B277" t="s">
        <v>1275</v>
      </c>
      <c r="C277">
        <v>1.4999999999999999E-2</v>
      </c>
      <c r="D277" t="s">
        <v>1264</v>
      </c>
      <c r="E277">
        <v>100210</v>
      </c>
      <c r="F277">
        <v>5402</v>
      </c>
      <c r="G277" t="str">
        <f t="shared" si="36"/>
        <v>05402</v>
      </c>
      <c r="H277" t="s">
        <v>327</v>
      </c>
      <c r="I277" t="s">
        <v>1265</v>
      </c>
      <c r="J277" t="s">
        <v>1276</v>
      </c>
      <c r="K277" t="s">
        <v>1277</v>
      </c>
      <c r="L277" t="s">
        <v>1275</v>
      </c>
      <c r="M277" t="s">
        <v>1278</v>
      </c>
      <c r="N277">
        <v>1</v>
      </c>
      <c r="O277" t="str">
        <f t="shared" si="39"/>
        <v>42</v>
      </c>
      <c r="P277">
        <v>42</v>
      </c>
      <c r="R277" t="s">
        <v>1269</v>
      </c>
      <c r="S277">
        <v>1.4999999999999999E-2</v>
      </c>
      <c r="T277">
        <v>0.14960000000000001</v>
      </c>
      <c r="U277">
        <f t="shared" si="40"/>
        <v>0</v>
      </c>
      <c r="V277" t="str">
        <f t="shared" si="37"/>
        <v>Elementary Counselor</v>
      </c>
      <c r="W277" t="str">
        <f t="shared" si="38"/>
        <v>Counselor</v>
      </c>
    </row>
    <row r="278" spans="1:23" x14ac:dyDescent="0.25">
      <c r="A278">
        <v>5402</v>
      </c>
      <c r="B278" t="s">
        <v>1270</v>
      </c>
      <c r="C278">
        <v>0.9</v>
      </c>
      <c r="D278" t="s">
        <v>1264</v>
      </c>
      <c r="E278">
        <v>100210</v>
      </c>
      <c r="F278">
        <v>5402</v>
      </c>
      <c r="G278" t="str">
        <f t="shared" si="36"/>
        <v>05402</v>
      </c>
      <c r="H278" t="s">
        <v>327</v>
      </c>
      <c r="I278" t="s">
        <v>1265</v>
      </c>
      <c r="J278" t="s">
        <v>1271</v>
      </c>
      <c r="K278" t="s">
        <v>1272</v>
      </c>
      <c r="L278" t="s">
        <v>1270</v>
      </c>
      <c r="M278" t="s">
        <v>1273</v>
      </c>
      <c r="N278">
        <v>1</v>
      </c>
      <c r="O278" t="str">
        <f t="shared" si="39"/>
        <v>42</v>
      </c>
      <c r="P278">
        <v>42</v>
      </c>
      <c r="R278" t="s">
        <v>1269</v>
      </c>
      <c r="S278">
        <v>0.9</v>
      </c>
      <c r="T278">
        <v>0.14960000000000001</v>
      </c>
      <c r="U278">
        <f t="shared" si="40"/>
        <v>0</v>
      </c>
      <c r="V278" t="str">
        <f t="shared" si="37"/>
        <v>High Counselor</v>
      </c>
      <c r="W278" t="str">
        <f t="shared" si="38"/>
        <v>Counselor</v>
      </c>
    </row>
    <row r="279" spans="1:23" x14ac:dyDescent="0.25">
      <c r="A279">
        <v>5402</v>
      </c>
      <c r="B279" t="s">
        <v>1263</v>
      </c>
      <c r="C279">
        <v>0.88500000000000001</v>
      </c>
      <c r="D279" t="s">
        <v>1264</v>
      </c>
      <c r="E279">
        <v>100210</v>
      </c>
      <c r="F279">
        <v>5402</v>
      </c>
      <c r="G279" t="str">
        <f t="shared" si="36"/>
        <v>05402</v>
      </c>
      <c r="H279" t="s">
        <v>327</v>
      </c>
      <c r="I279" t="s">
        <v>1265</v>
      </c>
      <c r="J279" t="s">
        <v>1266</v>
      </c>
      <c r="K279" t="s">
        <v>1267</v>
      </c>
      <c r="L279" t="s">
        <v>1263</v>
      </c>
      <c r="M279" t="s">
        <v>1268</v>
      </c>
      <c r="N279">
        <v>1</v>
      </c>
      <c r="O279" t="str">
        <f t="shared" si="39"/>
        <v>42</v>
      </c>
      <c r="P279">
        <v>42</v>
      </c>
      <c r="R279" t="s">
        <v>1269</v>
      </c>
      <c r="S279">
        <v>0.88500000000000001</v>
      </c>
      <c r="T279">
        <v>0.14960000000000001</v>
      </c>
      <c r="U279">
        <f t="shared" si="40"/>
        <v>0</v>
      </c>
      <c r="V279" t="str">
        <f t="shared" si="37"/>
        <v>Middle Counselor</v>
      </c>
      <c r="W279" t="str">
        <f t="shared" si="38"/>
        <v>Counselor</v>
      </c>
    </row>
    <row r="280" spans="1:23" x14ac:dyDescent="0.25">
      <c r="A280">
        <v>5402</v>
      </c>
      <c r="B280" t="s">
        <v>1289</v>
      </c>
      <c r="C280">
        <v>0.65400000000000003</v>
      </c>
      <c r="D280" t="s">
        <v>1264</v>
      </c>
      <c r="E280">
        <v>100210</v>
      </c>
      <c r="F280">
        <v>5402</v>
      </c>
      <c r="G280" t="str">
        <f t="shared" si="36"/>
        <v>05402</v>
      </c>
      <c r="H280" t="s">
        <v>327</v>
      </c>
      <c r="I280" t="s">
        <v>1265</v>
      </c>
      <c r="J280" t="s">
        <v>1276</v>
      </c>
      <c r="K280" t="s">
        <v>1277</v>
      </c>
      <c r="L280" t="s">
        <v>1289</v>
      </c>
      <c r="M280" t="s">
        <v>1307</v>
      </c>
      <c r="N280">
        <v>21</v>
      </c>
      <c r="O280" t="str">
        <f t="shared" si="39"/>
        <v>43</v>
      </c>
      <c r="P280">
        <v>43</v>
      </c>
      <c r="R280" t="s">
        <v>1269</v>
      </c>
      <c r="S280">
        <v>0.65400000000000003</v>
      </c>
      <c r="T280">
        <v>0.14960000000000001</v>
      </c>
      <c r="U280">
        <f t="shared" si="40"/>
        <v>9.8000000000000004E-2</v>
      </c>
      <c r="V280" t="str">
        <f t="shared" si="37"/>
        <v>Elementary Occupational Therapist</v>
      </c>
      <c r="W280" t="str">
        <f t="shared" si="38"/>
        <v>Occupational Therapist</v>
      </c>
    </row>
    <row r="281" spans="1:23" x14ac:dyDescent="0.25">
      <c r="A281">
        <v>5402</v>
      </c>
      <c r="B281" t="s">
        <v>1387</v>
      </c>
      <c r="C281">
        <v>0.13800000000000001</v>
      </c>
      <c r="D281" t="s">
        <v>1264</v>
      </c>
      <c r="E281">
        <v>100210</v>
      </c>
      <c r="F281">
        <v>5402</v>
      </c>
      <c r="G281" t="str">
        <f t="shared" si="36"/>
        <v>05402</v>
      </c>
      <c r="H281" t="s">
        <v>327</v>
      </c>
      <c r="I281" t="s">
        <v>1265</v>
      </c>
      <c r="J281" t="s">
        <v>1271</v>
      </c>
      <c r="K281" t="s">
        <v>1272</v>
      </c>
      <c r="L281" t="s">
        <v>1387</v>
      </c>
      <c r="M281" t="s">
        <v>1406</v>
      </c>
      <c r="N281">
        <v>21</v>
      </c>
      <c r="O281" t="str">
        <f t="shared" si="39"/>
        <v>43</v>
      </c>
      <c r="P281">
        <v>43</v>
      </c>
      <c r="R281" t="s">
        <v>1269</v>
      </c>
      <c r="S281">
        <v>0.13800000000000001</v>
      </c>
      <c r="T281">
        <v>0.14960000000000001</v>
      </c>
      <c r="U281">
        <f t="shared" si="40"/>
        <v>2.1000000000000001E-2</v>
      </c>
      <c r="V281" t="str">
        <f t="shared" si="37"/>
        <v>High Occupational Therapist</v>
      </c>
      <c r="W281" t="str">
        <f t="shared" si="38"/>
        <v>Occupational Therapist</v>
      </c>
    </row>
    <row r="282" spans="1:23" x14ac:dyDescent="0.25">
      <c r="A282">
        <v>5402</v>
      </c>
      <c r="B282" t="s">
        <v>1303</v>
      </c>
      <c r="C282">
        <v>0.104</v>
      </c>
      <c r="D282" t="s">
        <v>1264</v>
      </c>
      <c r="E282">
        <v>100210</v>
      </c>
      <c r="F282">
        <v>5402</v>
      </c>
      <c r="G282" t="str">
        <f t="shared" si="36"/>
        <v>05402</v>
      </c>
      <c r="H282" t="s">
        <v>327</v>
      </c>
      <c r="I282" t="s">
        <v>1265</v>
      </c>
      <c r="J282" t="s">
        <v>1266</v>
      </c>
      <c r="K282" t="s">
        <v>1267</v>
      </c>
      <c r="L282" t="s">
        <v>1303</v>
      </c>
      <c r="M282" t="s">
        <v>1304</v>
      </c>
      <c r="N282">
        <v>21</v>
      </c>
      <c r="O282" t="str">
        <f t="shared" si="39"/>
        <v>43</v>
      </c>
      <c r="P282">
        <v>43</v>
      </c>
      <c r="R282" t="s">
        <v>1269</v>
      </c>
      <c r="S282">
        <v>0.104</v>
      </c>
      <c r="T282">
        <v>0.14960000000000001</v>
      </c>
      <c r="U282">
        <f t="shared" si="40"/>
        <v>1.6E-2</v>
      </c>
      <c r="V282" t="str">
        <f t="shared" si="37"/>
        <v>Middle Occupational Therapist</v>
      </c>
      <c r="W282" t="str">
        <f t="shared" si="38"/>
        <v>Occupational Therapist</v>
      </c>
    </row>
    <row r="283" spans="1:23" x14ac:dyDescent="0.25">
      <c r="A283">
        <v>5402</v>
      </c>
      <c r="B283" t="s">
        <v>1294</v>
      </c>
      <c r="C283">
        <v>0.01</v>
      </c>
      <c r="D283" t="s">
        <v>1264</v>
      </c>
      <c r="E283">
        <v>100210</v>
      </c>
      <c r="F283">
        <v>5402</v>
      </c>
      <c r="G283" t="str">
        <f t="shared" si="36"/>
        <v>05402</v>
      </c>
      <c r="H283" t="s">
        <v>327</v>
      </c>
      <c r="I283" t="s">
        <v>1265</v>
      </c>
      <c r="J283" t="s">
        <v>1276</v>
      </c>
      <c r="K283" t="s">
        <v>1277</v>
      </c>
      <c r="L283" t="s">
        <v>1294</v>
      </c>
      <c r="M283" t="s">
        <v>1354</v>
      </c>
      <c r="N283">
        <v>21</v>
      </c>
      <c r="O283" t="str">
        <f t="shared" si="39"/>
        <v>45</v>
      </c>
      <c r="P283">
        <v>45</v>
      </c>
      <c r="R283" t="s">
        <v>1269</v>
      </c>
      <c r="S283">
        <v>0.01</v>
      </c>
      <c r="T283">
        <v>0.14960000000000001</v>
      </c>
      <c r="U283">
        <f t="shared" si="40"/>
        <v>1E-3</v>
      </c>
      <c r="V283" t="str">
        <f t="shared" si="37"/>
        <v>Elementary Speech, Language Pathway/
Audio</v>
      </c>
      <c r="W283" t="str">
        <f t="shared" si="38"/>
        <v>Speech, Language Pathway/
Audio</v>
      </c>
    </row>
    <row r="284" spans="1:23" x14ac:dyDescent="0.25">
      <c r="A284">
        <v>5402</v>
      </c>
      <c r="B284" t="s">
        <v>1326</v>
      </c>
      <c r="C284">
        <v>2E-3</v>
      </c>
      <c r="D284" t="s">
        <v>1264</v>
      </c>
      <c r="E284">
        <v>100210</v>
      </c>
      <c r="F284">
        <v>5402</v>
      </c>
      <c r="G284" t="str">
        <f t="shared" si="36"/>
        <v>05402</v>
      </c>
      <c r="H284" t="s">
        <v>327</v>
      </c>
      <c r="I284" t="s">
        <v>1265</v>
      </c>
      <c r="J284" t="s">
        <v>1271</v>
      </c>
      <c r="K284" t="s">
        <v>1272</v>
      </c>
      <c r="L284" t="s">
        <v>1326</v>
      </c>
      <c r="M284" t="s">
        <v>1353</v>
      </c>
      <c r="N284">
        <v>21</v>
      </c>
      <c r="O284" t="str">
        <f t="shared" si="39"/>
        <v>45</v>
      </c>
      <c r="P284">
        <v>45</v>
      </c>
      <c r="R284" t="s">
        <v>1269</v>
      </c>
      <c r="S284">
        <v>2E-3</v>
      </c>
      <c r="T284">
        <v>0.14960000000000001</v>
      </c>
      <c r="U284">
        <f t="shared" si="40"/>
        <v>0</v>
      </c>
      <c r="V284" t="str">
        <f t="shared" si="37"/>
        <v>High Speech, Language Pathway/
Audio</v>
      </c>
      <c r="W284" t="str">
        <f t="shared" si="38"/>
        <v>Speech, Language Pathway/
Audio</v>
      </c>
    </row>
    <row r="285" spans="1:23" x14ac:dyDescent="0.25">
      <c r="A285">
        <v>5402</v>
      </c>
      <c r="B285" t="s">
        <v>1306</v>
      </c>
      <c r="C285">
        <v>0.33</v>
      </c>
      <c r="D285" t="s">
        <v>1264</v>
      </c>
      <c r="E285">
        <v>100210</v>
      </c>
      <c r="F285">
        <v>5402</v>
      </c>
      <c r="G285" t="str">
        <f t="shared" si="36"/>
        <v>05402</v>
      </c>
      <c r="H285" t="s">
        <v>327</v>
      </c>
      <c r="I285" t="s">
        <v>1265</v>
      </c>
      <c r="J285" t="s">
        <v>1276</v>
      </c>
      <c r="K285" t="s">
        <v>1277</v>
      </c>
      <c r="L285" t="s">
        <v>1306</v>
      </c>
      <c r="M285" t="s">
        <v>1320</v>
      </c>
      <c r="N285">
        <v>21</v>
      </c>
      <c r="O285" t="str">
        <f t="shared" si="39"/>
        <v>64</v>
      </c>
      <c r="P285">
        <v>64</v>
      </c>
      <c r="R285" t="s">
        <v>1269</v>
      </c>
      <c r="S285">
        <v>0.33</v>
      </c>
      <c r="T285">
        <v>0.14960000000000001</v>
      </c>
      <c r="U285">
        <f t="shared" si="40"/>
        <v>4.9000000000000002E-2</v>
      </c>
      <c r="V285" t="str">
        <f t="shared" si="37"/>
        <v>Elementary Contractor ESA</v>
      </c>
      <c r="W285" t="str">
        <f t="shared" si="38"/>
        <v>Contractor ESA</v>
      </c>
    </row>
    <row r="286" spans="1:23" x14ac:dyDescent="0.25">
      <c r="A286">
        <v>5402</v>
      </c>
      <c r="B286" t="s">
        <v>1317</v>
      </c>
      <c r="C286">
        <v>0.72299999999999998</v>
      </c>
      <c r="D286" t="s">
        <v>1264</v>
      </c>
      <c r="E286">
        <v>100210</v>
      </c>
      <c r="F286">
        <v>5402</v>
      </c>
      <c r="G286" t="str">
        <f t="shared" si="36"/>
        <v>05402</v>
      </c>
      <c r="H286" t="s">
        <v>327</v>
      </c>
      <c r="I286" t="s">
        <v>1265</v>
      </c>
      <c r="J286" t="s">
        <v>1271</v>
      </c>
      <c r="K286" t="s">
        <v>1272</v>
      </c>
      <c r="L286" t="s">
        <v>1317</v>
      </c>
      <c r="M286" t="s">
        <v>1318</v>
      </c>
      <c r="N286">
        <v>21</v>
      </c>
      <c r="O286" t="str">
        <f t="shared" si="39"/>
        <v>64</v>
      </c>
      <c r="P286">
        <v>64</v>
      </c>
      <c r="R286" t="s">
        <v>1269</v>
      </c>
      <c r="S286">
        <v>0.72299999999999998</v>
      </c>
      <c r="T286">
        <v>0.14960000000000001</v>
      </c>
      <c r="U286">
        <f t="shared" si="40"/>
        <v>0.108</v>
      </c>
      <c r="V286" t="str">
        <f t="shared" si="37"/>
        <v>High Contractor ESA</v>
      </c>
      <c r="W286" t="str">
        <f t="shared" si="38"/>
        <v>Contractor ESA</v>
      </c>
    </row>
    <row r="287" spans="1:23" x14ac:dyDescent="0.25">
      <c r="A287">
        <v>5402</v>
      </c>
      <c r="B287" t="s">
        <v>1313</v>
      </c>
      <c r="C287">
        <v>0.20899999999999999</v>
      </c>
      <c r="D287" t="s">
        <v>1264</v>
      </c>
      <c r="E287">
        <v>100210</v>
      </c>
      <c r="F287">
        <v>5402</v>
      </c>
      <c r="G287" t="str">
        <f t="shared" si="36"/>
        <v>05402</v>
      </c>
      <c r="H287" t="s">
        <v>327</v>
      </c>
      <c r="I287" t="s">
        <v>1265</v>
      </c>
      <c r="J287" t="s">
        <v>1266</v>
      </c>
      <c r="K287" t="s">
        <v>1267</v>
      </c>
      <c r="L287" t="s">
        <v>1313</v>
      </c>
      <c r="M287" t="s">
        <v>1314</v>
      </c>
      <c r="N287">
        <v>21</v>
      </c>
      <c r="O287" t="str">
        <f t="shared" si="39"/>
        <v>64</v>
      </c>
      <c r="P287">
        <v>64</v>
      </c>
      <c r="R287" t="s">
        <v>1269</v>
      </c>
      <c r="S287">
        <v>0.20899999999999999</v>
      </c>
      <c r="T287">
        <v>0.14960000000000001</v>
      </c>
      <c r="U287">
        <f t="shared" si="40"/>
        <v>3.1E-2</v>
      </c>
      <c r="V287" t="str">
        <f t="shared" si="37"/>
        <v>Middle Contractor ESA</v>
      </c>
      <c r="W287" t="str">
        <f t="shared" si="38"/>
        <v>Contractor ESA</v>
      </c>
    </row>
    <row r="288" spans="1:23" x14ac:dyDescent="0.25">
      <c r="A288">
        <v>5903</v>
      </c>
      <c r="B288" t="s">
        <v>1331</v>
      </c>
      <c r="C288">
        <v>1.268</v>
      </c>
      <c r="D288" t="s">
        <v>1264</v>
      </c>
      <c r="E288">
        <v>105979</v>
      </c>
      <c r="F288">
        <v>5903</v>
      </c>
      <c r="G288" t="str">
        <f t="shared" si="36"/>
        <v>05903</v>
      </c>
      <c r="H288" t="s">
        <v>1235</v>
      </c>
      <c r="I288" t="s">
        <v>1265</v>
      </c>
      <c r="J288" t="s">
        <v>1276</v>
      </c>
      <c r="K288" t="s">
        <v>1277</v>
      </c>
      <c r="L288" t="s">
        <v>1331</v>
      </c>
      <c r="M288" t="s">
        <v>1405</v>
      </c>
      <c r="N288">
        <v>1</v>
      </c>
      <c r="O288" t="str">
        <f t="shared" si="39"/>
        <v>44</v>
      </c>
      <c r="P288">
        <v>44</v>
      </c>
      <c r="R288" t="s">
        <v>1269</v>
      </c>
      <c r="S288">
        <v>1.268</v>
      </c>
      <c r="T288">
        <v>0.1067</v>
      </c>
      <c r="U288">
        <f t="shared" si="40"/>
        <v>0</v>
      </c>
      <c r="V288" t="str">
        <f t="shared" si="37"/>
        <v>Elementary Social Worker</v>
      </c>
      <c r="W288" t="str">
        <f t="shared" si="38"/>
        <v>Social Worker</v>
      </c>
    </row>
    <row r="289" spans="1:23" x14ac:dyDescent="0.25">
      <c r="A289">
        <v>5903</v>
      </c>
      <c r="B289" t="s">
        <v>1359</v>
      </c>
      <c r="C289">
        <v>0.45100000000000001</v>
      </c>
      <c r="D289" t="s">
        <v>1264</v>
      </c>
      <c r="E289">
        <v>105979</v>
      </c>
      <c r="F289">
        <v>5903</v>
      </c>
      <c r="G289" t="str">
        <f t="shared" si="36"/>
        <v>05903</v>
      </c>
      <c r="H289" t="s">
        <v>1235</v>
      </c>
      <c r="I289" t="s">
        <v>1265</v>
      </c>
      <c r="J289" t="s">
        <v>1271</v>
      </c>
      <c r="K289" t="s">
        <v>1272</v>
      </c>
      <c r="L289" t="s">
        <v>1359</v>
      </c>
      <c r="M289" t="s">
        <v>1360</v>
      </c>
      <c r="N289">
        <v>1</v>
      </c>
      <c r="O289" t="str">
        <f t="shared" si="39"/>
        <v>44</v>
      </c>
      <c r="P289">
        <v>44</v>
      </c>
      <c r="R289" t="s">
        <v>1269</v>
      </c>
      <c r="S289">
        <v>0.45100000000000001</v>
      </c>
      <c r="T289">
        <v>0.1067</v>
      </c>
      <c r="U289">
        <f t="shared" si="40"/>
        <v>0</v>
      </c>
      <c r="V289" t="str">
        <f t="shared" si="37"/>
        <v>High Social Worker</v>
      </c>
      <c r="W289" t="str">
        <f t="shared" si="38"/>
        <v>Social Worker</v>
      </c>
    </row>
    <row r="290" spans="1:23" x14ac:dyDescent="0.25">
      <c r="A290">
        <v>5903</v>
      </c>
      <c r="B290" t="s">
        <v>1356</v>
      </c>
      <c r="C290">
        <v>0.28100000000000003</v>
      </c>
      <c r="D290" t="s">
        <v>1264</v>
      </c>
      <c r="E290">
        <v>105979</v>
      </c>
      <c r="F290">
        <v>5903</v>
      </c>
      <c r="G290" t="str">
        <f t="shared" si="36"/>
        <v>05903</v>
      </c>
      <c r="H290" t="s">
        <v>1235</v>
      </c>
      <c r="I290" t="s">
        <v>1265</v>
      </c>
      <c r="J290" t="s">
        <v>1266</v>
      </c>
      <c r="K290" t="s">
        <v>1267</v>
      </c>
      <c r="L290" t="s">
        <v>1356</v>
      </c>
      <c r="M290" t="s">
        <v>1357</v>
      </c>
      <c r="N290">
        <v>1</v>
      </c>
      <c r="O290" t="str">
        <f t="shared" si="39"/>
        <v>44</v>
      </c>
      <c r="P290">
        <v>44</v>
      </c>
      <c r="R290" t="s">
        <v>1269</v>
      </c>
      <c r="S290">
        <v>0.28100000000000003</v>
      </c>
      <c r="T290">
        <v>0.1067</v>
      </c>
      <c r="U290">
        <f t="shared" si="40"/>
        <v>0</v>
      </c>
      <c r="V290" t="str">
        <f t="shared" si="37"/>
        <v>Middle Social Worker</v>
      </c>
      <c r="W290" t="str">
        <f t="shared" si="38"/>
        <v>Social Worker</v>
      </c>
    </row>
    <row r="291" spans="1:23" x14ac:dyDescent="0.25">
      <c r="A291">
        <v>6037</v>
      </c>
      <c r="B291" t="s">
        <v>1286</v>
      </c>
      <c r="C291">
        <v>23.869</v>
      </c>
      <c r="D291" t="s">
        <v>1264</v>
      </c>
      <c r="E291">
        <v>100278</v>
      </c>
      <c r="F291">
        <v>6037</v>
      </c>
      <c r="G291" t="str">
        <f t="shared" si="36"/>
        <v>06037</v>
      </c>
      <c r="H291" t="s">
        <v>328</v>
      </c>
      <c r="I291" t="s">
        <v>1265</v>
      </c>
      <c r="J291" t="s">
        <v>1271</v>
      </c>
      <c r="K291" t="s">
        <v>1272</v>
      </c>
      <c r="L291" t="s">
        <v>1286</v>
      </c>
      <c r="M291" t="s">
        <v>1287</v>
      </c>
      <c r="N291">
        <v>1</v>
      </c>
      <c r="O291" t="str">
        <f t="shared" si="39"/>
        <v>24</v>
      </c>
      <c r="P291">
        <v>96</v>
      </c>
      <c r="Q291">
        <v>24</v>
      </c>
      <c r="R291" t="s">
        <v>1269</v>
      </c>
      <c r="S291">
        <v>23.869</v>
      </c>
      <c r="T291">
        <v>0.27689999999999998</v>
      </c>
      <c r="U291">
        <f t="shared" si="40"/>
        <v>0</v>
      </c>
      <c r="V291" t="str">
        <f t="shared" si="37"/>
        <v>High Family Engagement Coordinator</v>
      </c>
      <c r="W291" t="str">
        <f t="shared" si="38"/>
        <v>Family Engagement Coordinator</v>
      </c>
    </row>
    <row r="292" spans="1:23" x14ac:dyDescent="0.25">
      <c r="A292">
        <v>6037</v>
      </c>
      <c r="B292" t="s">
        <v>1299</v>
      </c>
      <c r="C292">
        <v>54.585000000000001</v>
      </c>
      <c r="D292" t="s">
        <v>1264</v>
      </c>
      <c r="E292">
        <v>100278</v>
      </c>
      <c r="F292">
        <v>6037</v>
      </c>
      <c r="G292" t="str">
        <f t="shared" si="36"/>
        <v>06037</v>
      </c>
      <c r="H292" t="s">
        <v>328</v>
      </c>
      <c r="I292" t="s">
        <v>1265</v>
      </c>
      <c r="J292" t="s">
        <v>1271</v>
      </c>
      <c r="K292" t="s">
        <v>1272</v>
      </c>
      <c r="L292" t="s">
        <v>1299</v>
      </c>
      <c r="M292" t="s">
        <v>1300</v>
      </c>
      <c r="N292">
        <v>1</v>
      </c>
      <c r="O292" t="str">
        <f t="shared" si="39"/>
        <v>25</v>
      </c>
      <c r="Q292">
        <v>25</v>
      </c>
      <c r="R292" t="s">
        <v>1269</v>
      </c>
      <c r="S292">
        <v>54.585000000000001</v>
      </c>
      <c r="T292">
        <v>0.27689999999999998</v>
      </c>
      <c r="U292">
        <f t="shared" si="40"/>
        <v>0</v>
      </c>
      <c r="V292" t="str">
        <f t="shared" si="37"/>
        <v>High Pupil Management</v>
      </c>
      <c r="W292" t="str">
        <f t="shared" si="38"/>
        <v>Pupil Management</v>
      </c>
    </row>
    <row r="293" spans="1:23" x14ac:dyDescent="0.25">
      <c r="A293">
        <v>6037</v>
      </c>
      <c r="B293" t="s">
        <v>1324</v>
      </c>
      <c r="C293">
        <v>2.2959999999999998</v>
      </c>
      <c r="D293" t="s">
        <v>1264</v>
      </c>
      <c r="E293">
        <v>100278</v>
      </c>
      <c r="F293">
        <v>6037</v>
      </c>
      <c r="G293" t="str">
        <f t="shared" si="36"/>
        <v>06037</v>
      </c>
      <c r="H293" t="s">
        <v>328</v>
      </c>
      <c r="I293" t="s">
        <v>1265</v>
      </c>
      <c r="J293" t="s">
        <v>1271</v>
      </c>
      <c r="K293" t="s">
        <v>1272</v>
      </c>
      <c r="L293" t="s">
        <v>1324</v>
      </c>
      <c r="M293" t="s">
        <v>1325</v>
      </c>
      <c r="N293">
        <v>21</v>
      </c>
      <c r="O293" t="str">
        <f t="shared" si="39"/>
        <v>26</v>
      </c>
      <c r="Q293">
        <v>26</v>
      </c>
      <c r="R293" t="s">
        <v>1269</v>
      </c>
      <c r="S293">
        <v>2.2959999999999998</v>
      </c>
      <c r="T293">
        <v>0.27689999999999998</v>
      </c>
      <c r="U293">
        <f t="shared" si="40"/>
        <v>0.63600000000000001</v>
      </c>
      <c r="V293" t="str">
        <f t="shared" si="37"/>
        <v>High Health/
Related Services</v>
      </c>
      <c r="W293" t="str">
        <f t="shared" si="38"/>
        <v>Health/
Related Services</v>
      </c>
    </row>
    <row r="294" spans="1:23" x14ac:dyDescent="0.25">
      <c r="A294">
        <v>6037</v>
      </c>
      <c r="B294" t="s">
        <v>1295</v>
      </c>
      <c r="C294">
        <v>0.42099999999999999</v>
      </c>
      <c r="D294" t="s">
        <v>1264</v>
      </c>
      <c r="E294">
        <v>100278</v>
      </c>
      <c r="F294">
        <v>6037</v>
      </c>
      <c r="G294" t="str">
        <f t="shared" si="36"/>
        <v>06037</v>
      </c>
      <c r="H294" t="s">
        <v>328</v>
      </c>
      <c r="I294" t="s">
        <v>1265</v>
      </c>
      <c r="J294" t="s">
        <v>1271</v>
      </c>
      <c r="K294" t="s">
        <v>1272</v>
      </c>
      <c r="L294" t="s">
        <v>1295</v>
      </c>
      <c r="M294" t="s">
        <v>1296</v>
      </c>
      <c r="N294">
        <v>1</v>
      </c>
      <c r="O294" t="str">
        <f t="shared" si="39"/>
        <v>26</v>
      </c>
      <c r="Q294">
        <v>26</v>
      </c>
      <c r="R294" t="s">
        <v>1269</v>
      </c>
      <c r="S294">
        <v>0.42099999999999999</v>
      </c>
      <c r="T294">
        <v>0.27689999999999998</v>
      </c>
      <c r="U294">
        <f t="shared" si="40"/>
        <v>0</v>
      </c>
      <c r="V294" t="str">
        <f t="shared" si="37"/>
        <v>High Health/
Related Services</v>
      </c>
      <c r="W294" t="str">
        <f t="shared" si="38"/>
        <v>Health/
Related Services</v>
      </c>
    </row>
    <row r="295" spans="1:23" x14ac:dyDescent="0.25">
      <c r="A295">
        <v>6037</v>
      </c>
      <c r="B295" t="s">
        <v>1402</v>
      </c>
      <c r="C295">
        <v>1.8919999999999999</v>
      </c>
      <c r="D295" t="s">
        <v>1264</v>
      </c>
      <c r="E295">
        <v>100278</v>
      </c>
      <c r="F295">
        <v>6037</v>
      </c>
      <c r="G295" t="str">
        <f t="shared" si="36"/>
        <v>06037</v>
      </c>
      <c r="H295" t="s">
        <v>328</v>
      </c>
      <c r="I295" t="s">
        <v>1265</v>
      </c>
      <c r="J295" t="s">
        <v>1271</v>
      </c>
      <c r="K295" t="s">
        <v>1272</v>
      </c>
      <c r="L295" t="s">
        <v>1402</v>
      </c>
      <c r="M295" t="s">
        <v>1408</v>
      </c>
      <c r="N295">
        <v>97</v>
      </c>
      <c r="O295" t="str">
        <f t="shared" si="39"/>
        <v>35</v>
      </c>
      <c r="Q295">
        <v>35</v>
      </c>
      <c r="R295" t="s">
        <v>1269</v>
      </c>
      <c r="S295">
        <v>1.8919999999999999</v>
      </c>
      <c r="T295">
        <v>0.27689999999999998</v>
      </c>
      <c r="U295">
        <f t="shared" si="40"/>
        <v>0</v>
      </c>
      <c r="V295" t="str">
        <f t="shared" si="37"/>
        <v>High Pupil Safety</v>
      </c>
      <c r="W295" t="str">
        <f t="shared" si="38"/>
        <v>Pupil Safety</v>
      </c>
    </row>
    <row r="296" spans="1:23" x14ac:dyDescent="0.25">
      <c r="A296">
        <v>6037</v>
      </c>
      <c r="B296" t="s">
        <v>1401</v>
      </c>
      <c r="C296">
        <v>12.811999999999999</v>
      </c>
      <c r="D296" t="s">
        <v>1264</v>
      </c>
      <c r="E296">
        <v>100278</v>
      </c>
      <c r="F296">
        <v>6037</v>
      </c>
      <c r="G296" t="str">
        <f t="shared" si="36"/>
        <v>06037</v>
      </c>
      <c r="H296" t="s">
        <v>328</v>
      </c>
      <c r="I296" t="s">
        <v>1265</v>
      </c>
      <c r="J296" t="s">
        <v>1271</v>
      </c>
      <c r="K296" t="s">
        <v>1272</v>
      </c>
      <c r="L296" t="s">
        <v>1401</v>
      </c>
      <c r="M296" t="s">
        <v>1422</v>
      </c>
      <c r="N296">
        <v>1</v>
      </c>
      <c r="O296" t="str">
        <f t="shared" si="39"/>
        <v>35</v>
      </c>
      <c r="Q296">
        <v>35</v>
      </c>
      <c r="R296" t="s">
        <v>1269</v>
      </c>
      <c r="S296">
        <v>12.811999999999999</v>
      </c>
      <c r="T296">
        <v>0.27689999999999998</v>
      </c>
      <c r="U296">
        <f t="shared" si="40"/>
        <v>0</v>
      </c>
      <c r="V296" t="str">
        <f t="shared" si="37"/>
        <v>High Pupil Safety</v>
      </c>
      <c r="W296" t="str">
        <f t="shared" si="38"/>
        <v>Pupil Safety</v>
      </c>
    </row>
    <row r="297" spans="1:23" x14ac:dyDescent="0.25">
      <c r="A297">
        <v>6037</v>
      </c>
      <c r="B297" t="s">
        <v>1275</v>
      </c>
      <c r="C297">
        <v>31.245000000000001</v>
      </c>
      <c r="D297" t="s">
        <v>1264</v>
      </c>
      <c r="E297">
        <v>100278</v>
      </c>
      <c r="F297">
        <v>6037</v>
      </c>
      <c r="G297" t="str">
        <f t="shared" si="36"/>
        <v>06037</v>
      </c>
      <c r="H297" t="s">
        <v>328</v>
      </c>
      <c r="I297" t="s">
        <v>1265</v>
      </c>
      <c r="J297" t="s">
        <v>1276</v>
      </c>
      <c r="K297" t="s">
        <v>1277</v>
      </c>
      <c r="L297" t="s">
        <v>1275</v>
      </c>
      <c r="M297" t="s">
        <v>1278</v>
      </c>
      <c r="N297">
        <v>1</v>
      </c>
      <c r="O297" t="str">
        <f t="shared" si="39"/>
        <v>42</v>
      </c>
      <c r="P297">
        <v>42</v>
      </c>
      <c r="R297" t="s">
        <v>1269</v>
      </c>
      <c r="S297">
        <v>31.245000000000001</v>
      </c>
      <c r="T297">
        <v>0.27689999999999998</v>
      </c>
      <c r="U297">
        <f t="shared" si="40"/>
        <v>0</v>
      </c>
      <c r="V297" t="str">
        <f t="shared" si="37"/>
        <v>Elementary Counselor</v>
      </c>
      <c r="W297" t="str">
        <f t="shared" si="38"/>
        <v>Counselor</v>
      </c>
    </row>
    <row r="298" spans="1:23" x14ac:dyDescent="0.25">
      <c r="A298">
        <v>6037</v>
      </c>
      <c r="B298" t="s">
        <v>1270</v>
      </c>
      <c r="C298">
        <v>22.08</v>
      </c>
      <c r="D298" t="s">
        <v>1264</v>
      </c>
      <c r="E298">
        <v>100278</v>
      </c>
      <c r="F298">
        <v>6037</v>
      </c>
      <c r="G298" t="str">
        <f t="shared" si="36"/>
        <v>06037</v>
      </c>
      <c r="H298" t="s">
        <v>328</v>
      </c>
      <c r="I298" t="s">
        <v>1265</v>
      </c>
      <c r="J298" t="s">
        <v>1271</v>
      </c>
      <c r="K298" t="s">
        <v>1272</v>
      </c>
      <c r="L298" t="s">
        <v>1270</v>
      </c>
      <c r="M298" t="s">
        <v>1273</v>
      </c>
      <c r="N298">
        <v>1</v>
      </c>
      <c r="O298" t="str">
        <f t="shared" si="39"/>
        <v>42</v>
      </c>
      <c r="P298">
        <v>42</v>
      </c>
      <c r="R298" t="s">
        <v>1269</v>
      </c>
      <c r="S298">
        <v>22.08</v>
      </c>
      <c r="T298">
        <v>0.27689999999999998</v>
      </c>
      <c r="U298">
        <f t="shared" si="40"/>
        <v>0</v>
      </c>
      <c r="V298" t="str">
        <f t="shared" si="37"/>
        <v>High Counselor</v>
      </c>
      <c r="W298" t="str">
        <f t="shared" si="38"/>
        <v>Counselor</v>
      </c>
    </row>
    <row r="299" spans="1:23" x14ac:dyDescent="0.25">
      <c r="A299">
        <v>6037</v>
      </c>
      <c r="B299" t="s">
        <v>1263</v>
      </c>
      <c r="C299">
        <v>12.244</v>
      </c>
      <c r="D299" t="s">
        <v>1264</v>
      </c>
      <c r="E299">
        <v>100278</v>
      </c>
      <c r="F299">
        <v>6037</v>
      </c>
      <c r="G299" t="str">
        <f t="shared" si="36"/>
        <v>06037</v>
      </c>
      <c r="H299" t="s">
        <v>328</v>
      </c>
      <c r="I299" t="s">
        <v>1265</v>
      </c>
      <c r="J299" t="s">
        <v>1266</v>
      </c>
      <c r="K299" t="s">
        <v>1267</v>
      </c>
      <c r="L299" t="s">
        <v>1263</v>
      </c>
      <c r="M299" t="s">
        <v>1268</v>
      </c>
      <c r="N299">
        <v>1</v>
      </c>
      <c r="O299" t="str">
        <f t="shared" si="39"/>
        <v>42</v>
      </c>
      <c r="P299">
        <v>42</v>
      </c>
      <c r="R299" t="s">
        <v>1269</v>
      </c>
      <c r="S299">
        <v>12.244</v>
      </c>
      <c r="T299">
        <v>0.27689999999999998</v>
      </c>
      <c r="U299">
        <f t="shared" si="40"/>
        <v>0</v>
      </c>
      <c r="V299" t="str">
        <f t="shared" si="37"/>
        <v>Middle Counselor</v>
      </c>
      <c r="W299" t="str">
        <f t="shared" si="38"/>
        <v>Counselor</v>
      </c>
    </row>
    <row r="300" spans="1:23" x14ac:dyDescent="0.25">
      <c r="A300">
        <v>6037</v>
      </c>
      <c r="B300" t="s">
        <v>1289</v>
      </c>
      <c r="C300">
        <v>16.585999999999999</v>
      </c>
      <c r="D300" t="s">
        <v>1264</v>
      </c>
      <c r="E300">
        <v>100278</v>
      </c>
      <c r="F300">
        <v>6037</v>
      </c>
      <c r="G300" t="str">
        <f t="shared" si="36"/>
        <v>06037</v>
      </c>
      <c r="H300" t="s">
        <v>328</v>
      </c>
      <c r="I300" t="s">
        <v>1265</v>
      </c>
      <c r="J300" t="s">
        <v>1276</v>
      </c>
      <c r="K300" t="s">
        <v>1277</v>
      </c>
      <c r="L300" t="s">
        <v>1289</v>
      </c>
      <c r="M300" t="s">
        <v>1307</v>
      </c>
      <c r="N300">
        <v>21</v>
      </c>
      <c r="O300" t="str">
        <f t="shared" si="39"/>
        <v>43</v>
      </c>
      <c r="P300">
        <v>43</v>
      </c>
      <c r="R300" t="s">
        <v>1269</v>
      </c>
      <c r="S300">
        <v>16.585999999999999</v>
      </c>
      <c r="T300">
        <v>0.27689999999999998</v>
      </c>
      <c r="U300">
        <f t="shared" si="40"/>
        <v>4.593</v>
      </c>
      <c r="V300" t="str">
        <f t="shared" si="37"/>
        <v>Elementary Occupational Therapist</v>
      </c>
      <c r="W300" t="str">
        <f t="shared" si="38"/>
        <v>Occupational Therapist</v>
      </c>
    </row>
    <row r="301" spans="1:23" x14ac:dyDescent="0.25">
      <c r="A301">
        <v>6037</v>
      </c>
      <c r="B301" t="s">
        <v>1387</v>
      </c>
      <c r="C301">
        <v>1.0489999999999999</v>
      </c>
      <c r="D301" t="s">
        <v>1264</v>
      </c>
      <c r="E301">
        <v>100278</v>
      </c>
      <c r="F301">
        <v>6037</v>
      </c>
      <c r="G301" t="str">
        <f t="shared" si="36"/>
        <v>06037</v>
      </c>
      <c r="H301" t="s">
        <v>328</v>
      </c>
      <c r="I301" t="s">
        <v>1265</v>
      </c>
      <c r="J301" t="s">
        <v>1271</v>
      </c>
      <c r="K301" t="s">
        <v>1272</v>
      </c>
      <c r="L301" t="s">
        <v>1387</v>
      </c>
      <c r="M301" t="s">
        <v>1406</v>
      </c>
      <c r="N301">
        <v>21</v>
      </c>
      <c r="O301" t="str">
        <f t="shared" si="39"/>
        <v>43</v>
      </c>
      <c r="P301">
        <v>43</v>
      </c>
      <c r="R301" t="s">
        <v>1269</v>
      </c>
      <c r="S301">
        <v>1.0489999999999999</v>
      </c>
      <c r="T301">
        <v>0.27689999999999998</v>
      </c>
      <c r="U301">
        <f t="shared" si="40"/>
        <v>0.28999999999999998</v>
      </c>
      <c r="V301" t="str">
        <f t="shared" si="37"/>
        <v>High Occupational Therapist</v>
      </c>
      <c r="W301" t="str">
        <f t="shared" si="38"/>
        <v>Occupational Therapist</v>
      </c>
    </row>
    <row r="302" spans="1:23" x14ac:dyDescent="0.25">
      <c r="A302">
        <v>6037</v>
      </c>
      <c r="B302" t="s">
        <v>1303</v>
      </c>
      <c r="C302">
        <v>1.998</v>
      </c>
      <c r="D302" t="s">
        <v>1264</v>
      </c>
      <c r="E302">
        <v>100278</v>
      </c>
      <c r="F302">
        <v>6037</v>
      </c>
      <c r="G302" t="str">
        <f t="shared" si="36"/>
        <v>06037</v>
      </c>
      <c r="H302" t="s">
        <v>328</v>
      </c>
      <c r="I302" t="s">
        <v>1265</v>
      </c>
      <c r="J302" t="s">
        <v>1266</v>
      </c>
      <c r="K302" t="s">
        <v>1267</v>
      </c>
      <c r="L302" t="s">
        <v>1303</v>
      </c>
      <c r="M302" t="s">
        <v>1304</v>
      </c>
      <c r="N302">
        <v>21</v>
      </c>
      <c r="O302" t="str">
        <f t="shared" si="39"/>
        <v>43</v>
      </c>
      <c r="P302">
        <v>43</v>
      </c>
      <c r="R302" t="s">
        <v>1269</v>
      </c>
      <c r="S302">
        <v>1.998</v>
      </c>
      <c r="T302">
        <v>0.27689999999999998</v>
      </c>
      <c r="U302">
        <f t="shared" si="40"/>
        <v>0.55300000000000005</v>
      </c>
      <c r="V302" t="str">
        <f t="shared" si="37"/>
        <v>Middle Occupational Therapist</v>
      </c>
      <c r="W302" t="str">
        <f t="shared" si="38"/>
        <v>Occupational Therapist</v>
      </c>
    </row>
    <row r="303" spans="1:23" x14ac:dyDescent="0.25">
      <c r="A303">
        <v>6037</v>
      </c>
      <c r="B303" t="s">
        <v>1294</v>
      </c>
      <c r="C303">
        <v>34.188000000000002</v>
      </c>
      <c r="D303" t="s">
        <v>1264</v>
      </c>
      <c r="E303">
        <v>100278</v>
      </c>
      <c r="F303">
        <v>6037</v>
      </c>
      <c r="G303" t="str">
        <f t="shared" si="36"/>
        <v>06037</v>
      </c>
      <c r="H303" t="s">
        <v>328</v>
      </c>
      <c r="I303" t="s">
        <v>1265</v>
      </c>
      <c r="J303" t="s">
        <v>1276</v>
      </c>
      <c r="K303" t="s">
        <v>1277</v>
      </c>
      <c r="L303" t="s">
        <v>1294</v>
      </c>
      <c r="M303" t="s">
        <v>1354</v>
      </c>
      <c r="N303">
        <v>21</v>
      </c>
      <c r="O303" t="str">
        <f t="shared" si="39"/>
        <v>45</v>
      </c>
      <c r="P303">
        <v>45</v>
      </c>
      <c r="R303" t="s">
        <v>1269</v>
      </c>
      <c r="S303">
        <v>34.188000000000002</v>
      </c>
      <c r="T303">
        <v>0.27689999999999998</v>
      </c>
      <c r="U303">
        <f t="shared" si="40"/>
        <v>9.4670000000000005</v>
      </c>
      <c r="V303" t="str">
        <f t="shared" si="37"/>
        <v>Elementary Speech, Language Pathway/
Audio</v>
      </c>
      <c r="W303" t="str">
        <f t="shared" si="38"/>
        <v>Speech, Language Pathway/
Audio</v>
      </c>
    </row>
    <row r="304" spans="1:23" x14ac:dyDescent="0.25">
      <c r="A304">
        <v>6037</v>
      </c>
      <c r="B304" t="s">
        <v>1326</v>
      </c>
      <c r="C304">
        <v>7.9340000000000002</v>
      </c>
      <c r="D304" t="s">
        <v>1264</v>
      </c>
      <c r="E304">
        <v>100278</v>
      </c>
      <c r="F304">
        <v>6037</v>
      </c>
      <c r="G304" t="str">
        <f t="shared" si="36"/>
        <v>06037</v>
      </c>
      <c r="H304" t="s">
        <v>328</v>
      </c>
      <c r="I304" t="s">
        <v>1265</v>
      </c>
      <c r="J304" t="s">
        <v>1271</v>
      </c>
      <c r="K304" t="s">
        <v>1272</v>
      </c>
      <c r="L304" t="s">
        <v>1326</v>
      </c>
      <c r="M304" t="s">
        <v>1353</v>
      </c>
      <c r="N304">
        <v>21</v>
      </c>
      <c r="O304" t="str">
        <f t="shared" si="39"/>
        <v>45</v>
      </c>
      <c r="P304">
        <v>45</v>
      </c>
      <c r="R304" t="s">
        <v>1269</v>
      </c>
      <c r="S304">
        <v>7.9340000000000002</v>
      </c>
      <c r="T304">
        <v>0.27689999999999998</v>
      </c>
      <c r="U304">
        <f t="shared" si="40"/>
        <v>2.1970000000000001</v>
      </c>
      <c r="V304" t="str">
        <f t="shared" si="37"/>
        <v>High Speech, Language Pathway/
Audio</v>
      </c>
      <c r="W304" t="str">
        <f t="shared" si="38"/>
        <v>Speech, Language Pathway/
Audio</v>
      </c>
    </row>
    <row r="305" spans="1:23" x14ac:dyDescent="0.25">
      <c r="A305">
        <v>6037</v>
      </c>
      <c r="B305" t="s">
        <v>1312</v>
      </c>
      <c r="C305">
        <v>4.9930000000000003</v>
      </c>
      <c r="D305" t="s">
        <v>1264</v>
      </c>
      <c r="E305">
        <v>100278</v>
      </c>
      <c r="F305">
        <v>6037</v>
      </c>
      <c r="G305" t="str">
        <f t="shared" si="36"/>
        <v>06037</v>
      </c>
      <c r="H305" t="s">
        <v>328</v>
      </c>
      <c r="I305" t="s">
        <v>1265</v>
      </c>
      <c r="J305" t="s">
        <v>1266</v>
      </c>
      <c r="K305" t="s">
        <v>1267</v>
      </c>
      <c r="L305" t="s">
        <v>1312</v>
      </c>
      <c r="M305" t="s">
        <v>1351</v>
      </c>
      <c r="N305">
        <v>21</v>
      </c>
      <c r="O305" t="str">
        <f t="shared" si="39"/>
        <v>45</v>
      </c>
      <c r="P305">
        <v>45</v>
      </c>
      <c r="R305" t="s">
        <v>1269</v>
      </c>
      <c r="S305">
        <v>4.9930000000000003</v>
      </c>
      <c r="T305">
        <v>0.27689999999999998</v>
      </c>
      <c r="U305">
        <f t="shared" si="40"/>
        <v>1.383</v>
      </c>
      <c r="V305" t="str">
        <f t="shared" si="37"/>
        <v>Middle Speech, Language Pathway/
Audio</v>
      </c>
      <c r="W305" t="str">
        <f t="shared" si="38"/>
        <v>Speech, Language Pathway/
Audio</v>
      </c>
    </row>
    <row r="306" spans="1:23" x14ac:dyDescent="0.25">
      <c r="A306">
        <v>6037</v>
      </c>
      <c r="B306" t="s">
        <v>1298</v>
      </c>
      <c r="C306">
        <v>12.129</v>
      </c>
      <c r="D306" t="s">
        <v>1264</v>
      </c>
      <c r="E306">
        <v>100278</v>
      </c>
      <c r="F306">
        <v>6037</v>
      </c>
      <c r="G306" t="str">
        <f t="shared" si="36"/>
        <v>06037</v>
      </c>
      <c r="H306" t="s">
        <v>328</v>
      </c>
      <c r="I306" t="s">
        <v>1265</v>
      </c>
      <c r="J306" t="s">
        <v>1276</v>
      </c>
      <c r="K306" t="s">
        <v>1277</v>
      </c>
      <c r="L306" t="s">
        <v>1298</v>
      </c>
      <c r="M306" t="s">
        <v>1349</v>
      </c>
      <c r="N306">
        <v>21</v>
      </c>
      <c r="O306" t="str">
        <f t="shared" si="39"/>
        <v>46</v>
      </c>
      <c r="P306">
        <v>46</v>
      </c>
      <c r="R306" t="s">
        <v>1269</v>
      </c>
      <c r="S306">
        <v>12.129</v>
      </c>
      <c r="T306">
        <v>0.27689999999999998</v>
      </c>
      <c r="U306">
        <f t="shared" si="40"/>
        <v>3.359</v>
      </c>
      <c r="V306" t="str">
        <f t="shared" si="37"/>
        <v>Elementary Psychologist</v>
      </c>
      <c r="W306" t="str">
        <f t="shared" si="38"/>
        <v>Psychologist</v>
      </c>
    </row>
    <row r="307" spans="1:23" x14ac:dyDescent="0.25">
      <c r="A307">
        <v>6037</v>
      </c>
      <c r="B307" t="s">
        <v>1309</v>
      </c>
      <c r="C307">
        <v>6.8479999999999999</v>
      </c>
      <c r="D307" t="s">
        <v>1264</v>
      </c>
      <c r="E307">
        <v>100278</v>
      </c>
      <c r="F307">
        <v>6037</v>
      </c>
      <c r="G307" t="str">
        <f t="shared" si="36"/>
        <v>06037</v>
      </c>
      <c r="H307" t="s">
        <v>328</v>
      </c>
      <c r="I307" t="s">
        <v>1265</v>
      </c>
      <c r="J307" t="s">
        <v>1271</v>
      </c>
      <c r="K307" t="s">
        <v>1272</v>
      </c>
      <c r="L307" t="s">
        <v>1309</v>
      </c>
      <c r="M307" t="s">
        <v>1310</v>
      </c>
      <c r="N307">
        <v>21</v>
      </c>
      <c r="O307" t="str">
        <f t="shared" si="39"/>
        <v>46</v>
      </c>
      <c r="P307">
        <v>46</v>
      </c>
      <c r="R307" t="s">
        <v>1269</v>
      </c>
      <c r="S307">
        <v>6.8479999999999999</v>
      </c>
      <c r="T307">
        <v>0.27689999999999998</v>
      </c>
      <c r="U307">
        <f t="shared" si="40"/>
        <v>1.8959999999999999</v>
      </c>
      <c r="V307" t="str">
        <f t="shared" si="37"/>
        <v>High Psychologist</v>
      </c>
      <c r="W307" t="str">
        <f t="shared" si="38"/>
        <v>Psychologist</v>
      </c>
    </row>
    <row r="308" spans="1:23" x14ac:dyDescent="0.25">
      <c r="A308">
        <v>6037</v>
      </c>
      <c r="B308" t="s">
        <v>1345</v>
      </c>
      <c r="C308">
        <v>3.22</v>
      </c>
      <c r="D308" t="s">
        <v>1264</v>
      </c>
      <c r="E308">
        <v>100278</v>
      </c>
      <c r="F308">
        <v>6037</v>
      </c>
      <c r="G308" t="str">
        <f t="shared" si="36"/>
        <v>06037</v>
      </c>
      <c r="H308" t="s">
        <v>328</v>
      </c>
      <c r="I308" t="s">
        <v>1265</v>
      </c>
      <c r="J308" t="s">
        <v>1266</v>
      </c>
      <c r="K308" t="s">
        <v>1267</v>
      </c>
      <c r="L308" t="s">
        <v>1345</v>
      </c>
      <c r="M308" t="s">
        <v>1346</v>
      </c>
      <c r="N308">
        <v>21</v>
      </c>
      <c r="O308" t="str">
        <f t="shared" si="39"/>
        <v>46</v>
      </c>
      <c r="P308">
        <v>46</v>
      </c>
      <c r="R308" t="s">
        <v>1269</v>
      </c>
      <c r="S308">
        <v>3.22</v>
      </c>
      <c r="T308">
        <v>0.27689999999999998</v>
      </c>
      <c r="U308">
        <f t="shared" si="40"/>
        <v>0.89200000000000002</v>
      </c>
      <c r="V308" t="str">
        <f t="shared" si="37"/>
        <v>Middle Psychologist</v>
      </c>
      <c r="W308" t="str">
        <f t="shared" si="38"/>
        <v>Psychologist</v>
      </c>
    </row>
    <row r="309" spans="1:23" x14ac:dyDescent="0.25">
      <c r="A309">
        <v>6037</v>
      </c>
      <c r="B309" t="s">
        <v>1334</v>
      </c>
      <c r="C309">
        <v>0.05</v>
      </c>
      <c r="D309" t="s">
        <v>1264</v>
      </c>
      <c r="E309">
        <v>100278</v>
      </c>
      <c r="F309">
        <v>6037</v>
      </c>
      <c r="G309" t="str">
        <f t="shared" si="36"/>
        <v>06037</v>
      </c>
      <c r="H309" t="s">
        <v>328</v>
      </c>
      <c r="I309" t="s">
        <v>1265</v>
      </c>
      <c r="J309" t="s">
        <v>1276</v>
      </c>
      <c r="K309" t="s">
        <v>1277</v>
      </c>
      <c r="L309" t="s">
        <v>1334</v>
      </c>
      <c r="M309" t="s">
        <v>1413</v>
      </c>
      <c r="N309">
        <v>21</v>
      </c>
      <c r="O309" t="str">
        <f t="shared" si="39"/>
        <v>47</v>
      </c>
      <c r="P309">
        <v>47</v>
      </c>
      <c r="R309" t="s">
        <v>1269</v>
      </c>
      <c r="S309">
        <v>0.05</v>
      </c>
      <c r="T309">
        <v>0.27689999999999998</v>
      </c>
      <c r="U309">
        <f t="shared" si="40"/>
        <v>1.4E-2</v>
      </c>
      <c r="V309" t="str">
        <f t="shared" si="37"/>
        <v>Elementary Nurse</v>
      </c>
      <c r="W309" t="str">
        <f t="shared" si="38"/>
        <v>Nurse</v>
      </c>
    </row>
    <row r="310" spans="1:23" x14ac:dyDescent="0.25">
      <c r="A310">
        <v>6037</v>
      </c>
      <c r="B310" t="s">
        <v>1335</v>
      </c>
      <c r="C310">
        <v>8.76</v>
      </c>
      <c r="D310" t="s">
        <v>1264</v>
      </c>
      <c r="E310">
        <v>100278</v>
      </c>
      <c r="F310">
        <v>6037</v>
      </c>
      <c r="G310" t="str">
        <f t="shared" si="36"/>
        <v>06037</v>
      </c>
      <c r="H310" t="s">
        <v>328</v>
      </c>
      <c r="I310" t="s">
        <v>1265</v>
      </c>
      <c r="J310" t="s">
        <v>1276</v>
      </c>
      <c r="K310" t="s">
        <v>1277</v>
      </c>
      <c r="L310" t="s">
        <v>1335</v>
      </c>
      <c r="M310" t="s">
        <v>1344</v>
      </c>
      <c r="N310">
        <v>1</v>
      </c>
      <c r="O310" t="str">
        <f t="shared" si="39"/>
        <v>47</v>
      </c>
      <c r="P310">
        <v>47</v>
      </c>
      <c r="R310" t="s">
        <v>1269</v>
      </c>
      <c r="S310">
        <v>8.76</v>
      </c>
      <c r="T310">
        <v>0.27689999999999998</v>
      </c>
      <c r="U310">
        <f t="shared" si="40"/>
        <v>0</v>
      </c>
      <c r="V310" t="str">
        <f t="shared" si="37"/>
        <v>Elementary Nurse</v>
      </c>
      <c r="W310" t="str">
        <f t="shared" si="38"/>
        <v>Nurse</v>
      </c>
    </row>
    <row r="311" spans="1:23" x14ac:dyDescent="0.25">
      <c r="A311">
        <v>6037</v>
      </c>
      <c r="B311" t="s">
        <v>1397</v>
      </c>
      <c r="C311">
        <v>2.7E-2</v>
      </c>
      <c r="D311" t="s">
        <v>1264</v>
      </c>
      <c r="E311">
        <v>100278</v>
      </c>
      <c r="F311">
        <v>6037</v>
      </c>
      <c r="G311" t="str">
        <f t="shared" si="36"/>
        <v>06037</v>
      </c>
      <c r="H311" t="s">
        <v>328</v>
      </c>
      <c r="I311" t="s">
        <v>1265</v>
      </c>
      <c r="J311" t="s">
        <v>1271</v>
      </c>
      <c r="K311" t="s">
        <v>1272</v>
      </c>
      <c r="L311" t="s">
        <v>1397</v>
      </c>
      <c r="M311" t="s">
        <v>1435</v>
      </c>
      <c r="N311">
        <v>21</v>
      </c>
      <c r="O311" t="str">
        <f t="shared" si="39"/>
        <v>47</v>
      </c>
      <c r="P311">
        <v>47</v>
      </c>
      <c r="R311" t="s">
        <v>1269</v>
      </c>
      <c r="S311">
        <v>2.7E-2</v>
      </c>
      <c r="T311">
        <v>0.27689999999999998</v>
      </c>
      <c r="U311">
        <f t="shared" si="40"/>
        <v>7.0000000000000001E-3</v>
      </c>
      <c r="V311" t="str">
        <f t="shared" si="37"/>
        <v>High Nurse</v>
      </c>
      <c r="W311" t="str">
        <f t="shared" si="38"/>
        <v>Nurse</v>
      </c>
    </row>
    <row r="312" spans="1:23" x14ac:dyDescent="0.25">
      <c r="A312">
        <v>6037</v>
      </c>
      <c r="B312" t="s">
        <v>1341</v>
      </c>
      <c r="C312">
        <v>6.3710000000000004</v>
      </c>
      <c r="D312" t="s">
        <v>1264</v>
      </c>
      <c r="E312">
        <v>100278</v>
      </c>
      <c r="F312">
        <v>6037</v>
      </c>
      <c r="G312" t="str">
        <f t="shared" si="36"/>
        <v>06037</v>
      </c>
      <c r="H312" t="s">
        <v>328</v>
      </c>
      <c r="I312" t="s">
        <v>1265</v>
      </c>
      <c r="J312" t="s">
        <v>1271</v>
      </c>
      <c r="K312" t="s">
        <v>1272</v>
      </c>
      <c r="L312" t="s">
        <v>1341</v>
      </c>
      <c r="M312" t="s">
        <v>1342</v>
      </c>
      <c r="N312">
        <v>1</v>
      </c>
      <c r="O312" t="str">
        <f t="shared" si="39"/>
        <v>47</v>
      </c>
      <c r="P312">
        <v>47</v>
      </c>
      <c r="R312" t="s">
        <v>1269</v>
      </c>
      <c r="S312">
        <v>6.3710000000000004</v>
      </c>
      <c r="T312">
        <v>0.27689999999999998</v>
      </c>
      <c r="U312">
        <f t="shared" si="40"/>
        <v>0</v>
      </c>
      <c r="V312" t="str">
        <f t="shared" si="37"/>
        <v>High Nurse</v>
      </c>
      <c r="W312" t="str">
        <f t="shared" si="38"/>
        <v>Nurse</v>
      </c>
    </row>
    <row r="313" spans="1:23" x14ac:dyDescent="0.25">
      <c r="A313">
        <v>6037</v>
      </c>
      <c r="B313" t="s">
        <v>1372</v>
      </c>
      <c r="C313">
        <v>2.3E-2</v>
      </c>
      <c r="D313" t="s">
        <v>1264</v>
      </c>
      <c r="E313">
        <v>100278</v>
      </c>
      <c r="F313">
        <v>6037</v>
      </c>
      <c r="G313" t="str">
        <f t="shared" si="36"/>
        <v>06037</v>
      </c>
      <c r="H313" t="s">
        <v>328</v>
      </c>
      <c r="I313" t="s">
        <v>1265</v>
      </c>
      <c r="J313" t="s">
        <v>1266</v>
      </c>
      <c r="K313" t="s">
        <v>1267</v>
      </c>
      <c r="L313" t="s">
        <v>1372</v>
      </c>
      <c r="M313" t="s">
        <v>1436</v>
      </c>
      <c r="N313">
        <v>21</v>
      </c>
      <c r="O313" t="str">
        <f t="shared" si="39"/>
        <v>47</v>
      </c>
      <c r="P313">
        <v>47</v>
      </c>
      <c r="R313" t="s">
        <v>1269</v>
      </c>
      <c r="S313">
        <v>2.3E-2</v>
      </c>
      <c r="T313">
        <v>0.27689999999999998</v>
      </c>
      <c r="U313">
        <f t="shared" si="40"/>
        <v>6.0000000000000001E-3</v>
      </c>
      <c r="V313" t="str">
        <f t="shared" si="37"/>
        <v>Middle Nurse</v>
      </c>
      <c r="W313" t="str">
        <f t="shared" si="38"/>
        <v>Nurse</v>
      </c>
    </row>
    <row r="314" spans="1:23" x14ac:dyDescent="0.25">
      <c r="A314">
        <v>6037</v>
      </c>
      <c r="B314" t="s">
        <v>1338</v>
      </c>
      <c r="C314">
        <v>3.78</v>
      </c>
      <c r="D314" t="s">
        <v>1264</v>
      </c>
      <c r="E314">
        <v>100278</v>
      </c>
      <c r="F314">
        <v>6037</v>
      </c>
      <c r="G314" t="str">
        <f t="shared" si="36"/>
        <v>06037</v>
      </c>
      <c r="H314" t="s">
        <v>328</v>
      </c>
      <c r="I314" t="s">
        <v>1265</v>
      </c>
      <c r="J314" t="s">
        <v>1266</v>
      </c>
      <c r="K314" t="s">
        <v>1267</v>
      </c>
      <c r="L314" t="s">
        <v>1338</v>
      </c>
      <c r="M314" t="s">
        <v>1339</v>
      </c>
      <c r="N314">
        <v>1</v>
      </c>
      <c r="O314" t="str">
        <f t="shared" si="39"/>
        <v>47</v>
      </c>
      <c r="P314">
        <v>47</v>
      </c>
      <c r="R314" t="s">
        <v>1269</v>
      </c>
      <c r="S314">
        <v>3.78</v>
      </c>
      <c r="T314">
        <v>0.27689999999999998</v>
      </c>
      <c r="U314">
        <f t="shared" si="40"/>
        <v>0</v>
      </c>
      <c r="V314" t="str">
        <f t="shared" si="37"/>
        <v>Middle Nurse</v>
      </c>
      <c r="W314" t="str">
        <f t="shared" si="38"/>
        <v>Nurse</v>
      </c>
    </row>
    <row r="315" spans="1:23" x14ac:dyDescent="0.25">
      <c r="A315">
        <v>6037</v>
      </c>
      <c r="B315" t="s">
        <v>1302</v>
      </c>
      <c r="C315">
        <v>2.823</v>
      </c>
      <c r="D315" t="s">
        <v>1264</v>
      </c>
      <c r="E315">
        <v>100278</v>
      </c>
      <c r="F315">
        <v>6037</v>
      </c>
      <c r="G315" t="str">
        <f t="shared" si="36"/>
        <v>06037</v>
      </c>
      <c r="H315" t="s">
        <v>328</v>
      </c>
      <c r="I315" t="s">
        <v>1265</v>
      </c>
      <c r="J315" t="s">
        <v>1276</v>
      </c>
      <c r="K315" t="s">
        <v>1277</v>
      </c>
      <c r="L315" t="s">
        <v>1302</v>
      </c>
      <c r="M315" t="s">
        <v>1336</v>
      </c>
      <c r="N315">
        <v>21</v>
      </c>
      <c r="O315" t="str">
        <f t="shared" si="39"/>
        <v>48</v>
      </c>
      <c r="P315">
        <v>48</v>
      </c>
      <c r="R315" t="s">
        <v>1269</v>
      </c>
      <c r="S315">
        <v>2.823</v>
      </c>
      <c r="T315">
        <v>0.27689999999999998</v>
      </c>
      <c r="U315">
        <f t="shared" si="40"/>
        <v>0.78200000000000003</v>
      </c>
      <c r="V315" t="str">
        <f t="shared" si="37"/>
        <v>Elementary Physical Therapist</v>
      </c>
      <c r="W315" t="str">
        <f t="shared" si="38"/>
        <v>Physical Therapist</v>
      </c>
    </row>
    <row r="316" spans="1:23" x14ac:dyDescent="0.25">
      <c r="A316">
        <v>6037</v>
      </c>
      <c r="B316" t="s">
        <v>1330</v>
      </c>
      <c r="C316">
        <v>0.23699999999999999</v>
      </c>
      <c r="D316" t="s">
        <v>1264</v>
      </c>
      <c r="E316">
        <v>100278</v>
      </c>
      <c r="F316">
        <v>6037</v>
      </c>
      <c r="G316" t="str">
        <f t="shared" si="36"/>
        <v>06037</v>
      </c>
      <c r="H316" t="s">
        <v>328</v>
      </c>
      <c r="I316" t="s">
        <v>1265</v>
      </c>
      <c r="J316" t="s">
        <v>1271</v>
      </c>
      <c r="K316" t="s">
        <v>1272</v>
      </c>
      <c r="L316" t="s">
        <v>1330</v>
      </c>
      <c r="M316" t="s">
        <v>1367</v>
      </c>
      <c r="N316">
        <v>21</v>
      </c>
      <c r="O316" t="str">
        <f t="shared" si="39"/>
        <v>48</v>
      </c>
      <c r="P316">
        <v>48</v>
      </c>
      <c r="R316" t="s">
        <v>1269</v>
      </c>
      <c r="S316">
        <v>0.23699999999999999</v>
      </c>
      <c r="T316">
        <v>0.27689999999999998</v>
      </c>
      <c r="U316">
        <f t="shared" si="40"/>
        <v>6.6000000000000003E-2</v>
      </c>
      <c r="V316" t="str">
        <f t="shared" si="37"/>
        <v>High Physical Therapist</v>
      </c>
      <c r="W316" t="str">
        <f t="shared" si="38"/>
        <v>Physical Therapist</v>
      </c>
    </row>
    <row r="317" spans="1:23" x14ac:dyDescent="0.25">
      <c r="A317">
        <v>6037</v>
      </c>
      <c r="B317" t="s">
        <v>1316</v>
      </c>
      <c r="C317">
        <v>0.34</v>
      </c>
      <c r="D317" t="s">
        <v>1264</v>
      </c>
      <c r="E317">
        <v>100278</v>
      </c>
      <c r="F317">
        <v>6037</v>
      </c>
      <c r="G317" t="str">
        <f t="shared" si="36"/>
        <v>06037</v>
      </c>
      <c r="H317" t="s">
        <v>328</v>
      </c>
      <c r="I317" t="s">
        <v>1265</v>
      </c>
      <c r="J317" t="s">
        <v>1266</v>
      </c>
      <c r="K317" t="s">
        <v>1267</v>
      </c>
      <c r="L317" t="s">
        <v>1316</v>
      </c>
      <c r="M317" t="s">
        <v>1366</v>
      </c>
      <c r="N317">
        <v>21</v>
      </c>
      <c r="O317" t="str">
        <f t="shared" si="39"/>
        <v>48</v>
      </c>
      <c r="P317">
        <v>48</v>
      </c>
      <c r="R317" t="s">
        <v>1269</v>
      </c>
      <c r="S317">
        <v>0.34</v>
      </c>
      <c r="T317">
        <v>0.27689999999999998</v>
      </c>
      <c r="U317">
        <f t="shared" si="40"/>
        <v>9.4E-2</v>
      </c>
      <c r="V317" t="str">
        <f t="shared" si="37"/>
        <v>Middle Physical Therapist</v>
      </c>
      <c r="W317" t="str">
        <f t="shared" si="38"/>
        <v>Physical Therapist</v>
      </c>
    </row>
    <row r="318" spans="1:23" x14ac:dyDescent="0.25">
      <c r="A318">
        <v>6098</v>
      </c>
      <c r="B318" t="s">
        <v>1350</v>
      </c>
      <c r="C318">
        <v>0.754</v>
      </c>
      <c r="D318" t="s">
        <v>1264</v>
      </c>
      <c r="E318">
        <v>100106</v>
      </c>
      <c r="F318">
        <v>6098</v>
      </c>
      <c r="G318" t="str">
        <f t="shared" si="36"/>
        <v>06098</v>
      </c>
      <c r="H318" t="s">
        <v>329</v>
      </c>
      <c r="I318" t="s">
        <v>1265</v>
      </c>
      <c r="J318" t="s">
        <v>1276</v>
      </c>
      <c r="K318" t="s">
        <v>1277</v>
      </c>
      <c r="L318" t="s">
        <v>1350</v>
      </c>
      <c r="M318" t="s">
        <v>1433</v>
      </c>
      <c r="N318">
        <v>1</v>
      </c>
      <c r="O318" t="str">
        <f t="shared" si="39"/>
        <v>35</v>
      </c>
      <c r="Q318">
        <v>35</v>
      </c>
      <c r="R318" t="s">
        <v>1269</v>
      </c>
      <c r="S318">
        <v>0.754</v>
      </c>
      <c r="T318">
        <v>0.1608</v>
      </c>
      <c r="U318">
        <f t="shared" si="40"/>
        <v>0</v>
      </c>
      <c r="V318" t="str">
        <f t="shared" si="37"/>
        <v>Elementary Pupil Safety</v>
      </c>
      <c r="W318" t="str">
        <f t="shared" si="38"/>
        <v>Pupil Safety</v>
      </c>
    </row>
    <row r="319" spans="1:23" x14ac:dyDescent="0.25">
      <c r="A319">
        <v>6098</v>
      </c>
      <c r="B319" t="s">
        <v>1401</v>
      </c>
      <c r="C319">
        <v>0.754</v>
      </c>
      <c r="D319" t="s">
        <v>1264</v>
      </c>
      <c r="E319">
        <v>100106</v>
      </c>
      <c r="F319">
        <v>6098</v>
      </c>
      <c r="G319" t="str">
        <f t="shared" si="36"/>
        <v>06098</v>
      </c>
      <c r="H319" t="s">
        <v>329</v>
      </c>
      <c r="I319" t="s">
        <v>1265</v>
      </c>
      <c r="J319" t="s">
        <v>1271</v>
      </c>
      <c r="K319" t="s">
        <v>1272</v>
      </c>
      <c r="L319" t="s">
        <v>1401</v>
      </c>
      <c r="M319" t="s">
        <v>1422</v>
      </c>
      <c r="N319">
        <v>1</v>
      </c>
      <c r="O319" t="str">
        <f t="shared" si="39"/>
        <v>35</v>
      </c>
      <c r="Q319">
        <v>35</v>
      </c>
      <c r="R319" t="s">
        <v>1269</v>
      </c>
      <c r="S319">
        <v>0.754</v>
      </c>
      <c r="T319">
        <v>0.1608</v>
      </c>
      <c r="U319">
        <f t="shared" si="40"/>
        <v>0</v>
      </c>
      <c r="V319" t="str">
        <f t="shared" si="37"/>
        <v>High Pupil Safety</v>
      </c>
      <c r="W319" t="str">
        <f t="shared" si="38"/>
        <v>Pupil Safety</v>
      </c>
    </row>
    <row r="320" spans="1:23" x14ac:dyDescent="0.25">
      <c r="A320">
        <v>6098</v>
      </c>
      <c r="B320" t="s">
        <v>1377</v>
      </c>
      <c r="C320">
        <v>0.754</v>
      </c>
      <c r="D320" t="s">
        <v>1264</v>
      </c>
      <c r="E320">
        <v>100106</v>
      </c>
      <c r="F320">
        <v>6098</v>
      </c>
      <c r="G320" t="str">
        <f t="shared" si="36"/>
        <v>06098</v>
      </c>
      <c r="H320" t="s">
        <v>329</v>
      </c>
      <c r="I320" t="s">
        <v>1265</v>
      </c>
      <c r="J320" t="s">
        <v>1266</v>
      </c>
      <c r="K320" t="s">
        <v>1267</v>
      </c>
      <c r="L320" t="s">
        <v>1377</v>
      </c>
      <c r="M320" t="s">
        <v>1423</v>
      </c>
      <c r="N320">
        <v>1</v>
      </c>
      <c r="O320" t="str">
        <f t="shared" si="39"/>
        <v>35</v>
      </c>
      <c r="Q320">
        <v>35</v>
      </c>
      <c r="R320" t="s">
        <v>1269</v>
      </c>
      <c r="S320">
        <v>0.754</v>
      </c>
      <c r="T320">
        <v>0.1608</v>
      </c>
      <c r="U320">
        <f t="shared" si="40"/>
        <v>0</v>
      </c>
      <c r="V320" t="str">
        <f t="shared" si="37"/>
        <v>Middle Pupil Safety</v>
      </c>
      <c r="W320" t="str">
        <f t="shared" si="38"/>
        <v>Pupil Safety</v>
      </c>
    </row>
    <row r="321" spans="1:23" x14ac:dyDescent="0.25">
      <c r="A321">
        <v>6098</v>
      </c>
      <c r="B321" t="s">
        <v>1275</v>
      </c>
      <c r="C321">
        <v>1</v>
      </c>
      <c r="D321" t="s">
        <v>1264</v>
      </c>
      <c r="E321">
        <v>100106</v>
      </c>
      <c r="F321">
        <v>6098</v>
      </c>
      <c r="G321" t="str">
        <f t="shared" si="36"/>
        <v>06098</v>
      </c>
      <c r="H321" t="s">
        <v>329</v>
      </c>
      <c r="I321" t="s">
        <v>1265</v>
      </c>
      <c r="J321" t="s">
        <v>1276</v>
      </c>
      <c r="K321" t="s">
        <v>1277</v>
      </c>
      <c r="L321" t="s">
        <v>1275</v>
      </c>
      <c r="M321" t="s">
        <v>1278</v>
      </c>
      <c r="N321">
        <v>1</v>
      </c>
      <c r="O321" t="str">
        <f t="shared" si="39"/>
        <v>42</v>
      </c>
      <c r="P321">
        <v>42</v>
      </c>
      <c r="R321" t="s">
        <v>1269</v>
      </c>
      <c r="S321">
        <v>1</v>
      </c>
      <c r="T321">
        <v>0.1608</v>
      </c>
      <c r="U321">
        <f t="shared" si="40"/>
        <v>0</v>
      </c>
      <c r="V321" t="str">
        <f t="shared" si="37"/>
        <v>Elementary Counselor</v>
      </c>
      <c r="W321" t="str">
        <f t="shared" si="38"/>
        <v>Counselor</v>
      </c>
    </row>
    <row r="322" spans="1:23" x14ac:dyDescent="0.25">
      <c r="A322">
        <v>6098</v>
      </c>
      <c r="B322" t="s">
        <v>1270</v>
      </c>
      <c r="C322">
        <v>2</v>
      </c>
      <c r="D322" t="s">
        <v>1264</v>
      </c>
      <c r="E322">
        <v>100106</v>
      </c>
      <c r="F322">
        <v>6098</v>
      </c>
      <c r="G322" t="str">
        <f t="shared" ref="G322:G385" si="41">TEXT(F322,"00000")</f>
        <v>06098</v>
      </c>
      <c r="H322" t="s">
        <v>329</v>
      </c>
      <c r="I322" t="s">
        <v>1265</v>
      </c>
      <c r="J322" t="s">
        <v>1271</v>
      </c>
      <c r="K322" t="s">
        <v>1272</v>
      </c>
      <c r="L322" t="s">
        <v>1270</v>
      </c>
      <c r="M322" t="s">
        <v>1273</v>
      </c>
      <c r="N322">
        <v>1</v>
      </c>
      <c r="O322" t="str">
        <f t="shared" si="39"/>
        <v>42</v>
      </c>
      <c r="P322">
        <v>42</v>
      </c>
      <c r="R322" t="s">
        <v>1269</v>
      </c>
      <c r="S322">
        <v>2</v>
      </c>
      <c r="T322">
        <v>0.1608</v>
      </c>
      <c r="U322">
        <f t="shared" si="40"/>
        <v>0</v>
      </c>
      <c r="V322" t="str">
        <f t="shared" ref="V322:V385" si="42">_xlfn.XLOOKUP(L322,$BV:$BV,$BT:$BT,,0)</f>
        <v>High Counselor</v>
      </c>
      <c r="W322" t="str">
        <f t="shared" ref="W322:W385" si="43">_xlfn.TEXTAFTER(V322," ")</f>
        <v>Counselor</v>
      </c>
    </row>
    <row r="323" spans="1:23" x14ac:dyDescent="0.25">
      <c r="A323">
        <v>6098</v>
      </c>
      <c r="B323" t="s">
        <v>1263</v>
      </c>
      <c r="C323">
        <v>1</v>
      </c>
      <c r="D323" t="s">
        <v>1264</v>
      </c>
      <c r="E323">
        <v>100106</v>
      </c>
      <c r="F323">
        <v>6098</v>
      </c>
      <c r="G323" t="str">
        <f t="shared" si="41"/>
        <v>06098</v>
      </c>
      <c r="H323" t="s">
        <v>329</v>
      </c>
      <c r="I323" t="s">
        <v>1265</v>
      </c>
      <c r="J323" t="s">
        <v>1266</v>
      </c>
      <c r="K323" t="s">
        <v>1267</v>
      </c>
      <c r="L323" t="s">
        <v>1263</v>
      </c>
      <c r="M323" t="s">
        <v>1268</v>
      </c>
      <c r="N323">
        <v>1</v>
      </c>
      <c r="O323" t="str">
        <f t="shared" ref="O323:O386" si="44">MID(L323,3,2)</f>
        <v>42</v>
      </c>
      <c r="P323">
        <v>42</v>
      </c>
      <c r="R323" t="s">
        <v>1269</v>
      </c>
      <c r="S323">
        <v>1</v>
      </c>
      <c r="T323">
        <v>0.1608</v>
      </c>
      <c r="U323">
        <f t="shared" ref="U323:U386" si="45">IF(N323=21,ROUND(T323*S323,3),0)</f>
        <v>0</v>
      </c>
      <c r="V323" t="str">
        <f t="shared" si="42"/>
        <v>Middle Counselor</v>
      </c>
      <c r="W323" t="str">
        <f t="shared" si="43"/>
        <v>Counselor</v>
      </c>
    </row>
    <row r="324" spans="1:23" x14ac:dyDescent="0.25">
      <c r="A324">
        <v>6098</v>
      </c>
      <c r="B324" t="s">
        <v>1289</v>
      </c>
      <c r="C324">
        <v>3</v>
      </c>
      <c r="D324" t="s">
        <v>1264</v>
      </c>
      <c r="E324">
        <v>100106</v>
      </c>
      <c r="F324">
        <v>6098</v>
      </c>
      <c r="G324" t="str">
        <f t="shared" si="41"/>
        <v>06098</v>
      </c>
      <c r="H324" t="s">
        <v>329</v>
      </c>
      <c r="I324" t="s">
        <v>1265</v>
      </c>
      <c r="J324" t="s">
        <v>1276</v>
      </c>
      <c r="K324" t="s">
        <v>1277</v>
      </c>
      <c r="L324" t="s">
        <v>1289</v>
      </c>
      <c r="M324" t="s">
        <v>1307</v>
      </c>
      <c r="N324">
        <v>21</v>
      </c>
      <c r="O324" t="str">
        <f t="shared" si="44"/>
        <v>43</v>
      </c>
      <c r="P324">
        <v>43</v>
      </c>
      <c r="R324" t="s">
        <v>1269</v>
      </c>
      <c r="S324">
        <v>3</v>
      </c>
      <c r="T324">
        <v>0.1608</v>
      </c>
      <c r="U324">
        <f t="shared" si="45"/>
        <v>0.48199999999999998</v>
      </c>
      <c r="V324" t="str">
        <f t="shared" si="42"/>
        <v>Elementary Occupational Therapist</v>
      </c>
      <c r="W324" t="str">
        <f t="shared" si="43"/>
        <v>Occupational Therapist</v>
      </c>
    </row>
    <row r="325" spans="1:23" x14ac:dyDescent="0.25">
      <c r="A325">
        <v>6098</v>
      </c>
      <c r="B325" t="s">
        <v>1466</v>
      </c>
      <c r="C325">
        <v>0.5</v>
      </c>
      <c r="D325" t="s">
        <v>1264</v>
      </c>
      <c r="E325">
        <v>100106</v>
      </c>
      <c r="F325">
        <v>6098</v>
      </c>
      <c r="G325" t="str">
        <f t="shared" si="41"/>
        <v>06098</v>
      </c>
      <c r="H325" t="s">
        <v>329</v>
      </c>
      <c r="I325" t="s">
        <v>1265</v>
      </c>
      <c r="J325" t="s">
        <v>1276</v>
      </c>
      <c r="K325" t="s">
        <v>1277</v>
      </c>
      <c r="L325" t="s">
        <v>1466</v>
      </c>
      <c r="M325" t="s">
        <v>1637</v>
      </c>
      <c r="N325">
        <v>9</v>
      </c>
      <c r="O325" t="str">
        <f t="shared" si="44"/>
        <v>44</v>
      </c>
      <c r="P325">
        <v>44</v>
      </c>
      <c r="R325" t="s">
        <v>1269</v>
      </c>
      <c r="S325">
        <v>0.5</v>
      </c>
      <c r="T325">
        <v>0.1608</v>
      </c>
      <c r="U325">
        <f t="shared" si="45"/>
        <v>0</v>
      </c>
      <c r="V325" t="str">
        <f t="shared" si="42"/>
        <v>TK Social Worker</v>
      </c>
      <c r="W325" t="str">
        <f t="shared" si="43"/>
        <v>Social Worker</v>
      </c>
    </row>
    <row r="326" spans="1:23" x14ac:dyDescent="0.25">
      <c r="A326">
        <v>6098</v>
      </c>
      <c r="B326" t="s">
        <v>1329</v>
      </c>
      <c r="C326">
        <v>0.6</v>
      </c>
      <c r="D326" t="s">
        <v>1264</v>
      </c>
      <c r="E326">
        <v>100106</v>
      </c>
      <c r="F326">
        <v>6098</v>
      </c>
      <c r="G326" t="str">
        <f t="shared" si="41"/>
        <v>06098</v>
      </c>
      <c r="H326" t="s">
        <v>329</v>
      </c>
      <c r="I326" t="s">
        <v>1265</v>
      </c>
      <c r="J326" t="s">
        <v>1276</v>
      </c>
      <c r="K326" t="s">
        <v>1277</v>
      </c>
      <c r="L326" t="s">
        <v>1329</v>
      </c>
      <c r="M326" t="s">
        <v>1418</v>
      </c>
      <c r="N326">
        <v>21</v>
      </c>
      <c r="O326" t="str">
        <f t="shared" si="44"/>
        <v>44</v>
      </c>
      <c r="P326">
        <v>44</v>
      </c>
      <c r="R326" t="s">
        <v>1269</v>
      </c>
      <c r="S326">
        <v>0.6</v>
      </c>
      <c r="T326">
        <v>0.1608</v>
      </c>
      <c r="U326">
        <f t="shared" si="45"/>
        <v>9.6000000000000002E-2</v>
      </c>
      <c r="V326" t="str">
        <f t="shared" si="42"/>
        <v>Elementary Social Worker</v>
      </c>
      <c r="W326" t="str">
        <f t="shared" si="43"/>
        <v>Social Worker</v>
      </c>
    </row>
    <row r="327" spans="1:23" x14ac:dyDescent="0.25">
      <c r="A327">
        <v>6098</v>
      </c>
      <c r="B327" t="s">
        <v>1331</v>
      </c>
      <c r="C327">
        <v>0.4</v>
      </c>
      <c r="D327" t="s">
        <v>1264</v>
      </c>
      <c r="E327">
        <v>100106</v>
      </c>
      <c r="F327">
        <v>6098</v>
      </c>
      <c r="G327" t="str">
        <f t="shared" si="41"/>
        <v>06098</v>
      </c>
      <c r="H327" t="s">
        <v>329</v>
      </c>
      <c r="I327" t="s">
        <v>1265</v>
      </c>
      <c r="J327" t="s">
        <v>1276</v>
      </c>
      <c r="K327" t="s">
        <v>1277</v>
      </c>
      <c r="L327" t="s">
        <v>1331</v>
      </c>
      <c r="M327" t="s">
        <v>1405</v>
      </c>
      <c r="N327">
        <v>1</v>
      </c>
      <c r="O327" t="str">
        <f t="shared" si="44"/>
        <v>44</v>
      </c>
      <c r="P327">
        <v>44</v>
      </c>
      <c r="R327" t="s">
        <v>1269</v>
      </c>
      <c r="S327">
        <v>0.4</v>
      </c>
      <c r="T327">
        <v>0.1608</v>
      </c>
      <c r="U327">
        <f t="shared" si="45"/>
        <v>0</v>
      </c>
      <c r="V327" t="str">
        <f t="shared" si="42"/>
        <v>Elementary Social Worker</v>
      </c>
      <c r="W327" t="str">
        <f t="shared" si="43"/>
        <v>Social Worker</v>
      </c>
    </row>
    <row r="328" spans="1:23" x14ac:dyDescent="0.25">
      <c r="A328">
        <v>6098</v>
      </c>
      <c r="B328" t="s">
        <v>1298</v>
      </c>
      <c r="C328">
        <v>0.95</v>
      </c>
      <c r="D328" t="s">
        <v>1264</v>
      </c>
      <c r="E328">
        <v>100106</v>
      </c>
      <c r="F328">
        <v>6098</v>
      </c>
      <c r="G328" t="str">
        <f t="shared" si="41"/>
        <v>06098</v>
      </c>
      <c r="H328" t="s">
        <v>329</v>
      </c>
      <c r="I328" t="s">
        <v>1265</v>
      </c>
      <c r="J328" t="s">
        <v>1276</v>
      </c>
      <c r="K328" t="s">
        <v>1277</v>
      </c>
      <c r="L328" t="s">
        <v>1298</v>
      </c>
      <c r="M328" t="s">
        <v>1349</v>
      </c>
      <c r="N328">
        <v>21</v>
      </c>
      <c r="O328" t="str">
        <f t="shared" si="44"/>
        <v>46</v>
      </c>
      <c r="P328">
        <v>46</v>
      </c>
      <c r="R328" t="s">
        <v>1269</v>
      </c>
      <c r="S328">
        <v>0.95</v>
      </c>
      <c r="T328">
        <v>0.1608</v>
      </c>
      <c r="U328">
        <f t="shared" si="45"/>
        <v>0.153</v>
      </c>
      <c r="V328" t="str">
        <f t="shared" si="42"/>
        <v>Elementary Psychologist</v>
      </c>
      <c r="W328" t="str">
        <f t="shared" si="43"/>
        <v>Psychologist</v>
      </c>
    </row>
    <row r="329" spans="1:23" x14ac:dyDescent="0.25">
      <c r="A329">
        <v>6098</v>
      </c>
      <c r="B329" t="s">
        <v>1309</v>
      </c>
      <c r="C329">
        <v>0.45</v>
      </c>
      <c r="D329" t="s">
        <v>1264</v>
      </c>
      <c r="E329">
        <v>100106</v>
      </c>
      <c r="F329">
        <v>6098</v>
      </c>
      <c r="G329" t="str">
        <f t="shared" si="41"/>
        <v>06098</v>
      </c>
      <c r="H329" t="s">
        <v>329</v>
      </c>
      <c r="I329" t="s">
        <v>1265</v>
      </c>
      <c r="J329" t="s">
        <v>1271</v>
      </c>
      <c r="K329" t="s">
        <v>1272</v>
      </c>
      <c r="L329" t="s">
        <v>1309</v>
      </c>
      <c r="M329" t="s">
        <v>1310</v>
      </c>
      <c r="N329">
        <v>21</v>
      </c>
      <c r="O329" t="str">
        <f t="shared" si="44"/>
        <v>46</v>
      </c>
      <c r="P329">
        <v>46</v>
      </c>
      <c r="R329" t="s">
        <v>1269</v>
      </c>
      <c r="S329">
        <v>0.45</v>
      </c>
      <c r="T329">
        <v>0.1608</v>
      </c>
      <c r="U329">
        <f t="shared" si="45"/>
        <v>7.1999999999999995E-2</v>
      </c>
      <c r="V329" t="str">
        <f t="shared" si="42"/>
        <v>High Psychologist</v>
      </c>
      <c r="W329" t="str">
        <f t="shared" si="43"/>
        <v>Psychologist</v>
      </c>
    </row>
    <row r="330" spans="1:23" x14ac:dyDescent="0.25">
      <c r="A330">
        <v>6098</v>
      </c>
      <c r="B330" t="s">
        <v>1345</v>
      </c>
      <c r="C330">
        <v>0.5</v>
      </c>
      <c r="D330" t="s">
        <v>1264</v>
      </c>
      <c r="E330">
        <v>100106</v>
      </c>
      <c r="F330">
        <v>6098</v>
      </c>
      <c r="G330" t="str">
        <f t="shared" si="41"/>
        <v>06098</v>
      </c>
      <c r="H330" t="s">
        <v>329</v>
      </c>
      <c r="I330" t="s">
        <v>1265</v>
      </c>
      <c r="J330" t="s">
        <v>1266</v>
      </c>
      <c r="K330" t="s">
        <v>1267</v>
      </c>
      <c r="L330" t="s">
        <v>1345</v>
      </c>
      <c r="M330" t="s">
        <v>1346</v>
      </c>
      <c r="N330">
        <v>21</v>
      </c>
      <c r="O330" t="str">
        <f t="shared" si="44"/>
        <v>46</v>
      </c>
      <c r="P330">
        <v>46</v>
      </c>
      <c r="R330" t="s">
        <v>1269</v>
      </c>
      <c r="S330">
        <v>0.5</v>
      </c>
      <c r="T330">
        <v>0.1608</v>
      </c>
      <c r="U330">
        <f t="shared" si="45"/>
        <v>0.08</v>
      </c>
      <c r="V330" t="str">
        <f t="shared" si="42"/>
        <v>Middle Psychologist</v>
      </c>
      <c r="W330" t="str">
        <f t="shared" si="43"/>
        <v>Psychologist</v>
      </c>
    </row>
    <row r="331" spans="1:23" x14ac:dyDescent="0.25">
      <c r="A331">
        <v>6098</v>
      </c>
      <c r="B331" t="s">
        <v>1302</v>
      </c>
      <c r="C331">
        <v>0.4</v>
      </c>
      <c r="D331" t="s">
        <v>1264</v>
      </c>
      <c r="E331">
        <v>100106</v>
      </c>
      <c r="F331">
        <v>6098</v>
      </c>
      <c r="G331" t="str">
        <f t="shared" si="41"/>
        <v>06098</v>
      </c>
      <c r="H331" t="s">
        <v>329</v>
      </c>
      <c r="I331" t="s">
        <v>1265</v>
      </c>
      <c r="J331" t="s">
        <v>1276</v>
      </c>
      <c r="K331" t="s">
        <v>1277</v>
      </c>
      <c r="L331" t="s">
        <v>1302</v>
      </c>
      <c r="M331" t="s">
        <v>1336</v>
      </c>
      <c r="N331">
        <v>21</v>
      </c>
      <c r="O331" t="str">
        <f t="shared" si="44"/>
        <v>48</v>
      </c>
      <c r="P331">
        <v>48</v>
      </c>
      <c r="R331" t="s">
        <v>1269</v>
      </c>
      <c r="S331">
        <v>0.4</v>
      </c>
      <c r="T331">
        <v>0.1608</v>
      </c>
      <c r="U331">
        <f t="shared" si="45"/>
        <v>6.4000000000000001E-2</v>
      </c>
      <c r="V331" t="str">
        <f t="shared" si="42"/>
        <v>Elementary Physical Therapist</v>
      </c>
      <c r="W331" t="str">
        <f t="shared" si="43"/>
        <v>Physical Therapist</v>
      </c>
    </row>
    <row r="332" spans="1:23" x14ac:dyDescent="0.25">
      <c r="A332">
        <v>6101</v>
      </c>
      <c r="B332" t="s">
        <v>1308</v>
      </c>
      <c r="C332">
        <v>1.7949999999999999</v>
      </c>
      <c r="D332" t="s">
        <v>1264</v>
      </c>
      <c r="E332">
        <v>100122</v>
      </c>
      <c r="F332">
        <v>6101</v>
      </c>
      <c r="G332" t="str">
        <f t="shared" si="41"/>
        <v>06101</v>
      </c>
      <c r="H332" t="s">
        <v>330</v>
      </c>
      <c r="I332" t="s">
        <v>1265</v>
      </c>
      <c r="J332" t="s">
        <v>1276</v>
      </c>
      <c r="K332" t="s">
        <v>1277</v>
      </c>
      <c r="L332" t="s">
        <v>1308</v>
      </c>
      <c r="M332" t="s">
        <v>1389</v>
      </c>
      <c r="N332">
        <v>1</v>
      </c>
      <c r="O332" t="str">
        <f t="shared" si="44"/>
        <v>25</v>
      </c>
      <c r="Q332">
        <v>25</v>
      </c>
      <c r="R332" t="s">
        <v>1269</v>
      </c>
      <c r="S332">
        <v>1.7949999999999999</v>
      </c>
      <c r="T332">
        <v>0.2359</v>
      </c>
      <c r="U332">
        <f t="shared" si="45"/>
        <v>0</v>
      </c>
      <c r="V332" t="str">
        <f t="shared" si="42"/>
        <v>Elementary Pupil Management</v>
      </c>
      <c r="W332" t="str">
        <f t="shared" si="43"/>
        <v>Pupil Management</v>
      </c>
    </row>
    <row r="333" spans="1:23" x14ac:dyDescent="0.25">
      <c r="A333">
        <v>6101</v>
      </c>
      <c r="B333" t="s">
        <v>1299</v>
      </c>
      <c r="C333">
        <v>1.9E-2</v>
      </c>
      <c r="D333" t="s">
        <v>1264</v>
      </c>
      <c r="E333">
        <v>100122</v>
      </c>
      <c r="F333">
        <v>6101</v>
      </c>
      <c r="G333" t="str">
        <f t="shared" si="41"/>
        <v>06101</v>
      </c>
      <c r="H333" t="s">
        <v>330</v>
      </c>
      <c r="I333" t="s">
        <v>1265</v>
      </c>
      <c r="J333" t="s">
        <v>1271</v>
      </c>
      <c r="K333" t="s">
        <v>1272</v>
      </c>
      <c r="L333" t="s">
        <v>1299</v>
      </c>
      <c r="M333" t="s">
        <v>1300</v>
      </c>
      <c r="N333">
        <v>1</v>
      </c>
      <c r="O333" t="str">
        <f t="shared" si="44"/>
        <v>25</v>
      </c>
      <c r="Q333">
        <v>25</v>
      </c>
      <c r="R333" t="s">
        <v>1269</v>
      </c>
      <c r="S333">
        <v>1.9E-2</v>
      </c>
      <c r="T333">
        <v>0.2359</v>
      </c>
      <c r="U333">
        <f t="shared" si="45"/>
        <v>0</v>
      </c>
      <c r="V333" t="str">
        <f t="shared" si="42"/>
        <v>High Pupil Management</v>
      </c>
      <c r="W333" t="str">
        <f t="shared" si="43"/>
        <v>Pupil Management</v>
      </c>
    </row>
    <row r="334" spans="1:23" x14ac:dyDescent="0.25">
      <c r="A334">
        <v>6101</v>
      </c>
      <c r="B334" t="s">
        <v>1363</v>
      </c>
      <c r="C334">
        <v>0.105</v>
      </c>
      <c r="D334" t="s">
        <v>1264</v>
      </c>
      <c r="E334">
        <v>100122</v>
      </c>
      <c r="F334">
        <v>6101</v>
      </c>
      <c r="G334" t="str">
        <f t="shared" si="41"/>
        <v>06101</v>
      </c>
      <c r="H334" t="s">
        <v>330</v>
      </c>
      <c r="I334" t="s">
        <v>1265</v>
      </c>
      <c r="J334" t="s">
        <v>1266</v>
      </c>
      <c r="K334" t="s">
        <v>1267</v>
      </c>
      <c r="L334" t="s">
        <v>1363</v>
      </c>
      <c r="M334" t="s">
        <v>1386</v>
      </c>
      <c r="N334">
        <v>1</v>
      </c>
      <c r="O334" t="str">
        <f t="shared" si="44"/>
        <v>25</v>
      </c>
      <c r="Q334">
        <v>25</v>
      </c>
      <c r="R334" t="s">
        <v>1269</v>
      </c>
      <c r="S334">
        <v>0.105</v>
      </c>
      <c r="T334">
        <v>0.2359</v>
      </c>
      <c r="U334">
        <f t="shared" si="45"/>
        <v>0</v>
      </c>
      <c r="V334" t="str">
        <f t="shared" si="42"/>
        <v>Middle Pupil Management</v>
      </c>
      <c r="W334" t="str">
        <f t="shared" si="43"/>
        <v>Pupil Management</v>
      </c>
    </row>
    <row r="335" spans="1:23" x14ac:dyDescent="0.25">
      <c r="A335">
        <v>6101</v>
      </c>
      <c r="B335" t="s">
        <v>1315</v>
      </c>
      <c r="C335">
        <v>0.69899999999999995</v>
      </c>
      <c r="D335" t="s">
        <v>1264</v>
      </c>
      <c r="E335">
        <v>100122</v>
      </c>
      <c r="F335">
        <v>6101</v>
      </c>
      <c r="G335" t="str">
        <f t="shared" si="41"/>
        <v>06101</v>
      </c>
      <c r="H335" t="s">
        <v>330</v>
      </c>
      <c r="I335" t="s">
        <v>1265</v>
      </c>
      <c r="J335" t="s">
        <v>1276</v>
      </c>
      <c r="K335" t="s">
        <v>1277</v>
      </c>
      <c r="L335" t="s">
        <v>1315</v>
      </c>
      <c r="M335" t="s">
        <v>1375</v>
      </c>
      <c r="N335">
        <v>1</v>
      </c>
      <c r="O335" t="str">
        <f t="shared" si="44"/>
        <v>26</v>
      </c>
      <c r="Q335">
        <v>26</v>
      </c>
      <c r="R335" t="s">
        <v>1269</v>
      </c>
      <c r="S335">
        <v>0.69899999999999995</v>
      </c>
      <c r="T335">
        <v>0.2359</v>
      </c>
      <c r="U335">
        <f t="shared" si="45"/>
        <v>0</v>
      </c>
      <c r="V335" t="str">
        <f t="shared" si="42"/>
        <v>Elementary Health/
Related Services</v>
      </c>
      <c r="W335" t="str">
        <f t="shared" si="43"/>
        <v>Health/
Related Services</v>
      </c>
    </row>
    <row r="336" spans="1:23" x14ac:dyDescent="0.25">
      <c r="A336">
        <v>6101</v>
      </c>
      <c r="B336" t="s">
        <v>1275</v>
      </c>
      <c r="C336">
        <v>2.33</v>
      </c>
      <c r="D336" t="s">
        <v>1264</v>
      </c>
      <c r="E336">
        <v>100122</v>
      </c>
      <c r="F336">
        <v>6101</v>
      </c>
      <c r="G336" t="str">
        <f t="shared" si="41"/>
        <v>06101</v>
      </c>
      <c r="H336" t="s">
        <v>330</v>
      </c>
      <c r="I336" t="s">
        <v>1265</v>
      </c>
      <c r="J336" t="s">
        <v>1276</v>
      </c>
      <c r="K336" t="s">
        <v>1277</v>
      </c>
      <c r="L336" t="s">
        <v>1275</v>
      </c>
      <c r="M336" t="s">
        <v>1278</v>
      </c>
      <c r="N336">
        <v>1</v>
      </c>
      <c r="O336" t="str">
        <f t="shared" si="44"/>
        <v>42</v>
      </c>
      <c r="P336">
        <v>42</v>
      </c>
      <c r="R336" t="s">
        <v>1269</v>
      </c>
      <c r="S336">
        <v>2.33</v>
      </c>
      <c r="T336">
        <v>0.2359</v>
      </c>
      <c r="U336">
        <f t="shared" si="45"/>
        <v>0</v>
      </c>
      <c r="V336" t="str">
        <f t="shared" si="42"/>
        <v>Elementary Counselor</v>
      </c>
      <c r="W336" t="str">
        <f t="shared" si="43"/>
        <v>Counselor</v>
      </c>
    </row>
    <row r="337" spans="1:23" x14ac:dyDescent="0.25">
      <c r="A337">
        <v>6101</v>
      </c>
      <c r="B337" t="s">
        <v>1270</v>
      </c>
      <c r="C337">
        <v>1.66</v>
      </c>
      <c r="D337" t="s">
        <v>1264</v>
      </c>
      <c r="E337">
        <v>100122</v>
      </c>
      <c r="F337">
        <v>6101</v>
      </c>
      <c r="G337" t="str">
        <f t="shared" si="41"/>
        <v>06101</v>
      </c>
      <c r="H337" t="s">
        <v>330</v>
      </c>
      <c r="I337" t="s">
        <v>1265</v>
      </c>
      <c r="J337" t="s">
        <v>1271</v>
      </c>
      <c r="K337" t="s">
        <v>1272</v>
      </c>
      <c r="L337" t="s">
        <v>1270</v>
      </c>
      <c r="M337" t="s">
        <v>1273</v>
      </c>
      <c r="N337">
        <v>1</v>
      </c>
      <c r="O337" t="str">
        <f t="shared" si="44"/>
        <v>42</v>
      </c>
      <c r="P337">
        <v>42</v>
      </c>
      <c r="R337" t="s">
        <v>1269</v>
      </c>
      <c r="S337">
        <v>1.66</v>
      </c>
      <c r="T337">
        <v>0.2359</v>
      </c>
      <c r="U337">
        <f t="shared" si="45"/>
        <v>0</v>
      </c>
      <c r="V337" t="str">
        <f t="shared" si="42"/>
        <v>High Counselor</v>
      </c>
      <c r="W337" t="str">
        <f t="shared" si="43"/>
        <v>Counselor</v>
      </c>
    </row>
    <row r="338" spans="1:23" x14ac:dyDescent="0.25">
      <c r="A338">
        <v>6101</v>
      </c>
      <c r="B338" t="s">
        <v>1263</v>
      </c>
      <c r="C338">
        <v>0.56999999999999995</v>
      </c>
      <c r="D338" t="s">
        <v>1264</v>
      </c>
      <c r="E338">
        <v>100122</v>
      </c>
      <c r="F338">
        <v>6101</v>
      </c>
      <c r="G338" t="str">
        <f t="shared" si="41"/>
        <v>06101</v>
      </c>
      <c r="H338" t="s">
        <v>330</v>
      </c>
      <c r="I338" t="s">
        <v>1265</v>
      </c>
      <c r="J338" t="s">
        <v>1266</v>
      </c>
      <c r="K338" t="s">
        <v>1267</v>
      </c>
      <c r="L338" t="s">
        <v>1263</v>
      </c>
      <c r="M338" t="s">
        <v>1268</v>
      </c>
      <c r="N338">
        <v>1</v>
      </c>
      <c r="O338" t="str">
        <f t="shared" si="44"/>
        <v>42</v>
      </c>
      <c r="P338">
        <v>42</v>
      </c>
      <c r="R338" t="s">
        <v>1269</v>
      </c>
      <c r="S338">
        <v>0.56999999999999995</v>
      </c>
      <c r="T338">
        <v>0.2359</v>
      </c>
      <c r="U338">
        <f t="shared" si="45"/>
        <v>0</v>
      </c>
      <c r="V338" t="str">
        <f t="shared" si="42"/>
        <v>Middle Counselor</v>
      </c>
      <c r="W338" t="str">
        <f t="shared" si="43"/>
        <v>Counselor</v>
      </c>
    </row>
    <row r="339" spans="1:23" x14ac:dyDescent="0.25">
      <c r="A339">
        <v>6101</v>
      </c>
      <c r="B339" t="s">
        <v>1294</v>
      </c>
      <c r="C339">
        <v>2.59</v>
      </c>
      <c r="D339" t="s">
        <v>1264</v>
      </c>
      <c r="E339">
        <v>100122</v>
      </c>
      <c r="F339">
        <v>6101</v>
      </c>
      <c r="G339" t="str">
        <f t="shared" si="41"/>
        <v>06101</v>
      </c>
      <c r="H339" t="s">
        <v>330</v>
      </c>
      <c r="I339" t="s">
        <v>1265</v>
      </c>
      <c r="J339" t="s">
        <v>1276</v>
      </c>
      <c r="K339" t="s">
        <v>1277</v>
      </c>
      <c r="L339" t="s">
        <v>1294</v>
      </c>
      <c r="M339" t="s">
        <v>1354</v>
      </c>
      <c r="N339">
        <v>21</v>
      </c>
      <c r="O339" t="str">
        <f t="shared" si="44"/>
        <v>45</v>
      </c>
      <c r="P339">
        <v>45</v>
      </c>
      <c r="R339" t="s">
        <v>1269</v>
      </c>
      <c r="S339">
        <v>2.59</v>
      </c>
      <c r="T339">
        <v>0.2359</v>
      </c>
      <c r="U339">
        <f t="shared" si="45"/>
        <v>0.61099999999999999</v>
      </c>
      <c r="V339" t="str">
        <f t="shared" si="42"/>
        <v>Elementary Speech, Language Pathway/
Audio</v>
      </c>
      <c r="W339" t="str">
        <f t="shared" si="43"/>
        <v>Speech, Language Pathway/
Audio</v>
      </c>
    </row>
    <row r="340" spans="1:23" x14ac:dyDescent="0.25">
      <c r="A340">
        <v>6101</v>
      </c>
      <c r="B340" t="s">
        <v>1326</v>
      </c>
      <c r="C340">
        <v>0.22</v>
      </c>
      <c r="D340" t="s">
        <v>1264</v>
      </c>
      <c r="E340">
        <v>100122</v>
      </c>
      <c r="F340">
        <v>6101</v>
      </c>
      <c r="G340" t="str">
        <f t="shared" si="41"/>
        <v>06101</v>
      </c>
      <c r="H340" t="s">
        <v>330</v>
      </c>
      <c r="I340" t="s">
        <v>1265</v>
      </c>
      <c r="J340" t="s">
        <v>1271</v>
      </c>
      <c r="K340" t="s">
        <v>1272</v>
      </c>
      <c r="L340" t="s">
        <v>1326</v>
      </c>
      <c r="M340" t="s">
        <v>1353</v>
      </c>
      <c r="N340">
        <v>21</v>
      </c>
      <c r="O340" t="str">
        <f t="shared" si="44"/>
        <v>45</v>
      </c>
      <c r="P340">
        <v>45</v>
      </c>
      <c r="R340" t="s">
        <v>1269</v>
      </c>
      <c r="S340">
        <v>0.22</v>
      </c>
      <c r="T340">
        <v>0.2359</v>
      </c>
      <c r="U340">
        <f t="shared" si="45"/>
        <v>5.1999999999999998E-2</v>
      </c>
      <c r="V340" t="str">
        <f t="shared" si="42"/>
        <v>High Speech, Language Pathway/
Audio</v>
      </c>
      <c r="W340" t="str">
        <f t="shared" si="43"/>
        <v>Speech, Language Pathway/
Audio</v>
      </c>
    </row>
    <row r="341" spans="1:23" x14ac:dyDescent="0.25">
      <c r="A341">
        <v>6101</v>
      </c>
      <c r="B341" t="s">
        <v>1312</v>
      </c>
      <c r="C341">
        <v>0.19</v>
      </c>
      <c r="D341" t="s">
        <v>1264</v>
      </c>
      <c r="E341">
        <v>100122</v>
      </c>
      <c r="F341">
        <v>6101</v>
      </c>
      <c r="G341" t="str">
        <f t="shared" si="41"/>
        <v>06101</v>
      </c>
      <c r="H341" t="s">
        <v>330</v>
      </c>
      <c r="I341" t="s">
        <v>1265</v>
      </c>
      <c r="J341" t="s">
        <v>1266</v>
      </c>
      <c r="K341" t="s">
        <v>1267</v>
      </c>
      <c r="L341" t="s">
        <v>1312</v>
      </c>
      <c r="M341" t="s">
        <v>1351</v>
      </c>
      <c r="N341">
        <v>21</v>
      </c>
      <c r="O341" t="str">
        <f t="shared" si="44"/>
        <v>45</v>
      </c>
      <c r="P341">
        <v>45</v>
      </c>
      <c r="R341" t="s">
        <v>1269</v>
      </c>
      <c r="S341">
        <v>0.19</v>
      </c>
      <c r="T341">
        <v>0.2359</v>
      </c>
      <c r="U341">
        <f t="shared" si="45"/>
        <v>4.4999999999999998E-2</v>
      </c>
      <c r="V341" t="str">
        <f t="shared" si="42"/>
        <v>Middle Speech, Language Pathway/
Audio</v>
      </c>
      <c r="W341" t="str">
        <f t="shared" si="43"/>
        <v>Speech, Language Pathway/
Audio</v>
      </c>
    </row>
    <row r="342" spans="1:23" x14ac:dyDescent="0.25">
      <c r="A342">
        <v>6101</v>
      </c>
      <c r="B342" t="s">
        <v>1306</v>
      </c>
      <c r="C342">
        <v>0.57099999999999995</v>
      </c>
      <c r="D342" t="s">
        <v>1264</v>
      </c>
      <c r="E342">
        <v>100122</v>
      </c>
      <c r="F342">
        <v>6101</v>
      </c>
      <c r="G342" t="str">
        <f t="shared" si="41"/>
        <v>06101</v>
      </c>
      <c r="H342" t="s">
        <v>330</v>
      </c>
      <c r="I342" t="s">
        <v>1265</v>
      </c>
      <c r="J342" t="s">
        <v>1276</v>
      </c>
      <c r="K342" t="s">
        <v>1277</v>
      </c>
      <c r="L342" t="s">
        <v>1306</v>
      </c>
      <c r="M342" t="s">
        <v>1320</v>
      </c>
      <c r="N342">
        <v>21</v>
      </c>
      <c r="O342" t="str">
        <f t="shared" si="44"/>
        <v>64</v>
      </c>
      <c r="P342">
        <v>64</v>
      </c>
      <c r="R342" t="s">
        <v>1269</v>
      </c>
      <c r="S342">
        <v>0.57099999999999995</v>
      </c>
      <c r="T342">
        <v>0.2359</v>
      </c>
      <c r="U342">
        <f t="shared" si="45"/>
        <v>0.13500000000000001</v>
      </c>
      <c r="V342" t="str">
        <f t="shared" si="42"/>
        <v>Elementary Contractor ESA</v>
      </c>
      <c r="W342" t="str">
        <f t="shared" si="43"/>
        <v>Contractor ESA</v>
      </c>
    </row>
    <row r="343" spans="1:23" x14ac:dyDescent="0.25">
      <c r="A343">
        <v>6103</v>
      </c>
      <c r="B343" t="s">
        <v>1299</v>
      </c>
      <c r="C343">
        <v>0.55200000000000005</v>
      </c>
      <c r="D343" t="s">
        <v>1264</v>
      </c>
      <c r="E343">
        <v>100101</v>
      </c>
      <c r="F343">
        <v>6103</v>
      </c>
      <c r="G343" t="str">
        <f t="shared" si="41"/>
        <v>06103</v>
      </c>
      <c r="H343" t="s">
        <v>331</v>
      </c>
      <c r="I343" t="s">
        <v>1265</v>
      </c>
      <c r="J343" t="s">
        <v>1271</v>
      </c>
      <c r="K343" t="s">
        <v>1272</v>
      </c>
      <c r="L343" t="s">
        <v>1299</v>
      </c>
      <c r="M343" t="s">
        <v>1300</v>
      </c>
      <c r="N343">
        <v>1</v>
      </c>
      <c r="O343" t="str">
        <f t="shared" si="44"/>
        <v>25</v>
      </c>
      <c r="Q343">
        <v>25</v>
      </c>
      <c r="R343" t="s">
        <v>1269</v>
      </c>
      <c r="S343">
        <v>0.55200000000000005</v>
      </c>
      <c r="T343">
        <v>0.1913</v>
      </c>
      <c r="U343">
        <f t="shared" si="45"/>
        <v>0</v>
      </c>
      <c r="V343" t="str">
        <f t="shared" si="42"/>
        <v>High Pupil Management</v>
      </c>
      <c r="W343" t="str">
        <f t="shared" si="43"/>
        <v>Pupil Management</v>
      </c>
    </row>
    <row r="344" spans="1:23" x14ac:dyDescent="0.25">
      <c r="A344">
        <v>6103</v>
      </c>
      <c r="B344" t="s">
        <v>1295</v>
      </c>
      <c r="C344">
        <v>0.25</v>
      </c>
      <c r="D344" t="s">
        <v>1264</v>
      </c>
      <c r="E344">
        <v>100101</v>
      </c>
      <c r="F344">
        <v>6103</v>
      </c>
      <c r="G344" t="str">
        <f t="shared" si="41"/>
        <v>06103</v>
      </c>
      <c r="H344" t="s">
        <v>331</v>
      </c>
      <c r="I344" t="s">
        <v>1265</v>
      </c>
      <c r="J344" t="s">
        <v>1271</v>
      </c>
      <c r="K344" t="s">
        <v>1272</v>
      </c>
      <c r="L344" t="s">
        <v>1295</v>
      </c>
      <c r="M344" t="s">
        <v>1296</v>
      </c>
      <c r="N344">
        <v>1</v>
      </c>
      <c r="O344" t="str">
        <f t="shared" si="44"/>
        <v>26</v>
      </c>
      <c r="Q344">
        <v>26</v>
      </c>
      <c r="R344" t="s">
        <v>1269</v>
      </c>
      <c r="S344">
        <v>0.25</v>
      </c>
      <c r="T344">
        <v>0.1913</v>
      </c>
      <c r="U344">
        <f t="shared" si="45"/>
        <v>0</v>
      </c>
      <c r="V344" t="str">
        <f t="shared" si="42"/>
        <v>High Health/
Related Services</v>
      </c>
      <c r="W344" t="str">
        <f t="shared" si="43"/>
        <v>Health/
Related Services</v>
      </c>
    </row>
    <row r="345" spans="1:23" x14ac:dyDescent="0.25">
      <c r="A345">
        <v>6103</v>
      </c>
      <c r="B345" t="s">
        <v>1263</v>
      </c>
      <c r="C345">
        <v>0.34399999999999997</v>
      </c>
      <c r="D345" t="s">
        <v>1264</v>
      </c>
      <c r="E345">
        <v>100101</v>
      </c>
      <c r="F345">
        <v>6103</v>
      </c>
      <c r="G345" t="str">
        <f t="shared" si="41"/>
        <v>06103</v>
      </c>
      <c r="H345" t="s">
        <v>331</v>
      </c>
      <c r="I345" t="s">
        <v>1265</v>
      </c>
      <c r="J345" t="s">
        <v>1266</v>
      </c>
      <c r="K345" t="s">
        <v>1267</v>
      </c>
      <c r="L345" t="s">
        <v>1263</v>
      </c>
      <c r="M345" t="s">
        <v>1268</v>
      </c>
      <c r="N345">
        <v>1</v>
      </c>
      <c r="O345" t="str">
        <f t="shared" si="44"/>
        <v>42</v>
      </c>
      <c r="P345">
        <v>42</v>
      </c>
      <c r="R345" t="s">
        <v>1269</v>
      </c>
      <c r="S345">
        <v>0.34399999999999997</v>
      </c>
      <c r="T345">
        <v>0.1913</v>
      </c>
      <c r="U345">
        <f t="shared" si="45"/>
        <v>0</v>
      </c>
      <c r="V345" t="str">
        <f t="shared" si="42"/>
        <v>Middle Counselor</v>
      </c>
      <c r="W345" t="str">
        <f t="shared" si="43"/>
        <v>Counselor</v>
      </c>
    </row>
    <row r="346" spans="1:23" x14ac:dyDescent="0.25">
      <c r="A346">
        <v>6112</v>
      </c>
      <c r="B346" t="s">
        <v>1297</v>
      </c>
      <c r="C346">
        <v>0.61399999999999999</v>
      </c>
      <c r="D346" t="s">
        <v>1264</v>
      </c>
      <c r="E346">
        <v>100286</v>
      </c>
      <c r="F346">
        <v>6112</v>
      </c>
      <c r="G346" t="str">
        <f t="shared" si="41"/>
        <v>06112</v>
      </c>
      <c r="H346" t="s">
        <v>332</v>
      </c>
      <c r="I346" t="s">
        <v>1265</v>
      </c>
      <c r="J346" t="s">
        <v>1276</v>
      </c>
      <c r="K346" t="s">
        <v>1277</v>
      </c>
      <c r="L346" t="s">
        <v>1297</v>
      </c>
      <c r="M346" t="s">
        <v>1381</v>
      </c>
      <c r="N346">
        <v>1</v>
      </c>
      <c r="O346" t="str">
        <f t="shared" si="44"/>
        <v>24</v>
      </c>
      <c r="P346">
        <v>96</v>
      </c>
      <c r="Q346">
        <v>24</v>
      </c>
      <c r="R346" t="s">
        <v>1269</v>
      </c>
      <c r="S346">
        <v>0.61399999999999999</v>
      </c>
      <c r="T346">
        <v>0.2361</v>
      </c>
      <c r="U346">
        <f t="shared" si="45"/>
        <v>0</v>
      </c>
      <c r="V346" t="str">
        <f t="shared" si="42"/>
        <v>Elementary Family Engagement Coordinator</v>
      </c>
      <c r="W346" t="str">
        <f t="shared" si="43"/>
        <v>Family Engagement Coordinator</v>
      </c>
    </row>
    <row r="347" spans="1:23" x14ac:dyDescent="0.25">
      <c r="A347">
        <v>6112</v>
      </c>
      <c r="B347" t="s">
        <v>1286</v>
      </c>
      <c r="C347">
        <v>0.53700000000000003</v>
      </c>
      <c r="D347" t="s">
        <v>1264</v>
      </c>
      <c r="E347">
        <v>100286</v>
      </c>
      <c r="F347">
        <v>6112</v>
      </c>
      <c r="G347" t="str">
        <f t="shared" si="41"/>
        <v>06112</v>
      </c>
      <c r="H347" t="s">
        <v>332</v>
      </c>
      <c r="I347" t="s">
        <v>1265</v>
      </c>
      <c r="J347" t="s">
        <v>1271</v>
      </c>
      <c r="K347" t="s">
        <v>1272</v>
      </c>
      <c r="L347" t="s">
        <v>1286</v>
      </c>
      <c r="M347" t="s">
        <v>1287</v>
      </c>
      <c r="N347">
        <v>1</v>
      </c>
      <c r="O347" t="str">
        <f t="shared" si="44"/>
        <v>24</v>
      </c>
      <c r="P347">
        <v>96</v>
      </c>
      <c r="Q347">
        <v>24</v>
      </c>
      <c r="R347" t="s">
        <v>1269</v>
      </c>
      <c r="S347">
        <v>0.53700000000000003</v>
      </c>
      <c r="T347">
        <v>0.2361</v>
      </c>
      <c r="U347">
        <f t="shared" si="45"/>
        <v>0</v>
      </c>
      <c r="V347" t="str">
        <f t="shared" si="42"/>
        <v>High Family Engagement Coordinator</v>
      </c>
      <c r="W347" t="str">
        <f t="shared" si="43"/>
        <v>Family Engagement Coordinator</v>
      </c>
    </row>
    <row r="348" spans="1:23" x14ac:dyDescent="0.25">
      <c r="A348">
        <v>6112</v>
      </c>
      <c r="B348" t="s">
        <v>1284</v>
      </c>
      <c r="C348">
        <v>0.20799999999999999</v>
      </c>
      <c r="D348" t="s">
        <v>1264</v>
      </c>
      <c r="E348">
        <v>100286</v>
      </c>
      <c r="F348">
        <v>6112</v>
      </c>
      <c r="G348" t="str">
        <f t="shared" si="41"/>
        <v>06112</v>
      </c>
      <c r="H348" t="s">
        <v>332</v>
      </c>
      <c r="I348" t="s">
        <v>1265</v>
      </c>
      <c r="J348" t="s">
        <v>1266</v>
      </c>
      <c r="K348" t="s">
        <v>1267</v>
      </c>
      <c r="L348" t="s">
        <v>1284</v>
      </c>
      <c r="M348" t="s">
        <v>1285</v>
      </c>
      <c r="N348">
        <v>1</v>
      </c>
      <c r="O348" t="str">
        <f t="shared" si="44"/>
        <v>24</v>
      </c>
      <c r="P348">
        <v>96</v>
      </c>
      <c r="Q348">
        <v>24</v>
      </c>
      <c r="R348" t="s">
        <v>1269</v>
      </c>
      <c r="S348">
        <v>0.20799999999999999</v>
      </c>
      <c r="T348">
        <v>0.2361</v>
      </c>
      <c r="U348">
        <f t="shared" si="45"/>
        <v>0</v>
      </c>
      <c r="V348" t="str">
        <f t="shared" si="42"/>
        <v>Middle Family Engagement Coordinator</v>
      </c>
      <c r="W348" t="str">
        <f t="shared" si="43"/>
        <v>Family Engagement Coordinator</v>
      </c>
    </row>
    <row r="349" spans="1:23" x14ac:dyDescent="0.25">
      <c r="A349">
        <v>6112</v>
      </c>
      <c r="B349" t="s">
        <v>1308</v>
      </c>
      <c r="C349">
        <v>2.9620000000000002</v>
      </c>
      <c r="D349" t="s">
        <v>1264</v>
      </c>
      <c r="E349">
        <v>100286</v>
      </c>
      <c r="F349">
        <v>6112</v>
      </c>
      <c r="G349" t="str">
        <f t="shared" si="41"/>
        <v>06112</v>
      </c>
      <c r="H349" t="s">
        <v>332</v>
      </c>
      <c r="I349" t="s">
        <v>1265</v>
      </c>
      <c r="J349" t="s">
        <v>1276</v>
      </c>
      <c r="K349" t="s">
        <v>1277</v>
      </c>
      <c r="L349" t="s">
        <v>1308</v>
      </c>
      <c r="M349" t="s">
        <v>1389</v>
      </c>
      <c r="N349">
        <v>1</v>
      </c>
      <c r="O349" t="str">
        <f t="shared" si="44"/>
        <v>25</v>
      </c>
      <c r="Q349">
        <v>25</v>
      </c>
      <c r="R349" t="s">
        <v>1269</v>
      </c>
      <c r="S349">
        <v>2.9620000000000002</v>
      </c>
      <c r="T349">
        <v>0.2361</v>
      </c>
      <c r="U349">
        <f t="shared" si="45"/>
        <v>0</v>
      </c>
      <c r="V349" t="str">
        <f t="shared" si="42"/>
        <v>Elementary Pupil Management</v>
      </c>
      <c r="W349" t="str">
        <f t="shared" si="43"/>
        <v>Pupil Management</v>
      </c>
    </row>
    <row r="350" spans="1:23" x14ac:dyDescent="0.25">
      <c r="A350">
        <v>6112</v>
      </c>
      <c r="B350" t="s">
        <v>1299</v>
      </c>
      <c r="C350">
        <v>0.76700000000000002</v>
      </c>
      <c r="D350" t="s">
        <v>1264</v>
      </c>
      <c r="E350">
        <v>100286</v>
      </c>
      <c r="F350">
        <v>6112</v>
      </c>
      <c r="G350" t="str">
        <f t="shared" si="41"/>
        <v>06112</v>
      </c>
      <c r="H350" t="s">
        <v>332</v>
      </c>
      <c r="I350" t="s">
        <v>1265</v>
      </c>
      <c r="J350" t="s">
        <v>1271</v>
      </c>
      <c r="K350" t="s">
        <v>1272</v>
      </c>
      <c r="L350" t="s">
        <v>1299</v>
      </c>
      <c r="M350" t="s">
        <v>1300</v>
      </c>
      <c r="N350">
        <v>1</v>
      </c>
      <c r="O350" t="str">
        <f t="shared" si="44"/>
        <v>25</v>
      </c>
      <c r="Q350">
        <v>25</v>
      </c>
      <c r="R350" t="s">
        <v>1269</v>
      </c>
      <c r="S350">
        <v>0.76700000000000002</v>
      </c>
      <c r="T350">
        <v>0.2361</v>
      </c>
      <c r="U350">
        <f t="shared" si="45"/>
        <v>0</v>
      </c>
      <c r="V350" t="str">
        <f t="shared" si="42"/>
        <v>High Pupil Management</v>
      </c>
      <c r="W350" t="str">
        <f t="shared" si="43"/>
        <v>Pupil Management</v>
      </c>
    </row>
    <row r="351" spans="1:23" x14ac:dyDescent="0.25">
      <c r="A351">
        <v>6112</v>
      </c>
      <c r="B351" t="s">
        <v>1363</v>
      </c>
      <c r="C351">
        <v>0.215</v>
      </c>
      <c r="D351" t="s">
        <v>1264</v>
      </c>
      <c r="E351">
        <v>100286</v>
      </c>
      <c r="F351">
        <v>6112</v>
      </c>
      <c r="G351" t="str">
        <f t="shared" si="41"/>
        <v>06112</v>
      </c>
      <c r="H351" t="s">
        <v>332</v>
      </c>
      <c r="I351" t="s">
        <v>1265</v>
      </c>
      <c r="J351" t="s">
        <v>1266</v>
      </c>
      <c r="K351" t="s">
        <v>1267</v>
      </c>
      <c r="L351" t="s">
        <v>1363</v>
      </c>
      <c r="M351" t="s">
        <v>1386</v>
      </c>
      <c r="N351">
        <v>1</v>
      </c>
      <c r="O351" t="str">
        <f t="shared" si="44"/>
        <v>25</v>
      </c>
      <c r="Q351">
        <v>25</v>
      </c>
      <c r="R351" t="s">
        <v>1269</v>
      </c>
      <c r="S351">
        <v>0.215</v>
      </c>
      <c r="T351">
        <v>0.2361</v>
      </c>
      <c r="U351">
        <f t="shared" si="45"/>
        <v>0</v>
      </c>
      <c r="V351" t="str">
        <f t="shared" si="42"/>
        <v>Middle Pupil Management</v>
      </c>
      <c r="W351" t="str">
        <f t="shared" si="43"/>
        <v>Pupil Management</v>
      </c>
    </row>
    <row r="352" spans="1:23" x14ac:dyDescent="0.25">
      <c r="A352">
        <v>6112</v>
      </c>
      <c r="B352" t="s">
        <v>1401</v>
      </c>
      <c r="C352">
        <v>1.3340000000000001</v>
      </c>
      <c r="D352" t="s">
        <v>1264</v>
      </c>
      <c r="E352">
        <v>100286</v>
      </c>
      <c r="F352">
        <v>6112</v>
      </c>
      <c r="G352" t="str">
        <f t="shared" si="41"/>
        <v>06112</v>
      </c>
      <c r="H352" t="s">
        <v>332</v>
      </c>
      <c r="I352" t="s">
        <v>1265</v>
      </c>
      <c r="J352" t="s">
        <v>1271</v>
      </c>
      <c r="K352" t="s">
        <v>1272</v>
      </c>
      <c r="L352" t="s">
        <v>1401</v>
      </c>
      <c r="M352" t="s">
        <v>1422</v>
      </c>
      <c r="N352">
        <v>1</v>
      </c>
      <c r="O352" t="str">
        <f t="shared" si="44"/>
        <v>35</v>
      </c>
      <c r="Q352">
        <v>35</v>
      </c>
      <c r="R352" t="s">
        <v>1269</v>
      </c>
      <c r="S352">
        <v>1.3340000000000001</v>
      </c>
      <c r="T352">
        <v>0.2361</v>
      </c>
      <c r="U352">
        <f t="shared" si="45"/>
        <v>0</v>
      </c>
      <c r="V352" t="str">
        <f t="shared" si="42"/>
        <v>High Pupil Safety</v>
      </c>
      <c r="W352" t="str">
        <f t="shared" si="43"/>
        <v>Pupil Safety</v>
      </c>
    </row>
    <row r="353" spans="1:23" x14ac:dyDescent="0.25">
      <c r="A353">
        <v>6112</v>
      </c>
      <c r="B353" t="s">
        <v>1275</v>
      </c>
      <c r="C353">
        <v>3.9409999999999998</v>
      </c>
      <c r="D353" t="s">
        <v>1264</v>
      </c>
      <c r="E353">
        <v>100286</v>
      </c>
      <c r="F353">
        <v>6112</v>
      </c>
      <c r="G353" t="str">
        <f t="shared" si="41"/>
        <v>06112</v>
      </c>
      <c r="H353" t="s">
        <v>332</v>
      </c>
      <c r="I353" t="s">
        <v>1265</v>
      </c>
      <c r="J353" t="s">
        <v>1276</v>
      </c>
      <c r="K353" t="s">
        <v>1277</v>
      </c>
      <c r="L353" t="s">
        <v>1275</v>
      </c>
      <c r="M353" t="s">
        <v>1278</v>
      </c>
      <c r="N353">
        <v>1</v>
      </c>
      <c r="O353" t="str">
        <f t="shared" si="44"/>
        <v>42</v>
      </c>
      <c r="P353">
        <v>42</v>
      </c>
      <c r="R353" t="s">
        <v>1269</v>
      </c>
      <c r="S353">
        <v>3.9409999999999998</v>
      </c>
      <c r="T353">
        <v>0.2361</v>
      </c>
      <c r="U353">
        <f t="shared" si="45"/>
        <v>0</v>
      </c>
      <c r="V353" t="str">
        <f t="shared" si="42"/>
        <v>Elementary Counselor</v>
      </c>
      <c r="W353" t="str">
        <f t="shared" si="43"/>
        <v>Counselor</v>
      </c>
    </row>
    <row r="354" spans="1:23" x14ac:dyDescent="0.25">
      <c r="A354">
        <v>6112</v>
      </c>
      <c r="B354" t="s">
        <v>1270</v>
      </c>
      <c r="C354">
        <v>2.2719999999999998</v>
      </c>
      <c r="D354" t="s">
        <v>1264</v>
      </c>
      <c r="E354">
        <v>100286</v>
      </c>
      <c r="F354">
        <v>6112</v>
      </c>
      <c r="G354" t="str">
        <f t="shared" si="41"/>
        <v>06112</v>
      </c>
      <c r="H354" t="s">
        <v>332</v>
      </c>
      <c r="I354" t="s">
        <v>1265</v>
      </c>
      <c r="J354" t="s">
        <v>1271</v>
      </c>
      <c r="K354" t="s">
        <v>1272</v>
      </c>
      <c r="L354" t="s">
        <v>1270</v>
      </c>
      <c r="M354" t="s">
        <v>1273</v>
      </c>
      <c r="N354">
        <v>1</v>
      </c>
      <c r="O354" t="str">
        <f t="shared" si="44"/>
        <v>42</v>
      </c>
      <c r="P354">
        <v>42</v>
      </c>
      <c r="R354" t="s">
        <v>1269</v>
      </c>
      <c r="S354">
        <v>2.2719999999999998</v>
      </c>
      <c r="T354">
        <v>0.2361</v>
      </c>
      <c r="U354">
        <f t="shared" si="45"/>
        <v>0</v>
      </c>
      <c r="V354" t="str">
        <f t="shared" si="42"/>
        <v>High Counselor</v>
      </c>
      <c r="W354" t="str">
        <f t="shared" si="43"/>
        <v>Counselor</v>
      </c>
    </row>
    <row r="355" spans="1:23" x14ac:dyDescent="0.25">
      <c r="A355">
        <v>6112</v>
      </c>
      <c r="B355" t="s">
        <v>1263</v>
      </c>
      <c r="C355">
        <v>1.0369999999999999</v>
      </c>
      <c r="D355" t="s">
        <v>1264</v>
      </c>
      <c r="E355">
        <v>100286</v>
      </c>
      <c r="F355">
        <v>6112</v>
      </c>
      <c r="G355" t="str">
        <f t="shared" si="41"/>
        <v>06112</v>
      </c>
      <c r="H355" t="s">
        <v>332</v>
      </c>
      <c r="I355" t="s">
        <v>1265</v>
      </c>
      <c r="J355" t="s">
        <v>1266</v>
      </c>
      <c r="K355" t="s">
        <v>1267</v>
      </c>
      <c r="L355" t="s">
        <v>1263</v>
      </c>
      <c r="M355" t="s">
        <v>1268</v>
      </c>
      <c r="N355">
        <v>1</v>
      </c>
      <c r="O355" t="str">
        <f t="shared" si="44"/>
        <v>42</v>
      </c>
      <c r="P355">
        <v>42</v>
      </c>
      <c r="R355" t="s">
        <v>1269</v>
      </c>
      <c r="S355">
        <v>1.0369999999999999</v>
      </c>
      <c r="T355">
        <v>0.2361</v>
      </c>
      <c r="U355">
        <f t="shared" si="45"/>
        <v>0</v>
      </c>
      <c r="V355" t="str">
        <f t="shared" si="42"/>
        <v>Middle Counselor</v>
      </c>
      <c r="W355" t="str">
        <f t="shared" si="43"/>
        <v>Counselor</v>
      </c>
    </row>
    <row r="356" spans="1:23" x14ac:dyDescent="0.25">
      <c r="A356">
        <v>6112</v>
      </c>
      <c r="B356" t="s">
        <v>1289</v>
      </c>
      <c r="C356">
        <v>0.92</v>
      </c>
      <c r="D356" t="s">
        <v>1264</v>
      </c>
      <c r="E356">
        <v>100286</v>
      </c>
      <c r="F356">
        <v>6112</v>
      </c>
      <c r="G356" t="str">
        <f t="shared" si="41"/>
        <v>06112</v>
      </c>
      <c r="H356" t="s">
        <v>332</v>
      </c>
      <c r="I356" t="s">
        <v>1265</v>
      </c>
      <c r="J356" t="s">
        <v>1276</v>
      </c>
      <c r="K356" t="s">
        <v>1277</v>
      </c>
      <c r="L356" t="s">
        <v>1289</v>
      </c>
      <c r="M356" t="s">
        <v>1307</v>
      </c>
      <c r="N356">
        <v>21</v>
      </c>
      <c r="O356" t="str">
        <f t="shared" si="44"/>
        <v>43</v>
      </c>
      <c r="P356">
        <v>43</v>
      </c>
      <c r="R356" t="s">
        <v>1269</v>
      </c>
      <c r="S356">
        <v>0.92</v>
      </c>
      <c r="T356">
        <v>0.2361</v>
      </c>
      <c r="U356">
        <f t="shared" si="45"/>
        <v>0.217</v>
      </c>
      <c r="V356" t="str">
        <f t="shared" si="42"/>
        <v>Elementary Occupational Therapist</v>
      </c>
      <c r="W356" t="str">
        <f t="shared" si="43"/>
        <v>Occupational Therapist</v>
      </c>
    </row>
    <row r="357" spans="1:23" x14ac:dyDescent="0.25">
      <c r="A357">
        <v>6112</v>
      </c>
      <c r="B357" t="s">
        <v>1387</v>
      </c>
      <c r="C357">
        <v>0.48</v>
      </c>
      <c r="D357" t="s">
        <v>1264</v>
      </c>
      <c r="E357">
        <v>100286</v>
      </c>
      <c r="F357">
        <v>6112</v>
      </c>
      <c r="G357" t="str">
        <f t="shared" si="41"/>
        <v>06112</v>
      </c>
      <c r="H357" t="s">
        <v>332</v>
      </c>
      <c r="I357" t="s">
        <v>1265</v>
      </c>
      <c r="J357" t="s">
        <v>1271</v>
      </c>
      <c r="K357" t="s">
        <v>1272</v>
      </c>
      <c r="L357" t="s">
        <v>1387</v>
      </c>
      <c r="M357" t="s">
        <v>1406</v>
      </c>
      <c r="N357">
        <v>21</v>
      </c>
      <c r="O357" t="str">
        <f t="shared" si="44"/>
        <v>43</v>
      </c>
      <c r="P357">
        <v>43</v>
      </c>
      <c r="R357" t="s">
        <v>1269</v>
      </c>
      <c r="S357">
        <v>0.48</v>
      </c>
      <c r="T357">
        <v>0.2361</v>
      </c>
      <c r="U357">
        <f t="shared" si="45"/>
        <v>0.113</v>
      </c>
      <c r="V357" t="str">
        <f t="shared" si="42"/>
        <v>High Occupational Therapist</v>
      </c>
      <c r="W357" t="str">
        <f t="shared" si="43"/>
        <v>Occupational Therapist</v>
      </c>
    </row>
    <row r="358" spans="1:23" x14ac:dyDescent="0.25">
      <c r="A358">
        <v>6112</v>
      </c>
      <c r="B358" t="s">
        <v>1294</v>
      </c>
      <c r="C358">
        <v>3.9140000000000001</v>
      </c>
      <c r="D358" t="s">
        <v>1264</v>
      </c>
      <c r="E358">
        <v>100286</v>
      </c>
      <c r="F358">
        <v>6112</v>
      </c>
      <c r="G358" t="str">
        <f t="shared" si="41"/>
        <v>06112</v>
      </c>
      <c r="H358" t="s">
        <v>332</v>
      </c>
      <c r="I358" t="s">
        <v>1265</v>
      </c>
      <c r="J358" t="s">
        <v>1276</v>
      </c>
      <c r="K358" t="s">
        <v>1277</v>
      </c>
      <c r="L358" t="s">
        <v>1294</v>
      </c>
      <c r="M358" t="s">
        <v>1354</v>
      </c>
      <c r="N358">
        <v>21</v>
      </c>
      <c r="O358" t="str">
        <f t="shared" si="44"/>
        <v>45</v>
      </c>
      <c r="P358">
        <v>45</v>
      </c>
      <c r="R358" t="s">
        <v>1269</v>
      </c>
      <c r="S358">
        <v>3.9140000000000001</v>
      </c>
      <c r="T358">
        <v>0.2361</v>
      </c>
      <c r="U358">
        <f t="shared" si="45"/>
        <v>0.92400000000000004</v>
      </c>
      <c r="V358" t="str">
        <f t="shared" si="42"/>
        <v>Elementary Speech, Language Pathway/
Audio</v>
      </c>
      <c r="W358" t="str">
        <f t="shared" si="43"/>
        <v>Speech, Language Pathway/
Audio</v>
      </c>
    </row>
    <row r="359" spans="1:23" x14ac:dyDescent="0.25">
      <c r="A359">
        <v>6112</v>
      </c>
      <c r="B359" t="s">
        <v>1326</v>
      </c>
      <c r="C359">
        <v>1</v>
      </c>
      <c r="D359" t="s">
        <v>1264</v>
      </c>
      <c r="E359">
        <v>100286</v>
      </c>
      <c r="F359">
        <v>6112</v>
      </c>
      <c r="G359" t="str">
        <f t="shared" si="41"/>
        <v>06112</v>
      </c>
      <c r="H359" t="s">
        <v>332</v>
      </c>
      <c r="I359" t="s">
        <v>1265</v>
      </c>
      <c r="J359" t="s">
        <v>1271</v>
      </c>
      <c r="K359" t="s">
        <v>1272</v>
      </c>
      <c r="L359" t="s">
        <v>1326</v>
      </c>
      <c r="M359" t="s">
        <v>1353</v>
      </c>
      <c r="N359">
        <v>21</v>
      </c>
      <c r="O359" t="str">
        <f t="shared" si="44"/>
        <v>45</v>
      </c>
      <c r="P359">
        <v>45</v>
      </c>
      <c r="R359" t="s">
        <v>1269</v>
      </c>
      <c r="S359">
        <v>1</v>
      </c>
      <c r="T359">
        <v>0.2361</v>
      </c>
      <c r="U359">
        <f t="shared" si="45"/>
        <v>0.23599999999999999</v>
      </c>
      <c r="V359" t="str">
        <f t="shared" si="42"/>
        <v>High Speech, Language Pathway/
Audio</v>
      </c>
      <c r="W359" t="str">
        <f t="shared" si="43"/>
        <v>Speech, Language Pathway/
Audio</v>
      </c>
    </row>
    <row r="360" spans="1:23" x14ac:dyDescent="0.25">
      <c r="A360">
        <v>6112</v>
      </c>
      <c r="B360" t="s">
        <v>1312</v>
      </c>
      <c r="C360">
        <v>0.67500000000000004</v>
      </c>
      <c r="D360" t="s">
        <v>1264</v>
      </c>
      <c r="E360">
        <v>100286</v>
      </c>
      <c r="F360">
        <v>6112</v>
      </c>
      <c r="G360" t="str">
        <f t="shared" si="41"/>
        <v>06112</v>
      </c>
      <c r="H360" t="s">
        <v>332</v>
      </c>
      <c r="I360" t="s">
        <v>1265</v>
      </c>
      <c r="J360" t="s">
        <v>1266</v>
      </c>
      <c r="K360" t="s">
        <v>1267</v>
      </c>
      <c r="L360" t="s">
        <v>1312</v>
      </c>
      <c r="M360" t="s">
        <v>1351</v>
      </c>
      <c r="N360">
        <v>21</v>
      </c>
      <c r="O360" t="str">
        <f t="shared" si="44"/>
        <v>45</v>
      </c>
      <c r="P360">
        <v>45</v>
      </c>
      <c r="R360" t="s">
        <v>1269</v>
      </c>
      <c r="S360">
        <v>0.67500000000000004</v>
      </c>
      <c r="T360">
        <v>0.2361</v>
      </c>
      <c r="U360">
        <f t="shared" si="45"/>
        <v>0.159</v>
      </c>
      <c r="V360" t="str">
        <f t="shared" si="42"/>
        <v>Middle Speech, Language Pathway/
Audio</v>
      </c>
      <c r="W360" t="str">
        <f t="shared" si="43"/>
        <v>Speech, Language Pathway/
Audio</v>
      </c>
    </row>
    <row r="361" spans="1:23" x14ac:dyDescent="0.25">
      <c r="A361">
        <v>6112</v>
      </c>
      <c r="B361" t="s">
        <v>1302</v>
      </c>
      <c r="C361">
        <v>0.2</v>
      </c>
      <c r="D361" t="s">
        <v>1264</v>
      </c>
      <c r="E361">
        <v>100286</v>
      </c>
      <c r="F361">
        <v>6112</v>
      </c>
      <c r="G361" t="str">
        <f t="shared" si="41"/>
        <v>06112</v>
      </c>
      <c r="H361" t="s">
        <v>332</v>
      </c>
      <c r="I361" t="s">
        <v>1265</v>
      </c>
      <c r="J361" t="s">
        <v>1276</v>
      </c>
      <c r="K361" t="s">
        <v>1277</v>
      </c>
      <c r="L361" t="s">
        <v>1302</v>
      </c>
      <c r="M361" t="s">
        <v>1336</v>
      </c>
      <c r="N361">
        <v>21</v>
      </c>
      <c r="O361" t="str">
        <f t="shared" si="44"/>
        <v>48</v>
      </c>
      <c r="P361">
        <v>48</v>
      </c>
      <c r="R361" t="s">
        <v>1269</v>
      </c>
      <c r="S361">
        <v>0.2</v>
      </c>
      <c r="T361">
        <v>0.2361</v>
      </c>
      <c r="U361">
        <f t="shared" si="45"/>
        <v>4.7E-2</v>
      </c>
      <c r="V361" t="str">
        <f t="shared" si="42"/>
        <v>Elementary Physical Therapist</v>
      </c>
      <c r="W361" t="str">
        <f t="shared" si="43"/>
        <v>Physical Therapist</v>
      </c>
    </row>
    <row r="362" spans="1:23" x14ac:dyDescent="0.25">
      <c r="A362">
        <v>6114</v>
      </c>
      <c r="B362" t="s">
        <v>1383</v>
      </c>
      <c r="C362">
        <v>0.83199999999999996</v>
      </c>
      <c r="D362" t="s">
        <v>1264</v>
      </c>
      <c r="E362">
        <v>100084</v>
      </c>
      <c r="F362">
        <v>6114</v>
      </c>
      <c r="G362" t="str">
        <f t="shared" si="41"/>
        <v>06114</v>
      </c>
      <c r="H362" t="s">
        <v>333</v>
      </c>
      <c r="I362" t="s">
        <v>1265</v>
      </c>
      <c r="J362" t="s">
        <v>1271</v>
      </c>
      <c r="K362" t="s">
        <v>1272</v>
      </c>
      <c r="L362" t="s">
        <v>1383</v>
      </c>
      <c r="M362" t="s">
        <v>1409</v>
      </c>
      <c r="N362">
        <v>21</v>
      </c>
      <c r="O362" t="str">
        <f t="shared" si="44"/>
        <v>25</v>
      </c>
      <c r="Q362">
        <v>25</v>
      </c>
      <c r="R362" t="s">
        <v>1269</v>
      </c>
      <c r="S362">
        <v>0.83199999999999996</v>
      </c>
      <c r="T362">
        <v>0.21540000000000001</v>
      </c>
      <c r="U362">
        <f t="shared" si="45"/>
        <v>0.17899999999999999</v>
      </c>
      <c r="V362" t="str">
        <f t="shared" si="42"/>
        <v>High Pupil Management</v>
      </c>
      <c r="W362" t="str">
        <f t="shared" si="43"/>
        <v>Pupil Management</v>
      </c>
    </row>
    <row r="363" spans="1:23" x14ac:dyDescent="0.25">
      <c r="A363">
        <v>6114</v>
      </c>
      <c r="B363" t="s">
        <v>1299</v>
      </c>
      <c r="C363">
        <v>36.594999999999999</v>
      </c>
      <c r="D363" t="s">
        <v>1264</v>
      </c>
      <c r="E363">
        <v>100084</v>
      </c>
      <c r="F363">
        <v>6114</v>
      </c>
      <c r="G363" t="str">
        <f t="shared" si="41"/>
        <v>06114</v>
      </c>
      <c r="H363" t="s">
        <v>333</v>
      </c>
      <c r="I363" t="s">
        <v>1265</v>
      </c>
      <c r="J363" t="s">
        <v>1271</v>
      </c>
      <c r="K363" t="s">
        <v>1272</v>
      </c>
      <c r="L363" t="s">
        <v>1299</v>
      </c>
      <c r="M363" t="s">
        <v>1300</v>
      </c>
      <c r="N363">
        <v>1</v>
      </c>
      <c r="O363" t="str">
        <f t="shared" si="44"/>
        <v>25</v>
      </c>
      <c r="Q363">
        <v>25</v>
      </c>
      <c r="R363" t="s">
        <v>1269</v>
      </c>
      <c r="S363">
        <v>36.594999999999999</v>
      </c>
      <c r="T363">
        <v>0.21540000000000001</v>
      </c>
      <c r="U363">
        <f t="shared" si="45"/>
        <v>0</v>
      </c>
      <c r="V363" t="str">
        <f t="shared" si="42"/>
        <v>High Pupil Management</v>
      </c>
      <c r="W363" t="str">
        <f t="shared" si="43"/>
        <v>Pupil Management</v>
      </c>
    </row>
    <row r="364" spans="1:23" x14ac:dyDescent="0.25">
      <c r="A364">
        <v>6114</v>
      </c>
      <c r="B364" t="s">
        <v>1324</v>
      </c>
      <c r="C364">
        <v>3.3460000000000001</v>
      </c>
      <c r="D364" t="s">
        <v>1264</v>
      </c>
      <c r="E364">
        <v>100084</v>
      </c>
      <c r="F364">
        <v>6114</v>
      </c>
      <c r="G364" t="str">
        <f t="shared" si="41"/>
        <v>06114</v>
      </c>
      <c r="H364" t="s">
        <v>333</v>
      </c>
      <c r="I364" t="s">
        <v>1265</v>
      </c>
      <c r="J364" t="s">
        <v>1271</v>
      </c>
      <c r="K364" t="s">
        <v>1272</v>
      </c>
      <c r="L364" t="s">
        <v>1324</v>
      </c>
      <c r="M364" t="s">
        <v>1325</v>
      </c>
      <c r="N364">
        <v>21</v>
      </c>
      <c r="O364" t="str">
        <f t="shared" si="44"/>
        <v>26</v>
      </c>
      <c r="Q364">
        <v>26</v>
      </c>
      <c r="R364" t="s">
        <v>1269</v>
      </c>
      <c r="S364">
        <v>3.3460000000000001</v>
      </c>
      <c r="T364">
        <v>0.21540000000000001</v>
      </c>
      <c r="U364">
        <f t="shared" si="45"/>
        <v>0.72099999999999997</v>
      </c>
      <c r="V364" t="str">
        <f t="shared" si="42"/>
        <v>High Health/
Related Services</v>
      </c>
      <c r="W364" t="str">
        <f t="shared" si="43"/>
        <v>Health/
Related Services</v>
      </c>
    </row>
    <row r="365" spans="1:23" x14ac:dyDescent="0.25">
      <c r="A365">
        <v>6114</v>
      </c>
      <c r="B365" t="s">
        <v>1295</v>
      </c>
      <c r="C365">
        <v>6.3860000000000001</v>
      </c>
      <c r="D365" t="s">
        <v>1264</v>
      </c>
      <c r="E365">
        <v>100084</v>
      </c>
      <c r="F365">
        <v>6114</v>
      </c>
      <c r="G365" t="str">
        <f t="shared" si="41"/>
        <v>06114</v>
      </c>
      <c r="H365" t="s">
        <v>333</v>
      </c>
      <c r="I365" t="s">
        <v>1265</v>
      </c>
      <c r="J365" t="s">
        <v>1271</v>
      </c>
      <c r="K365" t="s">
        <v>1272</v>
      </c>
      <c r="L365" t="s">
        <v>1295</v>
      </c>
      <c r="M365" t="s">
        <v>1296</v>
      </c>
      <c r="N365">
        <v>1</v>
      </c>
      <c r="O365" t="str">
        <f t="shared" si="44"/>
        <v>26</v>
      </c>
      <c r="Q365">
        <v>26</v>
      </c>
      <c r="R365" t="s">
        <v>1269</v>
      </c>
      <c r="S365">
        <v>6.3860000000000001</v>
      </c>
      <c r="T365">
        <v>0.21540000000000001</v>
      </c>
      <c r="U365">
        <f t="shared" si="45"/>
        <v>0</v>
      </c>
      <c r="V365" t="str">
        <f t="shared" si="42"/>
        <v>High Health/
Related Services</v>
      </c>
      <c r="W365" t="str">
        <f t="shared" si="43"/>
        <v>Health/
Related Services</v>
      </c>
    </row>
    <row r="366" spans="1:23" x14ac:dyDescent="0.25">
      <c r="A366">
        <v>6114</v>
      </c>
      <c r="B366" t="s">
        <v>1401</v>
      </c>
      <c r="C366">
        <v>15.875999999999999</v>
      </c>
      <c r="D366" t="s">
        <v>1264</v>
      </c>
      <c r="E366">
        <v>100084</v>
      </c>
      <c r="F366">
        <v>6114</v>
      </c>
      <c r="G366" t="str">
        <f t="shared" si="41"/>
        <v>06114</v>
      </c>
      <c r="H366" t="s">
        <v>333</v>
      </c>
      <c r="I366" t="s">
        <v>1265</v>
      </c>
      <c r="J366" t="s">
        <v>1271</v>
      </c>
      <c r="K366" t="s">
        <v>1272</v>
      </c>
      <c r="L366" t="s">
        <v>1401</v>
      </c>
      <c r="M366" t="s">
        <v>1422</v>
      </c>
      <c r="N366">
        <v>1</v>
      </c>
      <c r="O366" t="str">
        <f t="shared" si="44"/>
        <v>35</v>
      </c>
      <c r="Q366">
        <v>35</v>
      </c>
      <c r="R366" t="s">
        <v>1269</v>
      </c>
      <c r="S366">
        <v>15.875999999999999</v>
      </c>
      <c r="T366">
        <v>0.21540000000000001</v>
      </c>
      <c r="U366">
        <f t="shared" si="45"/>
        <v>0</v>
      </c>
      <c r="V366" t="str">
        <f t="shared" si="42"/>
        <v>High Pupil Safety</v>
      </c>
      <c r="W366" t="str">
        <f t="shared" si="43"/>
        <v>Pupil Safety</v>
      </c>
    </row>
    <row r="367" spans="1:23" x14ac:dyDescent="0.25">
      <c r="A367">
        <v>6114</v>
      </c>
      <c r="B367" t="s">
        <v>1319</v>
      </c>
      <c r="C367">
        <v>1</v>
      </c>
      <c r="D367" t="s">
        <v>1264</v>
      </c>
      <c r="E367">
        <v>100084</v>
      </c>
      <c r="F367">
        <v>6114</v>
      </c>
      <c r="G367" t="str">
        <f t="shared" si="41"/>
        <v>06114</v>
      </c>
      <c r="H367" t="s">
        <v>333</v>
      </c>
      <c r="I367" t="s">
        <v>1265</v>
      </c>
      <c r="J367" t="s">
        <v>1276</v>
      </c>
      <c r="K367" t="s">
        <v>1277</v>
      </c>
      <c r="L367" t="s">
        <v>1319</v>
      </c>
      <c r="M367" t="s">
        <v>1426</v>
      </c>
      <c r="N367">
        <v>21</v>
      </c>
      <c r="O367" t="str">
        <f t="shared" si="44"/>
        <v>39</v>
      </c>
      <c r="P367">
        <v>39</v>
      </c>
      <c r="R367" t="s">
        <v>1269</v>
      </c>
      <c r="S367">
        <v>1</v>
      </c>
      <c r="T367">
        <v>0.21540000000000001</v>
      </c>
      <c r="U367">
        <f t="shared" si="45"/>
        <v>0.215</v>
      </c>
      <c r="V367" t="str">
        <f t="shared" si="42"/>
        <v>Elementary Orientation &amp; Mobility Specialist</v>
      </c>
      <c r="W367" t="str">
        <f t="shared" si="43"/>
        <v>Orientation &amp; Mobility Specialist</v>
      </c>
    </row>
    <row r="368" spans="1:23" x14ac:dyDescent="0.25">
      <c r="A368">
        <v>6114</v>
      </c>
      <c r="B368" t="s">
        <v>1275</v>
      </c>
      <c r="C368">
        <v>20.745999999999999</v>
      </c>
      <c r="D368" t="s">
        <v>1264</v>
      </c>
      <c r="E368">
        <v>100084</v>
      </c>
      <c r="F368">
        <v>6114</v>
      </c>
      <c r="G368" t="str">
        <f t="shared" si="41"/>
        <v>06114</v>
      </c>
      <c r="H368" t="s">
        <v>333</v>
      </c>
      <c r="I368" t="s">
        <v>1265</v>
      </c>
      <c r="J368" t="s">
        <v>1276</v>
      </c>
      <c r="K368" t="s">
        <v>1277</v>
      </c>
      <c r="L368" t="s">
        <v>1275</v>
      </c>
      <c r="M368" t="s">
        <v>1278</v>
      </c>
      <c r="N368">
        <v>1</v>
      </c>
      <c r="O368" t="str">
        <f t="shared" si="44"/>
        <v>42</v>
      </c>
      <c r="P368">
        <v>42</v>
      </c>
      <c r="R368" t="s">
        <v>1269</v>
      </c>
      <c r="S368">
        <v>20.745999999999999</v>
      </c>
      <c r="T368">
        <v>0.21540000000000001</v>
      </c>
      <c r="U368">
        <f t="shared" si="45"/>
        <v>0</v>
      </c>
      <c r="V368" t="str">
        <f t="shared" si="42"/>
        <v>Elementary Counselor</v>
      </c>
      <c r="W368" t="str">
        <f t="shared" si="43"/>
        <v>Counselor</v>
      </c>
    </row>
    <row r="369" spans="1:23" x14ac:dyDescent="0.25">
      <c r="A369">
        <v>6114</v>
      </c>
      <c r="B369" t="s">
        <v>1270</v>
      </c>
      <c r="C369">
        <v>20.317</v>
      </c>
      <c r="D369" t="s">
        <v>1264</v>
      </c>
      <c r="E369">
        <v>100084</v>
      </c>
      <c r="F369">
        <v>6114</v>
      </c>
      <c r="G369" t="str">
        <f t="shared" si="41"/>
        <v>06114</v>
      </c>
      <c r="H369" t="s">
        <v>333</v>
      </c>
      <c r="I369" t="s">
        <v>1265</v>
      </c>
      <c r="J369" t="s">
        <v>1271</v>
      </c>
      <c r="K369" t="s">
        <v>1272</v>
      </c>
      <c r="L369" t="s">
        <v>1270</v>
      </c>
      <c r="M369" t="s">
        <v>1273</v>
      </c>
      <c r="N369">
        <v>1</v>
      </c>
      <c r="O369" t="str">
        <f t="shared" si="44"/>
        <v>42</v>
      </c>
      <c r="P369">
        <v>42</v>
      </c>
      <c r="R369" t="s">
        <v>1269</v>
      </c>
      <c r="S369">
        <v>20.317</v>
      </c>
      <c r="T369">
        <v>0.21540000000000001</v>
      </c>
      <c r="U369">
        <f t="shared" si="45"/>
        <v>0</v>
      </c>
      <c r="V369" t="str">
        <f t="shared" si="42"/>
        <v>High Counselor</v>
      </c>
      <c r="W369" t="str">
        <f t="shared" si="43"/>
        <v>Counselor</v>
      </c>
    </row>
    <row r="370" spans="1:23" x14ac:dyDescent="0.25">
      <c r="A370">
        <v>6114</v>
      </c>
      <c r="B370" t="s">
        <v>1263</v>
      </c>
      <c r="C370">
        <v>9.7539999999999996</v>
      </c>
      <c r="D370" t="s">
        <v>1264</v>
      </c>
      <c r="E370">
        <v>100084</v>
      </c>
      <c r="F370">
        <v>6114</v>
      </c>
      <c r="G370" t="str">
        <f t="shared" si="41"/>
        <v>06114</v>
      </c>
      <c r="H370" t="s">
        <v>333</v>
      </c>
      <c r="I370" t="s">
        <v>1265</v>
      </c>
      <c r="J370" t="s">
        <v>1266</v>
      </c>
      <c r="K370" t="s">
        <v>1267</v>
      </c>
      <c r="L370" t="s">
        <v>1263</v>
      </c>
      <c r="M370" t="s">
        <v>1268</v>
      </c>
      <c r="N370">
        <v>1</v>
      </c>
      <c r="O370" t="str">
        <f t="shared" si="44"/>
        <v>42</v>
      </c>
      <c r="P370">
        <v>42</v>
      </c>
      <c r="R370" t="s">
        <v>1269</v>
      </c>
      <c r="S370">
        <v>9.7539999999999996</v>
      </c>
      <c r="T370">
        <v>0.21540000000000001</v>
      </c>
      <c r="U370">
        <f t="shared" si="45"/>
        <v>0</v>
      </c>
      <c r="V370" t="str">
        <f t="shared" si="42"/>
        <v>Middle Counselor</v>
      </c>
      <c r="W370" t="str">
        <f t="shared" si="43"/>
        <v>Counselor</v>
      </c>
    </row>
    <row r="371" spans="1:23" x14ac:dyDescent="0.25">
      <c r="A371">
        <v>6114</v>
      </c>
      <c r="B371" t="s">
        <v>1289</v>
      </c>
      <c r="C371">
        <v>9.4320000000000004</v>
      </c>
      <c r="D371" t="s">
        <v>1264</v>
      </c>
      <c r="E371">
        <v>100084</v>
      </c>
      <c r="F371">
        <v>6114</v>
      </c>
      <c r="G371" t="str">
        <f t="shared" si="41"/>
        <v>06114</v>
      </c>
      <c r="H371" t="s">
        <v>333</v>
      </c>
      <c r="I371" t="s">
        <v>1265</v>
      </c>
      <c r="J371" t="s">
        <v>1276</v>
      </c>
      <c r="K371" t="s">
        <v>1277</v>
      </c>
      <c r="L371" t="s">
        <v>1289</v>
      </c>
      <c r="M371" t="s">
        <v>1307</v>
      </c>
      <c r="N371">
        <v>21</v>
      </c>
      <c r="O371" t="str">
        <f t="shared" si="44"/>
        <v>43</v>
      </c>
      <c r="P371">
        <v>43</v>
      </c>
      <c r="R371" t="s">
        <v>1269</v>
      </c>
      <c r="S371">
        <v>9.4320000000000004</v>
      </c>
      <c r="T371">
        <v>0.21540000000000001</v>
      </c>
      <c r="U371">
        <f t="shared" si="45"/>
        <v>2.032</v>
      </c>
      <c r="V371" t="str">
        <f t="shared" si="42"/>
        <v>Elementary Occupational Therapist</v>
      </c>
      <c r="W371" t="str">
        <f t="shared" si="43"/>
        <v>Occupational Therapist</v>
      </c>
    </row>
    <row r="372" spans="1:23" x14ac:dyDescent="0.25">
      <c r="A372">
        <v>6114</v>
      </c>
      <c r="B372" t="s">
        <v>1387</v>
      </c>
      <c r="C372">
        <v>0.7</v>
      </c>
      <c r="D372" t="s">
        <v>1264</v>
      </c>
      <c r="E372">
        <v>100084</v>
      </c>
      <c r="F372">
        <v>6114</v>
      </c>
      <c r="G372" t="str">
        <f t="shared" si="41"/>
        <v>06114</v>
      </c>
      <c r="H372" t="s">
        <v>333</v>
      </c>
      <c r="I372" t="s">
        <v>1265</v>
      </c>
      <c r="J372" t="s">
        <v>1271</v>
      </c>
      <c r="K372" t="s">
        <v>1272</v>
      </c>
      <c r="L372" t="s">
        <v>1387</v>
      </c>
      <c r="M372" t="s">
        <v>1406</v>
      </c>
      <c r="N372">
        <v>21</v>
      </c>
      <c r="O372" t="str">
        <f t="shared" si="44"/>
        <v>43</v>
      </c>
      <c r="P372">
        <v>43</v>
      </c>
      <c r="R372" t="s">
        <v>1269</v>
      </c>
      <c r="S372">
        <v>0.7</v>
      </c>
      <c r="T372">
        <v>0.21540000000000001</v>
      </c>
      <c r="U372">
        <f t="shared" si="45"/>
        <v>0.151</v>
      </c>
      <c r="V372" t="str">
        <f t="shared" si="42"/>
        <v>High Occupational Therapist</v>
      </c>
      <c r="W372" t="str">
        <f t="shared" si="43"/>
        <v>Occupational Therapist</v>
      </c>
    </row>
    <row r="373" spans="1:23" x14ac:dyDescent="0.25">
      <c r="A373">
        <v>6114</v>
      </c>
      <c r="B373" t="s">
        <v>1303</v>
      </c>
      <c r="C373">
        <v>0.46800000000000003</v>
      </c>
      <c r="D373" t="s">
        <v>1264</v>
      </c>
      <c r="E373">
        <v>100084</v>
      </c>
      <c r="F373">
        <v>6114</v>
      </c>
      <c r="G373" t="str">
        <f t="shared" si="41"/>
        <v>06114</v>
      </c>
      <c r="H373" t="s">
        <v>333</v>
      </c>
      <c r="I373" t="s">
        <v>1265</v>
      </c>
      <c r="J373" t="s">
        <v>1266</v>
      </c>
      <c r="K373" t="s">
        <v>1267</v>
      </c>
      <c r="L373" t="s">
        <v>1303</v>
      </c>
      <c r="M373" t="s">
        <v>1304</v>
      </c>
      <c r="N373">
        <v>21</v>
      </c>
      <c r="O373" t="str">
        <f t="shared" si="44"/>
        <v>43</v>
      </c>
      <c r="P373">
        <v>43</v>
      </c>
      <c r="R373" t="s">
        <v>1269</v>
      </c>
      <c r="S373">
        <v>0.46800000000000003</v>
      </c>
      <c r="T373">
        <v>0.21540000000000001</v>
      </c>
      <c r="U373">
        <f t="shared" si="45"/>
        <v>0.10100000000000001</v>
      </c>
      <c r="V373" t="str">
        <f t="shared" si="42"/>
        <v>Middle Occupational Therapist</v>
      </c>
      <c r="W373" t="str">
        <f t="shared" si="43"/>
        <v>Occupational Therapist</v>
      </c>
    </row>
    <row r="374" spans="1:23" x14ac:dyDescent="0.25">
      <c r="A374">
        <v>6114</v>
      </c>
      <c r="B374" t="s">
        <v>1331</v>
      </c>
      <c r="C374">
        <v>5.6660000000000004</v>
      </c>
      <c r="D374" t="s">
        <v>1264</v>
      </c>
      <c r="E374">
        <v>100084</v>
      </c>
      <c r="F374">
        <v>6114</v>
      </c>
      <c r="G374" t="str">
        <f t="shared" si="41"/>
        <v>06114</v>
      </c>
      <c r="H374" t="s">
        <v>333</v>
      </c>
      <c r="I374" t="s">
        <v>1265</v>
      </c>
      <c r="J374" t="s">
        <v>1276</v>
      </c>
      <c r="K374" t="s">
        <v>1277</v>
      </c>
      <c r="L374" t="s">
        <v>1331</v>
      </c>
      <c r="M374" t="s">
        <v>1405</v>
      </c>
      <c r="N374">
        <v>1</v>
      </c>
      <c r="O374" t="str">
        <f t="shared" si="44"/>
        <v>44</v>
      </c>
      <c r="P374">
        <v>44</v>
      </c>
      <c r="R374" t="s">
        <v>1269</v>
      </c>
      <c r="S374">
        <v>5.6660000000000004</v>
      </c>
      <c r="T374">
        <v>0.21540000000000001</v>
      </c>
      <c r="U374">
        <f t="shared" si="45"/>
        <v>0</v>
      </c>
      <c r="V374" t="str">
        <f t="shared" si="42"/>
        <v>Elementary Social Worker</v>
      </c>
      <c r="W374" t="str">
        <f t="shared" si="43"/>
        <v>Social Worker</v>
      </c>
    </row>
    <row r="375" spans="1:23" x14ac:dyDescent="0.25">
      <c r="A375">
        <v>6114</v>
      </c>
      <c r="B375" t="s">
        <v>1356</v>
      </c>
      <c r="C375">
        <v>1.3340000000000001</v>
      </c>
      <c r="D375" t="s">
        <v>1264</v>
      </c>
      <c r="E375">
        <v>100084</v>
      </c>
      <c r="F375">
        <v>6114</v>
      </c>
      <c r="G375" t="str">
        <f t="shared" si="41"/>
        <v>06114</v>
      </c>
      <c r="H375" t="s">
        <v>333</v>
      </c>
      <c r="I375" t="s">
        <v>1265</v>
      </c>
      <c r="J375" t="s">
        <v>1266</v>
      </c>
      <c r="K375" t="s">
        <v>1267</v>
      </c>
      <c r="L375" t="s">
        <v>1356</v>
      </c>
      <c r="M375" t="s">
        <v>1357</v>
      </c>
      <c r="N375">
        <v>1</v>
      </c>
      <c r="O375" t="str">
        <f t="shared" si="44"/>
        <v>44</v>
      </c>
      <c r="P375">
        <v>44</v>
      </c>
      <c r="R375" t="s">
        <v>1269</v>
      </c>
      <c r="S375">
        <v>1.3340000000000001</v>
      </c>
      <c r="T375">
        <v>0.21540000000000001</v>
      </c>
      <c r="U375">
        <f t="shared" si="45"/>
        <v>0</v>
      </c>
      <c r="V375" t="str">
        <f t="shared" si="42"/>
        <v>Middle Social Worker</v>
      </c>
      <c r="W375" t="str">
        <f t="shared" si="43"/>
        <v>Social Worker</v>
      </c>
    </row>
    <row r="376" spans="1:23" x14ac:dyDescent="0.25">
      <c r="A376">
        <v>6114</v>
      </c>
      <c r="B376" t="s">
        <v>1294</v>
      </c>
      <c r="C376">
        <v>28.527999999999999</v>
      </c>
      <c r="D376" t="s">
        <v>1264</v>
      </c>
      <c r="E376">
        <v>100084</v>
      </c>
      <c r="F376">
        <v>6114</v>
      </c>
      <c r="G376" t="str">
        <f t="shared" si="41"/>
        <v>06114</v>
      </c>
      <c r="H376" t="s">
        <v>333</v>
      </c>
      <c r="I376" t="s">
        <v>1265</v>
      </c>
      <c r="J376" t="s">
        <v>1276</v>
      </c>
      <c r="K376" t="s">
        <v>1277</v>
      </c>
      <c r="L376" t="s">
        <v>1294</v>
      </c>
      <c r="M376" t="s">
        <v>1354</v>
      </c>
      <c r="N376">
        <v>21</v>
      </c>
      <c r="O376" t="str">
        <f t="shared" si="44"/>
        <v>45</v>
      </c>
      <c r="P376">
        <v>45</v>
      </c>
      <c r="R376" t="s">
        <v>1269</v>
      </c>
      <c r="S376">
        <v>28.527999999999999</v>
      </c>
      <c r="T376">
        <v>0.21540000000000001</v>
      </c>
      <c r="U376">
        <f t="shared" si="45"/>
        <v>6.1449999999999996</v>
      </c>
      <c r="V376" t="str">
        <f t="shared" si="42"/>
        <v>Elementary Speech, Language Pathway/
Audio</v>
      </c>
      <c r="W376" t="str">
        <f t="shared" si="43"/>
        <v>Speech, Language Pathway/
Audio</v>
      </c>
    </row>
    <row r="377" spans="1:23" x14ac:dyDescent="0.25">
      <c r="A377">
        <v>6114</v>
      </c>
      <c r="B377" t="s">
        <v>1326</v>
      </c>
      <c r="C377">
        <v>9.3390000000000004</v>
      </c>
      <c r="D377" t="s">
        <v>1264</v>
      </c>
      <c r="E377">
        <v>100084</v>
      </c>
      <c r="F377">
        <v>6114</v>
      </c>
      <c r="G377" t="str">
        <f t="shared" si="41"/>
        <v>06114</v>
      </c>
      <c r="H377" t="s">
        <v>333</v>
      </c>
      <c r="I377" t="s">
        <v>1265</v>
      </c>
      <c r="J377" t="s">
        <v>1271</v>
      </c>
      <c r="K377" t="s">
        <v>1272</v>
      </c>
      <c r="L377" t="s">
        <v>1326</v>
      </c>
      <c r="M377" t="s">
        <v>1353</v>
      </c>
      <c r="N377">
        <v>21</v>
      </c>
      <c r="O377" t="str">
        <f t="shared" si="44"/>
        <v>45</v>
      </c>
      <c r="P377">
        <v>45</v>
      </c>
      <c r="R377" t="s">
        <v>1269</v>
      </c>
      <c r="S377">
        <v>9.3390000000000004</v>
      </c>
      <c r="T377">
        <v>0.21540000000000001</v>
      </c>
      <c r="U377">
        <f t="shared" si="45"/>
        <v>2.012</v>
      </c>
      <c r="V377" t="str">
        <f t="shared" si="42"/>
        <v>High Speech, Language Pathway/
Audio</v>
      </c>
      <c r="W377" t="str">
        <f t="shared" si="43"/>
        <v>Speech, Language Pathway/
Audio</v>
      </c>
    </row>
    <row r="378" spans="1:23" x14ac:dyDescent="0.25">
      <c r="A378">
        <v>6114</v>
      </c>
      <c r="B378" t="s">
        <v>1312</v>
      </c>
      <c r="C378">
        <v>4.6719999999999997</v>
      </c>
      <c r="D378" t="s">
        <v>1264</v>
      </c>
      <c r="E378">
        <v>100084</v>
      </c>
      <c r="F378">
        <v>6114</v>
      </c>
      <c r="G378" t="str">
        <f t="shared" si="41"/>
        <v>06114</v>
      </c>
      <c r="H378" t="s">
        <v>333</v>
      </c>
      <c r="I378" t="s">
        <v>1265</v>
      </c>
      <c r="J378" t="s">
        <v>1266</v>
      </c>
      <c r="K378" t="s">
        <v>1267</v>
      </c>
      <c r="L378" t="s">
        <v>1312</v>
      </c>
      <c r="M378" t="s">
        <v>1351</v>
      </c>
      <c r="N378">
        <v>21</v>
      </c>
      <c r="O378" t="str">
        <f t="shared" si="44"/>
        <v>45</v>
      </c>
      <c r="P378">
        <v>45</v>
      </c>
      <c r="R378" t="s">
        <v>1269</v>
      </c>
      <c r="S378">
        <v>4.6719999999999997</v>
      </c>
      <c r="T378">
        <v>0.21540000000000001</v>
      </c>
      <c r="U378">
        <f t="shared" si="45"/>
        <v>1.006</v>
      </c>
      <c r="V378" t="str">
        <f t="shared" si="42"/>
        <v>Middle Speech, Language Pathway/
Audio</v>
      </c>
      <c r="W378" t="str">
        <f t="shared" si="43"/>
        <v>Speech, Language Pathway/
Audio</v>
      </c>
    </row>
    <row r="379" spans="1:23" x14ac:dyDescent="0.25">
      <c r="A379">
        <v>6114</v>
      </c>
      <c r="B379" t="s">
        <v>1298</v>
      </c>
      <c r="C379">
        <v>13.45</v>
      </c>
      <c r="D379" t="s">
        <v>1264</v>
      </c>
      <c r="E379">
        <v>100084</v>
      </c>
      <c r="F379">
        <v>6114</v>
      </c>
      <c r="G379" t="str">
        <f t="shared" si="41"/>
        <v>06114</v>
      </c>
      <c r="H379" t="s">
        <v>333</v>
      </c>
      <c r="I379" t="s">
        <v>1265</v>
      </c>
      <c r="J379" t="s">
        <v>1276</v>
      </c>
      <c r="K379" t="s">
        <v>1277</v>
      </c>
      <c r="L379" t="s">
        <v>1298</v>
      </c>
      <c r="M379" t="s">
        <v>1349</v>
      </c>
      <c r="N379">
        <v>21</v>
      </c>
      <c r="O379" t="str">
        <f t="shared" si="44"/>
        <v>46</v>
      </c>
      <c r="P379">
        <v>46</v>
      </c>
      <c r="R379" t="s">
        <v>1269</v>
      </c>
      <c r="S379">
        <v>13.45</v>
      </c>
      <c r="T379">
        <v>0.21540000000000001</v>
      </c>
      <c r="U379">
        <f t="shared" si="45"/>
        <v>2.8969999999999998</v>
      </c>
      <c r="V379" t="str">
        <f t="shared" si="42"/>
        <v>Elementary Psychologist</v>
      </c>
      <c r="W379" t="str">
        <f t="shared" si="43"/>
        <v>Psychologist</v>
      </c>
    </row>
    <row r="380" spans="1:23" x14ac:dyDescent="0.25">
      <c r="A380">
        <v>6114</v>
      </c>
      <c r="B380" t="s">
        <v>1309</v>
      </c>
      <c r="C380">
        <v>4.25</v>
      </c>
      <c r="D380" t="s">
        <v>1264</v>
      </c>
      <c r="E380">
        <v>100084</v>
      </c>
      <c r="F380">
        <v>6114</v>
      </c>
      <c r="G380" t="str">
        <f t="shared" si="41"/>
        <v>06114</v>
      </c>
      <c r="H380" t="s">
        <v>333</v>
      </c>
      <c r="I380" t="s">
        <v>1265</v>
      </c>
      <c r="J380" t="s">
        <v>1271</v>
      </c>
      <c r="K380" t="s">
        <v>1272</v>
      </c>
      <c r="L380" t="s">
        <v>1309</v>
      </c>
      <c r="M380" t="s">
        <v>1310</v>
      </c>
      <c r="N380">
        <v>21</v>
      </c>
      <c r="O380" t="str">
        <f t="shared" si="44"/>
        <v>46</v>
      </c>
      <c r="P380">
        <v>46</v>
      </c>
      <c r="R380" t="s">
        <v>1269</v>
      </c>
      <c r="S380">
        <v>4.25</v>
      </c>
      <c r="T380">
        <v>0.21540000000000001</v>
      </c>
      <c r="U380">
        <f t="shared" si="45"/>
        <v>0.91500000000000004</v>
      </c>
      <c r="V380" t="str">
        <f t="shared" si="42"/>
        <v>High Psychologist</v>
      </c>
      <c r="W380" t="str">
        <f t="shared" si="43"/>
        <v>Psychologist</v>
      </c>
    </row>
    <row r="381" spans="1:23" x14ac:dyDescent="0.25">
      <c r="A381">
        <v>6114</v>
      </c>
      <c r="B381" t="s">
        <v>1345</v>
      </c>
      <c r="C381">
        <v>3.6</v>
      </c>
      <c r="D381" t="s">
        <v>1264</v>
      </c>
      <c r="E381">
        <v>100084</v>
      </c>
      <c r="F381">
        <v>6114</v>
      </c>
      <c r="G381" t="str">
        <f t="shared" si="41"/>
        <v>06114</v>
      </c>
      <c r="H381" t="s">
        <v>333</v>
      </c>
      <c r="I381" t="s">
        <v>1265</v>
      </c>
      <c r="J381" t="s">
        <v>1266</v>
      </c>
      <c r="K381" t="s">
        <v>1267</v>
      </c>
      <c r="L381" t="s">
        <v>1345</v>
      </c>
      <c r="M381" t="s">
        <v>1346</v>
      </c>
      <c r="N381">
        <v>21</v>
      </c>
      <c r="O381" t="str">
        <f t="shared" si="44"/>
        <v>46</v>
      </c>
      <c r="P381">
        <v>46</v>
      </c>
      <c r="R381" t="s">
        <v>1269</v>
      </c>
      <c r="S381">
        <v>3.6</v>
      </c>
      <c r="T381">
        <v>0.21540000000000001</v>
      </c>
      <c r="U381">
        <f t="shared" si="45"/>
        <v>0.77500000000000002</v>
      </c>
      <c r="V381" t="str">
        <f t="shared" si="42"/>
        <v>Middle Psychologist</v>
      </c>
      <c r="W381" t="str">
        <f t="shared" si="43"/>
        <v>Psychologist</v>
      </c>
    </row>
    <row r="382" spans="1:23" x14ac:dyDescent="0.25">
      <c r="A382">
        <v>6114</v>
      </c>
      <c r="B382" t="s">
        <v>1335</v>
      </c>
      <c r="C382">
        <v>7.47</v>
      </c>
      <c r="D382" t="s">
        <v>1264</v>
      </c>
      <c r="E382">
        <v>100084</v>
      </c>
      <c r="F382">
        <v>6114</v>
      </c>
      <c r="G382" t="str">
        <f t="shared" si="41"/>
        <v>06114</v>
      </c>
      <c r="H382" t="s">
        <v>333</v>
      </c>
      <c r="I382" t="s">
        <v>1265</v>
      </c>
      <c r="J382" t="s">
        <v>1276</v>
      </c>
      <c r="K382" t="s">
        <v>1277</v>
      </c>
      <c r="L382" t="s">
        <v>1335</v>
      </c>
      <c r="M382" t="s">
        <v>1344</v>
      </c>
      <c r="N382">
        <v>1</v>
      </c>
      <c r="O382" t="str">
        <f t="shared" si="44"/>
        <v>47</v>
      </c>
      <c r="P382">
        <v>47</v>
      </c>
      <c r="R382" t="s">
        <v>1269</v>
      </c>
      <c r="S382">
        <v>7.47</v>
      </c>
      <c r="T382">
        <v>0.21540000000000001</v>
      </c>
      <c r="U382">
        <f t="shared" si="45"/>
        <v>0</v>
      </c>
      <c r="V382" t="str">
        <f t="shared" si="42"/>
        <v>Elementary Nurse</v>
      </c>
      <c r="W382" t="str">
        <f t="shared" si="43"/>
        <v>Nurse</v>
      </c>
    </row>
    <row r="383" spans="1:23" x14ac:dyDescent="0.25">
      <c r="A383">
        <v>6114</v>
      </c>
      <c r="B383" t="s">
        <v>1341</v>
      </c>
      <c r="C383">
        <v>5.085</v>
      </c>
      <c r="D383" t="s">
        <v>1264</v>
      </c>
      <c r="E383">
        <v>100084</v>
      </c>
      <c r="F383">
        <v>6114</v>
      </c>
      <c r="G383" t="str">
        <f t="shared" si="41"/>
        <v>06114</v>
      </c>
      <c r="H383" t="s">
        <v>333</v>
      </c>
      <c r="I383" t="s">
        <v>1265</v>
      </c>
      <c r="J383" t="s">
        <v>1271</v>
      </c>
      <c r="K383" t="s">
        <v>1272</v>
      </c>
      <c r="L383" t="s">
        <v>1341</v>
      </c>
      <c r="M383" t="s">
        <v>1342</v>
      </c>
      <c r="N383">
        <v>1</v>
      </c>
      <c r="O383" t="str">
        <f t="shared" si="44"/>
        <v>47</v>
      </c>
      <c r="P383">
        <v>47</v>
      </c>
      <c r="R383" t="s">
        <v>1269</v>
      </c>
      <c r="S383">
        <v>5.085</v>
      </c>
      <c r="T383">
        <v>0.21540000000000001</v>
      </c>
      <c r="U383">
        <f t="shared" si="45"/>
        <v>0</v>
      </c>
      <c r="V383" t="str">
        <f t="shared" si="42"/>
        <v>High Nurse</v>
      </c>
      <c r="W383" t="str">
        <f t="shared" si="43"/>
        <v>Nurse</v>
      </c>
    </row>
    <row r="384" spans="1:23" x14ac:dyDescent="0.25">
      <c r="A384">
        <v>6114</v>
      </c>
      <c r="B384" t="s">
        <v>1338</v>
      </c>
      <c r="C384">
        <v>1.9039999999999999</v>
      </c>
      <c r="D384" t="s">
        <v>1264</v>
      </c>
      <c r="E384">
        <v>100084</v>
      </c>
      <c r="F384">
        <v>6114</v>
      </c>
      <c r="G384" t="str">
        <f t="shared" si="41"/>
        <v>06114</v>
      </c>
      <c r="H384" t="s">
        <v>333</v>
      </c>
      <c r="I384" t="s">
        <v>1265</v>
      </c>
      <c r="J384" t="s">
        <v>1266</v>
      </c>
      <c r="K384" t="s">
        <v>1267</v>
      </c>
      <c r="L384" t="s">
        <v>1338</v>
      </c>
      <c r="M384" t="s">
        <v>1339</v>
      </c>
      <c r="N384">
        <v>1</v>
      </c>
      <c r="O384" t="str">
        <f t="shared" si="44"/>
        <v>47</v>
      </c>
      <c r="P384">
        <v>47</v>
      </c>
      <c r="R384" t="s">
        <v>1269</v>
      </c>
      <c r="S384">
        <v>1.9039999999999999</v>
      </c>
      <c r="T384">
        <v>0.21540000000000001</v>
      </c>
      <c r="U384">
        <f t="shared" si="45"/>
        <v>0</v>
      </c>
      <c r="V384" t="str">
        <f t="shared" si="42"/>
        <v>Middle Nurse</v>
      </c>
      <c r="W384" t="str">
        <f t="shared" si="43"/>
        <v>Nurse</v>
      </c>
    </row>
    <row r="385" spans="1:23" x14ac:dyDescent="0.25">
      <c r="A385">
        <v>6114</v>
      </c>
      <c r="B385" t="s">
        <v>1302</v>
      </c>
      <c r="C385">
        <v>3.8730000000000002</v>
      </c>
      <c r="D385" t="s">
        <v>1264</v>
      </c>
      <c r="E385">
        <v>100084</v>
      </c>
      <c r="F385">
        <v>6114</v>
      </c>
      <c r="G385" t="str">
        <f t="shared" si="41"/>
        <v>06114</v>
      </c>
      <c r="H385" t="s">
        <v>333</v>
      </c>
      <c r="I385" t="s">
        <v>1265</v>
      </c>
      <c r="J385" t="s">
        <v>1276</v>
      </c>
      <c r="K385" t="s">
        <v>1277</v>
      </c>
      <c r="L385" t="s">
        <v>1302</v>
      </c>
      <c r="M385" t="s">
        <v>1336</v>
      </c>
      <c r="N385">
        <v>21</v>
      </c>
      <c r="O385" t="str">
        <f t="shared" si="44"/>
        <v>48</v>
      </c>
      <c r="P385">
        <v>48</v>
      </c>
      <c r="R385" t="s">
        <v>1269</v>
      </c>
      <c r="S385">
        <v>3.8730000000000002</v>
      </c>
      <c r="T385">
        <v>0.21540000000000001</v>
      </c>
      <c r="U385">
        <f t="shared" si="45"/>
        <v>0.83399999999999996</v>
      </c>
      <c r="V385" t="str">
        <f t="shared" si="42"/>
        <v>Elementary Physical Therapist</v>
      </c>
      <c r="W385" t="str">
        <f t="shared" si="43"/>
        <v>Physical Therapist</v>
      </c>
    </row>
    <row r="386" spans="1:23" x14ac:dyDescent="0.25">
      <c r="A386">
        <v>6114</v>
      </c>
      <c r="B386" t="s">
        <v>1330</v>
      </c>
      <c r="C386">
        <v>0.9</v>
      </c>
      <c r="D386" t="s">
        <v>1264</v>
      </c>
      <c r="E386">
        <v>100084</v>
      </c>
      <c r="F386">
        <v>6114</v>
      </c>
      <c r="G386" t="str">
        <f t="shared" ref="G386:G449" si="46">TEXT(F386,"00000")</f>
        <v>06114</v>
      </c>
      <c r="H386" t="s">
        <v>333</v>
      </c>
      <c r="I386" t="s">
        <v>1265</v>
      </c>
      <c r="J386" t="s">
        <v>1271</v>
      </c>
      <c r="K386" t="s">
        <v>1272</v>
      </c>
      <c r="L386" t="s">
        <v>1330</v>
      </c>
      <c r="M386" t="s">
        <v>1367</v>
      </c>
      <c r="N386">
        <v>21</v>
      </c>
      <c r="O386" t="str">
        <f t="shared" si="44"/>
        <v>48</v>
      </c>
      <c r="P386">
        <v>48</v>
      </c>
      <c r="R386" t="s">
        <v>1269</v>
      </c>
      <c r="S386">
        <v>0.9</v>
      </c>
      <c r="T386">
        <v>0.21540000000000001</v>
      </c>
      <c r="U386">
        <f t="shared" si="45"/>
        <v>0.19400000000000001</v>
      </c>
      <c r="V386" t="str">
        <f t="shared" ref="V386:V449" si="47">_xlfn.XLOOKUP(L386,$BV:$BV,$BT:$BT,,0)</f>
        <v>High Physical Therapist</v>
      </c>
      <c r="W386" t="str">
        <f t="shared" ref="W386:W449" si="48">_xlfn.TEXTAFTER(V386," ")</f>
        <v>Physical Therapist</v>
      </c>
    </row>
    <row r="387" spans="1:23" x14ac:dyDescent="0.25">
      <c r="A387">
        <v>6114</v>
      </c>
      <c r="B387" t="s">
        <v>1316</v>
      </c>
      <c r="C387">
        <v>0.53100000000000003</v>
      </c>
      <c r="D387" t="s">
        <v>1264</v>
      </c>
      <c r="E387">
        <v>100084</v>
      </c>
      <c r="F387">
        <v>6114</v>
      </c>
      <c r="G387" t="str">
        <f t="shared" si="46"/>
        <v>06114</v>
      </c>
      <c r="H387" t="s">
        <v>333</v>
      </c>
      <c r="I387" t="s">
        <v>1265</v>
      </c>
      <c r="J387" t="s">
        <v>1266</v>
      </c>
      <c r="K387" t="s">
        <v>1267</v>
      </c>
      <c r="L387" t="s">
        <v>1316</v>
      </c>
      <c r="M387" t="s">
        <v>1366</v>
      </c>
      <c r="N387">
        <v>21</v>
      </c>
      <c r="O387" t="str">
        <f t="shared" ref="O387:O450" si="49">MID(L387,3,2)</f>
        <v>48</v>
      </c>
      <c r="P387">
        <v>48</v>
      </c>
      <c r="R387" t="s">
        <v>1269</v>
      </c>
      <c r="S387">
        <v>0.53100000000000003</v>
      </c>
      <c r="T387">
        <v>0.21540000000000001</v>
      </c>
      <c r="U387">
        <f t="shared" ref="U387:U450" si="50">IF(N387=21,ROUND(T387*S387,3),0)</f>
        <v>0.114</v>
      </c>
      <c r="V387" t="str">
        <f t="shared" si="47"/>
        <v>Middle Physical Therapist</v>
      </c>
      <c r="W387" t="str">
        <f t="shared" si="48"/>
        <v>Physical Therapist</v>
      </c>
    </row>
    <row r="388" spans="1:23" x14ac:dyDescent="0.25">
      <c r="A388">
        <v>6114</v>
      </c>
      <c r="B388" t="s">
        <v>1392</v>
      </c>
      <c r="C388">
        <v>3</v>
      </c>
      <c r="D388" t="s">
        <v>1264</v>
      </c>
      <c r="E388">
        <v>100084</v>
      </c>
      <c r="F388">
        <v>6114</v>
      </c>
      <c r="G388" t="str">
        <f t="shared" si="46"/>
        <v>06114</v>
      </c>
      <c r="H388" t="s">
        <v>333</v>
      </c>
      <c r="I388" t="s">
        <v>1265</v>
      </c>
      <c r="J388" t="s">
        <v>1271</v>
      </c>
      <c r="K388" t="s">
        <v>1272</v>
      </c>
      <c r="L388" t="s">
        <v>1392</v>
      </c>
      <c r="M388" t="s">
        <v>1393</v>
      </c>
      <c r="N388">
        <v>21</v>
      </c>
      <c r="O388" t="str">
        <f t="shared" si="49"/>
        <v>49</v>
      </c>
      <c r="P388">
        <v>49</v>
      </c>
      <c r="R388" t="s">
        <v>1269</v>
      </c>
      <c r="S388">
        <v>3</v>
      </c>
      <c r="T388">
        <v>0.21540000000000001</v>
      </c>
      <c r="U388">
        <f t="shared" si="50"/>
        <v>0.64600000000000002</v>
      </c>
      <c r="V388" t="str">
        <f t="shared" si="47"/>
        <v>High Behavior Analyst</v>
      </c>
      <c r="W388" t="str">
        <f t="shared" si="48"/>
        <v>Behavior Analyst</v>
      </c>
    </row>
    <row r="389" spans="1:23" x14ac:dyDescent="0.25">
      <c r="A389">
        <v>6117</v>
      </c>
      <c r="B389" t="s">
        <v>1308</v>
      </c>
      <c r="C389">
        <v>3.4119999999999999</v>
      </c>
      <c r="D389" t="s">
        <v>1264</v>
      </c>
      <c r="E389">
        <v>100031</v>
      </c>
      <c r="F389">
        <v>6117</v>
      </c>
      <c r="G389" t="str">
        <f t="shared" si="46"/>
        <v>06117</v>
      </c>
      <c r="H389" t="s">
        <v>334</v>
      </c>
      <c r="I389" t="s">
        <v>1265</v>
      </c>
      <c r="J389" t="s">
        <v>1276</v>
      </c>
      <c r="K389" t="s">
        <v>1277</v>
      </c>
      <c r="L389" t="s">
        <v>1308</v>
      </c>
      <c r="M389" t="s">
        <v>1389</v>
      </c>
      <c r="N389">
        <v>1</v>
      </c>
      <c r="O389" t="str">
        <f t="shared" si="49"/>
        <v>25</v>
      </c>
      <c r="Q389">
        <v>25</v>
      </c>
      <c r="R389" t="s">
        <v>1269</v>
      </c>
      <c r="S389">
        <v>3.4119999999999999</v>
      </c>
      <c r="T389">
        <v>0.20230000000000001</v>
      </c>
      <c r="U389">
        <f t="shared" si="50"/>
        <v>0</v>
      </c>
      <c r="V389" t="str">
        <f t="shared" si="47"/>
        <v>Elementary Pupil Management</v>
      </c>
      <c r="W389" t="str">
        <f t="shared" si="48"/>
        <v>Pupil Management</v>
      </c>
    </row>
    <row r="390" spans="1:23" x14ac:dyDescent="0.25">
      <c r="A390">
        <v>6117</v>
      </c>
      <c r="B390" t="s">
        <v>1299</v>
      </c>
      <c r="C390">
        <v>7.8719999999999999</v>
      </c>
      <c r="D390" t="s">
        <v>1264</v>
      </c>
      <c r="E390">
        <v>100031</v>
      </c>
      <c r="F390">
        <v>6117</v>
      </c>
      <c r="G390" t="str">
        <f t="shared" si="46"/>
        <v>06117</v>
      </c>
      <c r="H390" t="s">
        <v>334</v>
      </c>
      <c r="I390" t="s">
        <v>1265</v>
      </c>
      <c r="J390" t="s">
        <v>1271</v>
      </c>
      <c r="K390" t="s">
        <v>1272</v>
      </c>
      <c r="L390" t="s">
        <v>1299</v>
      </c>
      <c r="M390" t="s">
        <v>1300</v>
      </c>
      <c r="N390">
        <v>1</v>
      </c>
      <c r="O390" t="str">
        <f t="shared" si="49"/>
        <v>25</v>
      </c>
      <c r="Q390">
        <v>25</v>
      </c>
      <c r="R390" t="s">
        <v>1269</v>
      </c>
      <c r="S390">
        <v>7.8719999999999999</v>
      </c>
      <c r="T390">
        <v>0.20230000000000001</v>
      </c>
      <c r="U390">
        <f t="shared" si="50"/>
        <v>0</v>
      </c>
      <c r="V390" t="str">
        <f t="shared" si="47"/>
        <v>High Pupil Management</v>
      </c>
      <c r="W390" t="str">
        <f t="shared" si="48"/>
        <v>Pupil Management</v>
      </c>
    </row>
    <row r="391" spans="1:23" x14ac:dyDescent="0.25">
      <c r="A391">
        <v>6117</v>
      </c>
      <c r="B391" t="s">
        <v>1311</v>
      </c>
      <c r="C391">
        <v>5.5E-2</v>
      </c>
      <c r="D391" t="s">
        <v>1264</v>
      </c>
      <c r="E391">
        <v>100031</v>
      </c>
      <c r="F391">
        <v>6117</v>
      </c>
      <c r="G391" t="str">
        <f t="shared" si="46"/>
        <v>06117</v>
      </c>
      <c r="H391" t="s">
        <v>334</v>
      </c>
      <c r="I391" t="s">
        <v>1265</v>
      </c>
      <c r="J391" t="s">
        <v>1276</v>
      </c>
      <c r="K391" t="s">
        <v>1277</v>
      </c>
      <c r="L391" t="s">
        <v>1311</v>
      </c>
      <c r="M391" t="s">
        <v>1327</v>
      </c>
      <c r="N391">
        <v>21</v>
      </c>
      <c r="O391" t="str">
        <f t="shared" si="49"/>
        <v>26</v>
      </c>
      <c r="Q391">
        <v>26</v>
      </c>
      <c r="R391" t="s">
        <v>1269</v>
      </c>
      <c r="S391">
        <v>5.5E-2</v>
      </c>
      <c r="T391">
        <v>0.20230000000000001</v>
      </c>
      <c r="U391">
        <f t="shared" si="50"/>
        <v>1.0999999999999999E-2</v>
      </c>
      <c r="V391" t="str">
        <f t="shared" si="47"/>
        <v>Elementary Health/
Related Services</v>
      </c>
      <c r="W391" t="str">
        <f t="shared" si="48"/>
        <v>Health/
Related Services</v>
      </c>
    </row>
    <row r="392" spans="1:23" x14ac:dyDescent="0.25">
      <c r="A392">
        <v>6117</v>
      </c>
      <c r="B392" t="s">
        <v>1315</v>
      </c>
      <c r="C392">
        <v>4.8049999999999997</v>
      </c>
      <c r="D392" t="s">
        <v>1264</v>
      </c>
      <c r="E392">
        <v>100031</v>
      </c>
      <c r="F392">
        <v>6117</v>
      </c>
      <c r="G392" t="str">
        <f t="shared" si="46"/>
        <v>06117</v>
      </c>
      <c r="H392" t="s">
        <v>334</v>
      </c>
      <c r="I392" t="s">
        <v>1265</v>
      </c>
      <c r="J392" t="s">
        <v>1276</v>
      </c>
      <c r="K392" t="s">
        <v>1277</v>
      </c>
      <c r="L392" t="s">
        <v>1315</v>
      </c>
      <c r="M392" t="s">
        <v>1375</v>
      </c>
      <c r="N392">
        <v>1</v>
      </c>
      <c r="O392" t="str">
        <f t="shared" si="49"/>
        <v>26</v>
      </c>
      <c r="Q392">
        <v>26</v>
      </c>
      <c r="R392" t="s">
        <v>1269</v>
      </c>
      <c r="S392">
        <v>4.8049999999999997</v>
      </c>
      <c r="T392">
        <v>0.20230000000000001</v>
      </c>
      <c r="U392">
        <f t="shared" si="50"/>
        <v>0</v>
      </c>
      <c r="V392" t="str">
        <f t="shared" si="47"/>
        <v>Elementary Health/
Related Services</v>
      </c>
      <c r="W392" t="str">
        <f t="shared" si="48"/>
        <v>Health/
Related Services</v>
      </c>
    </row>
    <row r="393" spans="1:23" x14ac:dyDescent="0.25">
      <c r="A393">
        <v>6117</v>
      </c>
      <c r="B393" t="s">
        <v>1324</v>
      </c>
      <c r="C393">
        <v>0.52</v>
      </c>
      <c r="D393" t="s">
        <v>1264</v>
      </c>
      <c r="E393">
        <v>100031</v>
      </c>
      <c r="F393">
        <v>6117</v>
      </c>
      <c r="G393" t="str">
        <f t="shared" si="46"/>
        <v>06117</v>
      </c>
      <c r="H393" t="s">
        <v>334</v>
      </c>
      <c r="I393" t="s">
        <v>1265</v>
      </c>
      <c r="J393" t="s">
        <v>1271</v>
      </c>
      <c r="K393" t="s">
        <v>1272</v>
      </c>
      <c r="L393" t="s">
        <v>1324</v>
      </c>
      <c r="M393" t="s">
        <v>1325</v>
      </c>
      <c r="N393">
        <v>21</v>
      </c>
      <c r="O393" t="str">
        <f t="shared" si="49"/>
        <v>26</v>
      </c>
      <c r="Q393">
        <v>26</v>
      </c>
      <c r="R393" t="s">
        <v>1269</v>
      </c>
      <c r="S393">
        <v>0.52</v>
      </c>
      <c r="T393">
        <v>0.20230000000000001</v>
      </c>
      <c r="U393">
        <f t="shared" si="50"/>
        <v>0.105</v>
      </c>
      <c r="V393" t="str">
        <f t="shared" si="47"/>
        <v>High Health/
Related Services</v>
      </c>
      <c r="W393" t="str">
        <f t="shared" si="48"/>
        <v>Health/
Related Services</v>
      </c>
    </row>
    <row r="394" spans="1:23" x14ac:dyDescent="0.25">
      <c r="A394">
        <v>6117</v>
      </c>
      <c r="B394" t="s">
        <v>1295</v>
      </c>
      <c r="C394">
        <v>3.37</v>
      </c>
      <c r="D394" t="s">
        <v>1264</v>
      </c>
      <c r="E394">
        <v>100031</v>
      </c>
      <c r="F394">
        <v>6117</v>
      </c>
      <c r="G394" t="str">
        <f t="shared" si="46"/>
        <v>06117</v>
      </c>
      <c r="H394" t="s">
        <v>334</v>
      </c>
      <c r="I394" t="s">
        <v>1265</v>
      </c>
      <c r="J394" t="s">
        <v>1271</v>
      </c>
      <c r="K394" t="s">
        <v>1272</v>
      </c>
      <c r="L394" t="s">
        <v>1295</v>
      </c>
      <c r="M394" t="s">
        <v>1296</v>
      </c>
      <c r="N394">
        <v>1</v>
      </c>
      <c r="O394" t="str">
        <f t="shared" si="49"/>
        <v>26</v>
      </c>
      <c r="Q394">
        <v>26</v>
      </c>
      <c r="R394" t="s">
        <v>1269</v>
      </c>
      <c r="S394">
        <v>3.37</v>
      </c>
      <c r="T394">
        <v>0.20230000000000001</v>
      </c>
      <c r="U394">
        <f t="shared" si="50"/>
        <v>0</v>
      </c>
      <c r="V394" t="str">
        <f t="shared" si="47"/>
        <v>High Health/
Related Services</v>
      </c>
      <c r="W394" t="str">
        <f t="shared" si="48"/>
        <v>Health/
Related Services</v>
      </c>
    </row>
    <row r="395" spans="1:23" x14ac:dyDescent="0.25">
      <c r="A395">
        <v>6117</v>
      </c>
      <c r="B395" t="s">
        <v>1291</v>
      </c>
      <c r="C395">
        <v>2.2149999999999999</v>
      </c>
      <c r="D395" t="s">
        <v>1264</v>
      </c>
      <c r="E395">
        <v>100031</v>
      </c>
      <c r="F395">
        <v>6117</v>
      </c>
      <c r="G395" t="str">
        <f t="shared" si="46"/>
        <v>06117</v>
      </c>
      <c r="H395" t="s">
        <v>334</v>
      </c>
      <c r="I395" t="s">
        <v>1265</v>
      </c>
      <c r="J395" t="s">
        <v>1266</v>
      </c>
      <c r="K395" t="s">
        <v>1267</v>
      </c>
      <c r="L395" t="s">
        <v>1291</v>
      </c>
      <c r="M395" t="s">
        <v>1292</v>
      </c>
      <c r="N395">
        <v>1</v>
      </c>
      <c r="O395" t="str">
        <f t="shared" si="49"/>
        <v>26</v>
      </c>
      <c r="Q395">
        <v>26</v>
      </c>
      <c r="R395" t="s">
        <v>1269</v>
      </c>
      <c r="S395">
        <v>2.2149999999999999</v>
      </c>
      <c r="T395">
        <v>0.20230000000000001</v>
      </c>
      <c r="U395">
        <f t="shared" si="50"/>
        <v>0</v>
      </c>
      <c r="V395" t="str">
        <f t="shared" si="47"/>
        <v>Middle Health/
Related Services</v>
      </c>
      <c r="W395" t="str">
        <f t="shared" si="48"/>
        <v>Health/
Related Services</v>
      </c>
    </row>
    <row r="396" spans="1:23" x14ac:dyDescent="0.25">
      <c r="A396">
        <v>6117</v>
      </c>
      <c r="B396" t="s">
        <v>1401</v>
      </c>
      <c r="C396">
        <v>0.72599999999999998</v>
      </c>
      <c r="D396" t="s">
        <v>1264</v>
      </c>
      <c r="E396">
        <v>100031</v>
      </c>
      <c r="F396">
        <v>6117</v>
      </c>
      <c r="G396" t="str">
        <f t="shared" si="46"/>
        <v>06117</v>
      </c>
      <c r="H396" t="s">
        <v>334</v>
      </c>
      <c r="I396" t="s">
        <v>1265</v>
      </c>
      <c r="J396" t="s">
        <v>1271</v>
      </c>
      <c r="K396" t="s">
        <v>1272</v>
      </c>
      <c r="L396" t="s">
        <v>1401</v>
      </c>
      <c r="M396" t="s">
        <v>1422</v>
      </c>
      <c r="N396">
        <v>1</v>
      </c>
      <c r="O396" t="str">
        <f t="shared" si="49"/>
        <v>35</v>
      </c>
      <c r="Q396">
        <v>35</v>
      </c>
      <c r="R396" t="s">
        <v>1269</v>
      </c>
      <c r="S396">
        <v>0.72599999999999998</v>
      </c>
      <c r="T396">
        <v>0.20230000000000001</v>
      </c>
      <c r="U396">
        <f t="shared" si="50"/>
        <v>0</v>
      </c>
      <c r="V396" t="str">
        <f t="shared" si="47"/>
        <v>High Pupil Safety</v>
      </c>
      <c r="W396" t="str">
        <f t="shared" si="48"/>
        <v>Pupil Safety</v>
      </c>
    </row>
    <row r="397" spans="1:23" x14ac:dyDescent="0.25">
      <c r="A397">
        <v>6117</v>
      </c>
      <c r="B397" t="s">
        <v>1275</v>
      </c>
      <c r="C397">
        <v>8.266</v>
      </c>
      <c r="D397" t="s">
        <v>1264</v>
      </c>
      <c r="E397">
        <v>100031</v>
      </c>
      <c r="F397">
        <v>6117</v>
      </c>
      <c r="G397" t="str">
        <f t="shared" si="46"/>
        <v>06117</v>
      </c>
      <c r="H397" t="s">
        <v>334</v>
      </c>
      <c r="I397" t="s">
        <v>1265</v>
      </c>
      <c r="J397" t="s">
        <v>1276</v>
      </c>
      <c r="K397" t="s">
        <v>1277</v>
      </c>
      <c r="L397" t="s">
        <v>1275</v>
      </c>
      <c r="M397" t="s">
        <v>1278</v>
      </c>
      <c r="N397">
        <v>1</v>
      </c>
      <c r="O397" t="str">
        <f t="shared" si="49"/>
        <v>42</v>
      </c>
      <c r="P397">
        <v>42</v>
      </c>
      <c r="R397" t="s">
        <v>1269</v>
      </c>
      <c r="S397">
        <v>8.266</v>
      </c>
      <c r="T397">
        <v>0.20230000000000001</v>
      </c>
      <c r="U397">
        <f t="shared" si="50"/>
        <v>0</v>
      </c>
      <c r="V397" t="str">
        <f t="shared" si="47"/>
        <v>Elementary Counselor</v>
      </c>
      <c r="W397" t="str">
        <f t="shared" si="48"/>
        <v>Counselor</v>
      </c>
    </row>
    <row r="398" spans="1:23" x14ac:dyDescent="0.25">
      <c r="A398">
        <v>6117</v>
      </c>
      <c r="B398" t="s">
        <v>1270</v>
      </c>
      <c r="C398">
        <v>9.5280000000000005</v>
      </c>
      <c r="D398" t="s">
        <v>1264</v>
      </c>
      <c r="E398">
        <v>100031</v>
      </c>
      <c r="F398">
        <v>6117</v>
      </c>
      <c r="G398" t="str">
        <f t="shared" si="46"/>
        <v>06117</v>
      </c>
      <c r="H398" t="s">
        <v>334</v>
      </c>
      <c r="I398" t="s">
        <v>1265</v>
      </c>
      <c r="J398" t="s">
        <v>1271</v>
      </c>
      <c r="K398" t="s">
        <v>1272</v>
      </c>
      <c r="L398" t="s">
        <v>1270</v>
      </c>
      <c r="M398" t="s">
        <v>1273</v>
      </c>
      <c r="N398">
        <v>1</v>
      </c>
      <c r="O398" t="str">
        <f t="shared" si="49"/>
        <v>42</v>
      </c>
      <c r="P398">
        <v>42</v>
      </c>
      <c r="R398" t="s">
        <v>1269</v>
      </c>
      <c r="S398">
        <v>9.5280000000000005</v>
      </c>
      <c r="T398">
        <v>0.20230000000000001</v>
      </c>
      <c r="U398">
        <f t="shared" si="50"/>
        <v>0</v>
      </c>
      <c r="V398" t="str">
        <f t="shared" si="47"/>
        <v>High Counselor</v>
      </c>
      <c r="W398" t="str">
        <f t="shared" si="48"/>
        <v>Counselor</v>
      </c>
    </row>
    <row r="399" spans="1:23" x14ac:dyDescent="0.25">
      <c r="A399">
        <v>6117</v>
      </c>
      <c r="B399" t="s">
        <v>1263</v>
      </c>
      <c r="C399">
        <v>2.3340000000000001</v>
      </c>
      <c r="D399" t="s">
        <v>1264</v>
      </c>
      <c r="E399">
        <v>100031</v>
      </c>
      <c r="F399">
        <v>6117</v>
      </c>
      <c r="G399" t="str">
        <f t="shared" si="46"/>
        <v>06117</v>
      </c>
      <c r="H399" t="s">
        <v>334</v>
      </c>
      <c r="I399" t="s">
        <v>1265</v>
      </c>
      <c r="J399" t="s">
        <v>1266</v>
      </c>
      <c r="K399" t="s">
        <v>1267</v>
      </c>
      <c r="L399" t="s">
        <v>1263</v>
      </c>
      <c r="M399" t="s">
        <v>1268</v>
      </c>
      <c r="N399">
        <v>1</v>
      </c>
      <c r="O399" t="str">
        <f t="shared" si="49"/>
        <v>42</v>
      </c>
      <c r="P399">
        <v>42</v>
      </c>
      <c r="R399" t="s">
        <v>1269</v>
      </c>
      <c r="S399">
        <v>2.3340000000000001</v>
      </c>
      <c r="T399">
        <v>0.20230000000000001</v>
      </c>
      <c r="U399">
        <f t="shared" si="50"/>
        <v>0</v>
      </c>
      <c r="V399" t="str">
        <f t="shared" si="47"/>
        <v>Middle Counselor</v>
      </c>
      <c r="W399" t="str">
        <f t="shared" si="48"/>
        <v>Counselor</v>
      </c>
    </row>
    <row r="400" spans="1:23" x14ac:dyDescent="0.25">
      <c r="A400">
        <v>6117</v>
      </c>
      <c r="B400" t="s">
        <v>1289</v>
      </c>
      <c r="C400">
        <v>2.8</v>
      </c>
      <c r="D400" t="s">
        <v>1264</v>
      </c>
      <c r="E400">
        <v>100031</v>
      </c>
      <c r="F400">
        <v>6117</v>
      </c>
      <c r="G400" t="str">
        <f t="shared" si="46"/>
        <v>06117</v>
      </c>
      <c r="H400" t="s">
        <v>334</v>
      </c>
      <c r="I400" t="s">
        <v>1265</v>
      </c>
      <c r="J400" t="s">
        <v>1276</v>
      </c>
      <c r="K400" t="s">
        <v>1277</v>
      </c>
      <c r="L400" t="s">
        <v>1289</v>
      </c>
      <c r="M400" t="s">
        <v>1307</v>
      </c>
      <c r="N400">
        <v>21</v>
      </c>
      <c r="O400" t="str">
        <f t="shared" si="49"/>
        <v>43</v>
      </c>
      <c r="P400">
        <v>43</v>
      </c>
      <c r="R400" t="s">
        <v>1269</v>
      </c>
      <c r="S400">
        <v>2.8</v>
      </c>
      <c r="T400">
        <v>0.20230000000000001</v>
      </c>
      <c r="U400">
        <f t="shared" si="50"/>
        <v>0.56599999999999995</v>
      </c>
      <c r="V400" t="str">
        <f t="shared" si="47"/>
        <v>Elementary Occupational Therapist</v>
      </c>
      <c r="W400" t="str">
        <f t="shared" si="48"/>
        <v>Occupational Therapist</v>
      </c>
    </row>
    <row r="401" spans="1:23" x14ac:dyDescent="0.25">
      <c r="A401">
        <v>6117</v>
      </c>
      <c r="B401" t="s">
        <v>1294</v>
      </c>
      <c r="C401">
        <v>7.6</v>
      </c>
      <c r="D401" t="s">
        <v>1264</v>
      </c>
      <c r="E401">
        <v>100031</v>
      </c>
      <c r="F401">
        <v>6117</v>
      </c>
      <c r="G401" t="str">
        <f t="shared" si="46"/>
        <v>06117</v>
      </c>
      <c r="H401" t="s">
        <v>334</v>
      </c>
      <c r="I401" t="s">
        <v>1265</v>
      </c>
      <c r="J401" t="s">
        <v>1276</v>
      </c>
      <c r="K401" t="s">
        <v>1277</v>
      </c>
      <c r="L401" t="s">
        <v>1294</v>
      </c>
      <c r="M401" t="s">
        <v>1354</v>
      </c>
      <c r="N401">
        <v>21</v>
      </c>
      <c r="O401" t="str">
        <f t="shared" si="49"/>
        <v>45</v>
      </c>
      <c r="P401">
        <v>45</v>
      </c>
      <c r="R401" t="s">
        <v>1269</v>
      </c>
      <c r="S401">
        <v>7.6</v>
      </c>
      <c r="T401">
        <v>0.20230000000000001</v>
      </c>
      <c r="U401">
        <f t="shared" si="50"/>
        <v>1.5369999999999999</v>
      </c>
      <c r="V401" t="str">
        <f t="shared" si="47"/>
        <v>Elementary Speech, Language Pathway/
Audio</v>
      </c>
      <c r="W401" t="str">
        <f t="shared" si="48"/>
        <v>Speech, Language Pathway/
Audio</v>
      </c>
    </row>
    <row r="402" spans="1:23" x14ac:dyDescent="0.25">
      <c r="A402">
        <v>6117</v>
      </c>
      <c r="B402" t="s">
        <v>1326</v>
      </c>
      <c r="C402">
        <v>2</v>
      </c>
      <c r="D402" t="s">
        <v>1264</v>
      </c>
      <c r="E402">
        <v>100031</v>
      </c>
      <c r="F402">
        <v>6117</v>
      </c>
      <c r="G402" t="str">
        <f t="shared" si="46"/>
        <v>06117</v>
      </c>
      <c r="H402" t="s">
        <v>334</v>
      </c>
      <c r="I402" t="s">
        <v>1265</v>
      </c>
      <c r="J402" t="s">
        <v>1271</v>
      </c>
      <c r="K402" t="s">
        <v>1272</v>
      </c>
      <c r="L402" t="s">
        <v>1326</v>
      </c>
      <c r="M402" t="s">
        <v>1353</v>
      </c>
      <c r="N402">
        <v>21</v>
      </c>
      <c r="O402" t="str">
        <f t="shared" si="49"/>
        <v>45</v>
      </c>
      <c r="P402">
        <v>45</v>
      </c>
      <c r="R402" t="s">
        <v>1269</v>
      </c>
      <c r="S402">
        <v>2</v>
      </c>
      <c r="T402">
        <v>0.20230000000000001</v>
      </c>
      <c r="U402">
        <f t="shared" si="50"/>
        <v>0.40500000000000003</v>
      </c>
      <c r="V402" t="str">
        <f t="shared" si="47"/>
        <v>High Speech, Language Pathway/
Audio</v>
      </c>
      <c r="W402" t="str">
        <f t="shared" si="48"/>
        <v>Speech, Language Pathway/
Audio</v>
      </c>
    </row>
    <row r="403" spans="1:23" x14ac:dyDescent="0.25">
      <c r="A403">
        <v>6117</v>
      </c>
      <c r="B403" t="s">
        <v>1298</v>
      </c>
      <c r="C403">
        <v>7</v>
      </c>
      <c r="D403" t="s">
        <v>1264</v>
      </c>
      <c r="E403">
        <v>100031</v>
      </c>
      <c r="F403">
        <v>6117</v>
      </c>
      <c r="G403" t="str">
        <f t="shared" si="46"/>
        <v>06117</v>
      </c>
      <c r="H403" t="s">
        <v>334</v>
      </c>
      <c r="I403" t="s">
        <v>1265</v>
      </c>
      <c r="J403" t="s">
        <v>1276</v>
      </c>
      <c r="K403" t="s">
        <v>1277</v>
      </c>
      <c r="L403" t="s">
        <v>1298</v>
      </c>
      <c r="M403" t="s">
        <v>1349</v>
      </c>
      <c r="N403">
        <v>21</v>
      </c>
      <c r="O403" t="str">
        <f t="shared" si="49"/>
        <v>46</v>
      </c>
      <c r="P403">
        <v>46</v>
      </c>
      <c r="R403" t="s">
        <v>1269</v>
      </c>
      <c r="S403">
        <v>7</v>
      </c>
      <c r="T403">
        <v>0.20230000000000001</v>
      </c>
      <c r="U403">
        <f t="shared" si="50"/>
        <v>1.4159999999999999</v>
      </c>
      <c r="V403" t="str">
        <f t="shared" si="47"/>
        <v>Elementary Psychologist</v>
      </c>
      <c r="W403" t="str">
        <f t="shared" si="48"/>
        <v>Psychologist</v>
      </c>
    </row>
    <row r="404" spans="1:23" x14ac:dyDescent="0.25">
      <c r="A404">
        <v>6117</v>
      </c>
      <c r="B404" t="s">
        <v>1309</v>
      </c>
      <c r="C404">
        <v>0.15</v>
      </c>
      <c r="D404" t="s">
        <v>1264</v>
      </c>
      <c r="E404">
        <v>100031</v>
      </c>
      <c r="F404">
        <v>6117</v>
      </c>
      <c r="G404" t="str">
        <f t="shared" si="46"/>
        <v>06117</v>
      </c>
      <c r="H404" t="s">
        <v>334</v>
      </c>
      <c r="I404" t="s">
        <v>1265</v>
      </c>
      <c r="J404" t="s">
        <v>1271</v>
      </c>
      <c r="K404" t="s">
        <v>1272</v>
      </c>
      <c r="L404" t="s">
        <v>1309</v>
      </c>
      <c r="M404" t="s">
        <v>1310</v>
      </c>
      <c r="N404">
        <v>21</v>
      </c>
      <c r="O404" t="str">
        <f t="shared" si="49"/>
        <v>46</v>
      </c>
      <c r="P404">
        <v>46</v>
      </c>
      <c r="R404" t="s">
        <v>1269</v>
      </c>
      <c r="S404">
        <v>0.15</v>
      </c>
      <c r="T404">
        <v>0.20230000000000001</v>
      </c>
      <c r="U404">
        <f t="shared" si="50"/>
        <v>0.03</v>
      </c>
      <c r="V404" t="str">
        <f t="shared" si="47"/>
        <v>High Psychologist</v>
      </c>
      <c r="W404" t="str">
        <f t="shared" si="48"/>
        <v>Psychologist</v>
      </c>
    </row>
    <row r="405" spans="1:23" x14ac:dyDescent="0.25">
      <c r="A405">
        <v>6117</v>
      </c>
      <c r="B405" t="s">
        <v>1345</v>
      </c>
      <c r="C405">
        <v>0.6</v>
      </c>
      <c r="D405" t="s">
        <v>1264</v>
      </c>
      <c r="E405">
        <v>100031</v>
      </c>
      <c r="F405">
        <v>6117</v>
      </c>
      <c r="G405" t="str">
        <f t="shared" si="46"/>
        <v>06117</v>
      </c>
      <c r="H405" t="s">
        <v>334</v>
      </c>
      <c r="I405" t="s">
        <v>1265</v>
      </c>
      <c r="J405" t="s">
        <v>1266</v>
      </c>
      <c r="K405" t="s">
        <v>1267</v>
      </c>
      <c r="L405" t="s">
        <v>1345</v>
      </c>
      <c r="M405" t="s">
        <v>1346</v>
      </c>
      <c r="N405">
        <v>21</v>
      </c>
      <c r="O405" t="str">
        <f t="shared" si="49"/>
        <v>46</v>
      </c>
      <c r="P405">
        <v>46</v>
      </c>
      <c r="R405" t="s">
        <v>1269</v>
      </c>
      <c r="S405">
        <v>0.6</v>
      </c>
      <c r="T405">
        <v>0.20230000000000001</v>
      </c>
      <c r="U405">
        <f t="shared" si="50"/>
        <v>0.121</v>
      </c>
      <c r="V405" t="str">
        <f t="shared" si="47"/>
        <v>Middle Psychologist</v>
      </c>
      <c r="W405" t="str">
        <f t="shared" si="48"/>
        <v>Psychologist</v>
      </c>
    </row>
    <row r="406" spans="1:23" x14ac:dyDescent="0.25">
      <c r="A406">
        <v>6117</v>
      </c>
      <c r="B406" t="s">
        <v>1302</v>
      </c>
      <c r="C406">
        <v>0.5</v>
      </c>
      <c r="D406" t="s">
        <v>1264</v>
      </c>
      <c r="E406">
        <v>100031</v>
      </c>
      <c r="F406">
        <v>6117</v>
      </c>
      <c r="G406" t="str">
        <f t="shared" si="46"/>
        <v>06117</v>
      </c>
      <c r="H406" t="s">
        <v>334</v>
      </c>
      <c r="I406" t="s">
        <v>1265</v>
      </c>
      <c r="J406" t="s">
        <v>1276</v>
      </c>
      <c r="K406" t="s">
        <v>1277</v>
      </c>
      <c r="L406" t="s">
        <v>1302</v>
      </c>
      <c r="M406" t="s">
        <v>1336</v>
      </c>
      <c r="N406">
        <v>21</v>
      </c>
      <c r="O406" t="str">
        <f t="shared" si="49"/>
        <v>48</v>
      </c>
      <c r="P406">
        <v>48</v>
      </c>
      <c r="R406" t="s">
        <v>1269</v>
      </c>
      <c r="S406">
        <v>0.5</v>
      </c>
      <c r="T406">
        <v>0.20230000000000001</v>
      </c>
      <c r="U406">
        <f t="shared" si="50"/>
        <v>0.10100000000000001</v>
      </c>
      <c r="V406" t="str">
        <f t="shared" si="47"/>
        <v>Elementary Physical Therapist</v>
      </c>
      <c r="W406" t="str">
        <f t="shared" si="48"/>
        <v>Physical Therapist</v>
      </c>
    </row>
    <row r="407" spans="1:23" x14ac:dyDescent="0.25">
      <c r="A407">
        <v>6117</v>
      </c>
      <c r="B407" t="s">
        <v>1316</v>
      </c>
      <c r="C407">
        <v>1</v>
      </c>
      <c r="D407" t="s">
        <v>1264</v>
      </c>
      <c r="E407">
        <v>100031</v>
      </c>
      <c r="F407">
        <v>6117</v>
      </c>
      <c r="G407" t="str">
        <f t="shared" si="46"/>
        <v>06117</v>
      </c>
      <c r="H407" t="s">
        <v>334</v>
      </c>
      <c r="I407" t="s">
        <v>1265</v>
      </c>
      <c r="J407" t="s">
        <v>1266</v>
      </c>
      <c r="K407" t="s">
        <v>1267</v>
      </c>
      <c r="L407" t="s">
        <v>1316</v>
      </c>
      <c r="M407" t="s">
        <v>1366</v>
      </c>
      <c r="N407">
        <v>21</v>
      </c>
      <c r="O407" t="str">
        <f t="shared" si="49"/>
        <v>48</v>
      </c>
      <c r="P407">
        <v>48</v>
      </c>
      <c r="R407" t="s">
        <v>1269</v>
      </c>
      <c r="S407">
        <v>1</v>
      </c>
      <c r="T407">
        <v>0.20230000000000001</v>
      </c>
      <c r="U407">
        <f t="shared" si="50"/>
        <v>0.20200000000000001</v>
      </c>
      <c r="V407" t="str">
        <f t="shared" si="47"/>
        <v>Middle Physical Therapist</v>
      </c>
      <c r="W407" t="str">
        <f t="shared" si="48"/>
        <v>Physical Therapist</v>
      </c>
    </row>
    <row r="408" spans="1:23" x14ac:dyDescent="0.25">
      <c r="A408">
        <v>6119</v>
      </c>
      <c r="B408" t="s">
        <v>1286</v>
      </c>
      <c r="C408">
        <v>2.0670000000000002</v>
      </c>
      <c r="D408" t="s">
        <v>1264</v>
      </c>
      <c r="E408">
        <v>100018</v>
      </c>
      <c r="F408">
        <v>6119</v>
      </c>
      <c r="G408" t="str">
        <f t="shared" si="46"/>
        <v>06119</v>
      </c>
      <c r="H408" t="s">
        <v>335</v>
      </c>
      <c r="I408" t="s">
        <v>1265</v>
      </c>
      <c r="J408" t="s">
        <v>1271</v>
      </c>
      <c r="K408" t="s">
        <v>1272</v>
      </c>
      <c r="L408" t="s">
        <v>1286</v>
      </c>
      <c r="M408" t="s">
        <v>1287</v>
      </c>
      <c r="N408">
        <v>1</v>
      </c>
      <c r="O408" t="str">
        <f t="shared" si="49"/>
        <v>24</v>
      </c>
      <c r="P408">
        <v>96</v>
      </c>
      <c r="Q408">
        <v>24</v>
      </c>
      <c r="R408" t="s">
        <v>1269</v>
      </c>
      <c r="S408">
        <v>2.0670000000000002</v>
      </c>
      <c r="T408">
        <v>0.22189999999999999</v>
      </c>
      <c r="U408">
        <f t="shared" si="50"/>
        <v>0</v>
      </c>
      <c r="V408" t="str">
        <f t="shared" si="47"/>
        <v>High Family Engagement Coordinator</v>
      </c>
      <c r="W408" t="str">
        <f t="shared" si="48"/>
        <v>Family Engagement Coordinator</v>
      </c>
    </row>
    <row r="409" spans="1:23" x14ac:dyDescent="0.25">
      <c r="A409">
        <v>6119</v>
      </c>
      <c r="B409" t="s">
        <v>1284</v>
      </c>
      <c r="C409">
        <v>1.845</v>
      </c>
      <c r="D409" t="s">
        <v>1264</v>
      </c>
      <c r="E409">
        <v>100018</v>
      </c>
      <c r="F409">
        <v>6119</v>
      </c>
      <c r="G409" t="str">
        <f t="shared" si="46"/>
        <v>06119</v>
      </c>
      <c r="H409" t="s">
        <v>335</v>
      </c>
      <c r="I409" t="s">
        <v>1265</v>
      </c>
      <c r="J409" t="s">
        <v>1266</v>
      </c>
      <c r="K409" t="s">
        <v>1267</v>
      </c>
      <c r="L409" t="s">
        <v>1284</v>
      </c>
      <c r="M409" t="s">
        <v>1285</v>
      </c>
      <c r="N409">
        <v>1</v>
      </c>
      <c r="O409" t="str">
        <f t="shared" si="49"/>
        <v>24</v>
      </c>
      <c r="P409">
        <v>96</v>
      </c>
      <c r="Q409">
        <v>24</v>
      </c>
      <c r="R409" t="s">
        <v>1269</v>
      </c>
      <c r="S409">
        <v>1.845</v>
      </c>
      <c r="T409">
        <v>0.22189999999999999</v>
      </c>
      <c r="U409">
        <f t="shared" si="50"/>
        <v>0</v>
      </c>
      <c r="V409" t="str">
        <f t="shared" si="47"/>
        <v>Middle Family Engagement Coordinator</v>
      </c>
      <c r="W409" t="str">
        <f t="shared" si="48"/>
        <v>Family Engagement Coordinator</v>
      </c>
    </row>
    <row r="410" spans="1:23" x14ac:dyDescent="0.25">
      <c r="A410">
        <v>6119</v>
      </c>
      <c r="B410" t="s">
        <v>1308</v>
      </c>
      <c r="C410">
        <v>12.385999999999999</v>
      </c>
      <c r="D410" t="s">
        <v>1264</v>
      </c>
      <c r="E410">
        <v>100018</v>
      </c>
      <c r="F410">
        <v>6119</v>
      </c>
      <c r="G410" t="str">
        <f t="shared" si="46"/>
        <v>06119</v>
      </c>
      <c r="H410" t="s">
        <v>335</v>
      </c>
      <c r="I410" t="s">
        <v>1265</v>
      </c>
      <c r="J410" t="s">
        <v>1276</v>
      </c>
      <c r="K410" t="s">
        <v>1277</v>
      </c>
      <c r="L410" t="s">
        <v>1308</v>
      </c>
      <c r="M410" t="s">
        <v>1389</v>
      </c>
      <c r="N410">
        <v>1</v>
      </c>
      <c r="O410" t="str">
        <f t="shared" si="49"/>
        <v>25</v>
      </c>
      <c r="Q410">
        <v>25</v>
      </c>
      <c r="R410" t="s">
        <v>1269</v>
      </c>
      <c r="S410">
        <v>12.385999999999999</v>
      </c>
      <c r="T410">
        <v>0.22189999999999999</v>
      </c>
      <c r="U410">
        <f t="shared" si="50"/>
        <v>0</v>
      </c>
      <c r="V410" t="str">
        <f t="shared" si="47"/>
        <v>Elementary Pupil Management</v>
      </c>
      <c r="W410" t="str">
        <f t="shared" si="48"/>
        <v>Pupil Management</v>
      </c>
    </row>
    <row r="411" spans="1:23" x14ac:dyDescent="0.25">
      <c r="A411">
        <v>6119</v>
      </c>
      <c r="B411" t="s">
        <v>1383</v>
      </c>
      <c r="C411">
        <v>1.796</v>
      </c>
      <c r="D411" t="s">
        <v>1264</v>
      </c>
      <c r="E411">
        <v>100018</v>
      </c>
      <c r="F411">
        <v>6119</v>
      </c>
      <c r="G411" t="str">
        <f t="shared" si="46"/>
        <v>06119</v>
      </c>
      <c r="H411" t="s">
        <v>335</v>
      </c>
      <c r="I411" t="s">
        <v>1265</v>
      </c>
      <c r="J411" t="s">
        <v>1271</v>
      </c>
      <c r="K411" t="s">
        <v>1272</v>
      </c>
      <c r="L411" t="s">
        <v>1383</v>
      </c>
      <c r="M411" t="s">
        <v>1409</v>
      </c>
      <c r="N411">
        <v>21</v>
      </c>
      <c r="O411" t="str">
        <f t="shared" si="49"/>
        <v>25</v>
      </c>
      <c r="Q411">
        <v>25</v>
      </c>
      <c r="R411" t="s">
        <v>1269</v>
      </c>
      <c r="S411">
        <v>1.796</v>
      </c>
      <c r="T411">
        <v>0.22189999999999999</v>
      </c>
      <c r="U411">
        <f t="shared" si="50"/>
        <v>0.39900000000000002</v>
      </c>
      <c r="V411" t="str">
        <f t="shared" si="47"/>
        <v>High Pupil Management</v>
      </c>
      <c r="W411" t="str">
        <f t="shared" si="48"/>
        <v>Pupil Management</v>
      </c>
    </row>
    <row r="412" spans="1:23" x14ac:dyDescent="0.25">
      <c r="A412">
        <v>6119</v>
      </c>
      <c r="B412" t="s">
        <v>1299</v>
      </c>
      <c r="C412">
        <v>11.167</v>
      </c>
      <c r="D412" t="s">
        <v>1264</v>
      </c>
      <c r="E412">
        <v>100018</v>
      </c>
      <c r="F412">
        <v>6119</v>
      </c>
      <c r="G412" t="str">
        <f t="shared" si="46"/>
        <v>06119</v>
      </c>
      <c r="H412" t="s">
        <v>335</v>
      </c>
      <c r="I412" t="s">
        <v>1265</v>
      </c>
      <c r="J412" t="s">
        <v>1271</v>
      </c>
      <c r="K412" t="s">
        <v>1272</v>
      </c>
      <c r="L412" t="s">
        <v>1299</v>
      </c>
      <c r="M412" t="s">
        <v>1300</v>
      </c>
      <c r="N412">
        <v>1</v>
      </c>
      <c r="O412" t="str">
        <f t="shared" si="49"/>
        <v>25</v>
      </c>
      <c r="Q412">
        <v>25</v>
      </c>
      <c r="R412" t="s">
        <v>1269</v>
      </c>
      <c r="S412">
        <v>11.167</v>
      </c>
      <c r="T412">
        <v>0.22189999999999999</v>
      </c>
      <c r="U412">
        <f t="shared" si="50"/>
        <v>0</v>
      </c>
      <c r="V412" t="str">
        <f t="shared" si="47"/>
        <v>High Pupil Management</v>
      </c>
      <c r="W412" t="str">
        <f t="shared" si="48"/>
        <v>Pupil Management</v>
      </c>
    </row>
    <row r="413" spans="1:23" x14ac:dyDescent="0.25">
      <c r="A413">
        <v>6119</v>
      </c>
      <c r="B413" t="s">
        <v>1363</v>
      </c>
      <c r="C413">
        <v>5.407</v>
      </c>
      <c r="D413" t="s">
        <v>1264</v>
      </c>
      <c r="E413">
        <v>100018</v>
      </c>
      <c r="F413">
        <v>6119</v>
      </c>
      <c r="G413" t="str">
        <f t="shared" si="46"/>
        <v>06119</v>
      </c>
      <c r="H413" t="s">
        <v>335</v>
      </c>
      <c r="I413" t="s">
        <v>1265</v>
      </c>
      <c r="J413" t="s">
        <v>1266</v>
      </c>
      <c r="K413" t="s">
        <v>1267</v>
      </c>
      <c r="L413" t="s">
        <v>1363</v>
      </c>
      <c r="M413" t="s">
        <v>1386</v>
      </c>
      <c r="N413">
        <v>1</v>
      </c>
      <c r="O413" t="str">
        <f t="shared" si="49"/>
        <v>25</v>
      </c>
      <c r="Q413">
        <v>25</v>
      </c>
      <c r="R413" t="s">
        <v>1269</v>
      </c>
      <c r="S413">
        <v>5.407</v>
      </c>
      <c r="T413">
        <v>0.22189999999999999</v>
      </c>
      <c r="U413">
        <f t="shared" si="50"/>
        <v>0</v>
      </c>
      <c r="V413" t="str">
        <f t="shared" si="47"/>
        <v>Middle Pupil Management</v>
      </c>
      <c r="W413" t="str">
        <f t="shared" si="48"/>
        <v>Pupil Management</v>
      </c>
    </row>
    <row r="414" spans="1:23" x14ac:dyDescent="0.25">
      <c r="A414">
        <v>6119</v>
      </c>
      <c r="B414" t="s">
        <v>1311</v>
      </c>
      <c r="C414">
        <v>0.95299999999999996</v>
      </c>
      <c r="D414" t="s">
        <v>1264</v>
      </c>
      <c r="E414">
        <v>100018</v>
      </c>
      <c r="F414">
        <v>6119</v>
      </c>
      <c r="G414" t="str">
        <f t="shared" si="46"/>
        <v>06119</v>
      </c>
      <c r="H414" t="s">
        <v>335</v>
      </c>
      <c r="I414" t="s">
        <v>1265</v>
      </c>
      <c r="J414" t="s">
        <v>1276</v>
      </c>
      <c r="K414" t="s">
        <v>1277</v>
      </c>
      <c r="L414" t="s">
        <v>1311</v>
      </c>
      <c r="M414" t="s">
        <v>1327</v>
      </c>
      <c r="N414">
        <v>21</v>
      </c>
      <c r="O414" t="str">
        <f t="shared" si="49"/>
        <v>26</v>
      </c>
      <c r="Q414">
        <v>26</v>
      </c>
      <c r="R414" t="s">
        <v>1269</v>
      </c>
      <c r="S414">
        <v>0.95299999999999996</v>
      </c>
      <c r="T414">
        <v>0.22189999999999999</v>
      </c>
      <c r="U414">
        <f t="shared" si="50"/>
        <v>0.21099999999999999</v>
      </c>
      <c r="V414" t="str">
        <f t="shared" si="47"/>
        <v>Elementary Health/
Related Services</v>
      </c>
      <c r="W414" t="str">
        <f t="shared" si="48"/>
        <v>Health/
Related Services</v>
      </c>
    </row>
    <row r="415" spans="1:23" x14ac:dyDescent="0.25">
      <c r="A415">
        <v>6119</v>
      </c>
      <c r="B415" t="s">
        <v>1315</v>
      </c>
      <c r="C415">
        <v>5.1669999999999998</v>
      </c>
      <c r="D415" t="s">
        <v>1264</v>
      </c>
      <c r="E415">
        <v>100018</v>
      </c>
      <c r="F415">
        <v>6119</v>
      </c>
      <c r="G415" t="str">
        <f t="shared" si="46"/>
        <v>06119</v>
      </c>
      <c r="H415" t="s">
        <v>335</v>
      </c>
      <c r="I415" t="s">
        <v>1265</v>
      </c>
      <c r="J415" t="s">
        <v>1276</v>
      </c>
      <c r="K415" t="s">
        <v>1277</v>
      </c>
      <c r="L415" t="s">
        <v>1315</v>
      </c>
      <c r="M415" t="s">
        <v>1375</v>
      </c>
      <c r="N415">
        <v>1</v>
      </c>
      <c r="O415" t="str">
        <f t="shared" si="49"/>
        <v>26</v>
      </c>
      <c r="Q415">
        <v>26</v>
      </c>
      <c r="R415" t="s">
        <v>1269</v>
      </c>
      <c r="S415">
        <v>5.1669999999999998</v>
      </c>
      <c r="T415">
        <v>0.22189999999999999</v>
      </c>
      <c r="U415">
        <f t="shared" si="50"/>
        <v>0</v>
      </c>
      <c r="V415" t="str">
        <f t="shared" si="47"/>
        <v>Elementary Health/
Related Services</v>
      </c>
      <c r="W415" t="str">
        <f t="shared" si="48"/>
        <v>Health/
Related Services</v>
      </c>
    </row>
    <row r="416" spans="1:23" x14ac:dyDescent="0.25">
      <c r="A416">
        <v>6119</v>
      </c>
      <c r="B416" t="s">
        <v>1324</v>
      </c>
      <c r="C416">
        <v>0.81499999999999995</v>
      </c>
      <c r="D416" t="s">
        <v>1264</v>
      </c>
      <c r="E416">
        <v>100018</v>
      </c>
      <c r="F416">
        <v>6119</v>
      </c>
      <c r="G416" t="str">
        <f t="shared" si="46"/>
        <v>06119</v>
      </c>
      <c r="H416" t="s">
        <v>335</v>
      </c>
      <c r="I416" t="s">
        <v>1265</v>
      </c>
      <c r="J416" t="s">
        <v>1271</v>
      </c>
      <c r="K416" t="s">
        <v>1272</v>
      </c>
      <c r="L416" t="s">
        <v>1324</v>
      </c>
      <c r="M416" t="s">
        <v>1325</v>
      </c>
      <c r="N416">
        <v>21</v>
      </c>
      <c r="O416" t="str">
        <f t="shared" si="49"/>
        <v>26</v>
      </c>
      <c r="Q416">
        <v>26</v>
      </c>
      <c r="R416" t="s">
        <v>1269</v>
      </c>
      <c r="S416">
        <v>0.81499999999999995</v>
      </c>
      <c r="T416">
        <v>0.22189999999999999</v>
      </c>
      <c r="U416">
        <f t="shared" si="50"/>
        <v>0.18099999999999999</v>
      </c>
      <c r="V416" t="str">
        <f t="shared" si="47"/>
        <v>High Health/
Related Services</v>
      </c>
      <c r="W416" t="str">
        <f t="shared" si="48"/>
        <v>Health/
Related Services</v>
      </c>
    </row>
    <row r="417" spans="1:23" x14ac:dyDescent="0.25">
      <c r="A417">
        <v>6119</v>
      </c>
      <c r="B417" t="s">
        <v>1295</v>
      </c>
      <c r="C417">
        <v>0.73799999999999999</v>
      </c>
      <c r="D417" t="s">
        <v>1264</v>
      </c>
      <c r="E417">
        <v>100018</v>
      </c>
      <c r="F417">
        <v>6119</v>
      </c>
      <c r="G417" t="str">
        <f t="shared" si="46"/>
        <v>06119</v>
      </c>
      <c r="H417" t="s">
        <v>335</v>
      </c>
      <c r="I417" t="s">
        <v>1265</v>
      </c>
      <c r="J417" t="s">
        <v>1271</v>
      </c>
      <c r="K417" t="s">
        <v>1272</v>
      </c>
      <c r="L417" t="s">
        <v>1295</v>
      </c>
      <c r="M417" t="s">
        <v>1296</v>
      </c>
      <c r="N417">
        <v>1</v>
      </c>
      <c r="O417" t="str">
        <f t="shared" si="49"/>
        <v>26</v>
      </c>
      <c r="Q417">
        <v>26</v>
      </c>
      <c r="R417" t="s">
        <v>1269</v>
      </c>
      <c r="S417">
        <v>0.73799999999999999</v>
      </c>
      <c r="T417">
        <v>0.22189999999999999</v>
      </c>
      <c r="U417">
        <f t="shared" si="50"/>
        <v>0</v>
      </c>
      <c r="V417" t="str">
        <f t="shared" si="47"/>
        <v>High Health/
Related Services</v>
      </c>
      <c r="W417" t="str">
        <f t="shared" si="48"/>
        <v>Health/
Related Services</v>
      </c>
    </row>
    <row r="418" spans="1:23" x14ac:dyDescent="0.25">
      <c r="A418">
        <v>6119</v>
      </c>
      <c r="B418" t="s">
        <v>1322</v>
      </c>
      <c r="C418">
        <v>0.81499999999999995</v>
      </c>
      <c r="D418" t="s">
        <v>1264</v>
      </c>
      <c r="E418">
        <v>100018</v>
      </c>
      <c r="F418">
        <v>6119</v>
      </c>
      <c r="G418" t="str">
        <f t="shared" si="46"/>
        <v>06119</v>
      </c>
      <c r="H418" t="s">
        <v>335</v>
      </c>
      <c r="I418" t="s">
        <v>1265</v>
      </c>
      <c r="J418" t="s">
        <v>1266</v>
      </c>
      <c r="K418" t="s">
        <v>1267</v>
      </c>
      <c r="L418" t="s">
        <v>1322</v>
      </c>
      <c r="M418" t="s">
        <v>1323</v>
      </c>
      <c r="N418">
        <v>21</v>
      </c>
      <c r="O418" t="str">
        <f t="shared" si="49"/>
        <v>26</v>
      </c>
      <c r="Q418">
        <v>26</v>
      </c>
      <c r="R418" t="s">
        <v>1269</v>
      </c>
      <c r="S418">
        <v>0.81499999999999995</v>
      </c>
      <c r="T418">
        <v>0.22189999999999999</v>
      </c>
      <c r="U418">
        <f t="shared" si="50"/>
        <v>0.18099999999999999</v>
      </c>
      <c r="V418" t="str">
        <f t="shared" si="47"/>
        <v>Middle Health/
Related Services</v>
      </c>
      <c r="W418" t="str">
        <f t="shared" si="48"/>
        <v>Health/
Related Services</v>
      </c>
    </row>
    <row r="419" spans="1:23" x14ac:dyDescent="0.25">
      <c r="A419">
        <v>6119</v>
      </c>
      <c r="B419" t="s">
        <v>1291</v>
      </c>
      <c r="C419">
        <v>2.952</v>
      </c>
      <c r="D419" t="s">
        <v>1264</v>
      </c>
      <c r="E419">
        <v>100018</v>
      </c>
      <c r="F419">
        <v>6119</v>
      </c>
      <c r="G419" t="str">
        <f t="shared" si="46"/>
        <v>06119</v>
      </c>
      <c r="H419" t="s">
        <v>335</v>
      </c>
      <c r="I419" t="s">
        <v>1265</v>
      </c>
      <c r="J419" t="s">
        <v>1266</v>
      </c>
      <c r="K419" t="s">
        <v>1267</v>
      </c>
      <c r="L419" t="s">
        <v>1291</v>
      </c>
      <c r="M419" t="s">
        <v>1292</v>
      </c>
      <c r="N419">
        <v>1</v>
      </c>
      <c r="O419" t="str">
        <f t="shared" si="49"/>
        <v>26</v>
      </c>
      <c r="Q419">
        <v>26</v>
      </c>
      <c r="R419" t="s">
        <v>1269</v>
      </c>
      <c r="S419">
        <v>2.952</v>
      </c>
      <c r="T419">
        <v>0.22189999999999999</v>
      </c>
      <c r="U419">
        <f t="shared" si="50"/>
        <v>0</v>
      </c>
      <c r="V419" t="str">
        <f t="shared" si="47"/>
        <v>Middle Health/
Related Services</v>
      </c>
      <c r="W419" t="str">
        <f t="shared" si="48"/>
        <v>Health/
Related Services</v>
      </c>
    </row>
    <row r="420" spans="1:23" x14ac:dyDescent="0.25">
      <c r="A420">
        <v>6119</v>
      </c>
      <c r="B420" t="s">
        <v>1402</v>
      </c>
      <c r="C420">
        <v>1.9039999999999999</v>
      </c>
      <c r="D420" t="s">
        <v>1264</v>
      </c>
      <c r="E420">
        <v>100018</v>
      </c>
      <c r="F420">
        <v>6119</v>
      </c>
      <c r="G420" t="str">
        <f t="shared" si="46"/>
        <v>06119</v>
      </c>
      <c r="H420" t="s">
        <v>335</v>
      </c>
      <c r="I420" t="s">
        <v>1265</v>
      </c>
      <c r="J420" t="s">
        <v>1271</v>
      </c>
      <c r="K420" t="s">
        <v>1272</v>
      </c>
      <c r="L420" t="s">
        <v>1402</v>
      </c>
      <c r="M420" t="s">
        <v>1408</v>
      </c>
      <c r="N420">
        <v>97</v>
      </c>
      <c r="O420" t="str">
        <f t="shared" si="49"/>
        <v>35</v>
      </c>
      <c r="Q420">
        <v>35</v>
      </c>
      <c r="R420" t="s">
        <v>1269</v>
      </c>
      <c r="S420">
        <v>1.9039999999999999</v>
      </c>
      <c r="T420">
        <v>0.22189999999999999</v>
      </c>
      <c r="U420">
        <f t="shared" si="50"/>
        <v>0</v>
      </c>
      <c r="V420" t="str">
        <f t="shared" si="47"/>
        <v>High Pupil Safety</v>
      </c>
      <c r="W420" t="str">
        <f t="shared" si="48"/>
        <v>Pupil Safety</v>
      </c>
    </row>
    <row r="421" spans="1:23" x14ac:dyDescent="0.25">
      <c r="A421">
        <v>6119</v>
      </c>
      <c r="B421" t="s">
        <v>1401</v>
      </c>
      <c r="C421">
        <v>3.69</v>
      </c>
      <c r="D421" t="s">
        <v>1264</v>
      </c>
      <c r="E421">
        <v>100018</v>
      </c>
      <c r="F421">
        <v>6119</v>
      </c>
      <c r="G421" t="str">
        <f t="shared" si="46"/>
        <v>06119</v>
      </c>
      <c r="H421" t="s">
        <v>335</v>
      </c>
      <c r="I421" t="s">
        <v>1265</v>
      </c>
      <c r="J421" t="s">
        <v>1271</v>
      </c>
      <c r="K421" t="s">
        <v>1272</v>
      </c>
      <c r="L421" t="s">
        <v>1401</v>
      </c>
      <c r="M421" t="s">
        <v>1422</v>
      </c>
      <c r="N421">
        <v>1</v>
      </c>
      <c r="O421" t="str">
        <f t="shared" si="49"/>
        <v>35</v>
      </c>
      <c r="Q421">
        <v>35</v>
      </c>
      <c r="R421" t="s">
        <v>1269</v>
      </c>
      <c r="S421">
        <v>3.69</v>
      </c>
      <c r="T421">
        <v>0.22189999999999999</v>
      </c>
      <c r="U421">
        <f t="shared" si="50"/>
        <v>0</v>
      </c>
      <c r="V421" t="str">
        <f t="shared" si="47"/>
        <v>High Pupil Safety</v>
      </c>
      <c r="W421" t="str">
        <f t="shared" si="48"/>
        <v>Pupil Safety</v>
      </c>
    </row>
    <row r="422" spans="1:23" x14ac:dyDescent="0.25">
      <c r="A422">
        <v>6119</v>
      </c>
      <c r="B422" t="s">
        <v>1377</v>
      </c>
      <c r="C422">
        <v>5.9039999999999999</v>
      </c>
      <c r="D422" t="s">
        <v>1264</v>
      </c>
      <c r="E422">
        <v>100018</v>
      </c>
      <c r="F422">
        <v>6119</v>
      </c>
      <c r="G422" t="str">
        <f t="shared" si="46"/>
        <v>06119</v>
      </c>
      <c r="H422" t="s">
        <v>335</v>
      </c>
      <c r="I422" t="s">
        <v>1265</v>
      </c>
      <c r="J422" t="s">
        <v>1266</v>
      </c>
      <c r="K422" t="s">
        <v>1267</v>
      </c>
      <c r="L422" t="s">
        <v>1377</v>
      </c>
      <c r="M422" t="s">
        <v>1423</v>
      </c>
      <c r="N422">
        <v>1</v>
      </c>
      <c r="O422" t="str">
        <f t="shared" si="49"/>
        <v>35</v>
      </c>
      <c r="Q422">
        <v>35</v>
      </c>
      <c r="R422" t="s">
        <v>1269</v>
      </c>
      <c r="S422">
        <v>5.9039999999999999</v>
      </c>
      <c r="T422">
        <v>0.22189999999999999</v>
      </c>
      <c r="U422">
        <f t="shared" si="50"/>
        <v>0</v>
      </c>
      <c r="V422" t="str">
        <f t="shared" si="47"/>
        <v>Middle Pupil Safety</v>
      </c>
      <c r="W422" t="str">
        <f t="shared" si="48"/>
        <v>Pupil Safety</v>
      </c>
    </row>
    <row r="423" spans="1:23" x14ac:dyDescent="0.25">
      <c r="A423">
        <v>6119</v>
      </c>
      <c r="B423" t="s">
        <v>1275</v>
      </c>
      <c r="C423">
        <v>10.5</v>
      </c>
      <c r="D423" t="s">
        <v>1264</v>
      </c>
      <c r="E423">
        <v>100018</v>
      </c>
      <c r="F423">
        <v>6119</v>
      </c>
      <c r="G423" t="str">
        <f t="shared" si="46"/>
        <v>06119</v>
      </c>
      <c r="H423" t="s">
        <v>335</v>
      </c>
      <c r="I423" t="s">
        <v>1265</v>
      </c>
      <c r="J423" t="s">
        <v>1276</v>
      </c>
      <c r="K423" t="s">
        <v>1277</v>
      </c>
      <c r="L423" t="s">
        <v>1275</v>
      </c>
      <c r="M423" t="s">
        <v>1278</v>
      </c>
      <c r="N423">
        <v>1</v>
      </c>
      <c r="O423" t="str">
        <f t="shared" si="49"/>
        <v>42</v>
      </c>
      <c r="P423">
        <v>42</v>
      </c>
      <c r="R423" t="s">
        <v>1269</v>
      </c>
      <c r="S423">
        <v>10.5</v>
      </c>
      <c r="T423">
        <v>0.22189999999999999</v>
      </c>
      <c r="U423">
        <f t="shared" si="50"/>
        <v>0</v>
      </c>
      <c r="V423" t="str">
        <f t="shared" si="47"/>
        <v>Elementary Counselor</v>
      </c>
      <c r="W423" t="str">
        <f t="shared" si="48"/>
        <v>Counselor</v>
      </c>
    </row>
    <row r="424" spans="1:23" x14ac:dyDescent="0.25">
      <c r="A424">
        <v>6119</v>
      </c>
      <c r="B424" t="s">
        <v>1270</v>
      </c>
      <c r="C424">
        <v>11</v>
      </c>
      <c r="D424" t="s">
        <v>1264</v>
      </c>
      <c r="E424">
        <v>100018</v>
      </c>
      <c r="F424">
        <v>6119</v>
      </c>
      <c r="G424" t="str">
        <f t="shared" si="46"/>
        <v>06119</v>
      </c>
      <c r="H424" t="s">
        <v>335</v>
      </c>
      <c r="I424" t="s">
        <v>1265</v>
      </c>
      <c r="J424" t="s">
        <v>1271</v>
      </c>
      <c r="K424" t="s">
        <v>1272</v>
      </c>
      <c r="L424" t="s">
        <v>1270</v>
      </c>
      <c r="M424" t="s">
        <v>1273</v>
      </c>
      <c r="N424">
        <v>1</v>
      </c>
      <c r="O424" t="str">
        <f t="shared" si="49"/>
        <v>42</v>
      </c>
      <c r="P424">
        <v>42</v>
      </c>
      <c r="R424" t="s">
        <v>1269</v>
      </c>
      <c r="S424">
        <v>11</v>
      </c>
      <c r="T424">
        <v>0.22189999999999999</v>
      </c>
      <c r="U424">
        <f t="shared" si="50"/>
        <v>0</v>
      </c>
      <c r="V424" t="str">
        <f t="shared" si="47"/>
        <v>High Counselor</v>
      </c>
      <c r="W424" t="str">
        <f t="shared" si="48"/>
        <v>Counselor</v>
      </c>
    </row>
    <row r="425" spans="1:23" x14ac:dyDescent="0.25">
      <c r="A425">
        <v>6119</v>
      </c>
      <c r="B425" t="s">
        <v>1263</v>
      </c>
      <c r="C425">
        <v>3.5</v>
      </c>
      <c r="D425" t="s">
        <v>1264</v>
      </c>
      <c r="E425">
        <v>100018</v>
      </c>
      <c r="F425">
        <v>6119</v>
      </c>
      <c r="G425" t="str">
        <f t="shared" si="46"/>
        <v>06119</v>
      </c>
      <c r="H425" t="s">
        <v>335</v>
      </c>
      <c r="I425" t="s">
        <v>1265</v>
      </c>
      <c r="J425" t="s">
        <v>1266</v>
      </c>
      <c r="K425" t="s">
        <v>1267</v>
      </c>
      <c r="L425" t="s">
        <v>1263</v>
      </c>
      <c r="M425" t="s">
        <v>1268</v>
      </c>
      <c r="N425">
        <v>1</v>
      </c>
      <c r="O425" t="str">
        <f t="shared" si="49"/>
        <v>42</v>
      </c>
      <c r="P425">
        <v>42</v>
      </c>
      <c r="R425" t="s">
        <v>1269</v>
      </c>
      <c r="S425">
        <v>3.5</v>
      </c>
      <c r="T425">
        <v>0.22189999999999999</v>
      </c>
      <c r="U425">
        <f t="shared" si="50"/>
        <v>0</v>
      </c>
      <c r="V425" t="str">
        <f t="shared" si="47"/>
        <v>Middle Counselor</v>
      </c>
      <c r="W425" t="str">
        <f t="shared" si="48"/>
        <v>Counselor</v>
      </c>
    </row>
    <row r="426" spans="1:23" x14ac:dyDescent="0.25">
      <c r="A426">
        <v>6119</v>
      </c>
      <c r="B426" t="s">
        <v>1289</v>
      </c>
      <c r="C426">
        <v>6</v>
      </c>
      <c r="D426" t="s">
        <v>1264</v>
      </c>
      <c r="E426">
        <v>100018</v>
      </c>
      <c r="F426">
        <v>6119</v>
      </c>
      <c r="G426" t="str">
        <f t="shared" si="46"/>
        <v>06119</v>
      </c>
      <c r="H426" t="s">
        <v>335</v>
      </c>
      <c r="I426" t="s">
        <v>1265</v>
      </c>
      <c r="J426" t="s">
        <v>1276</v>
      </c>
      <c r="K426" t="s">
        <v>1277</v>
      </c>
      <c r="L426" t="s">
        <v>1289</v>
      </c>
      <c r="M426" t="s">
        <v>1307</v>
      </c>
      <c r="N426">
        <v>21</v>
      </c>
      <c r="O426" t="str">
        <f t="shared" si="49"/>
        <v>43</v>
      </c>
      <c r="P426">
        <v>43</v>
      </c>
      <c r="R426" t="s">
        <v>1269</v>
      </c>
      <c r="S426">
        <v>6</v>
      </c>
      <c r="T426">
        <v>0.22189999999999999</v>
      </c>
      <c r="U426">
        <f t="shared" si="50"/>
        <v>1.331</v>
      </c>
      <c r="V426" t="str">
        <f t="shared" si="47"/>
        <v>Elementary Occupational Therapist</v>
      </c>
      <c r="W426" t="str">
        <f t="shared" si="48"/>
        <v>Occupational Therapist</v>
      </c>
    </row>
    <row r="427" spans="1:23" x14ac:dyDescent="0.25">
      <c r="A427">
        <v>6119</v>
      </c>
      <c r="B427" t="s">
        <v>1387</v>
      </c>
      <c r="C427">
        <v>0.2</v>
      </c>
      <c r="D427" t="s">
        <v>1264</v>
      </c>
      <c r="E427">
        <v>100018</v>
      </c>
      <c r="F427">
        <v>6119</v>
      </c>
      <c r="G427" t="str">
        <f t="shared" si="46"/>
        <v>06119</v>
      </c>
      <c r="H427" t="s">
        <v>335</v>
      </c>
      <c r="I427" t="s">
        <v>1265</v>
      </c>
      <c r="J427" t="s">
        <v>1271</v>
      </c>
      <c r="K427" t="s">
        <v>1272</v>
      </c>
      <c r="L427" t="s">
        <v>1387</v>
      </c>
      <c r="M427" t="s">
        <v>1406</v>
      </c>
      <c r="N427">
        <v>21</v>
      </c>
      <c r="O427" t="str">
        <f t="shared" si="49"/>
        <v>43</v>
      </c>
      <c r="P427">
        <v>43</v>
      </c>
      <c r="R427" t="s">
        <v>1269</v>
      </c>
      <c r="S427">
        <v>0.2</v>
      </c>
      <c r="T427">
        <v>0.22189999999999999</v>
      </c>
      <c r="U427">
        <f t="shared" si="50"/>
        <v>4.3999999999999997E-2</v>
      </c>
      <c r="V427" t="str">
        <f t="shared" si="47"/>
        <v>High Occupational Therapist</v>
      </c>
      <c r="W427" t="str">
        <f t="shared" si="48"/>
        <v>Occupational Therapist</v>
      </c>
    </row>
    <row r="428" spans="1:23" x14ac:dyDescent="0.25">
      <c r="A428">
        <v>6119</v>
      </c>
      <c r="B428" t="s">
        <v>1303</v>
      </c>
      <c r="C428">
        <v>0.7</v>
      </c>
      <c r="D428" t="s">
        <v>1264</v>
      </c>
      <c r="E428">
        <v>100018</v>
      </c>
      <c r="F428">
        <v>6119</v>
      </c>
      <c r="G428" t="str">
        <f t="shared" si="46"/>
        <v>06119</v>
      </c>
      <c r="H428" t="s">
        <v>335</v>
      </c>
      <c r="I428" t="s">
        <v>1265</v>
      </c>
      <c r="J428" t="s">
        <v>1266</v>
      </c>
      <c r="K428" t="s">
        <v>1267</v>
      </c>
      <c r="L428" t="s">
        <v>1303</v>
      </c>
      <c r="M428" t="s">
        <v>1304</v>
      </c>
      <c r="N428">
        <v>21</v>
      </c>
      <c r="O428" t="str">
        <f t="shared" si="49"/>
        <v>43</v>
      </c>
      <c r="P428">
        <v>43</v>
      </c>
      <c r="R428" t="s">
        <v>1269</v>
      </c>
      <c r="S428">
        <v>0.7</v>
      </c>
      <c r="T428">
        <v>0.22189999999999999</v>
      </c>
      <c r="U428">
        <f t="shared" si="50"/>
        <v>0.155</v>
      </c>
      <c r="V428" t="str">
        <f t="shared" si="47"/>
        <v>Middle Occupational Therapist</v>
      </c>
      <c r="W428" t="str">
        <f t="shared" si="48"/>
        <v>Occupational Therapist</v>
      </c>
    </row>
    <row r="429" spans="1:23" x14ac:dyDescent="0.25">
      <c r="A429">
        <v>6119</v>
      </c>
      <c r="B429" t="s">
        <v>1294</v>
      </c>
      <c r="C429">
        <v>16.399999999999999</v>
      </c>
      <c r="D429" t="s">
        <v>1264</v>
      </c>
      <c r="E429">
        <v>100018</v>
      </c>
      <c r="F429">
        <v>6119</v>
      </c>
      <c r="G429" t="str">
        <f t="shared" si="46"/>
        <v>06119</v>
      </c>
      <c r="H429" t="s">
        <v>335</v>
      </c>
      <c r="I429" t="s">
        <v>1265</v>
      </c>
      <c r="J429" t="s">
        <v>1276</v>
      </c>
      <c r="K429" t="s">
        <v>1277</v>
      </c>
      <c r="L429" t="s">
        <v>1294</v>
      </c>
      <c r="M429" t="s">
        <v>1354</v>
      </c>
      <c r="N429">
        <v>21</v>
      </c>
      <c r="O429" t="str">
        <f t="shared" si="49"/>
        <v>45</v>
      </c>
      <c r="P429">
        <v>45</v>
      </c>
      <c r="R429" t="s">
        <v>1269</v>
      </c>
      <c r="S429">
        <v>16.399999999999999</v>
      </c>
      <c r="T429">
        <v>0.22189999999999999</v>
      </c>
      <c r="U429">
        <f t="shared" si="50"/>
        <v>3.6389999999999998</v>
      </c>
      <c r="V429" t="str">
        <f t="shared" si="47"/>
        <v>Elementary Speech, Language Pathway/
Audio</v>
      </c>
      <c r="W429" t="str">
        <f t="shared" si="48"/>
        <v>Speech, Language Pathway/
Audio</v>
      </c>
    </row>
    <row r="430" spans="1:23" x14ac:dyDescent="0.25">
      <c r="A430">
        <v>6119</v>
      </c>
      <c r="B430" t="s">
        <v>1326</v>
      </c>
      <c r="C430">
        <v>3.2</v>
      </c>
      <c r="D430" t="s">
        <v>1264</v>
      </c>
      <c r="E430">
        <v>100018</v>
      </c>
      <c r="F430">
        <v>6119</v>
      </c>
      <c r="G430" t="str">
        <f t="shared" si="46"/>
        <v>06119</v>
      </c>
      <c r="H430" t="s">
        <v>335</v>
      </c>
      <c r="I430" t="s">
        <v>1265</v>
      </c>
      <c r="J430" t="s">
        <v>1271</v>
      </c>
      <c r="K430" t="s">
        <v>1272</v>
      </c>
      <c r="L430" t="s">
        <v>1326</v>
      </c>
      <c r="M430" t="s">
        <v>1353</v>
      </c>
      <c r="N430">
        <v>21</v>
      </c>
      <c r="O430" t="str">
        <f t="shared" si="49"/>
        <v>45</v>
      </c>
      <c r="P430">
        <v>45</v>
      </c>
      <c r="R430" t="s">
        <v>1269</v>
      </c>
      <c r="S430">
        <v>3.2</v>
      </c>
      <c r="T430">
        <v>0.22189999999999999</v>
      </c>
      <c r="U430">
        <f t="shared" si="50"/>
        <v>0.71</v>
      </c>
      <c r="V430" t="str">
        <f t="shared" si="47"/>
        <v>High Speech, Language Pathway/
Audio</v>
      </c>
      <c r="W430" t="str">
        <f t="shared" si="48"/>
        <v>Speech, Language Pathway/
Audio</v>
      </c>
    </row>
    <row r="431" spans="1:23" x14ac:dyDescent="0.25">
      <c r="A431">
        <v>6119</v>
      </c>
      <c r="B431" t="s">
        <v>1312</v>
      </c>
      <c r="C431">
        <v>2</v>
      </c>
      <c r="D431" t="s">
        <v>1264</v>
      </c>
      <c r="E431">
        <v>100018</v>
      </c>
      <c r="F431">
        <v>6119</v>
      </c>
      <c r="G431" t="str">
        <f t="shared" si="46"/>
        <v>06119</v>
      </c>
      <c r="H431" t="s">
        <v>335</v>
      </c>
      <c r="I431" t="s">
        <v>1265</v>
      </c>
      <c r="J431" t="s">
        <v>1266</v>
      </c>
      <c r="K431" t="s">
        <v>1267</v>
      </c>
      <c r="L431" t="s">
        <v>1312</v>
      </c>
      <c r="M431" t="s">
        <v>1351</v>
      </c>
      <c r="N431">
        <v>21</v>
      </c>
      <c r="O431" t="str">
        <f t="shared" si="49"/>
        <v>45</v>
      </c>
      <c r="P431">
        <v>45</v>
      </c>
      <c r="R431" t="s">
        <v>1269</v>
      </c>
      <c r="S431">
        <v>2</v>
      </c>
      <c r="T431">
        <v>0.22189999999999999</v>
      </c>
      <c r="U431">
        <f t="shared" si="50"/>
        <v>0.44400000000000001</v>
      </c>
      <c r="V431" t="str">
        <f t="shared" si="47"/>
        <v>Middle Speech, Language Pathway/
Audio</v>
      </c>
      <c r="W431" t="str">
        <f t="shared" si="48"/>
        <v>Speech, Language Pathway/
Audio</v>
      </c>
    </row>
    <row r="432" spans="1:23" x14ac:dyDescent="0.25">
      <c r="A432">
        <v>6119</v>
      </c>
      <c r="B432" t="s">
        <v>1298</v>
      </c>
      <c r="C432">
        <v>12</v>
      </c>
      <c r="D432" t="s">
        <v>1264</v>
      </c>
      <c r="E432">
        <v>100018</v>
      </c>
      <c r="F432">
        <v>6119</v>
      </c>
      <c r="G432" t="str">
        <f t="shared" si="46"/>
        <v>06119</v>
      </c>
      <c r="H432" t="s">
        <v>335</v>
      </c>
      <c r="I432" t="s">
        <v>1265</v>
      </c>
      <c r="J432" t="s">
        <v>1276</v>
      </c>
      <c r="K432" t="s">
        <v>1277</v>
      </c>
      <c r="L432" t="s">
        <v>1298</v>
      </c>
      <c r="M432" t="s">
        <v>1349</v>
      </c>
      <c r="N432">
        <v>21</v>
      </c>
      <c r="O432" t="str">
        <f t="shared" si="49"/>
        <v>46</v>
      </c>
      <c r="P432">
        <v>46</v>
      </c>
      <c r="R432" t="s">
        <v>1269</v>
      </c>
      <c r="S432">
        <v>12</v>
      </c>
      <c r="T432">
        <v>0.22189999999999999</v>
      </c>
      <c r="U432">
        <f t="shared" si="50"/>
        <v>2.6629999999999998</v>
      </c>
      <c r="V432" t="str">
        <f t="shared" si="47"/>
        <v>Elementary Psychologist</v>
      </c>
      <c r="W432" t="str">
        <f t="shared" si="48"/>
        <v>Psychologist</v>
      </c>
    </row>
    <row r="433" spans="1:23" x14ac:dyDescent="0.25">
      <c r="A433">
        <v>6119</v>
      </c>
      <c r="B433" t="s">
        <v>1333</v>
      </c>
      <c r="C433">
        <v>1</v>
      </c>
      <c r="D433" t="s">
        <v>1264</v>
      </c>
      <c r="E433">
        <v>100018</v>
      </c>
      <c r="F433">
        <v>6119</v>
      </c>
      <c r="G433" t="str">
        <f t="shared" si="46"/>
        <v>06119</v>
      </c>
      <c r="H433" t="s">
        <v>335</v>
      </c>
      <c r="I433" t="s">
        <v>1265</v>
      </c>
      <c r="J433" t="s">
        <v>1276</v>
      </c>
      <c r="K433" t="s">
        <v>1277</v>
      </c>
      <c r="L433" t="s">
        <v>1333</v>
      </c>
      <c r="M433" t="s">
        <v>1432</v>
      </c>
      <c r="N433">
        <v>1</v>
      </c>
      <c r="O433" t="str">
        <f t="shared" si="49"/>
        <v>46</v>
      </c>
      <c r="P433">
        <v>46</v>
      </c>
      <c r="R433" t="s">
        <v>1269</v>
      </c>
      <c r="S433">
        <v>1</v>
      </c>
      <c r="T433">
        <v>0.22189999999999999</v>
      </c>
      <c r="U433">
        <f t="shared" si="50"/>
        <v>0</v>
      </c>
      <c r="V433" t="str">
        <f t="shared" si="47"/>
        <v>Elementary Psychologist</v>
      </c>
      <c r="W433" t="str">
        <f t="shared" si="48"/>
        <v>Psychologist</v>
      </c>
    </row>
    <row r="434" spans="1:23" x14ac:dyDescent="0.25">
      <c r="A434">
        <v>6119</v>
      </c>
      <c r="B434" t="s">
        <v>1309</v>
      </c>
      <c r="C434">
        <v>3</v>
      </c>
      <c r="D434" t="s">
        <v>1264</v>
      </c>
      <c r="E434">
        <v>100018</v>
      </c>
      <c r="F434">
        <v>6119</v>
      </c>
      <c r="G434" t="str">
        <f t="shared" si="46"/>
        <v>06119</v>
      </c>
      <c r="H434" t="s">
        <v>335</v>
      </c>
      <c r="I434" t="s">
        <v>1265</v>
      </c>
      <c r="J434" t="s">
        <v>1271</v>
      </c>
      <c r="K434" t="s">
        <v>1272</v>
      </c>
      <c r="L434" t="s">
        <v>1309</v>
      </c>
      <c r="M434" t="s">
        <v>1310</v>
      </c>
      <c r="N434">
        <v>21</v>
      </c>
      <c r="O434" t="str">
        <f t="shared" si="49"/>
        <v>46</v>
      </c>
      <c r="P434">
        <v>46</v>
      </c>
      <c r="R434" t="s">
        <v>1269</v>
      </c>
      <c r="S434">
        <v>3</v>
      </c>
      <c r="T434">
        <v>0.22189999999999999</v>
      </c>
      <c r="U434">
        <f t="shared" si="50"/>
        <v>0.66600000000000004</v>
      </c>
      <c r="V434" t="str">
        <f t="shared" si="47"/>
        <v>High Psychologist</v>
      </c>
      <c r="W434" t="str">
        <f t="shared" si="48"/>
        <v>Psychologist</v>
      </c>
    </row>
    <row r="435" spans="1:23" x14ac:dyDescent="0.25">
      <c r="A435">
        <v>6119</v>
      </c>
      <c r="B435" t="s">
        <v>1345</v>
      </c>
      <c r="C435">
        <v>1</v>
      </c>
      <c r="D435" t="s">
        <v>1264</v>
      </c>
      <c r="E435">
        <v>100018</v>
      </c>
      <c r="F435">
        <v>6119</v>
      </c>
      <c r="G435" t="str">
        <f t="shared" si="46"/>
        <v>06119</v>
      </c>
      <c r="H435" t="s">
        <v>335</v>
      </c>
      <c r="I435" t="s">
        <v>1265</v>
      </c>
      <c r="J435" t="s">
        <v>1266</v>
      </c>
      <c r="K435" t="s">
        <v>1267</v>
      </c>
      <c r="L435" t="s">
        <v>1345</v>
      </c>
      <c r="M435" t="s">
        <v>1346</v>
      </c>
      <c r="N435">
        <v>21</v>
      </c>
      <c r="O435" t="str">
        <f t="shared" si="49"/>
        <v>46</v>
      </c>
      <c r="P435">
        <v>46</v>
      </c>
      <c r="R435" t="s">
        <v>1269</v>
      </c>
      <c r="S435">
        <v>1</v>
      </c>
      <c r="T435">
        <v>0.22189999999999999</v>
      </c>
      <c r="U435">
        <f t="shared" si="50"/>
        <v>0.222</v>
      </c>
      <c r="V435" t="str">
        <f t="shared" si="47"/>
        <v>Middle Psychologist</v>
      </c>
      <c r="W435" t="str">
        <f t="shared" si="48"/>
        <v>Psychologist</v>
      </c>
    </row>
    <row r="436" spans="1:23" x14ac:dyDescent="0.25">
      <c r="A436">
        <v>6119</v>
      </c>
      <c r="B436" t="s">
        <v>1335</v>
      </c>
      <c r="C436">
        <v>2.54</v>
      </c>
      <c r="D436" t="s">
        <v>1264</v>
      </c>
      <c r="E436">
        <v>100018</v>
      </c>
      <c r="F436">
        <v>6119</v>
      </c>
      <c r="G436" t="str">
        <f t="shared" si="46"/>
        <v>06119</v>
      </c>
      <c r="H436" t="s">
        <v>335</v>
      </c>
      <c r="I436" t="s">
        <v>1265</v>
      </c>
      <c r="J436" t="s">
        <v>1276</v>
      </c>
      <c r="K436" t="s">
        <v>1277</v>
      </c>
      <c r="L436" t="s">
        <v>1335</v>
      </c>
      <c r="M436" t="s">
        <v>1344</v>
      </c>
      <c r="N436">
        <v>1</v>
      </c>
      <c r="O436" t="str">
        <f t="shared" si="49"/>
        <v>47</v>
      </c>
      <c r="P436">
        <v>47</v>
      </c>
      <c r="R436" t="s">
        <v>1269</v>
      </c>
      <c r="S436">
        <v>2.54</v>
      </c>
      <c r="T436">
        <v>0.22189999999999999</v>
      </c>
      <c r="U436">
        <f t="shared" si="50"/>
        <v>0</v>
      </c>
      <c r="V436" t="str">
        <f t="shared" si="47"/>
        <v>Elementary Nurse</v>
      </c>
      <c r="W436" t="str">
        <f t="shared" si="48"/>
        <v>Nurse</v>
      </c>
    </row>
    <row r="437" spans="1:23" x14ac:dyDescent="0.25">
      <c r="A437">
        <v>6119</v>
      </c>
      <c r="B437" t="s">
        <v>1341</v>
      </c>
      <c r="C437">
        <v>1</v>
      </c>
      <c r="D437" t="s">
        <v>1264</v>
      </c>
      <c r="E437">
        <v>100018</v>
      </c>
      <c r="F437">
        <v>6119</v>
      </c>
      <c r="G437" t="str">
        <f t="shared" si="46"/>
        <v>06119</v>
      </c>
      <c r="H437" t="s">
        <v>335</v>
      </c>
      <c r="I437" t="s">
        <v>1265</v>
      </c>
      <c r="J437" t="s">
        <v>1271</v>
      </c>
      <c r="K437" t="s">
        <v>1272</v>
      </c>
      <c r="L437" t="s">
        <v>1341</v>
      </c>
      <c r="M437" t="s">
        <v>1342</v>
      </c>
      <c r="N437">
        <v>1</v>
      </c>
      <c r="O437" t="str">
        <f t="shared" si="49"/>
        <v>47</v>
      </c>
      <c r="P437">
        <v>47</v>
      </c>
      <c r="R437" t="s">
        <v>1269</v>
      </c>
      <c r="S437">
        <v>1</v>
      </c>
      <c r="T437">
        <v>0.22189999999999999</v>
      </c>
      <c r="U437">
        <f t="shared" si="50"/>
        <v>0</v>
      </c>
      <c r="V437" t="str">
        <f t="shared" si="47"/>
        <v>High Nurse</v>
      </c>
      <c r="W437" t="str">
        <f t="shared" si="48"/>
        <v>Nurse</v>
      </c>
    </row>
    <row r="438" spans="1:23" x14ac:dyDescent="0.25">
      <c r="A438">
        <v>6119</v>
      </c>
      <c r="B438" t="s">
        <v>1338</v>
      </c>
      <c r="C438">
        <v>1.7929999999999999</v>
      </c>
      <c r="D438" t="s">
        <v>1264</v>
      </c>
      <c r="E438">
        <v>100018</v>
      </c>
      <c r="F438">
        <v>6119</v>
      </c>
      <c r="G438" t="str">
        <f t="shared" si="46"/>
        <v>06119</v>
      </c>
      <c r="H438" t="s">
        <v>335</v>
      </c>
      <c r="I438" t="s">
        <v>1265</v>
      </c>
      <c r="J438" t="s">
        <v>1266</v>
      </c>
      <c r="K438" t="s">
        <v>1267</v>
      </c>
      <c r="L438" t="s">
        <v>1338</v>
      </c>
      <c r="M438" t="s">
        <v>1339</v>
      </c>
      <c r="N438">
        <v>1</v>
      </c>
      <c r="O438" t="str">
        <f t="shared" si="49"/>
        <v>47</v>
      </c>
      <c r="P438">
        <v>47</v>
      </c>
      <c r="R438" t="s">
        <v>1269</v>
      </c>
      <c r="S438">
        <v>1.7929999999999999</v>
      </c>
      <c r="T438">
        <v>0.22189999999999999</v>
      </c>
      <c r="U438">
        <f t="shared" si="50"/>
        <v>0</v>
      </c>
      <c r="V438" t="str">
        <f t="shared" si="47"/>
        <v>Middle Nurse</v>
      </c>
      <c r="W438" t="str">
        <f t="shared" si="48"/>
        <v>Nurse</v>
      </c>
    </row>
    <row r="439" spans="1:23" x14ac:dyDescent="0.25">
      <c r="A439">
        <v>6119</v>
      </c>
      <c r="B439" t="s">
        <v>1302</v>
      </c>
      <c r="C439">
        <v>1</v>
      </c>
      <c r="D439" t="s">
        <v>1264</v>
      </c>
      <c r="E439">
        <v>100018</v>
      </c>
      <c r="F439">
        <v>6119</v>
      </c>
      <c r="G439" t="str">
        <f t="shared" si="46"/>
        <v>06119</v>
      </c>
      <c r="H439" t="s">
        <v>335</v>
      </c>
      <c r="I439" t="s">
        <v>1265</v>
      </c>
      <c r="J439" t="s">
        <v>1276</v>
      </c>
      <c r="K439" t="s">
        <v>1277</v>
      </c>
      <c r="L439" t="s">
        <v>1302</v>
      </c>
      <c r="M439" t="s">
        <v>1336</v>
      </c>
      <c r="N439">
        <v>21</v>
      </c>
      <c r="O439" t="str">
        <f t="shared" si="49"/>
        <v>48</v>
      </c>
      <c r="P439">
        <v>48</v>
      </c>
      <c r="R439" t="s">
        <v>1269</v>
      </c>
      <c r="S439">
        <v>1</v>
      </c>
      <c r="T439">
        <v>0.22189999999999999</v>
      </c>
      <c r="U439">
        <f t="shared" si="50"/>
        <v>0.222</v>
      </c>
      <c r="V439" t="str">
        <f t="shared" si="47"/>
        <v>Elementary Physical Therapist</v>
      </c>
      <c r="W439" t="str">
        <f t="shared" si="48"/>
        <v>Physical Therapist</v>
      </c>
    </row>
    <row r="440" spans="1:23" x14ac:dyDescent="0.25">
      <c r="A440">
        <v>6122</v>
      </c>
      <c r="B440" t="s">
        <v>1308</v>
      </c>
      <c r="C440">
        <v>1.7589999999999999</v>
      </c>
      <c r="D440" t="s">
        <v>1264</v>
      </c>
      <c r="E440">
        <v>100219</v>
      </c>
      <c r="F440">
        <v>6122</v>
      </c>
      <c r="G440" t="str">
        <f t="shared" si="46"/>
        <v>06122</v>
      </c>
      <c r="H440" t="s">
        <v>336</v>
      </c>
      <c r="I440" t="s">
        <v>1265</v>
      </c>
      <c r="J440" t="s">
        <v>1276</v>
      </c>
      <c r="K440" t="s">
        <v>1277</v>
      </c>
      <c r="L440" t="s">
        <v>1308</v>
      </c>
      <c r="M440" t="s">
        <v>1389</v>
      </c>
      <c r="N440">
        <v>1</v>
      </c>
      <c r="O440" t="str">
        <f t="shared" si="49"/>
        <v>25</v>
      </c>
      <c r="Q440">
        <v>25</v>
      </c>
      <c r="R440" t="s">
        <v>1269</v>
      </c>
      <c r="S440">
        <v>1.7589999999999999</v>
      </c>
      <c r="T440">
        <v>0.1794</v>
      </c>
      <c r="U440">
        <f t="shared" si="50"/>
        <v>0</v>
      </c>
      <c r="V440" t="str">
        <f t="shared" si="47"/>
        <v>Elementary Pupil Management</v>
      </c>
      <c r="W440" t="str">
        <f t="shared" si="48"/>
        <v>Pupil Management</v>
      </c>
    </row>
    <row r="441" spans="1:23" x14ac:dyDescent="0.25">
      <c r="A441">
        <v>6122</v>
      </c>
      <c r="B441" t="s">
        <v>1363</v>
      </c>
      <c r="C441">
        <v>0.32200000000000001</v>
      </c>
      <c r="D441" t="s">
        <v>1264</v>
      </c>
      <c r="E441">
        <v>100219</v>
      </c>
      <c r="F441">
        <v>6122</v>
      </c>
      <c r="G441" t="str">
        <f t="shared" si="46"/>
        <v>06122</v>
      </c>
      <c r="H441" t="s">
        <v>336</v>
      </c>
      <c r="I441" t="s">
        <v>1265</v>
      </c>
      <c r="J441" t="s">
        <v>1266</v>
      </c>
      <c r="K441" t="s">
        <v>1267</v>
      </c>
      <c r="L441" t="s">
        <v>1363</v>
      </c>
      <c r="M441" t="s">
        <v>1386</v>
      </c>
      <c r="N441">
        <v>1</v>
      </c>
      <c r="O441" t="str">
        <f t="shared" si="49"/>
        <v>25</v>
      </c>
      <c r="Q441">
        <v>25</v>
      </c>
      <c r="R441" t="s">
        <v>1269</v>
      </c>
      <c r="S441">
        <v>0.32200000000000001</v>
      </c>
      <c r="T441">
        <v>0.1794</v>
      </c>
      <c r="U441">
        <f t="shared" si="50"/>
        <v>0</v>
      </c>
      <c r="V441" t="str">
        <f t="shared" si="47"/>
        <v>Middle Pupil Management</v>
      </c>
      <c r="W441" t="str">
        <f t="shared" si="48"/>
        <v>Pupil Management</v>
      </c>
    </row>
    <row r="442" spans="1:23" x14ac:dyDescent="0.25">
      <c r="A442">
        <v>6122</v>
      </c>
      <c r="B442" t="s">
        <v>1311</v>
      </c>
      <c r="C442">
        <v>0.20699999999999999</v>
      </c>
      <c r="D442" t="s">
        <v>1264</v>
      </c>
      <c r="E442">
        <v>100219</v>
      </c>
      <c r="F442">
        <v>6122</v>
      </c>
      <c r="G442" t="str">
        <f t="shared" si="46"/>
        <v>06122</v>
      </c>
      <c r="H442" t="s">
        <v>336</v>
      </c>
      <c r="I442" t="s">
        <v>1265</v>
      </c>
      <c r="J442" t="s">
        <v>1276</v>
      </c>
      <c r="K442" t="s">
        <v>1277</v>
      </c>
      <c r="L442" t="s">
        <v>1311</v>
      </c>
      <c r="M442" t="s">
        <v>1327</v>
      </c>
      <c r="N442">
        <v>21</v>
      </c>
      <c r="O442" t="str">
        <f t="shared" si="49"/>
        <v>26</v>
      </c>
      <c r="Q442">
        <v>26</v>
      </c>
      <c r="R442" t="s">
        <v>1269</v>
      </c>
      <c r="S442">
        <v>0.20699999999999999</v>
      </c>
      <c r="T442">
        <v>0.1794</v>
      </c>
      <c r="U442">
        <f t="shared" si="50"/>
        <v>3.6999999999999998E-2</v>
      </c>
      <c r="V442" t="str">
        <f t="shared" si="47"/>
        <v>Elementary Health/
Related Services</v>
      </c>
      <c r="W442" t="str">
        <f t="shared" si="48"/>
        <v>Health/
Related Services</v>
      </c>
    </row>
    <row r="443" spans="1:23" x14ac:dyDescent="0.25">
      <c r="A443">
        <v>6122</v>
      </c>
      <c r="B443" t="s">
        <v>1315</v>
      </c>
      <c r="C443">
        <v>2.4569999999999999</v>
      </c>
      <c r="D443" t="s">
        <v>1264</v>
      </c>
      <c r="E443">
        <v>100219</v>
      </c>
      <c r="F443">
        <v>6122</v>
      </c>
      <c r="G443" t="str">
        <f t="shared" si="46"/>
        <v>06122</v>
      </c>
      <c r="H443" t="s">
        <v>336</v>
      </c>
      <c r="I443" t="s">
        <v>1265</v>
      </c>
      <c r="J443" t="s">
        <v>1276</v>
      </c>
      <c r="K443" t="s">
        <v>1277</v>
      </c>
      <c r="L443" t="s">
        <v>1315</v>
      </c>
      <c r="M443" t="s">
        <v>1375</v>
      </c>
      <c r="N443">
        <v>1</v>
      </c>
      <c r="O443" t="str">
        <f t="shared" si="49"/>
        <v>26</v>
      </c>
      <c r="Q443">
        <v>26</v>
      </c>
      <c r="R443" t="s">
        <v>1269</v>
      </c>
      <c r="S443">
        <v>2.4569999999999999</v>
      </c>
      <c r="T443">
        <v>0.1794</v>
      </c>
      <c r="U443">
        <f t="shared" si="50"/>
        <v>0</v>
      </c>
      <c r="V443" t="str">
        <f t="shared" si="47"/>
        <v>Elementary Health/
Related Services</v>
      </c>
      <c r="W443" t="str">
        <f t="shared" si="48"/>
        <v>Health/
Related Services</v>
      </c>
    </row>
    <row r="444" spans="1:23" x14ac:dyDescent="0.25">
      <c r="A444">
        <v>6122</v>
      </c>
      <c r="B444" t="s">
        <v>1324</v>
      </c>
      <c r="C444">
        <v>0.94899999999999995</v>
      </c>
      <c r="D444" t="s">
        <v>1264</v>
      </c>
      <c r="E444">
        <v>100219</v>
      </c>
      <c r="F444">
        <v>6122</v>
      </c>
      <c r="G444" t="str">
        <f t="shared" si="46"/>
        <v>06122</v>
      </c>
      <c r="H444" t="s">
        <v>336</v>
      </c>
      <c r="I444" t="s">
        <v>1265</v>
      </c>
      <c r="J444" t="s">
        <v>1271</v>
      </c>
      <c r="K444" t="s">
        <v>1272</v>
      </c>
      <c r="L444" t="s">
        <v>1324</v>
      </c>
      <c r="M444" t="s">
        <v>1325</v>
      </c>
      <c r="N444">
        <v>21</v>
      </c>
      <c r="O444" t="str">
        <f t="shared" si="49"/>
        <v>26</v>
      </c>
      <c r="Q444">
        <v>26</v>
      </c>
      <c r="R444" t="s">
        <v>1269</v>
      </c>
      <c r="S444">
        <v>0.94899999999999995</v>
      </c>
      <c r="T444">
        <v>0.1794</v>
      </c>
      <c r="U444">
        <f t="shared" si="50"/>
        <v>0.17</v>
      </c>
      <c r="V444" t="str">
        <f t="shared" si="47"/>
        <v>High Health/
Related Services</v>
      </c>
      <c r="W444" t="str">
        <f t="shared" si="48"/>
        <v>Health/
Related Services</v>
      </c>
    </row>
    <row r="445" spans="1:23" x14ac:dyDescent="0.25">
      <c r="A445">
        <v>6122</v>
      </c>
      <c r="B445" t="s">
        <v>1295</v>
      </c>
      <c r="C445">
        <v>3.5409999999999999</v>
      </c>
      <c r="D445" t="s">
        <v>1264</v>
      </c>
      <c r="E445">
        <v>100219</v>
      </c>
      <c r="F445">
        <v>6122</v>
      </c>
      <c r="G445" t="str">
        <f t="shared" si="46"/>
        <v>06122</v>
      </c>
      <c r="H445" t="s">
        <v>336</v>
      </c>
      <c r="I445" t="s">
        <v>1265</v>
      </c>
      <c r="J445" t="s">
        <v>1271</v>
      </c>
      <c r="K445" t="s">
        <v>1272</v>
      </c>
      <c r="L445" t="s">
        <v>1295</v>
      </c>
      <c r="M445" t="s">
        <v>1296</v>
      </c>
      <c r="N445">
        <v>1</v>
      </c>
      <c r="O445" t="str">
        <f t="shared" si="49"/>
        <v>26</v>
      </c>
      <c r="Q445">
        <v>26</v>
      </c>
      <c r="R445" t="s">
        <v>1269</v>
      </c>
      <c r="S445">
        <v>3.5409999999999999</v>
      </c>
      <c r="T445">
        <v>0.1794</v>
      </c>
      <c r="U445">
        <f t="shared" si="50"/>
        <v>0</v>
      </c>
      <c r="V445" t="str">
        <f t="shared" si="47"/>
        <v>High Health/
Related Services</v>
      </c>
      <c r="W445" t="str">
        <f t="shared" si="48"/>
        <v>Health/
Related Services</v>
      </c>
    </row>
    <row r="446" spans="1:23" x14ac:dyDescent="0.25">
      <c r="A446">
        <v>6122</v>
      </c>
      <c r="B446" t="s">
        <v>1322</v>
      </c>
      <c r="C446">
        <v>0.28899999999999998</v>
      </c>
      <c r="D446" t="s">
        <v>1264</v>
      </c>
      <c r="E446">
        <v>100219</v>
      </c>
      <c r="F446">
        <v>6122</v>
      </c>
      <c r="G446" t="str">
        <f t="shared" si="46"/>
        <v>06122</v>
      </c>
      <c r="H446" t="s">
        <v>336</v>
      </c>
      <c r="I446" t="s">
        <v>1265</v>
      </c>
      <c r="J446" t="s">
        <v>1266</v>
      </c>
      <c r="K446" t="s">
        <v>1267</v>
      </c>
      <c r="L446" t="s">
        <v>1322</v>
      </c>
      <c r="M446" t="s">
        <v>1323</v>
      </c>
      <c r="N446">
        <v>21</v>
      </c>
      <c r="O446" t="str">
        <f t="shared" si="49"/>
        <v>26</v>
      </c>
      <c r="Q446">
        <v>26</v>
      </c>
      <c r="R446" t="s">
        <v>1269</v>
      </c>
      <c r="S446">
        <v>0.28899999999999998</v>
      </c>
      <c r="T446">
        <v>0.1794</v>
      </c>
      <c r="U446">
        <f t="shared" si="50"/>
        <v>5.1999999999999998E-2</v>
      </c>
      <c r="V446" t="str">
        <f t="shared" si="47"/>
        <v>Middle Health/
Related Services</v>
      </c>
      <c r="W446" t="str">
        <f t="shared" si="48"/>
        <v>Health/
Related Services</v>
      </c>
    </row>
    <row r="447" spans="1:23" x14ac:dyDescent="0.25">
      <c r="A447">
        <v>6122</v>
      </c>
      <c r="B447" t="s">
        <v>1291</v>
      </c>
      <c r="C447">
        <v>0.62</v>
      </c>
      <c r="D447" t="s">
        <v>1264</v>
      </c>
      <c r="E447">
        <v>100219</v>
      </c>
      <c r="F447">
        <v>6122</v>
      </c>
      <c r="G447" t="str">
        <f t="shared" si="46"/>
        <v>06122</v>
      </c>
      <c r="H447" t="s">
        <v>336</v>
      </c>
      <c r="I447" t="s">
        <v>1265</v>
      </c>
      <c r="J447" t="s">
        <v>1266</v>
      </c>
      <c r="K447" t="s">
        <v>1267</v>
      </c>
      <c r="L447" t="s">
        <v>1291</v>
      </c>
      <c r="M447" t="s">
        <v>1292</v>
      </c>
      <c r="N447">
        <v>1</v>
      </c>
      <c r="O447" t="str">
        <f t="shared" si="49"/>
        <v>26</v>
      </c>
      <c r="Q447">
        <v>26</v>
      </c>
      <c r="R447" t="s">
        <v>1269</v>
      </c>
      <c r="S447">
        <v>0.62</v>
      </c>
      <c r="T447">
        <v>0.1794</v>
      </c>
      <c r="U447">
        <f t="shared" si="50"/>
        <v>0</v>
      </c>
      <c r="V447" t="str">
        <f t="shared" si="47"/>
        <v>Middle Health/
Related Services</v>
      </c>
      <c r="W447" t="str">
        <f t="shared" si="48"/>
        <v>Health/
Related Services</v>
      </c>
    </row>
    <row r="448" spans="1:23" x14ac:dyDescent="0.25">
      <c r="A448">
        <v>6122</v>
      </c>
      <c r="B448" t="s">
        <v>1275</v>
      </c>
      <c r="C448">
        <v>5.6219999999999999</v>
      </c>
      <c r="D448" t="s">
        <v>1264</v>
      </c>
      <c r="E448">
        <v>100219</v>
      </c>
      <c r="F448">
        <v>6122</v>
      </c>
      <c r="G448" t="str">
        <f t="shared" si="46"/>
        <v>06122</v>
      </c>
      <c r="H448" t="s">
        <v>336</v>
      </c>
      <c r="I448" t="s">
        <v>1265</v>
      </c>
      <c r="J448" t="s">
        <v>1276</v>
      </c>
      <c r="K448" t="s">
        <v>1277</v>
      </c>
      <c r="L448" t="s">
        <v>1275</v>
      </c>
      <c r="M448" t="s">
        <v>1278</v>
      </c>
      <c r="N448">
        <v>1</v>
      </c>
      <c r="O448" t="str">
        <f t="shared" si="49"/>
        <v>42</v>
      </c>
      <c r="P448">
        <v>42</v>
      </c>
      <c r="R448" t="s">
        <v>1269</v>
      </c>
      <c r="S448">
        <v>5.6219999999999999</v>
      </c>
      <c r="T448">
        <v>0.1794</v>
      </c>
      <c r="U448">
        <f t="shared" si="50"/>
        <v>0</v>
      </c>
      <c r="V448" t="str">
        <f t="shared" si="47"/>
        <v>Elementary Counselor</v>
      </c>
      <c r="W448" t="str">
        <f t="shared" si="48"/>
        <v>Counselor</v>
      </c>
    </row>
    <row r="449" spans="1:23" x14ac:dyDescent="0.25">
      <c r="A449">
        <v>6122</v>
      </c>
      <c r="B449" t="s">
        <v>1270</v>
      </c>
      <c r="C449">
        <v>2.532</v>
      </c>
      <c r="D449" t="s">
        <v>1264</v>
      </c>
      <c r="E449">
        <v>100219</v>
      </c>
      <c r="F449">
        <v>6122</v>
      </c>
      <c r="G449" t="str">
        <f t="shared" si="46"/>
        <v>06122</v>
      </c>
      <c r="H449" t="s">
        <v>336</v>
      </c>
      <c r="I449" t="s">
        <v>1265</v>
      </c>
      <c r="J449" t="s">
        <v>1271</v>
      </c>
      <c r="K449" t="s">
        <v>1272</v>
      </c>
      <c r="L449" t="s">
        <v>1270</v>
      </c>
      <c r="M449" t="s">
        <v>1273</v>
      </c>
      <c r="N449">
        <v>1</v>
      </c>
      <c r="O449" t="str">
        <f t="shared" si="49"/>
        <v>42</v>
      </c>
      <c r="P449">
        <v>42</v>
      </c>
      <c r="R449" t="s">
        <v>1269</v>
      </c>
      <c r="S449">
        <v>2.532</v>
      </c>
      <c r="T449">
        <v>0.1794</v>
      </c>
      <c r="U449">
        <f t="shared" si="50"/>
        <v>0</v>
      </c>
      <c r="V449" t="str">
        <f t="shared" si="47"/>
        <v>High Counselor</v>
      </c>
      <c r="W449" t="str">
        <f t="shared" si="48"/>
        <v>Counselor</v>
      </c>
    </row>
    <row r="450" spans="1:23" x14ac:dyDescent="0.25">
      <c r="A450">
        <v>6122</v>
      </c>
      <c r="B450" t="s">
        <v>1263</v>
      </c>
      <c r="C450">
        <v>1.4039999999999999</v>
      </c>
      <c r="D450" t="s">
        <v>1264</v>
      </c>
      <c r="E450">
        <v>100219</v>
      </c>
      <c r="F450">
        <v>6122</v>
      </c>
      <c r="G450" t="str">
        <f t="shared" ref="G450:G513" si="51">TEXT(F450,"00000")</f>
        <v>06122</v>
      </c>
      <c r="H450" t="s">
        <v>336</v>
      </c>
      <c r="I450" t="s">
        <v>1265</v>
      </c>
      <c r="J450" t="s">
        <v>1266</v>
      </c>
      <c r="K450" t="s">
        <v>1267</v>
      </c>
      <c r="L450" t="s">
        <v>1263</v>
      </c>
      <c r="M450" t="s">
        <v>1268</v>
      </c>
      <c r="N450">
        <v>1</v>
      </c>
      <c r="O450" t="str">
        <f t="shared" si="49"/>
        <v>42</v>
      </c>
      <c r="P450">
        <v>42</v>
      </c>
      <c r="R450" t="s">
        <v>1269</v>
      </c>
      <c r="S450">
        <v>1.4039999999999999</v>
      </c>
      <c r="T450">
        <v>0.1794</v>
      </c>
      <c r="U450">
        <f t="shared" si="50"/>
        <v>0</v>
      </c>
      <c r="V450" t="str">
        <f t="shared" ref="V450:V513" si="52">_xlfn.XLOOKUP(L450,$BV:$BV,$BT:$BT,,0)</f>
        <v>Middle Counselor</v>
      </c>
      <c r="W450" t="str">
        <f t="shared" ref="W450:W513" si="53">_xlfn.TEXTAFTER(V450," ")</f>
        <v>Counselor</v>
      </c>
    </row>
    <row r="451" spans="1:23" x14ac:dyDescent="0.25">
      <c r="A451">
        <v>6122</v>
      </c>
      <c r="B451" t="s">
        <v>1289</v>
      </c>
      <c r="C451">
        <v>0.99199999999999999</v>
      </c>
      <c r="D451" t="s">
        <v>1264</v>
      </c>
      <c r="E451">
        <v>100219</v>
      </c>
      <c r="F451">
        <v>6122</v>
      </c>
      <c r="G451" t="str">
        <f t="shared" si="51"/>
        <v>06122</v>
      </c>
      <c r="H451" t="s">
        <v>336</v>
      </c>
      <c r="I451" t="s">
        <v>1265</v>
      </c>
      <c r="J451" t="s">
        <v>1276</v>
      </c>
      <c r="K451" t="s">
        <v>1277</v>
      </c>
      <c r="L451" t="s">
        <v>1289</v>
      </c>
      <c r="M451" t="s">
        <v>1307</v>
      </c>
      <c r="N451">
        <v>21</v>
      </c>
      <c r="O451" t="str">
        <f t="shared" ref="O451:O514" si="54">MID(L451,3,2)</f>
        <v>43</v>
      </c>
      <c r="P451">
        <v>43</v>
      </c>
      <c r="R451" t="s">
        <v>1269</v>
      </c>
      <c r="S451">
        <v>0.99199999999999999</v>
      </c>
      <c r="T451">
        <v>0.1794</v>
      </c>
      <c r="U451">
        <f t="shared" ref="U451:U514" si="55">IF(N451=21,ROUND(T451*S451,3),0)</f>
        <v>0.17799999999999999</v>
      </c>
      <c r="V451" t="str">
        <f t="shared" si="52"/>
        <v>Elementary Occupational Therapist</v>
      </c>
      <c r="W451" t="str">
        <f t="shared" si="53"/>
        <v>Occupational Therapist</v>
      </c>
    </row>
    <row r="452" spans="1:23" x14ac:dyDescent="0.25">
      <c r="A452">
        <v>6122</v>
      </c>
      <c r="B452" t="s">
        <v>1387</v>
      </c>
      <c r="C452">
        <v>0.19</v>
      </c>
      <c r="D452" t="s">
        <v>1264</v>
      </c>
      <c r="E452">
        <v>100219</v>
      </c>
      <c r="F452">
        <v>6122</v>
      </c>
      <c r="G452" t="str">
        <f t="shared" si="51"/>
        <v>06122</v>
      </c>
      <c r="H452" t="s">
        <v>336</v>
      </c>
      <c r="I452" t="s">
        <v>1265</v>
      </c>
      <c r="J452" t="s">
        <v>1271</v>
      </c>
      <c r="K452" t="s">
        <v>1272</v>
      </c>
      <c r="L452" t="s">
        <v>1387</v>
      </c>
      <c r="M452" t="s">
        <v>1406</v>
      </c>
      <c r="N452">
        <v>21</v>
      </c>
      <c r="O452" t="str">
        <f t="shared" si="54"/>
        <v>43</v>
      </c>
      <c r="P452">
        <v>43</v>
      </c>
      <c r="R452" t="s">
        <v>1269</v>
      </c>
      <c r="S452">
        <v>0.19</v>
      </c>
      <c r="T452">
        <v>0.1794</v>
      </c>
      <c r="U452">
        <f t="shared" si="55"/>
        <v>3.4000000000000002E-2</v>
      </c>
      <c r="V452" t="str">
        <f t="shared" si="52"/>
        <v>High Occupational Therapist</v>
      </c>
      <c r="W452" t="str">
        <f t="shared" si="53"/>
        <v>Occupational Therapist</v>
      </c>
    </row>
    <row r="453" spans="1:23" x14ac:dyDescent="0.25">
      <c r="A453">
        <v>6122</v>
      </c>
      <c r="B453" t="s">
        <v>1303</v>
      </c>
      <c r="C453">
        <v>0.18</v>
      </c>
      <c r="D453" t="s">
        <v>1264</v>
      </c>
      <c r="E453">
        <v>100219</v>
      </c>
      <c r="F453">
        <v>6122</v>
      </c>
      <c r="G453" t="str">
        <f t="shared" si="51"/>
        <v>06122</v>
      </c>
      <c r="H453" t="s">
        <v>336</v>
      </c>
      <c r="I453" t="s">
        <v>1265</v>
      </c>
      <c r="J453" t="s">
        <v>1266</v>
      </c>
      <c r="K453" t="s">
        <v>1267</v>
      </c>
      <c r="L453" t="s">
        <v>1303</v>
      </c>
      <c r="M453" t="s">
        <v>1304</v>
      </c>
      <c r="N453">
        <v>21</v>
      </c>
      <c r="O453" t="str">
        <f t="shared" si="54"/>
        <v>43</v>
      </c>
      <c r="P453">
        <v>43</v>
      </c>
      <c r="R453" t="s">
        <v>1269</v>
      </c>
      <c r="S453">
        <v>0.18</v>
      </c>
      <c r="T453">
        <v>0.1794</v>
      </c>
      <c r="U453">
        <f t="shared" si="55"/>
        <v>3.2000000000000001E-2</v>
      </c>
      <c r="V453" t="str">
        <f t="shared" si="52"/>
        <v>Middle Occupational Therapist</v>
      </c>
      <c r="W453" t="str">
        <f t="shared" si="53"/>
        <v>Occupational Therapist</v>
      </c>
    </row>
    <row r="454" spans="1:23" x14ac:dyDescent="0.25">
      <c r="A454">
        <v>6122</v>
      </c>
      <c r="B454" t="s">
        <v>1294</v>
      </c>
      <c r="C454">
        <v>4.1020000000000003</v>
      </c>
      <c r="D454" t="s">
        <v>1264</v>
      </c>
      <c r="E454">
        <v>100219</v>
      </c>
      <c r="F454">
        <v>6122</v>
      </c>
      <c r="G454" t="str">
        <f t="shared" si="51"/>
        <v>06122</v>
      </c>
      <c r="H454" t="s">
        <v>336</v>
      </c>
      <c r="I454" t="s">
        <v>1265</v>
      </c>
      <c r="J454" t="s">
        <v>1276</v>
      </c>
      <c r="K454" t="s">
        <v>1277</v>
      </c>
      <c r="L454" t="s">
        <v>1294</v>
      </c>
      <c r="M454" t="s">
        <v>1354</v>
      </c>
      <c r="N454">
        <v>21</v>
      </c>
      <c r="O454" t="str">
        <f t="shared" si="54"/>
        <v>45</v>
      </c>
      <c r="P454">
        <v>45</v>
      </c>
      <c r="R454" t="s">
        <v>1269</v>
      </c>
      <c r="S454">
        <v>4.1020000000000003</v>
      </c>
      <c r="T454">
        <v>0.1794</v>
      </c>
      <c r="U454">
        <f t="shared" si="55"/>
        <v>0.73599999999999999</v>
      </c>
      <c r="V454" t="str">
        <f t="shared" si="52"/>
        <v>Elementary Speech, Language Pathway/
Audio</v>
      </c>
      <c r="W454" t="str">
        <f t="shared" si="53"/>
        <v>Speech, Language Pathway/
Audio</v>
      </c>
    </row>
    <row r="455" spans="1:23" x14ac:dyDescent="0.25">
      <c r="A455">
        <v>6122</v>
      </c>
      <c r="B455" t="s">
        <v>1326</v>
      </c>
      <c r="C455">
        <v>0.73</v>
      </c>
      <c r="D455" t="s">
        <v>1264</v>
      </c>
      <c r="E455">
        <v>100219</v>
      </c>
      <c r="F455">
        <v>6122</v>
      </c>
      <c r="G455" t="str">
        <f t="shared" si="51"/>
        <v>06122</v>
      </c>
      <c r="H455" t="s">
        <v>336</v>
      </c>
      <c r="I455" t="s">
        <v>1265</v>
      </c>
      <c r="J455" t="s">
        <v>1271</v>
      </c>
      <c r="K455" t="s">
        <v>1272</v>
      </c>
      <c r="L455" t="s">
        <v>1326</v>
      </c>
      <c r="M455" t="s">
        <v>1353</v>
      </c>
      <c r="N455">
        <v>21</v>
      </c>
      <c r="O455" t="str">
        <f t="shared" si="54"/>
        <v>45</v>
      </c>
      <c r="P455">
        <v>45</v>
      </c>
      <c r="R455" t="s">
        <v>1269</v>
      </c>
      <c r="S455">
        <v>0.73</v>
      </c>
      <c r="T455">
        <v>0.1794</v>
      </c>
      <c r="U455">
        <f t="shared" si="55"/>
        <v>0.13100000000000001</v>
      </c>
      <c r="V455" t="str">
        <f t="shared" si="52"/>
        <v>High Speech, Language Pathway/
Audio</v>
      </c>
      <c r="W455" t="str">
        <f t="shared" si="53"/>
        <v>Speech, Language Pathway/
Audio</v>
      </c>
    </row>
    <row r="456" spans="1:23" x14ac:dyDescent="0.25">
      <c r="A456">
        <v>6122</v>
      </c>
      <c r="B456" t="s">
        <v>1312</v>
      </c>
      <c r="C456">
        <v>0.69699999999999995</v>
      </c>
      <c r="D456" t="s">
        <v>1264</v>
      </c>
      <c r="E456">
        <v>100219</v>
      </c>
      <c r="F456">
        <v>6122</v>
      </c>
      <c r="G456" t="str">
        <f t="shared" si="51"/>
        <v>06122</v>
      </c>
      <c r="H456" t="s">
        <v>336</v>
      </c>
      <c r="I456" t="s">
        <v>1265</v>
      </c>
      <c r="J456" t="s">
        <v>1266</v>
      </c>
      <c r="K456" t="s">
        <v>1267</v>
      </c>
      <c r="L456" t="s">
        <v>1312</v>
      </c>
      <c r="M456" t="s">
        <v>1351</v>
      </c>
      <c r="N456">
        <v>21</v>
      </c>
      <c r="O456" t="str">
        <f t="shared" si="54"/>
        <v>45</v>
      </c>
      <c r="P456">
        <v>45</v>
      </c>
      <c r="R456" t="s">
        <v>1269</v>
      </c>
      <c r="S456">
        <v>0.69699999999999995</v>
      </c>
      <c r="T456">
        <v>0.1794</v>
      </c>
      <c r="U456">
        <f t="shared" si="55"/>
        <v>0.125</v>
      </c>
      <c r="V456" t="str">
        <f t="shared" si="52"/>
        <v>Middle Speech, Language Pathway/
Audio</v>
      </c>
      <c r="W456" t="str">
        <f t="shared" si="53"/>
        <v>Speech, Language Pathway/
Audio</v>
      </c>
    </row>
    <row r="457" spans="1:23" x14ac:dyDescent="0.25">
      <c r="A457">
        <v>6122</v>
      </c>
      <c r="B457" t="s">
        <v>1298</v>
      </c>
      <c r="C457">
        <v>2.65</v>
      </c>
      <c r="D457" t="s">
        <v>1264</v>
      </c>
      <c r="E457">
        <v>100219</v>
      </c>
      <c r="F457">
        <v>6122</v>
      </c>
      <c r="G457" t="str">
        <f t="shared" si="51"/>
        <v>06122</v>
      </c>
      <c r="H457" t="s">
        <v>336</v>
      </c>
      <c r="I457" t="s">
        <v>1265</v>
      </c>
      <c r="J457" t="s">
        <v>1276</v>
      </c>
      <c r="K457" t="s">
        <v>1277</v>
      </c>
      <c r="L457" t="s">
        <v>1298</v>
      </c>
      <c r="M457" t="s">
        <v>1349</v>
      </c>
      <c r="N457">
        <v>21</v>
      </c>
      <c r="O457" t="str">
        <f t="shared" si="54"/>
        <v>46</v>
      </c>
      <c r="P457">
        <v>46</v>
      </c>
      <c r="R457" t="s">
        <v>1269</v>
      </c>
      <c r="S457">
        <v>2.65</v>
      </c>
      <c r="T457">
        <v>0.1794</v>
      </c>
      <c r="U457">
        <f t="shared" si="55"/>
        <v>0.47499999999999998</v>
      </c>
      <c r="V457" t="str">
        <f t="shared" si="52"/>
        <v>Elementary Psychologist</v>
      </c>
      <c r="W457" t="str">
        <f t="shared" si="53"/>
        <v>Psychologist</v>
      </c>
    </row>
    <row r="458" spans="1:23" x14ac:dyDescent="0.25">
      <c r="A458">
        <v>6122</v>
      </c>
      <c r="B458" t="s">
        <v>1309</v>
      </c>
      <c r="C458">
        <v>1.2</v>
      </c>
      <c r="D458" t="s">
        <v>1264</v>
      </c>
      <c r="E458">
        <v>100219</v>
      </c>
      <c r="F458">
        <v>6122</v>
      </c>
      <c r="G458" t="str">
        <f t="shared" si="51"/>
        <v>06122</v>
      </c>
      <c r="H458" t="s">
        <v>336</v>
      </c>
      <c r="I458" t="s">
        <v>1265</v>
      </c>
      <c r="J458" t="s">
        <v>1271</v>
      </c>
      <c r="K458" t="s">
        <v>1272</v>
      </c>
      <c r="L458" t="s">
        <v>1309</v>
      </c>
      <c r="M458" t="s">
        <v>1310</v>
      </c>
      <c r="N458">
        <v>21</v>
      </c>
      <c r="O458" t="str">
        <f t="shared" si="54"/>
        <v>46</v>
      </c>
      <c r="P458">
        <v>46</v>
      </c>
      <c r="R458" t="s">
        <v>1269</v>
      </c>
      <c r="S458">
        <v>1.2</v>
      </c>
      <c r="T458">
        <v>0.1794</v>
      </c>
      <c r="U458">
        <f t="shared" si="55"/>
        <v>0.215</v>
      </c>
      <c r="V458" t="str">
        <f t="shared" si="52"/>
        <v>High Psychologist</v>
      </c>
      <c r="W458" t="str">
        <f t="shared" si="53"/>
        <v>Psychologist</v>
      </c>
    </row>
    <row r="459" spans="1:23" x14ac:dyDescent="0.25">
      <c r="A459">
        <v>6122</v>
      </c>
      <c r="B459" t="s">
        <v>1345</v>
      </c>
      <c r="C459">
        <v>0.53</v>
      </c>
      <c r="D459" t="s">
        <v>1264</v>
      </c>
      <c r="E459">
        <v>100219</v>
      </c>
      <c r="F459">
        <v>6122</v>
      </c>
      <c r="G459" t="str">
        <f t="shared" si="51"/>
        <v>06122</v>
      </c>
      <c r="H459" t="s">
        <v>336</v>
      </c>
      <c r="I459" t="s">
        <v>1265</v>
      </c>
      <c r="J459" t="s">
        <v>1266</v>
      </c>
      <c r="K459" t="s">
        <v>1267</v>
      </c>
      <c r="L459" t="s">
        <v>1345</v>
      </c>
      <c r="M459" t="s">
        <v>1346</v>
      </c>
      <c r="N459">
        <v>21</v>
      </c>
      <c r="O459" t="str">
        <f t="shared" si="54"/>
        <v>46</v>
      </c>
      <c r="P459">
        <v>46</v>
      </c>
      <c r="R459" t="s">
        <v>1269</v>
      </c>
      <c r="S459">
        <v>0.53</v>
      </c>
      <c r="T459">
        <v>0.1794</v>
      </c>
      <c r="U459">
        <f t="shared" si="55"/>
        <v>9.5000000000000001E-2</v>
      </c>
      <c r="V459" t="str">
        <f t="shared" si="52"/>
        <v>Middle Psychologist</v>
      </c>
      <c r="W459" t="str">
        <f t="shared" si="53"/>
        <v>Psychologist</v>
      </c>
    </row>
    <row r="460" spans="1:23" x14ac:dyDescent="0.25">
      <c r="A460">
        <v>6122</v>
      </c>
      <c r="B460" t="s">
        <v>1302</v>
      </c>
      <c r="C460">
        <v>0.56000000000000005</v>
      </c>
      <c r="D460" t="s">
        <v>1264</v>
      </c>
      <c r="E460">
        <v>100219</v>
      </c>
      <c r="F460">
        <v>6122</v>
      </c>
      <c r="G460" t="str">
        <f t="shared" si="51"/>
        <v>06122</v>
      </c>
      <c r="H460" t="s">
        <v>336</v>
      </c>
      <c r="I460" t="s">
        <v>1265</v>
      </c>
      <c r="J460" t="s">
        <v>1276</v>
      </c>
      <c r="K460" t="s">
        <v>1277</v>
      </c>
      <c r="L460" t="s">
        <v>1302</v>
      </c>
      <c r="M460" t="s">
        <v>1336</v>
      </c>
      <c r="N460">
        <v>21</v>
      </c>
      <c r="O460" t="str">
        <f t="shared" si="54"/>
        <v>48</v>
      </c>
      <c r="P460">
        <v>48</v>
      </c>
      <c r="R460" t="s">
        <v>1269</v>
      </c>
      <c r="S460">
        <v>0.56000000000000005</v>
      </c>
      <c r="T460">
        <v>0.1794</v>
      </c>
      <c r="U460">
        <f t="shared" si="55"/>
        <v>0.1</v>
      </c>
      <c r="V460" t="str">
        <f t="shared" si="52"/>
        <v>Elementary Physical Therapist</v>
      </c>
      <c r="W460" t="str">
        <f t="shared" si="53"/>
        <v>Physical Therapist</v>
      </c>
    </row>
    <row r="461" spans="1:23" x14ac:dyDescent="0.25">
      <c r="A461">
        <v>6122</v>
      </c>
      <c r="B461" t="s">
        <v>1330</v>
      </c>
      <c r="C461">
        <v>0.09</v>
      </c>
      <c r="D461" t="s">
        <v>1264</v>
      </c>
      <c r="E461">
        <v>100219</v>
      </c>
      <c r="F461">
        <v>6122</v>
      </c>
      <c r="G461" t="str">
        <f t="shared" si="51"/>
        <v>06122</v>
      </c>
      <c r="H461" t="s">
        <v>336</v>
      </c>
      <c r="I461" t="s">
        <v>1265</v>
      </c>
      <c r="J461" t="s">
        <v>1271</v>
      </c>
      <c r="K461" t="s">
        <v>1272</v>
      </c>
      <c r="L461" t="s">
        <v>1330</v>
      </c>
      <c r="M461" t="s">
        <v>1367</v>
      </c>
      <c r="N461">
        <v>21</v>
      </c>
      <c r="O461" t="str">
        <f t="shared" si="54"/>
        <v>48</v>
      </c>
      <c r="P461">
        <v>48</v>
      </c>
      <c r="R461" t="s">
        <v>1269</v>
      </c>
      <c r="S461">
        <v>0.09</v>
      </c>
      <c r="T461">
        <v>0.1794</v>
      </c>
      <c r="U461">
        <f t="shared" si="55"/>
        <v>1.6E-2</v>
      </c>
      <c r="V461" t="str">
        <f t="shared" si="52"/>
        <v>High Physical Therapist</v>
      </c>
      <c r="W461" t="str">
        <f t="shared" si="53"/>
        <v>Physical Therapist</v>
      </c>
    </row>
    <row r="462" spans="1:23" x14ac:dyDescent="0.25">
      <c r="A462">
        <v>6122</v>
      </c>
      <c r="B462" t="s">
        <v>1316</v>
      </c>
      <c r="C462">
        <v>0.06</v>
      </c>
      <c r="D462" t="s">
        <v>1264</v>
      </c>
      <c r="E462">
        <v>100219</v>
      </c>
      <c r="F462">
        <v>6122</v>
      </c>
      <c r="G462" t="str">
        <f t="shared" si="51"/>
        <v>06122</v>
      </c>
      <c r="H462" t="s">
        <v>336</v>
      </c>
      <c r="I462" t="s">
        <v>1265</v>
      </c>
      <c r="J462" t="s">
        <v>1266</v>
      </c>
      <c r="K462" t="s">
        <v>1267</v>
      </c>
      <c r="L462" t="s">
        <v>1316</v>
      </c>
      <c r="M462" t="s">
        <v>1366</v>
      </c>
      <c r="N462">
        <v>21</v>
      </c>
      <c r="O462" t="str">
        <f t="shared" si="54"/>
        <v>48</v>
      </c>
      <c r="P462">
        <v>48</v>
      </c>
      <c r="R462" t="s">
        <v>1269</v>
      </c>
      <c r="S462">
        <v>0.06</v>
      </c>
      <c r="T462">
        <v>0.1794</v>
      </c>
      <c r="U462">
        <f t="shared" si="55"/>
        <v>1.0999999999999999E-2</v>
      </c>
      <c r="V462" t="str">
        <f t="shared" si="52"/>
        <v>Middle Physical Therapist</v>
      </c>
      <c r="W462" t="str">
        <f t="shared" si="53"/>
        <v>Physical Therapist</v>
      </c>
    </row>
    <row r="463" spans="1:23" x14ac:dyDescent="0.25">
      <c r="A463">
        <v>6122</v>
      </c>
      <c r="B463" t="s">
        <v>1340</v>
      </c>
      <c r="C463">
        <v>0.73</v>
      </c>
      <c r="D463" t="s">
        <v>1264</v>
      </c>
      <c r="E463">
        <v>100219</v>
      </c>
      <c r="F463">
        <v>6122</v>
      </c>
      <c r="G463" t="str">
        <f t="shared" si="51"/>
        <v>06122</v>
      </c>
      <c r="H463" t="s">
        <v>336</v>
      </c>
      <c r="I463" t="s">
        <v>1265</v>
      </c>
      <c r="J463" t="s">
        <v>1276</v>
      </c>
      <c r="K463" t="s">
        <v>1277</v>
      </c>
      <c r="L463" t="s">
        <v>1340</v>
      </c>
      <c r="M463" t="s">
        <v>1395</v>
      </c>
      <c r="N463">
        <v>21</v>
      </c>
      <c r="O463" t="str">
        <f t="shared" si="54"/>
        <v>49</v>
      </c>
      <c r="P463">
        <v>49</v>
      </c>
      <c r="R463" t="s">
        <v>1269</v>
      </c>
      <c r="S463">
        <v>0.73</v>
      </c>
      <c r="T463">
        <v>0.1794</v>
      </c>
      <c r="U463">
        <f t="shared" si="55"/>
        <v>0.13100000000000001</v>
      </c>
      <c r="V463" t="str">
        <f t="shared" si="52"/>
        <v>Elementary Behavior Analyst</v>
      </c>
      <c r="W463" t="str">
        <f t="shared" si="53"/>
        <v>Behavior Analyst</v>
      </c>
    </row>
    <row r="464" spans="1:23" x14ac:dyDescent="0.25">
      <c r="A464">
        <v>6122</v>
      </c>
      <c r="B464" t="s">
        <v>1392</v>
      </c>
      <c r="C464">
        <v>0.09</v>
      </c>
      <c r="D464" t="s">
        <v>1264</v>
      </c>
      <c r="E464">
        <v>100219</v>
      </c>
      <c r="F464">
        <v>6122</v>
      </c>
      <c r="G464" t="str">
        <f t="shared" si="51"/>
        <v>06122</v>
      </c>
      <c r="H464" t="s">
        <v>336</v>
      </c>
      <c r="I464" t="s">
        <v>1265</v>
      </c>
      <c r="J464" t="s">
        <v>1271</v>
      </c>
      <c r="K464" t="s">
        <v>1272</v>
      </c>
      <c r="L464" t="s">
        <v>1392</v>
      </c>
      <c r="M464" t="s">
        <v>1393</v>
      </c>
      <c r="N464">
        <v>21</v>
      </c>
      <c r="O464" t="str">
        <f t="shared" si="54"/>
        <v>49</v>
      </c>
      <c r="P464">
        <v>49</v>
      </c>
      <c r="R464" t="s">
        <v>1269</v>
      </c>
      <c r="S464">
        <v>0.09</v>
      </c>
      <c r="T464">
        <v>0.1794</v>
      </c>
      <c r="U464">
        <f t="shared" si="55"/>
        <v>1.6E-2</v>
      </c>
      <c r="V464" t="str">
        <f t="shared" si="52"/>
        <v>High Behavior Analyst</v>
      </c>
      <c r="W464" t="str">
        <f t="shared" si="53"/>
        <v>Behavior Analyst</v>
      </c>
    </row>
    <row r="465" spans="1:23" x14ac:dyDescent="0.25">
      <c r="A465">
        <v>6122</v>
      </c>
      <c r="B465" t="s">
        <v>1374</v>
      </c>
      <c r="C465">
        <v>0.18</v>
      </c>
      <c r="D465" t="s">
        <v>1264</v>
      </c>
      <c r="E465">
        <v>100219</v>
      </c>
      <c r="F465">
        <v>6122</v>
      </c>
      <c r="G465" t="str">
        <f t="shared" si="51"/>
        <v>06122</v>
      </c>
      <c r="H465" t="s">
        <v>336</v>
      </c>
      <c r="I465" t="s">
        <v>1265</v>
      </c>
      <c r="J465" t="s">
        <v>1266</v>
      </c>
      <c r="K465" t="s">
        <v>1267</v>
      </c>
      <c r="L465" t="s">
        <v>1374</v>
      </c>
      <c r="M465" t="s">
        <v>1391</v>
      </c>
      <c r="N465">
        <v>21</v>
      </c>
      <c r="O465" t="str">
        <f t="shared" si="54"/>
        <v>49</v>
      </c>
      <c r="P465">
        <v>49</v>
      </c>
      <c r="R465" t="s">
        <v>1269</v>
      </c>
      <c r="S465">
        <v>0.18</v>
      </c>
      <c r="T465">
        <v>0.1794</v>
      </c>
      <c r="U465">
        <f t="shared" si="55"/>
        <v>3.2000000000000001E-2</v>
      </c>
      <c r="V465" t="str">
        <f t="shared" si="52"/>
        <v>Middle Behavior Analyst</v>
      </c>
      <c r="W465" t="str">
        <f t="shared" si="53"/>
        <v>Behavior Analyst</v>
      </c>
    </row>
    <row r="466" spans="1:23" x14ac:dyDescent="0.25">
      <c r="A466">
        <v>7002</v>
      </c>
      <c r="B466" t="s">
        <v>1308</v>
      </c>
      <c r="C466">
        <v>0.442</v>
      </c>
      <c r="D466" t="s">
        <v>1264</v>
      </c>
      <c r="E466">
        <v>100066</v>
      </c>
      <c r="F466">
        <v>7002</v>
      </c>
      <c r="G466" t="str">
        <f t="shared" si="51"/>
        <v>07002</v>
      </c>
      <c r="H466" t="s">
        <v>337</v>
      </c>
      <c r="I466" t="s">
        <v>1265</v>
      </c>
      <c r="J466" t="s">
        <v>1276</v>
      </c>
      <c r="K466" t="s">
        <v>1277</v>
      </c>
      <c r="L466" t="s">
        <v>1308</v>
      </c>
      <c r="M466" t="s">
        <v>1389</v>
      </c>
      <c r="N466">
        <v>1</v>
      </c>
      <c r="O466" t="str">
        <f t="shared" si="54"/>
        <v>25</v>
      </c>
      <c r="Q466">
        <v>25</v>
      </c>
      <c r="R466" t="s">
        <v>1269</v>
      </c>
      <c r="S466">
        <v>0.442</v>
      </c>
      <c r="T466">
        <v>0.1913</v>
      </c>
      <c r="U466">
        <f t="shared" si="55"/>
        <v>0</v>
      </c>
      <c r="V466" t="str">
        <f t="shared" si="52"/>
        <v>Elementary Pupil Management</v>
      </c>
      <c r="W466" t="str">
        <f t="shared" si="53"/>
        <v>Pupil Management</v>
      </c>
    </row>
    <row r="467" spans="1:23" x14ac:dyDescent="0.25">
      <c r="A467">
        <v>7002</v>
      </c>
      <c r="B467" t="s">
        <v>1363</v>
      </c>
      <c r="C467">
        <v>0.1</v>
      </c>
      <c r="D467" t="s">
        <v>1264</v>
      </c>
      <c r="E467">
        <v>100066</v>
      </c>
      <c r="F467">
        <v>7002</v>
      </c>
      <c r="G467" t="str">
        <f t="shared" si="51"/>
        <v>07002</v>
      </c>
      <c r="H467" t="s">
        <v>337</v>
      </c>
      <c r="I467" t="s">
        <v>1265</v>
      </c>
      <c r="J467" t="s">
        <v>1266</v>
      </c>
      <c r="K467" t="s">
        <v>1267</v>
      </c>
      <c r="L467" t="s">
        <v>1363</v>
      </c>
      <c r="M467" t="s">
        <v>1386</v>
      </c>
      <c r="N467">
        <v>1</v>
      </c>
      <c r="O467" t="str">
        <f t="shared" si="54"/>
        <v>25</v>
      </c>
      <c r="Q467">
        <v>25</v>
      </c>
      <c r="R467" t="s">
        <v>1269</v>
      </c>
      <c r="S467">
        <v>0.1</v>
      </c>
      <c r="T467">
        <v>0.1913</v>
      </c>
      <c r="U467">
        <f t="shared" si="55"/>
        <v>0</v>
      </c>
      <c r="V467" t="str">
        <f t="shared" si="52"/>
        <v>Middle Pupil Management</v>
      </c>
      <c r="W467" t="str">
        <f t="shared" si="53"/>
        <v>Pupil Management</v>
      </c>
    </row>
    <row r="468" spans="1:23" x14ac:dyDescent="0.25">
      <c r="A468">
        <v>7002</v>
      </c>
      <c r="B468" t="s">
        <v>1270</v>
      </c>
      <c r="C468">
        <v>1</v>
      </c>
      <c r="D468" t="s">
        <v>1264</v>
      </c>
      <c r="E468">
        <v>100066</v>
      </c>
      <c r="F468">
        <v>7002</v>
      </c>
      <c r="G468" t="str">
        <f t="shared" si="51"/>
        <v>07002</v>
      </c>
      <c r="H468" t="s">
        <v>337</v>
      </c>
      <c r="I468" t="s">
        <v>1265</v>
      </c>
      <c r="J468" t="s">
        <v>1271</v>
      </c>
      <c r="K468" t="s">
        <v>1272</v>
      </c>
      <c r="L468" t="s">
        <v>1270</v>
      </c>
      <c r="M468" t="s">
        <v>1273</v>
      </c>
      <c r="N468">
        <v>1</v>
      </c>
      <c r="O468" t="str">
        <f t="shared" si="54"/>
        <v>42</v>
      </c>
      <c r="P468">
        <v>42</v>
      </c>
      <c r="R468" t="s">
        <v>1269</v>
      </c>
      <c r="S468">
        <v>1</v>
      </c>
      <c r="T468">
        <v>0.1913</v>
      </c>
      <c r="U468">
        <f t="shared" si="55"/>
        <v>0</v>
      </c>
      <c r="V468" t="str">
        <f t="shared" si="52"/>
        <v>High Counselor</v>
      </c>
      <c r="W468" t="str">
        <f t="shared" si="53"/>
        <v>Counselor</v>
      </c>
    </row>
    <row r="469" spans="1:23" x14ac:dyDescent="0.25">
      <c r="A469">
        <v>8122</v>
      </c>
      <c r="B469" t="s">
        <v>1308</v>
      </c>
      <c r="C469">
        <v>8.61</v>
      </c>
      <c r="D469" t="s">
        <v>1264</v>
      </c>
      <c r="E469">
        <v>100132</v>
      </c>
      <c r="F469">
        <v>8122</v>
      </c>
      <c r="G469" t="str">
        <f t="shared" si="51"/>
        <v>08122</v>
      </c>
      <c r="H469" t="s">
        <v>339</v>
      </c>
      <c r="I469" t="s">
        <v>1265</v>
      </c>
      <c r="J469" t="s">
        <v>1276</v>
      </c>
      <c r="K469" t="s">
        <v>1277</v>
      </c>
      <c r="L469" t="s">
        <v>1308</v>
      </c>
      <c r="M469" t="s">
        <v>1389</v>
      </c>
      <c r="N469">
        <v>1</v>
      </c>
      <c r="O469" t="str">
        <f t="shared" si="54"/>
        <v>25</v>
      </c>
      <c r="Q469">
        <v>25</v>
      </c>
      <c r="R469" t="s">
        <v>1269</v>
      </c>
      <c r="S469">
        <v>8.61</v>
      </c>
      <c r="T469">
        <v>0.247</v>
      </c>
      <c r="U469">
        <f t="shared" si="55"/>
        <v>0</v>
      </c>
      <c r="V469" t="str">
        <f t="shared" si="52"/>
        <v>Elementary Pupil Management</v>
      </c>
      <c r="W469" t="str">
        <f t="shared" si="53"/>
        <v>Pupil Management</v>
      </c>
    </row>
    <row r="470" spans="1:23" x14ac:dyDescent="0.25">
      <c r="A470">
        <v>8122</v>
      </c>
      <c r="B470" t="s">
        <v>1299</v>
      </c>
      <c r="C470">
        <v>0.34</v>
      </c>
      <c r="D470" t="s">
        <v>1264</v>
      </c>
      <c r="E470">
        <v>100132</v>
      </c>
      <c r="F470">
        <v>8122</v>
      </c>
      <c r="G470" t="str">
        <f t="shared" si="51"/>
        <v>08122</v>
      </c>
      <c r="H470" t="s">
        <v>339</v>
      </c>
      <c r="I470" t="s">
        <v>1265</v>
      </c>
      <c r="J470" t="s">
        <v>1271</v>
      </c>
      <c r="K470" t="s">
        <v>1272</v>
      </c>
      <c r="L470" t="s">
        <v>1299</v>
      </c>
      <c r="M470" t="s">
        <v>1300</v>
      </c>
      <c r="N470">
        <v>1</v>
      </c>
      <c r="O470" t="str">
        <f t="shared" si="54"/>
        <v>25</v>
      </c>
      <c r="Q470">
        <v>25</v>
      </c>
      <c r="R470" t="s">
        <v>1269</v>
      </c>
      <c r="S470">
        <v>0.34</v>
      </c>
      <c r="T470">
        <v>0.247</v>
      </c>
      <c r="U470">
        <f t="shared" si="55"/>
        <v>0</v>
      </c>
      <c r="V470" t="str">
        <f t="shared" si="52"/>
        <v>High Pupil Management</v>
      </c>
      <c r="W470" t="str">
        <f t="shared" si="53"/>
        <v>Pupil Management</v>
      </c>
    </row>
    <row r="471" spans="1:23" x14ac:dyDescent="0.25">
      <c r="A471">
        <v>8122</v>
      </c>
      <c r="B471" t="s">
        <v>1363</v>
      </c>
      <c r="C471">
        <v>1.4870000000000001</v>
      </c>
      <c r="D471" t="s">
        <v>1264</v>
      </c>
      <c r="E471">
        <v>100132</v>
      </c>
      <c r="F471">
        <v>8122</v>
      </c>
      <c r="G471" t="str">
        <f t="shared" si="51"/>
        <v>08122</v>
      </c>
      <c r="H471" t="s">
        <v>339</v>
      </c>
      <c r="I471" t="s">
        <v>1265</v>
      </c>
      <c r="J471" t="s">
        <v>1266</v>
      </c>
      <c r="K471" t="s">
        <v>1267</v>
      </c>
      <c r="L471" t="s">
        <v>1363</v>
      </c>
      <c r="M471" t="s">
        <v>1386</v>
      </c>
      <c r="N471">
        <v>1</v>
      </c>
      <c r="O471" t="str">
        <f t="shared" si="54"/>
        <v>25</v>
      </c>
      <c r="Q471">
        <v>25</v>
      </c>
      <c r="R471" t="s">
        <v>1269</v>
      </c>
      <c r="S471">
        <v>1.4870000000000001</v>
      </c>
      <c r="T471">
        <v>0.247</v>
      </c>
      <c r="U471">
        <f t="shared" si="55"/>
        <v>0</v>
      </c>
      <c r="V471" t="str">
        <f t="shared" si="52"/>
        <v>Middle Pupil Management</v>
      </c>
      <c r="W471" t="str">
        <f t="shared" si="53"/>
        <v>Pupil Management</v>
      </c>
    </row>
    <row r="472" spans="1:23" x14ac:dyDescent="0.25">
      <c r="A472">
        <v>8122</v>
      </c>
      <c r="B472" t="s">
        <v>1315</v>
      </c>
      <c r="C472">
        <v>5.0659999999999998</v>
      </c>
      <c r="D472" t="s">
        <v>1264</v>
      </c>
      <c r="E472">
        <v>100132</v>
      </c>
      <c r="F472">
        <v>8122</v>
      </c>
      <c r="G472" t="str">
        <f t="shared" si="51"/>
        <v>08122</v>
      </c>
      <c r="H472" t="s">
        <v>339</v>
      </c>
      <c r="I472" t="s">
        <v>1265</v>
      </c>
      <c r="J472" t="s">
        <v>1276</v>
      </c>
      <c r="K472" t="s">
        <v>1277</v>
      </c>
      <c r="L472" t="s">
        <v>1315</v>
      </c>
      <c r="M472" t="s">
        <v>1375</v>
      </c>
      <c r="N472">
        <v>1</v>
      </c>
      <c r="O472" t="str">
        <f t="shared" si="54"/>
        <v>26</v>
      </c>
      <c r="Q472">
        <v>26</v>
      </c>
      <c r="R472" t="s">
        <v>1269</v>
      </c>
      <c r="S472">
        <v>5.0659999999999998</v>
      </c>
      <c r="T472">
        <v>0.247</v>
      </c>
      <c r="U472">
        <f t="shared" si="55"/>
        <v>0</v>
      </c>
      <c r="V472" t="str">
        <f t="shared" si="52"/>
        <v>Elementary Health/
Related Services</v>
      </c>
      <c r="W472" t="str">
        <f t="shared" si="53"/>
        <v>Health/
Related Services</v>
      </c>
    </row>
    <row r="473" spans="1:23" x14ac:dyDescent="0.25">
      <c r="A473">
        <v>8122</v>
      </c>
      <c r="B473" t="s">
        <v>1324</v>
      </c>
      <c r="C473">
        <v>5.0519999999999996</v>
      </c>
      <c r="D473" t="s">
        <v>1264</v>
      </c>
      <c r="E473">
        <v>100132</v>
      </c>
      <c r="F473">
        <v>8122</v>
      </c>
      <c r="G473" t="str">
        <f t="shared" si="51"/>
        <v>08122</v>
      </c>
      <c r="H473" t="s">
        <v>339</v>
      </c>
      <c r="I473" t="s">
        <v>1265</v>
      </c>
      <c r="J473" t="s">
        <v>1271</v>
      </c>
      <c r="K473" t="s">
        <v>1272</v>
      </c>
      <c r="L473" t="s">
        <v>1324</v>
      </c>
      <c r="M473" t="s">
        <v>1325</v>
      </c>
      <c r="N473">
        <v>21</v>
      </c>
      <c r="O473" t="str">
        <f t="shared" si="54"/>
        <v>26</v>
      </c>
      <c r="Q473">
        <v>26</v>
      </c>
      <c r="R473" t="s">
        <v>1269</v>
      </c>
      <c r="S473">
        <v>5.0519999999999996</v>
      </c>
      <c r="T473">
        <v>0.247</v>
      </c>
      <c r="U473">
        <f t="shared" si="55"/>
        <v>1.248</v>
      </c>
      <c r="V473" t="str">
        <f t="shared" si="52"/>
        <v>High Health/
Related Services</v>
      </c>
      <c r="W473" t="str">
        <f t="shared" si="53"/>
        <v>Health/
Related Services</v>
      </c>
    </row>
    <row r="474" spans="1:23" x14ac:dyDescent="0.25">
      <c r="A474">
        <v>8122</v>
      </c>
      <c r="B474" t="s">
        <v>1295</v>
      </c>
      <c r="C474">
        <v>1.8360000000000001</v>
      </c>
      <c r="D474" t="s">
        <v>1264</v>
      </c>
      <c r="E474">
        <v>100132</v>
      </c>
      <c r="F474">
        <v>8122</v>
      </c>
      <c r="G474" t="str">
        <f t="shared" si="51"/>
        <v>08122</v>
      </c>
      <c r="H474" t="s">
        <v>339</v>
      </c>
      <c r="I474" t="s">
        <v>1265</v>
      </c>
      <c r="J474" t="s">
        <v>1271</v>
      </c>
      <c r="K474" t="s">
        <v>1272</v>
      </c>
      <c r="L474" t="s">
        <v>1295</v>
      </c>
      <c r="M474" t="s">
        <v>1296</v>
      </c>
      <c r="N474">
        <v>1</v>
      </c>
      <c r="O474" t="str">
        <f t="shared" si="54"/>
        <v>26</v>
      </c>
      <c r="Q474">
        <v>26</v>
      </c>
      <c r="R474" t="s">
        <v>1269</v>
      </c>
      <c r="S474">
        <v>1.8360000000000001</v>
      </c>
      <c r="T474">
        <v>0.247</v>
      </c>
      <c r="U474">
        <f t="shared" si="55"/>
        <v>0</v>
      </c>
      <c r="V474" t="str">
        <f t="shared" si="52"/>
        <v>High Health/
Related Services</v>
      </c>
      <c r="W474" t="str">
        <f t="shared" si="53"/>
        <v>Health/
Related Services</v>
      </c>
    </row>
    <row r="475" spans="1:23" x14ac:dyDescent="0.25">
      <c r="A475">
        <v>8122</v>
      </c>
      <c r="B475" t="s">
        <v>1291</v>
      </c>
      <c r="C475">
        <v>1.2869999999999999</v>
      </c>
      <c r="D475" t="s">
        <v>1264</v>
      </c>
      <c r="E475">
        <v>100132</v>
      </c>
      <c r="F475">
        <v>8122</v>
      </c>
      <c r="G475" t="str">
        <f t="shared" si="51"/>
        <v>08122</v>
      </c>
      <c r="H475" t="s">
        <v>339</v>
      </c>
      <c r="I475" t="s">
        <v>1265</v>
      </c>
      <c r="J475" t="s">
        <v>1266</v>
      </c>
      <c r="K475" t="s">
        <v>1267</v>
      </c>
      <c r="L475" t="s">
        <v>1291</v>
      </c>
      <c r="M475" t="s">
        <v>1292</v>
      </c>
      <c r="N475">
        <v>1</v>
      </c>
      <c r="O475" t="str">
        <f t="shared" si="54"/>
        <v>26</v>
      </c>
      <c r="Q475">
        <v>26</v>
      </c>
      <c r="R475" t="s">
        <v>1269</v>
      </c>
      <c r="S475">
        <v>1.2869999999999999</v>
      </c>
      <c r="T475">
        <v>0.247</v>
      </c>
      <c r="U475">
        <f t="shared" si="55"/>
        <v>0</v>
      </c>
      <c r="V475" t="str">
        <f t="shared" si="52"/>
        <v>Middle Health/
Related Services</v>
      </c>
      <c r="W475" t="str">
        <f t="shared" si="53"/>
        <v>Health/
Related Services</v>
      </c>
    </row>
    <row r="476" spans="1:23" x14ac:dyDescent="0.25">
      <c r="A476">
        <v>8122</v>
      </c>
      <c r="B476" t="s">
        <v>1275</v>
      </c>
      <c r="C476">
        <v>11</v>
      </c>
      <c r="D476" t="s">
        <v>1264</v>
      </c>
      <c r="E476">
        <v>100132</v>
      </c>
      <c r="F476">
        <v>8122</v>
      </c>
      <c r="G476" t="str">
        <f t="shared" si="51"/>
        <v>08122</v>
      </c>
      <c r="H476" t="s">
        <v>339</v>
      </c>
      <c r="I476" t="s">
        <v>1265</v>
      </c>
      <c r="J476" t="s">
        <v>1276</v>
      </c>
      <c r="K476" t="s">
        <v>1277</v>
      </c>
      <c r="L476" t="s">
        <v>1275</v>
      </c>
      <c r="M476" t="s">
        <v>1278</v>
      </c>
      <c r="N476">
        <v>1</v>
      </c>
      <c r="O476" t="str">
        <f t="shared" si="54"/>
        <v>42</v>
      </c>
      <c r="P476">
        <v>42</v>
      </c>
      <c r="R476" t="s">
        <v>1269</v>
      </c>
      <c r="S476">
        <v>11</v>
      </c>
      <c r="T476">
        <v>0.247</v>
      </c>
      <c r="U476">
        <f t="shared" si="55"/>
        <v>0</v>
      </c>
      <c r="V476" t="str">
        <f t="shared" si="52"/>
        <v>Elementary Counselor</v>
      </c>
      <c r="W476" t="str">
        <f t="shared" si="53"/>
        <v>Counselor</v>
      </c>
    </row>
    <row r="477" spans="1:23" x14ac:dyDescent="0.25">
      <c r="A477">
        <v>8122</v>
      </c>
      <c r="B477" t="s">
        <v>1270</v>
      </c>
      <c r="C477">
        <v>5</v>
      </c>
      <c r="D477" t="s">
        <v>1264</v>
      </c>
      <c r="E477">
        <v>100132</v>
      </c>
      <c r="F477">
        <v>8122</v>
      </c>
      <c r="G477" t="str">
        <f t="shared" si="51"/>
        <v>08122</v>
      </c>
      <c r="H477" t="s">
        <v>339</v>
      </c>
      <c r="I477" t="s">
        <v>1265</v>
      </c>
      <c r="J477" t="s">
        <v>1271</v>
      </c>
      <c r="K477" t="s">
        <v>1272</v>
      </c>
      <c r="L477" t="s">
        <v>1270</v>
      </c>
      <c r="M477" t="s">
        <v>1273</v>
      </c>
      <c r="N477">
        <v>1</v>
      </c>
      <c r="O477" t="str">
        <f t="shared" si="54"/>
        <v>42</v>
      </c>
      <c r="P477">
        <v>42</v>
      </c>
      <c r="R477" t="s">
        <v>1269</v>
      </c>
      <c r="S477">
        <v>5</v>
      </c>
      <c r="T477">
        <v>0.247</v>
      </c>
      <c r="U477">
        <f t="shared" si="55"/>
        <v>0</v>
      </c>
      <c r="V477" t="str">
        <f t="shared" si="52"/>
        <v>High Counselor</v>
      </c>
      <c r="W477" t="str">
        <f t="shared" si="53"/>
        <v>Counselor</v>
      </c>
    </row>
    <row r="478" spans="1:23" x14ac:dyDescent="0.25">
      <c r="A478">
        <v>8122</v>
      </c>
      <c r="B478" t="s">
        <v>1263</v>
      </c>
      <c r="C478">
        <v>3</v>
      </c>
      <c r="D478" t="s">
        <v>1264</v>
      </c>
      <c r="E478">
        <v>100132</v>
      </c>
      <c r="F478">
        <v>8122</v>
      </c>
      <c r="G478" t="str">
        <f t="shared" si="51"/>
        <v>08122</v>
      </c>
      <c r="H478" t="s">
        <v>339</v>
      </c>
      <c r="I478" t="s">
        <v>1265</v>
      </c>
      <c r="J478" t="s">
        <v>1266</v>
      </c>
      <c r="K478" t="s">
        <v>1267</v>
      </c>
      <c r="L478" t="s">
        <v>1263</v>
      </c>
      <c r="M478" t="s">
        <v>1268</v>
      </c>
      <c r="N478">
        <v>1</v>
      </c>
      <c r="O478" t="str">
        <f t="shared" si="54"/>
        <v>42</v>
      </c>
      <c r="P478">
        <v>42</v>
      </c>
      <c r="R478" t="s">
        <v>1269</v>
      </c>
      <c r="S478">
        <v>3</v>
      </c>
      <c r="T478">
        <v>0.247</v>
      </c>
      <c r="U478">
        <f t="shared" si="55"/>
        <v>0</v>
      </c>
      <c r="V478" t="str">
        <f t="shared" si="52"/>
        <v>Middle Counselor</v>
      </c>
      <c r="W478" t="str">
        <f t="shared" si="53"/>
        <v>Counselor</v>
      </c>
    </row>
    <row r="479" spans="1:23" x14ac:dyDescent="0.25">
      <c r="A479">
        <v>8122</v>
      </c>
      <c r="B479" t="s">
        <v>1289</v>
      </c>
      <c r="C479">
        <v>2.3340000000000001</v>
      </c>
      <c r="D479" t="s">
        <v>1264</v>
      </c>
      <c r="E479">
        <v>100132</v>
      </c>
      <c r="F479">
        <v>8122</v>
      </c>
      <c r="G479" t="str">
        <f t="shared" si="51"/>
        <v>08122</v>
      </c>
      <c r="H479" t="s">
        <v>339</v>
      </c>
      <c r="I479" t="s">
        <v>1265</v>
      </c>
      <c r="J479" t="s">
        <v>1276</v>
      </c>
      <c r="K479" t="s">
        <v>1277</v>
      </c>
      <c r="L479" t="s">
        <v>1289</v>
      </c>
      <c r="M479" t="s">
        <v>1307</v>
      </c>
      <c r="N479">
        <v>21</v>
      </c>
      <c r="O479" t="str">
        <f t="shared" si="54"/>
        <v>43</v>
      </c>
      <c r="P479">
        <v>43</v>
      </c>
      <c r="R479" t="s">
        <v>1269</v>
      </c>
      <c r="S479">
        <v>2.3340000000000001</v>
      </c>
      <c r="T479">
        <v>0.247</v>
      </c>
      <c r="U479">
        <f t="shared" si="55"/>
        <v>0.57599999999999996</v>
      </c>
      <c r="V479" t="str">
        <f t="shared" si="52"/>
        <v>Elementary Occupational Therapist</v>
      </c>
      <c r="W479" t="str">
        <f t="shared" si="53"/>
        <v>Occupational Therapist</v>
      </c>
    </row>
    <row r="480" spans="1:23" x14ac:dyDescent="0.25">
      <c r="A480">
        <v>8122</v>
      </c>
      <c r="B480" t="s">
        <v>1387</v>
      </c>
      <c r="C480">
        <v>0.33400000000000002</v>
      </c>
      <c r="D480" t="s">
        <v>1264</v>
      </c>
      <c r="E480">
        <v>100132</v>
      </c>
      <c r="F480">
        <v>8122</v>
      </c>
      <c r="G480" t="str">
        <f t="shared" si="51"/>
        <v>08122</v>
      </c>
      <c r="H480" t="s">
        <v>339</v>
      </c>
      <c r="I480" t="s">
        <v>1265</v>
      </c>
      <c r="J480" t="s">
        <v>1271</v>
      </c>
      <c r="K480" t="s">
        <v>1272</v>
      </c>
      <c r="L480" t="s">
        <v>1387</v>
      </c>
      <c r="M480" t="s">
        <v>1406</v>
      </c>
      <c r="N480">
        <v>21</v>
      </c>
      <c r="O480" t="str">
        <f t="shared" si="54"/>
        <v>43</v>
      </c>
      <c r="P480">
        <v>43</v>
      </c>
      <c r="R480" t="s">
        <v>1269</v>
      </c>
      <c r="S480">
        <v>0.33400000000000002</v>
      </c>
      <c r="T480">
        <v>0.247</v>
      </c>
      <c r="U480">
        <f t="shared" si="55"/>
        <v>8.2000000000000003E-2</v>
      </c>
      <c r="V480" t="str">
        <f t="shared" si="52"/>
        <v>High Occupational Therapist</v>
      </c>
      <c r="W480" t="str">
        <f t="shared" si="53"/>
        <v>Occupational Therapist</v>
      </c>
    </row>
    <row r="481" spans="1:23" x14ac:dyDescent="0.25">
      <c r="A481">
        <v>8122</v>
      </c>
      <c r="B481" t="s">
        <v>1303</v>
      </c>
      <c r="C481">
        <v>0.33200000000000002</v>
      </c>
      <c r="D481" t="s">
        <v>1264</v>
      </c>
      <c r="E481">
        <v>100132</v>
      </c>
      <c r="F481">
        <v>8122</v>
      </c>
      <c r="G481" t="str">
        <f t="shared" si="51"/>
        <v>08122</v>
      </c>
      <c r="H481" t="s">
        <v>339</v>
      </c>
      <c r="I481" t="s">
        <v>1265</v>
      </c>
      <c r="J481" t="s">
        <v>1266</v>
      </c>
      <c r="K481" t="s">
        <v>1267</v>
      </c>
      <c r="L481" t="s">
        <v>1303</v>
      </c>
      <c r="M481" t="s">
        <v>1304</v>
      </c>
      <c r="N481">
        <v>21</v>
      </c>
      <c r="O481" t="str">
        <f t="shared" si="54"/>
        <v>43</v>
      </c>
      <c r="P481">
        <v>43</v>
      </c>
      <c r="R481" t="s">
        <v>1269</v>
      </c>
      <c r="S481">
        <v>0.33200000000000002</v>
      </c>
      <c r="T481">
        <v>0.247</v>
      </c>
      <c r="U481">
        <f t="shared" si="55"/>
        <v>8.2000000000000003E-2</v>
      </c>
      <c r="V481" t="str">
        <f t="shared" si="52"/>
        <v>Middle Occupational Therapist</v>
      </c>
      <c r="W481" t="str">
        <f t="shared" si="53"/>
        <v>Occupational Therapist</v>
      </c>
    </row>
    <row r="482" spans="1:23" x14ac:dyDescent="0.25">
      <c r="A482">
        <v>8122</v>
      </c>
      <c r="B482" t="s">
        <v>1294</v>
      </c>
      <c r="C482">
        <v>4.8529999999999998</v>
      </c>
      <c r="D482" t="s">
        <v>1264</v>
      </c>
      <c r="E482">
        <v>100132</v>
      </c>
      <c r="F482">
        <v>8122</v>
      </c>
      <c r="G482" t="str">
        <f t="shared" si="51"/>
        <v>08122</v>
      </c>
      <c r="H482" t="s">
        <v>339</v>
      </c>
      <c r="I482" t="s">
        <v>1265</v>
      </c>
      <c r="J482" t="s">
        <v>1276</v>
      </c>
      <c r="K482" t="s">
        <v>1277</v>
      </c>
      <c r="L482" t="s">
        <v>1294</v>
      </c>
      <c r="M482" t="s">
        <v>1354</v>
      </c>
      <c r="N482">
        <v>21</v>
      </c>
      <c r="O482" t="str">
        <f t="shared" si="54"/>
        <v>45</v>
      </c>
      <c r="P482">
        <v>45</v>
      </c>
      <c r="R482" t="s">
        <v>1269</v>
      </c>
      <c r="S482">
        <v>4.8529999999999998</v>
      </c>
      <c r="T482">
        <v>0.247</v>
      </c>
      <c r="U482">
        <f t="shared" si="55"/>
        <v>1.1990000000000001</v>
      </c>
      <c r="V482" t="str">
        <f t="shared" si="52"/>
        <v>Elementary Speech, Language Pathway/
Audio</v>
      </c>
      <c r="W482" t="str">
        <f t="shared" si="53"/>
        <v>Speech, Language Pathway/
Audio</v>
      </c>
    </row>
    <row r="483" spans="1:23" x14ac:dyDescent="0.25">
      <c r="A483">
        <v>8122</v>
      </c>
      <c r="B483" t="s">
        <v>1326</v>
      </c>
      <c r="C483">
        <v>0.72</v>
      </c>
      <c r="D483" t="s">
        <v>1264</v>
      </c>
      <c r="E483">
        <v>100132</v>
      </c>
      <c r="F483">
        <v>8122</v>
      </c>
      <c r="G483" t="str">
        <f t="shared" si="51"/>
        <v>08122</v>
      </c>
      <c r="H483" t="s">
        <v>339</v>
      </c>
      <c r="I483" t="s">
        <v>1265</v>
      </c>
      <c r="J483" t="s">
        <v>1271</v>
      </c>
      <c r="K483" t="s">
        <v>1272</v>
      </c>
      <c r="L483" t="s">
        <v>1326</v>
      </c>
      <c r="M483" t="s">
        <v>1353</v>
      </c>
      <c r="N483">
        <v>21</v>
      </c>
      <c r="O483" t="str">
        <f t="shared" si="54"/>
        <v>45</v>
      </c>
      <c r="P483">
        <v>45</v>
      </c>
      <c r="R483" t="s">
        <v>1269</v>
      </c>
      <c r="S483">
        <v>0.72</v>
      </c>
      <c r="T483">
        <v>0.247</v>
      </c>
      <c r="U483">
        <f t="shared" si="55"/>
        <v>0.17799999999999999</v>
      </c>
      <c r="V483" t="str">
        <f t="shared" si="52"/>
        <v>High Speech, Language Pathway/
Audio</v>
      </c>
      <c r="W483" t="str">
        <f t="shared" si="53"/>
        <v>Speech, Language Pathway/
Audio</v>
      </c>
    </row>
    <row r="484" spans="1:23" x14ac:dyDescent="0.25">
      <c r="A484">
        <v>8122</v>
      </c>
      <c r="B484" t="s">
        <v>1312</v>
      </c>
      <c r="C484">
        <v>0.22700000000000001</v>
      </c>
      <c r="D484" t="s">
        <v>1264</v>
      </c>
      <c r="E484">
        <v>100132</v>
      </c>
      <c r="F484">
        <v>8122</v>
      </c>
      <c r="G484" t="str">
        <f t="shared" si="51"/>
        <v>08122</v>
      </c>
      <c r="H484" t="s">
        <v>339</v>
      </c>
      <c r="I484" t="s">
        <v>1265</v>
      </c>
      <c r="J484" t="s">
        <v>1266</v>
      </c>
      <c r="K484" t="s">
        <v>1267</v>
      </c>
      <c r="L484" t="s">
        <v>1312</v>
      </c>
      <c r="M484" t="s">
        <v>1351</v>
      </c>
      <c r="N484">
        <v>21</v>
      </c>
      <c r="O484" t="str">
        <f t="shared" si="54"/>
        <v>45</v>
      </c>
      <c r="P484">
        <v>45</v>
      </c>
      <c r="R484" t="s">
        <v>1269</v>
      </c>
      <c r="S484">
        <v>0.22700000000000001</v>
      </c>
      <c r="T484">
        <v>0.247</v>
      </c>
      <c r="U484">
        <f t="shared" si="55"/>
        <v>5.6000000000000001E-2</v>
      </c>
      <c r="V484" t="str">
        <f t="shared" si="52"/>
        <v>Middle Speech, Language Pathway/
Audio</v>
      </c>
      <c r="W484" t="str">
        <f t="shared" si="53"/>
        <v>Speech, Language Pathway/
Audio</v>
      </c>
    </row>
    <row r="485" spans="1:23" x14ac:dyDescent="0.25">
      <c r="A485">
        <v>8122</v>
      </c>
      <c r="B485" t="s">
        <v>1298</v>
      </c>
      <c r="C485">
        <v>1.4990000000000001</v>
      </c>
      <c r="D485" t="s">
        <v>1264</v>
      </c>
      <c r="E485">
        <v>100132</v>
      </c>
      <c r="F485">
        <v>8122</v>
      </c>
      <c r="G485" t="str">
        <f t="shared" si="51"/>
        <v>08122</v>
      </c>
      <c r="H485" t="s">
        <v>339</v>
      </c>
      <c r="I485" t="s">
        <v>1265</v>
      </c>
      <c r="J485" t="s">
        <v>1276</v>
      </c>
      <c r="K485" t="s">
        <v>1277</v>
      </c>
      <c r="L485" t="s">
        <v>1298</v>
      </c>
      <c r="M485" t="s">
        <v>1349</v>
      </c>
      <c r="N485">
        <v>21</v>
      </c>
      <c r="O485" t="str">
        <f t="shared" si="54"/>
        <v>46</v>
      </c>
      <c r="P485">
        <v>46</v>
      </c>
      <c r="R485" t="s">
        <v>1269</v>
      </c>
      <c r="S485">
        <v>1.4990000000000001</v>
      </c>
      <c r="T485">
        <v>0.247</v>
      </c>
      <c r="U485">
        <f t="shared" si="55"/>
        <v>0.37</v>
      </c>
      <c r="V485" t="str">
        <f t="shared" si="52"/>
        <v>Elementary Psychologist</v>
      </c>
      <c r="W485" t="str">
        <f t="shared" si="53"/>
        <v>Psychologist</v>
      </c>
    </row>
    <row r="486" spans="1:23" x14ac:dyDescent="0.25">
      <c r="A486">
        <v>8122</v>
      </c>
      <c r="B486" t="s">
        <v>1333</v>
      </c>
      <c r="C486">
        <v>3</v>
      </c>
      <c r="D486" t="s">
        <v>1264</v>
      </c>
      <c r="E486">
        <v>100132</v>
      </c>
      <c r="F486">
        <v>8122</v>
      </c>
      <c r="G486" t="str">
        <f t="shared" si="51"/>
        <v>08122</v>
      </c>
      <c r="H486" t="s">
        <v>339</v>
      </c>
      <c r="I486" t="s">
        <v>1265</v>
      </c>
      <c r="J486" t="s">
        <v>1276</v>
      </c>
      <c r="K486" t="s">
        <v>1277</v>
      </c>
      <c r="L486" t="s">
        <v>1333</v>
      </c>
      <c r="M486" t="s">
        <v>1432</v>
      </c>
      <c r="N486">
        <v>1</v>
      </c>
      <c r="O486" t="str">
        <f t="shared" si="54"/>
        <v>46</v>
      </c>
      <c r="P486">
        <v>46</v>
      </c>
      <c r="R486" t="s">
        <v>1269</v>
      </c>
      <c r="S486">
        <v>3</v>
      </c>
      <c r="T486">
        <v>0.247</v>
      </c>
      <c r="U486">
        <f t="shared" si="55"/>
        <v>0</v>
      </c>
      <c r="V486" t="str">
        <f t="shared" si="52"/>
        <v>Elementary Psychologist</v>
      </c>
      <c r="W486" t="str">
        <f t="shared" si="53"/>
        <v>Psychologist</v>
      </c>
    </row>
    <row r="487" spans="1:23" x14ac:dyDescent="0.25">
      <c r="A487">
        <v>8122</v>
      </c>
      <c r="B487" t="s">
        <v>1309</v>
      </c>
      <c r="C487">
        <v>0.25</v>
      </c>
      <c r="D487" t="s">
        <v>1264</v>
      </c>
      <c r="E487">
        <v>100132</v>
      </c>
      <c r="F487">
        <v>8122</v>
      </c>
      <c r="G487" t="str">
        <f t="shared" si="51"/>
        <v>08122</v>
      </c>
      <c r="H487" t="s">
        <v>339</v>
      </c>
      <c r="I487" t="s">
        <v>1265</v>
      </c>
      <c r="J487" t="s">
        <v>1271</v>
      </c>
      <c r="K487" t="s">
        <v>1272</v>
      </c>
      <c r="L487" t="s">
        <v>1309</v>
      </c>
      <c r="M487" t="s">
        <v>1310</v>
      </c>
      <c r="N487">
        <v>21</v>
      </c>
      <c r="O487" t="str">
        <f t="shared" si="54"/>
        <v>46</v>
      </c>
      <c r="P487">
        <v>46</v>
      </c>
      <c r="R487" t="s">
        <v>1269</v>
      </c>
      <c r="S487">
        <v>0.25</v>
      </c>
      <c r="T487">
        <v>0.247</v>
      </c>
      <c r="U487">
        <f t="shared" si="55"/>
        <v>6.2E-2</v>
      </c>
      <c r="V487" t="str">
        <f t="shared" si="52"/>
        <v>High Psychologist</v>
      </c>
      <c r="W487" t="str">
        <f t="shared" si="53"/>
        <v>Psychologist</v>
      </c>
    </row>
    <row r="488" spans="1:23" x14ac:dyDescent="0.25">
      <c r="A488">
        <v>8122</v>
      </c>
      <c r="B488" t="s">
        <v>1396</v>
      </c>
      <c r="C488">
        <v>0.25</v>
      </c>
      <c r="D488" t="s">
        <v>1264</v>
      </c>
      <c r="E488">
        <v>100132</v>
      </c>
      <c r="F488">
        <v>8122</v>
      </c>
      <c r="G488" t="str">
        <f t="shared" si="51"/>
        <v>08122</v>
      </c>
      <c r="H488" t="s">
        <v>339</v>
      </c>
      <c r="I488" t="s">
        <v>1265</v>
      </c>
      <c r="J488" t="s">
        <v>1271</v>
      </c>
      <c r="K488" t="s">
        <v>1272</v>
      </c>
      <c r="L488" t="s">
        <v>1396</v>
      </c>
      <c r="M488" t="s">
        <v>1431</v>
      </c>
      <c r="N488">
        <v>1</v>
      </c>
      <c r="O488" t="str">
        <f t="shared" si="54"/>
        <v>46</v>
      </c>
      <c r="P488">
        <v>46</v>
      </c>
      <c r="R488" t="s">
        <v>1269</v>
      </c>
      <c r="S488">
        <v>0.25</v>
      </c>
      <c r="T488">
        <v>0.247</v>
      </c>
      <c r="U488">
        <f t="shared" si="55"/>
        <v>0</v>
      </c>
      <c r="V488" t="str">
        <f t="shared" si="52"/>
        <v>High Psychologist</v>
      </c>
      <c r="W488" t="str">
        <f t="shared" si="53"/>
        <v>Psychologist</v>
      </c>
    </row>
    <row r="489" spans="1:23" x14ac:dyDescent="0.25">
      <c r="A489">
        <v>8122</v>
      </c>
      <c r="B489" t="s">
        <v>1345</v>
      </c>
      <c r="C489">
        <v>2.7509999999999999</v>
      </c>
      <c r="D489" t="s">
        <v>1264</v>
      </c>
      <c r="E489">
        <v>100132</v>
      </c>
      <c r="F489">
        <v>8122</v>
      </c>
      <c r="G489" t="str">
        <f t="shared" si="51"/>
        <v>08122</v>
      </c>
      <c r="H489" t="s">
        <v>339</v>
      </c>
      <c r="I489" t="s">
        <v>1265</v>
      </c>
      <c r="J489" t="s">
        <v>1266</v>
      </c>
      <c r="K489" t="s">
        <v>1267</v>
      </c>
      <c r="L489" t="s">
        <v>1345</v>
      </c>
      <c r="M489" t="s">
        <v>1346</v>
      </c>
      <c r="N489">
        <v>21</v>
      </c>
      <c r="O489" t="str">
        <f t="shared" si="54"/>
        <v>46</v>
      </c>
      <c r="P489">
        <v>46</v>
      </c>
      <c r="R489" t="s">
        <v>1269</v>
      </c>
      <c r="S489">
        <v>2.7509999999999999</v>
      </c>
      <c r="T489">
        <v>0.247</v>
      </c>
      <c r="U489">
        <f t="shared" si="55"/>
        <v>0.67900000000000005</v>
      </c>
      <c r="V489" t="str">
        <f t="shared" si="52"/>
        <v>Middle Psychologist</v>
      </c>
      <c r="W489" t="str">
        <f t="shared" si="53"/>
        <v>Psychologist</v>
      </c>
    </row>
    <row r="490" spans="1:23" x14ac:dyDescent="0.25">
      <c r="A490">
        <v>8122</v>
      </c>
      <c r="B490" t="s">
        <v>1371</v>
      </c>
      <c r="C490">
        <v>0.25</v>
      </c>
      <c r="D490" t="s">
        <v>1264</v>
      </c>
      <c r="E490">
        <v>100132</v>
      </c>
      <c r="F490">
        <v>8122</v>
      </c>
      <c r="G490" t="str">
        <f t="shared" si="51"/>
        <v>08122</v>
      </c>
      <c r="H490" t="s">
        <v>339</v>
      </c>
      <c r="I490" t="s">
        <v>1265</v>
      </c>
      <c r="J490" t="s">
        <v>1266</v>
      </c>
      <c r="K490" t="s">
        <v>1267</v>
      </c>
      <c r="L490" t="s">
        <v>1371</v>
      </c>
      <c r="M490" t="s">
        <v>1430</v>
      </c>
      <c r="N490">
        <v>1</v>
      </c>
      <c r="O490" t="str">
        <f t="shared" si="54"/>
        <v>46</v>
      </c>
      <c r="P490">
        <v>46</v>
      </c>
      <c r="R490" t="s">
        <v>1269</v>
      </c>
      <c r="S490">
        <v>0.25</v>
      </c>
      <c r="T490">
        <v>0.247</v>
      </c>
      <c r="U490">
        <f t="shared" si="55"/>
        <v>0</v>
      </c>
      <c r="V490" t="str">
        <f t="shared" si="52"/>
        <v>Middle Psychologist</v>
      </c>
      <c r="W490" t="str">
        <f t="shared" si="53"/>
        <v>Psychologist</v>
      </c>
    </row>
    <row r="491" spans="1:23" x14ac:dyDescent="0.25">
      <c r="A491">
        <v>8122</v>
      </c>
      <c r="B491" t="s">
        <v>1335</v>
      </c>
      <c r="C491">
        <v>1.52</v>
      </c>
      <c r="D491" t="s">
        <v>1264</v>
      </c>
      <c r="E491">
        <v>100132</v>
      </c>
      <c r="F491">
        <v>8122</v>
      </c>
      <c r="G491" t="str">
        <f t="shared" si="51"/>
        <v>08122</v>
      </c>
      <c r="H491" t="s">
        <v>339</v>
      </c>
      <c r="I491" t="s">
        <v>1265</v>
      </c>
      <c r="J491" t="s">
        <v>1276</v>
      </c>
      <c r="K491" t="s">
        <v>1277</v>
      </c>
      <c r="L491" t="s">
        <v>1335</v>
      </c>
      <c r="M491" t="s">
        <v>1344</v>
      </c>
      <c r="N491">
        <v>1</v>
      </c>
      <c r="O491" t="str">
        <f t="shared" si="54"/>
        <v>47</v>
      </c>
      <c r="P491">
        <v>47</v>
      </c>
      <c r="R491" t="s">
        <v>1269</v>
      </c>
      <c r="S491">
        <v>1.52</v>
      </c>
      <c r="T491">
        <v>0.247</v>
      </c>
      <c r="U491">
        <f t="shared" si="55"/>
        <v>0</v>
      </c>
      <c r="V491" t="str">
        <f t="shared" si="52"/>
        <v>Elementary Nurse</v>
      </c>
      <c r="W491" t="str">
        <f t="shared" si="53"/>
        <v>Nurse</v>
      </c>
    </row>
    <row r="492" spans="1:23" x14ac:dyDescent="0.25">
      <c r="A492">
        <v>8122</v>
      </c>
      <c r="B492" t="s">
        <v>1341</v>
      </c>
      <c r="C492">
        <v>0.33</v>
      </c>
      <c r="D492" t="s">
        <v>1264</v>
      </c>
      <c r="E492">
        <v>100132</v>
      </c>
      <c r="F492">
        <v>8122</v>
      </c>
      <c r="G492" t="str">
        <f t="shared" si="51"/>
        <v>08122</v>
      </c>
      <c r="H492" t="s">
        <v>339</v>
      </c>
      <c r="I492" t="s">
        <v>1265</v>
      </c>
      <c r="J492" t="s">
        <v>1271</v>
      </c>
      <c r="K492" t="s">
        <v>1272</v>
      </c>
      <c r="L492" t="s">
        <v>1341</v>
      </c>
      <c r="M492" t="s">
        <v>1342</v>
      </c>
      <c r="N492">
        <v>1</v>
      </c>
      <c r="O492" t="str">
        <f t="shared" si="54"/>
        <v>47</v>
      </c>
      <c r="P492">
        <v>47</v>
      </c>
      <c r="R492" t="s">
        <v>1269</v>
      </c>
      <c r="S492">
        <v>0.33</v>
      </c>
      <c r="T492">
        <v>0.247</v>
      </c>
      <c r="U492">
        <f t="shared" si="55"/>
        <v>0</v>
      </c>
      <c r="V492" t="str">
        <f t="shared" si="52"/>
        <v>High Nurse</v>
      </c>
      <c r="W492" t="str">
        <f t="shared" si="53"/>
        <v>Nurse</v>
      </c>
    </row>
    <row r="493" spans="1:23" x14ac:dyDescent="0.25">
      <c r="A493">
        <v>8122</v>
      </c>
      <c r="B493" t="s">
        <v>1338</v>
      </c>
      <c r="C493">
        <v>0.15</v>
      </c>
      <c r="D493" t="s">
        <v>1264</v>
      </c>
      <c r="E493">
        <v>100132</v>
      </c>
      <c r="F493">
        <v>8122</v>
      </c>
      <c r="G493" t="str">
        <f t="shared" si="51"/>
        <v>08122</v>
      </c>
      <c r="H493" t="s">
        <v>339</v>
      </c>
      <c r="I493" t="s">
        <v>1265</v>
      </c>
      <c r="J493" t="s">
        <v>1266</v>
      </c>
      <c r="K493" t="s">
        <v>1267</v>
      </c>
      <c r="L493" t="s">
        <v>1338</v>
      </c>
      <c r="M493" t="s">
        <v>1339</v>
      </c>
      <c r="N493">
        <v>1</v>
      </c>
      <c r="O493" t="str">
        <f t="shared" si="54"/>
        <v>47</v>
      </c>
      <c r="P493">
        <v>47</v>
      </c>
      <c r="R493" t="s">
        <v>1269</v>
      </c>
      <c r="S493">
        <v>0.15</v>
      </c>
      <c r="T493">
        <v>0.247</v>
      </c>
      <c r="U493">
        <f t="shared" si="55"/>
        <v>0</v>
      </c>
      <c r="V493" t="str">
        <f t="shared" si="52"/>
        <v>Middle Nurse</v>
      </c>
      <c r="W493" t="str">
        <f t="shared" si="53"/>
        <v>Nurse</v>
      </c>
    </row>
    <row r="494" spans="1:23" x14ac:dyDescent="0.25">
      <c r="A494">
        <v>8122</v>
      </c>
      <c r="B494" t="s">
        <v>1302</v>
      </c>
      <c r="C494">
        <v>0.52</v>
      </c>
      <c r="D494" t="s">
        <v>1264</v>
      </c>
      <c r="E494">
        <v>100132</v>
      </c>
      <c r="F494">
        <v>8122</v>
      </c>
      <c r="G494" t="str">
        <f t="shared" si="51"/>
        <v>08122</v>
      </c>
      <c r="H494" t="s">
        <v>339</v>
      </c>
      <c r="I494" t="s">
        <v>1265</v>
      </c>
      <c r="J494" t="s">
        <v>1276</v>
      </c>
      <c r="K494" t="s">
        <v>1277</v>
      </c>
      <c r="L494" t="s">
        <v>1302</v>
      </c>
      <c r="M494" t="s">
        <v>1336</v>
      </c>
      <c r="N494">
        <v>21</v>
      </c>
      <c r="O494" t="str">
        <f t="shared" si="54"/>
        <v>48</v>
      </c>
      <c r="P494">
        <v>48</v>
      </c>
      <c r="R494" t="s">
        <v>1269</v>
      </c>
      <c r="S494">
        <v>0.52</v>
      </c>
      <c r="T494">
        <v>0.247</v>
      </c>
      <c r="U494">
        <f t="shared" si="55"/>
        <v>0.128</v>
      </c>
      <c r="V494" t="str">
        <f t="shared" si="52"/>
        <v>Elementary Physical Therapist</v>
      </c>
      <c r="W494" t="str">
        <f t="shared" si="53"/>
        <v>Physical Therapist</v>
      </c>
    </row>
    <row r="495" spans="1:23" x14ac:dyDescent="0.25">
      <c r="A495">
        <v>8122</v>
      </c>
      <c r="B495" t="s">
        <v>1330</v>
      </c>
      <c r="C495">
        <v>0.33</v>
      </c>
      <c r="D495" t="s">
        <v>1264</v>
      </c>
      <c r="E495">
        <v>100132</v>
      </c>
      <c r="F495">
        <v>8122</v>
      </c>
      <c r="G495" t="str">
        <f t="shared" si="51"/>
        <v>08122</v>
      </c>
      <c r="H495" t="s">
        <v>339</v>
      </c>
      <c r="I495" t="s">
        <v>1265</v>
      </c>
      <c r="J495" t="s">
        <v>1271</v>
      </c>
      <c r="K495" t="s">
        <v>1272</v>
      </c>
      <c r="L495" t="s">
        <v>1330</v>
      </c>
      <c r="M495" t="s">
        <v>1367</v>
      </c>
      <c r="N495">
        <v>21</v>
      </c>
      <c r="O495" t="str">
        <f t="shared" si="54"/>
        <v>48</v>
      </c>
      <c r="P495">
        <v>48</v>
      </c>
      <c r="R495" t="s">
        <v>1269</v>
      </c>
      <c r="S495">
        <v>0.33</v>
      </c>
      <c r="T495">
        <v>0.247</v>
      </c>
      <c r="U495">
        <f t="shared" si="55"/>
        <v>8.2000000000000003E-2</v>
      </c>
      <c r="V495" t="str">
        <f t="shared" si="52"/>
        <v>High Physical Therapist</v>
      </c>
      <c r="W495" t="str">
        <f t="shared" si="53"/>
        <v>Physical Therapist</v>
      </c>
    </row>
    <row r="496" spans="1:23" x14ac:dyDescent="0.25">
      <c r="A496">
        <v>8122</v>
      </c>
      <c r="B496" t="s">
        <v>1316</v>
      </c>
      <c r="C496">
        <v>0.15</v>
      </c>
      <c r="D496" t="s">
        <v>1264</v>
      </c>
      <c r="E496">
        <v>100132</v>
      </c>
      <c r="F496">
        <v>8122</v>
      </c>
      <c r="G496" t="str">
        <f t="shared" si="51"/>
        <v>08122</v>
      </c>
      <c r="H496" t="s">
        <v>339</v>
      </c>
      <c r="I496" t="s">
        <v>1265</v>
      </c>
      <c r="J496" t="s">
        <v>1266</v>
      </c>
      <c r="K496" t="s">
        <v>1267</v>
      </c>
      <c r="L496" t="s">
        <v>1316</v>
      </c>
      <c r="M496" t="s">
        <v>1366</v>
      </c>
      <c r="N496">
        <v>21</v>
      </c>
      <c r="O496" t="str">
        <f t="shared" si="54"/>
        <v>48</v>
      </c>
      <c r="P496">
        <v>48</v>
      </c>
      <c r="R496" t="s">
        <v>1269</v>
      </c>
      <c r="S496">
        <v>0.15</v>
      </c>
      <c r="T496">
        <v>0.247</v>
      </c>
      <c r="U496">
        <f t="shared" si="55"/>
        <v>3.6999999999999998E-2</v>
      </c>
      <c r="V496" t="str">
        <f t="shared" si="52"/>
        <v>Middle Physical Therapist</v>
      </c>
      <c r="W496" t="str">
        <f t="shared" si="53"/>
        <v>Physical Therapist</v>
      </c>
    </row>
    <row r="497" spans="1:23" x14ac:dyDescent="0.25">
      <c r="A497">
        <v>8130</v>
      </c>
      <c r="B497" t="s">
        <v>1286</v>
      </c>
      <c r="C497">
        <v>0.75700000000000001</v>
      </c>
      <c r="D497" t="s">
        <v>1264</v>
      </c>
      <c r="E497">
        <v>100271</v>
      </c>
      <c r="F497">
        <v>8130</v>
      </c>
      <c r="G497" t="str">
        <f t="shared" si="51"/>
        <v>08130</v>
      </c>
      <c r="H497" t="s">
        <v>340</v>
      </c>
      <c r="I497" t="s">
        <v>1265</v>
      </c>
      <c r="J497" t="s">
        <v>1271</v>
      </c>
      <c r="K497" t="s">
        <v>1272</v>
      </c>
      <c r="L497" t="s">
        <v>1286</v>
      </c>
      <c r="M497" t="s">
        <v>1287</v>
      </c>
      <c r="N497">
        <v>1</v>
      </c>
      <c r="O497" t="str">
        <f t="shared" si="54"/>
        <v>24</v>
      </c>
      <c r="P497">
        <v>96</v>
      </c>
      <c r="Q497">
        <v>24</v>
      </c>
      <c r="R497" t="s">
        <v>1269</v>
      </c>
      <c r="S497">
        <v>0.75700000000000001</v>
      </c>
      <c r="T497">
        <v>0.1913</v>
      </c>
      <c r="U497">
        <f t="shared" si="55"/>
        <v>0</v>
      </c>
      <c r="V497" t="str">
        <f t="shared" si="52"/>
        <v>High Family Engagement Coordinator</v>
      </c>
      <c r="W497" t="str">
        <f t="shared" si="53"/>
        <v>Family Engagement Coordinator</v>
      </c>
    </row>
    <row r="498" spans="1:23" x14ac:dyDescent="0.25">
      <c r="A498">
        <v>8130</v>
      </c>
      <c r="B498" t="s">
        <v>1295</v>
      </c>
      <c r="C498">
        <v>0.59699999999999998</v>
      </c>
      <c r="D498" t="s">
        <v>1264</v>
      </c>
      <c r="E498">
        <v>100271</v>
      </c>
      <c r="F498">
        <v>8130</v>
      </c>
      <c r="G498" t="str">
        <f t="shared" si="51"/>
        <v>08130</v>
      </c>
      <c r="H498" t="s">
        <v>340</v>
      </c>
      <c r="I498" t="s">
        <v>1265</v>
      </c>
      <c r="J498" t="s">
        <v>1271</v>
      </c>
      <c r="K498" t="s">
        <v>1272</v>
      </c>
      <c r="L498" t="s">
        <v>1295</v>
      </c>
      <c r="M498" t="s">
        <v>1296</v>
      </c>
      <c r="N498">
        <v>1</v>
      </c>
      <c r="O498" t="str">
        <f t="shared" si="54"/>
        <v>26</v>
      </c>
      <c r="Q498">
        <v>26</v>
      </c>
      <c r="R498" t="s">
        <v>1269</v>
      </c>
      <c r="S498">
        <v>0.59699999999999998</v>
      </c>
      <c r="T498">
        <v>0.1913</v>
      </c>
      <c r="U498">
        <f t="shared" si="55"/>
        <v>0</v>
      </c>
      <c r="V498" t="str">
        <f t="shared" si="52"/>
        <v>High Health/
Related Services</v>
      </c>
      <c r="W498" t="str">
        <f t="shared" si="53"/>
        <v>Health/
Related Services</v>
      </c>
    </row>
    <row r="499" spans="1:23" x14ac:dyDescent="0.25">
      <c r="A499">
        <v>8130</v>
      </c>
      <c r="B499" t="s">
        <v>1275</v>
      </c>
      <c r="C499">
        <v>1</v>
      </c>
      <c r="D499" t="s">
        <v>1264</v>
      </c>
      <c r="E499">
        <v>100271</v>
      </c>
      <c r="F499">
        <v>8130</v>
      </c>
      <c r="G499" t="str">
        <f t="shared" si="51"/>
        <v>08130</v>
      </c>
      <c r="H499" t="s">
        <v>340</v>
      </c>
      <c r="I499" t="s">
        <v>1265</v>
      </c>
      <c r="J499" t="s">
        <v>1276</v>
      </c>
      <c r="K499" t="s">
        <v>1277</v>
      </c>
      <c r="L499" t="s">
        <v>1275</v>
      </c>
      <c r="M499" t="s">
        <v>1278</v>
      </c>
      <c r="N499">
        <v>1</v>
      </c>
      <c r="O499" t="str">
        <f t="shared" si="54"/>
        <v>42</v>
      </c>
      <c r="P499">
        <v>42</v>
      </c>
      <c r="R499" t="s">
        <v>1269</v>
      </c>
      <c r="S499">
        <v>1</v>
      </c>
      <c r="T499">
        <v>0.1913</v>
      </c>
      <c r="U499">
        <f t="shared" si="55"/>
        <v>0</v>
      </c>
      <c r="V499" t="str">
        <f t="shared" si="52"/>
        <v>Elementary Counselor</v>
      </c>
      <c r="W499" t="str">
        <f t="shared" si="53"/>
        <v>Counselor</v>
      </c>
    </row>
    <row r="500" spans="1:23" x14ac:dyDescent="0.25">
      <c r="A500">
        <v>8130</v>
      </c>
      <c r="B500" t="s">
        <v>1270</v>
      </c>
      <c r="C500">
        <v>1</v>
      </c>
      <c r="D500" t="s">
        <v>1264</v>
      </c>
      <c r="E500">
        <v>100271</v>
      </c>
      <c r="F500">
        <v>8130</v>
      </c>
      <c r="G500" t="str">
        <f t="shared" si="51"/>
        <v>08130</v>
      </c>
      <c r="H500" t="s">
        <v>340</v>
      </c>
      <c r="I500" t="s">
        <v>1265</v>
      </c>
      <c r="J500" t="s">
        <v>1271</v>
      </c>
      <c r="K500" t="s">
        <v>1272</v>
      </c>
      <c r="L500" t="s">
        <v>1270</v>
      </c>
      <c r="M500" t="s">
        <v>1273</v>
      </c>
      <c r="N500">
        <v>1</v>
      </c>
      <c r="O500" t="str">
        <f t="shared" si="54"/>
        <v>42</v>
      </c>
      <c r="P500">
        <v>42</v>
      </c>
      <c r="R500" t="s">
        <v>1269</v>
      </c>
      <c r="S500">
        <v>1</v>
      </c>
      <c r="T500">
        <v>0.1913</v>
      </c>
      <c r="U500">
        <f t="shared" si="55"/>
        <v>0</v>
      </c>
      <c r="V500" t="str">
        <f t="shared" si="52"/>
        <v>High Counselor</v>
      </c>
      <c r="W500" t="str">
        <f t="shared" si="53"/>
        <v>Counselor</v>
      </c>
    </row>
    <row r="501" spans="1:23" x14ac:dyDescent="0.25">
      <c r="A501">
        <v>8401</v>
      </c>
      <c r="B501" t="s">
        <v>1299</v>
      </c>
      <c r="C501">
        <v>2.6349999999999998</v>
      </c>
      <c r="D501" t="s">
        <v>1264</v>
      </c>
      <c r="E501">
        <v>100036</v>
      </c>
      <c r="F501">
        <v>8401</v>
      </c>
      <c r="G501" t="str">
        <f t="shared" si="51"/>
        <v>08401</v>
      </c>
      <c r="H501" t="s">
        <v>341</v>
      </c>
      <c r="I501" t="s">
        <v>1265</v>
      </c>
      <c r="J501" t="s">
        <v>1271</v>
      </c>
      <c r="K501" t="s">
        <v>1272</v>
      </c>
      <c r="L501" t="s">
        <v>1299</v>
      </c>
      <c r="M501" t="s">
        <v>1300</v>
      </c>
      <c r="N501">
        <v>1</v>
      </c>
      <c r="O501" t="str">
        <f t="shared" si="54"/>
        <v>25</v>
      </c>
      <c r="Q501">
        <v>25</v>
      </c>
      <c r="R501" t="s">
        <v>1269</v>
      </c>
      <c r="S501">
        <v>2.6349999999999998</v>
      </c>
      <c r="T501">
        <v>0.1804</v>
      </c>
      <c r="U501">
        <f t="shared" si="55"/>
        <v>0</v>
      </c>
      <c r="V501" t="str">
        <f t="shared" si="52"/>
        <v>High Pupil Management</v>
      </c>
      <c r="W501" t="str">
        <f t="shared" si="53"/>
        <v>Pupil Management</v>
      </c>
    </row>
    <row r="502" spans="1:23" x14ac:dyDescent="0.25">
      <c r="A502">
        <v>8401</v>
      </c>
      <c r="B502" t="s">
        <v>1363</v>
      </c>
      <c r="C502">
        <v>0.54800000000000004</v>
      </c>
      <c r="D502" t="s">
        <v>1264</v>
      </c>
      <c r="E502">
        <v>100036</v>
      </c>
      <c r="F502">
        <v>8401</v>
      </c>
      <c r="G502" t="str">
        <f t="shared" si="51"/>
        <v>08401</v>
      </c>
      <c r="H502" t="s">
        <v>341</v>
      </c>
      <c r="I502" t="s">
        <v>1265</v>
      </c>
      <c r="J502" t="s">
        <v>1266</v>
      </c>
      <c r="K502" t="s">
        <v>1267</v>
      </c>
      <c r="L502" t="s">
        <v>1363</v>
      </c>
      <c r="M502" t="s">
        <v>1386</v>
      </c>
      <c r="N502">
        <v>1</v>
      </c>
      <c r="O502" t="str">
        <f t="shared" si="54"/>
        <v>25</v>
      </c>
      <c r="Q502">
        <v>25</v>
      </c>
      <c r="R502" t="s">
        <v>1269</v>
      </c>
      <c r="S502">
        <v>0.54800000000000004</v>
      </c>
      <c r="T502">
        <v>0.1804</v>
      </c>
      <c r="U502">
        <f t="shared" si="55"/>
        <v>0</v>
      </c>
      <c r="V502" t="str">
        <f t="shared" si="52"/>
        <v>Middle Pupil Management</v>
      </c>
      <c r="W502" t="str">
        <f t="shared" si="53"/>
        <v>Pupil Management</v>
      </c>
    </row>
    <row r="503" spans="1:23" x14ac:dyDescent="0.25">
      <c r="A503">
        <v>8401</v>
      </c>
      <c r="B503" t="s">
        <v>1315</v>
      </c>
      <c r="C503">
        <v>0.95299999999999996</v>
      </c>
      <c r="D503" t="s">
        <v>1264</v>
      </c>
      <c r="E503">
        <v>100036</v>
      </c>
      <c r="F503">
        <v>8401</v>
      </c>
      <c r="G503" t="str">
        <f t="shared" si="51"/>
        <v>08401</v>
      </c>
      <c r="H503" t="s">
        <v>341</v>
      </c>
      <c r="I503" t="s">
        <v>1265</v>
      </c>
      <c r="J503" t="s">
        <v>1276</v>
      </c>
      <c r="K503" t="s">
        <v>1277</v>
      </c>
      <c r="L503" t="s">
        <v>1315</v>
      </c>
      <c r="M503" t="s">
        <v>1375</v>
      </c>
      <c r="N503">
        <v>1</v>
      </c>
      <c r="O503" t="str">
        <f t="shared" si="54"/>
        <v>26</v>
      </c>
      <c r="Q503">
        <v>26</v>
      </c>
      <c r="R503" t="s">
        <v>1269</v>
      </c>
      <c r="S503">
        <v>0.95299999999999996</v>
      </c>
      <c r="T503">
        <v>0.1804</v>
      </c>
      <c r="U503">
        <f t="shared" si="55"/>
        <v>0</v>
      </c>
      <c r="V503" t="str">
        <f t="shared" si="52"/>
        <v>Elementary Health/
Related Services</v>
      </c>
      <c r="W503" t="str">
        <f t="shared" si="53"/>
        <v>Health/
Related Services</v>
      </c>
    </row>
    <row r="504" spans="1:23" x14ac:dyDescent="0.25">
      <c r="A504">
        <v>8401</v>
      </c>
      <c r="B504" t="s">
        <v>1295</v>
      </c>
      <c r="C504">
        <v>0.2</v>
      </c>
      <c r="D504" t="s">
        <v>1264</v>
      </c>
      <c r="E504">
        <v>100036</v>
      </c>
      <c r="F504">
        <v>8401</v>
      </c>
      <c r="G504" t="str">
        <f t="shared" si="51"/>
        <v>08401</v>
      </c>
      <c r="H504" t="s">
        <v>341</v>
      </c>
      <c r="I504" t="s">
        <v>1265</v>
      </c>
      <c r="J504" t="s">
        <v>1271</v>
      </c>
      <c r="K504" t="s">
        <v>1272</v>
      </c>
      <c r="L504" t="s">
        <v>1295</v>
      </c>
      <c r="M504" t="s">
        <v>1296</v>
      </c>
      <c r="N504">
        <v>1</v>
      </c>
      <c r="O504" t="str">
        <f t="shared" si="54"/>
        <v>26</v>
      </c>
      <c r="Q504">
        <v>26</v>
      </c>
      <c r="R504" t="s">
        <v>1269</v>
      </c>
      <c r="S504">
        <v>0.2</v>
      </c>
      <c r="T504">
        <v>0.1804</v>
      </c>
      <c r="U504">
        <f t="shared" si="55"/>
        <v>0</v>
      </c>
      <c r="V504" t="str">
        <f t="shared" si="52"/>
        <v>High Health/
Related Services</v>
      </c>
      <c r="W504" t="str">
        <f t="shared" si="53"/>
        <v>Health/
Related Services</v>
      </c>
    </row>
    <row r="505" spans="1:23" x14ac:dyDescent="0.25">
      <c r="A505">
        <v>8401</v>
      </c>
      <c r="B505" t="s">
        <v>1291</v>
      </c>
      <c r="C505">
        <v>0.2</v>
      </c>
      <c r="D505" t="s">
        <v>1264</v>
      </c>
      <c r="E505">
        <v>100036</v>
      </c>
      <c r="F505">
        <v>8401</v>
      </c>
      <c r="G505" t="str">
        <f t="shared" si="51"/>
        <v>08401</v>
      </c>
      <c r="H505" t="s">
        <v>341</v>
      </c>
      <c r="I505" t="s">
        <v>1265</v>
      </c>
      <c r="J505" t="s">
        <v>1266</v>
      </c>
      <c r="K505" t="s">
        <v>1267</v>
      </c>
      <c r="L505" t="s">
        <v>1291</v>
      </c>
      <c r="M505" t="s">
        <v>1292</v>
      </c>
      <c r="N505">
        <v>1</v>
      </c>
      <c r="O505" t="str">
        <f t="shared" si="54"/>
        <v>26</v>
      </c>
      <c r="Q505">
        <v>26</v>
      </c>
      <c r="R505" t="s">
        <v>1269</v>
      </c>
      <c r="S505">
        <v>0.2</v>
      </c>
      <c r="T505">
        <v>0.1804</v>
      </c>
      <c r="U505">
        <f t="shared" si="55"/>
        <v>0</v>
      </c>
      <c r="V505" t="str">
        <f t="shared" si="52"/>
        <v>Middle Health/
Related Services</v>
      </c>
      <c r="W505" t="str">
        <f t="shared" si="53"/>
        <v>Health/
Related Services</v>
      </c>
    </row>
    <row r="506" spans="1:23" x14ac:dyDescent="0.25">
      <c r="A506">
        <v>8401</v>
      </c>
      <c r="B506" t="s">
        <v>1275</v>
      </c>
      <c r="C506">
        <v>1</v>
      </c>
      <c r="D506" t="s">
        <v>1264</v>
      </c>
      <c r="E506">
        <v>100036</v>
      </c>
      <c r="F506">
        <v>8401</v>
      </c>
      <c r="G506" t="str">
        <f t="shared" si="51"/>
        <v>08401</v>
      </c>
      <c r="H506" t="s">
        <v>341</v>
      </c>
      <c r="I506" t="s">
        <v>1265</v>
      </c>
      <c r="J506" t="s">
        <v>1276</v>
      </c>
      <c r="K506" t="s">
        <v>1277</v>
      </c>
      <c r="L506" t="s">
        <v>1275</v>
      </c>
      <c r="M506" t="s">
        <v>1278</v>
      </c>
      <c r="N506">
        <v>1</v>
      </c>
      <c r="O506" t="str">
        <f t="shared" si="54"/>
        <v>42</v>
      </c>
      <c r="P506">
        <v>42</v>
      </c>
      <c r="R506" t="s">
        <v>1269</v>
      </c>
      <c r="S506">
        <v>1</v>
      </c>
      <c r="T506">
        <v>0.1804</v>
      </c>
      <c r="U506">
        <f t="shared" si="55"/>
        <v>0</v>
      </c>
      <c r="V506" t="str">
        <f t="shared" si="52"/>
        <v>Elementary Counselor</v>
      </c>
      <c r="W506" t="str">
        <f t="shared" si="53"/>
        <v>Counselor</v>
      </c>
    </row>
    <row r="507" spans="1:23" x14ac:dyDescent="0.25">
      <c r="A507">
        <v>8401</v>
      </c>
      <c r="B507" t="s">
        <v>1270</v>
      </c>
      <c r="C507">
        <v>1</v>
      </c>
      <c r="D507" t="s">
        <v>1264</v>
      </c>
      <c r="E507">
        <v>100036</v>
      </c>
      <c r="F507">
        <v>8401</v>
      </c>
      <c r="G507" t="str">
        <f t="shared" si="51"/>
        <v>08401</v>
      </c>
      <c r="H507" t="s">
        <v>341</v>
      </c>
      <c r="I507" t="s">
        <v>1265</v>
      </c>
      <c r="J507" t="s">
        <v>1271</v>
      </c>
      <c r="K507" t="s">
        <v>1272</v>
      </c>
      <c r="L507" t="s">
        <v>1270</v>
      </c>
      <c r="M507" t="s">
        <v>1273</v>
      </c>
      <c r="N507">
        <v>1</v>
      </c>
      <c r="O507" t="str">
        <f t="shared" si="54"/>
        <v>42</v>
      </c>
      <c r="P507">
        <v>42</v>
      </c>
      <c r="R507" t="s">
        <v>1269</v>
      </c>
      <c r="S507">
        <v>1</v>
      </c>
      <c r="T507">
        <v>0.1804</v>
      </c>
      <c r="U507">
        <f t="shared" si="55"/>
        <v>0</v>
      </c>
      <c r="V507" t="str">
        <f t="shared" si="52"/>
        <v>High Counselor</v>
      </c>
      <c r="W507" t="str">
        <f t="shared" si="53"/>
        <v>Counselor</v>
      </c>
    </row>
    <row r="508" spans="1:23" x14ac:dyDescent="0.25">
      <c r="A508">
        <v>8401</v>
      </c>
      <c r="B508" t="s">
        <v>1263</v>
      </c>
      <c r="C508">
        <v>1</v>
      </c>
      <c r="D508" t="s">
        <v>1264</v>
      </c>
      <c r="E508">
        <v>100036</v>
      </c>
      <c r="F508">
        <v>8401</v>
      </c>
      <c r="G508" t="str">
        <f t="shared" si="51"/>
        <v>08401</v>
      </c>
      <c r="H508" t="s">
        <v>341</v>
      </c>
      <c r="I508" t="s">
        <v>1265</v>
      </c>
      <c r="J508" t="s">
        <v>1266</v>
      </c>
      <c r="K508" t="s">
        <v>1267</v>
      </c>
      <c r="L508" t="s">
        <v>1263</v>
      </c>
      <c r="M508" t="s">
        <v>1268</v>
      </c>
      <c r="N508">
        <v>1</v>
      </c>
      <c r="O508" t="str">
        <f t="shared" si="54"/>
        <v>42</v>
      </c>
      <c r="P508">
        <v>42</v>
      </c>
      <c r="R508" t="s">
        <v>1269</v>
      </c>
      <c r="S508">
        <v>1</v>
      </c>
      <c r="T508">
        <v>0.1804</v>
      </c>
      <c r="U508">
        <f t="shared" si="55"/>
        <v>0</v>
      </c>
      <c r="V508" t="str">
        <f t="shared" si="52"/>
        <v>Middle Counselor</v>
      </c>
      <c r="W508" t="str">
        <f t="shared" si="53"/>
        <v>Counselor</v>
      </c>
    </row>
    <row r="509" spans="1:23" x14ac:dyDescent="0.25">
      <c r="A509">
        <v>8401</v>
      </c>
      <c r="B509" t="s">
        <v>1294</v>
      </c>
      <c r="C509">
        <v>1.82</v>
      </c>
      <c r="D509" t="s">
        <v>1264</v>
      </c>
      <c r="E509">
        <v>100036</v>
      </c>
      <c r="F509">
        <v>8401</v>
      </c>
      <c r="G509" t="str">
        <f t="shared" si="51"/>
        <v>08401</v>
      </c>
      <c r="H509" t="s">
        <v>341</v>
      </c>
      <c r="I509" t="s">
        <v>1265</v>
      </c>
      <c r="J509" t="s">
        <v>1276</v>
      </c>
      <c r="K509" t="s">
        <v>1277</v>
      </c>
      <c r="L509" t="s">
        <v>1294</v>
      </c>
      <c r="M509" t="s">
        <v>1354</v>
      </c>
      <c r="N509">
        <v>21</v>
      </c>
      <c r="O509" t="str">
        <f t="shared" si="54"/>
        <v>45</v>
      </c>
      <c r="P509">
        <v>45</v>
      </c>
      <c r="R509" t="s">
        <v>1269</v>
      </c>
      <c r="S509">
        <v>1.82</v>
      </c>
      <c r="T509">
        <v>0.1804</v>
      </c>
      <c r="U509">
        <f t="shared" si="55"/>
        <v>0.32800000000000001</v>
      </c>
      <c r="V509" t="str">
        <f t="shared" si="52"/>
        <v>Elementary Speech, Language Pathway/
Audio</v>
      </c>
      <c r="W509" t="str">
        <f t="shared" si="53"/>
        <v>Speech, Language Pathway/
Audio</v>
      </c>
    </row>
    <row r="510" spans="1:23" x14ac:dyDescent="0.25">
      <c r="A510">
        <v>8401</v>
      </c>
      <c r="B510" t="s">
        <v>1298</v>
      </c>
      <c r="C510">
        <v>1</v>
      </c>
      <c r="D510" t="s">
        <v>1264</v>
      </c>
      <c r="E510">
        <v>100036</v>
      </c>
      <c r="F510">
        <v>8401</v>
      </c>
      <c r="G510" t="str">
        <f t="shared" si="51"/>
        <v>08401</v>
      </c>
      <c r="H510" t="s">
        <v>341</v>
      </c>
      <c r="I510" t="s">
        <v>1265</v>
      </c>
      <c r="J510" t="s">
        <v>1276</v>
      </c>
      <c r="K510" t="s">
        <v>1277</v>
      </c>
      <c r="L510" t="s">
        <v>1298</v>
      </c>
      <c r="M510" t="s">
        <v>1349</v>
      </c>
      <c r="N510">
        <v>21</v>
      </c>
      <c r="O510" t="str">
        <f t="shared" si="54"/>
        <v>46</v>
      </c>
      <c r="P510">
        <v>46</v>
      </c>
      <c r="R510" t="s">
        <v>1269</v>
      </c>
      <c r="S510">
        <v>1</v>
      </c>
      <c r="T510">
        <v>0.1804</v>
      </c>
      <c r="U510">
        <f t="shared" si="55"/>
        <v>0.18</v>
      </c>
      <c r="V510" t="str">
        <f t="shared" si="52"/>
        <v>Elementary Psychologist</v>
      </c>
      <c r="W510" t="str">
        <f t="shared" si="53"/>
        <v>Psychologist</v>
      </c>
    </row>
    <row r="511" spans="1:23" x14ac:dyDescent="0.25">
      <c r="A511">
        <v>8402</v>
      </c>
      <c r="B511" t="s">
        <v>1308</v>
      </c>
      <c r="C511">
        <v>1.294</v>
      </c>
      <c r="D511" t="s">
        <v>1264</v>
      </c>
      <c r="E511">
        <v>100113</v>
      </c>
      <c r="F511">
        <v>8402</v>
      </c>
      <c r="G511" t="str">
        <f t="shared" si="51"/>
        <v>08402</v>
      </c>
      <c r="H511" t="s">
        <v>342</v>
      </c>
      <c r="I511" t="s">
        <v>1265</v>
      </c>
      <c r="J511" t="s">
        <v>1276</v>
      </c>
      <c r="K511" t="s">
        <v>1277</v>
      </c>
      <c r="L511" t="s">
        <v>1308</v>
      </c>
      <c r="M511" t="s">
        <v>1389</v>
      </c>
      <c r="N511">
        <v>1</v>
      </c>
      <c r="O511" t="str">
        <f t="shared" si="54"/>
        <v>25</v>
      </c>
      <c r="Q511">
        <v>25</v>
      </c>
      <c r="R511" t="s">
        <v>1269</v>
      </c>
      <c r="S511">
        <v>1.294</v>
      </c>
      <c r="T511">
        <v>0.1913</v>
      </c>
      <c r="U511">
        <f t="shared" si="55"/>
        <v>0</v>
      </c>
      <c r="V511" t="str">
        <f t="shared" si="52"/>
        <v>Elementary Pupil Management</v>
      </c>
      <c r="W511" t="str">
        <f t="shared" si="53"/>
        <v>Pupil Management</v>
      </c>
    </row>
    <row r="512" spans="1:23" x14ac:dyDescent="0.25">
      <c r="A512">
        <v>8402</v>
      </c>
      <c r="B512" t="s">
        <v>1299</v>
      </c>
      <c r="C512">
        <v>1.24</v>
      </c>
      <c r="D512" t="s">
        <v>1264</v>
      </c>
      <c r="E512">
        <v>100113</v>
      </c>
      <c r="F512">
        <v>8402</v>
      </c>
      <c r="G512" t="str">
        <f t="shared" si="51"/>
        <v>08402</v>
      </c>
      <c r="H512" t="s">
        <v>342</v>
      </c>
      <c r="I512" t="s">
        <v>1265</v>
      </c>
      <c r="J512" t="s">
        <v>1271</v>
      </c>
      <c r="K512" t="s">
        <v>1272</v>
      </c>
      <c r="L512" t="s">
        <v>1299</v>
      </c>
      <c r="M512" t="s">
        <v>1300</v>
      </c>
      <c r="N512">
        <v>1</v>
      </c>
      <c r="O512" t="str">
        <f t="shared" si="54"/>
        <v>25</v>
      </c>
      <c r="Q512">
        <v>25</v>
      </c>
      <c r="R512" t="s">
        <v>1269</v>
      </c>
      <c r="S512">
        <v>1.24</v>
      </c>
      <c r="T512">
        <v>0.1913</v>
      </c>
      <c r="U512">
        <f t="shared" si="55"/>
        <v>0</v>
      </c>
      <c r="V512" t="str">
        <f t="shared" si="52"/>
        <v>High Pupil Management</v>
      </c>
      <c r="W512" t="str">
        <f t="shared" si="53"/>
        <v>Pupil Management</v>
      </c>
    </row>
    <row r="513" spans="1:23" x14ac:dyDescent="0.25">
      <c r="A513">
        <v>8402</v>
      </c>
      <c r="B513" t="s">
        <v>1363</v>
      </c>
      <c r="C513">
        <v>9.0999999999999998E-2</v>
      </c>
      <c r="D513" t="s">
        <v>1264</v>
      </c>
      <c r="E513">
        <v>100113</v>
      </c>
      <c r="F513">
        <v>8402</v>
      </c>
      <c r="G513" t="str">
        <f t="shared" si="51"/>
        <v>08402</v>
      </c>
      <c r="H513" t="s">
        <v>342</v>
      </c>
      <c r="I513" t="s">
        <v>1265</v>
      </c>
      <c r="J513" t="s">
        <v>1266</v>
      </c>
      <c r="K513" t="s">
        <v>1267</v>
      </c>
      <c r="L513" t="s">
        <v>1363</v>
      </c>
      <c r="M513" t="s">
        <v>1386</v>
      </c>
      <c r="N513">
        <v>1</v>
      </c>
      <c r="O513" t="str">
        <f t="shared" si="54"/>
        <v>25</v>
      </c>
      <c r="Q513">
        <v>25</v>
      </c>
      <c r="R513" t="s">
        <v>1269</v>
      </c>
      <c r="S513">
        <v>9.0999999999999998E-2</v>
      </c>
      <c r="T513">
        <v>0.1913</v>
      </c>
      <c r="U513">
        <f t="shared" si="55"/>
        <v>0</v>
      </c>
      <c r="V513" t="str">
        <f t="shared" si="52"/>
        <v>Middle Pupil Management</v>
      </c>
      <c r="W513" t="str">
        <f t="shared" si="53"/>
        <v>Pupil Management</v>
      </c>
    </row>
    <row r="514" spans="1:23" x14ac:dyDescent="0.25">
      <c r="A514">
        <v>8402</v>
      </c>
      <c r="B514" t="s">
        <v>1315</v>
      </c>
      <c r="C514">
        <v>0.67</v>
      </c>
      <c r="D514" t="s">
        <v>1264</v>
      </c>
      <c r="E514">
        <v>100113</v>
      </c>
      <c r="F514">
        <v>8402</v>
      </c>
      <c r="G514" t="str">
        <f t="shared" ref="G514:G577" si="56">TEXT(F514,"00000")</f>
        <v>08402</v>
      </c>
      <c r="H514" t="s">
        <v>342</v>
      </c>
      <c r="I514" t="s">
        <v>1265</v>
      </c>
      <c r="J514" t="s">
        <v>1276</v>
      </c>
      <c r="K514" t="s">
        <v>1277</v>
      </c>
      <c r="L514" t="s">
        <v>1315</v>
      </c>
      <c r="M514" t="s">
        <v>1375</v>
      </c>
      <c r="N514">
        <v>1</v>
      </c>
      <c r="O514" t="str">
        <f t="shared" si="54"/>
        <v>26</v>
      </c>
      <c r="Q514">
        <v>26</v>
      </c>
      <c r="R514" t="s">
        <v>1269</v>
      </c>
      <c r="S514">
        <v>0.67</v>
      </c>
      <c r="T514">
        <v>0.1913</v>
      </c>
      <c r="U514">
        <f t="shared" si="55"/>
        <v>0</v>
      </c>
      <c r="V514" t="str">
        <f t="shared" ref="V514:V577" si="57">_xlfn.XLOOKUP(L514,$BV:$BV,$BT:$BT,,0)</f>
        <v>Elementary Health/
Related Services</v>
      </c>
      <c r="W514" t="str">
        <f t="shared" ref="W514:W577" si="58">_xlfn.TEXTAFTER(V514," ")</f>
        <v>Health/
Related Services</v>
      </c>
    </row>
    <row r="515" spans="1:23" x14ac:dyDescent="0.25">
      <c r="A515">
        <v>8402</v>
      </c>
      <c r="B515" t="s">
        <v>1295</v>
      </c>
      <c r="C515">
        <v>0.33500000000000002</v>
      </c>
      <c r="D515" t="s">
        <v>1264</v>
      </c>
      <c r="E515">
        <v>100113</v>
      </c>
      <c r="F515">
        <v>8402</v>
      </c>
      <c r="G515" t="str">
        <f t="shared" si="56"/>
        <v>08402</v>
      </c>
      <c r="H515" t="s">
        <v>342</v>
      </c>
      <c r="I515" t="s">
        <v>1265</v>
      </c>
      <c r="J515" t="s">
        <v>1271</v>
      </c>
      <c r="K515" t="s">
        <v>1272</v>
      </c>
      <c r="L515" t="s">
        <v>1295</v>
      </c>
      <c r="M515" t="s">
        <v>1296</v>
      </c>
      <c r="N515">
        <v>1</v>
      </c>
      <c r="O515" t="str">
        <f t="shared" ref="O515:O578" si="59">MID(L515,3,2)</f>
        <v>26</v>
      </c>
      <c r="Q515">
        <v>26</v>
      </c>
      <c r="R515" t="s">
        <v>1269</v>
      </c>
      <c r="S515">
        <v>0.33500000000000002</v>
      </c>
      <c r="T515">
        <v>0.1913</v>
      </c>
      <c r="U515">
        <f t="shared" ref="U515:U578" si="60">IF(N515=21,ROUND(T515*S515,3),0)</f>
        <v>0</v>
      </c>
      <c r="V515" t="str">
        <f t="shared" si="57"/>
        <v>High Health/
Related Services</v>
      </c>
      <c r="W515" t="str">
        <f t="shared" si="58"/>
        <v>Health/
Related Services</v>
      </c>
    </row>
    <row r="516" spans="1:23" x14ac:dyDescent="0.25">
      <c r="A516">
        <v>8402</v>
      </c>
      <c r="B516" t="s">
        <v>1291</v>
      </c>
      <c r="C516">
        <v>0.33500000000000002</v>
      </c>
      <c r="D516" t="s">
        <v>1264</v>
      </c>
      <c r="E516">
        <v>100113</v>
      </c>
      <c r="F516">
        <v>8402</v>
      </c>
      <c r="G516" t="str">
        <f t="shared" si="56"/>
        <v>08402</v>
      </c>
      <c r="H516" t="s">
        <v>342</v>
      </c>
      <c r="I516" t="s">
        <v>1265</v>
      </c>
      <c r="J516" t="s">
        <v>1266</v>
      </c>
      <c r="K516" t="s">
        <v>1267</v>
      </c>
      <c r="L516" t="s">
        <v>1291</v>
      </c>
      <c r="M516" t="s">
        <v>1292</v>
      </c>
      <c r="N516">
        <v>1</v>
      </c>
      <c r="O516" t="str">
        <f t="shared" si="59"/>
        <v>26</v>
      </c>
      <c r="Q516">
        <v>26</v>
      </c>
      <c r="R516" t="s">
        <v>1269</v>
      </c>
      <c r="S516">
        <v>0.33500000000000002</v>
      </c>
      <c r="T516">
        <v>0.1913</v>
      </c>
      <c r="U516">
        <f t="shared" si="60"/>
        <v>0</v>
      </c>
      <c r="V516" t="str">
        <f t="shared" si="57"/>
        <v>Middle Health/
Related Services</v>
      </c>
      <c r="W516" t="str">
        <f t="shared" si="58"/>
        <v>Health/
Related Services</v>
      </c>
    </row>
    <row r="517" spans="1:23" x14ac:dyDescent="0.25">
      <c r="A517">
        <v>8402</v>
      </c>
      <c r="B517" t="s">
        <v>1275</v>
      </c>
      <c r="C517">
        <v>1.081</v>
      </c>
      <c r="D517" t="s">
        <v>1264</v>
      </c>
      <c r="E517">
        <v>100113</v>
      </c>
      <c r="F517">
        <v>8402</v>
      </c>
      <c r="G517" t="str">
        <f t="shared" si="56"/>
        <v>08402</v>
      </c>
      <c r="H517" t="s">
        <v>342</v>
      </c>
      <c r="I517" t="s">
        <v>1265</v>
      </c>
      <c r="J517" t="s">
        <v>1276</v>
      </c>
      <c r="K517" t="s">
        <v>1277</v>
      </c>
      <c r="L517" t="s">
        <v>1275</v>
      </c>
      <c r="M517" t="s">
        <v>1278</v>
      </c>
      <c r="N517">
        <v>1</v>
      </c>
      <c r="O517" t="str">
        <f t="shared" si="59"/>
        <v>42</v>
      </c>
      <c r="P517">
        <v>42</v>
      </c>
      <c r="R517" t="s">
        <v>1269</v>
      </c>
      <c r="S517">
        <v>1.081</v>
      </c>
      <c r="T517">
        <v>0.1913</v>
      </c>
      <c r="U517">
        <f t="shared" si="60"/>
        <v>0</v>
      </c>
      <c r="V517" t="str">
        <f t="shared" si="57"/>
        <v>Elementary Counselor</v>
      </c>
      <c r="W517" t="str">
        <f t="shared" si="58"/>
        <v>Counselor</v>
      </c>
    </row>
    <row r="518" spans="1:23" x14ac:dyDescent="0.25">
      <c r="A518">
        <v>8402</v>
      </c>
      <c r="B518" t="s">
        <v>1270</v>
      </c>
      <c r="C518">
        <v>1.081</v>
      </c>
      <c r="D518" t="s">
        <v>1264</v>
      </c>
      <c r="E518">
        <v>100113</v>
      </c>
      <c r="F518">
        <v>8402</v>
      </c>
      <c r="G518" t="str">
        <f t="shared" si="56"/>
        <v>08402</v>
      </c>
      <c r="H518" t="s">
        <v>342</v>
      </c>
      <c r="I518" t="s">
        <v>1265</v>
      </c>
      <c r="J518" t="s">
        <v>1271</v>
      </c>
      <c r="K518" t="s">
        <v>1272</v>
      </c>
      <c r="L518" t="s">
        <v>1270</v>
      </c>
      <c r="M518" t="s">
        <v>1273</v>
      </c>
      <c r="N518">
        <v>1</v>
      </c>
      <c r="O518" t="str">
        <f t="shared" si="59"/>
        <v>42</v>
      </c>
      <c r="P518">
        <v>42</v>
      </c>
      <c r="R518" t="s">
        <v>1269</v>
      </c>
      <c r="S518">
        <v>1.081</v>
      </c>
      <c r="T518">
        <v>0.1913</v>
      </c>
      <c r="U518">
        <f t="shared" si="60"/>
        <v>0</v>
      </c>
      <c r="V518" t="str">
        <f t="shared" si="57"/>
        <v>High Counselor</v>
      </c>
      <c r="W518" t="str">
        <f t="shared" si="58"/>
        <v>Counselor</v>
      </c>
    </row>
    <row r="519" spans="1:23" x14ac:dyDescent="0.25">
      <c r="A519">
        <v>8402</v>
      </c>
      <c r="B519" t="s">
        <v>1263</v>
      </c>
      <c r="C519">
        <v>1.0329999999999999</v>
      </c>
      <c r="D519" t="s">
        <v>1264</v>
      </c>
      <c r="E519">
        <v>100113</v>
      </c>
      <c r="F519">
        <v>8402</v>
      </c>
      <c r="G519" t="str">
        <f t="shared" si="56"/>
        <v>08402</v>
      </c>
      <c r="H519" t="s">
        <v>342</v>
      </c>
      <c r="I519" t="s">
        <v>1265</v>
      </c>
      <c r="J519" t="s">
        <v>1266</v>
      </c>
      <c r="K519" t="s">
        <v>1267</v>
      </c>
      <c r="L519" t="s">
        <v>1263</v>
      </c>
      <c r="M519" t="s">
        <v>1268</v>
      </c>
      <c r="N519">
        <v>1</v>
      </c>
      <c r="O519" t="str">
        <f t="shared" si="59"/>
        <v>42</v>
      </c>
      <c r="P519">
        <v>42</v>
      </c>
      <c r="R519" t="s">
        <v>1269</v>
      </c>
      <c r="S519">
        <v>1.0329999999999999</v>
      </c>
      <c r="T519">
        <v>0.1913</v>
      </c>
      <c r="U519">
        <f t="shared" si="60"/>
        <v>0</v>
      </c>
      <c r="V519" t="str">
        <f t="shared" si="57"/>
        <v>Middle Counselor</v>
      </c>
      <c r="W519" t="str">
        <f t="shared" si="58"/>
        <v>Counselor</v>
      </c>
    </row>
    <row r="520" spans="1:23" x14ac:dyDescent="0.25">
      <c r="A520" t="s">
        <v>46</v>
      </c>
      <c r="B520" t="s">
        <v>1474</v>
      </c>
      <c r="C520">
        <v>0.63600000000000001</v>
      </c>
      <c r="F520" t="s">
        <v>46</v>
      </c>
      <c r="G520" t="str">
        <f t="shared" si="56"/>
        <v>08402</v>
      </c>
      <c r="H520" t="s">
        <v>342</v>
      </c>
      <c r="I520" t="s">
        <v>1265</v>
      </c>
      <c r="J520" t="s">
        <v>1641</v>
      </c>
      <c r="K520" t="s">
        <v>1277</v>
      </c>
      <c r="L520" t="s">
        <v>1474</v>
      </c>
      <c r="M520" t="s">
        <v>1642</v>
      </c>
      <c r="N520">
        <v>9</v>
      </c>
      <c r="O520" t="str">
        <f t="shared" si="59"/>
        <v>25</v>
      </c>
      <c r="P520">
        <v>91</v>
      </c>
      <c r="Q520">
        <v>25</v>
      </c>
      <c r="R520" t="s">
        <v>1269</v>
      </c>
      <c r="S520">
        <v>0.63600000000000001</v>
      </c>
      <c r="T520">
        <v>0.1913</v>
      </c>
      <c r="U520">
        <f t="shared" si="60"/>
        <v>0</v>
      </c>
      <c r="V520" t="str">
        <f t="shared" si="57"/>
        <v>TK Pupil Management</v>
      </c>
      <c r="W520" t="str">
        <f t="shared" si="58"/>
        <v>Pupil Management</v>
      </c>
    </row>
    <row r="521" spans="1:23" x14ac:dyDescent="0.25">
      <c r="A521" t="s">
        <v>46</v>
      </c>
      <c r="B521" t="s">
        <v>1474</v>
      </c>
      <c r="C521">
        <v>0.64600000000000002</v>
      </c>
      <c r="F521" t="s">
        <v>46</v>
      </c>
      <c r="G521" t="str">
        <f t="shared" si="56"/>
        <v>08402</v>
      </c>
      <c r="H521" t="s">
        <v>342</v>
      </c>
      <c r="I521" t="s">
        <v>1265</v>
      </c>
      <c r="J521" t="s">
        <v>1641</v>
      </c>
      <c r="K521" t="s">
        <v>1277</v>
      </c>
      <c r="L521" t="s">
        <v>1474</v>
      </c>
      <c r="M521" t="s">
        <v>1642</v>
      </c>
      <c r="N521">
        <v>9</v>
      </c>
      <c r="O521" t="str">
        <f t="shared" si="59"/>
        <v>25</v>
      </c>
      <c r="P521">
        <v>91</v>
      </c>
      <c r="Q521">
        <v>25</v>
      </c>
      <c r="R521" t="s">
        <v>1269</v>
      </c>
      <c r="S521">
        <v>0.64600000000000002</v>
      </c>
      <c r="T521">
        <v>0.1913</v>
      </c>
      <c r="U521">
        <f t="shared" si="60"/>
        <v>0</v>
      </c>
      <c r="V521" t="str">
        <f t="shared" si="57"/>
        <v>TK Pupil Management</v>
      </c>
      <c r="W521" t="str">
        <f t="shared" si="58"/>
        <v>Pupil Management</v>
      </c>
    </row>
    <row r="522" spans="1:23" x14ac:dyDescent="0.25">
      <c r="A522">
        <v>8404</v>
      </c>
      <c r="B522" t="s">
        <v>1297</v>
      </c>
      <c r="C522">
        <v>0.78500000000000003</v>
      </c>
      <c r="D522" t="s">
        <v>1264</v>
      </c>
      <c r="E522">
        <v>100302</v>
      </c>
      <c r="F522">
        <v>8404</v>
      </c>
      <c r="G522" t="str">
        <f t="shared" si="56"/>
        <v>08404</v>
      </c>
      <c r="H522" t="s">
        <v>343</v>
      </c>
      <c r="I522" t="s">
        <v>1265</v>
      </c>
      <c r="J522" t="s">
        <v>1276</v>
      </c>
      <c r="K522" t="s">
        <v>1277</v>
      </c>
      <c r="L522" t="s">
        <v>1297</v>
      </c>
      <c r="M522" t="s">
        <v>1381</v>
      </c>
      <c r="N522">
        <v>1</v>
      </c>
      <c r="O522" t="str">
        <f t="shared" si="59"/>
        <v>24</v>
      </c>
      <c r="P522">
        <v>96</v>
      </c>
      <c r="Q522">
        <v>24</v>
      </c>
      <c r="R522" t="s">
        <v>1269</v>
      </c>
      <c r="S522">
        <v>0.78500000000000003</v>
      </c>
      <c r="T522">
        <v>0.23580000000000001</v>
      </c>
      <c r="U522">
        <f t="shared" si="60"/>
        <v>0</v>
      </c>
      <c r="V522" t="str">
        <f t="shared" si="57"/>
        <v>Elementary Family Engagement Coordinator</v>
      </c>
      <c r="W522" t="str">
        <f t="shared" si="58"/>
        <v>Family Engagement Coordinator</v>
      </c>
    </row>
    <row r="523" spans="1:23" x14ac:dyDescent="0.25">
      <c r="A523">
        <v>8404</v>
      </c>
      <c r="B523" t="s">
        <v>1315</v>
      </c>
      <c r="C523">
        <v>0.45600000000000002</v>
      </c>
      <c r="D523" t="s">
        <v>1264</v>
      </c>
      <c r="E523">
        <v>100302</v>
      </c>
      <c r="F523">
        <v>8404</v>
      </c>
      <c r="G523" t="str">
        <f t="shared" si="56"/>
        <v>08404</v>
      </c>
      <c r="H523" t="s">
        <v>343</v>
      </c>
      <c r="I523" t="s">
        <v>1265</v>
      </c>
      <c r="J523" t="s">
        <v>1276</v>
      </c>
      <c r="K523" t="s">
        <v>1277</v>
      </c>
      <c r="L523" t="s">
        <v>1315</v>
      </c>
      <c r="M523" t="s">
        <v>1375</v>
      </c>
      <c r="N523">
        <v>1</v>
      </c>
      <c r="O523" t="str">
        <f t="shared" si="59"/>
        <v>26</v>
      </c>
      <c r="Q523">
        <v>26</v>
      </c>
      <c r="R523" t="s">
        <v>1269</v>
      </c>
      <c r="S523">
        <v>0.45600000000000002</v>
      </c>
      <c r="T523">
        <v>0.23580000000000001</v>
      </c>
      <c r="U523">
        <f t="shared" si="60"/>
        <v>0</v>
      </c>
      <c r="V523" t="str">
        <f t="shared" si="57"/>
        <v>Elementary Health/
Related Services</v>
      </c>
      <c r="W523" t="str">
        <f t="shared" si="58"/>
        <v>Health/
Related Services</v>
      </c>
    </row>
    <row r="524" spans="1:23" x14ac:dyDescent="0.25">
      <c r="A524">
        <v>8404</v>
      </c>
      <c r="B524" t="s">
        <v>1291</v>
      </c>
      <c r="C524">
        <v>0.158</v>
      </c>
      <c r="D524" t="s">
        <v>1264</v>
      </c>
      <c r="E524">
        <v>100302</v>
      </c>
      <c r="F524">
        <v>8404</v>
      </c>
      <c r="G524" t="str">
        <f t="shared" si="56"/>
        <v>08404</v>
      </c>
      <c r="H524" t="s">
        <v>343</v>
      </c>
      <c r="I524" t="s">
        <v>1265</v>
      </c>
      <c r="J524" t="s">
        <v>1266</v>
      </c>
      <c r="K524" t="s">
        <v>1267</v>
      </c>
      <c r="L524" t="s">
        <v>1291</v>
      </c>
      <c r="M524" t="s">
        <v>1292</v>
      </c>
      <c r="N524">
        <v>1</v>
      </c>
      <c r="O524" t="str">
        <f t="shared" si="59"/>
        <v>26</v>
      </c>
      <c r="Q524">
        <v>26</v>
      </c>
      <c r="R524" t="s">
        <v>1269</v>
      </c>
      <c r="S524">
        <v>0.158</v>
      </c>
      <c r="T524">
        <v>0.23580000000000001</v>
      </c>
      <c r="U524">
        <f t="shared" si="60"/>
        <v>0</v>
      </c>
      <c r="V524" t="str">
        <f t="shared" si="57"/>
        <v>Middle Health/
Related Services</v>
      </c>
      <c r="W524" t="str">
        <f t="shared" si="58"/>
        <v>Health/
Related Services</v>
      </c>
    </row>
    <row r="525" spans="1:23" x14ac:dyDescent="0.25">
      <c r="A525">
        <v>8404</v>
      </c>
      <c r="B525" t="s">
        <v>1275</v>
      </c>
      <c r="C525">
        <v>1.5</v>
      </c>
      <c r="D525" t="s">
        <v>1264</v>
      </c>
      <c r="E525">
        <v>100302</v>
      </c>
      <c r="F525">
        <v>8404</v>
      </c>
      <c r="G525" t="str">
        <f t="shared" si="56"/>
        <v>08404</v>
      </c>
      <c r="H525" t="s">
        <v>343</v>
      </c>
      <c r="I525" t="s">
        <v>1265</v>
      </c>
      <c r="J525" t="s">
        <v>1276</v>
      </c>
      <c r="K525" t="s">
        <v>1277</v>
      </c>
      <c r="L525" t="s">
        <v>1275</v>
      </c>
      <c r="M525" t="s">
        <v>1278</v>
      </c>
      <c r="N525">
        <v>1</v>
      </c>
      <c r="O525" t="str">
        <f t="shared" si="59"/>
        <v>42</v>
      </c>
      <c r="P525">
        <v>42</v>
      </c>
      <c r="R525" t="s">
        <v>1269</v>
      </c>
      <c r="S525">
        <v>1.5</v>
      </c>
      <c r="T525">
        <v>0.23580000000000001</v>
      </c>
      <c r="U525">
        <f t="shared" si="60"/>
        <v>0</v>
      </c>
      <c r="V525" t="str">
        <f t="shared" si="57"/>
        <v>Elementary Counselor</v>
      </c>
      <c r="W525" t="str">
        <f t="shared" si="58"/>
        <v>Counselor</v>
      </c>
    </row>
    <row r="526" spans="1:23" x14ac:dyDescent="0.25">
      <c r="A526">
        <v>8404</v>
      </c>
      <c r="B526" t="s">
        <v>1270</v>
      </c>
      <c r="C526">
        <v>1.75</v>
      </c>
      <c r="D526" t="s">
        <v>1264</v>
      </c>
      <c r="E526">
        <v>100302</v>
      </c>
      <c r="F526">
        <v>8404</v>
      </c>
      <c r="G526" t="str">
        <f t="shared" si="56"/>
        <v>08404</v>
      </c>
      <c r="H526" t="s">
        <v>343</v>
      </c>
      <c r="I526" t="s">
        <v>1265</v>
      </c>
      <c r="J526" t="s">
        <v>1271</v>
      </c>
      <c r="K526" t="s">
        <v>1272</v>
      </c>
      <c r="L526" t="s">
        <v>1270</v>
      </c>
      <c r="M526" t="s">
        <v>1273</v>
      </c>
      <c r="N526">
        <v>1</v>
      </c>
      <c r="O526" t="str">
        <f t="shared" si="59"/>
        <v>42</v>
      </c>
      <c r="P526">
        <v>42</v>
      </c>
      <c r="R526" t="s">
        <v>1269</v>
      </c>
      <c r="S526">
        <v>1.75</v>
      </c>
      <c r="T526">
        <v>0.23580000000000001</v>
      </c>
      <c r="U526">
        <f t="shared" si="60"/>
        <v>0</v>
      </c>
      <c r="V526" t="str">
        <f t="shared" si="57"/>
        <v>High Counselor</v>
      </c>
      <c r="W526" t="str">
        <f t="shared" si="58"/>
        <v>Counselor</v>
      </c>
    </row>
    <row r="527" spans="1:23" x14ac:dyDescent="0.25">
      <c r="A527">
        <v>8404</v>
      </c>
      <c r="B527" t="s">
        <v>1263</v>
      </c>
      <c r="C527">
        <v>1.2</v>
      </c>
      <c r="D527" t="s">
        <v>1264</v>
      </c>
      <c r="E527">
        <v>100302</v>
      </c>
      <c r="F527">
        <v>8404</v>
      </c>
      <c r="G527" t="str">
        <f t="shared" si="56"/>
        <v>08404</v>
      </c>
      <c r="H527" t="s">
        <v>343</v>
      </c>
      <c r="I527" t="s">
        <v>1265</v>
      </c>
      <c r="J527" t="s">
        <v>1266</v>
      </c>
      <c r="K527" t="s">
        <v>1267</v>
      </c>
      <c r="L527" t="s">
        <v>1263</v>
      </c>
      <c r="M527" t="s">
        <v>1268</v>
      </c>
      <c r="N527">
        <v>1</v>
      </c>
      <c r="O527" t="str">
        <f t="shared" si="59"/>
        <v>42</v>
      </c>
      <c r="P527">
        <v>42</v>
      </c>
      <c r="R527" t="s">
        <v>1269</v>
      </c>
      <c r="S527">
        <v>1.2</v>
      </c>
      <c r="T527">
        <v>0.23580000000000001</v>
      </c>
      <c r="U527">
        <f t="shared" si="60"/>
        <v>0</v>
      </c>
      <c r="V527" t="str">
        <f t="shared" si="57"/>
        <v>Middle Counselor</v>
      </c>
      <c r="W527" t="str">
        <f t="shared" si="58"/>
        <v>Counselor</v>
      </c>
    </row>
    <row r="528" spans="1:23" x14ac:dyDescent="0.25">
      <c r="A528">
        <v>8404</v>
      </c>
      <c r="B528" t="s">
        <v>1294</v>
      </c>
      <c r="C528">
        <v>3</v>
      </c>
      <c r="D528" t="s">
        <v>1264</v>
      </c>
      <c r="E528">
        <v>100302</v>
      </c>
      <c r="F528">
        <v>8404</v>
      </c>
      <c r="G528" t="str">
        <f t="shared" si="56"/>
        <v>08404</v>
      </c>
      <c r="H528" t="s">
        <v>343</v>
      </c>
      <c r="I528" t="s">
        <v>1265</v>
      </c>
      <c r="J528" t="s">
        <v>1276</v>
      </c>
      <c r="K528" t="s">
        <v>1277</v>
      </c>
      <c r="L528" t="s">
        <v>1294</v>
      </c>
      <c r="M528" t="s">
        <v>1354</v>
      </c>
      <c r="N528">
        <v>21</v>
      </c>
      <c r="O528" t="str">
        <f t="shared" si="59"/>
        <v>45</v>
      </c>
      <c r="P528">
        <v>45</v>
      </c>
      <c r="R528" t="s">
        <v>1269</v>
      </c>
      <c r="S528">
        <v>3</v>
      </c>
      <c r="T528">
        <v>0.23580000000000001</v>
      </c>
      <c r="U528">
        <f t="shared" si="60"/>
        <v>0.70699999999999996</v>
      </c>
      <c r="V528" t="str">
        <f t="shared" si="57"/>
        <v>Elementary Speech, Language Pathway/
Audio</v>
      </c>
      <c r="W528" t="str">
        <f t="shared" si="58"/>
        <v>Speech, Language Pathway/
Audio</v>
      </c>
    </row>
    <row r="529" spans="1:23" x14ac:dyDescent="0.25">
      <c r="A529">
        <v>8404</v>
      </c>
      <c r="B529" t="s">
        <v>1326</v>
      </c>
      <c r="C529">
        <v>1</v>
      </c>
      <c r="D529" t="s">
        <v>1264</v>
      </c>
      <c r="E529">
        <v>100302</v>
      </c>
      <c r="F529">
        <v>8404</v>
      </c>
      <c r="G529" t="str">
        <f t="shared" si="56"/>
        <v>08404</v>
      </c>
      <c r="H529" t="s">
        <v>343</v>
      </c>
      <c r="I529" t="s">
        <v>1265</v>
      </c>
      <c r="J529" t="s">
        <v>1271</v>
      </c>
      <c r="K529" t="s">
        <v>1272</v>
      </c>
      <c r="L529" t="s">
        <v>1326</v>
      </c>
      <c r="M529" t="s">
        <v>1353</v>
      </c>
      <c r="N529">
        <v>21</v>
      </c>
      <c r="O529" t="str">
        <f t="shared" si="59"/>
        <v>45</v>
      </c>
      <c r="P529">
        <v>45</v>
      </c>
      <c r="R529" t="s">
        <v>1269</v>
      </c>
      <c r="S529">
        <v>1</v>
      </c>
      <c r="T529">
        <v>0.23580000000000001</v>
      </c>
      <c r="U529">
        <f t="shared" si="60"/>
        <v>0.23599999999999999</v>
      </c>
      <c r="V529" t="str">
        <f t="shared" si="57"/>
        <v>High Speech, Language Pathway/
Audio</v>
      </c>
      <c r="W529" t="str">
        <f t="shared" si="58"/>
        <v>Speech, Language Pathway/
Audio</v>
      </c>
    </row>
    <row r="530" spans="1:23" x14ac:dyDescent="0.25">
      <c r="A530">
        <v>8404</v>
      </c>
      <c r="B530" t="s">
        <v>1312</v>
      </c>
      <c r="C530">
        <v>1</v>
      </c>
      <c r="D530" t="s">
        <v>1264</v>
      </c>
      <c r="E530">
        <v>100302</v>
      </c>
      <c r="F530">
        <v>8404</v>
      </c>
      <c r="G530" t="str">
        <f t="shared" si="56"/>
        <v>08404</v>
      </c>
      <c r="H530" t="s">
        <v>343</v>
      </c>
      <c r="I530" t="s">
        <v>1265</v>
      </c>
      <c r="J530" t="s">
        <v>1266</v>
      </c>
      <c r="K530" t="s">
        <v>1267</v>
      </c>
      <c r="L530" t="s">
        <v>1312</v>
      </c>
      <c r="M530" t="s">
        <v>1351</v>
      </c>
      <c r="N530">
        <v>21</v>
      </c>
      <c r="O530" t="str">
        <f t="shared" si="59"/>
        <v>45</v>
      </c>
      <c r="P530">
        <v>45</v>
      </c>
      <c r="R530" t="s">
        <v>1269</v>
      </c>
      <c r="S530">
        <v>1</v>
      </c>
      <c r="T530">
        <v>0.23580000000000001</v>
      </c>
      <c r="U530">
        <f t="shared" si="60"/>
        <v>0.23599999999999999</v>
      </c>
      <c r="V530" t="str">
        <f t="shared" si="57"/>
        <v>Middle Speech, Language Pathway/
Audio</v>
      </c>
      <c r="W530" t="str">
        <f t="shared" si="58"/>
        <v>Speech, Language Pathway/
Audio</v>
      </c>
    </row>
    <row r="531" spans="1:23" x14ac:dyDescent="0.25">
      <c r="A531">
        <v>8404</v>
      </c>
      <c r="B531" t="s">
        <v>1298</v>
      </c>
      <c r="C531">
        <v>1.5</v>
      </c>
      <c r="D531" t="s">
        <v>1264</v>
      </c>
      <c r="E531">
        <v>100302</v>
      </c>
      <c r="F531">
        <v>8404</v>
      </c>
      <c r="G531" t="str">
        <f t="shared" si="56"/>
        <v>08404</v>
      </c>
      <c r="H531" t="s">
        <v>343</v>
      </c>
      <c r="I531" t="s">
        <v>1265</v>
      </c>
      <c r="J531" t="s">
        <v>1276</v>
      </c>
      <c r="K531" t="s">
        <v>1277</v>
      </c>
      <c r="L531" t="s">
        <v>1298</v>
      </c>
      <c r="M531" t="s">
        <v>1349</v>
      </c>
      <c r="N531">
        <v>21</v>
      </c>
      <c r="O531" t="str">
        <f t="shared" si="59"/>
        <v>46</v>
      </c>
      <c r="P531">
        <v>46</v>
      </c>
      <c r="R531" t="s">
        <v>1269</v>
      </c>
      <c r="S531">
        <v>1.5</v>
      </c>
      <c r="T531">
        <v>0.23580000000000001</v>
      </c>
      <c r="U531">
        <f t="shared" si="60"/>
        <v>0.35399999999999998</v>
      </c>
      <c r="V531" t="str">
        <f t="shared" si="57"/>
        <v>Elementary Psychologist</v>
      </c>
      <c r="W531" t="str">
        <f t="shared" si="58"/>
        <v>Psychologist</v>
      </c>
    </row>
    <row r="532" spans="1:23" x14ac:dyDescent="0.25">
      <c r="A532">
        <v>8404</v>
      </c>
      <c r="B532" t="s">
        <v>1333</v>
      </c>
      <c r="C532">
        <v>0.5</v>
      </c>
      <c r="D532" t="s">
        <v>1264</v>
      </c>
      <c r="E532">
        <v>100302</v>
      </c>
      <c r="F532">
        <v>8404</v>
      </c>
      <c r="G532" t="str">
        <f t="shared" si="56"/>
        <v>08404</v>
      </c>
      <c r="H532" t="s">
        <v>343</v>
      </c>
      <c r="I532" t="s">
        <v>1265</v>
      </c>
      <c r="J532" t="s">
        <v>1276</v>
      </c>
      <c r="K532" t="s">
        <v>1277</v>
      </c>
      <c r="L532" t="s">
        <v>1333</v>
      </c>
      <c r="M532" t="s">
        <v>1432</v>
      </c>
      <c r="N532">
        <v>1</v>
      </c>
      <c r="O532" t="str">
        <f t="shared" si="59"/>
        <v>46</v>
      </c>
      <c r="P532">
        <v>46</v>
      </c>
      <c r="R532" t="s">
        <v>1269</v>
      </c>
      <c r="S532">
        <v>0.5</v>
      </c>
      <c r="T532">
        <v>0.23580000000000001</v>
      </c>
      <c r="U532">
        <f t="shared" si="60"/>
        <v>0</v>
      </c>
      <c r="V532" t="str">
        <f t="shared" si="57"/>
        <v>Elementary Psychologist</v>
      </c>
      <c r="W532" t="str">
        <f t="shared" si="58"/>
        <v>Psychologist</v>
      </c>
    </row>
    <row r="533" spans="1:23" x14ac:dyDescent="0.25">
      <c r="A533">
        <v>8404</v>
      </c>
      <c r="B533" t="s">
        <v>1309</v>
      </c>
      <c r="C533">
        <v>0.75</v>
      </c>
      <c r="D533" t="s">
        <v>1264</v>
      </c>
      <c r="E533">
        <v>100302</v>
      </c>
      <c r="F533">
        <v>8404</v>
      </c>
      <c r="G533" t="str">
        <f t="shared" si="56"/>
        <v>08404</v>
      </c>
      <c r="H533" t="s">
        <v>343</v>
      </c>
      <c r="I533" t="s">
        <v>1265</v>
      </c>
      <c r="J533" t="s">
        <v>1271</v>
      </c>
      <c r="K533" t="s">
        <v>1272</v>
      </c>
      <c r="L533" t="s">
        <v>1309</v>
      </c>
      <c r="M533" t="s">
        <v>1310</v>
      </c>
      <c r="N533">
        <v>21</v>
      </c>
      <c r="O533" t="str">
        <f t="shared" si="59"/>
        <v>46</v>
      </c>
      <c r="P533">
        <v>46</v>
      </c>
      <c r="R533" t="s">
        <v>1269</v>
      </c>
      <c r="S533">
        <v>0.75</v>
      </c>
      <c r="T533">
        <v>0.23580000000000001</v>
      </c>
      <c r="U533">
        <f t="shared" si="60"/>
        <v>0.17699999999999999</v>
      </c>
      <c r="V533" t="str">
        <f t="shared" si="57"/>
        <v>High Psychologist</v>
      </c>
      <c r="W533" t="str">
        <f t="shared" si="58"/>
        <v>Psychologist</v>
      </c>
    </row>
    <row r="534" spans="1:23" x14ac:dyDescent="0.25">
      <c r="A534">
        <v>8404</v>
      </c>
      <c r="B534" t="s">
        <v>1396</v>
      </c>
      <c r="C534">
        <v>0.25</v>
      </c>
      <c r="D534" t="s">
        <v>1264</v>
      </c>
      <c r="E534">
        <v>100302</v>
      </c>
      <c r="F534">
        <v>8404</v>
      </c>
      <c r="G534" t="str">
        <f t="shared" si="56"/>
        <v>08404</v>
      </c>
      <c r="H534" t="s">
        <v>343</v>
      </c>
      <c r="I534" t="s">
        <v>1265</v>
      </c>
      <c r="J534" t="s">
        <v>1271</v>
      </c>
      <c r="K534" t="s">
        <v>1272</v>
      </c>
      <c r="L534" t="s">
        <v>1396</v>
      </c>
      <c r="M534" t="s">
        <v>1431</v>
      </c>
      <c r="N534">
        <v>1</v>
      </c>
      <c r="O534" t="str">
        <f t="shared" si="59"/>
        <v>46</v>
      </c>
      <c r="P534">
        <v>46</v>
      </c>
      <c r="R534" t="s">
        <v>1269</v>
      </c>
      <c r="S534">
        <v>0.25</v>
      </c>
      <c r="T534">
        <v>0.23580000000000001</v>
      </c>
      <c r="U534">
        <f t="shared" si="60"/>
        <v>0</v>
      </c>
      <c r="V534" t="str">
        <f t="shared" si="57"/>
        <v>High Psychologist</v>
      </c>
      <c r="W534" t="str">
        <f t="shared" si="58"/>
        <v>Psychologist</v>
      </c>
    </row>
    <row r="535" spans="1:23" x14ac:dyDescent="0.25">
      <c r="A535">
        <v>8404</v>
      </c>
      <c r="B535" t="s">
        <v>1345</v>
      </c>
      <c r="C535">
        <v>0.75</v>
      </c>
      <c r="D535" t="s">
        <v>1264</v>
      </c>
      <c r="E535">
        <v>100302</v>
      </c>
      <c r="F535">
        <v>8404</v>
      </c>
      <c r="G535" t="str">
        <f t="shared" si="56"/>
        <v>08404</v>
      </c>
      <c r="H535" t="s">
        <v>343</v>
      </c>
      <c r="I535" t="s">
        <v>1265</v>
      </c>
      <c r="J535" t="s">
        <v>1266</v>
      </c>
      <c r="K535" t="s">
        <v>1267</v>
      </c>
      <c r="L535" t="s">
        <v>1345</v>
      </c>
      <c r="M535" t="s">
        <v>1346</v>
      </c>
      <c r="N535">
        <v>21</v>
      </c>
      <c r="O535" t="str">
        <f t="shared" si="59"/>
        <v>46</v>
      </c>
      <c r="P535">
        <v>46</v>
      </c>
      <c r="R535" t="s">
        <v>1269</v>
      </c>
      <c r="S535">
        <v>0.75</v>
      </c>
      <c r="T535">
        <v>0.23580000000000001</v>
      </c>
      <c r="U535">
        <f t="shared" si="60"/>
        <v>0.17699999999999999</v>
      </c>
      <c r="V535" t="str">
        <f t="shared" si="57"/>
        <v>Middle Psychologist</v>
      </c>
      <c r="W535" t="str">
        <f t="shared" si="58"/>
        <v>Psychologist</v>
      </c>
    </row>
    <row r="536" spans="1:23" x14ac:dyDescent="0.25">
      <c r="A536">
        <v>8404</v>
      </c>
      <c r="B536" t="s">
        <v>1371</v>
      </c>
      <c r="C536">
        <v>0.25</v>
      </c>
      <c r="D536" t="s">
        <v>1264</v>
      </c>
      <c r="E536">
        <v>100302</v>
      </c>
      <c r="F536">
        <v>8404</v>
      </c>
      <c r="G536" t="str">
        <f t="shared" si="56"/>
        <v>08404</v>
      </c>
      <c r="H536" t="s">
        <v>343</v>
      </c>
      <c r="I536" t="s">
        <v>1265</v>
      </c>
      <c r="J536" t="s">
        <v>1266</v>
      </c>
      <c r="K536" t="s">
        <v>1267</v>
      </c>
      <c r="L536" t="s">
        <v>1371</v>
      </c>
      <c r="M536" t="s">
        <v>1430</v>
      </c>
      <c r="N536">
        <v>1</v>
      </c>
      <c r="O536" t="str">
        <f t="shared" si="59"/>
        <v>46</v>
      </c>
      <c r="P536">
        <v>46</v>
      </c>
      <c r="R536" t="s">
        <v>1269</v>
      </c>
      <c r="S536">
        <v>0.25</v>
      </c>
      <c r="T536">
        <v>0.23580000000000001</v>
      </c>
      <c r="U536">
        <f t="shared" si="60"/>
        <v>0</v>
      </c>
      <c r="V536" t="str">
        <f t="shared" si="57"/>
        <v>Middle Psychologist</v>
      </c>
      <c r="W536" t="str">
        <f t="shared" si="58"/>
        <v>Psychologist</v>
      </c>
    </row>
    <row r="537" spans="1:23" x14ac:dyDescent="0.25">
      <c r="A537">
        <v>8404</v>
      </c>
      <c r="B537" t="s">
        <v>1335</v>
      </c>
      <c r="C537">
        <v>0.5</v>
      </c>
      <c r="D537" t="s">
        <v>1264</v>
      </c>
      <c r="E537">
        <v>100302</v>
      </c>
      <c r="F537">
        <v>8404</v>
      </c>
      <c r="G537" t="str">
        <f t="shared" si="56"/>
        <v>08404</v>
      </c>
      <c r="H537" t="s">
        <v>343</v>
      </c>
      <c r="I537" t="s">
        <v>1265</v>
      </c>
      <c r="J537" t="s">
        <v>1276</v>
      </c>
      <c r="K537" t="s">
        <v>1277</v>
      </c>
      <c r="L537" t="s">
        <v>1335</v>
      </c>
      <c r="M537" t="s">
        <v>1344</v>
      </c>
      <c r="N537">
        <v>1</v>
      </c>
      <c r="O537" t="str">
        <f t="shared" si="59"/>
        <v>47</v>
      </c>
      <c r="P537">
        <v>47</v>
      </c>
      <c r="R537" t="s">
        <v>1269</v>
      </c>
      <c r="S537">
        <v>0.5</v>
      </c>
      <c r="T537">
        <v>0.23580000000000001</v>
      </c>
      <c r="U537">
        <f t="shared" si="60"/>
        <v>0</v>
      </c>
      <c r="V537" t="str">
        <f t="shared" si="57"/>
        <v>Elementary Nurse</v>
      </c>
      <c r="W537" t="str">
        <f t="shared" si="58"/>
        <v>Nurse</v>
      </c>
    </row>
    <row r="538" spans="1:23" x14ac:dyDescent="0.25">
      <c r="A538">
        <v>8404</v>
      </c>
      <c r="B538" t="s">
        <v>1341</v>
      </c>
      <c r="C538">
        <v>0.25</v>
      </c>
      <c r="D538" t="s">
        <v>1264</v>
      </c>
      <c r="E538">
        <v>100302</v>
      </c>
      <c r="F538">
        <v>8404</v>
      </c>
      <c r="G538" t="str">
        <f t="shared" si="56"/>
        <v>08404</v>
      </c>
      <c r="H538" t="s">
        <v>343</v>
      </c>
      <c r="I538" t="s">
        <v>1265</v>
      </c>
      <c r="J538" t="s">
        <v>1271</v>
      </c>
      <c r="K538" t="s">
        <v>1272</v>
      </c>
      <c r="L538" t="s">
        <v>1341</v>
      </c>
      <c r="M538" t="s">
        <v>1342</v>
      </c>
      <c r="N538">
        <v>1</v>
      </c>
      <c r="O538" t="str">
        <f t="shared" si="59"/>
        <v>47</v>
      </c>
      <c r="P538">
        <v>47</v>
      </c>
      <c r="R538" t="s">
        <v>1269</v>
      </c>
      <c r="S538">
        <v>0.25</v>
      </c>
      <c r="T538">
        <v>0.23580000000000001</v>
      </c>
      <c r="U538">
        <f t="shared" si="60"/>
        <v>0</v>
      </c>
      <c r="V538" t="str">
        <f t="shared" si="57"/>
        <v>High Nurse</v>
      </c>
      <c r="W538" t="str">
        <f t="shared" si="58"/>
        <v>Nurse</v>
      </c>
    </row>
    <row r="539" spans="1:23" x14ac:dyDescent="0.25">
      <c r="A539">
        <v>8404</v>
      </c>
      <c r="B539" t="s">
        <v>1338</v>
      </c>
      <c r="C539">
        <v>0.25</v>
      </c>
      <c r="D539" t="s">
        <v>1264</v>
      </c>
      <c r="E539">
        <v>100302</v>
      </c>
      <c r="F539">
        <v>8404</v>
      </c>
      <c r="G539" t="str">
        <f t="shared" si="56"/>
        <v>08404</v>
      </c>
      <c r="H539" t="s">
        <v>343</v>
      </c>
      <c r="I539" t="s">
        <v>1265</v>
      </c>
      <c r="J539" t="s">
        <v>1266</v>
      </c>
      <c r="K539" t="s">
        <v>1267</v>
      </c>
      <c r="L539" t="s">
        <v>1338</v>
      </c>
      <c r="M539" t="s">
        <v>1339</v>
      </c>
      <c r="N539">
        <v>1</v>
      </c>
      <c r="O539" t="str">
        <f t="shared" si="59"/>
        <v>47</v>
      </c>
      <c r="P539">
        <v>47</v>
      </c>
      <c r="R539" t="s">
        <v>1269</v>
      </c>
      <c r="S539">
        <v>0.25</v>
      </c>
      <c r="T539">
        <v>0.23580000000000001</v>
      </c>
      <c r="U539">
        <f t="shared" si="60"/>
        <v>0</v>
      </c>
      <c r="V539" t="str">
        <f t="shared" si="57"/>
        <v>Middle Nurse</v>
      </c>
      <c r="W539" t="str">
        <f t="shared" si="58"/>
        <v>Nurse</v>
      </c>
    </row>
    <row r="540" spans="1:23" x14ac:dyDescent="0.25">
      <c r="A540">
        <v>8458</v>
      </c>
      <c r="B540" t="s">
        <v>1286</v>
      </c>
      <c r="C540">
        <v>0.84599999999999997</v>
      </c>
      <c r="D540" t="s">
        <v>1264</v>
      </c>
      <c r="E540">
        <v>100115</v>
      </c>
      <c r="F540">
        <v>8458</v>
      </c>
      <c r="G540" t="str">
        <f t="shared" si="56"/>
        <v>08458</v>
      </c>
      <c r="H540" t="s">
        <v>344</v>
      </c>
      <c r="I540" t="s">
        <v>1265</v>
      </c>
      <c r="J540" t="s">
        <v>1271</v>
      </c>
      <c r="K540" t="s">
        <v>1272</v>
      </c>
      <c r="L540" t="s">
        <v>1286</v>
      </c>
      <c r="M540" t="s">
        <v>1287</v>
      </c>
      <c r="N540">
        <v>1</v>
      </c>
      <c r="O540" t="str">
        <f t="shared" si="59"/>
        <v>24</v>
      </c>
      <c r="P540">
        <v>96</v>
      </c>
      <c r="Q540">
        <v>24</v>
      </c>
      <c r="R540" t="s">
        <v>1269</v>
      </c>
      <c r="S540">
        <v>0.84599999999999997</v>
      </c>
      <c r="T540">
        <v>0.2576</v>
      </c>
      <c r="U540">
        <f t="shared" si="60"/>
        <v>0</v>
      </c>
      <c r="V540" t="str">
        <f t="shared" si="57"/>
        <v>High Family Engagement Coordinator</v>
      </c>
      <c r="W540" t="str">
        <f t="shared" si="58"/>
        <v>Family Engagement Coordinator</v>
      </c>
    </row>
    <row r="541" spans="1:23" x14ac:dyDescent="0.25">
      <c r="A541">
        <v>8458</v>
      </c>
      <c r="B541" t="s">
        <v>1301</v>
      </c>
      <c r="C541">
        <v>0.29599999999999999</v>
      </c>
      <c r="D541" t="s">
        <v>1264</v>
      </c>
      <c r="E541">
        <v>100115</v>
      </c>
      <c r="F541">
        <v>8458</v>
      </c>
      <c r="G541" t="str">
        <f t="shared" si="56"/>
        <v>08458</v>
      </c>
      <c r="H541" t="s">
        <v>344</v>
      </c>
      <c r="I541" t="s">
        <v>1265</v>
      </c>
      <c r="J541" t="s">
        <v>1276</v>
      </c>
      <c r="K541" t="s">
        <v>1277</v>
      </c>
      <c r="L541" t="s">
        <v>1301</v>
      </c>
      <c r="M541" t="s">
        <v>1427</v>
      </c>
      <c r="N541">
        <v>21</v>
      </c>
      <c r="O541" t="str">
        <f t="shared" si="59"/>
        <v>25</v>
      </c>
      <c r="Q541">
        <v>25</v>
      </c>
      <c r="R541" t="s">
        <v>1269</v>
      </c>
      <c r="S541">
        <v>0.29599999999999999</v>
      </c>
      <c r="T541">
        <v>0.2576</v>
      </c>
      <c r="U541">
        <f t="shared" si="60"/>
        <v>7.5999999999999998E-2</v>
      </c>
      <c r="V541" t="str">
        <f t="shared" si="57"/>
        <v>Elementary Pupil Management</v>
      </c>
      <c r="W541" t="str">
        <f t="shared" si="58"/>
        <v>Pupil Management</v>
      </c>
    </row>
    <row r="542" spans="1:23" x14ac:dyDescent="0.25">
      <c r="A542">
        <v>8458</v>
      </c>
      <c r="B542" t="s">
        <v>1308</v>
      </c>
      <c r="C542">
        <v>3.9239999999999999</v>
      </c>
      <c r="D542" t="s">
        <v>1264</v>
      </c>
      <c r="E542">
        <v>100115</v>
      </c>
      <c r="F542">
        <v>8458</v>
      </c>
      <c r="G542" t="str">
        <f t="shared" si="56"/>
        <v>08458</v>
      </c>
      <c r="H542" t="s">
        <v>344</v>
      </c>
      <c r="I542" t="s">
        <v>1265</v>
      </c>
      <c r="J542" t="s">
        <v>1276</v>
      </c>
      <c r="K542" t="s">
        <v>1277</v>
      </c>
      <c r="L542" t="s">
        <v>1308</v>
      </c>
      <c r="M542" t="s">
        <v>1389</v>
      </c>
      <c r="N542">
        <v>1</v>
      </c>
      <c r="O542" t="str">
        <f t="shared" si="59"/>
        <v>25</v>
      </c>
      <c r="Q542">
        <v>25</v>
      </c>
      <c r="R542" t="s">
        <v>1269</v>
      </c>
      <c r="S542">
        <v>3.9239999999999999</v>
      </c>
      <c r="T542">
        <v>0.2576</v>
      </c>
      <c r="U542">
        <f t="shared" si="60"/>
        <v>0</v>
      </c>
      <c r="V542" t="str">
        <f t="shared" si="57"/>
        <v>Elementary Pupil Management</v>
      </c>
      <c r="W542" t="str">
        <f t="shared" si="58"/>
        <v>Pupil Management</v>
      </c>
    </row>
    <row r="543" spans="1:23" x14ac:dyDescent="0.25">
      <c r="A543">
        <v>8458</v>
      </c>
      <c r="B543" t="s">
        <v>1383</v>
      </c>
      <c r="C543">
        <v>2.1999999999999999E-2</v>
      </c>
      <c r="D543" t="s">
        <v>1264</v>
      </c>
      <c r="E543">
        <v>100115</v>
      </c>
      <c r="F543">
        <v>8458</v>
      </c>
      <c r="G543" t="str">
        <f t="shared" si="56"/>
        <v>08458</v>
      </c>
      <c r="H543" t="s">
        <v>344</v>
      </c>
      <c r="I543" t="s">
        <v>1265</v>
      </c>
      <c r="J543" t="s">
        <v>1271</v>
      </c>
      <c r="K543" t="s">
        <v>1272</v>
      </c>
      <c r="L543" t="s">
        <v>1383</v>
      </c>
      <c r="M543" t="s">
        <v>1409</v>
      </c>
      <c r="N543">
        <v>21</v>
      </c>
      <c r="O543" t="str">
        <f t="shared" si="59"/>
        <v>25</v>
      </c>
      <c r="Q543">
        <v>25</v>
      </c>
      <c r="R543" t="s">
        <v>1269</v>
      </c>
      <c r="S543">
        <v>2.1999999999999999E-2</v>
      </c>
      <c r="T543">
        <v>0.2576</v>
      </c>
      <c r="U543">
        <f t="shared" si="60"/>
        <v>6.0000000000000001E-3</v>
      </c>
      <c r="V543" t="str">
        <f t="shared" si="57"/>
        <v>High Pupil Management</v>
      </c>
      <c r="W543" t="str">
        <f t="shared" si="58"/>
        <v>Pupil Management</v>
      </c>
    </row>
    <row r="544" spans="1:23" x14ac:dyDescent="0.25">
      <c r="A544">
        <v>8458</v>
      </c>
      <c r="B544" t="s">
        <v>1363</v>
      </c>
      <c r="C544">
        <v>6.4000000000000001E-2</v>
      </c>
      <c r="D544" t="s">
        <v>1264</v>
      </c>
      <c r="E544">
        <v>100115</v>
      </c>
      <c r="F544">
        <v>8458</v>
      </c>
      <c r="G544" t="str">
        <f t="shared" si="56"/>
        <v>08458</v>
      </c>
      <c r="H544" t="s">
        <v>344</v>
      </c>
      <c r="I544" t="s">
        <v>1265</v>
      </c>
      <c r="J544" t="s">
        <v>1266</v>
      </c>
      <c r="K544" t="s">
        <v>1267</v>
      </c>
      <c r="L544" t="s">
        <v>1363</v>
      </c>
      <c r="M544" t="s">
        <v>1386</v>
      </c>
      <c r="N544">
        <v>1</v>
      </c>
      <c r="O544" t="str">
        <f t="shared" si="59"/>
        <v>25</v>
      </c>
      <c r="Q544">
        <v>25</v>
      </c>
      <c r="R544" t="s">
        <v>1269</v>
      </c>
      <c r="S544">
        <v>6.4000000000000001E-2</v>
      </c>
      <c r="T544">
        <v>0.2576</v>
      </c>
      <c r="U544">
        <f t="shared" si="60"/>
        <v>0</v>
      </c>
      <c r="V544" t="str">
        <f t="shared" si="57"/>
        <v>Middle Pupil Management</v>
      </c>
      <c r="W544" t="str">
        <f t="shared" si="58"/>
        <v>Pupil Management</v>
      </c>
    </row>
    <row r="545" spans="1:23" x14ac:dyDescent="0.25">
      <c r="A545">
        <v>8458</v>
      </c>
      <c r="B545" t="s">
        <v>1311</v>
      </c>
      <c r="C545">
        <v>1.9</v>
      </c>
      <c r="D545" t="s">
        <v>1264</v>
      </c>
      <c r="E545">
        <v>100115</v>
      </c>
      <c r="F545">
        <v>8458</v>
      </c>
      <c r="G545" t="str">
        <f t="shared" si="56"/>
        <v>08458</v>
      </c>
      <c r="H545" t="s">
        <v>344</v>
      </c>
      <c r="I545" t="s">
        <v>1265</v>
      </c>
      <c r="J545" t="s">
        <v>1276</v>
      </c>
      <c r="K545" t="s">
        <v>1277</v>
      </c>
      <c r="L545" t="s">
        <v>1311</v>
      </c>
      <c r="M545" t="s">
        <v>1327</v>
      </c>
      <c r="N545">
        <v>21</v>
      </c>
      <c r="O545" t="str">
        <f t="shared" si="59"/>
        <v>26</v>
      </c>
      <c r="Q545">
        <v>26</v>
      </c>
      <c r="R545" t="s">
        <v>1269</v>
      </c>
      <c r="S545">
        <v>1.9</v>
      </c>
      <c r="T545">
        <v>0.2576</v>
      </c>
      <c r="U545">
        <f t="shared" si="60"/>
        <v>0.48899999999999999</v>
      </c>
      <c r="V545" t="str">
        <f t="shared" si="57"/>
        <v>Elementary Health/
Related Services</v>
      </c>
      <c r="W545" t="str">
        <f t="shared" si="58"/>
        <v>Health/
Related Services</v>
      </c>
    </row>
    <row r="546" spans="1:23" x14ac:dyDescent="0.25">
      <c r="A546">
        <v>8458</v>
      </c>
      <c r="B546" t="s">
        <v>1315</v>
      </c>
      <c r="C546">
        <v>4.6740000000000004</v>
      </c>
      <c r="D546" t="s">
        <v>1264</v>
      </c>
      <c r="E546">
        <v>100115</v>
      </c>
      <c r="F546">
        <v>8458</v>
      </c>
      <c r="G546" t="str">
        <f t="shared" si="56"/>
        <v>08458</v>
      </c>
      <c r="H546" t="s">
        <v>344</v>
      </c>
      <c r="I546" t="s">
        <v>1265</v>
      </c>
      <c r="J546" t="s">
        <v>1276</v>
      </c>
      <c r="K546" t="s">
        <v>1277</v>
      </c>
      <c r="L546" t="s">
        <v>1315</v>
      </c>
      <c r="M546" t="s">
        <v>1375</v>
      </c>
      <c r="N546">
        <v>1</v>
      </c>
      <c r="O546" t="str">
        <f t="shared" si="59"/>
        <v>26</v>
      </c>
      <c r="Q546">
        <v>26</v>
      </c>
      <c r="R546" t="s">
        <v>1269</v>
      </c>
      <c r="S546">
        <v>4.6740000000000004</v>
      </c>
      <c r="T546">
        <v>0.2576</v>
      </c>
      <c r="U546">
        <f t="shared" si="60"/>
        <v>0</v>
      </c>
      <c r="V546" t="str">
        <f t="shared" si="57"/>
        <v>Elementary Health/
Related Services</v>
      </c>
      <c r="W546" t="str">
        <f t="shared" si="58"/>
        <v>Health/
Related Services</v>
      </c>
    </row>
    <row r="547" spans="1:23" x14ac:dyDescent="0.25">
      <c r="A547">
        <v>8458</v>
      </c>
      <c r="B547" t="s">
        <v>1324</v>
      </c>
      <c r="C547">
        <v>0.59599999999999997</v>
      </c>
      <c r="D547" t="s">
        <v>1264</v>
      </c>
      <c r="E547">
        <v>100115</v>
      </c>
      <c r="F547">
        <v>8458</v>
      </c>
      <c r="G547" t="str">
        <f t="shared" si="56"/>
        <v>08458</v>
      </c>
      <c r="H547" t="s">
        <v>344</v>
      </c>
      <c r="I547" t="s">
        <v>1265</v>
      </c>
      <c r="J547" t="s">
        <v>1271</v>
      </c>
      <c r="K547" t="s">
        <v>1272</v>
      </c>
      <c r="L547" t="s">
        <v>1324</v>
      </c>
      <c r="M547" t="s">
        <v>1325</v>
      </c>
      <c r="N547">
        <v>21</v>
      </c>
      <c r="O547" t="str">
        <f t="shared" si="59"/>
        <v>26</v>
      </c>
      <c r="Q547">
        <v>26</v>
      </c>
      <c r="R547" t="s">
        <v>1269</v>
      </c>
      <c r="S547">
        <v>0.59599999999999997</v>
      </c>
      <c r="T547">
        <v>0.2576</v>
      </c>
      <c r="U547">
        <f t="shared" si="60"/>
        <v>0.154</v>
      </c>
      <c r="V547" t="str">
        <f t="shared" si="57"/>
        <v>High Health/
Related Services</v>
      </c>
      <c r="W547" t="str">
        <f t="shared" si="58"/>
        <v>Health/
Related Services</v>
      </c>
    </row>
    <row r="548" spans="1:23" x14ac:dyDescent="0.25">
      <c r="A548">
        <v>8458</v>
      </c>
      <c r="B548" t="s">
        <v>1295</v>
      </c>
      <c r="C548">
        <v>0.73399999999999999</v>
      </c>
      <c r="D548" t="s">
        <v>1264</v>
      </c>
      <c r="E548">
        <v>100115</v>
      </c>
      <c r="F548">
        <v>8458</v>
      </c>
      <c r="G548" t="str">
        <f t="shared" si="56"/>
        <v>08458</v>
      </c>
      <c r="H548" t="s">
        <v>344</v>
      </c>
      <c r="I548" t="s">
        <v>1265</v>
      </c>
      <c r="J548" t="s">
        <v>1271</v>
      </c>
      <c r="K548" t="s">
        <v>1272</v>
      </c>
      <c r="L548" t="s">
        <v>1295</v>
      </c>
      <c r="M548" t="s">
        <v>1296</v>
      </c>
      <c r="N548">
        <v>1</v>
      </c>
      <c r="O548" t="str">
        <f t="shared" si="59"/>
        <v>26</v>
      </c>
      <c r="Q548">
        <v>26</v>
      </c>
      <c r="R548" t="s">
        <v>1269</v>
      </c>
      <c r="S548">
        <v>0.73399999999999999</v>
      </c>
      <c r="T548">
        <v>0.2576</v>
      </c>
      <c r="U548">
        <f t="shared" si="60"/>
        <v>0</v>
      </c>
      <c r="V548" t="str">
        <f t="shared" si="57"/>
        <v>High Health/
Related Services</v>
      </c>
      <c r="W548" t="str">
        <f t="shared" si="58"/>
        <v>Health/
Related Services</v>
      </c>
    </row>
    <row r="549" spans="1:23" x14ac:dyDescent="0.25">
      <c r="A549">
        <v>8458</v>
      </c>
      <c r="B549" t="s">
        <v>1291</v>
      </c>
      <c r="C549">
        <v>0.89400000000000002</v>
      </c>
      <c r="D549" t="s">
        <v>1264</v>
      </c>
      <c r="E549">
        <v>100115</v>
      </c>
      <c r="F549">
        <v>8458</v>
      </c>
      <c r="G549" t="str">
        <f t="shared" si="56"/>
        <v>08458</v>
      </c>
      <c r="H549" t="s">
        <v>344</v>
      </c>
      <c r="I549" t="s">
        <v>1265</v>
      </c>
      <c r="J549" t="s">
        <v>1266</v>
      </c>
      <c r="K549" t="s">
        <v>1267</v>
      </c>
      <c r="L549" t="s">
        <v>1291</v>
      </c>
      <c r="M549" t="s">
        <v>1292</v>
      </c>
      <c r="N549">
        <v>1</v>
      </c>
      <c r="O549" t="str">
        <f t="shared" si="59"/>
        <v>26</v>
      </c>
      <c r="Q549">
        <v>26</v>
      </c>
      <c r="R549" t="s">
        <v>1269</v>
      </c>
      <c r="S549">
        <v>0.89400000000000002</v>
      </c>
      <c r="T549">
        <v>0.2576</v>
      </c>
      <c r="U549">
        <f t="shared" si="60"/>
        <v>0</v>
      </c>
      <c r="V549" t="str">
        <f t="shared" si="57"/>
        <v>Middle Health/
Related Services</v>
      </c>
      <c r="W549" t="str">
        <f t="shared" si="58"/>
        <v>Health/
Related Services</v>
      </c>
    </row>
    <row r="550" spans="1:23" x14ac:dyDescent="0.25">
      <c r="A550">
        <v>8458</v>
      </c>
      <c r="B550" t="s">
        <v>1401</v>
      </c>
      <c r="C550">
        <v>0.70799999999999996</v>
      </c>
      <c r="D550" t="s">
        <v>1264</v>
      </c>
      <c r="E550">
        <v>100115</v>
      </c>
      <c r="F550">
        <v>8458</v>
      </c>
      <c r="G550" t="str">
        <f t="shared" si="56"/>
        <v>08458</v>
      </c>
      <c r="H550" t="s">
        <v>344</v>
      </c>
      <c r="I550" t="s">
        <v>1265</v>
      </c>
      <c r="J550" t="s">
        <v>1271</v>
      </c>
      <c r="K550" t="s">
        <v>1272</v>
      </c>
      <c r="L550" t="s">
        <v>1401</v>
      </c>
      <c r="M550" t="s">
        <v>1422</v>
      </c>
      <c r="N550">
        <v>1</v>
      </c>
      <c r="O550" t="str">
        <f t="shared" si="59"/>
        <v>35</v>
      </c>
      <c r="Q550">
        <v>35</v>
      </c>
      <c r="R550" t="s">
        <v>1269</v>
      </c>
      <c r="S550">
        <v>0.70799999999999996</v>
      </c>
      <c r="T550">
        <v>0.2576</v>
      </c>
      <c r="U550">
        <f t="shared" si="60"/>
        <v>0</v>
      </c>
      <c r="V550" t="str">
        <f t="shared" si="57"/>
        <v>High Pupil Safety</v>
      </c>
      <c r="W550" t="str">
        <f t="shared" si="58"/>
        <v>Pupil Safety</v>
      </c>
    </row>
    <row r="551" spans="1:23" x14ac:dyDescent="0.25">
      <c r="A551">
        <v>8458</v>
      </c>
      <c r="B551" t="s">
        <v>1275</v>
      </c>
      <c r="C551">
        <v>5.9029999999999996</v>
      </c>
      <c r="D551" t="s">
        <v>1264</v>
      </c>
      <c r="E551">
        <v>100115</v>
      </c>
      <c r="F551">
        <v>8458</v>
      </c>
      <c r="G551" t="str">
        <f t="shared" si="56"/>
        <v>08458</v>
      </c>
      <c r="H551" t="s">
        <v>344</v>
      </c>
      <c r="I551" t="s">
        <v>1265</v>
      </c>
      <c r="J551" t="s">
        <v>1276</v>
      </c>
      <c r="K551" t="s">
        <v>1277</v>
      </c>
      <c r="L551" t="s">
        <v>1275</v>
      </c>
      <c r="M551" t="s">
        <v>1278</v>
      </c>
      <c r="N551">
        <v>1</v>
      </c>
      <c r="O551" t="str">
        <f t="shared" si="59"/>
        <v>42</v>
      </c>
      <c r="P551">
        <v>42</v>
      </c>
      <c r="R551" t="s">
        <v>1269</v>
      </c>
      <c r="S551">
        <v>5.9029999999999996</v>
      </c>
      <c r="T551">
        <v>0.2576</v>
      </c>
      <c r="U551">
        <f t="shared" si="60"/>
        <v>0</v>
      </c>
      <c r="V551" t="str">
        <f t="shared" si="57"/>
        <v>Elementary Counselor</v>
      </c>
      <c r="W551" t="str">
        <f t="shared" si="58"/>
        <v>Counselor</v>
      </c>
    </row>
    <row r="552" spans="1:23" x14ac:dyDescent="0.25">
      <c r="A552">
        <v>8458</v>
      </c>
      <c r="B552" t="s">
        <v>1270</v>
      </c>
      <c r="C552">
        <v>4</v>
      </c>
      <c r="D552" t="s">
        <v>1264</v>
      </c>
      <c r="E552">
        <v>100115</v>
      </c>
      <c r="F552">
        <v>8458</v>
      </c>
      <c r="G552" t="str">
        <f t="shared" si="56"/>
        <v>08458</v>
      </c>
      <c r="H552" t="s">
        <v>344</v>
      </c>
      <c r="I552" t="s">
        <v>1265</v>
      </c>
      <c r="J552" t="s">
        <v>1271</v>
      </c>
      <c r="K552" t="s">
        <v>1272</v>
      </c>
      <c r="L552" t="s">
        <v>1270</v>
      </c>
      <c r="M552" t="s">
        <v>1273</v>
      </c>
      <c r="N552">
        <v>1</v>
      </c>
      <c r="O552" t="str">
        <f t="shared" si="59"/>
        <v>42</v>
      </c>
      <c r="P552">
        <v>42</v>
      </c>
      <c r="R552" t="s">
        <v>1269</v>
      </c>
      <c r="S552">
        <v>4</v>
      </c>
      <c r="T552">
        <v>0.2576</v>
      </c>
      <c r="U552">
        <f t="shared" si="60"/>
        <v>0</v>
      </c>
      <c r="V552" t="str">
        <f t="shared" si="57"/>
        <v>High Counselor</v>
      </c>
      <c r="W552" t="str">
        <f t="shared" si="58"/>
        <v>Counselor</v>
      </c>
    </row>
    <row r="553" spans="1:23" x14ac:dyDescent="0.25">
      <c r="A553">
        <v>8458</v>
      </c>
      <c r="B553" t="s">
        <v>1263</v>
      </c>
      <c r="C553">
        <v>4</v>
      </c>
      <c r="D553" t="s">
        <v>1264</v>
      </c>
      <c r="E553">
        <v>100115</v>
      </c>
      <c r="F553">
        <v>8458</v>
      </c>
      <c r="G553" t="str">
        <f t="shared" si="56"/>
        <v>08458</v>
      </c>
      <c r="H553" t="s">
        <v>344</v>
      </c>
      <c r="I553" t="s">
        <v>1265</v>
      </c>
      <c r="J553" t="s">
        <v>1266</v>
      </c>
      <c r="K553" t="s">
        <v>1267</v>
      </c>
      <c r="L553" t="s">
        <v>1263</v>
      </c>
      <c r="M553" t="s">
        <v>1268</v>
      </c>
      <c r="N553">
        <v>1</v>
      </c>
      <c r="O553" t="str">
        <f t="shared" si="59"/>
        <v>42</v>
      </c>
      <c r="P553">
        <v>42</v>
      </c>
      <c r="R553" t="s">
        <v>1269</v>
      </c>
      <c r="S553">
        <v>4</v>
      </c>
      <c r="T553">
        <v>0.2576</v>
      </c>
      <c r="U553">
        <f t="shared" si="60"/>
        <v>0</v>
      </c>
      <c r="V553" t="str">
        <f t="shared" si="57"/>
        <v>Middle Counselor</v>
      </c>
      <c r="W553" t="str">
        <f t="shared" si="58"/>
        <v>Counselor</v>
      </c>
    </row>
    <row r="554" spans="1:23" x14ac:dyDescent="0.25">
      <c r="A554">
        <v>8458</v>
      </c>
      <c r="B554" t="s">
        <v>1289</v>
      </c>
      <c r="C554">
        <v>1</v>
      </c>
      <c r="D554" t="s">
        <v>1264</v>
      </c>
      <c r="E554">
        <v>100115</v>
      </c>
      <c r="F554">
        <v>8458</v>
      </c>
      <c r="G554" t="str">
        <f t="shared" si="56"/>
        <v>08458</v>
      </c>
      <c r="H554" t="s">
        <v>344</v>
      </c>
      <c r="I554" t="s">
        <v>1265</v>
      </c>
      <c r="J554" t="s">
        <v>1276</v>
      </c>
      <c r="K554" t="s">
        <v>1277</v>
      </c>
      <c r="L554" t="s">
        <v>1289</v>
      </c>
      <c r="M554" t="s">
        <v>1307</v>
      </c>
      <c r="N554">
        <v>21</v>
      </c>
      <c r="O554" t="str">
        <f t="shared" si="59"/>
        <v>43</v>
      </c>
      <c r="P554">
        <v>43</v>
      </c>
      <c r="R554" t="s">
        <v>1269</v>
      </c>
      <c r="S554">
        <v>1</v>
      </c>
      <c r="T554">
        <v>0.2576</v>
      </c>
      <c r="U554">
        <f t="shared" si="60"/>
        <v>0.25800000000000001</v>
      </c>
      <c r="V554" t="str">
        <f t="shared" si="57"/>
        <v>Elementary Occupational Therapist</v>
      </c>
      <c r="W554" t="str">
        <f t="shared" si="58"/>
        <v>Occupational Therapist</v>
      </c>
    </row>
    <row r="555" spans="1:23" x14ac:dyDescent="0.25">
      <c r="A555">
        <v>8458</v>
      </c>
      <c r="B555" t="s">
        <v>1303</v>
      </c>
      <c r="C555">
        <v>0.80100000000000005</v>
      </c>
      <c r="D555" t="s">
        <v>1264</v>
      </c>
      <c r="E555">
        <v>100115</v>
      </c>
      <c r="F555">
        <v>8458</v>
      </c>
      <c r="G555" t="str">
        <f t="shared" si="56"/>
        <v>08458</v>
      </c>
      <c r="H555" t="s">
        <v>344</v>
      </c>
      <c r="I555" t="s">
        <v>1265</v>
      </c>
      <c r="J555" t="s">
        <v>1266</v>
      </c>
      <c r="K555" t="s">
        <v>1267</v>
      </c>
      <c r="L555" t="s">
        <v>1303</v>
      </c>
      <c r="M555" t="s">
        <v>1304</v>
      </c>
      <c r="N555">
        <v>21</v>
      </c>
      <c r="O555" t="str">
        <f t="shared" si="59"/>
        <v>43</v>
      </c>
      <c r="P555">
        <v>43</v>
      </c>
      <c r="R555" t="s">
        <v>1269</v>
      </c>
      <c r="S555">
        <v>0.80100000000000005</v>
      </c>
      <c r="T555">
        <v>0.2576</v>
      </c>
      <c r="U555">
        <f t="shared" si="60"/>
        <v>0.20599999999999999</v>
      </c>
      <c r="V555" t="str">
        <f t="shared" si="57"/>
        <v>Middle Occupational Therapist</v>
      </c>
      <c r="W555" t="str">
        <f t="shared" si="58"/>
        <v>Occupational Therapist</v>
      </c>
    </row>
    <row r="556" spans="1:23" x14ac:dyDescent="0.25">
      <c r="A556">
        <v>8458</v>
      </c>
      <c r="B556" t="s">
        <v>1294</v>
      </c>
      <c r="C556">
        <v>5</v>
      </c>
      <c r="D556" t="s">
        <v>1264</v>
      </c>
      <c r="E556">
        <v>100115</v>
      </c>
      <c r="F556">
        <v>8458</v>
      </c>
      <c r="G556" t="str">
        <f t="shared" si="56"/>
        <v>08458</v>
      </c>
      <c r="H556" t="s">
        <v>344</v>
      </c>
      <c r="I556" t="s">
        <v>1265</v>
      </c>
      <c r="J556" t="s">
        <v>1276</v>
      </c>
      <c r="K556" t="s">
        <v>1277</v>
      </c>
      <c r="L556" t="s">
        <v>1294</v>
      </c>
      <c r="M556" t="s">
        <v>1354</v>
      </c>
      <c r="N556">
        <v>21</v>
      </c>
      <c r="O556" t="str">
        <f t="shared" si="59"/>
        <v>45</v>
      </c>
      <c r="P556">
        <v>45</v>
      </c>
      <c r="R556" t="s">
        <v>1269</v>
      </c>
      <c r="S556">
        <v>5</v>
      </c>
      <c r="T556">
        <v>0.2576</v>
      </c>
      <c r="U556">
        <f t="shared" si="60"/>
        <v>1.288</v>
      </c>
      <c r="V556" t="str">
        <f t="shared" si="57"/>
        <v>Elementary Speech, Language Pathway/
Audio</v>
      </c>
      <c r="W556" t="str">
        <f t="shared" si="58"/>
        <v>Speech, Language Pathway/
Audio</v>
      </c>
    </row>
    <row r="557" spans="1:23" x14ac:dyDescent="0.25">
      <c r="A557">
        <v>8458</v>
      </c>
      <c r="B557" t="s">
        <v>1298</v>
      </c>
      <c r="C557">
        <v>3</v>
      </c>
      <c r="D557" t="s">
        <v>1264</v>
      </c>
      <c r="E557">
        <v>100115</v>
      </c>
      <c r="F557">
        <v>8458</v>
      </c>
      <c r="G557" t="str">
        <f t="shared" si="56"/>
        <v>08458</v>
      </c>
      <c r="H557" t="s">
        <v>344</v>
      </c>
      <c r="I557" t="s">
        <v>1265</v>
      </c>
      <c r="J557" t="s">
        <v>1276</v>
      </c>
      <c r="K557" t="s">
        <v>1277</v>
      </c>
      <c r="L557" t="s">
        <v>1298</v>
      </c>
      <c r="M557" t="s">
        <v>1349</v>
      </c>
      <c r="N557">
        <v>21</v>
      </c>
      <c r="O557" t="str">
        <f t="shared" si="59"/>
        <v>46</v>
      </c>
      <c r="P557">
        <v>46</v>
      </c>
      <c r="R557" t="s">
        <v>1269</v>
      </c>
      <c r="S557">
        <v>3</v>
      </c>
      <c r="T557">
        <v>0.2576</v>
      </c>
      <c r="U557">
        <f t="shared" si="60"/>
        <v>0.77300000000000002</v>
      </c>
      <c r="V557" t="str">
        <f t="shared" si="57"/>
        <v>Elementary Psychologist</v>
      </c>
      <c r="W557" t="str">
        <f t="shared" si="58"/>
        <v>Psychologist</v>
      </c>
    </row>
    <row r="558" spans="1:23" x14ac:dyDescent="0.25">
      <c r="A558">
        <v>8458</v>
      </c>
      <c r="B558" t="s">
        <v>1335</v>
      </c>
      <c r="C558">
        <v>2</v>
      </c>
      <c r="D558" t="s">
        <v>1264</v>
      </c>
      <c r="E558">
        <v>100115</v>
      </c>
      <c r="F558">
        <v>8458</v>
      </c>
      <c r="G558" t="str">
        <f t="shared" si="56"/>
        <v>08458</v>
      </c>
      <c r="H558" t="s">
        <v>344</v>
      </c>
      <c r="I558" t="s">
        <v>1265</v>
      </c>
      <c r="J558" t="s">
        <v>1276</v>
      </c>
      <c r="K558" t="s">
        <v>1277</v>
      </c>
      <c r="L558" t="s">
        <v>1335</v>
      </c>
      <c r="M558" t="s">
        <v>1344</v>
      </c>
      <c r="N558">
        <v>1</v>
      </c>
      <c r="O558" t="str">
        <f t="shared" si="59"/>
        <v>47</v>
      </c>
      <c r="P558">
        <v>47</v>
      </c>
      <c r="R558" t="s">
        <v>1269</v>
      </c>
      <c r="S558">
        <v>2</v>
      </c>
      <c r="T558">
        <v>0.2576</v>
      </c>
      <c r="U558">
        <f t="shared" si="60"/>
        <v>0</v>
      </c>
      <c r="V558" t="str">
        <f t="shared" si="57"/>
        <v>Elementary Nurse</v>
      </c>
      <c r="W558" t="str">
        <f t="shared" si="58"/>
        <v>Nurse</v>
      </c>
    </row>
    <row r="559" spans="1:23" x14ac:dyDescent="0.25">
      <c r="A559">
        <v>8458</v>
      </c>
      <c r="B559" t="s">
        <v>1302</v>
      </c>
      <c r="C559">
        <v>0.58599999999999997</v>
      </c>
      <c r="D559" t="s">
        <v>1264</v>
      </c>
      <c r="E559">
        <v>100115</v>
      </c>
      <c r="F559">
        <v>8458</v>
      </c>
      <c r="G559" t="str">
        <f t="shared" si="56"/>
        <v>08458</v>
      </c>
      <c r="H559" t="s">
        <v>344</v>
      </c>
      <c r="I559" t="s">
        <v>1265</v>
      </c>
      <c r="J559" t="s">
        <v>1276</v>
      </c>
      <c r="K559" t="s">
        <v>1277</v>
      </c>
      <c r="L559" t="s">
        <v>1302</v>
      </c>
      <c r="M559" t="s">
        <v>1336</v>
      </c>
      <c r="N559">
        <v>21</v>
      </c>
      <c r="O559" t="str">
        <f t="shared" si="59"/>
        <v>48</v>
      </c>
      <c r="P559">
        <v>48</v>
      </c>
      <c r="R559" t="s">
        <v>1269</v>
      </c>
      <c r="S559">
        <v>0.58599999999999997</v>
      </c>
      <c r="T559">
        <v>0.2576</v>
      </c>
      <c r="U559">
        <f t="shared" si="60"/>
        <v>0.151</v>
      </c>
      <c r="V559" t="str">
        <f t="shared" si="57"/>
        <v>Elementary Physical Therapist</v>
      </c>
      <c r="W559" t="str">
        <f t="shared" si="58"/>
        <v>Physical Therapist</v>
      </c>
    </row>
    <row r="560" spans="1:23" x14ac:dyDescent="0.25">
      <c r="A560">
        <v>9013</v>
      </c>
      <c r="B560" t="s">
        <v>1315</v>
      </c>
      <c r="C560">
        <v>0.107</v>
      </c>
      <c r="D560" t="s">
        <v>1264</v>
      </c>
      <c r="E560">
        <v>100189</v>
      </c>
      <c r="F560">
        <v>9013</v>
      </c>
      <c r="G560" t="str">
        <f t="shared" si="56"/>
        <v>09013</v>
      </c>
      <c r="H560" t="s">
        <v>345</v>
      </c>
      <c r="I560" t="s">
        <v>1265</v>
      </c>
      <c r="J560" t="s">
        <v>1276</v>
      </c>
      <c r="K560" t="s">
        <v>1277</v>
      </c>
      <c r="L560" t="s">
        <v>1315</v>
      </c>
      <c r="M560" t="s">
        <v>1375</v>
      </c>
      <c r="N560">
        <v>1</v>
      </c>
      <c r="O560" t="str">
        <f t="shared" si="59"/>
        <v>26</v>
      </c>
      <c r="Q560">
        <v>26</v>
      </c>
      <c r="R560" t="s">
        <v>1269</v>
      </c>
      <c r="S560">
        <v>0.107</v>
      </c>
      <c r="T560">
        <v>0.1913</v>
      </c>
      <c r="U560">
        <f t="shared" si="60"/>
        <v>0</v>
      </c>
      <c r="V560" t="str">
        <f t="shared" si="57"/>
        <v>Elementary Health/
Related Services</v>
      </c>
      <c r="W560" t="str">
        <f t="shared" si="58"/>
        <v>Health/
Related Services</v>
      </c>
    </row>
    <row r="561" spans="1:23" x14ac:dyDescent="0.25">
      <c r="A561">
        <v>9013</v>
      </c>
      <c r="B561" t="s">
        <v>1291</v>
      </c>
      <c r="C561">
        <v>3.2000000000000001E-2</v>
      </c>
      <c r="D561" t="s">
        <v>1264</v>
      </c>
      <c r="E561">
        <v>100189</v>
      </c>
      <c r="F561">
        <v>9013</v>
      </c>
      <c r="G561" t="str">
        <f t="shared" si="56"/>
        <v>09013</v>
      </c>
      <c r="H561" t="s">
        <v>345</v>
      </c>
      <c r="I561" t="s">
        <v>1265</v>
      </c>
      <c r="J561" t="s">
        <v>1266</v>
      </c>
      <c r="K561" t="s">
        <v>1267</v>
      </c>
      <c r="L561" t="s">
        <v>1291</v>
      </c>
      <c r="M561" t="s">
        <v>1292</v>
      </c>
      <c r="N561">
        <v>1</v>
      </c>
      <c r="O561" t="str">
        <f t="shared" si="59"/>
        <v>26</v>
      </c>
      <c r="Q561">
        <v>26</v>
      </c>
      <c r="R561" t="s">
        <v>1269</v>
      </c>
      <c r="S561">
        <v>3.2000000000000001E-2</v>
      </c>
      <c r="T561">
        <v>0.1913</v>
      </c>
      <c r="U561">
        <f t="shared" si="60"/>
        <v>0</v>
      </c>
      <c r="V561" t="str">
        <f t="shared" si="57"/>
        <v>Middle Health/
Related Services</v>
      </c>
      <c r="W561" t="str">
        <f t="shared" si="58"/>
        <v>Health/
Related Services</v>
      </c>
    </row>
    <row r="562" spans="1:23" x14ac:dyDescent="0.25">
      <c r="A562">
        <v>9075</v>
      </c>
      <c r="B562" t="s">
        <v>1295</v>
      </c>
      <c r="C562">
        <v>1.2290000000000001</v>
      </c>
      <c r="D562" t="s">
        <v>1264</v>
      </c>
      <c r="E562">
        <v>100028</v>
      </c>
      <c r="F562">
        <v>9075</v>
      </c>
      <c r="G562" t="str">
        <f t="shared" si="56"/>
        <v>09075</v>
      </c>
      <c r="H562" t="s">
        <v>346</v>
      </c>
      <c r="I562" t="s">
        <v>1265</v>
      </c>
      <c r="J562" t="s">
        <v>1271</v>
      </c>
      <c r="K562" t="s">
        <v>1272</v>
      </c>
      <c r="L562" t="s">
        <v>1295</v>
      </c>
      <c r="M562" t="s">
        <v>1296</v>
      </c>
      <c r="N562">
        <v>1</v>
      </c>
      <c r="O562" t="str">
        <f t="shared" si="59"/>
        <v>26</v>
      </c>
      <c r="Q562">
        <v>26</v>
      </c>
      <c r="R562" t="s">
        <v>1269</v>
      </c>
      <c r="S562">
        <v>1.2290000000000001</v>
      </c>
      <c r="T562">
        <v>0.1552</v>
      </c>
      <c r="U562">
        <f t="shared" si="60"/>
        <v>0</v>
      </c>
      <c r="V562" t="str">
        <f t="shared" si="57"/>
        <v>High Health/
Related Services</v>
      </c>
      <c r="W562" t="str">
        <f t="shared" si="58"/>
        <v>Health/
Related Services</v>
      </c>
    </row>
    <row r="563" spans="1:23" x14ac:dyDescent="0.25">
      <c r="A563">
        <v>9075</v>
      </c>
      <c r="B563" t="s">
        <v>1270</v>
      </c>
      <c r="C563">
        <v>1</v>
      </c>
      <c r="D563" t="s">
        <v>1264</v>
      </c>
      <c r="E563">
        <v>100028</v>
      </c>
      <c r="F563">
        <v>9075</v>
      </c>
      <c r="G563" t="str">
        <f t="shared" si="56"/>
        <v>09075</v>
      </c>
      <c r="H563" t="s">
        <v>346</v>
      </c>
      <c r="I563" t="s">
        <v>1265</v>
      </c>
      <c r="J563" t="s">
        <v>1271</v>
      </c>
      <c r="K563" t="s">
        <v>1272</v>
      </c>
      <c r="L563" t="s">
        <v>1270</v>
      </c>
      <c r="M563" t="s">
        <v>1273</v>
      </c>
      <c r="N563">
        <v>1</v>
      </c>
      <c r="O563" t="str">
        <f t="shared" si="59"/>
        <v>42</v>
      </c>
      <c r="P563">
        <v>42</v>
      </c>
      <c r="R563" t="s">
        <v>1269</v>
      </c>
      <c r="S563">
        <v>1</v>
      </c>
      <c r="T563">
        <v>0.1552</v>
      </c>
      <c r="U563">
        <f t="shared" si="60"/>
        <v>0</v>
      </c>
      <c r="V563" t="str">
        <f t="shared" si="57"/>
        <v>High Counselor</v>
      </c>
      <c r="W563" t="str">
        <f t="shared" si="58"/>
        <v>Counselor</v>
      </c>
    </row>
    <row r="564" spans="1:23" x14ac:dyDescent="0.25">
      <c r="A564">
        <v>9075</v>
      </c>
      <c r="B564" t="s">
        <v>1263</v>
      </c>
      <c r="C564">
        <v>1</v>
      </c>
      <c r="D564" t="s">
        <v>1264</v>
      </c>
      <c r="E564">
        <v>100028</v>
      </c>
      <c r="F564">
        <v>9075</v>
      </c>
      <c r="G564" t="str">
        <f t="shared" si="56"/>
        <v>09075</v>
      </c>
      <c r="H564" t="s">
        <v>346</v>
      </c>
      <c r="I564" t="s">
        <v>1265</v>
      </c>
      <c r="J564" t="s">
        <v>1266</v>
      </c>
      <c r="K564" t="s">
        <v>1267</v>
      </c>
      <c r="L564" t="s">
        <v>1263</v>
      </c>
      <c r="M564" t="s">
        <v>1268</v>
      </c>
      <c r="N564">
        <v>1</v>
      </c>
      <c r="O564" t="str">
        <f t="shared" si="59"/>
        <v>42</v>
      </c>
      <c r="P564">
        <v>42</v>
      </c>
      <c r="R564" t="s">
        <v>1269</v>
      </c>
      <c r="S564">
        <v>1</v>
      </c>
      <c r="T564">
        <v>0.1552</v>
      </c>
      <c r="U564">
        <f t="shared" si="60"/>
        <v>0</v>
      </c>
      <c r="V564" t="str">
        <f t="shared" si="57"/>
        <v>Middle Counselor</v>
      </c>
      <c r="W564" t="str">
        <f t="shared" si="58"/>
        <v>Counselor</v>
      </c>
    </row>
    <row r="565" spans="1:23" x14ac:dyDescent="0.25">
      <c r="A565">
        <v>9102</v>
      </c>
      <c r="B565" t="s">
        <v>1299</v>
      </c>
      <c r="C565">
        <v>9.6000000000000002E-2</v>
      </c>
      <c r="D565" t="s">
        <v>1264</v>
      </c>
      <c r="E565">
        <v>100193</v>
      </c>
      <c r="F565">
        <v>9102</v>
      </c>
      <c r="G565" t="str">
        <f t="shared" si="56"/>
        <v>09102</v>
      </c>
      <c r="H565" t="s">
        <v>347</v>
      </c>
      <c r="I565" t="s">
        <v>1265</v>
      </c>
      <c r="J565" t="s">
        <v>1271</v>
      </c>
      <c r="K565" t="s">
        <v>1272</v>
      </c>
      <c r="L565" t="s">
        <v>1299</v>
      </c>
      <c r="M565" t="s">
        <v>1300</v>
      </c>
      <c r="N565">
        <v>1</v>
      </c>
      <c r="O565" t="str">
        <f t="shared" si="59"/>
        <v>25</v>
      </c>
      <c r="Q565">
        <v>25</v>
      </c>
      <c r="R565" t="s">
        <v>1269</v>
      </c>
      <c r="S565">
        <v>9.6000000000000002E-2</v>
      </c>
      <c r="T565">
        <v>0.1913</v>
      </c>
      <c r="U565">
        <f t="shared" si="60"/>
        <v>0</v>
      </c>
      <c r="V565" t="str">
        <f t="shared" si="57"/>
        <v>High Pupil Management</v>
      </c>
      <c r="W565" t="str">
        <f t="shared" si="58"/>
        <v>Pupil Management</v>
      </c>
    </row>
    <row r="566" spans="1:23" x14ac:dyDescent="0.25">
      <c r="A566">
        <v>9206</v>
      </c>
      <c r="B566" t="s">
        <v>1383</v>
      </c>
      <c r="C566">
        <v>2.0059999999999998</v>
      </c>
      <c r="D566" t="s">
        <v>1264</v>
      </c>
      <c r="E566">
        <v>100072</v>
      </c>
      <c r="F566">
        <v>9206</v>
      </c>
      <c r="G566" t="str">
        <f t="shared" si="56"/>
        <v>09206</v>
      </c>
      <c r="H566" t="s">
        <v>348</v>
      </c>
      <c r="I566" t="s">
        <v>1265</v>
      </c>
      <c r="J566" t="s">
        <v>1271</v>
      </c>
      <c r="K566" t="s">
        <v>1272</v>
      </c>
      <c r="L566" t="s">
        <v>1383</v>
      </c>
      <c r="M566" t="s">
        <v>1409</v>
      </c>
      <c r="N566">
        <v>21</v>
      </c>
      <c r="O566" t="str">
        <f t="shared" si="59"/>
        <v>25</v>
      </c>
      <c r="Q566">
        <v>25</v>
      </c>
      <c r="R566" t="s">
        <v>1269</v>
      </c>
      <c r="S566">
        <v>2.0059999999999998</v>
      </c>
      <c r="T566">
        <v>0.2072</v>
      </c>
      <c r="U566">
        <f t="shared" si="60"/>
        <v>0.41599999999999998</v>
      </c>
      <c r="V566" t="str">
        <f t="shared" si="57"/>
        <v>High Pupil Management</v>
      </c>
      <c r="W566" t="str">
        <f t="shared" si="58"/>
        <v>Pupil Management</v>
      </c>
    </row>
    <row r="567" spans="1:23" x14ac:dyDescent="0.25">
      <c r="A567">
        <v>9206</v>
      </c>
      <c r="B567" t="s">
        <v>1299</v>
      </c>
      <c r="C567">
        <v>15.988</v>
      </c>
      <c r="D567" t="s">
        <v>1264</v>
      </c>
      <c r="E567">
        <v>100072</v>
      </c>
      <c r="F567">
        <v>9206</v>
      </c>
      <c r="G567" t="str">
        <f t="shared" si="56"/>
        <v>09206</v>
      </c>
      <c r="H567" t="s">
        <v>348</v>
      </c>
      <c r="I567" t="s">
        <v>1265</v>
      </c>
      <c r="J567" t="s">
        <v>1271</v>
      </c>
      <c r="K567" t="s">
        <v>1272</v>
      </c>
      <c r="L567" t="s">
        <v>1299</v>
      </c>
      <c r="M567" t="s">
        <v>1300</v>
      </c>
      <c r="N567">
        <v>1</v>
      </c>
      <c r="O567" t="str">
        <f t="shared" si="59"/>
        <v>25</v>
      </c>
      <c r="Q567">
        <v>25</v>
      </c>
      <c r="R567" t="s">
        <v>1269</v>
      </c>
      <c r="S567">
        <v>15.988</v>
      </c>
      <c r="T567">
        <v>0.2072</v>
      </c>
      <c r="U567">
        <f t="shared" si="60"/>
        <v>0</v>
      </c>
      <c r="V567" t="str">
        <f t="shared" si="57"/>
        <v>High Pupil Management</v>
      </c>
      <c r="W567" t="str">
        <f t="shared" si="58"/>
        <v>Pupil Management</v>
      </c>
    </row>
    <row r="568" spans="1:23" x14ac:dyDescent="0.25">
      <c r="A568">
        <v>9206</v>
      </c>
      <c r="B568" t="s">
        <v>1324</v>
      </c>
      <c r="C568">
        <v>1.754</v>
      </c>
      <c r="D568" t="s">
        <v>1264</v>
      </c>
      <c r="E568">
        <v>100072</v>
      </c>
      <c r="F568">
        <v>9206</v>
      </c>
      <c r="G568" t="str">
        <f t="shared" si="56"/>
        <v>09206</v>
      </c>
      <c r="H568" t="s">
        <v>348</v>
      </c>
      <c r="I568" t="s">
        <v>1265</v>
      </c>
      <c r="J568" t="s">
        <v>1271</v>
      </c>
      <c r="K568" t="s">
        <v>1272</v>
      </c>
      <c r="L568" t="s">
        <v>1324</v>
      </c>
      <c r="M568" t="s">
        <v>1325</v>
      </c>
      <c r="N568">
        <v>21</v>
      </c>
      <c r="O568" t="str">
        <f t="shared" si="59"/>
        <v>26</v>
      </c>
      <c r="Q568">
        <v>26</v>
      </c>
      <c r="R568" t="s">
        <v>1269</v>
      </c>
      <c r="S568">
        <v>1.754</v>
      </c>
      <c r="T568">
        <v>0.2072</v>
      </c>
      <c r="U568">
        <f t="shared" si="60"/>
        <v>0.36299999999999999</v>
      </c>
      <c r="V568" t="str">
        <f t="shared" si="57"/>
        <v>High Health/
Related Services</v>
      </c>
      <c r="W568" t="str">
        <f t="shared" si="58"/>
        <v>Health/
Related Services</v>
      </c>
    </row>
    <row r="569" spans="1:23" x14ac:dyDescent="0.25">
      <c r="A569">
        <v>9206</v>
      </c>
      <c r="B569" t="s">
        <v>1295</v>
      </c>
      <c r="C569">
        <v>5.5110000000000001</v>
      </c>
      <c r="D569" t="s">
        <v>1264</v>
      </c>
      <c r="E569">
        <v>100072</v>
      </c>
      <c r="F569">
        <v>9206</v>
      </c>
      <c r="G569" t="str">
        <f t="shared" si="56"/>
        <v>09206</v>
      </c>
      <c r="H569" t="s">
        <v>348</v>
      </c>
      <c r="I569" t="s">
        <v>1265</v>
      </c>
      <c r="J569" t="s">
        <v>1271</v>
      </c>
      <c r="K569" t="s">
        <v>1272</v>
      </c>
      <c r="L569" t="s">
        <v>1295</v>
      </c>
      <c r="M569" t="s">
        <v>1296</v>
      </c>
      <c r="N569">
        <v>1</v>
      </c>
      <c r="O569" t="str">
        <f t="shared" si="59"/>
        <v>26</v>
      </c>
      <c r="Q569">
        <v>26</v>
      </c>
      <c r="R569" t="s">
        <v>1269</v>
      </c>
      <c r="S569">
        <v>5.5110000000000001</v>
      </c>
      <c r="T569">
        <v>0.2072</v>
      </c>
      <c r="U569">
        <f t="shared" si="60"/>
        <v>0</v>
      </c>
      <c r="V569" t="str">
        <f t="shared" si="57"/>
        <v>High Health/
Related Services</v>
      </c>
      <c r="W569" t="str">
        <f t="shared" si="58"/>
        <v>Health/
Related Services</v>
      </c>
    </row>
    <row r="570" spans="1:23" x14ac:dyDescent="0.25">
      <c r="A570">
        <v>9206</v>
      </c>
      <c r="B570" t="s">
        <v>1275</v>
      </c>
      <c r="C570">
        <v>6</v>
      </c>
      <c r="D570" t="s">
        <v>1264</v>
      </c>
      <c r="E570">
        <v>100072</v>
      </c>
      <c r="F570">
        <v>9206</v>
      </c>
      <c r="G570" t="str">
        <f t="shared" si="56"/>
        <v>09206</v>
      </c>
      <c r="H570" t="s">
        <v>348</v>
      </c>
      <c r="I570" t="s">
        <v>1265</v>
      </c>
      <c r="J570" t="s">
        <v>1276</v>
      </c>
      <c r="K570" t="s">
        <v>1277</v>
      </c>
      <c r="L570" t="s">
        <v>1275</v>
      </c>
      <c r="M570" t="s">
        <v>1278</v>
      </c>
      <c r="N570">
        <v>1</v>
      </c>
      <c r="O570" t="str">
        <f t="shared" si="59"/>
        <v>42</v>
      </c>
      <c r="P570">
        <v>42</v>
      </c>
      <c r="R570" t="s">
        <v>1269</v>
      </c>
      <c r="S570">
        <v>6</v>
      </c>
      <c r="T570">
        <v>0.2072</v>
      </c>
      <c r="U570">
        <f t="shared" si="60"/>
        <v>0</v>
      </c>
      <c r="V570" t="str">
        <f t="shared" si="57"/>
        <v>Elementary Counselor</v>
      </c>
      <c r="W570" t="str">
        <f t="shared" si="58"/>
        <v>Counselor</v>
      </c>
    </row>
    <row r="571" spans="1:23" x14ac:dyDescent="0.25">
      <c r="A571">
        <v>9206</v>
      </c>
      <c r="B571" t="s">
        <v>1270</v>
      </c>
      <c r="C571">
        <v>3.0169999999999999</v>
      </c>
      <c r="D571" t="s">
        <v>1264</v>
      </c>
      <c r="E571">
        <v>100072</v>
      </c>
      <c r="F571">
        <v>9206</v>
      </c>
      <c r="G571" t="str">
        <f t="shared" si="56"/>
        <v>09206</v>
      </c>
      <c r="H571" t="s">
        <v>348</v>
      </c>
      <c r="I571" t="s">
        <v>1265</v>
      </c>
      <c r="J571" t="s">
        <v>1271</v>
      </c>
      <c r="K571" t="s">
        <v>1272</v>
      </c>
      <c r="L571" t="s">
        <v>1270</v>
      </c>
      <c r="M571" t="s">
        <v>1273</v>
      </c>
      <c r="N571">
        <v>1</v>
      </c>
      <c r="O571" t="str">
        <f t="shared" si="59"/>
        <v>42</v>
      </c>
      <c r="P571">
        <v>42</v>
      </c>
      <c r="R571" t="s">
        <v>1269</v>
      </c>
      <c r="S571">
        <v>3.0169999999999999</v>
      </c>
      <c r="T571">
        <v>0.2072</v>
      </c>
      <c r="U571">
        <f t="shared" si="60"/>
        <v>0</v>
      </c>
      <c r="V571" t="str">
        <f t="shared" si="57"/>
        <v>High Counselor</v>
      </c>
      <c r="W571" t="str">
        <f t="shared" si="58"/>
        <v>Counselor</v>
      </c>
    </row>
    <row r="572" spans="1:23" x14ac:dyDescent="0.25">
      <c r="A572">
        <v>9206</v>
      </c>
      <c r="B572" t="s">
        <v>1263</v>
      </c>
      <c r="C572">
        <v>1.333</v>
      </c>
      <c r="D572" t="s">
        <v>1264</v>
      </c>
      <c r="E572">
        <v>100072</v>
      </c>
      <c r="F572">
        <v>9206</v>
      </c>
      <c r="G572" t="str">
        <f t="shared" si="56"/>
        <v>09206</v>
      </c>
      <c r="H572" t="s">
        <v>348</v>
      </c>
      <c r="I572" t="s">
        <v>1265</v>
      </c>
      <c r="J572" t="s">
        <v>1266</v>
      </c>
      <c r="K572" t="s">
        <v>1267</v>
      </c>
      <c r="L572" t="s">
        <v>1263</v>
      </c>
      <c r="M572" t="s">
        <v>1268</v>
      </c>
      <c r="N572">
        <v>1</v>
      </c>
      <c r="O572" t="str">
        <f t="shared" si="59"/>
        <v>42</v>
      </c>
      <c r="P572">
        <v>42</v>
      </c>
      <c r="R572" t="s">
        <v>1269</v>
      </c>
      <c r="S572">
        <v>1.333</v>
      </c>
      <c r="T572">
        <v>0.2072</v>
      </c>
      <c r="U572">
        <f t="shared" si="60"/>
        <v>0</v>
      </c>
      <c r="V572" t="str">
        <f t="shared" si="57"/>
        <v>Middle Counselor</v>
      </c>
      <c r="W572" t="str">
        <f t="shared" si="58"/>
        <v>Counselor</v>
      </c>
    </row>
    <row r="573" spans="1:23" x14ac:dyDescent="0.25">
      <c r="A573">
        <v>9206</v>
      </c>
      <c r="B573" t="s">
        <v>1289</v>
      </c>
      <c r="C573">
        <v>1.7529999999999999</v>
      </c>
      <c r="D573" t="s">
        <v>1264</v>
      </c>
      <c r="E573">
        <v>100072</v>
      </c>
      <c r="F573">
        <v>9206</v>
      </c>
      <c r="G573" t="str">
        <f t="shared" si="56"/>
        <v>09206</v>
      </c>
      <c r="H573" t="s">
        <v>348</v>
      </c>
      <c r="I573" t="s">
        <v>1265</v>
      </c>
      <c r="J573" t="s">
        <v>1276</v>
      </c>
      <c r="K573" t="s">
        <v>1277</v>
      </c>
      <c r="L573" t="s">
        <v>1289</v>
      </c>
      <c r="M573" t="s">
        <v>1307</v>
      </c>
      <c r="N573">
        <v>21</v>
      </c>
      <c r="O573" t="str">
        <f t="shared" si="59"/>
        <v>43</v>
      </c>
      <c r="P573">
        <v>43</v>
      </c>
      <c r="R573" t="s">
        <v>1269</v>
      </c>
      <c r="S573">
        <v>1.7529999999999999</v>
      </c>
      <c r="T573">
        <v>0.2072</v>
      </c>
      <c r="U573">
        <f t="shared" si="60"/>
        <v>0.36299999999999999</v>
      </c>
      <c r="V573" t="str">
        <f t="shared" si="57"/>
        <v>Elementary Occupational Therapist</v>
      </c>
      <c r="W573" t="str">
        <f t="shared" si="58"/>
        <v>Occupational Therapist</v>
      </c>
    </row>
    <row r="574" spans="1:23" x14ac:dyDescent="0.25">
      <c r="A574">
        <v>9206</v>
      </c>
      <c r="B574" t="s">
        <v>1387</v>
      </c>
      <c r="C574">
        <v>0.123</v>
      </c>
      <c r="D574" t="s">
        <v>1264</v>
      </c>
      <c r="E574">
        <v>100072</v>
      </c>
      <c r="F574">
        <v>9206</v>
      </c>
      <c r="G574" t="str">
        <f t="shared" si="56"/>
        <v>09206</v>
      </c>
      <c r="H574" t="s">
        <v>348</v>
      </c>
      <c r="I574" t="s">
        <v>1265</v>
      </c>
      <c r="J574" t="s">
        <v>1271</v>
      </c>
      <c r="K574" t="s">
        <v>1272</v>
      </c>
      <c r="L574" t="s">
        <v>1387</v>
      </c>
      <c r="M574" t="s">
        <v>1406</v>
      </c>
      <c r="N574">
        <v>21</v>
      </c>
      <c r="O574" t="str">
        <f t="shared" si="59"/>
        <v>43</v>
      </c>
      <c r="P574">
        <v>43</v>
      </c>
      <c r="R574" t="s">
        <v>1269</v>
      </c>
      <c r="S574">
        <v>0.123</v>
      </c>
      <c r="T574">
        <v>0.2072</v>
      </c>
      <c r="U574">
        <f t="shared" si="60"/>
        <v>2.5000000000000001E-2</v>
      </c>
      <c r="V574" t="str">
        <f t="shared" si="57"/>
        <v>High Occupational Therapist</v>
      </c>
      <c r="W574" t="str">
        <f t="shared" si="58"/>
        <v>Occupational Therapist</v>
      </c>
    </row>
    <row r="575" spans="1:23" x14ac:dyDescent="0.25">
      <c r="A575">
        <v>9206</v>
      </c>
      <c r="B575" t="s">
        <v>1303</v>
      </c>
      <c r="C575">
        <v>0.52400000000000002</v>
      </c>
      <c r="D575" t="s">
        <v>1264</v>
      </c>
      <c r="E575">
        <v>100072</v>
      </c>
      <c r="F575">
        <v>9206</v>
      </c>
      <c r="G575" t="str">
        <f t="shared" si="56"/>
        <v>09206</v>
      </c>
      <c r="H575" t="s">
        <v>348</v>
      </c>
      <c r="I575" t="s">
        <v>1265</v>
      </c>
      <c r="J575" t="s">
        <v>1266</v>
      </c>
      <c r="K575" t="s">
        <v>1267</v>
      </c>
      <c r="L575" t="s">
        <v>1303</v>
      </c>
      <c r="M575" t="s">
        <v>1304</v>
      </c>
      <c r="N575">
        <v>21</v>
      </c>
      <c r="O575" t="str">
        <f t="shared" si="59"/>
        <v>43</v>
      </c>
      <c r="P575">
        <v>43</v>
      </c>
      <c r="R575" t="s">
        <v>1269</v>
      </c>
      <c r="S575">
        <v>0.52400000000000002</v>
      </c>
      <c r="T575">
        <v>0.2072</v>
      </c>
      <c r="U575">
        <f t="shared" si="60"/>
        <v>0.109</v>
      </c>
      <c r="V575" t="str">
        <f t="shared" si="57"/>
        <v>Middle Occupational Therapist</v>
      </c>
      <c r="W575" t="str">
        <f t="shared" si="58"/>
        <v>Occupational Therapist</v>
      </c>
    </row>
    <row r="576" spans="1:23" x14ac:dyDescent="0.25">
      <c r="A576">
        <v>9206</v>
      </c>
      <c r="B576" t="s">
        <v>1294</v>
      </c>
      <c r="C576">
        <v>5</v>
      </c>
      <c r="D576" t="s">
        <v>1264</v>
      </c>
      <c r="E576">
        <v>100072</v>
      </c>
      <c r="F576">
        <v>9206</v>
      </c>
      <c r="G576" t="str">
        <f t="shared" si="56"/>
        <v>09206</v>
      </c>
      <c r="H576" t="s">
        <v>348</v>
      </c>
      <c r="I576" t="s">
        <v>1265</v>
      </c>
      <c r="J576" t="s">
        <v>1276</v>
      </c>
      <c r="K576" t="s">
        <v>1277</v>
      </c>
      <c r="L576" t="s">
        <v>1294</v>
      </c>
      <c r="M576" t="s">
        <v>1354</v>
      </c>
      <c r="N576">
        <v>21</v>
      </c>
      <c r="O576" t="str">
        <f t="shared" si="59"/>
        <v>45</v>
      </c>
      <c r="P576">
        <v>45</v>
      </c>
      <c r="R576" t="s">
        <v>1269</v>
      </c>
      <c r="S576">
        <v>5</v>
      </c>
      <c r="T576">
        <v>0.2072</v>
      </c>
      <c r="U576">
        <f t="shared" si="60"/>
        <v>1.036</v>
      </c>
      <c r="V576" t="str">
        <f t="shared" si="57"/>
        <v>Elementary Speech, Language Pathway/
Audio</v>
      </c>
      <c r="W576" t="str">
        <f t="shared" si="58"/>
        <v>Speech, Language Pathway/
Audio</v>
      </c>
    </row>
    <row r="577" spans="1:23" x14ac:dyDescent="0.25">
      <c r="A577">
        <v>9206</v>
      </c>
      <c r="B577" t="s">
        <v>1326</v>
      </c>
      <c r="C577">
        <v>0.33400000000000002</v>
      </c>
      <c r="D577" t="s">
        <v>1264</v>
      </c>
      <c r="E577">
        <v>100072</v>
      </c>
      <c r="F577">
        <v>9206</v>
      </c>
      <c r="G577" t="str">
        <f t="shared" si="56"/>
        <v>09206</v>
      </c>
      <c r="H577" t="s">
        <v>348</v>
      </c>
      <c r="I577" t="s">
        <v>1265</v>
      </c>
      <c r="J577" t="s">
        <v>1271</v>
      </c>
      <c r="K577" t="s">
        <v>1272</v>
      </c>
      <c r="L577" t="s">
        <v>1326</v>
      </c>
      <c r="M577" t="s">
        <v>1353</v>
      </c>
      <c r="N577">
        <v>21</v>
      </c>
      <c r="O577" t="str">
        <f t="shared" si="59"/>
        <v>45</v>
      </c>
      <c r="P577">
        <v>45</v>
      </c>
      <c r="R577" t="s">
        <v>1269</v>
      </c>
      <c r="S577">
        <v>0.33400000000000002</v>
      </c>
      <c r="T577">
        <v>0.2072</v>
      </c>
      <c r="U577">
        <f t="shared" si="60"/>
        <v>6.9000000000000006E-2</v>
      </c>
      <c r="V577" t="str">
        <f t="shared" si="57"/>
        <v>High Speech, Language Pathway/
Audio</v>
      </c>
      <c r="W577" t="str">
        <f t="shared" si="58"/>
        <v>Speech, Language Pathway/
Audio</v>
      </c>
    </row>
    <row r="578" spans="1:23" x14ac:dyDescent="0.25">
      <c r="A578">
        <v>9206</v>
      </c>
      <c r="B578" t="s">
        <v>1312</v>
      </c>
      <c r="C578">
        <v>0.66600000000000004</v>
      </c>
      <c r="D578" t="s">
        <v>1264</v>
      </c>
      <c r="E578">
        <v>100072</v>
      </c>
      <c r="F578">
        <v>9206</v>
      </c>
      <c r="G578" t="str">
        <f t="shared" ref="G578:G641" si="61">TEXT(F578,"00000")</f>
        <v>09206</v>
      </c>
      <c r="H578" t="s">
        <v>348</v>
      </c>
      <c r="I578" t="s">
        <v>1265</v>
      </c>
      <c r="J578" t="s">
        <v>1266</v>
      </c>
      <c r="K578" t="s">
        <v>1267</v>
      </c>
      <c r="L578" t="s">
        <v>1312</v>
      </c>
      <c r="M578" t="s">
        <v>1351</v>
      </c>
      <c r="N578">
        <v>21</v>
      </c>
      <c r="O578" t="str">
        <f t="shared" si="59"/>
        <v>45</v>
      </c>
      <c r="P578">
        <v>45</v>
      </c>
      <c r="R578" t="s">
        <v>1269</v>
      </c>
      <c r="S578">
        <v>0.66600000000000004</v>
      </c>
      <c r="T578">
        <v>0.2072</v>
      </c>
      <c r="U578">
        <f t="shared" si="60"/>
        <v>0.13800000000000001</v>
      </c>
      <c r="V578" t="str">
        <f t="shared" ref="V578:V641" si="62">_xlfn.XLOOKUP(L578,$BV:$BV,$BT:$BT,,0)</f>
        <v>Middle Speech, Language Pathway/
Audio</v>
      </c>
      <c r="W578" t="str">
        <f t="shared" ref="W578:W641" si="63">_xlfn.TEXTAFTER(V578," ")</f>
        <v>Speech, Language Pathway/
Audio</v>
      </c>
    </row>
    <row r="579" spans="1:23" x14ac:dyDescent="0.25">
      <c r="A579">
        <v>9206</v>
      </c>
      <c r="B579" t="s">
        <v>1298</v>
      </c>
      <c r="C579">
        <v>4.75</v>
      </c>
      <c r="D579" t="s">
        <v>1264</v>
      </c>
      <c r="E579">
        <v>100072</v>
      </c>
      <c r="F579">
        <v>9206</v>
      </c>
      <c r="G579" t="str">
        <f t="shared" si="61"/>
        <v>09206</v>
      </c>
      <c r="H579" t="s">
        <v>348</v>
      </c>
      <c r="I579" t="s">
        <v>1265</v>
      </c>
      <c r="J579" t="s">
        <v>1276</v>
      </c>
      <c r="K579" t="s">
        <v>1277</v>
      </c>
      <c r="L579" t="s">
        <v>1298</v>
      </c>
      <c r="M579" t="s">
        <v>1349</v>
      </c>
      <c r="N579">
        <v>21</v>
      </c>
      <c r="O579" t="str">
        <f t="shared" ref="O579:O642" si="64">MID(L579,3,2)</f>
        <v>46</v>
      </c>
      <c r="P579">
        <v>46</v>
      </c>
      <c r="R579" t="s">
        <v>1269</v>
      </c>
      <c r="S579">
        <v>4.75</v>
      </c>
      <c r="T579">
        <v>0.2072</v>
      </c>
      <c r="U579">
        <f t="shared" ref="U579:U642" si="65">IF(N579=21,ROUND(T579*S579,3),0)</f>
        <v>0.98399999999999999</v>
      </c>
      <c r="V579" t="str">
        <f t="shared" si="62"/>
        <v>Elementary Psychologist</v>
      </c>
      <c r="W579" t="str">
        <f t="shared" si="63"/>
        <v>Psychologist</v>
      </c>
    </row>
    <row r="580" spans="1:23" x14ac:dyDescent="0.25">
      <c r="A580">
        <v>9206</v>
      </c>
      <c r="B580" t="s">
        <v>1333</v>
      </c>
      <c r="C580">
        <v>1.25</v>
      </c>
      <c r="D580" t="s">
        <v>1264</v>
      </c>
      <c r="E580">
        <v>100072</v>
      </c>
      <c r="F580">
        <v>9206</v>
      </c>
      <c r="G580" t="str">
        <f t="shared" si="61"/>
        <v>09206</v>
      </c>
      <c r="H580" t="s">
        <v>348</v>
      </c>
      <c r="I580" t="s">
        <v>1265</v>
      </c>
      <c r="J580" t="s">
        <v>1276</v>
      </c>
      <c r="K580" t="s">
        <v>1277</v>
      </c>
      <c r="L580" t="s">
        <v>1333</v>
      </c>
      <c r="M580" t="s">
        <v>1432</v>
      </c>
      <c r="N580">
        <v>1</v>
      </c>
      <c r="O580" t="str">
        <f t="shared" si="64"/>
        <v>46</v>
      </c>
      <c r="P580">
        <v>46</v>
      </c>
      <c r="R580" t="s">
        <v>1269</v>
      </c>
      <c r="S580">
        <v>1.25</v>
      </c>
      <c r="T580">
        <v>0.2072</v>
      </c>
      <c r="U580">
        <f t="shared" si="65"/>
        <v>0</v>
      </c>
      <c r="V580" t="str">
        <f t="shared" si="62"/>
        <v>Elementary Psychologist</v>
      </c>
      <c r="W580" t="str">
        <f t="shared" si="63"/>
        <v>Psychologist</v>
      </c>
    </row>
    <row r="581" spans="1:23" x14ac:dyDescent="0.25">
      <c r="A581">
        <v>9206</v>
      </c>
      <c r="B581" t="s">
        <v>1309</v>
      </c>
      <c r="C581">
        <v>1.8</v>
      </c>
      <c r="D581" t="s">
        <v>1264</v>
      </c>
      <c r="E581">
        <v>100072</v>
      </c>
      <c r="F581">
        <v>9206</v>
      </c>
      <c r="G581" t="str">
        <f t="shared" si="61"/>
        <v>09206</v>
      </c>
      <c r="H581" t="s">
        <v>348</v>
      </c>
      <c r="I581" t="s">
        <v>1265</v>
      </c>
      <c r="J581" t="s">
        <v>1271</v>
      </c>
      <c r="K581" t="s">
        <v>1272</v>
      </c>
      <c r="L581" t="s">
        <v>1309</v>
      </c>
      <c r="M581" t="s">
        <v>1310</v>
      </c>
      <c r="N581">
        <v>21</v>
      </c>
      <c r="O581" t="str">
        <f t="shared" si="64"/>
        <v>46</v>
      </c>
      <c r="P581">
        <v>46</v>
      </c>
      <c r="R581" t="s">
        <v>1269</v>
      </c>
      <c r="S581">
        <v>1.8</v>
      </c>
      <c r="T581">
        <v>0.2072</v>
      </c>
      <c r="U581">
        <f t="shared" si="65"/>
        <v>0.373</v>
      </c>
      <c r="V581" t="str">
        <f t="shared" si="62"/>
        <v>High Psychologist</v>
      </c>
      <c r="W581" t="str">
        <f t="shared" si="63"/>
        <v>Psychologist</v>
      </c>
    </row>
    <row r="582" spans="1:23" x14ac:dyDescent="0.25">
      <c r="A582">
        <v>9206</v>
      </c>
      <c r="B582" t="s">
        <v>1396</v>
      </c>
      <c r="C582">
        <v>0.33300000000000002</v>
      </c>
      <c r="D582" t="s">
        <v>1264</v>
      </c>
      <c r="E582">
        <v>100072</v>
      </c>
      <c r="F582">
        <v>9206</v>
      </c>
      <c r="G582" t="str">
        <f t="shared" si="61"/>
        <v>09206</v>
      </c>
      <c r="H582" t="s">
        <v>348</v>
      </c>
      <c r="I582" t="s">
        <v>1265</v>
      </c>
      <c r="J582" t="s">
        <v>1271</v>
      </c>
      <c r="K582" t="s">
        <v>1272</v>
      </c>
      <c r="L582" t="s">
        <v>1396</v>
      </c>
      <c r="M582" t="s">
        <v>1431</v>
      </c>
      <c r="N582">
        <v>1</v>
      </c>
      <c r="O582" t="str">
        <f t="shared" si="64"/>
        <v>46</v>
      </c>
      <c r="P582">
        <v>46</v>
      </c>
      <c r="R582" t="s">
        <v>1269</v>
      </c>
      <c r="S582">
        <v>0.33300000000000002</v>
      </c>
      <c r="T582">
        <v>0.2072</v>
      </c>
      <c r="U582">
        <f t="shared" si="65"/>
        <v>0</v>
      </c>
      <c r="V582" t="str">
        <f t="shared" si="62"/>
        <v>High Psychologist</v>
      </c>
      <c r="W582" t="str">
        <f t="shared" si="63"/>
        <v>Psychologist</v>
      </c>
    </row>
    <row r="583" spans="1:23" x14ac:dyDescent="0.25">
      <c r="A583">
        <v>9206</v>
      </c>
      <c r="B583" t="s">
        <v>1345</v>
      </c>
      <c r="C583">
        <v>0.5</v>
      </c>
      <c r="D583" t="s">
        <v>1264</v>
      </c>
      <c r="E583">
        <v>100072</v>
      </c>
      <c r="F583">
        <v>9206</v>
      </c>
      <c r="G583" t="str">
        <f t="shared" si="61"/>
        <v>09206</v>
      </c>
      <c r="H583" t="s">
        <v>348</v>
      </c>
      <c r="I583" t="s">
        <v>1265</v>
      </c>
      <c r="J583" t="s">
        <v>1266</v>
      </c>
      <c r="K583" t="s">
        <v>1267</v>
      </c>
      <c r="L583" t="s">
        <v>1345</v>
      </c>
      <c r="M583" t="s">
        <v>1346</v>
      </c>
      <c r="N583">
        <v>21</v>
      </c>
      <c r="O583" t="str">
        <f t="shared" si="64"/>
        <v>46</v>
      </c>
      <c r="P583">
        <v>46</v>
      </c>
      <c r="R583" t="s">
        <v>1269</v>
      </c>
      <c r="S583">
        <v>0.5</v>
      </c>
      <c r="T583">
        <v>0.2072</v>
      </c>
      <c r="U583">
        <f t="shared" si="65"/>
        <v>0.104</v>
      </c>
      <c r="V583" t="str">
        <f t="shared" si="62"/>
        <v>Middle Psychologist</v>
      </c>
      <c r="W583" t="str">
        <f t="shared" si="63"/>
        <v>Psychologist</v>
      </c>
    </row>
    <row r="584" spans="1:23" x14ac:dyDescent="0.25">
      <c r="A584">
        <v>9206</v>
      </c>
      <c r="B584" t="s">
        <v>1371</v>
      </c>
      <c r="C584">
        <v>0.16700000000000001</v>
      </c>
      <c r="D584" t="s">
        <v>1264</v>
      </c>
      <c r="E584">
        <v>100072</v>
      </c>
      <c r="F584">
        <v>9206</v>
      </c>
      <c r="G584" t="str">
        <f t="shared" si="61"/>
        <v>09206</v>
      </c>
      <c r="H584" t="s">
        <v>348</v>
      </c>
      <c r="I584" t="s">
        <v>1265</v>
      </c>
      <c r="J584" t="s">
        <v>1266</v>
      </c>
      <c r="K584" t="s">
        <v>1267</v>
      </c>
      <c r="L584" t="s">
        <v>1371</v>
      </c>
      <c r="M584" t="s">
        <v>1430</v>
      </c>
      <c r="N584">
        <v>1</v>
      </c>
      <c r="O584" t="str">
        <f t="shared" si="64"/>
        <v>46</v>
      </c>
      <c r="P584">
        <v>46</v>
      </c>
      <c r="R584" t="s">
        <v>1269</v>
      </c>
      <c r="S584">
        <v>0.16700000000000001</v>
      </c>
      <c r="T584">
        <v>0.2072</v>
      </c>
      <c r="U584">
        <f t="shared" si="65"/>
        <v>0</v>
      </c>
      <c r="V584" t="str">
        <f t="shared" si="62"/>
        <v>Middle Psychologist</v>
      </c>
      <c r="W584" t="str">
        <f t="shared" si="63"/>
        <v>Psychologist</v>
      </c>
    </row>
    <row r="585" spans="1:23" x14ac:dyDescent="0.25">
      <c r="A585">
        <v>9206</v>
      </c>
      <c r="B585" t="s">
        <v>1334</v>
      </c>
      <c r="C585">
        <v>0.42799999999999999</v>
      </c>
      <c r="D585" t="s">
        <v>1264</v>
      </c>
      <c r="E585">
        <v>100072</v>
      </c>
      <c r="F585">
        <v>9206</v>
      </c>
      <c r="G585" t="str">
        <f t="shared" si="61"/>
        <v>09206</v>
      </c>
      <c r="H585" t="s">
        <v>348</v>
      </c>
      <c r="I585" t="s">
        <v>1265</v>
      </c>
      <c r="J585" t="s">
        <v>1276</v>
      </c>
      <c r="K585" t="s">
        <v>1277</v>
      </c>
      <c r="L585" t="s">
        <v>1334</v>
      </c>
      <c r="M585" t="s">
        <v>1413</v>
      </c>
      <c r="N585">
        <v>21</v>
      </c>
      <c r="O585" t="str">
        <f t="shared" si="64"/>
        <v>47</v>
      </c>
      <c r="P585">
        <v>47</v>
      </c>
      <c r="R585" t="s">
        <v>1269</v>
      </c>
      <c r="S585">
        <v>0.42799999999999999</v>
      </c>
      <c r="T585">
        <v>0.2072</v>
      </c>
      <c r="U585">
        <f t="shared" si="65"/>
        <v>8.8999999999999996E-2</v>
      </c>
      <c r="V585" t="str">
        <f t="shared" si="62"/>
        <v>Elementary Nurse</v>
      </c>
      <c r="W585" t="str">
        <f t="shared" si="63"/>
        <v>Nurse</v>
      </c>
    </row>
    <row r="586" spans="1:23" x14ac:dyDescent="0.25">
      <c r="A586">
        <v>9206</v>
      </c>
      <c r="B586" t="s">
        <v>1335</v>
      </c>
      <c r="C586">
        <v>2.84</v>
      </c>
      <c r="D586" t="s">
        <v>1264</v>
      </c>
      <c r="E586">
        <v>100072</v>
      </c>
      <c r="F586">
        <v>9206</v>
      </c>
      <c r="G586" t="str">
        <f t="shared" si="61"/>
        <v>09206</v>
      </c>
      <c r="H586" t="s">
        <v>348</v>
      </c>
      <c r="I586" t="s">
        <v>1265</v>
      </c>
      <c r="J586" t="s">
        <v>1276</v>
      </c>
      <c r="K586" t="s">
        <v>1277</v>
      </c>
      <c r="L586" t="s">
        <v>1335</v>
      </c>
      <c r="M586" t="s">
        <v>1344</v>
      </c>
      <c r="N586">
        <v>1</v>
      </c>
      <c r="O586" t="str">
        <f t="shared" si="64"/>
        <v>47</v>
      </c>
      <c r="P586">
        <v>47</v>
      </c>
      <c r="R586" t="s">
        <v>1269</v>
      </c>
      <c r="S586">
        <v>2.84</v>
      </c>
      <c r="T586">
        <v>0.2072</v>
      </c>
      <c r="U586">
        <f t="shared" si="65"/>
        <v>0</v>
      </c>
      <c r="V586" t="str">
        <f t="shared" si="62"/>
        <v>Elementary Nurse</v>
      </c>
      <c r="W586" t="str">
        <f t="shared" si="63"/>
        <v>Nurse</v>
      </c>
    </row>
    <row r="587" spans="1:23" x14ac:dyDescent="0.25">
      <c r="A587">
        <v>9206</v>
      </c>
      <c r="B587" t="s">
        <v>1397</v>
      </c>
      <c r="C587">
        <v>0.248</v>
      </c>
      <c r="D587" t="s">
        <v>1264</v>
      </c>
      <c r="E587">
        <v>100072</v>
      </c>
      <c r="F587">
        <v>9206</v>
      </c>
      <c r="G587" t="str">
        <f t="shared" si="61"/>
        <v>09206</v>
      </c>
      <c r="H587" t="s">
        <v>348</v>
      </c>
      <c r="I587" t="s">
        <v>1265</v>
      </c>
      <c r="J587" t="s">
        <v>1271</v>
      </c>
      <c r="K587" t="s">
        <v>1272</v>
      </c>
      <c r="L587" t="s">
        <v>1397</v>
      </c>
      <c r="M587" t="s">
        <v>1435</v>
      </c>
      <c r="N587">
        <v>21</v>
      </c>
      <c r="O587" t="str">
        <f t="shared" si="64"/>
        <v>47</v>
      </c>
      <c r="P587">
        <v>47</v>
      </c>
      <c r="R587" t="s">
        <v>1269</v>
      </c>
      <c r="S587">
        <v>0.248</v>
      </c>
      <c r="T587">
        <v>0.2072</v>
      </c>
      <c r="U587">
        <f t="shared" si="65"/>
        <v>5.0999999999999997E-2</v>
      </c>
      <c r="V587" t="str">
        <f t="shared" si="62"/>
        <v>High Nurse</v>
      </c>
      <c r="W587" t="str">
        <f t="shared" si="63"/>
        <v>Nurse</v>
      </c>
    </row>
    <row r="588" spans="1:23" x14ac:dyDescent="0.25">
      <c r="A588">
        <v>9206</v>
      </c>
      <c r="B588" t="s">
        <v>1341</v>
      </c>
      <c r="C588">
        <v>1.6220000000000001</v>
      </c>
      <c r="D588" t="s">
        <v>1264</v>
      </c>
      <c r="E588">
        <v>100072</v>
      </c>
      <c r="F588">
        <v>9206</v>
      </c>
      <c r="G588" t="str">
        <f t="shared" si="61"/>
        <v>09206</v>
      </c>
      <c r="H588" t="s">
        <v>348</v>
      </c>
      <c r="I588" t="s">
        <v>1265</v>
      </c>
      <c r="J588" t="s">
        <v>1271</v>
      </c>
      <c r="K588" t="s">
        <v>1272</v>
      </c>
      <c r="L588" t="s">
        <v>1341</v>
      </c>
      <c r="M588" t="s">
        <v>1342</v>
      </c>
      <c r="N588">
        <v>1</v>
      </c>
      <c r="O588" t="str">
        <f t="shared" si="64"/>
        <v>47</v>
      </c>
      <c r="P588">
        <v>47</v>
      </c>
      <c r="R588" t="s">
        <v>1269</v>
      </c>
      <c r="S588">
        <v>1.6220000000000001</v>
      </c>
      <c r="T588">
        <v>0.2072</v>
      </c>
      <c r="U588">
        <f t="shared" si="65"/>
        <v>0</v>
      </c>
      <c r="V588" t="str">
        <f t="shared" si="62"/>
        <v>High Nurse</v>
      </c>
      <c r="W588" t="str">
        <f t="shared" si="63"/>
        <v>Nurse</v>
      </c>
    </row>
    <row r="589" spans="1:23" x14ac:dyDescent="0.25">
      <c r="A589">
        <v>9206</v>
      </c>
      <c r="B589" t="s">
        <v>1372</v>
      </c>
      <c r="C589">
        <v>0.124</v>
      </c>
      <c r="D589" t="s">
        <v>1264</v>
      </c>
      <c r="E589">
        <v>100072</v>
      </c>
      <c r="F589">
        <v>9206</v>
      </c>
      <c r="G589" t="str">
        <f t="shared" si="61"/>
        <v>09206</v>
      </c>
      <c r="H589" t="s">
        <v>348</v>
      </c>
      <c r="I589" t="s">
        <v>1265</v>
      </c>
      <c r="J589" t="s">
        <v>1266</v>
      </c>
      <c r="K589" t="s">
        <v>1267</v>
      </c>
      <c r="L589" t="s">
        <v>1372</v>
      </c>
      <c r="M589" t="s">
        <v>1436</v>
      </c>
      <c r="N589">
        <v>21</v>
      </c>
      <c r="O589" t="str">
        <f t="shared" si="64"/>
        <v>47</v>
      </c>
      <c r="P589">
        <v>47</v>
      </c>
      <c r="R589" t="s">
        <v>1269</v>
      </c>
      <c r="S589">
        <v>0.124</v>
      </c>
      <c r="T589">
        <v>0.2072</v>
      </c>
      <c r="U589">
        <f t="shared" si="65"/>
        <v>2.5999999999999999E-2</v>
      </c>
      <c r="V589" t="str">
        <f t="shared" si="62"/>
        <v>Middle Nurse</v>
      </c>
      <c r="W589" t="str">
        <f t="shared" si="63"/>
        <v>Nurse</v>
      </c>
    </row>
    <row r="590" spans="1:23" x14ac:dyDescent="0.25">
      <c r="A590">
        <v>9206</v>
      </c>
      <c r="B590" t="s">
        <v>1338</v>
      </c>
      <c r="C590">
        <v>0.81100000000000005</v>
      </c>
      <c r="D590" t="s">
        <v>1264</v>
      </c>
      <c r="E590">
        <v>100072</v>
      </c>
      <c r="F590">
        <v>9206</v>
      </c>
      <c r="G590" t="str">
        <f t="shared" si="61"/>
        <v>09206</v>
      </c>
      <c r="H590" t="s">
        <v>348</v>
      </c>
      <c r="I590" t="s">
        <v>1265</v>
      </c>
      <c r="J590" t="s">
        <v>1266</v>
      </c>
      <c r="K590" t="s">
        <v>1267</v>
      </c>
      <c r="L590" t="s">
        <v>1338</v>
      </c>
      <c r="M590" t="s">
        <v>1339</v>
      </c>
      <c r="N590">
        <v>1</v>
      </c>
      <c r="O590" t="str">
        <f t="shared" si="64"/>
        <v>47</v>
      </c>
      <c r="P590">
        <v>47</v>
      </c>
      <c r="R590" t="s">
        <v>1269</v>
      </c>
      <c r="S590">
        <v>0.81100000000000005</v>
      </c>
      <c r="T590">
        <v>0.2072</v>
      </c>
      <c r="U590">
        <f t="shared" si="65"/>
        <v>0</v>
      </c>
      <c r="V590" t="str">
        <f t="shared" si="62"/>
        <v>Middle Nurse</v>
      </c>
      <c r="W590" t="str">
        <f t="shared" si="63"/>
        <v>Nurse</v>
      </c>
    </row>
    <row r="591" spans="1:23" x14ac:dyDescent="0.25">
      <c r="A591">
        <v>9206</v>
      </c>
      <c r="B591" t="s">
        <v>1302</v>
      </c>
      <c r="C591">
        <v>1.23</v>
      </c>
      <c r="D591" t="s">
        <v>1264</v>
      </c>
      <c r="E591">
        <v>100072</v>
      </c>
      <c r="F591">
        <v>9206</v>
      </c>
      <c r="G591" t="str">
        <f t="shared" si="61"/>
        <v>09206</v>
      </c>
      <c r="H591" t="s">
        <v>348</v>
      </c>
      <c r="I591" t="s">
        <v>1265</v>
      </c>
      <c r="J591" t="s">
        <v>1276</v>
      </c>
      <c r="K591" t="s">
        <v>1277</v>
      </c>
      <c r="L591" t="s">
        <v>1302</v>
      </c>
      <c r="M591" t="s">
        <v>1336</v>
      </c>
      <c r="N591">
        <v>21</v>
      </c>
      <c r="O591" t="str">
        <f t="shared" si="64"/>
        <v>48</v>
      </c>
      <c r="P591">
        <v>48</v>
      </c>
      <c r="R591" t="s">
        <v>1269</v>
      </c>
      <c r="S591">
        <v>1.23</v>
      </c>
      <c r="T591">
        <v>0.2072</v>
      </c>
      <c r="U591">
        <f t="shared" si="65"/>
        <v>0.255</v>
      </c>
      <c r="V591" t="str">
        <f t="shared" si="62"/>
        <v>Elementary Physical Therapist</v>
      </c>
      <c r="W591" t="str">
        <f t="shared" si="63"/>
        <v>Physical Therapist</v>
      </c>
    </row>
    <row r="592" spans="1:23" x14ac:dyDescent="0.25">
      <c r="A592">
        <v>9206</v>
      </c>
      <c r="B592" t="s">
        <v>1330</v>
      </c>
      <c r="C592">
        <v>0.61599999999999999</v>
      </c>
      <c r="D592" t="s">
        <v>1264</v>
      </c>
      <c r="E592">
        <v>100072</v>
      </c>
      <c r="F592">
        <v>9206</v>
      </c>
      <c r="G592" t="str">
        <f t="shared" si="61"/>
        <v>09206</v>
      </c>
      <c r="H592" t="s">
        <v>348</v>
      </c>
      <c r="I592" t="s">
        <v>1265</v>
      </c>
      <c r="J592" t="s">
        <v>1271</v>
      </c>
      <c r="K592" t="s">
        <v>1272</v>
      </c>
      <c r="L592" t="s">
        <v>1330</v>
      </c>
      <c r="M592" t="s">
        <v>1367</v>
      </c>
      <c r="N592">
        <v>21</v>
      </c>
      <c r="O592" t="str">
        <f t="shared" si="64"/>
        <v>48</v>
      </c>
      <c r="P592">
        <v>48</v>
      </c>
      <c r="R592" t="s">
        <v>1269</v>
      </c>
      <c r="S592">
        <v>0.61599999999999999</v>
      </c>
      <c r="T592">
        <v>0.2072</v>
      </c>
      <c r="U592">
        <f t="shared" si="65"/>
        <v>0.128</v>
      </c>
      <c r="V592" t="str">
        <f t="shared" si="62"/>
        <v>High Physical Therapist</v>
      </c>
      <c r="W592" t="str">
        <f t="shared" si="63"/>
        <v>Physical Therapist</v>
      </c>
    </row>
    <row r="593" spans="1:23" x14ac:dyDescent="0.25">
      <c r="A593">
        <v>9206</v>
      </c>
      <c r="B593" t="s">
        <v>1316</v>
      </c>
      <c r="C593">
        <v>0.154</v>
      </c>
      <c r="D593" t="s">
        <v>1264</v>
      </c>
      <c r="E593">
        <v>100072</v>
      </c>
      <c r="F593">
        <v>9206</v>
      </c>
      <c r="G593" t="str">
        <f t="shared" si="61"/>
        <v>09206</v>
      </c>
      <c r="H593" t="s">
        <v>348</v>
      </c>
      <c r="I593" t="s">
        <v>1265</v>
      </c>
      <c r="J593" t="s">
        <v>1266</v>
      </c>
      <c r="K593" t="s">
        <v>1267</v>
      </c>
      <c r="L593" t="s">
        <v>1316</v>
      </c>
      <c r="M593" t="s">
        <v>1366</v>
      </c>
      <c r="N593">
        <v>21</v>
      </c>
      <c r="O593" t="str">
        <f t="shared" si="64"/>
        <v>48</v>
      </c>
      <c r="P593">
        <v>48</v>
      </c>
      <c r="R593" t="s">
        <v>1269</v>
      </c>
      <c r="S593">
        <v>0.154</v>
      </c>
      <c r="T593">
        <v>0.2072</v>
      </c>
      <c r="U593">
        <f t="shared" si="65"/>
        <v>3.2000000000000001E-2</v>
      </c>
      <c r="V593" t="str">
        <f t="shared" si="62"/>
        <v>Middle Physical Therapist</v>
      </c>
      <c r="W593" t="str">
        <f t="shared" si="63"/>
        <v>Physical Therapist</v>
      </c>
    </row>
    <row r="594" spans="1:23" x14ac:dyDescent="0.25">
      <c r="A594">
        <v>9206</v>
      </c>
      <c r="B594" t="s">
        <v>1340</v>
      </c>
      <c r="C594">
        <v>0.70799999999999996</v>
      </c>
      <c r="D594" t="s">
        <v>1264</v>
      </c>
      <c r="E594">
        <v>100072</v>
      </c>
      <c r="F594">
        <v>9206</v>
      </c>
      <c r="G594" t="str">
        <f t="shared" si="61"/>
        <v>09206</v>
      </c>
      <c r="H594" t="s">
        <v>348</v>
      </c>
      <c r="I594" t="s">
        <v>1265</v>
      </c>
      <c r="J594" t="s">
        <v>1276</v>
      </c>
      <c r="K594" t="s">
        <v>1277</v>
      </c>
      <c r="L594" t="s">
        <v>1340</v>
      </c>
      <c r="M594" t="s">
        <v>1395</v>
      </c>
      <c r="N594">
        <v>21</v>
      </c>
      <c r="O594" t="str">
        <f t="shared" si="64"/>
        <v>49</v>
      </c>
      <c r="P594">
        <v>49</v>
      </c>
      <c r="R594" t="s">
        <v>1269</v>
      </c>
      <c r="S594">
        <v>0.70799999999999996</v>
      </c>
      <c r="T594">
        <v>0.2072</v>
      </c>
      <c r="U594">
        <f t="shared" si="65"/>
        <v>0.14699999999999999</v>
      </c>
      <c r="V594" t="str">
        <f t="shared" si="62"/>
        <v>Elementary Behavior Analyst</v>
      </c>
      <c r="W594" t="str">
        <f t="shared" si="63"/>
        <v>Behavior Analyst</v>
      </c>
    </row>
    <row r="595" spans="1:23" x14ac:dyDescent="0.25">
      <c r="A595">
        <v>9206</v>
      </c>
      <c r="B595" t="s">
        <v>1392</v>
      </c>
      <c r="C595">
        <v>0.154</v>
      </c>
      <c r="D595" t="s">
        <v>1264</v>
      </c>
      <c r="E595">
        <v>100072</v>
      </c>
      <c r="F595">
        <v>9206</v>
      </c>
      <c r="G595" t="str">
        <f t="shared" si="61"/>
        <v>09206</v>
      </c>
      <c r="H595" t="s">
        <v>348</v>
      </c>
      <c r="I595" t="s">
        <v>1265</v>
      </c>
      <c r="J595" t="s">
        <v>1271</v>
      </c>
      <c r="K595" t="s">
        <v>1272</v>
      </c>
      <c r="L595" t="s">
        <v>1392</v>
      </c>
      <c r="M595" t="s">
        <v>1393</v>
      </c>
      <c r="N595">
        <v>21</v>
      </c>
      <c r="O595" t="str">
        <f t="shared" si="64"/>
        <v>49</v>
      </c>
      <c r="P595">
        <v>49</v>
      </c>
      <c r="R595" t="s">
        <v>1269</v>
      </c>
      <c r="S595">
        <v>0.154</v>
      </c>
      <c r="T595">
        <v>0.2072</v>
      </c>
      <c r="U595">
        <f t="shared" si="65"/>
        <v>3.2000000000000001E-2</v>
      </c>
      <c r="V595" t="str">
        <f t="shared" si="62"/>
        <v>High Behavior Analyst</v>
      </c>
      <c r="W595" t="str">
        <f t="shared" si="63"/>
        <v>Behavior Analyst</v>
      </c>
    </row>
    <row r="596" spans="1:23" x14ac:dyDescent="0.25">
      <c r="A596">
        <v>9206</v>
      </c>
      <c r="B596" t="s">
        <v>1399</v>
      </c>
      <c r="C596">
        <v>0.75</v>
      </c>
      <c r="D596" t="s">
        <v>1264</v>
      </c>
      <c r="E596">
        <v>100072</v>
      </c>
      <c r="F596">
        <v>9206</v>
      </c>
      <c r="G596" t="str">
        <f t="shared" si="61"/>
        <v>09206</v>
      </c>
      <c r="H596" t="s">
        <v>348</v>
      </c>
      <c r="I596" t="s">
        <v>1265</v>
      </c>
      <c r="J596" t="s">
        <v>1271</v>
      </c>
      <c r="K596" t="s">
        <v>1272</v>
      </c>
      <c r="L596" t="s">
        <v>1399</v>
      </c>
      <c r="M596" t="s">
        <v>1410</v>
      </c>
      <c r="N596">
        <v>1</v>
      </c>
      <c r="O596" t="str">
        <f t="shared" si="64"/>
        <v>49</v>
      </c>
      <c r="P596">
        <v>49</v>
      </c>
      <c r="R596" t="s">
        <v>1269</v>
      </c>
      <c r="S596">
        <v>0.75</v>
      </c>
      <c r="T596">
        <v>0.2072</v>
      </c>
      <c r="U596">
        <f t="shared" si="65"/>
        <v>0</v>
      </c>
      <c r="V596" t="str">
        <f t="shared" si="62"/>
        <v>High Behavior Analyst</v>
      </c>
      <c r="W596" t="str">
        <f t="shared" si="63"/>
        <v>Behavior Analyst</v>
      </c>
    </row>
    <row r="597" spans="1:23" x14ac:dyDescent="0.25">
      <c r="A597">
        <v>9206</v>
      </c>
      <c r="B597" t="s">
        <v>1374</v>
      </c>
      <c r="C597">
        <v>0.14000000000000001</v>
      </c>
      <c r="D597" t="s">
        <v>1264</v>
      </c>
      <c r="E597">
        <v>100072</v>
      </c>
      <c r="F597">
        <v>9206</v>
      </c>
      <c r="G597" t="str">
        <f t="shared" si="61"/>
        <v>09206</v>
      </c>
      <c r="H597" t="s">
        <v>348</v>
      </c>
      <c r="I597" t="s">
        <v>1265</v>
      </c>
      <c r="J597" t="s">
        <v>1266</v>
      </c>
      <c r="K597" t="s">
        <v>1267</v>
      </c>
      <c r="L597" t="s">
        <v>1374</v>
      </c>
      <c r="M597" t="s">
        <v>1391</v>
      </c>
      <c r="N597">
        <v>21</v>
      </c>
      <c r="O597" t="str">
        <f t="shared" si="64"/>
        <v>49</v>
      </c>
      <c r="P597">
        <v>49</v>
      </c>
      <c r="R597" t="s">
        <v>1269</v>
      </c>
      <c r="S597">
        <v>0.14000000000000001</v>
      </c>
      <c r="T597">
        <v>0.2072</v>
      </c>
      <c r="U597">
        <f t="shared" si="65"/>
        <v>2.9000000000000001E-2</v>
      </c>
      <c r="V597" t="str">
        <f t="shared" si="62"/>
        <v>Middle Behavior Analyst</v>
      </c>
      <c r="W597" t="str">
        <f t="shared" si="63"/>
        <v>Behavior Analyst</v>
      </c>
    </row>
    <row r="598" spans="1:23" x14ac:dyDescent="0.25">
      <c r="A598">
        <v>9207</v>
      </c>
      <c r="B598" t="s">
        <v>1308</v>
      </c>
      <c r="C598">
        <v>0.13300000000000001</v>
      </c>
      <c r="D598" t="s">
        <v>1264</v>
      </c>
      <c r="E598">
        <v>100138</v>
      </c>
      <c r="F598">
        <v>9207</v>
      </c>
      <c r="G598" t="str">
        <f t="shared" si="61"/>
        <v>09207</v>
      </c>
      <c r="H598" t="s">
        <v>349</v>
      </c>
      <c r="I598" t="s">
        <v>1265</v>
      </c>
      <c r="J598" t="s">
        <v>1276</v>
      </c>
      <c r="K598" t="s">
        <v>1277</v>
      </c>
      <c r="L598" t="s">
        <v>1308</v>
      </c>
      <c r="M598" t="s">
        <v>1389</v>
      </c>
      <c r="N598">
        <v>1</v>
      </c>
      <c r="O598" t="str">
        <f t="shared" si="64"/>
        <v>25</v>
      </c>
      <c r="Q598">
        <v>25</v>
      </c>
      <c r="R598" t="s">
        <v>1269</v>
      </c>
      <c r="S598">
        <v>0.13300000000000001</v>
      </c>
      <c r="T598">
        <v>0.1913</v>
      </c>
      <c r="U598">
        <f t="shared" si="65"/>
        <v>0</v>
      </c>
      <c r="V598" t="str">
        <f t="shared" si="62"/>
        <v>Elementary Pupil Management</v>
      </c>
      <c r="W598" t="str">
        <f t="shared" si="63"/>
        <v>Pupil Management</v>
      </c>
    </row>
    <row r="599" spans="1:23" x14ac:dyDescent="0.25">
      <c r="A599">
        <v>9207</v>
      </c>
      <c r="B599" t="s">
        <v>1295</v>
      </c>
      <c r="C599">
        <v>0.503</v>
      </c>
      <c r="D599" t="s">
        <v>1264</v>
      </c>
      <c r="E599">
        <v>100138</v>
      </c>
      <c r="F599">
        <v>9207</v>
      </c>
      <c r="G599" t="str">
        <f t="shared" si="61"/>
        <v>09207</v>
      </c>
      <c r="H599" t="s">
        <v>349</v>
      </c>
      <c r="I599" t="s">
        <v>1265</v>
      </c>
      <c r="J599" t="s">
        <v>1271</v>
      </c>
      <c r="K599" t="s">
        <v>1272</v>
      </c>
      <c r="L599" t="s">
        <v>1295</v>
      </c>
      <c r="M599" t="s">
        <v>1296</v>
      </c>
      <c r="N599">
        <v>1</v>
      </c>
      <c r="O599" t="str">
        <f t="shared" si="64"/>
        <v>26</v>
      </c>
      <c r="Q599">
        <v>26</v>
      </c>
      <c r="R599" t="s">
        <v>1269</v>
      </c>
      <c r="S599">
        <v>0.503</v>
      </c>
      <c r="T599">
        <v>0.1913</v>
      </c>
      <c r="U599">
        <f t="shared" si="65"/>
        <v>0</v>
      </c>
      <c r="V599" t="str">
        <f t="shared" si="62"/>
        <v>High Health/
Related Services</v>
      </c>
      <c r="W599" t="str">
        <f t="shared" si="63"/>
        <v>Health/
Related Services</v>
      </c>
    </row>
    <row r="600" spans="1:23" x14ac:dyDescent="0.25">
      <c r="A600">
        <v>9209</v>
      </c>
      <c r="B600" t="s">
        <v>1295</v>
      </c>
      <c r="C600">
        <v>0.64600000000000002</v>
      </c>
      <c r="D600" t="s">
        <v>1264</v>
      </c>
      <c r="E600">
        <v>100288</v>
      </c>
      <c r="F600">
        <v>9209</v>
      </c>
      <c r="G600" t="str">
        <f t="shared" si="61"/>
        <v>09209</v>
      </c>
      <c r="H600" t="s">
        <v>350</v>
      </c>
      <c r="I600" t="s">
        <v>1265</v>
      </c>
      <c r="J600" t="s">
        <v>1271</v>
      </c>
      <c r="K600" t="s">
        <v>1272</v>
      </c>
      <c r="L600" t="s">
        <v>1295</v>
      </c>
      <c r="M600" t="s">
        <v>1296</v>
      </c>
      <c r="N600">
        <v>1</v>
      </c>
      <c r="O600" t="str">
        <f t="shared" si="64"/>
        <v>26</v>
      </c>
      <c r="Q600">
        <v>26</v>
      </c>
      <c r="R600" t="s">
        <v>1269</v>
      </c>
      <c r="S600">
        <v>0.64600000000000002</v>
      </c>
      <c r="T600">
        <v>0.1913</v>
      </c>
      <c r="U600">
        <f t="shared" si="65"/>
        <v>0</v>
      </c>
      <c r="V600" t="str">
        <f t="shared" si="62"/>
        <v>High Health/
Related Services</v>
      </c>
      <c r="W600" t="str">
        <f t="shared" si="63"/>
        <v>Health/
Related Services</v>
      </c>
    </row>
    <row r="601" spans="1:23" x14ac:dyDescent="0.25">
      <c r="A601">
        <v>9209</v>
      </c>
      <c r="B601" t="s">
        <v>1263</v>
      </c>
      <c r="C601">
        <v>0.49</v>
      </c>
      <c r="D601" t="s">
        <v>1264</v>
      </c>
      <c r="E601">
        <v>100288</v>
      </c>
      <c r="F601">
        <v>9209</v>
      </c>
      <c r="G601" t="str">
        <f t="shared" si="61"/>
        <v>09209</v>
      </c>
      <c r="H601" t="s">
        <v>350</v>
      </c>
      <c r="I601" t="s">
        <v>1265</v>
      </c>
      <c r="J601" t="s">
        <v>1266</v>
      </c>
      <c r="K601" t="s">
        <v>1267</v>
      </c>
      <c r="L601" t="s">
        <v>1263</v>
      </c>
      <c r="M601" t="s">
        <v>1268</v>
      </c>
      <c r="N601">
        <v>1</v>
      </c>
      <c r="O601" t="str">
        <f t="shared" si="64"/>
        <v>42</v>
      </c>
      <c r="P601">
        <v>42</v>
      </c>
      <c r="R601" t="s">
        <v>1269</v>
      </c>
      <c r="S601">
        <v>0.49</v>
      </c>
      <c r="T601">
        <v>0.1913</v>
      </c>
      <c r="U601">
        <f t="shared" si="65"/>
        <v>0</v>
      </c>
      <c r="V601" t="str">
        <f t="shared" si="62"/>
        <v>Middle Counselor</v>
      </c>
      <c r="W601" t="str">
        <f t="shared" si="63"/>
        <v>Counselor</v>
      </c>
    </row>
    <row r="602" spans="1:23" x14ac:dyDescent="0.25">
      <c r="A602">
        <v>10003</v>
      </c>
      <c r="B602" t="s">
        <v>1295</v>
      </c>
      <c r="C602">
        <v>0.22900000000000001</v>
      </c>
      <c r="D602" t="s">
        <v>1264</v>
      </c>
      <c r="E602">
        <v>100114</v>
      </c>
      <c r="F602">
        <v>10003</v>
      </c>
      <c r="G602" t="str">
        <f t="shared" si="61"/>
        <v>10003</v>
      </c>
      <c r="H602" t="s">
        <v>351</v>
      </c>
      <c r="I602" t="s">
        <v>1265</v>
      </c>
      <c r="J602" t="s">
        <v>1271</v>
      </c>
      <c r="K602" t="s">
        <v>1272</v>
      </c>
      <c r="L602" t="s">
        <v>1295</v>
      </c>
      <c r="M602" t="s">
        <v>1296</v>
      </c>
      <c r="N602">
        <v>1</v>
      </c>
      <c r="O602" t="str">
        <f t="shared" si="64"/>
        <v>26</v>
      </c>
      <c r="Q602">
        <v>26</v>
      </c>
      <c r="R602" t="s">
        <v>1269</v>
      </c>
      <c r="S602">
        <v>0.22900000000000001</v>
      </c>
      <c r="T602">
        <v>0.08</v>
      </c>
      <c r="U602">
        <f t="shared" si="65"/>
        <v>0</v>
      </c>
      <c r="V602" t="str">
        <f t="shared" si="62"/>
        <v>High Health/
Related Services</v>
      </c>
      <c r="W602" t="str">
        <f t="shared" si="63"/>
        <v>Health/
Related Services</v>
      </c>
    </row>
    <row r="603" spans="1:23" x14ac:dyDescent="0.25">
      <c r="A603">
        <v>10050</v>
      </c>
      <c r="B603" t="s">
        <v>1263</v>
      </c>
      <c r="C603">
        <v>0.5</v>
      </c>
      <c r="D603" t="s">
        <v>1264</v>
      </c>
      <c r="E603">
        <v>100061</v>
      </c>
      <c r="F603">
        <v>10050</v>
      </c>
      <c r="G603" t="str">
        <f t="shared" si="61"/>
        <v>10050</v>
      </c>
      <c r="H603" t="s">
        <v>352</v>
      </c>
      <c r="I603" t="s">
        <v>1265</v>
      </c>
      <c r="J603" t="s">
        <v>1266</v>
      </c>
      <c r="K603" t="s">
        <v>1267</v>
      </c>
      <c r="L603" t="s">
        <v>1263</v>
      </c>
      <c r="M603" t="s">
        <v>1268</v>
      </c>
      <c r="N603">
        <v>1</v>
      </c>
      <c r="O603" t="str">
        <f t="shared" si="64"/>
        <v>42</v>
      </c>
      <c r="P603">
        <v>42</v>
      </c>
      <c r="R603" t="s">
        <v>1269</v>
      </c>
      <c r="S603">
        <v>0.5</v>
      </c>
      <c r="T603">
        <v>0.15060000000000001</v>
      </c>
      <c r="U603">
        <f t="shared" si="65"/>
        <v>0</v>
      </c>
      <c r="V603" t="str">
        <f t="shared" si="62"/>
        <v>Middle Counselor</v>
      </c>
      <c r="W603" t="str">
        <f t="shared" si="63"/>
        <v>Counselor</v>
      </c>
    </row>
    <row r="604" spans="1:23" x14ac:dyDescent="0.25">
      <c r="A604">
        <v>10065</v>
      </c>
      <c r="B604" t="s">
        <v>1315</v>
      </c>
      <c r="C604">
        <v>0.11899999999999999</v>
      </c>
      <c r="D604" t="s">
        <v>1264</v>
      </c>
      <c r="E604">
        <v>100188</v>
      </c>
      <c r="F604">
        <v>10065</v>
      </c>
      <c r="G604" t="str">
        <f t="shared" si="61"/>
        <v>10065</v>
      </c>
      <c r="H604" t="s">
        <v>353</v>
      </c>
      <c r="I604" t="s">
        <v>1265</v>
      </c>
      <c r="J604" t="s">
        <v>1276</v>
      </c>
      <c r="K604" t="s">
        <v>1277</v>
      </c>
      <c r="L604" t="s">
        <v>1315</v>
      </c>
      <c r="M604" t="s">
        <v>1375</v>
      </c>
      <c r="N604">
        <v>1</v>
      </c>
      <c r="O604" t="str">
        <f t="shared" si="64"/>
        <v>26</v>
      </c>
      <c r="Q604">
        <v>26</v>
      </c>
      <c r="R604" t="s">
        <v>1269</v>
      </c>
      <c r="S604">
        <v>0.11899999999999999</v>
      </c>
      <c r="T604">
        <v>0.1133</v>
      </c>
      <c r="U604">
        <f t="shared" si="65"/>
        <v>0</v>
      </c>
      <c r="V604" t="str">
        <f t="shared" si="62"/>
        <v>Elementary Health/
Related Services</v>
      </c>
      <c r="W604" t="str">
        <f t="shared" si="63"/>
        <v>Health/
Related Services</v>
      </c>
    </row>
    <row r="605" spans="1:23" x14ac:dyDescent="0.25">
      <c r="A605">
        <v>10070</v>
      </c>
      <c r="B605" t="s">
        <v>1295</v>
      </c>
      <c r="C605">
        <v>3.7999999999999999E-2</v>
      </c>
      <c r="D605" t="s">
        <v>1264</v>
      </c>
      <c r="E605">
        <v>100109</v>
      </c>
      <c r="F605">
        <v>10070</v>
      </c>
      <c r="G605" t="str">
        <f t="shared" si="61"/>
        <v>10070</v>
      </c>
      <c r="H605" t="s">
        <v>354</v>
      </c>
      <c r="I605" t="s">
        <v>1265</v>
      </c>
      <c r="J605" t="s">
        <v>1271</v>
      </c>
      <c r="K605" t="s">
        <v>1272</v>
      </c>
      <c r="L605" t="s">
        <v>1295</v>
      </c>
      <c r="M605" t="s">
        <v>1296</v>
      </c>
      <c r="N605">
        <v>1</v>
      </c>
      <c r="O605" t="str">
        <f t="shared" si="64"/>
        <v>26</v>
      </c>
      <c r="Q605">
        <v>26</v>
      </c>
      <c r="R605" t="s">
        <v>1269</v>
      </c>
      <c r="S605">
        <v>3.7999999999999999E-2</v>
      </c>
      <c r="T605">
        <v>0.219</v>
      </c>
      <c r="U605">
        <f t="shared" si="65"/>
        <v>0</v>
      </c>
      <c r="V605" t="str">
        <f t="shared" si="62"/>
        <v>High Health/
Related Services</v>
      </c>
      <c r="W605" t="str">
        <f t="shared" si="63"/>
        <v>Health/
Related Services</v>
      </c>
    </row>
    <row r="606" spans="1:23" x14ac:dyDescent="0.25">
      <c r="A606">
        <v>10070</v>
      </c>
      <c r="B606" t="s">
        <v>1275</v>
      </c>
      <c r="C606">
        <v>0.3</v>
      </c>
      <c r="D606" t="s">
        <v>1264</v>
      </c>
      <c r="E606">
        <v>100109</v>
      </c>
      <c r="F606">
        <v>10070</v>
      </c>
      <c r="G606" t="str">
        <f t="shared" si="61"/>
        <v>10070</v>
      </c>
      <c r="H606" t="s">
        <v>354</v>
      </c>
      <c r="I606" t="s">
        <v>1265</v>
      </c>
      <c r="J606" t="s">
        <v>1276</v>
      </c>
      <c r="K606" t="s">
        <v>1277</v>
      </c>
      <c r="L606" t="s">
        <v>1275</v>
      </c>
      <c r="M606" t="s">
        <v>1278</v>
      </c>
      <c r="N606">
        <v>1</v>
      </c>
      <c r="O606" t="str">
        <f t="shared" si="64"/>
        <v>42</v>
      </c>
      <c r="P606">
        <v>42</v>
      </c>
      <c r="R606" t="s">
        <v>1269</v>
      </c>
      <c r="S606">
        <v>0.3</v>
      </c>
      <c r="T606">
        <v>0.219</v>
      </c>
      <c r="U606">
        <f t="shared" si="65"/>
        <v>0</v>
      </c>
      <c r="V606" t="str">
        <f t="shared" si="62"/>
        <v>Elementary Counselor</v>
      </c>
      <c r="W606" t="str">
        <f t="shared" si="63"/>
        <v>Counselor</v>
      </c>
    </row>
    <row r="607" spans="1:23" x14ac:dyDescent="0.25">
      <c r="A607">
        <v>10070</v>
      </c>
      <c r="B607" t="s">
        <v>1270</v>
      </c>
      <c r="C607">
        <v>1.1499999999999999</v>
      </c>
      <c r="D607" t="s">
        <v>1264</v>
      </c>
      <c r="E607">
        <v>100109</v>
      </c>
      <c r="F607">
        <v>10070</v>
      </c>
      <c r="G607" t="str">
        <f t="shared" si="61"/>
        <v>10070</v>
      </c>
      <c r="H607" t="s">
        <v>354</v>
      </c>
      <c r="I607" t="s">
        <v>1265</v>
      </c>
      <c r="J607" t="s">
        <v>1271</v>
      </c>
      <c r="K607" t="s">
        <v>1272</v>
      </c>
      <c r="L607" t="s">
        <v>1270</v>
      </c>
      <c r="M607" t="s">
        <v>1273</v>
      </c>
      <c r="N607">
        <v>1</v>
      </c>
      <c r="O607" t="str">
        <f t="shared" si="64"/>
        <v>42</v>
      </c>
      <c r="P607">
        <v>42</v>
      </c>
      <c r="R607" t="s">
        <v>1269</v>
      </c>
      <c r="S607">
        <v>1.1499999999999999</v>
      </c>
      <c r="T607">
        <v>0.219</v>
      </c>
      <c r="U607">
        <f t="shared" si="65"/>
        <v>0</v>
      </c>
      <c r="V607" t="str">
        <f t="shared" si="62"/>
        <v>High Counselor</v>
      </c>
      <c r="W607" t="str">
        <f t="shared" si="63"/>
        <v>Counselor</v>
      </c>
    </row>
    <row r="608" spans="1:23" x14ac:dyDescent="0.25">
      <c r="A608">
        <v>10070</v>
      </c>
      <c r="B608" t="s">
        <v>1263</v>
      </c>
      <c r="C608">
        <v>0.3</v>
      </c>
      <c r="D608" t="s">
        <v>1264</v>
      </c>
      <c r="E608">
        <v>100109</v>
      </c>
      <c r="F608">
        <v>10070</v>
      </c>
      <c r="G608" t="str">
        <f t="shared" si="61"/>
        <v>10070</v>
      </c>
      <c r="H608" t="s">
        <v>354</v>
      </c>
      <c r="I608" t="s">
        <v>1265</v>
      </c>
      <c r="J608" t="s">
        <v>1266</v>
      </c>
      <c r="K608" t="s">
        <v>1267</v>
      </c>
      <c r="L608" t="s">
        <v>1263</v>
      </c>
      <c r="M608" t="s">
        <v>1268</v>
      </c>
      <c r="N608">
        <v>1</v>
      </c>
      <c r="O608" t="str">
        <f t="shared" si="64"/>
        <v>42</v>
      </c>
      <c r="P608">
        <v>42</v>
      </c>
      <c r="R608" t="s">
        <v>1269</v>
      </c>
      <c r="S608">
        <v>0.3</v>
      </c>
      <c r="T608">
        <v>0.219</v>
      </c>
      <c r="U608">
        <f t="shared" si="65"/>
        <v>0</v>
      </c>
      <c r="V608" t="str">
        <f t="shared" si="62"/>
        <v>Middle Counselor</v>
      </c>
      <c r="W608" t="str">
        <f t="shared" si="63"/>
        <v>Counselor</v>
      </c>
    </row>
    <row r="609" spans="1:23" x14ac:dyDescent="0.25">
      <c r="A609">
        <v>10309</v>
      </c>
      <c r="B609" t="s">
        <v>1286</v>
      </c>
      <c r="C609">
        <v>0.63300000000000001</v>
      </c>
      <c r="D609" t="s">
        <v>1264</v>
      </c>
      <c r="E609">
        <v>100217</v>
      </c>
      <c r="F609">
        <v>10309</v>
      </c>
      <c r="G609" t="str">
        <f t="shared" si="61"/>
        <v>10309</v>
      </c>
      <c r="H609" t="s">
        <v>355</v>
      </c>
      <c r="I609" t="s">
        <v>1265</v>
      </c>
      <c r="J609" t="s">
        <v>1271</v>
      </c>
      <c r="K609" t="s">
        <v>1272</v>
      </c>
      <c r="L609" t="s">
        <v>1286</v>
      </c>
      <c r="M609" t="s">
        <v>1287</v>
      </c>
      <c r="N609">
        <v>1</v>
      </c>
      <c r="O609" t="str">
        <f t="shared" si="64"/>
        <v>24</v>
      </c>
      <c r="P609">
        <v>96</v>
      </c>
      <c r="Q609">
        <v>24</v>
      </c>
      <c r="R609" t="s">
        <v>1269</v>
      </c>
      <c r="S609">
        <v>0.63300000000000001</v>
      </c>
      <c r="T609">
        <v>0.16239999999999999</v>
      </c>
      <c r="U609">
        <f t="shared" si="65"/>
        <v>0</v>
      </c>
      <c r="V609" t="str">
        <f t="shared" si="62"/>
        <v>High Family Engagement Coordinator</v>
      </c>
      <c r="W609" t="str">
        <f t="shared" si="63"/>
        <v>Family Engagement Coordinator</v>
      </c>
    </row>
    <row r="610" spans="1:23" x14ac:dyDescent="0.25">
      <c r="A610">
        <v>10309</v>
      </c>
      <c r="B610" t="s">
        <v>1295</v>
      </c>
      <c r="C610">
        <v>0.46200000000000002</v>
      </c>
      <c r="D610" t="s">
        <v>1264</v>
      </c>
      <c r="E610">
        <v>100217</v>
      </c>
      <c r="F610">
        <v>10309</v>
      </c>
      <c r="G610" t="str">
        <f t="shared" si="61"/>
        <v>10309</v>
      </c>
      <c r="H610" t="s">
        <v>355</v>
      </c>
      <c r="I610" t="s">
        <v>1265</v>
      </c>
      <c r="J610" t="s">
        <v>1271</v>
      </c>
      <c r="K610" t="s">
        <v>1272</v>
      </c>
      <c r="L610" t="s">
        <v>1295</v>
      </c>
      <c r="M610" t="s">
        <v>1296</v>
      </c>
      <c r="N610">
        <v>1</v>
      </c>
      <c r="O610" t="str">
        <f t="shared" si="64"/>
        <v>26</v>
      </c>
      <c r="Q610">
        <v>26</v>
      </c>
      <c r="R610" t="s">
        <v>1269</v>
      </c>
      <c r="S610">
        <v>0.46200000000000002</v>
      </c>
      <c r="T610">
        <v>0.16239999999999999</v>
      </c>
      <c r="U610">
        <f t="shared" si="65"/>
        <v>0</v>
      </c>
      <c r="V610" t="str">
        <f t="shared" si="62"/>
        <v>High Health/
Related Services</v>
      </c>
      <c r="W610" t="str">
        <f t="shared" si="63"/>
        <v>Health/
Related Services</v>
      </c>
    </row>
    <row r="611" spans="1:23" x14ac:dyDescent="0.25">
      <c r="A611">
        <v>11001</v>
      </c>
      <c r="B611" t="s">
        <v>1286</v>
      </c>
      <c r="C611">
        <v>2.4820000000000002</v>
      </c>
      <c r="D611" t="s">
        <v>1264</v>
      </c>
      <c r="E611">
        <v>100195</v>
      </c>
      <c r="F611">
        <v>11001</v>
      </c>
      <c r="G611" t="str">
        <f t="shared" si="61"/>
        <v>11001</v>
      </c>
      <c r="H611" t="s">
        <v>356</v>
      </c>
      <c r="I611" t="s">
        <v>1265</v>
      </c>
      <c r="J611" t="s">
        <v>1271</v>
      </c>
      <c r="K611" t="s">
        <v>1272</v>
      </c>
      <c r="L611" t="s">
        <v>1286</v>
      </c>
      <c r="M611" t="s">
        <v>1287</v>
      </c>
      <c r="N611">
        <v>1</v>
      </c>
      <c r="O611" t="str">
        <f t="shared" si="64"/>
        <v>24</v>
      </c>
      <c r="P611">
        <v>96</v>
      </c>
      <c r="Q611">
        <v>24</v>
      </c>
      <c r="R611" t="s">
        <v>1269</v>
      </c>
      <c r="S611">
        <v>2.4820000000000002</v>
      </c>
      <c r="T611">
        <v>0.27529999999999999</v>
      </c>
      <c r="U611">
        <f t="shared" si="65"/>
        <v>0</v>
      </c>
      <c r="V611" t="str">
        <f t="shared" si="62"/>
        <v>High Family Engagement Coordinator</v>
      </c>
      <c r="W611" t="str">
        <f t="shared" si="63"/>
        <v>Family Engagement Coordinator</v>
      </c>
    </row>
    <row r="612" spans="1:23" x14ac:dyDescent="0.25">
      <c r="A612">
        <v>11001</v>
      </c>
      <c r="B612" t="s">
        <v>1383</v>
      </c>
      <c r="C612">
        <v>18.649000000000001</v>
      </c>
      <c r="D612" t="s">
        <v>1264</v>
      </c>
      <c r="E612">
        <v>100195</v>
      </c>
      <c r="F612">
        <v>11001</v>
      </c>
      <c r="G612" t="str">
        <f t="shared" si="61"/>
        <v>11001</v>
      </c>
      <c r="H612" t="s">
        <v>356</v>
      </c>
      <c r="I612" t="s">
        <v>1265</v>
      </c>
      <c r="J612" t="s">
        <v>1271</v>
      </c>
      <c r="K612" t="s">
        <v>1272</v>
      </c>
      <c r="L612" t="s">
        <v>1383</v>
      </c>
      <c r="M612" t="s">
        <v>1409</v>
      </c>
      <c r="N612">
        <v>21</v>
      </c>
      <c r="O612" t="str">
        <f t="shared" si="64"/>
        <v>25</v>
      </c>
      <c r="Q612">
        <v>25</v>
      </c>
      <c r="R612" t="s">
        <v>1269</v>
      </c>
      <c r="S612">
        <v>18.649000000000001</v>
      </c>
      <c r="T612">
        <v>0.27529999999999999</v>
      </c>
      <c r="U612">
        <f t="shared" si="65"/>
        <v>5.1340000000000003</v>
      </c>
      <c r="V612" t="str">
        <f t="shared" si="62"/>
        <v>High Pupil Management</v>
      </c>
      <c r="W612" t="str">
        <f t="shared" si="63"/>
        <v>Pupil Management</v>
      </c>
    </row>
    <row r="613" spans="1:23" x14ac:dyDescent="0.25">
      <c r="A613">
        <v>11001</v>
      </c>
      <c r="B613" t="s">
        <v>1299</v>
      </c>
      <c r="C613">
        <v>42.646000000000001</v>
      </c>
      <c r="D613" t="s">
        <v>1264</v>
      </c>
      <c r="E613">
        <v>100195</v>
      </c>
      <c r="F613">
        <v>11001</v>
      </c>
      <c r="G613" t="str">
        <f t="shared" si="61"/>
        <v>11001</v>
      </c>
      <c r="H613" t="s">
        <v>356</v>
      </c>
      <c r="I613" t="s">
        <v>1265</v>
      </c>
      <c r="J613" t="s">
        <v>1271</v>
      </c>
      <c r="K613" t="s">
        <v>1272</v>
      </c>
      <c r="L613" t="s">
        <v>1299</v>
      </c>
      <c r="M613" t="s">
        <v>1300</v>
      </c>
      <c r="N613">
        <v>1</v>
      </c>
      <c r="O613" t="str">
        <f t="shared" si="64"/>
        <v>25</v>
      </c>
      <c r="Q613">
        <v>25</v>
      </c>
      <c r="R613" t="s">
        <v>1269</v>
      </c>
      <c r="S613">
        <v>42.646000000000001</v>
      </c>
      <c r="T613">
        <v>0.27529999999999999</v>
      </c>
      <c r="U613">
        <f t="shared" si="65"/>
        <v>0</v>
      </c>
      <c r="V613" t="str">
        <f t="shared" si="62"/>
        <v>High Pupil Management</v>
      </c>
      <c r="W613" t="str">
        <f t="shared" si="63"/>
        <v>Pupil Management</v>
      </c>
    </row>
    <row r="614" spans="1:23" x14ac:dyDescent="0.25">
      <c r="A614">
        <v>11001</v>
      </c>
      <c r="B614" t="s">
        <v>1324</v>
      </c>
      <c r="C614">
        <v>8.2189999999999994</v>
      </c>
      <c r="D614" t="s">
        <v>1264</v>
      </c>
      <c r="E614">
        <v>100195</v>
      </c>
      <c r="F614">
        <v>11001</v>
      </c>
      <c r="G614" t="str">
        <f t="shared" si="61"/>
        <v>11001</v>
      </c>
      <c r="H614" t="s">
        <v>356</v>
      </c>
      <c r="I614" t="s">
        <v>1265</v>
      </c>
      <c r="J614" t="s">
        <v>1271</v>
      </c>
      <c r="K614" t="s">
        <v>1272</v>
      </c>
      <c r="L614" t="s">
        <v>1324</v>
      </c>
      <c r="M614" t="s">
        <v>1325</v>
      </c>
      <c r="N614">
        <v>21</v>
      </c>
      <c r="O614" t="str">
        <f t="shared" si="64"/>
        <v>26</v>
      </c>
      <c r="Q614">
        <v>26</v>
      </c>
      <c r="R614" t="s">
        <v>1269</v>
      </c>
      <c r="S614">
        <v>8.2189999999999994</v>
      </c>
      <c r="T614">
        <v>0.27529999999999999</v>
      </c>
      <c r="U614">
        <f t="shared" si="65"/>
        <v>2.2629999999999999</v>
      </c>
      <c r="V614" t="str">
        <f t="shared" si="62"/>
        <v>High Health/
Related Services</v>
      </c>
      <c r="W614" t="str">
        <f t="shared" si="63"/>
        <v>Health/
Related Services</v>
      </c>
    </row>
    <row r="615" spans="1:23" x14ac:dyDescent="0.25">
      <c r="A615">
        <v>11001</v>
      </c>
      <c r="B615" t="s">
        <v>1295</v>
      </c>
      <c r="C615">
        <v>1.8160000000000001</v>
      </c>
      <c r="D615" t="s">
        <v>1264</v>
      </c>
      <c r="E615">
        <v>100195</v>
      </c>
      <c r="F615">
        <v>11001</v>
      </c>
      <c r="G615" t="str">
        <f t="shared" si="61"/>
        <v>11001</v>
      </c>
      <c r="H615" t="s">
        <v>356</v>
      </c>
      <c r="I615" t="s">
        <v>1265</v>
      </c>
      <c r="J615" t="s">
        <v>1271</v>
      </c>
      <c r="K615" t="s">
        <v>1272</v>
      </c>
      <c r="L615" t="s">
        <v>1295</v>
      </c>
      <c r="M615" t="s">
        <v>1296</v>
      </c>
      <c r="N615">
        <v>1</v>
      </c>
      <c r="O615" t="str">
        <f t="shared" si="64"/>
        <v>26</v>
      </c>
      <c r="Q615">
        <v>26</v>
      </c>
      <c r="R615" t="s">
        <v>1269</v>
      </c>
      <c r="S615">
        <v>1.8160000000000001</v>
      </c>
      <c r="T615">
        <v>0.27529999999999999</v>
      </c>
      <c r="U615">
        <f t="shared" si="65"/>
        <v>0</v>
      </c>
      <c r="V615" t="str">
        <f t="shared" si="62"/>
        <v>High Health/
Related Services</v>
      </c>
      <c r="W615" t="str">
        <f t="shared" si="63"/>
        <v>Health/
Related Services</v>
      </c>
    </row>
    <row r="616" spans="1:23" x14ac:dyDescent="0.25">
      <c r="A616">
        <v>11001</v>
      </c>
      <c r="B616" t="s">
        <v>1275</v>
      </c>
      <c r="C616">
        <v>16</v>
      </c>
      <c r="D616" t="s">
        <v>1264</v>
      </c>
      <c r="E616">
        <v>100195</v>
      </c>
      <c r="F616">
        <v>11001</v>
      </c>
      <c r="G616" t="str">
        <f t="shared" si="61"/>
        <v>11001</v>
      </c>
      <c r="H616" t="s">
        <v>356</v>
      </c>
      <c r="I616" t="s">
        <v>1265</v>
      </c>
      <c r="J616" t="s">
        <v>1276</v>
      </c>
      <c r="K616" t="s">
        <v>1277</v>
      </c>
      <c r="L616" t="s">
        <v>1275</v>
      </c>
      <c r="M616" t="s">
        <v>1278</v>
      </c>
      <c r="N616">
        <v>1</v>
      </c>
      <c r="O616" t="str">
        <f t="shared" si="64"/>
        <v>42</v>
      </c>
      <c r="P616">
        <v>42</v>
      </c>
      <c r="R616" t="s">
        <v>1269</v>
      </c>
      <c r="S616">
        <v>16</v>
      </c>
      <c r="T616">
        <v>0.27529999999999999</v>
      </c>
      <c r="U616">
        <f t="shared" si="65"/>
        <v>0</v>
      </c>
      <c r="V616" t="str">
        <f t="shared" si="62"/>
        <v>Elementary Counselor</v>
      </c>
      <c r="W616" t="str">
        <f t="shared" si="63"/>
        <v>Counselor</v>
      </c>
    </row>
    <row r="617" spans="1:23" x14ac:dyDescent="0.25">
      <c r="A617">
        <v>11001</v>
      </c>
      <c r="B617" t="s">
        <v>1270</v>
      </c>
      <c r="C617">
        <v>17.654</v>
      </c>
      <c r="D617" t="s">
        <v>1264</v>
      </c>
      <c r="E617">
        <v>100195</v>
      </c>
      <c r="F617">
        <v>11001</v>
      </c>
      <c r="G617" t="str">
        <f t="shared" si="61"/>
        <v>11001</v>
      </c>
      <c r="H617" t="s">
        <v>356</v>
      </c>
      <c r="I617" t="s">
        <v>1265</v>
      </c>
      <c r="J617" t="s">
        <v>1271</v>
      </c>
      <c r="K617" t="s">
        <v>1272</v>
      </c>
      <c r="L617" t="s">
        <v>1270</v>
      </c>
      <c r="M617" t="s">
        <v>1273</v>
      </c>
      <c r="N617">
        <v>1</v>
      </c>
      <c r="O617" t="str">
        <f t="shared" si="64"/>
        <v>42</v>
      </c>
      <c r="P617">
        <v>42</v>
      </c>
      <c r="R617" t="s">
        <v>1269</v>
      </c>
      <c r="S617">
        <v>17.654</v>
      </c>
      <c r="T617">
        <v>0.27529999999999999</v>
      </c>
      <c r="U617">
        <f t="shared" si="65"/>
        <v>0</v>
      </c>
      <c r="V617" t="str">
        <f t="shared" si="62"/>
        <v>High Counselor</v>
      </c>
      <c r="W617" t="str">
        <f t="shared" si="63"/>
        <v>Counselor</v>
      </c>
    </row>
    <row r="618" spans="1:23" x14ac:dyDescent="0.25">
      <c r="A618">
        <v>11001</v>
      </c>
      <c r="B618" t="s">
        <v>1263</v>
      </c>
      <c r="C618">
        <v>8.02</v>
      </c>
      <c r="D618" t="s">
        <v>1264</v>
      </c>
      <c r="E618">
        <v>100195</v>
      </c>
      <c r="F618">
        <v>11001</v>
      </c>
      <c r="G618" t="str">
        <f t="shared" si="61"/>
        <v>11001</v>
      </c>
      <c r="H618" t="s">
        <v>356</v>
      </c>
      <c r="I618" t="s">
        <v>1265</v>
      </c>
      <c r="J618" t="s">
        <v>1266</v>
      </c>
      <c r="K618" t="s">
        <v>1267</v>
      </c>
      <c r="L618" t="s">
        <v>1263</v>
      </c>
      <c r="M618" t="s">
        <v>1268</v>
      </c>
      <c r="N618">
        <v>1</v>
      </c>
      <c r="O618" t="str">
        <f t="shared" si="64"/>
        <v>42</v>
      </c>
      <c r="P618">
        <v>42</v>
      </c>
      <c r="R618" t="s">
        <v>1269</v>
      </c>
      <c r="S618">
        <v>8.02</v>
      </c>
      <c r="T618">
        <v>0.27529999999999999</v>
      </c>
      <c r="U618">
        <f t="shared" si="65"/>
        <v>0</v>
      </c>
      <c r="V618" t="str">
        <f t="shared" si="62"/>
        <v>Middle Counselor</v>
      </c>
      <c r="W618" t="str">
        <f t="shared" si="63"/>
        <v>Counselor</v>
      </c>
    </row>
    <row r="619" spans="1:23" x14ac:dyDescent="0.25">
      <c r="A619">
        <v>11001</v>
      </c>
      <c r="B619" t="s">
        <v>1289</v>
      </c>
      <c r="C619">
        <v>3</v>
      </c>
      <c r="D619" t="s">
        <v>1264</v>
      </c>
      <c r="E619">
        <v>100195</v>
      </c>
      <c r="F619">
        <v>11001</v>
      </c>
      <c r="G619" t="str">
        <f t="shared" si="61"/>
        <v>11001</v>
      </c>
      <c r="H619" t="s">
        <v>356</v>
      </c>
      <c r="I619" t="s">
        <v>1265</v>
      </c>
      <c r="J619" t="s">
        <v>1276</v>
      </c>
      <c r="K619" t="s">
        <v>1277</v>
      </c>
      <c r="L619" t="s">
        <v>1289</v>
      </c>
      <c r="M619" t="s">
        <v>1307</v>
      </c>
      <c r="N619">
        <v>21</v>
      </c>
      <c r="O619" t="str">
        <f t="shared" si="64"/>
        <v>43</v>
      </c>
      <c r="P619">
        <v>43</v>
      </c>
      <c r="R619" t="s">
        <v>1269</v>
      </c>
      <c r="S619">
        <v>3</v>
      </c>
      <c r="T619">
        <v>0.27529999999999999</v>
      </c>
      <c r="U619">
        <f t="shared" si="65"/>
        <v>0.82599999999999996</v>
      </c>
      <c r="V619" t="str">
        <f t="shared" si="62"/>
        <v>Elementary Occupational Therapist</v>
      </c>
      <c r="W619" t="str">
        <f t="shared" si="63"/>
        <v>Occupational Therapist</v>
      </c>
    </row>
    <row r="620" spans="1:23" x14ac:dyDescent="0.25">
      <c r="A620">
        <v>11001</v>
      </c>
      <c r="B620" t="s">
        <v>1328</v>
      </c>
      <c r="C620">
        <v>1.2</v>
      </c>
      <c r="D620" t="s">
        <v>1264</v>
      </c>
      <c r="E620">
        <v>100195</v>
      </c>
      <c r="F620">
        <v>11001</v>
      </c>
      <c r="G620" t="str">
        <f t="shared" si="61"/>
        <v>11001</v>
      </c>
      <c r="H620" t="s">
        <v>356</v>
      </c>
      <c r="I620" t="s">
        <v>1265</v>
      </c>
      <c r="J620" t="s">
        <v>1276</v>
      </c>
      <c r="K620" t="s">
        <v>1277</v>
      </c>
      <c r="L620" t="s">
        <v>1328</v>
      </c>
      <c r="M620" t="s">
        <v>1442</v>
      </c>
      <c r="N620">
        <v>1</v>
      </c>
      <c r="O620" t="str">
        <f t="shared" si="64"/>
        <v>43</v>
      </c>
      <c r="P620">
        <v>43</v>
      </c>
      <c r="R620" t="s">
        <v>1269</v>
      </c>
      <c r="S620">
        <v>1.2</v>
      </c>
      <c r="T620">
        <v>0.27529999999999999</v>
      </c>
      <c r="U620">
        <f t="shared" si="65"/>
        <v>0</v>
      </c>
      <c r="V620" t="str">
        <f t="shared" si="62"/>
        <v>Elementary Occupational Therapist</v>
      </c>
      <c r="W620" t="str">
        <f t="shared" si="63"/>
        <v>Occupational Therapist</v>
      </c>
    </row>
    <row r="621" spans="1:23" x14ac:dyDescent="0.25">
      <c r="A621">
        <v>11001</v>
      </c>
      <c r="B621" t="s">
        <v>1359</v>
      </c>
      <c r="C621">
        <v>1</v>
      </c>
      <c r="D621" t="s">
        <v>1264</v>
      </c>
      <c r="E621">
        <v>100195</v>
      </c>
      <c r="F621">
        <v>11001</v>
      </c>
      <c r="G621" t="str">
        <f t="shared" si="61"/>
        <v>11001</v>
      </c>
      <c r="H621" t="s">
        <v>356</v>
      </c>
      <c r="I621" t="s">
        <v>1265</v>
      </c>
      <c r="J621" t="s">
        <v>1271</v>
      </c>
      <c r="K621" t="s">
        <v>1272</v>
      </c>
      <c r="L621" t="s">
        <v>1359</v>
      </c>
      <c r="M621" t="s">
        <v>1360</v>
      </c>
      <c r="N621">
        <v>1</v>
      </c>
      <c r="O621" t="str">
        <f t="shared" si="64"/>
        <v>44</v>
      </c>
      <c r="P621">
        <v>44</v>
      </c>
      <c r="R621" t="s">
        <v>1269</v>
      </c>
      <c r="S621">
        <v>1</v>
      </c>
      <c r="T621">
        <v>0.27529999999999999</v>
      </c>
      <c r="U621">
        <f t="shared" si="65"/>
        <v>0</v>
      </c>
      <c r="V621" t="str">
        <f t="shared" si="62"/>
        <v>High Social Worker</v>
      </c>
      <c r="W621" t="str">
        <f t="shared" si="63"/>
        <v>Social Worker</v>
      </c>
    </row>
    <row r="622" spans="1:23" x14ac:dyDescent="0.25">
      <c r="A622">
        <v>11001</v>
      </c>
      <c r="B622" t="s">
        <v>1294</v>
      </c>
      <c r="C622">
        <v>0.79600000000000004</v>
      </c>
      <c r="D622" t="s">
        <v>1264</v>
      </c>
      <c r="E622">
        <v>100195</v>
      </c>
      <c r="F622">
        <v>11001</v>
      </c>
      <c r="G622" t="str">
        <f t="shared" si="61"/>
        <v>11001</v>
      </c>
      <c r="H622" t="s">
        <v>356</v>
      </c>
      <c r="I622" t="s">
        <v>1265</v>
      </c>
      <c r="J622" t="s">
        <v>1276</v>
      </c>
      <c r="K622" t="s">
        <v>1277</v>
      </c>
      <c r="L622" t="s">
        <v>1294</v>
      </c>
      <c r="M622" t="s">
        <v>1354</v>
      </c>
      <c r="N622">
        <v>21</v>
      </c>
      <c r="O622" t="str">
        <f t="shared" si="64"/>
        <v>45</v>
      </c>
      <c r="P622">
        <v>45</v>
      </c>
      <c r="R622" t="s">
        <v>1269</v>
      </c>
      <c r="S622">
        <v>0.79600000000000004</v>
      </c>
      <c r="T622">
        <v>0.27529999999999999</v>
      </c>
      <c r="U622">
        <f t="shared" si="65"/>
        <v>0.219</v>
      </c>
      <c r="V622" t="str">
        <f t="shared" si="62"/>
        <v>Elementary Speech, Language Pathway/
Audio</v>
      </c>
      <c r="W622" t="str">
        <f t="shared" si="63"/>
        <v>Speech, Language Pathway/
Audio</v>
      </c>
    </row>
    <row r="623" spans="1:23" x14ac:dyDescent="0.25">
      <c r="A623">
        <v>11001</v>
      </c>
      <c r="B623" t="s">
        <v>1326</v>
      </c>
      <c r="C623">
        <v>13.222</v>
      </c>
      <c r="D623" t="s">
        <v>1264</v>
      </c>
      <c r="E623">
        <v>100195</v>
      </c>
      <c r="F623">
        <v>11001</v>
      </c>
      <c r="G623" t="str">
        <f t="shared" si="61"/>
        <v>11001</v>
      </c>
      <c r="H623" t="s">
        <v>356</v>
      </c>
      <c r="I623" t="s">
        <v>1265</v>
      </c>
      <c r="J623" t="s">
        <v>1271</v>
      </c>
      <c r="K623" t="s">
        <v>1272</v>
      </c>
      <c r="L623" t="s">
        <v>1326</v>
      </c>
      <c r="M623" t="s">
        <v>1353</v>
      </c>
      <c r="N623">
        <v>21</v>
      </c>
      <c r="O623" t="str">
        <f t="shared" si="64"/>
        <v>45</v>
      </c>
      <c r="P623">
        <v>45</v>
      </c>
      <c r="R623" t="s">
        <v>1269</v>
      </c>
      <c r="S623">
        <v>13.222</v>
      </c>
      <c r="T623">
        <v>0.27529999999999999</v>
      </c>
      <c r="U623">
        <f t="shared" si="65"/>
        <v>3.64</v>
      </c>
      <c r="V623" t="str">
        <f t="shared" si="62"/>
        <v>High Speech, Language Pathway/
Audio</v>
      </c>
      <c r="W623" t="str">
        <f t="shared" si="63"/>
        <v>Speech, Language Pathway/
Audio</v>
      </c>
    </row>
    <row r="624" spans="1:23" x14ac:dyDescent="0.25">
      <c r="A624">
        <v>11001</v>
      </c>
      <c r="B624" t="s">
        <v>1309</v>
      </c>
      <c r="C624">
        <v>14.933</v>
      </c>
      <c r="D624" t="s">
        <v>1264</v>
      </c>
      <c r="E624">
        <v>100195</v>
      </c>
      <c r="F624">
        <v>11001</v>
      </c>
      <c r="G624" t="str">
        <f t="shared" si="61"/>
        <v>11001</v>
      </c>
      <c r="H624" t="s">
        <v>356</v>
      </c>
      <c r="I624" t="s">
        <v>1265</v>
      </c>
      <c r="J624" t="s">
        <v>1271</v>
      </c>
      <c r="K624" t="s">
        <v>1272</v>
      </c>
      <c r="L624" t="s">
        <v>1309</v>
      </c>
      <c r="M624" t="s">
        <v>1310</v>
      </c>
      <c r="N624">
        <v>21</v>
      </c>
      <c r="O624" t="str">
        <f t="shared" si="64"/>
        <v>46</v>
      </c>
      <c r="P624">
        <v>46</v>
      </c>
      <c r="R624" t="s">
        <v>1269</v>
      </c>
      <c r="S624">
        <v>14.933</v>
      </c>
      <c r="T624">
        <v>0.27529999999999999</v>
      </c>
      <c r="U624">
        <f t="shared" si="65"/>
        <v>4.1109999999999998</v>
      </c>
      <c r="V624" t="str">
        <f t="shared" si="62"/>
        <v>High Psychologist</v>
      </c>
      <c r="W624" t="str">
        <f t="shared" si="63"/>
        <v>Psychologist</v>
      </c>
    </row>
    <row r="625" spans="1:23" x14ac:dyDescent="0.25">
      <c r="A625">
        <v>11001</v>
      </c>
      <c r="B625" t="s">
        <v>1334</v>
      </c>
      <c r="C625">
        <v>0.75</v>
      </c>
      <c r="D625" t="s">
        <v>1264</v>
      </c>
      <c r="E625">
        <v>100195</v>
      </c>
      <c r="F625">
        <v>11001</v>
      </c>
      <c r="G625" t="str">
        <f t="shared" si="61"/>
        <v>11001</v>
      </c>
      <c r="H625" t="s">
        <v>356</v>
      </c>
      <c r="I625" t="s">
        <v>1265</v>
      </c>
      <c r="J625" t="s">
        <v>1276</v>
      </c>
      <c r="K625" t="s">
        <v>1277</v>
      </c>
      <c r="L625" t="s">
        <v>1334</v>
      </c>
      <c r="M625" t="s">
        <v>1413</v>
      </c>
      <c r="N625">
        <v>21</v>
      </c>
      <c r="O625" t="str">
        <f t="shared" si="64"/>
        <v>47</v>
      </c>
      <c r="P625">
        <v>47</v>
      </c>
      <c r="R625" t="s">
        <v>1269</v>
      </c>
      <c r="S625">
        <v>0.75</v>
      </c>
      <c r="T625">
        <v>0.27529999999999999</v>
      </c>
      <c r="U625">
        <f t="shared" si="65"/>
        <v>0.20599999999999999</v>
      </c>
      <c r="V625" t="str">
        <f t="shared" si="62"/>
        <v>Elementary Nurse</v>
      </c>
      <c r="W625" t="str">
        <f t="shared" si="63"/>
        <v>Nurse</v>
      </c>
    </row>
    <row r="626" spans="1:23" x14ac:dyDescent="0.25">
      <c r="A626">
        <v>11001</v>
      </c>
      <c r="B626" t="s">
        <v>1335</v>
      </c>
      <c r="C626">
        <v>19.305</v>
      </c>
      <c r="D626" t="s">
        <v>1264</v>
      </c>
      <c r="E626">
        <v>100195</v>
      </c>
      <c r="F626">
        <v>11001</v>
      </c>
      <c r="G626" t="str">
        <f t="shared" si="61"/>
        <v>11001</v>
      </c>
      <c r="H626" t="s">
        <v>356</v>
      </c>
      <c r="I626" t="s">
        <v>1265</v>
      </c>
      <c r="J626" t="s">
        <v>1276</v>
      </c>
      <c r="K626" t="s">
        <v>1277</v>
      </c>
      <c r="L626" t="s">
        <v>1335</v>
      </c>
      <c r="M626" t="s">
        <v>1344</v>
      </c>
      <c r="N626">
        <v>1</v>
      </c>
      <c r="O626" t="str">
        <f t="shared" si="64"/>
        <v>47</v>
      </c>
      <c r="P626">
        <v>47</v>
      </c>
      <c r="R626" t="s">
        <v>1269</v>
      </c>
      <c r="S626">
        <v>19.305</v>
      </c>
      <c r="T626">
        <v>0.27529999999999999</v>
      </c>
      <c r="U626">
        <f t="shared" si="65"/>
        <v>0</v>
      </c>
      <c r="V626" t="str">
        <f t="shared" si="62"/>
        <v>Elementary Nurse</v>
      </c>
      <c r="W626" t="str">
        <f t="shared" si="63"/>
        <v>Nurse</v>
      </c>
    </row>
    <row r="627" spans="1:23" x14ac:dyDescent="0.25">
      <c r="A627">
        <v>11001</v>
      </c>
      <c r="B627" t="s">
        <v>1341</v>
      </c>
      <c r="C627">
        <v>2</v>
      </c>
      <c r="D627" t="s">
        <v>1264</v>
      </c>
      <c r="E627">
        <v>100195</v>
      </c>
      <c r="F627">
        <v>11001</v>
      </c>
      <c r="G627" t="str">
        <f t="shared" si="61"/>
        <v>11001</v>
      </c>
      <c r="H627" t="s">
        <v>356</v>
      </c>
      <c r="I627" t="s">
        <v>1265</v>
      </c>
      <c r="J627" t="s">
        <v>1271</v>
      </c>
      <c r="K627" t="s">
        <v>1272</v>
      </c>
      <c r="L627" t="s">
        <v>1341</v>
      </c>
      <c r="M627" t="s">
        <v>1342</v>
      </c>
      <c r="N627">
        <v>1</v>
      </c>
      <c r="O627" t="str">
        <f t="shared" si="64"/>
        <v>47</v>
      </c>
      <c r="P627">
        <v>47</v>
      </c>
      <c r="R627" t="s">
        <v>1269</v>
      </c>
      <c r="S627">
        <v>2</v>
      </c>
      <c r="T627">
        <v>0.27529999999999999</v>
      </c>
      <c r="U627">
        <f t="shared" si="65"/>
        <v>0</v>
      </c>
      <c r="V627" t="str">
        <f t="shared" si="62"/>
        <v>High Nurse</v>
      </c>
      <c r="W627" t="str">
        <f t="shared" si="63"/>
        <v>Nurse</v>
      </c>
    </row>
    <row r="628" spans="1:23" x14ac:dyDescent="0.25">
      <c r="A628">
        <v>11001</v>
      </c>
      <c r="B628" t="s">
        <v>1302</v>
      </c>
      <c r="C628">
        <v>1</v>
      </c>
      <c r="D628" t="s">
        <v>1264</v>
      </c>
      <c r="E628">
        <v>100195</v>
      </c>
      <c r="F628">
        <v>11001</v>
      </c>
      <c r="G628" t="str">
        <f t="shared" si="61"/>
        <v>11001</v>
      </c>
      <c r="H628" t="s">
        <v>356</v>
      </c>
      <c r="I628" t="s">
        <v>1265</v>
      </c>
      <c r="J628" t="s">
        <v>1276</v>
      </c>
      <c r="K628" t="s">
        <v>1277</v>
      </c>
      <c r="L628" t="s">
        <v>1302</v>
      </c>
      <c r="M628" t="s">
        <v>1336</v>
      </c>
      <c r="N628">
        <v>21</v>
      </c>
      <c r="O628" t="str">
        <f t="shared" si="64"/>
        <v>48</v>
      </c>
      <c r="P628">
        <v>48</v>
      </c>
      <c r="R628" t="s">
        <v>1269</v>
      </c>
      <c r="S628">
        <v>1</v>
      </c>
      <c r="T628">
        <v>0.27529999999999999</v>
      </c>
      <c r="U628">
        <f t="shared" si="65"/>
        <v>0.27500000000000002</v>
      </c>
      <c r="V628" t="str">
        <f t="shared" si="62"/>
        <v>Elementary Physical Therapist</v>
      </c>
      <c r="W628" t="str">
        <f t="shared" si="63"/>
        <v>Physical Therapist</v>
      </c>
    </row>
    <row r="629" spans="1:23" x14ac:dyDescent="0.25">
      <c r="A629">
        <v>11051</v>
      </c>
      <c r="B629" t="s">
        <v>1324</v>
      </c>
      <c r="C629">
        <v>2.3879999999999999</v>
      </c>
      <c r="D629" t="s">
        <v>1264</v>
      </c>
      <c r="E629">
        <v>100168</v>
      </c>
      <c r="F629">
        <v>11051</v>
      </c>
      <c r="G629" t="str">
        <f t="shared" si="61"/>
        <v>11051</v>
      </c>
      <c r="H629" t="s">
        <v>357</v>
      </c>
      <c r="I629" t="s">
        <v>1265</v>
      </c>
      <c r="J629" t="s">
        <v>1271</v>
      </c>
      <c r="K629" t="s">
        <v>1272</v>
      </c>
      <c r="L629" t="s">
        <v>1324</v>
      </c>
      <c r="M629" t="s">
        <v>1325</v>
      </c>
      <c r="N629">
        <v>21</v>
      </c>
      <c r="O629" t="str">
        <f t="shared" si="64"/>
        <v>26</v>
      </c>
      <c r="Q629">
        <v>26</v>
      </c>
      <c r="R629" t="s">
        <v>1269</v>
      </c>
      <c r="S629">
        <v>2.3879999999999999</v>
      </c>
      <c r="T629">
        <v>0.24629999999999999</v>
      </c>
      <c r="U629">
        <f t="shared" si="65"/>
        <v>0.58799999999999997</v>
      </c>
      <c r="V629" t="str">
        <f t="shared" si="62"/>
        <v>High Health/
Related Services</v>
      </c>
      <c r="W629" t="str">
        <f t="shared" si="63"/>
        <v>Health/
Related Services</v>
      </c>
    </row>
    <row r="630" spans="1:23" x14ac:dyDescent="0.25">
      <c r="A630">
        <v>11051</v>
      </c>
      <c r="B630" t="s">
        <v>1295</v>
      </c>
      <c r="C630">
        <v>2.97</v>
      </c>
      <c r="D630" t="s">
        <v>1264</v>
      </c>
      <c r="E630">
        <v>100168</v>
      </c>
      <c r="F630">
        <v>11051</v>
      </c>
      <c r="G630" t="str">
        <f t="shared" si="61"/>
        <v>11051</v>
      </c>
      <c r="H630" t="s">
        <v>357</v>
      </c>
      <c r="I630" t="s">
        <v>1265</v>
      </c>
      <c r="J630" t="s">
        <v>1271</v>
      </c>
      <c r="K630" t="s">
        <v>1272</v>
      </c>
      <c r="L630" t="s">
        <v>1295</v>
      </c>
      <c r="M630" t="s">
        <v>1296</v>
      </c>
      <c r="N630">
        <v>1</v>
      </c>
      <c r="O630" t="str">
        <f t="shared" si="64"/>
        <v>26</v>
      </c>
      <c r="Q630">
        <v>26</v>
      </c>
      <c r="R630" t="s">
        <v>1269</v>
      </c>
      <c r="S630">
        <v>2.97</v>
      </c>
      <c r="T630">
        <v>0.24629999999999999</v>
      </c>
      <c r="U630">
        <f t="shared" si="65"/>
        <v>0</v>
      </c>
      <c r="V630" t="str">
        <f t="shared" si="62"/>
        <v>High Health/
Related Services</v>
      </c>
      <c r="W630" t="str">
        <f t="shared" si="63"/>
        <v>Health/
Related Services</v>
      </c>
    </row>
    <row r="631" spans="1:23" x14ac:dyDescent="0.25">
      <c r="A631">
        <v>11051</v>
      </c>
      <c r="B631" t="s">
        <v>1275</v>
      </c>
      <c r="C631">
        <v>2</v>
      </c>
      <c r="D631" t="s">
        <v>1264</v>
      </c>
      <c r="E631">
        <v>100168</v>
      </c>
      <c r="F631">
        <v>11051</v>
      </c>
      <c r="G631" t="str">
        <f t="shared" si="61"/>
        <v>11051</v>
      </c>
      <c r="H631" t="s">
        <v>357</v>
      </c>
      <c r="I631" t="s">
        <v>1265</v>
      </c>
      <c r="J631" t="s">
        <v>1276</v>
      </c>
      <c r="K631" t="s">
        <v>1277</v>
      </c>
      <c r="L631" t="s">
        <v>1275</v>
      </c>
      <c r="M631" t="s">
        <v>1278</v>
      </c>
      <c r="N631">
        <v>1</v>
      </c>
      <c r="O631" t="str">
        <f t="shared" si="64"/>
        <v>42</v>
      </c>
      <c r="P631">
        <v>42</v>
      </c>
      <c r="R631" t="s">
        <v>1269</v>
      </c>
      <c r="S631">
        <v>2</v>
      </c>
      <c r="T631">
        <v>0.24629999999999999</v>
      </c>
      <c r="U631">
        <f t="shared" si="65"/>
        <v>0</v>
      </c>
      <c r="V631" t="str">
        <f t="shared" si="62"/>
        <v>Elementary Counselor</v>
      </c>
      <c r="W631" t="str">
        <f t="shared" si="63"/>
        <v>Counselor</v>
      </c>
    </row>
    <row r="632" spans="1:23" x14ac:dyDescent="0.25">
      <c r="A632">
        <v>11051</v>
      </c>
      <c r="B632" t="s">
        <v>1270</v>
      </c>
      <c r="C632">
        <v>2.98</v>
      </c>
      <c r="D632" t="s">
        <v>1264</v>
      </c>
      <c r="E632">
        <v>100168</v>
      </c>
      <c r="F632">
        <v>11051</v>
      </c>
      <c r="G632" t="str">
        <f t="shared" si="61"/>
        <v>11051</v>
      </c>
      <c r="H632" t="s">
        <v>357</v>
      </c>
      <c r="I632" t="s">
        <v>1265</v>
      </c>
      <c r="J632" t="s">
        <v>1271</v>
      </c>
      <c r="K632" t="s">
        <v>1272</v>
      </c>
      <c r="L632" t="s">
        <v>1270</v>
      </c>
      <c r="M632" t="s">
        <v>1273</v>
      </c>
      <c r="N632">
        <v>1</v>
      </c>
      <c r="O632" t="str">
        <f t="shared" si="64"/>
        <v>42</v>
      </c>
      <c r="P632">
        <v>42</v>
      </c>
      <c r="R632" t="s">
        <v>1269</v>
      </c>
      <c r="S632">
        <v>2.98</v>
      </c>
      <c r="T632">
        <v>0.24629999999999999</v>
      </c>
      <c r="U632">
        <f t="shared" si="65"/>
        <v>0</v>
      </c>
      <c r="V632" t="str">
        <f t="shared" si="62"/>
        <v>High Counselor</v>
      </c>
      <c r="W632" t="str">
        <f t="shared" si="63"/>
        <v>Counselor</v>
      </c>
    </row>
    <row r="633" spans="1:23" x14ac:dyDescent="0.25">
      <c r="A633">
        <v>11051</v>
      </c>
      <c r="B633" t="s">
        <v>1263</v>
      </c>
      <c r="C633">
        <v>2.83</v>
      </c>
      <c r="D633" t="s">
        <v>1264</v>
      </c>
      <c r="E633">
        <v>100168</v>
      </c>
      <c r="F633">
        <v>11051</v>
      </c>
      <c r="G633" t="str">
        <f t="shared" si="61"/>
        <v>11051</v>
      </c>
      <c r="H633" t="s">
        <v>357</v>
      </c>
      <c r="I633" t="s">
        <v>1265</v>
      </c>
      <c r="J633" t="s">
        <v>1266</v>
      </c>
      <c r="K633" t="s">
        <v>1267</v>
      </c>
      <c r="L633" t="s">
        <v>1263</v>
      </c>
      <c r="M633" t="s">
        <v>1268</v>
      </c>
      <c r="N633">
        <v>1</v>
      </c>
      <c r="O633" t="str">
        <f t="shared" si="64"/>
        <v>42</v>
      </c>
      <c r="P633">
        <v>42</v>
      </c>
      <c r="R633" t="s">
        <v>1269</v>
      </c>
      <c r="S633">
        <v>2.83</v>
      </c>
      <c r="T633">
        <v>0.24629999999999999</v>
      </c>
      <c r="U633">
        <f t="shared" si="65"/>
        <v>0</v>
      </c>
      <c r="V633" t="str">
        <f t="shared" si="62"/>
        <v>Middle Counselor</v>
      </c>
      <c r="W633" t="str">
        <f t="shared" si="63"/>
        <v>Counselor</v>
      </c>
    </row>
    <row r="634" spans="1:23" x14ac:dyDescent="0.25">
      <c r="A634">
        <v>11051</v>
      </c>
      <c r="B634" t="s">
        <v>1294</v>
      </c>
      <c r="C634">
        <v>1.1950000000000001</v>
      </c>
      <c r="D634" t="s">
        <v>1264</v>
      </c>
      <c r="E634">
        <v>100168</v>
      </c>
      <c r="F634">
        <v>11051</v>
      </c>
      <c r="G634" t="str">
        <f t="shared" si="61"/>
        <v>11051</v>
      </c>
      <c r="H634" t="s">
        <v>357</v>
      </c>
      <c r="I634" t="s">
        <v>1265</v>
      </c>
      <c r="J634" t="s">
        <v>1276</v>
      </c>
      <c r="K634" t="s">
        <v>1277</v>
      </c>
      <c r="L634" t="s">
        <v>1294</v>
      </c>
      <c r="M634" t="s">
        <v>1354</v>
      </c>
      <c r="N634">
        <v>21</v>
      </c>
      <c r="O634" t="str">
        <f t="shared" si="64"/>
        <v>45</v>
      </c>
      <c r="P634">
        <v>45</v>
      </c>
      <c r="R634" t="s">
        <v>1269</v>
      </c>
      <c r="S634">
        <v>1.1950000000000001</v>
      </c>
      <c r="T634">
        <v>0.24629999999999999</v>
      </c>
      <c r="U634">
        <f t="shared" si="65"/>
        <v>0.29399999999999998</v>
      </c>
      <c r="V634" t="str">
        <f t="shared" si="62"/>
        <v>Elementary Speech, Language Pathway/
Audio</v>
      </c>
      <c r="W634" t="str">
        <f t="shared" si="63"/>
        <v>Speech, Language Pathway/
Audio</v>
      </c>
    </row>
    <row r="635" spans="1:23" x14ac:dyDescent="0.25">
      <c r="A635">
        <v>11051</v>
      </c>
      <c r="B635" t="s">
        <v>1326</v>
      </c>
      <c r="C635">
        <v>0.28599999999999998</v>
      </c>
      <c r="D635" t="s">
        <v>1264</v>
      </c>
      <c r="E635">
        <v>100168</v>
      </c>
      <c r="F635">
        <v>11051</v>
      </c>
      <c r="G635" t="str">
        <f t="shared" si="61"/>
        <v>11051</v>
      </c>
      <c r="H635" t="s">
        <v>357</v>
      </c>
      <c r="I635" t="s">
        <v>1265</v>
      </c>
      <c r="J635" t="s">
        <v>1271</v>
      </c>
      <c r="K635" t="s">
        <v>1272</v>
      </c>
      <c r="L635" t="s">
        <v>1326</v>
      </c>
      <c r="M635" t="s">
        <v>1353</v>
      </c>
      <c r="N635">
        <v>21</v>
      </c>
      <c r="O635" t="str">
        <f t="shared" si="64"/>
        <v>45</v>
      </c>
      <c r="P635">
        <v>45</v>
      </c>
      <c r="R635" t="s">
        <v>1269</v>
      </c>
      <c r="S635">
        <v>0.28599999999999998</v>
      </c>
      <c r="T635">
        <v>0.24629999999999999</v>
      </c>
      <c r="U635">
        <f t="shared" si="65"/>
        <v>7.0000000000000007E-2</v>
      </c>
      <c r="V635" t="str">
        <f t="shared" si="62"/>
        <v>High Speech, Language Pathway/
Audio</v>
      </c>
      <c r="W635" t="str">
        <f t="shared" si="63"/>
        <v>Speech, Language Pathway/
Audio</v>
      </c>
    </row>
    <row r="636" spans="1:23" x14ac:dyDescent="0.25">
      <c r="A636">
        <v>11051</v>
      </c>
      <c r="B636" t="s">
        <v>1312</v>
      </c>
      <c r="C636">
        <v>0.14299999999999999</v>
      </c>
      <c r="D636" t="s">
        <v>1264</v>
      </c>
      <c r="E636">
        <v>100168</v>
      </c>
      <c r="F636">
        <v>11051</v>
      </c>
      <c r="G636" t="str">
        <f t="shared" si="61"/>
        <v>11051</v>
      </c>
      <c r="H636" t="s">
        <v>357</v>
      </c>
      <c r="I636" t="s">
        <v>1265</v>
      </c>
      <c r="J636" t="s">
        <v>1266</v>
      </c>
      <c r="K636" t="s">
        <v>1267</v>
      </c>
      <c r="L636" t="s">
        <v>1312</v>
      </c>
      <c r="M636" t="s">
        <v>1351</v>
      </c>
      <c r="N636">
        <v>21</v>
      </c>
      <c r="O636" t="str">
        <f t="shared" si="64"/>
        <v>45</v>
      </c>
      <c r="P636">
        <v>45</v>
      </c>
      <c r="R636" t="s">
        <v>1269</v>
      </c>
      <c r="S636">
        <v>0.14299999999999999</v>
      </c>
      <c r="T636">
        <v>0.24629999999999999</v>
      </c>
      <c r="U636">
        <f t="shared" si="65"/>
        <v>3.5000000000000003E-2</v>
      </c>
      <c r="V636" t="str">
        <f t="shared" si="62"/>
        <v>Middle Speech, Language Pathway/
Audio</v>
      </c>
      <c r="W636" t="str">
        <f t="shared" si="63"/>
        <v>Speech, Language Pathway/
Audio</v>
      </c>
    </row>
    <row r="637" spans="1:23" x14ac:dyDescent="0.25">
      <c r="A637">
        <v>11051</v>
      </c>
      <c r="B637" t="s">
        <v>1298</v>
      </c>
      <c r="C637">
        <v>1</v>
      </c>
      <c r="D637" t="s">
        <v>1264</v>
      </c>
      <c r="E637">
        <v>100168</v>
      </c>
      <c r="F637">
        <v>11051</v>
      </c>
      <c r="G637" t="str">
        <f t="shared" si="61"/>
        <v>11051</v>
      </c>
      <c r="H637" t="s">
        <v>357</v>
      </c>
      <c r="I637" t="s">
        <v>1265</v>
      </c>
      <c r="J637" t="s">
        <v>1276</v>
      </c>
      <c r="K637" t="s">
        <v>1277</v>
      </c>
      <c r="L637" t="s">
        <v>1298</v>
      </c>
      <c r="M637" t="s">
        <v>1349</v>
      </c>
      <c r="N637">
        <v>21</v>
      </c>
      <c r="O637" t="str">
        <f t="shared" si="64"/>
        <v>46</v>
      </c>
      <c r="P637">
        <v>46</v>
      </c>
      <c r="R637" t="s">
        <v>1269</v>
      </c>
      <c r="S637">
        <v>1</v>
      </c>
      <c r="T637">
        <v>0.24629999999999999</v>
      </c>
      <c r="U637">
        <f t="shared" si="65"/>
        <v>0.246</v>
      </c>
      <c r="V637" t="str">
        <f t="shared" si="62"/>
        <v>Elementary Psychologist</v>
      </c>
      <c r="W637" t="str">
        <f t="shared" si="63"/>
        <v>Psychologist</v>
      </c>
    </row>
    <row r="638" spans="1:23" x14ac:dyDescent="0.25">
      <c r="A638">
        <v>11051</v>
      </c>
      <c r="B638" t="s">
        <v>1309</v>
      </c>
      <c r="C638">
        <v>0.57199999999999995</v>
      </c>
      <c r="D638" t="s">
        <v>1264</v>
      </c>
      <c r="E638">
        <v>100168</v>
      </c>
      <c r="F638">
        <v>11051</v>
      </c>
      <c r="G638" t="str">
        <f t="shared" si="61"/>
        <v>11051</v>
      </c>
      <c r="H638" t="s">
        <v>357</v>
      </c>
      <c r="I638" t="s">
        <v>1265</v>
      </c>
      <c r="J638" t="s">
        <v>1271</v>
      </c>
      <c r="K638" t="s">
        <v>1272</v>
      </c>
      <c r="L638" t="s">
        <v>1309</v>
      </c>
      <c r="M638" t="s">
        <v>1310</v>
      </c>
      <c r="N638">
        <v>21</v>
      </c>
      <c r="O638" t="str">
        <f t="shared" si="64"/>
        <v>46</v>
      </c>
      <c r="P638">
        <v>46</v>
      </c>
      <c r="R638" t="s">
        <v>1269</v>
      </c>
      <c r="S638">
        <v>0.57199999999999995</v>
      </c>
      <c r="T638">
        <v>0.24629999999999999</v>
      </c>
      <c r="U638">
        <f t="shared" si="65"/>
        <v>0.14099999999999999</v>
      </c>
      <c r="V638" t="str">
        <f t="shared" si="62"/>
        <v>High Psychologist</v>
      </c>
      <c r="W638" t="str">
        <f t="shared" si="63"/>
        <v>Psychologist</v>
      </c>
    </row>
    <row r="639" spans="1:23" x14ac:dyDescent="0.25">
      <c r="A639">
        <v>11051</v>
      </c>
      <c r="B639" t="s">
        <v>1345</v>
      </c>
      <c r="C639">
        <v>0.28599999999999998</v>
      </c>
      <c r="D639" t="s">
        <v>1264</v>
      </c>
      <c r="E639">
        <v>100168</v>
      </c>
      <c r="F639">
        <v>11051</v>
      </c>
      <c r="G639" t="str">
        <f t="shared" si="61"/>
        <v>11051</v>
      </c>
      <c r="H639" t="s">
        <v>357</v>
      </c>
      <c r="I639" t="s">
        <v>1265</v>
      </c>
      <c r="J639" t="s">
        <v>1266</v>
      </c>
      <c r="K639" t="s">
        <v>1267</v>
      </c>
      <c r="L639" t="s">
        <v>1345</v>
      </c>
      <c r="M639" t="s">
        <v>1346</v>
      </c>
      <c r="N639">
        <v>21</v>
      </c>
      <c r="O639" t="str">
        <f t="shared" si="64"/>
        <v>46</v>
      </c>
      <c r="P639">
        <v>46</v>
      </c>
      <c r="R639" t="s">
        <v>1269</v>
      </c>
      <c r="S639">
        <v>0.28599999999999998</v>
      </c>
      <c r="T639">
        <v>0.24629999999999999</v>
      </c>
      <c r="U639">
        <f t="shared" si="65"/>
        <v>7.0000000000000007E-2</v>
      </c>
      <c r="V639" t="str">
        <f t="shared" si="62"/>
        <v>Middle Psychologist</v>
      </c>
      <c r="W639" t="str">
        <f t="shared" si="63"/>
        <v>Psychologist</v>
      </c>
    </row>
    <row r="640" spans="1:23" x14ac:dyDescent="0.25">
      <c r="A640">
        <v>11056</v>
      </c>
      <c r="B640" t="s">
        <v>1275</v>
      </c>
      <c r="C640">
        <v>1</v>
      </c>
      <c r="D640" t="s">
        <v>1264</v>
      </c>
      <c r="E640">
        <v>100112</v>
      </c>
      <c r="F640">
        <v>11056</v>
      </c>
      <c r="G640" t="str">
        <f t="shared" si="61"/>
        <v>11056</v>
      </c>
      <c r="H640" t="s">
        <v>359</v>
      </c>
      <c r="I640" t="s">
        <v>1265</v>
      </c>
      <c r="J640" t="s">
        <v>1276</v>
      </c>
      <c r="K640" t="s">
        <v>1277</v>
      </c>
      <c r="L640" t="s">
        <v>1275</v>
      </c>
      <c r="M640" t="s">
        <v>1278</v>
      </c>
      <c r="N640">
        <v>1</v>
      </c>
      <c r="O640" t="str">
        <f t="shared" si="64"/>
        <v>42</v>
      </c>
      <c r="P640">
        <v>42</v>
      </c>
      <c r="R640" t="s">
        <v>1269</v>
      </c>
      <c r="S640">
        <v>1</v>
      </c>
      <c r="T640">
        <v>0.1913</v>
      </c>
      <c r="U640">
        <f t="shared" si="65"/>
        <v>0</v>
      </c>
      <c r="V640" t="str">
        <f t="shared" si="62"/>
        <v>Elementary Counselor</v>
      </c>
      <c r="W640" t="str">
        <f t="shared" si="63"/>
        <v>Counselor</v>
      </c>
    </row>
    <row r="641" spans="1:23" x14ac:dyDescent="0.25">
      <c r="A641">
        <v>12110</v>
      </c>
      <c r="B641" t="s">
        <v>1401</v>
      </c>
      <c r="C641">
        <v>0.34599999999999997</v>
      </c>
      <c r="D641" t="s">
        <v>1264</v>
      </c>
      <c r="E641">
        <v>100201</v>
      </c>
      <c r="F641">
        <v>12110</v>
      </c>
      <c r="G641" t="str">
        <f t="shared" si="61"/>
        <v>12110</v>
      </c>
      <c r="H641" t="s">
        <v>360</v>
      </c>
      <c r="I641" t="s">
        <v>1265</v>
      </c>
      <c r="J641" t="s">
        <v>1271</v>
      </c>
      <c r="K641" t="s">
        <v>1272</v>
      </c>
      <c r="L641" t="s">
        <v>1401</v>
      </c>
      <c r="M641" t="s">
        <v>1422</v>
      </c>
      <c r="N641">
        <v>1</v>
      </c>
      <c r="O641" t="str">
        <f t="shared" si="64"/>
        <v>35</v>
      </c>
      <c r="Q641">
        <v>35</v>
      </c>
      <c r="R641" t="s">
        <v>1269</v>
      </c>
      <c r="S641">
        <v>0.34599999999999997</v>
      </c>
      <c r="T641">
        <v>0.25159999999999999</v>
      </c>
      <c r="U641">
        <f t="shared" si="65"/>
        <v>0</v>
      </c>
      <c r="V641" t="str">
        <f t="shared" si="62"/>
        <v>High Pupil Safety</v>
      </c>
      <c r="W641" t="str">
        <f t="shared" si="63"/>
        <v>Pupil Safety</v>
      </c>
    </row>
    <row r="642" spans="1:23" x14ac:dyDescent="0.25">
      <c r="A642">
        <v>12110</v>
      </c>
      <c r="B642" t="s">
        <v>1275</v>
      </c>
      <c r="C642">
        <v>0.61699999999999999</v>
      </c>
      <c r="D642" t="s">
        <v>1264</v>
      </c>
      <c r="E642">
        <v>100201</v>
      </c>
      <c r="F642">
        <v>12110</v>
      </c>
      <c r="G642" t="str">
        <f t="shared" ref="G642:G705" si="66">TEXT(F642,"00000")</f>
        <v>12110</v>
      </c>
      <c r="H642" t="s">
        <v>360</v>
      </c>
      <c r="I642" t="s">
        <v>1265</v>
      </c>
      <c r="J642" t="s">
        <v>1276</v>
      </c>
      <c r="K642" t="s">
        <v>1277</v>
      </c>
      <c r="L642" t="s">
        <v>1275</v>
      </c>
      <c r="M642" t="s">
        <v>1278</v>
      </c>
      <c r="N642">
        <v>1</v>
      </c>
      <c r="O642" t="str">
        <f t="shared" si="64"/>
        <v>42</v>
      </c>
      <c r="P642">
        <v>42</v>
      </c>
      <c r="R642" t="s">
        <v>1269</v>
      </c>
      <c r="S642">
        <v>0.61699999999999999</v>
      </c>
      <c r="T642">
        <v>0.25159999999999999</v>
      </c>
      <c r="U642">
        <f t="shared" si="65"/>
        <v>0</v>
      </c>
      <c r="V642" t="str">
        <f t="shared" ref="V642:V705" si="67">_xlfn.XLOOKUP(L642,$BV:$BV,$BT:$BT,,0)</f>
        <v>Elementary Counselor</v>
      </c>
      <c r="W642" t="str">
        <f t="shared" ref="W642:W705" si="68">_xlfn.TEXTAFTER(V642," ")</f>
        <v>Counselor</v>
      </c>
    </row>
    <row r="643" spans="1:23" x14ac:dyDescent="0.25">
      <c r="A643">
        <v>12110</v>
      </c>
      <c r="B643" t="s">
        <v>1270</v>
      </c>
      <c r="C643">
        <v>0.28599999999999998</v>
      </c>
      <c r="D643" t="s">
        <v>1264</v>
      </c>
      <c r="E643">
        <v>100201</v>
      </c>
      <c r="F643">
        <v>12110</v>
      </c>
      <c r="G643" t="str">
        <f t="shared" si="66"/>
        <v>12110</v>
      </c>
      <c r="H643" t="s">
        <v>360</v>
      </c>
      <c r="I643" t="s">
        <v>1265</v>
      </c>
      <c r="J643" t="s">
        <v>1271</v>
      </c>
      <c r="K643" t="s">
        <v>1272</v>
      </c>
      <c r="L643" t="s">
        <v>1270</v>
      </c>
      <c r="M643" t="s">
        <v>1273</v>
      </c>
      <c r="N643">
        <v>1</v>
      </c>
      <c r="O643" t="str">
        <f t="shared" ref="O643:O706" si="69">MID(L643,3,2)</f>
        <v>42</v>
      </c>
      <c r="P643">
        <v>42</v>
      </c>
      <c r="R643" t="s">
        <v>1269</v>
      </c>
      <c r="S643">
        <v>0.28599999999999998</v>
      </c>
      <c r="T643">
        <v>0.25159999999999999</v>
      </c>
      <c r="U643">
        <f t="shared" ref="U643:U706" si="70">IF(N643=21,ROUND(T643*S643,3),0)</f>
        <v>0</v>
      </c>
      <c r="V643" t="str">
        <f t="shared" si="67"/>
        <v>High Counselor</v>
      </c>
      <c r="W643" t="str">
        <f t="shared" si="68"/>
        <v>Counselor</v>
      </c>
    </row>
    <row r="644" spans="1:23" x14ac:dyDescent="0.25">
      <c r="A644">
        <v>12110</v>
      </c>
      <c r="B644" t="s">
        <v>1263</v>
      </c>
      <c r="C644">
        <v>0.1</v>
      </c>
      <c r="D644" t="s">
        <v>1264</v>
      </c>
      <c r="E644">
        <v>100201</v>
      </c>
      <c r="F644">
        <v>12110</v>
      </c>
      <c r="G644" t="str">
        <f t="shared" si="66"/>
        <v>12110</v>
      </c>
      <c r="H644" t="s">
        <v>360</v>
      </c>
      <c r="I644" t="s">
        <v>1265</v>
      </c>
      <c r="J644" t="s">
        <v>1266</v>
      </c>
      <c r="K644" t="s">
        <v>1267</v>
      </c>
      <c r="L644" t="s">
        <v>1263</v>
      </c>
      <c r="M644" t="s">
        <v>1268</v>
      </c>
      <c r="N644">
        <v>1</v>
      </c>
      <c r="O644" t="str">
        <f t="shared" si="69"/>
        <v>42</v>
      </c>
      <c r="P644">
        <v>42</v>
      </c>
      <c r="R644" t="s">
        <v>1269</v>
      </c>
      <c r="S644">
        <v>0.1</v>
      </c>
      <c r="T644">
        <v>0.25159999999999999</v>
      </c>
      <c r="U644">
        <f t="shared" si="70"/>
        <v>0</v>
      </c>
      <c r="V644" t="str">
        <f t="shared" si="67"/>
        <v>Middle Counselor</v>
      </c>
      <c r="W644" t="str">
        <f t="shared" si="68"/>
        <v>Counselor</v>
      </c>
    </row>
    <row r="645" spans="1:23" x14ac:dyDescent="0.25">
      <c r="A645">
        <v>13073</v>
      </c>
      <c r="B645" t="s">
        <v>1290</v>
      </c>
      <c r="C645">
        <v>0.76900000000000002</v>
      </c>
      <c r="D645" t="s">
        <v>1264</v>
      </c>
      <c r="E645">
        <v>100281</v>
      </c>
      <c r="F645">
        <v>13073</v>
      </c>
      <c r="G645" t="str">
        <f t="shared" si="66"/>
        <v>13073</v>
      </c>
      <c r="H645" t="s">
        <v>361</v>
      </c>
      <c r="I645" t="s">
        <v>1265</v>
      </c>
      <c r="J645" t="s">
        <v>1271</v>
      </c>
      <c r="K645" t="s">
        <v>1272</v>
      </c>
      <c r="L645" t="s">
        <v>1290</v>
      </c>
      <c r="M645" t="s">
        <v>1412</v>
      </c>
      <c r="N645">
        <v>97</v>
      </c>
      <c r="O645" t="str">
        <f t="shared" si="69"/>
        <v>25</v>
      </c>
      <c r="Q645">
        <v>25</v>
      </c>
      <c r="R645" t="s">
        <v>1269</v>
      </c>
      <c r="S645">
        <v>0.76900000000000002</v>
      </c>
      <c r="T645">
        <v>0.2472</v>
      </c>
      <c r="U645">
        <f t="shared" si="70"/>
        <v>0</v>
      </c>
      <c r="V645" t="str">
        <f t="shared" si="67"/>
        <v>High Pupil Management</v>
      </c>
      <c r="W645" t="str">
        <f t="shared" si="68"/>
        <v>Pupil Management</v>
      </c>
    </row>
    <row r="646" spans="1:23" x14ac:dyDescent="0.25">
      <c r="A646">
        <v>13073</v>
      </c>
      <c r="B646" t="s">
        <v>1295</v>
      </c>
      <c r="C646">
        <v>0.76900000000000002</v>
      </c>
      <c r="D646" t="s">
        <v>1264</v>
      </c>
      <c r="E646">
        <v>100281</v>
      </c>
      <c r="F646">
        <v>13073</v>
      </c>
      <c r="G646" t="str">
        <f t="shared" si="66"/>
        <v>13073</v>
      </c>
      <c r="H646" t="s">
        <v>361</v>
      </c>
      <c r="I646" t="s">
        <v>1265</v>
      </c>
      <c r="J646" t="s">
        <v>1271</v>
      </c>
      <c r="K646" t="s">
        <v>1272</v>
      </c>
      <c r="L646" t="s">
        <v>1295</v>
      </c>
      <c r="M646" t="s">
        <v>1296</v>
      </c>
      <c r="N646">
        <v>1</v>
      </c>
      <c r="O646" t="str">
        <f t="shared" si="69"/>
        <v>26</v>
      </c>
      <c r="Q646">
        <v>26</v>
      </c>
      <c r="R646" t="s">
        <v>1269</v>
      </c>
      <c r="S646">
        <v>0.76900000000000002</v>
      </c>
      <c r="T646">
        <v>0.2472</v>
      </c>
      <c r="U646">
        <f t="shared" si="70"/>
        <v>0</v>
      </c>
      <c r="V646" t="str">
        <f t="shared" si="67"/>
        <v>High Health/
Related Services</v>
      </c>
      <c r="W646" t="str">
        <f t="shared" si="68"/>
        <v>Health/
Related Services</v>
      </c>
    </row>
    <row r="647" spans="1:23" x14ac:dyDescent="0.25">
      <c r="A647">
        <v>13073</v>
      </c>
      <c r="B647" t="s">
        <v>1275</v>
      </c>
      <c r="C647">
        <v>5.36</v>
      </c>
      <c r="D647" t="s">
        <v>1264</v>
      </c>
      <c r="E647">
        <v>100281</v>
      </c>
      <c r="F647">
        <v>13073</v>
      </c>
      <c r="G647" t="str">
        <f t="shared" si="66"/>
        <v>13073</v>
      </c>
      <c r="H647" t="s">
        <v>361</v>
      </c>
      <c r="I647" t="s">
        <v>1265</v>
      </c>
      <c r="J647" t="s">
        <v>1276</v>
      </c>
      <c r="K647" t="s">
        <v>1277</v>
      </c>
      <c r="L647" t="s">
        <v>1275</v>
      </c>
      <c r="M647" t="s">
        <v>1278</v>
      </c>
      <c r="N647">
        <v>1</v>
      </c>
      <c r="O647" t="str">
        <f t="shared" si="69"/>
        <v>42</v>
      </c>
      <c r="P647">
        <v>42</v>
      </c>
      <c r="R647" t="s">
        <v>1269</v>
      </c>
      <c r="S647">
        <v>5.36</v>
      </c>
      <c r="T647">
        <v>0.2472</v>
      </c>
      <c r="U647">
        <f t="shared" si="70"/>
        <v>0</v>
      </c>
      <c r="V647" t="str">
        <f t="shared" si="67"/>
        <v>Elementary Counselor</v>
      </c>
      <c r="W647" t="str">
        <f t="shared" si="68"/>
        <v>Counselor</v>
      </c>
    </row>
    <row r="648" spans="1:23" x14ac:dyDescent="0.25">
      <c r="A648">
        <v>13073</v>
      </c>
      <c r="B648" t="s">
        <v>1270</v>
      </c>
      <c r="C648">
        <v>4</v>
      </c>
      <c r="D648" t="s">
        <v>1264</v>
      </c>
      <c r="E648">
        <v>100281</v>
      </c>
      <c r="F648">
        <v>13073</v>
      </c>
      <c r="G648" t="str">
        <f t="shared" si="66"/>
        <v>13073</v>
      </c>
      <c r="H648" t="s">
        <v>361</v>
      </c>
      <c r="I648" t="s">
        <v>1265</v>
      </c>
      <c r="J648" t="s">
        <v>1271</v>
      </c>
      <c r="K648" t="s">
        <v>1272</v>
      </c>
      <c r="L648" t="s">
        <v>1270</v>
      </c>
      <c r="M648" t="s">
        <v>1273</v>
      </c>
      <c r="N648">
        <v>1</v>
      </c>
      <c r="O648" t="str">
        <f t="shared" si="69"/>
        <v>42</v>
      </c>
      <c r="P648">
        <v>42</v>
      </c>
      <c r="R648" t="s">
        <v>1269</v>
      </c>
      <c r="S648">
        <v>4</v>
      </c>
      <c r="T648">
        <v>0.2472</v>
      </c>
      <c r="U648">
        <f t="shared" si="70"/>
        <v>0</v>
      </c>
      <c r="V648" t="str">
        <f t="shared" si="67"/>
        <v>High Counselor</v>
      </c>
      <c r="W648" t="str">
        <f t="shared" si="68"/>
        <v>Counselor</v>
      </c>
    </row>
    <row r="649" spans="1:23" x14ac:dyDescent="0.25">
      <c r="A649">
        <v>13073</v>
      </c>
      <c r="B649" t="s">
        <v>1263</v>
      </c>
      <c r="C649">
        <v>1.34</v>
      </c>
      <c r="D649" t="s">
        <v>1264</v>
      </c>
      <c r="E649">
        <v>100281</v>
      </c>
      <c r="F649">
        <v>13073</v>
      </c>
      <c r="G649" t="str">
        <f t="shared" si="66"/>
        <v>13073</v>
      </c>
      <c r="H649" t="s">
        <v>361</v>
      </c>
      <c r="I649" t="s">
        <v>1265</v>
      </c>
      <c r="J649" t="s">
        <v>1266</v>
      </c>
      <c r="K649" t="s">
        <v>1267</v>
      </c>
      <c r="L649" t="s">
        <v>1263</v>
      </c>
      <c r="M649" t="s">
        <v>1268</v>
      </c>
      <c r="N649">
        <v>1</v>
      </c>
      <c r="O649" t="str">
        <f t="shared" si="69"/>
        <v>42</v>
      </c>
      <c r="P649">
        <v>42</v>
      </c>
      <c r="R649" t="s">
        <v>1269</v>
      </c>
      <c r="S649">
        <v>1.34</v>
      </c>
      <c r="T649">
        <v>0.2472</v>
      </c>
      <c r="U649">
        <f t="shared" si="70"/>
        <v>0</v>
      </c>
      <c r="V649" t="str">
        <f t="shared" si="67"/>
        <v>Middle Counselor</v>
      </c>
      <c r="W649" t="str">
        <f t="shared" si="68"/>
        <v>Counselor</v>
      </c>
    </row>
    <row r="650" spans="1:23" x14ac:dyDescent="0.25">
      <c r="A650">
        <v>13073</v>
      </c>
      <c r="B650" t="s">
        <v>1298</v>
      </c>
      <c r="C650">
        <v>2</v>
      </c>
      <c r="D650" t="s">
        <v>1264</v>
      </c>
      <c r="E650">
        <v>100281</v>
      </c>
      <c r="F650">
        <v>13073</v>
      </c>
      <c r="G650" t="str">
        <f t="shared" si="66"/>
        <v>13073</v>
      </c>
      <c r="H650" t="s">
        <v>361</v>
      </c>
      <c r="I650" t="s">
        <v>1265</v>
      </c>
      <c r="J650" t="s">
        <v>1276</v>
      </c>
      <c r="K650" t="s">
        <v>1277</v>
      </c>
      <c r="L650" t="s">
        <v>1298</v>
      </c>
      <c r="M650" t="s">
        <v>1349</v>
      </c>
      <c r="N650">
        <v>21</v>
      </c>
      <c r="O650" t="str">
        <f t="shared" si="69"/>
        <v>46</v>
      </c>
      <c r="P650">
        <v>46</v>
      </c>
      <c r="R650" t="s">
        <v>1269</v>
      </c>
      <c r="S650">
        <v>2</v>
      </c>
      <c r="T650">
        <v>0.2472</v>
      </c>
      <c r="U650">
        <f t="shared" si="70"/>
        <v>0.49399999999999999</v>
      </c>
      <c r="V650" t="str">
        <f t="shared" si="67"/>
        <v>Elementary Psychologist</v>
      </c>
      <c r="W650" t="str">
        <f t="shared" si="68"/>
        <v>Psychologist</v>
      </c>
    </row>
    <row r="651" spans="1:23" x14ac:dyDescent="0.25">
      <c r="A651">
        <v>13144</v>
      </c>
      <c r="B651" t="s">
        <v>1308</v>
      </c>
      <c r="C651">
        <v>0.42399999999999999</v>
      </c>
      <c r="D651" t="s">
        <v>1264</v>
      </c>
      <c r="E651">
        <v>100212</v>
      </c>
      <c r="F651">
        <v>13144</v>
      </c>
      <c r="G651" t="str">
        <f t="shared" si="66"/>
        <v>13144</v>
      </c>
      <c r="H651" t="s">
        <v>362</v>
      </c>
      <c r="I651" t="s">
        <v>1265</v>
      </c>
      <c r="J651" t="s">
        <v>1276</v>
      </c>
      <c r="K651" t="s">
        <v>1277</v>
      </c>
      <c r="L651" t="s">
        <v>1308</v>
      </c>
      <c r="M651" t="s">
        <v>1389</v>
      </c>
      <c r="N651">
        <v>1</v>
      </c>
      <c r="O651" t="str">
        <f t="shared" si="69"/>
        <v>25</v>
      </c>
      <c r="Q651">
        <v>25</v>
      </c>
      <c r="R651" t="s">
        <v>1269</v>
      </c>
      <c r="S651">
        <v>0.42399999999999999</v>
      </c>
      <c r="T651">
        <v>0.2253</v>
      </c>
      <c r="U651">
        <f t="shared" si="70"/>
        <v>0</v>
      </c>
      <c r="V651" t="str">
        <f t="shared" si="67"/>
        <v>Elementary Pupil Management</v>
      </c>
      <c r="W651" t="str">
        <f t="shared" si="68"/>
        <v>Pupil Management</v>
      </c>
    </row>
    <row r="652" spans="1:23" x14ac:dyDescent="0.25">
      <c r="A652">
        <v>13144</v>
      </c>
      <c r="B652" t="s">
        <v>1383</v>
      </c>
      <c r="C652">
        <v>1.452</v>
      </c>
      <c r="D652" t="s">
        <v>1264</v>
      </c>
      <c r="E652">
        <v>100212</v>
      </c>
      <c r="F652">
        <v>13144</v>
      </c>
      <c r="G652" t="str">
        <f t="shared" si="66"/>
        <v>13144</v>
      </c>
      <c r="H652" t="s">
        <v>362</v>
      </c>
      <c r="I652" t="s">
        <v>1265</v>
      </c>
      <c r="J652" t="s">
        <v>1271</v>
      </c>
      <c r="K652" t="s">
        <v>1272</v>
      </c>
      <c r="L652" t="s">
        <v>1383</v>
      </c>
      <c r="M652" t="s">
        <v>1409</v>
      </c>
      <c r="N652">
        <v>21</v>
      </c>
      <c r="O652" t="str">
        <f t="shared" si="69"/>
        <v>25</v>
      </c>
      <c r="Q652">
        <v>25</v>
      </c>
      <c r="R652" t="s">
        <v>1269</v>
      </c>
      <c r="S652">
        <v>1.452</v>
      </c>
      <c r="T652">
        <v>0.2253</v>
      </c>
      <c r="U652">
        <f t="shared" si="70"/>
        <v>0.32700000000000001</v>
      </c>
      <c r="V652" t="str">
        <f t="shared" si="67"/>
        <v>High Pupil Management</v>
      </c>
      <c r="W652" t="str">
        <f t="shared" si="68"/>
        <v>Pupil Management</v>
      </c>
    </row>
    <row r="653" spans="1:23" x14ac:dyDescent="0.25">
      <c r="A653">
        <v>13144</v>
      </c>
      <c r="B653" t="s">
        <v>1299</v>
      </c>
      <c r="C653">
        <v>3.07</v>
      </c>
      <c r="D653" t="s">
        <v>1264</v>
      </c>
      <c r="E653">
        <v>100212</v>
      </c>
      <c r="F653">
        <v>13144</v>
      </c>
      <c r="G653" t="str">
        <f t="shared" si="66"/>
        <v>13144</v>
      </c>
      <c r="H653" t="s">
        <v>362</v>
      </c>
      <c r="I653" t="s">
        <v>1265</v>
      </c>
      <c r="J653" t="s">
        <v>1271</v>
      </c>
      <c r="K653" t="s">
        <v>1272</v>
      </c>
      <c r="L653" t="s">
        <v>1299</v>
      </c>
      <c r="M653" t="s">
        <v>1300</v>
      </c>
      <c r="N653">
        <v>1</v>
      </c>
      <c r="O653" t="str">
        <f t="shared" si="69"/>
        <v>25</v>
      </c>
      <c r="Q653">
        <v>25</v>
      </c>
      <c r="R653" t="s">
        <v>1269</v>
      </c>
      <c r="S653">
        <v>3.07</v>
      </c>
      <c r="T653">
        <v>0.2253</v>
      </c>
      <c r="U653">
        <f t="shared" si="70"/>
        <v>0</v>
      </c>
      <c r="V653" t="str">
        <f t="shared" si="67"/>
        <v>High Pupil Management</v>
      </c>
      <c r="W653" t="str">
        <f t="shared" si="68"/>
        <v>Pupil Management</v>
      </c>
    </row>
    <row r="654" spans="1:23" x14ac:dyDescent="0.25">
      <c r="A654">
        <v>13144</v>
      </c>
      <c r="B654" t="s">
        <v>1363</v>
      </c>
      <c r="C654">
        <v>4.2999999999999997E-2</v>
      </c>
      <c r="D654" t="s">
        <v>1264</v>
      </c>
      <c r="E654">
        <v>100212</v>
      </c>
      <c r="F654">
        <v>13144</v>
      </c>
      <c r="G654" t="str">
        <f t="shared" si="66"/>
        <v>13144</v>
      </c>
      <c r="H654" t="s">
        <v>362</v>
      </c>
      <c r="I654" t="s">
        <v>1265</v>
      </c>
      <c r="J654" t="s">
        <v>1266</v>
      </c>
      <c r="K654" t="s">
        <v>1267</v>
      </c>
      <c r="L654" t="s">
        <v>1363</v>
      </c>
      <c r="M654" t="s">
        <v>1386</v>
      </c>
      <c r="N654">
        <v>1</v>
      </c>
      <c r="O654" t="str">
        <f t="shared" si="69"/>
        <v>25</v>
      </c>
      <c r="Q654">
        <v>25</v>
      </c>
      <c r="R654" t="s">
        <v>1269</v>
      </c>
      <c r="S654">
        <v>4.2999999999999997E-2</v>
      </c>
      <c r="T654">
        <v>0.2253</v>
      </c>
      <c r="U654">
        <f t="shared" si="70"/>
        <v>0</v>
      </c>
      <c r="V654" t="str">
        <f t="shared" si="67"/>
        <v>Middle Pupil Management</v>
      </c>
      <c r="W654" t="str">
        <f t="shared" si="68"/>
        <v>Pupil Management</v>
      </c>
    </row>
    <row r="655" spans="1:23" x14ac:dyDescent="0.25">
      <c r="A655">
        <v>13144</v>
      </c>
      <c r="B655" t="s">
        <v>1324</v>
      </c>
      <c r="C655">
        <v>0.31</v>
      </c>
      <c r="D655" t="s">
        <v>1264</v>
      </c>
      <c r="E655">
        <v>100212</v>
      </c>
      <c r="F655">
        <v>13144</v>
      </c>
      <c r="G655" t="str">
        <f t="shared" si="66"/>
        <v>13144</v>
      </c>
      <c r="H655" t="s">
        <v>362</v>
      </c>
      <c r="I655" t="s">
        <v>1265</v>
      </c>
      <c r="J655" t="s">
        <v>1271</v>
      </c>
      <c r="K655" t="s">
        <v>1272</v>
      </c>
      <c r="L655" t="s">
        <v>1324</v>
      </c>
      <c r="M655" t="s">
        <v>1325</v>
      </c>
      <c r="N655">
        <v>21</v>
      </c>
      <c r="O655" t="str">
        <f t="shared" si="69"/>
        <v>26</v>
      </c>
      <c r="Q655">
        <v>26</v>
      </c>
      <c r="R655" t="s">
        <v>1269</v>
      </c>
      <c r="S655">
        <v>0.31</v>
      </c>
      <c r="T655">
        <v>0.2253</v>
      </c>
      <c r="U655">
        <f t="shared" si="70"/>
        <v>7.0000000000000007E-2</v>
      </c>
      <c r="V655" t="str">
        <f t="shared" si="67"/>
        <v>High Health/
Related Services</v>
      </c>
      <c r="W655" t="str">
        <f t="shared" si="68"/>
        <v>Health/
Related Services</v>
      </c>
    </row>
    <row r="656" spans="1:23" x14ac:dyDescent="0.25">
      <c r="A656">
        <v>13144</v>
      </c>
      <c r="B656" t="s">
        <v>1295</v>
      </c>
      <c r="C656">
        <v>0.98299999999999998</v>
      </c>
      <c r="D656" t="s">
        <v>1264</v>
      </c>
      <c r="E656">
        <v>100212</v>
      </c>
      <c r="F656">
        <v>13144</v>
      </c>
      <c r="G656" t="str">
        <f t="shared" si="66"/>
        <v>13144</v>
      </c>
      <c r="H656" t="s">
        <v>362</v>
      </c>
      <c r="I656" t="s">
        <v>1265</v>
      </c>
      <c r="J656" t="s">
        <v>1271</v>
      </c>
      <c r="K656" t="s">
        <v>1272</v>
      </c>
      <c r="L656" t="s">
        <v>1295</v>
      </c>
      <c r="M656" t="s">
        <v>1296</v>
      </c>
      <c r="N656">
        <v>1</v>
      </c>
      <c r="O656" t="str">
        <f t="shared" si="69"/>
        <v>26</v>
      </c>
      <c r="Q656">
        <v>26</v>
      </c>
      <c r="R656" t="s">
        <v>1269</v>
      </c>
      <c r="S656">
        <v>0.98299999999999998</v>
      </c>
      <c r="T656">
        <v>0.2253</v>
      </c>
      <c r="U656">
        <f t="shared" si="70"/>
        <v>0</v>
      </c>
      <c r="V656" t="str">
        <f t="shared" si="67"/>
        <v>High Health/
Related Services</v>
      </c>
      <c r="W656" t="str">
        <f t="shared" si="68"/>
        <v>Health/
Related Services</v>
      </c>
    </row>
    <row r="657" spans="1:23" x14ac:dyDescent="0.25">
      <c r="A657">
        <v>13144</v>
      </c>
      <c r="B657" t="s">
        <v>1275</v>
      </c>
      <c r="C657">
        <v>4.33</v>
      </c>
      <c r="D657" t="s">
        <v>1264</v>
      </c>
      <c r="E657">
        <v>100212</v>
      </c>
      <c r="F657">
        <v>13144</v>
      </c>
      <c r="G657" t="str">
        <f t="shared" si="66"/>
        <v>13144</v>
      </c>
      <c r="H657" t="s">
        <v>362</v>
      </c>
      <c r="I657" t="s">
        <v>1265</v>
      </c>
      <c r="J657" t="s">
        <v>1276</v>
      </c>
      <c r="K657" t="s">
        <v>1277</v>
      </c>
      <c r="L657" t="s">
        <v>1275</v>
      </c>
      <c r="M657" t="s">
        <v>1278</v>
      </c>
      <c r="N657">
        <v>1</v>
      </c>
      <c r="O657" t="str">
        <f t="shared" si="69"/>
        <v>42</v>
      </c>
      <c r="P657">
        <v>42</v>
      </c>
      <c r="R657" t="s">
        <v>1269</v>
      </c>
      <c r="S657">
        <v>4.33</v>
      </c>
      <c r="T657">
        <v>0.2253</v>
      </c>
      <c r="U657">
        <f t="shared" si="70"/>
        <v>0</v>
      </c>
      <c r="V657" t="str">
        <f t="shared" si="67"/>
        <v>Elementary Counselor</v>
      </c>
      <c r="W657" t="str">
        <f t="shared" si="68"/>
        <v>Counselor</v>
      </c>
    </row>
    <row r="658" spans="1:23" x14ac:dyDescent="0.25">
      <c r="A658">
        <v>13144</v>
      </c>
      <c r="B658" t="s">
        <v>1270</v>
      </c>
      <c r="C658">
        <v>3</v>
      </c>
      <c r="D658" t="s">
        <v>1264</v>
      </c>
      <c r="E658">
        <v>100212</v>
      </c>
      <c r="F658">
        <v>13144</v>
      </c>
      <c r="G658" t="str">
        <f t="shared" si="66"/>
        <v>13144</v>
      </c>
      <c r="H658" t="s">
        <v>362</v>
      </c>
      <c r="I658" t="s">
        <v>1265</v>
      </c>
      <c r="J658" t="s">
        <v>1271</v>
      </c>
      <c r="K658" t="s">
        <v>1272</v>
      </c>
      <c r="L658" t="s">
        <v>1270</v>
      </c>
      <c r="M658" t="s">
        <v>1273</v>
      </c>
      <c r="N658">
        <v>1</v>
      </c>
      <c r="O658" t="str">
        <f t="shared" si="69"/>
        <v>42</v>
      </c>
      <c r="P658">
        <v>42</v>
      </c>
      <c r="R658" t="s">
        <v>1269</v>
      </c>
      <c r="S658">
        <v>3</v>
      </c>
      <c r="T658">
        <v>0.2253</v>
      </c>
      <c r="U658">
        <f t="shared" si="70"/>
        <v>0</v>
      </c>
      <c r="V658" t="str">
        <f t="shared" si="67"/>
        <v>High Counselor</v>
      </c>
      <c r="W658" t="str">
        <f t="shared" si="68"/>
        <v>Counselor</v>
      </c>
    </row>
    <row r="659" spans="1:23" x14ac:dyDescent="0.25">
      <c r="A659">
        <v>13144</v>
      </c>
      <c r="B659" t="s">
        <v>1263</v>
      </c>
      <c r="C659">
        <v>1.67</v>
      </c>
      <c r="D659" t="s">
        <v>1264</v>
      </c>
      <c r="E659">
        <v>100212</v>
      </c>
      <c r="F659">
        <v>13144</v>
      </c>
      <c r="G659" t="str">
        <f t="shared" si="66"/>
        <v>13144</v>
      </c>
      <c r="H659" t="s">
        <v>362</v>
      </c>
      <c r="I659" t="s">
        <v>1265</v>
      </c>
      <c r="J659" t="s">
        <v>1266</v>
      </c>
      <c r="K659" t="s">
        <v>1267</v>
      </c>
      <c r="L659" t="s">
        <v>1263</v>
      </c>
      <c r="M659" t="s">
        <v>1268</v>
      </c>
      <c r="N659">
        <v>1</v>
      </c>
      <c r="O659" t="str">
        <f t="shared" si="69"/>
        <v>42</v>
      </c>
      <c r="P659">
        <v>42</v>
      </c>
      <c r="R659" t="s">
        <v>1269</v>
      </c>
      <c r="S659">
        <v>1.67</v>
      </c>
      <c r="T659">
        <v>0.2253</v>
      </c>
      <c r="U659">
        <f t="shared" si="70"/>
        <v>0</v>
      </c>
      <c r="V659" t="str">
        <f t="shared" si="67"/>
        <v>Middle Counselor</v>
      </c>
      <c r="W659" t="str">
        <f t="shared" si="68"/>
        <v>Counselor</v>
      </c>
    </row>
    <row r="660" spans="1:23" x14ac:dyDescent="0.25">
      <c r="A660">
        <v>13144</v>
      </c>
      <c r="B660" t="s">
        <v>1331</v>
      </c>
      <c r="C660">
        <v>1.5</v>
      </c>
      <c r="D660" t="s">
        <v>1264</v>
      </c>
      <c r="E660">
        <v>100212</v>
      </c>
      <c r="F660">
        <v>13144</v>
      </c>
      <c r="G660" t="str">
        <f t="shared" si="66"/>
        <v>13144</v>
      </c>
      <c r="H660" t="s">
        <v>362</v>
      </c>
      <c r="I660" t="s">
        <v>1265</v>
      </c>
      <c r="J660" t="s">
        <v>1276</v>
      </c>
      <c r="K660" t="s">
        <v>1277</v>
      </c>
      <c r="L660" t="s">
        <v>1331</v>
      </c>
      <c r="M660" t="s">
        <v>1405</v>
      </c>
      <c r="N660">
        <v>1</v>
      </c>
      <c r="O660" t="str">
        <f t="shared" si="69"/>
        <v>44</v>
      </c>
      <c r="P660">
        <v>44</v>
      </c>
      <c r="R660" t="s">
        <v>1269</v>
      </c>
      <c r="S660">
        <v>1.5</v>
      </c>
      <c r="T660">
        <v>0.2253</v>
      </c>
      <c r="U660">
        <f t="shared" si="70"/>
        <v>0</v>
      </c>
      <c r="V660" t="str">
        <f t="shared" si="67"/>
        <v>Elementary Social Worker</v>
      </c>
      <c r="W660" t="str">
        <f t="shared" si="68"/>
        <v>Social Worker</v>
      </c>
    </row>
    <row r="661" spans="1:23" x14ac:dyDescent="0.25">
      <c r="A661">
        <v>13144</v>
      </c>
      <c r="B661" t="s">
        <v>1359</v>
      </c>
      <c r="C661">
        <v>2.0329999999999999</v>
      </c>
      <c r="D661" t="s">
        <v>1264</v>
      </c>
      <c r="E661">
        <v>100212</v>
      </c>
      <c r="F661">
        <v>13144</v>
      </c>
      <c r="G661" t="str">
        <f t="shared" si="66"/>
        <v>13144</v>
      </c>
      <c r="H661" t="s">
        <v>362</v>
      </c>
      <c r="I661" t="s">
        <v>1265</v>
      </c>
      <c r="J661" t="s">
        <v>1271</v>
      </c>
      <c r="K661" t="s">
        <v>1272</v>
      </c>
      <c r="L661" t="s">
        <v>1359</v>
      </c>
      <c r="M661" t="s">
        <v>1360</v>
      </c>
      <c r="N661">
        <v>1</v>
      </c>
      <c r="O661" t="str">
        <f t="shared" si="69"/>
        <v>44</v>
      </c>
      <c r="P661">
        <v>44</v>
      </c>
      <c r="R661" t="s">
        <v>1269</v>
      </c>
      <c r="S661">
        <v>2.0329999999999999</v>
      </c>
      <c r="T661">
        <v>0.2253</v>
      </c>
      <c r="U661">
        <f t="shared" si="70"/>
        <v>0</v>
      </c>
      <c r="V661" t="str">
        <f t="shared" si="67"/>
        <v>High Social Worker</v>
      </c>
      <c r="W661" t="str">
        <f t="shared" si="68"/>
        <v>Social Worker</v>
      </c>
    </row>
    <row r="662" spans="1:23" x14ac:dyDescent="0.25">
      <c r="A662">
        <v>13144</v>
      </c>
      <c r="B662" t="s">
        <v>1356</v>
      </c>
      <c r="C662">
        <v>0.16700000000000001</v>
      </c>
      <c r="D662" t="s">
        <v>1264</v>
      </c>
      <c r="E662">
        <v>100212</v>
      </c>
      <c r="F662">
        <v>13144</v>
      </c>
      <c r="G662" t="str">
        <f t="shared" si="66"/>
        <v>13144</v>
      </c>
      <c r="H662" t="s">
        <v>362</v>
      </c>
      <c r="I662" t="s">
        <v>1265</v>
      </c>
      <c r="J662" t="s">
        <v>1266</v>
      </c>
      <c r="K662" t="s">
        <v>1267</v>
      </c>
      <c r="L662" t="s">
        <v>1356</v>
      </c>
      <c r="M662" t="s">
        <v>1357</v>
      </c>
      <c r="N662">
        <v>1</v>
      </c>
      <c r="O662" t="str">
        <f t="shared" si="69"/>
        <v>44</v>
      </c>
      <c r="P662">
        <v>44</v>
      </c>
      <c r="R662" t="s">
        <v>1269</v>
      </c>
      <c r="S662">
        <v>0.16700000000000001</v>
      </c>
      <c r="T662">
        <v>0.2253</v>
      </c>
      <c r="U662">
        <f t="shared" si="70"/>
        <v>0</v>
      </c>
      <c r="V662" t="str">
        <f t="shared" si="67"/>
        <v>Middle Social Worker</v>
      </c>
      <c r="W662" t="str">
        <f t="shared" si="68"/>
        <v>Social Worker</v>
      </c>
    </row>
    <row r="663" spans="1:23" x14ac:dyDescent="0.25">
      <c r="A663">
        <v>13144</v>
      </c>
      <c r="B663" t="s">
        <v>1309</v>
      </c>
      <c r="C663">
        <v>1</v>
      </c>
      <c r="D663" t="s">
        <v>1264</v>
      </c>
      <c r="E663">
        <v>100212</v>
      </c>
      <c r="F663">
        <v>13144</v>
      </c>
      <c r="G663" t="str">
        <f t="shared" si="66"/>
        <v>13144</v>
      </c>
      <c r="H663" t="s">
        <v>362</v>
      </c>
      <c r="I663" t="s">
        <v>1265</v>
      </c>
      <c r="J663" t="s">
        <v>1271</v>
      </c>
      <c r="K663" t="s">
        <v>1272</v>
      </c>
      <c r="L663" t="s">
        <v>1309</v>
      </c>
      <c r="M663" t="s">
        <v>1310</v>
      </c>
      <c r="N663">
        <v>21</v>
      </c>
      <c r="O663" t="str">
        <f t="shared" si="69"/>
        <v>46</v>
      </c>
      <c r="P663">
        <v>46</v>
      </c>
      <c r="R663" t="s">
        <v>1269</v>
      </c>
      <c r="S663">
        <v>1</v>
      </c>
      <c r="T663">
        <v>0.2253</v>
      </c>
      <c r="U663">
        <f t="shared" si="70"/>
        <v>0.22500000000000001</v>
      </c>
      <c r="V663" t="str">
        <f t="shared" si="67"/>
        <v>High Psychologist</v>
      </c>
      <c r="W663" t="str">
        <f t="shared" si="68"/>
        <v>Psychologist</v>
      </c>
    </row>
    <row r="664" spans="1:23" x14ac:dyDescent="0.25">
      <c r="A664">
        <v>13144</v>
      </c>
      <c r="B664" t="s">
        <v>1335</v>
      </c>
      <c r="C664">
        <v>1.0760000000000001</v>
      </c>
      <c r="D664" t="s">
        <v>1264</v>
      </c>
      <c r="E664">
        <v>100212</v>
      </c>
      <c r="F664">
        <v>13144</v>
      </c>
      <c r="G664" t="str">
        <f t="shared" si="66"/>
        <v>13144</v>
      </c>
      <c r="H664" t="s">
        <v>362</v>
      </c>
      <c r="I664" t="s">
        <v>1265</v>
      </c>
      <c r="J664" t="s">
        <v>1276</v>
      </c>
      <c r="K664" t="s">
        <v>1277</v>
      </c>
      <c r="L664" t="s">
        <v>1335</v>
      </c>
      <c r="M664" t="s">
        <v>1344</v>
      </c>
      <c r="N664">
        <v>1</v>
      </c>
      <c r="O664" t="str">
        <f t="shared" si="69"/>
        <v>47</v>
      </c>
      <c r="P664">
        <v>47</v>
      </c>
      <c r="R664" t="s">
        <v>1269</v>
      </c>
      <c r="S664">
        <v>1.0760000000000001</v>
      </c>
      <c r="T664">
        <v>0.2253</v>
      </c>
      <c r="U664">
        <f t="shared" si="70"/>
        <v>0</v>
      </c>
      <c r="V664" t="str">
        <f t="shared" si="67"/>
        <v>Elementary Nurse</v>
      </c>
      <c r="W664" t="str">
        <f t="shared" si="68"/>
        <v>Nurse</v>
      </c>
    </row>
    <row r="665" spans="1:23" x14ac:dyDescent="0.25">
      <c r="A665">
        <v>13144</v>
      </c>
      <c r="B665" t="s">
        <v>1341</v>
      </c>
      <c r="C665">
        <v>0.61599999999999999</v>
      </c>
      <c r="D665" t="s">
        <v>1264</v>
      </c>
      <c r="E665">
        <v>100212</v>
      </c>
      <c r="F665">
        <v>13144</v>
      </c>
      <c r="G665" t="str">
        <f t="shared" si="66"/>
        <v>13144</v>
      </c>
      <c r="H665" t="s">
        <v>362</v>
      </c>
      <c r="I665" t="s">
        <v>1265</v>
      </c>
      <c r="J665" t="s">
        <v>1271</v>
      </c>
      <c r="K665" t="s">
        <v>1272</v>
      </c>
      <c r="L665" t="s">
        <v>1341</v>
      </c>
      <c r="M665" t="s">
        <v>1342</v>
      </c>
      <c r="N665">
        <v>1</v>
      </c>
      <c r="O665" t="str">
        <f t="shared" si="69"/>
        <v>47</v>
      </c>
      <c r="P665">
        <v>47</v>
      </c>
      <c r="R665" t="s">
        <v>1269</v>
      </c>
      <c r="S665">
        <v>0.61599999999999999</v>
      </c>
      <c r="T665">
        <v>0.2253</v>
      </c>
      <c r="U665">
        <f t="shared" si="70"/>
        <v>0</v>
      </c>
      <c r="V665" t="str">
        <f t="shared" si="67"/>
        <v>High Nurse</v>
      </c>
      <c r="W665" t="str">
        <f t="shared" si="68"/>
        <v>Nurse</v>
      </c>
    </row>
    <row r="666" spans="1:23" x14ac:dyDescent="0.25">
      <c r="A666">
        <v>13144</v>
      </c>
      <c r="B666" t="s">
        <v>1338</v>
      </c>
      <c r="C666">
        <v>0.308</v>
      </c>
      <c r="D666" t="s">
        <v>1264</v>
      </c>
      <c r="E666">
        <v>100212</v>
      </c>
      <c r="F666">
        <v>13144</v>
      </c>
      <c r="G666" t="str">
        <f t="shared" si="66"/>
        <v>13144</v>
      </c>
      <c r="H666" t="s">
        <v>362</v>
      </c>
      <c r="I666" t="s">
        <v>1265</v>
      </c>
      <c r="J666" t="s">
        <v>1266</v>
      </c>
      <c r="K666" t="s">
        <v>1267</v>
      </c>
      <c r="L666" t="s">
        <v>1338</v>
      </c>
      <c r="M666" t="s">
        <v>1339</v>
      </c>
      <c r="N666">
        <v>1</v>
      </c>
      <c r="O666" t="str">
        <f t="shared" si="69"/>
        <v>47</v>
      </c>
      <c r="P666">
        <v>47</v>
      </c>
      <c r="R666" t="s">
        <v>1269</v>
      </c>
      <c r="S666">
        <v>0.308</v>
      </c>
      <c r="T666">
        <v>0.2253</v>
      </c>
      <c r="U666">
        <f t="shared" si="70"/>
        <v>0</v>
      </c>
      <c r="V666" t="str">
        <f t="shared" si="67"/>
        <v>Middle Nurse</v>
      </c>
      <c r="W666" t="str">
        <f t="shared" si="68"/>
        <v>Nurse</v>
      </c>
    </row>
    <row r="667" spans="1:23" x14ac:dyDescent="0.25">
      <c r="A667">
        <v>13146</v>
      </c>
      <c r="B667" t="s">
        <v>1297</v>
      </c>
      <c r="C667">
        <v>0.318</v>
      </c>
      <c r="D667" t="s">
        <v>1264</v>
      </c>
      <c r="E667">
        <v>100285</v>
      </c>
      <c r="F667">
        <v>13146</v>
      </c>
      <c r="G667" t="str">
        <f t="shared" si="66"/>
        <v>13146</v>
      </c>
      <c r="H667" t="s">
        <v>363</v>
      </c>
      <c r="I667" t="s">
        <v>1265</v>
      </c>
      <c r="J667" t="s">
        <v>1276</v>
      </c>
      <c r="K667" t="s">
        <v>1277</v>
      </c>
      <c r="L667" t="s">
        <v>1297</v>
      </c>
      <c r="M667" t="s">
        <v>1381</v>
      </c>
      <c r="N667">
        <v>1</v>
      </c>
      <c r="O667" t="str">
        <f t="shared" si="69"/>
        <v>24</v>
      </c>
      <c r="P667">
        <v>96</v>
      </c>
      <c r="Q667">
        <v>24</v>
      </c>
      <c r="R667" t="s">
        <v>1269</v>
      </c>
      <c r="S667">
        <v>0.318</v>
      </c>
      <c r="T667">
        <v>0.32650000000000001</v>
      </c>
      <c r="U667">
        <f t="shared" si="70"/>
        <v>0</v>
      </c>
      <c r="V667" t="str">
        <f t="shared" si="67"/>
        <v>Elementary Family Engagement Coordinator</v>
      </c>
      <c r="W667" t="str">
        <f t="shared" si="68"/>
        <v>Family Engagement Coordinator</v>
      </c>
    </row>
    <row r="668" spans="1:23" x14ac:dyDescent="0.25">
      <c r="A668">
        <v>13146</v>
      </c>
      <c r="B668" t="s">
        <v>1311</v>
      </c>
      <c r="C668">
        <v>0.318</v>
      </c>
      <c r="D668" t="s">
        <v>1264</v>
      </c>
      <c r="E668">
        <v>100285</v>
      </c>
      <c r="F668">
        <v>13146</v>
      </c>
      <c r="G668" t="str">
        <f t="shared" si="66"/>
        <v>13146</v>
      </c>
      <c r="H668" t="s">
        <v>363</v>
      </c>
      <c r="I668" t="s">
        <v>1265</v>
      </c>
      <c r="J668" t="s">
        <v>1276</v>
      </c>
      <c r="K668" t="s">
        <v>1277</v>
      </c>
      <c r="L668" t="s">
        <v>1311</v>
      </c>
      <c r="M668" t="s">
        <v>1327</v>
      </c>
      <c r="N668">
        <v>21</v>
      </c>
      <c r="O668" t="str">
        <f t="shared" si="69"/>
        <v>26</v>
      </c>
      <c r="Q668">
        <v>26</v>
      </c>
      <c r="R668" t="s">
        <v>1269</v>
      </c>
      <c r="S668">
        <v>0.318</v>
      </c>
      <c r="T668">
        <v>0.32650000000000001</v>
      </c>
      <c r="U668">
        <f t="shared" si="70"/>
        <v>0.104</v>
      </c>
      <c r="V668" t="str">
        <f t="shared" si="67"/>
        <v>Elementary Health/
Related Services</v>
      </c>
      <c r="W668" t="str">
        <f t="shared" si="68"/>
        <v>Health/
Related Services</v>
      </c>
    </row>
    <row r="669" spans="1:23" x14ac:dyDescent="0.25">
      <c r="A669">
        <v>13146</v>
      </c>
      <c r="B669" t="s">
        <v>1275</v>
      </c>
      <c r="C669">
        <v>0.65</v>
      </c>
      <c r="D669" t="s">
        <v>1264</v>
      </c>
      <c r="E669">
        <v>100285</v>
      </c>
      <c r="F669">
        <v>13146</v>
      </c>
      <c r="G669" t="str">
        <f t="shared" si="66"/>
        <v>13146</v>
      </c>
      <c r="H669" t="s">
        <v>363</v>
      </c>
      <c r="I669" t="s">
        <v>1265</v>
      </c>
      <c r="J669" t="s">
        <v>1276</v>
      </c>
      <c r="K669" t="s">
        <v>1277</v>
      </c>
      <c r="L669" t="s">
        <v>1275</v>
      </c>
      <c r="M669" t="s">
        <v>1278</v>
      </c>
      <c r="N669">
        <v>1</v>
      </c>
      <c r="O669" t="str">
        <f t="shared" si="69"/>
        <v>42</v>
      </c>
      <c r="P669">
        <v>42</v>
      </c>
      <c r="R669" t="s">
        <v>1269</v>
      </c>
      <c r="S669">
        <v>0.65</v>
      </c>
      <c r="T669">
        <v>0.32650000000000001</v>
      </c>
      <c r="U669">
        <f t="shared" si="70"/>
        <v>0</v>
      </c>
      <c r="V669" t="str">
        <f t="shared" si="67"/>
        <v>Elementary Counselor</v>
      </c>
      <c r="W669" t="str">
        <f t="shared" si="68"/>
        <v>Counselor</v>
      </c>
    </row>
    <row r="670" spans="1:23" x14ac:dyDescent="0.25">
      <c r="A670">
        <v>13146</v>
      </c>
      <c r="B670" t="s">
        <v>1270</v>
      </c>
      <c r="C670">
        <v>0.5</v>
      </c>
      <c r="D670" t="s">
        <v>1264</v>
      </c>
      <c r="E670">
        <v>100285</v>
      </c>
      <c r="F670">
        <v>13146</v>
      </c>
      <c r="G670" t="str">
        <f t="shared" si="66"/>
        <v>13146</v>
      </c>
      <c r="H670" t="s">
        <v>363</v>
      </c>
      <c r="I670" t="s">
        <v>1265</v>
      </c>
      <c r="J670" t="s">
        <v>1271</v>
      </c>
      <c r="K670" t="s">
        <v>1272</v>
      </c>
      <c r="L670" t="s">
        <v>1270</v>
      </c>
      <c r="M670" t="s">
        <v>1273</v>
      </c>
      <c r="N670">
        <v>1</v>
      </c>
      <c r="O670" t="str">
        <f t="shared" si="69"/>
        <v>42</v>
      </c>
      <c r="P670">
        <v>42</v>
      </c>
      <c r="R670" t="s">
        <v>1269</v>
      </c>
      <c r="S670">
        <v>0.5</v>
      </c>
      <c r="T670">
        <v>0.32650000000000001</v>
      </c>
      <c r="U670">
        <f t="shared" si="70"/>
        <v>0</v>
      </c>
      <c r="V670" t="str">
        <f t="shared" si="67"/>
        <v>High Counselor</v>
      </c>
      <c r="W670" t="str">
        <f t="shared" si="68"/>
        <v>Counselor</v>
      </c>
    </row>
    <row r="671" spans="1:23" x14ac:dyDescent="0.25">
      <c r="A671">
        <v>13146</v>
      </c>
      <c r="B671" t="s">
        <v>1263</v>
      </c>
      <c r="C671">
        <v>0.86</v>
      </c>
      <c r="D671" t="s">
        <v>1264</v>
      </c>
      <c r="E671">
        <v>100285</v>
      </c>
      <c r="F671">
        <v>13146</v>
      </c>
      <c r="G671" t="str">
        <f t="shared" si="66"/>
        <v>13146</v>
      </c>
      <c r="H671" t="s">
        <v>363</v>
      </c>
      <c r="I671" t="s">
        <v>1265</v>
      </c>
      <c r="J671" t="s">
        <v>1266</v>
      </c>
      <c r="K671" t="s">
        <v>1267</v>
      </c>
      <c r="L671" t="s">
        <v>1263</v>
      </c>
      <c r="M671" t="s">
        <v>1268</v>
      </c>
      <c r="N671">
        <v>1</v>
      </c>
      <c r="O671" t="str">
        <f t="shared" si="69"/>
        <v>42</v>
      </c>
      <c r="P671">
        <v>42</v>
      </c>
      <c r="R671" t="s">
        <v>1269</v>
      </c>
      <c r="S671">
        <v>0.86</v>
      </c>
      <c r="T671">
        <v>0.32650000000000001</v>
      </c>
      <c r="U671">
        <f t="shared" si="70"/>
        <v>0</v>
      </c>
      <c r="V671" t="str">
        <f t="shared" si="67"/>
        <v>Middle Counselor</v>
      </c>
      <c r="W671" t="str">
        <f t="shared" si="68"/>
        <v>Counselor</v>
      </c>
    </row>
    <row r="672" spans="1:23" x14ac:dyDescent="0.25">
      <c r="A672">
        <v>13146</v>
      </c>
      <c r="B672" t="s">
        <v>1294</v>
      </c>
      <c r="C672">
        <v>0.44</v>
      </c>
      <c r="D672" t="s">
        <v>1264</v>
      </c>
      <c r="E672">
        <v>100285</v>
      </c>
      <c r="F672">
        <v>13146</v>
      </c>
      <c r="G672" t="str">
        <f t="shared" si="66"/>
        <v>13146</v>
      </c>
      <c r="H672" t="s">
        <v>363</v>
      </c>
      <c r="I672" t="s">
        <v>1265</v>
      </c>
      <c r="J672" t="s">
        <v>1276</v>
      </c>
      <c r="K672" t="s">
        <v>1277</v>
      </c>
      <c r="L672" t="s">
        <v>1294</v>
      </c>
      <c r="M672" t="s">
        <v>1354</v>
      </c>
      <c r="N672">
        <v>21</v>
      </c>
      <c r="O672" t="str">
        <f t="shared" si="69"/>
        <v>45</v>
      </c>
      <c r="P672">
        <v>45</v>
      </c>
      <c r="R672" t="s">
        <v>1269</v>
      </c>
      <c r="S672">
        <v>0.44</v>
      </c>
      <c r="T672">
        <v>0.32650000000000001</v>
      </c>
      <c r="U672">
        <f t="shared" si="70"/>
        <v>0.14399999999999999</v>
      </c>
      <c r="V672" t="str">
        <f t="shared" si="67"/>
        <v>Elementary Speech, Language Pathway/
Audio</v>
      </c>
      <c r="W672" t="str">
        <f t="shared" si="68"/>
        <v>Speech, Language Pathway/
Audio</v>
      </c>
    </row>
    <row r="673" spans="1:23" x14ac:dyDescent="0.25">
      <c r="A673">
        <v>13146</v>
      </c>
      <c r="B673" t="s">
        <v>1326</v>
      </c>
      <c r="C673">
        <v>0.3</v>
      </c>
      <c r="D673" t="s">
        <v>1264</v>
      </c>
      <c r="E673">
        <v>100285</v>
      </c>
      <c r="F673">
        <v>13146</v>
      </c>
      <c r="G673" t="str">
        <f t="shared" si="66"/>
        <v>13146</v>
      </c>
      <c r="H673" t="s">
        <v>363</v>
      </c>
      <c r="I673" t="s">
        <v>1265</v>
      </c>
      <c r="J673" t="s">
        <v>1271</v>
      </c>
      <c r="K673" t="s">
        <v>1272</v>
      </c>
      <c r="L673" t="s">
        <v>1326</v>
      </c>
      <c r="M673" t="s">
        <v>1353</v>
      </c>
      <c r="N673">
        <v>21</v>
      </c>
      <c r="O673" t="str">
        <f t="shared" si="69"/>
        <v>45</v>
      </c>
      <c r="P673">
        <v>45</v>
      </c>
      <c r="R673" t="s">
        <v>1269</v>
      </c>
      <c r="S673">
        <v>0.3</v>
      </c>
      <c r="T673">
        <v>0.32650000000000001</v>
      </c>
      <c r="U673">
        <f t="shared" si="70"/>
        <v>9.8000000000000004E-2</v>
      </c>
      <c r="V673" t="str">
        <f t="shared" si="67"/>
        <v>High Speech, Language Pathway/
Audio</v>
      </c>
      <c r="W673" t="str">
        <f t="shared" si="68"/>
        <v>Speech, Language Pathway/
Audio</v>
      </c>
    </row>
    <row r="674" spans="1:23" x14ac:dyDescent="0.25">
      <c r="A674">
        <v>13146</v>
      </c>
      <c r="B674" t="s">
        <v>1312</v>
      </c>
      <c r="C674">
        <v>0.26</v>
      </c>
      <c r="D674" t="s">
        <v>1264</v>
      </c>
      <c r="E674">
        <v>100285</v>
      </c>
      <c r="F674">
        <v>13146</v>
      </c>
      <c r="G674" t="str">
        <f t="shared" si="66"/>
        <v>13146</v>
      </c>
      <c r="H674" t="s">
        <v>363</v>
      </c>
      <c r="I674" t="s">
        <v>1265</v>
      </c>
      <c r="J674" t="s">
        <v>1266</v>
      </c>
      <c r="K674" t="s">
        <v>1267</v>
      </c>
      <c r="L674" t="s">
        <v>1312</v>
      </c>
      <c r="M674" t="s">
        <v>1351</v>
      </c>
      <c r="N674">
        <v>21</v>
      </c>
      <c r="O674" t="str">
        <f t="shared" si="69"/>
        <v>45</v>
      </c>
      <c r="P674">
        <v>45</v>
      </c>
      <c r="R674" t="s">
        <v>1269</v>
      </c>
      <c r="S674">
        <v>0.26</v>
      </c>
      <c r="T674">
        <v>0.32650000000000001</v>
      </c>
      <c r="U674">
        <f t="shared" si="70"/>
        <v>8.5000000000000006E-2</v>
      </c>
      <c r="V674" t="str">
        <f t="shared" si="67"/>
        <v>Middle Speech, Language Pathway/
Audio</v>
      </c>
      <c r="W674" t="str">
        <f t="shared" si="68"/>
        <v>Speech, Language Pathway/
Audio</v>
      </c>
    </row>
    <row r="675" spans="1:23" x14ac:dyDescent="0.25">
      <c r="A675">
        <v>13146</v>
      </c>
      <c r="B675" t="s">
        <v>1298</v>
      </c>
      <c r="C675">
        <v>0.44</v>
      </c>
      <c r="D675" t="s">
        <v>1264</v>
      </c>
      <c r="E675">
        <v>100285</v>
      </c>
      <c r="F675">
        <v>13146</v>
      </c>
      <c r="G675" t="str">
        <f t="shared" si="66"/>
        <v>13146</v>
      </c>
      <c r="H675" t="s">
        <v>363</v>
      </c>
      <c r="I675" t="s">
        <v>1265</v>
      </c>
      <c r="J675" t="s">
        <v>1276</v>
      </c>
      <c r="K675" t="s">
        <v>1277</v>
      </c>
      <c r="L675" t="s">
        <v>1298</v>
      </c>
      <c r="M675" t="s">
        <v>1349</v>
      </c>
      <c r="N675">
        <v>21</v>
      </c>
      <c r="O675" t="str">
        <f t="shared" si="69"/>
        <v>46</v>
      </c>
      <c r="P675">
        <v>46</v>
      </c>
      <c r="R675" t="s">
        <v>1269</v>
      </c>
      <c r="S675">
        <v>0.44</v>
      </c>
      <c r="T675">
        <v>0.32650000000000001</v>
      </c>
      <c r="U675">
        <f t="shared" si="70"/>
        <v>0.14399999999999999</v>
      </c>
      <c r="V675" t="str">
        <f t="shared" si="67"/>
        <v>Elementary Psychologist</v>
      </c>
      <c r="W675" t="str">
        <f t="shared" si="68"/>
        <v>Psychologist</v>
      </c>
    </row>
    <row r="676" spans="1:23" x14ac:dyDescent="0.25">
      <c r="A676">
        <v>13146</v>
      </c>
      <c r="B676" t="s">
        <v>1309</v>
      </c>
      <c r="C676">
        <v>0.3</v>
      </c>
      <c r="D676" t="s">
        <v>1264</v>
      </c>
      <c r="E676">
        <v>100285</v>
      </c>
      <c r="F676">
        <v>13146</v>
      </c>
      <c r="G676" t="str">
        <f t="shared" si="66"/>
        <v>13146</v>
      </c>
      <c r="H676" t="s">
        <v>363</v>
      </c>
      <c r="I676" t="s">
        <v>1265</v>
      </c>
      <c r="J676" t="s">
        <v>1271</v>
      </c>
      <c r="K676" t="s">
        <v>1272</v>
      </c>
      <c r="L676" t="s">
        <v>1309</v>
      </c>
      <c r="M676" t="s">
        <v>1310</v>
      </c>
      <c r="N676">
        <v>21</v>
      </c>
      <c r="O676" t="str">
        <f t="shared" si="69"/>
        <v>46</v>
      </c>
      <c r="P676">
        <v>46</v>
      </c>
      <c r="R676" t="s">
        <v>1269</v>
      </c>
      <c r="S676">
        <v>0.3</v>
      </c>
      <c r="T676">
        <v>0.32650000000000001</v>
      </c>
      <c r="U676">
        <f t="shared" si="70"/>
        <v>9.8000000000000004E-2</v>
      </c>
      <c r="V676" t="str">
        <f t="shared" si="67"/>
        <v>High Psychologist</v>
      </c>
      <c r="W676" t="str">
        <f t="shared" si="68"/>
        <v>Psychologist</v>
      </c>
    </row>
    <row r="677" spans="1:23" x14ac:dyDescent="0.25">
      <c r="A677">
        <v>13146</v>
      </c>
      <c r="B677" t="s">
        <v>1345</v>
      </c>
      <c r="C677">
        <v>0.26</v>
      </c>
      <c r="D677" t="s">
        <v>1264</v>
      </c>
      <c r="E677">
        <v>100285</v>
      </c>
      <c r="F677">
        <v>13146</v>
      </c>
      <c r="G677" t="str">
        <f t="shared" si="66"/>
        <v>13146</v>
      </c>
      <c r="H677" t="s">
        <v>363</v>
      </c>
      <c r="I677" t="s">
        <v>1265</v>
      </c>
      <c r="J677" t="s">
        <v>1266</v>
      </c>
      <c r="K677" t="s">
        <v>1267</v>
      </c>
      <c r="L677" t="s">
        <v>1345</v>
      </c>
      <c r="M677" t="s">
        <v>1346</v>
      </c>
      <c r="N677">
        <v>21</v>
      </c>
      <c r="O677" t="str">
        <f t="shared" si="69"/>
        <v>46</v>
      </c>
      <c r="P677">
        <v>46</v>
      </c>
      <c r="R677" t="s">
        <v>1269</v>
      </c>
      <c r="S677">
        <v>0.26</v>
      </c>
      <c r="T677">
        <v>0.32650000000000001</v>
      </c>
      <c r="U677">
        <f t="shared" si="70"/>
        <v>8.5000000000000006E-2</v>
      </c>
      <c r="V677" t="str">
        <f t="shared" si="67"/>
        <v>Middle Psychologist</v>
      </c>
      <c r="W677" t="str">
        <f t="shared" si="68"/>
        <v>Psychologist</v>
      </c>
    </row>
    <row r="678" spans="1:23" x14ac:dyDescent="0.25">
      <c r="A678">
        <v>13151</v>
      </c>
      <c r="B678" t="s">
        <v>1275</v>
      </c>
      <c r="C678">
        <v>0.14000000000000001</v>
      </c>
      <c r="D678" t="s">
        <v>1264</v>
      </c>
      <c r="E678">
        <v>100057</v>
      </c>
      <c r="F678">
        <v>13151</v>
      </c>
      <c r="G678" t="str">
        <f t="shared" si="66"/>
        <v>13151</v>
      </c>
      <c r="H678" t="s">
        <v>364</v>
      </c>
      <c r="I678" t="s">
        <v>1265</v>
      </c>
      <c r="J678" t="s">
        <v>1276</v>
      </c>
      <c r="K678" t="s">
        <v>1277</v>
      </c>
      <c r="L678" t="s">
        <v>1275</v>
      </c>
      <c r="M678" t="s">
        <v>1278</v>
      </c>
      <c r="N678">
        <v>1</v>
      </c>
      <c r="O678" t="str">
        <f t="shared" si="69"/>
        <v>42</v>
      </c>
      <c r="P678">
        <v>42</v>
      </c>
      <c r="R678" t="s">
        <v>1269</v>
      </c>
      <c r="S678">
        <v>0.14000000000000001</v>
      </c>
      <c r="T678">
        <v>0.22289999999999999</v>
      </c>
      <c r="U678">
        <f t="shared" si="70"/>
        <v>0</v>
      </c>
      <c r="V678" t="str">
        <f t="shared" si="67"/>
        <v>Elementary Counselor</v>
      </c>
      <c r="W678" t="str">
        <f t="shared" si="68"/>
        <v>Counselor</v>
      </c>
    </row>
    <row r="679" spans="1:23" x14ac:dyDescent="0.25">
      <c r="A679">
        <v>13151</v>
      </c>
      <c r="B679" t="s">
        <v>1270</v>
      </c>
      <c r="C679">
        <v>0.57999999999999996</v>
      </c>
      <c r="D679" t="s">
        <v>1264</v>
      </c>
      <c r="E679">
        <v>100057</v>
      </c>
      <c r="F679">
        <v>13151</v>
      </c>
      <c r="G679" t="str">
        <f t="shared" si="66"/>
        <v>13151</v>
      </c>
      <c r="H679" t="s">
        <v>364</v>
      </c>
      <c r="I679" t="s">
        <v>1265</v>
      </c>
      <c r="J679" t="s">
        <v>1271</v>
      </c>
      <c r="K679" t="s">
        <v>1272</v>
      </c>
      <c r="L679" t="s">
        <v>1270</v>
      </c>
      <c r="M679" t="s">
        <v>1273</v>
      </c>
      <c r="N679">
        <v>1</v>
      </c>
      <c r="O679" t="str">
        <f t="shared" si="69"/>
        <v>42</v>
      </c>
      <c r="P679">
        <v>42</v>
      </c>
      <c r="R679" t="s">
        <v>1269</v>
      </c>
      <c r="S679">
        <v>0.57999999999999996</v>
      </c>
      <c r="T679">
        <v>0.22289999999999999</v>
      </c>
      <c r="U679">
        <f t="shared" si="70"/>
        <v>0</v>
      </c>
      <c r="V679" t="str">
        <f t="shared" si="67"/>
        <v>High Counselor</v>
      </c>
      <c r="W679" t="str">
        <f t="shared" si="68"/>
        <v>Counselor</v>
      </c>
    </row>
    <row r="680" spans="1:23" x14ac:dyDescent="0.25">
      <c r="A680">
        <v>13156</v>
      </c>
      <c r="B680" t="s">
        <v>1315</v>
      </c>
      <c r="C680">
        <v>0.20200000000000001</v>
      </c>
      <c r="D680" t="s">
        <v>1264</v>
      </c>
      <c r="E680">
        <v>100241</v>
      </c>
      <c r="F680">
        <v>13156</v>
      </c>
      <c r="G680" t="str">
        <f t="shared" si="66"/>
        <v>13156</v>
      </c>
      <c r="H680" t="s">
        <v>365</v>
      </c>
      <c r="I680" t="s">
        <v>1265</v>
      </c>
      <c r="J680" t="s">
        <v>1276</v>
      </c>
      <c r="K680" t="s">
        <v>1277</v>
      </c>
      <c r="L680" t="s">
        <v>1315</v>
      </c>
      <c r="M680" t="s">
        <v>1375</v>
      </c>
      <c r="N680">
        <v>1</v>
      </c>
      <c r="O680" t="str">
        <f t="shared" si="69"/>
        <v>26</v>
      </c>
      <c r="Q680">
        <v>26</v>
      </c>
      <c r="R680" t="s">
        <v>1269</v>
      </c>
      <c r="S680">
        <v>0.20200000000000001</v>
      </c>
      <c r="T680">
        <v>0.25950000000000001</v>
      </c>
      <c r="U680">
        <f t="shared" si="70"/>
        <v>0</v>
      </c>
      <c r="V680" t="str">
        <f t="shared" si="67"/>
        <v>Elementary Health/
Related Services</v>
      </c>
      <c r="W680" t="str">
        <f t="shared" si="68"/>
        <v>Health/
Related Services</v>
      </c>
    </row>
    <row r="681" spans="1:23" x14ac:dyDescent="0.25">
      <c r="A681">
        <v>13156</v>
      </c>
      <c r="B681" t="s">
        <v>1324</v>
      </c>
      <c r="C681">
        <v>0.63900000000000001</v>
      </c>
      <c r="D681" t="s">
        <v>1264</v>
      </c>
      <c r="E681">
        <v>100241</v>
      </c>
      <c r="F681">
        <v>13156</v>
      </c>
      <c r="G681" t="str">
        <f t="shared" si="66"/>
        <v>13156</v>
      </c>
      <c r="H681" t="s">
        <v>365</v>
      </c>
      <c r="I681" t="s">
        <v>1265</v>
      </c>
      <c r="J681" t="s">
        <v>1271</v>
      </c>
      <c r="K681" t="s">
        <v>1272</v>
      </c>
      <c r="L681" t="s">
        <v>1324</v>
      </c>
      <c r="M681" t="s">
        <v>1325</v>
      </c>
      <c r="N681">
        <v>21</v>
      </c>
      <c r="O681" t="str">
        <f t="shared" si="69"/>
        <v>26</v>
      </c>
      <c r="Q681">
        <v>26</v>
      </c>
      <c r="R681" t="s">
        <v>1269</v>
      </c>
      <c r="S681">
        <v>0.63900000000000001</v>
      </c>
      <c r="T681">
        <v>0.25950000000000001</v>
      </c>
      <c r="U681">
        <f t="shared" si="70"/>
        <v>0.16600000000000001</v>
      </c>
      <c r="V681" t="str">
        <f t="shared" si="67"/>
        <v>High Health/
Related Services</v>
      </c>
      <c r="W681" t="str">
        <f t="shared" si="68"/>
        <v>Health/
Related Services</v>
      </c>
    </row>
    <row r="682" spans="1:23" x14ac:dyDescent="0.25">
      <c r="A682">
        <v>13156</v>
      </c>
      <c r="B682" t="s">
        <v>1295</v>
      </c>
      <c r="C682">
        <v>0.253</v>
      </c>
      <c r="D682" t="s">
        <v>1264</v>
      </c>
      <c r="E682">
        <v>100241</v>
      </c>
      <c r="F682">
        <v>13156</v>
      </c>
      <c r="G682" t="str">
        <f t="shared" si="66"/>
        <v>13156</v>
      </c>
      <c r="H682" t="s">
        <v>365</v>
      </c>
      <c r="I682" t="s">
        <v>1265</v>
      </c>
      <c r="J682" t="s">
        <v>1271</v>
      </c>
      <c r="K682" t="s">
        <v>1272</v>
      </c>
      <c r="L682" t="s">
        <v>1295</v>
      </c>
      <c r="M682" t="s">
        <v>1296</v>
      </c>
      <c r="N682">
        <v>1</v>
      </c>
      <c r="O682" t="str">
        <f t="shared" si="69"/>
        <v>26</v>
      </c>
      <c r="Q682">
        <v>26</v>
      </c>
      <c r="R682" t="s">
        <v>1269</v>
      </c>
      <c r="S682">
        <v>0.253</v>
      </c>
      <c r="T682">
        <v>0.25950000000000001</v>
      </c>
      <c r="U682">
        <f t="shared" si="70"/>
        <v>0</v>
      </c>
      <c r="V682" t="str">
        <f t="shared" si="67"/>
        <v>High Health/
Related Services</v>
      </c>
      <c r="W682" t="str">
        <f t="shared" si="68"/>
        <v>Health/
Related Services</v>
      </c>
    </row>
    <row r="683" spans="1:23" x14ac:dyDescent="0.25">
      <c r="A683">
        <v>13156</v>
      </c>
      <c r="B683" t="s">
        <v>1291</v>
      </c>
      <c r="C683">
        <v>0.152</v>
      </c>
      <c r="D683" t="s">
        <v>1264</v>
      </c>
      <c r="E683">
        <v>100241</v>
      </c>
      <c r="F683">
        <v>13156</v>
      </c>
      <c r="G683" t="str">
        <f t="shared" si="66"/>
        <v>13156</v>
      </c>
      <c r="H683" t="s">
        <v>365</v>
      </c>
      <c r="I683" t="s">
        <v>1265</v>
      </c>
      <c r="J683" t="s">
        <v>1266</v>
      </c>
      <c r="K683" t="s">
        <v>1267</v>
      </c>
      <c r="L683" t="s">
        <v>1291</v>
      </c>
      <c r="M683" t="s">
        <v>1292</v>
      </c>
      <c r="N683">
        <v>1</v>
      </c>
      <c r="O683" t="str">
        <f t="shared" si="69"/>
        <v>26</v>
      </c>
      <c r="Q683">
        <v>26</v>
      </c>
      <c r="R683" t="s">
        <v>1269</v>
      </c>
      <c r="S683">
        <v>0.152</v>
      </c>
      <c r="T683">
        <v>0.25950000000000001</v>
      </c>
      <c r="U683">
        <f t="shared" si="70"/>
        <v>0</v>
      </c>
      <c r="V683" t="str">
        <f t="shared" si="67"/>
        <v>Middle Health/
Related Services</v>
      </c>
      <c r="W683" t="str">
        <f t="shared" si="68"/>
        <v>Health/
Related Services</v>
      </c>
    </row>
    <row r="684" spans="1:23" x14ac:dyDescent="0.25">
      <c r="A684">
        <v>13156</v>
      </c>
      <c r="B684" t="s">
        <v>1270</v>
      </c>
      <c r="C684">
        <v>0.75</v>
      </c>
      <c r="D684" t="s">
        <v>1264</v>
      </c>
      <c r="E684">
        <v>100241</v>
      </c>
      <c r="F684">
        <v>13156</v>
      </c>
      <c r="G684" t="str">
        <f t="shared" si="66"/>
        <v>13156</v>
      </c>
      <c r="H684" t="s">
        <v>365</v>
      </c>
      <c r="I684" t="s">
        <v>1265</v>
      </c>
      <c r="J684" t="s">
        <v>1271</v>
      </c>
      <c r="K684" t="s">
        <v>1272</v>
      </c>
      <c r="L684" t="s">
        <v>1270</v>
      </c>
      <c r="M684" t="s">
        <v>1273</v>
      </c>
      <c r="N684">
        <v>1</v>
      </c>
      <c r="O684" t="str">
        <f t="shared" si="69"/>
        <v>42</v>
      </c>
      <c r="P684">
        <v>42</v>
      </c>
      <c r="R684" t="s">
        <v>1269</v>
      </c>
      <c r="S684">
        <v>0.75</v>
      </c>
      <c r="T684">
        <v>0.25950000000000001</v>
      </c>
      <c r="U684">
        <f t="shared" si="70"/>
        <v>0</v>
      </c>
      <c r="V684" t="str">
        <f t="shared" si="67"/>
        <v>High Counselor</v>
      </c>
      <c r="W684" t="str">
        <f t="shared" si="68"/>
        <v>Counselor</v>
      </c>
    </row>
    <row r="685" spans="1:23" x14ac:dyDescent="0.25">
      <c r="A685">
        <v>13156</v>
      </c>
      <c r="B685" t="s">
        <v>1263</v>
      </c>
      <c r="C685">
        <v>0.25</v>
      </c>
      <c r="D685" t="s">
        <v>1264</v>
      </c>
      <c r="E685">
        <v>100241</v>
      </c>
      <c r="F685">
        <v>13156</v>
      </c>
      <c r="G685" t="str">
        <f t="shared" si="66"/>
        <v>13156</v>
      </c>
      <c r="H685" t="s">
        <v>365</v>
      </c>
      <c r="I685" t="s">
        <v>1265</v>
      </c>
      <c r="J685" t="s">
        <v>1266</v>
      </c>
      <c r="K685" t="s">
        <v>1267</v>
      </c>
      <c r="L685" t="s">
        <v>1263</v>
      </c>
      <c r="M685" t="s">
        <v>1268</v>
      </c>
      <c r="N685">
        <v>1</v>
      </c>
      <c r="O685" t="str">
        <f t="shared" si="69"/>
        <v>42</v>
      </c>
      <c r="P685">
        <v>42</v>
      </c>
      <c r="R685" t="s">
        <v>1269</v>
      </c>
      <c r="S685">
        <v>0.25</v>
      </c>
      <c r="T685">
        <v>0.25950000000000001</v>
      </c>
      <c r="U685">
        <f t="shared" si="70"/>
        <v>0</v>
      </c>
      <c r="V685" t="str">
        <f t="shared" si="67"/>
        <v>Middle Counselor</v>
      </c>
      <c r="W685" t="str">
        <f t="shared" si="68"/>
        <v>Counselor</v>
      </c>
    </row>
    <row r="686" spans="1:23" x14ac:dyDescent="0.25">
      <c r="A686">
        <v>13160</v>
      </c>
      <c r="B686" t="s">
        <v>1295</v>
      </c>
      <c r="C686">
        <v>0.98699999999999999</v>
      </c>
      <c r="D686" t="s">
        <v>1264</v>
      </c>
      <c r="E686">
        <v>100226</v>
      </c>
      <c r="F686">
        <v>13160</v>
      </c>
      <c r="G686" t="str">
        <f t="shared" si="66"/>
        <v>13160</v>
      </c>
      <c r="H686" t="s">
        <v>366</v>
      </c>
      <c r="I686" t="s">
        <v>1265</v>
      </c>
      <c r="J686" t="s">
        <v>1271</v>
      </c>
      <c r="K686" t="s">
        <v>1272</v>
      </c>
      <c r="L686" t="s">
        <v>1295</v>
      </c>
      <c r="M686" t="s">
        <v>1296</v>
      </c>
      <c r="N686">
        <v>1</v>
      </c>
      <c r="O686" t="str">
        <f t="shared" si="69"/>
        <v>26</v>
      </c>
      <c r="Q686">
        <v>26</v>
      </c>
      <c r="R686" t="s">
        <v>1269</v>
      </c>
      <c r="S686">
        <v>0.98699999999999999</v>
      </c>
      <c r="T686">
        <v>0.20280000000000001</v>
      </c>
      <c r="U686">
        <f t="shared" si="70"/>
        <v>0</v>
      </c>
      <c r="V686" t="str">
        <f t="shared" si="67"/>
        <v>High Health/
Related Services</v>
      </c>
      <c r="W686" t="str">
        <f t="shared" si="68"/>
        <v>Health/
Related Services</v>
      </c>
    </row>
    <row r="687" spans="1:23" x14ac:dyDescent="0.25">
      <c r="A687">
        <v>13160</v>
      </c>
      <c r="B687" t="s">
        <v>1275</v>
      </c>
      <c r="C687">
        <v>0.9</v>
      </c>
      <c r="D687" t="s">
        <v>1264</v>
      </c>
      <c r="E687">
        <v>100226</v>
      </c>
      <c r="F687">
        <v>13160</v>
      </c>
      <c r="G687" t="str">
        <f t="shared" si="66"/>
        <v>13160</v>
      </c>
      <c r="H687" t="s">
        <v>366</v>
      </c>
      <c r="I687" t="s">
        <v>1265</v>
      </c>
      <c r="J687" t="s">
        <v>1276</v>
      </c>
      <c r="K687" t="s">
        <v>1277</v>
      </c>
      <c r="L687" t="s">
        <v>1275</v>
      </c>
      <c r="M687" t="s">
        <v>1278</v>
      </c>
      <c r="N687">
        <v>1</v>
      </c>
      <c r="O687" t="str">
        <f t="shared" si="69"/>
        <v>42</v>
      </c>
      <c r="P687">
        <v>42</v>
      </c>
      <c r="R687" t="s">
        <v>1269</v>
      </c>
      <c r="S687">
        <v>0.9</v>
      </c>
      <c r="T687">
        <v>0.20280000000000001</v>
      </c>
      <c r="U687">
        <f t="shared" si="70"/>
        <v>0</v>
      </c>
      <c r="V687" t="str">
        <f t="shared" si="67"/>
        <v>Elementary Counselor</v>
      </c>
      <c r="W687" t="str">
        <f t="shared" si="68"/>
        <v>Counselor</v>
      </c>
    </row>
    <row r="688" spans="1:23" x14ac:dyDescent="0.25">
      <c r="A688">
        <v>13160</v>
      </c>
      <c r="B688" t="s">
        <v>1270</v>
      </c>
      <c r="C688">
        <v>1.2</v>
      </c>
      <c r="D688" t="s">
        <v>1264</v>
      </c>
      <c r="E688">
        <v>100226</v>
      </c>
      <c r="F688">
        <v>13160</v>
      </c>
      <c r="G688" t="str">
        <f t="shared" si="66"/>
        <v>13160</v>
      </c>
      <c r="H688" t="s">
        <v>366</v>
      </c>
      <c r="I688" t="s">
        <v>1265</v>
      </c>
      <c r="J688" t="s">
        <v>1271</v>
      </c>
      <c r="K688" t="s">
        <v>1272</v>
      </c>
      <c r="L688" t="s">
        <v>1270</v>
      </c>
      <c r="M688" t="s">
        <v>1273</v>
      </c>
      <c r="N688">
        <v>1</v>
      </c>
      <c r="O688" t="str">
        <f t="shared" si="69"/>
        <v>42</v>
      </c>
      <c r="P688">
        <v>42</v>
      </c>
      <c r="R688" t="s">
        <v>1269</v>
      </c>
      <c r="S688">
        <v>1.2</v>
      </c>
      <c r="T688">
        <v>0.20280000000000001</v>
      </c>
      <c r="U688">
        <f t="shared" si="70"/>
        <v>0</v>
      </c>
      <c r="V688" t="str">
        <f t="shared" si="67"/>
        <v>High Counselor</v>
      </c>
      <c r="W688" t="str">
        <f t="shared" si="68"/>
        <v>Counselor</v>
      </c>
    </row>
    <row r="689" spans="1:23" x14ac:dyDescent="0.25">
      <c r="A689">
        <v>13160</v>
      </c>
      <c r="B689" t="s">
        <v>1263</v>
      </c>
      <c r="C689">
        <v>0.93</v>
      </c>
      <c r="D689" t="s">
        <v>1264</v>
      </c>
      <c r="E689">
        <v>100226</v>
      </c>
      <c r="F689">
        <v>13160</v>
      </c>
      <c r="G689" t="str">
        <f t="shared" si="66"/>
        <v>13160</v>
      </c>
      <c r="H689" t="s">
        <v>366</v>
      </c>
      <c r="I689" t="s">
        <v>1265</v>
      </c>
      <c r="J689" t="s">
        <v>1266</v>
      </c>
      <c r="K689" t="s">
        <v>1267</v>
      </c>
      <c r="L689" t="s">
        <v>1263</v>
      </c>
      <c r="M689" t="s">
        <v>1268</v>
      </c>
      <c r="N689">
        <v>1</v>
      </c>
      <c r="O689" t="str">
        <f t="shared" si="69"/>
        <v>42</v>
      </c>
      <c r="P689">
        <v>42</v>
      </c>
      <c r="R689" t="s">
        <v>1269</v>
      </c>
      <c r="S689">
        <v>0.93</v>
      </c>
      <c r="T689">
        <v>0.20280000000000001</v>
      </c>
      <c r="U689">
        <f t="shared" si="70"/>
        <v>0</v>
      </c>
      <c r="V689" t="str">
        <f t="shared" si="67"/>
        <v>Middle Counselor</v>
      </c>
      <c r="W689" t="str">
        <f t="shared" si="68"/>
        <v>Counselor</v>
      </c>
    </row>
    <row r="690" spans="1:23" x14ac:dyDescent="0.25">
      <c r="A690">
        <v>13160</v>
      </c>
      <c r="B690" t="s">
        <v>1298</v>
      </c>
      <c r="C690">
        <v>1.0780000000000001</v>
      </c>
      <c r="D690" t="s">
        <v>1264</v>
      </c>
      <c r="E690">
        <v>100226</v>
      </c>
      <c r="F690">
        <v>13160</v>
      </c>
      <c r="G690" t="str">
        <f t="shared" si="66"/>
        <v>13160</v>
      </c>
      <c r="H690" t="s">
        <v>366</v>
      </c>
      <c r="I690" t="s">
        <v>1265</v>
      </c>
      <c r="J690" t="s">
        <v>1276</v>
      </c>
      <c r="K690" t="s">
        <v>1277</v>
      </c>
      <c r="L690" t="s">
        <v>1298</v>
      </c>
      <c r="M690" t="s">
        <v>1349</v>
      </c>
      <c r="N690">
        <v>21</v>
      </c>
      <c r="O690" t="str">
        <f t="shared" si="69"/>
        <v>46</v>
      </c>
      <c r="P690">
        <v>46</v>
      </c>
      <c r="R690" t="s">
        <v>1269</v>
      </c>
      <c r="S690">
        <v>1.0780000000000001</v>
      </c>
      <c r="T690">
        <v>0.20280000000000001</v>
      </c>
      <c r="U690">
        <f t="shared" si="70"/>
        <v>0.219</v>
      </c>
      <c r="V690" t="str">
        <f t="shared" si="67"/>
        <v>Elementary Psychologist</v>
      </c>
      <c r="W690" t="str">
        <f t="shared" si="68"/>
        <v>Psychologist</v>
      </c>
    </row>
    <row r="691" spans="1:23" x14ac:dyDescent="0.25">
      <c r="A691">
        <v>13160</v>
      </c>
      <c r="B691" t="s">
        <v>1309</v>
      </c>
      <c r="C691">
        <v>0.61399999999999999</v>
      </c>
      <c r="D691" t="s">
        <v>1264</v>
      </c>
      <c r="E691">
        <v>100226</v>
      </c>
      <c r="F691">
        <v>13160</v>
      </c>
      <c r="G691" t="str">
        <f t="shared" si="66"/>
        <v>13160</v>
      </c>
      <c r="H691" t="s">
        <v>366</v>
      </c>
      <c r="I691" t="s">
        <v>1265</v>
      </c>
      <c r="J691" t="s">
        <v>1271</v>
      </c>
      <c r="K691" t="s">
        <v>1272</v>
      </c>
      <c r="L691" t="s">
        <v>1309</v>
      </c>
      <c r="M691" t="s">
        <v>1310</v>
      </c>
      <c r="N691">
        <v>21</v>
      </c>
      <c r="O691" t="str">
        <f t="shared" si="69"/>
        <v>46</v>
      </c>
      <c r="P691">
        <v>46</v>
      </c>
      <c r="R691" t="s">
        <v>1269</v>
      </c>
      <c r="S691">
        <v>0.61399999999999999</v>
      </c>
      <c r="T691">
        <v>0.20280000000000001</v>
      </c>
      <c r="U691">
        <f t="shared" si="70"/>
        <v>0.125</v>
      </c>
      <c r="V691" t="str">
        <f t="shared" si="67"/>
        <v>High Psychologist</v>
      </c>
      <c r="W691" t="str">
        <f t="shared" si="68"/>
        <v>Psychologist</v>
      </c>
    </row>
    <row r="692" spans="1:23" x14ac:dyDescent="0.25">
      <c r="A692">
        <v>13160</v>
      </c>
      <c r="B692" t="s">
        <v>1345</v>
      </c>
      <c r="C692">
        <v>0.308</v>
      </c>
      <c r="D692" t="s">
        <v>1264</v>
      </c>
      <c r="E692">
        <v>100226</v>
      </c>
      <c r="F692">
        <v>13160</v>
      </c>
      <c r="G692" t="str">
        <f t="shared" si="66"/>
        <v>13160</v>
      </c>
      <c r="H692" t="s">
        <v>366</v>
      </c>
      <c r="I692" t="s">
        <v>1265</v>
      </c>
      <c r="J692" t="s">
        <v>1266</v>
      </c>
      <c r="K692" t="s">
        <v>1267</v>
      </c>
      <c r="L692" t="s">
        <v>1345</v>
      </c>
      <c r="M692" t="s">
        <v>1346</v>
      </c>
      <c r="N692">
        <v>21</v>
      </c>
      <c r="O692" t="str">
        <f t="shared" si="69"/>
        <v>46</v>
      </c>
      <c r="P692">
        <v>46</v>
      </c>
      <c r="R692" t="s">
        <v>1269</v>
      </c>
      <c r="S692">
        <v>0.308</v>
      </c>
      <c r="T692">
        <v>0.20280000000000001</v>
      </c>
      <c r="U692">
        <f t="shared" si="70"/>
        <v>6.2E-2</v>
      </c>
      <c r="V692" t="str">
        <f t="shared" si="67"/>
        <v>Middle Psychologist</v>
      </c>
      <c r="W692" t="str">
        <f t="shared" si="68"/>
        <v>Psychologist</v>
      </c>
    </row>
    <row r="693" spans="1:23" x14ac:dyDescent="0.25">
      <c r="A693">
        <v>13160</v>
      </c>
      <c r="B693" t="s">
        <v>1335</v>
      </c>
      <c r="C693">
        <v>0.497</v>
      </c>
      <c r="D693" t="s">
        <v>1264</v>
      </c>
      <c r="E693">
        <v>100226</v>
      </c>
      <c r="F693">
        <v>13160</v>
      </c>
      <c r="G693" t="str">
        <f t="shared" si="66"/>
        <v>13160</v>
      </c>
      <c r="H693" t="s">
        <v>366</v>
      </c>
      <c r="I693" t="s">
        <v>1265</v>
      </c>
      <c r="J693" t="s">
        <v>1276</v>
      </c>
      <c r="K693" t="s">
        <v>1277</v>
      </c>
      <c r="L693" t="s">
        <v>1335</v>
      </c>
      <c r="M693" t="s">
        <v>1344</v>
      </c>
      <c r="N693">
        <v>1</v>
      </c>
      <c r="O693" t="str">
        <f t="shared" si="69"/>
        <v>47</v>
      </c>
      <c r="P693">
        <v>47</v>
      </c>
      <c r="R693" t="s">
        <v>1269</v>
      </c>
      <c r="S693">
        <v>0.497</v>
      </c>
      <c r="T693">
        <v>0.20280000000000001</v>
      </c>
      <c r="U693">
        <f t="shared" si="70"/>
        <v>0</v>
      </c>
      <c r="V693" t="str">
        <f t="shared" si="67"/>
        <v>Elementary Nurse</v>
      </c>
      <c r="W693" t="str">
        <f t="shared" si="68"/>
        <v>Nurse</v>
      </c>
    </row>
    <row r="694" spans="1:23" x14ac:dyDescent="0.25">
      <c r="A694">
        <v>13160</v>
      </c>
      <c r="B694" t="s">
        <v>1341</v>
      </c>
      <c r="C694">
        <v>0.36</v>
      </c>
      <c r="D694" t="s">
        <v>1264</v>
      </c>
      <c r="E694">
        <v>100226</v>
      </c>
      <c r="F694">
        <v>13160</v>
      </c>
      <c r="G694" t="str">
        <f t="shared" si="66"/>
        <v>13160</v>
      </c>
      <c r="H694" t="s">
        <v>366</v>
      </c>
      <c r="I694" t="s">
        <v>1265</v>
      </c>
      <c r="J694" t="s">
        <v>1271</v>
      </c>
      <c r="K694" t="s">
        <v>1272</v>
      </c>
      <c r="L694" t="s">
        <v>1341</v>
      </c>
      <c r="M694" t="s">
        <v>1342</v>
      </c>
      <c r="N694">
        <v>1</v>
      </c>
      <c r="O694" t="str">
        <f t="shared" si="69"/>
        <v>47</v>
      </c>
      <c r="P694">
        <v>47</v>
      </c>
      <c r="R694" t="s">
        <v>1269</v>
      </c>
      <c r="S694">
        <v>0.36</v>
      </c>
      <c r="T694">
        <v>0.20280000000000001</v>
      </c>
      <c r="U694">
        <f t="shared" si="70"/>
        <v>0</v>
      </c>
      <c r="V694" t="str">
        <f t="shared" si="67"/>
        <v>High Nurse</v>
      </c>
      <c r="W694" t="str">
        <f t="shared" si="68"/>
        <v>Nurse</v>
      </c>
    </row>
    <row r="695" spans="1:23" x14ac:dyDescent="0.25">
      <c r="A695">
        <v>13160</v>
      </c>
      <c r="B695" t="s">
        <v>1338</v>
      </c>
      <c r="C695">
        <v>0.14299999999999999</v>
      </c>
      <c r="D695" t="s">
        <v>1264</v>
      </c>
      <c r="E695">
        <v>100226</v>
      </c>
      <c r="F695">
        <v>13160</v>
      </c>
      <c r="G695" t="str">
        <f t="shared" si="66"/>
        <v>13160</v>
      </c>
      <c r="H695" t="s">
        <v>366</v>
      </c>
      <c r="I695" t="s">
        <v>1265</v>
      </c>
      <c r="J695" t="s">
        <v>1266</v>
      </c>
      <c r="K695" t="s">
        <v>1267</v>
      </c>
      <c r="L695" t="s">
        <v>1338</v>
      </c>
      <c r="M695" t="s">
        <v>1339</v>
      </c>
      <c r="N695">
        <v>1</v>
      </c>
      <c r="O695" t="str">
        <f t="shared" si="69"/>
        <v>47</v>
      </c>
      <c r="P695">
        <v>47</v>
      </c>
      <c r="R695" t="s">
        <v>1269</v>
      </c>
      <c r="S695">
        <v>0.14299999999999999</v>
      </c>
      <c r="T695">
        <v>0.20280000000000001</v>
      </c>
      <c r="U695">
        <f t="shared" si="70"/>
        <v>0</v>
      </c>
      <c r="V695" t="str">
        <f t="shared" si="67"/>
        <v>Middle Nurse</v>
      </c>
      <c r="W695" t="str">
        <f t="shared" si="68"/>
        <v>Nurse</v>
      </c>
    </row>
    <row r="696" spans="1:23" x14ac:dyDescent="0.25">
      <c r="A696" t="s">
        <v>70</v>
      </c>
      <c r="B696" t="s">
        <v>1348</v>
      </c>
      <c r="C696">
        <v>0.1</v>
      </c>
      <c r="F696" t="s">
        <v>70</v>
      </c>
      <c r="G696" t="str">
        <f t="shared" si="66"/>
        <v>13160</v>
      </c>
      <c r="H696" t="s">
        <v>366</v>
      </c>
      <c r="I696" t="s">
        <v>1265</v>
      </c>
      <c r="J696" t="s">
        <v>1641</v>
      </c>
      <c r="K696" t="s">
        <v>1277</v>
      </c>
      <c r="L696" t="s">
        <v>1348</v>
      </c>
      <c r="M696" t="s">
        <v>1643</v>
      </c>
      <c r="N696">
        <v>9</v>
      </c>
      <c r="O696" t="str">
        <f t="shared" si="69"/>
        <v>42</v>
      </c>
      <c r="P696">
        <v>42</v>
      </c>
      <c r="Q696">
        <v>24</v>
      </c>
      <c r="R696" t="s">
        <v>1269</v>
      </c>
      <c r="S696">
        <v>0.1</v>
      </c>
      <c r="T696">
        <v>0.20280000000000001</v>
      </c>
      <c r="U696">
        <f t="shared" si="70"/>
        <v>0</v>
      </c>
      <c r="V696" t="str">
        <f t="shared" si="67"/>
        <v>TK Counselor</v>
      </c>
      <c r="W696" t="str">
        <f t="shared" si="68"/>
        <v>Counselor</v>
      </c>
    </row>
    <row r="697" spans="1:23" x14ac:dyDescent="0.25">
      <c r="A697">
        <v>13161</v>
      </c>
      <c r="B697" t="s">
        <v>1383</v>
      </c>
      <c r="C697">
        <v>6.4669999999999996</v>
      </c>
      <c r="D697" t="s">
        <v>1264</v>
      </c>
      <c r="E697">
        <v>100153</v>
      </c>
      <c r="F697">
        <v>13161</v>
      </c>
      <c r="G697" t="str">
        <f t="shared" si="66"/>
        <v>13161</v>
      </c>
      <c r="H697" t="s">
        <v>367</v>
      </c>
      <c r="I697" t="s">
        <v>1265</v>
      </c>
      <c r="J697" t="s">
        <v>1271</v>
      </c>
      <c r="K697" t="s">
        <v>1272</v>
      </c>
      <c r="L697" t="s">
        <v>1383</v>
      </c>
      <c r="M697" t="s">
        <v>1409</v>
      </c>
      <c r="N697">
        <v>21</v>
      </c>
      <c r="O697" t="str">
        <f t="shared" si="69"/>
        <v>25</v>
      </c>
      <c r="Q697">
        <v>25</v>
      </c>
      <c r="R697" t="s">
        <v>1269</v>
      </c>
      <c r="S697">
        <v>6.4669999999999996</v>
      </c>
      <c r="T697">
        <v>0.25059999999999999</v>
      </c>
      <c r="U697">
        <f t="shared" si="70"/>
        <v>1.621</v>
      </c>
      <c r="V697" t="str">
        <f t="shared" si="67"/>
        <v>High Pupil Management</v>
      </c>
      <c r="W697" t="str">
        <f t="shared" si="68"/>
        <v>Pupil Management</v>
      </c>
    </row>
    <row r="698" spans="1:23" x14ac:dyDescent="0.25">
      <c r="A698">
        <v>13161</v>
      </c>
      <c r="B698" t="s">
        <v>1299</v>
      </c>
      <c r="C698">
        <v>5.3239999999999998</v>
      </c>
      <c r="D698" t="s">
        <v>1264</v>
      </c>
      <c r="E698">
        <v>100153</v>
      </c>
      <c r="F698">
        <v>13161</v>
      </c>
      <c r="G698" t="str">
        <f t="shared" si="66"/>
        <v>13161</v>
      </c>
      <c r="H698" t="s">
        <v>367</v>
      </c>
      <c r="I698" t="s">
        <v>1265</v>
      </c>
      <c r="J698" t="s">
        <v>1271</v>
      </c>
      <c r="K698" t="s">
        <v>1272</v>
      </c>
      <c r="L698" t="s">
        <v>1299</v>
      </c>
      <c r="M698" t="s">
        <v>1300</v>
      </c>
      <c r="N698">
        <v>1</v>
      </c>
      <c r="O698" t="str">
        <f t="shared" si="69"/>
        <v>25</v>
      </c>
      <c r="Q698">
        <v>25</v>
      </c>
      <c r="R698" t="s">
        <v>1269</v>
      </c>
      <c r="S698">
        <v>5.3239999999999998</v>
      </c>
      <c r="T698">
        <v>0.25059999999999999</v>
      </c>
      <c r="U698">
        <f t="shared" si="70"/>
        <v>0</v>
      </c>
      <c r="V698" t="str">
        <f t="shared" si="67"/>
        <v>High Pupil Management</v>
      </c>
      <c r="W698" t="str">
        <f t="shared" si="68"/>
        <v>Pupil Management</v>
      </c>
    </row>
    <row r="699" spans="1:23" x14ac:dyDescent="0.25">
      <c r="A699">
        <v>13161</v>
      </c>
      <c r="B699" t="s">
        <v>1324</v>
      </c>
      <c r="C699">
        <v>3.3929999999999998</v>
      </c>
      <c r="D699" t="s">
        <v>1264</v>
      </c>
      <c r="E699">
        <v>100153</v>
      </c>
      <c r="F699">
        <v>13161</v>
      </c>
      <c r="G699" t="str">
        <f t="shared" si="66"/>
        <v>13161</v>
      </c>
      <c r="H699" t="s">
        <v>367</v>
      </c>
      <c r="I699" t="s">
        <v>1265</v>
      </c>
      <c r="J699" t="s">
        <v>1271</v>
      </c>
      <c r="K699" t="s">
        <v>1272</v>
      </c>
      <c r="L699" t="s">
        <v>1324</v>
      </c>
      <c r="M699" t="s">
        <v>1325</v>
      </c>
      <c r="N699">
        <v>21</v>
      </c>
      <c r="O699" t="str">
        <f t="shared" si="69"/>
        <v>26</v>
      </c>
      <c r="Q699">
        <v>26</v>
      </c>
      <c r="R699" t="s">
        <v>1269</v>
      </c>
      <c r="S699">
        <v>3.3929999999999998</v>
      </c>
      <c r="T699">
        <v>0.25059999999999999</v>
      </c>
      <c r="U699">
        <f t="shared" si="70"/>
        <v>0.85</v>
      </c>
      <c r="V699" t="str">
        <f t="shared" si="67"/>
        <v>High Health/
Related Services</v>
      </c>
      <c r="W699" t="str">
        <f t="shared" si="68"/>
        <v>Health/
Related Services</v>
      </c>
    </row>
    <row r="700" spans="1:23" x14ac:dyDescent="0.25">
      <c r="A700">
        <v>13161</v>
      </c>
      <c r="B700" t="s">
        <v>1295</v>
      </c>
      <c r="C700">
        <v>8.1969999999999992</v>
      </c>
      <c r="D700" t="s">
        <v>1264</v>
      </c>
      <c r="E700">
        <v>100153</v>
      </c>
      <c r="F700">
        <v>13161</v>
      </c>
      <c r="G700" t="str">
        <f t="shared" si="66"/>
        <v>13161</v>
      </c>
      <c r="H700" t="s">
        <v>367</v>
      </c>
      <c r="I700" t="s">
        <v>1265</v>
      </c>
      <c r="J700" t="s">
        <v>1271</v>
      </c>
      <c r="K700" t="s">
        <v>1272</v>
      </c>
      <c r="L700" t="s">
        <v>1295</v>
      </c>
      <c r="M700" t="s">
        <v>1296</v>
      </c>
      <c r="N700">
        <v>1</v>
      </c>
      <c r="O700" t="str">
        <f t="shared" si="69"/>
        <v>26</v>
      </c>
      <c r="Q700">
        <v>26</v>
      </c>
      <c r="R700" t="s">
        <v>1269</v>
      </c>
      <c r="S700">
        <v>8.1969999999999992</v>
      </c>
      <c r="T700">
        <v>0.25059999999999999</v>
      </c>
      <c r="U700">
        <f t="shared" si="70"/>
        <v>0</v>
      </c>
      <c r="V700" t="str">
        <f t="shared" si="67"/>
        <v>High Health/
Related Services</v>
      </c>
      <c r="W700" t="str">
        <f t="shared" si="68"/>
        <v>Health/
Related Services</v>
      </c>
    </row>
    <row r="701" spans="1:23" x14ac:dyDescent="0.25">
      <c r="A701">
        <v>13161</v>
      </c>
      <c r="B701" t="s">
        <v>1275</v>
      </c>
      <c r="C701">
        <v>6.4889999999999999</v>
      </c>
      <c r="D701" t="s">
        <v>1264</v>
      </c>
      <c r="E701">
        <v>100153</v>
      </c>
      <c r="F701">
        <v>13161</v>
      </c>
      <c r="G701" t="str">
        <f t="shared" si="66"/>
        <v>13161</v>
      </c>
      <c r="H701" t="s">
        <v>367</v>
      </c>
      <c r="I701" t="s">
        <v>1265</v>
      </c>
      <c r="J701" t="s">
        <v>1276</v>
      </c>
      <c r="K701" t="s">
        <v>1277</v>
      </c>
      <c r="L701" t="s">
        <v>1275</v>
      </c>
      <c r="M701" t="s">
        <v>1278</v>
      </c>
      <c r="N701">
        <v>1</v>
      </c>
      <c r="O701" t="str">
        <f t="shared" si="69"/>
        <v>42</v>
      </c>
      <c r="P701">
        <v>42</v>
      </c>
      <c r="R701" t="s">
        <v>1269</v>
      </c>
      <c r="S701">
        <v>6.4889999999999999</v>
      </c>
      <c r="T701">
        <v>0.25059999999999999</v>
      </c>
      <c r="U701">
        <f t="shared" si="70"/>
        <v>0</v>
      </c>
      <c r="V701" t="str">
        <f t="shared" si="67"/>
        <v>Elementary Counselor</v>
      </c>
      <c r="W701" t="str">
        <f t="shared" si="68"/>
        <v>Counselor</v>
      </c>
    </row>
    <row r="702" spans="1:23" x14ac:dyDescent="0.25">
      <c r="A702">
        <v>13161</v>
      </c>
      <c r="B702" t="s">
        <v>1270</v>
      </c>
      <c r="C702">
        <v>7.4089999999999998</v>
      </c>
      <c r="D702" t="s">
        <v>1264</v>
      </c>
      <c r="E702">
        <v>100153</v>
      </c>
      <c r="F702">
        <v>13161</v>
      </c>
      <c r="G702" t="str">
        <f t="shared" si="66"/>
        <v>13161</v>
      </c>
      <c r="H702" t="s">
        <v>367</v>
      </c>
      <c r="I702" t="s">
        <v>1265</v>
      </c>
      <c r="J702" t="s">
        <v>1271</v>
      </c>
      <c r="K702" t="s">
        <v>1272</v>
      </c>
      <c r="L702" t="s">
        <v>1270</v>
      </c>
      <c r="M702" t="s">
        <v>1273</v>
      </c>
      <c r="N702">
        <v>1</v>
      </c>
      <c r="O702" t="str">
        <f t="shared" si="69"/>
        <v>42</v>
      </c>
      <c r="P702">
        <v>42</v>
      </c>
      <c r="R702" t="s">
        <v>1269</v>
      </c>
      <c r="S702">
        <v>7.4089999999999998</v>
      </c>
      <c r="T702">
        <v>0.25059999999999999</v>
      </c>
      <c r="U702">
        <f t="shared" si="70"/>
        <v>0</v>
      </c>
      <c r="V702" t="str">
        <f t="shared" si="67"/>
        <v>High Counselor</v>
      </c>
      <c r="W702" t="str">
        <f t="shared" si="68"/>
        <v>Counselor</v>
      </c>
    </row>
    <row r="703" spans="1:23" x14ac:dyDescent="0.25">
      <c r="A703">
        <v>13161</v>
      </c>
      <c r="B703" t="s">
        <v>1263</v>
      </c>
      <c r="C703">
        <v>3.9860000000000002</v>
      </c>
      <c r="D703" t="s">
        <v>1264</v>
      </c>
      <c r="E703">
        <v>100153</v>
      </c>
      <c r="F703">
        <v>13161</v>
      </c>
      <c r="G703" t="str">
        <f t="shared" si="66"/>
        <v>13161</v>
      </c>
      <c r="H703" t="s">
        <v>367</v>
      </c>
      <c r="I703" t="s">
        <v>1265</v>
      </c>
      <c r="J703" t="s">
        <v>1266</v>
      </c>
      <c r="K703" t="s">
        <v>1267</v>
      </c>
      <c r="L703" t="s">
        <v>1263</v>
      </c>
      <c r="M703" t="s">
        <v>1268</v>
      </c>
      <c r="N703">
        <v>1</v>
      </c>
      <c r="O703" t="str">
        <f t="shared" si="69"/>
        <v>42</v>
      </c>
      <c r="P703">
        <v>42</v>
      </c>
      <c r="R703" t="s">
        <v>1269</v>
      </c>
      <c r="S703">
        <v>3.9860000000000002</v>
      </c>
      <c r="T703">
        <v>0.25059999999999999</v>
      </c>
      <c r="U703">
        <f t="shared" si="70"/>
        <v>0</v>
      </c>
      <c r="V703" t="str">
        <f t="shared" si="67"/>
        <v>Middle Counselor</v>
      </c>
      <c r="W703" t="str">
        <f t="shared" si="68"/>
        <v>Counselor</v>
      </c>
    </row>
    <row r="704" spans="1:23" x14ac:dyDescent="0.25">
      <c r="A704">
        <v>13161</v>
      </c>
      <c r="B704" t="s">
        <v>1289</v>
      </c>
      <c r="C704">
        <v>4</v>
      </c>
      <c r="D704" t="s">
        <v>1264</v>
      </c>
      <c r="E704">
        <v>100153</v>
      </c>
      <c r="F704">
        <v>13161</v>
      </c>
      <c r="G704" t="str">
        <f t="shared" si="66"/>
        <v>13161</v>
      </c>
      <c r="H704" t="s">
        <v>367</v>
      </c>
      <c r="I704" t="s">
        <v>1265</v>
      </c>
      <c r="J704" t="s">
        <v>1276</v>
      </c>
      <c r="K704" t="s">
        <v>1277</v>
      </c>
      <c r="L704" t="s">
        <v>1289</v>
      </c>
      <c r="M704" t="s">
        <v>1307</v>
      </c>
      <c r="N704">
        <v>21</v>
      </c>
      <c r="O704" t="str">
        <f t="shared" si="69"/>
        <v>43</v>
      </c>
      <c r="P704">
        <v>43</v>
      </c>
      <c r="R704" t="s">
        <v>1269</v>
      </c>
      <c r="S704">
        <v>4</v>
      </c>
      <c r="T704">
        <v>0.25059999999999999</v>
      </c>
      <c r="U704">
        <f t="shared" si="70"/>
        <v>1.002</v>
      </c>
      <c r="V704" t="str">
        <f t="shared" si="67"/>
        <v>Elementary Occupational Therapist</v>
      </c>
      <c r="W704" t="str">
        <f t="shared" si="68"/>
        <v>Occupational Therapist</v>
      </c>
    </row>
    <row r="705" spans="1:23" x14ac:dyDescent="0.25">
      <c r="A705">
        <v>13161</v>
      </c>
      <c r="B705" t="s">
        <v>1331</v>
      </c>
      <c r="C705">
        <v>4.8</v>
      </c>
      <c r="D705" t="s">
        <v>1264</v>
      </c>
      <c r="E705">
        <v>100153</v>
      </c>
      <c r="F705">
        <v>13161</v>
      </c>
      <c r="G705" t="str">
        <f t="shared" si="66"/>
        <v>13161</v>
      </c>
      <c r="H705" t="s">
        <v>367</v>
      </c>
      <c r="I705" t="s">
        <v>1265</v>
      </c>
      <c r="J705" t="s">
        <v>1276</v>
      </c>
      <c r="K705" t="s">
        <v>1277</v>
      </c>
      <c r="L705" t="s">
        <v>1331</v>
      </c>
      <c r="M705" t="s">
        <v>1405</v>
      </c>
      <c r="N705">
        <v>1</v>
      </c>
      <c r="O705" t="str">
        <f t="shared" si="69"/>
        <v>44</v>
      </c>
      <c r="P705">
        <v>44</v>
      </c>
      <c r="R705" t="s">
        <v>1269</v>
      </c>
      <c r="S705">
        <v>4.8</v>
      </c>
      <c r="T705">
        <v>0.25059999999999999</v>
      </c>
      <c r="U705">
        <f t="shared" si="70"/>
        <v>0</v>
      </c>
      <c r="V705" t="str">
        <f t="shared" si="67"/>
        <v>Elementary Social Worker</v>
      </c>
      <c r="W705" t="str">
        <f t="shared" si="68"/>
        <v>Social Worker</v>
      </c>
    </row>
    <row r="706" spans="1:23" x14ac:dyDescent="0.25">
      <c r="A706">
        <v>13161</v>
      </c>
      <c r="B706" t="s">
        <v>1356</v>
      </c>
      <c r="C706">
        <v>1</v>
      </c>
      <c r="D706" t="s">
        <v>1264</v>
      </c>
      <c r="E706">
        <v>100153</v>
      </c>
      <c r="F706">
        <v>13161</v>
      </c>
      <c r="G706" t="str">
        <f t="shared" ref="G706:G769" si="71">TEXT(F706,"00000")</f>
        <v>13161</v>
      </c>
      <c r="H706" t="s">
        <v>367</v>
      </c>
      <c r="I706" t="s">
        <v>1265</v>
      </c>
      <c r="J706" t="s">
        <v>1266</v>
      </c>
      <c r="K706" t="s">
        <v>1267</v>
      </c>
      <c r="L706" t="s">
        <v>1356</v>
      </c>
      <c r="M706" t="s">
        <v>1357</v>
      </c>
      <c r="N706">
        <v>1</v>
      </c>
      <c r="O706" t="str">
        <f t="shared" si="69"/>
        <v>44</v>
      </c>
      <c r="P706">
        <v>44</v>
      </c>
      <c r="R706" t="s">
        <v>1269</v>
      </c>
      <c r="S706">
        <v>1</v>
      </c>
      <c r="T706">
        <v>0.25059999999999999</v>
      </c>
      <c r="U706">
        <f t="shared" si="70"/>
        <v>0</v>
      </c>
      <c r="V706" t="str">
        <f t="shared" ref="V706:V769" si="72">_xlfn.XLOOKUP(L706,$BV:$BV,$BT:$BT,,0)</f>
        <v>Middle Social Worker</v>
      </c>
      <c r="W706" t="str">
        <f t="shared" ref="W706:W769" si="73">_xlfn.TEXTAFTER(V706," ")</f>
        <v>Social Worker</v>
      </c>
    </row>
    <row r="707" spans="1:23" x14ac:dyDescent="0.25">
      <c r="A707">
        <v>13161</v>
      </c>
      <c r="B707" t="s">
        <v>1294</v>
      </c>
      <c r="C707">
        <v>11.5</v>
      </c>
      <c r="D707" t="s">
        <v>1264</v>
      </c>
      <c r="E707">
        <v>100153</v>
      </c>
      <c r="F707">
        <v>13161</v>
      </c>
      <c r="G707" t="str">
        <f t="shared" si="71"/>
        <v>13161</v>
      </c>
      <c r="H707" t="s">
        <v>367</v>
      </c>
      <c r="I707" t="s">
        <v>1265</v>
      </c>
      <c r="J707" t="s">
        <v>1276</v>
      </c>
      <c r="K707" t="s">
        <v>1277</v>
      </c>
      <c r="L707" t="s">
        <v>1294</v>
      </c>
      <c r="M707" t="s">
        <v>1354</v>
      </c>
      <c r="N707">
        <v>21</v>
      </c>
      <c r="O707" t="str">
        <f t="shared" ref="O707:O770" si="74">MID(L707,3,2)</f>
        <v>45</v>
      </c>
      <c r="P707">
        <v>45</v>
      </c>
      <c r="R707" t="s">
        <v>1269</v>
      </c>
      <c r="S707">
        <v>11.5</v>
      </c>
      <c r="T707">
        <v>0.25059999999999999</v>
      </c>
      <c r="U707">
        <f t="shared" ref="U707:U770" si="75">IF(N707=21,ROUND(T707*S707,3),0)</f>
        <v>2.8820000000000001</v>
      </c>
      <c r="V707" t="str">
        <f t="shared" si="72"/>
        <v>Elementary Speech, Language Pathway/
Audio</v>
      </c>
      <c r="W707" t="str">
        <f t="shared" si="73"/>
        <v>Speech, Language Pathway/
Audio</v>
      </c>
    </row>
    <row r="708" spans="1:23" x14ac:dyDescent="0.25">
      <c r="A708">
        <v>13161</v>
      </c>
      <c r="B708" t="s">
        <v>1326</v>
      </c>
      <c r="C708">
        <v>0.91</v>
      </c>
      <c r="D708" t="s">
        <v>1264</v>
      </c>
      <c r="E708">
        <v>100153</v>
      </c>
      <c r="F708">
        <v>13161</v>
      </c>
      <c r="G708" t="str">
        <f t="shared" si="71"/>
        <v>13161</v>
      </c>
      <c r="H708" t="s">
        <v>367</v>
      </c>
      <c r="I708" t="s">
        <v>1265</v>
      </c>
      <c r="J708" t="s">
        <v>1271</v>
      </c>
      <c r="K708" t="s">
        <v>1272</v>
      </c>
      <c r="L708" t="s">
        <v>1326</v>
      </c>
      <c r="M708" t="s">
        <v>1353</v>
      </c>
      <c r="N708">
        <v>21</v>
      </c>
      <c r="O708" t="str">
        <f t="shared" si="74"/>
        <v>45</v>
      </c>
      <c r="P708">
        <v>45</v>
      </c>
      <c r="R708" t="s">
        <v>1269</v>
      </c>
      <c r="S708">
        <v>0.91</v>
      </c>
      <c r="T708">
        <v>0.25059999999999999</v>
      </c>
      <c r="U708">
        <f t="shared" si="75"/>
        <v>0.22800000000000001</v>
      </c>
      <c r="V708" t="str">
        <f t="shared" si="72"/>
        <v>High Speech, Language Pathway/
Audio</v>
      </c>
      <c r="W708" t="str">
        <f t="shared" si="73"/>
        <v>Speech, Language Pathway/
Audio</v>
      </c>
    </row>
    <row r="709" spans="1:23" x14ac:dyDescent="0.25">
      <c r="A709">
        <v>13161</v>
      </c>
      <c r="B709" t="s">
        <v>1312</v>
      </c>
      <c r="C709">
        <v>0.41</v>
      </c>
      <c r="D709" t="s">
        <v>1264</v>
      </c>
      <c r="E709">
        <v>100153</v>
      </c>
      <c r="F709">
        <v>13161</v>
      </c>
      <c r="G709" t="str">
        <f t="shared" si="71"/>
        <v>13161</v>
      </c>
      <c r="H709" t="s">
        <v>367</v>
      </c>
      <c r="I709" t="s">
        <v>1265</v>
      </c>
      <c r="J709" t="s">
        <v>1266</v>
      </c>
      <c r="K709" t="s">
        <v>1267</v>
      </c>
      <c r="L709" t="s">
        <v>1312</v>
      </c>
      <c r="M709" t="s">
        <v>1351</v>
      </c>
      <c r="N709">
        <v>21</v>
      </c>
      <c r="O709" t="str">
        <f t="shared" si="74"/>
        <v>45</v>
      </c>
      <c r="P709">
        <v>45</v>
      </c>
      <c r="R709" t="s">
        <v>1269</v>
      </c>
      <c r="S709">
        <v>0.41</v>
      </c>
      <c r="T709">
        <v>0.25059999999999999</v>
      </c>
      <c r="U709">
        <f t="shared" si="75"/>
        <v>0.10299999999999999</v>
      </c>
      <c r="V709" t="str">
        <f t="shared" si="72"/>
        <v>Middle Speech, Language Pathway/
Audio</v>
      </c>
      <c r="W709" t="str">
        <f t="shared" si="73"/>
        <v>Speech, Language Pathway/
Audio</v>
      </c>
    </row>
    <row r="710" spans="1:23" x14ac:dyDescent="0.25">
      <c r="A710">
        <v>13161</v>
      </c>
      <c r="B710" t="s">
        <v>1298</v>
      </c>
      <c r="C710">
        <v>6.4180000000000001</v>
      </c>
      <c r="D710" t="s">
        <v>1264</v>
      </c>
      <c r="E710">
        <v>100153</v>
      </c>
      <c r="F710">
        <v>13161</v>
      </c>
      <c r="G710" t="str">
        <f t="shared" si="71"/>
        <v>13161</v>
      </c>
      <c r="H710" t="s">
        <v>367</v>
      </c>
      <c r="I710" t="s">
        <v>1265</v>
      </c>
      <c r="J710" t="s">
        <v>1276</v>
      </c>
      <c r="K710" t="s">
        <v>1277</v>
      </c>
      <c r="L710" t="s">
        <v>1298</v>
      </c>
      <c r="M710" t="s">
        <v>1349</v>
      </c>
      <c r="N710">
        <v>21</v>
      </c>
      <c r="O710" t="str">
        <f t="shared" si="74"/>
        <v>46</v>
      </c>
      <c r="P710">
        <v>46</v>
      </c>
      <c r="R710" t="s">
        <v>1269</v>
      </c>
      <c r="S710">
        <v>6.4180000000000001</v>
      </c>
      <c r="T710">
        <v>0.25059999999999999</v>
      </c>
      <c r="U710">
        <f t="shared" si="75"/>
        <v>1.6080000000000001</v>
      </c>
      <c r="V710" t="str">
        <f t="shared" si="72"/>
        <v>Elementary Psychologist</v>
      </c>
      <c r="W710" t="str">
        <f t="shared" si="73"/>
        <v>Psychologist</v>
      </c>
    </row>
    <row r="711" spans="1:23" x14ac:dyDescent="0.25">
      <c r="A711">
        <v>13161</v>
      </c>
      <c r="B711" t="s">
        <v>1334</v>
      </c>
      <c r="C711">
        <v>3.5</v>
      </c>
      <c r="D711" t="s">
        <v>1264</v>
      </c>
      <c r="E711">
        <v>100153</v>
      </c>
      <c r="F711">
        <v>13161</v>
      </c>
      <c r="G711" t="str">
        <f t="shared" si="71"/>
        <v>13161</v>
      </c>
      <c r="H711" t="s">
        <v>367</v>
      </c>
      <c r="I711" t="s">
        <v>1265</v>
      </c>
      <c r="J711" t="s">
        <v>1276</v>
      </c>
      <c r="K711" t="s">
        <v>1277</v>
      </c>
      <c r="L711" t="s">
        <v>1334</v>
      </c>
      <c r="M711" t="s">
        <v>1413</v>
      </c>
      <c r="N711">
        <v>21</v>
      </c>
      <c r="O711" t="str">
        <f t="shared" si="74"/>
        <v>47</v>
      </c>
      <c r="P711">
        <v>47</v>
      </c>
      <c r="R711" t="s">
        <v>1269</v>
      </c>
      <c r="S711">
        <v>3.5</v>
      </c>
      <c r="T711">
        <v>0.25059999999999999</v>
      </c>
      <c r="U711">
        <f t="shared" si="75"/>
        <v>0.877</v>
      </c>
      <c r="V711" t="str">
        <f t="shared" si="72"/>
        <v>Elementary Nurse</v>
      </c>
      <c r="W711" t="str">
        <f t="shared" si="73"/>
        <v>Nurse</v>
      </c>
    </row>
    <row r="712" spans="1:23" x14ac:dyDescent="0.25">
      <c r="A712">
        <v>13161</v>
      </c>
      <c r="B712" t="s">
        <v>1335</v>
      </c>
      <c r="C712">
        <v>3.5</v>
      </c>
      <c r="D712" t="s">
        <v>1264</v>
      </c>
      <c r="E712">
        <v>100153</v>
      </c>
      <c r="F712">
        <v>13161</v>
      </c>
      <c r="G712" t="str">
        <f t="shared" si="71"/>
        <v>13161</v>
      </c>
      <c r="H712" t="s">
        <v>367</v>
      </c>
      <c r="I712" t="s">
        <v>1265</v>
      </c>
      <c r="J712" t="s">
        <v>1276</v>
      </c>
      <c r="K712" t="s">
        <v>1277</v>
      </c>
      <c r="L712" t="s">
        <v>1335</v>
      </c>
      <c r="M712" t="s">
        <v>1344</v>
      </c>
      <c r="N712">
        <v>1</v>
      </c>
      <c r="O712" t="str">
        <f t="shared" si="74"/>
        <v>47</v>
      </c>
      <c r="P712">
        <v>47</v>
      </c>
      <c r="R712" t="s">
        <v>1269</v>
      </c>
      <c r="S712">
        <v>3.5</v>
      </c>
      <c r="T712">
        <v>0.25059999999999999</v>
      </c>
      <c r="U712">
        <f t="shared" si="75"/>
        <v>0</v>
      </c>
      <c r="V712" t="str">
        <f t="shared" si="72"/>
        <v>Elementary Nurse</v>
      </c>
      <c r="W712" t="str">
        <f t="shared" si="73"/>
        <v>Nurse</v>
      </c>
    </row>
    <row r="713" spans="1:23" x14ac:dyDescent="0.25">
      <c r="A713">
        <v>13161</v>
      </c>
      <c r="B713" t="s">
        <v>1302</v>
      </c>
      <c r="C713">
        <v>2</v>
      </c>
      <c r="D713" t="s">
        <v>1264</v>
      </c>
      <c r="E713">
        <v>100153</v>
      </c>
      <c r="F713">
        <v>13161</v>
      </c>
      <c r="G713" t="str">
        <f t="shared" si="71"/>
        <v>13161</v>
      </c>
      <c r="H713" t="s">
        <v>367</v>
      </c>
      <c r="I713" t="s">
        <v>1265</v>
      </c>
      <c r="J713" t="s">
        <v>1276</v>
      </c>
      <c r="K713" t="s">
        <v>1277</v>
      </c>
      <c r="L713" t="s">
        <v>1302</v>
      </c>
      <c r="M713" t="s">
        <v>1336</v>
      </c>
      <c r="N713">
        <v>21</v>
      </c>
      <c r="O713" t="str">
        <f t="shared" si="74"/>
        <v>48</v>
      </c>
      <c r="P713">
        <v>48</v>
      </c>
      <c r="R713" t="s">
        <v>1269</v>
      </c>
      <c r="S713">
        <v>2</v>
      </c>
      <c r="T713">
        <v>0.25059999999999999</v>
      </c>
      <c r="U713">
        <f t="shared" si="75"/>
        <v>0.501</v>
      </c>
      <c r="V713" t="str">
        <f t="shared" si="72"/>
        <v>Elementary Physical Therapist</v>
      </c>
      <c r="W713" t="str">
        <f t="shared" si="73"/>
        <v>Physical Therapist</v>
      </c>
    </row>
    <row r="714" spans="1:23" x14ac:dyDescent="0.25">
      <c r="A714">
        <v>13161</v>
      </c>
      <c r="B714" t="s">
        <v>1340</v>
      </c>
      <c r="C714">
        <v>0.46</v>
      </c>
      <c r="D714" t="s">
        <v>1264</v>
      </c>
      <c r="E714">
        <v>100153</v>
      </c>
      <c r="F714">
        <v>13161</v>
      </c>
      <c r="G714" t="str">
        <f t="shared" si="71"/>
        <v>13161</v>
      </c>
      <c r="H714" t="s">
        <v>367</v>
      </c>
      <c r="I714" t="s">
        <v>1265</v>
      </c>
      <c r="J714" t="s">
        <v>1276</v>
      </c>
      <c r="K714" t="s">
        <v>1277</v>
      </c>
      <c r="L714" t="s">
        <v>1340</v>
      </c>
      <c r="M714" t="s">
        <v>1395</v>
      </c>
      <c r="N714">
        <v>21</v>
      </c>
      <c r="O714" t="str">
        <f t="shared" si="74"/>
        <v>49</v>
      </c>
      <c r="P714">
        <v>49</v>
      </c>
      <c r="R714" t="s">
        <v>1269</v>
      </c>
      <c r="S714">
        <v>0.46</v>
      </c>
      <c r="T714">
        <v>0.25059999999999999</v>
      </c>
      <c r="U714">
        <f t="shared" si="75"/>
        <v>0.115</v>
      </c>
      <c r="V714" t="str">
        <f t="shared" si="72"/>
        <v>Elementary Behavior Analyst</v>
      </c>
      <c r="W714" t="str">
        <f t="shared" si="73"/>
        <v>Behavior Analyst</v>
      </c>
    </row>
    <row r="715" spans="1:23" x14ac:dyDescent="0.25">
      <c r="A715">
        <v>13161</v>
      </c>
      <c r="B715" t="s">
        <v>1392</v>
      </c>
      <c r="C715">
        <v>0.29499999999999998</v>
      </c>
      <c r="D715" t="s">
        <v>1264</v>
      </c>
      <c r="E715">
        <v>100153</v>
      </c>
      <c r="F715">
        <v>13161</v>
      </c>
      <c r="G715" t="str">
        <f t="shared" si="71"/>
        <v>13161</v>
      </c>
      <c r="H715" t="s">
        <v>367</v>
      </c>
      <c r="I715" t="s">
        <v>1265</v>
      </c>
      <c r="J715" t="s">
        <v>1271</v>
      </c>
      <c r="K715" t="s">
        <v>1272</v>
      </c>
      <c r="L715" t="s">
        <v>1392</v>
      </c>
      <c r="M715" t="s">
        <v>1393</v>
      </c>
      <c r="N715">
        <v>21</v>
      </c>
      <c r="O715" t="str">
        <f t="shared" si="74"/>
        <v>49</v>
      </c>
      <c r="P715">
        <v>49</v>
      </c>
      <c r="R715" t="s">
        <v>1269</v>
      </c>
      <c r="S715">
        <v>0.29499999999999998</v>
      </c>
      <c r="T715">
        <v>0.25059999999999999</v>
      </c>
      <c r="U715">
        <f t="shared" si="75"/>
        <v>7.3999999999999996E-2</v>
      </c>
      <c r="V715" t="str">
        <f t="shared" si="72"/>
        <v>High Behavior Analyst</v>
      </c>
      <c r="W715" t="str">
        <f t="shared" si="73"/>
        <v>Behavior Analyst</v>
      </c>
    </row>
    <row r="716" spans="1:23" x14ac:dyDescent="0.25">
      <c r="A716">
        <v>13161</v>
      </c>
      <c r="B716" t="s">
        <v>1374</v>
      </c>
      <c r="C716">
        <v>0.16500000000000001</v>
      </c>
      <c r="D716" t="s">
        <v>1264</v>
      </c>
      <c r="E716">
        <v>100153</v>
      </c>
      <c r="F716">
        <v>13161</v>
      </c>
      <c r="G716" t="str">
        <f t="shared" si="71"/>
        <v>13161</v>
      </c>
      <c r="H716" t="s">
        <v>367</v>
      </c>
      <c r="I716" t="s">
        <v>1265</v>
      </c>
      <c r="J716" t="s">
        <v>1266</v>
      </c>
      <c r="K716" t="s">
        <v>1267</v>
      </c>
      <c r="L716" t="s">
        <v>1374</v>
      </c>
      <c r="M716" t="s">
        <v>1391</v>
      </c>
      <c r="N716">
        <v>21</v>
      </c>
      <c r="O716" t="str">
        <f t="shared" si="74"/>
        <v>49</v>
      </c>
      <c r="P716">
        <v>49</v>
      </c>
      <c r="R716" t="s">
        <v>1269</v>
      </c>
      <c r="S716">
        <v>0.16500000000000001</v>
      </c>
      <c r="T716">
        <v>0.25059999999999999</v>
      </c>
      <c r="U716">
        <f t="shared" si="75"/>
        <v>4.1000000000000002E-2</v>
      </c>
      <c r="V716" t="str">
        <f t="shared" si="72"/>
        <v>Middle Behavior Analyst</v>
      </c>
      <c r="W716" t="str">
        <f t="shared" si="73"/>
        <v>Behavior Analyst</v>
      </c>
    </row>
    <row r="717" spans="1:23" x14ac:dyDescent="0.25">
      <c r="A717">
        <v>13165</v>
      </c>
      <c r="B717" t="s">
        <v>1383</v>
      </c>
      <c r="C717">
        <v>0.83099999999999996</v>
      </c>
      <c r="D717" t="s">
        <v>1264</v>
      </c>
      <c r="E717">
        <v>100081</v>
      </c>
      <c r="F717">
        <v>13165</v>
      </c>
      <c r="G717" t="str">
        <f t="shared" si="71"/>
        <v>13165</v>
      </c>
      <c r="H717" t="s">
        <v>368</v>
      </c>
      <c r="I717" t="s">
        <v>1265</v>
      </c>
      <c r="J717" t="s">
        <v>1271</v>
      </c>
      <c r="K717" t="s">
        <v>1272</v>
      </c>
      <c r="L717" t="s">
        <v>1383</v>
      </c>
      <c r="M717" t="s">
        <v>1409</v>
      </c>
      <c r="N717">
        <v>21</v>
      </c>
      <c r="O717" t="str">
        <f t="shared" si="74"/>
        <v>25</v>
      </c>
      <c r="Q717">
        <v>25</v>
      </c>
      <c r="R717" t="s">
        <v>1269</v>
      </c>
      <c r="S717">
        <v>0.83099999999999996</v>
      </c>
      <c r="T717">
        <v>0.2374</v>
      </c>
      <c r="U717">
        <f t="shared" si="75"/>
        <v>0.19700000000000001</v>
      </c>
      <c r="V717" t="str">
        <f t="shared" si="72"/>
        <v>High Pupil Management</v>
      </c>
      <c r="W717" t="str">
        <f t="shared" si="73"/>
        <v>Pupil Management</v>
      </c>
    </row>
    <row r="718" spans="1:23" x14ac:dyDescent="0.25">
      <c r="A718">
        <v>13165</v>
      </c>
      <c r="B718" t="s">
        <v>1299</v>
      </c>
      <c r="C718">
        <v>4.8869999999999996</v>
      </c>
      <c r="D718" t="s">
        <v>1264</v>
      </c>
      <c r="E718">
        <v>100081</v>
      </c>
      <c r="F718">
        <v>13165</v>
      </c>
      <c r="G718" t="str">
        <f t="shared" si="71"/>
        <v>13165</v>
      </c>
      <c r="H718" t="s">
        <v>368</v>
      </c>
      <c r="I718" t="s">
        <v>1265</v>
      </c>
      <c r="J718" t="s">
        <v>1271</v>
      </c>
      <c r="K718" t="s">
        <v>1272</v>
      </c>
      <c r="L718" t="s">
        <v>1299</v>
      </c>
      <c r="M718" t="s">
        <v>1300</v>
      </c>
      <c r="N718">
        <v>1</v>
      </c>
      <c r="O718" t="str">
        <f t="shared" si="74"/>
        <v>25</v>
      </c>
      <c r="Q718">
        <v>25</v>
      </c>
      <c r="R718" t="s">
        <v>1269</v>
      </c>
      <c r="S718">
        <v>4.8869999999999996</v>
      </c>
      <c r="T718">
        <v>0.2374</v>
      </c>
      <c r="U718">
        <f t="shared" si="75"/>
        <v>0</v>
      </c>
      <c r="V718" t="str">
        <f t="shared" si="72"/>
        <v>High Pupil Management</v>
      </c>
      <c r="W718" t="str">
        <f t="shared" si="73"/>
        <v>Pupil Management</v>
      </c>
    </row>
    <row r="719" spans="1:23" x14ac:dyDescent="0.25">
      <c r="A719">
        <v>13165</v>
      </c>
      <c r="B719" t="s">
        <v>1363</v>
      </c>
      <c r="C719">
        <v>1.4E-2</v>
      </c>
      <c r="D719" t="s">
        <v>1264</v>
      </c>
      <c r="E719">
        <v>100081</v>
      </c>
      <c r="F719">
        <v>13165</v>
      </c>
      <c r="G719" t="str">
        <f t="shared" si="71"/>
        <v>13165</v>
      </c>
      <c r="H719" t="s">
        <v>368</v>
      </c>
      <c r="I719" t="s">
        <v>1265</v>
      </c>
      <c r="J719" t="s">
        <v>1266</v>
      </c>
      <c r="K719" t="s">
        <v>1267</v>
      </c>
      <c r="L719" t="s">
        <v>1363</v>
      </c>
      <c r="M719" t="s">
        <v>1386</v>
      </c>
      <c r="N719">
        <v>1</v>
      </c>
      <c r="O719" t="str">
        <f t="shared" si="74"/>
        <v>25</v>
      </c>
      <c r="Q719">
        <v>25</v>
      </c>
      <c r="R719" t="s">
        <v>1269</v>
      </c>
      <c r="S719">
        <v>1.4E-2</v>
      </c>
      <c r="T719">
        <v>0.2374</v>
      </c>
      <c r="U719">
        <f t="shared" si="75"/>
        <v>0</v>
      </c>
      <c r="V719" t="str">
        <f t="shared" si="72"/>
        <v>Middle Pupil Management</v>
      </c>
      <c r="W719" t="str">
        <f t="shared" si="73"/>
        <v>Pupil Management</v>
      </c>
    </row>
    <row r="720" spans="1:23" x14ac:dyDescent="0.25">
      <c r="A720">
        <v>13165</v>
      </c>
      <c r="B720" t="s">
        <v>1324</v>
      </c>
      <c r="C720">
        <v>0.12</v>
      </c>
      <c r="D720" t="s">
        <v>1264</v>
      </c>
      <c r="E720">
        <v>100081</v>
      </c>
      <c r="F720">
        <v>13165</v>
      </c>
      <c r="G720" t="str">
        <f t="shared" si="71"/>
        <v>13165</v>
      </c>
      <c r="H720" t="s">
        <v>368</v>
      </c>
      <c r="I720" t="s">
        <v>1265</v>
      </c>
      <c r="J720" t="s">
        <v>1271</v>
      </c>
      <c r="K720" t="s">
        <v>1272</v>
      </c>
      <c r="L720" t="s">
        <v>1324</v>
      </c>
      <c r="M720" t="s">
        <v>1325</v>
      </c>
      <c r="N720">
        <v>21</v>
      </c>
      <c r="O720" t="str">
        <f t="shared" si="74"/>
        <v>26</v>
      </c>
      <c r="Q720">
        <v>26</v>
      </c>
      <c r="R720" t="s">
        <v>1269</v>
      </c>
      <c r="S720">
        <v>0.12</v>
      </c>
      <c r="T720">
        <v>0.2374</v>
      </c>
      <c r="U720">
        <f t="shared" si="75"/>
        <v>2.8000000000000001E-2</v>
      </c>
      <c r="V720" t="str">
        <f t="shared" si="72"/>
        <v>High Health/
Related Services</v>
      </c>
      <c r="W720" t="str">
        <f t="shared" si="73"/>
        <v>Health/
Related Services</v>
      </c>
    </row>
    <row r="721" spans="1:23" x14ac:dyDescent="0.25">
      <c r="A721">
        <v>13165</v>
      </c>
      <c r="B721" t="s">
        <v>1295</v>
      </c>
      <c r="C721">
        <v>1.08</v>
      </c>
      <c r="D721" t="s">
        <v>1264</v>
      </c>
      <c r="E721">
        <v>100081</v>
      </c>
      <c r="F721">
        <v>13165</v>
      </c>
      <c r="G721" t="str">
        <f t="shared" si="71"/>
        <v>13165</v>
      </c>
      <c r="H721" t="s">
        <v>368</v>
      </c>
      <c r="I721" t="s">
        <v>1265</v>
      </c>
      <c r="J721" t="s">
        <v>1271</v>
      </c>
      <c r="K721" t="s">
        <v>1272</v>
      </c>
      <c r="L721" t="s">
        <v>1295</v>
      </c>
      <c r="M721" t="s">
        <v>1296</v>
      </c>
      <c r="N721">
        <v>1</v>
      </c>
      <c r="O721" t="str">
        <f t="shared" si="74"/>
        <v>26</v>
      </c>
      <c r="Q721">
        <v>26</v>
      </c>
      <c r="R721" t="s">
        <v>1269</v>
      </c>
      <c r="S721">
        <v>1.08</v>
      </c>
      <c r="T721">
        <v>0.2374</v>
      </c>
      <c r="U721">
        <f t="shared" si="75"/>
        <v>0</v>
      </c>
      <c r="V721" t="str">
        <f t="shared" si="72"/>
        <v>High Health/
Related Services</v>
      </c>
      <c r="W721" t="str">
        <f t="shared" si="73"/>
        <v>Health/
Related Services</v>
      </c>
    </row>
    <row r="722" spans="1:23" x14ac:dyDescent="0.25">
      <c r="A722">
        <v>13165</v>
      </c>
      <c r="B722" t="s">
        <v>1402</v>
      </c>
      <c r="C722">
        <v>1.4750000000000001</v>
      </c>
      <c r="D722" t="s">
        <v>1264</v>
      </c>
      <c r="E722">
        <v>100081</v>
      </c>
      <c r="F722">
        <v>13165</v>
      </c>
      <c r="G722" t="str">
        <f t="shared" si="71"/>
        <v>13165</v>
      </c>
      <c r="H722" t="s">
        <v>368</v>
      </c>
      <c r="I722" t="s">
        <v>1265</v>
      </c>
      <c r="J722" t="s">
        <v>1271</v>
      </c>
      <c r="K722" t="s">
        <v>1272</v>
      </c>
      <c r="L722" t="s">
        <v>1402</v>
      </c>
      <c r="M722" t="s">
        <v>1408</v>
      </c>
      <c r="N722">
        <v>97</v>
      </c>
      <c r="O722" t="str">
        <f t="shared" si="74"/>
        <v>35</v>
      </c>
      <c r="Q722">
        <v>35</v>
      </c>
      <c r="R722" t="s">
        <v>1269</v>
      </c>
      <c r="S722">
        <v>1.4750000000000001</v>
      </c>
      <c r="T722">
        <v>0.2374</v>
      </c>
      <c r="U722">
        <f t="shared" si="75"/>
        <v>0</v>
      </c>
      <c r="V722" t="str">
        <f t="shared" si="72"/>
        <v>High Pupil Safety</v>
      </c>
      <c r="W722" t="str">
        <f t="shared" si="73"/>
        <v>Pupil Safety</v>
      </c>
    </row>
    <row r="723" spans="1:23" x14ac:dyDescent="0.25">
      <c r="A723">
        <v>13165</v>
      </c>
      <c r="B723" t="s">
        <v>1275</v>
      </c>
      <c r="C723">
        <v>3</v>
      </c>
      <c r="D723" t="s">
        <v>1264</v>
      </c>
      <c r="E723">
        <v>100081</v>
      </c>
      <c r="F723">
        <v>13165</v>
      </c>
      <c r="G723" t="str">
        <f t="shared" si="71"/>
        <v>13165</v>
      </c>
      <c r="H723" t="s">
        <v>368</v>
      </c>
      <c r="I723" t="s">
        <v>1265</v>
      </c>
      <c r="J723" t="s">
        <v>1276</v>
      </c>
      <c r="K723" t="s">
        <v>1277</v>
      </c>
      <c r="L723" t="s">
        <v>1275</v>
      </c>
      <c r="M723" t="s">
        <v>1278</v>
      </c>
      <c r="N723">
        <v>1</v>
      </c>
      <c r="O723" t="str">
        <f t="shared" si="74"/>
        <v>42</v>
      </c>
      <c r="P723">
        <v>42</v>
      </c>
      <c r="R723" t="s">
        <v>1269</v>
      </c>
      <c r="S723">
        <v>3</v>
      </c>
      <c r="T723">
        <v>0.2374</v>
      </c>
      <c r="U723">
        <f t="shared" si="75"/>
        <v>0</v>
      </c>
      <c r="V723" t="str">
        <f t="shared" si="72"/>
        <v>Elementary Counselor</v>
      </c>
      <c r="W723" t="str">
        <f t="shared" si="73"/>
        <v>Counselor</v>
      </c>
    </row>
    <row r="724" spans="1:23" x14ac:dyDescent="0.25">
      <c r="A724">
        <v>13165</v>
      </c>
      <c r="B724" t="s">
        <v>1270</v>
      </c>
      <c r="C724">
        <v>2</v>
      </c>
      <c r="D724" t="s">
        <v>1264</v>
      </c>
      <c r="E724">
        <v>100081</v>
      </c>
      <c r="F724">
        <v>13165</v>
      </c>
      <c r="G724" t="str">
        <f t="shared" si="71"/>
        <v>13165</v>
      </c>
      <c r="H724" t="s">
        <v>368</v>
      </c>
      <c r="I724" t="s">
        <v>1265</v>
      </c>
      <c r="J724" t="s">
        <v>1271</v>
      </c>
      <c r="K724" t="s">
        <v>1272</v>
      </c>
      <c r="L724" t="s">
        <v>1270</v>
      </c>
      <c r="M724" t="s">
        <v>1273</v>
      </c>
      <c r="N724">
        <v>1</v>
      </c>
      <c r="O724" t="str">
        <f t="shared" si="74"/>
        <v>42</v>
      </c>
      <c r="P724">
        <v>42</v>
      </c>
      <c r="R724" t="s">
        <v>1269</v>
      </c>
      <c r="S724">
        <v>2</v>
      </c>
      <c r="T724">
        <v>0.2374</v>
      </c>
      <c r="U724">
        <f t="shared" si="75"/>
        <v>0</v>
      </c>
      <c r="V724" t="str">
        <f t="shared" si="72"/>
        <v>High Counselor</v>
      </c>
      <c r="W724" t="str">
        <f t="shared" si="73"/>
        <v>Counselor</v>
      </c>
    </row>
    <row r="725" spans="1:23" x14ac:dyDescent="0.25">
      <c r="A725">
        <v>13165</v>
      </c>
      <c r="B725" t="s">
        <v>1263</v>
      </c>
      <c r="C725">
        <v>1</v>
      </c>
      <c r="D725" t="s">
        <v>1264</v>
      </c>
      <c r="E725">
        <v>100081</v>
      </c>
      <c r="F725">
        <v>13165</v>
      </c>
      <c r="G725" t="str">
        <f t="shared" si="71"/>
        <v>13165</v>
      </c>
      <c r="H725" t="s">
        <v>368</v>
      </c>
      <c r="I725" t="s">
        <v>1265</v>
      </c>
      <c r="J725" t="s">
        <v>1266</v>
      </c>
      <c r="K725" t="s">
        <v>1267</v>
      </c>
      <c r="L725" t="s">
        <v>1263</v>
      </c>
      <c r="M725" t="s">
        <v>1268</v>
      </c>
      <c r="N725">
        <v>1</v>
      </c>
      <c r="O725" t="str">
        <f t="shared" si="74"/>
        <v>42</v>
      </c>
      <c r="P725">
        <v>42</v>
      </c>
      <c r="R725" t="s">
        <v>1269</v>
      </c>
      <c r="S725">
        <v>1</v>
      </c>
      <c r="T725">
        <v>0.2374</v>
      </c>
      <c r="U725">
        <f t="shared" si="75"/>
        <v>0</v>
      </c>
      <c r="V725" t="str">
        <f t="shared" si="72"/>
        <v>Middle Counselor</v>
      </c>
      <c r="W725" t="str">
        <f t="shared" si="73"/>
        <v>Counselor</v>
      </c>
    </row>
    <row r="726" spans="1:23" x14ac:dyDescent="0.25">
      <c r="A726">
        <v>13165</v>
      </c>
      <c r="B726" t="s">
        <v>1294</v>
      </c>
      <c r="C726">
        <v>1.5249999999999999</v>
      </c>
      <c r="D726" t="s">
        <v>1264</v>
      </c>
      <c r="E726">
        <v>100081</v>
      </c>
      <c r="F726">
        <v>13165</v>
      </c>
      <c r="G726" t="str">
        <f t="shared" si="71"/>
        <v>13165</v>
      </c>
      <c r="H726" t="s">
        <v>368</v>
      </c>
      <c r="I726" t="s">
        <v>1265</v>
      </c>
      <c r="J726" t="s">
        <v>1276</v>
      </c>
      <c r="K726" t="s">
        <v>1277</v>
      </c>
      <c r="L726" t="s">
        <v>1294</v>
      </c>
      <c r="M726" t="s">
        <v>1354</v>
      </c>
      <c r="N726">
        <v>21</v>
      </c>
      <c r="O726" t="str">
        <f t="shared" si="74"/>
        <v>45</v>
      </c>
      <c r="P726">
        <v>45</v>
      </c>
      <c r="R726" t="s">
        <v>1269</v>
      </c>
      <c r="S726">
        <v>1.5249999999999999</v>
      </c>
      <c r="T726">
        <v>0.2374</v>
      </c>
      <c r="U726">
        <f t="shared" si="75"/>
        <v>0.36199999999999999</v>
      </c>
      <c r="V726" t="str">
        <f t="shared" si="72"/>
        <v>Elementary Speech, Language Pathway/
Audio</v>
      </c>
      <c r="W726" t="str">
        <f t="shared" si="73"/>
        <v>Speech, Language Pathway/
Audio</v>
      </c>
    </row>
    <row r="727" spans="1:23" x14ac:dyDescent="0.25">
      <c r="A727">
        <v>13165</v>
      </c>
      <c r="B727" t="s">
        <v>1326</v>
      </c>
      <c r="C727">
        <v>0.86899999999999999</v>
      </c>
      <c r="D727" t="s">
        <v>1264</v>
      </c>
      <c r="E727">
        <v>100081</v>
      </c>
      <c r="F727">
        <v>13165</v>
      </c>
      <c r="G727" t="str">
        <f t="shared" si="71"/>
        <v>13165</v>
      </c>
      <c r="H727" t="s">
        <v>368</v>
      </c>
      <c r="I727" t="s">
        <v>1265</v>
      </c>
      <c r="J727" t="s">
        <v>1271</v>
      </c>
      <c r="K727" t="s">
        <v>1272</v>
      </c>
      <c r="L727" t="s">
        <v>1326</v>
      </c>
      <c r="M727" t="s">
        <v>1353</v>
      </c>
      <c r="N727">
        <v>21</v>
      </c>
      <c r="O727" t="str">
        <f t="shared" si="74"/>
        <v>45</v>
      </c>
      <c r="P727">
        <v>45</v>
      </c>
      <c r="R727" t="s">
        <v>1269</v>
      </c>
      <c r="S727">
        <v>0.86899999999999999</v>
      </c>
      <c r="T727">
        <v>0.2374</v>
      </c>
      <c r="U727">
        <f t="shared" si="75"/>
        <v>0.20599999999999999</v>
      </c>
      <c r="V727" t="str">
        <f t="shared" si="72"/>
        <v>High Speech, Language Pathway/
Audio</v>
      </c>
      <c r="W727" t="str">
        <f t="shared" si="73"/>
        <v>Speech, Language Pathway/
Audio</v>
      </c>
    </row>
    <row r="728" spans="1:23" x14ac:dyDescent="0.25">
      <c r="A728">
        <v>13165</v>
      </c>
      <c r="B728" t="s">
        <v>1312</v>
      </c>
      <c r="C728">
        <v>0.436</v>
      </c>
      <c r="D728" t="s">
        <v>1264</v>
      </c>
      <c r="E728">
        <v>100081</v>
      </c>
      <c r="F728">
        <v>13165</v>
      </c>
      <c r="G728" t="str">
        <f t="shared" si="71"/>
        <v>13165</v>
      </c>
      <c r="H728" t="s">
        <v>368</v>
      </c>
      <c r="I728" t="s">
        <v>1265</v>
      </c>
      <c r="J728" t="s">
        <v>1266</v>
      </c>
      <c r="K728" t="s">
        <v>1267</v>
      </c>
      <c r="L728" t="s">
        <v>1312</v>
      </c>
      <c r="M728" t="s">
        <v>1351</v>
      </c>
      <c r="N728">
        <v>21</v>
      </c>
      <c r="O728" t="str">
        <f t="shared" si="74"/>
        <v>45</v>
      </c>
      <c r="P728">
        <v>45</v>
      </c>
      <c r="R728" t="s">
        <v>1269</v>
      </c>
      <c r="S728">
        <v>0.436</v>
      </c>
      <c r="T728">
        <v>0.2374</v>
      </c>
      <c r="U728">
        <f t="shared" si="75"/>
        <v>0.104</v>
      </c>
      <c r="V728" t="str">
        <f t="shared" si="72"/>
        <v>Middle Speech, Language Pathway/
Audio</v>
      </c>
      <c r="W728" t="str">
        <f t="shared" si="73"/>
        <v>Speech, Language Pathway/
Audio</v>
      </c>
    </row>
    <row r="729" spans="1:23" x14ac:dyDescent="0.25">
      <c r="A729">
        <v>13165</v>
      </c>
      <c r="B729" t="s">
        <v>1298</v>
      </c>
      <c r="C729">
        <v>1.3340000000000001</v>
      </c>
      <c r="D729" t="s">
        <v>1264</v>
      </c>
      <c r="E729">
        <v>100081</v>
      </c>
      <c r="F729">
        <v>13165</v>
      </c>
      <c r="G729" t="str">
        <f t="shared" si="71"/>
        <v>13165</v>
      </c>
      <c r="H729" t="s">
        <v>368</v>
      </c>
      <c r="I729" t="s">
        <v>1265</v>
      </c>
      <c r="J729" t="s">
        <v>1276</v>
      </c>
      <c r="K729" t="s">
        <v>1277</v>
      </c>
      <c r="L729" t="s">
        <v>1298</v>
      </c>
      <c r="M729" t="s">
        <v>1349</v>
      </c>
      <c r="N729">
        <v>21</v>
      </c>
      <c r="O729" t="str">
        <f t="shared" si="74"/>
        <v>46</v>
      </c>
      <c r="P729">
        <v>46</v>
      </c>
      <c r="R729" t="s">
        <v>1269</v>
      </c>
      <c r="S729">
        <v>1.3340000000000001</v>
      </c>
      <c r="T729">
        <v>0.2374</v>
      </c>
      <c r="U729">
        <f t="shared" si="75"/>
        <v>0.317</v>
      </c>
      <c r="V729" t="str">
        <f t="shared" si="72"/>
        <v>Elementary Psychologist</v>
      </c>
      <c r="W729" t="str">
        <f t="shared" si="73"/>
        <v>Psychologist</v>
      </c>
    </row>
    <row r="730" spans="1:23" x14ac:dyDescent="0.25">
      <c r="A730">
        <v>13165</v>
      </c>
      <c r="B730" t="s">
        <v>1333</v>
      </c>
      <c r="C730">
        <v>0.14899999999999999</v>
      </c>
      <c r="D730" t="s">
        <v>1264</v>
      </c>
      <c r="E730">
        <v>100081</v>
      </c>
      <c r="F730">
        <v>13165</v>
      </c>
      <c r="G730" t="str">
        <f t="shared" si="71"/>
        <v>13165</v>
      </c>
      <c r="H730" t="s">
        <v>368</v>
      </c>
      <c r="I730" t="s">
        <v>1265</v>
      </c>
      <c r="J730" t="s">
        <v>1276</v>
      </c>
      <c r="K730" t="s">
        <v>1277</v>
      </c>
      <c r="L730" t="s">
        <v>1333</v>
      </c>
      <c r="M730" t="s">
        <v>1432</v>
      </c>
      <c r="N730">
        <v>1</v>
      </c>
      <c r="O730" t="str">
        <f t="shared" si="74"/>
        <v>46</v>
      </c>
      <c r="P730">
        <v>46</v>
      </c>
      <c r="R730" t="s">
        <v>1269</v>
      </c>
      <c r="S730">
        <v>0.14899999999999999</v>
      </c>
      <c r="T730">
        <v>0.2374</v>
      </c>
      <c r="U730">
        <f t="shared" si="75"/>
        <v>0</v>
      </c>
      <c r="V730" t="str">
        <f t="shared" si="72"/>
        <v>Elementary Psychologist</v>
      </c>
      <c r="W730" t="str">
        <f t="shared" si="73"/>
        <v>Psychologist</v>
      </c>
    </row>
    <row r="731" spans="1:23" x14ac:dyDescent="0.25">
      <c r="A731">
        <v>13165</v>
      </c>
      <c r="B731" t="s">
        <v>1309</v>
      </c>
      <c r="C731">
        <v>0.76200000000000001</v>
      </c>
      <c r="D731" t="s">
        <v>1264</v>
      </c>
      <c r="E731">
        <v>100081</v>
      </c>
      <c r="F731">
        <v>13165</v>
      </c>
      <c r="G731" t="str">
        <f t="shared" si="71"/>
        <v>13165</v>
      </c>
      <c r="H731" t="s">
        <v>368</v>
      </c>
      <c r="I731" t="s">
        <v>1265</v>
      </c>
      <c r="J731" t="s">
        <v>1271</v>
      </c>
      <c r="K731" t="s">
        <v>1272</v>
      </c>
      <c r="L731" t="s">
        <v>1309</v>
      </c>
      <c r="M731" t="s">
        <v>1310</v>
      </c>
      <c r="N731">
        <v>21</v>
      </c>
      <c r="O731" t="str">
        <f t="shared" si="74"/>
        <v>46</v>
      </c>
      <c r="P731">
        <v>46</v>
      </c>
      <c r="R731" t="s">
        <v>1269</v>
      </c>
      <c r="S731">
        <v>0.76200000000000001</v>
      </c>
      <c r="T731">
        <v>0.2374</v>
      </c>
      <c r="U731">
        <f t="shared" si="75"/>
        <v>0.18099999999999999</v>
      </c>
      <c r="V731" t="str">
        <f t="shared" si="72"/>
        <v>High Psychologist</v>
      </c>
      <c r="W731" t="str">
        <f t="shared" si="73"/>
        <v>Psychologist</v>
      </c>
    </row>
    <row r="732" spans="1:23" x14ac:dyDescent="0.25">
      <c r="A732">
        <v>13165</v>
      </c>
      <c r="B732" t="s">
        <v>1396</v>
      </c>
      <c r="C732">
        <v>8.5000000000000006E-2</v>
      </c>
      <c r="D732" t="s">
        <v>1264</v>
      </c>
      <c r="E732">
        <v>100081</v>
      </c>
      <c r="F732">
        <v>13165</v>
      </c>
      <c r="G732" t="str">
        <f t="shared" si="71"/>
        <v>13165</v>
      </c>
      <c r="H732" t="s">
        <v>368</v>
      </c>
      <c r="I732" t="s">
        <v>1265</v>
      </c>
      <c r="J732" t="s">
        <v>1271</v>
      </c>
      <c r="K732" t="s">
        <v>1272</v>
      </c>
      <c r="L732" t="s">
        <v>1396</v>
      </c>
      <c r="M732" t="s">
        <v>1431</v>
      </c>
      <c r="N732">
        <v>1</v>
      </c>
      <c r="O732" t="str">
        <f t="shared" si="74"/>
        <v>46</v>
      </c>
      <c r="P732">
        <v>46</v>
      </c>
      <c r="R732" t="s">
        <v>1269</v>
      </c>
      <c r="S732">
        <v>8.5000000000000006E-2</v>
      </c>
      <c r="T732">
        <v>0.2374</v>
      </c>
      <c r="U732">
        <f t="shared" si="75"/>
        <v>0</v>
      </c>
      <c r="V732" t="str">
        <f t="shared" si="72"/>
        <v>High Psychologist</v>
      </c>
      <c r="W732" t="str">
        <f t="shared" si="73"/>
        <v>Psychologist</v>
      </c>
    </row>
    <row r="733" spans="1:23" x14ac:dyDescent="0.25">
      <c r="A733">
        <v>13165</v>
      </c>
      <c r="B733" t="s">
        <v>1345</v>
      </c>
      <c r="C733">
        <v>0.38</v>
      </c>
      <c r="D733" t="s">
        <v>1264</v>
      </c>
      <c r="E733">
        <v>100081</v>
      </c>
      <c r="F733">
        <v>13165</v>
      </c>
      <c r="G733" t="str">
        <f t="shared" si="71"/>
        <v>13165</v>
      </c>
      <c r="H733" t="s">
        <v>368</v>
      </c>
      <c r="I733" t="s">
        <v>1265</v>
      </c>
      <c r="J733" t="s">
        <v>1266</v>
      </c>
      <c r="K733" t="s">
        <v>1267</v>
      </c>
      <c r="L733" t="s">
        <v>1345</v>
      </c>
      <c r="M733" t="s">
        <v>1346</v>
      </c>
      <c r="N733">
        <v>21</v>
      </c>
      <c r="O733" t="str">
        <f t="shared" si="74"/>
        <v>46</v>
      </c>
      <c r="P733">
        <v>46</v>
      </c>
      <c r="R733" t="s">
        <v>1269</v>
      </c>
      <c r="S733">
        <v>0.38</v>
      </c>
      <c r="T733">
        <v>0.2374</v>
      </c>
      <c r="U733">
        <f t="shared" si="75"/>
        <v>0.09</v>
      </c>
      <c r="V733" t="str">
        <f t="shared" si="72"/>
        <v>Middle Psychologist</v>
      </c>
      <c r="W733" t="str">
        <f t="shared" si="73"/>
        <v>Psychologist</v>
      </c>
    </row>
    <row r="734" spans="1:23" x14ac:dyDescent="0.25">
      <c r="A734">
        <v>13165</v>
      </c>
      <c r="B734" t="s">
        <v>1371</v>
      </c>
      <c r="C734">
        <v>4.1000000000000002E-2</v>
      </c>
      <c r="D734" t="s">
        <v>1264</v>
      </c>
      <c r="E734">
        <v>100081</v>
      </c>
      <c r="F734">
        <v>13165</v>
      </c>
      <c r="G734" t="str">
        <f t="shared" si="71"/>
        <v>13165</v>
      </c>
      <c r="H734" t="s">
        <v>368</v>
      </c>
      <c r="I734" t="s">
        <v>1265</v>
      </c>
      <c r="J734" t="s">
        <v>1266</v>
      </c>
      <c r="K734" t="s">
        <v>1267</v>
      </c>
      <c r="L734" t="s">
        <v>1371</v>
      </c>
      <c r="M734" t="s">
        <v>1430</v>
      </c>
      <c r="N734">
        <v>1</v>
      </c>
      <c r="O734" t="str">
        <f t="shared" si="74"/>
        <v>46</v>
      </c>
      <c r="P734">
        <v>46</v>
      </c>
      <c r="R734" t="s">
        <v>1269</v>
      </c>
      <c r="S734">
        <v>4.1000000000000002E-2</v>
      </c>
      <c r="T734">
        <v>0.2374</v>
      </c>
      <c r="U734">
        <f t="shared" si="75"/>
        <v>0</v>
      </c>
      <c r="V734" t="str">
        <f t="shared" si="72"/>
        <v>Middle Psychologist</v>
      </c>
      <c r="W734" t="str">
        <f t="shared" si="73"/>
        <v>Psychologist</v>
      </c>
    </row>
    <row r="735" spans="1:23" x14ac:dyDescent="0.25">
      <c r="A735">
        <v>13165</v>
      </c>
      <c r="B735" t="s">
        <v>1335</v>
      </c>
      <c r="C735">
        <v>1.5</v>
      </c>
      <c r="D735" t="s">
        <v>1264</v>
      </c>
      <c r="E735">
        <v>100081</v>
      </c>
      <c r="F735">
        <v>13165</v>
      </c>
      <c r="G735" t="str">
        <f t="shared" si="71"/>
        <v>13165</v>
      </c>
      <c r="H735" t="s">
        <v>368</v>
      </c>
      <c r="I735" t="s">
        <v>1265</v>
      </c>
      <c r="J735" t="s">
        <v>1276</v>
      </c>
      <c r="K735" t="s">
        <v>1277</v>
      </c>
      <c r="L735" t="s">
        <v>1335</v>
      </c>
      <c r="M735" t="s">
        <v>1344</v>
      </c>
      <c r="N735">
        <v>1</v>
      </c>
      <c r="O735" t="str">
        <f t="shared" si="74"/>
        <v>47</v>
      </c>
      <c r="P735">
        <v>47</v>
      </c>
      <c r="R735" t="s">
        <v>1269</v>
      </c>
      <c r="S735">
        <v>1.5</v>
      </c>
      <c r="T735">
        <v>0.2374</v>
      </c>
      <c r="U735">
        <f t="shared" si="75"/>
        <v>0</v>
      </c>
      <c r="V735" t="str">
        <f t="shared" si="72"/>
        <v>Elementary Nurse</v>
      </c>
      <c r="W735" t="str">
        <f t="shared" si="73"/>
        <v>Nurse</v>
      </c>
    </row>
    <row r="736" spans="1:23" x14ac:dyDescent="0.25">
      <c r="A736">
        <v>13165</v>
      </c>
      <c r="B736" t="s">
        <v>1341</v>
      </c>
      <c r="C736">
        <v>0.61899999999999999</v>
      </c>
      <c r="D736" t="s">
        <v>1264</v>
      </c>
      <c r="E736">
        <v>100081</v>
      </c>
      <c r="F736">
        <v>13165</v>
      </c>
      <c r="G736" t="str">
        <f t="shared" si="71"/>
        <v>13165</v>
      </c>
      <c r="H736" t="s">
        <v>368</v>
      </c>
      <c r="I736" t="s">
        <v>1265</v>
      </c>
      <c r="J736" t="s">
        <v>1271</v>
      </c>
      <c r="K736" t="s">
        <v>1272</v>
      </c>
      <c r="L736" t="s">
        <v>1341</v>
      </c>
      <c r="M736" t="s">
        <v>1342</v>
      </c>
      <c r="N736">
        <v>1</v>
      </c>
      <c r="O736" t="str">
        <f t="shared" si="74"/>
        <v>47</v>
      </c>
      <c r="P736">
        <v>47</v>
      </c>
      <c r="R736" t="s">
        <v>1269</v>
      </c>
      <c r="S736">
        <v>0.61899999999999999</v>
      </c>
      <c r="T736">
        <v>0.2374</v>
      </c>
      <c r="U736">
        <f t="shared" si="75"/>
        <v>0</v>
      </c>
      <c r="V736" t="str">
        <f t="shared" si="72"/>
        <v>High Nurse</v>
      </c>
      <c r="W736" t="str">
        <f t="shared" si="73"/>
        <v>Nurse</v>
      </c>
    </row>
    <row r="737" spans="1:23" x14ac:dyDescent="0.25">
      <c r="A737">
        <v>13165</v>
      </c>
      <c r="B737" t="s">
        <v>1338</v>
      </c>
      <c r="C737">
        <v>0.5</v>
      </c>
      <c r="D737" t="s">
        <v>1264</v>
      </c>
      <c r="E737">
        <v>100081</v>
      </c>
      <c r="F737">
        <v>13165</v>
      </c>
      <c r="G737" t="str">
        <f t="shared" si="71"/>
        <v>13165</v>
      </c>
      <c r="H737" t="s">
        <v>368</v>
      </c>
      <c r="I737" t="s">
        <v>1265</v>
      </c>
      <c r="J737" t="s">
        <v>1266</v>
      </c>
      <c r="K737" t="s">
        <v>1267</v>
      </c>
      <c r="L737" t="s">
        <v>1338</v>
      </c>
      <c r="M737" t="s">
        <v>1339</v>
      </c>
      <c r="N737">
        <v>1</v>
      </c>
      <c r="O737" t="str">
        <f t="shared" si="74"/>
        <v>47</v>
      </c>
      <c r="P737">
        <v>47</v>
      </c>
      <c r="R737" t="s">
        <v>1269</v>
      </c>
      <c r="S737">
        <v>0.5</v>
      </c>
      <c r="T737">
        <v>0.2374</v>
      </c>
      <c r="U737">
        <f t="shared" si="75"/>
        <v>0</v>
      </c>
      <c r="V737" t="str">
        <f t="shared" si="72"/>
        <v>Middle Nurse</v>
      </c>
      <c r="W737" t="str">
        <f t="shared" si="73"/>
        <v>Nurse</v>
      </c>
    </row>
    <row r="738" spans="1:23" x14ac:dyDescent="0.25">
      <c r="A738">
        <v>13167</v>
      </c>
      <c r="B738" t="s">
        <v>1315</v>
      </c>
      <c r="C738">
        <v>0.29199999999999998</v>
      </c>
      <c r="D738" t="s">
        <v>1264</v>
      </c>
      <c r="E738">
        <v>100298</v>
      </c>
      <c r="F738">
        <v>13167</v>
      </c>
      <c r="G738" t="str">
        <f t="shared" si="71"/>
        <v>13167</v>
      </c>
      <c r="H738" t="s">
        <v>369</v>
      </c>
      <c r="I738" t="s">
        <v>1265</v>
      </c>
      <c r="J738" t="s">
        <v>1276</v>
      </c>
      <c r="K738" t="s">
        <v>1277</v>
      </c>
      <c r="L738" t="s">
        <v>1315</v>
      </c>
      <c r="M738" t="s">
        <v>1375</v>
      </c>
      <c r="N738">
        <v>1</v>
      </c>
      <c r="O738" t="str">
        <f t="shared" si="74"/>
        <v>26</v>
      </c>
      <c r="Q738">
        <v>26</v>
      </c>
      <c r="R738" t="s">
        <v>1269</v>
      </c>
      <c r="S738">
        <v>0.29199999999999998</v>
      </c>
      <c r="T738">
        <v>0.1656</v>
      </c>
      <c r="U738">
        <f t="shared" si="75"/>
        <v>0</v>
      </c>
      <c r="V738" t="str">
        <f t="shared" si="72"/>
        <v>Elementary Health/
Related Services</v>
      </c>
      <c r="W738" t="str">
        <f t="shared" si="73"/>
        <v>Health/
Related Services</v>
      </c>
    </row>
    <row r="739" spans="1:23" x14ac:dyDescent="0.25">
      <c r="A739">
        <v>13167</v>
      </c>
      <c r="B739" t="s">
        <v>1295</v>
      </c>
      <c r="C739">
        <v>0.29199999999999998</v>
      </c>
      <c r="D739" t="s">
        <v>1264</v>
      </c>
      <c r="E739">
        <v>100298</v>
      </c>
      <c r="F739">
        <v>13167</v>
      </c>
      <c r="G739" t="str">
        <f t="shared" si="71"/>
        <v>13167</v>
      </c>
      <c r="H739" t="s">
        <v>369</v>
      </c>
      <c r="I739" t="s">
        <v>1265</v>
      </c>
      <c r="J739" t="s">
        <v>1271</v>
      </c>
      <c r="K739" t="s">
        <v>1272</v>
      </c>
      <c r="L739" t="s">
        <v>1295</v>
      </c>
      <c r="M739" t="s">
        <v>1296</v>
      </c>
      <c r="N739">
        <v>1</v>
      </c>
      <c r="O739" t="str">
        <f t="shared" si="74"/>
        <v>26</v>
      </c>
      <c r="Q739">
        <v>26</v>
      </c>
      <c r="R739" t="s">
        <v>1269</v>
      </c>
      <c r="S739">
        <v>0.29199999999999998</v>
      </c>
      <c r="T739">
        <v>0.1656</v>
      </c>
      <c r="U739">
        <f t="shared" si="75"/>
        <v>0</v>
      </c>
      <c r="V739" t="str">
        <f t="shared" si="72"/>
        <v>High Health/
Related Services</v>
      </c>
      <c r="W739" t="str">
        <f t="shared" si="73"/>
        <v>Health/
Related Services</v>
      </c>
    </row>
    <row r="740" spans="1:23" x14ac:dyDescent="0.25">
      <c r="A740">
        <v>13301</v>
      </c>
      <c r="B740" t="s">
        <v>1299</v>
      </c>
      <c r="C740">
        <v>0.61599999999999999</v>
      </c>
      <c r="D740" t="s">
        <v>1264</v>
      </c>
      <c r="E740">
        <v>100095</v>
      </c>
      <c r="F740">
        <v>13301</v>
      </c>
      <c r="G740" t="str">
        <f t="shared" si="71"/>
        <v>13301</v>
      </c>
      <c r="H740" t="s">
        <v>370</v>
      </c>
      <c r="I740" t="s">
        <v>1265</v>
      </c>
      <c r="J740" t="s">
        <v>1271</v>
      </c>
      <c r="K740" t="s">
        <v>1272</v>
      </c>
      <c r="L740" t="s">
        <v>1299</v>
      </c>
      <c r="M740" t="s">
        <v>1300</v>
      </c>
      <c r="N740">
        <v>1</v>
      </c>
      <c r="O740" t="str">
        <f t="shared" si="74"/>
        <v>25</v>
      </c>
      <c r="Q740">
        <v>25</v>
      </c>
      <c r="R740" t="s">
        <v>1269</v>
      </c>
      <c r="S740">
        <v>0.61599999999999999</v>
      </c>
      <c r="T740">
        <v>0.2505</v>
      </c>
      <c r="U740">
        <f t="shared" si="75"/>
        <v>0</v>
      </c>
      <c r="V740" t="str">
        <f t="shared" si="72"/>
        <v>High Pupil Management</v>
      </c>
      <c r="W740" t="str">
        <f t="shared" si="73"/>
        <v>Pupil Management</v>
      </c>
    </row>
    <row r="741" spans="1:23" x14ac:dyDescent="0.25">
      <c r="A741">
        <v>13301</v>
      </c>
      <c r="B741" t="s">
        <v>1295</v>
      </c>
      <c r="C741">
        <v>1.5820000000000001</v>
      </c>
      <c r="D741" t="s">
        <v>1264</v>
      </c>
      <c r="E741">
        <v>100095</v>
      </c>
      <c r="F741">
        <v>13301</v>
      </c>
      <c r="G741" t="str">
        <f t="shared" si="71"/>
        <v>13301</v>
      </c>
      <c r="H741" t="s">
        <v>370</v>
      </c>
      <c r="I741" t="s">
        <v>1265</v>
      </c>
      <c r="J741" t="s">
        <v>1271</v>
      </c>
      <c r="K741" t="s">
        <v>1272</v>
      </c>
      <c r="L741" t="s">
        <v>1295</v>
      </c>
      <c r="M741" t="s">
        <v>1296</v>
      </c>
      <c r="N741">
        <v>1</v>
      </c>
      <c r="O741" t="str">
        <f t="shared" si="74"/>
        <v>26</v>
      </c>
      <c r="Q741">
        <v>26</v>
      </c>
      <c r="R741" t="s">
        <v>1269</v>
      </c>
      <c r="S741">
        <v>1.5820000000000001</v>
      </c>
      <c r="T741">
        <v>0.2505</v>
      </c>
      <c r="U741">
        <f t="shared" si="75"/>
        <v>0</v>
      </c>
      <c r="V741" t="str">
        <f t="shared" si="72"/>
        <v>High Health/
Related Services</v>
      </c>
      <c r="W741" t="str">
        <f t="shared" si="73"/>
        <v>Health/
Related Services</v>
      </c>
    </row>
    <row r="742" spans="1:23" x14ac:dyDescent="0.25">
      <c r="A742">
        <v>13301</v>
      </c>
      <c r="B742" t="s">
        <v>1270</v>
      </c>
      <c r="C742">
        <v>1</v>
      </c>
      <c r="D742" t="s">
        <v>1264</v>
      </c>
      <c r="E742">
        <v>100095</v>
      </c>
      <c r="F742">
        <v>13301</v>
      </c>
      <c r="G742" t="str">
        <f t="shared" si="71"/>
        <v>13301</v>
      </c>
      <c r="H742" t="s">
        <v>370</v>
      </c>
      <c r="I742" t="s">
        <v>1265</v>
      </c>
      <c r="J742" t="s">
        <v>1271</v>
      </c>
      <c r="K742" t="s">
        <v>1272</v>
      </c>
      <c r="L742" t="s">
        <v>1270</v>
      </c>
      <c r="M742" t="s">
        <v>1273</v>
      </c>
      <c r="N742">
        <v>1</v>
      </c>
      <c r="O742" t="str">
        <f t="shared" si="74"/>
        <v>42</v>
      </c>
      <c r="P742">
        <v>42</v>
      </c>
      <c r="R742" t="s">
        <v>1269</v>
      </c>
      <c r="S742">
        <v>1</v>
      </c>
      <c r="T742">
        <v>0.2505</v>
      </c>
      <c r="U742">
        <f t="shared" si="75"/>
        <v>0</v>
      </c>
      <c r="V742" t="str">
        <f t="shared" si="72"/>
        <v>High Counselor</v>
      </c>
      <c r="W742" t="str">
        <f t="shared" si="73"/>
        <v>Counselor</v>
      </c>
    </row>
    <row r="743" spans="1:23" x14ac:dyDescent="0.25">
      <c r="A743">
        <v>14005</v>
      </c>
      <c r="B743" t="s">
        <v>1297</v>
      </c>
      <c r="C743">
        <v>0.499</v>
      </c>
      <c r="D743" t="s">
        <v>1264</v>
      </c>
      <c r="E743">
        <v>100010</v>
      </c>
      <c r="F743">
        <v>14005</v>
      </c>
      <c r="G743" t="str">
        <f t="shared" si="71"/>
        <v>14005</v>
      </c>
      <c r="H743" t="s">
        <v>371</v>
      </c>
      <c r="I743" t="s">
        <v>1265</v>
      </c>
      <c r="J743" t="s">
        <v>1276</v>
      </c>
      <c r="K743" t="s">
        <v>1277</v>
      </c>
      <c r="L743" t="s">
        <v>1297</v>
      </c>
      <c r="M743" t="s">
        <v>1381</v>
      </c>
      <c r="N743">
        <v>1</v>
      </c>
      <c r="O743" t="str">
        <f t="shared" si="74"/>
        <v>24</v>
      </c>
      <c r="P743">
        <v>96</v>
      </c>
      <c r="Q743">
        <v>24</v>
      </c>
      <c r="R743" t="s">
        <v>1269</v>
      </c>
      <c r="S743">
        <v>0.499</v>
      </c>
      <c r="T743">
        <v>0.26869999999999999</v>
      </c>
      <c r="U743">
        <f t="shared" si="75"/>
        <v>0</v>
      </c>
      <c r="V743" t="str">
        <f t="shared" si="72"/>
        <v>Elementary Family Engagement Coordinator</v>
      </c>
      <c r="W743" t="str">
        <f t="shared" si="73"/>
        <v>Family Engagement Coordinator</v>
      </c>
    </row>
    <row r="744" spans="1:23" x14ac:dyDescent="0.25">
      <c r="A744">
        <v>14005</v>
      </c>
      <c r="B744" t="s">
        <v>1324</v>
      </c>
      <c r="C744">
        <v>3.6259999999999999</v>
      </c>
      <c r="D744" t="s">
        <v>1264</v>
      </c>
      <c r="E744">
        <v>100010</v>
      </c>
      <c r="F744">
        <v>14005</v>
      </c>
      <c r="G744" t="str">
        <f t="shared" si="71"/>
        <v>14005</v>
      </c>
      <c r="H744" t="s">
        <v>371</v>
      </c>
      <c r="I744" t="s">
        <v>1265</v>
      </c>
      <c r="J744" t="s">
        <v>1271</v>
      </c>
      <c r="K744" t="s">
        <v>1272</v>
      </c>
      <c r="L744" t="s">
        <v>1324</v>
      </c>
      <c r="M744" t="s">
        <v>1325</v>
      </c>
      <c r="N744">
        <v>21</v>
      </c>
      <c r="O744" t="str">
        <f t="shared" si="74"/>
        <v>26</v>
      </c>
      <c r="Q744">
        <v>26</v>
      </c>
      <c r="R744" t="s">
        <v>1269</v>
      </c>
      <c r="S744">
        <v>3.6259999999999999</v>
      </c>
      <c r="T744">
        <v>0.26869999999999999</v>
      </c>
      <c r="U744">
        <f t="shared" si="75"/>
        <v>0.97399999999999998</v>
      </c>
      <c r="V744" t="str">
        <f t="shared" si="72"/>
        <v>High Health/
Related Services</v>
      </c>
      <c r="W744" t="str">
        <f t="shared" si="73"/>
        <v>Health/
Related Services</v>
      </c>
    </row>
    <row r="745" spans="1:23" x14ac:dyDescent="0.25">
      <c r="A745">
        <v>14005</v>
      </c>
      <c r="B745" t="s">
        <v>1295</v>
      </c>
      <c r="C745">
        <v>2.57</v>
      </c>
      <c r="D745" t="s">
        <v>1264</v>
      </c>
      <c r="E745">
        <v>100010</v>
      </c>
      <c r="F745">
        <v>14005</v>
      </c>
      <c r="G745" t="str">
        <f t="shared" si="71"/>
        <v>14005</v>
      </c>
      <c r="H745" t="s">
        <v>371</v>
      </c>
      <c r="I745" t="s">
        <v>1265</v>
      </c>
      <c r="J745" t="s">
        <v>1271</v>
      </c>
      <c r="K745" t="s">
        <v>1272</v>
      </c>
      <c r="L745" t="s">
        <v>1295</v>
      </c>
      <c r="M745" t="s">
        <v>1296</v>
      </c>
      <c r="N745">
        <v>1</v>
      </c>
      <c r="O745" t="str">
        <f t="shared" si="74"/>
        <v>26</v>
      </c>
      <c r="Q745">
        <v>26</v>
      </c>
      <c r="R745" t="s">
        <v>1269</v>
      </c>
      <c r="S745">
        <v>2.57</v>
      </c>
      <c r="T745">
        <v>0.26869999999999999</v>
      </c>
      <c r="U745">
        <f t="shared" si="75"/>
        <v>0</v>
      </c>
      <c r="V745" t="str">
        <f t="shared" si="72"/>
        <v>High Health/
Related Services</v>
      </c>
      <c r="W745" t="str">
        <f t="shared" si="73"/>
        <v>Health/
Related Services</v>
      </c>
    </row>
    <row r="746" spans="1:23" x14ac:dyDescent="0.25">
      <c r="A746">
        <v>14005</v>
      </c>
      <c r="B746" t="s">
        <v>1275</v>
      </c>
      <c r="C746">
        <v>3.25</v>
      </c>
      <c r="D746" t="s">
        <v>1264</v>
      </c>
      <c r="E746">
        <v>100010</v>
      </c>
      <c r="F746">
        <v>14005</v>
      </c>
      <c r="G746" t="str">
        <f t="shared" si="71"/>
        <v>14005</v>
      </c>
      <c r="H746" t="s">
        <v>371</v>
      </c>
      <c r="I746" t="s">
        <v>1265</v>
      </c>
      <c r="J746" t="s">
        <v>1276</v>
      </c>
      <c r="K746" t="s">
        <v>1277</v>
      </c>
      <c r="L746" t="s">
        <v>1275</v>
      </c>
      <c r="M746" t="s">
        <v>1278</v>
      </c>
      <c r="N746">
        <v>1</v>
      </c>
      <c r="O746" t="str">
        <f t="shared" si="74"/>
        <v>42</v>
      </c>
      <c r="P746">
        <v>42</v>
      </c>
      <c r="R746" t="s">
        <v>1269</v>
      </c>
      <c r="S746">
        <v>3.25</v>
      </c>
      <c r="T746">
        <v>0.26869999999999999</v>
      </c>
      <c r="U746">
        <f t="shared" si="75"/>
        <v>0</v>
      </c>
      <c r="V746" t="str">
        <f t="shared" si="72"/>
        <v>Elementary Counselor</v>
      </c>
      <c r="W746" t="str">
        <f t="shared" si="73"/>
        <v>Counselor</v>
      </c>
    </row>
    <row r="747" spans="1:23" x14ac:dyDescent="0.25">
      <c r="A747">
        <v>14005</v>
      </c>
      <c r="B747" t="s">
        <v>1270</v>
      </c>
      <c r="C747">
        <v>3.294</v>
      </c>
      <c r="D747" t="s">
        <v>1264</v>
      </c>
      <c r="E747">
        <v>100010</v>
      </c>
      <c r="F747">
        <v>14005</v>
      </c>
      <c r="G747" t="str">
        <f t="shared" si="71"/>
        <v>14005</v>
      </c>
      <c r="H747" t="s">
        <v>371</v>
      </c>
      <c r="I747" t="s">
        <v>1265</v>
      </c>
      <c r="J747" t="s">
        <v>1271</v>
      </c>
      <c r="K747" t="s">
        <v>1272</v>
      </c>
      <c r="L747" t="s">
        <v>1270</v>
      </c>
      <c r="M747" t="s">
        <v>1273</v>
      </c>
      <c r="N747">
        <v>1</v>
      </c>
      <c r="O747" t="str">
        <f t="shared" si="74"/>
        <v>42</v>
      </c>
      <c r="P747">
        <v>42</v>
      </c>
      <c r="R747" t="s">
        <v>1269</v>
      </c>
      <c r="S747">
        <v>3.294</v>
      </c>
      <c r="T747">
        <v>0.26869999999999999</v>
      </c>
      <c r="U747">
        <f t="shared" si="75"/>
        <v>0</v>
      </c>
      <c r="V747" t="str">
        <f t="shared" si="72"/>
        <v>High Counselor</v>
      </c>
      <c r="W747" t="str">
        <f t="shared" si="73"/>
        <v>Counselor</v>
      </c>
    </row>
    <row r="748" spans="1:23" x14ac:dyDescent="0.25">
      <c r="A748">
        <v>14005</v>
      </c>
      <c r="B748" t="s">
        <v>1263</v>
      </c>
      <c r="C748">
        <v>2.2000000000000002</v>
      </c>
      <c r="D748" t="s">
        <v>1264</v>
      </c>
      <c r="E748">
        <v>100010</v>
      </c>
      <c r="F748">
        <v>14005</v>
      </c>
      <c r="G748" t="str">
        <f t="shared" si="71"/>
        <v>14005</v>
      </c>
      <c r="H748" t="s">
        <v>371</v>
      </c>
      <c r="I748" t="s">
        <v>1265</v>
      </c>
      <c r="J748" t="s">
        <v>1266</v>
      </c>
      <c r="K748" t="s">
        <v>1267</v>
      </c>
      <c r="L748" t="s">
        <v>1263</v>
      </c>
      <c r="M748" t="s">
        <v>1268</v>
      </c>
      <c r="N748">
        <v>1</v>
      </c>
      <c r="O748" t="str">
        <f t="shared" si="74"/>
        <v>42</v>
      </c>
      <c r="P748">
        <v>42</v>
      </c>
      <c r="R748" t="s">
        <v>1269</v>
      </c>
      <c r="S748">
        <v>2.2000000000000002</v>
      </c>
      <c r="T748">
        <v>0.26869999999999999</v>
      </c>
      <c r="U748">
        <f t="shared" si="75"/>
        <v>0</v>
      </c>
      <c r="V748" t="str">
        <f t="shared" si="72"/>
        <v>Middle Counselor</v>
      </c>
      <c r="W748" t="str">
        <f t="shared" si="73"/>
        <v>Counselor</v>
      </c>
    </row>
    <row r="749" spans="1:23" x14ac:dyDescent="0.25">
      <c r="A749">
        <v>14005</v>
      </c>
      <c r="B749" t="s">
        <v>1294</v>
      </c>
      <c r="C749">
        <v>0.436</v>
      </c>
      <c r="D749" t="s">
        <v>1264</v>
      </c>
      <c r="E749">
        <v>100010</v>
      </c>
      <c r="F749">
        <v>14005</v>
      </c>
      <c r="G749" t="str">
        <f t="shared" si="71"/>
        <v>14005</v>
      </c>
      <c r="H749" t="s">
        <v>371</v>
      </c>
      <c r="I749" t="s">
        <v>1265</v>
      </c>
      <c r="J749" t="s">
        <v>1276</v>
      </c>
      <c r="K749" t="s">
        <v>1277</v>
      </c>
      <c r="L749" t="s">
        <v>1294</v>
      </c>
      <c r="M749" t="s">
        <v>1354</v>
      </c>
      <c r="N749">
        <v>21</v>
      </c>
      <c r="O749" t="str">
        <f t="shared" si="74"/>
        <v>45</v>
      </c>
      <c r="P749">
        <v>45</v>
      </c>
      <c r="R749" t="s">
        <v>1269</v>
      </c>
      <c r="S749">
        <v>0.436</v>
      </c>
      <c r="T749">
        <v>0.26869999999999999</v>
      </c>
      <c r="U749">
        <f t="shared" si="75"/>
        <v>0.11700000000000001</v>
      </c>
      <c r="V749" t="str">
        <f t="shared" si="72"/>
        <v>Elementary Speech, Language Pathway/
Audio</v>
      </c>
      <c r="W749" t="str">
        <f t="shared" si="73"/>
        <v>Speech, Language Pathway/
Audio</v>
      </c>
    </row>
    <row r="750" spans="1:23" x14ac:dyDescent="0.25">
      <c r="A750">
        <v>14005</v>
      </c>
      <c r="B750" t="s">
        <v>1309</v>
      </c>
      <c r="C750">
        <v>0.15</v>
      </c>
      <c r="D750" t="s">
        <v>1264</v>
      </c>
      <c r="E750">
        <v>100010</v>
      </c>
      <c r="F750">
        <v>14005</v>
      </c>
      <c r="G750" t="str">
        <f t="shared" si="71"/>
        <v>14005</v>
      </c>
      <c r="H750" t="s">
        <v>371</v>
      </c>
      <c r="I750" t="s">
        <v>1265</v>
      </c>
      <c r="J750" t="s">
        <v>1271</v>
      </c>
      <c r="K750" t="s">
        <v>1272</v>
      </c>
      <c r="L750" t="s">
        <v>1309</v>
      </c>
      <c r="M750" t="s">
        <v>1310</v>
      </c>
      <c r="N750">
        <v>21</v>
      </c>
      <c r="O750" t="str">
        <f t="shared" si="74"/>
        <v>46</v>
      </c>
      <c r="P750">
        <v>46</v>
      </c>
      <c r="R750" t="s">
        <v>1269</v>
      </c>
      <c r="S750">
        <v>0.15</v>
      </c>
      <c r="T750">
        <v>0.26869999999999999</v>
      </c>
      <c r="U750">
        <f t="shared" si="75"/>
        <v>0.04</v>
      </c>
      <c r="V750" t="str">
        <f t="shared" si="72"/>
        <v>High Psychologist</v>
      </c>
      <c r="W750" t="str">
        <f t="shared" si="73"/>
        <v>Psychologist</v>
      </c>
    </row>
    <row r="751" spans="1:23" x14ac:dyDescent="0.25">
      <c r="A751">
        <v>14005</v>
      </c>
      <c r="B751" t="s">
        <v>1306</v>
      </c>
      <c r="C751">
        <v>12</v>
      </c>
      <c r="D751" t="s">
        <v>1264</v>
      </c>
      <c r="E751">
        <v>100010</v>
      </c>
      <c r="F751">
        <v>14005</v>
      </c>
      <c r="G751" t="str">
        <f t="shared" si="71"/>
        <v>14005</v>
      </c>
      <c r="H751" t="s">
        <v>371</v>
      </c>
      <c r="I751" t="s">
        <v>1265</v>
      </c>
      <c r="J751" t="s">
        <v>1276</v>
      </c>
      <c r="K751" t="s">
        <v>1277</v>
      </c>
      <c r="L751" t="s">
        <v>1306</v>
      </c>
      <c r="M751" t="s">
        <v>1320</v>
      </c>
      <c r="N751">
        <v>21</v>
      </c>
      <c r="O751" t="str">
        <f t="shared" si="74"/>
        <v>64</v>
      </c>
      <c r="P751">
        <v>64</v>
      </c>
      <c r="R751" t="s">
        <v>1269</v>
      </c>
      <c r="S751">
        <v>12</v>
      </c>
      <c r="T751">
        <v>0.26869999999999999</v>
      </c>
      <c r="U751">
        <f t="shared" si="75"/>
        <v>3.2240000000000002</v>
      </c>
      <c r="V751" t="str">
        <f t="shared" si="72"/>
        <v>Elementary Contractor ESA</v>
      </c>
      <c r="W751" t="str">
        <f t="shared" si="73"/>
        <v>Contractor ESA</v>
      </c>
    </row>
    <row r="752" spans="1:23" x14ac:dyDescent="0.25">
      <c r="A752">
        <v>14028</v>
      </c>
      <c r="B752" t="s">
        <v>1315</v>
      </c>
      <c r="C752">
        <v>1.2769999999999999</v>
      </c>
      <c r="D752" t="s">
        <v>1264</v>
      </c>
      <c r="E752">
        <v>100108</v>
      </c>
      <c r="F752">
        <v>14028</v>
      </c>
      <c r="G752" t="str">
        <f t="shared" si="71"/>
        <v>14028</v>
      </c>
      <c r="H752" t="s">
        <v>372</v>
      </c>
      <c r="I752" t="s">
        <v>1265</v>
      </c>
      <c r="J752" t="s">
        <v>1276</v>
      </c>
      <c r="K752" t="s">
        <v>1277</v>
      </c>
      <c r="L752" t="s">
        <v>1315</v>
      </c>
      <c r="M752" t="s">
        <v>1375</v>
      </c>
      <c r="N752">
        <v>1</v>
      </c>
      <c r="O752" t="str">
        <f t="shared" si="74"/>
        <v>26</v>
      </c>
      <c r="Q752">
        <v>26</v>
      </c>
      <c r="R752" t="s">
        <v>1269</v>
      </c>
      <c r="S752">
        <v>1.2769999999999999</v>
      </c>
      <c r="T752">
        <v>0.20039999999999999</v>
      </c>
      <c r="U752">
        <f t="shared" si="75"/>
        <v>0</v>
      </c>
      <c r="V752" t="str">
        <f t="shared" si="72"/>
        <v>Elementary Health/
Related Services</v>
      </c>
      <c r="W752" t="str">
        <f t="shared" si="73"/>
        <v>Health/
Related Services</v>
      </c>
    </row>
    <row r="753" spans="1:23" x14ac:dyDescent="0.25">
      <c r="A753">
        <v>14028</v>
      </c>
      <c r="B753" t="s">
        <v>1324</v>
      </c>
      <c r="C753">
        <v>0.57499999999999996</v>
      </c>
      <c r="D753" t="s">
        <v>1264</v>
      </c>
      <c r="E753">
        <v>100108</v>
      </c>
      <c r="F753">
        <v>14028</v>
      </c>
      <c r="G753" t="str">
        <f t="shared" si="71"/>
        <v>14028</v>
      </c>
      <c r="H753" t="s">
        <v>372</v>
      </c>
      <c r="I753" t="s">
        <v>1265</v>
      </c>
      <c r="J753" t="s">
        <v>1271</v>
      </c>
      <c r="K753" t="s">
        <v>1272</v>
      </c>
      <c r="L753" t="s">
        <v>1324</v>
      </c>
      <c r="M753" t="s">
        <v>1325</v>
      </c>
      <c r="N753">
        <v>21</v>
      </c>
      <c r="O753" t="str">
        <f t="shared" si="74"/>
        <v>26</v>
      </c>
      <c r="Q753">
        <v>26</v>
      </c>
      <c r="R753" t="s">
        <v>1269</v>
      </c>
      <c r="S753">
        <v>0.57499999999999996</v>
      </c>
      <c r="T753">
        <v>0.20039999999999999</v>
      </c>
      <c r="U753">
        <f t="shared" si="75"/>
        <v>0.115</v>
      </c>
      <c r="V753" t="str">
        <f t="shared" si="72"/>
        <v>High Health/
Related Services</v>
      </c>
      <c r="W753" t="str">
        <f t="shared" si="73"/>
        <v>Health/
Related Services</v>
      </c>
    </row>
    <row r="754" spans="1:23" x14ac:dyDescent="0.25">
      <c r="A754">
        <v>14028</v>
      </c>
      <c r="B754" t="s">
        <v>1295</v>
      </c>
      <c r="C754">
        <v>0.19</v>
      </c>
      <c r="D754" t="s">
        <v>1264</v>
      </c>
      <c r="E754">
        <v>100108</v>
      </c>
      <c r="F754">
        <v>14028</v>
      </c>
      <c r="G754" t="str">
        <f t="shared" si="71"/>
        <v>14028</v>
      </c>
      <c r="H754" t="s">
        <v>372</v>
      </c>
      <c r="I754" t="s">
        <v>1265</v>
      </c>
      <c r="J754" t="s">
        <v>1271</v>
      </c>
      <c r="K754" t="s">
        <v>1272</v>
      </c>
      <c r="L754" t="s">
        <v>1295</v>
      </c>
      <c r="M754" t="s">
        <v>1296</v>
      </c>
      <c r="N754">
        <v>1</v>
      </c>
      <c r="O754" t="str">
        <f t="shared" si="74"/>
        <v>26</v>
      </c>
      <c r="Q754">
        <v>26</v>
      </c>
      <c r="R754" t="s">
        <v>1269</v>
      </c>
      <c r="S754">
        <v>0.19</v>
      </c>
      <c r="T754">
        <v>0.20039999999999999</v>
      </c>
      <c r="U754">
        <f t="shared" si="75"/>
        <v>0</v>
      </c>
      <c r="V754" t="str">
        <f t="shared" si="72"/>
        <v>High Health/
Related Services</v>
      </c>
      <c r="W754" t="str">
        <f t="shared" si="73"/>
        <v>Health/
Related Services</v>
      </c>
    </row>
    <row r="755" spans="1:23" x14ac:dyDescent="0.25">
      <c r="A755">
        <v>14028</v>
      </c>
      <c r="B755" t="s">
        <v>1291</v>
      </c>
      <c r="C755">
        <v>0.127</v>
      </c>
      <c r="D755" t="s">
        <v>1264</v>
      </c>
      <c r="E755">
        <v>100108</v>
      </c>
      <c r="F755">
        <v>14028</v>
      </c>
      <c r="G755" t="str">
        <f t="shared" si="71"/>
        <v>14028</v>
      </c>
      <c r="H755" t="s">
        <v>372</v>
      </c>
      <c r="I755" t="s">
        <v>1265</v>
      </c>
      <c r="J755" t="s">
        <v>1266</v>
      </c>
      <c r="K755" t="s">
        <v>1267</v>
      </c>
      <c r="L755" t="s">
        <v>1291</v>
      </c>
      <c r="M755" t="s">
        <v>1292</v>
      </c>
      <c r="N755">
        <v>1</v>
      </c>
      <c r="O755" t="str">
        <f t="shared" si="74"/>
        <v>26</v>
      </c>
      <c r="Q755">
        <v>26</v>
      </c>
      <c r="R755" t="s">
        <v>1269</v>
      </c>
      <c r="S755">
        <v>0.127</v>
      </c>
      <c r="T755">
        <v>0.20039999999999999</v>
      </c>
      <c r="U755">
        <f t="shared" si="75"/>
        <v>0</v>
      </c>
      <c r="V755" t="str">
        <f t="shared" si="72"/>
        <v>Middle Health/
Related Services</v>
      </c>
      <c r="W755" t="str">
        <f t="shared" si="73"/>
        <v>Health/
Related Services</v>
      </c>
    </row>
    <row r="756" spans="1:23" x14ac:dyDescent="0.25">
      <c r="A756">
        <v>14028</v>
      </c>
      <c r="B756" t="s">
        <v>1275</v>
      </c>
      <c r="C756">
        <v>1.7989999999999999</v>
      </c>
      <c r="D756" t="s">
        <v>1264</v>
      </c>
      <c r="E756">
        <v>100108</v>
      </c>
      <c r="F756">
        <v>14028</v>
      </c>
      <c r="G756" t="str">
        <f t="shared" si="71"/>
        <v>14028</v>
      </c>
      <c r="H756" t="s">
        <v>372</v>
      </c>
      <c r="I756" t="s">
        <v>1265</v>
      </c>
      <c r="J756" t="s">
        <v>1276</v>
      </c>
      <c r="K756" t="s">
        <v>1277</v>
      </c>
      <c r="L756" t="s">
        <v>1275</v>
      </c>
      <c r="M756" t="s">
        <v>1278</v>
      </c>
      <c r="N756">
        <v>1</v>
      </c>
      <c r="O756" t="str">
        <f t="shared" si="74"/>
        <v>42</v>
      </c>
      <c r="P756">
        <v>42</v>
      </c>
      <c r="R756" t="s">
        <v>1269</v>
      </c>
      <c r="S756">
        <v>1.7989999999999999</v>
      </c>
      <c r="T756">
        <v>0.20039999999999999</v>
      </c>
      <c r="U756">
        <f t="shared" si="75"/>
        <v>0</v>
      </c>
      <c r="V756" t="str">
        <f t="shared" si="72"/>
        <v>Elementary Counselor</v>
      </c>
      <c r="W756" t="str">
        <f t="shared" si="73"/>
        <v>Counselor</v>
      </c>
    </row>
    <row r="757" spans="1:23" x14ac:dyDescent="0.25">
      <c r="A757">
        <v>14028</v>
      </c>
      <c r="B757" t="s">
        <v>1270</v>
      </c>
      <c r="C757">
        <v>1.8</v>
      </c>
      <c r="D757" t="s">
        <v>1264</v>
      </c>
      <c r="E757">
        <v>100108</v>
      </c>
      <c r="F757">
        <v>14028</v>
      </c>
      <c r="G757" t="str">
        <f t="shared" si="71"/>
        <v>14028</v>
      </c>
      <c r="H757" t="s">
        <v>372</v>
      </c>
      <c r="I757" t="s">
        <v>1265</v>
      </c>
      <c r="J757" t="s">
        <v>1271</v>
      </c>
      <c r="K757" t="s">
        <v>1272</v>
      </c>
      <c r="L757" t="s">
        <v>1270</v>
      </c>
      <c r="M757" t="s">
        <v>1273</v>
      </c>
      <c r="N757">
        <v>1</v>
      </c>
      <c r="O757" t="str">
        <f t="shared" si="74"/>
        <v>42</v>
      </c>
      <c r="P757">
        <v>42</v>
      </c>
      <c r="R757" t="s">
        <v>1269</v>
      </c>
      <c r="S757">
        <v>1.8</v>
      </c>
      <c r="T757">
        <v>0.20039999999999999</v>
      </c>
      <c r="U757">
        <f t="shared" si="75"/>
        <v>0</v>
      </c>
      <c r="V757" t="str">
        <f t="shared" si="72"/>
        <v>High Counselor</v>
      </c>
      <c r="W757" t="str">
        <f t="shared" si="73"/>
        <v>Counselor</v>
      </c>
    </row>
    <row r="758" spans="1:23" x14ac:dyDescent="0.25">
      <c r="A758">
        <v>14028</v>
      </c>
      <c r="B758" t="s">
        <v>1263</v>
      </c>
      <c r="C758">
        <v>1</v>
      </c>
      <c r="D758" t="s">
        <v>1264</v>
      </c>
      <c r="E758">
        <v>100108</v>
      </c>
      <c r="F758">
        <v>14028</v>
      </c>
      <c r="G758" t="str">
        <f t="shared" si="71"/>
        <v>14028</v>
      </c>
      <c r="H758" t="s">
        <v>372</v>
      </c>
      <c r="I758" t="s">
        <v>1265</v>
      </c>
      <c r="J758" t="s">
        <v>1266</v>
      </c>
      <c r="K758" t="s">
        <v>1267</v>
      </c>
      <c r="L758" t="s">
        <v>1263</v>
      </c>
      <c r="M758" t="s">
        <v>1268</v>
      </c>
      <c r="N758">
        <v>1</v>
      </c>
      <c r="O758" t="str">
        <f t="shared" si="74"/>
        <v>42</v>
      </c>
      <c r="P758">
        <v>42</v>
      </c>
      <c r="R758" t="s">
        <v>1269</v>
      </c>
      <c r="S758">
        <v>1</v>
      </c>
      <c r="T758">
        <v>0.20039999999999999</v>
      </c>
      <c r="U758">
        <f t="shared" si="75"/>
        <v>0</v>
      </c>
      <c r="V758" t="str">
        <f t="shared" si="72"/>
        <v>Middle Counselor</v>
      </c>
      <c r="W758" t="str">
        <f t="shared" si="73"/>
        <v>Counselor</v>
      </c>
    </row>
    <row r="759" spans="1:23" x14ac:dyDescent="0.25">
      <c r="A759">
        <v>14028</v>
      </c>
      <c r="B759" t="s">
        <v>1298</v>
      </c>
      <c r="C759">
        <v>1</v>
      </c>
      <c r="D759" t="s">
        <v>1264</v>
      </c>
      <c r="E759">
        <v>100108</v>
      </c>
      <c r="F759">
        <v>14028</v>
      </c>
      <c r="G759" t="str">
        <f t="shared" si="71"/>
        <v>14028</v>
      </c>
      <c r="H759" t="s">
        <v>372</v>
      </c>
      <c r="I759" t="s">
        <v>1265</v>
      </c>
      <c r="J759" t="s">
        <v>1276</v>
      </c>
      <c r="K759" t="s">
        <v>1277</v>
      </c>
      <c r="L759" t="s">
        <v>1298</v>
      </c>
      <c r="M759" t="s">
        <v>1349</v>
      </c>
      <c r="N759">
        <v>21</v>
      </c>
      <c r="O759" t="str">
        <f t="shared" si="74"/>
        <v>46</v>
      </c>
      <c r="P759">
        <v>46</v>
      </c>
      <c r="R759" t="s">
        <v>1269</v>
      </c>
      <c r="S759">
        <v>1</v>
      </c>
      <c r="T759">
        <v>0.20039999999999999</v>
      </c>
      <c r="U759">
        <f t="shared" si="75"/>
        <v>0.2</v>
      </c>
      <c r="V759" t="str">
        <f t="shared" si="72"/>
        <v>Elementary Psychologist</v>
      </c>
      <c r="W759" t="str">
        <f t="shared" si="73"/>
        <v>Psychologist</v>
      </c>
    </row>
    <row r="760" spans="1:23" x14ac:dyDescent="0.25">
      <c r="A760">
        <v>14028</v>
      </c>
      <c r="B760" t="s">
        <v>1309</v>
      </c>
      <c r="C760">
        <v>0.4</v>
      </c>
      <c r="D760" t="s">
        <v>1264</v>
      </c>
      <c r="E760">
        <v>100108</v>
      </c>
      <c r="F760">
        <v>14028</v>
      </c>
      <c r="G760" t="str">
        <f t="shared" si="71"/>
        <v>14028</v>
      </c>
      <c r="H760" t="s">
        <v>372</v>
      </c>
      <c r="I760" t="s">
        <v>1265</v>
      </c>
      <c r="J760" t="s">
        <v>1271</v>
      </c>
      <c r="K760" t="s">
        <v>1272</v>
      </c>
      <c r="L760" t="s">
        <v>1309</v>
      </c>
      <c r="M760" t="s">
        <v>1310</v>
      </c>
      <c r="N760">
        <v>21</v>
      </c>
      <c r="O760" t="str">
        <f t="shared" si="74"/>
        <v>46</v>
      </c>
      <c r="P760">
        <v>46</v>
      </c>
      <c r="R760" t="s">
        <v>1269</v>
      </c>
      <c r="S760">
        <v>0.4</v>
      </c>
      <c r="T760">
        <v>0.20039999999999999</v>
      </c>
      <c r="U760">
        <f t="shared" si="75"/>
        <v>0.08</v>
      </c>
      <c r="V760" t="str">
        <f t="shared" si="72"/>
        <v>High Psychologist</v>
      </c>
      <c r="W760" t="str">
        <f t="shared" si="73"/>
        <v>Psychologist</v>
      </c>
    </row>
    <row r="761" spans="1:23" x14ac:dyDescent="0.25">
      <c r="A761">
        <v>14028</v>
      </c>
      <c r="B761" t="s">
        <v>1345</v>
      </c>
      <c r="C761">
        <v>0.6</v>
      </c>
      <c r="D761" t="s">
        <v>1264</v>
      </c>
      <c r="E761">
        <v>100108</v>
      </c>
      <c r="F761">
        <v>14028</v>
      </c>
      <c r="G761" t="str">
        <f t="shared" si="71"/>
        <v>14028</v>
      </c>
      <c r="H761" t="s">
        <v>372</v>
      </c>
      <c r="I761" t="s">
        <v>1265</v>
      </c>
      <c r="J761" t="s">
        <v>1266</v>
      </c>
      <c r="K761" t="s">
        <v>1267</v>
      </c>
      <c r="L761" t="s">
        <v>1345</v>
      </c>
      <c r="M761" t="s">
        <v>1346</v>
      </c>
      <c r="N761">
        <v>21</v>
      </c>
      <c r="O761" t="str">
        <f t="shared" si="74"/>
        <v>46</v>
      </c>
      <c r="P761">
        <v>46</v>
      </c>
      <c r="R761" t="s">
        <v>1269</v>
      </c>
      <c r="S761">
        <v>0.6</v>
      </c>
      <c r="T761">
        <v>0.20039999999999999</v>
      </c>
      <c r="U761">
        <f t="shared" si="75"/>
        <v>0.12</v>
      </c>
      <c r="V761" t="str">
        <f t="shared" si="72"/>
        <v>Middle Psychologist</v>
      </c>
      <c r="W761" t="str">
        <f t="shared" si="73"/>
        <v>Psychologist</v>
      </c>
    </row>
    <row r="762" spans="1:23" x14ac:dyDescent="0.25">
      <c r="A762">
        <v>14028</v>
      </c>
      <c r="B762" t="s">
        <v>1335</v>
      </c>
      <c r="C762">
        <v>1</v>
      </c>
      <c r="D762" t="s">
        <v>1264</v>
      </c>
      <c r="E762">
        <v>100108</v>
      </c>
      <c r="F762">
        <v>14028</v>
      </c>
      <c r="G762" t="str">
        <f t="shared" si="71"/>
        <v>14028</v>
      </c>
      <c r="H762" t="s">
        <v>372</v>
      </c>
      <c r="I762" t="s">
        <v>1265</v>
      </c>
      <c r="J762" t="s">
        <v>1276</v>
      </c>
      <c r="K762" t="s">
        <v>1277</v>
      </c>
      <c r="L762" t="s">
        <v>1335</v>
      </c>
      <c r="M762" t="s">
        <v>1344</v>
      </c>
      <c r="N762">
        <v>1</v>
      </c>
      <c r="O762" t="str">
        <f t="shared" si="74"/>
        <v>47</v>
      </c>
      <c r="P762">
        <v>47</v>
      </c>
      <c r="R762" t="s">
        <v>1269</v>
      </c>
      <c r="S762">
        <v>1</v>
      </c>
      <c r="T762">
        <v>0.20039999999999999</v>
      </c>
      <c r="U762">
        <f t="shared" si="75"/>
        <v>0</v>
      </c>
      <c r="V762" t="str">
        <f t="shared" si="72"/>
        <v>Elementary Nurse</v>
      </c>
      <c r="W762" t="str">
        <f t="shared" si="73"/>
        <v>Nurse</v>
      </c>
    </row>
    <row r="763" spans="1:23" x14ac:dyDescent="0.25">
      <c r="A763">
        <v>14028</v>
      </c>
      <c r="B763" t="s">
        <v>1306</v>
      </c>
      <c r="C763">
        <v>5.5389999999999997</v>
      </c>
      <c r="D763" t="s">
        <v>1264</v>
      </c>
      <c r="E763">
        <v>100108</v>
      </c>
      <c r="F763">
        <v>14028</v>
      </c>
      <c r="G763" t="str">
        <f t="shared" si="71"/>
        <v>14028</v>
      </c>
      <c r="H763" t="s">
        <v>372</v>
      </c>
      <c r="I763" t="s">
        <v>1265</v>
      </c>
      <c r="J763" t="s">
        <v>1276</v>
      </c>
      <c r="K763" t="s">
        <v>1277</v>
      </c>
      <c r="L763" t="s">
        <v>1306</v>
      </c>
      <c r="M763" t="s">
        <v>1320</v>
      </c>
      <c r="N763">
        <v>21</v>
      </c>
      <c r="O763" t="str">
        <f t="shared" si="74"/>
        <v>64</v>
      </c>
      <c r="P763">
        <v>64</v>
      </c>
      <c r="R763" t="s">
        <v>1269</v>
      </c>
      <c r="S763">
        <v>5.5389999999999997</v>
      </c>
      <c r="T763">
        <v>0.20039999999999999</v>
      </c>
      <c r="U763">
        <f t="shared" si="75"/>
        <v>1.1100000000000001</v>
      </c>
      <c r="V763" t="str">
        <f t="shared" si="72"/>
        <v>Elementary Contractor ESA</v>
      </c>
      <c r="W763" t="str">
        <f t="shared" si="73"/>
        <v>Contractor ESA</v>
      </c>
    </row>
    <row r="764" spans="1:23" x14ac:dyDescent="0.25">
      <c r="A764">
        <v>14028</v>
      </c>
      <c r="B764" t="s">
        <v>1317</v>
      </c>
      <c r="C764">
        <v>2.0209999999999999</v>
      </c>
      <c r="D764" t="s">
        <v>1264</v>
      </c>
      <c r="E764">
        <v>100108</v>
      </c>
      <c r="F764">
        <v>14028</v>
      </c>
      <c r="G764" t="str">
        <f t="shared" si="71"/>
        <v>14028</v>
      </c>
      <c r="H764" t="s">
        <v>372</v>
      </c>
      <c r="I764" t="s">
        <v>1265</v>
      </c>
      <c r="J764" t="s">
        <v>1271</v>
      </c>
      <c r="K764" t="s">
        <v>1272</v>
      </c>
      <c r="L764" t="s">
        <v>1317</v>
      </c>
      <c r="M764" t="s">
        <v>1318</v>
      </c>
      <c r="N764">
        <v>21</v>
      </c>
      <c r="O764" t="str">
        <f t="shared" si="74"/>
        <v>64</v>
      </c>
      <c r="P764">
        <v>64</v>
      </c>
      <c r="R764" t="s">
        <v>1269</v>
      </c>
      <c r="S764">
        <v>2.0209999999999999</v>
      </c>
      <c r="T764">
        <v>0.20039999999999999</v>
      </c>
      <c r="U764">
        <f t="shared" si="75"/>
        <v>0.40500000000000003</v>
      </c>
      <c r="V764" t="str">
        <f t="shared" si="72"/>
        <v>High Contractor ESA</v>
      </c>
      <c r="W764" t="str">
        <f t="shared" si="73"/>
        <v>Contractor ESA</v>
      </c>
    </row>
    <row r="765" spans="1:23" x14ac:dyDescent="0.25">
      <c r="A765">
        <v>14028</v>
      </c>
      <c r="B765" t="s">
        <v>1313</v>
      </c>
      <c r="C765">
        <v>1.44</v>
      </c>
      <c r="D765" t="s">
        <v>1264</v>
      </c>
      <c r="E765">
        <v>100108</v>
      </c>
      <c r="F765">
        <v>14028</v>
      </c>
      <c r="G765" t="str">
        <f t="shared" si="71"/>
        <v>14028</v>
      </c>
      <c r="H765" t="s">
        <v>372</v>
      </c>
      <c r="I765" t="s">
        <v>1265</v>
      </c>
      <c r="J765" t="s">
        <v>1266</v>
      </c>
      <c r="K765" t="s">
        <v>1267</v>
      </c>
      <c r="L765" t="s">
        <v>1313</v>
      </c>
      <c r="M765" t="s">
        <v>1314</v>
      </c>
      <c r="N765">
        <v>21</v>
      </c>
      <c r="O765" t="str">
        <f t="shared" si="74"/>
        <v>64</v>
      </c>
      <c r="P765">
        <v>64</v>
      </c>
      <c r="R765" t="s">
        <v>1269</v>
      </c>
      <c r="S765">
        <v>1.44</v>
      </c>
      <c r="T765">
        <v>0.20039999999999999</v>
      </c>
      <c r="U765">
        <f t="shared" si="75"/>
        <v>0.28899999999999998</v>
      </c>
      <c r="V765" t="str">
        <f t="shared" si="72"/>
        <v>Middle Contractor ESA</v>
      </c>
      <c r="W765" t="str">
        <f t="shared" si="73"/>
        <v>Contractor ESA</v>
      </c>
    </row>
    <row r="766" spans="1:23" x14ac:dyDescent="0.25">
      <c r="A766">
        <v>14064</v>
      </c>
      <c r="B766" t="s">
        <v>1286</v>
      </c>
      <c r="C766">
        <v>0.80800000000000005</v>
      </c>
      <c r="D766" t="s">
        <v>1264</v>
      </c>
      <c r="E766">
        <v>100167</v>
      </c>
      <c r="F766">
        <v>14064</v>
      </c>
      <c r="G766" t="str">
        <f t="shared" si="71"/>
        <v>14064</v>
      </c>
      <c r="H766" t="s">
        <v>373</v>
      </c>
      <c r="I766" t="s">
        <v>1265</v>
      </c>
      <c r="J766" t="s">
        <v>1271</v>
      </c>
      <c r="K766" t="s">
        <v>1272</v>
      </c>
      <c r="L766" t="s">
        <v>1286</v>
      </c>
      <c r="M766" t="s">
        <v>1287</v>
      </c>
      <c r="N766">
        <v>1</v>
      </c>
      <c r="O766" t="str">
        <f t="shared" si="74"/>
        <v>24</v>
      </c>
      <c r="P766">
        <v>96</v>
      </c>
      <c r="Q766">
        <v>24</v>
      </c>
      <c r="R766" t="s">
        <v>1269</v>
      </c>
      <c r="S766">
        <v>0.80800000000000005</v>
      </c>
      <c r="T766">
        <v>0.20499999999999999</v>
      </c>
      <c r="U766">
        <f t="shared" si="75"/>
        <v>0</v>
      </c>
      <c r="V766" t="str">
        <f t="shared" si="72"/>
        <v>High Family Engagement Coordinator</v>
      </c>
      <c r="W766" t="str">
        <f t="shared" si="73"/>
        <v>Family Engagement Coordinator</v>
      </c>
    </row>
    <row r="767" spans="1:23" x14ac:dyDescent="0.25">
      <c r="A767">
        <v>14064</v>
      </c>
      <c r="B767" t="s">
        <v>1275</v>
      </c>
      <c r="C767">
        <v>1.1599999999999999</v>
      </c>
      <c r="D767" t="s">
        <v>1264</v>
      </c>
      <c r="E767">
        <v>100167</v>
      </c>
      <c r="F767">
        <v>14064</v>
      </c>
      <c r="G767" t="str">
        <f t="shared" si="71"/>
        <v>14064</v>
      </c>
      <c r="H767" t="s">
        <v>373</v>
      </c>
      <c r="I767" t="s">
        <v>1265</v>
      </c>
      <c r="J767" t="s">
        <v>1276</v>
      </c>
      <c r="K767" t="s">
        <v>1277</v>
      </c>
      <c r="L767" t="s">
        <v>1275</v>
      </c>
      <c r="M767" t="s">
        <v>1278</v>
      </c>
      <c r="N767">
        <v>1</v>
      </c>
      <c r="O767" t="str">
        <f t="shared" si="74"/>
        <v>42</v>
      </c>
      <c r="P767">
        <v>42</v>
      </c>
      <c r="R767" t="s">
        <v>1269</v>
      </c>
      <c r="S767">
        <v>1.1599999999999999</v>
      </c>
      <c r="T767">
        <v>0.20499999999999999</v>
      </c>
      <c r="U767">
        <f t="shared" si="75"/>
        <v>0</v>
      </c>
      <c r="V767" t="str">
        <f t="shared" si="72"/>
        <v>Elementary Counselor</v>
      </c>
      <c r="W767" t="str">
        <f t="shared" si="73"/>
        <v>Counselor</v>
      </c>
    </row>
    <row r="768" spans="1:23" x14ac:dyDescent="0.25">
      <c r="A768">
        <v>14064</v>
      </c>
      <c r="B768" t="s">
        <v>1270</v>
      </c>
      <c r="C768">
        <v>0.46400000000000002</v>
      </c>
      <c r="D768" t="s">
        <v>1264</v>
      </c>
      <c r="E768">
        <v>100167</v>
      </c>
      <c r="F768">
        <v>14064</v>
      </c>
      <c r="G768" t="str">
        <f t="shared" si="71"/>
        <v>14064</v>
      </c>
      <c r="H768" t="s">
        <v>373</v>
      </c>
      <c r="I768" t="s">
        <v>1265</v>
      </c>
      <c r="J768" t="s">
        <v>1271</v>
      </c>
      <c r="K768" t="s">
        <v>1272</v>
      </c>
      <c r="L768" t="s">
        <v>1270</v>
      </c>
      <c r="M768" t="s">
        <v>1273</v>
      </c>
      <c r="N768">
        <v>1</v>
      </c>
      <c r="O768" t="str">
        <f t="shared" si="74"/>
        <v>42</v>
      </c>
      <c r="P768">
        <v>42</v>
      </c>
      <c r="R768" t="s">
        <v>1269</v>
      </c>
      <c r="S768">
        <v>0.46400000000000002</v>
      </c>
      <c r="T768">
        <v>0.20499999999999999</v>
      </c>
      <c r="U768">
        <f t="shared" si="75"/>
        <v>0</v>
      </c>
      <c r="V768" t="str">
        <f t="shared" si="72"/>
        <v>High Counselor</v>
      </c>
      <c r="W768" t="str">
        <f t="shared" si="73"/>
        <v>Counselor</v>
      </c>
    </row>
    <row r="769" spans="1:23" x14ac:dyDescent="0.25">
      <c r="A769">
        <v>14064</v>
      </c>
      <c r="B769" t="s">
        <v>1294</v>
      </c>
      <c r="C769">
        <v>0.5</v>
      </c>
      <c r="D769" t="s">
        <v>1264</v>
      </c>
      <c r="E769">
        <v>100167</v>
      </c>
      <c r="F769">
        <v>14064</v>
      </c>
      <c r="G769" t="str">
        <f t="shared" si="71"/>
        <v>14064</v>
      </c>
      <c r="H769" t="s">
        <v>373</v>
      </c>
      <c r="I769" t="s">
        <v>1265</v>
      </c>
      <c r="J769" t="s">
        <v>1276</v>
      </c>
      <c r="K769" t="s">
        <v>1277</v>
      </c>
      <c r="L769" t="s">
        <v>1294</v>
      </c>
      <c r="M769" t="s">
        <v>1354</v>
      </c>
      <c r="N769">
        <v>21</v>
      </c>
      <c r="O769" t="str">
        <f t="shared" si="74"/>
        <v>45</v>
      </c>
      <c r="P769">
        <v>45</v>
      </c>
      <c r="R769" t="s">
        <v>1269</v>
      </c>
      <c r="S769">
        <v>0.5</v>
      </c>
      <c r="T769">
        <v>0.20499999999999999</v>
      </c>
      <c r="U769">
        <f t="shared" si="75"/>
        <v>0.10299999999999999</v>
      </c>
      <c r="V769" t="str">
        <f t="shared" si="72"/>
        <v>Elementary Speech, Language Pathway/
Audio</v>
      </c>
      <c r="W769" t="str">
        <f t="shared" si="73"/>
        <v>Speech, Language Pathway/
Audio</v>
      </c>
    </row>
    <row r="770" spans="1:23" x14ac:dyDescent="0.25">
      <c r="A770">
        <v>14064</v>
      </c>
      <c r="B770" t="s">
        <v>1326</v>
      </c>
      <c r="C770">
        <v>0.25</v>
      </c>
      <c r="D770" t="s">
        <v>1264</v>
      </c>
      <c r="E770">
        <v>100167</v>
      </c>
      <c r="F770">
        <v>14064</v>
      </c>
      <c r="G770" t="str">
        <f t="shared" ref="G770:G833" si="76">TEXT(F770,"00000")</f>
        <v>14064</v>
      </c>
      <c r="H770" t="s">
        <v>373</v>
      </c>
      <c r="I770" t="s">
        <v>1265</v>
      </c>
      <c r="J770" t="s">
        <v>1271</v>
      </c>
      <c r="K770" t="s">
        <v>1272</v>
      </c>
      <c r="L770" t="s">
        <v>1326</v>
      </c>
      <c r="M770" t="s">
        <v>1353</v>
      </c>
      <c r="N770">
        <v>21</v>
      </c>
      <c r="O770" t="str">
        <f t="shared" si="74"/>
        <v>45</v>
      </c>
      <c r="P770">
        <v>45</v>
      </c>
      <c r="R770" t="s">
        <v>1269</v>
      </c>
      <c r="S770">
        <v>0.25</v>
      </c>
      <c r="T770">
        <v>0.20499999999999999</v>
      </c>
      <c r="U770">
        <f t="shared" si="75"/>
        <v>5.0999999999999997E-2</v>
      </c>
      <c r="V770" t="str">
        <f t="shared" ref="V770:V833" si="77">_xlfn.XLOOKUP(L770,$BV:$BV,$BT:$BT,,0)</f>
        <v>High Speech, Language Pathway/
Audio</v>
      </c>
      <c r="W770" t="str">
        <f t="shared" ref="W770:W833" si="78">_xlfn.TEXTAFTER(V770," ")</f>
        <v>Speech, Language Pathway/
Audio</v>
      </c>
    </row>
    <row r="771" spans="1:23" x14ac:dyDescent="0.25">
      <c r="A771">
        <v>14064</v>
      </c>
      <c r="B771" t="s">
        <v>1312</v>
      </c>
      <c r="C771">
        <v>0.25</v>
      </c>
      <c r="D771" t="s">
        <v>1264</v>
      </c>
      <c r="E771">
        <v>100167</v>
      </c>
      <c r="F771">
        <v>14064</v>
      </c>
      <c r="G771" t="str">
        <f t="shared" si="76"/>
        <v>14064</v>
      </c>
      <c r="H771" t="s">
        <v>373</v>
      </c>
      <c r="I771" t="s">
        <v>1265</v>
      </c>
      <c r="J771" t="s">
        <v>1266</v>
      </c>
      <c r="K771" t="s">
        <v>1267</v>
      </c>
      <c r="L771" t="s">
        <v>1312</v>
      </c>
      <c r="M771" t="s">
        <v>1351</v>
      </c>
      <c r="N771">
        <v>21</v>
      </c>
      <c r="O771" t="str">
        <f t="shared" ref="O771:O834" si="79">MID(L771,3,2)</f>
        <v>45</v>
      </c>
      <c r="P771">
        <v>45</v>
      </c>
      <c r="R771" t="s">
        <v>1269</v>
      </c>
      <c r="S771">
        <v>0.25</v>
      </c>
      <c r="T771">
        <v>0.20499999999999999</v>
      </c>
      <c r="U771">
        <f t="shared" ref="U771:U834" si="80">IF(N771=21,ROUND(T771*S771,3),0)</f>
        <v>5.0999999999999997E-2</v>
      </c>
      <c r="V771" t="str">
        <f t="shared" si="77"/>
        <v>Middle Speech, Language Pathway/
Audio</v>
      </c>
      <c r="W771" t="str">
        <f t="shared" si="78"/>
        <v>Speech, Language Pathway/
Audio</v>
      </c>
    </row>
    <row r="772" spans="1:23" x14ac:dyDescent="0.25">
      <c r="A772">
        <v>14065</v>
      </c>
      <c r="B772" t="s">
        <v>1308</v>
      </c>
      <c r="C772">
        <v>0.40699999999999997</v>
      </c>
      <c r="D772" t="s">
        <v>1264</v>
      </c>
      <c r="E772">
        <v>100143</v>
      </c>
      <c r="F772">
        <v>14065</v>
      </c>
      <c r="G772" t="str">
        <f t="shared" si="76"/>
        <v>14065</v>
      </c>
      <c r="H772" t="s">
        <v>374</v>
      </c>
      <c r="I772" t="s">
        <v>1265</v>
      </c>
      <c r="J772" t="s">
        <v>1276</v>
      </c>
      <c r="K772" t="s">
        <v>1277</v>
      </c>
      <c r="L772" t="s">
        <v>1308</v>
      </c>
      <c r="M772" t="s">
        <v>1389</v>
      </c>
      <c r="N772">
        <v>1</v>
      </c>
      <c r="O772" t="str">
        <f t="shared" si="79"/>
        <v>25</v>
      </c>
      <c r="Q772">
        <v>25</v>
      </c>
      <c r="R772" t="s">
        <v>1269</v>
      </c>
      <c r="S772">
        <v>0.40699999999999997</v>
      </c>
      <c r="T772">
        <v>0.17599999999999999</v>
      </c>
      <c r="U772">
        <f t="shared" si="80"/>
        <v>0</v>
      </c>
      <c r="V772" t="str">
        <f t="shared" si="77"/>
        <v>Elementary Pupil Management</v>
      </c>
      <c r="W772" t="str">
        <f t="shared" si="78"/>
        <v>Pupil Management</v>
      </c>
    </row>
    <row r="773" spans="1:23" x14ac:dyDescent="0.25">
      <c r="A773">
        <v>14065</v>
      </c>
      <c r="B773" t="s">
        <v>1299</v>
      </c>
      <c r="C773">
        <v>0.35299999999999998</v>
      </c>
      <c r="D773" t="s">
        <v>1264</v>
      </c>
      <c r="E773">
        <v>100143</v>
      </c>
      <c r="F773">
        <v>14065</v>
      </c>
      <c r="G773" t="str">
        <f t="shared" si="76"/>
        <v>14065</v>
      </c>
      <c r="H773" t="s">
        <v>374</v>
      </c>
      <c r="I773" t="s">
        <v>1265</v>
      </c>
      <c r="J773" t="s">
        <v>1271</v>
      </c>
      <c r="K773" t="s">
        <v>1272</v>
      </c>
      <c r="L773" t="s">
        <v>1299</v>
      </c>
      <c r="M773" t="s">
        <v>1300</v>
      </c>
      <c r="N773">
        <v>1</v>
      </c>
      <c r="O773" t="str">
        <f t="shared" si="79"/>
        <v>25</v>
      </c>
      <c r="Q773">
        <v>25</v>
      </c>
      <c r="R773" t="s">
        <v>1269</v>
      </c>
      <c r="S773">
        <v>0.35299999999999998</v>
      </c>
      <c r="T773">
        <v>0.17599999999999999</v>
      </c>
      <c r="U773">
        <f t="shared" si="80"/>
        <v>0</v>
      </c>
      <c r="V773" t="str">
        <f t="shared" si="77"/>
        <v>High Pupil Management</v>
      </c>
      <c r="W773" t="str">
        <f t="shared" si="78"/>
        <v>Pupil Management</v>
      </c>
    </row>
    <row r="774" spans="1:23" x14ac:dyDescent="0.25">
      <c r="A774">
        <v>14065</v>
      </c>
      <c r="B774" t="s">
        <v>1363</v>
      </c>
      <c r="C774">
        <v>6.5000000000000002E-2</v>
      </c>
      <c r="D774" t="s">
        <v>1264</v>
      </c>
      <c r="E774">
        <v>100143</v>
      </c>
      <c r="F774">
        <v>14065</v>
      </c>
      <c r="G774" t="str">
        <f t="shared" si="76"/>
        <v>14065</v>
      </c>
      <c r="H774" t="s">
        <v>374</v>
      </c>
      <c r="I774" t="s">
        <v>1265</v>
      </c>
      <c r="J774" t="s">
        <v>1266</v>
      </c>
      <c r="K774" t="s">
        <v>1267</v>
      </c>
      <c r="L774" t="s">
        <v>1363</v>
      </c>
      <c r="M774" t="s">
        <v>1386</v>
      </c>
      <c r="N774">
        <v>1</v>
      </c>
      <c r="O774" t="str">
        <f t="shared" si="79"/>
        <v>25</v>
      </c>
      <c r="Q774">
        <v>25</v>
      </c>
      <c r="R774" t="s">
        <v>1269</v>
      </c>
      <c r="S774">
        <v>6.5000000000000002E-2</v>
      </c>
      <c r="T774">
        <v>0.17599999999999999</v>
      </c>
      <c r="U774">
        <f t="shared" si="80"/>
        <v>0</v>
      </c>
      <c r="V774" t="str">
        <f t="shared" si="77"/>
        <v>Middle Pupil Management</v>
      </c>
      <c r="W774" t="str">
        <f t="shared" si="78"/>
        <v>Pupil Management</v>
      </c>
    </row>
    <row r="775" spans="1:23" x14ac:dyDescent="0.25">
      <c r="A775">
        <v>14065</v>
      </c>
      <c r="B775" t="s">
        <v>1275</v>
      </c>
      <c r="C775">
        <v>0.45</v>
      </c>
      <c r="D775" t="s">
        <v>1264</v>
      </c>
      <c r="E775">
        <v>100143</v>
      </c>
      <c r="F775">
        <v>14065</v>
      </c>
      <c r="G775" t="str">
        <f t="shared" si="76"/>
        <v>14065</v>
      </c>
      <c r="H775" t="s">
        <v>374</v>
      </c>
      <c r="I775" t="s">
        <v>1265</v>
      </c>
      <c r="J775" t="s">
        <v>1276</v>
      </c>
      <c r="K775" t="s">
        <v>1277</v>
      </c>
      <c r="L775" t="s">
        <v>1275</v>
      </c>
      <c r="M775" t="s">
        <v>1278</v>
      </c>
      <c r="N775">
        <v>1</v>
      </c>
      <c r="O775" t="str">
        <f t="shared" si="79"/>
        <v>42</v>
      </c>
      <c r="P775">
        <v>42</v>
      </c>
      <c r="R775" t="s">
        <v>1269</v>
      </c>
      <c r="S775">
        <v>0.45</v>
      </c>
      <c r="T775">
        <v>0.17599999999999999</v>
      </c>
      <c r="U775">
        <f t="shared" si="80"/>
        <v>0</v>
      </c>
      <c r="V775" t="str">
        <f t="shared" si="77"/>
        <v>Elementary Counselor</v>
      </c>
      <c r="W775" t="str">
        <f t="shared" si="78"/>
        <v>Counselor</v>
      </c>
    </row>
    <row r="776" spans="1:23" x14ac:dyDescent="0.25">
      <c r="A776">
        <v>14065</v>
      </c>
      <c r="B776" t="s">
        <v>1263</v>
      </c>
      <c r="C776">
        <v>0.15</v>
      </c>
      <c r="D776" t="s">
        <v>1264</v>
      </c>
      <c r="E776">
        <v>100143</v>
      </c>
      <c r="F776">
        <v>14065</v>
      </c>
      <c r="G776" t="str">
        <f t="shared" si="76"/>
        <v>14065</v>
      </c>
      <c r="H776" t="s">
        <v>374</v>
      </c>
      <c r="I776" t="s">
        <v>1265</v>
      </c>
      <c r="J776" t="s">
        <v>1266</v>
      </c>
      <c r="K776" t="s">
        <v>1267</v>
      </c>
      <c r="L776" t="s">
        <v>1263</v>
      </c>
      <c r="M776" t="s">
        <v>1268</v>
      </c>
      <c r="N776">
        <v>1</v>
      </c>
      <c r="O776" t="str">
        <f t="shared" si="79"/>
        <v>42</v>
      </c>
      <c r="P776">
        <v>42</v>
      </c>
      <c r="R776" t="s">
        <v>1269</v>
      </c>
      <c r="S776">
        <v>0.15</v>
      </c>
      <c r="T776">
        <v>0.17599999999999999</v>
      </c>
      <c r="U776">
        <f t="shared" si="80"/>
        <v>0</v>
      </c>
      <c r="V776" t="str">
        <f t="shared" si="77"/>
        <v>Middle Counselor</v>
      </c>
      <c r="W776" t="str">
        <f t="shared" si="78"/>
        <v>Counselor</v>
      </c>
    </row>
    <row r="777" spans="1:23" x14ac:dyDescent="0.25">
      <c r="A777">
        <v>14066</v>
      </c>
      <c r="B777" t="s">
        <v>1308</v>
      </c>
      <c r="C777">
        <v>9.4E-2</v>
      </c>
      <c r="D777" t="s">
        <v>1264</v>
      </c>
      <c r="E777">
        <v>100151</v>
      </c>
      <c r="F777">
        <v>14066</v>
      </c>
      <c r="G777" t="str">
        <f t="shared" si="76"/>
        <v>14066</v>
      </c>
      <c r="H777" t="s">
        <v>375</v>
      </c>
      <c r="I777" t="s">
        <v>1265</v>
      </c>
      <c r="J777" t="s">
        <v>1276</v>
      </c>
      <c r="K777" t="s">
        <v>1277</v>
      </c>
      <c r="L777" t="s">
        <v>1308</v>
      </c>
      <c r="M777" t="s">
        <v>1389</v>
      </c>
      <c r="N777">
        <v>1</v>
      </c>
      <c r="O777" t="str">
        <f t="shared" si="79"/>
        <v>25</v>
      </c>
      <c r="Q777">
        <v>25</v>
      </c>
      <c r="R777" t="s">
        <v>1269</v>
      </c>
      <c r="S777">
        <v>9.4E-2</v>
      </c>
      <c r="T777">
        <v>0.2341</v>
      </c>
      <c r="U777">
        <f t="shared" si="80"/>
        <v>0</v>
      </c>
      <c r="V777" t="str">
        <f t="shared" si="77"/>
        <v>Elementary Pupil Management</v>
      </c>
      <c r="W777" t="str">
        <f t="shared" si="78"/>
        <v>Pupil Management</v>
      </c>
    </row>
    <row r="778" spans="1:23" x14ac:dyDescent="0.25">
      <c r="A778">
        <v>14066</v>
      </c>
      <c r="B778" t="s">
        <v>1383</v>
      </c>
      <c r="C778">
        <v>1.4419999999999999</v>
      </c>
      <c r="D778" t="s">
        <v>1264</v>
      </c>
      <c r="E778">
        <v>100151</v>
      </c>
      <c r="F778">
        <v>14066</v>
      </c>
      <c r="G778" t="str">
        <f t="shared" si="76"/>
        <v>14066</v>
      </c>
      <c r="H778" t="s">
        <v>375</v>
      </c>
      <c r="I778" t="s">
        <v>1265</v>
      </c>
      <c r="J778" t="s">
        <v>1271</v>
      </c>
      <c r="K778" t="s">
        <v>1272</v>
      </c>
      <c r="L778" t="s">
        <v>1383</v>
      </c>
      <c r="M778" t="s">
        <v>1409</v>
      </c>
      <c r="N778">
        <v>21</v>
      </c>
      <c r="O778" t="str">
        <f t="shared" si="79"/>
        <v>25</v>
      </c>
      <c r="Q778">
        <v>25</v>
      </c>
      <c r="R778" t="s">
        <v>1269</v>
      </c>
      <c r="S778">
        <v>1.4419999999999999</v>
      </c>
      <c r="T778">
        <v>0.2341</v>
      </c>
      <c r="U778">
        <f t="shared" si="80"/>
        <v>0.33800000000000002</v>
      </c>
      <c r="V778" t="str">
        <f t="shared" si="77"/>
        <v>High Pupil Management</v>
      </c>
      <c r="W778" t="str">
        <f t="shared" si="78"/>
        <v>Pupil Management</v>
      </c>
    </row>
    <row r="779" spans="1:23" x14ac:dyDescent="0.25">
      <c r="A779">
        <v>14066</v>
      </c>
      <c r="B779" t="s">
        <v>1299</v>
      </c>
      <c r="C779">
        <v>2.129</v>
      </c>
      <c r="D779" t="s">
        <v>1264</v>
      </c>
      <c r="E779">
        <v>100151</v>
      </c>
      <c r="F779">
        <v>14066</v>
      </c>
      <c r="G779" t="str">
        <f t="shared" si="76"/>
        <v>14066</v>
      </c>
      <c r="H779" t="s">
        <v>375</v>
      </c>
      <c r="I779" t="s">
        <v>1265</v>
      </c>
      <c r="J779" t="s">
        <v>1271</v>
      </c>
      <c r="K779" t="s">
        <v>1272</v>
      </c>
      <c r="L779" t="s">
        <v>1299</v>
      </c>
      <c r="M779" t="s">
        <v>1300</v>
      </c>
      <c r="N779">
        <v>1</v>
      </c>
      <c r="O779" t="str">
        <f t="shared" si="79"/>
        <v>25</v>
      </c>
      <c r="Q779">
        <v>25</v>
      </c>
      <c r="R779" t="s">
        <v>1269</v>
      </c>
      <c r="S779">
        <v>2.129</v>
      </c>
      <c r="T779">
        <v>0.2341</v>
      </c>
      <c r="U779">
        <f t="shared" si="80"/>
        <v>0</v>
      </c>
      <c r="V779" t="str">
        <f t="shared" si="77"/>
        <v>High Pupil Management</v>
      </c>
      <c r="W779" t="str">
        <f t="shared" si="78"/>
        <v>Pupil Management</v>
      </c>
    </row>
    <row r="780" spans="1:23" x14ac:dyDescent="0.25">
      <c r="A780">
        <v>14066</v>
      </c>
      <c r="B780" t="s">
        <v>1324</v>
      </c>
      <c r="C780">
        <v>0.59399999999999997</v>
      </c>
      <c r="D780" t="s">
        <v>1264</v>
      </c>
      <c r="E780">
        <v>100151</v>
      </c>
      <c r="F780">
        <v>14066</v>
      </c>
      <c r="G780" t="str">
        <f t="shared" si="76"/>
        <v>14066</v>
      </c>
      <c r="H780" t="s">
        <v>375</v>
      </c>
      <c r="I780" t="s">
        <v>1265</v>
      </c>
      <c r="J780" t="s">
        <v>1271</v>
      </c>
      <c r="K780" t="s">
        <v>1272</v>
      </c>
      <c r="L780" t="s">
        <v>1324</v>
      </c>
      <c r="M780" t="s">
        <v>1325</v>
      </c>
      <c r="N780">
        <v>21</v>
      </c>
      <c r="O780" t="str">
        <f t="shared" si="79"/>
        <v>26</v>
      </c>
      <c r="Q780">
        <v>26</v>
      </c>
      <c r="R780" t="s">
        <v>1269</v>
      </c>
      <c r="S780">
        <v>0.59399999999999997</v>
      </c>
      <c r="T780">
        <v>0.2341</v>
      </c>
      <c r="U780">
        <f t="shared" si="80"/>
        <v>0.13900000000000001</v>
      </c>
      <c r="V780" t="str">
        <f t="shared" si="77"/>
        <v>High Health/
Related Services</v>
      </c>
      <c r="W780" t="str">
        <f t="shared" si="78"/>
        <v>Health/
Related Services</v>
      </c>
    </row>
    <row r="781" spans="1:23" x14ac:dyDescent="0.25">
      <c r="A781">
        <v>14066</v>
      </c>
      <c r="B781" t="s">
        <v>1295</v>
      </c>
      <c r="C781">
        <v>2.665</v>
      </c>
      <c r="D781" t="s">
        <v>1264</v>
      </c>
      <c r="E781">
        <v>100151</v>
      </c>
      <c r="F781">
        <v>14066</v>
      </c>
      <c r="G781" t="str">
        <f t="shared" si="76"/>
        <v>14066</v>
      </c>
      <c r="H781" t="s">
        <v>375</v>
      </c>
      <c r="I781" t="s">
        <v>1265</v>
      </c>
      <c r="J781" t="s">
        <v>1271</v>
      </c>
      <c r="K781" t="s">
        <v>1272</v>
      </c>
      <c r="L781" t="s">
        <v>1295</v>
      </c>
      <c r="M781" t="s">
        <v>1296</v>
      </c>
      <c r="N781">
        <v>1</v>
      </c>
      <c r="O781" t="str">
        <f t="shared" si="79"/>
        <v>26</v>
      </c>
      <c r="Q781">
        <v>26</v>
      </c>
      <c r="R781" t="s">
        <v>1269</v>
      </c>
      <c r="S781">
        <v>2.665</v>
      </c>
      <c r="T781">
        <v>0.2341</v>
      </c>
      <c r="U781">
        <f t="shared" si="80"/>
        <v>0</v>
      </c>
      <c r="V781" t="str">
        <f t="shared" si="77"/>
        <v>High Health/
Related Services</v>
      </c>
      <c r="W781" t="str">
        <f t="shared" si="78"/>
        <v>Health/
Related Services</v>
      </c>
    </row>
    <row r="782" spans="1:23" x14ac:dyDescent="0.25">
      <c r="A782">
        <v>14066</v>
      </c>
      <c r="B782" t="s">
        <v>1275</v>
      </c>
      <c r="C782">
        <v>2</v>
      </c>
      <c r="D782" t="s">
        <v>1264</v>
      </c>
      <c r="E782">
        <v>100151</v>
      </c>
      <c r="F782">
        <v>14066</v>
      </c>
      <c r="G782" t="str">
        <f t="shared" si="76"/>
        <v>14066</v>
      </c>
      <c r="H782" t="s">
        <v>375</v>
      </c>
      <c r="I782" t="s">
        <v>1265</v>
      </c>
      <c r="J782" t="s">
        <v>1276</v>
      </c>
      <c r="K782" t="s">
        <v>1277</v>
      </c>
      <c r="L782" t="s">
        <v>1275</v>
      </c>
      <c r="M782" t="s">
        <v>1278</v>
      </c>
      <c r="N782">
        <v>1</v>
      </c>
      <c r="O782" t="str">
        <f t="shared" si="79"/>
        <v>42</v>
      </c>
      <c r="P782">
        <v>42</v>
      </c>
      <c r="R782" t="s">
        <v>1269</v>
      </c>
      <c r="S782">
        <v>2</v>
      </c>
      <c r="T782">
        <v>0.2341</v>
      </c>
      <c r="U782">
        <f t="shared" si="80"/>
        <v>0</v>
      </c>
      <c r="V782" t="str">
        <f t="shared" si="77"/>
        <v>Elementary Counselor</v>
      </c>
      <c r="W782" t="str">
        <f t="shared" si="78"/>
        <v>Counselor</v>
      </c>
    </row>
    <row r="783" spans="1:23" x14ac:dyDescent="0.25">
      <c r="A783">
        <v>14066</v>
      </c>
      <c r="B783" t="s">
        <v>1263</v>
      </c>
      <c r="C783">
        <v>1.34</v>
      </c>
      <c r="D783" t="s">
        <v>1264</v>
      </c>
      <c r="E783">
        <v>100151</v>
      </c>
      <c r="F783">
        <v>14066</v>
      </c>
      <c r="G783" t="str">
        <f t="shared" si="76"/>
        <v>14066</v>
      </c>
      <c r="H783" t="s">
        <v>375</v>
      </c>
      <c r="I783" t="s">
        <v>1265</v>
      </c>
      <c r="J783" t="s">
        <v>1266</v>
      </c>
      <c r="K783" t="s">
        <v>1267</v>
      </c>
      <c r="L783" t="s">
        <v>1263</v>
      </c>
      <c r="M783" t="s">
        <v>1268</v>
      </c>
      <c r="N783">
        <v>1</v>
      </c>
      <c r="O783" t="str">
        <f t="shared" si="79"/>
        <v>42</v>
      </c>
      <c r="P783">
        <v>42</v>
      </c>
      <c r="R783" t="s">
        <v>1269</v>
      </c>
      <c r="S783">
        <v>1.34</v>
      </c>
      <c r="T783">
        <v>0.2341</v>
      </c>
      <c r="U783">
        <f t="shared" si="80"/>
        <v>0</v>
      </c>
      <c r="V783" t="str">
        <f t="shared" si="77"/>
        <v>Middle Counselor</v>
      </c>
      <c r="W783" t="str">
        <f t="shared" si="78"/>
        <v>Counselor</v>
      </c>
    </row>
    <row r="784" spans="1:23" x14ac:dyDescent="0.25">
      <c r="A784">
        <v>14066</v>
      </c>
      <c r="B784" t="s">
        <v>1294</v>
      </c>
      <c r="C784">
        <v>1</v>
      </c>
      <c r="D784" t="s">
        <v>1264</v>
      </c>
      <c r="E784">
        <v>100151</v>
      </c>
      <c r="F784">
        <v>14066</v>
      </c>
      <c r="G784" t="str">
        <f t="shared" si="76"/>
        <v>14066</v>
      </c>
      <c r="H784" t="s">
        <v>375</v>
      </c>
      <c r="I784" t="s">
        <v>1265</v>
      </c>
      <c r="J784" t="s">
        <v>1276</v>
      </c>
      <c r="K784" t="s">
        <v>1277</v>
      </c>
      <c r="L784" t="s">
        <v>1294</v>
      </c>
      <c r="M784" t="s">
        <v>1354</v>
      </c>
      <c r="N784">
        <v>21</v>
      </c>
      <c r="O784" t="str">
        <f t="shared" si="79"/>
        <v>45</v>
      </c>
      <c r="P784">
        <v>45</v>
      </c>
      <c r="R784" t="s">
        <v>1269</v>
      </c>
      <c r="S784">
        <v>1</v>
      </c>
      <c r="T784">
        <v>0.2341</v>
      </c>
      <c r="U784">
        <f t="shared" si="80"/>
        <v>0.23400000000000001</v>
      </c>
      <c r="V784" t="str">
        <f t="shared" si="77"/>
        <v>Elementary Speech, Language Pathway/
Audio</v>
      </c>
      <c r="W784" t="str">
        <f t="shared" si="78"/>
        <v>Speech, Language Pathway/
Audio</v>
      </c>
    </row>
    <row r="785" spans="1:23" x14ac:dyDescent="0.25">
      <c r="A785">
        <v>14066</v>
      </c>
      <c r="B785" t="s">
        <v>1298</v>
      </c>
      <c r="C785">
        <v>1</v>
      </c>
      <c r="D785" t="s">
        <v>1264</v>
      </c>
      <c r="E785">
        <v>100151</v>
      </c>
      <c r="F785">
        <v>14066</v>
      </c>
      <c r="G785" t="str">
        <f t="shared" si="76"/>
        <v>14066</v>
      </c>
      <c r="H785" t="s">
        <v>375</v>
      </c>
      <c r="I785" t="s">
        <v>1265</v>
      </c>
      <c r="J785" t="s">
        <v>1276</v>
      </c>
      <c r="K785" t="s">
        <v>1277</v>
      </c>
      <c r="L785" t="s">
        <v>1298</v>
      </c>
      <c r="M785" t="s">
        <v>1349</v>
      </c>
      <c r="N785">
        <v>21</v>
      </c>
      <c r="O785" t="str">
        <f t="shared" si="79"/>
        <v>46</v>
      </c>
      <c r="P785">
        <v>46</v>
      </c>
      <c r="R785" t="s">
        <v>1269</v>
      </c>
      <c r="S785">
        <v>1</v>
      </c>
      <c r="T785">
        <v>0.2341</v>
      </c>
      <c r="U785">
        <f t="shared" si="80"/>
        <v>0.23400000000000001</v>
      </c>
      <c r="V785" t="str">
        <f t="shared" si="77"/>
        <v>Elementary Psychologist</v>
      </c>
      <c r="W785" t="str">
        <f t="shared" si="78"/>
        <v>Psychologist</v>
      </c>
    </row>
    <row r="786" spans="1:23" x14ac:dyDescent="0.25">
      <c r="A786">
        <v>14066</v>
      </c>
      <c r="B786" t="s">
        <v>1302</v>
      </c>
      <c r="C786">
        <v>1</v>
      </c>
      <c r="D786" t="s">
        <v>1264</v>
      </c>
      <c r="E786">
        <v>100151</v>
      </c>
      <c r="F786">
        <v>14066</v>
      </c>
      <c r="G786" t="str">
        <f t="shared" si="76"/>
        <v>14066</v>
      </c>
      <c r="H786" t="s">
        <v>375</v>
      </c>
      <c r="I786" t="s">
        <v>1265</v>
      </c>
      <c r="J786" t="s">
        <v>1276</v>
      </c>
      <c r="K786" t="s">
        <v>1277</v>
      </c>
      <c r="L786" t="s">
        <v>1302</v>
      </c>
      <c r="M786" t="s">
        <v>1336</v>
      </c>
      <c r="N786">
        <v>21</v>
      </c>
      <c r="O786" t="str">
        <f t="shared" si="79"/>
        <v>48</v>
      </c>
      <c r="P786">
        <v>48</v>
      </c>
      <c r="R786" t="s">
        <v>1269</v>
      </c>
      <c r="S786">
        <v>1</v>
      </c>
      <c r="T786">
        <v>0.2341</v>
      </c>
      <c r="U786">
        <f t="shared" si="80"/>
        <v>0.23400000000000001</v>
      </c>
      <c r="V786" t="str">
        <f t="shared" si="77"/>
        <v>Elementary Physical Therapist</v>
      </c>
      <c r="W786" t="str">
        <f t="shared" si="78"/>
        <v>Physical Therapist</v>
      </c>
    </row>
    <row r="787" spans="1:23" x14ac:dyDescent="0.25">
      <c r="A787" t="s">
        <v>79</v>
      </c>
      <c r="B787" t="s">
        <v>1474</v>
      </c>
      <c r="C787">
        <v>0.13700000000000001</v>
      </c>
      <c r="F787" t="s">
        <v>79</v>
      </c>
      <c r="G787" t="str">
        <f t="shared" si="76"/>
        <v>14066</v>
      </c>
      <c r="H787" t="s">
        <v>375</v>
      </c>
      <c r="I787" t="s">
        <v>1265</v>
      </c>
      <c r="K787" t="s">
        <v>1277</v>
      </c>
      <c r="L787" t="s">
        <v>1474</v>
      </c>
      <c r="M787" t="s">
        <v>1642</v>
      </c>
      <c r="N787">
        <v>9</v>
      </c>
      <c r="O787" t="str">
        <f t="shared" si="79"/>
        <v>25</v>
      </c>
      <c r="P787">
        <v>91</v>
      </c>
      <c r="Q787">
        <v>25</v>
      </c>
      <c r="S787">
        <v>0.13700000000000001</v>
      </c>
      <c r="T787">
        <v>0.2341</v>
      </c>
      <c r="U787">
        <f t="shared" si="80"/>
        <v>0</v>
      </c>
      <c r="V787" t="str">
        <f t="shared" si="77"/>
        <v>TK Pupil Management</v>
      </c>
      <c r="W787" t="str">
        <f t="shared" si="78"/>
        <v>Pupil Management</v>
      </c>
    </row>
    <row r="788" spans="1:23" x14ac:dyDescent="0.25">
      <c r="A788" t="s">
        <v>79</v>
      </c>
      <c r="B788" t="s">
        <v>1474</v>
      </c>
      <c r="C788">
        <v>0.13700000000000001</v>
      </c>
      <c r="F788" t="s">
        <v>79</v>
      </c>
      <c r="G788" t="str">
        <f t="shared" si="76"/>
        <v>14066</v>
      </c>
      <c r="H788" t="s">
        <v>375</v>
      </c>
      <c r="I788" t="s">
        <v>1265</v>
      </c>
      <c r="K788" t="s">
        <v>1277</v>
      </c>
      <c r="L788" t="s">
        <v>1474</v>
      </c>
      <c r="M788" t="s">
        <v>1642</v>
      </c>
      <c r="N788">
        <v>9</v>
      </c>
      <c r="O788" t="str">
        <f t="shared" si="79"/>
        <v>25</v>
      </c>
      <c r="P788">
        <v>91</v>
      </c>
      <c r="Q788">
        <v>25</v>
      </c>
      <c r="S788">
        <v>0.13700000000000001</v>
      </c>
      <c r="T788">
        <v>0.2341</v>
      </c>
      <c r="U788">
        <f t="shared" si="80"/>
        <v>0</v>
      </c>
      <c r="V788" t="str">
        <f t="shared" si="77"/>
        <v>TK Pupil Management</v>
      </c>
      <c r="W788" t="str">
        <f t="shared" si="78"/>
        <v>Pupil Management</v>
      </c>
    </row>
    <row r="789" spans="1:23" x14ac:dyDescent="0.25">
      <c r="A789" t="s">
        <v>79</v>
      </c>
      <c r="B789" t="s">
        <v>1474</v>
      </c>
      <c r="C789">
        <v>0.13700000000000001</v>
      </c>
      <c r="F789" t="s">
        <v>79</v>
      </c>
      <c r="G789" t="str">
        <f t="shared" si="76"/>
        <v>14066</v>
      </c>
      <c r="H789" t="s">
        <v>375</v>
      </c>
      <c r="I789" t="s">
        <v>1265</v>
      </c>
      <c r="K789" t="s">
        <v>1277</v>
      </c>
      <c r="L789" t="s">
        <v>1474</v>
      </c>
      <c r="M789" t="s">
        <v>1642</v>
      </c>
      <c r="N789">
        <v>9</v>
      </c>
      <c r="O789" t="str">
        <f t="shared" si="79"/>
        <v>25</v>
      </c>
      <c r="P789">
        <v>91</v>
      </c>
      <c r="Q789">
        <v>25</v>
      </c>
      <c r="S789">
        <v>0.13700000000000001</v>
      </c>
      <c r="T789">
        <v>0.2341</v>
      </c>
      <c r="U789">
        <f t="shared" si="80"/>
        <v>0</v>
      </c>
      <c r="V789" t="str">
        <f t="shared" si="77"/>
        <v>TK Pupil Management</v>
      </c>
      <c r="W789" t="str">
        <f t="shared" si="78"/>
        <v>Pupil Management</v>
      </c>
    </row>
    <row r="790" spans="1:23" x14ac:dyDescent="0.25">
      <c r="A790" t="s">
        <v>79</v>
      </c>
      <c r="B790" t="s">
        <v>1474</v>
      </c>
      <c r="C790">
        <v>9.2999999999999999E-2</v>
      </c>
      <c r="F790" t="s">
        <v>79</v>
      </c>
      <c r="G790" t="str">
        <f t="shared" si="76"/>
        <v>14066</v>
      </c>
      <c r="H790" t="s">
        <v>375</v>
      </c>
      <c r="I790" t="s">
        <v>1265</v>
      </c>
      <c r="K790" t="s">
        <v>1277</v>
      </c>
      <c r="L790" t="s">
        <v>1474</v>
      </c>
      <c r="M790" t="s">
        <v>1642</v>
      </c>
      <c r="N790">
        <v>9</v>
      </c>
      <c r="O790" t="str">
        <f t="shared" si="79"/>
        <v>25</v>
      </c>
      <c r="P790">
        <v>91</v>
      </c>
      <c r="Q790">
        <v>25</v>
      </c>
      <c r="S790">
        <v>9.2999999999999999E-2</v>
      </c>
      <c r="T790">
        <v>0.2341</v>
      </c>
      <c r="U790">
        <f t="shared" si="80"/>
        <v>0</v>
      </c>
      <c r="V790" t="str">
        <f t="shared" si="77"/>
        <v>TK Pupil Management</v>
      </c>
      <c r="W790" t="str">
        <f t="shared" si="78"/>
        <v>Pupil Management</v>
      </c>
    </row>
    <row r="791" spans="1:23" x14ac:dyDescent="0.25">
      <c r="A791" t="s">
        <v>79</v>
      </c>
      <c r="B791" t="s">
        <v>1474</v>
      </c>
      <c r="C791">
        <v>0.16</v>
      </c>
      <c r="F791" t="s">
        <v>79</v>
      </c>
      <c r="G791" t="str">
        <f t="shared" si="76"/>
        <v>14066</v>
      </c>
      <c r="H791" t="s">
        <v>375</v>
      </c>
      <c r="I791" t="s">
        <v>1265</v>
      </c>
      <c r="K791" t="s">
        <v>1277</v>
      </c>
      <c r="L791" t="s">
        <v>1474</v>
      </c>
      <c r="M791" t="s">
        <v>1642</v>
      </c>
      <c r="N791">
        <v>9</v>
      </c>
      <c r="O791" t="str">
        <f t="shared" si="79"/>
        <v>25</v>
      </c>
      <c r="P791">
        <v>91</v>
      </c>
      <c r="Q791">
        <v>25</v>
      </c>
      <c r="S791">
        <v>0.16</v>
      </c>
      <c r="T791">
        <v>0.2341</v>
      </c>
      <c r="U791">
        <f t="shared" si="80"/>
        <v>0</v>
      </c>
      <c r="V791" t="str">
        <f t="shared" si="77"/>
        <v>TK Pupil Management</v>
      </c>
      <c r="W791" t="str">
        <f t="shared" si="78"/>
        <v>Pupil Management</v>
      </c>
    </row>
    <row r="792" spans="1:23" x14ac:dyDescent="0.25">
      <c r="A792">
        <v>14068</v>
      </c>
      <c r="B792" t="s">
        <v>1295</v>
      </c>
      <c r="C792">
        <v>0.63900000000000001</v>
      </c>
      <c r="D792" t="s">
        <v>1264</v>
      </c>
      <c r="E792">
        <v>100077</v>
      </c>
      <c r="F792">
        <v>14068</v>
      </c>
      <c r="G792" t="str">
        <f t="shared" si="76"/>
        <v>14068</v>
      </c>
      <c r="H792" t="s">
        <v>376</v>
      </c>
      <c r="I792" t="s">
        <v>1265</v>
      </c>
      <c r="J792" t="s">
        <v>1271</v>
      </c>
      <c r="K792" t="s">
        <v>1272</v>
      </c>
      <c r="L792" t="s">
        <v>1295</v>
      </c>
      <c r="M792" t="s">
        <v>1296</v>
      </c>
      <c r="N792">
        <v>1</v>
      </c>
      <c r="O792" t="str">
        <f t="shared" si="79"/>
        <v>26</v>
      </c>
      <c r="Q792">
        <v>26</v>
      </c>
      <c r="R792" t="s">
        <v>1269</v>
      </c>
      <c r="S792">
        <v>0.63900000000000001</v>
      </c>
      <c r="T792">
        <v>0.25609999999999999</v>
      </c>
      <c r="U792">
        <f t="shared" si="80"/>
        <v>0</v>
      </c>
      <c r="V792" t="str">
        <f t="shared" si="77"/>
        <v>High Health/
Related Services</v>
      </c>
      <c r="W792" t="str">
        <f t="shared" si="78"/>
        <v>Health/
Related Services</v>
      </c>
    </row>
    <row r="793" spans="1:23" x14ac:dyDescent="0.25">
      <c r="A793">
        <v>14068</v>
      </c>
      <c r="B793" t="s">
        <v>1291</v>
      </c>
      <c r="C793">
        <v>0.63900000000000001</v>
      </c>
      <c r="D793" t="s">
        <v>1264</v>
      </c>
      <c r="E793">
        <v>100077</v>
      </c>
      <c r="F793">
        <v>14068</v>
      </c>
      <c r="G793" t="str">
        <f t="shared" si="76"/>
        <v>14068</v>
      </c>
      <c r="H793" t="s">
        <v>376</v>
      </c>
      <c r="I793" t="s">
        <v>1265</v>
      </c>
      <c r="J793" t="s">
        <v>1266</v>
      </c>
      <c r="K793" t="s">
        <v>1267</v>
      </c>
      <c r="L793" t="s">
        <v>1291</v>
      </c>
      <c r="M793" t="s">
        <v>1292</v>
      </c>
      <c r="N793">
        <v>1</v>
      </c>
      <c r="O793" t="str">
        <f t="shared" si="79"/>
        <v>26</v>
      </c>
      <c r="Q793">
        <v>26</v>
      </c>
      <c r="R793" t="s">
        <v>1269</v>
      </c>
      <c r="S793">
        <v>0.63900000000000001</v>
      </c>
      <c r="T793">
        <v>0.25609999999999999</v>
      </c>
      <c r="U793">
        <f t="shared" si="80"/>
        <v>0</v>
      </c>
      <c r="V793" t="str">
        <f t="shared" si="77"/>
        <v>Middle Health/
Related Services</v>
      </c>
      <c r="W793" t="str">
        <f t="shared" si="78"/>
        <v>Health/
Related Services</v>
      </c>
    </row>
    <row r="794" spans="1:23" x14ac:dyDescent="0.25">
      <c r="A794">
        <v>14068</v>
      </c>
      <c r="B794" t="s">
        <v>1275</v>
      </c>
      <c r="C794">
        <v>1</v>
      </c>
      <c r="D794" t="s">
        <v>1264</v>
      </c>
      <c r="E794">
        <v>100077</v>
      </c>
      <c r="F794">
        <v>14068</v>
      </c>
      <c r="G794" t="str">
        <f t="shared" si="76"/>
        <v>14068</v>
      </c>
      <c r="H794" t="s">
        <v>376</v>
      </c>
      <c r="I794" t="s">
        <v>1265</v>
      </c>
      <c r="J794" t="s">
        <v>1276</v>
      </c>
      <c r="K794" t="s">
        <v>1277</v>
      </c>
      <c r="L794" t="s">
        <v>1275</v>
      </c>
      <c r="M794" t="s">
        <v>1278</v>
      </c>
      <c r="N794">
        <v>1</v>
      </c>
      <c r="O794" t="str">
        <f t="shared" si="79"/>
        <v>42</v>
      </c>
      <c r="P794">
        <v>42</v>
      </c>
      <c r="R794" t="s">
        <v>1269</v>
      </c>
      <c r="S794">
        <v>1</v>
      </c>
      <c r="T794">
        <v>0.25609999999999999</v>
      </c>
      <c r="U794">
        <f t="shared" si="80"/>
        <v>0</v>
      </c>
      <c r="V794" t="str">
        <f t="shared" si="77"/>
        <v>Elementary Counselor</v>
      </c>
      <c r="W794" t="str">
        <f t="shared" si="78"/>
        <v>Counselor</v>
      </c>
    </row>
    <row r="795" spans="1:23" x14ac:dyDescent="0.25">
      <c r="A795">
        <v>14068</v>
      </c>
      <c r="B795" t="s">
        <v>1270</v>
      </c>
      <c r="C795">
        <v>0.78</v>
      </c>
      <c r="D795" t="s">
        <v>1264</v>
      </c>
      <c r="E795">
        <v>100077</v>
      </c>
      <c r="F795">
        <v>14068</v>
      </c>
      <c r="G795" t="str">
        <f t="shared" si="76"/>
        <v>14068</v>
      </c>
      <c r="H795" t="s">
        <v>376</v>
      </c>
      <c r="I795" t="s">
        <v>1265</v>
      </c>
      <c r="J795" t="s">
        <v>1271</v>
      </c>
      <c r="K795" t="s">
        <v>1272</v>
      </c>
      <c r="L795" t="s">
        <v>1270</v>
      </c>
      <c r="M795" t="s">
        <v>1273</v>
      </c>
      <c r="N795">
        <v>1</v>
      </c>
      <c r="O795" t="str">
        <f t="shared" si="79"/>
        <v>42</v>
      </c>
      <c r="P795">
        <v>42</v>
      </c>
      <c r="R795" t="s">
        <v>1269</v>
      </c>
      <c r="S795">
        <v>0.78</v>
      </c>
      <c r="T795">
        <v>0.25609999999999999</v>
      </c>
      <c r="U795">
        <f t="shared" si="80"/>
        <v>0</v>
      </c>
      <c r="V795" t="str">
        <f t="shared" si="77"/>
        <v>High Counselor</v>
      </c>
      <c r="W795" t="str">
        <f t="shared" si="78"/>
        <v>Counselor</v>
      </c>
    </row>
    <row r="796" spans="1:23" x14ac:dyDescent="0.25">
      <c r="A796">
        <v>14068</v>
      </c>
      <c r="B796" t="s">
        <v>1263</v>
      </c>
      <c r="C796">
        <v>0.79</v>
      </c>
      <c r="D796" t="s">
        <v>1264</v>
      </c>
      <c r="E796">
        <v>100077</v>
      </c>
      <c r="F796">
        <v>14068</v>
      </c>
      <c r="G796" t="str">
        <f t="shared" si="76"/>
        <v>14068</v>
      </c>
      <c r="H796" t="s">
        <v>376</v>
      </c>
      <c r="I796" t="s">
        <v>1265</v>
      </c>
      <c r="J796" t="s">
        <v>1266</v>
      </c>
      <c r="K796" t="s">
        <v>1267</v>
      </c>
      <c r="L796" t="s">
        <v>1263</v>
      </c>
      <c r="M796" t="s">
        <v>1268</v>
      </c>
      <c r="N796">
        <v>1</v>
      </c>
      <c r="O796" t="str">
        <f t="shared" si="79"/>
        <v>42</v>
      </c>
      <c r="P796">
        <v>42</v>
      </c>
      <c r="R796" t="s">
        <v>1269</v>
      </c>
      <c r="S796">
        <v>0.79</v>
      </c>
      <c r="T796">
        <v>0.25609999999999999</v>
      </c>
      <c r="U796">
        <f t="shared" si="80"/>
        <v>0</v>
      </c>
      <c r="V796" t="str">
        <f t="shared" si="77"/>
        <v>Middle Counselor</v>
      </c>
      <c r="W796" t="str">
        <f t="shared" si="78"/>
        <v>Counselor</v>
      </c>
    </row>
    <row r="797" spans="1:23" x14ac:dyDescent="0.25">
      <c r="A797">
        <v>14068</v>
      </c>
      <c r="B797" t="s">
        <v>1294</v>
      </c>
      <c r="C797">
        <v>0.75</v>
      </c>
      <c r="D797" t="s">
        <v>1264</v>
      </c>
      <c r="E797">
        <v>100077</v>
      </c>
      <c r="F797">
        <v>14068</v>
      </c>
      <c r="G797" t="str">
        <f t="shared" si="76"/>
        <v>14068</v>
      </c>
      <c r="H797" t="s">
        <v>376</v>
      </c>
      <c r="I797" t="s">
        <v>1265</v>
      </c>
      <c r="J797" t="s">
        <v>1276</v>
      </c>
      <c r="K797" t="s">
        <v>1277</v>
      </c>
      <c r="L797" t="s">
        <v>1294</v>
      </c>
      <c r="M797" t="s">
        <v>1354</v>
      </c>
      <c r="N797">
        <v>21</v>
      </c>
      <c r="O797" t="str">
        <f t="shared" si="79"/>
        <v>45</v>
      </c>
      <c r="P797">
        <v>45</v>
      </c>
      <c r="R797" t="s">
        <v>1269</v>
      </c>
      <c r="S797">
        <v>0.75</v>
      </c>
      <c r="T797">
        <v>0.25609999999999999</v>
      </c>
      <c r="U797">
        <f t="shared" si="80"/>
        <v>0.192</v>
      </c>
      <c r="V797" t="str">
        <f t="shared" si="77"/>
        <v>Elementary Speech, Language Pathway/
Audio</v>
      </c>
      <c r="W797" t="str">
        <f t="shared" si="78"/>
        <v>Speech, Language Pathway/
Audio</v>
      </c>
    </row>
    <row r="798" spans="1:23" x14ac:dyDescent="0.25">
      <c r="A798">
        <v>14068</v>
      </c>
      <c r="B798" t="s">
        <v>1326</v>
      </c>
      <c r="C798">
        <v>0.15</v>
      </c>
      <c r="D798" t="s">
        <v>1264</v>
      </c>
      <c r="E798">
        <v>100077</v>
      </c>
      <c r="F798">
        <v>14068</v>
      </c>
      <c r="G798" t="str">
        <f t="shared" si="76"/>
        <v>14068</v>
      </c>
      <c r="H798" t="s">
        <v>376</v>
      </c>
      <c r="I798" t="s">
        <v>1265</v>
      </c>
      <c r="J798" t="s">
        <v>1271</v>
      </c>
      <c r="K798" t="s">
        <v>1272</v>
      </c>
      <c r="L798" t="s">
        <v>1326</v>
      </c>
      <c r="M798" t="s">
        <v>1353</v>
      </c>
      <c r="N798">
        <v>21</v>
      </c>
      <c r="O798" t="str">
        <f t="shared" si="79"/>
        <v>45</v>
      </c>
      <c r="P798">
        <v>45</v>
      </c>
      <c r="R798" t="s">
        <v>1269</v>
      </c>
      <c r="S798">
        <v>0.15</v>
      </c>
      <c r="T798">
        <v>0.25609999999999999</v>
      </c>
      <c r="U798">
        <f t="shared" si="80"/>
        <v>3.7999999999999999E-2</v>
      </c>
      <c r="V798" t="str">
        <f t="shared" si="77"/>
        <v>High Speech, Language Pathway/
Audio</v>
      </c>
      <c r="W798" t="str">
        <f t="shared" si="78"/>
        <v>Speech, Language Pathway/
Audio</v>
      </c>
    </row>
    <row r="799" spans="1:23" x14ac:dyDescent="0.25">
      <c r="A799">
        <v>14068</v>
      </c>
      <c r="B799" t="s">
        <v>1312</v>
      </c>
      <c r="C799">
        <v>0.1</v>
      </c>
      <c r="D799" t="s">
        <v>1264</v>
      </c>
      <c r="E799">
        <v>100077</v>
      </c>
      <c r="F799">
        <v>14068</v>
      </c>
      <c r="G799" t="str">
        <f t="shared" si="76"/>
        <v>14068</v>
      </c>
      <c r="H799" t="s">
        <v>376</v>
      </c>
      <c r="I799" t="s">
        <v>1265</v>
      </c>
      <c r="J799" t="s">
        <v>1266</v>
      </c>
      <c r="K799" t="s">
        <v>1267</v>
      </c>
      <c r="L799" t="s">
        <v>1312</v>
      </c>
      <c r="M799" t="s">
        <v>1351</v>
      </c>
      <c r="N799">
        <v>21</v>
      </c>
      <c r="O799" t="str">
        <f t="shared" si="79"/>
        <v>45</v>
      </c>
      <c r="P799">
        <v>45</v>
      </c>
      <c r="R799" t="s">
        <v>1269</v>
      </c>
      <c r="S799">
        <v>0.1</v>
      </c>
      <c r="T799">
        <v>0.25609999999999999</v>
      </c>
      <c r="U799">
        <f t="shared" si="80"/>
        <v>2.5999999999999999E-2</v>
      </c>
      <c r="V799" t="str">
        <f t="shared" si="77"/>
        <v>Middle Speech, Language Pathway/
Audio</v>
      </c>
      <c r="W799" t="str">
        <f t="shared" si="78"/>
        <v>Speech, Language Pathway/
Audio</v>
      </c>
    </row>
    <row r="800" spans="1:23" x14ac:dyDescent="0.25">
      <c r="A800">
        <v>14068</v>
      </c>
      <c r="B800" t="s">
        <v>1298</v>
      </c>
      <c r="C800">
        <v>0.33</v>
      </c>
      <c r="D800" t="s">
        <v>1264</v>
      </c>
      <c r="E800">
        <v>100077</v>
      </c>
      <c r="F800">
        <v>14068</v>
      </c>
      <c r="G800" t="str">
        <f t="shared" si="76"/>
        <v>14068</v>
      </c>
      <c r="H800" t="s">
        <v>376</v>
      </c>
      <c r="I800" t="s">
        <v>1265</v>
      </c>
      <c r="J800" t="s">
        <v>1276</v>
      </c>
      <c r="K800" t="s">
        <v>1277</v>
      </c>
      <c r="L800" t="s">
        <v>1298</v>
      </c>
      <c r="M800" t="s">
        <v>1349</v>
      </c>
      <c r="N800">
        <v>21</v>
      </c>
      <c r="O800" t="str">
        <f t="shared" si="79"/>
        <v>46</v>
      </c>
      <c r="P800">
        <v>46</v>
      </c>
      <c r="R800" t="s">
        <v>1269</v>
      </c>
      <c r="S800">
        <v>0.33</v>
      </c>
      <c r="T800">
        <v>0.25609999999999999</v>
      </c>
      <c r="U800">
        <f t="shared" si="80"/>
        <v>8.5000000000000006E-2</v>
      </c>
      <c r="V800" t="str">
        <f t="shared" si="77"/>
        <v>Elementary Psychologist</v>
      </c>
      <c r="W800" t="str">
        <f t="shared" si="78"/>
        <v>Psychologist</v>
      </c>
    </row>
    <row r="801" spans="1:23" x14ac:dyDescent="0.25">
      <c r="A801">
        <v>14068</v>
      </c>
      <c r="B801" t="s">
        <v>1309</v>
      </c>
      <c r="C801">
        <v>0.5</v>
      </c>
      <c r="D801" t="s">
        <v>1264</v>
      </c>
      <c r="E801">
        <v>100077</v>
      </c>
      <c r="F801">
        <v>14068</v>
      </c>
      <c r="G801" t="str">
        <f t="shared" si="76"/>
        <v>14068</v>
      </c>
      <c r="H801" t="s">
        <v>376</v>
      </c>
      <c r="I801" t="s">
        <v>1265</v>
      </c>
      <c r="J801" t="s">
        <v>1271</v>
      </c>
      <c r="K801" t="s">
        <v>1272</v>
      </c>
      <c r="L801" t="s">
        <v>1309</v>
      </c>
      <c r="M801" t="s">
        <v>1310</v>
      </c>
      <c r="N801">
        <v>21</v>
      </c>
      <c r="O801" t="str">
        <f t="shared" si="79"/>
        <v>46</v>
      </c>
      <c r="P801">
        <v>46</v>
      </c>
      <c r="R801" t="s">
        <v>1269</v>
      </c>
      <c r="S801">
        <v>0.5</v>
      </c>
      <c r="T801">
        <v>0.25609999999999999</v>
      </c>
      <c r="U801">
        <f t="shared" si="80"/>
        <v>0.128</v>
      </c>
      <c r="V801" t="str">
        <f t="shared" si="77"/>
        <v>High Psychologist</v>
      </c>
      <c r="W801" t="str">
        <f t="shared" si="78"/>
        <v>Psychologist</v>
      </c>
    </row>
    <row r="802" spans="1:23" x14ac:dyDescent="0.25">
      <c r="A802">
        <v>14068</v>
      </c>
      <c r="B802" t="s">
        <v>1345</v>
      </c>
      <c r="C802">
        <v>0.83</v>
      </c>
      <c r="D802" t="s">
        <v>1264</v>
      </c>
      <c r="E802">
        <v>100077</v>
      </c>
      <c r="F802">
        <v>14068</v>
      </c>
      <c r="G802" t="str">
        <f t="shared" si="76"/>
        <v>14068</v>
      </c>
      <c r="H802" t="s">
        <v>376</v>
      </c>
      <c r="I802" t="s">
        <v>1265</v>
      </c>
      <c r="J802" t="s">
        <v>1266</v>
      </c>
      <c r="K802" t="s">
        <v>1267</v>
      </c>
      <c r="L802" t="s">
        <v>1345</v>
      </c>
      <c r="M802" t="s">
        <v>1346</v>
      </c>
      <c r="N802">
        <v>21</v>
      </c>
      <c r="O802" t="str">
        <f t="shared" si="79"/>
        <v>46</v>
      </c>
      <c r="P802">
        <v>46</v>
      </c>
      <c r="R802" t="s">
        <v>1269</v>
      </c>
      <c r="S802">
        <v>0.83</v>
      </c>
      <c r="T802">
        <v>0.25609999999999999</v>
      </c>
      <c r="U802">
        <f t="shared" si="80"/>
        <v>0.21299999999999999</v>
      </c>
      <c r="V802" t="str">
        <f t="shared" si="77"/>
        <v>Middle Psychologist</v>
      </c>
      <c r="W802" t="str">
        <f t="shared" si="78"/>
        <v>Psychologist</v>
      </c>
    </row>
    <row r="803" spans="1:23" x14ac:dyDescent="0.25">
      <c r="A803">
        <v>14077</v>
      </c>
      <c r="B803" t="s">
        <v>1311</v>
      </c>
      <c r="C803">
        <v>0.222</v>
      </c>
      <c r="D803" t="s">
        <v>1264</v>
      </c>
      <c r="E803">
        <v>100262</v>
      </c>
      <c r="F803">
        <v>14077</v>
      </c>
      <c r="G803" t="str">
        <f t="shared" si="76"/>
        <v>14077</v>
      </c>
      <c r="H803" t="s">
        <v>377</v>
      </c>
      <c r="I803" t="s">
        <v>1265</v>
      </c>
      <c r="J803" t="s">
        <v>1276</v>
      </c>
      <c r="K803" t="s">
        <v>1277</v>
      </c>
      <c r="L803" t="s">
        <v>1311</v>
      </c>
      <c r="M803" t="s">
        <v>1327</v>
      </c>
      <c r="N803">
        <v>21</v>
      </c>
      <c r="O803" t="str">
        <f t="shared" si="79"/>
        <v>26</v>
      </c>
      <c r="Q803">
        <v>26</v>
      </c>
      <c r="R803" t="s">
        <v>1269</v>
      </c>
      <c r="S803">
        <v>0.222</v>
      </c>
      <c r="T803">
        <v>0.1137</v>
      </c>
      <c r="U803">
        <f t="shared" si="80"/>
        <v>2.5000000000000001E-2</v>
      </c>
      <c r="V803" t="str">
        <f t="shared" si="77"/>
        <v>Elementary Health/
Related Services</v>
      </c>
      <c r="W803" t="str">
        <f t="shared" si="78"/>
        <v>Health/
Related Services</v>
      </c>
    </row>
    <row r="804" spans="1:23" x14ac:dyDescent="0.25">
      <c r="A804">
        <v>14077</v>
      </c>
      <c r="B804" t="s">
        <v>1295</v>
      </c>
      <c r="C804">
        <v>1.224</v>
      </c>
      <c r="D804" t="s">
        <v>1264</v>
      </c>
      <c r="E804">
        <v>100262</v>
      </c>
      <c r="F804">
        <v>14077</v>
      </c>
      <c r="G804" t="str">
        <f t="shared" si="76"/>
        <v>14077</v>
      </c>
      <c r="H804" t="s">
        <v>377</v>
      </c>
      <c r="I804" t="s">
        <v>1265</v>
      </c>
      <c r="J804" t="s">
        <v>1271</v>
      </c>
      <c r="K804" t="s">
        <v>1272</v>
      </c>
      <c r="L804" t="s">
        <v>1295</v>
      </c>
      <c r="M804" t="s">
        <v>1296</v>
      </c>
      <c r="N804">
        <v>1</v>
      </c>
      <c r="O804" t="str">
        <f t="shared" si="79"/>
        <v>26</v>
      </c>
      <c r="Q804">
        <v>26</v>
      </c>
      <c r="R804" t="s">
        <v>1269</v>
      </c>
      <c r="S804">
        <v>1.224</v>
      </c>
      <c r="T804">
        <v>0.1137</v>
      </c>
      <c r="U804">
        <f t="shared" si="80"/>
        <v>0</v>
      </c>
      <c r="V804" t="str">
        <f t="shared" si="77"/>
        <v>High Health/
Related Services</v>
      </c>
      <c r="W804" t="str">
        <f t="shared" si="78"/>
        <v>Health/
Related Services</v>
      </c>
    </row>
    <row r="805" spans="1:23" x14ac:dyDescent="0.25">
      <c r="A805">
        <v>14097</v>
      </c>
      <c r="B805" t="s">
        <v>1308</v>
      </c>
      <c r="C805">
        <v>0.16800000000000001</v>
      </c>
      <c r="D805" t="s">
        <v>1264</v>
      </c>
      <c r="E805">
        <v>100211</v>
      </c>
      <c r="F805">
        <v>14097</v>
      </c>
      <c r="G805" t="str">
        <f t="shared" si="76"/>
        <v>14097</v>
      </c>
      <c r="H805" t="s">
        <v>378</v>
      </c>
      <c r="I805" t="s">
        <v>1265</v>
      </c>
      <c r="J805" t="s">
        <v>1276</v>
      </c>
      <c r="K805" t="s">
        <v>1277</v>
      </c>
      <c r="L805" t="s">
        <v>1308</v>
      </c>
      <c r="M805" t="s">
        <v>1389</v>
      </c>
      <c r="N805">
        <v>1</v>
      </c>
      <c r="O805" t="str">
        <f t="shared" si="79"/>
        <v>25</v>
      </c>
      <c r="Q805">
        <v>25</v>
      </c>
      <c r="R805" t="s">
        <v>1269</v>
      </c>
      <c r="S805">
        <v>0.16800000000000001</v>
      </c>
      <c r="T805">
        <v>0.1913</v>
      </c>
      <c r="U805">
        <f t="shared" si="80"/>
        <v>0</v>
      </c>
      <c r="V805" t="str">
        <f t="shared" si="77"/>
        <v>Elementary Pupil Management</v>
      </c>
      <c r="W805" t="str">
        <f t="shared" si="78"/>
        <v>Pupil Management</v>
      </c>
    </row>
    <row r="806" spans="1:23" x14ac:dyDescent="0.25">
      <c r="A806">
        <v>14097</v>
      </c>
      <c r="B806" t="s">
        <v>1299</v>
      </c>
      <c r="C806">
        <v>0.34300000000000003</v>
      </c>
      <c r="D806" t="s">
        <v>1264</v>
      </c>
      <c r="E806">
        <v>100211</v>
      </c>
      <c r="F806">
        <v>14097</v>
      </c>
      <c r="G806" t="str">
        <f t="shared" si="76"/>
        <v>14097</v>
      </c>
      <c r="H806" t="s">
        <v>378</v>
      </c>
      <c r="I806" t="s">
        <v>1265</v>
      </c>
      <c r="J806" t="s">
        <v>1271</v>
      </c>
      <c r="K806" t="s">
        <v>1272</v>
      </c>
      <c r="L806" t="s">
        <v>1299</v>
      </c>
      <c r="M806" t="s">
        <v>1300</v>
      </c>
      <c r="N806">
        <v>1</v>
      </c>
      <c r="O806" t="str">
        <f t="shared" si="79"/>
        <v>25</v>
      </c>
      <c r="Q806">
        <v>25</v>
      </c>
      <c r="R806" t="s">
        <v>1269</v>
      </c>
      <c r="S806">
        <v>0.34300000000000003</v>
      </c>
      <c r="T806">
        <v>0.1913</v>
      </c>
      <c r="U806">
        <f t="shared" si="80"/>
        <v>0</v>
      </c>
      <c r="V806" t="str">
        <f t="shared" si="77"/>
        <v>High Pupil Management</v>
      </c>
      <c r="W806" t="str">
        <f t="shared" si="78"/>
        <v>Pupil Management</v>
      </c>
    </row>
    <row r="807" spans="1:23" x14ac:dyDescent="0.25">
      <c r="A807">
        <v>14097</v>
      </c>
      <c r="B807" t="s">
        <v>1270</v>
      </c>
      <c r="C807">
        <v>0.3</v>
      </c>
      <c r="D807" t="s">
        <v>1264</v>
      </c>
      <c r="E807">
        <v>100211</v>
      </c>
      <c r="F807">
        <v>14097</v>
      </c>
      <c r="G807" t="str">
        <f t="shared" si="76"/>
        <v>14097</v>
      </c>
      <c r="H807" t="s">
        <v>378</v>
      </c>
      <c r="I807" t="s">
        <v>1265</v>
      </c>
      <c r="J807" t="s">
        <v>1271</v>
      </c>
      <c r="K807" t="s">
        <v>1272</v>
      </c>
      <c r="L807" t="s">
        <v>1270</v>
      </c>
      <c r="M807" t="s">
        <v>1273</v>
      </c>
      <c r="N807">
        <v>1</v>
      </c>
      <c r="O807" t="str">
        <f t="shared" si="79"/>
        <v>42</v>
      </c>
      <c r="P807">
        <v>42</v>
      </c>
      <c r="R807" t="s">
        <v>1269</v>
      </c>
      <c r="S807">
        <v>0.3</v>
      </c>
      <c r="T807">
        <v>0.1913</v>
      </c>
      <c r="U807">
        <f t="shared" si="80"/>
        <v>0</v>
      </c>
      <c r="V807" t="str">
        <f t="shared" si="77"/>
        <v>High Counselor</v>
      </c>
      <c r="W807" t="str">
        <f t="shared" si="78"/>
        <v>Counselor</v>
      </c>
    </row>
    <row r="808" spans="1:23" x14ac:dyDescent="0.25">
      <c r="A808">
        <v>14099</v>
      </c>
      <c r="B808" t="s">
        <v>1297</v>
      </c>
      <c r="C808">
        <v>0.36299999999999999</v>
      </c>
      <c r="D808" t="s">
        <v>1264</v>
      </c>
      <c r="E808">
        <v>100056</v>
      </c>
      <c r="F808">
        <v>14099</v>
      </c>
      <c r="G808" t="str">
        <f t="shared" si="76"/>
        <v>14099</v>
      </c>
      <c r="H808" t="s">
        <v>379</v>
      </c>
      <c r="I808" t="s">
        <v>1265</v>
      </c>
      <c r="J808" t="s">
        <v>1276</v>
      </c>
      <c r="K808" t="s">
        <v>1277</v>
      </c>
      <c r="L808" t="s">
        <v>1297</v>
      </c>
      <c r="M808" t="s">
        <v>1381</v>
      </c>
      <c r="N808">
        <v>1</v>
      </c>
      <c r="O808" t="str">
        <f t="shared" si="79"/>
        <v>24</v>
      </c>
      <c r="P808">
        <v>96</v>
      </c>
      <c r="Q808">
        <v>24</v>
      </c>
      <c r="R808" t="s">
        <v>1269</v>
      </c>
      <c r="S808">
        <v>0.36299999999999999</v>
      </c>
      <c r="T808">
        <v>0.26879999999999998</v>
      </c>
      <c r="U808">
        <f t="shared" si="80"/>
        <v>0</v>
      </c>
      <c r="V808" t="str">
        <f t="shared" si="77"/>
        <v>Elementary Family Engagement Coordinator</v>
      </c>
      <c r="W808" t="str">
        <f t="shared" si="78"/>
        <v>Family Engagement Coordinator</v>
      </c>
    </row>
    <row r="809" spans="1:23" x14ac:dyDescent="0.25">
      <c r="A809">
        <v>14099</v>
      </c>
      <c r="B809" t="s">
        <v>1299</v>
      </c>
      <c r="C809">
        <v>0.88300000000000001</v>
      </c>
      <c r="D809" t="s">
        <v>1264</v>
      </c>
      <c r="E809">
        <v>100056</v>
      </c>
      <c r="F809">
        <v>14099</v>
      </c>
      <c r="G809" t="str">
        <f t="shared" si="76"/>
        <v>14099</v>
      </c>
      <c r="H809" t="s">
        <v>379</v>
      </c>
      <c r="I809" t="s">
        <v>1265</v>
      </c>
      <c r="J809" t="s">
        <v>1271</v>
      </c>
      <c r="K809" t="s">
        <v>1272</v>
      </c>
      <c r="L809" t="s">
        <v>1299</v>
      </c>
      <c r="M809" t="s">
        <v>1300</v>
      </c>
      <c r="N809">
        <v>1</v>
      </c>
      <c r="O809" t="str">
        <f t="shared" si="79"/>
        <v>25</v>
      </c>
      <c r="Q809">
        <v>25</v>
      </c>
      <c r="R809" t="s">
        <v>1269</v>
      </c>
      <c r="S809">
        <v>0.88300000000000001</v>
      </c>
      <c r="T809">
        <v>0.26879999999999998</v>
      </c>
      <c r="U809">
        <f t="shared" si="80"/>
        <v>0</v>
      </c>
      <c r="V809" t="str">
        <f t="shared" si="77"/>
        <v>High Pupil Management</v>
      </c>
      <c r="W809" t="str">
        <f t="shared" si="78"/>
        <v>Pupil Management</v>
      </c>
    </row>
    <row r="810" spans="1:23" x14ac:dyDescent="0.25">
      <c r="A810">
        <v>14099</v>
      </c>
      <c r="B810" t="s">
        <v>1275</v>
      </c>
      <c r="C810">
        <v>0.57199999999999995</v>
      </c>
      <c r="D810" t="s">
        <v>1264</v>
      </c>
      <c r="E810">
        <v>100056</v>
      </c>
      <c r="F810">
        <v>14099</v>
      </c>
      <c r="G810" t="str">
        <f t="shared" si="76"/>
        <v>14099</v>
      </c>
      <c r="H810" t="s">
        <v>379</v>
      </c>
      <c r="I810" t="s">
        <v>1265</v>
      </c>
      <c r="J810" t="s">
        <v>1276</v>
      </c>
      <c r="K810" t="s">
        <v>1277</v>
      </c>
      <c r="L810" t="s">
        <v>1275</v>
      </c>
      <c r="M810" t="s">
        <v>1278</v>
      </c>
      <c r="N810">
        <v>1</v>
      </c>
      <c r="O810" t="str">
        <f t="shared" si="79"/>
        <v>42</v>
      </c>
      <c r="P810">
        <v>42</v>
      </c>
      <c r="R810" t="s">
        <v>1269</v>
      </c>
      <c r="S810">
        <v>0.57199999999999995</v>
      </c>
      <c r="T810">
        <v>0.26879999999999998</v>
      </c>
      <c r="U810">
        <f t="shared" si="80"/>
        <v>0</v>
      </c>
      <c r="V810" t="str">
        <f t="shared" si="77"/>
        <v>Elementary Counselor</v>
      </c>
      <c r="W810" t="str">
        <f t="shared" si="78"/>
        <v>Counselor</v>
      </c>
    </row>
    <row r="811" spans="1:23" x14ac:dyDescent="0.25">
      <c r="A811">
        <v>14099</v>
      </c>
      <c r="B811" t="s">
        <v>1306</v>
      </c>
      <c r="C811">
        <v>0.20599999999999999</v>
      </c>
      <c r="D811" t="s">
        <v>1264</v>
      </c>
      <c r="E811">
        <v>100056</v>
      </c>
      <c r="F811">
        <v>14099</v>
      </c>
      <c r="G811" t="str">
        <f t="shared" si="76"/>
        <v>14099</v>
      </c>
      <c r="H811" t="s">
        <v>379</v>
      </c>
      <c r="I811" t="s">
        <v>1265</v>
      </c>
      <c r="J811" t="s">
        <v>1276</v>
      </c>
      <c r="K811" t="s">
        <v>1277</v>
      </c>
      <c r="L811" t="s">
        <v>1306</v>
      </c>
      <c r="M811" t="s">
        <v>1320</v>
      </c>
      <c r="N811">
        <v>21</v>
      </c>
      <c r="O811" t="str">
        <f t="shared" si="79"/>
        <v>64</v>
      </c>
      <c r="P811">
        <v>64</v>
      </c>
      <c r="R811" t="s">
        <v>1269</v>
      </c>
      <c r="S811">
        <v>0.20599999999999999</v>
      </c>
      <c r="T811">
        <v>0.26879999999999998</v>
      </c>
      <c r="U811">
        <f t="shared" si="80"/>
        <v>5.5E-2</v>
      </c>
      <c r="V811" t="str">
        <f t="shared" si="77"/>
        <v>Elementary Contractor ESA</v>
      </c>
      <c r="W811" t="str">
        <f t="shared" si="78"/>
        <v>Contractor ESA</v>
      </c>
    </row>
    <row r="812" spans="1:23" x14ac:dyDescent="0.25">
      <c r="A812">
        <v>14117</v>
      </c>
      <c r="B812" t="s">
        <v>1270</v>
      </c>
      <c r="C812">
        <v>0.53300000000000003</v>
      </c>
      <c r="D812" t="s">
        <v>1264</v>
      </c>
      <c r="E812">
        <v>100300</v>
      </c>
      <c r="F812">
        <v>14117</v>
      </c>
      <c r="G812" t="str">
        <f t="shared" si="76"/>
        <v>14117</v>
      </c>
      <c r="H812" t="s">
        <v>381</v>
      </c>
      <c r="I812" t="s">
        <v>1265</v>
      </c>
      <c r="J812" t="s">
        <v>1271</v>
      </c>
      <c r="K812" t="s">
        <v>1272</v>
      </c>
      <c r="L812" t="s">
        <v>1270</v>
      </c>
      <c r="M812" t="s">
        <v>1273</v>
      </c>
      <c r="N812">
        <v>1</v>
      </c>
      <c r="O812" t="str">
        <f t="shared" si="79"/>
        <v>42</v>
      </c>
      <c r="P812">
        <v>42</v>
      </c>
      <c r="R812" t="s">
        <v>1269</v>
      </c>
      <c r="S812">
        <v>0.53300000000000003</v>
      </c>
      <c r="T812">
        <v>0.1414</v>
      </c>
      <c r="U812">
        <f t="shared" si="80"/>
        <v>0</v>
      </c>
      <c r="V812" t="str">
        <f t="shared" si="77"/>
        <v>High Counselor</v>
      </c>
      <c r="W812" t="str">
        <f t="shared" si="78"/>
        <v>Counselor</v>
      </c>
    </row>
    <row r="813" spans="1:23" x14ac:dyDescent="0.25">
      <c r="A813">
        <v>14172</v>
      </c>
      <c r="B813" t="s">
        <v>1299</v>
      </c>
      <c r="C813">
        <v>0.626</v>
      </c>
      <c r="D813" t="s">
        <v>1264</v>
      </c>
      <c r="E813">
        <v>100179</v>
      </c>
      <c r="F813">
        <v>14172</v>
      </c>
      <c r="G813" t="str">
        <f t="shared" si="76"/>
        <v>14172</v>
      </c>
      <c r="H813" t="s">
        <v>382</v>
      </c>
      <c r="I813" t="s">
        <v>1265</v>
      </c>
      <c r="J813" t="s">
        <v>1271</v>
      </c>
      <c r="K813" t="s">
        <v>1272</v>
      </c>
      <c r="L813" t="s">
        <v>1299</v>
      </c>
      <c r="M813" t="s">
        <v>1300</v>
      </c>
      <c r="N813">
        <v>1</v>
      </c>
      <c r="O813" t="str">
        <f t="shared" si="79"/>
        <v>25</v>
      </c>
      <c r="Q813">
        <v>25</v>
      </c>
      <c r="R813" t="s">
        <v>1269</v>
      </c>
      <c r="S813">
        <v>0.626</v>
      </c>
      <c r="T813">
        <v>0.16159999999999999</v>
      </c>
      <c r="U813">
        <f t="shared" si="80"/>
        <v>0</v>
      </c>
      <c r="V813" t="str">
        <f t="shared" si="77"/>
        <v>High Pupil Management</v>
      </c>
      <c r="W813" t="str">
        <f t="shared" si="78"/>
        <v>Pupil Management</v>
      </c>
    </row>
    <row r="814" spans="1:23" x14ac:dyDescent="0.25">
      <c r="A814">
        <v>14172</v>
      </c>
      <c r="B814" t="s">
        <v>1275</v>
      </c>
      <c r="C814">
        <v>1</v>
      </c>
      <c r="D814" t="s">
        <v>1264</v>
      </c>
      <c r="E814">
        <v>100179</v>
      </c>
      <c r="F814">
        <v>14172</v>
      </c>
      <c r="G814" t="str">
        <f t="shared" si="76"/>
        <v>14172</v>
      </c>
      <c r="H814" t="s">
        <v>382</v>
      </c>
      <c r="I814" t="s">
        <v>1265</v>
      </c>
      <c r="J814" t="s">
        <v>1276</v>
      </c>
      <c r="K814" t="s">
        <v>1277</v>
      </c>
      <c r="L814" t="s">
        <v>1275</v>
      </c>
      <c r="M814" t="s">
        <v>1278</v>
      </c>
      <c r="N814">
        <v>1</v>
      </c>
      <c r="O814" t="str">
        <f t="shared" si="79"/>
        <v>42</v>
      </c>
      <c r="P814">
        <v>42</v>
      </c>
      <c r="R814" t="s">
        <v>1269</v>
      </c>
      <c r="S814">
        <v>1</v>
      </c>
      <c r="T814">
        <v>0.16159999999999999</v>
      </c>
      <c r="U814">
        <f t="shared" si="80"/>
        <v>0</v>
      </c>
      <c r="V814" t="str">
        <f t="shared" si="77"/>
        <v>Elementary Counselor</v>
      </c>
      <c r="W814" t="str">
        <f t="shared" si="78"/>
        <v>Counselor</v>
      </c>
    </row>
    <row r="815" spans="1:23" x14ac:dyDescent="0.25">
      <c r="A815">
        <v>14172</v>
      </c>
      <c r="B815" t="s">
        <v>1270</v>
      </c>
      <c r="C815">
        <v>0.5</v>
      </c>
      <c r="D815" t="s">
        <v>1264</v>
      </c>
      <c r="E815">
        <v>100179</v>
      </c>
      <c r="F815">
        <v>14172</v>
      </c>
      <c r="G815" t="str">
        <f t="shared" si="76"/>
        <v>14172</v>
      </c>
      <c r="H815" t="s">
        <v>382</v>
      </c>
      <c r="I815" t="s">
        <v>1265</v>
      </c>
      <c r="J815" t="s">
        <v>1271</v>
      </c>
      <c r="K815" t="s">
        <v>1272</v>
      </c>
      <c r="L815" t="s">
        <v>1270</v>
      </c>
      <c r="M815" t="s">
        <v>1273</v>
      </c>
      <c r="N815">
        <v>1</v>
      </c>
      <c r="O815" t="str">
        <f t="shared" si="79"/>
        <v>42</v>
      </c>
      <c r="P815">
        <v>42</v>
      </c>
      <c r="R815" t="s">
        <v>1269</v>
      </c>
      <c r="S815">
        <v>0.5</v>
      </c>
      <c r="T815">
        <v>0.16159999999999999</v>
      </c>
      <c r="U815">
        <f t="shared" si="80"/>
        <v>0</v>
      </c>
      <c r="V815" t="str">
        <f t="shared" si="77"/>
        <v>High Counselor</v>
      </c>
      <c r="W815" t="str">
        <f t="shared" si="78"/>
        <v>Counselor</v>
      </c>
    </row>
    <row r="816" spans="1:23" x14ac:dyDescent="0.25">
      <c r="A816">
        <v>14172</v>
      </c>
      <c r="B816" t="s">
        <v>1263</v>
      </c>
      <c r="C816">
        <v>0.5</v>
      </c>
      <c r="D816" t="s">
        <v>1264</v>
      </c>
      <c r="E816">
        <v>100179</v>
      </c>
      <c r="F816">
        <v>14172</v>
      </c>
      <c r="G816" t="str">
        <f t="shared" si="76"/>
        <v>14172</v>
      </c>
      <c r="H816" t="s">
        <v>382</v>
      </c>
      <c r="I816" t="s">
        <v>1265</v>
      </c>
      <c r="J816" t="s">
        <v>1266</v>
      </c>
      <c r="K816" t="s">
        <v>1267</v>
      </c>
      <c r="L816" t="s">
        <v>1263</v>
      </c>
      <c r="M816" t="s">
        <v>1268</v>
      </c>
      <c r="N816">
        <v>1</v>
      </c>
      <c r="O816" t="str">
        <f t="shared" si="79"/>
        <v>42</v>
      </c>
      <c r="P816">
        <v>42</v>
      </c>
      <c r="R816" t="s">
        <v>1269</v>
      </c>
      <c r="S816">
        <v>0.5</v>
      </c>
      <c r="T816">
        <v>0.16159999999999999</v>
      </c>
      <c r="U816">
        <f t="shared" si="80"/>
        <v>0</v>
      </c>
      <c r="V816" t="str">
        <f t="shared" si="77"/>
        <v>Middle Counselor</v>
      </c>
      <c r="W816" t="str">
        <f t="shared" si="78"/>
        <v>Counselor</v>
      </c>
    </row>
    <row r="817" spans="1:23" x14ac:dyDescent="0.25">
      <c r="A817">
        <v>14400</v>
      </c>
      <c r="B817" t="s">
        <v>1324</v>
      </c>
      <c r="C817">
        <v>0.251</v>
      </c>
      <c r="D817" t="s">
        <v>1264</v>
      </c>
      <c r="E817">
        <v>100177</v>
      </c>
      <c r="F817">
        <v>14400</v>
      </c>
      <c r="G817" t="str">
        <f t="shared" si="76"/>
        <v>14400</v>
      </c>
      <c r="H817" t="s">
        <v>383</v>
      </c>
      <c r="I817" t="s">
        <v>1265</v>
      </c>
      <c r="J817" t="s">
        <v>1271</v>
      </c>
      <c r="K817" t="s">
        <v>1272</v>
      </c>
      <c r="L817" t="s">
        <v>1324</v>
      </c>
      <c r="M817" t="s">
        <v>1325</v>
      </c>
      <c r="N817">
        <v>21</v>
      </c>
      <c r="O817" t="str">
        <f t="shared" si="79"/>
        <v>26</v>
      </c>
      <c r="Q817">
        <v>26</v>
      </c>
      <c r="R817" t="s">
        <v>1269</v>
      </c>
      <c r="S817">
        <v>0.251</v>
      </c>
      <c r="T817">
        <v>0.18340000000000001</v>
      </c>
      <c r="U817">
        <f t="shared" si="80"/>
        <v>4.5999999999999999E-2</v>
      </c>
      <c r="V817" t="str">
        <f t="shared" si="77"/>
        <v>High Health/
Related Services</v>
      </c>
      <c r="W817" t="str">
        <f t="shared" si="78"/>
        <v>Health/
Related Services</v>
      </c>
    </row>
    <row r="818" spans="1:23" x14ac:dyDescent="0.25">
      <c r="A818">
        <v>14400</v>
      </c>
      <c r="B818" t="s">
        <v>1275</v>
      </c>
      <c r="C818">
        <v>0.5</v>
      </c>
      <c r="D818" t="s">
        <v>1264</v>
      </c>
      <c r="E818">
        <v>100177</v>
      </c>
      <c r="F818">
        <v>14400</v>
      </c>
      <c r="G818" t="str">
        <f t="shared" si="76"/>
        <v>14400</v>
      </c>
      <c r="H818" t="s">
        <v>383</v>
      </c>
      <c r="I818" t="s">
        <v>1265</v>
      </c>
      <c r="J818" t="s">
        <v>1276</v>
      </c>
      <c r="K818" t="s">
        <v>1277</v>
      </c>
      <c r="L818" t="s">
        <v>1275</v>
      </c>
      <c r="M818" t="s">
        <v>1278</v>
      </c>
      <c r="N818">
        <v>1</v>
      </c>
      <c r="O818" t="str">
        <f t="shared" si="79"/>
        <v>42</v>
      </c>
      <c r="P818">
        <v>42</v>
      </c>
      <c r="R818" t="s">
        <v>1269</v>
      </c>
      <c r="S818">
        <v>0.5</v>
      </c>
      <c r="T818">
        <v>0.18340000000000001</v>
      </c>
      <c r="U818">
        <f t="shared" si="80"/>
        <v>0</v>
      </c>
      <c r="V818" t="str">
        <f t="shared" si="77"/>
        <v>Elementary Counselor</v>
      </c>
      <c r="W818" t="str">
        <f t="shared" si="78"/>
        <v>Counselor</v>
      </c>
    </row>
    <row r="819" spans="1:23" x14ac:dyDescent="0.25">
      <c r="A819">
        <v>14400</v>
      </c>
      <c r="B819" t="s">
        <v>1270</v>
      </c>
      <c r="C819">
        <v>0.33300000000000002</v>
      </c>
      <c r="D819" t="s">
        <v>1264</v>
      </c>
      <c r="E819">
        <v>100177</v>
      </c>
      <c r="F819">
        <v>14400</v>
      </c>
      <c r="G819" t="str">
        <f t="shared" si="76"/>
        <v>14400</v>
      </c>
      <c r="H819" t="s">
        <v>383</v>
      </c>
      <c r="I819" t="s">
        <v>1265</v>
      </c>
      <c r="J819" t="s">
        <v>1271</v>
      </c>
      <c r="K819" t="s">
        <v>1272</v>
      </c>
      <c r="L819" t="s">
        <v>1270</v>
      </c>
      <c r="M819" t="s">
        <v>1273</v>
      </c>
      <c r="N819">
        <v>1</v>
      </c>
      <c r="O819" t="str">
        <f t="shared" si="79"/>
        <v>42</v>
      </c>
      <c r="P819">
        <v>42</v>
      </c>
      <c r="R819" t="s">
        <v>1269</v>
      </c>
      <c r="S819">
        <v>0.33300000000000002</v>
      </c>
      <c r="T819">
        <v>0.18340000000000001</v>
      </c>
      <c r="U819">
        <f t="shared" si="80"/>
        <v>0</v>
      </c>
      <c r="V819" t="str">
        <f t="shared" si="77"/>
        <v>High Counselor</v>
      </c>
      <c r="W819" t="str">
        <f t="shared" si="78"/>
        <v>Counselor</v>
      </c>
    </row>
    <row r="820" spans="1:23" x14ac:dyDescent="0.25">
      <c r="A820">
        <v>14400</v>
      </c>
      <c r="B820" t="s">
        <v>1263</v>
      </c>
      <c r="C820">
        <v>0.16700000000000001</v>
      </c>
      <c r="D820" t="s">
        <v>1264</v>
      </c>
      <c r="E820">
        <v>100177</v>
      </c>
      <c r="F820">
        <v>14400</v>
      </c>
      <c r="G820" t="str">
        <f t="shared" si="76"/>
        <v>14400</v>
      </c>
      <c r="H820" t="s">
        <v>383</v>
      </c>
      <c r="I820" t="s">
        <v>1265</v>
      </c>
      <c r="J820" t="s">
        <v>1266</v>
      </c>
      <c r="K820" t="s">
        <v>1267</v>
      </c>
      <c r="L820" t="s">
        <v>1263</v>
      </c>
      <c r="M820" t="s">
        <v>1268</v>
      </c>
      <c r="N820">
        <v>1</v>
      </c>
      <c r="O820" t="str">
        <f t="shared" si="79"/>
        <v>42</v>
      </c>
      <c r="P820">
        <v>42</v>
      </c>
      <c r="R820" t="s">
        <v>1269</v>
      </c>
      <c r="S820">
        <v>0.16700000000000001</v>
      </c>
      <c r="T820">
        <v>0.18340000000000001</v>
      </c>
      <c r="U820">
        <f t="shared" si="80"/>
        <v>0</v>
      </c>
      <c r="V820" t="str">
        <f t="shared" si="77"/>
        <v>Middle Counselor</v>
      </c>
      <c r="W820" t="str">
        <f t="shared" si="78"/>
        <v>Counselor</v>
      </c>
    </row>
    <row r="821" spans="1:23" x14ac:dyDescent="0.25">
      <c r="A821">
        <v>14400</v>
      </c>
      <c r="B821" t="s">
        <v>1289</v>
      </c>
      <c r="C821">
        <v>0.65</v>
      </c>
      <c r="D821" t="s">
        <v>1264</v>
      </c>
      <c r="E821">
        <v>100177</v>
      </c>
      <c r="F821">
        <v>14400</v>
      </c>
      <c r="G821" t="str">
        <f t="shared" si="76"/>
        <v>14400</v>
      </c>
      <c r="H821" t="s">
        <v>383</v>
      </c>
      <c r="I821" t="s">
        <v>1265</v>
      </c>
      <c r="J821" t="s">
        <v>1276</v>
      </c>
      <c r="K821" t="s">
        <v>1277</v>
      </c>
      <c r="L821" t="s">
        <v>1289</v>
      </c>
      <c r="M821" t="s">
        <v>1307</v>
      </c>
      <c r="N821">
        <v>21</v>
      </c>
      <c r="O821" t="str">
        <f t="shared" si="79"/>
        <v>43</v>
      </c>
      <c r="P821">
        <v>43</v>
      </c>
      <c r="R821" t="s">
        <v>1269</v>
      </c>
      <c r="S821">
        <v>0.65</v>
      </c>
      <c r="T821">
        <v>0.18340000000000001</v>
      </c>
      <c r="U821">
        <f t="shared" si="80"/>
        <v>0.11899999999999999</v>
      </c>
      <c r="V821" t="str">
        <f t="shared" si="77"/>
        <v>Elementary Occupational Therapist</v>
      </c>
      <c r="W821" t="str">
        <f t="shared" si="78"/>
        <v>Occupational Therapist</v>
      </c>
    </row>
    <row r="822" spans="1:23" x14ac:dyDescent="0.25">
      <c r="A822">
        <v>14400</v>
      </c>
      <c r="B822" t="s">
        <v>1387</v>
      </c>
      <c r="C822">
        <v>0.2</v>
      </c>
      <c r="D822" t="s">
        <v>1264</v>
      </c>
      <c r="E822">
        <v>100177</v>
      </c>
      <c r="F822">
        <v>14400</v>
      </c>
      <c r="G822" t="str">
        <f t="shared" si="76"/>
        <v>14400</v>
      </c>
      <c r="H822" t="s">
        <v>383</v>
      </c>
      <c r="I822" t="s">
        <v>1265</v>
      </c>
      <c r="J822" t="s">
        <v>1271</v>
      </c>
      <c r="K822" t="s">
        <v>1272</v>
      </c>
      <c r="L822" t="s">
        <v>1387</v>
      </c>
      <c r="M822" t="s">
        <v>1406</v>
      </c>
      <c r="N822">
        <v>21</v>
      </c>
      <c r="O822" t="str">
        <f t="shared" si="79"/>
        <v>43</v>
      </c>
      <c r="P822">
        <v>43</v>
      </c>
      <c r="R822" t="s">
        <v>1269</v>
      </c>
      <c r="S822">
        <v>0.2</v>
      </c>
      <c r="T822">
        <v>0.18340000000000001</v>
      </c>
      <c r="U822">
        <f t="shared" si="80"/>
        <v>3.6999999999999998E-2</v>
      </c>
      <c r="V822" t="str">
        <f t="shared" si="77"/>
        <v>High Occupational Therapist</v>
      </c>
      <c r="W822" t="str">
        <f t="shared" si="78"/>
        <v>Occupational Therapist</v>
      </c>
    </row>
    <row r="823" spans="1:23" x14ac:dyDescent="0.25">
      <c r="A823">
        <v>14400</v>
      </c>
      <c r="B823" t="s">
        <v>1303</v>
      </c>
      <c r="C823">
        <v>0.05</v>
      </c>
      <c r="D823" t="s">
        <v>1264</v>
      </c>
      <c r="E823">
        <v>100177</v>
      </c>
      <c r="F823">
        <v>14400</v>
      </c>
      <c r="G823" t="str">
        <f t="shared" si="76"/>
        <v>14400</v>
      </c>
      <c r="H823" t="s">
        <v>383</v>
      </c>
      <c r="I823" t="s">
        <v>1265</v>
      </c>
      <c r="J823" t="s">
        <v>1266</v>
      </c>
      <c r="K823" t="s">
        <v>1267</v>
      </c>
      <c r="L823" t="s">
        <v>1303</v>
      </c>
      <c r="M823" t="s">
        <v>1304</v>
      </c>
      <c r="N823">
        <v>21</v>
      </c>
      <c r="O823" t="str">
        <f t="shared" si="79"/>
        <v>43</v>
      </c>
      <c r="P823">
        <v>43</v>
      </c>
      <c r="R823" t="s">
        <v>1269</v>
      </c>
      <c r="S823">
        <v>0.05</v>
      </c>
      <c r="T823">
        <v>0.18340000000000001</v>
      </c>
      <c r="U823">
        <f t="shared" si="80"/>
        <v>8.9999999999999993E-3</v>
      </c>
      <c r="V823" t="str">
        <f t="shared" si="77"/>
        <v>Middle Occupational Therapist</v>
      </c>
      <c r="W823" t="str">
        <f t="shared" si="78"/>
        <v>Occupational Therapist</v>
      </c>
    </row>
    <row r="824" spans="1:23" x14ac:dyDescent="0.25">
      <c r="A824">
        <v>14400</v>
      </c>
      <c r="B824" t="s">
        <v>1294</v>
      </c>
      <c r="C824">
        <v>0.52</v>
      </c>
      <c r="D824" t="s">
        <v>1264</v>
      </c>
      <c r="E824">
        <v>100177</v>
      </c>
      <c r="F824">
        <v>14400</v>
      </c>
      <c r="G824" t="str">
        <f t="shared" si="76"/>
        <v>14400</v>
      </c>
      <c r="H824" t="s">
        <v>383</v>
      </c>
      <c r="I824" t="s">
        <v>1265</v>
      </c>
      <c r="J824" t="s">
        <v>1276</v>
      </c>
      <c r="K824" t="s">
        <v>1277</v>
      </c>
      <c r="L824" t="s">
        <v>1294</v>
      </c>
      <c r="M824" t="s">
        <v>1354</v>
      </c>
      <c r="N824">
        <v>21</v>
      </c>
      <c r="O824" t="str">
        <f t="shared" si="79"/>
        <v>45</v>
      </c>
      <c r="P824">
        <v>45</v>
      </c>
      <c r="R824" t="s">
        <v>1269</v>
      </c>
      <c r="S824">
        <v>0.52</v>
      </c>
      <c r="T824">
        <v>0.18340000000000001</v>
      </c>
      <c r="U824">
        <f t="shared" si="80"/>
        <v>9.5000000000000001E-2</v>
      </c>
      <c r="V824" t="str">
        <f t="shared" si="77"/>
        <v>Elementary Speech, Language Pathway/
Audio</v>
      </c>
      <c r="W824" t="str">
        <f t="shared" si="78"/>
        <v>Speech, Language Pathway/
Audio</v>
      </c>
    </row>
    <row r="825" spans="1:23" x14ac:dyDescent="0.25">
      <c r="A825">
        <v>14400</v>
      </c>
      <c r="B825" t="s">
        <v>1326</v>
      </c>
      <c r="C825">
        <v>0.16</v>
      </c>
      <c r="D825" t="s">
        <v>1264</v>
      </c>
      <c r="E825">
        <v>100177</v>
      </c>
      <c r="F825">
        <v>14400</v>
      </c>
      <c r="G825" t="str">
        <f t="shared" si="76"/>
        <v>14400</v>
      </c>
      <c r="H825" t="s">
        <v>383</v>
      </c>
      <c r="I825" t="s">
        <v>1265</v>
      </c>
      <c r="J825" t="s">
        <v>1271</v>
      </c>
      <c r="K825" t="s">
        <v>1272</v>
      </c>
      <c r="L825" t="s">
        <v>1326</v>
      </c>
      <c r="M825" t="s">
        <v>1353</v>
      </c>
      <c r="N825">
        <v>21</v>
      </c>
      <c r="O825" t="str">
        <f t="shared" si="79"/>
        <v>45</v>
      </c>
      <c r="P825">
        <v>45</v>
      </c>
      <c r="R825" t="s">
        <v>1269</v>
      </c>
      <c r="S825">
        <v>0.16</v>
      </c>
      <c r="T825">
        <v>0.18340000000000001</v>
      </c>
      <c r="U825">
        <f t="shared" si="80"/>
        <v>2.9000000000000001E-2</v>
      </c>
      <c r="V825" t="str">
        <f t="shared" si="77"/>
        <v>High Speech, Language Pathway/
Audio</v>
      </c>
      <c r="W825" t="str">
        <f t="shared" si="78"/>
        <v>Speech, Language Pathway/
Audio</v>
      </c>
    </row>
    <row r="826" spans="1:23" x14ac:dyDescent="0.25">
      <c r="A826">
        <v>14400</v>
      </c>
      <c r="B826" t="s">
        <v>1312</v>
      </c>
      <c r="C826">
        <v>0.04</v>
      </c>
      <c r="D826" t="s">
        <v>1264</v>
      </c>
      <c r="E826">
        <v>100177</v>
      </c>
      <c r="F826">
        <v>14400</v>
      </c>
      <c r="G826" t="str">
        <f t="shared" si="76"/>
        <v>14400</v>
      </c>
      <c r="H826" t="s">
        <v>383</v>
      </c>
      <c r="I826" t="s">
        <v>1265</v>
      </c>
      <c r="J826" t="s">
        <v>1266</v>
      </c>
      <c r="K826" t="s">
        <v>1267</v>
      </c>
      <c r="L826" t="s">
        <v>1312</v>
      </c>
      <c r="M826" t="s">
        <v>1351</v>
      </c>
      <c r="N826">
        <v>21</v>
      </c>
      <c r="O826" t="str">
        <f t="shared" si="79"/>
        <v>45</v>
      </c>
      <c r="P826">
        <v>45</v>
      </c>
      <c r="R826" t="s">
        <v>1269</v>
      </c>
      <c r="S826">
        <v>0.04</v>
      </c>
      <c r="T826">
        <v>0.18340000000000001</v>
      </c>
      <c r="U826">
        <f t="shared" si="80"/>
        <v>7.0000000000000001E-3</v>
      </c>
      <c r="V826" t="str">
        <f t="shared" si="77"/>
        <v>Middle Speech, Language Pathway/
Audio</v>
      </c>
      <c r="W826" t="str">
        <f t="shared" si="78"/>
        <v>Speech, Language Pathway/
Audio</v>
      </c>
    </row>
    <row r="827" spans="1:23" x14ac:dyDescent="0.25">
      <c r="A827">
        <v>14400</v>
      </c>
      <c r="B827" t="s">
        <v>1298</v>
      </c>
      <c r="C827">
        <v>0.32500000000000001</v>
      </c>
      <c r="D827" t="s">
        <v>1264</v>
      </c>
      <c r="E827">
        <v>100177</v>
      </c>
      <c r="F827">
        <v>14400</v>
      </c>
      <c r="G827" t="str">
        <f t="shared" si="76"/>
        <v>14400</v>
      </c>
      <c r="H827" t="s">
        <v>383</v>
      </c>
      <c r="I827" t="s">
        <v>1265</v>
      </c>
      <c r="J827" t="s">
        <v>1276</v>
      </c>
      <c r="K827" t="s">
        <v>1277</v>
      </c>
      <c r="L827" t="s">
        <v>1298</v>
      </c>
      <c r="M827" t="s">
        <v>1349</v>
      </c>
      <c r="N827">
        <v>21</v>
      </c>
      <c r="O827" t="str">
        <f t="shared" si="79"/>
        <v>46</v>
      </c>
      <c r="P827">
        <v>46</v>
      </c>
      <c r="R827" t="s">
        <v>1269</v>
      </c>
      <c r="S827">
        <v>0.32500000000000001</v>
      </c>
      <c r="T827">
        <v>0.18340000000000001</v>
      </c>
      <c r="U827">
        <f t="shared" si="80"/>
        <v>0.06</v>
      </c>
      <c r="V827" t="str">
        <f t="shared" si="77"/>
        <v>Elementary Psychologist</v>
      </c>
      <c r="W827" t="str">
        <f t="shared" si="78"/>
        <v>Psychologist</v>
      </c>
    </row>
    <row r="828" spans="1:23" x14ac:dyDescent="0.25">
      <c r="A828">
        <v>14400</v>
      </c>
      <c r="B828" t="s">
        <v>1309</v>
      </c>
      <c r="C828">
        <v>0.1</v>
      </c>
      <c r="D828" t="s">
        <v>1264</v>
      </c>
      <c r="E828">
        <v>100177</v>
      </c>
      <c r="F828">
        <v>14400</v>
      </c>
      <c r="G828" t="str">
        <f t="shared" si="76"/>
        <v>14400</v>
      </c>
      <c r="H828" t="s">
        <v>383</v>
      </c>
      <c r="I828" t="s">
        <v>1265</v>
      </c>
      <c r="J828" t="s">
        <v>1271</v>
      </c>
      <c r="K828" t="s">
        <v>1272</v>
      </c>
      <c r="L828" t="s">
        <v>1309</v>
      </c>
      <c r="M828" t="s">
        <v>1310</v>
      </c>
      <c r="N828">
        <v>21</v>
      </c>
      <c r="O828" t="str">
        <f t="shared" si="79"/>
        <v>46</v>
      </c>
      <c r="P828">
        <v>46</v>
      </c>
      <c r="R828" t="s">
        <v>1269</v>
      </c>
      <c r="S828">
        <v>0.1</v>
      </c>
      <c r="T828">
        <v>0.18340000000000001</v>
      </c>
      <c r="U828">
        <f t="shared" si="80"/>
        <v>1.7999999999999999E-2</v>
      </c>
      <c r="V828" t="str">
        <f t="shared" si="77"/>
        <v>High Psychologist</v>
      </c>
      <c r="W828" t="str">
        <f t="shared" si="78"/>
        <v>Psychologist</v>
      </c>
    </row>
    <row r="829" spans="1:23" x14ac:dyDescent="0.25">
      <c r="A829">
        <v>14400</v>
      </c>
      <c r="B829" t="s">
        <v>1345</v>
      </c>
      <c r="C829">
        <v>2.5000000000000001E-2</v>
      </c>
      <c r="D829" t="s">
        <v>1264</v>
      </c>
      <c r="E829">
        <v>100177</v>
      </c>
      <c r="F829">
        <v>14400</v>
      </c>
      <c r="G829" t="str">
        <f t="shared" si="76"/>
        <v>14400</v>
      </c>
      <c r="H829" t="s">
        <v>383</v>
      </c>
      <c r="I829" t="s">
        <v>1265</v>
      </c>
      <c r="J829" t="s">
        <v>1266</v>
      </c>
      <c r="K829" t="s">
        <v>1267</v>
      </c>
      <c r="L829" t="s">
        <v>1345</v>
      </c>
      <c r="M829" t="s">
        <v>1346</v>
      </c>
      <c r="N829">
        <v>21</v>
      </c>
      <c r="O829" t="str">
        <f t="shared" si="79"/>
        <v>46</v>
      </c>
      <c r="P829">
        <v>46</v>
      </c>
      <c r="R829" t="s">
        <v>1269</v>
      </c>
      <c r="S829">
        <v>2.5000000000000001E-2</v>
      </c>
      <c r="T829">
        <v>0.18340000000000001</v>
      </c>
      <c r="U829">
        <f t="shared" si="80"/>
        <v>5.0000000000000001E-3</v>
      </c>
      <c r="V829" t="str">
        <f t="shared" si="77"/>
        <v>Middle Psychologist</v>
      </c>
      <c r="W829" t="str">
        <f t="shared" si="78"/>
        <v>Psychologist</v>
      </c>
    </row>
    <row r="830" spans="1:23" x14ac:dyDescent="0.25">
      <c r="A830">
        <v>15201</v>
      </c>
      <c r="B830" t="s">
        <v>1286</v>
      </c>
      <c r="C830">
        <v>0.50800000000000001</v>
      </c>
      <c r="D830" t="s">
        <v>1264</v>
      </c>
      <c r="E830">
        <v>100175</v>
      </c>
      <c r="F830">
        <v>15201</v>
      </c>
      <c r="G830" t="str">
        <f t="shared" si="76"/>
        <v>15201</v>
      </c>
      <c r="H830" t="s">
        <v>384</v>
      </c>
      <c r="I830" t="s">
        <v>1265</v>
      </c>
      <c r="J830" t="s">
        <v>1271</v>
      </c>
      <c r="K830" t="s">
        <v>1272</v>
      </c>
      <c r="L830" t="s">
        <v>1286</v>
      </c>
      <c r="M830" t="s">
        <v>1287</v>
      </c>
      <c r="N830">
        <v>1</v>
      </c>
      <c r="O830" t="str">
        <f t="shared" si="79"/>
        <v>24</v>
      </c>
      <c r="P830">
        <v>96</v>
      </c>
      <c r="Q830">
        <v>24</v>
      </c>
      <c r="R830" t="s">
        <v>1269</v>
      </c>
      <c r="S830">
        <v>0.50800000000000001</v>
      </c>
      <c r="T830">
        <v>0.2848</v>
      </c>
      <c r="U830">
        <f t="shared" si="80"/>
        <v>0</v>
      </c>
      <c r="V830" t="str">
        <f t="shared" si="77"/>
        <v>High Family Engagement Coordinator</v>
      </c>
      <c r="W830" t="str">
        <f t="shared" si="78"/>
        <v>Family Engagement Coordinator</v>
      </c>
    </row>
    <row r="831" spans="1:23" x14ac:dyDescent="0.25">
      <c r="A831">
        <v>15201</v>
      </c>
      <c r="B831" t="s">
        <v>1311</v>
      </c>
      <c r="C831">
        <v>0.72899999999999998</v>
      </c>
      <c r="D831" t="s">
        <v>1264</v>
      </c>
      <c r="E831">
        <v>100175</v>
      </c>
      <c r="F831">
        <v>15201</v>
      </c>
      <c r="G831" t="str">
        <f t="shared" si="76"/>
        <v>15201</v>
      </c>
      <c r="H831" t="s">
        <v>384</v>
      </c>
      <c r="I831" t="s">
        <v>1265</v>
      </c>
      <c r="J831" t="s">
        <v>1276</v>
      </c>
      <c r="K831" t="s">
        <v>1277</v>
      </c>
      <c r="L831" t="s">
        <v>1311</v>
      </c>
      <c r="M831" t="s">
        <v>1327</v>
      </c>
      <c r="N831">
        <v>21</v>
      </c>
      <c r="O831" t="str">
        <f t="shared" si="79"/>
        <v>26</v>
      </c>
      <c r="Q831">
        <v>26</v>
      </c>
      <c r="R831" t="s">
        <v>1269</v>
      </c>
      <c r="S831">
        <v>0.72899999999999998</v>
      </c>
      <c r="T831">
        <v>0.2848</v>
      </c>
      <c r="U831">
        <f t="shared" si="80"/>
        <v>0.20799999999999999</v>
      </c>
      <c r="V831" t="str">
        <f t="shared" si="77"/>
        <v>Elementary Health/
Related Services</v>
      </c>
      <c r="W831" t="str">
        <f t="shared" si="78"/>
        <v>Health/
Related Services</v>
      </c>
    </row>
    <row r="832" spans="1:23" x14ac:dyDescent="0.25">
      <c r="A832">
        <v>15201</v>
      </c>
      <c r="B832" t="s">
        <v>1315</v>
      </c>
      <c r="C832">
        <v>2.7690000000000001</v>
      </c>
      <c r="D832" t="s">
        <v>1264</v>
      </c>
      <c r="E832">
        <v>100175</v>
      </c>
      <c r="F832">
        <v>15201</v>
      </c>
      <c r="G832" t="str">
        <f t="shared" si="76"/>
        <v>15201</v>
      </c>
      <c r="H832" t="s">
        <v>384</v>
      </c>
      <c r="I832" t="s">
        <v>1265</v>
      </c>
      <c r="J832" t="s">
        <v>1276</v>
      </c>
      <c r="K832" t="s">
        <v>1277</v>
      </c>
      <c r="L832" t="s">
        <v>1315</v>
      </c>
      <c r="M832" t="s">
        <v>1375</v>
      </c>
      <c r="N832">
        <v>1</v>
      </c>
      <c r="O832" t="str">
        <f t="shared" si="79"/>
        <v>26</v>
      </c>
      <c r="Q832">
        <v>26</v>
      </c>
      <c r="R832" t="s">
        <v>1269</v>
      </c>
      <c r="S832">
        <v>2.7690000000000001</v>
      </c>
      <c r="T832">
        <v>0.2848</v>
      </c>
      <c r="U832">
        <f t="shared" si="80"/>
        <v>0</v>
      </c>
      <c r="V832" t="str">
        <f t="shared" si="77"/>
        <v>Elementary Health/
Related Services</v>
      </c>
      <c r="W832" t="str">
        <f t="shared" si="78"/>
        <v>Health/
Related Services</v>
      </c>
    </row>
    <row r="833" spans="1:23" x14ac:dyDescent="0.25">
      <c r="A833">
        <v>15201</v>
      </c>
      <c r="B833" t="s">
        <v>1295</v>
      </c>
      <c r="C833">
        <v>0.438</v>
      </c>
      <c r="D833" t="s">
        <v>1264</v>
      </c>
      <c r="E833">
        <v>100175</v>
      </c>
      <c r="F833">
        <v>15201</v>
      </c>
      <c r="G833" t="str">
        <f t="shared" si="76"/>
        <v>15201</v>
      </c>
      <c r="H833" t="s">
        <v>384</v>
      </c>
      <c r="I833" t="s">
        <v>1265</v>
      </c>
      <c r="J833" t="s">
        <v>1271</v>
      </c>
      <c r="K833" t="s">
        <v>1272</v>
      </c>
      <c r="L833" t="s">
        <v>1295</v>
      </c>
      <c r="M833" t="s">
        <v>1296</v>
      </c>
      <c r="N833">
        <v>1</v>
      </c>
      <c r="O833" t="str">
        <f t="shared" si="79"/>
        <v>26</v>
      </c>
      <c r="Q833">
        <v>26</v>
      </c>
      <c r="R833" t="s">
        <v>1269</v>
      </c>
      <c r="S833">
        <v>0.438</v>
      </c>
      <c r="T833">
        <v>0.2848</v>
      </c>
      <c r="U833">
        <f t="shared" si="80"/>
        <v>0</v>
      </c>
      <c r="V833" t="str">
        <f t="shared" si="77"/>
        <v>High Health/
Related Services</v>
      </c>
      <c r="W833" t="str">
        <f t="shared" si="78"/>
        <v>Health/
Related Services</v>
      </c>
    </row>
    <row r="834" spans="1:23" x14ac:dyDescent="0.25">
      <c r="A834">
        <v>15201</v>
      </c>
      <c r="B834" t="s">
        <v>1291</v>
      </c>
      <c r="C834">
        <v>0.437</v>
      </c>
      <c r="D834" t="s">
        <v>1264</v>
      </c>
      <c r="E834">
        <v>100175</v>
      </c>
      <c r="F834">
        <v>15201</v>
      </c>
      <c r="G834" t="str">
        <f t="shared" ref="G834:G897" si="81">TEXT(F834,"00000")</f>
        <v>15201</v>
      </c>
      <c r="H834" t="s">
        <v>384</v>
      </c>
      <c r="I834" t="s">
        <v>1265</v>
      </c>
      <c r="J834" t="s">
        <v>1266</v>
      </c>
      <c r="K834" t="s">
        <v>1267</v>
      </c>
      <c r="L834" t="s">
        <v>1291</v>
      </c>
      <c r="M834" t="s">
        <v>1292</v>
      </c>
      <c r="N834">
        <v>1</v>
      </c>
      <c r="O834" t="str">
        <f t="shared" si="79"/>
        <v>26</v>
      </c>
      <c r="Q834">
        <v>26</v>
      </c>
      <c r="R834" t="s">
        <v>1269</v>
      </c>
      <c r="S834">
        <v>0.437</v>
      </c>
      <c r="T834">
        <v>0.2848</v>
      </c>
      <c r="U834">
        <f t="shared" si="80"/>
        <v>0</v>
      </c>
      <c r="V834" t="str">
        <f t="shared" ref="V834:V897" si="82">_xlfn.XLOOKUP(L834,$BV:$BV,$BT:$BT,,0)</f>
        <v>Middle Health/
Related Services</v>
      </c>
      <c r="W834" t="str">
        <f t="shared" ref="W834:W897" si="83">_xlfn.TEXTAFTER(V834," ")</f>
        <v>Health/
Related Services</v>
      </c>
    </row>
    <row r="835" spans="1:23" x14ac:dyDescent="0.25">
      <c r="A835">
        <v>15201</v>
      </c>
      <c r="B835" t="s">
        <v>1275</v>
      </c>
      <c r="C835">
        <v>7</v>
      </c>
      <c r="D835" t="s">
        <v>1264</v>
      </c>
      <c r="E835">
        <v>100175</v>
      </c>
      <c r="F835">
        <v>15201</v>
      </c>
      <c r="G835" t="str">
        <f t="shared" si="81"/>
        <v>15201</v>
      </c>
      <c r="H835" t="s">
        <v>384</v>
      </c>
      <c r="I835" t="s">
        <v>1265</v>
      </c>
      <c r="J835" t="s">
        <v>1276</v>
      </c>
      <c r="K835" t="s">
        <v>1277</v>
      </c>
      <c r="L835" t="s">
        <v>1275</v>
      </c>
      <c r="M835" t="s">
        <v>1278</v>
      </c>
      <c r="N835">
        <v>1</v>
      </c>
      <c r="O835" t="str">
        <f t="shared" ref="O835:O898" si="84">MID(L835,3,2)</f>
        <v>42</v>
      </c>
      <c r="P835">
        <v>42</v>
      </c>
      <c r="R835" t="s">
        <v>1269</v>
      </c>
      <c r="S835">
        <v>7</v>
      </c>
      <c r="T835">
        <v>0.2848</v>
      </c>
      <c r="U835">
        <f t="shared" ref="U835:U898" si="85">IF(N835=21,ROUND(T835*S835,3),0)</f>
        <v>0</v>
      </c>
      <c r="V835" t="str">
        <f t="shared" si="82"/>
        <v>Elementary Counselor</v>
      </c>
      <c r="W835" t="str">
        <f t="shared" si="83"/>
        <v>Counselor</v>
      </c>
    </row>
    <row r="836" spans="1:23" x14ac:dyDescent="0.25">
      <c r="A836">
        <v>15201</v>
      </c>
      <c r="B836" t="s">
        <v>1270</v>
      </c>
      <c r="C836">
        <v>4.7</v>
      </c>
      <c r="D836" t="s">
        <v>1264</v>
      </c>
      <c r="E836">
        <v>100175</v>
      </c>
      <c r="F836">
        <v>15201</v>
      </c>
      <c r="G836" t="str">
        <f t="shared" si="81"/>
        <v>15201</v>
      </c>
      <c r="H836" t="s">
        <v>384</v>
      </c>
      <c r="I836" t="s">
        <v>1265</v>
      </c>
      <c r="J836" t="s">
        <v>1271</v>
      </c>
      <c r="K836" t="s">
        <v>1272</v>
      </c>
      <c r="L836" t="s">
        <v>1270</v>
      </c>
      <c r="M836" t="s">
        <v>1273</v>
      </c>
      <c r="N836">
        <v>1</v>
      </c>
      <c r="O836" t="str">
        <f t="shared" si="84"/>
        <v>42</v>
      </c>
      <c r="P836">
        <v>42</v>
      </c>
      <c r="R836" t="s">
        <v>1269</v>
      </c>
      <c r="S836">
        <v>4.7</v>
      </c>
      <c r="T836">
        <v>0.2848</v>
      </c>
      <c r="U836">
        <f t="shared" si="85"/>
        <v>0</v>
      </c>
      <c r="V836" t="str">
        <f t="shared" si="82"/>
        <v>High Counselor</v>
      </c>
      <c r="W836" t="str">
        <f t="shared" si="83"/>
        <v>Counselor</v>
      </c>
    </row>
    <row r="837" spans="1:23" x14ac:dyDescent="0.25">
      <c r="A837">
        <v>15201</v>
      </c>
      <c r="B837" t="s">
        <v>1263</v>
      </c>
      <c r="C837">
        <v>2</v>
      </c>
      <c r="D837" t="s">
        <v>1264</v>
      </c>
      <c r="E837">
        <v>100175</v>
      </c>
      <c r="F837">
        <v>15201</v>
      </c>
      <c r="G837" t="str">
        <f t="shared" si="81"/>
        <v>15201</v>
      </c>
      <c r="H837" t="s">
        <v>384</v>
      </c>
      <c r="I837" t="s">
        <v>1265</v>
      </c>
      <c r="J837" t="s">
        <v>1266</v>
      </c>
      <c r="K837" t="s">
        <v>1267</v>
      </c>
      <c r="L837" t="s">
        <v>1263</v>
      </c>
      <c r="M837" t="s">
        <v>1268</v>
      </c>
      <c r="N837">
        <v>1</v>
      </c>
      <c r="O837" t="str">
        <f t="shared" si="84"/>
        <v>42</v>
      </c>
      <c r="P837">
        <v>42</v>
      </c>
      <c r="R837" t="s">
        <v>1269</v>
      </c>
      <c r="S837">
        <v>2</v>
      </c>
      <c r="T837">
        <v>0.2848</v>
      </c>
      <c r="U837">
        <f t="shared" si="85"/>
        <v>0</v>
      </c>
      <c r="V837" t="str">
        <f t="shared" si="82"/>
        <v>Middle Counselor</v>
      </c>
      <c r="W837" t="str">
        <f t="shared" si="83"/>
        <v>Counselor</v>
      </c>
    </row>
    <row r="838" spans="1:23" x14ac:dyDescent="0.25">
      <c r="A838">
        <v>15201</v>
      </c>
      <c r="B838" t="s">
        <v>1289</v>
      </c>
      <c r="C838">
        <v>1.6619999999999999</v>
      </c>
      <c r="D838" t="s">
        <v>1264</v>
      </c>
      <c r="E838">
        <v>100175</v>
      </c>
      <c r="F838">
        <v>15201</v>
      </c>
      <c r="G838" t="str">
        <f t="shared" si="81"/>
        <v>15201</v>
      </c>
      <c r="H838" t="s">
        <v>384</v>
      </c>
      <c r="I838" t="s">
        <v>1265</v>
      </c>
      <c r="J838" t="s">
        <v>1276</v>
      </c>
      <c r="K838" t="s">
        <v>1277</v>
      </c>
      <c r="L838" t="s">
        <v>1289</v>
      </c>
      <c r="M838" t="s">
        <v>1307</v>
      </c>
      <c r="N838">
        <v>21</v>
      </c>
      <c r="O838" t="str">
        <f t="shared" si="84"/>
        <v>43</v>
      </c>
      <c r="P838">
        <v>43</v>
      </c>
      <c r="R838" t="s">
        <v>1269</v>
      </c>
      <c r="S838">
        <v>1.6619999999999999</v>
      </c>
      <c r="T838">
        <v>0.2848</v>
      </c>
      <c r="U838">
        <f t="shared" si="85"/>
        <v>0.47299999999999998</v>
      </c>
      <c r="V838" t="str">
        <f t="shared" si="82"/>
        <v>Elementary Occupational Therapist</v>
      </c>
      <c r="W838" t="str">
        <f t="shared" si="83"/>
        <v>Occupational Therapist</v>
      </c>
    </row>
    <row r="839" spans="1:23" x14ac:dyDescent="0.25">
      <c r="A839">
        <v>15201</v>
      </c>
      <c r="B839" t="s">
        <v>1387</v>
      </c>
      <c r="C839">
        <v>0.23</v>
      </c>
      <c r="D839" t="s">
        <v>1264</v>
      </c>
      <c r="E839">
        <v>100175</v>
      </c>
      <c r="F839">
        <v>15201</v>
      </c>
      <c r="G839" t="str">
        <f t="shared" si="81"/>
        <v>15201</v>
      </c>
      <c r="H839" t="s">
        <v>384</v>
      </c>
      <c r="I839" t="s">
        <v>1265</v>
      </c>
      <c r="J839" t="s">
        <v>1271</v>
      </c>
      <c r="K839" t="s">
        <v>1272</v>
      </c>
      <c r="L839" t="s">
        <v>1387</v>
      </c>
      <c r="M839" t="s">
        <v>1406</v>
      </c>
      <c r="N839">
        <v>21</v>
      </c>
      <c r="O839" t="str">
        <f t="shared" si="84"/>
        <v>43</v>
      </c>
      <c r="P839">
        <v>43</v>
      </c>
      <c r="R839" t="s">
        <v>1269</v>
      </c>
      <c r="S839">
        <v>0.23</v>
      </c>
      <c r="T839">
        <v>0.2848</v>
      </c>
      <c r="U839">
        <f t="shared" si="85"/>
        <v>6.6000000000000003E-2</v>
      </c>
      <c r="V839" t="str">
        <f t="shared" si="82"/>
        <v>High Occupational Therapist</v>
      </c>
      <c r="W839" t="str">
        <f t="shared" si="83"/>
        <v>Occupational Therapist</v>
      </c>
    </row>
    <row r="840" spans="1:23" x14ac:dyDescent="0.25">
      <c r="A840">
        <v>15201</v>
      </c>
      <c r="B840" t="s">
        <v>1331</v>
      </c>
      <c r="C840">
        <v>0.03</v>
      </c>
      <c r="D840" t="s">
        <v>1264</v>
      </c>
      <c r="E840">
        <v>100175</v>
      </c>
      <c r="F840">
        <v>15201</v>
      </c>
      <c r="G840" t="str">
        <f t="shared" si="81"/>
        <v>15201</v>
      </c>
      <c r="H840" t="s">
        <v>384</v>
      </c>
      <c r="I840" t="s">
        <v>1265</v>
      </c>
      <c r="J840" t="s">
        <v>1276</v>
      </c>
      <c r="K840" t="s">
        <v>1277</v>
      </c>
      <c r="L840" t="s">
        <v>1331</v>
      </c>
      <c r="M840" t="s">
        <v>1405</v>
      </c>
      <c r="N840">
        <v>1</v>
      </c>
      <c r="O840" t="str">
        <f t="shared" si="84"/>
        <v>44</v>
      </c>
      <c r="P840">
        <v>44</v>
      </c>
      <c r="R840" t="s">
        <v>1269</v>
      </c>
      <c r="S840">
        <v>0.03</v>
      </c>
      <c r="T840">
        <v>0.2848</v>
      </c>
      <c r="U840">
        <f t="shared" si="85"/>
        <v>0</v>
      </c>
      <c r="V840" t="str">
        <f t="shared" si="82"/>
        <v>Elementary Social Worker</v>
      </c>
      <c r="W840" t="str">
        <f t="shared" si="83"/>
        <v>Social Worker</v>
      </c>
    </row>
    <row r="841" spans="1:23" x14ac:dyDescent="0.25">
      <c r="A841">
        <v>15201</v>
      </c>
      <c r="B841" t="s">
        <v>1359</v>
      </c>
      <c r="C841">
        <v>0.99</v>
      </c>
      <c r="D841" t="s">
        <v>1264</v>
      </c>
      <c r="E841">
        <v>100175</v>
      </c>
      <c r="F841">
        <v>15201</v>
      </c>
      <c r="G841" t="str">
        <f t="shared" si="81"/>
        <v>15201</v>
      </c>
      <c r="H841" t="s">
        <v>384</v>
      </c>
      <c r="I841" t="s">
        <v>1265</v>
      </c>
      <c r="J841" t="s">
        <v>1271</v>
      </c>
      <c r="K841" t="s">
        <v>1272</v>
      </c>
      <c r="L841" t="s">
        <v>1359</v>
      </c>
      <c r="M841" t="s">
        <v>1360</v>
      </c>
      <c r="N841">
        <v>1</v>
      </c>
      <c r="O841" t="str">
        <f t="shared" si="84"/>
        <v>44</v>
      </c>
      <c r="P841">
        <v>44</v>
      </c>
      <c r="R841" t="s">
        <v>1269</v>
      </c>
      <c r="S841">
        <v>0.99</v>
      </c>
      <c r="T841">
        <v>0.2848</v>
      </c>
      <c r="U841">
        <f t="shared" si="85"/>
        <v>0</v>
      </c>
      <c r="V841" t="str">
        <f t="shared" si="82"/>
        <v>High Social Worker</v>
      </c>
      <c r="W841" t="str">
        <f t="shared" si="83"/>
        <v>Social Worker</v>
      </c>
    </row>
    <row r="842" spans="1:23" x14ac:dyDescent="0.25">
      <c r="A842">
        <v>15201</v>
      </c>
      <c r="B842" t="s">
        <v>1356</v>
      </c>
      <c r="C842">
        <v>0.98</v>
      </c>
      <c r="D842" t="s">
        <v>1264</v>
      </c>
      <c r="E842">
        <v>100175</v>
      </c>
      <c r="F842">
        <v>15201</v>
      </c>
      <c r="G842" t="str">
        <f t="shared" si="81"/>
        <v>15201</v>
      </c>
      <c r="H842" t="s">
        <v>384</v>
      </c>
      <c r="I842" t="s">
        <v>1265</v>
      </c>
      <c r="J842" t="s">
        <v>1266</v>
      </c>
      <c r="K842" t="s">
        <v>1267</v>
      </c>
      <c r="L842" t="s">
        <v>1356</v>
      </c>
      <c r="M842" t="s">
        <v>1357</v>
      </c>
      <c r="N842">
        <v>1</v>
      </c>
      <c r="O842" t="str">
        <f t="shared" si="84"/>
        <v>44</v>
      </c>
      <c r="P842">
        <v>44</v>
      </c>
      <c r="R842" t="s">
        <v>1269</v>
      </c>
      <c r="S842">
        <v>0.98</v>
      </c>
      <c r="T842">
        <v>0.2848</v>
      </c>
      <c r="U842">
        <f t="shared" si="85"/>
        <v>0</v>
      </c>
      <c r="V842" t="str">
        <f t="shared" si="82"/>
        <v>Middle Social Worker</v>
      </c>
      <c r="W842" t="str">
        <f t="shared" si="83"/>
        <v>Social Worker</v>
      </c>
    </row>
    <row r="843" spans="1:23" x14ac:dyDescent="0.25">
      <c r="A843">
        <v>15201</v>
      </c>
      <c r="B843" t="s">
        <v>1294</v>
      </c>
      <c r="C843">
        <v>7.7640000000000002</v>
      </c>
      <c r="D843" t="s">
        <v>1264</v>
      </c>
      <c r="E843">
        <v>100175</v>
      </c>
      <c r="F843">
        <v>15201</v>
      </c>
      <c r="G843" t="str">
        <f t="shared" si="81"/>
        <v>15201</v>
      </c>
      <c r="H843" t="s">
        <v>384</v>
      </c>
      <c r="I843" t="s">
        <v>1265</v>
      </c>
      <c r="J843" t="s">
        <v>1276</v>
      </c>
      <c r="K843" t="s">
        <v>1277</v>
      </c>
      <c r="L843" t="s">
        <v>1294</v>
      </c>
      <c r="M843" t="s">
        <v>1354</v>
      </c>
      <c r="N843">
        <v>21</v>
      </c>
      <c r="O843" t="str">
        <f t="shared" si="84"/>
        <v>45</v>
      </c>
      <c r="P843">
        <v>45</v>
      </c>
      <c r="R843" t="s">
        <v>1269</v>
      </c>
      <c r="S843">
        <v>7.7640000000000002</v>
      </c>
      <c r="T843">
        <v>0.2848</v>
      </c>
      <c r="U843">
        <f t="shared" si="85"/>
        <v>2.2109999999999999</v>
      </c>
      <c r="V843" t="str">
        <f t="shared" si="82"/>
        <v>Elementary Speech, Language Pathway/
Audio</v>
      </c>
      <c r="W843" t="str">
        <f t="shared" si="83"/>
        <v>Speech, Language Pathway/
Audio</v>
      </c>
    </row>
    <row r="844" spans="1:23" x14ac:dyDescent="0.25">
      <c r="A844">
        <v>15201</v>
      </c>
      <c r="B844" t="s">
        <v>1326</v>
      </c>
      <c r="C844">
        <v>0.08</v>
      </c>
      <c r="D844" t="s">
        <v>1264</v>
      </c>
      <c r="E844">
        <v>100175</v>
      </c>
      <c r="F844">
        <v>15201</v>
      </c>
      <c r="G844" t="str">
        <f t="shared" si="81"/>
        <v>15201</v>
      </c>
      <c r="H844" t="s">
        <v>384</v>
      </c>
      <c r="I844" t="s">
        <v>1265</v>
      </c>
      <c r="J844" t="s">
        <v>1271</v>
      </c>
      <c r="K844" t="s">
        <v>1272</v>
      </c>
      <c r="L844" t="s">
        <v>1326</v>
      </c>
      <c r="M844" t="s">
        <v>1353</v>
      </c>
      <c r="N844">
        <v>21</v>
      </c>
      <c r="O844" t="str">
        <f t="shared" si="84"/>
        <v>45</v>
      </c>
      <c r="P844">
        <v>45</v>
      </c>
      <c r="R844" t="s">
        <v>1269</v>
      </c>
      <c r="S844">
        <v>0.08</v>
      </c>
      <c r="T844">
        <v>0.2848</v>
      </c>
      <c r="U844">
        <f t="shared" si="85"/>
        <v>2.3E-2</v>
      </c>
      <c r="V844" t="str">
        <f t="shared" si="82"/>
        <v>High Speech, Language Pathway/
Audio</v>
      </c>
      <c r="W844" t="str">
        <f t="shared" si="83"/>
        <v>Speech, Language Pathway/
Audio</v>
      </c>
    </row>
    <row r="845" spans="1:23" x14ac:dyDescent="0.25">
      <c r="A845">
        <v>15201</v>
      </c>
      <c r="B845" t="s">
        <v>1312</v>
      </c>
      <c r="C845">
        <v>1</v>
      </c>
      <c r="D845" t="s">
        <v>1264</v>
      </c>
      <c r="E845">
        <v>100175</v>
      </c>
      <c r="F845">
        <v>15201</v>
      </c>
      <c r="G845" t="str">
        <f t="shared" si="81"/>
        <v>15201</v>
      </c>
      <c r="H845" t="s">
        <v>384</v>
      </c>
      <c r="I845" t="s">
        <v>1265</v>
      </c>
      <c r="J845" t="s">
        <v>1266</v>
      </c>
      <c r="K845" t="s">
        <v>1267</v>
      </c>
      <c r="L845" t="s">
        <v>1312</v>
      </c>
      <c r="M845" t="s">
        <v>1351</v>
      </c>
      <c r="N845">
        <v>21</v>
      </c>
      <c r="O845" t="str">
        <f t="shared" si="84"/>
        <v>45</v>
      </c>
      <c r="P845">
        <v>45</v>
      </c>
      <c r="R845" t="s">
        <v>1269</v>
      </c>
      <c r="S845">
        <v>1</v>
      </c>
      <c r="T845">
        <v>0.2848</v>
      </c>
      <c r="U845">
        <f t="shared" si="85"/>
        <v>0.28499999999999998</v>
      </c>
      <c r="V845" t="str">
        <f t="shared" si="82"/>
        <v>Middle Speech, Language Pathway/
Audio</v>
      </c>
      <c r="W845" t="str">
        <f t="shared" si="83"/>
        <v>Speech, Language Pathway/
Audio</v>
      </c>
    </row>
    <row r="846" spans="1:23" x14ac:dyDescent="0.25">
      <c r="A846">
        <v>15201</v>
      </c>
      <c r="B846" t="s">
        <v>1298</v>
      </c>
      <c r="C846">
        <v>2.2080000000000002</v>
      </c>
      <c r="D846" t="s">
        <v>1264</v>
      </c>
      <c r="E846">
        <v>100175</v>
      </c>
      <c r="F846">
        <v>15201</v>
      </c>
      <c r="G846" t="str">
        <f t="shared" si="81"/>
        <v>15201</v>
      </c>
      <c r="H846" t="s">
        <v>384</v>
      </c>
      <c r="I846" t="s">
        <v>1265</v>
      </c>
      <c r="J846" t="s">
        <v>1276</v>
      </c>
      <c r="K846" t="s">
        <v>1277</v>
      </c>
      <c r="L846" t="s">
        <v>1298</v>
      </c>
      <c r="M846" t="s">
        <v>1349</v>
      </c>
      <c r="N846">
        <v>21</v>
      </c>
      <c r="O846" t="str">
        <f t="shared" si="84"/>
        <v>46</v>
      </c>
      <c r="P846">
        <v>46</v>
      </c>
      <c r="R846" t="s">
        <v>1269</v>
      </c>
      <c r="S846">
        <v>2.2080000000000002</v>
      </c>
      <c r="T846">
        <v>0.2848</v>
      </c>
      <c r="U846">
        <f t="shared" si="85"/>
        <v>0.629</v>
      </c>
      <c r="V846" t="str">
        <f t="shared" si="82"/>
        <v>Elementary Psychologist</v>
      </c>
      <c r="W846" t="str">
        <f t="shared" si="83"/>
        <v>Psychologist</v>
      </c>
    </row>
    <row r="847" spans="1:23" x14ac:dyDescent="0.25">
      <c r="A847">
        <v>15201</v>
      </c>
      <c r="B847" t="s">
        <v>1309</v>
      </c>
      <c r="C847">
        <v>1.5</v>
      </c>
      <c r="D847" t="s">
        <v>1264</v>
      </c>
      <c r="E847">
        <v>100175</v>
      </c>
      <c r="F847">
        <v>15201</v>
      </c>
      <c r="G847" t="str">
        <f t="shared" si="81"/>
        <v>15201</v>
      </c>
      <c r="H847" t="s">
        <v>384</v>
      </c>
      <c r="I847" t="s">
        <v>1265</v>
      </c>
      <c r="J847" t="s">
        <v>1271</v>
      </c>
      <c r="K847" t="s">
        <v>1272</v>
      </c>
      <c r="L847" t="s">
        <v>1309</v>
      </c>
      <c r="M847" t="s">
        <v>1310</v>
      </c>
      <c r="N847">
        <v>21</v>
      </c>
      <c r="O847" t="str">
        <f t="shared" si="84"/>
        <v>46</v>
      </c>
      <c r="P847">
        <v>46</v>
      </c>
      <c r="R847" t="s">
        <v>1269</v>
      </c>
      <c r="S847">
        <v>1.5</v>
      </c>
      <c r="T847">
        <v>0.2848</v>
      </c>
      <c r="U847">
        <f t="shared" si="85"/>
        <v>0.42699999999999999</v>
      </c>
      <c r="V847" t="str">
        <f t="shared" si="82"/>
        <v>High Psychologist</v>
      </c>
      <c r="W847" t="str">
        <f t="shared" si="83"/>
        <v>Psychologist</v>
      </c>
    </row>
    <row r="848" spans="1:23" x14ac:dyDescent="0.25">
      <c r="A848">
        <v>15201</v>
      </c>
      <c r="B848" t="s">
        <v>1345</v>
      </c>
      <c r="C848">
        <v>1</v>
      </c>
      <c r="D848" t="s">
        <v>1264</v>
      </c>
      <c r="E848">
        <v>100175</v>
      </c>
      <c r="F848">
        <v>15201</v>
      </c>
      <c r="G848" t="str">
        <f t="shared" si="81"/>
        <v>15201</v>
      </c>
      <c r="H848" t="s">
        <v>384</v>
      </c>
      <c r="I848" t="s">
        <v>1265</v>
      </c>
      <c r="J848" t="s">
        <v>1266</v>
      </c>
      <c r="K848" t="s">
        <v>1267</v>
      </c>
      <c r="L848" t="s">
        <v>1345</v>
      </c>
      <c r="M848" t="s">
        <v>1346</v>
      </c>
      <c r="N848">
        <v>21</v>
      </c>
      <c r="O848" t="str">
        <f t="shared" si="84"/>
        <v>46</v>
      </c>
      <c r="P848">
        <v>46</v>
      </c>
      <c r="R848" t="s">
        <v>1269</v>
      </c>
      <c r="S848">
        <v>1</v>
      </c>
      <c r="T848">
        <v>0.2848</v>
      </c>
      <c r="U848">
        <f t="shared" si="85"/>
        <v>0.28499999999999998</v>
      </c>
      <c r="V848" t="str">
        <f t="shared" si="82"/>
        <v>Middle Psychologist</v>
      </c>
      <c r="W848" t="str">
        <f t="shared" si="83"/>
        <v>Psychologist</v>
      </c>
    </row>
    <row r="849" spans="1:23" x14ac:dyDescent="0.25">
      <c r="A849">
        <v>15201</v>
      </c>
      <c r="B849" t="s">
        <v>1335</v>
      </c>
      <c r="C849">
        <v>2.9990000000000001</v>
      </c>
      <c r="D849" t="s">
        <v>1264</v>
      </c>
      <c r="E849">
        <v>100175</v>
      </c>
      <c r="F849">
        <v>15201</v>
      </c>
      <c r="G849" t="str">
        <f t="shared" si="81"/>
        <v>15201</v>
      </c>
      <c r="H849" t="s">
        <v>384</v>
      </c>
      <c r="I849" t="s">
        <v>1265</v>
      </c>
      <c r="J849" t="s">
        <v>1276</v>
      </c>
      <c r="K849" t="s">
        <v>1277</v>
      </c>
      <c r="L849" t="s">
        <v>1335</v>
      </c>
      <c r="M849" t="s">
        <v>1344</v>
      </c>
      <c r="N849">
        <v>1</v>
      </c>
      <c r="O849" t="str">
        <f t="shared" si="84"/>
        <v>47</v>
      </c>
      <c r="P849">
        <v>47</v>
      </c>
      <c r="R849" t="s">
        <v>1269</v>
      </c>
      <c r="S849">
        <v>2.9990000000000001</v>
      </c>
      <c r="T849">
        <v>0.2848</v>
      </c>
      <c r="U849">
        <f t="shared" si="85"/>
        <v>0</v>
      </c>
      <c r="V849" t="str">
        <f t="shared" si="82"/>
        <v>Elementary Nurse</v>
      </c>
      <c r="W849" t="str">
        <f t="shared" si="83"/>
        <v>Nurse</v>
      </c>
    </row>
    <row r="850" spans="1:23" x14ac:dyDescent="0.25">
      <c r="A850">
        <v>15201</v>
      </c>
      <c r="B850" t="s">
        <v>1341</v>
      </c>
      <c r="C850">
        <v>0.60099999999999998</v>
      </c>
      <c r="D850" t="s">
        <v>1264</v>
      </c>
      <c r="E850">
        <v>100175</v>
      </c>
      <c r="F850">
        <v>15201</v>
      </c>
      <c r="G850" t="str">
        <f t="shared" si="81"/>
        <v>15201</v>
      </c>
      <c r="H850" t="s">
        <v>384</v>
      </c>
      <c r="I850" t="s">
        <v>1265</v>
      </c>
      <c r="J850" t="s">
        <v>1271</v>
      </c>
      <c r="K850" t="s">
        <v>1272</v>
      </c>
      <c r="L850" t="s">
        <v>1341</v>
      </c>
      <c r="M850" t="s">
        <v>1342</v>
      </c>
      <c r="N850">
        <v>1</v>
      </c>
      <c r="O850" t="str">
        <f t="shared" si="84"/>
        <v>47</v>
      </c>
      <c r="P850">
        <v>47</v>
      </c>
      <c r="R850" t="s">
        <v>1269</v>
      </c>
      <c r="S850">
        <v>0.60099999999999998</v>
      </c>
      <c r="T850">
        <v>0.2848</v>
      </c>
      <c r="U850">
        <f t="shared" si="85"/>
        <v>0</v>
      </c>
      <c r="V850" t="str">
        <f t="shared" si="82"/>
        <v>High Nurse</v>
      </c>
      <c r="W850" t="str">
        <f t="shared" si="83"/>
        <v>Nurse</v>
      </c>
    </row>
    <row r="851" spans="1:23" x14ac:dyDescent="0.25">
      <c r="A851">
        <v>15201</v>
      </c>
      <c r="B851" t="s">
        <v>1338</v>
      </c>
      <c r="C851">
        <v>0.4</v>
      </c>
      <c r="D851" t="s">
        <v>1264</v>
      </c>
      <c r="E851">
        <v>100175</v>
      </c>
      <c r="F851">
        <v>15201</v>
      </c>
      <c r="G851" t="str">
        <f t="shared" si="81"/>
        <v>15201</v>
      </c>
      <c r="H851" t="s">
        <v>384</v>
      </c>
      <c r="I851" t="s">
        <v>1265</v>
      </c>
      <c r="J851" t="s">
        <v>1266</v>
      </c>
      <c r="K851" t="s">
        <v>1267</v>
      </c>
      <c r="L851" t="s">
        <v>1338</v>
      </c>
      <c r="M851" t="s">
        <v>1339</v>
      </c>
      <c r="N851">
        <v>1</v>
      </c>
      <c r="O851" t="str">
        <f t="shared" si="84"/>
        <v>47</v>
      </c>
      <c r="P851">
        <v>47</v>
      </c>
      <c r="R851" t="s">
        <v>1269</v>
      </c>
      <c r="S851">
        <v>0.4</v>
      </c>
      <c r="T851">
        <v>0.2848</v>
      </c>
      <c r="U851">
        <f t="shared" si="85"/>
        <v>0</v>
      </c>
      <c r="V851" t="str">
        <f t="shared" si="82"/>
        <v>Middle Nurse</v>
      </c>
      <c r="W851" t="str">
        <f t="shared" si="83"/>
        <v>Nurse</v>
      </c>
    </row>
    <row r="852" spans="1:23" x14ac:dyDescent="0.25">
      <c r="A852">
        <v>15201</v>
      </c>
      <c r="B852" t="s">
        <v>1302</v>
      </c>
      <c r="C852">
        <v>0.80800000000000005</v>
      </c>
      <c r="D852" t="s">
        <v>1264</v>
      </c>
      <c r="E852">
        <v>100175</v>
      </c>
      <c r="F852">
        <v>15201</v>
      </c>
      <c r="G852" t="str">
        <f t="shared" si="81"/>
        <v>15201</v>
      </c>
      <c r="H852" t="s">
        <v>384</v>
      </c>
      <c r="I852" t="s">
        <v>1265</v>
      </c>
      <c r="J852" t="s">
        <v>1276</v>
      </c>
      <c r="K852" t="s">
        <v>1277</v>
      </c>
      <c r="L852" t="s">
        <v>1302</v>
      </c>
      <c r="M852" t="s">
        <v>1336</v>
      </c>
      <c r="N852">
        <v>21</v>
      </c>
      <c r="O852" t="str">
        <f t="shared" si="84"/>
        <v>48</v>
      </c>
      <c r="P852">
        <v>48</v>
      </c>
      <c r="R852" t="s">
        <v>1269</v>
      </c>
      <c r="S852">
        <v>0.80800000000000005</v>
      </c>
      <c r="T852">
        <v>0.2848</v>
      </c>
      <c r="U852">
        <f t="shared" si="85"/>
        <v>0.23</v>
      </c>
      <c r="V852" t="str">
        <f t="shared" si="82"/>
        <v>Elementary Physical Therapist</v>
      </c>
      <c r="W852" t="str">
        <f t="shared" si="83"/>
        <v>Physical Therapist</v>
      </c>
    </row>
    <row r="853" spans="1:23" x14ac:dyDescent="0.25">
      <c r="A853">
        <v>15201</v>
      </c>
      <c r="B853" t="s">
        <v>1330</v>
      </c>
      <c r="C853">
        <v>0.192</v>
      </c>
      <c r="D853" t="s">
        <v>1264</v>
      </c>
      <c r="E853">
        <v>100175</v>
      </c>
      <c r="F853">
        <v>15201</v>
      </c>
      <c r="G853" t="str">
        <f t="shared" si="81"/>
        <v>15201</v>
      </c>
      <c r="H853" t="s">
        <v>384</v>
      </c>
      <c r="I853" t="s">
        <v>1265</v>
      </c>
      <c r="J853" t="s">
        <v>1271</v>
      </c>
      <c r="K853" t="s">
        <v>1272</v>
      </c>
      <c r="L853" t="s">
        <v>1330</v>
      </c>
      <c r="M853" t="s">
        <v>1367</v>
      </c>
      <c r="N853">
        <v>21</v>
      </c>
      <c r="O853" t="str">
        <f t="shared" si="84"/>
        <v>48</v>
      </c>
      <c r="P853">
        <v>48</v>
      </c>
      <c r="R853" t="s">
        <v>1269</v>
      </c>
      <c r="S853">
        <v>0.192</v>
      </c>
      <c r="T853">
        <v>0.2848</v>
      </c>
      <c r="U853">
        <f t="shared" si="85"/>
        <v>5.5E-2</v>
      </c>
      <c r="V853" t="str">
        <f t="shared" si="82"/>
        <v>High Physical Therapist</v>
      </c>
      <c r="W853" t="str">
        <f t="shared" si="83"/>
        <v>Physical Therapist</v>
      </c>
    </row>
    <row r="854" spans="1:23" x14ac:dyDescent="0.25">
      <c r="A854">
        <v>15204</v>
      </c>
      <c r="B854" t="s">
        <v>1308</v>
      </c>
      <c r="C854">
        <v>0.20399999999999999</v>
      </c>
      <c r="D854" t="s">
        <v>1264</v>
      </c>
      <c r="E854">
        <v>100058</v>
      </c>
      <c r="F854">
        <v>15204</v>
      </c>
      <c r="G854" t="str">
        <f t="shared" si="81"/>
        <v>15204</v>
      </c>
      <c r="H854" t="s">
        <v>385</v>
      </c>
      <c r="I854" t="s">
        <v>1265</v>
      </c>
      <c r="J854" t="s">
        <v>1276</v>
      </c>
      <c r="K854" t="s">
        <v>1277</v>
      </c>
      <c r="L854" t="s">
        <v>1308</v>
      </c>
      <c r="M854" t="s">
        <v>1389</v>
      </c>
      <c r="N854">
        <v>1</v>
      </c>
      <c r="O854" t="str">
        <f t="shared" si="84"/>
        <v>25</v>
      </c>
      <c r="Q854">
        <v>25</v>
      </c>
      <c r="R854" t="s">
        <v>1269</v>
      </c>
      <c r="S854">
        <v>0.20399999999999999</v>
      </c>
      <c r="T854">
        <v>0.22170000000000001</v>
      </c>
      <c r="U854">
        <f t="shared" si="85"/>
        <v>0</v>
      </c>
      <c r="V854" t="str">
        <f t="shared" si="82"/>
        <v>Elementary Pupil Management</v>
      </c>
      <c r="W854" t="str">
        <f t="shared" si="83"/>
        <v>Pupil Management</v>
      </c>
    </row>
    <row r="855" spans="1:23" x14ac:dyDescent="0.25">
      <c r="A855">
        <v>15204</v>
      </c>
      <c r="B855" t="s">
        <v>1299</v>
      </c>
      <c r="C855">
        <v>0.104</v>
      </c>
      <c r="D855" t="s">
        <v>1264</v>
      </c>
      <c r="E855">
        <v>100058</v>
      </c>
      <c r="F855">
        <v>15204</v>
      </c>
      <c r="G855" t="str">
        <f t="shared" si="81"/>
        <v>15204</v>
      </c>
      <c r="H855" t="s">
        <v>385</v>
      </c>
      <c r="I855" t="s">
        <v>1265</v>
      </c>
      <c r="J855" t="s">
        <v>1271</v>
      </c>
      <c r="K855" t="s">
        <v>1272</v>
      </c>
      <c r="L855" t="s">
        <v>1299</v>
      </c>
      <c r="M855" t="s">
        <v>1300</v>
      </c>
      <c r="N855">
        <v>1</v>
      </c>
      <c r="O855" t="str">
        <f t="shared" si="84"/>
        <v>25</v>
      </c>
      <c r="Q855">
        <v>25</v>
      </c>
      <c r="R855" t="s">
        <v>1269</v>
      </c>
      <c r="S855">
        <v>0.104</v>
      </c>
      <c r="T855">
        <v>0.22170000000000001</v>
      </c>
      <c r="U855">
        <f t="shared" si="85"/>
        <v>0</v>
      </c>
      <c r="V855" t="str">
        <f t="shared" si="82"/>
        <v>High Pupil Management</v>
      </c>
      <c r="W855" t="str">
        <f t="shared" si="83"/>
        <v>Pupil Management</v>
      </c>
    </row>
    <row r="856" spans="1:23" x14ac:dyDescent="0.25">
      <c r="A856">
        <v>15204</v>
      </c>
      <c r="B856" t="s">
        <v>1363</v>
      </c>
      <c r="C856">
        <v>0.13600000000000001</v>
      </c>
      <c r="D856" t="s">
        <v>1264</v>
      </c>
      <c r="E856">
        <v>100058</v>
      </c>
      <c r="F856">
        <v>15204</v>
      </c>
      <c r="G856" t="str">
        <f t="shared" si="81"/>
        <v>15204</v>
      </c>
      <c r="H856" t="s">
        <v>385</v>
      </c>
      <c r="I856" t="s">
        <v>1265</v>
      </c>
      <c r="J856" t="s">
        <v>1266</v>
      </c>
      <c r="K856" t="s">
        <v>1267</v>
      </c>
      <c r="L856" t="s">
        <v>1363</v>
      </c>
      <c r="M856" t="s">
        <v>1386</v>
      </c>
      <c r="N856">
        <v>1</v>
      </c>
      <c r="O856" t="str">
        <f t="shared" si="84"/>
        <v>25</v>
      </c>
      <c r="Q856">
        <v>25</v>
      </c>
      <c r="R856" t="s">
        <v>1269</v>
      </c>
      <c r="S856">
        <v>0.13600000000000001</v>
      </c>
      <c r="T856">
        <v>0.22170000000000001</v>
      </c>
      <c r="U856">
        <f t="shared" si="85"/>
        <v>0</v>
      </c>
      <c r="V856" t="str">
        <f t="shared" si="82"/>
        <v>Middle Pupil Management</v>
      </c>
      <c r="W856" t="str">
        <f t="shared" si="83"/>
        <v>Pupil Management</v>
      </c>
    </row>
    <row r="857" spans="1:23" x14ac:dyDescent="0.25">
      <c r="A857">
        <v>15204</v>
      </c>
      <c r="B857" t="s">
        <v>1275</v>
      </c>
      <c r="C857">
        <v>0.05</v>
      </c>
      <c r="D857" t="s">
        <v>1264</v>
      </c>
      <c r="E857">
        <v>100058</v>
      </c>
      <c r="F857">
        <v>15204</v>
      </c>
      <c r="G857" t="str">
        <f t="shared" si="81"/>
        <v>15204</v>
      </c>
      <c r="H857" t="s">
        <v>385</v>
      </c>
      <c r="I857" t="s">
        <v>1265</v>
      </c>
      <c r="J857" t="s">
        <v>1276</v>
      </c>
      <c r="K857" t="s">
        <v>1277</v>
      </c>
      <c r="L857" t="s">
        <v>1275</v>
      </c>
      <c r="M857" t="s">
        <v>1278</v>
      </c>
      <c r="N857">
        <v>1</v>
      </c>
      <c r="O857" t="str">
        <f t="shared" si="84"/>
        <v>42</v>
      </c>
      <c r="P857">
        <v>42</v>
      </c>
      <c r="R857" t="s">
        <v>1269</v>
      </c>
      <c r="S857">
        <v>0.05</v>
      </c>
      <c r="T857">
        <v>0.22170000000000001</v>
      </c>
      <c r="U857">
        <f t="shared" si="85"/>
        <v>0</v>
      </c>
      <c r="V857" t="str">
        <f t="shared" si="82"/>
        <v>Elementary Counselor</v>
      </c>
      <c r="W857" t="str">
        <f t="shared" si="83"/>
        <v>Counselor</v>
      </c>
    </row>
    <row r="858" spans="1:23" x14ac:dyDescent="0.25">
      <c r="A858">
        <v>15204</v>
      </c>
      <c r="B858" t="s">
        <v>1270</v>
      </c>
      <c r="C858">
        <v>1</v>
      </c>
      <c r="D858" t="s">
        <v>1264</v>
      </c>
      <c r="E858">
        <v>100058</v>
      </c>
      <c r="F858">
        <v>15204</v>
      </c>
      <c r="G858" t="str">
        <f t="shared" si="81"/>
        <v>15204</v>
      </c>
      <c r="H858" t="s">
        <v>385</v>
      </c>
      <c r="I858" t="s">
        <v>1265</v>
      </c>
      <c r="J858" t="s">
        <v>1271</v>
      </c>
      <c r="K858" t="s">
        <v>1272</v>
      </c>
      <c r="L858" t="s">
        <v>1270</v>
      </c>
      <c r="M858" t="s">
        <v>1273</v>
      </c>
      <c r="N858">
        <v>1</v>
      </c>
      <c r="O858" t="str">
        <f t="shared" si="84"/>
        <v>42</v>
      </c>
      <c r="P858">
        <v>42</v>
      </c>
      <c r="R858" t="s">
        <v>1269</v>
      </c>
      <c r="S858">
        <v>1</v>
      </c>
      <c r="T858">
        <v>0.22170000000000001</v>
      </c>
      <c r="U858">
        <f t="shared" si="85"/>
        <v>0</v>
      </c>
      <c r="V858" t="str">
        <f t="shared" si="82"/>
        <v>High Counselor</v>
      </c>
      <c r="W858" t="str">
        <f t="shared" si="83"/>
        <v>Counselor</v>
      </c>
    </row>
    <row r="859" spans="1:23" x14ac:dyDescent="0.25">
      <c r="A859">
        <v>15204</v>
      </c>
      <c r="B859" t="s">
        <v>1263</v>
      </c>
      <c r="C859">
        <v>1</v>
      </c>
      <c r="D859" t="s">
        <v>1264</v>
      </c>
      <c r="E859">
        <v>100058</v>
      </c>
      <c r="F859">
        <v>15204</v>
      </c>
      <c r="G859" t="str">
        <f t="shared" si="81"/>
        <v>15204</v>
      </c>
      <c r="H859" t="s">
        <v>385</v>
      </c>
      <c r="I859" t="s">
        <v>1265</v>
      </c>
      <c r="J859" t="s">
        <v>1266</v>
      </c>
      <c r="K859" t="s">
        <v>1267</v>
      </c>
      <c r="L859" t="s">
        <v>1263</v>
      </c>
      <c r="M859" t="s">
        <v>1268</v>
      </c>
      <c r="N859">
        <v>1</v>
      </c>
      <c r="O859" t="str">
        <f t="shared" si="84"/>
        <v>42</v>
      </c>
      <c r="P859">
        <v>42</v>
      </c>
      <c r="R859" t="s">
        <v>1269</v>
      </c>
      <c r="S859">
        <v>1</v>
      </c>
      <c r="T859">
        <v>0.22170000000000001</v>
      </c>
      <c r="U859">
        <f t="shared" si="85"/>
        <v>0</v>
      </c>
      <c r="V859" t="str">
        <f t="shared" si="82"/>
        <v>Middle Counselor</v>
      </c>
      <c r="W859" t="str">
        <f t="shared" si="83"/>
        <v>Counselor</v>
      </c>
    </row>
    <row r="860" spans="1:23" x14ac:dyDescent="0.25">
      <c r="A860">
        <v>15204</v>
      </c>
      <c r="B860" t="s">
        <v>1294</v>
      </c>
      <c r="C860">
        <v>0.52</v>
      </c>
      <c r="D860" t="s">
        <v>1264</v>
      </c>
      <c r="E860">
        <v>100058</v>
      </c>
      <c r="F860">
        <v>15204</v>
      </c>
      <c r="G860" t="str">
        <f t="shared" si="81"/>
        <v>15204</v>
      </c>
      <c r="H860" t="s">
        <v>385</v>
      </c>
      <c r="I860" t="s">
        <v>1265</v>
      </c>
      <c r="J860" t="s">
        <v>1276</v>
      </c>
      <c r="K860" t="s">
        <v>1277</v>
      </c>
      <c r="L860" t="s">
        <v>1294</v>
      </c>
      <c r="M860" t="s">
        <v>1354</v>
      </c>
      <c r="N860">
        <v>21</v>
      </c>
      <c r="O860" t="str">
        <f t="shared" si="84"/>
        <v>45</v>
      </c>
      <c r="P860">
        <v>45</v>
      </c>
      <c r="R860" t="s">
        <v>1269</v>
      </c>
      <c r="S860">
        <v>0.52</v>
      </c>
      <c r="T860">
        <v>0.22170000000000001</v>
      </c>
      <c r="U860">
        <f t="shared" si="85"/>
        <v>0.115</v>
      </c>
      <c r="V860" t="str">
        <f t="shared" si="82"/>
        <v>Elementary Speech, Language Pathway/
Audio</v>
      </c>
      <c r="W860" t="str">
        <f t="shared" si="83"/>
        <v>Speech, Language Pathway/
Audio</v>
      </c>
    </row>
    <row r="861" spans="1:23" x14ac:dyDescent="0.25">
      <c r="A861">
        <v>15204</v>
      </c>
      <c r="B861" t="s">
        <v>1326</v>
      </c>
      <c r="C861">
        <v>0.32</v>
      </c>
      <c r="D861" t="s">
        <v>1264</v>
      </c>
      <c r="E861">
        <v>100058</v>
      </c>
      <c r="F861">
        <v>15204</v>
      </c>
      <c r="G861" t="str">
        <f t="shared" si="81"/>
        <v>15204</v>
      </c>
      <c r="H861" t="s">
        <v>385</v>
      </c>
      <c r="I861" t="s">
        <v>1265</v>
      </c>
      <c r="J861" t="s">
        <v>1271</v>
      </c>
      <c r="K861" t="s">
        <v>1272</v>
      </c>
      <c r="L861" t="s">
        <v>1326</v>
      </c>
      <c r="M861" t="s">
        <v>1353</v>
      </c>
      <c r="N861">
        <v>21</v>
      </c>
      <c r="O861" t="str">
        <f t="shared" si="84"/>
        <v>45</v>
      </c>
      <c r="P861">
        <v>45</v>
      </c>
      <c r="R861" t="s">
        <v>1269</v>
      </c>
      <c r="S861">
        <v>0.32</v>
      </c>
      <c r="T861">
        <v>0.22170000000000001</v>
      </c>
      <c r="U861">
        <f t="shared" si="85"/>
        <v>7.0999999999999994E-2</v>
      </c>
      <c r="V861" t="str">
        <f t="shared" si="82"/>
        <v>High Speech, Language Pathway/
Audio</v>
      </c>
      <c r="W861" t="str">
        <f t="shared" si="83"/>
        <v>Speech, Language Pathway/
Audio</v>
      </c>
    </row>
    <row r="862" spans="1:23" x14ac:dyDescent="0.25">
      <c r="A862">
        <v>15204</v>
      </c>
      <c r="B862" t="s">
        <v>1312</v>
      </c>
      <c r="C862">
        <v>0.16</v>
      </c>
      <c r="D862" t="s">
        <v>1264</v>
      </c>
      <c r="E862">
        <v>100058</v>
      </c>
      <c r="F862">
        <v>15204</v>
      </c>
      <c r="G862" t="str">
        <f t="shared" si="81"/>
        <v>15204</v>
      </c>
      <c r="H862" t="s">
        <v>385</v>
      </c>
      <c r="I862" t="s">
        <v>1265</v>
      </c>
      <c r="J862" t="s">
        <v>1266</v>
      </c>
      <c r="K862" t="s">
        <v>1267</v>
      </c>
      <c r="L862" t="s">
        <v>1312</v>
      </c>
      <c r="M862" t="s">
        <v>1351</v>
      </c>
      <c r="N862">
        <v>21</v>
      </c>
      <c r="O862" t="str">
        <f t="shared" si="84"/>
        <v>45</v>
      </c>
      <c r="P862">
        <v>45</v>
      </c>
      <c r="R862" t="s">
        <v>1269</v>
      </c>
      <c r="S862">
        <v>0.16</v>
      </c>
      <c r="T862">
        <v>0.22170000000000001</v>
      </c>
      <c r="U862">
        <f t="shared" si="85"/>
        <v>3.5000000000000003E-2</v>
      </c>
      <c r="V862" t="str">
        <f t="shared" si="82"/>
        <v>Middle Speech, Language Pathway/
Audio</v>
      </c>
      <c r="W862" t="str">
        <f t="shared" si="83"/>
        <v>Speech, Language Pathway/
Audio</v>
      </c>
    </row>
    <row r="863" spans="1:23" x14ac:dyDescent="0.25">
      <c r="A863">
        <v>15204</v>
      </c>
      <c r="B863" t="s">
        <v>1333</v>
      </c>
      <c r="C863">
        <v>0.4</v>
      </c>
      <c r="D863" t="s">
        <v>1264</v>
      </c>
      <c r="E863">
        <v>100058</v>
      </c>
      <c r="F863">
        <v>15204</v>
      </c>
      <c r="G863" t="str">
        <f t="shared" si="81"/>
        <v>15204</v>
      </c>
      <c r="H863" t="s">
        <v>385</v>
      </c>
      <c r="I863" t="s">
        <v>1265</v>
      </c>
      <c r="J863" t="s">
        <v>1276</v>
      </c>
      <c r="K863" t="s">
        <v>1277</v>
      </c>
      <c r="L863" t="s">
        <v>1333</v>
      </c>
      <c r="M863" t="s">
        <v>1432</v>
      </c>
      <c r="N863">
        <v>1</v>
      </c>
      <c r="O863" t="str">
        <f t="shared" si="84"/>
        <v>46</v>
      </c>
      <c r="P863">
        <v>46</v>
      </c>
      <c r="R863" t="s">
        <v>1269</v>
      </c>
      <c r="S863">
        <v>0.4</v>
      </c>
      <c r="T863">
        <v>0.22170000000000001</v>
      </c>
      <c r="U863">
        <f t="shared" si="85"/>
        <v>0</v>
      </c>
      <c r="V863" t="str">
        <f t="shared" si="82"/>
        <v>Elementary Psychologist</v>
      </c>
      <c r="W863" t="str">
        <f t="shared" si="83"/>
        <v>Psychologist</v>
      </c>
    </row>
    <row r="864" spans="1:23" x14ac:dyDescent="0.25">
      <c r="A864">
        <v>15204</v>
      </c>
      <c r="B864" t="s">
        <v>1396</v>
      </c>
      <c r="C864">
        <v>0.1</v>
      </c>
      <c r="D864" t="s">
        <v>1264</v>
      </c>
      <c r="E864">
        <v>100058</v>
      </c>
      <c r="F864">
        <v>15204</v>
      </c>
      <c r="G864" t="str">
        <f t="shared" si="81"/>
        <v>15204</v>
      </c>
      <c r="H864" t="s">
        <v>385</v>
      </c>
      <c r="I864" t="s">
        <v>1265</v>
      </c>
      <c r="J864" t="s">
        <v>1271</v>
      </c>
      <c r="K864" t="s">
        <v>1272</v>
      </c>
      <c r="L864" t="s">
        <v>1396</v>
      </c>
      <c r="M864" t="s">
        <v>1431</v>
      </c>
      <c r="N864">
        <v>1</v>
      </c>
      <c r="O864" t="str">
        <f t="shared" si="84"/>
        <v>46</v>
      </c>
      <c r="P864">
        <v>46</v>
      </c>
      <c r="R864" t="s">
        <v>1269</v>
      </c>
      <c r="S864">
        <v>0.1</v>
      </c>
      <c r="T864">
        <v>0.22170000000000001</v>
      </c>
      <c r="U864">
        <f t="shared" si="85"/>
        <v>0</v>
      </c>
      <c r="V864" t="str">
        <f t="shared" si="82"/>
        <v>High Psychologist</v>
      </c>
      <c r="W864" t="str">
        <f t="shared" si="83"/>
        <v>Psychologist</v>
      </c>
    </row>
    <row r="865" spans="1:23" x14ac:dyDescent="0.25">
      <c r="A865">
        <v>15204</v>
      </c>
      <c r="B865" t="s">
        <v>1371</v>
      </c>
      <c r="C865">
        <v>0.3</v>
      </c>
      <c r="D865" t="s">
        <v>1264</v>
      </c>
      <c r="E865">
        <v>100058</v>
      </c>
      <c r="F865">
        <v>15204</v>
      </c>
      <c r="G865" t="str">
        <f t="shared" si="81"/>
        <v>15204</v>
      </c>
      <c r="H865" t="s">
        <v>385</v>
      </c>
      <c r="I865" t="s">
        <v>1265</v>
      </c>
      <c r="J865" t="s">
        <v>1266</v>
      </c>
      <c r="K865" t="s">
        <v>1267</v>
      </c>
      <c r="L865" t="s">
        <v>1371</v>
      </c>
      <c r="M865" t="s">
        <v>1430</v>
      </c>
      <c r="N865">
        <v>1</v>
      </c>
      <c r="O865" t="str">
        <f t="shared" si="84"/>
        <v>46</v>
      </c>
      <c r="P865">
        <v>46</v>
      </c>
      <c r="R865" t="s">
        <v>1269</v>
      </c>
      <c r="S865">
        <v>0.3</v>
      </c>
      <c r="T865">
        <v>0.22170000000000001</v>
      </c>
      <c r="U865">
        <f t="shared" si="85"/>
        <v>0</v>
      </c>
      <c r="V865" t="str">
        <f t="shared" si="82"/>
        <v>Middle Psychologist</v>
      </c>
      <c r="W865" t="str">
        <f t="shared" si="83"/>
        <v>Psychologist</v>
      </c>
    </row>
    <row r="866" spans="1:23" x14ac:dyDescent="0.25">
      <c r="A866">
        <v>15206</v>
      </c>
      <c r="B866" t="s">
        <v>1315</v>
      </c>
      <c r="C866">
        <v>0.66400000000000003</v>
      </c>
      <c r="D866" t="s">
        <v>1264</v>
      </c>
      <c r="E866">
        <v>100245</v>
      </c>
      <c r="F866">
        <v>15206</v>
      </c>
      <c r="G866" t="str">
        <f t="shared" si="81"/>
        <v>15206</v>
      </c>
      <c r="H866" t="s">
        <v>386</v>
      </c>
      <c r="I866" t="s">
        <v>1265</v>
      </c>
      <c r="J866" t="s">
        <v>1276</v>
      </c>
      <c r="K866" t="s">
        <v>1277</v>
      </c>
      <c r="L866" t="s">
        <v>1315</v>
      </c>
      <c r="M866" t="s">
        <v>1375</v>
      </c>
      <c r="N866">
        <v>1</v>
      </c>
      <c r="O866" t="str">
        <f t="shared" si="84"/>
        <v>26</v>
      </c>
      <c r="Q866">
        <v>26</v>
      </c>
      <c r="R866" t="s">
        <v>1269</v>
      </c>
      <c r="S866">
        <v>0.66400000000000003</v>
      </c>
      <c r="T866">
        <v>0.22600000000000001</v>
      </c>
      <c r="U866">
        <f t="shared" si="85"/>
        <v>0</v>
      </c>
      <c r="V866" t="str">
        <f t="shared" si="82"/>
        <v>Elementary Health/
Related Services</v>
      </c>
      <c r="W866" t="str">
        <f t="shared" si="83"/>
        <v>Health/
Related Services</v>
      </c>
    </row>
    <row r="867" spans="1:23" x14ac:dyDescent="0.25">
      <c r="A867">
        <v>15206</v>
      </c>
      <c r="B867" t="s">
        <v>1270</v>
      </c>
      <c r="C867">
        <v>2</v>
      </c>
      <c r="D867" t="s">
        <v>1264</v>
      </c>
      <c r="E867">
        <v>100245</v>
      </c>
      <c r="F867">
        <v>15206</v>
      </c>
      <c r="G867" t="str">
        <f t="shared" si="81"/>
        <v>15206</v>
      </c>
      <c r="H867" t="s">
        <v>386</v>
      </c>
      <c r="I867" t="s">
        <v>1265</v>
      </c>
      <c r="J867" t="s">
        <v>1271</v>
      </c>
      <c r="K867" t="s">
        <v>1272</v>
      </c>
      <c r="L867" t="s">
        <v>1270</v>
      </c>
      <c r="M867" t="s">
        <v>1273</v>
      </c>
      <c r="N867">
        <v>1</v>
      </c>
      <c r="O867" t="str">
        <f t="shared" si="84"/>
        <v>42</v>
      </c>
      <c r="P867">
        <v>42</v>
      </c>
      <c r="R867" t="s">
        <v>1269</v>
      </c>
      <c r="S867">
        <v>2</v>
      </c>
      <c r="T867">
        <v>0.22600000000000001</v>
      </c>
      <c r="U867">
        <f t="shared" si="85"/>
        <v>0</v>
      </c>
      <c r="V867" t="str">
        <f t="shared" si="82"/>
        <v>High Counselor</v>
      </c>
      <c r="W867" t="str">
        <f t="shared" si="83"/>
        <v>Counselor</v>
      </c>
    </row>
    <row r="868" spans="1:23" x14ac:dyDescent="0.25">
      <c r="A868">
        <v>15206</v>
      </c>
      <c r="B868" t="s">
        <v>1263</v>
      </c>
      <c r="C868">
        <v>1</v>
      </c>
      <c r="D868" t="s">
        <v>1264</v>
      </c>
      <c r="E868">
        <v>100245</v>
      </c>
      <c r="F868">
        <v>15206</v>
      </c>
      <c r="G868" t="str">
        <f t="shared" si="81"/>
        <v>15206</v>
      </c>
      <c r="H868" t="s">
        <v>386</v>
      </c>
      <c r="I868" t="s">
        <v>1265</v>
      </c>
      <c r="J868" t="s">
        <v>1266</v>
      </c>
      <c r="K868" t="s">
        <v>1267</v>
      </c>
      <c r="L868" t="s">
        <v>1263</v>
      </c>
      <c r="M868" t="s">
        <v>1268</v>
      </c>
      <c r="N868">
        <v>1</v>
      </c>
      <c r="O868" t="str">
        <f t="shared" si="84"/>
        <v>42</v>
      </c>
      <c r="P868">
        <v>42</v>
      </c>
      <c r="R868" t="s">
        <v>1269</v>
      </c>
      <c r="S868">
        <v>1</v>
      </c>
      <c r="T868">
        <v>0.22600000000000001</v>
      </c>
      <c r="U868">
        <f t="shared" si="85"/>
        <v>0</v>
      </c>
      <c r="V868" t="str">
        <f t="shared" si="82"/>
        <v>Middle Counselor</v>
      </c>
      <c r="W868" t="str">
        <f t="shared" si="83"/>
        <v>Counselor</v>
      </c>
    </row>
    <row r="869" spans="1:23" x14ac:dyDescent="0.25">
      <c r="A869">
        <v>15206</v>
      </c>
      <c r="B869" t="s">
        <v>1289</v>
      </c>
      <c r="C869">
        <v>0.8</v>
      </c>
      <c r="D869" t="s">
        <v>1264</v>
      </c>
      <c r="E869">
        <v>100245</v>
      </c>
      <c r="F869">
        <v>15206</v>
      </c>
      <c r="G869" t="str">
        <f t="shared" si="81"/>
        <v>15206</v>
      </c>
      <c r="H869" t="s">
        <v>386</v>
      </c>
      <c r="I869" t="s">
        <v>1265</v>
      </c>
      <c r="J869" t="s">
        <v>1276</v>
      </c>
      <c r="K869" t="s">
        <v>1277</v>
      </c>
      <c r="L869" t="s">
        <v>1289</v>
      </c>
      <c r="M869" t="s">
        <v>1307</v>
      </c>
      <c r="N869">
        <v>21</v>
      </c>
      <c r="O869" t="str">
        <f t="shared" si="84"/>
        <v>43</v>
      </c>
      <c r="P869">
        <v>43</v>
      </c>
      <c r="R869" t="s">
        <v>1269</v>
      </c>
      <c r="S869">
        <v>0.8</v>
      </c>
      <c r="T869">
        <v>0.22600000000000001</v>
      </c>
      <c r="U869">
        <f t="shared" si="85"/>
        <v>0.18099999999999999</v>
      </c>
      <c r="V869" t="str">
        <f t="shared" si="82"/>
        <v>Elementary Occupational Therapist</v>
      </c>
      <c r="W869" t="str">
        <f t="shared" si="83"/>
        <v>Occupational Therapist</v>
      </c>
    </row>
    <row r="870" spans="1:23" x14ac:dyDescent="0.25">
      <c r="A870">
        <v>15206</v>
      </c>
      <c r="B870" t="s">
        <v>1294</v>
      </c>
      <c r="C870">
        <v>0.46800000000000003</v>
      </c>
      <c r="D870" t="s">
        <v>1264</v>
      </c>
      <c r="E870">
        <v>100245</v>
      </c>
      <c r="F870">
        <v>15206</v>
      </c>
      <c r="G870" t="str">
        <f t="shared" si="81"/>
        <v>15206</v>
      </c>
      <c r="H870" t="s">
        <v>386</v>
      </c>
      <c r="I870" t="s">
        <v>1265</v>
      </c>
      <c r="J870" t="s">
        <v>1276</v>
      </c>
      <c r="K870" t="s">
        <v>1277</v>
      </c>
      <c r="L870" t="s">
        <v>1294</v>
      </c>
      <c r="M870" t="s">
        <v>1354</v>
      </c>
      <c r="N870">
        <v>21</v>
      </c>
      <c r="O870" t="str">
        <f t="shared" si="84"/>
        <v>45</v>
      </c>
      <c r="P870">
        <v>45</v>
      </c>
      <c r="R870" t="s">
        <v>1269</v>
      </c>
      <c r="S870">
        <v>0.46800000000000003</v>
      </c>
      <c r="T870">
        <v>0.22600000000000001</v>
      </c>
      <c r="U870">
        <f t="shared" si="85"/>
        <v>0.106</v>
      </c>
      <c r="V870" t="str">
        <f t="shared" si="82"/>
        <v>Elementary Speech, Language Pathway/
Audio</v>
      </c>
      <c r="W870" t="str">
        <f t="shared" si="83"/>
        <v>Speech, Language Pathway/
Audio</v>
      </c>
    </row>
    <row r="871" spans="1:23" x14ac:dyDescent="0.25">
      <c r="A871">
        <v>15206</v>
      </c>
      <c r="B871" t="s">
        <v>1298</v>
      </c>
      <c r="C871">
        <v>1</v>
      </c>
      <c r="D871" t="s">
        <v>1264</v>
      </c>
      <c r="E871">
        <v>100245</v>
      </c>
      <c r="F871">
        <v>15206</v>
      </c>
      <c r="G871" t="str">
        <f t="shared" si="81"/>
        <v>15206</v>
      </c>
      <c r="H871" t="s">
        <v>386</v>
      </c>
      <c r="I871" t="s">
        <v>1265</v>
      </c>
      <c r="J871" t="s">
        <v>1276</v>
      </c>
      <c r="K871" t="s">
        <v>1277</v>
      </c>
      <c r="L871" t="s">
        <v>1298</v>
      </c>
      <c r="M871" t="s">
        <v>1349</v>
      </c>
      <c r="N871">
        <v>21</v>
      </c>
      <c r="O871" t="str">
        <f t="shared" si="84"/>
        <v>46</v>
      </c>
      <c r="P871">
        <v>46</v>
      </c>
      <c r="R871" t="s">
        <v>1269</v>
      </c>
      <c r="S871">
        <v>1</v>
      </c>
      <c r="T871">
        <v>0.22600000000000001</v>
      </c>
      <c r="U871">
        <f t="shared" si="85"/>
        <v>0.22600000000000001</v>
      </c>
      <c r="V871" t="str">
        <f t="shared" si="82"/>
        <v>Elementary Psychologist</v>
      </c>
      <c r="W871" t="str">
        <f t="shared" si="83"/>
        <v>Psychologist</v>
      </c>
    </row>
    <row r="872" spans="1:23" x14ac:dyDescent="0.25">
      <c r="A872">
        <v>15206</v>
      </c>
      <c r="B872" t="s">
        <v>1309</v>
      </c>
      <c r="C872">
        <v>0.42</v>
      </c>
      <c r="D872" t="s">
        <v>1264</v>
      </c>
      <c r="E872">
        <v>100245</v>
      </c>
      <c r="F872">
        <v>15206</v>
      </c>
      <c r="G872" t="str">
        <f t="shared" si="81"/>
        <v>15206</v>
      </c>
      <c r="H872" t="s">
        <v>386</v>
      </c>
      <c r="I872" t="s">
        <v>1265</v>
      </c>
      <c r="J872" t="s">
        <v>1271</v>
      </c>
      <c r="K872" t="s">
        <v>1272</v>
      </c>
      <c r="L872" t="s">
        <v>1309</v>
      </c>
      <c r="M872" t="s">
        <v>1310</v>
      </c>
      <c r="N872">
        <v>21</v>
      </c>
      <c r="O872" t="str">
        <f t="shared" si="84"/>
        <v>46</v>
      </c>
      <c r="P872">
        <v>46</v>
      </c>
      <c r="R872" t="s">
        <v>1269</v>
      </c>
      <c r="S872">
        <v>0.42</v>
      </c>
      <c r="T872">
        <v>0.22600000000000001</v>
      </c>
      <c r="U872">
        <f t="shared" si="85"/>
        <v>9.5000000000000001E-2</v>
      </c>
      <c r="V872" t="str">
        <f t="shared" si="82"/>
        <v>High Psychologist</v>
      </c>
      <c r="W872" t="str">
        <f t="shared" si="83"/>
        <v>Psychologist</v>
      </c>
    </row>
    <row r="873" spans="1:23" x14ac:dyDescent="0.25">
      <c r="A873">
        <v>15206</v>
      </c>
      <c r="B873" t="s">
        <v>1345</v>
      </c>
      <c r="C873">
        <v>0.28000000000000003</v>
      </c>
      <c r="D873" t="s">
        <v>1264</v>
      </c>
      <c r="E873">
        <v>100245</v>
      </c>
      <c r="F873">
        <v>15206</v>
      </c>
      <c r="G873" t="str">
        <f t="shared" si="81"/>
        <v>15206</v>
      </c>
      <c r="H873" t="s">
        <v>386</v>
      </c>
      <c r="I873" t="s">
        <v>1265</v>
      </c>
      <c r="J873" t="s">
        <v>1266</v>
      </c>
      <c r="K873" t="s">
        <v>1267</v>
      </c>
      <c r="L873" t="s">
        <v>1345</v>
      </c>
      <c r="M873" t="s">
        <v>1346</v>
      </c>
      <c r="N873">
        <v>21</v>
      </c>
      <c r="O873" t="str">
        <f t="shared" si="84"/>
        <v>46</v>
      </c>
      <c r="P873">
        <v>46</v>
      </c>
      <c r="R873" t="s">
        <v>1269</v>
      </c>
      <c r="S873">
        <v>0.28000000000000003</v>
      </c>
      <c r="T873">
        <v>0.22600000000000001</v>
      </c>
      <c r="U873">
        <f t="shared" si="85"/>
        <v>6.3E-2</v>
      </c>
      <c r="V873" t="str">
        <f t="shared" si="82"/>
        <v>Middle Psychologist</v>
      </c>
      <c r="W873" t="str">
        <f t="shared" si="83"/>
        <v>Psychologist</v>
      </c>
    </row>
    <row r="874" spans="1:23" x14ac:dyDescent="0.25">
      <c r="A874">
        <v>15206</v>
      </c>
      <c r="B874" t="s">
        <v>1341</v>
      </c>
      <c r="C874">
        <v>0.7</v>
      </c>
      <c r="D874" t="s">
        <v>1264</v>
      </c>
      <c r="E874">
        <v>100245</v>
      </c>
      <c r="F874">
        <v>15206</v>
      </c>
      <c r="G874" t="str">
        <f t="shared" si="81"/>
        <v>15206</v>
      </c>
      <c r="H874" t="s">
        <v>386</v>
      </c>
      <c r="I874" t="s">
        <v>1265</v>
      </c>
      <c r="J874" t="s">
        <v>1271</v>
      </c>
      <c r="K874" t="s">
        <v>1272</v>
      </c>
      <c r="L874" t="s">
        <v>1341</v>
      </c>
      <c r="M874" t="s">
        <v>1342</v>
      </c>
      <c r="N874">
        <v>1</v>
      </c>
      <c r="O874" t="str">
        <f t="shared" si="84"/>
        <v>47</v>
      </c>
      <c r="P874">
        <v>47</v>
      </c>
      <c r="R874" t="s">
        <v>1269</v>
      </c>
      <c r="S874">
        <v>0.7</v>
      </c>
      <c r="T874">
        <v>0.22600000000000001</v>
      </c>
      <c r="U874">
        <f t="shared" si="85"/>
        <v>0</v>
      </c>
      <c r="V874" t="str">
        <f t="shared" si="82"/>
        <v>High Nurse</v>
      </c>
      <c r="W874" t="str">
        <f t="shared" si="83"/>
        <v>Nurse</v>
      </c>
    </row>
    <row r="875" spans="1:23" x14ac:dyDescent="0.25">
      <c r="A875">
        <v>15206</v>
      </c>
      <c r="B875" t="s">
        <v>1338</v>
      </c>
      <c r="C875">
        <v>0.3</v>
      </c>
      <c r="D875" t="s">
        <v>1264</v>
      </c>
      <c r="E875">
        <v>100245</v>
      </c>
      <c r="F875">
        <v>15206</v>
      </c>
      <c r="G875" t="str">
        <f t="shared" si="81"/>
        <v>15206</v>
      </c>
      <c r="H875" t="s">
        <v>386</v>
      </c>
      <c r="I875" t="s">
        <v>1265</v>
      </c>
      <c r="J875" t="s">
        <v>1266</v>
      </c>
      <c r="K875" t="s">
        <v>1267</v>
      </c>
      <c r="L875" t="s">
        <v>1338</v>
      </c>
      <c r="M875" t="s">
        <v>1339</v>
      </c>
      <c r="N875">
        <v>1</v>
      </c>
      <c r="O875" t="str">
        <f t="shared" si="84"/>
        <v>47</v>
      </c>
      <c r="P875">
        <v>47</v>
      </c>
      <c r="R875" t="s">
        <v>1269</v>
      </c>
      <c r="S875">
        <v>0.3</v>
      </c>
      <c r="T875">
        <v>0.22600000000000001</v>
      </c>
      <c r="U875">
        <f t="shared" si="85"/>
        <v>0</v>
      </c>
      <c r="V875" t="str">
        <f t="shared" si="82"/>
        <v>Middle Nurse</v>
      </c>
      <c r="W875" t="str">
        <f t="shared" si="83"/>
        <v>Nurse</v>
      </c>
    </row>
    <row r="876" spans="1:23" x14ac:dyDescent="0.25">
      <c r="A876">
        <v>16020</v>
      </c>
      <c r="B876" t="s">
        <v>1308</v>
      </c>
      <c r="C876">
        <v>4.5999999999999999E-2</v>
      </c>
      <c r="D876" t="s">
        <v>1264</v>
      </c>
      <c r="E876">
        <v>100208</v>
      </c>
      <c r="F876">
        <v>16020</v>
      </c>
      <c r="G876" t="str">
        <f t="shared" si="81"/>
        <v>16020</v>
      </c>
      <c r="H876" t="s">
        <v>387</v>
      </c>
      <c r="I876" t="s">
        <v>1265</v>
      </c>
      <c r="J876" t="s">
        <v>1276</v>
      </c>
      <c r="K876" t="s">
        <v>1277</v>
      </c>
      <c r="L876" t="s">
        <v>1308</v>
      </c>
      <c r="M876" t="s">
        <v>1389</v>
      </c>
      <c r="N876">
        <v>1</v>
      </c>
      <c r="O876" t="str">
        <f t="shared" si="84"/>
        <v>25</v>
      </c>
      <c r="Q876">
        <v>25</v>
      </c>
      <c r="R876" t="s">
        <v>1269</v>
      </c>
      <c r="S876">
        <v>4.5999999999999999E-2</v>
      </c>
      <c r="T876">
        <v>9.2499999999999999E-2</v>
      </c>
      <c r="U876">
        <f t="shared" si="85"/>
        <v>0</v>
      </c>
      <c r="V876" t="str">
        <f t="shared" si="82"/>
        <v>Elementary Pupil Management</v>
      </c>
      <c r="W876" t="str">
        <f t="shared" si="83"/>
        <v>Pupil Management</v>
      </c>
    </row>
    <row r="877" spans="1:23" x14ac:dyDescent="0.25">
      <c r="A877">
        <v>16046</v>
      </c>
      <c r="B877" t="s">
        <v>1299</v>
      </c>
      <c r="C877">
        <v>0.30499999999999999</v>
      </c>
      <c r="D877" t="s">
        <v>1264</v>
      </c>
      <c r="E877">
        <v>100029</v>
      </c>
      <c r="F877">
        <v>16046</v>
      </c>
      <c r="G877" t="str">
        <f t="shared" si="81"/>
        <v>16046</v>
      </c>
      <c r="H877" t="s">
        <v>388</v>
      </c>
      <c r="I877" t="s">
        <v>1265</v>
      </c>
      <c r="J877" t="s">
        <v>1271</v>
      </c>
      <c r="K877" t="s">
        <v>1272</v>
      </c>
      <c r="L877" t="s">
        <v>1299</v>
      </c>
      <c r="M877" t="s">
        <v>1300</v>
      </c>
      <c r="N877">
        <v>1</v>
      </c>
      <c r="O877" t="str">
        <f t="shared" si="84"/>
        <v>25</v>
      </c>
      <c r="Q877">
        <v>25</v>
      </c>
      <c r="R877" t="s">
        <v>1269</v>
      </c>
      <c r="S877">
        <v>0.30499999999999999</v>
      </c>
      <c r="T877">
        <v>9.8699999999999996E-2</v>
      </c>
      <c r="U877">
        <f t="shared" si="85"/>
        <v>0</v>
      </c>
      <c r="V877" t="str">
        <f t="shared" si="82"/>
        <v>High Pupil Management</v>
      </c>
      <c r="W877" t="str">
        <f t="shared" si="83"/>
        <v>Pupil Management</v>
      </c>
    </row>
    <row r="878" spans="1:23" x14ac:dyDescent="0.25">
      <c r="A878">
        <v>16046</v>
      </c>
      <c r="B878" t="s">
        <v>1324</v>
      </c>
      <c r="C878">
        <v>8.0000000000000002E-3</v>
      </c>
      <c r="D878" t="s">
        <v>1264</v>
      </c>
      <c r="E878">
        <v>100029</v>
      </c>
      <c r="F878">
        <v>16046</v>
      </c>
      <c r="G878" t="str">
        <f t="shared" si="81"/>
        <v>16046</v>
      </c>
      <c r="H878" t="s">
        <v>388</v>
      </c>
      <c r="I878" t="s">
        <v>1265</v>
      </c>
      <c r="J878" t="s">
        <v>1271</v>
      </c>
      <c r="K878" t="s">
        <v>1272</v>
      </c>
      <c r="L878" t="s">
        <v>1324</v>
      </c>
      <c r="M878" t="s">
        <v>1325</v>
      </c>
      <c r="N878">
        <v>21</v>
      </c>
      <c r="O878" t="str">
        <f t="shared" si="84"/>
        <v>26</v>
      </c>
      <c r="Q878">
        <v>26</v>
      </c>
      <c r="R878" t="s">
        <v>1269</v>
      </c>
      <c r="S878">
        <v>8.0000000000000002E-3</v>
      </c>
      <c r="T878">
        <v>9.8699999999999996E-2</v>
      </c>
      <c r="U878">
        <f t="shared" si="85"/>
        <v>1E-3</v>
      </c>
      <c r="V878" t="str">
        <f t="shared" si="82"/>
        <v>High Health/
Related Services</v>
      </c>
      <c r="W878" t="str">
        <f t="shared" si="83"/>
        <v>Health/
Related Services</v>
      </c>
    </row>
    <row r="879" spans="1:23" x14ac:dyDescent="0.25">
      <c r="A879">
        <v>16048</v>
      </c>
      <c r="B879" t="s">
        <v>1299</v>
      </c>
      <c r="C879">
        <v>0.84</v>
      </c>
      <c r="D879" t="s">
        <v>1264</v>
      </c>
      <c r="E879">
        <v>100209</v>
      </c>
      <c r="F879">
        <v>16048</v>
      </c>
      <c r="G879" t="str">
        <f t="shared" si="81"/>
        <v>16048</v>
      </c>
      <c r="H879" t="s">
        <v>389</v>
      </c>
      <c r="I879" t="s">
        <v>1265</v>
      </c>
      <c r="J879" t="s">
        <v>1271</v>
      </c>
      <c r="K879" t="s">
        <v>1272</v>
      </c>
      <c r="L879" t="s">
        <v>1299</v>
      </c>
      <c r="M879" t="s">
        <v>1300</v>
      </c>
      <c r="N879">
        <v>1</v>
      </c>
      <c r="O879" t="str">
        <f t="shared" si="84"/>
        <v>25</v>
      </c>
      <c r="Q879">
        <v>25</v>
      </c>
      <c r="R879" t="s">
        <v>1269</v>
      </c>
      <c r="S879">
        <v>0.84</v>
      </c>
      <c r="T879">
        <v>0.1036</v>
      </c>
      <c r="U879">
        <f t="shared" si="85"/>
        <v>0</v>
      </c>
      <c r="V879" t="str">
        <f t="shared" si="82"/>
        <v>High Pupil Management</v>
      </c>
      <c r="W879" t="str">
        <f t="shared" si="83"/>
        <v>Pupil Management</v>
      </c>
    </row>
    <row r="880" spans="1:23" x14ac:dyDescent="0.25">
      <c r="A880">
        <v>16048</v>
      </c>
      <c r="B880" t="s">
        <v>1275</v>
      </c>
      <c r="C880">
        <v>0.44900000000000001</v>
      </c>
      <c r="D880" t="s">
        <v>1264</v>
      </c>
      <c r="E880">
        <v>100209</v>
      </c>
      <c r="F880">
        <v>16048</v>
      </c>
      <c r="G880" t="str">
        <f t="shared" si="81"/>
        <v>16048</v>
      </c>
      <c r="H880" t="s">
        <v>389</v>
      </c>
      <c r="I880" t="s">
        <v>1265</v>
      </c>
      <c r="J880" t="s">
        <v>1276</v>
      </c>
      <c r="K880" t="s">
        <v>1277</v>
      </c>
      <c r="L880" t="s">
        <v>1275</v>
      </c>
      <c r="M880" t="s">
        <v>1278</v>
      </c>
      <c r="N880">
        <v>1</v>
      </c>
      <c r="O880" t="str">
        <f t="shared" si="84"/>
        <v>42</v>
      </c>
      <c r="P880">
        <v>42</v>
      </c>
      <c r="R880" t="s">
        <v>1269</v>
      </c>
      <c r="S880">
        <v>0.44900000000000001</v>
      </c>
      <c r="T880">
        <v>0.1036</v>
      </c>
      <c r="U880">
        <f t="shared" si="85"/>
        <v>0</v>
      </c>
      <c r="V880" t="str">
        <f t="shared" si="82"/>
        <v>Elementary Counselor</v>
      </c>
      <c r="W880" t="str">
        <f t="shared" si="83"/>
        <v>Counselor</v>
      </c>
    </row>
    <row r="881" spans="1:23" x14ac:dyDescent="0.25">
      <c r="A881">
        <v>16048</v>
      </c>
      <c r="B881" t="s">
        <v>1270</v>
      </c>
      <c r="C881">
        <v>0.4</v>
      </c>
      <c r="D881" t="s">
        <v>1264</v>
      </c>
      <c r="E881">
        <v>100209</v>
      </c>
      <c r="F881">
        <v>16048</v>
      </c>
      <c r="G881" t="str">
        <f t="shared" si="81"/>
        <v>16048</v>
      </c>
      <c r="H881" t="s">
        <v>389</v>
      </c>
      <c r="I881" t="s">
        <v>1265</v>
      </c>
      <c r="J881" t="s">
        <v>1271</v>
      </c>
      <c r="K881" t="s">
        <v>1272</v>
      </c>
      <c r="L881" t="s">
        <v>1270</v>
      </c>
      <c r="M881" t="s">
        <v>1273</v>
      </c>
      <c r="N881">
        <v>1</v>
      </c>
      <c r="O881" t="str">
        <f t="shared" si="84"/>
        <v>42</v>
      </c>
      <c r="P881">
        <v>42</v>
      </c>
      <c r="R881" t="s">
        <v>1269</v>
      </c>
      <c r="S881">
        <v>0.4</v>
      </c>
      <c r="T881">
        <v>0.1036</v>
      </c>
      <c r="U881">
        <f t="shared" si="85"/>
        <v>0</v>
      </c>
      <c r="V881" t="str">
        <f t="shared" si="82"/>
        <v>High Counselor</v>
      </c>
      <c r="W881" t="str">
        <f t="shared" si="83"/>
        <v>Counselor</v>
      </c>
    </row>
    <row r="882" spans="1:23" x14ac:dyDescent="0.25">
      <c r="A882">
        <v>16048</v>
      </c>
      <c r="B882" t="s">
        <v>1263</v>
      </c>
      <c r="C882">
        <v>0.151</v>
      </c>
      <c r="D882" t="s">
        <v>1264</v>
      </c>
      <c r="E882">
        <v>100209</v>
      </c>
      <c r="F882">
        <v>16048</v>
      </c>
      <c r="G882" t="str">
        <f t="shared" si="81"/>
        <v>16048</v>
      </c>
      <c r="H882" t="s">
        <v>389</v>
      </c>
      <c r="I882" t="s">
        <v>1265</v>
      </c>
      <c r="J882" t="s">
        <v>1266</v>
      </c>
      <c r="K882" t="s">
        <v>1267</v>
      </c>
      <c r="L882" t="s">
        <v>1263</v>
      </c>
      <c r="M882" t="s">
        <v>1268</v>
      </c>
      <c r="N882">
        <v>1</v>
      </c>
      <c r="O882" t="str">
        <f t="shared" si="84"/>
        <v>42</v>
      </c>
      <c r="P882">
        <v>42</v>
      </c>
      <c r="R882" t="s">
        <v>1269</v>
      </c>
      <c r="S882">
        <v>0.151</v>
      </c>
      <c r="T882">
        <v>0.1036</v>
      </c>
      <c r="U882">
        <f t="shared" si="85"/>
        <v>0</v>
      </c>
      <c r="V882" t="str">
        <f t="shared" si="82"/>
        <v>Middle Counselor</v>
      </c>
      <c r="W882" t="str">
        <f t="shared" si="83"/>
        <v>Counselor</v>
      </c>
    </row>
    <row r="883" spans="1:23" x14ac:dyDescent="0.25">
      <c r="A883">
        <v>16048</v>
      </c>
      <c r="B883" t="s">
        <v>1294</v>
      </c>
      <c r="C883">
        <v>0.60699999999999998</v>
      </c>
      <c r="D883" t="s">
        <v>1264</v>
      </c>
      <c r="E883">
        <v>100209</v>
      </c>
      <c r="F883">
        <v>16048</v>
      </c>
      <c r="G883" t="str">
        <f t="shared" si="81"/>
        <v>16048</v>
      </c>
      <c r="H883" t="s">
        <v>389</v>
      </c>
      <c r="I883" t="s">
        <v>1265</v>
      </c>
      <c r="J883" t="s">
        <v>1276</v>
      </c>
      <c r="K883" t="s">
        <v>1277</v>
      </c>
      <c r="L883" t="s">
        <v>1294</v>
      </c>
      <c r="M883" t="s">
        <v>1354</v>
      </c>
      <c r="N883">
        <v>21</v>
      </c>
      <c r="O883" t="str">
        <f t="shared" si="84"/>
        <v>45</v>
      </c>
      <c r="P883">
        <v>45</v>
      </c>
      <c r="R883" t="s">
        <v>1269</v>
      </c>
      <c r="S883">
        <v>0.60699999999999998</v>
      </c>
      <c r="T883">
        <v>0.1036</v>
      </c>
      <c r="U883">
        <f t="shared" si="85"/>
        <v>6.3E-2</v>
      </c>
      <c r="V883" t="str">
        <f t="shared" si="82"/>
        <v>Elementary Speech, Language Pathway/
Audio</v>
      </c>
      <c r="W883" t="str">
        <f t="shared" si="83"/>
        <v>Speech, Language Pathway/
Audio</v>
      </c>
    </row>
    <row r="884" spans="1:23" x14ac:dyDescent="0.25">
      <c r="A884">
        <v>16048</v>
      </c>
      <c r="B884" t="s">
        <v>1298</v>
      </c>
      <c r="C884">
        <v>0.20100000000000001</v>
      </c>
      <c r="D884" t="s">
        <v>1264</v>
      </c>
      <c r="E884">
        <v>100209</v>
      </c>
      <c r="F884">
        <v>16048</v>
      </c>
      <c r="G884" t="str">
        <f t="shared" si="81"/>
        <v>16048</v>
      </c>
      <c r="H884" t="s">
        <v>389</v>
      </c>
      <c r="I884" t="s">
        <v>1265</v>
      </c>
      <c r="J884" t="s">
        <v>1276</v>
      </c>
      <c r="K884" t="s">
        <v>1277</v>
      </c>
      <c r="L884" t="s">
        <v>1298</v>
      </c>
      <c r="M884" t="s">
        <v>1349</v>
      </c>
      <c r="N884">
        <v>21</v>
      </c>
      <c r="O884" t="str">
        <f t="shared" si="84"/>
        <v>46</v>
      </c>
      <c r="P884">
        <v>46</v>
      </c>
      <c r="R884" t="s">
        <v>1269</v>
      </c>
      <c r="S884">
        <v>0.20100000000000001</v>
      </c>
      <c r="T884">
        <v>0.1036</v>
      </c>
      <c r="U884">
        <f t="shared" si="85"/>
        <v>2.1000000000000001E-2</v>
      </c>
      <c r="V884" t="str">
        <f t="shared" si="82"/>
        <v>Elementary Psychologist</v>
      </c>
      <c r="W884" t="str">
        <f t="shared" si="83"/>
        <v>Psychologist</v>
      </c>
    </row>
    <row r="885" spans="1:23" x14ac:dyDescent="0.25">
      <c r="A885">
        <v>16048</v>
      </c>
      <c r="B885" t="s">
        <v>1345</v>
      </c>
      <c r="C885">
        <v>6.7000000000000004E-2</v>
      </c>
      <c r="D885" t="s">
        <v>1264</v>
      </c>
      <c r="E885">
        <v>100209</v>
      </c>
      <c r="F885">
        <v>16048</v>
      </c>
      <c r="G885" t="str">
        <f t="shared" si="81"/>
        <v>16048</v>
      </c>
      <c r="H885" t="s">
        <v>389</v>
      </c>
      <c r="I885" t="s">
        <v>1265</v>
      </c>
      <c r="J885" t="s">
        <v>1266</v>
      </c>
      <c r="K885" t="s">
        <v>1267</v>
      </c>
      <c r="L885" t="s">
        <v>1345</v>
      </c>
      <c r="M885" t="s">
        <v>1346</v>
      </c>
      <c r="N885">
        <v>21</v>
      </c>
      <c r="O885" t="str">
        <f t="shared" si="84"/>
        <v>46</v>
      </c>
      <c r="P885">
        <v>46</v>
      </c>
      <c r="R885" t="s">
        <v>1269</v>
      </c>
      <c r="S885">
        <v>6.7000000000000004E-2</v>
      </c>
      <c r="T885">
        <v>0.1036</v>
      </c>
      <c r="U885">
        <f t="shared" si="85"/>
        <v>7.0000000000000001E-3</v>
      </c>
      <c r="V885" t="str">
        <f t="shared" si="82"/>
        <v>Middle Psychologist</v>
      </c>
      <c r="W885" t="str">
        <f t="shared" si="83"/>
        <v>Psychologist</v>
      </c>
    </row>
    <row r="886" spans="1:23" x14ac:dyDescent="0.25">
      <c r="A886">
        <v>16049</v>
      </c>
      <c r="B886" t="s">
        <v>1383</v>
      </c>
      <c r="C886">
        <v>0.12</v>
      </c>
      <c r="D886" t="s">
        <v>1264</v>
      </c>
      <c r="E886">
        <v>100044</v>
      </c>
      <c r="F886">
        <v>16049</v>
      </c>
      <c r="G886" t="str">
        <f t="shared" si="81"/>
        <v>16049</v>
      </c>
      <c r="H886" t="s">
        <v>390</v>
      </c>
      <c r="I886" t="s">
        <v>1265</v>
      </c>
      <c r="J886" t="s">
        <v>1271</v>
      </c>
      <c r="K886" t="s">
        <v>1272</v>
      </c>
      <c r="L886" t="s">
        <v>1383</v>
      </c>
      <c r="M886" t="s">
        <v>1409</v>
      </c>
      <c r="N886">
        <v>21</v>
      </c>
      <c r="O886" t="str">
        <f t="shared" si="84"/>
        <v>25</v>
      </c>
      <c r="Q886">
        <v>25</v>
      </c>
      <c r="R886" t="s">
        <v>1269</v>
      </c>
      <c r="S886">
        <v>0.12</v>
      </c>
      <c r="T886">
        <v>0.26960000000000001</v>
      </c>
      <c r="U886">
        <f t="shared" si="85"/>
        <v>3.2000000000000001E-2</v>
      </c>
      <c r="V886" t="str">
        <f t="shared" si="82"/>
        <v>High Pupil Management</v>
      </c>
      <c r="W886" t="str">
        <f t="shared" si="83"/>
        <v>Pupil Management</v>
      </c>
    </row>
    <row r="887" spans="1:23" x14ac:dyDescent="0.25">
      <c r="A887">
        <v>16049</v>
      </c>
      <c r="B887" t="s">
        <v>1299</v>
      </c>
      <c r="C887">
        <v>0.68799999999999994</v>
      </c>
      <c r="D887" t="s">
        <v>1264</v>
      </c>
      <c r="E887">
        <v>100044</v>
      </c>
      <c r="F887">
        <v>16049</v>
      </c>
      <c r="G887" t="str">
        <f t="shared" si="81"/>
        <v>16049</v>
      </c>
      <c r="H887" t="s">
        <v>390</v>
      </c>
      <c r="I887" t="s">
        <v>1265</v>
      </c>
      <c r="J887" t="s">
        <v>1271</v>
      </c>
      <c r="K887" t="s">
        <v>1272</v>
      </c>
      <c r="L887" t="s">
        <v>1299</v>
      </c>
      <c r="M887" t="s">
        <v>1300</v>
      </c>
      <c r="N887">
        <v>1</v>
      </c>
      <c r="O887" t="str">
        <f t="shared" si="84"/>
        <v>25</v>
      </c>
      <c r="Q887">
        <v>25</v>
      </c>
      <c r="R887" t="s">
        <v>1269</v>
      </c>
      <c r="S887">
        <v>0.68799999999999994</v>
      </c>
      <c r="T887">
        <v>0.26960000000000001</v>
      </c>
      <c r="U887">
        <f t="shared" si="85"/>
        <v>0</v>
      </c>
      <c r="V887" t="str">
        <f t="shared" si="82"/>
        <v>High Pupil Management</v>
      </c>
      <c r="W887" t="str">
        <f t="shared" si="83"/>
        <v>Pupil Management</v>
      </c>
    </row>
    <row r="888" spans="1:23" x14ac:dyDescent="0.25">
      <c r="A888">
        <v>16049</v>
      </c>
      <c r="B888" t="s">
        <v>1275</v>
      </c>
      <c r="C888">
        <v>1</v>
      </c>
      <c r="D888" t="s">
        <v>1264</v>
      </c>
      <c r="E888">
        <v>100044</v>
      </c>
      <c r="F888">
        <v>16049</v>
      </c>
      <c r="G888" t="str">
        <f t="shared" si="81"/>
        <v>16049</v>
      </c>
      <c r="H888" t="s">
        <v>390</v>
      </c>
      <c r="I888" t="s">
        <v>1265</v>
      </c>
      <c r="J888" t="s">
        <v>1276</v>
      </c>
      <c r="K888" t="s">
        <v>1277</v>
      </c>
      <c r="L888" t="s">
        <v>1275</v>
      </c>
      <c r="M888" t="s">
        <v>1278</v>
      </c>
      <c r="N888">
        <v>1</v>
      </c>
      <c r="O888" t="str">
        <f t="shared" si="84"/>
        <v>42</v>
      </c>
      <c r="P888">
        <v>42</v>
      </c>
      <c r="R888" t="s">
        <v>1269</v>
      </c>
      <c r="S888">
        <v>1</v>
      </c>
      <c r="T888">
        <v>0.26960000000000001</v>
      </c>
      <c r="U888">
        <f t="shared" si="85"/>
        <v>0</v>
      </c>
      <c r="V888" t="str">
        <f t="shared" si="82"/>
        <v>Elementary Counselor</v>
      </c>
      <c r="W888" t="str">
        <f t="shared" si="83"/>
        <v>Counselor</v>
      </c>
    </row>
    <row r="889" spans="1:23" x14ac:dyDescent="0.25">
      <c r="A889">
        <v>16049</v>
      </c>
      <c r="B889" t="s">
        <v>1270</v>
      </c>
      <c r="C889">
        <v>0.9</v>
      </c>
      <c r="D889" t="s">
        <v>1264</v>
      </c>
      <c r="E889">
        <v>100044</v>
      </c>
      <c r="F889">
        <v>16049</v>
      </c>
      <c r="G889" t="str">
        <f t="shared" si="81"/>
        <v>16049</v>
      </c>
      <c r="H889" t="s">
        <v>390</v>
      </c>
      <c r="I889" t="s">
        <v>1265</v>
      </c>
      <c r="J889" t="s">
        <v>1271</v>
      </c>
      <c r="K889" t="s">
        <v>1272</v>
      </c>
      <c r="L889" t="s">
        <v>1270</v>
      </c>
      <c r="M889" t="s">
        <v>1273</v>
      </c>
      <c r="N889">
        <v>1</v>
      </c>
      <c r="O889" t="str">
        <f t="shared" si="84"/>
        <v>42</v>
      </c>
      <c r="P889">
        <v>42</v>
      </c>
      <c r="R889" t="s">
        <v>1269</v>
      </c>
      <c r="S889">
        <v>0.9</v>
      </c>
      <c r="T889">
        <v>0.26960000000000001</v>
      </c>
      <c r="U889">
        <f t="shared" si="85"/>
        <v>0</v>
      </c>
      <c r="V889" t="str">
        <f t="shared" si="82"/>
        <v>High Counselor</v>
      </c>
      <c r="W889" t="str">
        <f t="shared" si="83"/>
        <v>Counselor</v>
      </c>
    </row>
    <row r="890" spans="1:23" x14ac:dyDescent="0.25">
      <c r="A890">
        <v>16049</v>
      </c>
      <c r="B890" t="s">
        <v>1289</v>
      </c>
      <c r="C890">
        <v>0.46899999999999997</v>
      </c>
      <c r="D890" t="s">
        <v>1264</v>
      </c>
      <c r="E890">
        <v>100044</v>
      </c>
      <c r="F890">
        <v>16049</v>
      </c>
      <c r="G890" t="str">
        <f t="shared" si="81"/>
        <v>16049</v>
      </c>
      <c r="H890" t="s">
        <v>390</v>
      </c>
      <c r="I890" t="s">
        <v>1265</v>
      </c>
      <c r="J890" t="s">
        <v>1276</v>
      </c>
      <c r="K890" t="s">
        <v>1277</v>
      </c>
      <c r="L890" t="s">
        <v>1289</v>
      </c>
      <c r="M890" t="s">
        <v>1307</v>
      </c>
      <c r="N890">
        <v>21</v>
      </c>
      <c r="O890" t="str">
        <f t="shared" si="84"/>
        <v>43</v>
      </c>
      <c r="P890">
        <v>43</v>
      </c>
      <c r="R890" t="s">
        <v>1269</v>
      </c>
      <c r="S890">
        <v>0.46899999999999997</v>
      </c>
      <c r="T890">
        <v>0.26960000000000001</v>
      </c>
      <c r="U890">
        <f t="shared" si="85"/>
        <v>0.126</v>
      </c>
      <c r="V890" t="str">
        <f t="shared" si="82"/>
        <v>Elementary Occupational Therapist</v>
      </c>
      <c r="W890" t="str">
        <f t="shared" si="83"/>
        <v>Occupational Therapist</v>
      </c>
    </row>
    <row r="891" spans="1:23" x14ac:dyDescent="0.25">
      <c r="A891">
        <v>16049</v>
      </c>
      <c r="B891" t="s">
        <v>1387</v>
      </c>
      <c r="C891">
        <v>7.0000000000000007E-2</v>
      </c>
      <c r="D891" t="s">
        <v>1264</v>
      </c>
      <c r="E891">
        <v>100044</v>
      </c>
      <c r="F891">
        <v>16049</v>
      </c>
      <c r="G891" t="str">
        <f t="shared" si="81"/>
        <v>16049</v>
      </c>
      <c r="H891" t="s">
        <v>390</v>
      </c>
      <c r="I891" t="s">
        <v>1265</v>
      </c>
      <c r="J891" t="s">
        <v>1271</v>
      </c>
      <c r="K891" t="s">
        <v>1272</v>
      </c>
      <c r="L891" t="s">
        <v>1387</v>
      </c>
      <c r="M891" t="s">
        <v>1406</v>
      </c>
      <c r="N891">
        <v>21</v>
      </c>
      <c r="O891" t="str">
        <f t="shared" si="84"/>
        <v>43</v>
      </c>
      <c r="P891">
        <v>43</v>
      </c>
      <c r="R891" t="s">
        <v>1269</v>
      </c>
      <c r="S891">
        <v>7.0000000000000007E-2</v>
      </c>
      <c r="T891">
        <v>0.26960000000000001</v>
      </c>
      <c r="U891">
        <f t="shared" si="85"/>
        <v>1.9E-2</v>
      </c>
      <c r="V891" t="str">
        <f t="shared" si="82"/>
        <v>High Occupational Therapist</v>
      </c>
      <c r="W891" t="str">
        <f t="shared" si="83"/>
        <v>Occupational Therapist</v>
      </c>
    </row>
    <row r="892" spans="1:23" x14ac:dyDescent="0.25">
      <c r="A892">
        <v>16049</v>
      </c>
      <c r="B892" t="s">
        <v>1303</v>
      </c>
      <c r="C892">
        <v>9.0999999999999998E-2</v>
      </c>
      <c r="D892" t="s">
        <v>1264</v>
      </c>
      <c r="E892">
        <v>100044</v>
      </c>
      <c r="F892">
        <v>16049</v>
      </c>
      <c r="G892" t="str">
        <f t="shared" si="81"/>
        <v>16049</v>
      </c>
      <c r="H892" t="s">
        <v>390</v>
      </c>
      <c r="I892" t="s">
        <v>1265</v>
      </c>
      <c r="J892" t="s">
        <v>1266</v>
      </c>
      <c r="K892" t="s">
        <v>1267</v>
      </c>
      <c r="L892" t="s">
        <v>1303</v>
      </c>
      <c r="M892" t="s">
        <v>1304</v>
      </c>
      <c r="N892">
        <v>21</v>
      </c>
      <c r="O892" t="str">
        <f t="shared" si="84"/>
        <v>43</v>
      </c>
      <c r="P892">
        <v>43</v>
      </c>
      <c r="R892" t="s">
        <v>1269</v>
      </c>
      <c r="S892">
        <v>9.0999999999999998E-2</v>
      </c>
      <c r="T892">
        <v>0.26960000000000001</v>
      </c>
      <c r="U892">
        <f t="shared" si="85"/>
        <v>2.5000000000000001E-2</v>
      </c>
      <c r="V892" t="str">
        <f t="shared" si="82"/>
        <v>Middle Occupational Therapist</v>
      </c>
      <c r="W892" t="str">
        <f t="shared" si="83"/>
        <v>Occupational Therapist</v>
      </c>
    </row>
    <row r="893" spans="1:23" x14ac:dyDescent="0.25">
      <c r="A893">
        <v>16049</v>
      </c>
      <c r="B893" t="s">
        <v>1309</v>
      </c>
      <c r="C893">
        <v>0.7</v>
      </c>
      <c r="D893" t="s">
        <v>1264</v>
      </c>
      <c r="E893">
        <v>100044</v>
      </c>
      <c r="F893">
        <v>16049</v>
      </c>
      <c r="G893" t="str">
        <f t="shared" si="81"/>
        <v>16049</v>
      </c>
      <c r="H893" t="s">
        <v>390</v>
      </c>
      <c r="I893" t="s">
        <v>1265</v>
      </c>
      <c r="J893" t="s">
        <v>1271</v>
      </c>
      <c r="K893" t="s">
        <v>1272</v>
      </c>
      <c r="L893" t="s">
        <v>1309</v>
      </c>
      <c r="M893" t="s">
        <v>1310</v>
      </c>
      <c r="N893">
        <v>21</v>
      </c>
      <c r="O893" t="str">
        <f t="shared" si="84"/>
        <v>46</v>
      </c>
      <c r="P893">
        <v>46</v>
      </c>
      <c r="R893" t="s">
        <v>1269</v>
      </c>
      <c r="S893">
        <v>0.7</v>
      </c>
      <c r="T893">
        <v>0.26960000000000001</v>
      </c>
      <c r="U893">
        <f t="shared" si="85"/>
        <v>0.189</v>
      </c>
      <c r="V893" t="str">
        <f t="shared" si="82"/>
        <v>High Psychologist</v>
      </c>
      <c r="W893" t="str">
        <f t="shared" si="83"/>
        <v>Psychologist</v>
      </c>
    </row>
    <row r="894" spans="1:23" x14ac:dyDescent="0.25">
      <c r="A894">
        <v>16049</v>
      </c>
      <c r="B894" t="s">
        <v>1396</v>
      </c>
      <c r="C894">
        <v>0.3</v>
      </c>
      <c r="D894" t="s">
        <v>1264</v>
      </c>
      <c r="E894">
        <v>100044</v>
      </c>
      <c r="F894">
        <v>16049</v>
      </c>
      <c r="G894" t="str">
        <f t="shared" si="81"/>
        <v>16049</v>
      </c>
      <c r="H894" t="s">
        <v>390</v>
      </c>
      <c r="I894" t="s">
        <v>1265</v>
      </c>
      <c r="J894" t="s">
        <v>1271</v>
      </c>
      <c r="K894" t="s">
        <v>1272</v>
      </c>
      <c r="L894" t="s">
        <v>1396</v>
      </c>
      <c r="M894" t="s">
        <v>1431</v>
      </c>
      <c r="N894">
        <v>1</v>
      </c>
      <c r="O894" t="str">
        <f t="shared" si="84"/>
        <v>46</v>
      </c>
      <c r="P894">
        <v>46</v>
      </c>
      <c r="R894" t="s">
        <v>1269</v>
      </c>
      <c r="S894">
        <v>0.3</v>
      </c>
      <c r="T894">
        <v>0.26960000000000001</v>
      </c>
      <c r="U894">
        <f t="shared" si="85"/>
        <v>0</v>
      </c>
      <c r="V894" t="str">
        <f t="shared" si="82"/>
        <v>High Psychologist</v>
      </c>
      <c r="W894" t="str">
        <f t="shared" si="83"/>
        <v>Psychologist</v>
      </c>
    </row>
    <row r="895" spans="1:23" x14ac:dyDescent="0.25">
      <c r="A895">
        <v>16049</v>
      </c>
      <c r="B895" t="s">
        <v>1335</v>
      </c>
      <c r="C895">
        <v>1</v>
      </c>
      <c r="D895" t="s">
        <v>1264</v>
      </c>
      <c r="E895">
        <v>100044</v>
      </c>
      <c r="F895">
        <v>16049</v>
      </c>
      <c r="G895" t="str">
        <f t="shared" si="81"/>
        <v>16049</v>
      </c>
      <c r="H895" t="s">
        <v>390</v>
      </c>
      <c r="I895" t="s">
        <v>1265</v>
      </c>
      <c r="J895" t="s">
        <v>1276</v>
      </c>
      <c r="K895" t="s">
        <v>1277</v>
      </c>
      <c r="L895" t="s">
        <v>1335</v>
      </c>
      <c r="M895" t="s">
        <v>1344</v>
      </c>
      <c r="N895">
        <v>1</v>
      </c>
      <c r="O895" t="str">
        <f t="shared" si="84"/>
        <v>47</v>
      </c>
      <c r="P895">
        <v>47</v>
      </c>
      <c r="R895" t="s">
        <v>1269</v>
      </c>
      <c r="S895">
        <v>1</v>
      </c>
      <c r="T895">
        <v>0.26960000000000001</v>
      </c>
      <c r="U895">
        <f t="shared" si="85"/>
        <v>0</v>
      </c>
      <c r="V895" t="str">
        <f t="shared" si="82"/>
        <v>Elementary Nurse</v>
      </c>
      <c r="W895" t="str">
        <f t="shared" si="83"/>
        <v>Nurse</v>
      </c>
    </row>
    <row r="896" spans="1:23" x14ac:dyDescent="0.25">
      <c r="A896">
        <v>16050</v>
      </c>
      <c r="B896" t="s">
        <v>1275</v>
      </c>
      <c r="C896">
        <v>1</v>
      </c>
      <c r="D896" t="s">
        <v>1264</v>
      </c>
      <c r="E896">
        <v>100203</v>
      </c>
      <c r="F896">
        <v>16050</v>
      </c>
      <c r="G896" t="str">
        <f t="shared" si="81"/>
        <v>16050</v>
      </c>
      <c r="H896" t="s">
        <v>391</v>
      </c>
      <c r="I896" t="s">
        <v>1265</v>
      </c>
      <c r="J896" t="s">
        <v>1276</v>
      </c>
      <c r="K896" t="s">
        <v>1277</v>
      </c>
      <c r="L896" t="s">
        <v>1275</v>
      </c>
      <c r="M896" t="s">
        <v>1278</v>
      </c>
      <c r="N896">
        <v>1</v>
      </c>
      <c r="O896" t="str">
        <f t="shared" si="84"/>
        <v>42</v>
      </c>
      <c r="P896">
        <v>42</v>
      </c>
      <c r="R896" t="s">
        <v>1269</v>
      </c>
      <c r="S896">
        <v>1</v>
      </c>
      <c r="T896">
        <v>0.20430000000000001</v>
      </c>
      <c r="U896">
        <f t="shared" si="85"/>
        <v>0</v>
      </c>
      <c r="V896" t="str">
        <f t="shared" si="82"/>
        <v>Elementary Counselor</v>
      </c>
      <c r="W896" t="str">
        <f t="shared" si="83"/>
        <v>Counselor</v>
      </c>
    </row>
    <row r="897" spans="1:23" x14ac:dyDescent="0.25">
      <c r="A897">
        <v>16050</v>
      </c>
      <c r="B897" t="s">
        <v>1270</v>
      </c>
      <c r="C897">
        <v>1.6</v>
      </c>
      <c r="D897" t="s">
        <v>1264</v>
      </c>
      <c r="E897">
        <v>100203</v>
      </c>
      <c r="F897">
        <v>16050</v>
      </c>
      <c r="G897" t="str">
        <f t="shared" si="81"/>
        <v>16050</v>
      </c>
      <c r="H897" t="s">
        <v>391</v>
      </c>
      <c r="I897" t="s">
        <v>1265</v>
      </c>
      <c r="J897" t="s">
        <v>1271</v>
      </c>
      <c r="K897" t="s">
        <v>1272</v>
      </c>
      <c r="L897" t="s">
        <v>1270</v>
      </c>
      <c r="M897" t="s">
        <v>1273</v>
      </c>
      <c r="N897">
        <v>1</v>
      </c>
      <c r="O897" t="str">
        <f t="shared" si="84"/>
        <v>42</v>
      </c>
      <c r="P897">
        <v>42</v>
      </c>
      <c r="R897" t="s">
        <v>1269</v>
      </c>
      <c r="S897">
        <v>1.6</v>
      </c>
      <c r="T897">
        <v>0.20430000000000001</v>
      </c>
      <c r="U897">
        <f t="shared" si="85"/>
        <v>0</v>
      </c>
      <c r="V897" t="str">
        <f t="shared" si="82"/>
        <v>High Counselor</v>
      </c>
      <c r="W897" t="str">
        <f t="shared" si="83"/>
        <v>Counselor</v>
      </c>
    </row>
    <row r="898" spans="1:23" x14ac:dyDescent="0.25">
      <c r="A898">
        <v>16050</v>
      </c>
      <c r="B898" t="s">
        <v>1263</v>
      </c>
      <c r="C898">
        <v>0.75</v>
      </c>
      <c r="D898" t="s">
        <v>1264</v>
      </c>
      <c r="E898">
        <v>100203</v>
      </c>
      <c r="F898">
        <v>16050</v>
      </c>
      <c r="G898" t="str">
        <f t="shared" ref="G898:G961" si="86">TEXT(F898,"00000")</f>
        <v>16050</v>
      </c>
      <c r="H898" t="s">
        <v>391</v>
      </c>
      <c r="I898" t="s">
        <v>1265</v>
      </c>
      <c r="J898" t="s">
        <v>1266</v>
      </c>
      <c r="K898" t="s">
        <v>1267</v>
      </c>
      <c r="L898" t="s">
        <v>1263</v>
      </c>
      <c r="M898" t="s">
        <v>1268</v>
      </c>
      <c r="N898">
        <v>1</v>
      </c>
      <c r="O898" t="str">
        <f t="shared" si="84"/>
        <v>42</v>
      </c>
      <c r="P898">
        <v>42</v>
      </c>
      <c r="R898" t="s">
        <v>1269</v>
      </c>
      <c r="S898">
        <v>0.75</v>
      </c>
      <c r="T898">
        <v>0.20430000000000001</v>
      </c>
      <c r="U898">
        <f t="shared" si="85"/>
        <v>0</v>
      </c>
      <c r="V898" t="str">
        <f t="shared" ref="V898:V961" si="87">_xlfn.XLOOKUP(L898,$BV:$BV,$BT:$BT,,0)</f>
        <v>Middle Counselor</v>
      </c>
      <c r="W898" t="str">
        <f t="shared" ref="W898:W961" si="88">_xlfn.TEXTAFTER(V898," ")</f>
        <v>Counselor</v>
      </c>
    </row>
    <row r="899" spans="1:23" x14ac:dyDescent="0.25">
      <c r="A899">
        <v>16050</v>
      </c>
      <c r="B899" t="s">
        <v>1289</v>
      </c>
      <c r="C899">
        <v>0.48</v>
      </c>
      <c r="D899" t="s">
        <v>1264</v>
      </c>
      <c r="E899">
        <v>100203</v>
      </c>
      <c r="F899">
        <v>16050</v>
      </c>
      <c r="G899" t="str">
        <f t="shared" si="86"/>
        <v>16050</v>
      </c>
      <c r="H899" t="s">
        <v>391</v>
      </c>
      <c r="I899" t="s">
        <v>1265</v>
      </c>
      <c r="J899" t="s">
        <v>1276</v>
      </c>
      <c r="K899" t="s">
        <v>1277</v>
      </c>
      <c r="L899" t="s">
        <v>1289</v>
      </c>
      <c r="M899" t="s">
        <v>1307</v>
      </c>
      <c r="N899">
        <v>21</v>
      </c>
      <c r="O899" t="str">
        <f t="shared" ref="O899:O962" si="89">MID(L899,3,2)</f>
        <v>43</v>
      </c>
      <c r="P899">
        <v>43</v>
      </c>
      <c r="R899" t="s">
        <v>1269</v>
      </c>
      <c r="S899">
        <v>0.48</v>
      </c>
      <c r="T899">
        <v>0.20430000000000001</v>
      </c>
      <c r="U899">
        <f t="shared" ref="U899:U962" si="90">IF(N899=21,ROUND(T899*S899,3),0)</f>
        <v>9.8000000000000004E-2</v>
      </c>
      <c r="V899" t="str">
        <f t="shared" si="87"/>
        <v>Elementary Occupational Therapist</v>
      </c>
      <c r="W899" t="str">
        <f t="shared" si="88"/>
        <v>Occupational Therapist</v>
      </c>
    </row>
    <row r="900" spans="1:23" x14ac:dyDescent="0.25">
      <c r="A900">
        <v>16050</v>
      </c>
      <c r="B900" t="s">
        <v>1387</v>
      </c>
      <c r="C900">
        <v>0.08</v>
      </c>
      <c r="D900" t="s">
        <v>1264</v>
      </c>
      <c r="E900">
        <v>100203</v>
      </c>
      <c r="F900">
        <v>16050</v>
      </c>
      <c r="G900" t="str">
        <f t="shared" si="86"/>
        <v>16050</v>
      </c>
      <c r="H900" t="s">
        <v>391</v>
      </c>
      <c r="I900" t="s">
        <v>1265</v>
      </c>
      <c r="J900" t="s">
        <v>1271</v>
      </c>
      <c r="K900" t="s">
        <v>1272</v>
      </c>
      <c r="L900" t="s">
        <v>1387</v>
      </c>
      <c r="M900" t="s">
        <v>1406</v>
      </c>
      <c r="N900">
        <v>21</v>
      </c>
      <c r="O900" t="str">
        <f t="shared" si="89"/>
        <v>43</v>
      </c>
      <c r="P900">
        <v>43</v>
      </c>
      <c r="R900" t="s">
        <v>1269</v>
      </c>
      <c r="S900">
        <v>0.08</v>
      </c>
      <c r="T900">
        <v>0.20430000000000001</v>
      </c>
      <c r="U900">
        <f t="shared" si="90"/>
        <v>1.6E-2</v>
      </c>
      <c r="V900" t="str">
        <f t="shared" si="87"/>
        <v>High Occupational Therapist</v>
      </c>
      <c r="W900" t="str">
        <f t="shared" si="88"/>
        <v>Occupational Therapist</v>
      </c>
    </row>
    <row r="901" spans="1:23" x14ac:dyDescent="0.25">
      <c r="A901">
        <v>16050</v>
      </c>
      <c r="B901" t="s">
        <v>1303</v>
      </c>
      <c r="C901">
        <v>0.24</v>
      </c>
      <c r="D901" t="s">
        <v>1264</v>
      </c>
      <c r="E901">
        <v>100203</v>
      </c>
      <c r="F901">
        <v>16050</v>
      </c>
      <c r="G901" t="str">
        <f t="shared" si="86"/>
        <v>16050</v>
      </c>
      <c r="H901" t="s">
        <v>391</v>
      </c>
      <c r="I901" t="s">
        <v>1265</v>
      </c>
      <c r="J901" t="s">
        <v>1266</v>
      </c>
      <c r="K901" t="s">
        <v>1267</v>
      </c>
      <c r="L901" t="s">
        <v>1303</v>
      </c>
      <c r="M901" t="s">
        <v>1304</v>
      </c>
      <c r="N901">
        <v>21</v>
      </c>
      <c r="O901" t="str">
        <f t="shared" si="89"/>
        <v>43</v>
      </c>
      <c r="P901">
        <v>43</v>
      </c>
      <c r="R901" t="s">
        <v>1269</v>
      </c>
      <c r="S901">
        <v>0.24</v>
      </c>
      <c r="T901">
        <v>0.20430000000000001</v>
      </c>
      <c r="U901">
        <f t="shared" si="90"/>
        <v>4.9000000000000002E-2</v>
      </c>
      <c r="V901" t="str">
        <f t="shared" si="87"/>
        <v>Middle Occupational Therapist</v>
      </c>
      <c r="W901" t="str">
        <f t="shared" si="88"/>
        <v>Occupational Therapist</v>
      </c>
    </row>
    <row r="902" spans="1:23" x14ac:dyDescent="0.25">
      <c r="A902">
        <v>16050</v>
      </c>
      <c r="B902" t="s">
        <v>1294</v>
      </c>
      <c r="C902">
        <v>1</v>
      </c>
      <c r="D902" t="s">
        <v>1264</v>
      </c>
      <c r="E902">
        <v>100203</v>
      </c>
      <c r="F902">
        <v>16050</v>
      </c>
      <c r="G902" t="str">
        <f t="shared" si="86"/>
        <v>16050</v>
      </c>
      <c r="H902" t="s">
        <v>391</v>
      </c>
      <c r="I902" t="s">
        <v>1265</v>
      </c>
      <c r="J902" t="s">
        <v>1276</v>
      </c>
      <c r="K902" t="s">
        <v>1277</v>
      </c>
      <c r="L902" t="s">
        <v>1294</v>
      </c>
      <c r="M902" t="s">
        <v>1354</v>
      </c>
      <c r="N902">
        <v>21</v>
      </c>
      <c r="O902" t="str">
        <f t="shared" si="89"/>
        <v>45</v>
      </c>
      <c r="P902">
        <v>45</v>
      </c>
      <c r="R902" t="s">
        <v>1269</v>
      </c>
      <c r="S902">
        <v>1</v>
      </c>
      <c r="T902">
        <v>0.20430000000000001</v>
      </c>
      <c r="U902">
        <f t="shared" si="90"/>
        <v>0.20399999999999999</v>
      </c>
      <c r="V902" t="str">
        <f t="shared" si="87"/>
        <v>Elementary Speech, Language Pathway/
Audio</v>
      </c>
      <c r="W902" t="str">
        <f t="shared" si="88"/>
        <v>Speech, Language Pathway/
Audio</v>
      </c>
    </row>
    <row r="903" spans="1:23" x14ac:dyDescent="0.25">
      <c r="A903">
        <v>16050</v>
      </c>
      <c r="B903" t="s">
        <v>1326</v>
      </c>
      <c r="C903">
        <v>0.5</v>
      </c>
      <c r="D903" t="s">
        <v>1264</v>
      </c>
      <c r="E903">
        <v>100203</v>
      </c>
      <c r="F903">
        <v>16050</v>
      </c>
      <c r="G903" t="str">
        <f t="shared" si="86"/>
        <v>16050</v>
      </c>
      <c r="H903" t="s">
        <v>391</v>
      </c>
      <c r="I903" t="s">
        <v>1265</v>
      </c>
      <c r="J903" t="s">
        <v>1271</v>
      </c>
      <c r="K903" t="s">
        <v>1272</v>
      </c>
      <c r="L903" t="s">
        <v>1326</v>
      </c>
      <c r="M903" t="s">
        <v>1353</v>
      </c>
      <c r="N903">
        <v>21</v>
      </c>
      <c r="O903" t="str">
        <f t="shared" si="89"/>
        <v>45</v>
      </c>
      <c r="P903">
        <v>45</v>
      </c>
      <c r="R903" t="s">
        <v>1269</v>
      </c>
      <c r="S903">
        <v>0.5</v>
      </c>
      <c r="T903">
        <v>0.20430000000000001</v>
      </c>
      <c r="U903">
        <f t="shared" si="90"/>
        <v>0.10199999999999999</v>
      </c>
      <c r="V903" t="str">
        <f t="shared" si="87"/>
        <v>High Speech, Language Pathway/
Audio</v>
      </c>
      <c r="W903" t="str">
        <f t="shared" si="88"/>
        <v>Speech, Language Pathway/
Audio</v>
      </c>
    </row>
    <row r="904" spans="1:23" x14ac:dyDescent="0.25">
      <c r="A904">
        <v>16050</v>
      </c>
      <c r="B904" t="s">
        <v>1312</v>
      </c>
      <c r="C904">
        <v>0.5</v>
      </c>
      <c r="D904" t="s">
        <v>1264</v>
      </c>
      <c r="E904">
        <v>100203</v>
      </c>
      <c r="F904">
        <v>16050</v>
      </c>
      <c r="G904" t="str">
        <f t="shared" si="86"/>
        <v>16050</v>
      </c>
      <c r="H904" t="s">
        <v>391</v>
      </c>
      <c r="I904" t="s">
        <v>1265</v>
      </c>
      <c r="J904" t="s">
        <v>1266</v>
      </c>
      <c r="K904" t="s">
        <v>1267</v>
      </c>
      <c r="L904" t="s">
        <v>1312</v>
      </c>
      <c r="M904" t="s">
        <v>1351</v>
      </c>
      <c r="N904">
        <v>21</v>
      </c>
      <c r="O904" t="str">
        <f t="shared" si="89"/>
        <v>45</v>
      </c>
      <c r="P904">
        <v>45</v>
      </c>
      <c r="R904" t="s">
        <v>1269</v>
      </c>
      <c r="S904">
        <v>0.5</v>
      </c>
      <c r="T904">
        <v>0.20430000000000001</v>
      </c>
      <c r="U904">
        <f t="shared" si="90"/>
        <v>0.10199999999999999</v>
      </c>
      <c r="V904" t="str">
        <f t="shared" si="87"/>
        <v>Middle Speech, Language Pathway/
Audio</v>
      </c>
      <c r="W904" t="str">
        <f t="shared" si="88"/>
        <v>Speech, Language Pathway/
Audio</v>
      </c>
    </row>
    <row r="905" spans="1:23" x14ac:dyDescent="0.25">
      <c r="A905">
        <v>16050</v>
      </c>
      <c r="B905" t="s">
        <v>1298</v>
      </c>
      <c r="C905">
        <v>0.8</v>
      </c>
      <c r="D905" t="s">
        <v>1264</v>
      </c>
      <c r="E905">
        <v>100203</v>
      </c>
      <c r="F905">
        <v>16050</v>
      </c>
      <c r="G905" t="str">
        <f t="shared" si="86"/>
        <v>16050</v>
      </c>
      <c r="H905" t="s">
        <v>391</v>
      </c>
      <c r="I905" t="s">
        <v>1265</v>
      </c>
      <c r="J905" t="s">
        <v>1276</v>
      </c>
      <c r="K905" t="s">
        <v>1277</v>
      </c>
      <c r="L905" t="s">
        <v>1298</v>
      </c>
      <c r="M905" t="s">
        <v>1349</v>
      </c>
      <c r="N905">
        <v>21</v>
      </c>
      <c r="O905" t="str">
        <f t="shared" si="89"/>
        <v>46</v>
      </c>
      <c r="P905">
        <v>46</v>
      </c>
      <c r="R905" t="s">
        <v>1269</v>
      </c>
      <c r="S905">
        <v>0.8</v>
      </c>
      <c r="T905">
        <v>0.20430000000000001</v>
      </c>
      <c r="U905">
        <f t="shared" si="90"/>
        <v>0.16300000000000001</v>
      </c>
      <c r="V905" t="str">
        <f t="shared" si="87"/>
        <v>Elementary Psychologist</v>
      </c>
      <c r="W905" t="str">
        <f t="shared" si="88"/>
        <v>Psychologist</v>
      </c>
    </row>
    <row r="906" spans="1:23" x14ac:dyDescent="0.25">
      <c r="A906">
        <v>16050</v>
      </c>
      <c r="B906" t="s">
        <v>1309</v>
      </c>
      <c r="C906">
        <v>0.3</v>
      </c>
      <c r="D906" t="s">
        <v>1264</v>
      </c>
      <c r="E906">
        <v>100203</v>
      </c>
      <c r="F906">
        <v>16050</v>
      </c>
      <c r="G906" t="str">
        <f t="shared" si="86"/>
        <v>16050</v>
      </c>
      <c r="H906" t="s">
        <v>391</v>
      </c>
      <c r="I906" t="s">
        <v>1265</v>
      </c>
      <c r="J906" t="s">
        <v>1271</v>
      </c>
      <c r="K906" t="s">
        <v>1272</v>
      </c>
      <c r="L906" t="s">
        <v>1309</v>
      </c>
      <c r="M906" t="s">
        <v>1310</v>
      </c>
      <c r="N906">
        <v>21</v>
      </c>
      <c r="O906" t="str">
        <f t="shared" si="89"/>
        <v>46</v>
      </c>
      <c r="P906">
        <v>46</v>
      </c>
      <c r="R906" t="s">
        <v>1269</v>
      </c>
      <c r="S906">
        <v>0.3</v>
      </c>
      <c r="T906">
        <v>0.20430000000000001</v>
      </c>
      <c r="U906">
        <f t="shared" si="90"/>
        <v>6.0999999999999999E-2</v>
      </c>
      <c r="V906" t="str">
        <f t="shared" si="87"/>
        <v>High Psychologist</v>
      </c>
      <c r="W906" t="str">
        <f t="shared" si="88"/>
        <v>Psychologist</v>
      </c>
    </row>
    <row r="907" spans="1:23" x14ac:dyDescent="0.25">
      <c r="A907">
        <v>16050</v>
      </c>
      <c r="B907" t="s">
        <v>1345</v>
      </c>
      <c r="C907">
        <v>0.3</v>
      </c>
      <c r="D907" t="s">
        <v>1264</v>
      </c>
      <c r="E907">
        <v>100203</v>
      </c>
      <c r="F907">
        <v>16050</v>
      </c>
      <c r="G907" t="str">
        <f t="shared" si="86"/>
        <v>16050</v>
      </c>
      <c r="H907" t="s">
        <v>391</v>
      </c>
      <c r="I907" t="s">
        <v>1265</v>
      </c>
      <c r="J907" t="s">
        <v>1266</v>
      </c>
      <c r="K907" t="s">
        <v>1267</v>
      </c>
      <c r="L907" t="s">
        <v>1345</v>
      </c>
      <c r="M907" t="s">
        <v>1346</v>
      </c>
      <c r="N907">
        <v>21</v>
      </c>
      <c r="O907" t="str">
        <f t="shared" si="89"/>
        <v>46</v>
      </c>
      <c r="P907">
        <v>46</v>
      </c>
      <c r="R907" t="s">
        <v>1269</v>
      </c>
      <c r="S907">
        <v>0.3</v>
      </c>
      <c r="T907">
        <v>0.20430000000000001</v>
      </c>
      <c r="U907">
        <f t="shared" si="90"/>
        <v>6.0999999999999999E-2</v>
      </c>
      <c r="V907" t="str">
        <f t="shared" si="87"/>
        <v>Middle Psychologist</v>
      </c>
      <c r="W907" t="str">
        <f t="shared" si="88"/>
        <v>Psychologist</v>
      </c>
    </row>
    <row r="908" spans="1:23" x14ac:dyDescent="0.25">
      <c r="A908">
        <v>17001</v>
      </c>
      <c r="B908" t="s">
        <v>1297</v>
      </c>
      <c r="C908">
        <v>0.55000000000000004</v>
      </c>
      <c r="D908" t="s">
        <v>1264</v>
      </c>
      <c r="E908">
        <v>100229</v>
      </c>
      <c r="F908">
        <v>17001</v>
      </c>
      <c r="G908" t="str">
        <f t="shared" si="86"/>
        <v>17001</v>
      </c>
      <c r="H908" t="s">
        <v>392</v>
      </c>
      <c r="I908" t="s">
        <v>1265</v>
      </c>
      <c r="J908" t="s">
        <v>1276</v>
      </c>
      <c r="K908" t="s">
        <v>1277</v>
      </c>
      <c r="L908" t="s">
        <v>1297</v>
      </c>
      <c r="M908" t="s">
        <v>1381</v>
      </c>
      <c r="N908">
        <v>1</v>
      </c>
      <c r="O908" t="str">
        <f t="shared" si="89"/>
        <v>24</v>
      </c>
      <c r="P908">
        <v>96</v>
      </c>
      <c r="Q908">
        <v>24</v>
      </c>
      <c r="R908" t="s">
        <v>1269</v>
      </c>
      <c r="S908">
        <v>0.55000000000000004</v>
      </c>
      <c r="T908">
        <v>0.22739999999999999</v>
      </c>
      <c r="U908">
        <f t="shared" si="90"/>
        <v>0</v>
      </c>
      <c r="V908" t="str">
        <f t="shared" si="87"/>
        <v>Elementary Family Engagement Coordinator</v>
      </c>
      <c r="W908" t="str">
        <f t="shared" si="88"/>
        <v>Family Engagement Coordinator</v>
      </c>
    </row>
    <row r="909" spans="1:23" x14ac:dyDescent="0.25">
      <c r="A909">
        <v>17001</v>
      </c>
      <c r="B909" t="s">
        <v>1286</v>
      </c>
      <c r="C909">
        <v>1.095</v>
      </c>
      <c r="D909" t="s">
        <v>1264</v>
      </c>
      <c r="E909">
        <v>100229</v>
      </c>
      <c r="F909">
        <v>17001</v>
      </c>
      <c r="G909" t="str">
        <f t="shared" si="86"/>
        <v>17001</v>
      </c>
      <c r="H909" t="s">
        <v>392</v>
      </c>
      <c r="I909" t="s">
        <v>1265</v>
      </c>
      <c r="J909" t="s">
        <v>1271</v>
      </c>
      <c r="K909" t="s">
        <v>1272</v>
      </c>
      <c r="L909" t="s">
        <v>1286</v>
      </c>
      <c r="M909" t="s">
        <v>1287</v>
      </c>
      <c r="N909">
        <v>1</v>
      </c>
      <c r="O909" t="str">
        <f t="shared" si="89"/>
        <v>24</v>
      </c>
      <c r="P909">
        <v>96</v>
      </c>
      <c r="Q909">
        <v>24</v>
      </c>
      <c r="R909" t="s">
        <v>1269</v>
      </c>
      <c r="S909">
        <v>1.095</v>
      </c>
      <c r="T909">
        <v>0.22739999999999999</v>
      </c>
      <c r="U909">
        <f t="shared" si="90"/>
        <v>0</v>
      </c>
      <c r="V909" t="str">
        <f t="shared" si="87"/>
        <v>High Family Engagement Coordinator</v>
      </c>
      <c r="W909" t="str">
        <f t="shared" si="88"/>
        <v>Family Engagement Coordinator</v>
      </c>
    </row>
    <row r="910" spans="1:23" x14ac:dyDescent="0.25">
      <c r="A910">
        <v>17001</v>
      </c>
      <c r="B910" t="s">
        <v>1284</v>
      </c>
      <c r="C910">
        <v>0.14000000000000001</v>
      </c>
      <c r="D910" t="s">
        <v>1264</v>
      </c>
      <c r="E910">
        <v>100229</v>
      </c>
      <c r="F910">
        <v>17001</v>
      </c>
      <c r="G910" t="str">
        <f t="shared" si="86"/>
        <v>17001</v>
      </c>
      <c r="H910" t="s">
        <v>392</v>
      </c>
      <c r="I910" t="s">
        <v>1265</v>
      </c>
      <c r="J910" t="s">
        <v>1266</v>
      </c>
      <c r="K910" t="s">
        <v>1267</v>
      </c>
      <c r="L910" t="s">
        <v>1284</v>
      </c>
      <c r="M910" t="s">
        <v>1285</v>
      </c>
      <c r="N910">
        <v>1</v>
      </c>
      <c r="O910" t="str">
        <f t="shared" si="89"/>
        <v>24</v>
      </c>
      <c r="P910">
        <v>96</v>
      </c>
      <c r="Q910">
        <v>24</v>
      </c>
      <c r="R910" t="s">
        <v>1269</v>
      </c>
      <c r="S910">
        <v>0.14000000000000001</v>
      </c>
      <c r="T910">
        <v>0.22739999999999999</v>
      </c>
      <c r="U910">
        <f t="shared" si="90"/>
        <v>0</v>
      </c>
      <c r="V910" t="str">
        <f t="shared" si="87"/>
        <v>Middle Family Engagement Coordinator</v>
      </c>
      <c r="W910" t="str">
        <f t="shared" si="88"/>
        <v>Family Engagement Coordinator</v>
      </c>
    </row>
    <row r="911" spans="1:23" x14ac:dyDescent="0.25">
      <c r="A911">
        <v>17001</v>
      </c>
      <c r="B911" t="s">
        <v>1305</v>
      </c>
      <c r="C911">
        <v>2.1219999999999999</v>
      </c>
      <c r="D911" t="s">
        <v>1264</v>
      </c>
      <c r="E911">
        <v>100229</v>
      </c>
      <c r="F911">
        <v>17001</v>
      </c>
      <c r="G911" t="str">
        <f t="shared" si="86"/>
        <v>17001</v>
      </c>
      <c r="H911" t="s">
        <v>392</v>
      </c>
      <c r="I911" t="s">
        <v>1265</v>
      </c>
      <c r="J911" t="s">
        <v>1276</v>
      </c>
      <c r="K911" t="s">
        <v>1277</v>
      </c>
      <c r="L911" t="s">
        <v>1305</v>
      </c>
      <c r="M911" t="s">
        <v>1447</v>
      </c>
      <c r="N911">
        <v>97</v>
      </c>
      <c r="O911" t="str">
        <f t="shared" si="89"/>
        <v>25</v>
      </c>
      <c r="Q911">
        <v>25</v>
      </c>
      <c r="R911" t="s">
        <v>1269</v>
      </c>
      <c r="S911">
        <v>2.1219999999999999</v>
      </c>
      <c r="T911">
        <v>0.22739999999999999</v>
      </c>
      <c r="U911">
        <f t="shared" si="90"/>
        <v>0</v>
      </c>
      <c r="V911" t="str">
        <f t="shared" si="87"/>
        <v>Elementary Pupil Management</v>
      </c>
      <c r="W911" t="str">
        <f t="shared" si="88"/>
        <v>Pupil Management</v>
      </c>
    </row>
    <row r="912" spans="1:23" x14ac:dyDescent="0.25">
      <c r="A912">
        <v>17001</v>
      </c>
      <c r="B912" t="s">
        <v>1308</v>
      </c>
      <c r="C912">
        <v>0.43</v>
      </c>
      <c r="D912" t="s">
        <v>1264</v>
      </c>
      <c r="E912">
        <v>100229</v>
      </c>
      <c r="F912">
        <v>17001</v>
      </c>
      <c r="G912" t="str">
        <f t="shared" si="86"/>
        <v>17001</v>
      </c>
      <c r="H912" t="s">
        <v>392</v>
      </c>
      <c r="I912" t="s">
        <v>1265</v>
      </c>
      <c r="J912" t="s">
        <v>1276</v>
      </c>
      <c r="K912" t="s">
        <v>1277</v>
      </c>
      <c r="L912" t="s">
        <v>1308</v>
      </c>
      <c r="M912" t="s">
        <v>1389</v>
      </c>
      <c r="N912">
        <v>1</v>
      </c>
      <c r="O912" t="str">
        <f t="shared" si="89"/>
        <v>25</v>
      </c>
      <c r="Q912">
        <v>25</v>
      </c>
      <c r="R912" t="s">
        <v>1269</v>
      </c>
      <c r="S912">
        <v>0.43</v>
      </c>
      <c r="T912">
        <v>0.22739999999999999</v>
      </c>
      <c r="U912">
        <f t="shared" si="90"/>
        <v>0</v>
      </c>
      <c r="V912" t="str">
        <f t="shared" si="87"/>
        <v>Elementary Pupil Management</v>
      </c>
      <c r="W912" t="str">
        <f t="shared" si="88"/>
        <v>Pupil Management</v>
      </c>
    </row>
    <row r="913" spans="1:23" x14ac:dyDescent="0.25">
      <c r="A913">
        <v>17001</v>
      </c>
      <c r="B913" t="s">
        <v>1290</v>
      </c>
      <c r="C913">
        <v>1.1970000000000001</v>
      </c>
      <c r="D913" t="s">
        <v>1264</v>
      </c>
      <c r="E913">
        <v>100229</v>
      </c>
      <c r="F913">
        <v>17001</v>
      </c>
      <c r="G913" t="str">
        <f t="shared" si="86"/>
        <v>17001</v>
      </c>
      <c r="H913" t="s">
        <v>392</v>
      </c>
      <c r="I913" t="s">
        <v>1265</v>
      </c>
      <c r="J913" t="s">
        <v>1271</v>
      </c>
      <c r="K913" t="s">
        <v>1272</v>
      </c>
      <c r="L913" t="s">
        <v>1290</v>
      </c>
      <c r="M913" t="s">
        <v>1412</v>
      </c>
      <c r="N913">
        <v>97</v>
      </c>
      <c r="O913" t="str">
        <f t="shared" si="89"/>
        <v>25</v>
      </c>
      <c r="Q913">
        <v>25</v>
      </c>
      <c r="R913" t="s">
        <v>1269</v>
      </c>
      <c r="S913">
        <v>1.1970000000000001</v>
      </c>
      <c r="T913">
        <v>0.22739999999999999</v>
      </c>
      <c r="U913">
        <f t="shared" si="90"/>
        <v>0</v>
      </c>
      <c r="V913" t="str">
        <f t="shared" si="87"/>
        <v>High Pupil Management</v>
      </c>
      <c r="W913" t="str">
        <f t="shared" si="88"/>
        <v>Pupil Management</v>
      </c>
    </row>
    <row r="914" spans="1:23" x14ac:dyDescent="0.25">
      <c r="A914">
        <v>17001</v>
      </c>
      <c r="B914" t="s">
        <v>1299</v>
      </c>
      <c r="C914">
        <v>0.24399999999999999</v>
      </c>
      <c r="D914" t="s">
        <v>1264</v>
      </c>
      <c r="E914">
        <v>100229</v>
      </c>
      <c r="F914">
        <v>17001</v>
      </c>
      <c r="G914" t="str">
        <f t="shared" si="86"/>
        <v>17001</v>
      </c>
      <c r="H914" t="s">
        <v>392</v>
      </c>
      <c r="I914" t="s">
        <v>1265</v>
      </c>
      <c r="J914" t="s">
        <v>1271</v>
      </c>
      <c r="K914" t="s">
        <v>1272</v>
      </c>
      <c r="L914" t="s">
        <v>1299</v>
      </c>
      <c r="M914" t="s">
        <v>1300</v>
      </c>
      <c r="N914">
        <v>1</v>
      </c>
      <c r="O914" t="str">
        <f t="shared" si="89"/>
        <v>25</v>
      </c>
      <c r="Q914">
        <v>25</v>
      </c>
      <c r="R914" t="s">
        <v>1269</v>
      </c>
      <c r="S914">
        <v>0.24399999999999999</v>
      </c>
      <c r="T914">
        <v>0.22739999999999999</v>
      </c>
      <c r="U914">
        <f t="shared" si="90"/>
        <v>0</v>
      </c>
      <c r="V914" t="str">
        <f t="shared" si="87"/>
        <v>High Pupil Management</v>
      </c>
      <c r="W914" t="str">
        <f t="shared" si="88"/>
        <v>Pupil Management</v>
      </c>
    </row>
    <row r="915" spans="1:23" x14ac:dyDescent="0.25">
      <c r="A915">
        <v>17001</v>
      </c>
      <c r="B915" t="s">
        <v>1362</v>
      </c>
      <c r="C915">
        <v>0.54</v>
      </c>
      <c r="D915" t="s">
        <v>1264</v>
      </c>
      <c r="E915">
        <v>100229</v>
      </c>
      <c r="F915">
        <v>17001</v>
      </c>
      <c r="G915" t="str">
        <f t="shared" si="86"/>
        <v>17001</v>
      </c>
      <c r="H915" t="s">
        <v>392</v>
      </c>
      <c r="I915" t="s">
        <v>1265</v>
      </c>
      <c r="J915" t="s">
        <v>1266</v>
      </c>
      <c r="K915" t="s">
        <v>1267</v>
      </c>
      <c r="L915" t="s">
        <v>1362</v>
      </c>
      <c r="M915" t="s">
        <v>1446</v>
      </c>
      <c r="N915">
        <v>97</v>
      </c>
      <c r="O915" t="str">
        <f t="shared" si="89"/>
        <v>25</v>
      </c>
      <c r="Q915">
        <v>25</v>
      </c>
      <c r="R915" t="s">
        <v>1269</v>
      </c>
      <c r="S915">
        <v>0.54</v>
      </c>
      <c r="T915">
        <v>0.22739999999999999</v>
      </c>
      <c r="U915">
        <f t="shared" si="90"/>
        <v>0</v>
      </c>
      <c r="V915" t="str">
        <f t="shared" si="87"/>
        <v>Middle Pupil Management</v>
      </c>
      <c r="W915" t="str">
        <f t="shared" si="88"/>
        <v>Pupil Management</v>
      </c>
    </row>
    <row r="916" spans="1:23" x14ac:dyDescent="0.25">
      <c r="A916">
        <v>17001</v>
      </c>
      <c r="B916" t="s">
        <v>1363</v>
      </c>
      <c r="C916">
        <v>0.11</v>
      </c>
      <c r="D916" t="s">
        <v>1264</v>
      </c>
      <c r="E916">
        <v>100229</v>
      </c>
      <c r="F916">
        <v>17001</v>
      </c>
      <c r="G916" t="str">
        <f t="shared" si="86"/>
        <v>17001</v>
      </c>
      <c r="H916" t="s">
        <v>392</v>
      </c>
      <c r="I916" t="s">
        <v>1265</v>
      </c>
      <c r="J916" t="s">
        <v>1266</v>
      </c>
      <c r="K916" t="s">
        <v>1267</v>
      </c>
      <c r="L916" t="s">
        <v>1363</v>
      </c>
      <c r="M916" t="s">
        <v>1386</v>
      </c>
      <c r="N916">
        <v>1</v>
      </c>
      <c r="O916" t="str">
        <f t="shared" si="89"/>
        <v>25</v>
      </c>
      <c r="Q916">
        <v>25</v>
      </c>
      <c r="R916" t="s">
        <v>1269</v>
      </c>
      <c r="S916">
        <v>0.11</v>
      </c>
      <c r="T916">
        <v>0.22739999999999999</v>
      </c>
      <c r="U916">
        <f t="shared" si="90"/>
        <v>0</v>
      </c>
      <c r="V916" t="str">
        <f t="shared" si="87"/>
        <v>Middle Pupil Management</v>
      </c>
      <c r="W916" t="str">
        <f t="shared" si="88"/>
        <v>Pupil Management</v>
      </c>
    </row>
    <row r="917" spans="1:23" x14ac:dyDescent="0.25">
      <c r="A917">
        <v>17001</v>
      </c>
      <c r="B917" t="s">
        <v>1324</v>
      </c>
      <c r="C917">
        <v>10.574</v>
      </c>
      <c r="D917" t="s">
        <v>1264</v>
      </c>
      <c r="E917">
        <v>100229</v>
      </c>
      <c r="F917">
        <v>17001</v>
      </c>
      <c r="G917" t="str">
        <f t="shared" si="86"/>
        <v>17001</v>
      </c>
      <c r="H917" t="s">
        <v>392</v>
      </c>
      <c r="I917" t="s">
        <v>1265</v>
      </c>
      <c r="J917" t="s">
        <v>1271</v>
      </c>
      <c r="K917" t="s">
        <v>1272</v>
      </c>
      <c r="L917" t="s">
        <v>1324</v>
      </c>
      <c r="M917" t="s">
        <v>1325</v>
      </c>
      <c r="N917">
        <v>21</v>
      </c>
      <c r="O917" t="str">
        <f t="shared" si="89"/>
        <v>26</v>
      </c>
      <c r="Q917">
        <v>26</v>
      </c>
      <c r="R917" t="s">
        <v>1269</v>
      </c>
      <c r="S917">
        <v>10.574</v>
      </c>
      <c r="T917">
        <v>0.22739999999999999</v>
      </c>
      <c r="U917">
        <f t="shared" si="90"/>
        <v>2.4049999999999998</v>
      </c>
      <c r="V917" t="str">
        <f t="shared" si="87"/>
        <v>High Health/
Related Services</v>
      </c>
      <c r="W917" t="str">
        <f t="shared" si="88"/>
        <v>Health/
Related Services</v>
      </c>
    </row>
    <row r="918" spans="1:23" x14ac:dyDescent="0.25">
      <c r="A918">
        <v>17001</v>
      </c>
      <c r="B918" t="s">
        <v>1295</v>
      </c>
      <c r="C918">
        <v>1.57</v>
      </c>
      <c r="D918" t="s">
        <v>1264</v>
      </c>
      <c r="E918">
        <v>100229</v>
      </c>
      <c r="F918">
        <v>17001</v>
      </c>
      <c r="G918" t="str">
        <f t="shared" si="86"/>
        <v>17001</v>
      </c>
      <c r="H918" t="s">
        <v>392</v>
      </c>
      <c r="I918" t="s">
        <v>1265</v>
      </c>
      <c r="J918" t="s">
        <v>1271</v>
      </c>
      <c r="K918" t="s">
        <v>1272</v>
      </c>
      <c r="L918" t="s">
        <v>1295</v>
      </c>
      <c r="M918" t="s">
        <v>1296</v>
      </c>
      <c r="N918">
        <v>1</v>
      </c>
      <c r="O918" t="str">
        <f t="shared" si="89"/>
        <v>26</v>
      </c>
      <c r="Q918">
        <v>26</v>
      </c>
      <c r="R918" t="s">
        <v>1269</v>
      </c>
      <c r="S918">
        <v>1.57</v>
      </c>
      <c r="T918">
        <v>0.22739999999999999</v>
      </c>
      <c r="U918">
        <f t="shared" si="90"/>
        <v>0</v>
      </c>
      <c r="V918" t="str">
        <f t="shared" si="87"/>
        <v>High Health/
Related Services</v>
      </c>
      <c r="W918" t="str">
        <f t="shared" si="88"/>
        <v>Health/
Related Services</v>
      </c>
    </row>
    <row r="919" spans="1:23" x14ac:dyDescent="0.25">
      <c r="A919">
        <v>17001</v>
      </c>
      <c r="B919" t="s">
        <v>1401</v>
      </c>
      <c r="C919">
        <v>34.188000000000002</v>
      </c>
      <c r="D919" t="s">
        <v>1264</v>
      </c>
      <c r="E919">
        <v>100229</v>
      </c>
      <c r="F919">
        <v>17001</v>
      </c>
      <c r="G919" t="str">
        <f t="shared" si="86"/>
        <v>17001</v>
      </c>
      <c r="H919" t="s">
        <v>392</v>
      </c>
      <c r="I919" t="s">
        <v>1265</v>
      </c>
      <c r="J919" t="s">
        <v>1271</v>
      </c>
      <c r="K919" t="s">
        <v>1272</v>
      </c>
      <c r="L919" t="s">
        <v>1401</v>
      </c>
      <c r="M919" t="s">
        <v>1422</v>
      </c>
      <c r="N919">
        <v>1</v>
      </c>
      <c r="O919" t="str">
        <f t="shared" si="89"/>
        <v>35</v>
      </c>
      <c r="Q919">
        <v>35</v>
      </c>
      <c r="R919" t="s">
        <v>1269</v>
      </c>
      <c r="S919">
        <v>34.188000000000002</v>
      </c>
      <c r="T919">
        <v>0.22739999999999999</v>
      </c>
      <c r="U919">
        <f t="shared" si="90"/>
        <v>0</v>
      </c>
      <c r="V919" t="str">
        <f t="shared" si="87"/>
        <v>High Pupil Safety</v>
      </c>
      <c r="W919" t="str">
        <f t="shared" si="88"/>
        <v>Pupil Safety</v>
      </c>
    </row>
    <row r="920" spans="1:23" x14ac:dyDescent="0.25">
      <c r="A920">
        <v>17001</v>
      </c>
      <c r="B920" t="s">
        <v>1275</v>
      </c>
      <c r="C920">
        <v>36.036999999999999</v>
      </c>
      <c r="D920" t="s">
        <v>1264</v>
      </c>
      <c r="E920">
        <v>100229</v>
      </c>
      <c r="F920">
        <v>17001</v>
      </c>
      <c r="G920" t="str">
        <f t="shared" si="86"/>
        <v>17001</v>
      </c>
      <c r="H920" t="s">
        <v>392</v>
      </c>
      <c r="I920" t="s">
        <v>1265</v>
      </c>
      <c r="J920" t="s">
        <v>1276</v>
      </c>
      <c r="K920" t="s">
        <v>1277</v>
      </c>
      <c r="L920" t="s">
        <v>1275</v>
      </c>
      <c r="M920" t="s">
        <v>1278</v>
      </c>
      <c r="N920">
        <v>1</v>
      </c>
      <c r="O920" t="str">
        <f t="shared" si="89"/>
        <v>42</v>
      </c>
      <c r="P920">
        <v>42</v>
      </c>
      <c r="R920" t="s">
        <v>1269</v>
      </c>
      <c r="S920">
        <v>36.036999999999999</v>
      </c>
      <c r="T920">
        <v>0.22739999999999999</v>
      </c>
      <c r="U920">
        <f t="shared" si="90"/>
        <v>0</v>
      </c>
      <c r="V920" t="str">
        <f t="shared" si="87"/>
        <v>Elementary Counselor</v>
      </c>
      <c r="W920" t="str">
        <f t="shared" si="88"/>
        <v>Counselor</v>
      </c>
    </row>
    <row r="921" spans="1:23" x14ac:dyDescent="0.25">
      <c r="A921">
        <v>17001</v>
      </c>
      <c r="B921" t="s">
        <v>1270</v>
      </c>
      <c r="C921">
        <v>36.127000000000002</v>
      </c>
      <c r="D921" t="s">
        <v>1264</v>
      </c>
      <c r="E921">
        <v>100229</v>
      </c>
      <c r="F921">
        <v>17001</v>
      </c>
      <c r="G921" t="str">
        <f t="shared" si="86"/>
        <v>17001</v>
      </c>
      <c r="H921" t="s">
        <v>392</v>
      </c>
      <c r="I921" t="s">
        <v>1265</v>
      </c>
      <c r="J921" t="s">
        <v>1271</v>
      </c>
      <c r="K921" t="s">
        <v>1272</v>
      </c>
      <c r="L921" t="s">
        <v>1270</v>
      </c>
      <c r="M921" t="s">
        <v>1273</v>
      </c>
      <c r="N921">
        <v>1</v>
      </c>
      <c r="O921" t="str">
        <f t="shared" si="89"/>
        <v>42</v>
      </c>
      <c r="P921">
        <v>42</v>
      </c>
      <c r="R921" t="s">
        <v>1269</v>
      </c>
      <c r="S921">
        <v>36.127000000000002</v>
      </c>
      <c r="T921">
        <v>0.22739999999999999</v>
      </c>
      <c r="U921">
        <f t="shared" si="90"/>
        <v>0</v>
      </c>
      <c r="V921" t="str">
        <f t="shared" si="87"/>
        <v>High Counselor</v>
      </c>
      <c r="W921" t="str">
        <f t="shared" si="88"/>
        <v>Counselor</v>
      </c>
    </row>
    <row r="922" spans="1:23" x14ac:dyDescent="0.25">
      <c r="A922">
        <v>17001</v>
      </c>
      <c r="B922" t="s">
        <v>1263</v>
      </c>
      <c r="C922">
        <v>19.341000000000001</v>
      </c>
      <c r="D922" t="s">
        <v>1264</v>
      </c>
      <c r="E922">
        <v>100229</v>
      </c>
      <c r="F922">
        <v>17001</v>
      </c>
      <c r="G922" t="str">
        <f t="shared" si="86"/>
        <v>17001</v>
      </c>
      <c r="H922" t="s">
        <v>392</v>
      </c>
      <c r="I922" t="s">
        <v>1265</v>
      </c>
      <c r="J922" t="s">
        <v>1266</v>
      </c>
      <c r="K922" t="s">
        <v>1267</v>
      </c>
      <c r="L922" t="s">
        <v>1263</v>
      </c>
      <c r="M922" t="s">
        <v>1268</v>
      </c>
      <c r="N922">
        <v>1</v>
      </c>
      <c r="O922" t="str">
        <f t="shared" si="89"/>
        <v>42</v>
      </c>
      <c r="P922">
        <v>42</v>
      </c>
      <c r="R922" t="s">
        <v>1269</v>
      </c>
      <c r="S922">
        <v>19.341000000000001</v>
      </c>
      <c r="T922">
        <v>0.22739999999999999</v>
      </c>
      <c r="U922">
        <f t="shared" si="90"/>
        <v>0</v>
      </c>
      <c r="V922" t="str">
        <f t="shared" si="87"/>
        <v>Middle Counselor</v>
      </c>
      <c r="W922" t="str">
        <f t="shared" si="88"/>
        <v>Counselor</v>
      </c>
    </row>
    <row r="923" spans="1:23" x14ac:dyDescent="0.25">
      <c r="A923">
        <v>17001</v>
      </c>
      <c r="B923" t="s">
        <v>1289</v>
      </c>
      <c r="C923">
        <v>32.9</v>
      </c>
      <c r="D923" t="s">
        <v>1264</v>
      </c>
      <c r="E923">
        <v>100229</v>
      </c>
      <c r="F923">
        <v>17001</v>
      </c>
      <c r="G923" t="str">
        <f t="shared" si="86"/>
        <v>17001</v>
      </c>
      <c r="H923" t="s">
        <v>392</v>
      </c>
      <c r="I923" t="s">
        <v>1265</v>
      </c>
      <c r="J923" t="s">
        <v>1276</v>
      </c>
      <c r="K923" t="s">
        <v>1277</v>
      </c>
      <c r="L923" t="s">
        <v>1289</v>
      </c>
      <c r="M923" t="s">
        <v>1307</v>
      </c>
      <c r="N923">
        <v>21</v>
      </c>
      <c r="O923" t="str">
        <f t="shared" si="89"/>
        <v>43</v>
      </c>
      <c r="P923">
        <v>43</v>
      </c>
      <c r="R923" t="s">
        <v>1269</v>
      </c>
      <c r="S923">
        <v>32.9</v>
      </c>
      <c r="T923">
        <v>0.22739999999999999</v>
      </c>
      <c r="U923">
        <f t="shared" si="90"/>
        <v>7.4809999999999999</v>
      </c>
      <c r="V923" t="str">
        <f t="shared" si="87"/>
        <v>Elementary Occupational Therapist</v>
      </c>
      <c r="W923" t="str">
        <f t="shared" si="88"/>
        <v>Occupational Therapist</v>
      </c>
    </row>
    <row r="924" spans="1:23" x14ac:dyDescent="0.25">
      <c r="A924">
        <v>17001</v>
      </c>
      <c r="B924" t="s">
        <v>1328</v>
      </c>
      <c r="C924">
        <v>1.1000000000000001</v>
      </c>
      <c r="D924" t="s">
        <v>1264</v>
      </c>
      <c r="E924">
        <v>100229</v>
      </c>
      <c r="F924">
        <v>17001</v>
      </c>
      <c r="G924" t="str">
        <f t="shared" si="86"/>
        <v>17001</v>
      </c>
      <c r="H924" t="s">
        <v>392</v>
      </c>
      <c r="I924" t="s">
        <v>1265</v>
      </c>
      <c r="J924" t="s">
        <v>1276</v>
      </c>
      <c r="K924" t="s">
        <v>1277</v>
      </c>
      <c r="L924" t="s">
        <v>1328</v>
      </c>
      <c r="M924" t="s">
        <v>1442</v>
      </c>
      <c r="N924">
        <v>1</v>
      </c>
      <c r="O924" t="str">
        <f t="shared" si="89"/>
        <v>43</v>
      </c>
      <c r="P924">
        <v>43</v>
      </c>
      <c r="R924" t="s">
        <v>1269</v>
      </c>
      <c r="S924">
        <v>1.1000000000000001</v>
      </c>
      <c r="T924">
        <v>0.22739999999999999</v>
      </c>
      <c r="U924">
        <f t="shared" si="90"/>
        <v>0</v>
      </c>
      <c r="V924" t="str">
        <f t="shared" si="87"/>
        <v>Elementary Occupational Therapist</v>
      </c>
      <c r="W924" t="str">
        <f t="shared" si="88"/>
        <v>Occupational Therapist</v>
      </c>
    </row>
    <row r="925" spans="1:23" x14ac:dyDescent="0.25">
      <c r="A925">
        <v>17001</v>
      </c>
      <c r="B925" t="s">
        <v>1387</v>
      </c>
      <c r="C925">
        <v>18.88</v>
      </c>
      <c r="D925" t="s">
        <v>1264</v>
      </c>
      <c r="E925">
        <v>100229</v>
      </c>
      <c r="F925">
        <v>17001</v>
      </c>
      <c r="G925" t="str">
        <f t="shared" si="86"/>
        <v>17001</v>
      </c>
      <c r="H925" t="s">
        <v>392</v>
      </c>
      <c r="I925" t="s">
        <v>1265</v>
      </c>
      <c r="J925" t="s">
        <v>1271</v>
      </c>
      <c r="K925" t="s">
        <v>1272</v>
      </c>
      <c r="L925" t="s">
        <v>1387</v>
      </c>
      <c r="M925" t="s">
        <v>1406</v>
      </c>
      <c r="N925">
        <v>21</v>
      </c>
      <c r="O925" t="str">
        <f t="shared" si="89"/>
        <v>43</v>
      </c>
      <c r="P925">
        <v>43</v>
      </c>
      <c r="R925" t="s">
        <v>1269</v>
      </c>
      <c r="S925">
        <v>18.88</v>
      </c>
      <c r="T925">
        <v>0.22739999999999999</v>
      </c>
      <c r="U925">
        <f t="shared" si="90"/>
        <v>4.2930000000000001</v>
      </c>
      <c r="V925" t="str">
        <f t="shared" si="87"/>
        <v>High Occupational Therapist</v>
      </c>
      <c r="W925" t="str">
        <f t="shared" si="88"/>
        <v>Occupational Therapist</v>
      </c>
    </row>
    <row r="926" spans="1:23" x14ac:dyDescent="0.25">
      <c r="A926">
        <v>17001</v>
      </c>
      <c r="B926" t="s">
        <v>1388</v>
      </c>
      <c r="C926">
        <v>0.62</v>
      </c>
      <c r="D926" t="s">
        <v>1264</v>
      </c>
      <c r="E926">
        <v>100229</v>
      </c>
      <c r="F926">
        <v>17001</v>
      </c>
      <c r="G926" t="str">
        <f t="shared" si="86"/>
        <v>17001</v>
      </c>
      <c r="H926" t="s">
        <v>392</v>
      </c>
      <c r="I926" t="s">
        <v>1265</v>
      </c>
      <c r="J926" t="s">
        <v>1271</v>
      </c>
      <c r="K926" t="s">
        <v>1272</v>
      </c>
      <c r="L926" t="s">
        <v>1388</v>
      </c>
      <c r="M926" t="s">
        <v>1445</v>
      </c>
      <c r="N926">
        <v>1</v>
      </c>
      <c r="O926" t="str">
        <f t="shared" si="89"/>
        <v>43</v>
      </c>
      <c r="P926">
        <v>43</v>
      </c>
      <c r="R926" t="s">
        <v>1269</v>
      </c>
      <c r="S926">
        <v>0.62</v>
      </c>
      <c r="T926">
        <v>0.22739999999999999</v>
      </c>
      <c r="U926">
        <f t="shared" si="90"/>
        <v>0</v>
      </c>
      <c r="V926" t="str">
        <f t="shared" si="87"/>
        <v>High Occupational Therapist</v>
      </c>
      <c r="W926" t="str">
        <f t="shared" si="88"/>
        <v>Occupational Therapist</v>
      </c>
    </row>
    <row r="927" spans="1:23" x14ac:dyDescent="0.25">
      <c r="A927">
        <v>17001</v>
      </c>
      <c r="B927" t="s">
        <v>1303</v>
      </c>
      <c r="C927">
        <v>8.1199999999999992</v>
      </c>
      <c r="D927" t="s">
        <v>1264</v>
      </c>
      <c r="E927">
        <v>100229</v>
      </c>
      <c r="F927">
        <v>17001</v>
      </c>
      <c r="G927" t="str">
        <f t="shared" si="86"/>
        <v>17001</v>
      </c>
      <c r="H927" t="s">
        <v>392</v>
      </c>
      <c r="I927" t="s">
        <v>1265</v>
      </c>
      <c r="J927" t="s">
        <v>1266</v>
      </c>
      <c r="K927" t="s">
        <v>1267</v>
      </c>
      <c r="L927" t="s">
        <v>1303</v>
      </c>
      <c r="M927" t="s">
        <v>1304</v>
      </c>
      <c r="N927">
        <v>21</v>
      </c>
      <c r="O927" t="str">
        <f t="shared" si="89"/>
        <v>43</v>
      </c>
      <c r="P927">
        <v>43</v>
      </c>
      <c r="R927" t="s">
        <v>1269</v>
      </c>
      <c r="S927">
        <v>8.1199999999999992</v>
      </c>
      <c r="T927">
        <v>0.22739999999999999</v>
      </c>
      <c r="U927">
        <f t="shared" si="90"/>
        <v>1.8460000000000001</v>
      </c>
      <c r="V927" t="str">
        <f t="shared" si="87"/>
        <v>Middle Occupational Therapist</v>
      </c>
      <c r="W927" t="str">
        <f t="shared" si="88"/>
        <v>Occupational Therapist</v>
      </c>
    </row>
    <row r="928" spans="1:23" x14ac:dyDescent="0.25">
      <c r="A928">
        <v>17001</v>
      </c>
      <c r="B928" t="s">
        <v>1368</v>
      </c>
      <c r="C928">
        <v>0.28000000000000003</v>
      </c>
      <c r="D928" t="s">
        <v>1264</v>
      </c>
      <c r="E928">
        <v>100229</v>
      </c>
      <c r="F928">
        <v>17001</v>
      </c>
      <c r="G928" t="str">
        <f t="shared" si="86"/>
        <v>17001</v>
      </c>
      <c r="H928" t="s">
        <v>392</v>
      </c>
      <c r="I928" t="s">
        <v>1265</v>
      </c>
      <c r="J928" t="s">
        <v>1266</v>
      </c>
      <c r="K928" t="s">
        <v>1267</v>
      </c>
      <c r="L928" t="s">
        <v>1368</v>
      </c>
      <c r="M928" t="s">
        <v>1444</v>
      </c>
      <c r="N928">
        <v>1</v>
      </c>
      <c r="O928" t="str">
        <f t="shared" si="89"/>
        <v>43</v>
      </c>
      <c r="P928">
        <v>43</v>
      </c>
      <c r="R928" t="s">
        <v>1269</v>
      </c>
      <c r="S928">
        <v>0.28000000000000003</v>
      </c>
      <c r="T928">
        <v>0.22739999999999999</v>
      </c>
      <c r="U928">
        <f t="shared" si="90"/>
        <v>0</v>
      </c>
      <c r="V928" t="str">
        <f t="shared" si="87"/>
        <v>Middle Occupational Therapist</v>
      </c>
      <c r="W928" t="str">
        <f t="shared" si="88"/>
        <v>Occupational Therapist</v>
      </c>
    </row>
    <row r="929" spans="1:23" x14ac:dyDescent="0.25">
      <c r="A929">
        <v>17001</v>
      </c>
      <c r="B929" t="s">
        <v>1331</v>
      </c>
      <c r="C929">
        <v>25.425000000000001</v>
      </c>
      <c r="D929" t="s">
        <v>1264</v>
      </c>
      <c r="E929">
        <v>100229</v>
      </c>
      <c r="F929">
        <v>17001</v>
      </c>
      <c r="G929" t="str">
        <f t="shared" si="86"/>
        <v>17001</v>
      </c>
      <c r="H929" t="s">
        <v>392</v>
      </c>
      <c r="I929" t="s">
        <v>1265</v>
      </c>
      <c r="J929" t="s">
        <v>1276</v>
      </c>
      <c r="K929" t="s">
        <v>1277</v>
      </c>
      <c r="L929" t="s">
        <v>1331</v>
      </c>
      <c r="M929" t="s">
        <v>1405</v>
      </c>
      <c r="N929">
        <v>1</v>
      </c>
      <c r="O929" t="str">
        <f t="shared" si="89"/>
        <v>44</v>
      </c>
      <c r="P929">
        <v>44</v>
      </c>
      <c r="R929" t="s">
        <v>1269</v>
      </c>
      <c r="S929">
        <v>25.425000000000001</v>
      </c>
      <c r="T929">
        <v>0.22739999999999999</v>
      </c>
      <c r="U929">
        <f t="shared" si="90"/>
        <v>0</v>
      </c>
      <c r="V929" t="str">
        <f t="shared" si="87"/>
        <v>Elementary Social Worker</v>
      </c>
      <c r="W929" t="str">
        <f t="shared" si="88"/>
        <v>Social Worker</v>
      </c>
    </row>
    <row r="930" spans="1:23" x14ac:dyDescent="0.25">
      <c r="A930">
        <v>17001</v>
      </c>
      <c r="B930" t="s">
        <v>1390</v>
      </c>
      <c r="C930">
        <v>0.5</v>
      </c>
      <c r="D930" t="s">
        <v>1264</v>
      </c>
      <c r="E930">
        <v>100229</v>
      </c>
      <c r="F930">
        <v>17001</v>
      </c>
      <c r="G930" t="str">
        <f t="shared" si="86"/>
        <v>17001</v>
      </c>
      <c r="H930" t="s">
        <v>392</v>
      </c>
      <c r="I930" t="s">
        <v>1265</v>
      </c>
      <c r="J930" t="s">
        <v>1271</v>
      </c>
      <c r="K930" t="s">
        <v>1272</v>
      </c>
      <c r="L930" t="s">
        <v>1390</v>
      </c>
      <c r="M930" t="s">
        <v>1417</v>
      </c>
      <c r="N930">
        <v>21</v>
      </c>
      <c r="O930" t="str">
        <f t="shared" si="89"/>
        <v>44</v>
      </c>
      <c r="P930">
        <v>44</v>
      </c>
      <c r="R930" t="s">
        <v>1269</v>
      </c>
      <c r="S930">
        <v>0.5</v>
      </c>
      <c r="T930">
        <v>0.22739999999999999</v>
      </c>
      <c r="U930">
        <f t="shared" si="90"/>
        <v>0.114</v>
      </c>
      <c r="V930" t="str">
        <f t="shared" si="87"/>
        <v>High Social Worker</v>
      </c>
      <c r="W930" t="str">
        <f t="shared" si="88"/>
        <v>Social Worker</v>
      </c>
    </row>
    <row r="931" spans="1:23" x14ac:dyDescent="0.25">
      <c r="A931">
        <v>17001</v>
      </c>
      <c r="B931" t="s">
        <v>1359</v>
      </c>
      <c r="C931">
        <v>6.1</v>
      </c>
      <c r="D931" t="s">
        <v>1264</v>
      </c>
      <c r="E931">
        <v>100229</v>
      </c>
      <c r="F931">
        <v>17001</v>
      </c>
      <c r="G931" t="str">
        <f t="shared" si="86"/>
        <v>17001</v>
      </c>
      <c r="H931" t="s">
        <v>392</v>
      </c>
      <c r="I931" t="s">
        <v>1265</v>
      </c>
      <c r="J931" t="s">
        <v>1271</v>
      </c>
      <c r="K931" t="s">
        <v>1272</v>
      </c>
      <c r="L931" t="s">
        <v>1359</v>
      </c>
      <c r="M931" t="s">
        <v>1360</v>
      </c>
      <c r="N931">
        <v>1</v>
      </c>
      <c r="O931" t="str">
        <f t="shared" si="89"/>
        <v>44</v>
      </c>
      <c r="P931">
        <v>44</v>
      </c>
      <c r="R931" t="s">
        <v>1269</v>
      </c>
      <c r="S931">
        <v>6.1</v>
      </c>
      <c r="T931">
        <v>0.22739999999999999</v>
      </c>
      <c r="U931">
        <f t="shared" si="90"/>
        <v>0</v>
      </c>
      <c r="V931" t="str">
        <f t="shared" si="87"/>
        <v>High Social Worker</v>
      </c>
      <c r="W931" t="str">
        <f t="shared" si="88"/>
        <v>Social Worker</v>
      </c>
    </row>
    <row r="932" spans="1:23" x14ac:dyDescent="0.25">
      <c r="A932">
        <v>17001</v>
      </c>
      <c r="B932" t="s">
        <v>1356</v>
      </c>
      <c r="C932">
        <v>6.1230000000000002</v>
      </c>
      <c r="D932" t="s">
        <v>1264</v>
      </c>
      <c r="E932">
        <v>100229</v>
      </c>
      <c r="F932">
        <v>17001</v>
      </c>
      <c r="G932" t="str">
        <f t="shared" si="86"/>
        <v>17001</v>
      </c>
      <c r="H932" t="s">
        <v>392</v>
      </c>
      <c r="I932" t="s">
        <v>1265</v>
      </c>
      <c r="J932" t="s">
        <v>1266</v>
      </c>
      <c r="K932" t="s">
        <v>1267</v>
      </c>
      <c r="L932" t="s">
        <v>1356</v>
      </c>
      <c r="M932" t="s">
        <v>1357</v>
      </c>
      <c r="N932">
        <v>1</v>
      </c>
      <c r="O932" t="str">
        <f t="shared" si="89"/>
        <v>44</v>
      </c>
      <c r="P932">
        <v>44</v>
      </c>
      <c r="R932" t="s">
        <v>1269</v>
      </c>
      <c r="S932">
        <v>6.1230000000000002</v>
      </c>
      <c r="T932">
        <v>0.22739999999999999</v>
      </c>
      <c r="U932">
        <f t="shared" si="90"/>
        <v>0</v>
      </c>
      <c r="V932" t="str">
        <f t="shared" si="87"/>
        <v>Middle Social Worker</v>
      </c>
      <c r="W932" t="str">
        <f t="shared" si="88"/>
        <v>Social Worker</v>
      </c>
    </row>
    <row r="933" spans="1:23" x14ac:dyDescent="0.25">
      <c r="A933">
        <v>17001</v>
      </c>
      <c r="B933" t="s">
        <v>1294</v>
      </c>
      <c r="C933">
        <v>58.284999999999997</v>
      </c>
      <c r="D933" t="s">
        <v>1264</v>
      </c>
      <c r="E933">
        <v>100229</v>
      </c>
      <c r="F933">
        <v>17001</v>
      </c>
      <c r="G933" t="str">
        <f t="shared" si="86"/>
        <v>17001</v>
      </c>
      <c r="H933" t="s">
        <v>392</v>
      </c>
      <c r="I933" t="s">
        <v>1265</v>
      </c>
      <c r="J933" t="s">
        <v>1276</v>
      </c>
      <c r="K933" t="s">
        <v>1277</v>
      </c>
      <c r="L933" t="s">
        <v>1294</v>
      </c>
      <c r="M933" t="s">
        <v>1354</v>
      </c>
      <c r="N933">
        <v>21</v>
      </c>
      <c r="O933" t="str">
        <f t="shared" si="89"/>
        <v>45</v>
      </c>
      <c r="P933">
        <v>45</v>
      </c>
      <c r="R933" t="s">
        <v>1269</v>
      </c>
      <c r="S933">
        <v>58.284999999999997</v>
      </c>
      <c r="T933">
        <v>0.22739999999999999</v>
      </c>
      <c r="U933">
        <f t="shared" si="90"/>
        <v>13.254</v>
      </c>
      <c r="V933" t="str">
        <f t="shared" si="87"/>
        <v>Elementary Speech, Language Pathway/
Audio</v>
      </c>
      <c r="W933" t="str">
        <f t="shared" si="88"/>
        <v>Speech, Language Pathway/
Audio</v>
      </c>
    </row>
    <row r="934" spans="1:23" x14ac:dyDescent="0.25">
      <c r="A934">
        <v>17001</v>
      </c>
      <c r="B934" t="s">
        <v>1332</v>
      </c>
      <c r="C934">
        <v>0.08</v>
      </c>
      <c r="D934" t="s">
        <v>1264</v>
      </c>
      <c r="E934">
        <v>100229</v>
      </c>
      <c r="F934">
        <v>17001</v>
      </c>
      <c r="G934" t="str">
        <f t="shared" si="86"/>
        <v>17001</v>
      </c>
      <c r="H934" t="s">
        <v>392</v>
      </c>
      <c r="I934" t="s">
        <v>1265</v>
      </c>
      <c r="J934" t="s">
        <v>1276</v>
      </c>
      <c r="K934" t="s">
        <v>1277</v>
      </c>
      <c r="L934" t="s">
        <v>1332</v>
      </c>
      <c r="M934" t="s">
        <v>1403</v>
      </c>
      <c r="N934">
        <v>1</v>
      </c>
      <c r="O934" t="str">
        <f t="shared" si="89"/>
        <v>45</v>
      </c>
      <c r="P934">
        <v>45</v>
      </c>
      <c r="R934" t="s">
        <v>1269</v>
      </c>
      <c r="S934">
        <v>0.08</v>
      </c>
      <c r="T934">
        <v>0.22739999999999999</v>
      </c>
      <c r="U934">
        <f t="shared" si="90"/>
        <v>0</v>
      </c>
      <c r="V934" t="str">
        <f t="shared" si="87"/>
        <v>Elementary Speech, Language Pathway/
Audio</v>
      </c>
      <c r="W934" t="str">
        <f t="shared" si="88"/>
        <v>Speech, Language Pathway/
Audio</v>
      </c>
    </row>
    <row r="935" spans="1:23" x14ac:dyDescent="0.25">
      <c r="A935">
        <v>17001</v>
      </c>
      <c r="B935" t="s">
        <v>1326</v>
      </c>
      <c r="C935">
        <v>32.023000000000003</v>
      </c>
      <c r="D935" t="s">
        <v>1264</v>
      </c>
      <c r="E935">
        <v>100229</v>
      </c>
      <c r="F935">
        <v>17001</v>
      </c>
      <c r="G935" t="str">
        <f t="shared" si="86"/>
        <v>17001</v>
      </c>
      <c r="H935" t="s">
        <v>392</v>
      </c>
      <c r="I935" t="s">
        <v>1265</v>
      </c>
      <c r="J935" t="s">
        <v>1271</v>
      </c>
      <c r="K935" t="s">
        <v>1272</v>
      </c>
      <c r="L935" t="s">
        <v>1326</v>
      </c>
      <c r="M935" t="s">
        <v>1353</v>
      </c>
      <c r="N935">
        <v>21</v>
      </c>
      <c r="O935" t="str">
        <f t="shared" si="89"/>
        <v>45</v>
      </c>
      <c r="P935">
        <v>45</v>
      </c>
      <c r="R935" t="s">
        <v>1269</v>
      </c>
      <c r="S935">
        <v>32.023000000000003</v>
      </c>
      <c r="T935">
        <v>0.22739999999999999</v>
      </c>
      <c r="U935">
        <f t="shared" si="90"/>
        <v>7.282</v>
      </c>
      <c r="V935" t="str">
        <f t="shared" si="87"/>
        <v>High Speech, Language Pathway/
Audio</v>
      </c>
      <c r="W935" t="str">
        <f t="shared" si="88"/>
        <v>Speech, Language Pathway/
Audio</v>
      </c>
    </row>
    <row r="936" spans="1:23" x14ac:dyDescent="0.25">
      <c r="A936">
        <v>17001</v>
      </c>
      <c r="B936" t="s">
        <v>1394</v>
      </c>
      <c r="C936">
        <v>0.31</v>
      </c>
      <c r="D936" t="s">
        <v>1264</v>
      </c>
      <c r="E936">
        <v>100229</v>
      </c>
      <c r="F936">
        <v>17001</v>
      </c>
      <c r="G936" t="str">
        <f t="shared" si="86"/>
        <v>17001</v>
      </c>
      <c r="H936" t="s">
        <v>392</v>
      </c>
      <c r="I936" t="s">
        <v>1265</v>
      </c>
      <c r="J936" t="s">
        <v>1271</v>
      </c>
      <c r="K936" t="s">
        <v>1272</v>
      </c>
      <c r="L936" t="s">
        <v>1394</v>
      </c>
      <c r="M936" t="s">
        <v>1415</v>
      </c>
      <c r="N936">
        <v>1</v>
      </c>
      <c r="O936" t="str">
        <f t="shared" si="89"/>
        <v>45</v>
      </c>
      <c r="P936">
        <v>45</v>
      </c>
      <c r="R936" t="s">
        <v>1269</v>
      </c>
      <c r="S936">
        <v>0.31</v>
      </c>
      <c r="T936">
        <v>0.22739999999999999</v>
      </c>
      <c r="U936">
        <f t="shared" si="90"/>
        <v>0</v>
      </c>
      <c r="V936" t="str">
        <f t="shared" si="87"/>
        <v>High Speech, Language Pathway/
Audio</v>
      </c>
      <c r="W936" t="str">
        <f t="shared" si="88"/>
        <v>Speech, Language Pathway/
Audio</v>
      </c>
    </row>
    <row r="937" spans="1:23" x14ac:dyDescent="0.25">
      <c r="A937">
        <v>17001</v>
      </c>
      <c r="B937" t="s">
        <v>1312</v>
      </c>
      <c r="C937">
        <v>14.462</v>
      </c>
      <c r="D937" t="s">
        <v>1264</v>
      </c>
      <c r="E937">
        <v>100229</v>
      </c>
      <c r="F937">
        <v>17001</v>
      </c>
      <c r="G937" t="str">
        <f t="shared" si="86"/>
        <v>17001</v>
      </c>
      <c r="H937" t="s">
        <v>392</v>
      </c>
      <c r="I937" t="s">
        <v>1265</v>
      </c>
      <c r="J937" t="s">
        <v>1266</v>
      </c>
      <c r="K937" t="s">
        <v>1267</v>
      </c>
      <c r="L937" t="s">
        <v>1312</v>
      </c>
      <c r="M937" t="s">
        <v>1351</v>
      </c>
      <c r="N937">
        <v>21</v>
      </c>
      <c r="O937" t="str">
        <f t="shared" si="89"/>
        <v>45</v>
      </c>
      <c r="P937">
        <v>45</v>
      </c>
      <c r="R937" t="s">
        <v>1269</v>
      </c>
      <c r="S937">
        <v>14.462</v>
      </c>
      <c r="T937">
        <v>0.22739999999999999</v>
      </c>
      <c r="U937">
        <f t="shared" si="90"/>
        <v>3.2890000000000001</v>
      </c>
      <c r="V937" t="str">
        <f t="shared" si="87"/>
        <v>Middle Speech, Language Pathway/
Audio</v>
      </c>
      <c r="W937" t="str">
        <f t="shared" si="88"/>
        <v>Speech, Language Pathway/
Audio</v>
      </c>
    </row>
    <row r="938" spans="1:23" x14ac:dyDescent="0.25">
      <c r="A938">
        <v>17001</v>
      </c>
      <c r="B938" t="s">
        <v>1370</v>
      </c>
      <c r="C938">
        <v>0.14000000000000001</v>
      </c>
      <c r="D938" t="s">
        <v>1264</v>
      </c>
      <c r="E938">
        <v>100229</v>
      </c>
      <c r="F938">
        <v>17001</v>
      </c>
      <c r="G938" t="str">
        <f t="shared" si="86"/>
        <v>17001</v>
      </c>
      <c r="H938" t="s">
        <v>392</v>
      </c>
      <c r="I938" t="s">
        <v>1265</v>
      </c>
      <c r="J938" t="s">
        <v>1266</v>
      </c>
      <c r="K938" t="s">
        <v>1267</v>
      </c>
      <c r="L938" t="s">
        <v>1370</v>
      </c>
      <c r="M938" t="s">
        <v>1414</v>
      </c>
      <c r="N938">
        <v>1</v>
      </c>
      <c r="O938" t="str">
        <f t="shared" si="89"/>
        <v>45</v>
      </c>
      <c r="P938">
        <v>45</v>
      </c>
      <c r="R938" t="s">
        <v>1269</v>
      </c>
      <c r="S938">
        <v>0.14000000000000001</v>
      </c>
      <c r="T938">
        <v>0.22739999999999999</v>
      </c>
      <c r="U938">
        <f t="shared" si="90"/>
        <v>0</v>
      </c>
      <c r="V938" t="str">
        <f t="shared" si="87"/>
        <v>Middle Speech, Language Pathway/
Audio</v>
      </c>
      <c r="W938" t="str">
        <f t="shared" si="88"/>
        <v>Speech, Language Pathway/
Audio</v>
      </c>
    </row>
    <row r="939" spans="1:23" x14ac:dyDescent="0.25">
      <c r="A939">
        <v>17001</v>
      </c>
      <c r="B939" t="s">
        <v>1298</v>
      </c>
      <c r="C939">
        <v>28.774999999999999</v>
      </c>
      <c r="D939" t="s">
        <v>1264</v>
      </c>
      <c r="E939">
        <v>100229</v>
      </c>
      <c r="F939">
        <v>17001</v>
      </c>
      <c r="G939" t="str">
        <f t="shared" si="86"/>
        <v>17001</v>
      </c>
      <c r="H939" t="s">
        <v>392</v>
      </c>
      <c r="I939" t="s">
        <v>1265</v>
      </c>
      <c r="J939" t="s">
        <v>1276</v>
      </c>
      <c r="K939" t="s">
        <v>1277</v>
      </c>
      <c r="L939" t="s">
        <v>1298</v>
      </c>
      <c r="M939" t="s">
        <v>1349</v>
      </c>
      <c r="N939">
        <v>21</v>
      </c>
      <c r="O939" t="str">
        <f t="shared" si="89"/>
        <v>46</v>
      </c>
      <c r="P939">
        <v>46</v>
      </c>
      <c r="R939" t="s">
        <v>1269</v>
      </c>
      <c r="S939">
        <v>28.774999999999999</v>
      </c>
      <c r="T939">
        <v>0.22739999999999999</v>
      </c>
      <c r="U939">
        <f t="shared" si="90"/>
        <v>6.5430000000000001</v>
      </c>
      <c r="V939" t="str">
        <f t="shared" si="87"/>
        <v>Elementary Psychologist</v>
      </c>
      <c r="W939" t="str">
        <f t="shared" si="88"/>
        <v>Psychologist</v>
      </c>
    </row>
    <row r="940" spans="1:23" x14ac:dyDescent="0.25">
      <c r="A940">
        <v>17001</v>
      </c>
      <c r="B940" t="s">
        <v>1333</v>
      </c>
      <c r="C940">
        <v>0.55000000000000004</v>
      </c>
      <c r="D940" t="s">
        <v>1264</v>
      </c>
      <c r="E940">
        <v>100229</v>
      </c>
      <c r="F940">
        <v>17001</v>
      </c>
      <c r="G940" t="str">
        <f t="shared" si="86"/>
        <v>17001</v>
      </c>
      <c r="H940" t="s">
        <v>392</v>
      </c>
      <c r="I940" t="s">
        <v>1265</v>
      </c>
      <c r="J940" t="s">
        <v>1276</v>
      </c>
      <c r="K940" t="s">
        <v>1277</v>
      </c>
      <c r="L940" t="s">
        <v>1333</v>
      </c>
      <c r="M940" t="s">
        <v>1432</v>
      </c>
      <c r="N940">
        <v>1</v>
      </c>
      <c r="O940" t="str">
        <f t="shared" si="89"/>
        <v>46</v>
      </c>
      <c r="P940">
        <v>46</v>
      </c>
      <c r="R940" t="s">
        <v>1269</v>
      </c>
      <c r="S940">
        <v>0.55000000000000004</v>
      </c>
      <c r="T940">
        <v>0.22739999999999999</v>
      </c>
      <c r="U940">
        <f t="shared" si="90"/>
        <v>0</v>
      </c>
      <c r="V940" t="str">
        <f t="shared" si="87"/>
        <v>Elementary Psychologist</v>
      </c>
      <c r="W940" t="str">
        <f t="shared" si="88"/>
        <v>Psychologist</v>
      </c>
    </row>
    <row r="941" spans="1:23" x14ac:dyDescent="0.25">
      <c r="A941">
        <v>17001</v>
      </c>
      <c r="B941" t="s">
        <v>1309</v>
      </c>
      <c r="C941">
        <v>15.654999999999999</v>
      </c>
      <c r="D941" t="s">
        <v>1264</v>
      </c>
      <c r="E941">
        <v>100229</v>
      </c>
      <c r="F941">
        <v>17001</v>
      </c>
      <c r="G941" t="str">
        <f t="shared" si="86"/>
        <v>17001</v>
      </c>
      <c r="H941" t="s">
        <v>392</v>
      </c>
      <c r="I941" t="s">
        <v>1265</v>
      </c>
      <c r="J941" t="s">
        <v>1271</v>
      </c>
      <c r="K941" t="s">
        <v>1272</v>
      </c>
      <c r="L941" t="s">
        <v>1309</v>
      </c>
      <c r="M941" t="s">
        <v>1310</v>
      </c>
      <c r="N941">
        <v>21</v>
      </c>
      <c r="O941" t="str">
        <f t="shared" si="89"/>
        <v>46</v>
      </c>
      <c r="P941">
        <v>46</v>
      </c>
      <c r="R941" t="s">
        <v>1269</v>
      </c>
      <c r="S941">
        <v>15.654999999999999</v>
      </c>
      <c r="T941">
        <v>0.22739999999999999</v>
      </c>
      <c r="U941">
        <f t="shared" si="90"/>
        <v>3.56</v>
      </c>
      <c r="V941" t="str">
        <f t="shared" si="87"/>
        <v>High Psychologist</v>
      </c>
      <c r="W941" t="str">
        <f t="shared" si="88"/>
        <v>Psychologist</v>
      </c>
    </row>
    <row r="942" spans="1:23" x14ac:dyDescent="0.25">
      <c r="A942">
        <v>17001</v>
      </c>
      <c r="B942" t="s">
        <v>1396</v>
      </c>
      <c r="C942">
        <v>0.31</v>
      </c>
      <c r="D942" t="s">
        <v>1264</v>
      </c>
      <c r="E942">
        <v>100229</v>
      </c>
      <c r="F942">
        <v>17001</v>
      </c>
      <c r="G942" t="str">
        <f t="shared" si="86"/>
        <v>17001</v>
      </c>
      <c r="H942" t="s">
        <v>392</v>
      </c>
      <c r="I942" t="s">
        <v>1265</v>
      </c>
      <c r="J942" t="s">
        <v>1271</v>
      </c>
      <c r="K942" t="s">
        <v>1272</v>
      </c>
      <c r="L942" t="s">
        <v>1396</v>
      </c>
      <c r="M942" t="s">
        <v>1431</v>
      </c>
      <c r="N942">
        <v>1</v>
      </c>
      <c r="O942" t="str">
        <f t="shared" si="89"/>
        <v>46</v>
      </c>
      <c r="P942">
        <v>46</v>
      </c>
      <c r="R942" t="s">
        <v>1269</v>
      </c>
      <c r="S942">
        <v>0.31</v>
      </c>
      <c r="T942">
        <v>0.22739999999999999</v>
      </c>
      <c r="U942">
        <f t="shared" si="90"/>
        <v>0</v>
      </c>
      <c r="V942" t="str">
        <f t="shared" si="87"/>
        <v>High Psychologist</v>
      </c>
      <c r="W942" t="str">
        <f t="shared" si="88"/>
        <v>Psychologist</v>
      </c>
    </row>
    <row r="943" spans="1:23" x14ac:dyDescent="0.25">
      <c r="A943">
        <v>17001</v>
      </c>
      <c r="B943" t="s">
        <v>1345</v>
      </c>
      <c r="C943">
        <v>7.07</v>
      </c>
      <c r="D943" t="s">
        <v>1264</v>
      </c>
      <c r="E943">
        <v>100229</v>
      </c>
      <c r="F943">
        <v>17001</v>
      </c>
      <c r="G943" t="str">
        <f t="shared" si="86"/>
        <v>17001</v>
      </c>
      <c r="H943" t="s">
        <v>392</v>
      </c>
      <c r="I943" t="s">
        <v>1265</v>
      </c>
      <c r="J943" t="s">
        <v>1266</v>
      </c>
      <c r="K943" t="s">
        <v>1267</v>
      </c>
      <c r="L943" t="s">
        <v>1345</v>
      </c>
      <c r="M943" t="s">
        <v>1346</v>
      </c>
      <c r="N943">
        <v>21</v>
      </c>
      <c r="O943" t="str">
        <f t="shared" si="89"/>
        <v>46</v>
      </c>
      <c r="P943">
        <v>46</v>
      </c>
      <c r="R943" t="s">
        <v>1269</v>
      </c>
      <c r="S943">
        <v>7.07</v>
      </c>
      <c r="T943">
        <v>0.22739999999999999</v>
      </c>
      <c r="U943">
        <f t="shared" si="90"/>
        <v>1.6080000000000001</v>
      </c>
      <c r="V943" t="str">
        <f t="shared" si="87"/>
        <v>Middle Psychologist</v>
      </c>
      <c r="W943" t="str">
        <f t="shared" si="88"/>
        <v>Psychologist</v>
      </c>
    </row>
    <row r="944" spans="1:23" x14ac:dyDescent="0.25">
      <c r="A944">
        <v>17001</v>
      </c>
      <c r="B944" t="s">
        <v>1371</v>
      </c>
      <c r="C944">
        <v>0.14000000000000001</v>
      </c>
      <c r="D944" t="s">
        <v>1264</v>
      </c>
      <c r="E944">
        <v>100229</v>
      </c>
      <c r="F944">
        <v>17001</v>
      </c>
      <c r="G944" t="str">
        <f t="shared" si="86"/>
        <v>17001</v>
      </c>
      <c r="H944" t="s">
        <v>392</v>
      </c>
      <c r="I944" t="s">
        <v>1265</v>
      </c>
      <c r="J944" t="s">
        <v>1266</v>
      </c>
      <c r="K944" t="s">
        <v>1267</v>
      </c>
      <c r="L944" t="s">
        <v>1371</v>
      </c>
      <c r="M944" t="s">
        <v>1430</v>
      </c>
      <c r="N944">
        <v>1</v>
      </c>
      <c r="O944" t="str">
        <f t="shared" si="89"/>
        <v>46</v>
      </c>
      <c r="P944">
        <v>46</v>
      </c>
      <c r="R944" t="s">
        <v>1269</v>
      </c>
      <c r="S944">
        <v>0.14000000000000001</v>
      </c>
      <c r="T944">
        <v>0.22739999999999999</v>
      </c>
      <c r="U944">
        <f t="shared" si="90"/>
        <v>0</v>
      </c>
      <c r="V944" t="str">
        <f t="shared" si="87"/>
        <v>Middle Psychologist</v>
      </c>
      <c r="W944" t="str">
        <f t="shared" si="88"/>
        <v>Psychologist</v>
      </c>
    </row>
    <row r="945" spans="1:23" x14ac:dyDescent="0.25">
      <c r="A945">
        <v>17001</v>
      </c>
      <c r="B945" t="s">
        <v>1334</v>
      </c>
      <c r="C945">
        <v>1.9570000000000001</v>
      </c>
      <c r="D945" t="s">
        <v>1264</v>
      </c>
      <c r="E945">
        <v>100229</v>
      </c>
      <c r="F945">
        <v>17001</v>
      </c>
      <c r="G945" t="str">
        <f t="shared" si="86"/>
        <v>17001</v>
      </c>
      <c r="H945" t="s">
        <v>392</v>
      </c>
      <c r="I945" t="s">
        <v>1265</v>
      </c>
      <c r="J945" t="s">
        <v>1276</v>
      </c>
      <c r="K945" t="s">
        <v>1277</v>
      </c>
      <c r="L945" t="s">
        <v>1334</v>
      </c>
      <c r="M945" t="s">
        <v>1413</v>
      </c>
      <c r="N945">
        <v>21</v>
      </c>
      <c r="O945" t="str">
        <f t="shared" si="89"/>
        <v>47</v>
      </c>
      <c r="P945">
        <v>47</v>
      </c>
      <c r="R945" t="s">
        <v>1269</v>
      </c>
      <c r="S945">
        <v>1.9570000000000001</v>
      </c>
      <c r="T945">
        <v>0.22739999999999999</v>
      </c>
      <c r="U945">
        <f t="shared" si="90"/>
        <v>0.44500000000000001</v>
      </c>
      <c r="V945" t="str">
        <f t="shared" si="87"/>
        <v>Elementary Nurse</v>
      </c>
      <c r="W945" t="str">
        <f t="shared" si="88"/>
        <v>Nurse</v>
      </c>
    </row>
    <row r="946" spans="1:23" x14ac:dyDescent="0.25">
      <c r="A946">
        <v>17001</v>
      </c>
      <c r="B946" t="s">
        <v>1335</v>
      </c>
      <c r="C946">
        <v>30.026</v>
      </c>
      <c r="D946" t="s">
        <v>1264</v>
      </c>
      <c r="E946">
        <v>100229</v>
      </c>
      <c r="F946">
        <v>17001</v>
      </c>
      <c r="G946" t="str">
        <f t="shared" si="86"/>
        <v>17001</v>
      </c>
      <c r="H946" t="s">
        <v>392</v>
      </c>
      <c r="I946" t="s">
        <v>1265</v>
      </c>
      <c r="J946" t="s">
        <v>1276</v>
      </c>
      <c r="K946" t="s">
        <v>1277</v>
      </c>
      <c r="L946" t="s">
        <v>1335</v>
      </c>
      <c r="M946" t="s">
        <v>1344</v>
      </c>
      <c r="N946">
        <v>1</v>
      </c>
      <c r="O946" t="str">
        <f t="shared" si="89"/>
        <v>47</v>
      </c>
      <c r="P946">
        <v>47</v>
      </c>
      <c r="R946" t="s">
        <v>1269</v>
      </c>
      <c r="S946">
        <v>30.026</v>
      </c>
      <c r="T946">
        <v>0.22739999999999999</v>
      </c>
      <c r="U946">
        <f t="shared" si="90"/>
        <v>0</v>
      </c>
      <c r="V946" t="str">
        <f t="shared" si="87"/>
        <v>Elementary Nurse</v>
      </c>
      <c r="W946" t="str">
        <f t="shared" si="88"/>
        <v>Nurse</v>
      </c>
    </row>
    <row r="947" spans="1:23" x14ac:dyDescent="0.25">
      <c r="A947">
        <v>17001</v>
      </c>
      <c r="B947" t="s">
        <v>1397</v>
      </c>
      <c r="C947">
        <v>1.2090000000000001</v>
      </c>
      <c r="D947" t="s">
        <v>1264</v>
      </c>
      <c r="E947">
        <v>100229</v>
      </c>
      <c r="F947">
        <v>17001</v>
      </c>
      <c r="G947" t="str">
        <f t="shared" si="86"/>
        <v>17001</v>
      </c>
      <c r="H947" t="s">
        <v>392</v>
      </c>
      <c r="I947" t="s">
        <v>1265</v>
      </c>
      <c r="J947" t="s">
        <v>1271</v>
      </c>
      <c r="K947" t="s">
        <v>1272</v>
      </c>
      <c r="L947" t="s">
        <v>1397</v>
      </c>
      <c r="M947" t="s">
        <v>1435</v>
      </c>
      <c r="N947">
        <v>21</v>
      </c>
      <c r="O947" t="str">
        <f t="shared" si="89"/>
        <v>47</v>
      </c>
      <c r="P947">
        <v>47</v>
      </c>
      <c r="R947" t="s">
        <v>1269</v>
      </c>
      <c r="S947">
        <v>1.2090000000000001</v>
      </c>
      <c r="T947">
        <v>0.22739999999999999</v>
      </c>
      <c r="U947">
        <f t="shared" si="90"/>
        <v>0.27500000000000002</v>
      </c>
      <c r="V947" t="str">
        <f t="shared" si="87"/>
        <v>High Nurse</v>
      </c>
      <c r="W947" t="str">
        <f t="shared" si="88"/>
        <v>Nurse</v>
      </c>
    </row>
    <row r="948" spans="1:23" x14ac:dyDescent="0.25">
      <c r="A948">
        <v>17001</v>
      </c>
      <c r="B948" t="s">
        <v>1341</v>
      </c>
      <c r="C948">
        <v>16.556000000000001</v>
      </c>
      <c r="D948" t="s">
        <v>1264</v>
      </c>
      <c r="E948">
        <v>100229</v>
      </c>
      <c r="F948">
        <v>17001</v>
      </c>
      <c r="G948" t="str">
        <f t="shared" si="86"/>
        <v>17001</v>
      </c>
      <c r="H948" t="s">
        <v>392</v>
      </c>
      <c r="I948" t="s">
        <v>1265</v>
      </c>
      <c r="J948" t="s">
        <v>1271</v>
      </c>
      <c r="K948" t="s">
        <v>1272</v>
      </c>
      <c r="L948" t="s">
        <v>1341</v>
      </c>
      <c r="M948" t="s">
        <v>1342</v>
      </c>
      <c r="N948">
        <v>1</v>
      </c>
      <c r="O948" t="str">
        <f t="shared" si="89"/>
        <v>47</v>
      </c>
      <c r="P948">
        <v>47</v>
      </c>
      <c r="R948" t="s">
        <v>1269</v>
      </c>
      <c r="S948">
        <v>16.556000000000001</v>
      </c>
      <c r="T948">
        <v>0.22739999999999999</v>
      </c>
      <c r="U948">
        <f t="shared" si="90"/>
        <v>0</v>
      </c>
      <c r="V948" t="str">
        <f t="shared" si="87"/>
        <v>High Nurse</v>
      </c>
      <c r="W948" t="str">
        <f t="shared" si="88"/>
        <v>Nurse</v>
      </c>
    </row>
    <row r="949" spans="1:23" x14ac:dyDescent="0.25">
      <c r="A949">
        <v>17001</v>
      </c>
      <c r="B949" t="s">
        <v>1372</v>
      </c>
      <c r="C949">
        <v>0.54600000000000004</v>
      </c>
      <c r="D949" t="s">
        <v>1264</v>
      </c>
      <c r="E949">
        <v>100229</v>
      </c>
      <c r="F949">
        <v>17001</v>
      </c>
      <c r="G949" t="str">
        <f t="shared" si="86"/>
        <v>17001</v>
      </c>
      <c r="H949" t="s">
        <v>392</v>
      </c>
      <c r="I949" t="s">
        <v>1265</v>
      </c>
      <c r="J949" t="s">
        <v>1266</v>
      </c>
      <c r="K949" t="s">
        <v>1267</v>
      </c>
      <c r="L949" t="s">
        <v>1372</v>
      </c>
      <c r="M949" t="s">
        <v>1436</v>
      </c>
      <c r="N949">
        <v>21</v>
      </c>
      <c r="O949" t="str">
        <f t="shared" si="89"/>
        <v>47</v>
      </c>
      <c r="P949">
        <v>47</v>
      </c>
      <c r="R949" t="s">
        <v>1269</v>
      </c>
      <c r="S949">
        <v>0.54600000000000004</v>
      </c>
      <c r="T949">
        <v>0.22739999999999999</v>
      </c>
      <c r="U949">
        <f t="shared" si="90"/>
        <v>0.124</v>
      </c>
      <c r="V949" t="str">
        <f t="shared" si="87"/>
        <v>Middle Nurse</v>
      </c>
      <c r="W949" t="str">
        <f t="shared" si="88"/>
        <v>Nurse</v>
      </c>
    </row>
    <row r="950" spans="1:23" x14ac:dyDescent="0.25">
      <c r="A950">
        <v>17001</v>
      </c>
      <c r="B950" t="s">
        <v>1338</v>
      </c>
      <c r="C950">
        <v>7.4740000000000002</v>
      </c>
      <c r="D950" t="s">
        <v>1264</v>
      </c>
      <c r="E950">
        <v>100229</v>
      </c>
      <c r="F950">
        <v>17001</v>
      </c>
      <c r="G950" t="str">
        <f t="shared" si="86"/>
        <v>17001</v>
      </c>
      <c r="H950" t="s">
        <v>392</v>
      </c>
      <c r="I950" t="s">
        <v>1265</v>
      </c>
      <c r="J950" t="s">
        <v>1266</v>
      </c>
      <c r="K950" t="s">
        <v>1267</v>
      </c>
      <c r="L950" t="s">
        <v>1338</v>
      </c>
      <c r="M950" t="s">
        <v>1339</v>
      </c>
      <c r="N950">
        <v>1</v>
      </c>
      <c r="O950" t="str">
        <f t="shared" si="89"/>
        <v>47</v>
      </c>
      <c r="P950">
        <v>47</v>
      </c>
      <c r="R950" t="s">
        <v>1269</v>
      </c>
      <c r="S950">
        <v>7.4740000000000002</v>
      </c>
      <c r="T950">
        <v>0.22739999999999999</v>
      </c>
      <c r="U950">
        <f t="shared" si="90"/>
        <v>0</v>
      </c>
      <c r="V950" t="str">
        <f t="shared" si="87"/>
        <v>Middle Nurse</v>
      </c>
      <c r="W950" t="str">
        <f t="shared" si="88"/>
        <v>Nurse</v>
      </c>
    </row>
    <row r="951" spans="1:23" x14ac:dyDescent="0.25">
      <c r="A951">
        <v>17001</v>
      </c>
      <c r="B951" t="s">
        <v>1302</v>
      </c>
      <c r="C951">
        <v>6.6</v>
      </c>
      <c r="D951" t="s">
        <v>1264</v>
      </c>
      <c r="E951">
        <v>100229</v>
      </c>
      <c r="F951">
        <v>17001</v>
      </c>
      <c r="G951" t="str">
        <f t="shared" si="86"/>
        <v>17001</v>
      </c>
      <c r="H951" t="s">
        <v>392</v>
      </c>
      <c r="I951" t="s">
        <v>1265</v>
      </c>
      <c r="J951" t="s">
        <v>1276</v>
      </c>
      <c r="K951" t="s">
        <v>1277</v>
      </c>
      <c r="L951" t="s">
        <v>1302</v>
      </c>
      <c r="M951" t="s">
        <v>1336</v>
      </c>
      <c r="N951">
        <v>21</v>
      </c>
      <c r="O951" t="str">
        <f t="shared" si="89"/>
        <v>48</v>
      </c>
      <c r="P951">
        <v>48</v>
      </c>
      <c r="R951" t="s">
        <v>1269</v>
      </c>
      <c r="S951">
        <v>6.6</v>
      </c>
      <c r="T951">
        <v>0.22739999999999999</v>
      </c>
      <c r="U951">
        <f t="shared" si="90"/>
        <v>1.5009999999999999</v>
      </c>
      <c r="V951" t="str">
        <f t="shared" si="87"/>
        <v>Elementary Physical Therapist</v>
      </c>
      <c r="W951" t="str">
        <f t="shared" si="88"/>
        <v>Physical Therapist</v>
      </c>
    </row>
    <row r="952" spans="1:23" x14ac:dyDescent="0.25">
      <c r="A952">
        <v>17001</v>
      </c>
      <c r="B952" t="s">
        <v>1330</v>
      </c>
      <c r="C952">
        <v>3.72</v>
      </c>
      <c r="D952" t="s">
        <v>1264</v>
      </c>
      <c r="E952">
        <v>100229</v>
      </c>
      <c r="F952">
        <v>17001</v>
      </c>
      <c r="G952" t="str">
        <f t="shared" si="86"/>
        <v>17001</v>
      </c>
      <c r="H952" t="s">
        <v>392</v>
      </c>
      <c r="I952" t="s">
        <v>1265</v>
      </c>
      <c r="J952" t="s">
        <v>1271</v>
      </c>
      <c r="K952" t="s">
        <v>1272</v>
      </c>
      <c r="L952" t="s">
        <v>1330</v>
      </c>
      <c r="M952" t="s">
        <v>1367</v>
      </c>
      <c r="N952">
        <v>21</v>
      </c>
      <c r="O952" t="str">
        <f t="shared" si="89"/>
        <v>48</v>
      </c>
      <c r="P952">
        <v>48</v>
      </c>
      <c r="R952" t="s">
        <v>1269</v>
      </c>
      <c r="S952">
        <v>3.72</v>
      </c>
      <c r="T952">
        <v>0.22739999999999999</v>
      </c>
      <c r="U952">
        <f t="shared" si="90"/>
        <v>0.84599999999999997</v>
      </c>
      <c r="V952" t="str">
        <f t="shared" si="87"/>
        <v>High Physical Therapist</v>
      </c>
      <c r="W952" t="str">
        <f t="shared" si="88"/>
        <v>Physical Therapist</v>
      </c>
    </row>
    <row r="953" spans="1:23" x14ac:dyDescent="0.25">
      <c r="A953">
        <v>17001</v>
      </c>
      <c r="B953" t="s">
        <v>1316</v>
      </c>
      <c r="C953">
        <v>1.68</v>
      </c>
      <c r="D953" t="s">
        <v>1264</v>
      </c>
      <c r="E953">
        <v>100229</v>
      </c>
      <c r="F953">
        <v>17001</v>
      </c>
      <c r="G953" t="str">
        <f t="shared" si="86"/>
        <v>17001</v>
      </c>
      <c r="H953" t="s">
        <v>392</v>
      </c>
      <c r="I953" t="s">
        <v>1265</v>
      </c>
      <c r="J953" t="s">
        <v>1266</v>
      </c>
      <c r="K953" t="s">
        <v>1267</v>
      </c>
      <c r="L953" t="s">
        <v>1316</v>
      </c>
      <c r="M953" t="s">
        <v>1366</v>
      </c>
      <c r="N953">
        <v>21</v>
      </c>
      <c r="O953" t="str">
        <f t="shared" si="89"/>
        <v>48</v>
      </c>
      <c r="P953">
        <v>48</v>
      </c>
      <c r="R953" t="s">
        <v>1269</v>
      </c>
      <c r="S953">
        <v>1.68</v>
      </c>
      <c r="T953">
        <v>0.22739999999999999</v>
      </c>
      <c r="U953">
        <f t="shared" si="90"/>
        <v>0.38200000000000001</v>
      </c>
      <c r="V953" t="str">
        <f t="shared" si="87"/>
        <v>Middle Physical Therapist</v>
      </c>
      <c r="W953" t="str">
        <f t="shared" si="88"/>
        <v>Physical Therapist</v>
      </c>
    </row>
    <row r="954" spans="1:23" x14ac:dyDescent="0.25">
      <c r="A954">
        <v>17210</v>
      </c>
      <c r="B954" t="s">
        <v>1286</v>
      </c>
      <c r="C954">
        <v>4</v>
      </c>
      <c r="D954" t="s">
        <v>1264</v>
      </c>
      <c r="E954">
        <v>100086</v>
      </c>
      <c r="F954">
        <v>17210</v>
      </c>
      <c r="G954" t="str">
        <f t="shared" si="86"/>
        <v>17210</v>
      </c>
      <c r="H954" t="s">
        <v>393</v>
      </c>
      <c r="I954" t="s">
        <v>1265</v>
      </c>
      <c r="J954" t="s">
        <v>1271</v>
      </c>
      <c r="K954" t="s">
        <v>1272</v>
      </c>
      <c r="L954" t="s">
        <v>1286</v>
      </c>
      <c r="M954" t="s">
        <v>1287</v>
      </c>
      <c r="N954">
        <v>1</v>
      </c>
      <c r="O954" t="str">
        <f t="shared" si="89"/>
        <v>24</v>
      </c>
      <c r="P954">
        <v>96</v>
      </c>
      <c r="Q954">
        <v>24</v>
      </c>
      <c r="R954" t="s">
        <v>1269</v>
      </c>
      <c r="S954">
        <v>4</v>
      </c>
      <c r="T954">
        <v>0.29709999999999998</v>
      </c>
      <c r="U954">
        <f t="shared" si="90"/>
        <v>0</v>
      </c>
      <c r="V954" t="str">
        <f t="shared" si="87"/>
        <v>High Family Engagement Coordinator</v>
      </c>
      <c r="W954" t="str">
        <f t="shared" si="88"/>
        <v>Family Engagement Coordinator</v>
      </c>
    </row>
    <row r="955" spans="1:23" x14ac:dyDescent="0.25">
      <c r="A955">
        <v>17210</v>
      </c>
      <c r="B955" t="s">
        <v>1290</v>
      </c>
      <c r="C955">
        <v>1</v>
      </c>
      <c r="D955" t="s">
        <v>1264</v>
      </c>
      <c r="E955">
        <v>100086</v>
      </c>
      <c r="F955">
        <v>17210</v>
      </c>
      <c r="G955" t="str">
        <f t="shared" si="86"/>
        <v>17210</v>
      </c>
      <c r="H955" t="s">
        <v>393</v>
      </c>
      <c r="I955" t="s">
        <v>1265</v>
      </c>
      <c r="J955" t="s">
        <v>1271</v>
      </c>
      <c r="K955" t="s">
        <v>1272</v>
      </c>
      <c r="L955" t="s">
        <v>1290</v>
      </c>
      <c r="M955" t="s">
        <v>1412</v>
      </c>
      <c r="N955">
        <v>97</v>
      </c>
      <c r="O955" t="str">
        <f t="shared" si="89"/>
        <v>25</v>
      </c>
      <c r="Q955">
        <v>25</v>
      </c>
      <c r="R955" t="s">
        <v>1269</v>
      </c>
      <c r="S955">
        <v>1</v>
      </c>
      <c r="T955">
        <v>0.29709999999999998</v>
      </c>
      <c r="U955">
        <f t="shared" si="90"/>
        <v>0</v>
      </c>
      <c r="V955" t="str">
        <f t="shared" si="87"/>
        <v>High Pupil Management</v>
      </c>
      <c r="W955" t="str">
        <f t="shared" si="88"/>
        <v>Pupil Management</v>
      </c>
    </row>
    <row r="956" spans="1:23" x14ac:dyDescent="0.25">
      <c r="A956">
        <v>17210</v>
      </c>
      <c r="B956" t="s">
        <v>1299</v>
      </c>
      <c r="C956">
        <v>39.029000000000003</v>
      </c>
      <c r="D956" t="s">
        <v>1264</v>
      </c>
      <c r="E956">
        <v>100086</v>
      </c>
      <c r="F956">
        <v>17210</v>
      </c>
      <c r="G956" t="str">
        <f t="shared" si="86"/>
        <v>17210</v>
      </c>
      <c r="H956" t="s">
        <v>393</v>
      </c>
      <c r="I956" t="s">
        <v>1265</v>
      </c>
      <c r="J956" t="s">
        <v>1271</v>
      </c>
      <c r="K956" t="s">
        <v>1272</v>
      </c>
      <c r="L956" t="s">
        <v>1299</v>
      </c>
      <c r="M956" t="s">
        <v>1300</v>
      </c>
      <c r="N956">
        <v>1</v>
      </c>
      <c r="O956" t="str">
        <f t="shared" si="89"/>
        <v>25</v>
      </c>
      <c r="Q956">
        <v>25</v>
      </c>
      <c r="R956" t="s">
        <v>1269</v>
      </c>
      <c r="S956">
        <v>39.029000000000003</v>
      </c>
      <c r="T956">
        <v>0.29709999999999998</v>
      </c>
      <c r="U956">
        <f t="shared" si="90"/>
        <v>0</v>
      </c>
      <c r="V956" t="str">
        <f t="shared" si="87"/>
        <v>High Pupil Management</v>
      </c>
      <c r="W956" t="str">
        <f t="shared" si="88"/>
        <v>Pupil Management</v>
      </c>
    </row>
    <row r="957" spans="1:23" x14ac:dyDescent="0.25">
      <c r="A957">
        <v>17210</v>
      </c>
      <c r="B957" t="s">
        <v>1324</v>
      </c>
      <c r="C957">
        <v>5.3159999999999998</v>
      </c>
      <c r="D957" t="s">
        <v>1264</v>
      </c>
      <c r="E957">
        <v>100086</v>
      </c>
      <c r="F957">
        <v>17210</v>
      </c>
      <c r="G957" t="str">
        <f t="shared" si="86"/>
        <v>17210</v>
      </c>
      <c r="H957" t="s">
        <v>393</v>
      </c>
      <c r="I957" t="s">
        <v>1265</v>
      </c>
      <c r="J957" t="s">
        <v>1271</v>
      </c>
      <c r="K957" t="s">
        <v>1272</v>
      </c>
      <c r="L957" t="s">
        <v>1324</v>
      </c>
      <c r="M957" t="s">
        <v>1325</v>
      </c>
      <c r="N957">
        <v>21</v>
      </c>
      <c r="O957" t="str">
        <f t="shared" si="89"/>
        <v>26</v>
      </c>
      <c r="Q957">
        <v>26</v>
      </c>
      <c r="R957" t="s">
        <v>1269</v>
      </c>
      <c r="S957">
        <v>5.3159999999999998</v>
      </c>
      <c r="T957">
        <v>0.29709999999999998</v>
      </c>
      <c r="U957">
        <f t="shared" si="90"/>
        <v>1.579</v>
      </c>
      <c r="V957" t="str">
        <f t="shared" si="87"/>
        <v>High Health/
Related Services</v>
      </c>
      <c r="W957" t="str">
        <f t="shared" si="88"/>
        <v>Health/
Related Services</v>
      </c>
    </row>
    <row r="958" spans="1:23" x14ac:dyDescent="0.25">
      <c r="A958">
        <v>17210</v>
      </c>
      <c r="B958" t="s">
        <v>1295</v>
      </c>
      <c r="C958">
        <v>15.58</v>
      </c>
      <c r="D958" t="s">
        <v>1264</v>
      </c>
      <c r="E958">
        <v>100086</v>
      </c>
      <c r="F958">
        <v>17210</v>
      </c>
      <c r="G958" t="str">
        <f t="shared" si="86"/>
        <v>17210</v>
      </c>
      <c r="H958" t="s">
        <v>393</v>
      </c>
      <c r="I958" t="s">
        <v>1265</v>
      </c>
      <c r="J958" t="s">
        <v>1271</v>
      </c>
      <c r="K958" t="s">
        <v>1272</v>
      </c>
      <c r="L958" t="s">
        <v>1295</v>
      </c>
      <c r="M958" t="s">
        <v>1296</v>
      </c>
      <c r="N958">
        <v>1</v>
      </c>
      <c r="O958" t="str">
        <f t="shared" si="89"/>
        <v>26</v>
      </c>
      <c r="Q958">
        <v>26</v>
      </c>
      <c r="R958" t="s">
        <v>1269</v>
      </c>
      <c r="S958">
        <v>15.58</v>
      </c>
      <c r="T958">
        <v>0.29709999999999998</v>
      </c>
      <c r="U958">
        <f t="shared" si="90"/>
        <v>0</v>
      </c>
      <c r="V958" t="str">
        <f t="shared" si="87"/>
        <v>High Health/
Related Services</v>
      </c>
      <c r="W958" t="str">
        <f t="shared" si="88"/>
        <v>Health/
Related Services</v>
      </c>
    </row>
    <row r="959" spans="1:23" x14ac:dyDescent="0.25">
      <c r="A959">
        <v>17210</v>
      </c>
      <c r="B959" t="s">
        <v>1402</v>
      </c>
      <c r="C959">
        <v>11.407</v>
      </c>
      <c r="D959" t="s">
        <v>1264</v>
      </c>
      <c r="E959">
        <v>100086</v>
      </c>
      <c r="F959">
        <v>17210</v>
      </c>
      <c r="G959" t="str">
        <f t="shared" si="86"/>
        <v>17210</v>
      </c>
      <c r="H959" t="s">
        <v>393</v>
      </c>
      <c r="I959" t="s">
        <v>1265</v>
      </c>
      <c r="J959" t="s">
        <v>1271</v>
      </c>
      <c r="K959" t="s">
        <v>1272</v>
      </c>
      <c r="L959" t="s">
        <v>1402</v>
      </c>
      <c r="M959" t="s">
        <v>1408</v>
      </c>
      <c r="N959">
        <v>97</v>
      </c>
      <c r="O959" t="str">
        <f t="shared" si="89"/>
        <v>35</v>
      </c>
      <c r="Q959">
        <v>35</v>
      </c>
      <c r="R959" t="s">
        <v>1269</v>
      </c>
      <c r="S959">
        <v>11.407</v>
      </c>
      <c r="T959">
        <v>0.29709999999999998</v>
      </c>
      <c r="U959">
        <f t="shared" si="90"/>
        <v>0</v>
      </c>
      <c r="V959" t="str">
        <f t="shared" si="87"/>
        <v>High Pupil Safety</v>
      </c>
      <c r="W959" t="str">
        <f t="shared" si="88"/>
        <v>Pupil Safety</v>
      </c>
    </row>
    <row r="960" spans="1:23" x14ac:dyDescent="0.25">
      <c r="A960">
        <v>17210</v>
      </c>
      <c r="B960" t="s">
        <v>1275</v>
      </c>
      <c r="C960">
        <v>20.803999999999998</v>
      </c>
      <c r="D960" t="s">
        <v>1264</v>
      </c>
      <c r="E960">
        <v>100086</v>
      </c>
      <c r="F960">
        <v>17210</v>
      </c>
      <c r="G960" t="str">
        <f t="shared" si="86"/>
        <v>17210</v>
      </c>
      <c r="H960" t="s">
        <v>393</v>
      </c>
      <c r="I960" t="s">
        <v>1265</v>
      </c>
      <c r="J960" t="s">
        <v>1276</v>
      </c>
      <c r="K960" t="s">
        <v>1277</v>
      </c>
      <c r="L960" t="s">
        <v>1275</v>
      </c>
      <c r="M960" t="s">
        <v>1278</v>
      </c>
      <c r="N960">
        <v>1</v>
      </c>
      <c r="O960" t="str">
        <f t="shared" si="89"/>
        <v>42</v>
      </c>
      <c r="P960">
        <v>42</v>
      </c>
      <c r="R960" t="s">
        <v>1269</v>
      </c>
      <c r="S960">
        <v>20.803999999999998</v>
      </c>
      <c r="T960">
        <v>0.29709999999999998</v>
      </c>
      <c r="U960">
        <f t="shared" si="90"/>
        <v>0</v>
      </c>
      <c r="V960" t="str">
        <f t="shared" si="87"/>
        <v>Elementary Counselor</v>
      </c>
      <c r="W960" t="str">
        <f t="shared" si="88"/>
        <v>Counselor</v>
      </c>
    </row>
    <row r="961" spans="1:23" x14ac:dyDescent="0.25">
      <c r="A961">
        <v>17210</v>
      </c>
      <c r="B961" t="s">
        <v>1270</v>
      </c>
      <c r="C961">
        <v>10.34</v>
      </c>
      <c r="D961" t="s">
        <v>1264</v>
      </c>
      <c r="E961">
        <v>100086</v>
      </c>
      <c r="F961">
        <v>17210</v>
      </c>
      <c r="G961" t="str">
        <f t="shared" si="86"/>
        <v>17210</v>
      </c>
      <c r="H961" t="s">
        <v>393</v>
      </c>
      <c r="I961" t="s">
        <v>1265</v>
      </c>
      <c r="J961" t="s">
        <v>1271</v>
      </c>
      <c r="K961" t="s">
        <v>1272</v>
      </c>
      <c r="L961" t="s">
        <v>1270</v>
      </c>
      <c r="M961" t="s">
        <v>1273</v>
      </c>
      <c r="N961">
        <v>1</v>
      </c>
      <c r="O961" t="str">
        <f t="shared" si="89"/>
        <v>42</v>
      </c>
      <c r="P961">
        <v>42</v>
      </c>
      <c r="R961" t="s">
        <v>1269</v>
      </c>
      <c r="S961">
        <v>10.34</v>
      </c>
      <c r="T961">
        <v>0.29709999999999998</v>
      </c>
      <c r="U961">
        <f t="shared" si="90"/>
        <v>0</v>
      </c>
      <c r="V961" t="str">
        <f t="shared" si="87"/>
        <v>High Counselor</v>
      </c>
      <c r="W961" t="str">
        <f t="shared" si="88"/>
        <v>Counselor</v>
      </c>
    </row>
    <row r="962" spans="1:23" x14ac:dyDescent="0.25">
      <c r="A962">
        <v>17210</v>
      </c>
      <c r="B962" t="s">
        <v>1263</v>
      </c>
      <c r="C962">
        <v>4.9960000000000004</v>
      </c>
      <c r="D962" t="s">
        <v>1264</v>
      </c>
      <c r="E962">
        <v>100086</v>
      </c>
      <c r="F962">
        <v>17210</v>
      </c>
      <c r="G962" t="str">
        <f t="shared" ref="G962:G1025" si="91">TEXT(F962,"00000")</f>
        <v>17210</v>
      </c>
      <c r="H962" t="s">
        <v>393</v>
      </c>
      <c r="I962" t="s">
        <v>1265</v>
      </c>
      <c r="J962" t="s">
        <v>1266</v>
      </c>
      <c r="K962" t="s">
        <v>1267</v>
      </c>
      <c r="L962" t="s">
        <v>1263</v>
      </c>
      <c r="M962" t="s">
        <v>1268</v>
      </c>
      <c r="N962">
        <v>1</v>
      </c>
      <c r="O962" t="str">
        <f t="shared" si="89"/>
        <v>42</v>
      </c>
      <c r="P962">
        <v>42</v>
      </c>
      <c r="R962" t="s">
        <v>1269</v>
      </c>
      <c r="S962">
        <v>4.9960000000000004</v>
      </c>
      <c r="T962">
        <v>0.29709999999999998</v>
      </c>
      <c r="U962">
        <f t="shared" si="90"/>
        <v>0</v>
      </c>
      <c r="V962" t="str">
        <f t="shared" ref="V962:V1025" si="92">_xlfn.XLOOKUP(L962,$BV:$BV,$BT:$BT,,0)</f>
        <v>Middle Counselor</v>
      </c>
      <c r="W962" t="str">
        <f t="shared" ref="W962:W1025" si="93">_xlfn.TEXTAFTER(V962," ")</f>
        <v>Counselor</v>
      </c>
    </row>
    <row r="963" spans="1:23" x14ac:dyDescent="0.25">
      <c r="A963">
        <v>17210</v>
      </c>
      <c r="B963" t="s">
        <v>1289</v>
      </c>
      <c r="C963">
        <v>3.2280000000000002</v>
      </c>
      <c r="D963" t="s">
        <v>1264</v>
      </c>
      <c r="E963">
        <v>100086</v>
      </c>
      <c r="F963">
        <v>17210</v>
      </c>
      <c r="G963" t="str">
        <f t="shared" si="91"/>
        <v>17210</v>
      </c>
      <c r="H963" t="s">
        <v>393</v>
      </c>
      <c r="I963" t="s">
        <v>1265</v>
      </c>
      <c r="J963" t="s">
        <v>1276</v>
      </c>
      <c r="K963" t="s">
        <v>1277</v>
      </c>
      <c r="L963" t="s">
        <v>1289</v>
      </c>
      <c r="M963" t="s">
        <v>1307</v>
      </c>
      <c r="N963">
        <v>21</v>
      </c>
      <c r="O963" t="str">
        <f t="shared" ref="O963:O1026" si="94">MID(L963,3,2)</f>
        <v>43</v>
      </c>
      <c r="P963">
        <v>43</v>
      </c>
      <c r="R963" t="s">
        <v>1269</v>
      </c>
      <c r="S963">
        <v>3.2280000000000002</v>
      </c>
      <c r="T963">
        <v>0.29709999999999998</v>
      </c>
      <c r="U963">
        <f t="shared" ref="U963:U1026" si="95">IF(N963=21,ROUND(T963*S963,3),0)</f>
        <v>0.95899999999999996</v>
      </c>
      <c r="V963" t="str">
        <f t="shared" si="92"/>
        <v>Elementary Occupational Therapist</v>
      </c>
      <c r="W963" t="str">
        <f t="shared" si="93"/>
        <v>Occupational Therapist</v>
      </c>
    </row>
    <row r="964" spans="1:23" x14ac:dyDescent="0.25">
      <c r="A964">
        <v>17210</v>
      </c>
      <c r="B964" t="s">
        <v>1387</v>
      </c>
      <c r="C964">
        <v>1.8480000000000001</v>
      </c>
      <c r="D964" t="s">
        <v>1264</v>
      </c>
      <c r="E964">
        <v>100086</v>
      </c>
      <c r="F964">
        <v>17210</v>
      </c>
      <c r="G964" t="str">
        <f t="shared" si="91"/>
        <v>17210</v>
      </c>
      <c r="H964" t="s">
        <v>393</v>
      </c>
      <c r="I964" t="s">
        <v>1265</v>
      </c>
      <c r="J964" t="s">
        <v>1271</v>
      </c>
      <c r="K964" t="s">
        <v>1272</v>
      </c>
      <c r="L964" t="s">
        <v>1387</v>
      </c>
      <c r="M964" t="s">
        <v>1406</v>
      </c>
      <c r="N964">
        <v>21</v>
      </c>
      <c r="O964" t="str">
        <f t="shared" si="94"/>
        <v>43</v>
      </c>
      <c r="P964">
        <v>43</v>
      </c>
      <c r="R964" t="s">
        <v>1269</v>
      </c>
      <c r="S964">
        <v>1.8480000000000001</v>
      </c>
      <c r="T964">
        <v>0.29709999999999998</v>
      </c>
      <c r="U964">
        <f t="shared" si="95"/>
        <v>0.54900000000000004</v>
      </c>
      <c r="V964" t="str">
        <f t="shared" si="92"/>
        <v>High Occupational Therapist</v>
      </c>
      <c r="W964" t="str">
        <f t="shared" si="93"/>
        <v>Occupational Therapist</v>
      </c>
    </row>
    <row r="965" spans="1:23" x14ac:dyDescent="0.25">
      <c r="A965">
        <v>17210</v>
      </c>
      <c r="B965" t="s">
        <v>1303</v>
      </c>
      <c r="C965">
        <v>0.92400000000000004</v>
      </c>
      <c r="D965" t="s">
        <v>1264</v>
      </c>
      <c r="E965">
        <v>100086</v>
      </c>
      <c r="F965">
        <v>17210</v>
      </c>
      <c r="G965" t="str">
        <f t="shared" si="91"/>
        <v>17210</v>
      </c>
      <c r="H965" t="s">
        <v>393</v>
      </c>
      <c r="I965" t="s">
        <v>1265</v>
      </c>
      <c r="J965" t="s">
        <v>1266</v>
      </c>
      <c r="K965" t="s">
        <v>1267</v>
      </c>
      <c r="L965" t="s">
        <v>1303</v>
      </c>
      <c r="M965" t="s">
        <v>1304</v>
      </c>
      <c r="N965">
        <v>21</v>
      </c>
      <c r="O965" t="str">
        <f t="shared" si="94"/>
        <v>43</v>
      </c>
      <c r="P965">
        <v>43</v>
      </c>
      <c r="R965" t="s">
        <v>1269</v>
      </c>
      <c r="S965">
        <v>0.92400000000000004</v>
      </c>
      <c r="T965">
        <v>0.29709999999999998</v>
      </c>
      <c r="U965">
        <f t="shared" si="95"/>
        <v>0.27500000000000002</v>
      </c>
      <c r="V965" t="str">
        <f t="shared" si="92"/>
        <v>Middle Occupational Therapist</v>
      </c>
      <c r="W965" t="str">
        <f t="shared" si="93"/>
        <v>Occupational Therapist</v>
      </c>
    </row>
    <row r="966" spans="1:23" x14ac:dyDescent="0.25">
      <c r="A966">
        <v>17210</v>
      </c>
      <c r="B966" t="s">
        <v>1331</v>
      </c>
      <c r="C966">
        <v>4.33</v>
      </c>
      <c r="D966" t="s">
        <v>1264</v>
      </c>
      <c r="E966">
        <v>100086</v>
      </c>
      <c r="F966">
        <v>17210</v>
      </c>
      <c r="G966" t="str">
        <f t="shared" si="91"/>
        <v>17210</v>
      </c>
      <c r="H966" t="s">
        <v>393</v>
      </c>
      <c r="I966" t="s">
        <v>1265</v>
      </c>
      <c r="J966" t="s">
        <v>1276</v>
      </c>
      <c r="K966" t="s">
        <v>1277</v>
      </c>
      <c r="L966" t="s">
        <v>1331</v>
      </c>
      <c r="M966" t="s">
        <v>1405</v>
      </c>
      <c r="N966">
        <v>1</v>
      </c>
      <c r="O966" t="str">
        <f t="shared" si="94"/>
        <v>44</v>
      </c>
      <c r="P966">
        <v>44</v>
      </c>
      <c r="R966" t="s">
        <v>1269</v>
      </c>
      <c r="S966">
        <v>4.33</v>
      </c>
      <c r="T966">
        <v>0.29709999999999998</v>
      </c>
      <c r="U966">
        <f t="shared" si="95"/>
        <v>0</v>
      </c>
      <c r="V966" t="str">
        <f t="shared" si="92"/>
        <v>Elementary Social Worker</v>
      </c>
      <c r="W966" t="str">
        <f t="shared" si="93"/>
        <v>Social Worker</v>
      </c>
    </row>
    <row r="967" spans="1:23" x14ac:dyDescent="0.25">
      <c r="A967">
        <v>17210</v>
      </c>
      <c r="B967" t="s">
        <v>1359</v>
      </c>
      <c r="C967">
        <v>0.34</v>
      </c>
      <c r="D967" t="s">
        <v>1264</v>
      </c>
      <c r="E967">
        <v>100086</v>
      </c>
      <c r="F967">
        <v>17210</v>
      </c>
      <c r="G967" t="str">
        <f t="shared" si="91"/>
        <v>17210</v>
      </c>
      <c r="H967" t="s">
        <v>393</v>
      </c>
      <c r="I967" t="s">
        <v>1265</v>
      </c>
      <c r="J967" t="s">
        <v>1271</v>
      </c>
      <c r="K967" t="s">
        <v>1272</v>
      </c>
      <c r="L967" t="s">
        <v>1359</v>
      </c>
      <c r="M967" t="s">
        <v>1360</v>
      </c>
      <c r="N967">
        <v>1</v>
      </c>
      <c r="O967" t="str">
        <f t="shared" si="94"/>
        <v>44</v>
      </c>
      <c r="P967">
        <v>44</v>
      </c>
      <c r="R967" t="s">
        <v>1269</v>
      </c>
      <c r="S967">
        <v>0.34</v>
      </c>
      <c r="T967">
        <v>0.29709999999999998</v>
      </c>
      <c r="U967">
        <f t="shared" si="95"/>
        <v>0</v>
      </c>
      <c r="V967" t="str">
        <f t="shared" si="92"/>
        <v>High Social Worker</v>
      </c>
      <c r="W967" t="str">
        <f t="shared" si="93"/>
        <v>Social Worker</v>
      </c>
    </row>
    <row r="968" spans="1:23" x14ac:dyDescent="0.25">
      <c r="A968">
        <v>17210</v>
      </c>
      <c r="B968" t="s">
        <v>1356</v>
      </c>
      <c r="C968">
        <v>0.67</v>
      </c>
      <c r="D968" t="s">
        <v>1264</v>
      </c>
      <c r="E968">
        <v>100086</v>
      </c>
      <c r="F968">
        <v>17210</v>
      </c>
      <c r="G968" t="str">
        <f t="shared" si="91"/>
        <v>17210</v>
      </c>
      <c r="H968" t="s">
        <v>393</v>
      </c>
      <c r="I968" t="s">
        <v>1265</v>
      </c>
      <c r="J968" t="s">
        <v>1266</v>
      </c>
      <c r="K968" t="s">
        <v>1267</v>
      </c>
      <c r="L968" t="s">
        <v>1356</v>
      </c>
      <c r="M968" t="s">
        <v>1357</v>
      </c>
      <c r="N968">
        <v>1</v>
      </c>
      <c r="O968" t="str">
        <f t="shared" si="94"/>
        <v>44</v>
      </c>
      <c r="P968">
        <v>44</v>
      </c>
      <c r="R968" t="s">
        <v>1269</v>
      </c>
      <c r="S968">
        <v>0.67</v>
      </c>
      <c r="T968">
        <v>0.29709999999999998</v>
      </c>
      <c r="U968">
        <f t="shared" si="95"/>
        <v>0</v>
      </c>
      <c r="V968" t="str">
        <f t="shared" si="92"/>
        <v>Middle Social Worker</v>
      </c>
      <c r="W968" t="str">
        <f t="shared" si="93"/>
        <v>Social Worker</v>
      </c>
    </row>
    <row r="969" spans="1:23" x14ac:dyDescent="0.25">
      <c r="A969">
        <v>17210</v>
      </c>
      <c r="B969" t="s">
        <v>1294</v>
      </c>
      <c r="C969">
        <v>20.288</v>
      </c>
      <c r="D969" t="s">
        <v>1264</v>
      </c>
      <c r="E969">
        <v>100086</v>
      </c>
      <c r="F969">
        <v>17210</v>
      </c>
      <c r="G969" t="str">
        <f t="shared" si="91"/>
        <v>17210</v>
      </c>
      <c r="H969" t="s">
        <v>393</v>
      </c>
      <c r="I969" t="s">
        <v>1265</v>
      </c>
      <c r="J969" t="s">
        <v>1276</v>
      </c>
      <c r="K969" t="s">
        <v>1277</v>
      </c>
      <c r="L969" t="s">
        <v>1294</v>
      </c>
      <c r="M969" t="s">
        <v>1354</v>
      </c>
      <c r="N969">
        <v>21</v>
      </c>
      <c r="O969" t="str">
        <f t="shared" si="94"/>
        <v>45</v>
      </c>
      <c r="P969">
        <v>45</v>
      </c>
      <c r="R969" t="s">
        <v>1269</v>
      </c>
      <c r="S969">
        <v>20.288</v>
      </c>
      <c r="T969">
        <v>0.29709999999999998</v>
      </c>
      <c r="U969">
        <f t="shared" si="95"/>
        <v>6.0279999999999996</v>
      </c>
      <c r="V969" t="str">
        <f t="shared" si="92"/>
        <v>Elementary Speech, Language Pathway/
Audio</v>
      </c>
      <c r="W969" t="str">
        <f t="shared" si="93"/>
        <v>Speech, Language Pathway/
Audio</v>
      </c>
    </row>
    <row r="970" spans="1:23" x14ac:dyDescent="0.25">
      <c r="A970">
        <v>17210</v>
      </c>
      <c r="B970" t="s">
        <v>1326</v>
      </c>
      <c r="C970">
        <v>11.61</v>
      </c>
      <c r="D970" t="s">
        <v>1264</v>
      </c>
      <c r="E970">
        <v>100086</v>
      </c>
      <c r="F970">
        <v>17210</v>
      </c>
      <c r="G970" t="str">
        <f t="shared" si="91"/>
        <v>17210</v>
      </c>
      <c r="H970" t="s">
        <v>393</v>
      </c>
      <c r="I970" t="s">
        <v>1265</v>
      </c>
      <c r="J970" t="s">
        <v>1271</v>
      </c>
      <c r="K970" t="s">
        <v>1272</v>
      </c>
      <c r="L970" t="s">
        <v>1326</v>
      </c>
      <c r="M970" t="s">
        <v>1353</v>
      </c>
      <c r="N970">
        <v>21</v>
      </c>
      <c r="O970" t="str">
        <f t="shared" si="94"/>
        <v>45</v>
      </c>
      <c r="P970">
        <v>45</v>
      </c>
      <c r="R970" t="s">
        <v>1269</v>
      </c>
      <c r="S970">
        <v>11.61</v>
      </c>
      <c r="T970">
        <v>0.29709999999999998</v>
      </c>
      <c r="U970">
        <f t="shared" si="95"/>
        <v>3.4489999999999998</v>
      </c>
      <c r="V970" t="str">
        <f t="shared" si="92"/>
        <v>High Speech, Language Pathway/
Audio</v>
      </c>
      <c r="W970" t="str">
        <f t="shared" si="93"/>
        <v>Speech, Language Pathway/
Audio</v>
      </c>
    </row>
    <row r="971" spans="1:23" x14ac:dyDescent="0.25">
      <c r="A971">
        <v>17210</v>
      </c>
      <c r="B971" t="s">
        <v>1312</v>
      </c>
      <c r="C971">
        <v>5.8049999999999997</v>
      </c>
      <c r="D971" t="s">
        <v>1264</v>
      </c>
      <c r="E971">
        <v>100086</v>
      </c>
      <c r="F971">
        <v>17210</v>
      </c>
      <c r="G971" t="str">
        <f t="shared" si="91"/>
        <v>17210</v>
      </c>
      <c r="H971" t="s">
        <v>393</v>
      </c>
      <c r="I971" t="s">
        <v>1265</v>
      </c>
      <c r="J971" t="s">
        <v>1266</v>
      </c>
      <c r="K971" t="s">
        <v>1267</v>
      </c>
      <c r="L971" t="s">
        <v>1312</v>
      </c>
      <c r="M971" t="s">
        <v>1351</v>
      </c>
      <c r="N971">
        <v>21</v>
      </c>
      <c r="O971" t="str">
        <f t="shared" si="94"/>
        <v>45</v>
      </c>
      <c r="P971">
        <v>45</v>
      </c>
      <c r="R971" t="s">
        <v>1269</v>
      </c>
      <c r="S971">
        <v>5.8049999999999997</v>
      </c>
      <c r="T971">
        <v>0.29709999999999998</v>
      </c>
      <c r="U971">
        <f t="shared" si="95"/>
        <v>1.7250000000000001</v>
      </c>
      <c r="V971" t="str">
        <f t="shared" si="92"/>
        <v>Middle Speech, Language Pathway/
Audio</v>
      </c>
      <c r="W971" t="str">
        <f t="shared" si="93"/>
        <v>Speech, Language Pathway/
Audio</v>
      </c>
    </row>
    <row r="972" spans="1:23" x14ac:dyDescent="0.25">
      <c r="A972">
        <v>17210</v>
      </c>
      <c r="B972" t="s">
        <v>1298</v>
      </c>
      <c r="C972">
        <v>16.140999999999998</v>
      </c>
      <c r="D972" t="s">
        <v>1264</v>
      </c>
      <c r="E972">
        <v>100086</v>
      </c>
      <c r="F972">
        <v>17210</v>
      </c>
      <c r="G972" t="str">
        <f t="shared" si="91"/>
        <v>17210</v>
      </c>
      <c r="H972" t="s">
        <v>393</v>
      </c>
      <c r="I972" t="s">
        <v>1265</v>
      </c>
      <c r="J972" t="s">
        <v>1276</v>
      </c>
      <c r="K972" t="s">
        <v>1277</v>
      </c>
      <c r="L972" t="s">
        <v>1298</v>
      </c>
      <c r="M972" t="s">
        <v>1349</v>
      </c>
      <c r="N972">
        <v>21</v>
      </c>
      <c r="O972" t="str">
        <f t="shared" si="94"/>
        <v>46</v>
      </c>
      <c r="P972">
        <v>46</v>
      </c>
      <c r="R972" t="s">
        <v>1269</v>
      </c>
      <c r="S972">
        <v>16.140999999999998</v>
      </c>
      <c r="T972">
        <v>0.29709999999999998</v>
      </c>
      <c r="U972">
        <f t="shared" si="95"/>
        <v>4.7949999999999999</v>
      </c>
      <c r="V972" t="str">
        <f t="shared" si="92"/>
        <v>Elementary Psychologist</v>
      </c>
      <c r="W972" t="str">
        <f t="shared" si="93"/>
        <v>Psychologist</v>
      </c>
    </row>
    <row r="973" spans="1:23" x14ac:dyDescent="0.25">
      <c r="A973">
        <v>17210</v>
      </c>
      <c r="B973" t="s">
        <v>1309</v>
      </c>
      <c r="C973">
        <v>9.24</v>
      </c>
      <c r="D973" t="s">
        <v>1264</v>
      </c>
      <c r="E973">
        <v>100086</v>
      </c>
      <c r="F973">
        <v>17210</v>
      </c>
      <c r="G973" t="str">
        <f t="shared" si="91"/>
        <v>17210</v>
      </c>
      <c r="H973" t="s">
        <v>393</v>
      </c>
      <c r="I973" t="s">
        <v>1265</v>
      </c>
      <c r="J973" t="s">
        <v>1271</v>
      </c>
      <c r="K973" t="s">
        <v>1272</v>
      </c>
      <c r="L973" t="s">
        <v>1309</v>
      </c>
      <c r="M973" t="s">
        <v>1310</v>
      </c>
      <c r="N973">
        <v>21</v>
      </c>
      <c r="O973" t="str">
        <f t="shared" si="94"/>
        <v>46</v>
      </c>
      <c r="P973">
        <v>46</v>
      </c>
      <c r="R973" t="s">
        <v>1269</v>
      </c>
      <c r="S973">
        <v>9.24</v>
      </c>
      <c r="T973">
        <v>0.29709999999999998</v>
      </c>
      <c r="U973">
        <f t="shared" si="95"/>
        <v>2.7450000000000001</v>
      </c>
      <c r="V973" t="str">
        <f t="shared" si="92"/>
        <v>High Psychologist</v>
      </c>
      <c r="W973" t="str">
        <f t="shared" si="93"/>
        <v>Psychologist</v>
      </c>
    </row>
    <row r="974" spans="1:23" x14ac:dyDescent="0.25">
      <c r="A974">
        <v>17210</v>
      </c>
      <c r="B974" t="s">
        <v>1345</v>
      </c>
      <c r="C974">
        <v>4.6189999999999998</v>
      </c>
      <c r="D974" t="s">
        <v>1264</v>
      </c>
      <c r="E974">
        <v>100086</v>
      </c>
      <c r="F974">
        <v>17210</v>
      </c>
      <c r="G974" t="str">
        <f t="shared" si="91"/>
        <v>17210</v>
      </c>
      <c r="H974" t="s">
        <v>393</v>
      </c>
      <c r="I974" t="s">
        <v>1265</v>
      </c>
      <c r="J974" t="s">
        <v>1266</v>
      </c>
      <c r="K974" t="s">
        <v>1267</v>
      </c>
      <c r="L974" t="s">
        <v>1345</v>
      </c>
      <c r="M974" t="s">
        <v>1346</v>
      </c>
      <c r="N974">
        <v>21</v>
      </c>
      <c r="O974" t="str">
        <f t="shared" si="94"/>
        <v>46</v>
      </c>
      <c r="P974">
        <v>46</v>
      </c>
      <c r="R974" t="s">
        <v>1269</v>
      </c>
      <c r="S974">
        <v>4.6189999999999998</v>
      </c>
      <c r="T974">
        <v>0.29709999999999998</v>
      </c>
      <c r="U974">
        <f t="shared" si="95"/>
        <v>1.3720000000000001</v>
      </c>
      <c r="V974" t="str">
        <f t="shared" si="92"/>
        <v>Middle Psychologist</v>
      </c>
      <c r="W974" t="str">
        <f t="shared" si="93"/>
        <v>Psychologist</v>
      </c>
    </row>
    <row r="975" spans="1:23" x14ac:dyDescent="0.25">
      <c r="A975">
        <v>17210</v>
      </c>
      <c r="B975" t="s">
        <v>1335</v>
      </c>
      <c r="C975">
        <v>9.42</v>
      </c>
      <c r="D975" t="s">
        <v>1264</v>
      </c>
      <c r="E975">
        <v>100086</v>
      </c>
      <c r="F975">
        <v>17210</v>
      </c>
      <c r="G975" t="str">
        <f t="shared" si="91"/>
        <v>17210</v>
      </c>
      <c r="H975" t="s">
        <v>393</v>
      </c>
      <c r="I975" t="s">
        <v>1265</v>
      </c>
      <c r="J975" t="s">
        <v>1276</v>
      </c>
      <c r="K975" t="s">
        <v>1277</v>
      </c>
      <c r="L975" t="s">
        <v>1335</v>
      </c>
      <c r="M975" t="s">
        <v>1344</v>
      </c>
      <c r="N975">
        <v>1</v>
      </c>
      <c r="O975" t="str">
        <f t="shared" si="94"/>
        <v>47</v>
      </c>
      <c r="P975">
        <v>47</v>
      </c>
      <c r="R975" t="s">
        <v>1269</v>
      </c>
      <c r="S975">
        <v>9.42</v>
      </c>
      <c r="T975">
        <v>0.29709999999999998</v>
      </c>
      <c r="U975">
        <f t="shared" si="95"/>
        <v>0</v>
      </c>
      <c r="V975" t="str">
        <f t="shared" si="92"/>
        <v>Elementary Nurse</v>
      </c>
      <c r="W975" t="str">
        <f t="shared" si="93"/>
        <v>Nurse</v>
      </c>
    </row>
    <row r="976" spans="1:23" x14ac:dyDescent="0.25">
      <c r="A976">
        <v>17210</v>
      </c>
      <c r="B976" t="s">
        <v>1341</v>
      </c>
      <c r="C976">
        <v>5.39</v>
      </c>
      <c r="D976" t="s">
        <v>1264</v>
      </c>
      <c r="E976">
        <v>100086</v>
      </c>
      <c r="F976">
        <v>17210</v>
      </c>
      <c r="G976" t="str">
        <f t="shared" si="91"/>
        <v>17210</v>
      </c>
      <c r="H976" t="s">
        <v>393</v>
      </c>
      <c r="I976" t="s">
        <v>1265</v>
      </c>
      <c r="J976" t="s">
        <v>1271</v>
      </c>
      <c r="K976" t="s">
        <v>1272</v>
      </c>
      <c r="L976" t="s">
        <v>1341</v>
      </c>
      <c r="M976" t="s">
        <v>1342</v>
      </c>
      <c r="N976">
        <v>1</v>
      </c>
      <c r="O976" t="str">
        <f t="shared" si="94"/>
        <v>47</v>
      </c>
      <c r="P976">
        <v>47</v>
      </c>
      <c r="R976" t="s">
        <v>1269</v>
      </c>
      <c r="S976">
        <v>5.39</v>
      </c>
      <c r="T976">
        <v>0.29709999999999998</v>
      </c>
      <c r="U976">
        <f t="shared" si="95"/>
        <v>0</v>
      </c>
      <c r="V976" t="str">
        <f t="shared" si="92"/>
        <v>High Nurse</v>
      </c>
      <c r="W976" t="str">
        <f t="shared" si="93"/>
        <v>Nurse</v>
      </c>
    </row>
    <row r="977" spans="1:23" x14ac:dyDescent="0.25">
      <c r="A977">
        <v>17210</v>
      </c>
      <c r="B977" t="s">
        <v>1338</v>
      </c>
      <c r="C977">
        <v>2.6949999999999998</v>
      </c>
      <c r="D977" t="s">
        <v>1264</v>
      </c>
      <c r="E977">
        <v>100086</v>
      </c>
      <c r="F977">
        <v>17210</v>
      </c>
      <c r="G977" t="str">
        <f t="shared" si="91"/>
        <v>17210</v>
      </c>
      <c r="H977" t="s">
        <v>393</v>
      </c>
      <c r="I977" t="s">
        <v>1265</v>
      </c>
      <c r="J977" t="s">
        <v>1266</v>
      </c>
      <c r="K977" t="s">
        <v>1267</v>
      </c>
      <c r="L977" t="s">
        <v>1338</v>
      </c>
      <c r="M977" t="s">
        <v>1339</v>
      </c>
      <c r="N977">
        <v>1</v>
      </c>
      <c r="O977" t="str">
        <f t="shared" si="94"/>
        <v>47</v>
      </c>
      <c r="P977">
        <v>47</v>
      </c>
      <c r="R977" t="s">
        <v>1269</v>
      </c>
      <c r="S977">
        <v>2.6949999999999998</v>
      </c>
      <c r="T977">
        <v>0.29709999999999998</v>
      </c>
      <c r="U977">
        <f t="shared" si="95"/>
        <v>0</v>
      </c>
      <c r="V977" t="str">
        <f t="shared" si="92"/>
        <v>Middle Nurse</v>
      </c>
      <c r="W977" t="str">
        <f t="shared" si="93"/>
        <v>Nurse</v>
      </c>
    </row>
    <row r="978" spans="1:23" x14ac:dyDescent="0.25">
      <c r="A978">
        <v>17210</v>
      </c>
      <c r="B978" t="s">
        <v>1302</v>
      </c>
      <c r="C978">
        <v>2.69</v>
      </c>
      <c r="D978" t="s">
        <v>1264</v>
      </c>
      <c r="E978">
        <v>100086</v>
      </c>
      <c r="F978">
        <v>17210</v>
      </c>
      <c r="G978" t="str">
        <f t="shared" si="91"/>
        <v>17210</v>
      </c>
      <c r="H978" t="s">
        <v>393</v>
      </c>
      <c r="I978" t="s">
        <v>1265</v>
      </c>
      <c r="J978" t="s">
        <v>1276</v>
      </c>
      <c r="K978" t="s">
        <v>1277</v>
      </c>
      <c r="L978" t="s">
        <v>1302</v>
      </c>
      <c r="M978" t="s">
        <v>1336</v>
      </c>
      <c r="N978">
        <v>21</v>
      </c>
      <c r="O978" t="str">
        <f t="shared" si="94"/>
        <v>48</v>
      </c>
      <c r="P978">
        <v>48</v>
      </c>
      <c r="R978" t="s">
        <v>1269</v>
      </c>
      <c r="S978">
        <v>2.69</v>
      </c>
      <c r="T978">
        <v>0.29709999999999998</v>
      </c>
      <c r="U978">
        <f t="shared" si="95"/>
        <v>0.79900000000000004</v>
      </c>
      <c r="V978" t="str">
        <f t="shared" si="92"/>
        <v>Elementary Physical Therapist</v>
      </c>
      <c r="W978" t="str">
        <f t="shared" si="93"/>
        <v>Physical Therapist</v>
      </c>
    </row>
    <row r="979" spans="1:23" x14ac:dyDescent="0.25">
      <c r="A979">
        <v>17210</v>
      </c>
      <c r="B979" t="s">
        <v>1330</v>
      </c>
      <c r="C979">
        <v>1.54</v>
      </c>
      <c r="D979" t="s">
        <v>1264</v>
      </c>
      <c r="E979">
        <v>100086</v>
      </c>
      <c r="F979">
        <v>17210</v>
      </c>
      <c r="G979" t="str">
        <f t="shared" si="91"/>
        <v>17210</v>
      </c>
      <c r="H979" t="s">
        <v>393</v>
      </c>
      <c r="I979" t="s">
        <v>1265</v>
      </c>
      <c r="J979" t="s">
        <v>1271</v>
      </c>
      <c r="K979" t="s">
        <v>1272</v>
      </c>
      <c r="L979" t="s">
        <v>1330</v>
      </c>
      <c r="M979" t="s">
        <v>1367</v>
      </c>
      <c r="N979">
        <v>21</v>
      </c>
      <c r="O979" t="str">
        <f t="shared" si="94"/>
        <v>48</v>
      </c>
      <c r="P979">
        <v>48</v>
      </c>
      <c r="R979" t="s">
        <v>1269</v>
      </c>
      <c r="S979">
        <v>1.54</v>
      </c>
      <c r="T979">
        <v>0.29709999999999998</v>
      </c>
      <c r="U979">
        <f t="shared" si="95"/>
        <v>0.45800000000000002</v>
      </c>
      <c r="V979" t="str">
        <f t="shared" si="92"/>
        <v>High Physical Therapist</v>
      </c>
      <c r="W979" t="str">
        <f t="shared" si="93"/>
        <v>Physical Therapist</v>
      </c>
    </row>
    <row r="980" spans="1:23" x14ac:dyDescent="0.25">
      <c r="A980">
        <v>17210</v>
      </c>
      <c r="B980" t="s">
        <v>1316</v>
      </c>
      <c r="C980">
        <v>0.77</v>
      </c>
      <c r="D980" t="s">
        <v>1264</v>
      </c>
      <c r="E980">
        <v>100086</v>
      </c>
      <c r="F980">
        <v>17210</v>
      </c>
      <c r="G980" t="str">
        <f t="shared" si="91"/>
        <v>17210</v>
      </c>
      <c r="H980" t="s">
        <v>393</v>
      </c>
      <c r="I980" t="s">
        <v>1265</v>
      </c>
      <c r="J980" t="s">
        <v>1266</v>
      </c>
      <c r="K980" t="s">
        <v>1267</v>
      </c>
      <c r="L980" t="s">
        <v>1316</v>
      </c>
      <c r="M980" t="s">
        <v>1366</v>
      </c>
      <c r="N980">
        <v>21</v>
      </c>
      <c r="O980" t="str">
        <f t="shared" si="94"/>
        <v>48</v>
      </c>
      <c r="P980">
        <v>48</v>
      </c>
      <c r="R980" t="s">
        <v>1269</v>
      </c>
      <c r="S980">
        <v>0.77</v>
      </c>
      <c r="T980">
        <v>0.29709999999999998</v>
      </c>
      <c r="U980">
        <f t="shared" si="95"/>
        <v>0.22900000000000001</v>
      </c>
      <c r="V980" t="str">
        <f t="shared" si="92"/>
        <v>Middle Physical Therapist</v>
      </c>
      <c r="W980" t="str">
        <f t="shared" si="93"/>
        <v>Physical Therapist</v>
      </c>
    </row>
    <row r="981" spans="1:23" x14ac:dyDescent="0.25">
      <c r="A981">
        <v>17210</v>
      </c>
      <c r="B981" t="s">
        <v>1306</v>
      </c>
      <c r="C981">
        <v>3.2280000000000002</v>
      </c>
      <c r="D981" t="s">
        <v>1264</v>
      </c>
      <c r="E981">
        <v>100086</v>
      </c>
      <c r="F981">
        <v>17210</v>
      </c>
      <c r="G981" t="str">
        <f t="shared" si="91"/>
        <v>17210</v>
      </c>
      <c r="H981" t="s">
        <v>393</v>
      </c>
      <c r="I981" t="s">
        <v>1265</v>
      </c>
      <c r="J981" t="s">
        <v>1276</v>
      </c>
      <c r="K981" t="s">
        <v>1277</v>
      </c>
      <c r="L981" t="s">
        <v>1306</v>
      </c>
      <c r="M981" t="s">
        <v>1320</v>
      </c>
      <c r="N981">
        <v>21</v>
      </c>
      <c r="O981" t="str">
        <f t="shared" si="94"/>
        <v>64</v>
      </c>
      <c r="P981">
        <v>64</v>
      </c>
      <c r="R981" t="s">
        <v>1269</v>
      </c>
      <c r="S981">
        <v>3.2280000000000002</v>
      </c>
      <c r="T981">
        <v>0.29709999999999998</v>
      </c>
      <c r="U981">
        <f t="shared" si="95"/>
        <v>0.95899999999999996</v>
      </c>
      <c r="V981" t="str">
        <f t="shared" si="92"/>
        <v>Elementary Contractor ESA</v>
      </c>
      <c r="W981" t="str">
        <f t="shared" si="93"/>
        <v>Contractor ESA</v>
      </c>
    </row>
    <row r="982" spans="1:23" x14ac:dyDescent="0.25">
      <c r="A982">
        <v>17210</v>
      </c>
      <c r="B982" t="s">
        <v>1317</v>
      </c>
      <c r="C982">
        <v>1.8480000000000001</v>
      </c>
      <c r="D982" t="s">
        <v>1264</v>
      </c>
      <c r="E982">
        <v>100086</v>
      </c>
      <c r="F982">
        <v>17210</v>
      </c>
      <c r="G982" t="str">
        <f t="shared" si="91"/>
        <v>17210</v>
      </c>
      <c r="H982" t="s">
        <v>393</v>
      </c>
      <c r="I982" t="s">
        <v>1265</v>
      </c>
      <c r="J982" t="s">
        <v>1271</v>
      </c>
      <c r="K982" t="s">
        <v>1272</v>
      </c>
      <c r="L982" t="s">
        <v>1317</v>
      </c>
      <c r="M982" t="s">
        <v>1318</v>
      </c>
      <c r="N982">
        <v>21</v>
      </c>
      <c r="O982" t="str">
        <f t="shared" si="94"/>
        <v>64</v>
      </c>
      <c r="P982">
        <v>64</v>
      </c>
      <c r="R982" t="s">
        <v>1269</v>
      </c>
      <c r="S982">
        <v>1.8480000000000001</v>
      </c>
      <c r="T982">
        <v>0.29709999999999998</v>
      </c>
      <c r="U982">
        <f t="shared" si="95"/>
        <v>0.54900000000000004</v>
      </c>
      <c r="V982" t="str">
        <f t="shared" si="92"/>
        <v>High Contractor ESA</v>
      </c>
      <c r="W982" t="str">
        <f t="shared" si="93"/>
        <v>Contractor ESA</v>
      </c>
    </row>
    <row r="983" spans="1:23" x14ac:dyDescent="0.25">
      <c r="A983">
        <v>17210</v>
      </c>
      <c r="B983" t="s">
        <v>1313</v>
      </c>
      <c r="C983">
        <v>0.92400000000000004</v>
      </c>
      <c r="D983" t="s">
        <v>1264</v>
      </c>
      <c r="E983">
        <v>100086</v>
      </c>
      <c r="F983">
        <v>17210</v>
      </c>
      <c r="G983" t="str">
        <f t="shared" si="91"/>
        <v>17210</v>
      </c>
      <c r="H983" t="s">
        <v>393</v>
      </c>
      <c r="I983" t="s">
        <v>1265</v>
      </c>
      <c r="J983" t="s">
        <v>1266</v>
      </c>
      <c r="K983" t="s">
        <v>1267</v>
      </c>
      <c r="L983" t="s">
        <v>1313</v>
      </c>
      <c r="M983" t="s">
        <v>1314</v>
      </c>
      <c r="N983">
        <v>21</v>
      </c>
      <c r="O983" t="str">
        <f t="shared" si="94"/>
        <v>64</v>
      </c>
      <c r="P983">
        <v>64</v>
      </c>
      <c r="R983" t="s">
        <v>1269</v>
      </c>
      <c r="S983">
        <v>0.92400000000000004</v>
      </c>
      <c r="T983">
        <v>0.29709999999999998</v>
      </c>
      <c r="U983">
        <f t="shared" si="95"/>
        <v>0.27500000000000002</v>
      </c>
      <c r="V983" t="str">
        <f t="shared" si="92"/>
        <v>Middle Contractor ESA</v>
      </c>
      <c r="W983" t="str">
        <f t="shared" si="93"/>
        <v>Contractor ESA</v>
      </c>
    </row>
    <row r="984" spans="1:23" x14ac:dyDescent="0.25">
      <c r="A984">
        <v>17216</v>
      </c>
      <c r="B984" t="s">
        <v>1308</v>
      </c>
      <c r="C984">
        <v>1.6759999999999999</v>
      </c>
      <c r="D984" t="s">
        <v>1264</v>
      </c>
      <c r="E984">
        <v>100080</v>
      </c>
      <c r="F984">
        <v>17216</v>
      </c>
      <c r="G984" t="str">
        <f t="shared" si="91"/>
        <v>17216</v>
      </c>
      <c r="H984" t="s">
        <v>394</v>
      </c>
      <c r="I984" t="s">
        <v>1265</v>
      </c>
      <c r="J984" t="s">
        <v>1276</v>
      </c>
      <c r="K984" t="s">
        <v>1277</v>
      </c>
      <c r="L984" t="s">
        <v>1308</v>
      </c>
      <c r="M984" t="s">
        <v>1389</v>
      </c>
      <c r="N984">
        <v>1</v>
      </c>
      <c r="O984" t="str">
        <f t="shared" si="94"/>
        <v>25</v>
      </c>
      <c r="Q984">
        <v>25</v>
      </c>
      <c r="R984" t="s">
        <v>1269</v>
      </c>
      <c r="S984">
        <v>1.6759999999999999</v>
      </c>
      <c r="T984">
        <v>0.25290000000000001</v>
      </c>
      <c r="U984">
        <f t="shared" si="95"/>
        <v>0</v>
      </c>
      <c r="V984" t="str">
        <f t="shared" si="92"/>
        <v>Elementary Pupil Management</v>
      </c>
      <c r="W984" t="str">
        <f t="shared" si="93"/>
        <v>Pupil Management</v>
      </c>
    </row>
    <row r="985" spans="1:23" x14ac:dyDescent="0.25">
      <c r="A985">
        <v>17216</v>
      </c>
      <c r="B985" t="s">
        <v>1299</v>
      </c>
      <c r="C985">
        <v>4.0000000000000001E-3</v>
      </c>
      <c r="D985" t="s">
        <v>1264</v>
      </c>
      <c r="E985">
        <v>100080</v>
      </c>
      <c r="F985">
        <v>17216</v>
      </c>
      <c r="G985" t="str">
        <f t="shared" si="91"/>
        <v>17216</v>
      </c>
      <c r="H985" t="s">
        <v>394</v>
      </c>
      <c r="I985" t="s">
        <v>1265</v>
      </c>
      <c r="J985" t="s">
        <v>1271</v>
      </c>
      <c r="K985" t="s">
        <v>1272</v>
      </c>
      <c r="L985" t="s">
        <v>1299</v>
      </c>
      <c r="M985" t="s">
        <v>1300</v>
      </c>
      <c r="N985">
        <v>1</v>
      </c>
      <c r="O985" t="str">
        <f t="shared" si="94"/>
        <v>25</v>
      </c>
      <c r="Q985">
        <v>25</v>
      </c>
      <c r="R985" t="s">
        <v>1269</v>
      </c>
      <c r="S985">
        <v>4.0000000000000001E-3</v>
      </c>
      <c r="T985">
        <v>0.25290000000000001</v>
      </c>
      <c r="U985">
        <f t="shared" si="95"/>
        <v>0</v>
      </c>
      <c r="V985" t="str">
        <f t="shared" si="92"/>
        <v>High Pupil Management</v>
      </c>
      <c r="W985" t="str">
        <f t="shared" si="93"/>
        <v>Pupil Management</v>
      </c>
    </row>
    <row r="986" spans="1:23" x14ac:dyDescent="0.25">
      <c r="A986">
        <v>17216</v>
      </c>
      <c r="B986" t="s">
        <v>1324</v>
      </c>
      <c r="C986">
        <v>1.214</v>
      </c>
      <c r="D986" t="s">
        <v>1264</v>
      </c>
      <c r="E986">
        <v>100080</v>
      </c>
      <c r="F986">
        <v>17216</v>
      </c>
      <c r="G986" t="str">
        <f t="shared" si="91"/>
        <v>17216</v>
      </c>
      <c r="H986" t="s">
        <v>394</v>
      </c>
      <c r="I986" t="s">
        <v>1265</v>
      </c>
      <c r="J986" t="s">
        <v>1271</v>
      </c>
      <c r="K986" t="s">
        <v>1272</v>
      </c>
      <c r="L986" t="s">
        <v>1324</v>
      </c>
      <c r="M986" t="s">
        <v>1325</v>
      </c>
      <c r="N986">
        <v>21</v>
      </c>
      <c r="O986" t="str">
        <f t="shared" si="94"/>
        <v>26</v>
      </c>
      <c r="Q986">
        <v>26</v>
      </c>
      <c r="R986" t="s">
        <v>1269</v>
      </c>
      <c r="S986">
        <v>1.214</v>
      </c>
      <c r="T986">
        <v>0.25290000000000001</v>
      </c>
      <c r="U986">
        <f t="shared" si="95"/>
        <v>0.307</v>
      </c>
      <c r="V986" t="str">
        <f t="shared" si="92"/>
        <v>High Health/
Related Services</v>
      </c>
      <c r="W986" t="str">
        <f t="shared" si="93"/>
        <v>Health/
Related Services</v>
      </c>
    </row>
    <row r="987" spans="1:23" x14ac:dyDescent="0.25">
      <c r="A987">
        <v>17216</v>
      </c>
      <c r="B987" t="s">
        <v>1295</v>
      </c>
      <c r="C987">
        <v>4.8419999999999996</v>
      </c>
      <c r="D987" t="s">
        <v>1264</v>
      </c>
      <c r="E987">
        <v>100080</v>
      </c>
      <c r="F987">
        <v>17216</v>
      </c>
      <c r="G987" t="str">
        <f t="shared" si="91"/>
        <v>17216</v>
      </c>
      <c r="H987" t="s">
        <v>394</v>
      </c>
      <c r="I987" t="s">
        <v>1265</v>
      </c>
      <c r="J987" t="s">
        <v>1271</v>
      </c>
      <c r="K987" t="s">
        <v>1272</v>
      </c>
      <c r="L987" t="s">
        <v>1295</v>
      </c>
      <c r="M987" t="s">
        <v>1296</v>
      </c>
      <c r="N987">
        <v>1</v>
      </c>
      <c r="O987" t="str">
        <f t="shared" si="94"/>
        <v>26</v>
      </c>
      <c r="Q987">
        <v>26</v>
      </c>
      <c r="R987" t="s">
        <v>1269</v>
      </c>
      <c r="S987">
        <v>4.8419999999999996</v>
      </c>
      <c r="T987">
        <v>0.25290000000000001</v>
      </c>
      <c r="U987">
        <f t="shared" si="95"/>
        <v>0</v>
      </c>
      <c r="V987" t="str">
        <f t="shared" si="92"/>
        <v>High Health/
Related Services</v>
      </c>
      <c r="W987" t="str">
        <f t="shared" si="93"/>
        <v>Health/
Related Services</v>
      </c>
    </row>
    <row r="988" spans="1:23" x14ac:dyDescent="0.25">
      <c r="A988">
        <v>17216</v>
      </c>
      <c r="B988" t="s">
        <v>1401</v>
      </c>
      <c r="C988">
        <v>0.78100000000000003</v>
      </c>
      <c r="D988" t="s">
        <v>1264</v>
      </c>
      <c r="E988">
        <v>100080</v>
      </c>
      <c r="F988">
        <v>17216</v>
      </c>
      <c r="G988" t="str">
        <f t="shared" si="91"/>
        <v>17216</v>
      </c>
      <c r="H988" t="s">
        <v>394</v>
      </c>
      <c r="I988" t="s">
        <v>1265</v>
      </c>
      <c r="J988" t="s">
        <v>1271</v>
      </c>
      <c r="K988" t="s">
        <v>1272</v>
      </c>
      <c r="L988" t="s">
        <v>1401</v>
      </c>
      <c r="M988" t="s">
        <v>1422</v>
      </c>
      <c r="N988">
        <v>1</v>
      </c>
      <c r="O988" t="str">
        <f t="shared" si="94"/>
        <v>35</v>
      </c>
      <c r="Q988">
        <v>35</v>
      </c>
      <c r="R988" t="s">
        <v>1269</v>
      </c>
      <c r="S988">
        <v>0.78100000000000003</v>
      </c>
      <c r="T988">
        <v>0.25290000000000001</v>
      </c>
      <c r="U988">
        <f t="shared" si="95"/>
        <v>0</v>
      </c>
      <c r="V988" t="str">
        <f t="shared" si="92"/>
        <v>High Pupil Safety</v>
      </c>
      <c r="W988" t="str">
        <f t="shared" si="93"/>
        <v>Pupil Safety</v>
      </c>
    </row>
    <row r="989" spans="1:23" x14ac:dyDescent="0.25">
      <c r="A989">
        <v>17216</v>
      </c>
      <c r="B989" t="s">
        <v>1275</v>
      </c>
      <c r="C989">
        <v>5.6820000000000004</v>
      </c>
      <c r="D989" t="s">
        <v>1264</v>
      </c>
      <c r="E989">
        <v>100080</v>
      </c>
      <c r="F989">
        <v>17216</v>
      </c>
      <c r="G989" t="str">
        <f t="shared" si="91"/>
        <v>17216</v>
      </c>
      <c r="H989" t="s">
        <v>394</v>
      </c>
      <c r="I989" t="s">
        <v>1265</v>
      </c>
      <c r="J989" t="s">
        <v>1276</v>
      </c>
      <c r="K989" t="s">
        <v>1277</v>
      </c>
      <c r="L989" t="s">
        <v>1275</v>
      </c>
      <c r="M989" t="s">
        <v>1278</v>
      </c>
      <c r="N989">
        <v>1</v>
      </c>
      <c r="O989" t="str">
        <f t="shared" si="94"/>
        <v>42</v>
      </c>
      <c r="P989">
        <v>42</v>
      </c>
      <c r="R989" t="s">
        <v>1269</v>
      </c>
      <c r="S989">
        <v>5.6820000000000004</v>
      </c>
      <c r="T989">
        <v>0.25290000000000001</v>
      </c>
      <c r="U989">
        <f t="shared" si="95"/>
        <v>0</v>
      </c>
      <c r="V989" t="str">
        <f t="shared" si="92"/>
        <v>Elementary Counselor</v>
      </c>
      <c r="W989" t="str">
        <f t="shared" si="93"/>
        <v>Counselor</v>
      </c>
    </row>
    <row r="990" spans="1:23" x14ac:dyDescent="0.25">
      <c r="A990">
        <v>17216</v>
      </c>
      <c r="B990" t="s">
        <v>1270</v>
      </c>
      <c r="C990">
        <v>3</v>
      </c>
      <c r="D990" t="s">
        <v>1264</v>
      </c>
      <c r="E990">
        <v>100080</v>
      </c>
      <c r="F990">
        <v>17216</v>
      </c>
      <c r="G990" t="str">
        <f t="shared" si="91"/>
        <v>17216</v>
      </c>
      <c r="H990" t="s">
        <v>394</v>
      </c>
      <c r="I990" t="s">
        <v>1265</v>
      </c>
      <c r="J990" t="s">
        <v>1271</v>
      </c>
      <c r="K990" t="s">
        <v>1272</v>
      </c>
      <c r="L990" t="s">
        <v>1270</v>
      </c>
      <c r="M990" t="s">
        <v>1273</v>
      </c>
      <c r="N990">
        <v>1</v>
      </c>
      <c r="O990" t="str">
        <f t="shared" si="94"/>
        <v>42</v>
      </c>
      <c r="P990">
        <v>42</v>
      </c>
      <c r="R990" t="s">
        <v>1269</v>
      </c>
      <c r="S990">
        <v>3</v>
      </c>
      <c r="T990">
        <v>0.25290000000000001</v>
      </c>
      <c r="U990">
        <f t="shared" si="95"/>
        <v>0</v>
      </c>
      <c r="V990" t="str">
        <f t="shared" si="92"/>
        <v>High Counselor</v>
      </c>
      <c r="W990" t="str">
        <f t="shared" si="93"/>
        <v>Counselor</v>
      </c>
    </row>
    <row r="991" spans="1:23" x14ac:dyDescent="0.25">
      <c r="A991">
        <v>17216</v>
      </c>
      <c r="B991" t="s">
        <v>1263</v>
      </c>
      <c r="C991">
        <v>1.3180000000000001</v>
      </c>
      <c r="D991" t="s">
        <v>1264</v>
      </c>
      <c r="E991">
        <v>100080</v>
      </c>
      <c r="F991">
        <v>17216</v>
      </c>
      <c r="G991" t="str">
        <f t="shared" si="91"/>
        <v>17216</v>
      </c>
      <c r="H991" t="s">
        <v>394</v>
      </c>
      <c r="I991" t="s">
        <v>1265</v>
      </c>
      <c r="J991" t="s">
        <v>1266</v>
      </c>
      <c r="K991" t="s">
        <v>1267</v>
      </c>
      <c r="L991" t="s">
        <v>1263</v>
      </c>
      <c r="M991" t="s">
        <v>1268</v>
      </c>
      <c r="N991">
        <v>1</v>
      </c>
      <c r="O991" t="str">
        <f t="shared" si="94"/>
        <v>42</v>
      </c>
      <c r="P991">
        <v>42</v>
      </c>
      <c r="R991" t="s">
        <v>1269</v>
      </c>
      <c r="S991">
        <v>1.3180000000000001</v>
      </c>
      <c r="T991">
        <v>0.25290000000000001</v>
      </c>
      <c r="U991">
        <f t="shared" si="95"/>
        <v>0</v>
      </c>
      <c r="V991" t="str">
        <f t="shared" si="92"/>
        <v>Middle Counselor</v>
      </c>
      <c r="W991" t="str">
        <f t="shared" si="93"/>
        <v>Counselor</v>
      </c>
    </row>
    <row r="992" spans="1:23" x14ac:dyDescent="0.25">
      <c r="A992">
        <v>17216</v>
      </c>
      <c r="B992" t="s">
        <v>1289</v>
      </c>
      <c r="C992">
        <v>1</v>
      </c>
      <c r="D992" t="s">
        <v>1264</v>
      </c>
      <c r="E992">
        <v>100080</v>
      </c>
      <c r="F992">
        <v>17216</v>
      </c>
      <c r="G992" t="str">
        <f t="shared" si="91"/>
        <v>17216</v>
      </c>
      <c r="H992" t="s">
        <v>394</v>
      </c>
      <c r="I992" t="s">
        <v>1265</v>
      </c>
      <c r="J992" t="s">
        <v>1276</v>
      </c>
      <c r="K992" t="s">
        <v>1277</v>
      </c>
      <c r="L992" t="s">
        <v>1289</v>
      </c>
      <c r="M992" t="s">
        <v>1307</v>
      </c>
      <c r="N992">
        <v>21</v>
      </c>
      <c r="O992" t="str">
        <f t="shared" si="94"/>
        <v>43</v>
      </c>
      <c r="P992">
        <v>43</v>
      </c>
      <c r="R992" t="s">
        <v>1269</v>
      </c>
      <c r="S992">
        <v>1</v>
      </c>
      <c r="T992">
        <v>0.25290000000000001</v>
      </c>
      <c r="U992">
        <f t="shared" si="95"/>
        <v>0.253</v>
      </c>
      <c r="V992" t="str">
        <f t="shared" si="92"/>
        <v>Elementary Occupational Therapist</v>
      </c>
      <c r="W992" t="str">
        <f t="shared" si="93"/>
        <v>Occupational Therapist</v>
      </c>
    </row>
    <row r="993" spans="1:23" x14ac:dyDescent="0.25">
      <c r="A993">
        <v>17216</v>
      </c>
      <c r="B993" t="s">
        <v>1294</v>
      </c>
      <c r="C993">
        <v>5.26</v>
      </c>
      <c r="D993" t="s">
        <v>1264</v>
      </c>
      <c r="E993">
        <v>100080</v>
      </c>
      <c r="F993">
        <v>17216</v>
      </c>
      <c r="G993" t="str">
        <f t="shared" si="91"/>
        <v>17216</v>
      </c>
      <c r="H993" t="s">
        <v>394</v>
      </c>
      <c r="I993" t="s">
        <v>1265</v>
      </c>
      <c r="J993" t="s">
        <v>1276</v>
      </c>
      <c r="K993" t="s">
        <v>1277</v>
      </c>
      <c r="L993" t="s">
        <v>1294</v>
      </c>
      <c r="M993" t="s">
        <v>1354</v>
      </c>
      <c r="N993">
        <v>21</v>
      </c>
      <c r="O993" t="str">
        <f t="shared" si="94"/>
        <v>45</v>
      </c>
      <c r="P993">
        <v>45</v>
      </c>
      <c r="R993" t="s">
        <v>1269</v>
      </c>
      <c r="S993">
        <v>5.26</v>
      </c>
      <c r="T993">
        <v>0.25290000000000001</v>
      </c>
      <c r="U993">
        <f t="shared" si="95"/>
        <v>1.33</v>
      </c>
      <c r="V993" t="str">
        <f t="shared" si="92"/>
        <v>Elementary Speech, Language Pathway/
Audio</v>
      </c>
      <c r="W993" t="str">
        <f t="shared" si="93"/>
        <v>Speech, Language Pathway/
Audio</v>
      </c>
    </row>
    <row r="994" spans="1:23" x14ac:dyDescent="0.25">
      <c r="A994">
        <v>17216</v>
      </c>
      <c r="B994" t="s">
        <v>1326</v>
      </c>
      <c r="C994">
        <v>0.224</v>
      </c>
      <c r="D994" t="s">
        <v>1264</v>
      </c>
      <c r="E994">
        <v>100080</v>
      </c>
      <c r="F994">
        <v>17216</v>
      </c>
      <c r="G994" t="str">
        <f t="shared" si="91"/>
        <v>17216</v>
      </c>
      <c r="H994" t="s">
        <v>394</v>
      </c>
      <c r="I994" t="s">
        <v>1265</v>
      </c>
      <c r="J994" t="s">
        <v>1271</v>
      </c>
      <c r="K994" t="s">
        <v>1272</v>
      </c>
      <c r="L994" t="s">
        <v>1326</v>
      </c>
      <c r="M994" t="s">
        <v>1353</v>
      </c>
      <c r="N994">
        <v>21</v>
      </c>
      <c r="O994" t="str">
        <f t="shared" si="94"/>
        <v>45</v>
      </c>
      <c r="P994">
        <v>45</v>
      </c>
      <c r="R994" t="s">
        <v>1269</v>
      </c>
      <c r="S994">
        <v>0.224</v>
      </c>
      <c r="T994">
        <v>0.25290000000000001</v>
      </c>
      <c r="U994">
        <f t="shared" si="95"/>
        <v>5.7000000000000002E-2</v>
      </c>
      <c r="V994" t="str">
        <f t="shared" si="92"/>
        <v>High Speech, Language Pathway/
Audio</v>
      </c>
      <c r="W994" t="str">
        <f t="shared" si="93"/>
        <v>Speech, Language Pathway/
Audio</v>
      </c>
    </row>
    <row r="995" spans="1:23" x14ac:dyDescent="0.25">
      <c r="A995">
        <v>17216</v>
      </c>
      <c r="B995" t="s">
        <v>1312</v>
      </c>
      <c r="C995">
        <v>0.52700000000000002</v>
      </c>
      <c r="D995" t="s">
        <v>1264</v>
      </c>
      <c r="E995">
        <v>100080</v>
      </c>
      <c r="F995">
        <v>17216</v>
      </c>
      <c r="G995" t="str">
        <f t="shared" si="91"/>
        <v>17216</v>
      </c>
      <c r="H995" t="s">
        <v>394</v>
      </c>
      <c r="I995" t="s">
        <v>1265</v>
      </c>
      <c r="J995" t="s">
        <v>1266</v>
      </c>
      <c r="K995" t="s">
        <v>1267</v>
      </c>
      <c r="L995" t="s">
        <v>1312</v>
      </c>
      <c r="M995" t="s">
        <v>1351</v>
      </c>
      <c r="N995">
        <v>21</v>
      </c>
      <c r="O995" t="str">
        <f t="shared" si="94"/>
        <v>45</v>
      </c>
      <c r="P995">
        <v>45</v>
      </c>
      <c r="R995" t="s">
        <v>1269</v>
      </c>
      <c r="S995">
        <v>0.52700000000000002</v>
      </c>
      <c r="T995">
        <v>0.25290000000000001</v>
      </c>
      <c r="U995">
        <f t="shared" si="95"/>
        <v>0.13300000000000001</v>
      </c>
      <c r="V995" t="str">
        <f t="shared" si="92"/>
        <v>Middle Speech, Language Pathway/
Audio</v>
      </c>
      <c r="W995" t="str">
        <f t="shared" si="93"/>
        <v>Speech, Language Pathway/
Audio</v>
      </c>
    </row>
    <row r="996" spans="1:23" x14ac:dyDescent="0.25">
      <c r="A996">
        <v>17216</v>
      </c>
      <c r="B996" t="s">
        <v>1298</v>
      </c>
      <c r="C996">
        <v>2</v>
      </c>
      <c r="D996" t="s">
        <v>1264</v>
      </c>
      <c r="E996">
        <v>100080</v>
      </c>
      <c r="F996">
        <v>17216</v>
      </c>
      <c r="G996" t="str">
        <f t="shared" si="91"/>
        <v>17216</v>
      </c>
      <c r="H996" t="s">
        <v>394</v>
      </c>
      <c r="I996" t="s">
        <v>1265</v>
      </c>
      <c r="J996" t="s">
        <v>1276</v>
      </c>
      <c r="K996" t="s">
        <v>1277</v>
      </c>
      <c r="L996" t="s">
        <v>1298</v>
      </c>
      <c r="M996" t="s">
        <v>1349</v>
      </c>
      <c r="N996">
        <v>21</v>
      </c>
      <c r="O996" t="str">
        <f t="shared" si="94"/>
        <v>46</v>
      </c>
      <c r="P996">
        <v>46</v>
      </c>
      <c r="R996" t="s">
        <v>1269</v>
      </c>
      <c r="S996">
        <v>2</v>
      </c>
      <c r="T996">
        <v>0.25290000000000001</v>
      </c>
      <c r="U996">
        <f t="shared" si="95"/>
        <v>0.50600000000000001</v>
      </c>
      <c r="V996" t="str">
        <f t="shared" si="92"/>
        <v>Elementary Psychologist</v>
      </c>
      <c r="W996" t="str">
        <f t="shared" si="93"/>
        <v>Psychologist</v>
      </c>
    </row>
    <row r="997" spans="1:23" x14ac:dyDescent="0.25">
      <c r="A997">
        <v>17216</v>
      </c>
      <c r="B997" t="s">
        <v>1334</v>
      </c>
      <c r="C997">
        <v>7.0000000000000007E-2</v>
      </c>
      <c r="D997" t="s">
        <v>1264</v>
      </c>
      <c r="E997">
        <v>100080</v>
      </c>
      <c r="F997">
        <v>17216</v>
      </c>
      <c r="G997" t="str">
        <f t="shared" si="91"/>
        <v>17216</v>
      </c>
      <c r="H997" t="s">
        <v>394</v>
      </c>
      <c r="I997" t="s">
        <v>1265</v>
      </c>
      <c r="J997" t="s">
        <v>1276</v>
      </c>
      <c r="K997" t="s">
        <v>1277</v>
      </c>
      <c r="L997" t="s">
        <v>1334</v>
      </c>
      <c r="M997" t="s">
        <v>1413</v>
      </c>
      <c r="N997">
        <v>21</v>
      </c>
      <c r="O997" t="str">
        <f t="shared" si="94"/>
        <v>47</v>
      </c>
      <c r="P997">
        <v>47</v>
      </c>
      <c r="R997" t="s">
        <v>1269</v>
      </c>
      <c r="S997">
        <v>7.0000000000000007E-2</v>
      </c>
      <c r="T997">
        <v>0.25290000000000001</v>
      </c>
      <c r="U997">
        <f t="shared" si="95"/>
        <v>1.7999999999999999E-2</v>
      </c>
      <c r="V997" t="str">
        <f t="shared" si="92"/>
        <v>Elementary Nurse</v>
      </c>
      <c r="W997" t="str">
        <f t="shared" si="93"/>
        <v>Nurse</v>
      </c>
    </row>
    <row r="998" spans="1:23" x14ac:dyDescent="0.25">
      <c r="A998">
        <v>17216</v>
      </c>
      <c r="B998" t="s">
        <v>1335</v>
      </c>
      <c r="C998">
        <v>0.39800000000000002</v>
      </c>
      <c r="D998" t="s">
        <v>1264</v>
      </c>
      <c r="E998">
        <v>100080</v>
      </c>
      <c r="F998">
        <v>17216</v>
      </c>
      <c r="G998" t="str">
        <f t="shared" si="91"/>
        <v>17216</v>
      </c>
      <c r="H998" t="s">
        <v>394</v>
      </c>
      <c r="I998" t="s">
        <v>1265</v>
      </c>
      <c r="J998" t="s">
        <v>1276</v>
      </c>
      <c r="K998" t="s">
        <v>1277</v>
      </c>
      <c r="L998" t="s">
        <v>1335</v>
      </c>
      <c r="M998" t="s">
        <v>1344</v>
      </c>
      <c r="N998">
        <v>1</v>
      </c>
      <c r="O998" t="str">
        <f t="shared" si="94"/>
        <v>47</v>
      </c>
      <c r="P998">
        <v>47</v>
      </c>
      <c r="R998" t="s">
        <v>1269</v>
      </c>
      <c r="S998">
        <v>0.39800000000000002</v>
      </c>
      <c r="T998">
        <v>0.25290000000000001</v>
      </c>
      <c r="U998">
        <f t="shared" si="95"/>
        <v>0</v>
      </c>
      <c r="V998" t="str">
        <f t="shared" si="92"/>
        <v>Elementary Nurse</v>
      </c>
      <c r="W998" t="str">
        <f t="shared" si="93"/>
        <v>Nurse</v>
      </c>
    </row>
    <row r="999" spans="1:23" x14ac:dyDescent="0.25">
      <c r="A999">
        <v>17216</v>
      </c>
      <c r="B999" t="s">
        <v>1397</v>
      </c>
      <c r="C999">
        <v>4.3999999999999997E-2</v>
      </c>
      <c r="D999" t="s">
        <v>1264</v>
      </c>
      <c r="E999">
        <v>100080</v>
      </c>
      <c r="F999">
        <v>17216</v>
      </c>
      <c r="G999" t="str">
        <f t="shared" si="91"/>
        <v>17216</v>
      </c>
      <c r="H999" t="s">
        <v>394</v>
      </c>
      <c r="I999" t="s">
        <v>1265</v>
      </c>
      <c r="J999" t="s">
        <v>1271</v>
      </c>
      <c r="K999" t="s">
        <v>1272</v>
      </c>
      <c r="L999" t="s">
        <v>1397</v>
      </c>
      <c r="M999" t="s">
        <v>1435</v>
      </c>
      <c r="N999">
        <v>21</v>
      </c>
      <c r="O999" t="str">
        <f t="shared" si="94"/>
        <v>47</v>
      </c>
      <c r="P999">
        <v>47</v>
      </c>
      <c r="R999" t="s">
        <v>1269</v>
      </c>
      <c r="S999">
        <v>4.3999999999999997E-2</v>
      </c>
      <c r="T999">
        <v>0.25290000000000001</v>
      </c>
      <c r="U999">
        <f t="shared" si="95"/>
        <v>1.0999999999999999E-2</v>
      </c>
      <c r="V999" t="str">
        <f t="shared" si="92"/>
        <v>High Nurse</v>
      </c>
      <c r="W999" t="str">
        <f t="shared" si="93"/>
        <v>Nurse</v>
      </c>
    </row>
    <row r="1000" spans="1:23" x14ac:dyDescent="0.25">
      <c r="A1000">
        <v>17216</v>
      </c>
      <c r="B1000" t="s">
        <v>1341</v>
      </c>
      <c r="C1000">
        <v>0.248</v>
      </c>
      <c r="D1000" t="s">
        <v>1264</v>
      </c>
      <c r="E1000">
        <v>100080</v>
      </c>
      <c r="F1000">
        <v>17216</v>
      </c>
      <c r="G1000" t="str">
        <f t="shared" si="91"/>
        <v>17216</v>
      </c>
      <c r="H1000" t="s">
        <v>394</v>
      </c>
      <c r="I1000" t="s">
        <v>1265</v>
      </c>
      <c r="J1000" t="s">
        <v>1271</v>
      </c>
      <c r="K1000" t="s">
        <v>1272</v>
      </c>
      <c r="L1000" t="s">
        <v>1341</v>
      </c>
      <c r="M1000" t="s">
        <v>1342</v>
      </c>
      <c r="N1000">
        <v>1</v>
      </c>
      <c r="O1000" t="str">
        <f t="shared" si="94"/>
        <v>47</v>
      </c>
      <c r="P1000">
        <v>47</v>
      </c>
      <c r="R1000" t="s">
        <v>1269</v>
      </c>
      <c r="S1000">
        <v>0.248</v>
      </c>
      <c r="T1000">
        <v>0.25290000000000001</v>
      </c>
      <c r="U1000">
        <f t="shared" si="95"/>
        <v>0</v>
      </c>
      <c r="V1000" t="str">
        <f t="shared" si="92"/>
        <v>High Nurse</v>
      </c>
      <c r="W1000" t="str">
        <f t="shared" si="93"/>
        <v>Nurse</v>
      </c>
    </row>
    <row r="1001" spans="1:23" x14ac:dyDescent="0.25">
      <c r="A1001">
        <v>17216</v>
      </c>
      <c r="B1001" t="s">
        <v>1372</v>
      </c>
      <c r="C1001">
        <v>3.5999999999999997E-2</v>
      </c>
      <c r="D1001" t="s">
        <v>1264</v>
      </c>
      <c r="E1001">
        <v>100080</v>
      </c>
      <c r="F1001">
        <v>17216</v>
      </c>
      <c r="G1001" t="str">
        <f t="shared" si="91"/>
        <v>17216</v>
      </c>
      <c r="H1001" t="s">
        <v>394</v>
      </c>
      <c r="I1001" t="s">
        <v>1265</v>
      </c>
      <c r="J1001" t="s">
        <v>1266</v>
      </c>
      <c r="K1001" t="s">
        <v>1267</v>
      </c>
      <c r="L1001" t="s">
        <v>1372</v>
      </c>
      <c r="M1001" t="s">
        <v>1436</v>
      </c>
      <c r="N1001">
        <v>21</v>
      </c>
      <c r="O1001" t="str">
        <f t="shared" si="94"/>
        <v>47</v>
      </c>
      <c r="P1001">
        <v>47</v>
      </c>
      <c r="R1001" t="s">
        <v>1269</v>
      </c>
      <c r="S1001">
        <v>3.5999999999999997E-2</v>
      </c>
      <c r="T1001">
        <v>0.25290000000000001</v>
      </c>
      <c r="U1001">
        <f t="shared" si="95"/>
        <v>8.9999999999999993E-3</v>
      </c>
      <c r="V1001" t="str">
        <f t="shared" si="92"/>
        <v>Middle Nurse</v>
      </c>
      <c r="W1001" t="str">
        <f t="shared" si="93"/>
        <v>Nurse</v>
      </c>
    </row>
    <row r="1002" spans="1:23" x14ac:dyDescent="0.25">
      <c r="A1002">
        <v>17216</v>
      </c>
      <c r="B1002" t="s">
        <v>1338</v>
      </c>
      <c r="C1002">
        <v>0.20399999999999999</v>
      </c>
      <c r="D1002" t="s">
        <v>1264</v>
      </c>
      <c r="E1002">
        <v>100080</v>
      </c>
      <c r="F1002">
        <v>17216</v>
      </c>
      <c r="G1002" t="str">
        <f t="shared" si="91"/>
        <v>17216</v>
      </c>
      <c r="H1002" t="s">
        <v>394</v>
      </c>
      <c r="I1002" t="s">
        <v>1265</v>
      </c>
      <c r="J1002" t="s">
        <v>1266</v>
      </c>
      <c r="K1002" t="s">
        <v>1267</v>
      </c>
      <c r="L1002" t="s">
        <v>1338</v>
      </c>
      <c r="M1002" t="s">
        <v>1339</v>
      </c>
      <c r="N1002">
        <v>1</v>
      </c>
      <c r="O1002" t="str">
        <f t="shared" si="94"/>
        <v>47</v>
      </c>
      <c r="P1002">
        <v>47</v>
      </c>
      <c r="R1002" t="s">
        <v>1269</v>
      </c>
      <c r="S1002">
        <v>0.20399999999999999</v>
      </c>
      <c r="T1002">
        <v>0.25290000000000001</v>
      </c>
      <c r="U1002">
        <f t="shared" si="95"/>
        <v>0</v>
      </c>
      <c r="V1002" t="str">
        <f t="shared" si="92"/>
        <v>Middle Nurse</v>
      </c>
      <c r="W1002" t="str">
        <f t="shared" si="93"/>
        <v>Nurse</v>
      </c>
    </row>
    <row r="1003" spans="1:23" x14ac:dyDescent="0.25">
      <c r="A1003">
        <v>17216</v>
      </c>
      <c r="B1003" t="s">
        <v>1306</v>
      </c>
      <c r="C1003">
        <v>1.5329999999999999</v>
      </c>
      <c r="D1003" t="s">
        <v>1264</v>
      </c>
      <c r="E1003">
        <v>100080</v>
      </c>
      <c r="F1003">
        <v>17216</v>
      </c>
      <c r="G1003" t="str">
        <f t="shared" si="91"/>
        <v>17216</v>
      </c>
      <c r="H1003" t="s">
        <v>394</v>
      </c>
      <c r="I1003" t="s">
        <v>1265</v>
      </c>
      <c r="J1003" t="s">
        <v>1276</v>
      </c>
      <c r="K1003" t="s">
        <v>1277</v>
      </c>
      <c r="L1003" t="s">
        <v>1306</v>
      </c>
      <c r="M1003" t="s">
        <v>1320</v>
      </c>
      <c r="N1003">
        <v>21</v>
      </c>
      <c r="O1003" t="str">
        <f t="shared" si="94"/>
        <v>64</v>
      </c>
      <c r="P1003">
        <v>64</v>
      </c>
      <c r="R1003" t="s">
        <v>1269</v>
      </c>
      <c r="S1003">
        <v>1.5329999999999999</v>
      </c>
      <c r="T1003">
        <v>0.25290000000000001</v>
      </c>
      <c r="U1003">
        <f t="shared" si="95"/>
        <v>0.38800000000000001</v>
      </c>
      <c r="V1003" t="str">
        <f t="shared" si="92"/>
        <v>Elementary Contractor ESA</v>
      </c>
      <c r="W1003" t="str">
        <f t="shared" si="93"/>
        <v>Contractor ESA</v>
      </c>
    </row>
    <row r="1004" spans="1:23" x14ac:dyDescent="0.25">
      <c r="A1004">
        <v>17216</v>
      </c>
      <c r="B1004" t="s">
        <v>1317</v>
      </c>
      <c r="C1004">
        <v>3</v>
      </c>
      <c r="D1004" t="s">
        <v>1264</v>
      </c>
      <c r="E1004">
        <v>100080</v>
      </c>
      <c r="F1004">
        <v>17216</v>
      </c>
      <c r="G1004" t="str">
        <f t="shared" si="91"/>
        <v>17216</v>
      </c>
      <c r="H1004" t="s">
        <v>394</v>
      </c>
      <c r="I1004" t="s">
        <v>1265</v>
      </c>
      <c r="J1004" t="s">
        <v>1271</v>
      </c>
      <c r="K1004" t="s">
        <v>1272</v>
      </c>
      <c r="L1004" t="s">
        <v>1317</v>
      </c>
      <c r="M1004" t="s">
        <v>1318</v>
      </c>
      <c r="N1004">
        <v>21</v>
      </c>
      <c r="O1004" t="str">
        <f t="shared" si="94"/>
        <v>64</v>
      </c>
      <c r="P1004">
        <v>64</v>
      </c>
      <c r="R1004" t="s">
        <v>1269</v>
      </c>
      <c r="S1004">
        <v>3</v>
      </c>
      <c r="T1004">
        <v>0.25290000000000001</v>
      </c>
      <c r="U1004">
        <f t="shared" si="95"/>
        <v>0.75900000000000001</v>
      </c>
      <c r="V1004" t="str">
        <f t="shared" si="92"/>
        <v>High Contractor ESA</v>
      </c>
      <c r="W1004" t="str">
        <f t="shared" si="93"/>
        <v>Contractor ESA</v>
      </c>
    </row>
    <row r="1005" spans="1:23" x14ac:dyDescent="0.25">
      <c r="A1005">
        <v>17216</v>
      </c>
      <c r="B1005" t="s">
        <v>1313</v>
      </c>
      <c r="C1005">
        <v>0.66700000000000004</v>
      </c>
      <c r="D1005" t="s">
        <v>1264</v>
      </c>
      <c r="E1005">
        <v>100080</v>
      </c>
      <c r="F1005">
        <v>17216</v>
      </c>
      <c r="G1005" t="str">
        <f t="shared" si="91"/>
        <v>17216</v>
      </c>
      <c r="H1005" t="s">
        <v>394</v>
      </c>
      <c r="I1005" t="s">
        <v>1265</v>
      </c>
      <c r="J1005" t="s">
        <v>1266</v>
      </c>
      <c r="K1005" t="s">
        <v>1267</v>
      </c>
      <c r="L1005" t="s">
        <v>1313</v>
      </c>
      <c r="M1005" t="s">
        <v>1314</v>
      </c>
      <c r="N1005">
        <v>21</v>
      </c>
      <c r="O1005" t="str">
        <f t="shared" si="94"/>
        <v>64</v>
      </c>
      <c r="P1005">
        <v>64</v>
      </c>
      <c r="R1005" t="s">
        <v>1269</v>
      </c>
      <c r="S1005">
        <v>0.66700000000000004</v>
      </c>
      <c r="T1005">
        <v>0.25290000000000001</v>
      </c>
      <c r="U1005">
        <f t="shared" si="95"/>
        <v>0.16900000000000001</v>
      </c>
      <c r="V1005" t="str">
        <f t="shared" si="92"/>
        <v>Middle Contractor ESA</v>
      </c>
      <c r="W1005" t="str">
        <f t="shared" si="93"/>
        <v>Contractor ESA</v>
      </c>
    </row>
    <row r="1006" spans="1:23" x14ac:dyDescent="0.25">
      <c r="A1006">
        <v>17400</v>
      </c>
      <c r="B1006" t="s">
        <v>1383</v>
      </c>
      <c r="C1006">
        <v>7.0000000000000007E-2</v>
      </c>
      <c r="D1006" t="s">
        <v>1264</v>
      </c>
      <c r="E1006">
        <v>100146</v>
      </c>
      <c r="F1006">
        <v>17400</v>
      </c>
      <c r="G1006" t="str">
        <f t="shared" si="91"/>
        <v>17400</v>
      </c>
      <c r="H1006" t="s">
        <v>395</v>
      </c>
      <c r="I1006" t="s">
        <v>1265</v>
      </c>
      <c r="J1006" t="s">
        <v>1271</v>
      </c>
      <c r="K1006" t="s">
        <v>1272</v>
      </c>
      <c r="L1006" t="s">
        <v>1383</v>
      </c>
      <c r="M1006" t="s">
        <v>1409</v>
      </c>
      <c r="N1006">
        <v>21</v>
      </c>
      <c r="O1006" t="str">
        <f t="shared" si="94"/>
        <v>25</v>
      </c>
      <c r="Q1006">
        <v>25</v>
      </c>
      <c r="R1006" t="s">
        <v>1269</v>
      </c>
      <c r="S1006">
        <v>7.0000000000000007E-2</v>
      </c>
      <c r="T1006">
        <v>0.19489999999999999</v>
      </c>
      <c r="U1006">
        <f t="shared" si="95"/>
        <v>1.4E-2</v>
      </c>
      <c r="V1006" t="str">
        <f t="shared" si="92"/>
        <v>High Pupil Management</v>
      </c>
      <c r="W1006" t="str">
        <f t="shared" si="93"/>
        <v>Pupil Management</v>
      </c>
    </row>
    <row r="1007" spans="1:23" x14ac:dyDescent="0.25">
      <c r="A1007">
        <v>17400</v>
      </c>
      <c r="B1007" t="s">
        <v>1299</v>
      </c>
      <c r="C1007">
        <v>8.6649999999999991</v>
      </c>
      <c r="D1007" t="s">
        <v>1264</v>
      </c>
      <c r="E1007">
        <v>100146</v>
      </c>
      <c r="F1007">
        <v>17400</v>
      </c>
      <c r="G1007" t="str">
        <f t="shared" si="91"/>
        <v>17400</v>
      </c>
      <c r="H1007" t="s">
        <v>395</v>
      </c>
      <c r="I1007" t="s">
        <v>1265</v>
      </c>
      <c r="J1007" t="s">
        <v>1271</v>
      </c>
      <c r="K1007" t="s">
        <v>1272</v>
      </c>
      <c r="L1007" t="s">
        <v>1299</v>
      </c>
      <c r="M1007" t="s">
        <v>1300</v>
      </c>
      <c r="N1007">
        <v>1</v>
      </c>
      <c r="O1007" t="str">
        <f t="shared" si="94"/>
        <v>25</v>
      </c>
      <c r="Q1007">
        <v>25</v>
      </c>
      <c r="R1007" t="s">
        <v>1269</v>
      </c>
      <c r="S1007">
        <v>8.6649999999999991</v>
      </c>
      <c r="T1007">
        <v>0.19489999999999999</v>
      </c>
      <c r="U1007">
        <f t="shared" si="95"/>
        <v>0</v>
      </c>
      <c r="V1007" t="str">
        <f t="shared" si="92"/>
        <v>High Pupil Management</v>
      </c>
      <c r="W1007" t="str">
        <f t="shared" si="93"/>
        <v>Pupil Management</v>
      </c>
    </row>
    <row r="1008" spans="1:23" x14ac:dyDescent="0.25">
      <c r="A1008">
        <v>17400</v>
      </c>
      <c r="B1008" t="s">
        <v>1324</v>
      </c>
      <c r="C1008">
        <v>1.7</v>
      </c>
      <c r="D1008" t="s">
        <v>1264</v>
      </c>
      <c r="E1008">
        <v>100146</v>
      </c>
      <c r="F1008">
        <v>17400</v>
      </c>
      <c r="G1008" t="str">
        <f t="shared" si="91"/>
        <v>17400</v>
      </c>
      <c r="H1008" t="s">
        <v>395</v>
      </c>
      <c r="I1008" t="s">
        <v>1265</v>
      </c>
      <c r="J1008" t="s">
        <v>1271</v>
      </c>
      <c r="K1008" t="s">
        <v>1272</v>
      </c>
      <c r="L1008" t="s">
        <v>1324</v>
      </c>
      <c r="M1008" t="s">
        <v>1325</v>
      </c>
      <c r="N1008">
        <v>21</v>
      </c>
      <c r="O1008" t="str">
        <f t="shared" si="94"/>
        <v>26</v>
      </c>
      <c r="Q1008">
        <v>26</v>
      </c>
      <c r="R1008" t="s">
        <v>1269</v>
      </c>
      <c r="S1008">
        <v>1.7</v>
      </c>
      <c r="T1008">
        <v>0.19489999999999999</v>
      </c>
      <c r="U1008">
        <f t="shared" si="95"/>
        <v>0.33100000000000002</v>
      </c>
      <c r="V1008" t="str">
        <f t="shared" si="92"/>
        <v>High Health/
Related Services</v>
      </c>
      <c r="W1008" t="str">
        <f t="shared" si="93"/>
        <v>Health/
Related Services</v>
      </c>
    </row>
    <row r="1009" spans="1:23" x14ac:dyDescent="0.25">
      <c r="A1009">
        <v>17400</v>
      </c>
      <c r="B1009" t="s">
        <v>1295</v>
      </c>
      <c r="C1009">
        <v>2.9220000000000002</v>
      </c>
      <c r="D1009" t="s">
        <v>1264</v>
      </c>
      <c r="E1009">
        <v>100146</v>
      </c>
      <c r="F1009">
        <v>17400</v>
      </c>
      <c r="G1009" t="str">
        <f t="shared" si="91"/>
        <v>17400</v>
      </c>
      <c r="H1009" t="s">
        <v>395</v>
      </c>
      <c r="I1009" t="s">
        <v>1265</v>
      </c>
      <c r="J1009" t="s">
        <v>1271</v>
      </c>
      <c r="K1009" t="s">
        <v>1272</v>
      </c>
      <c r="L1009" t="s">
        <v>1295</v>
      </c>
      <c r="M1009" t="s">
        <v>1296</v>
      </c>
      <c r="N1009">
        <v>1</v>
      </c>
      <c r="O1009" t="str">
        <f t="shared" si="94"/>
        <v>26</v>
      </c>
      <c r="Q1009">
        <v>26</v>
      </c>
      <c r="R1009" t="s">
        <v>1269</v>
      </c>
      <c r="S1009">
        <v>2.9220000000000002</v>
      </c>
      <c r="T1009">
        <v>0.19489999999999999</v>
      </c>
      <c r="U1009">
        <f t="shared" si="95"/>
        <v>0</v>
      </c>
      <c r="V1009" t="str">
        <f t="shared" si="92"/>
        <v>High Health/
Related Services</v>
      </c>
      <c r="W1009" t="str">
        <f t="shared" si="93"/>
        <v>Health/
Related Services</v>
      </c>
    </row>
    <row r="1010" spans="1:23" x14ac:dyDescent="0.25">
      <c r="A1010">
        <v>17400</v>
      </c>
      <c r="B1010" t="s">
        <v>1401</v>
      </c>
      <c r="C1010">
        <v>2.0859999999999999</v>
      </c>
      <c r="D1010" t="s">
        <v>1264</v>
      </c>
      <c r="E1010">
        <v>100146</v>
      </c>
      <c r="F1010">
        <v>17400</v>
      </c>
      <c r="G1010" t="str">
        <f t="shared" si="91"/>
        <v>17400</v>
      </c>
      <c r="H1010" t="s">
        <v>395</v>
      </c>
      <c r="I1010" t="s">
        <v>1265</v>
      </c>
      <c r="J1010" t="s">
        <v>1271</v>
      </c>
      <c r="K1010" t="s">
        <v>1272</v>
      </c>
      <c r="L1010" t="s">
        <v>1401</v>
      </c>
      <c r="M1010" t="s">
        <v>1422</v>
      </c>
      <c r="N1010">
        <v>1</v>
      </c>
      <c r="O1010" t="str">
        <f t="shared" si="94"/>
        <v>35</v>
      </c>
      <c r="Q1010">
        <v>35</v>
      </c>
      <c r="R1010" t="s">
        <v>1269</v>
      </c>
      <c r="S1010">
        <v>2.0859999999999999</v>
      </c>
      <c r="T1010">
        <v>0.19489999999999999</v>
      </c>
      <c r="U1010">
        <f t="shared" si="95"/>
        <v>0</v>
      </c>
      <c r="V1010" t="str">
        <f t="shared" si="92"/>
        <v>High Pupil Safety</v>
      </c>
      <c r="W1010" t="str">
        <f t="shared" si="93"/>
        <v>Pupil Safety</v>
      </c>
    </row>
    <row r="1011" spans="1:23" x14ac:dyDescent="0.25">
      <c r="A1011">
        <v>17400</v>
      </c>
      <c r="B1011" t="s">
        <v>1270</v>
      </c>
      <c r="C1011">
        <v>4</v>
      </c>
      <c r="D1011" t="s">
        <v>1264</v>
      </c>
      <c r="E1011">
        <v>100146</v>
      </c>
      <c r="F1011">
        <v>17400</v>
      </c>
      <c r="G1011" t="str">
        <f t="shared" si="91"/>
        <v>17400</v>
      </c>
      <c r="H1011" t="s">
        <v>395</v>
      </c>
      <c r="I1011" t="s">
        <v>1265</v>
      </c>
      <c r="J1011" t="s">
        <v>1271</v>
      </c>
      <c r="K1011" t="s">
        <v>1272</v>
      </c>
      <c r="L1011" t="s">
        <v>1270</v>
      </c>
      <c r="M1011" t="s">
        <v>1273</v>
      </c>
      <c r="N1011">
        <v>1</v>
      </c>
      <c r="O1011" t="str">
        <f t="shared" si="94"/>
        <v>42</v>
      </c>
      <c r="P1011">
        <v>42</v>
      </c>
      <c r="R1011" t="s">
        <v>1269</v>
      </c>
      <c r="S1011">
        <v>4</v>
      </c>
      <c r="T1011">
        <v>0.19489999999999999</v>
      </c>
      <c r="U1011">
        <f t="shared" si="95"/>
        <v>0</v>
      </c>
      <c r="V1011" t="str">
        <f t="shared" si="92"/>
        <v>High Counselor</v>
      </c>
      <c r="W1011" t="str">
        <f t="shared" si="93"/>
        <v>Counselor</v>
      </c>
    </row>
    <row r="1012" spans="1:23" x14ac:dyDescent="0.25">
      <c r="A1012">
        <v>17400</v>
      </c>
      <c r="B1012" t="s">
        <v>1365</v>
      </c>
      <c r="C1012">
        <v>0.3</v>
      </c>
      <c r="D1012" t="s">
        <v>1264</v>
      </c>
      <c r="E1012">
        <v>100146</v>
      </c>
      <c r="F1012">
        <v>17400</v>
      </c>
      <c r="G1012" t="str">
        <f t="shared" si="91"/>
        <v>17400</v>
      </c>
      <c r="H1012" t="s">
        <v>395</v>
      </c>
      <c r="I1012" t="s">
        <v>1265</v>
      </c>
      <c r="J1012" t="s">
        <v>1266</v>
      </c>
      <c r="K1012" t="s">
        <v>1267</v>
      </c>
      <c r="L1012" t="s">
        <v>1365</v>
      </c>
      <c r="M1012" t="s">
        <v>1428</v>
      </c>
      <c r="N1012">
        <v>21</v>
      </c>
      <c r="O1012" t="str">
        <f t="shared" si="94"/>
        <v>42</v>
      </c>
      <c r="P1012">
        <v>42</v>
      </c>
      <c r="R1012" t="s">
        <v>1269</v>
      </c>
      <c r="S1012">
        <v>0.3</v>
      </c>
      <c r="T1012">
        <v>0.19489999999999999</v>
      </c>
      <c r="U1012">
        <f t="shared" si="95"/>
        <v>5.8000000000000003E-2</v>
      </c>
      <c r="V1012" t="str">
        <f t="shared" si="92"/>
        <v>Middle Counselor</v>
      </c>
      <c r="W1012" t="str">
        <f t="shared" si="93"/>
        <v>Counselor</v>
      </c>
    </row>
    <row r="1013" spans="1:23" x14ac:dyDescent="0.25">
      <c r="A1013">
        <v>17400</v>
      </c>
      <c r="B1013" t="s">
        <v>1263</v>
      </c>
      <c r="C1013">
        <v>3</v>
      </c>
      <c r="D1013" t="s">
        <v>1264</v>
      </c>
      <c r="E1013">
        <v>100146</v>
      </c>
      <c r="F1013">
        <v>17400</v>
      </c>
      <c r="G1013" t="str">
        <f t="shared" si="91"/>
        <v>17400</v>
      </c>
      <c r="H1013" t="s">
        <v>395</v>
      </c>
      <c r="I1013" t="s">
        <v>1265</v>
      </c>
      <c r="J1013" t="s">
        <v>1266</v>
      </c>
      <c r="K1013" t="s">
        <v>1267</v>
      </c>
      <c r="L1013" t="s">
        <v>1263</v>
      </c>
      <c r="M1013" t="s">
        <v>1268</v>
      </c>
      <c r="N1013">
        <v>1</v>
      </c>
      <c r="O1013" t="str">
        <f t="shared" si="94"/>
        <v>42</v>
      </c>
      <c r="P1013">
        <v>42</v>
      </c>
      <c r="R1013" t="s">
        <v>1269</v>
      </c>
      <c r="S1013">
        <v>3</v>
      </c>
      <c r="T1013">
        <v>0.19489999999999999</v>
      </c>
      <c r="U1013">
        <f t="shared" si="95"/>
        <v>0</v>
      </c>
      <c r="V1013" t="str">
        <f t="shared" si="92"/>
        <v>Middle Counselor</v>
      </c>
      <c r="W1013" t="str">
        <f t="shared" si="93"/>
        <v>Counselor</v>
      </c>
    </row>
    <row r="1014" spans="1:23" x14ac:dyDescent="0.25">
      <c r="A1014">
        <v>17400</v>
      </c>
      <c r="B1014" t="s">
        <v>1289</v>
      </c>
      <c r="C1014">
        <v>1</v>
      </c>
      <c r="D1014" t="s">
        <v>1264</v>
      </c>
      <c r="E1014">
        <v>100146</v>
      </c>
      <c r="F1014">
        <v>17400</v>
      </c>
      <c r="G1014" t="str">
        <f t="shared" si="91"/>
        <v>17400</v>
      </c>
      <c r="H1014" t="s">
        <v>395</v>
      </c>
      <c r="I1014" t="s">
        <v>1265</v>
      </c>
      <c r="J1014" t="s">
        <v>1276</v>
      </c>
      <c r="K1014" t="s">
        <v>1277</v>
      </c>
      <c r="L1014" t="s">
        <v>1289</v>
      </c>
      <c r="M1014" t="s">
        <v>1307</v>
      </c>
      <c r="N1014">
        <v>21</v>
      </c>
      <c r="O1014" t="str">
        <f t="shared" si="94"/>
        <v>43</v>
      </c>
      <c r="P1014">
        <v>43</v>
      </c>
      <c r="R1014" t="s">
        <v>1269</v>
      </c>
      <c r="S1014">
        <v>1</v>
      </c>
      <c r="T1014">
        <v>0.19489999999999999</v>
      </c>
      <c r="U1014">
        <f t="shared" si="95"/>
        <v>0.19500000000000001</v>
      </c>
      <c r="V1014" t="str">
        <f t="shared" si="92"/>
        <v>Elementary Occupational Therapist</v>
      </c>
      <c r="W1014" t="str">
        <f t="shared" si="93"/>
        <v>Occupational Therapist</v>
      </c>
    </row>
    <row r="1015" spans="1:23" x14ac:dyDescent="0.25">
      <c r="A1015">
        <v>17400</v>
      </c>
      <c r="B1015" t="s">
        <v>1294</v>
      </c>
      <c r="C1015">
        <v>2.4300000000000002</v>
      </c>
      <c r="D1015" t="s">
        <v>1264</v>
      </c>
      <c r="E1015">
        <v>100146</v>
      </c>
      <c r="F1015">
        <v>17400</v>
      </c>
      <c r="G1015" t="str">
        <f t="shared" si="91"/>
        <v>17400</v>
      </c>
      <c r="H1015" t="s">
        <v>395</v>
      </c>
      <c r="I1015" t="s">
        <v>1265</v>
      </c>
      <c r="J1015" t="s">
        <v>1276</v>
      </c>
      <c r="K1015" t="s">
        <v>1277</v>
      </c>
      <c r="L1015" t="s">
        <v>1294</v>
      </c>
      <c r="M1015" t="s">
        <v>1354</v>
      </c>
      <c r="N1015">
        <v>21</v>
      </c>
      <c r="O1015" t="str">
        <f t="shared" si="94"/>
        <v>45</v>
      </c>
      <c r="P1015">
        <v>45</v>
      </c>
      <c r="R1015" t="s">
        <v>1269</v>
      </c>
      <c r="S1015">
        <v>2.4300000000000002</v>
      </c>
      <c r="T1015">
        <v>0.19489999999999999</v>
      </c>
      <c r="U1015">
        <f t="shared" si="95"/>
        <v>0.47399999999999998</v>
      </c>
      <c r="V1015" t="str">
        <f t="shared" si="92"/>
        <v>Elementary Speech, Language Pathway/
Audio</v>
      </c>
      <c r="W1015" t="str">
        <f t="shared" si="93"/>
        <v>Speech, Language Pathway/
Audio</v>
      </c>
    </row>
    <row r="1016" spans="1:23" x14ac:dyDescent="0.25">
      <c r="A1016">
        <v>17400</v>
      </c>
      <c r="B1016" t="s">
        <v>1312</v>
      </c>
      <c r="C1016">
        <v>0.56999999999999995</v>
      </c>
      <c r="D1016" t="s">
        <v>1264</v>
      </c>
      <c r="E1016">
        <v>100146</v>
      </c>
      <c r="F1016">
        <v>17400</v>
      </c>
      <c r="G1016" t="str">
        <f t="shared" si="91"/>
        <v>17400</v>
      </c>
      <c r="H1016" t="s">
        <v>395</v>
      </c>
      <c r="I1016" t="s">
        <v>1265</v>
      </c>
      <c r="J1016" t="s">
        <v>1266</v>
      </c>
      <c r="K1016" t="s">
        <v>1267</v>
      </c>
      <c r="L1016" t="s">
        <v>1312</v>
      </c>
      <c r="M1016" t="s">
        <v>1351</v>
      </c>
      <c r="N1016">
        <v>21</v>
      </c>
      <c r="O1016" t="str">
        <f t="shared" si="94"/>
        <v>45</v>
      </c>
      <c r="P1016">
        <v>45</v>
      </c>
      <c r="R1016" t="s">
        <v>1269</v>
      </c>
      <c r="S1016">
        <v>0.56999999999999995</v>
      </c>
      <c r="T1016">
        <v>0.19489999999999999</v>
      </c>
      <c r="U1016">
        <f t="shared" si="95"/>
        <v>0.111</v>
      </c>
      <c r="V1016" t="str">
        <f t="shared" si="92"/>
        <v>Middle Speech, Language Pathway/
Audio</v>
      </c>
      <c r="W1016" t="str">
        <f t="shared" si="93"/>
        <v>Speech, Language Pathway/
Audio</v>
      </c>
    </row>
    <row r="1017" spans="1:23" x14ac:dyDescent="0.25">
      <c r="A1017">
        <v>17400</v>
      </c>
      <c r="B1017" t="s">
        <v>1298</v>
      </c>
      <c r="C1017">
        <v>1.8</v>
      </c>
      <c r="D1017" t="s">
        <v>1264</v>
      </c>
      <c r="E1017">
        <v>100146</v>
      </c>
      <c r="F1017">
        <v>17400</v>
      </c>
      <c r="G1017" t="str">
        <f t="shared" si="91"/>
        <v>17400</v>
      </c>
      <c r="H1017" t="s">
        <v>395</v>
      </c>
      <c r="I1017" t="s">
        <v>1265</v>
      </c>
      <c r="J1017" t="s">
        <v>1276</v>
      </c>
      <c r="K1017" t="s">
        <v>1277</v>
      </c>
      <c r="L1017" t="s">
        <v>1298</v>
      </c>
      <c r="M1017" t="s">
        <v>1349</v>
      </c>
      <c r="N1017">
        <v>21</v>
      </c>
      <c r="O1017" t="str">
        <f t="shared" si="94"/>
        <v>46</v>
      </c>
      <c r="P1017">
        <v>46</v>
      </c>
      <c r="R1017" t="s">
        <v>1269</v>
      </c>
      <c r="S1017">
        <v>1.8</v>
      </c>
      <c r="T1017">
        <v>0.19489999999999999</v>
      </c>
      <c r="U1017">
        <f t="shared" si="95"/>
        <v>0.35099999999999998</v>
      </c>
      <c r="V1017" t="str">
        <f t="shared" si="92"/>
        <v>Elementary Psychologist</v>
      </c>
      <c r="W1017" t="str">
        <f t="shared" si="93"/>
        <v>Psychologist</v>
      </c>
    </row>
    <row r="1018" spans="1:23" x14ac:dyDescent="0.25">
      <c r="A1018">
        <v>17400</v>
      </c>
      <c r="B1018" t="s">
        <v>1309</v>
      </c>
      <c r="C1018">
        <v>1</v>
      </c>
      <c r="D1018" t="s">
        <v>1264</v>
      </c>
      <c r="E1018">
        <v>100146</v>
      </c>
      <c r="F1018">
        <v>17400</v>
      </c>
      <c r="G1018" t="str">
        <f t="shared" si="91"/>
        <v>17400</v>
      </c>
      <c r="H1018" t="s">
        <v>395</v>
      </c>
      <c r="I1018" t="s">
        <v>1265</v>
      </c>
      <c r="J1018" t="s">
        <v>1271</v>
      </c>
      <c r="K1018" t="s">
        <v>1272</v>
      </c>
      <c r="L1018" t="s">
        <v>1309</v>
      </c>
      <c r="M1018" t="s">
        <v>1310</v>
      </c>
      <c r="N1018">
        <v>21</v>
      </c>
      <c r="O1018" t="str">
        <f t="shared" si="94"/>
        <v>46</v>
      </c>
      <c r="P1018">
        <v>46</v>
      </c>
      <c r="R1018" t="s">
        <v>1269</v>
      </c>
      <c r="S1018">
        <v>1</v>
      </c>
      <c r="T1018">
        <v>0.19489999999999999</v>
      </c>
      <c r="U1018">
        <f t="shared" si="95"/>
        <v>0.19500000000000001</v>
      </c>
      <c r="V1018" t="str">
        <f t="shared" si="92"/>
        <v>High Psychologist</v>
      </c>
      <c r="W1018" t="str">
        <f t="shared" si="93"/>
        <v>Psychologist</v>
      </c>
    </row>
    <row r="1019" spans="1:23" x14ac:dyDescent="0.25">
      <c r="A1019">
        <v>17400</v>
      </c>
      <c r="B1019" t="s">
        <v>1345</v>
      </c>
      <c r="C1019">
        <v>1</v>
      </c>
      <c r="D1019" t="s">
        <v>1264</v>
      </c>
      <c r="E1019">
        <v>100146</v>
      </c>
      <c r="F1019">
        <v>17400</v>
      </c>
      <c r="G1019" t="str">
        <f t="shared" si="91"/>
        <v>17400</v>
      </c>
      <c r="H1019" t="s">
        <v>395</v>
      </c>
      <c r="I1019" t="s">
        <v>1265</v>
      </c>
      <c r="J1019" t="s">
        <v>1266</v>
      </c>
      <c r="K1019" t="s">
        <v>1267</v>
      </c>
      <c r="L1019" t="s">
        <v>1345</v>
      </c>
      <c r="M1019" t="s">
        <v>1346</v>
      </c>
      <c r="N1019">
        <v>21</v>
      </c>
      <c r="O1019" t="str">
        <f t="shared" si="94"/>
        <v>46</v>
      </c>
      <c r="P1019">
        <v>46</v>
      </c>
      <c r="R1019" t="s">
        <v>1269</v>
      </c>
      <c r="S1019">
        <v>1</v>
      </c>
      <c r="T1019">
        <v>0.19489999999999999</v>
      </c>
      <c r="U1019">
        <f t="shared" si="95"/>
        <v>0.19500000000000001</v>
      </c>
      <c r="V1019" t="str">
        <f t="shared" si="92"/>
        <v>Middle Psychologist</v>
      </c>
      <c r="W1019" t="str">
        <f t="shared" si="93"/>
        <v>Psychologist</v>
      </c>
    </row>
    <row r="1020" spans="1:23" x14ac:dyDescent="0.25">
      <c r="A1020">
        <v>17400</v>
      </c>
      <c r="B1020" t="s">
        <v>1341</v>
      </c>
      <c r="C1020">
        <v>1.5</v>
      </c>
      <c r="D1020" t="s">
        <v>1264</v>
      </c>
      <c r="E1020">
        <v>100146</v>
      </c>
      <c r="F1020">
        <v>17400</v>
      </c>
      <c r="G1020" t="str">
        <f t="shared" si="91"/>
        <v>17400</v>
      </c>
      <c r="H1020" t="s">
        <v>395</v>
      </c>
      <c r="I1020" t="s">
        <v>1265</v>
      </c>
      <c r="J1020" t="s">
        <v>1271</v>
      </c>
      <c r="K1020" t="s">
        <v>1272</v>
      </c>
      <c r="L1020" t="s">
        <v>1341</v>
      </c>
      <c r="M1020" t="s">
        <v>1342</v>
      </c>
      <c r="N1020">
        <v>1</v>
      </c>
      <c r="O1020" t="str">
        <f t="shared" si="94"/>
        <v>47</v>
      </c>
      <c r="P1020">
        <v>47</v>
      </c>
      <c r="R1020" t="s">
        <v>1269</v>
      </c>
      <c r="S1020">
        <v>1.5</v>
      </c>
      <c r="T1020">
        <v>0.19489999999999999</v>
      </c>
      <c r="U1020">
        <f t="shared" si="95"/>
        <v>0</v>
      </c>
      <c r="V1020" t="str">
        <f t="shared" si="92"/>
        <v>High Nurse</v>
      </c>
      <c r="W1020" t="str">
        <f t="shared" si="93"/>
        <v>Nurse</v>
      </c>
    </row>
    <row r="1021" spans="1:23" x14ac:dyDescent="0.25">
      <c r="A1021">
        <v>17400</v>
      </c>
      <c r="B1021" t="s">
        <v>1338</v>
      </c>
      <c r="C1021">
        <v>0.5</v>
      </c>
      <c r="D1021" t="s">
        <v>1264</v>
      </c>
      <c r="E1021">
        <v>100146</v>
      </c>
      <c r="F1021">
        <v>17400</v>
      </c>
      <c r="G1021" t="str">
        <f t="shared" si="91"/>
        <v>17400</v>
      </c>
      <c r="H1021" t="s">
        <v>395</v>
      </c>
      <c r="I1021" t="s">
        <v>1265</v>
      </c>
      <c r="J1021" t="s">
        <v>1266</v>
      </c>
      <c r="K1021" t="s">
        <v>1267</v>
      </c>
      <c r="L1021" t="s">
        <v>1338</v>
      </c>
      <c r="M1021" t="s">
        <v>1339</v>
      </c>
      <c r="N1021">
        <v>1</v>
      </c>
      <c r="O1021" t="str">
        <f t="shared" si="94"/>
        <v>47</v>
      </c>
      <c r="P1021">
        <v>47</v>
      </c>
      <c r="R1021" t="s">
        <v>1269</v>
      </c>
      <c r="S1021">
        <v>0.5</v>
      </c>
      <c r="T1021">
        <v>0.19489999999999999</v>
      </c>
      <c r="U1021">
        <f t="shared" si="95"/>
        <v>0</v>
      </c>
      <c r="V1021" t="str">
        <f t="shared" si="92"/>
        <v>Middle Nurse</v>
      </c>
      <c r="W1021" t="str">
        <f t="shared" si="93"/>
        <v>Nurse</v>
      </c>
    </row>
    <row r="1022" spans="1:23" x14ac:dyDescent="0.25">
      <c r="A1022">
        <v>17400</v>
      </c>
      <c r="B1022" t="s">
        <v>1302</v>
      </c>
      <c r="C1022">
        <v>1.4</v>
      </c>
      <c r="D1022" t="s">
        <v>1264</v>
      </c>
      <c r="E1022">
        <v>100146</v>
      </c>
      <c r="F1022">
        <v>17400</v>
      </c>
      <c r="G1022" t="str">
        <f t="shared" si="91"/>
        <v>17400</v>
      </c>
      <c r="H1022" t="s">
        <v>395</v>
      </c>
      <c r="I1022" t="s">
        <v>1265</v>
      </c>
      <c r="J1022" t="s">
        <v>1276</v>
      </c>
      <c r="K1022" t="s">
        <v>1277</v>
      </c>
      <c r="L1022" t="s">
        <v>1302</v>
      </c>
      <c r="M1022" t="s">
        <v>1336</v>
      </c>
      <c r="N1022">
        <v>21</v>
      </c>
      <c r="O1022" t="str">
        <f t="shared" si="94"/>
        <v>48</v>
      </c>
      <c r="P1022">
        <v>48</v>
      </c>
      <c r="R1022" t="s">
        <v>1269</v>
      </c>
      <c r="S1022">
        <v>1.4</v>
      </c>
      <c r="T1022">
        <v>0.19489999999999999</v>
      </c>
      <c r="U1022">
        <f t="shared" si="95"/>
        <v>0.27300000000000002</v>
      </c>
      <c r="V1022" t="str">
        <f t="shared" si="92"/>
        <v>Elementary Physical Therapist</v>
      </c>
      <c r="W1022" t="str">
        <f t="shared" si="93"/>
        <v>Physical Therapist</v>
      </c>
    </row>
    <row r="1023" spans="1:23" x14ac:dyDescent="0.25">
      <c r="A1023">
        <v>17400</v>
      </c>
      <c r="B1023" t="s">
        <v>1340</v>
      </c>
      <c r="C1023">
        <v>1.3240000000000001</v>
      </c>
      <c r="D1023" t="s">
        <v>1264</v>
      </c>
      <c r="E1023">
        <v>100146</v>
      </c>
      <c r="F1023">
        <v>17400</v>
      </c>
      <c r="G1023" t="str">
        <f t="shared" si="91"/>
        <v>17400</v>
      </c>
      <c r="H1023" t="s">
        <v>395</v>
      </c>
      <c r="I1023" t="s">
        <v>1265</v>
      </c>
      <c r="J1023" t="s">
        <v>1276</v>
      </c>
      <c r="K1023" t="s">
        <v>1277</v>
      </c>
      <c r="L1023" t="s">
        <v>1340</v>
      </c>
      <c r="M1023" t="s">
        <v>1395</v>
      </c>
      <c r="N1023">
        <v>21</v>
      </c>
      <c r="O1023" t="str">
        <f t="shared" si="94"/>
        <v>49</v>
      </c>
      <c r="P1023">
        <v>49</v>
      </c>
      <c r="R1023" t="s">
        <v>1269</v>
      </c>
      <c r="S1023">
        <v>1.3240000000000001</v>
      </c>
      <c r="T1023">
        <v>0.19489999999999999</v>
      </c>
      <c r="U1023">
        <f t="shared" si="95"/>
        <v>0.25800000000000001</v>
      </c>
      <c r="V1023" t="str">
        <f t="shared" si="92"/>
        <v>Elementary Behavior Analyst</v>
      </c>
      <c r="W1023" t="str">
        <f t="shared" si="93"/>
        <v>Behavior Analyst</v>
      </c>
    </row>
    <row r="1024" spans="1:23" x14ac:dyDescent="0.25">
      <c r="A1024">
        <v>17400</v>
      </c>
      <c r="B1024" t="s">
        <v>1392</v>
      </c>
      <c r="C1024">
        <v>1.476</v>
      </c>
      <c r="D1024" t="s">
        <v>1264</v>
      </c>
      <c r="E1024">
        <v>100146</v>
      </c>
      <c r="F1024">
        <v>17400</v>
      </c>
      <c r="G1024" t="str">
        <f t="shared" si="91"/>
        <v>17400</v>
      </c>
      <c r="H1024" t="s">
        <v>395</v>
      </c>
      <c r="I1024" t="s">
        <v>1265</v>
      </c>
      <c r="J1024" t="s">
        <v>1271</v>
      </c>
      <c r="K1024" t="s">
        <v>1272</v>
      </c>
      <c r="L1024" t="s">
        <v>1392</v>
      </c>
      <c r="M1024" t="s">
        <v>1393</v>
      </c>
      <c r="N1024">
        <v>21</v>
      </c>
      <c r="O1024" t="str">
        <f t="shared" si="94"/>
        <v>49</v>
      </c>
      <c r="P1024">
        <v>49</v>
      </c>
      <c r="R1024" t="s">
        <v>1269</v>
      </c>
      <c r="S1024">
        <v>1.476</v>
      </c>
      <c r="T1024">
        <v>0.19489999999999999</v>
      </c>
      <c r="U1024">
        <f t="shared" si="95"/>
        <v>0.28799999999999998</v>
      </c>
      <c r="V1024" t="str">
        <f t="shared" si="92"/>
        <v>High Behavior Analyst</v>
      </c>
      <c r="W1024" t="str">
        <f t="shared" si="93"/>
        <v>Behavior Analyst</v>
      </c>
    </row>
    <row r="1025" spans="1:23" x14ac:dyDescent="0.25">
      <c r="A1025">
        <v>17401</v>
      </c>
      <c r="B1025" t="s">
        <v>1286</v>
      </c>
      <c r="C1025">
        <v>1</v>
      </c>
      <c r="D1025" t="s">
        <v>1264</v>
      </c>
      <c r="E1025">
        <v>100105</v>
      </c>
      <c r="F1025">
        <v>17401</v>
      </c>
      <c r="G1025" t="str">
        <f t="shared" si="91"/>
        <v>17401</v>
      </c>
      <c r="H1025" t="s">
        <v>396</v>
      </c>
      <c r="I1025" t="s">
        <v>1265</v>
      </c>
      <c r="J1025" t="s">
        <v>1271</v>
      </c>
      <c r="K1025" t="s">
        <v>1272</v>
      </c>
      <c r="L1025" t="s">
        <v>1286</v>
      </c>
      <c r="M1025" t="s">
        <v>1287</v>
      </c>
      <c r="N1025">
        <v>1</v>
      </c>
      <c r="O1025" t="str">
        <f t="shared" si="94"/>
        <v>24</v>
      </c>
      <c r="P1025">
        <v>96</v>
      </c>
      <c r="Q1025">
        <v>24</v>
      </c>
      <c r="R1025" t="s">
        <v>1269</v>
      </c>
      <c r="S1025">
        <v>1</v>
      </c>
      <c r="T1025">
        <v>0.2424</v>
      </c>
      <c r="U1025">
        <f t="shared" si="95"/>
        <v>0</v>
      </c>
      <c r="V1025" t="str">
        <f t="shared" si="92"/>
        <v>High Family Engagement Coordinator</v>
      </c>
      <c r="W1025" t="str">
        <f t="shared" si="93"/>
        <v>Family Engagement Coordinator</v>
      </c>
    </row>
    <row r="1026" spans="1:23" x14ac:dyDescent="0.25">
      <c r="A1026">
        <v>17401</v>
      </c>
      <c r="B1026" t="s">
        <v>1299</v>
      </c>
      <c r="C1026">
        <v>32.567999999999998</v>
      </c>
      <c r="D1026" t="s">
        <v>1264</v>
      </c>
      <c r="E1026">
        <v>100105</v>
      </c>
      <c r="F1026">
        <v>17401</v>
      </c>
      <c r="G1026" t="str">
        <f t="shared" ref="G1026:G1089" si="96">TEXT(F1026,"00000")</f>
        <v>17401</v>
      </c>
      <c r="H1026" t="s">
        <v>396</v>
      </c>
      <c r="I1026" t="s">
        <v>1265</v>
      </c>
      <c r="J1026" t="s">
        <v>1271</v>
      </c>
      <c r="K1026" t="s">
        <v>1272</v>
      </c>
      <c r="L1026" t="s">
        <v>1299</v>
      </c>
      <c r="M1026" t="s">
        <v>1300</v>
      </c>
      <c r="N1026">
        <v>1</v>
      </c>
      <c r="O1026" t="str">
        <f t="shared" si="94"/>
        <v>25</v>
      </c>
      <c r="Q1026">
        <v>25</v>
      </c>
      <c r="R1026" t="s">
        <v>1269</v>
      </c>
      <c r="S1026">
        <v>32.567999999999998</v>
      </c>
      <c r="T1026">
        <v>0.2424</v>
      </c>
      <c r="U1026">
        <f t="shared" si="95"/>
        <v>0</v>
      </c>
      <c r="V1026" t="str">
        <f t="shared" ref="V1026:V1089" si="97">_xlfn.XLOOKUP(L1026,$BV:$BV,$BT:$BT,,0)</f>
        <v>High Pupil Management</v>
      </c>
      <c r="W1026" t="str">
        <f t="shared" ref="W1026:W1089" si="98">_xlfn.TEXTAFTER(V1026," ")</f>
        <v>Pupil Management</v>
      </c>
    </row>
    <row r="1027" spans="1:23" x14ac:dyDescent="0.25">
      <c r="A1027">
        <v>17401</v>
      </c>
      <c r="B1027" t="s">
        <v>1324</v>
      </c>
      <c r="C1027">
        <v>12.262</v>
      </c>
      <c r="D1027" t="s">
        <v>1264</v>
      </c>
      <c r="E1027">
        <v>100105</v>
      </c>
      <c r="F1027">
        <v>17401</v>
      </c>
      <c r="G1027" t="str">
        <f t="shared" si="96"/>
        <v>17401</v>
      </c>
      <c r="H1027" t="s">
        <v>396</v>
      </c>
      <c r="I1027" t="s">
        <v>1265</v>
      </c>
      <c r="J1027" t="s">
        <v>1271</v>
      </c>
      <c r="K1027" t="s">
        <v>1272</v>
      </c>
      <c r="L1027" t="s">
        <v>1324</v>
      </c>
      <c r="M1027" t="s">
        <v>1325</v>
      </c>
      <c r="N1027">
        <v>21</v>
      </c>
      <c r="O1027" t="str">
        <f t="shared" ref="O1027:O1090" si="99">MID(L1027,3,2)</f>
        <v>26</v>
      </c>
      <c r="Q1027">
        <v>26</v>
      </c>
      <c r="R1027" t="s">
        <v>1269</v>
      </c>
      <c r="S1027">
        <v>12.262</v>
      </c>
      <c r="T1027">
        <v>0.2424</v>
      </c>
      <c r="U1027">
        <f t="shared" ref="U1027:U1090" si="100">IF(N1027=21,ROUND(T1027*S1027,3),0)</f>
        <v>2.972</v>
      </c>
      <c r="V1027" t="str">
        <f t="shared" si="97"/>
        <v>High Health/
Related Services</v>
      </c>
      <c r="W1027" t="str">
        <f t="shared" si="98"/>
        <v>Health/
Related Services</v>
      </c>
    </row>
    <row r="1028" spans="1:23" x14ac:dyDescent="0.25">
      <c r="A1028">
        <v>17401</v>
      </c>
      <c r="B1028" t="s">
        <v>1275</v>
      </c>
      <c r="C1028">
        <v>26.212</v>
      </c>
      <c r="D1028" t="s">
        <v>1264</v>
      </c>
      <c r="E1028">
        <v>100105</v>
      </c>
      <c r="F1028">
        <v>17401</v>
      </c>
      <c r="G1028" t="str">
        <f t="shared" si="96"/>
        <v>17401</v>
      </c>
      <c r="H1028" t="s">
        <v>396</v>
      </c>
      <c r="I1028" t="s">
        <v>1265</v>
      </c>
      <c r="J1028" t="s">
        <v>1276</v>
      </c>
      <c r="K1028" t="s">
        <v>1277</v>
      </c>
      <c r="L1028" t="s">
        <v>1275</v>
      </c>
      <c r="M1028" t="s">
        <v>1278</v>
      </c>
      <c r="N1028">
        <v>1</v>
      </c>
      <c r="O1028" t="str">
        <f t="shared" si="99"/>
        <v>42</v>
      </c>
      <c r="P1028">
        <v>42</v>
      </c>
      <c r="R1028" t="s">
        <v>1269</v>
      </c>
      <c r="S1028">
        <v>26.212</v>
      </c>
      <c r="T1028">
        <v>0.2424</v>
      </c>
      <c r="U1028">
        <f t="shared" si="100"/>
        <v>0</v>
      </c>
      <c r="V1028" t="str">
        <f t="shared" si="97"/>
        <v>Elementary Counselor</v>
      </c>
      <c r="W1028" t="str">
        <f t="shared" si="98"/>
        <v>Counselor</v>
      </c>
    </row>
    <row r="1029" spans="1:23" x14ac:dyDescent="0.25">
      <c r="A1029">
        <v>17401</v>
      </c>
      <c r="B1029" t="s">
        <v>1270</v>
      </c>
      <c r="C1029">
        <v>23.736000000000001</v>
      </c>
      <c r="D1029" t="s">
        <v>1264</v>
      </c>
      <c r="E1029">
        <v>100105</v>
      </c>
      <c r="F1029">
        <v>17401</v>
      </c>
      <c r="G1029" t="str">
        <f t="shared" si="96"/>
        <v>17401</v>
      </c>
      <c r="H1029" t="s">
        <v>396</v>
      </c>
      <c r="I1029" t="s">
        <v>1265</v>
      </c>
      <c r="J1029" t="s">
        <v>1271</v>
      </c>
      <c r="K1029" t="s">
        <v>1272</v>
      </c>
      <c r="L1029" t="s">
        <v>1270</v>
      </c>
      <c r="M1029" t="s">
        <v>1273</v>
      </c>
      <c r="N1029">
        <v>1</v>
      </c>
      <c r="O1029" t="str">
        <f t="shared" si="99"/>
        <v>42</v>
      </c>
      <c r="P1029">
        <v>42</v>
      </c>
      <c r="R1029" t="s">
        <v>1269</v>
      </c>
      <c r="S1029">
        <v>23.736000000000001</v>
      </c>
      <c r="T1029">
        <v>0.2424</v>
      </c>
      <c r="U1029">
        <f t="shared" si="100"/>
        <v>0</v>
      </c>
      <c r="V1029" t="str">
        <f t="shared" si="97"/>
        <v>High Counselor</v>
      </c>
      <c r="W1029" t="str">
        <f t="shared" si="98"/>
        <v>Counselor</v>
      </c>
    </row>
    <row r="1030" spans="1:23" x14ac:dyDescent="0.25">
      <c r="A1030">
        <v>17401</v>
      </c>
      <c r="B1030" t="s">
        <v>1263</v>
      </c>
      <c r="C1030">
        <v>12.813000000000001</v>
      </c>
      <c r="D1030" t="s">
        <v>1264</v>
      </c>
      <c r="E1030">
        <v>100105</v>
      </c>
      <c r="F1030">
        <v>17401</v>
      </c>
      <c r="G1030" t="str">
        <f t="shared" si="96"/>
        <v>17401</v>
      </c>
      <c r="H1030" t="s">
        <v>396</v>
      </c>
      <c r="I1030" t="s">
        <v>1265</v>
      </c>
      <c r="J1030" t="s">
        <v>1266</v>
      </c>
      <c r="K1030" t="s">
        <v>1267</v>
      </c>
      <c r="L1030" t="s">
        <v>1263</v>
      </c>
      <c r="M1030" t="s">
        <v>1268</v>
      </c>
      <c r="N1030">
        <v>1</v>
      </c>
      <c r="O1030" t="str">
        <f t="shared" si="99"/>
        <v>42</v>
      </c>
      <c r="P1030">
        <v>42</v>
      </c>
      <c r="R1030" t="s">
        <v>1269</v>
      </c>
      <c r="S1030">
        <v>12.813000000000001</v>
      </c>
      <c r="T1030">
        <v>0.2424</v>
      </c>
      <c r="U1030">
        <f t="shared" si="100"/>
        <v>0</v>
      </c>
      <c r="V1030" t="str">
        <f t="shared" si="97"/>
        <v>Middle Counselor</v>
      </c>
      <c r="W1030" t="str">
        <f t="shared" si="98"/>
        <v>Counselor</v>
      </c>
    </row>
    <row r="1031" spans="1:23" x14ac:dyDescent="0.25">
      <c r="A1031">
        <v>17401</v>
      </c>
      <c r="B1031" t="s">
        <v>1289</v>
      </c>
      <c r="C1031">
        <v>16.210999999999999</v>
      </c>
      <c r="D1031" t="s">
        <v>1264</v>
      </c>
      <c r="E1031">
        <v>100105</v>
      </c>
      <c r="F1031">
        <v>17401</v>
      </c>
      <c r="G1031" t="str">
        <f t="shared" si="96"/>
        <v>17401</v>
      </c>
      <c r="H1031" t="s">
        <v>396</v>
      </c>
      <c r="I1031" t="s">
        <v>1265</v>
      </c>
      <c r="J1031" t="s">
        <v>1276</v>
      </c>
      <c r="K1031" t="s">
        <v>1277</v>
      </c>
      <c r="L1031" t="s">
        <v>1289</v>
      </c>
      <c r="M1031" t="s">
        <v>1307</v>
      </c>
      <c r="N1031">
        <v>21</v>
      </c>
      <c r="O1031" t="str">
        <f t="shared" si="99"/>
        <v>43</v>
      </c>
      <c r="P1031">
        <v>43</v>
      </c>
      <c r="R1031" t="s">
        <v>1269</v>
      </c>
      <c r="S1031">
        <v>16.210999999999999</v>
      </c>
      <c r="T1031">
        <v>0.2424</v>
      </c>
      <c r="U1031">
        <f t="shared" si="100"/>
        <v>3.93</v>
      </c>
      <c r="V1031" t="str">
        <f t="shared" si="97"/>
        <v>Elementary Occupational Therapist</v>
      </c>
      <c r="W1031" t="str">
        <f t="shared" si="98"/>
        <v>Occupational Therapist</v>
      </c>
    </row>
    <row r="1032" spans="1:23" x14ac:dyDescent="0.25">
      <c r="A1032">
        <v>17401</v>
      </c>
      <c r="B1032" t="s">
        <v>1387</v>
      </c>
      <c r="C1032">
        <v>4.7</v>
      </c>
      <c r="D1032" t="s">
        <v>1264</v>
      </c>
      <c r="E1032">
        <v>100105</v>
      </c>
      <c r="F1032">
        <v>17401</v>
      </c>
      <c r="G1032" t="str">
        <f t="shared" si="96"/>
        <v>17401</v>
      </c>
      <c r="H1032" t="s">
        <v>396</v>
      </c>
      <c r="I1032" t="s">
        <v>1265</v>
      </c>
      <c r="J1032" t="s">
        <v>1271</v>
      </c>
      <c r="K1032" t="s">
        <v>1272</v>
      </c>
      <c r="L1032" t="s">
        <v>1387</v>
      </c>
      <c r="M1032" t="s">
        <v>1406</v>
      </c>
      <c r="N1032">
        <v>21</v>
      </c>
      <c r="O1032" t="str">
        <f t="shared" si="99"/>
        <v>43</v>
      </c>
      <c r="P1032">
        <v>43</v>
      </c>
      <c r="R1032" t="s">
        <v>1269</v>
      </c>
      <c r="S1032">
        <v>4.7</v>
      </c>
      <c r="T1032">
        <v>0.2424</v>
      </c>
      <c r="U1032">
        <f t="shared" si="100"/>
        <v>1.139</v>
      </c>
      <c r="V1032" t="str">
        <f t="shared" si="97"/>
        <v>High Occupational Therapist</v>
      </c>
      <c r="W1032" t="str">
        <f t="shared" si="98"/>
        <v>Occupational Therapist</v>
      </c>
    </row>
    <row r="1033" spans="1:23" x14ac:dyDescent="0.25">
      <c r="A1033">
        <v>17401</v>
      </c>
      <c r="B1033" t="s">
        <v>1303</v>
      </c>
      <c r="C1033">
        <v>1.55</v>
      </c>
      <c r="D1033" t="s">
        <v>1264</v>
      </c>
      <c r="E1033">
        <v>100105</v>
      </c>
      <c r="F1033">
        <v>17401</v>
      </c>
      <c r="G1033" t="str">
        <f t="shared" si="96"/>
        <v>17401</v>
      </c>
      <c r="H1033" t="s">
        <v>396</v>
      </c>
      <c r="I1033" t="s">
        <v>1265</v>
      </c>
      <c r="J1033" t="s">
        <v>1266</v>
      </c>
      <c r="K1033" t="s">
        <v>1267</v>
      </c>
      <c r="L1033" t="s">
        <v>1303</v>
      </c>
      <c r="M1033" t="s">
        <v>1304</v>
      </c>
      <c r="N1033">
        <v>21</v>
      </c>
      <c r="O1033" t="str">
        <f t="shared" si="99"/>
        <v>43</v>
      </c>
      <c r="P1033">
        <v>43</v>
      </c>
      <c r="R1033" t="s">
        <v>1269</v>
      </c>
      <c r="S1033">
        <v>1.55</v>
      </c>
      <c r="T1033">
        <v>0.2424</v>
      </c>
      <c r="U1033">
        <f t="shared" si="100"/>
        <v>0.376</v>
      </c>
      <c r="V1033" t="str">
        <f t="shared" si="97"/>
        <v>Middle Occupational Therapist</v>
      </c>
      <c r="W1033" t="str">
        <f t="shared" si="98"/>
        <v>Occupational Therapist</v>
      </c>
    </row>
    <row r="1034" spans="1:23" x14ac:dyDescent="0.25">
      <c r="A1034">
        <v>17401</v>
      </c>
      <c r="B1034" t="s">
        <v>1329</v>
      </c>
      <c r="C1034">
        <v>1</v>
      </c>
      <c r="D1034" t="s">
        <v>1264</v>
      </c>
      <c r="E1034">
        <v>100105</v>
      </c>
      <c r="F1034">
        <v>17401</v>
      </c>
      <c r="G1034" t="str">
        <f t="shared" si="96"/>
        <v>17401</v>
      </c>
      <c r="H1034" t="s">
        <v>396</v>
      </c>
      <c r="I1034" t="s">
        <v>1265</v>
      </c>
      <c r="J1034" t="s">
        <v>1276</v>
      </c>
      <c r="K1034" t="s">
        <v>1277</v>
      </c>
      <c r="L1034" t="s">
        <v>1329</v>
      </c>
      <c r="M1034" t="s">
        <v>1418</v>
      </c>
      <c r="N1034">
        <v>21</v>
      </c>
      <c r="O1034" t="str">
        <f t="shared" si="99"/>
        <v>44</v>
      </c>
      <c r="P1034">
        <v>44</v>
      </c>
      <c r="R1034" t="s">
        <v>1269</v>
      </c>
      <c r="S1034">
        <v>1</v>
      </c>
      <c r="T1034">
        <v>0.2424</v>
      </c>
      <c r="U1034">
        <f t="shared" si="100"/>
        <v>0.24199999999999999</v>
      </c>
      <c r="V1034" t="str">
        <f t="shared" si="97"/>
        <v>Elementary Social Worker</v>
      </c>
      <c r="W1034" t="str">
        <f t="shared" si="98"/>
        <v>Social Worker</v>
      </c>
    </row>
    <row r="1035" spans="1:23" x14ac:dyDescent="0.25">
      <c r="A1035">
        <v>17401</v>
      </c>
      <c r="B1035" t="s">
        <v>1331</v>
      </c>
      <c r="C1035">
        <v>2.8</v>
      </c>
      <c r="D1035" t="s">
        <v>1264</v>
      </c>
      <c r="E1035">
        <v>100105</v>
      </c>
      <c r="F1035">
        <v>17401</v>
      </c>
      <c r="G1035" t="str">
        <f t="shared" si="96"/>
        <v>17401</v>
      </c>
      <c r="H1035" t="s">
        <v>396</v>
      </c>
      <c r="I1035" t="s">
        <v>1265</v>
      </c>
      <c r="J1035" t="s">
        <v>1276</v>
      </c>
      <c r="K1035" t="s">
        <v>1277</v>
      </c>
      <c r="L1035" t="s">
        <v>1331</v>
      </c>
      <c r="M1035" t="s">
        <v>1405</v>
      </c>
      <c r="N1035">
        <v>1</v>
      </c>
      <c r="O1035" t="str">
        <f t="shared" si="99"/>
        <v>44</v>
      </c>
      <c r="P1035">
        <v>44</v>
      </c>
      <c r="R1035" t="s">
        <v>1269</v>
      </c>
      <c r="S1035">
        <v>2.8</v>
      </c>
      <c r="T1035">
        <v>0.2424</v>
      </c>
      <c r="U1035">
        <f t="shared" si="100"/>
        <v>0</v>
      </c>
      <c r="V1035" t="str">
        <f t="shared" si="97"/>
        <v>Elementary Social Worker</v>
      </c>
      <c r="W1035" t="str">
        <f t="shared" si="98"/>
        <v>Social Worker</v>
      </c>
    </row>
    <row r="1036" spans="1:23" x14ac:dyDescent="0.25">
      <c r="A1036">
        <v>17401</v>
      </c>
      <c r="B1036" t="s">
        <v>1390</v>
      </c>
      <c r="C1036">
        <v>0.5</v>
      </c>
      <c r="D1036" t="s">
        <v>1264</v>
      </c>
      <c r="E1036">
        <v>100105</v>
      </c>
      <c r="F1036">
        <v>17401</v>
      </c>
      <c r="G1036" t="str">
        <f t="shared" si="96"/>
        <v>17401</v>
      </c>
      <c r="H1036" t="s">
        <v>396</v>
      </c>
      <c r="I1036" t="s">
        <v>1265</v>
      </c>
      <c r="J1036" t="s">
        <v>1271</v>
      </c>
      <c r="K1036" t="s">
        <v>1272</v>
      </c>
      <c r="L1036" t="s">
        <v>1390</v>
      </c>
      <c r="M1036" t="s">
        <v>1417</v>
      </c>
      <c r="N1036">
        <v>21</v>
      </c>
      <c r="O1036" t="str">
        <f t="shared" si="99"/>
        <v>44</v>
      </c>
      <c r="P1036">
        <v>44</v>
      </c>
      <c r="R1036" t="s">
        <v>1269</v>
      </c>
      <c r="S1036">
        <v>0.5</v>
      </c>
      <c r="T1036">
        <v>0.2424</v>
      </c>
      <c r="U1036">
        <f t="shared" si="100"/>
        <v>0.121</v>
      </c>
      <c r="V1036" t="str">
        <f t="shared" si="97"/>
        <v>High Social Worker</v>
      </c>
      <c r="W1036" t="str">
        <f t="shared" si="98"/>
        <v>Social Worker</v>
      </c>
    </row>
    <row r="1037" spans="1:23" x14ac:dyDescent="0.25">
      <c r="A1037">
        <v>17401</v>
      </c>
      <c r="B1037" t="s">
        <v>1359</v>
      </c>
      <c r="C1037">
        <v>3</v>
      </c>
      <c r="D1037" t="s">
        <v>1264</v>
      </c>
      <c r="E1037">
        <v>100105</v>
      </c>
      <c r="F1037">
        <v>17401</v>
      </c>
      <c r="G1037" t="str">
        <f t="shared" si="96"/>
        <v>17401</v>
      </c>
      <c r="H1037" t="s">
        <v>396</v>
      </c>
      <c r="I1037" t="s">
        <v>1265</v>
      </c>
      <c r="J1037" t="s">
        <v>1271</v>
      </c>
      <c r="K1037" t="s">
        <v>1272</v>
      </c>
      <c r="L1037" t="s">
        <v>1359</v>
      </c>
      <c r="M1037" t="s">
        <v>1360</v>
      </c>
      <c r="N1037">
        <v>1</v>
      </c>
      <c r="O1037" t="str">
        <f t="shared" si="99"/>
        <v>44</v>
      </c>
      <c r="P1037">
        <v>44</v>
      </c>
      <c r="R1037" t="s">
        <v>1269</v>
      </c>
      <c r="S1037">
        <v>3</v>
      </c>
      <c r="T1037">
        <v>0.2424</v>
      </c>
      <c r="U1037">
        <f t="shared" si="100"/>
        <v>0</v>
      </c>
      <c r="V1037" t="str">
        <f t="shared" si="97"/>
        <v>High Social Worker</v>
      </c>
      <c r="W1037" t="str">
        <f t="shared" si="98"/>
        <v>Social Worker</v>
      </c>
    </row>
    <row r="1038" spans="1:23" x14ac:dyDescent="0.25">
      <c r="A1038">
        <v>17401</v>
      </c>
      <c r="B1038" t="s">
        <v>1369</v>
      </c>
      <c r="C1038">
        <v>0.5</v>
      </c>
      <c r="D1038" t="s">
        <v>1264</v>
      </c>
      <c r="E1038">
        <v>100105</v>
      </c>
      <c r="F1038">
        <v>17401</v>
      </c>
      <c r="G1038" t="str">
        <f t="shared" si="96"/>
        <v>17401</v>
      </c>
      <c r="H1038" t="s">
        <v>396</v>
      </c>
      <c r="I1038" t="s">
        <v>1265</v>
      </c>
      <c r="J1038" t="s">
        <v>1266</v>
      </c>
      <c r="K1038" t="s">
        <v>1267</v>
      </c>
      <c r="L1038" t="s">
        <v>1369</v>
      </c>
      <c r="M1038" t="s">
        <v>1416</v>
      </c>
      <c r="N1038">
        <v>21</v>
      </c>
      <c r="O1038" t="str">
        <f t="shared" si="99"/>
        <v>44</v>
      </c>
      <c r="P1038">
        <v>44</v>
      </c>
      <c r="R1038" t="s">
        <v>1269</v>
      </c>
      <c r="S1038">
        <v>0.5</v>
      </c>
      <c r="T1038">
        <v>0.2424</v>
      </c>
      <c r="U1038">
        <f t="shared" si="100"/>
        <v>0.121</v>
      </c>
      <c r="V1038" t="str">
        <f t="shared" si="97"/>
        <v>Middle Social Worker</v>
      </c>
      <c r="W1038" t="str">
        <f t="shared" si="98"/>
        <v>Social Worker</v>
      </c>
    </row>
    <row r="1039" spans="1:23" x14ac:dyDescent="0.25">
      <c r="A1039">
        <v>17401</v>
      </c>
      <c r="B1039" t="s">
        <v>1356</v>
      </c>
      <c r="C1039">
        <v>1</v>
      </c>
      <c r="D1039" t="s">
        <v>1264</v>
      </c>
      <c r="E1039">
        <v>100105</v>
      </c>
      <c r="F1039">
        <v>17401</v>
      </c>
      <c r="G1039" t="str">
        <f t="shared" si="96"/>
        <v>17401</v>
      </c>
      <c r="H1039" t="s">
        <v>396</v>
      </c>
      <c r="I1039" t="s">
        <v>1265</v>
      </c>
      <c r="J1039" t="s">
        <v>1266</v>
      </c>
      <c r="K1039" t="s">
        <v>1267</v>
      </c>
      <c r="L1039" t="s">
        <v>1356</v>
      </c>
      <c r="M1039" t="s">
        <v>1357</v>
      </c>
      <c r="N1039">
        <v>1</v>
      </c>
      <c r="O1039" t="str">
        <f t="shared" si="99"/>
        <v>44</v>
      </c>
      <c r="P1039">
        <v>44</v>
      </c>
      <c r="R1039" t="s">
        <v>1269</v>
      </c>
      <c r="S1039">
        <v>1</v>
      </c>
      <c r="T1039">
        <v>0.2424</v>
      </c>
      <c r="U1039">
        <f t="shared" si="100"/>
        <v>0</v>
      </c>
      <c r="V1039" t="str">
        <f t="shared" si="97"/>
        <v>Middle Social Worker</v>
      </c>
      <c r="W1039" t="str">
        <f t="shared" si="98"/>
        <v>Social Worker</v>
      </c>
    </row>
    <row r="1040" spans="1:23" x14ac:dyDescent="0.25">
      <c r="A1040">
        <v>17401</v>
      </c>
      <c r="B1040" t="s">
        <v>1294</v>
      </c>
      <c r="C1040">
        <v>34.770000000000003</v>
      </c>
      <c r="D1040" t="s">
        <v>1264</v>
      </c>
      <c r="E1040">
        <v>100105</v>
      </c>
      <c r="F1040">
        <v>17401</v>
      </c>
      <c r="G1040" t="str">
        <f t="shared" si="96"/>
        <v>17401</v>
      </c>
      <c r="H1040" t="s">
        <v>396</v>
      </c>
      <c r="I1040" t="s">
        <v>1265</v>
      </c>
      <c r="J1040" t="s">
        <v>1276</v>
      </c>
      <c r="K1040" t="s">
        <v>1277</v>
      </c>
      <c r="L1040" t="s">
        <v>1294</v>
      </c>
      <c r="M1040" t="s">
        <v>1354</v>
      </c>
      <c r="N1040">
        <v>21</v>
      </c>
      <c r="O1040" t="str">
        <f t="shared" si="99"/>
        <v>45</v>
      </c>
      <c r="P1040">
        <v>45</v>
      </c>
      <c r="R1040" t="s">
        <v>1269</v>
      </c>
      <c r="S1040">
        <v>34.770000000000003</v>
      </c>
      <c r="T1040">
        <v>0.2424</v>
      </c>
      <c r="U1040">
        <f t="shared" si="100"/>
        <v>8.4280000000000008</v>
      </c>
      <c r="V1040" t="str">
        <f t="shared" si="97"/>
        <v>Elementary Speech, Language Pathway/
Audio</v>
      </c>
      <c r="W1040" t="str">
        <f t="shared" si="98"/>
        <v>Speech, Language Pathway/
Audio</v>
      </c>
    </row>
    <row r="1041" spans="1:23" x14ac:dyDescent="0.25">
      <c r="A1041">
        <v>17401</v>
      </c>
      <c r="B1041" t="s">
        <v>1326</v>
      </c>
      <c r="C1041">
        <v>5.4969999999999999</v>
      </c>
      <c r="D1041" t="s">
        <v>1264</v>
      </c>
      <c r="E1041">
        <v>100105</v>
      </c>
      <c r="F1041">
        <v>17401</v>
      </c>
      <c r="G1041" t="str">
        <f t="shared" si="96"/>
        <v>17401</v>
      </c>
      <c r="H1041" t="s">
        <v>396</v>
      </c>
      <c r="I1041" t="s">
        <v>1265</v>
      </c>
      <c r="J1041" t="s">
        <v>1271</v>
      </c>
      <c r="K1041" t="s">
        <v>1272</v>
      </c>
      <c r="L1041" t="s">
        <v>1326</v>
      </c>
      <c r="M1041" t="s">
        <v>1353</v>
      </c>
      <c r="N1041">
        <v>21</v>
      </c>
      <c r="O1041" t="str">
        <f t="shared" si="99"/>
        <v>45</v>
      </c>
      <c r="P1041">
        <v>45</v>
      </c>
      <c r="R1041" t="s">
        <v>1269</v>
      </c>
      <c r="S1041">
        <v>5.4969999999999999</v>
      </c>
      <c r="T1041">
        <v>0.2424</v>
      </c>
      <c r="U1041">
        <f t="shared" si="100"/>
        <v>1.3320000000000001</v>
      </c>
      <c r="V1041" t="str">
        <f t="shared" si="97"/>
        <v>High Speech, Language Pathway/
Audio</v>
      </c>
      <c r="W1041" t="str">
        <f t="shared" si="98"/>
        <v>Speech, Language Pathway/
Audio</v>
      </c>
    </row>
    <row r="1042" spans="1:23" x14ac:dyDescent="0.25">
      <c r="A1042">
        <v>17401</v>
      </c>
      <c r="B1042" t="s">
        <v>1312</v>
      </c>
      <c r="C1042">
        <v>4.5810000000000004</v>
      </c>
      <c r="D1042" t="s">
        <v>1264</v>
      </c>
      <c r="E1042">
        <v>100105</v>
      </c>
      <c r="F1042">
        <v>17401</v>
      </c>
      <c r="G1042" t="str">
        <f t="shared" si="96"/>
        <v>17401</v>
      </c>
      <c r="H1042" t="s">
        <v>396</v>
      </c>
      <c r="I1042" t="s">
        <v>1265</v>
      </c>
      <c r="J1042" t="s">
        <v>1266</v>
      </c>
      <c r="K1042" t="s">
        <v>1267</v>
      </c>
      <c r="L1042" t="s">
        <v>1312</v>
      </c>
      <c r="M1042" t="s">
        <v>1351</v>
      </c>
      <c r="N1042">
        <v>21</v>
      </c>
      <c r="O1042" t="str">
        <f t="shared" si="99"/>
        <v>45</v>
      </c>
      <c r="P1042">
        <v>45</v>
      </c>
      <c r="R1042" t="s">
        <v>1269</v>
      </c>
      <c r="S1042">
        <v>4.5810000000000004</v>
      </c>
      <c r="T1042">
        <v>0.2424</v>
      </c>
      <c r="U1042">
        <f t="shared" si="100"/>
        <v>1.1100000000000001</v>
      </c>
      <c r="V1042" t="str">
        <f t="shared" si="97"/>
        <v>Middle Speech, Language Pathway/
Audio</v>
      </c>
      <c r="W1042" t="str">
        <f t="shared" si="98"/>
        <v>Speech, Language Pathway/
Audio</v>
      </c>
    </row>
    <row r="1043" spans="1:23" x14ac:dyDescent="0.25">
      <c r="A1043">
        <v>17401</v>
      </c>
      <c r="B1043" t="s">
        <v>1298</v>
      </c>
      <c r="C1043">
        <v>12.369</v>
      </c>
      <c r="D1043" t="s">
        <v>1264</v>
      </c>
      <c r="E1043">
        <v>100105</v>
      </c>
      <c r="F1043">
        <v>17401</v>
      </c>
      <c r="G1043" t="str">
        <f t="shared" si="96"/>
        <v>17401</v>
      </c>
      <c r="H1043" t="s">
        <v>396</v>
      </c>
      <c r="I1043" t="s">
        <v>1265</v>
      </c>
      <c r="J1043" t="s">
        <v>1276</v>
      </c>
      <c r="K1043" t="s">
        <v>1277</v>
      </c>
      <c r="L1043" t="s">
        <v>1298</v>
      </c>
      <c r="M1043" t="s">
        <v>1349</v>
      </c>
      <c r="N1043">
        <v>21</v>
      </c>
      <c r="O1043" t="str">
        <f t="shared" si="99"/>
        <v>46</v>
      </c>
      <c r="P1043">
        <v>46</v>
      </c>
      <c r="R1043" t="s">
        <v>1269</v>
      </c>
      <c r="S1043">
        <v>12.369</v>
      </c>
      <c r="T1043">
        <v>0.2424</v>
      </c>
      <c r="U1043">
        <f t="shared" si="100"/>
        <v>2.9980000000000002</v>
      </c>
      <c r="V1043" t="str">
        <f t="shared" si="97"/>
        <v>Elementary Psychologist</v>
      </c>
      <c r="W1043" t="str">
        <f t="shared" si="98"/>
        <v>Psychologist</v>
      </c>
    </row>
    <row r="1044" spans="1:23" x14ac:dyDescent="0.25">
      <c r="A1044">
        <v>17401</v>
      </c>
      <c r="B1044" t="s">
        <v>1333</v>
      </c>
      <c r="C1044">
        <v>0.16300000000000001</v>
      </c>
      <c r="D1044" t="s">
        <v>1264</v>
      </c>
      <c r="E1044">
        <v>100105</v>
      </c>
      <c r="F1044">
        <v>17401</v>
      </c>
      <c r="G1044" t="str">
        <f t="shared" si="96"/>
        <v>17401</v>
      </c>
      <c r="H1044" t="s">
        <v>396</v>
      </c>
      <c r="I1044" t="s">
        <v>1265</v>
      </c>
      <c r="J1044" t="s">
        <v>1276</v>
      </c>
      <c r="K1044" t="s">
        <v>1277</v>
      </c>
      <c r="L1044" t="s">
        <v>1333</v>
      </c>
      <c r="M1044" t="s">
        <v>1432</v>
      </c>
      <c r="N1044">
        <v>1</v>
      </c>
      <c r="O1044" t="str">
        <f t="shared" si="99"/>
        <v>46</v>
      </c>
      <c r="P1044">
        <v>46</v>
      </c>
      <c r="R1044" t="s">
        <v>1269</v>
      </c>
      <c r="S1044">
        <v>0.16300000000000001</v>
      </c>
      <c r="T1044">
        <v>0.2424</v>
      </c>
      <c r="U1044">
        <f t="shared" si="100"/>
        <v>0</v>
      </c>
      <c r="V1044" t="str">
        <f t="shared" si="97"/>
        <v>Elementary Psychologist</v>
      </c>
      <c r="W1044" t="str">
        <f t="shared" si="98"/>
        <v>Psychologist</v>
      </c>
    </row>
    <row r="1045" spans="1:23" x14ac:dyDescent="0.25">
      <c r="A1045">
        <v>17401</v>
      </c>
      <c r="B1045" t="s">
        <v>1309</v>
      </c>
      <c r="C1045">
        <v>5.6689999999999996</v>
      </c>
      <c r="D1045" t="s">
        <v>1264</v>
      </c>
      <c r="E1045">
        <v>100105</v>
      </c>
      <c r="F1045">
        <v>17401</v>
      </c>
      <c r="G1045" t="str">
        <f t="shared" si="96"/>
        <v>17401</v>
      </c>
      <c r="H1045" t="s">
        <v>396</v>
      </c>
      <c r="I1045" t="s">
        <v>1265</v>
      </c>
      <c r="J1045" t="s">
        <v>1271</v>
      </c>
      <c r="K1045" t="s">
        <v>1272</v>
      </c>
      <c r="L1045" t="s">
        <v>1309</v>
      </c>
      <c r="M1045" t="s">
        <v>1310</v>
      </c>
      <c r="N1045">
        <v>21</v>
      </c>
      <c r="O1045" t="str">
        <f t="shared" si="99"/>
        <v>46</v>
      </c>
      <c r="P1045">
        <v>46</v>
      </c>
      <c r="R1045" t="s">
        <v>1269</v>
      </c>
      <c r="S1045">
        <v>5.6689999999999996</v>
      </c>
      <c r="T1045">
        <v>0.2424</v>
      </c>
      <c r="U1045">
        <f t="shared" si="100"/>
        <v>1.3740000000000001</v>
      </c>
      <c r="V1045" t="str">
        <f t="shared" si="97"/>
        <v>High Psychologist</v>
      </c>
      <c r="W1045" t="str">
        <f t="shared" si="98"/>
        <v>Psychologist</v>
      </c>
    </row>
    <row r="1046" spans="1:23" x14ac:dyDescent="0.25">
      <c r="A1046">
        <v>17401</v>
      </c>
      <c r="B1046" t="s">
        <v>1396</v>
      </c>
      <c r="C1046">
        <v>0.161</v>
      </c>
      <c r="D1046" t="s">
        <v>1264</v>
      </c>
      <c r="E1046">
        <v>100105</v>
      </c>
      <c r="F1046">
        <v>17401</v>
      </c>
      <c r="G1046" t="str">
        <f t="shared" si="96"/>
        <v>17401</v>
      </c>
      <c r="H1046" t="s">
        <v>396</v>
      </c>
      <c r="I1046" t="s">
        <v>1265</v>
      </c>
      <c r="J1046" t="s">
        <v>1271</v>
      </c>
      <c r="K1046" t="s">
        <v>1272</v>
      </c>
      <c r="L1046" t="s">
        <v>1396</v>
      </c>
      <c r="M1046" t="s">
        <v>1431</v>
      </c>
      <c r="N1046">
        <v>1</v>
      </c>
      <c r="O1046" t="str">
        <f t="shared" si="99"/>
        <v>46</v>
      </c>
      <c r="P1046">
        <v>46</v>
      </c>
      <c r="R1046" t="s">
        <v>1269</v>
      </c>
      <c r="S1046">
        <v>0.161</v>
      </c>
      <c r="T1046">
        <v>0.2424</v>
      </c>
      <c r="U1046">
        <f t="shared" si="100"/>
        <v>0</v>
      </c>
      <c r="V1046" t="str">
        <f t="shared" si="97"/>
        <v>High Psychologist</v>
      </c>
      <c r="W1046" t="str">
        <f t="shared" si="98"/>
        <v>Psychologist</v>
      </c>
    </row>
    <row r="1047" spans="1:23" x14ac:dyDescent="0.25">
      <c r="A1047">
        <v>17401</v>
      </c>
      <c r="B1047" t="s">
        <v>1345</v>
      </c>
      <c r="C1047">
        <v>3.7629999999999999</v>
      </c>
      <c r="D1047" t="s">
        <v>1264</v>
      </c>
      <c r="E1047">
        <v>100105</v>
      </c>
      <c r="F1047">
        <v>17401</v>
      </c>
      <c r="G1047" t="str">
        <f t="shared" si="96"/>
        <v>17401</v>
      </c>
      <c r="H1047" t="s">
        <v>396</v>
      </c>
      <c r="I1047" t="s">
        <v>1265</v>
      </c>
      <c r="J1047" t="s">
        <v>1266</v>
      </c>
      <c r="K1047" t="s">
        <v>1267</v>
      </c>
      <c r="L1047" t="s">
        <v>1345</v>
      </c>
      <c r="M1047" t="s">
        <v>1346</v>
      </c>
      <c r="N1047">
        <v>21</v>
      </c>
      <c r="O1047" t="str">
        <f t="shared" si="99"/>
        <v>46</v>
      </c>
      <c r="P1047">
        <v>46</v>
      </c>
      <c r="R1047" t="s">
        <v>1269</v>
      </c>
      <c r="S1047">
        <v>3.7629999999999999</v>
      </c>
      <c r="T1047">
        <v>0.2424</v>
      </c>
      <c r="U1047">
        <f t="shared" si="100"/>
        <v>0.91200000000000003</v>
      </c>
      <c r="V1047" t="str">
        <f t="shared" si="97"/>
        <v>Middle Psychologist</v>
      </c>
      <c r="W1047" t="str">
        <f t="shared" si="98"/>
        <v>Psychologist</v>
      </c>
    </row>
    <row r="1048" spans="1:23" x14ac:dyDescent="0.25">
      <c r="A1048">
        <v>17401</v>
      </c>
      <c r="B1048" t="s">
        <v>1371</v>
      </c>
      <c r="C1048">
        <v>0.16300000000000001</v>
      </c>
      <c r="D1048" t="s">
        <v>1264</v>
      </c>
      <c r="E1048">
        <v>100105</v>
      </c>
      <c r="F1048">
        <v>17401</v>
      </c>
      <c r="G1048" t="str">
        <f t="shared" si="96"/>
        <v>17401</v>
      </c>
      <c r="H1048" t="s">
        <v>396</v>
      </c>
      <c r="I1048" t="s">
        <v>1265</v>
      </c>
      <c r="J1048" t="s">
        <v>1266</v>
      </c>
      <c r="K1048" t="s">
        <v>1267</v>
      </c>
      <c r="L1048" t="s">
        <v>1371</v>
      </c>
      <c r="M1048" t="s">
        <v>1430</v>
      </c>
      <c r="N1048">
        <v>1</v>
      </c>
      <c r="O1048" t="str">
        <f t="shared" si="99"/>
        <v>46</v>
      </c>
      <c r="P1048">
        <v>46</v>
      </c>
      <c r="R1048" t="s">
        <v>1269</v>
      </c>
      <c r="S1048">
        <v>0.16300000000000001</v>
      </c>
      <c r="T1048">
        <v>0.2424</v>
      </c>
      <c r="U1048">
        <f t="shared" si="100"/>
        <v>0</v>
      </c>
      <c r="V1048" t="str">
        <f t="shared" si="97"/>
        <v>Middle Psychologist</v>
      </c>
      <c r="W1048" t="str">
        <f t="shared" si="98"/>
        <v>Psychologist</v>
      </c>
    </row>
    <row r="1049" spans="1:23" x14ac:dyDescent="0.25">
      <c r="A1049">
        <v>17401</v>
      </c>
      <c r="B1049" t="s">
        <v>1335</v>
      </c>
      <c r="C1049">
        <v>9.1999999999999993</v>
      </c>
      <c r="D1049" t="s">
        <v>1264</v>
      </c>
      <c r="E1049">
        <v>100105</v>
      </c>
      <c r="F1049">
        <v>17401</v>
      </c>
      <c r="G1049" t="str">
        <f t="shared" si="96"/>
        <v>17401</v>
      </c>
      <c r="H1049" t="s">
        <v>396</v>
      </c>
      <c r="I1049" t="s">
        <v>1265</v>
      </c>
      <c r="J1049" t="s">
        <v>1276</v>
      </c>
      <c r="K1049" t="s">
        <v>1277</v>
      </c>
      <c r="L1049" t="s">
        <v>1335</v>
      </c>
      <c r="M1049" t="s">
        <v>1344</v>
      </c>
      <c r="N1049">
        <v>1</v>
      </c>
      <c r="O1049" t="str">
        <f t="shared" si="99"/>
        <v>47</v>
      </c>
      <c r="P1049">
        <v>47</v>
      </c>
      <c r="R1049" t="s">
        <v>1269</v>
      </c>
      <c r="S1049">
        <v>9.1999999999999993</v>
      </c>
      <c r="T1049">
        <v>0.2424</v>
      </c>
      <c r="U1049">
        <f t="shared" si="100"/>
        <v>0</v>
      </c>
      <c r="V1049" t="str">
        <f t="shared" si="97"/>
        <v>Elementary Nurse</v>
      </c>
      <c r="W1049" t="str">
        <f t="shared" si="98"/>
        <v>Nurse</v>
      </c>
    </row>
    <row r="1050" spans="1:23" x14ac:dyDescent="0.25">
      <c r="A1050">
        <v>17401</v>
      </c>
      <c r="B1050" t="s">
        <v>1341</v>
      </c>
      <c r="C1050">
        <v>8.1059999999999999</v>
      </c>
      <c r="D1050" t="s">
        <v>1264</v>
      </c>
      <c r="E1050">
        <v>100105</v>
      </c>
      <c r="F1050">
        <v>17401</v>
      </c>
      <c r="G1050" t="str">
        <f t="shared" si="96"/>
        <v>17401</v>
      </c>
      <c r="H1050" t="s">
        <v>396</v>
      </c>
      <c r="I1050" t="s">
        <v>1265</v>
      </c>
      <c r="J1050" t="s">
        <v>1271</v>
      </c>
      <c r="K1050" t="s">
        <v>1272</v>
      </c>
      <c r="L1050" t="s">
        <v>1341</v>
      </c>
      <c r="M1050" t="s">
        <v>1342</v>
      </c>
      <c r="N1050">
        <v>1</v>
      </c>
      <c r="O1050" t="str">
        <f t="shared" si="99"/>
        <v>47</v>
      </c>
      <c r="P1050">
        <v>47</v>
      </c>
      <c r="R1050" t="s">
        <v>1269</v>
      </c>
      <c r="S1050">
        <v>8.1059999999999999</v>
      </c>
      <c r="T1050">
        <v>0.2424</v>
      </c>
      <c r="U1050">
        <f t="shared" si="100"/>
        <v>0</v>
      </c>
      <c r="V1050" t="str">
        <f t="shared" si="97"/>
        <v>High Nurse</v>
      </c>
      <c r="W1050" t="str">
        <f t="shared" si="98"/>
        <v>Nurse</v>
      </c>
    </row>
    <row r="1051" spans="1:23" x14ac:dyDescent="0.25">
      <c r="A1051">
        <v>17401</v>
      </c>
      <c r="B1051" t="s">
        <v>1338</v>
      </c>
      <c r="C1051">
        <v>0.90600000000000003</v>
      </c>
      <c r="D1051" t="s">
        <v>1264</v>
      </c>
      <c r="E1051">
        <v>100105</v>
      </c>
      <c r="F1051">
        <v>17401</v>
      </c>
      <c r="G1051" t="str">
        <f t="shared" si="96"/>
        <v>17401</v>
      </c>
      <c r="H1051" t="s">
        <v>396</v>
      </c>
      <c r="I1051" t="s">
        <v>1265</v>
      </c>
      <c r="J1051" t="s">
        <v>1266</v>
      </c>
      <c r="K1051" t="s">
        <v>1267</v>
      </c>
      <c r="L1051" t="s">
        <v>1338</v>
      </c>
      <c r="M1051" t="s">
        <v>1339</v>
      </c>
      <c r="N1051">
        <v>1</v>
      </c>
      <c r="O1051" t="str">
        <f t="shared" si="99"/>
        <v>47</v>
      </c>
      <c r="P1051">
        <v>47</v>
      </c>
      <c r="R1051" t="s">
        <v>1269</v>
      </c>
      <c r="S1051">
        <v>0.90600000000000003</v>
      </c>
      <c r="T1051">
        <v>0.2424</v>
      </c>
      <c r="U1051">
        <f t="shared" si="100"/>
        <v>0</v>
      </c>
      <c r="V1051" t="str">
        <f t="shared" si="97"/>
        <v>Middle Nurse</v>
      </c>
      <c r="W1051" t="str">
        <f t="shared" si="98"/>
        <v>Nurse</v>
      </c>
    </row>
    <row r="1052" spans="1:23" x14ac:dyDescent="0.25">
      <c r="A1052">
        <v>17401</v>
      </c>
      <c r="B1052" t="s">
        <v>1302</v>
      </c>
      <c r="C1052">
        <v>1.83</v>
      </c>
      <c r="D1052" t="s">
        <v>1264</v>
      </c>
      <c r="E1052">
        <v>100105</v>
      </c>
      <c r="F1052">
        <v>17401</v>
      </c>
      <c r="G1052" t="str">
        <f t="shared" si="96"/>
        <v>17401</v>
      </c>
      <c r="H1052" t="s">
        <v>396</v>
      </c>
      <c r="I1052" t="s">
        <v>1265</v>
      </c>
      <c r="J1052" t="s">
        <v>1276</v>
      </c>
      <c r="K1052" t="s">
        <v>1277</v>
      </c>
      <c r="L1052" t="s">
        <v>1302</v>
      </c>
      <c r="M1052" t="s">
        <v>1336</v>
      </c>
      <c r="N1052">
        <v>21</v>
      </c>
      <c r="O1052" t="str">
        <f t="shared" si="99"/>
        <v>48</v>
      </c>
      <c r="P1052">
        <v>48</v>
      </c>
      <c r="R1052" t="s">
        <v>1269</v>
      </c>
      <c r="S1052">
        <v>1.83</v>
      </c>
      <c r="T1052">
        <v>0.2424</v>
      </c>
      <c r="U1052">
        <f t="shared" si="100"/>
        <v>0.44400000000000001</v>
      </c>
      <c r="V1052" t="str">
        <f t="shared" si="97"/>
        <v>Elementary Physical Therapist</v>
      </c>
      <c r="W1052" t="str">
        <f t="shared" si="98"/>
        <v>Physical Therapist</v>
      </c>
    </row>
    <row r="1053" spans="1:23" x14ac:dyDescent="0.25">
      <c r="A1053">
        <v>17401</v>
      </c>
      <c r="B1053" t="s">
        <v>1330</v>
      </c>
      <c r="C1053">
        <v>0.34</v>
      </c>
      <c r="D1053" t="s">
        <v>1264</v>
      </c>
      <c r="E1053">
        <v>100105</v>
      </c>
      <c r="F1053">
        <v>17401</v>
      </c>
      <c r="G1053" t="str">
        <f t="shared" si="96"/>
        <v>17401</v>
      </c>
      <c r="H1053" t="s">
        <v>396</v>
      </c>
      <c r="I1053" t="s">
        <v>1265</v>
      </c>
      <c r="J1053" t="s">
        <v>1271</v>
      </c>
      <c r="K1053" t="s">
        <v>1272</v>
      </c>
      <c r="L1053" t="s">
        <v>1330</v>
      </c>
      <c r="M1053" t="s">
        <v>1367</v>
      </c>
      <c r="N1053">
        <v>21</v>
      </c>
      <c r="O1053" t="str">
        <f t="shared" si="99"/>
        <v>48</v>
      </c>
      <c r="P1053">
        <v>48</v>
      </c>
      <c r="R1053" t="s">
        <v>1269</v>
      </c>
      <c r="S1053">
        <v>0.34</v>
      </c>
      <c r="T1053">
        <v>0.2424</v>
      </c>
      <c r="U1053">
        <f t="shared" si="100"/>
        <v>8.2000000000000003E-2</v>
      </c>
      <c r="V1053" t="str">
        <f t="shared" si="97"/>
        <v>High Physical Therapist</v>
      </c>
      <c r="W1053" t="str">
        <f t="shared" si="98"/>
        <v>Physical Therapist</v>
      </c>
    </row>
    <row r="1054" spans="1:23" x14ac:dyDescent="0.25">
      <c r="A1054">
        <v>17401</v>
      </c>
      <c r="B1054" t="s">
        <v>1316</v>
      </c>
      <c r="C1054">
        <v>0.33</v>
      </c>
      <c r="D1054" t="s">
        <v>1264</v>
      </c>
      <c r="E1054">
        <v>100105</v>
      </c>
      <c r="F1054">
        <v>17401</v>
      </c>
      <c r="G1054" t="str">
        <f t="shared" si="96"/>
        <v>17401</v>
      </c>
      <c r="H1054" t="s">
        <v>396</v>
      </c>
      <c r="I1054" t="s">
        <v>1265</v>
      </c>
      <c r="J1054" t="s">
        <v>1266</v>
      </c>
      <c r="K1054" t="s">
        <v>1267</v>
      </c>
      <c r="L1054" t="s">
        <v>1316</v>
      </c>
      <c r="M1054" t="s">
        <v>1366</v>
      </c>
      <c r="N1054">
        <v>21</v>
      </c>
      <c r="O1054" t="str">
        <f t="shared" si="99"/>
        <v>48</v>
      </c>
      <c r="P1054">
        <v>48</v>
      </c>
      <c r="R1054" t="s">
        <v>1269</v>
      </c>
      <c r="S1054">
        <v>0.33</v>
      </c>
      <c r="T1054">
        <v>0.2424</v>
      </c>
      <c r="U1054">
        <f t="shared" si="100"/>
        <v>0.08</v>
      </c>
      <c r="V1054" t="str">
        <f t="shared" si="97"/>
        <v>Middle Physical Therapist</v>
      </c>
      <c r="W1054" t="str">
        <f t="shared" si="98"/>
        <v>Physical Therapist</v>
      </c>
    </row>
    <row r="1055" spans="1:23" x14ac:dyDescent="0.25">
      <c r="A1055">
        <v>17401</v>
      </c>
      <c r="B1055" t="s">
        <v>1340</v>
      </c>
      <c r="C1055">
        <v>2</v>
      </c>
      <c r="D1055" t="s">
        <v>1264</v>
      </c>
      <c r="E1055">
        <v>100105</v>
      </c>
      <c r="F1055">
        <v>17401</v>
      </c>
      <c r="G1055" t="str">
        <f t="shared" si="96"/>
        <v>17401</v>
      </c>
      <c r="H1055" t="s">
        <v>396</v>
      </c>
      <c r="I1055" t="s">
        <v>1265</v>
      </c>
      <c r="J1055" t="s">
        <v>1276</v>
      </c>
      <c r="K1055" t="s">
        <v>1277</v>
      </c>
      <c r="L1055" t="s">
        <v>1340</v>
      </c>
      <c r="M1055" t="s">
        <v>1395</v>
      </c>
      <c r="N1055">
        <v>21</v>
      </c>
      <c r="O1055" t="str">
        <f t="shared" si="99"/>
        <v>49</v>
      </c>
      <c r="P1055">
        <v>49</v>
      </c>
      <c r="R1055" t="s">
        <v>1269</v>
      </c>
      <c r="S1055">
        <v>2</v>
      </c>
      <c r="T1055">
        <v>0.2424</v>
      </c>
      <c r="U1055">
        <f t="shared" si="100"/>
        <v>0.48499999999999999</v>
      </c>
      <c r="V1055" t="str">
        <f t="shared" si="97"/>
        <v>Elementary Behavior Analyst</v>
      </c>
      <c r="W1055" t="str">
        <f t="shared" si="98"/>
        <v>Behavior Analyst</v>
      </c>
    </row>
    <row r="1056" spans="1:23" x14ac:dyDescent="0.25">
      <c r="A1056">
        <v>17401</v>
      </c>
      <c r="B1056" t="s">
        <v>1392</v>
      </c>
      <c r="C1056">
        <v>1.1439999999999999</v>
      </c>
      <c r="D1056" t="s">
        <v>1264</v>
      </c>
      <c r="E1056">
        <v>100105</v>
      </c>
      <c r="F1056">
        <v>17401</v>
      </c>
      <c r="G1056" t="str">
        <f t="shared" si="96"/>
        <v>17401</v>
      </c>
      <c r="H1056" t="s">
        <v>396</v>
      </c>
      <c r="I1056" t="s">
        <v>1265</v>
      </c>
      <c r="J1056" t="s">
        <v>1271</v>
      </c>
      <c r="K1056" t="s">
        <v>1272</v>
      </c>
      <c r="L1056" t="s">
        <v>1392</v>
      </c>
      <c r="M1056" t="s">
        <v>1393</v>
      </c>
      <c r="N1056">
        <v>21</v>
      </c>
      <c r="O1056" t="str">
        <f t="shared" si="99"/>
        <v>49</v>
      </c>
      <c r="P1056">
        <v>49</v>
      </c>
      <c r="R1056" t="s">
        <v>1269</v>
      </c>
      <c r="S1056">
        <v>1.1439999999999999</v>
      </c>
      <c r="T1056">
        <v>0.2424</v>
      </c>
      <c r="U1056">
        <f t="shared" si="100"/>
        <v>0.27700000000000002</v>
      </c>
      <c r="V1056" t="str">
        <f t="shared" si="97"/>
        <v>High Behavior Analyst</v>
      </c>
      <c r="W1056" t="str">
        <f t="shared" si="98"/>
        <v>Behavior Analyst</v>
      </c>
    </row>
    <row r="1057" spans="1:23" x14ac:dyDescent="0.25">
      <c r="A1057">
        <v>17401</v>
      </c>
      <c r="B1057" t="s">
        <v>1374</v>
      </c>
      <c r="C1057">
        <v>0.57199999999999995</v>
      </c>
      <c r="D1057" t="s">
        <v>1264</v>
      </c>
      <c r="E1057">
        <v>100105</v>
      </c>
      <c r="F1057">
        <v>17401</v>
      </c>
      <c r="G1057" t="str">
        <f t="shared" si="96"/>
        <v>17401</v>
      </c>
      <c r="H1057" t="s">
        <v>396</v>
      </c>
      <c r="I1057" t="s">
        <v>1265</v>
      </c>
      <c r="J1057" t="s">
        <v>1266</v>
      </c>
      <c r="K1057" t="s">
        <v>1267</v>
      </c>
      <c r="L1057" t="s">
        <v>1374</v>
      </c>
      <c r="M1057" t="s">
        <v>1391</v>
      </c>
      <c r="N1057">
        <v>21</v>
      </c>
      <c r="O1057" t="str">
        <f t="shared" si="99"/>
        <v>49</v>
      </c>
      <c r="P1057">
        <v>49</v>
      </c>
      <c r="R1057" t="s">
        <v>1269</v>
      </c>
      <c r="S1057">
        <v>0.57199999999999995</v>
      </c>
      <c r="T1057">
        <v>0.2424</v>
      </c>
      <c r="U1057">
        <f t="shared" si="100"/>
        <v>0.13900000000000001</v>
      </c>
      <c r="V1057" t="str">
        <f t="shared" si="97"/>
        <v>Middle Behavior Analyst</v>
      </c>
      <c r="W1057" t="str">
        <f t="shared" si="98"/>
        <v>Behavior Analyst</v>
      </c>
    </row>
    <row r="1058" spans="1:23" x14ac:dyDescent="0.25">
      <c r="A1058">
        <v>17402</v>
      </c>
      <c r="B1058" t="s">
        <v>1286</v>
      </c>
      <c r="C1058">
        <v>0.73799999999999999</v>
      </c>
      <c r="D1058" t="s">
        <v>1264</v>
      </c>
      <c r="E1058">
        <v>100279</v>
      </c>
      <c r="F1058">
        <v>17402</v>
      </c>
      <c r="G1058" t="str">
        <f t="shared" si="96"/>
        <v>17402</v>
      </c>
      <c r="H1058" t="s">
        <v>397</v>
      </c>
      <c r="I1058" t="s">
        <v>1265</v>
      </c>
      <c r="J1058" t="s">
        <v>1271</v>
      </c>
      <c r="K1058" t="s">
        <v>1272</v>
      </c>
      <c r="L1058" t="s">
        <v>1286</v>
      </c>
      <c r="M1058" t="s">
        <v>1287</v>
      </c>
      <c r="N1058">
        <v>1</v>
      </c>
      <c r="O1058" t="str">
        <f t="shared" si="99"/>
        <v>24</v>
      </c>
      <c r="P1058">
        <v>96</v>
      </c>
      <c r="Q1058">
        <v>24</v>
      </c>
      <c r="R1058" t="s">
        <v>1269</v>
      </c>
      <c r="S1058">
        <v>0.73799999999999999</v>
      </c>
      <c r="T1058">
        <v>0.2157</v>
      </c>
      <c r="U1058">
        <f t="shared" si="100"/>
        <v>0</v>
      </c>
      <c r="V1058" t="str">
        <f t="shared" si="97"/>
        <v>High Family Engagement Coordinator</v>
      </c>
      <c r="W1058" t="str">
        <f t="shared" si="98"/>
        <v>Family Engagement Coordinator</v>
      </c>
    </row>
    <row r="1059" spans="1:23" x14ac:dyDescent="0.25">
      <c r="A1059">
        <v>17402</v>
      </c>
      <c r="B1059" t="s">
        <v>1299</v>
      </c>
      <c r="C1059">
        <v>1.58</v>
      </c>
      <c r="D1059" t="s">
        <v>1264</v>
      </c>
      <c r="E1059">
        <v>100279</v>
      </c>
      <c r="F1059">
        <v>17402</v>
      </c>
      <c r="G1059" t="str">
        <f t="shared" si="96"/>
        <v>17402</v>
      </c>
      <c r="H1059" t="s">
        <v>397</v>
      </c>
      <c r="I1059" t="s">
        <v>1265</v>
      </c>
      <c r="J1059" t="s">
        <v>1271</v>
      </c>
      <c r="K1059" t="s">
        <v>1272</v>
      </c>
      <c r="L1059" t="s">
        <v>1299</v>
      </c>
      <c r="M1059" t="s">
        <v>1300</v>
      </c>
      <c r="N1059">
        <v>1</v>
      </c>
      <c r="O1059" t="str">
        <f t="shared" si="99"/>
        <v>25</v>
      </c>
      <c r="Q1059">
        <v>25</v>
      </c>
      <c r="R1059" t="s">
        <v>1269</v>
      </c>
      <c r="S1059">
        <v>1.58</v>
      </c>
      <c r="T1059">
        <v>0.2157</v>
      </c>
      <c r="U1059">
        <f t="shared" si="100"/>
        <v>0</v>
      </c>
      <c r="V1059" t="str">
        <f t="shared" si="97"/>
        <v>High Pupil Management</v>
      </c>
      <c r="W1059" t="str">
        <f t="shared" si="98"/>
        <v>Pupil Management</v>
      </c>
    </row>
    <row r="1060" spans="1:23" x14ac:dyDescent="0.25">
      <c r="A1060">
        <v>17402</v>
      </c>
      <c r="B1060" t="s">
        <v>1295</v>
      </c>
      <c r="C1060">
        <v>0.49099999999999999</v>
      </c>
      <c r="D1060" t="s">
        <v>1264</v>
      </c>
      <c r="E1060">
        <v>100279</v>
      </c>
      <c r="F1060">
        <v>17402</v>
      </c>
      <c r="G1060" t="str">
        <f t="shared" si="96"/>
        <v>17402</v>
      </c>
      <c r="H1060" t="s">
        <v>397</v>
      </c>
      <c r="I1060" t="s">
        <v>1265</v>
      </c>
      <c r="J1060" t="s">
        <v>1271</v>
      </c>
      <c r="K1060" t="s">
        <v>1272</v>
      </c>
      <c r="L1060" t="s">
        <v>1295</v>
      </c>
      <c r="M1060" t="s">
        <v>1296</v>
      </c>
      <c r="N1060">
        <v>1</v>
      </c>
      <c r="O1060" t="str">
        <f t="shared" si="99"/>
        <v>26</v>
      </c>
      <c r="Q1060">
        <v>26</v>
      </c>
      <c r="R1060" t="s">
        <v>1269</v>
      </c>
      <c r="S1060">
        <v>0.49099999999999999</v>
      </c>
      <c r="T1060">
        <v>0.2157</v>
      </c>
      <c r="U1060">
        <f t="shared" si="100"/>
        <v>0</v>
      </c>
      <c r="V1060" t="str">
        <f t="shared" si="97"/>
        <v>High Health/
Related Services</v>
      </c>
      <c r="W1060" t="str">
        <f t="shared" si="98"/>
        <v>Health/
Related Services</v>
      </c>
    </row>
    <row r="1061" spans="1:23" x14ac:dyDescent="0.25">
      <c r="A1061">
        <v>17402</v>
      </c>
      <c r="B1061" t="s">
        <v>1270</v>
      </c>
      <c r="C1061">
        <v>2.3679999999999999</v>
      </c>
      <c r="D1061" t="s">
        <v>1264</v>
      </c>
      <c r="E1061">
        <v>100279</v>
      </c>
      <c r="F1061">
        <v>17402</v>
      </c>
      <c r="G1061" t="str">
        <f t="shared" si="96"/>
        <v>17402</v>
      </c>
      <c r="H1061" t="s">
        <v>397</v>
      </c>
      <c r="I1061" t="s">
        <v>1265</v>
      </c>
      <c r="J1061" t="s">
        <v>1271</v>
      </c>
      <c r="K1061" t="s">
        <v>1272</v>
      </c>
      <c r="L1061" t="s">
        <v>1270</v>
      </c>
      <c r="M1061" t="s">
        <v>1273</v>
      </c>
      <c r="N1061">
        <v>1</v>
      </c>
      <c r="O1061" t="str">
        <f t="shared" si="99"/>
        <v>42</v>
      </c>
      <c r="P1061">
        <v>42</v>
      </c>
      <c r="R1061" t="s">
        <v>1269</v>
      </c>
      <c r="S1061">
        <v>2.3679999999999999</v>
      </c>
      <c r="T1061">
        <v>0.2157</v>
      </c>
      <c r="U1061">
        <f t="shared" si="100"/>
        <v>0</v>
      </c>
      <c r="V1061" t="str">
        <f t="shared" si="97"/>
        <v>High Counselor</v>
      </c>
      <c r="W1061" t="str">
        <f t="shared" si="98"/>
        <v>Counselor</v>
      </c>
    </row>
    <row r="1062" spans="1:23" x14ac:dyDescent="0.25">
      <c r="A1062">
        <v>17402</v>
      </c>
      <c r="B1062" t="s">
        <v>1263</v>
      </c>
      <c r="C1062">
        <v>1.08</v>
      </c>
      <c r="D1062" t="s">
        <v>1264</v>
      </c>
      <c r="E1062">
        <v>100279</v>
      </c>
      <c r="F1062">
        <v>17402</v>
      </c>
      <c r="G1062" t="str">
        <f t="shared" si="96"/>
        <v>17402</v>
      </c>
      <c r="H1062" t="s">
        <v>397</v>
      </c>
      <c r="I1062" t="s">
        <v>1265</v>
      </c>
      <c r="J1062" t="s">
        <v>1266</v>
      </c>
      <c r="K1062" t="s">
        <v>1267</v>
      </c>
      <c r="L1062" t="s">
        <v>1263</v>
      </c>
      <c r="M1062" t="s">
        <v>1268</v>
      </c>
      <c r="N1062">
        <v>1</v>
      </c>
      <c r="O1062" t="str">
        <f t="shared" si="99"/>
        <v>42</v>
      </c>
      <c r="P1062">
        <v>42</v>
      </c>
      <c r="R1062" t="s">
        <v>1269</v>
      </c>
      <c r="S1062">
        <v>1.08</v>
      </c>
      <c r="T1062">
        <v>0.2157</v>
      </c>
      <c r="U1062">
        <f t="shared" si="100"/>
        <v>0</v>
      </c>
      <c r="V1062" t="str">
        <f t="shared" si="97"/>
        <v>Middle Counselor</v>
      </c>
      <c r="W1062" t="str">
        <f t="shared" si="98"/>
        <v>Counselor</v>
      </c>
    </row>
    <row r="1063" spans="1:23" x14ac:dyDescent="0.25">
      <c r="A1063">
        <v>17402</v>
      </c>
      <c r="B1063" t="s">
        <v>1309</v>
      </c>
      <c r="C1063">
        <v>0.5</v>
      </c>
      <c r="D1063" t="s">
        <v>1264</v>
      </c>
      <c r="E1063">
        <v>100279</v>
      </c>
      <c r="F1063">
        <v>17402</v>
      </c>
      <c r="G1063" t="str">
        <f t="shared" si="96"/>
        <v>17402</v>
      </c>
      <c r="H1063" t="s">
        <v>397</v>
      </c>
      <c r="I1063" t="s">
        <v>1265</v>
      </c>
      <c r="J1063" t="s">
        <v>1271</v>
      </c>
      <c r="K1063" t="s">
        <v>1272</v>
      </c>
      <c r="L1063" t="s">
        <v>1309</v>
      </c>
      <c r="M1063" t="s">
        <v>1310</v>
      </c>
      <c r="N1063">
        <v>21</v>
      </c>
      <c r="O1063" t="str">
        <f t="shared" si="99"/>
        <v>46</v>
      </c>
      <c r="P1063">
        <v>46</v>
      </c>
      <c r="R1063" t="s">
        <v>1269</v>
      </c>
      <c r="S1063">
        <v>0.5</v>
      </c>
      <c r="T1063">
        <v>0.2157</v>
      </c>
      <c r="U1063">
        <f t="shared" si="100"/>
        <v>0.108</v>
      </c>
      <c r="V1063" t="str">
        <f t="shared" si="97"/>
        <v>High Psychologist</v>
      </c>
      <c r="W1063" t="str">
        <f t="shared" si="98"/>
        <v>Psychologist</v>
      </c>
    </row>
    <row r="1064" spans="1:23" x14ac:dyDescent="0.25">
      <c r="A1064">
        <v>17402</v>
      </c>
      <c r="B1064" t="s">
        <v>1345</v>
      </c>
      <c r="C1064">
        <v>0.5</v>
      </c>
      <c r="D1064" t="s">
        <v>1264</v>
      </c>
      <c r="E1064">
        <v>100279</v>
      </c>
      <c r="F1064">
        <v>17402</v>
      </c>
      <c r="G1064" t="str">
        <f t="shared" si="96"/>
        <v>17402</v>
      </c>
      <c r="H1064" t="s">
        <v>397</v>
      </c>
      <c r="I1064" t="s">
        <v>1265</v>
      </c>
      <c r="J1064" t="s">
        <v>1266</v>
      </c>
      <c r="K1064" t="s">
        <v>1267</v>
      </c>
      <c r="L1064" t="s">
        <v>1345</v>
      </c>
      <c r="M1064" t="s">
        <v>1346</v>
      </c>
      <c r="N1064">
        <v>21</v>
      </c>
      <c r="O1064" t="str">
        <f t="shared" si="99"/>
        <v>46</v>
      </c>
      <c r="P1064">
        <v>46</v>
      </c>
      <c r="R1064" t="s">
        <v>1269</v>
      </c>
      <c r="S1064">
        <v>0.5</v>
      </c>
      <c r="T1064">
        <v>0.2157</v>
      </c>
      <c r="U1064">
        <f t="shared" si="100"/>
        <v>0.108</v>
      </c>
      <c r="V1064" t="str">
        <f t="shared" si="97"/>
        <v>Middle Psychologist</v>
      </c>
      <c r="W1064" t="str">
        <f t="shared" si="98"/>
        <v>Psychologist</v>
      </c>
    </row>
    <row r="1065" spans="1:23" x14ac:dyDescent="0.25">
      <c r="A1065">
        <v>17402</v>
      </c>
      <c r="B1065" t="s">
        <v>1335</v>
      </c>
      <c r="C1065">
        <v>0.69</v>
      </c>
      <c r="D1065" t="s">
        <v>1264</v>
      </c>
      <c r="E1065">
        <v>100279</v>
      </c>
      <c r="F1065">
        <v>17402</v>
      </c>
      <c r="G1065" t="str">
        <f t="shared" si="96"/>
        <v>17402</v>
      </c>
      <c r="H1065" t="s">
        <v>397</v>
      </c>
      <c r="I1065" t="s">
        <v>1265</v>
      </c>
      <c r="J1065" t="s">
        <v>1276</v>
      </c>
      <c r="K1065" t="s">
        <v>1277</v>
      </c>
      <c r="L1065" t="s">
        <v>1335</v>
      </c>
      <c r="M1065" t="s">
        <v>1344</v>
      </c>
      <c r="N1065">
        <v>1</v>
      </c>
      <c r="O1065" t="str">
        <f t="shared" si="99"/>
        <v>47</v>
      </c>
      <c r="P1065">
        <v>47</v>
      </c>
      <c r="R1065" t="s">
        <v>1269</v>
      </c>
      <c r="S1065">
        <v>0.69</v>
      </c>
      <c r="T1065">
        <v>0.2157</v>
      </c>
      <c r="U1065">
        <f t="shared" si="100"/>
        <v>0</v>
      </c>
      <c r="V1065" t="str">
        <f t="shared" si="97"/>
        <v>Elementary Nurse</v>
      </c>
      <c r="W1065" t="str">
        <f t="shared" si="98"/>
        <v>Nurse</v>
      </c>
    </row>
    <row r="1066" spans="1:23" x14ac:dyDescent="0.25">
      <c r="A1066">
        <v>17403</v>
      </c>
      <c r="B1066" t="s">
        <v>1383</v>
      </c>
      <c r="C1066">
        <v>7.13</v>
      </c>
      <c r="D1066" t="s">
        <v>1264</v>
      </c>
      <c r="E1066">
        <v>100216</v>
      </c>
      <c r="F1066">
        <v>17403</v>
      </c>
      <c r="G1066" t="str">
        <f t="shared" si="96"/>
        <v>17403</v>
      </c>
      <c r="H1066" t="s">
        <v>398</v>
      </c>
      <c r="I1066" t="s">
        <v>1265</v>
      </c>
      <c r="J1066" t="s">
        <v>1271</v>
      </c>
      <c r="K1066" t="s">
        <v>1272</v>
      </c>
      <c r="L1066" t="s">
        <v>1383</v>
      </c>
      <c r="M1066" t="s">
        <v>1409</v>
      </c>
      <c r="N1066">
        <v>21</v>
      </c>
      <c r="O1066" t="str">
        <f t="shared" si="99"/>
        <v>25</v>
      </c>
      <c r="Q1066">
        <v>25</v>
      </c>
      <c r="R1066" t="s">
        <v>1269</v>
      </c>
      <c r="S1066">
        <v>7.13</v>
      </c>
      <c r="T1066">
        <v>0.29559999999999997</v>
      </c>
      <c r="U1066">
        <f t="shared" si="100"/>
        <v>2.1080000000000001</v>
      </c>
      <c r="V1066" t="str">
        <f t="shared" si="97"/>
        <v>High Pupil Management</v>
      </c>
      <c r="W1066" t="str">
        <f t="shared" si="98"/>
        <v>Pupil Management</v>
      </c>
    </row>
    <row r="1067" spans="1:23" x14ac:dyDescent="0.25">
      <c r="A1067">
        <v>17403</v>
      </c>
      <c r="B1067" t="s">
        <v>1290</v>
      </c>
      <c r="C1067">
        <v>0.16500000000000001</v>
      </c>
      <c r="D1067" t="s">
        <v>1264</v>
      </c>
      <c r="E1067">
        <v>100216</v>
      </c>
      <c r="F1067">
        <v>17403</v>
      </c>
      <c r="G1067" t="str">
        <f t="shared" si="96"/>
        <v>17403</v>
      </c>
      <c r="H1067" t="s">
        <v>398</v>
      </c>
      <c r="I1067" t="s">
        <v>1265</v>
      </c>
      <c r="J1067" t="s">
        <v>1271</v>
      </c>
      <c r="K1067" t="s">
        <v>1272</v>
      </c>
      <c r="L1067" t="s">
        <v>1290</v>
      </c>
      <c r="M1067" t="s">
        <v>1412</v>
      </c>
      <c r="N1067">
        <v>97</v>
      </c>
      <c r="O1067" t="str">
        <f t="shared" si="99"/>
        <v>25</v>
      </c>
      <c r="Q1067">
        <v>25</v>
      </c>
      <c r="R1067" t="s">
        <v>1269</v>
      </c>
      <c r="S1067">
        <v>0.16500000000000001</v>
      </c>
      <c r="T1067">
        <v>0.29559999999999997</v>
      </c>
      <c r="U1067">
        <f t="shared" si="100"/>
        <v>0</v>
      </c>
      <c r="V1067" t="str">
        <f t="shared" si="97"/>
        <v>High Pupil Management</v>
      </c>
      <c r="W1067" t="str">
        <f t="shared" si="98"/>
        <v>Pupil Management</v>
      </c>
    </row>
    <row r="1068" spans="1:23" x14ac:dyDescent="0.25">
      <c r="A1068">
        <v>17403</v>
      </c>
      <c r="B1068" t="s">
        <v>1299</v>
      </c>
      <c r="C1068">
        <v>22.675999999999998</v>
      </c>
      <c r="D1068" t="s">
        <v>1264</v>
      </c>
      <c r="E1068">
        <v>100216</v>
      </c>
      <c r="F1068">
        <v>17403</v>
      </c>
      <c r="G1068" t="str">
        <f t="shared" si="96"/>
        <v>17403</v>
      </c>
      <c r="H1068" t="s">
        <v>398</v>
      </c>
      <c r="I1068" t="s">
        <v>1265</v>
      </c>
      <c r="J1068" t="s">
        <v>1271</v>
      </c>
      <c r="K1068" t="s">
        <v>1272</v>
      </c>
      <c r="L1068" t="s">
        <v>1299</v>
      </c>
      <c r="M1068" t="s">
        <v>1300</v>
      </c>
      <c r="N1068">
        <v>1</v>
      </c>
      <c r="O1068" t="str">
        <f t="shared" si="99"/>
        <v>25</v>
      </c>
      <c r="Q1068">
        <v>25</v>
      </c>
      <c r="R1068" t="s">
        <v>1269</v>
      </c>
      <c r="S1068">
        <v>22.675999999999998</v>
      </c>
      <c r="T1068">
        <v>0.29559999999999997</v>
      </c>
      <c r="U1068">
        <f t="shared" si="100"/>
        <v>0</v>
      </c>
      <c r="V1068" t="str">
        <f t="shared" si="97"/>
        <v>High Pupil Management</v>
      </c>
      <c r="W1068" t="str">
        <f t="shared" si="98"/>
        <v>Pupil Management</v>
      </c>
    </row>
    <row r="1069" spans="1:23" x14ac:dyDescent="0.25">
      <c r="A1069">
        <v>17403</v>
      </c>
      <c r="B1069" t="s">
        <v>1324</v>
      </c>
      <c r="C1069">
        <v>7.7279999999999998</v>
      </c>
      <c r="D1069" t="s">
        <v>1264</v>
      </c>
      <c r="E1069">
        <v>100216</v>
      </c>
      <c r="F1069">
        <v>17403</v>
      </c>
      <c r="G1069" t="str">
        <f t="shared" si="96"/>
        <v>17403</v>
      </c>
      <c r="H1069" t="s">
        <v>398</v>
      </c>
      <c r="I1069" t="s">
        <v>1265</v>
      </c>
      <c r="J1069" t="s">
        <v>1271</v>
      </c>
      <c r="K1069" t="s">
        <v>1272</v>
      </c>
      <c r="L1069" t="s">
        <v>1324</v>
      </c>
      <c r="M1069" t="s">
        <v>1325</v>
      </c>
      <c r="N1069">
        <v>21</v>
      </c>
      <c r="O1069" t="str">
        <f t="shared" si="99"/>
        <v>26</v>
      </c>
      <c r="Q1069">
        <v>26</v>
      </c>
      <c r="R1069" t="s">
        <v>1269</v>
      </c>
      <c r="S1069">
        <v>7.7279999999999998</v>
      </c>
      <c r="T1069">
        <v>0.29559999999999997</v>
      </c>
      <c r="U1069">
        <f t="shared" si="100"/>
        <v>2.2839999999999998</v>
      </c>
      <c r="V1069" t="str">
        <f t="shared" si="97"/>
        <v>High Health/
Related Services</v>
      </c>
      <c r="W1069" t="str">
        <f t="shared" si="98"/>
        <v>Health/
Related Services</v>
      </c>
    </row>
    <row r="1070" spans="1:23" x14ac:dyDescent="0.25">
      <c r="A1070">
        <v>17403</v>
      </c>
      <c r="B1070" t="s">
        <v>1295</v>
      </c>
      <c r="C1070">
        <v>19.193999999999999</v>
      </c>
      <c r="D1070" t="s">
        <v>1264</v>
      </c>
      <c r="E1070">
        <v>100216</v>
      </c>
      <c r="F1070">
        <v>17403</v>
      </c>
      <c r="G1070" t="str">
        <f t="shared" si="96"/>
        <v>17403</v>
      </c>
      <c r="H1070" t="s">
        <v>398</v>
      </c>
      <c r="I1070" t="s">
        <v>1265</v>
      </c>
      <c r="J1070" t="s">
        <v>1271</v>
      </c>
      <c r="K1070" t="s">
        <v>1272</v>
      </c>
      <c r="L1070" t="s">
        <v>1295</v>
      </c>
      <c r="M1070" t="s">
        <v>1296</v>
      </c>
      <c r="N1070">
        <v>1</v>
      </c>
      <c r="O1070" t="str">
        <f t="shared" si="99"/>
        <v>26</v>
      </c>
      <c r="Q1070">
        <v>26</v>
      </c>
      <c r="R1070" t="s">
        <v>1269</v>
      </c>
      <c r="S1070">
        <v>19.193999999999999</v>
      </c>
      <c r="T1070">
        <v>0.29559999999999997</v>
      </c>
      <c r="U1070">
        <f t="shared" si="100"/>
        <v>0</v>
      </c>
      <c r="V1070" t="str">
        <f t="shared" si="97"/>
        <v>High Health/
Related Services</v>
      </c>
      <c r="W1070" t="str">
        <f t="shared" si="98"/>
        <v>Health/
Related Services</v>
      </c>
    </row>
    <row r="1071" spans="1:23" x14ac:dyDescent="0.25">
      <c r="A1071">
        <v>17403</v>
      </c>
      <c r="B1071" t="s">
        <v>1401</v>
      </c>
      <c r="C1071">
        <v>8.2059999999999995</v>
      </c>
      <c r="D1071" t="s">
        <v>1264</v>
      </c>
      <c r="E1071">
        <v>100216</v>
      </c>
      <c r="F1071">
        <v>17403</v>
      </c>
      <c r="G1071" t="str">
        <f t="shared" si="96"/>
        <v>17403</v>
      </c>
      <c r="H1071" t="s">
        <v>398</v>
      </c>
      <c r="I1071" t="s">
        <v>1265</v>
      </c>
      <c r="J1071" t="s">
        <v>1271</v>
      </c>
      <c r="K1071" t="s">
        <v>1272</v>
      </c>
      <c r="L1071" t="s">
        <v>1401</v>
      </c>
      <c r="M1071" t="s">
        <v>1422</v>
      </c>
      <c r="N1071">
        <v>1</v>
      </c>
      <c r="O1071" t="str">
        <f t="shared" si="99"/>
        <v>35</v>
      </c>
      <c r="Q1071">
        <v>35</v>
      </c>
      <c r="R1071" t="s">
        <v>1269</v>
      </c>
      <c r="S1071">
        <v>8.2059999999999995</v>
      </c>
      <c r="T1071">
        <v>0.29559999999999997</v>
      </c>
      <c r="U1071">
        <f t="shared" si="100"/>
        <v>0</v>
      </c>
      <c r="V1071" t="str">
        <f t="shared" si="97"/>
        <v>High Pupil Safety</v>
      </c>
      <c r="W1071" t="str">
        <f t="shared" si="98"/>
        <v>Pupil Safety</v>
      </c>
    </row>
    <row r="1072" spans="1:23" x14ac:dyDescent="0.25">
      <c r="A1072">
        <v>17403</v>
      </c>
      <c r="B1072" t="s">
        <v>1321</v>
      </c>
      <c r="C1072">
        <v>0.33300000000000002</v>
      </c>
      <c r="D1072" t="s">
        <v>1264</v>
      </c>
      <c r="E1072">
        <v>100216</v>
      </c>
      <c r="F1072">
        <v>17403</v>
      </c>
      <c r="G1072" t="str">
        <f t="shared" si="96"/>
        <v>17403</v>
      </c>
      <c r="H1072" t="s">
        <v>398</v>
      </c>
      <c r="I1072" t="s">
        <v>1265</v>
      </c>
      <c r="J1072" t="s">
        <v>1276</v>
      </c>
      <c r="K1072" t="s">
        <v>1277</v>
      </c>
      <c r="L1072" t="s">
        <v>1321</v>
      </c>
      <c r="M1072" t="s">
        <v>1429</v>
      </c>
      <c r="N1072">
        <v>21</v>
      </c>
      <c r="O1072" t="str">
        <f t="shared" si="99"/>
        <v>42</v>
      </c>
      <c r="P1072">
        <v>42</v>
      </c>
      <c r="R1072" t="s">
        <v>1269</v>
      </c>
      <c r="S1072">
        <v>0.33300000000000002</v>
      </c>
      <c r="T1072">
        <v>0.29559999999999997</v>
      </c>
      <c r="U1072">
        <f t="shared" si="100"/>
        <v>9.8000000000000004E-2</v>
      </c>
      <c r="V1072" t="str">
        <f t="shared" si="97"/>
        <v>Elementary Counselor</v>
      </c>
      <c r="W1072" t="str">
        <f t="shared" si="98"/>
        <v>Counselor</v>
      </c>
    </row>
    <row r="1073" spans="1:23" x14ac:dyDescent="0.25">
      <c r="A1073">
        <v>17403</v>
      </c>
      <c r="B1073" t="s">
        <v>1275</v>
      </c>
      <c r="C1073">
        <v>17.649999999999999</v>
      </c>
      <c r="D1073" t="s">
        <v>1264</v>
      </c>
      <c r="E1073">
        <v>100216</v>
      </c>
      <c r="F1073">
        <v>17403</v>
      </c>
      <c r="G1073" t="str">
        <f t="shared" si="96"/>
        <v>17403</v>
      </c>
      <c r="H1073" t="s">
        <v>398</v>
      </c>
      <c r="I1073" t="s">
        <v>1265</v>
      </c>
      <c r="J1073" t="s">
        <v>1276</v>
      </c>
      <c r="K1073" t="s">
        <v>1277</v>
      </c>
      <c r="L1073" t="s">
        <v>1275</v>
      </c>
      <c r="M1073" t="s">
        <v>1278</v>
      </c>
      <c r="N1073">
        <v>1</v>
      </c>
      <c r="O1073" t="str">
        <f t="shared" si="99"/>
        <v>42</v>
      </c>
      <c r="P1073">
        <v>42</v>
      </c>
      <c r="R1073" t="s">
        <v>1269</v>
      </c>
      <c r="S1073">
        <v>17.649999999999999</v>
      </c>
      <c r="T1073">
        <v>0.29559999999999997</v>
      </c>
      <c r="U1073">
        <f t="shared" si="100"/>
        <v>0</v>
      </c>
      <c r="V1073" t="str">
        <f t="shared" si="97"/>
        <v>Elementary Counselor</v>
      </c>
      <c r="W1073" t="str">
        <f t="shared" si="98"/>
        <v>Counselor</v>
      </c>
    </row>
    <row r="1074" spans="1:23" x14ac:dyDescent="0.25">
      <c r="A1074">
        <v>17403</v>
      </c>
      <c r="B1074" t="s">
        <v>1385</v>
      </c>
      <c r="C1074">
        <v>0.33300000000000002</v>
      </c>
      <c r="D1074" t="s">
        <v>1264</v>
      </c>
      <c r="E1074">
        <v>100216</v>
      </c>
      <c r="F1074">
        <v>17403</v>
      </c>
      <c r="G1074" t="str">
        <f t="shared" si="96"/>
        <v>17403</v>
      </c>
      <c r="H1074" t="s">
        <v>398</v>
      </c>
      <c r="I1074" t="s">
        <v>1265</v>
      </c>
      <c r="J1074" t="s">
        <v>1271</v>
      </c>
      <c r="K1074" t="s">
        <v>1272</v>
      </c>
      <c r="L1074" t="s">
        <v>1385</v>
      </c>
      <c r="M1074" t="s">
        <v>1421</v>
      </c>
      <c r="N1074">
        <v>21</v>
      </c>
      <c r="O1074" t="str">
        <f t="shared" si="99"/>
        <v>42</v>
      </c>
      <c r="P1074">
        <v>42</v>
      </c>
      <c r="R1074" t="s">
        <v>1269</v>
      </c>
      <c r="S1074">
        <v>0.33300000000000002</v>
      </c>
      <c r="T1074">
        <v>0.29559999999999997</v>
      </c>
      <c r="U1074">
        <f t="shared" si="100"/>
        <v>9.8000000000000004E-2</v>
      </c>
      <c r="V1074" t="str">
        <f t="shared" si="97"/>
        <v>High Counselor</v>
      </c>
      <c r="W1074" t="str">
        <f t="shared" si="98"/>
        <v>Counselor</v>
      </c>
    </row>
    <row r="1075" spans="1:23" x14ac:dyDescent="0.25">
      <c r="A1075">
        <v>17403</v>
      </c>
      <c r="B1075" t="s">
        <v>1270</v>
      </c>
      <c r="C1075">
        <v>14</v>
      </c>
      <c r="D1075" t="s">
        <v>1264</v>
      </c>
      <c r="E1075">
        <v>100216</v>
      </c>
      <c r="F1075">
        <v>17403</v>
      </c>
      <c r="G1075" t="str">
        <f t="shared" si="96"/>
        <v>17403</v>
      </c>
      <c r="H1075" t="s">
        <v>398</v>
      </c>
      <c r="I1075" t="s">
        <v>1265</v>
      </c>
      <c r="J1075" t="s">
        <v>1271</v>
      </c>
      <c r="K1075" t="s">
        <v>1272</v>
      </c>
      <c r="L1075" t="s">
        <v>1270</v>
      </c>
      <c r="M1075" t="s">
        <v>1273</v>
      </c>
      <c r="N1075">
        <v>1</v>
      </c>
      <c r="O1075" t="str">
        <f t="shared" si="99"/>
        <v>42</v>
      </c>
      <c r="P1075">
        <v>42</v>
      </c>
      <c r="R1075" t="s">
        <v>1269</v>
      </c>
      <c r="S1075">
        <v>14</v>
      </c>
      <c r="T1075">
        <v>0.29559999999999997</v>
      </c>
      <c r="U1075">
        <f t="shared" si="100"/>
        <v>0</v>
      </c>
      <c r="V1075" t="str">
        <f t="shared" si="97"/>
        <v>High Counselor</v>
      </c>
      <c r="W1075" t="str">
        <f t="shared" si="98"/>
        <v>Counselor</v>
      </c>
    </row>
    <row r="1076" spans="1:23" x14ac:dyDescent="0.25">
      <c r="A1076">
        <v>17403</v>
      </c>
      <c r="B1076" t="s">
        <v>1365</v>
      </c>
      <c r="C1076">
        <v>0.33400000000000002</v>
      </c>
      <c r="D1076" t="s">
        <v>1264</v>
      </c>
      <c r="E1076">
        <v>100216</v>
      </c>
      <c r="F1076">
        <v>17403</v>
      </c>
      <c r="G1076" t="str">
        <f t="shared" si="96"/>
        <v>17403</v>
      </c>
      <c r="H1076" t="s">
        <v>398</v>
      </c>
      <c r="I1076" t="s">
        <v>1265</v>
      </c>
      <c r="J1076" t="s">
        <v>1266</v>
      </c>
      <c r="K1076" t="s">
        <v>1267</v>
      </c>
      <c r="L1076" t="s">
        <v>1365</v>
      </c>
      <c r="M1076" t="s">
        <v>1428</v>
      </c>
      <c r="N1076">
        <v>21</v>
      </c>
      <c r="O1076" t="str">
        <f t="shared" si="99"/>
        <v>42</v>
      </c>
      <c r="P1076">
        <v>42</v>
      </c>
      <c r="R1076" t="s">
        <v>1269</v>
      </c>
      <c r="S1076">
        <v>0.33400000000000002</v>
      </c>
      <c r="T1076">
        <v>0.29559999999999997</v>
      </c>
      <c r="U1076">
        <f t="shared" si="100"/>
        <v>9.9000000000000005E-2</v>
      </c>
      <c r="V1076" t="str">
        <f t="shared" si="97"/>
        <v>Middle Counselor</v>
      </c>
      <c r="W1076" t="str">
        <f t="shared" si="98"/>
        <v>Counselor</v>
      </c>
    </row>
    <row r="1077" spans="1:23" x14ac:dyDescent="0.25">
      <c r="A1077">
        <v>17403</v>
      </c>
      <c r="B1077" t="s">
        <v>1263</v>
      </c>
      <c r="C1077">
        <v>5.35</v>
      </c>
      <c r="D1077" t="s">
        <v>1264</v>
      </c>
      <c r="E1077">
        <v>100216</v>
      </c>
      <c r="F1077">
        <v>17403</v>
      </c>
      <c r="G1077" t="str">
        <f t="shared" si="96"/>
        <v>17403</v>
      </c>
      <c r="H1077" t="s">
        <v>398</v>
      </c>
      <c r="I1077" t="s">
        <v>1265</v>
      </c>
      <c r="J1077" t="s">
        <v>1266</v>
      </c>
      <c r="K1077" t="s">
        <v>1267</v>
      </c>
      <c r="L1077" t="s">
        <v>1263</v>
      </c>
      <c r="M1077" t="s">
        <v>1268</v>
      </c>
      <c r="N1077">
        <v>1</v>
      </c>
      <c r="O1077" t="str">
        <f t="shared" si="99"/>
        <v>42</v>
      </c>
      <c r="P1077">
        <v>42</v>
      </c>
      <c r="R1077" t="s">
        <v>1269</v>
      </c>
      <c r="S1077">
        <v>5.35</v>
      </c>
      <c r="T1077">
        <v>0.29559999999999997</v>
      </c>
      <c r="U1077">
        <f t="shared" si="100"/>
        <v>0</v>
      </c>
      <c r="V1077" t="str">
        <f t="shared" si="97"/>
        <v>Middle Counselor</v>
      </c>
      <c r="W1077" t="str">
        <f t="shared" si="98"/>
        <v>Counselor</v>
      </c>
    </row>
    <row r="1078" spans="1:23" x14ac:dyDescent="0.25">
      <c r="A1078">
        <v>17403</v>
      </c>
      <c r="B1078" t="s">
        <v>1289</v>
      </c>
      <c r="C1078">
        <v>13.087</v>
      </c>
      <c r="D1078" t="s">
        <v>1264</v>
      </c>
      <c r="E1078">
        <v>100216</v>
      </c>
      <c r="F1078">
        <v>17403</v>
      </c>
      <c r="G1078" t="str">
        <f t="shared" si="96"/>
        <v>17403</v>
      </c>
      <c r="H1078" t="s">
        <v>398</v>
      </c>
      <c r="I1078" t="s">
        <v>1265</v>
      </c>
      <c r="J1078" t="s">
        <v>1276</v>
      </c>
      <c r="K1078" t="s">
        <v>1277</v>
      </c>
      <c r="L1078" t="s">
        <v>1289</v>
      </c>
      <c r="M1078" t="s">
        <v>1307</v>
      </c>
      <c r="N1078">
        <v>21</v>
      </c>
      <c r="O1078" t="str">
        <f t="shared" si="99"/>
        <v>43</v>
      </c>
      <c r="P1078">
        <v>43</v>
      </c>
      <c r="R1078" t="s">
        <v>1269</v>
      </c>
      <c r="S1078">
        <v>13.087</v>
      </c>
      <c r="T1078">
        <v>0.29559999999999997</v>
      </c>
      <c r="U1078">
        <f t="shared" si="100"/>
        <v>3.8690000000000002</v>
      </c>
      <c r="V1078" t="str">
        <f t="shared" si="97"/>
        <v>Elementary Occupational Therapist</v>
      </c>
      <c r="W1078" t="str">
        <f t="shared" si="98"/>
        <v>Occupational Therapist</v>
      </c>
    </row>
    <row r="1079" spans="1:23" x14ac:dyDescent="0.25">
      <c r="A1079">
        <v>17403</v>
      </c>
      <c r="B1079" t="s">
        <v>1387</v>
      </c>
      <c r="C1079">
        <v>2.33</v>
      </c>
      <c r="D1079" t="s">
        <v>1264</v>
      </c>
      <c r="E1079">
        <v>100216</v>
      </c>
      <c r="F1079">
        <v>17403</v>
      </c>
      <c r="G1079" t="str">
        <f t="shared" si="96"/>
        <v>17403</v>
      </c>
      <c r="H1079" t="s">
        <v>398</v>
      </c>
      <c r="I1079" t="s">
        <v>1265</v>
      </c>
      <c r="J1079" t="s">
        <v>1271</v>
      </c>
      <c r="K1079" t="s">
        <v>1272</v>
      </c>
      <c r="L1079" t="s">
        <v>1387</v>
      </c>
      <c r="M1079" t="s">
        <v>1406</v>
      </c>
      <c r="N1079">
        <v>21</v>
      </c>
      <c r="O1079" t="str">
        <f t="shared" si="99"/>
        <v>43</v>
      </c>
      <c r="P1079">
        <v>43</v>
      </c>
      <c r="R1079" t="s">
        <v>1269</v>
      </c>
      <c r="S1079">
        <v>2.33</v>
      </c>
      <c r="T1079">
        <v>0.29559999999999997</v>
      </c>
      <c r="U1079">
        <f t="shared" si="100"/>
        <v>0.68899999999999995</v>
      </c>
      <c r="V1079" t="str">
        <f t="shared" si="97"/>
        <v>High Occupational Therapist</v>
      </c>
      <c r="W1079" t="str">
        <f t="shared" si="98"/>
        <v>Occupational Therapist</v>
      </c>
    </row>
    <row r="1080" spans="1:23" x14ac:dyDescent="0.25">
      <c r="A1080">
        <v>17403</v>
      </c>
      <c r="B1080" t="s">
        <v>1303</v>
      </c>
      <c r="C1080">
        <v>2.343</v>
      </c>
      <c r="D1080" t="s">
        <v>1264</v>
      </c>
      <c r="E1080">
        <v>100216</v>
      </c>
      <c r="F1080">
        <v>17403</v>
      </c>
      <c r="G1080" t="str">
        <f t="shared" si="96"/>
        <v>17403</v>
      </c>
      <c r="H1080" t="s">
        <v>398</v>
      </c>
      <c r="I1080" t="s">
        <v>1265</v>
      </c>
      <c r="J1080" t="s">
        <v>1266</v>
      </c>
      <c r="K1080" t="s">
        <v>1267</v>
      </c>
      <c r="L1080" t="s">
        <v>1303</v>
      </c>
      <c r="M1080" t="s">
        <v>1304</v>
      </c>
      <c r="N1080">
        <v>21</v>
      </c>
      <c r="O1080" t="str">
        <f t="shared" si="99"/>
        <v>43</v>
      </c>
      <c r="P1080">
        <v>43</v>
      </c>
      <c r="R1080" t="s">
        <v>1269</v>
      </c>
      <c r="S1080">
        <v>2.343</v>
      </c>
      <c r="T1080">
        <v>0.29559999999999997</v>
      </c>
      <c r="U1080">
        <f t="shared" si="100"/>
        <v>0.69299999999999995</v>
      </c>
      <c r="V1080" t="str">
        <f t="shared" si="97"/>
        <v>Middle Occupational Therapist</v>
      </c>
      <c r="W1080" t="str">
        <f t="shared" si="98"/>
        <v>Occupational Therapist</v>
      </c>
    </row>
    <row r="1081" spans="1:23" x14ac:dyDescent="0.25">
      <c r="A1081">
        <v>17403</v>
      </c>
      <c r="B1081" t="s">
        <v>1294</v>
      </c>
      <c r="C1081">
        <v>16.856999999999999</v>
      </c>
      <c r="D1081" t="s">
        <v>1264</v>
      </c>
      <c r="E1081">
        <v>100216</v>
      </c>
      <c r="F1081">
        <v>17403</v>
      </c>
      <c r="G1081" t="str">
        <f t="shared" si="96"/>
        <v>17403</v>
      </c>
      <c r="H1081" t="s">
        <v>398</v>
      </c>
      <c r="I1081" t="s">
        <v>1265</v>
      </c>
      <c r="J1081" t="s">
        <v>1276</v>
      </c>
      <c r="K1081" t="s">
        <v>1277</v>
      </c>
      <c r="L1081" t="s">
        <v>1294</v>
      </c>
      <c r="M1081" t="s">
        <v>1354</v>
      </c>
      <c r="N1081">
        <v>21</v>
      </c>
      <c r="O1081" t="str">
        <f t="shared" si="99"/>
        <v>45</v>
      </c>
      <c r="P1081">
        <v>45</v>
      </c>
      <c r="R1081" t="s">
        <v>1269</v>
      </c>
      <c r="S1081">
        <v>16.856999999999999</v>
      </c>
      <c r="T1081">
        <v>0.29559999999999997</v>
      </c>
      <c r="U1081">
        <f t="shared" si="100"/>
        <v>4.9829999999999997</v>
      </c>
      <c r="V1081" t="str">
        <f t="shared" si="97"/>
        <v>Elementary Speech, Language Pathway/
Audio</v>
      </c>
      <c r="W1081" t="str">
        <f t="shared" si="98"/>
        <v>Speech, Language Pathway/
Audio</v>
      </c>
    </row>
    <row r="1082" spans="1:23" x14ac:dyDescent="0.25">
      <c r="A1082">
        <v>17403</v>
      </c>
      <c r="B1082" t="s">
        <v>1332</v>
      </c>
      <c r="C1082">
        <v>0.4</v>
      </c>
      <c r="D1082" t="s">
        <v>1264</v>
      </c>
      <c r="E1082">
        <v>100216</v>
      </c>
      <c r="F1082">
        <v>17403</v>
      </c>
      <c r="G1082" t="str">
        <f t="shared" si="96"/>
        <v>17403</v>
      </c>
      <c r="H1082" t="s">
        <v>398</v>
      </c>
      <c r="I1082" t="s">
        <v>1265</v>
      </c>
      <c r="J1082" t="s">
        <v>1276</v>
      </c>
      <c r="K1082" t="s">
        <v>1277</v>
      </c>
      <c r="L1082" t="s">
        <v>1332</v>
      </c>
      <c r="M1082" t="s">
        <v>1403</v>
      </c>
      <c r="N1082">
        <v>1</v>
      </c>
      <c r="O1082" t="str">
        <f t="shared" si="99"/>
        <v>45</v>
      </c>
      <c r="P1082">
        <v>45</v>
      </c>
      <c r="R1082" t="s">
        <v>1269</v>
      </c>
      <c r="S1082">
        <v>0.4</v>
      </c>
      <c r="T1082">
        <v>0.29559999999999997</v>
      </c>
      <c r="U1082">
        <f t="shared" si="100"/>
        <v>0</v>
      </c>
      <c r="V1082" t="str">
        <f t="shared" si="97"/>
        <v>Elementary Speech, Language Pathway/
Audio</v>
      </c>
      <c r="W1082" t="str">
        <f t="shared" si="98"/>
        <v>Speech, Language Pathway/
Audio</v>
      </c>
    </row>
    <row r="1083" spans="1:23" x14ac:dyDescent="0.25">
      <c r="A1083">
        <v>17403</v>
      </c>
      <c r="B1083" t="s">
        <v>1326</v>
      </c>
      <c r="C1083">
        <v>4</v>
      </c>
      <c r="D1083" t="s">
        <v>1264</v>
      </c>
      <c r="E1083">
        <v>100216</v>
      </c>
      <c r="F1083">
        <v>17403</v>
      </c>
      <c r="G1083" t="str">
        <f t="shared" si="96"/>
        <v>17403</v>
      </c>
      <c r="H1083" t="s">
        <v>398</v>
      </c>
      <c r="I1083" t="s">
        <v>1265</v>
      </c>
      <c r="J1083" t="s">
        <v>1271</v>
      </c>
      <c r="K1083" t="s">
        <v>1272</v>
      </c>
      <c r="L1083" t="s">
        <v>1326</v>
      </c>
      <c r="M1083" t="s">
        <v>1353</v>
      </c>
      <c r="N1083">
        <v>21</v>
      </c>
      <c r="O1083" t="str">
        <f t="shared" si="99"/>
        <v>45</v>
      </c>
      <c r="P1083">
        <v>45</v>
      </c>
      <c r="R1083" t="s">
        <v>1269</v>
      </c>
      <c r="S1083">
        <v>4</v>
      </c>
      <c r="T1083">
        <v>0.29559999999999997</v>
      </c>
      <c r="U1083">
        <f t="shared" si="100"/>
        <v>1.1819999999999999</v>
      </c>
      <c r="V1083" t="str">
        <f t="shared" si="97"/>
        <v>High Speech, Language Pathway/
Audio</v>
      </c>
      <c r="W1083" t="str">
        <f t="shared" si="98"/>
        <v>Speech, Language Pathway/
Audio</v>
      </c>
    </row>
    <row r="1084" spans="1:23" x14ac:dyDescent="0.25">
      <c r="A1084">
        <v>17403</v>
      </c>
      <c r="B1084" t="s">
        <v>1312</v>
      </c>
      <c r="C1084">
        <v>3.996</v>
      </c>
      <c r="D1084" t="s">
        <v>1264</v>
      </c>
      <c r="E1084">
        <v>100216</v>
      </c>
      <c r="F1084">
        <v>17403</v>
      </c>
      <c r="G1084" t="str">
        <f t="shared" si="96"/>
        <v>17403</v>
      </c>
      <c r="H1084" t="s">
        <v>398</v>
      </c>
      <c r="I1084" t="s">
        <v>1265</v>
      </c>
      <c r="J1084" t="s">
        <v>1266</v>
      </c>
      <c r="K1084" t="s">
        <v>1267</v>
      </c>
      <c r="L1084" t="s">
        <v>1312</v>
      </c>
      <c r="M1084" t="s">
        <v>1351</v>
      </c>
      <c r="N1084">
        <v>21</v>
      </c>
      <c r="O1084" t="str">
        <f t="shared" si="99"/>
        <v>45</v>
      </c>
      <c r="P1084">
        <v>45</v>
      </c>
      <c r="R1084" t="s">
        <v>1269</v>
      </c>
      <c r="S1084">
        <v>3.996</v>
      </c>
      <c r="T1084">
        <v>0.29559999999999997</v>
      </c>
      <c r="U1084">
        <f t="shared" si="100"/>
        <v>1.181</v>
      </c>
      <c r="V1084" t="str">
        <f t="shared" si="97"/>
        <v>Middle Speech, Language Pathway/
Audio</v>
      </c>
      <c r="W1084" t="str">
        <f t="shared" si="98"/>
        <v>Speech, Language Pathway/
Audio</v>
      </c>
    </row>
    <row r="1085" spans="1:23" x14ac:dyDescent="0.25">
      <c r="A1085">
        <v>17403</v>
      </c>
      <c r="B1085" t="s">
        <v>1298</v>
      </c>
      <c r="C1085">
        <v>7.8</v>
      </c>
      <c r="D1085" t="s">
        <v>1264</v>
      </c>
      <c r="E1085">
        <v>100216</v>
      </c>
      <c r="F1085">
        <v>17403</v>
      </c>
      <c r="G1085" t="str">
        <f t="shared" si="96"/>
        <v>17403</v>
      </c>
      <c r="H1085" t="s">
        <v>398</v>
      </c>
      <c r="I1085" t="s">
        <v>1265</v>
      </c>
      <c r="J1085" t="s">
        <v>1276</v>
      </c>
      <c r="K1085" t="s">
        <v>1277</v>
      </c>
      <c r="L1085" t="s">
        <v>1298</v>
      </c>
      <c r="M1085" t="s">
        <v>1349</v>
      </c>
      <c r="N1085">
        <v>21</v>
      </c>
      <c r="O1085" t="str">
        <f t="shared" si="99"/>
        <v>46</v>
      </c>
      <c r="P1085">
        <v>46</v>
      </c>
      <c r="R1085" t="s">
        <v>1269</v>
      </c>
      <c r="S1085">
        <v>7.8</v>
      </c>
      <c r="T1085">
        <v>0.29559999999999997</v>
      </c>
      <c r="U1085">
        <f t="shared" si="100"/>
        <v>2.306</v>
      </c>
      <c r="V1085" t="str">
        <f t="shared" si="97"/>
        <v>Elementary Psychologist</v>
      </c>
      <c r="W1085" t="str">
        <f t="shared" si="98"/>
        <v>Psychologist</v>
      </c>
    </row>
    <row r="1086" spans="1:23" x14ac:dyDescent="0.25">
      <c r="A1086">
        <v>17403</v>
      </c>
      <c r="B1086" t="s">
        <v>1309</v>
      </c>
      <c r="C1086">
        <v>3.7</v>
      </c>
      <c r="D1086" t="s">
        <v>1264</v>
      </c>
      <c r="E1086">
        <v>100216</v>
      </c>
      <c r="F1086">
        <v>17403</v>
      </c>
      <c r="G1086" t="str">
        <f t="shared" si="96"/>
        <v>17403</v>
      </c>
      <c r="H1086" t="s">
        <v>398</v>
      </c>
      <c r="I1086" t="s">
        <v>1265</v>
      </c>
      <c r="J1086" t="s">
        <v>1271</v>
      </c>
      <c r="K1086" t="s">
        <v>1272</v>
      </c>
      <c r="L1086" t="s">
        <v>1309</v>
      </c>
      <c r="M1086" t="s">
        <v>1310</v>
      </c>
      <c r="N1086">
        <v>21</v>
      </c>
      <c r="O1086" t="str">
        <f t="shared" si="99"/>
        <v>46</v>
      </c>
      <c r="P1086">
        <v>46</v>
      </c>
      <c r="R1086" t="s">
        <v>1269</v>
      </c>
      <c r="S1086">
        <v>3.7</v>
      </c>
      <c r="T1086">
        <v>0.29559999999999997</v>
      </c>
      <c r="U1086">
        <f t="shared" si="100"/>
        <v>1.0940000000000001</v>
      </c>
      <c r="V1086" t="str">
        <f t="shared" si="97"/>
        <v>High Psychologist</v>
      </c>
      <c r="W1086" t="str">
        <f t="shared" si="98"/>
        <v>Psychologist</v>
      </c>
    </row>
    <row r="1087" spans="1:23" x14ac:dyDescent="0.25">
      <c r="A1087">
        <v>17403</v>
      </c>
      <c r="B1087" t="s">
        <v>1345</v>
      </c>
      <c r="C1087">
        <v>3.8</v>
      </c>
      <c r="D1087" t="s">
        <v>1264</v>
      </c>
      <c r="E1087">
        <v>100216</v>
      </c>
      <c r="F1087">
        <v>17403</v>
      </c>
      <c r="G1087" t="str">
        <f t="shared" si="96"/>
        <v>17403</v>
      </c>
      <c r="H1087" t="s">
        <v>398</v>
      </c>
      <c r="I1087" t="s">
        <v>1265</v>
      </c>
      <c r="J1087" t="s">
        <v>1266</v>
      </c>
      <c r="K1087" t="s">
        <v>1267</v>
      </c>
      <c r="L1087" t="s">
        <v>1345</v>
      </c>
      <c r="M1087" t="s">
        <v>1346</v>
      </c>
      <c r="N1087">
        <v>21</v>
      </c>
      <c r="O1087" t="str">
        <f t="shared" si="99"/>
        <v>46</v>
      </c>
      <c r="P1087">
        <v>46</v>
      </c>
      <c r="R1087" t="s">
        <v>1269</v>
      </c>
      <c r="S1087">
        <v>3.8</v>
      </c>
      <c r="T1087">
        <v>0.29559999999999997</v>
      </c>
      <c r="U1087">
        <f t="shared" si="100"/>
        <v>1.123</v>
      </c>
      <c r="V1087" t="str">
        <f t="shared" si="97"/>
        <v>Middle Psychologist</v>
      </c>
      <c r="W1087" t="str">
        <f t="shared" si="98"/>
        <v>Psychologist</v>
      </c>
    </row>
    <row r="1088" spans="1:23" x14ac:dyDescent="0.25">
      <c r="A1088">
        <v>17403</v>
      </c>
      <c r="B1088" t="s">
        <v>1335</v>
      </c>
      <c r="C1088">
        <v>6.7389999999999999</v>
      </c>
      <c r="D1088" t="s">
        <v>1264</v>
      </c>
      <c r="E1088">
        <v>100216</v>
      </c>
      <c r="F1088">
        <v>17403</v>
      </c>
      <c r="G1088" t="str">
        <f t="shared" si="96"/>
        <v>17403</v>
      </c>
      <c r="H1088" t="s">
        <v>398</v>
      </c>
      <c r="I1088" t="s">
        <v>1265</v>
      </c>
      <c r="J1088" t="s">
        <v>1276</v>
      </c>
      <c r="K1088" t="s">
        <v>1277</v>
      </c>
      <c r="L1088" t="s">
        <v>1335</v>
      </c>
      <c r="M1088" t="s">
        <v>1344</v>
      </c>
      <c r="N1088">
        <v>1</v>
      </c>
      <c r="O1088" t="str">
        <f t="shared" si="99"/>
        <v>47</v>
      </c>
      <c r="P1088">
        <v>47</v>
      </c>
      <c r="R1088" t="s">
        <v>1269</v>
      </c>
      <c r="S1088">
        <v>6.7389999999999999</v>
      </c>
      <c r="T1088">
        <v>0.29559999999999997</v>
      </c>
      <c r="U1088">
        <f t="shared" si="100"/>
        <v>0</v>
      </c>
      <c r="V1088" t="str">
        <f t="shared" si="97"/>
        <v>Elementary Nurse</v>
      </c>
      <c r="W1088" t="str">
        <f t="shared" si="98"/>
        <v>Nurse</v>
      </c>
    </row>
    <row r="1089" spans="1:23" x14ac:dyDescent="0.25">
      <c r="A1089">
        <v>17403</v>
      </c>
      <c r="B1089" t="s">
        <v>1341</v>
      </c>
      <c r="C1089">
        <v>3.8780000000000001</v>
      </c>
      <c r="D1089" t="s">
        <v>1264</v>
      </c>
      <c r="E1089">
        <v>100216</v>
      </c>
      <c r="F1089">
        <v>17403</v>
      </c>
      <c r="G1089" t="str">
        <f t="shared" si="96"/>
        <v>17403</v>
      </c>
      <c r="H1089" t="s">
        <v>398</v>
      </c>
      <c r="I1089" t="s">
        <v>1265</v>
      </c>
      <c r="J1089" t="s">
        <v>1271</v>
      </c>
      <c r="K1089" t="s">
        <v>1272</v>
      </c>
      <c r="L1089" t="s">
        <v>1341</v>
      </c>
      <c r="M1089" t="s">
        <v>1342</v>
      </c>
      <c r="N1089">
        <v>1</v>
      </c>
      <c r="O1089" t="str">
        <f t="shared" si="99"/>
        <v>47</v>
      </c>
      <c r="P1089">
        <v>47</v>
      </c>
      <c r="R1089" t="s">
        <v>1269</v>
      </c>
      <c r="S1089">
        <v>3.8780000000000001</v>
      </c>
      <c r="T1089">
        <v>0.29559999999999997</v>
      </c>
      <c r="U1089">
        <f t="shared" si="100"/>
        <v>0</v>
      </c>
      <c r="V1089" t="str">
        <f t="shared" si="97"/>
        <v>High Nurse</v>
      </c>
      <c r="W1089" t="str">
        <f t="shared" si="98"/>
        <v>Nurse</v>
      </c>
    </row>
    <row r="1090" spans="1:23" x14ac:dyDescent="0.25">
      <c r="A1090">
        <v>17403</v>
      </c>
      <c r="B1090" t="s">
        <v>1338</v>
      </c>
      <c r="C1090">
        <v>3.2</v>
      </c>
      <c r="D1090" t="s">
        <v>1264</v>
      </c>
      <c r="E1090">
        <v>100216</v>
      </c>
      <c r="F1090">
        <v>17403</v>
      </c>
      <c r="G1090" t="str">
        <f t="shared" ref="G1090:G1153" si="101">TEXT(F1090,"00000")</f>
        <v>17403</v>
      </c>
      <c r="H1090" t="s">
        <v>398</v>
      </c>
      <c r="I1090" t="s">
        <v>1265</v>
      </c>
      <c r="J1090" t="s">
        <v>1266</v>
      </c>
      <c r="K1090" t="s">
        <v>1267</v>
      </c>
      <c r="L1090" t="s">
        <v>1338</v>
      </c>
      <c r="M1090" t="s">
        <v>1339</v>
      </c>
      <c r="N1090">
        <v>1</v>
      </c>
      <c r="O1090" t="str">
        <f t="shared" si="99"/>
        <v>47</v>
      </c>
      <c r="P1090">
        <v>47</v>
      </c>
      <c r="R1090" t="s">
        <v>1269</v>
      </c>
      <c r="S1090">
        <v>3.2</v>
      </c>
      <c r="T1090">
        <v>0.29559999999999997</v>
      </c>
      <c r="U1090">
        <f t="shared" si="100"/>
        <v>0</v>
      </c>
      <c r="V1090" t="str">
        <f t="shared" ref="V1090:V1153" si="102">_xlfn.XLOOKUP(L1090,$BV:$BV,$BT:$BT,,0)</f>
        <v>Middle Nurse</v>
      </c>
      <c r="W1090" t="str">
        <f t="shared" ref="W1090:W1153" si="103">_xlfn.TEXTAFTER(V1090," ")</f>
        <v>Nurse</v>
      </c>
    </row>
    <row r="1091" spans="1:23" x14ac:dyDescent="0.25">
      <c r="A1091">
        <v>17403</v>
      </c>
      <c r="B1091" t="s">
        <v>1302</v>
      </c>
      <c r="C1091">
        <v>3.548</v>
      </c>
      <c r="D1091" t="s">
        <v>1264</v>
      </c>
      <c r="E1091">
        <v>100216</v>
      </c>
      <c r="F1091">
        <v>17403</v>
      </c>
      <c r="G1091" t="str">
        <f t="shared" si="101"/>
        <v>17403</v>
      </c>
      <c r="H1091" t="s">
        <v>398</v>
      </c>
      <c r="I1091" t="s">
        <v>1265</v>
      </c>
      <c r="J1091" t="s">
        <v>1276</v>
      </c>
      <c r="K1091" t="s">
        <v>1277</v>
      </c>
      <c r="L1091" t="s">
        <v>1302</v>
      </c>
      <c r="M1091" t="s">
        <v>1336</v>
      </c>
      <c r="N1091">
        <v>21</v>
      </c>
      <c r="O1091" t="str">
        <f t="shared" ref="O1091:O1154" si="104">MID(L1091,3,2)</f>
        <v>48</v>
      </c>
      <c r="P1091">
        <v>48</v>
      </c>
      <c r="R1091" t="s">
        <v>1269</v>
      </c>
      <c r="S1091">
        <v>3.548</v>
      </c>
      <c r="T1091">
        <v>0.29559999999999997</v>
      </c>
      <c r="U1091">
        <f t="shared" ref="U1091:U1154" si="105">IF(N1091=21,ROUND(T1091*S1091,3),0)</f>
        <v>1.0489999999999999</v>
      </c>
      <c r="V1091" t="str">
        <f t="shared" si="102"/>
        <v>Elementary Physical Therapist</v>
      </c>
      <c r="W1091" t="str">
        <f t="shared" si="103"/>
        <v>Physical Therapist</v>
      </c>
    </row>
    <row r="1092" spans="1:23" x14ac:dyDescent="0.25">
      <c r="A1092">
        <v>17403</v>
      </c>
      <c r="B1092" t="s">
        <v>1330</v>
      </c>
      <c r="C1092">
        <v>0.9</v>
      </c>
      <c r="D1092" t="s">
        <v>1264</v>
      </c>
      <c r="E1092">
        <v>100216</v>
      </c>
      <c r="F1092">
        <v>17403</v>
      </c>
      <c r="G1092" t="str">
        <f t="shared" si="101"/>
        <v>17403</v>
      </c>
      <c r="H1092" t="s">
        <v>398</v>
      </c>
      <c r="I1092" t="s">
        <v>1265</v>
      </c>
      <c r="J1092" t="s">
        <v>1271</v>
      </c>
      <c r="K1092" t="s">
        <v>1272</v>
      </c>
      <c r="L1092" t="s">
        <v>1330</v>
      </c>
      <c r="M1092" t="s">
        <v>1367</v>
      </c>
      <c r="N1092">
        <v>21</v>
      </c>
      <c r="O1092" t="str">
        <f t="shared" si="104"/>
        <v>48</v>
      </c>
      <c r="P1092">
        <v>48</v>
      </c>
      <c r="R1092" t="s">
        <v>1269</v>
      </c>
      <c r="S1092">
        <v>0.9</v>
      </c>
      <c r="T1092">
        <v>0.29559999999999997</v>
      </c>
      <c r="U1092">
        <f t="shared" si="105"/>
        <v>0.26600000000000001</v>
      </c>
      <c r="V1092" t="str">
        <f t="shared" si="102"/>
        <v>High Physical Therapist</v>
      </c>
      <c r="W1092" t="str">
        <f t="shared" si="103"/>
        <v>Physical Therapist</v>
      </c>
    </row>
    <row r="1093" spans="1:23" x14ac:dyDescent="0.25">
      <c r="A1093">
        <v>17403</v>
      </c>
      <c r="B1093" t="s">
        <v>1316</v>
      </c>
      <c r="C1093">
        <v>0.753</v>
      </c>
      <c r="D1093" t="s">
        <v>1264</v>
      </c>
      <c r="E1093">
        <v>100216</v>
      </c>
      <c r="F1093">
        <v>17403</v>
      </c>
      <c r="G1093" t="str">
        <f t="shared" si="101"/>
        <v>17403</v>
      </c>
      <c r="H1093" t="s">
        <v>398</v>
      </c>
      <c r="I1093" t="s">
        <v>1265</v>
      </c>
      <c r="J1093" t="s">
        <v>1266</v>
      </c>
      <c r="K1093" t="s">
        <v>1267</v>
      </c>
      <c r="L1093" t="s">
        <v>1316</v>
      </c>
      <c r="M1093" t="s">
        <v>1366</v>
      </c>
      <c r="N1093">
        <v>21</v>
      </c>
      <c r="O1093" t="str">
        <f t="shared" si="104"/>
        <v>48</v>
      </c>
      <c r="P1093">
        <v>48</v>
      </c>
      <c r="R1093" t="s">
        <v>1269</v>
      </c>
      <c r="S1093">
        <v>0.753</v>
      </c>
      <c r="T1093">
        <v>0.29559999999999997</v>
      </c>
      <c r="U1093">
        <f t="shared" si="105"/>
        <v>0.223</v>
      </c>
      <c r="V1093" t="str">
        <f t="shared" si="102"/>
        <v>Middle Physical Therapist</v>
      </c>
      <c r="W1093" t="str">
        <f t="shared" si="103"/>
        <v>Physical Therapist</v>
      </c>
    </row>
    <row r="1094" spans="1:23" x14ac:dyDescent="0.25">
      <c r="A1094" t="s">
        <v>102</v>
      </c>
      <c r="B1094" t="s">
        <v>1475</v>
      </c>
      <c r="C1094">
        <v>0.67700000000000005</v>
      </c>
      <c r="F1094" t="s">
        <v>102</v>
      </c>
      <c r="G1094" t="str">
        <f t="shared" si="101"/>
        <v>17403</v>
      </c>
      <c r="H1094" t="s">
        <v>398</v>
      </c>
      <c r="I1094" t="s">
        <v>1265</v>
      </c>
      <c r="K1094" t="s">
        <v>1277</v>
      </c>
      <c r="L1094" t="s">
        <v>1475</v>
      </c>
      <c r="M1094" t="s">
        <v>1644</v>
      </c>
      <c r="N1094">
        <v>9</v>
      </c>
      <c r="O1094" t="str">
        <f t="shared" si="104"/>
        <v>35</v>
      </c>
      <c r="P1094">
        <v>99</v>
      </c>
      <c r="Q1094">
        <v>35</v>
      </c>
      <c r="S1094">
        <v>0.67700000000000005</v>
      </c>
      <c r="T1094">
        <v>0.29559999999999997</v>
      </c>
      <c r="U1094">
        <f t="shared" si="105"/>
        <v>0</v>
      </c>
      <c r="V1094" t="str">
        <f t="shared" si="102"/>
        <v>TK Pupil Safety</v>
      </c>
      <c r="W1094" t="str">
        <f t="shared" si="103"/>
        <v>Pupil Safety</v>
      </c>
    </row>
    <row r="1095" spans="1:23" x14ac:dyDescent="0.25">
      <c r="A1095">
        <v>17404</v>
      </c>
      <c r="B1095" t="s">
        <v>1299</v>
      </c>
      <c r="C1095">
        <v>1</v>
      </c>
      <c r="D1095" t="s">
        <v>1264</v>
      </c>
      <c r="E1095">
        <v>100238</v>
      </c>
      <c r="F1095">
        <v>17404</v>
      </c>
      <c r="G1095" t="str">
        <f t="shared" si="101"/>
        <v>17404</v>
      </c>
      <c r="H1095" t="s">
        <v>399</v>
      </c>
      <c r="I1095" t="s">
        <v>1265</v>
      </c>
      <c r="J1095" t="s">
        <v>1271</v>
      </c>
      <c r="K1095" t="s">
        <v>1272</v>
      </c>
      <c r="L1095" t="s">
        <v>1299</v>
      </c>
      <c r="M1095" t="s">
        <v>1300</v>
      </c>
      <c r="N1095">
        <v>1</v>
      </c>
      <c r="O1095" t="str">
        <f t="shared" si="104"/>
        <v>25</v>
      </c>
      <c r="Q1095">
        <v>25</v>
      </c>
      <c r="R1095" t="s">
        <v>1269</v>
      </c>
      <c r="S1095">
        <v>1</v>
      </c>
      <c r="T1095">
        <v>0.1133</v>
      </c>
      <c r="U1095">
        <f t="shared" si="105"/>
        <v>0</v>
      </c>
      <c r="V1095" t="str">
        <f t="shared" si="102"/>
        <v>High Pupil Management</v>
      </c>
      <c r="W1095" t="str">
        <f t="shared" si="103"/>
        <v>Pupil Management</v>
      </c>
    </row>
    <row r="1096" spans="1:23" x14ac:dyDescent="0.25">
      <c r="A1096">
        <v>17404</v>
      </c>
      <c r="B1096" t="s">
        <v>1295</v>
      </c>
      <c r="C1096">
        <v>0.435</v>
      </c>
      <c r="D1096" t="s">
        <v>1264</v>
      </c>
      <c r="E1096">
        <v>100238</v>
      </c>
      <c r="F1096">
        <v>17404</v>
      </c>
      <c r="G1096" t="str">
        <f t="shared" si="101"/>
        <v>17404</v>
      </c>
      <c r="H1096" t="s">
        <v>399</v>
      </c>
      <c r="I1096" t="s">
        <v>1265</v>
      </c>
      <c r="J1096" t="s">
        <v>1271</v>
      </c>
      <c r="K1096" t="s">
        <v>1272</v>
      </c>
      <c r="L1096" t="s">
        <v>1295</v>
      </c>
      <c r="M1096" t="s">
        <v>1296</v>
      </c>
      <c r="N1096">
        <v>1</v>
      </c>
      <c r="O1096" t="str">
        <f t="shared" si="104"/>
        <v>26</v>
      </c>
      <c r="Q1096">
        <v>26</v>
      </c>
      <c r="R1096" t="s">
        <v>1269</v>
      </c>
      <c r="S1096">
        <v>0.435</v>
      </c>
      <c r="T1096">
        <v>0.1133</v>
      </c>
      <c r="U1096">
        <f t="shared" si="105"/>
        <v>0</v>
      </c>
      <c r="V1096" t="str">
        <f t="shared" si="102"/>
        <v>High Health/
Related Services</v>
      </c>
      <c r="W1096" t="str">
        <f t="shared" si="103"/>
        <v>Health/
Related Services</v>
      </c>
    </row>
    <row r="1097" spans="1:23" x14ac:dyDescent="0.25">
      <c r="A1097">
        <v>17404</v>
      </c>
      <c r="B1097" t="s">
        <v>1270</v>
      </c>
      <c r="C1097">
        <v>1</v>
      </c>
      <c r="D1097" t="s">
        <v>1264</v>
      </c>
      <c r="E1097">
        <v>100238</v>
      </c>
      <c r="F1097">
        <v>17404</v>
      </c>
      <c r="G1097" t="str">
        <f t="shared" si="101"/>
        <v>17404</v>
      </c>
      <c r="H1097" t="s">
        <v>399</v>
      </c>
      <c r="I1097" t="s">
        <v>1265</v>
      </c>
      <c r="J1097" t="s">
        <v>1271</v>
      </c>
      <c r="K1097" t="s">
        <v>1272</v>
      </c>
      <c r="L1097" t="s">
        <v>1270</v>
      </c>
      <c r="M1097" t="s">
        <v>1273</v>
      </c>
      <c r="N1097">
        <v>1</v>
      </c>
      <c r="O1097" t="str">
        <f t="shared" si="104"/>
        <v>42</v>
      </c>
      <c r="P1097">
        <v>42</v>
      </c>
      <c r="R1097" t="s">
        <v>1269</v>
      </c>
      <c r="S1097">
        <v>1</v>
      </c>
      <c r="T1097">
        <v>0.1133</v>
      </c>
      <c r="U1097">
        <f t="shared" si="105"/>
        <v>0</v>
      </c>
      <c r="V1097" t="str">
        <f t="shared" si="102"/>
        <v>High Counselor</v>
      </c>
      <c r="W1097" t="str">
        <f t="shared" si="103"/>
        <v>Counselor</v>
      </c>
    </row>
    <row r="1098" spans="1:23" x14ac:dyDescent="0.25">
      <c r="A1098">
        <v>17405</v>
      </c>
      <c r="B1098" t="s">
        <v>1286</v>
      </c>
      <c r="C1098">
        <v>9.3469999999999995</v>
      </c>
      <c r="D1098" t="s">
        <v>1264</v>
      </c>
      <c r="E1098">
        <v>100019</v>
      </c>
      <c r="F1098">
        <v>17405</v>
      </c>
      <c r="G1098" t="str">
        <f t="shared" si="101"/>
        <v>17405</v>
      </c>
      <c r="H1098" t="s">
        <v>400</v>
      </c>
      <c r="I1098" t="s">
        <v>1265</v>
      </c>
      <c r="J1098" t="s">
        <v>1271</v>
      </c>
      <c r="K1098" t="s">
        <v>1272</v>
      </c>
      <c r="L1098" t="s">
        <v>1286</v>
      </c>
      <c r="M1098" t="s">
        <v>1287</v>
      </c>
      <c r="N1098">
        <v>1</v>
      </c>
      <c r="O1098" t="str">
        <f t="shared" si="104"/>
        <v>24</v>
      </c>
      <c r="P1098">
        <v>96</v>
      </c>
      <c r="Q1098">
        <v>24</v>
      </c>
      <c r="R1098" t="s">
        <v>1269</v>
      </c>
      <c r="S1098">
        <v>9.3469999999999995</v>
      </c>
      <c r="T1098">
        <v>0.21929999999999999</v>
      </c>
      <c r="U1098">
        <f t="shared" si="105"/>
        <v>0</v>
      </c>
      <c r="V1098" t="str">
        <f t="shared" si="102"/>
        <v>High Family Engagement Coordinator</v>
      </c>
      <c r="W1098" t="str">
        <f t="shared" si="103"/>
        <v>Family Engagement Coordinator</v>
      </c>
    </row>
    <row r="1099" spans="1:23" x14ac:dyDescent="0.25">
      <c r="A1099">
        <v>17405</v>
      </c>
      <c r="B1099" t="s">
        <v>1299</v>
      </c>
      <c r="C1099">
        <v>33.963000000000001</v>
      </c>
      <c r="D1099" t="s">
        <v>1264</v>
      </c>
      <c r="E1099">
        <v>100019</v>
      </c>
      <c r="F1099">
        <v>17405</v>
      </c>
      <c r="G1099" t="str">
        <f t="shared" si="101"/>
        <v>17405</v>
      </c>
      <c r="H1099" t="s">
        <v>400</v>
      </c>
      <c r="I1099" t="s">
        <v>1265</v>
      </c>
      <c r="J1099" t="s">
        <v>1271</v>
      </c>
      <c r="K1099" t="s">
        <v>1272</v>
      </c>
      <c r="L1099" t="s">
        <v>1299</v>
      </c>
      <c r="M1099" t="s">
        <v>1300</v>
      </c>
      <c r="N1099">
        <v>1</v>
      </c>
      <c r="O1099" t="str">
        <f t="shared" si="104"/>
        <v>25</v>
      </c>
      <c r="Q1099">
        <v>25</v>
      </c>
      <c r="R1099" t="s">
        <v>1269</v>
      </c>
      <c r="S1099">
        <v>33.963000000000001</v>
      </c>
      <c r="T1099">
        <v>0.21929999999999999</v>
      </c>
      <c r="U1099">
        <f t="shared" si="105"/>
        <v>0</v>
      </c>
      <c r="V1099" t="str">
        <f t="shared" si="102"/>
        <v>High Pupil Management</v>
      </c>
      <c r="W1099" t="str">
        <f t="shared" si="103"/>
        <v>Pupil Management</v>
      </c>
    </row>
    <row r="1100" spans="1:23" x14ac:dyDescent="0.25">
      <c r="A1100">
        <v>17405</v>
      </c>
      <c r="B1100" t="s">
        <v>1324</v>
      </c>
      <c r="C1100">
        <v>21.678000000000001</v>
      </c>
      <c r="D1100" t="s">
        <v>1264</v>
      </c>
      <c r="E1100">
        <v>100019</v>
      </c>
      <c r="F1100">
        <v>17405</v>
      </c>
      <c r="G1100" t="str">
        <f t="shared" si="101"/>
        <v>17405</v>
      </c>
      <c r="H1100" t="s">
        <v>400</v>
      </c>
      <c r="I1100" t="s">
        <v>1265</v>
      </c>
      <c r="J1100" t="s">
        <v>1271</v>
      </c>
      <c r="K1100" t="s">
        <v>1272</v>
      </c>
      <c r="L1100" t="s">
        <v>1324</v>
      </c>
      <c r="M1100" t="s">
        <v>1325</v>
      </c>
      <c r="N1100">
        <v>21</v>
      </c>
      <c r="O1100" t="str">
        <f t="shared" si="104"/>
        <v>26</v>
      </c>
      <c r="Q1100">
        <v>26</v>
      </c>
      <c r="R1100" t="s">
        <v>1269</v>
      </c>
      <c r="S1100">
        <v>21.678000000000001</v>
      </c>
      <c r="T1100">
        <v>0.21929999999999999</v>
      </c>
      <c r="U1100">
        <f t="shared" si="105"/>
        <v>4.7539999999999996</v>
      </c>
      <c r="V1100" t="str">
        <f t="shared" si="102"/>
        <v>High Health/
Related Services</v>
      </c>
      <c r="W1100" t="str">
        <f t="shared" si="103"/>
        <v>Health/
Related Services</v>
      </c>
    </row>
    <row r="1101" spans="1:23" x14ac:dyDescent="0.25">
      <c r="A1101">
        <v>17405</v>
      </c>
      <c r="B1101" t="s">
        <v>1295</v>
      </c>
      <c r="C1101">
        <v>3.5089999999999999</v>
      </c>
      <c r="D1101" t="s">
        <v>1264</v>
      </c>
      <c r="E1101">
        <v>100019</v>
      </c>
      <c r="F1101">
        <v>17405</v>
      </c>
      <c r="G1101" t="str">
        <f t="shared" si="101"/>
        <v>17405</v>
      </c>
      <c r="H1101" t="s">
        <v>400</v>
      </c>
      <c r="I1101" t="s">
        <v>1265</v>
      </c>
      <c r="J1101" t="s">
        <v>1271</v>
      </c>
      <c r="K1101" t="s">
        <v>1272</v>
      </c>
      <c r="L1101" t="s">
        <v>1295</v>
      </c>
      <c r="M1101" t="s">
        <v>1296</v>
      </c>
      <c r="N1101">
        <v>1</v>
      </c>
      <c r="O1101" t="str">
        <f t="shared" si="104"/>
        <v>26</v>
      </c>
      <c r="Q1101">
        <v>26</v>
      </c>
      <c r="R1101" t="s">
        <v>1269</v>
      </c>
      <c r="S1101">
        <v>3.5089999999999999</v>
      </c>
      <c r="T1101">
        <v>0.21929999999999999</v>
      </c>
      <c r="U1101">
        <f t="shared" si="105"/>
        <v>0</v>
      </c>
      <c r="V1101" t="str">
        <f t="shared" si="102"/>
        <v>High Health/
Related Services</v>
      </c>
      <c r="W1101" t="str">
        <f t="shared" si="103"/>
        <v>Health/
Related Services</v>
      </c>
    </row>
    <row r="1102" spans="1:23" x14ac:dyDescent="0.25">
      <c r="A1102">
        <v>17405</v>
      </c>
      <c r="B1102" t="s">
        <v>1275</v>
      </c>
      <c r="C1102">
        <v>29.792999999999999</v>
      </c>
      <c r="D1102" t="s">
        <v>1264</v>
      </c>
      <c r="E1102">
        <v>100019</v>
      </c>
      <c r="F1102">
        <v>17405</v>
      </c>
      <c r="G1102" t="str">
        <f t="shared" si="101"/>
        <v>17405</v>
      </c>
      <c r="H1102" t="s">
        <v>400</v>
      </c>
      <c r="I1102" t="s">
        <v>1265</v>
      </c>
      <c r="J1102" t="s">
        <v>1276</v>
      </c>
      <c r="K1102" t="s">
        <v>1277</v>
      </c>
      <c r="L1102" t="s">
        <v>1275</v>
      </c>
      <c r="M1102" t="s">
        <v>1278</v>
      </c>
      <c r="N1102">
        <v>1</v>
      </c>
      <c r="O1102" t="str">
        <f t="shared" si="104"/>
        <v>42</v>
      </c>
      <c r="P1102">
        <v>42</v>
      </c>
      <c r="R1102" t="s">
        <v>1269</v>
      </c>
      <c r="S1102">
        <v>29.792999999999999</v>
      </c>
      <c r="T1102">
        <v>0.21929999999999999</v>
      </c>
      <c r="U1102">
        <f t="shared" si="105"/>
        <v>0</v>
      </c>
      <c r="V1102" t="str">
        <f t="shared" si="102"/>
        <v>Elementary Counselor</v>
      </c>
      <c r="W1102" t="str">
        <f t="shared" si="103"/>
        <v>Counselor</v>
      </c>
    </row>
    <row r="1103" spans="1:23" x14ac:dyDescent="0.25">
      <c r="A1103">
        <v>17405</v>
      </c>
      <c r="B1103" t="s">
        <v>1270</v>
      </c>
      <c r="C1103">
        <v>29.756</v>
      </c>
      <c r="D1103" t="s">
        <v>1264</v>
      </c>
      <c r="E1103">
        <v>100019</v>
      </c>
      <c r="F1103">
        <v>17405</v>
      </c>
      <c r="G1103" t="str">
        <f t="shared" si="101"/>
        <v>17405</v>
      </c>
      <c r="H1103" t="s">
        <v>400</v>
      </c>
      <c r="I1103" t="s">
        <v>1265</v>
      </c>
      <c r="J1103" t="s">
        <v>1271</v>
      </c>
      <c r="K1103" t="s">
        <v>1272</v>
      </c>
      <c r="L1103" t="s">
        <v>1270</v>
      </c>
      <c r="M1103" t="s">
        <v>1273</v>
      </c>
      <c r="N1103">
        <v>1</v>
      </c>
      <c r="O1103" t="str">
        <f t="shared" si="104"/>
        <v>42</v>
      </c>
      <c r="P1103">
        <v>42</v>
      </c>
      <c r="R1103" t="s">
        <v>1269</v>
      </c>
      <c r="S1103">
        <v>29.756</v>
      </c>
      <c r="T1103">
        <v>0.21929999999999999</v>
      </c>
      <c r="U1103">
        <f t="shared" si="105"/>
        <v>0</v>
      </c>
      <c r="V1103" t="str">
        <f t="shared" si="102"/>
        <v>High Counselor</v>
      </c>
      <c r="W1103" t="str">
        <f t="shared" si="103"/>
        <v>Counselor</v>
      </c>
    </row>
    <row r="1104" spans="1:23" x14ac:dyDescent="0.25">
      <c r="A1104">
        <v>17405</v>
      </c>
      <c r="B1104" t="s">
        <v>1263</v>
      </c>
      <c r="C1104">
        <v>12.071</v>
      </c>
      <c r="D1104" t="s">
        <v>1264</v>
      </c>
      <c r="E1104">
        <v>100019</v>
      </c>
      <c r="F1104">
        <v>17405</v>
      </c>
      <c r="G1104" t="str">
        <f t="shared" si="101"/>
        <v>17405</v>
      </c>
      <c r="H1104" t="s">
        <v>400</v>
      </c>
      <c r="I1104" t="s">
        <v>1265</v>
      </c>
      <c r="J1104" t="s">
        <v>1266</v>
      </c>
      <c r="K1104" t="s">
        <v>1267</v>
      </c>
      <c r="L1104" t="s">
        <v>1263</v>
      </c>
      <c r="M1104" t="s">
        <v>1268</v>
      </c>
      <c r="N1104">
        <v>1</v>
      </c>
      <c r="O1104" t="str">
        <f t="shared" si="104"/>
        <v>42</v>
      </c>
      <c r="P1104">
        <v>42</v>
      </c>
      <c r="R1104" t="s">
        <v>1269</v>
      </c>
      <c r="S1104">
        <v>12.071</v>
      </c>
      <c r="T1104">
        <v>0.21929999999999999</v>
      </c>
      <c r="U1104">
        <f t="shared" si="105"/>
        <v>0</v>
      </c>
      <c r="V1104" t="str">
        <f t="shared" si="102"/>
        <v>Middle Counselor</v>
      </c>
      <c r="W1104" t="str">
        <f t="shared" si="103"/>
        <v>Counselor</v>
      </c>
    </row>
    <row r="1105" spans="1:23" x14ac:dyDescent="0.25">
      <c r="A1105">
        <v>17405</v>
      </c>
      <c r="B1105" t="s">
        <v>1289</v>
      </c>
      <c r="C1105">
        <v>6.72</v>
      </c>
      <c r="D1105" t="s">
        <v>1264</v>
      </c>
      <c r="E1105">
        <v>100019</v>
      </c>
      <c r="F1105">
        <v>17405</v>
      </c>
      <c r="G1105" t="str">
        <f t="shared" si="101"/>
        <v>17405</v>
      </c>
      <c r="H1105" t="s">
        <v>400</v>
      </c>
      <c r="I1105" t="s">
        <v>1265</v>
      </c>
      <c r="J1105" t="s">
        <v>1276</v>
      </c>
      <c r="K1105" t="s">
        <v>1277</v>
      </c>
      <c r="L1105" t="s">
        <v>1289</v>
      </c>
      <c r="M1105" t="s">
        <v>1307</v>
      </c>
      <c r="N1105">
        <v>21</v>
      </c>
      <c r="O1105" t="str">
        <f t="shared" si="104"/>
        <v>43</v>
      </c>
      <c r="P1105">
        <v>43</v>
      </c>
      <c r="R1105" t="s">
        <v>1269</v>
      </c>
      <c r="S1105">
        <v>6.72</v>
      </c>
      <c r="T1105">
        <v>0.21929999999999999</v>
      </c>
      <c r="U1105">
        <f t="shared" si="105"/>
        <v>1.474</v>
      </c>
      <c r="V1105" t="str">
        <f t="shared" si="102"/>
        <v>Elementary Occupational Therapist</v>
      </c>
      <c r="W1105" t="str">
        <f t="shared" si="103"/>
        <v>Occupational Therapist</v>
      </c>
    </row>
    <row r="1106" spans="1:23" x14ac:dyDescent="0.25">
      <c r="A1106">
        <v>17405</v>
      </c>
      <c r="B1106" t="s">
        <v>1387</v>
      </c>
      <c r="C1106">
        <v>5.04</v>
      </c>
      <c r="D1106" t="s">
        <v>1264</v>
      </c>
      <c r="E1106">
        <v>100019</v>
      </c>
      <c r="F1106">
        <v>17405</v>
      </c>
      <c r="G1106" t="str">
        <f t="shared" si="101"/>
        <v>17405</v>
      </c>
      <c r="H1106" t="s">
        <v>400</v>
      </c>
      <c r="I1106" t="s">
        <v>1265</v>
      </c>
      <c r="J1106" t="s">
        <v>1271</v>
      </c>
      <c r="K1106" t="s">
        <v>1272</v>
      </c>
      <c r="L1106" t="s">
        <v>1387</v>
      </c>
      <c r="M1106" t="s">
        <v>1406</v>
      </c>
      <c r="N1106">
        <v>21</v>
      </c>
      <c r="O1106" t="str">
        <f t="shared" si="104"/>
        <v>43</v>
      </c>
      <c r="P1106">
        <v>43</v>
      </c>
      <c r="R1106" t="s">
        <v>1269</v>
      </c>
      <c r="S1106">
        <v>5.04</v>
      </c>
      <c r="T1106">
        <v>0.21929999999999999</v>
      </c>
      <c r="U1106">
        <f t="shared" si="105"/>
        <v>1.105</v>
      </c>
      <c r="V1106" t="str">
        <f t="shared" si="102"/>
        <v>High Occupational Therapist</v>
      </c>
      <c r="W1106" t="str">
        <f t="shared" si="103"/>
        <v>Occupational Therapist</v>
      </c>
    </row>
    <row r="1107" spans="1:23" x14ac:dyDescent="0.25">
      <c r="A1107">
        <v>17405</v>
      </c>
      <c r="B1107" t="s">
        <v>1303</v>
      </c>
      <c r="C1107">
        <v>2.2400000000000002</v>
      </c>
      <c r="D1107" t="s">
        <v>1264</v>
      </c>
      <c r="E1107">
        <v>100019</v>
      </c>
      <c r="F1107">
        <v>17405</v>
      </c>
      <c r="G1107" t="str">
        <f t="shared" si="101"/>
        <v>17405</v>
      </c>
      <c r="H1107" t="s">
        <v>400</v>
      </c>
      <c r="I1107" t="s">
        <v>1265</v>
      </c>
      <c r="J1107" t="s">
        <v>1266</v>
      </c>
      <c r="K1107" t="s">
        <v>1267</v>
      </c>
      <c r="L1107" t="s">
        <v>1303</v>
      </c>
      <c r="M1107" t="s">
        <v>1304</v>
      </c>
      <c r="N1107">
        <v>21</v>
      </c>
      <c r="O1107" t="str">
        <f t="shared" si="104"/>
        <v>43</v>
      </c>
      <c r="P1107">
        <v>43</v>
      </c>
      <c r="R1107" t="s">
        <v>1269</v>
      </c>
      <c r="S1107">
        <v>2.2400000000000002</v>
      </c>
      <c r="T1107">
        <v>0.21929999999999999</v>
      </c>
      <c r="U1107">
        <f t="shared" si="105"/>
        <v>0.49099999999999999</v>
      </c>
      <c r="V1107" t="str">
        <f t="shared" si="102"/>
        <v>Middle Occupational Therapist</v>
      </c>
      <c r="W1107" t="str">
        <f t="shared" si="103"/>
        <v>Occupational Therapist</v>
      </c>
    </row>
    <row r="1108" spans="1:23" x14ac:dyDescent="0.25">
      <c r="A1108">
        <v>17405</v>
      </c>
      <c r="B1108" t="s">
        <v>1329</v>
      </c>
      <c r="C1108">
        <v>5.2320000000000002</v>
      </c>
      <c r="D1108" t="s">
        <v>1264</v>
      </c>
      <c r="E1108">
        <v>100019</v>
      </c>
      <c r="F1108">
        <v>17405</v>
      </c>
      <c r="G1108" t="str">
        <f t="shared" si="101"/>
        <v>17405</v>
      </c>
      <c r="H1108" t="s">
        <v>400</v>
      </c>
      <c r="I1108" t="s">
        <v>1265</v>
      </c>
      <c r="J1108" t="s">
        <v>1276</v>
      </c>
      <c r="K1108" t="s">
        <v>1277</v>
      </c>
      <c r="L1108" t="s">
        <v>1329</v>
      </c>
      <c r="M1108" t="s">
        <v>1418</v>
      </c>
      <c r="N1108">
        <v>21</v>
      </c>
      <c r="O1108" t="str">
        <f t="shared" si="104"/>
        <v>44</v>
      </c>
      <c r="P1108">
        <v>44</v>
      </c>
      <c r="R1108" t="s">
        <v>1269</v>
      </c>
      <c r="S1108">
        <v>5.2320000000000002</v>
      </c>
      <c r="T1108">
        <v>0.21929999999999999</v>
      </c>
      <c r="U1108">
        <f t="shared" si="105"/>
        <v>1.147</v>
      </c>
      <c r="V1108" t="str">
        <f t="shared" si="102"/>
        <v>Elementary Social Worker</v>
      </c>
      <c r="W1108" t="str">
        <f t="shared" si="103"/>
        <v>Social Worker</v>
      </c>
    </row>
    <row r="1109" spans="1:23" x14ac:dyDescent="0.25">
      <c r="A1109">
        <v>17405</v>
      </c>
      <c r="B1109" t="s">
        <v>1331</v>
      </c>
      <c r="C1109">
        <v>0.48</v>
      </c>
      <c r="D1109" t="s">
        <v>1264</v>
      </c>
      <c r="E1109">
        <v>100019</v>
      </c>
      <c r="F1109">
        <v>17405</v>
      </c>
      <c r="G1109" t="str">
        <f t="shared" si="101"/>
        <v>17405</v>
      </c>
      <c r="H1109" t="s">
        <v>400</v>
      </c>
      <c r="I1109" t="s">
        <v>1265</v>
      </c>
      <c r="J1109" t="s">
        <v>1276</v>
      </c>
      <c r="K1109" t="s">
        <v>1277</v>
      </c>
      <c r="L1109" t="s">
        <v>1331</v>
      </c>
      <c r="M1109" t="s">
        <v>1405</v>
      </c>
      <c r="N1109">
        <v>1</v>
      </c>
      <c r="O1109" t="str">
        <f t="shared" si="104"/>
        <v>44</v>
      </c>
      <c r="P1109">
        <v>44</v>
      </c>
      <c r="R1109" t="s">
        <v>1269</v>
      </c>
      <c r="S1109">
        <v>0.48</v>
      </c>
      <c r="T1109">
        <v>0.21929999999999999</v>
      </c>
      <c r="U1109">
        <f t="shared" si="105"/>
        <v>0</v>
      </c>
      <c r="V1109" t="str">
        <f t="shared" si="102"/>
        <v>Elementary Social Worker</v>
      </c>
      <c r="W1109" t="str">
        <f t="shared" si="103"/>
        <v>Social Worker</v>
      </c>
    </row>
    <row r="1110" spans="1:23" x14ac:dyDescent="0.25">
      <c r="A1110">
        <v>17405</v>
      </c>
      <c r="B1110" t="s">
        <v>1390</v>
      </c>
      <c r="C1110">
        <v>3.9239999999999999</v>
      </c>
      <c r="D1110" t="s">
        <v>1264</v>
      </c>
      <c r="E1110">
        <v>100019</v>
      </c>
      <c r="F1110">
        <v>17405</v>
      </c>
      <c r="G1110" t="str">
        <f t="shared" si="101"/>
        <v>17405</v>
      </c>
      <c r="H1110" t="s">
        <v>400</v>
      </c>
      <c r="I1110" t="s">
        <v>1265</v>
      </c>
      <c r="J1110" t="s">
        <v>1271</v>
      </c>
      <c r="K1110" t="s">
        <v>1272</v>
      </c>
      <c r="L1110" t="s">
        <v>1390</v>
      </c>
      <c r="M1110" t="s">
        <v>1417</v>
      </c>
      <c r="N1110">
        <v>21</v>
      </c>
      <c r="O1110" t="str">
        <f t="shared" si="104"/>
        <v>44</v>
      </c>
      <c r="P1110">
        <v>44</v>
      </c>
      <c r="R1110" t="s">
        <v>1269</v>
      </c>
      <c r="S1110">
        <v>3.9239999999999999</v>
      </c>
      <c r="T1110">
        <v>0.21929999999999999</v>
      </c>
      <c r="U1110">
        <f t="shared" si="105"/>
        <v>0.86099999999999999</v>
      </c>
      <c r="V1110" t="str">
        <f t="shared" si="102"/>
        <v>High Social Worker</v>
      </c>
      <c r="W1110" t="str">
        <f t="shared" si="103"/>
        <v>Social Worker</v>
      </c>
    </row>
    <row r="1111" spans="1:23" x14ac:dyDescent="0.25">
      <c r="A1111">
        <v>17405</v>
      </c>
      <c r="B1111" t="s">
        <v>1359</v>
      </c>
      <c r="C1111">
        <v>0.36</v>
      </c>
      <c r="D1111" t="s">
        <v>1264</v>
      </c>
      <c r="E1111">
        <v>100019</v>
      </c>
      <c r="F1111">
        <v>17405</v>
      </c>
      <c r="G1111" t="str">
        <f t="shared" si="101"/>
        <v>17405</v>
      </c>
      <c r="H1111" t="s">
        <v>400</v>
      </c>
      <c r="I1111" t="s">
        <v>1265</v>
      </c>
      <c r="J1111" t="s">
        <v>1271</v>
      </c>
      <c r="K1111" t="s">
        <v>1272</v>
      </c>
      <c r="L1111" t="s">
        <v>1359</v>
      </c>
      <c r="M1111" t="s">
        <v>1360</v>
      </c>
      <c r="N1111">
        <v>1</v>
      </c>
      <c r="O1111" t="str">
        <f t="shared" si="104"/>
        <v>44</v>
      </c>
      <c r="P1111">
        <v>44</v>
      </c>
      <c r="R1111" t="s">
        <v>1269</v>
      </c>
      <c r="S1111">
        <v>0.36</v>
      </c>
      <c r="T1111">
        <v>0.21929999999999999</v>
      </c>
      <c r="U1111">
        <f t="shared" si="105"/>
        <v>0</v>
      </c>
      <c r="V1111" t="str">
        <f t="shared" si="102"/>
        <v>High Social Worker</v>
      </c>
      <c r="W1111" t="str">
        <f t="shared" si="103"/>
        <v>Social Worker</v>
      </c>
    </row>
    <row r="1112" spans="1:23" x14ac:dyDescent="0.25">
      <c r="A1112">
        <v>17405</v>
      </c>
      <c r="B1112" t="s">
        <v>1369</v>
      </c>
      <c r="C1112">
        <v>1.744</v>
      </c>
      <c r="D1112" t="s">
        <v>1264</v>
      </c>
      <c r="E1112">
        <v>100019</v>
      </c>
      <c r="F1112">
        <v>17405</v>
      </c>
      <c r="G1112" t="str">
        <f t="shared" si="101"/>
        <v>17405</v>
      </c>
      <c r="H1112" t="s">
        <v>400</v>
      </c>
      <c r="I1112" t="s">
        <v>1265</v>
      </c>
      <c r="J1112" t="s">
        <v>1266</v>
      </c>
      <c r="K1112" t="s">
        <v>1267</v>
      </c>
      <c r="L1112" t="s">
        <v>1369</v>
      </c>
      <c r="M1112" t="s">
        <v>1416</v>
      </c>
      <c r="N1112">
        <v>21</v>
      </c>
      <c r="O1112" t="str">
        <f t="shared" si="104"/>
        <v>44</v>
      </c>
      <c r="P1112">
        <v>44</v>
      </c>
      <c r="R1112" t="s">
        <v>1269</v>
      </c>
      <c r="S1112">
        <v>1.744</v>
      </c>
      <c r="T1112">
        <v>0.21929999999999999</v>
      </c>
      <c r="U1112">
        <f t="shared" si="105"/>
        <v>0.38200000000000001</v>
      </c>
      <c r="V1112" t="str">
        <f t="shared" si="102"/>
        <v>Middle Social Worker</v>
      </c>
      <c r="W1112" t="str">
        <f t="shared" si="103"/>
        <v>Social Worker</v>
      </c>
    </row>
    <row r="1113" spans="1:23" x14ac:dyDescent="0.25">
      <c r="A1113">
        <v>17405</v>
      </c>
      <c r="B1113" t="s">
        <v>1356</v>
      </c>
      <c r="C1113">
        <v>0.16</v>
      </c>
      <c r="D1113" t="s">
        <v>1264</v>
      </c>
      <c r="E1113">
        <v>100019</v>
      </c>
      <c r="F1113">
        <v>17405</v>
      </c>
      <c r="G1113" t="str">
        <f t="shared" si="101"/>
        <v>17405</v>
      </c>
      <c r="H1113" t="s">
        <v>400</v>
      </c>
      <c r="I1113" t="s">
        <v>1265</v>
      </c>
      <c r="J1113" t="s">
        <v>1266</v>
      </c>
      <c r="K1113" t="s">
        <v>1267</v>
      </c>
      <c r="L1113" t="s">
        <v>1356</v>
      </c>
      <c r="M1113" t="s">
        <v>1357</v>
      </c>
      <c r="N1113">
        <v>1</v>
      </c>
      <c r="O1113" t="str">
        <f t="shared" si="104"/>
        <v>44</v>
      </c>
      <c r="P1113">
        <v>44</v>
      </c>
      <c r="R1113" t="s">
        <v>1269</v>
      </c>
      <c r="S1113">
        <v>0.16</v>
      </c>
      <c r="T1113">
        <v>0.21929999999999999</v>
      </c>
      <c r="U1113">
        <f t="shared" si="105"/>
        <v>0</v>
      </c>
      <c r="V1113" t="str">
        <f t="shared" si="102"/>
        <v>Middle Social Worker</v>
      </c>
      <c r="W1113" t="str">
        <f t="shared" si="103"/>
        <v>Social Worker</v>
      </c>
    </row>
    <row r="1114" spans="1:23" x14ac:dyDescent="0.25">
      <c r="A1114">
        <v>17405</v>
      </c>
      <c r="B1114" t="s">
        <v>1294</v>
      </c>
      <c r="C1114">
        <v>16.416</v>
      </c>
      <c r="D1114" t="s">
        <v>1264</v>
      </c>
      <c r="E1114">
        <v>100019</v>
      </c>
      <c r="F1114">
        <v>17405</v>
      </c>
      <c r="G1114" t="str">
        <f t="shared" si="101"/>
        <v>17405</v>
      </c>
      <c r="H1114" t="s">
        <v>400</v>
      </c>
      <c r="I1114" t="s">
        <v>1265</v>
      </c>
      <c r="J1114" t="s">
        <v>1276</v>
      </c>
      <c r="K1114" t="s">
        <v>1277</v>
      </c>
      <c r="L1114" t="s">
        <v>1294</v>
      </c>
      <c r="M1114" t="s">
        <v>1354</v>
      </c>
      <c r="N1114">
        <v>21</v>
      </c>
      <c r="O1114" t="str">
        <f t="shared" si="104"/>
        <v>45</v>
      </c>
      <c r="P1114">
        <v>45</v>
      </c>
      <c r="R1114" t="s">
        <v>1269</v>
      </c>
      <c r="S1114">
        <v>16.416</v>
      </c>
      <c r="T1114">
        <v>0.21929999999999999</v>
      </c>
      <c r="U1114">
        <f t="shared" si="105"/>
        <v>3.6</v>
      </c>
      <c r="V1114" t="str">
        <f t="shared" si="102"/>
        <v>Elementary Speech, Language Pathway/
Audio</v>
      </c>
      <c r="W1114" t="str">
        <f t="shared" si="103"/>
        <v>Speech, Language Pathway/
Audio</v>
      </c>
    </row>
    <row r="1115" spans="1:23" x14ac:dyDescent="0.25">
      <c r="A1115">
        <v>17405</v>
      </c>
      <c r="B1115" t="s">
        <v>1326</v>
      </c>
      <c r="C1115">
        <v>12.311999999999999</v>
      </c>
      <c r="D1115" t="s">
        <v>1264</v>
      </c>
      <c r="E1115">
        <v>100019</v>
      </c>
      <c r="F1115">
        <v>17405</v>
      </c>
      <c r="G1115" t="str">
        <f t="shared" si="101"/>
        <v>17405</v>
      </c>
      <c r="H1115" t="s">
        <v>400</v>
      </c>
      <c r="I1115" t="s">
        <v>1265</v>
      </c>
      <c r="J1115" t="s">
        <v>1271</v>
      </c>
      <c r="K1115" t="s">
        <v>1272</v>
      </c>
      <c r="L1115" t="s">
        <v>1326</v>
      </c>
      <c r="M1115" t="s">
        <v>1353</v>
      </c>
      <c r="N1115">
        <v>21</v>
      </c>
      <c r="O1115" t="str">
        <f t="shared" si="104"/>
        <v>45</v>
      </c>
      <c r="P1115">
        <v>45</v>
      </c>
      <c r="R1115" t="s">
        <v>1269</v>
      </c>
      <c r="S1115">
        <v>12.311999999999999</v>
      </c>
      <c r="T1115">
        <v>0.21929999999999999</v>
      </c>
      <c r="U1115">
        <f t="shared" si="105"/>
        <v>2.7</v>
      </c>
      <c r="V1115" t="str">
        <f t="shared" si="102"/>
        <v>High Speech, Language Pathway/
Audio</v>
      </c>
      <c r="W1115" t="str">
        <f t="shared" si="103"/>
        <v>Speech, Language Pathway/
Audio</v>
      </c>
    </row>
    <row r="1116" spans="1:23" x14ac:dyDescent="0.25">
      <c r="A1116">
        <v>17405</v>
      </c>
      <c r="B1116" t="s">
        <v>1312</v>
      </c>
      <c r="C1116">
        <v>5.4720000000000004</v>
      </c>
      <c r="D1116" t="s">
        <v>1264</v>
      </c>
      <c r="E1116">
        <v>100019</v>
      </c>
      <c r="F1116">
        <v>17405</v>
      </c>
      <c r="G1116" t="str">
        <f t="shared" si="101"/>
        <v>17405</v>
      </c>
      <c r="H1116" t="s">
        <v>400</v>
      </c>
      <c r="I1116" t="s">
        <v>1265</v>
      </c>
      <c r="J1116" t="s">
        <v>1266</v>
      </c>
      <c r="K1116" t="s">
        <v>1267</v>
      </c>
      <c r="L1116" t="s">
        <v>1312</v>
      </c>
      <c r="M1116" t="s">
        <v>1351</v>
      </c>
      <c r="N1116">
        <v>21</v>
      </c>
      <c r="O1116" t="str">
        <f t="shared" si="104"/>
        <v>45</v>
      </c>
      <c r="P1116">
        <v>45</v>
      </c>
      <c r="R1116" t="s">
        <v>1269</v>
      </c>
      <c r="S1116">
        <v>5.4720000000000004</v>
      </c>
      <c r="T1116">
        <v>0.21929999999999999</v>
      </c>
      <c r="U1116">
        <f t="shared" si="105"/>
        <v>1.2</v>
      </c>
      <c r="V1116" t="str">
        <f t="shared" si="102"/>
        <v>Middle Speech, Language Pathway/
Audio</v>
      </c>
      <c r="W1116" t="str">
        <f t="shared" si="103"/>
        <v>Speech, Language Pathway/
Audio</v>
      </c>
    </row>
    <row r="1117" spans="1:23" x14ac:dyDescent="0.25">
      <c r="A1117">
        <v>17405</v>
      </c>
      <c r="B1117" t="s">
        <v>1298</v>
      </c>
      <c r="C1117">
        <v>12.48</v>
      </c>
      <c r="D1117" t="s">
        <v>1264</v>
      </c>
      <c r="E1117">
        <v>100019</v>
      </c>
      <c r="F1117">
        <v>17405</v>
      </c>
      <c r="G1117" t="str">
        <f t="shared" si="101"/>
        <v>17405</v>
      </c>
      <c r="H1117" t="s">
        <v>400</v>
      </c>
      <c r="I1117" t="s">
        <v>1265</v>
      </c>
      <c r="J1117" t="s">
        <v>1276</v>
      </c>
      <c r="K1117" t="s">
        <v>1277</v>
      </c>
      <c r="L1117" t="s">
        <v>1298</v>
      </c>
      <c r="M1117" t="s">
        <v>1349</v>
      </c>
      <c r="N1117">
        <v>21</v>
      </c>
      <c r="O1117" t="str">
        <f t="shared" si="104"/>
        <v>46</v>
      </c>
      <c r="P1117">
        <v>46</v>
      </c>
      <c r="R1117" t="s">
        <v>1269</v>
      </c>
      <c r="S1117">
        <v>12.48</v>
      </c>
      <c r="T1117">
        <v>0.21929999999999999</v>
      </c>
      <c r="U1117">
        <f t="shared" si="105"/>
        <v>2.7370000000000001</v>
      </c>
      <c r="V1117" t="str">
        <f t="shared" si="102"/>
        <v>Elementary Psychologist</v>
      </c>
      <c r="W1117" t="str">
        <f t="shared" si="103"/>
        <v>Psychologist</v>
      </c>
    </row>
    <row r="1118" spans="1:23" x14ac:dyDescent="0.25">
      <c r="A1118">
        <v>17405</v>
      </c>
      <c r="B1118" t="s">
        <v>1309</v>
      </c>
      <c r="C1118">
        <v>9.36</v>
      </c>
      <c r="D1118" t="s">
        <v>1264</v>
      </c>
      <c r="E1118">
        <v>100019</v>
      </c>
      <c r="F1118">
        <v>17405</v>
      </c>
      <c r="G1118" t="str">
        <f t="shared" si="101"/>
        <v>17405</v>
      </c>
      <c r="H1118" t="s">
        <v>400</v>
      </c>
      <c r="I1118" t="s">
        <v>1265</v>
      </c>
      <c r="J1118" t="s">
        <v>1271</v>
      </c>
      <c r="K1118" t="s">
        <v>1272</v>
      </c>
      <c r="L1118" t="s">
        <v>1309</v>
      </c>
      <c r="M1118" t="s">
        <v>1310</v>
      </c>
      <c r="N1118">
        <v>21</v>
      </c>
      <c r="O1118" t="str">
        <f t="shared" si="104"/>
        <v>46</v>
      </c>
      <c r="P1118">
        <v>46</v>
      </c>
      <c r="R1118" t="s">
        <v>1269</v>
      </c>
      <c r="S1118">
        <v>9.36</v>
      </c>
      <c r="T1118">
        <v>0.21929999999999999</v>
      </c>
      <c r="U1118">
        <f t="shared" si="105"/>
        <v>2.0529999999999999</v>
      </c>
      <c r="V1118" t="str">
        <f t="shared" si="102"/>
        <v>High Psychologist</v>
      </c>
      <c r="W1118" t="str">
        <f t="shared" si="103"/>
        <v>Psychologist</v>
      </c>
    </row>
    <row r="1119" spans="1:23" x14ac:dyDescent="0.25">
      <c r="A1119">
        <v>17405</v>
      </c>
      <c r="B1119" t="s">
        <v>1345</v>
      </c>
      <c r="C1119">
        <v>4.16</v>
      </c>
      <c r="D1119" t="s">
        <v>1264</v>
      </c>
      <c r="E1119">
        <v>100019</v>
      </c>
      <c r="F1119">
        <v>17405</v>
      </c>
      <c r="G1119" t="str">
        <f t="shared" si="101"/>
        <v>17405</v>
      </c>
      <c r="H1119" t="s">
        <v>400</v>
      </c>
      <c r="I1119" t="s">
        <v>1265</v>
      </c>
      <c r="J1119" t="s">
        <v>1266</v>
      </c>
      <c r="K1119" t="s">
        <v>1267</v>
      </c>
      <c r="L1119" t="s">
        <v>1345</v>
      </c>
      <c r="M1119" t="s">
        <v>1346</v>
      </c>
      <c r="N1119">
        <v>21</v>
      </c>
      <c r="O1119" t="str">
        <f t="shared" si="104"/>
        <v>46</v>
      </c>
      <c r="P1119">
        <v>46</v>
      </c>
      <c r="R1119" t="s">
        <v>1269</v>
      </c>
      <c r="S1119">
        <v>4.16</v>
      </c>
      <c r="T1119">
        <v>0.21929999999999999</v>
      </c>
      <c r="U1119">
        <f t="shared" si="105"/>
        <v>0.91200000000000003</v>
      </c>
      <c r="V1119" t="str">
        <f t="shared" si="102"/>
        <v>Middle Psychologist</v>
      </c>
      <c r="W1119" t="str">
        <f t="shared" si="103"/>
        <v>Psychologist</v>
      </c>
    </row>
    <row r="1120" spans="1:23" x14ac:dyDescent="0.25">
      <c r="A1120">
        <v>17405</v>
      </c>
      <c r="B1120" t="s">
        <v>1334</v>
      </c>
      <c r="C1120">
        <v>0.3</v>
      </c>
      <c r="D1120" t="s">
        <v>1264</v>
      </c>
      <c r="E1120">
        <v>100019</v>
      </c>
      <c r="F1120">
        <v>17405</v>
      </c>
      <c r="G1120" t="str">
        <f t="shared" si="101"/>
        <v>17405</v>
      </c>
      <c r="H1120" t="s">
        <v>400</v>
      </c>
      <c r="I1120" t="s">
        <v>1265</v>
      </c>
      <c r="J1120" t="s">
        <v>1276</v>
      </c>
      <c r="K1120" t="s">
        <v>1277</v>
      </c>
      <c r="L1120" t="s">
        <v>1334</v>
      </c>
      <c r="M1120" t="s">
        <v>1413</v>
      </c>
      <c r="N1120">
        <v>21</v>
      </c>
      <c r="O1120" t="str">
        <f t="shared" si="104"/>
        <v>47</v>
      </c>
      <c r="P1120">
        <v>47</v>
      </c>
      <c r="R1120" t="s">
        <v>1269</v>
      </c>
      <c r="S1120">
        <v>0.3</v>
      </c>
      <c r="T1120">
        <v>0.21929999999999999</v>
      </c>
      <c r="U1120">
        <f t="shared" si="105"/>
        <v>6.6000000000000003E-2</v>
      </c>
      <c r="V1120" t="str">
        <f t="shared" si="102"/>
        <v>Elementary Nurse</v>
      </c>
      <c r="W1120" t="str">
        <f t="shared" si="103"/>
        <v>Nurse</v>
      </c>
    </row>
    <row r="1121" spans="1:23" x14ac:dyDescent="0.25">
      <c r="A1121">
        <v>17405</v>
      </c>
      <c r="B1121" t="s">
        <v>1335</v>
      </c>
      <c r="C1121">
        <v>8.7040000000000006</v>
      </c>
      <c r="D1121" t="s">
        <v>1264</v>
      </c>
      <c r="E1121">
        <v>100019</v>
      </c>
      <c r="F1121">
        <v>17405</v>
      </c>
      <c r="G1121" t="str">
        <f t="shared" si="101"/>
        <v>17405</v>
      </c>
      <c r="H1121" t="s">
        <v>400</v>
      </c>
      <c r="I1121" t="s">
        <v>1265</v>
      </c>
      <c r="J1121" t="s">
        <v>1276</v>
      </c>
      <c r="K1121" t="s">
        <v>1277</v>
      </c>
      <c r="L1121" t="s">
        <v>1335</v>
      </c>
      <c r="M1121" t="s">
        <v>1344</v>
      </c>
      <c r="N1121">
        <v>1</v>
      </c>
      <c r="O1121" t="str">
        <f t="shared" si="104"/>
        <v>47</v>
      </c>
      <c r="P1121">
        <v>47</v>
      </c>
      <c r="R1121" t="s">
        <v>1269</v>
      </c>
      <c r="S1121">
        <v>8.7040000000000006</v>
      </c>
      <c r="T1121">
        <v>0.21929999999999999</v>
      </c>
      <c r="U1121">
        <f t="shared" si="105"/>
        <v>0</v>
      </c>
      <c r="V1121" t="str">
        <f t="shared" si="102"/>
        <v>Elementary Nurse</v>
      </c>
      <c r="W1121" t="str">
        <f t="shared" si="103"/>
        <v>Nurse</v>
      </c>
    </row>
    <row r="1122" spans="1:23" x14ac:dyDescent="0.25">
      <c r="A1122">
        <v>17405</v>
      </c>
      <c r="B1122" t="s">
        <v>1341</v>
      </c>
      <c r="C1122">
        <v>5.5179999999999998</v>
      </c>
      <c r="D1122" t="s">
        <v>1264</v>
      </c>
      <c r="E1122">
        <v>100019</v>
      </c>
      <c r="F1122">
        <v>17405</v>
      </c>
      <c r="G1122" t="str">
        <f t="shared" si="101"/>
        <v>17405</v>
      </c>
      <c r="H1122" t="s">
        <v>400</v>
      </c>
      <c r="I1122" t="s">
        <v>1265</v>
      </c>
      <c r="J1122" t="s">
        <v>1271</v>
      </c>
      <c r="K1122" t="s">
        <v>1272</v>
      </c>
      <c r="L1122" t="s">
        <v>1341</v>
      </c>
      <c r="M1122" t="s">
        <v>1342</v>
      </c>
      <c r="N1122">
        <v>1</v>
      </c>
      <c r="O1122" t="str">
        <f t="shared" si="104"/>
        <v>47</v>
      </c>
      <c r="P1122">
        <v>47</v>
      </c>
      <c r="R1122" t="s">
        <v>1269</v>
      </c>
      <c r="S1122">
        <v>5.5179999999999998</v>
      </c>
      <c r="T1122">
        <v>0.21929999999999999</v>
      </c>
      <c r="U1122">
        <f t="shared" si="105"/>
        <v>0</v>
      </c>
      <c r="V1122" t="str">
        <f t="shared" si="102"/>
        <v>High Nurse</v>
      </c>
      <c r="W1122" t="str">
        <f t="shared" si="103"/>
        <v>Nurse</v>
      </c>
    </row>
    <row r="1123" spans="1:23" x14ac:dyDescent="0.25">
      <c r="A1123">
        <v>17405</v>
      </c>
      <c r="B1123" t="s">
        <v>1338</v>
      </c>
      <c r="C1123">
        <v>3.4780000000000002</v>
      </c>
      <c r="D1123" t="s">
        <v>1264</v>
      </c>
      <c r="E1123">
        <v>100019</v>
      </c>
      <c r="F1123">
        <v>17405</v>
      </c>
      <c r="G1123" t="str">
        <f t="shared" si="101"/>
        <v>17405</v>
      </c>
      <c r="H1123" t="s">
        <v>400</v>
      </c>
      <c r="I1123" t="s">
        <v>1265</v>
      </c>
      <c r="J1123" t="s">
        <v>1266</v>
      </c>
      <c r="K1123" t="s">
        <v>1267</v>
      </c>
      <c r="L1123" t="s">
        <v>1338</v>
      </c>
      <c r="M1123" t="s">
        <v>1339</v>
      </c>
      <c r="N1123">
        <v>1</v>
      </c>
      <c r="O1123" t="str">
        <f t="shared" si="104"/>
        <v>47</v>
      </c>
      <c r="P1123">
        <v>47</v>
      </c>
      <c r="R1123" t="s">
        <v>1269</v>
      </c>
      <c r="S1123">
        <v>3.4780000000000002</v>
      </c>
      <c r="T1123">
        <v>0.21929999999999999</v>
      </c>
      <c r="U1123">
        <f t="shared" si="105"/>
        <v>0</v>
      </c>
      <c r="V1123" t="str">
        <f t="shared" si="102"/>
        <v>Middle Nurse</v>
      </c>
      <c r="W1123" t="str">
        <f t="shared" si="103"/>
        <v>Nurse</v>
      </c>
    </row>
    <row r="1124" spans="1:23" x14ac:dyDescent="0.25">
      <c r="A1124">
        <v>17405</v>
      </c>
      <c r="B1124" t="s">
        <v>1302</v>
      </c>
      <c r="C1124">
        <v>2.6880000000000002</v>
      </c>
      <c r="D1124" t="s">
        <v>1264</v>
      </c>
      <c r="E1124">
        <v>100019</v>
      </c>
      <c r="F1124">
        <v>17405</v>
      </c>
      <c r="G1124" t="str">
        <f t="shared" si="101"/>
        <v>17405</v>
      </c>
      <c r="H1124" t="s">
        <v>400</v>
      </c>
      <c r="I1124" t="s">
        <v>1265</v>
      </c>
      <c r="J1124" t="s">
        <v>1276</v>
      </c>
      <c r="K1124" t="s">
        <v>1277</v>
      </c>
      <c r="L1124" t="s">
        <v>1302</v>
      </c>
      <c r="M1124" t="s">
        <v>1336</v>
      </c>
      <c r="N1124">
        <v>21</v>
      </c>
      <c r="O1124" t="str">
        <f t="shared" si="104"/>
        <v>48</v>
      </c>
      <c r="P1124">
        <v>48</v>
      </c>
      <c r="R1124" t="s">
        <v>1269</v>
      </c>
      <c r="S1124">
        <v>2.6880000000000002</v>
      </c>
      <c r="T1124">
        <v>0.21929999999999999</v>
      </c>
      <c r="U1124">
        <f t="shared" si="105"/>
        <v>0.58899999999999997</v>
      </c>
      <c r="V1124" t="str">
        <f t="shared" si="102"/>
        <v>Elementary Physical Therapist</v>
      </c>
      <c r="W1124" t="str">
        <f t="shared" si="103"/>
        <v>Physical Therapist</v>
      </c>
    </row>
    <row r="1125" spans="1:23" x14ac:dyDescent="0.25">
      <c r="A1125">
        <v>17405</v>
      </c>
      <c r="B1125" t="s">
        <v>1330</v>
      </c>
      <c r="C1125">
        <v>2.016</v>
      </c>
      <c r="D1125" t="s">
        <v>1264</v>
      </c>
      <c r="E1125">
        <v>100019</v>
      </c>
      <c r="F1125">
        <v>17405</v>
      </c>
      <c r="G1125" t="str">
        <f t="shared" si="101"/>
        <v>17405</v>
      </c>
      <c r="H1125" t="s">
        <v>400</v>
      </c>
      <c r="I1125" t="s">
        <v>1265</v>
      </c>
      <c r="J1125" t="s">
        <v>1271</v>
      </c>
      <c r="K1125" t="s">
        <v>1272</v>
      </c>
      <c r="L1125" t="s">
        <v>1330</v>
      </c>
      <c r="M1125" t="s">
        <v>1367</v>
      </c>
      <c r="N1125">
        <v>21</v>
      </c>
      <c r="O1125" t="str">
        <f t="shared" si="104"/>
        <v>48</v>
      </c>
      <c r="P1125">
        <v>48</v>
      </c>
      <c r="R1125" t="s">
        <v>1269</v>
      </c>
      <c r="S1125">
        <v>2.016</v>
      </c>
      <c r="T1125">
        <v>0.21929999999999999</v>
      </c>
      <c r="U1125">
        <f t="shared" si="105"/>
        <v>0.442</v>
      </c>
      <c r="V1125" t="str">
        <f t="shared" si="102"/>
        <v>High Physical Therapist</v>
      </c>
      <c r="W1125" t="str">
        <f t="shared" si="103"/>
        <v>Physical Therapist</v>
      </c>
    </row>
    <row r="1126" spans="1:23" x14ac:dyDescent="0.25">
      <c r="A1126">
        <v>17405</v>
      </c>
      <c r="B1126" t="s">
        <v>1316</v>
      </c>
      <c r="C1126">
        <v>0.89600000000000002</v>
      </c>
      <c r="D1126" t="s">
        <v>1264</v>
      </c>
      <c r="E1126">
        <v>100019</v>
      </c>
      <c r="F1126">
        <v>17405</v>
      </c>
      <c r="G1126" t="str">
        <f t="shared" si="101"/>
        <v>17405</v>
      </c>
      <c r="H1126" t="s">
        <v>400</v>
      </c>
      <c r="I1126" t="s">
        <v>1265</v>
      </c>
      <c r="J1126" t="s">
        <v>1266</v>
      </c>
      <c r="K1126" t="s">
        <v>1267</v>
      </c>
      <c r="L1126" t="s">
        <v>1316</v>
      </c>
      <c r="M1126" t="s">
        <v>1366</v>
      </c>
      <c r="N1126">
        <v>21</v>
      </c>
      <c r="O1126" t="str">
        <f t="shared" si="104"/>
        <v>48</v>
      </c>
      <c r="P1126">
        <v>48</v>
      </c>
      <c r="R1126" t="s">
        <v>1269</v>
      </c>
      <c r="S1126">
        <v>0.89600000000000002</v>
      </c>
      <c r="T1126">
        <v>0.21929999999999999</v>
      </c>
      <c r="U1126">
        <f t="shared" si="105"/>
        <v>0.19600000000000001</v>
      </c>
      <c r="V1126" t="str">
        <f t="shared" si="102"/>
        <v>Middle Physical Therapist</v>
      </c>
      <c r="W1126" t="str">
        <f t="shared" si="103"/>
        <v>Physical Therapist</v>
      </c>
    </row>
    <row r="1127" spans="1:23" x14ac:dyDescent="0.25">
      <c r="A1127">
        <v>17405</v>
      </c>
      <c r="B1127" t="s">
        <v>1340</v>
      </c>
      <c r="C1127">
        <v>2.4</v>
      </c>
      <c r="D1127" t="s">
        <v>1264</v>
      </c>
      <c r="E1127">
        <v>100019</v>
      </c>
      <c r="F1127">
        <v>17405</v>
      </c>
      <c r="G1127" t="str">
        <f t="shared" si="101"/>
        <v>17405</v>
      </c>
      <c r="H1127" t="s">
        <v>400</v>
      </c>
      <c r="I1127" t="s">
        <v>1265</v>
      </c>
      <c r="J1127" t="s">
        <v>1276</v>
      </c>
      <c r="K1127" t="s">
        <v>1277</v>
      </c>
      <c r="L1127" t="s">
        <v>1340</v>
      </c>
      <c r="M1127" t="s">
        <v>1395</v>
      </c>
      <c r="N1127">
        <v>21</v>
      </c>
      <c r="O1127" t="str">
        <f t="shared" si="104"/>
        <v>49</v>
      </c>
      <c r="P1127">
        <v>49</v>
      </c>
      <c r="R1127" t="s">
        <v>1269</v>
      </c>
      <c r="S1127">
        <v>2.4</v>
      </c>
      <c r="T1127">
        <v>0.21929999999999999</v>
      </c>
      <c r="U1127">
        <f t="shared" si="105"/>
        <v>0.52600000000000002</v>
      </c>
      <c r="V1127" t="str">
        <f t="shared" si="102"/>
        <v>Elementary Behavior Analyst</v>
      </c>
      <c r="W1127" t="str">
        <f t="shared" si="103"/>
        <v>Behavior Analyst</v>
      </c>
    </row>
    <row r="1128" spans="1:23" x14ac:dyDescent="0.25">
      <c r="A1128">
        <v>17405</v>
      </c>
      <c r="B1128" t="s">
        <v>1392</v>
      </c>
      <c r="C1128">
        <v>1.8</v>
      </c>
      <c r="D1128" t="s">
        <v>1264</v>
      </c>
      <c r="E1128">
        <v>100019</v>
      </c>
      <c r="F1128">
        <v>17405</v>
      </c>
      <c r="G1128" t="str">
        <f t="shared" si="101"/>
        <v>17405</v>
      </c>
      <c r="H1128" t="s">
        <v>400</v>
      </c>
      <c r="I1128" t="s">
        <v>1265</v>
      </c>
      <c r="J1128" t="s">
        <v>1271</v>
      </c>
      <c r="K1128" t="s">
        <v>1272</v>
      </c>
      <c r="L1128" t="s">
        <v>1392</v>
      </c>
      <c r="M1128" t="s">
        <v>1393</v>
      </c>
      <c r="N1128">
        <v>21</v>
      </c>
      <c r="O1128" t="str">
        <f t="shared" si="104"/>
        <v>49</v>
      </c>
      <c r="P1128">
        <v>49</v>
      </c>
      <c r="R1128" t="s">
        <v>1269</v>
      </c>
      <c r="S1128">
        <v>1.8</v>
      </c>
      <c r="T1128">
        <v>0.21929999999999999</v>
      </c>
      <c r="U1128">
        <f t="shared" si="105"/>
        <v>0.39500000000000002</v>
      </c>
      <c r="V1128" t="str">
        <f t="shared" si="102"/>
        <v>High Behavior Analyst</v>
      </c>
      <c r="W1128" t="str">
        <f t="shared" si="103"/>
        <v>Behavior Analyst</v>
      </c>
    </row>
    <row r="1129" spans="1:23" x14ac:dyDescent="0.25">
      <c r="A1129">
        <v>17405</v>
      </c>
      <c r="B1129" t="s">
        <v>1374</v>
      </c>
      <c r="C1129">
        <v>0.8</v>
      </c>
      <c r="D1129" t="s">
        <v>1264</v>
      </c>
      <c r="E1129">
        <v>100019</v>
      </c>
      <c r="F1129">
        <v>17405</v>
      </c>
      <c r="G1129" t="str">
        <f t="shared" si="101"/>
        <v>17405</v>
      </c>
      <c r="H1129" t="s">
        <v>400</v>
      </c>
      <c r="I1129" t="s">
        <v>1265</v>
      </c>
      <c r="J1129" t="s">
        <v>1266</v>
      </c>
      <c r="K1129" t="s">
        <v>1267</v>
      </c>
      <c r="L1129" t="s">
        <v>1374</v>
      </c>
      <c r="M1129" t="s">
        <v>1391</v>
      </c>
      <c r="N1129">
        <v>21</v>
      </c>
      <c r="O1129" t="str">
        <f t="shared" si="104"/>
        <v>49</v>
      </c>
      <c r="P1129">
        <v>49</v>
      </c>
      <c r="R1129" t="s">
        <v>1269</v>
      </c>
      <c r="S1129">
        <v>0.8</v>
      </c>
      <c r="T1129">
        <v>0.21929999999999999</v>
      </c>
      <c r="U1129">
        <f t="shared" si="105"/>
        <v>0.17499999999999999</v>
      </c>
      <c r="V1129" t="str">
        <f t="shared" si="102"/>
        <v>Middle Behavior Analyst</v>
      </c>
      <c r="W1129" t="str">
        <f t="shared" si="103"/>
        <v>Behavior Analyst</v>
      </c>
    </row>
    <row r="1130" spans="1:23" x14ac:dyDescent="0.25">
      <c r="A1130">
        <v>17406</v>
      </c>
      <c r="B1130" t="s">
        <v>1295</v>
      </c>
      <c r="C1130">
        <v>1.929</v>
      </c>
      <c r="D1130" t="s">
        <v>1264</v>
      </c>
      <c r="E1130">
        <v>100243</v>
      </c>
      <c r="F1130">
        <v>17406</v>
      </c>
      <c r="G1130" t="str">
        <f t="shared" si="101"/>
        <v>17406</v>
      </c>
      <c r="H1130" t="s">
        <v>401</v>
      </c>
      <c r="I1130" t="s">
        <v>1265</v>
      </c>
      <c r="J1130" t="s">
        <v>1271</v>
      </c>
      <c r="K1130" t="s">
        <v>1272</v>
      </c>
      <c r="L1130" t="s">
        <v>1295</v>
      </c>
      <c r="M1130" t="s">
        <v>1296</v>
      </c>
      <c r="N1130">
        <v>1</v>
      </c>
      <c r="O1130" t="str">
        <f t="shared" si="104"/>
        <v>26</v>
      </c>
      <c r="Q1130">
        <v>26</v>
      </c>
      <c r="R1130" t="s">
        <v>1269</v>
      </c>
      <c r="S1130">
        <v>1.929</v>
      </c>
      <c r="T1130">
        <v>0.26540000000000002</v>
      </c>
      <c r="U1130">
        <f t="shared" si="105"/>
        <v>0</v>
      </c>
      <c r="V1130" t="str">
        <f t="shared" si="102"/>
        <v>High Health/
Related Services</v>
      </c>
      <c r="W1130" t="str">
        <f t="shared" si="103"/>
        <v>Health/
Related Services</v>
      </c>
    </row>
    <row r="1131" spans="1:23" x14ac:dyDescent="0.25">
      <c r="A1131">
        <v>17406</v>
      </c>
      <c r="B1131" t="s">
        <v>1401</v>
      </c>
      <c r="C1131">
        <v>2.2050000000000001</v>
      </c>
      <c r="D1131" t="s">
        <v>1264</v>
      </c>
      <c r="E1131">
        <v>100243</v>
      </c>
      <c r="F1131">
        <v>17406</v>
      </c>
      <c r="G1131" t="str">
        <f t="shared" si="101"/>
        <v>17406</v>
      </c>
      <c r="H1131" t="s">
        <v>401</v>
      </c>
      <c r="I1131" t="s">
        <v>1265</v>
      </c>
      <c r="J1131" t="s">
        <v>1271</v>
      </c>
      <c r="K1131" t="s">
        <v>1272</v>
      </c>
      <c r="L1131" t="s">
        <v>1401</v>
      </c>
      <c r="M1131" t="s">
        <v>1422</v>
      </c>
      <c r="N1131">
        <v>1</v>
      </c>
      <c r="O1131" t="str">
        <f t="shared" si="104"/>
        <v>35</v>
      </c>
      <c r="Q1131">
        <v>35</v>
      </c>
      <c r="R1131" t="s">
        <v>1269</v>
      </c>
      <c r="S1131">
        <v>2.2050000000000001</v>
      </c>
      <c r="T1131">
        <v>0.26540000000000002</v>
      </c>
      <c r="U1131">
        <f t="shared" si="105"/>
        <v>0</v>
      </c>
      <c r="V1131" t="str">
        <f t="shared" si="102"/>
        <v>High Pupil Safety</v>
      </c>
      <c r="W1131" t="str">
        <f t="shared" si="103"/>
        <v>Pupil Safety</v>
      </c>
    </row>
    <row r="1132" spans="1:23" x14ac:dyDescent="0.25">
      <c r="A1132">
        <v>17406</v>
      </c>
      <c r="B1132" t="s">
        <v>1275</v>
      </c>
      <c r="C1132">
        <v>0.34</v>
      </c>
      <c r="D1132" t="s">
        <v>1264</v>
      </c>
      <c r="E1132">
        <v>100243</v>
      </c>
      <c r="F1132">
        <v>17406</v>
      </c>
      <c r="G1132" t="str">
        <f t="shared" si="101"/>
        <v>17406</v>
      </c>
      <c r="H1132" t="s">
        <v>401</v>
      </c>
      <c r="I1132" t="s">
        <v>1265</v>
      </c>
      <c r="J1132" t="s">
        <v>1276</v>
      </c>
      <c r="K1132" t="s">
        <v>1277</v>
      </c>
      <c r="L1132" t="s">
        <v>1275</v>
      </c>
      <c r="M1132" t="s">
        <v>1278</v>
      </c>
      <c r="N1132">
        <v>1</v>
      </c>
      <c r="O1132" t="str">
        <f t="shared" si="104"/>
        <v>42</v>
      </c>
      <c r="P1132">
        <v>42</v>
      </c>
      <c r="R1132" t="s">
        <v>1269</v>
      </c>
      <c r="S1132">
        <v>0.34</v>
      </c>
      <c r="T1132">
        <v>0.26540000000000002</v>
      </c>
      <c r="U1132">
        <f t="shared" si="105"/>
        <v>0</v>
      </c>
      <c r="V1132" t="str">
        <f t="shared" si="102"/>
        <v>Elementary Counselor</v>
      </c>
      <c r="W1132" t="str">
        <f t="shared" si="103"/>
        <v>Counselor</v>
      </c>
    </row>
    <row r="1133" spans="1:23" x14ac:dyDescent="0.25">
      <c r="A1133">
        <v>17406</v>
      </c>
      <c r="B1133" t="s">
        <v>1270</v>
      </c>
      <c r="C1133">
        <v>3.5</v>
      </c>
      <c r="D1133" t="s">
        <v>1264</v>
      </c>
      <c r="E1133">
        <v>100243</v>
      </c>
      <c r="F1133">
        <v>17406</v>
      </c>
      <c r="G1133" t="str">
        <f t="shared" si="101"/>
        <v>17406</v>
      </c>
      <c r="H1133" t="s">
        <v>401</v>
      </c>
      <c r="I1133" t="s">
        <v>1265</v>
      </c>
      <c r="J1133" t="s">
        <v>1271</v>
      </c>
      <c r="K1133" t="s">
        <v>1272</v>
      </c>
      <c r="L1133" t="s">
        <v>1270</v>
      </c>
      <c r="M1133" t="s">
        <v>1273</v>
      </c>
      <c r="N1133">
        <v>1</v>
      </c>
      <c r="O1133" t="str">
        <f t="shared" si="104"/>
        <v>42</v>
      </c>
      <c r="P1133">
        <v>42</v>
      </c>
      <c r="R1133" t="s">
        <v>1269</v>
      </c>
      <c r="S1133">
        <v>3.5</v>
      </c>
      <c r="T1133">
        <v>0.26540000000000002</v>
      </c>
      <c r="U1133">
        <f t="shared" si="105"/>
        <v>0</v>
      </c>
      <c r="V1133" t="str">
        <f t="shared" si="102"/>
        <v>High Counselor</v>
      </c>
      <c r="W1133" t="str">
        <f t="shared" si="103"/>
        <v>Counselor</v>
      </c>
    </row>
    <row r="1134" spans="1:23" x14ac:dyDescent="0.25">
      <c r="A1134">
        <v>17406</v>
      </c>
      <c r="B1134" t="s">
        <v>1263</v>
      </c>
      <c r="C1134">
        <v>0.68200000000000005</v>
      </c>
      <c r="D1134" t="s">
        <v>1264</v>
      </c>
      <c r="E1134">
        <v>100243</v>
      </c>
      <c r="F1134">
        <v>17406</v>
      </c>
      <c r="G1134" t="str">
        <f t="shared" si="101"/>
        <v>17406</v>
      </c>
      <c r="H1134" t="s">
        <v>401</v>
      </c>
      <c r="I1134" t="s">
        <v>1265</v>
      </c>
      <c r="J1134" t="s">
        <v>1266</v>
      </c>
      <c r="K1134" t="s">
        <v>1267</v>
      </c>
      <c r="L1134" t="s">
        <v>1263</v>
      </c>
      <c r="M1134" t="s">
        <v>1268</v>
      </c>
      <c r="N1134">
        <v>1</v>
      </c>
      <c r="O1134" t="str">
        <f t="shared" si="104"/>
        <v>42</v>
      </c>
      <c r="P1134">
        <v>42</v>
      </c>
      <c r="R1134" t="s">
        <v>1269</v>
      </c>
      <c r="S1134">
        <v>0.68200000000000005</v>
      </c>
      <c r="T1134">
        <v>0.26540000000000002</v>
      </c>
      <c r="U1134">
        <f t="shared" si="105"/>
        <v>0</v>
      </c>
      <c r="V1134" t="str">
        <f t="shared" si="102"/>
        <v>Middle Counselor</v>
      </c>
      <c r="W1134" t="str">
        <f t="shared" si="103"/>
        <v>Counselor</v>
      </c>
    </row>
    <row r="1135" spans="1:23" x14ac:dyDescent="0.25">
      <c r="A1135">
        <v>17406</v>
      </c>
      <c r="B1135" t="s">
        <v>1289</v>
      </c>
      <c r="C1135">
        <v>0.33400000000000002</v>
      </c>
      <c r="D1135" t="s">
        <v>1264</v>
      </c>
      <c r="E1135">
        <v>100243</v>
      </c>
      <c r="F1135">
        <v>17406</v>
      </c>
      <c r="G1135" t="str">
        <f t="shared" si="101"/>
        <v>17406</v>
      </c>
      <c r="H1135" t="s">
        <v>401</v>
      </c>
      <c r="I1135" t="s">
        <v>1265</v>
      </c>
      <c r="J1135" t="s">
        <v>1276</v>
      </c>
      <c r="K1135" t="s">
        <v>1277</v>
      </c>
      <c r="L1135" t="s">
        <v>1289</v>
      </c>
      <c r="M1135" t="s">
        <v>1307</v>
      </c>
      <c r="N1135">
        <v>21</v>
      </c>
      <c r="O1135" t="str">
        <f t="shared" si="104"/>
        <v>43</v>
      </c>
      <c r="P1135">
        <v>43</v>
      </c>
      <c r="R1135" t="s">
        <v>1269</v>
      </c>
      <c r="S1135">
        <v>0.33400000000000002</v>
      </c>
      <c r="T1135">
        <v>0.26540000000000002</v>
      </c>
      <c r="U1135">
        <f t="shared" si="105"/>
        <v>8.8999999999999996E-2</v>
      </c>
      <c r="V1135" t="str">
        <f t="shared" si="102"/>
        <v>Elementary Occupational Therapist</v>
      </c>
      <c r="W1135" t="str">
        <f t="shared" si="103"/>
        <v>Occupational Therapist</v>
      </c>
    </row>
    <row r="1136" spans="1:23" x14ac:dyDescent="0.25">
      <c r="A1136">
        <v>17406</v>
      </c>
      <c r="B1136" t="s">
        <v>1387</v>
      </c>
      <c r="C1136">
        <v>1</v>
      </c>
      <c r="D1136" t="s">
        <v>1264</v>
      </c>
      <c r="E1136">
        <v>100243</v>
      </c>
      <c r="F1136">
        <v>17406</v>
      </c>
      <c r="G1136" t="str">
        <f t="shared" si="101"/>
        <v>17406</v>
      </c>
      <c r="H1136" t="s">
        <v>401</v>
      </c>
      <c r="I1136" t="s">
        <v>1265</v>
      </c>
      <c r="J1136" t="s">
        <v>1271</v>
      </c>
      <c r="K1136" t="s">
        <v>1272</v>
      </c>
      <c r="L1136" t="s">
        <v>1387</v>
      </c>
      <c r="M1136" t="s">
        <v>1406</v>
      </c>
      <c r="N1136">
        <v>21</v>
      </c>
      <c r="O1136" t="str">
        <f t="shared" si="104"/>
        <v>43</v>
      </c>
      <c r="P1136">
        <v>43</v>
      </c>
      <c r="R1136" t="s">
        <v>1269</v>
      </c>
      <c r="S1136">
        <v>1</v>
      </c>
      <c r="T1136">
        <v>0.26540000000000002</v>
      </c>
      <c r="U1136">
        <f t="shared" si="105"/>
        <v>0.26500000000000001</v>
      </c>
      <c r="V1136" t="str">
        <f t="shared" si="102"/>
        <v>High Occupational Therapist</v>
      </c>
      <c r="W1136" t="str">
        <f t="shared" si="103"/>
        <v>Occupational Therapist</v>
      </c>
    </row>
    <row r="1137" spans="1:23" x14ac:dyDescent="0.25">
      <c r="A1137">
        <v>17406</v>
      </c>
      <c r="B1137" t="s">
        <v>1303</v>
      </c>
      <c r="C1137">
        <v>0.66600000000000004</v>
      </c>
      <c r="D1137" t="s">
        <v>1264</v>
      </c>
      <c r="E1137">
        <v>100243</v>
      </c>
      <c r="F1137">
        <v>17406</v>
      </c>
      <c r="G1137" t="str">
        <f t="shared" si="101"/>
        <v>17406</v>
      </c>
      <c r="H1137" t="s">
        <v>401</v>
      </c>
      <c r="I1137" t="s">
        <v>1265</v>
      </c>
      <c r="J1137" t="s">
        <v>1266</v>
      </c>
      <c r="K1137" t="s">
        <v>1267</v>
      </c>
      <c r="L1137" t="s">
        <v>1303</v>
      </c>
      <c r="M1137" t="s">
        <v>1304</v>
      </c>
      <c r="N1137">
        <v>21</v>
      </c>
      <c r="O1137" t="str">
        <f t="shared" si="104"/>
        <v>43</v>
      </c>
      <c r="P1137">
        <v>43</v>
      </c>
      <c r="R1137" t="s">
        <v>1269</v>
      </c>
      <c r="S1137">
        <v>0.66600000000000004</v>
      </c>
      <c r="T1137">
        <v>0.26540000000000002</v>
      </c>
      <c r="U1137">
        <f t="shared" si="105"/>
        <v>0.17699999999999999</v>
      </c>
      <c r="V1137" t="str">
        <f t="shared" si="102"/>
        <v>Middle Occupational Therapist</v>
      </c>
      <c r="W1137" t="str">
        <f t="shared" si="103"/>
        <v>Occupational Therapist</v>
      </c>
    </row>
    <row r="1138" spans="1:23" x14ac:dyDescent="0.25">
      <c r="A1138">
        <v>17406</v>
      </c>
      <c r="B1138" t="s">
        <v>1331</v>
      </c>
      <c r="C1138">
        <v>3</v>
      </c>
      <c r="D1138" t="s">
        <v>1264</v>
      </c>
      <c r="E1138">
        <v>100243</v>
      </c>
      <c r="F1138">
        <v>17406</v>
      </c>
      <c r="G1138" t="str">
        <f t="shared" si="101"/>
        <v>17406</v>
      </c>
      <c r="H1138" t="s">
        <v>401</v>
      </c>
      <c r="I1138" t="s">
        <v>1265</v>
      </c>
      <c r="J1138" t="s">
        <v>1276</v>
      </c>
      <c r="K1138" t="s">
        <v>1277</v>
      </c>
      <c r="L1138" t="s">
        <v>1331</v>
      </c>
      <c r="M1138" t="s">
        <v>1405</v>
      </c>
      <c r="N1138">
        <v>1</v>
      </c>
      <c r="O1138" t="str">
        <f t="shared" si="104"/>
        <v>44</v>
      </c>
      <c r="P1138">
        <v>44</v>
      </c>
      <c r="R1138" t="s">
        <v>1269</v>
      </c>
      <c r="S1138">
        <v>3</v>
      </c>
      <c r="T1138">
        <v>0.26540000000000002</v>
      </c>
      <c r="U1138">
        <f t="shared" si="105"/>
        <v>0</v>
      </c>
      <c r="V1138" t="str">
        <f t="shared" si="102"/>
        <v>Elementary Social Worker</v>
      </c>
      <c r="W1138" t="str">
        <f t="shared" si="103"/>
        <v>Social Worker</v>
      </c>
    </row>
    <row r="1139" spans="1:23" x14ac:dyDescent="0.25">
      <c r="A1139">
        <v>17406</v>
      </c>
      <c r="B1139" t="s">
        <v>1294</v>
      </c>
      <c r="C1139">
        <v>3.1669999999999998</v>
      </c>
      <c r="D1139" t="s">
        <v>1264</v>
      </c>
      <c r="E1139">
        <v>100243</v>
      </c>
      <c r="F1139">
        <v>17406</v>
      </c>
      <c r="G1139" t="str">
        <f t="shared" si="101"/>
        <v>17406</v>
      </c>
      <c r="H1139" t="s">
        <v>401</v>
      </c>
      <c r="I1139" t="s">
        <v>1265</v>
      </c>
      <c r="J1139" t="s">
        <v>1276</v>
      </c>
      <c r="K1139" t="s">
        <v>1277</v>
      </c>
      <c r="L1139" t="s">
        <v>1294</v>
      </c>
      <c r="M1139" t="s">
        <v>1354</v>
      </c>
      <c r="N1139">
        <v>21</v>
      </c>
      <c r="O1139" t="str">
        <f t="shared" si="104"/>
        <v>45</v>
      </c>
      <c r="P1139">
        <v>45</v>
      </c>
      <c r="R1139" t="s">
        <v>1269</v>
      </c>
      <c r="S1139">
        <v>3.1669999999999998</v>
      </c>
      <c r="T1139">
        <v>0.26540000000000002</v>
      </c>
      <c r="U1139">
        <f t="shared" si="105"/>
        <v>0.84099999999999997</v>
      </c>
      <c r="V1139" t="str">
        <f t="shared" si="102"/>
        <v>Elementary Speech, Language Pathway/
Audio</v>
      </c>
      <c r="W1139" t="str">
        <f t="shared" si="103"/>
        <v>Speech, Language Pathway/
Audio</v>
      </c>
    </row>
    <row r="1140" spans="1:23" x14ac:dyDescent="0.25">
      <c r="A1140">
        <v>17406</v>
      </c>
      <c r="B1140" t="s">
        <v>1326</v>
      </c>
      <c r="C1140">
        <v>1</v>
      </c>
      <c r="D1140" t="s">
        <v>1264</v>
      </c>
      <c r="E1140">
        <v>100243</v>
      </c>
      <c r="F1140">
        <v>17406</v>
      </c>
      <c r="G1140" t="str">
        <f t="shared" si="101"/>
        <v>17406</v>
      </c>
      <c r="H1140" t="s">
        <v>401</v>
      </c>
      <c r="I1140" t="s">
        <v>1265</v>
      </c>
      <c r="J1140" t="s">
        <v>1271</v>
      </c>
      <c r="K1140" t="s">
        <v>1272</v>
      </c>
      <c r="L1140" t="s">
        <v>1326</v>
      </c>
      <c r="M1140" t="s">
        <v>1353</v>
      </c>
      <c r="N1140">
        <v>21</v>
      </c>
      <c r="O1140" t="str">
        <f t="shared" si="104"/>
        <v>45</v>
      </c>
      <c r="P1140">
        <v>45</v>
      </c>
      <c r="R1140" t="s">
        <v>1269</v>
      </c>
      <c r="S1140">
        <v>1</v>
      </c>
      <c r="T1140">
        <v>0.26540000000000002</v>
      </c>
      <c r="U1140">
        <f t="shared" si="105"/>
        <v>0.26500000000000001</v>
      </c>
      <c r="V1140" t="str">
        <f t="shared" si="102"/>
        <v>High Speech, Language Pathway/
Audio</v>
      </c>
      <c r="W1140" t="str">
        <f t="shared" si="103"/>
        <v>Speech, Language Pathway/
Audio</v>
      </c>
    </row>
    <row r="1141" spans="1:23" x14ac:dyDescent="0.25">
      <c r="A1141">
        <v>17406</v>
      </c>
      <c r="B1141" t="s">
        <v>1312</v>
      </c>
      <c r="C1141">
        <v>0.83299999999999996</v>
      </c>
      <c r="D1141" t="s">
        <v>1264</v>
      </c>
      <c r="E1141">
        <v>100243</v>
      </c>
      <c r="F1141">
        <v>17406</v>
      </c>
      <c r="G1141" t="str">
        <f t="shared" si="101"/>
        <v>17406</v>
      </c>
      <c r="H1141" t="s">
        <v>401</v>
      </c>
      <c r="I1141" t="s">
        <v>1265</v>
      </c>
      <c r="J1141" t="s">
        <v>1266</v>
      </c>
      <c r="K1141" t="s">
        <v>1267</v>
      </c>
      <c r="L1141" t="s">
        <v>1312</v>
      </c>
      <c r="M1141" t="s">
        <v>1351</v>
      </c>
      <c r="N1141">
        <v>21</v>
      </c>
      <c r="O1141" t="str">
        <f t="shared" si="104"/>
        <v>45</v>
      </c>
      <c r="P1141">
        <v>45</v>
      </c>
      <c r="R1141" t="s">
        <v>1269</v>
      </c>
      <c r="S1141">
        <v>0.83299999999999996</v>
      </c>
      <c r="T1141">
        <v>0.26540000000000002</v>
      </c>
      <c r="U1141">
        <f t="shared" si="105"/>
        <v>0.221</v>
      </c>
      <c r="V1141" t="str">
        <f t="shared" si="102"/>
        <v>Middle Speech, Language Pathway/
Audio</v>
      </c>
      <c r="W1141" t="str">
        <f t="shared" si="103"/>
        <v>Speech, Language Pathway/
Audio</v>
      </c>
    </row>
    <row r="1142" spans="1:23" x14ac:dyDescent="0.25">
      <c r="A1142">
        <v>17406</v>
      </c>
      <c r="B1142" t="s">
        <v>1298</v>
      </c>
      <c r="C1142">
        <v>2.1669999999999998</v>
      </c>
      <c r="D1142" t="s">
        <v>1264</v>
      </c>
      <c r="E1142">
        <v>100243</v>
      </c>
      <c r="F1142">
        <v>17406</v>
      </c>
      <c r="G1142" t="str">
        <f t="shared" si="101"/>
        <v>17406</v>
      </c>
      <c r="H1142" t="s">
        <v>401</v>
      </c>
      <c r="I1142" t="s">
        <v>1265</v>
      </c>
      <c r="J1142" t="s">
        <v>1276</v>
      </c>
      <c r="K1142" t="s">
        <v>1277</v>
      </c>
      <c r="L1142" t="s">
        <v>1298</v>
      </c>
      <c r="M1142" t="s">
        <v>1349</v>
      </c>
      <c r="N1142">
        <v>21</v>
      </c>
      <c r="O1142" t="str">
        <f t="shared" si="104"/>
        <v>46</v>
      </c>
      <c r="P1142">
        <v>46</v>
      </c>
      <c r="R1142" t="s">
        <v>1269</v>
      </c>
      <c r="S1142">
        <v>2.1669999999999998</v>
      </c>
      <c r="T1142">
        <v>0.26540000000000002</v>
      </c>
      <c r="U1142">
        <f t="shared" si="105"/>
        <v>0.57499999999999996</v>
      </c>
      <c r="V1142" t="str">
        <f t="shared" si="102"/>
        <v>Elementary Psychologist</v>
      </c>
      <c r="W1142" t="str">
        <f t="shared" si="103"/>
        <v>Psychologist</v>
      </c>
    </row>
    <row r="1143" spans="1:23" x14ac:dyDescent="0.25">
      <c r="A1143">
        <v>17406</v>
      </c>
      <c r="B1143" t="s">
        <v>1309</v>
      </c>
      <c r="C1143">
        <v>1.5</v>
      </c>
      <c r="D1143" t="s">
        <v>1264</v>
      </c>
      <c r="E1143">
        <v>100243</v>
      </c>
      <c r="F1143">
        <v>17406</v>
      </c>
      <c r="G1143" t="str">
        <f t="shared" si="101"/>
        <v>17406</v>
      </c>
      <c r="H1143" t="s">
        <v>401</v>
      </c>
      <c r="I1143" t="s">
        <v>1265</v>
      </c>
      <c r="J1143" t="s">
        <v>1271</v>
      </c>
      <c r="K1143" t="s">
        <v>1272</v>
      </c>
      <c r="L1143" t="s">
        <v>1309</v>
      </c>
      <c r="M1143" t="s">
        <v>1310</v>
      </c>
      <c r="N1143">
        <v>21</v>
      </c>
      <c r="O1143" t="str">
        <f t="shared" si="104"/>
        <v>46</v>
      </c>
      <c r="P1143">
        <v>46</v>
      </c>
      <c r="R1143" t="s">
        <v>1269</v>
      </c>
      <c r="S1143">
        <v>1.5</v>
      </c>
      <c r="T1143">
        <v>0.26540000000000002</v>
      </c>
      <c r="U1143">
        <f t="shared" si="105"/>
        <v>0.39800000000000002</v>
      </c>
      <c r="V1143" t="str">
        <f t="shared" si="102"/>
        <v>High Psychologist</v>
      </c>
      <c r="W1143" t="str">
        <f t="shared" si="103"/>
        <v>Psychologist</v>
      </c>
    </row>
    <row r="1144" spans="1:23" x14ac:dyDescent="0.25">
      <c r="A1144">
        <v>17406</v>
      </c>
      <c r="B1144" t="s">
        <v>1345</v>
      </c>
      <c r="C1144">
        <v>0.33300000000000002</v>
      </c>
      <c r="D1144" t="s">
        <v>1264</v>
      </c>
      <c r="E1144">
        <v>100243</v>
      </c>
      <c r="F1144">
        <v>17406</v>
      </c>
      <c r="G1144" t="str">
        <f t="shared" si="101"/>
        <v>17406</v>
      </c>
      <c r="H1144" t="s">
        <v>401</v>
      </c>
      <c r="I1144" t="s">
        <v>1265</v>
      </c>
      <c r="J1144" t="s">
        <v>1266</v>
      </c>
      <c r="K1144" t="s">
        <v>1267</v>
      </c>
      <c r="L1144" t="s">
        <v>1345</v>
      </c>
      <c r="M1144" t="s">
        <v>1346</v>
      </c>
      <c r="N1144">
        <v>21</v>
      </c>
      <c r="O1144" t="str">
        <f t="shared" si="104"/>
        <v>46</v>
      </c>
      <c r="P1144">
        <v>46</v>
      </c>
      <c r="R1144" t="s">
        <v>1269</v>
      </c>
      <c r="S1144">
        <v>0.33300000000000002</v>
      </c>
      <c r="T1144">
        <v>0.26540000000000002</v>
      </c>
      <c r="U1144">
        <f t="shared" si="105"/>
        <v>8.7999999999999995E-2</v>
      </c>
      <c r="V1144" t="str">
        <f t="shared" si="102"/>
        <v>Middle Psychologist</v>
      </c>
      <c r="W1144" t="str">
        <f t="shared" si="103"/>
        <v>Psychologist</v>
      </c>
    </row>
    <row r="1145" spans="1:23" x14ac:dyDescent="0.25">
      <c r="A1145">
        <v>17406</v>
      </c>
      <c r="B1145" t="s">
        <v>1341</v>
      </c>
      <c r="C1145">
        <v>1</v>
      </c>
      <c r="D1145" t="s">
        <v>1264</v>
      </c>
      <c r="E1145">
        <v>100243</v>
      </c>
      <c r="F1145">
        <v>17406</v>
      </c>
      <c r="G1145" t="str">
        <f t="shared" si="101"/>
        <v>17406</v>
      </c>
      <c r="H1145" t="s">
        <v>401</v>
      </c>
      <c r="I1145" t="s">
        <v>1265</v>
      </c>
      <c r="J1145" t="s">
        <v>1271</v>
      </c>
      <c r="K1145" t="s">
        <v>1272</v>
      </c>
      <c r="L1145" t="s">
        <v>1341</v>
      </c>
      <c r="M1145" t="s">
        <v>1342</v>
      </c>
      <c r="N1145">
        <v>1</v>
      </c>
      <c r="O1145" t="str">
        <f t="shared" si="104"/>
        <v>47</v>
      </c>
      <c r="P1145">
        <v>47</v>
      </c>
      <c r="R1145" t="s">
        <v>1269</v>
      </c>
      <c r="S1145">
        <v>1</v>
      </c>
      <c r="T1145">
        <v>0.26540000000000002</v>
      </c>
      <c r="U1145">
        <f t="shared" si="105"/>
        <v>0</v>
      </c>
      <c r="V1145" t="str">
        <f t="shared" si="102"/>
        <v>High Nurse</v>
      </c>
      <c r="W1145" t="str">
        <f t="shared" si="103"/>
        <v>Nurse</v>
      </c>
    </row>
    <row r="1146" spans="1:23" x14ac:dyDescent="0.25">
      <c r="A1146">
        <v>17406</v>
      </c>
      <c r="B1146" t="s">
        <v>1302</v>
      </c>
      <c r="C1146">
        <v>1</v>
      </c>
      <c r="D1146" t="s">
        <v>1264</v>
      </c>
      <c r="E1146">
        <v>100243</v>
      </c>
      <c r="F1146">
        <v>17406</v>
      </c>
      <c r="G1146" t="str">
        <f t="shared" si="101"/>
        <v>17406</v>
      </c>
      <c r="H1146" t="s">
        <v>401</v>
      </c>
      <c r="I1146" t="s">
        <v>1265</v>
      </c>
      <c r="J1146" t="s">
        <v>1276</v>
      </c>
      <c r="K1146" t="s">
        <v>1277</v>
      </c>
      <c r="L1146" t="s">
        <v>1302</v>
      </c>
      <c r="M1146" t="s">
        <v>1336</v>
      </c>
      <c r="N1146">
        <v>21</v>
      </c>
      <c r="O1146" t="str">
        <f t="shared" si="104"/>
        <v>48</v>
      </c>
      <c r="P1146">
        <v>48</v>
      </c>
      <c r="R1146" t="s">
        <v>1269</v>
      </c>
      <c r="S1146">
        <v>1</v>
      </c>
      <c r="T1146">
        <v>0.26540000000000002</v>
      </c>
      <c r="U1146">
        <f t="shared" si="105"/>
        <v>0.26500000000000001</v>
      </c>
      <c r="V1146" t="str">
        <f t="shared" si="102"/>
        <v>Elementary Physical Therapist</v>
      </c>
      <c r="W1146" t="str">
        <f t="shared" si="103"/>
        <v>Physical Therapist</v>
      </c>
    </row>
    <row r="1147" spans="1:23" x14ac:dyDescent="0.25">
      <c r="A1147">
        <v>17407</v>
      </c>
      <c r="B1147" t="s">
        <v>1299</v>
      </c>
      <c r="C1147">
        <v>3.653</v>
      </c>
      <c r="D1147" t="s">
        <v>1264</v>
      </c>
      <c r="E1147">
        <v>100222</v>
      </c>
      <c r="F1147">
        <v>17407</v>
      </c>
      <c r="G1147" t="str">
        <f t="shared" si="101"/>
        <v>17407</v>
      </c>
      <c r="H1147" t="s">
        <v>402</v>
      </c>
      <c r="I1147" t="s">
        <v>1265</v>
      </c>
      <c r="J1147" t="s">
        <v>1271</v>
      </c>
      <c r="K1147" t="s">
        <v>1272</v>
      </c>
      <c r="L1147" t="s">
        <v>1299</v>
      </c>
      <c r="M1147" t="s">
        <v>1300</v>
      </c>
      <c r="N1147">
        <v>1</v>
      </c>
      <c r="O1147" t="str">
        <f t="shared" si="104"/>
        <v>25</v>
      </c>
      <c r="Q1147">
        <v>25</v>
      </c>
      <c r="R1147" t="s">
        <v>1269</v>
      </c>
      <c r="S1147">
        <v>3.653</v>
      </c>
      <c r="T1147">
        <v>0.20519999999999999</v>
      </c>
      <c r="U1147">
        <f t="shared" si="105"/>
        <v>0</v>
      </c>
      <c r="V1147" t="str">
        <f t="shared" si="102"/>
        <v>High Pupil Management</v>
      </c>
      <c r="W1147" t="str">
        <f t="shared" si="103"/>
        <v>Pupil Management</v>
      </c>
    </row>
    <row r="1148" spans="1:23" x14ac:dyDescent="0.25">
      <c r="A1148">
        <v>17407</v>
      </c>
      <c r="B1148" t="s">
        <v>1324</v>
      </c>
      <c r="C1148">
        <v>2.37</v>
      </c>
      <c r="D1148" t="s">
        <v>1264</v>
      </c>
      <c r="E1148">
        <v>100222</v>
      </c>
      <c r="F1148">
        <v>17407</v>
      </c>
      <c r="G1148" t="str">
        <f t="shared" si="101"/>
        <v>17407</v>
      </c>
      <c r="H1148" t="s">
        <v>402</v>
      </c>
      <c r="I1148" t="s">
        <v>1265</v>
      </c>
      <c r="J1148" t="s">
        <v>1271</v>
      </c>
      <c r="K1148" t="s">
        <v>1272</v>
      </c>
      <c r="L1148" t="s">
        <v>1324</v>
      </c>
      <c r="M1148" t="s">
        <v>1325</v>
      </c>
      <c r="N1148">
        <v>21</v>
      </c>
      <c r="O1148" t="str">
        <f t="shared" si="104"/>
        <v>26</v>
      </c>
      <c r="Q1148">
        <v>26</v>
      </c>
      <c r="R1148" t="s">
        <v>1269</v>
      </c>
      <c r="S1148">
        <v>2.37</v>
      </c>
      <c r="T1148">
        <v>0.20519999999999999</v>
      </c>
      <c r="U1148">
        <f t="shared" si="105"/>
        <v>0.48599999999999999</v>
      </c>
      <c r="V1148" t="str">
        <f t="shared" si="102"/>
        <v>High Health/
Related Services</v>
      </c>
      <c r="W1148" t="str">
        <f t="shared" si="103"/>
        <v>Health/
Related Services</v>
      </c>
    </row>
    <row r="1149" spans="1:23" x14ac:dyDescent="0.25">
      <c r="A1149">
        <v>17407</v>
      </c>
      <c r="B1149" t="s">
        <v>1295</v>
      </c>
      <c r="C1149">
        <v>1.6639999999999999</v>
      </c>
      <c r="D1149" t="s">
        <v>1264</v>
      </c>
      <c r="E1149">
        <v>100222</v>
      </c>
      <c r="F1149">
        <v>17407</v>
      </c>
      <c r="G1149" t="str">
        <f t="shared" si="101"/>
        <v>17407</v>
      </c>
      <c r="H1149" t="s">
        <v>402</v>
      </c>
      <c r="I1149" t="s">
        <v>1265</v>
      </c>
      <c r="J1149" t="s">
        <v>1271</v>
      </c>
      <c r="K1149" t="s">
        <v>1272</v>
      </c>
      <c r="L1149" t="s">
        <v>1295</v>
      </c>
      <c r="M1149" t="s">
        <v>1296</v>
      </c>
      <c r="N1149">
        <v>1</v>
      </c>
      <c r="O1149" t="str">
        <f t="shared" si="104"/>
        <v>26</v>
      </c>
      <c r="Q1149">
        <v>26</v>
      </c>
      <c r="R1149" t="s">
        <v>1269</v>
      </c>
      <c r="S1149">
        <v>1.6639999999999999</v>
      </c>
      <c r="T1149">
        <v>0.20519999999999999</v>
      </c>
      <c r="U1149">
        <f t="shared" si="105"/>
        <v>0</v>
      </c>
      <c r="V1149" t="str">
        <f t="shared" si="102"/>
        <v>High Health/
Related Services</v>
      </c>
      <c r="W1149" t="str">
        <f t="shared" si="103"/>
        <v>Health/
Related Services</v>
      </c>
    </row>
    <row r="1150" spans="1:23" x14ac:dyDescent="0.25">
      <c r="A1150">
        <v>17407</v>
      </c>
      <c r="B1150" t="s">
        <v>1401</v>
      </c>
      <c r="C1150">
        <v>1.5549999999999999</v>
      </c>
      <c r="D1150" t="s">
        <v>1264</v>
      </c>
      <c r="E1150">
        <v>100222</v>
      </c>
      <c r="F1150">
        <v>17407</v>
      </c>
      <c r="G1150" t="str">
        <f t="shared" si="101"/>
        <v>17407</v>
      </c>
      <c r="H1150" t="s">
        <v>402</v>
      </c>
      <c r="I1150" t="s">
        <v>1265</v>
      </c>
      <c r="J1150" t="s">
        <v>1271</v>
      </c>
      <c r="K1150" t="s">
        <v>1272</v>
      </c>
      <c r="L1150" t="s">
        <v>1401</v>
      </c>
      <c r="M1150" t="s">
        <v>1422</v>
      </c>
      <c r="N1150">
        <v>1</v>
      </c>
      <c r="O1150" t="str">
        <f t="shared" si="104"/>
        <v>35</v>
      </c>
      <c r="Q1150">
        <v>35</v>
      </c>
      <c r="R1150" t="s">
        <v>1269</v>
      </c>
      <c r="S1150">
        <v>1.5549999999999999</v>
      </c>
      <c r="T1150">
        <v>0.20519999999999999</v>
      </c>
      <c r="U1150">
        <f t="shared" si="105"/>
        <v>0</v>
      </c>
      <c r="V1150" t="str">
        <f t="shared" si="102"/>
        <v>High Pupil Safety</v>
      </c>
      <c r="W1150" t="str">
        <f t="shared" si="103"/>
        <v>Pupil Safety</v>
      </c>
    </row>
    <row r="1151" spans="1:23" x14ac:dyDescent="0.25">
      <c r="A1151">
        <v>17407</v>
      </c>
      <c r="B1151" t="s">
        <v>1275</v>
      </c>
      <c r="C1151">
        <v>3.99</v>
      </c>
      <c r="D1151" t="s">
        <v>1264</v>
      </c>
      <c r="E1151">
        <v>100222</v>
      </c>
      <c r="F1151">
        <v>17407</v>
      </c>
      <c r="G1151" t="str">
        <f t="shared" si="101"/>
        <v>17407</v>
      </c>
      <c r="H1151" t="s">
        <v>402</v>
      </c>
      <c r="I1151" t="s">
        <v>1265</v>
      </c>
      <c r="J1151" t="s">
        <v>1276</v>
      </c>
      <c r="K1151" t="s">
        <v>1277</v>
      </c>
      <c r="L1151" t="s">
        <v>1275</v>
      </c>
      <c r="M1151" t="s">
        <v>1278</v>
      </c>
      <c r="N1151">
        <v>1</v>
      </c>
      <c r="O1151" t="str">
        <f t="shared" si="104"/>
        <v>42</v>
      </c>
      <c r="P1151">
        <v>42</v>
      </c>
      <c r="R1151" t="s">
        <v>1269</v>
      </c>
      <c r="S1151">
        <v>3.99</v>
      </c>
      <c r="T1151">
        <v>0.20519999999999999</v>
      </c>
      <c r="U1151">
        <f t="shared" si="105"/>
        <v>0</v>
      </c>
      <c r="V1151" t="str">
        <f t="shared" si="102"/>
        <v>Elementary Counselor</v>
      </c>
      <c r="W1151" t="str">
        <f t="shared" si="103"/>
        <v>Counselor</v>
      </c>
    </row>
    <row r="1152" spans="1:23" x14ac:dyDescent="0.25">
      <c r="A1152">
        <v>17407</v>
      </c>
      <c r="B1152" t="s">
        <v>1270</v>
      </c>
      <c r="C1152">
        <v>3.02</v>
      </c>
      <c r="D1152" t="s">
        <v>1264</v>
      </c>
      <c r="E1152">
        <v>100222</v>
      </c>
      <c r="F1152">
        <v>17407</v>
      </c>
      <c r="G1152" t="str">
        <f t="shared" si="101"/>
        <v>17407</v>
      </c>
      <c r="H1152" t="s">
        <v>402</v>
      </c>
      <c r="I1152" t="s">
        <v>1265</v>
      </c>
      <c r="J1152" t="s">
        <v>1271</v>
      </c>
      <c r="K1152" t="s">
        <v>1272</v>
      </c>
      <c r="L1152" t="s">
        <v>1270</v>
      </c>
      <c r="M1152" t="s">
        <v>1273</v>
      </c>
      <c r="N1152">
        <v>1</v>
      </c>
      <c r="O1152" t="str">
        <f t="shared" si="104"/>
        <v>42</v>
      </c>
      <c r="P1152">
        <v>42</v>
      </c>
      <c r="R1152" t="s">
        <v>1269</v>
      </c>
      <c r="S1152">
        <v>3.02</v>
      </c>
      <c r="T1152">
        <v>0.20519999999999999</v>
      </c>
      <c r="U1152">
        <f t="shared" si="105"/>
        <v>0</v>
      </c>
      <c r="V1152" t="str">
        <f t="shared" si="102"/>
        <v>High Counselor</v>
      </c>
      <c r="W1152" t="str">
        <f t="shared" si="103"/>
        <v>Counselor</v>
      </c>
    </row>
    <row r="1153" spans="1:23" x14ac:dyDescent="0.25">
      <c r="A1153">
        <v>17407</v>
      </c>
      <c r="B1153" t="s">
        <v>1263</v>
      </c>
      <c r="C1153">
        <v>1.49</v>
      </c>
      <c r="D1153" t="s">
        <v>1264</v>
      </c>
      <c r="E1153">
        <v>100222</v>
      </c>
      <c r="F1153">
        <v>17407</v>
      </c>
      <c r="G1153" t="str">
        <f t="shared" si="101"/>
        <v>17407</v>
      </c>
      <c r="H1153" t="s">
        <v>402</v>
      </c>
      <c r="I1153" t="s">
        <v>1265</v>
      </c>
      <c r="J1153" t="s">
        <v>1266</v>
      </c>
      <c r="K1153" t="s">
        <v>1267</v>
      </c>
      <c r="L1153" t="s">
        <v>1263</v>
      </c>
      <c r="M1153" t="s">
        <v>1268</v>
      </c>
      <c r="N1153">
        <v>1</v>
      </c>
      <c r="O1153" t="str">
        <f t="shared" si="104"/>
        <v>42</v>
      </c>
      <c r="P1153">
        <v>42</v>
      </c>
      <c r="R1153" t="s">
        <v>1269</v>
      </c>
      <c r="S1153">
        <v>1.49</v>
      </c>
      <c r="T1153">
        <v>0.20519999999999999</v>
      </c>
      <c r="U1153">
        <f t="shared" si="105"/>
        <v>0</v>
      </c>
      <c r="V1153" t="str">
        <f t="shared" si="102"/>
        <v>Middle Counselor</v>
      </c>
      <c r="W1153" t="str">
        <f t="shared" si="103"/>
        <v>Counselor</v>
      </c>
    </row>
    <row r="1154" spans="1:23" x14ac:dyDescent="0.25">
      <c r="A1154">
        <v>17407</v>
      </c>
      <c r="B1154" t="s">
        <v>1294</v>
      </c>
      <c r="C1154">
        <v>3.35</v>
      </c>
      <c r="D1154" t="s">
        <v>1264</v>
      </c>
      <c r="E1154">
        <v>100222</v>
      </c>
      <c r="F1154">
        <v>17407</v>
      </c>
      <c r="G1154" t="str">
        <f t="shared" ref="G1154:G1217" si="106">TEXT(F1154,"00000")</f>
        <v>17407</v>
      </c>
      <c r="H1154" t="s">
        <v>402</v>
      </c>
      <c r="I1154" t="s">
        <v>1265</v>
      </c>
      <c r="J1154" t="s">
        <v>1276</v>
      </c>
      <c r="K1154" t="s">
        <v>1277</v>
      </c>
      <c r="L1154" t="s">
        <v>1294</v>
      </c>
      <c r="M1154" t="s">
        <v>1354</v>
      </c>
      <c r="N1154">
        <v>21</v>
      </c>
      <c r="O1154" t="str">
        <f t="shared" si="104"/>
        <v>45</v>
      </c>
      <c r="P1154">
        <v>45</v>
      </c>
      <c r="R1154" t="s">
        <v>1269</v>
      </c>
      <c r="S1154">
        <v>3.35</v>
      </c>
      <c r="T1154">
        <v>0.20519999999999999</v>
      </c>
      <c r="U1154">
        <f t="shared" si="105"/>
        <v>0.68700000000000006</v>
      </c>
      <c r="V1154" t="str">
        <f t="shared" ref="V1154:V1217" si="107">_xlfn.XLOOKUP(L1154,$BV:$BV,$BT:$BT,,0)</f>
        <v>Elementary Speech, Language Pathway/
Audio</v>
      </c>
      <c r="W1154" t="str">
        <f t="shared" ref="W1154:W1217" si="108">_xlfn.TEXTAFTER(V1154," ")</f>
        <v>Speech, Language Pathway/
Audio</v>
      </c>
    </row>
    <row r="1155" spans="1:23" x14ac:dyDescent="0.25">
      <c r="A1155">
        <v>17407</v>
      </c>
      <c r="B1155" t="s">
        <v>1326</v>
      </c>
      <c r="C1155">
        <v>0.5</v>
      </c>
      <c r="D1155" t="s">
        <v>1264</v>
      </c>
      <c r="E1155">
        <v>100222</v>
      </c>
      <c r="F1155">
        <v>17407</v>
      </c>
      <c r="G1155" t="str">
        <f t="shared" si="106"/>
        <v>17407</v>
      </c>
      <c r="H1155" t="s">
        <v>402</v>
      </c>
      <c r="I1155" t="s">
        <v>1265</v>
      </c>
      <c r="J1155" t="s">
        <v>1271</v>
      </c>
      <c r="K1155" t="s">
        <v>1272</v>
      </c>
      <c r="L1155" t="s">
        <v>1326</v>
      </c>
      <c r="M1155" t="s">
        <v>1353</v>
      </c>
      <c r="N1155">
        <v>21</v>
      </c>
      <c r="O1155" t="str">
        <f t="shared" ref="O1155:O1218" si="109">MID(L1155,3,2)</f>
        <v>45</v>
      </c>
      <c r="P1155">
        <v>45</v>
      </c>
      <c r="R1155" t="s">
        <v>1269</v>
      </c>
      <c r="S1155">
        <v>0.5</v>
      </c>
      <c r="T1155">
        <v>0.20519999999999999</v>
      </c>
      <c r="U1155">
        <f t="shared" ref="U1155:U1218" si="110">IF(N1155=21,ROUND(T1155*S1155,3),0)</f>
        <v>0.10299999999999999</v>
      </c>
      <c r="V1155" t="str">
        <f t="shared" si="107"/>
        <v>High Speech, Language Pathway/
Audio</v>
      </c>
      <c r="W1155" t="str">
        <f t="shared" si="108"/>
        <v>Speech, Language Pathway/
Audio</v>
      </c>
    </row>
    <row r="1156" spans="1:23" x14ac:dyDescent="0.25">
      <c r="A1156">
        <v>17407</v>
      </c>
      <c r="B1156" t="s">
        <v>1312</v>
      </c>
      <c r="C1156">
        <v>0.15</v>
      </c>
      <c r="D1156" t="s">
        <v>1264</v>
      </c>
      <c r="E1156">
        <v>100222</v>
      </c>
      <c r="F1156">
        <v>17407</v>
      </c>
      <c r="G1156" t="str">
        <f t="shared" si="106"/>
        <v>17407</v>
      </c>
      <c r="H1156" t="s">
        <v>402</v>
      </c>
      <c r="I1156" t="s">
        <v>1265</v>
      </c>
      <c r="J1156" t="s">
        <v>1266</v>
      </c>
      <c r="K1156" t="s">
        <v>1267</v>
      </c>
      <c r="L1156" t="s">
        <v>1312</v>
      </c>
      <c r="M1156" t="s">
        <v>1351</v>
      </c>
      <c r="N1156">
        <v>21</v>
      </c>
      <c r="O1156" t="str">
        <f t="shared" si="109"/>
        <v>45</v>
      </c>
      <c r="P1156">
        <v>45</v>
      </c>
      <c r="R1156" t="s">
        <v>1269</v>
      </c>
      <c r="S1156">
        <v>0.15</v>
      </c>
      <c r="T1156">
        <v>0.20519999999999999</v>
      </c>
      <c r="U1156">
        <f t="shared" si="110"/>
        <v>3.1E-2</v>
      </c>
      <c r="V1156" t="str">
        <f t="shared" si="107"/>
        <v>Middle Speech, Language Pathway/
Audio</v>
      </c>
      <c r="W1156" t="str">
        <f t="shared" si="108"/>
        <v>Speech, Language Pathway/
Audio</v>
      </c>
    </row>
    <row r="1157" spans="1:23" x14ac:dyDescent="0.25">
      <c r="A1157">
        <v>17407</v>
      </c>
      <c r="B1157" t="s">
        <v>1298</v>
      </c>
      <c r="C1157">
        <v>3.29</v>
      </c>
      <c r="D1157" t="s">
        <v>1264</v>
      </c>
      <c r="E1157">
        <v>100222</v>
      </c>
      <c r="F1157">
        <v>17407</v>
      </c>
      <c r="G1157" t="str">
        <f t="shared" si="106"/>
        <v>17407</v>
      </c>
      <c r="H1157" t="s">
        <v>402</v>
      </c>
      <c r="I1157" t="s">
        <v>1265</v>
      </c>
      <c r="J1157" t="s">
        <v>1276</v>
      </c>
      <c r="K1157" t="s">
        <v>1277</v>
      </c>
      <c r="L1157" t="s">
        <v>1298</v>
      </c>
      <c r="M1157" t="s">
        <v>1349</v>
      </c>
      <c r="N1157">
        <v>21</v>
      </c>
      <c r="O1157" t="str">
        <f t="shared" si="109"/>
        <v>46</v>
      </c>
      <c r="P1157">
        <v>46</v>
      </c>
      <c r="R1157" t="s">
        <v>1269</v>
      </c>
      <c r="S1157">
        <v>3.29</v>
      </c>
      <c r="T1157">
        <v>0.20519999999999999</v>
      </c>
      <c r="U1157">
        <f t="shared" si="110"/>
        <v>0.67500000000000004</v>
      </c>
      <c r="V1157" t="str">
        <f t="shared" si="107"/>
        <v>Elementary Psychologist</v>
      </c>
      <c r="W1157" t="str">
        <f t="shared" si="108"/>
        <v>Psychologist</v>
      </c>
    </row>
    <row r="1158" spans="1:23" x14ac:dyDescent="0.25">
      <c r="A1158">
        <v>17407</v>
      </c>
      <c r="B1158" t="s">
        <v>1333</v>
      </c>
      <c r="C1158">
        <v>0.02</v>
      </c>
      <c r="D1158" t="s">
        <v>1264</v>
      </c>
      <c r="E1158">
        <v>100222</v>
      </c>
      <c r="F1158">
        <v>17407</v>
      </c>
      <c r="G1158" t="str">
        <f t="shared" si="106"/>
        <v>17407</v>
      </c>
      <c r="H1158" t="s">
        <v>402</v>
      </c>
      <c r="I1158" t="s">
        <v>1265</v>
      </c>
      <c r="J1158" t="s">
        <v>1276</v>
      </c>
      <c r="K1158" t="s">
        <v>1277</v>
      </c>
      <c r="L1158" t="s">
        <v>1333</v>
      </c>
      <c r="M1158" t="s">
        <v>1432</v>
      </c>
      <c r="N1158">
        <v>1</v>
      </c>
      <c r="O1158" t="str">
        <f t="shared" si="109"/>
        <v>46</v>
      </c>
      <c r="P1158">
        <v>46</v>
      </c>
      <c r="R1158" t="s">
        <v>1269</v>
      </c>
      <c r="S1158">
        <v>0.02</v>
      </c>
      <c r="T1158">
        <v>0.20519999999999999</v>
      </c>
      <c r="U1158">
        <f t="shared" si="110"/>
        <v>0</v>
      </c>
      <c r="V1158" t="str">
        <f t="shared" si="107"/>
        <v>Elementary Psychologist</v>
      </c>
      <c r="W1158" t="str">
        <f t="shared" si="108"/>
        <v>Psychologist</v>
      </c>
    </row>
    <row r="1159" spans="1:23" x14ac:dyDescent="0.25">
      <c r="A1159">
        <v>17407</v>
      </c>
      <c r="B1159" t="s">
        <v>1309</v>
      </c>
      <c r="C1159">
        <v>1.81</v>
      </c>
      <c r="D1159" t="s">
        <v>1264</v>
      </c>
      <c r="E1159">
        <v>100222</v>
      </c>
      <c r="F1159">
        <v>17407</v>
      </c>
      <c r="G1159" t="str">
        <f t="shared" si="106"/>
        <v>17407</v>
      </c>
      <c r="H1159" t="s">
        <v>402</v>
      </c>
      <c r="I1159" t="s">
        <v>1265</v>
      </c>
      <c r="J1159" t="s">
        <v>1271</v>
      </c>
      <c r="K1159" t="s">
        <v>1272</v>
      </c>
      <c r="L1159" t="s">
        <v>1309</v>
      </c>
      <c r="M1159" t="s">
        <v>1310</v>
      </c>
      <c r="N1159">
        <v>21</v>
      </c>
      <c r="O1159" t="str">
        <f t="shared" si="109"/>
        <v>46</v>
      </c>
      <c r="P1159">
        <v>46</v>
      </c>
      <c r="R1159" t="s">
        <v>1269</v>
      </c>
      <c r="S1159">
        <v>1.81</v>
      </c>
      <c r="T1159">
        <v>0.20519999999999999</v>
      </c>
      <c r="U1159">
        <f t="shared" si="110"/>
        <v>0.371</v>
      </c>
      <c r="V1159" t="str">
        <f t="shared" si="107"/>
        <v>High Psychologist</v>
      </c>
      <c r="W1159" t="str">
        <f t="shared" si="108"/>
        <v>Psychologist</v>
      </c>
    </row>
    <row r="1160" spans="1:23" x14ac:dyDescent="0.25">
      <c r="A1160">
        <v>17407</v>
      </c>
      <c r="B1160" t="s">
        <v>1335</v>
      </c>
      <c r="C1160">
        <v>2</v>
      </c>
      <c r="D1160" t="s">
        <v>1264</v>
      </c>
      <c r="E1160">
        <v>100222</v>
      </c>
      <c r="F1160">
        <v>17407</v>
      </c>
      <c r="G1160" t="str">
        <f t="shared" si="106"/>
        <v>17407</v>
      </c>
      <c r="H1160" t="s">
        <v>402</v>
      </c>
      <c r="I1160" t="s">
        <v>1265</v>
      </c>
      <c r="J1160" t="s">
        <v>1276</v>
      </c>
      <c r="K1160" t="s">
        <v>1277</v>
      </c>
      <c r="L1160" t="s">
        <v>1335</v>
      </c>
      <c r="M1160" t="s">
        <v>1344</v>
      </c>
      <c r="N1160">
        <v>1</v>
      </c>
      <c r="O1160" t="str">
        <f t="shared" si="109"/>
        <v>47</v>
      </c>
      <c r="P1160">
        <v>47</v>
      </c>
      <c r="R1160" t="s">
        <v>1269</v>
      </c>
      <c r="S1160">
        <v>2</v>
      </c>
      <c r="T1160">
        <v>0.20519999999999999</v>
      </c>
      <c r="U1160">
        <f t="shared" si="110"/>
        <v>0</v>
      </c>
      <c r="V1160" t="str">
        <f t="shared" si="107"/>
        <v>Elementary Nurse</v>
      </c>
      <c r="W1160" t="str">
        <f t="shared" si="108"/>
        <v>Nurse</v>
      </c>
    </row>
    <row r="1161" spans="1:23" x14ac:dyDescent="0.25">
      <c r="A1161">
        <v>17408</v>
      </c>
      <c r="B1161" t="s">
        <v>1308</v>
      </c>
      <c r="C1161">
        <v>6.56</v>
      </c>
      <c r="D1161" t="s">
        <v>1264</v>
      </c>
      <c r="E1161">
        <v>100016</v>
      </c>
      <c r="F1161">
        <v>17408</v>
      </c>
      <c r="G1161" t="str">
        <f t="shared" si="106"/>
        <v>17408</v>
      </c>
      <c r="H1161" t="s">
        <v>403</v>
      </c>
      <c r="I1161" t="s">
        <v>1265</v>
      </c>
      <c r="J1161" t="s">
        <v>1276</v>
      </c>
      <c r="K1161" t="s">
        <v>1277</v>
      </c>
      <c r="L1161" t="s">
        <v>1308</v>
      </c>
      <c r="M1161" t="s">
        <v>1389</v>
      </c>
      <c r="N1161">
        <v>1</v>
      </c>
      <c r="O1161" t="str">
        <f t="shared" si="109"/>
        <v>25</v>
      </c>
      <c r="Q1161">
        <v>25</v>
      </c>
      <c r="R1161" t="s">
        <v>1269</v>
      </c>
      <c r="S1161">
        <v>6.56</v>
      </c>
      <c r="T1161">
        <v>0.24790000000000001</v>
      </c>
      <c r="U1161">
        <f t="shared" si="110"/>
        <v>0</v>
      </c>
      <c r="V1161" t="str">
        <f t="shared" si="107"/>
        <v>Elementary Pupil Management</v>
      </c>
      <c r="W1161" t="str">
        <f t="shared" si="108"/>
        <v>Pupil Management</v>
      </c>
    </row>
    <row r="1162" spans="1:23" x14ac:dyDescent="0.25">
      <c r="A1162">
        <v>17408</v>
      </c>
      <c r="B1162" t="s">
        <v>1383</v>
      </c>
      <c r="C1162">
        <v>5.9790000000000001</v>
      </c>
      <c r="D1162" t="s">
        <v>1264</v>
      </c>
      <c r="E1162">
        <v>100016</v>
      </c>
      <c r="F1162">
        <v>17408</v>
      </c>
      <c r="G1162" t="str">
        <f t="shared" si="106"/>
        <v>17408</v>
      </c>
      <c r="H1162" t="s">
        <v>403</v>
      </c>
      <c r="I1162" t="s">
        <v>1265</v>
      </c>
      <c r="J1162" t="s">
        <v>1271</v>
      </c>
      <c r="K1162" t="s">
        <v>1272</v>
      </c>
      <c r="L1162" t="s">
        <v>1383</v>
      </c>
      <c r="M1162" t="s">
        <v>1409</v>
      </c>
      <c r="N1162">
        <v>21</v>
      </c>
      <c r="O1162" t="str">
        <f t="shared" si="109"/>
        <v>25</v>
      </c>
      <c r="Q1162">
        <v>25</v>
      </c>
      <c r="R1162" t="s">
        <v>1269</v>
      </c>
      <c r="S1162">
        <v>5.9790000000000001</v>
      </c>
      <c r="T1162">
        <v>0.24790000000000001</v>
      </c>
      <c r="U1162">
        <f t="shared" si="110"/>
        <v>1.482</v>
      </c>
      <c r="V1162" t="str">
        <f t="shared" si="107"/>
        <v>High Pupil Management</v>
      </c>
      <c r="W1162" t="str">
        <f t="shared" si="108"/>
        <v>Pupil Management</v>
      </c>
    </row>
    <row r="1163" spans="1:23" x14ac:dyDescent="0.25">
      <c r="A1163">
        <v>17408</v>
      </c>
      <c r="B1163" t="s">
        <v>1299</v>
      </c>
      <c r="C1163">
        <v>6.2060000000000004</v>
      </c>
      <c r="D1163" t="s">
        <v>1264</v>
      </c>
      <c r="E1163">
        <v>100016</v>
      </c>
      <c r="F1163">
        <v>17408</v>
      </c>
      <c r="G1163" t="str">
        <f t="shared" si="106"/>
        <v>17408</v>
      </c>
      <c r="H1163" t="s">
        <v>403</v>
      </c>
      <c r="I1163" t="s">
        <v>1265</v>
      </c>
      <c r="J1163" t="s">
        <v>1271</v>
      </c>
      <c r="K1163" t="s">
        <v>1272</v>
      </c>
      <c r="L1163" t="s">
        <v>1299</v>
      </c>
      <c r="M1163" t="s">
        <v>1300</v>
      </c>
      <c r="N1163">
        <v>1</v>
      </c>
      <c r="O1163" t="str">
        <f t="shared" si="109"/>
        <v>25</v>
      </c>
      <c r="Q1163">
        <v>25</v>
      </c>
      <c r="R1163" t="s">
        <v>1269</v>
      </c>
      <c r="S1163">
        <v>6.2060000000000004</v>
      </c>
      <c r="T1163">
        <v>0.24790000000000001</v>
      </c>
      <c r="U1163">
        <f t="shared" si="110"/>
        <v>0</v>
      </c>
      <c r="V1163" t="str">
        <f t="shared" si="107"/>
        <v>High Pupil Management</v>
      </c>
      <c r="W1163" t="str">
        <f t="shared" si="108"/>
        <v>Pupil Management</v>
      </c>
    </row>
    <row r="1164" spans="1:23" x14ac:dyDescent="0.25">
      <c r="A1164">
        <v>17408</v>
      </c>
      <c r="B1164" t="s">
        <v>1363</v>
      </c>
      <c r="C1164">
        <v>2.262</v>
      </c>
      <c r="D1164" t="s">
        <v>1264</v>
      </c>
      <c r="E1164">
        <v>100016</v>
      </c>
      <c r="F1164">
        <v>17408</v>
      </c>
      <c r="G1164" t="str">
        <f t="shared" si="106"/>
        <v>17408</v>
      </c>
      <c r="H1164" t="s">
        <v>403</v>
      </c>
      <c r="I1164" t="s">
        <v>1265</v>
      </c>
      <c r="J1164" t="s">
        <v>1266</v>
      </c>
      <c r="K1164" t="s">
        <v>1267</v>
      </c>
      <c r="L1164" t="s">
        <v>1363</v>
      </c>
      <c r="M1164" t="s">
        <v>1386</v>
      </c>
      <c r="N1164">
        <v>1</v>
      </c>
      <c r="O1164" t="str">
        <f t="shared" si="109"/>
        <v>25</v>
      </c>
      <c r="Q1164">
        <v>25</v>
      </c>
      <c r="R1164" t="s">
        <v>1269</v>
      </c>
      <c r="S1164">
        <v>2.262</v>
      </c>
      <c r="T1164">
        <v>0.24790000000000001</v>
      </c>
      <c r="U1164">
        <f t="shared" si="110"/>
        <v>0</v>
      </c>
      <c r="V1164" t="str">
        <f t="shared" si="107"/>
        <v>Middle Pupil Management</v>
      </c>
      <c r="W1164" t="str">
        <f t="shared" si="108"/>
        <v>Pupil Management</v>
      </c>
    </row>
    <row r="1165" spans="1:23" x14ac:dyDescent="0.25">
      <c r="A1165">
        <v>17408</v>
      </c>
      <c r="B1165" t="s">
        <v>1311</v>
      </c>
      <c r="C1165">
        <v>4.5940000000000003</v>
      </c>
      <c r="D1165" t="s">
        <v>1264</v>
      </c>
      <c r="E1165">
        <v>100016</v>
      </c>
      <c r="F1165">
        <v>17408</v>
      </c>
      <c r="G1165" t="str">
        <f t="shared" si="106"/>
        <v>17408</v>
      </c>
      <c r="H1165" t="s">
        <v>403</v>
      </c>
      <c r="I1165" t="s">
        <v>1265</v>
      </c>
      <c r="J1165" t="s">
        <v>1276</v>
      </c>
      <c r="K1165" t="s">
        <v>1277</v>
      </c>
      <c r="L1165" t="s">
        <v>1311</v>
      </c>
      <c r="M1165" t="s">
        <v>1327</v>
      </c>
      <c r="N1165">
        <v>21</v>
      </c>
      <c r="O1165" t="str">
        <f t="shared" si="109"/>
        <v>26</v>
      </c>
      <c r="Q1165">
        <v>26</v>
      </c>
      <c r="R1165" t="s">
        <v>1269</v>
      </c>
      <c r="S1165">
        <v>4.5940000000000003</v>
      </c>
      <c r="T1165">
        <v>0.24790000000000001</v>
      </c>
      <c r="U1165">
        <f t="shared" si="110"/>
        <v>1.139</v>
      </c>
      <c r="V1165" t="str">
        <f t="shared" si="107"/>
        <v>Elementary Health/
Related Services</v>
      </c>
      <c r="W1165" t="str">
        <f t="shared" si="108"/>
        <v>Health/
Related Services</v>
      </c>
    </row>
    <row r="1166" spans="1:23" x14ac:dyDescent="0.25">
      <c r="A1166">
        <v>17408</v>
      </c>
      <c r="B1166" t="s">
        <v>1315</v>
      </c>
      <c r="C1166">
        <v>10.7</v>
      </c>
      <c r="D1166" t="s">
        <v>1264</v>
      </c>
      <c r="E1166">
        <v>100016</v>
      </c>
      <c r="F1166">
        <v>17408</v>
      </c>
      <c r="G1166" t="str">
        <f t="shared" si="106"/>
        <v>17408</v>
      </c>
      <c r="H1166" t="s">
        <v>403</v>
      </c>
      <c r="I1166" t="s">
        <v>1265</v>
      </c>
      <c r="J1166" t="s">
        <v>1276</v>
      </c>
      <c r="K1166" t="s">
        <v>1277</v>
      </c>
      <c r="L1166" t="s">
        <v>1315</v>
      </c>
      <c r="M1166" t="s">
        <v>1375</v>
      </c>
      <c r="N1166">
        <v>1</v>
      </c>
      <c r="O1166" t="str">
        <f t="shared" si="109"/>
        <v>26</v>
      </c>
      <c r="Q1166">
        <v>26</v>
      </c>
      <c r="R1166" t="s">
        <v>1269</v>
      </c>
      <c r="S1166">
        <v>10.7</v>
      </c>
      <c r="T1166">
        <v>0.24790000000000001</v>
      </c>
      <c r="U1166">
        <f t="shared" si="110"/>
        <v>0</v>
      </c>
      <c r="V1166" t="str">
        <f t="shared" si="107"/>
        <v>Elementary Health/
Related Services</v>
      </c>
      <c r="W1166" t="str">
        <f t="shared" si="108"/>
        <v>Health/
Related Services</v>
      </c>
    </row>
    <row r="1167" spans="1:23" x14ac:dyDescent="0.25">
      <c r="A1167">
        <v>17408</v>
      </c>
      <c r="B1167" t="s">
        <v>1324</v>
      </c>
      <c r="C1167">
        <v>3.8079999999999998</v>
      </c>
      <c r="D1167" t="s">
        <v>1264</v>
      </c>
      <c r="E1167">
        <v>100016</v>
      </c>
      <c r="F1167">
        <v>17408</v>
      </c>
      <c r="G1167" t="str">
        <f t="shared" si="106"/>
        <v>17408</v>
      </c>
      <c r="H1167" t="s">
        <v>403</v>
      </c>
      <c r="I1167" t="s">
        <v>1265</v>
      </c>
      <c r="J1167" t="s">
        <v>1271</v>
      </c>
      <c r="K1167" t="s">
        <v>1272</v>
      </c>
      <c r="L1167" t="s">
        <v>1324</v>
      </c>
      <c r="M1167" t="s">
        <v>1325</v>
      </c>
      <c r="N1167">
        <v>21</v>
      </c>
      <c r="O1167" t="str">
        <f t="shared" si="109"/>
        <v>26</v>
      </c>
      <c r="Q1167">
        <v>26</v>
      </c>
      <c r="R1167" t="s">
        <v>1269</v>
      </c>
      <c r="S1167">
        <v>3.8079999999999998</v>
      </c>
      <c r="T1167">
        <v>0.24790000000000001</v>
      </c>
      <c r="U1167">
        <f t="shared" si="110"/>
        <v>0.94399999999999995</v>
      </c>
      <c r="V1167" t="str">
        <f t="shared" si="107"/>
        <v>High Health/
Related Services</v>
      </c>
      <c r="W1167" t="str">
        <f t="shared" si="108"/>
        <v>Health/
Related Services</v>
      </c>
    </row>
    <row r="1168" spans="1:23" x14ac:dyDescent="0.25">
      <c r="A1168">
        <v>17408</v>
      </c>
      <c r="B1168" t="s">
        <v>1295</v>
      </c>
      <c r="C1168">
        <v>1.9590000000000001</v>
      </c>
      <c r="D1168" t="s">
        <v>1264</v>
      </c>
      <c r="E1168">
        <v>100016</v>
      </c>
      <c r="F1168">
        <v>17408</v>
      </c>
      <c r="G1168" t="str">
        <f t="shared" si="106"/>
        <v>17408</v>
      </c>
      <c r="H1168" t="s">
        <v>403</v>
      </c>
      <c r="I1168" t="s">
        <v>1265</v>
      </c>
      <c r="J1168" t="s">
        <v>1271</v>
      </c>
      <c r="K1168" t="s">
        <v>1272</v>
      </c>
      <c r="L1168" t="s">
        <v>1295</v>
      </c>
      <c r="M1168" t="s">
        <v>1296</v>
      </c>
      <c r="N1168">
        <v>1</v>
      </c>
      <c r="O1168" t="str">
        <f t="shared" si="109"/>
        <v>26</v>
      </c>
      <c r="Q1168">
        <v>26</v>
      </c>
      <c r="R1168" t="s">
        <v>1269</v>
      </c>
      <c r="S1168">
        <v>1.9590000000000001</v>
      </c>
      <c r="T1168">
        <v>0.24790000000000001</v>
      </c>
      <c r="U1168">
        <f t="shared" si="110"/>
        <v>0</v>
      </c>
      <c r="V1168" t="str">
        <f t="shared" si="107"/>
        <v>High Health/
Related Services</v>
      </c>
      <c r="W1168" t="str">
        <f t="shared" si="108"/>
        <v>Health/
Related Services</v>
      </c>
    </row>
    <row r="1169" spans="1:23" x14ac:dyDescent="0.25">
      <c r="A1169">
        <v>17408</v>
      </c>
      <c r="B1169" t="s">
        <v>1322</v>
      </c>
      <c r="C1169">
        <v>1.369</v>
      </c>
      <c r="D1169" t="s">
        <v>1264</v>
      </c>
      <c r="E1169">
        <v>100016</v>
      </c>
      <c r="F1169">
        <v>17408</v>
      </c>
      <c r="G1169" t="str">
        <f t="shared" si="106"/>
        <v>17408</v>
      </c>
      <c r="H1169" t="s">
        <v>403</v>
      </c>
      <c r="I1169" t="s">
        <v>1265</v>
      </c>
      <c r="J1169" t="s">
        <v>1266</v>
      </c>
      <c r="K1169" t="s">
        <v>1267</v>
      </c>
      <c r="L1169" t="s">
        <v>1322</v>
      </c>
      <c r="M1169" t="s">
        <v>1323</v>
      </c>
      <c r="N1169">
        <v>21</v>
      </c>
      <c r="O1169" t="str">
        <f t="shared" si="109"/>
        <v>26</v>
      </c>
      <c r="Q1169">
        <v>26</v>
      </c>
      <c r="R1169" t="s">
        <v>1269</v>
      </c>
      <c r="S1169">
        <v>1.369</v>
      </c>
      <c r="T1169">
        <v>0.24790000000000001</v>
      </c>
      <c r="U1169">
        <f t="shared" si="110"/>
        <v>0.33900000000000002</v>
      </c>
      <c r="V1169" t="str">
        <f t="shared" si="107"/>
        <v>Middle Health/
Related Services</v>
      </c>
      <c r="W1169" t="str">
        <f t="shared" si="108"/>
        <v>Health/
Related Services</v>
      </c>
    </row>
    <row r="1170" spans="1:23" x14ac:dyDescent="0.25">
      <c r="A1170">
        <v>17408</v>
      </c>
      <c r="B1170" t="s">
        <v>1291</v>
      </c>
      <c r="C1170">
        <v>1.8180000000000001</v>
      </c>
      <c r="D1170" t="s">
        <v>1264</v>
      </c>
      <c r="E1170">
        <v>100016</v>
      </c>
      <c r="F1170">
        <v>17408</v>
      </c>
      <c r="G1170" t="str">
        <f t="shared" si="106"/>
        <v>17408</v>
      </c>
      <c r="H1170" t="s">
        <v>403</v>
      </c>
      <c r="I1170" t="s">
        <v>1265</v>
      </c>
      <c r="J1170" t="s">
        <v>1266</v>
      </c>
      <c r="K1170" t="s">
        <v>1267</v>
      </c>
      <c r="L1170" t="s">
        <v>1291</v>
      </c>
      <c r="M1170" t="s">
        <v>1292</v>
      </c>
      <c r="N1170">
        <v>1</v>
      </c>
      <c r="O1170" t="str">
        <f t="shared" si="109"/>
        <v>26</v>
      </c>
      <c r="Q1170">
        <v>26</v>
      </c>
      <c r="R1170" t="s">
        <v>1269</v>
      </c>
      <c r="S1170">
        <v>1.8180000000000001</v>
      </c>
      <c r="T1170">
        <v>0.24790000000000001</v>
      </c>
      <c r="U1170">
        <f t="shared" si="110"/>
        <v>0</v>
      </c>
      <c r="V1170" t="str">
        <f t="shared" si="107"/>
        <v>Middle Health/
Related Services</v>
      </c>
      <c r="W1170" t="str">
        <f t="shared" si="108"/>
        <v>Health/
Related Services</v>
      </c>
    </row>
    <row r="1171" spans="1:23" x14ac:dyDescent="0.25">
      <c r="A1171">
        <v>17408</v>
      </c>
      <c r="B1171" t="s">
        <v>1402</v>
      </c>
      <c r="C1171">
        <v>6.742</v>
      </c>
      <c r="D1171" t="s">
        <v>1264</v>
      </c>
      <c r="E1171">
        <v>100016</v>
      </c>
      <c r="F1171">
        <v>17408</v>
      </c>
      <c r="G1171" t="str">
        <f t="shared" si="106"/>
        <v>17408</v>
      </c>
      <c r="H1171" t="s">
        <v>403</v>
      </c>
      <c r="I1171" t="s">
        <v>1265</v>
      </c>
      <c r="J1171" t="s">
        <v>1271</v>
      </c>
      <c r="K1171" t="s">
        <v>1272</v>
      </c>
      <c r="L1171" t="s">
        <v>1402</v>
      </c>
      <c r="M1171" t="s">
        <v>1408</v>
      </c>
      <c r="N1171">
        <v>97</v>
      </c>
      <c r="O1171" t="str">
        <f t="shared" si="109"/>
        <v>35</v>
      </c>
      <c r="Q1171">
        <v>35</v>
      </c>
      <c r="R1171" t="s">
        <v>1269</v>
      </c>
      <c r="S1171">
        <v>6.742</v>
      </c>
      <c r="T1171">
        <v>0.24790000000000001</v>
      </c>
      <c r="U1171">
        <f t="shared" si="110"/>
        <v>0</v>
      </c>
      <c r="V1171" t="str">
        <f t="shared" si="107"/>
        <v>High Pupil Safety</v>
      </c>
      <c r="W1171" t="str">
        <f t="shared" si="108"/>
        <v>Pupil Safety</v>
      </c>
    </row>
    <row r="1172" spans="1:23" x14ac:dyDescent="0.25">
      <c r="A1172">
        <v>17408</v>
      </c>
      <c r="B1172" t="s">
        <v>1378</v>
      </c>
      <c r="C1172">
        <v>3.71</v>
      </c>
      <c r="D1172" t="s">
        <v>1264</v>
      </c>
      <c r="E1172">
        <v>100016</v>
      </c>
      <c r="F1172">
        <v>17408</v>
      </c>
      <c r="G1172" t="str">
        <f t="shared" si="106"/>
        <v>17408</v>
      </c>
      <c r="H1172" t="s">
        <v>403</v>
      </c>
      <c r="I1172" t="s">
        <v>1265</v>
      </c>
      <c r="J1172" t="s">
        <v>1266</v>
      </c>
      <c r="K1172" t="s">
        <v>1267</v>
      </c>
      <c r="L1172" t="s">
        <v>1378</v>
      </c>
      <c r="M1172" t="s">
        <v>1407</v>
      </c>
      <c r="N1172">
        <v>97</v>
      </c>
      <c r="O1172" t="str">
        <f t="shared" si="109"/>
        <v>35</v>
      </c>
      <c r="Q1172">
        <v>35</v>
      </c>
      <c r="R1172" t="s">
        <v>1269</v>
      </c>
      <c r="S1172">
        <v>3.71</v>
      </c>
      <c r="T1172">
        <v>0.24790000000000001</v>
      </c>
      <c r="U1172">
        <f t="shared" si="110"/>
        <v>0</v>
      </c>
      <c r="V1172" t="str">
        <f t="shared" si="107"/>
        <v>Middle Pupil Safety</v>
      </c>
      <c r="W1172" t="str">
        <f t="shared" si="108"/>
        <v>Pupil Safety</v>
      </c>
    </row>
    <row r="1173" spans="1:23" x14ac:dyDescent="0.25">
      <c r="A1173">
        <v>17408</v>
      </c>
      <c r="B1173" t="s">
        <v>1275</v>
      </c>
      <c r="C1173">
        <v>23.728999999999999</v>
      </c>
      <c r="D1173" t="s">
        <v>1264</v>
      </c>
      <c r="E1173">
        <v>100016</v>
      </c>
      <c r="F1173">
        <v>17408</v>
      </c>
      <c r="G1173" t="str">
        <f t="shared" si="106"/>
        <v>17408</v>
      </c>
      <c r="H1173" t="s">
        <v>403</v>
      </c>
      <c r="I1173" t="s">
        <v>1265</v>
      </c>
      <c r="J1173" t="s">
        <v>1276</v>
      </c>
      <c r="K1173" t="s">
        <v>1277</v>
      </c>
      <c r="L1173" t="s">
        <v>1275</v>
      </c>
      <c r="M1173" t="s">
        <v>1278</v>
      </c>
      <c r="N1173">
        <v>1</v>
      </c>
      <c r="O1173" t="str">
        <f t="shared" si="109"/>
        <v>42</v>
      </c>
      <c r="P1173">
        <v>42</v>
      </c>
      <c r="R1173" t="s">
        <v>1269</v>
      </c>
      <c r="S1173">
        <v>23.728999999999999</v>
      </c>
      <c r="T1173">
        <v>0.24790000000000001</v>
      </c>
      <c r="U1173">
        <f t="shared" si="110"/>
        <v>0</v>
      </c>
      <c r="V1173" t="str">
        <f t="shared" si="107"/>
        <v>Elementary Counselor</v>
      </c>
      <c r="W1173" t="str">
        <f t="shared" si="108"/>
        <v>Counselor</v>
      </c>
    </row>
    <row r="1174" spans="1:23" x14ac:dyDescent="0.25">
      <c r="A1174">
        <v>17408</v>
      </c>
      <c r="B1174" t="s">
        <v>1270</v>
      </c>
      <c r="C1174">
        <v>17</v>
      </c>
      <c r="D1174" t="s">
        <v>1264</v>
      </c>
      <c r="E1174">
        <v>100016</v>
      </c>
      <c r="F1174">
        <v>17408</v>
      </c>
      <c r="G1174" t="str">
        <f t="shared" si="106"/>
        <v>17408</v>
      </c>
      <c r="H1174" t="s">
        <v>403</v>
      </c>
      <c r="I1174" t="s">
        <v>1265</v>
      </c>
      <c r="J1174" t="s">
        <v>1271</v>
      </c>
      <c r="K1174" t="s">
        <v>1272</v>
      </c>
      <c r="L1174" t="s">
        <v>1270</v>
      </c>
      <c r="M1174" t="s">
        <v>1273</v>
      </c>
      <c r="N1174">
        <v>1</v>
      </c>
      <c r="O1174" t="str">
        <f t="shared" si="109"/>
        <v>42</v>
      </c>
      <c r="P1174">
        <v>42</v>
      </c>
      <c r="R1174" t="s">
        <v>1269</v>
      </c>
      <c r="S1174">
        <v>17</v>
      </c>
      <c r="T1174">
        <v>0.24790000000000001</v>
      </c>
      <c r="U1174">
        <f t="shared" si="110"/>
        <v>0</v>
      </c>
      <c r="V1174" t="str">
        <f t="shared" si="107"/>
        <v>High Counselor</v>
      </c>
      <c r="W1174" t="str">
        <f t="shared" si="108"/>
        <v>Counselor</v>
      </c>
    </row>
    <row r="1175" spans="1:23" x14ac:dyDescent="0.25">
      <c r="A1175">
        <v>17408</v>
      </c>
      <c r="B1175" t="s">
        <v>1263</v>
      </c>
      <c r="C1175">
        <v>8.1039999999999992</v>
      </c>
      <c r="D1175" t="s">
        <v>1264</v>
      </c>
      <c r="E1175">
        <v>100016</v>
      </c>
      <c r="F1175">
        <v>17408</v>
      </c>
      <c r="G1175" t="str">
        <f t="shared" si="106"/>
        <v>17408</v>
      </c>
      <c r="H1175" t="s">
        <v>403</v>
      </c>
      <c r="I1175" t="s">
        <v>1265</v>
      </c>
      <c r="J1175" t="s">
        <v>1266</v>
      </c>
      <c r="K1175" t="s">
        <v>1267</v>
      </c>
      <c r="L1175" t="s">
        <v>1263</v>
      </c>
      <c r="M1175" t="s">
        <v>1268</v>
      </c>
      <c r="N1175">
        <v>1</v>
      </c>
      <c r="O1175" t="str">
        <f t="shared" si="109"/>
        <v>42</v>
      </c>
      <c r="P1175">
        <v>42</v>
      </c>
      <c r="R1175" t="s">
        <v>1269</v>
      </c>
      <c r="S1175">
        <v>8.1039999999999992</v>
      </c>
      <c r="T1175">
        <v>0.24790000000000001</v>
      </c>
      <c r="U1175">
        <f t="shared" si="110"/>
        <v>0</v>
      </c>
      <c r="V1175" t="str">
        <f t="shared" si="107"/>
        <v>Middle Counselor</v>
      </c>
      <c r="W1175" t="str">
        <f t="shared" si="108"/>
        <v>Counselor</v>
      </c>
    </row>
    <row r="1176" spans="1:23" x14ac:dyDescent="0.25">
      <c r="A1176">
        <v>17408</v>
      </c>
      <c r="B1176" t="s">
        <v>1289</v>
      </c>
      <c r="C1176">
        <v>10.911</v>
      </c>
      <c r="D1176" t="s">
        <v>1264</v>
      </c>
      <c r="E1176">
        <v>100016</v>
      </c>
      <c r="F1176">
        <v>17408</v>
      </c>
      <c r="G1176" t="str">
        <f t="shared" si="106"/>
        <v>17408</v>
      </c>
      <c r="H1176" t="s">
        <v>403</v>
      </c>
      <c r="I1176" t="s">
        <v>1265</v>
      </c>
      <c r="J1176" t="s">
        <v>1276</v>
      </c>
      <c r="K1176" t="s">
        <v>1277</v>
      </c>
      <c r="L1176" t="s">
        <v>1289</v>
      </c>
      <c r="M1176" t="s">
        <v>1307</v>
      </c>
      <c r="N1176">
        <v>21</v>
      </c>
      <c r="O1176" t="str">
        <f t="shared" si="109"/>
        <v>43</v>
      </c>
      <c r="P1176">
        <v>43</v>
      </c>
      <c r="R1176" t="s">
        <v>1269</v>
      </c>
      <c r="S1176">
        <v>10.911</v>
      </c>
      <c r="T1176">
        <v>0.24790000000000001</v>
      </c>
      <c r="U1176">
        <f t="shared" si="110"/>
        <v>2.7050000000000001</v>
      </c>
      <c r="V1176" t="str">
        <f t="shared" si="107"/>
        <v>Elementary Occupational Therapist</v>
      </c>
      <c r="W1176" t="str">
        <f t="shared" si="108"/>
        <v>Occupational Therapist</v>
      </c>
    </row>
    <row r="1177" spans="1:23" x14ac:dyDescent="0.25">
      <c r="A1177">
        <v>17408</v>
      </c>
      <c r="B1177" t="s">
        <v>1387</v>
      </c>
      <c r="C1177">
        <v>0.73</v>
      </c>
      <c r="D1177" t="s">
        <v>1264</v>
      </c>
      <c r="E1177">
        <v>100016</v>
      </c>
      <c r="F1177">
        <v>17408</v>
      </c>
      <c r="G1177" t="str">
        <f t="shared" si="106"/>
        <v>17408</v>
      </c>
      <c r="H1177" t="s">
        <v>403</v>
      </c>
      <c r="I1177" t="s">
        <v>1265</v>
      </c>
      <c r="J1177" t="s">
        <v>1271</v>
      </c>
      <c r="K1177" t="s">
        <v>1272</v>
      </c>
      <c r="L1177" t="s">
        <v>1387</v>
      </c>
      <c r="M1177" t="s">
        <v>1406</v>
      </c>
      <c r="N1177">
        <v>21</v>
      </c>
      <c r="O1177" t="str">
        <f t="shared" si="109"/>
        <v>43</v>
      </c>
      <c r="P1177">
        <v>43</v>
      </c>
      <c r="R1177" t="s">
        <v>1269</v>
      </c>
      <c r="S1177">
        <v>0.73</v>
      </c>
      <c r="T1177">
        <v>0.24790000000000001</v>
      </c>
      <c r="U1177">
        <f t="shared" si="110"/>
        <v>0.18099999999999999</v>
      </c>
      <c r="V1177" t="str">
        <f t="shared" si="107"/>
        <v>High Occupational Therapist</v>
      </c>
      <c r="W1177" t="str">
        <f t="shared" si="108"/>
        <v>Occupational Therapist</v>
      </c>
    </row>
    <row r="1178" spans="1:23" x14ac:dyDescent="0.25">
      <c r="A1178">
        <v>17408</v>
      </c>
      <c r="B1178" t="s">
        <v>1303</v>
      </c>
      <c r="C1178">
        <v>0.55900000000000005</v>
      </c>
      <c r="D1178" t="s">
        <v>1264</v>
      </c>
      <c r="E1178">
        <v>100016</v>
      </c>
      <c r="F1178">
        <v>17408</v>
      </c>
      <c r="G1178" t="str">
        <f t="shared" si="106"/>
        <v>17408</v>
      </c>
      <c r="H1178" t="s">
        <v>403</v>
      </c>
      <c r="I1178" t="s">
        <v>1265</v>
      </c>
      <c r="J1178" t="s">
        <v>1266</v>
      </c>
      <c r="K1178" t="s">
        <v>1267</v>
      </c>
      <c r="L1178" t="s">
        <v>1303</v>
      </c>
      <c r="M1178" t="s">
        <v>1304</v>
      </c>
      <c r="N1178">
        <v>21</v>
      </c>
      <c r="O1178" t="str">
        <f t="shared" si="109"/>
        <v>43</v>
      </c>
      <c r="P1178">
        <v>43</v>
      </c>
      <c r="R1178" t="s">
        <v>1269</v>
      </c>
      <c r="S1178">
        <v>0.55900000000000005</v>
      </c>
      <c r="T1178">
        <v>0.24790000000000001</v>
      </c>
      <c r="U1178">
        <f t="shared" si="110"/>
        <v>0.13900000000000001</v>
      </c>
      <c r="V1178" t="str">
        <f t="shared" si="107"/>
        <v>Middle Occupational Therapist</v>
      </c>
      <c r="W1178" t="str">
        <f t="shared" si="108"/>
        <v>Occupational Therapist</v>
      </c>
    </row>
    <row r="1179" spans="1:23" x14ac:dyDescent="0.25">
      <c r="A1179">
        <v>17408</v>
      </c>
      <c r="B1179" t="s">
        <v>1331</v>
      </c>
      <c r="C1179">
        <v>2</v>
      </c>
      <c r="D1179" t="s">
        <v>1264</v>
      </c>
      <c r="E1179">
        <v>100016</v>
      </c>
      <c r="F1179">
        <v>17408</v>
      </c>
      <c r="G1179" t="str">
        <f t="shared" si="106"/>
        <v>17408</v>
      </c>
      <c r="H1179" t="s">
        <v>403</v>
      </c>
      <c r="I1179" t="s">
        <v>1265</v>
      </c>
      <c r="J1179" t="s">
        <v>1276</v>
      </c>
      <c r="K1179" t="s">
        <v>1277</v>
      </c>
      <c r="L1179" t="s">
        <v>1331</v>
      </c>
      <c r="M1179" t="s">
        <v>1405</v>
      </c>
      <c r="N1179">
        <v>1</v>
      </c>
      <c r="O1179" t="str">
        <f t="shared" si="109"/>
        <v>44</v>
      </c>
      <c r="P1179">
        <v>44</v>
      </c>
      <c r="R1179" t="s">
        <v>1269</v>
      </c>
      <c r="S1179">
        <v>2</v>
      </c>
      <c r="T1179">
        <v>0.24790000000000001</v>
      </c>
      <c r="U1179">
        <f t="shared" si="110"/>
        <v>0</v>
      </c>
      <c r="V1179" t="str">
        <f t="shared" si="107"/>
        <v>Elementary Social Worker</v>
      </c>
      <c r="W1179" t="str">
        <f t="shared" si="108"/>
        <v>Social Worker</v>
      </c>
    </row>
    <row r="1180" spans="1:23" x14ac:dyDescent="0.25">
      <c r="A1180">
        <v>17408</v>
      </c>
      <c r="B1180" t="s">
        <v>1359</v>
      </c>
      <c r="C1180">
        <v>1</v>
      </c>
      <c r="D1180" t="s">
        <v>1264</v>
      </c>
      <c r="E1180">
        <v>100016</v>
      </c>
      <c r="F1180">
        <v>17408</v>
      </c>
      <c r="G1180" t="str">
        <f t="shared" si="106"/>
        <v>17408</v>
      </c>
      <c r="H1180" t="s">
        <v>403</v>
      </c>
      <c r="I1180" t="s">
        <v>1265</v>
      </c>
      <c r="J1180" t="s">
        <v>1271</v>
      </c>
      <c r="K1180" t="s">
        <v>1272</v>
      </c>
      <c r="L1180" t="s">
        <v>1359</v>
      </c>
      <c r="M1180" t="s">
        <v>1360</v>
      </c>
      <c r="N1180">
        <v>1</v>
      </c>
      <c r="O1180" t="str">
        <f t="shared" si="109"/>
        <v>44</v>
      </c>
      <c r="P1180">
        <v>44</v>
      </c>
      <c r="R1180" t="s">
        <v>1269</v>
      </c>
      <c r="S1180">
        <v>1</v>
      </c>
      <c r="T1180">
        <v>0.24790000000000001</v>
      </c>
      <c r="U1180">
        <f t="shared" si="110"/>
        <v>0</v>
      </c>
      <c r="V1180" t="str">
        <f t="shared" si="107"/>
        <v>High Social Worker</v>
      </c>
      <c r="W1180" t="str">
        <f t="shared" si="108"/>
        <v>Social Worker</v>
      </c>
    </row>
    <row r="1181" spans="1:23" x14ac:dyDescent="0.25">
      <c r="A1181">
        <v>17408</v>
      </c>
      <c r="B1181" t="s">
        <v>1294</v>
      </c>
      <c r="C1181">
        <v>25.995999999999999</v>
      </c>
      <c r="D1181" t="s">
        <v>1264</v>
      </c>
      <c r="E1181">
        <v>100016</v>
      </c>
      <c r="F1181">
        <v>17408</v>
      </c>
      <c r="G1181" t="str">
        <f t="shared" si="106"/>
        <v>17408</v>
      </c>
      <c r="H1181" t="s">
        <v>403</v>
      </c>
      <c r="I1181" t="s">
        <v>1265</v>
      </c>
      <c r="J1181" t="s">
        <v>1276</v>
      </c>
      <c r="K1181" t="s">
        <v>1277</v>
      </c>
      <c r="L1181" t="s">
        <v>1294</v>
      </c>
      <c r="M1181" t="s">
        <v>1354</v>
      </c>
      <c r="N1181">
        <v>21</v>
      </c>
      <c r="O1181" t="str">
        <f t="shared" si="109"/>
        <v>45</v>
      </c>
      <c r="P1181">
        <v>45</v>
      </c>
      <c r="R1181" t="s">
        <v>1269</v>
      </c>
      <c r="S1181">
        <v>25.995999999999999</v>
      </c>
      <c r="T1181">
        <v>0.24790000000000001</v>
      </c>
      <c r="U1181">
        <f t="shared" si="110"/>
        <v>6.444</v>
      </c>
      <c r="V1181" t="str">
        <f t="shared" si="107"/>
        <v>Elementary Speech, Language Pathway/
Audio</v>
      </c>
      <c r="W1181" t="str">
        <f t="shared" si="108"/>
        <v>Speech, Language Pathway/
Audio</v>
      </c>
    </row>
    <row r="1182" spans="1:23" x14ac:dyDescent="0.25">
      <c r="A1182">
        <v>17408</v>
      </c>
      <c r="B1182" t="s">
        <v>1332</v>
      </c>
      <c r="C1182">
        <v>0.5</v>
      </c>
      <c r="D1182" t="s">
        <v>1264</v>
      </c>
      <c r="E1182">
        <v>100016</v>
      </c>
      <c r="F1182">
        <v>17408</v>
      </c>
      <c r="G1182" t="str">
        <f t="shared" si="106"/>
        <v>17408</v>
      </c>
      <c r="H1182" t="s">
        <v>403</v>
      </c>
      <c r="I1182" t="s">
        <v>1265</v>
      </c>
      <c r="J1182" t="s">
        <v>1276</v>
      </c>
      <c r="K1182" t="s">
        <v>1277</v>
      </c>
      <c r="L1182" t="s">
        <v>1332</v>
      </c>
      <c r="M1182" t="s">
        <v>1403</v>
      </c>
      <c r="N1182">
        <v>1</v>
      </c>
      <c r="O1182" t="str">
        <f t="shared" si="109"/>
        <v>45</v>
      </c>
      <c r="P1182">
        <v>45</v>
      </c>
      <c r="R1182" t="s">
        <v>1269</v>
      </c>
      <c r="S1182">
        <v>0.5</v>
      </c>
      <c r="T1182">
        <v>0.24790000000000001</v>
      </c>
      <c r="U1182">
        <f t="shared" si="110"/>
        <v>0</v>
      </c>
      <c r="V1182" t="str">
        <f t="shared" si="107"/>
        <v>Elementary Speech, Language Pathway/
Audio</v>
      </c>
      <c r="W1182" t="str">
        <f t="shared" si="108"/>
        <v>Speech, Language Pathway/
Audio</v>
      </c>
    </row>
    <row r="1183" spans="1:23" x14ac:dyDescent="0.25">
      <c r="A1183">
        <v>17408</v>
      </c>
      <c r="B1183" t="s">
        <v>1326</v>
      </c>
      <c r="C1183">
        <v>4.3</v>
      </c>
      <c r="D1183" t="s">
        <v>1264</v>
      </c>
      <c r="E1183">
        <v>100016</v>
      </c>
      <c r="F1183">
        <v>17408</v>
      </c>
      <c r="G1183" t="str">
        <f t="shared" si="106"/>
        <v>17408</v>
      </c>
      <c r="H1183" t="s">
        <v>403</v>
      </c>
      <c r="I1183" t="s">
        <v>1265</v>
      </c>
      <c r="J1183" t="s">
        <v>1271</v>
      </c>
      <c r="K1183" t="s">
        <v>1272</v>
      </c>
      <c r="L1183" t="s">
        <v>1326</v>
      </c>
      <c r="M1183" t="s">
        <v>1353</v>
      </c>
      <c r="N1183">
        <v>21</v>
      </c>
      <c r="O1183" t="str">
        <f t="shared" si="109"/>
        <v>45</v>
      </c>
      <c r="P1183">
        <v>45</v>
      </c>
      <c r="R1183" t="s">
        <v>1269</v>
      </c>
      <c r="S1183">
        <v>4.3</v>
      </c>
      <c r="T1183">
        <v>0.24790000000000001</v>
      </c>
      <c r="U1183">
        <f t="shared" si="110"/>
        <v>1.0660000000000001</v>
      </c>
      <c r="V1183" t="str">
        <f t="shared" si="107"/>
        <v>High Speech, Language Pathway/
Audio</v>
      </c>
      <c r="W1183" t="str">
        <f t="shared" si="108"/>
        <v>Speech, Language Pathway/
Audio</v>
      </c>
    </row>
    <row r="1184" spans="1:23" x14ac:dyDescent="0.25">
      <c r="A1184">
        <v>17408</v>
      </c>
      <c r="B1184" t="s">
        <v>1312</v>
      </c>
      <c r="C1184">
        <v>3.004</v>
      </c>
      <c r="D1184" t="s">
        <v>1264</v>
      </c>
      <c r="E1184">
        <v>100016</v>
      </c>
      <c r="F1184">
        <v>17408</v>
      </c>
      <c r="G1184" t="str">
        <f t="shared" si="106"/>
        <v>17408</v>
      </c>
      <c r="H1184" t="s">
        <v>403</v>
      </c>
      <c r="I1184" t="s">
        <v>1265</v>
      </c>
      <c r="J1184" t="s">
        <v>1266</v>
      </c>
      <c r="K1184" t="s">
        <v>1267</v>
      </c>
      <c r="L1184" t="s">
        <v>1312</v>
      </c>
      <c r="M1184" t="s">
        <v>1351</v>
      </c>
      <c r="N1184">
        <v>21</v>
      </c>
      <c r="O1184" t="str">
        <f t="shared" si="109"/>
        <v>45</v>
      </c>
      <c r="P1184">
        <v>45</v>
      </c>
      <c r="R1184" t="s">
        <v>1269</v>
      </c>
      <c r="S1184">
        <v>3.004</v>
      </c>
      <c r="T1184">
        <v>0.24790000000000001</v>
      </c>
      <c r="U1184">
        <f t="shared" si="110"/>
        <v>0.745</v>
      </c>
      <c r="V1184" t="str">
        <f t="shared" si="107"/>
        <v>Middle Speech, Language Pathway/
Audio</v>
      </c>
      <c r="W1184" t="str">
        <f t="shared" si="108"/>
        <v>Speech, Language Pathway/
Audio</v>
      </c>
    </row>
    <row r="1185" spans="1:23" x14ac:dyDescent="0.25">
      <c r="A1185">
        <v>17408</v>
      </c>
      <c r="B1185" t="s">
        <v>1298</v>
      </c>
      <c r="C1185">
        <v>13.272</v>
      </c>
      <c r="D1185" t="s">
        <v>1264</v>
      </c>
      <c r="E1185">
        <v>100016</v>
      </c>
      <c r="F1185">
        <v>17408</v>
      </c>
      <c r="G1185" t="str">
        <f t="shared" si="106"/>
        <v>17408</v>
      </c>
      <c r="H1185" t="s">
        <v>403</v>
      </c>
      <c r="I1185" t="s">
        <v>1265</v>
      </c>
      <c r="J1185" t="s">
        <v>1276</v>
      </c>
      <c r="K1185" t="s">
        <v>1277</v>
      </c>
      <c r="L1185" t="s">
        <v>1298</v>
      </c>
      <c r="M1185" t="s">
        <v>1349</v>
      </c>
      <c r="N1185">
        <v>21</v>
      </c>
      <c r="O1185" t="str">
        <f t="shared" si="109"/>
        <v>46</v>
      </c>
      <c r="P1185">
        <v>46</v>
      </c>
      <c r="R1185" t="s">
        <v>1269</v>
      </c>
      <c r="S1185">
        <v>13.272</v>
      </c>
      <c r="T1185">
        <v>0.24790000000000001</v>
      </c>
      <c r="U1185">
        <f t="shared" si="110"/>
        <v>3.29</v>
      </c>
      <c r="V1185" t="str">
        <f t="shared" si="107"/>
        <v>Elementary Psychologist</v>
      </c>
      <c r="W1185" t="str">
        <f t="shared" si="108"/>
        <v>Psychologist</v>
      </c>
    </row>
    <row r="1186" spans="1:23" x14ac:dyDescent="0.25">
      <c r="A1186">
        <v>17408</v>
      </c>
      <c r="B1186" t="s">
        <v>1309</v>
      </c>
      <c r="C1186">
        <v>4.4409999999999998</v>
      </c>
      <c r="D1186" t="s">
        <v>1264</v>
      </c>
      <c r="E1186">
        <v>100016</v>
      </c>
      <c r="F1186">
        <v>17408</v>
      </c>
      <c r="G1186" t="str">
        <f t="shared" si="106"/>
        <v>17408</v>
      </c>
      <c r="H1186" t="s">
        <v>403</v>
      </c>
      <c r="I1186" t="s">
        <v>1265</v>
      </c>
      <c r="J1186" t="s">
        <v>1271</v>
      </c>
      <c r="K1186" t="s">
        <v>1272</v>
      </c>
      <c r="L1186" t="s">
        <v>1309</v>
      </c>
      <c r="M1186" t="s">
        <v>1310</v>
      </c>
      <c r="N1186">
        <v>21</v>
      </c>
      <c r="O1186" t="str">
        <f t="shared" si="109"/>
        <v>46</v>
      </c>
      <c r="P1186">
        <v>46</v>
      </c>
      <c r="R1186" t="s">
        <v>1269</v>
      </c>
      <c r="S1186">
        <v>4.4409999999999998</v>
      </c>
      <c r="T1186">
        <v>0.24790000000000001</v>
      </c>
      <c r="U1186">
        <f t="shared" si="110"/>
        <v>1.101</v>
      </c>
      <c r="V1186" t="str">
        <f t="shared" si="107"/>
        <v>High Psychologist</v>
      </c>
      <c r="W1186" t="str">
        <f t="shared" si="108"/>
        <v>Psychologist</v>
      </c>
    </row>
    <row r="1187" spans="1:23" x14ac:dyDescent="0.25">
      <c r="A1187">
        <v>17408</v>
      </c>
      <c r="B1187" t="s">
        <v>1345</v>
      </c>
      <c r="C1187">
        <v>1.998</v>
      </c>
      <c r="D1187" t="s">
        <v>1264</v>
      </c>
      <c r="E1187">
        <v>100016</v>
      </c>
      <c r="F1187">
        <v>17408</v>
      </c>
      <c r="G1187" t="str">
        <f t="shared" si="106"/>
        <v>17408</v>
      </c>
      <c r="H1187" t="s">
        <v>403</v>
      </c>
      <c r="I1187" t="s">
        <v>1265</v>
      </c>
      <c r="J1187" t="s">
        <v>1266</v>
      </c>
      <c r="K1187" t="s">
        <v>1267</v>
      </c>
      <c r="L1187" t="s">
        <v>1345</v>
      </c>
      <c r="M1187" t="s">
        <v>1346</v>
      </c>
      <c r="N1187">
        <v>21</v>
      </c>
      <c r="O1187" t="str">
        <f t="shared" si="109"/>
        <v>46</v>
      </c>
      <c r="P1187">
        <v>46</v>
      </c>
      <c r="R1187" t="s">
        <v>1269</v>
      </c>
      <c r="S1187">
        <v>1.998</v>
      </c>
      <c r="T1187">
        <v>0.24790000000000001</v>
      </c>
      <c r="U1187">
        <f t="shared" si="110"/>
        <v>0.495</v>
      </c>
      <c r="V1187" t="str">
        <f t="shared" si="107"/>
        <v>Middle Psychologist</v>
      </c>
      <c r="W1187" t="str">
        <f t="shared" si="108"/>
        <v>Psychologist</v>
      </c>
    </row>
    <row r="1188" spans="1:23" x14ac:dyDescent="0.25">
      <c r="A1188">
        <v>17408</v>
      </c>
      <c r="B1188" t="s">
        <v>1335</v>
      </c>
      <c r="C1188">
        <v>9.7940000000000005</v>
      </c>
      <c r="D1188" t="s">
        <v>1264</v>
      </c>
      <c r="E1188">
        <v>100016</v>
      </c>
      <c r="F1188">
        <v>17408</v>
      </c>
      <c r="G1188" t="str">
        <f t="shared" si="106"/>
        <v>17408</v>
      </c>
      <c r="H1188" t="s">
        <v>403</v>
      </c>
      <c r="I1188" t="s">
        <v>1265</v>
      </c>
      <c r="J1188" t="s">
        <v>1276</v>
      </c>
      <c r="K1188" t="s">
        <v>1277</v>
      </c>
      <c r="L1188" t="s">
        <v>1335</v>
      </c>
      <c r="M1188" t="s">
        <v>1344</v>
      </c>
      <c r="N1188">
        <v>1</v>
      </c>
      <c r="O1188" t="str">
        <f t="shared" si="109"/>
        <v>47</v>
      </c>
      <c r="P1188">
        <v>47</v>
      </c>
      <c r="R1188" t="s">
        <v>1269</v>
      </c>
      <c r="S1188">
        <v>9.7940000000000005</v>
      </c>
      <c r="T1188">
        <v>0.24790000000000001</v>
      </c>
      <c r="U1188">
        <f t="shared" si="110"/>
        <v>0</v>
      </c>
      <c r="V1188" t="str">
        <f t="shared" si="107"/>
        <v>Elementary Nurse</v>
      </c>
      <c r="W1188" t="str">
        <f t="shared" si="108"/>
        <v>Nurse</v>
      </c>
    </row>
    <row r="1189" spans="1:23" x14ac:dyDescent="0.25">
      <c r="A1189">
        <v>17408</v>
      </c>
      <c r="B1189" t="s">
        <v>1341</v>
      </c>
      <c r="C1189">
        <v>2.2669999999999999</v>
      </c>
      <c r="D1189" t="s">
        <v>1264</v>
      </c>
      <c r="E1189">
        <v>100016</v>
      </c>
      <c r="F1189">
        <v>17408</v>
      </c>
      <c r="G1189" t="str">
        <f t="shared" si="106"/>
        <v>17408</v>
      </c>
      <c r="H1189" t="s">
        <v>403</v>
      </c>
      <c r="I1189" t="s">
        <v>1265</v>
      </c>
      <c r="J1189" t="s">
        <v>1271</v>
      </c>
      <c r="K1189" t="s">
        <v>1272</v>
      </c>
      <c r="L1189" t="s">
        <v>1341</v>
      </c>
      <c r="M1189" t="s">
        <v>1342</v>
      </c>
      <c r="N1189">
        <v>1</v>
      </c>
      <c r="O1189" t="str">
        <f t="shared" si="109"/>
        <v>47</v>
      </c>
      <c r="P1189">
        <v>47</v>
      </c>
      <c r="R1189" t="s">
        <v>1269</v>
      </c>
      <c r="S1189">
        <v>2.2669999999999999</v>
      </c>
      <c r="T1189">
        <v>0.24790000000000001</v>
      </c>
      <c r="U1189">
        <f t="shared" si="110"/>
        <v>0</v>
      </c>
      <c r="V1189" t="str">
        <f t="shared" si="107"/>
        <v>High Nurse</v>
      </c>
      <c r="W1189" t="str">
        <f t="shared" si="108"/>
        <v>Nurse</v>
      </c>
    </row>
    <row r="1190" spans="1:23" x14ac:dyDescent="0.25">
      <c r="A1190">
        <v>17408</v>
      </c>
      <c r="B1190" t="s">
        <v>1338</v>
      </c>
      <c r="C1190">
        <v>3.4169999999999998</v>
      </c>
      <c r="D1190" t="s">
        <v>1264</v>
      </c>
      <c r="E1190">
        <v>100016</v>
      </c>
      <c r="F1190">
        <v>17408</v>
      </c>
      <c r="G1190" t="str">
        <f t="shared" si="106"/>
        <v>17408</v>
      </c>
      <c r="H1190" t="s">
        <v>403</v>
      </c>
      <c r="I1190" t="s">
        <v>1265</v>
      </c>
      <c r="J1190" t="s">
        <v>1266</v>
      </c>
      <c r="K1190" t="s">
        <v>1267</v>
      </c>
      <c r="L1190" t="s">
        <v>1338</v>
      </c>
      <c r="M1190" t="s">
        <v>1339</v>
      </c>
      <c r="N1190">
        <v>1</v>
      </c>
      <c r="O1190" t="str">
        <f t="shared" si="109"/>
        <v>47</v>
      </c>
      <c r="P1190">
        <v>47</v>
      </c>
      <c r="R1190" t="s">
        <v>1269</v>
      </c>
      <c r="S1190">
        <v>3.4169999999999998</v>
      </c>
      <c r="T1190">
        <v>0.24790000000000001</v>
      </c>
      <c r="U1190">
        <f t="shared" si="110"/>
        <v>0</v>
      </c>
      <c r="V1190" t="str">
        <f t="shared" si="107"/>
        <v>Middle Nurse</v>
      </c>
      <c r="W1190" t="str">
        <f t="shared" si="108"/>
        <v>Nurse</v>
      </c>
    </row>
    <row r="1191" spans="1:23" x14ac:dyDescent="0.25">
      <c r="A1191">
        <v>17408</v>
      </c>
      <c r="B1191" t="s">
        <v>1302</v>
      </c>
      <c r="C1191">
        <v>2.02</v>
      </c>
      <c r="D1191" t="s">
        <v>1264</v>
      </c>
      <c r="E1191">
        <v>100016</v>
      </c>
      <c r="F1191">
        <v>17408</v>
      </c>
      <c r="G1191" t="str">
        <f t="shared" si="106"/>
        <v>17408</v>
      </c>
      <c r="H1191" t="s">
        <v>403</v>
      </c>
      <c r="I1191" t="s">
        <v>1265</v>
      </c>
      <c r="J1191" t="s">
        <v>1276</v>
      </c>
      <c r="K1191" t="s">
        <v>1277</v>
      </c>
      <c r="L1191" t="s">
        <v>1302</v>
      </c>
      <c r="M1191" t="s">
        <v>1336</v>
      </c>
      <c r="N1191">
        <v>21</v>
      </c>
      <c r="O1191" t="str">
        <f t="shared" si="109"/>
        <v>48</v>
      </c>
      <c r="P1191">
        <v>48</v>
      </c>
      <c r="R1191" t="s">
        <v>1269</v>
      </c>
      <c r="S1191">
        <v>2.02</v>
      </c>
      <c r="T1191">
        <v>0.24790000000000001</v>
      </c>
      <c r="U1191">
        <f t="shared" si="110"/>
        <v>0.501</v>
      </c>
      <c r="V1191" t="str">
        <f t="shared" si="107"/>
        <v>Elementary Physical Therapist</v>
      </c>
      <c r="W1191" t="str">
        <f t="shared" si="108"/>
        <v>Physical Therapist</v>
      </c>
    </row>
    <row r="1192" spans="1:23" x14ac:dyDescent="0.25">
      <c r="A1192">
        <v>17408</v>
      </c>
      <c r="B1192" t="s">
        <v>1330</v>
      </c>
      <c r="C1192">
        <v>0.55000000000000004</v>
      </c>
      <c r="D1192" t="s">
        <v>1264</v>
      </c>
      <c r="E1192">
        <v>100016</v>
      </c>
      <c r="F1192">
        <v>17408</v>
      </c>
      <c r="G1192" t="str">
        <f t="shared" si="106"/>
        <v>17408</v>
      </c>
      <c r="H1192" t="s">
        <v>403</v>
      </c>
      <c r="I1192" t="s">
        <v>1265</v>
      </c>
      <c r="J1192" t="s">
        <v>1271</v>
      </c>
      <c r="K1192" t="s">
        <v>1272</v>
      </c>
      <c r="L1192" t="s">
        <v>1330</v>
      </c>
      <c r="M1192" t="s">
        <v>1367</v>
      </c>
      <c r="N1192">
        <v>21</v>
      </c>
      <c r="O1192" t="str">
        <f t="shared" si="109"/>
        <v>48</v>
      </c>
      <c r="P1192">
        <v>48</v>
      </c>
      <c r="R1192" t="s">
        <v>1269</v>
      </c>
      <c r="S1192">
        <v>0.55000000000000004</v>
      </c>
      <c r="T1192">
        <v>0.24790000000000001</v>
      </c>
      <c r="U1192">
        <f t="shared" si="110"/>
        <v>0.13600000000000001</v>
      </c>
      <c r="V1192" t="str">
        <f t="shared" si="107"/>
        <v>High Physical Therapist</v>
      </c>
      <c r="W1192" t="str">
        <f t="shared" si="108"/>
        <v>Physical Therapist</v>
      </c>
    </row>
    <row r="1193" spans="1:23" x14ac:dyDescent="0.25">
      <c r="A1193">
        <v>17408</v>
      </c>
      <c r="B1193" t="s">
        <v>1316</v>
      </c>
      <c r="C1193">
        <v>0.43</v>
      </c>
      <c r="D1193" t="s">
        <v>1264</v>
      </c>
      <c r="E1193">
        <v>100016</v>
      </c>
      <c r="F1193">
        <v>17408</v>
      </c>
      <c r="G1193" t="str">
        <f t="shared" si="106"/>
        <v>17408</v>
      </c>
      <c r="H1193" t="s">
        <v>403</v>
      </c>
      <c r="I1193" t="s">
        <v>1265</v>
      </c>
      <c r="J1193" t="s">
        <v>1266</v>
      </c>
      <c r="K1193" t="s">
        <v>1267</v>
      </c>
      <c r="L1193" t="s">
        <v>1316</v>
      </c>
      <c r="M1193" t="s">
        <v>1366</v>
      </c>
      <c r="N1193">
        <v>21</v>
      </c>
      <c r="O1193" t="str">
        <f t="shared" si="109"/>
        <v>48</v>
      </c>
      <c r="P1193">
        <v>48</v>
      </c>
      <c r="R1193" t="s">
        <v>1269</v>
      </c>
      <c r="S1193">
        <v>0.43</v>
      </c>
      <c r="T1193">
        <v>0.24790000000000001</v>
      </c>
      <c r="U1193">
        <f t="shared" si="110"/>
        <v>0.107</v>
      </c>
      <c r="V1193" t="str">
        <f t="shared" si="107"/>
        <v>Middle Physical Therapist</v>
      </c>
      <c r="W1193" t="str">
        <f t="shared" si="108"/>
        <v>Physical Therapist</v>
      </c>
    </row>
    <row r="1194" spans="1:23" x14ac:dyDescent="0.25">
      <c r="A1194">
        <v>17408</v>
      </c>
      <c r="B1194" t="s">
        <v>1340</v>
      </c>
      <c r="C1194">
        <v>1.67</v>
      </c>
      <c r="D1194" t="s">
        <v>1264</v>
      </c>
      <c r="E1194">
        <v>100016</v>
      </c>
      <c r="F1194">
        <v>17408</v>
      </c>
      <c r="G1194" t="str">
        <f t="shared" si="106"/>
        <v>17408</v>
      </c>
      <c r="H1194" t="s">
        <v>403</v>
      </c>
      <c r="I1194" t="s">
        <v>1265</v>
      </c>
      <c r="J1194" t="s">
        <v>1276</v>
      </c>
      <c r="K1194" t="s">
        <v>1277</v>
      </c>
      <c r="L1194" t="s">
        <v>1340</v>
      </c>
      <c r="M1194" t="s">
        <v>1395</v>
      </c>
      <c r="N1194">
        <v>21</v>
      </c>
      <c r="O1194" t="str">
        <f t="shared" si="109"/>
        <v>49</v>
      </c>
      <c r="P1194">
        <v>49</v>
      </c>
      <c r="R1194" t="s">
        <v>1269</v>
      </c>
      <c r="S1194">
        <v>1.67</v>
      </c>
      <c r="T1194">
        <v>0.24790000000000001</v>
      </c>
      <c r="U1194">
        <f t="shared" si="110"/>
        <v>0.41399999999999998</v>
      </c>
      <c r="V1194" t="str">
        <f t="shared" si="107"/>
        <v>Elementary Behavior Analyst</v>
      </c>
      <c r="W1194" t="str">
        <f t="shared" si="108"/>
        <v>Behavior Analyst</v>
      </c>
    </row>
    <row r="1195" spans="1:23" x14ac:dyDescent="0.25">
      <c r="A1195">
        <v>17408</v>
      </c>
      <c r="B1195" t="s">
        <v>1392</v>
      </c>
      <c r="C1195">
        <v>1.67</v>
      </c>
      <c r="D1195" t="s">
        <v>1264</v>
      </c>
      <c r="E1195">
        <v>100016</v>
      </c>
      <c r="F1195">
        <v>17408</v>
      </c>
      <c r="G1195" t="str">
        <f t="shared" si="106"/>
        <v>17408</v>
      </c>
      <c r="H1195" t="s">
        <v>403</v>
      </c>
      <c r="I1195" t="s">
        <v>1265</v>
      </c>
      <c r="J1195" t="s">
        <v>1271</v>
      </c>
      <c r="K1195" t="s">
        <v>1272</v>
      </c>
      <c r="L1195" t="s">
        <v>1392</v>
      </c>
      <c r="M1195" t="s">
        <v>1393</v>
      </c>
      <c r="N1195">
        <v>21</v>
      </c>
      <c r="O1195" t="str">
        <f t="shared" si="109"/>
        <v>49</v>
      </c>
      <c r="P1195">
        <v>49</v>
      </c>
      <c r="R1195" t="s">
        <v>1269</v>
      </c>
      <c r="S1195">
        <v>1.67</v>
      </c>
      <c r="T1195">
        <v>0.24790000000000001</v>
      </c>
      <c r="U1195">
        <f t="shared" si="110"/>
        <v>0.41399999999999998</v>
      </c>
      <c r="V1195" t="str">
        <f t="shared" si="107"/>
        <v>High Behavior Analyst</v>
      </c>
      <c r="W1195" t="str">
        <f t="shared" si="108"/>
        <v>Behavior Analyst</v>
      </c>
    </row>
    <row r="1196" spans="1:23" x14ac:dyDescent="0.25">
      <c r="A1196">
        <v>17408</v>
      </c>
      <c r="B1196" t="s">
        <v>1374</v>
      </c>
      <c r="C1196">
        <v>0.66</v>
      </c>
      <c r="D1196" t="s">
        <v>1264</v>
      </c>
      <c r="E1196">
        <v>100016</v>
      </c>
      <c r="F1196">
        <v>17408</v>
      </c>
      <c r="G1196" t="str">
        <f t="shared" si="106"/>
        <v>17408</v>
      </c>
      <c r="H1196" t="s">
        <v>403</v>
      </c>
      <c r="I1196" t="s">
        <v>1265</v>
      </c>
      <c r="J1196" t="s">
        <v>1266</v>
      </c>
      <c r="K1196" t="s">
        <v>1267</v>
      </c>
      <c r="L1196" t="s">
        <v>1374</v>
      </c>
      <c r="M1196" t="s">
        <v>1391</v>
      </c>
      <c r="N1196">
        <v>21</v>
      </c>
      <c r="O1196" t="str">
        <f t="shared" si="109"/>
        <v>49</v>
      </c>
      <c r="P1196">
        <v>49</v>
      </c>
      <c r="R1196" t="s">
        <v>1269</v>
      </c>
      <c r="S1196">
        <v>0.66</v>
      </c>
      <c r="T1196">
        <v>0.24790000000000001</v>
      </c>
      <c r="U1196">
        <f t="shared" si="110"/>
        <v>0.16400000000000001</v>
      </c>
      <c r="V1196" t="str">
        <f t="shared" si="107"/>
        <v>Middle Behavior Analyst</v>
      </c>
      <c r="W1196" t="str">
        <f t="shared" si="108"/>
        <v>Behavior Analyst</v>
      </c>
    </row>
    <row r="1197" spans="1:23" x14ac:dyDescent="0.25">
      <c r="A1197">
        <v>17409</v>
      </c>
      <c r="B1197" t="s">
        <v>1299</v>
      </c>
      <c r="C1197">
        <v>2.5619999999999998</v>
      </c>
      <c r="D1197" t="s">
        <v>1264</v>
      </c>
      <c r="E1197">
        <v>100263</v>
      </c>
      <c r="F1197">
        <v>17409</v>
      </c>
      <c r="G1197" t="str">
        <f t="shared" si="106"/>
        <v>17409</v>
      </c>
      <c r="H1197" t="s">
        <v>404</v>
      </c>
      <c r="I1197" t="s">
        <v>1265</v>
      </c>
      <c r="J1197" t="s">
        <v>1271</v>
      </c>
      <c r="K1197" t="s">
        <v>1272</v>
      </c>
      <c r="L1197" t="s">
        <v>1299</v>
      </c>
      <c r="M1197" t="s">
        <v>1300</v>
      </c>
      <c r="N1197">
        <v>1</v>
      </c>
      <c r="O1197" t="str">
        <f t="shared" si="109"/>
        <v>25</v>
      </c>
      <c r="Q1197">
        <v>25</v>
      </c>
      <c r="R1197" t="s">
        <v>1269</v>
      </c>
      <c r="S1197">
        <v>2.5619999999999998</v>
      </c>
      <c r="T1197">
        <v>0.2366</v>
      </c>
      <c r="U1197">
        <f t="shared" si="110"/>
        <v>0</v>
      </c>
      <c r="V1197" t="str">
        <f t="shared" si="107"/>
        <v>High Pupil Management</v>
      </c>
      <c r="W1197" t="str">
        <f t="shared" si="108"/>
        <v>Pupil Management</v>
      </c>
    </row>
    <row r="1198" spans="1:23" x14ac:dyDescent="0.25">
      <c r="A1198">
        <v>17409</v>
      </c>
      <c r="B1198" t="s">
        <v>1324</v>
      </c>
      <c r="C1198">
        <v>2.081</v>
      </c>
      <c r="D1198" t="s">
        <v>1264</v>
      </c>
      <c r="E1198">
        <v>100263</v>
      </c>
      <c r="F1198">
        <v>17409</v>
      </c>
      <c r="G1198" t="str">
        <f t="shared" si="106"/>
        <v>17409</v>
      </c>
      <c r="H1198" t="s">
        <v>404</v>
      </c>
      <c r="I1198" t="s">
        <v>1265</v>
      </c>
      <c r="J1198" t="s">
        <v>1271</v>
      </c>
      <c r="K1198" t="s">
        <v>1272</v>
      </c>
      <c r="L1198" t="s">
        <v>1324</v>
      </c>
      <c r="M1198" t="s">
        <v>1325</v>
      </c>
      <c r="N1198">
        <v>21</v>
      </c>
      <c r="O1198" t="str">
        <f t="shared" si="109"/>
        <v>26</v>
      </c>
      <c r="Q1198">
        <v>26</v>
      </c>
      <c r="R1198" t="s">
        <v>1269</v>
      </c>
      <c r="S1198">
        <v>2.081</v>
      </c>
      <c r="T1198">
        <v>0.2366</v>
      </c>
      <c r="U1198">
        <f t="shared" si="110"/>
        <v>0.49199999999999999</v>
      </c>
      <c r="V1198" t="str">
        <f t="shared" si="107"/>
        <v>High Health/
Related Services</v>
      </c>
      <c r="W1198" t="str">
        <f t="shared" si="108"/>
        <v>Health/
Related Services</v>
      </c>
    </row>
    <row r="1199" spans="1:23" x14ac:dyDescent="0.25">
      <c r="A1199">
        <v>17409</v>
      </c>
      <c r="B1199" t="s">
        <v>1295</v>
      </c>
      <c r="C1199">
        <v>14.076000000000001</v>
      </c>
      <c r="D1199" t="s">
        <v>1264</v>
      </c>
      <c r="E1199">
        <v>100263</v>
      </c>
      <c r="F1199">
        <v>17409</v>
      </c>
      <c r="G1199" t="str">
        <f t="shared" si="106"/>
        <v>17409</v>
      </c>
      <c r="H1199" t="s">
        <v>404</v>
      </c>
      <c r="I1199" t="s">
        <v>1265</v>
      </c>
      <c r="J1199" t="s">
        <v>1271</v>
      </c>
      <c r="K1199" t="s">
        <v>1272</v>
      </c>
      <c r="L1199" t="s">
        <v>1295</v>
      </c>
      <c r="M1199" t="s">
        <v>1296</v>
      </c>
      <c r="N1199">
        <v>1</v>
      </c>
      <c r="O1199" t="str">
        <f t="shared" si="109"/>
        <v>26</v>
      </c>
      <c r="Q1199">
        <v>26</v>
      </c>
      <c r="R1199" t="s">
        <v>1269</v>
      </c>
      <c r="S1199">
        <v>14.076000000000001</v>
      </c>
      <c r="T1199">
        <v>0.2366</v>
      </c>
      <c r="U1199">
        <f t="shared" si="110"/>
        <v>0</v>
      </c>
      <c r="V1199" t="str">
        <f t="shared" si="107"/>
        <v>High Health/
Related Services</v>
      </c>
      <c r="W1199" t="str">
        <f t="shared" si="108"/>
        <v>Health/
Related Services</v>
      </c>
    </row>
    <row r="1200" spans="1:23" x14ac:dyDescent="0.25">
      <c r="A1200">
        <v>17409</v>
      </c>
      <c r="B1200" t="s">
        <v>1402</v>
      </c>
      <c r="C1200">
        <v>2.113</v>
      </c>
      <c r="D1200" t="s">
        <v>1264</v>
      </c>
      <c r="E1200">
        <v>100263</v>
      </c>
      <c r="F1200">
        <v>17409</v>
      </c>
      <c r="G1200" t="str">
        <f t="shared" si="106"/>
        <v>17409</v>
      </c>
      <c r="H1200" t="s">
        <v>404</v>
      </c>
      <c r="I1200" t="s">
        <v>1265</v>
      </c>
      <c r="J1200" t="s">
        <v>1271</v>
      </c>
      <c r="K1200" t="s">
        <v>1272</v>
      </c>
      <c r="L1200" t="s">
        <v>1402</v>
      </c>
      <c r="M1200" t="s">
        <v>1408</v>
      </c>
      <c r="N1200">
        <v>97</v>
      </c>
      <c r="O1200" t="str">
        <f t="shared" si="109"/>
        <v>35</v>
      </c>
      <c r="Q1200">
        <v>35</v>
      </c>
      <c r="R1200" t="s">
        <v>1269</v>
      </c>
      <c r="S1200">
        <v>2.113</v>
      </c>
      <c r="T1200">
        <v>0.2366</v>
      </c>
      <c r="U1200">
        <f t="shared" si="110"/>
        <v>0</v>
      </c>
      <c r="V1200" t="str">
        <f t="shared" si="107"/>
        <v>High Pupil Safety</v>
      </c>
      <c r="W1200" t="str">
        <f t="shared" si="108"/>
        <v>Pupil Safety</v>
      </c>
    </row>
    <row r="1201" spans="1:23" x14ac:dyDescent="0.25">
      <c r="A1201">
        <v>17409</v>
      </c>
      <c r="B1201" t="s">
        <v>1275</v>
      </c>
      <c r="C1201">
        <v>8.2349999999999994</v>
      </c>
      <c r="D1201" t="s">
        <v>1264</v>
      </c>
      <c r="E1201">
        <v>100263</v>
      </c>
      <c r="F1201">
        <v>17409</v>
      </c>
      <c r="G1201" t="str">
        <f t="shared" si="106"/>
        <v>17409</v>
      </c>
      <c r="H1201" t="s">
        <v>404</v>
      </c>
      <c r="I1201" t="s">
        <v>1265</v>
      </c>
      <c r="J1201" t="s">
        <v>1276</v>
      </c>
      <c r="K1201" t="s">
        <v>1277</v>
      </c>
      <c r="L1201" t="s">
        <v>1275</v>
      </c>
      <c r="M1201" t="s">
        <v>1278</v>
      </c>
      <c r="N1201">
        <v>1</v>
      </c>
      <c r="O1201" t="str">
        <f t="shared" si="109"/>
        <v>42</v>
      </c>
      <c r="P1201">
        <v>42</v>
      </c>
      <c r="R1201" t="s">
        <v>1269</v>
      </c>
      <c r="S1201">
        <v>8.2349999999999994</v>
      </c>
      <c r="T1201">
        <v>0.2366</v>
      </c>
      <c r="U1201">
        <f t="shared" si="110"/>
        <v>0</v>
      </c>
      <c r="V1201" t="str">
        <f t="shared" si="107"/>
        <v>Elementary Counselor</v>
      </c>
      <c r="W1201" t="str">
        <f t="shared" si="108"/>
        <v>Counselor</v>
      </c>
    </row>
    <row r="1202" spans="1:23" x14ac:dyDescent="0.25">
      <c r="A1202">
        <v>17409</v>
      </c>
      <c r="B1202" t="s">
        <v>1270</v>
      </c>
      <c r="C1202">
        <v>6.2</v>
      </c>
      <c r="D1202" t="s">
        <v>1264</v>
      </c>
      <c r="E1202">
        <v>100263</v>
      </c>
      <c r="F1202">
        <v>17409</v>
      </c>
      <c r="G1202" t="str">
        <f t="shared" si="106"/>
        <v>17409</v>
      </c>
      <c r="H1202" t="s">
        <v>404</v>
      </c>
      <c r="I1202" t="s">
        <v>1265</v>
      </c>
      <c r="J1202" t="s">
        <v>1271</v>
      </c>
      <c r="K1202" t="s">
        <v>1272</v>
      </c>
      <c r="L1202" t="s">
        <v>1270</v>
      </c>
      <c r="M1202" t="s">
        <v>1273</v>
      </c>
      <c r="N1202">
        <v>1</v>
      </c>
      <c r="O1202" t="str">
        <f t="shared" si="109"/>
        <v>42</v>
      </c>
      <c r="P1202">
        <v>42</v>
      </c>
      <c r="R1202" t="s">
        <v>1269</v>
      </c>
      <c r="S1202">
        <v>6.2</v>
      </c>
      <c r="T1202">
        <v>0.2366</v>
      </c>
      <c r="U1202">
        <f t="shared" si="110"/>
        <v>0</v>
      </c>
      <c r="V1202" t="str">
        <f t="shared" si="107"/>
        <v>High Counselor</v>
      </c>
      <c r="W1202" t="str">
        <f t="shared" si="108"/>
        <v>Counselor</v>
      </c>
    </row>
    <row r="1203" spans="1:23" x14ac:dyDescent="0.25">
      <c r="A1203">
        <v>17409</v>
      </c>
      <c r="B1203" t="s">
        <v>1263</v>
      </c>
      <c r="C1203">
        <v>4.7649999999999997</v>
      </c>
      <c r="D1203" t="s">
        <v>1264</v>
      </c>
      <c r="E1203">
        <v>100263</v>
      </c>
      <c r="F1203">
        <v>17409</v>
      </c>
      <c r="G1203" t="str">
        <f t="shared" si="106"/>
        <v>17409</v>
      </c>
      <c r="H1203" t="s">
        <v>404</v>
      </c>
      <c r="I1203" t="s">
        <v>1265</v>
      </c>
      <c r="J1203" t="s">
        <v>1266</v>
      </c>
      <c r="K1203" t="s">
        <v>1267</v>
      </c>
      <c r="L1203" t="s">
        <v>1263</v>
      </c>
      <c r="M1203" t="s">
        <v>1268</v>
      </c>
      <c r="N1203">
        <v>1</v>
      </c>
      <c r="O1203" t="str">
        <f t="shared" si="109"/>
        <v>42</v>
      </c>
      <c r="P1203">
        <v>42</v>
      </c>
      <c r="R1203" t="s">
        <v>1269</v>
      </c>
      <c r="S1203">
        <v>4.7649999999999997</v>
      </c>
      <c r="T1203">
        <v>0.2366</v>
      </c>
      <c r="U1203">
        <f t="shared" si="110"/>
        <v>0</v>
      </c>
      <c r="V1203" t="str">
        <f t="shared" si="107"/>
        <v>Middle Counselor</v>
      </c>
      <c r="W1203" t="str">
        <f t="shared" si="108"/>
        <v>Counselor</v>
      </c>
    </row>
    <row r="1204" spans="1:23" x14ac:dyDescent="0.25">
      <c r="A1204">
        <v>17409</v>
      </c>
      <c r="B1204" t="s">
        <v>1289</v>
      </c>
      <c r="C1204">
        <v>2.1930000000000001</v>
      </c>
      <c r="D1204" t="s">
        <v>1264</v>
      </c>
      <c r="E1204">
        <v>100263</v>
      </c>
      <c r="F1204">
        <v>17409</v>
      </c>
      <c r="G1204" t="str">
        <f t="shared" si="106"/>
        <v>17409</v>
      </c>
      <c r="H1204" t="s">
        <v>404</v>
      </c>
      <c r="I1204" t="s">
        <v>1265</v>
      </c>
      <c r="J1204" t="s">
        <v>1276</v>
      </c>
      <c r="K1204" t="s">
        <v>1277</v>
      </c>
      <c r="L1204" t="s">
        <v>1289</v>
      </c>
      <c r="M1204" t="s">
        <v>1307</v>
      </c>
      <c r="N1204">
        <v>21</v>
      </c>
      <c r="O1204" t="str">
        <f t="shared" si="109"/>
        <v>43</v>
      </c>
      <c r="P1204">
        <v>43</v>
      </c>
      <c r="R1204" t="s">
        <v>1269</v>
      </c>
      <c r="S1204">
        <v>2.1930000000000001</v>
      </c>
      <c r="T1204">
        <v>0.2366</v>
      </c>
      <c r="U1204">
        <f t="shared" si="110"/>
        <v>0.51900000000000002</v>
      </c>
      <c r="V1204" t="str">
        <f t="shared" si="107"/>
        <v>Elementary Occupational Therapist</v>
      </c>
      <c r="W1204" t="str">
        <f t="shared" si="108"/>
        <v>Occupational Therapist</v>
      </c>
    </row>
    <row r="1205" spans="1:23" x14ac:dyDescent="0.25">
      <c r="A1205">
        <v>17409</v>
      </c>
      <c r="B1205" t="s">
        <v>1387</v>
      </c>
      <c r="C1205">
        <v>0.73</v>
      </c>
      <c r="D1205" t="s">
        <v>1264</v>
      </c>
      <c r="E1205">
        <v>100263</v>
      </c>
      <c r="F1205">
        <v>17409</v>
      </c>
      <c r="G1205" t="str">
        <f t="shared" si="106"/>
        <v>17409</v>
      </c>
      <c r="H1205" t="s">
        <v>404</v>
      </c>
      <c r="I1205" t="s">
        <v>1265</v>
      </c>
      <c r="J1205" t="s">
        <v>1271</v>
      </c>
      <c r="K1205" t="s">
        <v>1272</v>
      </c>
      <c r="L1205" t="s">
        <v>1387</v>
      </c>
      <c r="M1205" t="s">
        <v>1406</v>
      </c>
      <c r="N1205">
        <v>21</v>
      </c>
      <c r="O1205" t="str">
        <f t="shared" si="109"/>
        <v>43</v>
      </c>
      <c r="P1205">
        <v>43</v>
      </c>
      <c r="R1205" t="s">
        <v>1269</v>
      </c>
      <c r="S1205">
        <v>0.73</v>
      </c>
      <c r="T1205">
        <v>0.2366</v>
      </c>
      <c r="U1205">
        <f t="shared" si="110"/>
        <v>0.17299999999999999</v>
      </c>
      <c r="V1205" t="str">
        <f t="shared" si="107"/>
        <v>High Occupational Therapist</v>
      </c>
      <c r="W1205" t="str">
        <f t="shared" si="108"/>
        <v>Occupational Therapist</v>
      </c>
    </row>
    <row r="1206" spans="1:23" x14ac:dyDescent="0.25">
      <c r="A1206">
        <v>17409</v>
      </c>
      <c r="B1206" t="s">
        <v>1303</v>
      </c>
      <c r="C1206">
        <v>0.1</v>
      </c>
      <c r="D1206" t="s">
        <v>1264</v>
      </c>
      <c r="E1206">
        <v>100263</v>
      </c>
      <c r="F1206">
        <v>17409</v>
      </c>
      <c r="G1206" t="str">
        <f t="shared" si="106"/>
        <v>17409</v>
      </c>
      <c r="H1206" t="s">
        <v>404</v>
      </c>
      <c r="I1206" t="s">
        <v>1265</v>
      </c>
      <c r="J1206" t="s">
        <v>1266</v>
      </c>
      <c r="K1206" t="s">
        <v>1267</v>
      </c>
      <c r="L1206" t="s">
        <v>1303</v>
      </c>
      <c r="M1206" t="s">
        <v>1304</v>
      </c>
      <c r="N1206">
        <v>21</v>
      </c>
      <c r="O1206" t="str">
        <f t="shared" si="109"/>
        <v>43</v>
      </c>
      <c r="P1206">
        <v>43</v>
      </c>
      <c r="R1206" t="s">
        <v>1269</v>
      </c>
      <c r="S1206">
        <v>0.1</v>
      </c>
      <c r="T1206">
        <v>0.2366</v>
      </c>
      <c r="U1206">
        <f t="shared" si="110"/>
        <v>2.4E-2</v>
      </c>
      <c r="V1206" t="str">
        <f t="shared" si="107"/>
        <v>Middle Occupational Therapist</v>
      </c>
      <c r="W1206" t="str">
        <f t="shared" si="108"/>
        <v>Occupational Therapist</v>
      </c>
    </row>
    <row r="1207" spans="1:23" x14ac:dyDescent="0.25">
      <c r="A1207">
        <v>17409</v>
      </c>
      <c r="B1207" t="s">
        <v>1294</v>
      </c>
      <c r="C1207">
        <v>10.795</v>
      </c>
      <c r="D1207" t="s">
        <v>1264</v>
      </c>
      <c r="E1207">
        <v>100263</v>
      </c>
      <c r="F1207">
        <v>17409</v>
      </c>
      <c r="G1207" t="str">
        <f t="shared" si="106"/>
        <v>17409</v>
      </c>
      <c r="H1207" t="s">
        <v>404</v>
      </c>
      <c r="I1207" t="s">
        <v>1265</v>
      </c>
      <c r="J1207" t="s">
        <v>1276</v>
      </c>
      <c r="K1207" t="s">
        <v>1277</v>
      </c>
      <c r="L1207" t="s">
        <v>1294</v>
      </c>
      <c r="M1207" t="s">
        <v>1354</v>
      </c>
      <c r="N1207">
        <v>21</v>
      </c>
      <c r="O1207" t="str">
        <f t="shared" si="109"/>
        <v>45</v>
      </c>
      <c r="P1207">
        <v>45</v>
      </c>
      <c r="R1207" t="s">
        <v>1269</v>
      </c>
      <c r="S1207">
        <v>10.795</v>
      </c>
      <c r="T1207">
        <v>0.2366</v>
      </c>
      <c r="U1207">
        <f t="shared" si="110"/>
        <v>2.5539999999999998</v>
      </c>
      <c r="V1207" t="str">
        <f t="shared" si="107"/>
        <v>Elementary Speech, Language Pathway/
Audio</v>
      </c>
      <c r="W1207" t="str">
        <f t="shared" si="108"/>
        <v>Speech, Language Pathway/
Audio</v>
      </c>
    </row>
    <row r="1208" spans="1:23" x14ac:dyDescent="0.25">
      <c r="A1208">
        <v>17409</v>
      </c>
      <c r="B1208" t="s">
        <v>1326</v>
      </c>
      <c r="C1208">
        <v>1.6120000000000001</v>
      </c>
      <c r="D1208" t="s">
        <v>1264</v>
      </c>
      <c r="E1208">
        <v>100263</v>
      </c>
      <c r="F1208">
        <v>17409</v>
      </c>
      <c r="G1208" t="str">
        <f t="shared" si="106"/>
        <v>17409</v>
      </c>
      <c r="H1208" t="s">
        <v>404</v>
      </c>
      <c r="I1208" t="s">
        <v>1265</v>
      </c>
      <c r="J1208" t="s">
        <v>1271</v>
      </c>
      <c r="K1208" t="s">
        <v>1272</v>
      </c>
      <c r="L1208" t="s">
        <v>1326</v>
      </c>
      <c r="M1208" t="s">
        <v>1353</v>
      </c>
      <c r="N1208">
        <v>21</v>
      </c>
      <c r="O1208" t="str">
        <f t="shared" si="109"/>
        <v>45</v>
      </c>
      <c r="P1208">
        <v>45</v>
      </c>
      <c r="R1208" t="s">
        <v>1269</v>
      </c>
      <c r="S1208">
        <v>1.6120000000000001</v>
      </c>
      <c r="T1208">
        <v>0.2366</v>
      </c>
      <c r="U1208">
        <f t="shared" si="110"/>
        <v>0.38100000000000001</v>
      </c>
      <c r="V1208" t="str">
        <f t="shared" si="107"/>
        <v>High Speech, Language Pathway/
Audio</v>
      </c>
      <c r="W1208" t="str">
        <f t="shared" si="108"/>
        <v>Speech, Language Pathway/
Audio</v>
      </c>
    </row>
    <row r="1209" spans="1:23" x14ac:dyDescent="0.25">
      <c r="A1209">
        <v>17409</v>
      </c>
      <c r="B1209" t="s">
        <v>1312</v>
      </c>
      <c r="C1209">
        <v>1.1000000000000001</v>
      </c>
      <c r="D1209" t="s">
        <v>1264</v>
      </c>
      <c r="E1209">
        <v>100263</v>
      </c>
      <c r="F1209">
        <v>17409</v>
      </c>
      <c r="G1209" t="str">
        <f t="shared" si="106"/>
        <v>17409</v>
      </c>
      <c r="H1209" t="s">
        <v>404</v>
      </c>
      <c r="I1209" t="s">
        <v>1265</v>
      </c>
      <c r="J1209" t="s">
        <v>1266</v>
      </c>
      <c r="K1209" t="s">
        <v>1267</v>
      </c>
      <c r="L1209" t="s">
        <v>1312</v>
      </c>
      <c r="M1209" t="s">
        <v>1351</v>
      </c>
      <c r="N1209">
        <v>21</v>
      </c>
      <c r="O1209" t="str">
        <f t="shared" si="109"/>
        <v>45</v>
      </c>
      <c r="P1209">
        <v>45</v>
      </c>
      <c r="R1209" t="s">
        <v>1269</v>
      </c>
      <c r="S1209">
        <v>1.1000000000000001</v>
      </c>
      <c r="T1209">
        <v>0.2366</v>
      </c>
      <c r="U1209">
        <f t="shared" si="110"/>
        <v>0.26</v>
      </c>
      <c r="V1209" t="str">
        <f t="shared" si="107"/>
        <v>Middle Speech, Language Pathway/
Audio</v>
      </c>
      <c r="W1209" t="str">
        <f t="shared" si="108"/>
        <v>Speech, Language Pathway/
Audio</v>
      </c>
    </row>
    <row r="1210" spans="1:23" x14ac:dyDescent="0.25">
      <c r="A1210">
        <v>17409</v>
      </c>
      <c r="B1210" t="s">
        <v>1298</v>
      </c>
      <c r="C1210">
        <v>5.3029999999999999</v>
      </c>
      <c r="D1210" t="s">
        <v>1264</v>
      </c>
      <c r="E1210">
        <v>100263</v>
      </c>
      <c r="F1210">
        <v>17409</v>
      </c>
      <c r="G1210" t="str">
        <f t="shared" si="106"/>
        <v>17409</v>
      </c>
      <c r="H1210" t="s">
        <v>404</v>
      </c>
      <c r="I1210" t="s">
        <v>1265</v>
      </c>
      <c r="J1210" t="s">
        <v>1276</v>
      </c>
      <c r="K1210" t="s">
        <v>1277</v>
      </c>
      <c r="L1210" t="s">
        <v>1298</v>
      </c>
      <c r="M1210" t="s">
        <v>1349</v>
      </c>
      <c r="N1210">
        <v>21</v>
      </c>
      <c r="O1210" t="str">
        <f t="shared" si="109"/>
        <v>46</v>
      </c>
      <c r="P1210">
        <v>46</v>
      </c>
      <c r="R1210" t="s">
        <v>1269</v>
      </c>
      <c r="S1210">
        <v>5.3029999999999999</v>
      </c>
      <c r="T1210">
        <v>0.2366</v>
      </c>
      <c r="U1210">
        <f t="shared" si="110"/>
        <v>1.2549999999999999</v>
      </c>
      <c r="V1210" t="str">
        <f t="shared" si="107"/>
        <v>Elementary Psychologist</v>
      </c>
      <c r="W1210" t="str">
        <f t="shared" si="108"/>
        <v>Psychologist</v>
      </c>
    </row>
    <row r="1211" spans="1:23" x14ac:dyDescent="0.25">
      <c r="A1211">
        <v>17409</v>
      </c>
      <c r="B1211" t="s">
        <v>1309</v>
      </c>
      <c r="C1211">
        <v>2</v>
      </c>
      <c r="D1211" t="s">
        <v>1264</v>
      </c>
      <c r="E1211">
        <v>100263</v>
      </c>
      <c r="F1211">
        <v>17409</v>
      </c>
      <c r="G1211" t="str">
        <f t="shared" si="106"/>
        <v>17409</v>
      </c>
      <c r="H1211" t="s">
        <v>404</v>
      </c>
      <c r="I1211" t="s">
        <v>1265</v>
      </c>
      <c r="J1211" t="s">
        <v>1271</v>
      </c>
      <c r="K1211" t="s">
        <v>1272</v>
      </c>
      <c r="L1211" t="s">
        <v>1309</v>
      </c>
      <c r="M1211" t="s">
        <v>1310</v>
      </c>
      <c r="N1211">
        <v>21</v>
      </c>
      <c r="O1211" t="str">
        <f t="shared" si="109"/>
        <v>46</v>
      </c>
      <c r="P1211">
        <v>46</v>
      </c>
      <c r="R1211" t="s">
        <v>1269</v>
      </c>
      <c r="S1211">
        <v>2</v>
      </c>
      <c r="T1211">
        <v>0.2366</v>
      </c>
      <c r="U1211">
        <f t="shared" si="110"/>
        <v>0.47299999999999998</v>
      </c>
      <c r="V1211" t="str">
        <f t="shared" si="107"/>
        <v>High Psychologist</v>
      </c>
      <c r="W1211" t="str">
        <f t="shared" si="108"/>
        <v>Psychologist</v>
      </c>
    </row>
    <row r="1212" spans="1:23" x14ac:dyDescent="0.25">
      <c r="A1212">
        <v>17409</v>
      </c>
      <c r="B1212" t="s">
        <v>1345</v>
      </c>
      <c r="C1212">
        <v>0.67</v>
      </c>
      <c r="D1212" t="s">
        <v>1264</v>
      </c>
      <c r="E1212">
        <v>100263</v>
      </c>
      <c r="F1212">
        <v>17409</v>
      </c>
      <c r="G1212" t="str">
        <f t="shared" si="106"/>
        <v>17409</v>
      </c>
      <c r="H1212" t="s">
        <v>404</v>
      </c>
      <c r="I1212" t="s">
        <v>1265</v>
      </c>
      <c r="J1212" t="s">
        <v>1266</v>
      </c>
      <c r="K1212" t="s">
        <v>1267</v>
      </c>
      <c r="L1212" t="s">
        <v>1345</v>
      </c>
      <c r="M1212" t="s">
        <v>1346</v>
      </c>
      <c r="N1212">
        <v>21</v>
      </c>
      <c r="O1212" t="str">
        <f t="shared" si="109"/>
        <v>46</v>
      </c>
      <c r="P1212">
        <v>46</v>
      </c>
      <c r="R1212" t="s">
        <v>1269</v>
      </c>
      <c r="S1212">
        <v>0.67</v>
      </c>
      <c r="T1212">
        <v>0.2366</v>
      </c>
      <c r="U1212">
        <f t="shared" si="110"/>
        <v>0.159</v>
      </c>
      <c r="V1212" t="str">
        <f t="shared" si="107"/>
        <v>Middle Psychologist</v>
      </c>
      <c r="W1212" t="str">
        <f t="shared" si="108"/>
        <v>Psychologist</v>
      </c>
    </row>
    <row r="1213" spans="1:23" x14ac:dyDescent="0.25">
      <c r="A1213">
        <v>17409</v>
      </c>
      <c r="B1213" t="s">
        <v>1335</v>
      </c>
      <c r="C1213">
        <v>1.06</v>
      </c>
      <c r="D1213" t="s">
        <v>1264</v>
      </c>
      <c r="E1213">
        <v>100263</v>
      </c>
      <c r="F1213">
        <v>17409</v>
      </c>
      <c r="G1213" t="str">
        <f t="shared" si="106"/>
        <v>17409</v>
      </c>
      <c r="H1213" t="s">
        <v>404</v>
      </c>
      <c r="I1213" t="s">
        <v>1265</v>
      </c>
      <c r="J1213" t="s">
        <v>1276</v>
      </c>
      <c r="K1213" t="s">
        <v>1277</v>
      </c>
      <c r="L1213" t="s">
        <v>1335</v>
      </c>
      <c r="M1213" t="s">
        <v>1344</v>
      </c>
      <c r="N1213">
        <v>1</v>
      </c>
      <c r="O1213" t="str">
        <f t="shared" si="109"/>
        <v>47</v>
      </c>
      <c r="P1213">
        <v>47</v>
      </c>
      <c r="R1213" t="s">
        <v>1269</v>
      </c>
      <c r="S1213">
        <v>1.06</v>
      </c>
      <c r="T1213">
        <v>0.2366</v>
      </c>
      <c r="U1213">
        <f t="shared" si="110"/>
        <v>0</v>
      </c>
      <c r="V1213" t="str">
        <f t="shared" si="107"/>
        <v>Elementary Nurse</v>
      </c>
      <c r="W1213" t="str">
        <f t="shared" si="108"/>
        <v>Nurse</v>
      </c>
    </row>
    <row r="1214" spans="1:23" x14ac:dyDescent="0.25">
      <c r="A1214">
        <v>17409</v>
      </c>
      <c r="B1214" t="s">
        <v>1341</v>
      </c>
      <c r="C1214">
        <v>0.52</v>
      </c>
      <c r="D1214" t="s">
        <v>1264</v>
      </c>
      <c r="E1214">
        <v>100263</v>
      </c>
      <c r="F1214">
        <v>17409</v>
      </c>
      <c r="G1214" t="str">
        <f t="shared" si="106"/>
        <v>17409</v>
      </c>
      <c r="H1214" t="s">
        <v>404</v>
      </c>
      <c r="I1214" t="s">
        <v>1265</v>
      </c>
      <c r="J1214" t="s">
        <v>1271</v>
      </c>
      <c r="K1214" t="s">
        <v>1272</v>
      </c>
      <c r="L1214" t="s">
        <v>1341</v>
      </c>
      <c r="M1214" t="s">
        <v>1342</v>
      </c>
      <c r="N1214">
        <v>1</v>
      </c>
      <c r="O1214" t="str">
        <f t="shared" si="109"/>
        <v>47</v>
      </c>
      <c r="P1214">
        <v>47</v>
      </c>
      <c r="R1214" t="s">
        <v>1269</v>
      </c>
      <c r="S1214">
        <v>0.52</v>
      </c>
      <c r="T1214">
        <v>0.2366</v>
      </c>
      <c r="U1214">
        <f t="shared" si="110"/>
        <v>0</v>
      </c>
      <c r="V1214" t="str">
        <f t="shared" si="107"/>
        <v>High Nurse</v>
      </c>
      <c r="W1214" t="str">
        <f t="shared" si="108"/>
        <v>Nurse</v>
      </c>
    </row>
    <row r="1215" spans="1:23" x14ac:dyDescent="0.25">
      <c r="A1215">
        <v>17409</v>
      </c>
      <c r="B1215" t="s">
        <v>1338</v>
      </c>
      <c r="C1215">
        <v>0.32</v>
      </c>
      <c r="D1215" t="s">
        <v>1264</v>
      </c>
      <c r="E1215">
        <v>100263</v>
      </c>
      <c r="F1215">
        <v>17409</v>
      </c>
      <c r="G1215" t="str">
        <f t="shared" si="106"/>
        <v>17409</v>
      </c>
      <c r="H1215" t="s">
        <v>404</v>
      </c>
      <c r="I1215" t="s">
        <v>1265</v>
      </c>
      <c r="J1215" t="s">
        <v>1266</v>
      </c>
      <c r="K1215" t="s">
        <v>1267</v>
      </c>
      <c r="L1215" t="s">
        <v>1338</v>
      </c>
      <c r="M1215" t="s">
        <v>1339</v>
      </c>
      <c r="N1215">
        <v>1</v>
      </c>
      <c r="O1215" t="str">
        <f t="shared" si="109"/>
        <v>47</v>
      </c>
      <c r="P1215">
        <v>47</v>
      </c>
      <c r="R1215" t="s">
        <v>1269</v>
      </c>
      <c r="S1215">
        <v>0.32</v>
      </c>
      <c r="T1215">
        <v>0.2366</v>
      </c>
      <c r="U1215">
        <f t="shared" si="110"/>
        <v>0</v>
      </c>
      <c r="V1215" t="str">
        <f t="shared" si="107"/>
        <v>Middle Nurse</v>
      </c>
      <c r="W1215" t="str">
        <f t="shared" si="108"/>
        <v>Nurse</v>
      </c>
    </row>
    <row r="1216" spans="1:23" x14ac:dyDescent="0.25">
      <c r="A1216">
        <v>17409</v>
      </c>
      <c r="B1216" t="s">
        <v>1302</v>
      </c>
      <c r="C1216">
        <v>0.66</v>
      </c>
      <c r="D1216" t="s">
        <v>1264</v>
      </c>
      <c r="E1216">
        <v>100263</v>
      </c>
      <c r="F1216">
        <v>17409</v>
      </c>
      <c r="G1216" t="str">
        <f t="shared" si="106"/>
        <v>17409</v>
      </c>
      <c r="H1216" t="s">
        <v>404</v>
      </c>
      <c r="I1216" t="s">
        <v>1265</v>
      </c>
      <c r="J1216" t="s">
        <v>1276</v>
      </c>
      <c r="K1216" t="s">
        <v>1277</v>
      </c>
      <c r="L1216" t="s">
        <v>1302</v>
      </c>
      <c r="M1216" t="s">
        <v>1336</v>
      </c>
      <c r="N1216">
        <v>21</v>
      </c>
      <c r="O1216" t="str">
        <f t="shared" si="109"/>
        <v>48</v>
      </c>
      <c r="P1216">
        <v>48</v>
      </c>
      <c r="R1216" t="s">
        <v>1269</v>
      </c>
      <c r="S1216">
        <v>0.66</v>
      </c>
      <c r="T1216">
        <v>0.2366</v>
      </c>
      <c r="U1216">
        <f t="shared" si="110"/>
        <v>0.156</v>
      </c>
      <c r="V1216" t="str">
        <f t="shared" si="107"/>
        <v>Elementary Physical Therapist</v>
      </c>
      <c r="W1216" t="str">
        <f t="shared" si="108"/>
        <v>Physical Therapist</v>
      </c>
    </row>
    <row r="1217" spans="1:23" x14ac:dyDescent="0.25">
      <c r="A1217">
        <v>17409</v>
      </c>
      <c r="B1217" t="s">
        <v>1330</v>
      </c>
      <c r="C1217">
        <v>0.26</v>
      </c>
      <c r="D1217" t="s">
        <v>1264</v>
      </c>
      <c r="E1217">
        <v>100263</v>
      </c>
      <c r="F1217">
        <v>17409</v>
      </c>
      <c r="G1217" t="str">
        <f t="shared" si="106"/>
        <v>17409</v>
      </c>
      <c r="H1217" t="s">
        <v>404</v>
      </c>
      <c r="I1217" t="s">
        <v>1265</v>
      </c>
      <c r="J1217" t="s">
        <v>1271</v>
      </c>
      <c r="K1217" t="s">
        <v>1272</v>
      </c>
      <c r="L1217" t="s">
        <v>1330</v>
      </c>
      <c r="M1217" t="s">
        <v>1367</v>
      </c>
      <c r="N1217">
        <v>21</v>
      </c>
      <c r="O1217" t="str">
        <f t="shared" si="109"/>
        <v>48</v>
      </c>
      <c r="P1217">
        <v>48</v>
      </c>
      <c r="R1217" t="s">
        <v>1269</v>
      </c>
      <c r="S1217">
        <v>0.26</v>
      </c>
      <c r="T1217">
        <v>0.2366</v>
      </c>
      <c r="U1217">
        <f t="shared" si="110"/>
        <v>6.2E-2</v>
      </c>
      <c r="V1217" t="str">
        <f t="shared" si="107"/>
        <v>High Physical Therapist</v>
      </c>
      <c r="W1217" t="str">
        <f t="shared" si="108"/>
        <v>Physical Therapist</v>
      </c>
    </row>
    <row r="1218" spans="1:23" x14ac:dyDescent="0.25">
      <c r="A1218">
        <v>17409</v>
      </c>
      <c r="B1218" t="s">
        <v>1316</v>
      </c>
      <c r="C1218">
        <v>0.08</v>
      </c>
      <c r="D1218" t="s">
        <v>1264</v>
      </c>
      <c r="E1218">
        <v>100263</v>
      </c>
      <c r="F1218">
        <v>17409</v>
      </c>
      <c r="G1218" t="str">
        <f t="shared" ref="G1218:G1281" si="111">TEXT(F1218,"00000")</f>
        <v>17409</v>
      </c>
      <c r="H1218" t="s">
        <v>404</v>
      </c>
      <c r="I1218" t="s">
        <v>1265</v>
      </c>
      <c r="J1218" t="s">
        <v>1266</v>
      </c>
      <c r="K1218" t="s">
        <v>1267</v>
      </c>
      <c r="L1218" t="s">
        <v>1316</v>
      </c>
      <c r="M1218" t="s">
        <v>1366</v>
      </c>
      <c r="N1218">
        <v>21</v>
      </c>
      <c r="O1218" t="str">
        <f t="shared" si="109"/>
        <v>48</v>
      </c>
      <c r="P1218">
        <v>48</v>
      </c>
      <c r="R1218" t="s">
        <v>1269</v>
      </c>
      <c r="S1218">
        <v>0.08</v>
      </c>
      <c r="T1218">
        <v>0.2366</v>
      </c>
      <c r="U1218">
        <f t="shared" si="110"/>
        <v>1.9E-2</v>
      </c>
      <c r="V1218" t="str">
        <f t="shared" ref="V1218:V1281" si="112">_xlfn.XLOOKUP(L1218,$BV:$BV,$BT:$BT,,0)</f>
        <v>Middle Physical Therapist</v>
      </c>
      <c r="W1218" t="str">
        <f t="shared" ref="W1218:W1281" si="113">_xlfn.TEXTAFTER(V1218," ")</f>
        <v>Physical Therapist</v>
      </c>
    </row>
    <row r="1219" spans="1:23" x14ac:dyDescent="0.25">
      <c r="A1219">
        <v>17410</v>
      </c>
      <c r="B1219" t="s">
        <v>1286</v>
      </c>
      <c r="C1219">
        <v>0.70799999999999996</v>
      </c>
      <c r="D1219" t="s">
        <v>1264</v>
      </c>
      <c r="E1219">
        <v>100240</v>
      </c>
      <c r="F1219">
        <v>17410</v>
      </c>
      <c r="G1219" t="str">
        <f t="shared" si="111"/>
        <v>17410</v>
      </c>
      <c r="H1219" t="s">
        <v>405</v>
      </c>
      <c r="I1219" t="s">
        <v>1265</v>
      </c>
      <c r="J1219" t="s">
        <v>1271</v>
      </c>
      <c r="K1219" t="s">
        <v>1272</v>
      </c>
      <c r="L1219" t="s">
        <v>1286</v>
      </c>
      <c r="M1219" t="s">
        <v>1287</v>
      </c>
      <c r="N1219">
        <v>1</v>
      </c>
      <c r="O1219" t="str">
        <f t="shared" ref="O1219:O1282" si="114">MID(L1219,3,2)</f>
        <v>24</v>
      </c>
      <c r="P1219">
        <v>96</v>
      </c>
      <c r="Q1219">
        <v>24</v>
      </c>
      <c r="R1219" t="s">
        <v>1269</v>
      </c>
      <c r="S1219">
        <v>0.70799999999999996</v>
      </c>
      <c r="T1219">
        <v>0.23169999999999999</v>
      </c>
      <c r="U1219">
        <f t="shared" ref="U1219:U1282" si="115">IF(N1219=21,ROUND(T1219*S1219,3),0)</f>
        <v>0</v>
      </c>
      <c r="V1219" t="str">
        <f t="shared" si="112"/>
        <v>High Family Engagement Coordinator</v>
      </c>
      <c r="W1219" t="str">
        <f t="shared" si="113"/>
        <v>Family Engagement Coordinator</v>
      </c>
    </row>
    <row r="1220" spans="1:23" x14ac:dyDescent="0.25">
      <c r="A1220">
        <v>17410</v>
      </c>
      <c r="B1220" t="s">
        <v>1299</v>
      </c>
      <c r="C1220">
        <v>6.1740000000000004</v>
      </c>
      <c r="D1220" t="s">
        <v>1264</v>
      </c>
      <c r="E1220">
        <v>100240</v>
      </c>
      <c r="F1220">
        <v>17410</v>
      </c>
      <c r="G1220" t="str">
        <f t="shared" si="111"/>
        <v>17410</v>
      </c>
      <c r="H1220" t="s">
        <v>405</v>
      </c>
      <c r="I1220" t="s">
        <v>1265</v>
      </c>
      <c r="J1220" t="s">
        <v>1271</v>
      </c>
      <c r="K1220" t="s">
        <v>1272</v>
      </c>
      <c r="L1220" t="s">
        <v>1299</v>
      </c>
      <c r="M1220" t="s">
        <v>1300</v>
      </c>
      <c r="N1220">
        <v>1</v>
      </c>
      <c r="O1220" t="str">
        <f t="shared" si="114"/>
        <v>25</v>
      </c>
      <c r="Q1220">
        <v>25</v>
      </c>
      <c r="R1220" t="s">
        <v>1269</v>
      </c>
      <c r="S1220">
        <v>6.1740000000000004</v>
      </c>
      <c r="T1220">
        <v>0.23169999999999999</v>
      </c>
      <c r="U1220">
        <f t="shared" si="115"/>
        <v>0</v>
      </c>
      <c r="V1220" t="str">
        <f t="shared" si="112"/>
        <v>High Pupil Management</v>
      </c>
      <c r="W1220" t="str">
        <f t="shared" si="113"/>
        <v>Pupil Management</v>
      </c>
    </row>
    <row r="1221" spans="1:23" x14ac:dyDescent="0.25">
      <c r="A1221">
        <v>17410</v>
      </c>
      <c r="B1221" t="s">
        <v>1324</v>
      </c>
      <c r="C1221">
        <v>2.452</v>
      </c>
      <c r="D1221" t="s">
        <v>1264</v>
      </c>
      <c r="E1221">
        <v>100240</v>
      </c>
      <c r="F1221">
        <v>17410</v>
      </c>
      <c r="G1221" t="str">
        <f t="shared" si="111"/>
        <v>17410</v>
      </c>
      <c r="H1221" t="s">
        <v>405</v>
      </c>
      <c r="I1221" t="s">
        <v>1265</v>
      </c>
      <c r="J1221" t="s">
        <v>1271</v>
      </c>
      <c r="K1221" t="s">
        <v>1272</v>
      </c>
      <c r="L1221" t="s">
        <v>1324</v>
      </c>
      <c r="M1221" t="s">
        <v>1325</v>
      </c>
      <c r="N1221">
        <v>21</v>
      </c>
      <c r="O1221" t="str">
        <f t="shared" si="114"/>
        <v>26</v>
      </c>
      <c r="Q1221">
        <v>26</v>
      </c>
      <c r="R1221" t="s">
        <v>1269</v>
      </c>
      <c r="S1221">
        <v>2.452</v>
      </c>
      <c r="T1221">
        <v>0.23169999999999999</v>
      </c>
      <c r="U1221">
        <f t="shared" si="115"/>
        <v>0.56799999999999995</v>
      </c>
      <c r="V1221" t="str">
        <f t="shared" si="112"/>
        <v>High Health/
Related Services</v>
      </c>
      <c r="W1221" t="str">
        <f t="shared" si="113"/>
        <v>Health/
Related Services</v>
      </c>
    </row>
    <row r="1222" spans="1:23" x14ac:dyDescent="0.25">
      <c r="A1222">
        <v>17410</v>
      </c>
      <c r="B1222" t="s">
        <v>1295</v>
      </c>
      <c r="C1222">
        <v>1.4430000000000001</v>
      </c>
      <c r="D1222" t="s">
        <v>1264</v>
      </c>
      <c r="E1222">
        <v>100240</v>
      </c>
      <c r="F1222">
        <v>17410</v>
      </c>
      <c r="G1222" t="str">
        <f t="shared" si="111"/>
        <v>17410</v>
      </c>
      <c r="H1222" t="s">
        <v>405</v>
      </c>
      <c r="I1222" t="s">
        <v>1265</v>
      </c>
      <c r="J1222" t="s">
        <v>1271</v>
      </c>
      <c r="K1222" t="s">
        <v>1272</v>
      </c>
      <c r="L1222" t="s">
        <v>1295</v>
      </c>
      <c r="M1222" t="s">
        <v>1296</v>
      </c>
      <c r="N1222">
        <v>1</v>
      </c>
      <c r="O1222" t="str">
        <f t="shared" si="114"/>
        <v>26</v>
      </c>
      <c r="Q1222">
        <v>26</v>
      </c>
      <c r="R1222" t="s">
        <v>1269</v>
      </c>
      <c r="S1222">
        <v>1.4430000000000001</v>
      </c>
      <c r="T1222">
        <v>0.23169999999999999</v>
      </c>
      <c r="U1222">
        <f t="shared" si="115"/>
        <v>0</v>
      </c>
      <c r="V1222" t="str">
        <f t="shared" si="112"/>
        <v>High Health/
Related Services</v>
      </c>
      <c r="W1222" t="str">
        <f t="shared" si="113"/>
        <v>Health/
Related Services</v>
      </c>
    </row>
    <row r="1223" spans="1:23" x14ac:dyDescent="0.25">
      <c r="A1223">
        <v>17410</v>
      </c>
      <c r="B1223" t="s">
        <v>1275</v>
      </c>
      <c r="C1223">
        <v>8.75</v>
      </c>
      <c r="D1223" t="s">
        <v>1264</v>
      </c>
      <c r="E1223">
        <v>100240</v>
      </c>
      <c r="F1223">
        <v>17410</v>
      </c>
      <c r="G1223" t="str">
        <f t="shared" si="111"/>
        <v>17410</v>
      </c>
      <c r="H1223" t="s">
        <v>405</v>
      </c>
      <c r="I1223" t="s">
        <v>1265</v>
      </c>
      <c r="J1223" t="s">
        <v>1276</v>
      </c>
      <c r="K1223" t="s">
        <v>1277</v>
      </c>
      <c r="L1223" t="s">
        <v>1275</v>
      </c>
      <c r="M1223" t="s">
        <v>1278</v>
      </c>
      <c r="N1223">
        <v>1</v>
      </c>
      <c r="O1223" t="str">
        <f t="shared" si="114"/>
        <v>42</v>
      </c>
      <c r="P1223">
        <v>42</v>
      </c>
      <c r="R1223" t="s">
        <v>1269</v>
      </c>
      <c r="S1223">
        <v>8.75</v>
      </c>
      <c r="T1223">
        <v>0.23169999999999999</v>
      </c>
      <c r="U1223">
        <f t="shared" si="115"/>
        <v>0</v>
      </c>
      <c r="V1223" t="str">
        <f t="shared" si="112"/>
        <v>Elementary Counselor</v>
      </c>
      <c r="W1223" t="str">
        <f t="shared" si="113"/>
        <v>Counselor</v>
      </c>
    </row>
    <row r="1224" spans="1:23" x14ac:dyDescent="0.25">
      <c r="A1224">
        <v>17410</v>
      </c>
      <c r="B1224" t="s">
        <v>1270</v>
      </c>
      <c r="C1224">
        <v>4.12</v>
      </c>
      <c r="D1224" t="s">
        <v>1264</v>
      </c>
      <c r="E1224">
        <v>100240</v>
      </c>
      <c r="F1224">
        <v>17410</v>
      </c>
      <c r="G1224" t="str">
        <f t="shared" si="111"/>
        <v>17410</v>
      </c>
      <c r="H1224" t="s">
        <v>405</v>
      </c>
      <c r="I1224" t="s">
        <v>1265</v>
      </c>
      <c r="J1224" t="s">
        <v>1271</v>
      </c>
      <c r="K1224" t="s">
        <v>1272</v>
      </c>
      <c r="L1224" t="s">
        <v>1270</v>
      </c>
      <c r="M1224" t="s">
        <v>1273</v>
      </c>
      <c r="N1224">
        <v>1</v>
      </c>
      <c r="O1224" t="str">
        <f t="shared" si="114"/>
        <v>42</v>
      </c>
      <c r="P1224">
        <v>42</v>
      </c>
      <c r="R1224" t="s">
        <v>1269</v>
      </c>
      <c r="S1224">
        <v>4.12</v>
      </c>
      <c r="T1224">
        <v>0.23169999999999999</v>
      </c>
      <c r="U1224">
        <f t="shared" si="115"/>
        <v>0</v>
      </c>
      <c r="V1224" t="str">
        <f t="shared" si="112"/>
        <v>High Counselor</v>
      </c>
      <c r="W1224" t="str">
        <f t="shared" si="113"/>
        <v>Counselor</v>
      </c>
    </row>
    <row r="1225" spans="1:23" x14ac:dyDescent="0.25">
      <c r="A1225">
        <v>17410</v>
      </c>
      <c r="B1225" t="s">
        <v>1263</v>
      </c>
      <c r="C1225">
        <v>3.25</v>
      </c>
      <c r="D1225" t="s">
        <v>1264</v>
      </c>
      <c r="E1225">
        <v>100240</v>
      </c>
      <c r="F1225">
        <v>17410</v>
      </c>
      <c r="G1225" t="str">
        <f t="shared" si="111"/>
        <v>17410</v>
      </c>
      <c r="H1225" t="s">
        <v>405</v>
      </c>
      <c r="I1225" t="s">
        <v>1265</v>
      </c>
      <c r="J1225" t="s">
        <v>1266</v>
      </c>
      <c r="K1225" t="s">
        <v>1267</v>
      </c>
      <c r="L1225" t="s">
        <v>1263</v>
      </c>
      <c r="M1225" t="s">
        <v>1268</v>
      </c>
      <c r="N1225">
        <v>1</v>
      </c>
      <c r="O1225" t="str">
        <f t="shared" si="114"/>
        <v>42</v>
      </c>
      <c r="P1225">
        <v>42</v>
      </c>
      <c r="R1225" t="s">
        <v>1269</v>
      </c>
      <c r="S1225">
        <v>3.25</v>
      </c>
      <c r="T1225">
        <v>0.23169999999999999</v>
      </c>
      <c r="U1225">
        <f t="shared" si="115"/>
        <v>0</v>
      </c>
      <c r="V1225" t="str">
        <f t="shared" si="112"/>
        <v>Middle Counselor</v>
      </c>
      <c r="W1225" t="str">
        <f t="shared" si="113"/>
        <v>Counselor</v>
      </c>
    </row>
    <row r="1226" spans="1:23" x14ac:dyDescent="0.25">
      <c r="A1226">
        <v>17410</v>
      </c>
      <c r="B1226" t="s">
        <v>1289</v>
      </c>
      <c r="C1226">
        <v>2.206</v>
      </c>
      <c r="D1226" t="s">
        <v>1264</v>
      </c>
      <c r="E1226">
        <v>100240</v>
      </c>
      <c r="F1226">
        <v>17410</v>
      </c>
      <c r="G1226" t="str">
        <f t="shared" si="111"/>
        <v>17410</v>
      </c>
      <c r="H1226" t="s">
        <v>405</v>
      </c>
      <c r="I1226" t="s">
        <v>1265</v>
      </c>
      <c r="J1226" t="s">
        <v>1276</v>
      </c>
      <c r="K1226" t="s">
        <v>1277</v>
      </c>
      <c r="L1226" t="s">
        <v>1289</v>
      </c>
      <c r="M1226" t="s">
        <v>1307</v>
      </c>
      <c r="N1226">
        <v>21</v>
      </c>
      <c r="O1226" t="str">
        <f t="shared" si="114"/>
        <v>43</v>
      </c>
      <c r="P1226">
        <v>43</v>
      </c>
      <c r="R1226" t="s">
        <v>1269</v>
      </c>
      <c r="S1226">
        <v>2.206</v>
      </c>
      <c r="T1226">
        <v>0.23169999999999999</v>
      </c>
      <c r="U1226">
        <f t="shared" si="115"/>
        <v>0.51100000000000001</v>
      </c>
      <c r="V1226" t="str">
        <f t="shared" si="112"/>
        <v>Elementary Occupational Therapist</v>
      </c>
      <c r="W1226" t="str">
        <f t="shared" si="113"/>
        <v>Occupational Therapist</v>
      </c>
    </row>
    <row r="1227" spans="1:23" x14ac:dyDescent="0.25">
      <c r="A1227">
        <v>17410</v>
      </c>
      <c r="B1227" t="s">
        <v>1387</v>
      </c>
      <c r="C1227">
        <v>0.93500000000000005</v>
      </c>
      <c r="D1227" t="s">
        <v>1264</v>
      </c>
      <c r="E1227">
        <v>100240</v>
      </c>
      <c r="F1227">
        <v>17410</v>
      </c>
      <c r="G1227" t="str">
        <f t="shared" si="111"/>
        <v>17410</v>
      </c>
      <c r="H1227" t="s">
        <v>405</v>
      </c>
      <c r="I1227" t="s">
        <v>1265</v>
      </c>
      <c r="J1227" t="s">
        <v>1271</v>
      </c>
      <c r="K1227" t="s">
        <v>1272</v>
      </c>
      <c r="L1227" t="s">
        <v>1387</v>
      </c>
      <c r="M1227" t="s">
        <v>1406</v>
      </c>
      <c r="N1227">
        <v>21</v>
      </c>
      <c r="O1227" t="str">
        <f t="shared" si="114"/>
        <v>43</v>
      </c>
      <c r="P1227">
        <v>43</v>
      </c>
      <c r="R1227" t="s">
        <v>1269</v>
      </c>
      <c r="S1227">
        <v>0.93500000000000005</v>
      </c>
      <c r="T1227">
        <v>0.23169999999999999</v>
      </c>
      <c r="U1227">
        <f t="shared" si="115"/>
        <v>0.217</v>
      </c>
      <c r="V1227" t="str">
        <f t="shared" si="112"/>
        <v>High Occupational Therapist</v>
      </c>
      <c r="W1227" t="str">
        <f t="shared" si="113"/>
        <v>Occupational Therapist</v>
      </c>
    </row>
    <row r="1228" spans="1:23" x14ac:dyDescent="0.25">
      <c r="A1228">
        <v>17410</v>
      </c>
      <c r="B1228" t="s">
        <v>1303</v>
      </c>
      <c r="C1228">
        <v>0.59899999999999998</v>
      </c>
      <c r="D1228" t="s">
        <v>1264</v>
      </c>
      <c r="E1228">
        <v>100240</v>
      </c>
      <c r="F1228">
        <v>17410</v>
      </c>
      <c r="G1228" t="str">
        <f t="shared" si="111"/>
        <v>17410</v>
      </c>
      <c r="H1228" t="s">
        <v>405</v>
      </c>
      <c r="I1228" t="s">
        <v>1265</v>
      </c>
      <c r="J1228" t="s">
        <v>1266</v>
      </c>
      <c r="K1228" t="s">
        <v>1267</v>
      </c>
      <c r="L1228" t="s">
        <v>1303</v>
      </c>
      <c r="M1228" t="s">
        <v>1304</v>
      </c>
      <c r="N1228">
        <v>21</v>
      </c>
      <c r="O1228" t="str">
        <f t="shared" si="114"/>
        <v>43</v>
      </c>
      <c r="P1228">
        <v>43</v>
      </c>
      <c r="R1228" t="s">
        <v>1269</v>
      </c>
      <c r="S1228">
        <v>0.59899999999999998</v>
      </c>
      <c r="T1228">
        <v>0.23169999999999999</v>
      </c>
      <c r="U1228">
        <f t="shared" si="115"/>
        <v>0.13900000000000001</v>
      </c>
      <c r="V1228" t="str">
        <f t="shared" si="112"/>
        <v>Middle Occupational Therapist</v>
      </c>
      <c r="W1228" t="str">
        <f t="shared" si="113"/>
        <v>Occupational Therapist</v>
      </c>
    </row>
    <row r="1229" spans="1:23" x14ac:dyDescent="0.25">
      <c r="A1229">
        <v>17410</v>
      </c>
      <c r="B1229" t="s">
        <v>1331</v>
      </c>
      <c r="C1229">
        <v>1.7</v>
      </c>
      <c r="D1229" t="s">
        <v>1264</v>
      </c>
      <c r="E1229">
        <v>100240</v>
      </c>
      <c r="F1229">
        <v>17410</v>
      </c>
      <c r="G1229" t="str">
        <f t="shared" si="111"/>
        <v>17410</v>
      </c>
      <c r="H1229" t="s">
        <v>405</v>
      </c>
      <c r="I1229" t="s">
        <v>1265</v>
      </c>
      <c r="J1229" t="s">
        <v>1276</v>
      </c>
      <c r="K1229" t="s">
        <v>1277</v>
      </c>
      <c r="L1229" t="s">
        <v>1331</v>
      </c>
      <c r="M1229" t="s">
        <v>1405</v>
      </c>
      <c r="N1229">
        <v>1</v>
      </c>
      <c r="O1229" t="str">
        <f t="shared" si="114"/>
        <v>44</v>
      </c>
      <c r="P1229">
        <v>44</v>
      </c>
      <c r="R1229" t="s">
        <v>1269</v>
      </c>
      <c r="S1229">
        <v>1.7</v>
      </c>
      <c r="T1229">
        <v>0.23169999999999999</v>
      </c>
      <c r="U1229">
        <f t="shared" si="115"/>
        <v>0</v>
      </c>
      <c r="V1229" t="str">
        <f t="shared" si="112"/>
        <v>Elementary Social Worker</v>
      </c>
      <c r="W1229" t="str">
        <f t="shared" si="113"/>
        <v>Social Worker</v>
      </c>
    </row>
    <row r="1230" spans="1:23" x14ac:dyDescent="0.25">
      <c r="A1230">
        <v>17410</v>
      </c>
      <c r="B1230" t="s">
        <v>1359</v>
      </c>
      <c r="C1230">
        <v>1</v>
      </c>
      <c r="D1230" t="s">
        <v>1264</v>
      </c>
      <c r="E1230">
        <v>100240</v>
      </c>
      <c r="F1230">
        <v>17410</v>
      </c>
      <c r="G1230" t="str">
        <f t="shared" si="111"/>
        <v>17410</v>
      </c>
      <c r="H1230" t="s">
        <v>405</v>
      </c>
      <c r="I1230" t="s">
        <v>1265</v>
      </c>
      <c r="J1230" t="s">
        <v>1271</v>
      </c>
      <c r="K1230" t="s">
        <v>1272</v>
      </c>
      <c r="L1230" t="s">
        <v>1359</v>
      </c>
      <c r="M1230" t="s">
        <v>1360</v>
      </c>
      <c r="N1230">
        <v>1</v>
      </c>
      <c r="O1230" t="str">
        <f t="shared" si="114"/>
        <v>44</v>
      </c>
      <c r="P1230">
        <v>44</v>
      </c>
      <c r="R1230" t="s">
        <v>1269</v>
      </c>
      <c r="S1230">
        <v>1</v>
      </c>
      <c r="T1230">
        <v>0.23169999999999999</v>
      </c>
      <c r="U1230">
        <f t="shared" si="115"/>
        <v>0</v>
      </c>
      <c r="V1230" t="str">
        <f t="shared" si="112"/>
        <v>High Social Worker</v>
      </c>
      <c r="W1230" t="str">
        <f t="shared" si="113"/>
        <v>Social Worker</v>
      </c>
    </row>
    <row r="1231" spans="1:23" x14ac:dyDescent="0.25">
      <c r="A1231">
        <v>17410</v>
      </c>
      <c r="B1231" t="s">
        <v>1356</v>
      </c>
      <c r="C1231">
        <v>1.3</v>
      </c>
      <c r="D1231" t="s">
        <v>1264</v>
      </c>
      <c r="E1231">
        <v>100240</v>
      </c>
      <c r="F1231">
        <v>17410</v>
      </c>
      <c r="G1231" t="str">
        <f t="shared" si="111"/>
        <v>17410</v>
      </c>
      <c r="H1231" t="s">
        <v>405</v>
      </c>
      <c r="I1231" t="s">
        <v>1265</v>
      </c>
      <c r="J1231" t="s">
        <v>1266</v>
      </c>
      <c r="K1231" t="s">
        <v>1267</v>
      </c>
      <c r="L1231" t="s">
        <v>1356</v>
      </c>
      <c r="M1231" t="s">
        <v>1357</v>
      </c>
      <c r="N1231">
        <v>1</v>
      </c>
      <c r="O1231" t="str">
        <f t="shared" si="114"/>
        <v>44</v>
      </c>
      <c r="P1231">
        <v>44</v>
      </c>
      <c r="R1231" t="s">
        <v>1269</v>
      </c>
      <c r="S1231">
        <v>1.3</v>
      </c>
      <c r="T1231">
        <v>0.23169999999999999</v>
      </c>
      <c r="U1231">
        <f t="shared" si="115"/>
        <v>0</v>
      </c>
      <c r="V1231" t="str">
        <f t="shared" si="112"/>
        <v>Middle Social Worker</v>
      </c>
      <c r="W1231" t="str">
        <f t="shared" si="113"/>
        <v>Social Worker</v>
      </c>
    </row>
    <row r="1232" spans="1:23" x14ac:dyDescent="0.25">
      <c r="A1232">
        <v>17410</v>
      </c>
      <c r="B1232" t="s">
        <v>1294</v>
      </c>
      <c r="C1232">
        <v>5.5030000000000001</v>
      </c>
      <c r="D1232" t="s">
        <v>1264</v>
      </c>
      <c r="E1232">
        <v>100240</v>
      </c>
      <c r="F1232">
        <v>17410</v>
      </c>
      <c r="G1232" t="str">
        <f t="shared" si="111"/>
        <v>17410</v>
      </c>
      <c r="H1232" t="s">
        <v>405</v>
      </c>
      <c r="I1232" t="s">
        <v>1265</v>
      </c>
      <c r="J1232" t="s">
        <v>1276</v>
      </c>
      <c r="K1232" t="s">
        <v>1277</v>
      </c>
      <c r="L1232" t="s">
        <v>1294</v>
      </c>
      <c r="M1232" t="s">
        <v>1354</v>
      </c>
      <c r="N1232">
        <v>21</v>
      </c>
      <c r="O1232" t="str">
        <f t="shared" si="114"/>
        <v>45</v>
      </c>
      <c r="P1232">
        <v>45</v>
      </c>
      <c r="R1232" t="s">
        <v>1269</v>
      </c>
      <c r="S1232">
        <v>5.5030000000000001</v>
      </c>
      <c r="T1232">
        <v>0.23169999999999999</v>
      </c>
      <c r="U1232">
        <f t="shared" si="115"/>
        <v>1.2749999999999999</v>
      </c>
      <c r="V1232" t="str">
        <f t="shared" si="112"/>
        <v>Elementary Speech, Language Pathway/
Audio</v>
      </c>
      <c r="W1232" t="str">
        <f t="shared" si="113"/>
        <v>Speech, Language Pathway/
Audio</v>
      </c>
    </row>
    <row r="1233" spans="1:23" x14ac:dyDescent="0.25">
      <c r="A1233">
        <v>17410</v>
      </c>
      <c r="B1233" t="s">
        <v>1326</v>
      </c>
      <c r="C1233">
        <v>3.6</v>
      </c>
      <c r="D1233" t="s">
        <v>1264</v>
      </c>
      <c r="E1233">
        <v>100240</v>
      </c>
      <c r="F1233">
        <v>17410</v>
      </c>
      <c r="G1233" t="str">
        <f t="shared" si="111"/>
        <v>17410</v>
      </c>
      <c r="H1233" t="s">
        <v>405</v>
      </c>
      <c r="I1233" t="s">
        <v>1265</v>
      </c>
      <c r="J1233" t="s">
        <v>1271</v>
      </c>
      <c r="K1233" t="s">
        <v>1272</v>
      </c>
      <c r="L1233" t="s">
        <v>1326</v>
      </c>
      <c r="M1233" t="s">
        <v>1353</v>
      </c>
      <c r="N1233">
        <v>21</v>
      </c>
      <c r="O1233" t="str">
        <f t="shared" si="114"/>
        <v>45</v>
      </c>
      <c r="P1233">
        <v>45</v>
      </c>
      <c r="R1233" t="s">
        <v>1269</v>
      </c>
      <c r="S1233">
        <v>3.6</v>
      </c>
      <c r="T1233">
        <v>0.23169999999999999</v>
      </c>
      <c r="U1233">
        <f t="shared" si="115"/>
        <v>0.83399999999999996</v>
      </c>
      <c r="V1233" t="str">
        <f t="shared" si="112"/>
        <v>High Speech, Language Pathway/
Audio</v>
      </c>
      <c r="W1233" t="str">
        <f t="shared" si="113"/>
        <v>Speech, Language Pathway/
Audio</v>
      </c>
    </row>
    <row r="1234" spans="1:23" x14ac:dyDescent="0.25">
      <c r="A1234">
        <v>17410</v>
      </c>
      <c r="B1234" t="s">
        <v>1298</v>
      </c>
      <c r="C1234">
        <v>8.1720000000000006</v>
      </c>
      <c r="D1234" t="s">
        <v>1264</v>
      </c>
      <c r="E1234">
        <v>100240</v>
      </c>
      <c r="F1234">
        <v>17410</v>
      </c>
      <c r="G1234" t="str">
        <f t="shared" si="111"/>
        <v>17410</v>
      </c>
      <c r="H1234" t="s">
        <v>405</v>
      </c>
      <c r="I1234" t="s">
        <v>1265</v>
      </c>
      <c r="J1234" t="s">
        <v>1276</v>
      </c>
      <c r="K1234" t="s">
        <v>1277</v>
      </c>
      <c r="L1234" t="s">
        <v>1298</v>
      </c>
      <c r="M1234" t="s">
        <v>1349</v>
      </c>
      <c r="N1234">
        <v>21</v>
      </c>
      <c r="O1234" t="str">
        <f t="shared" si="114"/>
        <v>46</v>
      </c>
      <c r="P1234">
        <v>46</v>
      </c>
      <c r="R1234" t="s">
        <v>1269</v>
      </c>
      <c r="S1234">
        <v>8.1720000000000006</v>
      </c>
      <c r="T1234">
        <v>0.23169999999999999</v>
      </c>
      <c r="U1234">
        <f t="shared" si="115"/>
        <v>1.893</v>
      </c>
      <c r="V1234" t="str">
        <f t="shared" si="112"/>
        <v>Elementary Psychologist</v>
      </c>
      <c r="W1234" t="str">
        <f t="shared" si="113"/>
        <v>Psychologist</v>
      </c>
    </row>
    <row r="1235" spans="1:23" x14ac:dyDescent="0.25">
      <c r="A1235">
        <v>17410</v>
      </c>
      <c r="B1235" t="s">
        <v>1345</v>
      </c>
      <c r="C1235">
        <v>1.7010000000000001</v>
      </c>
      <c r="D1235" t="s">
        <v>1264</v>
      </c>
      <c r="E1235">
        <v>100240</v>
      </c>
      <c r="F1235">
        <v>17410</v>
      </c>
      <c r="G1235" t="str">
        <f t="shared" si="111"/>
        <v>17410</v>
      </c>
      <c r="H1235" t="s">
        <v>405</v>
      </c>
      <c r="I1235" t="s">
        <v>1265</v>
      </c>
      <c r="J1235" t="s">
        <v>1266</v>
      </c>
      <c r="K1235" t="s">
        <v>1267</v>
      </c>
      <c r="L1235" t="s">
        <v>1345</v>
      </c>
      <c r="M1235" t="s">
        <v>1346</v>
      </c>
      <c r="N1235">
        <v>21</v>
      </c>
      <c r="O1235" t="str">
        <f t="shared" si="114"/>
        <v>46</v>
      </c>
      <c r="P1235">
        <v>46</v>
      </c>
      <c r="R1235" t="s">
        <v>1269</v>
      </c>
      <c r="S1235">
        <v>1.7010000000000001</v>
      </c>
      <c r="T1235">
        <v>0.23169999999999999</v>
      </c>
      <c r="U1235">
        <f t="shared" si="115"/>
        <v>0.39400000000000002</v>
      </c>
      <c r="V1235" t="str">
        <f t="shared" si="112"/>
        <v>Middle Psychologist</v>
      </c>
      <c r="W1235" t="str">
        <f t="shared" si="113"/>
        <v>Psychologist</v>
      </c>
    </row>
    <row r="1236" spans="1:23" x14ac:dyDescent="0.25">
      <c r="A1236">
        <v>17410</v>
      </c>
      <c r="B1236" t="s">
        <v>1335</v>
      </c>
      <c r="C1236">
        <v>8.9559999999999995</v>
      </c>
      <c r="D1236" t="s">
        <v>1264</v>
      </c>
      <c r="E1236">
        <v>100240</v>
      </c>
      <c r="F1236">
        <v>17410</v>
      </c>
      <c r="G1236" t="str">
        <f t="shared" si="111"/>
        <v>17410</v>
      </c>
      <c r="H1236" t="s">
        <v>405</v>
      </c>
      <c r="I1236" t="s">
        <v>1265</v>
      </c>
      <c r="J1236" t="s">
        <v>1276</v>
      </c>
      <c r="K1236" t="s">
        <v>1277</v>
      </c>
      <c r="L1236" t="s">
        <v>1335</v>
      </c>
      <c r="M1236" t="s">
        <v>1344</v>
      </c>
      <c r="N1236">
        <v>1</v>
      </c>
      <c r="O1236" t="str">
        <f t="shared" si="114"/>
        <v>47</v>
      </c>
      <c r="P1236">
        <v>47</v>
      </c>
      <c r="R1236" t="s">
        <v>1269</v>
      </c>
      <c r="S1236">
        <v>8.9559999999999995</v>
      </c>
      <c r="T1236">
        <v>0.23169999999999999</v>
      </c>
      <c r="U1236">
        <f t="shared" si="115"/>
        <v>0</v>
      </c>
      <c r="V1236" t="str">
        <f t="shared" si="112"/>
        <v>Elementary Nurse</v>
      </c>
      <c r="W1236" t="str">
        <f t="shared" si="113"/>
        <v>Nurse</v>
      </c>
    </row>
    <row r="1237" spans="1:23" x14ac:dyDescent="0.25">
      <c r="A1237">
        <v>17410</v>
      </c>
      <c r="B1237" t="s">
        <v>1341</v>
      </c>
      <c r="C1237">
        <v>1</v>
      </c>
      <c r="D1237" t="s">
        <v>1264</v>
      </c>
      <c r="E1237">
        <v>100240</v>
      </c>
      <c r="F1237">
        <v>17410</v>
      </c>
      <c r="G1237" t="str">
        <f t="shared" si="111"/>
        <v>17410</v>
      </c>
      <c r="H1237" t="s">
        <v>405</v>
      </c>
      <c r="I1237" t="s">
        <v>1265</v>
      </c>
      <c r="J1237" t="s">
        <v>1271</v>
      </c>
      <c r="K1237" t="s">
        <v>1272</v>
      </c>
      <c r="L1237" t="s">
        <v>1341</v>
      </c>
      <c r="M1237" t="s">
        <v>1342</v>
      </c>
      <c r="N1237">
        <v>1</v>
      </c>
      <c r="O1237" t="str">
        <f t="shared" si="114"/>
        <v>47</v>
      </c>
      <c r="P1237">
        <v>47</v>
      </c>
      <c r="R1237" t="s">
        <v>1269</v>
      </c>
      <c r="S1237">
        <v>1</v>
      </c>
      <c r="T1237">
        <v>0.23169999999999999</v>
      </c>
      <c r="U1237">
        <f t="shared" si="115"/>
        <v>0</v>
      </c>
      <c r="V1237" t="str">
        <f t="shared" si="112"/>
        <v>High Nurse</v>
      </c>
      <c r="W1237" t="str">
        <f t="shared" si="113"/>
        <v>Nurse</v>
      </c>
    </row>
    <row r="1238" spans="1:23" x14ac:dyDescent="0.25">
      <c r="A1238">
        <v>17410</v>
      </c>
      <c r="B1238" t="s">
        <v>1338</v>
      </c>
      <c r="C1238">
        <v>0.65</v>
      </c>
      <c r="D1238" t="s">
        <v>1264</v>
      </c>
      <c r="E1238">
        <v>100240</v>
      </c>
      <c r="F1238">
        <v>17410</v>
      </c>
      <c r="G1238" t="str">
        <f t="shared" si="111"/>
        <v>17410</v>
      </c>
      <c r="H1238" t="s">
        <v>405</v>
      </c>
      <c r="I1238" t="s">
        <v>1265</v>
      </c>
      <c r="J1238" t="s">
        <v>1266</v>
      </c>
      <c r="K1238" t="s">
        <v>1267</v>
      </c>
      <c r="L1238" t="s">
        <v>1338</v>
      </c>
      <c r="M1238" t="s">
        <v>1339</v>
      </c>
      <c r="N1238">
        <v>1</v>
      </c>
      <c r="O1238" t="str">
        <f t="shared" si="114"/>
        <v>47</v>
      </c>
      <c r="P1238">
        <v>47</v>
      </c>
      <c r="R1238" t="s">
        <v>1269</v>
      </c>
      <c r="S1238">
        <v>0.65</v>
      </c>
      <c r="T1238">
        <v>0.23169999999999999</v>
      </c>
      <c r="U1238">
        <f t="shared" si="115"/>
        <v>0</v>
      </c>
      <c r="V1238" t="str">
        <f t="shared" si="112"/>
        <v>Middle Nurse</v>
      </c>
      <c r="W1238" t="str">
        <f t="shared" si="113"/>
        <v>Nurse</v>
      </c>
    </row>
    <row r="1239" spans="1:23" x14ac:dyDescent="0.25">
      <c r="A1239">
        <v>17410</v>
      </c>
      <c r="B1239" t="s">
        <v>1302</v>
      </c>
      <c r="C1239">
        <v>0.57999999999999996</v>
      </c>
      <c r="D1239" t="s">
        <v>1264</v>
      </c>
      <c r="E1239">
        <v>100240</v>
      </c>
      <c r="F1239">
        <v>17410</v>
      </c>
      <c r="G1239" t="str">
        <f t="shared" si="111"/>
        <v>17410</v>
      </c>
      <c r="H1239" t="s">
        <v>405</v>
      </c>
      <c r="I1239" t="s">
        <v>1265</v>
      </c>
      <c r="J1239" t="s">
        <v>1276</v>
      </c>
      <c r="K1239" t="s">
        <v>1277</v>
      </c>
      <c r="L1239" t="s">
        <v>1302</v>
      </c>
      <c r="M1239" t="s">
        <v>1336</v>
      </c>
      <c r="N1239">
        <v>21</v>
      </c>
      <c r="O1239" t="str">
        <f t="shared" si="114"/>
        <v>48</v>
      </c>
      <c r="P1239">
        <v>48</v>
      </c>
      <c r="R1239" t="s">
        <v>1269</v>
      </c>
      <c r="S1239">
        <v>0.57999999999999996</v>
      </c>
      <c r="T1239">
        <v>0.23169999999999999</v>
      </c>
      <c r="U1239">
        <f t="shared" si="115"/>
        <v>0.13400000000000001</v>
      </c>
      <c r="V1239" t="str">
        <f t="shared" si="112"/>
        <v>Elementary Physical Therapist</v>
      </c>
      <c r="W1239" t="str">
        <f t="shared" si="113"/>
        <v>Physical Therapist</v>
      </c>
    </row>
    <row r="1240" spans="1:23" x14ac:dyDescent="0.25">
      <c r="A1240">
        <v>17410</v>
      </c>
      <c r="B1240" t="s">
        <v>1330</v>
      </c>
      <c r="C1240">
        <v>0.26</v>
      </c>
      <c r="D1240" t="s">
        <v>1264</v>
      </c>
      <c r="E1240">
        <v>100240</v>
      </c>
      <c r="F1240">
        <v>17410</v>
      </c>
      <c r="G1240" t="str">
        <f t="shared" si="111"/>
        <v>17410</v>
      </c>
      <c r="H1240" t="s">
        <v>405</v>
      </c>
      <c r="I1240" t="s">
        <v>1265</v>
      </c>
      <c r="J1240" t="s">
        <v>1271</v>
      </c>
      <c r="K1240" t="s">
        <v>1272</v>
      </c>
      <c r="L1240" t="s">
        <v>1330</v>
      </c>
      <c r="M1240" t="s">
        <v>1367</v>
      </c>
      <c r="N1240">
        <v>21</v>
      </c>
      <c r="O1240" t="str">
        <f t="shared" si="114"/>
        <v>48</v>
      </c>
      <c r="P1240">
        <v>48</v>
      </c>
      <c r="R1240" t="s">
        <v>1269</v>
      </c>
      <c r="S1240">
        <v>0.26</v>
      </c>
      <c r="T1240">
        <v>0.23169999999999999</v>
      </c>
      <c r="U1240">
        <f t="shared" si="115"/>
        <v>0.06</v>
      </c>
      <c r="V1240" t="str">
        <f t="shared" si="112"/>
        <v>High Physical Therapist</v>
      </c>
      <c r="W1240" t="str">
        <f t="shared" si="113"/>
        <v>Physical Therapist</v>
      </c>
    </row>
    <row r="1241" spans="1:23" x14ac:dyDescent="0.25">
      <c r="A1241">
        <v>17410</v>
      </c>
      <c r="B1241" t="s">
        <v>1316</v>
      </c>
      <c r="C1241">
        <v>0.16</v>
      </c>
      <c r="D1241" t="s">
        <v>1264</v>
      </c>
      <c r="E1241">
        <v>100240</v>
      </c>
      <c r="F1241">
        <v>17410</v>
      </c>
      <c r="G1241" t="str">
        <f t="shared" si="111"/>
        <v>17410</v>
      </c>
      <c r="H1241" t="s">
        <v>405</v>
      </c>
      <c r="I1241" t="s">
        <v>1265</v>
      </c>
      <c r="J1241" t="s">
        <v>1266</v>
      </c>
      <c r="K1241" t="s">
        <v>1267</v>
      </c>
      <c r="L1241" t="s">
        <v>1316</v>
      </c>
      <c r="M1241" t="s">
        <v>1366</v>
      </c>
      <c r="N1241">
        <v>21</v>
      </c>
      <c r="O1241" t="str">
        <f t="shared" si="114"/>
        <v>48</v>
      </c>
      <c r="P1241">
        <v>48</v>
      </c>
      <c r="R1241" t="s">
        <v>1269</v>
      </c>
      <c r="S1241">
        <v>0.16</v>
      </c>
      <c r="T1241">
        <v>0.23169999999999999</v>
      </c>
      <c r="U1241">
        <f t="shared" si="115"/>
        <v>3.6999999999999998E-2</v>
      </c>
      <c r="V1241" t="str">
        <f t="shared" si="112"/>
        <v>Middle Physical Therapist</v>
      </c>
      <c r="W1241" t="str">
        <f t="shared" si="113"/>
        <v>Physical Therapist</v>
      </c>
    </row>
    <row r="1242" spans="1:23" x14ac:dyDescent="0.25">
      <c r="A1242">
        <v>17410</v>
      </c>
      <c r="B1242" t="s">
        <v>1343</v>
      </c>
      <c r="C1242">
        <v>0.8</v>
      </c>
      <c r="D1242" t="s">
        <v>1264</v>
      </c>
      <c r="E1242">
        <v>100240</v>
      </c>
      <c r="F1242">
        <v>17410</v>
      </c>
      <c r="G1242" t="str">
        <f t="shared" si="111"/>
        <v>17410</v>
      </c>
      <c r="H1242" t="s">
        <v>405</v>
      </c>
      <c r="I1242" t="s">
        <v>1265</v>
      </c>
      <c r="J1242" t="s">
        <v>1276</v>
      </c>
      <c r="K1242" t="s">
        <v>1277</v>
      </c>
      <c r="L1242" t="s">
        <v>1343</v>
      </c>
      <c r="M1242" t="s">
        <v>1434</v>
      </c>
      <c r="N1242">
        <v>1</v>
      </c>
      <c r="O1242" t="str">
        <f t="shared" si="114"/>
        <v>49</v>
      </c>
      <c r="P1242">
        <v>49</v>
      </c>
      <c r="R1242" t="s">
        <v>1269</v>
      </c>
      <c r="S1242">
        <v>0.8</v>
      </c>
      <c r="T1242">
        <v>0.23169999999999999</v>
      </c>
      <c r="U1242">
        <f t="shared" si="115"/>
        <v>0</v>
      </c>
      <c r="V1242" t="str">
        <f t="shared" si="112"/>
        <v>Elementary Behavior Analyst</v>
      </c>
      <c r="W1242" t="str">
        <f t="shared" si="113"/>
        <v>Behavior Analyst</v>
      </c>
    </row>
    <row r="1243" spans="1:23" x14ac:dyDescent="0.25">
      <c r="A1243">
        <v>17411</v>
      </c>
      <c r="B1243" t="s">
        <v>1299</v>
      </c>
      <c r="C1243">
        <v>19.483000000000001</v>
      </c>
      <c r="D1243" t="s">
        <v>1264</v>
      </c>
      <c r="E1243">
        <v>100111</v>
      </c>
      <c r="F1243">
        <v>17411</v>
      </c>
      <c r="G1243" t="str">
        <f t="shared" si="111"/>
        <v>17411</v>
      </c>
      <c r="H1243" t="s">
        <v>406</v>
      </c>
      <c r="I1243" t="s">
        <v>1265</v>
      </c>
      <c r="J1243" t="s">
        <v>1271</v>
      </c>
      <c r="K1243" t="s">
        <v>1272</v>
      </c>
      <c r="L1243" t="s">
        <v>1299</v>
      </c>
      <c r="M1243" t="s">
        <v>1300</v>
      </c>
      <c r="N1243">
        <v>1</v>
      </c>
      <c r="O1243" t="str">
        <f t="shared" si="114"/>
        <v>25</v>
      </c>
      <c r="Q1243">
        <v>25</v>
      </c>
      <c r="R1243" t="s">
        <v>1269</v>
      </c>
      <c r="S1243">
        <v>19.483000000000001</v>
      </c>
      <c r="T1243">
        <v>0.23300000000000001</v>
      </c>
      <c r="U1243">
        <f t="shared" si="115"/>
        <v>0</v>
      </c>
      <c r="V1243" t="str">
        <f t="shared" si="112"/>
        <v>High Pupil Management</v>
      </c>
      <c r="W1243" t="str">
        <f t="shared" si="113"/>
        <v>Pupil Management</v>
      </c>
    </row>
    <row r="1244" spans="1:23" x14ac:dyDescent="0.25">
      <c r="A1244">
        <v>17411</v>
      </c>
      <c r="B1244" t="s">
        <v>1324</v>
      </c>
      <c r="C1244">
        <v>3.5</v>
      </c>
      <c r="D1244" t="s">
        <v>1264</v>
      </c>
      <c r="E1244">
        <v>100111</v>
      </c>
      <c r="F1244">
        <v>17411</v>
      </c>
      <c r="G1244" t="str">
        <f t="shared" si="111"/>
        <v>17411</v>
      </c>
      <c r="H1244" t="s">
        <v>406</v>
      </c>
      <c r="I1244" t="s">
        <v>1265</v>
      </c>
      <c r="J1244" t="s">
        <v>1271</v>
      </c>
      <c r="K1244" t="s">
        <v>1272</v>
      </c>
      <c r="L1244" t="s">
        <v>1324</v>
      </c>
      <c r="M1244" t="s">
        <v>1325</v>
      </c>
      <c r="N1244">
        <v>21</v>
      </c>
      <c r="O1244" t="str">
        <f t="shared" si="114"/>
        <v>26</v>
      </c>
      <c r="Q1244">
        <v>26</v>
      </c>
      <c r="R1244" t="s">
        <v>1269</v>
      </c>
      <c r="S1244">
        <v>3.5</v>
      </c>
      <c r="T1244">
        <v>0.23300000000000001</v>
      </c>
      <c r="U1244">
        <f t="shared" si="115"/>
        <v>0.81599999999999995</v>
      </c>
      <c r="V1244" t="str">
        <f t="shared" si="112"/>
        <v>High Health/
Related Services</v>
      </c>
      <c r="W1244" t="str">
        <f t="shared" si="113"/>
        <v>Health/
Related Services</v>
      </c>
    </row>
    <row r="1245" spans="1:23" x14ac:dyDescent="0.25">
      <c r="A1245">
        <v>17411</v>
      </c>
      <c r="B1245" t="s">
        <v>1295</v>
      </c>
      <c r="C1245">
        <v>40.247999999999998</v>
      </c>
      <c r="D1245" t="s">
        <v>1264</v>
      </c>
      <c r="E1245">
        <v>100111</v>
      </c>
      <c r="F1245">
        <v>17411</v>
      </c>
      <c r="G1245" t="str">
        <f t="shared" si="111"/>
        <v>17411</v>
      </c>
      <c r="H1245" t="s">
        <v>406</v>
      </c>
      <c r="I1245" t="s">
        <v>1265</v>
      </c>
      <c r="J1245" t="s">
        <v>1271</v>
      </c>
      <c r="K1245" t="s">
        <v>1272</v>
      </c>
      <c r="L1245" t="s">
        <v>1295</v>
      </c>
      <c r="M1245" t="s">
        <v>1296</v>
      </c>
      <c r="N1245">
        <v>1</v>
      </c>
      <c r="O1245" t="str">
        <f t="shared" si="114"/>
        <v>26</v>
      </c>
      <c r="Q1245">
        <v>26</v>
      </c>
      <c r="R1245" t="s">
        <v>1269</v>
      </c>
      <c r="S1245">
        <v>40.247999999999998</v>
      </c>
      <c r="T1245">
        <v>0.23300000000000001</v>
      </c>
      <c r="U1245">
        <f t="shared" si="115"/>
        <v>0</v>
      </c>
      <c r="V1245" t="str">
        <f t="shared" si="112"/>
        <v>High Health/
Related Services</v>
      </c>
      <c r="W1245" t="str">
        <f t="shared" si="113"/>
        <v>Health/
Related Services</v>
      </c>
    </row>
    <row r="1246" spans="1:23" x14ac:dyDescent="0.25">
      <c r="A1246">
        <v>17411</v>
      </c>
      <c r="B1246" t="s">
        <v>1401</v>
      </c>
      <c r="C1246">
        <v>7.0609999999999999</v>
      </c>
      <c r="D1246" t="s">
        <v>1264</v>
      </c>
      <c r="E1246">
        <v>100111</v>
      </c>
      <c r="F1246">
        <v>17411</v>
      </c>
      <c r="G1246" t="str">
        <f t="shared" si="111"/>
        <v>17411</v>
      </c>
      <c r="H1246" t="s">
        <v>406</v>
      </c>
      <c r="I1246" t="s">
        <v>1265</v>
      </c>
      <c r="J1246" t="s">
        <v>1271</v>
      </c>
      <c r="K1246" t="s">
        <v>1272</v>
      </c>
      <c r="L1246" t="s">
        <v>1401</v>
      </c>
      <c r="M1246" t="s">
        <v>1422</v>
      </c>
      <c r="N1246">
        <v>1</v>
      </c>
      <c r="O1246" t="str">
        <f t="shared" si="114"/>
        <v>35</v>
      </c>
      <c r="Q1246">
        <v>35</v>
      </c>
      <c r="R1246" t="s">
        <v>1269</v>
      </c>
      <c r="S1246">
        <v>7.0609999999999999</v>
      </c>
      <c r="T1246">
        <v>0.23300000000000001</v>
      </c>
      <c r="U1246">
        <f t="shared" si="115"/>
        <v>0</v>
      </c>
      <c r="V1246" t="str">
        <f t="shared" si="112"/>
        <v>High Pupil Safety</v>
      </c>
      <c r="W1246" t="str">
        <f t="shared" si="113"/>
        <v>Pupil Safety</v>
      </c>
    </row>
    <row r="1247" spans="1:23" x14ac:dyDescent="0.25">
      <c r="A1247">
        <v>17411</v>
      </c>
      <c r="B1247" t="s">
        <v>1319</v>
      </c>
      <c r="C1247">
        <v>0.6</v>
      </c>
      <c r="D1247" t="s">
        <v>1264</v>
      </c>
      <c r="E1247">
        <v>100111</v>
      </c>
      <c r="F1247">
        <v>17411</v>
      </c>
      <c r="G1247" t="str">
        <f t="shared" si="111"/>
        <v>17411</v>
      </c>
      <c r="H1247" t="s">
        <v>406</v>
      </c>
      <c r="I1247" t="s">
        <v>1265</v>
      </c>
      <c r="J1247" t="s">
        <v>1276</v>
      </c>
      <c r="K1247" t="s">
        <v>1277</v>
      </c>
      <c r="L1247" t="s">
        <v>1319</v>
      </c>
      <c r="M1247" t="s">
        <v>1426</v>
      </c>
      <c r="N1247">
        <v>21</v>
      </c>
      <c r="O1247" t="str">
        <f t="shared" si="114"/>
        <v>39</v>
      </c>
      <c r="P1247">
        <v>39</v>
      </c>
      <c r="R1247" t="s">
        <v>1269</v>
      </c>
      <c r="S1247">
        <v>0.6</v>
      </c>
      <c r="T1247">
        <v>0.23300000000000001</v>
      </c>
      <c r="U1247">
        <f t="shared" si="115"/>
        <v>0.14000000000000001</v>
      </c>
      <c r="V1247" t="str">
        <f t="shared" si="112"/>
        <v>Elementary Orientation &amp; Mobility Specialist</v>
      </c>
      <c r="W1247" t="str">
        <f t="shared" si="113"/>
        <v>Orientation &amp; Mobility Specialist</v>
      </c>
    </row>
    <row r="1248" spans="1:23" x14ac:dyDescent="0.25">
      <c r="A1248">
        <v>17411</v>
      </c>
      <c r="B1248" t="s">
        <v>1275</v>
      </c>
      <c r="C1248">
        <v>16.632999999999999</v>
      </c>
      <c r="D1248" t="s">
        <v>1264</v>
      </c>
      <c r="E1248">
        <v>100111</v>
      </c>
      <c r="F1248">
        <v>17411</v>
      </c>
      <c r="G1248" t="str">
        <f t="shared" si="111"/>
        <v>17411</v>
      </c>
      <c r="H1248" t="s">
        <v>406</v>
      </c>
      <c r="I1248" t="s">
        <v>1265</v>
      </c>
      <c r="J1248" t="s">
        <v>1276</v>
      </c>
      <c r="K1248" t="s">
        <v>1277</v>
      </c>
      <c r="L1248" t="s">
        <v>1275</v>
      </c>
      <c r="M1248" t="s">
        <v>1278</v>
      </c>
      <c r="N1248">
        <v>1</v>
      </c>
      <c r="O1248" t="str">
        <f t="shared" si="114"/>
        <v>42</v>
      </c>
      <c r="P1248">
        <v>42</v>
      </c>
      <c r="R1248" t="s">
        <v>1269</v>
      </c>
      <c r="S1248">
        <v>16.632999999999999</v>
      </c>
      <c r="T1248">
        <v>0.23300000000000001</v>
      </c>
      <c r="U1248">
        <f t="shared" si="115"/>
        <v>0</v>
      </c>
      <c r="V1248" t="str">
        <f t="shared" si="112"/>
        <v>Elementary Counselor</v>
      </c>
      <c r="W1248" t="str">
        <f t="shared" si="113"/>
        <v>Counselor</v>
      </c>
    </row>
    <row r="1249" spans="1:23" x14ac:dyDescent="0.25">
      <c r="A1249">
        <v>17411</v>
      </c>
      <c r="B1249" t="s">
        <v>1270</v>
      </c>
      <c r="C1249">
        <v>14.6</v>
      </c>
      <c r="D1249" t="s">
        <v>1264</v>
      </c>
      <c r="E1249">
        <v>100111</v>
      </c>
      <c r="F1249">
        <v>17411</v>
      </c>
      <c r="G1249" t="str">
        <f t="shared" si="111"/>
        <v>17411</v>
      </c>
      <c r="H1249" t="s">
        <v>406</v>
      </c>
      <c r="I1249" t="s">
        <v>1265</v>
      </c>
      <c r="J1249" t="s">
        <v>1271</v>
      </c>
      <c r="K1249" t="s">
        <v>1272</v>
      </c>
      <c r="L1249" t="s">
        <v>1270</v>
      </c>
      <c r="M1249" t="s">
        <v>1273</v>
      </c>
      <c r="N1249">
        <v>1</v>
      </c>
      <c r="O1249" t="str">
        <f t="shared" si="114"/>
        <v>42</v>
      </c>
      <c r="P1249">
        <v>42</v>
      </c>
      <c r="R1249" t="s">
        <v>1269</v>
      </c>
      <c r="S1249">
        <v>14.6</v>
      </c>
      <c r="T1249">
        <v>0.23300000000000001</v>
      </c>
      <c r="U1249">
        <f t="shared" si="115"/>
        <v>0</v>
      </c>
      <c r="V1249" t="str">
        <f t="shared" si="112"/>
        <v>High Counselor</v>
      </c>
      <c r="W1249" t="str">
        <f t="shared" si="113"/>
        <v>Counselor</v>
      </c>
    </row>
    <row r="1250" spans="1:23" x14ac:dyDescent="0.25">
      <c r="A1250">
        <v>17411</v>
      </c>
      <c r="B1250" t="s">
        <v>1263</v>
      </c>
      <c r="C1250">
        <v>10.467000000000001</v>
      </c>
      <c r="D1250" t="s">
        <v>1264</v>
      </c>
      <c r="E1250">
        <v>100111</v>
      </c>
      <c r="F1250">
        <v>17411</v>
      </c>
      <c r="G1250" t="str">
        <f t="shared" si="111"/>
        <v>17411</v>
      </c>
      <c r="H1250" t="s">
        <v>406</v>
      </c>
      <c r="I1250" t="s">
        <v>1265</v>
      </c>
      <c r="J1250" t="s">
        <v>1266</v>
      </c>
      <c r="K1250" t="s">
        <v>1267</v>
      </c>
      <c r="L1250" t="s">
        <v>1263</v>
      </c>
      <c r="M1250" t="s">
        <v>1268</v>
      </c>
      <c r="N1250">
        <v>1</v>
      </c>
      <c r="O1250" t="str">
        <f t="shared" si="114"/>
        <v>42</v>
      </c>
      <c r="P1250">
        <v>42</v>
      </c>
      <c r="R1250" t="s">
        <v>1269</v>
      </c>
      <c r="S1250">
        <v>10.467000000000001</v>
      </c>
      <c r="T1250">
        <v>0.23300000000000001</v>
      </c>
      <c r="U1250">
        <f t="shared" si="115"/>
        <v>0</v>
      </c>
      <c r="V1250" t="str">
        <f t="shared" si="112"/>
        <v>Middle Counselor</v>
      </c>
      <c r="W1250" t="str">
        <f t="shared" si="113"/>
        <v>Counselor</v>
      </c>
    </row>
    <row r="1251" spans="1:23" x14ac:dyDescent="0.25">
      <c r="A1251">
        <v>17411</v>
      </c>
      <c r="B1251" t="s">
        <v>1289</v>
      </c>
      <c r="C1251">
        <v>4.5</v>
      </c>
      <c r="D1251" t="s">
        <v>1264</v>
      </c>
      <c r="E1251">
        <v>100111</v>
      </c>
      <c r="F1251">
        <v>17411</v>
      </c>
      <c r="G1251" t="str">
        <f t="shared" si="111"/>
        <v>17411</v>
      </c>
      <c r="H1251" t="s">
        <v>406</v>
      </c>
      <c r="I1251" t="s">
        <v>1265</v>
      </c>
      <c r="J1251" t="s">
        <v>1276</v>
      </c>
      <c r="K1251" t="s">
        <v>1277</v>
      </c>
      <c r="L1251" t="s">
        <v>1289</v>
      </c>
      <c r="M1251" t="s">
        <v>1307</v>
      </c>
      <c r="N1251">
        <v>21</v>
      </c>
      <c r="O1251" t="str">
        <f t="shared" si="114"/>
        <v>43</v>
      </c>
      <c r="P1251">
        <v>43</v>
      </c>
      <c r="R1251" t="s">
        <v>1269</v>
      </c>
      <c r="S1251">
        <v>4.5</v>
      </c>
      <c r="T1251">
        <v>0.23300000000000001</v>
      </c>
      <c r="U1251">
        <f t="shared" si="115"/>
        <v>1.0489999999999999</v>
      </c>
      <c r="V1251" t="str">
        <f t="shared" si="112"/>
        <v>Elementary Occupational Therapist</v>
      </c>
      <c r="W1251" t="str">
        <f t="shared" si="113"/>
        <v>Occupational Therapist</v>
      </c>
    </row>
    <row r="1252" spans="1:23" x14ac:dyDescent="0.25">
      <c r="A1252">
        <v>17411</v>
      </c>
      <c r="B1252" t="s">
        <v>1387</v>
      </c>
      <c r="C1252">
        <v>2.5</v>
      </c>
      <c r="D1252" t="s">
        <v>1264</v>
      </c>
      <c r="E1252">
        <v>100111</v>
      </c>
      <c r="F1252">
        <v>17411</v>
      </c>
      <c r="G1252" t="str">
        <f t="shared" si="111"/>
        <v>17411</v>
      </c>
      <c r="H1252" t="s">
        <v>406</v>
      </c>
      <c r="I1252" t="s">
        <v>1265</v>
      </c>
      <c r="J1252" t="s">
        <v>1271</v>
      </c>
      <c r="K1252" t="s">
        <v>1272</v>
      </c>
      <c r="L1252" t="s">
        <v>1387</v>
      </c>
      <c r="M1252" t="s">
        <v>1406</v>
      </c>
      <c r="N1252">
        <v>21</v>
      </c>
      <c r="O1252" t="str">
        <f t="shared" si="114"/>
        <v>43</v>
      </c>
      <c r="P1252">
        <v>43</v>
      </c>
      <c r="R1252" t="s">
        <v>1269</v>
      </c>
      <c r="S1252">
        <v>2.5</v>
      </c>
      <c r="T1252">
        <v>0.23300000000000001</v>
      </c>
      <c r="U1252">
        <f t="shared" si="115"/>
        <v>0.58299999999999996</v>
      </c>
      <c r="V1252" t="str">
        <f t="shared" si="112"/>
        <v>High Occupational Therapist</v>
      </c>
      <c r="W1252" t="str">
        <f t="shared" si="113"/>
        <v>Occupational Therapist</v>
      </c>
    </row>
    <row r="1253" spans="1:23" x14ac:dyDescent="0.25">
      <c r="A1253">
        <v>17411</v>
      </c>
      <c r="B1253" t="s">
        <v>1303</v>
      </c>
      <c r="C1253">
        <v>2.8</v>
      </c>
      <c r="D1253" t="s">
        <v>1264</v>
      </c>
      <c r="E1253">
        <v>100111</v>
      </c>
      <c r="F1253">
        <v>17411</v>
      </c>
      <c r="G1253" t="str">
        <f t="shared" si="111"/>
        <v>17411</v>
      </c>
      <c r="H1253" t="s">
        <v>406</v>
      </c>
      <c r="I1253" t="s">
        <v>1265</v>
      </c>
      <c r="J1253" t="s">
        <v>1266</v>
      </c>
      <c r="K1253" t="s">
        <v>1267</v>
      </c>
      <c r="L1253" t="s">
        <v>1303</v>
      </c>
      <c r="M1253" t="s">
        <v>1304</v>
      </c>
      <c r="N1253">
        <v>21</v>
      </c>
      <c r="O1253" t="str">
        <f t="shared" si="114"/>
        <v>43</v>
      </c>
      <c r="P1253">
        <v>43</v>
      </c>
      <c r="R1253" t="s">
        <v>1269</v>
      </c>
      <c r="S1253">
        <v>2.8</v>
      </c>
      <c r="T1253">
        <v>0.23300000000000001</v>
      </c>
      <c r="U1253">
        <f t="shared" si="115"/>
        <v>0.65200000000000002</v>
      </c>
      <c r="V1253" t="str">
        <f t="shared" si="112"/>
        <v>Middle Occupational Therapist</v>
      </c>
      <c r="W1253" t="str">
        <f t="shared" si="113"/>
        <v>Occupational Therapist</v>
      </c>
    </row>
    <row r="1254" spans="1:23" x14ac:dyDescent="0.25">
      <c r="A1254">
        <v>17411</v>
      </c>
      <c r="B1254" t="s">
        <v>1331</v>
      </c>
      <c r="C1254">
        <v>3</v>
      </c>
      <c r="D1254" t="s">
        <v>1264</v>
      </c>
      <c r="E1254">
        <v>100111</v>
      </c>
      <c r="F1254">
        <v>17411</v>
      </c>
      <c r="G1254" t="str">
        <f t="shared" si="111"/>
        <v>17411</v>
      </c>
      <c r="H1254" t="s">
        <v>406</v>
      </c>
      <c r="I1254" t="s">
        <v>1265</v>
      </c>
      <c r="J1254" t="s">
        <v>1276</v>
      </c>
      <c r="K1254" t="s">
        <v>1277</v>
      </c>
      <c r="L1254" t="s">
        <v>1331</v>
      </c>
      <c r="M1254" t="s">
        <v>1405</v>
      </c>
      <c r="N1254">
        <v>1</v>
      </c>
      <c r="O1254" t="str">
        <f t="shared" si="114"/>
        <v>44</v>
      </c>
      <c r="P1254">
        <v>44</v>
      </c>
      <c r="R1254" t="s">
        <v>1269</v>
      </c>
      <c r="S1254">
        <v>3</v>
      </c>
      <c r="T1254">
        <v>0.23300000000000001</v>
      </c>
      <c r="U1254">
        <f t="shared" si="115"/>
        <v>0</v>
      </c>
      <c r="V1254" t="str">
        <f t="shared" si="112"/>
        <v>Elementary Social Worker</v>
      </c>
      <c r="W1254" t="str">
        <f t="shared" si="113"/>
        <v>Social Worker</v>
      </c>
    </row>
    <row r="1255" spans="1:23" x14ac:dyDescent="0.25">
      <c r="A1255">
        <v>17411</v>
      </c>
      <c r="B1255" t="s">
        <v>1359</v>
      </c>
      <c r="C1255">
        <v>2</v>
      </c>
      <c r="D1255" t="s">
        <v>1264</v>
      </c>
      <c r="E1255">
        <v>100111</v>
      </c>
      <c r="F1255">
        <v>17411</v>
      </c>
      <c r="G1255" t="str">
        <f t="shared" si="111"/>
        <v>17411</v>
      </c>
      <c r="H1255" t="s">
        <v>406</v>
      </c>
      <c r="I1255" t="s">
        <v>1265</v>
      </c>
      <c r="J1255" t="s">
        <v>1271</v>
      </c>
      <c r="K1255" t="s">
        <v>1272</v>
      </c>
      <c r="L1255" t="s">
        <v>1359</v>
      </c>
      <c r="M1255" t="s">
        <v>1360</v>
      </c>
      <c r="N1255">
        <v>1</v>
      </c>
      <c r="O1255" t="str">
        <f t="shared" si="114"/>
        <v>44</v>
      </c>
      <c r="P1255">
        <v>44</v>
      </c>
      <c r="R1255" t="s">
        <v>1269</v>
      </c>
      <c r="S1255">
        <v>2</v>
      </c>
      <c r="T1255">
        <v>0.23300000000000001</v>
      </c>
      <c r="U1255">
        <f t="shared" si="115"/>
        <v>0</v>
      </c>
      <c r="V1255" t="str">
        <f t="shared" si="112"/>
        <v>High Social Worker</v>
      </c>
      <c r="W1255" t="str">
        <f t="shared" si="113"/>
        <v>Social Worker</v>
      </c>
    </row>
    <row r="1256" spans="1:23" x14ac:dyDescent="0.25">
      <c r="A1256">
        <v>17411</v>
      </c>
      <c r="B1256" t="s">
        <v>1356</v>
      </c>
      <c r="C1256">
        <v>3</v>
      </c>
      <c r="D1256" t="s">
        <v>1264</v>
      </c>
      <c r="E1256">
        <v>100111</v>
      </c>
      <c r="F1256">
        <v>17411</v>
      </c>
      <c r="G1256" t="str">
        <f t="shared" si="111"/>
        <v>17411</v>
      </c>
      <c r="H1256" t="s">
        <v>406</v>
      </c>
      <c r="I1256" t="s">
        <v>1265</v>
      </c>
      <c r="J1256" t="s">
        <v>1266</v>
      </c>
      <c r="K1256" t="s">
        <v>1267</v>
      </c>
      <c r="L1256" t="s">
        <v>1356</v>
      </c>
      <c r="M1256" t="s">
        <v>1357</v>
      </c>
      <c r="N1256">
        <v>1</v>
      </c>
      <c r="O1256" t="str">
        <f t="shared" si="114"/>
        <v>44</v>
      </c>
      <c r="P1256">
        <v>44</v>
      </c>
      <c r="R1256" t="s">
        <v>1269</v>
      </c>
      <c r="S1256">
        <v>3</v>
      </c>
      <c r="T1256">
        <v>0.23300000000000001</v>
      </c>
      <c r="U1256">
        <f t="shared" si="115"/>
        <v>0</v>
      </c>
      <c r="V1256" t="str">
        <f t="shared" si="112"/>
        <v>Middle Social Worker</v>
      </c>
      <c r="W1256" t="str">
        <f t="shared" si="113"/>
        <v>Social Worker</v>
      </c>
    </row>
    <row r="1257" spans="1:23" x14ac:dyDescent="0.25">
      <c r="A1257">
        <v>17411</v>
      </c>
      <c r="B1257" t="s">
        <v>1294</v>
      </c>
      <c r="C1257">
        <v>16.600000000000001</v>
      </c>
      <c r="D1257" t="s">
        <v>1264</v>
      </c>
      <c r="E1257">
        <v>100111</v>
      </c>
      <c r="F1257">
        <v>17411</v>
      </c>
      <c r="G1257" t="str">
        <f t="shared" si="111"/>
        <v>17411</v>
      </c>
      <c r="H1257" t="s">
        <v>406</v>
      </c>
      <c r="I1257" t="s">
        <v>1265</v>
      </c>
      <c r="J1257" t="s">
        <v>1276</v>
      </c>
      <c r="K1257" t="s">
        <v>1277</v>
      </c>
      <c r="L1257" t="s">
        <v>1294</v>
      </c>
      <c r="M1257" t="s">
        <v>1354</v>
      </c>
      <c r="N1257">
        <v>21</v>
      </c>
      <c r="O1257" t="str">
        <f t="shared" si="114"/>
        <v>45</v>
      </c>
      <c r="P1257">
        <v>45</v>
      </c>
      <c r="R1257" t="s">
        <v>1269</v>
      </c>
      <c r="S1257">
        <v>16.600000000000001</v>
      </c>
      <c r="T1257">
        <v>0.23300000000000001</v>
      </c>
      <c r="U1257">
        <f t="shared" si="115"/>
        <v>3.8679999999999999</v>
      </c>
      <c r="V1257" t="str">
        <f t="shared" si="112"/>
        <v>Elementary Speech, Language Pathway/
Audio</v>
      </c>
      <c r="W1257" t="str">
        <f t="shared" si="113"/>
        <v>Speech, Language Pathway/
Audio</v>
      </c>
    </row>
    <row r="1258" spans="1:23" x14ac:dyDescent="0.25">
      <c r="A1258">
        <v>17411</v>
      </c>
      <c r="B1258" t="s">
        <v>1332</v>
      </c>
      <c r="C1258">
        <v>0.4</v>
      </c>
      <c r="D1258" t="s">
        <v>1264</v>
      </c>
      <c r="E1258">
        <v>100111</v>
      </c>
      <c r="F1258">
        <v>17411</v>
      </c>
      <c r="G1258" t="str">
        <f t="shared" si="111"/>
        <v>17411</v>
      </c>
      <c r="H1258" t="s">
        <v>406</v>
      </c>
      <c r="I1258" t="s">
        <v>1265</v>
      </c>
      <c r="J1258" t="s">
        <v>1276</v>
      </c>
      <c r="K1258" t="s">
        <v>1277</v>
      </c>
      <c r="L1258" t="s">
        <v>1332</v>
      </c>
      <c r="M1258" t="s">
        <v>1403</v>
      </c>
      <c r="N1258">
        <v>1</v>
      </c>
      <c r="O1258" t="str">
        <f t="shared" si="114"/>
        <v>45</v>
      </c>
      <c r="P1258">
        <v>45</v>
      </c>
      <c r="R1258" t="s">
        <v>1269</v>
      </c>
      <c r="S1258">
        <v>0.4</v>
      </c>
      <c r="T1258">
        <v>0.23300000000000001</v>
      </c>
      <c r="U1258">
        <f t="shared" si="115"/>
        <v>0</v>
      </c>
      <c r="V1258" t="str">
        <f t="shared" si="112"/>
        <v>Elementary Speech, Language Pathway/
Audio</v>
      </c>
      <c r="W1258" t="str">
        <f t="shared" si="113"/>
        <v>Speech, Language Pathway/
Audio</v>
      </c>
    </row>
    <row r="1259" spans="1:23" x14ac:dyDescent="0.25">
      <c r="A1259">
        <v>17411</v>
      </c>
      <c r="B1259" t="s">
        <v>1326</v>
      </c>
      <c r="C1259">
        <v>4.9000000000000004</v>
      </c>
      <c r="D1259" t="s">
        <v>1264</v>
      </c>
      <c r="E1259">
        <v>100111</v>
      </c>
      <c r="F1259">
        <v>17411</v>
      </c>
      <c r="G1259" t="str">
        <f t="shared" si="111"/>
        <v>17411</v>
      </c>
      <c r="H1259" t="s">
        <v>406</v>
      </c>
      <c r="I1259" t="s">
        <v>1265</v>
      </c>
      <c r="J1259" t="s">
        <v>1271</v>
      </c>
      <c r="K1259" t="s">
        <v>1272</v>
      </c>
      <c r="L1259" t="s">
        <v>1326</v>
      </c>
      <c r="M1259" t="s">
        <v>1353</v>
      </c>
      <c r="N1259">
        <v>21</v>
      </c>
      <c r="O1259" t="str">
        <f t="shared" si="114"/>
        <v>45</v>
      </c>
      <c r="P1259">
        <v>45</v>
      </c>
      <c r="R1259" t="s">
        <v>1269</v>
      </c>
      <c r="S1259">
        <v>4.9000000000000004</v>
      </c>
      <c r="T1259">
        <v>0.23300000000000001</v>
      </c>
      <c r="U1259">
        <f t="shared" si="115"/>
        <v>1.1419999999999999</v>
      </c>
      <c r="V1259" t="str">
        <f t="shared" si="112"/>
        <v>High Speech, Language Pathway/
Audio</v>
      </c>
      <c r="W1259" t="str">
        <f t="shared" si="113"/>
        <v>Speech, Language Pathway/
Audio</v>
      </c>
    </row>
    <row r="1260" spans="1:23" x14ac:dyDescent="0.25">
      <c r="A1260">
        <v>17411</v>
      </c>
      <c r="B1260" t="s">
        <v>1312</v>
      </c>
      <c r="C1260">
        <v>3.7</v>
      </c>
      <c r="D1260" t="s">
        <v>1264</v>
      </c>
      <c r="E1260">
        <v>100111</v>
      </c>
      <c r="F1260">
        <v>17411</v>
      </c>
      <c r="G1260" t="str">
        <f t="shared" si="111"/>
        <v>17411</v>
      </c>
      <c r="H1260" t="s">
        <v>406</v>
      </c>
      <c r="I1260" t="s">
        <v>1265</v>
      </c>
      <c r="J1260" t="s">
        <v>1266</v>
      </c>
      <c r="K1260" t="s">
        <v>1267</v>
      </c>
      <c r="L1260" t="s">
        <v>1312</v>
      </c>
      <c r="M1260" t="s">
        <v>1351</v>
      </c>
      <c r="N1260">
        <v>21</v>
      </c>
      <c r="O1260" t="str">
        <f t="shared" si="114"/>
        <v>45</v>
      </c>
      <c r="P1260">
        <v>45</v>
      </c>
      <c r="R1260" t="s">
        <v>1269</v>
      </c>
      <c r="S1260">
        <v>3.7</v>
      </c>
      <c r="T1260">
        <v>0.23300000000000001</v>
      </c>
      <c r="U1260">
        <f t="shared" si="115"/>
        <v>0.86199999999999999</v>
      </c>
      <c r="V1260" t="str">
        <f t="shared" si="112"/>
        <v>Middle Speech, Language Pathway/
Audio</v>
      </c>
      <c r="W1260" t="str">
        <f t="shared" si="113"/>
        <v>Speech, Language Pathway/
Audio</v>
      </c>
    </row>
    <row r="1261" spans="1:23" x14ac:dyDescent="0.25">
      <c r="A1261">
        <v>17411</v>
      </c>
      <c r="B1261" t="s">
        <v>1335</v>
      </c>
      <c r="C1261">
        <v>1</v>
      </c>
      <c r="D1261" t="s">
        <v>1264</v>
      </c>
      <c r="E1261">
        <v>100111</v>
      </c>
      <c r="F1261">
        <v>17411</v>
      </c>
      <c r="G1261" t="str">
        <f t="shared" si="111"/>
        <v>17411</v>
      </c>
      <c r="H1261" t="s">
        <v>406</v>
      </c>
      <c r="I1261" t="s">
        <v>1265</v>
      </c>
      <c r="J1261" t="s">
        <v>1276</v>
      </c>
      <c r="K1261" t="s">
        <v>1277</v>
      </c>
      <c r="L1261" t="s">
        <v>1335</v>
      </c>
      <c r="M1261" t="s">
        <v>1344</v>
      </c>
      <c r="N1261">
        <v>1</v>
      </c>
      <c r="O1261" t="str">
        <f t="shared" si="114"/>
        <v>47</v>
      </c>
      <c r="P1261">
        <v>47</v>
      </c>
      <c r="R1261" t="s">
        <v>1269</v>
      </c>
      <c r="S1261">
        <v>1</v>
      </c>
      <c r="T1261">
        <v>0.23300000000000001</v>
      </c>
      <c r="U1261">
        <f t="shared" si="115"/>
        <v>0</v>
      </c>
      <c r="V1261" t="str">
        <f t="shared" si="112"/>
        <v>Elementary Nurse</v>
      </c>
      <c r="W1261" t="str">
        <f t="shared" si="113"/>
        <v>Nurse</v>
      </c>
    </row>
    <row r="1262" spans="1:23" x14ac:dyDescent="0.25">
      <c r="A1262">
        <v>17411</v>
      </c>
      <c r="B1262" t="s">
        <v>1341</v>
      </c>
      <c r="C1262">
        <v>1</v>
      </c>
      <c r="D1262" t="s">
        <v>1264</v>
      </c>
      <c r="E1262">
        <v>100111</v>
      </c>
      <c r="F1262">
        <v>17411</v>
      </c>
      <c r="G1262" t="str">
        <f t="shared" si="111"/>
        <v>17411</v>
      </c>
      <c r="H1262" t="s">
        <v>406</v>
      </c>
      <c r="I1262" t="s">
        <v>1265</v>
      </c>
      <c r="J1262" t="s">
        <v>1271</v>
      </c>
      <c r="K1262" t="s">
        <v>1272</v>
      </c>
      <c r="L1262" t="s">
        <v>1341</v>
      </c>
      <c r="M1262" t="s">
        <v>1342</v>
      </c>
      <c r="N1262">
        <v>1</v>
      </c>
      <c r="O1262" t="str">
        <f t="shared" si="114"/>
        <v>47</v>
      </c>
      <c r="P1262">
        <v>47</v>
      </c>
      <c r="R1262" t="s">
        <v>1269</v>
      </c>
      <c r="S1262">
        <v>1</v>
      </c>
      <c r="T1262">
        <v>0.23300000000000001</v>
      </c>
      <c r="U1262">
        <f t="shared" si="115"/>
        <v>0</v>
      </c>
      <c r="V1262" t="str">
        <f t="shared" si="112"/>
        <v>High Nurse</v>
      </c>
      <c r="W1262" t="str">
        <f t="shared" si="113"/>
        <v>Nurse</v>
      </c>
    </row>
    <row r="1263" spans="1:23" x14ac:dyDescent="0.25">
      <c r="A1263">
        <v>17411</v>
      </c>
      <c r="B1263" t="s">
        <v>1338</v>
      </c>
      <c r="C1263">
        <v>1</v>
      </c>
      <c r="D1263" t="s">
        <v>1264</v>
      </c>
      <c r="E1263">
        <v>100111</v>
      </c>
      <c r="F1263">
        <v>17411</v>
      </c>
      <c r="G1263" t="str">
        <f t="shared" si="111"/>
        <v>17411</v>
      </c>
      <c r="H1263" t="s">
        <v>406</v>
      </c>
      <c r="I1263" t="s">
        <v>1265</v>
      </c>
      <c r="J1263" t="s">
        <v>1266</v>
      </c>
      <c r="K1263" t="s">
        <v>1267</v>
      </c>
      <c r="L1263" t="s">
        <v>1338</v>
      </c>
      <c r="M1263" t="s">
        <v>1339</v>
      </c>
      <c r="N1263">
        <v>1</v>
      </c>
      <c r="O1263" t="str">
        <f t="shared" si="114"/>
        <v>47</v>
      </c>
      <c r="P1263">
        <v>47</v>
      </c>
      <c r="R1263" t="s">
        <v>1269</v>
      </c>
      <c r="S1263">
        <v>1</v>
      </c>
      <c r="T1263">
        <v>0.23300000000000001</v>
      </c>
      <c r="U1263">
        <f t="shared" si="115"/>
        <v>0</v>
      </c>
      <c r="V1263" t="str">
        <f t="shared" si="112"/>
        <v>Middle Nurse</v>
      </c>
      <c r="W1263" t="str">
        <f t="shared" si="113"/>
        <v>Nurse</v>
      </c>
    </row>
    <row r="1264" spans="1:23" x14ac:dyDescent="0.25">
      <c r="A1264">
        <v>17411</v>
      </c>
      <c r="B1264" t="s">
        <v>1330</v>
      </c>
      <c r="C1264">
        <v>2.4</v>
      </c>
      <c r="D1264" t="s">
        <v>1264</v>
      </c>
      <c r="E1264">
        <v>100111</v>
      </c>
      <c r="F1264">
        <v>17411</v>
      </c>
      <c r="G1264" t="str">
        <f t="shared" si="111"/>
        <v>17411</v>
      </c>
      <c r="H1264" t="s">
        <v>406</v>
      </c>
      <c r="I1264" t="s">
        <v>1265</v>
      </c>
      <c r="J1264" t="s">
        <v>1271</v>
      </c>
      <c r="K1264" t="s">
        <v>1272</v>
      </c>
      <c r="L1264" t="s">
        <v>1330</v>
      </c>
      <c r="M1264" t="s">
        <v>1367</v>
      </c>
      <c r="N1264">
        <v>21</v>
      </c>
      <c r="O1264" t="str">
        <f t="shared" si="114"/>
        <v>48</v>
      </c>
      <c r="P1264">
        <v>48</v>
      </c>
      <c r="R1264" t="s">
        <v>1269</v>
      </c>
      <c r="S1264">
        <v>2.4</v>
      </c>
      <c r="T1264">
        <v>0.23300000000000001</v>
      </c>
      <c r="U1264">
        <f t="shared" si="115"/>
        <v>0.55900000000000005</v>
      </c>
      <c r="V1264" t="str">
        <f t="shared" si="112"/>
        <v>High Physical Therapist</v>
      </c>
      <c r="W1264" t="str">
        <f t="shared" si="113"/>
        <v>Physical Therapist</v>
      </c>
    </row>
    <row r="1265" spans="1:23" x14ac:dyDescent="0.25">
      <c r="A1265">
        <v>17411</v>
      </c>
      <c r="B1265" t="s">
        <v>1316</v>
      </c>
      <c r="C1265">
        <v>2.4</v>
      </c>
      <c r="D1265" t="s">
        <v>1264</v>
      </c>
      <c r="E1265">
        <v>100111</v>
      </c>
      <c r="F1265">
        <v>17411</v>
      </c>
      <c r="G1265" t="str">
        <f t="shared" si="111"/>
        <v>17411</v>
      </c>
      <c r="H1265" t="s">
        <v>406</v>
      </c>
      <c r="I1265" t="s">
        <v>1265</v>
      </c>
      <c r="J1265" t="s">
        <v>1266</v>
      </c>
      <c r="K1265" t="s">
        <v>1267</v>
      </c>
      <c r="L1265" t="s">
        <v>1316</v>
      </c>
      <c r="M1265" t="s">
        <v>1366</v>
      </c>
      <c r="N1265">
        <v>21</v>
      </c>
      <c r="O1265" t="str">
        <f t="shared" si="114"/>
        <v>48</v>
      </c>
      <c r="P1265">
        <v>48</v>
      </c>
      <c r="R1265" t="s">
        <v>1269</v>
      </c>
      <c r="S1265">
        <v>2.4</v>
      </c>
      <c r="T1265">
        <v>0.23300000000000001</v>
      </c>
      <c r="U1265">
        <f t="shared" si="115"/>
        <v>0.55900000000000005</v>
      </c>
      <c r="V1265" t="str">
        <f t="shared" si="112"/>
        <v>Middle Physical Therapist</v>
      </c>
      <c r="W1265" t="str">
        <f t="shared" si="113"/>
        <v>Physical Therapist</v>
      </c>
    </row>
    <row r="1266" spans="1:23" x14ac:dyDescent="0.25">
      <c r="A1266">
        <v>17412</v>
      </c>
      <c r="B1266" t="s">
        <v>1286</v>
      </c>
      <c r="C1266">
        <v>6.6310000000000002</v>
      </c>
      <c r="D1266" t="s">
        <v>1264</v>
      </c>
      <c r="E1266">
        <v>100236</v>
      </c>
      <c r="F1266">
        <v>17412</v>
      </c>
      <c r="G1266" t="str">
        <f t="shared" si="111"/>
        <v>17412</v>
      </c>
      <c r="H1266" t="s">
        <v>407</v>
      </c>
      <c r="I1266" t="s">
        <v>1265</v>
      </c>
      <c r="J1266" t="s">
        <v>1271</v>
      </c>
      <c r="K1266" t="s">
        <v>1272</v>
      </c>
      <c r="L1266" t="s">
        <v>1286</v>
      </c>
      <c r="M1266" t="s">
        <v>1287</v>
      </c>
      <c r="N1266">
        <v>1</v>
      </c>
      <c r="O1266" t="str">
        <f t="shared" si="114"/>
        <v>24</v>
      </c>
      <c r="P1266">
        <v>96</v>
      </c>
      <c r="Q1266">
        <v>24</v>
      </c>
      <c r="R1266" t="s">
        <v>1269</v>
      </c>
      <c r="S1266">
        <v>6.6310000000000002</v>
      </c>
      <c r="T1266">
        <v>0.23469999999999999</v>
      </c>
      <c r="U1266">
        <f t="shared" si="115"/>
        <v>0</v>
      </c>
      <c r="V1266" t="str">
        <f t="shared" si="112"/>
        <v>High Family Engagement Coordinator</v>
      </c>
      <c r="W1266" t="str">
        <f t="shared" si="113"/>
        <v>Family Engagement Coordinator</v>
      </c>
    </row>
    <row r="1267" spans="1:23" x14ac:dyDescent="0.25">
      <c r="A1267">
        <v>17412</v>
      </c>
      <c r="B1267" t="s">
        <v>1383</v>
      </c>
      <c r="C1267">
        <v>4.87</v>
      </c>
      <c r="D1267" t="s">
        <v>1264</v>
      </c>
      <c r="E1267">
        <v>100236</v>
      </c>
      <c r="F1267">
        <v>17412</v>
      </c>
      <c r="G1267" t="str">
        <f t="shared" si="111"/>
        <v>17412</v>
      </c>
      <c r="H1267" t="s">
        <v>407</v>
      </c>
      <c r="I1267" t="s">
        <v>1265</v>
      </c>
      <c r="J1267" t="s">
        <v>1271</v>
      </c>
      <c r="K1267" t="s">
        <v>1272</v>
      </c>
      <c r="L1267" t="s">
        <v>1383</v>
      </c>
      <c r="M1267" t="s">
        <v>1409</v>
      </c>
      <c r="N1267">
        <v>21</v>
      </c>
      <c r="O1267" t="str">
        <f t="shared" si="114"/>
        <v>25</v>
      </c>
      <c r="Q1267">
        <v>25</v>
      </c>
      <c r="R1267" t="s">
        <v>1269</v>
      </c>
      <c r="S1267">
        <v>4.87</v>
      </c>
      <c r="T1267">
        <v>0.23469999999999999</v>
      </c>
      <c r="U1267">
        <f t="shared" si="115"/>
        <v>1.143</v>
      </c>
      <c r="V1267" t="str">
        <f t="shared" si="112"/>
        <v>High Pupil Management</v>
      </c>
      <c r="W1267" t="str">
        <f t="shared" si="113"/>
        <v>Pupil Management</v>
      </c>
    </row>
    <row r="1268" spans="1:23" x14ac:dyDescent="0.25">
      <c r="A1268">
        <v>17412</v>
      </c>
      <c r="B1268" t="s">
        <v>1299</v>
      </c>
      <c r="C1268">
        <v>12.327999999999999</v>
      </c>
      <c r="D1268" t="s">
        <v>1264</v>
      </c>
      <c r="E1268">
        <v>100236</v>
      </c>
      <c r="F1268">
        <v>17412</v>
      </c>
      <c r="G1268" t="str">
        <f t="shared" si="111"/>
        <v>17412</v>
      </c>
      <c r="H1268" t="s">
        <v>407</v>
      </c>
      <c r="I1268" t="s">
        <v>1265</v>
      </c>
      <c r="J1268" t="s">
        <v>1271</v>
      </c>
      <c r="K1268" t="s">
        <v>1272</v>
      </c>
      <c r="L1268" t="s">
        <v>1299</v>
      </c>
      <c r="M1268" t="s">
        <v>1300</v>
      </c>
      <c r="N1268">
        <v>1</v>
      </c>
      <c r="O1268" t="str">
        <f t="shared" si="114"/>
        <v>25</v>
      </c>
      <c r="Q1268">
        <v>25</v>
      </c>
      <c r="R1268" t="s">
        <v>1269</v>
      </c>
      <c r="S1268">
        <v>12.327999999999999</v>
      </c>
      <c r="T1268">
        <v>0.23469999999999999</v>
      </c>
      <c r="U1268">
        <f t="shared" si="115"/>
        <v>0</v>
      </c>
      <c r="V1268" t="str">
        <f t="shared" si="112"/>
        <v>High Pupil Management</v>
      </c>
      <c r="W1268" t="str">
        <f t="shared" si="113"/>
        <v>Pupil Management</v>
      </c>
    </row>
    <row r="1269" spans="1:23" x14ac:dyDescent="0.25">
      <c r="A1269">
        <v>17412</v>
      </c>
      <c r="B1269" t="s">
        <v>1324</v>
      </c>
      <c r="C1269">
        <v>0.626</v>
      </c>
      <c r="D1269" t="s">
        <v>1264</v>
      </c>
      <c r="E1269">
        <v>100236</v>
      </c>
      <c r="F1269">
        <v>17412</v>
      </c>
      <c r="G1269" t="str">
        <f t="shared" si="111"/>
        <v>17412</v>
      </c>
      <c r="H1269" t="s">
        <v>407</v>
      </c>
      <c r="I1269" t="s">
        <v>1265</v>
      </c>
      <c r="J1269" t="s">
        <v>1271</v>
      </c>
      <c r="K1269" t="s">
        <v>1272</v>
      </c>
      <c r="L1269" t="s">
        <v>1324</v>
      </c>
      <c r="M1269" t="s">
        <v>1325</v>
      </c>
      <c r="N1269">
        <v>21</v>
      </c>
      <c r="O1269" t="str">
        <f t="shared" si="114"/>
        <v>26</v>
      </c>
      <c r="Q1269">
        <v>26</v>
      </c>
      <c r="R1269" t="s">
        <v>1269</v>
      </c>
      <c r="S1269">
        <v>0.626</v>
      </c>
      <c r="T1269">
        <v>0.23469999999999999</v>
      </c>
      <c r="U1269">
        <f t="shared" si="115"/>
        <v>0.14699999999999999</v>
      </c>
      <c r="V1269" t="str">
        <f t="shared" si="112"/>
        <v>High Health/
Related Services</v>
      </c>
      <c r="W1269" t="str">
        <f t="shared" si="113"/>
        <v>Health/
Related Services</v>
      </c>
    </row>
    <row r="1270" spans="1:23" x14ac:dyDescent="0.25">
      <c r="A1270">
        <v>17412</v>
      </c>
      <c r="B1270" t="s">
        <v>1295</v>
      </c>
      <c r="C1270">
        <v>9.3759999999999994</v>
      </c>
      <c r="D1270" t="s">
        <v>1264</v>
      </c>
      <c r="E1270">
        <v>100236</v>
      </c>
      <c r="F1270">
        <v>17412</v>
      </c>
      <c r="G1270" t="str">
        <f t="shared" si="111"/>
        <v>17412</v>
      </c>
      <c r="H1270" t="s">
        <v>407</v>
      </c>
      <c r="I1270" t="s">
        <v>1265</v>
      </c>
      <c r="J1270" t="s">
        <v>1271</v>
      </c>
      <c r="K1270" t="s">
        <v>1272</v>
      </c>
      <c r="L1270" t="s">
        <v>1295</v>
      </c>
      <c r="M1270" t="s">
        <v>1296</v>
      </c>
      <c r="N1270">
        <v>1</v>
      </c>
      <c r="O1270" t="str">
        <f t="shared" si="114"/>
        <v>26</v>
      </c>
      <c r="Q1270">
        <v>26</v>
      </c>
      <c r="R1270" t="s">
        <v>1269</v>
      </c>
      <c r="S1270">
        <v>9.3759999999999994</v>
      </c>
      <c r="T1270">
        <v>0.23469999999999999</v>
      </c>
      <c r="U1270">
        <f t="shared" si="115"/>
        <v>0</v>
      </c>
      <c r="V1270" t="str">
        <f t="shared" si="112"/>
        <v>High Health/
Related Services</v>
      </c>
      <c r="W1270" t="str">
        <f t="shared" si="113"/>
        <v>Health/
Related Services</v>
      </c>
    </row>
    <row r="1271" spans="1:23" x14ac:dyDescent="0.25">
      <c r="A1271">
        <v>17412</v>
      </c>
      <c r="B1271" t="s">
        <v>1401</v>
      </c>
      <c r="C1271">
        <v>3</v>
      </c>
      <c r="D1271" t="s">
        <v>1264</v>
      </c>
      <c r="E1271">
        <v>100236</v>
      </c>
      <c r="F1271">
        <v>17412</v>
      </c>
      <c r="G1271" t="str">
        <f t="shared" si="111"/>
        <v>17412</v>
      </c>
      <c r="H1271" t="s">
        <v>407</v>
      </c>
      <c r="I1271" t="s">
        <v>1265</v>
      </c>
      <c r="J1271" t="s">
        <v>1271</v>
      </c>
      <c r="K1271" t="s">
        <v>1272</v>
      </c>
      <c r="L1271" t="s">
        <v>1401</v>
      </c>
      <c r="M1271" t="s">
        <v>1422</v>
      </c>
      <c r="N1271">
        <v>1</v>
      </c>
      <c r="O1271" t="str">
        <f t="shared" si="114"/>
        <v>35</v>
      </c>
      <c r="Q1271">
        <v>35</v>
      </c>
      <c r="R1271" t="s">
        <v>1269</v>
      </c>
      <c r="S1271">
        <v>3</v>
      </c>
      <c r="T1271">
        <v>0.23469999999999999</v>
      </c>
      <c r="U1271">
        <f t="shared" si="115"/>
        <v>0</v>
      </c>
      <c r="V1271" t="str">
        <f t="shared" si="112"/>
        <v>High Pupil Safety</v>
      </c>
      <c r="W1271" t="str">
        <f t="shared" si="113"/>
        <v>Pupil Safety</v>
      </c>
    </row>
    <row r="1272" spans="1:23" x14ac:dyDescent="0.25">
      <c r="A1272">
        <v>17412</v>
      </c>
      <c r="B1272" t="s">
        <v>1275</v>
      </c>
      <c r="C1272">
        <v>9.76</v>
      </c>
      <c r="D1272" t="s">
        <v>1264</v>
      </c>
      <c r="E1272">
        <v>100236</v>
      </c>
      <c r="F1272">
        <v>17412</v>
      </c>
      <c r="G1272" t="str">
        <f t="shared" si="111"/>
        <v>17412</v>
      </c>
      <c r="H1272" t="s">
        <v>407</v>
      </c>
      <c r="I1272" t="s">
        <v>1265</v>
      </c>
      <c r="J1272" t="s">
        <v>1276</v>
      </c>
      <c r="K1272" t="s">
        <v>1277</v>
      </c>
      <c r="L1272" t="s">
        <v>1275</v>
      </c>
      <c r="M1272" t="s">
        <v>1278</v>
      </c>
      <c r="N1272">
        <v>1</v>
      </c>
      <c r="O1272" t="str">
        <f t="shared" si="114"/>
        <v>42</v>
      </c>
      <c r="P1272">
        <v>42</v>
      </c>
      <c r="R1272" t="s">
        <v>1269</v>
      </c>
      <c r="S1272">
        <v>9.76</v>
      </c>
      <c r="T1272">
        <v>0.23469999999999999</v>
      </c>
      <c r="U1272">
        <f t="shared" si="115"/>
        <v>0</v>
      </c>
      <c r="V1272" t="str">
        <f t="shared" si="112"/>
        <v>Elementary Counselor</v>
      </c>
      <c r="W1272" t="str">
        <f t="shared" si="113"/>
        <v>Counselor</v>
      </c>
    </row>
    <row r="1273" spans="1:23" x14ac:dyDescent="0.25">
      <c r="A1273">
        <v>17412</v>
      </c>
      <c r="B1273" t="s">
        <v>1270</v>
      </c>
      <c r="C1273">
        <v>9.9979999999999993</v>
      </c>
      <c r="D1273" t="s">
        <v>1264</v>
      </c>
      <c r="E1273">
        <v>100236</v>
      </c>
      <c r="F1273">
        <v>17412</v>
      </c>
      <c r="G1273" t="str">
        <f t="shared" si="111"/>
        <v>17412</v>
      </c>
      <c r="H1273" t="s">
        <v>407</v>
      </c>
      <c r="I1273" t="s">
        <v>1265</v>
      </c>
      <c r="J1273" t="s">
        <v>1271</v>
      </c>
      <c r="K1273" t="s">
        <v>1272</v>
      </c>
      <c r="L1273" t="s">
        <v>1270</v>
      </c>
      <c r="M1273" t="s">
        <v>1273</v>
      </c>
      <c r="N1273">
        <v>1</v>
      </c>
      <c r="O1273" t="str">
        <f t="shared" si="114"/>
        <v>42</v>
      </c>
      <c r="P1273">
        <v>42</v>
      </c>
      <c r="R1273" t="s">
        <v>1269</v>
      </c>
      <c r="S1273">
        <v>9.9979999999999993</v>
      </c>
      <c r="T1273">
        <v>0.23469999999999999</v>
      </c>
      <c r="U1273">
        <f t="shared" si="115"/>
        <v>0</v>
      </c>
      <c r="V1273" t="str">
        <f t="shared" si="112"/>
        <v>High Counselor</v>
      </c>
      <c r="W1273" t="str">
        <f t="shared" si="113"/>
        <v>Counselor</v>
      </c>
    </row>
    <row r="1274" spans="1:23" x14ac:dyDescent="0.25">
      <c r="A1274">
        <v>17412</v>
      </c>
      <c r="B1274" t="s">
        <v>1263</v>
      </c>
      <c r="C1274">
        <v>6.94</v>
      </c>
      <c r="D1274" t="s">
        <v>1264</v>
      </c>
      <c r="E1274">
        <v>100236</v>
      </c>
      <c r="F1274">
        <v>17412</v>
      </c>
      <c r="G1274" t="str">
        <f t="shared" si="111"/>
        <v>17412</v>
      </c>
      <c r="H1274" t="s">
        <v>407</v>
      </c>
      <c r="I1274" t="s">
        <v>1265</v>
      </c>
      <c r="J1274" t="s">
        <v>1266</v>
      </c>
      <c r="K1274" t="s">
        <v>1267</v>
      </c>
      <c r="L1274" t="s">
        <v>1263</v>
      </c>
      <c r="M1274" t="s">
        <v>1268</v>
      </c>
      <c r="N1274">
        <v>1</v>
      </c>
      <c r="O1274" t="str">
        <f t="shared" si="114"/>
        <v>42</v>
      </c>
      <c r="P1274">
        <v>42</v>
      </c>
      <c r="R1274" t="s">
        <v>1269</v>
      </c>
      <c r="S1274">
        <v>6.94</v>
      </c>
      <c r="T1274">
        <v>0.23469999999999999</v>
      </c>
      <c r="U1274">
        <f t="shared" si="115"/>
        <v>0</v>
      </c>
      <c r="V1274" t="str">
        <f t="shared" si="112"/>
        <v>Middle Counselor</v>
      </c>
      <c r="W1274" t="str">
        <f t="shared" si="113"/>
        <v>Counselor</v>
      </c>
    </row>
    <row r="1275" spans="1:23" x14ac:dyDescent="0.25">
      <c r="A1275">
        <v>17412</v>
      </c>
      <c r="B1275" t="s">
        <v>1289</v>
      </c>
      <c r="C1275">
        <v>5.18</v>
      </c>
      <c r="D1275" t="s">
        <v>1264</v>
      </c>
      <c r="E1275">
        <v>100236</v>
      </c>
      <c r="F1275">
        <v>17412</v>
      </c>
      <c r="G1275" t="str">
        <f t="shared" si="111"/>
        <v>17412</v>
      </c>
      <c r="H1275" t="s">
        <v>407</v>
      </c>
      <c r="I1275" t="s">
        <v>1265</v>
      </c>
      <c r="J1275" t="s">
        <v>1276</v>
      </c>
      <c r="K1275" t="s">
        <v>1277</v>
      </c>
      <c r="L1275" t="s">
        <v>1289</v>
      </c>
      <c r="M1275" t="s">
        <v>1307</v>
      </c>
      <c r="N1275">
        <v>21</v>
      </c>
      <c r="O1275" t="str">
        <f t="shared" si="114"/>
        <v>43</v>
      </c>
      <c r="P1275">
        <v>43</v>
      </c>
      <c r="R1275" t="s">
        <v>1269</v>
      </c>
      <c r="S1275">
        <v>5.18</v>
      </c>
      <c r="T1275">
        <v>0.23469999999999999</v>
      </c>
      <c r="U1275">
        <f t="shared" si="115"/>
        <v>1.216</v>
      </c>
      <c r="V1275" t="str">
        <f t="shared" si="112"/>
        <v>Elementary Occupational Therapist</v>
      </c>
      <c r="W1275" t="str">
        <f t="shared" si="113"/>
        <v>Occupational Therapist</v>
      </c>
    </row>
    <row r="1276" spans="1:23" x14ac:dyDescent="0.25">
      <c r="A1276">
        <v>17412</v>
      </c>
      <c r="B1276" t="s">
        <v>1303</v>
      </c>
      <c r="C1276">
        <v>0.92</v>
      </c>
      <c r="D1276" t="s">
        <v>1264</v>
      </c>
      <c r="E1276">
        <v>100236</v>
      </c>
      <c r="F1276">
        <v>17412</v>
      </c>
      <c r="G1276" t="str">
        <f t="shared" si="111"/>
        <v>17412</v>
      </c>
      <c r="H1276" t="s">
        <v>407</v>
      </c>
      <c r="I1276" t="s">
        <v>1265</v>
      </c>
      <c r="J1276" t="s">
        <v>1266</v>
      </c>
      <c r="K1276" t="s">
        <v>1267</v>
      </c>
      <c r="L1276" t="s">
        <v>1303</v>
      </c>
      <c r="M1276" t="s">
        <v>1304</v>
      </c>
      <c r="N1276">
        <v>21</v>
      </c>
      <c r="O1276" t="str">
        <f t="shared" si="114"/>
        <v>43</v>
      </c>
      <c r="P1276">
        <v>43</v>
      </c>
      <c r="R1276" t="s">
        <v>1269</v>
      </c>
      <c r="S1276">
        <v>0.92</v>
      </c>
      <c r="T1276">
        <v>0.23469999999999999</v>
      </c>
      <c r="U1276">
        <f t="shared" si="115"/>
        <v>0.216</v>
      </c>
      <c r="V1276" t="str">
        <f t="shared" si="112"/>
        <v>Middle Occupational Therapist</v>
      </c>
      <c r="W1276" t="str">
        <f t="shared" si="113"/>
        <v>Occupational Therapist</v>
      </c>
    </row>
    <row r="1277" spans="1:23" x14ac:dyDescent="0.25">
      <c r="A1277">
        <v>17412</v>
      </c>
      <c r="B1277" t="s">
        <v>1294</v>
      </c>
      <c r="C1277">
        <v>10.302</v>
      </c>
      <c r="D1277" t="s">
        <v>1264</v>
      </c>
      <c r="E1277">
        <v>100236</v>
      </c>
      <c r="F1277">
        <v>17412</v>
      </c>
      <c r="G1277" t="str">
        <f t="shared" si="111"/>
        <v>17412</v>
      </c>
      <c r="H1277" t="s">
        <v>407</v>
      </c>
      <c r="I1277" t="s">
        <v>1265</v>
      </c>
      <c r="J1277" t="s">
        <v>1276</v>
      </c>
      <c r="K1277" t="s">
        <v>1277</v>
      </c>
      <c r="L1277" t="s">
        <v>1294</v>
      </c>
      <c r="M1277" t="s">
        <v>1354</v>
      </c>
      <c r="N1277">
        <v>21</v>
      </c>
      <c r="O1277" t="str">
        <f t="shared" si="114"/>
        <v>45</v>
      </c>
      <c r="P1277">
        <v>45</v>
      </c>
      <c r="R1277" t="s">
        <v>1269</v>
      </c>
      <c r="S1277">
        <v>10.302</v>
      </c>
      <c r="T1277">
        <v>0.23469999999999999</v>
      </c>
      <c r="U1277">
        <f t="shared" si="115"/>
        <v>2.4180000000000001</v>
      </c>
      <c r="V1277" t="str">
        <f t="shared" si="112"/>
        <v>Elementary Speech, Language Pathway/
Audio</v>
      </c>
      <c r="W1277" t="str">
        <f t="shared" si="113"/>
        <v>Speech, Language Pathway/
Audio</v>
      </c>
    </row>
    <row r="1278" spans="1:23" x14ac:dyDescent="0.25">
      <c r="A1278">
        <v>17412</v>
      </c>
      <c r="B1278" t="s">
        <v>1326</v>
      </c>
      <c r="C1278">
        <v>2.0979999999999999</v>
      </c>
      <c r="D1278" t="s">
        <v>1264</v>
      </c>
      <c r="E1278">
        <v>100236</v>
      </c>
      <c r="F1278">
        <v>17412</v>
      </c>
      <c r="G1278" t="str">
        <f t="shared" si="111"/>
        <v>17412</v>
      </c>
      <c r="H1278" t="s">
        <v>407</v>
      </c>
      <c r="I1278" t="s">
        <v>1265</v>
      </c>
      <c r="J1278" t="s">
        <v>1271</v>
      </c>
      <c r="K1278" t="s">
        <v>1272</v>
      </c>
      <c r="L1278" t="s">
        <v>1326</v>
      </c>
      <c r="M1278" t="s">
        <v>1353</v>
      </c>
      <c r="N1278">
        <v>21</v>
      </c>
      <c r="O1278" t="str">
        <f t="shared" si="114"/>
        <v>45</v>
      </c>
      <c r="P1278">
        <v>45</v>
      </c>
      <c r="R1278" t="s">
        <v>1269</v>
      </c>
      <c r="S1278">
        <v>2.0979999999999999</v>
      </c>
      <c r="T1278">
        <v>0.23469999999999999</v>
      </c>
      <c r="U1278">
        <f t="shared" si="115"/>
        <v>0.49199999999999999</v>
      </c>
      <c r="V1278" t="str">
        <f t="shared" si="112"/>
        <v>High Speech, Language Pathway/
Audio</v>
      </c>
      <c r="W1278" t="str">
        <f t="shared" si="113"/>
        <v>Speech, Language Pathway/
Audio</v>
      </c>
    </row>
    <row r="1279" spans="1:23" x14ac:dyDescent="0.25">
      <c r="A1279">
        <v>17412</v>
      </c>
      <c r="B1279" t="s">
        <v>1312</v>
      </c>
      <c r="C1279">
        <v>1.5</v>
      </c>
      <c r="D1279" t="s">
        <v>1264</v>
      </c>
      <c r="E1279">
        <v>100236</v>
      </c>
      <c r="F1279">
        <v>17412</v>
      </c>
      <c r="G1279" t="str">
        <f t="shared" si="111"/>
        <v>17412</v>
      </c>
      <c r="H1279" t="s">
        <v>407</v>
      </c>
      <c r="I1279" t="s">
        <v>1265</v>
      </c>
      <c r="J1279" t="s">
        <v>1266</v>
      </c>
      <c r="K1279" t="s">
        <v>1267</v>
      </c>
      <c r="L1279" t="s">
        <v>1312</v>
      </c>
      <c r="M1279" t="s">
        <v>1351</v>
      </c>
      <c r="N1279">
        <v>21</v>
      </c>
      <c r="O1279" t="str">
        <f t="shared" si="114"/>
        <v>45</v>
      </c>
      <c r="P1279">
        <v>45</v>
      </c>
      <c r="R1279" t="s">
        <v>1269</v>
      </c>
      <c r="S1279">
        <v>1.5</v>
      </c>
      <c r="T1279">
        <v>0.23469999999999999</v>
      </c>
      <c r="U1279">
        <f t="shared" si="115"/>
        <v>0.35199999999999998</v>
      </c>
      <c r="V1279" t="str">
        <f t="shared" si="112"/>
        <v>Middle Speech, Language Pathway/
Audio</v>
      </c>
      <c r="W1279" t="str">
        <f t="shared" si="113"/>
        <v>Speech, Language Pathway/
Audio</v>
      </c>
    </row>
    <row r="1280" spans="1:23" x14ac:dyDescent="0.25">
      <c r="A1280">
        <v>17412</v>
      </c>
      <c r="B1280" t="s">
        <v>1298</v>
      </c>
      <c r="C1280">
        <v>0.8</v>
      </c>
      <c r="D1280" t="s">
        <v>1264</v>
      </c>
      <c r="E1280">
        <v>100236</v>
      </c>
      <c r="F1280">
        <v>17412</v>
      </c>
      <c r="G1280" t="str">
        <f t="shared" si="111"/>
        <v>17412</v>
      </c>
      <c r="H1280" t="s">
        <v>407</v>
      </c>
      <c r="I1280" t="s">
        <v>1265</v>
      </c>
      <c r="J1280" t="s">
        <v>1276</v>
      </c>
      <c r="K1280" t="s">
        <v>1277</v>
      </c>
      <c r="L1280" t="s">
        <v>1298</v>
      </c>
      <c r="M1280" t="s">
        <v>1349</v>
      </c>
      <c r="N1280">
        <v>21</v>
      </c>
      <c r="O1280" t="str">
        <f t="shared" si="114"/>
        <v>46</v>
      </c>
      <c r="P1280">
        <v>46</v>
      </c>
      <c r="R1280" t="s">
        <v>1269</v>
      </c>
      <c r="S1280">
        <v>0.8</v>
      </c>
      <c r="T1280">
        <v>0.23469999999999999</v>
      </c>
      <c r="U1280">
        <f t="shared" si="115"/>
        <v>0.188</v>
      </c>
      <c r="V1280" t="str">
        <f t="shared" si="112"/>
        <v>Elementary Psychologist</v>
      </c>
      <c r="W1280" t="str">
        <f t="shared" si="113"/>
        <v>Psychologist</v>
      </c>
    </row>
    <row r="1281" spans="1:23" x14ac:dyDescent="0.25">
      <c r="A1281">
        <v>17412</v>
      </c>
      <c r="B1281" t="s">
        <v>1302</v>
      </c>
      <c r="C1281">
        <v>2.87</v>
      </c>
      <c r="D1281" t="s">
        <v>1264</v>
      </c>
      <c r="E1281">
        <v>100236</v>
      </c>
      <c r="F1281">
        <v>17412</v>
      </c>
      <c r="G1281" t="str">
        <f t="shared" si="111"/>
        <v>17412</v>
      </c>
      <c r="H1281" t="s">
        <v>407</v>
      </c>
      <c r="I1281" t="s">
        <v>1265</v>
      </c>
      <c r="J1281" t="s">
        <v>1276</v>
      </c>
      <c r="K1281" t="s">
        <v>1277</v>
      </c>
      <c r="L1281" t="s">
        <v>1302</v>
      </c>
      <c r="M1281" t="s">
        <v>1336</v>
      </c>
      <c r="N1281">
        <v>21</v>
      </c>
      <c r="O1281" t="str">
        <f t="shared" si="114"/>
        <v>48</v>
      </c>
      <c r="P1281">
        <v>48</v>
      </c>
      <c r="R1281" t="s">
        <v>1269</v>
      </c>
      <c r="S1281">
        <v>2.87</v>
      </c>
      <c r="T1281">
        <v>0.23469999999999999</v>
      </c>
      <c r="U1281">
        <f t="shared" si="115"/>
        <v>0.67400000000000004</v>
      </c>
      <c r="V1281" t="str">
        <f t="shared" si="112"/>
        <v>Elementary Physical Therapist</v>
      </c>
      <c r="W1281" t="str">
        <f t="shared" si="113"/>
        <v>Physical Therapist</v>
      </c>
    </row>
    <row r="1282" spans="1:23" x14ac:dyDescent="0.25">
      <c r="A1282">
        <v>17414</v>
      </c>
      <c r="B1282" t="s">
        <v>1286</v>
      </c>
      <c r="C1282">
        <v>4.1109999999999998</v>
      </c>
      <c r="D1282" t="s">
        <v>1264</v>
      </c>
      <c r="E1282">
        <v>100127</v>
      </c>
      <c r="F1282">
        <v>17414</v>
      </c>
      <c r="G1282" t="str">
        <f t="shared" ref="G1282:G1345" si="116">TEXT(F1282,"00000")</f>
        <v>17414</v>
      </c>
      <c r="H1282" t="s">
        <v>408</v>
      </c>
      <c r="I1282" t="s">
        <v>1265</v>
      </c>
      <c r="J1282" t="s">
        <v>1271</v>
      </c>
      <c r="K1282" t="s">
        <v>1272</v>
      </c>
      <c r="L1282" t="s">
        <v>1286</v>
      </c>
      <c r="M1282" t="s">
        <v>1287</v>
      </c>
      <c r="N1282">
        <v>1</v>
      </c>
      <c r="O1282" t="str">
        <f t="shared" si="114"/>
        <v>24</v>
      </c>
      <c r="P1282">
        <v>96</v>
      </c>
      <c r="Q1282">
        <v>24</v>
      </c>
      <c r="R1282" t="s">
        <v>1269</v>
      </c>
      <c r="S1282">
        <v>4.1109999999999998</v>
      </c>
      <c r="T1282">
        <v>0.22600000000000001</v>
      </c>
      <c r="U1282">
        <f t="shared" si="115"/>
        <v>0</v>
      </c>
      <c r="V1282" t="str">
        <f t="shared" ref="V1282:V1345" si="117">_xlfn.XLOOKUP(L1282,$BV:$BV,$BT:$BT,,0)</f>
        <v>High Family Engagement Coordinator</v>
      </c>
      <c r="W1282" t="str">
        <f t="shared" ref="W1282:W1345" si="118">_xlfn.TEXTAFTER(V1282," ")</f>
        <v>Family Engagement Coordinator</v>
      </c>
    </row>
    <row r="1283" spans="1:23" x14ac:dyDescent="0.25">
      <c r="A1283">
        <v>17414</v>
      </c>
      <c r="B1283" t="s">
        <v>1299</v>
      </c>
      <c r="C1283">
        <v>66.320999999999998</v>
      </c>
      <c r="D1283" t="s">
        <v>1264</v>
      </c>
      <c r="E1283">
        <v>100127</v>
      </c>
      <c r="F1283">
        <v>17414</v>
      </c>
      <c r="G1283" t="str">
        <f t="shared" si="116"/>
        <v>17414</v>
      </c>
      <c r="H1283" t="s">
        <v>408</v>
      </c>
      <c r="I1283" t="s">
        <v>1265</v>
      </c>
      <c r="J1283" t="s">
        <v>1271</v>
      </c>
      <c r="K1283" t="s">
        <v>1272</v>
      </c>
      <c r="L1283" t="s">
        <v>1299</v>
      </c>
      <c r="M1283" t="s">
        <v>1300</v>
      </c>
      <c r="N1283">
        <v>1</v>
      </c>
      <c r="O1283" t="str">
        <f t="shared" ref="O1283:O1346" si="119">MID(L1283,3,2)</f>
        <v>25</v>
      </c>
      <c r="Q1283">
        <v>25</v>
      </c>
      <c r="R1283" t="s">
        <v>1269</v>
      </c>
      <c r="S1283">
        <v>66.320999999999998</v>
      </c>
      <c r="T1283">
        <v>0.22600000000000001</v>
      </c>
      <c r="U1283">
        <f t="shared" ref="U1283:U1346" si="120">IF(N1283=21,ROUND(T1283*S1283,3),0)</f>
        <v>0</v>
      </c>
      <c r="V1283" t="str">
        <f t="shared" si="117"/>
        <v>High Pupil Management</v>
      </c>
      <c r="W1283" t="str">
        <f t="shared" si="118"/>
        <v>Pupil Management</v>
      </c>
    </row>
    <row r="1284" spans="1:23" x14ac:dyDescent="0.25">
      <c r="A1284">
        <v>17414</v>
      </c>
      <c r="B1284" t="s">
        <v>1324</v>
      </c>
      <c r="C1284">
        <v>4.25</v>
      </c>
      <c r="D1284" t="s">
        <v>1264</v>
      </c>
      <c r="E1284">
        <v>100127</v>
      </c>
      <c r="F1284">
        <v>17414</v>
      </c>
      <c r="G1284" t="str">
        <f t="shared" si="116"/>
        <v>17414</v>
      </c>
      <c r="H1284" t="s">
        <v>408</v>
      </c>
      <c r="I1284" t="s">
        <v>1265</v>
      </c>
      <c r="J1284" t="s">
        <v>1271</v>
      </c>
      <c r="K1284" t="s">
        <v>1272</v>
      </c>
      <c r="L1284" t="s">
        <v>1324</v>
      </c>
      <c r="M1284" t="s">
        <v>1325</v>
      </c>
      <c r="N1284">
        <v>21</v>
      </c>
      <c r="O1284" t="str">
        <f t="shared" si="119"/>
        <v>26</v>
      </c>
      <c r="Q1284">
        <v>26</v>
      </c>
      <c r="R1284" t="s">
        <v>1269</v>
      </c>
      <c r="S1284">
        <v>4.25</v>
      </c>
      <c r="T1284">
        <v>0.22600000000000001</v>
      </c>
      <c r="U1284">
        <f t="shared" si="120"/>
        <v>0.96099999999999997</v>
      </c>
      <c r="V1284" t="str">
        <f t="shared" si="117"/>
        <v>High Health/
Related Services</v>
      </c>
      <c r="W1284" t="str">
        <f t="shared" si="118"/>
        <v>Health/
Related Services</v>
      </c>
    </row>
    <row r="1285" spans="1:23" x14ac:dyDescent="0.25">
      <c r="A1285">
        <v>17414</v>
      </c>
      <c r="B1285" t="s">
        <v>1295</v>
      </c>
      <c r="C1285">
        <v>46.55</v>
      </c>
      <c r="D1285" t="s">
        <v>1264</v>
      </c>
      <c r="E1285">
        <v>100127</v>
      </c>
      <c r="F1285">
        <v>17414</v>
      </c>
      <c r="G1285" t="str">
        <f t="shared" si="116"/>
        <v>17414</v>
      </c>
      <c r="H1285" t="s">
        <v>408</v>
      </c>
      <c r="I1285" t="s">
        <v>1265</v>
      </c>
      <c r="J1285" t="s">
        <v>1271</v>
      </c>
      <c r="K1285" t="s">
        <v>1272</v>
      </c>
      <c r="L1285" t="s">
        <v>1295</v>
      </c>
      <c r="M1285" t="s">
        <v>1296</v>
      </c>
      <c r="N1285">
        <v>1</v>
      </c>
      <c r="O1285" t="str">
        <f t="shared" si="119"/>
        <v>26</v>
      </c>
      <c r="Q1285">
        <v>26</v>
      </c>
      <c r="R1285" t="s">
        <v>1269</v>
      </c>
      <c r="S1285">
        <v>46.55</v>
      </c>
      <c r="T1285">
        <v>0.22600000000000001</v>
      </c>
      <c r="U1285">
        <f t="shared" si="120"/>
        <v>0</v>
      </c>
      <c r="V1285" t="str">
        <f t="shared" si="117"/>
        <v>High Health/
Related Services</v>
      </c>
      <c r="W1285" t="str">
        <f t="shared" si="118"/>
        <v>Health/
Related Services</v>
      </c>
    </row>
    <row r="1286" spans="1:23" x14ac:dyDescent="0.25">
      <c r="A1286">
        <v>17414</v>
      </c>
      <c r="B1286" t="s">
        <v>1275</v>
      </c>
      <c r="C1286">
        <v>28.943999999999999</v>
      </c>
      <c r="D1286" t="s">
        <v>1264</v>
      </c>
      <c r="E1286">
        <v>100127</v>
      </c>
      <c r="F1286">
        <v>17414</v>
      </c>
      <c r="G1286" t="str">
        <f t="shared" si="116"/>
        <v>17414</v>
      </c>
      <c r="H1286" t="s">
        <v>408</v>
      </c>
      <c r="I1286" t="s">
        <v>1265</v>
      </c>
      <c r="J1286" t="s">
        <v>1276</v>
      </c>
      <c r="K1286" t="s">
        <v>1277</v>
      </c>
      <c r="L1286" t="s">
        <v>1275</v>
      </c>
      <c r="M1286" t="s">
        <v>1278</v>
      </c>
      <c r="N1286">
        <v>1</v>
      </c>
      <c r="O1286" t="str">
        <f t="shared" si="119"/>
        <v>42</v>
      </c>
      <c r="P1286">
        <v>42</v>
      </c>
      <c r="R1286" t="s">
        <v>1269</v>
      </c>
      <c r="S1286">
        <v>28.943999999999999</v>
      </c>
      <c r="T1286">
        <v>0.22600000000000001</v>
      </c>
      <c r="U1286">
        <f t="shared" si="120"/>
        <v>0</v>
      </c>
      <c r="V1286" t="str">
        <f t="shared" si="117"/>
        <v>Elementary Counselor</v>
      </c>
      <c r="W1286" t="str">
        <f t="shared" si="118"/>
        <v>Counselor</v>
      </c>
    </row>
    <row r="1287" spans="1:23" x14ac:dyDescent="0.25">
      <c r="A1287">
        <v>17414</v>
      </c>
      <c r="B1287" t="s">
        <v>1270</v>
      </c>
      <c r="C1287">
        <v>30.521999999999998</v>
      </c>
      <c r="D1287" t="s">
        <v>1264</v>
      </c>
      <c r="E1287">
        <v>100127</v>
      </c>
      <c r="F1287">
        <v>17414</v>
      </c>
      <c r="G1287" t="str">
        <f t="shared" si="116"/>
        <v>17414</v>
      </c>
      <c r="H1287" t="s">
        <v>408</v>
      </c>
      <c r="I1287" t="s">
        <v>1265</v>
      </c>
      <c r="J1287" t="s">
        <v>1271</v>
      </c>
      <c r="K1287" t="s">
        <v>1272</v>
      </c>
      <c r="L1287" t="s">
        <v>1270</v>
      </c>
      <c r="M1287" t="s">
        <v>1273</v>
      </c>
      <c r="N1287">
        <v>1</v>
      </c>
      <c r="O1287" t="str">
        <f t="shared" si="119"/>
        <v>42</v>
      </c>
      <c r="P1287">
        <v>42</v>
      </c>
      <c r="R1287" t="s">
        <v>1269</v>
      </c>
      <c r="S1287">
        <v>30.521999999999998</v>
      </c>
      <c r="T1287">
        <v>0.22600000000000001</v>
      </c>
      <c r="U1287">
        <f t="shared" si="120"/>
        <v>0</v>
      </c>
      <c r="V1287" t="str">
        <f t="shared" si="117"/>
        <v>High Counselor</v>
      </c>
      <c r="W1287" t="str">
        <f t="shared" si="118"/>
        <v>Counselor</v>
      </c>
    </row>
    <row r="1288" spans="1:23" x14ac:dyDescent="0.25">
      <c r="A1288">
        <v>17414</v>
      </c>
      <c r="B1288" t="s">
        <v>1263</v>
      </c>
      <c r="C1288">
        <v>20.983000000000001</v>
      </c>
      <c r="D1288" t="s">
        <v>1264</v>
      </c>
      <c r="E1288">
        <v>100127</v>
      </c>
      <c r="F1288">
        <v>17414</v>
      </c>
      <c r="G1288" t="str">
        <f t="shared" si="116"/>
        <v>17414</v>
      </c>
      <c r="H1288" t="s">
        <v>408</v>
      </c>
      <c r="I1288" t="s">
        <v>1265</v>
      </c>
      <c r="J1288" t="s">
        <v>1266</v>
      </c>
      <c r="K1288" t="s">
        <v>1267</v>
      </c>
      <c r="L1288" t="s">
        <v>1263</v>
      </c>
      <c r="M1288" t="s">
        <v>1268</v>
      </c>
      <c r="N1288">
        <v>1</v>
      </c>
      <c r="O1288" t="str">
        <f t="shared" si="119"/>
        <v>42</v>
      </c>
      <c r="P1288">
        <v>42</v>
      </c>
      <c r="R1288" t="s">
        <v>1269</v>
      </c>
      <c r="S1288">
        <v>20.983000000000001</v>
      </c>
      <c r="T1288">
        <v>0.22600000000000001</v>
      </c>
      <c r="U1288">
        <f t="shared" si="120"/>
        <v>0</v>
      </c>
      <c r="V1288" t="str">
        <f t="shared" si="117"/>
        <v>Middle Counselor</v>
      </c>
      <c r="W1288" t="str">
        <f t="shared" si="118"/>
        <v>Counselor</v>
      </c>
    </row>
    <row r="1289" spans="1:23" x14ac:dyDescent="0.25">
      <c r="A1289">
        <v>17414</v>
      </c>
      <c r="B1289" t="s">
        <v>1289</v>
      </c>
      <c r="C1289">
        <v>16.672000000000001</v>
      </c>
      <c r="D1289" t="s">
        <v>1264</v>
      </c>
      <c r="E1289">
        <v>100127</v>
      </c>
      <c r="F1289">
        <v>17414</v>
      </c>
      <c r="G1289" t="str">
        <f t="shared" si="116"/>
        <v>17414</v>
      </c>
      <c r="H1289" t="s">
        <v>408</v>
      </c>
      <c r="I1289" t="s">
        <v>1265</v>
      </c>
      <c r="J1289" t="s">
        <v>1276</v>
      </c>
      <c r="K1289" t="s">
        <v>1277</v>
      </c>
      <c r="L1289" t="s">
        <v>1289</v>
      </c>
      <c r="M1289" t="s">
        <v>1307</v>
      </c>
      <c r="N1289">
        <v>21</v>
      </c>
      <c r="O1289" t="str">
        <f t="shared" si="119"/>
        <v>43</v>
      </c>
      <c r="P1289">
        <v>43</v>
      </c>
      <c r="R1289" t="s">
        <v>1269</v>
      </c>
      <c r="S1289">
        <v>16.672000000000001</v>
      </c>
      <c r="T1289">
        <v>0.22600000000000001</v>
      </c>
      <c r="U1289">
        <f t="shared" si="120"/>
        <v>3.7679999999999998</v>
      </c>
      <c r="V1289" t="str">
        <f t="shared" si="117"/>
        <v>Elementary Occupational Therapist</v>
      </c>
      <c r="W1289" t="str">
        <f t="shared" si="118"/>
        <v>Occupational Therapist</v>
      </c>
    </row>
    <row r="1290" spans="1:23" x14ac:dyDescent="0.25">
      <c r="A1290">
        <v>17414</v>
      </c>
      <c r="B1290" t="s">
        <v>1387</v>
      </c>
      <c r="C1290">
        <v>2.5289999999999999</v>
      </c>
      <c r="D1290" t="s">
        <v>1264</v>
      </c>
      <c r="E1290">
        <v>100127</v>
      </c>
      <c r="F1290">
        <v>17414</v>
      </c>
      <c r="G1290" t="str">
        <f t="shared" si="116"/>
        <v>17414</v>
      </c>
      <c r="H1290" t="s">
        <v>408</v>
      </c>
      <c r="I1290" t="s">
        <v>1265</v>
      </c>
      <c r="J1290" t="s">
        <v>1271</v>
      </c>
      <c r="K1290" t="s">
        <v>1272</v>
      </c>
      <c r="L1290" t="s">
        <v>1387</v>
      </c>
      <c r="M1290" t="s">
        <v>1406</v>
      </c>
      <c r="N1290">
        <v>21</v>
      </c>
      <c r="O1290" t="str">
        <f t="shared" si="119"/>
        <v>43</v>
      </c>
      <c r="P1290">
        <v>43</v>
      </c>
      <c r="R1290" t="s">
        <v>1269</v>
      </c>
      <c r="S1290">
        <v>2.5289999999999999</v>
      </c>
      <c r="T1290">
        <v>0.22600000000000001</v>
      </c>
      <c r="U1290">
        <f t="shared" si="120"/>
        <v>0.57199999999999995</v>
      </c>
      <c r="V1290" t="str">
        <f t="shared" si="117"/>
        <v>High Occupational Therapist</v>
      </c>
      <c r="W1290" t="str">
        <f t="shared" si="118"/>
        <v>Occupational Therapist</v>
      </c>
    </row>
    <row r="1291" spans="1:23" x14ac:dyDescent="0.25">
      <c r="A1291">
        <v>17414</v>
      </c>
      <c r="B1291" t="s">
        <v>1303</v>
      </c>
      <c r="C1291">
        <v>3.57</v>
      </c>
      <c r="D1291" t="s">
        <v>1264</v>
      </c>
      <c r="E1291">
        <v>100127</v>
      </c>
      <c r="F1291">
        <v>17414</v>
      </c>
      <c r="G1291" t="str">
        <f t="shared" si="116"/>
        <v>17414</v>
      </c>
      <c r="H1291" t="s">
        <v>408</v>
      </c>
      <c r="I1291" t="s">
        <v>1265</v>
      </c>
      <c r="J1291" t="s">
        <v>1266</v>
      </c>
      <c r="K1291" t="s">
        <v>1267</v>
      </c>
      <c r="L1291" t="s">
        <v>1303</v>
      </c>
      <c r="M1291" t="s">
        <v>1304</v>
      </c>
      <c r="N1291">
        <v>21</v>
      </c>
      <c r="O1291" t="str">
        <f t="shared" si="119"/>
        <v>43</v>
      </c>
      <c r="P1291">
        <v>43</v>
      </c>
      <c r="R1291" t="s">
        <v>1269</v>
      </c>
      <c r="S1291">
        <v>3.57</v>
      </c>
      <c r="T1291">
        <v>0.22600000000000001</v>
      </c>
      <c r="U1291">
        <f t="shared" si="120"/>
        <v>0.80700000000000005</v>
      </c>
      <c r="V1291" t="str">
        <f t="shared" si="117"/>
        <v>Middle Occupational Therapist</v>
      </c>
      <c r="W1291" t="str">
        <f t="shared" si="118"/>
        <v>Occupational Therapist</v>
      </c>
    </row>
    <row r="1292" spans="1:23" x14ac:dyDescent="0.25">
      <c r="A1292">
        <v>17414</v>
      </c>
      <c r="B1292" t="s">
        <v>1294</v>
      </c>
      <c r="C1292">
        <v>17.399999999999999</v>
      </c>
      <c r="D1292" t="s">
        <v>1264</v>
      </c>
      <c r="E1292">
        <v>100127</v>
      </c>
      <c r="F1292">
        <v>17414</v>
      </c>
      <c r="G1292" t="str">
        <f t="shared" si="116"/>
        <v>17414</v>
      </c>
      <c r="H1292" t="s">
        <v>408</v>
      </c>
      <c r="I1292" t="s">
        <v>1265</v>
      </c>
      <c r="J1292" t="s">
        <v>1276</v>
      </c>
      <c r="K1292" t="s">
        <v>1277</v>
      </c>
      <c r="L1292" t="s">
        <v>1294</v>
      </c>
      <c r="M1292" t="s">
        <v>1354</v>
      </c>
      <c r="N1292">
        <v>21</v>
      </c>
      <c r="O1292" t="str">
        <f t="shared" si="119"/>
        <v>45</v>
      </c>
      <c r="P1292">
        <v>45</v>
      </c>
      <c r="R1292" t="s">
        <v>1269</v>
      </c>
      <c r="S1292">
        <v>17.399999999999999</v>
      </c>
      <c r="T1292">
        <v>0.22600000000000001</v>
      </c>
      <c r="U1292">
        <f t="shared" si="120"/>
        <v>3.9319999999999999</v>
      </c>
      <c r="V1292" t="str">
        <f t="shared" si="117"/>
        <v>Elementary Speech, Language Pathway/
Audio</v>
      </c>
      <c r="W1292" t="str">
        <f t="shared" si="118"/>
        <v>Speech, Language Pathway/
Audio</v>
      </c>
    </row>
    <row r="1293" spans="1:23" x14ac:dyDescent="0.25">
      <c r="A1293">
        <v>17414</v>
      </c>
      <c r="B1293" t="s">
        <v>1326</v>
      </c>
      <c r="C1293">
        <v>5</v>
      </c>
      <c r="D1293" t="s">
        <v>1264</v>
      </c>
      <c r="E1293">
        <v>100127</v>
      </c>
      <c r="F1293">
        <v>17414</v>
      </c>
      <c r="G1293" t="str">
        <f t="shared" si="116"/>
        <v>17414</v>
      </c>
      <c r="H1293" t="s">
        <v>408</v>
      </c>
      <c r="I1293" t="s">
        <v>1265</v>
      </c>
      <c r="J1293" t="s">
        <v>1271</v>
      </c>
      <c r="K1293" t="s">
        <v>1272</v>
      </c>
      <c r="L1293" t="s">
        <v>1326</v>
      </c>
      <c r="M1293" t="s">
        <v>1353</v>
      </c>
      <c r="N1293">
        <v>21</v>
      </c>
      <c r="O1293" t="str">
        <f t="shared" si="119"/>
        <v>45</v>
      </c>
      <c r="P1293">
        <v>45</v>
      </c>
      <c r="R1293" t="s">
        <v>1269</v>
      </c>
      <c r="S1293">
        <v>5</v>
      </c>
      <c r="T1293">
        <v>0.22600000000000001</v>
      </c>
      <c r="U1293">
        <f t="shared" si="120"/>
        <v>1.1299999999999999</v>
      </c>
      <c r="V1293" t="str">
        <f t="shared" si="117"/>
        <v>High Speech, Language Pathway/
Audio</v>
      </c>
      <c r="W1293" t="str">
        <f t="shared" si="118"/>
        <v>Speech, Language Pathway/
Audio</v>
      </c>
    </row>
    <row r="1294" spans="1:23" x14ac:dyDescent="0.25">
      <c r="A1294">
        <v>17414</v>
      </c>
      <c r="B1294" t="s">
        <v>1312</v>
      </c>
      <c r="C1294">
        <v>6.2</v>
      </c>
      <c r="D1294" t="s">
        <v>1264</v>
      </c>
      <c r="E1294">
        <v>100127</v>
      </c>
      <c r="F1294">
        <v>17414</v>
      </c>
      <c r="G1294" t="str">
        <f t="shared" si="116"/>
        <v>17414</v>
      </c>
      <c r="H1294" t="s">
        <v>408</v>
      </c>
      <c r="I1294" t="s">
        <v>1265</v>
      </c>
      <c r="J1294" t="s">
        <v>1266</v>
      </c>
      <c r="K1294" t="s">
        <v>1267</v>
      </c>
      <c r="L1294" t="s">
        <v>1312</v>
      </c>
      <c r="M1294" t="s">
        <v>1351</v>
      </c>
      <c r="N1294">
        <v>21</v>
      </c>
      <c r="O1294" t="str">
        <f t="shared" si="119"/>
        <v>45</v>
      </c>
      <c r="P1294">
        <v>45</v>
      </c>
      <c r="R1294" t="s">
        <v>1269</v>
      </c>
      <c r="S1294">
        <v>6.2</v>
      </c>
      <c r="T1294">
        <v>0.22600000000000001</v>
      </c>
      <c r="U1294">
        <f t="shared" si="120"/>
        <v>1.401</v>
      </c>
      <c r="V1294" t="str">
        <f t="shared" si="117"/>
        <v>Middle Speech, Language Pathway/
Audio</v>
      </c>
      <c r="W1294" t="str">
        <f t="shared" si="118"/>
        <v>Speech, Language Pathway/
Audio</v>
      </c>
    </row>
    <row r="1295" spans="1:23" x14ac:dyDescent="0.25">
      <c r="A1295">
        <v>17414</v>
      </c>
      <c r="B1295" t="s">
        <v>1333</v>
      </c>
      <c r="C1295">
        <v>15.2</v>
      </c>
      <c r="D1295" t="s">
        <v>1264</v>
      </c>
      <c r="E1295">
        <v>100127</v>
      </c>
      <c r="F1295">
        <v>17414</v>
      </c>
      <c r="G1295" t="str">
        <f t="shared" si="116"/>
        <v>17414</v>
      </c>
      <c r="H1295" t="s">
        <v>408</v>
      </c>
      <c r="I1295" t="s">
        <v>1265</v>
      </c>
      <c r="J1295" t="s">
        <v>1276</v>
      </c>
      <c r="K1295" t="s">
        <v>1277</v>
      </c>
      <c r="L1295" t="s">
        <v>1333</v>
      </c>
      <c r="M1295" t="s">
        <v>1432</v>
      </c>
      <c r="N1295">
        <v>1</v>
      </c>
      <c r="O1295" t="str">
        <f t="shared" si="119"/>
        <v>46</v>
      </c>
      <c r="P1295">
        <v>46</v>
      </c>
      <c r="R1295" t="s">
        <v>1269</v>
      </c>
      <c r="S1295">
        <v>15.2</v>
      </c>
      <c r="T1295">
        <v>0.22600000000000001</v>
      </c>
      <c r="U1295">
        <f t="shared" si="120"/>
        <v>0</v>
      </c>
      <c r="V1295" t="str">
        <f t="shared" si="117"/>
        <v>Elementary Psychologist</v>
      </c>
      <c r="W1295" t="str">
        <f t="shared" si="118"/>
        <v>Psychologist</v>
      </c>
    </row>
    <row r="1296" spans="1:23" x14ac:dyDescent="0.25">
      <c r="A1296">
        <v>17414</v>
      </c>
      <c r="B1296" t="s">
        <v>1396</v>
      </c>
      <c r="C1296">
        <v>9.718</v>
      </c>
      <c r="D1296" t="s">
        <v>1264</v>
      </c>
      <c r="E1296">
        <v>100127</v>
      </c>
      <c r="F1296">
        <v>17414</v>
      </c>
      <c r="G1296" t="str">
        <f t="shared" si="116"/>
        <v>17414</v>
      </c>
      <c r="H1296" t="s">
        <v>408</v>
      </c>
      <c r="I1296" t="s">
        <v>1265</v>
      </c>
      <c r="J1296" t="s">
        <v>1271</v>
      </c>
      <c r="K1296" t="s">
        <v>1272</v>
      </c>
      <c r="L1296" t="s">
        <v>1396</v>
      </c>
      <c r="M1296" t="s">
        <v>1431</v>
      </c>
      <c r="N1296">
        <v>1</v>
      </c>
      <c r="O1296" t="str">
        <f t="shared" si="119"/>
        <v>46</v>
      </c>
      <c r="P1296">
        <v>46</v>
      </c>
      <c r="R1296" t="s">
        <v>1269</v>
      </c>
      <c r="S1296">
        <v>9.718</v>
      </c>
      <c r="T1296">
        <v>0.22600000000000001</v>
      </c>
      <c r="U1296">
        <f t="shared" si="120"/>
        <v>0</v>
      </c>
      <c r="V1296" t="str">
        <f t="shared" si="117"/>
        <v>High Psychologist</v>
      </c>
      <c r="W1296" t="str">
        <f t="shared" si="118"/>
        <v>Psychologist</v>
      </c>
    </row>
    <row r="1297" spans="1:23" x14ac:dyDescent="0.25">
      <c r="A1297">
        <v>17414</v>
      </c>
      <c r="B1297" t="s">
        <v>1371</v>
      </c>
      <c r="C1297">
        <v>7.05</v>
      </c>
      <c r="D1297" t="s">
        <v>1264</v>
      </c>
      <c r="E1297">
        <v>100127</v>
      </c>
      <c r="F1297">
        <v>17414</v>
      </c>
      <c r="G1297" t="str">
        <f t="shared" si="116"/>
        <v>17414</v>
      </c>
      <c r="H1297" t="s">
        <v>408</v>
      </c>
      <c r="I1297" t="s">
        <v>1265</v>
      </c>
      <c r="J1297" t="s">
        <v>1266</v>
      </c>
      <c r="K1297" t="s">
        <v>1267</v>
      </c>
      <c r="L1297" t="s">
        <v>1371</v>
      </c>
      <c r="M1297" t="s">
        <v>1430</v>
      </c>
      <c r="N1297">
        <v>1</v>
      </c>
      <c r="O1297" t="str">
        <f t="shared" si="119"/>
        <v>46</v>
      </c>
      <c r="P1297">
        <v>46</v>
      </c>
      <c r="R1297" t="s">
        <v>1269</v>
      </c>
      <c r="S1297">
        <v>7.05</v>
      </c>
      <c r="T1297">
        <v>0.22600000000000001</v>
      </c>
      <c r="U1297">
        <f t="shared" si="120"/>
        <v>0</v>
      </c>
      <c r="V1297" t="str">
        <f t="shared" si="117"/>
        <v>Middle Psychologist</v>
      </c>
      <c r="W1297" t="str">
        <f t="shared" si="118"/>
        <v>Psychologist</v>
      </c>
    </row>
    <row r="1298" spans="1:23" x14ac:dyDescent="0.25">
      <c r="A1298">
        <v>17414</v>
      </c>
      <c r="B1298" t="s">
        <v>1302</v>
      </c>
      <c r="C1298">
        <v>2.7</v>
      </c>
      <c r="D1298" t="s">
        <v>1264</v>
      </c>
      <c r="E1298">
        <v>100127</v>
      </c>
      <c r="F1298">
        <v>17414</v>
      </c>
      <c r="G1298" t="str">
        <f t="shared" si="116"/>
        <v>17414</v>
      </c>
      <c r="H1298" t="s">
        <v>408</v>
      </c>
      <c r="I1298" t="s">
        <v>1265</v>
      </c>
      <c r="J1298" t="s">
        <v>1276</v>
      </c>
      <c r="K1298" t="s">
        <v>1277</v>
      </c>
      <c r="L1298" t="s">
        <v>1302</v>
      </c>
      <c r="M1298" t="s">
        <v>1336</v>
      </c>
      <c r="N1298">
        <v>21</v>
      </c>
      <c r="O1298" t="str">
        <f t="shared" si="119"/>
        <v>48</v>
      </c>
      <c r="P1298">
        <v>48</v>
      </c>
      <c r="R1298" t="s">
        <v>1269</v>
      </c>
      <c r="S1298">
        <v>2.7</v>
      </c>
      <c r="T1298">
        <v>0.22600000000000001</v>
      </c>
      <c r="U1298">
        <f t="shared" si="120"/>
        <v>0.61</v>
      </c>
      <c r="V1298" t="str">
        <f t="shared" si="117"/>
        <v>Elementary Physical Therapist</v>
      </c>
      <c r="W1298" t="str">
        <f t="shared" si="118"/>
        <v>Physical Therapist</v>
      </c>
    </row>
    <row r="1299" spans="1:23" x14ac:dyDescent="0.25">
      <c r="A1299">
        <v>17414</v>
      </c>
      <c r="B1299" t="s">
        <v>1330</v>
      </c>
      <c r="C1299">
        <v>1.1000000000000001</v>
      </c>
      <c r="D1299" t="s">
        <v>1264</v>
      </c>
      <c r="E1299">
        <v>100127</v>
      </c>
      <c r="F1299">
        <v>17414</v>
      </c>
      <c r="G1299" t="str">
        <f t="shared" si="116"/>
        <v>17414</v>
      </c>
      <c r="H1299" t="s">
        <v>408</v>
      </c>
      <c r="I1299" t="s">
        <v>1265</v>
      </c>
      <c r="J1299" t="s">
        <v>1271</v>
      </c>
      <c r="K1299" t="s">
        <v>1272</v>
      </c>
      <c r="L1299" t="s">
        <v>1330</v>
      </c>
      <c r="M1299" t="s">
        <v>1367</v>
      </c>
      <c r="N1299">
        <v>21</v>
      </c>
      <c r="O1299" t="str">
        <f t="shared" si="119"/>
        <v>48</v>
      </c>
      <c r="P1299">
        <v>48</v>
      </c>
      <c r="R1299" t="s">
        <v>1269</v>
      </c>
      <c r="S1299">
        <v>1.1000000000000001</v>
      </c>
      <c r="T1299">
        <v>0.22600000000000001</v>
      </c>
      <c r="U1299">
        <f t="shared" si="120"/>
        <v>0.249</v>
      </c>
      <c r="V1299" t="str">
        <f t="shared" si="117"/>
        <v>High Physical Therapist</v>
      </c>
      <c r="W1299" t="str">
        <f t="shared" si="118"/>
        <v>Physical Therapist</v>
      </c>
    </row>
    <row r="1300" spans="1:23" x14ac:dyDescent="0.25">
      <c r="A1300">
        <v>17414</v>
      </c>
      <c r="B1300" t="s">
        <v>1316</v>
      </c>
      <c r="C1300">
        <v>0.9</v>
      </c>
      <c r="D1300" t="s">
        <v>1264</v>
      </c>
      <c r="E1300">
        <v>100127</v>
      </c>
      <c r="F1300">
        <v>17414</v>
      </c>
      <c r="G1300" t="str">
        <f t="shared" si="116"/>
        <v>17414</v>
      </c>
      <c r="H1300" t="s">
        <v>408</v>
      </c>
      <c r="I1300" t="s">
        <v>1265</v>
      </c>
      <c r="J1300" t="s">
        <v>1266</v>
      </c>
      <c r="K1300" t="s">
        <v>1267</v>
      </c>
      <c r="L1300" t="s">
        <v>1316</v>
      </c>
      <c r="M1300" t="s">
        <v>1366</v>
      </c>
      <c r="N1300">
        <v>21</v>
      </c>
      <c r="O1300" t="str">
        <f t="shared" si="119"/>
        <v>48</v>
      </c>
      <c r="P1300">
        <v>48</v>
      </c>
      <c r="R1300" t="s">
        <v>1269</v>
      </c>
      <c r="S1300">
        <v>0.9</v>
      </c>
      <c r="T1300">
        <v>0.22600000000000001</v>
      </c>
      <c r="U1300">
        <f t="shared" si="120"/>
        <v>0.20300000000000001</v>
      </c>
      <c r="V1300" t="str">
        <f t="shared" si="117"/>
        <v>Middle Physical Therapist</v>
      </c>
      <c r="W1300" t="str">
        <f t="shared" si="118"/>
        <v>Physical Therapist</v>
      </c>
    </row>
    <row r="1301" spans="1:23" x14ac:dyDescent="0.25">
      <c r="A1301">
        <v>17415</v>
      </c>
      <c r="B1301" t="s">
        <v>1308</v>
      </c>
      <c r="C1301">
        <v>5.0410000000000004</v>
      </c>
      <c r="D1301" t="s">
        <v>1264</v>
      </c>
      <c r="E1301">
        <v>100117</v>
      </c>
      <c r="F1301">
        <v>17415</v>
      </c>
      <c r="G1301" t="str">
        <f t="shared" si="116"/>
        <v>17415</v>
      </c>
      <c r="H1301" t="s">
        <v>409</v>
      </c>
      <c r="I1301" t="s">
        <v>1265</v>
      </c>
      <c r="J1301" t="s">
        <v>1276</v>
      </c>
      <c r="K1301" t="s">
        <v>1277</v>
      </c>
      <c r="L1301" t="s">
        <v>1308</v>
      </c>
      <c r="M1301" t="s">
        <v>1389</v>
      </c>
      <c r="N1301">
        <v>1</v>
      </c>
      <c r="O1301" t="str">
        <f t="shared" si="119"/>
        <v>25</v>
      </c>
      <c r="Q1301">
        <v>25</v>
      </c>
      <c r="R1301" t="s">
        <v>1269</v>
      </c>
      <c r="S1301">
        <v>5.0410000000000004</v>
      </c>
      <c r="T1301">
        <v>0.30840000000000001</v>
      </c>
      <c r="U1301">
        <f t="shared" si="120"/>
        <v>0</v>
      </c>
      <c r="V1301" t="str">
        <f t="shared" si="117"/>
        <v>Elementary Pupil Management</v>
      </c>
      <c r="W1301" t="str">
        <f t="shared" si="118"/>
        <v>Pupil Management</v>
      </c>
    </row>
    <row r="1302" spans="1:23" x14ac:dyDescent="0.25">
      <c r="A1302">
        <v>17415</v>
      </c>
      <c r="B1302" t="s">
        <v>1299</v>
      </c>
      <c r="C1302">
        <v>49.628999999999998</v>
      </c>
      <c r="D1302" t="s">
        <v>1264</v>
      </c>
      <c r="E1302">
        <v>100117</v>
      </c>
      <c r="F1302">
        <v>17415</v>
      </c>
      <c r="G1302" t="str">
        <f t="shared" si="116"/>
        <v>17415</v>
      </c>
      <c r="H1302" t="s">
        <v>409</v>
      </c>
      <c r="I1302" t="s">
        <v>1265</v>
      </c>
      <c r="J1302" t="s">
        <v>1271</v>
      </c>
      <c r="K1302" t="s">
        <v>1272</v>
      </c>
      <c r="L1302" t="s">
        <v>1299</v>
      </c>
      <c r="M1302" t="s">
        <v>1300</v>
      </c>
      <c r="N1302">
        <v>1</v>
      </c>
      <c r="O1302" t="str">
        <f t="shared" si="119"/>
        <v>25</v>
      </c>
      <c r="Q1302">
        <v>25</v>
      </c>
      <c r="R1302" t="s">
        <v>1269</v>
      </c>
      <c r="S1302">
        <v>49.628999999999998</v>
      </c>
      <c r="T1302">
        <v>0.30840000000000001</v>
      </c>
      <c r="U1302">
        <f t="shared" si="120"/>
        <v>0</v>
      </c>
      <c r="V1302" t="str">
        <f t="shared" si="117"/>
        <v>High Pupil Management</v>
      </c>
      <c r="W1302" t="str">
        <f t="shared" si="118"/>
        <v>Pupil Management</v>
      </c>
    </row>
    <row r="1303" spans="1:23" x14ac:dyDescent="0.25">
      <c r="A1303">
        <v>17415</v>
      </c>
      <c r="B1303" t="s">
        <v>1315</v>
      </c>
      <c r="C1303">
        <v>2.9</v>
      </c>
      <c r="D1303" t="s">
        <v>1264</v>
      </c>
      <c r="E1303">
        <v>100117</v>
      </c>
      <c r="F1303">
        <v>17415</v>
      </c>
      <c r="G1303" t="str">
        <f t="shared" si="116"/>
        <v>17415</v>
      </c>
      <c r="H1303" t="s">
        <v>409</v>
      </c>
      <c r="I1303" t="s">
        <v>1265</v>
      </c>
      <c r="J1303" t="s">
        <v>1276</v>
      </c>
      <c r="K1303" t="s">
        <v>1277</v>
      </c>
      <c r="L1303" t="s">
        <v>1315</v>
      </c>
      <c r="M1303" t="s">
        <v>1375</v>
      </c>
      <c r="N1303">
        <v>1</v>
      </c>
      <c r="O1303" t="str">
        <f t="shared" si="119"/>
        <v>26</v>
      </c>
      <c r="Q1303">
        <v>26</v>
      </c>
      <c r="R1303" t="s">
        <v>1269</v>
      </c>
      <c r="S1303">
        <v>2.9</v>
      </c>
      <c r="T1303">
        <v>0.30840000000000001</v>
      </c>
      <c r="U1303">
        <f t="shared" si="120"/>
        <v>0</v>
      </c>
      <c r="V1303" t="str">
        <f t="shared" si="117"/>
        <v>Elementary Health/
Related Services</v>
      </c>
      <c r="W1303" t="str">
        <f t="shared" si="118"/>
        <v>Health/
Related Services</v>
      </c>
    </row>
    <row r="1304" spans="1:23" x14ac:dyDescent="0.25">
      <c r="A1304">
        <v>17415</v>
      </c>
      <c r="B1304" t="s">
        <v>1324</v>
      </c>
      <c r="C1304">
        <v>2.8130000000000002</v>
      </c>
      <c r="D1304" t="s">
        <v>1264</v>
      </c>
      <c r="E1304">
        <v>100117</v>
      </c>
      <c r="F1304">
        <v>17415</v>
      </c>
      <c r="G1304" t="str">
        <f t="shared" si="116"/>
        <v>17415</v>
      </c>
      <c r="H1304" t="s">
        <v>409</v>
      </c>
      <c r="I1304" t="s">
        <v>1265</v>
      </c>
      <c r="J1304" t="s">
        <v>1271</v>
      </c>
      <c r="K1304" t="s">
        <v>1272</v>
      </c>
      <c r="L1304" t="s">
        <v>1324</v>
      </c>
      <c r="M1304" t="s">
        <v>1325</v>
      </c>
      <c r="N1304">
        <v>21</v>
      </c>
      <c r="O1304" t="str">
        <f t="shared" si="119"/>
        <v>26</v>
      </c>
      <c r="Q1304">
        <v>26</v>
      </c>
      <c r="R1304" t="s">
        <v>1269</v>
      </c>
      <c r="S1304">
        <v>2.8130000000000002</v>
      </c>
      <c r="T1304">
        <v>0.30840000000000001</v>
      </c>
      <c r="U1304">
        <f t="shared" si="120"/>
        <v>0.86799999999999999</v>
      </c>
      <c r="V1304" t="str">
        <f t="shared" si="117"/>
        <v>High Health/
Related Services</v>
      </c>
      <c r="W1304" t="str">
        <f t="shared" si="118"/>
        <v>Health/
Related Services</v>
      </c>
    </row>
    <row r="1305" spans="1:23" x14ac:dyDescent="0.25">
      <c r="A1305">
        <v>17415</v>
      </c>
      <c r="B1305" t="s">
        <v>1295</v>
      </c>
      <c r="C1305">
        <v>22.332999999999998</v>
      </c>
      <c r="D1305" t="s">
        <v>1264</v>
      </c>
      <c r="E1305">
        <v>100117</v>
      </c>
      <c r="F1305">
        <v>17415</v>
      </c>
      <c r="G1305" t="str">
        <f t="shared" si="116"/>
        <v>17415</v>
      </c>
      <c r="H1305" t="s">
        <v>409</v>
      </c>
      <c r="I1305" t="s">
        <v>1265</v>
      </c>
      <c r="J1305" t="s">
        <v>1271</v>
      </c>
      <c r="K1305" t="s">
        <v>1272</v>
      </c>
      <c r="L1305" t="s">
        <v>1295</v>
      </c>
      <c r="M1305" t="s">
        <v>1296</v>
      </c>
      <c r="N1305">
        <v>1</v>
      </c>
      <c r="O1305" t="str">
        <f t="shared" si="119"/>
        <v>26</v>
      </c>
      <c r="Q1305">
        <v>26</v>
      </c>
      <c r="R1305" t="s">
        <v>1269</v>
      </c>
      <c r="S1305">
        <v>22.332999999999998</v>
      </c>
      <c r="T1305">
        <v>0.30840000000000001</v>
      </c>
      <c r="U1305">
        <f t="shared" si="120"/>
        <v>0</v>
      </c>
      <c r="V1305" t="str">
        <f t="shared" si="117"/>
        <v>High Health/
Related Services</v>
      </c>
      <c r="W1305" t="str">
        <f t="shared" si="118"/>
        <v>Health/
Related Services</v>
      </c>
    </row>
    <row r="1306" spans="1:23" x14ac:dyDescent="0.25">
      <c r="A1306">
        <v>17415</v>
      </c>
      <c r="B1306" t="s">
        <v>1291</v>
      </c>
      <c r="C1306">
        <v>1.714</v>
      </c>
      <c r="D1306" t="s">
        <v>1264</v>
      </c>
      <c r="E1306">
        <v>100117</v>
      </c>
      <c r="F1306">
        <v>17415</v>
      </c>
      <c r="G1306" t="str">
        <f t="shared" si="116"/>
        <v>17415</v>
      </c>
      <c r="H1306" t="s">
        <v>409</v>
      </c>
      <c r="I1306" t="s">
        <v>1265</v>
      </c>
      <c r="J1306" t="s">
        <v>1266</v>
      </c>
      <c r="K1306" t="s">
        <v>1267</v>
      </c>
      <c r="L1306" t="s">
        <v>1291</v>
      </c>
      <c r="M1306" t="s">
        <v>1292</v>
      </c>
      <c r="N1306">
        <v>1</v>
      </c>
      <c r="O1306" t="str">
        <f t="shared" si="119"/>
        <v>26</v>
      </c>
      <c r="Q1306">
        <v>26</v>
      </c>
      <c r="R1306" t="s">
        <v>1269</v>
      </c>
      <c r="S1306">
        <v>1.714</v>
      </c>
      <c r="T1306">
        <v>0.30840000000000001</v>
      </c>
      <c r="U1306">
        <f t="shared" si="120"/>
        <v>0</v>
      </c>
      <c r="V1306" t="str">
        <f t="shared" si="117"/>
        <v>Middle Health/
Related Services</v>
      </c>
      <c r="W1306" t="str">
        <f t="shared" si="118"/>
        <v>Health/
Related Services</v>
      </c>
    </row>
    <row r="1307" spans="1:23" x14ac:dyDescent="0.25">
      <c r="A1307">
        <v>17415</v>
      </c>
      <c r="B1307" t="s">
        <v>1401</v>
      </c>
      <c r="C1307">
        <v>15.925000000000001</v>
      </c>
      <c r="D1307" t="s">
        <v>1264</v>
      </c>
      <c r="E1307">
        <v>100117</v>
      </c>
      <c r="F1307">
        <v>17415</v>
      </c>
      <c r="G1307" t="str">
        <f t="shared" si="116"/>
        <v>17415</v>
      </c>
      <c r="H1307" t="s">
        <v>409</v>
      </c>
      <c r="I1307" t="s">
        <v>1265</v>
      </c>
      <c r="J1307" t="s">
        <v>1271</v>
      </c>
      <c r="K1307" t="s">
        <v>1272</v>
      </c>
      <c r="L1307" t="s">
        <v>1401</v>
      </c>
      <c r="M1307" t="s">
        <v>1422</v>
      </c>
      <c r="N1307">
        <v>1</v>
      </c>
      <c r="O1307" t="str">
        <f t="shared" si="119"/>
        <v>35</v>
      </c>
      <c r="Q1307">
        <v>35</v>
      </c>
      <c r="R1307" t="s">
        <v>1269</v>
      </c>
      <c r="S1307">
        <v>15.925000000000001</v>
      </c>
      <c r="T1307">
        <v>0.30840000000000001</v>
      </c>
      <c r="U1307">
        <f t="shared" si="120"/>
        <v>0</v>
      </c>
      <c r="V1307" t="str">
        <f t="shared" si="117"/>
        <v>High Pupil Safety</v>
      </c>
      <c r="W1307" t="str">
        <f t="shared" si="118"/>
        <v>Pupil Safety</v>
      </c>
    </row>
    <row r="1308" spans="1:23" x14ac:dyDescent="0.25">
      <c r="A1308">
        <v>17415</v>
      </c>
      <c r="B1308" t="s">
        <v>1275</v>
      </c>
      <c r="C1308">
        <v>12.494999999999999</v>
      </c>
      <c r="D1308" t="s">
        <v>1264</v>
      </c>
      <c r="E1308">
        <v>100117</v>
      </c>
      <c r="F1308">
        <v>17415</v>
      </c>
      <c r="G1308" t="str">
        <f t="shared" si="116"/>
        <v>17415</v>
      </c>
      <c r="H1308" t="s">
        <v>409</v>
      </c>
      <c r="I1308" t="s">
        <v>1265</v>
      </c>
      <c r="J1308" t="s">
        <v>1276</v>
      </c>
      <c r="K1308" t="s">
        <v>1277</v>
      </c>
      <c r="L1308" t="s">
        <v>1275</v>
      </c>
      <c r="M1308" t="s">
        <v>1278</v>
      </c>
      <c r="N1308">
        <v>1</v>
      </c>
      <c r="O1308" t="str">
        <f t="shared" si="119"/>
        <v>42</v>
      </c>
      <c r="P1308">
        <v>42</v>
      </c>
      <c r="R1308" t="s">
        <v>1269</v>
      </c>
      <c r="S1308">
        <v>12.494999999999999</v>
      </c>
      <c r="T1308">
        <v>0.30840000000000001</v>
      </c>
      <c r="U1308">
        <f t="shared" si="120"/>
        <v>0</v>
      </c>
      <c r="V1308" t="str">
        <f t="shared" si="117"/>
        <v>Elementary Counselor</v>
      </c>
      <c r="W1308" t="str">
        <f t="shared" si="118"/>
        <v>Counselor</v>
      </c>
    </row>
    <row r="1309" spans="1:23" x14ac:dyDescent="0.25">
      <c r="A1309">
        <v>17415</v>
      </c>
      <c r="B1309" t="s">
        <v>1270</v>
      </c>
      <c r="C1309">
        <v>19.899999999999999</v>
      </c>
      <c r="D1309" t="s">
        <v>1264</v>
      </c>
      <c r="E1309">
        <v>100117</v>
      </c>
      <c r="F1309">
        <v>17415</v>
      </c>
      <c r="G1309" t="str">
        <f t="shared" si="116"/>
        <v>17415</v>
      </c>
      <c r="H1309" t="s">
        <v>409</v>
      </c>
      <c r="I1309" t="s">
        <v>1265</v>
      </c>
      <c r="J1309" t="s">
        <v>1271</v>
      </c>
      <c r="K1309" t="s">
        <v>1272</v>
      </c>
      <c r="L1309" t="s">
        <v>1270</v>
      </c>
      <c r="M1309" t="s">
        <v>1273</v>
      </c>
      <c r="N1309">
        <v>1</v>
      </c>
      <c r="O1309" t="str">
        <f t="shared" si="119"/>
        <v>42</v>
      </c>
      <c r="P1309">
        <v>42</v>
      </c>
      <c r="R1309" t="s">
        <v>1269</v>
      </c>
      <c r="S1309">
        <v>19.899999999999999</v>
      </c>
      <c r="T1309">
        <v>0.30840000000000001</v>
      </c>
      <c r="U1309">
        <f t="shared" si="120"/>
        <v>0</v>
      </c>
      <c r="V1309" t="str">
        <f t="shared" si="117"/>
        <v>High Counselor</v>
      </c>
      <c r="W1309" t="str">
        <f t="shared" si="118"/>
        <v>Counselor</v>
      </c>
    </row>
    <row r="1310" spans="1:23" x14ac:dyDescent="0.25">
      <c r="A1310">
        <v>17415</v>
      </c>
      <c r="B1310" t="s">
        <v>1263</v>
      </c>
      <c r="C1310">
        <v>20</v>
      </c>
      <c r="D1310" t="s">
        <v>1264</v>
      </c>
      <c r="E1310">
        <v>100117</v>
      </c>
      <c r="F1310">
        <v>17415</v>
      </c>
      <c r="G1310" t="str">
        <f t="shared" si="116"/>
        <v>17415</v>
      </c>
      <c r="H1310" t="s">
        <v>409</v>
      </c>
      <c r="I1310" t="s">
        <v>1265</v>
      </c>
      <c r="J1310" t="s">
        <v>1266</v>
      </c>
      <c r="K1310" t="s">
        <v>1267</v>
      </c>
      <c r="L1310" t="s">
        <v>1263</v>
      </c>
      <c r="M1310" t="s">
        <v>1268</v>
      </c>
      <c r="N1310">
        <v>1</v>
      </c>
      <c r="O1310" t="str">
        <f t="shared" si="119"/>
        <v>42</v>
      </c>
      <c r="P1310">
        <v>42</v>
      </c>
      <c r="R1310" t="s">
        <v>1269</v>
      </c>
      <c r="S1310">
        <v>20</v>
      </c>
      <c r="T1310">
        <v>0.30840000000000001</v>
      </c>
      <c r="U1310">
        <f t="shared" si="120"/>
        <v>0</v>
      </c>
      <c r="V1310" t="str">
        <f t="shared" si="117"/>
        <v>Middle Counselor</v>
      </c>
      <c r="W1310" t="str">
        <f t="shared" si="118"/>
        <v>Counselor</v>
      </c>
    </row>
    <row r="1311" spans="1:23" x14ac:dyDescent="0.25">
      <c r="A1311">
        <v>17415</v>
      </c>
      <c r="B1311" t="s">
        <v>1331</v>
      </c>
      <c r="C1311">
        <v>5</v>
      </c>
      <c r="D1311" t="s">
        <v>1264</v>
      </c>
      <c r="E1311">
        <v>100117</v>
      </c>
      <c r="F1311">
        <v>17415</v>
      </c>
      <c r="G1311" t="str">
        <f t="shared" si="116"/>
        <v>17415</v>
      </c>
      <c r="H1311" t="s">
        <v>409</v>
      </c>
      <c r="I1311" t="s">
        <v>1265</v>
      </c>
      <c r="J1311" t="s">
        <v>1276</v>
      </c>
      <c r="K1311" t="s">
        <v>1277</v>
      </c>
      <c r="L1311" t="s">
        <v>1331</v>
      </c>
      <c r="M1311" t="s">
        <v>1405</v>
      </c>
      <c r="N1311">
        <v>1</v>
      </c>
      <c r="O1311" t="str">
        <f t="shared" si="119"/>
        <v>44</v>
      </c>
      <c r="P1311">
        <v>44</v>
      </c>
      <c r="R1311" t="s">
        <v>1269</v>
      </c>
      <c r="S1311">
        <v>5</v>
      </c>
      <c r="T1311">
        <v>0.30840000000000001</v>
      </c>
      <c r="U1311">
        <f t="shared" si="120"/>
        <v>0</v>
      </c>
      <c r="V1311" t="str">
        <f t="shared" si="117"/>
        <v>Elementary Social Worker</v>
      </c>
      <c r="W1311" t="str">
        <f t="shared" si="118"/>
        <v>Social Worker</v>
      </c>
    </row>
    <row r="1312" spans="1:23" x14ac:dyDescent="0.25">
      <c r="A1312">
        <v>17415</v>
      </c>
      <c r="B1312" t="s">
        <v>1294</v>
      </c>
      <c r="C1312">
        <v>19.722999999999999</v>
      </c>
      <c r="D1312" t="s">
        <v>1264</v>
      </c>
      <c r="E1312">
        <v>100117</v>
      </c>
      <c r="F1312">
        <v>17415</v>
      </c>
      <c r="G1312" t="str">
        <f t="shared" si="116"/>
        <v>17415</v>
      </c>
      <c r="H1312" t="s">
        <v>409</v>
      </c>
      <c r="I1312" t="s">
        <v>1265</v>
      </c>
      <c r="J1312" t="s">
        <v>1276</v>
      </c>
      <c r="K1312" t="s">
        <v>1277</v>
      </c>
      <c r="L1312" t="s">
        <v>1294</v>
      </c>
      <c r="M1312" t="s">
        <v>1354</v>
      </c>
      <c r="N1312">
        <v>21</v>
      </c>
      <c r="O1312" t="str">
        <f t="shared" si="119"/>
        <v>45</v>
      </c>
      <c r="P1312">
        <v>45</v>
      </c>
      <c r="R1312" t="s">
        <v>1269</v>
      </c>
      <c r="S1312">
        <v>19.722999999999999</v>
      </c>
      <c r="T1312">
        <v>0.30840000000000001</v>
      </c>
      <c r="U1312">
        <f t="shared" si="120"/>
        <v>6.0830000000000002</v>
      </c>
      <c r="V1312" t="str">
        <f t="shared" si="117"/>
        <v>Elementary Speech, Language Pathway/
Audio</v>
      </c>
      <c r="W1312" t="str">
        <f t="shared" si="118"/>
        <v>Speech, Language Pathway/
Audio</v>
      </c>
    </row>
    <row r="1313" spans="1:23" x14ac:dyDescent="0.25">
      <c r="A1313">
        <v>17415</v>
      </c>
      <c r="B1313" t="s">
        <v>1326</v>
      </c>
      <c r="C1313">
        <v>24.524999999999999</v>
      </c>
      <c r="D1313" t="s">
        <v>1264</v>
      </c>
      <c r="E1313">
        <v>100117</v>
      </c>
      <c r="F1313">
        <v>17415</v>
      </c>
      <c r="G1313" t="str">
        <f t="shared" si="116"/>
        <v>17415</v>
      </c>
      <c r="H1313" t="s">
        <v>409</v>
      </c>
      <c r="I1313" t="s">
        <v>1265</v>
      </c>
      <c r="J1313" t="s">
        <v>1271</v>
      </c>
      <c r="K1313" t="s">
        <v>1272</v>
      </c>
      <c r="L1313" t="s">
        <v>1326</v>
      </c>
      <c r="M1313" t="s">
        <v>1353</v>
      </c>
      <c r="N1313">
        <v>21</v>
      </c>
      <c r="O1313" t="str">
        <f t="shared" si="119"/>
        <v>45</v>
      </c>
      <c r="P1313">
        <v>45</v>
      </c>
      <c r="R1313" t="s">
        <v>1269</v>
      </c>
      <c r="S1313">
        <v>24.524999999999999</v>
      </c>
      <c r="T1313">
        <v>0.30840000000000001</v>
      </c>
      <c r="U1313">
        <f t="shared" si="120"/>
        <v>7.5640000000000001</v>
      </c>
      <c r="V1313" t="str">
        <f t="shared" si="117"/>
        <v>High Speech, Language Pathway/
Audio</v>
      </c>
      <c r="W1313" t="str">
        <f t="shared" si="118"/>
        <v>Speech, Language Pathway/
Audio</v>
      </c>
    </row>
    <row r="1314" spans="1:23" x14ac:dyDescent="0.25">
      <c r="A1314">
        <v>17415</v>
      </c>
      <c r="B1314" t="s">
        <v>1312</v>
      </c>
      <c r="C1314">
        <v>1.165</v>
      </c>
      <c r="D1314" t="s">
        <v>1264</v>
      </c>
      <c r="E1314">
        <v>100117</v>
      </c>
      <c r="F1314">
        <v>17415</v>
      </c>
      <c r="G1314" t="str">
        <f t="shared" si="116"/>
        <v>17415</v>
      </c>
      <c r="H1314" t="s">
        <v>409</v>
      </c>
      <c r="I1314" t="s">
        <v>1265</v>
      </c>
      <c r="J1314" t="s">
        <v>1266</v>
      </c>
      <c r="K1314" t="s">
        <v>1267</v>
      </c>
      <c r="L1314" t="s">
        <v>1312</v>
      </c>
      <c r="M1314" t="s">
        <v>1351</v>
      </c>
      <c r="N1314">
        <v>21</v>
      </c>
      <c r="O1314" t="str">
        <f t="shared" si="119"/>
        <v>45</v>
      </c>
      <c r="P1314">
        <v>45</v>
      </c>
      <c r="R1314" t="s">
        <v>1269</v>
      </c>
      <c r="S1314">
        <v>1.165</v>
      </c>
      <c r="T1314">
        <v>0.30840000000000001</v>
      </c>
      <c r="U1314">
        <f t="shared" si="120"/>
        <v>0.35899999999999999</v>
      </c>
      <c r="V1314" t="str">
        <f t="shared" si="117"/>
        <v>Middle Speech, Language Pathway/
Audio</v>
      </c>
      <c r="W1314" t="str">
        <f t="shared" si="118"/>
        <v>Speech, Language Pathway/
Audio</v>
      </c>
    </row>
    <row r="1315" spans="1:23" x14ac:dyDescent="0.25">
      <c r="A1315">
        <v>17415</v>
      </c>
      <c r="B1315" t="s">
        <v>1298</v>
      </c>
      <c r="C1315">
        <v>30.556999999999999</v>
      </c>
      <c r="D1315" t="s">
        <v>1264</v>
      </c>
      <c r="E1315">
        <v>100117</v>
      </c>
      <c r="F1315">
        <v>17415</v>
      </c>
      <c r="G1315" t="str">
        <f t="shared" si="116"/>
        <v>17415</v>
      </c>
      <c r="H1315" t="s">
        <v>409</v>
      </c>
      <c r="I1315" t="s">
        <v>1265</v>
      </c>
      <c r="J1315" t="s">
        <v>1276</v>
      </c>
      <c r="K1315" t="s">
        <v>1277</v>
      </c>
      <c r="L1315" t="s">
        <v>1298</v>
      </c>
      <c r="M1315" t="s">
        <v>1349</v>
      </c>
      <c r="N1315">
        <v>21</v>
      </c>
      <c r="O1315" t="str">
        <f t="shared" si="119"/>
        <v>46</v>
      </c>
      <c r="P1315">
        <v>46</v>
      </c>
      <c r="R1315" t="s">
        <v>1269</v>
      </c>
      <c r="S1315">
        <v>30.556999999999999</v>
      </c>
      <c r="T1315">
        <v>0.30840000000000001</v>
      </c>
      <c r="U1315">
        <f t="shared" si="120"/>
        <v>9.4239999999999995</v>
      </c>
      <c r="V1315" t="str">
        <f t="shared" si="117"/>
        <v>Elementary Psychologist</v>
      </c>
      <c r="W1315" t="str">
        <f t="shared" si="118"/>
        <v>Psychologist</v>
      </c>
    </row>
    <row r="1316" spans="1:23" x14ac:dyDescent="0.25">
      <c r="A1316">
        <v>17415</v>
      </c>
      <c r="B1316" t="s">
        <v>1309</v>
      </c>
      <c r="C1316">
        <v>1.9770000000000001</v>
      </c>
      <c r="D1316" t="s">
        <v>1264</v>
      </c>
      <c r="E1316">
        <v>100117</v>
      </c>
      <c r="F1316">
        <v>17415</v>
      </c>
      <c r="G1316" t="str">
        <f t="shared" si="116"/>
        <v>17415</v>
      </c>
      <c r="H1316" t="s">
        <v>409</v>
      </c>
      <c r="I1316" t="s">
        <v>1265</v>
      </c>
      <c r="J1316" t="s">
        <v>1271</v>
      </c>
      <c r="K1316" t="s">
        <v>1272</v>
      </c>
      <c r="L1316" t="s">
        <v>1309</v>
      </c>
      <c r="M1316" t="s">
        <v>1310</v>
      </c>
      <c r="N1316">
        <v>21</v>
      </c>
      <c r="O1316" t="str">
        <f t="shared" si="119"/>
        <v>46</v>
      </c>
      <c r="P1316">
        <v>46</v>
      </c>
      <c r="R1316" t="s">
        <v>1269</v>
      </c>
      <c r="S1316">
        <v>1.9770000000000001</v>
      </c>
      <c r="T1316">
        <v>0.30840000000000001</v>
      </c>
      <c r="U1316">
        <f t="shared" si="120"/>
        <v>0.61</v>
      </c>
      <c r="V1316" t="str">
        <f t="shared" si="117"/>
        <v>High Psychologist</v>
      </c>
      <c r="W1316" t="str">
        <f t="shared" si="118"/>
        <v>Psychologist</v>
      </c>
    </row>
    <row r="1317" spans="1:23" x14ac:dyDescent="0.25">
      <c r="A1317">
        <v>17415</v>
      </c>
      <c r="B1317" t="s">
        <v>1335</v>
      </c>
      <c r="C1317">
        <v>10.714</v>
      </c>
      <c r="D1317" t="s">
        <v>1264</v>
      </c>
      <c r="E1317">
        <v>100117</v>
      </c>
      <c r="F1317">
        <v>17415</v>
      </c>
      <c r="G1317" t="str">
        <f t="shared" si="116"/>
        <v>17415</v>
      </c>
      <c r="H1317" t="s">
        <v>409</v>
      </c>
      <c r="I1317" t="s">
        <v>1265</v>
      </c>
      <c r="J1317" t="s">
        <v>1276</v>
      </c>
      <c r="K1317" t="s">
        <v>1277</v>
      </c>
      <c r="L1317" t="s">
        <v>1335</v>
      </c>
      <c r="M1317" t="s">
        <v>1344</v>
      </c>
      <c r="N1317">
        <v>1</v>
      </c>
      <c r="O1317" t="str">
        <f t="shared" si="119"/>
        <v>47</v>
      </c>
      <c r="P1317">
        <v>47</v>
      </c>
      <c r="R1317" t="s">
        <v>1269</v>
      </c>
      <c r="S1317">
        <v>10.714</v>
      </c>
      <c r="T1317">
        <v>0.30840000000000001</v>
      </c>
      <c r="U1317">
        <f t="shared" si="120"/>
        <v>0</v>
      </c>
      <c r="V1317" t="str">
        <f t="shared" si="117"/>
        <v>Elementary Nurse</v>
      </c>
      <c r="W1317" t="str">
        <f t="shared" si="118"/>
        <v>Nurse</v>
      </c>
    </row>
    <row r="1318" spans="1:23" x14ac:dyDescent="0.25">
      <c r="A1318">
        <v>17415</v>
      </c>
      <c r="B1318" t="s">
        <v>1341</v>
      </c>
      <c r="C1318">
        <v>8.74</v>
      </c>
      <c r="D1318" t="s">
        <v>1264</v>
      </c>
      <c r="E1318">
        <v>100117</v>
      </c>
      <c r="F1318">
        <v>17415</v>
      </c>
      <c r="G1318" t="str">
        <f t="shared" si="116"/>
        <v>17415</v>
      </c>
      <c r="H1318" t="s">
        <v>409</v>
      </c>
      <c r="I1318" t="s">
        <v>1265</v>
      </c>
      <c r="J1318" t="s">
        <v>1271</v>
      </c>
      <c r="K1318" t="s">
        <v>1272</v>
      </c>
      <c r="L1318" t="s">
        <v>1341</v>
      </c>
      <c r="M1318" t="s">
        <v>1342</v>
      </c>
      <c r="N1318">
        <v>1</v>
      </c>
      <c r="O1318" t="str">
        <f t="shared" si="119"/>
        <v>47</v>
      </c>
      <c r="P1318">
        <v>47</v>
      </c>
      <c r="R1318" t="s">
        <v>1269</v>
      </c>
      <c r="S1318">
        <v>8.74</v>
      </c>
      <c r="T1318">
        <v>0.30840000000000001</v>
      </c>
      <c r="U1318">
        <f t="shared" si="120"/>
        <v>0</v>
      </c>
      <c r="V1318" t="str">
        <f t="shared" si="117"/>
        <v>High Nurse</v>
      </c>
      <c r="W1318" t="str">
        <f t="shared" si="118"/>
        <v>Nurse</v>
      </c>
    </row>
    <row r="1319" spans="1:23" x14ac:dyDescent="0.25">
      <c r="A1319">
        <v>17415</v>
      </c>
      <c r="B1319" t="s">
        <v>1302</v>
      </c>
      <c r="C1319">
        <v>4.7699999999999996</v>
      </c>
      <c r="D1319" t="s">
        <v>1264</v>
      </c>
      <c r="E1319">
        <v>100117</v>
      </c>
      <c r="F1319">
        <v>17415</v>
      </c>
      <c r="G1319" t="str">
        <f t="shared" si="116"/>
        <v>17415</v>
      </c>
      <c r="H1319" t="s">
        <v>409</v>
      </c>
      <c r="I1319" t="s">
        <v>1265</v>
      </c>
      <c r="J1319" t="s">
        <v>1276</v>
      </c>
      <c r="K1319" t="s">
        <v>1277</v>
      </c>
      <c r="L1319" t="s">
        <v>1302</v>
      </c>
      <c r="M1319" t="s">
        <v>1336</v>
      </c>
      <c r="N1319">
        <v>21</v>
      </c>
      <c r="O1319" t="str">
        <f t="shared" si="119"/>
        <v>48</v>
      </c>
      <c r="P1319">
        <v>48</v>
      </c>
      <c r="R1319" t="s">
        <v>1269</v>
      </c>
      <c r="S1319">
        <v>4.7699999999999996</v>
      </c>
      <c r="T1319">
        <v>0.30840000000000001</v>
      </c>
      <c r="U1319">
        <f t="shared" si="120"/>
        <v>1.4710000000000001</v>
      </c>
      <c r="V1319" t="str">
        <f t="shared" si="117"/>
        <v>Elementary Physical Therapist</v>
      </c>
      <c r="W1319" t="str">
        <f t="shared" si="118"/>
        <v>Physical Therapist</v>
      </c>
    </row>
    <row r="1320" spans="1:23" x14ac:dyDescent="0.25">
      <c r="A1320">
        <v>17415</v>
      </c>
      <c r="B1320" t="s">
        <v>1392</v>
      </c>
      <c r="C1320">
        <v>4</v>
      </c>
      <c r="D1320" t="s">
        <v>1264</v>
      </c>
      <c r="E1320">
        <v>100117</v>
      </c>
      <c r="F1320">
        <v>17415</v>
      </c>
      <c r="G1320" t="str">
        <f t="shared" si="116"/>
        <v>17415</v>
      </c>
      <c r="H1320" t="s">
        <v>409</v>
      </c>
      <c r="I1320" t="s">
        <v>1265</v>
      </c>
      <c r="J1320" t="s">
        <v>1271</v>
      </c>
      <c r="K1320" t="s">
        <v>1272</v>
      </c>
      <c r="L1320" t="s">
        <v>1392</v>
      </c>
      <c r="M1320" t="s">
        <v>1393</v>
      </c>
      <c r="N1320">
        <v>21</v>
      </c>
      <c r="O1320" t="str">
        <f t="shared" si="119"/>
        <v>49</v>
      </c>
      <c r="P1320">
        <v>49</v>
      </c>
      <c r="R1320" t="s">
        <v>1269</v>
      </c>
      <c r="S1320">
        <v>4</v>
      </c>
      <c r="T1320">
        <v>0.30840000000000001</v>
      </c>
      <c r="U1320">
        <f t="shared" si="120"/>
        <v>1.234</v>
      </c>
      <c r="V1320" t="str">
        <f t="shared" si="117"/>
        <v>High Behavior Analyst</v>
      </c>
      <c r="W1320" t="str">
        <f t="shared" si="118"/>
        <v>Behavior Analyst</v>
      </c>
    </row>
    <row r="1321" spans="1:23" x14ac:dyDescent="0.25">
      <c r="A1321">
        <v>17417</v>
      </c>
      <c r="B1321" t="s">
        <v>1308</v>
      </c>
      <c r="C1321">
        <v>5.8109999999999999</v>
      </c>
      <c r="D1321" t="s">
        <v>1264</v>
      </c>
      <c r="E1321">
        <v>100174</v>
      </c>
      <c r="F1321">
        <v>17417</v>
      </c>
      <c r="G1321" t="str">
        <f t="shared" si="116"/>
        <v>17417</v>
      </c>
      <c r="H1321" t="s">
        <v>410</v>
      </c>
      <c r="I1321" t="s">
        <v>1265</v>
      </c>
      <c r="J1321" t="s">
        <v>1276</v>
      </c>
      <c r="K1321" t="s">
        <v>1277</v>
      </c>
      <c r="L1321" t="s">
        <v>1308</v>
      </c>
      <c r="M1321" t="s">
        <v>1389</v>
      </c>
      <c r="N1321">
        <v>1</v>
      </c>
      <c r="O1321" t="str">
        <f t="shared" si="119"/>
        <v>25</v>
      </c>
      <c r="Q1321">
        <v>25</v>
      </c>
      <c r="R1321" t="s">
        <v>1269</v>
      </c>
      <c r="S1321">
        <v>5.8109999999999999</v>
      </c>
      <c r="T1321">
        <v>0.20830000000000001</v>
      </c>
      <c r="U1321">
        <f t="shared" si="120"/>
        <v>0</v>
      </c>
      <c r="V1321" t="str">
        <f t="shared" si="117"/>
        <v>Elementary Pupil Management</v>
      </c>
      <c r="W1321" t="str">
        <f t="shared" si="118"/>
        <v>Pupil Management</v>
      </c>
    </row>
    <row r="1322" spans="1:23" x14ac:dyDescent="0.25">
      <c r="A1322">
        <v>17417</v>
      </c>
      <c r="B1322" t="s">
        <v>1299</v>
      </c>
      <c r="C1322">
        <v>13.73</v>
      </c>
      <c r="D1322" t="s">
        <v>1264</v>
      </c>
      <c r="E1322">
        <v>100174</v>
      </c>
      <c r="F1322">
        <v>17417</v>
      </c>
      <c r="G1322" t="str">
        <f t="shared" si="116"/>
        <v>17417</v>
      </c>
      <c r="H1322" t="s">
        <v>410</v>
      </c>
      <c r="I1322" t="s">
        <v>1265</v>
      </c>
      <c r="J1322" t="s">
        <v>1271</v>
      </c>
      <c r="K1322" t="s">
        <v>1272</v>
      </c>
      <c r="L1322" t="s">
        <v>1299</v>
      </c>
      <c r="M1322" t="s">
        <v>1300</v>
      </c>
      <c r="N1322">
        <v>1</v>
      </c>
      <c r="O1322" t="str">
        <f t="shared" si="119"/>
        <v>25</v>
      </c>
      <c r="Q1322">
        <v>25</v>
      </c>
      <c r="R1322" t="s">
        <v>1269</v>
      </c>
      <c r="S1322">
        <v>13.73</v>
      </c>
      <c r="T1322">
        <v>0.20830000000000001</v>
      </c>
      <c r="U1322">
        <f t="shared" si="120"/>
        <v>0</v>
      </c>
      <c r="V1322" t="str">
        <f t="shared" si="117"/>
        <v>High Pupil Management</v>
      </c>
      <c r="W1322" t="str">
        <f t="shared" si="118"/>
        <v>Pupil Management</v>
      </c>
    </row>
    <row r="1323" spans="1:23" x14ac:dyDescent="0.25">
      <c r="A1323">
        <v>17417</v>
      </c>
      <c r="B1323" t="s">
        <v>1363</v>
      </c>
      <c r="C1323">
        <v>0.443</v>
      </c>
      <c r="D1323" t="s">
        <v>1264</v>
      </c>
      <c r="E1323">
        <v>100174</v>
      </c>
      <c r="F1323">
        <v>17417</v>
      </c>
      <c r="G1323" t="str">
        <f t="shared" si="116"/>
        <v>17417</v>
      </c>
      <c r="H1323" t="s">
        <v>410</v>
      </c>
      <c r="I1323" t="s">
        <v>1265</v>
      </c>
      <c r="J1323" t="s">
        <v>1266</v>
      </c>
      <c r="K1323" t="s">
        <v>1267</v>
      </c>
      <c r="L1323" t="s">
        <v>1363</v>
      </c>
      <c r="M1323" t="s">
        <v>1386</v>
      </c>
      <c r="N1323">
        <v>1</v>
      </c>
      <c r="O1323" t="str">
        <f t="shared" si="119"/>
        <v>25</v>
      </c>
      <c r="Q1323">
        <v>25</v>
      </c>
      <c r="R1323" t="s">
        <v>1269</v>
      </c>
      <c r="S1323">
        <v>0.443</v>
      </c>
      <c r="T1323">
        <v>0.20830000000000001</v>
      </c>
      <c r="U1323">
        <f t="shared" si="120"/>
        <v>0</v>
      </c>
      <c r="V1323" t="str">
        <f t="shared" si="117"/>
        <v>Middle Pupil Management</v>
      </c>
      <c r="W1323" t="str">
        <f t="shared" si="118"/>
        <v>Pupil Management</v>
      </c>
    </row>
    <row r="1324" spans="1:23" x14ac:dyDescent="0.25">
      <c r="A1324">
        <v>17417</v>
      </c>
      <c r="B1324" t="s">
        <v>1311</v>
      </c>
      <c r="C1324">
        <v>1.653</v>
      </c>
      <c r="D1324" t="s">
        <v>1264</v>
      </c>
      <c r="E1324">
        <v>100174</v>
      </c>
      <c r="F1324">
        <v>17417</v>
      </c>
      <c r="G1324" t="str">
        <f t="shared" si="116"/>
        <v>17417</v>
      </c>
      <c r="H1324" t="s">
        <v>410</v>
      </c>
      <c r="I1324" t="s">
        <v>1265</v>
      </c>
      <c r="J1324" t="s">
        <v>1276</v>
      </c>
      <c r="K1324" t="s">
        <v>1277</v>
      </c>
      <c r="L1324" t="s">
        <v>1311</v>
      </c>
      <c r="M1324" t="s">
        <v>1327</v>
      </c>
      <c r="N1324">
        <v>21</v>
      </c>
      <c r="O1324" t="str">
        <f t="shared" si="119"/>
        <v>26</v>
      </c>
      <c r="Q1324">
        <v>26</v>
      </c>
      <c r="R1324" t="s">
        <v>1269</v>
      </c>
      <c r="S1324">
        <v>1.653</v>
      </c>
      <c r="T1324">
        <v>0.20830000000000001</v>
      </c>
      <c r="U1324">
        <f t="shared" si="120"/>
        <v>0.34399999999999997</v>
      </c>
      <c r="V1324" t="str">
        <f t="shared" si="117"/>
        <v>Elementary Health/
Related Services</v>
      </c>
      <c r="W1324" t="str">
        <f t="shared" si="118"/>
        <v>Health/
Related Services</v>
      </c>
    </row>
    <row r="1325" spans="1:23" x14ac:dyDescent="0.25">
      <c r="A1325">
        <v>17417</v>
      </c>
      <c r="B1325" t="s">
        <v>1315</v>
      </c>
      <c r="C1325">
        <v>14.01</v>
      </c>
      <c r="D1325" t="s">
        <v>1264</v>
      </c>
      <c r="E1325">
        <v>100174</v>
      </c>
      <c r="F1325">
        <v>17417</v>
      </c>
      <c r="G1325" t="str">
        <f t="shared" si="116"/>
        <v>17417</v>
      </c>
      <c r="H1325" t="s">
        <v>410</v>
      </c>
      <c r="I1325" t="s">
        <v>1265</v>
      </c>
      <c r="J1325" t="s">
        <v>1276</v>
      </c>
      <c r="K1325" t="s">
        <v>1277</v>
      </c>
      <c r="L1325" t="s">
        <v>1315</v>
      </c>
      <c r="M1325" t="s">
        <v>1375</v>
      </c>
      <c r="N1325">
        <v>1</v>
      </c>
      <c r="O1325" t="str">
        <f t="shared" si="119"/>
        <v>26</v>
      </c>
      <c r="Q1325">
        <v>26</v>
      </c>
      <c r="R1325" t="s">
        <v>1269</v>
      </c>
      <c r="S1325">
        <v>14.01</v>
      </c>
      <c r="T1325">
        <v>0.20830000000000001</v>
      </c>
      <c r="U1325">
        <f t="shared" si="120"/>
        <v>0</v>
      </c>
      <c r="V1325" t="str">
        <f t="shared" si="117"/>
        <v>Elementary Health/
Related Services</v>
      </c>
      <c r="W1325" t="str">
        <f t="shared" si="118"/>
        <v>Health/
Related Services</v>
      </c>
    </row>
    <row r="1326" spans="1:23" x14ac:dyDescent="0.25">
      <c r="A1326">
        <v>17417</v>
      </c>
      <c r="B1326" t="s">
        <v>1324</v>
      </c>
      <c r="C1326">
        <v>13.842000000000001</v>
      </c>
      <c r="D1326" t="s">
        <v>1264</v>
      </c>
      <c r="E1326">
        <v>100174</v>
      </c>
      <c r="F1326">
        <v>17417</v>
      </c>
      <c r="G1326" t="str">
        <f t="shared" si="116"/>
        <v>17417</v>
      </c>
      <c r="H1326" t="s">
        <v>410</v>
      </c>
      <c r="I1326" t="s">
        <v>1265</v>
      </c>
      <c r="J1326" t="s">
        <v>1271</v>
      </c>
      <c r="K1326" t="s">
        <v>1272</v>
      </c>
      <c r="L1326" t="s">
        <v>1324</v>
      </c>
      <c r="M1326" t="s">
        <v>1325</v>
      </c>
      <c r="N1326">
        <v>21</v>
      </c>
      <c r="O1326" t="str">
        <f t="shared" si="119"/>
        <v>26</v>
      </c>
      <c r="Q1326">
        <v>26</v>
      </c>
      <c r="R1326" t="s">
        <v>1269</v>
      </c>
      <c r="S1326">
        <v>13.842000000000001</v>
      </c>
      <c r="T1326">
        <v>0.20830000000000001</v>
      </c>
      <c r="U1326">
        <f t="shared" si="120"/>
        <v>2.883</v>
      </c>
      <c r="V1326" t="str">
        <f t="shared" si="117"/>
        <v>High Health/
Related Services</v>
      </c>
      <c r="W1326" t="str">
        <f t="shared" si="118"/>
        <v>Health/
Related Services</v>
      </c>
    </row>
    <row r="1327" spans="1:23" x14ac:dyDescent="0.25">
      <c r="A1327">
        <v>17417</v>
      </c>
      <c r="B1327" t="s">
        <v>1295</v>
      </c>
      <c r="C1327">
        <v>6.7229999999999999</v>
      </c>
      <c r="D1327" t="s">
        <v>1264</v>
      </c>
      <c r="E1327">
        <v>100174</v>
      </c>
      <c r="F1327">
        <v>17417</v>
      </c>
      <c r="G1327" t="str">
        <f t="shared" si="116"/>
        <v>17417</v>
      </c>
      <c r="H1327" t="s">
        <v>410</v>
      </c>
      <c r="I1327" t="s">
        <v>1265</v>
      </c>
      <c r="J1327" t="s">
        <v>1271</v>
      </c>
      <c r="K1327" t="s">
        <v>1272</v>
      </c>
      <c r="L1327" t="s">
        <v>1295</v>
      </c>
      <c r="M1327" t="s">
        <v>1296</v>
      </c>
      <c r="N1327">
        <v>1</v>
      </c>
      <c r="O1327" t="str">
        <f t="shared" si="119"/>
        <v>26</v>
      </c>
      <c r="Q1327">
        <v>26</v>
      </c>
      <c r="R1327" t="s">
        <v>1269</v>
      </c>
      <c r="S1327">
        <v>6.7229999999999999</v>
      </c>
      <c r="T1327">
        <v>0.20830000000000001</v>
      </c>
      <c r="U1327">
        <f t="shared" si="120"/>
        <v>0</v>
      </c>
      <c r="V1327" t="str">
        <f t="shared" si="117"/>
        <v>High Health/
Related Services</v>
      </c>
      <c r="W1327" t="str">
        <f t="shared" si="118"/>
        <v>Health/
Related Services</v>
      </c>
    </row>
    <row r="1328" spans="1:23" x14ac:dyDescent="0.25">
      <c r="A1328">
        <v>17417</v>
      </c>
      <c r="B1328" t="s">
        <v>1322</v>
      </c>
      <c r="C1328">
        <v>0.128</v>
      </c>
      <c r="D1328" t="s">
        <v>1264</v>
      </c>
      <c r="E1328">
        <v>100174</v>
      </c>
      <c r="F1328">
        <v>17417</v>
      </c>
      <c r="G1328" t="str">
        <f t="shared" si="116"/>
        <v>17417</v>
      </c>
      <c r="H1328" t="s">
        <v>410</v>
      </c>
      <c r="I1328" t="s">
        <v>1265</v>
      </c>
      <c r="J1328" t="s">
        <v>1266</v>
      </c>
      <c r="K1328" t="s">
        <v>1267</v>
      </c>
      <c r="L1328" t="s">
        <v>1322</v>
      </c>
      <c r="M1328" t="s">
        <v>1323</v>
      </c>
      <c r="N1328">
        <v>21</v>
      </c>
      <c r="O1328" t="str">
        <f t="shared" si="119"/>
        <v>26</v>
      </c>
      <c r="Q1328">
        <v>26</v>
      </c>
      <c r="R1328" t="s">
        <v>1269</v>
      </c>
      <c r="S1328">
        <v>0.128</v>
      </c>
      <c r="T1328">
        <v>0.20830000000000001</v>
      </c>
      <c r="U1328">
        <f t="shared" si="120"/>
        <v>2.7E-2</v>
      </c>
      <c r="V1328" t="str">
        <f t="shared" si="117"/>
        <v>Middle Health/
Related Services</v>
      </c>
      <c r="W1328" t="str">
        <f t="shared" si="118"/>
        <v>Health/
Related Services</v>
      </c>
    </row>
    <row r="1329" spans="1:23" x14ac:dyDescent="0.25">
      <c r="A1329">
        <v>17417</v>
      </c>
      <c r="B1329" t="s">
        <v>1291</v>
      </c>
      <c r="C1329">
        <v>4.3730000000000002</v>
      </c>
      <c r="D1329" t="s">
        <v>1264</v>
      </c>
      <c r="E1329">
        <v>100174</v>
      </c>
      <c r="F1329">
        <v>17417</v>
      </c>
      <c r="G1329" t="str">
        <f t="shared" si="116"/>
        <v>17417</v>
      </c>
      <c r="H1329" t="s">
        <v>410</v>
      </c>
      <c r="I1329" t="s">
        <v>1265</v>
      </c>
      <c r="J1329" t="s">
        <v>1266</v>
      </c>
      <c r="K1329" t="s">
        <v>1267</v>
      </c>
      <c r="L1329" t="s">
        <v>1291</v>
      </c>
      <c r="M1329" t="s">
        <v>1292</v>
      </c>
      <c r="N1329">
        <v>1</v>
      </c>
      <c r="O1329" t="str">
        <f t="shared" si="119"/>
        <v>26</v>
      </c>
      <c r="Q1329">
        <v>26</v>
      </c>
      <c r="R1329" t="s">
        <v>1269</v>
      </c>
      <c r="S1329">
        <v>4.3730000000000002</v>
      </c>
      <c r="T1329">
        <v>0.20830000000000001</v>
      </c>
      <c r="U1329">
        <f t="shared" si="120"/>
        <v>0</v>
      </c>
      <c r="V1329" t="str">
        <f t="shared" si="117"/>
        <v>Middle Health/
Related Services</v>
      </c>
      <c r="W1329" t="str">
        <f t="shared" si="118"/>
        <v>Health/
Related Services</v>
      </c>
    </row>
    <row r="1330" spans="1:23" x14ac:dyDescent="0.25">
      <c r="A1330">
        <v>17417</v>
      </c>
      <c r="B1330" t="s">
        <v>1401</v>
      </c>
      <c r="C1330">
        <v>5.1660000000000004</v>
      </c>
      <c r="D1330" t="s">
        <v>1264</v>
      </c>
      <c r="E1330">
        <v>100174</v>
      </c>
      <c r="F1330">
        <v>17417</v>
      </c>
      <c r="G1330" t="str">
        <f t="shared" si="116"/>
        <v>17417</v>
      </c>
      <c r="H1330" t="s">
        <v>410</v>
      </c>
      <c r="I1330" t="s">
        <v>1265</v>
      </c>
      <c r="J1330" t="s">
        <v>1271</v>
      </c>
      <c r="K1330" t="s">
        <v>1272</v>
      </c>
      <c r="L1330" t="s">
        <v>1401</v>
      </c>
      <c r="M1330" t="s">
        <v>1422</v>
      </c>
      <c r="N1330">
        <v>1</v>
      </c>
      <c r="O1330" t="str">
        <f t="shared" si="119"/>
        <v>35</v>
      </c>
      <c r="Q1330">
        <v>35</v>
      </c>
      <c r="R1330" t="s">
        <v>1269</v>
      </c>
      <c r="S1330">
        <v>5.1660000000000004</v>
      </c>
      <c r="T1330">
        <v>0.20830000000000001</v>
      </c>
      <c r="U1330">
        <f t="shared" si="120"/>
        <v>0</v>
      </c>
      <c r="V1330" t="str">
        <f t="shared" si="117"/>
        <v>High Pupil Safety</v>
      </c>
      <c r="W1330" t="str">
        <f t="shared" si="118"/>
        <v>Pupil Safety</v>
      </c>
    </row>
    <row r="1331" spans="1:23" x14ac:dyDescent="0.25">
      <c r="A1331">
        <v>17417</v>
      </c>
      <c r="B1331" t="s">
        <v>1275</v>
      </c>
      <c r="C1331">
        <v>28.28</v>
      </c>
      <c r="D1331" t="s">
        <v>1264</v>
      </c>
      <c r="E1331">
        <v>100174</v>
      </c>
      <c r="F1331">
        <v>17417</v>
      </c>
      <c r="G1331" t="str">
        <f t="shared" si="116"/>
        <v>17417</v>
      </c>
      <c r="H1331" t="s">
        <v>410</v>
      </c>
      <c r="I1331" t="s">
        <v>1265</v>
      </c>
      <c r="J1331" t="s">
        <v>1276</v>
      </c>
      <c r="K1331" t="s">
        <v>1277</v>
      </c>
      <c r="L1331" t="s">
        <v>1275</v>
      </c>
      <c r="M1331" t="s">
        <v>1278</v>
      </c>
      <c r="N1331">
        <v>1</v>
      </c>
      <c r="O1331" t="str">
        <f t="shared" si="119"/>
        <v>42</v>
      </c>
      <c r="P1331">
        <v>42</v>
      </c>
      <c r="R1331" t="s">
        <v>1269</v>
      </c>
      <c r="S1331">
        <v>28.28</v>
      </c>
      <c r="T1331">
        <v>0.20830000000000001</v>
      </c>
      <c r="U1331">
        <f t="shared" si="120"/>
        <v>0</v>
      </c>
      <c r="V1331" t="str">
        <f t="shared" si="117"/>
        <v>Elementary Counselor</v>
      </c>
      <c r="W1331" t="str">
        <f t="shared" si="118"/>
        <v>Counselor</v>
      </c>
    </row>
    <row r="1332" spans="1:23" x14ac:dyDescent="0.25">
      <c r="A1332">
        <v>17417</v>
      </c>
      <c r="B1332" t="s">
        <v>1270</v>
      </c>
      <c r="C1332">
        <v>22.1</v>
      </c>
      <c r="D1332" t="s">
        <v>1264</v>
      </c>
      <c r="E1332">
        <v>100174</v>
      </c>
      <c r="F1332">
        <v>17417</v>
      </c>
      <c r="G1332" t="str">
        <f t="shared" si="116"/>
        <v>17417</v>
      </c>
      <c r="H1332" t="s">
        <v>410</v>
      </c>
      <c r="I1332" t="s">
        <v>1265</v>
      </c>
      <c r="J1332" t="s">
        <v>1271</v>
      </c>
      <c r="K1332" t="s">
        <v>1272</v>
      </c>
      <c r="L1332" t="s">
        <v>1270</v>
      </c>
      <c r="M1332" t="s">
        <v>1273</v>
      </c>
      <c r="N1332">
        <v>1</v>
      </c>
      <c r="O1332" t="str">
        <f t="shared" si="119"/>
        <v>42</v>
      </c>
      <c r="P1332">
        <v>42</v>
      </c>
      <c r="R1332" t="s">
        <v>1269</v>
      </c>
      <c r="S1332">
        <v>22.1</v>
      </c>
      <c r="T1332">
        <v>0.20830000000000001</v>
      </c>
      <c r="U1332">
        <f t="shared" si="120"/>
        <v>0</v>
      </c>
      <c r="V1332" t="str">
        <f t="shared" si="117"/>
        <v>High Counselor</v>
      </c>
      <c r="W1332" t="str">
        <f t="shared" si="118"/>
        <v>Counselor</v>
      </c>
    </row>
    <row r="1333" spans="1:23" x14ac:dyDescent="0.25">
      <c r="A1333">
        <v>17417</v>
      </c>
      <c r="B1333" t="s">
        <v>1263</v>
      </c>
      <c r="C1333">
        <v>11.702999999999999</v>
      </c>
      <c r="D1333" t="s">
        <v>1264</v>
      </c>
      <c r="E1333">
        <v>100174</v>
      </c>
      <c r="F1333">
        <v>17417</v>
      </c>
      <c r="G1333" t="str">
        <f t="shared" si="116"/>
        <v>17417</v>
      </c>
      <c r="H1333" t="s">
        <v>410</v>
      </c>
      <c r="I1333" t="s">
        <v>1265</v>
      </c>
      <c r="J1333" t="s">
        <v>1266</v>
      </c>
      <c r="K1333" t="s">
        <v>1267</v>
      </c>
      <c r="L1333" t="s">
        <v>1263</v>
      </c>
      <c r="M1333" t="s">
        <v>1268</v>
      </c>
      <c r="N1333">
        <v>1</v>
      </c>
      <c r="O1333" t="str">
        <f t="shared" si="119"/>
        <v>42</v>
      </c>
      <c r="P1333">
        <v>42</v>
      </c>
      <c r="R1333" t="s">
        <v>1269</v>
      </c>
      <c r="S1333">
        <v>11.702999999999999</v>
      </c>
      <c r="T1333">
        <v>0.20830000000000001</v>
      </c>
      <c r="U1333">
        <f t="shared" si="120"/>
        <v>0</v>
      </c>
      <c r="V1333" t="str">
        <f t="shared" si="117"/>
        <v>Middle Counselor</v>
      </c>
      <c r="W1333" t="str">
        <f t="shared" si="118"/>
        <v>Counselor</v>
      </c>
    </row>
    <row r="1334" spans="1:23" x14ac:dyDescent="0.25">
      <c r="A1334">
        <v>17417</v>
      </c>
      <c r="B1334" t="s">
        <v>1289</v>
      </c>
      <c r="C1334">
        <v>10.882</v>
      </c>
      <c r="D1334" t="s">
        <v>1264</v>
      </c>
      <c r="E1334">
        <v>100174</v>
      </c>
      <c r="F1334">
        <v>17417</v>
      </c>
      <c r="G1334" t="str">
        <f t="shared" si="116"/>
        <v>17417</v>
      </c>
      <c r="H1334" t="s">
        <v>410</v>
      </c>
      <c r="I1334" t="s">
        <v>1265</v>
      </c>
      <c r="J1334" t="s">
        <v>1276</v>
      </c>
      <c r="K1334" t="s">
        <v>1277</v>
      </c>
      <c r="L1334" t="s">
        <v>1289</v>
      </c>
      <c r="M1334" t="s">
        <v>1307</v>
      </c>
      <c r="N1334">
        <v>21</v>
      </c>
      <c r="O1334" t="str">
        <f t="shared" si="119"/>
        <v>43</v>
      </c>
      <c r="P1334">
        <v>43</v>
      </c>
      <c r="R1334" t="s">
        <v>1269</v>
      </c>
      <c r="S1334">
        <v>10.882</v>
      </c>
      <c r="T1334">
        <v>0.20830000000000001</v>
      </c>
      <c r="U1334">
        <f t="shared" si="120"/>
        <v>2.2669999999999999</v>
      </c>
      <c r="V1334" t="str">
        <f t="shared" si="117"/>
        <v>Elementary Occupational Therapist</v>
      </c>
      <c r="W1334" t="str">
        <f t="shared" si="118"/>
        <v>Occupational Therapist</v>
      </c>
    </row>
    <row r="1335" spans="1:23" x14ac:dyDescent="0.25">
      <c r="A1335">
        <v>17417</v>
      </c>
      <c r="B1335" t="s">
        <v>1387</v>
      </c>
      <c r="C1335">
        <v>0.16</v>
      </c>
      <c r="D1335" t="s">
        <v>1264</v>
      </c>
      <c r="E1335">
        <v>100174</v>
      </c>
      <c r="F1335">
        <v>17417</v>
      </c>
      <c r="G1335" t="str">
        <f t="shared" si="116"/>
        <v>17417</v>
      </c>
      <c r="H1335" t="s">
        <v>410</v>
      </c>
      <c r="I1335" t="s">
        <v>1265</v>
      </c>
      <c r="J1335" t="s">
        <v>1271</v>
      </c>
      <c r="K1335" t="s">
        <v>1272</v>
      </c>
      <c r="L1335" t="s">
        <v>1387</v>
      </c>
      <c r="M1335" t="s">
        <v>1406</v>
      </c>
      <c r="N1335">
        <v>21</v>
      </c>
      <c r="O1335" t="str">
        <f t="shared" si="119"/>
        <v>43</v>
      </c>
      <c r="P1335">
        <v>43</v>
      </c>
      <c r="R1335" t="s">
        <v>1269</v>
      </c>
      <c r="S1335">
        <v>0.16</v>
      </c>
      <c r="T1335">
        <v>0.20830000000000001</v>
      </c>
      <c r="U1335">
        <f t="shared" si="120"/>
        <v>3.3000000000000002E-2</v>
      </c>
      <c r="V1335" t="str">
        <f t="shared" si="117"/>
        <v>High Occupational Therapist</v>
      </c>
      <c r="W1335" t="str">
        <f t="shared" si="118"/>
        <v>Occupational Therapist</v>
      </c>
    </row>
    <row r="1336" spans="1:23" x14ac:dyDescent="0.25">
      <c r="A1336">
        <v>17417</v>
      </c>
      <c r="B1336" t="s">
        <v>1303</v>
      </c>
      <c r="C1336">
        <v>1.3160000000000001</v>
      </c>
      <c r="D1336" t="s">
        <v>1264</v>
      </c>
      <c r="E1336">
        <v>100174</v>
      </c>
      <c r="F1336">
        <v>17417</v>
      </c>
      <c r="G1336" t="str">
        <f t="shared" si="116"/>
        <v>17417</v>
      </c>
      <c r="H1336" t="s">
        <v>410</v>
      </c>
      <c r="I1336" t="s">
        <v>1265</v>
      </c>
      <c r="J1336" t="s">
        <v>1266</v>
      </c>
      <c r="K1336" t="s">
        <v>1267</v>
      </c>
      <c r="L1336" t="s">
        <v>1303</v>
      </c>
      <c r="M1336" t="s">
        <v>1304</v>
      </c>
      <c r="N1336">
        <v>21</v>
      </c>
      <c r="O1336" t="str">
        <f t="shared" si="119"/>
        <v>43</v>
      </c>
      <c r="P1336">
        <v>43</v>
      </c>
      <c r="R1336" t="s">
        <v>1269</v>
      </c>
      <c r="S1336">
        <v>1.3160000000000001</v>
      </c>
      <c r="T1336">
        <v>0.20830000000000001</v>
      </c>
      <c r="U1336">
        <f t="shared" si="120"/>
        <v>0.27400000000000002</v>
      </c>
      <c r="V1336" t="str">
        <f t="shared" si="117"/>
        <v>Middle Occupational Therapist</v>
      </c>
      <c r="W1336" t="str">
        <f t="shared" si="118"/>
        <v>Occupational Therapist</v>
      </c>
    </row>
    <row r="1337" spans="1:23" x14ac:dyDescent="0.25">
      <c r="A1337">
        <v>17417</v>
      </c>
      <c r="B1337" t="s">
        <v>1294</v>
      </c>
      <c r="C1337">
        <v>24.763999999999999</v>
      </c>
      <c r="D1337" t="s">
        <v>1264</v>
      </c>
      <c r="E1337">
        <v>100174</v>
      </c>
      <c r="F1337">
        <v>17417</v>
      </c>
      <c r="G1337" t="str">
        <f t="shared" si="116"/>
        <v>17417</v>
      </c>
      <c r="H1337" t="s">
        <v>410</v>
      </c>
      <c r="I1337" t="s">
        <v>1265</v>
      </c>
      <c r="J1337" t="s">
        <v>1276</v>
      </c>
      <c r="K1337" t="s">
        <v>1277</v>
      </c>
      <c r="L1337" t="s">
        <v>1294</v>
      </c>
      <c r="M1337" t="s">
        <v>1354</v>
      </c>
      <c r="N1337">
        <v>21</v>
      </c>
      <c r="O1337" t="str">
        <f t="shared" si="119"/>
        <v>45</v>
      </c>
      <c r="P1337">
        <v>45</v>
      </c>
      <c r="R1337" t="s">
        <v>1269</v>
      </c>
      <c r="S1337">
        <v>24.763999999999999</v>
      </c>
      <c r="T1337">
        <v>0.20830000000000001</v>
      </c>
      <c r="U1337">
        <f t="shared" si="120"/>
        <v>5.1580000000000004</v>
      </c>
      <c r="V1337" t="str">
        <f t="shared" si="117"/>
        <v>Elementary Speech, Language Pathway/
Audio</v>
      </c>
      <c r="W1337" t="str">
        <f t="shared" si="118"/>
        <v>Speech, Language Pathway/
Audio</v>
      </c>
    </row>
    <row r="1338" spans="1:23" x14ac:dyDescent="0.25">
      <c r="A1338">
        <v>17417</v>
      </c>
      <c r="B1338" t="s">
        <v>1326</v>
      </c>
      <c r="C1338">
        <v>5.1459999999999999</v>
      </c>
      <c r="D1338" t="s">
        <v>1264</v>
      </c>
      <c r="E1338">
        <v>100174</v>
      </c>
      <c r="F1338">
        <v>17417</v>
      </c>
      <c r="G1338" t="str">
        <f t="shared" si="116"/>
        <v>17417</v>
      </c>
      <c r="H1338" t="s">
        <v>410</v>
      </c>
      <c r="I1338" t="s">
        <v>1265</v>
      </c>
      <c r="J1338" t="s">
        <v>1271</v>
      </c>
      <c r="K1338" t="s">
        <v>1272</v>
      </c>
      <c r="L1338" t="s">
        <v>1326</v>
      </c>
      <c r="M1338" t="s">
        <v>1353</v>
      </c>
      <c r="N1338">
        <v>21</v>
      </c>
      <c r="O1338" t="str">
        <f t="shared" si="119"/>
        <v>45</v>
      </c>
      <c r="P1338">
        <v>45</v>
      </c>
      <c r="R1338" t="s">
        <v>1269</v>
      </c>
      <c r="S1338">
        <v>5.1459999999999999</v>
      </c>
      <c r="T1338">
        <v>0.20830000000000001</v>
      </c>
      <c r="U1338">
        <f t="shared" si="120"/>
        <v>1.0720000000000001</v>
      </c>
      <c r="V1338" t="str">
        <f t="shared" si="117"/>
        <v>High Speech, Language Pathway/
Audio</v>
      </c>
      <c r="W1338" t="str">
        <f t="shared" si="118"/>
        <v>Speech, Language Pathway/
Audio</v>
      </c>
    </row>
    <row r="1339" spans="1:23" x14ac:dyDescent="0.25">
      <c r="A1339">
        <v>17417</v>
      </c>
      <c r="B1339" t="s">
        <v>1312</v>
      </c>
      <c r="C1339">
        <v>3.2210000000000001</v>
      </c>
      <c r="D1339" t="s">
        <v>1264</v>
      </c>
      <c r="E1339">
        <v>100174</v>
      </c>
      <c r="F1339">
        <v>17417</v>
      </c>
      <c r="G1339" t="str">
        <f t="shared" si="116"/>
        <v>17417</v>
      </c>
      <c r="H1339" t="s">
        <v>410</v>
      </c>
      <c r="I1339" t="s">
        <v>1265</v>
      </c>
      <c r="J1339" t="s">
        <v>1266</v>
      </c>
      <c r="K1339" t="s">
        <v>1267</v>
      </c>
      <c r="L1339" t="s">
        <v>1312</v>
      </c>
      <c r="M1339" t="s">
        <v>1351</v>
      </c>
      <c r="N1339">
        <v>21</v>
      </c>
      <c r="O1339" t="str">
        <f t="shared" si="119"/>
        <v>45</v>
      </c>
      <c r="P1339">
        <v>45</v>
      </c>
      <c r="R1339" t="s">
        <v>1269</v>
      </c>
      <c r="S1339">
        <v>3.2210000000000001</v>
      </c>
      <c r="T1339">
        <v>0.20830000000000001</v>
      </c>
      <c r="U1339">
        <f t="shared" si="120"/>
        <v>0.67100000000000004</v>
      </c>
      <c r="V1339" t="str">
        <f t="shared" si="117"/>
        <v>Middle Speech, Language Pathway/
Audio</v>
      </c>
      <c r="W1339" t="str">
        <f t="shared" si="118"/>
        <v>Speech, Language Pathway/
Audio</v>
      </c>
    </row>
    <row r="1340" spans="1:23" x14ac:dyDescent="0.25">
      <c r="A1340">
        <v>17417</v>
      </c>
      <c r="B1340" t="s">
        <v>1298</v>
      </c>
      <c r="C1340">
        <v>11.108000000000001</v>
      </c>
      <c r="D1340" t="s">
        <v>1264</v>
      </c>
      <c r="E1340">
        <v>100174</v>
      </c>
      <c r="F1340">
        <v>17417</v>
      </c>
      <c r="G1340" t="str">
        <f t="shared" si="116"/>
        <v>17417</v>
      </c>
      <c r="H1340" t="s">
        <v>410</v>
      </c>
      <c r="I1340" t="s">
        <v>1265</v>
      </c>
      <c r="J1340" t="s">
        <v>1276</v>
      </c>
      <c r="K1340" t="s">
        <v>1277</v>
      </c>
      <c r="L1340" t="s">
        <v>1298</v>
      </c>
      <c r="M1340" t="s">
        <v>1349</v>
      </c>
      <c r="N1340">
        <v>21</v>
      </c>
      <c r="O1340" t="str">
        <f t="shared" si="119"/>
        <v>46</v>
      </c>
      <c r="P1340">
        <v>46</v>
      </c>
      <c r="R1340" t="s">
        <v>1269</v>
      </c>
      <c r="S1340">
        <v>11.108000000000001</v>
      </c>
      <c r="T1340">
        <v>0.20830000000000001</v>
      </c>
      <c r="U1340">
        <f t="shared" si="120"/>
        <v>2.3140000000000001</v>
      </c>
      <c r="V1340" t="str">
        <f t="shared" si="117"/>
        <v>Elementary Psychologist</v>
      </c>
      <c r="W1340" t="str">
        <f t="shared" si="118"/>
        <v>Psychologist</v>
      </c>
    </row>
    <row r="1341" spans="1:23" x14ac:dyDescent="0.25">
      <c r="A1341">
        <v>17417</v>
      </c>
      <c r="B1341" t="s">
        <v>1309</v>
      </c>
      <c r="C1341">
        <v>5.19</v>
      </c>
      <c r="D1341" t="s">
        <v>1264</v>
      </c>
      <c r="E1341">
        <v>100174</v>
      </c>
      <c r="F1341">
        <v>17417</v>
      </c>
      <c r="G1341" t="str">
        <f t="shared" si="116"/>
        <v>17417</v>
      </c>
      <c r="H1341" t="s">
        <v>410</v>
      </c>
      <c r="I1341" t="s">
        <v>1265</v>
      </c>
      <c r="J1341" t="s">
        <v>1271</v>
      </c>
      <c r="K1341" t="s">
        <v>1272</v>
      </c>
      <c r="L1341" t="s">
        <v>1309</v>
      </c>
      <c r="M1341" t="s">
        <v>1310</v>
      </c>
      <c r="N1341">
        <v>21</v>
      </c>
      <c r="O1341" t="str">
        <f t="shared" si="119"/>
        <v>46</v>
      </c>
      <c r="P1341">
        <v>46</v>
      </c>
      <c r="R1341" t="s">
        <v>1269</v>
      </c>
      <c r="S1341">
        <v>5.19</v>
      </c>
      <c r="T1341">
        <v>0.20830000000000001</v>
      </c>
      <c r="U1341">
        <f t="shared" si="120"/>
        <v>1.081</v>
      </c>
      <c r="V1341" t="str">
        <f t="shared" si="117"/>
        <v>High Psychologist</v>
      </c>
      <c r="W1341" t="str">
        <f t="shared" si="118"/>
        <v>Psychologist</v>
      </c>
    </row>
    <row r="1342" spans="1:23" x14ac:dyDescent="0.25">
      <c r="A1342">
        <v>17417</v>
      </c>
      <c r="B1342" t="s">
        <v>1345</v>
      </c>
      <c r="C1342">
        <v>2.4980000000000002</v>
      </c>
      <c r="D1342" t="s">
        <v>1264</v>
      </c>
      <c r="E1342">
        <v>100174</v>
      </c>
      <c r="F1342">
        <v>17417</v>
      </c>
      <c r="G1342" t="str">
        <f t="shared" si="116"/>
        <v>17417</v>
      </c>
      <c r="H1342" t="s">
        <v>410</v>
      </c>
      <c r="I1342" t="s">
        <v>1265</v>
      </c>
      <c r="J1342" t="s">
        <v>1266</v>
      </c>
      <c r="K1342" t="s">
        <v>1267</v>
      </c>
      <c r="L1342" t="s">
        <v>1345</v>
      </c>
      <c r="M1342" t="s">
        <v>1346</v>
      </c>
      <c r="N1342">
        <v>21</v>
      </c>
      <c r="O1342" t="str">
        <f t="shared" si="119"/>
        <v>46</v>
      </c>
      <c r="P1342">
        <v>46</v>
      </c>
      <c r="R1342" t="s">
        <v>1269</v>
      </c>
      <c r="S1342">
        <v>2.4980000000000002</v>
      </c>
      <c r="T1342">
        <v>0.20830000000000001</v>
      </c>
      <c r="U1342">
        <f t="shared" si="120"/>
        <v>0.52</v>
      </c>
      <c r="V1342" t="str">
        <f t="shared" si="117"/>
        <v>Middle Psychologist</v>
      </c>
      <c r="W1342" t="str">
        <f t="shared" si="118"/>
        <v>Psychologist</v>
      </c>
    </row>
    <row r="1343" spans="1:23" x14ac:dyDescent="0.25">
      <c r="A1343">
        <v>17417</v>
      </c>
      <c r="B1343" t="s">
        <v>1334</v>
      </c>
      <c r="C1343">
        <v>0.25</v>
      </c>
      <c r="D1343" t="s">
        <v>1264</v>
      </c>
      <c r="E1343">
        <v>100174</v>
      </c>
      <c r="F1343">
        <v>17417</v>
      </c>
      <c r="G1343" t="str">
        <f t="shared" si="116"/>
        <v>17417</v>
      </c>
      <c r="H1343" t="s">
        <v>410</v>
      </c>
      <c r="I1343" t="s">
        <v>1265</v>
      </c>
      <c r="J1343" t="s">
        <v>1276</v>
      </c>
      <c r="K1343" t="s">
        <v>1277</v>
      </c>
      <c r="L1343" t="s">
        <v>1334</v>
      </c>
      <c r="M1343" t="s">
        <v>1413</v>
      </c>
      <c r="N1343">
        <v>21</v>
      </c>
      <c r="O1343" t="str">
        <f t="shared" si="119"/>
        <v>47</v>
      </c>
      <c r="P1343">
        <v>47</v>
      </c>
      <c r="R1343" t="s">
        <v>1269</v>
      </c>
      <c r="S1343">
        <v>0.25</v>
      </c>
      <c r="T1343">
        <v>0.20830000000000001</v>
      </c>
      <c r="U1343">
        <f t="shared" si="120"/>
        <v>5.1999999999999998E-2</v>
      </c>
      <c r="V1343" t="str">
        <f t="shared" si="117"/>
        <v>Elementary Nurse</v>
      </c>
      <c r="W1343" t="str">
        <f t="shared" si="118"/>
        <v>Nurse</v>
      </c>
    </row>
    <row r="1344" spans="1:23" x14ac:dyDescent="0.25">
      <c r="A1344">
        <v>17417</v>
      </c>
      <c r="B1344" t="s">
        <v>1335</v>
      </c>
      <c r="C1344">
        <v>0.75</v>
      </c>
      <c r="D1344" t="s">
        <v>1264</v>
      </c>
      <c r="E1344">
        <v>100174</v>
      </c>
      <c r="F1344">
        <v>17417</v>
      </c>
      <c r="G1344" t="str">
        <f t="shared" si="116"/>
        <v>17417</v>
      </c>
      <c r="H1344" t="s">
        <v>410</v>
      </c>
      <c r="I1344" t="s">
        <v>1265</v>
      </c>
      <c r="J1344" t="s">
        <v>1276</v>
      </c>
      <c r="K1344" t="s">
        <v>1277</v>
      </c>
      <c r="L1344" t="s">
        <v>1335</v>
      </c>
      <c r="M1344" t="s">
        <v>1344</v>
      </c>
      <c r="N1344">
        <v>1</v>
      </c>
      <c r="O1344" t="str">
        <f t="shared" si="119"/>
        <v>47</v>
      </c>
      <c r="P1344">
        <v>47</v>
      </c>
      <c r="R1344" t="s">
        <v>1269</v>
      </c>
      <c r="S1344">
        <v>0.75</v>
      </c>
      <c r="T1344">
        <v>0.20830000000000001</v>
      </c>
      <c r="U1344">
        <f t="shared" si="120"/>
        <v>0</v>
      </c>
      <c r="V1344" t="str">
        <f t="shared" si="117"/>
        <v>Elementary Nurse</v>
      </c>
      <c r="W1344" t="str">
        <f t="shared" si="118"/>
        <v>Nurse</v>
      </c>
    </row>
    <row r="1345" spans="1:23" x14ac:dyDescent="0.25">
      <c r="A1345">
        <v>17417</v>
      </c>
      <c r="B1345" t="s">
        <v>1302</v>
      </c>
      <c r="C1345">
        <v>7.2569999999999997</v>
      </c>
      <c r="D1345" t="s">
        <v>1264</v>
      </c>
      <c r="E1345">
        <v>100174</v>
      </c>
      <c r="F1345">
        <v>17417</v>
      </c>
      <c r="G1345" t="str">
        <f t="shared" si="116"/>
        <v>17417</v>
      </c>
      <c r="H1345" t="s">
        <v>410</v>
      </c>
      <c r="I1345" t="s">
        <v>1265</v>
      </c>
      <c r="J1345" t="s">
        <v>1276</v>
      </c>
      <c r="K1345" t="s">
        <v>1277</v>
      </c>
      <c r="L1345" t="s">
        <v>1302</v>
      </c>
      <c r="M1345" t="s">
        <v>1336</v>
      </c>
      <c r="N1345">
        <v>21</v>
      </c>
      <c r="O1345" t="str">
        <f t="shared" si="119"/>
        <v>48</v>
      </c>
      <c r="P1345">
        <v>48</v>
      </c>
      <c r="R1345" t="s">
        <v>1269</v>
      </c>
      <c r="S1345">
        <v>7.2569999999999997</v>
      </c>
      <c r="T1345">
        <v>0.20830000000000001</v>
      </c>
      <c r="U1345">
        <f t="shared" si="120"/>
        <v>1.512</v>
      </c>
      <c r="V1345" t="str">
        <f t="shared" si="117"/>
        <v>Elementary Physical Therapist</v>
      </c>
      <c r="W1345" t="str">
        <f t="shared" si="118"/>
        <v>Physical Therapist</v>
      </c>
    </row>
    <row r="1346" spans="1:23" x14ac:dyDescent="0.25">
      <c r="A1346">
        <v>17417</v>
      </c>
      <c r="B1346" t="s">
        <v>1330</v>
      </c>
      <c r="C1346">
        <v>0.79600000000000004</v>
      </c>
      <c r="D1346" t="s">
        <v>1264</v>
      </c>
      <c r="E1346">
        <v>100174</v>
      </c>
      <c r="F1346">
        <v>17417</v>
      </c>
      <c r="G1346" t="str">
        <f t="shared" ref="G1346:G1409" si="121">TEXT(F1346,"00000")</f>
        <v>17417</v>
      </c>
      <c r="H1346" t="s">
        <v>410</v>
      </c>
      <c r="I1346" t="s">
        <v>1265</v>
      </c>
      <c r="J1346" t="s">
        <v>1271</v>
      </c>
      <c r="K1346" t="s">
        <v>1272</v>
      </c>
      <c r="L1346" t="s">
        <v>1330</v>
      </c>
      <c r="M1346" t="s">
        <v>1367</v>
      </c>
      <c r="N1346">
        <v>21</v>
      </c>
      <c r="O1346" t="str">
        <f t="shared" si="119"/>
        <v>48</v>
      </c>
      <c r="P1346">
        <v>48</v>
      </c>
      <c r="R1346" t="s">
        <v>1269</v>
      </c>
      <c r="S1346">
        <v>0.79600000000000004</v>
      </c>
      <c r="T1346">
        <v>0.20830000000000001</v>
      </c>
      <c r="U1346">
        <f t="shared" si="120"/>
        <v>0.16600000000000001</v>
      </c>
      <c r="V1346" t="str">
        <f t="shared" ref="V1346:V1409" si="122">_xlfn.XLOOKUP(L1346,$BV:$BV,$BT:$BT,,0)</f>
        <v>High Physical Therapist</v>
      </c>
      <c r="W1346" t="str">
        <f t="shared" ref="W1346:W1409" si="123">_xlfn.TEXTAFTER(V1346," ")</f>
        <v>Physical Therapist</v>
      </c>
    </row>
    <row r="1347" spans="1:23" x14ac:dyDescent="0.25">
      <c r="A1347">
        <v>17417</v>
      </c>
      <c r="B1347" t="s">
        <v>1316</v>
      </c>
      <c r="C1347">
        <v>0.92900000000000005</v>
      </c>
      <c r="D1347" t="s">
        <v>1264</v>
      </c>
      <c r="E1347">
        <v>100174</v>
      </c>
      <c r="F1347">
        <v>17417</v>
      </c>
      <c r="G1347" t="str">
        <f t="shared" si="121"/>
        <v>17417</v>
      </c>
      <c r="H1347" t="s">
        <v>410</v>
      </c>
      <c r="I1347" t="s">
        <v>1265</v>
      </c>
      <c r="J1347" t="s">
        <v>1266</v>
      </c>
      <c r="K1347" t="s">
        <v>1267</v>
      </c>
      <c r="L1347" t="s">
        <v>1316</v>
      </c>
      <c r="M1347" t="s">
        <v>1366</v>
      </c>
      <c r="N1347">
        <v>21</v>
      </c>
      <c r="O1347" t="str">
        <f t="shared" ref="O1347:O1410" si="124">MID(L1347,3,2)</f>
        <v>48</v>
      </c>
      <c r="P1347">
        <v>48</v>
      </c>
      <c r="R1347" t="s">
        <v>1269</v>
      </c>
      <c r="S1347">
        <v>0.92900000000000005</v>
      </c>
      <c r="T1347">
        <v>0.20830000000000001</v>
      </c>
      <c r="U1347">
        <f t="shared" ref="U1347:U1410" si="125">IF(N1347=21,ROUND(T1347*S1347,3),0)</f>
        <v>0.19400000000000001</v>
      </c>
      <c r="V1347" t="str">
        <f t="shared" si="122"/>
        <v>Middle Physical Therapist</v>
      </c>
      <c r="W1347" t="str">
        <f t="shared" si="123"/>
        <v>Physical Therapist</v>
      </c>
    </row>
    <row r="1348" spans="1:23" x14ac:dyDescent="0.25">
      <c r="A1348">
        <v>17902</v>
      </c>
      <c r="B1348" t="s">
        <v>1324</v>
      </c>
      <c r="C1348">
        <v>0.80800000000000005</v>
      </c>
      <c r="D1348" t="s">
        <v>1264</v>
      </c>
      <c r="E1348">
        <v>105808</v>
      </c>
      <c r="F1348">
        <v>17902</v>
      </c>
      <c r="G1348" t="str">
        <f t="shared" si="121"/>
        <v>17902</v>
      </c>
      <c r="H1348" t="s">
        <v>1242</v>
      </c>
      <c r="I1348" t="s">
        <v>1265</v>
      </c>
      <c r="J1348" t="s">
        <v>1271</v>
      </c>
      <c r="K1348" t="s">
        <v>1272</v>
      </c>
      <c r="L1348" t="s">
        <v>1324</v>
      </c>
      <c r="M1348" t="s">
        <v>1325</v>
      </c>
      <c r="N1348">
        <v>21</v>
      </c>
      <c r="O1348" t="str">
        <f t="shared" si="124"/>
        <v>26</v>
      </c>
      <c r="Q1348">
        <v>26</v>
      </c>
      <c r="R1348" t="s">
        <v>1269</v>
      </c>
      <c r="S1348">
        <v>0.80800000000000005</v>
      </c>
      <c r="T1348">
        <v>0.13</v>
      </c>
      <c r="U1348">
        <f t="shared" si="125"/>
        <v>0.105</v>
      </c>
      <c r="V1348" t="str">
        <f t="shared" si="122"/>
        <v>High Health/
Related Services</v>
      </c>
      <c r="W1348" t="str">
        <f t="shared" si="123"/>
        <v>Health/
Related Services</v>
      </c>
    </row>
    <row r="1349" spans="1:23" x14ac:dyDescent="0.25">
      <c r="A1349">
        <v>17902</v>
      </c>
      <c r="B1349" t="s">
        <v>1341</v>
      </c>
      <c r="C1349">
        <v>1</v>
      </c>
      <c r="D1349" t="s">
        <v>1264</v>
      </c>
      <c r="E1349">
        <v>105808</v>
      </c>
      <c r="F1349">
        <v>17902</v>
      </c>
      <c r="G1349" t="str">
        <f t="shared" si="121"/>
        <v>17902</v>
      </c>
      <c r="H1349" t="s">
        <v>1242</v>
      </c>
      <c r="I1349" t="s">
        <v>1265</v>
      </c>
      <c r="J1349" t="s">
        <v>1271</v>
      </c>
      <c r="K1349" t="s">
        <v>1272</v>
      </c>
      <c r="L1349" t="s">
        <v>1341</v>
      </c>
      <c r="M1349" t="s">
        <v>1342</v>
      </c>
      <c r="N1349">
        <v>1</v>
      </c>
      <c r="O1349" t="str">
        <f t="shared" si="124"/>
        <v>47</v>
      </c>
      <c r="P1349">
        <v>47</v>
      </c>
      <c r="R1349" t="s">
        <v>1269</v>
      </c>
      <c r="S1349">
        <v>1</v>
      </c>
      <c r="T1349">
        <v>0.13</v>
      </c>
      <c r="U1349">
        <f t="shared" si="125"/>
        <v>0</v>
      </c>
      <c r="V1349" t="str">
        <f t="shared" si="122"/>
        <v>High Nurse</v>
      </c>
      <c r="W1349" t="str">
        <f t="shared" si="123"/>
        <v>Nurse</v>
      </c>
    </row>
    <row r="1350" spans="1:23" x14ac:dyDescent="0.25">
      <c r="A1350">
        <v>17903</v>
      </c>
      <c r="B1350" t="s">
        <v>1275</v>
      </c>
      <c r="C1350">
        <v>1</v>
      </c>
      <c r="D1350" t="s">
        <v>1264</v>
      </c>
      <c r="E1350">
        <v>105771</v>
      </c>
      <c r="F1350">
        <v>17903</v>
      </c>
      <c r="G1350" t="str">
        <f t="shared" si="121"/>
        <v>17903</v>
      </c>
      <c r="H1350" t="s">
        <v>411</v>
      </c>
      <c r="I1350" t="s">
        <v>1265</v>
      </c>
      <c r="J1350" t="s">
        <v>1276</v>
      </c>
      <c r="K1350" t="s">
        <v>1277</v>
      </c>
      <c r="L1350" t="s">
        <v>1275</v>
      </c>
      <c r="M1350" t="s">
        <v>1278</v>
      </c>
      <c r="N1350">
        <v>1</v>
      </c>
      <c r="O1350" t="str">
        <f t="shared" si="124"/>
        <v>42</v>
      </c>
      <c r="P1350">
        <v>42</v>
      </c>
      <c r="R1350" t="s">
        <v>1269</v>
      </c>
      <c r="S1350">
        <v>1</v>
      </c>
      <c r="T1350">
        <v>0.14760000000000001</v>
      </c>
      <c r="U1350">
        <f t="shared" si="125"/>
        <v>0</v>
      </c>
      <c r="V1350" t="str">
        <f t="shared" si="122"/>
        <v>Elementary Counselor</v>
      </c>
      <c r="W1350" t="str">
        <f t="shared" si="123"/>
        <v>Counselor</v>
      </c>
    </row>
    <row r="1351" spans="1:23" x14ac:dyDescent="0.25">
      <c r="A1351">
        <v>17903</v>
      </c>
      <c r="B1351" t="s">
        <v>1270</v>
      </c>
      <c r="C1351">
        <v>2</v>
      </c>
      <c r="D1351" t="s">
        <v>1264</v>
      </c>
      <c r="E1351">
        <v>105771</v>
      </c>
      <c r="F1351">
        <v>17903</v>
      </c>
      <c r="G1351" t="str">
        <f t="shared" si="121"/>
        <v>17903</v>
      </c>
      <c r="H1351" t="s">
        <v>411</v>
      </c>
      <c r="I1351" t="s">
        <v>1265</v>
      </c>
      <c r="J1351" t="s">
        <v>1271</v>
      </c>
      <c r="K1351" t="s">
        <v>1272</v>
      </c>
      <c r="L1351" t="s">
        <v>1270</v>
      </c>
      <c r="M1351" t="s">
        <v>1273</v>
      </c>
      <c r="N1351">
        <v>1</v>
      </c>
      <c r="O1351" t="str">
        <f t="shared" si="124"/>
        <v>42</v>
      </c>
      <c r="P1351">
        <v>42</v>
      </c>
      <c r="R1351" t="s">
        <v>1269</v>
      </c>
      <c r="S1351">
        <v>2</v>
      </c>
      <c r="T1351">
        <v>0.14760000000000001</v>
      </c>
      <c r="U1351">
        <f t="shared" si="125"/>
        <v>0</v>
      </c>
      <c r="V1351" t="str">
        <f t="shared" si="122"/>
        <v>High Counselor</v>
      </c>
      <c r="W1351" t="str">
        <f t="shared" si="123"/>
        <v>Counselor</v>
      </c>
    </row>
    <row r="1352" spans="1:23" x14ac:dyDescent="0.25">
      <c r="A1352">
        <v>17903</v>
      </c>
      <c r="B1352" t="s">
        <v>1341</v>
      </c>
      <c r="C1352">
        <v>0.498</v>
      </c>
      <c r="D1352" t="s">
        <v>1264</v>
      </c>
      <c r="E1352">
        <v>105771</v>
      </c>
      <c r="F1352">
        <v>17903</v>
      </c>
      <c r="G1352" t="str">
        <f t="shared" si="121"/>
        <v>17903</v>
      </c>
      <c r="H1352" t="s">
        <v>411</v>
      </c>
      <c r="I1352" t="s">
        <v>1265</v>
      </c>
      <c r="J1352" t="s">
        <v>1271</v>
      </c>
      <c r="K1352" t="s">
        <v>1272</v>
      </c>
      <c r="L1352" t="s">
        <v>1341</v>
      </c>
      <c r="M1352" t="s">
        <v>1342</v>
      </c>
      <c r="N1352">
        <v>1</v>
      </c>
      <c r="O1352" t="str">
        <f t="shared" si="124"/>
        <v>47</v>
      </c>
      <c r="P1352">
        <v>47</v>
      </c>
      <c r="R1352" t="s">
        <v>1269</v>
      </c>
      <c r="S1352">
        <v>0.498</v>
      </c>
      <c r="T1352">
        <v>0.14760000000000001</v>
      </c>
      <c r="U1352">
        <f t="shared" si="125"/>
        <v>0</v>
      </c>
      <c r="V1352" t="str">
        <f t="shared" si="122"/>
        <v>High Nurse</v>
      </c>
      <c r="W1352" t="str">
        <f t="shared" si="123"/>
        <v>Nurse</v>
      </c>
    </row>
    <row r="1353" spans="1:23" x14ac:dyDescent="0.25">
      <c r="A1353">
        <v>17903</v>
      </c>
      <c r="B1353" t="s">
        <v>1338</v>
      </c>
      <c r="C1353">
        <v>0.498</v>
      </c>
      <c r="D1353" t="s">
        <v>1264</v>
      </c>
      <c r="E1353">
        <v>105771</v>
      </c>
      <c r="F1353">
        <v>17903</v>
      </c>
      <c r="G1353" t="str">
        <f t="shared" si="121"/>
        <v>17903</v>
      </c>
      <c r="H1353" t="s">
        <v>411</v>
      </c>
      <c r="I1353" t="s">
        <v>1265</v>
      </c>
      <c r="J1353" t="s">
        <v>1266</v>
      </c>
      <c r="K1353" t="s">
        <v>1267</v>
      </c>
      <c r="L1353" t="s">
        <v>1338</v>
      </c>
      <c r="M1353" t="s">
        <v>1339</v>
      </c>
      <c r="N1353">
        <v>1</v>
      </c>
      <c r="O1353" t="str">
        <f t="shared" si="124"/>
        <v>47</v>
      </c>
      <c r="P1353">
        <v>47</v>
      </c>
      <c r="R1353" t="s">
        <v>1269</v>
      </c>
      <c r="S1353">
        <v>0.498</v>
      </c>
      <c r="T1353">
        <v>0.14760000000000001</v>
      </c>
      <c r="U1353">
        <f t="shared" si="125"/>
        <v>0</v>
      </c>
      <c r="V1353" t="str">
        <f t="shared" si="122"/>
        <v>Middle Nurse</v>
      </c>
      <c r="W1353" t="str">
        <f t="shared" si="123"/>
        <v>Nurse</v>
      </c>
    </row>
    <row r="1354" spans="1:23" x14ac:dyDescent="0.25">
      <c r="A1354">
        <v>17905</v>
      </c>
      <c r="B1354" t="s">
        <v>1324</v>
      </c>
      <c r="C1354">
        <v>0.80800000000000005</v>
      </c>
      <c r="D1354" t="s">
        <v>1264</v>
      </c>
      <c r="E1354">
        <v>106018</v>
      </c>
      <c r="F1354">
        <v>17905</v>
      </c>
      <c r="G1354" t="str">
        <f t="shared" si="121"/>
        <v>17905</v>
      </c>
      <c r="H1354" t="s">
        <v>1240</v>
      </c>
      <c r="I1354" t="s">
        <v>1265</v>
      </c>
      <c r="J1354" t="s">
        <v>1271</v>
      </c>
      <c r="K1354" t="s">
        <v>1272</v>
      </c>
      <c r="L1354" t="s">
        <v>1324</v>
      </c>
      <c r="M1354" t="s">
        <v>1325</v>
      </c>
      <c r="N1354">
        <v>21</v>
      </c>
      <c r="O1354" t="str">
        <f t="shared" si="124"/>
        <v>26</v>
      </c>
      <c r="Q1354">
        <v>26</v>
      </c>
      <c r="R1354" t="s">
        <v>1269</v>
      </c>
      <c r="S1354">
        <v>0.80800000000000005</v>
      </c>
      <c r="T1354">
        <v>0.13150000000000001</v>
      </c>
      <c r="U1354">
        <f t="shared" si="125"/>
        <v>0.106</v>
      </c>
      <c r="V1354" t="str">
        <f t="shared" si="122"/>
        <v>High Health/
Related Services</v>
      </c>
      <c r="W1354" t="str">
        <f t="shared" si="123"/>
        <v>Health/
Related Services</v>
      </c>
    </row>
    <row r="1355" spans="1:23" x14ac:dyDescent="0.25">
      <c r="A1355">
        <v>17905</v>
      </c>
      <c r="B1355" t="s">
        <v>1341</v>
      </c>
      <c r="C1355">
        <v>0.45</v>
      </c>
      <c r="D1355" t="s">
        <v>1264</v>
      </c>
      <c r="E1355">
        <v>106018</v>
      </c>
      <c r="F1355">
        <v>17905</v>
      </c>
      <c r="G1355" t="str">
        <f t="shared" si="121"/>
        <v>17905</v>
      </c>
      <c r="H1355" t="s">
        <v>1240</v>
      </c>
      <c r="I1355" t="s">
        <v>1265</v>
      </c>
      <c r="J1355" t="s">
        <v>1271</v>
      </c>
      <c r="K1355" t="s">
        <v>1272</v>
      </c>
      <c r="L1355" t="s">
        <v>1341</v>
      </c>
      <c r="M1355" t="s">
        <v>1342</v>
      </c>
      <c r="N1355">
        <v>1</v>
      </c>
      <c r="O1355" t="str">
        <f t="shared" si="124"/>
        <v>47</v>
      </c>
      <c r="P1355">
        <v>47</v>
      </c>
      <c r="R1355" t="s">
        <v>1269</v>
      </c>
      <c r="S1355">
        <v>0.45</v>
      </c>
      <c r="T1355">
        <v>0.13150000000000001</v>
      </c>
      <c r="U1355">
        <f t="shared" si="125"/>
        <v>0</v>
      </c>
      <c r="V1355" t="str">
        <f t="shared" si="122"/>
        <v>High Nurse</v>
      </c>
      <c r="W1355" t="str">
        <f t="shared" si="123"/>
        <v>Nurse</v>
      </c>
    </row>
    <row r="1356" spans="1:23" x14ac:dyDescent="0.25">
      <c r="A1356">
        <v>17905</v>
      </c>
      <c r="B1356" t="s">
        <v>1338</v>
      </c>
      <c r="C1356">
        <v>0.55000000000000004</v>
      </c>
      <c r="D1356" t="s">
        <v>1264</v>
      </c>
      <c r="E1356">
        <v>106018</v>
      </c>
      <c r="F1356">
        <v>17905</v>
      </c>
      <c r="G1356" t="str">
        <f t="shared" si="121"/>
        <v>17905</v>
      </c>
      <c r="H1356" t="s">
        <v>1240</v>
      </c>
      <c r="I1356" t="s">
        <v>1265</v>
      </c>
      <c r="J1356" t="s">
        <v>1266</v>
      </c>
      <c r="K1356" t="s">
        <v>1267</v>
      </c>
      <c r="L1356" t="s">
        <v>1338</v>
      </c>
      <c r="M1356" t="s">
        <v>1339</v>
      </c>
      <c r="N1356">
        <v>1</v>
      </c>
      <c r="O1356" t="str">
        <f t="shared" si="124"/>
        <v>47</v>
      </c>
      <c r="P1356">
        <v>47</v>
      </c>
      <c r="R1356" t="s">
        <v>1269</v>
      </c>
      <c r="S1356">
        <v>0.55000000000000004</v>
      </c>
      <c r="T1356">
        <v>0.13150000000000001</v>
      </c>
      <c r="U1356">
        <f t="shared" si="125"/>
        <v>0</v>
      </c>
      <c r="V1356" t="str">
        <f t="shared" si="122"/>
        <v>Middle Nurse</v>
      </c>
      <c r="W1356" t="str">
        <f t="shared" si="123"/>
        <v>Nurse</v>
      </c>
    </row>
    <row r="1357" spans="1:23" x14ac:dyDescent="0.25">
      <c r="A1357">
        <v>17911</v>
      </c>
      <c r="B1357" t="s">
        <v>1297</v>
      </c>
      <c r="C1357">
        <v>2</v>
      </c>
      <c r="D1357" t="s">
        <v>1264</v>
      </c>
      <c r="E1357">
        <v>106096</v>
      </c>
      <c r="F1357">
        <v>17911</v>
      </c>
      <c r="G1357" t="str">
        <f t="shared" si="121"/>
        <v>17911</v>
      </c>
      <c r="H1357" t="s">
        <v>1108</v>
      </c>
      <c r="I1357" t="s">
        <v>1265</v>
      </c>
      <c r="J1357" t="s">
        <v>1276</v>
      </c>
      <c r="K1357" t="s">
        <v>1277</v>
      </c>
      <c r="L1357" t="s">
        <v>1297</v>
      </c>
      <c r="M1357" t="s">
        <v>1381</v>
      </c>
      <c r="N1357">
        <v>1</v>
      </c>
      <c r="O1357" t="str">
        <f t="shared" si="124"/>
        <v>24</v>
      </c>
      <c r="P1357">
        <v>96</v>
      </c>
      <c r="Q1357">
        <v>24</v>
      </c>
      <c r="R1357" t="s">
        <v>1269</v>
      </c>
      <c r="S1357">
        <v>2</v>
      </c>
      <c r="T1357">
        <v>0.13150000000000001</v>
      </c>
      <c r="U1357">
        <f t="shared" si="125"/>
        <v>0</v>
      </c>
      <c r="V1357" t="str">
        <f t="shared" si="122"/>
        <v>Elementary Family Engagement Coordinator</v>
      </c>
      <c r="W1357" t="str">
        <f t="shared" si="123"/>
        <v>Family Engagement Coordinator</v>
      </c>
    </row>
    <row r="1358" spans="1:23" x14ac:dyDescent="0.25">
      <c r="A1358">
        <v>17911</v>
      </c>
      <c r="B1358" t="s">
        <v>1308</v>
      </c>
      <c r="C1358">
        <v>1</v>
      </c>
      <c r="D1358" t="s">
        <v>1264</v>
      </c>
      <c r="E1358">
        <v>106096</v>
      </c>
      <c r="F1358">
        <v>17911</v>
      </c>
      <c r="G1358" t="str">
        <f t="shared" si="121"/>
        <v>17911</v>
      </c>
      <c r="H1358" t="s">
        <v>1108</v>
      </c>
      <c r="I1358" t="s">
        <v>1265</v>
      </c>
      <c r="J1358" t="s">
        <v>1276</v>
      </c>
      <c r="K1358" t="s">
        <v>1277</v>
      </c>
      <c r="L1358" t="s">
        <v>1308</v>
      </c>
      <c r="M1358" t="s">
        <v>1389</v>
      </c>
      <c r="N1358">
        <v>1</v>
      </c>
      <c r="O1358" t="str">
        <f t="shared" si="124"/>
        <v>25</v>
      </c>
      <c r="Q1358">
        <v>25</v>
      </c>
      <c r="R1358" t="s">
        <v>1269</v>
      </c>
      <c r="S1358">
        <v>1</v>
      </c>
      <c r="T1358">
        <v>0.13150000000000001</v>
      </c>
      <c r="U1358">
        <f t="shared" si="125"/>
        <v>0</v>
      </c>
      <c r="V1358" t="str">
        <f t="shared" si="122"/>
        <v>Elementary Pupil Management</v>
      </c>
      <c r="W1358" t="str">
        <f t="shared" si="123"/>
        <v>Pupil Management</v>
      </c>
    </row>
    <row r="1359" spans="1:23" x14ac:dyDescent="0.25">
      <c r="A1359">
        <v>17911</v>
      </c>
      <c r="B1359" t="s">
        <v>1306</v>
      </c>
      <c r="C1359">
        <v>3.1</v>
      </c>
      <c r="D1359" t="s">
        <v>1264</v>
      </c>
      <c r="E1359">
        <v>106096</v>
      </c>
      <c r="F1359">
        <v>17911</v>
      </c>
      <c r="G1359" t="str">
        <f t="shared" si="121"/>
        <v>17911</v>
      </c>
      <c r="H1359" t="s">
        <v>1108</v>
      </c>
      <c r="I1359" t="s">
        <v>1265</v>
      </c>
      <c r="J1359" t="s">
        <v>1276</v>
      </c>
      <c r="K1359" t="s">
        <v>1277</v>
      </c>
      <c r="L1359" t="s">
        <v>1306</v>
      </c>
      <c r="M1359" t="s">
        <v>1320</v>
      </c>
      <c r="N1359">
        <v>21</v>
      </c>
      <c r="O1359" t="str">
        <f t="shared" si="124"/>
        <v>64</v>
      </c>
      <c r="P1359">
        <v>64</v>
      </c>
      <c r="R1359" t="s">
        <v>1269</v>
      </c>
      <c r="S1359">
        <v>3.1</v>
      </c>
      <c r="T1359">
        <v>0.13150000000000001</v>
      </c>
      <c r="U1359">
        <f t="shared" si="125"/>
        <v>0.40799999999999997</v>
      </c>
      <c r="V1359" t="str">
        <f t="shared" si="122"/>
        <v>Elementary Contractor ESA</v>
      </c>
      <c r="W1359" t="str">
        <f t="shared" si="123"/>
        <v>Contractor ESA</v>
      </c>
    </row>
    <row r="1360" spans="1:23" x14ac:dyDescent="0.25">
      <c r="A1360">
        <v>17916</v>
      </c>
      <c r="B1360" t="s">
        <v>1297</v>
      </c>
      <c r="C1360">
        <v>2</v>
      </c>
      <c r="D1360" t="s">
        <v>1264</v>
      </c>
      <c r="E1360">
        <v>106254</v>
      </c>
      <c r="F1360">
        <v>17916</v>
      </c>
      <c r="G1360" t="str">
        <f t="shared" si="121"/>
        <v>17916</v>
      </c>
      <c r="H1360" t="s">
        <v>1109</v>
      </c>
      <c r="I1360" t="s">
        <v>1265</v>
      </c>
      <c r="J1360" t="s">
        <v>1276</v>
      </c>
      <c r="K1360" t="s">
        <v>1277</v>
      </c>
      <c r="L1360" t="s">
        <v>1297</v>
      </c>
      <c r="M1360" t="s">
        <v>1381</v>
      </c>
      <c r="N1360">
        <v>1</v>
      </c>
      <c r="O1360" t="str">
        <f t="shared" si="124"/>
        <v>24</v>
      </c>
      <c r="P1360">
        <v>96</v>
      </c>
      <c r="Q1360">
        <v>24</v>
      </c>
      <c r="R1360" t="s">
        <v>1269</v>
      </c>
      <c r="S1360">
        <v>2</v>
      </c>
      <c r="T1360">
        <v>0.1</v>
      </c>
      <c r="U1360">
        <f t="shared" si="125"/>
        <v>0</v>
      </c>
      <c r="V1360" t="str">
        <f t="shared" si="122"/>
        <v>Elementary Family Engagement Coordinator</v>
      </c>
      <c r="W1360" t="str">
        <f t="shared" si="123"/>
        <v>Family Engagement Coordinator</v>
      </c>
    </row>
    <row r="1361" spans="1:23" x14ac:dyDescent="0.25">
      <c r="A1361">
        <v>17916</v>
      </c>
      <c r="B1361" t="s">
        <v>1308</v>
      </c>
      <c r="C1361">
        <v>1</v>
      </c>
      <c r="D1361" t="s">
        <v>1264</v>
      </c>
      <c r="E1361">
        <v>106254</v>
      </c>
      <c r="F1361">
        <v>17916</v>
      </c>
      <c r="G1361" t="str">
        <f t="shared" si="121"/>
        <v>17916</v>
      </c>
      <c r="H1361" t="s">
        <v>1109</v>
      </c>
      <c r="I1361" t="s">
        <v>1265</v>
      </c>
      <c r="J1361" t="s">
        <v>1276</v>
      </c>
      <c r="K1361" t="s">
        <v>1277</v>
      </c>
      <c r="L1361" t="s">
        <v>1308</v>
      </c>
      <c r="M1361" t="s">
        <v>1389</v>
      </c>
      <c r="N1361">
        <v>1</v>
      </c>
      <c r="O1361" t="str">
        <f t="shared" si="124"/>
        <v>25</v>
      </c>
      <c r="Q1361">
        <v>25</v>
      </c>
      <c r="R1361" t="s">
        <v>1269</v>
      </c>
      <c r="S1361">
        <v>1</v>
      </c>
      <c r="T1361">
        <v>0.1</v>
      </c>
      <c r="U1361">
        <f t="shared" si="125"/>
        <v>0</v>
      </c>
      <c r="V1361" t="str">
        <f t="shared" si="122"/>
        <v>Elementary Pupil Management</v>
      </c>
      <c r="W1361" t="str">
        <f t="shared" si="123"/>
        <v>Pupil Management</v>
      </c>
    </row>
    <row r="1362" spans="1:23" x14ac:dyDescent="0.25">
      <c r="A1362">
        <v>17916</v>
      </c>
      <c r="B1362" t="s">
        <v>1306</v>
      </c>
      <c r="C1362">
        <v>1.5</v>
      </c>
      <c r="D1362" t="s">
        <v>1264</v>
      </c>
      <c r="E1362">
        <v>106254</v>
      </c>
      <c r="F1362">
        <v>17916</v>
      </c>
      <c r="G1362" t="str">
        <f t="shared" si="121"/>
        <v>17916</v>
      </c>
      <c r="H1362" t="s">
        <v>1109</v>
      </c>
      <c r="I1362" t="s">
        <v>1265</v>
      </c>
      <c r="J1362" t="s">
        <v>1276</v>
      </c>
      <c r="K1362" t="s">
        <v>1277</v>
      </c>
      <c r="L1362" t="s">
        <v>1306</v>
      </c>
      <c r="M1362" t="s">
        <v>1320</v>
      </c>
      <c r="N1362">
        <v>21</v>
      </c>
      <c r="O1362" t="str">
        <f t="shared" si="124"/>
        <v>64</v>
      </c>
      <c r="P1362">
        <v>64</v>
      </c>
      <c r="R1362" t="s">
        <v>1269</v>
      </c>
      <c r="S1362">
        <v>1.5</v>
      </c>
      <c r="T1362">
        <v>0.1</v>
      </c>
      <c r="U1362">
        <f t="shared" si="125"/>
        <v>0.15</v>
      </c>
      <c r="V1362" t="str">
        <f t="shared" si="122"/>
        <v>Elementary Contractor ESA</v>
      </c>
      <c r="W1362" t="str">
        <f t="shared" si="123"/>
        <v>Contractor ESA</v>
      </c>
    </row>
    <row r="1363" spans="1:23" x14ac:dyDescent="0.25">
      <c r="A1363">
        <v>17917</v>
      </c>
      <c r="B1363" t="s">
        <v>1295</v>
      </c>
      <c r="C1363">
        <v>6.9000000000000006E-2</v>
      </c>
      <c r="D1363" t="s">
        <v>1264</v>
      </c>
      <c r="E1363">
        <v>106255</v>
      </c>
      <c r="F1363">
        <v>17917</v>
      </c>
      <c r="G1363" t="str">
        <f t="shared" si="121"/>
        <v>17917</v>
      </c>
      <c r="H1363" t="s">
        <v>1245</v>
      </c>
      <c r="I1363" t="s">
        <v>1265</v>
      </c>
      <c r="J1363" t="s">
        <v>1271</v>
      </c>
      <c r="K1363" t="s">
        <v>1272</v>
      </c>
      <c r="L1363" t="s">
        <v>1295</v>
      </c>
      <c r="M1363" t="s">
        <v>1296</v>
      </c>
      <c r="N1363">
        <v>1</v>
      </c>
      <c r="O1363" t="str">
        <f t="shared" si="124"/>
        <v>26</v>
      </c>
      <c r="Q1363">
        <v>26</v>
      </c>
      <c r="R1363" t="s">
        <v>1269</v>
      </c>
      <c r="S1363">
        <v>6.9000000000000006E-2</v>
      </c>
      <c r="T1363">
        <v>0.13880000000000001</v>
      </c>
      <c r="U1363">
        <f t="shared" si="125"/>
        <v>0</v>
      </c>
      <c r="V1363" t="str">
        <f t="shared" si="122"/>
        <v>High Health/
Related Services</v>
      </c>
      <c r="W1363" t="str">
        <f t="shared" si="123"/>
        <v>Health/
Related Services</v>
      </c>
    </row>
    <row r="1364" spans="1:23" x14ac:dyDescent="0.25">
      <c r="A1364">
        <v>17919</v>
      </c>
      <c r="B1364" t="s">
        <v>1297</v>
      </c>
      <c r="C1364">
        <v>1.175</v>
      </c>
      <c r="D1364" t="s">
        <v>1264</v>
      </c>
      <c r="E1364">
        <v>106940</v>
      </c>
      <c r="F1364">
        <v>17919</v>
      </c>
      <c r="G1364" t="str">
        <f t="shared" si="121"/>
        <v>17919</v>
      </c>
      <c r="H1364" t="s">
        <v>1112</v>
      </c>
      <c r="I1364" t="s">
        <v>1265</v>
      </c>
      <c r="J1364" t="s">
        <v>1276</v>
      </c>
      <c r="K1364" t="s">
        <v>1277</v>
      </c>
      <c r="L1364" t="s">
        <v>1297</v>
      </c>
      <c r="M1364" t="s">
        <v>1381</v>
      </c>
      <c r="N1364">
        <v>1</v>
      </c>
      <c r="O1364" t="str">
        <f t="shared" si="124"/>
        <v>24</v>
      </c>
      <c r="P1364">
        <v>96</v>
      </c>
      <c r="Q1364">
        <v>24</v>
      </c>
      <c r="R1364" t="s">
        <v>1269</v>
      </c>
      <c r="S1364">
        <v>1.175</v>
      </c>
      <c r="T1364">
        <v>0.08</v>
      </c>
      <c r="U1364">
        <f t="shared" si="125"/>
        <v>0</v>
      </c>
      <c r="V1364" t="str">
        <f t="shared" si="122"/>
        <v>Elementary Family Engagement Coordinator</v>
      </c>
      <c r="W1364" t="str">
        <f t="shared" si="123"/>
        <v>Family Engagement Coordinator</v>
      </c>
    </row>
    <row r="1365" spans="1:23" x14ac:dyDescent="0.25">
      <c r="A1365">
        <v>17919</v>
      </c>
      <c r="B1365" t="s">
        <v>1306</v>
      </c>
      <c r="C1365">
        <v>1.7</v>
      </c>
      <c r="D1365" t="s">
        <v>1264</v>
      </c>
      <c r="E1365">
        <v>106940</v>
      </c>
      <c r="F1365">
        <v>17919</v>
      </c>
      <c r="G1365" t="str">
        <f t="shared" si="121"/>
        <v>17919</v>
      </c>
      <c r="H1365" t="s">
        <v>1112</v>
      </c>
      <c r="I1365" t="s">
        <v>1265</v>
      </c>
      <c r="J1365" t="s">
        <v>1276</v>
      </c>
      <c r="K1365" t="s">
        <v>1277</v>
      </c>
      <c r="L1365" t="s">
        <v>1306</v>
      </c>
      <c r="M1365" t="s">
        <v>1320</v>
      </c>
      <c r="N1365">
        <v>21</v>
      </c>
      <c r="O1365" t="str">
        <f t="shared" si="124"/>
        <v>64</v>
      </c>
      <c r="P1365">
        <v>64</v>
      </c>
      <c r="R1365" t="s">
        <v>1269</v>
      </c>
      <c r="S1365">
        <v>1.7</v>
      </c>
      <c r="T1365">
        <v>0.08</v>
      </c>
      <c r="U1365">
        <f t="shared" si="125"/>
        <v>0.13600000000000001</v>
      </c>
      <c r="V1365" t="str">
        <f t="shared" si="122"/>
        <v>Elementary Contractor ESA</v>
      </c>
      <c r="W1365" t="str">
        <f t="shared" si="123"/>
        <v>Contractor ESA</v>
      </c>
    </row>
    <row r="1366" spans="1:23" x14ac:dyDescent="0.25">
      <c r="A1366">
        <v>18100</v>
      </c>
      <c r="B1366" t="s">
        <v>1383</v>
      </c>
      <c r="C1366">
        <v>2.3130000000000002</v>
      </c>
      <c r="D1366" t="s">
        <v>1264</v>
      </c>
      <c r="E1366">
        <v>100026</v>
      </c>
      <c r="F1366">
        <v>18100</v>
      </c>
      <c r="G1366" t="str">
        <f t="shared" si="121"/>
        <v>18100</v>
      </c>
      <c r="H1366" t="s">
        <v>412</v>
      </c>
      <c r="I1366" t="s">
        <v>1265</v>
      </c>
      <c r="J1366" t="s">
        <v>1271</v>
      </c>
      <c r="K1366" t="s">
        <v>1272</v>
      </c>
      <c r="L1366" t="s">
        <v>1383</v>
      </c>
      <c r="M1366" t="s">
        <v>1409</v>
      </c>
      <c r="N1366">
        <v>21</v>
      </c>
      <c r="O1366" t="str">
        <f t="shared" si="124"/>
        <v>25</v>
      </c>
      <c r="Q1366">
        <v>25</v>
      </c>
      <c r="R1366" t="s">
        <v>1269</v>
      </c>
      <c r="S1366">
        <v>2.3130000000000002</v>
      </c>
      <c r="T1366">
        <v>0.27089999999999997</v>
      </c>
      <c r="U1366">
        <f t="shared" si="125"/>
        <v>0.627</v>
      </c>
      <c r="V1366" t="str">
        <f t="shared" si="122"/>
        <v>High Pupil Management</v>
      </c>
      <c r="W1366" t="str">
        <f t="shared" si="123"/>
        <v>Pupil Management</v>
      </c>
    </row>
    <row r="1367" spans="1:23" x14ac:dyDescent="0.25">
      <c r="A1367">
        <v>18100</v>
      </c>
      <c r="B1367" t="s">
        <v>1290</v>
      </c>
      <c r="C1367">
        <v>1.101</v>
      </c>
      <c r="D1367" t="s">
        <v>1264</v>
      </c>
      <c r="E1367">
        <v>100026</v>
      </c>
      <c r="F1367">
        <v>18100</v>
      </c>
      <c r="G1367" t="str">
        <f t="shared" si="121"/>
        <v>18100</v>
      </c>
      <c r="H1367" t="s">
        <v>412</v>
      </c>
      <c r="I1367" t="s">
        <v>1265</v>
      </c>
      <c r="J1367" t="s">
        <v>1271</v>
      </c>
      <c r="K1367" t="s">
        <v>1272</v>
      </c>
      <c r="L1367" t="s">
        <v>1290</v>
      </c>
      <c r="M1367" t="s">
        <v>1412</v>
      </c>
      <c r="N1367">
        <v>97</v>
      </c>
      <c r="O1367" t="str">
        <f t="shared" si="124"/>
        <v>25</v>
      </c>
      <c r="Q1367">
        <v>25</v>
      </c>
      <c r="R1367" t="s">
        <v>1269</v>
      </c>
      <c r="S1367">
        <v>1.101</v>
      </c>
      <c r="T1367">
        <v>0.27089999999999997</v>
      </c>
      <c r="U1367">
        <f t="shared" si="125"/>
        <v>0</v>
      </c>
      <c r="V1367" t="str">
        <f t="shared" si="122"/>
        <v>High Pupil Management</v>
      </c>
      <c r="W1367" t="str">
        <f t="shared" si="123"/>
        <v>Pupil Management</v>
      </c>
    </row>
    <row r="1368" spans="1:23" x14ac:dyDescent="0.25">
      <c r="A1368">
        <v>18100</v>
      </c>
      <c r="B1368" t="s">
        <v>1311</v>
      </c>
      <c r="C1368">
        <v>1.603</v>
      </c>
      <c r="D1368" t="s">
        <v>1264</v>
      </c>
      <c r="E1368">
        <v>100026</v>
      </c>
      <c r="F1368">
        <v>18100</v>
      </c>
      <c r="G1368" t="str">
        <f t="shared" si="121"/>
        <v>18100</v>
      </c>
      <c r="H1368" t="s">
        <v>412</v>
      </c>
      <c r="I1368" t="s">
        <v>1265</v>
      </c>
      <c r="J1368" t="s">
        <v>1276</v>
      </c>
      <c r="K1368" t="s">
        <v>1277</v>
      </c>
      <c r="L1368" t="s">
        <v>1311</v>
      </c>
      <c r="M1368" t="s">
        <v>1327</v>
      </c>
      <c r="N1368">
        <v>21</v>
      </c>
      <c r="O1368" t="str">
        <f t="shared" si="124"/>
        <v>26</v>
      </c>
      <c r="Q1368">
        <v>26</v>
      </c>
      <c r="R1368" t="s">
        <v>1269</v>
      </c>
      <c r="S1368">
        <v>1.603</v>
      </c>
      <c r="T1368">
        <v>0.27089999999999997</v>
      </c>
      <c r="U1368">
        <f t="shared" si="125"/>
        <v>0.434</v>
      </c>
      <c r="V1368" t="str">
        <f t="shared" si="122"/>
        <v>Elementary Health/
Related Services</v>
      </c>
      <c r="W1368" t="str">
        <f t="shared" si="123"/>
        <v>Health/
Related Services</v>
      </c>
    </row>
    <row r="1369" spans="1:23" x14ac:dyDescent="0.25">
      <c r="A1369">
        <v>18100</v>
      </c>
      <c r="B1369" t="s">
        <v>1315</v>
      </c>
      <c r="C1369">
        <v>3.2530000000000001</v>
      </c>
      <c r="D1369" t="s">
        <v>1264</v>
      </c>
      <c r="E1369">
        <v>100026</v>
      </c>
      <c r="F1369">
        <v>18100</v>
      </c>
      <c r="G1369" t="str">
        <f t="shared" si="121"/>
        <v>18100</v>
      </c>
      <c r="H1369" t="s">
        <v>412</v>
      </c>
      <c r="I1369" t="s">
        <v>1265</v>
      </c>
      <c r="J1369" t="s">
        <v>1276</v>
      </c>
      <c r="K1369" t="s">
        <v>1277</v>
      </c>
      <c r="L1369" t="s">
        <v>1315</v>
      </c>
      <c r="M1369" t="s">
        <v>1375</v>
      </c>
      <c r="N1369">
        <v>1</v>
      </c>
      <c r="O1369" t="str">
        <f t="shared" si="124"/>
        <v>26</v>
      </c>
      <c r="Q1369">
        <v>26</v>
      </c>
      <c r="R1369" t="s">
        <v>1269</v>
      </c>
      <c r="S1369">
        <v>3.2530000000000001</v>
      </c>
      <c r="T1369">
        <v>0.27089999999999997</v>
      </c>
      <c r="U1369">
        <f t="shared" si="125"/>
        <v>0</v>
      </c>
      <c r="V1369" t="str">
        <f t="shared" si="122"/>
        <v>Elementary Health/
Related Services</v>
      </c>
      <c r="W1369" t="str">
        <f t="shared" si="123"/>
        <v>Health/
Related Services</v>
      </c>
    </row>
    <row r="1370" spans="1:23" x14ac:dyDescent="0.25">
      <c r="A1370">
        <v>18100</v>
      </c>
      <c r="B1370" t="s">
        <v>1324</v>
      </c>
      <c r="C1370">
        <v>0.7</v>
      </c>
      <c r="D1370" t="s">
        <v>1264</v>
      </c>
      <c r="E1370">
        <v>100026</v>
      </c>
      <c r="F1370">
        <v>18100</v>
      </c>
      <c r="G1370" t="str">
        <f t="shared" si="121"/>
        <v>18100</v>
      </c>
      <c r="H1370" t="s">
        <v>412</v>
      </c>
      <c r="I1370" t="s">
        <v>1265</v>
      </c>
      <c r="J1370" t="s">
        <v>1271</v>
      </c>
      <c r="K1370" t="s">
        <v>1272</v>
      </c>
      <c r="L1370" t="s">
        <v>1324</v>
      </c>
      <c r="M1370" t="s">
        <v>1325</v>
      </c>
      <c r="N1370">
        <v>21</v>
      </c>
      <c r="O1370" t="str">
        <f t="shared" si="124"/>
        <v>26</v>
      </c>
      <c r="Q1370">
        <v>26</v>
      </c>
      <c r="R1370" t="s">
        <v>1269</v>
      </c>
      <c r="S1370">
        <v>0.7</v>
      </c>
      <c r="T1370">
        <v>0.27089999999999997</v>
      </c>
      <c r="U1370">
        <f t="shared" si="125"/>
        <v>0.19</v>
      </c>
      <c r="V1370" t="str">
        <f t="shared" si="122"/>
        <v>High Health/
Related Services</v>
      </c>
      <c r="W1370" t="str">
        <f t="shared" si="123"/>
        <v>Health/
Related Services</v>
      </c>
    </row>
    <row r="1371" spans="1:23" x14ac:dyDescent="0.25">
      <c r="A1371">
        <v>18100</v>
      </c>
      <c r="B1371" t="s">
        <v>1295</v>
      </c>
      <c r="C1371">
        <v>1.91</v>
      </c>
      <c r="D1371" t="s">
        <v>1264</v>
      </c>
      <c r="E1371">
        <v>100026</v>
      </c>
      <c r="F1371">
        <v>18100</v>
      </c>
      <c r="G1371" t="str">
        <f t="shared" si="121"/>
        <v>18100</v>
      </c>
      <c r="H1371" t="s">
        <v>412</v>
      </c>
      <c r="I1371" t="s">
        <v>1265</v>
      </c>
      <c r="J1371" t="s">
        <v>1271</v>
      </c>
      <c r="K1371" t="s">
        <v>1272</v>
      </c>
      <c r="L1371" t="s">
        <v>1295</v>
      </c>
      <c r="M1371" t="s">
        <v>1296</v>
      </c>
      <c r="N1371">
        <v>1</v>
      </c>
      <c r="O1371" t="str">
        <f t="shared" si="124"/>
        <v>26</v>
      </c>
      <c r="Q1371">
        <v>26</v>
      </c>
      <c r="R1371" t="s">
        <v>1269</v>
      </c>
      <c r="S1371">
        <v>1.91</v>
      </c>
      <c r="T1371">
        <v>0.27089999999999997</v>
      </c>
      <c r="U1371">
        <f t="shared" si="125"/>
        <v>0</v>
      </c>
      <c r="V1371" t="str">
        <f t="shared" si="122"/>
        <v>High Health/
Related Services</v>
      </c>
      <c r="W1371" t="str">
        <f t="shared" si="123"/>
        <v>Health/
Related Services</v>
      </c>
    </row>
    <row r="1372" spans="1:23" x14ac:dyDescent="0.25">
      <c r="A1372">
        <v>18100</v>
      </c>
      <c r="B1372" t="s">
        <v>1322</v>
      </c>
      <c r="C1372">
        <v>0.13400000000000001</v>
      </c>
      <c r="D1372" t="s">
        <v>1264</v>
      </c>
      <c r="E1372">
        <v>100026</v>
      </c>
      <c r="F1372">
        <v>18100</v>
      </c>
      <c r="G1372" t="str">
        <f t="shared" si="121"/>
        <v>18100</v>
      </c>
      <c r="H1372" t="s">
        <v>412</v>
      </c>
      <c r="I1372" t="s">
        <v>1265</v>
      </c>
      <c r="J1372" t="s">
        <v>1266</v>
      </c>
      <c r="K1372" t="s">
        <v>1267</v>
      </c>
      <c r="L1372" t="s">
        <v>1322</v>
      </c>
      <c r="M1372" t="s">
        <v>1323</v>
      </c>
      <c r="N1372">
        <v>21</v>
      </c>
      <c r="O1372" t="str">
        <f t="shared" si="124"/>
        <v>26</v>
      </c>
      <c r="Q1372">
        <v>26</v>
      </c>
      <c r="R1372" t="s">
        <v>1269</v>
      </c>
      <c r="S1372">
        <v>0.13400000000000001</v>
      </c>
      <c r="T1372">
        <v>0.27089999999999997</v>
      </c>
      <c r="U1372">
        <f t="shared" si="125"/>
        <v>3.5999999999999997E-2</v>
      </c>
      <c r="V1372" t="str">
        <f t="shared" si="122"/>
        <v>Middle Health/
Related Services</v>
      </c>
      <c r="W1372" t="str">
        <f t="shared" si="123"/>
        <v>Health/
Related Services</v>
      </c>
    </row>
    <row r="1373" spans="1:23" x14ac:dyDescent="0.25">
      <c r="A1373">
        <v>18100</v>
      </c>
      <c r="B1373" t="s">
        <v>1291</v>
      </c>
      <c r="C1373">
        <v>0.72799999999999998</v>
      </c>
      <c r="D1373" t="s">
        <v>1264</v>
      </c>
      <c r="E1373">
        <v>100026</v>
      </c>
      <c r="F1373">
        <v>18100</v>
      </c>
      <c r="G1373" t="str">
        <f t="shared" si="121"/>
        <v>18100</v>
      </c>
      <c r="H1373" t="s">
        <v>412</v>
      </c>
      <c r="I1373" t="s">
        <v>1265</v>
      </c>
      <c r="J1373" t="s">
        <v>1266</v>
      </c>
      <c r="K1373" t="s">
        <v>1267</v>
      </c>
      <c r="L1373" t="s">
        <v>1291</v>
      </c>
      <c r="M1373" t="s">
        <v>1292</v>
      </c>
      <c r="N1373">
        <v>1</v>
      </c>
      <c r="O1373" t="str">
        <f t="shared" si="124"/>
        <v>26</v>
      </c>
      <c r="Q1373">
        <v>26</v>
      </c>
      <c r="R1373" t="s">
        <v>1269</v>
      </c>
      <c r="S1373">
        <v>0.72799999999999998</v>
      </c>
      <c r="T1373">
        <v>0.27089999999999997</v>
      </c>
      <c r="U1373">
        <f t="shared" si="125"/>
        <v>0</v>
      </c>
      <c r="V1373" t="str">
        <f t="shared" si="122"/>
        <v>Middle Health/
Related Services</v>
      </c>
      <c r="W1373" t="str">
        <f t="shared" si="123"/>
        <v>Health/
Related Services</v>
      </c>
    </row>
    <row r="1374" spans="1:23" x14ac:dyDescent="0.25">
      <c r="A1374">
        <v>18100</v>
      </c>
      <c r="B1374" t="s">
        <v>1401</v>
      </c>
      <c r="C1374">
        <v>3.9460000000000002</v>
      </c>
      <c r="D1374" t="s">
        <v>1264</v>
      </c>
      <c r="E1374">
        <v>100026</v>
      </c>
      <c r="F1374">
        <v>18100</v>
      </c>
      <c r="G1374" t="str">
        <f t="shared" si="121"/>
        <v>18100</v>
      </c>
      <c r="H1374" t="s">
        <v>412</v>
      </c>
      <c r="I1374" t="s">
        <v>1265</v>
      </c>
      <c r="J1374" t="s">
        <v>1271</v>
      </c>
      <c r="K1374" t="s">
        <v>1272</v>
      </c>
      <c r="L1374" t="s">
        <v>1401</v>
      </c>
      <c r="M1374" t="s">
        <v>1422</v>
      </c>
      <c r="N1374">
        <v>1</v>
      </c>
      <c r="O1374" t="str">
        <f t="shared" si="124"/>
        <v>35</v>
      </c>
      <c r="Q1374">
        <v>35</v>
      </c>
      <c r="R1374" t="s">
        <v>1269</v>
      </c>
      <c r="S1374">
        <v>3.9460000000000002</v>
      </c>
      <c r="T1374">
        <v>0.27089999999999997</v>
      </c>
      <c r="U1374">
        <f t="shared" si="125"/>
        <v>0</v>
      </c>
      <c r="V1374" t="str">
        <f t="shared" si="122"/>
        <v>High Pupil Safety</v>
      </c>
      <c r="W1374" t="str">
        <f t="shared" si="123"/>
        <v>Pupil Safety</v>
      </c>
    </row>
    <row r="1375" spans="1:23" x14ac:dyDescent="0.25">
      <c r="A1375">
        <v>18100</v>
      </c>
      <c r="B1375" t="s">
        <v>1377</v>
      </c>
      <c r="C1375">
        <v>1.591</v>
      </c>
      <c r="D1375" t="s">
        <v>1264</v>
      </c>
      <c r="E1375">
        <v>100026</v>
      </c>
      <c r="F1375">
        <v>18100</v>
      </c>
      <c r="G1375" t="str">
        <f t="shared" si="121"/>
        <v>18100</v>
      </c>
      <c r="H1375" t="s">
        <v>412</v>
      </c>
      <c r="I1375" t="s">
        <v>1265</v>
      </c>
      <c r="J1375" t="s">
        <v>1266</v>
      </c>
      <c r="K1375" t="s">
        <v>1267</v>
      </c>
      <c r="L1375" t="s">
        <v>1377</v>
      </c>
      <c r="M1375" t="s">
        <v>1423</v>
      </c>
      <c r="N1375">
        <v>1</v>
      </c>
      <c r="O1375" t="str">
        <f t="shared" si="124"/>
        <v>35</v>
      </c>
      <c r="Q1375">
        <v>35</v>
      </c>
      <c r="R1375" t="s">
        <v>1269</v>
      </c>
      <c r="S1375">
        <v>1.591</v>
      </c>
      <c r="T1375">
        <v>0.27089999999999997</v>
      </c>
      <c r="U1375">
        <f t="shared" si="125"/>
        <v>0</v>
      </c>
      <c r="V1375" t="str">
        <f t="shared" si="122"/>
        <v>Middle Pupil Safety</v>
      </c>
      <c r="W1375" t="str">
        <f t="shared" si="123"/>
        <v>Pupil Safety</v>
      </c>
    </row>
    <row r="1376" spans="1:23" x14ac:dyDescent="0.25">
      <c r="A1376">
        <v>18100</v>
      </c>
      <c r="B1376" t="s">
        <v>1275</v>
      </c>
      <c r="C1376">
        <v>6.2</v>
      </c>
      <c r="D1376" t="s">
        <v>1264</v>
      </c>
      <c r="E1376">
        <v>100026</v>
      </c>
      <c r="F1376">
        <v>18100</v>
      </c>
      <c r="G1376" t="str">
        <f t="shared" si="121"/>
        <v>18100</v>
      </c>
      <c r="H1376" t="s">
        <v>412</v>
      </c>
      <c r="I1376" t="s">
        <v>1265</v>
      </c>
      <c r="J1376" t="s">
        <v>1276</v>
      </c>
      <c r="K1376" t="s">
        <v>1277</v>
      </c>
      <c r="L1376" t="s">
        <v>1275</v>
      </c>
      <c r="M1376" t="s">
        <v>1278</v>
      </c>
      <c r="N1376">
        <v>1</v>
      </c>
      <c r="O1376" t="str">
        <f t="shared" si="124"/>
        <v>42</v>
      </c>
      <c r="P1376">
        <v>42</v>
      </c>
      <c r="R1376" t="s">
        <v>1269</v>
      </c>
      <c r="S1376">
        <v>6.2</v>
      </c>
      <c r="T1376">
        <v>0.27089999999999997</v>
      </c>
      <c r="U1376">
        <f t="shared" si="125"/>
        <v>0</v>
      </c>
      <c r="V1376" t="str">
        <f t="shared" si="122"/>
        <v>Elementary Counselor</v>
      </c>
      <c r="W1376" t="str">
        <f t="shared" si="123"/>
        <v>Counselor</v>
      </c>
    </row>
    <row r="1377" spans="1:23" x14ac:dyDescent="0.25">
      <c r="A1377">
        <v>18100</v>
      </c>
      <c r="B1377" t="s">
        <v>1270</v>
      </c>
      <c r="C1377">
        <v>3.984</v>
      </c>
      <c r="D1377" t="s">
        <v>1264</v>
      </c>
      <c r="E1377">
        <v>100026</v>
      </c>
      <c r="F1377">
        <v>18100</v>
      </c>
      <c r="G1377" t="str">
        <f t="shared" si="121"/>
        <v>18100</v>
      </c>
      <c r="H1377" t="s">
        <v>412</v>
      </c>
      <c r="I1377" t="s">
        <v>1265</v>
      </c>
      <c r="J1377" t="s">
        <v>1271</v>
      </c>
      <c r="K1377" t="s">
        <v>1272</v>
      </c>
      <c r="L1377" t="s">
        <v>1270</v>
      </c>
      <c r="M1377" t="s">
        <v>1273</v>
      </c>
      <c r="N1377">
        <v>1</v>
      </c>
      <c r="O1377" t="str">
        <f t="shared" si="124"/>
        <v>42</v>
      </c>
      <c r="P1377">
        <v>42</v>
      </c>
      <c r="R1377" t="s">
        <v>1269</v>
      </c>
      <c r="S1377">
        <v>3.984</v>
      </c>
      <c r="T1377">
        <v>0.27089999999999997</v>
      </c>
      <c r="U1377">
        <f t="shared" si="125"/>
        <v>0</v>
      </c>
      <c r="V1377" t="str">
        <f t="shared" si="122"/>
        <v>High Counselor</v>
      </c>
      <c r="W1377" t="str">
        <f t="shared" si="123"/>
        <v>Counselor</v>
      </c>
    </row>
    <row r="1378" spans="1:23" x14ac:dyDescent="0.25">
      <c r="A1378">
        <v>18100</v>
      </c>
      <c r="B1378" t="s">
        <v>1263</v>
      </c>
      <c r="C1378">
        <v>1.2</v>
      </c>
      <c r="D1378" t="s">
        <v>1264</v>
      </c>
      <c r="E1378">
        <v>100026</v>
      </c>
      <c r="F1378">
        <v>18100</v>
      </c>
      <c r="G1378" t="str">
        <f t="shared" si="121"/>
        <v>18100</v>
      </c>
      <c r="H1378" t="s">
        <v>412</v>
      </c>
      <c r="I1378" t="s">
        <v>1265</v>
      </c>
      <c r="J1378" t="s">
        <v>1266</v>
      </c>
      <c r="K1378" t="s">
        <v>1267</v>
      </c>
      <c r="L1378" t="s">
        <v>1263</v>
      </c>
      <c r="M1378" t="s">
        <v>1268</v>
      </c>
      <c r="N1378">
        <v>1</v>
      </c>
      <c r="O1378" t="str">
        <f t="shared" si="124"/>
        <v>42</v>
      </c>
      <c r="P1378">
        <v>42</v>
      </c>
      <c r="R1378" t="s">
        <v>1269</v>
      </c>
      <c r="S1378">
        <v>1.2</v>
      </c>
      <c r="T1378">
        <v>0.27089999999999997</v>
      </c>
      <c r="U1378">
        <f t="shared" si="125"/>
        <v>0</v>
      </c>
      <c r="V1378" t="str">
        <f t="shared" si="122"/>
        <v>Middle Counselor</v>
      </c>
      <c r="W1378" t="str">
        <f t="shared" si="123"/>
        <v>Counselor</v>
      </c>
    </row>
    <row r="1379" spans="1:23" x14ac:dyDescent="0.25">
      <c r="A1379">
        <v>18100</v>
      </c>
      <c r="B1379" t="s">
        <v>1289</v>
      </c>
      <c r="C1379">
        <v>2.2000000000000002</v>
      </c>
      <c r="D1379" t="s">
        <v>1264</v>
      </c>
      <c r="E1379">
        <v>100026</v>
      </c>
      <c r="F1379">
        <v>18100</v>
      </c>
      <c r="G1379" t="str">
        <f t="shared" si="121"/>
        <v>18100</v>
      </c>
      <c r="H1379" t="s">
        <v>412</v>
      </c>
      <c r="I1379" t="s">
        <v>1265</v>
      </c>
      <c r="J1379" t="s">
        <v>1276</v>
      </c>
      <c r="K1379" t="s">
        <v>1277</v>
      </c>
      <c r="L1379" t="s">
        <v>1289</v>
      </c>
      <c r="M1379" t="s">
        <v>1307</v>
      </c>
      <c r="N1379">
        <v>21</v>
      </c>
      <c r="O1379" t="str">
        <f t="shared" si="124"/>
        <v>43</v>
      </c>
      <c r="P1379">
        <v>43</v>
      </c>
      <c r="R1379" t="s">
        <v>1269</v>
      </c>
      <c r="S1379">
        <v>2.2000000000000002</v>
      </c>
      <c r="T1379">
        <v>0.27089999999999997</v>
      </c>
      <c r="U1379">
        <f t="shared" si="125"/>
        <v>0.59599999999999997</v>
      </c>
      <c r="V1379" t="str">
        <f t="shared" si="122"/>
        <v>Elementary Occupational Therapist</v>
      </c>
      <c r="W1379" t="str">
        <f t="shared" si="123"/>
        <v>Occupational Therapist</v>
      </c>
    </row>
    <row r="1380" spans="1:23" x14ac:dyDescent="0.25">
      <c r="A1380">
        <v>18100</v>
      </c>
      <c r="B1380" t="s">
        <v>1303</v>
      </c>
      <c r="C1380">
        <v>0.2</v>
      </c>
      <c r="D1380" t="s">
        <v>1264</v>
      </c>
      <c r="E1380">
        <v>100026</v>
      </c>
      <c r="F1380">
        <v>18100</v>
      </c>
      <c r="G1380" t="str">
        <f t="shared" si="121"/>
        <v>18100</v>
      </c>
      <c r="H1380" t="s">
        <v>412</v>
      </c>
      <c r="I1380" t="s">
        <v>1265</v>
      </c>
      <c r="J1380" t="s">
        <v>1266</v>
      </c>
      <c r="K1380" t="s">
        <v>1267</v>
      </c>
      <c r="L1380" t="s">
        <v>1303</v>
      </c>
      <c r="M1380" t="s">
        <v>1304</v>
      </c>
      <c r="N1380">
        <v>21</v>
      </c>
      <c r="O1380" t="str">
        <f t="shared" si="124"/>
        <v>43</v>
      </c>
      <c r="P1380">
        <v>43</v>
      </c>
      <c r="R1380" t="s">
        <v>1269</v>
      </c>
      <c r="S1380">
        <v>0.2</v>
      </c>
      <c r="T1380">
        <v>0.27089999999999997</v>
      </c>
      <c r="U1380">
        <f t="shared" si="125"/>
        <v>5.3999999999999999E-2</v>
      </c>
      <c r="V1380" t="str">
        <f t="shared" si="122"/>
        <v>Middle Occupational Therapist</v>
      </c>
      <c r="W1380" t="str">
        <f t="shared" si="123"/>
        <v>Occupational Therapist</v>
      </c>
    </row>
    <row r="1381" spans="1:23" x14ac:dyDescent="0.25">
      <c r="A1381">
        <v>18100</v>
      </c>
      <c r="B1381" t="s">
        <v>1294</v>
      </c>
      <c r="C1381">
        <v>6.1289999999999996</v>
      </c>
      <c r="D1381" t="s">
        <v>1264</v>
      </c>
      <c r="E1381">
        <v>100026</v>
      </c>
      <c r="F1381">
        <v>18100</v>
      </c>
      <c r="G1381" t="str">
        <f t="shared" si="121"/>
        <v>18100</v>
      </c>
      <c r="H1381" t="s">
        <v>412</v>
      </c>
      <c r="I1381" t="s">
        <v>1265</v>
      </c>
      <c r="J1381" t="s">
        <v>1276</v>
      </c>
      <c r="K1381" t="s">
        <v>1277</v>
      </c>
      <c r="L1381" t="s">
        <v>1294</v>
      </c>
      <c r="M1381" t="s">
        <v>1354</v>
      </c>
      <c r="N1381">
        <v>21</v>
      </c>
      <c r="O1381" t="str">
        <f t="shared" si="124"/>
        <v>45</v>
      </c>
      <c r="P1381">
        <v>45</v>
      </c>
      <c r="R1381" t="s">
        <v>1269</v>
      </c>
      <c r="S1381">
        <v>6.1289999999999996</v>
      </c>
      <c r="T1381">
        <v>0.27089999999999997</v>
      </c>
      <c r="U1381">
        <f t="shared" si="125"/>
        <v>1.66</v>
      </c>
      <c r="V1381" t="str">
        <f t="shared" si="122"/>
        <v>Elementary Speech, Language Pathway/
Audio</v>
      </c>
      <c r="W1381" t="str">
        <f t="shared" si="123"/>
        <v>Speech, Language Pathway/
Audio</v>
      </c>
    </row>
    <row r="1382" spans="1:23" x14ac:dyDescent="0.25">
      <c r="A1382">
        <v>18100</v>
      </c>
      <c r="B1382" t="s">
        <v>1326</v>
      </c>
      <c r="C1382">
        <v>1</v>
      </c>
      <c r="D1382" t="s">
        <v>1264</v>
      </c>
      <c r="E1382">
        <v>100026</v>
      </c>
      <c r="F1382">
        <v>18100</v>
      </c>
      <c r="G1382" t="str">
        <f t="shared" si="121"/>
        <v>18100</v>
      </c>
      <c r="H1382" t="s">
        <v>412</v>
      </c>
      <c r="I1382" t="s">
        <v>1265</v>
      </c>
      <c r="J1382" t="s">
        <v>1271</v>
      </c>
      <c r="K1382" t="s">
        <v>1272</v>
      </c>
      <c r="L1382" t="s">
        <v>1326</v>
      </c>
      <c r="M1382" t="s">
        <v>1353</v>
      </c>
      <c r="N1382">
        <v>21</v>
      </c>
      <c r="O1382" t="str">
        <f t="shared" si="124"/>
        <v>45</v>
      </c>
      <c r="P1382">
        <v>45</v>
      </c>
      <c r="R1382" t="s">
        <v>1269</v>
      </c>
      <c r="S1382">
        <v>1</v>
      </c>
      <c r="T1382">
        <v>0.27089999999999997</v>
      </c>
      <c r="U1382">
        <f t="shared" si="125"/>
        <v>0.27100000000000002</v>
      </c>
      <c r="V1382" t="str">
        <f t="shared" si="122"/>
        <v>High Speech, Language Pathway/
Audio</v>
      </c>
      <c r="W1382" t="str">
        <f t="shared" si="123"/>
        <v>Speech, Language Pathway/
Audio</v>
      </c>
    </row>
    <row r="1383" spans="1:23" x14ac:dyDescent="0.25">
      <c r="A1383">
        <v>18100</v>
      </c>
      <c r="B1383" t="s">
        <v>1312</v>
      </c>
      <c r="C1383">
        <v>0.86599999999999999</v>
      </c>
      <c r="D1383" t="s">
        <v>1264</v>
      </c>
      <c r="E1383">
        <v>100026</v>
      </c>
      <c r="F1383">
        <v>18100</v>
      </c>
      <c r="G1383" t="str">
        <f t="shared" si="121"/>
        <v>18100</v>
      </c>
      <c r="H1383" t="s">
        <v>412</v>
      </c>
      <c r="I1383" t="s">
        <v>1265</v>
      </c>
      <c r="J1383" t="s">
        <v>1266</v>
      </c>
      <c r="K1383" t="s">
        <v>1267</v>
      </c>
      <c r="L1383" t="s">
        <v>1312</v>
      </c>
      <c r="M1383" t="s">
        <v>1351</v>
      </c>
      <c r="N1383">
        <v>21</v>
      </c>
      <c r="O1383" t="str">
        <f t="shared" si="124"/>
        <v>45</v>
      </c>
      <c r="P1383">
        <v>45</v>
      </c>
      <c r="R1383" t="s">
        <v>1269</v>
      </c>
      <c r="S1383">
        <v>0.86599999999999999</v>
      </c>
      <c r="T1383">
        <v>0.27089999999999997</v>
      </c>
      <c r="U1383">
        <f t="shared" si="125"/>
        <v>0.23499999999999999</v>
      </c>
      <c r="V1383" t="str">
        <f t="shared" si="122"/>
        <v>Middle Speech, Language Pathway/
Audio</v>
      </c>
      <c r="W1383" t="str">
        <f t="shared" si="123"/>
        <v>Speech, Language Pathway/
Audio</v>
      </c>
    </row>
    <row r="1384" spans="1:23" x14ac:dyDescent="0.25">
      <c r="A1384">
        <v>18100</v>
      </c>
      <c r="B1384" t="s">
        <v>1298</v>
      </c>
      <c r="C1384">
        <v>2.694</v>
      </c>
      <c r="D1384" t="s">
        <v>1264</v>
      </c>
      <c r="E1384">
        <v>100026</v>
      </c>
      <c r="F1384">
        <v>18100</v>
      </c>
      <c r="G1384" t="str">
        <f t="shared" si="121"/>
        <v>18100</v>
      </c>
      <c r="H1384" t="s">
        <v>412</v>
      </c>
      <c r="I1384" t="s">
        <v>1265</v>
      </c>
      <c r="J1384" t="s">
        <v>1276</v>
      </c>
      <c r="K1384" t="s">
        <v>1277</v>
      </c>
      <c r="L1384" t="s">
        <v>1298</v>
      </c>
      <c r="M1384" t="s">
        <v>1349</v>
      </c>
      <c r="N1384">
        <v>21</v>
      </c>
      <c r="O1384" t="str">
        <f t="shared" si="124"/>
        <v>46</v>
      </c>
      <c r="P1384">
        <v>46</v>
      </c>
      <c r="R1384" t="s">
        <v>1269</v>
      </c>
      <c r="S1384">
        <v>2.694</v>
      </c>
      <c r="T1384">
        <v>0.27089999999999997</v>
      </c>
      <c r="U1384">
        <f t="shared" si="125"/>
        <v>0.73</v>
      </c>
      <c r="V1384" t="str">
        <f t="shared" si="122"/>
        <v>Elementary Psychologist</v>
      </c>
      <c r="W1384" t="str">
        <f t="shared" si="123"/>
        <v>Psychologist</v>
      </c>
    </row>
    <row r="1385" spans="1:23" x14ac:dyDescent="0.25">
      <c r="A1385">
        <v>18100</v>
      </c>
      <c r="B1385" t="s">
        <v>1309</v>
      </c>
      <c r="C1385">
        <v>1</v>
      </c>
      <c r="D1385" t="s">
        <v>1264</v>
      </c>
      <c r="E1385">
        <v>100026</v>
      </c>
      <c r="F1385">
        <v>18100</v>
      </c>
      <c r="G1385" t="str">
        <f t="shared" si="121"/>
        <v>18100</v>
      </c>
      <c r="H1385" t="s">
        <v>412</v>
      </c>
      <c r="I1385" t="s">
        <v>1265</v>
      </c>
      <c r="J1385" t="s">
        <v>1271</v>
      </c>
      <c r="K1385" t="s">
        <v>1272</v>
      </c>
      <c r="L1385" t="s">
        <v>1309</v>
      </c>
      <c r="M1385" t="s">
        <v>1310</v>
      </c>
      <c r="N1385">
        <v>21</v>
      </c>
      <c r="O1385" t="str">
        <f t="shared" si="124"/>
        <v>46</v>
      </c>
      <c r="P1385">
        <v>46</v>
      </c>
      <c r="R1385" t="s">
        <v>1269</v>
      </c>
      <c r="S1385">
        <v>1</v>
      </c>
      <c r="T1385">
        <v>0.27089999999999997</v>
      </c>
      <c r="U1385">
        <f t="shared" si="125"/>
        <v>0.27100000000000002</v>
      </c>
      <c r="V1385" t="str">
        <f t="shared" si="122"/>
        <v>High Psychologist</v>
      </c>
      <c r="W1385" t="str">
        <f t="shared" si="123"/>
        <v>Psychologist</v>
      </c>
    </row>
    <row r="1386" spans="1:23" x14ac:dyDescent="0.25">
      <c r="A1386">
        <v>18100</v>
      </c>
      <c r="B1386" t="s">
        <v>1345</v>
      </c>
      <c r="C1386">
        <v>1</v>
      </c>
      <c r="D1386" t="s">
        <v>1264</v>
      </c>
      <c r="E1386">
        <v>100026</v>
      </c>
      <c r="F1386">
        <v>18100</v>
      </c>
      <c r="G1386" t="str">
        <f t="shared" si="121"/>
        <v>18100</v>
      </c>
      <c r="H1386" t="s">
        <v>412</v>
      </c>
      <c r="I1386" t="s">
        <v>1265</v>
      </c>
      <c r="J1386" t="s">
        <v>1266</v>
      </c>
      <c r="K1386" t="s">
        <v>1267</v>
      </c>
      <c r="L1386" t="s">
        <v>1345</v>
      </c>
      <c r="M1386" t="s">
        <v>1346</v>
      </c>
      <c r="N1386">
        <v>21</v>
      </c>
      <c r="O1386" t="str">
        <f t="shared" si="124"/>
        <v>46</v>
      </c>
      <c r="P1386">
        <v>46</v>
      </c>
      <c r="R1386" t="s">
        <v>1269</v>
      </c>
      <c r="S1386">
        <v>1</v>
      </c>
      <c r="T1386">
        <v>0.27089999999999997</v>
      </c>
      <c r="U1386">
        <f t="shared" si="125"/>
        <v>0.27100000000000002</v>
      </c>
      <c r="V1386" t="str">
        <f t="shared" si="122"/>
        <v>Middle Psychologist</v>
      </c>
      <c r="W1386" t="str">
        <f t="shared" si="123"/>
        <v>Psychologist</v>
      </c>
    </row>
    <row r="1387" spans="1:23" x14ac:dyDescent="0.25">
      <c r="A1387">
        <v>18100</v>
      </c>
      <c r="B1387" t="s">
        <v>1302</v>
      </c>
      <c r="C1387">
        <v>0.6</v>
      </c>
      <c r="D1387" t="s">
        <v>1264</v>
      </c>
      <c r="E1387">
        <v>100026</v>
      </c>
      <c r="F1387">
        <v>18100</v>
      </c>
      <c r="G1387" t="str">
        <f t="shared" si="121"/>
        <v>18100</v>
      </c>
      <c r="H1387" t="s">
        <v>412</v>
      </c>
      <c r="I1387" t="s">
        <v>1265</v>
      </c>
      <c r="J1387" t="s">
        <v>1276</v>
      </c>
      <c r="K1387" t="s">
        <v>1277</v>
      </c>
      <c r="L1387" t="s">
        <v>1302</v>
      </c>
      <c r="M1387" t="s">
        <v>1336</v>
      </c>
      <c r="N1387">
        <v>21</v>
      </c>
      <c r="O1387" t="str">
        <f t="shared" si="124"/>
        <v>48</v>
      </c>
      <c r="P1387">
        <v>48</v>
      </c>
      <c r="R1387" t="s">
        <v>1269</v>
      </c>
      <c r="S1387">
        <v>0.6</v>
      </c>
      <c r="T1387">
        <v>0.27089999999999997</v>
      </c>
      <c r="U1387">
        <f t="shared" si="125"/>
        <v>0.16300000000000001</v>
      </c>
      <c r="V1387" t="str">
        <f t="shared" si="122"/>
        <v>Elementary Physical Therapist</v>
      </c>
      <c r="W1387" t="str">
        <f t="shared" si="123"/>
        <v>Physical Therapist</v>
      </c>
    </row>
    <row r="1388" spans="1:23" x14ac:dyDescent="0.25">
      <c r="A1388">
        <v>18100</v>
      </c>
      <c r="B1388" t="s">
        <v>1330</v>
      </c>
      <c r="C1388">
        <v>0.1</v>
      </c>
      <c r="D1388" t="s">
        <v>1264</v>
      </c>
      <c r="E1388">
        <v>100026</v>
      </c>
      <c r="F1388">
        <v>18100</v>
      </c>
      <c r="G1388" t="str">
        <f t="shared" si="121"/>
        <v>18100</v>
      </c>
      <c r="H1388" t="s">
        <v>412</v>
      </c>
      <c r="I1388" t="s">
        <v>1265</v>
      </c>
      <c r="J1388" t="s">
        <v>1271</v>
      </c>
      <c r="K1388" t="s">
        <v>1272</v>
      </c>
      <c r="L1388" t="s">
        <v>1330</v>
      </c>
      <c r="M1388" t="s">
        <v>1367</v>
      </c>
      <c r="N1388">
        <v>21</v>
      </c>
      <c r="O1388" t="str">
        <f t="shared" si="124"/>
        <v>48</v>
      </c>
      <c r="P1388">
        <v>48</v>
      </c>
      <c r="R1388" t="s">
        <v>1269</v>
      </c>
      <c r="S1388">
        <v>0.1</v>
      </c>
      <c r="T1388">
        <v>0.27089999999999997</v>
      </c>
      <c r="U1388">
        <f t="shared" si="125"/>
        <v>2.7E-2</v>
      </c>
      <c r="V1388" t="str">
        <f t="shared" si="122"/>
        <v>High Physical Therapist</v>
      </c>
      <c r="W1388" t="str">
        <f t="shared" si="123"/>
        <v>Physical Therapist</v>
      </c>
    </row>
    <row r="1389" spans="1:23" x14ac:dyDescent="0.25">
      <c r="A1389">
        <v>18100</v>
      </c>
      <c r="B1389" t="s">
        <v>1316</v>
      </c>
      <c r="C1389">
        <v>0.1</v>
      </c>
      <c r="D1389" t="s">
        <v>1264</v>
      </c>
      <c r="E1389">
        <v>100026</v>
      </c>
      <c r="F1389">
        <v>18100</v>
      </c>
      <c r="G1389" t="str">
        <f t="shared" si="121"/>
        <v>18100</v>
      </c>
      <c r="H1389" t="s">
        <v>412</v>
      </c>
      <c r="I1389" t="s">
        <v>1265</v>
      </c>
      <c r="J1389" t="s">
        <v>1266</v>
      </c>
      <c r="K1389" t="s">
        <v>1267</v>
      </c>
      <c r="L1389" t="s">
        <v>1316</v>
      </c>
      <c r="M1389" t="s">
        <v>1366</v>
      </c>
      <c r="N1389">
        <v>21</v>
      </c>
      <c r="O1389" t="str">
        <f t="shared" si="124"/>
        <v>48</v>
      </c>
      <c r="P1389">
        <v>48</v>
      </c>
      <c r="R1389" t="s">
        <v>1269</v>
      </c>
      <c r="S1389">
        <v>0.1</v>
      </c>
      <c r="T1389">
        <v>0.27089999999999997</v>
      </c>
      <c r="U1389">
        <f t="shared" si="125"/>
        <v>2.7E-2</v>
      </c>
      <c r="V1389" t="str">
        <f t="shared" si="122"/>
        <v>Middle Physical Therapist</v>
      </c>
      <c r="W1389" t="str">
        <f t="shared" si="123"/>
        <v>Physical Therapist</v>
      </c>
    </row>
    <row r="1390" spans="1:23" x14ac:dyDescent="0.25">
      <c r="A1390">
        <v>18303</v>
      </c>
      <c r="B1390" t="s">
        <v>1308</v>
      </c>
      <c r="C1390">
        <v>0.48899999999999999</v>
      </c>
      <c r="D1390" t="s">
        <v>1264</v>
      </c>
      <c r="E1390">
        <v>100017</v>
      </c>
      <c r="F1390">
        <v>18303</v>
      </c>
      <c r="G1390" t="str">
        <f t="shared" si="121"/>
        <v>18303</v>
      </c>
      <c r="H1390" t="s">
        <v>413</v>
      </c>
      <c r="I1390" t="s">
        <v>1265</v>
      </c>
      <c r="J1390" t="s">
        <v>1276</v>
      </c>
      <c r="K1390" t="s">
        <v>1277</v>
      </c>
      <c r="L1390" t="s">
        <v>1308</v>
      </c>
      <c r="M1390" t="s">
        <v>1389</v>
      </c>
      <c r="N1390">
        <v>1</v>
      </c>
      <c r="O1390" t="str">
        <f t="shared" si="124"/>
        <v>25</v>
      </c>
      <c r="Q1390">
        <v>25</v>
      </c>
      <c r="R1390" t="s">
        <v>1269</v>
      </c>
      <c r="S1390">
        <v>0.48899999999999999</v>
      </c>
      <c r="T1390">
        <v>0.20349999999999999</v>
      </c>
      <c r="U1390">
        <f t="shared" si="125"/>
        <v>0</v>
      </c>
      <c r="V1390" t="str">
        <f t="shared" si="122"/>
        <v>Elementary Pupil Management</v>
      </c>
      <c r="W1390" t="str">
        <f t="shared" si="123"/>
        <v>Pupil Management</v>
      </c>
    </row>
    <row r="1391" spans="1:23" x14ac:dyDescent="0.25">
      <c r="A1391">
        <v>18303</v>
      </c>
      <c r="B1391" t="s">
        <v>1383</v>
      </c>
      <c r="C1391">
        <v>0.83499999999999996</v>
      </c>
      <c r="D1391" t="s">
        <v>1264</v>
      </c>
      <c r="E1391">
        <v>100017</v>
      </c>
      <c r="F1391">
        <v>18303</v>
      </c>
      <c r="G1391" t="str">
        <f t="shared" si="121"/>
        <v>18303</v>
      </c>
      <c r="H1391" t="s">
        <v>413</v>
      </c>
      <c r="I1391" t="s">
        <v>1265</v>
      </c>
      <c r="J1391" t="s">
        <v>1271</v>
      </c>
      <c r="K1391" t="s">
        <v>1272</v>
      </c>
      <c r="L1391" t="s">
        <v>1383</v>
      </c>
      <c r="M1391" t="s">
        <v>1409</v>
      </c>
      <c r="N1391">
        <v>21</v>
      </c>
      <c r="O1391" t="str">
        <f t="shared" si="124"/>
        <v>25</v>
      </c>
      <c r="Q1391">
        <v>25</v>
      </c>
      <c r="R1391" t="s">
        <v>1269</v>
      </c>
      <c r="S1391">
        <v>0.83499999999999996</v>
      </c>
      <c r="T1391">
        <v>0.20349999999999999</v>
      </c>
      <c r="U1391">
        <f t="shared" si="125"/>
        <v>0.17</v>
      </c>
      <c r="V1391" t="str">
        <f t="shared" si="122"/>
        <v>High Pupil Management</v>
      </c>
      <c r="W1391" t="str">
        <f t="shared" si="123"/>
        <v>Pupil Management</v>
      </c>
    </row>
    <row r="1392" spans="1:23" x14ac:dyDescent="0.25">
      <c r="A1392">
        <v>18303</v>
      </c>
      <c r="B1392" t="s">
        <v>1299</v>
      </c>
      <c r="C1392">
        <v>4.3940000000000001</v>
      </c>
      <c r="D1392" t="s">
        <v>1264</v>
      </c>
      <c r="E1392">
        <v>100017</v>
      </c>
      <c r="F1392">
        <v>18303</v>
      </c>
      <c r="G1392" t="str">
        <f t="shared" si="121"/>
        <v>18303</v>
      </c>
      <c r="H1392" t="s">
        <v>413</v>
      </c>
      <c r="I1392" t="s">
        <v>1265</v>
      </c>
      <c r="J1392" t="s">
        <v>1271</v>
      </c>
      <c r="K1392" t="s">
        <v>1272</v>
      </c>
      <c r="L1392" t="s">
        <v>1299</v>
      </c>
      <c r="M1392" t="s">
        <v>1300</v>
      </c>
      <c r="N1392">
        <v>1</v>
      </c>
      <c r="O1392" t="str">
        <f t="shared" si="124"/>
        <v>25</v>
      </c>
      <c r="Q1392">
        <v>25</v>
      </c>
      <c r="R1392" t="s">
        <v>1269</v>
      </c>
      <c r="S1392">
        <v>4.3940000000000001</v>
      </c>
      <c r="T1392">
        <v>0.20349999999999999</v>
      </c>
      <c r="U1392">
        <f t="shared" si="125"/>
        <v>0</v>
      </c>
      <c r="V1392" t="str">
        <f t="shared" si="122"/>
        <v>High Pupil Management</v>
      </c>
      <c r="W1392" t="str">
        <f t="shared" si="123"/>
        <v>Pupil Management</v>
      </c>
    </row>
    <row r="1393" spans="1:23" x14ac:dyDescent="0.25">
      <c r="A1393">
        <v>18303</v>
      </c>
      <c r="B1393" t="s">
        <v>1295</v>
      </c>
      <c r="C1393">
        <v>3.7679999999999998</v>
      </c>
      <c r="D1393" t="s">
        <v>1264</v>
      </c>
      <c r="E1393">
        <v>100017</v>
      </c>
      <c r="F1393">
        <v>18303</v>
      </c>
      <c r="G1393" t="str">
        <f t="shared" si="121"/>
        <v>18303</v>
      </c>
      <c r="H1393" t="s">
        <v>413</v>
      </c>
      <c r="I1393" t="s">
        <v>1265</v>
      </c>
      <c r="J1393" t="s">
        <v>1271</v>
      </c>
      <c r="K1393" t="s">
        <v>1272</v>
      </c>
      <c r="L1393" t="s">
        <v>1295</v>
      </c>
      <c r="M1393" t="s">
        <v>1296</v>
      </c>
      <c r="N1393">
        <v>1</v>
      </c>
      <c r="O1393" t="str">
        <f t="shared" si="124"/>
        <v>26</v>
      </c>
      <c r="Q1393">
        <v>26</v>
      </c>
      <c r="R1393" t="s">
        <v>1269</v>
      </c>
      <c r="S1393">
        <v>3.7679999999999998</v>
      </c>
      <c r="T1393">
        <v>0.20349999999999999</v>
      </c>
      <c r="U1393">
        <f t="shared" si="125"/>
        <v>0</v>
      </c>
      <c r="V1393" t="str">
        <f t="shared" si="122"/>
        <v>High Health/
Related Services</v>
      </c>
      <c r="W1393" t="str">
        <f t="shared" si="123"/>
        <v>Health/
Related Services</v>
      </c>
    </row>
    <row r="1394" spans="1:23" x14ac:dyDescent="0.25">
      <c r="A1394">
        <v>18303</v>
      </c>
      <c r="B1394" t="s">
        <v>1275</v>
      </c>
      <c r="C1394">
        <v>4.5659999999999998</v>
      </c>
      <c r="D1394" t="s">
        <v>1264</v>
      </c>
      <c r="E1394">
        <v>100017</v>
      </c>
      <c r="F1394">
        <v>18303</v>
      </c>
      <c r="G1394" t="str">
        <f t="shared" si="121"/>
        <v>18303</v>
      </c>
      <c r="H1394" t="s">
        <v>413</v>
      </c>
      <c r="I1394" t="s">
        <v>1265</v>
      </c>
      <c r="J1394" t="s">
        <v>1276</v>
      </c>
      <c r="K1394" t="s">
        <v>1277</v>
      </c>
      <c r="L1394" t="s">
        <v>1275</v>
      </c>
      <c r="M1394" t="s">
        <v>1278</v>
      </c>
      <c r="N1394">
        <v>1</v>
      </c>
      <c r="O1394" t="str">
        <f t="shared" si="124"/>
        <v>42</v>
      </c>
      <c r="P1394">
        <v>42</v>
      </c>
      <c r="R1394" t="s">
        <v>1269</v>
      </c>
      <c r="S1394">
        <v>4.5659999999999998</v>
      </c>
      <c r="T1394">
        <v>0.20349999999999999</v>
      </c>
      <c r="U1394">
        <f t="shared" si="125"/>
        <v>0</v>
      </c>
      <c r="V1394" t="str">
        <f t="shared" si="122"/>
        <v>Elementary Counselor</v>
      </c>
      <c r="W1394" t="str">
        <f t="shared" si="123"/>
        <v>Counselor</v>
      </c>
    </row>
    <row r="1395" spans="1:23" x14ac:dyDescent="0.25">
      <c r="A1395">
        <v>18303</v>
      </c>
      <c r="B1395" t="s">
        <v>1270</v>
      </c>
      <c r="C1395">
        <v>4.8499999999999996</v>
      </c>
      <c r="D1395" t="s">
        <v>1264</v>
      </c>
      <c r="E1395">
        <v>100017</v>
      </c>
      <c r="F1395">
        <v>18303</v>
      </c>
      <c r="G1395" t="str">
        <f t="shared" si="121"/>
        <v>18303</v>
      </c>
      <c r="H1395" t="s">
        <v>413</v>
      </c>
      <c r="I1395" t="s">
        <v>1265</v>
      </c>
      <c r="J1395" t="s">
        <v>1271</v>
      </c>
      <c r="K1395" t="s">
        <v>1272</v>
      </c>
      <c r="L1395" t="s">
        <v>1270</v>
      </c>
      <c r="M1395" t="s">
        <v>1273</v>
      </c>
      <c r="N1395">
        <v>1</v>
      </c>
      <c r="O1395" t="str">
        <f t="shared" si="124"/>
        <v>42</v>
      </c>
      <c r="P1395">
        <v>42</v>
      </c>
      <c r="R1395" t="s">
        <v>1269</v>
      </c>
      <c r="S1395">
        <v>4.8499999999999996</v>
      </c>
      <c r="T1395">
        <v>0.20349999999999999</v>
      </c>
      <c r="U1395">
        <f t="shared" si="125"/>
        <v>0</v>
      </c>
      <c r="V1395" t="str">
        <f t="shared" si="122"/>
        <v>High Counselor</v>
      </c>
      <c r="W1395" t="str">
        <f t="shared" si="123"/>
        <v>Counselor</v>
      </c>
    </row>
    <row r="1396" spans="1:23" x14ac:dyDescent="0.25">
      <c r="A1396">
        <v>18303</v>
      </c>
      <c r="B1396" t="s">
        <v>1263</v>
      </c>
      <c r="C1396">
        <v>1.6839999999999999</v>
      </c>
      <c r="D1396" t="s">
        <v>1264</v>
      </c>
      <c r="E1396">
        <v>100017</v>
      </c>
      <c r="F1396">
        <v>18303</v>
      </c>
      <c r="G1396" t="str">
        <f t="shared" si="121"/>
        <v>18303</v>
      </c>
      <c r="H1396" t="s">
        <v>413</v>
      </c>
      <c r="I1396" t="s">
        <v>1265</v>
      </c>
      <c r="J1396" t="s">
        <v>1266</v>
      </c>
      <c r="K1396" t="s">
        <v>1267</v>
      </c>
      <c r="L1396" t="s">
        <v>1263</v>
      </c>
      <c r="M1396" t="s">
        <v>1268</v>
      </c>
      <c r="N1396">
        <v>1</v>
      </c>
      <c r="O1396" t="str">
        <f t="shared" si="124"/>
        <v>42</v>
      </c>
      <c r="P1396">
        <v>42</v>
      </c>
      <c r="R1396" t="s">
        <v>1269</v>
      </c>
      <c r="S1396">
        <v>1.6839999999999999</v>
      </c>
      <c r="T1396">
        <v>0.20349999999999999</v>
      </c>
      <c r="U1396">
        <f t="shared" si="125"/>
        <v>0</v>
      </c>
      <c r="V1396" t="str">
        <f t="shared" si="122"/>
        <v>Middle Counselor</v>
      </c>
      <c r="W1396" t="str">
        <f t="shared" si="123"/>
        <v>Counselor</v>
      </c>
    </row>
    <row r="1397" spans="1:23" x14ac:dyDescent="0.25">
      <c r="A1397">
        <v>18303</v>
      </c>
      <c r="B1397" t="s">
        <v>1289</v>
      </c>
      <c r="C1397">
        <v>0.8</v>
      </c>
      <c r="D1397" t="s">
        <v>1264</v>
      </c>
      <c r="E1397">
        <v>100017</v>
      </c>
      <c r="F1397">
        <v>18303</v>
      </c>
      <c r="G1397" t="str">
        <f t="shared" si="121"/>
        <v>18303</v>
      </c>
      <c r="H1397" t="s">
        <v>413</v>
      </c>
      <c r="I1397" t="s">
        <v>1265</v>
      </c>
      <c r="J1397" t="s">
        <v>1276</v>
      </c>
      <c r="K1397" t="s">
        <v>1277</v>
      </c>
      <c r="L1397" t="s">
        <v>1289</v>
      </c>
      <c r="M1397" t="s">
        <v>1307</v>
      </c>
      <c r="N1397">
        <v>21</v>
      </c>
      <c r="O1397" t="str">
        <f t="shared" si="124"/>
        <v>43</v>
      </c>
      <c r="P1397">
        <v>43</v>
      </c>
      <c r="R1397" t="s">
        <v>1269</v>
      </c>
      <c r="S1397">
        <v>0.8</v>
      </c>
      <c r="T1397">
        <v>0.20349999999999999</v>
      </c>
      <c r="U1397">
        <f t="shared" si="125"/>
        <v>0.16300000000000001</v>
      </c>
      <c r="V1397" t="str">
        <f t="shared" si="122"/>
        <v>Elementary Occupational Therapist</v>
      </c>
      <c r="W1397" t="str">
        <f t="shared" si="123"/>
        <v>Occupational Therapist</v>
      </c>
    </row>
    <row r="1398" spans="1:23" x14ac:dyDescent="0.25">
      <c r="A1398">
        <v>18303</v>
      </c>
      <c r="B1398" t="s">
        <v>1331</v>
      </c>
      <c r="C1398">
        <v>0.53600000000000003</v>
      </c>
      <c r="D1398" t="s">
        <v>1264</v>
      </c>
      <c r="E1398">
        <v>100017</v>
      </c>
      <c r="F1398">
        <v>18303</v>
      </c>
      <c r="G1398" t="str">
        <f t="shared" si="121"/>
        <v>18303</v>
      </c>
      <c r="H1398" t="s">
        <v>413</v>
      </c>
      <c r="I1398" t="s">
        <v>1265</v>
      </c>
      <c r="J1398" t="s">
        <v>1276</v>
      </c>
      <c r="K1398" t="s">
        <v>1277</v>
      </c>
      <c r="L1398" t="s">
        <v>1331</v>
      </c>
      <c r="M1398" t="s">
        <v>1405</v>
      </c>
      <c r="N1398">
        <v>1</v>
      </c>
      <c r="O1398" t="str">
        <f t="shared" si="124"/>
        <v>44</v>
      </c>
      <c r="P1398">
        <v>44</v>
      </c>
      <c r="R1398" t="s">
        <v>1269</v>
      </c>
      <c r="S1398">
        <v>0.53600000000000003</v>
      </c>
      <c r="T1398">
        <v>0.20349999999999999</v>
      </c>
      <c r="U1398">
        <f t="shared" si="125"/>
        <v>0</v>
      </c>
      <c r="V1398" t="str">
        <f t="shared" si="122"/>
        <v>Elementary Social Worker</v>
      </c>
      <c r="W1398" t="str">
        <f t="shared" si="123"/>
        <v>Social Worker</v>
      </c>
    </row>
    <row r="1399" spans="1:23" x14ac:dyDescent="0.25">
      <c r="A1399">
        <v>18303</v>
      </c>
      <c r="B1399" t="s">
        <v>1359</v>
      </c>
      <c r="C1399">
        <v>0.31</v>
      </c>
      <c r="D1399" t="s">
        <v>1264</v>
      </c>
      <c r="E1399">
        <v>100017</v>
      </c>
      <c r="F1399">
        <v>18303</v>
      </c>
      <c r="G1399" t="str">
        <f t="shared" si="121"/>
        <v>18303</v>
      </c>
      <c r="H1399" t="s">
        <v>413</v>
      </c>
      <c r="I1399" t="s">
        <v>1265</v>
      </c>
      <c r="J1399" t="s">
        <v>1271</v>
      </c>
      <c r="K1399" t="s">
        <v>1272</v>
      </c>
      <c r="L1399" t="s">
        <v>1359</v>
      </c>
      <c r="M1399" t="s">
        <v>1360</v>
      </c>
      <c r="N1399">
        <v>1</v>
      </c>
      <c r="O1399" t="str">
        <f t="shared" si="124"/>
        <v>44</v>
      </c>
      <c r="P1399">
        <v>44</v>
      </c>
      <c r="R1399" t="s">
        <v>1269</v>
      </c>
      <c r="S1399">
        <v>0.31</v>
      </c>
      <c r="T1399">
        <v>0.20349999999999999</v>
      </c>
      <c r="U1399">
        <f t="shared" si="125"/>
        <v>0</v>
      </c>
      <c r="V1399" t="str">
        <f t="shared" si="122"/>
        <v>High Social Worker</v>
      </c>
      <c r="W1399" t="str">
        <f t="shared" si="123"/>
        <v>Social Worker</v>
      </c>
    </row>
    <row r="1400" spans="1:23" x14ac:dyDescent="0.25">
      <c r="A1400">
        <v>18303</v>
      </c>
      <c r="B1400" t="s">
        <v>1356</v>
      </c>
      <c r="C1400">
        <v>0.154</v>
      </c>
      <c r="D1400" t="s">
        <v>1264</v>
      </c>
      <c r="E1400">
        <v>100017</v>
      </c>
      <c r="F1400">
        <v>18303</v>
      </c>
      <c r="G1400" t="str">
        <f t="shared" si="121"/>
        <v>18303</v>
      </c>
      <c r="H1400" t="s">
        <v>413</v>
      </c>
      <c r="I1400" t="s">
        <v>1265</v>
      </c>
      <c r="J1400" t="s">
        <v>1266</v>
      </c>
      <c r="K1400" t="s">
        <v>1267</v>
      </c>
      <c r="L1400" t="s">
        <v>1356</v>
      </c>
      <c r="M1400" t="s">
        <v>1357</v>
      </c>
      <c r="N1400">
        <v>1</v>
      </c>
      <c r="O1400" t="str">
        <f t="shared" si="124"/>
        <v>44</v>
      </c>
      <c r="P1400">
        <v>44</v>
      </c>
      <c r="R1400" t="s">
        <v>1269</v>
      </c>
      <c r="S1400">
        <v>0.154</v>
      </c>
      <c r="T1400">
        <v>0.20349999999999999</v>
      </c>
      <c r="U1400">
        <f t="shared" si="125"/>
        <v>0</v>
      </c>
      <c r="V1400" t="str">
        <f t="shared" si="122"/>
        <v>Middle Social Worker</v>
      </c>
      <c r="W1400" t="str">
        <f t="shared" si="123"/>
        <v>Social Worker</v>
      </c>
    </row>
    <row r="1401" spans="1:23" x14ac:dyDescent="0.25">
      <c r="A1401">
        <v>18303</v>
      </c>
      <c r="B1401" t="s">
        <v>1294</v>
      </c>
      <c r="C1401">
        <v>3.3039999999999998</v>
      </c>
      <c r="D1401" t="s">
        <v>1264</v>
      </c>
      <c r="E1401">
        <v>100017</v>
      </c>
      <c r="F1401">
        <v>18303</v>
      </c>
      <c r="G1401" t="str">
        <f t="shared" si="121"/>
        <v>18303</v>
      </c>
      <c r="H1401" t="s">
        <v>413</v>
      </c>
      <c r="I1401" t="s">
        <v>1265</v>
      </c>
      <c r="J1401" t="s">
        <v>1276</v>
      </c>
      <c r="K1401" t="s">
        <v>1277</v>
      </c>
      <c r="L1401" t="s">
        <v>1294</v>
      </c>
      <c r="M1401" t="s">
        <v>1354</v>
      </c>
      <c r="N1401">
        <v>21</v>
      </c>
      <c r="O1401" t="str">
        <f t="shared" si="124"/>
        <v>45</v>
      </c>
      <c r="P1401">
        <v>45</v>
      </c>
      <c r="R1401" t="s">
        <v>1269</v>
      </c>
      <c r="S1401">
        <v>3.3039999999999998</v>
      </c>
      <c r="T1401">
        <v>0.20349999999999999</v>
      </c>
      <c r="U1401">
        <f t="shared" si="125"/>
        <v>0.67200000000000004</v>
      </c>
      <c r="V1401" t="str">
        <f t="shared" si="122"/>
        <v>Elementary Speech, Language Pathway/
Audio</v>
      </c>
      <c r="W1401" t="str">
        <f t="shared" si="123"/>
        <v>Speech, Language Pathway/
Audio</v>
      </c>
    </row>
    <row r="1402" spans="1:23" x14ac:dyDescent="0.25">
      <c r="A1402">
        <v>18303</v>
      </c>
      <c r="B1402" t="s">
        <v>1326</v>
      </c>
      <c r="C1402">
        <v>1.2170000000000001</v>
      </c>
      <c r="D1402" t="s">
        <v>1264</v>
      </c>
      <c r="E1402">
        <v>100017</v>
      </c>
      <c r="F1402">
        <v>18303</v>
      </c>
      <c r="G1402" t="str">
        <f t="shared" si="121"/>
        <v>18303</v>
      </c>
      <c r="H1402" t="s">
        <v>413</v>
      </c>
      <c r="I1402" t="s">
        <v>1265</v>
      </c>
      <c r="J1402" t="s">
        <v>1271</v>
      </c>
      <c r="K1402" t="s">
        <v>1272</v>
      </c>
      <c r="L1402" t="s">
        <v>1326</v>
      </c>
      <c r="M1402" t="s">
        <v>1353</v>
      </c>
      <c r="N1402">
        <v>21</v>
      </c>
      <c r="O1402" t="str">
        <f t="shared" si="124"/>
        <v>45</v>
      </c>
      <c r="P1402">
        <v>45</v>
      </c>
      <c r="R1402" t="s">
        <v>1269</v>
      </c>
      <c r="S1402">
        <v>1.2170000000000001</v>
      </c>
      <c r="T1402">
        <v>0.20349999999999999</v>
      </c>
      <c r="U1402">
        <f t="shared" si="125"/>
        <v>0.248</v>
      </c>
      <c r="V1402" t="str">
        <f t="shared" si="122"/>
        <v>High Speech, Language Pathway/
Audio</v>
      </c>
      <c r="W1402" t="str">
        <f t="shared" si="123"/>
        <v>Speech, Language Pathway/
Audio</v>
      </c>
    </row>
    <row r="1403" spans="1:23" x14ac:dyDescent="0.25">
      <c r="A1403">
        <v>18303</v>
      </c>
      <c r="B1403" t="s">
        <v>1312</v>
      </c>
      <c r="C1403">
        <v>0.32900000000000001</v>
      </c>
      <c r="D1403" t="s">
        <v>1264</v>
      </c>
      <c r="E1403">
        <v>100017</v>
      </c>
      <c r="F1403">
        <v>18303</v>
      </c>
      <c r="G1403" t="str">
        <f t="shared" si="121"/>
        <v>18303</v>
      </c>
      <c r="H1403" t="s">
        <v>413</v>
      </c>
      <c r="I1403" t="s">
        <v>1265</v>
      </c>
      <c r="J1403" t="s">
        <v>1266</v>
      </c>
      <c r="K1403" t="s">
        <v>1267</v>
      </c>
      <c r="L1403" t="s">
        <v>1312</v>
      </c>
      <c r="M1403" t="s">
        <v>1351</v>
      </c>
      <c r="N1403">
        <v>21</v>
      </c>
      <c r="O1403" t="str">
        <f t="shared" si="124"/>
        <v>45</v>
      </c>
      <c r="P1403">
        <v>45</v>
      </c>
      <c r="R1403" t="s">
        <v>1269</v>
      </c>
      <c r="S1403">
        <v>0.32900000000000001</v>
      </c>
      <c r="T1403">
        <v>0.20349999999999999</v>
      </c>
      <c r="U1403">
        <f t="shared" si="125"/>
        <v>6.7000000000000004E-2</v>
      </c>
      <c r="V1403" t="str">
        <f t="shared" si="122"/>
        <v>Middle Speech, Language Pathway/
Audio</v>
      </c>
      <c r="W1403" t="str">
        <f t="shared" si="123"/>
        <v>Speech, Language Pathway/
Audio</v>
      </c>
    </row>
    <row r="1404" spans="1:23" x14ac:dyDescent="0.25">
      <c r="A1404">
        <v>18303</v>
      </c>
      <c r="B1404" t="s">
        <v>1298</v>
      </c>
      <c r="C1404">
        <v>1.31</v>
      </c>
      <c r="D1404" t="s">
        <v>1264</v>
      </c>
      <c r="E1404">
        <v>100017</v>
      </c>
      <c r="F1404">
        <v>18303</v>
      </c>
      <c r="G1404" t="str">
        <f t="shared" si="121"/>
        <v>18303</v>
      </c>
      <c r="H1404" t="s">
        <v>413</v>
      </c>
      <c r="I1404" t="s">
        <v>1265</v>
      </c>
      <c r="J1404" t="s">
        <v>1276</v>
      </c>
      <c r="K1404" t="s">
        <v>1277</v>
      </c>
      <c r="L1404" t="s">
        <v>1298</v>
      </c>
      <c r="M1404" t="s">
        <v>1349</v>
      </c>
      <c r="N1404">
        <v>21</v>
      </c>
      <c r="O1404" t="str">
        <f t="shared" si="124"/>
        <v>46</v>
      </c>
      <c r="P1404">
        <v>46</v>
      </c>
      <c r="R1404" t="s">
        <v>1269</v>
      </c>
      <c r="S1404">
        <v>1.31</v>
      </c>
      <c r="T1404">
        <v>0.20349999999999999</v>
      </c>
      <c r="U1404">
        <f t="shared" si="125"/>
        <v>0.26700000000000002</v>
      </c>
      <c r="V1404" t="str">
        <f t="shared" si="122"/>
        <v>Elementary Psychologist</v>
      </c>
      <c r="W1404" t="str">
        <f t="shared" si="123"/>
        <v>Psychologist</v>
      </c>
    </row>
    <row r="1405" spans="1:23" x14ac:dyDescent="0.25">
      <c r="A1405">
        <v>18303</v>
      </c>
      <c r="B1405" t="s">
        <v>1309</v>
      </c>
      <c r="C1405">
        <v>1.2889999999999999</v>
      </c>
      <c r="D1405" t="s">
        <v>1264</v>
      </c>
      <c r="E1405">
        <v>100017</v>
      </c>
      <c r="F1405">
        <v>18303</v>
      </c>
      <c r="G1405" t="str">
        <f t="shared" si="121"/>
        <v>18303</v>
      </c>
      <c r="H1405" t="s">
        <v>413</v>
      </c>
      <c r="I1405" t="s">
        <v>1265</v>
      </c>
      <c r="J1405" t="s">
        <v>1271</v>
      </c>
      <c r="K1405" t="s">
        <v>1272</v>
      </c>
      <c r="L1405" t="s">
        <v>1309</v>
      </c>
      <c r="M1405" t="s">
        <v>1310</v>
      </c>
      <c r="N1405">
        <v>21</v>
      </c>
      <c r="O1405" t="str">
        <f t="shared" si="124"/>
        <v>46</v>
      </c>
      <c r="P1405">
        <v>46</v>
      </c>
      <c r="R1405" t="s">
        <v>1269</v>
      </c>
      <c r="S1405">
        <v>1.2889999999999999</v>
      </c>
      <c r="T1405">
        <v>0.20349999999999999</v>
      </c>
      <c r="U1405">
        <f t="shared" si="125"/>
        <v>0.26200000000000001</v>
      </c>
      <c r="V1405" t="str">
        <f t="shared" si="122"/>
        <v>High Psychologist</v>
      </c>
      <c r="W1405" t="str">
        <f t="shared" si="123"/>
        <v>Psychologist</v>
      </c>
    </row>
    <row r="1406" spans="1:23" x14ac:dyDescent="0.25">
      <c r="A1406">
        <v>18303</v>
      </c>
      <c r="B1406" t="s">
        <v>1345</v>
      </c>
      <c r="C1406">
        <v>0.45500000000000002</v>
      </c>
      <c r="D1406" t="s">
        <v>1264</v>
      </c>
      <c r="E1406">
        <v>100017</v>
      </c>
      <c r="F1406">
        <v>18303</v>
      </c>
      <c r="G1406" t="str">
        <f t="shared" si="121"/>
        <v>18303</v>
      </c>
      <c r="H1406" t="s">
        <v>413</v>
      </c>
      <c r="I1406" t="s">
        <v>1265</v>
      </c>
      <c r="J1406" t="s">
        <v>1266</v>
      </c>
      <c r="K1406" t="s">
        <v>1267</v>
      </c>
      <c r="L1406" t="s">
        <v>1345</v>
      </c>
      <c r="M1406" t="s">
        <v>1346</v>
      </c>
      <c r="N1406">
        <v>21</v>
      </c>
      <c r="O1406" t="str">
        <f t="shared" si="124"/>
        <v>46</v>
      </c>
      <c r="P1406">
        <v>46</v>
      </c>
      <c r="R1406" t="s">
        <v>1269</v>
      </c>
      <c r="S1406">
        <v>0.45500000000000002</v>
      </c>
      <c r="T1406">
        <v>0.20349999999999999</v>
      </c>
      <c r="U1406">
        <f t="shared" si="125"/>
        <v>9.2999999999999999E-2</v>
      </c>
      <c r="V1406" t="str">
        <f t="shared" si="122"/>
        <v>Middle Psychologist</v>
      </c>
      <c r="W1406" t="str">
        <f t="shared" si="123"/>
        <v>Psychologist</v>
      </c>
    </row>
    <row r="1407" spans="1:23" x14ac:dyDescent="0.25">
      <c r="A1407">
        <v>18303</v>
      </c>
      <c r="B1407" t="s">
        <v>1335</v>
      </c>
      <c r="C1407">
        <v>0.48</v>
      </c>
      <c r="D1407" t="s">
        <v>1264</v>
      </c>
      <c r="E1407">
        <v>100017</v>
      </c>
      <c r="F1407">
        <v>18303</v>
      </c>
      <c r="G1407" t="str">
        <f t="shared" si="121"/>
        <v>18303</v>
      </c>
      <c r="H1407" t="s">
        <v>413</v>
      </c>
      <c r="I1407" t="s">
        <v>1265</v>
      </c>
      <c r="J1407" t="s">
        <v>1276</v>
      </c>
      <c r="K1407" t="s">
        <v>1277</v>
      </c>
      <c r="L1407" t="s">
        <v>1335</v>
      </c>
      <c r="M1407" t="s">
        <v>1344</v>
      </c>
      <c r="N1407">
        <v>1</v>
      </c>
      <c r="O1407" t="str">
        <f t="shared" si="124"/>
        <v>47</v>
      </c>
      <c r="P1407">
        <v>47</v>
      </c>
      <c r="R1407" t="s">
        <v>1269</v>
      </c>
      <c r="S1407">
        <v>0.48</v>
      </c>
      <c r="T1407">
        <v>0.20349999999999999</v>
      </c>
      <c r="U1407">
        <f t="shared" si="125"/>
        <v>0</v>
      </c>
      <c r="V1407" t="str">
        <f t="shared" si="122"/>
        <v>Elementary Nurse</v>
      </c>
      <c r="W1407" t="str">
        <f t="shared" si="123"/>
        <v>Nurse</v>
      </c>
    </row>
    <row r="1408" spans="1:23" x14ac:dyDescent="0.25">
      <c r="A1408">
        <v>18303</v>
      </c>
      <c r="B1408" t="s">
        <v>1341</v>
      </c>
      <c r="C1408">
        <v>0.96</v>
      </c>
      <c r="D1408" t="s">
        <v>1264</v>
      </c>
      <c r="E1408">
        <v>100017</v>
      </c>
      <c r="F1408">
        <v>18303</v>
      </c>
      <c r="G1408" t="str">
        <f t="shared" si="121"/>
        <v>18303</v>
      </c>
      <c r="H1408" t="s">
        <v>413</v>
      </c>
      <c r="I1408" t="s">
        <v>1265</v>
      </c>
      <c r="J1408" t="s">
        <v>1271</v>
      </c>
      <c r="K1408" t="s">
        <v>1272</v>
      </c>
      <c r="L1408" t="s">
        <v>1341</v>
      </c>
      <c r="M1408" t="s">
        <v>1342</v>
      </c>
      <c r="N1408">
        <v>1</v>
      </c>
      <c r="O1408" t="str">
        <f t="shared" si="124"/>
        <v>47</v>
      </c>
      <c r="P1408">
        <v>47</v>
      </c>
      <c r="R1408" t="s">
        <v>1269</v>
      </c>
      <c r="S1408">
        <v>0.96</v>
      </c>
      <c r="T1408">
        <v>0.20349999999999999</v>
      </c>
      <c r="U1408">
        <f t="shared" si="125"/>
        <v>0</v>
      </c>
      <c r="V1408" t="str">
        <f t="shared" si="122"/>
        <v>High Nurse</v>
      </c>
      <c r="W1408" t="str">
        <f t="shared" si="123"/>
        <v>Nurse</v>
      </c>
    </row>
    <row r="1409" spans="1:23" x14ac:dyDescent="0.25">
      <c r="A1409">
        <v>18303</v>
      </c>
      <c r="B1409" t="s">
        <v>1302</v>
      </c>
      <c r="C1409">
        <v>0.53</v>
      </c>
      <c r="D1409" t="s">
        <v>1264</v>
      </c>
      <c r="E1409">
        <v>100017</v>
      </c>
      <c r="F1409">
        <v>18303</v>
      </c>
      <c r="G1409" t="str">
        <f t="shared" si="121"/>
        <v>18303</v>
      </c>
      <c r="H1409" t="s">
        <v>413</v>
      </c>
      <c r="I1409" t="s">
        <v>1265</v>
      </c>
      <c r="J1409" t="s">
        <v>1276</v>
      </c>
      <c r="K1409" t="s">
        <v>1277</v>
      </c>
      <c r="L1409" t="s">
        <v>1302</v>
      </c>
      <c r="M1409" t="s">
        <v>1336</v>
      </c>
      <c r="N1409">
        <v>21</v>
      </c>
      <c r="O1409" t="str">
        <f t="shared" si="124"/>
        <v>48</v>
      </c>
      <c r="P1409">
        <v>48</v>
      </c>
      <c r="R1409" t="s">
        <v>1269</v>
      </c>
      <c r="S1409">
        <v>0.53</v>
      </c>
      <c r="T1409">
        <v>0.20349999999999999</v>
      </c>
      <c r="U1409">
        <f t="shared" si="125"/>
        <v>0.108</v>
      </c>
      <c r="V1409" t="str">
        <f t="shared" si="122"/>
        <v>Elementary Physical Therapist</v>
      </c>
      <c r="W1409" t="str">
        <f t="shared" si="123"/>
        <v>Physical Therapist</v>
      </c>
    </row>
    <row r="1410" spans="1:23" x14ac:dyDescent="0.25">
      <c r="A1410">
        <v>18303</v>
      </c>
      <c r="B1410" t="s">
        <v>1330</v>
      </c>
      <c r="C1410">
        <v>0.09</v>
      </c>
      <c r="D1410" t="s">
        <v>1264</v>
      </c>
      <c r="E1410">
        <v>100017</v>
      </c>
      <c r="F1410">
        <v>18303</v>
      </c>
      <c r="G1410" t="str">
        <f t="shared" ref="G1410:G1473" si="126">TEXT(F1410,"00000")</f>
        <v>18303</v>
      </c>
      <c r="H1410" t="s">
        <v>413</v>
      </c>
      <c r="I1410" t="s">
        <v>1265</v>
      </c>
      <c r="J1410" t="s">
        <v>1271</v>
      </c>
      <c r="K1410" t="s">
        <v>1272</v>
      </c>
      <c r="L1410" t="s">
        <v>1330</v>
      </c>
      <c r="M1410" t="s">
        <v>1367</v>
      </c>
      <c r="N1410">
        <v>21</v>
      </c>
      <c r="O1410" t="str">
        <f t="shared" si="124"/>
        <v>48</v>
      </c>
      <c r="P1410">
        <v>48</v>
      </c>
      <c r="R1410" t="s">
        <v>1269</v>
      </c>
      <c r="S1410">
        <v>0.09</v>
      </c>
      <c r="T1410">
        <v>0.20349999999999999</v>
      </c>
      <c r="U1410">
        <f t="shared" si="125"/>
        <v>1.7999999999999999E-2</v>
      </c>
      <c r="V1410" t="str">
        <f t="shared" ref="V1410:V1473" si="127">_xlfn.XLOOKUP(L1410,$BV:$BV,$BT:$BT,,0)</f>
        <v>High Physical Therapist</v>
      </c>
      <c r="W1410" t="str">
        <f t="shared" ref="W1410:W1473" si="128">_xlfn.TEXTAFTER(V1410," ")</f>
        <v>Physical Therapist</v>
      </c>
    </row>
    <row r="1411" spans="1:23" x14ac:dyDescent="0.25">
      <c r="A1411">
        <v>18400</v>
      </c>
      <c r="B1411" t="s">
        <v>1308</v>
      </c>
      <c r="C1411">
        <v>0.53300000000000003</v>
      </c>
      <c r="D1411" t="s">
        <v>1264</v>
      </c>
      <c r="E1411">
        <v>100169</v>
      </c>
      <c r="F1411">
        <v>18400</v>
      </c>
      <c r="G1411" t="str">
        <f t="shared" si="126"/>
        <v>18400</v>
      </c>
      <c r="H1411" t="s">
        <v>414</v>
      </c>
      <c r="I1411" t="s">
        <v>1265</v>
      </c>
      <c r="J1411" t="s">
        <v>1276</v>
      </c>
      <c r="K1411" t="s">
        <v>1277</v>
      </c>
      <c r="L1411" t="s">
        <v>1308</v>
      </c>
      <c r="M1411" t="s">
        <v>1389</v>
      </c>
      <c r="N1411">
        <v>1</v>
      </c>
      <c r="O1411" t="str">
        <f t="shared" ref="O1411:O1474" si="129">MID(L1411,3,2)</f>
        <v>25</v>
      </c>
      <c r="Q1411">
        <v>25</v>
      </c>
      <c r="R1411" t="s">
        <v>1269</v>
      </c>
      <c r="S1411">
        <v>0.53300000000000003</v>
      </c>
      <c r="T1411">
        <v>0.20019999999999999</v>
      </c>
      <c r="U1411">
        <f t="shared" ref="U1411:U1474" si="130">IF(N1411=21,ROUND(T1411*S1411,3),0)</f>
        <v>0</v>
      </c>
      <c r="V1411" t="str">
        <f t="shared" si="127"/>
        <v>Elementary Pupil Management</v>
      </c>
      <c r="W1411" t="str">
        <f t="shared" si="128"/>
        <v>Pupil Management</v>
      </c>
    </row>
    <row r="1412" spans="1:23" x14ac:dyDescent="0.25">
      <c r="A1412">
        <v>18400</v>
      </c>
      <c r="B1412" t="s">
        <v>1383</v>
      </c>
      <c r="C1412">
        <v>9.9220000000000006</v>
      </c>
      <c r="D1412" t="s">
        <v>1264</v>
      </c>
      <c r="E1412">
        <v>100169</v>
      </c>
      <c r="F1412">
        <v>18400</v>
      </c>
      <c r="G1412" t="str">
        <f t="shared" si="126"/>
        <v>18400</v>
      </c>
      <c r="H1412" t="s">
        <v>414</v>
      </c>
      <c r="I1412" t="s">
        <v>1265</v>
      </c>
      <c r="J1412" t="s">
        <v>1271</v>
      </c>
      <c r="K1412" t="s">
        <v>1272</v>
      </c>
      <c r="L1412" t="s">
        <v>1383</v>
      </c>
      <c r="M1412" t="s">
        <v>1409</v>
      </c>
      <c r="N1412">
        <v>21</v>
      </c>
      <c r="O1412" t="str">
        <f t="shared" si="129"/>
        <v>25</v>
      </c>
      <c r="Q1412">
        <v>25</v>
      </c>
      <c r="R1412" t="s">
        <v>1269</v>
      </c>
      <c r="S1412">
        <v>9.9220000000000006</v>
      </c>
      <c r="T1412">
        <v>0.20019999999999999</v>
      </c>
      <c r="U1412">
        <f t="shared" si="130"/>
        <v>1.986</v>
      </c>
      <c r="V1412" t="str">
        <f t="shared" si="127"/>
        <v>High Pupil Management</v>
      </c>
      <c r="W1412" t="str">
        <f t="shared" si="128"/>
        <v>Pupil Management</v>
      </c>
    </row>
    <row r="1413" spans="1:23" x14ac:dyDescent="0.25">
      <c r="A1413">
        <v>18400</v>
      </c>
      <c r="B1413" t="s">
        <v>1299</v>
      </c>
      <c r="C1413">
        <v>5.992</v>
      </c>
      <c r="D1413" t="s">
        <v>1264</v>
      </c>
      <c r="E1413">
        <v>100169</v>
      </c>
      <c r="F1413">
        <v>18400</v>
      </c>
      <c r="G1413" t="str">
        <f t="shared" si="126"/>
        <v>18400</v>
      </c>
      <c r="H1413" t="s">
        <v>414</v>
      </c>
      <c r="I1413" t="s">
        <v>1265</v>
      </c>
      <c r="J1413" t="s">
        <v>1271</v>
      </c>
      <c r="K1413" t="s">
        <v>1272</v>
      </c>
      <c r="L1413" t="s">
        <v>1299</v>
      </c>
      <c r="M1413" t="s">
        <v>1300</v>
      </c>
      <c r="N1413">
        <v>1</v>
      </c>
      <c r="O1413" t="str">
        <f t="shared" si="129"/>
        <v>25</v>
      </c>
      <c r="Q1413">
        <v>25</v>
      </c>
      <c r="R1413" t="s">
        <v>1269</v>
      </c>
      <c r="S1413">
        <v>5.992</v>
      </c>
      <c r="T1413">
        <v>0.20019999999999999</v>
      </c>
      <c r="U1413">
        <f t="shared" si="130"/>
        <v>0</v>
      </c>
      <c r="V1413" t="str">
        <f t="shared" si="127"/>
        <v>High Pupil Management</v>
      </c>
      <c r="W1413" t="str">
        <f t="shared" si="128"/>
        <v>Pupil Management</v>
      </c>
    </row>
    <row r="1414" spans="1:23" x14ac:dyDescent="0.25">
      <c r="A1414">
        <v>18400</v>
      </c>
      <c r="B1414" t="s">
        <v>1324</v>
      </c>
      <c r="C1414">
        <v>3.0390000000000001</v>
      </c>
      <c r="D1414" t="s">
        <v>1264</v>
      </c>
      <c r="E1414">
        <v>100169</v>
      </c>
      <c r="F1414">
        <v>18400</v>
      </c>
      <c r="G1414" t="str">
        <f t="shared" si="126"/>
        <v>18400</v>
      </c>
      <c r="H1414" t="s">
        <v>414</v>
      </c>
      <c r="I1414" t="s">
        <v>1265</v>
      </c>
      <c r="J1414" t="s">
        <v>1271</v>
      </c>
      <c r="K1414" t="s">
        <v>1272</v>
      </c>
      <c r="L1414" t="s">
        <v>1324</v>
      </c>
      <c r="M1414" t="s">
        <v>1325</v>
      </c>
      <c r="N1414">
        <v>21</v>
      </c>
      <c r="O1414" t="str">
        <f t="shared" si="129"/>
        <v>26</v>
      </c>
      <c r="Q1414">
        <v>26</v>
      </c>
      <c r="R1414" t="s">
        <v>1269</v>
      </c>
      <c r="S1414">
        <v>3.0390000000000001</v>
      </c>
      <c r="T1414">
        <v>0.20019999999999999</v>
      </c>
      <c r="U1414">
        <f t="shared" si="130"/>
        <v>0.60799999999999998</v>
      </c>
      <c r="V1414" t="str">
        <f t="shared" si="127"/>
        <v>High Health/
Related Services</v>
      </c>
      <c r="W1414" t="str">
        <f t="shared" si="128"/>
        <v>Health/
Related Services</v>
      </c>
    </row>
    <row r="1415" spans="1:23" x14ac:dyDescent="0.25">
      <c r="A1415">
        <v>18400</v>
      </c>
      <c r="B1415" t="s">
        <v>1295</v>
      </c>
      <c r="C1415">
        <v>0.40799999999999997</v>
      </c>
      <c r="D1415" t="s">
        <v>1264</v>
      </c>
      <c r="E1415">
        <v>100169</v>
      </c>
      <c r="F1415">
        <v>18400</v>
      </c>
      <c r="G1415" t="str">
        <f t="shared" si="126"/>
        <v>18400</v>
      </c>
      <c r="H1415" t="s">
        <v>414</v>
      </c>
      <c r="I1415" t="s">
        <v>1265</v>
      </c>
      <c r="J1415" t="s">
        <v>1271</v>
      </c>
      <c r="K1415" t="s">
        <v>1272</v>
      </c>
      <c r="L1415" t="s">
        <v>1295</v>
      </c>
      <c r="M1415" t="s">
        <v>1296</v>
      </c>
      <c r="N1415">
        <v>1</v>
      </c>
      <c r="O1415" t="str">
        <f t="shared" si="129"/>
        <v>26</v>
      </c>
      <c r="Q1415">
        <v>26</v>
      </c>
      <c r="R1415" t="s">
        <v>1269</v>
      </c>
      <c r="S1415">
        <v>0.40799999999999997</v>
      </c>
      <c r="T1415">
        <v>0.20019999999999999</v>
      </c>
      <c r="U1415">
        <f t="shared" si="130"/>
        <v>0</v>
      </c>
      <c r="V1415" t="str">
        <f t="shared" si="127"/>
        <v>High Health/
Related Services</v>
      </c>
      <c r="W1415" t="str">
        <f t="shared" si="128"/>
        <v>Health/
Related Services</v>
      </c>
    </row>
    <row r="1416" spans="1:23" x14ac:dyDescent="0.25">
      <c r="A1416">
        <v>18400</v>
      </c>
      <c r="B1416" t="s">
        <v>1401</v>
      </c>
      <c r="C1416">
        <v>3.6709999999999998</v>
      </c>
      <c r="D1416" t="s">
        <v>1264</v>
      </c>
      <c r="E1416">
        <v>100169</v>
      </c>
      <c r="F1416">
        <v>18400</v>
      </c>
      <c r="G1416" t="str">
        <f t="shared" si="126"/>
        <v>18400</v>
      </c>
      <c r="H1416" t="s">
        <v>414</v>
      </c>
      <c r="I1416" t="s">
        <v>1265</v>
      </c>
      <c r="J1416" t="s">
        <v>1271</v>
      </c>
      <c r="K1416" t="s">
        <v>1272</v>
      </c>
      <c r="L1416" t="s">
        <v>1401</v>
      </c>
      <c r="M1416" t="s">
        <v>1422</v>
      </c>
      <c r="N1416">
        <v>1</v>
      </c>
      <c r="O1416" t="str">
        <f t="shared" si="129"/>
        <v>35</v>
      </c>
      <c r="Q1416">
        <v>35</v>
      </c>
      <c r="R1416" t="s">
        <v>1269</v>
      </c>
      <c r="S1416">
        <v>3.6709999999999998</v>
      </c>
      <c r="T1416">
        <v>0.20019999999999999</v>
      </c>
      <c r="U1416">
        <f t="shared" si="130"/>
        <v>0</v>
      </c>
      <c r="V1416" t="str">
        <f t="shared" si="127"/>
        <v>High Pupil Safety</v>
      </c>
      <c r="W1416" t="str">
        <f t="shared" si="128"/>
        <v>Pupil Safety</v>
      </c>
    </row>
    <row r="1417" spans="1:23" x14ac:dyDescent="0.25">
      <c r="A1417">
        <v>18400</v>
      </c>
      <c r="B1417" t="s">
        <v>1275</v>
      </c>
      <c r="C1417">
        <v>7.22</v>
      </c>
      <c r="D1417" t="s">
        <v>1264</v>
      </c>
      <c r="E1417">
        <v>100169</v>
      </c>
      <c r="F1417">
        <v>18400</v>
      </c>
      <c r="G1417" t="str">
        <f t="shared" si="126"/>
        <v>18400</v>
      </c>
      <c r="H1417" t="s">
        <v>414</v>
      </c>
      <c r="I1417" t="s">
        <v>1265</v>
      </c>
      <c r="J1417" t="s">
        <v>1276</v>
      </c>
      <c r="K1417" t="s">
        <v>1277</v>
      </c>
      <c r="L1417" t="s">
        <v>1275</v>
      </c>
      <c r="M1417" t="s">
        <v>1278</v>
      </c>
      <c r="N1417">
        <v>1</v>
      </c>
      <c r="O1417" t="str">
        <f t="shared" si="129"/>
        <v>42</v>
      </c>
      <c r="P1417">
        <v>42</v>
      </c>
      <c r="R1417" t="s">
        <v>1269</v>
      </c>
      <c r="S1417">
        <v>7.22</v>
      </c>
      <c r="T1417">
        <v>0.20019999999999999</v>
      </c>
      <c r="U1417">
        <f t="shared" si="130"/>
        <v>0</v>
      </c>
      <c r="V1417" t="str">
        <f t="shared" si="127"/>
        <v>Elementary Counselor</v>
      </c>
      <c r="W1417" t="str">
        <f t="shared" si="128"/>
        <v>Counselor</v>
      </c>
    </row>
    <row r="1418" spans="1:23" x14ac:dyDescent="0.25">
      <c r="A1418">
        <v>18400</v>
      </c>
      <c r="B1418" t="s">
        <v>1270</v>
      </c>
      <c r="C1418">
        <v>4.5</v>
      </c>
      <c r="D1418" t="s">
        <v>1264</v>
      </c>
      <c r="E1418">
        <v>100169</v>
      </c>
      <c r="F1418">
        <v>18400</v>
      </c>
      <c r="G1418" t="str">
        <f t="shared" si="126"/>
        <v>18400</v>
      </c>
      <c r="H1418" t="s">
        <v>414</v>
      </c>
      <c r="I1418" t="s">
        <v>1265</v>
      </c>
      <c r="J1418" t="s">
        <v>1271</v>
      </c>
      <c r="K1418" t="s">
        <v>1272</v>
      </c>
      <c r="L1418" t="s">
        <v>1270</v>
      </c>
      <c r="M1418" t="s">
        <v>1273</v>
      </c>
      <c r="N1418">
        <v>1</v>
      </c>
      <c r="O1418" t="str">
        <f t="shared" si="129"/>
        <v>42</v>
      </c>
      <c r="P1418">
        <v>42</v>
      </c>
      <c r="R1418" t="s">
        <v>1269</v>
      </c>
      <c r="S1418">
        <v>4.5</v>
      </c>
      <c r="T1418">
        <v>0.20019999999999999</v>
      </c>
      <c r="U1418">
        <f t="shared" si="130"/>
        <v>0</v>
      </c>
      <c r="V1418" t="str">
        <f t="shared" si="127"/>
        <v>High Counselor</v>
      </c>
      <c r="W1418" t="str">
        <f t="shared" si="128"/>
        <v>Counselor</v>
      </c>
    </row>
    <row r="1419" spans="1:23" x14ac:dyDescent="0.25">
      <c r="A1419">
        <v>18400</v>
      </c>
      <c r="B1419" t="s">
        <v>1263</v>
      </c>
      <c r="C1419">
        <v>1.98</v>
      </c>
      <c r="D1419" t="s">
        <v>1264</v>
      </c>
      <c r="E1419">
        <v>100169</v>
      </c>
      <c r="F1419">
        <v>18400</v>
      </c>
      <c r="G1419" t="str">
        <f t="shared" si="126"/>
        <v>18400</v>
      </c>
      <c r="H1419" t="s">
        <v>414</v>
      </c>
      <c r="I1419" t="s">
        <v>1265</v>
      </c>
      <c r="J1419" t="s">
        <v>1266</v>
      </c>
      <c r="K1419" t="s">
        <v>1267</v>
      </c>
      <c r="L1419" t="s">
        <v>1263</v>
      </c>
      <c r="M1419" t="s">
        <v>1268</v>
      </c>
      <c r="N1419">
        <v>1</v>
      </c>
      <c r="O1419" t="str">
        <f t="shared" si="129"/>
        <v>42</v>
      </c>
      <c r="P1419">
        <v>42</v>
      </c>
      <c r="R1419" t="s">
        <v>1269</v>
      </c>
      <c r="S1419">
        <v>1.98</v>
      </c>
      <c r="T1419">
        <v>0.20019999999999999</v>
      </c>
      <c r="U1419">
        <f t="shared" si="130"/>
        <v>0</v>
      </c>
      <c r="V1419" t="str">
        <f t="shared" si="127"/>
        <v>Middle Counselor</v>
      </c>
      <c r="W1419" t="str">
        <f t="shared" si="128"/>
        <v>Counselor</v>
      </c>
    </row>
    <row r="1420" spans="1:23" x14ac:dyDescent="0.25">
      <c r="A1420">
        <v>18400</v>
      </c>
      <c r="B1420" t="s">
        <v>1289</v>
      </c>
      <c r="C1420">
        <v>2.895</v>
      </c>
      <c r="D1420" t="s">
        <v>1264</v>
      </c>
      <c r="E1420">
        <v>100169</v>
      </c>
      <c r="F1420">
        <v>18400</v>
      </c>
      <c r="G1420" t="str">
        <f t="shared" si="126"/>
        <v>18400</v>
      </c>
      <c r="H1420" t="s">
        <v>414</v>
      </c>
      <c r="I1420" t="s">
        <v>1265</v>
      </c>
      <c r="J1420" t="s">
        <v>1276</v>
      </c>
      <c r="K1420" t="s">
        <v>1277</v>
      </c>
      <c r="L1420" t="s">
        <v>1289</v>
      </c>
      <c r="M1420" t="s">
        <v>1307</v>
      </c>
      <c r="N1420">
        <v>21</v>
      </c>
      <c r="O1420" t="str">
        <f t="shared" si="129"/>
        <v>43</v>
      </c>
      <c r="P1420">
        <v>43</v>
      </c>
      <c r="R1420" t="s">
        <v>1269</v>
      </c>
      <c r="S1420">
        <v>2.895</v>
      </c>
      <c r="T1420">
        <v>0.20019999999999999</v>
      </c>
      <c r="U1420">
        <f t="shared" si="130"/>
        <v>0.57999999999999996</v>
      </c>
      <c r="V1420" t="str">
        <f t="shared" si="127"/>
        <v>Elementary Occupational Therapist</v>
      </c>
      <c r="W1420" t="str">
        <f t="shared" si="128"/>
        <v>Occupational Therapist</v>
      </c>
    </row>
    <row r="1421" spans="1:23" x14ac:dyDescent="0.25">
      <c r="A1421">
        <v>18400</v>
      </c>
      <c r="B1421" t="s">
        <v>1387</v>
      </c>
      <c r="C1421">
        <v>1.04</v>
      </c>
      <c r="D1421" t="s">
        <v>1264</v>
      </c>
      <c r="E1421">
        <v>100169</v>
      </c>
      <c r="F1421">
        <v>18400</v>
      </c>
      <c r="G1421" t="str">
        <f t="shared" si="126"/>
        <v>18400</v>
      </c>
      <c r="H1421" t="s">
        <v>414</v>
      </c>
      <c r="I1421" t="s">
        <v>1265</v>
      </c>
      <c r="J1421" t="s">
        <v>1271</v>
      </c>
      <c r="K1421" t="s">
        <v>1272</v>
      </c>
      <c r="L1421" t="s">
        <v>1387</v>
      </c>
      <c r="M1421" t="s">
        <v>1406</v>
      </c>
      <c r="N1421">
        <v>21</v>
      </c>
      <c r="O1421" t="str">
        <f t="shared" si="129"/>
        <v>43</v>
      </c>
      <c r="P1421">
        <v>43</v>
      </c>
      <c r="R1421" t="s">
        <v>1269</v>
      </c>
      <c r="S1421">
        <v>1.04</v>
      </c>
      <c r="T1421">
        <v>0.20019999999999999</v>
      </c>
      <c r="U1421">
        <f t="shared" si="130"/>
        <v>0.20799999999999999</v>
      </c>
      <c r="V1421" t="str">
        <f t="shared" si="127"/>
        <v>High Occupational Therapist</v>
      </c>
      <c r="W1421" t="str">
        <f t="shared" si="128"/>
        <v>Occupational Therapist</v>
      </c>
    </row>
    <row r="1422" spans="1:23" x14ac:dyDescent="0.25">
      <c r="A1422">
        <v>18400</v>
      </c>
      <c r="B1422" t="s">
        <v>1303</v>
      </c>
      <c r="C1422">
        <v>0.435</v>
      </c>
      <c r="D1422" t="s">
        <v>1264</v>
      </c>
      <c r="E1422">
        <v>100169</v>
      </c>
      <c r="F1422">
        <v>18400</v>
      </c>
      <c r="G1422" t="str">
        <f t="shared" si="126"/>
        <v>18400</v>
      </c>
      <c r="H1422" t="s">
        <v>414</v>
      </c>
      <c r="I1422" t="s">
        <v>1265</v>
      </c>
      <c r="J1422" t="s">
        <v>1266</v>
      </c>
      <c r="K1422" t="s">
        <v>1267</v>
      </c>
      <c r="L1422" t="s">
        <v>1303</v>
      </c>
      <c r="M1422" t="s">
        <v>1304</v>
      </c>
      <c r="N1422">
        <v>21</v>
      </c>
      <c r="O1422" t="str">
        <f t="shared" si="129"/>
        <v>43</v>
      </c>
      <c r="P1422">
        <v>43</v>
      </c>
      <c r="R1422" t="s">
        <v>1269</v>
      </c>
      <c r="S1422">
        <v>0.435</v>
      </c>
      <c r="T1422">
        <v>0.20019999999999999</v>
      </c>
      <c r="U1422">
        <f t="shared" si="130"/>
        <v>8.6999999999999994E-2</v>
      </c>
      <c r="V1422" t="str">
        <f t="shared" si="127"/>
        <v>Middle Occupational Therapist</v>
      </c>
      <c r="W1422" t="str">
        <f t="shared" si="128"/>
        <v>Occupational Therapist</v>
      </c>
    </row>
    <row r="1423" spans="1:23" x14ac:dyDescent="0.25">
      <c r="A1423">
        <v>18400</v>
      </c>
      <c r="B1423" t="s">
        <v>1294</v>
      </c>
      <c r="C1423">
        <v>6.907</v>
      </c>
      <c r="D1423" t="s">
        <v>1264</v>
      </c>
      <c r="E1423">
        <v>100169</v>
      </c>
      <c r="F1423">
        <v>18400</v>
      </c>
      <c r="G1423" t="str">
        <f t="shared" si="126"/>
        <v>18400</v>
      </c>
      <c r="H1423" t="s">
        <v>414</v>
      </c>
      <c r="I1423" t="s">
        <v>1265</v>
      </c>
      <c r="J1423" t="s">
        <v>1276</v>
      </c>
      <c r="K1423" t="s">
        <v>1277</v>
      </c>
      <c r="L1423" t="s">
        <v>1294</v>
      </c>
      <c r="M1423" t="s">
        <v>1354</v>
      </c>
      <c r="N1423">
        <v>21</v>
      </c>
      <c r="O1423" t="str">
        <f t="shared" si="129"/>
        <v>45</v>
      </c>
      <c r="P1423">
        <v>45</v>
      </c>
      <c r="R1423" t="s">
        <v>1269</v>
      </c>
      <c r="S1423">
        <v>6.907</v>
      </c>
      <c r="T1423">
        <v>0.20019999999999999</v>
      </c>
      <c r="U1423">
        <f t="shared" si="130"/>
        <v>1.383</v>
      </c>
      <c r="V1423" t="str">
        <f t="shared" si="127"/>
        <v>Elementary Speech, Language Pathway/
Audio</v>
      </c>
      <c r="W1423" t="str">
        <f t="shared" si="128"/>
        <v>Speech, Language Pathway/
Audio</v>
      </c>
    </row>
    <row r="1424" spans="1:23" x14ac:dyDescent="0.25">
      <c r="A1424">
        <v>18400</v>
      </c>
      <c r="B1424" t="s">
        <v>1326</v>
      </c>
      <c r="C1424">
        <v>1.6</v>
      </c>
      <c r="D1424" t="s">
        <v>1264</v>
      </c>
      <c r="E1424">
        <v>100169</v>
      </c>
      <c r="F1424">
        <v>18400</v>
      </c>
      <c r="G1424" t="str">
        <f t="shared" si="126"/>
        <v>18400</v>
      </c>
      <c r="H1424" t="s">
        <v>414</v>
      </c>
      <c r="I1424" t="s">
        <v>1265</v>
      </c>
      <c r="J1424" t="s">
        <v>1271</v>
      </c>
      <c r="K1424" t="s">
        <v>1272</v>
      </c>
      <c r="L1424" t="s">
        <v>1326</v>
      </c>
      <c r="M1424" t="s">
        <v>1353</v>
      </c>
      <c r="N1424">
        <v>21</v>
      </c>
      <c r="O1424" t="str">
        <f t="shared" si="129"/>
        <v>45</v>
      </c>
      <c r="P1424">
        <v>45</v>
      </c>
      <c r="R1424" t="s">
        <v>1269</v>
      </c>
      <c r="S1424">
        <v>1.6</v>
      </c>
      <c r="T1424">
        <v>0.20019999999999999</v>
      </c>
      <c r="U1424">
        <f t="shared" si="130"/>
        <v>0.32</v>
      </c>
      <c r="V1424" t="str">
        <f t="shared" si="127"/>
        <v>High Speech, Language Pathway/
Audio</v>
      </c>
      <c r="W1424" t="str">
        <f t="shared" si="128"/>
        <v>Speech, Language Pathway/
Audio</v>
      </c>
    </row>
    <row r="1425" spans="1:23" x14ac:dyDescent="0.25">
      <c r="A1425">
        <v>18400</v>
      </c>
      <c r="B1425" t="s">
        <v>1312</v>
      </c>
      <c r="C1425">
        <v>1.224</v>
      </c>
      <c r="D1425" t="s">
        <v>1264</v>
      </c>
      <c r="E1425">
        <v>100169</v>
      </c>
      <c r="F1425">
        <v>18400</v>
      </c>
      <c r="G1425" t="str">
        <f t="shared" si="126"/>
        <v>18400</v>
      </c>
      <c r="H1425" t="s">
        <v>414</v>
      </c>
      <c r="I1425" t="s">
        <v>1265</v>
      </c>
      <c r="J1425" t="s">
        <v>1266</v>
      </c>
      <c r="K1425" t="s">
        <v>1267</v>
      </c>
      <c r="L1425" t="s">
        <v>1312</v>
      </c>
      <c r="M1425" t="s">
        <v>1351</v>
      </c>
      <c r="N1425">
        <v>21</v>
      </c>
      <c r="O1425" t="str">
        <f t="shared" si="129"/>
        <v>45</v>
      </c>
      <c r="P1425">
        <v>45</v>
      </c>
      <c r="R1425" t="s">
        <v>1269</v>
      </c>
      <c r="S1425">
        <v>1.224</v>
      </c>
      <c r="T1425">
        <v>0.20019999999999999</v>
      </c>
      <c r="U1425">
        <f t="shared" si="130"/>
        <v>0.245</v>
      </c>
      <c r="V1425" t="str">
        <f t="shared" si="127"/>
        <v>Middle Speech, Language Pathway/
Audio</v>
      </c>
      <c r="W1425" t="str">
        <f t="shared" si="128"/>
        <v>Speech, Language Pathway/
Audio</v>
      </c>
    </row>
    <row r="1426" spans="1:23" x14ac:dyDescent="0.25">
      <c r="A1426">
        <v>18400</v>
      </c>
      <c r="B1426" t="s">
        <v>1298</v>
      </c>
      <c r="C1426">
        <v>3.6179999999999999</v>
      </c>
      <c r="D1426" t="s">
        <v>1264</v>
      </c>
      <c r="E1426">
        <v>100169</v>
      </c>
      <c r="F1426">
        <v>18400</v>
      </c>
      <c r="G1426" t="str">
        <f t="shared" si="126"/>
        <v>18400</v>
      </c>
      <c r="H1426" t="s">
        <v>414</v>
      </c>
      <c r="I1426" t="s">
        <v>1265</v>
      </c>
      <c r="J1426" t="s">
        <v>1276</v>
      </c>
      <c r="K1426" t="s">
        <v>1277</v>
      </c>
      <c r="L1426" t="s">
        <v>1298</v>
      </c>
      <c r="M1426" t="s">
        <v>1349</v>
      </c>
      <c r="N1426">
        <v>21</v>
      </c>
      <c r="O1426" t="str">
        <f t="shared" si="129"/>
        <v>46</v>
      </c>
      <c r="P1426">
        <v>46</v>
      </c>
      <c r="R1426" t="s">
        <v>1269</v>
      </c>
      <c r="S1426">
        <v>3.6179999999999999</v>
      </c>
      <c r="T1426">
        <v>0.20019999999999999</v>
      </c>
      <c r="U1426">
        <f t="shared" si="130"/>
        <v>0.72399999999999998</v>
      </c>
      <c r="V1426" t="str">
        <f t="shared" si="127"/>
        <v>Elementary Psychologist</v>
      </c>
      <c r="W1426" t="str">
        <f t="shared" si="128"/>
        <v>Psychologist</v>
      </c>
    </row>
    <row r="1427" spans="1:23" x14ac:dyDescent="0.25">
      <c r="A1427">
        <v>18400</v>
      </c>
      <c r="B1427" t="s">
        <v>1309</v>
      </c>
      <c r="C1427">
        <v>2</v>
      </c>
      <c r="D1427" t="s">
        <v>1264</v>
      </c>
      <c r="E1427">
        <v>100169</v>
      </c>
      <c r="F1427">
        <v>18400</v>
      </c>
      <c r="G1427" t="str">
        <f t="shared" si="126"/>
        <v>18400</v>
      </c>
      <c r="H1427" t="s">
        <v>414</v>
      </c>
      <c r="I1427" t="s">
        <v>1265</v>
      </c>
      <c r="J1427" t="s">
        <v>1271</v>
      </c>
      <c r="K1427" t="s">
        <v>1272</v>
      </c>
      <c r="L1427" t="s">
        <v>1309</v>
      </c>
      <c r="M1427" t="s">
        <v>1310</v>
      </c>
      <c r="N1427">
        <v>21</v>
      </c>
      <c r="O1427" t="str">
        <f t="shared" si="129"/>
        <v>46</v>
      </c>
      <c r="P1427">
        <v>46</v>
      </c>
      <c r="R1427" t="s">
        <v>1269</v>
      </c>
      <c r="S1427">
        <v>2</v>
      </c>
      <c r="T1427">
        <v>0.20019999999999999</v>
      </c>
      <c r="U1427">
        <f t="shared" si="130"/>
        <v>0.4</v>
      </c>
      <c r="V1427" t="str">
        <f t="shared" si="127"/>
        <v>High Psychologist</v>
      </c>
      <c r="W1427" t="str">
        <f t="shared" si="128"/>
        <v>Psychologist</v>
      </c>
    </row>
    <row r="1428" spans="1:23" x14ac:dyDescent="0.25">
      <c r="A1428">
        <v>18400</v>
      </c>
      <c r="B1428" t="s">
        <v>1345</v>
      </c>
      <c r="C1428">
        <v>1.1060000000000001</v>
      </c>
      <c r="D1428" t="s">
        <v>1264</v>
      </c>
      <c r="E1428">
        <v>100169</v>
      </c>
      <c r="F1428">
        <v>18400</v>
      </c>
      <c r="G1428" t="str">
        <f t="shared" si="126"/>
        <v>18400</v>
      </c>
      <c r="H1428" t="s">
        <v>414</v>
      </c>
      <c r="I1428" t="s">
        <v>1265</v>
      </c>
      <c r="J1428" t="s">
        <v>1266</v>
      </c>
      <c r="K1428" t="s">
        <v>1267</v>
      </c>
      <c r="L1428" t="s">
        <v>1345</v>
      </c>
      <c r="M1428" t="s">
        <v>1346</v>
      </c>
      <c r="N1428">
        <v>21</v>
      </c>
      <c r="O1428" t="str">
        <f t="shared" si="129"/>
        <v>46</v>
      </c>
      <c r="P1428">
        <v>46</v>
      </c>
      <c r="R1428" t="s">
        <v>1269</v>
      </c>
      <c r="S1428">
        <v>1.1060000000000001</v>
      </c>
      <c r="T1428">
        <v>0.20019999999999999</v>
      </c>
      <c r="U1428">
        <f t="shared" si="130"/>
        <v>0.221</v>
      </c>
      <c r="V1428" t="str">
        <f t="shared" si="127"/>
        <v>Middle Psychologist</v>
      </c>
      <c r="W1428" t="str">
        <f t="shared" si="128"/>
        <v>Psychologist</v>
      </c>
    </row>
    <row r="1429" spans="1:23" x14ac:dyDescent="0.25">
      <c r="A1429">
        <v>18400</v>
      </c>
      <c r="B1429" t="s">
        <v>1302</v>
      </c>
      <c r="C1429">
        <v>0.53900000000000003</v>
      </c>
      <c r="D1429" t="s">
        <v>1264</v>
      </c>
      <c r="E1429">
        <v>100169</v>
      </c>
      <c r="F1429">
        <v>18400</v>
      </c>
      <c r="G1429" t="str">
        <f t="shared" si="126"/>
        <v>18400</v>
      </c>
      <c r="H1429" t="s">
        <v>414</v>
      </c>
      <c r="I1429" t="s">
        <v>1265</v>
      </c>
      <c r="J1429" t="s">
        <v>1276</v>
      </c>
      <c r="K1429" t="s">
        <v>1277</v>
      </c>
      <c r="L1429" t="s">
        <v>1302</v>
      </c>
      <c r="M1429" t="s">
        <v>1336</v>
      </c>
      <c r="N1429">
        <v>21</v>
      </c>
      <c r="O1429" t="str">
        <f t="shared" si="129"/>
        <v>48</v>
      </c>
      <c r="P1429">
        <v>48</v>
      </c>
      <c r="R1429" t="s">
        <v>1269</v>
      </c>
      <c r="S1429">
        <v>0.53900000000000003</v>
      </c>
      <c r="T1429">
        <v>0.20019999999999999</v>
      </c>
      <c r="U1429">
        <f t="shared" si="130"/>
        <v>0.108</v>
      </c>
      <c r="V1429" t="str">
        <f t="shared" si="127"/>
        <v>Elementary Physical Therapist</v>
      </c>
      <c r="W1429" t="str">
        <f t="shared" si="128"/>
        <v>Physical Therapist</v>
      </c>
    </row>
    <row r="1430" spans="1:23" x14ac:dyDescent="0.25">
      <c r="A1430">
        <v>18400</v>
      </c>
      <c r="B1430" t="s">
        <v>1330</v>
      </c>
      <c r="C1430">
        <v>0.27600000000000002</v>
      </c>
      <c r="D1430" t="s">
        <v>1264</v>
      </c>
      <c r="E1430">
        <v>100169</v>
      </c>
      <c r="F1430">
        <v>18400</v>
      </c>
      <c r="G1430" t="str">
        <f t="shared" si="126"/>
        <v>18400</v>
      </c>
      <c r="H1430" t="s">
        <v>414</v>
      </c>
      <c r="I1430" t="s">
        <v>1265</v>
      </c>
      <c r="J1430" t="s">
        <v>1271</v>
      </c>
      <c r="K1430" t="s">
        <v>1272</v>
      </c>
      <c r="L1430" t="s">
        <v>1330</v>
      </c>
      <c r="M1430" t="s">
        <v>1367</v>
      </c>
      <c r="N1430">
        <v>21</v>
      </c>
      <c r="O1430" t="str">
        <f t="shared" si="129"/>
        <v>48</v>
      </c>
      <c r="P1430">
        <v>48</v>
      </c>
      <c r="R1430" t="s">
        <v>1269</v>
      </c>
      <c r="S1430">
        <v>0.27600000000000002</v>
      </c>
      <c r="T1430">
        <v>0.20019999999999999</v>
      </c>
      <c r="U1430">
        <f t="shared" si="130"/>
        <v>5.5E-2</v>
      </c>
      <c r="V1430" t="str">
        <f t="shared" si="127"/>
        <v>High Physical Therapist</v>
      </c>
      <c r="W1430" t="str">
        <f t="shared" si="128"/>
        <v>Physical Therapist</v>
      </c>
    </row>
    <row r="1431" spans="1:23" x14ac:dyDescent="0.25">
      <c r="A1431">
        <v>18400</v>
      </c>
      <c r="B1431" t="s">
        <v>1316</v>
      </c>
      <c r="C1431">
        <v>0.17199999999999999</v>
      </c>
      <c r="D1431" t="s">
        <v>1264</v>
      </c>
      <c r="E1431">
        <v>100169</v>
      </c>
      <c r="F1431">
        <v>18400</v>
      </c>
      <c r="G1431" t="str">
        <f t="shared" si="126"/>
        <v>18400</v>
      </c>
      <c r="H1431" t="s">
        <v>414</v>
      </c>
      <c r="I1431" t="s">
        <v>1265</v>
      </c>
      <c r="J1431" t="s">
        <v>1266</v>
      </c>
      <c r="K1431" t="s">
        <v>1267</v>
      </c>
      <c r="L1431" t="s">
        <v>1316</v>
      </c>
      <c r="M1431" t="s">
        <v>1366</v>
      </c>
      <c r="N1431">
        <v>21</v>
      </c>
      <c r="O1431" t="str">
        <f t="shared" si="129"/>
        <v>48</v>
      </c>
      <c r="P1431">
        <v>48</v>
      </c>
      <c r="R1431" t="s">
        <v>1269</v>
      </c>
      <c r="S1431">
        <v>0.17199999999999999</v>
      </c>
      <c r="T1431">
        <v>0.20019999999999999</v>
      </c>
      <c r="U1431">
        <f t="shared" si="130"/>
        <v>3.4000000000000002E-2</v>
      </c>
      <c r="V1431" t="str">
        <f t="shared" si="127"/>
        <v>Middle Physical Therapist</v>
      </c>
      <c r="W1431" t="str">
        <f t="shared" si="128"/>
        <v>Physical Therapist</v>
      </c>
    </row>
    <row r="1432" spans="1:23" x14ac:dyDescent="0.25">
      <c r="A1432">
        <v>18401</v>
      </c>
      <c r="B1432" t="s">
        <v>1299</v>
      </c>
      <c r="C1432">
        <v>15.273999999999999</v>
      </c>
      <c r="D1432" t="s">
        <v>1264</v>
      </c>
      <c r="E1432">
        <v>100038</v>
      </c>
      <c r="F1432">
        <v>18401</v>
      </c>
      <c r="G1432" t="str">
        <f t="shared" si="126"/>
        <v>18401</v>
      </c>
      <c r="H1432" t="s">
        <v>415</v>
      </c>
      <c r="I1432" t="s">
        <v>1265</v>
      </c>
      <c r="J1432" t="s">
        <v>1271</v>
      </c>
      <c r="K1432" t="s">
        <v>1272</v>
      </c>
      <c r="L1432" t="s">
        <v>1299</v>
      </c>
      <c r="M1432" t="s">
        <v>1300</v>
      </c>
      <c r="N1432">
        <v>1</v>
      </c>
      <c r="O1432" t="str">
        <f t="shared" si="129"/>
        <v>25</v>
      </c>
      <c r="Q1432">
        <v>25</v>
      </c>
      <c r="R1432" t="s">
        <v>1269</v>
      </c>
      <c r="S1432">
        <v>15.273999999999999</v>
      </c>
      <c r="T1432">
        <v>0.26369999999999999</v>
      </c>
      <c r="U1432">
        <f t="shared" si="130"/>
        <v>0</v>
      </c>
      <c r="V1432" t="str">
        <f t="shared" si="127"/>
        <v>High Pupil Management</v>
      </c>
      <c r="W1432" t="str">
        <f t="shared" si="128"/>
        <v>Pupil Management</v>
      </c>
    </row>
    <row r="1433" spans="1:23" x14ac:dyDescent="0.25">
      <c r="A1433">
        <v>18401</v>
      </c>
      <c r="B1433" t="s">
        <v>1324</v>
      </c>
      <c r="C1433">
        <v>3.5640000000000001</v>
      </c>
      <c r="D1433" t="s">
        <v>1264</v>
      </c>
      <c r="E1433">
        <v>100038</v>
      </c>
      <c r="F1433">
        <v>18401</v>
      </c>
      <c r="G1433" t="str">
        <f t="shared" si="126"/>
        <v>18401</v>
      </c>
      <c r="H1433" t="s">
        <v>415</v>
      </c>
      <c r="I1433" t="s">
        <v>1265</v>
      </c>
      <c r="J1433" t="s">
        <v>1271</v>
      </c>
      <c r="K1433" t="s">
        <v>1272</v>
      </c>
      <c r="L1433" t="s">
        <v>1324</v>
      </c>
      <c r="M1433" t="s">
        <v>1325</v>
      </c>
      <c r="N1433">
        <v>21</v>
      </c>
      <c r="O1433" t="str">
        <f t="shared" si="129"/>
        <v>26</v>
      </c>
      <c r="Q1433">
        <v>26</v>
      </c>
      <c r="R1433" t="s">
        <v>1269</v>
      </c>
      <c r="S1433">
        <v>3.5640000000000001</v>
      </c>
      <c r="T1433">
        <v>0.26369999999999999</v>
      </c>
      <c r="U1433">
        <f t="shared" si="130"/>
        <v>0.94</v>
      </c>
      <c r="V1433" t="str">
        <f t="shared" si="127"/>
        <v>High Health/
Related Services</v>
      </c>
      <c r="W1433" t="str">
        <f t="shared" si="128"/>
        <v>Health/
Related Services</v>
      </c>
    </row>
    <row r="1434" spans="1:23" x14ac:dyDescent="0.25">
      <c r="A1434">
        <v>18401</v>
      </c>
      <c r="B1434" t="s">
        <v>1295</v>
      </c>
      <c r="C1434">
        <v>0.82299999999999995</v>
      </c>
      <c r="D1434" t="s">
        <v>1264</v>
      </c>
      <c r="E1434">
        <v>100038</v>
      </c>
      <c r="F1434">
        <v>18401</v>
      </c>
      <c r="G1434" t="str">
        <f t="shared" si="126"/>
        <v>18401</v>
      </c>
      <c r="H1434" t="s">
        <v>415</v>
      </c>
      <c r="I1434" t="s">
        <v>1265</v>
      </c>
      <c r="J1434" t="s">
        <v>1271</v>
      </c>
      <c r="K1434" t="s">
        <v>1272</v>
      </c>
      <c r="L1434" t="s">
        <v>1295</v>
      </c>
      <c r="M1434" t="s">
        <v>1296</v>
      </c>
      <c r="N1434">
        <v>1</v>
      </c>
      <c r="O1434" t="str">
        <f t="shared" si="129"/>
        <v>26</v>
      </c>
      <c r="Q1434">
        <v>26</v>
      </c>
      <c r="R1434" t="s">
        <v>1269</v>
      </c>
      <c r="S1434">
        <v>0.82299999999999995</v>
      </c>
      <c r="T1434">
        <v>0.26369999999999999</v>
      </c>
      <c r="U1434">
        <f t="shared" si="130"/>
        <v>0</v>
      </c>
      <c r="V1434" t="str">
        <f t="shared" si="127"/>
        <v>High Health/
Related Services</v>
      </c>
      <c r="W1434" t="str">
        <f t="shared" si="128"/>
        <v>Health/
Related Services</v>
      </c>
    </row>
    <row r="1435" spans="1:23" x14ac:dyDescent="0.25">
      <c r="A1435">
        <v>18401</v>
      </c>
      <c r="B1435" t="s">
        <v>1275</v>
      </c>
      <c r="C1435">
        <v>12.627000000000001</v>
      </c>
      <c r="D1435" t="s">
        <v>1264</v>
      </c>
      <c r="E1435">
        <v>100038</v>
      </c>
      <c r="F1435">
        <v>18401</v>
      </c>
      <c r="G1435" t="str">
        <f t="shared" si="126"/>
        <v>18401</v>
      </c>
      <c r="H1435" t="s">
        <v>415</v>
      </c>
      <c r="I1435" t="s">
        <v>1265</v>
      </c>
      <c r="J1435" t="s">
        <v>1276</v>
      </c>
      <c r="K1435" t="s">
        <v>1277</v>
      </c>
      <c r="L1435" t="s">
        <v>1275</v>
      </c>
      <c r="M1435" t="s">
        <v>1278</v>
      </c>
      <c r="N1435">
        <v>1</v>
      </c>
      <c r="O1435" t="str">
        <f t="shared" si="129"/>
        <v>42</v>
      </c>
      <c r="P1435">
        <v>42</v>
      </c>
      <c r="R1435" t="s">
        <v>1269</v>
      </c>
      <c r="S1435">
        <v>12.627000000000001</v>
      </c>
      <c r="T1435">
        <v>0.26369999999999999</v>
      </c>
      <c r="U1435">
        <f t="shared" si="130"/>
        <v>0</v>
      </c>
      <c r="V1435" t="str">
        <f t="shared" si="127"/>
        <v>Elementary Counselor</v>
      </c>
      <c r="W1435" t="str">
        <f t="shared" si="128"/>
        <v>Counselor</v>
      </c>
    </row>
    <row r="1436" spans="1:23" x14ac:dyDescent="0.25">
      <c r="A1436">
        <v>18401</v>
      </c>
      <c r="B1436" t="s">
        <v>1270</v>
      </c>
      <c r="C1436">
        <v>11.712999999999999</v>
      </c>
      <c r="D1436" t="s">
        <v>1264</v>
      </c>
      <c r="E1436">
        <v>100038</v>
      </c>
      <c r="F1436">
        <v>18401</v>
      </c>
      <c r="G1436" t="str">
        <f t="shared" si="126"/>
        <v>18401</v>
      </c>
      <c r="H1436" t="s">
        <v>415</v>
      </c>
      <c r="I1436" t="s">
        <v>1265</v>
      </c>
      <c r="J1436" t="s">
        <v>1271</v>
      </c>
      <c r="K1436" t="s">
        <v>1272</v>
      </c>
      <c r="L1436" t="s">
        <v>1270</v>
      </c>
      <c r="M1436" t="s">
        <v>1273</v>
      </c>
      <c r="N1436">
        <v>1</v>
      </c>
      <c r="O1436" t="str">
        <f t="shared" si="129"/>
        <v>42</v>
      </c>
      <c r="P1436">
        <v>42</v>
      </c>
      <c r="R1436" t="s">
        <v>1269</v>
      </c>
      <c r="S1436">
        <v>11.712999999999999</v>
      </c>
      <c r="T1436">
        <v>0.26369999999999999</v>
      </c>
      <c r="U1436">
        <f t="shared" si="130"/>
        <v>0</v>
      </c>
      <c r="V1436" t="str">
        <f t="shared" si="127"/>
        <v>High Counselor</v>
      </c>
      <c r="W1436" t="str">
        <f t="shared" si="128"/>
        <v>Counselor</v>
      </c>
    </row>
    <row r="1437" spans="1:23" x14ac:dyDescent="0.25">
      <c r="A1437">
        <v>18401</v>
      </c>
      <c r="B1437" t="s">
        <v>1263</v>
      </c>
      <c r="C1437">
        <v>5.36</v>
      </c>
      <c r="D1437" t="s">
        <v>1264</v>
      </c>
      <c r="E1437">
        <v>100038</v>
      </c>
      <c r="F1437">
        <v>18401</v>
      </c>
      <c r="G1437" t="str">
        <f t="shared" si="126"/>
        <v>18401</v>
      </c>
      <c r="H1437" t="s">
        <v>415</v>
      </c>
      <c r="I1437" t="s">
        <v>1265</v>
      </c>
      <c r="J1437" t="s">
        <v>1266</v>
      </c>
      <c r="K1437" t="s">
        <v>1267</v>
      </c>
      <c r="L1437" t="s">
        <v>1263</v>
      </c>
      <c r="M1437" t="s">
        <v>1268</v>
      </c>
      <c r="N1437">
        <v>1</v>
      </c>
      <c r="O1437" t="str">
        <f t="shared" si="129"/>
        <v>42</v>
      </c>
      <c r="P1437">
        <v>42</v>
      </c>
      <c r="R1437" t="s">
        <v>1269</v>
      </c>
      <c r="S1437">
        <v>5.36</v>
      </c>
      <c r="T1437">
        <v>0.26369999999999999</v>
      </c>
      <c r="U1437">
        <f t="shared" si="130"/>
        <v>0</v>
      </c>
      <c r="V1437" t="str">
        <f t="shared" si="127"/>
        <v>Middle Counselor</v>
      </c>
      <c r="W1437" t="str">
        <f t="shared" si="128"/>
        <v>Counselor</v>
      </c>
    </row>
    <row r="1438" spans="1:23" x14ac:dyDescent="0.25">
      <c r="A1438">
        <v>18401</v>
      </c>
      <c r="B1438" t="s">
        <v>1289</v>
      </c>
      <c r="C1438">
        <v>2.9140000000000001</v>
      </c>
      <c r="D1438" t="s">
        <v>1264</v>
      </c>
      <c r="E1438">
        <v>100038</v>
      </c>
      <c r="F1438">
        <v>18401</v>
      </c>
      <c r="G1438" t="str">
        <f t="shared" si="126"/>
        <v>18401</v>
      </c>
      <c r="H1438" t="s">
        <v>415</v>
      </c>
      <c r="I1438" t="s">
        <v>1265</v>
      </c>
      <c r="J1438" t="s">
        <v>1276</v>
      </c>
      <c r="K1438" t="s">
        <v>1277</v>
      </c>
      <c r="L1438" t="s">
        <v>1289</v>
      </c>
      <c r="M1438" t="s">
        <v>1307</v>
      </c>
      <c r="N1438">
        <v>21</v>
      </c>
      <c r="O1438" t="str">
        <f t="shared" si="129"/>
        <v>43</v>
      </c>
      <c r="P1438">
        <v>43</v>
      </c>
      <c r="R1438" t="s">
        <v>1269</v>
      </c>
      <c r="S1438">
        <v>2.9140000000000001</v>
      </c>
      <c r="T1438">
        <v>0.26369999999999999</v>
      </c>
      <c r="U1438">
        <f t="shared" si="130"/>
        <v>0.76800000000000002</v>
      </c>
      <c r="V1438" t="str">
        <f t="shared" si="127"/>
        <v>Elementary Occupational Therapist</v>
      </c>
      <c r="W1438" t="str">
        <f t="shared" si="128"/>
        <v>Occupational Therapist</v>
      </c>
    </row>
    <row r="1439" spans="1:23" x14ac:dyDescent="0.25">
      <c r="A1439">
        <v>18401</v>
      </c>
      <c r="B1439" t="s">
        <v>1387</v>
      </c>
      <c r="C1439">
        <v>2.1160000000000001</v>
      </c>
      <c r="D1439" t="s">
        <v>1264</v>
      </c>
      <c r="E1439">
        <v>100038</v>
      </c>
      <c r="F1439">
        <v>18401</v>
      </c>
      <c r="G1439" t="str">
        <f t="shared" si="126"/>
        <v>18401</v>
      </c>
      <c r="H1439" t="s">
        <v>415</v>
      </c>
      <c r="I1439" t="s">
        <v>1265</v>
      </c>
      <c r="J1439" t="s">
        <v>1271</v>
      </c>
      <c r="K1439" t="s">
        <v>1272</v>
      </c>
      <c r="L1439" t="s">
        <v>1387</v>
      </c>
      <c r="M1439" t="s">
        <v>1406</v>
      </c>
      <c r="N1439">
        <v>21</v>
      </c>
      <c r="O1439" t="str">
        <f t="shared" si="129"/>
        <v>43</v>
      </c>
      <c r="P1439">
        <v>43</v>
      </c>
      <c r="R1439" t="s">
        <v>1269</v>
      </c>
      <c r="S1439">
        <v>2.1160000000000001</v>
      </c>
      <c r="T1439">
        <v>0.26369999999999999</v>
      </c>
      <c r="U1439">
        <f t="shared" si="130"/>
        <v>0.55800000000000005</v>
      </c>
      <c r="V1439" t="str">
        <f t="shared" si="127"/>
        <v>High Occupational Therapist</v>
      </c>
      <c r="W1439" t="str">
        <f t="shared" si="128"/>
        <v>Occupational Therapist</v>
      </c>
    </row>
    <row r="1440" spans="1:23" x14ac:dyDescent="0.25">
      <c r="A1440">
        <v>18401</v>
      </c>
      <c r="B1440" t="s">
        <v>1303</v>
      </c>
      <c r="C1440">
        <v>0.91500000000000004</v>
      </c>
      <c r="D1440" t="s">
        <v>1264</v>
      </c>
      <c r="E1440">
        <v>100038</v>
      </c>
      <c r="F1440">
        <v>18401</v>
      </c>
      <c r="G1440" t="str">
        <f t="shared" si="126"/>
        <v>18401</v>
      </c>
      <c r="H1440" t="s">
        <v>415</v>
      </c>
      <c r="I1440" t="s">
        <v>1265</v>
      </c>
      <c r="J1440" t="s">
        <v>1266</v>
      </c>
      <c r="K1440" t="s">
        <v>1267</v>
      </c>
      <c r="L1440" t="s">
        <v>1303</v>
      </c>
      <c r="M1440" t="s">
        <v>1304</v>
      </c>
      <c r="N1440">
        <v>21</v>
      </c>
      <c r="O1440" t="str">
        <f t="shared" si="129"/>
        <v>43</v>
      </c>
      <c r="P1440">
        <v>43</v>
      </c>
      <c r="R1440" t="s">
        <v>1269</v>
      </c>
      <c r="S1440">
        <v>0.91500000000000004</v>
      </c>
      <c r="T1440">
        <v>0.26369999999999999</v>
      </c>
      <c r="U1440">
        <f t="shared" si="130"/>
        <v>0.24099999999999999</v>
      </c>
      <c r="V1440" t="str">
        <f t="shared" si="127"/>
        <v>Middle Occupational Therapist</v>
      </c>
      <c r="W1440" t="str">
        <f t="shared" si="128"/>
        <v>Occupational Therapist</v>
      </c>
    </row>
    <row r="1441" spans="1:23" x14ac:dyDescent="0.25">
      <c r="A1441">
        <v>18401</v>
      </c>
      <c r="B1441" t="s">
        <v>1331</v>
      </c>
      <c r="C1441">
        <v>1</v>
      </c>
      <c r="D1441" t="s">
        <v>1264</v>
      </c>
      <c r="E1441">
        <v>100038</v>
      </c>
      <c r="F1441">
        <v>18401</v>
      </c>
      <c r="G1441" t="str">
        <f t="shared" si="126"/>
        <v>18401</v>
      </c>
      <c r="H1441" t="s">
        <v>415</v>
      </c>
      <c r="I1441" t="s">
        <v>1265</v>
      </c>
      <c r="J1441" t="s">
        <v>1276</v>
      </c>
      <c r="K1441" t="s">
        <v>1277</v>
      </c>
      <c r="L1441" t="s">
        <v>1331</v>
      </c>
      <c r="M1441" t="s">
        <v>1405</v>
      </c>
      <c r="N1441">
        <v>1</v>
      </c>
      <c r="O1441" t="str">
        <f t="shared" si="129"/>
        <v>44</v>
      </c>
      <c r="P1441">
        <v>44</v>
      </c>
      <c r="R1441" t="s">
        <v>1269</v>
      </c>
      <c r="S1441">
        <v>1</v>
      </c>
      <c r="T1441">
        <v>0.26369999999999999</v>
      </c>
      <c r="U1441">
        <f t="shared" si="130"/>
        <v>0</v>
      </c>
      <c r="V1441" t="str">
        <f t="shared" si="127"/>
        <v>Elementary Social Worker</v>
      </c>
      <c r="W1441" t="str">
        <f t="shared" si="128"/>
        <v>Social Worker</v>
      </c>
    </row>
    <row r="1442" spans="1:23" x14ac:dyDescent="0.25">
      <c r="A1442">
        <v>18401</v>
      </c>
      <c r="B1442" t="s">
        <v>1294</v>
      </c>
      <c r="C1442">
        <v>6.5</v>
      </c>
      <c r="D1442" t="s">
        <v>1264</v>
      </c>
      <c r="E1442">
        <v>100038</v>
      </c>
      <c r="F1442">
        <v>18401</v>
      </c>
      <c r="G1442" t="str">
        <f t="shared" si="126"/>
        <v>18401</v>
      </c>
      <c r="H1442" t="s">
        <v>415</v>
      </c>
      <c r="I1442" t="s">
        <v>1265</v>
      </c>
      <c r="J1442" t="s">
        <v>1276</v>
      </c>
      <c r="K1442" t="s">
        <v>1277</v>
      </c>
      <c r="L1442" t="s">
        <v>1294</v>
      </c>
      <c r="M1442" t="s">
        <v>1354</v>
      </c>
      <c r="N1442">
        <v>21</v>
      </c>
      <c r="O1442" t="str">
        <f t="shared" si="129"/>
        <v>45</v>
      </c>
      <c r="P1442">
        <v>45</v>
      </c>
      <c r="R1442" t="s">
        <v>1269</v>
      </c>
      <c r="S1442">
        <v>6.5</v>
      </c>
      <c r="T1442">
        <v>0.26369999999999999</v>
      </c>
      <c r="U1442">
        <f t="shared" si="130"/>
        <v>1.714</v>
      </c>
      <c r="V1442" t="str">
        <f t="shared" si="127"/>
        <v>Elementary Speech, Language Pathway/
Audio</v>
      </c>
      <c r="W1442" t="str">
        <f t="shared" si="128"/>
        <v>Speech, Language Pathway/
Audio</v>
      </c>
    </row>
    <row r="1443" spans="1:23" x14ac:dyDescent="0.25">
      <c r="A1443">
        <v>18401</v>
      </c>
      <c r="B1443" t="s">
        <v>1326</v>
      </c>
      <c r="C1443">
        <v>3.718</v>
      </c>
      <c r="D1443" t="s">
        <v>1264</v>
      </c>
      <c r="E1443">
        <v>100038</v>
      </c>
      <c r="F1443">
        <v>18401</v>
      </c>
      <c r="G1443" t="str">
        <f t="shared" si="126"/>
        <v>18401</v>
      </c>
      <c r="H1443" t="s">
        <v>415</v>
      </c>
      <c r="I1443" t="s">
        <v>1265</v>
      </c>
      <c r="J1443" t="s">
        <v>1271</v>
      </c>
      <c r="K1443" t="s">
        <v>1272</v>
      </c>
      <c r="L1443" t="s">
        <v>1326</v>
      </c>
      <c r="M1443" t="s">
        <v>1353</v>
      </c>
      <c r="N1443">
        <v>21</v>
      </c>
      <c r="O1443" t="str">
        <f t="shared" si="129"/>
        <v>45</v>
      </c>
      <c r="P1443">
        <v>45</v>
      </c>
      <c r="R1443" t="s">
        <v>1269</v>
      </c>
      <c r="S1443">
        <v>3.718</v>
      </c>
      <c r="T1443">
        <v>0.26369999999999999</v>
      </c>
      <c r="U1443">
        <f t="shared" si="130"/>
        <v>0.98</v>
      </c>
      <c r="V1443" t="str">
        <f t="shared" si="127"/>
        <v>High Speech, Language Pathway/
Audio</v>
      </c>
      <c r="W1443" t="str">
        <f t="shared" si="128"/>
        <v>Speech, Language Pathway/
Audio</v>
      </c>
    </row>
    <row r="1444" spans="1:23" x14ac:dyDescent="0.25">
      <c r="A1444">
        <v>18401</v>
      </c>
      <c r="B1444" t="s">
        <v>1312</v>
      </c>
      <c r="C1444">
        <v>1.859</v>
      </c>
      <c r="D1444" t="s">
        <v>1264</v>
      </c>
      <c r="E1444">
        <v>100038</v>
      </c>
      <c r="F1444">
        <v>18401</v>
      </c>
      <c r="G1444" t="str">
        <f t="shared" si="126"/>
        <v>18401</v>
      </c>
      <c r="H1444" t="s">
        <v>415</v>
      </c>
      <c r="I1444" t="s">
        <v>1265</v>
      </c>
      <c r="J1444" t="s">
        <v>1266</v>
      </c>
      <c r="K1444" t="s">
        <v>1267</v>
      </c>
      <c r="L1444" t="s">
        <v>1312</v>
      </c>
      <c r="M1444" t="s">
        <v>1351</v>
      </c>
      <c r="N1444">
        <v>21</v>
      </c>
      <c r="O1444" t="str">
        <f t="shared" si="129"/>
        <v>45</v>
      </c>
      <c r="P1444">
        <v>45</v>
      </c>
      <c r="R1444" t="s">
        <v>1269</v>
      </c>
      <c r="S1444">
        <v>1.859</v>
      </c>
      <c r="T1444">
        <v>0.26369999999999999</v>
      </c>
      <c r="U1444">
        <f t="shared" si="130"/>
        <v>0.49</v>
      </c>
      <c r="V1444" t="str">
        <f t="shared" si="127"/>
        <v>Middle Speech, Language Pathway/
Audio</v>
      </c>
      <c r="W1444" t="str">
        <f t="shared" si="128"/>
        <v>Speech, Language Pathway/
Audio</v>
      </c>
    </row>
    <row r="1445" spans="1:23" x14ac:dyDescent="0.25">
      <c r="A1445">
        <v>18401</v>
      </c>
      <c r="B1445" t="s">
        <v>1298</v>
      </c>
      <c r="C1445">
        <v>5</v>
      </c>
      <c r="D1445" t="s">
        <v>1264</v>
      </c>
      <c r="E1445">
        <v>100038</v>
      </c>
      <c r="F1445">
        <v>18401</v>
      </c>
      <c r="G1445" t="str">
        <f t="shared" si="126"/>
        <v>18401</v>
      </c>
      <c r="H1445" t="s">
        <v>415</v>
      </c>
      <c r="I1445" t="s">
        <v>1265</v>
      </c>
      <c r="J1445" t="s">
        <v>1276</v>
      </c>
      <c r="K1445" t="s">
        <v>1277</v>
      </c>
      <c r="L1445" t="s">
        <v>1298</v>
      </c>
      <c r="M1445" t="s">
        <v>1349</v>
      </c>
      <c r="N1445">
        <v>21</v>
      </c>
      <c r="O1445" t="str">
        <f t="shared" si="129"/>
        <v>46</v>
      </c>
      <c r="P1445">
        <v>46</v>
      </c>
      <c r="R1445" t="s">
        <v>1269</v>
      </c>
      <c r="S1445">
        <v>5</v>
      </c>
      <c r="T1445">
        <v>0.26369999999999999</v>
      </c>
      <c r="U1445">
        <f t="shared" si="130"/>
        <v>1.319</v>
      </c>
      <c r="V1445" t="str">
        <f t="shared" si="127"/>
        <v>Elementary Psychologist</v>
      </c>
      <c r="W1445" t="str">
        <f t="shared" si="128"/>
        <v>Psychologist</v>
      </c>
    </row>
    <row r="1446" spans="1:23" x14ac:dyDescent="0.25">
      <c r="A1446">
        <v>18401</v>
      </c>
      <c r="B1446" t="s">
        <v>1309</v>
      </c>
      <c r="C1446">
        <v>2.86</v>
      </c>
      <c r="D1446" t="s">
        <v>1264</v>
      </c>
      <c r="E1446">
        <v>100038</v>
      </c>
      <c r="F1446">
        <v>18401</v>
      </c>
      <c r="G1446" t="str">
        <f t="shared" si="126"/>
        <v>18401</v>
      </c>
      <c r="H1446" t="s">
        <v>415</v>
      </c>
      <c r="I1446" t="s">
        <v>1265</v>
      </c>
      <c r="J1446" t="s">
        <v>1271</v>
      </c>
      <c r="K1446" t="s">
        <v>1272</v>
      </c>
      <c r="L1446" t="s">
        <v>1309</v>
      </c>
      <c r="M1446" t="s">
        <v>1310</v>
      </c>
      <c r="N1446">
        <v>21</v>
      </c>
      <c r="O1446" t="str">
        <f t="shared" si="129"/>
        <v>46</v>
      </c>
      <c r="P1446">
        <v>46</v>
      </c>
      <c r="R1446" t="s">
        <v>1269</v>
      </c>
      <c r="S1446">
        <v>2.86</v>
      </c>
      <c r="T1446">
        <v>0.26369999999999999</v>
      </c>
      <c r="U1446">
        <f t="shared" si="130"/>
        <v>0.754</v>
      </c>
      <c r="V1446" t="str">
        <f t="shared" si="127"/>
        <v>High Psychologist</v>
      </c>
      <c r="W1446" t="str">
        <f t="shared" si="128"/>
        <v>Psychologist</v>
      </c>
    </row>
    <row r="1447" spans="1:23" x14ac:dyDescent="0.25">
      <c r="A1447">
        <v>18401</v>
      </c>
      <c r="B1447" t="s">
        <v>1345</v>
      </c>
      <c r="C1447">
        <v>1.43</v>
      </c>
      <c r="D1447" t="s">
        <v>1264</v>
      </c>
      <c r="E1447">
        <v>100038</v>
      </c>
      <c r="F1447">
        <v>18401</v>
      </c>
      <c r="G1447" t="str">
        <f t="shared" si="126"/>
        <v>18401</v>
      </c>
      <c r="H1447" t="s">
        <v>415</v>
      </c>
      <c r="I1447" t="s">
        <v>1265</v>
      </c>
      <c r="J1447" t="s">
        <v>1266</v>
      </c>
      <c r="K1447" t="s">
        <v>1267</v>
      </c>
      <c r="L1447" t="s">
        <v>1345</v>
      </c>
      <c r="M1447" t="s">
        <v>1346</v>
      </c>
      <c r="N1447">
        <v>21</v>
      </c>
      <c r="O1447" t="str">
        <f t="shared" si="129"/>
        <v>46</v>
      </c>
      <c r="P1447">
        <v>46</v>
      </c>
      <c r="R1447" t="s">
        <v>1269</v>
      </c>
      <c r="S1447">
        <v>1.43</v>
      </c>
      <c r="T1447">
        <v>0.26369999999999999</v>
      </c>
      <c r="U1447">
        <f t="shared" si="130"/>
        <v>0.377</v>
      </c>
      <c r="V1447" t="str">
        <f t="shared" si="127"/>
        <v>Middle Psychologist</v>
      </c>
      <c r="W1447" t="str">
        <f t="shared" si="128"/>
        <v>Psychologist</v>
      </c>
    </row>
    <row r="1448" spans="1:23" x14ac:dyDescent="0.25">
      <c r="A1448">
        <v>18401</v>
      </c>
      <c r="B1448" t="s">
        <v>1302</v>
      </c>
      <c r="C1448">
        <v>0.6</v>
      </c>
      <c r="D1448" t="s">
        <v>1264</v>
      </c>
      <c r="E1448">
        <v>100038</v>
      </c>
      <c r="F1448">
        <v>18401</v>
      </c>
      <c r="G1448" t="str">
        <f t="shared" si="126"/>
        <v>18401</v>
      </c>
      <c r="H1448" t="s">
        <v>415</v>
      </c>
      <c r="I1448" t="s">
        <v>1265</v>
      </c>
      <c r="J1448" t="s">
        <v>1276</v>
      </c>
      <c r="K1448" t="s">
        <v>1277</v>
      </c>
      <c r="L1448" t="s">
        <v>1302</v>
      </c>
      <c r="M1448" t="s">
        <v>1336</v>
      </c>
      <c r="N1448">
        <v>21</v>
      </c>
      <c r="O1448" t="str">
        <f t="shared" si="129"/>
        <v>48</v>
      </c>
      <c r="P1448">
        <v>48</v>
      </c>
      <c r="R1448" t="s">
        <v>1269</v>
      </c>
      <c r="S1448">
        <v>0.6</v>
      </c>
      <c r="T1448">
        <v>0.26369999999999999</v>
      </c>
      <c r="U1448">
        <f t="shared" si="130"/>
        <v>0.158</v>
      </c>
      <c r="V1448" t="str">
        <f t="shared" si="127"/>
        <v>Elementary Physical Therapist</v>
      </c>
      <c r="W1448" t="str">
        <f t="shared" si="128"/>
        <v>Physical Therapist</v>
      </c>
    </row>
    <row r="1449" spans="1:23" x14ac:dyDescent="0.25">
      <c r="A1449">
        <v>18401</v>
      </c>
      <c r="B1449" t="s">
        <v>1330</v>
      </c>
      <c r="C1449">
        <v>0.34300000000000003</v>
      </c>
      <c r="D1449" t="s">
        <v>1264</v>
      </c>
      <c r="E1449">
        <v>100038</v>
      </c>
      <c r="F1449">
        <v>18401</v>
      </c>
      <c r="G1449" t="str">
        <f t="shared" si="126"/>
        <v>18401</v>
      </c>
      <c r="H1449" t="s">
        <v>415</v>
      </c>
      <c r="I1449" t="s">
        <v>1265</v>
      </c>
      <c r="J1449" t="s">
        <v>1271</v>
      </c>
      <c r="K1449" t="s">
        <v>1272</v>
      </c>
      <c r="L1449" t="s">
        <v>1330</v>
      </c>
      <c r="M1449" t="s">
        <v>1367</v>
      </c>
      <c r="N1449">
        <v>21</v>
      </c>
      <c r="O1449" t="str">
        <f t="shared" si="129"/>
        <v>48</v>
      </c>
      <c r="P1449">
        <v>48</v>
      </c>
      <c r="R1449" t="s">
        <v>1269</v>
      </c>
      <c r="S1449">
        <v>0.34300000000000003</v>
      </c>
      <c r="T1449">
        <v>0.26369999999999999</v>
      </c>
      <c r="U1449">
        <f t="shared" si="130"/>
        <v>0.09</v>
      </c>
      <c r="V1449" t="str">
        <f t="shared" si="127"/>
        <v>High Physical Therapist</v>
      </c>
      <c r="W1449" t="str">
        <f t="shared" si="128"/>
        <v>Physical Therapist</v>
      </c>
    </row>
    <row r="1450" spans="1:23" x14ac:dyDescent="0.25">
      <c r="A1450">
        <v>18401</v>
      </c>
      <c r="B1450" t="s">
        <v>1316</v>
      </c>
      <c r="C1450">
        <v>0.17199999999999999</v>
      </c>
      <c r="D1450" t="s">
        <v>1264</v>
      </c>
      <c r="E1450">
        <v>100038</v>
      </c>
      <c r="F1450">
        <v>18401</v>
      </c>
      <c r="G1450" t="str">
        <f t="shared" si="126"/>
        <v>18401</v>
      </c>
      <c r="H1450" t="s">
        <v>415</v>
      </c>
      <c r="I1450" t="s">
        <v>1265</v>
      </c>
      <c r="J1450" t="s">
        <v>1266</v>
      </c>
      <c r="K1450" t="s">
        <v>1267</v>
      </c>
      <c r="L1450" t="s">
        <v>1316</v>
      </c>
      <c r="M1450" t="s">
        <v>1366</v>
      </c>
      <c r="N1450">
        <v>21</v>
      </c>
      <c r="O1450" t="str">
        <f t="shared" si="129"/>
        <v>48</v>
      </c>
      <c r="P1450">
        <v>48</v>
      </c>
      <c r="R1450" t="s">
        <v>1269</v>
      </c>
      <c r="S1450">
        <v>0.17199999999999999</v>
      </c>
      <c r="T1450">
        <v>0.26369999999999999</v>
      </c>
      <c r="U1450">
        <f t="shared" si="130"/>
        <v>4.4999999999999998E-2</v>
      </c>
      <c r="V1450" t="str">
        <f t="shared" si="127"/>
        <v>Middle Physical Therapist</v>
      </c>
      <c r="W1450" t="str">
        <f t="shared" si="128"/>
        <v>Physical Therapist</v>
      </c>
    </row>
    <row r="1451" spans="1:23" x14ac:dyDescent="0.25">
      <c r="A1451">
        <v>18401</v>
      </c>
      <c r="B1451" t="s">
        <v>1306</v>
      </c>
      <c r="C1451">
        <v>12.374000000000001</v>
      </c>
      <c r="D1451" t="s">
        <v>1264</v>
      </c>
      <c r="E1451">
        <v>100038</v>
      </c>
      <c r="F1451">
        <v>18401</v>
      </c>
      <c r="G1451" t="str">
        <f t="shared" si="126"/>
        <v>18401</v>
      </c>
      <c r="H1451" t="s">
        <v>415</v>
      </c>
      <c r="I1451" t="s">
        <v>1265</v>
      </c>
      <c r="J1451" t="s">
        <v>1276</v>
      </c>
      <c r="K1451" t="s">
        <v>1277</v>
      </c>
      <c r="L1451" t="s">
        <v>1306</v>
      </c>
      <c r="M1451" t="s">
        <v>1320</v>
      </c>
      <c r="N1451">
        <v>21</v>
      </c>
      <c r="O1451" t="str">
        <f t="shared" si="129"/>
        <v>64</v>
      </c>
      <c r="P1451">
        <v>64</v>
      </c>
      <c r="R1451" t="s">
        <v>1269</v>
      </c>
      <c r="S1451">
        <v>12.374000000000001</v>
      </c>
      <c r="T1451">
        <v>0.26369999999999999</v>
      </c>
      <c r="U1451">
        <f t="shared" si="130"/>
        <v>3.2629999999999999</v>
      </c>
      <c r="V1451" t="str">
        <f t="shared" si="127"/>
        <v>Elementary Contractor ESA</v>
      </c>
      <c r="W1451" t="str">
        <f t="shared" si="128"/>
        <v>Contractor ESA</v>
      </c>
    </row>
    <row r="1452" spans="1:23" x14ac:dyDescent="0.25">
      <c r="A1452">
        <v>18401</v>
      </c>
      <c r="B1452" t="s">
        <v>1347</v>
      </c>
      <c r="C1452">
        <v>0.90400000000000003</v>
      </c>
      <c r="D1452" t="s">
        <v>1264</v>
      </c>
      <c r="E1452">
        <v>100038</v>
      </c>
      <c r="F1452">
        <v>18401</v>
      </c>
      <c r="G1452" t="str">
        <f t="shared" si="126"/>
        <v>18401</v>
      </c>
      <c r="H1452" t="s">
        <v>415</v>
      </c>
      <c r="I1452" t="s">
        <v>1265</v>
      </c>
      <c r="J1452" t="s">
        <v>1276</v>
      </c>
      <c r="K1452" t="s">
        <v>1277</v>
      </c>
      <c r="L1452" t="s">
        <v>1347</v>
      </c>
      <c r="M1452" t="s">
        <v>1420</v>
      </c>
      <c r="N1452">
        <v>1</v>
      </c>
      <c r="O1452" t="str">
        <f t="shared" si="129"/>
        <v>64</v>
      </c>
      <c r="P1452">
        <v>64</v>
      </c>
      <c r="R1452" t="s">
        <v>1269</v>
      </c>
      <c r="S1452">
        <v>0.90400000000000003</v>
      </c>
      <c r="T1452">
        <v>0.26369999999999999</v>
      </c>
      <c r="U1452">
        <f t="shared" si="130"/>
        <v>0</v>
      </c>
      <c r="V1452" t="str">
        <f t="shared" si="127"/>
        <v>Elementary Contractor ESA</v>
      </c>
      <c r="W1452" t="str">
        <f t="shared" si="128"/>
        <v>Contractor ESA</v>
      </c>
    </row>
    <row r="1453" spans="1:23" x14ac:dyDescent="0.25">
      <c r="A1453">
        <v>18401</v>
      </c>
      <c r="B1453" t="s">
        <v>1317</v>
      </c>
      <c r="C1453">
        <v>7.0750000000000002</v>
      </c>
      <c r="D1453" t="s">
        <v>1264</v>
      </c>
      <c r="E1453">
        <v>100038</v>
      </c>
      <c r="F1453">
        <v>18401</v>
      </c>
      <c r="G1453" t="str">
        <f t="shared" si="126"/>
        <v>18401</v>
      </c>
      <c r="H1453" t="s">
        <v>415</v>
      </c>
      <c r="I1453" t="s">
        <v>1265</v>
      </c>
      <c r="J1453" t="s">
        <v>1271</v>
      </c>
      <c r="K1453" t="s">
        <v>1272</v>
      </c>
      <c r="L1453" t="s">
        <v>1317</v>
      </c>
      <c r="M1453" t="s">
        <v>1318</v>
      </c>
      <c r="N1453">
        <v>21</v>
      </c>
      <c r="O1453" t="str">
        <f t="shared" si="129"/>
        <v>64</v>
      </c>
      <c r="P1453">
        <v>64</v>
      </c>
      <c r="R1453" t="s">
        <v>1269</v>
      </c>
      <c r="S1453">
        <v>7.0750000000000002</v>
      </c>
      <c r="T1453">
        <v>0.26369999999999999</v>
      </c>
      <c r="U1453">
        <f t="shared" si="130"/>
        <v>1.8660000000000001</v>
      </c>
      <c r="V1453" t="str">
        <f t="shared" si="127"/>
        <v>High Contractor ESA</v>
      </c>
      <c r="W1453" t="str">
        <f t="shared" si="128"/>
        <v>Contractor ESA</v>
      </c>
    </row>
    <row r="1454" spans="1:23" x14ac:dyDescent="0.25">
      <c r="A1454">
        <v>18401</v>
      </c>
      <c r="B1454" t="s">
        <v>1400</v>
      </c>
      <c r="C1454">
        <v>0.497</v>
      </c>
      <c r="D1454" t="s">
        <v>1264</v>
      </c>
      <c r="E1454">
        <v>100038</v>
      </c>
      <c r="F1454">
        <v>18401</v>
      </c>
      <c r="G1454" t="str">
        <f t="shared" si="126"/>
        <v>18401</v>
      </c>
      <c r="H1454" t="s">
        <v>415</v>
      </c>
      <c r="I1454" t="s">
        <v>1265</v>
      </c>
      <c r="J1454" t="s">
        <v>1271</v>
      </c>
      <c r="K1454" t="s">
        <v>1272</v>
      </c>
      <c r="L1454" t="s">
        <v>1400</v>
      </c>
      <c r="M1454" t="s">
        <v>1441</v>
      </c>
      <c r="N1454">
        <v>1</v>
      </c>
      <c r="O1454" t="str">
        <f t="shared" si="129"/>
        <v>64</v>
      </c>
      <c r="P1454">
        <v>64</v>
      </c>
      <c r="R1454" t="s">
        <v>1269</v>
      </c>
      <c r="S1454">
        <v>0.497</v>
      </c>
      <c r="T1454">
        <v>0.26369999999999999</v>
      </c>
      <c r="U1454">
        <f t="shared" si="130"/>
        <v>0</v>
      </c>
      <c r="V1454" t="str">
        <f t="shared" si="127"/>
        <v>High Contractor ESA</v>
      </c>
      <c r="W1454" t="str">
        <f t="shared" si="128"/>
        <v>Contractor ESA</v>
      </c>
    </row>
    <row r="1455" spans="1:23" x14ac:dyDescent="0.25">
      <c r="A1455">
        <v>18401</v>
      </c>
      <c r="B1455" t="s">
        <v>1313</v>
      </c>
      <c r="C1455">
        <v>3.5390000000000001</v>
      </c>
      <c r="D1455" t="s">
        <v>1264</v>
      </c>
      <c r="E1455">
        <v>100038</v>
      </c>
      <c r="F1455">
        <v>18401</v>
      </c>
      <c r="G1455" t="str">
        <f t="shared" si="126"/>
        <v>18401</v>
      </c>
      <c r="H1455" t="s">
        <v>415</v>
      </c>
      <c r="I1455" t="s">
        <v>1265</v>
      </c>
      <c r="J1455" t="s">
        <v>1266</v>
      </c>
      <c r="K1455" t="s">
        <v>1267</v>
      </c>
      <c r="L1455" t="s">
        <v>1313</v>
      </c>
      <c r="M1455" t="s">
        <v>1314</v>
      </c>
      <c r="N1455">
        <v>21</v>
      </c>
      <c r="O1455" t="str">
        <f t="shared" si="129"/>
        <v>64</v>
      </c>
      <c r="P1455">
        <v>64</v>
      </c>
      <c r="R1455" t="s">
        <v>1269</v>
      </c>
      <c r="S1455">
        <v>3.5390000000000001</v>
      </c>
      <c r="T1455">
        <v>0.26369999999999999</v>
      </c>
      <c r="U1455">
        <f t="shared" si="130"/>
        <v>0.93300000000000005</v>
      </c>
      <c r="V1455" t="str">
        <f t="shared" si="127"/>
        <v>Middle Contractor ESA</v>
      </c>
      <c r="W1455" t="str">
        <f t="shared" si="128"/>
        <v>Contractor ESA</v>
      </c>
    </row>
    <row r="1456" spans="1:23" x14ac:dyDescent="0.25">
      <c r="A1456">
        <v>18401</v>
      </c>
      <c r="B1456" t="s">
        <v>1376</v>
      </c>
      <c r="C1456">
        <v>0.249</v>
      </c>
      <c r="D1456" t="s">
        <v>1264</v>
      </c>
      <c r="E1456">
        <v>100038</v>
      </c>
      <c r="F1456">
        <v>18401</v>
      </c>
      <c r="G1456" t="str">
        <f t="shared" si="126"/>
        <v>18401</v>
      </c>
      <c r="H1456" t="s">
        <v>415</v>
      </c>
      <c r="I1456" t="s">
        <v>1265</v>
      </c>
      <c r="J1456" t="s">
        <v>1266</v>
      </c>
      <c r="K1456" t="s">
        <v>1267</v>
      </c>
      <c r="L1456" t="s">
        <v>1376</v>
      </c>
      <c r="M1456" t="s">
        <v>1440</v>
      </c>
      <c r="N1456">
        <v>1</v>
      </c>
      <c r="O1456" t="str">
        <f t="shared" si="129"/>
        <v>64</v>
      </c>
      <c r="P1456">
        <v>64</v>
      </c>
      <c r="R1456" t="s">
        <v>1269</v>
      </c>
      <c r="S1456">
        <v>0.249</v>
      </c>
      <c r="T1456">
        <v>0.26369999999999999</v>
      </c>
      <c r="U1456">
        <f t="shared" si="130"/>
        <v>0</v>
      </c>
      <c r="V1456" t="str">
        <f t="shared" si="127"/>
        <v>Middle Contractor ESA</v>
      </c>
      <c r="W1456" t="str">
        <f t="shared" si="128"/>
        <v>Contractor ESA</v>
      </c>
    </row>
    <row r="1457" spans="1:23" x14ac:dyDescent="0.25">
      <c r="A1457">
        <v>18402</v>
      </c>
      <c r="B1457" t="s">
        <v>1299</v>
      </c>
      <c r="C1457">
        <v>14.869</v>
      </c>
      <c r="D1457" t="s">
        <v>1264</v>
      </c>
      <c r="E1457">
        <v>100244</v>
      </c>
      <c r="F1457">
        <v>18402</v>
      </c>
      <c r="G1457" t="str">
        <f t="shared" si="126"/>
        <v>18402</v>
      </c>
      <c r="H1457" t="s">
        <v>416</v>
      </c>
      <c r="I1457" t="s">
        <v>1265</v>
      </c>
      <c r="J1457" t="s">
        <v>1271</v>
      </c>
      <c r="K1457" t="s">
        <v>1272</v>
      </c>
      <c r="L1457" t="s">
        <v>1299</v>
      </c>
      <c r="M1457" t="s">
        <v>1300</v>
      </c>
      <c r="N1457">
        <v>1</v>
      </c>
      <c r="O1457" t="str">
        <f t="shared" si="129"/>
        <v>25</v>
      </c>
      <c r="Q1457">
        <v>25</v>
      </c>
      <c r="R1457" t="s">
        <v>1269</v>
      </c>
      <c r="S1457">
        <v>14.869</v>
      </c>
      <c r="T1457">
        <v>0.28220000000000001</v>
      </c>
      <c r="U1457">
        <f t="shared" si="130"/>
        <v>0</v>
      </c>
      <c r="V1457" t="str">
        <f t="shared" si="127"/>
        <v>High Pupil Management</v>
      </c>
      <c r="W1457" t="str">
        <f t="shared" si="128"/>
        <v>Pupil Management</v>
      </c>
    </row>
    <row r="1458" spans="1:23" x14ac:dyDescent="0.25">
      <c r="A1458">
        <v>18402</v>
      </c>
      <c r="B1458" t="s">
        <v>1315</v>
      </c>
      <c r="C1458">
        <v>3.4319999999999999</v>
      </c>
      <c r="D1458" t="s">
        <v>1264</v>
      </c>
      <c r="E1458">
        <v>100244</v>
      </c>
      <c r="F1458">
        <v>18402</v>
      </c>
      <c r="G1458" t="str">
        <f t="shared" si="126"/>
        <v>18402</v>
      </c>
      <c r="H1458" t="s">
        <v>416</v>
      </c>
      <c r="I1458" t="s">
        <v>1265</v>
      </c>
      <c r="J1458" t="s">
        <v>1276</v>
      </c>
      <c r="K1458" t="s">
        <v>1277</v>
      </c>
      <c r="L1458" t="s">
        <v>1315</v>
      </c>
      <c r="M1458" t="s">
        <v>1375</v>
      </c>
      <c r="N1458">
        <v>1</v>
      </c>
      <c r="O1458" t="str">
        <f t="shared" si="129"/>
        <v>26</v>
      </c>
      <c r="Q1458">
        <v>26</v>
      </c>
      <c r="R1458" t="s">
        <v>1269</v>
      </c>
      <c r="S1458">
        <v>3.4319999999999999</v>
      </c>
      <c r="T1458">
        <v>0.28220000000000001</v>
      </c>
      <c r="U1458">
        <f t="shared" si="130"/>
        <v>0</v>
      </c>
      <c r="V1458" t="str">
        <f t="shared" si="127"/>
        <v>Elementary Health/
Related Services</v>
      </c>
      <c r="W1458" t="str">
        <f t="shared" si="128"/>
        <v>Health/
Related Services</v>
      </c>
    </row>
    <row r="1459" spans="1:23" x14ac:dyDescent="0.25">
      <c r="A1459">
        <v>18402</v>
      </c>
      <c r="B1459" t="s">
        <v>1324</v>
      </c>
      <c r="C1459">
        <v>5.2069999999999999</v>
      </c>
      <c r="D1459" t="s">
        <v>1264</v>
      </c>
      <c r="E1459">
        <v>100244</v>
      </c>
      <c r="F1459">
        <v>18402</v>
      </c>
      <c r="G1459" t="str">
        <f t="shared" si="126"/>
        <v>18402</v>
      </c>
      <c r="H1459" t="s">
        <v>416</v>
      </c>
      <c r="I1459" t="s">
        <v>1265</v>
      </c>
      <c r="J1459" t="s">
        <v>1271</v>
      </c>
      <c r="K1459" t="s">
        <v>1272</v>
      </c>
      <c r="L1459" t="s">
        <v>1324</v>
      </c>
      <c r="M1459" t="s">
        <v>1325</v>
      </c>
      <c r="N1459">
        <v>21</v>
      </c>
      <c r="O1459" t="str">
        <f t="shared" si="129"/>
        <v>26</v>
      </c>
      <c r="Q1459">
        <v>26</v>
      </c>
      <c r="R1459" t="s">
        <v>1269</v>
      </c>
      <c r="S1459">
        <v>5.2069999999999999</v>
      </c>
      <c r="T1459">
        <v>0.28220000000000001</v>
      </c>
      <c r="U1459">
        <f t="shared" si="130"/>
        <v>1.4690000000000001</v>
      </c>
      <c r="V1459" t="str">
        <f t="shared" si="127"/>
        <v>High Health/
Related Services</v>
      </c>
      <c r="W1459" t="str">
        <f t="shared" si="128"/>
        <v>Health/
Related Services</v>
      </c>
    </row>
    <row r="1460" spans="1:23" x14ac:dyDescent="0.25">
      <c r="A1460">
        <v>18402</v>
      </c>
      <c r="B1460" t="s">
        <v>1295</v>
      </c>
      <c r="C1460">
        <v>2.8290000000000002</v>
      </c>
      <c r="D1460" t="s">
        <v>1264</v>
      </c>
      <c r="E1460">
        <v>100244</v>
      </c>
      <c r="F1460">
        <v>18402</v>
      </c>
      <c r="G1460" t="str">
        <f t="shared" si="126"/>
        <v>18402</v>
      </c>
      <c r="H1460" t="s">
        <v>416</v>
      </c>
      <c r="I1460" t="s">
        <v>1265</v>
      </c>
      <c r="J1460" t="s">
        <v>1271</v>
      </c>
      <c r="K1460" t="s">
        <v>1272</v>
      </c>
      <c r="L1460" t="s">
        <v>1295</v>
      </c>
      <c r="M1460" t="s">
        <v>1296</v>
      </c>
      <c r="N1460">
        <v>1</v>
      </c>
      <c r="O1460" t="str">
        <f t="shared" si="129"/>
        <v>26</v>
      </c>
      <c r="Q1460">
        <v>26</v>
      </c>
      <c r="R1460" t="s">
        <v>1269</v>
      </c>
      <c r="S1460">
        <v>2.8290000000000002</v>
      </c>
      <c r="T1460">
        <v>0.28220000000000001</v>
      </c>
      <c r="U1460">
        <f t="shared" si="130"/>
        <v>0</v>
      </c>
      <c r="V1460" t="str">
        <f t="shared" si="127"/>
        <v>High Health/
Related Services</v>
      </c>
      <c r="W1460" t="str">
        <f t="shared" si="128"/>
        <v>Health/
Related Services</v>
      </c>
    </row>
    <row r="1461" spans="1:23" x14ac:dyDescent="0.25">
      <c r="A1461">
        <v>18402</v>
      </c>
      <c r="B1461" t="s">
        <v>1401</v>
      </c>
      <c r="C1461">
        <v>6.0469999999999997</v>
      </c>
      <c r="D1461" t="s">
        <v>1264</v>
      </c>
      <c r="E1461">
        <v>100244</v>
      </c>
      <c r="F1461">
        <v>18402</v>
      </c>
      <c r="G1461" t="str">
        <f t="shared" si="126"/>
        <v>18402</v>
      </c>
      <c r="H1461" t="s">
        <v>416</v>
      </c>
      <c r="I1461" t="s">
        <v>1265</v>
      </c>
      <c r="J1461" t="s">
        <v>1271</v>
      </c>
      <c r="K1461" t="s">
        <v>1272</v>
      </c>
      <c r="L1461" t="s">
        <v>1401</v>
      </c>
      <c r="M1461" t="s">
        <v>1422</v>
      </c>
      <c r="N1461">
        <v>1</v>
      </c>
      <c r="O1461" t="str">
        <f t="shared" si="129"/>
        <v>35</v>
      </c>
      <c r="Q1461">
        <v>35</v>
      </c>
      <c r="R1461" t="s">
        <v>1269</v>
      </c>
      <c r="S1461">
        <v>6.0469999999999997</v>
      </c>
      <c r="T1461">
        <v>0.28220000000000001</v>
      </c>
      <c r="U1461">
        <f t="shared" si="130"/>
        <v>0</v>
      </c>
      <c r="V1461" t="str">
        <f t="shared" si="127"/>
        <v>High Pupil Safety</v>
      </c>
      <c r="W1461" t="str">
        <f t="shared" si="128"/>
        <v>Pupil Safety</v>
      </c>
    </row>
    <row r="1462" spans="1:23" x14ac:dyDescent="0.25">
      <c r="A1462">
        <v>18402</v>
      </c>
      <c r="B1462" t="s">
        <v>1275</v>
      </c>
      <c r="C1462">
        <v>12.706</v>
      </c>
      <c r="D1462" t="s">
        <v>1264</v>
      </c>
      <c r="E1462">
        <v>100244</v>
      </c>
      <c r="F1462">
        <v>18402</v>
      </c>
      <c r="G1462" t="str">
        <f t="shared" si="126"/>
        <v>18402</v>
      </c>
      <c r="H1462" t="s">
        <v>416</v>
      </c>
      <c r="I1462" t="s">
        <v>1265</v>
      </c>
      <c r="J1462" t="s">
        <v>1276</v>
      </c>
      <c r="K1462" t="s">
        <v>1277</v>
      </c>
      <c r="L1462" t="s">
        <v>1275</v>
      </c>
      <c r="M1462" t="s">
        <v>1278</v>
      </c>
      <c r="N1462">
        <v>1</v>
      </c>
      <c r="O1462" t="str">
        <f t="shared" si="129"/>
        <v>42</v>
      </c>
      <c r="P1462">
        <v>42</v>
      </c>
      <c r="R1462" t="s">
        <v>1269</v>
      </c>
      <c r="S1462">
        <v>12.706</v>
      </c>
      <c r="T1462">
        <v>0.28220000000000001</v>
      </c>
      <c r="U1462">
        <f t="shared" si="130"/>
        <v>0</v>
      </c>
      <c r="V1462" t="str">
        <f t="shared" si="127"/>
        <v>Elementary Counselor</v>
      </c>
      <c r="W1462" t="str">
        <f t="shared" si="128"/>
        <v>Counselor</v>
      </c>
    </row>
    <row r="1463" spans="1:23" x14ac:dyDescent="0.25">
      <c r="A1463">
        <v>18402</v>
      </c>
      <c r="B1463" t="s">
        <v>1270</v>
      </c>
      <c r="C1463">
        <v>8</v>
      </c>
      <c r="D1463" t="s">
        <v>1264</v>
      </c>
      <c r="E1463">
        <v>100244</v>
      </c>
      <c r="F1463">
        <v>18402</v>
      </c>
      <c r="G1463" t="str">
        <f t="shared" si="126"/>
        <v>18402</v>
      </c>
      <c r="H1463" t="s">
        <v>416</v>
      </c>
      <c r="I1463" t="s">
        <v>1265</v>
      </c>
      <c r="J1463" t="s">
        <v>1271</v>
      </c>
      <c r="K1463" t="s">
        <v>1272</v>
      </c>
      <c r="L1463" t="s">
        <v>1270</v>
      </c>
      <c r="M1463" t="s">
        <v>1273</v>
      </c>
      <c r="N1463">
        <v>1</v>
      </c>
      <c r="O1463" t="str">
        <f t="shared" si="129"/>
        <v>42</v>
      </c>
      <c r="P1463">
        <v>42</v>
      </c>
      <c r="R1463" t="s">
        <v>1269</v>
      </c>
      <c r="S1463">
        <v>8</v>
      </c>
      <c r="T1463">
        <v>0.28220000000000001</v>
      </c>
      <c r="U1463">
        <f t="shared" si="130"/>
        <v>0</v>
      </c>
      <c r="V1463" t="str">
        <f t="shared" si="127"/>
        <v>High Counselor</v>
      </c>
      <c r="W1463" t="str">
        <f t="shared" si="128"/>
        <v>Counselor</v>
      </c>
    </row>
    <row r="1464" spans="1:23" x14ac:dyDescent="0.25">
      <c r="A1464">
        <v>18402</v>
      </c>
      <c r="B1464" t="s">
        <v>1263</v>
      </c>
      <c r="C1464">
        <v>3.2959999999999998</v>
      </c>
      <c r="D1464" t="s">
        <v>1264</v>
      </c>
      <c r="E1464">
        <v>100244</v>
      </c>
      <c r="F1464">
        <v>18402</v>
      </c>
      <c r="G1464" t="str">
        <f t="shared" si="126"/>
        <v>18402</v>
      </c>
      <c r="H1464" t="s">
        <v>416</v>
      </c>
      <c r="I1464" t="s">
        <v>1265</v>
      </c>
      <c r="J1464" t="s">
        <v>1266</v>
      </c>
      <c r="K1464" t="s">
        <v>1267</v>
      </c>
      <c r="L1464" t="s">
        <v>1263</v>
      </c>
      <c r="M1464" t="s">
        <v>1268</v>
      </c>
      <c r="N1464">
        <v>1</v>
      </c>
      <c r="O1464" t="str">
        <f t="shared" si="129"/>
        <v>42</v>
      </c>
      <c r="P1464">
        <v>42</v>
      </c>
      <c r="R1464" t="s">
        <v>1269</v>
      </c>
      <c r="S1464">
        <v>3.2959999999999998</v>
      </c>
      <c r="T1464">
        <v>0.28220000000000001</v>
      </c>
      <c r="U1464">
        <f t="shared" si="130"/>
        <v>0</v>
      </c>
      <c r="V1464" t="str">
        <f t="shared" si="127"/>
        <v>Middle Counselor</v>
      </c>
      <c r="W1464" t="str">
        <f t="shared" si="128"/>
        <v>Counselor</v>
      </c>
    </row>
    <row r="1465" spans="1:23" x14ac:dyDescent="0.25">
      <c r="A1465">
        <v>18402</v>
      </c>
      <c r="B1465" t="s">
        <v>1331</v>
      </c>
      <c r="C1465">
        <v>1</v>
      </c>
      <c r="D1465" t="s">
        <v>1264</v>
      </c>
      <c r="E1465">
        <v>100244</v>
      </c>
      <c r="F1465">
        <v>18402</v>
      </c>
      <c r="G1465" t="str">
        <f t="shared" si="126"/>
        <v>18402</v>
      </c>
      <c r="H1465" t="s">
        <v>416</v>
      </c>
      <c r="I1465" t="s">
        <v>1265</v>
      </c>
      <c r="J1465" t="s">
        <v>1276</v>
      </c>
      <c r="K1465" t="s">
        <v>1277</v>
      </c>
      <c r="L1465" t="s">
        <v>1331</v>
      </c>
      <c r="M1465" t="s">
        <v>1405</v>
      </c>
      <c r="N1465">
        <v>1</v>
      </c>
      <c r="O1465" t="str">
        <f t="shared" si="129"/>
        <v>44</v>
      </c>
      <c r="P1465">
        <v>44</v>
      </c>
      <c r="R1465" t="s">
        <v>1269</v>
      </c>
      <c r="S1465">
        <v>1</v>
      </c>
      <c r="T1465">
        <v>0.28220000000000001</v>
      </c>
      <c r="U1465">
        <f t="shared" si="130"/>
        <v>0</v>
      </c>
      <c r="V1465" t="str">
        <f t="shared" si="127"/>
        <v>Elementary Social Worker</v>
      </c>
      <c r="W1465" t="str">
        <f t="shared" si="128"/>
        <v>Social Worker</v>
      </c>
    </row>
    <row r="1466" spans="1:23" x14ac:dyDescent="0.25">
      <c r="A1466">
        <v>18402</v>
      </c>
      <c r="B1466" t="s">
        <v>1359</v>
      </c>
      <c r="C1466">
        <v>1</v>
      </c>
      <c r="D1466" t="s">
        <v>1264</v>
      </c>
      <c r="E1466">
        <v>100244</v>
      </c>
      <c r="F1466">
        <v>18402</v>
      </c>
      <c r="G1466" t="str">
        <f t="shared" si="126"/>
        <v>18402</v>
      </c>
      <c r="H1466" t="s">
        <v>416</v>
      </c>
      <c r="I1466" t="s">
        <v>1265</v>
      </c>
      <c r="J1466" t="s">
        <v>1271</v>
      </c>
      <c r="K1466" t="s">
        <v>1272</v>
      </c>
      <c r="L1466" t="s">
        <v>1359</v>
      </c>
      <c r="M1466" t="s">
        <v>1360</v>
      </c>
      <c r="N1466">
        <v>1</v>
      </c>
      <c r="O1466" t="str">
        <f t="shared" si="129"/>
        <v>44</v>
      </c>
      <c r="P1466">
        <v>44</v>
      </c>
      <c r="R1466" t="s">
        <v>1269</v>
      </c>
      <c r="S1466">
        <v>1</v>
      </c>
      <c r="T1466">
        <v>0.28220000000000001</v>
      </c>
      <c r="U1466">
        <f t="shared" si="130"/>
        <v>0</v>
      </c>
      <c r="V1466" t="str">
        <f t="shared" si="127"/>
        <v>High Social Worker</v>
      </c>
      <c r="W1466" t="str">
        <f t="shared" si="128"/>
        <v>Social Worker</v>
      </c>
    </row>
    <row r="1467" spans="1:23" x14ac:dyDescent="0.25">
      <c r="A1467">
        <v>18402</v>
      </c>
      <c r="B1467" t="s">
        <v>1356</v>
      </c>
      <c r="C1467">
        <v>1</v>
      </c>
      <c r="D1467" t="s">
        <v>1264</v>
      </c>
      <c r="E1467">
        <v>100244</v>
      </c>
      <c r="F1467">
        <v>18402</v>
      </c>
      <c r="G1467" t="str">
        <f t="shared" si="126"/>
        <v>18402</v>
      </c>
      <c r="H1467" t="s">
        <v>416</v>
      </c>
      <c r="I1467" t="s">
        <v>1265</v>
      </c>
      <c r="J1467" t="s">
        <v>1266</v>
      </c>
      <c r="K1467" t="s">
        <v>1267</v>
      </c>
      <c r="L1467" t="s">
        <v>1356</v>
      </c>
      <c r="M1467" t="s">
        <v>1357</v>
      </c>
      <c r="N1467">
        <v>1</v>
      </c>
      <c r="O1467" t="str">
        <f t="shared" si="129"/>
        <v>44</v>
      </c>
      <c r="P1467">
        <v>44</v>
      </c>
      <c r="R1467" t="s">
        <v>1269</v>
      </c>
      <c r="S1467">
        <v>1</v>
      </c>
      <c r="T1467">
        <v>0.28220000000000001</v>
      </c>
      <c r="U1467">
        <f t="shared" si="130"/>
        <v>0</v>
      </c>
      <c r="V1467" t="str">
        <f t="shared" si="127"/>
        <v>Middle Social Worker</v>
      </c>
      <c r="W1467" t="str">
        <f t="shared" si="128"/>
        <v>Social Worker</v>
      </c>
    </row>
    <row r="1468" spans="1:23" x14ac:dyDescent="0.25">
      <c r="A1468">
        <v>18402</v>
      </c>
      <c r="B1468" t="s">
        <v>1335</v>
      </c>
      <c r="C1468">
        <v>5.4320000000000004</v>
      </c>
      <c r="D1468" t="s">
        <v>1264</v>
      </c>
      <c r="E1468">
        <v>100244</v>
      </c>
      <c r="F1468">
        <v>18402</v>
      </c>
      <c r="G1468" t="str">
        <f t="shared" si="126"/>
        <v>18402</v>
      </c>
      <c r="H1468" t="s">
        <v>416</v>
      </c>
      <c r="I1468" t="s">
        <v>1265</v>
      </c>
      <c r="J1468" t="s">
        <v>1276</v>
      </c>
      <c r="K1468" t="s">
        <v>1277</v>
      </c>
      <c r="L1468" t="s">
        <v>1335</v>
      </c>
      <c r="M1468" t="s">
        <v>1344</v>
      </c>
      <c r="N1468">
        <v>1</v>
      </c>
      <c r="O1468" t="str">
        <f t="shared" si="129"/>
        <v>47</v>
      </c>
      <c r="P1468">
        <v>47</v>
      </c>
      <c r="R1468" t="s">
        <v>1269</v>
      </c>
      <c r="S1468">
        <v>5.4320000000000004</v>
      </c>
      <c r="T1468">
        <v>0.28220000000000001</v>
      </c>
      <c r="U1468">
        <f t="shared" si="130"/>
        <v>0</v>
      </c>
      <c r="V1468" t="str">
        <f t="shared" si="127"/>
        <v>Elementary Nurse</v>
      </c>
      <c r="W1468" t="str">
        <f t="shared" si="128"/>
        <v>Nurse</v>
      </c>
    </row>
    <row r="1469" spans="1:23" x14ac:dyDescent="0.25">
      <c r="A1469">
        <v>18402</v>
      </c>
      <c r="B1469" t="s">
        <v>1341</v>
      </c>
      <c r="C1469">
        <v>1.3180000000000001</v>
      </c>
      <c r="D1469" t="s">
        <v>1264</v>
      </c>
      <c r="E1469">
        <v>100244</v>
      </c>
      <c r="F1469">
        <v>18402</v>
      </c>
      <c r="G1469" t="str">
        <f t="shared" si="126"/>
        <v>18402</v>
      </c>
      <c r="H1469" t="s">
        <v>416</v>
      </c>
      <c r="I1469" t="s">
        <v>1265</v>
      </c>
      <c r="J1469" t="s">
        <v>1271</v>
      </c>
      <c r="K1469" t="s">
        <v>1272</v>
      </c>
      <c r="L1469" t="s">
        <v>1341</v>
      </c>
      <c r="M1469" t="s">
        <v>1342</v>
      </c>
      <c r="N1469">
        <v>1</v>
      </c>
      <c r="O1469" t="str">
        <f t="shared" si="129"/>
        <v>47</v>
      </c>
      <c r="P1469">
        <v>47</v>
      </c>
      <c r="R1469" t="s">
        <v>1269</v>
      </c>
      <c r="S1469">
        <v>1.3180000000000001</v>
      </c>
      <c r="T1469">
        <v>0.28220000000000001</v>
      </c>
      <c r="U1469">
        <f t="shared" si="130"/>
        <v>0</v>
      </c>
      <c r="V1469" t="str">
        <f t="shared" si="127"/>
        <v>High Nurse</v>
      </c>
      <c r="W1469" t="str">
        <f t="shared" si="128"/>
        <v>Nurse</v>
      </c>
    </row>
    <row r="1470" spans="1:23" x14ac:dyDescent="0.25">
      <c r="A1470">
        <v>18402</v>
      </c>
      <c r="B1470" t="s">
        <v>1338</v>
      </c>
      <c r="C1470">
        <v>2.25</v>
      </c>
      <c r="D1470" t="s">
        <v>1264</v>
      </c>
      <c r="E1470">
        <v>100244</v>
      </c>
      <c r="F1470">
        <v>18402</v>
      </c>
      <c r="G1470" t="str">
        <f t="shared" si="126"/>
        <v>18402</v>
      </c>
      <c r="H1470" t="s">
        <v>416</v>
      </c>
      <c r="I1470" t="s">
        <v>1265</v>
      </c>
      <c r="J1470" t="s">
        <v>1266</v>
      </c>
      <c r="K1470" t="s">
        <v>1267</v>
      </c>
      <c r="L1470" t="s">
        <v>1338</v>
      </c>
      <c r="M1470" t="s">
        <v>1339</v>
      </c>
      <c r="N1470">
        <v>1</v>
      </c>
      <c r="O1470" t="str">
        <f t="shared" si="129"/>
        <v>47</v>
      </c>
      <c r="P1470">
        <v>47</v>
      </c>
      <c r="R1470" t="s">
        <v>1269</v>
      </c>
      <c r="S1470">
        <v>2.25</v>
      </c>
      <c r="T1470">
        <v>0.28220000000000001</v>
      </c>
      <c r="U1470">
        <f t="shared" si="130"/>
        <v>0</v>
      </c>
      <c r="V1470" t="str">
        <f t="shared" si="127"/>
        <v>Middle Nurse</v>
      </c>
      <c r="W1470" t="str">
        <f t="shared" si="128"/>
        <v>Nurse</v>
      </c>
    </row>
    <row r="1471" spans="1:23" x14ac:dyDescent="0.25">
      <c r="A1471">
        <v>18901</v>
      </c>
      <c r="B1471" t="s">
        <v>1299</v>
      </c>
      <c r="C1471">
        <v>0.748</v>
      </c>
      <c r="D1471" t="s">
        <v>1264</v>
      </c>
      <c r="E1471">
        <v>106245</v>
      </c>
      <c r="F1471">
        <v>18901</v>
      </c>
      <c r="G1471" t="str">
        <f t="shared" si="126"/>
        <v>18901</v>
      </c>
      <c r="H1471" t="s">
        <v>653</v>
      </c>
      <c r="I1471" t="s">
        <v>1265</v>
      </c>
      <c r="J1471" t="s">
        <v>1271</v>
      </c>
      <c r="K1471" t="s">
        <v>1272</v>
      </c>
      <c r="L1471" t="s">
        <v>1299</v>
      </c>
      <c r="M1471" t="s">
        <v>1300</v>
      </c>
      <c r="N1471">
        <v>1</v>
      </c>
      <c r="O1471" t="str">
        <f t="shared" si="129"/>
        <v>25</v>
      </c>
      <c r="Q1471">
        <v>25</v>
      </c>
      <c r="R1471" t="s">
        <v>1269</v>
      </c>
      <c r="S1471">
        <v>0.748</v>
      </c>
      <c r="T1471">
        <v>0.1003</v>
      </c>
      <c r="U1471">
        <f t="shared" si="130"/>
        <v>0</v>
      </c>
      <c r="V1471" t="str">
        <f t="shared" si="127"/>
        <v>High Pupil Management</v>
      </c>
      <c r="W1471" t="str">
        <f t="shared" si="128"/>
        <v>Pupil Management</v>
      </c>
    </row>
    <row r="1472" spans="1:23" x14ac:dyDescent="0.25">
      <c r="A1472">
        <v>18901</v>
      </c>
      <c r="B1472" t="s">
        <v>1298</v>
      </c>
      <c r="C1472">
        <v>0.34699999999999998</v>
      </c>
      <c r="D1472" t="s">
        <v>1264</v>
      </c>
      <c r="E1472">
        <v>106245</v>
      </c>
      <c r="F1472">
        <v>18901</v>
      </c>
      <c r="G1472" t="str">
        <f t="shared" si="126"/>
        <v>18901</v>
      </c>
      <c r="H1472" t="s">
        <v>653</v>
      </c>
      <c r="I1472" t="s">
        <v>1265</v>
      </c>
      <c r="J1472" t="s">
        <v>1276</v>
      </c>
      <c r="K1472" t="s">
        <v>1277</v>
      </c>
      <c r="L1472" t="s">
        <v>1298</v>
      </c>
      <c r="M1472" t="s">
        <v>1349</v>
      </c>
      <c r="N1472">
        <v>21</v>
      </c>
      <c r="O1472" t="str">
        <f t="shared" si="129"/>
        <v>46</v>
      </c>
      <c r="P1472">
        <v>46</v>
      </c>
      <c r="R1472" t="s">
        <v>1269</v>
      </c>
      <c r="S1472">
        <v>0.34699999999999998</v>
      </c>
      <c r="T1472">
        <v>0.1003</v>
      </c>
      <c r="U1472">
        <f t="shared" si="130"/>
        <v>3.5000000000000003E-2</v>
      </c>
      <c r="V1472" t="str">
        <f t="shared" si="127"/>
        <v>Elementary Psychologist</v>
      </c>
      <c r="W1472" t="str">
        <f t="shared" si="128"/>
        <v>Psychologist</v>
      </c>
    </row>
    <row r="1473" spans="1:23" x14ac:dyDescent="0.25">
      <c r="A1473">
        <v>18901</v>
      </c>
      <c r="B1473" t="s">
        <v>1345</v>
      </c>
      <c r="C1473">
        <v>0.153</v>
      </c>
      <c r="D1473" t="s">
        <v>1264</v>
      </c>
      <c r="E1473">
        <v>106245</v>
      </c>
      <c r="F1473">
        <v>18901</v>
      </c>
      <c r="G1473" t="str">
        <f t="shared" si="126"/>
        <v>18901</v>
      </c>
      <c r="H1473" t="s">
        <v>653</v>
      </c>
      <c r="I1473" t="s">
        <v>1265</v>
      </c>
      <c r="J1473" t="s">
        <v>1266</v>
      </c>
      <c r="K1473" t="s">
        <v>1267</v>
      </c>
      <c r="L1473" t="s">
        <v>1345</v>
      </c>
      <c r="M1473" t="s">
        <v>1346</v>
      </c>
      <c r="N1473">
        <v>21</v>
      </c>
      <c r="O1473" t="str">
        <f t="shared" si="129"/>
        <v>46</v>
      </c>
      <c r="P1473">
        <v>46</v>
      </c>
      <c r="R1473" t="s">
        <v>1269</v>
      </c>
      <c r="S1473">
        <v>0.153</v>
      </c>
      <c r="T1473">
        <v>0.1003</v>
      </c>
      <c r="U1473">
        <f t="shared" si="130"/>
        <v>1.4999999999999999E-2</v>
      </c>
      <c r="V1473" t="str">
        <f t="shared" si="127"/>
        <v>Middle Psychologist</v>
      </c>
      <c r="W1473" t="str">
        <f t="shared" si="128"/>
        <v>Psychologist</v>
      </c>
    </row>
    <row r="1474" spans="1:23" x14ac:dyDescent="0.25">
      <c r="A1474">
        <v>18901</v>
      </c>
      <c r="B1474" t="s">
        <v>1335</v>
      </c>
      <c r="C1474">
        <v>0.45400000000000001</v>
      </c>
      <c r="D1474" t="s">
        <v>1264</v>
      </c>
      <c r="E1474">
        <v>106245</v>
      </c>
      <c r="F1474">
        <v>18901</v>
      </c>
      <c r="G1474" t="str">
        <f t="shared" ref="G1474:G1537" si="131">TEXT(F1474,"00000")</f>
        <v>18901</v>
      </c>
      <c r="H1474" t="s">
        <v>653</v>
      </c>
      <c r="I1474" t="s">
        <v>1265</v>
      </c>
      <c r="J1474" t="s">
        <v>1276</v>
      </c>
      <c r="K1474" t="s">
        <v>1277</v>
      </c>
      <c r="L1474" t="s">
        <v>1335</v>
      </c>
      <c r="M1474" t="s">
        <v>1344</v>
      </c>
      <c r="N1474">
        <v>1</v>
      </c>
      <c r="O1474" t="str">
        <f t="shared" si="129"/>
        <v>47</v>
      </c>
      <c r="P1474">
        <v>47</v>
      </c>
      <c r="R1474" t="s">
        <v>1269</v>
      </c>
      <c r="S1474">
        <v>0.45400000000000001</v>
      </c>
      <c r="T1474">
        <v>0.1003</v>
      </c>
      <c r="U1474">
        <f t="shared" si="130"/>
        <v>0</v>
      </c>
      <c r="V1474" t="str">
        <f t="shared" ref="V1474:V1537" si="132">_xlfn.XLOOKUP(L1474,$BV:$BV,$BT:$BT,,0)</f>
        <v>Elementary Nurse</v>
      </c>
      <c r="W1474" t="str">
        <f t="shared" ref="W1474:W1537" si="133">_xlfn.TEXTAFTER(V1474," ")</f>
        <v>Nurse</v>
      </c>
    </row>
    <row r="1475" spans="1:23" x14ac:dyDescent="0.25">
      <c r="A1475">
        <v>18901</v>
      </c>
      <c r="B1475" t="s">
        <v>1338</v>
      </c>
      <c r="C1475">
        <v>0.14000000000000001</v>
      </c>
      <c r="D1475" t="s">
        <v>1264</v>
      </c>
      <c r="E1475">
        <v>106245</v>
      </c>
      <c r="F1475">
        <v>18901</v>
      </c>
      <c r="G1475" t="str">
        <f t="shared" si="131"/>
        <v>18901</v>
      </c>
      <c r="H1475" t="s">
        <v>653</v>
      </c>
      <c r="I1475" t="s">
        <v>1265</v>
      </c>
      <c r="J1475" t="s">
        <v>1266</v>
      </c>
      <c r="K1475" t="s">
        <v>1267</v>
      </c>
      <c r="L1475" t="s">
        <v>1338</v>
      </c>
      <c r="M1475" t="s">
        <v>1339</v>
      </c>
      <c r="N1475">
        <v>1</v>
      </c>
      <c r="O1475" t="str">
        <f t="shared" ref="O1475:O1538" si="134">MID(L1475,3,2)</f>
        <v>47</v>
      </c>
      <c r="P1475">
        <v>47</v>
      </c>
      <c r="R1475" t="s">
        <v>1269</v>
      </c>
      <c r="S1475">
        <v>0.14000000000000001</v>
      </c>
      <c r="T1475">
        <v>0.1003</v>
      </c>
      <c r="U1475">
        <f t="shared" ref="U1475:U1538" si="135">IF(N1475=21,ROUND(T1475*S1475,3),0)</f>
        <v>0</v>
      </c>
      <c r="V1475" t="str">
        <f t="shared" si="132"/>
        <v>Middle Nurse</v>
      </c>
      <c r="W1475" t="str">
        <f t="shared" si="133"/>
        <v>Nurse</v>
      </c>
    </row>
    <row r="1476" spans="1:23" x14ac:dyDescent="0.25">
      <c r="A1476">
        <v>18902</v>
      </c>
      <c r="B1476" t="s">
        <v>1270</v>
      </c>
      <c r="C1476">
        <v>1</v>
      </c>
      <c r="D1476" t="s">
        <v>1264</v>
      </c>
      <c r="E1476">
        <v>105768</v>
      </c>
      <c r="F1476">
        <v>18902</v>
      </c>
      <c r="G1476" t="str">
        <f t="shared" si="131"/>
        <v>18902</v>
      </c>
      <c r="H1476" t="s">
        <v>417</v>
      </c>
      <c r="I1476" t="s">
        <v>1265</v>
      </c>
      <c r="J1476" t="s">
        <v>1271</v>
      </c>
      <c r="K1476" t="s">
        <v>1272</v>
      </c>
      <c r="L1476" t="s">
        <v>1270</v>
      </c>
      <c r="M1476" t="s">
        <v>1273</v>
      </c>
      <c r="N1476">
        <v>1</v>
      </c>
      <c r="O1476" t="str">
        <f t="shared" si="134"/>
        <v>42</v>
      </c>
      <c r="P1476">
        <v>42</v>
      </c>
      <c r="R1476" t="s">
        <v>1269</v>
      </c>
      <c r="S1476">
        <v>1</v>
      </c>
      <c r="T1476">
        <v>0.13900000000000001</v>
      </c>
      <c r="U1476">
        <f t="shared" si="135"/>
        <v>0</v>
      </c>
      <c r="V1476" t="str">
        <f t="shared" si="132"/>
        <v>High Counselor</v>
      </c>
      <c r="W1476" t="str">
        <f t="shared" si="133"/>
        <v>Counselor</v>
      </c>
    </row>
    <row r="1477" spans="1:23" x14ac:dyDescent="0.25">
      <c r="A1477">
        <v>19007</v>
      </c>
      <c r="B1477" t="s">
        <v>1341</v>
      </c>
      <c r="C1477">
        <v>6.9000000000000006E-2</v>
      </c>
      <c r="D1477" t="s">
        <v>1264</v>
      </c>
      <c r="E1477">
        <v>100063</v>
      </c>
      <c r="F1477">
        <v>19007</v>
      </c>
      <c r="G1477" t="str">
        <f t="shared" si="131"/>
        <v>19007</v>
      </c>
      <c r="H1477" t="s">
        <v>418</v>
      </c>
      <c r="I1477" t="s">
        <v>1265</v>
      </c>
      <c r="J1477" t="s">
        <v>1271</v>
      </c>
      <c r="K1477" t="s">
        <v>1272</v>
      </c>
      <c r="L1477" t="s">
        <v>1341</v>
      </c>
      <c r="M1477" t="s">
        <v>1342</v>
      </c>
      <c r="N1477">
        <v>1</v>
      </c>
      <c r="O1477" t="str">
        <f t="shared" si="134"/>
        <v>47</v>
      </c>
      <c r="P1477">
        <v>47</v>
      </c>
      <c r="R1477" t="s">
        <v>1269</v>
      </c>
      <c r="S1477">
        <v>6.9000000000000006E-2</v>
      </c>
      <c r="T1477">
        <v>0.08</v>
      </c>
      <c r="U1477">
        <f t="shared" si="135"/>
        <v>0</v>
      </c>
      <c r="V1477" t="str">
        <f t="shared" si="132"/>
        <v>High Nurse</v>
      </c>
      <c r="W1477" t="str">
        <f t="shared" si="133"/>
        <v>Nurse</v>
      </c>
    </row>
    <row r="1478" spans="1:23" x14ac:dyDescent="0.25">
      <c r="A1478">
        <v>19028</v>
      </c>
      <c r="B1478" t="s">
        <v>1295</v>
      </c>
      <c r="C1478">
        <v>1.7000000000000001E-2</v>
      </c>
      <c r="D1478" t="s">
        <v>1264</v>
      </c>
      <c r="E1478">
        <v>100073</v>
      </c>
      <c r="F1478">
        <v>19028</v>
      </c>
      <c r="G1478" t="str">
        <f t="shared" si="131"/>
        <v>19028</v>
      </c>
      <c r="H1478" t="s">
        <v>419</v>
      </c>
      <c r="I1478" t="s">
        <v>1265</v>
      </c>
      <c r="J1478" t="s">
        <v>1271</v>
      </c>
      <c r="K1478" t="s">
        <v>1272</v>
      </c>
      <c r="L1478" t="s">
        <v>1295</v>
      </c>
      <c r="M1478" t="s">
        <v>1296</v>
      </c>
      <c r="N1478">
        <v>1</v>
      </c>
      <c r="O1478" t="str">
        <f t="shared" si="134"/>
        <v>26</v>
      </c>
      <c r="Q1478">
        <v>26</v>
      </c>
      <c r="R1478" t="s">
        <v>1269</v>
      </c>
      <c r="S1478">
        <v>1.7000000000000001E-2</v>
      </c>
      <c r="T1478">
        <v>0.16139999999999999</v>
      </c>
      <c r="U1478">
        <f t="shared" si="135"/>
        <v>0</v>
      </c>
      <c r="V1478" t="str">
        <f t="shared" si="132"/>
        <v>High Health/
Related Services</v>
      </c>
      <c r="W1478" t="str">
        <f t="shared" si="133"/>
        <v>Health/
Related Services</v>
      </c>
    </row>
    <row r="1479" spans="1:23" x14ac:dyDescent="0.25">
      <c r="A1479">
        <v>19028</v>
      </c>
      <c r="B1479" t="s">
        <v>1275</v>
      </c>
      <c r="C1479">
        <v>0.46</v>
      </c>
      <c r="D1479" t="s">
        <v>1264</v>
      </c>
      <c r="E1479">
        <v>100073</v>
      </c>
      <c r="F1479">
        <v>19028</v>
      </c>
      <c r="G1479" t="str">
        <f t="shared" si="131"/>
        <v>19028</v>
      </c>
      <c r="H1479" t="s">
        <v>419</v>
      </c>
      <c r="I1479" t="s">
        <v>1265</v>
      </c>
      <c r="J1479" t="s">
        <v>1276</v>
      </c>
      <c r="K1479" t="s">
        <v>1277</v>
      </c>
      <c r="L1479" t="s">
        <v>1275</v>
      </c>
      <c r="M1479" t="s">
        <v>1278</v>
      </c>
      <c r="N1479">
        <v>1</v>
      </c>
      <c r="O1479" t="str">
        <f t="shared" si="134"/>
        <v>42</v>
      </c>
      <c r="P1479">
        <v>42</v>
      </c>
      <c r="R1479" t="s">
        <v>1269</v>
      </c>
      <c r="S1479">
        <v>0.46</v>
      </c>
      <c r="T1479">
        <v>0.16139999999999999</v>
      </c>
      <c r="U1479">
        <f t="shared" si="135"/>
        <v>0</v>
      </c>
      <c r="V1479" t="str">
        <f t="shared" si="132"/>
        <v>Elementary Counselor</v>
      </c>
      <c r="W1479" t="str">
        <f t="shared" si="133"/>
        <v>Counselor</v>
      </c>
    </row>
    <row r="1480" spans="1:23" x14ac:dyDescent="0.25">
      <c r="A1480">
        <v>19028</v>
      </c>
      <c r="B1480" t="s">
        <v>1270</v>
      </c>
      <c r="C1480">
        <v>0.33</v>
      </c>
      <c r="D1480" t="s">
        <v>1264</v>
      </c>
      <c r="E1480">
        <v>100073</v>
      </c>
      <c r="F1480">
        <v>19028</v>
      </c>
      <c r="G1480" t="str">
        <f t="shared" si="131"/>
        <v>19028</v>
      </c>
      <c r="H1480" t="s">
        <v>419</v>
      </c>
      <c r="I1480" t="s">
        <v>1265</v>
      </c>
      <c r="J1480" t="s">
        <v>1271</v>
      </c>
      <c r="K1480" t="s">
        <v>1272</v>
      </c>
      <c r="L1480" t="s">
        <v>1270</v>
      </c>
      <c r="M1480" t="s">
        <v>1273</v>
      </c>
      <c r="N1480">
        <v>1</v>
      </c>
      <c r="O1480" t="str">
        <f t="shared" si="134"/>
        <v>42</v>
      </c>
      <c r="P1480">
        <v>42</v>
      </c>
      <c r="R1480" t="s">
        <v>1269</v>
      </c>
      <c r="S1480">
        <v>0.33</v>
      </c>
      <c r="T1480">
        <v>0.16139999999999999</v>
      </c>
      <c r="U1480">
        <f t="shared" si="135"/>
        <v>0</v>
      </c>
      <c r="V1480" t="str">
        <f t="shared" si="132"/>
        <v>High Counselor</v>
      </c>
      <c r="W1480" t="str">
        <f t="shared" si="133"/>
        <v>Counselor</v>
      </c>
    </row>
    <row r="1481" spans="1:23" x14ac:dyDescent="0.25">
      <c r="A1481">
        <v>19400</v>
      </c>
      <c r="B1481" t="s">
        <v>1295</v>
      </c>
      <c r="C1481">
        <v>0.109</v>
      </c>
      <c r="D1481" t="s">
        <v>1264</v>
      </c>
      <c r="E1481">
        <v>100266</v>
      </c>
      <c r="F1481">
        <v>19400</v>
      </c>
      <c r="G1481" t="str">
        <f t="shared" si="131"/>
        <v>19400</v>
      </c>
      <c r="H1481" t="s">
        <v>420</v>
      </c>
      <c r="I1481" t="s">
        <v>1265</v>
      </c>
      <c r="J1481" t="s">
        <v>1271</v>
      </c>
      <c r="K1481" t="s">
        <v>1272</v>
      </c>
      <c r="L1481" t="s">
        <v>1295</v>
      </c>
      <c r="M1481" t="s">
        <v>1296</v>
      </c>
      <c r="N1481">
        <v>1</v>
      </c>
      <c r="O1481" t="str">
        <f t="shared" si="134"/>
        <v>26</v>
      </c>
      <c r="Q1481">
        <v>26</v>
      </c>
      <c r="R1481" t="s">
        <v>1269</v>
      </c>
      <c r="S1481">
        <v>0.109</v>
      </c>
      <c r="T1481">
        <v>9.8900000000000002E-2</v>
      </c>
      <c r="U1481">
        <f t="shared" si="135"/>
        <v>0</v>
      </c>
      <c r="V1481" t="str">
        <f t="shared" si="132"/>
        <v>High Health/
Related Services</v>
      </c>
      <c r="W1481" t="str">
        <f t="shared" si="133"/>
        <v>Health/
Related Services</v>
      </c>
    </row>
    <row r="1482" spans="1:23" x14ac:dyDescent="0.25">
      <c r="A1482">
        <v>19401</v>
      </c>
      <c r="B1482" t="s">
        <v>1299</v>
      </c>
      <c r="C1482">
        <v>5.5490000000000004</v>
      </c>
      <c r="D1482" t="s">
        <v>1264</v>
      </c>
      <c r="E1482">
        <v>100076</v>
      </c>
      <c r="F1482">
        <v>19401</v>
      </c>
      <c r="G1482" t="str">
        <f t="shared" si="131"/>
        <v>19401</v>
      </c>
      <c r="H1482" t="s">
        <v>421</v>
      </c>
      <c r="I1482" t="s">
        <v>1265</v>
      </c>
      <c r="J1482" t="s">
        <v>1271</v>
      </c>
      <c r="K1482" t="s">
        <v>1272</v>
      </c>
      <c r="L1482" t="s">
        <v>1299</v>
      </c>
      <c r="M1482" t="s">
        <v>1300</v>
      </c>
      <c r="N1482">
        <v>1</v>
      </c>
      <c r="O1482" t="str">
        <f t="shared" si="134"/>
        <v>25</v>
      </c>
      <c r="Q1482">
        <v>25</v>
      </c>
      <c r="R1482" t="s">
        <v>1269</v>
      </c>
      <c r="S1482">
        <v>5.5490000000000004</v>
      </c>
      <c r="T1482">
        <v>0.22750000000000001</v>
      </c>
      <c r="U1482">
        <f t="shared" si="135"/>
        <v>0</v>
      </c>
      <c r="V1482" t="str">
        <f t="shared" si="132"/>
        <v>High Pupil Management</v>
      </c>
      <c r="W1482" t="str">
        <f t="shared" si="133"/>
        <v>Pupil Management</v>
      </c>
    </row>
    <row r="1483" spans="1:23" x14ac:dyDescent="0.25">
      <c r="A1483">
        <v>19401</v>
      </c>
      <c r="B1483" t="s">
        <v>1315</v>
      </c>
      <c r="C1483">
        <v>0.59399999999999997</v>
      </c>
      <c r="D1483" t="s">
        <v>1264</v>
      </c>
      <c r="E1483">
        <v>100076</v>
      </c>
      <c r="F1483">
        <v>19401</v>
      </c>
      <c r="G1483" t="str">
        <f t="shared" si="131"/>
        <v>19401</v>
      </c>
      <c r="H1483" t="s">
        <v>421</v>
      </c>
      <c r="I1483" t="s">
        <v>1265</v>
      </c>
      <c r="J1483" t="s">
        <v>1276</v>
      </c>
      <c r="K1483" t="s">
        <v>1277</v>
      </c>
      <c r="L1483" t="s">
        <v>1315</v>
      </c>
      <c r="M1483" t="s">
        <v>1375</v>
      </c>
      <c r="N1483">
        <v>1</v>
      </c>
      <c r="O1483" t="str">
        <f t="shared" si="134"/>
        <v>26</v>
      </c>
      <c r="Q1483">
        <v>26</v>
      </c>
      <c r="R1483" t="s">
        <v>1269</v>
      </c>
      <c r="S1483">
        <v>0.59399999999999997</v>
      </c>
      <c r="T1483">
        <v>0.22750000000000001</v>
      </c>
      <c r="U1483">
        <f t="shared" si="135"/>
        <v>0</v>
      </c>
      <c r="V1483" t="str">
        <f t="shared" si="132"/>
        <v>Elementary Health/
Related Services</v>
      </c>
      <c r="W1483" t="str">
        <f t="shared" si="133"/>
        <v>Health/
Related Services</v>
      </c>
    </row>
    <row r="1484" spans="1:23" x14ac:dyDescent="0.25">
      <c r="A1484">
        <v>19401</v>
      </c>
      <c r="B1484" t="s">
        <v>1295</v>
      </c>
      <c r="C1484">
        <v>3.79</v>
      </c>
      <c r="D1484" t="s">
        <v>1264</v>
      </c>
      <c r="E1484">
        <v>100076</v>
      </c>
      <c r="F1484">
        <v>19401</v>
      </c>
      <c r="G1484" t="str">
        <f t="shared" si="131"/>
        <v>19401</v>
      </c>
      <c r="H1484" t="s">
        <v>421</v>
      </c>
      <c r="I1484" t="s">
        <v>1265</v>
      </c>
      <c r="J1484" t="s">
        <v>1271</v>
      </c>
      <c r="K1484" t="s">
        <v>1272</v>
      </c>
      <c r="L1484" t="s">
        <v>1295</v>
      </c>
      <c r="M1484" t="s">
        <v>1296</v>
      </c>
      <c r="N1484">
        <v>1</v>
      </c>
      <c r="O1484" t="str">
        <f t="shared" si="134"/>
        <v>26</v>
      </c>
      <c r="Q1484">
        <v>26</v>
      </c>
      <c r="R1484" t="s">
        <v>1269</v>
      </c>
      <c r="S1484">
        <v>3.79</v>
      </c>
      <c r="T1484">
        <v>0.22750000000000001</v>
      </c>
      <c r="U1484">
        <f t="shared" si="135"/>
        <v>0</v>
      </c>
      <c r="V1484" t="str">
        <f t="shared" si="132"/>
        <v>High Health/
Related Services</v>
      </c>
      <c r="W1484" t="str">
        <f t="shared" si="133"/>
        <v>Health/
Related Services</v>
      </c>
    </row>
    <row r="1485" spans="1:23" x14ac:dyDescent="0.25">
      <c r="A1485">
        <v>19401</v>
      </c>
      <c r="B1485" t="s">
        <v>1275</v>
      </c>
      <c r="C1485">
        <v>4</v>
      </c>
      <c r="D1485" t="s">
        <v>1264</v>
      </c>
      <c r="E1485">
        <v>100076</v>
      </c>
      <c r="F1485">
        <v>19401</v>
      </c>
      <c r="G1485" t="str">
        <f t="shared" si="131"/>
        <v>19401</v>
      </c>
      <c r="H1485" t="s">
        <v>421</v>
      </c>
      <c r="I1485" t="s">
        <v>1265</v>
      </c>
      <c r="J1485" t="s">
        <v>1276</v>
      </c>
      <c r="K1485" t="s">
        <v>1277</v>
      </c>
      <c r="L1485" t="s">
        <v>1275</v>
      </c>
      <c r="M1485" t="s">
        <v>1278</v>
      </c>
      <c r="N1485">
        <v>1</v>
      </c>
      <c r="O1485" t="str">
        <f t="shared" si="134"/>
        <v>42</v>
      </c>
      <c r="P1485">
        <v>42</v>
      </c>
      <c r="R1485" t="s">
        <v>1269</v>
      </c>
      <c r="S1485">
        <v>4</v>
      </c>
      <c r="T1485">
        <v>0.22750000000000001</v>
      </c>
      <c r="U1485">
        <f t="shared" si="135"/>
        <v>0</v>
      </c>
      <c r="V1485" t="str">
        <f t="shared" si="132"/>
        <v>Elementary Counselor</v>
      </c>
      <c r="W1485" t="str">
        <f t="shared" si="133"/>
        <v>Counselor</v>
      </c>
    </row>
    <row r="1486" spans="1:23" x14ac:dyDescent="0.25">
      <c r="A1486">
        <v>19401</v>
      </c>
      <c r="B1486" t="s">
        <v>1270</v>
      </c>
      <c r="C1486">
        <v>2</v>
      </c>
      <c r="D1486" t="s">
        <v>1264</v>
      </c>
      <c r="E1486">
        <v>100076</v>
      </c>
      <c r="F1486">
        <v>19401</v>
      </c>
      <c r="G1486" t="str">
        <f t="shared" si="131"/>
        <v>19401</v>
      </c>
      <c r="H1486" t="s">
        <v>421</v>
      </c>
      <c r="I1486" t="s">
        <v>1265</v>
      </c>
      <c r="J1486" t="s">
        <v>1271</v>
      </c>
      <c r="K1486" t="s">
        <v>1272</v>
      </c>
      <c r="L1486" t="s">
        <v>1270</v>
      </c>
      <c r="M1486" t="s">
        <v>1273</v>
      </c>
      <c r="N1486">
        <v>1</v>
      </c>
      <c r="O1486" t="str">
        <f t="shared" si="134"/>
        <v>42</v>
      </c>
      <c r="P1486">
        <v>42</v>
      </c>
      <c r="R1486" t="s">
        <v>1269</v>
      </c>
      <c r="S1486">
        <v>2</v>
      </c>
      <c r="T1486">
        <v>0.22750000000000001</v>
      </c>
      <c r="U1486">
        <f t="shared" si="135"/>
        <v>0</v>
      </c>
      <c r="V1486" t="str">
        <f t="shared" si="132"/>
        <v>High Counselor</v>
      </c>
      <c r="W1486" t="str">
        <f t="shared" si="133"/>
        <v>Counselor</v>
      </c>
    </row>
    <row r="1487" spans="1:23" x14ac:dyDescent="0.25">
      <c r="A1487">
        <v>19401</v>
      </c>
      <c r="B1487" t="s">
        <v>1263</v>
      </c>
      <c r="C1487">
        <v>2</v>
      </c>
      <c r="D1487" t="s">
        <v>1264</v>
      </c>
      <c r="E1487">
        <v>100076</v>
      </c>
      <c r="F1487">
        <v>19401</v>
      </c>
      <c r="G1487" t="str">
        <f t="shared" si="131"/>
        <v>19401</v>
      </c>
      <c r="H1487" t="s">
        <v>421</v>
      </c>
      <c r="I1487" t="s">
        <v>1265</v>
      </c>
      <c r="J1487" t="s">
        <v>1266</v>
      </c>
      <c r="K1487" t="s">
        <v>1267</v>
      </c>
      <c r="L1487" t="s">
        <v>1263</v>
      </c>
      <c r="M1487" t="s">
        <v>1268</v>
      </c>
      <c r="N1487">
        <v>1</v>
      </c>
      <c r="O1487" t="str">
        <f t="shared" si="134"/>
        <v>42</v>
      </c>
      <c r="P1487">
        <v>42</v>
      </c>
      <c r="R1487" t="s">
        <v>1269</v>
      </c>
      <c r="S1487">
        <v>2</v>
      </c>
      <c r="T1487">
        <v>0.22750000000000001</v>
      </c>
      <c r="U1487">
        <f t="shared" si="135"/>
        <v>0</v>
      </c>
      <c r="V1487" t="str">
        <f t="shared" si="132"/>
        <v>Middle Counselor</v>
      </c>
      <c r="W1487" t="str">
        <f t="shared" si="133"/>
        <v>Counselor</v>
      </c>
    </row>
    <row r="1488" spans="1:23" x14ac:dyDescent="0.25">
      <c r="A1488">
        <v>19401</v>
      </c>
      <c r="B1488" t="s">
        <v>1294</v>
      </c>
      <c r="C1488">
        <v>0.5</v>
      </c>
      <c r="D1488" t="s">
        <v>1264</v>
      </c>
      <c r="E1488">
        <v>100076</v>
      </c>
      <c r="F1488">
        <v>19401</v>
      </c>
      <c r="G1488" t="str">
        <f t="shared" si="131"/>
        <v>19401</v>
      </c>
      <c r="H1488" t="s">
        <v>421</v>
      </c>
      <c r="I1488" t="s">
        <v>1265</v>
      </c>
      <c r="J1488" t="s">
        <v>1276</v>
      </c>
      <c r="K1488" t="s">
        <v>1277</v>
      </c>
      <c r="L1488" t="s">
        <v>1294</v>
      </c>
      <c r="M1488" t="s">
        <v>1354</v>
      </c>
      <c r="N1488">
        <v>21</v>
      </c>
      <c r="O1488" t="str">
        <f t="shared" si="134"/>
        <v>45</v>
      </c>
      <c r="P1488">
        <v>45</v>
      </c>
      <c r="R1488" t="s">
        <v>1269</v>
      </c>
      <c r="S1488">
        <v>0.5</v>
      </c>
      <c r="T1488">
        <v>0.22750000000000001</v>
      </c>
      <c r="U1488">
        <f t="shared" si="135"/>
        <v>0.114</v>
      </c>
      <c r="V1488" t="str">
        <f t="shared" si="132"/>
        <v>Elementary Speech, Language Pathway/
Audio</v>
      </c>
      <c r="W1488" t="str">
        <f t="shared" si="133"/>
        <v>Speech, Language Pathway/
Audio</v>
      </c>
    </row>
    <row r="1489" spans="1:23" x14ac:dyDescent="0.25">
      <c r="A1489">
        <v>19401</v>
      </c>
      <c r="B1489" t="s">
        <v>1312</v>
      </c>
      <c r="C1489">
        <v>0.5</v>
      </c>
      <c r="D1489" t="s">
        <v>1264</v>
      </c>
      <c r="E1489">
        <v>100076</v>
      </c>
      <c r="F1489">
        <v>19401</v>
      </c>
      <c r="G1489" t="str">
        <f t="shared" si="131"/>
        <v>19401</v>
      </c>
      <c r="H1489" t="s">
        <v>421</v>
      </c>
      <c r="I1489" t="s">
        <v>1265</v>
      </c>
      <c r="J1489" t="s">
        <v>1266</v>
      </c>
      <c r="K1489" t="s">
        <v>1267</v>
      </c>
      <c r="L1489" t="s">
        <v>1312</v>
      </c>
      <c r="M1489" t="s">
        <v>1351</v>
      </c>
      <c r="N1489">
        <v>21</v>
      </c>
      <c r="O1489" t="str">
        <f t="shared" si="134"/>
        <v>45</v>
      </c>
      <c r="P1489">
        <v>45</v>
      </c>
      <c r="R1489" t="s">
        <v>1269</v>
      </c>
      <c r="S1489">
        <v>0.5</v>
      </c>
      <c r="T1489">
        <v>0.22750000000000001</v>
      </c>
      <c r="U1489">
        <f t="shared" si="135"/>
        <v>0.114</v>
      </c>
      <c r="V1489" t="str">
        <f t="shared" si="132"/>
        <v>Middle Speech, Language Pathway/
Audio</v>
      </c>
      <c r="W1489" t="str">
        <f t="shared" si="133"/>
        <v>Speech, Language Pathway/
Audio</v>
      </c>
    </row>
    <row r="1490" spans="1:23" x14ac:dyDescent="0.25">
      <c r="A1490">
        <v>19401</v>
      </c>
      <c r="B1490" t="s">
        <v>1298</v>
      </c>
      <c r="C1490">
        <v>2.5710000000000002</v>
      </c>
      <c r="D1490" t="s">
        <v>1264</v>
      </c>
      <c r="E1490">
        <v>100076</v>
      </c>
      <c r="F1490">
        <v>19401</v>
      </c>
      <c r="G1490" t="str">
        <f t="shared" si="131"/>
        <v>19401</v>
      </c>
      <c r="H1490" t="s">
        <v>421</v>
      </c>
      <c r="I1490" t="s">
        <v>1265</v>
      </c>
      <c r="J1490" t="s">
        <v>1276</v>
      </c>
      <c r="K1490" t="s">
        <v>1277</v>
      </c>
      <c r="L1490" t="s">
        <v>1298</v>
      </c>
      <c r="M1490" t="s">
        <v>1349</v>
      </c>
      <c r="N1490">
        <v>21</v>
      </c>
      <c r="O1490" t="str">
        <f t="shared" si="134"/>
        <v>46</v>
      </c>
      <c r="P1490">
        <v>46</v>
      </c>
      <c r="R1490" t="s">
        <v>1269</v>
      </c>
      <c r="S1490">
        <v>2.5710000000000002</v>
      </c>
      <c r="T1490">
        <v>0.22750000000000001</v>
      </c>
      <c r="U1490">
        <f t="shared" si="135"/>
        <v>0.58499999999999996</v>
      </c>
      <c r="V1490" t="str">
        <f t="shared" si="132"/>
        <v>Elementary Psychologist</v>
      </c>
      <c r="W1490" t="str">
        <f t="shared" si="133"/>
        <v>Psychologist</v>
      </c>
    </row>
    <row r="1491" spans="1:23" x14ac:dyDescent="0.25">
      <c r="A1491">
        <v>19401</v>
      </c>
      <c r="B1491" t="s">
        <v>1309</v>
      </c>
      <c r="C1491">
        <v>1.127</v>
      </c>
      <c r="D1491" t="s">
        <v>1264</v>
      </c>
      <c r="E1491">
        <v>100076</v>
      </c>
      <c r="F1491">
        <v>19401</v>
      </c>
      <c r="G1491" t="str">
        <f t="shared" si="131"/>
        <v>19401</v>
      </c>
      <c r="H1491" t="s">
        <v>421</v>
      </c>
      <c r="I1491" t="s">
        <v>1265</v>
      </c>
      <c r="J1491" t="s">
        <v>1271</v>
      </c>
      <c r="K1491" t="s">
        <v>1272</v>
      </c>
      <c r="L1491" t="s">
        <v>1309</v>
      </c>
      <c r="M1491" t="s">
        <v>1310</v>
      </c>
      <c r="N1491">
        <v>21</v>
      </c>
      <c r="O1491" t="str">
        <f t="shared" si="134"/>
        <v>46</v>
      </c>
      <c r="P1491">
        <v>46</v>
      </c>
      <c r="R1491" t="s">
        <v>1269</v>
      </c>
      <c r="S1491">
        <v>1.127</v>
      </c>
      <c r="T1491">
        <v>0.22750000000000001</v>
      </c>
      <c r="U1491">
        <f t="shared" si="135"/>
        <v>0.25600000000000001</v>
      </c>
      <c r="V1491" t="str">
        <f t="shared" si="132"/>
        <v>High Psychologist</v>
      </c>
      <c r="W1491" t="str">
        <f t="shared" si="133"/>
        <v>Psychologist</v>
      </c>
    </row>
    <row r="1492" spans="1:23" x14ac:dyDescent="0.25">
      <c r="A1492">
        <v>19401</v>
      </c>
      <c r="B1492" t="s">
        <v>1345</v>
      </c>
      <c r="C1492">
        <v>1.151</v>
      </c>
      <c r="D1492" t="s">
        <v>1264</v>
      </c>
      <c r="E1492">
        <v>100076</v>
      </c>
      <c r="F1492">
        <v>19401</v>
      </c>
      <c r="G1492" t="str">
        <f t="shared" si="131"/>
        <v>19401</v>
      </c>
      <c r="H1492" t="s">
        <v>421</v>
      </c>
      <c r="I1492" t="s">
        <v>1265</v>
      </c>
      <c r="J1492" t="s">
        <v>1266</v>
      </c>
      <c r="K1492" t="s">
        <v>1267</v>
      </c>
      <c r="L1492" t="s">
        <v>1345</v>
      </c>
      <c r="M1492" t="s">
        <v>1346</v>
      </c>
      <c r="N1492">
        <v>21</v>
      </c>
      <c r="O1492" t="str">
        <f t="shared" si="134"/>
        <v>46</v>
      </c>
      <c r="P1492">
        <v>46</v>
      </c>
      <c r="R1492" t="s">
        <v>1269</v>
      </c>
      <c r="S1492">
        <v>1.151</v>
      </c>
      <c r="T1492">
        <v>0.22750000000000001</v>
      </c>
      <c r="U1492">
        <f t="shared" si="135"/>
        <v>0.26200000000000001</v>
      </c>
      <c r="V1492" t="str">
        <f t="shared" si="132"/>
        <v>Middle Psychologist</v>
      </c>
      <c r="W1492" t="str">
        <f t="shared" si="133"/>
        <v>Psychologist</v>
      </c>
    </row>
    <row r="1493" spans="1:23" x14ac:dyDescent="0.25">
      <c r="A1493">
        <v>19401</v>
      </c>
      <c r="B1493" t="s">
        <v>1306</v>
      </c>
      <c r="C1493">
        <v>3.7130000000000001</v>
      </c>
      <c r="D1493" t="s">
        <v>1264</v>
      </c>
      <c r="E1493">
        <v>100076</v>
      </c>
      <c r="F1493">
        <v>19401</v>
      </c>
      <c r="G1493" t="str">
        <f t="shared" si="131"/>
        <v>19401</v>
      </c>
      <c r="H1493" t="s">
        <v>421</v>
      </c>
      <c r="I1493" t="s">
        <v>1265</v>
      </c>
      <c r="J1493" t="s">
        <v>1276</v>
      </c>
      <c r="K1493" t="s">
        <v>1277</v>
      </c>
      <c r="L1493" t="s">
        <v>1306</v>
      </c>
      <c r="M1493" t="s">
        <v>1320</v>
      </c>
      <c r="N1493">
        <v>21</v>
      </c>
      <c r="O1493" t="str">
        <f t="shared" si="134"/>
        <v>64</v>
      </c>
      <c r="P1493">
        <v>64</v>
      </c>
      <c r="R1493" t="s">
        <v>1269</v>
      </c>
      <c r="S1493">
        <v>3.7130000000000001</v>
      </c>
      <c r="T1493">
        <v>0.22750000000000001</v>
      </c>
      <c r="U1493">
        <f t="shared" si="135"/>
        <v>0.84499999999999997</v>
      </c>
      <c r="V1493" t="str">
        <f t="shared" si="132"/>
        <v>Elementary Contractor ESA</v>
      </c>
      <c r="W1493" t="str">
        <f t="shared" si="133"/>
        <v>Contractor ESA</v>
      </c>
    </row>
    <row r="1494" spans="1:23" x14ac:dyDescent="0.25">
      <c r="A1494">
        <v>19403</v>
      </c>
      <c r="B1494" t="s">
        <v>1301</v>
      </c>
      <c r="C1494">
        <v>0.24199999999999999</v>
      </c>
      <c r="D1494" t="s">
        <v>1264</v>
      </c>
      <c r="E1494">
        <v>100120</v>
      </c>
      <c r="F1494">
        <v>19403</v>
      </c>
      <c r="G1494" t="str">
        <f t="shared" si="131"/>
        <v>19403</v>
      </c>
      <c r="H1494" t="s">
        <v>422</v>
      </c>
      <c r="I1494" t="s">
        <v>1265</v>
      </c>
      <c r="J1494" t="s">
        <v>1276</v>
      </c>
      <c r="K1494" t="s">
        <v>1277</v>
      </c>
      <c r="L1494" t="s">
        <v>1301</v>
      </c>
      <c r="M1494" t="s">
        <v>1427</v>
      </c>
      <c r="N1494">
        <v>21</v>
      </c>
      <c r="O1494" t="str">
        <f t="shared" si="134"/>
        <v>25</v>
      </c>
      <c r="Q1494">
        <v>25</v>
      </c>
      <c r="R1494" t="s">
        <v>1269</v>
      </c>
      <c r="S1494">
        <v>0.24199999999999999</v>
      </c>
      <c r="T1494">
        <v>0.21870000000000001</v>
      </c>
      <c r="U1494">
        <f t="shared" si="135"/>
        <v>5.2999999999999999E-2</v>
      </c>
      <c r="V1494" t="str">
        <f t="shared" si="132"/>
        <v>Elementary Pupil Management</v>
      </c>
      <c r="W1494" t="str">
        <f t="shared" si="133"/>
        <v>Pupil Management</v>
      </c>
    </row>
    <row r="1495" spans="1:23" x14ac:dyDescent="0.25">
      <c r="A1495">
        <v>19403</v>
      </c>
      <c r="B1495" t="s">
        <v>1308</v>
      </c>
      <c r="C1495">
        <v>0.12</v>
      </c>
      <c r="D1495" t="s">
        <v>1264</v>
      </c>
      <c r="E1495">
        <v>100120</v>
      </c>
      <c r="F1495">
        <v>19403</v>
      </c>
      <c r="G1495" t="str">
        <f t="shared" si="131"/>
        <v>19403</v>
      </c>
      <c r="H1495" t="s">
        <v>422</v>
      </c>
      <c r="I1495" t="s">
        <v>1265</v>
      </c>
      <c r="J1495" t="s">
        <v>1276</v>
      </c>
      <c r="K1495" t="s">
        <v>1277</v>
      </c>
      <c r="L1495" t="s">
        <v>1308</v>
      </c>
      <c r="M1495" t="s">
        <v>1389</v>
      </c>
      <c r="N1495">
        <v>1</v>
      </c>
      <c r="O1495" t="str">
        <f t="shared" si="134"/>
        <v>25</v>
      </c>
      <c r="Q1495">
        <v>25</v>
      </c>
      <c r="R1495" t="s">
        <v>1269</v>
      </c>
      <c r="S1495">
        <v>0.12</v>
      </c>
      <c r="T1495">
        <v>0.21870000000000001</v>
      </c>
      <c r="U1495">
        <f t="shared" si="135"/>
        <v>0</v>
      </c>
      <c r="V1495" t="str">
        <f t="shared" si="132"/>
        <v>Elementary Pupil Management</v>
      </c>
      <c r="W1495" t="str">
        <f t="shared" si="133"/>
        <v>Pupil Management</v>
      </c>
    </row>
    <row r="1496" spans="1:23" x14ac:dyDescent="0.25">
      <c r="A1496">
        <v>19403</v>
      </c>
      <c r="B1496" t="s">
        <v>1383</v>
      </c>
      <c r="C1496">
        <v>0.151</v>
      </c>
      <c r="D1496" t="s">
        <v>1264</v>
      </c>
      <c r="E1496">
        <v>100120</v>
      </c>
      <c r="F1496">
        <v>19403</v>
      </c>
      <c r="G1496" t="str">
        <f t="shared" si="131"/>
        <v>19403</v>
      </c>
      <c r="H1496" t="s">
        <v>422</v>
      </c>
      <c r="I1496" t="s">
        <v>1265</v>
      </c>
      <c r="J1496" t="s">
        <v>1271</v>
      </c>
      <c r="K1496" t="s">
        <v>1272</v>
      </c>
      <c r="L1496" t="s">
        <v>1383</v>
      </c>
      <c r="M1496" t="s">
        <v>1409</v>
      </c>
      <c r="N1496">
        <v>21</v>
      </c>
      <c r="O1496" t="str">
        <f t="shared" si="134"/>
        <v>25</v>
      </c>
      <c r="Q1496">
        <v>25</v>
      </c>
      <c r="R1496" t="s">
        <v>1269</v>
      </c>
      <c r="S1496">
        <v>0.151</v>
      </c>
      <c r="T1496">
        <v>0.21870000000000001</v>
      </c>
      <c r="U1496">
        <f t="shared" si="135"/>
        <v>3.3000000000000002E-2</v>
      </c>
      <c r="V1496" t="str">
        <f t="shared" si="132"/>
        <v>High Pupil Management</v>
      </c>
      <c r="W1496" t="str">
        <f t="shared" si="133"/>
        <v>Pupil Management</v>
      </c>
    </row>
    <row r="1497" spans="1:23" x14ac:dyDescent="0.25">
      <c r="A1497">
        <v>19403</v>
      </c>
      <c r="B1497" t="s">
        <v>1299</v>
      </c>
      <c r="C1497">
        <v>0.58399999999999996</v>
      </c>
      <c r="D1497" t="s">
        <v>1264</v>
      </c>
      <c r="E1497">
        <v>100120</v>
      </c>
      <c r="F1497">
        <v>19403</v>
      </c>
      <c r="G1497" t="str">
        <f t="shared" si="131"/>
        <v>19403</v>
      </c>
      <c r="H1497" t="s">
        <v>422</v>
      </c>
      <c r="I1497" t="s">
        <v>1265</v>
      </c>
      <c r="J1497" t="s">
        <v>1271</v>
      </c>
      <c r="K1497" t="s">
        <v>1272</v>
      </c>
      <c r="L1497" t="s">
        <v>1299</v>
      </c>
      <c r="M1497" t="s">
        <v>1300</v>
      </c>
      <c r="N1497">
        <v>1</v>
      </c>
      <c r="O1497" t="str">
        <f t="shared" si="134"/>
        <v>25</v>
      </c>
      <c r="Q1497">
        <v>25</v>
      </c>
      <c r="R1497" t="s">
        <v>1269</v>
      </c>
      <c r="S1497">
        <v>0.58399999999999996</v>
      </c>
      <c r="T1497">
        <v>0.21870000000000001</v>
      </c>
      <c r="U1497">
        <f t="shared" si="135"/>
        <v>0</v>
      </c>
      <c r="V1497" t="str">
        <f t="shared" si="132"/>
        <v>High Pupil Management</v>
      </c>
      <c r="W1497" t="str">
        <f t="shared" si="133"/>
        <v>Pupil Management</v>
      </c>
    </row>
    <row r="1498" spans="1:23" x14ac:dyDescent="0.25">
      <c r="A1498">
        <v>19403</v>
      </c>
      <c r="B1498" t="s">
        <v>1324</v>
      </c>
      <c r="C1498">
        <v>0.50900000000000001</v>
      </c>
      <c r="D1498" t="s">
        <v>1264</v>
      </c>
      <c r="E1498">
        <v>100120</v>
      </c>
      <c r="F1498">
        <v>19403</v>
      </c>
      <c r="G1498" t="str">
        <f t="shared" si="131"/>
        <v>19403</v>
      </c>
      <c r="H1498" t="s">
        <v>422</v>
      </c>
      <c r="I1498" t="s">
        <v>1265</v>
      </c>
      <c r="J1498" t="s">
        <v>1271</v>
      </c>
      <c r="K1498" t="s">
        <v>1272</v>
      </c>
      <c r="L1498" t="s">
        <v>1324</v>
      </c>
      <c r="M1498" t="s">
        <v>1325</v>
      </c>
      <c r="N1498">
        <v>21</v>
      </c>
      <c r="O1498" t="str">
        <f t="shared" si="134"/>
        <v>26</v>
      </c>
      <c r="Q1498">
        <v>26</v>
      </c>
      <c r="R1498" t="s">
        <v>1269</v>
      </c>
      <c r="S1498">
        <v>0.50900000000000001</v>
      </c>
      <c r="T1498">
        <v>0.21870000000000001</v>
      </c>
      <c r="U1498">
        <f t="shared" si="135"/>
        <v>0.111</v>
      </c>
      <c r="V1498" t="str">
        <f t="shared" si="132"/>
        <v>High Health/
Related Services</v>
      </c>
      <c r="W1498" t="str">
        <f t="shared" si="133"/>
        <v>Health/
Related Services</v>
      </c>
    </row>
    <row r="1499" spans="1:23" x14ac:dyDescent="0.25">
      <c r="A1499">
        <v>19403</v>
      </c>
      <c r="B1499" t="s">
        <v>1275</v>
      </c>
      <c r="C1499">
        <v>0.57999999999999996</v>
      </c>
      <c r="D1499" t="s">
        <v>1264</v>
      </c>
      <c r="E1499">
        <v>100120</v>
      </c>
      <c r="F1499">
        <v>19403</v>
      </c>
      <c r="G1499" t="str">
        <f t="shared" si="131"/>
        <v>19403</v>
      </c>
      <c r="H1499" t="s">
        <v>422</v>
      </c>
      <c r="I1499" t="s">
        <v>1265</v>
      </c>
      <c r="J1499" t="s">
        <v>1276</v>
      </c>
      <c r="K1499" t="s">
        <v>1277</v>
      </c>
      <c r="L1499" t="s">
        <v>1275</v>
      </c>
      <c r="M1499" t="s">
        <v>1278</v>
      </c>
      <c r="N1499">
        <v>1</v>
      </c>
      <c r="O1499" t="str">
        <f t="shared" si="134"/>
        <v>42</v>
      </c>
      <c r="P1499">
        <v>42</v>
      </c>
      <c r="R1499" t="s">
        <v>1269</v>
      </c>
      <c r="S1499">
        <v>0.57999999999999996</v>
      </c>
      <c r="T1499">
        <v>0.21870000000000001</v>
      </c>
      <c r="U1499">
        <f t="shared" si="135"/>
        <v>0</v>
      </c>
      <c r="V1499" t="str">
        <f t="shared" si="132"/>
        <v>Elementary Counselor</v>
      </c>
      <c r="W1499" t="str">
        <f t="shared" si="133"/>
        <v>Counselor</v>
      </c>
    </row>
    <row r="1500" spans="1:23" x14ac:dyDescent="0.25">
      <c r="A1500">
        <v>19403</v>
      </c>
      <c r="B1500" t="s">
        <v>1270</v>
      </c>
      <c r="C1500">
        <v>1</v>
      </c>
      <c r="D1500" t="s">
        <v>1264</v>
      </c>
      <c r="E1500">
        <v>100120</v>
      </c>
      <c r="F1500">
        <v>19403</v>
      </c>
      <c r="G1500" t="str">
        <f t="shared" si="131"/>
        <v>19403</v>
      </c>
      <c r="H1500" t="s">
        <v>422</v>
      </c>
      <c r="I1500" t="s">
        <v>1265</v>
      </c>
      <c r="J1500" t="s">
        <v>1271</v>
      </c>
      <c r="K1500" t="s">
        <v>1272</v>
      </c>
      <c r="L1500" t="s">
        <v>1270</v>
      </c>
      <c r="M1500" t="s">
        <v>1273</v>
      </c>
      <c r="N1500">
        <v>1</v>
      </c>
      <c r="O1500" t="str">
        <f t="shared" si="134"/>
        <v>42</v>
      </c>
      <c r="P1500">
        <v>42</v>
      </c>
      <c r="R1500" t="s">
        <v>1269</v>
      </c>
      <c r="S1500">
        <v>1</v>
      </c>
      <c r="T1500">
        <v>0.21870000000000001</v>
      </c>
      <c r="U1500">
        <f t="shared" si="135"/>
        <v>0</v>
      </c>
      <c r="V1500" t="str">
        <f t="shared" si="132"/>
        <v>High Counselor</v>
      </c>
      <c r="W1500" t="str">
        <f t="shared" si="133"/>
        <v>Counselor</v>
      </c>
    </row>
    <row r="1501" spans="1:23" x14ac:dyDescent="0.25">
      <c r="A1501" t="s">
        <v>126</v>
      </c>
      <c r="B1501" t="s">
        <v>1348</v>
      </c>
      <c r="C1501">
        <v>7.0000000000000007E-2</v>
      </c>
      <c r="F1501" t="s">
        <v>126</v>
      </c>
      <c r="G1501" t="str">
        <f t="shared" si="131"/>
        <v>19403</v>
      </c>
      <c r="H1501" t="s">
        <v>422</v>
      </c>
      <c r="I1501" t="s">
        <v>1265</v>
      </c>
      <c r="J1501" t="s">
        <v>1641</v>
      </c>
      <c r="K1501" t="s">
        <v>1277</v>
      </c>
      <c r="L1501" t="s">
        <v>1348</v>
      </c>
      <c r="M1501" t="s">
        <v>1645</v>
      </c>
      <c r="N1501">
        <v>9</v>
      </c>
      <c r="O1501" t="str">
        <f t="shared" si="134"/>
        <v>42</v>
      </c>
      <c r="P1501">
        <v>42</v>
      </c>
      <c r="Q1501">
        <v>24</v>
      </c>
      <c r="S1501">
        <v>7.0000000000000007E-2</v>
      </c>
      <c r="T1501">
        <v>0.21870000000000001</v>
      </c>
      <c r="U1501">
        <f t="shared" si="135"/>
        <v>0</v>
      </c>
      <c r="V1501" t="str">
        <f t="shared" si="132"/>
        <v>TK Counselor</v>
      </c>
      <c r="W1501" t="str">
        <f t="shared" si="133"/>
        <v>Counselor</v>
      </c>
    </row>
    <row r="1502" spans="1:23" x14ac:dyDescent="0.25">
      <c r="A1502" t="s">
        <v>126</v>
      </c>
      <c r="B1502" t="s">
        <v>1474</v>
      </c>
      <c r="C1502">
        <v>0.151</v>
      </c>
      <c r="F1502" t="s">
        <v>126</v>
      </c>
      <c r="G1502" t="str">
        <f t="shared" si="131"/>
        <v>19403</v>
      </c>
      <c r="H1502" t="s">
        <v>422</v>
      </c>
      <c r="I1502" t="s">
        <v>1265</v>
      </c>
      <c r="J1502" t="s">
        <v>1641</v>
      </c>
      <c r="K1502" t="s">
        <v>1277</v>
      </c>
      <c r="L1502" t="s">
        <v>1474</v>
      </c>
      <c r="M1502" t="s">
        <v>1642</v>
      </c>
      <c r="N1502">
        <v>9</v>
      </c>
      <c r="O1502" t="str">
        <f t="shared" si="134"/>
        <v>25</v>
      </c>
      <c r="P1502">
        <v>91</v>
      </c>
      <c r="Q1502">
        <v>25</v>
      </c>
      <c r="S1502">
        <v>0.151</v>
      </c>
      <c r="T1502">
        <v>0.21870000000000001</v>
      </c>
      <c r="U1502">
        <f t="shared" si="135"/>
        <v>0</v>
      </c>
      <c r="V1502" t="str">
        <f t="shared" si="132"/>
        <v>TK Pupil Management</v>
      </c>
      <c r="W1502" t="str">
        <f t="shared" si="133"/>
        <v>Pupil Management</v>
      </c>
    </row>
    <row r="1503" spans="1:23" x14ac:dyDescent="0.25">
      <c r="A1503">
        <v>19404</v>
      </c>
      <c r="B1503" t="s">
        <v>1311</v>
      </c>
      <c r="C1503">
        <v>1.3</v>
      </c>
      <c r="D1503" t="s">
        <v>1264</v>
      </c>
      <c r="E1503">
        <v>100046</v>
      </c>
      <c r="F1503">
        <v>19404</v>
      </c>
      <c r="G1503" t="str">
        <f t="shared" si="131"/>
        <v>19404</v>
      </c>
      <c r="H1503" t="s">
        <v>423</v>
      </c>
      <c r="I1503" t="s">
        <v>1265</v>
      </c>
      <c r="J1503" t="s">
        <v>1276</v>
      </c>
      <c r="K1503" t="s">
        <v>1277</v>
      </c>
      <c r="L1503" t="s">
        <v>1311</v>
      </c>
      <c r="M1503" t="s">
        <v>1327</v>
      </c>
      <c r="N1503">
        <v>21</v>
      </c>
      <c r="O1503" t="str">
        <f t="shared" si="134"/>
        <v>26</v>
      </c>
      <c r="Q1503">
        <v>26</v>
      </c>
      <c r="R1503" t="s">
        <v>1269</v>
      </c>
      <c r="S1503">
        <v>1.3</v>
      </c>
      <c r="T1503">
        <v>0.17499999999999999</v>
      </c>
      <c r="U1503">
        <f t="shared" si="135"/>
        <v>0.22800000000000001</v>
      </c>
      <c r="V1503" t="str">
        <f t="shared" si="132"/>
        <v>Elementary Health/
Related Services</v>
      </c>
      <c r="W1503" t="str">
        <f t="shared" si="133"/>
        <v>Health/
Related Services</v>
      </c>
    </row>
    <row r="1504" spans="1:23" x14ac:dyDescent="0.25">
      <c r="A1504">
        <v>19404</v>
      </c>
      <c r="B1504" t="s">
        <v>1275</v>
      </c>
      <c r="C1504">
        <v>1</v>
      </c>
      <c r="D1504" t="s">
        <v>1264</v>
      </c>
      <c r="E1504">
        <v>100046</v>
      </c>
      <c r="F1504">
        <v>19404</v>
      </c>
      <c r="G1504" t="str">
        <f t="shared" si="131"/>
        <v>19404</v>
      </c>
      <c r="H1504" t="s">
        <v>423</v>
      </c>
      <c r="I1504" t="s">
        <v>1265</v>
      </c>
      <c r="J1504" t="s">
        <v>1276</v>
      </c>
      <c r="K1504" t="s">
        <v>1277</v>
      </c>
      <c r="L1504" t="s">
        <v>1275</v>
      </c>
      <c r="M1504" t="s">
        <v>1278</v>
      </c>
      <c r="N1504">
        <v>1</v>
      </c>
      <c r="O1504" t="str">
        <f t="shared" si="134"/>
        <v>42</v>
      </c>
      <c r="P1504">
        <v>42</v>
      </c>
      <c r="R1504" t="s">
        <v>1269</v>
      </c>
      <c r="S1504">
        <v>1</v>
      </c>
      <c r="T1504">
        <v>0.17499999999999999</v>
      </c>
      <c r="U1504">
        <f t="shared" si="135"/>
        <v>0</v>
      </c>
      <c r="V1504" t="str">
        <f t="shared" si="132"/>
        <v>Elementary Counselor</v>
      </c>
      <c r="W1504" t="str">
        <f t="shared" si="133"/>
        <v>Counselor</v>
      </c>
    </row>
    <row r="1505" spans="1:23" x14ac:dyDescent="0.25">
      <c r="A1505">
        <v>19404</v>
      </c>
      <c r="B1505" t="s">
        <v>1263</v>
      </c>
      <c r="C1505">
        <v>1</v>
      </c>
      <c r="D1505" t="s">
        <v>1264</v>
      </c>
      <c r="E1505">
        <v>100046</v>
      </c>
      <c r="F1505">
        <v>19404</v>
      </c>
      <c r="G1505" t="str">
        <f t="shared" si="131"/>
        <v>19404</v>
      </c>
      <c r="H1505" t="s">
        <v>423</v>
      </c>
      <c r="I1505" t="s">
        <v>1265</v>
      </c>
      <c r="J1505" t="s">
        <v>1266</v>
      </c>
      <c r="K1505" t="s">
        <v>1267</v>
      </c>
      <c r="L1505" t="s">
        <v>1263</v>
      </c>
      <c r="M1505" t="s">
        <v>1268</v>
      </c>
      <c r="N1505">
        <v>1</v>
      </c>
      <c r="O1505" t="str">
        <f t="shared" si="134"/>
        <v>42</v>
      </c>
      <c r="P1505">
        <v>42</v>
      </c>
      <c r="R1505" t="s">
        <v>1269</v>
      </c>
      <c r="S1505">
        <v>1</v>
      </c>
      <c r="T1505">
        <v>0.17499999999999999</v>
      </c>
      <c r="U1505">
        <f t="shared" si="135"/>
        <v>0</v>
      </c>
      <c r="V1505" t="str">
        <f t="shared" si="132"/>
        <v>Middle Counselor</v>
      </c>
      <c r="W1505" t="str">
        <f t="shared" si="133"/>
        <v>Counselor</v>
      </c>
    </row>
    <row r="1506" spans="1:23" x14ac:dyDescent="0.25">
      <c r="A1506">
        <v>19404</v>
      </c>
      <c r="B1506" t="s">
        <v>1359</v>
      </c>
      <c r="C1506">
        <v>0.95</v>
      </c>
      <c r="D1506" t="s">
        <v>1264</v>
      </c>
      <c r="E1506">
        <v>100046</v>
      </c>
      <c r="F1506">
        <v>19404</v>
      </c>
      <c r="G1506" t="str">
        <f t="shared" si="131"/>
        <v>19404</v>
      </c>
      <c r="H1506" t="s">
        <v>423</v>
      </c>
      <c r="I1506" t="s">
        <v>1265</v>
      </c>
      <c r="J1506" t="s">
        <v>1271</v>
      </c>
      <c r="K1506" t="s">
        <v>1272</v>
      </c>
      <c r="L1506" t="s">
        <v>1359</v>
      </c>
      <c r="M1506" t="s">
        <v>1360</v>
      </c>
      <c r="N1506">
        <v>1</v>
      </c>
      <c r="O1506" t="str">
        <f t="shared" si="134"/>
        <v>44</v>
      </c>
      <c r="P1506">
        <v>44</v>
      </c>
      <c r="R1506" t="s">
        <v>1269</v>
      </c>
      <c r="S1506">
        <v>0.95</v>
      </c>
      <c r="T1506">
        <v>0.17499999999999999</v>
      </c>
      <c r="U1506">
        <f t="shared" si="135"/>
        <v>0</v>
      </c>
      <c r="V1506" t="str">
        <f t="shared" si="132"/>
        <v>High Social Worker</v>
      </c>
      <c r="W1506" t="str">
        <f t="shared" si="133"/>
        <v>Social Worker</v>
      </c>
    </row>
    <row r="1507" spans="1:23" x14ac:dyDescent="0.25">
      <c r="A1507">
        <v>19404</v>
      </c>
      <c r="B1507" t="s">
        <v>1298</v>
      </c>
      <c r="C1507">
        <v>0.46500000000000002</v>
      </c>
      <c r="D1507" t="s">
        <v>1264</v>
      </c>
      <c r="E1507">
        <v>100046</v>
      </c>
      <c r="F1507">
        <v>19404</v>
      </c>
      <c r="G1507" t="str">
        <f t="shared" si="131"/>
        <v>19404</v>
      </c>
      <c r="H1507" t="s">
        <v>423</v>
      </c>
      <c r="I1507" t="s">
        <v>1265</v>
      </c>
      <c r="J1507" t="s">
        <v>1276</v>
      </c>
      <c r="K1507" t="s">
        <v>1277</v>
      </c>
      <c r="L1507" t="s">
        <v>1298</v>
      </c>
      <c r="M1507" t="s">
        <v>1349</v>
      </c>
      <c r="N1507">
        <v>21</v>
      </c>
      <c r="O1507" t="str">
        <f t="shared" si="134"/>
        <v>46</v>
      </c>
      <c r="P1507">
        <v>46</v>
      </c>
      <c r="R1507" t="s">
        <v>1269</v>
      </c>
      <c r="S1507">
        <v>0.46500000000000002</v>
      </c>
      <c r="T1507">
        <v>0.17499999999999999</v>
      </c>
      <c r="U1507">
        <f t="shared" si="135"/>
        <v>8.1000000000000003E-2</v>
      </c>
      <c r="V1507" t="str">
        <f t="shared" si="132"/>
        <v>Elementary Psychologist</v>
      </c>
      <c r="W1507" t="str">
        <f t="shared" si="133"/>
        <v>Psychologist</v>
      </c>
    </row>
    <row r="1508" spans="1:23" x14ac:dyDescent="0.25">
      <c r="A1508">
        <v>19404</v>
      </c>
      <c r="B1508" t="s">
        <v>1333</v>
      </c>
      <c r="C1508">
        <v>0.104</v>
      </c>
      <c r="D1508" t="s">
        <v>1264</v>
      </c>
      <c r="E1508">
        <v>100046</v>
      </c>
      <c r="F1508">
        <v>19404</v>
      </c>
      <c r="G1508" t="str">
        <f t="shared" si="131"/>
        <v>19404</v>
      </c>
      <c r="H1508" t="s">
        <v>423</v>
      </c>
      <c r="I1508" t="s">
        <v>1265</v>
      </c>
      <c r="J1508" t="s">
        <v>1276</v>
      </c>
      <c r="K1508" t="s">
        <v>1277</v>
      </c>
      <c r="L1508" t="s">
        <v>1333</v>
      </c>
      <c r="M1508" t="s">
        <v>1432</v>
      </c>
      <c r="N1508">
        <v>1</v>
      </c>
      <c r="O1508" t="str">
        <f t="shared" si="134"/>
        <v>46</v>
      </c>
      <c r="P1508">
        <v>46</v>
      </c>
      <c r="R1508" t="s">
        <v>1269</v>
      </c>
      <c r="S1508">
        <v>0.104</v>
      </c>
      <c r="T1508">
        <v>0.17499999999999999</v>
      </c>
      <c r="U1508">
        <f t="shared" si="135"/>
        <v>0</v>
      </c>
      <c r="V1508" t="str">
        <f t="shared" si="132"/>
        <v>Elementary Psychologist</v>
      </c>
      <c r="W1508" t="str">
        <f t="shared" si="133"/>
        <v>Psychologist</v>
      </c>
    </row>
    <row r="1509" spans="1:23" x14ac:dyDescent="0.25">
      <c r="A1509">
        <v>19404</v>
      </c>
      <c r="B1509" t="s">
        <v>1309</v>
      </c>
      <c r="C1509">
        <v>0.151</v>
      </c>
      <c r="D1509" t="s">
        <v>1264</v>
      </c>
      <c r="E1509">
        <v>100046</v>
      </c>
      <c r="F1509">
        <v>19404</v>
      </c>
      <c r="G1509" t="str">
        <f t="shared" si="131"/>
        <v>19404</v>
      </c>
      <c r="H1509" t="s">
        <v>423</v>
      </c>
      <c r="I1509" t="s">
        <v>1265</v>
      </c>
      <c r="J1509" t="s">
        <v>1271</v>
      </c>
      <c r="K1509" t="s">
        <v>1272</v>
      </c>
      <c r="L1509" t="s">
        <v>1309</v>
      </c>
      <c r="M1509" t="s">
        <v>1310</v>
      </c>
      <c r="N1509">
        <v>21</v>
      </c>
      <c r="O1509" t="str">
        <f t="shared" si="134"/>
        <v>46</v>
      </c>
      <c r="P1509">
        <v>46</v>
      </c>
      <c r="R1509" t="s">
        <v>1269</v>
      </c>
      <c r="S1509">
        <v>0.151</v>
      </c>
      <c r="T1509">
        <v>0.17499999999999999</v>
      </c>
      <c r="U1509">
        <f t="shared" si="135"/>
        <v>2.5999999999999999E-2</v>
      </c>
      <c r="V1509" t="str">
        <f t="shared" si="132"/>
        <v>High Psychologist</v>
      </c>
      <c r="W1509" t="str">
        <f t="shared" si="133"/>
        <v>Psychologist</v>
      </c>
    </row>
    <row r="1510" spans="1:23" x14ac:dyDescent="0.25">
      <c r="A1510">
        <v>19404</v>
      </c>
      <c r="B1510" t="s">
        <v>1396</v>
      </c>
      <c r="C1510">
        <v>5.1999999999999998E-2</v>
      </c>
      <c r="D1510" t="s">
        <v>1264</v>
      </c>
      <c r="E1510">
        <v>100046</v>
      </c>
      <c r="F1510">
        <v>19404</v>
      </c>
      <c r="G1510" t="str">
        <f t="shared" si="131"/>
        <v>19404</v>
      </c>
      <c r="H1510" t="s">
        <v>423</v>
      </c>
      <c r="I1510" t="s">
        <v>1265</v>
      </c>
      <c r="J1510" t="s">
        <v>1271</v>
      </c>
      <c r="K1510" t="s">
        <v>1272</v>
      </c>
      <c r="L1510" t="s">
        <v>1396</v>
      </c>
      <c r="M1510" t="s">
        <v>1431</v>
      </c>
      <c r="N1510">
        <v>1</v>
      </c>
      <c r="O1510" t="str">
        <f t="shared" si="134"/>
        <v>46</v>
      </c>
      <c r="P1510">
        <v>46</v>
      </c>
      <c r="R1510" t="s">
        <v>1269</v>
      </c>
      <c r="S1510">
        <v>5.1999999999999998E-2</v>
      </c>
      <c r="T1510">
        <v>0.17499999999999999</v>
      </c>
      <c r="U1510">
        <f t="shared" si="135"/>
        <v>0</v>
      </c>
      <c r="V1510" t="str">
        <f t="shared" si="132"/>
        <v>High Psychologist</v>
      </c>
      <c r="W1510" t="str">
        <f t="shared" si="133"/>
        <v>Psychologist</v>
      </c>
    </row>
    <row r="1511" spans="1:23" x14ac:dyDescent="0.25">
      <c r="A1511">
        <v>19404</v>
      </c>
      <c r="B1511" t="s">
        <v>1371</v>
      </c>
      <c r="C1511">
        <v>5.1999999999999998E-2</v>
      </c>
      <c r="D1511" t="s">
        <v>1264</v>
      </c>
      <c r="E1511">
        <v>100046</v>
      </c>
      <c r="F1511">
        <v>19404</v>
      </c>
      <c r="G1511" t="str">
        <f t="shared" si="131"/>
        <v>19404</v>
      </c>
      <c r="H1511" t="s">
        <v>423</v>
      </c>
      <c r="I1511" t="s">
        <v>1265</v>
      </c>
      <c r="J1511" t="s">
        <v>1266</v>
      </c>
      <c r="K1511" t="s">
        <v>1267</v>
      </c>
      <c r="L1511" t="s">
        <v>1371</v>
      </c>
      <c r="M1511" t="s">
        <v>1430</v>
      </c>
      <c r="N1511">
        <v>1</v>
      </c>
      <c r="O1511" t="str">
        <f t="shared" si="134"/>
        <v>46</v>
      </c>
      <c r="P1511">
        <v>46</v>
      </c>
      <c r="R1511" t="s">
        <v>1269</v>
      </c>
      <c r="S1511">
        <v>5.1999999999999998E-2</v>
      </c>
      <c r="T1511">
        <v>0.17499999999999999</v>
      </c>
      <c r="U1511">
        <f t="shared" si="135"/>
        <v>0</v>
      </c>
      <c r="V1511" t="str">
        <f t="shared" si="132"/>
        <v>Middle Psychologist</v>
      </c>
      <c r="W1511" t="str">
        <f t="shared" si="133"/>
        <v>Psychologist</v>
      </c>
    </row>
    <row r="1512" spans="1:23" x14ac:dyDescent="0.25">
      <c r="A1512">
        <v>20094</v>
      </c>
      <c r="B1512" t="s">
        <v>1308</v>
      </c>
      <c r="C1512">
        <v>1.7969999999999999</v>
      </c>
      <c r="D1512" t="s">
        <v>1264</v>
      </c>
      <c r="E1512">
        <v>100301</v>
      </c>
      <c r="F1512">
        <v>20094</v>
      </c>
      <c r="G1512" t="str">
        <f t="shared" si="131"/>
        <v>20094</v>
      </c>
      <c r="H1512" t="s">
        <v>424</v>
      </c>
      <c r="I1512" t="s">
        <v>1265</v>
      </c>
      <c r="J1512" t="s">
        <v>1276</v>
      </c>
      <c r="K1512" t="s">
        <v>1277</v>
      </c>
      <c r="L1512" t="s">
        <v>1308</v>
      </c>
      <c r="M1512" t="s">
        <v>1389</v>
      </c>
      <c r="N1512">
        <v>1</v>
      </c>
      <c r="O1512" t="str">
        <f t="shared" si="134"/>
        <v>25</v>
      </c>
      <c r="Q1512">
        <v>25</v>
      </c>
      <c r="R1512" t="s">
        <v>1269</v>
      </c>
      <c r="S1512">
        <v>1.7969999999999999</v>
      </c>
      <c r="T1512">
        <v>0.1913</v>
      </c>
      <c r="U1512">
        <f t="shared" si="135"/>
        <v>0</v>
      </c>
      <c r="V1512" t="str">
        <f t="shared" si="132"/>
        <v>Elementary Pupil Management</v>
      </c>
      <c r="W1512" t="str">
        <f t="shared" si="133"/>
        <v>Pupil Management</v>
      </c>
    </row>
    <row r="1513" spans="1:23" x14ac:dyDescent="0.25">
      <c r="A1513">
        <v>20094</v>
      </c>
      <c r="B1513" t="s">
        <v>1275</v>
      </c>
      <c r="C1513">
        <v>0.312</v>
      </c>
      <c r="D1513" t="s">
        <v>1264</v>
      </c>
      <c r="E1513">
        <v>100301</v>
      </c>
      <c r="F1513">
        <v>20094</v>
      </c>
      <c r="G1513" t="str">
        <f t="shared" si="131"/>
        <v>20094</v>
      </c>
      <c r="H1513" t="s">
        <v>424</v>
      </c>
      <c r="I1513" t="s">
        <v>1265</v>
      </c>
      <c r="J1513" t="s">
        <v>1276</v>
      </c>
      <c r="K1513" t="s">
        <v>1277</v>
      </c>
      <c r="L1513" t="s">
        <v>1275</v>
      </c>
      <c r="M1513" t="s">
        <v>1278</v>
      </c>
      <c r="N1513">
        <v>1</v>
      </c>
      <c r="O1513" t="str">
        <f t="shared" si="134"/>
        <v>42</v>
      </c>
      <c r="P1513">
        <v>42</v>
      </c>
      <c r="R1513" t="s">
        <v>1269</v>
      </c>
      <c r="S1513">
        <v>0.312</v>
      </c>
      <c r="T1513">
        <v>0.1913</v>
      </c>
      <c r="U1513">
        <f t="shared" si="135"/>
        <v>0</v>
      </c>
      <c r="V1513" t="str">
        <f t="shared" si="132"/>
        <v>Elementary Counselor</v>
      </c>
      <c r="W1513" t="str">
        <f t="shared" si="133"/>
        <v>Counselor</v>
      </c>
    </row>
    <row r="1514" spans="1:23" x14ac:dyDescent="0.25">
      <c r="A1514">
        <v>20094</v>
      </c>
      <c r="B1514" t="s">
        <v>1270</v>
      </c>
      <c r="C1514">
        <v>0.156</v>
      </c>
      <c r="D1514" t="s">
        <v>1264</v>
      </c>
      <c r="E1514">
        <v>100301</v>
      </c>
      <c r="F1514">
        <v>20094</v>
      </c>
      <c r="G1514" t="str">
        <f t="shared" si="131"/>
        <v>20094</v>
      </c>
      <c r="H1514" t="s">
        <v>424</v>
      </c>
      <c r="I1514" t="s">
        <v>1265</v>
      </c>
      <c r="J1514" t="s">
        <v>1271</v>
      </c>
      <c r="K1514" t="s">
        <v>1272</v>
      </c>
      <c r="L1514" t="s">
        <v>1270</v>
      </c>
      <c r="M1514" t="s">
        <v>1273</v>
      </c>
      <c r="N1514">
        <v>1</v>
      </c>
      <c r="O1514" t="str">
        <f t="shared" si="134"/>
        <v>42</v>
      </c>
      <c r="P1514">
        <v>42</v>
      </c>
      <c r="R1514" t="s">
        <v>1269</v>
      </c>
      <c r="S1514">
        <v>0.156</v>
      </c>
      <c r="T1514">
        <v>0.1913</v>
      </c>
      <c r="U1514">
        <f t="shared" si="135"/>
        <v>0</v>
      </c>
      <c r="V1514" t="str">
        <f t="shared" si="132"/>
        <v>High Counselor</v>
      </c>
      <c r="W1514" t="str">
        <f t="shared" si="133"/>
        <v>Counselor</v>
      </c>
    </row>
    <row r="1515" spans="1:23" x14ac:dyDescent="0.25">
      <c r="A1515">
        <v>20094</v>
      </c>
      <c r="B1515" t="s">
        <v>1263</v>
      </c>
      <c r="C1515">
        <v>0.156</v>
      </c>
      <c r="D1515" t="s">
        <v>1264</v>
      </c>
      <c r="E1515">
        <v>100301</v>
      </c>
      <c r="F1515">
        <v>20094</v>
      </c>
      <c r="G1515" t="str">
        <f t="shared" si="131"/>
        <v>20094</v>
      </c>
      <c r="H1515" t="s">
        <v>424</v>
      </c>
      <c r="I1515" t="s">
        <v>1265</v>
      </c>
      <c r="J1515" t="s">
        <v>1266</v>
      </c>
      <c r="K1515" t="s">
        <v>1267</v>
      </c>
      <c r="L1515" t="s">
        <v>1263</v>
      </c>
      <c r="M1515" t="s">
        <v>1268</v>
      </c>
      <c r="N1515">
        <v>1</v>
      </c>
      <c r="O1515" t="str">
        <f t="shared" si="134"/>
        <v>42</v>
      </c>
      <c r="P1515">
        <v>42</v>
      </c>
      <c r="R1515" t="s">
        <v>1269</v>
      </c>
      <c r="S1515">
        <v>0.156</v>
      </c>
      <c r="T1515">
        <v>0.1913</v>
      </c>
      <c r="U1515">
        <f t="shared" si="135"/>
        <v>0</v>
      </c>
      <c r="V1515" t="str">
        <f t="shared" si="132"/>
        <v>Middle Counselor</v>
      </c>
      <c r="W1515" t="str">
        <f t="shared" si="133"/>
        <v>Counselor</v>
      </c>
    </row>
    <row r="1516" spans="1:23" x14ac:dyDescent="0.25">
      <c r="A1516">
        <v>20215</v>
      </c>
      <c r="B1516" t="s">
        <v>1295</v>
      </c>
      <c r="C1516">
        <v>0.56000000000000005</v>
      </c>
      <c r="D1516" t="s">
        <v>1264</v>
      </c>
      <c r="E1516">
        <v>100037</v>
      </c>
      <c r="F1516">
        <v>20215</v>
      </c>
      <c r="G1516" t="str">
        <f t="shared" si="131"/>
        <v>20215</v>
      </c>
      <c r="H1516" t="s">
        <v>426</v>
      </c>
      <c r="I1516" t="s">
        <v>1265</v>
      </c>
      <c r="J1516" t="s">
        <v>1271</v>
      </c>
      <c r="K1516" t="s">
        <v>1272</v>
      </c>
      <c r="L1516" t="s">
        <v>1295</v>
      </c>
      <c r="M1516" t="s">
        <v>1296</v>
      </c>
      <c r="N1516">
        <v>1</v>
      </c>
      <c r="O1516" t="str">
        <f t="shared" si="134"/>
        <v>26</v>
      </c>
      <c r="Q1516">
        <v>26</v>
      </c>
      <c r="R1516" t="s">
        <v>1269</v>
      </c>
      <c r="S1516">
        <v>0.56000000000000005</v>
      </c>
      <c r="T1516">
        <v>0.1913</v>
      </c>
      <c r="U1516">
        <f t="shared" si="135"/>
        <v>0</v>
      </c>
      <c r="V1516" t="str">
        <f t="shared" si="132"/>
        <v>High Health/
Related Services</v>
      </c>
      <c r="W1516" t="str">
        <f t="shared" si="133"/>
        <v>Health/
Related Services</v>
      </c>
    </row>
    <row r="1517" spans="1:23" x14ac:dyDescent="0.25">
      <c r="A1517">
        <v>20400</v>
      </c>
      <c r="B1517" t="s">
        <v>1308</v>
      </c>
      <c r="C1517">
        <v>0.26500000000000001</v>
      </c>
      <c r="D1517" t="s">
        <v>1264</v>
      </c>
      <c r="E1517">
        <v>100272</v>
      </c>
      <c r="F1517">
        <v>20400</v>
      </c>
      <c r="G1517" t="str">
        <f t="shared" si="131"/>
        <v>20400</v>
      </c>
      <c r="H1517" t="s">
        <v>427</v>
      </c>
      <c r="I1517" t="s">
        <v>1265</v>
      </c>
      <c r="J1517" t="s">
        <v>1276</v>
      </c>
      <c r="K1517" t="s">
        <v>1277</v>
      </c>
      <c r="L1517" t="s">
        <v>1308</v>
      </c>
      <c r="M1517" t="s">
        <v>1389</v>
      </c>
      <c r="N1517">
        <v>1</v>
      </c>
      <c r="O1517" t="str">
        <f t="shared" si="134"/>
        <v>25</v>
      </c>
      <c r="Q1517">
        <v>25</v>
      </c>
      <c r="R1517" t="s">
        <v>1269</v>
      </c>
      <c r="S1517">
        <v>0.26500000000000001</v>
      </c>
      <c r="T1517">
        <v>0.1913</v>
      </c>
      <c r="U1517">
        <f t="shared" si="135"/>
        <v>0</v>
      </c>
      <c r="V1517" t="str">
        <f t="shared" si="132"/>
        <v>Elementary Pupil Management</v>
      </c>
      <c r="W1517" t="str">
        <f t="shared" si="133"/>
        <v>Pupil Management</v>
      </c>
    </row>
    <row r="1518" spans="1:23" x14ac:dyDescent="0.25">
      <c r="A1518">
        <v>20400</v>
      </c>
      <c r="B1518" t="s">
        <v>1270</v>
      </c>
      <c r="C1518">
        <v>0.5</v>
      </c>
      <c r="D1518" t="s">
        <v>1264</v>
      </c>
      <c r="E1518">
        <v>100272</v>
      </c>
      <c r="F1518">
        <v>20400</v>
      </c>
      <c r="G1518" t="str">
        <f t="shared" si="131"/>
        <v>20400</v>
      </c>
      <c r="H1518" t="s">
        <v>427</v>
      </c>
      <c r="I1518" t="s">
        <v>1265</v>
      </c>
      <c r="J1518" t="s">
        <v>1271</v>
      </c>
      <c r="K1518" t="s">
        <v>1272</v>
      </c>
      <c r="L1518" t="s">
        <v>1270</v>
      </c>
      <c r="M1518" t="s">
        <v>1273</v>
      </c>
      <c r="N1518">
        <v>1</v>
      </c>
      <c r="O1518" t="str">
        <f t="shared" si="134"/>
        <v>42</v>
      </c>
      <c r="P1518">
        <v>42</v>
      </c>
      <c r="R1518" t="s">
        <v>1269</v>
      </c>
      <c r="S1518">
        <v>0.5</v>
      </c>
      <c r="T1518">
        <v>0.1913</v>
      </c>
      <c r="U1518">
        <f t="shared" si="135"/>
        <v>0</v>
      </c>
      <c r="V1518" t="str">
        <f t="shared" si="132"/>
        <v>High Counselor</v>
      </c>
      <c r="W1518" t="str">
        <f t="shared" si="133"/>
        <v>Counselor</v>
      </c>
    </row>
    <row r="1519" spans="1:23" x14ac:dyDescent="0.25">
      <c r="A1519">
        <v>20401</v>
      </c>
      <c r="B1519" t="s">
        <v>1275</v>
      </c>
      <c r="C1519">
        <v>0.46899999999999997</v>
      </c>
      <c r="D1519" t="s">
        <v>1264</v>
      </c>
      <c r="E1519">
        <v>100093</v>
      </c>
      <c r="F1519">
        <v>20401</v>
      </c>
      <c r="G1519" t="str">
        <f t="shared" si="131"/>
        <v>20401</v>
      </c>
      <c r="H1519" t="s">
        <v>428</v>
      </c>
      <c r="I1519" t="s">
        <v>1265</v>
      </c>
      <c r="J1519" t="s">
        <v>1276</v>
      </c>
      <c r="K1519" t="s">
        <v>1277</v>
      </c>
      <c r="L1519" t="s">
        <v>1275</v>
      </c>
      <c r="M1519" t="s">
        <v>1278</v>
      </c>
      <c r="N1519">
        <v>1</v>
      </c>
      <c r="O1519" t="str">
        <f t="shared" si="134"/>
        <v>42</v>
      </c>
      <c r="P1519">
        <v>42</v>
      </c>
      <c r="R1519" t="s">
        <v>1269</v>
      </c>
      <c r="S1519">
        <v>0.46899999999999997</v>
      </c>
      <c r="T1519">
        <v>0.1913</v>
      </c>
      <c r="U1519">
        <f t="shared" si="135"/>
        <v>0</v>
      </c>
      <c r="V1519" t="str">
        <f t="shared" si="132"/>
        <v>Elementary Counselor</v>
      </c>
      <c r="W1519" t="str">
        <f t="shared" si="133"/>
        <v>Counselor</v>
      </c>
    </row>
    <row r="1520" spans="1:23" x14ac:dyDescent="0.25">
      <c r="A1520">
        <v>20401</v>
      </c>
      <c r="B1520" t="s">
        <v>1270</v>
      </c>
      <c r="C1520">
        <v>0.14000000000000001</v>
      </c>
      <c r="D1520" t="s">
        <v>1264</v>
      </c>
      <c r="E1520">
        <v>100093</v>
      </c>
      <c r="F1520">
        <v>20401</v>
      </c>
      <c r="G1520" t="str">
        <f t="shared" si="131"/>
        <v>20401</v>
      </c>
      <c r="H1520" t="s">
        <v>428</v>
      </c>
      <c r="I1520" t="s">
        <v>1265</v>
      </c>
      <c r="J1520" t="s">
        <v>1271</v>
      </c>
      <c r="K1520" t="s">
        <v>1272</v>
      </c>
      <c r="L1520" t="s">
        <v>1270</v>
      </c>
      <c r="M1520" t="s">
        <v>1273</v>
      </c>
      <c r="N1520">
        <v>1</v>
      </c>
      <c r="O1520" t="str">
        <f t="shared" si="134"/>
        <v>42</v>
      </c>
      <c r="P1520">
        <v>42</v>
      </c>
      <c r="R1520" t="s">
        <v>1269</v>
      </c>
      <c r="S1520">
        <v>0.14000000000000001</v>
      </c>
      <c r="T1520">
        <v>0.1913</v>
      </c>
      <c r="U1520">
        <f t="shared" si="135"/>
        <v>0</v>
      </c>
      <c r="V1520" t="str">
        <f t="shared" si="132"/>
        <v>High Counselor</v>
      </c>
      <c r="W1520" t="str">
        <f t="shared" si="133"/>
        <v>Counselor</v>
      </c>
    </row>
    <row r="1521" spans="1:23" x14ac:dyDescent="0.25">
      <c r="A1521">
        <v>20401</v>
      </c>
      <c r="B1521" t="s">
        <v>1263</v>
      </c>
      <c r="C1521">
        <v>0.11</v>
      </c>
      <c r="D1521" t="s">
        <v>1264</v>
      </c>
      <c r="E1521">
        <v>100093</v>
      </c>
      <c r="F1521">
        <v>20401</v>
      </c>
      <c r="G1521" t="str">
        <f t="shared" si="131"/>
        <v>20401</v>
      </c>
      <c r="H1521" t="s">
        <v>428</v>
      </c>
      <c r="I1521" t="s">
        <v>1265</v>
      </c>
      <c r="J1521" t="s">
        <v>1266</v>
      </c>
      <c r="K1521" t="s">
        <v>1267</v>
      </c>
      <c r="L1521" t="s">
        <v>1263</v>
      </c>
      <c r="M1521" t="s">
        <v>1268</v>
      </c>
      <c r="N1521">
        <v>1</v>
      </c>
      <c r="O1521" t="str">
        <f t="shared" si="134"/>
        <v>42</v>
      </c>
      <c r="P1521">
        <v>42</v>
      </c>
      <c r="R1521" t="s">
        <v>1269</v>
      </c>
      <c r="S1521">
        <v>0.11</v>
      </c>
      <c r="T1521">
        <v>0.1913</v>
      </c>
      <c r="U1521">
        <f t="shared" si="135"/>
        <v>0</v>
      </c>
      <c r="V1521" t="str">
        <f t="shared" si="132"/>
        <v>Middle Counselor</v>
      </c>
      <c r="W1521" t="str">
        <f t="shared" si="133"/>
        <v>Counselor</v>
      </c>
    </row>
    <row r="1522" spans="1:23" x14ac:dyDescent="0.25">
      <c r="A1522">
        <v>20402</v>
      </c>
      <c r="B1522" t="s">
        <v>1308</v>
      </c>
      <c r="C1522">
        <v>0.183</v>
      </c>
      <c r="D1522" t="s">
        <v>1264</v>
      </c>
      <c r="E1522">
        <v>100121</v>
      </c>
      <c r="F1522">
        <v>20402</v>
      </c>
      <c r="G1522" t="str">
        <f t="shared" si="131"/>
        <v>20402</v>
      </c>
      <c r="H1522" t="s">
        <v>429</v>
      </c>
      <c r="I1522" t="s">
        <v>1265</v>
      </c>
      <c r="J1522" t="s">
        <v>1276</v>
      </c>
      <c r="K1522" t="s">
        <v>1277</v>
      </c>
      <c r="L1522" t="s">
        <v>1308</v>
      </c>
      <c r="M1522" t="s">
        <v>1389</v>
      </c>
      <c r="N1522">
        <v>1</v>
      </c>
      <c r="O1522" t="str">
        <f t="shared" si="134"/>
        <v>25</v>
      </c>
      <c r="Q1522">
        <v>25</v>
      </c>
      <c r="R1522" t="s">
        <v>1269</v>
      </c>
      <c r="S1522">
        <v>0.183</v>
      </c>
      <c r="T1522">
        <v>0.1913</v>
      </c>
      <c r="U1522">
        <f t="shared" si="135"/>
        <v>0</v>
      </c>
      <c r="V1522" t="str">
        <f t="shared" si="132"/>
        <v>Elementary Pupil Management</v>
      </c>
      <c r="W1522" t="str">
        <f t="shared" si="133"/>
        <v>Pupil Management</v>
      </c>
    </row>
    <row r="1523" spans="1:23" x14ac:dyDescent="0.25">
      <c r="A1523">
        <v>20402</v>
      </c>
      <c r="B1523" t="s">
        <v>1275</v>
      </c>
      <c r="C1523">
        <v>0.25700000000000001</v>
      </c>
      <c r="D1523" t="s">
        <v>1264</v>
      </c>
      <c r="E1523">
        <v>100121</v>
      </c>
      <c r="F1523">
        <v>20402</v>
      </c>
      <c r="G1523" t="str">
        <f t="shared" si="131"/>
        <v>20402</v>
      </c>
      <c r="H1523" t="s">
        <v>429</v>
      </c>
      <c r="I1523" t="s">
        <v>1265</v>
      </c>
      <c r="J1523" t="s">
        <v>1276</v>
      </c>
      <c r="K1523" t="s">
        <v>1277</v>
      </c>
      <c r="L1523" t="s">
        <v>1275</v>
      </c>
      <c r="M1523" t="s">
        <v>1278</v>
      </c>
      <c r="N1523">
        <v>1</v>
      </c>
      <c r="O1523" t="str">
        <f t="shared" si="134"/>
        <v>42</v>
      </c>
      <c r="P1523">
        <v>42</v>
      </c>
      <c r="R1523" t="s">
        <v>1269</v>
      </c>
      <c r="S1523">
        <v>0.25700000000000001</v>
      </c>
      <c r="T1523">
        <v>0.1913</v>
      </c>
      <c r="U1523">
        <f t="shared" si="135"/>
        <v>0</v>
      </c>
      <c r="V1523" t="str">
        <f t="shared" si="132"/>
        <v>Elementary Counselor</v>
      </c>
      <c r="W1523" t="str">
        <f t="shared" si="133"/>
        <v>Counselor</v>
      </c>
    </row>
    <row r="1524" spans="1:23" x14ac:dyDescent="0.25">
      <c r="A1524">
        <v>20402</v>
      </c>
      <c r="B1524" t="s">
        <v>1270</v>
      </c>
      <c r="C1524">
        <v>0.14899999999999999</v>
      </c>
      <c r="D1524" t="s">
        <v>1264</v>
      </c>
      <c r="E1524">
        <v>100121</v>
      </c>
      <c r="F1524">
        <v>20402</v>
      </c>
      <c r="G1524" t="str">
        <f t="shared" si="131"/>
        <v>20402</v>
      </c>
      <c r="H1524" t="s">
        <v>429</v>
      </c>
      <c r="I1524" t="s">
        <v>1265</v>
      </c>
      <c r="J1524" t="s">
        <v>1271</v>
      </c>
      <c r="K1524" t="s">
        <v>1272</v>
      </c>
      <c r="L1524" t="s">
        <v>1270</v>
      </c>
      <c r="M1524" t="s">
        <v>1273</v>
      </c>
      <c r="N1524">
        <v>1</v>
      </c>
      <c r="O1524" t="str">
        <f t="shared" si="134"/>
        <v>42</v>
      </c>
      <c r="P1524">
        <v>42</v>
      </c>
      <c r="R1524" t="s">
        <v>1269</v>
      </c>
      <c r="S1524">
        <v>0.14899999999999999</v>
      </c>
      <c r="T1524">
        <v>0.1913</v>
      </c>
      <c r="U1524">
        <f t="shared" si="135"/>
        <v>0</v>
      </c>
      <c r="V1524" t="str">
        <f t="shared" si="132"/>
        <v>High Counselor</v>
      </c>
      <c r="W1524" t="str">
        <f t="shared" si="133"/>
        <v>Counselor</v>
      </c>
    </row>
    <row r="1525" spans="1:23" x14ac:dyDescent="0.25">
      <c r="A1525">
        <v>20402</v>
      </c>
      <c r="B1525" t="s">
        <v>1263</v>
      </c>
      <c r="C1525">
        <v>9.5000000000000001E-2</v>
      </c>
      <c r="D1525" t="s">
        <v>1264</v>
      </c>
      <c r="E1525">
        <v>100121</v>
      </c>
      <c r="F1525">
        <v>20402</v>
      </c>
      <c r="G1525" t="str">
        <f t="shared" si="131"/>
        <v>20402</v>
      </c>
      <c r="H1525" t="s">
        <v>429</v>
      </c>
      <c r="I1525" t="s">
        <v>1265</v>
      </c>
      <c r="J1525" t="s">
        <v>1266</v>
      </c>
      <c r="K1525" t="s">
        <v>1267</v>
      </c>
      <c r="L1525" t="s">
        <v>1263</v>
      </c>
      <c r="M1525" t="s">
        <v>1268</v>
      </c>
      <c r="N1525">
        <v>1</v>
      </c>
      <c r="O1525" t="str">
        <f t="shared" si="134"/>
        <v>42</v>
      </c>
      <c r="P1525">
        <v>42</v>
      </c>
      <c r="R1525" t="s">
        <v>1269</v>
      </c>
      <c r="S1525">
        <v>9.5000000000000001E-2</v>
      </c>
      <c r="T1525">
        <v>0.1913</v>
      </c>
      <c r="U1525">
        <f t="shared" si="135"/>
        <v>0</v>
      </c>
      <c r="V1525" t="str">
        <f t="shared" si="132"/>
        <v>Middle Counselor</v>
      </c>
      <c r="W1525" t="str">
        <f t="shared" si="133"/>
        <v>Counselor</v>
      </c>
    </row>
    <row r="1526" spans="1:23" x14ac:dyDescent="0.25">
      <c r="A1526">
        <v>20403</v>
      </c>
      <c r="B1526" t="s">
        <v>1295</v>
      </c>
      <c r="C1526">
        <v>7.3999999999999996E-2</v>
      </c>
      <c r="D1526" t="s">
        <v>1264</v>
      </c>
      <c r="E1526">
        <v>100224</v>
      </c>
      <c r="F1526">
        <v>20403</v>
      </c>
      <c r="G1526" t="str">
        <f t="shared" si="131"/>
        <v>20403</v>
      </c>
      <c r="H1526" t="s">
        <v>430</v>
      </c>
      <c r="I1526" t="s">
        <v>1265</v>
      </c>
      <c r="J1526" t="s">
        <v>1271</v>
      </c>
      <c r="K1526" t="s">
        <v>1272</v>
      </c>
      <c r="L1526" t="s">
        <v>1295</v>
      </c>
      <c r="M1526" t="s">
        <v>1296</v>
      </c>
      <c r="N1526">
        <v>1</v>
      </c>
      <c r="O1526" t="str">
        <f t="shared" si="134"/>
        <v>26</v>
      </c>
      <c r="Q1526">
        <v>26</v>
      </c>
      <c r="R1526" t="s">
        <v>1269</v>
      </c>
      <c r="S1526">
        <v>7.3999999999999996E-2</v>
      </c>
      <c r="T1526">
        <v>0.1913</v>
      </c>
      <c r="U1526">
        <f t="shared" si="135"/>
        <v>0</v>
      </c>
      <c r="V1526" t="str">
        <f t="shared" si="132"/>
        <v>High Health/
Related Services</v>
      </c>
      <c r="W1526" t="str">
        <f t="shared" si="133"/>
        <v>Health/
Related Services</v>
      </c>
    </row>
    <row r="1527" spans="1:23" x14ac:dyDescent="0.25">
      <c r="A1527">
        <v>20404</v>
      </c>
      <c r="B1527" t="s">
        <v>1315</v>
      </c>
      <c r="C1527">
        <v>0.64300000000000002</v>
      </c>
      <c r="D1527" t="s">
        <v>1264</v>
      </c>
      <c r="E1527">
        <v>100094</v>
      </c>
      <c r="F1527">
        <v>20404</v>
      </c>
      <c r="G1527" t="str">
        <f t="shared" si="131"/>
        <v>20404</v>
      </c>
      <c r="H1527" t="s">
        <v>431</v>
      </c>
      <c r="I1527" t="s">
        <v>1265</v>
      </c>
      <c r="J1527" t="s">
        <v>1276</v>
      </c>
      <c r="K1527" t="s">
        <v>1277</v>
      </c>
      <c r="L1527" t="s">
        <v>1315</v>
      </c>
      <c r="M1527" t="s">
        <v>1375</v>
      </c>
      <c r="N1527">
        <v>1</v>
      </c>
      <c r="O1527" t="str">
        <f t="shared" si="134"/>
        <v>26</v>
      </c>
      <c r="Q1527">
        <v>26</v>
      </c>
      <c r="R1527" t="s">
        <v>1269</v>
      </c>
      <c r="S1527">
        <v>0.64300000000000002</v>
      </c>
      <c r="T1527">
        <v>0.1913</v>
      </c>
      <c r="U1527">
        <f t="shared" si="135"/>
        <v>0</v>
      </c>
      <c r="V1527" t="str">
        <f t="shared" si="132"/>
        <v>Elementary Health/
Related Services</v>
      </c>
      <c r="W1527" t="str">
        <f t="shared" si="133"/>
        <v>Health/
Related Services</v>
      </c>
    </row>
    <row r="1528" spans="1:23" x14ac:dyDescent="0.25">
      <c r="A1528">
        <v>20404</v>
      </c>
      <c r="B1528" t="s">
        <v>1275</v>
      </c>
      <c r="C1528">
        <v>0.75</v>
      </c>
      <c r="D1528" t="s">
        <v>1264</v>
      </c>
      <c r="E1528">
        <v>100094</v>
      </c>
      <c r="F1528">
        <v>20404</v>
      </c>
      <c r="G1528" t="str">
        <f t="shared" si="131"/>
        <v>20404</v>
      </c>
      <c r="H1528" t="s">
        <v>431</v>
      </c>
      <c r="I1528" t="s">
        <v>1265</v>
      </c>
      <c r="J1528" t="s">
        <v>1276</v>
      </c>
      <c r="K1528" t="s">
        <v>1277</v>
      </c>
      <c r="L1528" t="s">
        <v>1275</v>
      </c>
      <c r="M1528" t="s">
        <v>1278</v>
      </c>
      <c r="N1528">
        <v>1</v>
      </c>
      <c r="O1528" t="str">
        <f t="shared" si="134"/>
        <v>42</v>
      </c>
      <c r="P1528">
        <v>42</v>
      </c>
      <c r="R1528" t="s">
        <v>1269</v>
      </c>
      <c r="S1528">
        <v>0.75</v>
      </c>
      <c r="T1528">
        <v>0.1913</v>
      </c>
      <c r="U1528">
        <f t="shared" si="135"/>
        <v>0</v>
      </c>
      <c r="V1528" t="str">
        <f t="shared" si="132"/>
        <v>Elementary Counselor</v>
      </c>
      <c r="W1528" t="str">
        <f t="shared" si="133"/>
        <v>Counselor</v>
      </c>
    </row>
    <row r="1529" spans="1:23" x14ac:dyDescent="0.25">
      <c r="A1529">
        <v>20404</v>
      </c>
      <c r="B1529" t="s">
        <v>1270</v>
      </c>
      <c r="C1529">
        <v>0.55000000000000004</v>
      </c>
      <c r="D1529" t="s">
        <v>1264</v>
      </c>
      <c r="E1529">
        <v>100094</v>
      </c>
      <c r="F1529">
        <v>20404</v>
      </c>
      <c r="G1529" t="str">
        <f t="shared" si="131"/>
        <v>20404</v>
      </c>
      <c r="H1529" t="s">
        <v>431</v>
      </c>
      <c r="I1529" t="s">
        <v>1265</v>
      </c>
      <c r="J1529" t="s">
        <v>1271</v>
      </c>
      <c r="K1529" t="s">
        <v>1272</v>
      </c>
      <c r="L1529" t="s">
        <v>1270</v>
      </c>
      <c r="M1529" t="s">
        <v>1273</v>
      </c>
      <c r="N1529">
        <v>1</v>
      </c>
      <c r="O1529" t="str">
        <f t="shared" si="134"/>
        <v>42</v>
      </c>
      <c r="P1529">
        <v>42</v>
      </c>
      <c r="R1529" t="s">
        <v>1269</v>
      </c>
      <c r="S1529">
        <v>0.55000000000000004</v>
      </c>
      <c r="T1529">
        <v>0.1913</v>
      </c>
      <c r="U1529">
        <f t="shared" si="135"/>
        <v>0</v>
      </c>
      <c r="V1529" t="str">
        <f t="shared" si="132"/>
        <v>High Counselor</v>
      </c>
      <c r="W1529" t="str">
        <f t="shared" si="133"/>
        <v>Counselor</v>
      </c>
    </row>
    <row r="1530" spans="1:23" x14ac:dyDescent="0.25">
      <c r="A1530">
        <v>20404</v>
      </c>
      <c r="B1530" t="s">
        <v>1263</v>
      </c>
      <c r="C1530">
        <v>1</v>
      </c>
      <c r="D1530" t="s">
        <v>1264</v>
      </c>
      <c r="E1530">
        <v>100094</v>
      </c>
      <c r="F1530">
        <v>20404</v>
      </c>
      <c r="G1530" t="str">
        <f t="shared" si="131"/>
        <v>20404</v>
      </c>
      <c r="H1530" t="s">
        <v>431</v>
      </c>
      <c r="I1530" t="s">
        <v>1265</v>
      </c>
      <c r="J1530" t="s">
        <v>1266</v>
      </c>
      <c r="K1530" t="s">
        <v>1267</v>
      </c>
      <c r="L1530" t="s">
        <v>1263</v>
      </c>
      <c r="M1530" t="s">
        <v>1268</v>
      </c>
      <c r="N1530">
        <v>1</v>
      </c>
      <c r="O1530" t="str">
        <f t="shared" si="134"/>
        <v>42</v>
      </c>
      <c r="P1530">
        <v>42</v>
      </c>
      <c r="R1530" t="s">
        <v>1269</v>
      </c>
      <c r="S1530">
        <v>1</v>
      </c>
      <c r="T1530">
        <v>0.1913</v>
      </c>
      <c r="U1530">
        <f t="shared" si="135"/>
        <v>0</v>
      </c>
      <c r="V1530" t="str">
        <f t="shared" si="132"/>
        <v>Middle Counselor</v>
      </c>
      <c r="W1530" t="str">
        <f t="shared" si="133"/>
        <v>Counselor</v>
      </c>
    </row>
    <row r="1531" spans="1:23" x14ac:dyDescent="0.25">
      <c r="A1531">
        <v>20404</v>
      </c>
      <c r="B1531" t="s">
        <v>1338</v>
      </c>
      <c r="C1531">
        <v>0.65</v>
      </c>
      <c r="D1531" t="s">
        <v>1264</v>
      </c>
      <c r="E1531">
        <v>100094</v>
      </c>
      <c r="F1531">
        <v>20404</v>
      </c>
      <c r="G1531" t="str">
        <f t="shared" si="131"/>
        <v>20404</v>
      </c>
      <c r="H1531" t="s">
        <v>431</v>
      </c>
      <c r="I1531" t="s">
        <v>1265</v>
      </c>
      <c r="J1531" t="s">
        <v>1266</v>
      </c>
      <c r="K1531" t="s">
        <v>1267</v>
      </c>
      <c r="L1531" t="s">
        <v>1338</v>
      </c>
      <c r="M1531" t="s">
        <v>1339</v>
      </c>
      <c r="N1531">
        <v>1</v>
      </c>
      <c r="O1531" t="str">
        <f t="shared" si="134"/>
        <v>47</v>
      </c>
      <c r="P1531">
        <v>47</v>
      </c>
      <c r="R1531" t="s">
        <v>1269</v>
      </c>
      <c r="S1531">
        <v>0.65</v>
      </c>
      <c r="T1531">
        <v>0.1913</v>
      </c>
      <c r="U1531">
        <f t="shared" si="135"/>
        <v>0</v>
      </c>
      <c r="V1531" t="str">
        <f t="shared" si="132"/>
        <v>Middle Nurse</v>
      </c>
      <c r="W1531" t="str">
        <f t="shared" si="133"/>
        <v>Nurse</v>
      </c>
    </row>
    <row r="1532" spans="1:23" x14ac:dyDescent="0.25">
      <c r="A1532">
        <v>20405</v>
      </c>
      <c r="B1532" t="s">
        <v>1297</v>
      </c>
      <c r="C1532">
        <v>0.79800000000000004</v>
      </c>
      <c r="D1532" t="s">
        <v>1264</v>
      </c>
      <c r="E1532">
        <v>100295</v>
      </c>
      <c r="F1532">
        <v>20405</v>
      </c>
      <c r="G1532" t="str">
        <f t="shared" si="131"/>
        <v>20405</v>
      </c>
      <c r="H1532" t="s">
        <v>432</v>
      </c>
      <c r="I1532" t="s">
        <v>1265</v>
      </c>
      <c r="J1532" t="s">
        <v>1276</v>
      </c>
      <c r="K1532" t="s">
        <v>1277</v>
      </c>
      <c r="L1532" t="s">
        <v>1297</v>
      </c>
      <c r="M1532" t="s">
        <v>1381</v>
      </c>
      <c r="N1532">
        <v>1</v>
      </c>
      <c r="O1532" t="str">
        <f t="shared" si="134"/>
        <v>24</v>
      </c>
      <c r="P1532">
        <v>96</v>
      </c>
      <c r="Q1532">
        <v>24</v>
      </c>
      <c r="R1532" t="s">
        <v>1269</v>
      </c>
      <c r="S1532">
        <v>0.79800000000000004</v>
      </c>
      <c r="T1532">
        <v>0.1913</v>
      </c>
      <c r="U1532">
        <f t="shared" si="135"/>
        <v>0</v>
      </c>
      <c r="V1532" t="str">
        <f t="shared" si="132"/>
        <v>Elementary Family Engagement Coordinator</v>
      </c>
      <c r="W1532" t="str">
        <f t="shared" si="133"/>
        <v>Family Engagement Coordinator</v>
      </c>
    </row>
    <row r="1533" spans="1:23" x14ac:dyDescent="0.25">
      <c r="A1533">
        <v>20405</v>
      </c>
      <c r="B1533" t="s">
        <v>1284</v>
      </c>
      <c r="C1533">
        <v>0.29599999999999999</v>
      </c>
      <c r="D1533" t="s">
        <v>1264</v>
      </c>
      <c r="E1533">
        <v>100295</v>
      </c>
      <c r="F1533">
        <v>20405</v>
      </c>
      <c r="G1533" t="str">
        <f t="shared" si="131"/>
        <v>20405</v>
      </c>
      <c r="H1533" t="s">
        <v>432</v>
      </c>
      <c r="I1533" t="s">
        <v>1265</v>
      </c>
      <c r="J1533" t="s">
        <v>1266</v>
      </c>
      <c r="K1533" t="s">
        <v>1267</v>
      </c>
      <c r="L1533" t="s">
        <v>1284</v>
      </c>
      <c r="M1533" t="s">
        <v>1285</v>
      </c>
      <c r="N1533">
        <v>1</v>
      </c>
      <c r="O1533" t="str">
        <f t="shared" si="134"/>
        <v>24</v>
      </c>
      <c r="P1533">
        <v>96</v>
      </c>
      <c r="Q1533">
        <v>24</v>
      </c>
      <c r="R1533" t="s">
        <v>1269</v>
      </c>
      <c r="S1533">
        <v>0.29599999999999999</v>
      </c>
      <c r="T1533">
        <v>0.1913</v>
      </c>
      <c r="U1533">
        <f t="shared" si="135"/>
        <v>0</v>
      </c>
      <c r="V1533" t="str">
        <f t="shared" si="132"/>
        <v>Middle Family Engagement Coordinator</v>
      </c>
      <c r="W1533" t="str">
        <f t="shared" si="133"/>
        <v>Family Engagement Coordinator</v>
      </c>
    </row>
    <row r="1534" spans="1:23" x14ac:dyDescent="0.25">
      <c r="A1534">
        <v>20405</v>
      </c>
      <c r="B1534" t="s">
        <v>1308</v>
      </c>
      <c r="C1534">
        <v>0.98199999999999998</v>
      </c>
      <c r="D1534" t="s">
        <v>1264</v>
      </c>
      <c r="E1534">
        <v>100295</v>
      </c>
      <c r="F1534">
        <v>20405</v>
      </c>
      <c r="G1534" t="str">
        <f t="shared" si="131"/>
        <v>20405</v>
      </c>
      <c r="H1534" t="s">
        <v>432</v>
      </c>
      <c r="I1534" t="s">
        <v>1265</v>
      </c>
      <c r="J1534" t="s">
        <v>1276</v>
      </c>
      <c r="K1534" t="s">
        <v>1277</v>
      </c>
      <c r="L1534" t="s">
        <v>1308</v>
      </c>
      <c r="M1534" t="s">
        <v>1389</v>
      </c>
      <c r="N1534">
        <v>1</v>
      </c>
      <c r="O1534" t="str">
        <f t="shared" si="134"/>
        <v>25</v>
      </c>
      <c r="Q1534">
        <v>25</v>
      </c>
      <c r="R1534" t="s">
        <v>1269</v>
      </c>
      <c r="S1534">
        <v>0.98199999999999998</v>
      </c>
      <c r="T1534">
        <v>0.1913</v>
      </c>
      <c r="U1534">
        <f t="shared" si="135"/>
        <v>0</v>
      </c>
      <c r="V1534" t="str">
        <f t="shared" si="132"/>
        <v>Elementary Pupil Management</v>
      </c>
      <c r="W1534" t="str">
        <f t="shared" si="133"/>
        <v>Pupil Management</v>
      </c>
    </row>
    <row r="1535" spans="1:23" x14ac:dyDescent="0.25">
      <c r="A1535">
        <v>20405</v>
      </c>
      <c r="B1535" t="s">
        <v>1363</v>
      </c>
      <c r="C1535">
        <v>4.8000000000000001E-2</v>
      </c>
      <c r="D1535" t="s">
        <v>1264</v>
      </c>
      <c r="E1535">
        <v>100295</v>
      </c>
      <c r="F1535">
        <v>20405</v>
      </c>
      <c r="G1535" t="str">
        <f t="shared" si="131"/>
        <v>20405</v>
      </c>
      <c r="H1535" t="s">
        <v>432</v>
      </c>
      <c r="I1535" t="s">
        <v>1265</v>
      </c>
      <c r="J1535" t="s">
        <v>1266</v>
      </c>
      <c r="K1535" t="s">
        <v>1267</v>
      </c>
      <c r="L1535" t="s">
        <v>1363</v>
      </c>
      <c r="M1535" t="s">
        <v>1386</v>
      </c>
      <c r="N1535">
        <v>1</v>
      </c>
      <c r="O1535" t="str">
        <f t="shared" si="134"/>
        <v>25</v>
      </c>
      <c r="Q1535">
        <v>25</v>
      </c>
      <c r="R1535" t="s">
        <v>1269</v>
      </c>
      <c r="S1535">
        <v>4.8000000000000001E-2</v>
      </c>
      <c r="T1535">
        <v>0.1913</v>
      </c>
      <c r="U1535">
        <f t="shared" si="135"/>
        <v>0</v>
      </c>
      <c r="V1535" t="str">
        <f t="shared" si="132"/>
        <v>Middle Pupil Management</v>
      </c>
      <c r="W1535" t="str">
        <f t="shared" si="133"/>
        <v>Pupil Management</v>
      </c>
    </row>
    <row r="1536" spans="1:23" x14ac:dyDescent="0.25">
      <c r="A1536">
        <v>20405</v>
      </c>
      <c r="B1536" t="s">
        <v>1270</v>
      </c>
      <c r="C1536">
        <v>1</v>
      </c>
      <c r="D1536" t="s">
        <v>1264</v>
      </c>
      <c r="E1536">
        <v>100295</v>
      </c>
      <c r="F1536">
        <v>20405</v>
      </c>
      <c r="G1536" t="str">
        <f t="shared" si="131"/>
        <v>20405</v>
      </c>
      <c r="H1536" t="s">
        <v>432</v>
      </c>
      <c r="I1536" t="s">
        <v>1265</v>
      </c>
      <c r="J1536" t="s">
        <v>1271</v>
      </c>
      <c r="K1536" t="s">
        <v>1272</v>
      </c>
      <c r="L1536" t="s">
        <v>1270</v>
      </c>
      <c r="M1536" t="s">
        <v>1273</v>
      </c>
      <c r="N1536">
        <v>1</v>
      </c>
      <c r="O1536" t="str">
        <f t="shared" si="134"/>
        <v>42</v>
      </c>
      <c r="P1536">
        <v>42</v>
      </c>
      <c r="R1536" t="s">
        <v>1269</v>
      </c>
      <c r="S1536">
        <v>1</v>
      </c>
      <c r="T1536">
        <v>0.1913</v>
      </c>
      <c r="U1536">
        <f t="shared" si="135"/>
        <v>0</v>
      </c>
      <c r="V1536" t="str">
        <f t="shared" si="132"/>
        <v>High Counselor</v>
      </c>
      <c r="W1536" t="str">
        <f t="shared" si="133"/>
        <v>Counselor</v>
      </c>
    </row>
    <row r="1537" spans="1:23" x14ac:dyDescent="0.25">
      <c r="A1537">
        <v>21014</v>
      </c>
      <c r="B1537" t="s">
        <v>1301</v>
      </c>
      <c r="C1537">
        <v>0.36299999999999999</v>
      </c>
      <c r="D1537" t="s">
        <v>1264</v>
      </c>
      <c r="E1537">
        <v>100161</v>
      </c>
      <c r="F1537">
        <v>21014</v>
      </c>
      <c r="G1537" t="str">
        <f t="shared" si="131"/>
        <v>21014</v>
      </c>
      <c r="H1537" t="s">
        <v>434</v>
      </c>
      <c r="I1537" t="s">
        <v>1265</v>
      </c>
      <c r="J1537" t="s">
        <v>1276</v>
      </c>
      <c r="K1537" t="s">
        <v>1277</v>
      </c>
      <c r="L1537" t="s">
        <v>1301</v>
      </c>
      <c r="M1537" t="s">
        <v>1427</v>
      </c>
      <c r="N1537">
        <v>21</v>
      </c>
      <c r="O1537" t="str">
        <f t="shared" si="134"/>
        <v>25</v>
      </c>
      <c r="Q1537">
        <v>25</v>
      </c>
      <c r="R1537" t="s">
        <v>1269</v>
      </c>
      <c r="S1537">
        <v>0.36299999999999999</v>
      </c>
      <c r="T1537">
        <v>0.18229999999999999</v>
      </c>
      <c r="U1537">
        <f t="shared" si="135"/>
        <v>6.6000000000000003E-2</v>
      </c>
      <c r="V1537" t="str">
        <f t="shared" si="132"/>
        <v>Elementary Pupil Management</v>
      </c>
      <c r="W1537" t="str">
        <f t="shared" si="133"/>
        <v>Pupil Management</v>
      </c>
    </row>
    <row r="1538" spans="1:23" x14ac:dyDescent="0.25">
      <c r="A1538">
        <v>21014</v>
      </c>
      <c r="B1538" t="s">
        <v>1308</v>
      </c>
      <c r="C1538">
        <v>0.86799999999999999</v>
      </c>
      <c r="D1538" t="s">
        <v>1264</v>
      </c>
      <c r="E1538">
        <v>100161</v>
      </c>
      <c r="F1538">
        <v>21014</v>
      </c>
      <c r="G1538" t="str">
        <f t="shared" ref="G1538:G1601" si="136">TEXT(F1538,"00000")</f>
        <v>21014</v>
      </c>
      <c r="H1538" t="s">
        <v>434</v>
      </c>
      <c r="I1538" t="s">
        <v>1265</v>
      </c>
      <c r="J1538" t="s">
        <v>1276</v>
      </c>
      <c r="K1538" t="s">
        <v>1277</v>
      </c>
      <c r="L1538" t="s">
        <v>1308</v>
      </c>
      <c r="M1538" t="s">
        <v>1389</v>
      </c>
      <c r="N1538">
        <v>1</v>
      </c>
      <c r="O1538" t="str">
        <f t="shared" si="134"/>
        <v>25</v>
      </c>
      <c r="Q1538">
        <v>25</v>
      </c>
      <c r="R1538" t="s">
        <v>1269</v>
      </c>
      <c r="S1538">
        <v>0.86799999999999999</v>
      </c>
      <c r="T1538">
        <v>0.18229999999999999</v>
      </c>
      <c r="U1538">
        <f t="shared" si="135"/>
        <v>0</v>
      </c>
      <c r="V1538" t="str">
        <f t="shared" ref="V1538:V1601" si="137">_xlfn.XLOOKUP(L1538,$BV:$BV,$BT:$BT,,0)</f>
        <v>Elementary Pupil Management</v>
      </c>
      <c r="W1538" t="str">
        <f t="shared" ref="W1538:W1601" si="138">_xlfn.TEXTAFTER(V1538," ")</f>
        <v>Pupil Management</v>
      </c>
    </row>
    <row r="1539" spans="1:23" x14ac:dyDescent="0.25">
      <c r="A1539">
        <v>21014</v>
      </c>
      <c r="B1539" t="s">
        <v>1383</v>
      </c>
      <c r="C1539">
        <v>0.26500000000000001</v>
      </c>
      <c r="D1539" t="s">
        <v>1264</v>
      </c>
      <c r="E1539">
        <v>100161</v>
      </c>
      <c r="F1539">
        <v>21014</v>
      </c>
      <c r="G1539" t="str">
        <f t="shared" si="136"/>
        <v>21014</v>
      </c>
      <c r="H1539" t="s">
        <v>434</v>
      </c>
      <c r="I1539" t="s">
        <v>1265</v>
      </c>
      <c r="J1539" t="s">
        <v>1271</v>
      </c>
      <c r="K1539" t="s">
        <v>1272</v>
      </c>
      <c r="L1539" t="s">
        <v>1383</v>
      </c>
      <c r="M1539" t="s">
        <v>1409</v>
      </c>
      <c r="N1539">
        <v>21</v>
      </c>
      <c r="O1539" t="str">
        <f t="shared" ref="O1539:O1602" si="139">MID(L1539,3,2)</f>
        <v>25</v>
      </c>
      <c r="Q1539">
        <v>25</v>
      </c>
      <c r="R1539" t="s">
        <v>1269</v>
      </c>
      <c r="S1539">
        <v>0.26500000000000001</v>
      </c>
      <c r="T1539">
        <v>0.18229999999999999</v>
      </c>
      <c r="U1539">
        <f t="shared" ref="U1539:U1602" si="140">IF(N1539=21,ROUND(T1539*S1539,3),0)</f>
        <v>4.8000000000000001E-2</v>
      </c>
      <c r="V1539" t="str">
        <f t="shared" si="137"/>
        <v>High Pupil Management</v>
      </c>
      <c r="W1539" t="str">
        <f t="shared" si="138"/>
        <v>Pupil Management</v>
      </c>
    </row>
    <row r="1540" spans="1:23" x14ac:dyDescent="0.25">
      <c r="A1540">
        <v>21014</v>
      </c>
      <c r="B1540" t="s">
        <v>1299</v>
      </c>
      <c r="C1540">
        <v>0.17100000000000001</v>
      </c>
      <c r="D1540" t="s">
        <v>1264</v>
      </c>
      <c r="E1540">
        <v>100161</v>
      </c>
      <c r="F1540">
        <v>21014</v>
      </c>
      <c r="G1540" t="str">
        <f t="shared" si="136"/>
        <v>21014</v>
      </c>
      <c r="H1540" t="s">
        <v>434</v>
      </c>
      <c r="I1540" t="s">
        <v>1265</v>
      </c>
      <c r="J1540" t="s">
        <v>1271</v>
      </c>
      <c r="K1540" t="s">
        <v>1272</v>
      </c>
      <c r="L1540" t="s">
        <v>1299</v>
      </c>
      <c r="M1540" t="s">
        <v>1300</v>
      </c>
      <c r="N1540">
        <v>1</v>
      </c>
      <c r="O1540" t="str">
        <f t="shared" si="139"/>
        <v>25</v>
      </c>
      <c r="Q1540">
        <v>25</v>
      </c>
      <c r="R1540" t="s">
        <v>1269</v>
      </c>
      <c r="S1540">
        <v>0.17100000000000001</v>
      </c>
      <c r="T1540">
        <v>0.18229999999999999</v>
      </c>
      <c r="U1540">
        <f t="shared" si="140"/>
        <v>0</v>
      </c>
      <c r="V1540" t="str">
        <f t="shared" si="137"/>
        <v>High Pupil Management</v>
      </c>
      <c r="W1540" t="str">
        <f t="shared" si="138"/>
        <v>Pupil Management</v>
      </c>
    </row>
    <row r="1541" spans="1:23" x14ac:dyDescent="0.25">
      <c r="A1541">
        <v>21014</v>
      </c>
      <c r="B1541" t="s">
        <v>1311</v>
      </c>
      <c r="C1541">
        <v>0.51200000000000001</v>
      </c>
      <c r="D1541" t="s">
        <v>1264</v>
      </c>
      <c r="E1541">
        <v>100161</v>
      </c>
      <c r="F1541">
        <v>21014</v>
      </c>
      <c r="G1541" t="str">
        <f t="shared" si="136"/>
        <v>21014</v>
      </c>
      <c r="H1541" t="s">
        <v>434</v>
      </c>
      <c r="I1541" t="s">
        <v>1265</v>
      </c>
      <c r="J1541" t="s">
        <v>1276</v>
      </c>
      <c r="K1541" t="s">
        <v>1277</v>
      </c>
      <c r="L1541" t="s">
        <v>1311</v>
      </c>
      <c r="M1541" t="s">
        <v>1327</v>
      </c>
      <c r="N1541">
        <v>21</v>
      </c>
      <c r="O1541" t="str">
        <f t="shared" si="139"/>
        <v>26</v>
      </c>
      <c r="Q1541">
        <v>26</v>
      </c>
      <c r="R1541" t="s">
        <v>1269</v>
      </c>
      <c r="S1541">
        <v>0.51200000000000001</v>
      </c>
      <c r="T1541">
        <v>0.18229999999999999</v>
      </c>
      <c r="U1541">
        <f t="shared" si="140"/>
        <v>9.2999999999999999E-2</v>
      </c>
      <c r="V1541" t="str">
        <f t="shared" si="137"/>
        <v>Elementary Health/
Related Services</v>
      </c>
      <c r="W1541" t="str">
        <f t="shared" si="138"/>
        <v>Health/
Related Services</v>
      </c>
    </row>
    <row r="1542" spans="1:23" x14ac:dyDescent="0.25">
      <c r="A1542">
        <v>21014</v>
      </c>
      <c r="B1542" t="s">
        <v>1315</v>
      </c>
      <c r="C1542">
        <v>0.38500000000000001</v>
      </c>
      <c r="D1542" t="s">
        <v>1264</v>
      </c>
      <c r="E1542">
        <v>100161</v>
      </c>
      <c r="F1542">
        <v>21014</v>
      </c>
      <c r="G1542" t="str">
        <f t="shared" si="136"/>
        <v>21014</v>
      </c>
      <c r="H1542" t="s">
        <v>434</v>
      </c>
      <c r="I1542" t="s">
        <v>1265</v>
      </c>
      <c r="J1542" t="s">
        <v>1276</v>
      </c>
      <c r="K1542" t="s">
        <v>1277</v>
      </c>
      <c r="L1542" t="s">
        <v>1315</v>
      </c>
      <c r="M1542" t="s">
        <v>1375</v>
      </c>
      <c r="N1542">
        <v>1</v>
      </c>
      <c r="O1542" t="str">
        <f t="shared" si="139"/>
        <v>26</v>
      </c>
      <c r="Q1542">
        <v>26</v>
      </c>
      <c r="R1542" t="s">
        <v>1269</v>
      </c>
      <c r="S1542">
        <v>0.38500000000000001</v>
      </c>
      <c r="T1542">
        <v>0.18229999999999999</v>
      </c>
      <c r="U1542">
        <f t="shared" si="140"/>
        <v>0</v>
      </c>
      <c r="V1542" t="str">
        <f t="shared" si="137"/>
        <v>Elementary Health/
Related Services</v>
      </c>
      <c r="W1542" t="str">
        <f t="shared" si="138"/>
        <v>Health/
Related Services</v>
      </c>
    </row>
    <row r="1543" spans="1:23" x14ac:dyDescent="0.25">
      <c r="A1543">
        <v>21014</v>
      </c>
      <c r="B1543" t="s">
        <v>1324</v>
      </c>
      <c r="C1543">
        <v>0.123</v>
      </c>
      <c r="D1543" t="s">
        <v>1264</v>
      </c>
      <c r="E1543">
        <v>100161</v>
      </c>
      <c r="F1543">
        <v>21014</v>
      </c>
      <c r="G1543" t="str">
        <f t="shared" si="136"/>
        <v>21014</v>
      </c>
      <c r="H1543" t="s">
        <v>434</v>
      </c>
      <c r="I1543" t="s">
        <v>1265</v>
      </c>
      <c r="J1543" t="s">
        <v>1271</v>
      </c>
      <c r="K1543" t="s">
        <v>1272</v>
      </c>
      <c r="L1543" t="s">
        <v>1324</v>
      </c>
      <c r="M1543" t="s">
        <v>1325</v>
      </c>
      <c r="N1543">
        <v>21</v>
      </c>
      <c r="O1543" t="str">
        <f t="shared" si="139"/>
        <v>26</v>
      </c>
      <c r="Q1543">
        <v>26</v>
      </c>
      <c r="R1543" t="s">
        <v>1269</v>
      </c>
      <c r="S1543">
        <v>0.123</v>
      </c>
      <c r="T1543">
        <v>0.18229999999999999</v>
      </c>
      <c r="U1543">
        <f t="shared" si="140"/>
        <v>2.1999999999999999E-2</v>
      </c>
      <c r="V1543" t="str">
        <f t="shared" si="137"/>
        <v>High Health/
Related Services</v>
      </c>
      <c r="W1543" t="str">
        <f t="shared" si="138"/>
        <v>Health/
Related Services</v>
      </c>
    </row>
    <row r="1544" spans="1:23" x14ac:dyDescent="0.25">
      <c r="A1544">
        <v>21014</v>
      </c>
      <c r="B1544" t="s">
        <v>1295</v>
      </c>
      <c r="C1544">
        <v>5.5E-2</v>
      </c>
      <c r="D1544" t="s">
        <v>1264</v>
      </c>
      <c r="E1544">
        <v>100161</v>
      </c>
      <c r="F1544">
        <v>21014</v>
      </c>
      <c r="G1544" t="str">
        <f t="shared" si="136"/>
        <v>21014</v>
      </c>
      <c r="H1544" t="s">
        <v>434</v>
      </c>
      <c r="I1544" t="s">
        <v>1265</v>
      </c>
      <c r="J1544" t="s">
        <v>1271</v>
      </c>
      <c r="K1544" t="s">
        <v>1272</v>
      </c>
      <c r="L1544" t="s">
        <v>1295</v>
      </c>
      <c r="M1544" t="s">
        <v>1296</v>
      </c>
      <c r="N1544">
        <v>1</v>
      </c>
      <c r="O1544" t="str">
        <f t="shared" si="139"/>
        <v>26</v>
      </c>
      <c r="Q1544">
        <v>26</v>
      </c>
      <c r="R1544" t="s">
        <v>1269</v>
      </c>
      <c r="S1544">
        <v>5.5E-2</v>
      </c>
      <c r="T1544">
        <v>0.18229999999999999</v>
      </c>
      <c r="U1544">
        <f t="shared" si="140"/>
        <v>0</v>
      </c>
      <c r="V1544" t="str">
        <f t="shared" si="137"/>
        <v>High Health/
Related Services</v>
      </c>
      <c r="W1544" t="str">
        <f t="shared" si="138"/>
        <v>Health/
Related Services</v>
      </c>
    </row>
    <row r="1545" spans="1:23" x14ac:dyDescent="0.25">
      <c r="A1545">
        <v>21014</v>
      </c>
      <c r="B1545" t="s">
        <v>1291</v>
      </c>
      <c r="C1545">
        <v>5.5E-2</v>
      </c>
      <c r="D1545" t="s">
        <v>1264</v>
      </c>
      <c r="E1545">
        <v>100161</v>
      </c>
      <c r="F1545">
        <v>21014</v>
      </c>
      <c r="G1545" t="str">
        <f t="shared" si="136"/>
        <v>21014</v>
      </c>
      <c r="H1545" t="s">
        <v>434</v>
      </c>
      <c r="I1545" t="s">
        <v>1265</v>
      </c>
      <c r="J1545" t="s">
        <v>1266</v>
      </c>
      <c r="K1545" t="s">
        <v>1267</v>
      </c>
      <c r="L1545" t="s">
        <v>1291</v>
      </c>
      <c r="M1545" t="s">
        <v>1292</v>
      </c>
      <c r="N1545">
        <v>1</v>
      </c>
      <c r="O1545" t="str">
        <f t="shared" si="139"/>
        <v>26</v>
      </c>
      <c r="Q1545">
        <v>26</v>
      </c>
      <c r="R1545" t="s">
        <v>1269</v>
      </c>
      <c r="S1545">
        <v>5.5E-2</v>
      </c>
      <c r="T1545">
        <v>0.18229999999999999</v>
      </c>
      <c r="U1545">
        <f t="shared" si="140"/>
        <v>0</v>
      </c>
      <c r="V1545" t="str">
        <f t="shared" si="137"/>
        <v>Middle Health/
Related Services</v>
      </c>
      <c r="W1545" t="str">
        <f t="shared" si="138"/>
        <v>Health/
Related Services</v>
      </c>
    </row>
    <row r="1546" spans="1:23" x14ac:dyDescent="0.25">
      <c r="A1546">
        <v>21014</v>
      </c>
      <c r="B1546" t="s">
        <v>1275</v>
      </c>
      <c r="C1546">
        <v>0.4</v>
      </c>
      <c r="D1546" t="s">
        <v>1264</v>
      </c>
      <c r="E1546">
        <v>100161</v>
      </c>
      <c r="F1546">
        <v>21014</v>
      </c>
      <c r="G1546" t="str">
        <f t="shared" si="136"/>
        <v>21014</v>
      </c>
      <c r="H1546" t="s">
        <v>434</v>
      </c>
      <c r="I1546" t="s">
        <v>1265</v>
      </c>
      <c r="J1546" t="s">
        <v>1276</v>
      </c>
      <c r="K1546" t="s">
        <v>1277</v>
      </c>
      <c r="L1546" t="s">
        <v>1275</v>
      </c>
      <c r="M1546" t="s">
        <v>1278</v>
      </c>
      <c r="N1546">
        <v>1</v>
      </c>
      <c r="O1546" t="str">
        <f t="shared" si="139"/>
        <v>42</v>
      </c>
      <c r="P1546">
        <v>42</v>
      </c>
      <c r="R1546" t="s">
        <v>1269</v>
      </c>
      <c r="S1546">
        <v>0.4</v>
      </c>
      <c r="T1546">
        <v>0.18229999999999999</v>
      </c>
      <c r="U1546">
        <f t="shared" si="140"/>
        <v>0</v>
      </c>
      <c r="V1546" t="str">
        <f t="shared" si="137"/>
        <v>Elementary Counselor</v>
      </c>
      <c r="W1546" t="str">
        <f t="shared" si="138"/>
        <v>Counselor</v>
      </c>
    </row>
    <row r="1547" spans="1:23" x14ac:dyDescent="0.25">
      <c r="A1547">
        <v>21014</v>
      </c>
      <c r="B1547" t="s">
        <v>1270</v>
      </c>
      <c r="C1547">
        <v>1.4</v>
      </c>
      <c r="D1547" t="s">
        <v>1264</v>
      </c>
      <c r="E1547">
        <v>100161</v>
      </c>
      <c r="F1547">
        <v>21014</v>
      </c>
      <c r="G1547" t="str">
        <f t="shared" si="136"/>
        <v>21014</v>
      </c>
      <c r="H1547" t="s">
        <v>434</v>
      </c>
      <c r="I1547" t="s">
        <v>1265</v>
      </c>
      <c r="J1547" t="s">
        <v>1271</v>
      </c>
      <c r="K1547" t="s">
        <v>1272</v>
      </c>
      <c r="L1547" t="s">
        <v>1270</v>
      </c>
      <c r="M1547" t="s">
        <v>1273</v>
      </c>
      <c r="N1547">
        <v>1</v>
      </c>
      <c r="O1547" t="str">
        <f t="shared" si="139"/>
        <v>42</v>
      </c>
      <c r="P1547">
        <v>42</v>
      </c>
      <c r="R1547" t="s">
        <v>1269</v>
      </c>
      <c r="S1547">
        <v>1.4</v>
      </c>
      <c r="T1547">
        <v>0.18229999999999999</v>
      </c>
      <c r="U1547">
        <f t="shared" si="140"/>
        <v>0</v>
      </c>
      <c r="V1547" t="str">
        <f t="shared" si="137"/>
        <v>High Counselor</v>
      </c>
      <c r="W1547" t="str">
        <f t="shared" si="138"/>
        <v>Counselor</v>
      </c>
    </row>
    <row r="1548" spans="1:23" x14ac:dyDescent="0.25">
      <c r="A1548">
        <v>21014</v>
      </c>
      <c r="B1548" t="s">
        <v>1306</v>
      </c>
      <c r="C1548">
        <v>1.875</v>
      </c>
      <c r="D1548" t="s">
        <v>1264</v>
      </c>
      <c r="E1548">
        <v>100161</v>
      </c>
      <c r="F1548">
        <v>21014</v>
      </c>
      <c r="G1548" t="str">
        <f t="shared" si="136"/>
        <v>21014</v>
      </c>
      <c r="H1548" t="s">
        <v>434</v>
      </c>
      <c r="I1548" t="s">
        <v>1265</v>
      </c>
      <c r="J1548" t="s">
        <v>1276</v>
      </c>
      <c r="K1548" t="s">
        <v>1277</v>
      </c>
      <c r="L1548" t="s">
        <v>1306</v>
      </c>
      <c r="M1548" t="s">
        <v>1320</v>
      </c>
      <c r="N1548">
        <v>21</v>
      </c>
      <c r="O1548" t="str">
        <f t="shared" si="139"/>
        <v>64</v>
      </c>
      <c r="P1548">
        <v>64</v>
      </c>
      <c r="R1548" t="s">
        <v>1269</v>
      </c>
      <c r="S1548">
        <v>1.875</v>
      </c>
      <c r="T1548">
        <v>0.18229999999999999</v>
      </c>
      <c r="U1548">
        <f t="shared" si="140"/>
        <v>0.34200000000000003</v>
      </c>
      <c r="V1548" t="str">
        <f t="shared" si="137"/>
        <v>Elementary Contractor ESA</v>
      </c>
      <c r="W1548" t="str">
        <f t="shared" si="138"/>
        <v>Contractor ESA</v>
      </c>
    </row>
    <row r="1549" spans="1:23" x14ac:dyDescent="0.25">
      <c r="A1549">
        <v>21014</v>
      </c>
      <c r="B1549" t="s">
        <v>1317</v>
      </c>
      <c r="C1549">
        <v>0.33</v>
      </c>
      <c r="D1549" t="s">
        <v>1264</v>
      </c>
      <c r="E1549">
        <v>100161</v>
      </c>
      <c r="F1549">
        <v>21014</v>
      </c>
      <c r="G1549" t="str">
        <f t="shared" si="136"/>
        <v>21014</v>
      </c>
      <c r="H1549" t="s">
        <v>434</v>
      </c>
      <c r="I1549" t="s">
        <v>1265</v>
      </c>
      <c r="J1549" t="s">
        <v>1271</v>
      </c>
      <c r="K1549" t="s">
        <v>1272</v>
      </c>
      <c r="L1549" t="s">
        <v>1317</v>
      </c>
      <c r="M1549" t="s">
        <v>1318</v>
      </c>
      <c r="N1549">
        <v>21</v>
      </c>
      <c r="O1549" t="str">
        <f t="shared" si="139"/>
        <v>64</v>
      </c>
      <c r="P1549">
        <v>64</v>
      </c>
      <c r="R1549" t="s">
        <v>1269</v>
      </c>
      <c r="S1549">
        <v>0.33</v>
      </c>
      <c r="T1549">
        <v>0.18229999999999999</v>
      </c>
      <c r="U1549">
        <f t="shared" si="140"/>
        <v>0.06</v>
      </c>
      <c r="V1549" t="str">
        <f t="shared" si="137"/>
        <v>High Contractor ESA</v>
      </c>
      <c r="W1549" t="str">
        <f t="shared" si="138"/>
        <v>Contractor ESA</v>
      </c>
    </row>
    <row r="1550" spans="1:23" x14ac:dyDescent="0.25">
      <c r="A1550">
        <v>21014</v>
      </c>
      <c r="B1550" t="s">
        <v>1313</v>
      </c>
      <c r="C1550">
        <v>1.0920000000000001</v>
      </c>
      <c r="D1550" t="s">
        <v>1264</v>
      </c>
      <c r="E1550">
        <v>100161</v>
      </c>
      <c r="F1550">
        <v>21014</v>
      </c>
      <c r="G1550" t="str">
        <f t="shared" si="136"/>
        <v>21014</v>
      </c>
      <c r="H1550" t="s">
        <v>434</v>
      </c>
      <c r="I1550" t="s">
        <v>1265</v>
      </c>
      <c r="J1550" t="s">
        <v>1266</v>
      </c>
      <c r="K1550" t="s">
        <v>1267</v>
      </c>
      <c r="L1550" t="s">
        <v>1313</v>
      </c>
      <c r="M1550" t="s">
        <v>1314</v>
      </c>
      <c r="N1550">
        <v>21</v>
      </c>
      <c r="O1550" t="str">
        <f t="shared" si="139"/>
        <v>64</v>
      </c>
      <c r="P1550">
        <v>64</v>
      </c>
      <c r="R1550" t="s">
        <v>1269</v>
      </c>
      <c r="S1550">
        <v>1.0920000000000001</v>
      </c>
      <c r="T1550">
        <v>0.18229999999999999</v>
      </c>
      <c r="U1550">
        <f t="shared" si="140"/>
        <v>0.19900000000000001</v>
      </c>
      <c r="V1550" t="str">
        <f t="shared" si="137"/>
        <v>Middle Contractor ESA</v>
      </c>
      <c r="W1550" t="str">
        <f t="shared" si="138"/>
        <v>Contractor ESA</v>
      </c>
    </row>
    <row r="1551" spans="1:23" x14ac:dyDescent="0.25">
      <c r="A1551">
        <v>21036</v>
      </c>
      <c r="B1551" t="s">
        <v>1308</v>
      </c>
      <c r="C1551">
        <v>0.54600000000000004</v>
      </c>
      <c r="D1551" t="s">
        <v>1264</v>
      </c>
      <c r="E1551">
        <v>100082</v>
      </c>
      <c r="F1551">
        <v>21036</v>
      </c>
      <c r="G1551" t="str">
        <f t="shared" si="136"/>
        <v>21036</v>
      </c>
      <c r="H1551" t="s">
        <v>435</v>
      </c>
      <c r="I1551" t="s">
        <v>1265</v>
      </c>
      <c r="J1551" t="s">
        <v>1276</v>
      </c>
      <c r="K1551" t="s">
        <v>1277</v>
      </c>
      <c r="L1551" t="s">
        <v>1308</v>
      </c>
      <c r="M1551" t="s">
        <v>1389</v>
      </c>
      <c r="N1551">
        <v>1</v>
      </c>
      <c r="O1551" t="str">
        <f t="shared" si="139"/>
        <v>25</v>
      </c>
      <c r="Q1551">
        <v>25</v>
      </c>
      <c r="R1551" t="s">
        <v>1269</v>
      </c>
      <c r="S1551">
        <v>0.54600000000000004</v>
      </c>
      <c r="T1551">
        <v>0.08</v>
      </c>
      <c r="U1551">
        <f t="shared" si="140"/>
        <v>0</v>
      </c>
      <c r="V1551" t="str">
        <f t="shared" si="137"/>
        <v>Elementary Pupil Management</v>
      </c>
      <c r="W1551" t="str">
        <f t="shared" si="138"/>
        <v>Pupil Management</v>
      </c>
    </row>
    <row r="1552" spans="1:23" x14ac:dyDescent="0.25">
      <c r="A1552">
        <v>21036</v>
      </c>
      <c r="B1552" t="s">
        <v>1275</v>
      </c>
      <c r="C1552">
        <v>0.128</v>
      </c>
      <c r="D1552" t="s">
        <v>1264</v>
      </c>
      <c r="E1552">
        <v>100082</v>
      </c>
      <c r="F1552">
        <v>21036</v>
      </c>
      <c r="G1552" t="str">
        <f t="shared" si="136"/>
        <v>21036</v>
      </c>
      <c r="H1552" t="s">
        <v>435</v>
      </c>
      <c r="I1552" t="s">
        <v>1265</v>
      </c>
      <c r="J1552" t="s">
        <v>1276</v>
      </c>
      <c r="K1552" t="s">
        <v>1277</v>
      </c>
      <c r="L1552" t="s">
        <v>1275</v>
      </c>
      <c r="M1552" t="s">
        <v>1278</v>
      </c>
      <c r="N1552">
        <v>1</v>
      </c>
      <c r="O1552" t="str">
        <f t="shared" si="139"/>
        <v>42</v>
      </c>
      <c r="P1552">
        <v>42</v>
      </c>
      <c r="R1552" t="s">
        <v>1269</v>
      </c>
      <c r="S1552">
        <v>0.128</v>
      </c>
      <c r="T1552">
        <v>0.08</v>
      </c>
      <c r="U1552">
        <f t="shared" si="140"/>
        <v>0</v>
      </c>
      <c r="V1552" t="str">
        <f t="shared" si="137"/>
        <v>Elementary Counselor</v>
      </c>
      <c r="W1552" t="str">
        <f t="shared" si="138"/>
        <v>Counselor</v>
      </c>
    </row>
    <row r="1553" spans="1:23" x14ac:dyDescent="0.25">
      <c r="A1553" t="s">
        <v>139</v>
      </c>
      <c r="B1553" t="s">
        <v>1474</v>
      </c>
      <c r="C1553">
        <v>3.4000000000000002E-2</v>
      </c>
      <c r="F1553" t="s">
        <v>139</v>
      </c>
      <c r="G1553" t="str">
        <f t="shared" si="136"/>
        <v>21036</v>
      </c>
      <c r="H1553" t="s">
        <v>435</v>
      </c>
      <c r="I1553" t="s">
        <v>1265</v>
      </c>
      <c r="J1553" t="s">
        <v>1641</v>
      </c>
      <c r="K1553" t="s">
        <v>1277</v>
      </c>
      <c r="L1553" t="s">
        <v>1474</v>
      </c>
      <c r="M1553" t="s">
        <v>1642</v>
      </c>
      <c r="N1553">
        <v>9</v>
      </c>
      <c r="O1553" t="str">
        <f t="shared" si="139"/>
        <v>25</v>
      </c>
      <c r="P1553">
        <v>91</v>
      </c>
      <c r="Q1553">
        <v>25</v>
      </c>
      <c r="S1553">
        <v>3.4000000000000002E-2</v>
      </c>
      <c r="T1553">
        <v>0.08</v>
      </c>
      <c r="U1553">
        <f t="shared" si="140"/>
        <v>0</v>
      </c>
      <c r="V1553" t="str">
        <f t="shared" si="137"/>
        <v>TK Pupil Management</v>
      </c>
      <c r="W1553" t="str">
        <f t="shared" si="138"/>
        <v>Pupil Management</v>
      </c>
    </row>
    <row r="1554" spans="1:23" x14ac:dyDescent="0.25">
      <c r="A1554">
        <v>21206</v>
      </c>
      <c r="B1554" t="s">
        <v>1308</v>
      </c>
      <c r="C1554">
        <v>1.145</v>
      </c>
      <c r="D1554" t="s">
        <v>1264</v>
      </c>
      <c r="E1554">
        <v>100154</v>
      </c>
      <c r="F1554">
        <v>21206</v>
      </c>
      <c r="G1554" t="str">
        <f t="shared" si="136"/>
        <v>21206</v>
      </c>
      <c r="H1554" t="s">
        <v>436</v>
      </c>
      <c r="I1554" t="s">
        <v>1265</v>
      </c>
      <c r="J1554" t="s">
        <v>1276</v>
      </c>
      <c r="K1554" t="s">
        <v>1277</v>
      </c>
      <c r="L1554" t="s">
        <v>1308</v>
      </c>
      <c r="M1554" t="s">
        <v>1389</v>
      </c>
      <c r="N1554">
        <v>1</v>
      </c>
      <c r="O1554" t="str">
        <f t="shared" si="139"/>
        <v>25</v>
      </c>
      <c r="Q1554">
        <v>25</v>
      </c>
      <c r="R1554" t="s">
        <v>1269</v>
      </c>
      <c r="S1554">
        <v>1.145</v>
      </c>
      <c r="T1554">
        <v>0.31069999999999998</v>
      </c>
      <c r="U1554">
        <f t="shared" si="140"/>
        <v>0</v>
      </c>
      <c r="V1554" t="str">
        <f t="shared" si="137"/>
        <v>Elementary Pupil Management</v>
      </c>
      <c r="W1554" t="str">
        <f t="shared" si="138"/>
        <v>Pupil Management</v>
      </c>
    </row>
    <row r="1555" spans="1:23" x14ac:dyDescent="0.25">
      <c r="A1555">
        <v>21206</v>
      </c>
      <c r="B1555" t="s">
        <v>1315</v>
      </c>
      <c r="C1555">
        <v>0.48499999999999999</v>
      </c>
      <c r="D1555" t="s">
        <v>1264</v>
      </c>
      <c r="E1555">
        <v>100154</v>
      </c>
      <c r="F1555">
        <v>21206</v>
      </c>
      <c r="G1555" t="str">
        <f t="shared" si="136"/>
        <v>21206</v>
      </c>
      <c r="H1555" t="s">
        <v>436</v>
      </c>
      <c r="I1555" t="s">
        <v>1265</v>
      </c>
      <c r="J1555" t="s">
        <v>1276</v>
      </c>
      <c r="K1555" t="s">
        <v>1277</v>
      </c>
      <c r="L1555" t="s">
        <v>1315</v>
      </c>
      <c r="M1555" t="s">
        <v>1375</v>
      </c>
      <c r="N1555">
        <v>1</v>
      </c>
      <c r="O1555" t="str">
        <f t="shared" si="139"/>
        <v>26</v>
      </c>
      <c r="Q1555">
        <v>26</v>
      </c>
      <c r="R1555" t="s">
        <v>1269</v>
      </c>
      <c r="S1555">
        <v>0.48499999999999999</v>
      </c>
      <c r="T1555">
        <v>0.31069999999999998</v>
      </c>
      <c r="U1555">
        <f t="shared" si="140"/>
        <v>0</v>
      </c>
      <c r="V1555" t="str">
        <f t="shared" si="137"/>
        <v>Elementary Health/
Related Services</v>
      </c>
      <c r="W1555" t="str">
        <f t="shared" si="138"/>
        <v>Health/
Related Services</v>
      </c>
    </row>
    <row r="1556" spans="1:23" x14ac:dyDescent="0.25">
      <c r="A1556">
        <v>21206</v>
      </c>
      <c r="B1556" t="s">
        <v>1295</v>
      </c>
      <c r="C1556">
        <v>0.121</v>
      </c>
      <c r="D1556" t="s">
        <v>1264</v>
      </c>
      <c r="E1556">
        <v>100154</v>
      </c>
      <c r="F1556">
        <v>21206</v>
      </c>
      <c r="G1556" t="str">
        <f t="shared" si="136"/>
        <v>21206</v>
      </c>
      <c r="H1556" t="s">
        <v>436</v>
      </c>
      <c r="I1556" t="s">
        <v>1265</v>
      </c>
      <c r="J1556" t="s">
        <v>1271</v>
      </c>
      <c r="K1556" t="s">
        <v>1272</v>
      </c>
      <c r="L1556" t="s">
        <v>1295</v>
      </c>
      <c r="M1556" t="s">
        <v>1296</v>
      </c>
      <c r="N1556">
        <v>1</v>
      </c>
      <c r="O1556" t="str">
        <f t="shared" si="139"/>
        <v>26</v>
      </c>
      <c r="Q1556">
        <v>26</v>
      </c>
      <c r="R1556" t="s">
        <v>1269</v>
      </c>
      <c r="S1556">
        <v>0.121</v>
      </c>
      <c r="T1556">
        <v>0.31069999999999998</v>
      </c>
      <c r="U1556">
        <f t="shared" si="140"/>
        <v>0</v>
      </c>
      <c r="V1556" t="str">
        <f t="shared" si="137"/>
        <v>High Health/
Related Services</v>
      </c>
      <c r="W1556" t="str">
        <f t="shared" si="138"/>
        <v>Health/
Related Services</v>
      </c>
    </row>
    <row r="1557" spans="1:23" x14ac:dyDescent="0.25">
      <c r="A1557">
        <v>21206</v>
      </c>
      <c r="B1557" t="s">
        <v>1270</v>
      </c>
      <c r="C1557">
        <v>1.06</v>
      </c>
      <c r="D1557" t="s">
        <v>1264</v>
      </c>
      <c r="E1557">
        <v>100154</v>
      </c>
      <c r="F1557">
        <v>21206</v>
      </c>
      <c r="G1557" t="str">
        <f t="shared" si="136"/>
        <v>21206</v>
      </c>
      <c r="H1557" t="s">
        <v>436</v>
      </c>
      <c r="I1557" t="s">
        <v>1265</v>
      </c>
      <c r="J1557" t="s">
        <v>1271</v>
      </c>
      <c r="K1557" t="s">
        <v>1272</v>
      </c>
      <c r="L1557" t="s">
        <v>1270</v>
      </c>
      <c r="M1557" t="s">
        <v>1273</v>
      </c>
      <c r="N1557">
        <v>1</v>
      </c>
      <c r="O1557" t="str">
        <f t="shared" si="139"/>
        <v>42</v>
      </c>
      <c r="P1557">
        <v>42</v>
      </c>
      <c r="R1557" t="s">
        <v>1269</v>
      </c>
      <c r="S1557">
        <v>1.06</v>
      </c>
      <c r="T1557">
        <v>0.31069999999999998</v>
      </c>
      <c r="U1557">
        <f t="shared" si="140"/>
        <v>0</v>
      </c>
      <c r="V1557" t="str">
        <f t="shared" si="137"/>
        <v>High Counselor</v>
      </c>
      <c r="W1557" t="str">
        <f t="shared" si="138"/>
        <v>Counselor</v>
      </c>
    </row>
    <row r="1558" spans="1:23" x14ac:dyDescent="0.25">
      <c r="A1558">
        <v>21206</v>
      </c>
      <c r="B1558" t="s">
        <v>1263</v>
      </c>
      <c r="C1558">
        <v>0.1</v>
      </c>
      <c r="D1558" t="s">
        <v>1264</v>
      </c>
      <c r="E1558">
        <v>100154</v>
      </c>
      <c r="F1558">
        <v>21206</v>
      </c>
      <c r="G1558" t="str">
        <f t="shared" si="136"/>
        <v>21206</v>
      </c>
      <c r="H1558" t="s">
        <v>436</v>
      </c>
      <c r="I1558" t="s">
        <v>1265</v>
      </c>
      <c r="J1558" t="s">
        <v>1266</v>
      </c>
      <c r="K1558" t="s">
        <v>1267</v>
      </c>
      <c r="L1558" t="s">
        <v>1263</v>
      </c>
      <c r="M1558" t="s">
        <v>1268</v>
      </c>
      <c r="N1558">
        <v>1</v>
      </c>
      <c r="O1558" t="str">
        <f t="shared" si="139"/>
        <v>42</v>
      </c>
      <c r="P1558">
        <v>42</v>
      </c>
      <c r="R1558" t="s">
        <v>1269</v>
      </c>
      <c r="S1558">
        <v>0.1</v>
      </c>
      <c r="T1558">
        <v>0.31069999999999998</v>
      </c>
      <c r="U1558">
        <f t="shared" si="140"/>
        <v>0</v>
      </c>
      <c r="V1558" t="str">
        <f t="shared" si="137"/>
        <v>Middle Counselor</v>
      </c>
      <c r="W1558" t="str">
        <f t="shared" si="138"/>
        <v>Counselor</v>
      </c>
    </row>
    <row r="1559" spans="1:23" x14ac:dyDescent="0.25">
      <c r="A1559">
        <v>21206</v>
      </c>
      <c r="B1559" t="s">
        <v>1289</v>
      </c>
      <c r="C1559">
        <v>1.2</v>
      </c>
      <c r="D1559" t="s">
        <v>1264</v>
      </c>
      <c r="E1559">
        <v>100154</v>
      </c>
      <c r="F1559">
        <v>21206</v>
      </c>
      <c r="G1559" t="str">
        <f t="shared" si="136"/>
        <v>21206</v>
      </c>
      <c r="H1559" t="s">
        <v>436</v>
      </c>
      <c r="I1559" t="s">
        <v>1265</v>
      </c>
      <c r="J1559" t="s">
        <v>1276</v>
      </c>
      <c r="K1559" t="s">
        <v>1277</v>
      </c>
      <c r="L1559" t="s">
        <v>1289</v>
      </c>
      <c r="M1559" t="s">
        <v>1307</v>
      </c>
      <c r="N1559">
        <v>21</v>
      </c>
      <c r="O1559" t="str">
        <f t="shared" si="139"/>
        <v>43</v>
      </c>
      <c r="P1559">
        <v>43</v>
      </c>
      <c r="R1559" t="s">
        <v>1269</v>
      </c>
      <c r="S1559">
        <v>1.2</v>
      </c>
      <c r="T1559">
        <v>0.31069999999999998</v>
      </c>
      <c r="U1559">
        <f t="shared" si="140"/>
        <v>0.373</v>
      </c>
      <c r="V1559" t="str">
        <f t="shared" si="137"/>
        <v>Elementary Occupational Therapist</v>
      </c>
      <c r="W1559" t="str">
        <f t="shared" si="138"/>
        <v>Occupational Therapist</v>
      </c>
    </row>
    <row r="1560" spans="1:23" x14ac:dyDescent="0.25">
      <c r="A1560">
        <v>21206</v>
      </c>
      <c r="B1560" t="s">
        <v>1387</v>
      </c>
      <c r="C1560">
        <v>2.2000000000000002</v>
      </c>
      <c r="D1560" t="s">
        <v>1264</v>
      </c>
      <c r="E1560">
        <v>100154</v>
      </c>
      <c r="F1560">
        <v>21206</v>
      </c>
      <c r="G1560" t="str">
        <f t="shared" si="136"/>
        <v>21206</v>
      </c>
      <c r="H1560" t="s">
        <v>436</v>
      </c>
      <c r="I1560" t="s">
        <v>1265</v>
      </c>
      <c r="J1560" t="s">
        <v>1271</v>
      </c>
      <c r="K1560" t="s">
        <v>1272</v>
      </c>
      <c r="L1560" t="s">
        <v>1387</v>
      </c>
      <c r="M1560" t="s">
        <v>1406</v>
      </c>
      <c r="N1560">
        <v>21</v>
      </c>
      <c r="O1560" t="str">
        <f t="shared" si="139"/>
        <v>43</v>
      </c>
      <c r="P1560">
        <v>43</v>
      </c>
      <c r="R1560" t="s">
        <v>1269</v>
      </c>
      <c r="S1560">
        <v>2.2000000000000002</v>
      </c>
      <c r="T1560">
        <v>0.31069999999999998</v>
      </c>
      <c r="U1560">
        <f t="shared" si="140"/>
        <v>0.68400000000000005</v>
      </c>
      <c r="V1560" t="str">
        <f t="shared" si="137"/>
        <v>High Occupational Therapist</v>
      </c>
      <c r="W1560" t="str">
        <f t="shared" si="138"/>
        <v>Occupational Therapist</v>
      </c>
    </row>
    <row r="1561" spans="1:23" x14ac:dyDescent="0.25">
      <c r="A1561">
        <v>21206</v>
      </c>
      <c r="B1561" t="s">
        <v>1317</v>
      </c>
      <c r="C1561">
        <v>1.212</v>
      </c>
      <c r="D1561" t="s">
        <v>1264</v>
      </c>
      <c r="E1561">
        <v>100154</v>
      </c>
      <c r="F1561">
        <v>21206</v>
      </c>
      <c r="G1561" t="str">
        <f t="shared" si="136"/>
        <v>21206</v>
      </c>
      <c r="H1561" t="s">
        <v>436</v>
      </c>
      <c r="I1561" t="s">
        <v>1265</v>
      </c>
      <c r="J1561" t="s">
        <v>1271</v>
      </c>
      <c r="K1561" t="s">
        <v>1272</v>
      </c>
      <c r="L1561" t="s">
        <v>1317</v>
      </c>
      <c r="M1561" t="s">
        <v>1318</v>
      </c>
      <c r="N1561">
        <v>21</v>
      </c>
      <c r="O1561" t="str">
        <f t="shared" si="139"/>
        <v>64</v>
      </c>
      <c r="P1561">
        <v>64</v>
      </c>
      <c r="R1561" t="s">
        <v>1269</v>
      </c>
      <c r="S1561">
        <v>1.212</v>
      </c>
      <c r="T1561">
        <v>0.31069999999999998</v>
      </c>
      <c r="U1561">
        <f t="shared" si="140"/>
        <v>0.377</v>
      </c>
      <c r="V1561" t="str">
        <f t="shared" si="137"/>
        <v>High Contractor ESA</v>
      </c>
      <c r="W1561" t="str">
        <f t="shared" si="138"/>
        <v>Contractor ESA</v>
      </c>
    </row>
    <row r="1562" spans="1:23" x14ac:dyDescent="0.25">
      <c r="A1562">
        <v>21214</v>
      </c>
      <c r="B1562" t="s">
        <v>1275</v>
      </c>
      <c r="C1562">
        <v>0.62</v>
      </c>
      <c r="D1562" t="s">
        <v>1264</v>
      </c>
      <c r="E1562">
        <v>100152</v>
      </c>
      <c r="F1562">
        <v>21214</v>
      </c>
      <c r="G1562" t="str">
        <f t="shared" si="136"/>
        <v>21214</v>
      </c>
      <c r="H1562" t="s">
        <v>437</v>
      </c>
      <c r="I1562" t="s">
        <v>1265</v>
      </c>
      <c r="J1562" t="s">
        <v>1276</v>
      </c>
      <c r="K1562" t="s">
        <v>1277</v>
      </c>
      <c r="L1562" t="s">
        <v>1275</v>
      </c>
      <c r="M1562" t="s">
        <v>1278</v>
      </c>
      <c r="N1562">
        <v>1</v>
      </c>
      <c r="O1562" t="str">
        <f t="shared" si="139"/>
        <v>42</v>
      </c>
      <c r="P1562">
        <v>42</v>
      </c>
      <c r="R1562" t="s">
        <v>1269</v>
      </c>
      <c r="S1562">
        <v>0.62</v>
      </c>
      <c r="T1562">
        <v>0.31480000000000002</v>
      </c>
      <c r="U1562">
        <f t="shared" si="140"/>
        <v>0</v>
      </c>
      <c r="V1562" t="str">
        <f t="shared" si="137"/>
        <v>Elementary Counselor</v>
      </c>
      <c r="W1562" t="str">
        <f t="shared" si="138"/>
        <v>Counselor</v>
      </c>
    </row>
    <row r="1563" spans="1:23" x14ac:dyDescent="0.25">
      <c r="A1563">
        <v>21214</v>
      </c>
      <c r="B1563" t="s">
        <v>1270</v>
      </c>
      <c r="C1563">
        <v>0.5</v>
      </c>
      <c r="D1563" t="s">
        <v>1264</v>
      </c>
      <c r="E1563">
        <v>100152</v>
      </c>
      <c r="F1563">
        <v>21214</v>
      </c>
      <c r="G1563" t="str">
        <f t="shared" si="136"/>
        <v>21214</v>
      </c>
      <c r="H1563" t="s">
        <v>437</v>
      </c>
      <c r="I1563" t="s">
        <v>1265</v>
      </c>
      <c r="J1563" t="s">
        <v>1271</v>
      </c>
      <c r="K1563" t="s">
        <v>1272</v>
      </c>
      <c r="L1563" t="s">
        <v>1270</v>
      </c>
      <c r="M1563" t="s">
        <v>1273</v>
      </c>
      <c r="N1563">
        <v>1</v>
      </c>
      <c r="O1563" t="str">
        <f t="shared" si="139"/>
        <v>42</v>
      </c>
      <c r="P1563">
        <v>42</v>
      </c>
      <c r="R1563" t="s">
        <v>1269</v>
      </c>
      <c r="S1563">
        <v>0.5</v>
      </c>
      <c r="T1563">
        <v>0.31480000000000002</v>
      </c>
      <c r="U1563">
        <f t="shared" si="140"/>
        <v>0</v>
      </c>
      <c r="V1563" t="str">
        <f t="shared" si="137"/>
        <v>High Counselor</v>
      </c>
      <c r="W1563" t="str">
        <f t="shared" si="138"/>
        <v>Counselor</v>
      </c>
    </row>
    <row r="1564" spans="1:23" x14ac:dyDescent="0.25">
      <c r="A1564">
        <v>21214</v>
      </c>
      <c r="B1564" t="s">
        <v>1263</v>
      </c>
      <c r="C1564">
        <v>0.5</v>
      </c>
      <c r="D1564" t="s">
        <v>1264</v>
      </c>
      <c r="E1564">
        <v>100152</v>
      </c>
      <c r="F1564">
        <v>21214</v>
      </c>
      <c r="G1564" t="str">
        <f t="shared" si="136"/>
        <v>21214</v>
      </c>
      <c r="H1564" t="s">
        <v>437</v>
      </c>
      <c r="I1564" t="s">
        <v>1265</v>
      </c>
      <c r="J1564" t="s">
        <v>1266</v>
      </c>
      <c r="K1564" t="s">
        <v>1267</v>
      </c>
      <c r="L1564" t="s">
        <v>1263</v>
      </c>
      <c r="M1564" t="s">
        <v>1268</v>
      </c>
      <c r="N1564">
        <v>1</v>
      </c>
      <c r="O1564" t="str">
        <f t="shared" si="139"/>
        <v>42</v>
      </c>
      <c r="P1564">
        <v>42</v>
      </c>
      <c r="R1564" t="s">
        <v>1269</v>
      </c>
      <c r="S1564">
        <v>0.5</v>
      </c>
      <c r="T1564">
        <v>0.31480000000000002</v>
      </c>
      <c r="U1564">
        <f t="shared" si="140"/>
        <v>0</v>
      </c>
      <c r="V1564" t="str">
        <f t="shared" si="137"/>
        <v>Middle Counselor</v>
      </c>
      <c r="W1564" t="str">
        <f t="shared" si="138"/>
        <v>Counselor</v>
      </c>
    </row>
    <row r="1565" spans="1:23" x14ac:dyDescent="0.25">
      <c r="A1565">
        <v>21214</v>
      </c>
      <c r="B1565" t="s">
        <v>1335</v>
      </c>
      <c r="C1565">
        <v>1.026</v>
      </c>
      <c r="D1565" t="s">
        <v>1264</v>
      </c>
      <c r="E1565">
        <v>100152</v>
      </c>
      <c r="F1565">
        <v>21214</v>
      </c>
      <c r="G1565" t="str">
        <f t="shared" si="136"/>
        <v>21214</v>
      </c>
      <c r="H1565" t="s">
        <v>437</v>
      </c>
      <c r="I1565" t="s">
        <v>1265</v>
      </c>
      <c r="J1565" t="s">
        <v>1276</v>
      </c>
      <c r="K1565" t="s">
        <v>1277</v>
      </c>
      <c r="L1565" t="s">
        <v>1335</v>
      </c>
      <c r="M1565" t="s">
        <v>1344</v>
      </c>
      <c r="N1565">
        <v>1</v>
      </c>
      <c r="O1565" t="str">
        <f t="shared" si="139"/>
        <v>47</v>
      </c>
      <c r="P1565">
        <v>47</v>
      </c>
      <c r="R1565" t="s">
        <v>1269</v>
      </c>
      <c r="S1565">
        <v>1.026</v>
      </c>
      <c r="T1565">
        <v>0.31480000000000002</v>
      </c>
      <c r="U1565">
        <f t="shared" si="140"/>
        <v>0</v>
      </c>
      <c r="V1565" t="str">
        <f t="shared" si="137"/>
        <v>Elementary Nurse</v>
      </c>
      <c r="W1565" t="str">
        <f t="shared" si="138"/>
        <v>Nurse</v>
      </c>
    </row>
    <row r="1566" spans="1:23" x14ac:dyDescent="0.25">
      <c r="A1566">
        <v>21214</v>
      </c>
      <c r="B1566" t="s">
        <v>1341</v>
      </c>
      <c r="C1566">
        <v>6.8000000000000005E-2</v>
      </c>
      <c r="D1566" t="s">
        <v>1264</v>
      </c>
      <c r="E1566">
        <v>100152</v>
      </c>
      <c r="F1566">
        <v>21214</v>
      </c>
      <c r="G1566" t="str">
        <f t="shared" si="136"/>
        <v>21214</v>
      </c>
      <c r="H1566" t="s">
        <v>437</v>
      </c>
      <c r="I1566" t="s">
        <v>1265</v>
      </c>
      <c r="J1566" t="s">
        <v>1271</v>
      </c>
      <c r="K1566" t="s">
        <v>1272</v>
      </c>
      <c r="L1566" t="s">
        <v>1341</v>
      </c>
      <c r="M1566" t="s">
        <v>1342</v>
      </c>
      <c r="N1566">
        <v>1</v>
      </c>
      <c r="O1566" t="str">
        <f t="shared" si="139"/>
        <v>47</v>
      </c>
      <c r="P1566">
        <v>47</v>
      </c>
      <c r="R1566" t="s">
        <v>1269</v>
      </c>
      <c r="S1566">
        <v>6.8000000000000005E-2</v>
      </c>
      <c r="T1566">
        <v>0.31480000000000002</v>
      </c>
      <c r="U1566">
        <f t="shared" si="140"/>
        <v>0</v>
      </c>
      <c r="V1566" t="str">
        <f t="shared" si="137"/>
        <v>High Nurse</v>
      </c>
      <c r="W1566" t="str">
        <f t="shared" si="138"/>
        <v>Nurse</v>
      </c>
    </row>
    <row r="1567" spans="1:23" x14ac:dyDescent="0.25">
      <c r="A1567">
        <v>21214</v>
      </c>
      <c r="B1567" t="s">
        <v>1338</v>
      </c>
      <c r="C1567">
        <v>2.7E-2</v>
      </c>
      <c r="D1567" t="s">
        <v>1264</v>
      </c>
      <c r="E1567">
        <v>100152</v>
      </c>
      <c r="F1567">
        <v>21214</v>
      </c>
      <c r="G1567" t="str">
        <f t="shared" si="136"/>
        <v>21214</v>
      </c>
      <c r="H1567" t="s">
        <v>437</v>
      </c>
      <c r="I1567" t="s">
        <v>1265</v>
      </c>
      <c r="J1567" t="s">
        <v>1266</v>
      </c>
      <c r="K1567" t="s">
        <v>1267</v>
      </c>
      <c r="L1567" t="s">
        <v>1338</v>
      </c>
      <c r="M1567" t="s">
        <v>1339</v>
      </c>
      <c r="N1567">
        <v>1</v>
      </c>
      <c r="O1567" t="str">
        <f t="shared" si="139"/>
        <v>47</v>
      </c>
      <c r="P1567">
        <v>47</v>
      </c>
      <c r="R1567" t="s">
        <v>1269</v>
      </c>
      <c r="S1567">
        <v>2.7E-2</v>
      </c>
      <c r="T1567">
        <v>0.31480000000000002</v>
      </c>
      <c r="U1567">
        <f t="shared" si="140"/>
        <v>0</v>
      </c>
      <c r="V1567" t="str">
        <f t="shared" si="137"/>
        <v>Middle Nurse</v>
      </c>
      <c r="W1567" t="str">
        <f t="shared" si="138"/>
        <v>Nurse</v>
      </c>
    </row>
    <row r="1568" spans="1:23" x14ac:dyDescent="0.25">
      <c r="A1568">
        <v>21226</v>
      </c>
      <c r="B1568" t="s">
        <v>1299</v>
      </c>
      <c r="C1568">
        <v>0.73199999999999998</v>
      </c>
      <c r="D1568" t="s">
        <v>1264</v>
      </c>
      <c r="E1568">
        <v>100011</v>
      </c>
      <c r="F1568">
        <v>21226</v>
      </c>
      <c r="G1568" t="str">
        <f t="shared" si="136"/>
        <v>21226</v>
      </c>
      <c r="H1568" t="s">
        <v>438</v>
      </c>
      <c r="I1568" t="s">
        <v>1265</v>
      </c>
      <c r="J1568" t="s">
        <v>1271</v>
      </c>
      <c r="K1568" t="s">
        <v>1272</v>
      </c>
      <c r="L1568" t="s">
        <v>1299</v>
      </c>
      <c r="M1568" t="s">
        <v>1300</v>
      </c>
      <c r="N1568">
        <v>1</v>
      </c>
      <c r="O1568" t="str">
        <f t="shared" si="139"/>
        <v>25</v>
      </c>
      <c r="Q1568">
        <v>25</v>
      </c>
      <c r="R1568" t="s">
        <v>1269</v>
      </c>
      <c r="S1568">
        <v>0.73199999999999998</v>
      </c>
      <c r="T1568">
        <v>0.2039</v>
      </c>
      <c r="U1568">
        <f t="shared" si="140"/>
        <v>0</v>
      </c>
      <c r="V1568" t="str">
        <f t="shared" si="137"/>
        <v>High Pupil Management</v>
      </c>
      <c r="W1568" t="str">
        <f t="shared" si="138"/>
        <v>Pupil Management</v>
      </c>
    </row>
    <row r="1569" spans="1:23" x14ac:dyDescent="0.25">
      <c r="A1569">
        <v>21226</v>
      </c>
      <c r="B1569" t="s">
        <v>1324</v>
      </c>
      <c r="C1569">
        <v>3.395</v>
      </c>
      <c r="D1569" t="s">
        <v>1264</v>
      </c>
      <c r="E1569">
        <v>100011</v>
      </c>
      <c r="F1569">
        <v>21226</v>
      </c>
      <c r="G1569" t="str">
        <f t="shared" si="136"/>
        <v>21226</v>
      </c>
      <c r="H1569" t="s">
        <v>438</v>
      </c>
      <c r="I1569" t="s">
        <v>1265</v>
      </c>
      <c r="J1569" t="s">
        <v>1271</v>
      </c>
      <c r="K1569" t="s">
        <v>1272</v>
      </c>
      <c r="L1569" t="s">
        <v>1324</v>
      </c>
      <c r="M1569" t="s">
        <v>1325</v>
      </c>
      <c r="N1569">
        <v>21</v>
      </c>
      <c r="O1569" t="str">
        <f t="shared" si="139"/>
        <v>26</v>
      </c>
      <c r="Q1569">
        <v>26</v>
      </c>
      <c r="R1569" t="s">
        <v>1269</v>
      </c>
      <c r="S1569">
        <v>3.395</v>
      </c>
      <c r="T1569">
        <v>0.2039</v>
      </c>
      <c r="U1569">
        <f t="shared" si="140"/>
        <v>0.69199999999999995</v>
      </c>
      <c r="V1569" t="str">
        <f t="shared" si="137"/>
        <v>High Health/
Related Services</v>
      </c>
      <c r="W1569" t="str">
        <f t="shared" si="138"/>
        <v>Health/
Related Services</v>
      </c>
    </row>
    <row r="1570" spans="1:23" x14ac:dyDescent="0.25">
      <c r="A1570">
        <v>21226</v>
      </c>
      <c r="B1570" t="s">
        <v>1295</v>
      </c>
      <c r="C1570">
        <v>0.46500000000000002</v>
      </c>
      <c r="D1570" t="s">
        <v>1264</v>
      </c>
      <c r="E1570">
        <v>100011</v>
      </c>
      <c r="F1570">
        <v>21226</v>
      </c>
      <c r="G1570" t="str">
        <f t="shared" si="136"/>
        <v>21226</v>
      </c>
      <c r="H1570" t="s">
        <v>438</v>
      </c>
      <c r="I1570" t="s">
        <v>1265</v>
      </c>
      <c r="J1570" t="s">
        <v>1271</v>
      </c>
      <c r="K1570" t="s">
        <v>1272</v>
      </c>
      <c r="L1570" t="s">
        <v>1295</v>
      </c>
      <c r="M1570" t="s">
        <v>1296</v>
      </c>
      <c r="N1570">
        <v>1</v>
      </c>
      <c r="O1570" t="str">
        <f t="shared" si="139"/>
        <v>26</v>
      </c>
      <c r="Q1570">
        <v>26</v>
      </c>
      <c r="R1570" t="s">
        <v>1269</v>
      </c>
      <c r="S1570">
        <v>0.46500000000000002</v>
      </c>
      <c r="T1570">
        <v>0.2039</v>
      </c>
      <c r="U1570">
        <f t="shared" si="140"/>
        <v>0</v>
      </c>
      <c r="V1570" t="str">
        <f t="shared" si="137"/>
        <v>High Health/
Related Services</v>
      </c>
      <c r="W1570" t="str">
        <f t="shared" si="138"/>
        <v>Health/
Related Services</v>
      </c>
    </row>
    <row r="1571" spans="1:23" x14ac:dyDescent="0.25">
      <c r="A1571">
        <v>21226</v>
      </c>
      <c r="B1571" t="s">
        <v>1270</v>
      </c>
      <c r="C1571">
        <v>1</v>
      </c>
      <c r="D1571" t="s">
        <v>1264</v>
      </c>
      <c r="E1571">
        <v>100011</v>
      </c>
      <c r="F1571">
        <v>21226</v>
      </c>
      <c r="G1571" t="str">
        <f t="shared" si="136"/>
        <v>21226</v>
      </c>
      <c r="H1571" t="s">
        <v>438</v>
      </c>
      <c r="I1571" t="s">
        <v>1265</v>
      </c>
      <c r="J1571" t="s">
        <v>1271</v>
      </c>
      <c r="K1571" t="s">
        <v>1272</v>
      </c>
      <c r="L1571" t="s">
        <v>1270</v>
      </c>
      <c r="M1571" t="s">
        <v>1273</v>
      </c>
      <c r="N1571">
        <v>1</v>
      </c>
      <c r="O1571" t="str">
        <f t="shared" si="139"/>
        <v>42</v>
      </c>
      <c r="P1571">
        <v>42</v>
      </c>
      <c r="R1571" t="s">
        <v>1269</v>
      </c>
      <c r="S1571">
        <v>1</v>
      </c>
      <c r="T1571">
        <v>0.2039</v>
      </c>
      <c r="U1571">
        <f t="shared" si="140"/>
        <v>0</v>
      </c>
      <c r="V1571" t="str">
        <f t="shared" si="137"/>
        <v>High Counselor</v>
      </c>
      <c r="W1571" t="str">
        <f t="shared" si="138"/>
        <v>Counselor</v>
      </c>
    </row>
    <row r="1572" spans="1:23" x14ac:dyDescent="0.25">
      <c r="A1572">
        <v>21226</v>
      </c>
      <c r="B1572" t="s">
        <v>1309</v>
      </c>
      <c r="C1572">
        <v>1</v>
      </c>
      <c r="D1572" t="s">
        <v>1264</v>
      </c>
      <c r="E1572">
        <v>100011</v>
      </c>
      <c r="F1572">
        <v>21226</v>
      </c>
      <c r="G1572" t="str">
        <f t="shared" si="136"/>
        <v>21226</v>
      </c>
      <c r="H1572" t="s">
        <v>438</v>
      </c>
      <c r="I1572" t="s">
        <v>1265</v>
      </c>
      <c r="J1572" t="s">
        <v>1271</v>
      </c>
      <c r="K1572" t="s">
        <v>1272</v>
      </c>
      <c r="L1572" t="s">
        <v>1309</v>
      </c>
      <c r="M1572" t="s">
        <v>1310</v>
      </c>
      <c r="N1572">
        <v>21</v>
      </c>
      <c r="O1572" t="str">
        <f t="shared" si="139"/>
        <v>46</v>
      </c>
      <c r="P1572">
        <v>46</v>
      </c>
      <c r="R1572" t="s">
        <v>1269</v>
      </c>
      <c r="S1572">
        <v>1</v>
      </c>
      <c r="T1572">
        <v>0.2039</v>
      </c>
      <c r="U1572">
        <f t="shared" si="140"/>
        <v>0.20399999999999999</v>
      </c>
      <c r="V1572" t="str">
        <f t="shared" si="137"/>
        <v>High Psychologist</v>
      </c>
      <c r="W1572" t="str">
        <f t="shared" si="138"/>
        <v>Psychologist</v>
      </c>
    </row>
    <row r="1573" spans="1:23" x14ac:dyDescent="0.25">
      <c r="A1573">
        <v>21226</v>
      </c>
      <c r="B1573" t="s">
        <v>1317</v>
      </c>
      <c r="C1573">
        <v>1.8879999999999999</v>
      </c>
      <c r="D1573" t="s">
        <v>1264</v>
      </c>
      <c r="E1573">
        <v>100011</v>
      </c>
      <c r="F1573">
        <v>21226</v>
      </c>
      <c r="G1573" t="str">
        <f t="shared" si="136"/>
        <v>21226</v>
      </c>
      <c r="H1573" t="s">
        <v>438</v>
      </c>
      <c r="I1573" t="s">
        <v>1265</v>
      </c>
      <c r="J1573" t="s">
        <v>1271</v>
      </c>
      <c r="K1573" t="s">
        <v>1272</v>
      </c>
      <c r="L1573" t="s">
        <v>1317</v>
      </c>
      <c r="M1573" t="s">
        <v>1318</v>
      </c>
      <c r="N1573">
        <v>21</v>
      </c>
      <c r="O1573" t="str">
        <f t="shared" si="139"/>
        <v>64</v>
      </c>
      <c r="P1573">
        <v>64</v>
      </c>
      <c r="R1573" t="s">
        <v>1269</v>
      </c>
      <c r="S1573">
        <v>1.8879999999999999</v>
      </c>
      <c r="T1573">
        <v>0.2039</v>
      </c>
      <c r="U1573">
        <f t="shared" si="140"/>
        <v>0.38500000000000001</v>
      </c>
      <c r="V1573" t="str">
        <f t="shared" si="137"/>
        <v>High Contractor ESA</v>
      </c>
      <c r="W1573" t="str">
        <f t="shared" si="138"/>
        <v>Contractor ESA</v>
      </c>
    </row>
    <row r="1574" spans="1:23" x14ac:dyDescent="0.25">
      <c r="A1574">
        <v>21232</v>
      </c>
      <c r="B1574" t="s">
        <v>1301</v>
      </c>
      <c r="C1574">
        <v>0.36899999999999999</v>
      </c>
      <c r="D1574" t="s">
        <v>1264</v>
      </c>
      <c r="E1574">
        <v>100299</v>
      </c>
      <c r="F1574">
        <v>21232</v>
      </c>
      <c r="G1574" t="str">
        <f t="shared" si="136"/>
        <v>21232</v>
      </c>
      <c r="H1574" t="s">
        <v>439</v>
      </c>
      <c r="I1574" t="s">
        <v>1265</v>
      </c>
      <c r="J1574" t="s">
        <v>1276</v>
      </c>
      <c r="K1574" t="s">
        <v>1277</v>
      </c>
      <c r="L1574" t="s">
        <v>1301</v>
      </c>
      <c r="M1574" t="s">
        <v>1427</v>
      </c>
      <c r="N1574">
        <v>21</v>
      </c>
      <c r="O1574" t="str">
        <f t="shared" si="139"/>
        <v>25</v>
      </c>
      <c r="Q1574">
        <v>25</v>
      </c>
      <c r="R1574" t="s">
        <v>1269</v>
      </c>
      <c r="S1574">
        <v>0.36899999999999999</v>
      </c>
      <c r="T1574">
        <v>0.19120000000000001</v>
      </c>
      <c r="U1574">
        <f t="shared" si="140"/>
        <v>7.0999999999999994E-2</v>
      </c>
      <c r="V1574" t="str">
        <f t="shared" si="137"/>
        <v>Elementary Pupil Management</v>
      </c>
      <c r="W1574" t="str">
        <f t="shared" si="138"/>
        <v>Pupil Management</v>
      </c>
    </row>
    <row r="1575" spans="1:23" x14ac:dyDescent="0.25">
      <c r="A1575">
        <v>21232</v>
      </c>
      <c r="B1575" t="s">
        <v>1311</v>
      </c>
      <c r="C1575">
        <v>0.73599999999999999</v>
      </c>
      <c r="D1575" t="s">
        <v>1264</v>
      </c>
      <c r="E1575">
        <v>100299</v>
      </c>
      <c r="F1575">
        <v>21232</v>
      </c>
      <c r="G1575" t="str">
        <f t="shared" si="136"/>
        <v>21232</v>
      </c>
      <c r="H1575" t="s">
        <v>439</v>
      </c>
      <c r="I1575" t="s">
        <v>1265</v>
      </c>
      <c r="J1575" t="s">
        <v>1276</v>
      </c>
      <c r="K1575" t="s">
        <v>1277</v>
      </c>
      <c r="L1575" t="s">
        <v>1311</v>
      </c>
      <c r="M1575" t="s">
        <v>1327</v>
      </c>
      <c r="N1575">
        <v>21</v>
      </c>
      <c r="O1575" t="str">
        <f t="shared" si="139"/>
        <v>26</v>
      </c>
      <c r="Q1575">
        <v>26</v>
      </c>
      <c r="R1575" t="s">
        <v>1269</v>
      </c>
      <c r="S1575">
        <v>0.73599999999999999</v>
      </c>
      <c r="T1575">
        <v>0.19120000000000001</v>
      </c>
      <c r="U1575">
        <f t="shared" si="140"/>
        <v>0.14099999999999999</v>
      </c>
      <c r="V1575" t="str">
        <f t="shared" si="137"/>
        <v>Elementary Health/
Related Services</v>
      </c>
      <c r="W1575" t="str">
        <f t="shared" si="138"/>
        <v>Health/
Related Services</v>
      </c>
    </row>
    <row r="1576" spans="1:23" x14ac:dyDescent="0.25">
      <c r="A1576">
        <v>21232</v>
      </c>
      <c r="B1576" t="s">
        <v>1324</v>
      </c>
      <c r="C1576">
        <v>1.288</v>
      </c>
      <c r="D1576" t="s">
        <v>1264</v>
      </c>
      <c r="E1576">
        <v>100299</v>
      </c>
      <c r="F1576">
        <v>21232</v>
      </c>
      <c r="G1576" t="str">
        <f t="shared" si="136"/>
        <v>21232</v>
      </c>
      <c r="H1576" t="s">
        <v>439</v>
      </c>
      <c r="I1576" t="s">
        <v>1265</v>
      </c>
      <c r="J1576" t="s">
        <v>1271</v>
      </c>
      <c r="K1576" t="s">
        <v>1272</v>
      </c>
      <c r="L1576" t="s">
        <v>1324</v>
      </c>
      <c r="M1576" t="s">
        <v>1325</v>
      </c>
      <c r="N1576">
        <v>21</v>
      </c>
      <c r="O1576" t="str">
        <f t="shared" si="139"/>
        <v>26</v>
      </c>
      <c r="Q1576">
        <v>26</v>
      </c>
      <c r="R1576" t="s">
        <v>1269</v>
      </c>
      <c r="S1576">
        <v>1.288</v>
      </c>
      <c r="T1576">
        <v>0.19120000000000001</v>
      </c>
      <c r="U1576">
        <f t="shared" si="140"/>
        <v>0.246</v>
      </c>
      <c r="V1576" t="str">
        <f t="shared" si="137"/>
        <v>High Health/
Related Services</v>
      </c>
      <c r="W1576" t="str">
        <f t="shared" si="138"/>
        <v>Health/
Related Services</v>
      </c>
    </row>
    <row r="1577" spans="1:23" x14ac:dyDescent="0.25">
      <c r="A1577">
        <v>21232</v>
      </c>
      <c r="B1577" t="s">
        <v>1275</v>
      </c>
      <c r="C1577">
        <v>0.45</v>
      </c>
      <c r="D1577" t="s">
        <v>1264</v>
      </c>
      <c r="E1577">
        <v>100299</v>
      </c>
      <c r="F1577">
        <v>21232</v>
      </c>
      <c r="G1577" t="str">
        <f t="shared" si="136"/>
        <v>21232</v>
      </c>
      <c r="H1577" t="s">
        <v>439</v>
      </c>
      <c r="I1577" t="s">
        <v>1265</v>
      </c>
      <c r="J1577" t="s">
        <v>1276</v>
      </c>
      <c r="K1577" t="s">
        <v>1277</v>
      </c>
      <c r="L1577" t="s">
        <v>1275</v>
      </c>
      <c r="M1577" t="s">
        <v>1278</v>
      </c>
      <c r="N1577">
        <v>1</v>
      </c>
      <c r="O1577" t="str">
        <f t="shared" si="139"/>
        <v>42</v>
      </c>
      <c r="P1577">
        <v>42</v>
      </c>
      <c r="R1577" t="s">
        <v>1269</v>
      </c>
      <c r="S1577">
        <v>0.45</v>
      </c>
      <c r="T1577">
        <v>0.19120000000000001</v>
      </c>
      <c r="U1577">
        <f t="shared" si="140"/>
        <v>0</v>
      </c>
      <c r="V1577" t="str">
        <f t="shared" si="137"/>
        <v>Elementary Counselor</v>
      </c>
      <c r="W1577" t="str">
        <f t="shared" si="138"/>
        <v>Counselor</v>
      </c>
    </row>
    <row r="1578" spans="1:23" x14ac:dyDescent="0.25">
      <c r="A1578">
        <v>21232</v>
      </c>
      <c r="B1578" t="s">
        <v>1270</v>
      </c>
      <c r="C1578">
        <v>1.05</v>
      </c>
      <c r="D1578" t="s">
        <v>1264</v>
      </c>
      <c r="E1578">
        <v>100299</v>
      </c>
      <c r="F1578">
        <v>21232</v>
      </c>
      <c r="G1578" t="str">
        <f t="shared" si="136"/>
        <v>21232</v>
      </c>
      <c r="H1578" t="s">
        <v>439</v>
      </c>
      <c r="I1578" t="s">
        <v>1265</v>
      </c>
      <c r="J1578" t="s">
        <v>1271</v>
      </c>
      <c r="K1578" t="s">
        <v>1272</v>
      </c>
      <c r="L1578" t="s">
        <v>1270</v>
      </c>
      <c r="M1578" t="s">
        <v>1273</v>
      </c>
      <c r="N1578">
        <v>1</v>
      </c>
      <c r="O1578" t="str">
        <f t="shared" si="139"/>
        <v>42</v>
      </c>
      <c r="P1578">
        <v>42</v>
      </c>
      <c r="R1578" t="s">
        <v>1269</v>
      </c>
      <c r="S1578">
        <v>1.05</v>
      </c>
      <c r="T1578">
        <v>0.19120000000000001</v>
      </c>
      <c r="U1578">
        <f t="shared" si="140"/>
        <v>0</v>
      </c>
      <c r="V1578" t="str">
        <f t="shared" si="137"/>
        <v>High Counselor</v>
      </c>
      <c r="W1578" t="str">
        <f t="shared" si="138"/>
        <v>Counselor</v>
      </c>
    </row>
    <row r="1579" spans="1:23" x14ac:dyDescent="0.25">
      <c r="A1579">
        <v>21232</v>
      </c>
      <c r="B1579" t="s">
        <v>1263</v>
      </c>
      <c r="C1579">
        <v>0.5</v>
      </c>
      <c r="D1579" t="s">
        <v>1264</v>
      </c>
      <c r="E1579">
        <v>100299</v>
      </c>
      <c r="F1579">
        <v>21232</v>
      </c>
      <c r="G1579" t="str">
        <f t="shared" si="136"/>
        <v>21232</v>
      </c>
      <c r="H1579" t="s">
        <v>439</v>
      </c>
      <c r="I1579" t="s">
        <v>1265</v>
      </c>
      <c r="J1579" t="s">
        <v>1266</v>
      </c>
      <c r="K1579" t="s">
        <v>1267</v>
      </c>
      <c r="L1579" t="s">
        <v>1263</v>
      </c>
      <c r="M1579" t="s">
        <v>1268</v>
      </c>
      <c r="N1579">
        <v>1</v>
      </c>
      <c r="O1579" t="str">
        <f t="shared" si="139"/>
        <v>42</v>
      </c>
      <c r="P1579">
        <v>42</v>
      </c>
      <c r="R1579" t="s">
        <v>1269</v>
      </c>
      <c r="S1579">
        <v>0.5</v>
      </c>
      <c r="T1579">
        <v>0.19120000000000001</v>
      </c>
      <c r="U1579">
        <f t="shared" si="140"/>
        <v>0</v>
      </c>
      <c r="V1579" t="str">
        <f t="shared" si="137"/>
        <v>Middle Counselor</v>
      </c>
      <c r="W1579" t="str">
        <f t="shared" si="138"/>
        <v>Counselor</v>
      </c>
    </row>
    <row r="1580" spans="1:23" x14ac:dyDescent="0.25">
      <c r="A1580">
        <v>21232</v>
      </c>
      <c r="B1580" t="s">
        <v>1289</v>
      </c>
      <c r="C1580">
        <v>0.5</v>
      </c>
      <c r="D1580" t="s">
        <v>1264</v>
      </c>
      <c r="E1580">
        <v>100299</v>
      </c>
      <c r="F1580">
        <v>21232</v>
      </c>
      <c r="G1580" t="str">
        <f t="shared" si="136"/>
        <v>21232</v>
      </c>
      <c r="H1580" t="s">
        <v>439</v>
      </c>
      <c r="I1580" t="s">
        <v>1265</v>
      </c>
      <c r="J1580" t="s">
        <v>1276</v>
      </c>
      <c r="K1580" t="s">
        <v>1277</v>
      </c>
      <c r="L1580" t="s">
        <v>1289</v>
      </c>
      <c r="M1580" t="s">
        <v>1307</v>
      </c>
      <c r="N1580">
        <v>21</v>
      </c>
      <c r="O1580" t="str">
        <f t="shared" si="139"/>
        <v>43</v>
      </c>
      <c r="P1580">
        <v>43</v>
      </c>
      <c r="R1580" t="s">
        <v>1269</v>
      </c>
      <c r="S1580">
        <v>0.5</v>
      </c>
      <c r="T1580">
        <v>0.19120000000000001</v>
      </c>
      <c r="U1580">
        <f t="shared" si="140"/>
        <v>9.6000000000000002E-2</v>
      </c>
      <c r="V1580" t="str">
        <f t="shared" si="137"/>
        <v>Elementary Occupational Therapist</v>
      </c>
      <c r="W1580" t="str">
        <f t="shared" si="138"/>
        <v>Occupational Therapist</v>
      </c>
    </row>
    <row r="1581" spans="1:23" x14ac:dyDescent="0.25">
      <c r="A1581">
        <v>21232</v>
      </c>
      <c r="B1581" t="s">
        <v>1387</v>
      </c>
      <c r="C1581">
        <v>0.5</v>
      </c>
      <c r="D1581" t="s">
        <v>1264</v>
      </c>
      <c r="E1581">
        <v>100299</v>
      </c>
      <c r="F1581">
        <v>21232</v>
      </c>
      <c r="G1581" t="str">
        <f t="shared" si="136"/>
        <v>21232</v>
      </c>
      <c r="H1581" t="s">
        <v>439</v>
      </c>
      <c r="I1581" t="s">
        <v>1265</v>
      </c>
      <c r="J1581" t="s">
        <v>1271</v>
      </c>
      <c r="K1581" t="s">
        <v>1272</v>
      </c>
      <c r="L1581" t="s">
        <v>1387</v>
      </c>
      <c r="M1581" t="s">
        <v>1406</v>
      </c>
      <c r="N1581">
        <v>21</v>
      </c>
      <c r="O1581" t="str">
        <f t="shared" si="139"/>
        <v>43</v>
      </c>
      <c r="P1581">
        <v>43</v>
      </c>
      <c r="R1581" t="s">
        <v>1269</v>
      </c>
      <c r="S1581">
        <v>0.5</v>
      </c>
      <c r="T1581">
        <v>0.19120000000000001</v>
      </c>
      <c r="U1581">
        <f t="shared" si="140"/>
        <v>9.6000000000000002E-2</v>
      </c>
      <c r="V1581" t="str">
        <f t="shared" si="137"/>
        <v>High Occupational Therapist</v>
      </c>
      <c r="W1581" t="str">
        <f t="shared" si="138"/>
        <v>Occupational Therapist</v>
      </c>
    </row>
    <row r="1582" spans="1:23" x14ac:dyDescent="0.25">
      <c r="A1582">
        <v>21232</v>
      </c>
      <c r="B1582" t="s">
        <v>1294</v>
      </c>
      <c r="C1582">
        <v>1.5</v>
      </c>
      <c r="D1582" t="s">
        <v>1264</v>
      </c>
      <c r="E1582">
        <v>100299</v>
      </c>
      <c r="F1582">
        <v>21232</v>
      </c>
      <c r="G1582" t="str">
        <f t="shared" si="136"/>
        <v>21232</v>
      </c>
      <c r="H1582" t="s">
        <v>439</v>
      </c>
      <c r="I1582" t="s">
        <v>1265</v>
      </c>
      <c r="J1582" t="s">
        <v>1276</v>
      </c>
      <c r="K1582" t="s">
        <v>1277</v>
      </c>
      <c r="L1582" t="s">
        <v>1294</v>
      </c>
      <c r="M1582" t="s">
        <v>1354</v>
      </c>
      <c r="N1582">
        <v>21</v>
      </c>
      <c r="O1582" t="str">
        <f t="shared" si="139"/>
        <v>45</v>
      </c>
      <c r="P1582">
        <v>45</v>
      </c>
      <c r="R1582" t="s">
        <v>1269</v>
      </c>
      <c r="S1582">
        <v>1.5</v>
      </c>
      <c r="T1582">
        <v>0.19120000000000001</v>
      </c>
      <c r="U1582">
        <f t="shared" si="140"/>
        <v>0.28699999999999998</v>
      </c>
      <c r="V1582" t="str">
        <f t="shared" si="137"/>
        <v>Elementary Speech, Language Pathway/
Audio</v>
      </c>
      <c r="W1582" t="str">
        <f t="shared" si="138"/>
        <v>Speech, Language Pathway/
Audio</v>
      </c>
    </row>
    <row r="1583" spans="1:23" x14ac:dyDescent="0.25">
      <c r="A1583">
        <v>21232</v>
      </c>
      <c r="B1583" t="s">
        <v>1326</v>
      </c>
      <c r="C1583">
        <v>1</v>
      </c>
      <c r="D1583" t="s">
        <v>1264</v>
      </c>
      <c r="E1583">
        <v>100299</v>
      </c>
      <c r="F1583">
        <v>21232</v>
      </c>
      <c r="G1583" t="str">
        <f t="shared" si="136"/>
        <v>21232</v>
      </c>
      <c r="H1583" t="s">
        <v>439</v>
      </c>
      <c r="I1583" t="s">
        <v>1265</v>
      </c>
      <c r="J1583" t="s">
        <v>1271</v>
      </c>
      <c r="K1583" t="s">
        <v>1272</v>
      </c>
      <c r="L1583" t="s">
        <v>1326</v>
      </c>
      <c r="M1583" t="s">
        <v>1353</v>
      </c>
      <c r="N1583">
        <v>21</v>
      </c>
      <c r="O1583" t="str">
        <f t="shared" si="139"/>
        <v>45</v>
      </c>
      <c r="P1583">
        <v>45</v>
      </c>
      <c r="R1583" t="s">
        <v>1269</v>
      </c>
      <c r="S1583">
        <v>1</v>
      </c>
      <c r="T1583">
        <v>0.19120000000000001</v>
      </c>
      <c r="U1583">
        <f t="shared" si="140"/>
        <v>0.191</v>
      </c>
      <c r="V1583" t="str">
        <f t="shared" si="137"/>
        <v>High Speech, Language Pathway/
Audio</v>
      </c>
      <c r="W1583" t="str">
        <f t="shared" si="138"/>
        <v>Speech, Language Pathway/
Audio</v>
      </c>
    </row>
    <row r="1584" spans="1:23" x14ac:dyDescent="0.25">
      <c r="A1584">
        <v>21232</v>
      </c>
      <c r="B1584" t="s">
        <v>1312</v>
      </c>
      <c r="C1584">
        <v>0.5</v>
      </c>
      <c r="D1584" t="s">
        <v>1264</v>
      </c>
      <c r="E1584">
        <v>100299</v>
      </c>
      <c r="F1584">
        <v>21232</v>
      </c>
      <c r="G1584" t="str">
        <f t="shared" si="136"/>
        <v>21232</v>
      </c>
      <c r="H1584" t="s">
        <v>439</v>
      </c>
      <c r="I1584" t="s">
        <v>1265</v>
      </c>
      <c r="J1584" t="s">
        <v>1266</v>
      </c>
      <c r="K1584" t="s">
        <v>1267</v>
      </c>
      <c r="L1584" t="s">
        <v>1312</v>
      </c>
      <c r="M1584" t="s">
        <v>1351</v>
      </c>
      <c r="N1584">
        <v>21</v>
      </c>
      <c r="O1584" t="str">
        <f t="shared" si="139"/>
        <v>45</v>
      </c>
      <c r="P1584">
        <v>45</v>
      </c>
      <c r="R1584" t="s">
        <v>1269</v>
      </c>
      <c r="S1584">
        <v>0.5</v>
      </c>
      <c r="T1584">
        <v>0.19120000000000001</v>
      </c>
      <c r="U1584">
        <f t="shared" si="140"/>
        <v>9.6000000000000002E-2</v>
      </c>
      <c r="V1584" t="str">
        <f t="shared" si="137"/>
        <v>Middle Speech, Language Pathway/
Audio</v>
      </c>
      <c r="W1584" t="str">
        <f t="shared" si="138"/>
        <v>Speech, Language Pathway/
Audio</v>
      </c>
    </row>
    <row r="1585" spans="1:23" x14ac:dyDescent="0.25">
      <c r="A1585">
        <v>21232</v>
      </c>
      <c r="B1585" t="s">
        <v>1298</v>
      </c>
      <c r="C1585">
        <v>0.5</v>
      </c>
      <c r="D1585" t="s">
        <v>1264</v>
      </c>
      <c r="E1585">
        <v>100299</v>
      </c>
      <c r="F1585">
        <v>21232</v>
      </c>
      <c r="G1585" t="str">
        <f t="shared" si="136"/>
        <v>21232</v>
      </c>
      <c r="H1585" t="s">
        <v>439</v>
      </c>
      <c r="I1585" t="s">
        <v>1265</v>
      </c>
      <c r="J1585" t="s">
        <v>1276</v>
      </c>
      <c r="K1585" t="s">
        <v>1277</v>
      </c>
      <c r="L1585" t="s">
        <v>1298</v>
      </c>
      <c r="M1585" t="s">
        <v>1349</v>
      </c>
      <c r="N1585">
        <v>21</v>
      </c>
      <c r="O1585" t="str">
        <f t="shared" si="139"/>
        <v>46</v>
      </c>
      <c r="P1585">
        <v>46</v>
      </c>
      <c r="R1585" t="s">
        <v>1269</v>
      </c>
      <c r="S1585">
        <v>0.5</v>
      </c>
      <c r="T1585">
        <v>0.19120000000000001</v>
      </c>
      <c r="U1585">
        <f t="shared" si="140"/>
        <v>9.6000000000000002E-2</v>
      </c>
      <c r="V1585" t="str">
        <f t="shared" si="137"/>
        <v>Elementary Psychologist</v>
      </c>
      <c r="W1585" t="str">
        <f t="shared" si="138"/>
        <v>Psychologist</v>
      </c>
    </row>
    <row r="1586" spans="1:23" x14ac:dyDescent="0.25">
      <c r="A1586">
        <v>21232</v>
      </c>
      <c r="B1586" t="s">
        <v>1309</v>
      </c>
      <c r="C1586">
        <v>0.5</v>
      </c>
      <c r="D1586" t="s">
        <v>1264</v>
      </c>
      <c r="E1586">
        <v>100299</v>
      </c>
      <c r="F1586">
        <v>21232</v>
      </c>
      <c r="G1586" t="str">
        <f t="shared" si="136"/>
        <v>21232</v>
      </c>
      <c r="H1586" t="s">
        <v>439</v>
      </c>
      <c r="I1586" t="s">
        <v>1265</v>
      </c>
      <c r="J1586" t="s">
        <v>1271</v>
      </c>
      <c r="K1586" t="s">
        <v>1272</v>
      </c>
      <c r="L1586" t="s">
        <v>1309</v>
      </c>
      <c r="M1586" t="s">
        <v>1310</v>
      </c>
      <c r="N1586">
        <v>21</v>
      </c>
      <c r="O1586" t="str">
        <f t="shared" si="139"/>
        <v>46</v>
      </c>
      <c r="P1586">
        <v>46</v>
      </c>
      <c r="R1586" t="s">
        <v>1269</v>
      </c>
      <c r="S1586">
        <v>0.5</v>
      </c>
      <c r="T1586">
        <v>0.19120000000000001</v>
      </c>
      <c r="U1586">
        <f t="shared" si="140"/>
        <v>9.6000000000000002E-2</v>
      </c>
      <c r="V1586" t="str">
        <f t="shared" si="137"/>
        <v>High Psychologist</v>
      </c>
      <c r="W1586" t="str">
        <f t="shared" si="138"/>
        <v>Psychologist</v>
      </c>
    </row>
    <row r="1587" spans="1:23" x14ac:dyDescent="0.25">
      <c r="A1587">
        <v>21234</v>
      </c>
      <c r="B1587" t="s">
        <v>1383</v>
      </c>
      <c r="C1587">
        <v>0.04</v>
      </c>
      <c r="D1587" t="s">
        <v>1264</v>
      </c>
      <c r="E1587">
        <v>100025</v>
      </c>
      <c r="F1587">
        <v>21234</v>
      </c>
      <c r="G1587" t="str">
        <f t="shared" si="136"/>
        <v>21234</v>
      </c>
      <c r="H1587" t="s">
        <v>440</v>
      </c>
      <c r="I1587" t="s">
        <v>1265</v>
      </c>
      <c r="J1587" t="s">
        <v>1271</v>
      </c>
      <c r="K1587" t="s">
        <v>1272</v>
      </c>
      <c r="L1587" t="s">
        <v>1383</v>
      </c>
      <c r="M1587" t="s">
        <v>1409</v>
      </c>
      <c r="N1587">
        <v>21</v>
      </c>
      <c r="O1587" t="str">
        <f t="shared" si="139"/>
        <v>25</v>
      </c>
      <c r="Q1587">
        <v>25</v>
      </c>
      <c r="R1587" t="s">
        <v>1269</v>
      </c>
      <c r="S1587">
        <v>0.04</v>
      </c>
      <c r="T1587">
        <v>0.20449999999999999</v>
      </c>
      <c r="U1587">
        <f t="shared" si="140"/>
        <v>8.0000000000000002E-3</v>
      </c>
      <c r="V1587" t="str">
        <f t="shared" si="137"/>
        <v>High Pupil Management</v>
      </c>
      <c r="W1587" t="str">
        <f t="shared" si="138"/>
        <v>Pupil Management</v>
      </c>
    </row>
    <row r="1588" spans="1:23" x14ac:dyDescent="0.25">
      <c r="A1588">
        <v>21234</v>
      </c>
      <c r="B1588" t="s">
        <v>1295</v>
      </c>
      <c r="C1588">
        <v>6.2E-2</v>
      </c>
      <c r="D1588" t="s">
        <v>1264</v>
      </c>
      <c r="E1588">
        <v>100025</v>
      </c>
      <c r="F1588">
        <v>21234</v>
      </c>
      <c r="G1588" t="str">
        <f t="shared" si="136"/>
        <v>21234</v>
      </c>
      <c r="H1588" t="s">
        <v>440</v>
      </c>
      <c r="I1588" t="s">
        <v>1265</v>
      </c>
      <c r="J1588" t="s">
        <v>1271</v>
      </c>
      <c r="K1588" t="s">
        <v>1272</v>
      </c>
      <c r="L1588" t="s">
        <v>1295</v>
      </c>
      <c r="M1588" t="s">
        <v>1296</v>
      </c>
      <c r="N1588">
        <v>1</v>
      </c>
      <c r="O1588" t="str">
        <f t="shared" si="139"/>
        <v>26</v>
      </c>
      <c r="Q1588">
        <v>26</v>
      </c>
      <c r="R1588" t="s">
        <v>1269</v>
      </c>
      <c r="S1588">
        <v>6.2E-2</v>
      </c>
      <c r="T1588">
        <v>0.20449999999999999</v>
      </c>
      <c r="U1588">
        <f t="shared" si="140"/>
        <v>0</v>
      </c>
      <c r="V1588" t="str">
        <f t="shared" si="137"/>
        <v>High Health/
Related Services</v>
      </c>
      <c r="W1588" t="str">
        <f t="shared" si="138"/>
        <v>Health/
Related Services</v>
      </c>
    </row>
    <row r="1589" spans="1:23" x14ac:dyDescent="0.25">
      <c r="A1589">
        <v>21237</v>
      </c>
      <c r="B1589" t="s">
        <v>1308</v>
      </c>
      <c r="C1589">
        <v>0.254</v>
      </c>
      <c r="D1589" t="s">
        <v>1264</v>
      </c>
      <c r="E1589">
        <v>100267</v>
      </c>
      <c r="F1589">
        <v>21237</v>
      </c>
      <c r="G1589" t="str">
        <f t="shared" si="136"/>
        <v>21237</v>
      </c>
      <c r="H1589" t="s">
        <v>441</v>
      </c>
      <c r="I1589" t="s">
        <v>1265</v>
      </c>
      <c r="J1589" t="s">
        <v>1276</v>
      </c>
      <c r="K1589" t="s">
        <v>1277</v>
      </c>
      <c r="L1589" t="s">
        <v>1308</v>
      </c>
      <c r="M1589" t="s">
        <v>1389</v>
      </c>
      <c r="N1589">
        <v>1</v>
      </c>
      <c r="O1589" t="str">
        <f t="shared" si="139"/>
        <v>25</v>
      </c>
      <c r="Q1589">
        <v>25</v>
      </c>
      <c r="R1589" t="s">
        <v>1269</v>
      </c>
      <c r="S1589">
        <v>0.254</v>
      </c>
      <c r="T1589">
        <v>0.28620000000000001</v>
      </c>
      <c r="U1589">
        <f t="shared" si="140"/>
        <v>0</v>
      </c>
      <c r="V1589" t="str">
        <f t="shared" si="137"/>
        <v>Elementary Pupil Management</v>
      </c>
      <c r="W1589" t="str">
        <f t="shared" si="138"/>
        <v>Pupil Management</v>
      </c>
    </row>
    <row r="1590" spans="1:23" x14ac:dyDescent="0.25">
      <c r="A1590">
        <v>21237</v>
      </c>
      <c r="B1590" t="s">
        <v>1383</v>
      </c>
      <c r="C1590">
        <v>0.374</v>
      </c>
      <c r="D1590" t="s">
        <v>1264</v>
      </c>
      <c r="E1590">
        <v>100267</v>
      </c>
      <c r="F1590">
        <v>21237</v>
      </c>
      <c r="G1590" t="str">
        <f t="shared" si="136"/>
        <v>21237</v>
      </c>
      <c r="H1590" t="s">
        <v>441</v>
      </c>
      <c r="I1590" t="s">
        <v>1265</v>
      </c>
      <c r="J1590" t="s">
        <v>1271</v>
      </c>
      <c r="K1590" t="s">
        <v>1272</v>
      </c>
      <c r="L1590" t="s">
        <v>1383</v>
      </c>
      <c r="M1590" t="s">
        <v>1409</v>
      </c>
      <c r="N1590">
        <v>21</v>
      </c>
      <c r="O1590" t="str">
        <f t="shared" si="139"/>
        <v>25</v>
      </c>
      <c r="Q1590">
        <v>25</v>
      </c>
      <c r="R1590" t="s">
        <v>1269</v>
      </c>
      <c r="S1590">
        <v>0.374</v>
      </c>
      <c r="T1590">
        <v>0.28620000000000001</v>
      </c>
      <c r="U1590">
        <f t="shared" si="140"/>
        <v>0.107</v>
      </c>
      <c r="V1590" t="str">
        <f t="shared" si="137"/>
        <v>High Pupil Management</v>
      </c>
      <c r="W1590" t="str">
        <f t="shared" si="138"/>
        <v>Pupil Management</v>
      </c>
    </row>
    <row r="1591" spans="1:23" x14ac:dyDescent="0.25">
      <c r="A1591">
        <v>21237</v>
      </c>
      <c r="B1591" t="s">
        <v>1299</v>
      </c>
      <c r="C1591">
        <v>1.0069999999999999</v>
      </c>
      <c r="D1591" t="s">
        <v>1264</v>
      </c>
      <c r="E1591">
        <v>100267</v>
      </c>
      <c r="F1591">
        <v>21237</v>
      </c>
      <c r="G1591" t="str">
        <f t="shared" si="136"/>
        <v>21237</v>
      </c>
      <c r="H1591" t="s">
        <v>441</v>
      </c>
      <c r="I1591" t="s">
        <v>1265</v>
      </c>
      <c r="J1591" t="s">
        <v>1271</v>
      </c>
      <c r="K1591" t="s">
        <v>1272</v>
      </c>
      <c r="L1591" t="s">
        <v>1299</v>
      </c>
      <c r="M1591" t="s">
        <v>1300</v>
      </c>
      <c r="N1591">
        <v>1</v>
      </c>
      <c r="O1591" t="str">
        <f t="shared" si="139"/>
        <v>25</v>
      </c>
      <c r="Q1591">
        <v>25</v>
      </c>
      <c r="R1591" t="s">
        <v>1269</v>
      </c>
      <c r="S1591">
        <v>1.0069999999999999</v>
      </c>
      <c r="T1591">
        <v>0.28620000000000001</v>
      </c>
      <c r="U1591">
        <f t="shared" si="140"/>
        <v>0</v>
      </c>
      <c r="V1591" t="str">
        <f t="shared" si="137"/>
        <v>High Pupil Management</v>
      </c>
      <c r="W1591" t="str">
        <f t="shared" si="138"/>
        <v>Pupil Management</v>
      </c>
    </row>
    <row r="1592" spans="1:23" x14ac:dyDescent="0.25">
      <c r="A1592">
        <v>21237</v>
      </c>
      <c r="B1592" t="s">
        <v>1361</v>
      </c>
      <c r="C1592">
        <v>8.7999999999999995E-2</v>
      </c>
      <c r="D1592" t="s">
        <v>1264</v>
      </c>
      <c r="E1592">
        <v>100267</v>
      </c>
      <c r="F1592">
        <v>21237</v>
      </c>
      <c r="G1592" t="str">
        <f t="shared" si="136"/>
        <v>21237</v>
      </c>
      <c r="H1592" t="s">
        <v>441</v>
      </c>
      <c r="I1592" t="s">
        <v>1265</v>
      </c>
      <c r="J1592" t="s">
        <v>1266</v>
      </c>
      <c r="K1592" t="s">
        <v>1267</v>
      </c>
      <c r="L1592" t="s">
        <v>1361</v>
      </c>
      <c r="M1592" t="s">
        <v>1411</v>
      </c>
      <c r="N1592">
        <v>21</v>
      </c>
      <c r="O1592" t="str">
        <f t="shared" si="139"/>
        <v>25</v>
      </c>
      <c r="Q1592">
        <v>25</v>
      </c>
      <c r="R1592" t="s">
        <v>1269</v>
      </c>
      <c r="S1592">
        <v>8.7999999999999995E-2</v>
      </c>
      <c r="T1592">
        <v>0.28620000000000001</v>
      </c>
      <c r="U1592">
        <f t="shared" si="140"/>
        <v>2.5000000000000001E-2</v>
      </c>
      <c r="V1592" t="str">
        <f t="shared" si="137"/>
        <v>Middle Pupil Management</v>
      </c>
      <c r="W1592" t="str">
        <f t="shared" si="138"/>
        <v>Pupil Management</v>
      </c>
    </row>
    <row r="1593" spans="1:23" x14ac:dyDescent="0.25">
      <c r="A1593">
        <v>21237</v>
      </c>
      <c r="B1593" t="s">
        <v>1315</v>
      </c>
      <c r="C1593">
        <v>0.51800000000000002</v>
      </c>
      <c r="D1593" t="s">
        <v>1264</v>
      </c>
      <c r="E1593">
        <v>100267</v>
      </c>
      <c r="F1593">
        <v>21237</v>
      </c>
      <c r="G1593" t="str">
        <f t="shared" si="136"/>
        <v>21237</v>
      </c>
      <c r="H1593" t="s">
        <v>441</v>
      </c>
      <c r="I1593" t="s">
        <v>1265</v>
      </c>
      <c r="J1593" t="s">
        <v>1276</v>
      </c>
      <c r="K1593" t="s">
        <v>1277</v>
      </c>
      <c r="L1593" t="s">
        <v>1315</v>
      </c>
      <c r="M1593" t="s">
        <v>1375</v>
      </c>
      <c r="N1593">
        <v>1</v>
      </c>
      <c r="O1593" t="str">
        <f t="shared" si="139"/>
        <v>26</v>
      </c>
      <c r="Q1593">
        <v>26</v>
      </c>
      <c r="R1593" t="s">
        <v>1269</v>
      </c>
      <c r="S1593">
        <v>0.51800000000000002</v>
      </c>
      <c r="T1593">
        <v>0.28620000000000001</v>
      </c>
      <c r="U1593">
        <f t="shared" si="140"/>
        <v>0</v>
      </c>
      <c r="V1593" t="str">
        <f t="shared" si="137"/>
        <v>Elementary Health/
Related Services</v>
      </c>
      <c r="W1593" t="str">
        <f t="shared" si="138"/>
        <v>Health/
Related Services</v>
      </c>
    </row>
    <row r="1594" spans="1:23" x14ac:dyDescent="0.25">
      <c r="A1594">
        <v>21237</v>
      </c>
      <c r="B1594" t="s">
        <v>1291</v>
      </c>
      <c r="C1594">
        <v>0.17699999999999999</v>
      </c>
      <c r="D1594" t="s">
        <v>1264</v>
      </c>
      <c r="E1594">
        <v>100267</v>
      </c>
      <c r="F1594">
        <v>21237</v>
      </c>
      <c r="G1594" t="str">
        <f t="shared" si="136"/>
        <v>21237</v>
      </c>
      <c r="H1594" t="s">
        <v>441</v>
      </c>
      <c r="I1594" t="s">
        <v>1265</v>
      </c>
      <c r="J1594" t="s">
        <v>1266</v>
      </c>
      <c r="K1594" t="s">
        <v>1267</v>
      </c>
      <c r="L1594" t="s">
        <v>1291</v>
      </c>
      <c r="M1594" t="s">
        <v>1292</v>
      </c>
      <c r="N1594">
        <v>1</v>
      </c>
      <c r="O1594" t="str">
        <f t="shared" si="139"/>
        <v>26</v>
      </c>
      <c r="Q1594">
        <v>26</v>
      </c>
      <c r="R1594" t="s">
        <v>1269</v>
      </c>
      <c r="S1594">
        <v>0.17699999999999999</v>
      </c>
      <c r="T1594">
        <v>0.28620000000000001</v>
      </c>
      <c r="U1594">
        <f t="shared" si="140"/>
        <v>0</v>
      </c>
      <c r="V1594" t="str">
        <f t="shared" si="137"/>
        <v>Middle Health/
Related Services</v>
      </c>
      <c r="W1594" t="str">
        <f t="shared" si="138"/>
        <v>Health/
Related Services</v>
      </c>
    </row>
    <row r="1595" spans="1:23" x14ac:dyDescent="0.25">
      <c r="A1595">
        <v>21237</v>
      </c>
      <c r="B1595" t="s">
        <v>1270</v>
      </c>
      <c r="C1595">
        <v>0.81399999999999995</v>
      </c>
      <c r="D1595" t="s">
        <v>1264</v>
      </c>
      <c r="E1595">
        <v>100267</v>
      </c>
      <c r="F1595">
        <v>21237</v>
      </c>
      <c r="G1595" t="str">
        <f t="shared" si="136"/>
        <v>21237</v>
      </c>
      <c r="H1595" t="s">
        <v>441</v>
      </c>
      <c r="I1595" t="s">
        <v>1265</v>
      </c>
      <c r="J1595" t="s">
        <v>1271</v>
      </c>
      <c r="K1595" t="s">
        <v>1272</v>
      </c>
      <c r="L1595" t="s">
        <v>1270</v>
      </c>
      <c r="M1595" t="s">
        <v>1273</v>
      </c>
      <c r="N1595">
        <v>1</v>
      </c>
      <c r="O1595" t="str">
        <f t="shared" si="139"/>
        <v>42</v>
      </c>
      <c r="P1595">
        <v>42</v>
      </c>
      <c r="R1595" t="s">
        <v>1269</v>
      </c>
      <c r="S1595">
        <v>0.81399999999999995</v>
      </c>
      <c r="T1595">
        <v>0.28620000000000001</v>
      </c>
      <c r="U1595">
        <f t="shared" si="140"/>
        <v>0</v>
      </c>
      <c r="V1595" t="str">
        <f t="shared" si="137"/>
        <v>High Counselor</v>
      </c>
      <c r="W1595" t="str">
        <f t="shared" si="138"/>
        <v>Counselor</v>
      </c>
    </row>
    <row r="1596" spans="1:23" x14ac:dyDescent="0.25">
      <c r="A1596">
        <v>21300</v>
      </c>
      <c r="B1596" t="s">
        <v>1308</v>
      </c>
      <c r="C1596">
        <v>0.39600000000000002</v>
      </c>
      <c r="D1596" t="s">
        <v>1264</v>
      </c>
      <c r="E1596">
        <v>100184</v>
      </c>
      <c r="F1596">
        <v>21300</v>
      </c>
      <c r="G1596" t="str">
        <f t="shared" si="136"/>
        <v>21300</v>
      </c>
      <c r="H1596" t="s">
        <v>442</v>
      </c>
      <c r="I1596" t="s">
        <v>1265</v>
      </c>
      <c r="J1596" t="s">
        <v>1276</v>
      </c>
      <c r="K1596" t="s">
        <v>1277</v>
      </c>
      <c r="L1596" t="s">
        <v>1308</v>
      </c>
      <c r="M1596" t="s">
        <v>1389</v>
      </c>
      <c r="N1596">
        <v>1</v>
      </c>
      <c r="O1596" t="str">
        <f t="shared" si="139"/>
        <v>25</v>
      </c>
      <c r="Q1596">
        <v>25</v>
      </c>
      <c r="R1596" t="s">
        <v>1269</v>
      </c>
      <c r="S1596">
        <v>0.39600000000000002</v>
      </c>
      <c r="T1596">
        <v>0.25719999999999998</v>
      </c>
      <c r="U1596">
        <f t="shared" si="140"/>
        <v>0</v>
      </c>
      <c r="V1596" t="str">
        <f t="shared" si="137"/>
        <v>Elementary Pupil Management</v>
      </c>
      <c r="W1596" t="str">
        <f t="shared" si="138"/>
        <v>Pupil Management</v>
      </c>
    </row>
    <row r="1597" spans="1:23" x14ac:dyDescent="0.25">
      <c r="A1597">
        <v>21300</v>
      </c>
      <c r="B1597" t="s">
        <v>1315</v>
      </c>
      <c r="C1597">
        <v>0.13200000000000001</v>
      </c>
      <c r="D1597" t="s">
        <v>1264</v>
      </c>
      <c r="E1597">
        <v>100184</v>
      </c>
      <c r="F1597">
        <v>21300</v>
      </c>
      <c r="G1597" t="str">
        <f t="shared" si="136"/>
        <v>21300</v>
      </c>
      <c r="H1597" t="s">
        <v>442</v>
      </c>
      <c r="I1597" t="s">
        <v>1265</v>
      </c>
      <c r="J1597" t="s">
        <v>1276</v>
      </c>
      <c r="K1597" t="s">
        <v>1277</v>
      </c>
      <c r="L1597" t="s">
        <v>1315</v>
      </c>
      <c r="M1597" t="s">
        <v>1375</v>
      </c>
      <c r="N1597">
        <v>1</v>
      </c>
      <c r="O1597" t="str">
        <f t="shared" si="139"/>
        <v>26</v>
      </c>
      <c r="Q1597">
        <v>26</v>
      </c>
      <c r="R1597" t="s">
        <v>1269</v>
      </c>
      <c r="S1597">
        <v>0.13200000000000001</v>
      </c>
      <c r="T1597">
        <v>0.25719999999999998</v>
      </c>
      <c r="U1597">
        <f t="shared" si="140"/>
        <v>0</v>
      </c>
      <c r="V1597" t="str">
        <f t="shared" si="137"/>
        <v>Elementary Health/
Related Services</v>
      </c>
      <c r="W1597" t="str">
        <f t="shared" si="138"/>
        <v>Health/
Related Services</v>
      </c>
    </row>
    <row r="1598" spans="1:23" x14ac:dyDescent="0.25">
      <c r="A1598">
        <v>21300</v>
      </c>
      <c r="B1598" t="s">
        <v>1295</v>
      </c>
      <c r="C1598">
        <v>0.13200000000000001</v>
      </c>
      <c r="D1598" t="s">
        <v>1264</v>
      </c>
      <c r="E1598">
        <v>100184</v>
      </c>
      <c r="F1598">
        <v>21300</v>
      </c>
      <c r="G1598" t="str">
        <f t="shared" si="136"/>
        <v>21300</v>
      </c>
      <c r="H1598" t="s">
        <v>442</v>
      </c>
      <c r="I1598" t="s">
        <v>1265</v>
      </c>
      <c r="J1598" t="s">
        <v>1271</v>
      </c>
      <c r="K1598" t="s">
        <v>1272</v>
      </c>
      <c r="L1598" t="s">
        <v>1295</v>
      </c>
      <c r="M1598" t="s">
        <v>1296</v>
      </c>
      <c r="N1598">
        <v>1</v>
      </c>
      <c r="O1598" t="str">
        <f t="shared" si="139"/>
        <v>26</v>
      </c>
      <c r="Q1598">
        <v>26</v>
      </c>
      <c r="R1598" t="s">
        <v>1269</v>
      </c>
      <c r="S1598">
        <v>0.13200000000000001</v>
      </c>
      <c r="T1598">
        <v>0.25719999999999998</v>
      </c>
      <c r="U1598">
        <f t="shared" si="140"/>
        <v>0</v>
      </c>
      <c r="V1598" t="str">
        <f t="shared" si="137"/>
        <v>High Health/
Related Services</v>
      </c>
      <c r="W1598" t="str">
        <f t="shared" si="138"/>
        <v>Health/
Related Services</v>
      </c>
    </row>
    <row r="1599" spans="1:23" x14ac:dyDescent="0.25">
      <c r="A1599">
        <v>21300</v>
      </c>
      <c r="B1599" t="s">
        <v>1291</v>
      </c>
      <c r="C1599">
        <v>0.13200000000000001</v>
      </c>
      <c r="D1599" t="s">
        <v>1264</v>
      </c>
      <c r="E1599">
        <v>100184</v>
      </c>
      <c r="F1599">
        <v>21300</v>
      </c>
      <c r="G1599" t="str">
        <f t="shared" si="136"/>
        <v>21300</v>
      </c>
      <c r="H1599" t="s">
        <v>442</v>
      </c>
      <c r="I1599" t="s">
        <v>1265</v>
      </c>
      <c r="J1599" t="s">
        <v>1266</v>
      </c>
      <c r="K1599" t="s">
        <v>1267</v>
      </c>
      <c r="L1599" t="s">
        <v>1291</v>
      </c>
      <c r="M1599" t="s">
        <v>1292</v>
      </c>
      <c r="N1599">
        <v>1</v>
      </c>
      <c r="O1599" t="str">
        <f t="shared" si="139"/>
        <v>26</v>
      </c>
      <c r="Q1599">
        <v>26</v>
      </c>
      <c r="R1599" t="s">
        <v>1269</v>
      </c>
      <c r="S1599">
        <v>0.13200000000000001</v>
      </c>
      <c r="T1599">
        <v>0.25719999999999998</v>
      </c>
      <c r="U1599">
        <f t="shared" si="140"/>
        <v>0</v>
      </c>
      <c r="V1599" t="str">
        <f t="shared" si="137"/>
        <v>Middle Health/
Related Services</v>
      </c>
      <c r="W1599" t="str">
        <f t="shared" si="138"/>
        <v>Health/
Related Services</v>
      </c>
    </row>
    <row r="1600" spans="1:23" x14ac:dyDescent="0.25">
      <c r="A1600">
        <v>21300</v>
      </c>
      <c r="B1600" t="s">
        <v>1275</v>
      </c>
      <c r="C1600">
        <v>0.45200000000000001</v>
      </c>
      <c r="D1600" t="s">
        <v>1264</v>
      </c>
      <c r="E1600">
        <v>100184</v>
      </c>
      <c r="F1600">
        <v>21300</v>
      </c>
      <c r="G1600" t="str">
        <f t="shared" si="136"/>
        <v>21300</v>
      </c>
      <c r="H1600" t="s">
        <v>442</v>
      </c>
      <c r="I1600" t="s">
        <v>1265</v>
      </c>
      <c r="J1600" t="s">
        <v>1276</v>
      </c>
      <c r="K1600" t="s">
        <v>1277</v>
      </c>
      <c r="L1600" t="s">
        <v>1275</v>
      </c>
      <c r="M1600" t="s">
        <v>1278</v>
      </c>
      <c r="N1600">
        <v>1</v>
      </c>
      <c r="O1600" t="str">
        <f t="shared" si="139"/>
        <v>42</v>
      </c>
      <c r="P1600">
        <v>42</v>
      </c>
      <c r="R1600" t="s">
        <v>1269</v>
      </c>
      <c r="S1600">
        <v>0.45200000000000001</v>
      </c>
      <c r="T1600">
        <v>0.25719999999999998</v>
      </c>
      <c r="U1600">
        <f t="shared" si="140"/>
        <v>0</v>
      </c>
      <c r="V1600" t="str">
        <f t="shared" si="137"/>
        <v>Elementary Counselor</v>
      </c>
      <c r="W1600" t="str">
        <f t="shared" si="138"/>
        <v>Counselor</v>
      </c>
    </row>
    <row r="1601" spans="1:23" x14ac:dyDescent="0.25">
      <c r="A1601">
        <v>21300</v>
      </c>
      <c r="B1601" t="s">
        <v>1270</v>
      </c>
      <c r="C1601">
        <v>1.151</v>
      </c>
      <c r="D1601" t="s">
        <v>1264</v>
      </c>
      <c r="E1601">
        <v>100184</v>
      </c>
      <c r="F1601">
        <v>21300</v>
      </c>
      <c r="G1601" t="str">
        <f t="shared" si="136"/>
        <v>21300</v>
      </c>
      <c r="H1601" t="s">
        <v>442</v>
      </c>
      <c r="I1601" t="s">
        <v>1265</v>
      </c>
      <c r="J1601" t="s">
        <v>1271</v>
      </c>
      <c r="K1601" t="s">
        <v>1272</v>
      </c>
      <c r="L1601" t="s">
        <v>1270</v>
      </c>
      <c r="M1601" t="s">
        <v>1273</v>
      </c>
      <c r="N1601">
        <v>1</v>
      </c>
      <c r="O1601" t="str">
        <f t="shared" si="139"/>
        <v>42</v>
      </c>
      <c r="P1601">
        <v>42</v>
      </c>
      <c r="R1601" t="s">
        <v>1269</v>
      </c>
      <c r="S1601">
        <v>1.151</v>
      </c>
      <c r="T1601">
        <v>0.25719999999999998</v>
      </c>
      <c r="U1601">
        <f t="shared" si="140"/>
        <v>0</v>
      </c>
      <c r="V1601" t="str">
        <f t="shared" si="137"/>
        <v>High Counselor</v>
      </c>
      <c r="W1601" t="str">
        <f t="shared" si="138"/>
        <v>Counselor</v>
      </c>
    </row>
    <row r="1602" spans="1:23" x14ac:dyDescent="0.25">
      <c r="A1602">
        <v>21300</v>
      </c>
      <c r="B1602" t="s">
        <v>1263</v>
      </c>
      <c r="C1602">
        <v>0.151</v>
      </c>
      <c r="D1602" t="s">
        <v>1264</v>
      </c>
      <c r="E1602">
        <v>100184</v>
      </c>
      <c r="F1602">
        <v>21300</v>
      </c>
      <c r="G1602" t="str">
        <f t="shared" ref="G1602:G1665" si="141">TEXT(F1602,"00000")</f>
        <v>21300</v>
      </c>
      <c r="H1602" t="s">
        <v>442</v>
      </c>
      <c r="I1602" t="s">
        <v>1265</v>
      </c>
      <c r="J1602" t="s">
        <v>1266</v>
      </c>
      <c r="K1602" t="s">
        <v>1267</v>
      </c>
      <c r="L1602" t="s">
        <v>1263</v>
      </c>
      <c r="M1602" t="s">
        <v>1268</v>
      </c>
      <c r="N1602">
        <v>1</v>
      </c>
      <c r="O1602" t="str">
        <f t="shared" si="139"/>
        <v>42</v>
      </c>
      <c r="P1602">
        <v>42</v>
      </c>
      <c r="R1602" t="s">
        <v>1269</v>
      </c>
      <c r="S1602">
        <v>0.151</v>
      </c>
      <c r="T1602">
        <v>0.25719999999999998</v>
      </c>
      <c r="U1602">
        <f t="shared" si="140"/>
        <v>0</v>
      </c>
      <c r="V1602" t="str">
        <f t="shared" ref="V1602:V1665" si="142">_xlfn.XLOOKUP(L1602,$BV:$BV,$BT:$BT,,0)</f>
        <v>Middle Counselor</v>
      </c>
      <c r="W1602" t="str">
        <f t="shared" ref="W1602:W1665" si="143">_xlfn.TEXTAFTER(V1602," ")</f>
        <v>Counselor</v>
      </c>
    </row>
    <row r="1603" spans="1:23" x14ac:dyDescent="0.25">
      <c r="A1603">
        <v>21301</v>
      </c>
      <c r="B1603" t="s">
        <v>1270</v>
      </c>
      <c r="C1603">
        <v>0.67</v>
      </c>
      <c r="D1603" t="s">
        <v>1264</v>
      </c>
      <c r="E1603">
        <v>100198</v>
      </c>
      <c r="F1603">
        <v>21301</v>
      </c>
      <c r="G1603" t="str">
        <f t="shared" si="141"/>
        <v>21301</v>
      </c>
      <c r="H1603" t="s">
        <v>443</v>
      </c>
      <c r="I1603" t="s">
        <v>1265</v>
      </c>
      <c r="J1603" t="s">
        <v>1271</v>
      </c>
      <c r="K1603" t="s">
        <v>1272</v>
      </c>
      <c r="L1603" t="s">
        <v>1270</v>
      </c>
      <c r="M1603" t="s">
        <v>1273</v>
      </c>
      <c r="N1603">
        <v>1</v>
      </c>
      <c r="O1603" t="str">
        <f t="shared" ref="O1603:O1666" si="144">MID(L1603,3,2)</f>
        <v>42</v>
      </c>
      <c r="P1603">
        <v>42</v>
      </c>
      <c r="R1603" t="s">
        <v>1269</v>
      </c>
      <c r="S1603">
        <v>0.67</v>
      </c>
      <c r="T1603">
        <v>0.19239999999999999</v>
      </c>
      <c r="U1603">
        <f t="shared" ref="U1603:U1666" si="145">IF(N1603=21,ROUND(T1603*S1603,3),0)</f>
        <v>0</v>
      </c>
      <c r="V1603" t="str">
        <f t="shared" si="142"/>
        <v>High Counselor</v>
      </c>
      <c r="W1603" t="str">
        <f t="shared" si="143"/>
        <v>Counselor</v>
      </c>
    </row>
    <row r="1604" spans="1:23" x14ac:dyDescent="0.25">
      <c r="A1604">
        <v>21301</v>
      </c>
      <c r="B1604" t="s">
        <v>1263</v>
      </c>
      <c r="C1604">
        <v>0.33</v>
      </c>
      <c r="D1604" t="s">
        <v>1264</v>
      </c>
      <c r="E1604">
        <v>100198</v>
      </c>
      <c r="F1604">
        <v>21301</v>
      </c>
      <c r="G1604" t="str">
        <f t="shared" si="141"/>
        <v>21301</v>
      </c>
      <c r="H1604" t="s">
        <v>443</v>
      </c>
      <c r="I1604" t="s">
        <v>1265</v>
      </c>
      <c r="J1604" t="s">
        <v>1266</v>
      </c>
      <c r="K1604" t="s">
        <v>1267</v>
      </c>
      <c r="L1604" t="s">
        <v>1263</v>
      </c>
      <c r="M1604" t="s">
        <v>1268</v>
      </c>
      <c r="N1604">
        <v>1</v>
      </c>
      <c r="O1604" t="str">
        <f t="shared" si="144"/>
        <v>42</v>
      </c>
      <c r="P1604">
        <v>42</v>
      </c>
      <c r="R1604" t="s">
        <v>1269</v>
      </c>
      <c r="S1604">
        <v>0.33</v>
      </c>
      <c r="T1604">
        <v>0.19239999999999999</v>
      </c>
      <c r="U1604">
        <f t="shared" si="145"/>
        <v>0</v>
      </c>
      <c r="V1604" t="str">
        <f t="shared" si="142"/>
        <v>Middle Counselor</v>
      </c>
      <c r="W1604" t="str">
        <f t="shared" si="143"/>
        <v>Counselor</v>
      </c>
    </row>
    <row r="1605" spans="1:23" x14ac:dyDescent="0.25">
      <c r="A1605">
        <v>21302</v>
      </c>
      <c r="B1605" t="s">
        <v>1286</v>
      </c>
      <c r="C1605">
        <v>1.242</v>
      </c>
      <c r="D1605" t="s">
        <v>1264</v>
      </c>
      <c r="E1605">
        <v>100041</v>
      </c>
      <c r="F1605">
        <v>21302</v>
      </c>
      <c r="G1605" t="str">
        <f t="shared" si="141"/>
        <v>21302</v>
      </c>
      <c r="H1605" t="s">
        <v>444</v>
      </c>
      <c r="I1605" t="s">
        <v>1265</v>
      </c>
      <c r="J1605" t="s">
        <v>1271</v>
      </c>
      <c r="K1605" t="s">
        <v>1272</v>
      </c>
      <c r="L1605" t="s">
        <v>1286</v>
      </c>
      <c r="M1605" t="s">
        <v>1287</v>
      </c>
      <c r="N1605">
        <v>1</v>
      </c>
      <c r="O1605" t="str">
        <f t="shared" si="144"/>
        <v>24</v>
      </c>
      <c r="P1605">
        <v>96</v>
      </c>
      <c r="Q1605">
        <v>24</v>
      </c>
      <c r="R1605" t="s">
        <v>1269</v>
      </c>
      <c r="S1605">
        <v>1.242</v>
      </c>
      <c r="T1605">
        <v>0.24959999999999999</v>
      </c>
      <c r="U1605">
        <f t="shared" si="145"/>
        <v>0</v>
      </c>
      <c r="V1605" t="str">
        <f t="shared" si="142"/>
        <v>High Family Engagement Coordinator</v>
      </c>
      <c r="W1605" t="str">
        <f t="shared" si="143"/>
        <v>Family Engagement Coordinator</v>
      </c>
    </row>
    <row r="1606" spans="1:23" x14ac:dyDescent="0.25">
      <c r="A1606">
        <v>21302</v>
      </c>
      <c r="B1606" t="s">
        <v>1284</v>
      </c>
      <c r="C1606">
        <v>0.44600000000000001</v>
      </c>
      <c r="D1606" t="s">
        <v>1264</v>
      </c>
      <c r="E1606">
        <v>100041</v>
      </c>
      <c r="F1606">
        <v>21302</v>
      </c>
      <c r="G1606" t="str">
        <f t="shared" si="141"/>
        <v>21302</v>
      </c>
      <c r="H1606" t="s">
        <v>444</v>
      </c>
      <c r="I1606" t="s">
        <v>1265</v>
      </c>
      <c r="J1606" t="s">
        <v>1266</v>
      </c>
      <c r="K1606" t="s">
        <v>1267</v>
      </c>
      <c r="L1606" t="s">
        <v>1284</v>
      </c>
      <c r="M1606" t="s">
        <v>1285</v>
      </c>
      <c r="N1606">
        <v>1</v>
      </c>
      <c r="O1606" t="str">
        <f t="shared" si="144"/>
        <v>24</v>
      </c>
      <c r="P1606">
        <v>96</v>
      </c>
      <c r="Q1606">
        <v>24</v>
      </c>
      <c r="R1606" t="s">
        <v>1269</v>
      </c>
      <c r="S1606">
        <v>0.44600000000000001</v>
      </c>
      <c r="T1606">
        <v>0.24959999999999999</v>
      </c>
      <c r="U1606">
        <f t="shared" si="145"/>
        <v>0</v>
      </c>
      <c r="V1606" t="str">
        <f t="shared" si="142"/>
        <v>Middle Family Engagement Coordinator</v>
      </c>
      <c r="W1606" t="str">
        <f t="shared" si="143"/>
        <v>Family Engagement Coordinator</v>
      </c>
    </row>
    <row r="1607" spans="1:23" x14ac:dyDescent="0.25">
      <c r="A1607">
        <v>21302</v>
      </c>
      <c r="B1607" t="s">
        <v>1301</v>
      </c>
      <c r="C1607">
        <v>0.505</v>
      </c>
      <c r="D1607" t="s">
        <v>1264</v>
      </c>
      <c r="E1607">
        <v>100041</v>
      </c>
      <c r="F1607">
        <v>21302</v>
      </c>
      <c r="G1607" t="str">
        <f t="shared" si="141"/>
        <v>21302</v>
      </c>
      <c r="H1607" t="s">
        <v>444</v>
      </c>
      <c r="I1607" t="s">
        <v>1265</v>
      </c>
      <c r="J1607" t="s">
        <v>1276</v>
      </c>
      <c r="K1607" t="s">
        <v>1277</v>
      </c>
      <c r="L1607" t="s">
        <v>1301</v>
      </c>
      <c r="M1607" t="s">
        <v>1427</v>
      </c>
      <c r="N1607">
        <v>21</v>
      </c>
      <c r="O1607" t="str">
        <f t="shared" si="144"/>
        <v>25</v>
      </c>
      <c r="Q1607">
        <v>25</v>
      </c>
      <c r="R1607" t="s">
        <v>1269</v>
      </c>
      <c r="S1607">
        <v>0.505</v>
      </c>
      <c r="T1607">
        <v>0.24959999999999999</v>
      </c>
      <c r="U1607">
        <f t="shared" si="145"/>
        <v>0.126</v>
      </c>
      <c r="V1607" t="str">
        <f t="shared" si="142"/>
        <v>Elementary Pupil Management</v>
      </c>
      <c r="W1607" t="str">
        <f t="shared" si="143"/>
        <v>Pupil Management</v>
      </c>
    </row>
    <row r="1608" spans="1:23" x14ac:dyDescent="0.25">
      <c r="A1608">
        <v>21302</v>
      </c>
      <c r="B1608" t="s">
        <v>1383</v>
      </c>
      <c r="C1608">
        <v>0.66500000000000004</v>
      </c>
      <c r="D1608" t="s">
        <v>1264</v>
      </c>
      <c r="E1608">
        <v>100041</v>
      </c>
      <c r="F1608">
        <v>21302</v>
      </c>
      <c r="G1608" t="str">
        <f t="shared" si="141"/>
        <v>21302</v>
      </c>
      <c r="H1608" t="s">
        <v>444</v>
      </c>
      <c r="I1608" t="s">
        <v>1265</v>
      </c>
      <c r="J1608" t="s">
        <v>1271</v>
      </c>
      <c r="K1608" t="s">
        <v>1272</v>
      </c>
      <c r="L1608" t="s">
        <v>1383</v>
      </c>
      <c r="M1608" t="s">
        <v>1409</v>
      </c>
      <c r="N1608">
        <v>21</v>
      </c>
      <c r="O1608" t="str">
        <f t="shared" si="144"/>
        <v>25</v>
      </c>
      <c r="Q1608">
        <v>25</v>
      </c>
      <c r="R1608" t="s">
        <v>1269</v>
      </c>
      <c r="S1608">
        <v>0.66500000000000004</v>
      </c>
      <c r="T1608">
        <v>0.24959999999999999</v>
      </c>
      <c r="U1608">
        <f t="shared" si="145"/>
        <v>0.16600000000000001</v>
      </c>
      <c r="V1608" t="str">
        <f t="shared" si="142"/>
        <v>High Pupil Management</v>
      </c>
      <c r="W1608" t="str">
        <f t="shared" si="143"/>
        <v>Pupil Management</v>
      </c>
    </row>
    <row r="1609" spans="1:23" x14ac:dyDescent="0.25">
      <c r="A1609">
        <v>21302</v>
      </c>
      <c r="B1609" t="s">
        <v>1299</v>
      </c>
      <c r="C1609">
        <v>3.9470000000000001</v>
      </c>
      <c r="D1609" t="s">
        <v>1264</v>
      </c>
      <c r="E1609">
        <v>100041</v>
      </c>
      <c r="F1609">
        <v>21302</v>
      </c>
      <c r="G1609" t="str">
        <f t="shared" si="141"/>
        <v>21302</v>
      </c>
      <c r="H1609" t="s">
        <v>444</v>
      </c>
      <c r="I1609" t="s">
        <v>1265</v>
      </c>
      <c r="J1609" t="s">
        <v>1271</v>
      </c>
      <c r="K1609" t="s">
        <v>1272</v>
      </c>
      <c r="L1609" t="s">
        <v>1299</v>
      </c>
      <c r="M1609" t="s">
        <v>1300</v>
      </c>
      <c r="N1609">
        <v>1</v>
      </c>
      <c r="O1609" t="str">
        <f t="shared" si="144"/>
        <v>25</v>
      </c>
      <c r="Q1609">
        <v>25</v>
      </c>
      <c r="R1609" t="s">
        <v>1269</v>
      </c>
      <c r="S1609">
        <v>3.9470000000000001</v>
      </c>
      <c r="T1609">
        <v>0.24959999999999999</v>
      </c>
      <c r="U1609">
        <f t="shared" si="145"/>
        <v>0</v>
      </c>
      <c r="V1609" t="str">
        <f t="shared" si="142"/>
        <v>High Pupil Management</v>
      </c>
      <c r="W1609" t="str">
        <f t="shared" si="143"/>
        <v>Pupil Management</v>
      </c>
    </row>
    <row r="1610" spans="1:23" x14ac:dyDescent="0.25">
      <c r="A1610">
        <v>21302</v>
      </c>
      <c r="B1610" t="s">
        <v>1324</v>
      </c>
      <c r="C1610">
        <v>1.2809999999999999</v>
      </c>
      <c r="D1610" t="s">
        <v>1264</v>
      </c>
      <c r="E1610">
        <v>100041</v>
      </c>
      <c r="F1610">
        <v>21302</v>
      </c>
      <c r="G1610" t="str">
        <f t="shared" si="141"/>
        <v>21302</v>
      </c>
      <c r="H1610" t="s">
        <v>444</v>
      </c>
      <c r="I1610" t="s">
        <v>1265</v>
      </c>
      <c r="J1610" t="s">
        <v>1271</v>
      </c>
      <c r="K1610" t="s">
        <v>1272</v>
      </c>
      <c r="L1610" t="s">
        <v>1324</v>
      </c>
      <c r="M1610" t="s">
        <v>1325</v>
      </c>
      <c r="N1610">
        <v>21</v>
      </c>
      <c r="O1610" t="str">
        <f t="shared" si="144"/>
        <v>26</v>
      </c>
      <c r="Q1610">
        <v>26</v>
      </c>
      <c r="R1610" t="s">
        <v>1269</v>
      </c>
      <c r="S1610">
        <v>1.2809999999999999</v>
      </c>
      <c r="T1610">
        <v>0.24959999999999999</v>
      </c>
      <c r="U1610">
        <f t="shared" si="145"/>
        <v>0.32</v>
      </c>
      <c r="V1610" t="str">
        <f t="shared" si="142"/>
        <v>High Health/
Related Services</v>
      </c>
      <c r="W1610" t="str">
        <f t="shared" si="143"/>
        <v>Health/
Related Services</v>
      </c>
    </row>
    <row r="1611" spans="1:23" x14ac:dyDescent="0.25">
      <c r="A1611">
        <v>21302</v>
      </c>
      <c r="B1611" t="s">
        <v>1295</v>
      </c>
      <c r="C1611">
        <v>2.113</v>
      </c>
      <c r="D1611" t="s">
        <v>1264</v>
      </c>
      <c r="E1611">
        <v>100041</v>
      </c>
      <c r="F1611">
        <v>21302</v>
      </c>
      <c r="G1611" t="str">
        <f t="shared" si="141"/>
        <v>21302</v>
      </c>
      <c r="H1611" t="s">
        <v>444</v>
      </c>
      <c r="I1611" t="s">
        <v>1265</v>
      </c>
      <c r="J1611" t="s">
        <v>1271</v>
      </c>
      <c r="K1611" t="s">
        <v>1272</v>
      </c>
      <c r="L1611" t="s">
        <v>1295</v>
      </c>
      <c r="M1611" t="s">
        <v>1296</v>
      </c>
      <c r="N1611">
        <v>1</v>
      </c>
      <c r="O1611" t="str">
        <f t="shared" si="144"/>
        <v>26</v>
      </c>
      <c r="Q1611">
        <v>26</v>
      </c>
      <c r="R1611" t="s">
        <v>1269</v>
      </c>
      <c r="S1611">
        <v>2.113</v>
      </c>
      <c r="T1611">
        <v>0.24959999999999999</v>
      </c>
      <c r="U1611">
        <f t="shared" si="145"/>
        <v>0</v>
      </c>
      <c r="V1611" t="str">
        <f t="shared" si="142"/>
        <v>High Health/
Related Services</v>
      </c>
      <c r="W1611" t="str">
        <f t="shared" si="143"/>
        <v>Health/
Related Services</v>
      </c>
    </row>
    <row r="1612" spans="1:23" x14ac:dyDescent="0.25">
      <c r="A1612">
        <v>21302</v>
      </c>
      <c r="B1612" t="s">
        <v>1402</v>
      </c>
      <c r="C1612">
        <v>1.462</v>
      </c>
      <c r="D1612" t="s">
        <v>1264</v>
      </c>
      <c r="E1612">
        <v>100041</v>
      </c>
      <c r="F1612">
        <v>21302</v>
      </c>
      <c r="G1612" t="str">
        <f t="shared" si="141"/>
        <v>21302</v>
      </c>
      <c r="H1612" t="s">
        <v>444</v>
      </c>
      <c r="I1612" t="s">
        <v>1265</v>
      </c>
      <c r="J1612" t="s">
        <v>1271</v>
      </c>
      <c r="K1612" t="s">
        <v>1272</v>
      </c>
      <c r="L1612" t="s">
        <v>1402</v>
      </c>
      <c r="M1612" t="s">
        <v>1408</v>
      </c>
      <c r="N1612">
        <v>97</v>
      </c>
      <c r="O1612" t="str">
        <f t="shared" si="144"/>
        <v>35</v>
      </c>
      <c r="Q1612">
        <v>35</v>
      </c>
      <c r="R1612" t="s">
        <v>1269</v>
      </c>
      <c r="S1612">
        <v>1.462</v>
      </c>
      <c r="T1612">
        <v>0.24959999999999999</v>
      </c>
      <c r="U1612">
        <f t="shared" si="145"/>
        <v>0</v>
      </c>
      <c r="V1612" t="str">
        <f t="shared" si="142"/>
        <v>High Pupil Safety</v>
      </c>
      <c r="W1612" t="str">
        <f t="shared" si="143"/>
        <v>Pupil Safety</v>
      </c>
    </row>
    <row r="1613" spans="1:23" x14ac:dyDescent="0.25">
      <c r="A1613">
        <v>21302</v>
      </c>
      <c r="B1613" t="s">
        <v>1319</v>
      </c>
      <c r="C1613">
        <v>0.15</v>
      </c>
      <c r="D1613" t="s">
        <v>1264</v>
      </c>
      <c r="E1613">
        <v>100041</v>
      </c>
      <c r="F1613">
        <v>21302</v>
      </c>
      <c r="G1613" t="str">
        <f t="shared" si="141"/>
        <v>21302</v>
      </c>
      <c r="H1613" t="s">
        <v>444</v>
      </c>
      <c r="I1613" t="s">
        <v>1265</v>
      </c>
      <c r="J1613" t="s">
        <v>1276</v>
      </c>
      <c r="K1613" t="s">
        <v>1277</v>
      </c>
      <c r="L1613" t="s">
        <v>1319</v>
      </c>
      <c r="M1613" t="s">
        <v>1426</v>
      </c>
      <c r="N1613">
        <v>21</v>
      </c>
      <c r="O1613" t="str">
        <f t="shared" si="144"/>
        <v>39</v>
      </c>
      <c r="P1613">
        <v>39</v>
      </c>
      <c r="R1613" t="s">
        <v>1269</v>
      </c>
      <c r="S1613">
        <v>0.15</v>
      </c>
      <c r="T1613">
        <v>0.24959999999999999</v>
      </c>
      <c r="U1613">
        <f t="shared" si="145"/>
        <v>3.6999999999999998E-2</v>
      </c>
      <c r="V1613" t="str">
        <f t="shared" si="142"/>
        <v>Elementary Orientation &amp; Mobility Specialist</v>
      </c>
      <c r="W1613" t="str">
        <f t="shared" si="143"/>
        <v>Orientation &amp; Mobility Specialist</v>
      </c>
    </row>
    <row r="1614" spans="1:23" x14ac:dyDescent="0.25">
      <c r="A1614">
        <v>21302</v>
      </c>
      <c r="B1614" t="s">
        <v>1384</v>
      </c>
      <c r="C1614">
        <v>0.15</v>
      </c>
      <c r="D1614" t="s">
        <v>1264</v>
      </c>
      <c r="E1614">
        <v>100041</v>
      </c>
      <c r="F1614">
        <v>21302</v>
      </c>
      <c r="G1614" t="str">
        <f t="shared" si="141"/>
        <v>21302</v>
      </c>
      <c r="H1614" t="s">
        <v>444</v>
      </c>
      <c r="I1614" t="s">
        <v>1265</v>
      </c>
      <c r="J1614" t="s">
        <v>1271</v>
      </c>
      <c r="K1614" t="s">
        <v>1272</v>
      </c>
      <c r="L1614" t="s">
        <v>1384</v>
      </c>
      <c r="M1614" t="s">
        <v>1425</v>
      </c>
      <c r="N1614">
        <v>21</v>
      </c>
      <c r="O1614" t="str">
        <f t="shared" si="144"/>
        <v>39</v>
      </c>
      <c r="P1614">
        <v>39</v>
      </c>
      <c r="R1614" t="s">
        <v>1269</v>
      </c>
      <c r="S1614">
        <v>0.15</v>
      </c>
      <c r="T1614">
        <v>0.24959999999999999</v>
      </c>
      <c r="U1614">
        <f t="shared" si="145"/>
        <v>3.6999999999999998E-2</v>
      </c>
      <c r="V1614" t="str">
        <f t="shared" si="142"/>
        <v>High Orientation &amp; Mobility Specialist</v>
      </c>
      <c r="W1614" t="str">
        <f t="shared" si="143"/>
        <v>Orientation &amp; Mobility Specialist</v>
      </c>
    </row>
    <row r="1615" spans="1:23" x14ac:dyDescent="0.25">
      <c r="A1615">
        <v>21302</v>
      </c>
      <c r="B1615" t="s">
        <v>1275</v>
      </c>
      <c r="C1615">
        <v>0.33300000000000002</v>
      </c>
      <c r="D1615" t="s">
        <v>1264</v>
      </c>
      <c r="E1615">
        <v>100041</v>
      </c>
      <c r="F1615">
        <v>21302</v>
      </c>
      <c r="G1615" t="str">
        <f t="shared" si="141"/>
        <v>21302</v>
      </c>
      <c r="H1615" t="s">
        <v>444</v>
      </c>
      <c r="I1615" t="s">
        <v>1265</v>
      </c>
      <c r="J1615" t="s">
        <v>1276</v>
      </c>
      <c r="K1615" t="s">
        <v>1277</v>
      </c>
      <c r="L1615" t="s">
        <v>1275</v>
      </c>
      <c r="M1615" t="s">
        <v>1278</v>
      </c>
      <c r="N1615">
        <v>1</v>
      </c>
      <c r="O1615" t="str">
        <f t="shared" si="144"/>
        <v>42</v>
      </c>
      <c r="P1615">
        <v>42</v>
      </c>
      <c r="R1615" t="s">
        <v>1269</v>
      </c>
      <c r="S1615">
        <v>0.33300000000000002</v>
      </c>
      <c r="T1615">
        <v>0.24959999999999999</v>
      </c>
      <c r="U1615">
        <f t="shared" si="145"/>
        <v>0</v>
      </c>
      <c r="V1615" t="str">
        <f t="shared" si="142"/>
        <v>Elementary Counselor</v>
      </c>
      <c r="W1615" t="str">
        <f t="shared" si="143"/>
        <v>Counselor</v>
      </c>
    </row>
    <row r="1616" spans="1:23" x14ac:dyDescent="0.25">
      <c r="A1616">
        <v>21302</v>
      </c>
      <c r="B1616" t="s">
        <v>1270</v>
      </c>
      <c r="C1616">
        <v>2.25</v>
      </c>
      <c r="D1616" t="s">
        <v>1264</v>
      </c>
      <c r="E1616">
        <v>100041</v>
      </c>
      <c r="F1616">
        <v>21302</v>
      </c>
      <c r="G1616" t="str">
        <f t="shared" si="141"/>
        <v>21302</v>
      </c>
      <c r="H1616" t="s">
        <v>444</v>
      </c>
      <c r="I1616" t="s">
        <v>1265</v>
      </c>
      <c r="J1616" t="s">
        <v>1271</v>
      </c>
      <c r="K1616" t="s">
        <v>1272</v>
      </c>
      <c r="L1616" t="s">
        <v>1270</v>
      </c>
      <c r="M1616" t="s">
        <v>1273</v>
      </c>
      <c r="N1616">
        <v>1</v>
      </c>
      <c r="O1616" t="str">
        <f t="shared" si="144"/>
        <v>42</v>
      </c>
      <c r="P1616">
        <v>42</v>
      </c>
      <c r="R1616" t="s">
        <v>1269</v>
      </c>
      <c r="S1616">
        <v>2.25</v>
      </c>
      <c r="T1616">
        <v>0.24959999999999999</v>
      </c>
      <c r="U1616">
        <f t="shared" si="145"/>
        <v>0</v>
      </c>
      <c r="V1616" t="str">
        <f t="shared" si="142"/>
        <v>High Counselor</v>
      </c>
      <c r="W1616" t="str">
        <f t="shared" si="143"/>
        <v>Counselor</v>
      </c>
    </row>
    <row r="1617" spans="1:23" x14ac:dyDescent="0.25">
      <c r="A1617">
        <v>21302</v>
      </c>
      <c r="B1617" t="s">
        <v>1263</v>
      </c>
      <c r="C1617">
        <v>1.667</v>
      </c>
      <c r="D1617" t="s">
        <v>1264</v>
      </c>
      <c r="E1617">
        <v>100041</v>
      </c>
      <c r="F1617">
        <v>21302</v>
      </c>
      <c r="G1617" t="str">
        <f t="shared" si="141"/>
        <v>21302</v>
      </c>
      <c r="H1617" t="s">
        <v>444</v>
      </c>
      <c r="I1617" t="s">
        <v>1265</v>
      </c>
      <c r="J1617" t="s">
        <v>1266</v>
      </c>
      <c r="K1617" t="s">
        <v>1267</v>
      </c>
      <c r="L1617" t="s">
        <v>1263</v>
      </c>
      <c r="M1617" t="s">
        <v>1268</v>
      </c>
      <c r="N1617">
        <v>1</v>
      </c>
      <c r="O1617" t="str">
        <f t="shared" si="144"/>
        <v>42</v>
      </c>
      <c r="P1617">
        <v>42</v>
      </c>
      <c r="R1617" t="s">
        <v>1269</v>
      </c>
      <c r="S1617">
        <v>1.667</v>
      </c>
      <c r="T1617">
        <v>0.24959999999999999</v>
      </c>
      <c r="U1617">
        <f t="shared" si="145"/>
        <v>0</v>
      </c>
      <c r="V1617" t="str">
        <f t="shared" si="142"/>
        <v>Middle Counselor</v>
      </c>
      <c r="W1617" t="str">
        <f t="shared" si="143"/>
        <v>Counselor</v>
      </c>
    </row>
    <row r="1618" spans="1:23" x14ac:dyDescent="0.25">
      <c r="A1618">
        <v>21302</v>
      </c>
      <c r="B1618" t="s">
        <v>1294</v>
      </c>
      <c r="C1618">
        <v>1.9</v>
      </c>
      <c r="D1618" t="s">
        <v>1264</v>
      </c>
      <c r="E1618">
        <v>100041</v>
      </c>
      <c r="F1618">
        <v>21302</v>
      </c>
      <c r="G1618" t="str">
        <f t="shared" si="141"/>
        <v>21302</v>
      </c>
      <c r="H1618" t="s">
        <v>444</v>
      </c>
      <c r="I1618" t="s">
        <v>1265</v>
      </c>
      <c r="J1618" t="s">
        <v>1276</v>
      </c>
      <c r="K1618" t="s">
        <v>1277</v>
      </c>
      <c r="L1618" t="s">
        <v>1294</v>
      </c>
      <c r="M1618" t="s">
        <v>1354</v>
      </c>
      <c r="N1618">
        <v>21</v>
      </c>
      <c r="O1618" t="str">
        <f t="shared" si="144"/>
        <v>45</v>
      </c>
      <c r="P1618">
        <v>45</v>
      </c>
      <c r="R1618" t="s">
        <v>1269</v>
      </c>
      <c r="S1618">
        <v>1.9</v>
      </c>
      <c r="T1618">
        <v>0.24959999999999999</v>
      </c>
      <c r="U1618">
        <f t="shared" si="145"/>
        <v>0.47399999999999998</v>
      </c>
      <c r="V1618" t="str">
        <f t="shared" si="142"/>
        <v>Elementary Speech, Language Pathway/
Audio</v>
      </c>
      <c r="W1618" t="str">
        <f t="shared" si="143"/>
        <v>Speech, Language Pathway/
Audio</v>
      </c>
    </row>
    <row r="1619" spans="1:23" x14ac:dyDescent="0.25">
      <c r="A1619">
        <v>21302</v>
      </c>
      <c r="B1619" t="s">
        <v>1326</v>
      </c>
      <c r="C1619">
        <v>0.1</v>
      </c>
      <c r="D1619" t="s">
        <v>1264</v>
      </c>
      <c r="E1619">
        <v>100041</v>
      </c>
      <c r="F1619">
        <v>21302</v>
      </c>
      <c r="G1619" t="str">
        <f t="shared" si="141"/>
        <v>21302</v>
      </c>
      <c r="H1619" t="s">
        <v>444</v>
      </c>
      <c r="I1619" t="s">
        <v>1265</v>
      </c>
      <c r="J1619" t="s">
        <v>1271</v>
      </c>
      <c r="K1619" t="s">
        <v>1272</v>
      </c>
      <c r="L1619" t="s">
        <v>1326</v>
      </c>
      <c r="M1619" t="s">
        <v>1353</v>
      </c>
      <c r="N1619">
        <v>21</v>
      </c>
      <c r="O1619" t="str">
        <f t="shared" si="144"/>
        <v>45</v>
      </c>
      <c r="P1619">
        <v>45</v>
      </c>
      <c r="R1619" t="s">
        <v>1269</v>
      </c>
      <c r="S1619">
        <v>0.1</v>
      </c>
      <c r="T1619">
        <v>0.24959999999999999</v>
      </c>
      <c r="U1619">
        <f t="shared" si="145"/>
        <v>2.5000000000000001E-2</v>
      </c>
      <c r="V1619" t="str">
        <f t="shared" si="142"/>
        <v>High Speech, Language Pathway/
Audio</v>
      </c>
      <c r="W1619" t="str">
        <f t="shared" si="143"/>
        <v>Speech, Language Pathway/
Audio</v>
      </c>
    </row>
    <row r="1620" spans="1:23" x14ac:dyDescent="0.25">
      <c r="A1620">
        <v>21302</v>
      </c>
      <c r="B1620" t="s">
        <v>1309</v>
      </c>
      <c r="C1620">
        <v>1</v>
      </c>
      <c r="D1620" t="s">
        <v>1264</v>
      </c>
      <c r="E1620">
        <v>100041</v>
      </c>
      <c r="F1620">
        <v>21302</v>
      </c>
      <c r="G1620" t="str">
        <f t="shared" si="141"/>
        <v>21302</v>
      </c>
      <c r="H1620" t="s">
        <v>444</v>
      </c>
      <c r="I1620" t="s">
        <v>1265</v>
      </c>
      <c r="J1620" t="s">
        <v>1271</v>
      </c>
      <c r="K1620" t="s">
        <v>1272</v>
      </c>
      <c r="L1620" t="s">
        <v>1309</v>
      </c>
      <c r="M1620" t="s">
        <v>1310</v>
      </c>
      <c r="N1620">
        <v>21</v>
      </c>
      <c r="O1620" t="str">
        <f t="shared" si="144"/>
        <v>46</v>
      </c>
      <c r="P1620">
        <v>46</v>
      </c>
      <c r="R1620" t="s">
        <v>1269</v>
      </c>
      <c r="S1620">
        <v>1</v>
      </c>
      <c r="T1620">
        <v>0.24959999999999999</v>
      </c>
      <c r="U1620">
        <f t="shared" si="145"/>
        <v>0.25</v>
      </c>
      <c r="V1620" t="str">
        <f t="shared" si="142"/>
        <v>High Psychologist</v>
      </c>
      <c r="W1620" t="str">
        <f t="shared" si="143"/>
        <v>Psychologist</v>
      </c>
    </row>
    <row r="1621" spans="1:23" x14ac:dyDescent="0.25">
      <c r="A1621">
        <v>21302</v>
      </c>
      <c r="B1621" t="s">
        <v>1335</v>
      </c>
      <c r="C1621">
        <v>0.57799999999999996</v>
      </c>
      <c r="D1621" t="s">
        <v>1264</v>
      </c>
      <c r="E1621">
        <v>100041</v>
      </c>
      <c r="F1621">
        <v>21302</v>
      </c>
      <c r="G1621" t="str">
        <f t="shared" si="141"/>
        <v>21302</v>
      </c>
      <c r="H1621" t="s">
        <v>444</v>
      </c>
      <c r="I1621" t="s">
        <v>1265</v>
      </c>
      <c r="J1621" t="s">
        <v>1276</v>
      </c>
      <c r="K1621" t="s">
        <v>1277</v>
      </c>
      <c r="L1621" t="s">
        <v>1335</v>
      </c>
      <c r="M1621" t="s">
        <v>1344</v>
      </c>
      <c r="N1621">
        <v>1</v>
      </c>
      <c r="O1621" t="str">
        <f t="shared" si="144"/>
        <v>47</v>
      </c>
      <c r="P1621">
        <v>47</v>
      </c>
      <c r="R1621" t="s">
        <v>1269</v>
      </c>
      <c r="S1621">
        <v>0.57799999999999996</v>
      </c>
      <c r="T1621">
        <v>0.24959999999999999</v>
      </c>
      <c r="U1621">
        <f t="shared" si="145"/>
        <v>0</v>
      </c>
      <c r="V1621" t="str">
        <f t="shared" si="142"/>
        <v>Elementary Nurse</v>
      </c>
      <c r="W1621" t="str">
        <f t="shared" si="143"/>
        <v>Nurse</v>
      </c>
    </row>
    <row r="1622" spans="1:23" x14ac:dyDescent="0.25">
      <c r="A1622">
        <v>21302</v>
      </c>
      <c r="B1622" t="s">
        <v>1341</v>
      </c>
      <c r="C1622">
        <v>0.75</v>
      </c>
      <c r="D1622" t="s">
        <v>1264</v>
      </c>
      <c r="E1622">
        <v>100041</v>
      </c>
      <c r="F1622">
        <v>21302</v>
      </c>
      <c r="G1622" t="str">
        <f t="shared" si="141"/>
        <v>21302</v>
      </c>
      <c r="H1622" t="s">
        <v>444</v>
      </c>
      <c r="I1622" t="s">
        <v>1265</v>
      </c>
      <c r="J1622" t="s">
        <v>1271</v>
      </c>
      <c r="K1622" t="s">
        <v>1272</v>
      </c>
      <c r="L1622" t="s">
        <v>1341</v>
      </c>
      <c r="M1622" t="s">
        <v>1342</v>
      </c>
      <c r="N1622">
        <v>1</v>
      </c>
      <c r="O1622" t="str">
        <f t="shared" si="144"/>
        <v>47</v>
      </c>
      <c r="P1622">
        <v>47</v>
      </c>
      <c r="R1622" t="s">
        <v>1269</v>
      </c>
      <c r="S1622">
        <v>0.75</v>
      </c>
      <c r="T1622">
        <v>0.24959999999999999</v>
      </c>
      <c r="U1622">
        <f t="shared" si="145"/>
        <v>0</v>
      </c>
      <c r="V1622" t="str">
        <f t="shared" si="142"/>
        <v>High Nurse</v>
      </c>
      <c r="W1622" t="str">
        <f t="shared" si="143"/>
        <v>Nurse</v>
      </c>
    </row>
    <row r="1623" spans="1:23" x14ac:dyDescent="0.25">
      <c r="A1623">
        <v>21302</v>
      </c>
      <c r="B1623" t="s">
        <v>1302</v>
      </c>
      <c r="C1623">
        <v>0.66</v>
      </c>
      <c r="D1623" t="s">
        <v>1264</v>
      </c>
      <c r="E1623">
        <v>100041</v>
      </c>
      <c r="F1623">
        <v>21302</v>
      </c>
      <c r="G1623" t="str">
        <f t="shared" si="141"/>
        <v>21302</v>
      </c>
      <c r="H1623" t="s">
        <v>444</v>
      </c>
      <c r="I1623" t="s">
        <v>1265</v>
      </c>
      <c r="J1623" t="s">
        <v>1276</v>
      </c>
      <c r="K1623" t="s">
        <v>1277</v>
      </c>
      <c r="L1623" t="s">
        <v>1302</v>
      </c>
      <c r="M1623" t="s">
        <v>1336</v>
      </c>
      <c r="N1623">
        <v>21</v>
      </c>
      <c r="O1623" t="str">
        <f t="shared" si="144"/>
        <v>48</v>
      </c>
      <c r="P1623">
        <v>48</v>
      </c>
      <c r="R1623" t="s">
        <v>1269</v>
      </c>
      <c r="S1623">
        <v>0.66</v>
      </c>
      <c r="T1623">
        <v>0.24959999999999999</v>
      </c>
      <c r="U1623">
        <f t="shared" si="145"/>
        <v>0.16500000000000001</v>
      </c>
      <c r="V1623" t="str">
        <f t="shared" si="142"/>
        <v>Elementary Physical Therapist</v>
      </c>
      <c r="W1623" t="str">
        <f t="shared" si="143"/>
        <v>Physical Therapist</v>
      </c>
    </row>
    <row r="1624" spans="1:23" x14ac:dyDescent="0.25">
      <c r="A1624">
        <v>21302</v>
      </c>
      <c r="B1624" t="s">
        <v>1330</v>
      </c>
      <c r="C1624">
        <v>0.19</v>
      </c>
      <c r="D1624" t="s">
        <v>1264</v>
      </c>
      <c r="E1624">
        <v>100041</v>
      </c>
      <c r="F1624">
        <v>21302</v>
      </c>
      <c r="G1624" t="str">
        <f t="shared" si="141"/>
        <v>21302</v>
      </c>
      <c r="H1624" t="s">
        <v>444</v>
      </c>
      <c r="I1624" t="s">
        <v>1265</v>
      </c>
      <c r="J1624" t="s">
        <v>1271</v>
      </c>
      <c r="K1624" t="s">
        <v>1272</v>
      </c>
      <c r="L1624" t="s">
        <v>1330</v>
      </c>
      <c r="M1624" t="s">
        <v>1367</v>
      </c>
      <c r="N1624">
        <v>21</v>
      </c>
      <c r="O1624" t="str">
        <f t="shared" si="144"/>
        <v>48</v>
      </c>
      <c r="P1624">
        <v>48</v>
      </c>
      <c r="R1624" t="s">
        <v>1269</v>
      </c>
      <c r="S1624">
        <v>0.19</v>
      </c>
      <c r="T1624">
        <v>0.24959999999999999</v>
      </c>
      <c r="U1624">
        <f t="shared" si="145"/>
        <v>4.7E-2</v>
      </c>
      <c r="V1624" t="str">
        <f t="shared" si="142"/>
        <v>High Physical Therapist</v>
      </c>
      <c r="W1624" t="str">
        <f t="shared" si="143"/>
        <v>Physical Therapist</v>
      </c>
    </row>
    <row r="1625" spans="1:23" x14ac:dyDescent="0.25">
      <c r="A1625">
        <v>21303</v>
      </c>
      <c r="B1625" t="s">
        <v>1308</v>
      </c>
      <c r="C1625">
        <v>3.2370000000000001</v>
      </c>
      <c r="D1625" t="s">
        <v>1264</v>
      </c>
      <c r="E1625">
        <v>100293</v>
      </c>
      <c r="F1625">
        <v>21303</v>
      </c>
      <c r="G1625" t="str">
        <f t="shared" si="141"/>
        <v>21303</v>
      </c>
      <c r="H1625" t="s">
        <v>445</v>
      </c>
      <c r="I1625" t="s">
        <v>1265</v>
      </c>
      <c r="J1625" t="s">
        <v>1276</v>
      </c>
      <c r="K1625" t="s">
        <v>1277</v>
      </c>
      <c r="L1625" t="s">
        <v>1308</v>
      </c>
      <c r="M1625" t="s">
        <v>1389</v>
      </c>
      <c r="N1625">
        <v>1</v>
      </c>
      <c r="O1625" t="str">
        <f t="shared" si="144"/>
        <v>25</v>
      </c>
      <c r="Q1625">
        <v>25</v>
      </c>
      <c r="R1625" t="s">
        <v>1269</v>
      </c>
      <c r="S1625">
        <v>3.2370000000000001</v>
      </c>
      <c r="T1625">
        <v>0.2132</v>
      </c>
      <c r="U1625">
        <f t="shared" si="145"/>
        <v>0</v>
      </c>
      <c r="V1625" t="str">
        <f t="shared" si="142"/>
        <v>Elementary Pupil Management</v>
      </c>
      <c r="W1625" t="str">
        <f t="shared" si="143"/>
        <v>Pupil Management</v>
      </c>
    </row>
    <row r="1626" spans="1:23" x14ac:dyDescent="0.25">
      <c r="A1626">
        <v>21303</v>
      </c>
      <c r="B1626" t="s">
        <v>1299</v>
      </c>
      <c r="C1626">
        <v>0.372</v>
      </c>
      <c r="D1626" t="s">
        <v>1264</v>
      </c>
      <c r="E1626">
        <v>100293</v>
      </c>
      <c r="F1626">
        <v>21303</v>
      </c>
      <c r="G1626" t="str">
        <f t="shared" si="141"/>
        <v>21303</v>
      </c>
      <c r="H1626" t="s">
        <v>445</v>
      </c>
      <c r="I1626" t="s">
        <v>1265</v>
      </c>
      <c r="J1626" t="s">
        <v>1271</v>
      </c>
      <c r="K1626" t="s">
        <v>1272</v>
      </c>
      <c r="L1626" t="s">
        <v>1299</v>
      </c>
      <c r="M1626" t="s">
        <v>1300</v>
      </c>
      <c r="N1626">
        <v>1</v>
      </c>
      <c r="O1626" t="str">
        <f t="shared" si="144"/>
        <v>25</v>
      </c>
      <c r="Q1626">
        <v>25</v>
      </c>
      <c r="R1626" t="s">
        <v>1269</v>
      </c>
      <c r="S1626">
        <v>0.372</v>
      </c>
      <c r="T1626">
        <v>0.2132</v>
      </c>
      <c r="U1626">
        <f t="shared" si="145"/>
        <v>0</v>
      </c>
      <c r="V1626" t="str">
        <f t="shared" si="142"/>
        <v>High Pupil Management</v>
      </c>
      <c r="W1626" t="str">
        <f t="shared" si="143"/>
        <v>Pupil Management</v>
      </c>
    </row>
    <row r="1627" spans="1:23" x14ac:dyDescent="0.25">
      <c r="A1627">
        <v>21303</v>
      </c>
      <c r="B1627" t="s">
        <v>1275</v>
      </c>
      <c r="C1627">
        <v>0.313</v>
      </c>
      <c r="D1627" t="s">
        <v>1264</v>
      </c>
      <c r="E1627">
        <v>100293</v>
      </c>
      <c r="F1627">
        <v>21303</v>
      </c>
      <c r="G1627" t="str">
        <f t="shared" si="141"/>
        <v>21303</v>
      </c>
      <c r="H1627" t="s">
        <v>445</v>
      </c>
      <c r="I1627" t="s">
        <v>1265</v>
      </c>
      <c r="J1627" t="s">
        <v>1276</v>
      </c>
      <c r="K1627" t="s">
        <v>1277</v>
      </c>
      <c r="L1627" t="s">
        <v>1275</v>
      </c>
      <c r="M1627" t="s">
        <v>1278</v>
      </c>
      <c r="N1627">
        <v>1</v>
      </c>
      <c r="O1627" t="str">
        <f t="shared" si="144"/>
        <v>42</v>
      </c>
      <c r="P1627">
        <v>42</v>
      </c>
      <c r="R1627" t="s">
        <v>1269</v>
      </c>
      <c r="S1627">
        <v>0.313</v>
      </c>
      <c r="T1627">
        <v>0.2132</v>
      </c>
      <c r="U1627">
        <f t="shared" si="145"/>
        <v>0</v>
      </c>
      <c r="V1627" t="str">
        <f t="shared" si="142"/>
        <v>Elementary Counselor</v>
      </c>
      <c r="W1627" t="str">
        <f t="shared" si="143"/>
        <v>Counselor</v>
      </c>
    </row>
    <row r="1628" spans="1:23" x14ac:dyDescent="0.25">
      <c r="A1628">
        <v>21303</v>
      </c>
      <c r="B1628" t="s">
        <v>1270</v>
      </c>
      <c r="C1628">
        <v>0.38700000000000001</v>
      </c>
      <c r="D1628" t="s">
        <v>1264</v>
      </c>
      <c r="E1628">
        <v>100293</v>
      </c>
      <c r="F1628">
        <v>21303</v>
      </c>
      <c r="G1628" t="str">
        <f t="shared" si="141"/>
        <v>21303</v>
      </c>
      <c r="H1628" t="s">
        <v>445</v>
      </c>
      <c r="I1628" t="s">
        <v>1265</v>
      </c>
      <c r="J1628" t="s">
        <v>1271</v>
      </c>
      <c r="K1628" t="s">
        <v>1272</v>
      </c>
      <c r="L1628" t="s">
        <v>1270</v>
      </c>
      <c r="M1628" t="s">
        <v>1273</v>
      </c>
      <c r="N1628">
        <v>1</v>
      </c>
      <c r="O1628" t="str">
        <f t="shared" si="144"/>
        <v>42</v>
      </c>
      <c r="P1628">
        <v>42</v>
      </c>
      <c r="R1628" t="s">
        <v>1269</v>
      </c>
      <c r="S1628">
        <v>0.38700000000000001</v>
      </c>
      <c r="T1628">
        <v>0.2132</v>
      </c>
      <c r="U1628">
        <f t="shared" si="145"/>
        <v>0</v>
      </c>
      <c r="V1628" t="str">
        <f t="shared" si="142"/>
        <v>High Counselor</v>
      </c>
      <c r="W1628" t="str">
        <f t="shared" si="143"/>
        <v>Counselor</v>
      </c>
    </row>
    <row r="1629" spans="1:23" x14ac:dyDescent="0.25">
      <c r="A1629">
        <v>21303</v>
      </c>
      <c r="B1629" t="s">
        <v>1335</v>
      </c>
      <c r="C1629">
        <v>0.23799999999999999</v>
      </c>
      <c r="D1629" t="s">
        <v>1264</v>
      </c>
      <c r="E1629">
        <v>100293</v>
      </c>
      <c r="F1629">
        <v>21303</v>
      </c>
      <c r="G1629" t="str">
        <f t="shared" si="141"/>
        <v>21303</v>
      </c>
      <c r="H1629" t="s">
        <v>445</v>
      </c>
      <c r="I1629" t="s">
        <v>1265</v>
      </c>
      <c r="J1629" t="s">
        <v>1276</v>
      </c>
      <c r="K1629" t="s">
        <v>1277</v>
      </c>
      <c r="L1629" t="s">
        <v>1335</v>
      </c>
      <c r="M1629" t="s">
        <v>1344</v>
      </c>
      <c r="N1629">
        <v>1</v>
      </c>
      <c r="O1629" t="str">
        <f t="shared" si="144"/>
        <v>47</v>
      </c>
      <c r="P1629">
        <v>47</v>
      </c>
      <c r="R1629" t="s">
        <v>1269</v>
      </c>
      <c r="S1629">
        <v>0.23799999999999999</v>
      </c>
      <c r="T1629">
        <v>0.2132</v>
      </c>
      <c r="U1629">
        <f t="shared" si="145"/>
        <v>0</v>
      </c>
      <c r="V1629" t="str">
        <f t="shared" si="142"/>
        <v>Elementary Nurse</v>
      </c>
      <c r="W1629" t="str">
        <f t="shared" si="143"/>
        <v>Nurse</v>
      </c>
    </row>
    <row r="1630" spans="1:23" x14ac:dyDescent="0.25">
      <c r="A1630">
        <v>21303</v>
      </c>
      <c r="B1630" t="s">
        <v>1341</v>
      </c>
      <c r="C1630">
        <v>8.1000000000000003E-2</v>
      </c>
      <c r="D1630" t="s">
        <v>1264</v>
      </c>
      <c r="E1630">
        <v>100293</v>
      </c>
      <c r="F1630">
        <v>21303</v>
      </c>
      <c r="G1630" t="str">
        <f t="shared" si="141"/>
        <v>21303</v>
      </c>
      <c r="H1630" t="s">
        <v>445</v>
      </c>
      <c r="I1630" t="s">
        <v>1265</v>
      </c>
      <c r="J1630" t="s">
        <v>1271</v>
      </c>
      <c r="K1630" t="s">
        <v>1272</v>
      </c>
      <c r="L1630" t="s">
        <v>1341</v>
      </c>
      <c r="M1630" t="s">
        <v>1342</v>
      </c>
      <c r="N1630">
        <v>1</v>
      </c>
      <c r="O1630" t="str">
        <f t="shared" si="144"/>
        <v>47</v>
      </c>
      <c r="P1630">
        <v>47</v>
      </c>
      <c r="R1630" t="s">
        <v>1269</v>
      </c>
      <c r="S1630">
        <v>8.1000000000000003E-2</v>
      </c>
      <c r="T1630">
        <v>0.2132</v>
      </c>
      <c r="U1630">
        <f t="shared" si="145"/>
        <v>0</v>
      </c>
      <c r="V1630" t="str">
        <f t="shared" si="142"/>
        <v>High Nurse</v>
      </c>
      <c r="W1630" t="str">
        <f t="shared" si="143"/>
        <v>Nurse</v>
      </c>
    </row>
    <row r="1631" spans="1:23" x14ac:dyDescent="0.25">
      <c r="A1631">
        <v>21303</v>
      </c>
      <c r="B1631" t="s">
        <v>1338</v>
      </c>
      <c r="C1631">
        <v>8.1000000000000003E-2</v>
      </c>
      <c r="D1631" t="s">
        <v>1264</v>
      </c>
      <c r="E1631">
        <v>100293</v>
      </c>
      <c r="F1631">
        <v>21303</v>
      </c>
      <c r="G1631" t="str">
        <f t="shared" si="141"/>
        <v>21303</v>
      </c>
      <c r="H1631" t="s">
        <v>445</v>
      </c>
      <c r="I1631" t="s">
        <v>1265</v>
      </c>
      <c r="J1631" t="s">
        <v>1266</v>
      </c>
      <c r="K1631" t="s">
        <v>1267</v>
      </c>
      <c r="L1631" t="s">
        <v>1338</v>
      </c>
      <c r="M1631" t="s">
        <v>1339</v>
      </c>
      <c r="N1631">
        <v>1</v>
      </c>
      <c r="O1631" t="str">
        <f t="shared" si="144"/>
        <v>47</v>
      </c>
      <c r="P1631">
        <v>47</v>
      </c>
      <c r="R1631" t="s">
        <v>1269</v>
      </c>
      <c r="S1631">
        <v>8.1000000000000003E-2</v>
      </c>
      <c r="T1631">
        <v>0.2132</v>
      </c>
      <c r="U1631">
        <f t="shared" si="145"/>
        <v>0</v>
      </c>
      <c r="V1631" t="str">
        <f t="shared" si="142"/>
        <v>Middle Nurse</v>
      </c>
      <c r="W1631" t="str">
        <f t="shared" si="143"/>
        <v>Nurse</v>
      </c>
    </row>
    <row r="1632" spans="1:23" x14ac:dyDescent="0.25">
      <c r="A1632">
        <v>21401</v>
      </c>
      <c r="B1632" t="s">
        <v>1383</v>
      </c>
      <c r="C1632">
        <v>3.2080000000000002</v>
      </c>
      <c r="D1632" t="s">
        <v>1264</v>
      </c>
      <c r="E1632">
        <v>100040</v>
      </c>
      <c r="F1632">
        <v>21401</v>
      </c>
      <c r="G1632" t="str">
        <f t="shared" si="141"/>
        <v>21401</v>
      </c>
      <c r="H1632" t="s">
        <v>446</v>
      </c>
      <c r="I1632" t="s">
        <v>1265</v>
      </c>
      <c r="J1632" t="s">
        <v>1271</v>
      </c>
      <c r="K1632" t="s">
        <v>1272</v>
      </c>
      <c r="L1632" t="s">
        <v>1383</v>
      </c>
      <c r="M1632" t="s">
        <v>1409</v>
      </c>
      <c r="N1632">
        <v>21</v>
      </c>
      <c r="O1632" t="str">
        <f t="shared" si="144"/>
        <v>25</v>
      </c>
      <c r="Q1632">
        <v>25</v>
      </c>
      <c r="R1632" t="s">
        <v>1269</v>
      </c>
      <c r="S1632">
        <v>3.2080000000000002</v>
      </c>
      <c r="T1632">
        <v>0.2707</v>
      </c>
      <c r="U1632">
        <f t="shared" si="145"/>
        <v>0.86799999999999999</v>
      </c>
      <c r="V1632" t="str">
        <f t="shared" si="142"/>
        <v>High Pupil Management</v>
      </c>
      <c r="W1632" t="str">
        <f t="shared" si="143"/>
        <v>Pupil Management</v>
      </c>
    </row>
    <row r="1633" spans="1:23" x14ac:dyDescent="0.25">
      <c r="A1633">
        <v>21401</v>
      </c>
      <c r="B1633" t="s">
        <v>1299</v>
      </c>
      <c r="C1633">
        <v>0.75800000000000001</v>
      </c>
      <c r="D1633" t="s">
        <v>1264</v>
      </c>
      <c r="E1633">
        <v>100040</v>
      </c>
      <c r="F1633">
        <v>21401</v>
      </c>
      <c r="G1633" t="str">
        <f t="shared" si="141"/>
        <v>21401</v>
      </c>
      <c r="H1633" t="s">
        <v>446</v>
      </c>
      <c r="I1633" t="s">
        <v>1265</v>
      </c>
      <c r="J1633" t="s">
        <v>1271</v>
      </c>
      <c r="K1633" t="s">
        <v>1272</v>
      </c>
      <c r="L1633" t="s">
        <v>1299</v>
      </c>
      <c r="M1633" t="s">
        <v>1300</v>
      </c>
      <c r="N1633">
        <v>1</v>
      </c>
      <c r="O1633" t="str">
        <f t="shared" si="144"/>
        <v>25</v>
      </c>
      <c r="Q1633">
        <v>25</v>
      </c>
      <c r="R1633" t="s">
        <v>1269</v>
      </c>
      <c r="S1633">
        <v>0.75800000000000001</v>
      </c>
      <c r="T1633">
        <v>0.2707</v>
      </c>
      <c r="U1633">
        <f t="shared" si="145"/>
        <v>0</v>
      </c>
      <c r="V1633" t="str">
        <f t="shared" si="142"/>
        <v>High Pupil Management</v>
      </c>
      <c r="W1633" t="str">
        <f t="shared" si="143"/>
        <v>Pupil Management</v>
      </c>
    </row>
    <row r="1634" spans="1:23" x14ac:dyDescent="0.25">
      <c r="A1634">
        <v>21401</v>
      </c>
      <c r="B1634" t="s">
        <v>1315</v>
      </c>
      <c r="C1634">
        <v>1.389</v>
      </c>
      <c r="D1634" t="s">
        <v>1264</v>
      </c>
      <c r="E1634">
        <v>100040</v>
      </c>
      <c r="F1634">
        <v>21401</v>
      </c>
      <c r="G1634" t="str">
        <f t="shared" si="141"/>
        <v>21401</v>
      </c>
      <c r="H1634" t="s">
        <v>446</v>
      </c>
      <c r="I1634" t="s">
        <v>1265</v>
      </c>
      <c r="J1634" t="s">
        <v>1276</v>
      </c>
      <c r="K1634" t="s">
        <v>1277</v>
      </c>
      <c r="L1634" t="s">
        <v>1315</v>
      </c>
      <c r="M1634" t="s">
        <v>1375</v>
      </c>
      <c r="N1634">
        <v>1</v>
      </c>
      <c r="O1634" t="str">
        <f t="shared" si="144"/>
        <v>26</v>
      </c>
      <c r="Q1634">
        <v>26</v>
      </c>
      <c r="R1634" t="s">
        <v>1269</v>
      </c>
      <c r="S1634">
        <v>1.389</v>
      </c>
      <c r="T1634">
        <v>0.2707</v>
      </c>
      <c r="U1634">
        <f t="shared" si="145"/>
        <v>0</v>
      </c>
      <c r="V1634" t="str">
        <f t="shared" si="142"/>
        <v>Elementary Health/
Related Services</v>
      </c>
      <c r="W1634" t="str">
        <f t="shared" si="143"/>
        <v>Health/
Related Services</v>
      </c>
    </row>
    <row r="1635" spans="1:23" x14ac:dyDescent="0.25">
      <c r="A1635">
        <v>21401</v>
      </c>
      <c r="B1635" t="s">
        <v>1324</v>
      </c>
      <c r="C1635">
        <v>0.20499999999999999</v>
      </c>
      <c r="D1635" t="s">
        <v>1264</v>
      </c>
      <c r="E1635">
        <v>100040</v>
      </c>
      <c r="F1635">
        <v>21401</v>
      </c>
      <c r="G1635" t="str">
        <f t="shared" si="141"/>
        <v>21401</v>
      </c>
      <c r="H1635" t="s">
        <v>446</v>
      </c>
      <c r="I1635" t="s">
        <v>1265</v>
      </c>
      <c r="J1635" t="s">
        <v>1271</v>
      </c>
      <c r="K1635" t="s">
        <v>1272</v>
      </c>
      <c r="L1635" t="s">
        <v>1324</v>
      </c>
      <c r="M1635" t="s">
        <v>1325</v>
      </c>
      <c r="N1635">
        <v>21</v>
      </c>
      <c r="O1635" t="str">
        <f t="shared" si="144"/>
        <v>26</v>
      </c>
      <c r="Q1635">
        <v>26</v>
      </c>
      <c r="R1635" t="s">
        <v>1269</v>
      </c>
      <c r="S1635">
        <v>0.20499999999999999</v>
      </c>
      <c r="T1635">
        <v>0.2707</v>
      </c>
      <c r="U1635">
        <f t="shared" si="145"/>
        <v>5.5E-2</v>
      </c>
      <c r="V1635" t="str">
        <f t="shared" si="142"/>
        <v>High Health/
Related Services</v>
      </c>
      <c r="W1635" t="str">
        <f t="shared" si="143"/>
        <v>Health/
Related Services</v>
      </c>
    </row>
    <row r="1636" spans="1:23" x14ac:dyDescent="0.25">
      <c r="A1636">
        <v>21401</v>
      </c>
      <c r="B1636" t="s">
        <v>1295</v>
      </c>
      <c r="C1636">
        <v>3.718</v>
      </c>
      <c r="D1636" t="s">
        <v>1264</v>
      </c>
      <c r="E1636">
        <v>100040</v>
      </c>
      <c r="F1636">
        <v>21401</v>
      </c>
      <c r="G1636" t="str">
        <f t="shared" si="141"/>
        <v>21401</v>
      </c>
      <c r="H1636" t="s">
        <v>446</v>
      </c>
      <c r="I1636" t="s">
        <v>1265</v>
      </c>
      <c r="J1636" t="s">
        <v>1271</v>
      </c>
      <c r="K1636" t="s">
        <v>1272</v>
      </c>
      <c r="L1636" t="s">
        <v>1295</v>
      </c>
      <c r="M1636" t="s">
        <v>1296</v>
      </c>
      <c r="N1636">
        <v>1</v>
      </c>
      <c r="O1636" t="str">
        <f t="shared" si="144"/>
        <v>26</v>
      </c>
      <c r="Q1636">
        <v>26</v>
      </c>
      <c r="R1636" t="s">
        <v>1269</v>
      </c>
      <c r="S1636">
        <v>3.718</v>
      </c>
      <c r="T1636">
        <v>0.2707</v>
      </c>
      <c r="U1636">
        <f t="shared" si="145"/>
        <v>0</v>
      </c>
      <c r="V1636" t="str">
        <f t="shared" si="142"/>
        <v>High Health/
Related Services</v>
      </c>
      <c r="W1636" t="str">
        <f t="shared" si="143"/>
        <v>Health/
Related Services</v>
      </c>
    </row>
    <row r="1637" spans="1:23" x14ac:dyDescent="0.25">
      <c r="A1637">
        <v>21401</v>
      </c>
      <c r="B1637" t="s">
        <v>1322</v>
      </c>
      <c r="C1637">
        <v>0.36899999999999999</v>
      </c>
      <c r="D1637" t="s">
        <v>1264</v>
      </c>
      <c r="E1637">
        <v>100040</v>
      </c>
      <c r="F1637">
        <v>21401</v>
      </c>
      <c r="G1637" t="str">
        <f t="shared" si="141"/>
        <v>21401</v>
      </c>
      <c r="H1637" t="s">
        <v>446</v>
      </c>
      <c r="I1637" t="s">
        <v>1265</v>
      </c>
      <c r="J1637" t="s">
        <v>1266</v>
      </c>
      <c r="K1637" t="s">
        <v>1267</v>
      </c>
      <c r="L1637" t="s">
        <v>1322</v>
      </c>
      <c r="M1637" t="s">
        <v>1323</v>
      </c>
      <c r="N1637">
        <v>21</v>
      </c>
      <c r="O1637" t="str">
        <f t="shared" si="144"/>
        <v>26</v>
      </c>
      <c r="Q1637">
        <v>26</v>
      </c>
      <c r="R1637" t="s">
        <v>1269</v>
      </c>
      <c r="S1637">
        <v>0.36899999999999999</v>
      </c>
      <c r="T1637">
        <v>0.2707</v>
      </c>
      <c r="U1637">
        <f t="shared" si="145"/>
        <v>0.1</v>
      </c>
      <c r="V1637" t="str">
        <f t="shared" si="142"/>
        <v>Middle Health/
Related Services</v>
      </c>
      <c r="W1637" t="str">
        <f t="shared" si="143"/>
        <v>Health/
Related Services</v>
      </c>
    </row>
    <row r="1638" spans="1:23" x14ac:dyDescent="0.25">
      <c r="A1638">
        <v>21401</v>
      </c>
      <c r="B1638" t="s">
        <v>1291</v>
      </c>
      <c r="C1638">
        <v>0.752</v>
      </c>
      <c r="D1638" t="s">
        <v>1264</v>
      </c>
      <c r="E1638">
        <v>100040</v>
      </c>
      <c r="F1638">
        <v>21401</v>
      </c>
      <c r="G1638" t="str">
        <f t="shared" si="141"/>
        <v>21401</v>
      </c>
      <c r="H1638" t="s">
        <v>446</v>
      </c>
      <c r="I1638" t="s">
        <v>1265</v>
      </c>
      <c r="J1638" t="s">
        <v>1266</v>
      </c>
      <c r="K1638" t="s">
        <v>1267</v>
      </c>
      <c r="L1638" t="s">
        <v>1291</v>
      </c>
      <c r="M1638" t="s">
        <v>1292</v>
      </c>
      <c r="N1638">
        <v>1</v>
      </c>
      <c r="O1638" t="str">
        <f t="shared" si="144"/>
        <v>26</v>
      </c>
      <c r="Q1638">
        <v>26</v>
      </c>
      <c r="R1638" t="s">
        <v>1269</v>
      </c>
      <c r="S1638">
        <v>0.752</v>
      </c>
      <c r="T1638">
        <v>0.2707</v>
      </c>
      <c r="U1638">
        <f t="shared" si="145"/>
        <v>0</v>
      </c>
      <c r="V1638" t="str">
        <f t="shared" si="142"/>
        <v>Middle Health/
Related Services</v>
      </c>
      <c r="W1638" t="str">
        <f t="shared" si="143"/>
        <v>Health/
Related Services</v>
      </c>
    </row>
    <row r="1639" spans="1:23" x14ac:dyDescent="0.25">
      <c r="A1639">
        <v>21401</v>
      </c>
      <c r="B1639" t="s">
        <v>1275</v>
      </c>
      <c r="C1639">
        <v>5</v>
      </c>
      <c r="D1639" t="s">
        <v>1264</v>
      </c>
      <c r="E1639">
        <v>100040</v>
      </c>
      <c r="F1639">
        <v>21401</v>
      </c>
      <c r="G1639" t="str">
        <f t="shared" si="141"/>
        <v>21401</v>
      </c>
      <c r="H1639" t="s">
        <v>446</v>
      </c>
      <c r="I1639" t="s">
        <v>1265</v>
      </c>
      <c r="J1639" t="s">
        <v>1276</v>
      </c>
      <c r="K1639" t="s">
        <v>1277</v>
      </c>
      <c r="L1639" t="s">
        <v>1275</v>
      </c>
      <c r="M1639" t="s">
        <v>1278</v>
      </c>
      <c r="N1639">
        <v>1</v>
      </c>
      <c r="O1639" t="str">
        <f t="shared" si="144"/>
        <v>42</v>
      </c>
      <c r="P1639">
        <v>42</v>
      </c>
      <c r="R1639" t="s">
        <v>1269</v>
      </c>
      <c r="S1639">
        <v>5</v>
      </c>
      <c r="T1639">
        <v>0.2707</v>
      </c>
      <c r="U1639">
        <f t="shared" si="145"/>
        <v>0</v>
      </c>
      <c r="V1639" t="str">
        <f t="shared" si="142"/>
        <v>Elementary Counselor</v>
      </c>
      <c r="W1639" t="str">
        <f t="shared" si="143"/>
        <v>Counselor</v>
      </c>
    </row>
    <row r="1640" spans="1:23" x14ac:dyDescent="0.25">
      <c r="A1640">
        <v>21401</v>
      </c>
      <c r="B1640" t="s">
        <v>1270</v>
      </c>
      <c r="C1640">
        <v>3</v>
      </c>
      <c r="D1640" t="s">
        <v>1264</v>
      </c>
      <c r="E1640">
        <v>100040</v>
      </c>
      <c r="F1640">
        <v>21401</v>
      </c>
      <c r="G1640" t="str">
        <f t="shared" si="141"/>
        <v>21401</v>
      </c>
      <c r="H1640" t="s">
        <v>446</v>
      </c>
      <c r="I1640" t="s">
        <v>1265</v>
      </c>
      <c r="J1640" t="s">
        <v>1271</v>
      </c>
      <c r="K1640" t="s">
        <v>1272</v>
      </c>
      <c r="L1640" t="s">
        <v>1270</v>
      </c>
      <c r="M1640" t="s">
        <v>1273</v>
      </c>
      <c r="N1640">
        <v>1</v>
      </c>
      <c r="O1640" t="str">
        <f t="shared" si="144"/>
        <v>42</v>
      </c>
      <c r="P1640">
        <v>42</v>
      </c>
      <c r="R1640" t="s">
        <v>1269</v>
      </c>
      <c r="S1640">
        <v>3</v>
      </c>
      <c r="T1640">
        <v>0.2707</v>
      </c>
      <c r="U1640">
        <f t="shared" si="145"/>
        <v>0</v>
      </c>
      <c r="V1640" t="str">
        <f t="shared" si="142"/>
        <v>High Counselor</v>
      </c>
      <c r="W1640" t="str">
        <f t="shared" si="143"/>
        <v>Counselor</v>
      </c>
    </row>
    <row r="1641" spans="1:23" x14ac:dyDescent="0.25">
      <c r="A1641">
        <v>21401</v>
      </c>
      <c r="B1641" t="s">
        <v>1263</v>
      </c>
      <c r="C1641">
        <v>1.5</v>
      </c>
      <c r="D1641" t="s">
        <v>1264</v>
      </c>
      <c r="E1641">
        <v>100040</v>
      </c>
      <c r="F1641">
        <v>21401</v>
      </c>
      <c r="G1641" t="str">
        <f t="shared" si="141"/>
        <v>21401</v>
      </c>
      <c r="H1641" t="s">
        <v>446</v>
      </c>
      <c r="I1641" t="s">
        <v>1265</v>
      </c>
      <c r="J1641" t="s">
        <v>1266</v>
      </c>
      <c r="K1641" t="s">
        <v>1267</v>
      </c>
      <c r="L1641" t="s">
        <v>1263</v>
      </c>
      <c r="M1641" t="s">
        <v>1268</v>
      </c>
      <c r="N1641">
        <v>1</v>
      </c>
      <c r="O1641" t="str">
        <f t="shared" si="144"/>
        <v>42</v>
      </c>
      <c r="P1641">
        <v>42</v>
      </c>
      <c r="R1641" t="s">
        <v>1269</v>
      </c>
      <c r="S1641">
        <v>1.5</v>
      </c>
      <c r="T1641">
        <v>0.2707</v>
      </c>
      <c r="U1641">
        <f t="shared" si="145"/>
        <v>0</v>
      </c>
      <c r="V1641" t="str">
        <f t="shared" si="142"/>
        <v>Middle Counselor</v>
      </c>
      <c r="W1641" t="str">
        <f t="shared" si="143"/>
        <v>Counselor</v>
      </c>
    </row>
    <row r="1642" spans="1:23" x14ac:dyDescent="0.25">
      <c r="A1642">
        <v>21401</v>
      </c>
      <c r="B1642" t="s">
        <v>1289</v>
      </c>
      <c r="C1642">
        <v>1.5349999999999999</v>
      </c>
      <c r="D1642" t="s">
        <v>1264</v>
      </c>
      <c r="E1642">
        <v>100040</v>
      </c>
      <c r="F1642">
        <v>21401</v>
      </c>
      <c r="G1642" t="str">
        <f t="shared" si="141"/>
        <v>21401</v>
      </c>
      <c r="H1642" t="s">
        <v>446</v>
      </c>
      <c r="I1642" t="s">
        <v>1265</v>
      </c>
      <c r="J1642" t="s">
        <v>1276</v>
      </c>
      <c r="K1642" t="s">
        <v>1277</v>
      </c>
      <c r="L1642" t="s">
        <v>1289</v>
      </c>
      <c r="M1642" t="s">
        <v>1307</v>
      </c>
      <c r="N1642">
        <v>21</v>
      </c>
      <c r="O1642" t="str">
        <f t="shared" si="144"/>
        <v>43</v>
      </c>
      <c r="P1642">
        <v>43</v>
      </c>
      <c r="R1642" t="s">
        <v>1269</v>
      </c>
      <c r="S1642">
        <v>1.5349999999999999</v>
      </c>
      <c r="T1642">
        <v>0.2707</v>
      </c>
      <c r="U1642">
        <f t="shared" si="145"/>
        <v>0.41599999999999998</v>
      </c>
      <c r="V1642" t="str">
        <f t="shared" si="142"/>
        <v>Elementary Occupational Therapist</v>
      </c>
      <c r="W1642" t="str">
        <f t="shared" si="143"/>
        <v>Occupational Therapist</v>
      </c>
    </row>
    <row r="1643" spans="1:23" x14ac:dyDescent="0.25">
      <c r="A1643">
        <v>21401</v>
      </c>
      <c r="B1643" t="s">
        <v>1387</v>
      </c>
      <c r="C1643">
        <v>0.311</v>
      </c>
      <c r="D1643" t="s">
        <v>1264</v>
      </c>
      <c r="E1643">
        <v>100040</v>
      </c>
      <c r="F1643">
        <v>21401</v>
      </c>
      <c r="G1643" t="str">
        <f t="shared" si="141"/>
        <v>21401</v>
      </c>
      <c r="H1643" t="s">
        <v>446</v>
      </c>
      <c r="I1643" t="s">
        <v>1265</v>
      </c>
      <c r="J1643" t="s">
        <v>1271</v>
      </c>
      <c r="K1643" t="s">
        <v>1272</v>
      </c>
      <c r="L1643" t="s">
        <v>1387</v>
      </c>
      <c r="M1643" t="s">
        <v>1406</v>
      </c>
      <c r="N1643">
        <v>21</v>
      </c>
      <c r="O1643" t="str">
        <f t="shared" si="144"/>
        <v>43</v>
      </c>
      <c r="P1643">
        <v>43</v>
      </c>
      <c r="R1643" t="s">
        <v>1269</v>
      </c>
      <c r="S1643">
        <v>0.311</v>
      </c>
      <c r="T1643">
        <v>0.2707</v>
      </c>
      <c r="U1643">
        <f t="shared" si="145"/>
        <v>8.4000000000000005E-2</v>
      </c>
      <c r="V1643" t="str">
        <f t="shared" si="142"/>
        <v>High Occupational Therapist</v>
      </c>
      <c r="W1643" t="str">
        <f t="shared" si="143"/>
        <v>Occupational Therapist</v>
      </c>
    </row>
    <row r="1644" spans="1:23" x14ac:dyDescent="0.25">
      <c r="A1644">
        <v>21401</v>
      </c>
      <c r="B1644" t="s">
        <v>1303</v>
      </c>
      <c r="C1644">
        <v>0.154</v>
      </c>
      <c r="D1644" t="s">
        <v>1264</v>
      </c>
      <c r="E1644">
        <v>100040</v>
      </c>
      <c r="F1644">
        <v>21401</v>
      </c>
      <c r="G1644" t="str">
        <f t="shared" si="141"/>
        <v>21401</v>
      </c>
      <c r="H1644" t="s">
        <v>446</v>
      </c>
      <c r="I1644" t="s">
        <v>1265</v>
      </c>
      <c r="J1644" t="s">
        <v>1266</v>
      </c>
      <c r="K1644" t="s">
        <v>1267</v>
      </c>
      <c r="L1644" t="s">
        <v>1303</v>
      </c>
      <c r="M1644" t="s">
        <v>1304</v>
      </c>
      <c r="N1644">
        <v>21</v>
      </c>
      <c r="O1644" t="str">
        <f t="shared" si="144"/>
        <v>43</v>
      </c>
      <c r="P1644">
        <v>43</v>
      </c>
      <c r="R1644" t="s">
        <v>1269</v>
      </c>
      <c r="S1644">
        <v>0.154</v>
      </c>
      <c r="T1644">
        <v>0.2707</v>
      </c>
      <c r="U1644">
        <f t="shared" si="145"/>
        <v>4.2000000000000003E-2</v>
      </c>
      <c r="V1644" t="str">
        <f t="shared" si="142"/>
        <v>Middle Occupational Therapist</v>
      </c>
      <c r="W1644" t="str">
        <f t="shared" si="143"/>
        <v>Occupational Therapist</v>
      </c>
    </row>
    <row r="1645" spans="1:23" x14ac:dyDescent="0.25">
      <c r="A1645">
        <v>21401</v>
      </c>
      <c r="B1645" t="s">
        <v>1294</v>
      </c>
      <c r="C1645">
        <v>1.21</v>
      </c>
      <c r="D1645" t="s">
        <v>1264</v>
      </c>
      <c r="E1645">
        <v>100040</v>
      </c>
      <c r="F1645">
        <v>21401</v>
      </c>
      <c r="G1645" t="str">
        <f t="shared" si="141"/>
        <v>21401</v>
      </c>
      <c r="H1645" t="s">
        <v>446</v>
      </c>
      <c r="I1645" t="s">
        <v>1265</v>
      </c>
      <c r="J1645" t="s">
        <v>1276</v>
      </c>
      <c r="K1645" t="s">
        <v>1277</v>
      </c>
      <c r="L1645" t="s">
        <v>1294</v>
      </c>
      <c r="M1645" t="s">
        <v>1354</v>
      </c>
      <c r="N1645">
        <v>21</v>
      </c>
      <c r="O1645" t="str">
        <f t="shared" si="144"/>
        <v>45</v>
      </c>
      <c r="P1645">
        <v>45</v>
      </c>
      <c r="R1645" t="s">
        <v>1269</v>
      </c>
      <c r="S1645">
        <v>1.21</v>
      </c>
      <c r="T1645">
        <v>0.2707</v>
      </c>
      <c r="U1645">
        <f t="shared" si="145"/>
        <v>0.32800000000000001</v>
      </c>
      <c r="V1645" t="str">
        <f t="shared" si="142"/>
        <v>Elementary Speech, Language Pathway/
Audio</v>
      </c>
      <c r="W1645" t="str">
        <f t="shared" si="143"/>
        <v>Speech, Language Pathway/
Audio</v>
      </c>
    </row>
    <row r="1646" spans="1:23" x14ac:dyDescent="0.25">
      <c r="A1646">
        <v>21401</v>
      </c>
      <c r="B1646" t="s">
        <v>1326</v>
      </c>
      <c r="C1646">
        <v>0.122</v>
      </c>
      <c r="D1646" t="s">
        <v>1264</v>
      </c>
      <c r="E1646">
        <v>100040</v>
      </c>
      <c r="F1646">
        <v>21401</v>
      </c>
      <c r="G1646" t="str">
        <f t="shared" si="141"/>
        <v>21401</v>
      </c>
      <c r="H1646" t="s">
        <v>446</v>
      </c>
      <c r="I1646" t="s">
        <v>1265</v>
      </c>
      <c r="J1646" t="s">
        <v>1271</v>
      </c>
      <c r="K1646" t="s">
        <v>1272</v>
      </c>
      <c r="L1646" t="s">
        <v>1326</v>
      </c>
      <c r="M1646" t="s">
        <v>1353</v>
      </c>
      <c r="N1646">
        <v>21</v>
      </c>
      <c r="O1646" t="str">
        <f t="shared" si="144"/>
        <v>45</v>
      </c>
      <c r="P1646">
        <v>45</v>
      </c>
      <c r="R1646" t="s">
        <v>1269</v>
      </c>
      <c r="S1646">
        <v>0.122</v>
      </c>
      <c r="T1646">
        <v>0.2707</v>
      </c>
      <c r="U1646">
        <f t="shared" si="145"/>
        <v>3.3000000000000002E-2</v>
      </c>
      <c r="V1646" t="str">
        <f t="shared" si="142"/>
        <v>High Speech, Language Pathway/
Audio</v>
      </c>
      <c r="W1646" t="str">
        <f t="shared" si="143"/>
        <v>Speech, Language Pathway/
Audio</v>
      </c>
    </row>
    <row r="1647" spans="1:23" x14ac:dyDescent="0.25">
      <c r="A1647">
        <v>21401</v>
      </c>
      <c r="B1647" t="s">
        <v>1312</v>
      </c>
      <c r="C1647">
        <v>6.0999999999999999E-2</v>
      </c>
      <c r="D1647" t="s">
        <v>1264</v>
      </c>
      <c r="E1647">
        <v>100040</v>
      </c>
      <c r="F1647">
        <v>21401</v>
      </c>
      <c r="G1647" t="str">
        <f t="shared" si="141"/>
        <v>21401</v>
      </c>
      <c r="H1647" t="s">
        <v>446</v>
      </c>
      <c r="I1647" t="s">
        <v>1265</v>
      </c>
      <c r="J1647" t="s">
        <v>1266</v>
      </c>
      <c r="K1647" t="s">
        <v>1267</v>
      </c>
      <c r="L1647" t="s">
        <v>1312</v>
      </c>
      <c r="M1647" t="s">
        <v>1351</v>
      </c>
      <c r="N1647">
        <v>21</v>
      </c>
      <c r="O1647" t="str">
        <f t="shared" si="144"/>
        <v>45</v>
      </c>
      <c r="P1647">
        <v>45</v>
      </c>
      <c r="R1647" t="s">
        <v>1269</v>
      </c>
      <c r="S1647">
        <v>6.0999999999999999E-2</v>
      </c>
      <c r="T1647">
        <v>0.2707</v>
      </c>
      <c r="U1647">
        <f t="shared" si="145"/>
        <v>1.7000000000000001E-2</v>
      </c>
      <c r="V1647" t="str">
        <f t="shared" si="142"/>
        <v>Middle Speech, Language Pathway/
Audio</v>
      </c>
      <c r="W1647" t="str">
        <f t="shared" si="143"/>
        <v>Speech, Language Pathway/
Audio</v>
      </c>
    </row>
    <row r="1648" spans="1:23" x14ac:dyDescent="0.25">
      <c r="A1648">
        <v>21401</v>
      </c>
      <c r="B1648" t="s">
        <v>1298</v>
      </c>
      <c r="C1648">
        <v>0.25</v>
      </c>
      <c r="D1648" t="s">
        <v>1264</v>
      </c>
      <c r="E1648">
        <v>100040</v>
      </c>
      <c r="F1648">
        <v>21401</v>
      </c>
      <c r="G1648" t="str">
        <f t="shared" si="141"/>
        <v>21401</v>
      </c>
      <c r="H1648" t="s">
        <v>446</v>
      </c>
      <c r="I1648" t="s">
        <v>1265</v>
      </c>
      <c r="J1648" t="s">
        <v>1276</v>
      </c>
      <c r="K1648" t="s">
        <v>1277</v>
      </c>
      <c r="L1648" t="s">
        <v>1298</v>
      </c>
      <c r="M1648" t="s">
        <v>1349</v>
      </c>
      <c r="N1648">
        <v>21</v>
      </c>
      <c r="O1648" t="str">
        <f t="shared" si="144"/>
        <v>46</v>
      </c>
      <c r="P1648">
        <v>46</v>
      </c>
      <c r="R1648" t="s">
        <v>1269</v>
      </c>
      <c r="S1648">
        <v>0.25</v>
      </c>
      <c r="T1648">
        <v>0.2707</v>
      </c>
      <c r="U1648">
        <f t="shared" si="145"/>
        <v>6.8000000000000005E-2</v>
      </c>
      <c r="V1648" t="str">
        <f t="shared" si="142"/>
        <v>Elementary Psychologist</v>
      </c>
      <c r="W1648" t="str">
        <f t="shared" si="143"/>
        <v>Psychologist</v>
      </c>
    </row>
    <row r="1649" spans="1:23" x14ac:dyDescent="0.25">
      <c r="A1649">
        <v>21401</v>
      </c>
      <c r="B1649" t="s">
        <v>1309</v>
      </c>
      <c r="C1649">
        <v>0.5</v>
      </c>
      <c r="D1649" t="s">
        <v>1264</v>
      </c>
      <c r="E1649">
        <v>100040</v>
      </c>
      <c r="F1649">
        <v>21401</v>
      </c>
      <c r="G1649" t="str">
        <f t="shared" si="141"/>
        <v>21401</v>
      </c>
      <c r="H1649" t="s">
        <v>446</v>
      </c>
      <c r="I1649" t="s">
        <v>1265</v>
      </c>
      <c r="J1649" t="s">
        <v>1271</v>
      </c>
      <c r="K1649" t="s">
        <v>1272</v>
      </c>
      <c r="L1649" t="s">
        <v>1309</v>
      </c>
      <c r="M1649" t="s">
        <v>1310</v>
      </c>
      <c r="N1649">
        <v>21</v>
      </c>
      <c r="O1649" t="str">
        <f t="shared" si="144"/>
        <v>46</v>
      </c>
      <c r="P1649">
        <v>46</v>
      </c>
      <c r="R1649" t="s">
        <v>1269</v>
      </c>
      <c r="S1649">
        <v>0.5</v>
      </c>
      <c r="T1649">
        <v>0.2707</v>
      </c>
      <c r="U1649">
        <f t="shared" si="145"/>
        <v>0.13500000000000001</v>
      </c>
      <c r="V1649" t="str">
        <f t="shared" si="142"/>
        <v>High Psychologist</v>
      </c>
      <c r="W1649" t="str">
        <f t="shared" si="143"/>
        <v>Psychologist</v>
      </c>
    </row>
    <row r="1650" spans="1:23" x14ac:dyDescent="0.25">
      <c r="A1650">
        <v>21401</v>
      </c>
      <c r="B1650" t="s">
        <v>1345</v>
      </c>
      <c r="C1650">
        <v>0.25</v>
      </c>
      <c r="D1650" t="s">
        <v>1264</v>
      </c>
      <c r="E1650">
        <v>100040</v>
      </c>
      <c r="F1650">
        <v>21401</v>
      </c>
      <c r="G1650" t="str">
        <f t="shared" si="141"/>
        <v>21401</v>
      </c>
      <c r="H1650" t="s">
        <v>446</v>
      </c>
      <c r="I1650" t="s">
        <v>1265</v>
      </c>
      <c r="J1650" t="s">
        <v>1266</v>
      </c>
      <c r="K1650" t="s">
        <v>1267</v>
      </c>
      <c r="L1650" t="s">
        <v>1345</v>
      </c>
      <c r="M1650" t="s">
        <v>1346</v>
      </c>
      <c r="N1650">
        <v>21</v>
      </c>
      <c r="O1650" t="str">
        <f t="shared" si="144"/>
        <v>46</v>
      </c>
      <c r="P1650">
        <v>46</v>
      </c>
      <c r="R1650" t="s">
        <v>1269</v>
      </c>
      <c r="S1650">
        <v>0.25</v>
      </c>
      <c r="T1650">
        <v>0.2707</v>
      </c>
      <c r="U1650">
        <f t="shared" si="145"/>
        <v>6.8000000000000005E-2</v>
      </c>
      <c r="V1650" t="str">
        <f t="shared" si="142"/>
        <v>Middle Psychologist</v>
      </c>
      <c r="W1650" t="str">
        <f t="shared" si="143"/>
        <v>Psychologist</v>
      </c>
    </row>
    <row r="1651" spans="1:23" x14ac:dyDescent="0.25">
      <c r="A1651">
        <v>21401</v>
      </c>
      <c r="B1651" t="s">
        <v>1302</v>
      </c>
      <c r="C1651">
        <v>0.43</v>
      </c>
      <c r="D1651" t="s">
        <v>1264</v>
      </c>
      <c r="E1651">
        <v>100040</v>
      </c>
      <c r="F1651">
        <v>21401</v>
      </c>
      <c r="G1651" t="str">
        <f t="shared" si="141"/>
        <v>21401</v>
      </c>
      <c r="H1651" t="s">
        <v>446</v>
      </c>
      <c r="I1651" t="s">
        <v>1265</v>
      </c>
      <c r="J1651" t="s">
        <v>1276</v>
      </c>
      <c r="K1651" t="s">
        <v>1277</v>
      </c>
      <c r="L1651" t="s">
        <v>1302</v>
      </c>
      <c r="M1651" t="s">
        <v>1336</v>
      </c>
      <c r="N1651">
        <v>21</v>
      </c>
      <c r="O1651" t="str">
        <f t="shared" si="144"/>
        <v>48</v>
      </c>
      <c r="P1651">
        <v>48</v>
      </c>
      <c r="R1651" t="s">
        <v>1269</v>
      </c>
      <c r="S1651">
        <v>0.43</v>
      </c>
      <c r="T1651">
        <v>0.2707</v>
      </c>
      <c r="U1651">
        <f t="shared" si="145"/>
        <v>0.11600000000000001</v>
      </c>
      <c r="V1651" t="str">
        <f t="shared" si="142"/>
        <v>Elementary Physical Therapist</v>
      </c>
      <c r="W1651" t="str">
        <f t="shared" si="143"/>
        <v>Physical Therapist</v>
      </c>
    </row>
    <row r="1652" spans="1:23" x14ac:dyDescent="0.25">
      <c r="A1652">
        <v>21401</v>
      </c>
      <c r="B1652" t="s">
        <v>1330</v>
      </c>
      <c r="C1652">
        <v>0.249</v>
      </c>
      <c r="D1652" t="s">
        <v>1264</v>
      </c>
      <c r="E1652">
        <v>100040</v>
      </c>
      <c r="F1652">
        <v>21401</v>
      </c>
      <c r="G1652" t="str">
        <f t="shared" si="141"/>
        <v>21401</v>
      </c>
      <c r="H1652" t="s">
        <v>446</v>
      </c>
      <c r="I1652" t="s">
        <v>1265</v>
      </c>
      <c r="J1652" t="s">
        <v>1271</v>
      </c>
      <c r="K1652" t="s">
        <v>1272</v>
      </c>
      <c r="L1652" t="s">
        <v>1330</v>
      </c>
      <c r="M1652" t="s">
        <v>1367</v>
      </c>
      <c r="N1652">
        <v>21</v>
      </c>
      <c r="O1652" t="str">
        <f t="shared" si="144"/>
        <v>48</v>
      </c>
      <c r="P1652">
        <v>48</v>
      </c>
      <c r="R1652" t="s">
        <v>1269</v>
      </c>
      <c r="S1652">
        <v>0.249</v>
      </c>
      <c r="T1652">
        <v>0.2707</v>
      </c>
      <c r="U1652">
        <f t="shared" si="145"/>
        <v>6.7000000000000004E-2</v>
      </c>
      <c r="V1652" t="str">
        <f t="shared" si="142"/>
        <v>High Physical Therapist</v>
      </c>
      <c r="W1652" t="str">
        <f t="shared" si="143"/>
        <v>Physical Therapist</v>
      </c>
    </row>
    <row r="1653" spans="1:23" x14ac:dyDescent="0.25">
      <c r="A1653">
        <v>21401</v>
      </c>
      <c r="B1653" t="s">
        <v>1316</v>
      </c>
      <c r="C1653">
        <v>0.123</v>
      </c>
      <c r="D1653" t="s">
        <v>1264</v>
      </c>
      <c r="E1653">
        <v>100040</v>
      </c>
      <c r="F1653">
        <v>21401</v>
      </c>
      <c r="G1653" t="str">
        <f t="shared" si="141"/>
        <v>21401</v>
      </c>
      <c r="H1653" t="s">
        <v>446</v>
      </c>
      <c r="I1653" t="s">
        <v>1265</v>
      </c>
      <c r="J1653" t="s">
        <v>1266</v>
      </c>
      <c r="K1653" t="s">
        <v>1267</v>
      </c>
      <c r="L1653" t="s">
        <v>1316</v>
      </c>
      <c r="M1653" t="s">
        <v>1366</v>
      </c>
      <c r="N1653">
        <v>21</v>
      </c>
      <c r="O1653" t="str">
        <f t="shared" si="144"/>
        <v>48</v>
      </c>
      <c r="P1653">
        <v>48</v>
      </c>
      <c r="R1653" t="s">
        <v>1269</v>
      </c>
      <c r="S1653">
        <v>0.123</v>
      </c>
      <c r="T1653">
        <v>0.2707</v>
      </c>
      <c r="U1653">
        <f t="shared" si="145"/>
        <v>3.3000000000000002E-2</v>
      </c>
      <c r="V1653" t="str">
        <f t="shared" si="142"/>
        <v>Middle Physical Therapist</v>
      </c>
      <c r="W1653" t="str">
        <f t="shared" si="143"/>
        <v>Physical Therapist</v>
      </c>
    </row>
    <row r="1654" spans="1:23" x14ac:dyDescent="0.25">
      <c r="A1654">
        <v>21401</v>
      </c>
      <c r="B1654" t="s">
        <v>1340</v>
      </c>
      <c r="C1654">
        <v>0.53500000000000003</v>
      </c>
      <c r="D1654" t="s">
        <v>1264</v>
      </c>
      <c r="E1654">
        <v>100040</v>
      </c>
      <c r="F1654">
        <v>21401</v>
      </c>
      <c r="G1654" t="str">
        <f t="shared" si="141"/>
        <v>21401</v>
      </c>
      <c r="H1654" t="s">
        <v>446</v>
      </c>
      <c r="I1654" t="s">
        <v>1265</v>
      </c>
      <c r="J1654" t="s">
        <v>1276</v>
      </c>
      <c r="K1654" t="s">
        <v>1277</v>
      </c>
      <c r="L1654" t="s">
        <v>1340</v>
      </c>
      <c r="M1654" t="s">
        <v>1395</v>
      </c>
      <c r="N1654">
        <v>21</v>
      </c>
      <c r="O1654" t="str">
        <f t="shared" si="144"/>
        <v>49</v>
      </c>
      <c r="P1654">
        <v>49</v>
      </c>
      <c r="R1654" t="s">
        <v>1269</v>
      </c>
      <c r="S1654">
        <v>0.53500000000000003</v>
      </c>
      <c r="T1654">
        <v>0.2707</v>
      </c>
      <c r="U1654">
        <f t="shared" si="145"/>
        <v>0.14499999999999999</v>
      </c>
      <c r="V1654" t="str">
        <f t="shared" si="142"/>
        <v>Elementary Behavior Analyst</v>
      </c>
      <c r="W1654" t="str">
        <f t="shared" si="143"/>
        <v>Behavior Analyst</v>
      </c>
    </row>
    <row r="1655" spans="1:23" x14ac:dyDescent="0.25">
      <c r="A1655">
        <v>21401</v>
      </c>
      <c r="B1655" t="s">
        <v>1392</v>
      </c>
      <c r="C1655">
        <v>0.311</v>
      </c>
      <c r="D1655" t="s">
        <v>1264</v>
      </c>
      <c r="E1655">
        <v>100040</v>
      </c>
      <c r="F1655">
        <v>21401</v>
      </c>
      <c r="G1655" t="str">
        <f t="shared" si="141"/>
        <v>21401</v>
      </c>
      <c r="H1655" t="s">
        <v>446</v>
      </c>
      <c r="I1655" t="s">
        <v>1265</v>
      </c>
      <c r="J1655" t="s">
        <v>1271</v>
      </c>
      <c r="K1655" t="s">
        <v>1272</v>
      </c>
      <c r="L1655" t="s">
        <v>1392</v>
      </c>
      <c r="M1655" t="s">
        <v>1393</v>
      </c>
      <c r="N1655">
        <v>21</v>
      </c>
      <c r="O1655" t="str">
        <f t="shared" si="144"/>
        <v>49</v>
      </c>
      <c r="P1655">
        <v>49</v>
      </c>
      <c r="R1655" t="s">
        <v>1269</v>
      </c>
      <c r="S1655">
        <v>0.311</v>
      </c>
      <c r="T1655">
        <v>0.2707</v>
      </c>
      <c r="U1655">
        <f t="shared" si="145"/>
        <v>8.4000000000000005E-2</v>
      </c>
      <c r="V1655" t="str">
        <f t="shared" si="142"/>
        <v>High Behavior Analyst</v>
      </c>
      <c r="W1655" t="str">
        <f t="shared" si="143"/>
        <v>Behavior Analyst</v>
      </c>
    </row>
    <row r="1656" spans="1:23" x14ac:dyDescent="0.25">
      <c r="A1656">
        <v>21401</v>
      </c>
      <c r="B1656" t="s">
        <v>1374</v>
      </c>
      <c r="C1656">
        <v>0.154</v>
      </c>
      <c r="D1656" t="s">
        <v>1264</v>
      </c>
      <c r="E1656">
        <v>100040</v>
      </c>
      <c r="F1656">
        <v>21401</v>
      </c>
      <c r="G1656" t="str">
        <f t="shared" si="141"/>
        <v>21401</v>
      </c>
      <c r="H1656" t="s">
        <v>446</v>
      </c>
      <c r="I1656" t="s">
        <v>1265</v>
      </c>
      <c r="J1656" t="s">
        <v>1266</v>
      </c>
      <c r="K1656" t="s">
        <v>1267</v>
      </c>
      <c r="L1656" t="s">
        <v>1374</v>
      </c>
      <c r="M1656" t="s">
        <v>1391</v>
      </c>
      <c r="N1656">
        <v>21</v>
      </c>
      <c r="O1656" t="str">
        <f t="shared" si="144"/>
        <v>49</v>
      </c>
      <c r="P1656">
        <v>49</v>
      </c>
      <c r="R1656" t="s">
        <v>1269</v>
      </c>
      <c r="S1656">
        <v>0.154</v>
      </c>
      <c r="T1656">
        <v>0.2707</v>
      </c>
      <c r="U1656">
        <f t="shared" si="145"/>
        <v>4.2000000000000003E-2</v>
      </c>
      <c r="V1656" t="str">
        <f t="shared" si="142"/>
        <v>Middle Behavior Analyst</v>
      </c>
      <c r="W1656" t="str">
        <f t="shared" si="143"/>
        <v>Behavior Analyst</v>
      </c>
    </row>
    <row r="1657" spans="1:23" x14ac:dyDescent="0.25">
      <c r="A1657">
        <v>22008</v>
      </c>
      <c r="B1657" t="s">
        <v>1308</v>
      </c>
      <c r="C1657">
        <v>0.33500000000000002</v>
      </c>
      <c r="D1657" t="s">
        <v>1264</v>
      </c>
      <c r="E1657">
        <v>100248</v>
      </c>
      <c r="F1657">
        <v>22008</v>
      </c>
      <c r="G1657" t="str">
        <f t="shared" si="141"/>
        <v>22008</v>
      </c>
      <c r="H1657" t="s">
        <v>447</v>
      </c>
      <c r="I1657" t="s">
        <v>1265</v>
      </c>
      <c r="J1657" t="s">
        <v>1276</v>
      </c>
      <c r="K1657" t="s">
        <v>1277</v>
      </c>
      <c r="L1657" t="s">
        <v>1308</v>
      </c>
      <c r="M1657" t="s">
        <v>1389</v>
      </c>
      <c r="N1657">
        <v>1</v>
      </c>
      <c r="O1657" t="str">
        <f t="shared" si="144"/>
        <v>25</v>
      </c>
      <c r="Q1657">
        <v>25</v>
      </c>
      <c r="R1657" t="s">
        <v>1269</v>
      </c>
      <c r="S1657">
        <v>0.33500000000000002</v>
      </c>
      <c r="T1657">
        <v>0.14849999999999999</v>
      </c>
      <c r="U1657">
        <f t="shared" si="145"/>
        <v>0</v>
      </c>
      <c r="V1657" t="str">
        <f t="shared" si="142"/>
        <v>Elementary Pupil Management</v>
      </c>
      <c r="W1657" t="str">
        <f t="shared" si="143"/>
        <v>Pupil Management</v>
      </c>
    </row>
    <row r="1658" spans="1:23" x14ac:dyDescent="0.25">
      <c r="A1658">
        <v>22008</v>
      </c>
      <c r="B1658" t="s">
        <v>1275</v>
      </c>
      <c r="C1658">
        <v>0.5</v>
      </c>
      <c r="D1658" t="s">
        <v>1264</v>
      </c>
      <c r="E1658">
        <v>100248</v>
      </c>
      <c r="F1658">
        <v>22008</v>
      </c>
      <c r="G1658" t="str">
        <f t="shared" si="141"/>
        <v>22008</v>
      </c>
      <c r="H1658" t="s">
        <v>447</v>
      </c>
      <c r="I1658" t="s">
        <v>1265</v>
      </c>
      <c r="J1658" t="s">
        <v>1276</v>
      </c>
      <c r="K1658" t="s">
        <v>1277</v>
      </c>
      <c r="L1658" t="s">
        <v>1275</v>
      </c>
      <c r="M1658" t="s">
        <v>1278</v>
      </c>
      <c r="N1658">
        <v>1</v>
      </c>
      <c r="O1658" t="str">
        <f t="shared" si="144"/>
        <v>42</v>
      </c>
      <c r="P1658">
        <v>42</v>
      </c>
      <c r="R1658" t="s">
        <v>1269</v>
      </c>
      <c r="S1658">
        <v>0.5</v>
      </c>
      <c r="T1658">
        <v>0.14849999999999999</v>
      </c>
      <c r="U1658">
        <f t="shared" si="145"/>
        <v>0</v>
      </c>
      <c r="V1658" t="str">
        <f t="shared" si="142"/>
        <v>Elementary Counselor</v>
      </c>
      <c r="W1658" t="str">
        <f t="shared" si="143"/>
        <v>Counselor</v>
      </c>
    </row>
    <row r="1659" spans="1:23" x14ac:dyDescent="0.25">
      <c r="A1659">
        <v>22008</v>
      </c>
      <c r="B1659" t="s">
        <v>1270</v>
      </c>
      <c r="C1659">
        <v>0.5</v>
      </c>
      <c r="D1659" t="s">
        <v>1264</v>
      </c>
      <c r="E1659">
        <v>100248</v>
      </c>
      <c r="F1659">
        <v>22008</v>
      </c>
      <c r="G1659" t="str">
        <f t="shared" si="141"/>
        <v>22008</v>
      </c>
      <c r="H1659" t="s">
        <v>447</v>
      </c>
      <c r="I1659" t="s">
        <v>1265</v>
      </c>
      <c r="J1659" t="s">
        <v>1271</v>
      </c>
      <c r="K1659" t="s">
        <v>1272</v>
      </c>
      <c r="L1659" t="s">
        <v>1270</v>
      </c>
      <c r="M1659" t="s">
        <v>1273</v>
      </c>
      <c r="N1659">
        <v>1</v>
      </c>
      <c r="O1659" t="str">
        <f t="shared" si="144"/>
        <v>42</v>
      </c>
      <c r="P1659">
        <v>42</v>
      </c>
      <c r="R1659" t="s">
        <v>1269</v>
      </c>
      <c r="S1659">
        <v>0.5</v>
      </c>
      <c r="T1659">
        <v>0.14849999999999999</v>
      </c>
      <c r="U1659">
        <f t="shared" si="145"/>
        <v>0</v>
      </c>
      <c r="V1659" t="str">
        <f t="shared" si="142"/>
        <v>High Counselor</v>
      </c>
      <c r="W1659" t="str">
        <f t="shared" si="143"/>
        <v>Counselor</v>
      </c>
    </row>
    <row r="1660" spans="1:23" x14ac:dyDescent="0.25">
      <c r="A1660">
        <v>22009</v>
      </c>
      <c r="B1660" t="s">
        <v>1308</v>
      </c>
      <c r="C1660">
        <v>0.24299999999999999</v>
      </c>
      <c r="D1660" t="s">
        <v>1264</v>
      </c>
      <c r="E1660">
        <v>100215</v>
      </c>
      <c r="F1660">
        <v>22009</v>
      </c>
      <c r="G1660" t="str">
        <f t="shared" si="141"/>
        <v>22009</v>
      </c>
      <c r="H1660" t="s">
        <v>448</v>
      </c>
      <c r="I1660" t="s">
        <v>1265</v>
      </c>
      <c r="J1660" t="s">
        <v>1276</v>
      </c>
      <c r="K1660" t="s">
        <v>1277</v>
      </c>
      <c r="L1660" t="s">
        <v>1308</v>
      </c>
      <c r="M1660" t="s">
        <v>1389</v>
      </c>
      <c r="N1660">
        <v>1</v>
      </c>
      <c r="O1660" t="str">
        <f t="shared" si="144"/>
        <v>25</v>
      </c>
      <c r="Q1660">
        <v>25</v>
      </c>
      <c r="R1660" t="s">
        <v>1269</v>
      </c>
      <c r="S1660">
        <v>0.24299999999999999</v>
      </c>
      <c r="T1660">
        <v>0.2621</v>
      </c>
      <c r="U1660">
        <f t="shared" si="145"/>
        <v>0</v>
      </c>
      <c r="V1660" t="str">
        <f t="shared" si="142"/>
        <v>Elementary Pupil Management</v>
      </c>
      <c r="W1660" t="str">
        <f t="shared" si="143"/>
        <v>Pupil Management</v>
      </c>
    </row>
    <row r="1661" spans="1:23" x14ac:dyDescent="0.25">
      <c r="A1661">
        <v>22009</v>
      </c>
      <c r="B1661" t="s">
        <v>1299</v>
      </c>
      <c r="C1661">
        <v>0.40400000000000003</v>
      </c>
      <c r="D1661" t="s">
        <v>1264</v>
      </c>
      <c r="E1661">
        <v>100215</v>
      </c>
      <c r="F1661">
        <v>22009</v>
      </c>
      <c r="G1661" t="str">
        <f t="shared" si="141"/>
        <v>22009</v>
      </c>
      <c r="H1661" t="s">
        <v>448</v>
      </c>
      <c r="I1661" t="s">
        <v>1265</v>
      </c>
      <c r="J1661" t="s">
        <v>1271</v>
      </c>
      <c r="K1661" t="s">
        <v>1272</v>
      </c>
      <c r="L1661" t="s">
        <v>1299</v>
      </c>
      <c r="M1661" t="s">
        <v>1300</v>
      </c>
      <c r="N1661">
        <v>1</v>
      </c>
      <c r="O1661" t="str">
        <f t="shared" si="144"/>
        <v>25</v>
      </c>
      <c r="Q1661">
        <v>25</v>
      </c>
      <c r="R1661" t="s">
        <v>1269</v>
      </c>
      <c r="S1661">
        <v>0.40400000000000003</v>
      </c>
      <c r="T1661">
        <v>0.2621</v>
      </c>
      <c r="U1661">
        <f t="shared" si="145"/>
        <v>0</v>
      </c>
      <c r="V1661" t="str">
        <f t="shared" si="142"/>
        <v>High Pupil Management</v>
      </c>
      <c r="W1661" t="str">
        <f t="shared" si="143"/>
        <v>Pupil Management</v>
      </c>
    </row>
    <row r="1662" spans="1:23" x14ac:dyDescent="0.25">
      <c r="A1662">
        <v>22009</v>
      </c>
      <c r="B1662" t="s">
        <v>1363</v>
      </c>
      <c r="C1662">
        <v>0.161</v>
      </c>
      <c r="D1662" t="s">
        <v>1264</v>
      </c>
      <c r="E1662">
        <v>100215</v>
      </c>
      <c r="F1662">
        <v>22009</v>
      </c>
      <c r="G1662" t="str">
        <f t="shared" si="141"/>
        <v>22009</v>
      </c>
      <c r="H1662" t="s">
        <v>448</v>
      </c>
      <c r="I1662" t="s">
        <v>1265</v>
      </c>
      <c r="J1662" t="s">
        <v>1266</v>
      </c>
      <c r="K1662" t="s">
        <v>1267</v>
      </c>
      <c r="L1662" t="s">
        <v>1363</v>
      </c>
      <c r="M1662" t="s">
        <v>1386</v>
      </c>
      <c r="N1662">
        <v>1</v>
      </c>
      <c r="O1662" t="str">
        <f t="shared" si="144"/>
        <v>25</v>
      </c>
      <c r="Q1662">
        <v>25</v>
      </c>
      <c r="R1662" t="s">
        <v>1269</v>
      </c>
      <c r="S1662">
        <v>0.161</v>
      </c>
      <c r="T1662">
        <v>0.2621</v>
      </c>
      <c r="U1662">
        <f t="shared" si="145"/>
        <v>0</v>
      </c>
      <c r="V1662" t="str">
        <f t="shared" si="142"/>
        <v>Middle Pupil Management</v>
      </c>
      <c r="W1662" t="str">
        <f t="shared" si="143"/>
        <v>Pupil Management</v>
      </c>
    </row>
    <row r="1663" spans="1:23" x14ac:dyDescent="0.25">
      <c r="A1663">
        <v>22009</v>
      </c>
      <c r="B1663" t="s">
        <v>1295</v>
      </c>
      <c r="C1663">
        <v>0.39800000000000002</v>
      </c>
      <c r="D1663" t="s">
        <v>1264</v>
      </c>
      <c r="E1663">
        <v>100215</v>
      </c>
      <c r="F1663">
        <v>22009</v>
      </c>
      <c r="G1663" t="str">
        <f t="shared" si="141"/>
        <v>22009</v>
      </c>
      <c r="H1663" t="s">
        <v>448</v>
      </c>
      <c r="I1663" t="s">
        <v>1265</v>
      </c>
      <c r="J1663" t="s">
        <v>1271</v>
      </c>
      <c r="K1663" t="s">
        <v>1272</v>
      </c>
      <c r="L1663" t="s">
        <v>1295</v>
      </c>
      <c r="M1663" t="s">
        <v>1296</v>
      </c>
      <c r="N1663">
        <v>1</v>
      </c>
      <c r="O1663" t="str">
        <f t="shared" si="144"/>
        <v>26</v>
      </c>
      <c r="Q1663">
        <v>26</v>
      </c>
      <c r="R1663" t="s">
        <v>1269</v>
      </c>
      <c r="S1663">
        <v>0.39800000000000002</v>
      </c>
      <c r="T1663">
        <v>0.2621</v>
      </c>
      <c r="U1663">
        <f t="shared" si="145"/>
        <v>0</v>
      </c>
      <c r="V1663" t="str">
        <f t="shared" si="142"/>
        <v>High Health/
Related Services</v>
      </c>
      <c r="W1663" t="str">
        <f t="shared" si="143"/>
        <v>Health/
Related Services</v>
      </c>
    </row>
    <row r="1664" spans="1:23" x14ac:dyDescent="0.25">
      <c r="A1664">
        <v>22009</v>
      </c>
      <c r="B1664" t="s">
        <v>1275</v>
      </c>
      <c r="C1664">
        <v>0.8</v>
      </c>
      <c r="D1664" t="s">
        <v>1264</v>
      </c>
      <c r="E1664">
        <v>100215</v>
      </c>
      <c r="F1664">
        <v>22009</v>
      </c>
      <c r="G1664" t="str">
        <f t="shared" si="141"/>
        <v>22009</v>
      </c>
      <c r="H1664" t="s">
        <v>448</v>
      </c>
      <c r="I1664" t="s">
        <v>1265</v>
      </c>
      <c r="J1664" t="s">
        <v>1276</v>
      </c>
      <c r="K1664" t="s">
        <v>1277</v>
      </c>
      <c r="L1664" t="s">
        <v>1275</v>
      </c>
      <c r="M1664" t="s">
        <v>1278</v>
      </c>
      <c r="N1664">
        <v>1</v>
      </c>
      <c r="O1664" t="str">
        <f t="shared" si="144"/>
        <v>42</v>
      </c>
      <c r="P1664">
        <v>42</v>
      </c>
      <c r="R1664" t="s">
        <v>1269</v>
      </c>
      <c r="S1664">
        <v>0.8</v>
      </c>
      <c r="T1664">
        <v>0.2621</v>
      </c>
      <c r="U1664">
        <f t="shared" si="145"/>
        <v>0</v>
      </c>
      <c r="V1664" t="str">
        <f t="shared" si="142"/>
        <v>Elementary Counselor</v>
      </c>
      <c r="W1664" t="str">
        <f t="shared" si="143"/>
        <v>Counselor</v>
      </c>
    </row>
    <row r="1665" spans="1:23" x14ac:dyDescent="0.25">
      <c r="A1665">
        <v>22009</v>
      </c>
      <c r="B1665" t="s">
        <v>1270</v>
      </c>
      <c r="C1665">
        <v>0.75</v>
      </c>
      <c r="D1665" t="s">
        <v>1264</v>
      </c>
      <c r="E1665">
        <v>100215</v>
      </c>
      <c r="F1665">
        <v>22009</v>
      </c>
      <c r="G1665" t="str">
        <f t="shared" si="141"/>
        <v>22009</v>
      </c>
      <c r="H1665" t="s">
        <v>448</v>
      </c>
      <c r="I1665" t="s">
        <v>1265</v>
      </c>
      <c r="J1665" t="s">
        <v>1271</v>
      </c>
      <c r="K1665" t="s">
        <v>1272</v>
      </c>
      <c r="L1665" t="s">
        <v>1270</v>
      </c>
      <c r="M1665" t="s">
        <v>1273</v>
      </c>
      <c r="N1665">
        <v>1</v>
      </c>
      <c r="O1665" t="str">
        <f t="shared" si="144"/>
        <v>42</v>
      </c>
      <c r="P1665">
        <v>42</v>
      </c>
      <c r="R1665" t="s">
        <v>1269</v>
      </c>
      <c r="S1665">
        <v>0.75</v>
      </c>
      <c r="T1665">
        <v>0.2621</v>
      </c>
      <c r="U1665">
        <f t="shared" si="145"/>
        <v>0</v>
      </c>
      <c r="V1665" t="str">
        <f t="shared" si="142"/>
        <v>High Counselor</v>
      </c>
      <c r="W1665" t="str">
        <f t="shared" si="143"/>
        <v>Counselor</v>
      </c>
    </row>
    <row r="1666" spans="1:23" x14ac:dyDescent="0.25">
      <c r="A1666">
        <v>22017</v>
      </c>
      <c r="B1666" t="s">
        <v>1299</v>
      </c>
      <c r="C1666">
        <v>0.14399999999999999</v>
      </c>
      <c r="D1666" t="s">
        <v>1264</v>
      </c>
      <c r="E1666">
        <v>100012</v>
      </c>
      <c r="F1666">
        <v>22017</v>
      </c>
      <c r="G1666" t="str">
        <f t="shared" ref="G1666:G1729" si="146">TEXT(F1666,"00000")</f>
        <v>22017</v>
      </c>
      <c r="H1666" t="s">
        <v>449</v>
      </c>
      <c r="I1666" t="s">
        <v>1265</v>
      </c>
      <c r="J1666" t="s">
        <v>1271</v>
      </c>
      <c r="K1666" t="s">
        <v>1272</v>
      </c>
      <c r="L1666" t="s">
        <v>1299</v>
      </c>
      <c r="M1666" t="s">
        <v>1300</v>
      </c>
      <c r="N1666">
        <v>1</v>
      </c>
      <c r="O1666" t="str">
        <f t="shared" si="144"/>
        <v>25</v>
      </c>
      <c r="Q1666">
        <v>25</v>
      </c>
      <c r="R1666" t="s">
        <v>1269</v>
      </c>
      <c r="S1666">
        <v>0.14399999999999999</v>
      </c>
      <c r="T1666">
        <v>0.16059999999999999</v>
      </c>
      <c r="U1666">
        <f t="shared" si="145"/>
        <v>0</v>
      </c>
      <c r="V1666" t="str">
        <f t="shared" ref="V1666:V1729" si="147">_xlfn.XLOOKUP(L1666,$BV:$BV,$BT:$BT,,0)</f>
        <v>High Pupil Management</v>
      </c>
      <c r="W1666" t="str">
        <f t="shared" ref="W1666:W1729" si="148">_xlfn.TEXTAFTER(V1666," ")</f>
        <v>Pupil Management</v>
      </c>
    </row>
    <row r="1667" spans="1:23" x14ac:dyDescent="0.25">
      <c r="A1667">
        <v>22017</v>
      </c>
      <c r="B1667" t="s">
        <v>1275</v>
      </c>
      <c r="C1667">
        <v>0.48299999999999998</v>
      </c>
      <c r="D1667" t="s">
        <v>1264</v>
      </c>
      <c r="E1667">
        <v>100012</v>
      </c>
      <c r="F1667">
        <v>22017</v>
      </c>
      <c r="G1667" t="str">
        <f t="shared" si="146"/>
        <v>22017</v>
      </c>
      <c r="H1667" t="s">
        <v>449</v>
      </c>
      <c r="I1667" t="s">
        <v>1265</v>
      </c>
      <c r="J1667" t="s">
        <v>1276</v>
      </c>
      <c r="K1667" t="s">
        <v>1277</v>
      </c>
      <c r="L1667" t="s">
        <v>1275</v>
      </c>
      <c r="M1667" t="s">
        <v>1278</v>
      </c>
      <c r="N1667">
        <v>1</v>
      </c>
      <c r="O1667" t="str">
        <f t="shared" ref="O1667:O1730" si="149">MID(L1667,3,2)</f>
        <v>42</v>
      </c>
      <c r="P1667">
        <v>42</v>
      </c>
      <c r="R1667" t="s">
        <v>1269</v>
      </c>
      <c r="S1667">
        <v>0.48299999999999998</v>
      </c>
      <c r="T1667">
        <v>0.16059999999999999</v>
      </c>
      <c r="U1667">
        <f t="shared" ref="U1667:U1730" si="150">IF(N1667=21,ROUND(T1667*S1667,3),0)</f>
        <v>0</v>
      </c>
      <c r="V1667" t="str">
        <f t="shared" si="147"/>
        <v>Elementary Counselor</v>
      </c>
      <c r="W1667" t="str">
        <f t="shared" si="148"/>
        <v>Counselor</v>
      </c>
    </row>
    <row r="1668" spans="1:23" x14ac:dyDescent="0.25">
      <c r="A1668">
        <v>22017</v>
      </c>
      <c r="B1668" t="s">
        <v>1263</v>
      </c>
      <c r="C1668">
        <v>0.14399999999999999</v>
      </c>
      <c r="D1668" t="s">
        <v>1264</v>
      </c>
      <c r="E1668">
        <v>100012</v>
      </c>
      <c r="F1668">
        <v>22017</v>
      </c>
      <c r="G1668" t="str">
        <f t="shared" si="146"/>
        <v>22017</v>
      </c>
      <c r="H1668" t="s">
        <v>449</v>
      </c>
      <c r="I1668" t="s">
        <v>1265</v>
      </c>
      <c r="J1668" t="s">
        <v>1266</v>
      </c>
      <c r="K1668" t="s">
        <v>1267</v>
      </c>
      <c r="L1668" t="s">
        <v>1263</v>
      </c>
      <c r="M1668" t="s">
        <v>1268</v>
      </c>
      <c r="N1668">
        <v>1</v>
      </c>
      <c r="O1668" t="str">
        <f t="shared" si="149"/>
        <v>42</v>
      </c>
      <c r="P1668">
        <v>42</v>
      </c>
      <c r="R1668" t="s">
        <v>1269</v>
      </c>
      <c r="S1668">
        <v>0.14399999999999999</v>
      </c>
      <c r="T1668">
        <v>0.16059999999999999</v>
      </c>
      <c r="U1668">
        <f t="shared" si="150"/>
        <v>0</v>
      </c>
      <c r="V1668" t="str">
        <f t="shared" si="147"/>
        <v>Middle Counselor</v>
      </c>
      <c r="W1668" t="str">
        <f t="shared" si="148"/>
        <v>Counselor</v>
      </c>
    </row>
    <row r="1669" spans="1:23" x14ac:dyDescent="0.25">
      <c r="A1669">
        <v>22105</v>
      </c>
      <c r="B1669" t="s">
        <v>1308</v>
      </c>
      <c r="C1669">
        <v>0.22</v>
      </c>
      <c r="D1669" t="s">
        <v>1264</v>
      </c>
      <c r="E1669">
        <v>100180</v>
      </c>
      <c r="F1669">
        <v>22105</v>
      </c>
      <c r="G1669" t="str">
        <f t="shared" si="146"/>
        <v>22105</v>
      </c>
      <c r="H1669" t="s">
        <v>451</v>
      </c>
      <c r="I1669" t="s">
        <v>1265</v>
      </c>
      <c r="J1669" t="s">
        <v>1276</v>
      </c>
      <c r="K1669" t="s">
        <v>1277</v>
      </c>
      <c r="L1669" t="s">
        <v>1308</v>
      </c>
      <c r="M1669" t="s">
        <v>1389</v>
      </c>
      <c r="N1669">
        <v>1</v>
      </c>
      <c r="O1669" t="str">
        <f t="shared" si="149"/>
        <v>25</v>
      </c>
      <c r="Q1669">
        <v>25</v>
      </c>
      <c r="R1669" t="s">
        <v>1269</v>
      </c>
      <c r="S1669">
        <v>0.22</v>
      </c>
      <c r="T1669">
        <v>0.24740000000000001</v>
      </c>
      <c r="U1669">
        <f t="shared" si="150"/>
        <v>0</v>
      </c>
      <c r="V1669" t="str">
        <f t="shared" si="147"/>
        <v>Elementary Pupil Management</v>
      </c>
      <c r="W1669" t="str">
        <f t="shared" si="148"/>
        <v>Pupil Management</v>
      </c>
    </row>
    <row r="1670" spans="1:23" x14ac:dyDescent="0.25">
      <c r="A1670">
        <v>22105</v>
      </c>
      <c r="B1670" t="s">
        <v>1299</v>
      </c>
      <c r="C1670">
        <v>0.61099999999999999</v>
      </c>
      <c r="D1670" t="s">
        <v>1264</v>
      </c>
      <c r="E1670">
        <v>100180</v>
      </c>
      <c r="F1670">
        <v>22105</v>
      </c>
      <c r="G1670" t="str">
        <f t="shared" si="146"/>
        <v>22105</v>
      </c>
      <c r="H1670" t="s">
        <v>451</v>
      </c>
      <c r="I1670" t="s">
        <v>1265</v>
      </c>
      <c r="J1670" t="s">
        <v>1271</v>
      </c>
      <c r="K1670" t="s">
        <v>1272</v>
      </c>
      <c r="L1670" t="s">
        <v>1299</v>
      </c>
      <c r="M1670" t="s">
        <v>1300</v>
      </c>
      <c r="N1670">
        <v>1</v>
      </c>
      <c r="O1670" t="str">
        <f t="shared" si="149"/>
        <v>25</v>
      </c>
      <c r="Q1670">
        <v>25</v>
      </c>
      <c r="R1670" t="s">
        <v>1269</v>
      </c>
      <c r="S1670">
        <v>0.61099999999999999</v>
      </c>
      <c r="T1670">
        <v>0.24740000000000001</v>
      </c>
      <c r="U1670">
        <f t="shared" si="150"/>
        <v>0</v>
      </c>
      <c r="V1670" t="str">
        <f t="shared" si="147"/>
        <v>High Pupil Management</v>
      </c>
      <c r="W1670" t="str">
        <f t="shared" si="148"/>
        <v>Pupil Management</v>
      </c>
    </row>
    <row r="1671" spans="1:23" x14ac:dyDescent="0.25">
      <c r="A1671">
        <v>22105</v>
      </c>
      <c r="B1671" t="s">
        <v>1275</v>
      </c>
      <c r="C1671">
        <v>0.497</v>
      </c>
      <c r="D1671" t="s">
        <v>1264</v>
      </c>
      <c r="E1671">
        <v>100180</v>
      </c>
      <c r="F1671">
        <v>22105</v>
      </c>
      <c r="G1671" t="str">
        <f t="shared" si="146"/>
        <v>22105</v>
      </c>
      <c r="H1671" t="s">
        <v>451</v>
      </c>
      <c r="I1671" t="s">
        <v>1265</v>
      </c>
      <c r="J1671" t="s">
        <v>1276</v>
      </c>
      <c r="K1671" t="s">
        <v>1277</v>
      </c>
      <c r="L1671" t="s">
        <v>1275</v>
      </c>
      <c r="M1671" t="s">
        <v>1278</v>
      </c>
      <c r="N1671">
        <v>1</v>
      </c>
      <c r="O1671" t="str">
        <f t="shared" si="149"/>
        <v>42</v>
      </c>
      <c r="P1671">
        <v>42</v>
      </c>
      <c r="R1671" t="s">
        <v>1269</v>
      </c>
      <c r="S1671">
        <v>0.497</v>
      </c>
      <c r="T1671">
        <v>0.24740000000000001</v>
      </c>
      <c r="U1671">
        <f t="shared" si="150"/>
        <v>0</v>
      </c>
      <c r="V1671" t="str">
        <f t="shared" si="147"/>
        <v>Elementary Counselor</v>
      </c>
      <c r="W1671" t="str">
        <f t="shared" si="148"/>
        <v>Counselor</v>
      </c>
    </row>
    <row r="1672" spans="1:23" x14ac:dyDescent="0.25">
      <c r="A1672">
        <v>22105</v>
      </c>
      <c r="B1672" t="s">
        <v>1270</v>
      </c>
      <c r="C1672">
        <v>0.33100000000000002</v>
      </c>
      <c r="D1672" t="s">
        <v>1264</v>
      </c>
      <c r="E1672">
        <v>100180</v>
      </c>
      <c r="F1672">
        <v>22105</v>
      </c>
      <c r="G1672" t="str">
        <f t="shared" si="146"/>
        <v>22105</v>
      </c>
      <c r="H1672" t="s">
        <v>451</v>
      </c>
      <c r="I1672" t="s">
        <v>1265</v>
      </c>
      <c r="J1672" t="s">
        <v>1271</v>
      </c>
      <c r="K1672" t="s">
        <v>1272</v>
      </c>
      <c r="L1672" t="s">
        <v>1270</v>
      </c>
      <c r="M1672" t="s">
        <v>1273</v>
      </c>
      <c r="N1672">
        <v>1</v>
      </c>
      <c r="O1672" t="str">
        <f t="shared" si="149"/>
        <v>42</v>
      </c>
      <c r="P1672">
        <v>42</v>
      </c>
      <c r="R1672" t="s">
        <v>1269</v>
      </c>
      <c r="S1672">
        <v>0.33100000000000002</v>
      </c>
      <c r="T1672">
        <v>0.24740000000000001</v>
      </c>
      <c r="U1672">
        <f t="shared" si="150"/>
        <v>0</v>
      </c>
      <c r="V1672" t="str">
        <f t="shared" si="147"/>
        <v>High Counselor</v>
      </c>
      <c r="W1672" t="str">
        <f t="shared" si="148"/>
        <v>Counselor</v>
      </c>
    </row>
    <row r="1673" spans="1:23" x14ac:dyDescent="0.25">
      <c r="A1673">
        <v>22105</v>
      </c>
      <c r="B1673" t="s">
        <v>1263</v>
      </c>
      <c r="C1673">
        <v>0.16500000000000001</v>
      </c>
      <c r="D1673" t="s">
        <v>1264</v>
      </c>
      <c r="E1673">
        <v>100180</v>
      </c>
      <c r="F1673">
        <v>22105</v>
      </c>
      <c r="G1673" t="str">
        <f t="shared" si="146"/>
        <v>22105</v>
      </c>
      <c r="H1673" t="s">
        <v>451</v>
      </c>
      <c r="I1673" t="s">
        <v>1265</v>
      </c>
      <c r="J1673" t="s">
        <v>1266</v>
      </c>
      <c r="K1673" t="s">
        <v>1267</v>
      </c>
      <c r="L1673" t="s">
        <v>1263</v>
      </c>
      <c r="M1673" t="s">
        <v>1268</v>
      </c>
      <c r="N1673">
        <v>1</v>
      </c>
      <c r="O1673" t="str">
        <f t="shared" si="149"/>
        <v>42</v>
      </c>
      <c r="P1673">
        <v>42</v>
      </c>
      <c r="R1673" t="s">
        <v>1269</v>
      </c>
      <c r="S1673">
        <v>0.16500000000000001</v>
      </c>
      <c r="T1673">
        <v>0.24740000000000001</v>
      </c>
      <c r="U1673">
        <f t="shared" si="150"/>
        <v>0</v>
      </c>
      <c r="V1673" t="str">
        <f t="shared" si="147"/>
        <v>Middle Counselor</v>
      </c>
      <c r="W1673" t="str">
        <f t="shared" si="148"/>
        <v>Counselor</v>
      </c>
    </row>
    <row r="1674" spans="1:23" x14ac:dyDescent="0.25">
      <c r="A1674">
        <v>22200</v>
      </c>
      <c r="B1674" t="s">
        <v>1315</v>
      </c>
      <c r="C1674">
        <v>0.33900000000000002</v>
      </c>
      <c r="D1674" t="s">
        <v>1264</v>
      </c>
      <c r="E1674">
        <v>100296</v>
      </c>
      <c r="F1674">
        <v>22200</v>
      </c>
      <c r="G1674" t="str">
        <f t="shared" si="146"/>
        <v>22200</v>
      </c>
      <c r="H1674" t="s">
        <v>452</v>
      </c>
      <c r="I1674" t="s">
        <v>1265</v>
      </c>
      <c r="J1674" t="s">
        <v>1276</v>
      </c>
      <c r="K1674" t="s">
        <v>1277</v>
      </c>
      <c r="L1674" t="s">
        <v>1315</v>
      </c>
      <c r="M1674" t="s">
        <v>1375</v>
      </c>
      <c r="N1674">
        <v>1</v>
      </c>
      <c r="O1674" t="str">
        <f t="shared" si="149"/>
        <v>26</v>
      </c>
      <c r="Q1674">
        <v>26</v>
      </c>
      <c r="R1674" t="s">
        <v>1269</v>
      </c>
      <c r="S1674">
        <v>0.33900000000000002</v>
      </c>
      <c r="T1674">
        <v>0.16489999999999999</v>
      </c>
      <c r="U1674">
        <f t="shared" si="150"/>
        <v>0</v>
      </c>
      <c r="V1674" t="str">
        <f t="shared" si="147"/>
        <v>Elementary Health/
Related Services</v>
      </c>
      <c r="W1674" t="str">
        <f t="shared" si="148"/>
        <v>Health/
Related Services</v>
      </c>
    </row>
    <row r="1675" spans="1:23" x14ac:dyDescent="0.25">
      <c r="A1675">
        <v>22200</v>
      </c>
      <c r="B1675" t="s">
        <v>1295</v>
      </c>
      <c r="C1675">
        <v>0.33900000000000002</v>
      </c>
      <c r="D1675" t="s">
        <v>1264</v>
      </c>
      <c r="E1675">
        <v>100296</v>
      </c>
      <c r="F1675">
        <v>22200</v>
      </c>
      <c r="G1675" t="str">
        <f t="shared" si="146"/>
        <v>22200</v>
      </c>
      <c r="H1675" t="s">
        <v>452</v>
      </c>
      <c r="I1675" t="s">
        <v>1265</v>
      </c>
      <c r="J1675" t="s">
        <v>1271</v>
      </c>
      <c r="K1675" t="s">
        <v>1272</v>
      </c>
      <c r="L1675" t="s">
        <v>1295</v>
      </c>
      <c r="M1675" t="s">
        <v>1296</v>
      </c>
      <c r="N1675">
        <v>1</v>
      </c>
      <c r="O1675" t="str">
        <f t="shared" si="149"/>
        <v>26</v>
      </c>
      <c r="Q1675">
        <v>26</v>
      </c>
      <c r="R1675" t="s">
        <v>1269</v>
      </c>
      <c r="S1675">
        <v>0.33900000000000002</v>
      </c>
      <c r="T1675">
        <v>0.16489999999999999</v>
      </c>
      <c r="U1675">
        <f t="shared" si="150"/>
        <v>0</v>
      </c>
      <c r="V1675" t="str">
        <f t="shared" si="147"/>
        <v>High Health/
Related Services</v>
      </c>
      <c r="W1675" t="str">
        <f t="shared" si="148"/>
        <v>Health/
Related Services</v>
      </c>
    </row>
    <row r="1676" spans="1:23" x14ac:dyDescent="0.25">
      <c r="A1676" t="s">
        <v>156</v>
      </c>
      <c r="B1676" t="s">
        <v>1352</v>
      </c>
      <c r="C1676">
        <v>1.4E-2</v>
      </c>
      <c r="F1676" t="s">
        <v>156</v>
      </c>
      <c r="G1676" t="str">
        <f t="shared" si="146"/>
        <v>22200</v>
      </c>
      <c r="H1676" t="s">
        <v>452</v>
      </c>
      <c r="I1676" t="s">
        <v>1265</v>
      </c>
      <c r="J1676" t="s">
        <v>1641</v>
      </c>
      <c r="K1676" t="s">
        <v>1277</v>
      </c>
      <c r="L1676" t="s">
        <v>1352</v>
      </c>
      <c r="M1676" t="s">
        <v>1646</v>
      </c>
      <c r="N1676">
        <v>9</v>
      </c>
      <c r="O1676" t="str">
        <f t="shared" si="149"/>
        <v>26</v>
      </c>
      <c r="P1676">
        <v>91</v>
      </c>
      <c r="Q1676">
        <v>26</v>
      </c>
      <c r="S1676">
        <v>1.4E-2</v>
      </c>
      <c r="T1676">
        <v>0.16489999999999999</v>
      </c>
      <c r="U1676">
        <f t="shared" si="150"/>
        <v>0</v>
      </c>
      <c r="V1676" t="str">
        <f t="shared" si="147"/>
        <v>TK Health/
Related Services</v>
      </c>
      <c r="W1676" t="str">
        <f t="shared" si="148"/>
        <v>Health/
Related Services</v>
      </c>
    </row>
    <row r="1677" spans="1:23" x14ac:dyDescent="0.25">
      <c r="A1677">
        <v>22204</v>
      </c>
      <c r="B1677" t="s">
        <v>1308</v>
      </c>
      <c r="C1677">
        <v>4.2000000000000003E-2</v>
      </c>
      <c r="D1677" t="s">
        <v>1264</v>
      </c>
      <c r="E1677">
        <v>100103</v>
      </c>
      <c r="F1677">
        <v>22204</v>
      </c>
      <c r="G1677" t="str">
        <f t="shared" si="146"/>
        <v>22204</v>
      </c>
      <c r="H1677" t="s">
        <v>453</v>
      </c>
      <c r="I1677" t="s">
        <v>1265</v>
      </c>
      <c r="J1677" t="s">
        <v>1276</v>
      </c>
      <c r="K1677" t="s">
        <v>1277</v>
      </c>
      <c r="L1677" t="s">
        <v>1308</v>
      </c>
      <c r="M1677" t="s">
        <v>1389</v>
      </c>
      <c r="N1677">
        <v>1</v>
      </c>
      <c r="O1677" t="str">
        <f t="shared" si="149"/>
        <v>25</v>
      </c>
      <c r="Q1677">
        <v>25</v>
      </c>
      <c r="R1677" t="s">
        <v>1269</v>
      </c>
      <c r="S1677">
        <v>4.2000000000000003E-2</v>
      </c>
      <c r="T1677">
        <v>0.11119999999999999</v>
      </c>
      <c r="U1677">
        <f t="shared" si="150"/>
        <v>0</v>
      </c>
      <c r="V1677" t="str">
        <f t="shared" si="147"/>
        <v>Elementary Pupil Management</v>
      </c>
      <c r="W1677" t="str">
        <f t="shared" si="148"/>
        <v>Pupil Management</v>
      </c>
    </row>
    <row r="1678" spans="1:23" x14ac:dyDescent="0.25">
      <c r="A1678">
        <v>22204</v>
      </c>
      <c r="B1678" t="s">
        <v>1275</v>
      </c>
      <c r="C1678">
        <v>0.5</v>
      </c>
      <c r="D1678" t="s">
        <v>1264</v>
      </c>
      <c r="E1678">
        <v>100103</v>
      </c>
      <c r="F1678">
        <v>22204</v>
      </c>
      <c r="G1678" t="str">
        <f t="shared" si="146"/>
        <v>22204</v>
      </c>
      <c r="H1678" t="s">
        <v>453</v>
      </c>
      <c r="I1678" t="s">
        <v>1265</v>
      </c>
      <c r="J1678" t="s">
        <v>1276</v>
      </c>
      <c r="K1678" t="s">
        <v>1277</v>
      </c>
      <c r="L1678" t="s">
        <v>1275</v>
      </c>
      <c r="M1678" t="s">
        <v>1278</v>
      </c>
      <c r="N1678">
        <v>1</v>
      </c>
      <c r="O1678" t="str">
        <f t="shared" si="149"/>
        <v>42</v>
      </c>
      <c r="P1678">
        <v>42</v>
      </c>
      <c r="R1678" t="s">
        <v>1269</v>
      </c>
      <c r="S1678">
        <v>0.5</v>
      </c>
      <c r="T1678">
        <v>0.11119999999999999</v>
      </c>
      <c r="U1678">
        <f t="shared" si="150"/>
        <v>0</v>
      </c>
      <c r="V1678" t="str">
        <f t="shared" si="147"/>
        <v>Elementary Counselor</v>
      </c>
      <c r="W1678" t="str">
        <f t="shared" si="148"/>
        <v>Counselor</v>
      </c>
    </row>
    <row r="1679" spans="1:23" x14ac:dyDescent="0.25">
      <c r="A1679">
        <v>22204</v>
      </c>
      <c r="B1679" t="s">
        <v>1270</v>
      </c>
      <c r="C1679">
        <v>0.5</v>
      </c>
      <c r="D1679" t="s">
        <v>1264</v>
      </c>
      <c r="E1679">
        <v>100103</v>
      </c>
      <c r="F1679">
        <v>22204</v>
      </c>
      <c r="G1679" t="str">
        <f t="shared" si="146"/>
        <v>22204</v>
      </c>
      <c r="H1679" t="s">
        <v>453</v>
      </c>
      <c r="I1679" t="s">
        <v>1265</v>
      </c>
      <c r="J1679" t="s">
        <v>1271</v>
      </c>
      <c r="K1679" t="s">
        <v>1272</v>
      </c>
      <c r="L1679" t="s">
        <v>1270</v>
      </c>
      <c r="M1679" t="s">
        <v>1273</v>
      </c>
      <c r="N1679">
        <v>1</v>
      </c>
      <c r="O1679" t="str">
        <f t="shared" si="149"/>
        <v>42</v>
      </c>
      <c r="P1679">
        <v>42</v>
      </c>
      <c r="R1679" t="s">
        <v>1269</v>
      </c>
      <c r="S1679">
        <v>0.5</v>
      </c>
      <c r="T1679">
        <v>0.11119999999999999</v>
      </c>
      <c r="U1679">
        <f t="shared" si="150"/>
        <v>0</v>
      </c>
      <c r="V1679" t="str">
        <f t="shared" si="147"/>
        <v>High Counselor</v>
      </c>
      <c r="W1679" t="str">
        <f t="shared" si="148"/>
        <v>Counselor</v>
      </c>
    </row>
    <row r="1680" spans="1:23" x14ac:dyDescent="0.25">
      <c r="A1680">
        <v>22204</v>
      </c>
      <c r="B1680" t="s">
        <v>1294</v>
      </c>
      <c r="C1680">
        <v>0.5</v>
      </c>
      <c r="D1680" t="s">
        <v>1264</v>
      </c>
      <c r="E1680">
        <v>100103</v>
      </c>
      <c r="F1680">
        <v>22204</v>
      </c>
      <c r="G1680" t="str">
        <f t="shared" si="146"/>
        <v>22204</v>
      </c>
      <c r="H1680" t="s">
        <v>453</v>
      </c>
      <c r="I1680" t="s">
        <v>1265</v>
      </c>
      <c r="J1680" t="s">
        <v>1276</v>
      </c>
      <c r="K1680" t="s">
        <v>1277</v>
      </c>
      <c r="L1680" t="s">
        <v>1294</v>
      </c>
      <c r="M1680" t="s">
        <v>1354</v>
      </c>
      <c r="N1680">
        <v>21</v>
      </c>
      <c r="O1680" t="str">
        <f t="shared" si="149"/>
        <v>45</v>
      </c>
      <c r="P1680">
        <v>45</v>
      </c>
      <c r="R1680" t="s">
        <v>1269</v>
      </c>
      <c r="S1680">
        <v>0.5</v>
      </c>
      <c r="T1680">
        <v>0.11119999999999999</v>
      </c>
      <c r="U1680">
        <f t="shared" si="150"/>
        <v>5.6000000000000001E-2</v>
      </c>
      <c r="V1680" t="str">
        <f t="shared" si="147"/>
        <v>Elementary Speech, Language Pathway/
Audio</v>
      </c>
      <c r="W1680" t="str">
        <f t="shared" si="148"/>
        <v>Speech, Language Pathway/
Audio</v>
      </c>
    </row>
    <row r="1681" spans="1:23" x14ac:dyDescent="0.25">
      <c r="A1681">
        <v>22204</v>
      </c>
      <c r="B1681" t="s">
        <v>1326</v>
      </c>
      <c r="C1681">
        <v>0.5</v>
      </c>
      <c r="D1681" t="s">
        <v>1264</v>
      </c>
      <c r="E1681">
        <v>100103</v>
      </c>
      <c r="F1681">
        <v>22204</v>
      </c>
      <c r="G1681" t="str">
        <f t="shared" si="146"/>
        <v>22204</v>
      </c>
      <c r="H1681" t="s">
        <v>453</v>
      </c>
      <c r="I1681" t="s">
        <v>1265</v>
      </c>
      <c r="J1681" t="s">
        <v>1271</v>
      </c>
      <c r="K1681" t="s">
        <v>1272</v>
      </c>
      <c r="L1681" t="s">
        <v>1326</v>
      </c>
      <c r="M1681" t="s">
        <v>1353</v>
      </c>
      <c r="N1681">
        <v>21</v>
      </c>
      <c r="O1681" t="str">
        <f t="shared" si="149"/>
        <v>45</v>
      </c>
      <c r="P1681">
        <v>45</v>
      </c>
      <c r="R1681" t="s">
        <v>1269</v>
      </c>
      <c r="S1681">
        <v>0.5</v>
      </c>
      <c r="T1681">
        <v>0.11119999999999999</v>
      </c>
      <c r="U1681">
        <f t="shared" si="150"/>
        <v>5.6000000000000001E-2</v>
      </c>
      <c r="V1681" t="str">
        <f t="shared" si="147"/>
        <v>High Speech, Language Pathway/
Audio</v>
      </c>
      <c r="W1681" t="str">
        <f t="shared" si="148"/>
        <v>Speech, Language Pathway/
Audio</v>
      </c>
    </row>
    <row r="1682" spans="1:23" x14ac:dyDescent="0.25">
      <c r="A1682">
        <v>22207</v>
      </c>
      <c r="B1682" t="s">
        <v>1299</v>
      </c>
      <c r="C1682">
        <v>0.72699999999999998</v>
      </c>
      <c r="D1682" t="s">
        <v>1264</v>
      </c>
      <c r="E1682">
        <v>100065</v>
      </c>
      <c r="F1682">
        <v>22207</v>
      </c>
      <c r="G1682" t="str">
        <f t="shared" si="146"/>
        <v>22207</v>
      </c>
      <c r="H1682" t="s">
        <v>454</v>
      </c>
      <c r="I1682" t="s">
        <v>1265</v>
      </c>
      <c r="J1682" t="s">
        <v>1271</v>
      </c>
      <c r="K1682" t="s">
        <v>1272</v>
      </c>
      <c r="L1682" t="s">
        <v>1299</v>
      </c>
      <c r="M1682" t="s">
        <v>1300</v>
      </c>
      <c r="N1682">
        <v>1</v>
      </c>
      <c r="O1682" t="str">
        <f t="shared" si="149"/>
        <v>25</v>
      </c>
      <c r="Q1682">
        <v>25</v>
      </c>
      <c r="R1682" t="s">
        <v>1269</v>
      </c>
      <c r="S1682">
        <v>0.72699999999999998</v>
      </c>
      <c r="T1682">
        <v>0.1583</v>
      </c>
      <c r="U1682">
        <f t="shared" si="150"/>
        <v>0</v>
      </c>
      <c r="V1682" t="str">
        <f t="shared" si="147"/>
        <v>High Pupil Management</v>
      </c>
      <c r="W1682" t="str">
        <f t="shared" si="148"/>
        <v>Pupil Management</v>
      </c>
    </row>
    <row r="1683" spans="1:23" x14ac:dyDescent="0.25">
      <c r="A1683">
        <v>22207</v>
      </c>
      <c r="B1683" t="s">
        <v>1311</v>
      </c>
      <c r="C1683">
        <v>1.411</v>
      </c>
      <c r="D1683" t="s">
        <v>1264</v>
      </c>
      <c r="E1683">
        <v>100065</v>
      </c>
      <c r="F1683">
        <v>22207</v>
      </c>
      <c r="G1683" t="str">
        <f t="shared" si="146"/>
        <v>22207</v>
      </c>
      <c r="H1683" t="s">
        <v>454</v>
      </c>
      <c r="I1683" t="s">
        <v>1265</v>
      </c>
      <c r="J1683" t="s">
        <v>1276</v>
      </c>
      <c r="K1683" t="s">
        <v>1277</v>
      </c>
      <c r="L1683" t="s">
        <v>1311</v>
      </c>
      <c r="M1683" t="s">
        <v>1327</v>
      </c>
      <c r="N1683">
        <v>21</v>
      </c>
      <c r="O1683" t="str">
        <f t="shared" si="149"/>
        <v>26</v>
      </c>
      <c r="Q1683">
        <v>26</v>
      </c>
      <c r="R1683" t="s">
        <v>1269</v>
      </c>
      <c r="S1683">
        <v>1.411</v>
      </c>
      <c r="T1683">
        <v>0.1583</v>
      </c>
      <c r="U1683">
        <f t="shared" si="150"/>
        <v>0.223</v>
      </c>
      <c r="V1683" t="str">
        <f t="shared" si="147"/>
        <v>Elementary Health/
Related Services</v>
      </c>
      <c r="W1683" t="str">
        <f t="shared" si="148"/>
        <v>Health/
Related Services</v>
      </c>
    </row>
    <row r="1684" spans="1:23" x14ac:dyDescent="0.25">
      <c r="A1684">
        <v>22207</v>
      </c>
      <c r="B1684" t="s">
        <v>1324</v>
      </c>
      <c r="C1684">
        <v>0.224</v>
      </c>
      <c r="D1684" t="s">
        <v>1264</v>
      </c>
      <c r="E1684">
        <v>100065</v>
      </c>
      <c r="F1684">
        <v>22207</v>
      </c>
      <c r="G1684" t="str">
        <f t="shared" si="146"/>
        <v>22207</v>
      </c>
      <c r="H1684" t="s">
        <v>454</v>
      </c>
      <c r="I1684" t="s">
        <v>1265</v>
      </c>
      <c r="J1684" t="s">
        <v>1271</v>
      </c>
      <c r="K1684" t="s">
        <v>1272</v>
      </c>
      <c r="L1684" t="s">
        <v>1324</v>
      </c>
      <c r="M1684" t="s">
        <v>1325</v>
      </c>
      <c r="N1684">
        <v>21</v>
      </c>
      <c r="O1684" t="str">
        <f t="shared" si="149"/>
        <v>26</v>
      </c>
      <c r="Q1684">
        <v>26</v>
      </c>
      <c r="R1684" t="s">
        <v>1269</v>
      </c>
      <c r="S1684">
        <v>0.224</v>
      </c>
      <c r="T1684">
        <v>0.1583</v>
      </c>
      <c r="U1684">
        <f t="shared" si="150"/>
        <v>3.5000000000000003E-2</v>
      </c>
      <c r="V1684" t="str">
        <f t="shared" si="147"/>
        <v>High Health/
Related Services</v>
      </c>
      <c r="W1684" t="str">
        <f t="shared" si="148"/>
        <v>Health/
Related Services</v>
      </c>
    </row>
    <row r="1685" spans="1:23" x14ac:dyDescent="0.25">
      <c r="A1685">
        <v>22207</v>
      </c>
      <c r="B1685" t="s">
        <v>1270</v>
      </c>
      <c r="C1685">
        <v>0.74</v>
      </c>
      <c r="D1685" t="s">
        <v>1264</v>
      </c>
      <c r="E1685">
        <v>100065</v>
      </c>
      <c r="F1685">
        <v>22207</v>
      </c>
      <c r="G1685" t="str">
        <f t="shared" si="146"/>
        <v>22207</v>
      </c>
      <c r="H1685" t="s">
        <v>454</v>
      </c>
      <c r="I1685" t="s">
        <v>1265</v>
      </c>
      <c r="J1685" t="s">
        <v>1271</v>
      </c>
      <c r="K1685" t="s">
        <v>1272</v>
      </c>
      <c r="L1685" t="s">
        <v>1270</v>
      </c>
      <c r="M1685" t="s">
        <v>1273</v>
      </c>
      <c r="N1685">
        <v>1</v>
      </c>
      <c r="O1685" t="str">
        <f t="shared" si="149"/>
        <v>42</v>
      </c>
      <c r="P1685">
        <v>42</v>
      </c>
      <c r="R1685" t="s">
        <v>1269</v>
      </c>
      <c r="S1685">
        <v>0.74</v>
      </c>
      <c r="T1685">
        <v>0.1583</v>
      </c>
      <c r="U1685">
        <f t="shared" si="150"/>
        <v>0</v>
      </c>
      <c r="V1685" t="str">
        <f t="shared" si="147"/>
        <v>High Counselor</v>
      </c>
      <c r="W1685" t="str">
        <f t="shared" si="148"/>
        <v>Counselor</v>
      </c>
    </row>
    <row r="1686" spans="1:23" x14ac:dyDescent="0.25">
      <c r="A1686">
        <v>22207</v>
      </c>
      <c r="B1686" t="s">
        <v>1289</v>
      </c>
      <c r="C1686">
        <v>1</v>
      </c>
      <c r="D1686" t="s">
        <v>1264</v>
      </c>
      <c r="E1686">
        <v>100065</v>
      </c>
      <c r="F1686">
        <v>22207</v>
      </c>
      <c r="G1686" t="str">
        <f t="shared" si="146"/>
        <v>22207</v>
      </c>
      <c r="H1686" t="s">
        <v>454</v>
      </c>
      <c r="I1686" t="s">
        <v>1265</v>
      </c>
      <c r="J1686" t="s">
        <v>1276</v>
      </c>
      <c r="K1686" t="s">
        <v>1277</v>
      </c>
      <c r="L1686" t="s">
        <v>1289</v>
      </c>
      <c r="M1686" t="s">
        <v>1307</v>
      </c>
      <c r="N1686">
        <v>21</v>
      </c>
      <c r="O1686" t="str">
        <f t="shared" si="149"/>
        <v>43</v>
      </c>
      <c r="P1686">
        <v>43</v>
      </c>
      <c r="R1686" t="s">
        <v>1269</v>
      </c>
      <c r="S1686">
        <v>1</v>
      </c>
      <c r="T1686">
        <v>0.1583</v>
      </c>
      <c r="U1686">
        <f t="shared" si="150"/>
        <v>0.158</v>
      </c>
      <c r="V1686" t="str">
        <f t="shared" si="147"/>
        <v>Elementary Occupational Therapist</v>
      </c>
      <c r="W1686" t="str">
        <f t="shared" si="148"/>
        <v>Occupational Therapist</v>
      </c>
    </row>
    <row r="1687" spans="1:23" x14ac:dyDescent="0.25">
      <c r="A1687">
        <v>22207</v>
      </c>
      <c r="B1687" t="s">
        <v>1294</v>
      </c>
      <c r="C1687">
        <v>0.4</v>
      </c>
      <c r="D1687" t="s">
        <v>1264</v>
      </c>
      <c r="E1687">
        <v>100065</v>
      </c>
      <c r="F1687">
        <v>22207</v>
      </c>
      <c r="G1687" t="str">
        <f t="shared" si="146"/>
        <v>22207</v>
      </c>
      <c r="H1687" t="s">
        <v>454</v>
      </c>
      <c r="I1687" t="s">
        <v>1265</v>
      </c>
      <c r="J1687" t="s">
        <v>1276</v>
      </c>
      <c r="K1687" t="s">
        <v>1277</v>
      </c>
      <c r="L1687" t="s">
        <v>1294</v>
      </c>
      <c r="M1687" t="s">
        <v>1354</v>
      </c>
      <c r="N1687">
        <v>21</v>
      </c>
      <c r="O1687" t="str">
        <f t="shared" si="149"/>
        <v>45</v>
      </c>
      <c r="P1687">
        <v>45</v>
      </c>
      <c r="R1687" t="s">
        <v>1269</v>
      </c>
      <c r="S1687">
        <v>0.4</v>
      </c>
      <c r="T1687">
        <v>0.1583</v>
      </c>
      <c r="U1687">
        <f t="shared" si="150"/>
        <v>6.3E-2</v>
      </c>
      <c r="V1687" t="str">
        <f t="shared" si="147"/>
        <v>Elementary Speech, Language Pathway/
Audio</v>
      </c>
      <c r="W1687" t="str">
        <f t="shared" si="148"/>
        <v>Speech, Language Pathway/
Audio</v>
      </c>
    </row>
    <row r="1688" spans="1:23" x14ac:dyDescent="0.25">
      <c r="A1688">
        <v>22207</v>
      </c>
      <c r="B1688" t="s">
        <v>1335</v>
      </c>
      <c r="C1688">
        <v>1</v>
      </c>
      <c r="D1688" t="s">
        <v>1264</v>
      </c>
      <c r="E1688">
        <v>100065</v>
      </c>
      <c r="F1688">
        <v>22207</v>
      </c>
      <c r="G1688" t="str">
        <f t="shared" si="146"/>
        <v>22207</v>
      </c>
      <c r="H1688" t="s">
        <v>454</v>
      </c>
      <c r="I1688" t="s">
        <v>1265</v>
      </c>
      <c r="J1688" t="s">
        <v>1276</v>
      </c>
      <c r="K1688" t="s">
        <v>1277</v>
      </c>
      <c r="L1688" t="s">
        <v>1335</v>
      </c>
      <c r="M1688" t="s">
        <v>1344</v>
      </c>
      <c r="N1688">
        <v>1</v>
      </c>
      <c r="O1688" t="str">
        <f t="shared" si="149"/>
        <v>47</v>
      </c>
      <c r="P1688">
        <v>47</v>
      </c>
      <c r="R1688" t="s">
        <v>1269</v>
      </c>
      <c r="S1688">
        <v>1</v>
      </c>
      <c r="T1688">
        <v>0.1583</v>
      </c>
      <c r="U1688">
        <f t="shared" si="150"/>
        <v>0</v>
      </c>
      <c r="V1688" t="str">
        <f t="shared" si="147"/>
        <v>Elementary Nurse</v>
      </c>
      <c r="W1688" t="str">
        <f t="shared" si="148"/>
        <v>Nurse</v>
      </c>
    </row>
    <row r="1689" spans="1:23" x14ac:dyDescent="0.25">
      <c r="A1689">
        <v>23042</v>
      </c>
      <c r="B1689" t="s">
        <v>1295</v>
      </c>
      <c r="C1689">
        <v>0.17599999999999999</v>
      </c>
      <c r="D1689" t="s">
        <v>1264</v>
      </c>
      <c r="E1689">
        <v>100246</v>
      </c>
      <c r="F1689">
        <v>23042</v>
      </c>
      <c r="G1689" t="str">
        <f t="shared" si="146"/>
        <v>23042</v>
      </c>
      <c r="H1689" t="s">
        <v>455</v>
      </c>
      <c r="I1689" t="s">
        <v>1265</v>
      </c>
      <c r="J1689" t="s">
        <v>1271</v>
      </c>
      <c r="K1689" t="s">
        <v>1272</v>
      </c>
      <c r="L1689" t="s">
        <v>1295</v>
      </c>
      <c r="M1689" t="s">
        <v>1296</v>
      </c>
      <c r="N1689">
        <v>1</v>
      </c>
      <c r="O1689" t="str">
        <f t="shared" si="149"/>
        <v>26</v>
      </c>
      <c r="Q1689">
        <v>26</v>
      </c>
      <c r="R1689" t="s">
        <v>1269</v>
      </c>
      <c r="S1689">
        <v>0.17599999999999999</v>
      </c>
      <c r="T1689">
        <v>0.16089999999999999</v>
      </c>
      <c r="U1689">
        <f t="shared" si="150"/>
        <v>0</v>
      </c>
      <c r="V1689" t="str">
        <f t="shared" si="147"/>
        <v>High Health/
Related Services</v>
      </c>
      <c r="W1689" t="str">
        <f t="shared" si="148"/>
        <v>Health/
Related Services</v>
      </c>
    </row>
    <row r="1690" spans="1:23" x14ac:dyDescent="0.25">
      <c r="A1690">
        <v>23042</v>
      </c>
      <c r="B1690" t="s">
        <v>1275</v>
      </c>
      <c r="C1690">
        <v>0.26600000000000001</v>
      </c>
      <c r="D1690" t="s">
        <v>1264</v>
      </c>
      <c r="E1690">
        <v>100246</v>
      </c>
      <c r="F1690">
        <v>23042</v>
      </c>
      <c r="G1690" t="str">
        <f t="shared" si="146"/>
        <v>23042</v>
      </c>
      <c r="H1690" t="s">
        <v>455</v>
      </c>
      <c r="I1690" t="s">
        <v>1265</v>
      </c>
      <c r="J1690" t="s">
        <v>1276</v>
      </c>
      <c r="K1690" t="s">
        <v>1277</v>
      </c>
      <c r="L1690" t="s">
        <v>1275</v>
      </c>
      <c r="M1690" t="s">
        <v>1278</v>
      </c>
      <c r="N1690">
        <v>1</v>
      </c>
      <c r="O1690" t="str">
        <f t="shared" si="149"/>
        <v>42</v>
      </c>
      <c r="P1690">
        <v>42</v>
      </c>
      <c r="R1690" t="s">
        <v>1269</v>
      </c>
      <c r="S1690">
        <v>0.26600000000000001</v>
      </c>
      <c r="T1690">
        <v>0.16089999999999999</v>
      </c>
      <c r="U1690">
        <f t="shared" si="150"/>
        <v>0</v>
      </c>
      <c r="V1690" t="str">
        <f t="shared" si="147"/>
        <v>Elementary Counselor</v>
      </c>
      <c r="W1690" t="str">
        <f t="shared" si="148"/>
        <v>Counselor</v>
      </c>
    </row>
    <row r="1691" spans="1:23" x14ac:dyDescent="0.25">
      <c r="A1691">
        <v>23054</v>
      </c>
      <c r="B1691" t="s">
        <v>1299</v>
      </c>
      <c r="C1691">
        <v>0.52800000000000002</v>
      </c>
      <c r="D1691" t="s">
        <v>1264</v>
      </c>
      <c r="E1691">
        <v>100099</v>
      </c>
      <c r="F1691">
        <v>23054</v>
      </c>
      <c r="G1691" t="str">
        <f t="shared" si="146"/>
        <v>23054</v>
      </c>
      <c r="H1691" t="s">
        <v>456</v>
      </c>
      <c r="I1691" t="s">
        <v>1265</v>
      </c>
      <c r="J1691" t="s">
        <v>1271</v>
      </c>
      <c r="K1691" t="s">
        <v>1272</v>
      </c>
      <c r="L1691" t="s">
        <v>1299</v>
      </c>
      <c r="M1691" t="s">
        <v>1300</v>
      </c>
      <c r="N1691">
        <v>1</v>
      </c>
      <c r="O1691" t="str">
        <f t="shared" si="149"/>
        <v>25</v>
      </c>
      <c r="Q1691">
        <v>25</v>
      </c>
      <c r="R1691" t="s">
        <v>1269</v>
      </c>
      <c r="S1691">
        <v>0.52800000000000002</v>
      </c>
      <c r="T1691">
        <v>9.8000000000000004E-2</v>
      </c>
      <c r="U1691">
        <f t="shared" si="150"/>
        <v>0</v>
      </c>
      <c r="V1691" t="str">
        <f t="shared" si="147"/>
        <v>High Pupil Management</v>
      </c>
      <c r="W1691" t="str">
        <f t="shared" si="148"/>
        <v>Pupil Management</v>
      </c>
    </row>
    <row r="1692" spans="1:23" x14ac:dyDescent="0.25">
      <c r="A1692">
        <v>23054</v>
      </c>
      <c r="B1692" t="s">
        <v>1263</v>
      </c>
      <c r="C1692">
        <v>0.217</v>
      </c>
      <c r="D1692" t="s">
        <v>1264</v>
      </c>
      <c r="E1692">
        <v>100099</v>
      </c>
      <c r="F1692">
        <v>23054</v>
      </c>
      <c r="G1692" t="str">
        <f t="shared" si="146"/>
        <v>23054</v>
      </c>
      <c r="H1692" t="s">
        <v>456</v>
      </c>
      <c r="I1692" t="s">
        <v>1265</v>
      </c>
      <c r="J1692" t="s">
        <v>1266</v>
      </c>
      <c r="K1692" t="s">
        <v>1267</v>
      </c>
      <c r="L1692" t="s">
        <v>1263</v>
      </c>
      <c r="M1692" t="s">
        <v>1268</v>
      </c>
      <c r="N1692">
        <v>1</v>
      </c>
      <c r="O1692" t="str">
        <f t="shared" si="149"/>
        <v>42</v>
      </c>
      <c r="P1692">
        <v>42</v>
      </c>
      <c r="R1692" t="s">
        <v>1269</v>
      </c>
      <c r="S1692">
        <v>0.217</v>
      </c>
      <c r="T1692">
        <v>9.8000000000000004E-2</v>
      </c>
      <c r="U1692">
        <f t="shared" si="150"/>
        <v>0</v>
      </c>
      <c r="V1692" t="str">
        <f t="shared" si="147"/>
        <v>Middle Counselor</v>
      </c>
      <c r="W1692" t="str">
        <f t="shared" si="148"/>
        <v>Counselor</v>
      </c>
    </row>
    <row r="1693" spans="1:23" x14ac:dyDescent="0.25">
      <c r="A1693" t="s">
        <v>160</v>
      </c>
      <c r="B1693" t="s">
        <v>1474</v>
      </c>
      <c r="C1693">
        <v>0.187</v>
      </c>
      <c r="F1693" t="s">
        <v>160</v>
      </c>
      <c r="G1693" t="str">
        <f t="shared" si="146"/>
        <v>23054</v>
      </c>
      <c r="H1693" t="s">
        <v>456</v>
      </c>
      <c r="I1693" t="s">
        <v>1265</v>
      </c>
      <c r="K1693" t="s">
        <v>1277</v>
      </c>
      <c r="L1693" t="s">
        <v>1474</v>
      </c>
      <c r="M1693" t="s">
        <v>1642</v>
      </c>
      <c r="N1693">
        <v>9</v>
      </c>
      <c r="O1693" t="str">
        <f t="shared" si="149"/>
        <v>25</v>
      </c>
      <c r="P1693">
        <v>91</v>
      </c>
      <c r="Q1693">
        <v>25</v>
      </c>
      <c r="S1693">
        <v>0.187</v>
      </c>
      <c r="T1693">
        <v>9.8000000000000004E-2</v>
      </c>
      <c r="U1693">
        <f t="shared" si="150"/>
        <v>0</v>
      </c>
      <c r="V1693" t="str">
        <f t="shared" si="147"/>
        <v>TK Pupil Management</v>
      </c>
      <c r="W1693" t="str">
        <f t="shared" si="148"/>
        <v>Pupil Management</v>
      </c>
    </row>
    <row r="1694" spans="1:23" x14ac:dyDescent="0.25">
      <c r="A1694">
        <v>23309</v>
      </c>
      <c r="B1694" t="s">
        <v>1290</v>
      </c>
      <c r="C1694">
        <v>1.681</v>
      </c>
      <c r="D1694" t="s">
        <v>1264</v>
      </c>
      <c r="E1694">
        <v>100235</v>
      </c>
      <c r="F1694">
        <v>23309</v>
      </c>
      <c r="G1694" t="str">
        <f t="shared" si="146"/>
        <v>23309</v>
      </c>
      <c r="H1694" t="s">
        <v>457</v>
      </c>
      <c r="I1694" t="s">
        <v>1265</v>
      </c>
      <c r="J1694" t="s">
        <v>1271</v>
      </c>
      <c r="K1694" t="s">
        <v>1272</v>
      </c>
      <c r="L1694" t="s">
        <v>1290</v>
      </c>
      <c r="M1694" t="s">
        <v>1412</v>
      </c>
      <c r="N1694">
        <v>97</v>
      </c>
      <c r="O1694" t="str">
        <f t="shared" si="149"/>
        <v>25</v>
      </c>
      <c r="Q1694">
        <v>25</v>
      </c>
      <c r="R1694" t="s">
        <v>1269</v>
      </c>
      <c r="S1694">
        <v>1.681</v>
      </c>
      <c r="T1694">
        <v>0.18729999999999999</v>
      </c>
      <c r="U1694">
        <f t="shared" si="150"/>
        <v>0</v>
      </c>
      <c r="V1694" t="str">
        <f t="shared" si="147"/>
        <v>High Pupil Management</v>
      </c>
      <c r="W1694" t="str">
        <f t="shared" si="148"/>
        <v>Pupil Management</v>
      </c>
    </row>
    <row r="1695" spans="1:23" x14ac:dyDescent="0.25">
      <c r="A1695">
        <v>23309</v>
      </c>
      <c r="B1695" t="s">
        <v>1299</v>
      </c>
      <c r="C1695">
        <v>6.0590000000000002</v>
      </c>
      <c r="D1695" t="s">
        <v>1264</v>
      </c>
      <c r="E1695">
        <v>100235</v>
      </c>
      <c r="F1695">
        <v>23309</v>
      </c>
      <c r="G1695" t="str">
        <f t="shared" si="146"/>
        <v>23309</v>
      </c>
      <c r="H1695" t="s">
        <v>457</v>
      </c>
      <c r="I1695" t="s">
        <v>1265</v>
      </c>
      <c r="J1695" t="s">
        <v>1271</v>
      </c>
      <c r="K1695" t="s">
        <v>1272</v>
      </c>
      <c r="L1695" t="s">
        <v>1299</v>
      </c>
      <c r="M1695" t="s">
        <v>1300</v>
      </c>
      <c r="N1695">
        <v>1</v>
      </c>
      <c r="O1695" t="str">
        <f t="shared" si="149"/>
        <v>25</v>
      </c>
      <c r="Q1695">
        <v>25</v>
      </c>
      <c r="R1695" t="s">
        <v>1269</v>
      </c>
      <c r="S1695">
        <v>6.0590000000000002</v>
      </c>
      <c r="T1695">
        <v>0.18729999999999999</v>
      </c>
      <c r="U1695">
        <f t="shared" si="150"/>
        <v>0</v>
      </c>
      <c r="V1695" t="str">
        <f t="shared" si="147"/>
        <v>High Pupil Management</v>
      </c>
      <c r="W1695" t="str">
        <f t="shared" si="148"/>
        <v>Pupil Management</v>
      </c>
    </row>
    <row r="1696" spans="1:23" x14ac:dyDescent="0.25">
      <c r="A1696">
        <v>23309</v>
      </c>
      <c r="B1696" t="s">
        <v>1315</v>
      </c>
      <c r="C1696">
        <v>0.63600000000000001</v>
      </c>
      <c r="D1696" t="s">
        <v>1264</v>
      </c>
      <c r="E1696">
        <v>100235</v>
      </c>
      <c r="F1696">
        <v>23309</v>
      </c>
      <c r="G1696" t="str">
        <f t="shared" si="146"/>
        <v>23309</v>
      </c>
      <c r="H1696" t="s">
        <v>457</v>
      </c>
      <c r="I1696" t="s">
        <v>1265</v>
      </c>
      <c r="J1696" t="s">
        <v>1276</v>
      </c>
      <c r="K1696" t="s">
        <v>1277</v>
      </c>
      <c r="L1696" t="s">
        <v>1315</v>
      </c>
      <c r="M1696" t="s">
        <v>1375</v>
      </c>
      <c r="N1696">
        <v>1</v>
      </c>
      <c r="O1696" t="str">
        <f t="shared" si="149"/>
        <v>26</v>
      </c>
      <c r="Q1696">
        <v>26</v>
      </c>
      <c r="R1696" t="s">
        <v>1269</v>
      </c>
      <c r="S1696">
        <v>0.63600000000000001</v>
      </c>
      <c r="T1696">
        <v>0.18729999999999999</v>
      </c>
      <c r="U1696">
        <f t="shared" si="150"/>
        <v>0</v>
      </c>
      <c r="V1696" t="str">
        <f t="shared" si="147"/>
        <v>Elementary Health/
Related Services</v>
      </c>
      <c r="W1696" t="str">
        <f t="shared" si="148"/>
        <v>Health/
Related Services</v>
      </c>
    </row>
    <row r="1697" spans="1:23" x14ac:dyDescent="0.25">
      <c r="A1697">
        <v>23309</v>
      </c>
      <c r="B1697" t="s">
        <v>1324</v>
      </c>
      <c r="C1697">
        <v>0.93300000000000005</v>
      </c>
      <c r="D1697" t="s">
        <v>1264</v>
      </c>
      <c r="E1697">
        <v>100235</v>
      </c>
      <c r="F1697">
        <v>23309</v>
      </c>
      <c r="G1697" t="str">
        <f t="shared" si="146"/>
        <v>23309</v>
      </c>
      <c r="H1697" t="s">
        <v>457</v>
      </c>
      <c r="I1697" t="s">
        <v>1265</v>
      </c>
      <c r="J1697" t="s">
        <v>1271</v>
      </c>
      <c r="K1697" t="s">
        <v>1272</v>
      </c>
      <c r="L1697" t="s">
        <v>1324</v>
      </c>
      <c r="M1697" t="s">
        <v>1325</v>
      </c>
      <c r="N1697">
        <v>21</v>
      </c>
      <c r="O1697" t="str">
        <f t="shared" si="149"/>
        <v>26</v>
      </c>
      <c r="Q1697">
        <v>26</v>
      </c>
      <c r="R1697" t="s">
        <v>1269</v>
      </c>
      <c r="S1697">
        <v>0.93300000000000005</v>
      </c>
      <c r="T1697">
        <v>0.18729999999999999</v>
      </c>
      <c r="U1697">
        <f t="shared" si="150"/>
        <v>0.17499999999999999</v>
      </c>
      <c r="V1697" t="str">
        <f t="shared" si="147"/>
        <v>High Health/
Related Services</v>
      </c>
      <c r="W1697" t="str">
        <f t="shared" si="148"/>
        <v>Health/
Related Services</v>
      </c>
    </row>
    <row r="1698" spans="1:23" x14ac:dyDescent="0.25">
      <c r="A1698">
        <v>23309</v>
      </c>
      <c r="B1698" t="s">
        <v>1295</v>
      </c>
      <c r="C1698">
        <v>2.7709999999999999</v>
      </c>
      <c r="D1698" t="s">
        <v>1264</v>
      </c>
      <c r="E1698">
        <v>100235</v>
      </c>
      <c r="F1698">
        <v>23309</v>
      </c>
      <c r="G1698" t="str">
        <f t="shared" si="146"/>
        <v>23309</v>
      </c>
      <c r="H1698" t="s">
        <v>457</v>
      </c>
      <c r="I1698" t="s">
        <v>1265</v>
      </c>
      <c r="J1698" t="s">
        <v>1271</v>
      </c>
      <c r="K1698" t="s">
        <v>1272</v>
      </c>
      <c r="L1698" t="s">
        <v>1295</v>
      </c>
      <c r="M1698" t="s">
        <v>1296</v>
      </c>
      <c r="N1698">
        <v>1</v>
      </c>
      <c r="O1698" t="str">
        <f t="shared" si="149"/>
        <v>26</v>
      </c>
      <c r="Q1698">
        <v>26</v>
      </c>
      <c r="R1698" t="s">
        <v>1269</v>
      </c>
      <c r="S1698">
        <v>2.7709999999999999</v>
      </c>
      <c r="T1698">
        <v>0.18729999999999999</v>
      </c>
      <c r="U1698">
        <f t="shared" si="150"/>
        <v>0</v>
      </c>
      <c r="V1698" t="str">
        <f t="shared" si="147"/>
        <v>High Health/
Related Services</v>
      </c>
      <c r="W1698" t="str">
        <f t="shared" si="148"/>
        <v>Health/
Related Services</v>
      </c>
    </row>
    <row r="1699" spans="1:23" x14ac:dyDescent="0.25">
      <c r="A1699">
        <v>23309</v>
      </c>
      <c r="B1699" t="s">
        <v>1291</v>
      </c>
      <c r="C1699">
        <v>0.63600000000000001</v>
      </c>
      <c r="D1699" t="s">
        <v>1264</v>
      </c>
      <c r="E1699">
        <v>100235</v>
      </c>
      <c r="F1699">
        <v>23309</v>
      </c>
      <c r="G1699" t="str">
        <f t="shared" si="146"/>
        <v>23309</v>
      </c>
      <c r="H1699" t="s">
        <v>457</v>
      </c>
      <c r="I1699" t="s">
        <v>1265</v>
      </c>
      <c r="J1699" t="s">
        <v>1266</v>
      </c>
      <c r="K1699" t="s">
        <v>1267</v>
      </c>
      <c r="L1699" t="s">
        <v>1291</v>
      </c>
      <c r="M1699" t="s">
        <v>1292</v>
      </c>
      <c r="N1699">
        <v>1</v>
      </c>
      <c r="O1699" t="str">
        <f t="shared" si="149"/>
        <v>26</v>
      </c>
      <c r="Q1699">
        <v>26</v>
      </c>
      <c r="R1699" t="s">
        <v>1269</v>
      </c>
      <c r="S1699">
        <v>0.63600000000000001</v>
      </c>
      <c r="T1699">
        <v>0.18729999999999999</v>
      </c>
      <c r="U1699">
        <f t="shared" si="150"/>
        <v>0</v>
      </c>
      <c r="V1699" t="str">
        <f t="shared" si="147"/>
        <v>Middle Health/
Related Services</v>
      </c>
      <c r="W1699" t="str">
        <f t="shared" si="148"/>
        <v>Health/
Related Services</v>
      </c>
    </row>
    <row r="1700" spans="1:23" x14ac:dyDescent="0.25">
      <c r="A1700">
        <v>23309</v>
      </c>
      <c r="B1700" t="s">
        <v>1275</v>
      </c>
      <c r="C1700">
        <v>4.5</v>
      </c>
      <c r="D1700" t="s">
        <v>1264</v>
      </c>
      <c r="E1700">
        <v>100235</v>
      </c>
      <c r="F1700">
        <v>23309</v>
      </c>
      <c r="G1700" t="str">
        <f t="shared" si="146"/>
        <v>23309</v>
      </c>
      <c r="H1700" t="s">
        <v>457</v>
      </c>
      <c r="I1700" t="s">
        <v>1265</v>
      </c>
      <c r="J1700" t="s">
        <v>1276</v>
      </c>
      <c r="K1700" t="s">
        <v>1277</v>
      </c>
      <c r="L1700" t="s">
        <v>1275</v>
      </c>
      <c r="M1700" t="s">
        <v>1278</v>
      </c>
      <c r="N1700">
        <v>1</v>
      </c>
      <c r="O1700" t="str">
        <f t="shared" si="149"/>
        <v>42</v>
      </c>
      <c r="P1700">
        <v>42</v>
      </c>
      <c r="R1700" t="s">
        <v>1269</v>
      </c>
      <c r="S1700">
        <v>4.5</v>
      </c>
      <c r="T1700">
        <v>0.18729999999999999</v>
      </c>
      <c r="U1700">
        <f t="shared" si="150"/>
        <v>0</v>
      </c>
      <c r="V1700" t="str">
        <f t="shared" si="147"/>
        <v>Elementary Counselor</v>
      </c>
      <c r="W1700" t="str">
        <f t="shared" si="148"/>
        <v>Counselor</v>
      </c>
    </row>
    <row r="1701" spans="1:23" x14ac:dyDescent="0.25">
      <c r="A1701">
        <v>23309</v>
      </c>
      <c r="B1701" t="s">
        <v>1270</v>
      </c>
      <c r="C1701">
        <v>4.55</v>
      </c>
      <c r="D1701" t="s">
        <v>1264</v>
      </c>
      <c r="E1701">
        <v>100235</v>
      </c>
      <c r="F1701">
        <v>23309</v>
      </c>
      <c r="G1701" t="str">
        <f t="shared" si="146"/>
        <v>23309</v>
      </c>
      <c r="H1701" t="s">
        <v>457</v>
      </c>
      <c r="I1701" t="s">
        <v>1265</v>
      </c>
      <c r="J1701" t="s">
        <v>1271</v>
      </c>
      <c r="K1701" t="s">
        <v>1272</v>
      </c>
      <c r="L1701" t="s">
        <v>1270</v>
      </c>
      <c r="M1701" t="s">
        <v>1273</v>
      </c>
      <c r="N1701">
        <v>1</v>
      </c>
      <c r="O1701" t="str">
        <f t="shared" si="149"/>
        <v>42</v>
      </c>
      <c r="P1701">
        <v>42</v>
      </c>
      <c r="R1701" t="s">
        <v>1269</v>
      </c>
      <c r="S1701">
        <v>4.55</v>
      </c>
      <c r="T1701">
        <v>0.18729999999999999</v>
      </c>
      <c r="U1701">
        <f t="shared" si="150"/>
        <v>0</v>
      </c>
      <c r="V1701" t="str">
        <f t="shared" si="147"/>
        <v>High Counselor</v>
      </c>
      <c r="W1701" t="str">
        <f t="shared" si="148"/>
        <v>Counselor</v>
      </c>
    </row>
    <row r="1702" spans="1:23" x14ac:dyDescent="0.25">
      <c r="A1702">
        <v>23309</v>
      </c>
      <c r="B1702" t="s">
        <v>1263</v>
      </c>
      <c r="C1702">
        <v>1.6</v>
      </c>
      <c r="D1702" t="s">
        <v>1264</v>
      </c>
      <c r="E1702">
        <v>100235</v>
      </c>
      <c r="F1702">
        <v>23309</v>
      </c>
      <c r="G1702" t="str">
        <f t="shared" si="146"/>
        <v>23309</v>
      </c>
      <c r="H1702" t="s">
        <v>457</v>
      </c>
      <c r="I1702" t="s">
        <v>1265</v>
      </c>
      <c r="J1702" t="s">
        <v>1266</v>
      </c>
      <c r="K1702" t="s">
        <v>1267</v>
      </c>
      <c r="L1702" t="s">
        <v>1263</v>
      </c>
      <c r="M1702" t="s">
        <v>1268</v>
      </c>
      <c r="N1702">
        <v>1</v>
      </c>
      <c r="O1702" t="str">
        <f t="shared" si="149"/>
        <v>42</v>
      </c>
      <c r="P1702">
        <v>42</v>
      </c>
      <c r="R1702" t="s">
        <v>1269</v>
      </c>
      <c r="S1702">
        <v>1.6</v>
      </c>
      <c r="T1702">
        <v>0.18729999999999999</v>
      </c>
      <c r="U1702">
        <f t="shared" si="150"/>
        <v>0</v>
      </c>
      <c r="V1702" t="str">
        <f t="shared" si="147"/>
        <v>Middle Counselor</v>
      </c>
      <c r="W1702" t="str">
        <f t="shared" si="148"/>
        <v>Counselor</v>
      </c>
    </row>
    <row r="1703" spans="1:23" x14ac:dyDescent="0.25">
      <c r="A1703">
        <v>23309</v>
      </c>
      <c r="B1703" t="s">
        <v>1289</v>
      </c>
      <c r="C1703">
        <v>0.51</v>
      </c>
      <c r="D1703" t="s">
        <v>1264</v>
      </c>
      <c r="E1703">
        <v>100235</v>
      </c>
      <c r="F1703">
        <v>23309</v>
      </c>
      <c r="G1703" t="str">
        <f t="shared" si="146"/>
        <v>23309</v>
      </c>
      <c r="H1703" t="s">
        <v>457</v>
      </c>
      <c r="I1703" t="s">
        <v>1265</v>
      </c>
      <c r="J1703" t="s">
        <v>1276</v>
      </c>
      <c r="K1703" t="s">
        <v>1277</v>
      </c>
      <c r="L1703" t="s">
        <v>1289</v>
      </c>
      <c r="M1703" t="s">
        <v>1307</v>
      </c>
      <c r="N1703">
        <v>21</v>
      </c>
      <c r="O1703" t="str">
        <f t="shared" si="149"/>
        <v>43</v>
      </c>
      <c r="P1703">
        <v>43</v>
      </c>
      <c r="R1703" t="s">
        <v>1269</v>
      </c>
      <c r="S1703">
        <v>0.51</v>
      </c>
      <c r="T1703">
        <v>0.18729999999999999</v>
      </c>
      <c r="U1703">
        <f t="shared" si="150"/>
        <v>9.6000000000000002E-2</v>
      </c>
      <c r="V1703" t="str">
        <f t="shared" si="147"/>
        <v>Elementary Occupational Therapist</v>
      </c>
      <c r="W1703" t="str">
        <f t="shared" si="148"/>
        <v>Occupational Therapist</v>
      </c>
    </row>
    <row r="1704" spans="1:23" x14ac:dyDescent="0.25">
      <c r="A1704">
        <v>23309</v>
      </c>
      <c r="B1704" t="s">
        <v>1359</v>
      </c>
      <c r="C1704">
        <v>1</v>
      </c>
      <c r="D1704" t="s">
        <v>1264</v>
      </c>
      <c r="E1704">
        <v>100235</v>
      </c>
      <c r="F1704">
        <v>23309</v>
      </c>
      <c r="G1704" t="str">
        <f t="shared" si="146"/>
        <v>23309</v>
      </c>
      <c r="H1704" t="s">
        <v>457</v>
      </c>
      <c r="I1704" t="s">
        <v>1265</v>
      </c>
      <c r="J1704" t="s">
        <v>1271</v>
      </c>
      <c r="K1704" t="s">
        <v>1272</v>
      </c>
      <c r="L1704" t="s">
        <v>1359</v>
      </c>
      <c r="M1704" t="s">
        <v>1360</v>
      </c>
      <c r="N1704">
        <v>1</v>
      </c>
      <c r="O1704" t="str">
        <f t="shared" si="149"/>
        <v>44</v>
      </c>
      <c r="P1704">
        <v>44</v>
      </c>
      <c r="R1704" t="s">
        <v>1269</v>
      </c>
      <c r="S1704">
        <v>1</v>
      </c>
      <c r="T1704">
        <v>0.18729999999999999</v>
      </c>
      <c r="U1704">
        <f t="shared" si="150"/>
        <v>0</v>
      </c>
      <c r="V1704" t="str">
        <f t="shared" si="147"/>
        <v>High Social Worker</v>
      </c>
      <c r="W1704" t="str">
        <f t="shared" si="148"/>
        <v>Social Worker</v>
      </c>
    </row>
    <row r="1705" spans="1:23" x14ac:dyDescent="0.25">
      <c r="A1705">
        <v>23309</v>
      </c>
      <c r="B1705" t="s">
        <v>1294</v>
      </c>
      <c r="C1705">
        <v>2.65</v>
      </c>
      <c r="D1705" t="s">
        <v>1264</v>
      </c>
      <c r="E1705">
        <v>100235</v>
      </c>
      <c r="F1705">
        <v>23309</v>
      </c>
      <c r="G1705" t="str">
        <f t="shared" si="146"/>
        <v>23309</v>
      </c>
      <c r="H1705" t="s">
        <v>457</v>
      </c>
      <c r="I1705" t="s">
        <v>1265</v>
      </c>
      <c r="J1705" t="s">
        <v>1276</v>
      </c>
      <c r="K1705" t="s">
        <v>1277</v>
      </c>
      <c r="L1705" t="s">
        <v>1294</v>
      </c>
      <c r="M1705" t="s">
        <v>1354</v>
      </c>
      <c r="N1705">
        <v>21</v>
      </c>
      <c r="O1705" t="str">
        <f t="shared" si="149"/>
        <v>45</v>
      </c>
      <c r="P1705">
        <v>45</v>
      </c>
      <c r="R1705" t="s">
        <v>1269</v>
      </c>
      <c r="S1705">
        <v>2.65</v>
      </c>
      <c r="T1705">
        <v>0.18729999999999999</v>
      </c>
      <c r="U1705">
        <f t="shared" si="150"/>
        <v>0.496</v>
      </c>
      <c r="V1705" t="str">
        <f t="shared" si="147"/>
        <v>Elementary Speech, Language Pathway/
Audio</v>
      </c>
      <c r="W1705" t="str">
        <f t="shared" si="148"/>
        <v>Speech, Language Pathway/
Audio</v>
      </c>
    </row>
    <row r="1706" spans="1:23" x14ac:dyDescent="0.25">
      <c r="A1706">
        <v>23309</v>
      </c>
      <c r="B1706" t="s">
        <v>1326</v>
      </c>
      <c r="C1706">
        <v>0.75</v>
      </c>
      <c r="D1706" t="s">
        <v>1264</v>
      </c>
      <c r="E1706">
        <v>100235</v>
      </c>
      <c r="F1706">
        <v>23309</v>
      </c>
      <c r="G1706" t="str">
        <f t="shared" si="146"/>
        <v>23309</v>
      </c>
      <c r="H1706" t="s">
        <v>457</v>
      </c>
      <c r="I1706" t="s">
        <v>1265</v>
      </c>
      <c r="J1706" t="s">
        <v>1271</v>
      </c>
      <c r="K1706" t="s">
        <v>1272</v>
      </c>
      <c r="L1706" t="s">
        <v>1326</v>
      </c>
      <c r="M1706" t="s">
        <v>1353</v>
      </c>
      <c r="N1706">
        <v>21</v>
      </c>
      <c r="O1706" t="str">
        <f t="shared" si="149"/>
        <v>45</v>
      </c>
      <c r="P1706">
        <v>45</v>
      </c>
      <c r="R1706" t="s">
        <v>1269</v>
      </c>
      <c r="S1706">
        <v>0.75</v>
      </c>
      <c r="T1706">
        <v>0.18729999999999999</v>
      </c>
      <c r="U1706">
        <f t="shared" si="150"/>
        <v>0.14000000000000001</v>
      </c>
      <c r="V1706" t="str">
        <f t="shared" si="147"/>
        <v>High Speech, Language Pathway/
Audio</v>
      </c>
      <c r="W1706" t="str">
        <f t="shared" si="148"/>
        <v>Speech, Language Pathway/
Audio</v>
      </c>
    </row>
    <row r="1707" spans="1:23" x14ac:dyDescent="0.25">
      <c r="A1707">
        <v>23309</v>
      </c>
      <c r="B1707" t="s">
        <v>1312</v>
      </c>
      <c r="C1707">
        <v>0.02</v>
      </c>
      <c r="D1707" t="s">
        <v>1264</v>
      </c>
      <c r="E1707">
        <v>100235</v>
      </c>
      <c r="F1707">
        <v>23309</v>
      </c>
      <c r="G1707" t="str">
        <f t="shared" si="146"/>
        <v>23309</v>
      </c>
      <c r="H1707" t="s">
        <v>457</v>
      </c>
      <c r="I1707" t="s">
        <v>1265</v>
      </c>
      <c r="J1707" t="s">
        <v>1266</v>
      </c>
      <c r="K1707" t="s">
        <v>1267</v>
      </c>
      <c r="L1707" t="s">
        <v>1312</v>
      </c>
      <c r="M1707" t="s">
        <v>1351</v>
      </c>
      <c r="N1707">
        <v>21</v>
      </c>
      <c r="O1707" t="str">
        <f t="shared" si="149"/>
        <v>45</v>
      </c>
      <c r="P1707">
        <v>45</v>
      </c>
      <c r="R1707" t="s">
        <v>1269</v>
      </c>
      <c r="S1707">
        <v>0.02</v>
      </c>
      <c r="T1707">
        <v>0.18729999999999999</v>
      </c>
      <c r="U1707">
        <f t="shared" si="150"/>
        <v>4.0000000000000001E-3</v>
      </c>
      <c r="V1707" t="str">
        <f t="shared" si="147"/>
        <v>Middle Speech, Language Pathway/
Audio</v>
      </c>
      <c r="W1707" t="str">
        <f t="shared" si="148"/>
        <v>Speech, Language Pathway/
Audio</v>
      </c>
    </row>
    <row r="1708" spans="1:23" x14ac:dyDescent="0.25">
      <c r="A1708">
        <v>23309</v>
      </c>
      <c r="B1708" t="s">
        <v>1298</v>
      </c>
      <c r="C1708">
        <v>1.1259999999999999</v>
      </c>
      <c r="D1708" t="s">
        <v>1264</v>
      </c>
      <c r="E1708">
        <v>100235</v>
      </c>
      <c r="F1708">
        <v>23309</v>
      </c>
      <c r="G1708" t="str">
        <f t="shared" si="146"/>
        <v>23309</v>
      </c>
      <c r="H1708" t="s">
        <v>457</v>
      </c>
      <c r="I1708" t="s">
        <v>1265</v>
      </c>
      <c r="J1708" t="s">
        <v>1276</v>
      </c>
      <c r="K1708" t="s">
        <v>1277</v>
      </c>
      <c r="L1708" t="s">
        <v>1298</v>
      </c>
      <c r="M1708" t="s">
        <v>1349</v>
      </c>
      <c r="N1708">
        <v>21</v>
      </c>
      <c r="O1708" t="str">
        <f t="shared" si="149"/>
        <v>46</v>
      </c>
      <c r="P1708">
        <v>46</v>
      </c>
      <c r="R1708" t="s">
        <v>1269</v>
      </c>
      <c r="S1708">
        <v>1.1259999999999999</v>
      </c>
      <c r="T1708">
        <v>0.18729999999999999</v>
      </c>
      <c r="U1708">
        <f t="shared" si="150"/>
        <v>0.21099999999999999</v>
      </c>
      <c r="V1708" t="str">
        <f t="shared" si="147"/>
        <v>Elementary Psychologist</v>
      </c>
      <c r="W1708" t="str">
        <f t="shared" si="148"/>
        <v>Psychologist</v>
      </c>
    </row>
    <row r="1709" spans="1:23" x14ac:dyDescent="0.25">
      <c r="A1709">
        <v>23309</v>
      </c>
      <c r="B1709" t="s">
        <v>1309</v>
      </c>
      <c r="C1709">
        <v>0.94799999999999995</v>
      </c>
      <c r="D1709" t="s">
        <v>1264</v>
      </c>
      <c r="E1709">
        <v>100235</v>
      </c>
      <c r="F1709">
        <v>23309</v>
      </c>
      <c r="G1709" t="str">
        <f t="shared" si="146"/>
        <v>23309</v>
      </c>
      <c r="H1709" t="s">
        <v>457</v>
      </c>
      <c r="I1709" t="s">
        <v>1265</v>
      </c>
      <c r="J1709" t="s">
        <v>1271</v>
      </c>
      <c r="K1709" t="s">
        <v>1272</v>
      </c>
      <c r="L1709" t="s">
        <v>1309</v>
      </c>
      <c r="M1709" t="s">
        <v>1310</v>
      </c>
      <c r="N1709">
        <v>21</v>
      </c>
      <c r="O1709" t="str">
        <f t="shared" si="149"/>
        <v>46</v>
      </c>
      <c r="P1709">
        <v>46</v>
      </c>
      <c r="R1709" t="s">
        <v>1269</v>
      </c>
      <c r="S1709">
        <v>0.94799999999999995</v>
      </c>
      <c r="T1709">
        <v>0.18729999999999999</v>
      </c>
      <c r="U1709">
        <f t="shared" si="150"/>
        <v>0.17799999999999999</v>
      </c>
      <c r="V1709" t="str">
        <f t="shared" si="147"/>
        <v>High Psychologist</v>
      </c>
      <c r="W1709" t="str">
        <f t="shared" si="148"/>
        <v>Psychologist</v>
      </c>
    </row>
    <row r="1710" spans="1:23" x14ac:dyDescent="0.25">
      <c r="A1710">
        <v>23309</v>
      </c>
      <c r="B1710" t="s">
        <v>1345</v>
      </c>
      <c r="C1710">
        <v>3.5999999999999997E-2</v>
      </c>
      <c r="D1710" t="s">
        <v>1264</v>
      </c>
      <c r="E1710">
        <v>100235</v>
      </c>
      <c r="F1710">
        <v>23309</v>
      </c>
      <c r="G1710" t="str">
        <f t="shared" si="146"/>
        <v>23309</v>
      </c>
      <c r="H1710" t="s">
        <v>457</v>
      </c>
      <c r="I1710" t="s">
        <v>1265</v>
      </c>
      <c r="J1710" t="s">
        <v>1266</v>
      </c>
      <c r="K1710" t="s">
        <v>1267</v>
      </c>
      <c r="L1710" t="s">
        <v>1345</v>
      </c>
      <c r="M1710" t="s">
        <v>1346</v>
      </c>
      <c r="N1710">
        <v>21</v>
      </c>
      <c r="O1710" t="str">
        <f t="shared" si="149"/>
        <v>46</v>
      </c>
      <c r="P1710">
        <v>46</v>
      </c>
      <c r="R1710" t="s">
        <v>1269</v>
      </c>
      <c r="S1710">
        <v>3.5999999999999997E-2</v>
      </c>
      <c r="T1710">
        <v>0.18729999999999999</v>
      </c>
      <c r="U1710">
        <f t="shared" si="150"/>
        <v>7.0000000000000001E-3</v>
      </c>
      <c r="V1710" t="str">
        <f t="shared" si="147"/>
        <v>Middle Psychologist</v>
      </c>
      <c r="W1710" t="str">
        <f t="shared" si="148"/>
        <v>Psychologist</v>
      </c>
    </row>
    <row r="1711" spans="1:23" x14ac:dyDescent="0.25">
      <c r="A1711">
        <v>23309</v>
      </c>
      <c r="B1711" t="s">
        <v>1335</v>
      </c>
      <c r="C1711">
        <v>1</v>
      </c>
      <c r="D1711" t="s">
        <v>1264</v>
      </c>
      <c r="E1711">
        <v>100235</v>
      </c>
      <c r="F1711">
        <v>23309</v>
      </c>
      <c r="G1711" t="str">
        <f t="shared" si="146"/>
        <v>23309</v>
      </c>
      <c r="H1711" t="s">
        <v>457</v>
      </c>
      <c r="I1711" t="s">
        <v>1265</v>
      </c>
      <c r="J1711" t="s">
        <v>1276</v>
      </c>
      <c r="K1711" t="s">
        <v>1277</v>
      </c>
      <c r="L1711" t="s">
        <v>1335</v>
      </c>
      <c r="M1711" t="s">
        <v>1344</v>
      </c>
      <c r="N1711">
        <v>1</v>
      </c>
      <c r="O1711" t="str">
        <f t="shared" si="149"/>
        <v>47</v>
      </c>
      <c r="P1711">
        <v>47</v>
      </c>
      <c r="R1711" t="s">
        <v>1269</v>
      </c>
      <c r="S1711">
        <v>1</v>
      </c>
      <c r="T1711">
        <v>0.18729999999999999</v>
      </c>
      <c r="U1711">
        <f t="shared" si="150"/>
        <v>0</v>
      </c>
      <c r="V1711" t="str">
        <f t="shared" si="147"/>
        <v>Elementary Nurse</v>
      </c>
      <c r="W1711" t="str">
        <f t="shared" si="148"/>
        <v>Nurse</v>
      </c>
    </row>
    <row r="1712" spans="1:23" x14ac:dyDescent="0.25">
      <c r="A1712">
        <v>23309</v>
      </c>
      <c r="B1712" t="s">
        <v>1341</v>
      </c>
      <c r="C1712">
        <v>2.5</v>
      </c>
      <c r="D1712" t="s">
        <v>1264</v>
      </c>
      <c r="E1712">
        <v>100235</v>
      </c>
      <c r="F1712">
        <v>23309</v>
      </c>
      <c r="G1712" t="str">
        <f t="shared" si="146"/>
        <v>23309</v>
      </c>
      <c r="H1712" t="s">
        <v>457</v>
      </c>
      <c r="I1712" t="s">
        <v>1265</v>
      </c>
      <c r="J1712" t="s">
        <v>1271</v>
      </c>
      <c r="K1712" t="s">
        <v>1272</v>
      </c>
      <c r="L1712" t="s">
        <v>1341</v>
      </c>
      <c r="M1712" t="s">
        <v>1342</v>
      </c>
      <c r="N1712">
        <v>1</v>
      </c>
      <c r="O1712" t="str">
        <f t="shared" si="149"/>
        <v>47</v>
      </c>
      <c r="P1712">
        <v>47</v>
      </c>
      <c r="R1712" t="s">
        <v>1269</v>
      </c>
      <c r="S1712">
        <v>2.5</v>
      </c>
      <c r="T1712">
        <v>0.18729999999999999</v>
      </c>
      <c r="U1712">
        <f t="shared" si="150"/>
        <v>0</v>
      </c>
      <c r="V1712" t="str">
        <f t="shared" si="147"/>
        <v>High Nurse</v>
      </c>
      <c r="W1712" t="str">
        <f t="shared" si="148"/>
        <v>Nurse</v>
      </c>
    </row>
    <row r="1713" spans="1:23" x14ac:dyDescent="0.25">
      <c r="A1713">
        <v>23309</v>
      </c>
      <c r="B1713" t="s">
        <v>1338</v>
      </c>
      <c r="C1713">
        <v>0.5</v>
      </c>
      <c r="D1713" t="s">
        <v>1264</v>
      </c>
      <c r="E1713">
        <v>100235</v>
      </c>
      <c r="F1713">
        <v>23309</v>
      </c>
      <c r="G1713" t="str">
        <f t="shared" si="146"/>
        <v>23309</v>
      </c>
      <c r="H1713" t="s">
        <v>457</v>
      </c>
      <c r="I1713" t="s">
        <v>1265</v>
      </c>
      <c r="J1713" t="s">
        <v>1266</v>
      </c>
      <c r="K1713" t="s">
        <v>1267</v>
      </c>
      <c r="L1713" t="s">
        <v>1338</v>
      </c>
      <c r="M1713" t="s">
        <v>1339</v>
      </c>
      <c r="N1713">
        <v>1</v>
      </c>
      <c r="O1713" t="str">
        <f t="shared" si="149"/>
        <v>47</v>
      </c>
      <c r="P1713">
        <v>47</v>
      </c>
      <c r="R1713" t="s">
        <v>1269</v>
      </c>
      <c r="S1713">
        <v>0.5</v>
      </c>
      <c r="T1713">
        <v>0.18729999999999999</v>
      </c>
      <c r="U1713">
        <f t="shared" si="150"/>
        <v>0</v>
      </c>
      <c r="V1713" t="str">
        <f t="shared" si="147"/>
        <v>Middle Nurse</v>
      </c>
      <c r="W1713" t="str">
        <f t="shared" si="148"/>
        <v>Nurse</v>
      </c>
    </row>
    <row r="1714" spans="1:23" x14ac:dyDescent="0.25">
      <c r="A1714">
        <v>23309</v>
      </c>
      <c r="B1714" t="s">
        <v>1302</v>
      </c>
      <c r="C1714">
        <v>0.42</v>
      </c>
      <c r="D1714" t="s">
        <v>1264</v>
      </c>
      <c r="E1714">
        <v>100235</v>
      </c>
      <c r="F1714">
        <v>23309</v>
      </c>
      <c r="G1714" t="str">
        <f t="shared" si="146"/>
        <v>23309</v>
      </c>
      <c r="H1714" t="s">
        <v>457</v>
      </c>
      <c r="I1714" t="s">
        <v>1265</v>
      </c>
      <c r="J1714" t="s">
        <v>1276</v>
      </c>
      <c r="K1714" t="s">
        <v>1277</v>
      </c>
      <c r="L1714" t="s">
        <v>1302</v>
      </c>
      <c r="M1714" t="s">
        <v>1336</v>
      </c>
      <c r="N1714">
        <v>21</v>
      </c>
      <c r="O1714" t="str">
        <f t="shared" si="149"/>
        <v>48</v>
      </c>
      <c r="P1714">
        <v>48</v>
      </c>
      <c r="R1714" t="s">
        <v>1269</v>
      </c>
      <c r="S1714">
        <v>0.42</v>
      </c>
      <c r="T1714">
        <v>0.18729999999999999</v>
      </c>
      <c r="U1714">
        <f t="shared" si="150"/>
        <v>7.9000000000000001E-2</v>
      </c>
      <c r="V1714" t="str">
        <f t="shared" si="147"/>
        <v>Elementary Physical Therapist</v>
      </c>
      <c r="W1714" t="str">
        <f t="shared" si="148"/>
        <v>Physical Therapist</v>
      </c>
    </row>
    <row r="1715" spans="1:23" x14ac:dyDescent="0.25">
      <c r="A1715">
        <v>23309</v>
      </c>
      <c r="B1715" t="s">
        <v>1330</v>
      </c>
      <c r="C1715">
        <v>0.08</v>
      </c>
      <c r="D1715" t="s">
        <v>1264</v>
      </c>
      <c r="E1715">
        <v>100235</v>
      </c>
      <c r="F1715">
        <v>23309</v>
      </c>
      <c r="G1715" t="str">
        <f t="shared" si="146"/>
        <v>23309</v>
      </c>
      <c r="H1715" t="s">
        <v>457</v>
      </c>
      <c r="I1715" t="s">
        <v>1265</v>
      </c>
      <c r="J1715" t="s">
        <v>1271</v>
      </c>
      <c r="K1715" t="s">
        <v>1272</v>
      </c>
      <c r="L1715" t="s">
        <v>1330</v>
      </c>
      <c r="M1715" t="s">
        <v>1367</v>
      </c>
      <c r="N1715">
        <v>21</v>
      </c>
      <c r="O1715" t="str">
        <f t="shared" si="149"/>
        <v>48</v>
      </c>
      <c r="P1715">
        <v>48</v>
      </c>
      <c r="R1715" t="s">
        <v>1269</v>
      </c>
      <c r="S1715">
        <v>0.08</v>
      </c>
      <c r="T1715">
        <v>0.18729999999999999</v>
      </c>
      <c r="U1715">
        <f t="shared" si="150"/>
        <v>1.4999999999999999E-2</v>
      </c>
      <c r="V1715" t="str">
        <f t="shared" si="147"/>
        <v>High Physical Therapist</v>
      </c>
      <c r="W1715" t="str">
        <f t="shared" si="148"/>
        <v>Physical Therapist</v>
      </c>
    </row>
    <row r="1716" spans="1:23" x14ac:dyDescent="0.25">
      <c r="A1716">
        <v>23309</v>
      </c>
      <c r="B1716" t="s">
        <v>1316</v>
      </c>
      <c r="C1716">
        <v>0.22</v>
      </c>
      <c r="D1716" t="s">
        <v>1264</v>
      </c>
      <c r="E1716">
        <v>100235</v>
      </c>
      <c r="F1716">
        <v>23309</v>
      </c>
      <c r="G1716" t="str">
        <f t="shared" si="146"/>
        <v>23309</v>
      </c>
      <c r="H1716" t="s">
        <v>457</v>
      </c>
      <c r="I1716" t="s">
        <v>1265</v>
      </c>
      <c r="J1716" t="s">
        <v>1266</v>
      </c>
      <c r="K1716" t="s">
        <v>1267</v>
      </c>
      <c r="L1716" t="s">
        <v>1316</v>
      </c>
      <c r="M1716" t="s">
        <v>1366</v>
      </c>
      <c r="N1716">
        <v>21</v>
      </c>
      <c r="O1716" t="str">
        <f t="shared" si="149"/>
        <v>48</v>
      </c>
      <c r="P1716">
        <v>48</v>
      </c>
      <c r="R1716" t="s">
        <v>1269</v>
      </c>
      <c r="S1716">
        <v>0.22</v>
      </c>
      <c r="T1716">
        <v>0.18729999999999999</v>
      </c>
      <c r="U1716">
        <f t="shared" si="150"/>
        <v>4.1000000000000002E-2</v>
      </c>
      <c r="V1716" t="str">
        <f t="shared" si="147"/>
        <v>Middle Physical Therapist</v>
      </c>
      <c r="W1716" t="str">
        <f t="shared" si="148"/>
        <v>Physical Therapist</v>
      </c>
    </row>
    <row r="1717" spans="1:23" x14ac:dyDescent="0.25">
      <c r="A1717">
        <v>23311</v>
      </c>
      <c r="B1717" t="s">
        <v>1299</v>
      </c>
      <c r="C1717">
        <v>0.58699999999999997</v>
      </c>
      <c r="D1717" t="s">
        <v>1264</v>
      </c>
      <c r="E1717">
        <v>100140</v>
      </c>
      <c r="F1717">
        <v>23311</v>
      </c>
      <c r="G1717" t="str">
        <f t="shared" si="146"/>
        <v>23311</v>
      </c>
      <c r="H1717" t="s">
        <v>458</v>
      </c>
      <c r="I1717" t="s">
        <v>1265</v>
      </c>
      <c r="J1717" t="s">
        <v>1271</v>
      </c>
      <c r="K1717" t="s">
        <v>1272</v>
      </c>
      <c r="L1717" t="s">
        <v>1299</v>
      </c>
      <c r="M1717" t="s">
        <v>1300</v>
      </c>
      <c r="N1717">
        <v>1</v>
      </c>
      <c r="O1717" t="str">
        <f t="shared" si="149"/>
        <v>25</v>
      </c>
      <c r="Q1717">
        <v>25</v>
      </c>
      <c r="R1717" t="s">
        <v>1269</v>
      </c>
      <c r="S1717">
        <v>0.58699999999999997</v>
      </c>
      <c r="T1717">
        <v>0.19819999999999999</v>
      </c>
      <c r="U1717">
        <f t="shared" si="150"/>
        <v>0</v>
      </c>
      <c r="V1717" t="str">
        <f t="shared" si="147"/>
        <v>High Pupil Management</v>
      </c>
      <c r="W1717" t="str">
        <f t="shared" si="148"/>
        <v>Pupil Management</v>
      </c>
    </row>
    <row r="1718" spans="1:23" x14ac:dyDescent="0.25">
      <c r="A1718">
        <v>23311</v>
      </c>
      <c r="B1718" t="s">
        <v>1295</v>
      </c>
      <c r="C1718">
        <v>0.16400000000000001</v>
      </c>
      <c r="D1718" t="s">
        <v>1264</v>
      </c>
      <c r="E1718">
        <v>100140</v>
      </c>
      <c r="F1718">
        <v>23311</v>
      </c>
      <c r="G1718" t="str">
        <f t="shared" si="146"/>
        <v>23311</v>
      </c>
      <c r="H1718" t="s">
        <v>458</v>
      </c>
      <c r="I1718" t="s">
        <v>1265</v>
      </c>
      <c r="J1718" t="s">
        <v>1271</v>
      </c>
      <c r="K1718" t="s">
        <v>1272</v>
      </c>
      <c r="L1718" t="s">
        <v>1295</v>
      </c>
      <c r="M1718" t="s">
        <v>1296</v>
      </c>
      <c r="N1718">
        <v>1</v>
      </c>
      <c r="O1718" t="str">
        <f t="shared" si="149"/>
        <v>26</v>
      </c>
      <c r="Q1718">
        <v>26</v>
      </c>
      <c r="R1718" t="s">
        <v>1269</v>
      </c>
      <c r="S1718">
        <v>0.16400000000000001</v>
      </c>
      <c r="T1718">
        <v>0.19819999999999999</v>
      </c>
      <c r="U1718">
        <f t="shared" si="150"/>
        <v>0</v>
      </c>
      <c r="V1718" t="str">
        <f t="shared" si="147"/>
        <v>High Health/
Related Services</v>
      </c>
      <c r="W1718" t="str">
        <f t="shared" si="148"/>
        <v>Health/
Related Services</v>
      </c>
    </row>
    <row r="1719" spans="1:23" x14ac:dyDescent="0.25">
      <c r="A1719">
        <v>23402</v>
      </c>
      <c r="B1719" t="s">
        <v>1301</v>
      </c>
      <c r="C1719">
        <v>0.58499999999999996</v>
      </c>
      <c r="D1719" t="s">
        <v>1264</v>
      </c>
      <c r="E1719">
        <v>100200</v>
      </c>
      <c r="F1719">
        <v>23402</v>
      </c>
      <c r="G1719" t="str">
        <f t="shared" si="146"/>
        <v>23402</v>
      </c>
      <c r="H1719" t="s">
        <v>459</v>
      </c>
      <c r="I1719" t="s">
        <v>1265</v>
      </c>
      <c r="J1719" t="s">
        <v>1276</v>
      </c>
      <c r="K1719" t="s">
        <v>1277</v>
      </c>
      <c r="L1719" t="s">
        <v>1301</v>
      </c>
      <c r="M1719" t="s">
        <v>1427</v>
      </c>
      <c r="N1719">
        <v>21</v>
      </c>
      <c r="O1719" t="str">
        <f t="shared" si="149"/>
        <v>25</v>
      </c>
      <c r="Q1719">
        <v>25</v>
      </c>
      <c r="R1719" t="s">
        <v>1269</v>
      </c>
      <c r="S1719">
        <v>0.58499999999999996</v>
      </c>
      <c r="T1719">
        <v>0.2099</v>
      </c>
      <c r="U1719">
        <f t="shared" si="150"/>
        <v>0.123</v>
      </c>
      <c r="V1719" t="str">
        <f t="shared" si="147"/>
        <v>Elementary Pupil Management</v>
      </c>
      <c r="W1719" t="str">
        <f t="shared" si="148"/>
        <v>Pupil Management</v>
      </c>
    </row>
    <row r="1720" spans="1:23" x14ac:dyDescent="0.25">
      <c r="A1720">
        <v>23402</v>
      </c>
      <c r="B1720" t="s">
        <v>1308</v>
      </c>
      <c r="C1720">
        <v>0.112</v>
      </c>
      <c r="D1720" t="s">
        <v>1264</v>
      </c>
      <c r="E1720">
        <v>100200</v>
      </c>
      <c r="F1720">
        <v>23402</v>
      </c>
      <c r="G1720" t="str">
        <f t="shared" si="146"/>
        <v>23402</v>
      </c>
      <c r="H1720" t="s">
        <v>459</v>
      </c>
      <c r="I1720" t="s">
        <v>1265</v>
      </c>
      <c r="J1720" t="s">
        <v>1276</v>
      </c>
      <c r="K1720" t="s">
        <v>1277</v>
      </c>
      <c r="L1720" t="s">
        <v>1308</v>
      </c>
      <c r="M1720" t="s">
        <v>1389</v>
      </c>
      <c r="N1720">
        <v>1</v>
      </c>
      <c r="O1720" t="str">
        <f t="shared" si="149"/>
        <v>25</v>
      </c>
      <c r="Q1720">
        <v>25</v>
      </c>
      <c r="R1720" t="s">
        <v>1269</v>
      </c>
      <c r="S1720">
        <v>0.112</v>
      </c>
      <c r="T1720">
        <v>0.2099</v>
      </c>
      <c r="U1720">
        <f t="shared" si="150"/>
        <v>0</v>
      </c>
      <c r="V1720" t="str">
        <f t="shared" si="147"/>
        <v>Elementary Pupil Management</v>
      </c>
      <c r="W1720" t="str">
        <f t="shared" si="148"/>
        <v>Pupil Management</v>
      </c>
    </row>
    <row r="1721" spans="1:23" x14ac:dyDescent="0.25">
      <c r="A1721">
        <v>23402</v>
      </c>
      <c r="B1721" t="s">
        <v>1299</v>
      </c>
      <c r="C1721">
        <v>5.8999999999999997E-2</v>
      </c>
      <c r="D1721" t="s">
        <v>1264</v>
      </c>
      <c r="E1721">
        <v>100200</v>
      </c>
      <c r="F1721">
        <v>23402</v>
      </c>
      <c r="G1721" t="str">
        <f t="shared" si="146"/>
        <v>23402</v>
      </c>
      <c r="H1721" t="s">
        <v>459</v>
      </c>
      <c r="I1721" t="s">
        <v>1265</v>
      </c>
      <c r="J1721" t="s">
        <v>1271</v>
      </c>
      <c r="K1721" t="s">
        <v>1272</v>
      </c>
      <c r="L1721" t="s">
        <v>1299</v>
      </c>
      <c r="M1721" t="s">
        <v>1300</v>
      </c>
      <c r="N1721">
        <v>1</v>
      </c>
      <c r="O1721" t="str">
        <f t="shared" si="149"/>
        <v>25</v>
      </c>
      <c r="Q1721">
        <v>25</v>
      </c>
      <c r="R1721" t="s">
        <v>1269</v>
      </c>
      <c r="S1721">
        <v>5.8999999999999997E-2</v>
      </c>
      <c r="T1721">
        <v>0.2099</v>
      </c>
      <c r="U1721">
        <f t="shared" si="150"/>
        <v>0</v>
      </c>
      <c r="V1721" t="str">
        <f t="shared" si="147"/>
        <v>High Pupil Management</v>
      </c>
      <c r="W1721" t="str">
        <f t="shared" si="148"/>
        <v>Pupil Management</v>
      </c>
    </row>
    <row r="1722" spans="1:23" x14ac:dyDescent="0.25">
      <c r="A1722">
        <v>23402</v>
      </c>
      <c r="B1722" t="s">
        <v>1275</v>
      </c>
      <c r="C1722">
        <v>1.34</v>
      </c>
      <c r="D1722" t="s">
        <v>1264</v>
      </c>
      <c r="E1722">
        <v>100200</v>
      </c>
      <c r="F1722">
        <v>23402</v>
      </c>
      <c r="G1722" t="str">
        <f t="shared" si="146"/>
        <v>23402</v>
      </c>
      <c r="H1722" t="s">
        <v>459</v>
      </c>
      <c r="I1722" t="s">
        <v>1265</v>
      </c>
      <c r="J1722" t="s">
        <v>1276</v>
      </c>
      <c r="K1722" t="s">
        <v>1277</v>
      </c>
      <c r="L1722" t="s">
        <v>1275</v>
      </c>
      <c r="M1722" t="s">
        <v>1278</v>
      </c>
      <c r="N1722">
        <v>1</v>
      </c>
      <c r="O1722" t="str">
        <f t="shared" si="149"/>
        <v>42</v>
      </c>
      <c r="P1722">
        <v>42</v>
      </c>
      <c r="R1722" t="s">
        <v>1269</v>
      </c>
      <c r="S1722">
        <v>1.34</v>
      </c>
      <c r="T1722">
        <v>0.2099</v>
      </c>
      <c r="U1722">
        <f t="shared" si="150"/>
        <v>0</v>
      </c>
      <c r="V1722" t="str">
        <f t="shared" si="147"/>
        <v>Elementary Counselor</v>
      </c>
      <c r="W1722" t="str">
        <f t="shared" si="148"/>
        <v>Counselor</v>
      </c>
    </row>
    <row r="1723" spans="1:23" x14ac:dyDescent="0.25">
      <c r="A1723">
        <v>23402</v>
      </c>
      <c r="B1723" t="s">
        <v>1263</v>
      </c>
      <c r="C1723">
        <v>0.66</v>
      </c>
      <c r="D1723" t="s">
        <v>1264</v>
      </c>
      <c r="E1723">
        <v>100200</v>
      </c>
      <c r="F1723">
        <v>23402</v>
      </c>
      <c r="G1723" t="str">
        <f t="shared" si="146"/>
        <v>23402</v>
      </c>
      <c r="H1723" t="s">
        <v>459</v>
      </c>
      <c r="I1723" t="s">
        <v>1265</v>
      </c>
      <c r="J1723" t="s">
        <v>1266</v>
      </c>
      <c r="K1723" t="s">
        <v>1267</v>
      </c>
      <c r="L1723" t="s">
        <v>1263</v>
      </c>
      <c r="M1723" t="s">
        <v>1268</v>
      </c>
      <c r="N1723">
        <v>1</v>
      </c>
      <c r="O1723" t="str">
        <f t="shared" si="149"/>
        <v>42</v>
      </c>
      <c r="P1723">
        <v>42</v>
      </c>
      <c r="R1723" t="s">
        <v>1269</v>
      </c>
      <c r="S1723">
        <v>0.66</v>
      </c>
      <c r="T1723">
        <v>0.2099</v>
      </c>
      <c r="U1723">
        <f t="shared" si="150"/>
        <v>0</v>
      </c>
      <c r="V1723" t="str">
        <f t="shared" si="147"/>
        <v>Middle Counselor</v>
      </c>
      <c r="W1723" t="str">
        <f t="shared" si="148"/>
        <v>Counselor</v>
      </c>
    </row>
    <row r="1724" spans="1:23" x14ac:dyDescent="0.25">
      <c r="A1724">
        <v>23403</v>
      </c>
      <c r="B1724" t="s">
        <v>1299</v>
      </c>
      <c r="C1724">
        <v>2.0139999999999998</v>
      </c>
      <c r="D1724" t="s">
        <v>1264</v>
      </c>
      <c r="E1724">
        <v>100170</v>
      </c>
      <c r="F1724">
        <v>23403</v>
      </c>
      <c r="G1724" t="str">
        <f t="shared" si="146"/>
        <v>23403</v>
      </c>
      <c r="H1724" t="s">
        <v>460</v>
      </c>
      <c r="I1724" t="s">
        <v>1265</v>
      </c>
      <c r="J1724" t="s">
        <v>1271</v>
      </c>
      <c r="K1724" t="s">
        <v>1272</v>
      </c>
      <c r="L1724" t="s">
        <v>1299</v>
      </c>
      <c r="M1724" t="s">
        <v>1300</v>
      </c>
      <c r="N1724">
        <v>1</v>
      </c>
      <c r="O1724" t="str">
        <f t="shared" si="149"/>
        <v>25</v>
      </c>
      <c r="Q1724">
        <v>25</v>
      </c>
      <c r="R1724" t="s">
        <v>1269</v>
      </c>
      <c r="S1724">
        <v>2.0139999999999998</v>
      </c>
      <c r="T1724">
        <v>0.18140000000000001</v>
      </c>
      <c r="U1724">
        <f t="shared" si="150"/>
        <v>0</v>
      </c>
      <c r="V1724" t="str">
        <f t="shared" si="147"/>
        <v>High Pupil Management</v>
      </c>
      <c r="W1724" t="str">
        <f t="shared" si="148"/>
        <v>Pupil Management</v>
      </c>
    </row>
    <row r="1725" spans="1:23" x14ac:dyDescent="0.25">
      <c r="A1725">
        <v>23403</v>
      </c>
      <c r="B1725" t="s">
        <v>1401</v>
      </c>
      <c r="C1725">
        <v>2.0939999999999999</v>
      </c>
      <c r="D1725" t="s">
        <v>1264</v>
      </c>
      <c r="E1725">
        <v>100170</v>
      </c>
      <c r="F1725">
        <v>23403</v>
      </c>
      <c r="G1725" t="str">
        <f t="shared" si="146"/>
        <v>23403</v>
      </c>
      <c r="H1725" t="s">
        <v>460</v>
      </c>
      <c r="I1725" t="s">
        <v>1265</v>
      </c>
      <c r="J1725" t="s">
        <v>1271</v>
      </c>
      <c r="K1725" t="s">
        <v>1272</v>
      </c>
      <c r="L1725" t="s">
        <v>1401</v>
      </c>
      <c r="M1725" t="s">
        <v>1422</v>
      </c>
      <c r="N1725">
        <v>1</v>
      </c>
      <c r="O1725" t="str">
        <f t="shared" si="149"/>
        <v>35</v>
      </c>
      <c r="Q1725">
        <v>35</v>
      </c>
      <c r="R1725" t="s">
        <v>1269</v>
      </c>
      <c r="S1725">
        <v>2.0939999999999999</v>
      </c>
      <c r="T1725">
        <v>0.18140000000000001</v>
      </c>
      <c r="U1725">
        <f t="shared" si="150"/>
        <v>0</v>
      </c>
      <c r="V1725" t="str">
        <f t="shared" si="147"/>
        <v>High Pupil Safety</v>
      </c>
      <c r="W1725" t="str">
        <f t="shared" si="148"/>
        <v>Pupil Safety</v>
      </c>
    </row>
    <row r="1726" spans="1:23" x14ac:dyDescent="0.25">
      <c r="A1726">
        <v>23403</v>
      </c>
      <c r="B1726" t="s">
        <v>1275</v>
      </c>
      <c r="C1726">
        <v>3.6619999999999999</v>
      </c>
      <c r="D1726" t="s">
        <v>1264</v>
      </c>
      <c r="E1726">
        <v>100170</v>
      </c>
      <c r="F1726">
        <v>23403</v>
      </c>
      <c r="G1726" t="str">
        <f t="shared" si="146"/>
        <v>23403</v>
      </c>
      <c r="H1726" t="s">
        <v>460</v>
      </c>
      <c r="I1726" t="s">
        <v>1265</v>
      </c>
      <c r="J1726" t="s">
        <v>1276</v>
      </c>
      <c r="K1726" t="s">
        <v>1277</v>
      </c>
      <c r="L1726" t="s">
        <v>1275</v>
      </c>
      <c r="M1726" t="s">
        <v>1278</v>
      </c>
      <c r="N1726">
        <v>1</v>
      </c>
      <c r="O1726" t="str">
        <f t="shared" si="149"/>
        <v>42</v>
      </c>
      <c r="P1726">
        <v>42</v>
      </c>
      <c r="R1726" t="s">
        <v>1269</v>
      </c>
      <c r="S1726">
        <v>3.6619999999999999</v>
      </c>
      <c r="T1726">
        <v>0.18140000000000001</v>
      </c>
      <c r="U1726">
        <f t="shared" si="150"/>
        <v>0</v>
      </c>
      <c r="V1726" t="str">
        <f t="shared" si="147"/>
        <v>Elementary Counselor</v>
      </c>
      <c r="W1726" t="str">
        <f t="shared" si="148"/>
        <v>Counselor</v>
      </c>
    </row>
    <row r="1727" spans="1:23" x14ac:dyDescent="0.25">
      <c r="A1727">
        <v>23403</v>
      </c>
      <c r="B1727" t="s">
        <v>1270</v>
      </c>
      <c r="C1727">
        <v>2</v>
      </c>
      <c r="D1727" t="s">
        <v>1264</v>
      </c>
      <c r="E1727">
        <v>100170</v>
      </c>
      <c r="F1727">
        <v>23403</v>
      </c>
      <c r="G1727" t="str">
        <f t="shared" si="146"/>
        <v>23403</v>
      </c>
      <c r="H1727" t="s">
        <v>460</v>
      </c>
      <c r="I1727" t="s">
        <v>1265</v>
      </c>
      <c r="J1727" t="s">
        <v>1271</v>
      </c>
      <c r="K1727" t="s">
        <v>1272</v>
      </c>
      <c r="L1727" t="s">
        <v>1270</v>
      </c>
      <c r="M1727" t="s">
        <v>1273</v>
      </c>
      <c r="N1727">
        <v>1</v>
      </c>
      <c r="O1727" t="str">
        <f t="shared" si="149"/>
        <v>42</v>
      </c>
      <c r="P1727">
        <v>42</v>
      </c>
      <c r="R1727" t="s">
        <v>1269</v>
      </c>
      <c r="S1727">
        <v>2</v>
      </c>
      <c r="T1727">
        <v>0.18140000000000001</v>
      </c>
      <c r="U1727">
        <f t="shared" si="150"/>
        <v>0</v>
      </c>
      <c r="V1727" t="str">
        <f t="shared" si="147"/>
        <v>High Counselor</v>
      </c>
      <c r="W1727" t="str">
        <f t="shared" si="148"/>
        <v>Counselor</v>
      </c>
    </row>
    <row r="1728" spans="1:23" x14ac:dyDescent="0.25">
      <c r="A1728">
        <v>23403</v>
      </c>
      <c r="B1728" t="s">
        <v>1263</v>
      </c>
      <c r="C1728">
        <v>1.3380000000000001</v>
      </c>
      <c r="D1728" t="s">
        <v>1264</v>
      </c>
      <c r="E1728">
        <v>100170</v>
      </c>
      <c r="F1728">
        <v>23403</v>
      </c>
      <c r="G1728" t="str">
        <f t="shared" si="146"/>
        <v>23403</v>
      </c>
      <c r="H1728" t="s">
        <v>460</v>
      </c>
      <c r="I1728" t="s">
        <v>1265</v>
      </c>
      <c r="J1728" t="s">
        <v>1266</v>
      </c>
      <c r="K1728" t="s">
        <v>1267</v>
      </c>
      <c r="L1728" t="s">
        <v>1263</v>
      </c>
      <c r="M1728" t="s">
        <v>1268</v>
      </c>
      <c r="N1728">
        <v>1</v>
      </c>
      <c r="O1728" t="str">
        <f t="shared" si="149"/>
        <v>42</v>
      </c>
      <c r="P1728">
        <v>42</v>
      </c>
      <c r="R1728" t="s">
        <v>1269</v>
      </c>
      <c r="S1728">
        <v>1.3380000000000001</v>
      </c>
      <c r="T1728">
        <v>0.18140000000000001</v>
      </c>
      <c r="U1728">
        <f t="shared" si="150"/>
        <v>0</v>
      </c>
      <c r="V1728" t="str">
        <f t="shared" si="147"/>
        <v>Middle Counselor</v>
      </c>
      <c r="W1728" t="str">
        <f t="shared" si="148"/>
        <v>Counselor</v>
      </c>
    </row>
    <row r="1729" spans="1:23" x14ac:dyDescent="0.25">
      <c r="A1729">
        <v>23403</v>
      </c>
      <c r="B1729" t="s">
        <v>1289</v>
      </c>
      <c r="C1729">
        <v>0.59599999999999997</v>
      </c>
      <c r="D1729" t="s">
        <v>1264</v>
      </c>
      <c r="E1729">
        <v>100170</v>
      </c>
      <c r="F1729">
        <v>23403</v>
      </c>
      <c r="G1729" t="str">
        <f t="shared" si="146"/>
        <v>23403</v>
      </c>
      <c r="H1729" t="s">
        <v>460</v>
      </c>
      <c r="I1729" t="s">
        <v>1265</v>
      </c>
      <c r="J1729" t="s">
        <v>1276</v>
      </c>
      <c r="K1729" t="s">
        <v>1277</v>
      </c>
      <c r="L1729" t="s">
        <v>1289</v>
      </c>
      <c r="M1729" t="s">
        <v>1307</v>
      </c>
      <c r="N1729">
        <v>21</v>
      </c>
      <c r="O1729" t="str">
        <f t="shared" si="149"/>
        <v>43</v>
      </c>
      <c r="P1729">
        <v>43</v>
      </c>
      <c r="R1729" t="s">
        <v>1269</v>
      </c>
      <c r="S1729">
        <v>0.59599999999999997</v>
      </c>
      <c r="T1729">
        <v>0.18140000000000001</v>
      </c>
      <c r="U1729">
        <f t="shared" si="150"/>
        <v>0.108</v>
      </c>
      <c r="V1729" t="str">
        <f t="shared" si="147"/>
        <v>Elementary Occupational Therapist</v>
      </c>
      <c r="W1729" t="str">
        <f t="shared" si="148"/>
        <v>Occupational Therapist</v>
      </c>
    </row>
    <row r="1730" spans="1:23" x14ac:dyDescent="0.25">
      <c r="A1730">
        <v>23403</v>
      </c>
      <c r="B1730" t="s">
        <v>1387</v>
      </c>
      <c r="C1730">
        <v>0.27800000000000002</v>
      </c>
      <c r="D1730" t="s">
        <v>1264</v>
      </c>
      <c r="E1730">
        <v>100170</v>
      </c>
      <c r="F1730">
        <v>23403</v>
      </c>
      <c r="G1730" t="str">
        <f t="shared" ref="G1730:G1793" si="151">TEXT(F1730,"00000")</f>
        <v>23403</v>
      </c>
      <c r="H1730" t="s">
        <v>460</v>
      </c>
      <c r="I1730" t="s">
        <v>1265</v>
      </c>
      <c r="J1730" t="s">
        <v>1271</v>
      </c>
      <c r="K1730" t="s">
        <v>1272</v>
      </c>
      <c r="L1730" t="s">
        <v>1387</v>
      </c>
      <c r="M1730" t="s">
        <v>1406</v>
      </c>
      <c r="N1730">
        <v>21</v>
      </c>
      <c r="O1730" t="str">
        <f t="shared" si="149"/>
        <v>43</v>
      </c>
      <c r="P1730">
        <v>43</v>
      </c>
      <c r="R1730" t="s">
        <v>1269</v>
      </c>
      <c r="S1730">
        <v>0.27800000000000002</v>
      </c>
      <c r="T1730">
        <v>0.18140000000000001</v>
      </c>
      <c r="U1730">
        <f t="shared" si="150"/>
        <v>0.05</v>
      </c>
      <c r="V1730" t="str">
        <f t="shared" ref="V1730:V1793" si="152">_xlfn.XLOOKUP(L1730,$BV:$BV,$BT:$BT,,0)</f>
        <v>High Occupational Therapist</v>
      </c>
      <c r="W1730" t="str">
        <f t="shared" ref="W1730:W1793" si="153">_xlfn.TEXTAFTER(V1730," ")</f>
        <v>Occupational Therapist</v>
      </c>
    </row>
    <row r="1731" spans="1:23" x14ac:dyDescent="0.25">
      <c r="A1731">
        <v>23403</v>
      </c>
      <c r="B1731" t="s">
        <v>1303</v>
      </c>
      <c r="C1731">
        <v>6.2E-2</v>
      </c>
      <c r="D1731" t="s">
        <v>1264</v>
      </c>
      <c r="E1731">
        <v>100170</v>
      </c>
      <c r="F1731">
        <v>23403</v>
      </c>
      <c r="G1731" t="str">
        <f t="shared" si="151"/>
        <v>23403</v>
      </c>
      <c r="H1731" t="s">
        <v>460</v>
      </c>
      <c r="I1731" t="s">
        <v>1265</v>
      </c>
      <c r="J1731" t="s">
        <v>1266</v>
      </c>
      <c r="K1731" t="s">
        <v>1267</v>
      </c>
      <c r="L1731" t="s">
        <v>1303</v>
      </c>
      <c r="M1731" t="s">
        <v>1304</v>
      </c>
      <c r="N1731">
        <v>21</v>
      </c>
      <c r="O1731" t="str">
        <f t="shared" ref="O1731:O1794" si="154">MID(L1731,3,2)</f>
        <v>43</v>
      </c>
      <c r="P1731">
        <v>43</v>
      </c>
      <c r="R1731" t="s">
        <v>1269</v>
      </c>
      <c r="S1731">
        <v>6.2E-2</v>
      </c>
      <c r="T1731">
        <v>0.18140000000000001</v>
      </c>
      <c r="U1731">
        <f t="shared" ref="U1731:U1794" si="155">IF(N1731=21,ROUND(T1731*S1731,3),0)</f>
        <v>1.0999999999999999E-2</v>
      </c>
      <c r="V1731" t="str">
        <f t="shared" si="152"/>
        <v>Middle Occupational Therapist</v>
      </c>
      <c r="W1731" t="str">
        <f t="shared" si="153"/>
        <v>Occupational Therapist</v>
      </c>
    </row>
    <row r="1732" spans="1:23" x14ac:dyDescent="0.25">
      <c r="A1732">
        <v>23403</v>
      </c>
      <c r="B1732" t="s">
        <v>1294</v>
      </c>
      <c r="C1732">
        <v>1.6E-2</v>
      </c>
      <c r="D1732" t="s">
        <v>1264</v>
      </c>
      <c r="E1732">
        <v>100170</v>
      </c>
      <c r="F1732">
        <v>23403</v>
      </c>
      <c r="G1732" t="str">
        <f t="shared" si="151"/>
        <v>23403</v>
      </c>
      <c r="H1732" t="s">
        <v>460</v>
      </c>
      <c r="I1732" t="s">
        <v>1265</v>
      </c>
      <c r="J1732" t="s">
        <v>1276</v>
      </c>
      <c r="K1732" t="s">
        <v>1277</v>
      </c>
      <c r="L1732" t="s">
        <v>1294</v>
      </c>
      <c r="M1732" t="s">
        <v>1354</v>
      </c>
      <c r="N1732">
        <v>21</v>
      </c>
      <c r="O1732" t="str">
        <f t="shared" si="154"/>
        <v>45</v>
      </c>
      <c r="P1732">
        <v>45</v>
      </c>
      <c r="R1732" t="s">
        <v>1269</v>
      </c>
      <c r="S1732">
        <v>1.6E-2</v>
      </c>
      <c r="T1732">
        <v>0.18140000000000001</v>
      </c>
      <c r="U1732">
        <f t="shared" si="155"/>
        <v>3.0000000000000001E-3</v>
      </c>
      <c r="V1732" t="str">
        <f t="shared" si="152"/>
        <v>Elementary Speech, Language Pathway/
Audio</v>
      </c>
      <c r="W1732" t="str">
        <f t="shared" si="153"/>
        <v>Speech, Language Pathway/
Audio</v>
      </c>
    </row>
    <row r="1733" spans="1:23" x14ac:dyDescent="0.25">
      <c r="A1733">
        <v>23404</v>
      </c>
      <c r="B1733" t="s">
        <v>1299</v>
      </c>
      <c r="C1733">
        <v>0.51</v>
      </c>
      <c r="D1733" t="s">
        <v>1264</v>
      </c>
      <c r="E1733">
        <v>100107</v>
      </c>
      <c r="F1733">
        <v>23404</v>
      </c>
      <c r="G1733" t="str">
        <f t="shared" si="151"/>
        <v>23404</v>
      </c>
      <c r="H1733" t="s">
        <v>461</v>
      </c>
      <c r="I1733" t="s">
        <v>1265</v>
      </c>
      <c r="J1733" t="s">
        <v>1271</v>
      </c>
      <c r="K1733" t="s">
        <v>1272</v>
      </c>
      <c r="L1733" t="s">
        <v>1299</v>
      </c>
      <c r="M1733" t="s">
        <v>1300</v>
      </c>
      <c r="N1733">
        <v>1</v>
      </c>
      <c r="O1733" t="str">
        <f t="shared" si="154"/>
        <v>25</v>
      </c>
      <c r="Q1733">
        <v>25</v>
      </c>
      <c r="R1733" t="s">
        <v>1269</v>
      </c>
      <c r="S1733">
        <v>0.51</v>
      </c>
      <c r="T1733">
        <v>0.13730000000000001</v>
      </c>
      <c r="U1733">
        <f t="shared" si="155"/>
        <v>0</v>
      </c>
      <c r="V1733" t="str">
        <f t="shared" si="152"/>
        <v>High Pupil Management</v>
      </c>
      <c r="W1733" t="str">
        <f t="shared" si="153"/>
        <v>Pupil Management</v>
      </c>
    </row>
    <row r="1734" spans="1:23" x14ac:dyDescent="0.25">
      <c r="A1734">
        <v>23404</v>
      </c>
      <c r="B1734" t="s">
        <v>1275</v>
      </c>
      <c r="C1734">
        <v>0.77800000000000002</v>
      </c>
      <c r="D1734" t="s">
        <v>1264</v>
      </c>
      <c r="E1734">
        <v>100107</v>
      </c>
      <c r="F1734">
        <v>23404</v>
      </c>
      <c r="G1734" t="str">
        <f t="shared" si="151"/>
        <v>23404</v>
      </c>
      <c r="H1734" t="s">
        <v>461</v>
      </c>
      <c r="I1734" t="s">
        <v>1265</v>
      </c>
      <c r="J1734" t="s">
        <v>1276</v>
      </c>
      <c r="K1734" t="s">
        <v>1277</v>
      </c>
      <c r="L1734" t="s">
        <v>1275</v>
      </c>
      <c r="M1734" t="s">
        <v>1278</v>
      </c>
      <c r="N1734">
        <v>1</v>
      </c>
      <c r="O1734" t="str">
        <f t="shared" si="154"/>
        <v>42</v>
      </c>
      <c r="P1734">
        <v>42</v>
      </c>
      <c r="R1734" t="s">
        <v>1269</v>
      </c>
      <c r="S1734">
        <v>0.77800000000000002</v>
      </c>
      <c r="T1734">
        <v>0.13730000000000001</v>
      </c>
      <c r="U1734">
        <f t="shared" si="155"/>
        <v>0</v>
      </c>
      <c r="V1734" t="str">
        <f t="shared" si="152"/>
        <v>Elementary Counselor</v>
      </c>
      <c r="W1734" t="str">
        <f t="shared" si="153"/>
        <v>Counselor</v>
      </c>
    </row>
    <row r="1735" spans="1:23" x14ac:dyDescent="0.25">
      <c r="A1735">
        <v>23404</v>
      </c>
      <c r="B1735" t="s">
        <v>1263</v>
      </c>
      <c r="C1735">
        <v>0.222</v>
      </c>
      <c r="D1735" t="s">
        <v>1264</v>
      </c>
      <c r="E1735">
        <v>100107</v>
      </c>
      <c r="F1735">
        <v>23404</v>
      </c>
      <c r="G1735" t="str">
        <f t="shared" si="151"/>
        <v>23404</v>
      </c>
      <c r="H1735" t="s">
        <v>461</v>
      </c>
      <c r="I1735" t="s">
        <v>1265</v>
      </c>
      <c r="J1735" t="s">
        <v>1266</v>
      </c>
      <c r="K1735" t="s">
        <v>1267</v>
      </c>
      <c r="L1735" t="s">
        <v>1263</v>
      </c>
      <c r="M1735" t="s">
        <v>1268</v>
      </c>
      <c r="N1735">
        <v>1</v>
      </c>
      <c r="O1735" t="str">
        <f t="shared" si="154"/>
        <v>42</v>
      </c>
      <c r="P1735">
        <v>42</v>
      </c>
      <c r="R1735" t="s">
        <v>1269</v>
      </c>
      <c r="S1735">
        <v>0.222</v>
      </c>
      <c r="T1735">
        <v>0.13730000000000001</v>
      </c>
      <c r="U1735">
        <f t="shared" si="155"/>
        <v>0</v>
      </c>
      <c r="V1735" t="str">
        <f t="shared" si="152"/>
        <v>Middle Counselor</v>
      </c>
      <c r="W1735" t="str">
        <f t="shared" si="153"/>
        <v>Counselor</v>
      </c>
    </row>
    <row r="1736" spans="1:23" x14ac:dyDescent="0.25">
      <c r="A1736">
        <v>23404</v>
      </c>
      <c r="B1736" t="s">
        <v>1335</v>
      </c>
      <c r="C1736">
        <v>0.312</v>
      </c>
      <c r="D1736" t="s">
        <v>1264</v>
      </c>
      <c r="E1736">
        <v>100107</v>
      </c>
      <c r="F1736">
        <v>23404</v>
      </c>
      <c r="G1736" t="str">
        <f t="shared" si="151"/>
        <v>23404</v>
      </c>
      <c r="H1736" t="s">
        <v>461</v>
      </c>
      <c r="I1736" t="s">
        <v>1265</v>
      </c>
      <c r="J1736" t="s">
        <v>1276</v>
      </c>
      <c r="K1736" t="s">
        <v>1277</v>
      </c>
      <c r="L1736" t="s">
        <v>1335</v>
      </c>
      <c r="M1736" t="s">
        <v>1344</v>
      </c>
      <c r="N1736">
        <v>1</v>
      </c>
      <c r="O1736" t="str">
        <f t="shared" si="154"/>
        <v>47</v>
      </c>
      <c r="P1736">
        <v>47</v>
      </c>
      <c r="R1736" t="s">
        <v>1269</v>
      </c>
      <c r="S1736">
        <v>0.312</v>
      </c>
      <c r="T1736">
        <v>0.13730000000000001</v>
      </c>
      <c r="U1736">
        <f t="shared" si="155"/>
        <v>0</v>
      </c>
      <c r="V1736" t="str">
        <f t="shared" si="152"/>
        <v>Elementary Nurse</v>
      </c>
      <c r="W1736" t="str">
        <f t="shared" si="153"/>
        <v>Nurse</v>
      </c>
    </row>
    <row r="1737" spans="1:23" x14ac:dyDescent="0.25">
      <c r="A1737">
        <v>23404</v>
      </c>
      <c r="B1737" t="s">
        <v>1338</v>
      </c>
      <c r="C1737">
        <v>8.7999999999999995E-2</v>
      </c>
      <c r="D1737" t="s">
        <v>1264</v>
      </c>
      <c r="E1737">
        <v>100107</v>
      </c>
      <c r="F1737">
        <v>23404</v>
      </c>
      <c r="G1737" t="str">
        <f t="shared" si="151"/>
        <v>23404</v>
      </c>
      <c r="H1737" t="s">
        <v>461</v>
      </c>
      <c r="I1737" t="s">
        <v>1265</v>
      </c>
      <c r="J1737" t="s">
        <v>1266</v>
      </c>
      <c r="K1737" t="s">
        <v>1267</v>
      </c>
      <c r="L1737" t="s">
        <v>1338</v>
      </c>
      <c r="M1737" t="s">
        <v>1339</v>
      </c>
      <c r="N1737">
        <v>1</v>
      </c>
      <c r="O1737" t="str">
        <f t="shared" si="154"/>
        <v>47</v>
      </c>
      <c r="P1737">
        <v>47</v>
      </c>
      <c r="R1737" t="s">
        <v>1269</v>
      </c>
      <c r="S1737">
        <v>8.7999999999999995E-2</v>
      </c>
      <c r="T1737">
        <v>0.13730000000000001</v>
      </c>
      <c r="U1737">
        <f t="shared" si="155"/>
        <v>0</v>
      </c>
      <c r="V1737" t="str">
        <f t="shared" si="152"/>
        <v>Middle Nurse</v>
      </c>
      <c r="W1737" t="str">
        <f t="shared" si="153"/>
        <v>Nurse</v>
      </c>
    </row>
    <row r="1738" spans="1:23" x14ac:dyDescent="0.25">
      <c r="A1738">
        <v>24014</v>
      </c>
      <c r="B1738" t="s">
        <v>1299</v>
      </c>
      <c r="C1738">
        <v>0.20200000000000001</v>
      </c>
      <c r="D1738" t="s">
        <v>1264</v>
      </c>
      <c r="E1738">
        <v>100163</v>
      </c>
      <c r="F1738">
        <v>24014</v>
      </c>
      <c r="G1738" t="str">
        <f t="shared" si="151"/>
        <v>24014</v>
      </c>
      <c r="H1738" t="s">
        <v>1231</v>
      </c>
      <c r="I1738" t="s">
        <v>1265</v>
      </c>
      <c r="J1738" t="s">
        <v>1271</v>
      </c>
      <c r="K1738" t="s">
        <v>1272</v>
      </c>
      <c r="L1738" t="s">
        <v>1299</v>
      </c>
      <c r="M1738" t="s">
        <v>1300</v>
      </c>
      <c r="N1738">
        <v>1</v>
      </c>
      <c r="O1738" t="str">
        <f t="shared" si="154"/>
        <v>25</v>
      </c>
      <c r="Q1738">
        <v>25</v>
      </c>
      <c r="R1738" t="s">
        <v>1269</v>
      </c>
      <c r="S1738">
        <v>0.20200000000000001</v>
      </c>
      <c r="T1738">
        <v>0.1547</v>
      </c>
      <c r="U1738">
        <f t="shared" si="155"/>
        <v>0</v>
      </c>
      <c r="V1738" t="str">
        <f t="shared" si="152"/>
        <v>High Pupil Management</v>
      </c>
      <c r="W1738" t="str">
        <f t="shared" si="153"/>
        <v>Pupil Management</v>
      </c>
    </row>
    <row r="1739" spans="1:23" x14ac:dyDescent="0.25">
      <c r="A1739">
        <v>24014</v>
      </c>
      <c r="B1739" t="s">
        <v>1295</v>
      </c>
      <c r="C1739">
        <v>0.74</v>
      </c>
      <c r="D1739" t="s">
        <v>1264</v>
      </c>
      <c r="E1739">
        <v>100163</v>
      </c>
      <c r="F1739">
        <v>24014</v>
      </c>
      <c r="G1739" t="str">
        <f t="shared" si="151"/>
        <v>24014</v>
      </c>
      <c r="H1739" t="s">
        <v>1231</v>
      </c>
      <c r="I1739" t="s">
        <v>1265</v>
      </c>
      <c r="J1739" t="s">
        <v>1271</v>
      </c>
      <c r="K1739" t="s">
        <v>1272</v>
      </c>
      <c r="L1739" t="s">
        <v>1295</v>
      </c>
      <c r="M1739" t="s">
        <v>1296</v>
      </c>
      <c r="N1739">
        <v>1</v>
      </c>
      <c r="O1739" t="str">
        <f t="shared" si="154"/>
        <v>26</v>
      </c>
      <c r="Q1739">
        <v>26</v>
      </c>
      <c r="R1739" t="s">
        <v>1269</v>
      </c>
      <c r="S1739">
        <v>0.74</v>
      </c>
      <c r="T1739">
        <v>0.1547</v>
      </c>
      <c r="U1739">
        <f t="shared" si="155"/>
        <v>0</v>
      </c>
      <c r="V1739" t="str">
        <f t="shared" si="152"/>
        <v>High Health/
Related Services</v>
      </c>
      <c r="W1739" t="str">
        <f t="shared" si="153"/>
        <v>Health/
Related Services</v>
      </c>
    </row>
    <row r="1740" spans="1:23" x14ac:dyDescent="0.25">
      <c r="A1740">
        <v>24014</v>
      </c>
      <c r="B1740" t="s">
        <v>1275</v>
      </c>
      <c r="C1740">
        <v>0.39500000000000002</v>
      </c>
      <c r="D1740" t="s">
        <v>1264</v>
      </c>
      <c r="E1740">
        <v>100163</v>
      </c>
      <c r="F1740">
        <v>24014</v>
      </c>
      <c r="G1740" t="str">
        <f t="shared" si="151"/>
        <v>24014</v>
      </c>
      <c r="H1740" t="s">
        <v>1231</v>
      </c>
      <c r="I1740" t="s">
        <v>1265</v>
      </c>
      <c r="J1740" t="s">
        <v>1276</v>
      </c>
      <c r="K1740" t="s">
        <v>1277</v>
      </c>
      <c r="L1740" t="s">
        <v>1275</v>
      </c>
      <c r="M1740" t="s">
        <v>1278</v>
      </c>
      <c r="N1740">
        <v>1</v>
      </c>
      <c r="O1740" t="str">
        <f t="shared" si="154"/>
        <v>42</v>
      </c>
      <c r="P1740">
        <v>42</v>
      </c>
      <c r="R1740" t="s">
        <v>1269</v>
      </c>
      <c r="S1740">
        <v>0.39500000000000002</v>
      </c>
      <c r="T1740">
        <v>0.1547</v>
      </c>
      <c r="U1740">
        <f t="shared" si="155"/>
        <v>0</v>
      </c>
      <c r="V1740" t="str">
        <f t="shared" si="152"/>
        <v>Elementary Counselor</v>
      </c>
      <c r="W1740" t="str">
        <f t="shared" si="153"/>
        <v>Counselor</v>
      </c>
    </row>
    <row r="1741" spans="1:23" x14ac:dyDescent="0.25">
      <c r="A1741">
        <v>24014</v>
      </c>
      <c r="B1741" t="s">
        <v>1270</v>
      </c>
      <c r="C1741">
        <v>0.03</v>
      </c>
      <c r="D1741" t="s">
        <v>1264</v>
      </c>
      <c r="E1741">
        <v>100163</v>
      </c>
      <c r="F1741">
        <v>24014</v>
      </c>
      <c r="G1741" t="str">
        <f t="shared" si="151"/>
        <v>24014</v>
      </c>
      <c r="H1741" t="s">
        <v>1231</v>
      </c>
      <c r="I1741" t="s">
        <v>1265</v>
      </c>
      <c r="J1741" t="s">
        <v>1271</v>
      </c>
      <c r="K1741" t="s">
        <v>1272</v>
      </c>
      <c r="L1741" t="s">
        <v>1270</v>
      </c>
      <c r="M1741" t="s">
        <v>1273</v>
      </c>
      <c r="N1741">
        <v>1</v>
      </c>
      <c r="O1741" t="str">
        <f t="shared" si="154"/>
        <v>42</v>
      </c>
      <c r="P1741">
        <v>42</v>
      </c>
      <c r="R1741" t="s">
        <v>1269</v>
      </c>
      <c r="S1741">
        <v>0.03</v>
      </c>
      <c r="T1741">
        <v>0.1547</v>
      </c>
      <c r="U1741">
        <f t="shared" si="155"/>
        <v>0</v>
      </c>
      <c r="V1741" t="str">
        <f t="shared" si="152"/>
        <v>High Counselor</v>
      </c>
      <c r="W1741" t="str">
        <f t="shared" si="153"/>
        <v>Counselor</v>
      </c>
    </row>
    <row r="1742" spans="1:23" x14ac:dyDescent="0.25">
      <c r="A1742">
        <v>24014</v>
      </c>
      <c r="B1742" t="s">
        <v>1263</v>
      </c>
      <c r="C1742">
        <v>7.4999999999999997E-2</v>
      </c>
      <c r="D1742" t="s">
        <v>1264</v>
      </c>
      <c r="E1742">
        <v>100163</v>
      </c>
      <c r="F1742">
        <v>24014</v>
      </c>
      <c r="G1742" t="str">
        <f t="shared" si="151"/>
        <v>24014</v>
      </c>
      <c r="H1742" t="s">
        <v>1231</v>
      </c>
      <c r="I1742" t="s">
        <v>1265</v>
      </c>
      <c r="J1742" t="s">
        <v>1266</v>
      </c>
      <c r="K1742" t="s">
        <v>1267</v>
      </c>
      <c r="L1742" t="s">
        <v>1263</v>
      </c>
      <c r="M1742" t="s">
        <v>1268</v>
      </c>
      <c r="N1742">
        <v>1</v>
      </c>
      <c r="O1742" t="str">
        <f t="shared" si="154"/>
        <v>42</v>
      </c>
      <c r="P1742">
        <v>42</v>
      </c>
      <c r="R1742" t="s">
        <v>1269</v>
      </c>
      <c r="S1742">
        <v>7.4999999999999997E-2</v>
      </c>
      <c r="T1742">
        <v>0.1547</v>
      </c>
      <c r="U1742">
        <f t="shared" si="155"/>
        <v>0</v>
      </c>
      <c r="V1742" t="str">
        <f t="shared" si="152"/>
        <v>Middle Counselor</v>
      </c>
      <c r="W1742" t="str">
        <f t="shared" si="153"/>
        <v>Counselor</v>
      </c>
    </row>
    <row r="1743" spans="1:23" x14ac:dyDescent="0.25">
      <c r="A1743">
        <v>24019</v>
      </c>
      <c r="B1743" t="s">
        <v>1299</v>
      </c>
      <c r="C1743">
        <v>0.71599999999999997</v>
      </c>
      <c r="D1743" t="s">
        <v>1264</v>
      </c>
      <c r="E1743">
        <v>100183</v>
      </c>
      <c r="F1743">
        <v>24019</v>
      </c>
      <c r="G1743" t="str">
        <f t="shared" si="151"/>
        <v>24019</v>
      </c>
      <c r="H1743" t="s">
        <v>463</v>
      </c>
      <c r="I1743" t="s">
        <v>1265</v>
      </c>
      <c r="J1743" t="s">
        <v>1271</v>
      </c>
      <c r="K1743" t="s">
        <v>1272</v>
      </c>
      <c r="L1743" t="s">
        <v>1299</v>
      </c>
      <c r="M1743" t="s">
        <v>1300</v>
      </c>
      <c r="N1743">
        <v>1</v>
      </c>
      <c r="O1743" t="str">
        <f t="shared" si="154"/>
        <v>25</v>
      </c>
      <c r="Q1743">
        <v>25</v>
      </c>
      <c r="R1743" t="s">
        <v>1269</v>
      </c>
      <c r="S1743">
        <v>0.71599999999999997</v>
      </c>
      <c r="T1743">
        <v>0.1875</v>
      </c>
      <c r="U1743">
        <f t="shared" si="155"/>
        <v>0</v>
      </c>
      <c r="V1743" t="str">
        <f t="shared" si="152"/>
        <v>High Pupil Management</v>
      </c>
      <c r="W1743" t="str">
        <f t="shared" si="153"/>
        <v>Pupil Management</v>
      </c>
    </row>
    <row r="1744" spans="1:23" x14ac:dyDescent="0.25">
      <c r="A1744">
        <v>24019</v>
      </c>
      <c r="B1744" t="s">
        <v>1295</v>
      </c>
      <c r="C1744">
        <v>0.71499999999999997</v>
      </c>
      <c r="D1744" t="s">
        <v>1264</v>
      </c>
      <c r="E1744">
        <v>100183</v>
      </c>
      <c r="F1744">
        <v>24019</v>
      </c>
      <c r="G1744" t="str">
        <f t="shared" si="151"/>
        <v>24019</v>
      </c>
      <c r="H1744" t="s">
        <v>463</v>
      </c>
      <c r="I1744" t="s">
        <v>1265</v>
      </c>
      <c r="J1744" t="s">
        <v>1271</v>
      </c>
      <c r="K1744" t="s">
        <v>1272</v>
      </c>
      <c r="L1744" t="s">
        <v>1295</v>
      </c>
      <c r="M1744" t="s">
        <v>1296</v>
      </c>
      <c r="N1744">
        <v>1</v>
      </c>
      <c r="O1744" t="str">
        <f t="shared" si="154"/>
        <v>26</v>
      </c>
      <c r="Q1744">
        <v>26</v>
      </c>
      <c r="R1744" t="s">
        <v>1269</v>
      </c>
      <c r="S1744">
        <v>0.71499999999999997</v>
      </c>
      <c r="T1744">
        <v>0.1875</v>
      </c>
      <c r="U1744">
        <f t="shared" si="155"/>
        <v>0</v>
      </c>
      <c r="V1744" t="str">
        <f t="shared" si="152"/>
        <v>High Health/
Related Services</v>
      </c>
      <c r="W1744" t="str">
        <f t="shared" si="153"/>
        <v>Health/
Related Services</v>
      </c>
    </row>
    <row r="1745" spans="1:23" x14ac:dyDescent="0.25">
      <c r="A1745">
        <v>24019</v>
      </c>
      <c r="B1745" t="s">
        <v>1275</v>
      </c>
      <c r="C1745">
        <v>2.3330000000000002</v>
      </c>
      <c r="D1745" t="s">
        <v>1264</v>
      </c>
      <c r="E1745">
        <v>100183</v>
      </c>
      <c r="F1745">
        <v>24019</v>
      </c>
      <c r="G1745" t="str">
        <f t="shared" si="151"/>
        <v>24019</v>
      </c>
      <c r="H1745" t="s">
        <v>463</v>
      </c>
      <c r="I1745" t="s">
        <v>1265</v>
      </c>
      <c r="J1745" t="s">
        <v>1276</v>
      </c>
      <c r="K1745" t="s">
        <v>1277</v>
      </c>
      <c r="L1745" t="s">
        <v>1275</v>
      </c>
      <c r="M1745" t="s">
        <v>1278</v>
      </c>
      <c r="N1745">
        <v>1</v>
      </c>
      <c r="O1745" t="str">
        <f t="shared" si="154"/>
        <v>42</v>
      </c>
      <c r="P1745">
        <v>42</v>
      </c>
      <c r="R1745" t="s">
        <v>1269</v>
      </c>
      <c r="S1745">
        <v>2.3330000000000002</v>
      </c>
      <c r="T1745">
        <v>0.1875</v>
      </c>
      <c r="U1745">
        <f t="shared" si="155"/>
        <v>0</v>
      </c>
      <c r="V1745" t="str">
        <f t="shared" si="152"/>
        <v>Elementary Counselor</v>
      </c>
      <c r="W1745" t="str">
        <f t="shared" si="153"/>
        <v>Counselor</v>
      </c>
    </row>
    <row r="1746" spans="1:23" x14ac:dyDescent="0.25">
      <c r="A1746">
        <v>24019</v>
      </c>
      <c r="B1746" t="s">
        <v>1385</v>
      </c>
      <c r="C1746">
        <v>1</v>
      </c>
      <c r="D1746" t="s">
        <v>1264</v>
      </c>
      <c r="E1746">
        <v>100183</v>
      </c>
      <c r="F1746">
        <v>24019</v>
      </c>
      <c r="G1746" t="str">
        <f t="shared" si="151"/>
        <v>24019</v>
      </c>
      <c r="H1746" t="s">
        <v>463</v>
      </c>
      <c r="I1746" t="s">
        <v>1265</v>
      </c>
      <c r="J1746" t="s">
        <v>1271</v>
      </c>
      <c r="K1746" t="s">
        <v>1272</v>
      </c>
      <c r="L1746" t="s">
        <v>1385</v>
      </c>
      <c r="M1746" t="s">
        <v>1421</v>
      </c>
      <c r="N1746">
        <v>21</v>
      </c>
      <c r="O1746" t="str">
        <f t="shared" si="154"/>
        <v>42</v>
      </c>
      <c r="P1746">
        <v>42</v>
      </c>
      <c r="R1746" t="s">
        <v>1269</v>
      </c>
      <c r="S1746">
        <v>1</v>
      </c>
      <c r="T1746">
        <v>0.1875</v>
      </c>
      <c r="U1746">
        <f t="shared" si="155"/>
        <v>0.188</v>
      </c>
      <c r="V1746" t="str">
        <f t="shared" si="152"/>
        <v>High Counselor</v>
      </c>
      <c r="W1746" t="str">
        <f t="shared" si="153"/>
        <v>Counselor</v>
      </c>
    </row>
    <row r="1747" spans="1:23" x14ac:dyDescent="0.25">
      <c r="A1747">
        <v>24019</v>
      </c>
      <c r="B1747" t="s">
        <v>1270</v>
      </c>
      <c r="C1747">
        <v>1.5</v>
      </c>
      <c r="D1747" t="s">
        <v>1264</v>
      </c>
      <c r="E1747">
        <v>100183</v>
      </c>
      <c r="F1747">
        <v>24019</v>
      </c>
      <c r="G1747" t="str">
        <f t="shared" si="151"/>
        <v>24019</v>
      </c>
      <c r="H1747" t="s">
        <v>463</v>
      </c>
      <c r="I1747" t="s">
        <v>1265</v>
      </c>
      <c r="J1747" t="s">
        <v>1271</v>
      </c>
      <c r="K1747" t="s">
        <v>1272</v>
      </c>
      <c r="L1747" t="s">
        <v>1270</v>
      </c>
      <c r="M1747" t="s">
        <v>1273</v>
      </c>
      <c r="N1747">
        <v>1</v>
      </c>
      <c r="O1747" t="str">
        <f t="shared" si="154"/>
        <v>42</v>
      </c>
      <c r="P1747">
        <v>42</v>
      </c>
      <c r="R1747" t="s">
        <v>1269</v>
      </c>
      <c r="S1747">
        <v>1.5</v>
      </c>
      <c r="T1747">
        <v>0.1875</v>
      </c>
      <c r="U1747">
        <f t="shared" si="155"/>
        <v>0</v>
      </c>
      <c r="V1747" t="str">
        <f t="shared" si="152"/>
        <v>High Counselor</v>
      </c>
      <c r="W1747" t="str">
        <f t="shared" si="153"/>
        <v>Counselor</v>
      </c>
    </row>
    <row r="1748" spans="1:23" x14ac:dyDescent="0.25">
      <c r="A1748">
        <v>24019</v>
      </c>
      <c r="B1748" t="s">
        <v>1263</v>
      </c>
      <c r="C1748">
        <v>0.66700000000000004</v>
      </c>
      <c r="D1748" t="s">
        <v>1264</v>
      </c>
      <c r="E1748">
        <v>100183</v>
      </c>
      <c r="F1748">
        <v>24019</v>
      </c>
      <c r="G1748" t="str">
        <f t="shared" si="151"/>
        <v>24019</v>
      </c>
      <c r="H1748" t="s">
        <v>463</v>
      </c>
      <c r="I1748" t="s">
        <v>1265</v>
      </c>
      <c r="J1748" t="s">
        <v>1266</v>
      </c>
      <c r="K1748" t="s">
        <v>1267</v>
      </c>
      <c r="L1748" t="s">
        <v>1263</v>
      </c>
      <c r="M1748" t="s">
        <v>1268</v>
      </c>
      <c r="N1748">
        <v>1</v>
      </c>
      <c r="O1748" t="str">
        <f t="shared" si="154"/>
        <v>42</v>
      </c>
      <c r="P1748">
        <v>42</v>
      </c>
      <c r="R1748" t="s">
        <v>1269</v>
      </c>
      <c r="S1748">
        <v>0.66700000000000004</v>
      </c>
      <c r="T1748">
        <v>0.1875</v>
      </c>
      <c r="U1748">
        <f t="shared" si="155"/>
        <v>0</v>
      </c>
      <c r="V1748" t="str">
        <f t="shared" si="152"/>
        <v>Middle Counselor</v>
      </c>
      <c r="W1748" t="str">
        <f t="shared" si="153"/>
        <v>Counselor</v>
      </c>
    </row>
    <row r="1749" spans="1:23" x14ac:dyDescent="0.25">
      <c r="A1749">
        <v>24019</v>
      </c>
      <c r="B1749" t="s">
        <v>1294</v>
      </c>
      <c r="C1749">
        <v>2.8</v>
      </c>
      <c r="D1749" t="s">
        <v>1264</v>
      </c>
      <c r="E1749">
        <v>100183</v>
      </c>
      <c r="F1749">
        <v>24019</v>
      </c>
      <c r="G1749" t="str">
        <f t="shared" si="151"/>
        <v>24019</v>
      </c>
      <c r="H1749" t="s">
        <v>463</v>
      </c>
      <c r="I1749" t="s">
        <v>1265</v>
      </c>
      <c r="J1749" t="s">
        <v>1276</v>
      </c>
      <c r="K1749" t="s">
        <v>1277</v>
      </c>
      <c r="L1749" t="s">
        <v>1294</v>
      </c>
      <c r="M1749" t="s">
        <v>1354</v>
      </c>
      <c r="N1749">
        <v>21</v>
      </c>
      <c r="O1749" t="str">
        <f t="shared" si="154"/>
        <v>45</v>
      </c>
      <c r="P1749">
        <v>45</v>
      </c>
      <c r="R1749" t="s">
        <v>1269</v>
      </c>
      <c r="S1749">
        <v>2.8</v>
      </c>
      <c r="T1749">
        <v>0.1875</v>
      </c>
      <c r="U1749">
        <f t="shared" si="155"/>
        <v>0.52500000000000002</v>
      </c>
      <c r="V1749" t="str">
        <f t="shared" si="152"/>
        <v>Elementary Speech, Language Pathway/
Audio</v>
      </c>
      <c r="W1749" t="str">
        <f t="shared" si="153"/>
        <v>Speech, Language Pathway/
Audio</v>
      </c>
    </row>
    <row r="1750" spans="1:23" x14ac:dyDescent="0.25">
      <c r="A1750">
        <v>24019</v>
      </c>
      <c r="B1750" t="s">
        <v>1298</v>
      </c>
      <c r="C1750">
        <v>1</v>
      </c>
      <c r="D1750" t="s">
        <v>1264</v>
      </c>
      <c r="E1750">
        <v>100183</v>
      </c>
      <c r="F1750">
        <v>24019</v>
      </c>
      <c r="G1750" t="str">
        <f t="shared" si="151"/>
        <v>24019</v>
      </c>
      <c r="H1750" t="s">
        <v>463</v>
      </c>
      <c r="I1750" t="s">
        <v>1265</v>
      </c>
      <c r="J1750" t="s">
        <v>1276</v>
      </c>
      <c r="K1750" t="s">
        <v>1277</v>
      </c>
      <c r="L1750" t="s">
        <v>1298</v>
      </c>
      <c r="M1750" t="s">
        <v>1349</v>
      </c>
      <c r="N1750">
        <v>21</v>
      </c>
      <c r="O1750" t="str">
        <f t="shared" si="154"/>
        <v>46</v>
      </c>
      <c r="P1750">
        <v>46</v>
      </c>
      <c r="R1750" t="s">
        <v>1269</v>
      </c>
      <c r="S1750">
        <v>1</v>
      </c>
      <c r="T1750">
        <v>0.1875</v>
      </c>
      <c r="U1750">
        <f t="shared" si="155"/>
        <v>0.188</v>
      </c>
      <c r="V1750" t="str">
        <f t="shared" si="152"/>
        <v>Elementary Psychologist</v>
      </c>
      <c r="W1750" t="str">
        <f t="shared" si="153"/>
        <v>Psychologist</v>
      </c>
    </row>
    <row r="1751" spans="1:23" x14ac:dyDescent="0.25">
      <c r="A1751">
        <v>24105</v>
      </c>
      <c r="B1751" t="s">
        <v>1308</v>
      </c>
      <c r="C1751">
        <v>1.0620000000000001</v>
      </c>
      <c r="D1751" t="s">
        <v>1264</v>
      </c>
      <c r="E1751">
        <v>100181</v>
      </c>
      <c r="F1751">
        <v>24105</v>
      </c>
      <c r="G1751" t="str">
        <f t="shared" si="151"/>
        <v>24105</v>
      </c>
      <c r="H1751" t="s">
        <v>464</v>
      </c>
      <c r="I1751" t="s">
        <v>1265</v>
      </c>
      <c r="J1751" t="s">
        <v>1276</v>
      </c>
      <c r="K1751" t="s">
        <v>1277</v>
      </c>
      <c r="L1751" t="s">
        <v>1308</v>
      </c>
      <c r="M1751" t="s">
        <v>1389</v>
      </c>
      <c r="N1751">
        <v>1</v>
      </c>
      <c r="O1751" t="str">
        <f t="shared" si="154"/>
        <v>25</v>
      </c>
      <c r="Q1751">
        <v>25</v>
      </c>
      <c r="R1751" t="s">
        <v>1269</v>
      </c>
      <c r="S1751">
        <v>1.0620000000000001</v>
      </c>
      <c r="T1751">
        <v>0.15989999999999999</v>
      </c>
      <c r="U1751">
        <f t="shared" si="155"/>
        <v>0</v>
      </c>
      <c r="V1751" t="str">
        <f t="shared" si="152"/>
        <v>Elementary Pupil Management</v>
      </c>
      <c r="W1751" t="str">
        <f t="shared" si="153"/>
        <v>Pupil Management</v>
      </c>
    </row>
    <row r="1752" spans="1:23" x14ac:dyDescent="0.25">
      <c r="A1752">
        <v>24105</v>
      </c>
      <c r="B1752" t="s">
        <v>1299</v>
      </c>
      <c r="C1752">
        <v>1.571</v>
      </c>
      <c r="D1752" t="s">
        <v>1264</v>
      </c>
      <c r="E1752">
        <v>100181</v>
      </c>
      <c r="F1752">
        <v>24105</v>
      </c>
      <c r="G1752" t="str">
        <f t="shared" si="151"/>
        <v>24105</v>
      </c>
      <c r="H1752" t="s">
        <v>464</v>
      </c>
      <c r="I1752" t="s">
        <v>1265</v>
      </c>
      <c r="J1752" t="s">
        <v>1271</v>
      </c>
      <c r="K1752" t="s">
        <v>1272</v>
      </c>
      <c r="L1752" t="s">
        <v>1299</v>
      </c>
      <c r="M1752" t="s">
        <v>1300</v>
      </c>
      <c r="N1752">
        <v>1</v>
      </c>
      <c r="O1752" t="str">
        <f t="shared" si="154"/>
        <v>25</v>
      </c>
      <c r="Q1752">
        <v>25</v>
      </c>
      <c r="R1752" t="s">
        <v>1269</v>
      </c>
      <c r="S1752">
        <v>1.571</v>
      </c>
      <c r="T1752">
        <v>0.15989999999999999</v>
      </c>
      <c r="U1752">
        <f t="shared" si="155"/>
        <v>0</v>
      </c>
      <c r="V1752" t="str">
        <f t="shared" si="152"/>
        <v>High Pupil Management</v>
      </c>
      <c r="W1752" t="str">
        <f t="shared" si="153"/>
        <v>Pupil Management</v>
      </c>
    </row>
    <row r="1753" spans="1:23" x14ac:dyDescent="0.25">
      <c r="A1753">
        <v>24105</v>
      </c>
      <c r="B1753" t="s">
        <v>1363</v>
      </c>
      <c r="C1753">
        <v>0.45</v>
      </c>
      <c r="D1753" t="s">
        <v>1264</v>
      </c>
      <c r="E1753">
        <v>100181</v>
      </c>
      <c r="F1753">
        <v>24105</v>
      </c>
      <c r="G1753" t="str">
        <f t="shared" si="151"/>
        <v>24105</v>
      </c>
      <c r="H1753" t="s">
        <v>464</v>
      </c>
      <c r="I1753" t="s">
        <v>1265</v>
      </c>
      <c r="J1753" t="s">
        <v>1266</v>
      </c>
      <c r="K1753" t="s">
        <v>1267</v>
      </c>
      <c r="L1753" t="s">
        <v>1363</v>
      </c>
      <c r="M1753" t="s">
        <v>1386</v>
      </c>
      <c r="N1753">
        <v>1</v>
      </c>
      <c r="O1753" t="str">
        <f t="shared" si="154"/>
        <v>25</v>
      </c>
      <c r="Q1753">
        <v>25</v>
      </c>
      <c r="R1753" t="s">
        <v>1269</v>
      </c>
      <c r="S1753">
        <v>0.45</v>
      </c>
      <c r="T1753">
        <v>0.15989999999999999</v>
      </c>
      <c r="U1753">
        <f t="shared" si="155"/>
        <v>0</v>
      </c>
      <c r="V1753" t="str">
        <f t="shared" si="152"/>
        <v>Middle Pupil Management</v>
      </c>
      <c r="W1753" t="str">
        <f t="shared" si="153"/>
        <v>Pupil Management</v>
      </c>
    </row>
    <row r="1754" spans="1:23" x14ac:dyDescent="0.25">
      <c r="A1754">
        <v>24105</v>
      </c>
      <c r="B1754" t="s">
        <v>1295</v>
      </c>
      <c r="C1754">
        <v>0.67600000000000005</v>
      </c>
      <c r="D1754" t="s">
        <v>1264</v>
      </c>
      <c r="E1754">
        <v>100181</v>
      </c>
      <c r="F1754">
        <v>24105</v>
      </c>
      <c r="G1754" t="str">
        <f t="shared" si="151"/>
        <v>24105</v>
      </c>
      <c r="H1754" t="s">
        <v>464</v>
      </c>
      <c r="I1754" t="s">
        <v>1265</v>
      </c>
      <c r="J1754" t="s">
        <v>1271</v>
      </c>
      <c r="K1754" t="s">
        <v>1272</v>
      </c>
      <c r="L1754" t="s">
        <v>1295</v>
      </c>
      <c r="M1754" t="s">
        <v>1296</v>
      </c>
      <c r="N1754">
        <v>1</v>
      </c>
      <c r="O1754" t="str">
        <f t="shared" si="154"/>
        <v>26</v>
      </c>
      <c r="Q1754">
        <v>26</v>
      </c>
      <c r="R1754" t="s">
        <v>1269</v>
      </c>
      <c r="S1754">
        <v>0.67600000000000005</v>
      </c>
      <c r="T1754">
        <v>0.15989999999999999</v>
      </c>
      <c r="U1754">
        <f t="shared" si="155"/>
        <v>0</v>
      </c>
      <c r="V1754" t="str">
        <f t="shared" si="152"/>
        <v>High Health/
Related Services</v>
      </c>
      <c r="W1754" t="str">
        <f t="shared" si="153"/>
        <v>Health/
Related Services</v>
      </c>
    </row>
    <row r="1755" spans="1:23" x14ac:dyDescent="0.25">
      <c r="A1755">
        <v>24105</v>
      </c>
      <c r="B1755" t="s">
        <v>1275</v>
      </c>
      <c r="C1755">
        <v>1</v>
      </c>
      <c r="D1755" t="s">
        <v>1264</v>
      </c>
      <c r="E1755">
        <v>100181</v>
      </c>
      <c r="F1755">
        <v>24105</v>
      </c>
      <c r="G1755" t="str">
        <f t="shared" si="151"/>
        <v>24105</v>
      </c>
      <c r="H1755" t="s">
        <v>464</v>
      </c>
      <c r="I1755" t="s">
        <v>1265</v>
      </c>
      <c r="J1755" t="s">
        <v>1276</v>
      </c>
      <c r="K1755" t="s">
        <v>1277</v>
      </c>
      <c r="L1755" t="s">
        <v>1275</v>
      </c>
      <c r="M1755" t="s">
        <v>1278</v>
      </c>
      <c r="N1755">
        <v>1</v>
      </c>
      <c r="O1755" t="str">
        <f t="shared" si="154"/>
        <v>42</v>
      </c>
      <c r="P1755">
        <v>42</v>
      </c>
      <c r="R1755" t="s">
        <v>1269</v>
      </c>
      <c r="S1755">
        <v>1</v>
      </c>
      <c r="T1755">
        <v>0.15989999999999999</v>
      </c>
      <c r="U1755">
        <f t="shared" si="155"/>
        <v>0</v>
      </c>
      <c r="V1755" t="str">
        <f t="shared" si="152"/>
        <v>Elementary Counselor</v>
      </c>
      <c r="W1755" t="str">
        <f t="shared" si="153"/>
        <v>Counselor</v>
      </c>
    </row>
    <row r="1756" spans="1:23" x14ac:dyDescent="0.25">
      <c r="A1756">
        <v>24105</v>
      </c>
      <c r="B1756" t="s">
        <v>1270</v>
      </c>
      <c r="C1756">
        <v>2</v>
      </c>
      <c r="D1756" t="s">
        <v>1264</v>
      </c>
      <c r="E1756">
        <v>100181</v>
      </c>
      <c r="F1756">
        <v>24105</v>
      </c>
      <c r="G1756" t="str">
        <f t="shared" si="151"/>
        <v>24105</v>
      </c>
      <c r="H1756" t="s">
        <v>464</v>
      </c>
      <c r="I1756" t="s">
        <v>1265</v>
      </c>
      <c r="J1756" t="s">
        <v>1271</v>
      </c>
      <c r="K1756" t="s">
        <v>1272</v>
      </c>
      <c r="L1756" t="s">
        <v>1270</v>
      </c>
      <c r="M1756" t="s">
        <v>1273</v>
      </c>
      <c r="N1756">
        <v>1</v>
      </c>
      <c r="O1756" t="str">
        <f t="shared" si="154"/>
        <v>42</v>
      </c>
      <c r="P1756">
        <v>42</v>
      </c>
      <c r="R1756" t="s">
        <v>1269</v>
      </c>
      <c r="S1756">
        <v>2</v>
      </c>
      <c r="T1756">
        <v>0.15989999999999999</v>
      </c>
      <c r="U1756">
        <f t="shared" si="155"/>
        <v>0</v>
      </c>
      <c r="V1756" t="str">
        <f t="shared" si="152"/>
        <v>High Counselor</v>
      </c>
      <c r="W1756" t="str">
        <f t="shared" si="153"/>
        <v>Counselor</v>
      </c>
    </row>
    <row r="1757" spans="1:23" x14ac:dyDescent="0.25">
      <c r="A1757">
        <v>24105</v>
      </c>
      <c r="B1757" t="s">
        <v>1263</v>
      </c>
      <c r="C1757">
        <v>0.5</v>
      </c>
      <c r="D1757" t="s">
        <v>1264</v>
      </c>
      <c r="E1757">
        <v>100181</v>
      </c>
      <c r="F1757">
        <v>24105</v>
      </c>
      <c r="G1757" t="str">
        <f t="shared" si="151"/>
        <v>24105</v>
      </c>
      <c r="H1757" t="s">
        <v>464</v>
      </c>
      <c r="I1757" t="s">
        <v>1265</v>
      </c>
      <c r="J1757" t="s">
        <v>1266</v>
      </c>
      <c r="K1757" t="s">
        <v>1267</v>
      </c>
      <c r="L1757" t="s">
        <v>1263</v>
      </c>
      <c r="M1757" t="s">
        <v>1268</v>
      </c>
      <c r="N1757">
        <v>1</v>
      </c>
      <c r="O1757" t="str">
        <f t="shared" si="154"/>
        <v>42</v>
      </c>
      <c r="P1757">
        <v>42</v>
      </c>
      <c r="R1757" t="s">
        <v>1269</v>
      </c>
      <c r="S1757">
        <v>0.5</v>
      </c>
      <c r="T1757">
        <v>0.15989999999999999</v>
      </c>
      <c r="U1757">
        <f t="shared" si="155"/>
        <v>0</v>
      </c>
      <c r="V1757" t="str">
        <f t="shared" si="152"/>
        <v>Middle Counselor</v>
      </c>
      <c r="W1757" t="str">
        <f t="shared" si="153"/>
        <v>Counselor</v>
      </c>
    </row>
    <row r="1758" spans="1:23" x14ac:dyDescent="0.25">
      <c r="A1758">
        <v>24105</v>
      </c>
      <c r="B1758" t="s">
        <v>1298</v>
      </c>
      <c r="C1758">
        <v>0.5</v>
      </c>
      <c r="D1758" t="s">
        <v>1264</v>
      </c>
      <c r="E1758">
        <v>100181</v>
      </c>
      <c r="F1758">
        <v>24105</v>
      </c>
      <c r="G1758" t="str">
        <f t="shared" si="151"/>
        <v>24105</v>
      </c>
      <c r="H1758" t="s">
        <v>464</v>
      </c>
      <c r="I1758" t="s">
        <v>1265</v>
      </c>
      <c r="J1758" t="s">
        <v>1276</v>
      </c>
      <c r="K1758" t="s">
        <v>1277</v>
      </c>
      <c r="L1758" t="s">
        <v>1298</v>
      </c>
      <c r="M1758" t="s">
        <v>1349</v>
      </c>
      <c r="N1758">
        <v>21</v>
      </c>
      <c r="O1758" t="str">
        <f t="shared" si="154"/>
        <v>46</v>
      </c>
      <c r="P1758">
        <v>46</v>
      </c>
      <c r="R1758" t="s">
        <v>1269</v>
      </c>
      <c r="S1758">
        <v>0.5</v>
      </c>
      <c r="T1758">
        <v>0.15989999999999999</v>
      </c>
      <c r="U1758">
        <f t="shared" si="155"/>
        <v>0.08</v>
      </c>
      <c r="V1758" t="str">
        <f t="shared" si="152"/>
        <v>Elementary Psychologist</v>
      </c>
      <c r="W1758" t="str">
        <f t="shared" si="153"/>
        <v>Psychologist</v>
      </c>
    </row>
    <row r="1759" spans="1:23" x14ac:dyDescent="0.25">
      <c r="A1759">
        <v>24105</v>
      </c>
      <c r="B1759" t="s">
        <v>1309</v>
      </c>
      <c r="C1759">
        <v>0.25</v>
      </c>
      <c r="D1759" t="s">
        <v>1264</v>
      </c>
      <c r="E1759">
        <v>100181</v>
      </c>
      <c r="F1759">
        <v>24105</v>
      </c>
      <c r="G1759" t="str">
        <f t="shared" si="151"/>
        <v>24105</v>
      </c>
      <c r="H1759" t="s">
        <v>464</v>
      </c>
      <c r="I1759" t="s">
        <v>1265</v>
      </c>
      <c r="J1759" t="s">
        <v>1271</v>
      </c>
      <c r="K1759" t="s">
        <v>1272</v>
      </c>
      <c r="L1759" t="s">
        <v>1309</v>
      </c>
      <c r="M1759" t="s">
        <v>1310</v>
      </c>
      <c r="N1759">
        <v>21</v>
      </c>
      <c r="O1759" t="str">
        <f t="shared" si="154"/>
        <v>46</v>
      </c>
      <c r="P1759">
        <v>46</v>
      </c>
      <c r="R1759" t="s">
        <v>1269</v>
      </c>
      <c r="S1759">
        <v>0.25</v>
      </c>
      <c r="T1759">
        <v>0.15989999999999999</v>
      </c>
      <c r="U1759">
        <f t="shared" si="155"/>
        <v>0.04</v>
      </c>
      <c r="V1759" t="str">
        <f t="shared" si="152"/>
        <v>High Psychologist</v>
      </c>
      <c r="W1759" t="str">
        <f t="shared" si="153"/>
        <v>Psychologist</v>
      </c>
    </row>
    <row r="1760" spans="1:23" x14ac:dyDescent="0.25">
      <c r="A1760">
        <v>24105</v>
      </c>
      <c r="B1760" t="s">
        <v>1345</v>
      </c>
      <c r="C1760">
        <v>0.25</v>
      </c>
      <c r="D1760" t="s">
        <v>1264</v>
      </c>
      <c r="E1760">
        <v>100181</v>
      </c>
      <c r="F1760">
        <v>24105</v>
      </c>
      <c r="G1760" t="str">
        <f t="shared" si="151"/>
        <v>24105</v>
      </c>
      <c r="H1760" t="s">
        <v>464</v>
      </c>
      <c r="I1760" t="s">
        <v>1265</v>
      </c>
      <c r="J1760" t="s">
        <v>1266</v>
      </c>
      <c r="K1760" t="s">
        <v>1267</v>
      </c>
      <c r="L1760" t="s">
        <v>1345</v>
      </c>
      <c r="M1760" t="s">
        <v>1346</v>
      </c>
      <c r="N1760">
        <v>21</v>
      </c>
      <c r="O1760" t="str">
        <f t="shared" si="154"/>
        <v>46</v>
      </c>
      <c r="P1760">
        <v>46</v>
      </c>
      <c r="R1760" t="s">
        <v>1269</v>
      </c>
      <c r="S1760">
        <v>0.25</v>
      </c>
      <c r="T1760">
        <v>0.15989999999999999</v>
      </c>
      <c r="U1760">
        <f t="shared" si="155"/>
        <v>0.04</v>
      </c>
      <c r="V1760" t="str">
        <f t="shared" si="152"/>
        <v>Middle Psychologist</v>
      </c>
      <c r="W1760" t="str">
        <f t="shared" si="153"/>
        <v>Psychologist</v>
      </c>
    </row>
    <row r="1761" spans="1:23" x14ac:dyDescent="0.25">
      <c r="A1761">
        <v>24111</v>
      </c>
      <c r="B1761" t="s">
        <v>1311</v>
      </c>
      <c r="C1761">
        <v>0.54800000000000004</v>
      </c>
      <c r="D1761" t="s">
        <v>1264</v>
      </c>
      <c r="E1761">
        <v>100027</v>
      </c>
      <c r="F1761">
        <v>24111</v>
      </c>
      <c r="G1761" t="str">
        <f t="shared" si="151"/>
        <v>24111</v>
      </c>
      <c r="H1761" t="s">
        <v>465</v>
      </c>
      <c r="I1761" t="s">
        <v>1265</v>
      </c>
      <c r="J1761" t="s">
        <v>1276</v>
      </c>
      <c r="K1761" t="s">
        <v>1277</v>
      </c>
      <c r="L1761" t="s">
        <v>1311</v>
      </c>
      <c r="M1761" t="s">
        <v>1327</v>
      </c>
      <c r="N1761">
        <v>21</v>
      </c>
      <c r="O1761" t="str">
        <f t="shared" si="154"/>
        <v>26</v>
      </c>
      <c r="Q1761">
        <v>26</v>
      </c>
      <c r="R1761" t="s">
        <v>1269</v>
      </c>
      <c r="S1761">
        <v>0.54800000000000004</v>
      </c>
      <c r="T1761">
        <v>0.21379999999999999</v>
      </c>
      <c r="U1761">
        <f t="shared" si="155"/>
        <v>0.11700000000000001</v>
      </c>
      <c r="V1761" t="str">
        <f t="shared" si="152"/>
        <v>Elementary Health/
Related Services</v>
      </c>
      <c r="W1761" t="str">
        <f t="shared" si="153"/>
        <v>Health/
Related Services</v>
      </c>
    </row>
    <row r="1762" spans="1:23" x14ac:dyDescent="0.25">
      <c r="A1762">
        <v>24111</v>
      </c>
      <c r="B1762" t="s">
        <v>1315</v>
      </c>
      <c r="C1762">
        <v>0.83799999999999997</v>
      </c>
      <c r="D1762" t="s">
        <v>1264</v>
      </c>
      <c r="E1762">
        <v>100027</v>
      </c>
      <c r="F1762">
        <v>24111</v>
      </c>
      <c r="G1762" t="str">
        <f t="shared" si="151"/>
        <v>24111</v>
      </c>
      <c r="H1762" t="s">
        <v>465</v>
      </c>
      <c r="I1762" t="s">
        <v>1265</v>
      </c>
      <c r="J1762" t="s">
        <v>1276</v>
      </c>
      <c r="K1762" t="s">
        <v>1277</v>
      </c>
      <c r="L1762" t="s">
        <v>1315</v>
      </c>
      <c r="M1762" t="s">
        <v>1375</v>
      </c>
      <c r="N1762">
        <v>1</v>
      </c>
      <c r="O1762" t="str">
        <f t="shared" si="154"/>
        <v>26</v>
      </c>
      <c r="Q1762">
        <v>26</v>
      </c>
      <c r="R1762" t="s">
        <v>1269</v>
      </c>
      <c r="S1762">
        <v>0.83799999999999997</v>
      </c>
      <c r="T1762">
        <v>0.21379999999999999</v>
      </c>
      <c r="U1762">
        <f t="shared" si="155"/>
        <v>0</v>
      </c>
      <c r="V1762" t="str">
        <f t="shared" si="152"/>
        <v>Elementary Health/
Related Services</v>
      </c>
      <c r="W1762" t="str">
        <f t="shared" si="153"/>
        <v>Health/
Related Services</v>
      </c>
    </row>
    <row r="1763" spans="1:23" x14ac:dyDescent="0.25">
      <c r="A1763">
        <v>24111</v>
      </c>
      <c r="B1763" t="s">
        <v>1324</v>
      </c>
      <c r="C1763">
        <v>6.9000000000000006E-2</v>
      </c>
      <c r="D1763" t="s">
        <v>1264</v>
      </c>
      <c r="E1763">
        <v>100027</v>
      </c>
      <c r="F1763">
        <v>24111</v>
      </c>
      <c r="G1763" t="str">
        <f t="shared" si="151"/>
        <v>24111</v>
      </c>
      <c r="H1763" t="s">
        <v>465</v>
      </c>
      <c r="I1763" t="s">
        <v>1265</v>
      </c>
      <c r="J1763" t="s">
        <v>1271</v>
      </c>
      <c r="K1763" t="s">
        <v>1272</v>
      </c>
      <c r="L1763" t="s">
        <v>1324</v>
      </c>
      <c r="M1763" t="s">
        <v>1325</v>
      </c>
      <c r="N1763">
        <v>21</v>
      </c>
      <c r="O1763" t="str">
        <f t="shared" si="154"/>
        <v>26</v>
      </c>
      <c r="Q1763">
        <v>26</v>
      </c>
      <c r="R1763" t="s">
        <v>1269</v>
      </c>
      <c r="S1763">
        <v>6.9000000000000006E-2</v>
      </c>
      <c r="T1763">
        <v>0.21379999999999999</v>
      </c>
      <c r="U1763">
        <f t="shared" si="155"/>
        <v>1.4999999999999999E-2</v>
      </c>
      <c r="V1763" t="str">
        <f t="shared" si="152"/>
        <v>High Health/
Related Services</v>
      </c>
      <c r="W1763" t="str">
        <f t="shared" si="153"/>
        <v>Health/
Related Services</v>
      </c>
    </row>
    <row r="1764" spans="1:23" x14ac:dyDescent="0.25">
      <c r="A1764">
        <v>24111</v>
      </c>
      <c r="B1764" t="s">
        <v>1295</v>
      </c>
      <c r="C1764">
        <v>5.8999999999999997E-2</v>
      </c>
      <c r="D1764" t="s">
        <v>1264</v>
      </c>
      <c r="E1764">
        <v>100027</v>
      </c>
      <c r="F1764">
        <v>24111</v>
      </c>
      <c r="G1764" t="str">
        <f t="shared" si="151"/>
        <v>24111</v>
      </c>
      <c r="H1764" t="s">
        <v>465</v>
      </c>
      <c r="I1764" t="s">
        <v>1265</v>
      </c>
      <c r="J1764" t="s">
        <v>1271</v>
      </c>
      <c r="K1764" t="s">
        <v>1272</v>
      </c>
      <c r="L1764" t="s">
        <v>1295</v>
      </c>
      <c r="M1764" t="s">
        <v>1296</v>
      </c>
      <c r="N1764">
        <v>1</v>
      </c>
      <c r="O1764" t="str">
        <f t="shared" si="154"/>
        <v>26</v>
      </c>
      <c r="Q1764">
        <v>26</v>
      </c>
      <c r="R1764" t="s">
        <v>1269</v>
      </c>
      <c r="S1764">
        <v>5.8999999999999997E-2</v>
      </c>
      <c r="T1764">
        <v>0.21379999999999999</v>
      </c>
      <c r="U1764">
        <f t="shared" si="155"/>
        <v>0</v>
      </c>
      <c r="V1764" t="str">
        <f t="shared" si="152"/>
        <v>High Health/
Related Services</v>
      </c>
      <c r="W1764" t="str">
        <f t="shared" si="153"/>
        <v>Health/
Related Services</v>
      </c>
    </row>
    <row r="1765" spans="1:23" x14ac:dyDescent="0.25">
      <c r="A1765">
        <v>24111</v>
      </c>
      <c r="B1765" t="s">
        <v>1322</v>
      </c>
      <c r="C1765">
        <v>6.9000000000000006E-2</v>
      </c>
      <c r="D1765" t="s">
        <v>1264</v>
      </c>
      <c r="E1765">
        <v>100027</v>
      </c>
      <c r="F1765">
        <v>24111</v>
      </c>
      <c r="G1765" t="str">
        <f t="shared" si="151"/>
        <v>24111</v>
      </c>
      <c r="H1765" t="s">
        <v>465</v>
      </c>
      <c r="I1765" t="s">
        <v>1265</v>
      </c>
      <c r="J1765" t="s">
        <v>1266</v>
      </c>
      <c r="K1765" t="s">
        <v>1267</v>
      </c>
      <c r="L1765" t="s">
        <v>1322</v>
      </c>
      <c r="M1765" t="s">
        <v>1323</v>
      </c>
      <c r="N1765">
        <v>21</v>
      </c>
      <c r="O1765" t="str">
        <f t="shared" si="154"/>
        <v>26</v>
      </c>
      <c r="Q1765">
        <v>26</v>
      </c>
      <c r="R1765" t="s">
        <v>1269</v>
      </c>
      <c r="S1765">
        <v>6.9000000000000006E-2</v>
      </c>
      <c r="T1765">
        <v>0.21379999999999999</v>
      </c>
      <c r="U1765">
        <f t="shared" si="155"/>
        <v>1.4999999999999999E-2</v>
      </c>
      <c r="V1765" t="str">
        <f t="shared" si="152"/>
        <v>Middle Health/
Related Services</v>
      </c>
      <c r="W1765" t="str">
        <f t="shared" si="153"/>
        <v>Health/
Related Services</v>
      </c>
    </row>
    <row r="1766" spans="1:23" x14ac:dyDescent="0.25">
      <c r="A1766">
        <v>24111</v>
      </c>
      <c r="B1766" t="s">
        <v>1291</v>
      </c>
      <c r="C1766">
        <v>0.14599999999999999</v>
      </c>
      <c r="D1766" t="s">
        <v>1264</v>
      </c>
      <c r="E1766">
        <v>100027</v>
      </c>
      <c r="F1766">
        <v>24111</v>
      </c>
      <c r="G1766" t="str">
        <f t="shared" si="151"/>
        <v>24111</v>
      </c>
      <c r="H1766" t="s">
        <v>465</v>
      </c>
      <c r="I1766" t="s">
        <v>1265</v>
      </c>
      <c r="J1766" t="s">
        <v>1266</v>
      </c>
      <c r="K1766" t="s">
        <v>1267</v>
      </c>
      <c r="L1766" t="s">
        <v>1291</v>
      </c>
      <c r="M1766" t="s">
        <v>1292</v>
      </c>
      <c r="N1766">
        <v>1</v>
      </c>
      <c r="O1766" t="str">
        <f t="shared" si="154"/>
        <v>26</v>
      </c>
      <c r="Q1766">
        <v>26</v>
      </c>
      <c r="R1766" t="s">
        <v>1269</v>
      </c>
      <c r="S1766">
        <v>0.14599999999999999</v>
      </c>
      <c r="T1766">
        <v>0.21379999999999999</v>
      </c>
      <c r="U1766">
        <f t="shared" si="155"/>
        <v>0</v>
      </c>
      <c r="V1766" t="str">
        <f t="shared" si="152"/>
        <v>Middle Health/
Related Services</v>
      </c>
      <c r="W1766" t="str">
        <f t="shared" si="153"/>
        <v>Health/
Related Services</v>
      </c>
    </row>
    <row r="1767" spans="1:23" x14ac:dyDescent="0.25">
      <c r="A1767">
        <v>24111</v>
      </c>
      <c r="B1767" t="s">
        <v>1275</v>
      </c>
      <c r="C1767">
        <v>1</v>
      </c>
      <c r="D1767" t="s">
        <v>1264</v>
      </c>
      <c r="E1767">
        <v>100027</v>
      </c>
      <c r="F1767">
        <v>24111</v>
      </c>
      <c r="G1767" t="str">
        <f t="shared" si="151"/>
        <v>24111</v>
      </c>
      <c r="H1767" t="s">
        <v>465</v>
      </c>
      <c r="I1767" t="s">
        <v>1265</v>
      </c>
      <c r="J1767" t="s">
        <v>1276</v>
      </c>
      <c r="K1767" t="s">
        <v>1277</v>
      </c>
      <c r="L1767" t="s">
        <v>1275</v>
      </c>
      <c r="M1767" t="s">
        <v>1278</v>
      </c>
      <c r="N1767">
        <v>1</v>
      </c>
      <c r="O1767" t="str">
        <f t="shared" si="154"/>
        <v>42</v>
      </c>
      <c r="P1767">
        <v>42</v>
      </c>
      <c r="R1767" t="s">
        <v>1269</v>
      </c>
      <c r="S1767">
        <v>1</v>
      </c>
      <c r="T1767">
        <v>0.21379999999999999</v>
      </c>
      <c r="U1767">
        <f t="shared" si="155"/>
        <v>0</v>
      </c>
      <c r="V1767" t="str">
        <f t="shared" si="152"/>
        <v>Elementary Counselor</v>
      </c>
      <c r="W1767" t="str">
        <f t="shared" si="153"/>
        <v>Counselor</v>
      </c>
    </row>
    <row r="1768" spans="1:23" x14ac:dyDescent="0.25">
      <c r="A1768">
        <v>24111</v>
      </c>
      <c r="B1768" t="s">
        <v>1270</v>
      </c>
      <c r="C1768">
        <v>1</v>
      </c>
      <c r="D1768" t="s">
        <v>1264</v>
      </c>
      <c r="E1768">
        <v>100027</v>
      </c>
      <c r="F1768">
        <v>24111</v>
      </c>
      <c r="G1768" t="str">
        <f t="shared" si="151"/>
        <v>24111</v>
      </c>
      <c r="H1768" t="s">
        <v>465</v>
      </c>
      <c r="I1768" t="s">
        <v>1265</v>
      </c>
      <c r="J1768" t="s">
        <v>1271</v>
      </c>
      <c r="K1768" t="s">
        <v>1272</v>
      </c>
      <c r="L1768" t="s">
        <v>1270</v>
      </c>
      <c r="M1768" t="s">
        <v>1273</v>
      </c>
      <c r="N1768">
        <v>1</v>
      </c>
      <c r="O1768" t="str">
        <f t="shared" si="154"/>
        <v>42</v>
      </c>
      <c r="P1768">
        <v>42</v>
      </c>
      <c r="R1768" t="s">
        <v>1269</v>
      </c>
      <c r="S1768">
        <v>1</v>
      </c>
      <c r="T1768">
        <v>0.21379999999999999</v>
      </c>
      <c r="U1768">
        <f t="shared" si="155"/>
        <v>0</v>
      </c>
      <c r="V1768" t="str">
        <f t="shared" si="152"/>
        <v>High Counselor</v>
      </c>
      <c r="W1768" t="str">
        <f t="shared" si="153"/>
        <v>Counselor</v>
      </c>
    </row>
    <row r="1769" spans="1:23" x14ac:dyDescent="0.25">
      <c r="A1769">
        <v>24111</v>
      </c>
      <c r="B1769" t="s">
        <v>1263</v>
      </c>
      <c r="C1769">
        <v>0.75</v>
      </c>
      <c r="D1769" t="s">
        <v>1264</v>
      </c>
      <c r="E1769">
        <v>100027</v>
      </c>
      <c r="F1769">
        <v>24111</v>
      </c>
      <c r="G1769" t="str">
        <f t="shared" si="151"/>
        <v>24111</v>
      </c>
      <c r="H1769" t="s">
        <v>465</v>
      </c>
      <c r="I1769" t="s">
        <v>1265</v>
      </c>
      <c r="J1769" t="s">
        <v>1266</v>
      </c>
      <c r="K1769" t="s">
        <v>1267</v>
      </c>
      <c r="L1769" t="s">
        <v>1263</v>
      </c>
      <c r="M1769" t="s">
        <v>1268</v>
      </c>
      <c r="N1769">
        <v>1</v>
      </c>
      <c r="O1769" t="str">
        <f t="shared" si="154"/>
        <v>42</v>
      </c>
      <c r="P1769">
        <v>42</v>
      </c>
      <c r="R1769" t="s">
        <v>1269</v>
      </c>
      <c r="S1769">
        <v>0.75</v>
      </c>
      <c r="T1769">
        <v>0.21379999999999999</v>
      </c>
      <c r="U1769">
        <f t="shared" si="155"/>
        <v>0</v>
      </c>
      <c r="V1769" t="str">
        <f t="shared" si="152"/>
        <v>Middle Counselor</v>
      </c>
      <c r="W1769" t="str">
        <f t="shared" si="153"/>
        <v>Counselor</v>
      </c>
    </row>
    <row r="1770" spans="1:23" x14ac:dyDescent="0.25">
      <c r="A1770">
        <v>24111</v>
      </c>
      <c r="B1770" t="s">
        <v>1359</v>
      </c>
      <c r="C1770">
        <v>0.16</v>
      </c>
      <c r="D1770" t="s">
        <v>1264</v>
      </c>
      <c r="E1770">
        <v>100027</v>
      </c>
      <c r="F1770">
        <v>24111</v>
      </c>
      <c r="G1770" t="str">
        <f t="shared" si="151"/>
        <v>24111</v>
      </c>
      <c r="H1770" t="s">
        <v>465</v>
      </c>
      <c r="I1770" t="s">
        <v>1265</v>
      </c>
      <c r="J1770" t="s">
        <v>1271</v>
      </c>
      <c r="K1770" t="s">
        <v>1272</v>
      </c>
      <c r="L1770" t="s">
        <v>1359</v>
      </c>
      <c r="M1770" t="s">
        <v>1360</v>
      </c>
      <c r="N1770">
        <v>1</v>
      </c>
      <c r="O1770" t="str">
        <f t="shared" si="154"/>
        <v>44</v>
      </c>
      <c r="P1770">
        <v>44</v>
      </c>
      <c r="R1770" t="s">
        <v>1269</v>
      </c>
      <c r="S1770">
        <v>0.16</v>
      </c>
      <c r="T1770">
        <v>0.21379999999999999</v>
      </c>
      <c r="U1770">
        <f t="shared" si="155"/>
        <v>0</v>
      </c>
      <c r="V1770" t="str">
        <f t="shared" si="152"/>
        <v>High Social Worker</v>
      </c>
      <c r="W1770" t="str">
        <f t="shared" si="153"/>
        <v>Social Worker</v>
      </c>
    </row>
    <row r="1771" spans="1:23" x14ac:dyDescent="0.25">
      <c r="A1771">
        <v>24111</v>
      </c>
      <c r="B1771" t="s">
        <v>1298</v>
      </c>
      <c r="C1771">
        <v>0.55000000000000004</v>
      </c>
      <c r="D1771" t="s">
        <v>1264</v>
      </c>
      <c r="E1771">
        <v>100027</v>
      </c>
      <c r="F1771">
        <v>24111</v>
      </c>
      <c r="G1771" t="str">
        <f t="shared" si="151"/>
        <v>24111</v>
      </c>
      <c r="H1771" t="s">
        <v>465</v>
      </c>
      <c r="I1771" t="s">
        <v>1265</v>
      </c>
      <c r="J1771" t="s">
        <v>1276</v>
      </c>
      <c r="K1771" t="s">
        <v>1277</v>
      </c>
      <c r="L1771" t="s">
        <v>1298</v>
      </c>
      <c r="M1771" t="s">
        <v>1349</v>
      </c>
      <c r="N1771">
        <v>21</v>
      </c>
      <c r="O1771" t="str">
        <f t="shared" si="154"/>
        <v>46</v>
      </c>
      <c r="P1771">
        <v>46</v>
      </c>
      <c r="R1771" t="s">
        <v>1269</v>
      </c>
      <c r="S1771">
        <v>0.55000000000000004</v>
      </c>
      <c r="T1771">
        <v>0.21379999999999999</v>
      </c>
      <c r="U1771">
        <f t="shared" si="155"/>
        <v>0.11799999999999999</v>
      </c>
      <c r="V1771" t="str">
        <f t="shared" si="152"/>
        <v>Elementary Psychologist</v>
      </c>
      <c r="W1771" t="str">
        <f t="shared" si="153"/>
        <v>Psychologist</v>
      </c>
    </row>
    <row r="1772" spans="1:23" x14ac:dyDescent="0.25">
      <c r="A1772">
        <v>24111</v>
      </c>
      <c r="B1772" t="s">
        <v>1309</v>
      </c>
      <c r="C1772">
        <v>0.3</v>
      </c>
      <c r="D1772" t="s">
        <v>1264</v>
      </c>
      <c r="E1772">
        <v>100027</v>
      </c>
      <c r="F1772">
        <v>24111</v>
      </c>
      <c r="G1772" t="str">
        <f t="shared" si="151"/>
        <v>24111</v>
      </c>
      <c r="H1772" t="s">
        <v>465</v>
      </c>
      <c r="I1772" t="s">
        <v>1265</v>
      </c>
      <c r="J1772" t="s">
        <v>1271</v>
      </c>
      <c r="K1772" t="s">
        <v>1272</v>
      </c>
      <c r="L1772" t="s">
        <v>1309</v>
      </c>
      <c r="M1772" t="s">
        <v>1310</v>
      </c>
      <c r="N1772">
        <v>21</v>
      </c>
      <c r="O1772" t="str">
        <f t="shared" si="154"/>
        <v>46</v>
      </c>
      <c r="P1772">
        <v>46</v>
      </c>
      <c r="R1772" t="s">
        <v>1269</v>
      </c>
      <c r="S1772">
        <v>0.3</v>
      </c>
      <c r="T1772">
        <v>0.21379999999999999</v>
      </c>
      <c r="U1772">
        <f t="shared" si="155"/>
        <v>6.4000000000000001E-2</v>
      </c>
      <c r="V1772" t="str">
        <f t="shared" si="152"/>
        <v>High Psychologist</v>
      </c>
      <c r="W1772" t="str">
        <f t="shared" si="153"/>
        <v>Psychologist</v>
      </c>
    </row>
    <row r="1773" spans="1:23" x14ac:dyDescent="0.25">
      <c r="A1773">
        <v>24111</v>
      </c>
      <c r="B1773" t="s">
        <v>1345</v>
      </c>
      <c r="C1773">
        <v>0.15</v>
      </c>
      <c r="D1773" t="s">
        <v>1264</v>
      </c>
      <c r="E1773">
        <v>100027</v>
      </c>
      <c r="F1773">
        <v>24111</v>
      </c>
      <c r="G1773" t="str">
        <f t="shared" si="151"/>
        <v>24111</v>
      </c>
      <c r="H1773" t="s">
        <v>465</v>
      </c>
      <c r="I1773" t="s">
        <v>1265</v>
      </c>
      <c r="J1773" t="s">
        <v>1266</v>
      </c>
      <c r="K1773" t="s">
        <v>1267</v>
      </c>
      <c r="L1773" t="s">
        <v>1345</v>
      </c>
      <c r="M1773" t="s">
        <v>1346</v>
      </c>
      <c r="N1773">
        <v>21</v>
      </c>
      <c r="O1773" t="str">
        <f t="shared" si="154"/>
        <v>46</v>
      </c>
      <c r="P1773">
        <v>46</v>
      </c>
      <c r="R1773" t="s">
        <v>1269</v>
      </c>
      <c r="S1773">
        <v>0.15</v>
      </c>
      <c r="T1773">
        <v>0.21379999999999999</v>
      </c>
      <c r="U1773">
        <f t="shared" si="155"/>
        <v>3.2000000000000001E-2</v>
      </c>
      <c r="V1773" t="str">
        <f t="shared" si="152"/>
        <v>Middle Psychologist</v>
      </c>
      <c r="W1773" t="str">
        <f t="shared" si="153"/>
        <v>Psychologist</v>
      </c>
    </row>
    <row r="1774" spans="1:23" x14ac:dyDescent="0.25">
      <c r="A1774">
        <v>24122</v>
      </c>
      <c r="B1774" t="s">
        <v>1270</v>
      </c>
      <c r="C1774">
        <v>0.3</v>
      </c>
      <c r="D1774" t="s">
        <v>1264</v>
      </c>
      <c r="E1774">
        <v>100196</v>
      </c>
      <c r="F1774">
        <v>24122</v>
      </c>
      <c r="G1774" t="str">
        <f t="shared" si="151"/>
        <v>24122</v>
      </c>
      <c r="H1774" t="s">
        <v>466</v>
      </c>
      <c r="I1774" t="s">
        <v>1265</v>
      </c>
      <c r="J1774" t="s">
        <v>1271</v>
      </c>
      <c r="K1774" t="s">
        <v>1272</v>
      </c>
      <c r="L1774" t="s">
        <v>1270</v>
      </c>
      <c r="M1774" t="s">
        <v>1273</v>
      </c>
      <c r="N1774">
        <v>1</v>
      </c>
      <c r="O1774" t="str">
        <f t="shared" si="154"/>
        <v>42</v>
      </c>
      <c r="P1774">
        <v>42</v>
      </c>
      <c r="R1774" t="s">
        <v>1269</v>
      </c>
      <c r="S1774">
        <v>0.3</v>
      </c>
      <c r="T1774">
        <v>0.25440000000000002</v>
      </c>
      <c r="U1774">
        <f t="shared" si="155"/>
        <v>0</v>
      </c>
      <c r="V1774" t="str">
        <f t="shared" si="152"/>
        <v>High Counselor</v>
      </c>
      <c r="W1774" t="str">
        <f t="shared" si="153"/>
        <v>Counselor</v>
      </c>
    </row>
    <row r="1775" spans="1:23" x14ac:dyDescent="0.25">
      <c r="A1775">
        <v>24122</v>
      </c>
      <c r="B1775" t="s">
        <v>1263</v>
      </c>
      <c r="C1775">
        <v>0.15</v>
      </c>
      <c r="D1775" t="s">
        <v>1264</v>
      </c>
      <c r="E1775">
        <v>100196</v>
      </c>
      <c r="F1775">
        <v>24122</v>
      </c>
      <c r="G1775" t="str">
        <f t="shared" si="151"/>
        <v>24122</v>
      </c>
      <c r="H1775" t="s">
        <v>466</v>
      </c>
      <c r="I1775" t="s">
        <v>1265</v>
      </c>
      <c r="J1775" t="s">
        <v>1266</v>
      </c>
      <c r="K1775" t="s">
        <v>1267</v>
      </c>
      <c r="L1775" t="s">
        <v>1263</v>
      </c>
      <c r="M1775" t="s">
        <v>1268</v>
      </c>
      <c r="N1775">
        <v>1</v>
      </c>
      <c r="O1775" t="str">
        <f t="shared" si="154"/>
        <v>42</v>
      </c>
      <c r="P1775">
        <v>42</v>
      </c>
      <c r="R1775" t="s">
        <v>1269</v>
      </c>
      <c r="S1775">
        <v>0.15</v>
      </c>
      <c r="T1775">
        <v>0.25440000000000002</v>
      </c>
      <c r="U1775">
        <f t="shared" si="155"/>
        <v>0</v>
      </c>
      <c r="V1775" t="str">
        <f t="shared" si="152"/>
        <v>Middle Counselor</v>
      </c>
      <c r="W1775" t="str">
        <f t="shared" si="153"/>
        <v>Counselor</v>
      </c>
    </row>
    <row r="1776" spans="1:23" x14ac:dyDescent="0.25">
      <c r="A1776">
        <v>24122</v>
      </c>
      <c r="B1776" t="s">
        <v>1298</v>
      </c>
      <c r="C1776">
        <v>0.45</v>
      </c>
      <c r="D1776" t="s">
        <v>1264</v>
      </c>
      <c r="E1776">
        <v>100196</v>
      </c>
      <c r="F1776">
        <v>24122</v>
      </c>
      <c r="G1776" t="str">
        <f t="shared" si="151"/>
        <v>24122</v>
      </c>
      <c r="H1776" t="s">
        <v>466</v>
      </c>
      <c r="I1776" t="s">
        <v>1265</v>
      </c>
      <c r="J1776" t="s">
        <v>1276</v>
      </c>
      <c r="K1776" t="s">
        <v>1277</v>
      </c>
      <c r="L1776" t="s">
        <v>1298</v>
      </c>
      <c r="M1776" t="s">
        <v>1349</v>
      </c>
      <c r="N1776">
        <v>21</v>
      </c>
      <c r="O1776" t="str">
        <f t="shared" si="154"/>
        <v>46</v>
      </c>
      <c r="P1776">
        <v>46</v>
      </c>
      <c r="R1776" t="s">
        <v>1269</v>
      </c>
      <c r="S1776">
        <v>0.45</v>
      </c>
      <c r="T1776">
        <v>0.25440000000000002</v>
      </c>
      <c r="U1776">
        <f t="shared" si="155"/>
        <v>0.114</v>
      </c>
      <c r="V1776" t="str">
        <f t="shared" si="152"/>
        <v>Elementary Psychologist</v>
      </c>
      <c r="W1776" t="str">
        <f t="shared" si="153"/>
        <v>Psychologist</v>
      </c>
    </row>
    <row r="1777" spans="1:23" x14ac:dyDescent="0.25">
      <c r="A1777">
        <v>24122</v>
      </c>
      <c r="B1777" t="s">
        <v>1309</v>
      </c>
      <c r="C1777">
        <v>0.22500000000000001</v>
      </c>
      <c r="D1777" t="s">
        <v>1264</v>
      </c>
      <c r="E1777">
        <v>100196</v>
      </c>
      <c r="F1777">
        <v>24122</v>
      </c>
      <c r="G1777" t="str">
        <f t="shared" si="151"/>
        <v>24122</v>
      </c>
      <c r="H1777" t="s">
        <v>466</v>
      </c>
      <c r="I1777" t="s">
        <v>1265</v>
      </c>
      <c r="J1777" t="s">
        <v>1271</v>
      </c>
      <c r="K1777" t="s">
        <v>1272</v>
      </c>
      <c r="L1777" t="s">
        <v>1309</v>
      </c>
      <c r="M1777" t="s">
        <v>1310</v>
      </c>
      <c r="N1777">
        <v>21</v>
      </c>
      <c r="O1777" t="str">
        <f t="shared" si="154"/>
        <v>46</v>
      </c>
      <c r="P1777">
        <v>46</v>
      </c>
      <c r="R1777" t="s">
        <v>1269</v>
      </c>
      <c r="S1777">
        <v>0.22500000000000001</v>
      </c>
      <c r="T1777">
        <v>0.25440000000000002</v>
      </c>
      <c r="U1777">
        <f t="shared" si="155"/>
        <v>5.7000000000000002E-2</v>
      </c>
      <c r="V1777" t="str">
        <f t="shared" si="152"/>
        <v>High Psychologist</v>
      </c>
      <c r="W1777" t="str">
        <f t="shared" si="153"/>
        <v>Psychologist</v>
      </c>
    </row>
    <row r="1778" spans="1:23" x14ac:dyDescent="0.25">
      <c r="A1778">
        <v>24122</v>
      </c>
      <c r="B1778" t="s">
        <v>1345</v>
      </c>
      <c r="C1778">
        <v>0.22500000000000001</v>
      </c>
      <c r="D1778" t="s">
        <v>1264</v>
      </c>
      <c r="E1778">
        <v>100196</v>
      </c>
      <c r="F1778">
        <v>24122</v>
      </c>
      <c r="G1778" t="str">
        <f t="shared" si="151"/>
        <v>24122</v>
      </c>
      <c r="H1778" t="s">
        <v>466</v>
      </c>
      <c r="I1778" t="s">
        <v>1265</v>
      </c>
      <c r="J1778" t="s">
        <v>1266</v>
      </c>
      <c r="K1778" t="s">
        <v>1267</v>
      </c>
      <c r="L1778" t="s">
        <v>1345</v>
      </c>
      <c r="M1778" t="s">
        <v>1346</v>
      </c>
      <c r="N1778">
        <v>21</v>
      </c>
      <c r="O1778" t="str">
        <f t="shared" si="154"/>
        <v>46</v>
      </c>
      <c r="P1778">
        <v>46</v>
      </c>
      <c r="R1778" t="s">
        <v>1269</v>
      </c>
      <c r="S1778">
        <v>0.22500000000000001</v>
      </c>
      <c r="T1778">
        <v>0.25440000000000002</v>
      </c>
      <c r="U1778">
        <f t="shared" si="155"/>
        <v>5.7000000000000002E-2</v>
      </c>
      <c r="V1778" t="str">
        <f t="shared" si="152"/>
        <v>Middle Psychologist</v>
      </c>
      <c r="W1778" t="str">
        <f t="shared" si="153"/>
        <v>Psychologist</v>
      </c>
    </row>
    <row r="1779" spans="1:23" x14ac:dyDescent="0.25">
      <c r="A1779">
        <v>24122</v>
      </c>
      <c r="B1779" t="s">
        <v>1335</v>
      </c>
      <c r="C1779">
        <v>0.182</v>
      </c>
      <c r="D1779" t="s">
        <v>1264</v>
      </c>
      <c r="E1779">
        <v>100196</v>
      </c>
      <c r="F1779">
        <v>24122</v>
      </c>
      <c r="G1779" t="str">
        <f t="shared" si="151"/>
        <v>24122</v>
      </c>
      <c r="H1779" t="s">
        <v>466</v>
      </c>
      <c r="I1779" t="s">
        <v>1265</v>
      </c>
      <c r="J1779" t="s">
        <v>1276</v>
      </c>
      <c r="K1779" t="s">
        <v>1277</v>
      </c>
      <c r="L1779" t="s">
        <v>1335</v>
      </c>
      <c r="M1779" t="s">
        <v>1344</v>
      </c>
      <c r="N1779">
        <v>1</v>
      </c>
      <c r="O1779" t="str">
        <f t="shared" si="154"/>
        <v>47</v>
      </c>
      <c r="P1779">
        <v>47</v>
      </c>
      <c r="R1779" t="s">
        <v>1269</v>
      </c>
      <c r="S1779">
        <v>0.182</v>
      </c>
      <c r="T1779">
        <v>0.25440000000000002</v>
      </c>
      <c r="U1779">
        <f t="shared" si="155"/>
        <v>0</v>
      </c>
      <c r="V1779" t="str">
        <f t="shared" si="152"/>
        <v>Elementary Nurse</v>
      </c>
      <c r="W1779" t="str">
        <f t="shared" si="153"/>
        <v>Nurse</v>
      </c>
    </row>
    <row r="1780" spans="1:23" x14ac:dyDescent="0.25">
      <c r="A1780">
        <v>24122</v>
      </c>
      <c r="B1780" t="s">
        <v>1341</v>
      </c>
      <c r="C1780">
        <v>0.128</v>
      </c>
      <c r="D1780" t="s">
        <v>1264</v>
      </c>
      <c r="E1780">
        <v>100196</v>
      </c>
      <c r="F1780">
        <v>24122</v>
      </c>
      <c r="G1780" t="str">
        <f t="shared" si="151"/>
        <v>24122</v>
      </c>
      <c r="H1780" t="s">
        <v>466</v>
      </c>
      <c r="I1780" t="s">
        <v>1265</v>
      </c>
      <c r="J1780" t="s">
        <v>1271</v>
      </c>
      <c r="K1780" t="s">
        <v>1272</v>
      </c>
      <c r="L1780" t="s">
        <v>1341</v>
      </c>
      <c r="M1780" t="s">
        <v>1342</v>
      </c>
      <c r="N1780">
        <v>1</v>
      </c>
      <c r="O1780" t="str">
        <f t="shared" si="154"/>
        <v>47</v>
      </c>
      <c r="P1780">
        <v>47</v>
      </c>
      <c r="R1780" t="s">
        <v>1269</v>
      </c>
      <c r="S1780">
        <v>0.128</v>
      </c>
      <c r="T1780">
        <v>0.25440000000000002</v>
      </c>
      <c r="U1780">
        <f t="shared" si="155"/>
        <v>0</v>
      </c>
      <c r="V1780" t="str">
        <f t="shared" si="152"/>
        <v>High Nurse</v>
      </c>
      <c r="W1780" t="str">
        <f t="shared" si="153"/>
        <v>Nurse</v>
      </c>
    </row>
    <row r="1781" spans="1:23" x14ac:dyDescent="0.25">
      <c r="A1781">
        <v>24122</v>
      </c>
      <c r="B1781" t="s">
        <v>1338</v>
      </c>
      <c r="C1781">
        <v>6.4000000000000001E-2</v>
      </c>
      <c r="D1781" t="s">
        <v>1264</v>
      </c>
      <c r="E1781">
        <v>100196</v>
      </c>
      <c r="F1781">
        <v>24122</v>
      </c>
      <c r="G1781" t="str">
        <f t="shared" si="151"/>
        <v>24122</v>
      </c>
      <c r="H1781" t="s">
        <v>466</v>
      </c>
      <c r="I1781" t="s">
        <v>1265</v>
      </c>
      <c r="J1781" t="s">
        <v>1266</v>
      </c>
      <c r="K1781" t="s">
        <v>1267</v>
      </c>
      <c r="L1781" t="s">
        <v>1338</v>
      </c>
      <c r="M1781" t="s">
        <v>1339</v>
      </c>
      <c r="N1781">
        <v>1</v>
      </c>
      <c r="O1781" t="str">
        <f t="shared" si="154"/>
        <v>47</v>
      </c>
      <c r="P1781">
        <v>47</v>
      </c>
      <c r="R1781" t="s">
        <v>1269</v>
      </c>
      <c r="S1781">
        <v>6.4000000000000001E-2</v>
      </c>
      <c r="T1781">
        <v>0.25440000000000002</v>
      </c>
      <c r="U1781">
        <f t="shared" si="155"/>
        <v>0</v>
      </c>
      <c r="V1781" t="str">
        <f t="shared" si="152"/>
        <v>Middle Nurse</v>
      </c>
      <c r="W1781" t="str">
        <f t="shared" si="153"/>
        <v>Nurse</v>
      </c>
    </row>
    <row r="1782" spans="1:23" x14ac:dyDescent="0.25">
      <c r="A1782" t="s">
        <v>170</v>
      </c>
      <c r="B1782" t="s">
        <v>1469</v>
      </c>
      <c r="C1782">
        <v>2.5999999999999999E-2</v>
      </c>
      <c r="F1782" t="s">
        <v>170</v>
      </c>
      <c r="G1782" t="str">
        <f t="shared" si="151"/>
        <v>24122</v>
      </c>
      <c r="H1782" t="s">
        <v>466</v>
      </c>
      <c r="I1782" t="s">
        <v>1265</v>
      </c>
      <c r="J1782" t="s">
        <v>1641</v>
      </c>
      <c r="K1782" t="s">
        <v>1277</v>
      </c>
      <c r="L1782" t="s">
        <v>1469</v>
      </c>
      <c r="M1782" t="s">
        <v>1640</v>
      </c>
      <c r="N1782">
        <v>9</v>
      </c>
      <c r="O1782" t="str">
        <f t="shared" si="154"/>
        <v>47</v>
      </c>
      <c r="P1782">
        <v>47</v>
      </c>
      <c r="Q1782">
        <v>26</v>
      </c>
      <c r="S1782">
        <v>2.5999999999999999E-2</v>
      </c>
      <c r="T1782">
        <v>0.25440000000000002</v>
      </c>
      <c r="U1782">
        <f t="shared" si="155"/>
        <v>0</v>
      </c>
      <c r="V1782" t="str">
        <f t="shared" si="152"/>
        <v>TK Nurse</v>
      </c>
      <c r="W1782" t="str">
        <f t="shared" si="153"/>
        <v>Nurse</v>
      </c>
    </row>
    <row r="1783" spans="1:23" x14ac:dyDescent="0.25">
      <c r="A1783">
        <v>24350</v>
      </c>
      <c r="B1783" t="s">
        <v>1286</v>
      </c>
      <c r="C1783">
        <v>1.2490000000000001</v>
      </c>
      <c r="D1783" t="s">
        <v>1264</v>
      </c>
      <c r="E1783">
        <v>100148</v>
      </c>
      <c r="F1783">
        <v>24350</v>
      </c>
      <c r="G1783" t="str">
        <f t="shared" si="151"/>
        <v>24350</v>
      </c>
      <c r="H1783" t="s">
        <v>467</v>
      </c>
      <c r="I1783" t="s">
        <v>1265</v>
      </c>
      <c r="J1783" t="s">
        <v>1271</v>
      </c>
      <c r="K1783" t="s">
        <v>1272</v>
      </c>
      <c r="L1783" t="s">
        <v>1286</v>
      </c>
      <c r="M1783" t="s">
        <v>1287</v>
      </c>
      <c r="N1783">
        <v>1</v>
      </c>
      <c r="O1783" t="str">
        <f t="shared" si="154"/>
        <v>24</v>
      </c>
      <c r="P1783">
        <v>96</v>
      </c>
      <c r="Q1783">
        <v>24</v>
      </c>
      <c r="R1783" t="s">
        <v>1269</v>
      </c>
      <c r="S1783">
        <v>1.2490000000000001</v>
      </c>
      <c r="T1783">
        <v>0.1913</v>
      </c>
      <c r="U1783">
        <f t="shared" si="155"/>
        <v>0</v>
      </c>
      <c r="V1783" t="str">
        <f t="shared" si="152"/>
        <v>High Family Engagement Coordinator</v>
      </c>
      <c r="W1783" t="str">
        <f t="shared" si="153"/>
        <v>Family Engagement Coordinator</v>
      </c>
    </row>
    <row r="1784" spans="1:23" x14ac:dyDescent="0.25">
      <c r="A1784">
        <v>24350</v>
      </c>
      <c r="B1784" t="s">
        <v>1295</v>
      </c>
      <c r="C1784">
        <v>0.57199999999999995</v>
      </c>
      <c r="D1784" t="s">
        <v>1264</v>
      </c>
      <c r="E1784">
        <v>100148</v>
      </c>
      <c r="F1784">
        <v>24350</v>
      </c>
      <c r="G1784" t="str">
        <f t="shared" si="151"/>
        <v>24350</v>
      </c>
      <c r="H1784" t="s">
        <v>467</v>
      </c>
      <c r="I1784" t="s">
        <v>1265</v>
      </c>
      <c r="J1784" t="s">
        <v>1271</v>
      </c>
      <c r="K1784" t="s">
        <v>1272</v>
      </c>
      <c r="L1784" t="s">
        <v>1295</v>
      </c>
      <c r="M1784" t="s">
        <v>1296</v>
      </c>
      <c r="N1784">
        <v>1</v>
      </c>
      <c r="O1784" t="str">
        <f t="shared" si="154"/>
        <v>26</v>
      </c>
      <c r="Q1784">
        <v>26</v>
      </c>
      <c r="R1784" t="s">
        <v>1269</v>
      </c>
      <c r="S1784">
        <v>0.57199999999999995</v>
      </c>
      <c r="T1784">
        <v>0.1913</v>
      </c>
      <c r="U1784">
        <f t="shared" si="155"/>
        <v>0</v>
      </c>
      <c r="V1784" t="str">
        <f t="shared" si="152"/>
        <v>High Health/
Related Services</v>
      </c>
      <c r="W1784" t="str">
        <f t="shared" si="153"/>
        <v>Health/
Related Services</v>
      </c>
    </row>
    <row r="1785" spans="1:23" x14ac:dyDescent="0.25">
      <c r="A1785">
        <v>24350</v>
      </c>
      <c r="B1785" t="s">
        <v>1275</v>
      </c>
      <c r="C1785">
        <v>0.9</v>
      </c>
      <c r="D1785" t="s">
        <v>1264</v>
      </c>
      <c r="E1785">
        <v>100148</v>
      </c>
      <c r="F1785">
        <v>24350</v>
      </c>
      <c r="G1785" t="str">
        <f t="shared" si="151"/>
        <v>24350</v>
      </c>
      <c r="H1785" t="s">
        <v>467</v>
      </c>
      <c r="I1785" t="s">
        <v>1265</v>
      </c>
      <c r="J1785" t="s">
        <v>1276</v>
      </c>
      <c r="K1785" t="s">
        <v>1277</v>
      </c>
      <c r="L1785" t="s">
        <v>1275</v>
      </c>
      <c r="M1785" t="s">
        <v>1278</v>
      </c>
      <c r="N1785">
        <v>1</v>
      </c>
      <c r="O1785" t="str">
        <f t="shared" si="154"/>
        <v>42</v>
      </c>
      <c r="P1785">
        <v>42</v>
      </c>
      <c r="R1785" t="s">
        <v>1269</v>
      </c>
      <c r="S1785">
        <v>0.9</v>
      </c>
      <c r="T1785">
        <v>0.1913</v>
      </c>
      <c r="U1785">
        <f t="shared" si="155"/>
        <v>0</v>
      </c>
      <c r="V1785" t="str">
        <f t="shared" si="152"/>
        <v>Elementary Counselor</v>
      </c>
      <c r="W1785" t="str">
        <f t="shared" si="153"/>
        <v>Counselor</v>
      </c>
    </row>
    <row r="1786" spans="1:23" x14ac:dyDescent="0.25">
      <c r="A1786">
        <v>24350</v>
      </c>
      <c r="B1786" t="s">
        <v>1270</v>
      </c>
      <c r="C1786">
        <v>0.5</v>
      </c>
      <c r="D1786" t="s">
        <v>1264</v>
      </c>
      <c r="E1786">
        <v>100148</v>
      </c>
      <c r="F1786">
        <v>24350</v>
      </c>
      <c r="G1786" t="str">
        <f t="shared" si="151"/>
        <v>24350</v>
      </c>
      <c r="H1786" t="s">
        <v>467</v>
      </c>
      <c r="I1786" t="s">
        <v>1265</v>
      </c>
      <c r="J1786" t="s">
        <v>1271</v>
      </c>
      <c r="K1786" t="s">
        <v>1272</v>
      </c>
      <c r="L1786" t="s">
        <v>1270</v>
      </c>
      <c r="M1786" t="s">
        <v>1273</v>
      </c>
      <c r="N1786">
        <v>1</v>
      </c>
      <c r="O1786" t="str">
        <f t="shared" si="154"/>
        <v>42</v>
      </c>
      <c r="P1786">
        <v>42</v>
      </c>
      <c r="R1786" t="s">
        <v>1269</v>
      </c>
      <c r="S1786">
        <v>0.5</v>
      </c>
      <c r="T1786">
        <v>0.1913</v>
      </c>
      <c r="U1786">
        <f t="shared" si="155"/>
        <v>0</v>
      </c>
      <c r="V1786" t="str">
        <f t="shared" si="152"/>
        <v>High Counselor</v>
      </c>
      <c r="W1786" t="str">
        <f t="shared" si="153"/>
        <v>Counselor</v>
      </c>
    </row>
    <row r="1787" spans="1:23" x14ac:dyDescent="0.25">
      <c r="A1787">
        <v>24350</v>
      </c>
      <c r="B1787" t="s">
        <v>1263</v>
      </c>
      <c r="C1787">
        <v>0.5</v>
      </c>
      <c r="D1787" t="s">
        <v>1264</v>
      </c>
      <c r="E1787">
        <v>100148</v>
      </c>
      <c r="F1787">
        <v>24350</v>
      </c>
      <c r="G1787" t="str">
        <f t="shared" si="151"/>
        <v>24350</v>
      </c>
      <c r="H1787" t="s">
        <v>467</v>
      </c>
      <c r="I1787" t="s">
        <v>1265</v>
      </c>
      <c r="J1787" t="s">
        <v>1266</v>
      </c>
      <c r="K1787" t="s">
        <v>1267</v>
      </c>
      <c r="L1787" t="s">
        <v>1263</v>
      </c>
      <c r="M1787" t="s">
        <v>1268</v>
      </c>
      <c r="N1787">
        <v>1</v>
      </c>
      <c r="O1787" t="str">
        <f t="shared" si="154"/>
        <v>42</v>
      </c>
      <c r="P1787">
        <v>42</v>
      </c>
      <c r="R1787" t="s">
        <v>1269</v>
      </c>
      <c r="S1787">
        <v>0.5</v>
      </c>
      <c r="T1787">
        <v>0.1913</v>
      </c>
      <c r="U1787">
        <f t="shared" si="155"/>
        <v>0</v>
      </c>
      <c r="V1787" t="str">
        <f t="shared" si="152"/>
        <v>Middle Counselor</v>
      </c>
      <c r="W1787" t="str">
        <f t="shared" si="153"/>
        <v>Counselor</v>
      </c>
    </row>
    <row r="1788" spans="1:23" x14ac:dyDescent="0.25">
      <c r="A1788">
        <v>24404</v>
      </c>
      <c r="B1788" t="s">
        <v>1311</v>
      </c>
      <c r="C1788">
        <v>0.59599999999999997</v>
      </c>
      <c r="D1788" t="s">
        <v>1264</v>
      </c>
      <c r="E1788">
        <v>100268</v>
      </c>
      <c r="F1788">
        <v>24404</v>
      </c>
      <c r="G1788" t="str">
        <f t="shared" si="151"/>
        <v>24404</v>
      </c>
      <c r="H1788" t="s">
        <v>468</v>
      </c>
      <c r="I1788" t="s">
        <v>1265</v>
      </c>
      <c r="J1788" t="s">
        <v>1276</v>
      </c>
      <c r="K1788" t="s">
        <v>1277</v>
      </c>
      <c r="L1788" t="s">
        <v>1311</v>
      </c>
      <c r="M1788" t="s">
        <v>1327</v>
      </c>
      <c r="N1788">
        <v>21</v>
      </c>
      <c r="O1788" t="str">
        <f t="shared" si="154"/>
        <v>26</v>
      </c>
      <c r="Q1788">
        <v>26</v>
      </c>
      <c r="R1788" t="s">
        <v>1269</v>
      </c>
      <c r="S1788">
        <v>0.59599999999999997</v>
      </c>
      <c r="T1788">
        <v>0.155</v>
      </c>
      <c r="U1788">
        <f t="shared" si="155"/>
        <v>9.1999999999999998E-2</v>
      </c>
      <c r="V1788" t="str">
        <f t="shared" si="152"/>
        <v>Elementary Health/
Related Services</v>
      </c>
      <c r="W1788" t="str">
        <f t="shared" si="153"/>
        <v>Health/
Related Services</v>
      </c>
    </row>
    <row r="1789" spans="1:23" x14ac:dyDescent="0.25">
      <c r="A1789">
        <v>24404</v>
      </c>
      <c r="B1789" t="s">
        <v>1315</v>
      </c>
      <c r="C1789">
        <v>0.40899999999999997</v>
      </c>
      <c r="D1789" t="s">
        <v>1264</v>
      </c>
      <c r="E1789">
        <v>100268</v>
      </c>
      <c r="F1789">
        <v>24404</v>
      </c>
      <c r="G1789" t="str">
        <f t="shared" si="151"/>
        <v>24404</v>
      </c>
      <c r="H1789" t="s">
        <v>468</v>
      </c>
      <c r="I1789" t="s">
        <v>1265</v>
      </c>
      <c r="J1789" t="s">
        <v>1276</v>
      </c>
      <c r="K1789" t="s">
        <v>1277</v>
      </c>
      <c r="L1789" t="s">
        <v>1315</v>
      </c>
      <c r="M1789" t="s">
        <v>1375</v>
      </c>
      <c r="N1789">
        <v>1</v>
      </c>
      <c r="O1789" t="str">
        <f t="shared" si="154"/>
        <v>26</v>
      </c>
      <c r="Q1789">
        <v>26</v>
      </c>
      <c r="R1789" t="s">
        <v>1269</v>
      </c>
      <c r="S1789">
        <v>0.40899999999999997</v>
      </c>
      <c r="T1789">
        <v>0.155</v>
      </c>
      <c r="U1789">
        <f t="shared" si="155"/>
        <v>0</v>
      </c>
      <c r="V1789" t="str">
        <f t="shared" si="152"/>
        <v>Elementary Health/
Related Services</v>
      </c>
      <c r="W1789" t="str">
        <f t="shared" si="153"/>
        <v>Health/
Related Services</v>
      </c>
    </row>
    <row r="1790" spans="1:23" x14ac:dyDescent="0.25">
      <c r="A1790">
        <v>24404</v>
      </c>
      <c r="B1790" t="s">
        <v>1324</v>
      </c>
      <c r="C1790">
        <v>0.35799999999999998</v>
      </c>
      <c r="D1790" t="s">
        <v>1264</v>
      </c>
      <c r="E1790">
        <v>100268</v>
      </c>
      <c r="F1790">
        <v>24404</v>
      </c>
      <c r="G1790" t="str">
        <f t="shared" si="151"/>
        <v>24404</v>
      </c>
      <c r="H1790" t="s">
        <v>468</v>
      </c>
      <c r="I1790" t="s">
        <v>1265</v>
      </c>
      <c r="J1790" t="s">
        <v>1271</v>
      </c>
      <c r="K1790" t="s">
        <v>1272</v>
      </c>
      <c r="L1790" t="s">
        <v>1324</v>
      </c>
      <c r="M1790" t="s">
        <v>1325</v>
      </c>
      <c r="N1790">
        <v>21</v>
      </c>
      <c r="O1790" t="str">
        <f t="shared" si="154"/>
        <v>26</v>
      </c>
      <c r="Q1790">
        <v>26</v>
      </c>
      <c r="R1790" t="s">
        <v>1269</v>
      </c>
      <c r="S1790">
        <v>0.35799999999999998</v>
      </c>
      <c r="T1790">
        <v>0.155</v>
      </c>
      <c r="U1790">
        <f t="shared" si="155"/>
        <v>5.5E-2</v>
      </c>
      <c r="V1790" t="str">
        <f t="shared" si="152"/>
        <v>High Health/
Related Services</v>
      </c>
      <c r="W1790" t="str">
        <f t="shared" si="153"/>
        <v>Health/
Related Services</v>
      </c>
    </row>
    <row r="1791" spans="1:23" x14ac:dyDescent="0.25">
      <c r="A1791">
        <v>24404</v>
      </c>
      <c r="B1791" t="s">
        <v>1295</v>
      </c>
      <c r="C1791">
        <v>0.29899999999999999</v>
      </c>
      <c r="D1791" t="s">
        <v>1264</v>
      </c>
      <c r="E1791">
        <v>100268</v>
      </c>
      <c r="F1791">
        <v>24404</v>
      </c>
      <c r="G1791" t="str">
        <f t="shared" si="151"/>
        <v>24404</v>
      </c>
      <c r="H1791" t="s">
        <v>468</v>
      </c>
      <c r="I1791" t="s">
        <v>1265</v>
      </c>
      <c r="J1791" t="s">
        <v>1271</v>
      </c>
      <c r="K1791" t="s">
        <v>1272</v>
      </c>
      <c r="L1791" t="s">
        <v>1295</v>
      </c>
      <c r="M1791" t="s">
        <v>1296</v>
      </c>
      <c r="N1791">
        <v>1</v>
      </c>
      <c r="O1791" t="str">
        <f t="shared" si="154"/>
        <v>26</v>
      </c>
      <c r="Q1791">
        <v>26</v>
      </c>
      <c r="R1791" t="s">
        <v>1269</v>
      </c>
      <c r="S1791">
        <v>0.29899999999999999</v>
      </c>
      <c r="T1791">
        <v>0.155</v>
      </c>
      <c r="U1791">
        <f t="shared" si="155"/>
        <v>0</v>
      </c>
      <c r="V1791" t="str">
        <f t="shared" si="152"/>
        <v>High Health/
Related Services</v>
      </c>
      <c r="W1791" t="str">
        <f t="shared" si="153"/>
        <v>Health/
Related Services</v>
      </c>
    </row>
    <row r="1792" spans="1:23" x14ac:dyDescent="0.25">
      <c r="A1792">
        <v>24404</v>
      </c>
      <c r="B1792" t="s">
        <v>1322</v>
      </c>
      <c r="C1792">
        <v>0.182</v>
      </c>
      <c r="D1792" t="s">
        <v>1264</v>
      </c>
      <c r="E1792">
        <v>100268</v>
      </c>
      <c r="F1792">
        <v>24404</v>
      </c>
      <c r="G1792" t="str">
        <f t="shared" si="151"/>
        <v>24404</v>
      </c>
      <c r="H1792" t="s">
        <v>468</v>
      </c>
      <c r="I1792" t="s">
        <v>1265</v>
      </c>
      <c r="J1792" t="s">
        <v>1266</v>
      </c>
      <c r="K1792" t="s">
        <v>1267</v>
      </c>
      <c r="L1792" t="s">
        <v>1322</v>
      </c>
      <c r="M1792" t="s">
        <v>1323</v>
      </c>
      <c r="N1792">
        <v>21</v>
      </c>
      <c r="O1792" t="str">
        <f t="shared" si="154"/>
        <v>26</v>
      </c>
      <c r="Q1792">
        <v>26</v>
      </c>
      <c r="R1792" t="s">
        <v>1269</v>
      </c>
      <c r="S1792">
        <v>0.182</v>
      </c>
      <c r="T1792">
        <v>0.155</v>
      </c>
      <c r="U1792">
        <f t="shared" si="155"/>
        <v>2.8000000000000001E-2</v>
      </c>
      <c r="V1792" t="str">
        <f t="shared" si="152"/>
        <v>Middle Health/
Related Services</v>
      </c>
      <c r="W1792" t="str">
        <f t="shared" si="153"/>
        <v>Health/
Related Services</v>
      </c>
    </row>
    <row r="1793" spans="1:23" x14ac:dyDescent="0.25">
      <c r="A1793">
        <v>24404</v>
      </c>
      <c r="B1793" t="s">
        <v>1291</v>
      </c>
      <c r="C1793">
        <v>0.219</v>
      </c>
      <c r="D1793" t="s">
        <v>1264</v>
      </c>
      <c r="E1793">
        <v>100268</v>
      </c>
      <c r="F1793">
        <v>24404</v>
      </c>
      <c r="G1793" t="str">
        <f t="shared" si="151"/>
        <v>24404</v>
      </c>
      <c r="H1793" t="s">
        <v>468</v>
      </c>
      <c r="I1793" t="s">
        <v>1265</v>
      </c>
      <c r="J1793" t="s">
        <v>1266</v>
      </c>
      <c r="K1793" t="s">
        <v>1267</v>
      </c>
      <c r="L1793" t="s">
        <v>1291</v>
      </c>
      <c r="M1793" t="s">
        <v>1292</v>
      </c>
      <c r="N1793">
        <v>1</v>
      </c>
      <c r="O1793" t="str">
        <f t="shared" si="154"/>
        <v>26</v>
      </c>
      <c r="Q1793">
        <v>26</v>
      </c>
      <c r="R1793" t="s">
        <v>1269</v>
      </c>
      <c r="S1793">
        <v>0.219</v>
      </c>
      <c r="T1793">
        <v>0.155</v>
      </c>
      <c r="U1793">
        <f t="shared" si="155"/>
        <v>0</v>
      </c>
      <c r="V1793" t="str">
        <f t="shared" si="152"/>
        <v>Middle Health/
Related Services</v>
      </c>
      <c r="W1793" t="str">
        <f t="shared" si="153"/>
        <v>Health/
Related Services</v>
      </c>
    </row>
    <row r="1794" spans="1:23" x14ac:dyDescent="0.25">
      <c r="A1794">
        <v>24404</v>
      </c>
      <c r="B1794" t="s">
        <v>1275</v>
      </c>
      <c r="C1794">
        <v>0.96399999999999997</v>
      </c>
      <c r="D1794" t="s">
        <v>1264</v>
      </c>
      <c r="E1794">
        <v>100268</v>
      </c>
      <c r="F1794">
        <v>24404</v>
      </c>
      <c r="G1794" t="str">
        <f t="shared" ref="G1794:G1857" si="156">TEXT(F1794,"00000")</f>
        <v>24404</v>
      </c>
      <c r="H1794" t="s">
        <v>468</v>
      </c>
      <c r="I1794" t="s">
        <v>1265</v>
      </c>
      <c r="J1794" t="s">
        <v>1276</v>
      </c>
      <c r="K1794" t="s">
        <v>1277</v>
      </c>
      <c r="L1794" t="s">
        <v>1275</v>
      </c>
      <c r="M1794" t="s">
        <v>1278</v>
      </c>
      <c r="N1794">
        <v>1</v>
      </c>
      <c r="O1794" t="str">
        <f t="shared" si="154"/>
        <v>42</v>
      </c>
      <c r="P1794">
        <v>42</v>
      </c>
      <c r="R1794" t="s">
        <v>1269</v>
      </c>
      <c r="S1794">
        <v>0.96399999999999997</v>
      </c>
      <c r="T1794">
        <v>0.155</v>
      </c>
      <c r="U1794">
        <f t="shared" si="155"/>
        <v>0</v>
      </c>
      <c r="V1794" t="str">
        <f t="shared" ref="V1794:V1857" si="157">_xlfn.XLOOKUP(L1794,$BV:$BV,$BT:$BT,,0)</f>
        <v>Elementary Counselor</v>
      </c>
      <c r="W1794" t="str">
        <f t="shared" ref="W1794:W1857" si="158">_xlfn.TEXTAFTER(V1794," ")</f>
        <v>Counselor</v>
      </c>
    </row>
    <row r="1795" spans="1:23" x14ac:dyDescent="0.25">
      <c r="A1795">
        <v>24404</v>
      </c>
      <c r="B1795" t="s">
        <v>1270</v>
      </c>
      <c r="C1795">
        <v>0.95399999999999996</v>
      </c>
      <c r="D1795" t="s">
        <v>1264</v>
      </c>
      <c r="E1795">
        <v>100268</v>
      </c>
      <c r="F1795">
        <v>24404</v>
      </c>
      <c r="G1795" t="str">
        <f t="shared" si="156"/>
        <v>24404</v>
      </c>
      <c r="H1795" t="s">
        <v>468</v>
      </c>
      <c r="I1795" t="s">
        <v>1265</v>
      </c>
      <c r="J1795" t="s">
        <v>1271</v>
      </c>
      <c r="K1795" t="s">
        <v>1272</v>
      </c>
      <c r="L1795" t="s">
        <v>1270</v>
      </c>
      <c r="M1795" t="s">
        <v>1273</v>
      </c>
      <c r="N1795">
        <v>1</v>
      </c>
      <c r="O1795" t="str">
        <f t="shared" ref="O1795:O1858" si="159">MID(L1795,3,2)</f>
        <v>42</v>
      </c>
      <c r="P1795">
        <v>42</v>
      </c>
      <c r="R1795" t="s">
        <v>1269</v>
      </c>
      <c r="S1795">
        <v>0.95399999999999996</v>
      </c>
      <c r="T1795">
        <v>0.155</v>
      </c>
      <c r="U1795">
        <f t="shared" ref="U1795:U1858" si="160">IF(N1795=21,ROUND(T1795*S1795,3),0)</f>
        <v>0</v>
      </c>
      <c r="V1795" t="str">
        <f t="shared" si="157"/>
        <v>High Counselor</v>
      </c>
      <c r="W1795" t="str">
        <f t="shared" si="158"/>
        <v>Counselor</v>
      </c>
    </row>
    <row r="1796" spans="1:23" x14ac:dyDescent="0.25">
      <c r="A1796">
        <v>24404</v>
      </c>
      <c r="B1796" t="s">
        <v>1263</v>
      </c>
      <c r="C1796">
        <v>0.95399999999999996</v>
      </c>
      <c r="D1796" t="s">
        <v>1264</v>
      </c>
      <c r="E1796">
        <v>100268</v>
      </c>
      <c r="F1796">
        <v>24404</v>
      </c>
      <c r="G1796" t="str">
        <f t="shared" si="156"/>
        <v>24404</v>
      </c>
      <c r="H1796" t="s">
        <v>468</v>
      </c>
      <c r="I1796" t="s">
        <v>1265</v>
      </c>
      <c r="J1796" t="s">
        <v>1266</v>
      </c>
      <c r="K1796" t="s">
        <v>1267</v>
      </c>
      <c r="L1796" t="s">
        <v>1263</v>
      </c>
      <c r="M1796" t="s">
        <v>1268</v>
      </c>
      <c r="N1796">
        <v>1</v>
      </c>
      <c r="O1796" t="str">
        <f t="shared" si="159"/>
        <v>42</v>
      </c>
      <c r="P1796">
        <v>42</v>
      </c>
      <c r="R1796" t="s">
        <v>1269</v>
      </c>
      <c r="S1796">
        <v>0.95399999999999996</v>
      </c>
      <c r="T1796">
        <v>0.155</v>
      </c>
      <c r="U1796">
        <f t="shared" si="160"/>
        <v>0</v>
      </c>
      <c r="V1796" t="str">
        <f t="shared" si="157"/>
        <v>Middle Counselor</v>
      </c>
      <c r="W1796" t="str">
        <f t="shared" si="158"/>
        <v>Counselor</v>
      </c>
    </row>
    <row r="1797" spans="1:23" x14ac:dyDescent="0.25">
      <c r="A1797">
        <v>24410</v>
      </c>
      <c r="B1797" t="s">
        <v>1324</v>
      </c>
      <c r="C1797">
        <v>0.438</v>
      </c>
      <c r="D1797" t="s">
        <v>1264</v>
      </c>
      <c r="E1797">
        <v>100190</v>
      </c>
      <c r="F1797">
        <v>24410</v>
      </c>
      <c r="G1797" t="str">
        <f t="shared" si="156"/>
        <v>24410</v>
      </c>
      <c r="H1797" t="s">
        <v>469</v>
      </c>
      <c r="I1797" t="s">
        <v>1265</v>
      </c>
      <c r="J1797" t="s">
        <v>1271</v>
      </c>
      <c r="K1797" t="s">
        <v>1272</v>
      </c>
      <c r="L1797" t="s">
        <v>1324</v>
      </c>
      <c r="M1797" t="s">
        <v>1325</v>
      </c>
      <c r="N1797">
        <v>21</v>
      </c>
      <c r="O1797" t="str">
        <f t="shared" si="159"/>
        <v>26</v>
      </c>
      <c r="Q1797">
        <v>26</v>
      </c>
      <c r="R1797" t="s">
        <v>1269</v>
      </c>
      <c r="S1797">
        <v>0.438</v>
      </c>
      <c r="T1797">
        <v>0.20669999999999999</v>
      </c>
      <c r="U1797">
        <f t="shared" si="160"/>
        <v>9.0999999999999998E-2</v>
      </c>
      <c r="V1797" t="str">
        <f t="shared" si="157"/>
        <v>High Health/
Related Services</v>
      </c>
      <c r="W1797" t="str">
        <f t="shared" si="158"/>
        <v>Health/
Related Services</v>
      </c>
    </row>
    <row r="1798" spans="1:23" x14ac:dyDescent="0.25">
      <c r="A1798">
        <v>24410</v>
      </c>
      <c r="B1798" t="s">
        <v>1295</v>
      </c>
      <c r="C1798">
        <v>0.68600000000000005</v>
      </c>
      <c r="D1798" t="s">
        <v>1264</v>
      </c>
      <c r="E1798">
        <v>100190</v>
      </c>
      <c r="F1798">
        <v>24410</v>
      </c>
      <c r="G1798" t="str">
        <f t="shared" si="156"/>
        <v>24410</v>
      </c>
      <c r="H1798" t="s">
        <v>469</v>
      </c>
      <c r="I1798" t="s">
        <v>1265</v>
      </c>
      <c r="J1798" t="s">
        <v>1271</v>
      </c>
      <c r="K1798" t="s">
        <v>1272</v>
      </c>
      <c r="L1798" t="s">
        <v>1295</v>
      </c>
      <c r="M1798" t="s">
        <v>1296</v>
      </c>
      <c r="N1798">
        <v>1</v>
      </c>
      <c r="O1798" t="str">
        <f t="shared" si="159"/>
        <v>26</v>
      </c>
      <c r="Q1798">
        <v>26</v>
      </c>
      <c r="R1798" t="s">
        <v>1269</v>
      </c>
      <c r="S1798">
        <v>0.68600000000000005</v>
      </c>
      <c r="T1798">
        <v>0.20669999999999999</v>
      </c>
      <c r="U1798">
        <f t="shared" si="160"/>
        <v>0</v>
      </c>
      <c r="V1798" t="str">
        <f t="shared" si="157"/>
        <v>High Health/
Related Services</v>
      </c>
      <c r="W1798" t="str">
        <f t="shared" si="158"/>
        <v>Health/
Related Services</v>
      </c>
    </row>
    <row r="1799" spans="1:23" x14ac:dyDescent="0.25">
      <c r="A1799">
        <v>24410</v>
      </c>
      <c r="B1799" t="s">
        <v>1275</v>
      </c>
      <c r="C1799">
        <v>0.85</v>
      </c>
      <c r="D1799" t="s">
        <v>1264</v>
      </c>
      <c r="E1799">
        <v>100190</v>
      </c>
      <c r="F1799">
        <v>24410</v>
      </c>
      <c r="G1799" t="str">
        <f t="shared" si="156"/>
        <v>24410</v>
      </c>
      <c r="H1799" t="s">
        <v>469</v>
      </c>
      <c r="I1799" t="s">
        <v>1265</v>
      </c>
      <c r="J1799" t="s">
        <v>1276</v>
      </c>
      <c r="K1799" t="s">
        <v>1277</v>
      </c>
      <c r="L1799" t="s">
        <v>1275</v>
      </c>
      <c r="M1799" t="s">
        <v>1278</v>
      </c>
      <c r="N1799">
        <v>1</v>
      </c>
      <c r="O1799" t="str">
        <f t="shared" si="159"/>
        <v>42</v>
      </c>
      <c r="P1799">
        <v>42</v>
      </c>
      <c r="R1799" t="s">
        <v>1269</v>
      </c>
      <c r="S1799">
        <v>0.85</v>
      </c>
      <c r="T1799">
        <v>0.20669999999999999</v>
      </c>
      <c r="U1799">
        <f t="shared" si="160"/>
        <v>0</v>
      </c>
      <c r="V1799" t="str">
        <f t="shared" si="157"/>
        <v>Elementary Counselor</v>
      </c>
      <c r="W1799" t="str">
        <f t="shared" si="158"/>
        <v>Counselor</v>
      </c>
    </row>
    <row r="1800" spans="1:23" x14ac:dyDescent="0.25">
      <c r="A1800">
        <v>24410</v>
      </c>
      <c r="B1800" t="s">
        <v>1270</v>
      </c>
      <c r="C1800">
        <v>0.7</v>
      </c>
      <c r="D1800" t="s">
        <v>1264</v>
      </c>
      <c r="E1800">
        <v>100190</v>
      </c>
      <c r="F1800">
        <v>24410</v>
      </c>
      <c r="G1800" t="str">
        <f t="shared" si="156"/>
        <v>24410</v>
      </c>
      <c r="H1800" t="s">
        <v>469</v>
      </c>
      <c r="I1800" t="s">
        <v>1265</v>
      </c>
      <c r="J1800" t="s">
        <v>1271</v>
      </c>
      <c r="K1800" t="s">
        <v>1272</v>
      </c>
      <c r="L1800" t="s">
        <v>1270</v>
      </c>
      <c r="M1800" t="s">
        <v>1273</v>
      </c>
      <c r="N1800">
        <v>1</v>
      </c>
      <c r="O1800" t="str">
        <f t="shared" si="159"/>
        <v>42</v>
      </c>
      <c r="P1800">
        <v>42</v>
      </c>
      <c r="R1800" t="s">
        <v>1269</v>
      </c>
      <c r="S1800">
        <v>0.7</v>
      </c>
      <c r="T1800">
        <v>0.20669999999999999</v>
      </c>
      <c r="U1800">
        <f t="shared" si="160"/>
        <v>0</v>
      </c>
      <c r="V1800" t="str">
        <f t="shared" si="157"/>
        <v>High Counselor</v>
      </c>
      <c r="W1800" t="str">
        <f t="shared" si="158"/>
        <v>Counselor</v>
      </c>
    </row>
    <row r="1801" spans="1:23" x14ac:dyDescent="0.25">
      <c r="A1801">
        <v>24410</v>
      </c>
      <c r="B1801" t="s">
        <v>1263</v>
      </c>
      <c r="C1801">
        <v>0.3</v>
      </c>
      <c r="D1801" t="s">
        <v>1264</v>
      </c>
      <c r="E1801">
        <v>100190</v>
      </c>
      <c r="F1801">
        <v>24410</v>
      </c>
      <c r="G1801" t="str">
        <f t="shared" si="156"/>
        <v>24410</v>
      </c>
      <c r="H1801" t="s">
        <v>469</v>
      </c>
      <c r="I1801" t="s">
        <v>1265</v>
      </c>
      <c r="J1801" t="s">
        <v>1266</v>
      </c>
      <c r="K1801" t="s">
        <v>1267</v>
      </c>
      <c r="L1801" t="s">
        <v>1263</v>
      </c>
      <c r="M1801" t="s">
        <v>1268</v>
      </c>
      <c r="N1801">
        <v>1</v>
      </c>
      <c r="O1801" t="str">
        <f t="shared" si="159"/>
        <v>42</v>
      </c>
      <c r="P1801">
        <v>42</v>
      </c>
      <c r="R1801" t="s">
        <v>1269</v>
      </c>
      <c r="S1801">
        <v>0.3</v>
      </c>
      <c r="T1801">
        <v>0.20669999999999999</v>
      </c>
      <c r="U1801">
        <f t="shared" si="160"/>
        <v>0</v>
      </c>
      <c r="V1801" t="str">
        <f t="shared" si="157"/>
        <v>Middle Counselor</v>
      </c>
      <c r="W1801" t="str">
        <f t="shared" si="158"/>
        <v>Counselor</v>
      </c>
    </row>
    <row r="1802" spans="1:23" x14ac:dyDescent="0.25">
      <c r="A1802">
        <v>24410</v>
      </c>
      <c r="B1802" t="s">
        <v>1298</v>
      </c>
      <c r="C1802">
        <v>0.27</v>
      </c>
      <c r="D1802" t="s">
        <v>1264</v>
      </c>
      <c r="E1802">
        <v>100190</v>
      </c>
      <c r="F1802">
        <v>24410</v>
      </c>
      <c r="G1802" t="str">
        <f t="shared" si="156"/>
        <v>24410</v>
      </c>
      <c r="H1802" t="s">
        <v>469</v>
      </c>
      <c r="I1802" t="s">
        <v>1265</v>
      </c>
      <c r="J1802" t="s">
        <v>1276</v>
      </c>
      <c r="K1802" t="s">
        <v>1277</v>
      </c>
      <c r="L1802" t="s">
        <v>1298</v>
      </c>
      <c r="M1802" t="s">
        <v>1349</v>
      </c>
      <c r="N1802">
        <v>21</v>
      </c>
      <c r="O1802" t="str">
        <f t="shared" si="159"/>
        <v>46</v>
      </c>
      <c r="P1802">
        <v>46</v>
      </c>
      <c r="R1802" t="s">
        <v>1269</v>
      </c>
      <c r="S1802">
        <v>0.27</v>
      </c>
      <c r="T1802">
        <v>0.20669999999999999</v>
      </c>
      <c r="U1802">
        <f t="shared" si="160"/>
        <v>5.6000000000000001E-2</v>
      </c>
      <c r="V1802" t="str">
        <f t="shared" si="157"/>
        <v>Elementary Psychologist</v>
      </c>
      <c r="W1802" t="str">
        <f t="shared" si="158"/>
        <v>Psychologist</v>
      </c>
    </row>
    <row r="1803" spans="1:23" x14ac:dyDescent="0.25">
      <c r="A1803">
        <v>24410</v>
      </c>
      <c r="B1803" t="s">
        <v>1309</v>
      </c>
      <c r="C1803">
        <v>0.16200000000000001</v>
      </c>
      <c r="D1803" t="s">
        <v>1264</v>
      </c>
      <c r="E1803">
        <v>100190</v>
      </c>
      <c r="F1803">
        <v>24410</v>
      </c>
      <c r="G1803" t="str">
        <f t="shared" si="156"/>
        <v>24410</v>
      </c>
      <c r="H1803" t="s">
        <v>469</v>
      </c>
      <c r="I1803" t="s">
        <v>1265</v>
      </c>
      <c r="J1803" t="s">
        <v>1271</v>
      </c>
      <c r="K1803" t="s">
        <v>1272</v>
      </c>
      <c r="L1803" t="s">
        <v>1309</v>
      </c>
      <c r="M1803" t="s">
        <v>1310</v>
      </c>
      <c r="N1803">
        <v>21</v>
      </c>
      <c r="O1803" t="str">
        <f t="shared" si="159"/>
        <v>46</v>
      </c>
      <c r="P1803">
        <v>46</v>
      </c>
      <c r="R1803" t="s">
        <v>1269</v>
      </c>
      <c r="S1803">
        <v>0.16200000000000001</v>
      </c>
      <c r="T1803">
        <v>0.20669999999999999</v>
      </c>
      <c r="U1803">
        <f t="shared" si="160"/>
        <v>3.3000000000000002E-2</v>
      </c>
      <c r="V1803" t="str">
        <f t="shared" si="157"/>
        <v>High Psychologist</v>
      </c>
      <c r="W1803" t="str">
        <f t="shared" si="158"/>
        <v>Psychologist</v>
      </c>
    </row>
    <row r="1804" spans="1:23" x14ac:dyDescent="0.25">
      <c r="A1804">
        <v>24410</v>
      </c>
      <c r="B1804" t="s">
        <v>1345</v>
      </c>
      <c r="C1804">
        <v>0.108</v>
      </c>
      <c r="D1804" t="s">
        <v>1264</v>
      </c>
      <c r="E1804">
        <v>100190</v>
      </c>
      <c r="F1804">
        <v>24410</v>
      </c>
      <c r="G1804" t="str">
        <f t="shared" si="156"/>
        <v>24410</v>
      </c>
      <c r="H1804" t="s">
        <v>469</v>
      </c>
      <c r="I1804" t="s">
        <v>1265</v>
      </c>
      <c r="J1804" t="s">
        <v>1266</v>
      </c>
      <c r="K1804" t="s">
        <v>1267</v>
      </c>
      <c r="L1804" t="s">
        <v>1345</v>
      </c>
      <c r="M1804" t="s">
        <v>1346</v>
      </c>
      <c r="N1804">
        <v>21</v>
      </c>
      <c r="O1804" t="str">
        <f t="shared" si="159"/>
        <v>46</v>
      </c>
      <c r="P1804">
        <v>46</v>
      </c>
      <c r="R1804" t="s">
        <v>1269</v>
      </c>
      <c r="S1804">
        <v>0.108</v>
      </c>
      <c r="T1804">
        <v>0.20669999999999999</v>
      </c>
      <c r="U1804">
        <f t="shared" si="160"/>
        <v>2.1999999999999999E-2</v>
      </c>
      <c r="V1804" t="str">
        <f t="shared" si="157"/>
        <v>Middle Psychologist</v>
      </c>
      <c r="W1804" t="str">
        <f t="shared" si="158"/>
        <v>Psychologist</v>
      </c>
    </row>
    <row r="1805" spans="1:23" x14ac:dyDescent="0.25">
      <c r="A1805">
        <v>24915</v>
      </c>
      <c r="B1805" t="s">
        <v>1301</v>
      </c>
      <c r="C1805">
        <v>1.39</v>
      </c>
      <c r="D1805" t="s">
        <v>1264</v>
      </c>
      <c r="E1805">
        <v>106989</v>
      </c>
      <c r="F1805">
        <v>24915</v>
      </c>
      <c r="G1805" t="str">
        <f t="shared" si="156"/>
        <v>24915</v>
      </c>
      <c r="H1805" t="s">
        <v>1232</v>
      </c>
      <c r="I1805" t="s">
        <v>1265</v>
      </c>
      <c r="J1805" t="s">
        <v>1276</v>
      </c>
      <c r="K1805" t="s">
        <v>1277</v>
      </c>
      <c r="L1805" t="s">
        <v>1301</v>
      </c>
      <c r="M1805" t="s">
        <v>1427</v>
      </c>
      <c r="N1805">
        <v>21</v>
      </c>
      <c r="O1805" t="str">
        <f t="shared" si="159"/>
        <v>25</v>
      </c>
      <c r="Q1805">
        <v>25</v>
      </c>
      <c r="R1805" t="s">
        <v>1269</v>
      </c>
      <c r="S1805">
        <v>1.39</v>
      </c>
      <c r="T1805">
        <v>0.14849999999999999</v>
      </c>
      <c r="U1805">
        <f t="shared" si="160"/>
        <v>0.20599999999999999</v>
      </c>
      <c r="V1805" t="str">
        <f t="shared" si="157"/>
        <v>Elementary Pupil Management</v>
      </c>
      <c r="W1805" t="str">
        <f t="shared" si="158"/>
        <v>Pupil Management</v>
      </c>
    </row>
    <row r="1806" spans="1:23" x14ac:dyDescent="0.25">
      <c r="A1806">
        <v>24915</v>
      </c>
      <c r="B1806" t="s">
        <v>1308</v>
      </c>
      <c r="C1806">
        <v>5.56</v>
      </c>
      <c r="D1806" t="s">
        <v>1264</v>
      </c>
      <c r="E1806">
        <v>106989</v>
      </c>
      <c r="F1806">
        <v>24915</v>
      </c>
      <c r="G1806" t="str">
        <f t="shared" si="156"/>
        <v>24915</v>
      </c>
      <c r="H1806" t="s">
        <v>1232</v>
      </c>
      <c r="I1806" t="s">
        <v>1265</v>
      </c>
      <c r="J1806" t="s">
        <v>1276</v>
      </c>
      <c r="K1806" t="s">
        <v>1277</v>
      </c>
      <c r="L1806" t="s">
        <v>1308</v>
      </c>
      <c r="M1806" t="s">
        <v>1389</v>
      </c>
      <c r="N1806">
        <v>1</v>
      </c>
      <c r="O1806" t="str">
        <f t="shared" si="159"/>
        <v>25</v>
      </c>
      <c r="Q1806">
        <v>25</v>
      </c>
      <c r="R1806" t="s">
        <v>1269</v>
      </c>
      <c r="S1806">
        <v>5.56</v>
      </c>
      <c r="T1806">
        <v>0.14849999999999999</v>
      </c>
      <c r="U1806">
        <f t="shared" si="160"/>
        <v>0</v>
      </c>
      <c r="V1806" t="str">
        <f t="shared" si="157"/>
        <v>Elementary Pupil Management</v>
      </c>
      <c r="W1806" t="str">
        <f t="shared" si="158"/>
        <v>Pupil Management</v>
      </c>
    </row>
    <row r="1807" spans="1:23" x14ac:dyDescent="0.25">
      <c r="A1807">
        <v>24915</v>
      </c>
      <c r="B1807" t="s">
        <v>1361</v>
      </c>
      <c r="C1807">
        <v>0.69499999999999995</v>
      </c>
      <c r="D1807" t="s">
        <v>1264</v>
      </c>
      <c r="E1807">
        <v>106989</v>
      </c>
      <c r="F1807">
        <v>24915</v>
      </c>
      <c r="G1807" t="str">
        <f t="shared" si="156"/>
        <v>24915</v>
      </c>
      <c r="H1807" t="s">
        <v>1232</v>
      </c>
      <c r="I1807" t="s">
        <v>1265</v>
      </c>
      <c r="J1807" t="s">
        <v>1266</v>
      </c>
      <c r="K1807" t="s">
        <v>1267</v>
      </c>
      <c r="L1807" t="s">
        <v>1361</v>
      </c>
      <c r="M1807" t="s">
        <v>1411</v>
      </c>
      <c r="N1807">
        <v>21</v>
      </c>
      <c r="O1807" t="str">
        <f t="shared" si="159"/>
        <v>25</v>
      </c>
      <c r="Q1807">
        <v>25</v>
      </c>
      <c r="R1807" t="s">
        <v>1269</v>
      </c>
      <c r="S1807">
        <v>0.69499999999999995</v>
      </c>
      <c r="T1807">
        <v>0.14849999999999999</v>
      </c>
      <c r="U1807">
        <f t="shared" si="160"/>
        <v>0.10299999999999999</v>
      </c>
      <c r="V1807" t="str">
        <f t="shared" si="157"/>
        <v>Middle Pupil Management</v>
      </c>
      <c r="W1807" t="str">
        <f t="shared" si="158"/>
        <v>Pupil Management</v>
      </c>
    </row>
    <row r="1808" spans="1:23" x14ac:dyDescent="0.25">
      <c r="A1808">
        <v>24915</v>
      </c>
      <c r="B1808" t="s">
        <v>1363</v>
      </c>
      <c r="C1808">
        <v>0.69499999999999995</v>
      </c>
      <c r="D1808" t="s">
        <v>1264</v>
      </c>
      <c r="E1808">
        <v>106989</v>
      </c>
      <c r="F1808">
        <v>24915</v>
      </c>
      <c r="G1808" t="str">
        <f t="shared" si="156"/>
        <v>24915</v>
      </c>
      <c r="H1808" t="s">
        <v>1232</v>
      </c>
      <c r="I1808" t="s">
        <v>1265</v>
      </c>
      <c r="J1808" t="s">
        <v>1266</v>
      </c>
      <c r="K1808" t="s">
        <v>1267</v>
      </c>
      <c r="L1808" t="s">
        <v>1363</v>
      </c>
      <c r="M1808" t="s">
        <v>1386</v>
      </c>
      <c r="N1808">
        <v>1</v>
      </c>
      <c r="O1808" t="str">
        <f t="shared" si="159"/>
        <v>25</v>
      </c>
      <c r="Q1808">
        <v>25</v>
      </c>
      <c r="R1808" t="s">
        <v>1269</v>
      </c>
      <c r="S1808">
        <v>0.69499999999999995</v>
      </c>
      <c r="T1808">
        <v>0.14849999999999999</v>
      </c>
      <c r="U1808">
        <f t="shared" si="160"/>
        <v>0</v>
      </c>
      <c r="V1808" t="str">
        <f t="shared" si="157"/>
        <v>Middle Pupil Management</v>
      </c>
      <c r="W1808" t="str">
        <f t="shared" si="158"/>
        <v>Pupil Management</v>
      </c>
    </row>
    <row r="1809" spans="1:23" x14ac:dyDescent="0.25">
      <c r="A1809">
        <v>25101</v>
      </c>
      <c r="B1809" t="s">
        <v>1308</v>
      </c>
      <c r="C1809">
        <v>1.0329999999999999</v>
      </c>
      <c r="D1809" t="s">
        <v>1264</v>
      </c>
      <c r="E1809">
        <v>100178</v>
      </c>
      <c r="F1809">
        <v>25101</v>
      </c>
      <c r="G1809" t="str">
        <f t="shared" si="156"/>
        <v>25101</v>
      </c>
      <c r="H1809" t="s">
        <v>470</v>
      </c>
      <c r="I1809" t="s">
        <v>1265</v>
      </c>
      <c r="J1809" t="s">
        <v>1276</v>
      </c>
      <c r="K1809" t="s">
        <v>1277</v>
      </c>
      <c r="L1809" t="s">
        <v>1308</v>
      </c>
      <c r="M1809" t="s">
        <v>1389</v>
      </c>
      <c r="N1809">
        <v>1</v>
      </c>
      <c r="O1809" t="str">
        <f t="shared" si="159"/>
        <v>25</v>
      </c>
      <c r="Q1809">
        <v>25</v>
      </c>
      <c r="R1809" t="s">
        <v>1269</v>
      </c>
      <c r="S1809">
        <v>1.0329999999999999</v>
      </c>
      <c r="T1809">
        <v>0.1913</v>
      </c>
      <c r="U1809">
        <f t="shared" si="160"/>
        <v>0</v>
      </c>
      <c r="V1809" t="str">
        <f t="shared" si="157"/>
        <v>Elementary Pupil Management</v>
      </c>
      <c r="W1809" t="str">
        <f t="shared" si="158"/>
        <v>Pupil Management</v>
      </c>
    </row>
    <row r="1810" spans="1:23" x14ac:dyDescent="0.25">
      <c r="A1810">
        <v>25101</v>
      </c>
      <c r="B1810" t="s">
        <v>1295</v>
      </c>
      <c r="C1810">
        <v>0.80400000000000005</v>
      </c>
      <c r="D1810" t="s">
        <v>1264</v>
      </c>
      <c r="E1810">
        <v>100178</v>
      </c>
      <c r="F1810">
        <v>25101</v>
      </c>
      <c r="G1810" t="str">
        <f t="shared" si="156"/>
        <v>25101</v>
      </c>
      <c r="H1810" t="s">
        <v>470</v>
      </c>
      <c r="I1810" t="s">
        <v>1265</v>
      </c>
      <c r="J1810" t="s">
        <v>1271</v>
      </c>
      <c r="K1810" t="s">
        <v>1272</v>
      </c>
      <c r="L1810" t="s">
        <v>1295</v>
      </c>
      <c r="M1810" t="s">
        <v>1296</v>
      </c>
      <c r="N1810">
        <v>1</v>
      </c>
      <c r="O1810" t="str">
        <f t="shared" si="159"/>
        <v>26</v>
      </c>
      <c r="Q1810">
        <v>26</v>
      </c>
      <c r="R1810" t="s">
        <v>1269</v>
      </c>
      <c r="S1810">
        <v>0.80400000000000005</v>
      </c>
      <c r="T1810">
        <v>0.1913</v>
      </c>
      <c r="U1810">
        <f t="shared" si="160"/>
        <v>0</v>
      </c>
      <c r="V1810" t="str">
        <f t="shared" si="157"/>
        <v>High Health/
Related Services</v>
      </c>
      <c r="W1810" t="str">
        <f t="shared" si="158"/>
        <v>Health/
Related Services</v>
      </c>
    </row>
    <row r="1811" spans="1:23" x14ac:dyDescent="0.25">
      <c r="A1811">
        <v>25101</v>
      </c>
      <c r="B1811" t="s">
        <v>1270</v>
      </c>
      <c r="C1811">
        <v>1.5</v>
      </c>
      <c r="D1811" t="s">
        <v>1264</v>
      </c>
      <c r="E1811">
        <v>100178</v>
      </c>
      <c r="F1811">
        <v>25101</v>
      </c>
      <c r="G1811" t="str">
        <f t="shared" si="156"/>
        <v>25101</v>
      </c>
      <c r="H1811" t="s">
        <v>470</v>
      </c>
      <c r="I1811" t="s">
        <v>1265</v>
      </c>
      <c r="J1811" t="s">
        <v>1271</v>
      </c>
      <c r="K1811" t="s">
        <v>1272</v>
      </c>
      <c r="L1811" t="s">
        <v>1270</v>
      </c>
      <c r="M1811" t="s">
        <v>1273</v>
      </c>
      <c r="N1811">
        <v>1</v>
      </c>
      <c r="O1811" t="str">
        <f t="shared" si="159"/>
        <v>42</v>
      </c>
      <c r="P1811">
        <v>42</v>
      </c>
      <c r="R1811" t="s">
        <v>1269</v>
      </c>
      <c r="S1811">
        <v>1.5</v>
      </c>
      <c r="T1811">
        <v>0.1913</v>
      </c>
      <c r="U1811">
        <f t="shared" si="160"/>
        <v>0</v>
      </c>
      <c r="V1811" t="str">
        <f t="shared" si="157"/>
        <v>High Counselor</v>
      </c>
      <c r="W1811" t="str">
        <f t="shared" si="158"/>
        <v>Counselor</v>
      </c>
    </row>
    <row r="1812" spans="1:23" x14ac:dyDescent="0.25">
      <c r="A1812">
        <v>25116</v>
      </c>
      <c r="B1812" t="s">
        <v>1295</v>
      </c>
      <c r="C1812">
        <v>0.64600000000000002</v>
      </c>
      <c r="D1812" t="s">
        <v>1264</v>
      </c>
      <c r="E1812">
        <v>100214</v>
      </c>
      <c r="F1812">
        <v>25116</v>
      </c>
      <c r="G1812" t="str">
        <f t="shared" si="156"/>
        <v>25116</v>
      </c>
      <c r="H1812" t="s">
        <v>471</v>
      </c>
      <c r="I1812" t="s">
        <v>1265</v>
      </c>
      <c r="J1812" t="s">
        <v>1271</v>
      </c>
      <c r="K1812" t="s">
        <v>1272</v>
      </c>
      <c r="L1812" t="s">
        <v>1295</v>
      </c>
      <c r="M1812" t="s">
        <v>1296</v>
      </c>
      <c r="N1812">
        <v>1</v>
      </c>
      <c r="O1812" t="str">
        <f t="shared" si="159"/>
        <v>26</v>
      </c>
      <c r="Q1812">
        <v>26</v>
      </c>
      <c r="R1812" t="s">
        <v>1269</v>
      </c>
      <c r="S1812">
        <v>0.64600000000000002</v>
      </c>
      <c r="T1812">
        <v>0.20669999999999999</v>
      </c>
      <c r="U1812">
        <f t="shared" si="160"/>
        <v>0</v>
      </c>
      <c r="V1812" t="str">
        <f t="shared" si="157"/>
        <v>High Health/
Related Services</v>
      </c>
      <c r="W1812" t="str">
        <f t="shared" si="158"/>
        <v>Health/
Related Services</v>
      </c>
    </row>
    <row r="1813" spans="1:23" x14ac:dyDescent="0.25">
      <c r="A1813">
        <v>25116</v>
      </c>
      <c r="B1813" t="s">
        <v>1275</v>
      </c>
      <c r="C1813">
        <v>1.5</v>
      </c>
      <c r="D1813" t="s">
        <v>1264</v>
      </c>
      <c r="E1813">
        <v>100214</v>
      </c>
      <c r="F1813">
        <v>25116</v>
      </c>
      <c r="G1813" t="str">
        <f t="shared" si="156"/>
        <v>25116</v>
      </c>
      <c r="H1813" t="s">
        <v>471</v>
      </c>
      <c r="I1813" t="s">
        <v>1265</v>
      </c>
      <c r="J1813" t="s">
        <v>1276</v>
      </c>
      <c r="K1813" t="s">
        <v>1277</v>
      </c>
      <c r="L1813" t="s">
        <v>1275</v>
      </c>
      <c r="M1813" t="s">
        <v>1278</v>
      </c>
      <c r="N1813">
        <v>1</v>
      </c>
      <c r="O1813" t="str">
        <f t="shared" si="159"/>
        <v>42</v>
      </c>
      <c r="P1813">
        <v>42</v>
      </c>
      <c r="R1813" t="s">
        <v>1269</v>
      </c>
      <c r="S1813">
        <v>1.5</v>
      </c>
      <c r="T1813">
        <v>0.20669999999999999</v>
      </c>
      <c r="U1813">
        <f t="shared" si="160"/>
        <v>0</v>
      </c>
      <c r="V1813" t="str">
        <f t="shared" si="157"/>
        <v>Elementary Counselor</v>
      </c>
      <c r="W1813" t="str">
        <f t="shared" si="158"/>
        <v>Counselor</v>
      </c>
    </row>
    <row r="1814" spans="1:23" x14ac:dyDescent="0.25">
      <c r="A1814">
        <v>25118</v>
      </c>
      <c r="B1814" t="s">
        <v>1308</v>
      </c>
      <c r="C1814">
        <v>0.10100000000000001</v>
      </c>
      <c r="D1814" t="s">
        <v>1264</v>
      </c>
      <c r="E1814">
        <v>100242</v>
      </c>
      <c r="F1814">
        <v>25118</v>
      </c>
      <c r="G1814" t="str">
        <f t="shared" si="156"/>
        <v>25118</v>
      </c>
      <c r="H1814" t="s">
        <v>472</v>
      </c>
      <c r="I1814" t="s">
        <v>1265</v>
      </c>
      <c r="J1814" t="s">
        <v>1276</v>
      </c>
      <c r="K1814" t="s">
        <v>1277</v>
      </c>
      <c r="L1814" t="s">
        <v>1308</v>
      </c>
      <c r="M1814" t="s">
        <v>1389</v>
      </c>
      <c r="N1814">
        <v>1</v>
      </c>
      <c r="O1814" t="str">
        <f t="shared" si="159"/>
        <v>25</v>
      </c>
      <c r="Q1814">
        <v>25</v>
      </c>
      <c r="R1814" t="s">
        <v>1269</v>
      </c>
      <c r="S1814">
        <v>0.10100000000000001</v>
      </c>
      <c r="T1814">
        <v>0.29899999999999999</v>
      </c>
      <c r="U1814">
        <f t="shared" si="160"/>
        <v>0</v>
      </c>
      <c r="V1814" t="str">
        <f t="shared" si="157"/>
        <v>Elementary Pupil Management</v>
      </c>
      <c r="W1814" t="str">
        <f t="shared" si="158"/>
        <v>Pupil Management</v>
      </c>
    </row>
    <row r="1815" spans="1:23" x14ac:dyDescent="0.25">
      <c r="A1815">
        <v>25118</v>
      </c>
      <c r="B1815" t="s">
        <v>1299</v>
      </c>
      <c r="C1815">
        <v>0.16900000000000001</v>
      </c>
      <c r="D1815" t="s">
        <v>1264</v>
      </c>
      <c r="E1815">
        <v>100242</v>
      </c>
      <c r="F1815">
        <v>25118</v>
      </c>
      <c r="G1815" t="str">
        <f t="shared" si="156"/>
        <v>25118</v>
      </c>
      <c r="H1815" t="s">
        <v>472</v>
      </c>
      <c r="I1815" t="s">
        <v>1265</v>
      </c>
      <c r="J1815" t="s">
        <v>1271</v>
      </c>
      <c r="K1815" t="s">
        <v>1272</v>
      </c>
      <c r="L1815" t="s">
        <v>1299</v>
      </c>
      <c r="M1815" t="s">
        <v>1300</v>
      </c>
      <c r="N1815">
        <v>1</v>
      </c>
      <c r="O1815" t="str">
        <f t="shared" si="159"/>
        <v>25</v>
      </c>
      <c r="Q1815">
        <v>25</v>
      </c>
      <c r="R1815" t="s">
        <v>1269</v>
      </c>
      <c r="S1815">
        <v>0.16900000000000001</v>
      </c>
      <c r="T1815">
        <v>0.29899999999999999</v>
      </c>
      <c r="U1815">
        <f t="shared" si="160"/>
        <v>0</v>
      </c>
      <c r="V1815" t="str">
        <f t="shared" si="157"/>
        <v>High Pupil Management</v>
      </c>
      <c r="W1815" t="str">
        <f t="shared" si="158"/>
        <v>Pupil Management</v>
      </c>
    </row>
    <row r="1816" spans="1:23" x14ac:dyDescent="0.25">
      <c r="A1816">
        <v>25118</v>
      </c>
      <c r="B1816" t="s">
        <v>1363</v>
      </c>
      <c r="C1816">
        <v>3.3000000000000002E-2</v>
      </c>
      <c r="D1816" t="s">
        <v>1264</v>
      </c>
      <c r="E1816">
        <v>100242</v>
      </c>
      <c r="F1816">
        <v>25118</v>
      </c>
      <c r="G1816" t="str">
        <f t="shared" si="156"/>
        <v>25118</v>
      </c>
      <c r="H1816" t="s">
        <v>472</v>
      </c>
      <c r="I1816" t="s">
        <v>1265</v>
      </c>
      <c r="J1816" t="s">
        <v>1266</v>
      </c>
      <c r="K1816" t="s">
        <v>1267</v>
      </c>
      <c r="L1816" t="s">
        <v>1363</v>
      </c>
      <c r="M1816" t="s">
        <v>1386</v>
      </c>
      <c r="N1816">
        <v>1</v>
      </c>
      <c r="O1816" t="str">
        <f t="shared" si="159"/>
        <v>25</v>
      </c>
      <c r="Q1816">
        <v>25</v>
      </c>
      <c r="R1816" t="s">
        <v>1269</v>
      </c>
      <c r="S1816">
        <v>3.3000000000000002E-2</v>
      </c>
      <c r="T1816">
        <v>0.29899999999999999</v>
      </c>
      <c r="U1816">
        <f t="shared" si="160"/>
        <v>0</v>
      </c>
      <c r="V1816" t="str">
        <f t="shared" si="157"/>
        <v>Middle Pupil Management</v>
      </c>
      <c r="W1816" t="str">
        <f t="shared" si="158"/>
        <v>Pupil Management</v>
      </c>
    </row>
    <row r="1817" spans="1:23" x14ac:dyDescent="0.25">
      <c r="A1817">
        <v>25118</v>
      </c>
      <c r="B1817" t="s">
        <v>1315</v>
      </c>
      <c r="C1817">
        <v>0.26700000000000002</v>
      </c>
      <c r="D1817" t="s">
        <v>1264</v>
      </c>
      <c r="E1817">
        <v>100242</v>
      </c>
      <c r="F1817">
        <v>25118</v>
      </c>
      <c r="G1817" t="str">
        <f t="shared" si="156"/>
        <v>25118</v>
      </c>
      <c r="H1817" t="s">
        <v>472</v>
      </c>
      <c r="I1817" t="s">
        <v>1265</v>
      </c>
      <c r="J1817" t="s">
        <v>1276</v>
      </c>
      <c r="K1817" t="s">
        <v>1277</v>
      </c>
      <c r="L1817" t="s">
        <v>1315</v>
      </c>
      <c r="M1817" t="s">
        <v>1375</v>
      </c>
      <c r="N1817">
        <v>1</v>
      </c>
      <c r="O1817" t="str">
        <f t="shared" si="159"/>
        <v>26</v>
      </c>
      <c r="Q1817">
        <v>26</v>
      </c>
      <c r="R1817" t="s">
        <v>1269</v>
      </c>
      <c r="S1817">
        <v>0.26700000000000002</v>
      </c>
      <c r="T1817">
        <v>0.29899999999999999</v>
      </c>
      <c r="U1817">
        <f t="shared" si="160"/>
        <v>0</v>
      </c>
      <c r="V1817" t="str">
        <f t="shared" si="157"/>
        <v>Elementary Health/
Related Services</v>
      </c>
      <c r="W1817" t="str">
        <f t="shared" si="158"/>
        <v>Health/
Related Services</v>
      </c>
    </row>
    <row r="1818" spans="1:23" x14ac:dyDescent="0.25">
      <c r="A1818">
        <v>25118</v>
      </c>
      <c r="B1818" t="s">
        <v>1295</v>
      </c>
      <c r="C1818">
        <v>0.53200000000000003</v>
      </c>
      <c r="D1818" t="s">
        <v>1264</v>
      </c>
      <c r="E1818">
        <v>100242</v>
      </c>
      <c r="F1818">
        <v>25118</v>
      </c>
      <c r="G1818" t="str">
        <f t="shared" si="156"/>
        <v>25118</v>
      </c>
      <c r="H1818" t="s">
        <v>472</v>
      </c>
      <c r="I1818" t="s">
        <v>1265</v>
      </c>
      <c r="J1818" t="s">
        <v>1271</v>
      </c>
      <c r="K1818" t="s">
        <v>1272</v>
      </c>
      <c r="L1818" t="s">
        <v>1295</v>
      </c>
      <c r="M1818" t="s">
        <v>1296</v>
      </c>
      <c r="N1818">
        <v>1</v>
      </c>
      <c r="O1818" t="str">
        <f t="shared" si="159"/>
        <v>26</v>
      </c>
      <c r="Q1818">
        <v>26</v>
      </c>
      <c r="R1818" t="s">
        <v>1269</v>
      </c>
      <c r="S1818">
        <v>0.53200000000000003</v>
      </c>
      <c r="T1818">
        <v>0.29899999999999999</v>
      </c>
      <c r="U1818">
        <f t="shared" si="160"/>
        <v>0</v>
      </c>
      <c r="V1818" t="str">
        <f t="shared" si="157"/>
        <v>High Health/
Related Services</v>
      </c>
      <c r="W1818" t="str">
        <f t="shared" si="158"/>
        <v>Health/
Related Services</v>
      </c>
    </row>
    <row r="1819" spans="1:23" x14ac:dyDescent="0.25">
      <c r="A1819">
        <v>25155</v>
      </c>
      <c r="B1819" t="s">
        <v>1270</v>
      </c>
      <c r="C1819">
        <v>1</v>
      </c>
      <c r="D1819" t="s">
        <v>1264</v>
      </c>
      <c r="E1819">
        <v>100162</v>
      </c>
      <c r="F1819">
        <v>25155</v>
      </c>
      <c r="G1819" t="str">
        <f t="shared" si="156"/>
        <v>25155</v>
      </c>
      <c r="H1819" t="s">
        <v>473</v>
      </c>
      <c r="I1819" t="s">
        <v>1265</v>
      </c>
      <c r="J1819" t="s">
        <v>1271</v>
      </c>
      <c r="K1819" t="s">
        <v>1272</v>
      </c>
      <c r="L1819" t="s">
        <v>1270</v>
      </c>
      <c r="M1819" t="s">
        <v>1273</v>
      </c>
      <c r="N1819">
        <v>1</v>
      </c>
      <c r="O1819" t="str">
        <f t="shared" si="159"/>
        <v>42</v>
      </c>
      <c r="P1819">
        <v>42</v>
      </c>
      <c r="R1819" t="s">
        <v>1269</v>
      </c>
      <c r="S1819">
        <v>1</v>
      </c>
      <c r="T1819">
        <v>0.1913</v>
      </c>
      <c r="U1819">
        <f t="shared" si="160"/>
        <v>0</v>
      </c>
      <c r="V1819" t="str">
        <f t="shared" si="157"/>
        <v>High Counselor</v>
      </c>
      <c r="W1819" t="str">
        <f t="shared" si="158"/>
        <v>Counselor</v>
      </c>
    </row>
    <row r="1820" spans="1:23" x14ac:dyDescent="0.25">
      <c r="A1820">
        <v>25160</v>
      </c>
      <c r="B1820" t="s">
        <v>1308</v>
      </c>
      <c r="C1820">
        <v>0.11799999999999999</v>
      </c>
      <c r="D1820" t="s">
        <v>1264</v>
      </c>
      <c r="E1820">
        <v>100297</v>
      </c>
      <c r="F1820">
        <v>25160</v>
      </c>
      <c r="G1820" t="str">
        <f t="shared" si="156"/>
        <v>25160</v>
      </c>
      <c r="H1820" t="s">
        <v>474</v>
      </c>
      <c r="I1820" t="s">
        <v>1265</v>
      </c>
      <c r="J1820" t="s">
        <v>1276</v>
      </c>
      <c r="K1820" t="s">
        <v>1277</v>
      </c>
      <c r="L1820" t="s">
        <v>1308</v>
      </c>
      <c r="M1820" t="s">
        <v>1389</v>
      </c>
      <c r="N1820">
        <v>1</v>
      </c>
      <c r="O1820" t="str">
        <f t="shared" si="159"/>
        <v>25</v>
      </c>
      <c r="Q1820">
        <v>25</v>
      </c>
      <c r="R1820" t="s">
        <v>1269</v>
      </c>
      <c r="S1820">
        <v>0.11799999999999999</v>
      </c>
      <c r="T1820">
        <v>0.18310000000000001</v>
      </c>
      <c r="U1820">
        <f t="shared" si="160"/>
        <v>0</v>
      </c>
      <c r="V1820" t="str">
        <f t="shared" si="157"/>
        <v>Elementary Pupil Management</v>
      </c>
      <c r="W1820" t="str">
        <f t="shared" si="158"/>
        <v>Pupil Management</v>
      </c>
    </row>
    <row r="1821" spans="1:23" x14ac:dyDescent="0.25">
      <c r="A1821">
        <v>25160</v>
      </c>
      <c r="B1821" t="s">
        <v>1299</v>
      </c>
      <c r="C1821">
        <v>0.999</v>
      </c>
      <c r="D1821" t="s">
        <v>1264</v>
      </c>
      <c r="E1821">
        <v>100297</v>
      </c>
      <c r="F1821">
        <v>25160</v>
      </c>
      <c r="G1821" t="str">
        <f t="shared" si="156"/>
        <v>25160</v>
      </c>
      <c r="H1821" t="s">
        <v>474</v>
      </c>
      <c r="I1821" t="s">
        <v>1265</v>
      </c>
      <c r="J1821" t="s">
        <v>1271</v>
      </c>
      <c r="K1821" t="s">
        <v>1272</v>
      </c>
      <c r="L1821" t="s">
        <v>1299</v>
      </c>
      <c r="M1821" t="s">
        <v>1300</v>
      </c>
      <c r="N1821">
        <v>1</v>
      </c>
      <c r="O1821" t="str">
        <f t="shared" si="159"/>
        <v>25</v>
      </c>
      <c r="Q1821">
        <v>25</v>
      </c>
      <c r="R1821" t="s">
        <v>1269</v>
      </c>
      <c r="S1821">
        <v>0.999</v>
      </c>
      <c r="T1821">
        <v>0.18310000000000001</v>
      </c>
      <c r="U1821">
        <f t="shared" si="160"/>
        <v>0</v>
      </c>
      <c r="V1821" t="str">
        <f t="shared" si="157"/>
        <v>High Pupil Management</v>
      </c>
      <c r="W1821" t="str">
        <f t="shared" si="158"/>
        <v>Pupil Management</v>
      </c>
    </row>
    <row r="1822" spans="1:23" x14ac:dyDescent="0.25">
      <c r="A1822">
        <v>25160</v>
      </c>
      <c r="B1822" t="s">
        <v>1275</v>
      </c>
      <c r="C1822">
        <v>0.49299999999999999</v>
      </c>
      <c r="D1822" t="s">
        <v>1264</v>
      </c>
      <c r="E1822">
        <v>100297</v>
      </c>
      <c r="F1822">
        <v>25160</v>
      </c>
      <c r="G1822" t="str">
        <f t="shared" si="156"/>
        <v>25160</v>
      </c>
      <c r="H1822" t="s">
        <v>474</v>
      </c>
      <c r="I1822" t="s">
        <v>1265</v>
      </c>
      <c r="J1822" t="s">
        <v>1276</v>
      </c>
      <c r="K1822" t="s">
        <v>1277</v>
      </c>
      <c r="L1822" t="s">
        <v>1275</v>
      </c>
      <c r="M1822" t="s">
        <v>1278</v>
      </c>
      <c r="N1822">
        <v>1</v>
      </c>
      <c r="O1822" t="str">
        <f t="shared" si="159"/>
        <v>42</v>
      </c>
      <c r="P1822">
        <v>42</v>
      </c>
      <c r="R1822" t="s">
        <v>1269</v>
      </c>
      <c r="S1822">
        <v>0.49299999999999999</v>
      </c>
      <c r="T1822">
        <v>0.18310000000000001</v>
      </c>
      <c r="U1822">
        <f t="shared" si="160"/>
        <v>0</v>
      </c>
      <c r="V1822" t="str">
        <f t="shared" si="157"/>
        <v>Elementary Counselor</v>
      </c>
      <c r="W1822" t="str">
        <f t="shared" si="158"/>
        <v>Counselor</v>
      </c>
    </row>
    <row r="1823" spans="1:23" x14ac:dyDescent="0.25">
      <c r="A1823">
        <v>25160</v>
      </c>
      <c r="B1823" t="s">
        <v>1270</v>
      </c>
      <c r="C1823">
        <v>0.33500000000000002</v>
      </c>
      <c r="D1823" t="s">
        <v>1264</v>
      </c>
      <c r="E1823">
        <v>100297</v>
      </c>
      <c r="F1823">
        <v>25160</v>
      </c>
      <c r="G1823" t="str">
        <f t="shared" si="156"/>
        <v>25160</v>
      </c>
      <c r="H1823" t="s">
        <v>474</v>
      </c>
      <c r="I1823" t="s">
        <v>1265</v>
      </c>
      <c r="J1823" t="s">
        <v>1271</v>
      </c>
      <c r="K1823" t="s">
        <v>1272</v>
      </c>
      <c r="L1823" t="s">
        <v>1270</v>
      </c>
      <c r="M1823" t="s">
        <v>1273</v>
      </c>
      <c r="N1823">
        <v>1</v>
      </c>
      <c r="O1823" t="str">
        <f t="shared" si="159"/>
        <v>42</v>
      </c>
      <c r="P1823">
        <v>42</v>
      </c>
      <c r="R1823" t="s">
        <v>1269</v>
      </c>
      <c r="S1823">
        <v>0.33500000000000002</v>
      </c>
      <c r="T1823">
        <v>0.18310000000000001</v>
      </c>
      <c r="U1823">
        <f t="shared" si="160"/>
        <v>0</v>
      </c>
      <c r="V1823" t="str">
        <f t="shared" si="157"/>
        <v>High Counselor</v>
      </c>
      <c r="W1823" t="str">
        <f t="shared" si="158"/>
        <v>Counselor</v>
      </c>
    </row>
    <row r="1824" spans="1:23" x14ac:dyDescent="0.25">
      <c r="A1824">
        <v>25160</v>
      </c>
      <c r="B1824" t="s">
        <v>1263</v>
      </c>
      <c r="C1824">
        <v>0.157</v>
      </c>
      <c r="D1824" t="s">
        <v>1264</v>
      </c>
      <c r="E1824">
        <v>100297</v>
      </c>
      <c r="F1824">
        <v>25160</v>
      </c>
      <c r="G1824" t="str">
        <f t="shared" si="156"/>
        <v>25160</v>
      </c>
      <c r="H1824" t="s">
        <v>474</v>
      </c>
      <c r="I1824" t="s">
        <v>1265</v>
      </c>
      <c r="J1824" t="s">
        <v>1266</v>
      </c>
      <c r="K1824" t="s">
        <v>1267</v>
      </c>
      <c r="L1824" t="s">
        <v>1263</v>
      </c>
      <c r="M1824" t="s">
        <v>1268</v>
      </c>
      <c r="N1824">
        <v>1</v>
      </c>
      <c r="O1824" t="str">
        <f t="shared" si="159"/>
        <v>42</v>
      </c>
      <c r="P1824">
        <v>42</v>
      </c>
      <c r="R1824" t="s">
        <v>1269</v>
      </c>
      <c r="S1824">
        <v>0.157</v>
      </c>
      <c r="T1824">
        <v>0.18310000000000001</v>
      </c>
      <c r="U1824">
        <f t="shared" si="160"/>
        <v>0</v>
      </c>
      <c r="V1824" t="str">
        <f t="shared" si="157"/>
        <v>Middle Counselor</v>
      </c>
      <c r="W1824" t="str">
        <f t="shared" si="158"/>
        <v>Counselor</v>
      </c>
    </row>
    <row r="1825" spans="1:23" x14ac:dyDescent="0.25">
      <c r="A1825">
        <v>26056</v>
      </c>
      <c r="B1825" t="s">
        <v>1311</v>
      </c>
      <c r="C1825">
        <v>0.32900000000000001</v>
      </c>
      <c r="D1825" t="s">
        <v>1264</v>
      </c>
      <c r="E1825">
        <v>100164</v>
      </c>
      <c r="F1825">
        <v>26056</v>
      </c>
      <c r="G1825" t="str">
        <f t="shared" si="156"/>
        <v>26056</v>
      </c>
      <c r="H1825" t="s">
        <v>476</v>
      </c>
      <c r="I1825" t="s">
        <v>1265</v>
      </c>
      <c r="J1825" t="s">
        <v>1276</v>
      </c>
      <c r="K1825" t="s">
        <v>1277</v>
      </c>
      <c r="L1825" t="s">
        <v>1311</v>
      </c>
      <c r="M1825" t="s">
        <v>1327</v>
      </c>
      <c r="N1825">
        <v>21</v>
      </c>
      <c r="O1825" t="str">
        <f t="shared" si="159"/>
        <v>26</v>
      </c>
      <c r="Q1825">
        <v>26</v>
      </c>
      <c r="R1825" t="s">
        <v>1269</v>
      </c>
      <c r="S1825">
        <v>0.32900000000000001</v>
      </c>
      <c r="T1825">
        <v>0.24210000000000001</v>
      </c>
      <c r="U1825">
        <f t="shared" si="160"/>
        <v>0.08</v>
      </c>
      <c r="V1825" t="str">
        <f t="shared" si="157"/>
        <v>Elementary Health/
Related Services</v>
      </c>
      <c r="W1825" t="str">
        <f t="shared" si="158"/>
        <v>Health/
Related Services</v>
      </c>
    </row>
    <row r="1826" spans="1:23" x14ac:dyDescent="0.25">
      <c r="A1826">
        <v>26056</v>
      </c>
      <c r="B1826" t="s">
        <v>1295</v>
      </c>
      <c r="C1826">
        <v>1.22</v>
      </c>
      <c r="D1826" t="s">
        <v>1264</v>
      </c>
      <c r="E1826">
        <v>100164</v>
      </c>
      <c r="F1826">
        <v>26056</v>
      </c>
      <c r="G1826" t="str">
        <f t="shared" si="156"/>
        <v>26056</v>
      </c>
      <c r="H1826" t="s">
        <v>476</v>
      </c>
      <c r="I1826" t="s">
        <v>1265</v>
      </c>
      <c r="J1826" t="s">
        <v>1271</v>
      </c>
      <c r="K1826" t="s">
        <v>1272</v>
      </c>
      <c r="L1826" t="s">
        <v>1295</v>
      </c>
      <c r="M1826" t="s">
        <v>1296</v>
      </c>
      <c r="N1826">
        <v>1</v>
      </c>
      <c r="O1826" t="str">
        <f t="shared" si="159"/>
        <v>26</v>
      </c>
      <c r="Q1826">
        <v>26</v>
      </c>
      <c r="R1826" t="s">
        <v>1269</v>
      </c>
      <c r="S1826">
        <v>1.22</v>
      </c>
      <c r="T1826">
        <v>0.24210000000000001</v>
      </c>
      <c r="U1826">
        <f t="shared" si="160"/>
        <v>0</v>
      </c>
      <c r="V1826" t="str">
        <f t="shared" si="157"/>
        <v>High Health/
Related Services</v>
      </c>
      <c r="W1826" t="str">
        <f t="shared" si="158"/>
        <v>Health/
Related Services</v>
      </c>
    </row>
    <row r="1827" spans="1:23" x14ac:dyDescent="0.25">
      <c r="A1827">
        <v>26056</v>
      </c>
      <c r="B1827" t="s">
        <v>1275</v>
      </c>
      <c r="C1827">
        <v>1</v>
      </c>
      <c r="D1827" t="s">
        <v>1264</v>
      </c>
      <c r="E1827">
        <v>100164</v>
      </c>
      <c r="F1827">
        <v>26056</v>
      </c>
      <c r="G1827" t="str">
        <f t="shared" si="156"/>
        <v>26056</v>
      </c>
      <c r="H1827" t="s">
        <v>476</v>
      </c>
      <c r="I1827" t="s">
        <v>1265</v>
      </c>
      <c r="J1827" t="s">
        <v>1276</v>
      </c>
      <c r="K1827" t="s">
        <v>1277</v>
      </c>
      <c r="L1827" t="s">
        <v>1275</v>
      </c>
      <c r="M1827" t="s">
        <v>1278</v>
      </c>
      <c r="N1827">
        <v>1</v>
      </c>
      <c r="O1827" t="str">
        <f t="shared" si="159"/>
        <v>42</v>
      </c>
      <c r="P1827">
        <v>42</v>
      </c>
      <c r="R1827" t="s">
        <v>1269</v>
      </c>
      <c r="S1827">
        <v>1</v>
      </c>
      <c r="T1827">
        <v>0.24210000000000001</v>
      </c>
      <c r="U1827">
        <f t="shared" si="160"/>
        <v>0</v>
      </c>
      <c r="V1827" t="str">
        <f t="shared" si="157"/>
        <v>Elementary Counselor</v>
      </c>
      <c r="W1827" t="str">
        <f t="shared" si="158"/>
        <v>Counselor</v>
      </c>
    </row>
    <row r="1828" spans="1:23" x14ac:dyDescent="0.25">
      <c r="A1828">
        <v>26056</v>
      </c>
      <c r="B1828" t="s">
        <v>1263</v>
      </c>
      <c r="C1828">
        <v>1</v>
      </c>
      <c r="D1828" t="s">
        <v>1264</v>
      </c>
      <c r="E1828">
        <v>100164</v>
      </c>
      <c r="F1828">
        <v>26056</v>
      </c>
      <c r="G1828" t="str">
        <f t="shared" si="156"/>
        <v>26056</v>
      </c>
      <c r="H1828" t="s">
        <v>476</v>
      </c>
      <c r="I1828" t="s">
        <v>1265</v>
      </c>
      <c r="J1828" t="s">
        <v>1266</v>
      </c>
      <c r="K1828" t="s">
        <v>1267</v>
      </c>
      <c r="L1828" t="s">
        <v>1263</v>
      </c>
      <c r="M1828" t="s">
        <v>1268</v>
      </c>
      <c r="N1828">
        <v>1</v>
      </c>
      <c r="O1828" t="str">
        <f t="shared" si="159"/>
        <v>42</v>
      </c>
      <c r="P1828">
        <v>42</v>
      </c>
      <c r="R1828" t="s">
        <v>1269</v>
      </c>
      <c r="S1828">
        <v>1</v>
      </c>
      <c r="T1828">
        <v>0.24210000000000001</v>
      </c>
      <c r="U1828">
        <f t="shared" si="160"/>
        <v>0</v>
      </c>
      <c r="V1828" t="str">
        <f t="shared" si="157"/>
        <v>Middle Counselor</v>
      </c>
      <c r="W1828" t="str">
        <f t="shared" si="158"/>
        <v>Counselor</v>
      </c>
    </row>
    <row r="1829" spans="1:23" x14ac:dyDescent="0.25">
      <c r="A1829">
        <v>26056</v>
      </c>
      <c r="B1829" t="s">
        <v>1331</v>
      </c>
      <c r="C1829">
        <v>0.5</v>
      </c>
      <c r="D1829" t="s">
        <v>1264</v>
      </c>
      <c r="E1829">
        <v>100164</v>
      </c>
      <c r="F1829">
        <v>26056</v>
      </c>
      <c r="G1829" t="str">
        <f t="shared" si="156"/>
        <v>26056</v>
      </c>
      <c r="H1829" t="s">
        <v>476</v>
      </c>
      <c r="I1829" t="s">
        <v>1265</v>
      </c>
      <c r="J1829" t="s">
        <v>1276</v>
      </c>
      <c r="K1829" t="s">
        <v>1277</v>
      </c>
      <c r="L1829" t="s">
        <v>1331</v>
      </c>
      <c r="M1829" t="s">
        <v>1405</v>
      </c>
      <c r="N1829">
        <v>1</v>
      </c>
      <c r="O1829" t="str">
        <f t="shared" si="159"/>
        <v>44</v>
      </c>
      <c r="P1829">
        <v>44</v>
      </c>
      <c r="R1829" t="s">
        <v>1269</v>
      </c>
      <c r="S1829">
        <v>0.5</v>
      </c>
      <c r="T1829">
        <v>0.24210000000000001</v>
      </c>
      <c r="U1829">
        <f t="shared" si="160"/>
        <v>0</v>
      </c>
      <c r="V1829" t="str">
        <f t="shared" si="157"/>
        <v>Elementary Social Worker</v>
      </c>
      <c r="W1829" t="str">
        <f t="shared" si="158"/>
        <v>Social Worker</v>
      </c>
    </row>
    <row r="1830" spans="1:23" x14ac:dyDescent="0.25">
      <c r="A1830">
        <v>26056</v>
      </c>
      <c r="B1830" t="s">
        <v>1359</v>
      </c>
      <c r="C1830">
        <v>1.5</v>
      </c>
      <c r="D1830" t="s">
        <v>1264</v>
      </c>
      <c r="E1830">
        <v>100164</v>
      </c>
      <c r="F1830">
        <v>26056</v>
      </c>
      <c r="G1830" t="str">
        <f t="shared" si="156"/>
        <v>26056</v>
      </c>
      <c r="H1830" t="s">
        <v>476</v>
      </c>
      <c r="I1830" t="s">
        <v>1265</v>
      </c>
      <c r="J1830" t="s">
        <v>1271</v>
      </c>
      <c r="K1830" t="s">
        <v>1272</v>
      </c>
      <c r="L1830" t="s">
        <v>1359</v>
      </c>
      <c r="M1830" t="s">
        <v>1360</v>
      </c>
      <c r="N1830">
        <v>1</v>
      </c>
      <c r="O1830" t="str">
        <f t="shared" si="159"/>
        <v>44</v>
      </c>
      <c r="P1830">
        <v>44</v>
      </c>
      <c r="R1830" t="s">
        <v>1269</v>
      </c>
      <c r="S1830">
        <v>1.5</v>
      </c>
      <c r="T1830">
        <v>0.24210000000000001</v>
      </c>
      <c r="U1830">
        <f t="shared" si="160"/>
        <v>0</v>
      </c>
      <c r="V1830" t="str">
        <f t="shared" si="157"/>
        <v>High Social Worker</v>
      </c>
      <c r="W1830" t="str">
        <f t="shared" si="158"/>
        <v>Social Worker</v>
      </c>
    </row>
    <row r="1831" spans="1:23" x14ac:dyDescent="0.25">
      <c r="A1831">
        <v>26056</v>
      </c>
      <c r="B1831" t="s">
        <v>1294</v>
      </c>
      <c r="C1831">
        <v>0.68</v>
      </c>
      <c r="D1831" t="s">
        <v>1264</v>
      </c>
      <c r="E1831">
        <v>100164</v>
      </c>
      <c r="F1831">
        <v>26056</v>
      </c>
      <c r="G1831" t="str">
        <f t="shared" si="156"/>
        <v>26056</v>
      </c>
      <c r="H1831" t="s">
        <v>476</v>
      </c>
      <c r="I1831" t="s">
        <v>1265</v>
      </c>
      <c r="J1831" t="s">
        <v>1276</v>
      </c>
      <c r="K1831" t="s">
        <v>1277</v>
      </c>
      <c r="L1831" t="s">
        <v>1294</v>
      </c>
      <c r="M1831" t="s">
        <v>1354</v>
      </c>
      <c r="N1831">
        <v>21</v>
      </c>
      <c r="O1831" t="str">
        <f t="shared" si="159"/>
        <v>45</v>
      </c>
      <c r="P1831">
        <v>45</v>
      </c>
      <c r="R1831" t="s">
        <v>1269</v>
      </c>
      <c r="S1831">
        <v>0.68</v>
      </c>
      <c r="T1831">
        <v>0.24210000000000001</v>
      </c>
      <c r="U1831">
        <f t="shared" si="160"/>
        <v>0.16500000000000001</v>
      </c>
      <c r="V1831" t="str">
        <f t="shared" si="157"/>
        <v>Elementary Speech, Language Pathway/
Audio</v>
      </c>
      <c r="W1831" t="str">
        <f t="shared" si="158"/>
        <v>Speech, Language Pathway/
Audio</v>
      </c>
    </row>
    <row r="1832" spans="1:23" x14ac:dyDescent="0.25">
      <c r="A1832">
        <v>26056</v>
      </c>
      <c r="B1832" t="s">
        <v>1326</v>
      </c>
      <c r="C1832">
        <v>0.66</v>
      </c>
      <c r="D1832" t="s">
        <v>1264</v>
      </c>
      <c r="E1832">
        <v>100164</v>
      </c>
      <c r="F1832">
        <v>26056</v>
      </c>
      <c r="G1832" t="str">
        <f t="shared" si="156"/>
        <v>26056</v>
      </c>
      <c r="H1832" t="s">
        <v>476</v>
      </c>
      <c r="I1832" t="s">
        <v>1265</v>
      </c>
      <c r="J1832" t="s">
        <v>1271</v>
      </c>
      <c r="K1832" t="s">
        <v>1272</v>
      </c>
      <c r="L1832" t="s">
        <v>1326</v>
      </c>
      <c r="M1832" t="s">
        <v>1353</v>
      </c>
      <c r="N1832">
        <v>21</v>
      </c>
      <c r="O1832" t="str">
        <f t="shared" si="159"/>
        <v>45</v>
      </c>
      <c r="P1832">
        <v>45</v>
      </c>
      <c r="R1832" t="s">
        <v>1269</v>
      </c>
      <c r="S1832">
        <v>0.66</v>
      </c>
      <c r="T1832">
        <v>0.24210000000000001</v>
      </c>
      <c r="U1832">
        <f t="shared" si="160"/>
        <v>0.16</v>
      </c>
      <c r="V1832" t="str">
        <f t="shared" si="157"/>
        <v>High Speech, Language Pathway/
Audio</v>
      </c>
      <c r="W1832" t="str">
        <f t="shared" si="158"/>
        <v>Speech, Language Pathway/
Audio</v>
      </c>
    </row>
    <row r="1833" spans="1:23" x14ac:dyDescent="0.25">
      <c r="A1833">
        <v>26056</v>
      </c>
      <c r="B1833" t="s">
        <v>1312</v>
      </c>
      <c r="C1833">
        <v>0.66</v>
      </c>
      <c r="D1833" t="s">
        <v>1264</v>
      </c>
      <c r="E1833">
        <v>100164</v>
      </c>
      <c r="F1833">
        <v>26056</v>
      </c>
      <c r="G1833" t="str">
        <f t="shared" si="156"/>
        <v>26056</v>
      </c>
      <c r="H1833" t="s">
        <v>476</v>
      </c>
      <c r="I1833" t="s">
        <v>1265</v>
      </c>
      <c r="J1833" t="s">
        <v>1266</v>
      </c>
      <c r="K1833" t="s">
        <v>1267</v>
      </c>
      <c r="L1833" t="s">
        <v>1312</v>
      </c>
      <c r="M1833" t="s">
        <v>1351</v>
      </c>
      <c r="N1833">
        <v>21</v>
      </c>
      <c r="O1833" t="str">
        <f t="shared" si="159"/>
        <v>45</v>
      </c>
      <c r="P1833">
        <v>45</v>
      </c>
      <c r="R1833" t="s">
        <v>1269</v>
      </c>
      <c r="S1833">
        <v>0.66</v>
      </c>
      <c r="T1833">
        <v>0.24210000000000001</v>
      </c>
      <c r="U1833">
        <f t="shared" si="160"/>
        <v>0.16</v>
      </c>
      <c r="V1833" t="str">
        <f t="shared" si="157"/>
        <v>Middle Speech, Language Pathway/
Audio</v>
      </c>
      <c r="W1833" t="str">
        <f t="shared" si="158"/>
        <v>Speech, Language Pathway/
Audio</v>
      </c>
    </row>
    <row r="1834" spans="1:23" x14ac:dyDescent="0.25">
      <c r="A1834">
        <v>26056</v>
      </c>
      <c r="B1834" t="s">
        <v>1298</v>
      </c>
      <c r="C1834">
        <v>0.34</v>
      </c>
      <c r="D1834" t="s">
        <v>1264</v>
      </c>
      <c r="E1834">
        <v>100164</v>
      </c>
      <c r="F1834">
        <v>26056</v>
      </c>
      <c r="G1834" t="str">
        <f t="shared" si="156"/>
        <v>26056</v>
      </c>
      <c r="H1834" t="s">
        <v>476</v>
      </c>
      <c r="I1834" t="s">
        <v>1265</v>
      </c>
      <c r="J1834" t="s">
        <v>1276</v>
      </c>
      <c r="K1834" t="s">
        <v>1277</v>
      </c>
      <c r="L1834" t="s">
        <v>1298</v>
      </c>
      <c r="M1834" t="s">
        <v>1349</v>
      </c>
      <c r="N1834">
        <v>21</v>
      </c>
      <c r="O1834" t="str">
        <f t="shared" si="159"/>
        <v>46</v>
      </c>
      <c r="P1834">
        <v>46</v>
      </c>
      <c r="R1834" t="s">
        <v>1269</v>
      </c>
      <c r="S1834">
        <v>0.34</v>
      </c>
      <c r="T1834">
        <v>0.24210000000000001</v>
      </c>
      <c r="U1834">
        <f t="shared" si="160"/>
        <v>8.2000000000000003E-2</v>
      </c>
      <c r="V1834" t="str">
        <f t="shared" si="157"/>
        <v>Elementary Psychologist</v>
      </c>
      <c r="W1834" t="str">
        <f t="shared" si="158"/>
        <v>Psychologist</v>
      </c>
    </row>
    <row r="1835" spans="1:23" x14ac:dyDescent="0.25">
      <c r="A1835">
        <v>26056</v>
      </c>
      <c r="B1835" t="s">
        <v>1309</v>
      </c>
      <c r="C1835">
        <v>0.33</v>
      </c>
      <c r="D1835" t="s">
        <v>1264</v>
      </c>
      <c r="E1835">
        <v>100164</v>
      </c>
      <c r="F1835">
        <v>26056</v>
      </c>
      <c r="G1835" t="str">
        <f t="shared" si="156"/>
        <v>26056</v>
      </c>
      <c r="H1835" t="s">
        <v>476</v>
      </c>
      <c r="I1835" t="s">
        <v>1265</v>
      </c>
      <c r="J1835" t="s">
        <v>1271</v>
      </c>
      <c r="K1835" t="s">
        <v>1272</v>
      </c>
      <c r="L1835" t="s">
        <v>1309</v>
      </c>
      <c r="M1835" t="s">
        <v>1310</v>
      </c>
      <c r="N1835">
        <v>21</v>
      </c>
      <c r="O1835" t="str">
        <f t="shared" si="159"/>
        <v>46</v>
      </c>
      <c r="P1835">
        <v>46</v>
      </c>
      <c r="R1835" t="s">
        <v>1269</v>
      </c>
      <c r="S1835">
        <v>0.33</v>
      </c>
      <c r="T1835">
        <v>0.24210000000000001</v>
      </c>
      <c r="U1835">
        <f t="shared" si="160"/>
        <v>0.08</v>
      </c>
      <c r="V1835" t="str">
        <f t="shared" si="157"/>
        <v>High Psychologist</v>
      </c>
      <c r="W1835" t="str">
        <f t="shared" si="158"/>
        <v>Psychologist</v>
      </c>
    </row>
    <row r="1836" spans="1:23" x14ac:dyDescent="0.25">
      <c r="A1836">
        <v>26056</v>
      </c>
      <c r="B1836" t="s">
        <v>1345</v>
      </c>
      <c r="C1836">
        <v>0.33</v>
      </c>
      <c r="D1836" t="s">
        <v>1264</v>
      </c>
      <c r="E1836">
        <v>100164</v>
      </c>
      <c r="F1836">
        <v>26056</v>
      </c>
      <c r="G1836" t="str">
        <f t="shared" si="156"/>
        <v>26056</v>
      </c>
      <c r="H1836" t="s">
        <v>476</v>
      </c>
      <c r="I1836" t="s">
        <v>1265</v>
      </c>
      <c r="J1836" t="s">
        <v>1266</v>
      </c>
      <c r="K1836" t="s">
        <v>1267</v>
      </c>
      <c r="L1836" t="s">
        <v>1345</v>
      </c>
      <c r="M1836" t="s">
        <v>1346</v>
      </c>
      <c r="N1836">
        <v>21</v>
      </c>
      <c r="O1836" t="str">
        <f t="shared" si="159"/>
        <v>46</v>
      </c>
      <c r="P1836">
        <v>46</v>
      </c>
      <c r="R1836" t="s">
        <v>1269</v>
      </c>
      <c r="S1836">
        <v>0.33</v>
      </c>
      <c r="T1836">
        <v>0.24210000000000001</v>
      </c>
      <c r="U1836">
        <f t="shared" si="160"/>
        <v>0.08</v>
      </c>
      <c r="V1836" t="str">
        <f t="shared" si="157"/>
        <v>Middle Psychologist</v>
      </c>
      <c r="W1836" t="str">
        <f t="shared" si="158"/>
        <v>Psychologist</v>
      </c>
    </row>
    <row r="1837" spans="1:23" x14ac:dyDescent="0.25">
      <c r="A1837">
        <v>26059</v>
      </c>
      <c r="B1837" t="s">
        <v>1308</v>
      </c>
      <c r="C1837">
        <v>0.151</v>
      </c>
      <c r="D1837" t="s">
        <v>1264</v>
      </c>
      <c r="E1837">
        <v>100062</v>
      </c>
      <c r="F1837">
        <v>26059</v>
      </c>
      <c r="G1837" t="str">
        <f t="shared" si="156"/>
        <v>26059</v>
      </c>
      <c r="H1837" t="s">
        <v>477</v>
      </c>
      <c r="I1837" t="s">
        <v>1265</v>
      </c>
      <c r="J1837" t="s">
        <v>1276</v>
      </c>
      <c r="K1837" t="s">
        <v>1277</v>
      </c>
      <c r="L1837" t="s">
        <v>1308</v>
      </c>
      <c r="M1837" t="s">
        <v>1389</v>
      </c>
      <c r="N1837">
        <v>1</v>
      </c>
      <c r="O1837" t="str">
        <f t="shared" si="159"/>
        <v>25</v>
      </c>
      <c r="Q1837">
        <v>25</v>
      </c>
      <c r="R1837" t="s">
        <v>1269</v>
      </c>
      <c r="S1837">
        <v>0.151</v>
      </c>
      <c r="T1837">
        <v>0.1951</v>
      </c>
      <c r="U1837">
        <f t="shared" si="160"/>
        <v>0</v>
      </c>
      <c r="V1837" t="str">
        <f t="shared" si="157"/>
        <v>Elementary Pupil Management</v>
      </c>
      <c r="W1837" t="str">
        <f t="shared" si="158"/>
        <v>Pupil Management</v>
      </c>
    </row>
    <row r="1838" spans="1:23" x14ac:dyDescent="0.25">
      <c r="A1838">
        <v>26059</v>
      </c>
      <c r="B1838" t="s">
        <v>1299</v>
      </c>
      <c r="C1838">
        <v>1.9410000000000001</v>
      </c>
      <c r="D1838" t="s">
        <v>1264</v>
      </c>
      <c r="E1838">
        <v>100062</v>
      </c>
      <c r="F1838">
        <v>26059</v>
      </c>
      <c r="G1838" t="str">
        <f t="shared" si="156"/>
        <v>26059</v>
      </c>
      <c r="H1838" t="s">
        <v>477</v>
      </c>
      <c r="I1838" t="s">
        <v>1265</v>
      </c>
      <c r="J1838" t="s">
        <v>1271</v>
      </c>
      <c r="K1838" t="s">
        <v>1272</v>
      </c>
      <c r="L1838" t="s">
        <v>1299</v>
      </c>
      <c r="M1838" t="s">
        <v>1300</v>
      </c>
      <c r="N1838">
        <v>1</v>
      </c>
      <c r="O1838" t="str">
        <f t="shared" si="159"/>
        <v>25</v>
      </c>
      <c r="Q1838">
        <v>25</v>
      </c>
      <c r="R1838" t="s">
        <v>1269</v>
      </c>
      <c r="S1838">
        <v>1.9410000000000001</v>
      </c>
      <c r="T1838">
        <v>0.1951</v>
      </c>
      <c r="U1838">
        <f t="shared" si="160"/>
        <v>0</v>
      </c>
      <c r="V1838" t="str">
        <f t="shared" si="157"/>
        <v>High Pupil Management</v>
      </c>
      <c r="W1838" t="str">
        <f t="shared" si="158"/>
        <v>Pupil Management</v>
      </c>
    </row>
    <row r="1839" spans="1:23" x14ac:dyDescent="0.25">
      <c r="A1839">
        <v>26059</v>
      </c>
      <c r="B1839" t="s">
        <v>1275</v>
      </c>
      <c r="C1839">
        <v>0.28799999999999998</v>
      </c>
      <c r="D1839" t="s">
        <v>1264</v>
      </c>
      <c r="E1839">
        <v>100062</v>
      </c>
      <c r="F1839">
        <v>26059</v>
      </c>
      <c r="G1839" t="str">
        <f t="shared" si="156"/>
        <v>26059</v>
      </c>
      <c r="H1839" t="s">
        <v>477</v>
      </c>
      <c r="I1839" t="s">
        <v>1265</v>
      </c>
      <c r="J1839" t="s">
        <v>1276</v>
      </c>
      <c r="K1839" t="s">
        <v>1277</v>
      </c>
      <c r="L1839" t="s">
        <v>1275</v>
      </c>
      <c r="M1839" t="s">
        <v>1278</v>
      </c>
      <c r="N1839">
        <v>1</v>
      </c>
      <c r="O1839" t="str">
        <f t="shared" si="159"/>
        <v>42</v>
      </c>
      <c r="P1839">
        <v>42</v>
      </c>
      <c r="R1839" t="s">
        <v>1269</v>
      </c>
      <c r="S1839">
        <v>0.28799999999999998</v>
      </c>
      <c r="T1839">
        <v>0.1951</v>
      </c>
      <c r="U1839">
        <f t="shared" si="160"/>
        <v>0</v>
      </c>
      <c r="V1839" t="str">
        <f t="shared" si="157"/>
        <v>Elementary Counselor</v>
      </c>
      <c r="W1839" t="str">
        <f t="shared" si="158"/>
        <v>Counselor</v>
      </c>
    </row>
    <row r="1840" spans="1:23" x14ac:dyDescent="0.25">
      <c r="A1840">
        <v>26059</v>
      </c>
      <c r="B1840" t="s">
        <v>1270</v>
      </c>
      <c r="C1840">
        <v>0.14299999999999999</v>
      </c>
      <c r="D1840" t="s">
        <v>1264</v>
      </c>
      <c r="E1840">
        <v>100062</v>
      </c>
      <c r="F1840">
        <v>26059</v>
      </c>
      <c r="G1840" t="str">
        <f t="shared" si="156"/>
        <v>26059</v>
      </c>
      <c r="H1840" t="s">
        <v>477</v>
      </c>
      <c r="I1840" t="s">
        <v>1265</v>
      </c>
      <c r="J1840" t="s">
        <v>1271</v>
      </c>
      <c r="K1840" t="s">
        <v>1272</v>
      </c>
      <c r="L1840" t="s">
        <v>1270</v>
      </c>
      <c r="M1840" t="s">
        <v>1273</v>
      </c>
      <c r="N1840">
        <v>1</v>
      </c>
      <c r="O1840" t="str">
        <f t="shared" si="159"/>
        <v>42</v>
      </c>
      <c r="P1840">
        <v>42</v>
      </c>
      <c r="R1840" t="s">
        <v>1269</v>
      </c>
      <c r="S1840">
        <v>0.14299999999999999</v>
      </c>
      <c r="T1840">
        <v>0.1951</v>
      </c>
      <c r="U1840">
        <f t="shared" si="160"/>
        <v>0</v>
      </c>
      <c r="V1840" t="str">
        <f t="shared" si="157"/>
        <v>High Counselor</v>
      </c>
      <c r="W1840" t="str">
        <f t="shared" si="158"/>
        <v>Counselor</v>
      </c>
    </row>
    <row r="1841" spans="1:23" x14ac:dyDescent="0.25">
      <c r="A1841">
        <v>26059</v>
      </c>
      <c r="B1841" t="s">
        <v>1263</v>
      </c>
      <c r="C1841">
        <v>7.0999999999999994E-2</v>
      </c>
      <c r="D1841" t="s">
        <v>1264</v>
      </c>
      <c r="E1841">
        <v>100062</v>
      </c>
      <c r="F1841">
        <v>26059</v>
      </c>
      <c r="G1841" t="str">
        <f t="shared" si="156"/>
        <v>26059</v>
      </c>
      <c r="H1841" t="s">
        <v>477</v>
      </c>
      <c r="I1841" t="s">
        <v>1265</v>
      </c>
      <c r="J1841" t="s">
        <v>1266</v>
      </c>
      <c r="K1841" t="s">
        <v>1267</v>
      </c>
      <c r="L1841" t="s">
        <v>1263</v>
      </c>
      <c r="M1841" t="s">
        <v>1268</v>
      </c>
      <c r="N1841">
        <v>1</v>
      </c>
      <c r="O1841" t="str">
        <f t="shared" si="159"/>
        <v>42</v>
      </c>
      <c r="P1841">
        <v>42</v>
      </c>
      <c r="R1841" t="s">
        <v>1269</v>
      </c>
      <c r="S1841">
        <v>7.0999999999999994E-2</v>
      </c>
      <c r="T1841">
        <v>0.1951</v>
      </c>
      <c r="U1841">
        <f t="shared" si="160"/>
        <v>0</v>
      </c>
      <c r="V1841" t="str">
        <f t="shared" si="157"/>
        <v>Middle Counselor</v>
      </c>
      <c r="W1841" t="str">
        <f t="shared" si="158"/>
        <v>Counselor</v>
      </c>
    </row>
    <row r="1842" spans="1:23" x14ac:dyDescent="0.25">
      <c r="A1842">
        <v>26059</v>
      </c>
      <c r="B1842" t="s">
        <v>1289</v>
      </c>
      <c r="C1842">
        <v>0.8</v>
      </c>
      <c r="D1842" t="s">
        <v>1264</v>
      </c>
      <c r="E1842">
        <v>100062</v>
      </c>
      <c r="F1842">
        <v>26059</v>
      </c>
      <c r="G1842" t="str">
        <f t="shared" si="156"/>
        <v>26059</v>
      </c>
      <c r="H1842" t="s">
        <v>477</v>
      </c>
      <c r="I1842" t="s">
        <v>1265</v>
      </c>
      <c r="J1842" t="s">
        <v>1276</v>
      </c>
      <c r="K1842" t="s">
        <v>1277</v>
      </c>
      <c r="L1842" t="s">
        <v>1289</v>
      </c>
      <c r="M1842" t="s">
        <v>1307</v>
      </c>
      <c r="N1842">
        <v>21</v>
      </c>
      <c r="O1842" t="str">
        <f t="shared" si="159"/>
        <v>43</v>
      </c>
      <c r="P1842">
        <v>43</v>
      </c>
      <c r="R1842" t="s">
        <v>1269</v>
      </c>
      <c r="S1842">
        <v>0.8</v>
      </c>
      <c r="T1842">
        <v>0.1951</v>
      </c>
      <c r="U1842">
        <f t="shared" si="160"/>
        <v>0.156</v>
      </c>
      <c r="V1842" t="str">
        <f t="shared" si="157"/>
        <v>Elementary Occupational Therapist</v>
      </c>
      <c r="W1842" t="str">
        <f t="shared" si="158"/>
        <v>Occupational Therapist</v>
      </c>
    </row>
    <row r="1843" spans="1:23" x14ac:dyDescent="0.25">
      <c r="A1843">
        <v>26059</v>
      </c>
      <c r="B1843" t="s">
        <v>1303</v>
      </c>
      <c r="C1843">
        <v>0.2</v>
      </c>
      <c r="D1843" t="s">
        <v>1264</v>
      </c>
      <c r="E1843">
        <v>100062</v>
      </c>
      <c r="F1843">
        <v>26059</v>
      </c>
      <c r="G1843" t="str">
        <f t="shared" si="156"/>
        <v>26059</v>
      </c>
      <c r="H1843" t="s">
        <v>477</v>
      </c>
      <c r="I1843" t="s">
        <v>1265</v>
      </c>
      <c r="J1843" t="s">
        <v>1266</v>
      </c>
      <c r="K1843" t="s">
        <v>1267</v>
      </c>
      <c r="L1843" t="s">
        <v>1303</v>
      </c>
      <c r="M1843" t="s">
        <v>1304</v>
      </c>
      <c r="N1843">
        <v>21</v>
      </c>
      <c r="O1843" t="str">
        <f t="shared" si="159"/>
        <v>43</v>
      </c>
      <c r="P1843">
        <v>43</v>
      </c>
      <c r="R1843" t="s">
        <v>1269</v>
      </c>
      <c r="S1843">
        <v>0.2</v>
      </c>
      <c r="T1843">
        <v>0.1951</v>
      </c>
      <c r="U1843">
        <f t="shared" si="160"/>
        <v>3.9E-2</v>
      </c>
      <c r="V1843" t="str">
        <f t="shared" si="157"/>
        <v>Middle Occupational Therapist</v>
      </c>
      <c r="W1843" t="str">
        <f t="shared" si="158"/>
        <v>Occupational Therapist</v>
      </c>
    </row>
    <row r="1844" spans="1:23" x14ac:dyDescent="0.25">
      <c r="A1844">
        <v>26059</v>
      </c>
      <c r="B1844" t="s">
        <v>1294</v>
      </c>
      <c r="C1844">
        <v>0.158</v>
      </c>
      <c r="D1844" t="s">
        <v>1264</v>
      </c>
      <c r="E1844">
        <v>100062</v>
      </c>
      <c r="F1844">
        <v>26059</v>
      </c>
      <c r="G1844" t="str">
        <f t="shared" si="156"/>
        <v>26059</v>
      </c>
      <c r="H1844" t="s">
        <v>477</v>
      </c>
      <c r="I1844" t="s">
        <v>1265</v>
      </c>
      <c r="J1844" t="s">
        <v>1276</v>
      </c>
      <c r="K1844" t="s">
        <v>1277</v>
      </c>
      <c r="L1844" t="s">
        <v>1294</v>
      </c>
      <c r="M1844" t="s">
        <v>1354</v>
      </c>
      <c r="N1844">
        <v>21</v>
      </c>
      <c r="O1844" t="str">
        <f t="shared" si="159"/>
        <v>45</v>
      </c>
      <c r="P1844">
        <v>45</v>
      </c>
      <c r="R1844" t="s">
        <v>1269</v>
      </c>
      <c r="S1844">
        <v>0.158</v>
      </c>
      <c r="T1844">
        <v>0.1951</v>
      </c>
      <c r="U1844">
        <f t="shared" si="160"/>
        <v>3.1E-2</v>
      </c>
      <c r="V1844" t="str">
        <f t="shared" si="157"/>
        <v>Elementary Speech, Language Pathway/
Audio</v>
      </c>
      <c r="W1844" t="str">
        <f t="shared" si="158"/>
        <v>Speech, Language Pathway/
Audio</v>
      </c>
    </row>
    <row r="1845" spans="1:23" x14ac:dyDescent="0.25">
      <c r="A1845">
        <v>26059</v>
      </c>
      <c r="B1845" t="s">
        <v>1326</v>
      </c>
      <c r="C1845">
        <v>0.158</v>
      </c>
      <c r="D1845" t="s">
        <v>1264</v>
      </c>
      <c r="E1845">
        <v>100062</v>
      </c>
      <c r="F1845">
        <v>26059</v>
      </c>
      <c r="G1845" t="str">
        <f t="shared" si="156"/>
        <v>26059</v>
      </c>
      <c r="H1845" t="s">
        <v>477</v>
      </c>
      <c r="I1845" t="s">
        <v>1265</v>
      </c>
      <c r="J1845" t="s">
        <v>1271</v>
      </c>
      <c r="K1845" t="s">
        <v>1272</v>
      </c>
      <c r="L1845" t="s">
        <v>1326</v>
      </c>
      <c r="M1845" t="s">
        <v>1353</v>
      </c>
      <c r="N1845">
        <v>21</v>
      </c>
      <c r="O1845" t="str">
        <f t="shared" si="159"/>
        <v>45</v>
      </c>
      <c r="P1845">
        <v>45</v>
      </c>
      <c r="R1845" t="s">
        <v>1269</v>
      </c>
      <c r="S1845">
        <v>0.158</v>
      </c>
      <c r="T1845">
        <v>0.1951</v>
      </c>
      <c r="U1845">
        <f t="shared" si="160"/>
        <v>3.1E-2</v>
      </c>
      <c r="V1845" t="str">
        <f t="shared" si="157"/>
        <v>High Speech, Language Pathway/
Audio</v>
      </c>
      <c r="W1845" t="str">
        <f t="shared" si="158"/>
        <v>Speech, Language Pathway/
Audio</v>
      </c>
    </row>
    <row r="1846" spans="1:23" x14ac:dyDescent="0.25">
      <c r="A1846">
        <v>26070</v>
      </c>
      <c r="B1846" t="s">
        <v>1295</v>
      </c>
      <c r="C1846">
        <v>0.14699999999999999</v>
      </c>
      <c r="D1846" t="s">
        <v>1264</v>
      </c>
      <c r="E1846">
        <v>100232</v>
      </c>
      <c r="F1846">
        <v>26070</v>
      </c>
      <c r="G1846" t="str">
        <f t="shared" si="156"/>
        <v>26070</v>
      </c>
      <c r="H1846" t="s">
        <v>478</v>
      </c>
      <c r="I1846" t="s">
        <v>1265</v>
      </c>
      <c r="J1846" t="s">
        <v>1271</v>
      </c>
      <c r="K1846" t="s">
        <v>1272</v>
      </c>
      <c r="L1846" t="s">
        <v>1295</v>
      </c>
      <c r="M1846" t="s">
        <v>1296</v>
      </c>
      <c r="N1846">
        <v>1</v>
      </c>
      <c r="O1846" t="str">
        <f t="shared" si="159"/>
        <v>26</v>
      </c>
      <c r="Q1846">
        <v>26</v>
      </c>
      <c r="R1846" t="s">
        <v>1269</v>
      </c>
      <c r="S1846">
        <v>0.14699999999999999</v>
      </c>
      <c r="T1846">
        <v>0.182</v>
      </c>
      <c r="U1846">
        <f t="shared" si="160"/>
        <v>0</v>
      </c>
      <c r="V1846" t="str">
        <f t="shared" si="157"/>
        <v>High Health/
Related Services</v>
      </c>
      <c r="W1846" t="str">
        <f t="shared" si="158"/>
        <v>Health/
Related Services</v>
      </c>
    </row>
    <row r="1847" spans="1:23" x14ac:dyDescent="0.25">
      <c r="A1847">
        <v>26070</v>
      </c>
      <c r="B1847" t="s">
        <v>1291</v>
      </c>
      <c r="C1847">
        <v>4.3999999999999997E-2</v>
      </c>
      <c r="D1847" t="s">
        <v>1264</v>
      </c>
      <c r="E1847">
        <v>100232</v>
      </c>
      <c r="F1847">
        <v>26070</v>
      </c>
      <c r="G1847" t="str">
        <f t="shared" si="156"/>
        <v>26070</v>
      </c>
      <c r="H1847" t="s">
        <v>478</v>
      </c>
      <c r="I1847" t="s">
        <v>1265</v>
      </c>
      <c r="J1847" t="s">
        <v>1266</v>
      </c>
      <c r="K1847" t="s">
        <v>1267</v>
      </c>
      <c r="L1847" t="s">
        <v>1291</v>
      </c>
      <c r="M1847" t="s">
        <v>1292</v>
      </c>
      <c r="N1847">
        <v>1</v>
      </c>
      <c r="O1847" t="str">
        <f t="shared" si="159"/>
        <v>26</v>
      </c>
      <c r="Q1847">
        <v>26</v>
      </c>
      <c r="R1847" t="s">
        <v>1269</v>
      </c>
      <c r="S1847">
        <v>4.3999999999999997E-2</v>
      </c>
      <c r="T1847">
        <v>0.182</v>
      </c>
      <c r="U1847">
        <f t="shared" si="160"/>
        <v>0</v>
      </c>
      <c r="V1847" t="str">
        <f t="shared" si="157"/>
        <v>Middle Health/
Related Services</v>
      </c>
      <c r="W1847" t="str">
        <f t="shared" si="158"/>
        <v>Health/
Related Services</v>
      </c>
    </row>
    <row r="1848" spans="1:23" x14ac:dyDescent="0.25">
      <c r="A1848">
        <v>26070</v>
      </c>
      <c r="B1848" t="s">
        <v>1402</v>
      </c>
      <c r="C1848">
        <v>0.38500000000000001</v>
      </c>
      <c r="D1848" t="s">
        <v>1264</v>
      </c>
      <c r="E1848">
        <v>100232</v>
      </c>
      <c r="F1848">
        <v>26070</v>
      </c>
      <c r="G1848" t="str">
        <f t="shared" si="156"/>
        <v>26070</v>
      </c>
      <c r="H1848" t="s">
        <v>478</v>
      </c>
      <c r="I1848" t="s">
        <v>1265</v>
      </c>
      <c r="J1848" t="s">
        <v>1271</v>
      </c>
      <c r="K1848" t="s">
        <v>1272</v>
      </c>
      <c r="L1848" t="s">
        <v>1402</v>
      </c>
      <c r="M1848" t="s">
        <v>1408</v>
      </c>
      <c r="N1848">
        <v>97</v>
      </c>
      <c r="O1848" t="str">
        <f t="shared" si="159"/>
        <v>35</v>
      </c>
      <c r="Q1848">
        <v>35</v>
      </c>
      <c r="R1848" t="s">
        <v>1269</v>
      </c>
      <c r="S1848">
        <v>0.38500000000000001</v>
      </c>
      <c r="T1848">
        <v>0.182</v>
      </c>
      <c r="U1848">
        <f t="shared" si="160"/>
        <v>0</v>
      </c>
      <c r="V1848" t="str">
        <f t="shared" si="157"/>
        <v>High Pupil Safety</v>
      </c>
      <c r="W1848" t="str">
        <f t="shared" si="158"/>
        <v>Pupil Safety</v>
      </c>
    </row>
    <row r="1849" spans="1:23" x14ac:dyDescent="0.25">
      <c r="A1849">
        <v>26070</v>
      </c>
      <c r="B1849" t="s">
        <v>1294</v>
      </c>
      <c r="C1849">
        <v>0.92</v>
      </c>
      <c r="D1849" t="s">
        <v>1264</v>
      </c>
      <c r="E1849">
        <v>100232</v>
      </c>
      <c r="F1849">
        <v>26070</v>
      </c>
      <c r="G1849" t="str">
        <f t="shared" si="156"/>
        <v>26070</v>
      </c>
      <c r="H1849" t="s">
        <v>478</v>
      </c>
      <c r="I1849" t="s">
        <v>1265</v>
      </c>
      <c r="J1849" t="s">
        <v>1276</v>
      </c>
      <c r="K1849" t="s">
        <v>1277</v>
      </c>
      <c r="L1849" t="s">
        <v>1294</v>
      </c>
      <c r="M1849" t="s">
        <v>1354</v>
      </c>
      <c r="N1849">
        <v>21</v>
      </c>
      <c r="O1849" t="str">
        <f t="shared" si="159"/>
        <v>45</v>
      </c>
      <c r="P1849">
        <v>45</v>
      </c>
      <c r="R1849" t="s">
        <v>1269</v>
      </c>
      <c r="S1849">
        <v>0.92</v>
      </c>
      <c r="T1849">
        <v>0.182</v>
      </c>
      <c r="U1849">
        <f t="shared" si="160"/>
        <v>0.16700000000000001</v>
      </c>
      <c r="V1849" t="str">
        <f t="shared" si="157"/>
        <v>Elementary Speech, Language Pathway/
Audio</v>
      </c>
      <c r="W1849" t="str">
        <f t="shared" si="158"/>
        <v>Speech, Language Pathway/
Audio</v>
      </c>
    </row>
    <row r="1850" spans="1:23" x14ac:dyDescent="0.25">
      <c r="A1850">
        <v>26070</v>
      </c>
      <c r="B1850" t="s">
        <v>1298</v>
      </c>
      <c r="C1850">
        <v>0.34200000000000003</v>
      </c>
      <c r="D1850" t="s">
        <v>1264</v>
      </c>
      <c r="E1850">
        <v>100232</v>
      </c>
      <c r="F1850">
        <v>26070</v>
      </c>
      <c r="G1850" t="str">
        <f t="shared" si="156"/>
        <v>26070</v>
      </c>
      <c r="H1850" t="s">
        <v>478</v>
      </c>
      <c r="I1850" t="s">
        <v>1265</v>
      </c>
      <c r="J1850" t="s">
        <v>1276</v>
      </c>
      <c r="K1850" t="s">
        <v>1277</v>
      </c>
      <c r="L1850" t="s">
        <v>1298</v>
      </c>
      <c r="M1850" t="s">
        <v>1349</v>
      </c>
      <c r="N1850">
        <v>21</v>
      </c>
      <c r="O1850" t="str">
        <f t="shared" si="159"/>
        <v>46</v>
      </c>
      <c r="P1850">
        <v>46</v>
      </c>
      <c r="R1850" t="s">
        <v>1269</v>
      </c>
      <c r="S1850">
        <v>0.34200000000000003</v>
      </c>
      <c r="T1850">
        <v>0.182</v>
      </c>
      <c r="U1850">
        <f t="shared" si="160"/>
        <v>6.2E-2</v>
      </c>
      <c r="V1850" t="str">
        <f t="shared" si="157"/>
        <v>Elementary Psychologist</v>
      </c>
      <c r="W1850" t="str">
        <f t="shared" si="158"/>
        <v>Psychologist</v>
      </c>
    </row>
    <row r="1851" spans="1:23" x14ac:dyDescent="0.25">
      <c r="A1851">
        <v>26070</v>
      </c>
      <c r="B1851" t="s">
        <v>1335</v>
      </c>
      <c r="C1851">
        <v>0.499</v>
      </c>
      <c r="D1851" t="s">
        <v>1264</v>
      </c>
      <c r="E1851">
        <v>100232</v>
      </c>
      <c r="F1851">
        <v>26070</v>
      </c>
      <c r="G1851" t="str">
        <f t="shared" si="156"/>
        <v>26070</v>
      </c>
      <c r="H1851" t="s">
        <v>478</v>
      </c>
      <c r="I1851" t="s">
        <v>1265</v>
      </c>
      <c r="J1851" t="s">
        <v>1276</v>
      </c>
      <c r="K1851" t="s">
        <v>1277</v>
      </c>
      <c r="L1851" t="s">
        <v>1335</v>
      </c>
      <c r="M1851" t="s">
        <v>1344</v>
      </c>
      <c r="N1851">
        <v>1</v>
      </c>
      <c r="O1851" t="str">
        <f t="shared" si="159"/>
        <v>47</v>
      </c>
      <c r="P1851">
        <v>47</v>
      </c>
      <c r="R1851" t="s">
        <v>1269</v>
      </c>
      <c r="S1851">
        <v>0.499</v>
      </c>
      <c r="T1851">
        <v>0.182</v>
      </c>
      <c r="U1851">
        <f t="shared" si="160"/>
        <v>0</v>
      </c>
      <c r="V1851" t="str">
        <f t="shared" si="157"/>
        <v>Elementary Nurse</v>
      </c>
      <c r="W1851" t="str">
        <f t="shared" si="158"/>
        <v>Nurse</v>
      </c>
    </row>
    <row r="1852" spans="1:23" x14ac:dyDescent="0.25">
      <c r="A1852">
        <v>26070</v>
      </c>
      <c r="B1852" t="s">
        <v>1341</v>
      </c>
      <c r="C1852">
        <v>0.28999999999999998</v>
      </c>
      <c r="D1852" t="s">
        <v>1264</v>
      </c>
      <c r="E1852">
        <v>100232</v>
      </c>
      <c r="F1852">
        <v>26070</v>
      </c>
      <c r="G1852" t="str">
        <f t="shared" si="156"/>
        <v>26070</v>
      </c>
      <c r="H1852" t="s">
        <v>478</v>
      </c>
      <c r="I1852" t="s">
        <v>1265</v>
      </c>
      <c r="J1852" t="s">
        <v>1271</v>
      </c>
      <c r="K1852" t="s">
        <v>1272</v>
      </c>
      <c r="L1852" t="s">
        <v>1341</v>
      </c>
      <c r="M1852" t="s">
        <v>1342</v>
      </c>
      <c r="N1852">
        <v>1</v>
      </c>
      <c r="O1852" t="str">
        <f t="shared" si="159"/>
        <v>47</v>
      </c>
      <c r="P1852">
        <v>47</v>
      </c>
      <c r="R1852" t="s">
        <v>1269</v>
      </c>
      <c r="S1852">
        <v>0.28999999999999998</v>
      </c>
      <c r="T1852">
        <v>0.182</v>
      </c>
      <c r="U1852">
        <f t="shared" si="160"/>
        <v>0</v>
      </c>
      <c r="V1852" t="str">
        <f t="shared" si="157"/>
        <v>High Nurse</v>
      </c>
      <c r="W1852" t="str">
        <f t="shared" si="158"/>
        <v>Nurse</v>
      </c>
    </row>
    <row r="1853" spans="1:23" x14ac:dyDescent="0.25">
      <c r="A1853">
        <v>26070</v>
      </c>
      <c r="B1853" t="s">
        <v>1338</v>
      </c>
      <c r="C1853">
        <v>0.21099999999999999</v>
      </c>
      <c r="D1853" t="s">
        <v>1264</v>
      </c>
      <c r="E1853">
        <v>100232</v>
      </c>
      <c r="F1853">
        <v>26070</v>
      </c>
      <c r="G1853" t="str">
        <f t="shared" si="156"/>
        <v>26070</v>
      </c>
      <c r="H1853" t="s">
        <v>478</v>
      </c>
      <c r="I1853" t="s">
        <v>1265</v>
      </c>
      <c r="J1853" t="s">
        <v>1266</v>
      </c>
      <c r="K1853" t="s">
        <v>1267</v>
      </c>
      <c r="L1853" t="s">
        <v>1338</v>
      </c>
      <c r="M1853" t="s">
        <v>1339</v>
      </c>
      <c r="N1853">
        <v>1</v>
      </c>
      <c r="O1853" t="str">
        <f t="shared" si="159"/>
        <v>47</v>
      </c>
      <c r="P1853">
        <v>47</v>
      </c>
      <c r="R1853" t="s">
        <v>1269</v>
      </c>
      <c r="S1853">
        <v>0.21099999999999999</v>
      </c>
      <c r="T1853">
        <v>0.182</v>
      </c>
      <c r="U1853">
        <f t="shared" si="160"/>
        <v>0</v>
      </c>
      <c r="V1853" t="str">
        <f t="shared" si="157"/>
        <v>Middle Nurse</v>
      </c>
      <c r="W1853" t="str">
        <f t="shared" si="158"/>
        <v>Nurse</v>
      </c>
    </row>
    <row r="1854" spans="1:23" x14ac:dyDescent="0.25">
      <c r="A1854">
        <v>27001</v>
      </c>
      <c r="B1854" t="s">
        <v>1290</v>
      </c>
      <c r="C1854">
        <v>0.2</v>
      </c>
      <c r="D1854" t="s">
        <v>1264</v>
      </c>
      <c r="E1854">
        <v>100254</v>
      </c>
      <c r="F1854">
        <v>27001</v>
      </c>
      <c r="G1854" t="str">
        <f t="shared" si="156"/>
        <v>27001</v>
      </c>
      <c r="H1854" t="s">
        <v>479</v>
      </c>
      <c r="I1854" t="s">
        <v>1265</v>
      </c>
      <c r="J1854" t="s">
        <v>1271</v>
      </c>
      <c r="K1854" t="s">
        <v>1272</v>
      </c>
      <c r="L1854" t="s">
        <v>1290</v>
      </c>
      <c r="M1854" t="s">
        <v>1412</v>
      </c>
      <c r="N1854">
        <v>97</v>
      </c>
      <c r="O1854" t="str">
        <f t="shared" si="159"/>
        <v>25</v>
      </c>
      <c r="Q1854">
        <v>25</v>
      </c>
      <c r="R1854" t="s">
        <v>1269</v>
      </c>
      <c r="S1854">
        <v>0.2</v>
      </c>
      <c r="T1854">
        <v>0.2147</v>
      </c>
      <c r="U1854">
        <f t="shared" si="160"/>
        <v>0</v>
      </c>
      <c r="V1854" t="str">
        <f t="shared" si="157"/>
        <v>High Pupil Management</v>
      </c>
      <c r="W1854" t="str">
        <f t="shared" si="158"/>
        <v>Pupil Management</v>
      </c>
    </row>
    <row r="1855" spans="1:23" x14ac:dyDescent="0.25">
      <c r="A1855">
        <v>27001</v>
      </c>
      <c r="B1855" t="s">
        <v>1295</v>
      </c>
      <c r="C1855">
        <v>4.4909999999999997</v>
      </c>
      <c r="D1855" t="s">
        <v>1264</v>
      </c>
      <c r="E1855">
        <v>100254</v>
      </c>
      <c r="F1855">
        <v>27001</v>
      </c>
      <c r="G1855" t="str">
        <f t="shared" si="156"/>
        <v>27001</v>
      </c>
      <c r="H1855" t="s">
        <v>479</v>
      </c>
      <c r="I1855" t="s">
        <v>1265</v>
      </c>
      <c r="J1855" t="s">
        <v>1271</v>
      </c>
      <c r="K1855" t="s">
        <v>1272</v>
      </c>
      <c r="L1855" t="s">
        <v>1295</v>
      </c>
      <c r="M1855" t="s">
        <v>1296</v>
      </c>
      <c r="N1855">
        <v>1</v>
      </c>
      <c r="O1855" t="str">
        <f t="shared" si="159"/>
        <v>26</v>
      </c>
      <c r="Q1855">
        <v>26</v>
      </c>
      <c r="R1855" t="s">
        <v>1269</v>
      </c>
      <c r="S1855">
        <v>4.4909999999999997</v>
      </c>
      <c r="T1855">
        <v>0.2147</v>
      </c>
      <c r="U1855">
        <f t="shared" si="160"/>
        <v>0</v>
      </c>
      <c r="V1855" t="str">
        <f t="shared" si="157"/>
        <v>High Health/
Related Services</v>
      </c>
      <c r="W1855" t="str">
        <f t="shared" si="158"/>
        <v>Health/
Related Services</v>
      </c>
    </row>
    <row r="1856" spans="1:23" x14ac:dyDescent="0.25">
      <c r="A1856">
        <v>27001</v>
      </c>
      <c r="B1856" t="s">
        <v>1401</v>
      </c>
      <c r="C1856">
        <v>1.462</v>
      </c>
      <c r="D1856" t="s">
        <v>1264</v>
      </c>
      <c r="E1856">
        <v>100254</v>
      </c>
      <c r="F1856">
        <v>27001</v>
      </c>
      <c r="G1856" t="str">
        <f t="shared" si="156"/>
        <v>27001</v>
      </c>
      <c r="H1856" t="s">
        <v>479</v>
      </c>
      <c r="I1856" t="s">
        <v>1265</v>
      </c>
      <c r="J1856" t="s">
        <v>1271</v>
      </c>
      <c r="K1856" t="s">
        <v>1272</v>
      </c>
      <c r="L1856" t="s">
        <v>1401</v>
      </c>
      <c r="M1856" t="s">
        <v>1422</v>
      </c>
      <c r="N1856">
        <v>1</v>
      </c>
      <c r="O1856" t="str">
        <f t="shared" si="159"/>
        <v>35</v>
      </c>
      <c r="Q1856">
        <v>35</v>
      </c>
      <c r="R1856" t="s">
        <v>1269</v>
      </c>
      <c r="S1856">
        <v>1.462</v>
      </c>
      <c r="T1856">
        <v>0.2147</v>
      </c>
      <c r="U1856">
        <f t="shared" si="160"/>
        <v>0</v>
      </c>
      <c r="V1856" t="str">
        <f t="shared" si="157"/>
        <v>High Pupil Safety</v>
      </c>
      <c r="W1856" t="str">
        <f t="shared" si="158"/>
        <v>Pupil Safety</v>
      </c>
    </row>
    <row r="1857" spans="1:23" x14ac:dyDescent="0.25">
      <c r="A1857">
        <v>27001</v>
      </c>
      <c r="B1857" t="s">
        <v>1275</v>
      </c>
      <c r="C1857">
        <v>3</v>
      </c>
      <c r="D1857" t="s">
        <v>1264</v>
      </c>
      <c r="E1857">
        <v>100254</v>
      </c>
      <c r="F1857">
        <v>27001</v>
      </c>
      <c r="G1857" t="str">
        <f t="shared" si="156"/>
        <v>27001</v>
      </c>
      <c r="H1857" t="s">
        <v>479</v>
      </c>
      <c r="I1857" t="s">
        <v>1265</v>
      </c>
      <c r="J1857" t="s">
        <v>1276</v>
      </c>
      <c r="K1857" t="s">
        <v>1277</v>
      </c>
      <c r="L1857" t="s">
        <v>1275</v>
      </c>
      <c r="M1857" t="s">
        <v>1278</v>
      </c>
      <c r="N1857">
        <v>1</v>
      </c>
      <c r="O1857" t="str">
        <f t="shared" si="159"/>
        <v>42</v>
      </c>
      <c r="P1857">
        <v>42</v>
      </c>
      <c r="R1857" t="s">
        <v>1269</v>
      </c>
      <c r="S1857">
        <v>3</v>
      </c>
      <c r="T1857">
        <v>0.2147</v>
      </c>
      <c r="U1857">
        <f t="shared" si="160"/>
        <v>0</v>
      </c>
      <c r="V1857" t="str">
        <f t="shared" si="157"/>
        <v>Elementary Counselor</v>
      </c>
      <c r="W1857" t="str">
        <f t="shared" si="158"/>
        <v>Counselor</v>
      </c>
    </row>
    <row r="1858" spans="1:23" x14ac:dyDescent="0.25">
      <c r="A1858">
        <v>27001</v>
      </c>
      <c r="B1858" t="s">
        <v>1270</v>
      </c>
      <c r="C1858">
        <v>3</v>
      </c>
      <c r="D1858" t="s">
        <v>1264</v>
      </c>
      <c r="E1858">
        <v>100254</v>
      </c>
      <c r="F1858">
        <v>27001</v>
      </c>
      <c r="G1858" t="str">
        <f t="shared" ref="G1858:G1921" si="161">TEXT(F1858,"00000")</f>
        <v>27001</v>
      </c>
      <c r="H1858" t="s">
        <v>479</v>
      </c>
      <c r="I1858" t="s">
        <v>1265</v>
      </c>
      <c r="J1858" t="s">
        <v>1271</v>
      </c>
      <c r="K1858" t="s">
        <v>1272</v>
      </c>
      <c r="L1858" t="s">
        <v>1270</v>
      </c>
      <c r="M1858" t="s">
        <v>1273</v>
      </c>
      <c r="N1858">
        <v>1</v>
      </c>
      <c r="O1858" t="str">
        <f t="shared" si="159"/>
        <v>42</v>
      </c>
      <c r="P1858">
        <v>42</v>
      </c>
      <c r="R1858" t="s">
        <v>1269</v>
      </c>
      <c r="S1858">
        <v>3</v>
      </c>
      <c r="T1858">
        <v>0.2147</v>
      </c>
      <c r="U1858">
        <f t="shared" si="160"/>
        <v>0</v>
      </c>
      <c r="V1858" t="str">
        <f t="shared" ref="V1858:V1921" si="162">_xlfn.XLOOKUP(L1858,$BV:$BV,$BT:$BT,,0)</f>
        <v>High Counselor</v>
      </c>
      <c r="W1858" t="str">
        <f t="shared" ref="W1858:W1921" si="163">_xlfn.TEXTAFTER(V1858," ")</f>
        <v>Counselor</v>
      </c>
    </row>
    <row r="1859" spans="1:23" x14ac:dyDescent="0.25">
      <c r="A1859">
        <v>27001</v>
      </c>
      <c r="B1859" t="s">
        <v>1263</v>
      </c>
      <c r="C1859">
        <v>1</v>
      </c>
      <c r="D1859" t="s">
        <v>1264</v>
      </c>
      <c r="E1859">
        <v>100254</v>
      </c>
      <c r="F1859">
        <v>27001</v>
      </c>
      <c r="G1859" t="str">
        <f t="shared" si="161"/>
        <v>27001</v>
      </c>
      <c r="H1859" t="s">
        <v>479</v>
      </c>
      <c r="I1859" t="s">
        <v>1265</v>
      </c>
      <c r="J1859" t="s">
        <v>1266</v>
      </c>
      <c r="K1859" t="s">
        <v>1267</v>
      </c>
      <c r="L1859" t="s">
        <v>1263</v>
      </c>
      <c r="M1859" t="s">
        <v>1268</v>
      </c>
      <c r="N1859">
        <v>1</v>
      </c>
      <c r="O1859" t="str">
        <f t="shared" ref="O1859:O1922" si="164">MID(L1859,3,2)</f>
        <v>42</v>
      </c>
      <c r="P1859">
        <v>42</v>
      </c>
      <c r="R1859" t="s">
        <v>1269</v>
      </c>
      <c r="S1859">
        <v>1</v>
      </c>
      <c r="T1859">
        <v>0.2147</v>
      </c>
      <c r="U1859">
        <f t="shared" ref="U1859:U1922" si="165">IF(N1859=21,ROUND(T1859*S1859,3),0)</f>
        <v>0</v>
      </c>
      <c r="V1859" t="str">
        <f t="shared" si="162"/>
        <v>Middle Counselor</v>
      </c>
      <c r="W1859" t="str">
        <f t="shared" si="163"/>
        <v>Counselor</v>
      </c>
    </row>
    <row r="1860" spans="1:23" x14ac:dyDescent="0.25">
      <c r="A1860">
        <v>27001</v>
      </c>
      <c r="B1860" t="s">
        <v>1289</v>
      </c>
      <c r="C1860">
        <v>1.59</v>
      </c>
      <c r="D1860" t="s">
        <v>1264</v>
      </c>
      <c r="E1860">
        <v>100254</v>
      </c>
      <c r="F1860">
        <v>27001</v>
      </c>
      <c r="G1860" t="str">
        <f t="shared" si="161"/>
        <v>27001</v>
      </c>
      <c r="H1860" t="s">
        <v>479</v>
      </c>
      <c r="I1860" t="s">
        <v>1265</v>
      </c>
      <c r="J1860" t="s">
        <v>1276</v>
      </c>
      <c r="K1860" t="s">
        <v>1277</v>
      </c>
      <c r="L1860" t="s">
        <v>1289</v>
      </c>
      <c r="M1860" t="s">
        <v>1307</v>
      </c>
      <c r="N1860">
        <v>21</v>
      </c>
      <c r="O1860" t="str">
        <f t="shared" si="164"/>
        <v>43</v>
      </c>
      <c r="P1860">
        <v>43</v>
      </c>
      <c r="R1860" t="s">
        <v>1269</v>
      </c>
      <c r="S1860">
        <v>1.59</v>
      </c>
      <c r="T1860">
        <v>0.2147</v>
      </c>
      <c r="U1860">
        <f t="shared" si="165"/>
        <v>0.34100000000000003</v>
      </c>
      <c r="V1860" t="str">
        <f t="shared" si="162"/>
        <v>Elementary Occupational Therapist</v>
      </c>
      <c r="W1860" t="str">
        <f t="shared" si="163"/>
        <v>Occupational Therapist</v>
      </c>
    </row>
    <row r="1861" spans="1:23" x14ac:dyDescent="0.25">
      <c r="A1861">
        <v>27001</v>
      </c>
      <c r="B1861" t="s">
        <v>1387</v>
      </c>
      <c r="C1861">
        <v>0.25</v>
      </c>
      <c r="D1861" t="s">
        <v>1264</v>
      </c>
      <c r="E1861">
        <v>100254</v>
      </c>
      <c r="F1861">
        <v>27001</v>
      </c>
      <c r="G1861" t="str">
        <f t="shared" si="161"/>
        <v>27001</v>
      </c>
      <c r="H1861" t="s">
        <v>479</v>
      </c>
      <c r="I1861" t="s">
        <v>1265</v>
      </c>
      <c r="J1861" t="s">
        <v>1271</v>
      </c>
      <c r="K1861" t="s">
        <v>1272</v>
      </c>
      <c r="L1861" t="s">
        <v>1387</v>
      </c>
      <c r="M1861" t="s">
        <v>1406</v>
      </c>
      <c r="N1861">
        <v>21</v>
      </c>
      <c r="O1861" t="str">
        <f t="shared" si="164"/>
        <v>43</v>
      </c>
      <c r="P1861">
        <v>43</v>
      </c>
      <c r="R1861" t="s">
        <v>1269</v>
      </c>
      <c r="S1861">
        <v>0.25</v>
      </c>
      <c r="T1861">
        <v>0.2147</v>
      </c>
      <c r="U1861">
        <f t="shared" si="165"/>
        <v>5.3999999999999999E-2</v>
      </c>
      <c r="V1861" t="str">
        <f t="shared" si="162"/>
        <v>High Occupational Therapist</v>
      </c>
      <c r="W1861" t="str">
        <f t="shared" si="163"/>
        <v>Occupational Therapist</v>
      </c>
    </row>
    <row r="1862" spans="1:23" x14ac:dyDescent="0.25">
      <c r="A1862">
        <v>27001</v>
      </c>
      <c r="B1862" t="s">
        <v>1303</v>
      </c>
      <c r="C1862">
        <v>0.16</v>
      </c>
      <c r="D1862" t="s">
        <v>1264</v>
      </c>
      <c r="E1862">
        <v>100254</v>
      </c>
      <c r="F1862">
        <v>27001</v>
      </c>
      <c r="G1862" t="str">
        <f t="shared" si="161"/>
        <v>27001</v>
      </c>
      <c r="H1862" t="s">
        <v>479</v>
      </c>
      <c r="I1862" t="s">
        <v>1265</v>
      </c>
      <c r="J1862" t="s">
        <v>1266</v>
      </c>
      <c r="K1862" t="s">
        <v>1267</v>
      </c>
      <c r="L1862" t="s">
        <v>1303</v>
      </c>
      <c r="M1862" t="s">
        <v>1304</v>
      </c>
      <c r="N1862">
        <v>21</v>
      </c>
      <c r="O1862" t="str">
        <f t="shared" si="164"/>
        <v>43</v>
      </c>
      <c r="P1862">
        <v>43</v>
      </c>
      <c r="R1862" t="s">
        <v>1269</v>
      </c>
      <c r="S1862">
        <v>0.16</v>
      </c>
      <c r="T1862">
        <v>0.2147</v>
      </c>
      <c r="U1862">
        <f t="shared" si="165"/>
        <v>3.4000000000000002E-2</v>
      </c>
      <c r="V1862" t="str">
        <f t="shared" si="162"/>
        <v>Middle Occupational Therapist</v>
      </c>
      <c r="W1862" t="str">
        <f t="shared" si="163"/>
        <v>Occupational Therapist</v>
      </c>
    </row>
    <row r="1863" spans="1:23" x14ac:dyDescent="0.25">
      <c r="A1863">
        <v>27001</v>
      </c>
      <c r="B1863" t="s">
        <v>1331</v>
      </c>
      <c r="C1863">
        <v>1</v>
      </c>
      <c r="D1863" t="s">
        <v>1264</v>
      </c>
      <c r="E1863">
        <v>100254</v>
      </c>
      <c r="F1863">
        <v>27001</v>
      </c>
      <c r="G1863" t="str">
        <f t="shared" si="161"/>
        <v>27001</v>
      </c>
      <c r="H1863" t="s">
        <v>479</v>
      </c>
      <c r="I1863" t="s">
        <v>1265</v>
      </c>
      <c r="J1863" t="s">
        <v>1276</v>
      </c>
      <c r="K1863" t="s">
        <v>1277</v>
      </c>
      <c r="L1863" t="s">
        <v>1331</v>
      </c>
      <c r="M1863" t="s">
        <v>1405</v>
      </c>
      <c r="N1863">
        <v>1</v>
      </c>
      <c r="O1863" t="str">
        <f t="shared" si="164"/>
        <v>44</v>
      </c>
      <c r="P1863">
        <v>44</v>
      </c>
      <c r="R1863" t="s">
        <v>1269</v>
      </c>
      <c r="S1863">
        <v>1</v>
      </c>
      <c r="T1863">
        <v>0.2147</v>
      </c>
      <c r="U1863">
        <f t="shared" si="165"/>
        <v>0</v>
      </c>
      <c r="V1863" t="str">
        <f t="shared" si="162"/>
        <v>Elementary Social Worker</v>
      </c>
      <c r="W1863" t="str">
        <f t="shared" si="163"/>
        <v>Social Worker</v>
      </c>
    </row>
    <row r="1864" spans="1:23" x14ac:dyDescent="0.25">
      <c r="A1864">
        <v>27001</v>
      </c>
      <c r="B1864" t="s">
        <v>1294</v>
      </c>
      <c r="C1864">
        <v>3.7</v>
      </c>
      <c r="D1864" t="s">
        <v>1264</v>
      </c>
      <c r="E1864">
        <v>100254</v>
      </c>
      <c r="F1864">
        <v>27001</v>
      </c>
      <c r="G1864" t="str">
        <f t="shared" si="161"/>
        <v>27001</v>
      </c>
      <c r="H1864" t="s">
        <v>479</v>
      </c>
      <c r="I1864" t="s">
        <v>1265</v>
      </c>
      <c r="J1864" t="s">
        <v>1276</v>
      </c>
      <c r="K1864" t="s">
        <v>1277</v>
      </c>
      <c r="L1864" t="s">
        <v>1294</v>
      </c>
      <c r="M1864" t="s">
        <v>1354</v>
      </c>
      <c r="N1864">
        <v>21</v>
      </c>
      <c r="O1864" t="str">
        <f t="shared" si="164"/>
        <v>45</v>
      </c>
      <c r="P1864">
        <v>45</v>
      </c>
      <c r="R1864" t="s">
        <v>1269</v>
      </c>
      <c r="S1864">
        <v>3.7</v>
      </c>
      <c r="T1864">
        <v>0.2147</v>
      </c>
      <c r="U1864">
        <f t="shared" si="165"/>
        <v>0.79400000000000004</v>
      </c>
      <c r="V1864" t="str">
        <f t="shared" si="162"/>
        <v>Elementary Speech, Language Pathway/
Audio</v>
      </c>
      <c r="W1864" t="str">
        <f t="shared" si="163"/>
        <v>Speech, Language Pathway/
Audio</v>
      </c>
    </row>
    <row r="1865" spans="1:23" x14ac:dyDescent="0.25">
      <c r="A1865">
        <v>27001</v>
      </c>
      <c r="B1865" t="s">
        <v>1326</v>
      </c>
      <c r="C1865">
        <v>0.5</v>
      </c>
      <c r="D1865" t="s">
        <v>1264</v>
      </c>
      <c r="E1865">
        <v>100254</v>
      </c>
      <c r="F1865">
        <v>27001</v>
      </c>
      <c r="G1865" t="str">
        <f t="shared" si="161"/>
        <v>27001</v>
      </c>
      <c r="H1865" t="s">
        <v>479</v>
      </c>
      <c r="I1865" t="s">
        <v>1265</v>
      </c>
      <c r="J1865" t="s">
        <v>1271</v>
      </c>
      <c r="K1865" t="s">
        <v>1272</v>
      </c>
      <c r="L1865" t="s">
        <v>1326</v>
      </c>
      <c r="M1865" t="s">
        <v>1353</v>
      </c>
      <c r="N1865">
        <v>21</v>
      </c>
      <c r="O1865" t="str">
        <f t="shared" si="164"/>
        <v>45</v>
      </c>
      <c r="P1865">
        <v>45</v>
      </c>
      <c r="R1865" t="s">
        <v>1269</v>
      </c>
      <c r="S1865">
        <v>0.5</v>
      </c>
      <c r="T1865">
        <v>0.2147</v>
      </c>
      <c r="U1865">
        <f t="shared" si="165"/>
        <v>0.107</v>
      </c>
      <c r="V1865" t="str">
        <f t="shared" si="162"/>
        <v>High Speech, Language Pathway/
Audio</v>
      </c>
      <c r="W1865" t="str">
        <f t="shared" si="163"/>
        <v>Speech, Language Pathway/
Audio</v>
      </c>
    </row>
    <row r="1866" spans="1:23" x14ac:dyDescent="0.25">
      <c r="A1866">
        <v>27001</v>
      </c>
      <c r="B1866" t="s">
        <v>1312</v>
      </c>
      <c r="C1866">
        <v>0.4</v>
      </c>
      <c r="D1866" t="s">
        <v>1264</v>
      </c>
      <c r="E1866">
        <v>100254</v>
      </c>
      <c r="F1866">
        <v>27001</v>
      </c>
      <c r="G1866" t="str">
        <f t="shared" si="161"/>
        <v>27001</v>
      </c>
      <c r="H1866" t="s">
        <v>479</v>
      </c>
      <c r="I1866" t="s">
        <v>1265</v>
      </c>
      <c r="J1866" t="s">
        <v>1266</v>
      </c>
      <c r="K1866" t="s">
        <v>1267</v>
      </c>
      <c r="L1866" t="s">
        <v>1312</v>
      </c>
      <c r="M1866" t="s">
        <v>1351</v>
      </c>
      <c r="N1866">
        <v>21</v>
      </c>
      <c r="O1866" t="str">
        <f t="shared" si="164"/>
        <v>45</v>
      </c>
      <c r="P1866">
        <v>45</v>
      </c>
      <c r="R1866" t="s">
        <v>1269</v>
      </c>
      <c r="S1866">
        <v>0.4</v>
      </c>
      <c r="T1866">
        <v>0.2147</v>
      </c>
      <c r="U1866">
        <f t="shared" si="165"/>
        <v>8.5999999999999993E-2</v>
      </c>
      <c r="V1866" t="str">
        <f t="shared" si="162"/>
        <v>Middle Speech, Language Pathway/
Audio</v>
      </c>
      <c r="W1866" t="str">
        <f t="shared" si="163"/>
        <v>Speech, Language Pathway/
Audio</v>
      </c>
    </row>
    <row r="1867" spans="1:23" x14ac:dyDescent="0.25">
      <c r="A1867">
        <v>27001</v>
      </c>
      <c r="B1867" t="s">
        <v>1298</v>
      </c>
      <c r="C1867">
        <v>2.855</v>
      </c>
      <c r="D1867" t="s">
        <v>1264</v>
      </c>
      <c r="E1867">
        <v>100254</v>
      </c>
      <c r="F1867">
        <v>27001</v>
      </c>
      <c r="G1867" t="str">
        <f t="shared" si="161"/>
        <v>27001</v>
      </c>
      <c r="H1867" t="s">
        <v>479</v>
      </c>
      <c r="I1867" t="s">
        <v>1265</v>
      </c>
      <c r="J1867" t="s">
        <v>1276</v>
      </c>
      <c r="K1867" t="s">
        <v>1277</v>
      </c>
      <c r="L1867" t="s">
        <v>1298</v>
      </c>
      <c r="M1867" t="s">
        <v>1349</v>
      </c>
      <c r="N1867">
        <v>21</v>
      </c>
      <c r="O1867" t="str">
        <f t="shared" si="164"/>
        <v>46</v>
      </c>
      <c r="P1867">
        <v>46</v>
      </c>
      <c r="R1867" t="s">
        <v>1269</v>
      </c>
      <c r="S1867">
        <v>2.855</v>
      </c>
      <c r="T1867">
        <v>0.2147</v>
      </c>
      <c r="U1867">
        <f t="shared" si="165"/>
        <v>0.61299999999999999</v>
      </c>
      <c r="V1867" t="str">
        <f t="shared" si="162"/>
        <v>Elementary Psychologist</v>
      </c>
      <c r="W1867" t="str">
        <f t="shared" si="163"/>
        <v>Psychologist</v>
      </c>
    </row>
    <row r="1868" spans="1:23" x14ac:dyDescent="0.25">
      <c r="A1868">
        <v>27001</v>
      </c>
      <c r="B1868" t="s">
        <v>1309</v>
      </c>
      <c r="C1868">
        <v>0.5</v>
      </c>
      <c r="D1868" t="s">
        <v>1264</v>
      </c>
      <c r="E1868">
        <v>100254</v>
      </c>
      <c r="F1868">
        <v>27001</v>
      </c>
      <c r="G1868" t="str">
        <f t="shared" si="161"/>
        <v>27001</v>
      </c>
      <c r="H1868" t="s">
        <v>479</v>
      </c>
      <c r="I1868" t="s">
        <v>1265</v>
      </c>
      <c r="J1868" t="s">
        <v>1271</v>
      </c>
      <c r="K1868" t="s">
        <v>1272</v>
      </c>
      <c r="L1868" t="s">
        <v>1309</v>
      </c>
      <c r="M1868" t="s">
        <v>1310</v>
      </c>
      <c r="N1868">
        <v>21</v>
      </c>
      <c r="O1868" t="str">
        <f t="shared" si="164"/>
        <v>46</v>
      </c>
      <c r="P1868">
        <v>46</v>
      </c>
      <c r="R1868" t="s">
        <v>1269</v>
      </c>
      <c r="S1868">
        <v>0.5</v>
      </c>
      <c r="T1868">
        <v>0.2147</v>
      </c>
      <c r="U1868">
        <f t="shared" si="165"/>
        <v>0.107</v>
      </c>
      <c r="V1868" t="str">
        <f t="shared" si="162"/>
        <v>High Psychologist</v>
      </c>
      <c r="W1868" t="str">
        <f t="shared" si="163"/>
        <v>Psychologist</v>
      </c>
    </row>
    <row r="1869" spans="1:23" x14ac:dyDescent="0.25">
      <c r="A1869">
        <v>27001</v>
      </c>
      <c r="B1869" t="s">
        <v>1345</v>
      </c>
      <c r="C1869">
        <v>0.245</v>
      </c>
      <c r="D1869" t="s">
        <v>1264</v>
      </c>
      <c r="E1869">
        <v>100254</v>
      </c>
      <c r="F1869">
        <v>27001</v>
      </c>
      <c r="G1869" t="str">
        <f t="shared" si="161"/>
        <v>27001</v>
      </c>
      <c r="H1869" t="s">
        <v>479</v>
      </c>
      <c r="I1869" t="s">
        <v>1265</v>
      </c>
      <c r="J1869" t="s">
        <v>1266</v>
      </c>
      <c r="K1869" t="s">
        <v>1267</v>
      </c>
      <c r="L1869" t="s">
        <v>1345</v>
      </c>
      <c r="M1869" t="s">
        <v>1346</v>
      </c>
      <c r="N1869">
        <v>21</v>
      </c>
      <c r="O1869" t="str">
        <f t="shared" si="164"/>
        <v>46</v>
      </c>
      <c r="P1869">
        <v>46</v>
      </c>
      <c r="R1869" t="s">
        <v>1269</v>
      </c>
      <c r="S1869">
        <v>0.245</v>
      </c>
      <c r="T1869">
        <v>0.2147</v>
      </c>
      <c r="U1869">
        <f t="shared" si="165"/>
        <v>5.2999999999999999E-2</v>
      </c>
      <c r="V1869" t="str">
        <f t="shared" si="162"/>
        <v>Middle Psychologist</v>
      </c>
      <c r="W1869" t="str">
        <f t="shared" si="163"/>
        <v>Psychologist</v>
      </c>
    </row>
    <row r="1870" spans="1:23" x14ac:dyDescent="0.25">
      <c r="A1870">
        <v>27001</v>
      </c>
      <c r="B1870" t="s">
        <v>1335</v>
      </c>
      <c r="C1870">
        <v>0.6</v>
      </c>
      <c r="D1870" t="s">
        <v>1264</v>
      </c>
      <c r="E1870">
        <v>100254</v>
      </c>
      <c r="F1870">
        <v>27001</v>
      </c>
      <c r="G1870" t="str">
        <f t="shared" si="161"/>
        <v>27001</v>
      </c>
      <c r="H1870" t="s">
        <v>479</v>
      </c>
      <c r="I1870" t="s">
        <v>1265</v>
      </c>
      <c r="J1870" t="s">
        <v>1276</v>
      </c>
      <c r="K1870" t="s">
        <v>1277</v>
      </c>
      <c r="L1870" t="s">
        <v>1335</v>
      </c>
      <c r="M1870" t="s">
        <v>1344</v>
      </c>
      <c r="N1870">
        <v>1</v>
      </c>
      <c r="O1870" t="str">
        <f t="shared" si="164"/>
        <v>47</v>
      </c>
      <c r="P1870">
        <v>47</v>
      </c>
      <c r="R1870" t="s">
        <v>1269</v>
      </c>
      <c r="S1870">
        <v>0.6</v>
      </c>
      <c r="T1870">
        <v>0.2147</v>
      </c>
      <c r="U1870">
        <f t="shared" si="165"/>
        <v>0</v>
      </c>
      <c r="V1870" t="str">
        <f t="shared" si="162"/>
        <v>Elementary Nurse</v>
      </c>
      <c r="W1870" t="str">
        <f t="shared" si="163"/>
        <v>Nurse</v>
      </c>
    </row>
    <row r="1871" spans="1:23" x14ac:dyDescent="0.25">
      <c r="A1871">
        <v>27001</v>
      </c>
      <c r="B1871" t="s">
        <v>1341</v>
      </c>
      <c r="C1871">
        <v>0.2</v>
      </c>
      <c r="D1871" t="s">
        <v>1264</v>
      </c>
      <c r="E1871">
        <v>100254</v>
      </c>
      <c r="F1871">
        <v>27001</v>
      </c>
      <c r="G1871" t="str">
        <f t="shared" si="161"/>
        <v>27001</v>
      </c>
      <c r="H1871" t="s">
        <v>479</v>
      </c>
      <c r="I1871" t="s">
        <v>1265</v>
      </c>
      <c r="J1871" t="s">
        <v>1271</v>
      </c>
      <c r="K1871" t="s">
        <v>1272</v>
      </c>
      <c r="L1871" t="s">
        <v>1341</v>
      </c>
      <c r="M1871" t="s">
        <v>1342</v>
      </c>
      <c r="N1871">
        <v>1</v>
      </c>
      <c r="O1871" t="str">
        <f t="shared" si="164"/>
        <v>47</v>
      </c>
      <c r="P1871">
        <v>47</v>
      </c>
      <c r="R1871" t="s">
        <v>1269</v>
      </c>
      <c r="S1871">
        <v>0.2</v>
      </c>
      <c r="T1871">
        <v>0.2147</v>
      </c>
      <c r="U1871">
        <f t="shared" si="165"/>
        <v>0</v>
      </c>
      <c r="V1871" t="str">
        <f t="shared" si="162"/>
        <v>High Nurse</v>
      </c>
      <c r="W1871" t="str">
        <f t="shared" si="163"/>
        <v>Nurse</v>
      </c>
    </row>
    <row r="1872" spans="1:23" x14ac:dyDescent="0.25">
      <c r="A1872">
        <v>27001</v>
      </c>
      <c r="B1872" t="s">
        <v>1338</v>
      </c>
      <c r="C1872">
        <v>0.2</v>
      </c>
      <c r="D1872" t="s">
        <v>1264</v>
      </c>
      <c r="E1872">
        <v>100254</v>
      </c>
      <c r="F1872">
        <v>27001</v>
      </c>
      <c r="G1872" t="str">
        <f t="shared" si="161"/>
        <v>27001</v>
      </c>
      <c r="H1872" t="s">
        <v>479</v>
      </c>
      <c r="I1872" t="s">
        <v>1265</v>
      </c>
      <c r="J1872" t="s">
        <v>1266</v>
      </c>
      <c r="K1872" t="s">
        <v>1267</v>
      </c>
      <c r="L1872" t="s">
        <v>1338</v>
      </c>
      <c r="M1872" t="s">
        <v>1339</v>
      </c>
      <c r="N1872">
        <v>1</v>
      </c>
      <c r="O1872" t="str">
        <f t="shared" si="164"/>
        <v>47</v>
      </c>
      <c r="P1872">
        <v>47</v>
      </c>
      <c r="R1872" t="s">
        <v>1269</v>
      </c>
      <c r="S1872">
        <v>0.2</v>
      </c>
      <c r="T1872">
        <v>0.2147</v>
      </c>
      <c r="U1872">
        <f t="shared" si="165"/>
        <v>0</v>
      </c>
      <c r="V1872" t="str">
        <f t="shared" si="162"/>
        <v>Middle Nurse</v>
      </c>
      <c r="W1872" t="str">
        <f t="shared" si="163"/>
        <v>Nurse</v>
      </c>
    </row>
    <row r="1873" spans="1:23" x14ac:dyDescent="0.25">
      <c r="A1873">
        <v>27001</v>
      </c>
      <c r="B1873" t="s">
        <v>1302</v>
      </c>
      <c r="C1873">
        <v>0.25</v>
      </c>
      <c r="D1873" t="s">
        <v>1264</v>
      </c>
      <c r="E1873">
        <v>100254</v>
      </c>
      <c r="F1873">
        <v>27001</v>
      </c>
      <c r="G1873" t="str">
        <f t="shared" si="161"/>
        <v>27001</v>
      </c>
      <c r="H1873" t="s">
        <v>479</v>
      </c>
      <c r="I1873" t="s">
        <v>1265</v>
      </c>
      <c r="J1873" t="s">
        <v>1276</v>
      </c>
      <c r="K1873" t="s">
        <v>1277</v>
      </c>
      <c r="L1873" t="s">
        <v>1302</v>
      </c>
      <c r="M1873" t="s">
        <v>1336</v>
      </c>
      <c r="N1873">
        <v>21</v>
      </c>
      <c r="O1873" t="str">
        <f t="shared" si="164"/>
        <v>48</v>
      </c>
      <c r="P1873">
        <v>48</v>
      </c>
      <c r="R1873" t="s">
        <v>1269</v>
      </c>
      <c r="S1873">
        <v>0.25</v>
      </c>
      <c r="T1873">
        <v>0.2147</v>
      </c>
      <c r="U1873">
        <f t="shared" si="165"/>
        <v>5.3999999999999999E-2</v>
      </c>
      <c r="V1873" t="str">
        <f t="shared" si="162"/>
        <v>Elementary Physical Therapist</v>
      </c>
      <c r="W1873" t="str">
        <f t="shared" si="163"/>
        <v>Physical Therapist</v>
      </c>
    </row>
    <row r="1874" spans="1:23" x14ac:dyDescent="0.25">
      <c r="A1874">
        <v>27001</v>
      </c>
      <c r="B1874" t="s">
        <v>1330</v>
      </c>
      <c r="C1874">
        <v>0.125</v>
      </c>
      <c r="D1874" t="s">
        <v>1264</v>
      </c>
      <c r="E1874">
        <v>100254</v>
      </c>
      <c r="F1874">
        <v>27001</v>
      </c>
      <c r="G1874" t="str">
        <f t="shared" si="161"/>
        <v>27001</v>
      </c>
      <c r="H1874" t="s">
        <v>479</v>
      </c>
      <c r="I1874" t="s">
        <v>1265</v>
      </c>
      <c r="J1874" t="s">
        <v>1271</v>
      </c>
      <c r="K1874" t="s">
        <v>1272</v>
      </c>
      <c r="L1874" t="s">
        <v>1330</v>
      </c>
      <c r="M1874" t="s">
        <v>1367</v>
      </c>
      <c r="N1874">
        <v>21</v>
      </c>
      <c r="O1874" t="str">
        <f t="shared" si="164"/>
        <v>48</v>
      </c>
      <c r="P1874">
        <v>48</v>
      </c>
      <c r="R1874" t="s">
        <v>1269</v>
      </c>
      <c r="S1874">
        <v>0.125</v>
      </c>
      <c r="T1874">
        <v>0.2147</v>
      </c>
      <c r="U1874">
        <f t="shared" si="165"/>
        <v>2.7E-2</v>
      </c>
      <c r="V1874" t="str">
        <f t="shared" si="162"/>
        <v>High Physical Therapist</v>
      </c>
      <c r="W1874" t="str">
        <f t="shared" si="163"/>
        <v>Physical Therapist</v>
      </c>
    </row>
    <row r="1875" spans="1:23" x14ac:dyDescent="0.25">
      <c r="A1875">
        <v>27001</v>
      </c>
      <c r="B1875" t="s">
        <v>1316</v>
      </c>
      <c r="C1875">
        <v>0.125</v>
      </c>
      <c r="D1875" t="s">
        <v>1264</v>
      </c>
      <c r="E1875">
        <v>100254</v>
      </c>
      <c r="F1875">
        <v>27001</v>
      </c>
      <c r="G1875" t="str">
        <f t="shared" si="161"/>
        <v>27001</v>
      </c>
      <c r="H1875" t="s">
        <v>479</v>
      </c>
      <c r="I1875" t="s">
        <v>1265</v>
      </c>
      <c r="J1875" t="s">
        <v>1266</v>
      </c>
      <c r="K1875" t="s">
        <v>1267</v>
      </c>
      <c r="L1875" t="s">
        <v>1316</v>
      </c>
      <c r="M1875" t="s">
        <v>1366</v>
      </c>
      <c r="N1875">
        <v>21</v>
      </c>
      <c r="O1875" t="str">
        <f t="shared" si="164"/>
        <v>48</v>
      </c>
      <c r="P1875">
        <v>48</v>
      </c>
      <c r="R1875" t="s">
        <v>1269</v>
      </c>
      <c r="S1875">
        <v>0.125</v>
      </c>
      <c r="T1875">
        <v>0.2147</v>
      </c>
      <c r="U1875">
        <f t="shared" si="165"/>
        <v>2.7E-2</v>
      </c>
      <c r="V1875" t="str">
        <f t="shared" si="162"/>
        <v>Middle Physical Therapist</v>
      </c>
      <c r="W1875" t="str">
        <f t="shared" si="163"/>
        <v>Physical Therapist</v>
      </c>
    </row>
    <row r="1876" spans="1:23" x14ac:dyDescent="0.25">
      <c r="A1876">
        <v>27003</v>
      </c>
      <c r="B1876" t="s">
        <v>1379</v>
      </c>
      <c r="C1876">
        <v>3.1949999999999998</v>
      </c>
      <c r="D1876" t="s">
        <v>1264</v>
      </c>
      <c r="E1876">
        <v>100207</v>
      </c>
      <c r="F1876">
        <v>27003</v>
      </c>
      <c r="G1876" t="str">
        <f t="shared" si="161"/>
        <v>27003</v>
      </c>
      <c r="H1876" t="s">
        <v>480</v>
      </c>
      <c r="I1876" t="s">
        <v>1265</v>
      </c>
      <c r="J1876" t="s">
        <v>1271</v>
      </c>
      <c r="K1876" t="s">
        <v>1272</v>
      </c>
      <c r="L1876" t="s">
        <v>1379</v>
      </c>
      <c r="M1876" t="s">
        <v>1380</v>
      </c>
      <c r="N1876">
        <v>21</v>
      </c>
      <c r="O1876" t="str">
        <f t="shared" si="164"/>
        <v>24</v>
      </c>
      <c r="P1876">
        <v>96</v>
      </c>
      <c r="Q1876">
        <v>24</v>
      </c>
      <c r="R1876" t="s">
        <v>1269</v>
      </c>
      <c r="S1876">
        <v>3.1949999999999998</v>
      </c>
      <c r="T1876">
        <v>0.30399999999999999</v>
      </c>
      <c r="U1876">
        <f t="shared" si="165"/>
        <v>0.97099999999999997</v>
      </c>
      <c r="V1876" t="str">
        <f t="shared" si="162"/>
        <v>High Family Engagement Coordinator</v>
      </c>
      <c r="W1876" t="str">
        <f t="shared" si="163"/>
        <v>Family Engagement Coordinator</v>
      </c>
    </row>
    <row r="1877" spans="1:23" x14ac:dyDescent="0.25">
      <c r="A1877">
        <v>27003</v>
      </c>
      <c r="B1877" t="s">
        <v>1383</v>
      </c>
      <c r="C1877">
        <v>1.51</v>
      </c>
      <c r="D1877" t="s">
        <v>1264</v>
      </c>
      <c r="E1877">
        <v>100207</v>
      </c>
      <c r="F1877">
        <v>27003</v>
      </c>
      <c r="G1877" t="str">
        <f t="shared" si="161"/>
        <v>27003</v>
      </c>
      <c r="H1877" t="s">
        <v>480</v>
      </c>
      <c r="I1877" t="s">
        <v>1265</v>
      </c>
      <c r="J1877" t="s">
        <v>1271</v>
      </c>
      <c r="K1877" t="s">
        <v>1272</v>
      </c>
      <c r="L1877" t="s">
        <v>1383</v>
      </c>
      <c r="M1877" t="s">
        <v>1409</v>
      </c>
      <c r="N1877">
        <v>21</v>
      </c>
      <c r="O1877" t="str">
        <f t="shared" si="164"/>
        <v>25</v>
      </c>
      <c r="Q1877">
        <v>25</v>
      </c>
      <c r="R1877" t="s">
        <v>1269</v>
      </c>
      <c r="S1877">
        <v>1.51</v>
      </c>
      <c r="T1877">
        <v>0.30399999999999999</v>
      </c>
      <c r="U1877">
        <f t="shared" si="165"/>
        <v>0.45900000000000002</v>
      </c>
      <c r="V1877" t="str">
        <f t="shared" si="162"/>
        <v>High Pupil Management</v>
      </c>
      <c r="W1877" t="str">
        <f t="shared" si="163"/>
        <v>Pupil Management</v>
      </c>
    </row>
    <row r="1878" spans="1:23" x14ac:dyDescent="0.25">
      <c r="A1878">
        <v>27003</v>
      </c>
      <c r="B1878" t="s">
        <v>1299</v>
      </c>
      <c r="C1878">
        <v>48.835999999999999</v>
      </c>
      <c r="D1878" t="s">
        <v>1264</v>
      </c>
      <c r="E1878">
        <v>100207</v>
      </c>
      <c r="F1878">
        <v>27003</v>
      </c>
      <c r="G1878" t="str">
        <f t="shared" si="161"/>
        <v>27003</v>
      </c>
      <c r="H1878" t="s">
        <v>480</v>
      </c>
      <c r="I1878" t="s">
        <v>1265</v>
      </c>
      <c r="J1878" t="s">
        <v>1271</v>
      </c>
      <c r="K1878" t="s">
        <v>1272</v>
      </c>
      <c r="L1878" t="s">
        <v>1299</v>
      </c>
      <c r="M1878" t="s">
        <v>1300</v>
      </c>
      <c r="N1878">
        <v>1</v>
      </c>
      <c r="O1878" t="str">
        <f t="shared" si="164"/>
        <v>25</v>
      </c>
      <c r="Q1878">
        <v>25</v>
      </c>
      <c r="R1878" t="s">
        <v>1269</v>
      </c>
      <c r="S1878">
        <v>48.835999999999999</v>
      </c>
      <c r="T1878">
        <v>0.30399999999999999</v>
      </c>
      <c r="U1878">
        <f t="shared" si="165"/>
        <v>0</v>
      </c>
      <c r="V1878" t="str">
        <f t="shared" si="162"/>
        <v>High Pupil Management</v>
      </c>
      <c r="W1878" t="str">
        <f t="shared" si="163"/>
        <v>Pupil Management</v>
      </c>
    </row>
    <row r="1879" spans="1:23" x14ac:dyDescent="0.25">
      <c r="A1879">
        <v>27003</v>
      </c>
      <c r="B1879" t="s">
        <v>1324</v>
      </c>
      <c r="C1879">
        <v>5.883</v>
      </c>
      <c r="D1879" t="s">
        <v>1264</v>
      </c>
      <c r="E1879">
        <v>100207</v>
      </c>
      <c r="F1879">
        <v>27003</v>
      </c>
      <c r="G1879" t="str">
        <f t="shared" si="161"/>
        <v>27003</v>
      </c>
      <c r="H1879" t="s">
        <v>480</v>
      </c>
      <c r="I1879" t="s">
        <v>1265</v>
      </c>
      <c r="J1879" t="s">
        <v>1271</v>
      </c>
      <c r="K1879" t="s">
        <v>1272</v>
      </c>
      <c r="L1879" t="s">
        <v>1324</v>
      </c>
      <c r="M1879" t="s">
        <v>1325</v>
      </c>
      <c r="N1879">
        <v>21</v>
      </c>
      <c r="O1879" t="str">
        <f t="shared" si="164"/>
        <v>26</v>
      </c>
      <c r="Q1879">
        <v>26</v>
      </c>
      <c r="R1879" t="s">
        <v>1269</v>
      </c>
      <c r="S1879">
        <v>5.883</v>
      </c>
      <c r="T1879">
        <v>0.30399999999999999</v>
      </c>
      <c r="U1879">
        <f t="shared" si="165"/>
        <v>1.788</v>
      </c>
      <c r="V1879" t="str">
        <f t="shared" si="162"/>
        <v>High Health/
Related Services</v>
      </c>
      <c r="W1879" t="str">
        <f t="shared" si="163"/>
        <v>Health/
Related Services</v>
      </c>
    </row>
    <row r="1880" spans="1:23" x14ac:dyDescent="0.25">
      <c r="A1880">
        <v>27003</v>
      </c>
      <c r="B1880" t="s">
        <v>1295</v>
      </c>
      <c r="C1880">
        <v>10.586</v>
      </c>
      <c r="D1880" t="s">
        <v>1264</v>
      </c>
      <c r="E1880">
        <v>100207</v>
      </c>
      <c r="F1880">
        <v>27003</v>
      </c>
      <c r="G1880" t="str">
        <f t="shared" si="161"/>
        <v>27003</v>
      </c>
      <c r="H1880" t="s">
        <v>480</v>
      </c>
      <c r="I1880" t="s">
        <v>1265</v>
      </c>
      <c r="J1880" t="s">
        <v>1271</v>
      </c>
      <c r="K1880" t="s">
        <v>1272</v>
      </c>
      <c r="L1880" t="s">
        <v>1295</v>
      </c>
      <c r="M1880" t="s">
        <v>1296</v>
      </c>
      <c r="N1880">
        <v>1</v>
      </c>
      <c r="O1880" t="str">
        <f t="shared" si="164"/>
        <v>26</v>
      </c>
      <c r="Q1880">
        <v>26</v>
      </c>
      <c r="R1880" t="s">
        <v>1269</v>
      </c>
      <c r="S1880">
        <v>10.586</v>
      </c>
      <c r="T1880">
        <v>0.30399999999999999</v>
      </c>
      <c r="U1880">
        <f t="shared" si="165"/>
        <v>0</v>
      </c>
      <c r="V1880" t="str">
        <f t="shared" si="162"/>
        <v>High Health/
Related Services</v>
      </c>
      <c r="W1880" t="str">
        <f t="shared" si="163"/>
        <v>Health/
Related Services</v>
      </c>
    </row>
    <row r="1881" spans="1:23" x14ac:dyDescent="0.25">
      <c r="A1881">
        <v>27003</v>
      </c>
      <c r="B1881" t="s">
        <v>1404</v>
      </c>
      <c r="C1881">
        <v>0.188</v>
      </c>
      <c r="D1881" t="s">
        <v>1264</v>
      </c>
      <c r="E1881">
        <v>100207</v>
      </c>
      <c r="F1881">
        <v>27003</v>
      </c>
      <c r="G1881" t="str">
        <f t="shared" si="161"/>
        <v>27003</v>
      </c>
      <c r="H1881" t="s">
        <v>480</v>
      </c>
      <c r="I1881" t="s">
        <v>1265</v>
      </c>
      <c r="J1881" t="s">
        <v>1271</v>
      </c>
      <c r="K1881" t="s">
        <v>1272</v>
      </c>
      <c r="L1881" t="s">
        <v>1404</v>
      </c>
      <c r="M1881" t="s">
        <v>1443</v>
      </c>
      <c r="N1881">
        <v>21</v>
      </c>
      <c r="O1881" t="str">
        <f t="shared" si="164"/>
        <v>35</v>
      </c>
      <c r="Q1881">
        <v>35</v>
      </c>
      <c r="R1881" t="s">
        <v>1269</v>
      </c>
      <c r="S1881">
        <v>0.188</v>
      </c>
      <c r="T1881">
        <v>0.30399999999999999</v>
      </c>
      <c r="U1881">
        <f t="shared" si="165"/>
        <v>5.7000000000000002E-2</v>
      </c>
      <c r="V1881" t="str">
        <f t="shared" si="162"/>
        <v>High Pupil Safety</v>
      </c>
      <c r="W1881" t="str">
        <f t="shared" si="163"/>
        <v>Pupil Safety</v>
      </c>
    </row>
    <row r="1882" spans="1:23" x14ac:dyDescent="0.25">
      <c r="A1882">
        <v>27003</v>
      </c>
      <c r="B1882" t="s">
        <v>1401</v>
      </c>
      <c r="C1882">
        <v>10.781000000000001</v>
      </c>
      <c r="D1882" t="s">
        <v>1264</v>
      </c>
      <c r="E1882">
        <v>100207</v>
      </c>
      <c r="F1882">
        <v>27003</v>
      </c>
      <c r="G1882" t="str">
        <f t="shared" si="161"/>
        <v>27003</v>
      </c>
      <c r="H1882" t="s">
        <v>480</v>
      </c>
      <c r="I1882" t="s">
        <v>1265</v>
      </c>
      <c r="J1882" t="s">
        <v>1271</v>
      </c>
      <c r="K1882" t="s">
        <v>1272</v>
      </c>
      <c r="L1882" t="s">
        <v>1401</v>
      </c>
      <c r="M1882" t="s">
        <v>1422</v>
      </c>
      <c r="N1882">
        <v>1</v>
      </c>
      <c r="O1882" t="str">
        <f t="shared" si="164"/>
        <v>35</v>
      </c>
      <c r="Q1882">
        <v>35</v>
      </c>
      <c r="R1882" t="s">
        <v>1269</v>
      </c>
      <c r="S1882">
        <v>10.781000000000001</v>
      </c>
      <c r="T1882">
        <v>0.30399999999999999</v>
      </c>
      <c r="U1882">
        <f t="shared" si="165"/>
        <v>0</v>
      </c>
      <c r="V1882" t="str">
        <f t="shared" si="162"/>
        <v>High Pupil Safety</v>
      </c>
      <c r="W1882" t="str">
        <f t="shared" si="163"/>
        <v>Pupil Safety</v>
      </c>
    </row>
    <row r="1883" spans="1:23" x14ac:dyDescent="0.25">
      <c r="A1883">
        <v>27003</v>
      </c>
      <c r="B1883" t="s">
        <v>1319</v>
      </c>
      <c r="C1883">
        <v>2.331</v>
      </c>
      <c r="D1883" t="s">
        <v>1264</v>
      </c>
      <c r="E1883">
        <v>100207</v>
      </c>
      <c r="F1883">
        <v>27003</v>
      </c>
      <c r="G1883" t="str">
        <f t="shared" si="161"/>
        <v>27003</v>
      </c>
      <c r="H1883" t="s">
        <v>480</v>
      </c>
      <c r="I1883" t="s">
        <v>1265</v>
      </c>
      <c r="J1883" t="s">
        <v>1276</v>
      </c>
      <c r="K1883" t="s">
        <v>1277</v>
      </c>
      <c r="L1883" t="s">
        <v>1319</v>
      </c>
      <c r="M1883" t="s">
        <v>1426</v>
      </c>
      <c r="N1883">
        <v>21</v>
      </c>
      <c r="O1883" t="str">
        <f t="shared" si="164"/>
        <v>39</v>
      </c>
      <c r="P1883">
        <v>39</v>
      </c>
      <c r="R1883" t="s">
        <v>1269</v>
      </c>
      <c r="S1883">
        <v>2.331</v>
      </c>
      <c r="T1883">
        <v>0.30399999999999999</v>
      </c>
      <c r="U1883">
        <f t="shared" si="165"/>
        <v>0.70899999999999996</v>
      </c>
      <c r="V1883" t="str">
        <f t="shared" si="162"/>
        <v>Elementary Orientation &amp; Mobility Specialist</v>
      </c>
      <c r="W1883" t="str">
        <f t="shared" si="163"/>
        <v>Orientation &amp; Mobility Specialist</v>
      </c>
    </row>
    <row r="1884" spans="1:23" x14ac:dyDescent="0.25">
      <c r="A1884">
        <v>27003</v>
      </c>
      <c r="B1884" t="s">
        <v>1384</v>
      </c>
      <c r="C1884">
        <v>0.33600000000000002</v>
      </c>
      <c r="D1884" t="s">
        <v>1264</v>
      </c>
      <c r="E1884">
        <v>100207</v>
      </c>
      <c r="F1884">
        <v>27003</v>
      </c>
      <c r="G1884" t="str">
        <f t="shared" si="161"/>
        <v>27003</v>
      </c>
      <c r="H1884" t="s">
        <v>480</v>
      </c>
      <c r="I1884" t="s">
        <v>1265</v>
      </c>
      <c r="J1884" t="s">
        <v>1271</v>
      </c>
      <c r="K1884" t="s">
        <v>1272</v>
      </c>
      <c r="L1884" t="s">
        <v>1384</v>
      </c>
      <c r="M1884" t="s">
        <v>1425</v>
      </c>
      <c r="N1884">
        <v>21</v>
      </c>
      <c r="O1884" t="str">
        <f t="shared" si="164"/>
        <v>39</v>
      </c>
      <c r="P1884">
        <v>39</v>
      </c>
      <c r="R1884" t="s">
        <v>1269</v>
      </c>
      <c r="S1884">
        <v>0.33600000000000002</v>
      </c>
      <c r="T1884">
        <v>0.30399999999999999</v>
      </c>
      <c r="U1884">
        <f t="shared" si="165"/>
        <v>0.10199999999999999</v>
      </c>
      <c r="V1884" t="str">
        <f t="shared" si="162"/>
        <v>High Orientation &amp; Mobility Specialist</v>
      </c>
      <c r="W1884" t="str">
        <f t="shared" si="163"/>
        <v>Orientation &amp; Mobility Specialist</v>
      </c>
    </row>
    <row r="1885" spans="1:23" x14ac:dyDescent="0.25">
      <c r="A1885">
        <v>27003</v>
      </c>
      <c r="B1885" t="s">
        <v>1364</v>
      </c>
      <c r="C1885">
        <v>0.33300000000000002</v>
      </c>
      <c r="D1885" t="s">
        <v>1264</v>
      </c>
      <c r="E1885">
        <v>100207</v>
      </c>
      <c r="F1885">
        <v>27003</v>
      </c>
      <c r="G1885" t="str">
        <f t="shared" si="161"/>
        <v>27003</v>
      </c>
      <c r="H1885" t="s">
        <v>480</v>
      </c>
      <c r="I1885" t="s">
        <v>1265</v>
      </c>
      <c r="J1885" t="s">
        <v>1266</v>
      </c>
      <c r="K1885" t="s">
        <v>1267</v>
      </c>
      <c r="L1885" t="s">
        <v>1364</v>
      </c>
      <c r="M1885" t="s">
        <v>1424</v>
      </c>
      <c r="N1885">
        <v>21</v>
      </c>
      <c r="O1885" t="str">
        <f t="shared" si="164"/>
        <v>39</v>
      </c>
      <c r="P1885">
        <v>39</v>
      </c>
      <c r="R1885" t="s">
        <v>1269</v>
      </c>
      <c r="S1885">
        <v>0.33300000000000002</v>
      </c>
      <c r="T1885">
        <v>0.30399999999999999</v>
      </c>
      <c r="U1885">
        <f t="shared" si="165"/>
        <v>0.10100000000000001</v>
      </c>
      <c r="V1885" t="str">
        <f t="shared" si="162"/>
        <v>Middle Orientation &amp; Mobility Specialist</v>
      </c>
      <c r="W1885" t="str">
        <f t="shared" si="163"/>
        <v>Orientation &amp; Mobility Specialist</v>
      </c>
    </row>
    <row r="1886" spans="1:23" x14ac:dyDescent="0.25">
      <c r="A1886">
        <v>27003</v>
      </c>
      <c r="B1886" t="s">
        <v>1275</v>
      </c>
      <c r="C1886">
        <v>23.74</v>
      </c>
      <c r="D1886" t="s">
        <v>1264</v>
      </c>
      <c r="E1886">
        <v>100207</v>
      </c>
      <c r="F1886">
        <v>27003</v>
      </c>
      <c r="G1886" t="str">
        <f t="shared" si="161"/>
        <v>27003</v>
      </c>
      <c r="H1886" t="s">
        <v>480</v>
      </c>
      <c r="I1886" t="s">
        <v>1265</v>
      </c>
      <c r="J1886" t="s">
        <v>1276</v>
      </c>
      <c r="K1886" t="s">
        <v>1277</v>
      </c>
      <c r="L1886" t="s">
        <v>1275</v>
      </c>
      <c r="M1886" t="s">
        <v>1278</v>
      </c>
      <c r="N1886">
        <v>1</v>
      </c>
      <c r="O1886" t="str">
        <f t="shared" si="164"/>
        <v>42</v>
      </c>
      <c r="P1886">
        <v>42</v>
      </c>
      <c r="R1886" t="s">
        <v>1269</v>
      </c>
      <c r="S1886">
        <v>23.74</v>
      </c>
      <c r="T1886">
        <v>0.30399999999999999</v>
      </c>
      <c r="U1886">
        <f t="shared" si="165"/>
        <v>0</v>
      </c>
      <c r="V1886" t="str">
        <f t="shared" si="162"/>
        <v>Elementary Counselor</v>
      </c>
      <c r="W1886" t="str">
        <f t="shared" si="163"/>
        <v>Counselor</v>
      </c>
    </row>
    <row r="1887" spans="1:23" x14ac:dyDescent="0.25">
      <c r="A1887">
        <v>27003</v>
      </c>
      <c r="B1887" t="s">
        <v>1270</v>
      </c>
      <c r="C1887">
        <v>19.404</v>
      </c>
      <c r="D1887" t="s">
        <v>1264</v>
      </c>
      <c r="E1887">
        <v>100207</v>
      </c>
      <c r="F1887">
        <v>27003</v>
      </c>
      <c r="G1887" t="str">
        <f t="shared" si="161"/>
        <v>27003</v>
      </c>
      <c r="H1887" t="s">
        <v>480</v>
      </c>
      <c r="I1887" t="s">
        <v>1265</v>
      </c>
      <c r="J1887" t="s">
        <v>1271</v>
      </c>
      <c r="K1887" t="s">
        <v>1272</v>
      </c>
      <c r="L1887" t="s">
        <v>1270</v>
      </c>
      <c r="M1887" t="s">
        <v>1273</v>
      </c>
      <c r="N1887">
        <v>1</v>
      </c>
      <c r="O1887" t="str">
        <f t="shared" si="164"/>
        <v>42</v>
      </c>
      <c r="P1887">
        <v>42</v>
      </c>
      <c r="R1887" t="s">
        <v>1269</v>
      </c>
      <c r="S1887">
        <v>19.404</v>
      </c>
      <c r="T1887">
        <v>0.30399999999999999</v>
      </c>
      <c r="U1887">
        <f t="shared" si="165"/>
        <v>0</v>
      </c>
      <c r="V1887" t="str">
        <f t="shared" si="162"/>
        <v>High Counselor</v>
      </c>
      <c r="W1887" t="str">
        <f t="shared" si="163"/>
        <v>Counselor</v>
      </c>
    </row>
    <row r="1888" spans="1:23" x14ac:dyDescent="0.25">
      <c r="A1888">
        <v>27003</v>
      </c>
      <c r="B1888" t="s">
        <v>1263</v>
      </c>
      <c r="C1888">
        <v>8.4559999999999995</v>
      </c>
      <c r="D1888" t="s">
        <v>1264</v>
      </c>
      <c r="E1888">
        <v>100207</v>
      </c>
      <c r="F1888">
        <v>27003</v>
      </c>
      <c r="G1888" t="str">
        <f t="shared" si="161"/>
        <v>27003</v>
      </c>
      <c r="H1888" t="s">
        <v>480</v>
      </c>
      <c r="I1888" t="s">
        <v>1265</v>
      </c>
      <c r="J1888" t="s">
        <v>1266</v>
      </c>
      <c r="K1888" t="s">
        <v>1267</v>
      </c>
      <c r="L1888" t="s">
        <v>1263</v>
      </c>
      <c r="M1888" t="s">
        <v>1268</v>
      </c>
      <c r="N1888">
        <v>1</v>
      </c>
      <c r="O1888" t="str">
        <f t="shared" si="164"/>
        <v>42</v>
      </c>
      <c r="P1888">
        <v>42</v>
      </c>
      <c r="R1888" t="s">
        <v>1269</v>
      </c>
      <c r="S1888">
        <v>8.4559999999999995</v>
      </c>
      <c r="T1888">
        <v>0.30399999999999999</v>
      </c>
      <c r="U1888">
        <f t="shared" si="165"/>
        <v>0</v>
      </c>
      <c r="V1888" t="str">
        <f t="shared" si="162"/>
        <v>Middle Counselor</v>
      </c>
      <c r="W1888" t="str">
        <f t="shared" si="163"/>
        <v>Counselor</v>
      </c>
    </row>
    <row r="1889" spans="1:23" x14ac:dyDescent="0.25">
      <c r="A1889">
        <v>27003</v>
      </c>
      <c r="B1889" t="s">
        <v>1289</v>
      </c>
      <c r="C1889">
        <v>5.8979999999999997</v>
      </c>
      <c r="D1889" t="s">
        <v>1264</v>
      </c>
      <c r="E1889">
        <v>100207</v>
      </c>
      <c r="F1889">
        <v>27003</v>
      </c>
      <c r="G1889" t="str">
        <f t="shared" si="161"/>
        <v>27003</v>
      </c>
      <c r="H1889" t="s">
        <v>480</v>
      </c>
      <c r="I1889" t="s">
        <v>1265</v>
      </c>
      <c r="J1889" t="s">
        <v>1276</v>
      </c>
      <c r="K1889" t="s">
        <v>1277</v>
      </c>
      <c r="L1889" t="s">
        <v>1289</v>
      </c>
      <c r="M1889" t="s">
        <v>1307</v>
      </c>
      <c r="N1889">
        <v>21</v>
      </c>
      <c r="O1889" t="str">
        <f t="shared" si="164"/>
        <v>43</v>
      </c>
      <c r="P1889">
        <v>43</v>
      </c>
      <c r="R1889" t="s">
        <v>1269</v>
      </c>
      <c r="S1889">
        <v>5.8979999999999997</v>
      </c>
      <c r="T1889">
        <v>0.30399999999999999</v>
      </c>
      <c r="U1889">
        <f t="shared" si="165"/>
        <v>1.7929999999999999</v>
      </c>
      <c r="V1889" t="str">
        <f t="shared" si="162"/>
        <v>Elementary Occupational Therapist</v>
      </c>
      <c r="W1889" t="str">
        <f t="shared" si="163"/>
        <v>Occupational Therapist</v>
      </c>
    </row>
    <row r="1890" spans="1:23" x14ac:dyDescent="0.25">
      <c r="A1890">
        <v>27003</v>
      </c>
      <c r="B1890" t="s">
        <v>1387</v>
      </c>
      <c r="C1890">
        <v>3.6219999999999999</v>
      </c>
      <c r="D1890" t="s">
        <v>1264</v>
      </c>
      <c r="E1890">
        <v>100207</v>
      </c>
      <c r="F1890">
        <v>27003</v>
      </c>
      <c r="G1890" t="str">
        <f t="shared" si="161"/>
        <v>27003</v>
      </c>
      <c r="H1890" t="s">
        <v>480</v>
      </c>
      <c r="I1890" t="s">
        <v>1265</v>
      </c>
      <c r="J1890" t="s">
        <v>1271</v>
      </c>
      <c r="K1890" t="s">
        <v>1272</v>
      </c>
      <c r="L1890" t="s">
        <v>1387</v>
      </c>
      <c r="M1890" t="s">
        <v>1406</v>
      </c>
      <c r="N1890">
        <v>21</v>
      </c>
      <c r="O1890" t="str">
        <f t="shared" si="164"/>
        <v>43</v>
      </c>
      <c r="P1890">
        <v>43</v>
      </c>
      <c r="R1890" t="s">
        <v>1269</v>
      </c>
      <c r="S1890">
        <v>3.6219999999999999</v>
      </c>
      <c r="T1890">
        <v>0.30399999999999999</v>
      </c>
      <c r="U1890">
        <f t="shared" si="165"/>
        <v>1.101</v>
      </c>
      <c r="V1890" t="str">
        <f t="shared" si="162"/>
        <v>High Occupational Therapist</v>
      </c>
      <c r="W1890" t="str">
        <f t="shared" si="163"/>
        <v>Occupational Therapist</v>
      </c>
    </row>
    <row r="1891" spans="1:23" x14ac:dyDescent="0.25">
      <c r="A1891">
        <v>27003</v>
      </c>
      <c r="B1891" t="s">
        <v>1303</v>
      </c>
      <c r="C1891">
        <v>1.68</v>
      </c>
      <c r="D1891" t="s">
        <v>1264</v>
      </c>
      <c r="E1891">
        <v>100207</v>
      </c>
      <c r="F1891">
        <v>27003</v>
      </c>
      <c r="G1891" t="str">
        <f t="shared" si="161"/>
        <v>27003</v>
      </c>
      <c r="H1891" t="s">
        <v>480</v>
      </c>
      <c r="I1891" t="s">
        <v>1265</v>
      </c>
      <c r="J1891" t="s">
        <v>1266</v>
      </c>
      <c r="K1891" t="s">
        <v>1267</v>
      </c>
      <c r="L1891" t="s">
        <v>1303</v>
      </c>
      <c r="M1891" t="s">
        <v>1304</v>
      </c>
      <c r="N1891">
        <v>21</v>
      </c>
      <c r="O1891" t="str">
        <f t="shared" si="164"/>
        <v>43</v>
      </c>
      <c r="P1891">
        <v>43</v>
      </c>
      <c r="R1891" t="s">
        <v>1269</v>
      </c>
      <c r="S1891">
        <v>1.68</v>
      </c>
      <c r="T1891">
        <v>0.30399999999999999</v>
      </c>
      <c r="U1891">
        <f t="shared" si="165"/>
        <v>0.51100000000000001</v>
      </c>
      <c r="V1891" t="str">
        <f t="shared" si="162"/>
        <v>Middle Occupational Therapist</v>
      </c>
      <c r="W1891" t="str">
        <f t="shared" si="163"/>
        <v>Occupational Therapist</v>
      </c>
    </row>
    <row r="1892" spans="1:23" x14ac:dyDescent="0.25">
      <c r="A1892">
        <v>27003</v>
      </c>
      <c r="B1892" t="s">
        <v>1329</v>
      </c>
      <c r="C1892">
        <v>0.54</v>
      </c>
      <c r="D1892" t="s">
        <v>1264</v>
      </c>
      <c r="E1892">
        <v>100207</v>
      </c>
      <c r="F1892">
        <v>27003</v>
      </c>
      <c r="G1892" t="str">
        <f t="shared" si="161"/>
        <v>27003</v>
      </c>
      <c r="H1892" t="s">
        <v>480</v>
      </c>
      <c r="I1892" t="s">
        <v>1265</v>
      </c>
      <c r="J1892" t="s">
        <v>1276</v>
      </c>
      <c r="K1892" t="s">
        <v>1277</v>
      </c>
      <c r="L1892" t="s">
        <v>1329</v>
      </c>
      <c r="M1892" t="s">
        <v>1418</v>
      </c>
      <c r="N1892">
        <v>21</v>
      </c>
      <c r="O1892" t="str">
        <f t="shared" si="164"/>
        <v>44</v>
      </c>
      <c r="P1892">
        <v>44</v>
      </c>
      <c r="R1892" t="s">
        <v>1269</v>
      </c>
      <c r="S1892">
        <v>0.54</v>
      </c>
      <c r="T1892">
        <v>0.30399999999999999</v>
      </c>
      <c r="U1892">
        <f t="shared" si="165"/>
        <v>0.16400000000000001</v>
      </c>
      <c r="V1892" t="str">
        <f t="shared" si="162"/>
        <v>Elementary Social Worker</v>
      </c>
      <c r="W1892" t="str">
        <f t="shared" si="163"/>
        <v>Social Worker</v>
      </c>
    </row>
    <row r="1893" spans="1:23" x14ac:dyDescent="0.25">
      <c r="A1893">
        <v>27003</v>
      </c>
      <c r="B1893" t="s">
        <v>1390</v>
      </c>
      <c r="C1893">
        <v>0.31</v>
      </c>
      <c r="D1893" t="s">
        <v>1264</v>
      </c>
      <c r="E1893">
        <v>100207</v>
      </c>
      <c r="F1893">
        <v>27003</v>
      </c>
      <c r="G1893" t="str">
        <f t="shared" si="161"/>
        <v>27003</v>
      </c>
      <c r="H1893" t="s">
        <v>480</v>
      </c>
      <c r="I1893" t="s">
        <v>1265</v>
      </c>
      <c r="J1893" t="s">
        <v>1271</v>
      </c>
      <c r="K1893" t="s">
        <v>1272</v>
      </c>
      <c r="L1893" t="s">
        <v>1390</v>
      </c>
      <c r="M1893" t="s">
        <v>1417</v>
      </c>
      <c r="N1893">
        <v>21</v>
      </c>
      <c r="O1893" t="str">
        <f t="shared" si="164"/>
        <v>44</v>
      </c>
      <c r="P1893">
        <v>44</v>
      </c>
      <c r="R1893" t="s">
        <v>1269</v>
      </c>
      <c r="S1893">
        <v>0.31</v>
      </c>
      <c r="T1893">
        <v>0.30399999999999999</v>
      </c>
      <c r="U1893">
        <f t="shared" si="165"/>
        <v>9.4E-2</v>
      </c>
      <c r="V1893" t="str">
        <f t="shared" si="162"/>
        <v>High Social Worker</v>
      </c>
      <c r="W1893" t="str">
        <f t="shared" si="163"/>
        <v>Social Worker</v>
      </c>
    </row>
    <row r="1894" spans="1:23" x14ac:dyDescent="0.25">
      <c r="A1894">
        <v>27003</v>
      </c>
      <c r="B1894" t="s">
        <v>1369</v>
      </c>
      <c r="C1894">
        <v>0.15</v>
      </c>
      <c r="D1894" t="s">
        <v>1264</v>
      </c>
      <c r="E1894">
        <v>100207</v>
      </c>
      <c r="F1894">
        <v>27003</v>
      </c>
      <c r="G1894" t="str">
        <f t="shared" si="161"/>
        <v>27003</v>
      </c>
      <c r="H1894" t="s">
        <v>480</v>
      </c>
      <c r="I1894" t="s">
        <v>1265</v>
      </c>
      <c r="J1894" t="s">
        <v>1266</v>
      </c>
      <c r="K1894" t="s">
        <v>1267</v>
      </c>
      <c r="L1894" t="s">
        <v>1369</v>
      </c>
      <c r="M1894" t="s">
        <v>1416</v>
      </c>
      <c r="N1894">
        <v>21</v>
      </c>
      <c r="O1894" t="str">
        <f t="shared" si="164"/>
        <v>44</v>
      </c>
      <c r="P1894">
        <v>44</v>
      </c>
      <c r="R1894" t="s">
        <v>1269</v>
      </c>
      <c r="S1894">
        <v>0.15</v>
      </c>
      <c r="T1894">
        <v>0.30399999999999999</v>
      </c>
      <c r="U1894">
        <f t="shared" si="165"/>
        <v>4.5999999999999999E-2</v>
      </c>
      <c r="V1894" t="str">
        <f t="shared" si="162"/>
        <v>Middle Social Worker</v>
      </c>
      <c r="W1894" t="str">
        <f t="shared" si="163"/>
        <v>Social Worker</v>
      </c>
    </row>
    <row r="1895" spans="1:23" x14ac:dyDescent="0.25">
      <c r="A1895">
        <v>27003</v>
      </c>
      <c r="B1895" t="s">
        <v>1294</v>
      </c>
      <c r="C1895">
        <v>15.39</v>
      </c>
      <c r="D1895" t="s">
        <v>1264</v>
      </c>
      <c r="E1895">
        <v>100207</v>
      </c>
      <c r="F1895">
        <v>27003</v>
      </c>
      <c r="G1895" t="str">
        <f t="shared" si="161"/>
        <v>27003</v>
      </c>
      <c r="H1895" t="s">
        <v>480</v>
      </c>
      <c r="I1895" t="s">
        <v>1265</v>
      </c>
      <c r="J1895" t="s">
        <v>1276</v>
      </c>
      <c r="K1895" t="s">
        <v>1277</v>
      </c>
      <c r="L1895" t="s">
        <v>1294</v>
      </c>
      <c r="M1895" t="s">
        <v>1354</v>
      </c>
      <c r="N1895">
        <v>21</v>
      </c>
      <c r="O1895" t="str">
        <f t="shared" si="164"/>
        <v>45</v>
      </c>
      <c r="P1895">
        <v>45</v>
      </c>
      <c r="R1895" t="s">
        <v>1269</v>
      </c>
      <c r="S1895">
        <v>15.39</v>
      </c>
      <c r="T1895">
        <v>0.30399999999999999</v>
      </c>
      <c r="U1895">
        <f t="shared" si="165"/>
        <v>4.6790000000000003</v>
      </c>
      <c r="V1895" t="str">
        <f t="shared" si="162"/>
        <v>Elementary Speech, Language Pathway/
Audio</v>
      </c>
      <c r="W1895" t="str">
        <f t="shared" si="163"/>
        <v>Speech, Language Pathway/
Audio</v>
      </c>
    </row>
    <row r="1896" spans="1:23" x14ac:dyDescent="0.25">
      <c r="A1896">
        <v>27003</v>
      </c>
      <c r="B1896" t="s">
        <v>1332</v>
      </c>
      <c r="C1896">
        <v>0.2</v>
      </c>
      <c r="D1896" t="s">
        <v>1264</v>
      </c>
      <c r="E1896">
        <v>100207</v>
      </c>
      <c r="F1896">
        <v>27003</v>
      </c>
      <c r="G1896" t="str">
        <f t="shared" si="161"/>
        <v>27003</v>
      </c>
      <c r="H1896" t="s">
        <v>480</v>
      </c>
      <c r="I1896" t="s">
        <v>1265</v>
      </c>
      <c r="J1896" t="s">
        <v>1276</v>
      </c>
      <c r="K1896" t="s">
        <v>1277</v>
      </c>
      <c r="L1896" t="s">
        <v>1332</v>
      </c>
      <c r="M1896" t="s">
        <v>1403</v>
      </c>
      <c r="N1896">
        <v>1</v>
      </c>
      <c r="O1896" t="str">
        <f t="shared" si="164"/>
        <v>45</v>
      </c>
      <c r="P1896">
        <v>45</v>
      </c>
      <c r="R1896" t="s">
        <v>1269</v>
      </c>
      <c r="S1896">
        <v>0.2</v>
      </c>
      <c r="T1896">
        <v>0.30399999999999999</v>
      </c>
      <c r="U1896">
        <f t="shared" si="165"/>
        <v>0</v>
      </c>
      <c r="V1896" t="str">
        <f t="shared" si="162"/>
        <v>Elementary Speech, Language Pathway/
Audio</v>
      </c>
      <c r="W1896" t="str">
        <f t="shared" si="163"/>
        <v>Speech, Language Pathway/
Audio</v>
      </c>
    </row>
    <row r="1897" spans="1:23" x14ac:dyDescent="0.25">
      <c r="A1897">
        <v>27003</v>
      </c>
      <c r="B1897" t="s">
        <v>1326</v>
      </c>
      <c r="C1897">
        <v>8.8350000000000009</v>
      </c>
      <c r="D1897" t="s">
        <v>1264</v>
      </c>
      <c r="E1897">
        <v>100207</v>
      </c>
      <c r="F1897">
        <v>27003</v>
      </c>
      <c r="G1897" t="str">
        <f t="shared" si="161"/>
        <v>27003</v>
      </c>
      <c r="H1897" t="s">
        <v>480</v>
      </c>
      <c r="I1897" t="s">
        <v>1265</v>
      </c>
      <c r="J1897" t="s">
        <v>1271</v>
      </c>
      <c r="K1897" t="s">
        <v>1272</v>
      </c>
      <c r="L1897" t="s">
        <v>1326</v>
      </c>
      <c r="M1897" t="s">
        <v>1353</v>
      </c>
      <c r="N1897">
        <v>21</v>
      </c>
      <c r="O1897" t="str">
        <f t="shared" si="164"/>
        <v>45</v>
      </c>
      <c r="P1897">
        <v>45</v>
      </c>
      <c r="R1897" t="s">
        <v>1269</v>
      </c>
      <c r="S1897">
        <v>8.8350000000000009</v>
      </c>
      <c r="T1897">
        <v>0.30399999999999999</v>
      </c>
      <c r="U1897">
        <f t="shared" si="165"/>
        <v>2.6859999999999999</v>
      </c>
      <c r="V1897" t="str">
        <f t="shared" si="162"/>
        <v>High Speech, Language Pathway/
Audio</v>
      </c>
      <c r="W1897" t="str">
        <f t="shared" si="163"/>
        <v>Speech, Language Pathway/
Audio</v>
      </c>
    </row>
    <row r="1898" spans="1:23" x14ac:dyDescent="0.25">
      <c r="A1898">
        <v>27003</v>
      </c>
      <c r="B1898" t="s">
        <v>1312</v>
      </c>
      <c r="C1898">
        <v>4.2750000000000004</v>
      </c>
      <c r="D1898" t="s">
        <v>1264</v>
      </c>
      <c r="E1898">
        <v>100207</v>
      </c>
      <c r="F1898">
        <v>27003</v>
      </c>
      <c r="G1898" t="str">
        <f t="shared" si="161"/>
        <v>27003</v>
      </c>
      <c r="H1898" t="s">
        <v>480</v>
      </c>
      <c r="I1898" t="s">
        <v>1265</v>
      </c>
      <c r="J1898" t="s">
        <v>1266</v>
      </c>
      <c r="K1898" t="s">
        <v>1267</v>
      </c>
      <c r="L1898" t="s">
        <v>1312</v>
      </c>
      <c r="M1898" t="s">
        <v>1351</v>
      </c>
      <c r="N1898">
        <v>21</v>
      </c>
      <c r="O1898" t="str">
        <f t="shared" si="164"/>
        <v>45</v>
      </c>
      <c r="P1898">
        <v>45</v>
      </c>
      <c r="R1898" t="s">
        <v>1269</v>
      </c>
      <c r="S1898">
        <v>4.2750000000000004</v>
      </c>
      <c r="T1898">
        <v>0.30399999999999999</v>
      </c>
      <c r="U1898">
        <f t="shared" si="165"/>
        <v>1.3</v>
      </c>
      <c r="V1898" t="str">
        <f t="shared" si="162"/>
        <v>Middle Speech, Language Pathway/
Audio</v>
      </c>
      <c r="W1898" t="str">
        <f t="shared" si="163"/>
        <v>Speech, Language Pathway/
Audio</v>
      </c>
    </row>
    <row r="1899" spans="1:23" x14ac:dyDescent="0.25">
      <c r="A1899">
        <v>27003</v>
      </c>
      <c r="B1899" t="s">
        <v>1298</v>
      </c>
      <c r="C1899">
        <v>13.068</v>
      </c>
      <c r="D1899" t="s">
        <v>1264</v>
      </c>
      <c r="E1899">
        <v>100207</v>
      </c>
      <c r="F1899">
        <v>27003</v>
      </c>
      <c r="G1899" t="str">
        <f t="shared" si="161"/>
        <v>27003</v>
      </c>
      <c r="H1899" t="s">
        <v>480</v>
      </c>
      <c r="I1899" t="s">
        <v>1265</v>
      </c>
      <c r="J1899" t="s">
        <v>1276</v>
      </c>
      <c r="K1899" t="s">
        <v>1277</v>
      </c>
      <c r="L1899" t="s">
        <v>1298</v>
      </c>
      <c r="M1899" t="s">
        <v>1349</v>
      </c>
      <c r="N1899">
        <v>21</v>
      </c>
      <c r="O1899" t="str">
        <f t="shared" si="164"/>
        <v>46</v>
      </c>
      <c r="P1899">
        <v>46</v>
      </c>
      <c r="R1899" t="s">
        <v>1269</v>
      </c>
      <c r="S1899">
        <v>13.068</v>
      </c>
      <c r="T1899">
        <v>0.30399999999999999</v>
      </c>
      <c r="U1899">
        <f t="shared" si="165"/>
        <v>3.9729999999999999</v>
      </c>
      <c r="V1899" t="str">
        <f t="shared" si="162"/>
        <v>Elementary Psychologist</v>
      </c>
      <c r="W1899" t="str">
        <f t="shared" si="163"/>
        <v>Psychologist</v>
      </c>
    </row>
    <row r="1900" spans="1:23" x14ac:dyDescent="0.25">
      <c r="A1900">
        <v>27003</v>
      </c>
      <c r="B1900" t="s">
        <v>1309</v>
      </c>
      <c r="C1900">
        <v>7.5019999999999998</v>
      </c>
      <c r="D1900" t="s">
        <v>1264</v>
      </c>
      <c r="E1900">
        <v>100207</v>
      </c>
      <c r="F1900">
        <v>27003</v>
      </c>
      <c r="G1900" t="str">
        <f t="shared" si="161"/>
        <v>27003</v>
      </c>
      <c r="H1900" t="s">
        <v>480</v>
      </c>
      <c r="I1900" t="s">
        <v>1265</v>
      </c>
      <c r="J1900" t="s">
        <v>1271</v>
      </c>
      <c r="K1900" t="s">
        <v>1272</v>
      </c>
      <c r="L1900" t="s">
        <v>1309</v>
      </c>
      <c r="M1900" t="s">
        <v>1310</v>
      </c>
      <c r="N1900">
        <v>21</v>
      </c>
      <c r="O1900" t="str">
        <f t="shared" si="164"/>
        <v>46</v>
      </c>
      <c r="P1900">
        <v>46</v>
      </c>
      <c r="R1900" t="s">
        <v>1269</v>
      </c>
      <c r="S1900">
        <v>7.5019999999999998</v>
      </c>
      <c r="T1900">
        <v>0.30399999999999999</v>
      </c>
      <c r="U1900">
        <f t="shared" si="165"/>
        <v>2.2810000000000001</v>
      </c>
      <c r="V1900" t="str">
        <f t="shared" si="162"/>
        <v>High Psychologist</v>
      </c>
      <c r="W1900" t="str">
        <f t="shared" si="163"/>
        <v>Psychologist</v>
      </c>
    </row>
    <row r="1901" spans="1:23" x14ac:dyDescent="0.25">
      <c r="A1901">
        <v>27003</v>
      </c>
      <c r="B1901" t="s">
        <v>1345</v>
      </c>
      <c r="C1901">
        <v>3.63</v>
      </c>
      <c r="D1901" t="s">
        <v>1264</v>
      </c>
      <c r="E1901">
        <v>100207</v>
      </c>
      <c r="F1901">
        <v>27003</v>
      </c>
      <c r="G1901" t="str">
        <f t="shared" si="161"/>
        <v>27003</v>
      </c>
      <c r="H1901" t="s">
        <v>480</v>
      </c>
      <c r="I1901" t="s">
        <v>1265</v>
      </c>
      <c r="J1901" t="s">
        <v>1266</v>
      </c>
      <c r="K1901" t="s">
        <v>1267</v>
      </c>
      <c r="L1901" t="s">
        <v>1345</v>
      </c>
      <c r="M1901" t="s">
        <v>1346</v>
      </c>
      <c r="N1901">
        <v>21</v>
      </c>
      <c r="O1901" t="str">
        <f t="shared" si="164"/>
        <v>46</v>
      </c>
      <c r="P1901">
        <v>46</v>
      </c>
      <c r="R1901" t="s">
        <v>1269</v>
      </c>
      <c r="S1901">
        <v>3.63</v>
      </c>
      <c r="T1901">
        <v>0.30399999999999999</v>
      </c>
      <c r="U1901">
        <f t="shared" si="165"/>
        <v>1.1040000000000001</v>
      </c>
      <c r="V1901" t="str">
        <f t="shared" si="162"/>
        <v>Middle Psychologist</v>
      </c>
      <c r="W1901" t="str">
        <f t="shared" si="163"/>
        <v>Psychologist</v>
      </c>
    </row>
    <row r="1902" spans="1:23" x14ac:dyDescent="0.25">
      <c r="A1902">
        <v>27003</v>
      </c>
      <c r="B1902" t="s">
        <v>1335</v>
      </c>
      <c r="C1902">
        <v>9.36</v>
      </c>
      <c r="D1902" t="s">
        <v>1264</v>
      </c>
      <c r="E1902">
        <v>100207</v>
      </c>
      <c r="F1902">
        <v>27003</v>
      </c>
      <c r="G1902" t="str">
        <f t="shared" si="161"/>
        <v>27003</v>
      </c>
      <c r="H1902" t="s">
        <v>480</v>
      </c>
      <c r="I1902" t="s">
        <v>1265</v>
      </c>
      <c r="J1902" t="s">
        <v>1276</v>
      </c>
      <c r="K1902" t="s">
        <v>1277</v>
      </c>
      <c r="L1902" t="s">
        <v>1335</v>
      </c>
      <c r="M1902" t="s">
        <v>1344</v>
      </c>
      <c r="N1902">
        <v>1</v>
      </c>
      <c r="O1902" t="str">
        <f t="shared" si="164"/>
        <v>47</v>
      </c>
      <c r="P1902">
        <v>47</v>
      </c>
      <c r="R1902" t="s">
        <v>1269</v>
      </c>
      <c r="S1902">
        <v>9.36</v>
      </c>
      <c r="T1902">
        <v>0.30399999999999999</v>
      </c>
      <c r="U1902">
        <f t="shared" si="165"/>
        <v>0</v>
      </c>
      <c r="V1902" t="str">
        <f t="shared" si="162"/>
        <v>Elementary Nurse</v>
      </c>
      <c r="W1902" t="str">
        <f t="shared" si="163"/>
        <v>Nurse</v>
      </c>
    </row>
    <row r="1903" spans="1:23" x14ac:dyDescent="0.25">
      <c r="A1903">
        <v>27003</v>
      </c>
      <c r="B1903" t="s">
        <v>1341</v>
      </c>
      <c r="C1903">
        <v>4.6929999999999996</v>
      </c>
      <c r="D1903" t="s">
        <v>1264</v>
      </c>
      <c r="E1903">
        <v>100207</v>
      </c>
      <c r="F1903">
        <v>27003</v>
      </c>
      <c r="G1903" t="str">
        <f t="shared" si="161"/>
        <v>27003</v>
      </c>
      <c r="H1903" t="s">
        <v>480</v>
      </c>
      <c r="I1903" t="s">
        <v>1265</v>
      </c>
      <c r="J1903" t="s">
        <v>1271</v>
      </c>
      <c r="K1903" t="s">
        <v>1272</v>
      </c>
      <c r="L1903" t="s">
        <v>1341</v>
      </c>
      <c r="M1903" t="s">
        <v>1342</v>
      </c>
      <c r="N1903">
        <v>1</v>
      </c>
      <c r="O1903" t="str">
        <f t="shared" si="164"/>
        <v>47</v>
      </c>
      <c r="P1903">
        <v>47</v>
      </c>
      <c r="R1903" t="s">
        <v>1269</v>
      </c>
      <c r="S1903">
        <v>4.6929999999999996</v>
      </c>
      <c r="T1903">
        <v>0.30399999999999999</v>
      </c>
      <c r="U1903">
        <f t="shared" si="165"/>
        <v>0</v>
      </c>
      <c r="V1903" t="str">
        <f t="shared" si="162"/>
        <v>High Nurse</v>
      </c>
      <c r="W1903" t="str">
        <f t="shared" si="163"/>
        <v>Nurse</v>
      </c>
    </row>
    <row r="1904" spans="1:23" x14ac:dyDescent="0.25">
      <c r="A1904">
        <v>27003</v>
      </c>
      <c r="B1904" t="s">
        <v>1338</v>
      </c>
      <c r="C1904">
        <v>2.4470000000000001</v>
      </c>
      <c r="D1904" t="s">
        <v>1264</v>
      </c>
      <c r="E1904">
        <v>100207</v>
      </c>
      <c r="F1904">
        <v>27003</v>
      </c>
      <c r="G1904" t="str">
        <f t="shared" si="161"/>
        <v>27003</v>
      </c>
      <c r="H1904" t="s">
        <v>480</v>
      </c>
      <c r="I1904" t="s">
        <v>1265</v>
      </c>
      <c r="J1904" t="s">
        <v>1266</v>
      </c>
      <c r="K1904" t="s">
        <v>1267</v>
      </c>
      <c r="L1904" t="s">
        <v>1338</v>
      </c>
      <c r="M1904" t="s">
        <v>1339</v>
      </c>
      <c r="N1904">
        <v>1</v>
      </c>
      <c r="O1904" t="str">
        <f t="shared" si="164"/>
        <v>47</v>
      </c>
      <c r="P1904">
        <v>47</v>
      </c>
      <c r="R1904" t="s">
        <v>1269</v>
      </c>
      <c r="S1904">
        <v>2.4470000000000001</v>
      </c>
      <c r="T1904">
        <v>0.30399999999999999</v>
      </c>
      <c r="U1904">
        <f t="shared" si="165"/>
        <v>0</v>
      </c>
      <c r="V1904" t="str">
        <f t="shared" si="162"/>
        <v>Middle Nurse</v>
      </c>
      <c r="W1904" t="str">
        <f t="shared" si="163"/>
        <v>Nurse</v>
      </c>
    </row>
    <row r="1905" spans="1:23" x14ac:dyDescent="0.25">
      <c r="A1905">
        <v>27003</v>
      </c>
      <c r="B1905" t="s">
        <v>1302</v>
      </c>
      <c r="C1905">
        <v>1.62</v>
      </c>
      <c r="D1905" t="s">
        <v>1264</v>
      </c>
      <c r="E1905">
        <v>100207</v>
      </c>
      <c r="F1905">
        <v>27003</v>
      </c>
      <c r="G1905" t="str">
        <f t="shared" si="161"/>
        <v>27003</v>
      </c>
      <c r="H1905" t="s">
        <v>480</v>
      </c>
      <c r="I1905" t="s">
        <v>1265</v>
      </c>
      <c r="J1905" t="s">
        <v>1276</v>
      </c>
      <c r="K1905" t="s">
        <v>1277</v>
      </c>
      <c r="L1905" t="s">
        <v>1302</v>
      </c>
      <c r="M1905" t="s">
        <v>1336</v>
      </c>
      <c r="N1905">
        <v>21</v>
      </c>
      <c r="O1905" t="str">
        <f t="shared" si="164"/>
        <v>48</v>
      </c>
      <c r="P1905">
        <v>48</v>
      </c>
      <c r="R1905" t="s">
        <v>1269</v>
      </c>
      <c r="S1905">
        <v>1.62</v>
      </c>
      <c r="T1905">
        <v>0.30399999999999999</v>
      </c>
      <c r="U1905">
        <f t="shared" si="165"/>
        <v>0.49199999999999999</v>
      </c>
      <c r="V1905" t="str">
        <f t="shared" si="162"/>
        <v>Elementary Physical Therapist</v>
      </c>
      <c r="W1905" t="str">
        <f t="shared" si="163"/>
        <v>Physical Therapist</v>
      </c>
    </row>
    <row r="1906" spans="1:23" x14ac:dyDescent="0.25">
      <c r="A1906">
        <v>27003</v>
      </c>
      <c r="B1906" t="s">
        <v>1330</v>
      </c>
      <c r="C1906">
        <v>0.93</v>
      </c>
      <c r="D1906" t="s">
        <v>1264</v>
      </c>
      <c r="E1906">
        <v>100207</v>
      </c>
      <c r="F1906">
        <v>27003</v>
      </c>
      <c r="G1906" t="str">
        <f t="shared" si="161"/>
        <v>27003</v>
      </c>
      <c r="H1906" t="s">
        <v>480</v>
      </c>
      <c r="I1906" t="s">
        <v>1265</v>
      </c>
      <c r="J1906" t="s">
        <v>1271</v>
      </c>
      <c r="K1906" t="s">
        <v>1272</v>
      </c>
      <c r="L1906" t="s">
        <v>1330</v>
      </c>
      <c r="M1906" t="s">
        <v>1367</v>
      </c>
      <c r="N1906">
        <v>21</v>
      </c>
      <c r="O1906" t="str">
        <f t="shared" si="164"/>
        <v>48</v>
      </c>
      <c r="P1906">
        <v>48</v>
      </c>
      <c r="R1906" t="s">
        <v>1269</v>
      </c>
      <c r="S1906">
        <v>0.93</v>
      </c>
      <c r="T1906">
        <v>0.30399999999999999</v>
      </c>
      <c r="U1906">
        <f t="shared" si="165"/>
        <v>0.28299999999999997</v>
      </c>
      <c r="V1906" t="str">
        <f t="shared" si="162"/>
        <v>High Physical Therapist</v>
      </c>
      <c r="W1906" t="str">
        <f t="shared" si="163"/>
        <v>Physical Therapist</v>
      </c>
    </row>
    <row r="1907" spans="1:23" x14ac:dyDescent="0.25">
      <c r="A1907">
        <v>27003</v>
      </c>
      <c r="B1907" t="s">
        <v>1316</v>
      </c>
      <c r="C1907">
        <v>0.45</v>
      </c>
      <c r="D1907" t="s">
        <v>1264</v>
      </c>
      <c r="E1907">
        <v>100207</v>
      </c>
      <c r="F1907">
        <v>27003</v>
      </c>
      <c r="G1907" t="str">
        <f t="shared" si="161"/>
        <v>27003</v>
      </c>
      <c r="H1907" t="s">
        <v>480</v>
      </c>
      <c r="I1907" t="s">
        <v>1265</v>
      </c>
      <c r="J1907" t="s">
        <v>1266</v>
      </c>
      <c r="K1907" t="s">
        <v>1267</v>
      </c>
      <c r="L1907" t="s">
        <v>1316</v>
      </c>
      <c r="M1907" t="s">
        <v>1366</v>
      </c>
      <c r="N1907">
        <v>21</v>
      </c>
      <c r="O1907" t="str">
        <f t="shared" si="164"/>
        <v>48</v>
      </c>
      <c r="P1907">
        <v>48</v>
      </c>
      <c r="R1907" t="s">
        <v>1269</v>
      </c>
      <c r="S1907">
        <v>0.45</v>
      </c>
      <c r="T1907">
        <v>0.30399999999999999</v>
      </c>
      <c r="U1907">
        <f t="shared" si="165"/>
        <v>0.13700000000000001</v>
      </c>
      <c r="V1907" t="str">
        <f t="shared" si="162"/>
        <v>Middle Physical Therapist</v>
      </c>
      <c r="W1907" t="str">
        <f t="shared" si="163"/>
        <v>Physical Therapist</v>
      </c>
    </row>
    <row r="1908" spans="1:23" x14ac:dyDescent="0.25">
      <c r="A1908">
        <v>27003</v>
      </c>
      <c r="B1908" t="s">
        <v>1340</v>
      </c>
      <c r="C1908">
        <v>2.7</v>
      </c>
      <c r="D1908" t="s">
        <v>1264</v>
      </c>
      <c r="E1908">
        <v>100207</v>
      </c>
      <c r="F1908">
        <v>27003</v>
      </c>
      <c r="G1908" t="str">
        <f t="shared" si="161"/>
        <v>27003</v>
      </c>
      <c r="H1908" t="s">
        <v>480</v>
      </c>
      <c r="I1908" t="s">
        <v>1265</v>
      </c>
      <c r="J1908" t="s">
        <v>1276</v>
      </c>
      <c r="K1908" t="s">
        <v>1277</v>
      </c>
      <c r="L1908" t="s">
        <v>1340</v>
      </c>
      <c r="M1908" t="s">
        <v>1395</v>
      </c>
      <c r="N1908">
        <v>21</v>
      </c>
      <c r="O1908" t="str">
        <f t="shared" si="164"/>
        <v>49</v>
      </c>
      <c r="P1908">
        <v>49</v>
      </c>
      <c r="R1908" t="s">
        <v>1269</v>
      </c>
      <c r="S1908">
        <v>2.7</v>
      </c>
      <c r="T1908">
        <v>0.30399999999999999</v>
      </c>
      <c r="U1908">
        <f t="shared" si="165"/>
        <v>0.82099999999999995</v>
      </c>
      <c r="V1908" t="str">
        <f t="shared" si="162"/>
        <v>Elementary Behavior Analyst</v>
      </c>
      <c r="W1908" t="str">
        <f t="shared" si="163"/>
        <v>Behavior Analyst</v>
      </c>
    </row>
    <row r="1909" spans="1:23" x14ac:dyDescent="0.25">
      <c r="A1909">
        <v>27003</v>
      </c>
      <c r="B1909" t="s">
        <v>1392</v>
      </c>
      <c r="C1909">
        <v>1.55</v>
      </c>
      <c r="D1909" t="s">
        <v>1264</v>
      </c>
      <c r="E1909">
        <v>100207</v>
      </c>
      <c r="F1909">
        <v>27003</v>
      </c>
      <c r="G1909" t="str">
        <f t="shared" si="161"/>
        <v>27003</v>
      </c>
      <c r="H1909" t="s">
        <v>480</v>
      </c>
      <c r="I1909" t="s">
        <v>1265</v>
      </c>
      <c r="J1909" t="s">
        <v>1271</v>
      </c>
      <c r="K1909" t="s">
        <v>1272</v>
      </c>
      <c r="L1909" t="s">
        <v>1392</v>
      </c>
      <c r="M1909" t="s">
        <v>1393</v>
      </c>
      <c r="N1909">
        <v>21</v>
      </c>
      <c r="O1909" t="str">
        <f t="shared" si="164"/>
        <v>49</v>
      </c>
      <c r="P1909">
        <v>49</v>
      </c>
      <c r="R1909" t="s">
        <v>1269</v>
      </c>
      <c r="S1909">
        <v>1.55</v>
      </c>
      <c r="T1909">
        <v>0.30399999999999999</v>
      </c>
      <c r="U1909">
        <f t="shared" si="165"/>
        <v>0.47099999999999997</v>
      </c>
      <c r="V1909" t="str">
        <f t="shared" si="162"/>
        <v>High Behavior Analyst</v>
      </c>
      <c r="W1909" t="str">
        <f t="shared" si="163"/>
        <v>Behavior Analyst</v>
      </c>
    </row>
    <row r="1910" spans="1:23" x14ac:dyDescent="0.25">
      <c r="A1910">
        <v>27003</v>
      </c>
      <c r="B1910" t="s">
        <v>1374</v>
      </c>
      <c r="C1910">
        <v>0.75</v>
      </c>
      <c r="D1910" t="s">
        <v>1264</v>
      </c>
      <c r="E1910">
        <v>100207</v>
      </c>
      <c r="F1910">
        <v>27003</v>
      </c>
      <c r="G1910" t="str">
        <f t="shared" si="161"/>
        <v>27003</v>
      </c>
      <c r="H1910" t="s">
        <v>480</v>
      </c>
      <c r="I1910" t="s">
        <v>1265</v>
      </c>
      <c r="J1910" t="s">
        <v>1266</v>
      </c>
      <c r="K1910" t="s">
        <v>1267</v>
      </c>
      <c r="L1910" t="s">
        <v>1374</v>
      </c>
      <c r="M1910" t="s">
        <v>1391</v>
      </c>
      <c r="N1910">
        <v>21</v>
      </c>
      <c r="O1910" t="str">
        <f t="shared" si="164"/>
        <v>49</v>
      </c>
      <c r="P1910">
        <v>49</v>
      </c>
      <c r="R1910" t="s">
        <v>1269</v>
      </c>
      <c r="S1910">
        <v>0.75</v>
      </c>
      <c r="T1910">
        <v>0.30399999999999999</v>
      </c>
      <c r="U1910">
        <f t="shared" si="165"/>
        <v>0.22800000000000001</v>
      </c>
      <c r="V1910" t="str">
        <f t="shared" si="162"/>
        <v>Middle Behavior Analyst</v>
      </c>
      <c r="W1910" t="str">
        <f t="shared" si="163"/>
        <v>Behavior Analyst</v>
      </c>
    </row>
    <row r="1911" spans="1:23" x14ac:dyDescent="0.25">
      <c r="A1911">
        <v>27010</v>
      </c>
      <c r="B1911" t="s">
        <v>1305</v>
      </c>
      <c r="C1911">
        <v>1.3</v>
      </c>
      <c r="D1911" t="s">
        <v>1264</v>
      </c>
      <c r="E1911">
        <v>100261</v>
      </c>
      <c r="F1911">
        <v>27010</v>
      </c>
      <c r="G1911" t="str">
        <f t="shared" si="161"/>
        <v>27010</v>
      </c>
      <c r="H1911" t="s">
        <v>481</v>
      </c>
      <c r="I1911" t="s">
        <v>1265</v>
      </c>
      <c r="J1911" t="s">
        <v>1276</v>
      </c>
      <c r="K1911" t="s">
        <v>1277</v>
      </c>
      <c r="L1911" t="s">
        <v>1305</v>
      </c>
      <c r="M1911" t="s">
        <v>1447</v>
      </c>
      <c r="N1911">
        <v>97</v>
      </c>
      <c r="O1911" t="str">
        <f t="shared" si="164"/>
        <v>25</v>
      </c>
      <c r="Q1911">
        <v>25</v>
      </c>
      <c r="R1911" t="s">
        <v>1269</v>
      </c>
      <c r="S1911">
        <v>1.3</v>
      </c>
      <c r="T1911">
        <v>0.27760000000000001</v>
      </c>
      <c r="U1911">
        <f t="shared" si="165"/>
        <v>0</v>
      </c>
      <c r="V1911" t="str">
        <f t="shared" si="162"/>
        <v>Elementary Pupil Management</v>
      </c>
      <c r="W1911" t="str">
        <f t="shared" si="163"/>
        <v>Pupil Management</v>
      </c>
    </row>
    <row r="1912" spans="1:23" x14ac:dyDescent="0.25">
      <c r="A1912">
        <v>27010</v>
      </c>
      <c r="B1912" t="s">
        <v>1308</v>
      </c>
      <c r="C1912">
        <v>23.221</v>
      </c>
      <c r="D1912" t="s">
        <v>1264</v>
      </c>
      <c r="E1912">
        <v>100261</v>
      </c>
      <c r="F1912">
        <v>27010</v>
      </c>
      <c r="G1912" t="str">
        <f t="shared" si="161"/>
        <v>27010</v>
      </c>
      <c r="H1912" t="s">
        <v>481</v>
      </c>
      <c r="I1912" t="s">
        <v>1265</v>
      </c>
      <c r="J1912" t="s">
        <v>1276</v>
      </c>
      <c r="K1912" t="s">
        <v>1277</v>
      </c>
      <c r="L1912" t="s">
        <v>1308</v>
      </c>
      <c r="M1912" t="s">
        <v>1389</v>
      </c>
      <c r="N1912">
        <v>1</v>
      </c>
      <c r="O1912" t="str">
        <f t="shared" si="164"/>
        <v>25</v>
      </c>
      <c r="Q1912">
        <v>25</v>
      </c>
      <c r="R1912" t="s">
        <v>1269</v>
      </c>
      <c r="S1912">
        <v>23.221</v>
      </c>
      <c r="T1912">
        <v>0.27760000000000001</v>
      </c>
      <c r="U1912">
        <f t="shared" si="165"/>
        <v>0</v>
      </c>
      <c r="V1912" t="str">
        <f t="shared" si="162"/>
        <v>Elementary Pupil Management</v>
      </c>
      <c r="W1912" t="str">
        <f t="shared" si="163"/>
        <v>Pupil Management</v>
      </c>
    </row>
    <row r="1913" spans="1:23" x14ac:dyDescent="0.25">
      <c r="A1913">
        <v>27010</v>
      </c>
      <c r="B1913" t="s">
        <v>1383</v>
      </c>
      <c r="C1913">
        <v>6.72</v>
      </c>
      <c r="D1913" t="s">
        <v>1264</v>
      </c>
      <c r="E1913">
        <v>100261</v>
      </c>
      <c r="F1913">
        <v>27010</v>
      </c>
      <c r="G1913" t="str">
        <f t="shared" si="161"/>
        <v>27010</v>
      </c>
      <c r="H1913" t="s">
        <v>481</v>
      </c>
      <c r="I1913" t="s">
        <v>1265</v>
      </c>
      <c r="J1913" t="s">
        <v>1271</v>
      </c>
      <c r="K1913" t="s">
        <v>1272</v>
      </c>
      <c r="L1913" t="s">
        <v>1383</v>
      </c>
      <c r="M1913" t="s">
        <v>1409</v>
      </c>
      <c r="N1913">
        <v>21</v>
      </c>
      <c r="O1913" t="str">
        <f t="shared" si="164"/>
        <v>25</v>
      </c>
      <c r="Q1913">
        <v>25</v>
      </c>
      <c r="R1913" t="s">
        <v>1269</v>
      </c>
      <c r="S1913">
        <v>6.72</v>
      </c>
      <c r="T1913">
        <v>0.27760000000000001</v>
      </c>
      <c r="U1913">
        <f t="shared" si="165"/>
        <v>1.865</v>
      </c>
      <c r="V1913" t="str">
        <f t="shared" si="162"/>
        <v>High Pupil Management</v>
      </c>
      <c r="W1913" t="str">
        <f t="shared" si="163"/>
        <v>Pupil Management</v>
      </c>
    </row>
    <row r="1914" spans="1:23" x14ac:dyDescent="0.25">
      <c r="A1914">
        <v>27010</v>
      </c>
      <c r="B1914" t="s">
        <v>1315</v>
      </c>
      <c r="C1914">
        <v>16.109000000000002</v>
      </c>
      <c r="D1914" t="s">
        <v>1264</v>
      </c>
      <c r="E1914">
        <v>100261</v>
      </c>
      <c r="F1914">
        <v>27010</v>
      </c>
      <c r="G1914" t="str">
        <f t="shared" si="161"/>
        <v>27010</v>
      </c>
      <c r="H1914" t="s">
        <v>481</v>
      </c>
      <c r="I1914" t="s">
        <v>1265</v>
      </c>
      <c r="J1914" t="s">
        <v>1276</v>
      </c>
      <c r="K1914" t="s">
        <v>1277</v>
      </c>
      <c r="L1914" t="s">
        <v>1315</v>
      </c>
      <c r="M1914" t="s">
        <v>1375</v>
      </c>
      <c r="N1914">
        <v>1</v>
      </c>
      <c r="O1914" t="str">
        <f t="shared" si="164"/>
        <v>26</v>
      </c>
      <c r="Q1914">
        <v>26</v>
      </c>
      <c r="R1914" t="s">
        <v>1269</v>
      </c>
      <c r="S1914">
        <v>16.109000000000002</v>
      </c>
      <c r="T1914">
        <v>0.27760000000000001</v>
      </c>
      <c r="U1914">
        <f t="shared" si="165"/>
        <v>0</v>
      </c>
      <c r="V1914" t="str">
        <f t="shared" si="162"/>
        <v>Elementary Health/
Related Services</v>
      </c>
      <c r="W1914" t="str">
        <f t="shared" si="163"/>
        <v>Health/
Related Services</v>
      </c>
    </row>
    <row r="1915" spans="1:23" x14ac:dyDescent="0.25">
      <c r="A1915">
        <v>27010</v>
      </c>
      <c r="B1915" t="s">
        <v>1324</v>
      </c>
      <c r="C1915">
        <v>5.944</v>
      </c>
      <c r="D1915" t="s">
        <v>1264</v>
      </c>
      <c r="E1915">
        <v>100261</v>
      </c>
      <c r="F1915">
        <v>27010</v>
      </c>
      <c r="G1915" t="str">
        <f t="shared" si="161"/>
        <v>27010</v>
      </c>
      <c r="H1915" t="s">
        <v>481</v>
      </c>
      <c r="I1915" t="s">
        <v>1265</v>
      </c>
      <c r="J1915" t="s">
        <v>1271</v>
      </c>
      <c r="K1915" t="s">
        <v>1272</v>
      </c>
      <c r="L1915" t="s">
        <v>1324</v>
      </c>
      <c r="M1915" t="s">
        <v>1325</v>
      </c>
      <c r="N1915">
        <v>21</v>
      </c>
      <c r="O1915" t="str">
        <f t="shared" si="164"/>
        <v>26</v>
      </c>
      <c r="Q1915">
        <v>26</v>
      </c>
      <c r="R1915" t="s">
        <v>1269</v>
      </c>
      <c r="S1915">
        <v>5.944</v>
      </c>
      <c r="T1915">
        <v>0.27760000000000001</v>
      </c>
      <c r="U1915">
        <f t="shared" si="165"/>
        <v>1.65</v>
      </c>
      <c r="V1915" t="str">
        <f t="shared" si="162"/>
        <v>High Health/
Related Services</v>
      </c>
      <c r="W1915" t="str">
        <f t="shared" si="163"/>
        <v>Health/
Related Services</v>
      </c>
    </row>
    <row r="1916" spans="1:23" x14ac:dyDescent="0.25">
      <c r="A1916">
        <v>27010</v>
      </c>
      <c r="B1916" t="s">
        <v>1275</v>
      </c>
      <c r="C1916">
        <v>47.741999999999997</v>
      </c>
      <c r="D1916" t="s">
        <v>1264</v>
      </c>
      <c r="E1916">
        <v>100261</v>
      </c>
      <c r="F1916">
        <v>27010</v>
      </c>
      <c r="G1916" t="str">
        <f t="shared" si="161"/>
        <v>27010</v>
      </c>
      <c r="H1916" t="s">
        <v>481</v>
      </c>
      <c r="I1916" t="s">
        <v>1265</v>
      </c>
      <c r="J1916" t="s">
        <v>1276</v>
      </c>
      <c r="K1916" t="s">
        <v>1277</v>
      </c>
      <c r="L1916" t="s">
        <v>1275</v>
      </c>
      <c r="M1916" t="s">
        <v>1278</v>
      </c>
      <c r="N1916">
        <v>1</v>
      </c>
      <c r="O1916" t="str">
        <f t="shared" si="164"/>
        <v>42</v>
      </c>
      <c r="P1916">
        <v>42</v>
      </c>
      <c r="R1916" t="s">
        <v>1269</v>
      </c>
      <c r="S1916">
        <v>47.741999999999997</v>
      </c>
      <c r="T1916">
        <v>0.27760000000000001</v>
      </c>
      <c r="U1916">
        <f t="shared" si="165"/>
        <v>0</v>
      </c>
      <c r="V1916" t="str">
        <f t="shared" si="162"/>
        <v>Elementary Counselor</v>
      </c>
      <c r="W1916" t="str">
        <f t="shared" si="163"/>
        <v>Counselor</v>
      </c>
    </row>
    <row r="1917" spans="1:23" x14ac:dyDescent="0.25">
      <c r="A1917">
        <v>27010</v>
      </c>
      <c r="B1917" t="s">
        <v>1270</v>
      </c>
      <c r="C1917">
        <v>21</v>
      </c>
      <c r="D1917" t="s">
        <v>1264</v>
      </c>
      <c r="E1917">
        <v>100261</v>
      </c>
      <c r="F1917">
        <v>27010</v>
      </c>
      <c r="G1917" t="str">
        <f t="shared" si="161"/>
        <v>27010</v>
      </c>
      <c r="H1917" t="s">
        <v>481</v>
      </c>
      <c r="I1917" t="s">
        <v>1265</v>
      </c>
      <c r="J1917" t="s">
        <v>1271</v>
      </c>
      <c r="K1917" t="s">
        <v>1272</v>
      </c>
      <c r="L1917" t="s">
        <v>1270</v>
      </c>
      <c r="M1917" t="s">
        <v>1273</v>
      </c>
      <c r="N1917">
        <v>1</v>
      </c>
      <c r="O1917" t="str">
        <f t="shared" si="164"/>
        <v>42</v>
      </c>
      <c r="P1917">
        <v>42</v>
      </c>
      <c r="R1917" t="s">
        <v>1269</v>
      </c>
      <c r="S1917">
        <v>21</v>
      </c>
      <c r="T1917">
        <v>0.27760000000000001</v>
      </c>
      <c r="U1917">
        <f t="shared" si="165"/>
        <v>0</v>
      </c>
      <c r="V1917" t="str">
        <f t="shared" si="162"/>
        <v>High Counselor</v>
      </c>
      <c r="W1917" t="str">
        <f t="shared" si="163"/>
        <v>Counselor</v>
      </c>
    </row>
    <row r="1918" spans="1:23" x14ac:dyDescent="0.25">
      <c r="A1918">
        <v>27010</v>
      </c>
      <c r="B1918" t="s">
        <v>1263</v>
      </c>
      <c r="C1918">
        <v>13.438000000000001</v>
      </c>
      <c r="D1918" t="s">
        <v>1264</v>
      </c>
      <c r="E1918">
        <v>100261</v>
      </c>
      <c r="F1918">
        <v>27010</v>
      </c>
      <c r="G1918" t="str">
        <f t="shared" si="161"/>
        <v>27010</v>
      </c>
      <c r="H1918" t="s">
        <v>481</v>
      </c>
      <c r="I1918" t="s">
        <v>1265</v>
      </c>
      <c r="J1918" t="s">
        <v>1266</v>
      </c>
      <c r="K1918" t="s">
        <v>1267</v>
      </c>
      <c r="L1918" t="s">
        <v>1263</v>
      </c>
      <c r="M1918" t="s">
        <v>1268</v>
      </c>
      <c r="N1918">
        <v>1</v>
      </c>
      <c r="O1918" t="str">
        <f t="shared" si="164"/>
        <v>42</v>
      </c>
      <c r="P1918">
        <v>42</v>
      </c>
      <c r="R1918" t="s">
        <v>1269</v>
      </c>
      <c r="S1918">
        <v>13.438000000000001</v>
      </c>
      <c r="T1918">
        <v>0.27760000000000001</v>
      </c>
      <c r="U1918">
        <f t="shared" si="165"/>
        <v>0</v>
      </c>
      <c r="V1918" t="str">
        <f t="shared" si="162"/>
        <v>Middle Counselor</v>
      </c>
      <c r="W1918" t="str">
        <f t="shared" si="163"/>
        <v>Counselor</v>
      </c>
    </row>
    <row r="1919" spans="1:23" x14ac:dyDescent="0.25">
      <c r="A1919">
        <v>27010</v>
      </c>
      <c r="B1919" t="s">
        <v>1289</v>
      </c>
      <c r="C1919">
        <v>10.9</v>
      </c>
      <c r="D1919" t="s">
        <v>1264</v>
      </c>
      <c r="E1919">
        <v>100261</v>
      </c>
      <c r="F1919">
        <v>27010</v>
      </c>
      <c r="G1919" t="str">
        <f t="shared" si="161"/>
        <v>27010</v>
      </c>
      <c r="H1919" t="s">
        <v>481</v>
      </c>
      <c r="I1919" t="s">
        <v>1265</v>
      </c>
      <c r="J1919" t="s">
        <v>1276</v>
      </c>
      <c r="K1919" t="s">
        <v>1277</v>
      </c>
      <c r="L1919" t="s">
        <v>1289</v>
      </c>
      <c r="M1919" t="s">
        <v>1307</v>
      </c>
      <c r="N1919">
        <v>21</v>
      </c>
      <c r="O1919" t="str">
        <f t="shared" si="164"/>
        <v>43</v>
      </c>
      <c r="P1919">
        <v>43</v>
      </c>
      <c r="R1919" t="s">
        <v>1269</v>
      </c>
      <c r="S1919">
        <v>10.9</v>
      </c>
      <c r="T1919">
        <v>0.27760000000000001</v>
      </c>
      <c r="U1919">
        <f t="shared" si="165"/>
        <v>3.0259999999999998</v>
      </c>
      <c r="V1919" t="str">
        <f t="shared" si="162"/>
        <v>Elementary Occupational Therapist</v>
      </c>
      <c r="W1919" t="str">
        <f t="shared" si="163"/>
        <v>Occupational Therapist</v>
      </c>
    </row>
    <row r="1920" spans="1:23" x14ac:dyDescent="0.25">
      <c r="A1920">
        <v>27010</v>
      </c>
      <c r="B1920" t="s">
        <v>1387</v>
      </c>
      <c r="C1920">
        <v>7.27</v>
      </c>
      <c r="D1920" t="s">
        <v>1264</v>
      </c>
      <c r="E1920">
        <v>100261</v>
      </c>
      <c r="F1920">
        <v>27010</v>
      </c>
      <c r="G1920" t="str">
        <f t="shared" si="161"/>
        <v>27010</v>
      </c>
      <c r="H1920" t="s">
        <v>481</v>
      </c>
      <c r="I1920" t="s">
        <v>1265</v>
      </c>
      <c r="J1920" t="s">
        <v>1271</v>
      </c>
      <c r="K1920" t="s">
        <v>1272</v>
      </c>
      <c r="L1920" t="s">
        <v>1387</v>
      </c>
      <c r="M1920" t="s">
        <v>1406</v>
      </c>
      <c r="N1920">
        <v>21</v>
      </c>
      <c r="O1920" t="str">
        <f t="shared" si="164"/>
        <v>43</v>
      </c>
      <c r="P1920">
        <v>43</v>
      </c>
      <c r="R1920" t="s">
        <v>1269</v>
      </c>
      <c r="S1920">
        <v>7.27</v>
      </c>
      <c r="T1920">
        <v>0.27760000000000001</v>
      </c>
      <c r="U1920">
        <f t="shared" si="165"/>
        <v>2.0179999999999998</v>
      </c>
      <c r="V1920" t="str">
        <f t="shared" si="162"/>
        <v>High Occupational Therapist</v>
      </c>
      <c r="W1920" t="str">
        <f t="shared" si="163"/>
        <v>Occupational Therapist</v>
      </c>
    </row>
    <row r="1921" spans="1:23" x14ac:dyDescent="0.25">
      <c r="A1921">
        <v>27010</v>
      </c>
      <c r="B1921" t="s">
        <v>1303</v>
      </c>
      <c r="C1921">
        <v>3.03</v>
      </c>
      <c r="D1921" t="s">
        <v>1264</v>
      </c>
      <c r="E1921">
        <v>100261</v>
      </c>
      <c r="F1921">
        <v>27010</v>
      </c>
      <c r="G1921" t="str">
        <f t="shared" si="161"/>
        <v>27010</v>
      </c>
      <c r="H1921" t="s">
        <v>481</v>
      </c>
      <c r="I1921" t="s">
        <v>1265</v>
      </c>
      <c r="J1921" t="s">
        <v>1266</v>
      </c>
      <c r="K1921" t="s">
        <v>1267</v>
      </c>
      <c r="L1921" t="s">
        <v>1303</v>
      </c>
      <c r="M1921" t="s">
        <v>1304</v>
      </c>
      <c r="N1921">
        <v>21</v>
      </c>
      <c r="O1921" t="str">
        <f t="shared" si="164"/>
        <v>43</v>
      </c>
      <c r="P1921">
        <v>43</v>
      </c>
      <c r="R1921" t="s">
        <v>1269</v>
      </c>
      <c r="S1921">
        <v>3.03</v>
      </c>
      <c r="T1921">
        <v>0.27760000000000001</v>
      </c>
      <c r="U1921">
        <f t="shared" si="165"/>
        <v>0.84099999999999997</v>
      </c>
      <c r="V1921" t="str">
        <f t="shared" si="162"/>
        <v>Middle Occupational Therapist</v>
      </c>
      <c r="W1921" t="str">
        <f t="shared" si="163"/>
        <v>Occupational Therapist</v>
      </c>
    </row>
    <row r="1922" spans="1:23" x14ac:dyDescent="0.25">
      <c r="A1922">
        <v>27010</v>
      </c>
      <c r="B1922" t="s">
        <v>1331</v>
      </c>
      <c r="C1922">
        <v>0.4</v>
      </c>
      <c r="D1922" t="s">
        <v>1264</v>
      </c>
      <c r="E1922">
        <v>100261</v>
      </c>
      <c r="F1922">
        <v>27010</v>
      </c>
      <c r="G1922" t="str">
        <f t="shared" ref="G1922:G1985" si="166">TEXT(F1922,"00000")</f>
        <v>27010</v>
      </c>
      <c r="H1922" t="s">
        <v>481</v>
      </c>
      <c r="I1922" t="s">
        <v>1265</v>
      </c>
      <c r="J1922" t="s">
        <v>1276</v>
      </c>
      <c r="K1922" t="s">
        <v>1277</v>
      </c>
      <c r="L1922" t="s">
        <v>1331</v>
      </c>
      <c r="M1922" t="s">
        <v>1405</v>
      </c>
      <c r="N1922">
        <v>1</v>
      </c>
      <c r="O1922" t="str">
        <f t="shared" si="164"/>
        <v>44</v>
      </c>
      <c r="P1922">
        <v>44</v>
      </c>
      <c r="R1922" t="s">
        <v>1269</v>
      </c>
      <c r="S1922">
        <v>0.4</v>
      </c>
      <c r="T1922">
        <v>0.27760000000000001</v>
      </c>
      <c r="U1922">
        <f t="shared" si="165"/>
        <v>0</v>
      </c>
      <c r="V1922" t="str">
        <f t="shared" ref="V1922:V1985" si="167">_xlfn.XLOOKUP(L1922,$BV:$BV,$BT:$BT,,0)</f>
        <v>Elementary Social Worker</v>
      </c>
      <c r="W1922" t="str">
        <f t="shared" ref="W1922:W1985" si="168">_xlfn.TEXTAFTER(V1922," ")</f>
        <v>Social Worker</v>
      </c>
    </row>
    <row r="1923" spans="1:23" x14ac:dyDescent="0.25">
      <c r="A1923">
        <v>27010</v>
      </c>
      <c r="B1923" t="s">
        <v>1359</v>
      </c>
      <c r="C1923">
        <v>3</v>
      </c>
      <c r="D1923" t="s">
        <v>1264</v>
      </c>
      <c r="E1923">
        <v>100261</v>
      </c>
      <c r="F1923">
        <v>27010</v>
      </c>
      <c r="G1923" t="str">
        <f t="shared" si="166"/>
        <v>27010</v>
      </c>
      <c r="H1923" t="s">
        <v>481</v>
      </c>
      <c r="I1923" t="s">
        <v>1265</v>
      </c>
      <c r="J1923" t="s">
        <v>1271</v>
      </c>
      <c r="K1923" t="s">
        <v>1272</v>
      </c>
      <c r="L1923" t="s">
        <v>1359</v>
      </c>
      <c r="M1923" t="s">
        <v>1360</v>
      </c>
      <c r="N1923">
        <v>1</v>
      </c>
      <c r="O1923" t="str">
        <f t="shared" ref="O1923:O1986" si="169">MID(L1923,3,2)</f>
        <v>44</v>
      </c>
      <c r="P1923">
        <v>44</v>
      </c>
      <c r="R1923" t="s">
        <v>1269</v>
      </c>
      <c r="S1923">
        <v>3</v>
      </c>
      <c r="T1923">
        <v>0.27760000000000001</v>
      </c>
      <c r="U1923">
        <f t="shared" ref="U1923:U1986" si="170">IF(N1923=21,ROUND(T1923*S1923,3),0)</f>
        <v>0</v>
      </c>
      <c r="V1923" t="str">
        <f t="shared" si="167"/>
        <v>High Social Worker</v>
      </c>
      <c r="W1923" t="str">
        <f t="shared" si="168"/>
        <v>Social Worker</v>
      </c>
    </row>
    <row r="1924" spans="1:23" x14ac:dyDescent="0.25">
      <c r="A1924">
        <v>27010</v>
      </c>
      <c r="B1924" t="s">
        <v>1294</v>
      </c>
      <c r="C1924">
        <v>26.516999999999999</v>
      </c>
      <c r="D1924" t="s">
        <v>1264</v>
      </c>
      <c r="E1924">
        <v>100261</v>
      </c>
      <c r="F1924">
        <v>27010</v>
      </c>
      <c r="G1924" t="str">
        <f t="shared" si="166"/>
        <v>27010</v>
      </c>
      <c r="H1924" t="s">
        <v>481</v>
      </c>
      <c r="I1924" t="s">
        <v>1265</v>
      </c>
      <c r="J1924" t="s">
        <v>1276</v>
      </c>
      <c r="K1924" t="s">
        <v>1277</v>
      </c>
      <c r="L1924" t="s">
        <v>1294</v>
      </c>
      <c r="M1924" t="s">
        <v>1354</v>
      </c>
      <c r="N1924">
        <v>21</v>
      </c>
      <c r="O1924" t="str">
        <f t="shared" si="169"/>
        <v>45</v>
      </c>
      <c r="P1924">
        <v>45</v>
      </c>
      <c r="R1924" t="s">
        <v>1269</v>
      </c>
      <c r="S1924">
        <v>26.516999999999999</v>
      </c>
      <c r="T1924">
        <v>0.27760000000000001</v>
      </c>
      <c r="U1924">
        <f t="shared" si="170"/>
        <v>7.3609999999999998</v>
      </c>
      <c r="V1924" t="str">
        <f t="shared" si="167"/>
        <v>Elementary Speech, Language Pathway/
Audio</v>
      </c>
      <c r="W1924" t="str">
        <f t="shared" si="168"/>
        <v>Speech, Language Pathway/
Audio</v>
      </c>
    </row>
    <row r="1925" spans="1:23" x14ac:dyDescent="0.25">
      <c r="A1925">
        <v>27010</v>
      </c>
      <c r="B1925" t="s">
        <v>1326</v>
      </c>
      <c r="C1925">
        <v>17.693000000000001</v>
      </c>
      <c r="D1925" t="s">
        <v>1264</v>
      </c>
      <c r="E1925">
        <v>100261</v>
      </c>
      <c r="F1925">
        <v>27010</v>
      </c>
      <c r="G1925" t="str">
        <f t="shared" si="166"/>
        <v>27010</v>
      </c>
      <c r="H1925" t="s">
        <v>481</v>
      </c>
      <c r="I1925" t="s">
        <v>1265</v>
      </c>
      <c r="J1925" t="s">
        <v>1271</v>
      </c>
      <c r="K1925" t="s">
        <v>1272</v>
      </c>
      <c r="L1925" t="s">
        <v>1326</v>
      </c>
      <c r="M1925" t="s">
        <v>1353</v>
      </c>
      <c r="N1925">
        <v>21</v>
      </c>
      <c r="O1925" t="str">
        <f t="shared" si="169"/>
        <v>45</v>
      </c>
      <c r="P1925">
        <v>45</v>
      </c>
      <c r="R1925" t="s">
        <v>1269</v>
      </c>
      <c r="S1925">
        <v>17.693000000000001</v>
      </c>
      <c r="T1925">
        <v>0.27760000000000001</v>
      </c>
      <c r="U1925">
        <f t="shared" si="170"/>
        <v>4.9119999999999999</v>
      </c>
      <c r="V1925" t="str">
        <f t="shared" si="167"/>
        <v>High Speech, Language Pathway/
Audio</v>
      </c>
      <c r="W1925" t="str">
        <f t="shared" si="168"/>
        <v>Speech, Language Pathway/
Audio</v>
      </c>
    </row>
    <row r="1926" spans="1:23" x14ac:dyDescent="0.25">
      <c r="A1926">
        <v>27010</v>
      </c>
      <c r="B1926" t="s">
        <v>1312</v>
      </c>
      <c r="C1926">
        <v>7.3760000000000003</v>
      </c>
      <c r="D1926" t="s">
        <v>1264</v>
      </c>
      <c r="E1926">
        <v>100261</v>
      </c>
      <c r="F1926">
        <v>27010</v>
      </c>
      <c r="G1926" t="str">
        <f t="shared" si="166"/>
        <v>27010</v>
      </c>
      <c r="H1926" t="s">
        <v>481</v>
      </c>
      <c r="I1926" t="s">
        <v>1265</v>
      </c>
      <c r="J1926" t="s">
        <v>1266</v>
      </c>
      <c r="K1926" t="s">
        <v>1267</v>
      </c>
      <c r="L1926" t="s">
        <v>1312</v>
      </c>
      <c r="M1926" t="s">
        <v>1351</v>
      </c>
      <c r="N1926">
        <v>21</v>
      </c>
      <c r="O1926" t="str">
        <f t="shared" si="169"/>
        <v>45</v>
      </c>
      <c r="P1926">
        <v>45</v>
      </c>
      <c r="R1926" t="s">
        <v>1269</v>
      </c>
      <c r="S1926">
        <v>7.3760000000000003</v>
      </c>
      <c r="T1926">
        <v>0.27760000000000001</v>
      </c>
      <c r="U1926">
        <f t="shared" si="170"/>
        <v>2.048</v>
      </c>
      <c r="V1926" t="str">
        <f t="shared" si="167"/>
        <v>Middle Speech, Language Pathway/
Audio</v>
      </c>
      <c r="W1926" t="str">
        <f t="shared" si="168"/>
        <v>Speech, Language Pathway/
Audio</v>
      </c>
    </row>
    <row r="1927" spans="1:23" x14ac:dyDescent="0.25">
      <c r="A1927">
        <v>27010</v>
      </c>
      <c r="B1927" t="s">
        <v>1298</v>
      </c>
      <c r="C1927">
        <v>16.690999999999999</v>
      </c>
      <c r="D1927" t="s">
        <v>1264</v>
      </c>
      <c r="E1927">
        <v>100261</v>
      </c>
      <c r="F1927">
        <v>27010</v>
      </c>
      <c r="G1927" t="str">
        <f t="shared" si="166"/>
        <v>27010</v>
      </c>
      <c r="H1927" t="s">
        <v>481</v>
      </c>
      <c r="I1927" t="s">
        <v>1265</v>
      </c>
      <c r="J1927" t="s">
        <v>1276</v>
      </c>
      <c r="K1927" t="s">
        <v>1277</v>
      </c>
      <c r="L1927" t="s">
        <v>1298</v>
      </c>
      <c r="M1927" t="s">
        <v>1349</v>
      </c>
      <c r="N1927">
        <v>21</v>
      </c>
      <c r="O1927" t="str">
        <f t="shared" si="169"/>
        <v>46</v>
      </c>
      <c r="P1927">
        <v>46</v>
      </c>
      <c r="R1927" t="s">
        <v>1269</v>
      </c>
      <c r="S1927">
        <v>16.690999999999999</v>
      </c>
      <c r="T1927">
        <v>0.27760000000000001</v>
      </c>
      <c r="U1927">
        <f t="shared" si="170"/>
        <v>4.633</v>
      </c>
      <c r="V1927" t="str">
        <f t="shared" si="167"/>
        <v>Elementary Psychologist</v>
      </c>
      <c r="W1927" t="str">
        <f t="shared" si="168"/>
        <v>Psychologist</v>
      </c>
    </row>
    <row r="1928" spans="1:23" x14ac:dyDescent="0.25">
      <c r="A1928">
        <v>27010</v>
      </c>
      <c r="B1928" t="s">
        <v>1309</v>
      </c>
      <c r="C1928">
        <v>11.137</v>
      </c>
      <c r="D1928" t="s">
        <v>1264</v>
      </c>
      <c r="E1928">
        <v>100261</v>
      </c>
      <c r="F1928">
        <v>27010</v>
      </c>
      <c r="G1928" t="str">
        <f t="shared" si="166"/>
        <v>27010</v>
      </c>
      <c r="H1928" t="s">
        <v>481</v>
      </c>
      <c r="I1928" t="s">
        <v>1265</v>
      </c>
      <c r="J1928" t="s">
        <v>1271</v>
      </c>
      <c r="K1928" t="s">
        <v>1272</v>
      </c>
      <c r="L1928" t="s">
        <v>1309</v>
      </c>
      <c r="M1928" t="s">
        <v>1310</v>
      </c>
      <c r="N1928">
        <v>21</v>
      </c>
      <c r="O1928" t="str">
        <f t="shared" si="169"/>
        <v>46</v>
      </c>
      <c r="P1928">
        <v>46</v>
      </c>
      <c r="R1928" t="s">
        <v>1269</v>
      </c>
      <c r="S1928">
        <v>11.137</v>
      </c>
      <c r="T1928">
        <v>0.27760000000000001</v>
      </c>
      <c r="U1928">
        <f t="shared" si="170"/>
        <v>3.0920000000000001</v>
      </c>
      <c r="V1928" t="str">
        <f t="shared" si="167"/>
        <v>High Psychologist</v>
      </c>
      <c r="W1928" t="str">
        <f t="shared" si="168"/>
        <v>Psychologist</v>
      </c>
    </row>
    <row r="1929" spans="1:23" x14ac:dyDescent="0.25">
      <c r="A1929">
        <v>27010</v>
      </c>
      <c r="B1929" t="s">
        <v>1345</v>
      </c>
      <c r="C1929">
        <v>4.6429999999999998</v>
      </c>
      <c r="D1929" t="s">
        <v>1264</v>
      </c>
      <c r="E1929">
        <v>100261</v>
      </c>
      <c r="F1929">
        <v>27010</v>
      </c>
      <c r="G1929" t="str">
        <f t="shared" si="166"/>
        <v>27010</v>
      </c>
      <c r="H1929" t="s">
        <v>481</v>
      </c>
      <c r="I1929" t="s">
        <v>1265</v>
      </c>
      <c r="J1929" t="s">
        <v>1266</v>
      </c>
      <c r="K1929" t="s">
        <v>1267</v>
      </c>
      <c r="L1929" t="s">
        <v>1345</v>
      </c>
      <c r="M1929" t="s">
        <v>1346</v>
      </c>
      <c r="N1929">
        <v>21</v>
      </c>
      <c r="O1929" t="str">
        <f t="shared" si="169"/>
        <v>46</v>
      </c>
      <c r="P1929">
        <v>46</v>
      </c>
      <c r="R1929" t="s">
        <v>1269</v>
      </c>
      <c r="S1929">
        <v>4.6429999999999998</v>
      </c>
      <c r="T1929">
        <v>0.27760000000000001</v>
      </c>
      <c r="U1929">
        <f t="shared" si="170"/>
        <v>1.2889999999999999</v>
      </c>
      <c r="V1929" t="str">
        <f t="shared" si="167"/>
        <v>Middle Psychologist</v>
      </c>
      <c r="W1929" t="str">
        <f t="shared" si="168"/>
        <v>Psychologist</v>
      </c>
    </row>
    <row r="1930" spans="1:23" x14ac:dyDescent="0.25">
      <c r="A1930">
        <v>27010</v>
      </c>
      <c r="B1930" t="s">
        <v>1334</v>
      </c>
      <c r="C1930">
        <v>0.308</v>
      </c>
      <c r="D1930" t="s">
        <v>1264</v>
      </c>
      <c r="E1930">
        <v>100261</v>
      </c>
      <c r="F1930">
        <v>27010</v>
      </c>
      <c r="G1930" t="str">
        <f t="shared" si="166"/>
        <v>27010</v>
      </c>
      <c r="H1930" t="s">
        <v>481</v>
      </c>
      <c r="I1930" t="s">
        <v>1265</v>
      </c>
      <c r="J1930" t="s">
        <v>1276</v>
      </c>
      <c r="K1930" t="s">
        <v>1277</v>
      </c>
      <c r="L1930" t="s">
        <v>1334</v>
      </c>
      <c r="M1930" t="s">
        <v>1413</v>
      </c>
      <c r="N1930">
        <v>21</v>
      </c>
      <c r="O1930" t="str">
        <f t="shared" si="169"/>
        <v>47</v>
      </c>
      <c r="P1930">
        <v>47</v>
      </c>
      <c r="R1930" t="s">
        <v>1269</v>
      </c>
      <c r="S1930">
        <v>0.308</v>
      </c>
      <c r="T1930">
        <v>0.27760000000000001</v>
      </c>
      <c r="U1930">
        <f t="shared" si="170"/>
        <v>8.5999999999999993E-2</v>
      </c>
      <c r="V1930" t="str">
        <f t="shared" si="167"/>
        <v>Elementary Nurse</v>
      </c>
      <c r="W1930" t="str">
        <f t="shared" si="168"/>
        <v>Nurse</v>
      </c>
    </row>
    <row r="1931" spans="1:23" x14ac:dyDescent="0.25">
      <c r="A1931">
        <v>27010</v>
      </c>
      <c r="B1931" t="s">
        <v>1335</v>
      </c>
      <c r="C1931">
        <v>15.776999999999999</v>
      </c>
      <c r="D1931" t="s">
        <v>1264</v>
      </c>
      <c r="E1931">
        <v>100261</v>
      </c>
      <c r="F1931">
        <v>27010</v>
      </c>
      <c r="G1931" t="str">
        <f t="shared" si="166"/>
        <v>27010</v>
      </c>
      <c r="H1931" t="s">
        <v>481</v>
      </c>
      <c r="I1931" t="s">
        <v>1265</v>
      </c>
      <c r="J1931" t="s">
        <v>1276</v>
      </c>
      <c r="K1931" t="s">
        <v>1277</v>
      </c>
      <c r="L1931" t="s">
        <v>1335</v>
      </c>
      <c r="M1931" t="s">
        <v>1344</v>
      </c>
      <c r="N1931">
        <v>1</v>
      </c>
      <c r="O1931" t="str">
        <f t="shared" si="169"/>
        <v>47</v>
      </c>
      <c r="P1931">
        <v>47</v>
      </c>
      <c r="R1931" t="s">
        <v>1269</v>
      </c>
      <c r="S1931">
        <v>15.776999999999999</v>
      </c>
      <c r="T1931">
        <v>0.27760000000000001</v>
      </c>
      <c r="U1931">
        <f t="shared" si="170"/>
        <v>0</v>
      </c>
      <c r="V1931" t="str">
        <f t="shared" si="167"/>
        <v>Elementary Nurse</v>
      </c>
      <c r="W1931" t="str">
        <f t="shared" si="168"/>
        <v>Nurse</v>
      </c>
    </row>
    <row r="1932" spans="1:23" x14ac:dyDescent="0.25">
      <c r="A1932">
        <v>27010</v>
      </c>
      <c r="B1932" t="s">
        <v>1397</v>
      </c>
      <c r="C1932">
        <v>0.20599999999999999</v>
      </c>
      <c r="D1932" t="s">
        <v>1264</v>
      </c>
      <c r="E1932">
        <v>100261</v>
      </c>
      <c r="F1932">
        <v>27010</v>
      </c>
      <c r="G1932" t="str">
        <f t="shared" si="166"/>
        <v>27010</v>
      </c>
      <c r="H1932" t="s">
        <v>481</v>
      </c>
      <c r="I1932" t="s">
        <v>1265</v>
      </c>
      <c r="J1932" t="s">
        <v>1271</v>
      </c>
      <c r="K1932" t="s">
        <v>1272</v>
      </c>
      <c r="L1932" t="s">
        <v>1397</v>
      </c>
      <c r="M1932" t="s">
        <v>1435</v>
      </c>
      <c r="N1932">
        <v>21</v>
      </c>
      <c r="O1932" t="str">
        <f t="shared" si="169"/>
        <v>47</v>
      </c>
      <c r="P1932">
        <v>47</v>
      </c>
      <c r="R1932" t="s">
        <v>1269</v>
      </c>
      <c r="S1932">
        <v>0.20599999999999999</v>
      </c>
      <c r="T1932">
        <v>0.27760000000000001</v>
      </c>
      <c r="U1932">
        <f t="shared" si="170"/>
        <v>5.7000000000000002E-2</v>
      </c>
      <c r="V1932" t="str">
        <f t="shared" si="167"/>
        <v>High Nurse</v>
      </c>
      <c r="W1932" t="str">
        <f t="shared" si="168"/>
        <v>Nurse</v>
      </c>
    </row>
    <row r="1933" spans="1:23" x14ac:dyDescent="0.25">
      <c r="A1933">
        <v>27010</v>
      </c>
      <c r="B1933" t="s">
        <v>1341</v>
      </c>
      <c r="C1933">
        <v>6.7450000000000001</v>
      </c>
      <c r="D1933" t="s">
        <v>1264</v>
      </c>
      <c r="E1933">
        <v>100261</v>
      </c>
      <c r="F1933">
        <v>27010</v>
      </c>
      <c r="G1933" t="str">
        <f t="shared" si="166"/>
        <v>27010</v>
      </c>
      <c r="H1933" t="s">
        <v>481</v>
      </c>
      <c r="I1933" t="s">
        <v>1265</v>
      </c>
      <c r="J1933" t="s">
        <v>1271</v>
      </c>
      <c r="K1933" t="s">
        <v>1272</v>
      </c>
      <c r="L1933" t="s">
        <v>1341</v>
      </c>
      <c r="M1933" t="s">
        <v>1342</v>
      </c>
      <c r="N1933">
        <v>1</v>
      </c>
      <c r="O1933" t="str">
        <f t="shared" si="169"/>
        <v>47</v>
      </c>
      <c r="P1933">
        <v>47</v>
      </c>
      <c r="R1933" t="s">
        <v>1269</v>
      </c>
      <c r="S1933">
        <v>6.7450000000000001</v>
      </c>
      <c r="T1933">
        <v>0.27760000000000001</v>
      </c>
      <c r="U1933">
        <f t="shared" si="170"/>
        <v>0</v>
      </c>
      <c r="V1933" t="str">
        <f t="shared" si="167"/>
        <v>High Nurse</v>
      </c>
      <c r="W1933" t="str">
        <f t="shared" si="168"/>
        <v>Nurse</v>
      </c>
    </row>
    <row r="1934" spans="1:23" x14ac:dyDescent="0.25">
      <c r="A1934">
        <v>27010</v>
      </c>
      <c r="B1934" t="s">
        <v>1372</v>
      </c>
      <c r="C1934">
        <v>8.5999999999999993E-2</v>
      </c>
      <c r="D1934" t="s">
        <v>1264</v>
      </c>
      <c r="E1934">
        <v>100261</v>
      </c>
      <c r="F1934">
        <v>27010</v>
      </c>
      <c r="G1934" t="str">
        <f t="shared" si="166"/>
        <v>27010</v>
      </c>
      <c r="H1934" t="s">
        <v>481</v>
      </c>
      <c r="I1934" t="s">
        <v>1265</v>
      </c>
      <c r="J1934" t="s">
        <v>1266</v>
      </c>
      <c r="K1934" t="s">
        <v>1267</v>
      </c>
      <c r="L1934" t="s">
        <v>1372</v>
      </c>
      <c r="M1934" t="s">
        <v>1436</v>
      </c>
      <c r="N1934">
        <v>21</v>
      </c>
      <c r="O1934" t="str">
        <f t="shared" si="169"/>
        <v>47</v>
      </c>
      <c r="P1934">
        <v>47</v>
      </c>
      <c r="R1934" t="s">
        <v>1269</v>
      </c>
      <c r="S1934">
        <v>8.5999999999999993E-2</v>
      </c>
      <c r="T1934">
        <v>0.27760000000000001</v>
      </c>
      <c r="U1934">
        <f t="shared" si="170"/>
        <v>2.4E-2</v>
      </c>
      <c r="V1934" t="str">
        <f t="shared" si="167"/>
        <v>Middle Nurse</v>
      </c>
      <c r="W1934" t="str">
        <f t="shared" si="168"/>
        <v>Nurse</v>
      </c>
    </row>
    <row r="1935" spans="1:23" x14ac:dyDescent="0.25">
      <c r="A1935">
        <v>27010</v>
      </c>
      <c r="B1935" t="s">
        <v>1338</v>
      </c>
      <c r="C1935">
        <v>3.758</v>
      </c>
      <c r="D1935" t="s">
        <v>1264</v>
      </c>
      <c r="E1935">
        <v>100261</v>
      </c>
      <c r="F1935">
        <v>27010</v>
      </c>
      <c r="G1935" t="str">
        <f t="shared" si="166"/>
        <v>27010</v>
      </c>
      <c r="H1935" t="s">
        <v>481</v>
      </c>
      <c r="I1935" t="s">
        <v>1265</v>
      </c>
      <c r="J1935" t="s">
        <v>1266</v>
      </c>
      <c r="K1935" t="s">
        <v>1267</v>
      </c>
      <c r="L1935" t="s">
        <v>1338</v>
      </c>
      <c r="M1935" t="s">
        <v>1339</v>
      </c>
      <c r="N1935">
        <v>1</v>
      </c>
      <c r="O1935" t="str">
        <f t="shared" si="169"/>
        <v>47</v>
      </c>
      <c r="P1935">
        <v>47</v>
      </c>
      <c r="R1935" t="s">
        <v>1269</v>
      </c>
      <c r="S1935">
        <v>3.758</v>
      </c>
      <c r="T1935">
        <v>0.27760000000000001</v>
      </c>
      <c r="U1935">
        <f t="shared" si="170"/>
        <v>0</v>
      </c>
      <c r="V1935" t="str">
        <f t="shared" si="167"/>
        <v>Middle Nurse</v>
      </c>
      <c r="W1935" t="str">
        <f t="shared" si="168"/>
        <v>Nurse</v>
      </c>
    </row>
    <row r="1936" spans="1:23" x14ac:dyDescent="0.25">
      <c r="A1936">
        <v>27010</v>
      </c>
      <c r="B1936" t="s">
        <v>1302</v>
      </c>
      <c r="C1936">
        <v>5.0359999999999996</v>
      </c>
      <c r="D1936" t="s">
        <v>1264</v>
      </c>
      <c r="E1936">
        <v>100261</v>
      </c>
      <c r="F1936">
        <v>27010</v>
      </c>
      <c r="G1936" t="str">
        <f t="shared" si="166"/>
        <v>27010</v>
      </c>
      <c r="H1936" t="s">
        <v>481</v>
      </c>
      <c r="I1936" t="s">
        <v>1265</v>
      </c>
      <c r="J1936" t="s">
        <v>1276</v>
      </c>
      <c r="K1936" t="s">
        <v>1277</v>
      </c>
      <c r="L1936" t="s">
        <v>1302</v>
      </c>
      <c r="M1936" t="s">
        <v>1336</v>
      </c>
      <c r="N1936">
        <v>21</v>
      </c>
      <c r="O1936" t="str">
        <f t="shared" si="169"/>
        <v>48</v>
      </c>
      <c r="P1936">
        <v>48</v>
      </c>
      <c r="R1936" t="s">
        <v>1269</v>
      </c>
      <c r="S1936">
        <v>5.0359999999999996</v>
      </c>
      <c r="T1936">
        <v>0.27760000000000001</v>
      </c>
      <c r="U1936">
        <f t="shared" si="170"/>
        <v>1.3979999999999999</v>
      </c>
      <c r="V1936" t="str">
        <f t="shared" si="167"/>
        <v>Elementary Physical Therapist</v>
      </c>
      <c r="W1936" t="str">
        <f t="shared" si="168"/>
        <v>Physical Therapist</v>
      </c>
    </row>
    <row r="1937" spans="1:23" x14ac:dyDescent="0.25">
      <c r="A1937">
        <v>27010</v>
      </c>
      <c r="B1937" t="s">
        <v>1330</v>
      </c>
      <c r="C1937">
        <v>3.3620000000000001</v>
      </c>
      <c r="D1937" t="s">
        <v>1264</v>
      </c>
      <c r="E1937">
        <v>100261</v>
      </c>
      <c r="F1937">
        <v>27010</v>
      </c>
      <c r="G1937" t="str">
        <f t="shared" si="166"/>
        <v>27010</v>
      </c>
      <c r="H1937" t="s">
        <v>481</v>
      </c>
      <c r="I1937" t="s">
        <v>1265</v>
      </c>
      <c r="J1937" t="s">
        <v>1271</v>
      </c>
      <c r="K1937" t="s">
        <v>1272</v>
      </c>
      <c r="L1937" t="s">
        <v>1330</v>
      </c>
      <c r="M1937" t="s">
        <v>1367</v>
      </c>
      <c r="N1937">
        <v>21</v>
      </c>
      <c r="O1937" t="str">
        <f t="shared" si="169"/>
        <v>48</v>
      </c>
      <c r="P1937">
        <v>48</v>
      </c>
      <c r="R1937" t="s">
        <v>1269</v>
      </c>
      <c r="S1937">
        <v>3.3620000000000001</v>
      </c>
      <c r="T1937">
        <v>0.27760000000000001</v>
      </c>
      <c r="U1937">
        <f t="shared" si="170"/>
        <v>0.93300000000000005</v>
      </c>
      <c r="V1937" t="str">
        <f t="shared" si="167"/>
        <v>High Physical Therapist</v>
      </c>
      <c r="W1937" t="str">
        <f t="shared" si="168"/>
        <v>Physical Therapist</v>
      </c>
    </row>
    <row r="1938" spans="1:23" x14ac:dyDescent="0.25">
      <c r="A1938">
        <v>27010</v>
      </c>
      <c r="B1938" t="s">
        <v>1316</v>
      </c>
      <c r="C1938">
        <v>1.4019999999999999</v>
      </c>
      <c r="D1938" t="s">
        <v>1264</v>
      </c>
      <c r="E1938">
        <v>100261</v>
      </c>
      <c r="F1938">
        <v>27010</v>
      </c>
      <c r="G1938" t="str">
        <f t="shared" si="166"/>
        <v>27010</v>
      </c>
      <c r="H1938" t="s">
        <v>481</v>
      </c>
      <c r="I1938" t="s">
        <v>1265</v>
      </c>
      <c r="J1938" t="s">
        <v>1266</v>
      </c>
      <c r="K1938" t="s">
        <v>1267</v>
      </c>
      <c r="L1938" t="s">
        <v>1316</v>
      </c>
      <c r="M1938" t="s">
        <v>1366</v>
      </c>
      <c r="N1938">
        <v>21</v>
      </c>
      <c r="O1938" t="str">
        <f t="shared" si="169"/>
        <v>48</v>
      </c>
      <c r="P1938">
        <v>48</v>
      </c>
      <c r="R1938" t="s">
        <v>1269</v>
      </c>
      <c r="S1938">
        <v>1.4019999999999999</v>
      </c>
      <c r="T1938">
        <v>0.27760000000000001</v>
      </c>
      <c r="U1938">
        <f t="shared" si="170"/>
        <v>0.38900000000000001</v>
      </c>
      <c r="V1938" t="str">
        <f t="shared" si="167"/>
        <v>Middle Physical Therapist</v>
      </c>
      <c r="W1938" t="str">
        <f t="shared" si="168"/>
        <v>Physical Therapist</v>
      </c>
    </row>
    <row r="1939" spans="1:23" x14ac:dyDescent="0.25">
      <c r="A1939">
        <v>27010</v>
      </c>
      <c r="B1939" t="s">
        <v>1340</v>
      </c>
      <c r="C1939">
        <v>2.056</v>
      </c>
      <c r="D1939" t="s">
        <v>1264</v>
      </c>
      <c r="E1939">
        <v>100261</v>
      </c>
      <c r="F1939">
        <v>27010</v>
      </c>
      <c r="G1939" t="str">
        <f t="shared" si="166"/>
        <v>27010</v>
      </c>
      <c r="H1939" t="s">
        <v>481</v>
      </c>
      <c r="I1939" t="s">
        <v>1265</v>
      </c>
      <c r="J1939" t="s">
        <v>1276</v>
      </c>
      <c r="K1939" t="s">
        <v>1277</v>
      </c>
      <c r="L1939" t="s">
        <v>1340</v>
      </c>
      <c r="M1939" t="s">
        <v>1395</v>
      </c>
      <c r="N1939">
        <v>21</v>
      </c>
      <c r="O1939" t="str">
        <f t="shared" si="169"/>
        <v>49</v>
      </c>
      <c r="P1939">
        <v>49</v>
      </c>
      <c r="R1939" t="s">
        <v>1269</v>
      </c>
      <c r="S1939">
        <v>2.056</v>
      </c>
      <c r="T1939">
        <v>0.27760000000000001</v>
      </c>
      <c r="U1939">
        <f t="shared" si="170"/>
        <v>0.57099999999999995</v>
      </c>
      <c r="V1939" t="str">
        <f t="shared" si="167"/>
        <v>Elementary Behavior Analyst</v>
      </c>
      <c r="W1939" t="str">
        <f t="shared" si="168"/>
        <v>Behavior Analyst</v>
      </c>
    </row>
    <row r="1940" spans="1:23" x14ac:dyDescent="0.25">
      <c r="A1940">
        <v>27010</v>
      </c>
      <c r="B1940" t="s">
        <v>1392</v>
      </c>
      <c r="C1940">
        <v>1.3720000000000001</v>
      </c>
      <c r="D1940" t="s">
        <v>1264</v>
      </c>
      <c r="E1940">
        <v>100261</v>
      </c>
      <c r="F1940">
        <v>27010</v>
      </c>
      <c r="G1940" t="str">
        <f t="shared" si="166"/>
        <v>27010</v>
      </c>
      <c r="H1940" t="s">
        <v>481</v>
      </c>
      <c r="I1940" t="s">
        <v>1265</v>
      </c>
      <c r="J1940" t="s">
        <v>1271</v>
      </c>
      <c r="K1940" t="s">
        <v>1272</v>
      </c>
      <c r="L1940" t="s">
        <v>1392</v>
      </c>
      <c r="M1940" t="s">
        <v>1393</v>
      </c>
      <c r="N1940">
        <v>21</v>
      </c>
      <c r="O1940" t="str">
        <f t="shared" si="169"/>
        <v>49</v>
      </c>
      <c r="P1940">
        <v>49</v>
      </c>
      <c r="R1940" t="s">
        <v>1269</v>
      </c>
      <c r="S1940">
        <v>1.3720000000000001</v>
      </c>
      <c r="T1940">
        <v>0.27760000000000001</v>
      </c>
      <c r="U1940">
        <f t="shared" si="170"/>
        <v>0.38100000000000001</v>
      </c>
      <c r="V1940" t="str">
        <f t="shared" si="167"/>
        <v>High Behavior Analyst</v>
      </c>
      <c r="W1940" t="str">
        <f t="shared" si="168"/>
        <v>Behavior Analyst</v>
      </c>
    </row>
    <row r="1941" spans="1:23" x14ac:dyDescent="0.25">
      <c r="A1941">
        <v>27010</v>
      </c>
      <c r="B1941" t="s">
        <v>1399</v>
      </c>
      <c r="C1941">
        <v>1</v>
      </c>
      <c r="D1941" t="s">
        <v>1264</v>
      </c>
      <c r="E1941">
        <v>100261</v>
      </c>
      <c r="F1941">
        <v>27010</v>
      </c>
      <c r="G1941" t="str">
        <f t="shared" si="166"/>
        <v>27010</v>
      </c>
      <c r="H1941" t="s">
        <v>481</v>
      </c>
      <c r="I1941" t="s">
        <v>1265</v>
      </c>
      <c r="J1941" t="s">
        <v>1271</v>
      </c>
      <c r="K1941" t="s">
        <v>1272</v>
      </c>
      <c r="L1941" t="s">
        <v>1399</v>
      </c>
      <c r="M1941" t="s">
        <v>1410</v>
      </c>
      <c r="N1941">
        <v>1</v>
      </c>
      <c r="O1941" t="str">
        <f t="shared" si="169"/>
        <v>49</v>
      </c>
      <c r="P1941">
        <v>49</v>
      </c>
      <c r="R1941" t="s">
        <v>1269</v>
      </c>
      <c r="S1941">
        <v>1</v>
      </c>
      <c r="T1941">
        <v>0.27760000000000001</v>
      </c>
      <c r="U1941">
        <f t="shared" si="170"/>
        <v>0</v>
      </c>
      <c r="V1941" t="str">
        <f t="shared" si="167"/>
        <v>High Behavior Analyst</v>
      </c>
      <c r="W1941" t="str">
        <f t="shared" si="168"/>
        <v>Behavior Analyst</v>
      </c>
    </row>
    <row r="1942" spans="1:23" x14ac:dyDescent="0.25">
      <c r="A1942">
        <v>27010</v>
      </c>
      <c r="B1942" t="s">
        <v>1374</v>
      </c>
      <c r="C1942">
        <v>0.57199999999999995</v>
      </c>
      <c r="D1942" t="s">
        <v>1264</v>
      </c>
      <c r="E1942">
        <v>100261</v>
      </c>
      <c r="F1942">
        <v>27010</v>
      </c>
      <c r="G1942" t="str">
        <f t="shared" si="166"/>
        <v>27010</v>
      </c>
      <c r="H1942" t="s">
        <v>481</v>
      </c>
      <c r="I1942" t="s">
        <v>1265</v>
      </c>
      <c r="J1942" t="s">
        <v>1266</v>
      </c>
      <c r="K1942" t="s">
        <v>1267</v>
      </c>
      <c r="L1942" t="s">
        <v>1374</v>
      </c>
      <c r="M1942" t="s">
        <v>1391</v>
      </c>
      <c r="N1942">
        <v>21</v>
      </c>
      <c r="O1942" t="str">
        <f t="shared" si="169"/>
        <v>49</v>
      </c>
      <c r="P1942">
        <v>49</v>
      </c>
      <c r="R1942" t="s">
        <v>1269</v>
      </c>
      <c r="S1942">
        <v>0.57199999999999995</v>
      </c>
      <c r="T1942">
        <v>0.27760000000000001</v>
      </c>
      <c r="U1942">
        <f t="shared" si="170"/>
        <v>0.159</v>
      </c>
      <c r="V1942" t="str">
        <f t="shared" si="167"/>
        <v>Middle Behavior Analyst</v>
      </c>
      <c r="W1942" t="str">
        <f t="shared" si="168"/>
        <v>Behavior Analyst</v>
      </c>
    </row>
    <row r="1943" spans="1:23" x14ac:dyDescent="0.25">
      <c r="A1943">
        <v>27083</v>
      </c>
      <c r="B1943" t="s">
        <v>1286</v>
      </c>
      <c r="C1943">
        <v>0.36199999999999999</v>
      </c>
      <c r="D1943" t="s">
        <v>1264</v>
      </c>
      <c r="E1943">
        <v>100275</v>
      </c>
      <c r="F1943">
        <v>27083</v>
      </c>
      <c r="G1943" t="str">
        <f t="shared" si="166"/>
        <v>27083</v>
      </c>
      <c r="H1943" t="s">
        <v>483</v>
      </c>
      <c r="I1943" t="s">
        <v>1265</v>
      </c>
      <c r="J1943" t="s">
        <v>1271</v>
      </c>
      <c r="K1943" t="s">
        <v>1272</v>
      </c>
      <c r="L1943" t="s">
        <v>1286</v>
      </c>
      <c r="M1943" t="s">
        <v>1287</v>
      </c>
      <c r="N1943">
        <v>1</v>
      </c>
      <c r="O1943" t="str">
        <f t="shared" si="169"/>
        <v>24</v>
      </c>
      <c r="P1943">
        <v>96</v>
      </c>
      <c r="Q1943">
        <v>24</v>
      </c>
      <c r="R1943" t="s">
        <v>1269</v>
      </c>
      <c r="S1943">
        <v>0.36199999999999999</v>
      </c>
      <c r="T1943">
        <v>0.3145</v>
      </c>
      <c r="U1943">
        <f t="shared" si="170"/>
        <v>0</v>
      </c>
      <c r="V1943" t="str">
        <f t="shared" si="167"/>
        <v>High Family Engagement Coordinator</v>
      </c>
      <c r="W1943" t="str">
        <f t="shared" si="168"/>
        <v>Family Engagement Coordinator</v>
      </c>
    </row>
    <row r="1944" spans="1:23" x14ac:dyDescent="0.25">
      <c r="A1944">
        <v>27083</v>
      </c>
      <c r="B1944" t="s">
        <v>1299</v>
      </c>
      <c r="C1944">
        <v>9.3239999999999998</v>
      </c>
      <c r="D1944" t="s">
        <v>1264</v>
      </c>
      <c r="E1944">
        <v>100275</v>
      </c>
      <c r="F1944">
        <v>27083</v>
      </c>
      <c r="G1944" t="str">
        <f t="shared" si="166"/>
        <v>27083</v>
      </c>
      <c r="H1944" t="s">
        <v>483</v>
      </c>
      <c r="I1944" t="s">
        <v>1265</v>
      </c>
      <c r="J1944" t="s">
        <v>1271</v>
      </c>
      <c r="K1944" t="s">
        <v>1272</v>
      </c>
      <c r="L1944" t="s">
        <v>1299</v>
      </c>
      <c r="M1944" t="s">
        <v>1300</v>
      </c>
      <c r="N1944">
        <v>1</v>
      </c>
      <c r="O1944" t="str">
        <f t="shared" si="169"/>
        <v>25</v>
      </c>
      <c r="Q1944">
        <v>25</v>
      </c>
      <c r="R1944" t="s">
        <v>1269</v>
      </c>
      <c r="S1944">
        <v>9.3239999999999998</v>
      </c>
      <c r="T1944">
        <v>0.3145</v>
      </c>
      <c r="U1944">
        <f t="shared" si="170"/>
        <v>0</v>
      </c>
      <c r="V1944" t="str">
        <f t="shared" si="167"/>
        <v>High Pupil Management</v>
      </c>
      <c r="W1944" t="str">
        <f t="shared" si="168"/>
        <v>Pupil Management</v>
      </c>
    </row>
    <row r="1945" spans="1:23" x14ac:dyDescent="0.25">
      <c r="A1945">
        <v>27083</v>
      </c>
      <c r="B1945" t="s">
        <v>1324</v>
      </c>
      <c r="C1945">
        <v>2.3879999999999999</v>
      </c>
      <c r="D1945" t="s">
        <v>1264</v>
      </c>
      <c r="E1945">
        <v>100275</v>
      </c>
      <c r="F1945">
        <v>27083</v>
      </c>
      <c r="G1945" t="str">
        <f t="shared" si="166"/>
        <v>27083</v>
      </c>
      <c r="H1945" t="s">
        <v>483</v>
      </c>
      <c r="I1945" t="s">
        <v>1265</v>
      </c>
      <c r="J1945" t="s">
        <v>1271</v>
      </c>
      <c r="K1945" t="s">
        <v>1272</v>
      </c>
      <c r="L1945" t="s">
        <v>1324</v>
      </c>
      <c r="M1945" t="s">
        <v>1325</v>
      </c>
      <c r="N1945">
        <v>21</v>
      </c>
      <c r="O1945" t="str">
        <f t="shared" si="169"/>
        <v>26</v>
      </c>
      <c r="Q1945">
        <v>26</v>
      </c>
      <c r="R1945" t="s">
        <v>1269</v>
      </c>
      <c r="S1945">
        <v>2.3879999999999999</v>
      </c>
      <c r="T1945">
        <v>0.3145</v>
      </c>
      <c r="U1945">
        <f t="shared" si="170"/>
        <v>0.751</v>
      </c>
      <c r="V1945" t="str">
        <f t="shared" si="167"/>
        <v>High Health/
Related Services</v>
      </c>
      <c r="W1945" t="str">
        <f t="shared" si="168"/>
        <v>Health/
Related Services</v>
      </c>
    </row>
    <row r="1946" spans="1:23" x14ac:dyDescent="0.25">
      <c r="A1946">
        <v>27083</v>
      </c>
      <c r="B1946" t="s">
        <v>1295</v>
      </c>
      <c r="C1946">
        <v>6.0990000000000002</v>
      </c>
      <c r="D1946" t="s">
        <v>1264</v>
      </c>
      <c r="E1946">
        <v>100275</v>
      </c>
      <c r="F1946">
        <v>27083</v>
      </c>
      <c r="G1946" t="str">
        <f t="shared" si="166"/>
        <v>27083</v>
      </c>
      <c r="H1946" t="s">
        <v>483</v>
      </c>
      <c r="I1946" t="s">
        <v>1265</v>
      </c>
      <c r="J1946" t="s">
        <v>1271</v>
      </c>
      <c r="K1946" t="s">
        <v>1272</v>
      </c>
      <c r="L1946" t="s">
        <v>1295</v>
      </c>
      <c r="M1946" t="s">
        <v>1296</v>
      </c>
      <c r="N1946">
        <v>1</v>
      </c>
      <c r="O1946" t="str">
        <f t="shared" si="169"/>
        <v>26</v>
      </c>
      <c r="Q1946">
        <v>26</v>
      </c>
      <c r="R1946" t="s">
        <v>1269</v>
      </c>
      <c r="S1946">
        <v>6.0990000000000002</v>
      </c>
      <c r="T1946">
        <v>0.3145</v>
      </c>
      <c r="U1946">
        <f t="shared" si="170"/>
        <v>0</v>
      </c>
      <c r="V1946" t="str">
        <f t="shared" si="167"/>
        <v>High Health/
Related Services</v>
      </c>
      <c r="W1946" t="str">
        <f t="shared" si="168"/>
        <v>Health/
Related Services</v>
      </c>
    </row>
    <row r="1947" spans="1:23" x14ac:dyDescent="0.25">
      <c r="A1947">
        <v>27083</v>
      </c>
      <c r="B1947" t="s">
        <v>1401</v>
      </c>
      <c r="C1947">
        <v>0.74299999999999999</v>
      </c>
      <c r="D1947" t="s">
        <v>1264</v>
      </c>
      <c r="E1947">
        <v>100275</v>
      </c>
      <c r="F1947">
        <v>27083</v>
      </c>
      <c r="G1947" t="str">
        <f t="shared" si="166"/>
        <v>27083</v>
      </c>
      <c r="H1947" t="s">
        <v>483</v>
      </c>
      <c r="I1947" t="s">
        <v>1265</v>
      </c>
      <c r="J1947" t="s">
        <v>1271</v>
      </c>
      <c r="K1947" t="s">
        <v>1272</v>
      </c>
      <c r="L1947" t="s">
        <v>1401</v>
      </c>
      <c r="M1947" t="s">
        <v>1422</v>
      </c>
      <c r="N1947">
        <v>1</v>
      </c>
      <c r="O1947" t="str">
        <f t="shared" si="169"/>
        <v>35</v>
      </c>
      <c r="Q1947">
        <v>35</v>
      </c>
      <c r="R1947" t="s">
        <v>1269</v>
      </c>
      <c r="S1947">
        <v>0.74299999999999999</v>
      </c>
      <c r="T1947">
        <v>0.3145</v>
      </c>
      <c r="U1947">
        <f t="shared" si="170"/>
        <v>0</v>
      </c>
      <c r="V1947" t="str">
        <f t="shared" si="167"/>
        <v>High Pupil Safety</v>
      </c>
      <c r="W1947" t="str">
        <f t="shared" si="168"/>
        <v>Pupil Safety</v>
      </c>
    </row>
    <row r="1948" spans="1:23" x14ac:dyDescent="0.25">
      <c r="A1948">
        <v>27083</v>
      </c>
      <c r="B1948" t="s">
        <v>1275</v>
      </c>
      <c r="C1948">
        <v>6.59</v>
      </c>
      <c r="D1948" t="s">
        <v>1264</v>
      </c>
      <c r="E1948">
        <v>100275</v>
      </c>
      <c r="F1948">
        <v>27083</v>
      </c>
      <c r="G1948" t="str">
        <f t="shared" si="166"/>
        <v>27083</v>
      </c>
      <c r="H1948" t="s">
        <v>483</v>
      </c>
      <c r="I1948" t="s">
        <v>1265</v>
      </c>
      <c r="J1948" t="s">
        <v>1276</v>
      </c>
      <c r="K1948" t="s">
        <v>1277</v>
      </c>
      <c r="L1948" t="s">
        <v>1275</v>
      </c>
      <c r="M1948" t="s">
        <v>1278</v>
      </c>
      <c r="N1948">
        <v>1</v>
      </c>
      <c r="O1948" t="str">
        <f t="shared" si="169"/>
        <v>42</v>
      </c>
      <c r="P1948">
        <v>42</v>
      </c>
      <c r="R1948" t="s">
        <v>1269</v>
      </c>
      <c r="S1948">
        <v>6.59</v>
      </c>
      <c r="T1948">
        <v>0.3145</v>
      </c>
      <c r="U1948">
        <f t="shared" si="170"/>
        <v>0</v>
      </c>
      <c r="V1948" t="str">
        <f t="shared" si="167"/>
        <v>Elementary Counselor</v>
      </c>
      <c r="W1948" t="str">
        <f t="shared" si="168"/>
        <v>Counselor</v>
      </c>
    </row>
    <row r="1949" spans="1:23" x14ac:dyDescent="0.25">
      <c r="A1949">
        <v>27083</v>
      </c>
      <c r="B1949" t="s">
        <v>1270</v>
      </c>
      <c r="C1949">
        <v>4.53</v>
      </c>
      <c r="D1949" t="s">
        <v>1264</v>
      </c>
      <c r="E1949">
        <v>100275</v>
      </c>
      <c r="F1949">
        <v>27083</v>
      </c>
      <c r="G1949" t="str">
        <f t="shared" si="166"/>
        <v>27083</v>
      </c>
      <c r="H1949" t="s">
        <v>483</v>
      </c>
      <c r="I1949" t="s">
        <v>1265</v>
      </c>
      <c r="J1949" t="s">
        <v>1271</v>
      </c>
      <c r="K1949" t="s">
        <v>1272</v>
      </c>
      <c r="L1949" t="s">
        <v>1270</v>
      </c>
      <c r="M1949" t="s">
        <v>1273</v>
      </c>
      <c r="N1949">
        <v>1</v>
      </c>
      <c r="O1949" t="str">
        <f t="shared" si="169"/>
        <v>42</v>
      </c>
      <c r="P1949">
        <v>42</v>
      </c>
      <c r="R1949" t="s">
        <v>1269</v>
      </c>
      <c r="S1949">
        <v>4.53</v>
      </c>
      <c r="T1949">
        <v>0.3145</v>
      </c>
      <c r="U1949">
        <f t="shared" si="170"/>
        <v>0</v>
      </c>
      <c r="V1949" t="str">
        <f t="shared" si="167"/>
        <v>High Counselor</v>
      </c>
      <c r="W1949" t="str">
        <f t="shared" si="168"/>
        <v>Counselor</v>
      </c>
    </row>
    <row r="1950" spans="1:23" x14ac:dyDescent="0.25">
      <c r="A1950">
        <v>27083</v>
      </c>
      <c r="B1950" t="s">
        <v>1263</v>
      </c>
      <c r="C1950">
        <v>2.88</v>
      </c>
      <c r="D1950" t="s">
        <v>1264</v>
      </c>
      <c r="E1950">
        <v>100275</v>
      </c>
      <c r="F1950">
        <v>27083</v>
      </c>
      <c r="G1950" t="str">
        <f t="shared" si="166"/>
        <v>27083</v>
      </c>
      <c r="H1950" t="s">
        <v>483</v>
      </c>
      <c r="I1950" t="s">
        <v>1265</v>
      </c>
      <c r="J1950" t="s">
        <v>1266</v>
      </c>
      <c r="K1950" t="s">
        <v>1267</v>
      </c>
      <c r="L1950" t="s">
        <v>1263</v>
      </c>
      <c r="M1950" t="s">
        <v>1268</v>
      </c>
      <c r="N1950">
        <v>1</v>
      </c>
      <c r="O1950" t="str">
        <f t="shared" si="169"/>
        <v>42</v>
      </c>
      <c r="P1950">
        <v>42</v>
      </c>
      <c r="R1950" t="s">
        <v>1269</v>
      </c>
      <c r="S1950">
        <v>2.88</v>
      </c>
      <c r="T1950">
        <v>0.3145</v>
      </c>
      <c r="U1950">
        <f t="shared" si="170"/>
        <v>0</v>
      </c>
      <c r="V1950" t="str">
        <f t="shared" si="167"/>
        <v>Middle Counselor</v>
      </c>
      <c r="W1950" t="str">
        <f t="shared" si="168"/>
        <v>Counselor</v>
      </c>
    </row>
    <row r="1951" spans="1:23" x14ac:dyDescent="0.25">
      <c r="A1951">
        <v>27083</v>
      </c>
      <c r="B1951" t="s">
        <v>1289</v>
      </c>
      <c r="C1951">
        <v>1.17</v>
      </c>
      <c r="D1951" t="s">
        <v>1264</v>
      </c>
      <c r="E1951">
        <v>100275</v>
      </c>
      <c r="F1951">
        <v>27083</v>
      </c>
      <c r="G1951" t="str">
        <f t="shared" si="166"/>
        <v>27083</v>
      </c>
      <c r="H1951" t="s">
        <v>483</v>
      </c>
      <c r="I1951" t="s">
        <v>1265</v>
      </c>
      <c r="J1951" t="s">
        <v>1276</v>
      </c>
      <c r="K1951" t="s">
        <v>1277</v>
      </c>
      <c r="L1951" t="s">
        <v>1289</v>
      </c>
      <c r="M1951" t="s">
        <v>1307</v>
      </c>
      <c r="N1951">
        <v>21</v>
      </c>
      <c r="O1951" t="str">
        <f t="shared" si="169"/>
        <v>43</v>
      </c>
      <c r="P1951">
        <v>43</v>
      </c>
      <c r="R1951" t="s">
        <v>1269</v>
      </c>
      <c r="S1951">
        <v>1.17</v>
      </c>
      <c r="T1951">
        <v>0.3145</v>
      </c>
      <c r="U1951">
        <f t="shared" si="170"/>
        <v>0.36799999999999999</v>
      </c>
      <c r="V1951" t="str">
        <f t="shared" si="167"/>
        <v>Elementary Occupational Therapist</v>
      </c>
      <c r="W1951" t="str">
        <f t="shared" si="168"/>
        <v>Occupational Therapist</v>
      </c>
    </row>
    <row r="1952" spans="1:23" x14ac:dyDescent="0.25">
      <c r="A1952">
        <v>27083</v>
      </c>
      <c r="B1952" t="s">
        <v>1387</v>
      </c>
      <c r="C1952">
        <v>0.25</v>
      </c>
      <c r="D1952" t="s">
        <v>1264</v>
      </c>
      <c r="E1952">
        <v>100275</v>
      </c>
      <c r="F1952">
        <v>27083</v>
      </c>
      <c r="G1952" t="str">
        <f t="shared" si="166"/>
        <v>27083</v>
      </c>
      <c r="H1952" t="s">
        <v>483</v>
      </c>
      <c r="I1952" t="s">
        <v>1265</v>
      </c>
      <c r="J1952" t="s">
        <v>1271</v>
      </c>
      <c r="K1952" t="s">
        <v>1272</v>
      </c>
      <c r="L1952" t="s">
        <v>1387</v>
      </c>
      <c r="M1952" t="s">
        <v>1406</v>
      </c>
      <c r="N1952">
        <v>21</v>
      </c>
      <c r="O1952" t="str">
        <f t="shared" si="169"/>
        <v>43</v>
      </c>
      <c r="P1952">
        <v>43</v>
      </c>
      <c r="R1952" t="s">
        <v>1269</v>
      </c>
      <c r="S1952">
        <v>0.25</v>
      </c>
      <c r="T1952">
        <v>0.3145</v>
      </c>
      <c r="U1952">
        <f t="shared" si="170"/>
        <v>7.9000000000000001E-2</v>
      </c>
      <c r="V1952" t="str">
        <f t="shared" si="167"/>
        <v>High Occupational Therapist</v>
      </c>
      <c r="W1952" t="str">
        <f t="shared" si="168"/>
        <v>Occupational Therapist</v>
      </c>
    </row>
    <row r="1953" spans="1:23" x14ac:dyDescent="0.25">
      <c r="A1953">
        <v>27083</v>
      </c>
      <c r="B1953" t="s">
        <v>1303</v>
      </c>
      <c r="C1953">
        <v>0.25</v>
      </c>
      <c r="D1953" t="s">
        <v>1264</v>
      </c>
      <c r="E1953">
        <v>100275</v>
      </c>
      <c r="F1953">
        <v>27083</v>
      </c>
      <c r="G1953" t="str">
        <f t="shared" si="166"/>
        <v>27083</v>
      </c>
      <c r="H1953" t="s">
        <v>483</v>
      </c>
      <c r="I1953" t="s">
        <v>1265</v>
      </c>
      <c r="J1953" t="s">
        <v>1266</v>
      </c>
      <c r="K1953" t="s">
        <v>1267</v>
      </c>
      <c r="L1953" t="s">
        <v>1303</v>
      </c>
      <c r="M1953" t="s">
        <v>1304</v>
      </c>
      <c r="N1953">
        <v>21</v>
      </c>
      <c r="O1953" t="str">
        <f t="shared" si="169"/>
        <v>43</v>
      </c>
      <c r="P1953">
        <v>43</v>
      </c>
      <c r="R1953" t="s">
        <v>1269</v>
      </c>
      <c r="S1953">
        <v>0.25</v>
      </c>
      <c r="T1953">
        <v>0.3145</v>
      </c>
      <c r="U1953">
        <f t="shared" si="170"/>
        <v>7.9000000000000001E-2</v>
      </c>
      <c r="V1953" t="str">
        <f t="shared" si="167"/>
        <v>Middle Occupational Therapist</v>
      </c>
      <c r="W1953" t="str">
        <f t="shared" si="168"/>
        <v>Occupational Therapist</v>
      </c>
    </row>
    <row r="1954" spans="1:23" x14ac:dyDescent="0.25">
      <c r="A1954">
        <v>27083</v>
      </c>
      <c r="B1954" t="s">
        <v>1294</v>
      </c>
      <c r="C1954">
        <v>7.2</v>
      </c>
      <c r="D1954" t="s">
        <v>1264</v>
      </c>
      <c r="E1954">
        <v>100275</v>
      </c>
      <c r="F1954">
        <v>27083</v>
      </c>
      <c r="G1954" t="str">
        <f t="shared" si="166"/>
        <v>27083</v>
      </c>
      <c r="H1954" t="s">
        <v>483</v>
      </c>
      <c r="I1954" t="s">
        <v>1265</v>
      </c>
      <c r="J1954" t="s">
        <v>1276</v>
      </c>
      <c r="K1954" t="s">
        <v>1277</v>
      </c>
      <c r="L1954" t="s">
        <v>1294</v>
      </c>
      <c r="M1954" t="s">
        <v>1354</v>
      </c>
      <c r="N1954">
        <v>21</v>
      </c>
      <c r="O1954" t="str">
        <f t="shared" si="169"/>
        <v>45</v>
      </c>
      <c r="P1954">
        <v>45</v>
      </c>
      <c r="R1954" t="s">
        <v>1269</v>
      </c>
      <c r="S1954">
        <v>7.2</v>
      </c>
      <c r="T1954">
        <v>0.3145</v>
      </c>
      <c r="U1954">
        <f t="shared" si="170"/>
        <v>2.2639999999999998</v>
      </c>
      <c r="V1954" t="str">
        <f t="shared" si="167"/>
        <v>Elementary Speech, Language Pathway/
Audio</v>
      </c>
      <c r="W1954" t="str">
        <f t="shared" si="168"/>
        <v>Speech, Language Pathway/
Audio</v>
      </c>
    </row>
    <row r="1955" spans="1:23" x14ac:dyDescent="0.25">
      <c r="A1955">
        <v>27083</v>
      </c>
      <c r="B1955" t="s">
        <v>1326</v>
      </c>
      <c r="C1955">
        <v>0.2</v>
      </c>
      <c r="D1955" t="s">
        <v>1264</v>
      </c>
      <c r="E1955">
        <v>100275</v>
      </c>
      <c r="F1955">
        <v>27083</v>
      </c>
      <c r="G1955" t="str">
        <f t="shared" si="166"/>
        <v>27083</v>
      </c>
      <c r="H1955" t="s">
        <v>483</v>
      </c>
      <c r="I1955" t="s">
        <v>1265</v>
      </c>
      <c r="J1955" t="s">
        <v>1271</v>
      </c>
      <c r="K1955" t="s">
        <v>1272</v>
      </c>
      <c r="L1955" t="s">
        <v>1326</v>
      </c>
      <c r="M1955" t="s">
        <v>1353</v>
      </c>
      <c r="N1955">
        <v>21</v>
      </c>
      <c r="O1955" t="str">
        <f t="shared" si="169"/>
        <v>45</v>
      </c>
      <c r="P1955">
        <v>45</v>
      </c>
      <c r="R1955" t="s">
        <v>1269</v>
      </c>
      <c r="S1955">
        <v>0.2</v>
      </c>
      <c r="T1955">
        <v>0.3145</v>
      </c>
      <c r="U1955">
        <f t="shared" si="170"/>
        <v>6.3E-2</v>
      </c>
      <c r="V1955" t="str">
        <f t="shared" si="167"/>
        <v>High Speech, Language Pathway/
Audio</v>
      </c>
      <c r="W1955" t="str">
        <f t="shared" si="168"/>
        <v>Speech, Language Pathway/
Audio</v>
      </c>
    </row>
    <row r="1956" spans="1:23" x14ac:dyDescent="0.25">
      <c r="A1956">
        <v>27083</v>
      </c>
      <c r="B1956" t="s">
        <v>1312</v>
      </c>
      <c r="C1956">
        <v>1.4</v>
      </c>
      <c r="D1956" t="s">
        <v>1264</v>
      </c>
      <c r="E1956">
        <v>100275</v>
      </c>
      <c r="F1956">
        <v>27083</v>
      </c>
      <c r="G1956" t="str">
        <f t="shared" si="166"/>
        <v>27083</v>
      </c>
      <c r="H1956" t="s">
        <v>483</v>
      </c>
      <c r="I1956" t="s">
        <v>1265</v>
      </c>
      <c r="J1956" t="s">
        <v>1266</v>
      </c>
      <c r="K1956" t="s">
        <v>1267</v>
      </c>
      <c r="L1956" t="s">
        <v>1312</v>
      </c>
      <c r="M1956" t="s">
        <v>1351</v>
      </c>
      <c r="N1956">
        <v>21</v>
      </c>
      <c r="O1956" t="str">
        <f t="shared" si="169"/>
        <v>45</v>
      </c>
      <c r="P1956">
        <v>45</v>
      </c>
      <c r="R1956" t="s">
        <v>1269</v>
      </c>
      <c r="S1956">
        <v>1.4</v>
      </c>
      <c r="T1956">
        <v>0.3145</v>
      </c>
      <c r="U1956">
        <f t="shared" si="170"/>
        <v>0.44</v>
      </c>
      <c r="V1956" t="str">
        <f t="shared" si="167"/>
        <v>Middle Speech, Language Pathway/
Audio</v>
      </c>
      <c r="W1956" t="str">
        <f t="shared" si="168"/>
        <v>Speech, Language Pathway/
Audio</v>
      </c>
    </row>
    <row r="1957" spans="1:23" x14ac:dyDescent="0.25">
      <c r="A1957">
        <v>27083</v>
      </c>
      <c r="B1957" t="s">
        <v>1302</v>
      </c>
      <c r="C1957">
        <v>0.64500000000000002</v>
      </c>
      <c r="D1957" t="s">
        <v>1264</v>
      </c>
      <c r="E1957">
        <v>100275</v>
      </c>
      <c r="F1957">
        <v>27083</v>
      </c>
      <c r="G1957" t="str">
        <f t="shared" si="166"/>
        <v>27083</v>
      </c>
      <c r="H1957" t="s">
        <v>483</v>
      </c>
      <c r="I1957" t="s">
        <v>1265</v>
      </c>
      <c r="J1957" t="s">
        <v>1276</v>
      </c>
      <c r="K1957" t="s">
        <v>1277</v>
      </c>
      <c r="L1957" t="s">
        <v>1302</v>
      </c>
      <c r="M1957" t="s">
        <v>1336</v>
      </c>
      <c r="N1957">
        <v>21</v>
      </c>
      <c r="O1957" t="str">
        <f t="shared" si="169"/>
        <v>48</v>
      </c>
      <c r="P1957">
        <v>48</v>
      </c>
      <c r="R1957" t="s">
        <v>1269</v>
      </c>
      <c r="S1957">
        <v>0.64500000000000002</v>
      </c>
      <c r="T1957">
        <v>0.3145</v>
      </c>
      <c r="U1957">
        <f t="shared" si="170"/>
        <v>0.20300000000000001</v>
      </c>
      <c r="V1957" t="str">
        <f t="shared" si="167"/>
        <v>Elementary Physical Therapist</v>
      </c>
      <c r="W1957" t="str">
        <f t="shared" si="168"/>
        <v>Physical Therapist</v>
      </c>
    </row>
    <row r="1958" spans="1:23" x14ac:dyDescent="0.25">
      <c r="A1958">
        <v>27083</v>
      </c>
      <c r="B1958" t="s">
        <v>1330</v>
      </c>
      <c r="C1958">
        <v>0.56999999999999995</v>
      </c>
      <c r="D1958" t="s">
        <v>1264</v>
      </c>
      <c r="E1958">
        <v>100275</v>
      </c>
      <c r="F1958">
        <v>27083</v>
      </c>
      <c r="G1958" t="str">
        <f t="shared" si="166"/>
        <v>27083</v>
      </c>
      <c r="H1958" t="s">
        <v>483</v>
      </c>
      <c r="I1958" t="s">
        <v>1265</v>
      </c>
      <c r="J1958" t="s">
        <v>1271</v>
      </c>
      <c r="K1958" t="s">
        <v>1272</v>
      </c>
      <c r="L1958" t="s">
        <v>1330</v>
      </c>
      <c r="M1958" t="s">
        <v>1367</v>
      </c>
      <c r="N1958">
        <v>21</v>
      </c>
      <c r="O1958" t="str">
        <f t="shared" si="169"/>
        <v>48</v>
      </c>
      <c r="P1958">
        <v>48</v>
      </c>
      <c r="R1958" t="s">
        <v>1269</v>
      </c>
      <c r="S1958">
        <v>0.56999999999999995</v>
      </c>
      <c r="T1958">
        <v>0.3145</v>
      </c>
      <c r="U1958">
        <f t="shared" si="170"/>
        <v>0.17899999999999999</v>
      </c>
      <c r="V1958" t="str">
        <f t="shared" si="167"/>
        <v>High Physical Therapist</v>
      </c>
      <c r="W1958" t="str">
        <f t="shared" si="168"/>
        <v>Physical Therapist</v>
      </c>
    </row>
    <row r="1959" spans="1:23" x14ac:dyDescent="0.25">
      <c r="A1959">
        <v>27083</v>
      </c>
      <c r="B1959" t="s">
        <v>1316</v>
      </c>
      <c r="C1959">
        <v>0.14299999999999999</v>
      </c>
      <c r="D1959" t="s">
        <v>1264</v>
      </c>
      <c r="E1959">
        <v>100275</v>
      </c>
      <c r="F1959">
        <v>27083</v>
      </c>
      <c r="G1959" t="str">
        <f t="shared" si="166"/>
        <v>27083</v>
      </c>
      <c r="H1959" t="s">
        <v>483</v>
      </c>
      <c r="I1959" t="s">
        <v>1265</v>
      </c>
      <c r="J1959" t="s">
        <v>1266</v>
      </c>
      <c r="K1959" t="s">
        <v>1267</v>
      </c>
      <c r="L1959" t="s">
        <v>1316</v>
      </c>
      <c r="M1959" t="s">
        <v>1366</v>
      </c>
      <c r="N1959">
        <v>21</v>
      </c>
      <c r="O1959" t="str">
        <f t="shared" si="169"/>
        <v>48</v>
      </c>
      <c r="P1959">
        <v>48</v>
      </c>
      <c r="R1959" t="s">
        <v>1269</v>
      </c>
      <c r="S1959">
        <v>0.14299999999999999</v>
      </c>
      <c r="T1959">
        <v>0.3145</v>
      </c>
      <c r="U1959">
        <f t="shared" si="170"/>
        <v>4.4999999999999998E-2</v>
      </c>
      <c r="V1959" t="str">
        <f t="shared" si="167"/>
        <v>Middle Physical Therapist</v>
      </c>
      <c r="W1959" t="str">
        <f t="shared" si="168"/>
        <v>Physical Therapist</v>
      </c>
    </row>
    <row r="1960" spans="1:23" x14ac:dyDescent="0.25">
      <c r="A1960">
        <v>27320</v>
      </c>
      <c r="B1960" t="s">
        <v>1299</v>
      </c>
      <c r="C1960">
        <v>3.73</v>
      </c>
      <c r="D1960" t="s">
        <v>1264</v>
      </c>
      <c r="E1960">
        <v>100259</v>
      </c>
      <c r="F1960">
        <v>27320</v>
      </c>
      <c r="G1960" t="str">
        <f t="shared" si="166"/>
        <v>27320</v>
      </c>
      <c r="H1960" t="s">
        <v>1114</v>
      </c>
      <c r="I1960" t="s">
        <v>1265</v>
      </c>
      <c r="J1960" t="s">
        <v>1271</v>
      </c>
      <c r="K1960" t="s">
        <v>1272</v>
      </c>
      <c r="L1960" t="s">
        <v>1299</v>
      </c>
      <c r="M1960" t="s">
        <v>1300</v>
      </c>
      <c r="N1960">
        <v>1</v>
      </c>
      <c r="O1960" t="str">
        <f t="shared" si="169"/>
        <v>25</v>
      </c>
      <c r="Q1960">
        <v>25</v>
      </c>
      <c r="R1960" t="s">
        <v>1269</v>
      </c>
      <c r="S1960">
        <v>3.73</v>
      </c>
      <c r="T1960">
        <v>0.2747</v>
      </c>
      <c r="U1960">
        <f t="shared" si="170"/>
        <v>0</v>
      </c>
      <c r="V1960" t="str">
        <f t="shared" si="167"/>
        <v>High Pupil Management</v>
      </c>
      <c r="W1960" t="str">
        <f t="shared" si="168"/>
        <v>Pupil Management</v>
      </c>
    </row>
    <row r="1961" spans="1:23" x14ac:dyDescent="0.25">
      <c r="A1961">
        <v>27320</v>
      </c>
      <c r="B1961" t="s">
        <v>1311</v>
      </c>
      <c r="C1961">
        <v>0.85</v>
      </c>
      <c r="D1961" t="s">
        <v>1264</v>
      </c>
      <c r="E1961">
        <v>100259</v>
      </c>
      <c r="F1961">
        <v>27320</v>
      </c>
      <c r="G1961" t="str">
        <f t="shared" si="166"/>
        <v>27320</v>
      </c>
      <c r="H1961" t="s">
        <v>1114</v>
      </c>
      <c r="I1961" t="s">
        <v>1265</v>
      </c>
      <c r="J1961" t="s">
        <v>1276</v>
      </c>
      <c r="K1961" t="s">
        <v>1277</v>
      </c>
      <c r="L1961" t="s">
        <v>1311</v>
      </c>
      <c r="M1961" t="s">
        <v>1327</v>
      </c>
      <c r="N1961">
        <v>21</v>
      </c>
      <c r="O1961" t="str">
        <f t="shared" si="169"/>
        <v>26</v>
      </c>
      <c r="Q1961">
        <v>26</v>
      </c>
      <c r="R1961" t="s">
        <v>1269</v>
      </c>
      <c r="S1961">
        <v>0.85</v>
      </c>
      <c r="T1961">
        <v>0.2747</v>
      </c>
      <c r="U1961">
        <f t="shared" si="170"/>
        <v>0.23300000000000001</v>
      </c>
      <c r="V1961" t="str">
        <f t="shared" si="167"/>
        <v>Elementary Health/
Related Services</v>
      </c>
      <c r="W1961" t="str">
        <f t="shared" si="168"/>
        <v>Health/
Related Services</v>
      </c>
    </row>
    <row r="1962" spans="1:23" x14ac:dyDescent="0.25">
      <c r="A1962">
        <v>27320</v>
      </c>
      <c r="B1962" t="s">
        <v>1315</v>
      </c>
      <c r="C1962">
        <v>4.0730000000000004</v>
      </c>
      <c r="D1962" t="s">
        <v>1264</v>
      </c>
      <c r="E1962">
        <v>100259</v>
      </c>
      <c r="F1962">
        <v>27320</v>
      </c>
      <c r="G1962" t="str">
        <f t="shared" si="166"/>
        <v>27320</v>
      </c>
      <c r="H1962" t="s">
        <v>1114</v>
      </c>
      <c r="I1962" t="s">
        <v>1265</v>
      </c>
      <c r="J1962" t="s">
        <v>1276</v>
      </c>
      <c r="K1962" t="s">
        <v>1277</v>
      </c>
      <c r="L1962" t="s">
        <v>1315</v>
      </c>
      <c r="M1962" t="s">
        <v>1375</v>
      </c>
      <c r="N1962">
        <v>1</v>
      </c>
      <c r="O1962" t="str">
        <f t="shared" si="169"/>
        <v>26</v>
      </c>
      <c r="Q1962">
        <v>26</v>
      </c>
      <c r="R1962" t="s">
        <v>1269</v>
      </c>
      <c r="S1962">
        <v>4.0730000000000004</v>
      </c>
      <c r="T1962">
        <v>0.2747</v>
      </c>
      <c r="U1962">
        <f t="shared" si="170"/>
        <v>0</v>
      </c>
      <c r="V1962" t="str">
        <f t="shared" si="167"/>
        <v>Elementary Health/
Related Services</v>
      </c>
      <c r="W1962" t="str">
        <f t="shared" si="168"/>
        <v>Health/
Related Services</v>
      </c>
    </row>
    <row r="1963" spans="1:23" x14ac:dyDescent="0.25">
      <c r="A1963">
        <v>27320</v>
      </c>
      <c r="B1963" t="s">
        <v>1324</v>
      </c>
      <c r="C1963">
        <v>0.52600000000000002</v>
      </c>
      <c r="D1963" t="s">
        <v>1264</v>
      </c>
      <c r="E1963">
        <v>100259</v>
      </c>
      <c r="F1963">
        <v>27320</v>
      </c>
      <c r="G1963" t="str">
        <f t="shared" si="166"/>
        <v>27320</v>
      </c>
      <c r="H1963" t="s">
        <v>1114</v>
      </c>
      <c r="I1963" t="s">
        <v>1265</v>
      </c>
      <c r="J1963" t="s">
        <v>1271</v>
      </c>
      <c r="K1963" t="s">
        <v>1272</v>
      </c>
      <c r="L1963" t="s">
        <v>1324</v>
      </c>
      <c r="M1963" t="s">
        <v>1325</v>
      </c>
      <c r="N1963">
        <v>21</v>
      </c>
      <c r="O1963" t="str">
        <f t="shared" si="169"/>
        <v>26</v>
      </c>
      <c r="Q1963">
        <v>26</v>
      </c>
      <c r="R1963" t="s">
        <v>1269</v>
      </c>
      <c r="S1963">
        <v>0.52600000000000002</v>
      </c>
      <c r="T1963">
        <v>0.2747</v>
      </c>
      <c r="U1963">
        <f t="shared" si="170"/>
        <v>0.14399999999999999</v>
      </c>
      <c r="V1963" t="str">
        <f t="shared" si="167"/>
        <v>High Health/
Related Services</v>
      </c>
      <c r="W1963" t="str">
        <f t="shared" si="168"/>
        <v>Health/
Related Services</v>
      </c>
    </row>
    <row r="1964" spans="1:23" x14ac:dyDescent="0.25">
      <c r="A1964">
        <v>27320</v>
      </c>
      <c r="B1964" t="s">
        <v>1295</v>
      </c>
      <c r="C1964">
        <v>6.0780000000000003</v>
      </c>
      <c r="D1964" t="s">
        <v>1264</v>
      </c>
      <c r="E1964">
        <v>100259</v>
      </c>
      <c r="F1964">
        <v>27320</v>
      </c>
      <c r="G1964" t="str">
        <f t="shared" si="166"/>
        <v>27320</v>
      </c>
      <c r="H1964" t="s">
        <v>1114</v>
      </c>
      <c r="I1964" t="s">
        <v>1265</v>
      </c>
      <c r="J1964" t="s">
        <v>1271</v>
      </c>
      <c r="K1964" t="s">
        <v>1272</v>
      </c>
      <c r="L1964" t="s">
        <v>1295</v>
      </c>
      <c r="M1964" t="s">
        <v>1296</v>
      </c>
      <c r="N1964">
        <v>1</v>
      </c>
      <c r="O1964" t="str">
        <f t="shared" si="169"/>
        <v>26</v>
      </c>
      <c r="Q1964">
        <v>26</v>
      </c>
      <c r="R1964" t="s">
        <v>1269</v>
      </c>
      <c r="S1964">
        <v>6.0780000000000003</v>
      </c>
      <c r="T1964">
        <v>0.2747</v>
      </c>
      <c r="U1964">
        <f t="shared" si="170"/>
        <v>0</v>
      </c>
      <c r="V1964" t="str">
        <f t="shared" si="167"/>
        <v>High Health/
Related Services</v>
      </c>
      <c r="W1964" t="str">
        <f t="shared" si="168"/>
        <v>Health/
Related Services</v>
      </c>
    </row>
    <row r="1965" spans="1:23" x14ac:dyDescent="0.25">
      <c r="A1965">
        <v>27320</v>
      </c>
      <c r="B1965" t="s">
        <v>1322</v>
      </c>
      <c r="C1965">
        <v>0.254</v>
      </c>
      <c r="D1965" t="s">
        <v>1264</v>
      </c>
      <c r="E1965">
        <v>100259</v>
      </c>
      <c r="F1965">
        <v>27320</v>
      </c>
      <c r="G1965" t="str">
        <f t="shared" si="166"/>
        <v>27320</v>
      </c>
      <c r="H1965" t="s">
        <v>1114</v>
      </c>
      <c r="I1965" t="s">
        <v>1265</v>
      </c>
      <c r="J1965" t="s">
        <v>1266</v>
      </c>
      <c r="K1965" t="s">
        <v>1267</v>
      </c>
      <c r="L1965" t="s">
        <v>1322</v>
      </c>
      <c r="M1965" t="s">
        <v>1323</v>
      </c>
      <c r="N1965">
        <v>21</v>
      </c>
      <c r="O1965" t="str">
        <f t="shared" si="169"/>
        <v>26</v>
      </c>
      <c r="Q1965">
        <v>26</v>
      </c>
      <c r="R1965" t="s">
        <v>1269</v>
      </c>
      <c r="S1965">
        <v>0.254</v>
      </c>
      <c r="T1965">
        <v>0.2747</v>
      </c>
      <c r="U1965">
        <f t="shared" si="170"/>
        <v>7.0000000000000007E-2</v>
      </c>
      <c r="V1965" t="str">
        <f t="shared" si="167"/>
        <v>Middle Health/
Related Services</v>
      </c>
      <c r="W1965" t="str">
        <f t="shared" si="168"/>
        <v>Health/
Related Services</v>
      </c>
    </row>
    <row r="1966" spans="1:23" x14ac:dyDescent="0.25">
      <c r="A1966">
        <v>27320</v>
      </c>
      <c r="B1966" t="s">
        <v>1291</v>
      </c>
      <c r="C1966">
        <v>1.3380000000000001</v>
      </c>
      <c r="D1966" t="s">
        <v>1264</v>
      </c>
      <c r="E1966">
        <v>100259</v>
      </c>
      <c r="F1966">
        <v>27320</v>
      </c>
      <c r="G1966" t="str">
        <f t="shared" si="166"/>
        <v>27320</v>
      </c>
      <c r="H1966" t="s">
        <v>1114</v>
      </c>
      <c r="I1966" t="s">
        <v>1265</v>
      </c>
      <c r="J1966" t="s">
        <v>1266</v>
      </c>
      <c r="K1966" t="s">
        <v>1267</v>
      </c>
      <c r="L1966" t="s">
        <v>1291</v>
      </c>
      <c r="M1966" t="s">
        <v>1292</v>
      </c>
      <c r="N1966">
        <v>1</v>
      </c>
      <c r="O1966" t="str">
        <f t="shared" si="169"/>
        <v>26</v>
      </c>
      <c r="Q1966">
        <v>26</v>
      </c>
      <c r="R1966" t="s">
        <v>1269</v>
      </c>
      <c r="S1966">
        <v>1.3380000000000001</v>
      </c>
      <c r="T1966">
        <v>0.2747</v>
      </c>
      <c r="U1966">
        <f t="shared" si="170"/>
        <v>0</v>
      </c>
      <c r="V1966" t="str">
        <f t="shared" si="167"/>
        <v>Middle Health/
Related Services</v>
      </c>
      <c r="W1966" t="str">
        <f t="shared" si="168"/>
        <v>Health/
Related Services</v>
      </c>
    </row>
    <row r="1967" spans="1:23" x14ac:dyDescent="0.25">
      <c r="A1967">
        <v>27320</v>
      </c>
      <c r="B1967" t="s">
        <v>1350</v>
      </c>
      <c r="C1967">
        <v>0.25600000000000001</v>
      </c>
      <c r="D1967" t="s">
        <v>1264</v>
      </c>
      <c r="E1967">
        <v>100259</v>
      </c>
      <c r="F1967">
        <v>27320</v>
      </c>
      <c r="G1967" t="str">
        <f t="shared" si="166"/>
        <v>27320</v>
      </c>
      <c r="H1967" t="s">
        <v>1114</v>
      </c>
      <c r="I1967" t="s">
        <v>1265</v>
      </c>
      <c r="J1967" t="s">
        <v>1276</v>
      </c>
      <c r="K1967" t="s">
        <v>1277</v>
      </c>
      <c r="L1967" t="s">
        <v>1350</v>
      </c>
      <c r="M1967" t="s">
        <v>1433</v>
      </c>
      <c r="N1967">
        <v>1</v>
      </c>
      <c r="O1967" t="str">
        <f t="shared" si="169"/>
        <v>35</v>
      </c>
      <c r="Q1967">
        <v>35</v>
      </c>
      <c r="R1967" t="s">
        <v>1269</v>
      </c>
      <c r="S1967">
        <v>0.25600000000000001</v>
      </c>
      <c r="T1967">
        <v>0.2747</v>
      </c>
      <c r="U1967">
        <f t="shared" si="170"/>
        <v>0</v>
      </c>
      <c r="V1967" t="str">
        <f t="shared" si="167"/>
        <v>Elementary Pupil Safety</v>
      </c>
      <c r="W1967" t="str">
        <f t="shared" si="168"/>
        <v>Pupil Safety</v>
      </c>
    </row>
    <row r="1968" spans="1:23" x14ac:dyDescent="0.25">
      <c r="A1968">
        <v>27320</v>
      </c>
      <c r="B1968" t="s">
        <v>1401</v>
      </c>
      <c r="C1968">
        <v>2.238</v>
      </c>
      <c r="D1968" t="s">
        <v>1264</v>
      </c>
      <c r="E1968">
        <v>100259</v>
      </c>
      <c r="F1968">
        <v>27320</v>
      </c>
      <c r="G1968" t="str">
        <f t="shared" si="166"/>
        <v>27320</v>
      </c>
      <c r="H1968" t="s">
        <v>1114</v>
      </c>
      <c r="I1968" t="s">
        <v>1265</v>
      </c>
      <c r="J1968" t="s">
        <v>1271</v>
      </c>
      <c r="K1968" t="s">
        <v>1272</v>
      </c>
      <c r="L1968" t="s">
        <v>1401</v>
      </c>
      <c r="M1968" t="s">
        <v>1422</v>
      </c>
      <c r="N1968">
        <v>1</v>
      </c>
      <c r="O1968" t="str">
        <f t="shared" si="169"/>
        <v>35</v>
      </c>
      <c r="Q1968">
        <v>35</v>
      </c>
      <c r="R1968" t="s">
        <v>1269</v>
      </c>
      <c r="S1968">
        <v>2.238</v>
      </c>
      <c r="T1968">
        <v>0.2747</v>
      </c>
      <c r="U1968">
        <f t="shared" si="170"/>
        <v>0</v>
      </c>
      <c r="V1968" t="str">
        <f t="shared" si="167"/>
        <v>High Pupil Safety</v>
      </c>
      <c r="W1968" t="str">
        <f t="shared" si="168"/>
        <v>Pupil Safety</v>
      </c>
    </row>
    <row r="1969" spans="1:23" x14ac:dyDescent="0.25">
      <c r="A1969">
        <v>27320</v>
      </c>
      <c r="B1969" t="s">
        <v>1377</v>
      </c>
      <c r="C1969">
        <v>0.49</v>
      </c>
      <c r="D1969" t="s">
        <v>1264</v>
      </c>
      <c r="E1969">
        <v>100259</v>
      </c>
      <c r="F1969">
        <v>27320</v>
      </c>
      <c r="G1969" t="str">
        <f t="shared" si="166"/>
        <v>27320</v>
      </c>
      <c r="H1969" t="s">
        <v>1114</v>
      </c>
      <c r="I1969" t="s">
        <v>1265</v>
      </c>
      <c r="J1969" t="s">
        <v>1266</v>
      </c>
      <c r="K1969" t="s">
        <v>1267</v>
      </c>
      <c r="L1969" t="s">
        <v>1377</v>
      </c>
      <c r="M1969" t="s">
        <v>1423</v>
      </c>
      <c r="N1969">
        <v>1</v>
      </c>
      <c r="O1969" t="str">
        <f t="shared" si="169"/>
        <v>35</v>
      </c>
      <c r="Q1969">
        <v>35</v>
      </c>
      <c r="R1969" t="s">
        <v>1269</v>
      </c>
      <c r="S1969">
        <v>0.49</v>
      </c>
      <c r="T1969">
        <v>0.2747</v>
      </c>
      <c r="U1969">
        <f t="shared" si="170"/>
        <v>0</v>
      </c>
      <c r="V1969" t="str">
        <f t="shared" si="167"/>
        <v>Middle Pupil Safety</v>
      </c>
      <c r="W1969" t="str">
        <f t="shared" si="168"/>
        <v>Pupil Safety</v>
      </c>
    </row>
    <row r="1970" spans="1:23" x14ac:dyDescent="0.25">
      <c r="A1970">
        <v>27320</v>
      </c>
      <c r="B1970" t="s">
        <v>1319</v>
      </c>
      <c r="C1970">
        <v>0.52300000000000002</v>
      </c>
      <c r="D1970" t="s">
        <v>1264</v>
      </c>
      <c r="E1970">
        <v>100259</v>
      </c>
      <c r="F1970">
        <v>27320</v>
      </c>
      <c r="G1970" t="str">
        <f t="shared" si="166"/>
        <v>27320</v>
      </c>
      <c r="H1970" t="s">
        <v>1114</v>
      </c>
      <c r="I1970" t="s">
        <v>1265</v>
      </c>
      <c r="J1970" t="s">
        <v>1276</v>
      </c>
      <c r="K1970" t="s">
        <v>1277</v>
      </c>
      <c r="L1970" t="s">
        <v>1319</v>
      </c>
      <c r="M1970" t="s">
        <v>1426</v>
      </c>
      <c r="N1970">
        <v>21</v>
      </c>
      <c r="O1970" t="str">
        <f t="shared" si="169"/>
        <v>39</v>
      </c>
      <c r="P1970">
        <v>39</v>
      </c>
      <c r="R1970" t="s">
        <v>1269</v>
      </c>
      <c r="S1970">
        <v>0.52300000000000002</v>
      </c>
      <c r="T1970">
        <v>0.2747</v>
      </c>
      <c r="U1970">
        <f t="shared" si="170"/>
        <v>0.14399999999999999</v>
      </c>
      <c r="V1970" t="str">
        <f t="shared" si="167"/>
        <v>Elementary Orientation &amp; Mobility Specialist</v>
      </c>
      <c r="W1970" t="str">
        <f t="shared" si="168"/>
        <v>Orientation &amp; Mobility Specialist</v>
      </c>
    </row>
    <row r="1971" spans="1:23" x14ac:dyDescent="0.25">
      <c r="A1971">
        <v>27320</v>
      </c>
      <c r="B1971" t="s">
        <v>1384</v>
      </c>
      <c r="C1971">
        <v>0.33200000000000002</v>
      </c>
      <c r="D1971" t="s">
        <v>1264</v>
      </c>
      <c r="E1971">
        <v>100259</v>
      </c>
      <c r="F1971">
        <v>27320</v>
      </c>
      <c r="G1971" t="str">
        <f t="shared" si="166"/>
        <v>27320</v>
      </c>
      <c r="H1971" t="s">
        <v>1114</v>
      </c>
      <c r="I1971" t="s">
        <v>1265</v>
      </c>
      <c r="J1971" t="s">
        <v>1271</v>
      </c>
      <c r="K1971" t="s">
        <v>1272</v>
      </c>
      <c r="L1971" t="s">
        <v>1384</v>
      </c>
      <c r="M1971" t="s">
        <v>1425</v>
      </c>
      <c r="N1971">
        <v>21</v>
      </c>
      <c r="O1971" t="str">
        <f t="shared" si="169"/>
        <v>39</v>
      </c>
      <c r="P1971">
        <v>39</v>
      </c>
      <c r="R1971" t="s">
        <v>1269</v>
      </c>
      <c r="S1971">
        <v>0.33200000000000002</v>
      </c>
      <c r="T1971">
        <v>0.2747</v>
      </c>
      <c r="U1971">
        <f t="shared" si="170"/>
        <v>9.0999999999999998E-2</v>
      </c>
      <c r="V1971" t="str">
        <f t="shared" si="167"/>
        <v>High Orientation &amp; Mobility Specialist</v>
      </c>
      <c r="W1971" t="str">
        <f t="shared" si="168"/>
        <v>Orientation &amp; Mobility Specialist</v>
      </c>
    </row>
    <row r="1972" spans="1:23" x14ac:dyDescent="0.25">
      <c r="A1972">
        <v>27320</v>
      </c>
      <c r="B1972" t="s">
        <v>1364</v>
      </c>
      <c r="C1972">
        <v>0.14499999999999999</v>
      </c>
      <c r="D1972" t="s">
        <v>1264</v>
      </c>
      <c r="E1972">
        <v>100259</v>
      </c>
      <c r="F1972">
        <v>27320</v>
      </c>
      <c r="G1972" t="str">
        <f t="shared" si="166"/>
        <v>27320</v>
      </c>
      <c r="H1972" t="s">
        <v>1114</v>
      </c>
      <c r="I1972" t="s">
        <v>1265</v>
      </c>
      <c r="J1972" t="s">
        <v>1266</v>
      </c>
      <c r="K1972" t="s">
        <v>1267</v>
      </c>
      <c r="L1972" t="s">
        <v>1364</v>
      </c>
      <c r="M1972" t="s">
        <v>1424</v>
      </c>
      <c r="N1972">
        <v>21</v>
      </c>
      <c r="O1972" t="str">
        <f t="shared" si="169"/>
        <v>39</v>
      </c>
      <c r="P1972">
        <v>39</v>
      </c>
      <c r="R1972" t="s">
        <v>1269</v>
      </c>
      <c r="S1972">
        <v>0.14499999999999999</v>
      </c>
      <c r="T1972">
        <v>0.2747</v>
      </c>
      <c r="U1972">
        <f t="shared" si="170"/>
        <v>0.04</v>
      </c>
      <c r="V1972" t="str">
        <f t="shared" si="167"/>
        <v>Middle Orientation &amp; Mobility Specialist</v>
      </c>
      <c r="W1972" t="str">
        <f t="shared" si="168"/>
        <v>Orientation &amp; Mobility Specialist</v>
      </c>
    </row>
    <row r="1973" spans="1:23" x14ac:dyDescent="0.25">
      <c r="A1973">
        <v>27320</v>
      </c>
      <c r="B1973" t="s">
        <v>1321</v>
      </c>
      <c r="C1973">
        <v>1.7430000000000001</v>
      </c>
      <c r="D1973" t="s">
        <v>1264</v>
      </c>
      <c r="E1973">
        <v>100259</v>
      </c>
      <c r="F1973">
        <v>27320</v>
      </c>
      <c r="G1973" t="str">
        <f t="shared" si="166"/>
        <v>27320</v>
      </c>
      <c r="H1973" t="s">
        <v>1114</v>
      </c>
      <c r="I1973" t="s">
        <v>1265</v>
      </c>
      <c r="J1973" t="s">
        <v>1276</v>
      </c>
      <c r="K1973" t="s">
        <v>1277</v>
      </c>
      <c r="L1973" t="s">
        <v>1321</v>
      </c>
      <c r="M1973" t="s">
        <v>1429</v>
      </c>
      <c r="N1973">
        <v>21</v>
      </c>
      <c r="O1973" t="str">
        <f t="shared" si="169"/>
        <v>42</v>
      </c>
      <c r="P1973">
        <v>42</v>
      </c>
      <c r="R1973" t="s">
        <v>1269</v>
      </c>
      <c r="S1973">
        <v>1.7430000000000001</v>
      </c>
      <c r="T1973">
        <v>0.2747</v>
      </c>
      <c r="U1973">
        <f t="shared" si="170"/>
        <v>0.47899999999999998</v>
      </c>
      <c r="V1973" t="str">
        <f t="shared" si="167"/>
        <v>Elementary Counselor</v>
      </c>
      <c r="W1973" t="str">
        <f t="shared" si="168"/>
        <v>Counselor</v>
      </c>
    </row>
    <row r="1974" spans="1:23" x14ac:dyDescent="0.25">
      <c r="A1974">
        <v>27320</v>
      </c>
      <c r="B1974" t="s">
        <v>1275</v>
      </c>
      <c r="C1974">
        <v>12.516</v>
      </c>
      <c r="D1974" t="s">
        <v>1264</v>
      </c>
      <c r="E1974">
        <v>100259</v>
      </c>
      <c r="F1974">
        <v>27320</v>
      </c>
      <c r="G1974" t="str">
        <f t="shared" si="166"/>
        <v>27320</v>
      </c>
      <c r="H1974" t="s">
        <v>1114</v>
      </c>
      <c r="I1974" t="s">
        <v>1265</v>
      </c>
      <c r="J1974" t="s">
        <v>1276</v>
      </c>
      <c r="K1974" t="s">
        <v>1277</v>
      </c>
      <c r="L1974" t="s">
        <v>1275</v>
      </c>
      <c r="M1974" t="s">
        <v>1278</v>
      </c>
      <c r="N1974">
        <v>1</v>
      </c>
      <c r="O1974" t="str">
        <f t="shared" si="169"/>
        <v>42</v>
      </c>
      <c r="P1974">
        <v>42</v>
      </c>
      <c r="R1974" t="s">
        <v>1269</v>
      </c>
      <c r="S1974">
        <v>12.516</v>
      </c>
      <c r="T1974">
        <v>0.2747</v>
      </c>
      <c r="U1974">
        <f t="shared" si="170"/>
        <v>0</v>
      </c>
      <c r="V1974" t="str">
        <f t="shared" si="167"/>
        <v>Elementary Counselor</v>
      </c>
      <c r="W1974" t="str">
        <f t="shared" si="168"/>
        <v>Counselor</v>
      </c>
    </row>
    <row r="1975" spans="1:23" x14ac:dyDescent="0.25">
      <c r="A1975">
        <v>27320</v>
      </c>
      <c r="B1975" t="s">
        <v>1270</v>
      </c>
      <c r="C1975">
        <v>9.5</v>
      </c>
      <c r="D1975" t="s">
        <v>1264</v>
      </c>
      <c r="E1975">
        <v>100259</v>
      </c>
      <c r="F1975">
        <v>27320</v>
      </c>
      <c r="G1975" t="str">
        <f t="shared" si="166"/>
        <v>27320</v>
      </c>
      <c r="H1975" t="s">
        <v>1114</v>
      </c>
      <c r="I1975" t="s">
        <v>1265</v>
      </c>
      <c r="J1975" t="s">
        <v>1271</v>
      </c>
      <c r="K1975" t="s">
        <v>1272</v>
      </c>
      <c r="L1975" t="s">
        <v>1270</v>
      </c>
      <c r="M1975" t="s">
        <v>1273</v>
      </c>
      <c r="N1975">
        <v>1</v>
      </c>
      <c r="O1975" t="str">
        <f t="shared" si="169"/>
        <v>42</v>
      </c>
      <c r="P1975">
        <v>42</v>
      </c>
      <c r="R1975" t="s">
        <v>1269</v>
      </c>
      <c r="S1975">
        <v>9.5</v>
      </c>
      <c r="T1975">
        <v>0.2747</v>
      </c>
      <c r="U1975">
        <f t="shared" si="170"/>
        <v>0</v>
      </c>
      <c r="V1975" t="str">
        <f t="shared" si="167"/>
        <v>High Counselor</v>
      </c>
      <c r="W1975" t="str">
        <f t="shared" si="168"/>
        <v>Counselor</v>
      </c>
    </row>
    <row r="1976" spans="1:23" x14ac:dyDescent="0.25">
      <c r="A1976">
        <v>27320</v>
      </c>
      <c r="B1976" t="s">
        <v>1365</v>
      </c>
      <c r="C1976">
        <v>0.45700000000000002</v>
      </c>
      <c r="D1976" t="s">
        <v>1264</v>
      </c>
      <c r="E1976">
        <v>100259</v>
      </c>
      <c r="F1976">
        <v>27320</v>
      </c>
      <c r="G1976" t="str">
        <f t="shared" si="166"/>
        <v>27320</v>
      </c>
      <c r="H1976" t="s">
        <v>1114</v>
      </c>
      <c r="I1976" t="s">
        <v>1265</v>
      </c>
      <c r="J1976" t="s">
        <v>1266</v>
      </c>
      <c r="K1976" t="s">
        <v>1267</v>
      </c>
      <c r="L1976" t="s">
        <v>1365</v>
      </c>
      <c r="M1976" t="s">
        <v>1428</v>
      </c>
      <c r="N1976">
        <v>21</v>
      </c>
      <c r="O1976" t="str">
        <f t="shared" si="169"/>
        <v>42</v>
      </c>
      <c r="P1976">
        <v>42</v>
      </c>
      <c r="R1976" t="s">
        <v>1269</v>
      </c>
      <c r="S1976">
        <v>0.45700000000000002</v>
      </c>
      <c r="T1976">
        <v>0.2747</v>
      </c>
      <c r="U1976">
        <f t="shared" si="170"/>
        <v>0.126</v>
      </c>
      <c r="V1976" t="str">
        <f t="shared" si="167"/>
        <v>Middle Counselor</v>
      </c>
      <c r="W1976" t="str">
        <f t="shared" si="168"/>
        <v>Counselor</v>
      </c>
    </row>
    <row r="1977" spans="1:23" x14ac:dyDescent="0.25">
      <c r="A1977">
        <v>27320</v>
      </c>
      <c r="B1977" t="s">
        <v>1263</v>
      </c>
      <c r="C1977">
        <v>3.8839999999999999</v>
      </c>
      <c r="D1977" t="s">
        <v>1264</v>
      </c>
      <c r="E1977">
        <v>100259</v>
      </c>
      <c r="F1977">
        <v>27320</v>
      </c>
      <c r="G1977" t="str">
        <f t="shared" si="166"/>
        <v>27320</v>
      </c>
      <c r="H1977" t="s">
        <v>1114</v>
      </c>
      <c r="I1977" t="s">
        <v>1265</v>
      </c>
      <c r="J1977" t="s">
        <v>1266</v>
      </c>
      <c r="K1977" t="s">
        <v>1267</v>
      </c>
      <c r="L1977" t="s">
        <v>1263</v>
      </c>
      <c r="M1977" t="s">
        <v>1268</v>
      </c>
      <c r="N1977">
        <v>1</v>
      </c>
      <c r="O1977" t="str">
        <f t="shared" si="169"/>
        <v>42</v>
      </c>
      <c r="P1977">
        <v>42</v>
      </c>
      <c r="R1977" t="s">
        <v>1269</v>
      </c>
      <c r="S1977">
        <v>3.8839999999999999</v>
      </c>
      <c r="T1977">
        <v>0.2747</v>
      </c>
      <c r="U1977">
        <f t="shared" si="170"/>
        <v>0</v>
      </c>
      <c r="V1977" t="str">
        <f t="shared" si="167"/>
        <v>Middle Counselor</v>
      </c>
      <c r="W1977" t="str">
        <f t="shared" si="168"/>
        <v>Counselor</v>
      </c>
    </row>
    <row r="1978" spans="1:23" x14ac:dyDescent="0.25">
      <c r="A1978">
        <v>27320</v>
      </c>
      <c r="B1978" t="s">
        <v>1289</v>
      </c>
      <c r="C1978">
        <v>5.9130000000000003</v>
      </c>
      <c r="D1978" t="s">
        <v>1264</v>
      </c>
      <c r="E1978">
        <v>100259</v>
      </c>
      <c r="F1978">
        <v>27320</v>
      </c>
      <c r="G1978" t="str">
        <f t="shared" si="166"/>
        <v>27320</v>
      </c>
      <c r="H1978" t="s">
        <v>1114</v>
      </c>
      <c r="I1978" t="s">
        <v>1265</v>
      </c>
      <c r="J1978" t="s">
        <v>1276</v>
      </c>
      <c r="K1978" t="s">
        <v>1277</v>
      </c>
      <c r="L1978" t="s">
        <v>1289</v>
      </c>
      <c r="M1978" t="s">
        <v>1307</v>
      </c>
      <c r="N1978">
        <v>21</v>
      </c>
      <c r="O1978" t="str">
        <f t="shared" si="169"/>
        <v>43</v>
      </c>
      <c r="P1978">
        <v>43</v>
      </c>
      <c r="R1978" t="s">
        <v>1269</v>
      </c>
      <c r="S1978">
        <v>5.9130000000000003</v>
      </c>
      <c r="T1978">
        <v>0.2747</v>
      </c>
      <c r="U1978">
        <f t="shared" si="170"/>
        <v>1.6240000000000001</v>
      </c>
      <c r="V1978" t="str">
        <f t="shared" si="167"/>
        <v>Elementary Occupational Therapist</v>
      </c>
      <c r="W1978" t="str">
        <f t="shared" si="168"/>
        <v>Occupational Therapist</v>
      </c>
    </row>
    <row r="1979" spans="1:23" x14ac:dyDescent="0.25">
      <c r="A1979">
        <v>27320</v>
      </c>
      <c r="B1979" t="s">
        <v>1387</v>
      </c>
      <c r="C1979">
        <v>0.63200000000000001</v>
      </c>
      <c r="D1979" t="s">
        <v>1264</v>
      </c>
      <c r="E1979">
        <v>100259</v>
      </c>
      <c r="F1979">
        <v>27320</v>
      </c>
      <c r="G1979" t="str">
        <f t="shared" si="166"/>
        <v>27320</v>
      </c>
      <c r="H1979" t="s">
        <v>1114</v>
      </c>
      <c r="I1979" t="s">
        <v>1265</v>
      </c>
      <c r="J1979" t="s">
        <v>1271</v>
      </c>
      <c r="K1979" t="s">
        <v>1272</v>
      </c>
      <c r="L1979" t="s">
        <v>1387</v>
      </c>
      <c r="M1979" t="s">
        <v>1406</v>
      </c>
      <c r="N1979">
        <v>21</v>
      </c>
      <c r="O1979" t="str">
        <f t="shared" si="169"/>
        <v>43</v>
      </c>
      <c r="P1979">
        <v>43</v>
      </c>
      <c r="R1979" t="s">
        <v>1269</v>
      </c>
      <c r="S1979">
        <v>0.63200000000000001</v>
      </c>
      <c r="T1979">
        <v>0.2747</v>
      </c>
      <c r="U1979">
        <f t="shared" si="170"/>
        <v>0.17399999999999999</v>
      </c>
      <c r="V1979" t="str">
        <f t="shared" si="167"/>
        <v>High Occupational Therapist</v>
      </c>
      <c r="W1979" t="str">
        <f t="shared" si="168"/>
        <v>Occupational Therapist</v>
      </c>
    </row>
    <row r="1980" spans="1:23" x14ac:dyDescent="0.25">
      <c r="A1980">
        <v>27320</v>
      </c>
      <c r="B1980" t="s">
        <v>1303</v>
      </c>
      <c r="C1980">
        <v>0.45500000000000002</v>
      </c>
      <c r="D1980" t="s">
        <v>1264</v>
      </c>
      <c r="E1980">
        <v>100259</v>
      </c>
      <c r="F1980">
        <v>27320</v>
      </c>
      <c r="G1980" t="str">
        <f t="shared" si="166"/>
        <v>27320</v>
      </c>
      <c r="H1980" t="s">
        <v>1114</v>
      </c>
      <c r="I1980" t="s">
        <v>1265</v>
      </c>
      <c r="J1980" t="s">
        <v>1266</v>
      </c>
      <c r="K1980" t="s">
        <v>1267</v>
      </c>
      <c r="L1980" t="s">
        <v>1303</v>
      </c>
      <c r="M1980" t="s">
        <v>1304</v>
      </c>
      <c r="N1980">
        <v>21</v>
      </c>
      <c r="O1980" t="str">
        <f t="shared" si="169"/>
        <v>43</v>
      </c>
      <c r="P1980">
        <v>43</v>
      </c>
      <c r="R1980" t="s">
        <v>1269</v>
      </c>
      <c r="S1980">
        <v>0.45500000000000002</v>
      </c>
      <c r="T1980">
        <v>0.2747</v>
      </c>
      <c r="U1980">
        <f t="shared" si="170"/>
        <v>0.125</v>
      </c>
      <c r="V1980" t="str">
        <f t="shared" si="167"/>
        <v>Middle Occupational Therapist</v>
      </c>
      <c r="W1980" t="str">
        <f t="shared" si="168"/>
        <v>Occupational Therapist</v>
      </c>
    </row>
    <row r="1981" spans="1:23" x14ac:dyDescent="0.25">
      <c r="A1981">
        <v>27320</v>
      </c>
      <c r="B1981" t="s">
        <v>1329</v>
      </c>
      <c r="C1981">
        <v>4.97</v>
      </c>
      <c r="D1981" t="s">
        <v>1264</v>
      </c>
      <c r="E1981">
        <v>100259</v>
      </c>
      <c r="F1981">
        <v>27320</v>
      </c>
      <c r="G1981" t="str">
        <f t="shared" si="166"/>
        <v>27320</v>
      </c>
      <c r="H1981" t="s">
        <v>1114</v>
      </c>
      <c r="I1981" t="s">
        <v>1265</v>
      </c>
      <c r="J1981" t="s">
        <v>1276</v>
      </c>
      <c r="K1981" t="s">
        <v>1277</v>
      </c>
      <c r="L1981" t="s">
        <v>1329</v>
      </c>
      <c r="M1981" t="s">
        <v>1418</v>
      </c>
      <c r="N1981">
        <v>21</v>
      </c>
      <c r="O1981" t="str">
        <f t="shared" si="169"/>
        <v>44</v>
      </c>
      <c r="P1981">
        <v>44</v>
      </c>
      <c r="R1981" t="s">
        <v>1269</v>
      </c>
      <c r="S1981">
        <v>4.97</v>
      </c>
      <c r="T1981">
        <v>0.2747</v>
      </c>
      <c r="U1981">
        <f t="shared" si="170"/>
        <v>1.365</v>
      </c>
      <c r="V1981" t="str">
        <f t="shared" si="167"/>
        <v>Elementary Social Worker</v>
      </c>
      <c r="W1981" t="str">
        <f t="shared" si="168"/>
        <v>Social Worker</v>
      </c>
    </row>
    <row r="1982" spans="1:23" x14ac:dyDescent="0.25">
      <c r="A1982">
        <v>27320</v>
      </c>
      <c r="B1982" t="s">
        <v>1331</v>
      </c>
      <c r="C1982">
        <v>0.875</v>
      </c>
      <c r="D1982" t="s">
        <v>1264</v>
      </c>
      <c r="E1982">
        <v>100259</v>
      </c>
      <c r="F1982">
        <v>27320</v>
      </c>
      <c r="G1982" t="str">
        <f t="shared" si="166"/>
        <v>27320</v>
      </c>
      <c r="H1982" t="s">
        <v>1114</v>
      </c>
      <c r="I1982" t="s">
        <v>1265</v>
      </c>
      <c r="J1982" t="s">
        <v>1276</v>
      </c>
      <c r="K1982" t="s">
        <v>1277</v>
      </c>
      <c r="L1982" t="s">
        <v>1331</v>
      </c>
      <c r="M1982" t="s">
        <v>1405</v>
      </c>
      <c r="N1982">
        <v>1</v>
      </c>
      <c r="O1982" t="str">
        <f t="shared" si="169"/>
        <v>44</v>
      </c>
      <c r="P1982">
        <v>44</v>
      </c>
      <c r="R1982" t="s">
        <v>1269</v>
      </c>
      <c r="S1982">
        <v>0.875</v>
      </c>
      <c r="T1982">
        <v>0.2747</v>
      </c>
      <c r="U1982">
        <f t="shared" si="170"/>
        <v>0</v>
      </c>
      <c r="V1982" t="str">
        <f t="shared" si="167"/>
        <v>Elementary Social Worker</v>
      </c>
      <c r="W1982" t="str">
        <f t="shared" si="168"/>
        <v>Social Worker</v>
      </c>
    </row>
    <row r="1983" spans="1:23" x14ac:dyDescent="0.25">
      <c r="A1983">
        <v>27320</v>
      </c>
      <c r="B1983" t="s">
        <v>1390</v>
      </c>
      <c r="C1983">
        <v>1.4</v>
      </c>
      <c r="D1983" t="s">
        <v>1264</v>
      </c>
      <c r="E1983">
        <v>100259</v>
      </c>
      <c r="F1983">
        <v>27320</v>
      </c>
      <c r="G1983" t="str">
        <f t="shared" si="166"/>
        <v>27320</v>
      </c>
      <c r="H1983" t="s">
        <v>1114</v>
      </c>
      <c r="I1983" t="s">
        <v>1265</v>
      </c>
      <c r="J1983" t="s">
        <v>1271</v>
      </c>
      <c r="K1983" t="s">
        <v>1272</v>
      </c>
      <c r="L1983" t="s">
        <v>1390</v>
      </c>
      <c r="M1983" t="s">
        <v>1417</v>
      </c>
      <c r="N1983">
        <v>21</v>
      </c>
      <c r="O1983" t="str">
        <f t="shared" si="169"/>
        <v>44</v>
      </c>
      <c r="P1983">
        <v>44</v>
      </c>
      <c r="R1983" t="s">
        <v>1269</v>
      </c>
      <c r="S1983">
        <v>1.4</v>
      </c>
      <c r="T1983">
        <v>0.2747</v>
      </c>
      <c r="U1983">
        <f t="shared" si="170"/>
        <v>0.38500000000000001</v>
      </c>
      <c r="V1983" t="str">
        <f t="shared" si="167"/>
        <v>High Social Worker</v>
      </c>
      <c r="W1983" t="str">
        <f t="shared" si="168"/>
        <v>Social Worker</v>
      </c>
    </row>
    <row r="1984" spans="1:23" x14ac:dyDescent="0.25">
      <c r="A1984">
        <v>27320</v>
      </c>
      <c r="B1984" t="s">
        <v>1359</v>
      </c>
      <c r="C1984">
        <v>0.6</v>
      </c>
      <c r="D1984" t="s">
        <v>1264</v>
      </c>
      <c r="E1984">
        <v>100259</v>
      </c>
      <c r="F1984">
        <v>27320</v>
      </c>
      <c r="G1984" t="str">
        <f t="shared" si="166"/>
        <v>27320</v>
      </c>
      <c r="H1984" t="s">
        <v>1114</v>
      </c>
      <c r="I1984" t="s">
        <v>1265</v>
      </c>
      <c r="J1984" t="s">
        <v>1271</v>
      </c>
      <c r="K1984" t="s">
        <v>1272</v>
      </c>
      <c r="L1984" t="s">
        <v>1359</v>
      </c>
      <c r="M1984" t="s">
        <v>1360</v>
      </c>
      <c r="N1984">
        <v>1</v>
      </c>
      <c r="O1984" t="str">
        <f t="shared" si="169"/>
        <v>44</v>
      </c>
      <c r="P1984">
        <v>44</v>
      </c>
      <c r="R1984" t="s">
        <v>1269</v>
      </c>
      <c r="S1984">
        <v>0.6</v>
      </c>
      <c r="T1984">
        <v>0.2747</v>
      </c>
      <c r="U1984">
        <f t="shared" si="170"/>
        <v>0</v>
      </c>
      <c r="V1984" t="str">
        <f t="shared" si="167"/>
        <v>High Social Worker</v>
      </c>
      <c r="W1984" t="str">
        <f t="shared" si="168"/>
        <v>Social Worker</v>
      </c>
    </row>
    <row r="1985" spans="1:23" x14ac:dyDescent="0.25">
      <c r="A1985">
        <v>27320</v>
      </c>
      <c r="B1985" t="s">
        <v>1369</v>
      </c>
      <c r="C1985">
        <v>0.92900000000000005</v>
      </c>
      <c r="D1985" t="s">
        <v>1264</v>
      </c>
      <c r="E1985">
        <v>100259</v>
      </c>
      <c r="F1985">
        <v>27320</v>
      </c>
      <c r="G1985" t="str">
        <f t="shared" si="166"/>
        <v>27320</v>
      </c>
      <c r="H1985" t="s">
        <v>1114</v>
      </c>
      <c r="I1985" t="s">
        <v>1265</v>
      </c>
      <c r="J1985" t="s">
        <v>1266</v>
      </c>
      <c r="K1985" t="s">
        <v>1267</v>
      </c>
      <c r="L1985" t="s">
        <v>1369</v>
      </c>
      <c r="M1985" t="s">
        <v>1416</v>
      </c>
      <c r="N1985">
        <v>21</v>
      </c>
      <c r="O1985" t="str">
        <f t="shared" si="169"/>
        <v>44</v>
      </c>
      <c r="P1985">
        <v>44</v>
      </c>
      <c r="R1985" t="s">
        <v>1269</v>
      </c>
      <c r="S1985">
        <v>0.92900000000000005</v>
      </c>
      <c r="T1985">
        <v>0.2747</v>
      </c>
      <c r="U1985">
        <f t="shared" si="170"/>
        <v>0.255</v>
      </c>
      <c r="V1985" t="str">
        <f t="shared" si="167"/>
        <v>Middle Social Worker</v>
      </c>
      <c r="W1985" t="str">
        <f t="shared" si="168"/>
        <v>Social Worker</v>
      </c>
    </row>
    <row r="1986" spans="1:23" x14ac:dyDescent="0.25">
      <c r="A1986">
        <v>27320</v>
      </c>
      <c r="B1986" t="s">
        <v>1356</v>
      </c>
      <c r="C1986">
        <v>1.7250000000000001</v>
      </c>
      <c r="D1986" t="s">
        <v>1264</v>
      </c>
      <c r="E1986">
        <v>100259</v>
      </c>
      <c r="F1986">
        <v>27320</v>
      </c>
      <c r="G1986" t="str">
        <f t="shared" ref="G1986:G2049" si="171">TEXT(F1986,"00000")</f>
        <v>27320</v>
      </c>
      <c r="H1986" t="s">
        <v>1114</v>
      </c>
      <c r="I1986" t="s">
        <v>1265</v>
      </c>
      <c r="J1986" t="s">
        <v>1266</v>
      </c>
      <c r="K1986" t="s">
        <v>1267</v>
      </c>
      <c r="L1986" t="s">
        <v>1356</v>
      </c>
      <c r="M1986" t="s">
        <v>1357</v>
      </c>
      <c r="N1986">
        <v>1</v>
      </c>
      <c r="O1986" t="str">
        <f t="shared" si="169"/>
        <v>44</v>
      </c>
      <c r="P1986">
        <v>44</v>
      </c>
      <c r="R1986" t="s">
        <v>1269</v>
      </c>
      <c r="S1986">
        <v>1.7250000000000001</v>
      </c>
      <c r="T1986">
        <v>0.2747</v>
      </c>
      <c r="U1986">
        <f t="shared" si="170"/>
        <v>0</v>
      </c>
      <c r="V1986" t="str">
        <f t="shared" ref="V1986:V2049" si="172">_xlfn.XLOOKUP(L1986,$BV:$BV,$BT:$BT,,0)</f>
        <v>Middle Social Worker</v>
      </c>
      <c r="W1986" t="str">
        <f t="shared" ref="W1986:W2049" si="173">_xlfn.TEXTAFTER(V1986," ")</f>
        <v>Social Worker</v>
      </c>
    </row>
    <row r="1987" spans="1:23" x14ac:dyDescent="0.25">
      <c r="A1987">
        <v>27320</v>
      </c>
      <c r="B1987" t="s">
        <v>1294</v>
      </c>
      <c r="C1987">
        <v>12.727</v>
      </c>
      <c r="D1987" t="s">
        <v>1264</v>
      </c>
      <c r="E1987">
        <v>100259</v>
      </c>
      <c r="F1987">
        <v>27320</v>
      </c>
      <c r="G1987" t="str">
        <f t="shared" si="171"/>
        <v>27320</v>
      </c>
      <c r="H1987" t="s">
        <v>1114</v>
      </c>
      <c r="I1987" t="s">
        <v>1265</v>
      </c>
      <c r="J1987" t="s">
        <v>1276</v>
      </c>
      <c r="K1987" t="s">
        <v>1277</v>
      </c>
      <c r="L1987" t="s">
        <v>1294</v>
      </c>
      <c r="M1987" t="s">
        <v>1354</v>
      </c>
      <c r="N1987">
        <v>21</v>
      </c>
      <c r="O1987" t="str">
        <f t="shared" ref="O1987:O2050" si="174">MID(L1987,3,2)</f>
        <v>45</v>
      </c>
      <c r="P1987">
        <v>45</v>
      </c>
      <c r="R1987" t="s">
        <v>1269</v>
      </c>
      <c r="S1987">
        <v>12.727</v>
      </c>
      <c r="T1987">
        <v>0.2747</v>
      </c>
      <c r="U1987">
        <f t="shared" ref="U1987:U2050" si="175">IF(N1987=21,ROUND(T1987*S1987,3),0)</f>
        <v>3.496</v>
      </c>
      <c r="V1987" t="str">
        <f t="shared" si="172"/>
        <v>Elementary Speech, Language Pathway/
Audio</v>
      </c>
      <c r="W1987" t="str">
        <f t="shared" si="173"/>
        <v>Speech, Language Pathway/
Audio</v>
      </c>
    </row>
    <row r="1988" spans="1:23" x14ac:dyDescent="0.25">
      <c r="A1988">
        <v>27320</v>
      </c>
      <c r="B1988" t="s">
        <v>1326</v>
      </c>
      <c r="C1988">
        <v>2.762</v>
      </c>
      <c r="D1988" t="s">
        <v>1264</v>
      </c>
      <c r="E1988">
        <v>100259</v>
      </c>
      <c r="F1988">
        <v>27320</v>
      </c>
      <c r="G1988" t="str">
        <f t="shared" si="171"/>
        <v>27320</v>
      </c>
      <c r="H1988" t="s">
        <v>1114</v>
      </c>
      <c r="I1988" t="s">
        <v>1265</v>
      </c>
      <c r="J1988" t="s">
        <v>1271</v>
      </c>
      <c r="K1988" t="s">
        <v>1272</v>
      </c>
      <c r="L1988" t="s">
        <v>1326</v>
      </c>
      <c r="M1988" t="s">
        <v>1353</v>
      </c>
      <c r="N1988">
        <v>21</v>
      </c>
      <c r="O1988" t="str">
        <f t="shared" si="174"/>
        <v>45</v>
      </c>
      <c r="P1988">
        <v>45</v>
      </c>
      <c r="R1988" t="s">
        <v>1269</v>
      </c>
      <c r="S1988">
        <v>2.762</v>
      </c>
      <c r="T1988">
        <v>0.2747</v>
      </c>
      <c r="U1988">
        <f t="shared" si="175"/>
        <v>0.75900000000000001</v>
      </c>
      <c r="V1988" t="str">
        <f t="shared" si="172"/>
        <v>High Speech, Language Pathway/
Audio</v>
      </c>
      <c r="W1988" t="str">
        <f t="shared" si="173"/>
        <v>Speech, Language Pathway/
Audio</v>
      </c>
    </row>
    <row r="1989" spans="1:23" x14ac:dyDescent="0.25">
      <c r="A1989">
        <v>27320</v>
      </c>
      <c r="B1989" t="s">
        <v>1312</v>
      </c>
      <c r="C1989">
        <v>1.4119999999999999</v>
      </c>
      <c r="D1989" t="s">
        <v>1264</v>
      </c>
      <c r="E1989">
        <v>100259</v>
      </c>
      <c r="F1989">
        <v>27320</v>
      </c>
      <c r="G1989" t="str">
        <f t="shared" si="171"/>
        <v>27320</v>
      </c>
      <c r="H1989" t="s">
        <v>1114</v>
      </c>
      <c r="I1989" t="s">
        <v>1265</v>
      </c>
      <c r="J1989" t="s">
        <v>1266</v>
      </c>
      <c r="K1989" t="s">
        <v>1267</v>
      </c>
      <c r="L1989" t="s">
        <v>1312</v>
      </c>
      <c r="M1989" t="s">
        <v>1351</v>
      </c>
      <c r="N1989">
        <v>21</v>
      </c>
      <c r="O1989" t="str">
        <f t="shared" si="174"/>
        <v>45</v>
      </c>
      <c r="P1989">
        <v>45</v>
      </c>
      <c r="R1989" t="s">
        <v>1269</v>
      </c>
      <c r="S1989">
        <v>1.4119999999999999</v>
      </c>
      <c r="T1989">
        <v>0.2747</v>
      </c>
      <c r="U1989">
        <f t="shared" si="175"/>
        <v>0.38800000000000001</v>
      </c>
      <c r="V1989" t="str">
        <f t="shared" si="172"/>
        <v>Middle Speech, Language Pathway/
Audio</v>
      </c>
      <c r="W1989" t="str">
        <f t="shared" si="173"/>
        <v>Speech, Language Pathway/
Audio</v>
      </c>
    </row>
    <row r="1990" spans="1:23" x14ac:dyDescent="0.25">
      <c r="A1990">
        <v>27320</v>
      </c>
      <c r="B1990" t="s">
        <v>1298</v>
      </c>
      <c r="C1990">
        <v>7.1980000000000004</v>
      </c>
      <c r="D1990" t="s">
        <v>1264</v>
      </c>
      <c r="E1990">
        <v>100259</v>
      </c>
      <c r="F1990">
        <v>27320</v>
      </c>
      <c r="G1990" t="str">
        <f t="shared" si="171"/>
        <v>27320</v>
      </c>
      <c r="H1990" t="s">
        <v>1114</v>
      </c>
      <c r="I1990" t="s">
        <v>1265</v>
      </c>
      <c r="J1990" t="s">
        <v>1276</v>
      </c>
      <c r="K1990" t="s">
        <v>1277</v>
      </c>
      <c r="L1990" t="s">
        <v>1298</v>
      </c>
      <c r="M1990" t="s">
        <v>1349</v>
      </c>
      <c r="N1990">
        <v>21</v>
      </c>
      <c r="O1990" t="str">
        <f t="shared" si="174"/>
        <v>46</v>
      </c>
      <c r="P1990">
        <v>46</v>
      </c>
      <c r="R1990" t="s">
        <v>1269</v>
      </c>
      <c r="S1990">
        <v>7.1980000000000004</v>
      </c>
      <c r="T1990">
        <v>0.2747</v>
      </c>
      <c r="U1990">
        <f t="shared" si="175"/>
        <v>1.9770000000000001</v>
      </c>
      <c r="V1990" t="str">
        <f t="shared" si="172"/>
        <v>Elementary Psychologist</v>
      </c>
      <c r="W1990" t="str">
        <f t="shared" si="173"/>
        <v>Psychologist</v>
      </c>
    </row>
    <row r="1991" spans="1:23" x14ac:dyDescent="0.25">
      <c r="A1991">
        <v>27320</v>
      </c>
      <c r="B1991" t="s">
        <v>1309</v>
      </c>
      <c r="C1991">
        <v>3.9990000000000001</v>
      </c>
      <c r="D1991" t="s">
        <v>1264</v>
      </c>
      <c r="E1991">
        <v>100259</v>
      </c>
      <c r="F1991">
        <v>27320</v>
      </c>
      <c r="G1991" t="str">
        <f t="shared" si="171"/>
        <v>27320</v>
      </c>
      <c r="H1991" t="s">
        <v>1114</v>
      </c>
      <c r="I1991" t="s">
        <v>1265</v>
      </c>
      <c r="J1991" t="s">
        <v>1271</v>
      </c>
      <c r="K1991" t="s">
        <v>1272</v>
      </c>
      <c r="L1991" t="s">
        <v>1309</v>
      </c>
      <c r="M1991" t="s">
        <v>1310</v>
      </c>
      <c r="N1991">
        <v>21</v>
      </c>
      <c r="O1991" t="str">
        <f t="shared" si="174"/>
        <v>46</v>
      </c>
      <c r="P1991">
        <v>46</v>
      </c>
      <c r="R1991" t="s">
        <v>1269</v>
      </c>
      <c r="S1991">
        <v>3.9990000000000001</v>
      </c>
      <c r="T1991">
        <v>0.2747</v>
      </c>
      <c r="U1991">
        <f t="shared" si="175"/>
        <v>1.099</v>
      </c>
      <c r="V1991" t="str">
        <f t="shared" si="172"/>
        <v>High Psychologist</v>
      </c>
      <c r="W1991" t="str">
        <f t="shared" si="173"/>
        <v>Psychologist</v>
      </c>
    </row>
    <row r="1992" spans="1:23" x14ac:dyDescent="0.25">
      <c r="A1992">
        <v>27320</v>
      </c>
      <c r="B1992" t="s">
        <v>1345</v>
      </c>
      <c r="C1992">
        <v>1.8049999999999999</v>
      </c>
      <c r="D1992" t="s">
        <v>1264</v>
      </c>
      <c r="E1992">
        <v>100259</v>
      </c>
      <c r="F1992">
        <v>27320</v>
      </c>
      <c r="G1992" t="str">
        <f t="shared" si="171"/>
        <v>27320</v>
      </c>
      <c r="H1992" t="s">
        <v>1114</v>
      </c>
      <c r="I1992" t="s">
        <v>1265</v>
      </c>
      <c r="J1992" t="s">
        <v>1266</v>
      </c>
      <c r="K1992" t="s">
        <v>1267</v>
      </c>
      <c r="L1992" t="s">
        <v>1345</v>
      </c>
      <c r="M1992" t="s">
        <v>1346</v>
      </c>
      <c r="N1992">
        <v>21</v>
      </c>
      <c r="O1992" t="str">
        <f t="shared" si="174"/>
        <v>46</v>
      </c>
      <c r="P1992">
        <v>46</v>
      </c>
      <c r="R1992" t="s">
        <v>1269</v>
      </c>
      <c r="S1992">
        <v>1.8049999999999999</v>
      </c>
      <c r="T1992">
        <v>0.2747</v>
      </c>
      <c r="U1992">
        <f t="shared" si="175"/>
        <v>0.496</v>
      </c>
      <c r="V1992" t="str">
        <f t="shared" si="172"/>
        <v>Middle Psychologist</v>
      </c>
      <c r="W1992" t="str">
        <f t="shared" si="173"/>
        <v>Psychologist</v>
      </c>
    </row>
    <row r="1993" spans="1:23" x14ac:dyDescent="0.25">
      <c r="A1993">
        <v>27320</v>
      </c>
      <c r="B1993" t="s">
        <v>1335</v>
      </c>
      <c r="C1993">
        <v>1.548</v>
      </c>
      <c r="D1993" t="s">
        <v>1264</v>
      </c>
      <c r="E1993">
        <v>100259</v>
      </c>
      <c r="F1993">
        <v>27320</v>
      </c>
      <c r="G1993" t="str">
        <f t="shared" si="171"/>
        <v>27320</v>
      </c>
      <c r="H1993" t="s">
        <v>1114</v>
      </c>
      <c r="I1993" t="s">
        <v>1265</v>
      </c>
      <c r="J1993" t="s">
        <v>1276</v>
      </c>
      <c r="K1993" t="s">
        <v>1277</v>
      </c>
      <c r="L1993" t="s">
        <v>1335</v>
      </c>
      <c r="M1993" t="s">
        <v>1344</v>
      </c>
      <c r="N1993">
        <v>1</v>
      </c>
      <c r="O1993" t="str">
        <f t="shared" si="174"/>
        <v>47</v>
      </c>
      <c r="P1993">
        <v>47</v>
      </c>
      <c r="R1993" t="s">
        <v>1269</v>
      </c>
      <c r="S1993">
        <v>1.548</v>
      </c>
      <c r="T1993">
        <v>0.2747</v>
      </c>
      <c r="U1993">
        <f t="shared" si="175"/>
        <v>0</v>
      </c>
      <c r="V1993" t="str">
        <f t="shared" si="172"/>
        <v>Elementary Nurse</v>
      </c>
      <c r="W1993" t="str">
        <f t="shared" si="173"/>
        <v>Nurse</v>
      </c>
    </row>
    <row r="1994" spans="1:23" x14ac:dyDescent="0.25">
      <c r="A1994">
        <v>27320</v>
      </c>
      <c r="B1994" t="s">
        <v>1341</v>
      </c>
      <c r="C1994">
        <v>0.996</v>
      </c>
      <c r="D1994" t="s">
        <v>1264</v>
      </c>
      <c r="E1994">
        <v>100259</v>
      </c>
      <c r="F1994">
        <v>27320</v>
      </c>
      <c r="G1994" t="str">
        <f t="shared" si="171"/>
        <v>27320</v>
      </c>
      <c r="H1994" t="s">
        <v>1114</v>
      </c>
      <c r="I1994" t="s">
        <v>1265</v>
      </c>
      <c r="J1994" t="s">
        <v>1271</v>
      </c>
      <c r="K1994" t="s">
        <v>1272</v>
      </c>
      <c r="L1994" t="s">
        <v>1341</v>
      </c>
      <c r="M1994" t="s">
        <v>1342</v>
      </c>
      <c r="N1994">
        <v>1</v>
      </c>
      <c r="O1994" t="str">
        <f t="shared" si="174"/>
        <v>47</v>
      </c>
      <c r="P1994">
        <v>47</v>
      </c>
      <c r="R1994" t="s">
        <v>1269</v>
      </c>
      <c r="S1994">
        <v>0.996</v>
      </c>
      <c r="T1994">
        <v>0.2747</v>
      </c>
      <c r="U1994">
        <f t="shared" si="175"/>
        <v>0</v>
      </c>
      <c r="V1994" t="str">
        <f t="shared" si="172"/>
        <v>High Nurse</v>
      </c>
      <c r="W1994" t="str">
        <f t="shared" si="173"/>
        <v>Nurse</v>
      </c>
    </row>
    <row r="1995" spans="1:23" x14ac:dyDescent="0.25">
      <c r="A1995">
        <v>27320</v>
      </c>
      <c r="B1995" t="s">
        <v>1338</v>
      </c>
      <c r="C1995">
        <v>0.45600000000000002</v>
      </c>
      <c r="D1995" t="s">
        <v>1264</v>
      </c>
      <c r="E1995">
        <v>100259</v>
      </c>
      <c r="F1995">
        <v>27320</v>
      </c>
      <c r="G1995" t="str">
        <f t="shared" si="171"/>
        <v>27320</v>
      </c>
      <c r="H1995" t="s">
        <v>1114</v>
      </c>
      <c r="I1995" t="s">
        <v>1265</v>
      </c>
      <c r="J1995" t="s">
        <v>1266</v>
      </c>
      <c r="K1995" t="s">
        <v>1267</v>
      </c>
      <c r="L1995" t="s">
        <v>1338</v>
      </c>
      <c r="M1995" t="s">
        <v>1339</v>
      </c>
      <c r="N1995">
        <v>1</v>
      </c>
      <c r="O1995" t="str">
        <f t="shared" si="174"/>
        <v>47</v>
      </c>
      <c r="P1995">
        <v>47</v>
      </c>
      <c r="R1995" t="s">
        <v>1269</v>
      </c>
      <c r="S1995">
        <v>0.45600000000000002</v>
      </c>
      <c r="T1995">
        <v>0.2747</v>
      </c>
      <c r="U1995">
        <f t="shared" si="175"/>
        <v>0</v>
      </c>
      <c r="V1995" t="str">
        <f t="shared" si="172"/>
        <v>Middle Nurse</v>
      </c>
      <c r="W1995" t="str">
        <f t="shared" si="173"/>
        <v>Nurse</v>
      </c>
    </row>
    <row r="1996" spans="1:23" x14ac:dyDescent="0.25">
      <c r="A1996">
        <v>27320</v>
      </c>
      <c r="B1996" t="s">
        <v>1302</v>
      </c>
      <c r="C1996">
        <v>1.6839999999999999</v>
      </c>
      <c r="D1996" t="s">
        <v>1264</v>
      </c>
      <c r="E1996">
        <v>100259</v>
      </c>
      <c r="F1996">
        <v>27320</v>
      </c>
      <c r="G1996" t="str">
        <f t="shared" si="171"/>
        <v>27320</v>
      </c>
      <c r="H1996" t="s">
        <v>1114</v>
      </c>
      <c r="I1996" t="s">
        <v>1265</v>
      </c>
      <c r="J1996" t="s">
        <v>1276</v>
      </c>
      <c r="K1996" t="s">
        <v>1277</v>
      </c>
      <c r="L1996" t="s">
        <v>1302</v>
      </c>
      <c r="M1996" t="s">
        <v>1336</v>
      </c>
      <c r="N1996">
        <v>21</v>
      </c>
      <c r="O1996" t="str">
        <f t="shared" si="174"/>
        <v>48</v>
      </c>
      <c r="P1996">
        <v>48</v>
      </c>
      <c r="R1996" t="s">
        <v>1269</v>
      </c>
      <c r="S1996">
        <v>1.6839999999999999</v>
      </c>
      <c r="T1996">
        <v>0.2747</v>
      </c>
      <c r="U1996">
        <f t="shared" si="175"/>
        <v>0.46300000000000002</v>
      </c>
      <c r="V1996" t="str">
        <f t="shared" si="172"/>
        <v>Elementary Physical Therapist</v>
      </c>
      <c r="W1996" t="str">
        <f t="shared" si="173"/>
        <v>Physical Therapist</v>
      </c>
    </row>
    <row r="1997" spans="1:23" x14ac:dyDescent="0.25">
      <c r="A1997">
        <v>27320</v>
      </c>
      <c r="B1997" t="s">
        <v>1330</v>
      </c>
      <c r="C1997">
        <v>0.23300000000000001</v>
      </c>
      <c r="D1997" t="s">
        <v>1264</v>
      </c>
      <c r="E1997">
        <v>100259</v>
      </c>
      <c r="F1997">
        <v>27320</v>
      </c>
      <c r="G1997" t="str">
        <f t="shared" si="171"/>
        <v>27320</v>
      </c>
      <c r="H1997" t="s">
        <v>1114</v>
      </c>
      <c r="I1997" t="s">
        <v>1265</v>
      </c>
      <c r="J1997" t="s">
        <v>1271</v>
      </c>
      <c r="K1997" t="s">
        <v>1272</v>
      </c>
      <c r="L1997" t="s">
        <v>1330</v>
      </c>
      <c r="M1997" t="s">
        <v>1367</v>
      </c>
      <c r="N1997">
        <v>21</v>
      </c>
      <c r="O1997" t="str">
        <f t="shared" si="174"/>
        <v>48</v>
      </c>
      <c r="P1997">
        <v>48</v>
      </c>
      <c r="R1997" t="s">
        <v>1269</v>
      </c>
      <c r="S1997">
        <v>0.23300000000000001</v>
      </c>
      <c r="T1997">
        <v>0.2747</v>
      </c>
      <c r="U1997">
        <f t="shared" si="175"/>
        <v>6.4000000000000001E-2</v>
      </c>
      <c r="V1997" t="str">
        <f t="shared" si="172"/>
        <v>High Physical Therapist</v>
      </c>
      <c r="W1997" t="str">
        <f t="shared" si="173"/>
        <v>Physical Therapist</v>
      </c>
    </row>
    <row r="1998" spans="1:23" x14ac:dyDescent="0.25">
      <c r="A1998">
        <v>27320</v>
      </c>
      <c r="B1998" t="s">
        <v>1316</v>
      </c>
      <c r="C1998">
        <v>8.3000000000000004E-2</v>
      </c>
      <c r="D1998" t="s">
        <v>1264</v>
      </c>
      <c r="E1998">
        <v>100259</v>
      </c>
      <c r="F1998">
        <v>27320</v>
      </c>
      <c r="G1998" t="str">
        <f t="shared" si="171"/>
        <v>27320</v>
      </c>
      <c r="H1998" t="s">
        <v>1114</v>
      </c>
      <c r="I1998" t="s">
        <v>1265</v>
      </c>
      <c r="J1998" t="s">
        <v>1266</v>
      </c>
      <c r="K1998" t="s">
        <v>1267</v>
      </c>
      <c r="L1998" t="s">
        <v>1316</v>
      </c>
      <c r="M1998" t="s">
        <v>1366</v>
      </c>
      <c r="N1998">
        <v>21</v>
      </c>
      <c r="O1998" t="str">
        <f t="shared" si="174"/>
        <v>48</v>
      </c>
      <c r="P1998">
        <v>48</v>
      </c>
      <c r="R1998" t="s">
        <v>1269</v>
      </c>
      <c r="S1998">
        <v>8.3000000000000004E-2</v>
      </c>
      <c r="T1998">
        <v>0.2747</v>
      </c>
      <c r="U1998">
        <f t="shared" si="175"/>
        <v>2.3E-2</v>
      </c>
      <c r="V1998" t="str">
        <f t="shared" si="172"/>
        <v>Middle Physical Therapist</v>
      </c>
      <c r="W1998" t="str">
        <f t="shared" si="173"/>
        <v>Physical Therapist</v>
      </c>
    </row>
    <row r="1999" spans="1:23" x14ac:dyDescent="0.25">
      <c r="A1999">
        <v>27320</v>
      </c>
      <c r="B1999" t="s">
        <v>1340</v>
      </c>
      <c r="C1999">
        <v>1</v>
      </c>
      <c r="D1999" t="s">
        <v>1264</v>
      </c>
      <c r="E1999">
        <v>100259</v>
      </c>
      <c r="F1999">
        <v>27320</v>
      </c>
      <c r="G1999" t="str">
        <f t="shared" si="171"/>
        <v>27320</v>
      </c>
      <c r="H1999" t="s">
        <v>1114</v>
      </c>
      <c r="I1999" t="s">
        <v>1265</v>
      </c>
      <c r="J1999" t="s">
        <v>1276</v>
      </c>
      <c r="K1999" t="s">
        <v>1277</v>
      </c>
      <c r="L1999" t="s">
        <v>1340</v>
      </c>
      <c r="M1999" t="s">
        <v>1395</v>
      </c>
      <c r="N1999">
        <v>21</v>
      </c>
      <c r="O1999" t="str">
        <f t="shared" si="174"/>
        <v>49</v>
      </c>
      <c r="P1999">
        <v>49</v>
      </c>
      <c r="R1999" t="s">
        <v>1269</v>
      </c>
      <c r="S1999">
        <v>1</v>
      </c>
      <c r="T1999">
        <v>0.2747</v>
      </c>
      <c r="U1999">
        <f t="shared" si="175"/>
        <v>0.27500000000000002</v>
      </c>
      <c r="V1999" t="str">
        <f t="shared" si="172"/>
        <v>Elementary Behavior Analyst</v>
      </c>
      <c r="W1999" t="str">
        <f t="shared" si="173"/>
        <v>Behavior Analyst</v>
      </c>
    </row>
    <row r="2000" spans="1:23" x14ac:dyDescent="0.25">
      <c r="A2000">
        <v>27343</v>
      </c>
      <c r="B2000" t="s">
        <v>1383</v>
      </c>
      <c r="C2000">
        <v>1.36</v>
      </c>
      <c r="D2000" t="s">
        <v>1264</v>
      </c>
      <c r="E2000">
        <v>100068</v>
      </c>
      <c r="F2000">
        <v>27343</v>
      </c>
      <c r="G2000" t="str">
        <f t="shared" si="171"/>
        <v>27343</v>
      </c>
      <c r="H2000" t="s">
        <v>484</v>
      </c>
      <c r="I2000" t="s">
        <v>1265</v>
      </c>
      <c r="J2000" t="s">
        <v>1271</v>
      </c>
      <c r="K2000" t="s">
        <v>1272</v>
      </c>
      <c r="L2000" t="s">
        <v>1383</v>
      </c>
      <c r="M2000" t="s">
        <v>1409</v>
      </c>
      <c r="N2000">
        <v>21</v>
      </c>
      <c r="O2000" t="str">
        <f t="shared" si="174"/>
        <v>25</v>
      </c>
      <c r="Q2000">
        <v>25</v>
      </c>
      <c r="R2000" t="s">
        <v>1269</v>
      </c>
      <c r="S2000">
        <v>1.36</v>
      </c>
      <c r="T2000">
        <v>0.308</v>
      </c>
      <c r="U2000">
        <f t="shared" si="175"/>
        <v>0.41899999999999998</v>
      </c>
      <c r="V2000" t="str">
        <f t="shared" si="172"/>
        <v>High Pupil Management</v>
      </c>
      <c r="W2000" t="str">
        <f t="shared" si="173"/>
        <v>Pupil Management</v>
      </c>
    </row>
    <row r="2001" spans="1:23" x14ac:dyDescent="0.25">
      <c r="A2001">
        <v>27343</v>
      </c>
      <c r="B2001" t="s">
        <v>1299</v>
      </c>
      <c r="C2001">
        <v>1.593</v>
      </c>
      <c r="D2001" t="s">
        <v>1264</v>
      </c>
      <c r="E2001">
        <v>100068</v>
      </c>
      <c r="F2001">
        <v>27343</v>
      </c>
      <c r="G2001" t="str">
        <f t="shared" si="171"/>
        <v>27343</v>
      </c>
      <c r="H2001" t="s">
        <v>484</v>
      </c>
      <c r="I2001" t="s">
        <v>1265</v>
      </c>
      <c r="J2001" t="s">
        <v>1271</v>
      </c>
      <c r="K2001" t="s">
        <v>1272</v>
      </c>
      <c r="L2001" t="s">
        <v>1299</v>
      </c>
      <c r="M2001" t="s">
        <v>1300</v>
      </c>
      <c r="N2001">
        <v>1</v>
      </c>
      <c r="O2001" t="str">
        <f t="shared" si="174"/>
        <v>25</v>
      </c>
      <c r="Q2001">
        <v>25</v>
      </c>
      <c r="R2001" t="s">
        <v>1269</v>
      </c>
      <c r="S2001">
        <v>1.593</v>
      </c>
      <c r="T2001">
        <v>0.308</v>
      </c>
      <c r="U2001">
        <f t="shared" si="175"/>
        <v>0</v>
      </c>
      <c r="V2001" t="str">
        <f t="shared" si="172"/>
        <v>High Pupil Management</v>
      </c>
      <c r="W2001" t="str">
        <f t="shared" si="173"/>
        <v>Pupil Management</v>
      </c>
    </row>
    <row r="2002" spans="1:23" x14ac:dyDescent="0.25">
      <c r="A2002">
        <v>27343</v>
      </c>
      <c r="B2002" t="s">
        <v>1363</v>
      </c>
      <c r="C2002">
        <v>8.8999999999999996E-2</v>
      </c>
      <c r="D2002" t="s">
        <v>1264</v>
      </c>
      <c r="E2002">
        <v>100068</v>
      </c>
      <c r="F2002">
        <v>27343</v>
      </c>
      <c r="G2002" t="str">
        <f t="shared" si="171"/>
        <v>27343</v>
      </c>
      <c r="H2002" t="s">
        <v>484</v>
      </c>
      <c r="I2002" t="s">
        <v>1265</v>
      </c>
      <c r="J2002" t="s">
        <v>1266</v>
      </c>
      <c r="K2002" t="s">
        <v>1267</v>
      </c>
      <c r="L2002" t="s">
        <v>1363</v>
      </c>
      <c r="M2002" t="s">
        <v>1386</v>
      </c>
      <c r="N2002">
        <v>1</v>
      </c>
      <c r="O2002" t="str">
        <f t="shared" si="174"/>
        <v>25</v>
      </c>
      <c r="Q2002">
        <v>25</v>
      </c>
      <c r="R2002" t="s">
        <v>1269</v>
      </c>
      <c r="S2002">
        <v>8.8999999999999996E-2</v>
      </c>
      <c r="T2002">
        <v>0.308</v>
      </c>
      <c r="U2002">
        <f t="shared" si="175"/>
        <v>0</v>
      </c>
      <c r="V2002" t="str">
        <f t="shared" si="172"/>
        <v>Middle Pupil Management</v>
      </c>
      <c r="W2002" t="str">
        <f t="shared" si="173"/>
        <v>Pupil Management</v>
      </c>
    </row>
    <row r="2003" spans="1:23" x14ac:dyDescent="0.25">
      <c r="A2003">
        <v>27343</v>
      </c>
      <c r="B2003" t="s">
        <v>1315</v>
      </c>
      <c r="C2003">
        <v>0.89600000000000002</v>
      </c>
      <c r="D2003" t="s">
        <v>1264</v>
      </c>
      <c r="E2003">
        <v>100068</v>
      </c>
      <c r="F2003">
        <v>27343</v>
      </c>
      <c r="G2003" t="str">
        <f t="shared" si="171"/>
        <v>27343</v>
      </c>
      <c r="H2003" t="s">
        <v>484</v>
      </c>
      <c r="I2003" t="s">
        <v>1265</v>
      </c>
      <c r="J2003" t="s">
        <v>1276</v>
      </c>
      <c r="K2003" t="s">
        <v>1277</v>
      </c>
      <c r="L2003" t="s">
        <v>1315</v>
      </c>
      <c r="M2003" t="s">
        <v>1375</v>
      </c>
      <c r="N2003">
        <v>1</v>
      </c>
      <c r="O2003" t="str">
        <f t="shared" si="174"/>
        <v>26</v>
      </c>
      <c r="Q2003">
        <v>26</v>
      </c>
      <c r="R2003" t="s">
        <v>1269</v>
      </c>
      <c r="S2003">
        <v>0.89600000000000002</v>
      </c>
      <c r="T2003">
        <v>0.308</v>
      </c>
      <c r="U2003">
        <f t="shared" si="175"/>
        <v>0</v>
      </c>
      <c r="V2003" t="str">
        <f t="shared" si="172"/>
        <v>Elementary Health/
Related Services</v>
      </c>
      <c r="W2003" t="str">
        <f t="shared" si="173"/>
        <v>Health/
Related Services</v>
      </c>
    </row>
    <row r="2004" spans="1:23" x14ac:dyDescent="0.25">
      <c r="A2004">
        <v>27343</v>
      </c>
      <c r="B2004" t="s">
        <v>1324</v>
      </c>
      <c r="C2004">
        <v>1.52</v>
      </c>
      <c r="D2004" t="s">
        <v>1264</v>
      </c>
      <c r="E2004">
        <v>100068</v>
      </c>
      <c r="F2004">
        <v>27343</v>
      </c>
      <c r="G2004" t="str">
        <f t="shared" si="171"/>
        <v>27343</v>
      </c>
      <c r="H2004" t="s">
        <v>484</v>
      </c>
      <c r="I2004" t="s">
        <v>1265</v>
      </c>
      <c r="J2004" t="s">
        <v>1271</v>
      </c>
      <c r="K2004" t="s">
        <v>1272</v>
      </c>
      <c r="L2004" t="s">
        <v>1324</v>
      </c>
      <c r="M2004" t="s">
        <v>1325</v>
      </c>
      <c r="N2004">
        <v>21</v>
      </c>
      <c r="O2004" t="str">
        <f t="shared" si="174"/>
        <v>26</v>
      </c>
      <c r="Q2004">
        <v>26</v>
      </c>
      <c r="R2004" t="s">
        <v>1269</v>
      </c>
      <c r="S2004">
        <v>1.52</v>
      </c>
      <c r="T2004">
        <v>0.308</v>
      </c>
      <c r="U2004">
        <f t="shared" si="175"/>
        <v>0.46800000000000003</v>
      </c>
      <c r="V2004" t="str">
        <f t="shared" si="172"/>
        <v>High Health/
Related Services</v>
      </c>
      <c r="W2004" t="str">
        <f t="shared" si="173"/>
        <v>Health/
Related Services</v>
      </c>
    </row>
    <row r="2005" spans="1:23" x14ac:dyDescent="0.25">
      <c r="A2005">
        <v>27343</v>
      </c>
      <c r="B2005" t="s">
        <v>1295</v>
      </c>
      <c r="C2005">
        <v>0.75900000000000001</v>
      </c>
      <c r="D2005" t="s">
        <v>1264</v>
      </c>
      <c r="E2005">
        <v>100068</v>
      </c>
      <c r="F2005">
        <v>27343</v>
      </c>
      <c r="G2005" t="str">
        <f t="shared" si="171"/>
        <v>27343</v>
      </c>
      <c r="H2005" t="s">
        <v>484</v>
      </c>
      <c r="I2005" t="s">
        <v>1265</v>
      </c>
      <c r="J2005" t="s">
        <v>1271</v>
      </c>
      <c r="K2005" t="s">
        <v>1272</v>
      </c>
      <c r="L2005" t="s">
        <v>1295</v>
      </c>
      <c r="M2005" t="s">
        <v>1296</v>
      </c>
      <c r="N2005">
        <v>1</v>
      </c>
      <c r="O2005" t="str">
        <f t="shared" si="174"/>
        <v>26</v>
      </c>
      <c r="Q2005">
        <v>26</v>
      </c>
      <c r="R2005" t="s">
        <v>1269</v>
      </c>
      <c r="S2005">
        <v>0.75900000000000001</v>
      </c>
      <c r="T2005">
        <v>0.308</v>
      </c>
      <c r="U2005">
        <f t="shared" si="175"/>
        <v>0</v>
      </c>
      <c r="V2005" t="str">
        <f t="shared" si="172"/>
        <v>High Health/
Related Services</v>
      </c>
      <c r="W2005" t="str">
        <f t="shared" si="173"/>
        <v>Health/
Related Services</v>
      </c>
    </row>
    <row r="2006" spans="1:23" x14ac:dyDescent="0.25">
      <c r="A2006">
        <v>27343</v>
      </c>
      <c r="B2006" t="s">
        <v>1275</v>
      </c>
      <c r="C2006">
        <v>2.5499999999999998</v>
      </c>
      <c r="D2006" t="s">
        <v>1264</v>
      </c>
      <c r="E2006">
        <v>100068</v>
      </c>
      <c r="F2006">
        <v>27343</v>
      </c>
      <c r="G2006" t="str">
        <f t="shared" si="171"/>
        <v>27343</v>
      </c>
      <c r="H2006" t="s">
        <v>484</v>
      </c>
      <c r="I2006" t="s">
        <v>1265</v>
      </c>
      <c r="J2006" t="s">
        <v>1276</v>
      </c>
      <c r="K2006" t="s">
        <v>1277</v>
      </c>
      <c r="L2006" t="s">
        <v>1275</v>
      </c>
      <c r="M2006" t="s">
        <v>1278</v>
      </c>
      <c r="N2006">
        <v>1</v>
      </c>
      <c r="O2006" t="str">
        <f t="shared" si="174"/>
        <v>42</v>
      </c>
      <c r="P2006">
        <v>42</v>
      </c>
      <c r="R2006" t="s">
        <v>1269</v>
      </c>
      <c r="S2006">
        <v>2.5499999999999998</v>
      </c>
      <c r="T2006">
        <v>0.308</v>
      </c>
      <c r="U2006">
        <f t="shared" si="175"/>
        <v>0</v>
      </c>
      <c r="V2006" t="str">
        <f t="shared" si="172"/>
        <v>Elementary Counselor</v>
      </c>
      <c r="W2006" t="str">
        <f t="shared" si="173"/>
        <v>Counselor</v>
      </c>
    </row>
    <row r="2007" spans="1:23" x14ac:dyDescent="0.25">
      <c r="A2007">
        <v>27343</v>
      </c>
      <c r="B2007" t="s">
        <v>1263</v>
      </c>
      <c r="C2007">
        <v>1.1000000000000001</v>
      </c>
      <c r="D2007" t="s">
        <v>1264</v>
      </c>
      <c r="E2007">
        <v>100068</v>
      </c>
      <c r="F2007">
        <v>27343</v>
      </c>
      <c r="G2007" t="str">
        <f t="shared" si="171"/>
        <v>27343</v>
      </c>
      <c r="H2007" t="s">
        <v>484</v>
      </c>
      <c r="I2007" t="s">
        <v>1265</v>
      </c>
      <c r="J2007" t="s">
        <v>1266</v>
      </c>
      <c r="K2007" t="s">
        <v>1267</v>
      </c>
      <c r="L2007" t="s">
        <v>1263</v>
      </c>
      <c r="M2007" t="s">
        <v>1268</v>
      </c>
      <c r="N2007">
        <v>1</v>
      </c>
      <c r="O2007" t="str">
        <f t="shared" si="174"/>
        <v>42</v>
      </c>
      <c r="P2007">
        <v>42</v>
      </c>
      <c r="R2007" t="s">
        <v>1269</v>
      </c>
      <c r="S2007">
        <v>1.1000000000000001</v>
      </c>
      <c r="T2007">
        <v>0.308</v>
      </c>
      <c r="U2007">
        <f t="shared" si="175"/>
        <v>0</v>
      </c>
      <c r="V2007" t="str">
        <f t="shared" si="172"/>
        <v>Middle Counselor</v>
      </c>
      <c r="W2007" t="str">
        <f t="shared" si="173"/>
        <v>Counselor</v>
      </c>
    </row>
    <row r="2008" spans="1:23" x14ac:dyDescent="0.25">
      <c r="A2008">
        <v>27343</v>
      </c>
      <c r="B2008" t="s">
        <v>1289</v>
      </c>
      <c r="C2008">
        <v>0.66700000000000004</v>
      </c>
      <c r="D2008" t="s">
        <v>1264</v>
      </c>
      <c r="E2008">
        <v>100068</v>
      </c>
      <c r="F2008">
        <v>27343</v>
      </c>
      <c r="G2008" t="str">
        <f t="shared" si="171"/>
        <v>27343</v>
      </c>
      <c r="H2008" t="s">
        <v>484</v>
      </c>
      <c r="I2008" t="s">
        <v>1265</v>
      </c>
      <c r="J2008" t="s">
        <v>1276</v>
      </c>
      <c r="K2008" t="s">
        <v>1277</v>
      </c>
      <c r="L2008" t="s">
        <v>1289</v>
      </c>
      <c r="M2008" t="s">
        <v>1307</v>
      </c>
      <c r="N2008">
        <v>21</v>
      </c>
      <c r="O2008" t="str">
        <f t="shared" si="174"/>
        <v>43</v>
      </c>
      <c r="P2008">
        <v>43</v>
      </c>
      <c r="R2008" t="s">
        <v>1269</v>
      </c>
      <c r="S2008">
        <v>0.66700000000000004</v>
      </c>
      <c r="T2008">
        <v>0.308</v>
      </c>
      <c r="U2008">
        <f t="shared" si="175"/>
        <v>0.20499999999999999</v>
      </c>
      <c r="V2008" t="str">
        <f t="shared" si="172"/>
        <v>Elementary Occupational Therapist</v>
      </c>
      <c r="W2008" t="str">
        <f t="shared" si="173"/>
        <v>Occupational Therapist</v>
      </c>
    </row>
    <row r="2009" spans="1:23" x14ac:dyDescent="0.25">
      <c r="A2009">
        <v>27343</v>
      </c>
      <c r="B2009" t="s">
        <v>1303</v>
      </c>
      <c r="C2009">
        <v>0.33300000000000002</v>
      </c>
      <c r="D2009" t="s">
        <v>1264</v>
      </c>
      <c r="E2009">
        <v>100068</v>
      </c>
      <c r="F2009">
        <v>27343</v>
      </c>
      <c r="G2009" t="str">
        <f t="shared" si="171"/>
        <v>27343</v>
      </c>
      <c r="H2009" t="s">
        <v>484</v>
      </c>
      <c r="I2009" t="s">
        <v>1265</v>
      </c>
      <c r="J2009" t="s">
        <v>1266</v>
      </c>
      <c r="K2009" t="s">
        <v>1267</v>
      </c>
      <c r="L2009" t="s">
        <v>1303</v>
      </c>
      <c r="M2009" t="s">
        <v>1304</v>
      </c>
      <c r="N2009">
        <v>21</v>
      </c>
      <c r="O2009" t="str">
        <f t="shared" si="174"/>
        <v>43</v>
      </c>
      <c r="P2009">
        <v>43</v>
      </c>
      <c r="R2009" t="s">
        <v>1269</v>
      </c>
      <c r="S2009">
        <v>0.33300000000000002</v>
      </c>
      <c r="T2009">
        <v>0.308</v>
      </c>
      <c r="U2009">
        <f t="shared" si="175"/>
        <v>0.10299999999999999</v>
      </c>
      <c r="V2009" t="str">
        <f t="shared" si="172"/>
        <v>Middle Occupational Therapist</v>
      </c>
      <c r="W2009" t="str">
        <f t="shared" si="173"/>
        <v>Occupational Therapist</v>
      </c>
    </row>
    <row r="2010" spans="1:23" x14ac:dyDescent="0.25">
      <c r="A2010">
        <v>27343</v>
      </c>
      <c r="B2010" t="s">
        <v>1294</v>
      </c>
      <c r="C2010">
        <v>1.3</v>
      </c>
      <c r="D2010" t="s">
        <v>1264</v>
      </c>
      <c r="E2010">
        <v>100068</v>
      </c>
      <c r="F2010">
        <v>27343</v>
      </c>
      <c r="G2010" t="str">
        <f t="shared" si="171"/>
        <v>27343</v>
      </c>
      <c r="H2010" t="s">
        <v>484</v>
      </c>
      <c r="I2010" t="s">
        <v>1265</v>
      </c>
      <c r="J2010" t="s">
        <v>1276</v>
      </c>
      <c r="K2010" t="s">
        <v>1277</v>
      </c>
      <c r="L2010" t="s">
        <v>1294</v>
      </c>
      <c r="M2010" t="s">
        <v>1354</v>
      </c>
      <c r="N2010">
        <v>21</v>
      </c>
      <c r="O2010" t="str">
        <f t="shared" si="174"/>
        <v>45</v>
      </c>
      <c r="P2010">
        <v>45</v>
      </c>
      <c r="R2010" t="s">
        <v>1269</v>
      </c>
      <c r="S2010">
        <v>1.3</v>
      </c>
      <c r="T2010">
        <v>0.308</v>
      </c>
      <c r="U2010">
        <f t="shared" si="175"/>
        <v>0.4</v>
      </c>
      <c r="V2010" t="str">
        <f t="shared" si="172"/>
        <v>Elementary Speech, Language Pathway/
Audio</v>
      </c>
      <c r="W2010" t="str">
        <f t="shared" si="173"/>
        <v>Speech, Language Pathway/
Audio</v>
      </c>
    </row>
    <row r="2011" spans="1:23" x14ac:dyDescent="0.25">
      <c r="A2011">
        <v>27343</v>
      </c>
      <c r="B2011" t="s">
        <v>1298</v>
      </c>
      <c r="C2011">
        <v>1.667</v>
      </c>
      <c r="D2011" t="s">
        <v>1264</v>
      </c>
      <c r="E2011">
        <v>100068</v>
      </c>
      <c r="F2011">
        <v>27343</v>
      </c>
      <c r="G2011" t="str">
        <f t="shared" si="171"/>
        <v>27343</v>
      </c>
      <c r="H2011" t="s">
        <v>484</v>
      </c>
      <c r="I2011" t="s">
        <v>1265</v>
      </c>
      <c r="J2011" t="s">
        <v>1276</v>
      </c>
      <c r="K2011" t="s">
        <v>1277</v>
      </c>
      <c r="L2011" t="s">
        <v>1298</v>
      </c>
      <c r="M2011" t="s">
        <v>1349</v>
      </c>
      <c r="N2011">
        <v>21</v>
      </c>
      <c r="O2011" t="str">
        <f t="shared" si="174"/>
        <v>46</v>
      </c>
      <c r="P2011">
        <v>46</v>
      </c>
      <c r="R2011" t="s">
        <v>1269</v>
      </c>
      <c r="S2011">
        <v>1.667</v>
      </c>
      <c r="T2011">
        <v>0.308</v>
      </c>
      <c r="U2011">
        <f t="shared" si="175"/>
        <v>0.51300000000000001</v>
      </c>
      <c r="V2011" t="str">
        <f t="shared" si="172"/>
        <v>Elementary Psychologist</v>
      </c>
      <c r="W2011" t="str">
        <f t="shared" si="173"/>
        <v>Psychologist</v>
      </c>
    </row>
    <row r="2012" spans="1:23" x14ac:dyDescent="0.25">
      <c r="A2012">
        <v>27343</v>
      </c>
      <c r="B2012" t="s">
        <v>1345</v>
      </c>
      <c r="C2012">
        <v>0.33300000000000002</v>
      </c>
      <c r="D2012" t="s">
        <v>1264</v>
      </c>
      <c r="E2012">
        <v>100068</v>
      </c>
      <c r="F2012">
        <v>27343</v>
      </c>
      <c r="G2012" t="str">
        <f t="shared" si="171"/>
        <v>27343</v>
      </c>
      <c r="H2012" t="s">
        <v>484</v>
      </c>
      <c r="I2012" t="s">
        <v>1265</v>
      </c>
      <c r="J2012" t="s">
        <v>1266</v>
      </c>
      <c r="K2012" t="s">
        <v>1267</v>
      </c>
      <c r="L2012" t="s">
        <v>1345</v>
      </c>
      <c r="M2012" t="s">
        <v>1346</v>
      </c>
      <c r="N2012">
        <v>21</v>
      </c>
      <c r="O2012" t="str">
        <f t="shared" si="174"/>
        <v>46</v>
      </c>
      <c r="P2012">
        <v>46</v>
      </c>
      <c r="R2012" t="s">
        <v>1269</v>
      </c>
      <c r="S2012">
        <v>0.33300000000000002</v>
      </c>
      <c r="T2012">
        <v>0.308</v>
      </c>
      <c r="U2012">
        <f t="shared" si="175"/>
        <v>0.10299999999999999</v>
      </c>
      <c r="V2012" t="str">
        <f t="shared" si="172"/>
        <v>Middle Psychologist</v>
      </c>
      <c r="W2012" t="str">
        <f t="shared" si="173"/>
        <v>Psychologist</v>
      </c>
    </row>
    <row r="2013" spans="1:23" x14ac:dyDescent="0.25">
      <c r="A2013">
        <v>27343</v>
      </c>
      <c r="B2013" t="s">
        <v>1335</v>
      </c>
      <c r="C2013">
        <v>0.66600000000000004</v>
      </c>
      <c r="D2013" t="s">
        <v>1264</v>
      </c>
      <c r="E2013">
        <v>100068</v>
      </c>
      <c r="F2013">
        <v>27343</v>
      </c>
      <c r="G2013" t="str">
        <f t="shared" si="171"/>
        <v>27343</v>
      </c>
      <c r="H2013" t="s">
        <v>484</v>
      </c>
      <c r="I2013" t="s">
        <v>1265</v>
      </c>
      <c r="J2013" t="s">
        <v>1276</v>
      </c>
      <c r="K2013" t="s">
        <v>1277</v>
      </c>
      <c r="L2013" t="s">
        <v>1335</v>
      </c>
      <c r="M2013" t="s">
        <v>1344</v>
      </c>
      <c r="N2013">
        <v>1</v>
      </c>
      <c r="O2013" t="str">
        <f t="shared" si="174"/>
        <v>47</v>
      </c>
      <c r="P2013">
        <v>47</v>
      </c>
      <c r="R2013" t="s">
        <v>1269</v>
      </c>
      <c r="S2013">
        <v>0.66600000000000004</v>
      </c>
      <c r="T2013">
        <v>0.308</v>
      </c>
      <c r="U2013">
        <f t="shared" si="175"/>
        <v>0</v>
      </c>
      <c r="V2013" t="str">
        <f t="shared" si="172"/>
        <v>Elementary Nurse</v>
      </c>
      <c r="W2013" t="str">
        <f t="shared" si="173"/>
        <v>Nurse</v>
      </c>
    </row>
    <row r="2014" spans="1:23" x14ac:dyDescent="0.25">
      <c r="A2014">
        <v>27343</v>
      </c>
      <c r="B2014" t="s">
        <v>1338</v>
      </c>
      <c r="C2014">
        <v>0.33400000000000002</v>
      </c>
      <c r="D2014" t="s">
        <v>1264</v>
      </c>
      <c r="E2014">
        <v>100068</v>
      </c>
      <c r="F2014">
        <v>27343</v>
      </c>
      <c r="G2014" t="str">
        <f t="shared" si="171"/>
        <v>27343</v>
      </c>
      <c r="H2014" t="s">
        <v>484</v>
      </c>
      <c r="I2014" t="s">
        <v>1265</v>
      </c>
      <c r="J2014" t="s">
        <v>1266</v>
      </c>
      <c r="K2014" t="s">
        <v>1267</v>
      </c>
      <c r="L2014" t="s">
        <v>1338</v>
      </c>
      <c r="M2014" t="s">
        <v>1339</v>
      </c>
      <c r="N2014">
        <v>1</v>
      </c>
      <c r="O2014" t="str">
        <f t="shared" si="174"/>
        <v>47</v>
      </c>
      <c r="P2014">
        <v>47</v>
      </c>
      <c r="R2014" t="s">
        <v>1269</v>
      </c>
      <c r="S2014">
        <v>0.33400000000000002</v>
      </c>
      <c r="T2014">
        <v>0.308</v>
      </c>
      <c r="U2014">
        <f t="shared" si="175"/>
        <v>0</v>
      </c>
      <c r="V2014" t="str">
        <f t="shared" si="172"/>
        <v>Middle Nurse</v>
      </c>
      <c r="W2014" t="str">
        <f t="shared" si="173"/>
        <v>Nurse</v>
      </c>
    </row>
    <row r="2015" spans="1:23" x14ac:dyDescent="0.25">
      <c r="A2015">
        <v>27344</v>
      </c>
      <c r="B2015" t="s">
        <v>1299</v>
      </c>
      <c r="C2015">
        <v>5.3789999999999996</v>
      </c>
      <c r="D2015" t="s">
        <v>1264</v>
      </c>
      <c r="E2015">
        <v>100191</v>
      </c>
      <c r="F2015">
        <v>27344</v>
      </c>
      <c r="G2015" t="str">
        <f t="shared" si="171"/>
        <v>27344</v>
      </c>
      <c r="H2015" t="s">
        <v>485</v>
      </c>
      <c r="I2015" t="s">
        <v>1265</v>
      </c>
      <c r="J2015" t="s">
        <v>1271</v>
      </c>
      <c r="K2015" t="s">
        <v>1272</v>
      </c>
      <c r="L2015" t="s">
        <v>1299</v>
      </c>
      <c r="M2015" t="s">
        <v>1300</v>
      </c>
      <c r="N2015">
        <v>1</v>
      </c>
      <c r="O2015" t="str">
        <f t="shared" si="174"/>
        <v>25</v>
      </c>
      <c r="Q2015">
        <v>25</v>
      </c>
      <c r="R2015" t="s">
        <v>1269</v>
      </c>
      <c r="S2015">
        <v>5.3789999999999996</v>
      </c>
      <c r="T2015">
        <v>0.26050000000000001</v>
      </c>
      <c r="U2015">
        <f t="shared" si="175"/>
        <v>0</v>
      </c>
      <c r="V2015" t="str">
        <f t="shared" si="172"/>
        <v>High Pupil Management</v>
      </c>
      <c r="W2015" t="str">
        <f t="shared" si="173"/>
        <v>Pupil Management</v>
      </c>
    </row>
    <row r="2016" spans="1:23" x14ac:dyDescent="0.25">
      <c r="A2016">
        <v>27344</v>
      </c>
      <c r="B2016" t="s">
        <v>1324</v>
      </c>
      <c r="C2016">
        <v>2.2719999999999998</v>
      </c>
      <c r="D2016" t="s">
        <v>1264</v>
      </c>
      <c r="E2016">
        <v>100191</v>
      </c>
      <c r="F2016">
        <v>27344</v>
      </c>
      <c r="G2016" t="str">
        <f t="shared" si="171"/>
        <v>27344</v>
      </c>
      <c r="H2016" t="s">
        <v>485</v>
      </c>
      <c r="I2016" t="s">
        <v>1265</v>
      </c>
      <c r="J2016" t="s">
        <v>1271</v>
      </c>
      <c r="K2016" t="s">
        <v>1272</v>
      </c>
      <c r="L2016" t="s">
        <v>1324</v>
      </c>
      <c r="M2016" t="s">
        <v>1325</v>
      </c>
      <c r="N2016">
        <v>21</v>
      </c>
      <c r="O2016" t="str">
        <f t="shared" si="174"/>
        <v>26</v>
      </c>
      <c r="Q2016">
        <v>26</v>
      </c>
      <c r="R2016" t="s">
        <v>1269</v>
      </c>
      <c r="S2016">
        <v>2.2719999999999998</v>
      </c>
      <c r="T2016">
        <v>0.26050000000000001</v>
      </c>
      <c r="U2016">
        <f t="shared" si="175"/>
        <v>0.59199999999999997</v>
      </c>
      <c r="V2016" t="str">
        <f t="shared" si="172"/>
        <v>High Health/
Related Services</v>
      </c>
      <c r="W2016" t="str">
        <f t="shared" si="173"/>
        <v>Health/
Related Services</v>
      </c>
    </row>
    <row r="2017" spans="1:23" x14ac:dyDescent="0.25">
      <c r="A2017">
        <v>27344</v>
      </c>
      <c r="B2017" t="s">
        <v>1295</v>
      </c>
      <c r="C2017">
        <v>2.5950000000000002</v>
      </c>
      <c r="D2017" t="s">
        <v>1264</v>
      </c>
      <c r="E2017">
        <v>100191</v>
      </c>
      <c r="F2017">
        <v>27344</v>
      </c>
      <c r="G2017" t="str">
        <f t="shared" si="171"/>
        <v>27344</v>
      </c>
      <c r="H2017" t="s">
        <v>485</v>
      </c>
      <c r="I2017" t="s">
        <v>1265</v>
      </c>
      <c r="J2017" t="s">
        <v>1271</v>
      </c>
      <c r="K2017" t="s">
        <v>1272</v>
      </c>
      <c r="L2017" t="s">
        <v>1295</v>
      </c>
      <c r="M2017" t="s">
        <v>1296</v>
      </c>
      <c r="N2017">
        <v>1</v>
      </c>
      <c r="O2017" t="str">
        <f t="shared" si="174"/>
        <v>26</v>
      </c>
      <c r="Q2017">
        <v>26</v>
      </c>
      <c r="R2017" t="s">
        <v>1269</v>
      </c>
      <c r="S2017">
        <v>2.5950000000000002</v>
      </c>
      <c r="T2017">
        <v>0.26050000000000001</v>
      </c>
      <c r="U2017">
        <f t="shared" si="175"/>
        <v>0</v>
      </c>
      <c r="V2017" t="str">
        <f t="shared" si="172"/>
        <v>High Health/
Related Services</v>
      </c>
      <c r="W2017" t="str">
        <f t="shared" si="173"/>
        <v>Health/
Related Services</v>
      </c>
    </row>
    <row r="2018" spans="1:23" x14ac:dyDescent="0.25">
      <c r="A2018">
        <v>27344</v>
      </c>
      <c r="B2018" t="s">
        <v>1275</v>
      </c>
      <c r="C2018">
        <v>2.6</v>
      </c>
      <c r="D2018" t="s">
        <v>1264</v>
      </c>
      <c r="E2018">
        <v>100191</v>
      </c>
      <c r="F2018">
        <v>27344</v>
      </c>
      <c r="G2018" t="str">
        <f t="shared" si="171"/>
        <v>27344</v>
      </c>
      <c r="H2018" t="s">
        <v>485</v>
      </c>
      <c r="I2018" t="s">
        <v>1265</v>
      </c>
      <c r="J2018" t="s">
        <v>1276</v>
      </c>
      <c r="K2018" t="s">
        <v>1277</v>
      </c>
      <c r="L2018" t="s">
        <v>1275</v>
      </c>
      <c r="M2018" t="s">
        <v>1278</v>
      </c>
      <c r="N2018">
        <v>1</v>
      </c>
      <c r="O2018" t="str">
        <f t="shared" si="174"/>
        <v>42</v>
      </c>
      <c r="P2018">
        <v>42</v>
      </c>
      <c r="R2018" t="s">
        <v>1269</v>
      </c>
      <c r="S2018">
        <v>2.6</v>
      </c>
      <c r="T2018">
        <v>0.26050000000000001</v>
      </c>
      <c r="U2018">
        <f t="shared" si="175"/>
        <v>0</v>
      </c>
      <c r="V2018" t="str">
        <f t="shared" si="172"/>
        <v>Elementary Counselor</v>
      </c>
      <c r="W2018" t="str">
        <f t="shared" si="173"/>
        <v>Counselor</v>
      </c>
    </row>
    <row r="2019" spans="1:23" x14ac:dyDescent="0.25">
      <c r="A2019">
        <v>27344</v>
      </c>
      <c r="B2019" t="s">
        <v>1270</v>
      </c>
      <c r="C2019">
        <v>2.4</v>
      </c>
      <c r="D2019" t="s">
        <v>1264</v>
      </c>
      <c r="E2019">
        <v>100191</v>
      </c>
      <c r="F2019">
        <v>27344</v>
      </c>
      <c r="G2019" t="str">
        <f t="shared" si="171"/>
        <v>27344</v>
      </c>
      <c r="H2019" t="s">
        <v>485</v>
      </c>
      <c r="I2019" t="s">
        <v>1265</v>
      </c>
      <c r="J2019" t="s">
        <v>1271</v>
      </c>
      <c r="K2019" t="s">
        <v>1272</v>
      </c>
      <c r="L2019" t="s">
        <v>1270</v>
      </c>
      <c r="M2019" t="s">
        <v>1273</v>
      </c>
      <c r="N2019">
        <v>1</v>
      </c>
      <c r="O2019" t="str">
        <f t="shared" si="174"/>
        <v>42</v>
      </c>
      <c r="P2019">
        <v>42</v>
      </c>
      <c r="R2019" t="s">
        <v>1269</v>
      </c>
      <c r="S2019">
        <v>2.4</v>
      </c>
      <c r="T2019">
        <v>0.26050000000000001</v>
      </c>
      <c r="U2019">
        <f t="shared" si="175"/>
        <v>0</v>
      </c>
      <c r="V2019" t="str">
        <f t="shared" si="172"/>
        <v>High Counselor</v>
      </c>
      <c r="W2019" t="str">
        <f t="shared" si="173"/>
        <v>Counselor</v>
      </c>
    </row>
    <row r="2020" spans="1:23" x14ac:dyDescent="0.25">
      <c r="A2020">
        <v>27344</v>
      </c>
      <c r="B2020" t="s">
        <v>1263</v>
      </c>
      <c r="C2020">
        <v>1.2</v>
      </c>
      <c r="D2020" t="s">
        <v>1264</v>
      </c>
      <c r="E2020">
        <v>100191</v>
      </c>
      <c r="F2020">
        <v>27344</v>
      </c>
      <c r="G2020" t="str">
        <f t="shared" si="171"/>
        <v>27344</v>
      </c>
      <c r="H2020" t="s">
        <v>485</v>
      </c>
      <c r="I2020" t="s">
        <v>1265</v>
      </c>
      <c r="J2020" t="s">
        <v>1266</v>
      </c>
      <c r="K2020" t="s">
        <v>1267</v>
      </c>
      <c r="L2020" t="s">
        <v>1263</v>
      </c>
      <c r="M2020" t="s">
        <v>1268</v>
      </c>
      <c r="N2020">
        <v>1</v>
      </c>
      <c r="O2020" t="str">
        <f t="shared" si="174"/>
        <v>42</v>
      </c>
      <c r="P2020">
        <v>42</v>
      </c>
      <c r="R2020" t="s">
        <v>1269</v>
      </c>
      <c r="S2020">
        <v>1.2</v>
      </c>
      <c r="T2020">
        <v>0.26050000000000001</v>
      </c>
      <c r="U2020">
        <f t="shared" si="175"/>
        <v>0</v>
      </c>
      <c r="V2020" t="str">
        <f t="shared" si="172"/>
        <v>Middle Counselor</v>
      </c>
      <c r="W2020" t="str">
        <f t="shared" si="173"/>
        <v>Counselor</v>
      </c>
    </row>
    <row r="2021" spans="1:23" x14ac:dyDescent="0.25">
      <c r="A2021">
        <v>27344</v>
      </c>
      <c r="B2021" t="s">
        <v>1294</v>
      </c>
      <c r="C2021">
        <v>1.75</v>
      </c>
      <c r="D2021" t="s">
        <v>1264</v>
      </c>
      <c r="E2021">
        <v>100191</v>
      </c>
      <c r="F2021">
        <v>27344</v>
      </c>
      <c r="G2021" t="str">
        <f t="shared" si="171"/>
        <v>27344</v>
      </c>
      <c r="H2021" t="s">
        <v>485</v>
      </c>
      <c r="I2021" t="s">
        <v>1265</v>
      </c>
      <c r="J2021" t="s">
        <v>1276</v>
      </c>
      <c r="K2021" t="s">
        <v>1277</v>
      </c>
      <c r="L2021" t="s">
        <v>1294</v>
      </c>
      <c r="M2021" t="s">
        <v>1354</v>
      </c>
      <c r="N2021">
        <v>21</v>
      </c>
      <c r="O2021" t="str">
        <f t="shared" si="174"/>
        <v>45</v>
      </c>
      <c r="P2021">
        <v>45</v>
      </c>
      <c r="R2021" t="s">
        <v>1269</v>
      </c>
      <c r="S2021">
        <v>1.75</v>
      </c>
      <c r="T2021">
        <v>0.26050000000000001</v>
      </c>
      <c r="U2021">
        <f t="shared" si="175"/>
        <v>0.45600000000000002</v>
      </c>
      <c r="V2021" t="str">
        <f t="shared" si="172"/>
        <v>Elementary Speech, Language Pathway/
Audio</v>
      </c>
      <c r="W2021" t="str">
        <f t="shared" si="173"/>
        <v>Speech, Language Pathway/
Audio</v>
      </c>
    </row>
    <row r="2022" spans="1:23" x14ac:dyDescent="0.25">
      <c r="A2022">
        <v>27344</v>
      </c>
      <c r="B2022" t="s">
        <v>1326</v>
      </c>
      <c r="C2022">
        <v>0.24</v>
      </c>
      <c r="D2022" t="s">
        <v>1264</v>
      </c>
      <c r="E2022">
        <v>100191</v>
      </c>
      <c r="F2022">
        <v>27344</v>
      </c>
      <c r="G2022" t="str">
        <f t="shared" si="171"/>
        <v>27344</v>
      </c>
      <c r="H2022" t="s">
        <v>485</v>
      </c>
      <c r="I2022" t="s">
        <v>1265</v>
      </c>
      <c r="J2022" t="s">
        <v>1271</v>
      </c>
      <c r="K2022" t="s">
        <v>1272</v>
      </c>
      <c r="L2022" t="s">
        <v>1326</v>
      </c>
      <c r="M2022" t="s">
        <v>1353</v>
      </c>
      <c r="N2022">
        <v>21</v>
      </c>
      <c r="O2022" t="str">
        <f t="shared" si="174"/>
        <v>45</v>
      </c>
      <c r="P2022">
        <v>45</v>
      </c>
      <c r="R2022" t="s">
        <v>1269</v>
      </c>
      <c r="S2022">
        <v>0.24</v>
      </c>
      <c r="T2022">
        <v>0.26050000000000001</v>
      </c>
      <c r="U2022">
        <f t="shared" si="175"/>
        <v>6.3E-2</v>
      </c>
      <c r="V2022" t="str">
        <f t="shared" si="172"/>
        <v>High Speech, Language Pathway/
Audio</v>
      </c>
      <c r="W2022" t="str">
        <f t="shared" si="173"/>
        <v>Speech, Language Pathway/
Audio</v>
      </c>
    </row>
    <row r="2023" spans="1:23" x14ac:dyDescent="0.25">
      <c r="A2023">
        <v>27344</v>
      </c>
      <c r="B2023" t="s">
        <v>1312</v>
      </c>
      <c r="C2023">
        <v>0.02</v>
      </c>
      <c r="D2023" t="s">
        <v>1264</v>
      </c>
      <c r="E2023">
        <v>100191</v>
      </c>
      <c r="F2023">
        <v>27344</v>
      </c>
      <c r="G2023" t="str">
        <f t="shared" si="171"/>
        <v>27344</v>
      </c>
      <c r="H2023" t="s">
        <v>485</v>
      </c>
      <c r="I2023" t="s">
        <v>1265</v>
      </c>
      <c r="J2023" t="s">
        <v>1266</v>
      </c>
      <c r="K2023" t="s">
        <v>1267</v>
      </c>
      <c r="L2023" t="s">
        <v>1312</v>
      </c>
      <c r="M2023" t="s">
        <v>1351</v>
      </c>
      <c r="N2023">
        <v>21</v>
      </c>
      <c r="O2023" t="str">
        <f t="shared" si="174"/>
        <v>45</v>
      </c>
      <c r="P2023">
        <v>45</v>
      </c>
      <c r="R2023" t="s">
        <v>1269</v>
      </c>
      <c r="S2023">
        <v>0.02</v>
      </c>
      <c r="T2023">
        <v>0.26050000000000001</v>
      </c>
      <c r="U2023">
        <f t="shared" si="175"/>
        <v>5.0000000000000001E-3</v>
      </c>
      <c r="V2023" t="str">
        <f t="shared" si="172"/>
        <v>Middle Speech, Language Pathway/
Audio</v>
      </c>
      <c r="W2023" t="str">
        <f t="shared" si="173"/>
        <v>Speech, Language Pathway/
Audio</v>
      </c>
    </row>
    <row r="2024" spans="1:23" x14ac:dyDescent="0.25">
      <c r="A2024">
        <v>27344</v>
      </c>
      <c r="B2024" t="s">
        <v>1335</v>
      </c>
      <c r="C2024">
        <v>0.52</v>
      </c>
      <c r="D2024" t="s">
        <v>1264</v>
      </c>
      <c r="E2024">
        <v>100191</v>
      </c>
      <c r="F2024">
        <v>27344</v>
      </c>
      <c r="G2024" t="str">
        <f t="shared" si="171"/>
        <v>27344</v>
      </c>
      <c r="H2024" t="s">
        <v>485</v>
      </c>
      <c r="I2024" t="s">
        <v>1265</v>
      </c>
      <c r="J2024" t="s">
        <v>1276</v>
      </c>
      <c r="K2024" t="s">
        <v>1277</v>
      </c>
      <c r="L2024" t="s">
        <v>1335</v>
      </c>
      <c r="M2024" t="s">
        <v>1344</v>
      </c>
      <c r="N2024">
        <v>1</v>
      </c>
      <c r="O2024" t="str">
        <f t="shared" si="174"/>
        <v>47</v>
      </c>
      <c r="P2024">
        <v>47</v>
      </c>
      <c r="R2024" t="s">
        <v>1269</v>
      </c>
      <c r="S2024">
        <v>0.52</v>
      </c>
      <c r="T2024">
        <v>0.26050000000000001</v>
      </c>
      <c r="U2024">
        <f t="shared" si="175"/>
        <v>0</v>
      </c>
      <c r="V2024" t="str">
        <f t="shared" si="172"/>
        <v>Elementary Nurse</v>
      </c>
      <c r="W2024" t="str">
        <f t="shared" si="173"/>
        <v>Nurse</v>
      </c>
    </row>
    <row r="2025" spans="1:23" x14ac:dyDescent="0.25">
      <c r="A2025">
        <v>27344</v>
      </c>
      <c r="B2025" t="s">
        <v>1341</v>
      </c>
      <c r="C2025">
        <v>0.32</v>
      </c>
      <c r="D2025" t="s">
        <v>1264</v>
      </c>
      <c r="E2025">
        <v>100191</v>
      </c>
      <c r="F2025">
        <v>27344</v>
      </c>
      <c r="G2025" t="str">
        <f t="shared" si="171"/>
        <v>27344</v>
      </c>
      <c r="H2025" t="s">
        <v>485</v>
      </c>
      <c r="I2025" t="s">
        <v>1265</v>
      </c>
      <c r="J2025" t="s">
        <v>1271</v>
      </c>
      <c r="K2025" t="s">
        <v>1272</v>
      </c>
      <c r="L2025" t="s">
        <v>1341</v>
      </c>
      <c r="M2025" t="s">
        <v>1342</v>
      </c>
      <c r="N2025">
        <v>1</v>
      </c>
      <c r="O2025" t="str">
        <f t="shared" si="174"/>
        <v>47</v>
      </c>
      <c r="P2025">
        <v>47</v>
      </c>
      <c r="R2025" t="s">
        <v>1269</v>
      </c>
      <c r="S2025">
        <v>0.32</v>
      </c>
      <c r="T2025">
        <v>0.26050000000000001</v>
      </c>
      <c r="U2025">
        <f t="shared" si="175"/>
        <v>0</v>
      </c>
      <c r="V2025" t="str">
        <f t="shared" si="172"/>
        <v>High Nurse</v>
      </c>
      <c r="W2025" t="str">
        <f t="shared" si="173"/>
        <v>Nurse</v>
      </c>
    </row>
    <row r="2026" spans="1:23" x14ac:dyDescent="0.25">
      <c r="A2026">
        <v>27344</v>
      </c>
      <c r="B2026" t="s">
        <v>1338</v>
      </c>
      <c r="C2026">
        <v>0.16</v>
      </c>
      <c r="D2026" t="s">
        <v>1264</v>
      </c>
      <c r="E2026">
        <v>100191</v>
      </c>
      <c r="F2026">
        <v>27344</v>
      </c>
      <c r="G2026" t="str">
        <f t="shared" si="171"/>
        <v>27344</v>
      </c>
      <c r="H2026" t="s">
        <v>485</v>
      </c>
      <c r="I2026" t="s">
        <v>1265</v>
      </c>
      <c r="J2026" t="s">
        <v>1266</v>
      </c>
      <c r="K2026" t="s">
        <v>1267</v>
      </c>
      <c r="L2026" t="s">
        <v>1338</v>
      </c>
      <c r="M2026" t="s">
        <v>1339</v>
      </c>
      <c r="N2026">
        <v>1</v>
      </c>
      <c r="O2026" t="str">
        <f t="shared" si="174"/>
        <v>47</v>
      </c>
      <c r="P2026">
        <v>47</v>
      </c>
      <c r="R2026" t="s">
        <v>1269</v>
      </c>
      <c r="S2026">
        <v>0.16</v>
      </c>
      <c r="T2026">
        <v>0.26050000000000001</v>
      </c>
      <c r="U2026">
        <f t="shared" si="175"/>
        <v>0</v>
      </c>
      <c r="V2026" t="str">
        <f t="shared" si="172"/>
        <v>Middle Nurse</v>
      </c>
      <c r="W2026" t="str">
        <f t="shared" si="173"/>
        <v>Nurse</v>
      </c>
    </row>
    <row r="2027" spans="1:23" x14ac:dyDescent="0.25">
      <c r="A2027">
        <v>27400</v>
      </c>
      <c r="B2027" t="s">
        <v>1299</v>
      </c>
      <c r="C2027">
        <v>19.68</v>
      </c>
      <c r="D2027" t="s">
        <v>1264</v>
      </c>
      <c r="E2027">
        <v>100047</v>
      </c>
      <c r="F2027">
        <v>27400</v>
      </c>
      <c r="G2027" t="str">
        <f t="shared" si="171"/>
        <v>27400</v>
      </c>
      <c r="H2027" t="s">
        <v>486</v>
      </c>
      <c r="I2027" t="s">
        <v>1265</v>
      </c>
      <c r="J2027" t="s">
        <v>1271</v>
      </c>
      <c r="K2027" t="s">
        <v>1272</v>
      </c>
      <c r="L2027" t="s">
        <v>1299</v>
      </c>
      <c r="M2027" t="s">
        <v>1300</v>
      </c>
      <c r="N2027">
        <v>1</v>
      </c>
      <c r="O2027" t="str">
        <f t="shared" si="174"/>
        <v>25</v>
      </c>
      <c r="Q2027">
        <v>25</v>
      </c>
      <c r="R2027" t="s">
        <v>1269</v>
      </c>
      <c r="S2027">
        <v>19.68</v>
      </c>
      <c r="T2027">
        <v>0.34</v>
      </c>
      <c r="U2027">
        <f t="shared" si="175"/>
        <v>0</v>
      </c>
      <c r="V2027" t="str">
        <f t="shared" si="172"/>
        <v>High Pupil Management</v>
      </c>
      <c r="W2027" t="str">
        <f t="shared" si="173"/>
        <v>Pupil Management</v>
      </c>
    </row>
    <row r="2028" spans="1:23" x14ac:dyDescent="0.25">
      <c r="A2028">
        <v>27400</v>
      </c>
      <c r="B2028" t="s">
        <v>1324</v>
      </c>
      <c r="C2028">
        <v>11.523999999999999</v>
      </c>
      <c r="D2028" t="s">
        <v>1264</v>
      </c>
      <c r="E2028">
        <v>100047</v>
      </c>
      <c r="F2028">
        <v>27400</v>
      </c>
      <c r="G2028" t="str">
        <f t="shared" si="171"/>
        <v>27400</v>
      </c>
      <c r="H2028" t="s">
        <v>486</v>
      </c>
      <c r="I2028" t="s">
        <v>1265</v>
      </c>
      <c r="J2028" t="s">
        <v>1271</v>
      </c>
      <c r="K2028" t="s">
        <v>1272</v>
      </c>
      <c r="L2028" t="s">
        <v>1324</v>
      </c>
      <c r="M2028" t="s">
        <v>1325</v>
      </c>
      <c r="N2028">
        <v>21</v>
      </c>
      <c r="O2028" t="str">
        <f t="shared" si="174"/>
        <v>26</v>
      </c>
      <c r="Q2028">
        <v>26</v>
      </c>
      <c r="R2028" t="s">
        <v>1269</v>
      </c>
      <c r="S2028">
        <v>11.523999999999999</v>
      </c>
      <c r="T2028">
        <v>0.34</v>
      </c>
      <c r="U2028">
        <f t="shared" si="175"/>
        <v>3.9180000000000001</v>
      </c>
      <c r="V2028" t="str">
        <f t="shared" si="172"/>
        <v>High Health/
Related Services</v>
      </c>
      <c r="W2028" t="str">
        <f t="shared" si="173"/>
        <v>Health/
Related Services</v>
      </c>
    </row>
    <row r="2029" spans="1:23" x14ac:dyDescent="0.25">
      <c r="A2029">
        <v>27400</v>
      </c>
      <c r="B2029" t="s">
        <v>1295</v>
      </c>
      <c r="C2029">
        <v>15.032</v>
      </c>
      <c r="D2029" t="s">
        <v>1264</v>
      </c>
      <c r="E2029">
        <v>100047</v>
      </c>
      <c r="F2029">
        <v>27400</v>
      </c>
      <c r="G2029" t="str">
        <f t="shared" si="171"/>
        <v>27400</v>
      </c>
      <c r="H2029" t="s">
        <v>486</v>
      </c>
      <c r="I2029" t="s">
        <v>1265</v>
      </c>
      <c r="J2029" t="s">
        <v>1271</v>
      </c>
      <c r="K2029" t="s">
        <v>1272</v>
      </c>
      <c r="L2029" t="s">
        <v>1295</v>
      </c>
      <c r="M2029" t="s">
        <v>1296</v>
      </c>
      <c r="N2029">
        <v>1</v>
      </c>
      <c r="O2029" t="str">
        <f t="shared" si="174"/>
        <v>26</v>
      </c>
      <c r="Q2029">
        <v>26</v>
      </c>
      <c r="R2029" t="s">
        <v>1269</v>
      </c>
      <c r="S2029">
        <v>15.032</v>
      </c>
      <c r="T2029">
        <v>0.34</v>
      </c>
      <c r="U2029">
        <f t="shared" si="175"/>
        <v>0</v>
      </c>
      <c r="V2029" t="str">
        <f t="shared" si="172"/>
        <v>High Health/
Related Services</v>
      </c>
      <c r="W2029" t="str">
        <f t="shared" si="173"/>
        <v>Health/
Related Services</v>
      </c>
    </row>
    <row r="2030" spans="1:23" x14ac:dyDescent="0.25">
      <c r="A2030">
        <v>27400</v>
      </c>
      <c r="B2030" t="s">
        <v>1402</v>
      </c>
      <c r="C2030">
        <v>1</v>
      </c>
      <c r="D2030" t="s">
        <v>1264</v>
      </c>
      <c r="E2030">
        <v>100047</v>
      </c>
      <c r="F2030">
        <v>27400</v>
      </c>
      <c r="G2030" t="str">
        <f t="shared" si="171"/>
        <v>27400</v>
      </c>
      <c r="H2030" t="s">
        <v>486</v>
      </c>
      <c r="I2030" t="s">
        <v>1265</v>
      </c>
      <c r="J2030" t="s">
        <v>1271</v>
      </c>
      <c r="K2030" t="s">
        <v>1272</v>
      </c>
      <c r="L2030" t="s">
        <v>1402</v>
      </c>
      <c r="M2030" t="s">
        <v>1408</v>
      </c>
      <c r="N2030">
        <v>97</v>
      </c>
      <c r="O2030" t="str">
        <f t="shared" si="174"/>
        <v>35</v>
      </c>
      <c r="Q2030">
        <v>35</v>
      </c>
      <c r="R2030" t="s">
        <v>1269</v>
      </c>
      <c r="S2030">
        <v>1</v>
      </c>
      <c r="T2030">
        <v>0.34</v>
      </c>
      <c r="U2030">
        <f t="shared" si="175"/>
        <v>0</v>
      </c>
      <c r="V2030" t="str">
        <f t="shared" si="172"/>
        <v>High Pupil Safety</v>
      </c>
      <c r="W2030" t="str">
        <f t="shared" si="173"/>
        <v>Pupil Safety</v>
      </c>
    </row>
    <row r="2031" spans="1:23" x14ac:dyDescent="0.25">
      <c r="A2031">
        <v>27400</v>
      </c>
      <c r="B2031" t="s">
        <v>1401</v>
      </c>
      <c r="C2031">
        <v>10.936</v>
      </c>
      <c r="D2031" t="s">
        <v>1264</v>
      </c>
      <c r="E2031">
        <v>100047</v>
      </c>
      <c r="F2031">
        <v>27400</v>
      </c>
      <c r="G2031" t="str">
        <f t="shared" si="171"/>
        <v>27400</v>
      </c>
      <c r="H2031" t="s">
        <v>486</v>
      </c>
      <c r="I2031" t="s">
        <v>1265</v>
      </c>
      <c r="J2031" t="s">
        <v>1271</v>
      </c>
      <c r="K2031" t="s">
        <v>1272</v>
      </c>
      <c r="L2031" t="s">
        <v>1401</v>
      </c>
      <c r="M2031" t="s">
        <v>1422</v>
      </c>
      <c r="N2031">
        <v>1</v>
      </c>
      <c r="O2031" t="str">
        <f t="shared" si="174"/>
        <v>35</v>
      </c>
      <c r="Q2031">
        <v>35</v>
      </c>
      <c r="R2031" t="s">
        <v>1269</v>
      </c>
      <c r="S2031">
        <v>10.936</v>
      </c>
      <c r="T2031">
        <v>0.34</v>
      </c>
      <c r="U2031">
        <f t="shared" si="175"/>
        <v>0</v>
      </c>
      <c r="V2031" t="str">
        <f t="shared" si="172"/>
        <v>High Pupil Safety</v>
      </c>
      <c r="W2031" t="str">
        <f t="shared" si="173"/>
        <v>Pupil Safety</v>
      </c>
    </row>
    <row r="2032" spans="1:23" x14ac:dyDescent="0.25">
      <c r="A2032">
        <v>27400</v>
      </c>
      <c r="B2032" t="s">
        <v>1275</v>
      </c>
      <c r="C2032">
        <v>18.474</v>
      </c>
      <c r="D2032" t="s">
        <v>1264</v>
      </c>
      <c r="E2032">
        <v>100047</v>
      </c>
      <c r="F2032">
        <v>27400</v>
      </c>
      <c r="G2032" t="str">
        <f t="shared" si="171"/>
        <v>27400</v>
      </c>
      <c r="H2032" t="s">
        <v>486</v>
      </c>
      <c r="I2032" t="s">
        <v>1265</v>
      </c>
      <c r="J2032" t="s">
        <v>1276</v>
      </c>
      <c r="K2032" t="s">
        <v>1277</v>
      </c>
      <c r="L2032" t="s">
        <v>1275</v>
      </c>
      <c r="M2032" t="s">
        <v>1278</v>
      </c>
      <c r="N2032">
        <v>1</v>
      </c>
      <c r="O2032" t="str">
        <f t="shared" si="174"/>
        <v>42</v>
      </c>
      <c r="P2032">
        <v>42</v>
      </c>
      <c r="R2032" t="s">
        <v>1269</v>
      </c>
      <c r="S2032">
        <v>18.474</v>
      </c>
      <c r="T2032">
        <v>0.34</v>
      </c>
      <c r="U2032">
        <f t="shared" si="175"/>
        <v>0</v>
      </c>
      <c r="V2032" t="str">
        <f t="shared" si="172"/>
        <v>Elementary Counselor</v>
      </c>
      <c r="W2032" t="str">
        <f t="shared" si="173"/>
        <v>Counselor</v>
      </c>
    </row>
    <row r="2033" spans="1:23" x14ac:dyDescent="0.25">
      <c r="A2033">
        <v>27400</v>
      </c>
      <c r="B2033" t="s">
        <v>1385</v>
      </c>
      <c r="C2033">
        <v>1</v>
      </c>
      <c r="D2033" t="s">
        <v>1264</v>
      </c>
      <c r="E2033">
        <v>100047</v>
      </c>
      <c r="F2033">
        <v>27400</v>
      </c>
      <c r="G2033" t="str">
        <f t="shared" si="171"/>
        <v>27400</v>
      </c>
      <c r="H2033" t="s">
        <v>486</v>
      </c>
      <c r="I2033" t="s">
        <v>1265</v>
      </c>
      <c r="J2033" t="s">
        <v>1271</v>
      </c>
      <c r="K2033" t="s">
        <v>1272</v>
      </c>
      <c r="L2033" t="s">
        <v>1385</v>
      </c>
      <c r="M2033" t="s">
        <v>1421</v>
      </c>
      <c r="N2033">
        <v>21</v>
      </c>
      <c r="O2033" t="str">
        <f t="shared" si="174"/>
        <v>42</v>
      </c>
      <c r="P2033">
        <v>42</v>
      </c>
      <c r="R2033" t="s">
        <v>1269</v>
      </c>
      <c r="S2033">
        <v>1</v>
      </c>
      <c r="T2033">
        <v>0.34</v>
      </c>
      <c r="U2033">
        <f t="shared" si="175"/>
        <v>0.34</v>
      </c>
      <c r="V2033" t="str">
        <f t="shared" si="172"/>
        <v>High Counselor</v>
      </c>
      <c r="W2033" t="str">
        <f t="shared" si="173"/>
        <v>Counselor</v>
      </c>
    </row>
    <row r="2034" spans="1:23" x14ac:dyDescent="0.25">
      <c r="A2034">
        <v>27400</v>
      </c>
      <c r="B2034" t="s">
        <v>1270</v>
      </c>
      <c r="C2034">
        <v>6.5709999999999997</v>
      </c>
      <c r="D2034" t="s">
        <v>1264</v>
      </c>
      <c r="E2034">
        <v>100047</v>
      </c>
      <c r="F2034">
        <v>27400</v>
      </c>
      <c r="G2034" t="str">
        <f t="shared" si="171"/>
        <v>27400</v>
      </c>
      <c r="H2034" t="s">
        <v>486</v>
      </c>
      <c r="I2034" t="s">
        <v>1265</v>
      </c>
      <c r="J2034" t="s">
        <v>1271</v>
      </c>
      <c r="K2034" t="s">
        <v>1272</v>
      </c>
      <c r="L2034" t="s">
        <v>1270</v>
      </c>
      <c r="M2034" t="s">
        <v>1273</v>
      </c>
      <c r="N2034">
        <v>1</v>
      </c>
      <c r="O2034" t="str">
        <f t="shared" si="174"/>
        <v>42</v>
      </c>
      <c r="P2034">
        <v>42</v>
      </c>
      <c r="R2034" t="s">
        <v>1269</v>
      </c>
      <c r="S2034">
        <v>6.5709999999999997</v>
      </c>
      <c r="T2034">
        <v>0.34</v>
      </c>
      <c r="U2034">
        <f t="shared" si="175"/>
        <v>0</v>
      </c>
      <c r="V2034" t="str">
        <f t="shared" si="172"/>
        <v>High Counselor</v>
      </c>
      <c r="W2034" t="str">
        <f t="shared" si="173"/>
        <v>Counselor</v>
      </c>
    </row>
    <row r="2035" spans="1:23" x14ac:dyDescent="0.25">
      <c r="A2035">
        <v>27400</v>
      </c>
      <c r="B2035" t="s">
        <v>1263</v>
      </c>
      <c r="C2035">
        <v>4.9550000000000001</v>
      </c>
      <c r="D2035" t="s">
        <v>1264</v>
      </c>
      <c r="E2035">
        <v>100047</v>
      </c>
      <c r="F2035">
        <v>27400</v>
      </c>
      <c r="G2035" t="str">
        <f t="shared" si="171"/>
        <v>27400</v>
      </c>
      <c r="H2035" t="s">
        <v>486</v>
      </c>
      <c r="I2035" t="s">
        <v>1265</v>
      </c>
      <c r="J2035" t="s">
        <v>1266</v>
      </c>
      <c r="K2035" t="s">
        <v>1267</v>
      </c>
      <c r="L2035" t="s">
        <v>1263</v>
      </c>
      <c r="M2035" t="s">
        <v>1268</v>
      </c>
      <c r="N2035">
        <v>1</v>
      </c>
      <c r="O2035" t="str">
        <f t="shared" si="174"/>
        <v>42</v>
      </c>
      <c r="P2035">
        <v>42</v>
      </c>
      <c r="R2035" t="s">
        <v>1269</v>
      </c>
      <c r="S2035">
        <v>4.9550000000000001</v>
      </c>
      <c r="T2035">
        <v>0.34</v>
      </c>
      <c r="U2035">
        <f t="shared" si="175"/>
        <v>0</v>
      </c>
      <c r="V2035" t="str">
        <f t="shared" si="172"/>
        <v>Middle Counselor</v>
      </c>
      <c r="W2035" t="str">
        <f t="shared" si="173"/>
        <v>Counselor</v>
      </c>
    </row>
    <row r="2036" spans="1:23" x14ac:dyDescent="0.25">
      <c r="A2036">
        <v>27400</v>
      </c>
      <c r="B2036" t="s">
        <v>1387</v>
      </c>
      <c r="C2036">
        <v>9</v>
      </c>
      <c r="D2036" t="s">
        <v>1264</v>
      </c>
      <c r="E2036">
        <v>100047</v>
      </c>
      <c r="F2036">
        <v>27400</v>
      </c>
      <c r="G2036" t="str">
        <f t="shared" si="171"/>
        <v>27400</v>
      </c>
      <c r="H2036" t="s">
        <v>486</v>
      </c>
      <c r="I2036" t="s">
        <v>1265</v>
      </c>
      <c r="J2036" t="s">
        <v>1271</v>
      </c>
      <c r="K2036" t="s">
        <v>1272</v>
      </c>
      <c r="L2036" t="s">
        <v>1387</v>
      </c>
      <c r="M2036" t="s">
        <v>1406</v>
      </c>
      <c r="N2036">
        <v>21</v>
      </c>
      <c r="O2036" t="str">
        <f t="shared" si="174"/>
        <v>43</v>
      </c>
      <c r="P2036">
        <v>43</v>
      </c>
      <c r="R2036" t="s">
        <v>1269</v>
      </c>
      <c r="S2036">
        <v>9</v>
      </c>
      <c r="T2036">
        <v>0.34</v>
      </c>
      <c r="U2036">
        <f t="shared" si="175"/>
        <v>3.06</v>
      </c>
      <c r="V2036" t="str">
        <f t="shared" si="172"/>
        <v>High Occupational Therapist</v>
      </c>
      <c r="W2036" t="str">
        <f t="shared" si="173"/>
        <v>Occupational Therapist</v>
      </c>
    </row>
    <row r="2037" spans="1:23" x14ac:dyDescent="0.25">
      <c r="A2037">
        <v>27400</v>
      </c>
      <c r="B2037" t="s">
        <v>1390</v>
      </c>
      <c r="C2037">
        <v>1</v>
      </c>
      <c r="D2037" t="s">
        <v>1264</v>
      </c>
      <c r="E2037">
        <v>100047</v>
      </c>
      <c r="F2037">
        <v>27400</v>
      </c>
      <c r="G2037" t="str">
        <f t="shared" si="171"/>
        <v>27400</v>
      </c>
      <c r="H2037" t="s">
        <v>486</v>
      </c>
      <c r="I2037" t="s">
        <v>1265</v>
      </c>
      <c r="J2037" t="s">
        <v>1271</v>
      </c>
      <c r="K2037" t="s">
        <v>1272</v>
      </c>
      <c r="L2037" t="s">
        <v>1390</v>
      </c>
      <c r="M2037" t="s">
        <v>1417</v>
      </c>
      <c r="N2037">
        <v>21</v>
      </c>
      <c r="O2037" t="str">
        <f t="shared" si="174"/>
        <v>44</v>
      </c>
      <c r="P2037">
        <v>44</v>
      </c>
      <c r="R2037" t="s">
        <v>1269</v>
      </c>
      <c r="S2037">
        <v>1</v>
      </c>
      <c r="T2037">
        <v>0.34</v>
      </c>
      <c r="U2037">
        <f t="shared" si="175"/>
        <v>0.34</v>
      </c>
      <c r="V2037" t="str">
        <f t="shared" si="172"/>
        <v>High Social Worker</v>
      </c>
      <c r="W2037" t="str">
        <f t="shared" si="173"/>
        <v>Social Worker</v>
      </c>
    </row>
    <row r="2038" spans="1:23" x14ac:dyDescent="0.25">
      <c r="A2038">
        <v>27400</v>
      </c>
      <c r="B2038" t="s">
        <v>1326</v>
      </c>
      <c r="C2038">
        <v>8</v>
      </c>
      <c r="D2038" t="s">
        <v>1264</v>
      </c>
      <c r="E2038">
        <v>100047</v>
      </c>
      <c r="F2038">
        <v>27400</v>
      </c>
      <c r="G2038" t="str">
        <f t="shared" si="171"/>
        <v>27400</v>
      </c>
      <c r="H2038" t="s">
        <v>486</v>
      </c>
      <c r="I2038" t="s">
        <v>1265</v>
      </c>
      <c r="J2038" t="s">
        <v>1271</v>
      </c>
      <c r="K2038" t="s">
        <v>1272</v>
      </c>
      <c r="L2038" t="s">
        <v>1326</v>
      </c>
      <c r="M2038" t="s">
        <v>1353</v>
      </c>
      <c r="N2038">
        <v>21</v>
      </c>
      <c r="O2038" t="str">
        <f t="shared" si="174"/>
        <v>45</v>
      </c>
      <c r="P2038">
        <v>45</v>
      </c>
      <c r="R2038" t="s">
        <v>1269</v>
      </c>
      <c r="S2038">
        <v>8</v>
      </c>
      <c r="T2038">
        <v>0.34</v>
      </c>
      <c r="U2038">
        <f t="shared" si="175"/>
        <v>2.72</v>
      </c>
      <c r="V2038" t="str">
        <f t="shared" si="172"/>
        <v>High Speech, Language Pathway/
Audio</v>
      </c>
      <c r="W2038" t="str">
        <f t="shared" si="173"/>
        <v>Speech, Language Pathway/
Audio</v>
      </c>
    </row>
    <row r="2039" spans="1:23" x14ac:dyDescent="0.25">
      <c r="A2039">
        <v>27400</v>
      </c>
      <c r="B2039" t="s">
        <v>1309</v>
      </c>
      <c r="C2039">
        <v>3</v>
      </c>
      <c r="D2039" t="s">
        <v>1264</v>
      </c>
      <c r="E2039">
        <v>100047</v>
      </c>
      <c r="F2039">
        <v>27400</v>
      </c>
      <c r="G2039" t="str">
        <f t="shared" si="171"/>
        <v>27400</v>
      </c>
      <c r="H2039" t="s">
        <v>486</v>
      </c>
      <c r="I2039" t="s">
        <v>1265</v>
      </c>
      <c r="J2039" t="s">
        <v>1271</v>
      </c>
      <c r="K2039" t="s">
        <v>1272</v>
      </c>
      <c r="L2039" t="s">
        <v>1309</v>
      </c>
      <c r="M2039" t="s">
        <v>1310</v>
      </c>
      <c r="N2039">
        <v>21</v>
      </c>
      <c r="O2039" t="str">
        <f t="shared" si="174"/>
        <v>46</v>
      </c>
      <c r="P2039">
        <v>46</v>
      </c>
      <c r="R2039" t="s">
        <v>1269</v>
      </c>
      <c r="S2039">
        <v>3</v>
      </c>
      <c r="T2039">
        <v>0.34</v>
      </c>
      <c r="U2039">
        <f t="shared" si="175"/>
        <v>1.02</v>
      </c>
      <c r="V2039" t="str">
        <f t="shared" si="172"/>
        <v>High Psychologist</v>
      </c>
      <c r="W2039" t="str">
        <f t="shared" si="173"/>
        <v>Psychologist</v>
      </c>
    </row>
    <row r="2040" spans="1:23" x14ac:dyDescent="0.25">
      <c r="A2040">
        <v>27400</v>
      </c>
      <c r="B2040" t="s">
        <v>1334</v>
      </c>
      <c r="C2040">
        <v>0.2</v>
      </c>
      <c r="D2040" t="s">
        <v>1264</v>
      </c>
      <c r="E2040">
        <v>100047</v>
      </c>
      <c r="F2040">
        <v>27400</v>
      </c>
      <c r="G2040" t="str">
        <f t="shared" si="171"/>
        <v>27400</v>
      </c>
      <c r="H2040" t="s">
        <v>486</v>
      </c>
      <c r="I2040" t="s">
        <v>1265</v>
      </c>
      <c r="J2040" t="s">
        <v>1276</v>
      </c>
      <c r="K2040" t="s">
        <v>1277</v>
      </c>
      <c r="L2040" t="s">
        <v>1334</v>
      </c>
      <c r="M2040" t="s">
        <v>1413</v>
      </c>
      <c r="N2040">
        <v>21</v>
      </c>
      <c r="O2040" t="str">
        <f t="shared" si="174"/>
        <v>47</v>
      </c>
      <c r="P2040">
        <v>47</v>
      </c>
      <c r="R2040" t="s">
        <v>1269</v>
      </c>
      <c r="S2040">
        <v>0.2</v>
      </c>
      <c r="T2040">
        <v>0.34</v>
      </c>
      <c r="U2040">
        <f t="shared" si="175"/>
        <v>6.8000000000000005E-2</v>
      </c>
      <c r="V2040" t="str">
        <f t="shared" si="172"/>
        <v>Elementary Nurse</v>
      </c>
      <c r="W2040" t="str">
        <f t="shared" si="173"/>
        <v>Nurse</v>
      </c>
    </row>
    <row r="2041" spans="1:23" x14ac:dyDescent="0.25">
      <c r="A2041">
        <v>27400</v>
      </c>
      <c r="B2041" t="s">
        <v>1335</v>
      </c>
      <c r="C2041">
        <v>1.333</v>
      </c>
      <c r="D2041" t="s">
        <v>1264</v>
      </c>
      <c r="E2041">
        <v>100047</v>
      </c>
      <c r="F2041">
        <v>27400</v>
      </c>
      <c r="G2041" t="str">
        <f t="shared" si="171"/>
        <v>27400</v>
      </c>
      <c r="H2041" t="s">
        <v>486</v>
      </c>
      <c r="I2041" t="s">
        <v>1265</v>
      </c>
      <c r="J2041" t="s">
        <v>1276</v>
      </c>
      <c r="K2041" t="s">
        <v>1277</v>
      </c>
      <c r="L2041" t="s">
        <v>1335</v>
      </c>
      <c r="M2041" t="s">
        <v>1344</v>
      </c>
      <c r="N2041">
        <v>1</v>
      </c>
      <c r="O2041" t="str">
        <f t="shared" si="174"/>
        <v>47</v>
      </c>
      <c r="P2041">
        <v>47</v>
      </c>
      <c r="R2041" t="s">
        <v>1269</v>
      </c>
      <c r="S2041">
        <v>1.333</v>
      </c>
      <c r="T2041">
        <v>0.34</v>
      </c>
      <c r="U2041">
        <f t="shared" si="175"/>
        <v>0</v>
      </c>
      <c r="V2041" t="str">
        <f t="shared" si="172"/>
        <v>Elementary Nurse</v>
      </c>
      <c r="W2041" t="str">
        <f t="shared" si="173"/>
        <v>Nurse</v>
      </c>
    </row>
    <row r="2042" spans="1:23" x14ac:dyDescent="0.25">
      <c r="A2042">
        <v>27400</v>
      </c>
      <c r="B2042" t="s">
        <v>1341</v>
      </c>
      <c r="C2042">
        <v>9.5</v>
      </c>
      <c r="D2042" t="s">
        <v>1264</v>
      </c>
      <c r="E2042">
        <v>100047</v>
      </c>
      <c r="F2042">
        <v>27400</v>
      </c>
      <c r="G2042" t="str">
        <f t="shared" si="171"/>
        <v>27400</v>
      </c>
      <c r="H2042" t="s">
        <v>486</v>
      </c>
      <c r="I2042" t="s">
        <v>1265</v>
      </c>
      <c r="J2042" t="s">
        <v>1271</v>
      </c>
      <c r="K2042" t="s">
        <v>1272</v>
      </c>
      <c r="L2042" t="s">
        <v>1341</v>
      </c>
      <c r="M2042" t="s">
        <v>1342</v>
      </c>
      <c r="N2042">
        <v>1</v>
      </c>
      <c r="O2042" t="str">
        <f t="shared" si="174"/>
        <v>47</v>
      </c>
      <c r="P2042">
        <v>47</v>
      </c>
      <c r="R2042" t="s">
        <v>1269</v>
      </c>
      <c r="S2042">
        <v>9.5</v>
      </c>
      <c r="T2042">
        <v>0.34</v>
      </c>
      <c r="U2042">
        <f t="shared" si="175"/>
        <v>0</v>
      </c>
      <c r="V2042" t="str">
        <f t="shared" si="172"/>
        <v>High Nurse</v>
      </c>
      <c r="W2042" t="str">
        <f t="shared" si="173"/>
        <v>Nurse</v>
      </c>
    </row>
    <row r="2043" spans="1:23" x14ac:dyDescent="0.25">
      <c r="A2043">
        <v>27400</v>
      </c>
      <c r="B2043" t="s">
        <v>1338</v>
      </c>
      <c r="C2043">
        <v>0.66700000000000004</v>
      </c>
      <c r="D2043" t="s">
        <v>1264</v>
      </c>
      <c r="E2043">
        <v>100047</v>
      </c>
      <c r="F2043">
        <v>27400</v>
      </c>
      <c r="G2043" t="str">
        <f t="shared" si="171"/>
        <v>27400</v>
      </c>
      <c r="H2043" t="s">
        <v>486</v>
      </c>
      <c r="I2043" t="s">
        <v>1265</v>
      </c>
      <c r="J2043" t="s">
        <v>1266</v>
      </c>
      <c r="K2043" t="s">
        <v>1267</v>
      </c>
      <c r="L2043" t="s">
        <v>1338</v>
      </c>
      <c r="M2043" t="s">
        <v>1339</v>
      </c>
      <c r="N2043">
        <v>1</v>
      </c>
      <c r="O2043" t="str">
        <f t="shared" si="174"/>
        <v>47</v>
      </c>
      <c r="P2043">
        <v>47</v>
      </c>
      <c r="R2043" t="s">
        <v>1269</v>
      </c>
      <c r="S2043">
        <v>0.66700000000000004</v>
      </c>
      <c r="T2043">
        <v>0.34</v>
      </c>
      <c r="U2043">
        <f t="shared" si="175"/>
        <v>0</v>
      </c>
      <c r="V2043" t="str">
        <f t="shared" si="172"/>
        <v>Middle Nurse</v>
      </c>
      <c r="W2043" t="str">
        <f t="shared" si="173"/>
        <v>Nurse</v>
      </c>
    </row>
    <row r="2044" spans="1:23" x14ac:dyDescent="0.25">
      <c r="A2044">
        <v>27400</v>
      </c>
      <c r="B2044" t="s">
        <v>1330</v>
      </c>
      <c r="C2044">
        <v>4.5</v>
      </c>
      <c r="D2044" t="s">
        <v>1264</v>
      </c>
      <c r="E2044">
        <v>100047</v>
      </c>
      <c r="F2044">
        <v>27400</v>
      </c>
      <c r="G2044" t="str">
        <f t="shared" si="171"/>
        <v>27400</v>
      </c>
      <c r="H2044" t="s">
        <v>486</v>
      </c>
      <c r="I2044" t="s">
        <v>1265</v>
      </c>
      <c r="J2044" t="s">
        <v>1271</v>
      </c>
      <c r="K2044" t="s">
        <v>1272</v>
      </c>
      <c r="L2044" t="s">
        <v>1330</v>
      </c>
      <c r="M2044" t="s">
        <v>1367</v>
      </c>
      <c r="N2044">
        <v>21</v>
      </c>
      <c r="O2044" t="str">
        <f t="shared" si="174"/>
        <v>48</v>
      </c>
      <c r="P2044">
        <v>48</v>
      </c>
      <c r="R2044" t="s">
        <v>1269</v>
      </c>
      <c r="S2044">
        <v>4.5</v>
      </c>
      <c r="T2044">
        <v>0.34</v>
      </c>
      <c r="U2044">
        <f t="shared" si="175"/>
        <v>1.53</v>
      </c>
      <c r="V2044" t="str">
        <f t="shared" si="172"/>
        <v>High Physical Therapist</v>
      </c>
      <c r="W2044" t="str">
        <f t="shared" si="173"/>
        <v>Physical Therapist</v>
      </c>
    </row>
    <row r="2045" spans="1:23" x14ac:dyDescent="0.25">
      <c r="A2045">
        <v>27401</v>
      </c>
      <c r="B2045" t="s">
        <v>1299</v>
      </c>
      <c r="C2045">
        <v>17.452000000000002</v>
      </c>
      <c r="D2045" t="s">
        <v>1264</v>
      </c>
      <c r="E2045">
        <v>100199</v>
      </c>
      <c r="F2045">
        <v>27401</v>
      </c>
      <c r="G2045" t="str">
        <f t="shared" si="171"/>
        <v>27401</v>
      </c>
      <c r="H2045" t="s">
        <v>487</v>
      </c>
      <c r="I2045" t="s">
        <v>1265</v>
      </c>
      <c r="J2045" t="s">
        <v>1271</v>
      </c>
      <c r="K2045" t="s">
        <v>1272</v>
      </c>
      <c r="L2045" t="s">
        <v>1299</v>
      </c>
      <c r="M2045" t="s">
        <v>1300</v>
      </c>
      <c r="N2045">
        <v>1</v>
      </c>
      <c r="O2045" t="str">
        <f t="shared" si="174"/>
        <v>25</v>
      </c>
      <c r="Q2045">
        <v>25</v>
      </c>
      <c r="R2045" t="s">
        <v>1269</v>
      </c>
      <c r="S2045">
        <v>17.452000000000002</v>
      </c>
      <c r="T2045">
        <v>0.2195</v>
      </c>
      <c r="U2045">
        <f t="shared" si="175"/>
        <v>0</v>
      </c>
      <c r="V2045" t="str">
        <f t="shared" si="172"/>
        <v>High Pupil Management</v>
      </c>
      <c r="W2045" t="str">
        <f t="shared" si="173"/>
        <v>Pupil Management</v>
      </c>
    </row>
    <row r="2046" spans="1:23" x14ac:dyDescent="0.25">
      <c r="A2046">
        <v>27401</v>
      </c>
      <c r="B2046" t="s">
        <v>1324</v>
      </c>
      <c r="C2046">
        <v>2.4990000000000001</v>
      </c>
      <c r="D2046" t="s">
        <v>1264</v>
      </c>
      <c r="E2046">
        <v>100199</v>
      </c>
      <c r="F2046">
        <v>27401</v>
      </c>
      <c r="G2046" t="str">
        <f t="shared" si="171"/>
        <v>27401</v>
      </c>
      <c r="H2046" t="s">
        <v>487</v>
      </c>
      <c r="I2046" t="s">
        <v>1265</v>
      </c>
      <c r="J2046" t="s">
        <v>1271</v>
      </c>
      <c r="K2046" t="s">
        <v>1272</v>
      </c>
      <c r="L2046" t="s">
        <v>1324</v>
      </c>
      <c r="M2046" t="s">
        <v>1325</v>
      </c>
      <c r="N2046">
        <v>21</v>
      </c>
      <c r="O2046" t="str">
        <f t="shared" si="174"/>
        <v>26</v>
      </c>
      <c r="Q2046">
        <v>26</v>
      </c>
      <c r="R2046" t="s">
        <v>1269</v>
      </c>
      <c r="S2046">
        <v>2.4990000000000001</v>
      </c>
      <c r="T2046">
        <v>0.2195</v>
      </c>
      <c r="U2046">
        <f t="shared" si="175"/>
        <v>0.54900000000000004</v>
      </c>
      <c r="V2046" t="str">
        <f t="shared" si="172"/>
        <v>High Health/
Related Services</v>
      </c>
      <c r="W2046" t="str">
        <f t="shared" si="173"/>
        <v>Health/
Related Services</v>
      </c>
    </row>
    <row r="2047" spans="1:23" x14ac:dyDescent="0.25">
      <c r="A2047">
        <v>27401</v>
      </c>
      <c r="B2047" t="s">
        <v>1295</v>
      </c>
      <c r="C2047">
        <v>10.635999999999999</v>
      </c>
      <c r="D2047" t="s">
        <v>1264</v>
      </c>
      <c r="E2047">
        <v>100199</v>
      </c>
      <c r="F2047">
        <v>27401</v>
      </c>
      <c r="G2047" t="str">
        <f t="shared" si="171"/>
        <v>27401</v>
      </c>
      <c r="H2047" t="s">
        <v>487</v>
      </c>
      <c r="I2047" t="s">
        <v>1265</v>
      </c>
      <c r="J2047" t="s">
        <v>1271</v>
      </c>
      <c r="K2047" t="s">
        <v>1272</v>
      </c>
      <c r="L2047" t="s">
        <v>1295</v>
      </c>
      <c r="M2047" t="s">
        <v>1296</v>
      </c>
      <c r="N2047">
        <v>1</v>
      </c>
      <c r="O2047" t="str">
        <f t="shared" si="174"/>
        <v>26</v>
      </c>
      <c r="Q2047">
        <v>26</v>
      </c>
      <c r="R2047" t="s">
        <v>1269</v>
      </c>
      <c r="S2047">
        <v>10.635999999999999</v>
      </c>
      <c r="T2047">
        <v>0.2195</v>
      </c>
      <c r="U2047">
        <f t="shared" si="175"/>
        <v>0</v>
      </c>
      <c r="V2047" t="str">
        <f t="shared" si="172"/>
        <v>High Health/
Related Services</v>
      </c>
      <c r="W2047" t="str">
        <f t="shared" si="173"/>
        <v>Health/
Related Services</v>
      </c>
    </row>
    <row r="2048" spans="1:23" x14ac:dyDescent="0.25">
      <c r="A2048">
        <v>27401</v>
      </c>
      <c r="B2048" t="s">
        <v>1275</v>
      </c>
      <c r="C2048">
        <v>13.079000000000001</v>
      </c>
      <c r="D2048" t="s">
        <v>1264</v>
      </c>
      <c r="E2048">
        <v>100199</v>
      </c>
      <c r="F2048">
        <v>27401</v>
      </c>
      <c r="G2048" t="str">
        <f t="shared" si="171"/>
        <v>27401</v>
      </c>
      <c r="H2048" t="s">
        <v>487</v>
      </c>
      <c r="I2048" t="s">
        <v>1265</v>
      </c>
      <c r="J2048" t="s">
        <v>1276</v>
      </c>
      <c r="K2048" t="s">
        <v>1277</v>
      </c>
      <c r="L2048" t="s">
        <v>1275</v>
      </c>
      <c r="M2048" t="s">
        <v>1278</v>
      </c>
      <c r="N2048">
        <v>1</v>
      </c>
      <c r="O2048" t="str">
        <f t="shared" si="174"/>
        <v>42</v>
      </c>
      <c r="P2048">
        <v>42</v>
      </c>
      <c r="R2048" t="s">
        <v>1269</v>
      </c>
      <c r="S2048">
        <v>13.079000000000001</v>
      </c>
      <c r="T2048">
        <v>0.2195</v>
      </c>
      <c r="U2048">
        <f t="shared" si="175"/>
        <v>0</v>
      </c>
      <c r="V2048" t="str">
        <f t="shared" si="172"/>
        <v>Elementary Counselor</v>
      </c>
      <c r="W2048" t="str">
        <f t="shared" si="173"/>
        <v>Counselor</v>
      </c>
    </row>
    <row r="2049" spans="1:23" x14ac:dyDescent="0.25">
      <c r="A2049">
        <v>27401</v>
      </c>
      <c r="B2049" t="s">
        <v>1270</v>
      </c>
      <c r="C2049">
        <v>11.25</v>
      </c>
      <c r="D2049" t="s">
        <v>1264</v>
      </c>
      <c r="E2049">
        <v>100199</v>
      </c>
      <c r="F2049">
        <v>27401</v>
      </c>
      <c r="G2049" t="str">
        <f t="shared" si="171"/>
        <v>27401</v>
      </c>
      <c r="H2049" t="s">
        <v>487</v>
      </c>
      <c r="I2049" t="s">
        <v>1265</v>
      </c>
      <c r="J2049" t="s">
        <v>1271</v>
      </c>
      <c r="K2049" t="s">
        <v>1272</v>
      </c>
      <c r="L2049" t="s">
        <v>1270</v>
      </c>
      <c r="M2049" t="s">
        <v>1273</v>
      </c>
      <c r="N2049">
        <v>1</v>
      </c>
      <c r="O2049" t="str">
        <f t="shared" si="174"/>
        <v>42</v>
      </c>
      <c r="P2049">
        <v>42</v>
      </c>
      <c r="R2049" t="s">
        <v>1269</v>
      </c>
      <c r="S2049">
        <v>11.25</v>
      </c>
      <c r="T2049">
        <v>0.2195</v>
      </c>
      <c r="U2049">
        <f t="shared" si="175"/>
        <v>0</v>
      </c>
      <c r="V2049" t="str">
        <f t="shared" si="172"/>
        <v>High Counselor</v>
      </c>
      <c r="W2049" t="str">
        <f t="shared" si="173"/>
        <v>Counselor</v>
      </c>
    </row>
    <row r="2050" spans="1:23" x14ac:dyDescent="0.25">
      <c r="A2050">
        <v>27401</v>
      </c>
      <c r="B2050" t="s">
        <v>1263</v>
      </c>
      <c r="C2050">
        <v>5.4710000000000001</v>
      </c>
      <c r="D2050" t="s">
        <v>1264</v>
      </c>
      <c r="E2050">
        <v>100199</v>
      </c>
      <c r="F2050">
        <v>27401</v>
      </c>
      <c r="G2050" t="str">
        <f t="shared" ref="G2050:G2113" si="176">TEXT(F2050,"00000")</f>
        <v>27401</v>
      </c>
      <c r="H2050" t="s">
        <v>487</v>
      </c>
      <c r="I2050" t="s">
        <v>1265</v>
      </c>
      <c r="J2050" t="s">
        <v>1266</v>
      </c>
      <c r="K2050" t="s">
        <v>1267</v>
      </c>
      <c r="L2050" t="s">
        <v>1263</v>
      </c>
      <c r="M2050" t="s">
        <v>1268</v>
      </c>
      <c r="N2050">
        <v>1</v>
      </c>
      <c r="O2050" t="str">
        <f t="shared" si="174"/>
        <v>42</v>
      </c>
      <c r="P2050">
        <v>42</v>
      </c>
      <c r="R2050" t="s">
        <v>1269</v>
      </c>
      <c r="S2050">
        <v>5.4710000000000001</v>
      </c>
      <c r="T2050">
        <v>0.2195</v>
      </c>
      <c r="U2050">
        <f t="shared" si="175"/>
        <v>0</v>
      </c>
      <c r="V2050" t="str">
        <f t="shared" ref="V2050:V2113" si="177">_xlfn.XLOOKUP(L2050,$BV:$BV,$BT:$BT,,0)</f>
        <v>Middle Counselor</v>
      </c>
      <c r="W2050" t="str">
        <f t="shared" ref="W2050:W2113" si="178">_xlfn.TEXTAFTER(V2050," ")</f>
        <v>Counselor</v>
      </c>
    </row>
    <row r="2051" spans="1:23" x14ac:dyDescent="0.25">
      <c r="A2051">
        <v>27401</v>
      </c>
      <c r="B2051" t="s">
        <v>1289</v>
      </c>
      <c r="C2051">
        <v>6.6520000000000001</v>
      </c>
      <c r="D2051" t="s">
        <v>1264</v>
      </c>
      <c r="E2051">
        <v>100199</v>
      </c>
      <c r="F2051">
        <v>27401</v>
      </c>
      <c r="G2051" t="str">
        <f t="shared" si="176"/>
        <v>27401</v>
      </c>
      <c r="H2051" t="s">
        <v>487</v>
      </c>
      <c r="I2051" t="s">
        <v>1265</v>
      </c>
      <c r="J2051" t="s">
        <v>1276</v>
      </c>
      <c r="K2051" t="s">
        <v>1277</v>
      </c>
      <c r="L2051" t="s">
        <v>1289</v>
      </c>
      <c r="M2051" t="s">
        <v>1307</v>
      </c>
      <c r="N2051">
        <v>21</v>
      </c>
      <c r="O2051" t="str">
        <f t="shared" ref="O2051:O2114" si="179">MID(L2051,3,2)</f>
        <v>43</v>
      </c>
      <c r="P2051">
        <v>43</v>
      </c>
      <c r="R2051" t="s">
        <v>1269</v>
      </c>
      <c r="S2051">
        <v>6.6520000000000001</v>
      </c>
      <c r="T2051">
        <v>0.2195</v>
      </c>
      <c r="U2051">
        <f t="shared" ref="U2051:U2114" si="180">IF(N2051=21,ROUND(T2051*S2051,3),0)</f>
        <v>1.46</v>
      </c>
      <c r="V2051" t="str">
        <f t="shared" si="177"/>
        <v>Elementary Occupational Therapist</v>
      </c>
      <c r="W2051" t="str">
        <f t="shared" si="178"/>
        <v>Occupational Therapist</v>
      </c>
    </row>
    <row r="2052" spans="1:23" x14ac:dyDescent="0.25">
      <c r="A2052">
        <v>27401</v>
      </c>
      <c r="B2052" t="s">
        <v>1387</v>
      </c>
      <c r="C2052">
        <v>0.93100000000000005</v>
      </c>
      <c r="D2052" t="s">
        <v>1264</v>
      </c>
      <c r="E2052">
        <v>100199</v>
      </c>
      <c r="F2052">
        <v>27401</v>
      </c>
      <c r="G2052" t="str">
        <f t="shared" si="176"/>
        <v>27401</v>
      </c>
      <c r="H2052" t="s">
        <v>487</v>
      </c>
      <c r="I2052" t="s">
        <v>1265</v>
      </c>
      <c r="J2052" t="s">
        <v>1271</v>
      </c>
      <c r="K2052" t="s">
        <v>1272</v>
      </c>
      <c r="L2052" t="s">
        <v>1387</v>
      </c>
      <c r="M2052" t="s">
        <v>1406</v>
      </c>
      <c r="N2052">
        <v>21</v>
      </c>
      <c r="O2052" t="str">
        <f t="shared" si="179"/>
        <v>43</v>
      </c>
      <c r="P2052">
        <v>43</v>
      </c>
      <c r="R2052" t="s">
        <v>1269</v>
      </c>
      <c r="S2052">
        <v>0.93100000000000005</v>
      </c>
      <c r="T2052">
        <v>0.2195</v>
      </c>
      <c r="U2052">
        <f t="shared" si="180"/>
        <v>0.20399999999999999</v>
      </c>
      <c r="V2052" t="str">
        <f t="shared" si="177"/>
        <v>High Occupational Therapist</v>
      </c>
      <c r="W2052" t="str">
        <f t="shared" si="178"/>
        <v>Occupational Therapist</v>
      </c>
    </row>
    <row r="2053" spans="1:23" x14ac:dyDescent="0.25">
      <c r="A2053">
        <v>27401</v>
      </c>
      <c r="B2053" t="s">
        <v>1303</v>
      </c>
      <c r="C2053">
        <v>0.81599999999999995</v>
      </c>
      <c r="D2053" t="s">
        <v>1264</v>
      </c>
      <c r="E2053">
        <v>100199</v>
      </c>
      <c r="F2053">
        <v>27401</v>
      </c>
      <c r="G2053" t="str">
        <f t="shared" si="176"/>
        <v>27401</v>
      </c>
      <c r="H2053" t="s">
        <v>487</v>
      </c>
      <c r="I2053" t="s">
        <v>1265</v>
      </c>
      <c r="J2053" t="s">
        <v>1266</v>
      </c>
      <c r="K2053" t="s">
        <v>1267</v>
      </c>
      <c r="L2053" t="s">
        <v>1303</v>
      </c>
      <c r="M2053" t="s">
        <v>1304</v>
      </c>
      <c r="N2053">
        <v>21</v>
      </c>
      <c r="O2053" t="str">
        <f t="shared" si="179"/>
        <v>43</v>
      </c>
      <c r="P2053">
        <v>43</v>
      </c>
      <c r="R2053" t="s">
        <v>1269</v>
      </c>
      <c r="S2053">
        <v>0.81599999999999995</v>
      </c>
      <c r="T2053">
        <v>0.2195</v>
      </c>
      <c r="U2053">
        <f t="shared" si="180"/>
        <v>0.17899999999999999</v>
      </c>
      <c r="V2053" t="str">
        <f t="shared" si="177"/>
        <v>Middle Occupational Therapist</v>
      </c>
      <c r="W2053" t="str">
        <f t="shared" si="178"/>
        <v>Occupational Therapist</v>
      </c>
    </row>
    <row r="2054" spans="1:23" x14ac:dyDescent="0.25">
      <c r="A2054">
        <v>27401</v>
      </c>
      <c r="B2054" t="s">
        <v>1329</v>
      </c>
      <c r="C2054">
        <v>0.44500000000000001</v>
      </c>
      <c r="D2054" t="s">
        <v>1264</v>
      </c>
      <c r="E2054">
        <v>100199</v>
      </c>
      <c r="F2054">
        <v>27401</v>
      </c>
      <c r="G2054" t="str">
        <f t="shared" si="176"/>
        <v>27401</v>
      </c>
      <c r="H2054" t="s">
        <v>487</v>
      </c>
      <c r="I2054" t="s">
        <v>1265</v>
      </c>
      <c r="J2054" t="s">
        <v>1276</v>
      </c>
      <c r="K2054" t="s">
        <v>1277</v>
      </c>
      <c r="L2054" t="s">
        <v>1329</v>
      </c>
      <c r="M2054" t="s">
        <v>1418</v>
      </c>
      <c r="N2054">
        <v>21</v>
      </c>
      <c r="O2054" t="str">
        <f t="shared" si="179"/>
        <v>44</v>
      </c>
      <c r="P2054">
        <v>44</v>
      </c>
      <c r="R2054" t="s">
        <v>1269</v>
      </c>
      <c r="S2054">
        <v>0.44500000000000001</v>
      </c>
      <c r="T2054">
        <v>0.2195</v>
      </c>
      <c r="U2054">
        <f t="shared" si="180"/>
        <v>9.8000000000000004E-2</v>
      </c>
      <c r="V2054" t="str">
        <f t="shared" si="177"/>
        <v>Elementary Social Worker</v>
      </c>
      <c r="W2054" t="str">
        <f t="shared" si="178"/>
        <v>Social Worker</v>
      </c>
    </row>
    <row r="2055" spans="1:23" x14ac:dyDescent="0.25">
      <c r="A2055">
        <v>27401</v>
      </c>
      <c r="B2055" t="s">
        <v>1390</v>
      </c>
      <c r="C2055">
        <v>0.33300000000000002</v>
      </c>
      <c r="D2055" t="s">
        <v>1264</v>
      </c>
      <c r="E2055">
        <v>100199</v>
      </c>
      <c r="F2055">
        <v>27401</v>
      </c>
      <c r="G2055" t="str">
        <f t="shared" si="176"/>
        <v>27401</v>
      </c>
      <c r="H2055" t="s">
        <v>487</v>
      </c>
      <c r="I2055" t="s">
        <v>1265</v>
      </c>
      <c r="J2055" t="s">
        <v>1271</v>
      </c>
      <c r="K2055" t="s">
        <v>1272</v>
      </c>
      <c r="L2055" t="s">
        <v>1390</v>
      </c>
      <c r="M2055" t="s">
        <v>1417</v>
      </c>
      <c r="N2055">
        <v>21</v>
      </c>
      <c r="O2055" t="str">
        <f t="shared" si="179"/>
        <v>44</v>
      </c>
      <c r="P2055">
        <v>44</v>
      </c>
      <c r="R2055" t="s">
        <v>1269</v>
      </c>
      <c r="S2055">
        <v>0.33300000000000002</v>
      </c>
      <c r="T2055">
        <v>0.2195</v>
      </c>
      <c r="U2055">
        <f t="shared" si="180"/>
        <v>7.2999999999999995E-2</v>
      </c>
      <c r="V2055" t="str">
        <f t="shared" si="177"/>
        <v>High Social Worker</v>
      </c>
      <c r="W2055" t="str">
        <f t="shared" si="178"/>
        <v>Social Worker</v>
      </c>
    </row>
    <row r="2056" spans="1:23" x14ac:dyDescent="0.25">
      <c r="A2056">
        <v>27401</v>
      </c>
      <c r="B2056" t="s">
        <v>1369</v>
      </c>
      <c r="C2056">
        <v>0.222</v>
      </c>
      <c r="D2056" t="s">
        <v>1264</v>
      </c>
      <c r="E2056">
        <v>100199</v>
      </c>
      <c r="F2056">
        <v>27401</v>
      </c>
      <c r="G2056" t="str">
        <f t="shared" si="176"/>
        <v>27401</v>
      </c>
      <c r="H2056" t="s">
        <v>487</v>
      </c>
      <c r="I2056" t="s">
        <v>1265</v>
      </c>
      <c r="J2056" t="s">
        <v>1266</v>
      </c>
      <c r="K2056" t="s">
        <v>1267</v>
      </c>
      <c r="L2056" t="s">
        <v>1369</v>
      </c>
      <c r="M2056" t="s">
        <v>1416</v>
      </c>
      <c r="N2056">
        <v>21</v>
      </c>
      <c r="O2056" t="str">
        <f t="shared" si="179"/>
        <v>44</v>
      </c>
      <c r="P2056">
        <v>44</v>
      </c>
      <c r="R2056" t="s">
        <v>1269</v>
      </c>
      <c r="S2056">
        <v>0.222</v>
      </c>
      <c r="T2056">
        <v>0.2195</v>
      </c>
      <c r="U2056">
        <f t="shared" si="180"/>
        <v>4.9000000000000002E-2</v>
      </c>
      <c r="V2056" t="str">
        <f t="shared" si="177"/>
        <v>Middle Social Worker</v>
      </c>
      <c r="W2056" t="str">
        <f t="shared" si="178"/>
        <v>Social Worker</v>
      </c>
    </row>
    <row r="2057" spans="1:23" x14ac:dyDescent="0.25">
      <c r="A2057">
        <v>27401</v>
      </c>
      <c r="B2057" t="s">
        <v>1294</v>
      </c>
      <c r="C2057">
        <v>14.04</v>
      </c>
      <c r="D2057" t="s">
        <v>1264</v>
      </c>
      <c r="E2057">
        <v>100199</v>
      </c>
      <c r="F2057">
        <v>27401</v>
      </c>
      <c r="G2057" t="str">
        <f t="shared" si="176"/>
        <v>27401</v>
      </c>
      <c r="H2057" t="s">
        <v>487</v>
      </c>
      <c r="I2057" t="s">
        <v>1265</v>
      </c>
      <c r="J2057" t="s">
        <v>1276</v>
      </c>
      <c r="K2057" t="s">
        <v>1277</v>
      </c>
      <c r="L2057" t="s">
        <v>1294</v>
      </c>
      <c r="M2057" t="s">
        <v>1354</v>
      </c>
      <c r="N2057">
        <v>21</v>
      </c>
      <c r="O2057" t="str">
        <f t="shared" si="179"/>
        <v>45</v>
      </c>
      <c r="P2057">
        <v>45</v>
      </c>
      <c r="R2057" t="s">
        <v>1269</v>
      </c>
      <c r="S2057">
        <v>14.04</v>
      </c>
      <c r="T2057">
        <v>0.2195</v>
      </c>
      <c r="U2057">
        <f t="shared" si="180"/>
        <v>3.0819999999999999</v>
      </c>
      <c r="V2057" t="str">
        <f t="shared" si="177"/>
        <v>Elementary Speech, Language Pathway/
Audio</v>
      </c>
      <c r="W2057" t="str">
        <f t="shared" si="178"/>
        <v>Speech, Language Pathway/
Audio</v>
      </c>
    </row>
    <row r="2058" spans="1:23" x14ac:dyDescent="0.25">
      <c r="A2058">
        <v>27401</v>
      </c>
      <c r="B2058" t="s">
        <v>1326</v>
      </c>
      <c r="C2058">
        <v>1.208</v>
      </c>
      <c r="D2058" t="s">
        <v>1264</v>
      </c>
      <c r="E2058">
        <v>100199</v>
      </c>
      <c r="F2058">
        <v>27401</v>
      </c>
      <c r="G2058" t="str">
        <f t="shared" si="176"/>
        <v>27401</v>
      </c>
      <c r="H2058" t="s">
        <v>487</v>
      </c>
      <c r="I2058" t="s">
        <v>1265</v>
      </c>
      <c r="J2058" t="s">
        <v>1271</v>
      </c>
      <c r="K2058" t="s">
        <v>1272</v>
      </c>
      <c r="L2058" t="s">
        <v>1326</v>
      </c>
      <c r="M2058" t="s">
        <v>1353</v>
      </c>
      <c r="N2058">
        <v>21</v>
      </c>
      <c r="O2058" t="str">
        <f t="shared" si="179"/>
        <v>45</v>
      </c>
      <c r="P2058">
        <v>45</v>
      </c>
      <c r="R2058" t="s">
        <v>1269</v>
      </c>
      <c r="S2058">
        <v>1.208</v>
      </c>
      <c r="T2058">
        <v>0.2195</v>
      </c>
      <c r="U2058">
        <f t="shared" si="180"/>
        <v>0.26500000000000001</v>
      </c>
      <c r="V2058" t="str">
        <f t="shared" si="177"/>
        <v>High Speech, Language Pathway/
Audio</v>
      </c>
      <c r="W2058" t="str">
        <f t="shared" si="178"/>
        <v>Speech, Language Pathway/
Audio</v>
      </c>
    </row>
    <row r="2059" spans="1:23" x14ac:dyDescent="0.25">
      <c r="A2059">
        <v>27401</v>
      </c>
      <c r="B2059" t="s">
        <v>1312</v>
      </c>
      <c r="C2059">
        <v>0.82099999999999995</v>
      </c>
      <c r="D2059" t="s">
        <v>1264</v>
      </c>
      <c r="E2059">
        <v>100199</v>
      </c>
      <c r="F2059">
        <v>27401</v>
      </c>
      <c r="G2059" t="str">
        <f t="shared" si="176"/>
        <v>27401</v>
      </c>
      <c r="H2059" t="s">
        <v>487</v>
      </c>
      <c r="I2059" t="s">
        <v>1265</v>
      </c>
      <c r="J2059" t="s">
        <v>1266</v>
      </c>
      <c r="K2059" t="s">
        <v>1267</v>
      </c>
      <c r="L2059" t="s">
        <v>1312</v>
      </c>
      <c r="M2059" t="s">
        <v>1351</v>
      </c>
      <c r="N2059">
        <v>21</v>
      </c>
      <c r="O2059" t="str">
        <f t="shared" si="179"/>
        <v>45</v>
      </c>
      <c r="P2059">
        <v>45</v>
      </c>
      <c r="R2059" t="s">
        <v>1269</v>
      </c>
      <c r="S2059">
        <v>0.82099999999999995</v>
      </c>
      <c r="T2059">
        <v>0.2195</v>
      </c>
      <c r="U2059">
        <f t="shared" si="180"/>
        <v>0.18</v>
      </c>
      <c r="V2059" t="str">
        <f t="shared" si="177"/>
        <v>Middle Speech, Language Pathway/
Audio</v>
      </c>
      <c r="W2059" t="str">
        <f t="shared" si="178"/>
        <v>Speech, Language Pathway/
Audio</v>
      </c>
    </row>
    <row r="2060" spans="1:23" x14ac:dyDescent="0.25">
      <c r="A2060">
        <v>27401</v>
      </c>
      <c r="B2060" t="s">
        <v>1298</v>
      </c>
      <c r="C2060">
        <v>6.0620000000000003</v>
      </c>
      <c r="D2060" t="s">
        <v>1264</v>
      </c>
      <c r="E2060">
        <v>100199</v>
      </c>
      <c r="F2060">
        <v>27401</v>
      </c>
      <c r="G2060" t="str">
        <f t="shared" si="176"/>
        <v>27401</v>
      </c>
      <c r="H2060" t="s">
        <v>487</v>
      </c>
      <c r="I2060" t="s">
        <v>1265</v>
      </c>
      <c r="J2060" t="s">
        <v>1276</v>
      </c>
      <c r="K2060" t="s">
        <v>1277</v>
      </c>
      <c r="L2060" t="s">
        <v>1298</v>
      </c>
      <c r="M2060" t="s">
        <v>1349</v>
      </c>
      <c r="N2060">
        <v>21</v>
      </c>
      <c r="O2060" t="str">
        <f t="shared" si="179"/>
        <v>46</v>
      </c>
      <c r="P2060">
        <v>46</v>
      </c>
      <c r="R2060" t="s">
        <v>1269</v>
      </c>
      <c r="S2060">
        <v>6.0620000000000003</v>
      </c>
      <c r="T2060">
        <v>0.2195</v>
      </c>
      <c r="U2060">
        <f t="shared" si="180"/>
        <v>1.331</v>
      </c>
      <c r="V2060" t="str">
        <f t="shared" si="177"/>
        <v>Elementary Psychologist</v>
      </c>
      <c r="W2060" t="str">
        <f t="shared" si="178"/>
        <v>Psychologist</v>
      </c>
    </row>
    <row r="2061" spans="1:23" x14ac:dyDescent="0.25">
      <c r="A2061">
        <v>27401</v>
      </c>
      <c r="B2061" t="s">
        <v>1309</v>
      </c>
      <c r="C2061">
        <v>3.3079999999999998</v>
      </c>
      <c r="D2061" t="s">
        <v>1264</v>
      </c>
      <c r="E2061">
        <v>100199</v>
      </c>
      <c r="F2061">
        <v>27401</v>
      </c>
      <c r="G2061" t="str">
        <f t="shared" si="176"/>
        <v>27401</v>
      </c>
      <c r="H2061" t="s">
        <v>487</v>
      </c>
      <c r="I2061" t="s">
        <v>1265</v>
      </c>
      <c r="J2061" t="s">
        <v>1271</v>
      </c>
      <c r="K2061" t="s">
        <v>1272</v>
      </c>
      <c r="L2061" t="s">
        <v>1309</v>
      </c>
      <c r="M2061" t="s">
        <v>1310</v>
      </c>
      <c r="N2061">
        <v>21</v>
      </c>
      <c r="O2061" t="str">
        <f t="shared" si="179"/>
        <v>46</v>
      </c>
      <c r="P2061">
        <v>46</v>
      </c>
      <c r="R2061" t="s">
        <v>1269</v>
      </c>
      <c r="S2061">
        <v>3.3079999999999998</v>
      </c>
      <c r="T2061">
        <v>0.2195</v>
      </c>
      <c r="U2061">
        <f t="shared" si="180"/>
        <v>0.72599999999999998</v>
      </c>
      <c r="V2061" t="str">
        <f t="shared" si="177"/>
        <v>High Psychologist</v>
      </c>
      <c r="W2061" t="str">
        <f t="shared" si="178"/>
        <v>Psychologist</v>
      </c>
    </row>
    <row r="2062" spans="1:23" x14ac:dyDescent="0.25">
      <c r="A2062">
        <v>27401</v>
      </c>
      <c r="B2062" t="s">
        <v>1345</v>
      </c>
      <c r="C2062">
        <v>1.8879999999999999</v>
      </c>
      <c r="D2062" t="s">
        <v>1264</v>
      </c>
      <c r="E2062">
        <v>100199</v>
      </c>
      <c r="F2062">
        <v>27401</v>
      </c>
      <c r="G2062" t="str">
        <f t="shared" si="176"/>
        <v>27401</v>
      </c>
      <c r="H2062" t="s">
        <v>487</v>
      </c>
      <c r="I2062" t="s">
        <v>1265</v>
      </c>
      <c r="J2062" t="s">
        <v>1266</v>
      </c>
      <c r="K2062" t="s">
        <v>1267</v>
      </c>
      <c r="L2062" t="s">
        <v>1345</v>
      </c>
      <c r="M2062" t="s">
        <v>1346</v>
      </c>
      <c r="N2062">
        <v>21</v>
      </c>
      <c r="O2062" t="str">
        <f t="shared" si="179"/>
        <v>46</v>
      </c>
      <c r="P2062">
        <v>46</v>
      </c>
      <c r="R2062" t="s">
        <v>1269</v>
      </c>
      <c r="S2062">
        <v>1.8879999999999999</v>
      </c>
      <c r="T2062">
        <v>0.2195</v>
      </c>
      <c r="U2062">
        <f t="shared" si="180"/>
        <v>0.41399999999999998</v>
      </c>
      <c r="V2062" t="str">
        <f t="shared" si="177"/>
        <v>Middle Psychologist</v>
      </c>
      <c r="W2062" t="str">
        <f t="shared" si="178"/>
        <v>Psychologist</v>
      </c>
    </row>
    <row r="2063" spans="1:23" x14ac:dyDescent="0.25">
      <c r="A2063">
        <v>27401</v>
      </c>
      <c r="B2063" t="s">
        <v>1334</v>
      </c>
      <c r="C2063">
        <v>0.64500000000000002</v>
      </c>
      <c r="D2063" t="s">
        <v>1264</v>
      </c>
      <c r="E2063">
        <v>100199</v>
      </c>
      <c r="F2063">
        <v>27401</v>
      </c>
      <c r="G2063" t="str">
        <f t="shared" si="176"/>
        <v>27401</v>
      </c>
      <c r="H2063" t="s">
        <v>487</v>
      </c>
      <c r="I2063" t="s">
        <v>1265</v>
      </c>
      <c r="J2063" t="s">
        <v>1276</v>
      </c>
      <c r="K2063" t="s">
        <v>1277</v>
      </c>
      <c r="L2063" t="s">
        <v>1334</v>
      </c>
      <c r="M2063" t="s">
        <v>1413</v>
      </c>
      <c r="N2063">
        <v>21</v>
      </c>
      <c r="O2063" t="str">
        <f t="shared" si="179"/>
        <v>47</v>
      </c>
      <c r="P2063">
        <v>47</v>
      </c>
      <c r="R2063" t="s">
        <v>1269</v>
      </c>
      <c r="S2063">
        <v>0.64500000000000002</v>
      </c>
      <c r="T2063">
        <v>0.2195</v>
      </c>
      <c r="U2063">
        <f t="shared" si="180"/>
        <v>0.14199999999999999</v>
      </c>
      <c r="V2063" t="str">
        <f t="shared" si="177"/>
        <v>Elementary Nurse</v>
      </c>
      <c r="W2063" t="str">
        <f t="shared" si="178"/>
        <v>Nurse</v>
      </c>
    </row>
    <row r="2064" spans="1:23" x14ac:dyDescent="0.25">
      <c r="A2064">
        <v>27401</v>
      </c>
      <c r="B2064" t="s">
        <v>1335</v>
      </c>
      <c r="C2064">
        <v>5.8019999999999996</v>
      </c>
      <c r="D2064" t="s">
        <v>1264</v>
      </c>
      <c r="E2064">
        <v>100199</v>
      </c>
      <c r="F2064">
        <v>27401</v>
      </c>
      <c r="G2064" t="str">
        <f t="shared" si="176"/>
        <v>27401</v>
      </c>
      <c r="H2064" t="s">
        <v>487</v>
      </c>
      <c r="I2064" t="s">
        <v>1265</v>
      </c>
      <c r="J2064" t="s">
        <v>1276</v>
      </c>
      <c r="K2064" t="s">
        <v>1277</v>
      </c>
      <c r="L2064" t="s">
        <v>1335</v>
      </c>
      <c r="M2064" t="s">
        <v>1344</v>
      </c>
      <c r="N2064">
        <v>1</v>
      </c>
      <c r="O2064" t="str">
        <f t="shared" si="179"/>
        <v>47</v>
      </c>
      <c r="P2064">
        <v>47</v>
      </c>
      <c r="R2064" t="s">
        <v>1269</v>
      </c>
      <c r="S2064">
        <v>5.8019999999999996</v>
      </c>
      <c r="T2064">
        <v>0.2195</v>
      </c>
      <c r="U2064">
        <f t="shared" si="180"/>
        <v>0</v>
      </c>
      <c r="V2064" t="str">
        <f t="shared" si="177"/>
        <v>Elementary Nurse</v>
      </c>
      <c r="W2064" t="str">
        <f t="shared" si="178"/>
        <v>Nurse</v>
      </c>
    </row>
    <row r="2065" spans="1:23" x14ac:dyDescent="0.25">
      <c r="A2065">
        <v>27401</v>
      </c>
      <c r="B2065" t="s">
        <v>1397</v>
      </c>
      <c r="C2065">
        <v>0.14000000000000001</v>
      </c>
      <c r="D2065" t="s">
        <v>1264</v>
      </c>
      <c r="E2065">
        <v>100199</v>
      </c>
      <c r="F2065">
        <v>27401</v>
      </c>
      <c r="G2065" t="str">
        <f t="shared" si="176"/>
        <v>27401</v>
      </c>
      <c r="H2065" t="s">
        <v>487</v>
      </c>
      <c r="I2065" t="s">
        <v>1265</v>
      </c>
      <c r="J2065" t="s">
        <v>1271</v>
      </c>
      <c r="K2065" t="s">
        <v>1272</v>
      </c>
      <c r="L2065" t="s">
        <v>1397</v>
      </c>
      <c r="M2065" t="s">
        <v>1435</v>
      </c>
      <c r="N2065">
        <v>21</v>
      </c>
      <c r="O2065" t="str">
        <f t="shared" si="179"/>
        <v>47</v>
      </c>
      <c r="P2065">
        <v>47</v>
      </c>
      <c r="R2065" t="s">
        <v>1269</v>
      </c>
      <c r="S2065">
        <v>0.14000000000000001</v>
      </c>
      <c r="T2065">
        <v>0.2195</v>
      </c>
      <c r="U2065">
        <f t="shared" si="180"/>
        <v>3.1E-2</v>
      </c>
      <c r="V2065" t="str">
        <f t="shared" si="177"/>
        <v>High Nurse</v>
      </c>
      <c r="W2065" t="str">
        <f t="shared" si="178"/>
        <v>Nurse</v>
      </c>
    </row>
    <row r="2066" spans="1:23" x14ac:dyDescent="0.25">
      <c r="A2066">
        <v>27401</v>
      </c>
      <c r="B2066" t="s">
        <v>1341</v>
      </c>
      <c r="C2066">
        <v>1.512</v>
      </c>
      <c r="D2066" t="s">
        <v>1264</v>
      </c>
      <c r="E2066">
        <v>100199</v>
      </c>
      <c r="F2066">
        <v>27401</v>
      </c>
      <c r="G2066" t="str">
        <f t="shared" si="176"/>
        <v>27401</v>
      </c>
      <c r="H2066" t="s">
        <v>487</v>
      </c>
      <c r="I2066" t="s">
        <v>1265</v>
      </c>
      <c r="J2066" t="s">
        <v>1271</v>
      </c>
      <c r="K2066" t="s">
        <v>1272</v>
      </c>
      <c r="L2066" t="s">
        <v>1341</v>
      </c>
      <c r="M2066" t="s">
        <v>1342</v>
      </c>
      <c r="N2066">
        <v>1</v>
      </c>
      <c r="O2066" t="str">
        <f t="shared" si="179"/>
        <v>47</v>
      </c>
      <c r="P2066">
        <v>47</v>
      </c>
      <c r="R2066" t="s">
        <v>1269</v>
      </c>
      <c r="S2066">
        <v>1.512</v>
      </c>
      <c r="T2066">
        <v>0.2195</v>
      </c>
      <c r="U2066">
        <f t="shared" si="180"/>
        <v>0</v>
      </c>
      <c r="V2066" t="str">
        <f t="shared" si="177"/>
        <v>High Nurse</v>
      </c>
      <c r="W2066" t="str">
        <f t="shared" si="178"/>
        <v>Nurse</v>
      </c>
    </row>
    <row r="2067" spans="1:23" x14ac:dyDescent="0.25">
      <c r="A2067">
        <v>27401</v>
      </c>
      <c r="B2067" t="s">
        <v>1372</v>
      </c>
      <c r="C2067">
        <v>0.122</v>
      </c>
      <c r="D2067" t="s">
        <v>1264</v>
      </c>
      <c r="E2067">
        <v>100199</v>
      </c>
      <c r="F2067">
        <v>27401</v>
      </c>
      <c r="G2067" t="str">
        <f t="shared" si="176"/>
        <v>27401</v>
      </c>
      <c r="H2067" t="s">
        <v>487</v>
      </c>
      <c r="I2067" t="s">
        <v>1265</v>
      </c>
      <c r="J2067" t="s">
        <v>1266</v>
      </c>
      <c r="K2067" t="s">
        <v>1267</v>
      </c>
      <c r="L2067" t="s">
        <v>1372</v>
      </c>
      <c r="M2067" t="s">
        <v>1436</v>
      </c>
      <c r="N2067">
        <v>21</v>
      </c>
      <c r="O2067" t="str">
        <f t="shared" si="179"/>
        <v>47</v>
      </c>
      <c r="P2067">
        <v>47</v>
      </c>
      <c r="R2067" t="s">
        <v>1269</v>
      </c>
      <c r="S2067">
        <v>0.122</v>
      </c>
      <c r="T2067">
        <v>0.2195</v>
      </c>
      <c r="U2067">
        <f t="shared" si="180"/>
        <v>2.7E-2</v>
      </c>
      <c r="V2067" t="str">
        <f t="shared" si="177"/>
        <v>Middle Nurse</v>
      </c>
      <c r="W2067" t="str">
        <f t="shared" si="178"/>
        <v>Nurse</v>
      </c>
    </row>
    <row r="2068" spans="1:23" x14ac:dyDescent="0.25">
      <c r="A2068">
        <v>27401</v>
      </c>
      <c r="B2068" t="s">
        <v>1338</v>
      </c>
      <c r="C2068">
        <v>0.77900000000000003</v>
      </c>
      <c r="D2068" t="s">
        <v>1264</v>
      </c>
      <c r="E2068">
        <v>100199</v>
      </c>
      <c r="F2068">
        <v>27401</v>
      </c>
      <c r="G2068" t="str">
        <f t="shared" si="176"/>
        <v>27401</v>
      </c>
      <c r="H2068" t="s">
        <v>487</v>
      </c>
      <c r="I2068" t="s">
        <v>1265</v>
      </c>
      <c r="J2068" t="s">
        <v>1266</v>
      </c>
      <c r="K2068" t="s">
        <v>1267</v>
      </c>
      <c r="L2068" t="s">
        <v>1338</v>
      </c>
      <c r="M2068" t="s">
        <v>1339</v>
      </c>
      <c r="N2068">
        <v>1</v>
      </c>
      <c r="O2068" t="str">
        <f t="shared" si="179"/>
        <v>47</v>
      </c>
      <c r="P2068">
        <v>47</v>
      </c>
      <c r="R2068" t="s">
        <v>1269</v>
      </c>
      <c r="S2068">
        <v>0.77900000000000003</v>
      </c>
      <c r="T2068">
        <v>0.2195</v>
      </c>
      <c r="U2068">
        <f t="shared" si="180"/>
        <v>0</v>
      </c>
      <c r="V2068" t="str">
        <f t="shared" si="177"/>
        <v>Middle Nurse</v>
      </c>
      <c r="W2068" t="str">
        <f t="shared" si="178"/>
        <v>Nurse</v>
      </c>
    </row>
    <row r="2069" spans="1:23" x14ac:dyDescent="0.25">
      <c r="A2069">
        <v>27401</v>
      </c>
      <c r="B2069" t="s">
        <v>1302</v>
      </c>
      <c r="C2069">
        <v>1.0760000000000001</v>
      </c>
      <c r="D2069" t="s">
        <v>1264</v>
      </c>
      <c r="E2069">
        <v>100199</v>
      </c>
      <c r="F2069">
        <v>27401</v>
      </c>
      <c r="G2069" t="str">
        <f t="shared" si="176"/>
        <v>27401</v>
      </c>
      <c r="H2069" t="s">
        <v>487</v>
      </c>
      <c r="I2069" t="s">
        <v>1265</v>
      </c>
      <c r="J2069" t="s">
        <v>1276</v>
      </c>
      <c r="K2069" t="s">
        <v>1277</v>
      </c>
      <c r="L2069" t="s">
        <v>1302</v>
      </c>
      <c r="M2069" t="s">
        <v>1336</v>
      </c>
      <c r="N2069">
        <v>21</v>
      </c>
      <c r="O2069" t="str">
        <f t="shared" si="179"/>
        <v>48</v>
      </c>
      <c r="P2069">
        <v>48</v>
      </c>
      <c r="R2069" t="s">
        <v>1269</v>
      </c>
      <c r="S2069">
        <v>1.0760000000000001</v>
      </c>
      <c r="T2069">
        <v>0.2195</v>
      </c>
      <c r="U2069">
        <f t="shared" si="180"/>
        <v>0.23599999999999999</v>
      </c>
      <c r="V2069" t="str">
        <f t="shared" si="177"/>
        <v>Elementary Physical Therapist</v>
      </c>
      <c r="W2069" t="str">
        <f t="shared" si="178"/>
        <v>Physical Therapist</v>
      </c>
    </row>
    <row r="2070" spans="1:23" x14ac:dyDescent="0.25">
      <c r="A2070">
        <v>27401</v>
      </c>
      <c r="B2070" t="s">
        <v>1330</v>
      </c>
      <c r="C2070">
        <v>0.61599999999999999</v>
      </c>
      <c r="D2070" t="s">
        <v>1264</v>
      </c>
      <c r="E2070">
        <v>100199</v>
      </c>
      <c r="F2070">
        <v>27401</v>
      </c>
      <c r="G2070" t="str">
        <f t="shared" si="176"/>
        <v>27401</v>
      </c>
      <c r="H2070" t="s">
        <v>487</v>
      </c>
      <c r="I2070" t="s">
        <v>1265</v>
      </c>
      <c r="J2070" t="s">
        <v>1271</v>
      </c>
      <c r="K2070" t="s">
        <v>1272</v>
      </c>
      <c r="L2070" t="s">
        <v>1330</v>
      </c>
      <c r="M2070" t="s">
        <v>1367</v>
      </c>
      <c r="N2070">
        <v>21</v>
      </c>
      <c r="O2070" t="str">
        <f t="shared" si="179"/>
        <v>48</v>
      </c>
      <c r="P2070">
        <v>48</v>
      </c>
      <c r="R2070" t="s">
        <v>1269</v>
      </c>
      <c r="S2070">
        <v>0.61599999999999999</v>
      </c>
      <c r="T2070">
        <v>0.2195</v>
      </c>
      <c r="U2070">
        <f t="shared" si="180"/>
        <v>0.13500000000000001</v>
      </c>
      <c r="V2070" t="str">
        <f t="shared" si="177"/>
        <v>High Physical Therapist</v>
      </c>
      <c r="W2070" t="str">
        <f t="shared" si="178"/>
        <v>Physical Therapist</v>
      </c>
    </row>
    <row r="2071" spans="1:23" x14ac:dyDescent="0.25">
      <c r="A2071">
        <v>27401</v>
      </c>
      <c r="B2071" t="s">
        <v>1316</v>
      </c>
      <c r="C2071">
        <v>0.308</v>
      </c>
      <c r="D2071" t="s">
        <v>1264</v>
      </c>
      <c r="E2071">
        <v>100199</v>
      </c>
      <c r="F2071">
        <v>27401</v>
      </c>
      <c r="G2071" t="str">
        <f t="shared" si="176"/>
        <v>27401</v>
      </c>
      <c r="H2071" t="s">
        <v>487</v>
      </c>
      <c r="I2071" t="s">
        <v>1265</v>
      </c>
      <c r="J2071" t="s">
        <v>1266</v>
      </c>
      <c r="K2071" t="s">
        <v>1267</v>
      </c>
      <c r="L2071" t="s">
        <v>1316</v>
      </c>
      <c r="M2071" t="s">
        <v>1366</v>
      </c>
      <c r="N2071">
        <v>21</v>
      </c>
      <c r="O2071" t="str">
        <f t="shared" si="179"/>
        <v>48</v>
      </c>
      <c r="P2071">
        <v>48</v>
      </c>
      <c r="R2071" t="s">
        <v>1269</v>
      </c>
      <c r="S2071">
        <v>0.308</v>
      </c>
      <c r="T2071">
        <v>0.2195</v>
      </c>
      <c r="U2071">
        <f t="shared" si="180"/>
        <v>6.8000000000000005E-2</v>
      </c>
      <c r="V2071" t="str">
        <f t="shared" si="177"/>
        <v>Middle Physical Therapist</v>
      </c>
      <c r="W2071" t="str">
        <f t="shared" si="178"/>
        <v>Physical Therapist</v>
      </c>
    </row>
    <row r="2072" spans="1:23" x14ac:dyDescent="0.25">
      <c r="A2072">
        <v>27402</v>
      </c>
      <c r="B2072" t="s">
        <v>1286</v>
      </c>
      <c r="C2072">
        <v>0.59099999999999997</v>
      </c>
      <c r="D2072" t="s">
        <v>1264</v>
      </c>
      <c r="E2072">
        <v>100090</v>
      </c>
      <c r="F2072">
        <v>27402</v>
      </c>
      <c r="G2072" t="str">
        <f t="shared" si="176"/>
        <v>27402</v>
      </c>
      <c r="H2072" t="s">
        <v>488</v>
      </c>
      <c r="I2072" t="s">
        <v>1265</v>
      </c>
      <c r="J2072" t="s">
        <v>1271</v>
      </c>
      <c r="K2072" t="s">
        <v>1272</v>
      </c>
      <c r="L2072" t="s">
        <v>1286</v>
      </c>
      <c r="M2072" t="s">
        <v>1287</v>
      </c>
      <c r="N2072">
        <v>1</v>
      </c>
      <c r="O2072" t="str">
        <f t="shared" si="179"/>
        <v>24</v>
      </c>
      <c r="P2072">
        <v>96</v>
      </c>
      <c r="Q2072">
        <v>24</v>
      </c>
      <c r="R2072" t="s">
        <v>1269</v>
      </c>
      <c r="S2072">
        <v>0.59099999999999997</v>
      </c>
      <c r="T2072">
        <v>0.31130000000000002</v>
      </c>
      <c r="U2072">
        <f t="shared" si="180"/>
        <v>0</v>
      </c>
      <c r="V2072" t="str">
        <f t="shared" si="177"/>
        <v>High Family Engagement Coordinator</v>
      </c>
      <c r="W2072" t="str">
        <f t="shared" si="178"/>
        <v>Family Engagement Coordinator</v>
      </c>
    </row>
    <row r="2073" spans="1:23" x14ac:dyDescent="0.25">
      <c r="A2073">
        <v>27402</v>
      </c>
      <c r="B2073" t="s">
        <v>1299</v>
      </c>
      <c r="C2073">
        <v>11.215</v>
      </c>
      <c r="D2073" t="s">
        <v>1264</v>
      </c>
      <c r="E2073">
        <v>100090</v>
      </c>
      <c r="F2073">
        <v>27402</v>
      </c>
      <c r="G2073" t="str">
        <f t="shared" si="176"/>
        <v>27402</v>
      </c>
      <c r="H2073" t="s">
        <v>488</v>
      </c>
      <c r="I2073" t="s">
        <v>1265</v>
      </c>
      <c r="J2073" t="s">
        <v>1271</v>
      </c>
      <c r="K2073" t="s">
        <v>1272</v>
      </c>
      <c r="L2073" t="s">
        <v>1299</v>
      </c>
      <c r="M2073" t="s">
        <v>1300</v>
      </c>
      <c r="N2073">
        <v>1</v>
      </c>
      <c r="O2073" t="str">
        <f t="shared" si="179"/>
        <v>25</v>
      </c>
      <c r="Q2073">
        <v>25</v>
      </c>
      <c r="R2073" t="s">
        <v>1269</v>
      </c>
      <c r="S2073">
        <v>11.215</v>
      </c>
      <c r="T2073">
        <v>0.31130000000000002</v>
      </c>
      <c r="U2073">
        <f t="shared" si="180"/>
        <v>0</v>
      </c>
      <c r="V2073" t="str">
        <f t="shared" si="177"/>
        <v>High Pupil Management</v>
      </c>
      <c r="W2073" t="str">
        <f t="shared" si="178"/>
        <v>Pupil Management</v>
      </c>
    </row>
    <row r="2074" spans="1:23" x14ac:dyDescent="0.25">
      <c r="A2074">
        <v>27402</v>
      </c>
      <c r="B2074" t="s">
        <v>1324</v>
      </c>
      <c r="C2074">
        <v>0.76900000000000002</v>
      </c>
      <c r="D2074" t="s">
        <v>1264</v>
      </c>
      <c r="E2074">
        <v>100090</v>
      </c>
      <c r="F2074">
        <v>27402</v>
      </c>
      <c r="G2074" t="str">
        <f t="shared" si="176"/>
        <v>27402</v>
      </c>
      <c r="H2074" t="s">
        <v>488</v>
      </c>
      <c r="I2074" t="s">
        <v>1265</v>
      </c>
      <c r="J2074" t="s">
        <v>1271</v>
      </c>
      <c r="K2074" t="s">
        <v>1272</v>
      </c>
      <c r="L2074" t="s">
        <v>1324</v>
      </c>
      <c r="M2074" t="s">
        <v>1325</v>
      </c>
      <c r="N2074">
        <v>21</v>
      </c>
      <c r="O2074" t="str">
        <f t="shared" si="179"/>
        <v>26</v>
      </c>
      <c r="Q2074">
        <v>26</v>
      </c>
      <c r="R2074" t="s">
        <v>1269</v>
      </c>
      <c r="S2074">
        <v>0.76900000000000002</v>
      </c>
      <c r="T2074">
        <v>0.31130000000000002</v>
      </c>
      <c r="U2074">
        <f t="shared" si="180"/>
        <v>0.23899999999999999</v>
      </c>
      <c r="V2074" t="str">
        <f t="shared" si="177"/>
        <v>High Health/
Related Services</v>
      </c>
      <c r="W2074" t="str">
        <f t="shared" si="178"/>
        <v>Health/
Related Services</v>
      </c>
    </row>
    <row r="2075" spans="1:23" x14ac:dyDescent="0.25">
      <c r="A2075">
        <v>27402</v>
      </c>
      <c r="B2075" t="s">
        <v>1295</v>
      </c>
      <c r="C2075">
        <v>9.8420000000000005</v>
      </c>
      <c r="D2075" t="s">
        <v>1264</v>
      </c>
      <c r="E2075">
        <v>100090</v>
      </c>
      <c r="F2075">
        <v>27402</v>
      </c>
      <c r="G2075" t="str">
        <f t="shared" si="176"/>
        <v>27402</v>
      </c>
      <c r="H2075" t="s">
        <v>488</v>
      </c>
      <c r="I2075" t="s">
        <v>1265</v>
      </c>
      <c r="J2075" t="s">
        <v>1271</v>
      </c>
      <c r="K2075" t="s">
        <v>1272</v>
      </c>
      <c r="L2075" t="s">
        <v>1295</v>
      </c>
      <c r="M2075" t="s">
        <v>1296</v>
      </c>
      <c r="N2075">
        <v>1</v>
      </c>
      <c r="O2075" t="str">
        <f t="shared" si="179"/>
        <v>26</v>
      </c>
      <c r="Q2075">
        <v>26</v>
      </c>
      <c r="R2075" t="s">
        <v>1269</v>
      </c>
      <c r="S2075">
        <v>9.8420000000000005</v>
      </c>
      <c r="T2075">
        <v>0.31130000000000002</v>
      </c>
      <c r="U2075">
        <f t="shared" si="180"/>
        <v>0</v>
      </c>
      <c r="V2075" t="str">
        <f t="shared" si="177"/>
        <v>High Health/
Related Services</v>
      </c>
      <c r="W2075" t="str">
        <f t="shared" si="178"/>
        <v>Health/
Related Services</v>
      </c>
    </row>
    <row r="2076" spans="1:23" x14ac:dyDescent="0.25">
      <c r="A2076">
        <v>27402</v>
      </c>
      <c r="B2076" t="s">
        <v>1321</v>
      </c>
      <c r="C2076">
        <v>2.83</v>
      </c>
      <c r="D2076" t="s">
        <v>1264</v>
      </c>
      <c r="E2076">
        <v>100090</v>
      </c>
      <c r="F2076">
        <v>27402</v>
      </c>
      <c r="G2076" t="str">
        <f t="shared" si="176"/>
        <v>27402</v>
      </c>
      <c r="H2076" t="s">
        <v>488</v>
      </c>
      <c r="I2076" t="s">
        <v>1265</v>
      </c>
      <c r="J2076" t="s">
        <v>1276</v>
      </c>
      <c r="K2076" t="s">
        <v>1277</v>
      </c>
      <c r="L2076" t="s">
        <v>1321</v>
      </c>
      <c r="M2076" t="s">
        <v>1429</v>
      </c>
      <c r="N2076">
        <v>21</v>
      </c>
      <c r="O2076" t="str">
        <f t="shared" si="179"/>
        <v>42</v>
      </c>
      <c r="P2076">
        <v>42</v>
      </c>
      <c r="R2076" t="s">
        <v>1269</v>
      </c>
      <c r="S2076">
        <v>2.83</v>
      </c>
      <c r="T2076">
        <v>0.31130000000000002</v>
      </c>
      <c r="U2076">
        <f t="shared" si="180"/>
        <v>0.88100000000000001</v>
      </c>
      <c r="V2076" t="str">
        <f t="shared" si="177"/>
        <v>Elementary Counselor</v>
      </c>
      <c r="W2076" t="str">
        <f t="shared" si="178"/>
        <v>Counselor</v>
      </c>
    </row>
    <row r="2077" spans="1:23" x14ac:dyDescent="0.25">
      <c r="A2077">
        <v>27402</v>
      </c>
      <c r="B2077" t="s">
        <v>1275</v>
      </c>
      <c r="C2077">
        <v>8.99</v>
      </c>
      <c r="D2077" t="s">
        <v>1264</v>
      </c>
      <c r="E2077">
        <v>100090</v>
      </c>
      <c r="F2077">
        <v>27402</v>
      </c>
      <c r="G2077" t="str">
        <f t="shared" si="176"/>
        <v>27402</v>
      </c>
      <c r="H2077" t="s">
        <v>488</v>
      </c>
      <c r="I2077" t="s">
        <v>1265</v>
      </c>
      <c r="J2077" t="s">
        <v>1276</v>
      </c>
      <c r="K2077" t="s">
        <v>1277</v>
      </c>
      <c r="L2077" t="s">
        <v>1275</v>
      </c>
      <c r="M2077" t="s">
        <v>1278</v>
      </c>
      <c r="N2077">
        <v>1</v>
      </c>
      <c r="O2077" t="str">
        <f t="shared" si="179"/>
        <v>42</v>
      </c>
      <c r="P2077">
        <v>42</v>
      </c>
      <c r="R2077" t="s">
        <v>1269</v>
      </c>
      <c r="S2077">
        <v>8.99</v>
      </c>
      <c r="T2077">
        <v>0.31130000000000002</v>
      </c>
      <c r="U2077">
        <f t="shared" si="180"/>
        <v>0</v>
      </c>
      <c r="V2077" t="str">
        <f t="shared" si="177"/>
        <v>Elementary Counselor</v>
      </c>
      <c r="W2077" t="str">
        <f t="shared" si="178"/>
        <v>Counselor</v>
      </c>
    </row>
    <row r="2078" spans="1:23" x14ac:dyDescent="0.25">
      <c r="A2078">
        <v>27402</v>
      </c>
      <c r="B2078" t="s">
        <v>1385</v>
      </c>
      <c r="C2078">
        <v>1.25</v>
      </c>
      <c r="D2078" t="s">
        <v>1264</v>
      </c>
      <c r="E2078">
        <v>100090</v>
      </c>
      <c r="F2078">
        <v>27402</v>
      </c>
      <c r="G2078" t="str">
        <f t="shared" si="176"/>
        <v>27402</v>
      </c>
      <c r="H2078" t="s">
        <v>488</v>
      </c>
      <c r="I2078" t="s">
        <v>1265</v>
      </c>
      <c r="J2078" t="s">
        <v>1271</v>
      </c>
      <c r="K2078" t="s">
        <v>1272</v>
      </c>
      <c r="L2078" t="s">
        <v>1385</v>
      </c>
      <c r="M2078" t="s">
        <v>1421</v>
      </c>
      <c r="N2078">
        <v>21</v>
      </c>
      <c r="O2078" t="str">
        <f t="shared" si="179"/>
        <v>42</v>
      </c>
      <c r="P2078">
        <v>42</v>
      </c>
      <c r="R2078" t="s">
        <v>1269</v>
      </c>
      <c r="S2078">
        <v>1.25</v>
      </c>
      <c r="T2078">
        <v>0.31130000000000002</v>
      </c>
      <c r="U2078">
        <f t="shared" si="180"/>
        <v>0.38900000000000001</v>
      </c>
      <c r="V2078" t="str">
        <f t="shared" si="177"/>
        <v>High Counselor</v>
      </c>
      <c r="W2078" t="str">
        <f t="shared" si="178"/>
        <v>Counselor</v>
      </c>
    </row>
    <row r="2079" spans="1:23" x14ac:dyDescent="0.25">
      <c r="A2079">
        <v>27402</v>
      </c>
      <c r="B2079" t="s">
        <v>1270</v>
      </c>
      <c r="C2079">
        <v>9</v>
      </c>
      <c r="D2079" t="s">
        <v>1264</v>
      </c>
      <c r="E2079">
        <v>100090</v>
      </c>
      <c r="F2079">
        <v>27402</v>
      </c>
      <c r="G2079" t="str">
        <f t="shared" si="176"/>
        <v>27402</v>
      </c>
      <c r="H2079" t="s">
        <v>488</v>
      </c>
      <c r="I2079" t="s">
        <v>1265</v>
      </c>
      <c r="J2079" t="s">
        <v>1271</v>
      </c>
      <c r="K2079" t="s">
        <v>1272</v>
      </c>
      <c r="L2079" t="s">
        <v>1270</v>
      </c>
      <c r="M2079" t="s">
        <v>1273</v>
      </c>
      <c r="N2079">
        <v>1</v>
      </c>
      <c r="O2079" t="str">
        <f t="shared" si="179"/>
        <v>42</v>
      </c>
      <c r="P2079">
        <v>42</v>
      </c>
      <c r="R2079" t="s">
        <v>1269</v>
      </c>
      <c r="S2079">
        <v>9</v>
      </c>
      <c r="T2079">
        <v>0.31130000000000002</v>
      </c>
      <c r="U2079">
        <f t="shared" si="180"/>
        <v>0</v>
      </c>
      <c r="V2079" t="str">
        <f t="shared" si="177"/>
        <v>High Counselor</v>
      </c>
      <c r="W2079" t="str">
        <f t="shared" si="178"/>
        <v>Counselor</v>
      </c>
    </row>
    <row r="2080" spans="1:23" x14ac:dyDescent="0.25">
      <c r="A2080">
        <v>27402</v>
      </c>
      <c r="B2080" t="s">
        <v>1365</v>
      </c>
      <c r="C2080">
        <v>0.92</v>
      </c>
      <c r="D2080" t="s">
        <v>1264</v>
      </c>
      <c r="E2080">
        <v>100090</v>
      </c>
      <c r="F2080">
        <v>27402</v>
      </c>
      <c r="G2080" t="str">
        <f t="shared" si="176"/>
        <v>27402</v>
      </c>
      <c r="H2080" t="s">
        <v>488</v>
      </c>
      <c r="I2080" t="s">
        <v>1265</v>
      </c>
      <c r="J2080" t="s">
        <v>1266</v>
      </c>
      <c r="K2080" t="s">
        <v>1267</v>
      </c>
      <c r="L2080" t="s">
        <v>1365</v>
      </c>
      <c r="M2080" t="s">
        <v>1428</v>
      </c>
      <c r="N2080">
        <v>21</v>
      </c>
      <c r="O2080" t="str">
        <f t="shared" si="179"/>
        <v>42</v>
      </c>
      <c r="P2080">
        <v>42</v>
      </c>
      <c r="R2080" t="s">
        <v>1269</v>
      </c>
      <c r="S2080">
        <v>0.92</v>
      </c>
      <c r="T2080">
        <v>0.31130000000000002</v>
      </c>
      <c r="U2080">
        <f t="shared" si="180"/>
        <v>0.28599999999999998</v>
      </c>
      <c r="V2080" t="str">
        <f t="shared" si="177"/>
        <v>Middle Counselor</v>
      </c>
      <c r="W2080" t="str">
        <f t="shared" si="178"/>
        <v>Counselor</v>
      </c>
    </row>
    <row r="2081" spans="1:23" x14ac:dyDescent="0.25">
      <c r="A2081">
        <v>27402</v>
      </c>
      <c r="B2081" t="s">
        <v>1263</v>
      </c>
      <c r="C2081">
        <v>5.01</v>
      </c>
      <c r="D2081" t="s">
        <v>1264</v>
      </c>
      <c r="E2081">
        <v>100090</v>
      </c>
      <c r="F2081">
        <v>27402</v>
      </c>
      <c r="G2081" t="str">
        <f t="shared" si="176"/>
        <v>27402</v>
      </c>
      <c r="H2081" t="s">
        <v>488</v>
      </c>
      <c r="I2081" t="s">
        <v>1265</v>
      </c>
      <c r="J2081" t="s">
        <v>1266</v>
      </c>
      <c r="K2081" t="s">
        <v>1267</v>
      </c>
      <c r="L2081" t="s">
        <v>1263</v>
      </c>
      <c r="M2081" t="s">
        <v>1268</v>
      </c>
      <c r="N2081">
        <v>1</v>
      </c>
      <c r="O2081" t="str">
        <f t="shared" si="179"/>
        <v>42</v>
      </c>
      <c r="P2081">
        <v>42</v>
      </c>
      <c r="R2081" t="s">
        <v>1269</v>
      </c>
      <c r="S2081">
        <v>5.01</v>
      </c>
      <c r="T2081">
        <v>0.31130000000000002</v>
      </c>
      <c r="U2081">
        <f t="shared" si="180"/>
        <v>0</v>
      </c>
      <c r="V2081" t="str">
        <f t="shared" si="177"/>
        <v>Middle Counselor</v>
      </c>
      <c r="W2081" t="str">
        <f t="shared" si="178"/>
        <v>Counselor</v>
      </c>
    </row>
    <row r="2082" spans="1:23" x14ac:dyDescent="0.25">
      <c r="A2082">
        <v>27402</v>
      </c>
      <c r="B2082" t="s">
        <v>1289</v>
      </c>
      <c r="C2082">
        <v>4.2300000000000004</v>
      </c>
      <c r="D2082" t="s">
        <v>1264</v>
      </c>
      <c r="E2082">
        <v>100090</v>
      </c>
      <c r="F2082">
        <v>27402</v>
      </c>
      <c r="G2082" t="str">
        <f t="shared" si="176"/>
        <v>27402</v>
      </c>
      <c r="H2082" t="s">
        <v>488</v>
      </c>
      <c r="I2082" t="s">
        <v>1265</v>
      </c>
      <c r="J2082" t="s">
        <v>1276</v>
      </c>
      <c r="K2082" t="s">
        <v>1277</v>
      </c>
      <c r="L2082" t="s">
        <v>1289</v>
      </c>
      <c r="M2082" t="s">
        <v>1307</v>
      </c>
      <c r="N2082">
        <v>21</v>
      </c>
      <c r="O2082" t="str">
        <f t="shared" si="179"/>
        <v>43</v>
      </c>
      <c r="P2082">
        <v>43</v>
      </c>
      <c r="R2082" t="s">
        <v>1269</v>
      </c>
      <c r="S2082">
        <v>4.2300000000000004</v>
      </c>
      <c r="T2082">
        <v>0.31130000000000002</v>
      </c>
      <c r="U2082">
        <f t="shared" si="180"/>
        <v>1.3169999999999999</v>
      </c>
      <c r="V2082" t="str">
        <f t="shared" si="177"/>
        <v>Elementary Occupational Therapist</v>
      </c>
      <c r="W2082" t="str">
        <f t="shared" si="178"/>
        <v>Occupational Therapist</v>
      </c>
    </row>
    <row r="2083" spans="1:23" x14ac:dyDescent="0.25">
      <c r="A2083">
        <v>27402</v>
      </c>
      <c r="B2083" t="s">
        <v>1387</v>
      </c>
      <c r="C2083">
        <v>0.17699999999999999</v>
      </c>
      <c r="D2083" t="s">
        <v>1264</v>
      </c>
      <c r="E2083">
        <v>100090</v>
      </c>
      <c r="F2083">
        <v>27402</v>
      </c>
      <c r="G2083" t="str">
        <f t="shared" si="176"/>
        <v>27402</v>
      </c>
      <c r="H2083" t="s">
        <v>488</v>
      </c>
      <c r="I2083" t="s">
        <v>1265</v>
      </c>
      <c r="J2083" t="s">
        <v>1271</v>
      </c>
      <c r="K2083" t="s">
        <v>1272</v>
      </c>
      <c r="L2083" t="s">
        <v>1387</v>
      </c>
      <c r="M2083" t="s">
        <v>1406</v>
      </c>
      <c r="N2083">
        <v>21</v>
      </c>
      <c r="O2083" t="str">
        <f t="shared" si="179"/>
        <v>43</v>
      </c>
      <c r="P2083">
        <v>43</v>
      </c>
      <c r="R2083" t="s">
        <v>1269</v>
      </c>
      <c r="S2083">
        <v>0.17699999999999999</v>
      </c>
      <c r="T2083">
        <v>0.31130000000000002</v>
      </c>
      <c r="U2083">
        <f t="shared" si="180"/>
        <v>5.5E-2</v>
      </c>
      <c r="V2083" t="str">
        <f t="shared" si="177"/>
        <v>High Occupational Therapist</v>
      </c>
      <c r="W2083" t="str">
        <f t="shared" si="178"/>
        <v>Occupational Therapist</v>
      </c>
    </row>
    <row r="2084" spans="1:23" x14ac:dyDescent="0.25">
      <c r="A2084">
        <v>27402</v>
      </c>
      <c r="B2084" t="s">
        <v>1303</v>
      </c>
      <c r="C2084">
        <v>6.3E-2</v>
      </c>
      <c r="D2084" t="s">
        <v>1264</v>
      </c>
      <c r="E2084">
        <v>100090</v>
      </c>
      <c r="F2084">
        <v>27402</v>
      </c>
      <c r="G2084" t="str">
        <f t="shared" si="176"/>
        <v>27402</v>
      </c>
      <c r="H2084" t="s">
        <v>488</v>
      </c>
      <c r="I2084" t="s">
        <v>1265</v>
      </c>
      <c r="J2084" t="s">
        <v>1266</v>
      </c>
      <c r="K2084" t="s">
        <v>1267</v>
      </c>
      <c r="L2084" t="s">
        <v>1303</v>
      </c>
      <c r="M2084" t="s">
        <v>1304</v>
      </c>
      <c r="N2084">
        <v>21</v>
      </c>
      <c r="O2084" t="str">
        <f t="shared" si="179"/>
        <v>43</v>
      </c>
      <c r="P2084">
        <v>43</v>
      </c>
      <c r="R2084" t="s">
        <v>1269</v>
      </c>
      <c r="S2084">
        <v>6.3E-2</v>
      </c>
      <c r="T2084">
        <v>0.31130000000000002</v>
      </c>
      <c r="U2084">
        <f t="shared" si="180"/>
        <v>0.02</v>
      </c>
      <c r="V2084" t="str">
        <f t="shared" si="177"/>
        <v>Middle Occupational Therapist</v>
      </c>
      <c r="W2084" t="str">
        <f t="shared" si="178"/>
        <v>Occupational Therapist</v>
      </c>
    </row>
    <row r="2085" spans="1:23" x14ac:dyDescent="0.25">
      <c r="A2085">
        <v>27402</v>
      </c>
      <c r="B2085" t="s">
        <v>1294</v>
      </c>
      <c r="C2085">
        <v>7.3490000000000002</v>
      </c>
      <c r="D2085" t="s">
        <v>1264</v>
      </c>
      <c r="E2085">
        <v>100090</v>
      </c>
      <c r="F2085">
        <v>27402</v>
      </c>
      <c r="G2085" t="str">
        <f t="shared" si="176"/>
        <v>27402</v>
      </c>
      <c r="H2085" t="s">
        <v>488</v>
      </c>
      <c r="I2085" t="s">
        <v>1265</v>
      </c>
      <c r="J2085" t="s">
        <v>1276</v>
      </c>
      <c r="K2085" t="s">
        <v>1277</v>
      </c>
      <c r="L2085" t="s">
        <v>1294</v>
      </c>
      <c r="M2085" t="s">
        <v>1354</v>
      </c>
      <c r="N2085">
        <v>21</v>
      </c>
      <c r="O2085" t="str">
        <f t="shared" si="179"/>
        <v>45</v>
      </c>
      <c r="P2085">
        <v>45</v>
      </c>
      <c r="R2085" t="s">
        <v>1269</v>
      </c>
      <c r="S2085">
        <v>7.3490000000000002</v>
      </c>
      <c r="T2085">
        <v>0.31130000000000002</v>
      </c>
      <c r="U2085">
        <f t="shared" si="180"/>
        <v>2.2879999999999998</v>
      </c>
      <c r="V2085" t="str">
        <f t="shared" si="177"/>
        <v>Elementary Speech, Language Pathway/
Audio</v>
      </c>
      <c r="W2085" t="str">
        <f t="shared" si="178"/>
        <v>Speech, Language Pathway/
Audio</v>
      </c>
    </row>
    <row r="2086" spans="1:23" x14ac:dyDescent="0.25">
      <c r="A2086">
        <v>27402</v>
      </c>
      <c r="B2086" t="s">
        <v>1326</v>
      </c>
      <c r="C2086">
        <v>1.5940000000000001</v>
      </c>
      <c r="D2086" t="s">
        <v>1264</v>
      </c>
      <c r="E2086">
        <v>100090</v>
      </c>
      <c r="F2086">
        <v>27402</v>
      </c>
      <c r="G2086" t="str">
        <f t="shared" si="176"/>
        <v>27402</v>
      </c>
      <c r="H2086" t="s">
        <v>488</v>
      </c>
      <c r="I2086" t="s">
        <v>1265</v>
      </c>
      <c r="J2086" t="s">
        <v>1271</v>
      </c>
      <c r="K2086" t="s">
        <v>1272</v>
      </c>
      <c r="L2086" t="s">
        <v>1326</v>
      </c>
      <c r="M2086" t="s">
        <v>1353</v>
      </c>
      <c r="N2086">
        <v>21</v>
      </c>
      <c r="O2086" t="str">
        <f t="shared" si="179"/>
        <v>45</v>
      </c>
      <c r="P2086">
        <v>45</v>
      </c>
      <c r="R2086" t="s">
        <v>1269</v>
      </c>
      <c r="S2086">
        <v>1.5940000000000001</v>
      </c>
      <c r="T2086">
        <v>0.31130000000000002</v>
      </c>
      <c r="U2086">
        <f t="shared" si="180"/>
        <v>0.496</v>
      </c>
      <c r="V2086" t="str">
        <f t="shared" si="177"/>
        <v>High Speech, Language Pathway/
Audio</v>
      </c>
      <c r="W2086" t="str">
        <f t="shared" si="178"/>
        <v>Speech, Language Pathway/
Audio</v>
      </c>
    </row>
    <row r="2087" spans="1:23" x14ac:dyDescent="0.25">
      <c r="A2087">
        <v>27402</v>
      </c>
      <c r="B2087" t="s">
        <v>1312</v>
      </c>
      <c r="C2087">
        <v>0.45700000000000002</v>
      </c>
      <c r="D2087" t="s">
        <v>1264</v>
      </c>
      <c r="E2087">
        <v>100090</v>
      </c>
      <c r="F2087">
        <v>27402</v>
      </c>
      <c r="G2087" t="str">
        <f t="shared" si="176"/>
        <v>27402</v>
      </c>
      <c r="H2087" t="s">
        <v>488</v>
      </c>
      <c r="I2087" t="s">
        <v>1265</v>
      </c>
      <c r="J2087" t="s">
        <v>1266</v>
      </c>
      <c r="K2087" t="s">
        <v>1267</v>
      </c>
      <c r="L2087" t="s">
        <v>1312</v>
      </c>
      <c r="M2087" t="s">
        <v>1351</v>
      </c>
      <c r="N2087">
        <v>21</v>
      </c>
      <c r="O2087" t="str">
        <f t="shared" si="179"/>
        <v>45</v>
      </c>
      <c r="P2087">
        <v>45</v>
      </c>
      <c r="R2087" t="s">
        <v>1269</v>
      </c>
      <c r="S2087">
        <v>0.45700000000000002</v>
      </c>
      <c r="T2087">
        <v>0.31130000000000002</v>
      </c>
      <c r="U2087">
        <f t="shared" si="180"/>
        <v>0.14199999999999999</v>
      </c>
      <c r="V2087" t="str">
        <f t="shared" si="177"/>
        <v>Middle Speech, Language Pathway/
Audio</v>
      </c>
      <c r="W2087" t="str">
        <f t="shared" si="178"/>
        <v>Speech, Language Pathway/
Audio</v>
      </c>
    </row>
    <row r="2088" spans="1:23" x14ac:dyDescent="0.25">
      <c r="A2088">
        <v>27402</v>
      </c>
      <c r="B2088" t="s">
        <v>1298</v>
      </c>
      <c r="C2088">
        <v>6.4</v>
      </c>
      <c r="D2088" t="s">
        <v>1264</v>
      </c>
      <c r="E2088">
        <v>100090</v>
      </c>
      <c r="F2088">
        <v>27402</v>
      </c>
      <c r="G2088" t="str">
        <f t="shared" si="176"/>
        <v>27402</v>
      </c>
      <c r="H2088" t="s">
        <v>488</v>
      </c>
      <c r="I2088" t="s">
        <v>1265</v>
      </c>
      <c r="J2088" t="s">
        <v>1276</v>
      </c>
      <c r="K2088" t="s">
        <v>1277</v>
      </c>
      <c r="L2088" t="s">
        <v>1298</v>
      </c>
      <c r="M2088" t="s">
        <v>1349</v>
      </c>
      <c r="N2088">
        <v>21</v>
      </c>
      <c r="O2088" t="str">
        <f t="shared" si="179"/>
        <v>46</v>
      </c>
      <c r="P2088">
        <v>46</v>
      </c>
      <c r="R2088" t="s">
        <v>1269</v>
      </c>
      <c r="S2088">
        <v>6.4</v>
      </c>
      <c r="T2088">
        <v>0.31130000000000002</v>
      </c>
      <c r="U2088">
        <f t="shared" si="180"/>
        <v>1.992</v>
      </c>
      <c r="V2088" t="str">
        <f t="shared" si="177"/>
        <v>Elementary Psychologist</v>
      </c>
      <c r="W2088" t="str">
        <f t="shared" si="178"/>
        <v>Psychologist</v>
      </c>
    </row>
    <row r="2089" spans="1:23" x14ac:dyDescent="0.25">
      <c r="A2089">
        <v>27402</v>
      </c>
      <c r="B2089" t="s">
        <v>1309</v>
      </c>
      <c r="C2089">
        <v>3</v>
      </c>
      <c r="D2089" t="s">
        <v>1264</v>
      </c>
      <c r="E2089">
        <v>100090</v>
      </c>
      <c r="F2089">
        <v>27402</v>
      </c>
      <c r="G2089" t="str">
        <f t="shared" si="176"/>
        <v>27402</v>
      </c>
      <c r="H2089" t="s">
        <v>488</v>
      </c>
      <c r="I2089" t="s">
        <v>1265</v>
      </c>
      <c r="J2089" t="s">
        <v>1271</v>
      </c>
      <c r="K2089" t="s">
        <v>1272</v>
      </c>
      <c r="L2089" t="s">
        <v>1309</v>
      </c>
      <c r="M2089" t="s">
        <v>1310</v>
      </c>
      <c r="N2089">
        <v>21</v>
      </c>
      <c r="O2089" t="str">
        <f t="shared" si="179"/>
        <v>46</v>
      </c>
      <c r="P2089">
        <v>46</v>
      </c>
      <c r="R2089" t="s">
        <v>1269</v>
      </c>
      <c r="S2089">
        <v>3</v>
      </c>
      <c r="T2089">
        <v>0.31130000000000002</v>
      </c>
      <c r="U2089">
        <f t="shared" si="180"/>
        <v>0.93400000000000005</v>
      </c>
      <c r="V2089" t="str">
        <f t="shared" si="177"/>
        <v>High Psychologist</v>
      </c>
      <c r="W2089" t="str">
        <f t="shared" si="178"/>
        <v>Psychologist</v>
      </c>
    </row>
    <row r="2090" spans="1:23" x14ac:dyDescent="0.25">
      <c r="A2090">
        <v>27402</v>
      </c>
      <c r="B2090" t="s">
        <v>1302</v>
      </c>
      <c r="C2090">
        <v>1.877</v>
      </c>
      <c r="D2090" t="s">
        <v>1264</v>
      </c>
      <c r="E2090">
        <v>100090</v>
      </c>
      <c r="F2090">
        <v>27402</v>
      </c>
      <c r="G2090" t="str">
        <f t="shared" si="176"/>
        <v>27402</v>
      </c>
      <c r="H2090" t="s">
        <v>488</v>
      </c>
      <c r="I2090" t="s">
        <v>1265</v>
      </c>
      <c r="J2090" t="s">
        <v>1276</v>
      </c>
      <c r="K2090" t="s">
        <v>1277</v>
      </c>
      <c r="L2090" t="s">
        <v>1302</v>
      </c>
      <c r="M2090" t="s">
        <v>1336</v>
      </c>
      <c r="N2090">
        <v>21</v>
      </c>
      <c r="O2090" t="str">
        <f t="shared" si="179"/>
        <v>48</v>
      </c>
      <c r="P2090">
        <v>48</v>
      </c>
      <c r="R2090" t="s">
        <v>1269</v>
      </c>
      <c r="S2090">
        <v>1.877</v>
      </c>
      <c r="T2090">
        <v>0.31130000000000002</v>
      </c>
      <c r="U2090">
        <f t="shared" si="180"/>
        <v>0.58399999999999996</v>
      </c>
      <c r="V2090" t="str">
        <f t="shared" si="177"/>
        <v>Elementary Physical Therapist</v>
      </c>
      <c r="W2090" t="str">
        <f t="shared" si="178"/>
        <v>Physical Therapist</v>
      </c>
    </row>
    <row r="2091" spans="1:23" x14ac:dyDescent="0.25">
      <c r="A2091">
        <v>27402</v>
      </c>
      <c r="B2091" t="s">
        <v>1330</v>
      </c>
      <c r="C2091">
        <v>0.23499999999999999</v>
      </c>
      <c r="D2091" t="s">
        <v>1264</v>
      </c>
      <c r="E2091">
        <v>100090</v>
      </c>
      <c r="F2091">
        <v>27402</v>
      </c>
      <c r="G2091" t="str">
        <f t="shared" si="176"/>
        <v>27402</v>
      </c>
      <c r="H2091" t="s">
        <v>488</v>
      </c>
      <c r="I2091" t="s">
        <v>1265</v>
      </c>
      <c r="J2091" t="s">
        <v>1271</v>
      </c>
      <c r="K2091" t="s">
        <v>1272</v>
      </c>
      <c r="L2091" t="s">
        <v>1330</v>
      </c>
      <c r="M2091" t="s">
        <v>1367</v>
      </c>
      <c r="N2091">
        <v>21</v>
      </c>
      <c r="O2091" t="str">
        <f t="shared" si="179"/>
        <v>48</v>
      </c>
      <c r="P2091">
        <v>48</v>
      </c>
      <c r="R2091" t="s">
        <v>1269</v>
      </c>
      <c r="S2091">
        <v>0.23499999999999999</v>
      </c>
      <c r="T2091">
        <v>0.31130000000000002</v>
      </c>
      <c r="U2091">
        <f t="shared" si="180"/>
        <v>7.2999999999999995E-2</v>
      </c>
      <c r="V2091" t="str">
        <f t="shared" si="177"/>
        <v>High Physical Therapist</v>
      </c>
      <c r="W2091" t="str">
        <f t="shared" si="178"/>
        <v>Physical Therapist</v>
      </c>
    </row>
    <row r="2092" spans="1:23" x14ac:dyDescent="0.25">
      <c r="A2092">
        <v>27403</v>
      </c>
      <c r="B2092" t="s">
        <v>1379</v>
      </c>
      <c r="C2092">
        <v>1</v>
      </c>
      <c r="D2092" t="s">
        <v>1264</v>
      </c>
      <c r="E2092">
        <v>100022</v>
      </c>
      <c r="F2092">
        <v>27403</v>
      </c>
      <c r="G2092" t="str">
        <f t="shared" si="176"/>
        <v>27403</v>
      </c>
      <c r="H2092" t="s">
        <v>489</v>
      </c>
      <c r="I2092" t="s">
        <v>1265</v>
      </c>
      <c r="J2092" t="s">
        <v>1271</v>
      </c>
      <c r="K2092" t="s">
        <v>1272</v>
      </c>
      <c r="L2092" t="s">
        <v>1379</v>
      </c>
      <c r="M2092" t="s">
        <v>1380</v>
      </c>
      <c r="N2092">
        <v>21</v>
      </c>
      <c r="O2092" t="str">
        <f t="shared" si="179"/>
        <v>24</v>
      </c>
      <c r="P2092">
        <v>96</v>
      </c>
      <c r="Q2092">
        <v>24</v>
      </c>
      <c r="R2092" t="s">
        <v>1269</v>
      </c>
      <c r="S2092">
        <v>1</v>
      </c>
      <c r="T2092">
        <v>0.31690000000000002</v>
      </c>
      <c r="U2092">
        <f t="shared" si="180"/>
        <v>0.317</v>
      </c>
      <c r="V2092" t="str">
        <f t="shared" si="177"/>
        <v>High Family Engagement Coordinator</v>
      </c>
      <c r="W2092" t="str">
        <f t="shared" si="178"/>
        <v>Family Engagement Coordinator</v>
      </c>
    </row>
    <row r="2093" spans="1:23" x14ac:dyDescent="0.25">
      <c r="A2093">
        <v>27403</v>
      </c>
      <c r="B2093" t="s">
        <v>1383</v>
      </c>
      <c r="C2093">
        <v>18.294</v>
      </c>
      <c r="D2093" t="s">
        <v>1264</v>
      </c>
      <c r="E2093">
        <v>100022</v>
      </c>
      <c r="F2093">
        <v>27403</v>
      </c>
      <c r="G2093" t="str">
        <f t="shared" si="176"/>
        <v>27403</v>
      </c>
      <c r="H2093" t="s">
        <v>489</v>
      </c>
      <c r="I2093" t="s">
        <v>1265</v>
      </c>
      <c r="J2093" t="s">
        <v>1271</v>
      </c>
      <c r="K2093" t="s">
        <v>1272</v>
      </c>
      <c r="L2093" t="s">
        <v>1383</v>
      </c>
      <c r="M2093" t="s">
        <v>1409</v>
      </c>
      <c r="N2093">
        <v>21</v>
      </c>
      <c r="O2093" t="str">
        <f t="shared" si="179"/>
        <v>25</v>
      </c>
      <c r="Q2093">
        <v>25</v>
      </c>
      <c r="R2093" t="s">
        <v>1269</v>
      </c>
      <c r="S2093">
        <v>18.294</v>
      </c>
      <c r="T2093">
        <v>0.31690000000000002</v>
      </c>
      <c r="U2093">
        <f t="shared" si="180"/>
        <v>5.7969999999999997</v>
      </c>
      <c r="V2093" t="str">
        <f t="shared" si="177"/>
        <v>High Pupil Management</v>
      </c>
      <c r="W2093" t="str">
        <f t="shared" si="178"/>
        <v>Pupil Management</v>
      </c>
    </row>
    <row r="2094" spans="1:23" x14ac:dyDescent="0.25">
      <c r="A2094">
        <v>27403</v>
      </c>
      <c r="B2094" t="s">
        <v>1299</v>
      </c>
      <c r="C2094">
        <v>20.783999999999999</v>
      </c>
      <c r="D2094" t="s">
        <v>1264</v>
      </c>
      <c r="E2094">
        <v>100022</v>
      </c>
      <c r="F2094">
        <v>27403</v>
      </c>
      <c r="G2094" t="str">
        <f t="shared" si="176"/>
        <v>27403</v>
      </c>
      <c r="H2094" t="s">
        <v>489</v>
      </c>
      <c r="I2094" t="s">
        <v>1265</v>
      </c>
      <c r="J2094" t="s">
        <v>1271</v>
      </c>
      <c r="K2094" t="s">
        <v>1272</v>
      </c>
      <c r="L2094" t="s">
        <v>1299</v>
      </c>
      <c r="M2094" t="s">
        <v>1300</v>
      </c>
      <c r="N2094">
        <v>1</v>
      </c>
      <c r="O2094" t="str">
        <f t="shared" si="179"/>
        <v>25</v>
      </c>
      <c r="Q2094">
        <v>25</v>
      </c>
      <c r="R2094" t="s">
        <v>1269</v>
      </c>
      <c r="S2094">
        <v>20.783999999999999</v>
      </c>
      <c r="T2094">
        <v>0.31690000000000002</v>
      </c>
      <c r="U2094">
        <f t="shared" si="180"/>
        <v>0</v>
      </c>
      <c r="V2094" t="str">
        <f t="shared" si="177"/>
        <v>High Pupil Management</v>
      </c>
      <c r="W2094" t="str">
        <f t="shared" si="178"/>
        <v>Pupil Management</v>
      </c>
    </row>
    <row r="2095" spans="1:23" x14ac:dyDescent="0.25">
      <c r="A2095">
        <v>27403</v>
      </c>
      <c r="B2095" t="s">
        <v>1324</v>
      </c>
      <c r="C2095">
        <v>11.35</v>
      </c>
      <c r="D2095" t="s">
        <v>1264</v>
      </c>
      <c r="E2095">
        <v>100022</v>
      </c>
      <c r="F2095">
        <v>27403</v>
      </c>
      <c r="G2095" t="str">
        <f t="shared" si="176"/>
        <v>27403</v>
      </c>
      <c r="H2095" t="s">
        <v>489</v>
      </c>
      <c r="I2095" t="s">
        <v>1265</v>
      </c>
      <c r="J2095" t="s">
        <v>1271</v>
      </c>
      <c r="K2095" t="s">
        <v>1272</v>
      </c>
      <c r="L2095" t="s">
        <v>1324</v>
      </c>
      <c r="M2095" t="s">
        <v>1325</v>
      </c>
      <c r="N2095">
        <v>21</v>
      </c>
      <c r="O2095" t="str">
        <f t="shared" si="179"/>
        <v>26</v>
      </c>
      <c r="Q2095">
        <v>26</v>
      </c>
      <c r="R2095" t="s">
        <v>1269</v>
      </c>
      <c r="S2095">
        <v>11.35</v>
      </c>
      <c r="T2095">
        <v>0.31690000000000002</v>
      </c>
      <c r="U2095">
        <f t="shared" si="180"/>
        <v>3.597</v>
      </c>
      <c r="V2095" t="str">
        <f t="shared" si="177"/>
        <v>High Health/
Related Services</v>
      </c>
      <c r="W2095" t="str">
        <f t="shared" si="178"/>
        <v>Health/
Related Services</v>
      </c>
    </row>
    <row r="2096" spans="1:23" x14ac:dyDescent="0.25">
      <c r="A2096">
        <v>27403</v>
      </c>
      <c r="B2096" t="s">
        <v>1295</v>
      </c>
      <c r="C2096">
        <v>19.962</v>
      </c>
      <c r="D2096" t="s">
        <v>1264</v>
      </c>
      <c r="E2096">
        <v>100022</v>
      </c>
      <c r="F2096">
        <v>27403</v>
      </c>
      <c r="G2096" t="str">
        <f t="shared" si="176"/>
        <v>27403</v>
      </c>
      <c r="H2096" t="s">
        <v>489</v>
      </c>
      <c r="I2096" t="s">
        <v>1265</v>
      </c>
      <c r="J2096" t="s">
        <v>1271</v>
      </c>
      <c r="K2096" t="s">
        <v>1272</v>
      </c>
      <c r="L2096" t="s">
        <v>1295</v>
      </c>
      <c r="M2096" t="s">
        <v>1296</v>
      </c>
      <c r="N2096">
        <v>1</v>
      </c>
      <c r="O2096" t="str">
        <f t="shared" si="179"/>
        <v>26</v>
      </c>
      <c r="Q2096">
        <v>26</v>
      </c>
      <c r="R2096" t="s">
        <v>1269</v>
      </c>
      <c r="S2096">
        <v>19.962</v>
      </c>
      <c r="T2096">
        <v>0.31690000000000002</v>
      </c>
      <c r="U2096">
        <f t="shared" si="180"/>
        <v>0</v>
      </c>
      <c r="V2096" t="str">
        <f t="shared" si="177"/>
        <v>High Health/
Related Services</v>
      </c>
      <c r="W2096" t="str">
        <f t="shared" si="178"/>
        <v>Health/
Related Services</v>
      </c>
    </row>
    <row r="2097" spans="1:23" x14ac:dyDescent="0.25">
      <c r="A2097">
        <v>27403</v>
      </c>
      <c r="B2097" t="s">
        <v>1401</v>
      </c>
      <c r="C2097">
        <v>12.162000000000001</v>
      </c>
      <c r="D2097" t="s">
        <v>1264</v>
      </c>
      <c r="E2097">
        <v>100022</v>
      </c>
      <c r="F2097">
        <v>27403</v>
      </c>
      <c r="G2097" t="str">
        <f t="shared" si="176"/>
        <v>27403</v>
      </c>
      <c r="H2097" t="s">
        <v>489</v>
      </c>
      <c r="I2097" t="s">
        <v>1265</v>
      </c>
      <c r="J2097" t="s">
        <v>1271</v>
      </c>
      <c r="K2097" t="s">
        <v>1272</v>
      </c>
      <c r="L2097" t="s">
        <v>1401</v>
      </c>
      <c r="M2097" t="s">
        <v>1422</v>
      </c>
      <c r="N2097">
        <v>1</v>
      </c>
      <c r="O2097" t="str">
        <f t="shared" si="179"/>
        <v>35</v>
      </c>
      <c r="Q2097">
        <v>35</v>
      </c>
      <c r="R2097" t="s">
        <v>1269</v>
      </c>
      <c r="S2097">
        <v>12.162000000000001</v>
      </c>
      <c r="T2097">
        <v>0.31690000000000002</v>
      </c>
      <c r="U2097">
        <f t="shared" si="180"/>
        <v>0</v>
      </c>
      <c r="V2097" t="str">
        <f t="shared" si="177"/>
        <v>High Pupil Safety</v>
      </c>
      <c r="W2097" t="str">
        <f t="shared" si="178"/>
        <v>Pupil Safety</v>
      </c>
    </row>
    <row r="2098" spans="1:23" x14ac:dyDescent="0.25">
      <c r="A2098">
        <v>27403</v>
      </c>
      <c r="B2098" t="s">
        <v>1275</v>
      </c>
      <c r="C2098">
        <v>14.962</v>
      </c>
      <c r="D2098" t="s">
        <v>1264</v>
      </c>
      <c r="E2098">
        <v>100022</v>
      </c>
      <c r="F2098">
        <v>27403</v>
      </c>
      <c r="G2098" t="str">
        <f t="shared" si="176"/>
        <v>27403</v>
      </c>
      <c r="H2098" t="s">
        <v>489</v>
      </c>
      <c r="I2098" t="s">
        <v>1265</v>
      </c>
      <c r="J2098" t="s">
        <v>1276</v>
      </c>
      <c r="K2098" t="s">
        <v>1277</v>
      </c>
      <c r="L2098" t="s">
        <v>1275</v>
      </c>
      <c r="M2098" t="s">
        <v>1278</v>
      </c>
      <c r="N2098">
        <v>1</v>
      </c>
      <c r="O2098" t="str">
        <f t="shared" si="179"/>
        <v>42</v>
      </c>
      <c r="P2098">
        <v>42</v>
      </c>
      <c r="R2098" t="s">
        <v>1269</v>
      </c>
      <c r="S2098">
        <v>14.962</v>
      </c>
      <c r="T2098">
        <v>0.31690000000000002</v>
      </c>
      <c r="U2098">
        <f t="shared" si="180"/>
        <v>0</v>
      </c>
      <c r="V2098" t="str">
        <f t="shared" si="177"/>
        <v>Elementary Counselor</v>
      </c>
      <c r="W2098" t="str">
        <f t="shared" si="178"/>
        <v>Counselor</v>
      </c>
    </row>
    <row r="2099" spans="1:23" x14ac:dyDescent="0.25">
      <c r="A2099">
        <v>27403</v>
      </c>
      <c r="B2099" t="s">
        <v>1385</v>
      </c>
      <c r="C2099">
        <v>1</v>
      </c>
      <c r="D2099" t="s">
        <v>1264</v>
      </c>
      <c r="E2099">
        <v>100022</v>
      </c>
      <c r="F2099">
        <v>27403</v>
      </c>
      <c r="G2099" t="str">
        <f t="shared" si="176"/>
        <v>27403</v>
      </c>
      <c r="H2099" t="s">
        <v>489</v>
      </c>
      <c r="I2099" t="s">
        <v>1265</v>
      </c>
      <c r="J2099" t="s">
        <v>1271</v>
      </c>
      <c r="K2099" t="s">
        <v>1272</v>
      </c>
      <c r="L2099" t="s">
        <v>1385</v>
      </c>
      <c r="M2099" t="s">
        <v>1421</v>
      </c>
      <c r="N2099">
        <v>21</v>
      </c>
      <c r="O2099" t="str">
        <f t="shared" si="179"/>
        <v>42</v>
      </c>
      <c r="P2099">
        <v>42</v>
      </c>
      <c r="R2099" t="s">
        <v>1269</v>
      </c>
      <c r="S2099">
        <v>1</v>
      </c>
      <c r="T2099">
        <v>0.31690000000000002</v>
      </c>
      <c r="U2099">
        <f t="shared" si="180"/>
        <v>0.317</v>
      </c>
      <c r="V2099" t="str">
        <f t="shared" si="177"/>
        <v>High Counselor</v>
      </c>
      <c r="W2099" t="str">
        <f t="shared" si="178"/>
        <v>Counselor</v>
      </c>
    </row>
    <row r="2100" spans="1:23" x14ac:dyDescent="0.25">
      <c r="A2100">
        <v>27403</v>
      </c>
      <c r="B2100" t="s">
        <v>1270</v>
      </c>
      <c r="C2100">
        <v>12.2</v>
      </c>
      <c r="D2100" t="s">
        <v>1264</v>
      </c>
      <c r="E2100">
        <v>100022</v>
      </c>
      <c r="F2100">
        <v>27403</v>
      </c>
      <c r="G2100" t="str">
        <f t="shared" si="176"/>
        <v>27403</v>
      </c>
      <c r="H2100" t="s">
        <v>489</v>
      </c>
      <c r="I2100" t="s">
        <v>1265</v>
      </c>
      <c r="J2100" t="s">
        <v>1271</v>
      </c>
      <c r="K2100" t="s">
        <v>1272</v>
      </c>
      <c r="L2100" t="s">
        <v>1270</v>
      </c>
      <c r="M2100" t="s">
        <v>1273</v>
      </c>
      <c r="N2100">
        <v>1</v>
      </c>
      <c r="O2100" t="str">
        <f t="shared" si="179"/>
        <v>42</v>
      </c>
      <c r="P2100">
        <v>42</v>
      </c>
      <c r="R2100" t="s">
        <v>1269</v>
      </c>
      <c r="S2100">
        <v>12.2</v>
      </c>
      <c r="T2100">
        <v>0.31690000000000002</v>
      </c>
      <c r="U2100">
        <f t="shared" si="180"/>
        <v>0</v>
      </c>
      <c r="V2100" t="str">
        <f t="shared" si="177"/>
        <v>High Counselor</v>
      </c>
      <c r="W2100" t="str">
        <f t="shared" si="178"/>
        <v>Counselor</v>
      </c>
    </row>
    <row r="2101" spans="1:23" x14ac:dyDescent="0.25">
      <c r="A2101">
        <v>27403</v>
      </c>
      <c r="B2101" t="s">
        <v>1263</v>
      </c>
      <c r="C2101">
        <v>6.6379999999999999</v>
      </c>
      <c r="D2101" t="s">
        <v>1264</v>
      </c>
      <c r="E2101">
        <v>100022</v>
      </c>
      <c r="F2101">
        <v>27403</v>
      </c>
      <c r="G2101" t="str">
        <f t="shared" si="176"/>
        <v>27403</v>
      </c>
      <c r="H2101" t="s">
        <v>489</v>
      </c>
      <c r="I2101" t="s">
        <v>1265</v>
      </c>
      <c r="J2101" t="s">
        <v>1266</v>
      </c>
      <c r="K2101" t="s">
        <v>1267</v>
      </c>
      <c r="L2101" t="s">
        <v>1263</v>
      </c>
      <c r="M2101" t="s">
        <v>1268</v>
      </c>
      <c r="N2101">
        <v>1</v>
      </c>
      <c r="O2101" t="str">
        <f t="shared" si="179"/>
        <v>42</v>
      </c>
      <c r="P2101">
        <v>42</v>
      </c>
      <c r="R2101" t="s">
        <v>1269</v>
      </c>
      <c r="S2101">
        <v>6.6379999999999999</v>
      </c>
      <c r="T2101">
        <v>0.31690000000000002</v>
      </c>
      <c r="U2101">
        <f t="shared" si="180"/>
        <v>0</v>
      </c>
      <c r="V2101" t="str">
        <f t="shared" si="177"/>
        <v>Middle Counselor</v>
      </c>
      <c r="W2101" t="str">
        <f t="shared" si="178"/>
        <v>Counselor</v>
      </c>
    </row>
    <row r="2102" spans="1:23" x14ac:dyDescent="0.25">
      <c r="A2102">
        <v>27403</v>
      </c>
      <c r="B2102" t="s">
        <v>1289</v>
      </c>
      <c r="C2102">
        <v>7.3410000000000002</v>
      </c>
      <c r="D2102" t="s">
        <v>1264</v>
      </c>
      <c r="E2102">
        <v>100022</v>
      </c>
      <c r="F2102">
        <v>27403</v>
      </c>
      <c r="G2102" t="str">
        <f t="shared" si="176"/>
        <v>27403</v>
      </c>
      <c r="H2102" t="s">
        <v>489</v>
      </c>
      <c r="I2102" t="s">
        <v>1265</v>
      </c>
      <c r="J2102" t="s">
        <v>1276</v>
      </c>
      <c r="K2102" t="s">
        <v>1277</v>
      </c>
      <c r="L2102" t="s">
        <v>1289</v>
      </c>
      <c r="M2102" t="s">
        <v>1307</v>
      </c>
      <c r="N2102">
        <v>21</v>
      </c>
      <c r="O2102" t="str">
        <f t="shared" si="179"/>
        <v>43</v>
      </c>
      <c r="P2102">
        <v>43</v>
      </c>
      <c r="R2102" t="s">
        <v>1269</v>
      </c>
      <c r="S2102">
        <v>7.3410000000000002</v>
      </c>
      <c r="T2102">
        <v>0.31690000000000002</v>
      </c>
      <c r="U2102">
        <f t="shared" si="180"/>
        <v>2.3260000000000001</v>
      </c>
      <c r="V2102" t="str">
        <f t="shared" si="177"/>
        <v>Elementary Occupational Therapist</v>
      </c>
      <c r="W2102" t="str">
        <f t="shared" si="178"/>
        <v>Occupational Therapist</v>
      </c>
    </row>
    <row r="2103" spans="1:23" x14ac:dyDescent="0.25">
      <c r="A2103">
        <v>27403</v>
      </c>
      <c r="B2103" t="s">
        <v>1387</v>
      </c>
      <c r="C2103">
        <v>0.307</v>
      </c>
      <c r="D2103" t="s">
        <v>1264</v>
      </c>
      <c r="E2103">
        <v>100022</v>
      </c>
      <c r="F2103">
        <v>27403</v>
      </c>
      <c r="G2103" t="str">
        <f t="shared" si="176"/>
        <v>27403</v>
      </c>
      <c r="H2103" t="s">
        <v>489</v>
      </c>
      <c r="I2103" t="s">
        <v>1265</v>
      </c>
      <c r="J2103" t="s">
        <v>1271</v>
      </c>
      <c r="K2103" t="s">
        <v>1272</v>
      </c>
      <c r="L2103" t="s">
        <v>1387</v>
      </c>
      <c r="M2103" t="s">
        <v>1406</v>
      </c>
      <c r="N2103">
        <v>21</v>
      </c>
      <c r="O2103" t="str">
        <f t="shared" si="179"/>
        <v>43</v>
      </c>
      <c r="P2103">
        <v>43</v>
      </c>
      <c r="R2103" t="s">
        <v>1269</v>
      </c>
      <c r="S2103">
        <v>0.307</v>
      </c>
      <c r="T2103">
        <v>0.31690000000000002</v>
      </c>
      <c r="U2103">
        <f t="shared" si="180"/>
        <v>9.7000000000000003E-2</v>
      </c>
      <c r="V2103" t="str">
        <f t="shared" si="177"/>
        <v>High Occupational Therapist</v>
      </c>
      <c r="W2103" t="str">
        <f t="shared" si="178"/>
        <v>Occupational Therapist</v>
      </c>
    </row>
    <row r="2104" spans="1:23" x14ac:dyDescent="0.25">
      <c r="A2104">
        <v>27403</v>
      </c>
      <c r="B2104" t="s">
        <v>1303</v>
      </c>
      <c r="C2104">
        <v>0.73099999999999998</v>
      </c>
      <c r="D2104" t="s">
        <v>1264</v>
      </c>
      <c r="E2104">
        <v>100022</v>
      </c>
      <c r="F2104">
        <v>27403</v>
      </c>
      <c r="G2104" t="str">
        <f t="shared" si="176"/>
        <v>27403</v>
      </c>
      <c r="H2104" t="s">
        <v>489</v>
      </c>
      <c r="I2104" t="s">
        <v>1265</v>
      </c>
      <c r="J2104" t="s">
        <v>1266</v>
      </c>
      <c r="K2104" t="s">
        <v>1267</v>
      </c>
      <c r="L2104" t="s">
        <v>1303</v>
      </c>
      <c r="M2104" t="s">
        <v>1304</v>
      </c>
      <c r="N2104">
        <v>21</v>
      </c>
      <c r="O2104" t="str">
        <f t="shared" si="179"/>
        <v>43</v>
      </c>
      <c r="P2104">
        <v>43</v>
      </c>
      <c r="R2104" t="s">
        <v>1269</v>
      </c>
      <c r="S2104">
        <v>0.73099999999999998</v>
      </c>
      <c r="T2104">
        <v>0.31690000000000002</v>
      </c>
      <c r="U2104">
        <f t="shared" si="180"/>
        <v>0.23200000000000001</v>
      </c>
      <c r="V2104" t="str">
        <f t="shared" si="177"/>
        <v>Middle Occupational Therapist</v>
      </c>
      <c r="W2104" t="str">
        <f t="shared" si="178"/>
        <v>Occupational Therapist</v>
      </c>
    </row>
    <row r="2105" spans="1:23" x14ac:dyDescent="0.25">
      <c r="A2105">
        <v>27403</v>
      </c>
      <c r="B2105" t="s">
        <v>1331</v>
      </c>
      <c r="C2105">
        <v>8.8179999999999996</v>
      </c>
      <c r="D2105" t="s">
        <v>1264</v>
      </c>
      <c r="E2105">
        <v>100022</v>
      </c>
      <c r="F2105">
        <v>27403</v>
      </c>
      <c r="G2105" t="str">
        <f t="shared" si="176"/>
        <v>27403</v>
      </c>
      <c r="H2105" t="s">
        <v>489</v>
      </c>
      <c r="I2105" t="s">
        <v>1265</v>
      </c>
      <c r="J2105" t="s">
        <v>1276</v>
      </c>
      <c r="K2105" t="s">
        <v>1277</v>
      </c>
      <c r="L2105" t="s">
        <v>1331</v>
      </c>
      <c r="M2105" t="s">
        <v>1405</v>
      </c>
      <c r="N2105">
        <v>1</v>
      </c>
      <c r="O2105" t="str">
        <f t="shared" si="179"/>
        <v>44</v>
      </c>
      <c r="P2105">
        <v>44</v>
      </c>
      <c r="R2105" t="s">
        <v>1269</v>
      </c>
      <c r="S2105">
        <v>8.8179999999999996</v>
      </c>
      <c r="T2105">
        <v>0.31690000000000002</v>
      </c>
      <c r="U2105">
        <f t="shared" si="180"/>
        <v>0</v>
      </c>
      <c r="V2105" t="str">
        <f t="shared" si="177"/>
        <v>Elementary Social Worker</v>
      </c>
      <c r="W2105" t="str">
        <f t="shared" si="178"/>
        <v>Social Worker</v>
      </c>
    </row>
    <row r="2106" spans="1:23" x14ac:dyDescent="0.25">
      <c r="A2106">
        <v>27403</v>
      </c>
      <c r="B2106" t="s">
        <v>1359</v>
      </c>
      <c r="C2106">
        <v>3.4</v>
      </c>
      <c r="D2106" t="s">
        <v>1264</v>
      </c>
      <c r="E2106">
        <v>100022</v>
      </c>
      <c r="F2106">
        <v>27403</v>
      </c>
      <c r="G2106" t="str">
        <f t="shared" si="176"/>
        <v>27403</v>
      </c>
      <c r="H2106" t="s">
        <v>489</v>
      </c>
      <c r="I2106" t="s">
        <v>1265</v>
      </c>
      <c r="J2106" t="s">
        <v>1271</v>
      </c>
      <c r="K2106" t="s">
        <v>1272</v>
      </c>
      <c r="L2106" t="s">
        <v>1359</v>
      </c>
      <c r="M2106" t="s">
        <v>1360</v>
      </c>
      <c r="N2106">
        <v>1</v>
      </c>
      <c r="O2106" t="str">
        <f t="shared" si="179"/>
        <v>44</v>
      </c>
      <c r="P2106">
        <v>44</v>
      </c>
      <c r="R2106" t="s">
        <v>1269</v>
      </c>
      <c r="S2106">
        <v>3.4</v>
      </c>
      <c r="T2106">
        <v>0.31690000000000002</v>
      </c>
      <c r="U2106">
        <f t="shared" si="180"/>
        <v>0</v>
      </c>
      <c r="V2106" t="str">
        <f t="shared" si="177"/>
        <v>High Social Worker</v>
      </c>
      <c r="W2106" t="str">
        <f t="shared" si="178"/>
        <v>Social Worker</v>
      </c>
    </row>
    <row r="2107" spans="1:23" x14ac:dyDescent="0.25">
      <c r="A2107">
        <v>27403</v>
      </c>
      <c r="B2107" t="s">
        <v>1356</v>
      </c>
      <c r="C2107">
        <v>2.4820000000000002</v>
      </c>
      <c r="D2107" t="s">
        <v>1264</v>
      </c>
      <c r="E2107">
        <v>100022</v>
      </c>
      <c r="F2107">
        <v>27403</v>
      </c>
      <c r="G2107" t="str">
        <f t="shared" si="176"/>
        <v>27403</v>
      </c>
      <c r="H2107" t="s">
        <v>489</v>
      </c>
      <c r="I2107" t="s">
        <v>1265</v>
      </c>
      <c r="J2107" t="s">
        <v>1266</v>
      </c>
      <c r="K2107" t="s">
        <v>1267</v>
      </c>
      <c r="L2107" t="s">
        <v>1356</v>
      </c>
      <c r="M2107" t="s">
        <v>1357</v>
      </c>
      <c r="N2107">
        <v>1</v>
      </c>
      <c r="O2107" t="str">
        <f t="shared" si="179"/>
        <v>44</v>
      </c>
      <c r="P2107">
        <v>44</v>
      </c>
      <c r="R2107" t="s">
        <v>1269</v>
      </c>
      <c r="S2107">
        <v>2.4820000000000002</v>
      </c>
      <c r="T2107">
        <v>0.31690000000000002</v>
      </c>
      <c r="U2107">
        <f t="shared" si="180"/>
        <v>0</v>
      </c>
      <c r="V2107" t="str">
        <f t="shared" si="177"/>
        <v>Middle Social Worker</v>
      </c>
      <c r="W2107" t="str">
        <f t="shared" si="178"/>
        <v>Social Worker</v>
      </c>
    </row>
    <row r="2108" spans="1:23" x14ac:dyDescent="0.25">
      <c r="A2108">
        <v>27403</v>
      </c>
      <c r="B2108" t="s">
        <v>1294</v>
      </c>
      <c r="C2108">
        <v>7.6</v>
      </c>
      <c r="D2108" t="s">
        <v>1264</v>
      </c>
      <c r="E2108">
        <v>100022</v>
      </c>
      <c r="F2108">
        <v>27403</v>
      </c>
      <c r="G2108" t="str">
        <f t="shared" si="176"/>
        <v>27403</v>
      </c>
      <c r="H2108" t="s">
        <v>489</v>
      </c>
      <c r="I2108" t="s">
        <v>1265</v>
      </c>
      <c r="J2108" t="s">
        <v>1276</v>
      </c>
      <c r="K2108" t="s">
        <v>1277</v>
      </c>
      <c r="L2108" t="s">
        <v>1294</v>
      </c>
      <c r="M2108" t="s">
        <v>1354</v>
      </c>
      <c r="N2108">
        <v>21</v>
      </c>
      <c r="O2108" t="str">
        <f t="shared" si="179"/>
        <v>45</v>
      </c>
      <c r="P2108">
        <v>45</v>
      </c>
      <c r="R2108" t="s">
        <v>1269</v>
      </c>
      <c r="S2108">
        <v>7.6</v>
      </c>
      <c r="T2108">
        <v>0.31690000000000002</v>
      </c>
      <c r="U2108">
        <f t="shared" si="180"/>
        <v>2.4079999999999999</v>
      </c>
      <c r="V2108" t="str">
        <f t="shared" si="177"/>
        <v>Elementary Speech, Language Pathway/
Audio</v>
      </c>
      <c r="W2108" t="str">
        <f t="shared" si="178"/>
        <v>Speech, Language Pathway/
Audio</v>
      </c>
    </row>
    <row r="2109" spans="1:23" x14ac:dyDescent="0.25">
      <c r="A2109">
        <v>27403</v>
      </c>
      <c r="B2109" t="s">
        <v>1298</v>
      </c>
      <c r="C2109">
        <v>5.66</v>
      </c>
      <c r="D2109" t="s">
        <v>1264</v>
      </c>
      <c r="E2109">
        <v>100022</v>
      </c>
      <c r="F2109">
        <v>27403</v>
      </c>
      <c r="G2109" t="str">
        <f t="shared" si="176"/>
        <v>27403</v>
      </c>
      <c r="H2109" t="s">
        <v>489</v>
      </c>
      <c r="I2109" t="s">
        <v>1265</v>
      </c>
      <c r="J2109" t="s">
        <v>1276</v>
      </c>
      <c r="K2109" t="s">
        <v>1277</v>
      </c>
      <c r="L2109" t="s">
        <v>1298</v>
      </c>
      <c r="M2109" t="s">
        <v>1349</v>
      </c>
      <c r="N2109">
        <v>21</v>
      </c>
      <c r="O2109" t="str">
        <f t="shared" si="179"/>
        <v>46</v>
      </c>
      <c r="P2109">
        <v>46</v>
      </c>
      <c r="R2109" t="s">
        <v>1269</v>
      </c>
      <c r="S2109">
        <v>5.66</v>
      </c>
      <c r="T2109">
        <v>0.31690000000000002</v>
      </c>
      <c r="U2109">
        <f t="shared" si="180"/>
        <v>1.794</v>
      </c>
      <c r="V2109" t="str">
        <f t="shared" si="177"/>
        <v>Elementary Psychologist</v>
      </c>
      <c r="W2109" t="str">
        <f t="shared" si="178"/>
        <v>Psychologist</v>
      </c>
    </row>
    <row r="2110" spans="1:23" x14ac:dyDescent="0.25">
      <c r="A2110">
        <v>27403</v>
      </c>
      <c r="B2110" t="s">
        <v>1309</v>
      </c>
      <c r="C2110">
        <v>1</v>
      </c>
      <c r="D2110" t="s">
        <v>1264</v>
      </c>
      <c r="E2110">
        <v>100022</v>
      </c>
      <c r="F2110">
        <v>27403</v>
      </c>
      <c r="G2110" t="str">
        <f t="shared" si="176"/>
        <v>27403</v>
      </c>
      <c r="H2110" t="s">
        <v>489</v>
      </c>
      <c r="I2110" t="s">
        <v>1265</v>
      </c>
      <c r="J2110" t="s">
        <v>1271</v>
      </c>
      <c r="K2110" t="s">
        <v>1272</v>
      </c>
      <c r="L2110" t="s">
        <v>1309</v>
      </c>
      <c r="M2110" t="s">
        <v>1310</v>
      </c>
      <c r="N2110">
        <v>21</v>
      </c>
      <c r="O2110" t="str">
        <f t="shared" si="179"/>
        <v>46</v>
      </c>
      <c r="P2110">
        <v>46</v>
      </c>
      <c r="R2110" t="s">
        <v>1269</v>
      </c>
      <c r="S2110">
        <v>1</v>
      </c>
      <c r="T2110">
        <v>0.31690000000000002</v>
      </c>
      <c r="U2110">
        <f t="shared" si="180"/>
        <v>0.317</v>
      </c>
      <c r="V2110" t="str">
        <f t="shared" si="177"/>
        <v>High Psychologist</v>
      </c>
      <c r="W2110" t="str">
        <f t="shared" si="178"/>
        <v>Psychologist</v>
      </c>
    </row>
    <row r="2111" spans="1:23" x14ac:dyDescent="0.25">
      <c r="A2111">
        <v>27403</v>
      </c>
      <c r="B2111" t="s">
        <v>1345</v>
      </c>
      <c r="C2111">
        <v>1.34</v>
      </c>
      <c r="D2111" t="s">
        <v>1264</v>
      </c>
      <c r="E2111">
        <v>100022</v>
      </c>
      <c r="F2111">
        <v>27403</v>
      </c>
      <c r="G2111" t="str">
        <f t="shared" si="176"/>
        <v>27403</v>
      </c>
      <c r="H2111" t="s">
        <v>489</v>
      </c>
      <c r="I2111" t="s">
        <v>1265</v>
      </c>
      <c r="J2111" t="s">
        <v>1266</v>
      </c>
      <c r="K2111" t="s">
        <v>1267</v>
      </c>
      <c r="L2111" t="s">
        <v>1345</v>
      </c>
      <c r="M2111" t="s">
        <v>1346</v>
      </c>
      <c r="N2111">
        <v>21</v>
      </c>
      <c r="O2111" t="str">
        <f t="shared" si="179"/>
        <v>46</v>
      </c>
      <c r="P2111">
        <v>46</v>
      </c>
      <c r="R2111" t="s">
        <v>1269</v>
      </c>
      <c r="S2111">
        <v>1.34</v>
      </c>
      <c r="T2111">
        <v>0.31690000000000002</v>
      </c>
      <c r="U2111">
        <f t="shared" si="180"/>
        <v>0.42499999999999999</v>
      </c>
      <c r="V2111" t="str">
        <f t="shared" si="177"/>
        <v>Middle Psychologist</v>
      </c>
      <c r="W2111" t="str">
        <f t="shared" si="178"/>
        <v>Psychologist</v>
      </c>
    </row>
    <row r="2112" spans="1:23" x14ac:dyDescent="0.25">
      <c r="A2112">
        <v>27403</v>
      </c>
      <c r="B2112" t="s">
        <v>1335</v>
      </c>
      <c r="C2112">
        <v>11.964</v>
      </c>
      <c r="D2112" t="s">
        <v>1264</v>
      </c>
      <c r="E2112">
        <v>100022</v>
      </c>
      <c r="F2112">
        <v>27403</v>
      </c>
      <c r="G2112" t="str">
        <f t="shared" si="176"/>
        <v>27403</v>
      </c>
      <c r="H2112" t="s">
        <v>489</v>
      </c>
      <c r="I2112" t="s">
        <v>1265</v>
      </c>
      <c r="J2112" t="s">
        <v>1276</v>
      </c>
      <c r="K2112" t="s">
        <v>1277</v>
      </c>
      <c r="L2112" t="s">
        <v>1335</v>
      </c>
      <c r="M2112" t="s">
        <v>1344</v>
      </c>
      <c r="N2112">
        <v>1</v>
      </c>
      <c r="O2112" t="str">
        <f t="shared" si="179"/>
        <v>47</v>
      </c>
      <c r="P2112">
        <v>47</v>
      </c>
      <c r="R2112" t="s">
        <v>1269</v>
      </c>
      <c r="S2112">
        <v>11.964</v>
      </c>
      <c r="T2112">
        <v>0.31690000000000002</v>
      </c>
      <c r="U2112">
        <f t="shared" si="180"/>
        <v>0</v>
      </c>
      <c r="V2112" t="str">
        <f t="shared" si="177"/>
        <v>Elementary Nurse</v>
      </c>
      <c r="W2112" t="str">
        <f t="shared" si="178"/>
        <v>Nurse</v>
      </c>
    </row>
    <row r="2113" spans="1:23" x14ac:dyDescent="0.25">
      <c r="A2113">
        <v>27403</v>
      </c>
      <c r="B2113" t="s">
        <v>1341</v>
      </c>
      <c r="C2113">
        <v>3.1240000000000001</v>
      </c>
      <c r="D2113" t="s">
        <v>1264</v>
      </c>
      <c r="E2113">
        <v>100022</v>
      </c>
      <c r="F2113">
        <v>27403</v>
      </c>
      <c r="G2113" t="str">
        <f t="shared" si="176"/>
        <v>27403</v>
      </c>
      <c r="H2113" t="s">
        <v>489</v>
      </c>
      <c r="I2113" t="s">
        <v>1265</v>
      </c>
      <c r="J2113" t="s">
        <v>1271</v>
      </c>
      <c r="K2113" t="s">
        <v>1272</v>
      </c>
      <c r="L2113" t="s">
        <v>1341</v>
      </c>
      <c r="M2113" t="s">
        <v>1342</v>
      </c>
      <c r="N2113">
        <v>1</v>
      </c>
      <c r="O2113" t="str">
        <f t="shared" si="179"/>
        <v>47</v>
      </c>
      <c r="P2113">
        <v>47</v>
      </c>
      <c r="R2113" t="s">
        <v>1269</v>
      </c>
      <c r="S2113">
        <v>3.1240000000000001</v>
      </c>
      <c r="T2113">
        <v>0.31690000000000002</v>
      </c>
      <c r="U2113">
        <f t="shared" si="180"/>
        <v>0</v>
      </c>
      <c r="V2113" t="str">
        <f t="shared" si="177"/>
        <v>High Nurse</v>
      </c>
      <c r="W2113" t="str">
        <f t="shared" si="178"/>
        <v>Nurse</v>
      </c>
    </row>
    <row r="2114" spans="1:23" x14ac:dyDescent="0.25">
      <c r="A2114">
        <v>27403</v>
      </c>
      <c r="B2114" t="s">
        <v>1338</v>
      </c>
      <c r="C2114">
        <v>1.712</v>
      </c>
      <c r="D2114" t="s">
        <v>1264</v>
      </c>
      <c r="E2114">
        <v>100022</v>
      </c>
      <c r="F2114">
        <v>27403</v>
      </c>
      <c r="G2114" t="str">
        <f t="shared" ref="G2114:G2177" si="181">TEXT(F2114,"00000")</f>
        <v>27403</v>
      </c>
      <c r="H2114" t="s">
        <v>489</v>
      </c>
      <c r="I2114" t="s">
        <v>1265</v>
      </c>
      <c r="J2114" t="s">
        <v>1266</v>
      </c>
      <c r="K2114" t="s">
        <v>1267</v>
      </c>
      <c r="L2114" t="s">
        <v>1338</v>
      </c>
      <c r="M2114" t="s">
        <v>1339</v>
      </c>
      <c r="N2114">
        <v>1</v>
      </c>
      <c r="O2114" t="str">
        <f t="shared" si="179"/>
        <v>47</v>
      </c>
      <c r="P2114">
        <v>47</v>
      </c>
      <c r="R2114" t="s">
        <v>1269</v>
      </c>
      <c r="S2114">
        <v>1.712</v>
      </c>
      <c r="T2114">
        <v>0.31690000000000002</v>
      </c>
      <c r="U2114">
        <f t="shared" si="180"/>
        <v>0</v>
      </c>
      <c r="V2114" t="str">
        <f t="shared" ref="V2114:V2177" si="182">_xlfn.XLOOKUP(L2114,$BV:$BV,$BT:$BT,,0)</f>
        <v>Middle Nurse</v>
      </c>
      <c r="W2114" t="str">
        <f t="shared" ref="W2114:W2177" si="183">_xlfn.TEXTAFTER(V2114," ")</f>
        <v>Nurse</v>
      </c>
    </row>
    <row r="2115" spans="1:23" x14ac:dyDescent="0.25">
      <c r="A2115">
        <v>27403</v>
      </c>
      <c r="B2115" t="s">
        <v>1302</v>
      </c>
      <c r="C2115">
        <v>1.62</v>
      </c>
      <c r="D2115" t="s">
        <v>1264</v>
      </c>
      <c r="E2115">
        <v>100022</v>
      </c>
      <c r="F2115">
        <v>27403</v>
      </c>
      <c r="G2115" t="str">
        <f t="shared" si="181"/>
        <v>27403</v>
      </c>
      <c r="H2115" t="s">
        <v>489</v>
      </c>
      <c r="I2115" t="s">
        <v>1265</v>
      </c>
      <c r="J2115" t="s">
        <v>1276</v>
      </c>
      <c r="K2115" t="s">
        <v>1277</v>
      </c>
      <c r="L2115" t="s">
        <v>1302</v>
      </c>
      <c r="M2115" t="s">
        <v>1336</v>
      </c>
      <c r="N2115">
        <v>21</v>
      </c>
      <c r="O2115" t="str">
        <f t="shared" ref="O2115:O2178" si="184">MID(L2115,3,2)</f>
        <v>48</v>
      </c>
      <c r="P2115">
        <v>48</v>
      </c>
      <c r="R2115" t="s">
        <v>1269</v>
      </c>
      <c r="S2115">
        <v>1.62</v>
      </c>
      <c r="T2115">
        <v>0.31690000000000002</v>
      </c>
      <c r="U2115">
        <f t="shared" ref="U2115:U2178" si="185">IF(N2115=21,ROUND(T2115*S2115,3),0)</f>
        <v>0.51300000000000001</v>
      </c>
      <c r="V2115" t="str">
        <f t="shared" si="182"/>
        <v>Elementary Physical Therapist</v>
      </c>
      <c r="W2115" t="str">
        <f t="shared" si="183"/>
        <v>Physical Therapist</v>
      </c>
    </row>
    <row r="2116" spans="1:23" x14ac:dyDescent="0.25">
      <c r="A2116">
        <v>27403</v>
      </c>
      <c r="B2116" t="s">
        <v>1330</v>
      </c>
      <c r="C2116">
        <v>0.93</v>
      </c>
      <c r="D2116" t="s">
        <v>1264</v>
      </c>
      <c r="E2116">
        <v>100022</v>
      </c>
      <c r="F2116">
        <v>27403</v>
      </c>
      <c r="G2116" t="str">
        <f t="shared" si="181"/>
        <v>27403</v>
      </c>
      <c r="H2116" t="s">
        <v>489</v>
      </c>
      <c r="I2116" t="s">
        <v>1265</v>
      </c>
      <c r="J2116" t="s">
        <v>1271</v>
      </c>
      <c r="K2116" t="s">
        <v>1272</v>
      </c>
      <c r="L2116" t="s">
        <v>1330</v>
      </c>
      <c r="M2116" t="s">
        <v>1367</v>
      </c>
      <c r="N2116">
        <v>21</v>
      </c>
      <c r="O2116" t="str">
        <f t="shared" si="184"/>
        <v>48</v>
      </c>
      <c r="P2116">
        <v>48</v>
      </c>
      <c r="R2116" t="s">
        <v>1269</v>
      </c>
      <c r="S2116">
        <v>0.93</v>
      </c>
      <c r="T2116">
        <v>0.31690000000000002</v>
      </c>
      <c r="U2116">
        <f t="shared" si="185"/>
        <v>0.29499999999999998</v>
      </c>
      <c r="V2116" t="str">
        <f t="shared" si="182"/>
        <v>High Physical Therapist</v>
      </c>
      <c r="W2116" t="str">
        <f t="shared" si="183"/>
        <v>Physical Therapist</v>
      </c>
    </row>
    <row r="2117" spans="1:23" x14ac:dyDescent="0.25">
      <c r="A2117">
        <v>27403</v>
      </c>
      <c r="B2117" t="s">
        <v>1316</v>
      </c>
      <c r="C2117">
        <v>0.45</v>
      </c>
      <c r="D2117" t="s">
        <v>1264</v>
      </c>
      <c r="E2117">
        <v>100022</v>
      </c>
      <c r="F2117">
        <v>27403</v>
      </c>
      <c r="G2117" t="str">
        <f t="shared" si="181"/>
        <v>27403</v>
      </c>
      <c r="H2117" t="s">
        <v>489</v>
      </c>
      <c r="I2117" t="s">
        <v>1265</v>
      </c>
      <c r="J2117" t="s">
        <v>1266</v>
      </c>
      <c r="K2117" t="s">
        <v>1267</v>
      </c>
      <c r="L2117" t="s">
        <v>1316</v>
      </c>
      <c r="M2117" t="s">
        <v>1366</v>
      </c>
      <c r="N2117">
        <v>21</v>
      </c>
      <c r="O2117" t="str">
        <f t="shared" si="184"/>
        <v>48</v>
      </c>
      <c r="P2117">
        <v>48</v>
      </c>
      <c r="R2117" t="s">
        <v>1269</v>
      </c>
      <c r="S2117">
        <v>0.45</v>
      </c>
      <c r="T2117">
        <v>0.31690000000000002</v>
      </c>
      <c r="U2117">
        <f t="shared" si="185"/>
        <v>0.14299999999999999</v>
      </c>
      <c r="V2117" t="str">
        <f t="shared" si="182"/>
        <v>Middle Physical Therapist</v>
      </c>
      <c r="W2117" t="str">
        <f t="shared" si="183"/>
        <v>Physical Therapist</v>
      </c>
    </row>
    <row r="2118" spans="1:23" x14ac:dyDescent="0.25">
      <c r="A2118">
        <v>27403</v>
      </c>
      <c r="B2118" t="s">
        <v>1306</v>
      </c>
      <c r="C2118">
        <v>23.225000000000001</v>
      </c>
      <c r="D2118" t="s">
        <v>1264</v>
      </c>
      <c r="E2118">
        <v>100022</v>
      </c>
      <c r="F2118">
        <v>27403</v>
      </c>
      <c r="G2118" t="str">
        <f t="shared" si="181"/>
        <v>27403</v>
      </c>
      <c r="H2118" t="s">
        <v>489</v>
      </c>
      <c r="I2118" t="s">
        <v>1265</v>
      </c>
      <c r="J2118" t="s">
        <v>1276</v>
      </c>
      <c r="K2118" t="s">
        <v>1277</v>
      </c>
      <c r="L2118" t="s">
        <v>1306</v>
      </c>
      <c r="M2118" t="s">
        <v>1320</v>
      </c>
      <c r="N2118">
        <v>21</v>
      </c>
      <c r="O2118" t="str">
        <f t="shared" si="184"/>
        <v>64</v>
      </c>
      <c r="P2118">
        <v>64</v>
      </c>
      <c r="R2118" t="s">
        <v>1269</v>
      </c>
      <c r="S2118">
        <v>23.225000000000001</v>
      </c>
      <c r="T2118">
        <v>0.31690000000000002</v>
      </c>
      <c r="U2118">
        <f t="shared" si="185"/>
        <v>7.36</v>
      </c>
      <c r="V2118" t="str">
        <f t="shared" si="182"/>
        <v>Elementary Contractor ESA</v>
      </c>
      <c r="W2118" t="str">
        <f t="shared" si="183"/>
        <v>Contractor ESA</v>
      </c>
    </row>
    <row r="2119" spans="1:23" x14ac:dyDescent="0.25">
      <c r="A2119">
        <v>27403</v>
      </c>
      <c r="B2119" t="s">
        <v>1317</v>
      </c>
      <c r="C2119">
        <v>1.9610000000000001</v>
      </c>
      <c r="D2119" t="s">
        <v>1264</v>
      </c>
      <c r="E2119">
        <v>100022</v>
      </c>
      <c r="F2119">
        <v>27403</v>
      </c>
      <c r="G2119" t="str">
        <f t="shared" si="181"/>
        <v>27403</v>
      </c>
      <c r="H2119" t="s">
        <v>489</v>
      </c>
      <c r="I2119" t="s">
        <v>1265</v>
      </c>
      <c r="J2119" t="s">
        <v>1271</v>
      </c>
      <c r="K2119" t="s">
        <v>1272</v>
      </c>
      <c r="L2119" t="s">
        <v>1317</v>
      </c>
      <c r="M2119" t="s">
        <v>1318</v>
      </c>
      <c r="N2119">
        <v>21</v>
      </c>
      <c r="O2119" t="str">
        <f t="shared" si="184"/>
        <v>64</v>
      </c>
      <c r="P2119">
        <v>64</v>
      </c>
      <c r="R2119" t="s">
        <v>1269</v>
      </c>
      <c r="S2119">
        <v>1.9610000000000001</v>
      </c>
      <c r="T2119">
        <v>0.31690000000000002</v>
      </c>
      <c r="U2119">
        <f t="shared" si="185"/>
        <v>0.621</v>
      </c>
      <c r="V2119" t="str">
        <f t="shared" si="182"/>
        <v>High Contractor ESA</v>
      </c>
      <c r="W2119" t="str">
        <f t="shared" si="183"/>
        <v>Contractor ESA</v>
      </c>
    </row>
    <row r="2120" spans="1:23" x14ac:dyDescent="0.25">
      <c r="A2120">
        <v>27403</v>
      </c>
      <c r="B2120" t="s">
        <v>1313</v>
      </c>
      <c r="C2120">
        <v>7.6139999999999999</v>
      </c>
      <c r="D2120" t="s">
        <v>1264</v>
      </c>
      <c r="E2120">
        <v>100022</v>
      </c>
      <c r="F2120">
        <v>27403</v>
      </c>
      <c r="G2120" t="str">
        <f t="shared" si="181"/>
        <v>27403</v>
      </c>
      <c r="H2120" t="s">
        <v>489</v>
      </c>
      <c r="I2120" t="s">
        <v>1265</v>
      </c>
      <c r="J2120" t="s">
        <v>1266</v>
      </c>
      <c r="K2120" t="s">
        <v>1267</v>
      </c>
      <c r="L2120" t="s">
        <v>1313</v>
      </c>
      <c r="M2120" t="s">
        <v>1314</v>
      </c>
      <c r="N2120">
        <v>21</v>
      </c>
      <c r="O2120" t="str">
        <f t="shared" si="184"/>
        <v>64</v>
      </c>
      <c r="P2120">
        <v>64</v>
      </c>
      <c r="R2120" t="s">
        <v>1269</v>
      </c>
      <c r="S2120">
        <v>7.6139999999999999</v>
      </c>
      <c r="T2120">
        <v>0.31690000000000002</v>
      </c>
      <c r="U2120">
        <f t="shared" si="185"/>
        <v>2.4129999999999998</v>
      </c>
      <c r="V2120" t="str">
        <f t="shared" si="182"/>
        <v>Middle Contractor ESA</v>
      </c>
      <c r="W2120" t="str">
        <f t="shared" si="183"/>
        <v>Contractor ESA</v>
      </c>
    </row>
    <row r="2121" spans="1:23" x14ac:dyDescent="0.25">
      <c r="A2121" t="s">
        <v>194</v>
      </c>
      <c r="B2121" t="s">
        <v>1352</v>
      </c>
      <c r="C2121">
        <v>0.36199999999999999</v>
      </c>
      <c r="F2121" t="s">
        <v>194</v>
      </c>
      <c r="G2121" t="str">
        <f t="shared" si="181"/>
        <v>27403</v>
      </c>
      <c r="H2121" t="s">
        <v>489</v>
      </c>
      <c r="I2121" t="s">
        <v>1265</v>
      </c>
      <c r="K2121" t="s">
        <v>1277</v>
      </c>
      <c r="L2121" t="s">
        <v>1352</v>
      </c>
      <c r="M2121" t="s">
        <v>1646</v>
      </c>
      <c r="N2121">
        <v>9</v>
      </c>
      <c r="O2121" t="str">
        <f t="shared" si="184"/>
        <v>26</v>
      </c>
      <c r="P2121">
        <v>91</v>
      </c>
      <c r="Q2121">
        <v>26</v>
      </c>
      <c r="S2121">
        <v>0.36199999999999999</v>
      </c>
      <c r="T2121">
        <v>0.31690000000000002</v>
      </c>
      <c r="U2121">
        <f t="shared" si="185"/>
        <v>0</v>
      </c>
      <c r="V2121" t="str">
        <f t="shared" si="182"/>
        <v>TK Health/
Related Services</v>
      </c>
      <c r="W2121" t="str">
        <f t="shared" si="183"/>
        <v>Health/
Related Services</v>
      </c>
    </row>
    <row r="2122" spans="1:23" x14ac:dyDescent="0.25">
      <c r="A2122" t="s">
        <v>194</v>
      </c>
      <c r="B2122" t="s">
        <v>1352</v>
      </c>
      <c r="C2122">
        <v>0.36199999999999999</v>
      </c>
      <c r="F2122" t="s">
        <v>194</v>
      </c>
      <c r="G2122" t="str">
        <f t="shared" si="181"/>
        <v>27403</v>
      </c>
      <c r="H2122" t="s">
        <v>489</v>
      </c>
      <c r="I2122" t="s">
        <v>1265</v>
      </c>
      <c r="K2122" t="s">
        <v>1277</v>
      </c>
      <c r="L2122" t="s">
        <v>1352</v>
      </c>
      <c r="M2122" t="s">
        <v>1646</v>
      </c>
      <c r="N2122">
        <v>9</v>
      </c>
      <c r="O2122" t="str">
        <f t="shared" si="184"/>
        <v>26</v>
      </c>
      <c r="P2122">
        <v>91</v>
      </c>
      <c r="Q2122">
        <v>26</v>
      </c>
      <c r="S2122">
        <v>0.36199999999999999</v>
      </c>
      <c r="T2122">
        <v>0.31690000000000002</v>
      </c>
      <c r="U2122">
        <f t="shared" si="185"/>
        <v>0</v>
      </c>
      <c r="V2122" t="str">
        <f t="shared" si="182"/>
        <v>TK Health/
Related Services</v>
      </c>
      <c r="W2122" t="str">
        <f t="shared" si="183"/>
        <v>Health/
Related Services</v>
      </c>
    </row>
    <row r="2123" spans="1:23" x14ac:dyDescent="0.25">
      <c r="A2123">
        <v>27404</v>
      </c>
      <c r="B2123" t="s">
        <v>1308</v>
      </c>
      <c r="C2123">
        <v>0.83399999999999996</v>
      </c>
      <c r="D2123" t="s">
        <v>1264</v>
      </c>
      <c r="E2123">
        <v>100074</v>
      </c>
      <c r="F2123">
        <v>27404</v>
      </c>
      <c r="G2123" t="str">
        <f t="shared" si="181"/>
        <v>27404</v>
      </c>
      <c r="H2123" t="s">
        <v>490</v>
      </c>
      <c r="I2123" t="s">
        <v>1265</v>
      </c>
      <c r="J2123" t="s">
        <v>1276</v>
      </c>
      <c r="K2123" t="s">
        <v>1277</v>
      </c>
      <c r="L2123" t="s">
        <v>1308</v>
      </c>
      <c r="M2123" t="s">
        <v>1389</v>
      </c>
      <c r="N2123">
        <v>1</v>
      </c>
      <c r="O2123" t="str">
        <f t="shared" si="184"/>
        <v>25</v>
      </c>
      <c r="Q2123">
        <v>25</v>
      </c>
      <c r="R2123" t="s">
        <v>1269</v>
      </c>
      <c r="S2123">
        <v>0.83399999999999996</v>
      </c>
      <c r="T2123">
        <v>0.26800000000000002</v>
      </c>
      <c r="U2123">
        <f t="shared" si="185"/>
        <v>0</v>
      </c>
      <c r="V2123" t="str">
        <f t="shared" si="182"/>
        <v>Elementary Pupil Management</v>
      </c>
      <c r="W2123" t="str">
        <f t="shared" si="183"/>
        <v>Pupil Management</v>
      </c>
    </row>
    <row r="2124" spans="1:23" x14ac:dyDescent="0.25">
      <c r="A2124">
        <v>27404</v>
      </c>
      <c r="B2124" t="s">
        <v>1383</v>
      </c>
      <c r="C2124">
        <v>1.0720000000000001</v>
      </c>
      <c r="D2124" t="s">
        <v>1264</v>
      </c>
      <c r="E2124">
        <v>100074</v>
      </c>
      <c r="F2124">
        <v>27404</v>
      </c>
      <c r="G2124" t="str">
        <f t="shared" si="181"/>
        <v>27404</v>
      </c>
      <c r="H2124" t="s">
        <v>490</v>
      </c>
      <c r="I2124" t="s">
        <v>1265</v>
      </c>
      <c r="J2124" t="s">
        <v>1271</v>
      </c>
      <c r="K2124" t="s">
        <v>1272</v>
      </c>
      <c r="L2124" t="s">
        <v>1383</v>
      </c>
      <c r="M2124" t="s">
        <v>1409</v>
      </c>
      <c r="N2124">
        <v>21</v>
      </c>
      <c r="O2124" t="str">
        <f t="shared" si="184"/>
        <v>25</v>
      </c>
      <c r="Q2124">
        <v>25</v>
      </c>
      <c r="R2124" t="s">
        <v>1269</v>
      </c>
      <c r="S2124">
        <v>1.0720000000000001</v>
      </c>
      <c r="T2124">
        <v>0.26800000000000002</v>
      </c>
      <c r="U2124">
        <f t="shared" si="185"/>
        <v>0.28699999999999998</v>
      </c>
      <c r="V2124" t="str">
        <f t="shared" si="182"/>
        <v>High Pupil Management</v>
      </c>
      <c r="W2124" t="str">
        <f t="shared" si="183"/>
        <v>Pupil Management</v>
      </c>
    </row>
    <row r="2125" spans="1:23" x14ac:dyDescent="0.25">
      <c r="A2125">
        <v>27404</v>
      </c>
      <c r="B2125" t="s">
        <v>1299</v>
      </c>
      <c r="C2125">
        <v>2.028</v>
      </c>
      <c r="D2125" t="s">
        <v>1264</v>
      </c>
      <c r="E2125">
        <v>100074</v>
      </c>
      <c r="F2125">
        <v>27404</v>
      </c>
      <c r="G2125" t="str">
        <f t="shared" si="181"/>
        <v>27404</v>
      </c>
      <c r="H2125" t="s">
        <v>490</v>
      </c>
      <c r="I2125" t="s">
        <v>1265</v>
      </c>
      <c r="J2125" t="s">
        <v>1271</v>
      </c>
      <c r="K2125" t="s">
        <v>1272</v>
      </c>
      <c r="L2125" t="s">
        <v>1299</v>
      </c>
      <c r="M2125" t="s">
        <v>1300</v>
      </c>
      <c r="N2125">
        <v>1</v>
      </c>
      <c r="O2125" t="str">
        <f t="shared" si="184"/>
        <v>25</v>
      </c>
      <c r="Q2125">
        <v>25</v>
      </c>
      <c r="R2125" t="s">
        <v>1269</v>
      </c>
      <c r="S2125">
        <v>2.028</v>
      </c>
      <c r="T2125">
        <v>0.26800000000000002</v>
      </c>
      <c r="U2125">
        <f t="shared" si="185"/>
        <v>0</v>
      </c>
      <c r="V2125" t="str">
        <f t="shared" si="182"/>
        <v>High Pupil Management</v>
      </c>
      <c r="W2125" t="str">
        <f t="shared" si="183"/>
        <v>Pupil Management</v>
      </c>
    </row>
    <row r="2126" spans="1:23" x14ac:dyDescent="0.25">
      <c r="A2126">
        <v>27404</v>
      </c>
      <c r="B2126" t="s">
        <v>1315</v>
      </c>
      <c r="C2126">
        <v>0.872</v>
      </c>
      <c r="D2126" t="s">
        <v>1264</v>
      </c>
      <c r="E2126">
        <v>100074</v>
      </c>
      <c r="F2126">
        <v>27404</v>
      </c>
      <c r="G2126" t="str">
        <f t="shared" si="181"/>
        <v>27404</v>
      </c>
      <c r="H2126" t="s">
        <v>490</v>
      </c>
      <c r="I2126" t="s">
        <v>1265</v>
      </c>
      <c r="J2126" t="s">
        <v>1276</v>
      </c>
      <c r="K2126" t="s">
        <v>1277</v>
      </c>
      <c r="L2126" t="s">
        <v>1315</v>
      </c>
      <c r="M2126" t="s">
        <v>1375</v>
      </c>
      <c r="N2126">
        <v>1</v>
      </c>
      <c r="O2126" t="str">
        <f t="shared" si="184"/>
        <v>26</v>
      </c>
      <c r="Q2126">
        <v>26</v>
      </c>
      <c r="R2126" t="s">
        <v>1269</v>
      </c>
      <c r="S2126">
        <v>0.872</v>
      </c>
      <c r="T2126">
        <v>0.26800000000000002</v>
      </c>
      <c r="U2126">
        <f t="shared" si="185"/>
        <v>0</v>
      </c>
      <c r="V2126" t="str">
        <f t="shared" si="182"/>
        <v>Elementary Health/
Related Services</v>
      </c>
      <c r="W2126" t="str">
        <f t="shared" si="183"/>
        <v>Health/
Related Services</v>
      </c>
    </row>
    <row r="2127" spans="1:23" x14ac:dyDescent="0.25">
      <c r="A2127">
        <v>27404</v>
      </c>
      <c r="B2127" t="s">
        <v>1324</v>
      </c>
      <c r="C2127">
        <v>0.56599999999999995</v>
      </c>
      <c r="D2127" t="s">
        <v>1264</v>
      </c>
      <c r="E2127">
        <v>100074</v>
      </c>
      <c r="F2127">
        <v>27404</v>
      </c>
      <c r="G2127" t="str">
        <f t="shared" si="181"/>
        <v>27404</v>
      </c>
      <c r="H2127" t="s">
        <v>490</v>
      </c>
      <c r="I2127" t="s">
        <v>1265</v>
      </c>
      <c r="J2127" t="s">
        <v>1271</v>
      </c>
      <c r="K2127" t="s">
        <v>1272</v>
      </c>
      <c r="L2127" t="s">
        <v>1324</v>
      </c>
      <c r="M2127" t="s">
        <v>1325</v>
      </c>
      <c r="N2127">
        <v>21</v>
      </c>
      <c r="O2127" t="str">
        <f t="shared" si="184"/>
        <v>26</v>
      </c>
      <c r="Q2127">
        <v>26</v>
      </c>
      <c r="R2127" t="s">
        <v>1269</v>
      </c>
      <c r="S2127">
        <v>0.56599999999999995</v>
      </c>
      <c r="T2127">
        <v>0.26800000000000002</v>
      </c>
      <c r="U2127">
        <f t="shared" si="185"/>
        <v>0.152</v>
      </c>
      <c r="V2127" t="str">
        <f t="shared" si="182"/>
        <v>High Health/
Related Services</v>
      </c>
      <c r="W2127" t="str">
        <f t="shared" si="183"/>
        <v>Health/
Related Services</v>
      </c>
    </row>
    <row r="2128" spans="1:23" x14ac:dyDescent="0.25">
      <c r="A2128">
        <v>27404</v>
      </c>
      <c r="B2128" t="s">
        <v>1295</v>
      </c>
      <c r="C2128">
        <v>0.878</v>
      </c>
      <c r="D2128" t="s">
        <v>1264</v>
      </c>
      <c r="E2128">
        <v>100074</v>
      </c>
      <c r="F2128">
        <v>27404</v>
      </c>
      <c r="G2128" t="str">
        <f t="shared" si="181"/>
        <v>27404</v>
      </c>
      <c r="H2128" t="s">
        <v>490</v>
      </c>
      <c r="I2128" t="s">
        <v>1265</v>
      </c>
      <c r="J2128" t="s">
        <v>1271</v>
      </c>
      <c r="K2128" t="s">
        <v>1272</v>
      </c>
      <c r="L2128" t="s">
        <v>1295</v>
      </c>
      <c r="M2128" t="s">
        <v>1296</v>
      </c>
      <c r="N2128">
        <v>1</v>
      </c>
      <c r="O2128" t="str">
        <f t="shared" si="184"/>
        <v>26</v>
      </c>
      <c r="Q2128">
        <v>26</v>
      </c>
      <c r="R2128" t="s">
        <v>1269</v>
      </c>
      <c r="S2128">
        <v>0.878</v>
      </c>
      <c r="T2128">
        <v>0.26800000000000002</v>
      </c>
      <c r="U2128">
        <f t="shared" si="185"/>
        <v>0</v>
      </c>
      <c r="V2128" t="str">
        <f t="shared" si="182"/>
        <v>High Health/
Related Services</v>
      </c>
      <c r="W2128" t="str">
        <f t="shared" si="183"/>
        <v>Health/
Related Services</v>
      </c>
    </row>
    <row r="2129" spans="1:23" x14ac:dyDescent="0.25">
      <c r="A2129">
        <v>27404</v>
      </c>
      <c r="B2129" t="s">
        <v>1291</v>
      </c>
      <c r="C2129">
        <v>0.27500000000000002</v>
      </c>
      <c r="D2129" t="s">
        <v>1264</v>
      </c>
      <c r="E2129">
        <v>100074</v>
      </c>
      <c r="F2129">
        <v>27404</v>
      </c>
      <c r="G2129" t="str">
        <f t="shared" si="181"/>
        <v>27404</v>
      </c>
      <c r="H2129" t="s">
        <v>490</v>
      </c>
      <c r="I2129" t="s">
        <v>1265</v>
      </c>
      <c r="J2129" t="s">
        <v>1266</v>
      </c>
      <c r="K2129" t="s">
        <v>1267</v>
      </c>
      <c r="L2129" t="s">
        <v>1291</v>
      </c>
      <c r="M2129" t="s">
        <v>1292</v>
      </c>
      <c r="N2129">
        <v>1</v>
      </c>
      <c r="O2129" t="str">
        <f t="shared" si="184"/>
        <v>26</v>
      </c>
      <c r="Q2129">
        <v>26</v>
      </c>
      <c r="R2129" t="s">
        <v>1269</v>
      </c>
      <c r="S2129">
        <v>0.27500000000000002</v>
      </c>
      <c r="T2129">
        <v>0.26800000000000002</v>
      </c>
      <c r="U2129">
        <f t="shared" si="185"/>
        <v>0</v>
      </c>
      <c r="V2129" t="str">
        <f t="shared" si="182"/>
        <v>Middle Health/
Related Services</v>
      </c>
      <c r="W2129" t="str">
        <f t="shared" si="183"/>
        <v>Health/
Related Services</v>
      </c>
    </row>
    <row r="2130" spans="1:23" x14ac:dyDescent="0.25">
      <c r="A2130">
        <v>27404</v>
      </c>
      <c r="B2130" t="s">
        <v>1275</v>
      </c>
      <c r="C2130">
        <v>2.617</v>
      </c>
      <c r="D2130" t="s">
        <v>1264</v>
      </c>
      <c r="E2130">
        <v>100074</v>
      </c>
      <c r="F2130">
        <v>27404</v>
      </c>
      <c r="G2130" t="str">
        <f t="shared" si="181"/>
        <v>27404</v>
      </c>
      <c r="H2130" t="s">
        <v>490</v>
      </c>
      <c r="I2130" t="s">
        <v>1265</v>
      </c>
      <c r="J2130" t="s">
        <v>1276</v>
      </c>
      <c r="K2130" t="s">
        <v>1277</v>
      </c>
      <c r="L2130" t="s">
        <v>1275</v>
      </c>
      <c r="M2130" t="s">
        <v>1278</v>
      </c>
      <c r="N2130">
        <v>1</v>
      </c>
      <c r="O2130" t="str">
        <f t="shared" si="184"/>
        <v>42</v>
      </c>
      <c r="P2130">
        <v>42</v>
      </c>
      <c r="R2130" t="s">
        <v>1269</v>
      </c>
      <c r="S2130">
        <v>2.617</v>
      </c>
      <c r="T2130">
        <v>0.26800000000000002</v>
      </c>
      <c r="U2130">
        <f t="shared" si="185"/>
        <v>0</v>
      </c>
      <c r="V2130" t="str">
        <f t="shared" si="182"/>
        <v>Elementary Counselor</v>
      </c>
      <c r="W2130" t="str">
        <f t="shared" si="183"/>
        <v>Counselor</v>
      </c>
    </row>
    <row r="2131" spans="1:23" x14ac:dyDescent="0.25">
      <c r="A2131">
        <v>27404</v>
      </c>
      <c r="B2131" t="s">
        <v>1270</v>
      </c>
      <c r="C2131">
        <v>1.3</v>
      </c>
      <c r="D2131" t="s">
        <v>1264</v>
      </c>
      <c r="E2131">
        <v>100074</v>
      </c>
      <c r="F2131">
        <v>27404</v>
      </c>
      <c r="G2131" t="str">
        <f t="shared" si="181"/>
        <v>27404</v>
      </c>
      <c r="H2131" t="s">
        <v>490</v>
      </c>
      <c r="I2131" t="s">
        <v>1265</v>
      </c>
      <c r="J2131" t="s">
        <v>1271</v>
      </c>
      <c r="K2131" t="s">
        <v>1272</v>
      </c>
      <c r="L2131" t="s">
        <v>1270</v>
      </c>
      <c r="M2131" t="s">
        <v>1273</v>
      </c>
      <c r="N2131">
        <v>1</v>
      </c>
      <c r="O2131" t="str">
        <f t="shared" si="184"/>
        <v>42</v>
      </c>
      <c r="P2131">
        <v>42</v>
      </c>
      <c r="R2131" t="s">
        <v>1269</v>
      </c>
      <c r="S2131">
        <v>1.3</v>
      </c>
      <c r="T2131">
        <v>0.26800000000000002</v>
      </c>
      <c r="U2131">
        <f t="shared" si="185"/>
        <v>0</v>
      </c>
      <c r="V2131" t="str">
        <f t="shared" si="182"/>
        <v>High Counselor</v>
      </c>
      <c r="W2131" t="str">
        <f t="shared" si="183"/>
        <v>Counselor</v>
      </c>
    </row>
    <row r="2132" spans="1:23" x14ac:dyDescent="0.25">
      <c r="A2132">
        <v>27404</v>
      </c>
      <c r="B2132" t="s">
        <v>1331</v>
      </c>
      <c r="C2132">
        <v>0.2</v>
      </c>
      <c r="D2132" t="s">
        <v>1264</v>
      </c>
      <c r="E2132">
        <v>100074</v>
      </c>
      <c r="F2132">
        <v>27404</v>
      </c>
      <c r="G2132" t="str">
        <f t="shared" si="181"/>
        <v>27404</v>
      </c>
      <c r="H2132" t="s">
        <v>490</v>
      </c>
      <c r="I2132" t="s">
        <v>1265</v>
      </c>
      <c r="J2132" t="s">
        <v>1276</v>
      </c>
      <c r="K2132" t="s">
        <v>1277</v>
      </c>
      <c r="L2132" t="s">
        <v>1331</v>
      </c>
      <c r="M2132" t="s">
        <v>1405</v>
      </c>
      <c r="N2132">
        <v>1</v>
      </c>
      <c r="O2132" t="str">
        <f t="shared" si="184"/>
        <v>44</v>
      </c>
      <c r="P2132">
        <v>44</v>
      </c>
      <c r="R2132" t="s">
        <v>1269</v>
      </c>
      <c r="S2132">
        <v>0.2</v>
      </c>
      <c r="T2132">
        <v>0.26800000000000002</v>
      </c>
      <c r="U2132">
        <f t="shared" si="185"/>
        <v>0</v>
      </c>
      <c r="V2132" t="str">
        <f t="shared" si="182"/>
        <v>Elementary Social Worker</v>
      </c>
      <c r="W2132" t="str">
        <f t="shared" si="183"/>
        <v>Social Worker</v>
      </c>
    </row>
    <row r="2133" spans="1:23" x14ac:dyDescent="0.25">
      <c r="A2133">
        <v>27404</v>
      </c>
      <c r="B2133" t="s">
        <v>1356</v>
      </c>
      <c r="C2133">
        <v>1.55</v>
      </c>
      <c r="D2133" t="s">
        <v>1264</v>
      </c>
      <c r="E2133">
        <v>100074</v>
      </c>
      <c r="F2133">
        <v>27404</v>
      </c>
      <c r="G2133" t="str">
        <f t="shared" si="181"/>
        <v>27404</v>
      </c>
      <c r="H2133" t="s">
        <v>490</v>
      </c>
      <c r="I2133" t="s">
        <v>1265</v>
      </c>
      <c r="J2133" t="s">
        <v>1266</v>
      </c>
      <c r="K2133" t="s">
        <v>1267</v>
      </c>
      <c r="L2133" t="s">
        <v>1356</v>
      </c>
      <c r="M2133" t="s">
        <v>1357</v>
      </c>
      <c r="N2133">
        <v>1</v>
      </c>
      <c r="O2133" t="str">
        <f t="shared" si="184"/>
        <v>44</v>
      </c>
      <c r="P2133">
        <v>44</v>
      </c>
      <c r="R2133" t="s">
        <v>1269</v>
      </c>
      <c r="S2133">
        <v>1.55</v>
      </c>
      <c r="T2133">
        <v>0.26800000000000002</v>
      </c>
      <c r="U2133">
        <f t="shared" si="185"/>
        <v>0</v>
      </c>
      <c r="V2133" t="str">
        <f t="shared" si="182"/>
        <v>Middle Social Worker</v>
      </c>
      <c r="W2133" t="str">
        <f t="shared" si="183"/>
        <v>Social Worker</v>
      </c>
    </row>
    <row r="2134" spans="1:23" x14ac:dyDescent="0.25">
      <c r="A2134">
        <v>27404</v>
      </c>
      <c r="B2134" t="s">
        <v>1294</v>
      </c>
      <c r="C2134">
        <v>1</v>
      </c>
      <c r="D2134" t="s">
        <v>1264</v>
      </c>
      <c r="E2134">
        <v>100074</v>
      </c>
      <c r="F2134">
        <v>27404</v>
      </c>
      <c r="G2134" t="str">
        <f t="shared" si="181"/>
        <v>27404</v>
      </c>
      <c r="H2134" t="s">
        <v>490</v>
      </c>
      <c r="I2134" t="s">
        <v>1265</v>
      </c>
      <c r="J2134" t="s">
        <v>1276</v>
      </c>
      <c r="K2134" t="s">
        <v>1277</v>
      </c>
      <c r="L2134" t="s">
        <v>1294</v>
      </c>
      <c r="M2134" t="s">
        <v>1354</v>
      </c>
      <c r="N2134">
        <v>21</v>
      </c>
      <c r="O2134" t="str">
        <f t="shared" si="184"/>
        <v>45</v>
      </c>
      <c r="P2134">
        <v>45</v>
      </c>
      <c r="R2134" t="s">
        <v>1269</v>
      </c>
      <c r="S2134">
        <v>1</v>
      </c>
      <c r="T2134">
        <v>0.26800000000000002</v>
      </c>
      <c r="U2134">
        <f t="shared" si="185"/>
        <v>0.26800000000000002</v>
      </c>
      <c r="V2134" t="str">
        <f t="shared" si="182"/>
        <v>Elementary Speech, Language Pathway/
Audio</v>
      </c>
      <c r="W2134" t="str">
        <f t="shared" si="183"/>
        <v>Speech, Language Pathway/
Audio</v>
      </c>
    </row>
    <row r="2135" spans="1:23" x14ac:dyDescent="0.25">
      <c r="A2135">
        <v>27404</v>
      </c>
      <c r="B2135" t="s">
        <v>1298</v>
      </c>
      <c r="C2135">
        <v>0.25</v>
      </c>
      <c r="D2135" t="s">
        <v>1264</v>
      </c>
      <c r="E2135">
        <v>100074</v>
      </c>
      <c r="F2135">
        <v>27404</v>
      </c>
      <c r="G2135" t="str">
        <f t="shared" si="181"/>
        <v>27404</v>
      </c>
      <c r="H2135" t="s">
        <v>490</v>
      </c>
      <c r="I2135" t="s">
        <v>1265</v>
      </c>
      <c r="J2135" t="s">
        <v>1276</v>
      </c>
      <c r="K2135" t="s">
        <v>1277</v>
      </c>
      <c r="L2135" t="s">
        <v>1298</v>
      </c>
      <c r="M2135" t="s">
        <v>1349</v>
      </c>
      <c r="N2135">
        <v>21</v>
      </c>
      <c r="O2135" t="str">
        <f t="shared" si="184"/>
        <v>46</v>
      </c>
      <c r="P2135">
        <v>46</v>
      </c>
      <c r="R2135" t="s">
        <v>1269</v>
      </c>
      <c r="S2135">
        <v>0.25</v>
      </c>
      <c r="T2135">
        <v>0.26800000000000002</v>
      </c>
      <c r="U2135">
        <f t="shared" si="185"/>
        <v>6.7000000000000004E-2</v>
      </c>
      <c r="V2135" t="str">
        <f t="shared" si="182"/>
        <v>Elementary Psychologist</v>
      </c>
      <c r="W2135" t="str">
        <f t="shared" si="183"/>
        <v>Psychologist</v>
      </c>
    </row>
    <row r="2136" spans="1:23" x14ac:dyDescent="0.25">
      <c r="A2136">
        <v>27404</v>
      </c>
      <c r="B2136" t="s">
        <v>1333</v>
      </c>
      <c r="C2136">
        <v>0.1</v>
      </c>
      <c r="D2136" t="s">
        <v>1264</v>
      </c>
      <c r="E2136">
        <v>100074</v>
      </c>
      <c r="F2136">
        <v>27404</v>
      </c>
      <c r="G2136" t="str">
        <f t="shared" si="181"/>
        <v>27404</v>
      </c>
      <c r="H2136" t="s">
        <v>490</v>
      </c>
      <c r="I2136" t="s">
        <v>1265</v>
      </c>
      <c r="J2136" t="s">
        <v>1276</v>
      </c>
      <c r="K2136" t="s">
        <v>1277</v>
      </c>
      <c r="L2136" t="s">
        <v>1333</v>
      </c>
      <c r="M2136" t="s">
        <v>1432</v>
      </c>
      <c r="N2136">
        <v>1</v>
      </c>
      <c r="O2136" t="str">
        <f t="shared" si="184"/>
        <v>46</v>
      </c>
      <c r="P2136">
        <v>46</v>
      </c>
      <c r="R2136" t="s">
        <v>1269</v>
      </c>
      <c r="S2136">
        <v>0.1</v>
      </c>
      <c r="T2136">
        <v>0.26800000000000002</v>
      </c>
      <c r="U2136">
        <f t="shared" si="185"/>
        <v>0</v>
      </c>
      <c r="V2136" t="str">
        <f t="shared" si="182"/>
        <v>Elementary Psychologist</v>
      </c>
      <c r="W2136" t="str">
        <f t="shared" si="183"/>
        <v>Psychologist</v>
      </c>
    </row>
    <row r="2137" spans="1:23" x14ac:dyDescent="0.25">
      <c r="A2137">
        <v>27404</v>
      </c>
      <c r="B2137" t="s">
        <v>1309</v>
      </c>
      <c r="C2137">
        <v>0.23</v>
      </c>
      <c r="D2137" t="s">
        <v>1264</v>
      </c>
      <c r="E2137">
        <v>100074</v>
      </c>
      <c r="F2137">
        <v>27404</v>
      </c>
      <c r="G2137" t="str">
        <f t="shared" si="181"/>
        <v>27404</v>
      </c>
      <c r="H2137" t="s">
        <v>490</v>
      </c>
      <c r="I2137" t="s">
        <v>1265</v>
      </c>
      <c r="J2137" t="s">
        <v>1271</v>
      </c>
      <c r="K2137" t="s">
        <v>1272</v>
      </c>
      <c r="L2137" t="s">
        <v>1309</v>
      </c>
      <c r="M2137" t="s">
        <v>1310</v>
      </c>
      <c r="N2137">
        <v>21</v>
      </c>
      <c r="O2137" t="str">
        <f t="shared" si="184"/>
        <v>46</v>
      </c>
      <c r="P2137">
        <v>46</v>
      </c>
      <c r="R2137" t="s">
        <v>1269</v>
      </c>
      <c r="S2137">
        <v>0.23</v>
      </c>
      <c r="T2137">
        <v>0.26800000000000002</v>
      </c>
      <c r="U2137">
        <f t="shared" si="185"/>
        <v>6.2E-2</v>
      </c>
      <c r="V2137" t="str">
        <f t="shared" si="182"/>
        <v>High Psychologist</v>
      </c>
      <c r="W2137" t="str">
        <f t="shared" si="183"/>
        <v>Psychologist</v>
      </c>
    </row>
    <row r="2138" spans="1:23" x14ac:dyDescent="0.25">
      <c r="A2138">
        <v>27404</v>
      </c>
      <c r="B2138" t="s">
        <v>1396</v>
      </c>
      <c r="C2138">
        <v>0.1</v>
      </c>
      <c r="D2138" t="s">
        <v>1264</v>
      </c>
      <c r="E2138">
        <v>100074</v>
      </c>
      <c r="F2138">
        <v>27404</v>
      </c>
      <c r="G2138" t="str">
        <f t="shared" si="181"/>
        <v>27404</v>
      </c>
      <c r="H2138" t="s">
        <v>490</v>
      </c>
      <c r="I2138" t="s">
        <v>1265</v>
      </c>
      <c r="J2138" t="s">
        <v>1271</v>
      </c>
      <c r="K2138" t="s">
        <v>1272</v>
      </c>
      <c r="L2138" t="s">
        <v>1396</v>
      </c>
      <c r="M2138" t="s">
        <v>1431</v>
      </c>
      <c r="N2138">
        <v>1</v>
      </c>
      <c r="O2138" t="str">
        <f t="shared" si="184"/>
        <v>46</v>
      </c>
      <c r="P2138">
        <v>46</v>
      </c>
      <c r="R2138" t="s">
        <v>1269</v>
      </c>
      <c r="S2138">
        <v>0.1</v>
      </c>
      <c r="T2138">
        <v>0.26800000000000002</v>
      </c>
      <c r="U2138">
        <f t="shared" si="185"/>
        <v>0</v>
      </c>
      <c r="V2138" t="str">
        <f t="shared" si="182"/>
        <v>High Psychologist</v>
      </c>
      <c r="W2138" t="str">
        <f t="shared" si="183"/>
        <v>Psychologist</v>
      </c>
    </row>
    <row r="2139" spans="1:23" x14ac:dyDescent="0.25">
      <c r="A2139">
        <v>27404</v>
      </c>
      <c r="B2139" t="s">
        <v>1345</v>
      </c>
      <c r="C2139">
        <v>0.22</v>
      </c>
      <c r="D2139" t="s">
        <v>1264</v>
      </c>
      <c r="E2139">
        <v>100074</v>
      </c>
      <c r="F2139">
        <v>27404</v>
      </c>
      <c r="G2139" t="str">
        <f t="shared" si="181"/>
        <v>27404</v>
      </c>
      <c r="H2139" t="s">
        <v>490</v>
      </c>
      <c r="I2139" t="s">
        <v>1265</v>
      </c>
      <c r="J2139" t="s">
        <v>1266</v>
      </c>
      <c r="K2139" t="s">
        <v>1267</v>
      </c>
      <c r="L2139" t="s">
        <v>1345</v>
      </c>
      <c r="M2139" t="s">
        <v>1346</v>
      </c>
      <c r="N2139">
        <v>21</v>
      </c>
      <c r="O2139" t="str">
        <f t="shared" si="184"/>
        <v>46</v>
      </c>
      <c r="P2139">
        <v>46</v>
      </c>
      <c r="R2139" t="s">
        <v>1269</v>
      </c>
      <c r="S2139">
        <v>0.22</v>
      </c>
      <c r="T2139">
        <v>0.26800000000000002</v>
      </c>
      <c r="U2139">
        <f t="shared" si="185"/>
        <v>5.8999999999999997E-2</v>
      </c>
      <c r="V2139" t="str">
        <f t="shared" si="182"/>
        <v>Middle Psychologist</v>
      </c>
      <c r="W2139" t="str">
        <f t="shared" si="183"/>
        <v>Psychologist</v>
      </c>
    </row>
    <row r="2140" spans="1:23" x14ac:dyDescent="0.25">
      <c r="A2140">
        <v>27404</v>
      </c>
      <c r="B2140" t="s">
        <v>1371</v>
      </c>
      <c r="C2140">
        <v>0.1</v>
      </c>
      <c r="D2140" t="s">
        <v>1264</v>
      </c>
      <c r="E2140">
        <v>100074</v>
      </c>
      <c r="F2140">
        <v>27404</v>
      </c>
      <c r="G2140" t="str">
        <f t="shared" si="181"/>
        <v>27404</v>
      </c>
      <c r="H2140" t="s">
        <v>490</v>
      </c>
      <c r="I2140" t="s">
        <v>1265</v>
      </c>
      <c r="J2140" t="s">
        <v>1266</v>
      </c>
      <c r="K2140" t="s">
        <v>1267</v>
      </c>
      <c r="L2140" t="s">
        <v>1371</v>
      </c>
      <c r="M2140" t="s">
        <v>1430</v>
      </c>
      <c r="N2140">
        <v>1</v>
      </c>
      <c r="O2140" t="str">
        <f t="shared" si="184"/>
        <v>46</v>
      </c>
      <c r="P2140">
        <v>46</v>
      </c>
      <c r="R2140" t="s">
        <v>1269</v>
      </c>
      <c r="S2140">
        <v>0.1</v>
      </c>
      <c r="T2140">
        <v>0.26800000000000002</v>
      </c>
      <c r="U2140">
        <f t="shared" si="185"/>
        <v>0</v>
      </c>
      <c r="V2140" t="str">
        <f t="shared" si="182"/>
        <v>Middle Psychologist</v>
      </c>
      <c r="W2140" t="str">
        <f t="shared" si="183"/>
        <v>Psychologist</v>
      </c>
    </row>
    <row r="2141" spans="1:23" x14ac:dyDescent="0.25">
      <c r="A2141">
        <v>27404</v>
      </c>
      <c r="B2141" t="s">
        <v>1335</v>
      </c>
      <c r="C2141">
        <v>0.39400000000000002</v>
      </c>
      <c r="D2141" t="s">
        <v>1264</v>
      </c>
      <c r="E2141">
        <v>100074</v>
      </c>
      <c r="F2141">
        <v>27404</v>
      </c>
      <c r="G2141" t="str">
        <f t="shared" si="181"/>
        <v>27404</v>
      </c>
      <c r="H2141" t="s">
        <v>490</v>
      </c>
      <c r="I2141" t="s">
        <v>1265</v>
      </c>
      <c r="J2141" t="s">
        <v>1276</v>
      </c>
      <c r="K2141" t="s">
        <v>1277</v>
      </c>
      <c r="L2141" t="s">
        <v>1335</v>
      </c>
      <c r="M2141" t="s">
        <v>1344</v>
      </c>
      <c r="N2141">
        <v>1</v>
      </c>
      <c r="O2141" t="str">
        <f t="shared" si="184"/>
        <v>47</v>
      </c>
      <c r="P2141">
        <v>47</v>
      </c>
      <c r="R2141" t="s">
        <v>1269</v>
      </c>
      <c r="S2141">
        <v>0.39400000000000002</v>
      </c>
      <c r="T2141">
        <v>0.26800000000000002</v>
      </c>
      <c r="U2141">
        <f t="shared" si="185"/>
        <v>0</v>
      </c>
      <c r="V2141" t="str">
        <f t="shared" si="182"/>
        <v>Elementary Nurse</v>
      </c>
      <c r="W2141" t="str">
        <f t="shared" si="183"/>
        <v>Nurse</v>
      </c>
    </row>
    <row r="2142" spans="1:23" x14ac:dyDescent="0.25">
      <c r="A2142">
        <v>27404</v>
      </c>
      <c r="B2142" t="s">
        <v>1306</v>
      </c>
      <c r="C2142">
        <v>0.5</v>
      </c>
      <c r="D2142" t="s">
        <v>1264</v>
      </c>
      <c r="E2142">
        <v>100074</v>
      </c>
      <c r="F2142">
        <v>27404</v>
      </c>
      <c r="G2142" t="str">
        <f t="shared" si="181"/>
        <v>27404</v>
      </c>
      <c r="H2142" t="s">
        <v>490</v>
      </c>
      <c r="I2142" t="s">
        <v>1265</v>
      </c>
      <c r="J2142" t="s">
        <v>1276</v>
      </c>
      <c r="K2142" t="s">
        <v>1277</v>
      </c>
      <c r="L2142" t="s">
        <v>1306</v>
      </c>
      <c r="M2142" t="s">
        <v>1320</v>
      </c>
      <c r="N2142">
        <v>21</v>
      </c>
      <c r="O2142" t="str">
        <f t="shared" si="184"/>
        <v>64</v>
      </c>
      <c r="P2142">
        <v>64</v>
      </c>
      <c r="R2142" t="s">
        <v>1269</v>
      </c>
      <c r="S2142">
        <v>0.5</v>
      </c>
      <c r="T2142">
        <v>0.26800000000000002</v>
      </c>
      <c r="U2142">
        <f t="shared" si="185"/>
        <v>0.13400000000000001</v>
      </c>
      <c r="V2142" t="str">
        <f t="shared" si="182"/>
        <v>Elementary Contractor ESA</v>
      </c>
      <c r="W2142" t="str">
        <f t="shared" si="183"/>
        <v>Contractor ESA</v>
      </c>
    </row>
    <row r="2143" spans="1:23" x14ac:dyDescent="0.25">
      <c r="A2143">
        <v>27416</v>
      </c>
      <c r="B2143" t="s">
        <v>1286</v>
      </c>
      <c r="C2143">
        <v>9.2999999999999999E-2</v>
      </c>
      <c r="D2143" t="s">
        <v>1264</v>
      </c>
      <c r="E2143">
        <v>100294</v>
      </c>
      <c r="F2143">
        <v>27416</v>
      </c>
      <c r="G2143" t="str">
        <f t="shared" si="181"/>
        <v>27416</v>
      </c>
      <c r="H2143" t="s">
        <v>491</v>
      </c>
      <c r="I2143" t="s">
        <v>1265</v>
      </c>
      <c r="J2143" t="s">
        <v>1271</v>
      </c>
      <c r="K2143" t="s">
        <v>1272</v>
      </c>
      <c r="L2143" t="s">
        <v>1286</v>
      </c>
      <c r="M2143" t="s">
        <v>1287</v>
      </c>
      <c r="N2143">
        <v>1</v>
      </c>
      <c r="O2143" t="str">
        <f t="shared" si="184"/>
        <v>24</v>
      </c>
      <c r="P2143">
        <v>96</v>
      </c>
      <c r="Q2143">
        <v>24</v>
      </c>
      <c r="R2143" t="s">
        <v>1269</v>
      </c>
      <c r="S2143">
        <v>9.2999999999999999E-2</v>
      </c>
      <c r="T2143">
        <v>0.24840000000000001</v>
      </c>
      <c r="U2143">
        <f t="shared" si="185"/>
        <v>0</v>
      </c>
      <c r="V2143" t="str">
        <f t="shared" si="182"/>
        <v>High Family Engagement Coordinator</v>
      </c>
      <c r="W2143" t="str">
        <f t="shared" si="183"/>
        <v>Family Engagement Coordinator</v>
      </c>
    </row>
    <row r="2144" spans="1:23" x14ac:dyDescent="0.25">
      <c r="A2144">
        <v>27416</v>
      </c>
      <c r="B2144" t="s">
        <v>1308</v>
      </c>
      <c r="C2144">
        <v>5.0519999999999996</v>
      </c>
      <c r="D2144" t="s">
        <v>1264</v>
      </c>
      <c r="E2144">
        <v>100294</v>
      </c>
      <c r="F2144">
        <v>27416</v>
      </c>
      <c r="G2144" t="str">
        <f t="shared" si="181"/>
        <v>27416</v>
      </c>
      <c r="H2144" t="s">
        <v>491</v>
      </c>
      <c r="I2144" t="s">
        <v>1265</v>
      </c>
      <c r="J2144" t="s">
        <v>1276</v>
      </c>
      <c r="K2144" t="s">
        <v>1277</v>
      </c>
      <c r="L2144" t="s">
        <v>1308</v>
      </c>
      <c r="M2144" t="s">
        <v>1389</v>
      </c>
      <c r="N2144">
        <v>1</v>
      </c>
      <c r="O2144" t="str">
        <f t="shared" si="184"/>
        <v>25</v>
      </c>
      <c r="Q2144">
        <v>25</v>
      </c>
      <c r="R2144" t="s">
        <v>1269</v>
      </c>
      <c r="S2144">
        <v>5.0519999999999996</v>
      </c>
      <c r="T2144">
        <v>0.24840000000000001</v>
      </c>
      <c r="U2144">
        <f t="shared" si="185"/>
        <v>0</v>
      </c>
      <c r="V2144" t="str">
        <f t="shared" si="182"/>
        <v>Elementary Pupil Management</v>
      </c>
      <c r="W2144" t="str">
        <f t="shared" si="183"/>
        <v>Pupil Management</v>
      </c>
    </row>
    <row r="2145" spans="1:23" x14ac:dyDescent="0.25">
      <c r="A2145">
        <v>27416</v>
      </c>
      <c r="B2145" t="s">
        <v>1383</v>
      </c>
      <c r="C2145">
        <v>3.0870000000000002</v>
      </c>
      <c r="D2145" t="s">
        <v>1264</v>
      </c>
      <c r="E2145">
        <v>100294</v>
      </c>
      <c r="F2145">
        <v>27416</v>
      </c>
      <c r="G2145" t="str">
        <f t="shared" si="181"/>
        <v>27416</v>
      </c>
      <c r="H2145" t="s">
        <v>491</v>
      </c>
      <c r="I2145" t="s">
        <v>1265</v>
      </c>
      <c r="J2145" t="s">
        <v>1271</v>
      </c>
      <c r="K2145" t="s">
        <v>1272</v>
      </c>
      <c r="L2145" t="s">
        <v>1383</v>
      </c>
      <c r="M2145" t="s">
        <v>1409</v>
      </c>
      <c r="N2145">
        <v>21</v>
      </c>
      <c r="O2145" t="str">
        <f t="shared" si="184"/>
        <v>25</v>
      </c>
      <c r="Q2145">
        <v>25</v>
      </c>
      <c r="R2145" t="s">
        <v>1269</v>
      </c>
      <c r="S2145">
        <v>3.0870000000000002</v>
      </c>
      <c r="T2145">
        <v>0.24840000000000001</v>
      </c>
      <c r="U2145">
        <f t="shared" si="185"/>
        <v>0.76700000000000002</v>
      </c>
      <c r="V2145" t="str">
        <f t="shared" si="182"/>
        <v>High Pupil Management</v>
      </c>
      <c r="W2145" t="str">
        <f t="shared" si="183"/>
        <v>Pupil Management</v>
      </c>
    </row>
    <row r="2146" spans="1:23" x14ac:dyDescent="0.25">
      <c r="A2146">
        <v>27416</v>
      </c>
      <c r="B2146" t="s">
        <v>1363</v>
      </c>
      <c r="C2146">
        <v>0.45300000000000001</v>
      </c>
      <c r="D2146" t="s">
        <v>1264</v>
      </c>
      <c r="E2146">
        <v>100294</v>
      </c>
      <c r="F2146">
        <v>27416</v>
      </c>
      <c r="G2146" t="str">
        <f t="shared" si="181"/>
        <v>27416</v>
      </c>
      <c r="H2146" t="s">
        <v>491</v>
      </c>
      <c r="I2146" t="s">
        <v>1265</v>
      </c>
      <c r="J2146" t="s">
        <v>1266</v>
      </c>
      <c r="K2146" t="s">
        <v>1267</v>
      </c>
      <c r="L2146" t="s">
        <v>1363</v>
      </c>
      <c r="M2146" t="s">
        <v>1386</v>
      </c>
      <c r="N2146">
        <v>1</v>
      </c>
      <c r="O2146" t="str">
        <f t="shared" si="184"/>
        <v>25</v>
      </c>
      <c r="Q2146">
        <v>25</v>
      </c>
      <c r="R2146" t="s">
        <v>1269</v>
      </c>
      <c r="S2146">
        <v>0.45300000000000001</v>
      </c>
      <c r="T2146">
        <v>0.24840000000000001</v>
      </c>
      <c r="U2146">
        <f t="shared" si="185"/>
        <v>0</v>
      </c>
      <c r="V2146" t="str">
        <f t="shared" si="182"/>
        <v>Middle Pupil Management</v>
      </c>
      <c r="W2146" t="str">
        <f t="shared" si="183"/>
        <v>Pupil Management</v>
      </c>
    </row>
    <row r="2147" spans="1:23" x14ac:dyDescent="0.25">
      <c r="A2147">
        <v>27416</v>
      </c>
      <c r="B2147" t="s">
        <v>1315</v>
      </c>
      <c r="C2147">
        <v>3.9969999999999999</v>
      </c>
      <c r="D2147" t="s">
        <v>1264</v>
      </c>
      <c r="E2147">
        <v>100294</v>
      </c>
      <c r="F2147">
        <v>27416</v>
      </c>
      <c r="G2147" t="str">
        <f t="shared" si="181"/>
        <v>27416</v>
      </c>
      <c r="H2147" t="s">
        <v>491</v>
      </c>
      <c r="I2147" t="s">
        <v>1265</v>
      </c>
      <c r="J2147" t="s">
        <v>1276</v>
      </c>
      <c r="K2147" t="s">
        <v>1277</v>
      </c>
      <c r="L2147" t="s">
        <v>1315</v>
      </c>
      <c r="M2147" t="s">
        <v>1375</v>
      </c>
      <c r="N2147">
        <v>1</v>
      </c>
      <c r="O2147" t="str">
        <f t="shared" si="184"/>
        <v>26</v>
      </c>
      <c r="Q2147">
        <v>26</v>
      </c>
      <c r="R2147" t="s">
        <v>1269</v>
      </c>
      <c r="S2147">
        <v>3.9969999999999999</v>
      </c>
      <c r="T2147">
        <v>0.24840000000000001</v>
      </c>
      <c r="U2147">
        <f t="shared" si="185"/>
        <v>0</v>
      </c>
      <c r="V2147" t="str">
        <f t="shared" si="182"/>
        <v>Elementary Health/
Related Services</v>
      </c>
      <c r="W2147" t="str">
        <f t="shared" si="183"/>
        <v>Health/
Related Services</v>
      </c>
    </row>
    <row r="2148" spans="1:23" x14ac:dyDescent="0.25">
      <c r="A2148">
        <v>27416</v>
      </c>
      <c r="B2148" t="s">
        <v>1295</v>
      </c>
      <c r="C2148">
        <v>0.93300000000000005</v>
      </c>
      <c r="D2148" t="s">
        <v>1264</v>
      </c>
      <c r="E2148">
        <v>100294</v>
      </c>
      <c r="F2148">
        <v>27416</v>
      </c>
      <c r="G2148" t="str">
        <f t="shared" si="181"/>
        <v>27416</v>
      </c>
      <c r="H2148" t="s">
        <v>491</v>
      </c>
      <c r="I2148" t="s">
        <v>1265</v>
      </c>
      <c r="J2148" t="s">
        <v>1271</v>
      </c>
      <c r="K2148" t="s">
        <v>1272</v>
      </c>
      <c r="L2148" t="s">
        <v>1295</v>
      </c>
      <c r="M2148" t="s">
        <v>1296</v>
      </c>
      <c r="N2148">
        <v>1</v>
      </c>
      <c r="O2148" t="str">
        <f t="shared" si="184"/>
        <v>26</v>
      </c>
      <c r="Q2148">
        <v>26</v>
      </c>
      <c r="R2148" t="s">
        <v>1269</v>
      </c>
      <c r="S2148">
        <v>0.93300000000000005</v>
      </c>
      <c r="T2148">
        <v>0.24840000000000001</v>
      </c>
      <c r="U2148">
        <f t="shared" si="185"/>
        <v>0</v>
      </c>
      <c r="V2148" t="str">
        <f t="shared" si="182"/>
        <v>High Health/
Related Services</v>
      </c>
      <c r="W2148" t="str">
        <f t="shared" si="183"/>
        <v>Health/
Related Services</v>
      </c>
    </row>
    <row r="2149" spans="1:23" x14ac:dyDescent="0.25">
      <c r="A2149">
        <v>27416</v>
      </c>
      <c r="B2149" t="s">
        <v>1291</v>
      </c>
      <c r="C2149">
        <v>0.56399999999999995</v>
      </c>
      <c r="D2149" t="s">
        <v>1264</v>
      </c>
      <c r="E2149">
        <v>100294</v>
      </c>
      <c r="F2149">
        <v>27416</v>
      </c>
      <c r="G2149" t="str">
        <f t="shared" si="181"/>
        <v>27416</v>
      </c>
      <c r="H2149" t="s">
        <v>491</v>
      </c>
      <c r="I2149" t="s">
        <v>1265</v>
      </c>
      <c r="J2149" t="s">
        <v>1266</v>
      </c>
      <c r="K2149" t="s">
        <v>1267</v>
      </c>
      <c r="L2149" t="s">
        <v>1291</v>
      </c>
      <c r="M2149" t="s">
        <v>1292</v>
      </c>
      <c r="N2149">
        <v>1</v>
      </c>
      <c r="O2149" t="str">
        <f t="shared" si="184"/>
        <v>26</v>
      </c>
      <c r="Q2149">
        <v>26</v>
      </c>
      <c r="R2149" t="s">
        <v>1269</v>
      </c>
      <c r="S2149">
        <v>0.56399999999999995</v>
      </c>
      <c r="T2149">
        <v>0.24840000000000001</v>
      </c>
      <c r="U2149">
        <f t="shared" si="185"/>
        <v>0</v>
      </c>
      <c r="V2149" t="str">
        <f t="shared" si="182"/>
        <v>Middle Health/
Related Services</v>
      </c>
      <c r="W2149" t="str">
        <f t="shared" si="183"/>
        <v>Health/
Related Services</v>
      </c>
    </row>
    <row r="2150" spans="1:23" x14ac:dyDescent="0.25">
      <c r="A2150">
        <v>27416</v>
      </c>
      <c r="B2150" t="s">
        <v>1350</v>
      </c>
      <c r="C2150">
        <v>0.66700000000000004</v>
      </c>
      <c r="D2150" t="s">
        <v>1264</v>
      </c>
      <c r="E2150">
        <v>100294</v>
      </c>
      <c r="F2150">
        <v>27416</v>
      </c>
      <c r="G2150" t="str">
        <f t="shared" si="181"/>
        <v>27416</v>
      </c>
      <c r="H2150" t="s">
        <v>491</v>
      </c>
      <c r="I2150" t="s">
        <v>1265</v>
      </c>
      <c r="J2150" t="s">
        <v>1276</v>
      </c>
      <c r="K2150" t="s">
        <v>1277</v>
      </c>
      <c r="L2150" t="s">
        <v>1350</v>
      </c>
      <c r="M2150" t="s">
        <v>1433</v>
      </c>
      <c r="N2150">
        <v>1</v>
      </c>
      <c r="O2150" t="str">
        <f t="shared" si="184"/>
        <v>35</v>
      </c>
      <c r="Q2150">
        <v>35</v>
      </c>
      <c r="R2150" t="s">
        <v>1269</v>
      </c>
      <c r="S2150">
        <v>0.66700000000000004</v>
      </c>
      <c r="T2150">
        <v>0.24840000000000001</v>
      </c>
      <c r="U2150">
        <f t="shared" si="185"/>
        <v>0</v>
      </c>
      <c r="V2150" t="str">
        <f t="shared" si="182"/>
        <v>Elementary Pupil Safety</v>
      </c>
      <c r="W2150" t="str">
        <f t="shared" si="183"/>
        <v>Pupil Safety</v>
      </c>
    </row>
    <row r="2151" spans="1:23" x14ac:dyDescent="0.25">
      <c r="A2151">
        <v>27416</v>
      </c>
      <c r="B2151" t="s">
        <v>1401</v>
      </c>
      <c r="C2151">
        <v>1.5529999999999999</v>
      </c>
      <c r="D2151" t="s">
        <v>1264</v>
      </c>
      <c r="E2151">
        <v>100294</v>
      </c>
      <c r="F2151">
        <v>27416</v>
      </c>
      <c r="G2151" t="str">
        <f t="shared" si="181"/>
        <v>27416</v>
      </c>
      <c r="H2151" t="s">
        <v>491</v>
      </c>
      <c r="I2151" t="s">
        <v>1265</v>
      </c>
      <c r="J2151" t="s">
        <v>1271</v>
      </c>
      <c r="K2151" t="s">
        <v>1272</v>
      </c>
      <c r="L2151" t="s">
        <v>1401</v>
      </c>
      <c r="M2151" t="s">
        <v>1422</v>
      </c>
      <c r="N2151">
        <v>1</v>
      </c>
      <c r="O2151" t="str">
        <f t="shared" si="184"/>
        <v>35</v>
      </c>
      <c r="Q2151">
        <v>35</v>
      </c>
      <c r="R2151" t="s">
        <v>1269</v>
      </c>
      <c r="S2151">
        <v>1.5529999999999999</v>
      </c>
      <c r="T2151">
        <v>0.24840000000000001</v>
      </c>
      <c r="U2151">
        <f t="shared" si="185"/>
        <v>0</v>
      </c>
      <c r="V2151" t="str">
        <f t="shared" si="182"/>
        <v>High Pupil Safety</v>
      </c>
      <c r="W2151" t="str">
        <f t="shared" si="183"/>
        <v>Pupil Safety</v>
      </c>
    </row>
    <row r="2152" spans="1:23" x14ac:dyDescent="0.25">
      <c r="A2152">
        <v>27416</v>
      </c>
      <c r="B2152" t="s">
        <v>1377</v>
      </c>
      <c r="C2152">
        <v>0.54400000000000004</v>
      </c>
      <c r="D2152" t="s">
        <v>1264</v>
      </c>
      <c r="E2152">
        <v>100294</v>
      </c>
      <c r="F2152">
        <v>27416</v>
      </c>
      <c r="G2152" t="str">
        <f t="shared" si="181"/>
        <v>27416</v>
      </c>
      <c r="H2152" t="s">
        <v>491</v>
      </c>
      <c r="I2152" t="s">
        <v>1265</v>
      </c>
      <c r="J2152" t="s">
        <v>1266</v>
      </c>
      <c r="K2152" t="s">
        <v>1267</v>
      </c>
      <c r="L2152" t="s">
        <v>1377</v>
      </c>
      <c r="M2152" t="s">
        <v>1423</v>
      </c>
      <c r="N2152">
        <v>1</v>
      </c>
      <c r="O2152" t="str">
        <f t="shared" si="184"/>
        <v>35</v>
      </c>
      <c r="Q2152">
        <v>35</v>
      </c>
      <c r="R2152" t="s">
        <v>1269</v>
      </c>
      <c r="S2152">
        <v>0.54400000000000004</v>
      </c>
      <c r="T2152">
        <v>0.24840000000000001</v>
      </c>
      <c r="U2152">
        <f t="shared" si="185"/>
        <v>0</v>
      </c>
      <c r="V2152" t="str">
        <f t="shared" si="182"/>
        <v>Middle Pupil Safety</v>
      </c>
      <c r="W2152" t="str">
        <f t="shared" si="183"/>
        <v>Pupil Safety</v>
      </c>
    </row>
    <row r="2153" spans="1:23" x14ac:dyDescent="0.25">
      <c r="A2153">
        <v>27416</v>
      </c>
      <c r="B2153" t="s">
        <v>1275</v>
      </c>
      <c r="C2153">
        <v>4.8499999999999996</v>
      </c>
      <c r="D2153" t="s">
        <v>1264</v>
      </c>
      <c r="E2153">
        <v>100294</v>
      </c>
      <c r="F2153">
        <v>27416</v>
      </c>
      <c r="G2153" t="str">
        <f t="shared" si="181"/>
        <v>27416</v>
      </c>
      <c r="H2153" t="s">
        <v>491</v>
      </c>
      <c r="I2153" t="s">
        <v>1265</v>
      </c>
      <c r="J2153" t="s">
        <v>1276</v>
      </c>
      <c r="K2153" t="s">
        <v>1277</v>
      </c>
      <c r="L2153" t="s">
        <v>1275</v>
      </c>
      <c r="M2153" t="s">
        <v>1278</v>
      </c>
      <c r="N2153">
        <v>1</v>
      </c>
      <c r="O2153" t="str">
        <f t="shared" si="184"/>
        <v>42</v>
      </c>
      <c r="P2153">
        <v>42</v>
      </c>
      <c r="R2153" t="s">
        <v>1269</v>
      </c>
      <c r="S2153">
        <v>4.8499999999999996</v>
      </c>
      <c r="T2153">
        <v>0.24840000000000001</v>
      </c>
      <c r="U2153">
        <f t="shared" si="185"/>
        <v>0</v>
      </c>
      <c r="V2153" t="str">
        <f t="shared" si="182"/>
        <v>Elementary Counselor</v>
      </c>
      <c r="W2153" t="str">
        <f t="shared" si="183"/>
        <v>Counselor</v>
      </c>
    </row>
    <row r="2154" spans="1:23" x14ac:dyDescent="0.25">
      <c r="A2154">
        <v>27416</v>
      </c>
      <c r="B2154" t="s">
        <v>1270</v>
      </c>
      <c r="C2154">
        <v>3.25</v>
      </c>
      <c r="D2154" t="s">
        <v>1264</v>
      </c>
      <c r="E2154">
        <v>100294</v>
      </c>
      <c r="F2154">
        <v>27416</v>
      </c>
      <c r="G2154" t="str">
        <f t="shared" si="181"/>
        <v>27416</v>
      </c>
      <c r="H2154" t="s">
        <v>491</v>
      </c>
      <c r="I2154" t="s">
        <v>1265</v>
      </c>
      <c r="J2154" t="s">
        <v>1271</v>
      </c>
      <c r="K2154" t="s">
        <v>1272</v>
      </c>
      <c r="L2154" t="s">
        <v>1270</v>
      </c>
      <c r="M2154" t="s">
        <v>1273</v>
      </c>
      <c r="N2154">
        <v>1</v>
      </c>
      <c r="O2154" t="str">
        <f t="shared" si="184"/>
        <v>42</v>
      </c>
      <c r="P2154">
        <v>42</v>
      </c>
      <c r="R2154" t="s">
        <v>1269</v>
      </c>
      <c r="S2154">
        <v>3.25</v>
      </c>
      <c r="T2154">
        <v>0.24840000000000001</v>
      </c>
      <c r="U2154">
        <f t="shared" si="185"/>
        <v>0</v>
      </c>
      <c r="V2154" t="str">
        <f t="shared" si="182"/>
        <v>High Counselor</v>
      </c>
      <c r="W2154" t="str">
        <f t="shared" si="183"/>
        <v>Counselor</v>
      </c>
    </row>
    <row r="2155" spans="1:23" x14ac:dyDescent="0.25">
      <c r="A2155">
        <v>27416</v>
      </c>
      <c r="B2155" t="s">
        <v>1263</v>
      </c>
      <c r="C2155">
        <v>2</v>
      </c>
      <c r="D2155" t="s">
        <v>1264</v>
      </c>
      <c r="E2155">
        <v>100294</v>
      </c>
      <c r="F2155">
        <v>27416</v>
      </c>
      <c r="G2155" t="str">
        <f t="shared" si="181"/>
        <v>27416</v>
      </c>
      <c r="H2155" t="s">
        <v>491</v>
      </c>
      <c r="I2155" t="s">
        <v>1265</v>
      </c>
      <c r="J2155" t="s">
        <v>1266</v>
      </c>
      <c r="K2155" t="s">
        <v>1267</v>
      </c>
      <c r="L2155" t="s">
        <v>1263</v>
      </c>
      <c r="M2155" t="s">
        <v>1268</v>
      </c>
      <c r="N2155">
        <v>1</v>
      </c>
      <c r="O2155" t="str">
        <f t="shared" si="184"/>
        <v>42</v>
      </c>
      <c r="P2155">
        <v>42</v>
      </c>
      <c r="R2155" t="s">
        <v>1269</v>
      </c>
      <c r="S2155">
        <v>2</v>
      </c>
      <c r="T2155">
        <v>0.24840000000000001</v>
      </c>
      <c r="U2155">
        <f t="shared" si="185"/>
        <v>0</v>
      </c>
      <c r="V2155" t="str">
        <f t="shared" si="182"/>
        <v>Middle Counselor</v>
      </c>
      <c r="W2155" t="str">
        <f t="shared" si="183"/>
        <v>Counselor</v>
      </c>
    </row>
    <row r="2156" spans="1:23" x14ac:dyDescent="0.25">
      <c r="A2156">
        <v>27416</v>
      </c>
      <c r="B2156" t="s">
        <v>1289</v>
      </c>
      <c r="C2156">
        <v>1</v>
      </c>
      <c r="D2156" t="s">
        <v>1264</v>
      </c>
      <c r="E2156">
        <v>100294</v>
      </c>
      <c r="F2156">
        <v>27416</v>
      </c>
      <c r="G2156" t="str">
        <f t="shared" si="181"/>
        <v>27416</v>
      </c>
      <c r="H2156" t="s">
        <v>491</v>
      </c>
      <c r="I2156" t="s">
        <v>1265</v>
      </c>
      <c r="J2156" t="s">
        <v>1276</v>
      </c>
      <c r="K2156" t="s">
        <v>1277</v>
      </c>
      <c r="L2156" t="s">
        <v>1289</v>
      </c>
      <c r="M2156" t="s">
        <v>1307</v>
      </c>
      <c r="N2156">
        <v>21</v>
      </c>
      <c r="O2156" t="str">
        <f t="shared" si="184"/>
        <v>43</v>
      </c>
      <c r="P2156">
        <v>43</v>
      </c>
      <c r="R2156" t="s">
        <v>1269</v>
      </c>
      <c r="S2156">
        <v>1</v>
      </c>
      <c r="T2156">
        <v>0.24840000000000001</v>
      </c>
      <c r="U2156">
        <f t="shared" si="185"/>
        <v>0.248</v>
      </c>
      <c r="V2156" t="str">
        <f t="shared" si="182"/>
        <v>Elementary Occupational Therapist</v>
      </c>
      <c r="W2156" t="str">
        <f t="shared" si="183"/>
        <v>Occupational Therapist</v>
      </c>
    </row>
    <row r="2157" spans="1:23" x14ac:dyDescent="0.25">
      <c r="A2157">
        <v>27416</v>
      </c>
      <c r="B2157" t="s">
        <v>1329</v>
      </c>
      <c r="C2157">
        <v>0.63</v>
      </c>
      <c r="D2157" t="s">
        <v>1264</v>
      </c>
      <c r="E2157">
        <v>100294</v>
      </c>
      <c r="F2157">
        <v>27416</v>
      </c>
      <c r="G2157" t="str">
        <f t="shared" si="181"/>
        <v>27416</v>
      </c>
      <c r="H2157" t="s">
        <v>491</v>
      </c>
      <c r="I2157" t="s">
        <v>1265</v>
      </c>
      <c r="J2157" t="s">
        <v>1276</v>
      </c>
      <c r="K2157" t="s">
        <v>1277</v>
      </c>
      <c r="L2157" t="s">
        <v>1329</v>
      </c>
      <c r="M2157" t="s">
        <v>1418</v>
      </c>
      <c r="N2157">
        <v>21</v>
      </c>
      <c r="O2157" t="str">
        <f t="shared" si="184"/>
        <v>44</v>
      </c>
      <c r="P2157">
        <v>44</v>
      </c>
      <c r="R2157" t="s">
        <v>1269</v>
      </c>
      <c r="S2157">
        <v>0.63</v>
      </c>
      <c r="T2157">
        <v>0.24840000000000001</v>
      </c>
      <c r="U2157">
        <f t="shared" si="185"/>
        <v>0.156</v>
      </c>
      <c r="V2157" t="str">
        <f t="shared" si="182"/>
        <v>Elementary Social Worker</v>
      </c>
      <c r="W2157" t="str">
        <f t="shared" si="183"/>
        <v>Social Worker</v>
      </c>
    </row>
    <row r="2158" spans="1:23" x14ac:dyDescent="0.25">
      <c r="A2158">
        <v>27416</v>
      </c>
      <c r="B2158" t="s">
        <v>1359</v>
      </c>
      <c r="C2158">
        <v>1</v>
      </c>
      <c r="D2158" t="s">
        <v>1264</v>
      </c>
      <c r="E2158">
        <v>100294</v>
      </c>
      <c r="F2158">
        <v>27416</v>
      </c>
      <c r="G2158" t="str">
        <f t="shared" si="181"/>
        <v>27416</v>
      </c>
      <c r="H2158" t="s">
        <v>491</v>
      </c>
      <c r="I2158" t="s">
        <v>1265</v>
      </c>
      <c r="J2158" t="s">
        <v>1271</v>
      </c>
      <c r="K2158" t="s">
        <v>1272</v>
      </c>
      <c r="L2158" t="s">
        <v>1359</v>
      </c>
      <c r="M2158" t="s">
        <v>1360</v>
      </c>
      <c r="N2158">
        <v>1</v>
      </c>
      <c r="O2158" t="str">
        <f t="shared" si="184"/>
        <v>44</v>
      </c>
      <c r="P2158">
        <v>44</v>
      </c>
      <c r="R2158" t="s">
        <v>1269</v>
      </c>
      <c r="S2158">
        <v>1</v>
      </c>
      <c r="T2158">
        <v>0.24840000000000001</v>
      </c>
      <c r="U2158">
        <f t="shared" si="185"/>
        <v>0</v>
      </c>
      <c r="V2158" t="str">
        <f t="shared" si="182"/>
        <v>High Social Worker</v>
      </c>
      <c r="W2158" t="str">
        <f t="shared" si="183"/>
        <v>Social Worker</v>
      </c>
    </row>
    <row r="2159" spans="1:23" x14ac:dyDescent="0.25">
      <c r="A2159">
        <v>27416</v>
      </c>
      <c r="B2159" t="s">
        <v>1294</v>
      </c>
      <c r="C2159">
        <v>5.4630000000000001</v>
      </c>
      <c r="D2159" t="s">
        <v>1264</v>
      </c>
      <c r="E2159">
        <v>100294</v>
      </c>
      <c r="F2159">
        <v>27416</v>
      </c>
      <c r="G2159" t="str">
        <f t="shared" si="181"/>
        <v>27416</v>
      </c>
      <c r="H2159" t="s">
        <v>491</v>
      </c>
      <c r="I2159" t="s">
        <v>1265</v>
      </c>
      <c r="J2159" t="s">
        <v>1276</v>
      </c>
      <c r="K2159" t="s">
        <v>1277</v>
      </c>
      <c r="L2159" t="s">
        <v>1294</v>
      </c>
      <c r="M2159" t="s">
        <v>1354</v>
      </c>
      <c r="N2159">
        <v>21</v>
      </c>
      <c r="O2159" t="str">
        <f t="shared" si="184"/>
        <v>45</v>
      </c>
      <c r="P2159">
        <v>45</v>
      </c>
      <c r="R2159" t="s">
        <v>1269</v>
      </c>
      <c r="S2159">
        <v>5.4630000000000001</v>
      </c>
      <c r="T2159">
        <v>0.24840000000000001</v>
      </c>
      <c r="U2159">
        <f t="shared" si="185"/>
        <v>1.357</v>
      </c>
      <c r="V2159" t="str">
        <f t="shared" si="182"/>
        <v>Elementary Speech, Language Pathway/
Audio</v>
      </c>
      <c r="W2159" t="str">
        <f t="shared" si="183"/>
        <v>Speech, Language Pathway/
Audio</v>
      </c>
    </row>
    <row r="2160" spans="1:23" x14ac:dyDescent="0.25">
      <c r="A2160">
        <v>27416</v>
      </c>
      <c r="B2160" t="s">
        <v>1326</v>
      </c>
      <c r="C2160">
        <v>0.313</v>
      </c>
      <c r="D2160" t="s">
        <v>1264</v>
      </c>
      <c r="E2160">
        <v>100294</v>
      </c>
      <c r="F2160">
        <v>27416</v>
      </c>
      <c r="G2160" t="str">
        <f t="shared" si="181"/>
        <v>27416</v>
      </c>
      <c r="H2160" t="s">
        <v>491</v>
      </c>
      <c r="I2160" t="s">
        <v>1265</v>
      </c>
      <c r="J2160" t="s">
        <v>1271</v>
      </c>
      <c r="K2160" t="s">
        <v>1272</v>
      </c>
      <c r="L2160" t="s">
        <v>1326</v>
      </c>
      <c r="M2160" t="s">
        <v>1353</v>
      </c>
      <c r="N2160">
        <v>21</v>
      </c>
      <c r="O2160" t="str">
        <f t="shared" si="184"/>
        <v>45</v>
      </c>
      <c r="P2160">
        <v>45</v>
      </c>
      <c r="R2160" t="s">
        <v>1269</v>
      </c>
      <c r="S2160">
        <v>0.313</v>
      </c>
      <c r="T2160">
        <v>0.24840000000000001</v>
      </c>
      <c r="U2160">
        <f t="shared" si="185"/>
        <v>7.8E-2</v>
      </c>
      <c r="V2160" t="str">
        <f t="shared" si="182"/>
        <v>High Speech, Language Pathway/
Audio</v>
      </c>
      <c r="W2160" t="str">
        <f t="shared" si="183"/>
        <v>Speech, Language Pathway/
Audio</v>
      </c>
    </row>
    <row r="2161" spans="1:23" x14ac:dyDescent="0.25">
      <c r="A2161">
        <v>27416</v>
      </c>
      <c r="B2161" t="s">
        <v>1312</v>
      </c>
      <c r="C2161">
        <v>0.49399999999999999</v>
      </c>
      <c r="D2161" t="s">
        <v>1264</v>
      </c>
      <c r="E2161">
        <v>100294</v>
      </c>
      <c r="F2161">
        <v>27416</v>
      </c>
      <c r="G2161" t="str">
        <f t="shared" si="181"/>
        <v>27416</v>
      </c>
      <c r="H2161" t="s">
        <v>491</v>
      </c>
      <c r="I2161" t="s">
        <v>1265</v>
      </c>
      <c r="J2161" t="s">
        <v>1266</v>
      </c>
      <c r="K2161" t="s">
        <v>1267</v>
      </c>
      <c r="L2161" t="s">
        <v>1312</v>
      </c>
      <c r="M2161" t="s">
        <v>1351</v>
      </c>
      <c r="N2161">
        <v>21</v>
      </c>
      <c r="O2161" t="str">
        <f t="shared" si="184"/>
        <v>45</v>
      </c>
      <c r="P2161">
        <v>45</v>
      </c>
      <c r="R2161" t="s">
        <v>1269</v>
      </c>
      <c r="S2161">
        <v>0.49399999999999999</v>
      </c>
      <c r="T2161">
        <v>0.24840000000000001</v>
      </c>
      <c r="U2161">
        <f t="shared" si="185"/>
        <v>0.123</v>
      </c>
      <c r="V2161" t="str">
        <f t="shared" si="182"/>
        <v>Middle Speech, Language Pathway/
Audio</v>
      </c>
      <c r="W2161" t="str">
        <f t="shared" si="183"/>
        <v>Speech, Language Pathway/
Audio</v>
      </c>
    </row>
    <row r="2162" spans="1:23" x14ac:dyDescent="0.25">
      <c r="A2162">
        <v>27416</v>
      </c>
      <c r="B2162" t="s">
        <v>1298</v>
      </c>
      <c r="C2162">
        <v>4.3</v>
      </c>
      <c r="D2162" t="s">
        <v>1264</v>
      </c>
      <c r="E2162">
        <v>100294</v>
      </c>
      <c r="F2162">
        <v>27416</v>
      </c>
      <c r="G2162" t="str">
        <f t="shared" si="181"/>
        <v>27416</v>
      </c>
      <c r="H2162" t="s">
        <v>491</v>
      </c>
      <c r="I2162" t="s">
        <v>1265</v>
      </c>
      <c r="J2162" t="s">
        <v>1276</v>
      </c>
      <c r="K2162" t="s">
        <v>1277</v>
      </c>
      <c r="L2162" t="s">
        <v>1298</v>
      </c>
      <c r="M2162" t="s">
        <v>1349</v>
      </c>
      <c r="N2162">
        <v>21</v>
      </c>
      <c r="O2162" t="str">
        <f t="shared" si="184"/>
        <v>46</v>
      </c>
      <c r="P2162">
        <v>46</v>
      </c>
      <c r="R2162" t="s">
        <v>1269</v>
      </c>
      <c r="S2162">
        <v>4.3</v>
      </c>
      <c r="T2162">
        <v>0.24840000000000001</v>
      </c>
      <c r="U2162">
        <f t="shared" si="185"/>
        <v>1.0680000000000001</v>
      </c>
      <c r="V2162" t="str">
        <f t="shared" si="182"/>
        <v>Elementary Psychologist</v>
      </c>
      <c r="W2162" t="str">
        <f t="shared" si="183"/>
        <v>Psychologist</v>
      </c>
    </row>
    <row r="2163" spans="1:23" x14ac:dyDescent="0.25">
      <c r="A2163">
        <v>27416</v>
      </c>
      <c r="B2163" t="s">
        <v>1309</v>
      </c>
      <c r="C2163">
        <v>1</v>
      </c>
      <c r="D2163" t="s">
        <v>1264</v>
      </c>
      <c r="E2163">
        <v>100294</v>
      </c>
      <c r="F2163">
        <v>27416</v>
      </c>
      <c r="G2163" t="str">
        <f t="shared" si="181"/>
        <v>27416</v>
      </c>
      <c r="H2163" t="s">
        <v>491</v>
      </c>
      <c r="I2163" t="s">
        <v>1265</v>
      </c>
      <c r="J2163" t="s">
        <v>1271</v>
      </c>
      <c r="K2163" t="s">
        <v>1272</v>
      </c>
      <c r="L2163" t="s">
        <v>1309</v>
      </c>
      <c r="M2163" t="s">
        <v>1310</v>
      </c>
      <c r="N2163">
        <v>21</v>
      </c>
      <c r="O2163" t="str">
        <f t="shared" si="184"/>
        <v>46</v>
      </c>
      <c r="P2163">
        <v>46</v>
      </c>
      <c r="R2163" t="s">
        <v>1269</v>
      </c>
      <c r="S2163">
        <v>1</v>
      </c>
      <c r="T2163">
        <v>0.24840000000000001</v>
      </c>
      <c r="U2163">
        <f t="shared" si="185"/>
        <v>0.248</v>
      </c>
      <c r="V2163" t="str">
        <f t="shared" si="182"/>
        <v>High Psychologist</v>
      </c>
      <c r="W2163" t="str">
        <f t="shared" si="183"/>
        <v>Psychologist</v>
      </c>
    </row>
    <row r="2164" spans="1:23" x14ac:dyDescent="0.25">
      <c r="A2164">
        <v>27416</v>
      </c>
      <c r="B2164" t="s">
        <v>1345</v>
      </c>
      <c r="C2164">
        <v>1</v>
      </c>
      <c r="D2164" t="s">
        <v>1264</v>
      </c>
      <c r="E2164">
        <v>100294</v>
      </c>
      <c r="F2164">
        <v>27416</v>
      </c>
      <c r="G2164" t="str">
        <f t="shared" si="181"/>
        <v>27416</v>
      </c>
      <c r="H2164" t="s">
        <v>491</v>
      </c>
      <c r="I2164" t="s">
        <v>1265</v>
      </c>
      <c r="J2164" t="s">
        <v>1266</v>
      </c>
      <c r="K2164" t="s">
        <v>1267</v>
      </c>
      <c r="L2164" t="s">
        <v>1345</v>
      </c>
      <c r="M2164" t="s">
        <v>1346</v>
      </c>
      <c r="N2164">
        <v>21</v>
      </c>
      <c r="O2164" t="str">
        <f t="shared" si="184"/>
        <v>46</v>
      </c>
      <c r="P2164">
        <v>46</v>
      </c>
      <c r="R2164" t="s">
        <v>1269</v>
      </c>
      <c r="S2164">
        <v>1</v>
      </c>
      <c r="T2164">
        <v>0.24840000000000001</v>
      </c>
      <c r="U2164">
        <f t="shared" si="185"/>
        <v>0.248</v>
      </c>
      <c r="V2164" t="str">
        <f t="shared" si="182"/>
        <v>Middle Psychologist</v>
      </c>
      <c r="W2164" t="str">
        <f t="shared" si="183"/>
        <v>Psychologist</v>
      </c>
    </row>
    <row r="2165" spans="1:23" x14ac:dyDescent="0.25">
      <c r="A2165" t="s">
        <v>196</v>
      </c>
      <c r="B2165" t="s">
        <v>1348</v>
      </c>
      <c r="C2165">
        <v>0.15</v>
      </c>
      <c r="F2165" t="s">
        <v>196</v>
      </c>
      <c r="G2165" t="str">
        <f t="shared" si="181"/>
        <v>27416</v>
      </c>
      <c r="H2165" t="s">
        <v>491</v>
      </c>
      <c r="I2165" t="s">
        <v>1265</v>
      </c>
      <c r="J2165" t="s">
        <v>1641</v>
      </c>
      <c r="K2165" t="s">
        <v>1277</v>
      </c>
      <c r="L2165" t="s">
        <v>1348</v>
      </c>
      <c r="M2165" t="s">
        <v>1645</v>
      </c>
      <c r="N2165">
        <v>9</v>
      </c>
      <c r="O2165" t="str">
        <f t="shared" si="184"/>
        <v>42</v>
      </c>
      <c r="P2165">
        <v>42</v>
      </c>
      <c r="Q2165">
        <v>24</v>
      </c>
      <c r="S2165">
        <v>0.15</v>
      </c>
      <c r="T2165">
        <v>0.24840000000000001</v>
      </c>
      <c r="U2165">
        <f t="shared" si="185"/>
        <v>0</v>
      </c>
      <c r="V2165" t="str">
        <f t="shared" si="182"/>
        <v>TK Counselor</v>
      </c>
      <c r="W2165" t="str">
        <f t="shared" si="183"/>
        <v>Counselor</v>
      </c>
    </row>
    <row r="2166" spans="1:23" x14ac:dyDescent="0.25">
      <c r="A2166">
        <v>27417</v>
      </c>
      <c r="B2166" t="s">
        <v>1383</v>
      </c>
      <c r="C2166">
        <v>2.589</v>
      </c>
      <c r="D2166" t="s">
        <v>1264</v>
      </c>
      <c r="E2166">
        <v>100088</v>
      </c>
      <c r="F2166">
        <v>27417</v>
      </c>
      <c r="G2166" t="str">
        <f t="shared" si="181"/>
        <v>27417</v>
      </c>
      <c r="H2166" t="s">
        <v>492</v>
      </c>
      <c r="I2166" t="s">
        <v>1265</v>
      </c>
      <c r="J2166" t="s">
        <v>1271</v>
      </c>
      <c r="K2166" t="s">
        <v>1272</v>
      </c>
      <c r="L2166" t="s">
        <v>1383</v>
      </c>
      <c r="M2166" t="s">
        <v>1409</v>
      </c>
      <c r="N2166">
        <v>21</v>
      </c>
      <c r="O2166" t="str">
        <f t="shared" si="184"/>
        <v>25</v>
      </c>
      <c r="Q2166">
        <v>25</v>
      </c>
      <c r="R2166" t="s">
        <v>1269</v>
      </c>
      <c r="S2166">
        <v>2.589</v>
      </c>
      <c r="T2166">
        <v>0.31140000000000001</v>
      </c>
      <c r="U2166">
        <f t="shared" si="185"/>
        <v>0.80600000000000005</v>
      </c>
      <c r="V2166" t="str">
        <f t="shared" si="182"/>
        <v>High Pupil Management</v>
      </c>
      <c r="W2166" t="str">
        <f t="shared" si="183"/>
        <v>Pupil Management</v>
      </c>
    </row>
    <row r="2167" spans="1:23" x14ac:dyDescent="0.25">
      <c r="A2167">
        <v>27417</v>
      </c>
      <c r="B2167" t="s">
        <v>1299</v>
      </c>
      <c r="C2167">
        <v>2.2919999999999998</v>
      </c>
      <c r="D2167" t="s">
        <v>1264</v>
      </c>
      <c r="E2167">
        <v>100088</v>
      </c>
      <c r="F2167">
        <v>27417</v>
      </c>
      <c r="G2167" t="str">
        <f t="shared" si="181"/>
        <v>27417</v>
      </c>
      <c r="H2167" t="s">
        <v>492</v>
      </c>
      <c r="I2167" t="s">
        <v>1265</v>
      </c>
      <c r="J2167" t="s">
        <v>1271</v>
      </c>
      <c r="K2167" t="s">
        <v>1272</v>
      </c>
      <c r="L2167" t="s">
        <v>1299</v>
      </c>
      <c r="M2167" t="s">
        <v>1300</v>
      </c>
      <c r="N2167">
        <v>1</v>
      </c>
      <c r="O2167" t="str">
        <f t="shared" si="184"/>
        <v>25</v>
      </c>
      <c r="Q2167">
        <v>25</v>
      </c>
      <c r="R2167" t="s">
        <v>1269</v>
      </c>
      <c r="S2167">
        <v>2.2919999999999998</v>
      </c>
      <c r="T2167">
        <v>0.31140000000000001</v>
      </c>
      <c r="U2167">
        <f t="shared" si="185"/>
        <v>0</v>
      </c>
      <c r="V2167" t="str">
        <f t="shared" si="182"/>
        <v>High Pupil Management</v>
      </c>
      <c r="W2167" t="str">
        <f t="shared" si="183"/>
        <v>Pupil Management</v>
      </c>
    </row>
    <row r="2168" spans="1:23" x14ac:dyDescent="0.25">
      <c r="A2168">
        <v>27417</v>
      </c>
      <c r="B2168" t="s">
        <v>1324</v>
      </c>
      <c r="C2168">
        <v>0.68500000000000005</v>
      </c>
      <c r="D2168" t="s">
        <v>1264</v>
      </c>
      <c r="E2168">
        <v>100088</v>
      </c>
      <c r="F2168">
        <v>27417</v>
      </c>
      <c r="G2168" t="str">
        <f t="shared" si="181"/>
        <v>27417</v>
      </c>
      <c r="H2168" t="s">
        <v>492</v>
      </c>
      <c r="I2168" t="s">
        <v>1265</v>
      </c>
      <c r="J2168" t="s">
        <v>1271</v>
      </c>
      <c r="K2168" t="s">
        <v>1272</v>
      </c>
      <c r="L2168" t="s">
        <v>1324</v>
      </c>
      <c r="M2168" t="s">
        <v>1325</v>
      </c>
      <c r="N2168">
        <v>21</v>
      </c>
      <c r="O2168" t="str">
        <f t="shared" si="184"/>
        <v>26</v>
      </c>
      <c r="Q2168">
        <v>26</v>
      </c>
      <c r="R2168" t="s">
        <v>1269</v>
      </c>
      <c r="S2168">
        <v>0.68500000000000005</v>
      </c>
      <c r="T2168">
        <v>0.31140000000000001</v>
      </c>
      <c r="U2168">
        <f t="shared" si="185"/>
        <v>0.21299999999999999</v>
      </c>
      <c r="V2168" t="str">
        <f t="shared" si="182"/>
        <v>High Health/
Related Services</v>
      </c>
      <c r="W2168" t="str">
        <f t="shared" si="183"/>
        <v>Health/
Related Services</v>
      </c>
    </row>
    <row r="2169" spans="1:23" x14ac:dyDescent="0.25">
      <c r="A2169">
        <v>27417</v>
      </c>
      <c r="B2169" t="s">
        <v>1295</v>
      </c>
      <c r="C2169">
        <v>1.278</v>
      </c>
      <c r="D2169" t="s">
        <v>1264</v>
      </c>
      <c r="E2169">
        <v>100088</v>
      </c>
      <c r="F2169">
        <v>27417</v>
      </c>
      <c r="G2169" t="str">
        <f t="shared" si="181"/>
        <v>27417</v>
      </c>
      <c r="H2169" t="s">
        <v>492</v>
      </c>
      <c r="I2169" t="s">
        <v>1265</v>
      </c>
      <c r="J2169" t="s">
        <v>1271</v>
      </c>
      <c r="K2169" t="s">
        <v>1272</v>
      </c>
      <c r="L2169" t="s">
        <v>1295</v>
      </c>
      <c r="M2169" t="s">
        <v>1296</v>
      </c>
      <c r="N2169">
        <v>1</v>
      </c>
      <c r="O2169" t="str">
        <f t="shared" si="184"/>
        <v>26</v>
      </c>
      <c r="Q2169">
        <v>26</v>
      </c>
      <c r="R2169" t="s">
        <v>1269</v>
      </c>
      <c r="S2169">
        <v>1.278</v>
      </c>
      <c r="T2169">
        <v>0.31140000000000001</v>
      </c>
      <c r="U2169">
        <f t="shared" si="185"/>
        <v>0</v>
      </c>
      <c r="V2169" t="str">
        <f t="shared" si="182"/>
        <v>High Health/
Related Services</v>
      </c>
      <c r="W2169" t="str">
        <f t="shared" si="183"/>
        <v>Health/
Related Services</v>
      </c>
    </row>
    <row r="2170" spans="1:23" x14ac:dyDescent="0.25">
      <c r="A2170">
        <v>27417</v>
      </c>
      <c r="B2170" t="s">
        <v>1401</v>
      </c>
      <c r="C2170">
        <v>2.2770000000000001</v>
      </c>
      <c r="D2170" t="s">
        <v>1264</v>
      </c>
      <c r="E2170">
        <v>100088</v>
      </c>
      <c r="F2170">
        <v>27417</v>
      </c>
      <c r="G2170" t="str">
        <f t="shared" si="181"/>
        <v>27417</v>
      </c>
      <c r="H2170" t="s">
        <v>492</v>
      </c>
      <c r="I2170" t="s">
        <v>1265</v>
      </c>
      <c r="J2170" t="s">
        <v>1271</v>
      </c>
      <c r="K2170" t="s">
        <v>1272</v>
      </c>
      <c r="L2170" t="s">
        <v>1401</v>
      </c>
      <c r="M2170" t="s">
        <v>1422</v>
      </c>
      <c r="N2170">
        <v>1</v>
      </c>
      <c r="O2170" t="str">
        <f t="shared" si="184"/>
        <v>35</v>
      </c>
      <c r="Q2170">
        <v>35</v>
      </c>
      <c r="R2170" t="s">
        <v>1269</v>
      </c>
      <c r="S2170">
        <v>2.2770000000000001</v>
      </c>
      <c r="T2170">
        <v>0.31140000000000001</v>
      </c>
      <c r="U2170">
        <f t="shared" si="185"/>
        <v>0</v>
      </c>
      <c r="V2170" t="str">
        <f t="shared" si="182"/>
        <v>High Pupil Safety</v>
      </c>
      <c r="W2170" t="str">
        <f t="shared" si="183"/>
        <v>Pupil Safety</v>
      </c>
    </row>
    <row r="2171" spans="1:23" x14ac:dyDescent="0.25">
      <c r="A2171">
        <v>27417</v>
      </c>
      <c r="B2171" t="s">
        <v>1275</v>
      </c>
      <c r="C2171">
        <v>4</v>
      </c>
      <c r="D2171" t="s">
        <v>1264</v>
      </c>
      <c r="E2171">
        <v>100088</v>
      </c>
      <c r="F2171">
        <v>27417</v>
      </c>
      <c r="G2171" t="str">
        <f t="shared" si="181"/>
        <v>27417</v>
      </c>
      <c r="H2171" t="s">
        <v>492</v>
      </c>
      <c r="I2171" t="s">
        <v>1265</v>
      </c>
      <c r="J2171" t="s">
        <v>1276</v>
      </c>
      <c r="K2171" t="s">
        <v>1277</v>
      </c>
      <c r="L2171" t="s">
        <v>1275</v>
      </c>
      <c r="M2171" t="s">
        <v>1278</v>
      </c>
      <c r="N2171">
        <v>1</v>
      </c>
      <c r="O2171" t="str">
        <f t="shared" si="184"/>
        <v>42</v>
      </c>
      <c r="P2171">
        <v>42</v>
      </c>
      <c r="R2171" t="s">
        <v>1269</v>
      </c>
      <c r="S2171">
        <v>4</v>
      </c>
      <c r="T2171">
        <v>0.31140000000000001</v>
      </c>
      <c r="U2171">
        <f t="shared" si="185"/>
        <v>0</v>
      </c>
      <c r="V2171" t="str">
        <f t="shared" si="182"/>
        <v>Elementary Counselor</v>
      </c>
      <c r="W2171" t="str">
        <f t="shared" si="183"/>
        <v>Counselor</v>
      </c>
    </row>
    <row r="2172" spans="1:23" x14ac:dyDescent="0.25">
      <c r="A2172">
        <v>27417</v>
      </c>
      <c r="B2172" t="s">
        <v>1270</v>
      </c>
      <c r="C2172">
        <v>3.54</v>
      </c>
      <c r="D2172" t="s">
        <v>1264</v>
      </c>
      <c r="E2172">
        <v>100088</v>
      </c>
      <c r="F2172">
        <v>27417</v>
      </c>
      <c r="G2172" t="str">
        <f t="shared" si="181"/>
        <v>27417</v>
      </c>
      <c r="H2172" t="s">
        <v>492</v>
      </c>
      <c r="I2172" t="s">
        <v>1265</v>
      </c>
      <c r="J2172" t="s">
        <v>1271</v>
      </c>
      <c r="K2172" t="s">
        <v>1272</v>
      </c>
      <c r="L2172" t="s">
        <v>1270</v>
      </c>
      <c r="M2172" t="s">
        <v>1273</v>
      </c>
      <c r="N2172">
        <v>1</v>
      </c>
      <c r="O2172" t="str">
        <f t="shared" si="184"/>
        <v>42</v>
      </c>
      <c r="P2172">
        <v>42</v>
      </c>
      <c r="R2172" t="s">
        <v>1269</v>
      </c>
      <c r="S2172">
        <v>3.54</v>
      </c>
      <c r="T2172">
        <v>0.31140000000000001</v>
      </c>
      <c r="U2172">
        <f t="shared" si="185"/>
        <v>0</v>
      </c>
      <c r="V2172" t="str">
        <f t="shared" si="182"/>
        <v>High Counselor</v>
      </c>
      <c r="W2172" t="str">
        <f t="shared" si="183"/>
        <v>Counselor</v>
      </c>
    </row>
    <row r="2173" spans="1:23" x14ac:dyDescent="0.25">
      <c r="A2173">
        <v>27417</v>
      </c>
      <c r="B2173" t="s">
        <v>1263</v>
      </c>
      <c r="C2173">
        <v>2.96</v>
      </c>
      <c r="D2173" t="s">
        <v>1264</v>
      </c>
      <c r="E2173">
        <v>100088</v>
      </c>
      <c r="F2173">
        <v>27417</v>
      </c>
      <c r="G2173" t="str">
        <f t="shared" si="181"/>
        <v>27417</v>
      </c>
      <c r="H2173" t="s">
        <v>492</v>
      </c>
      <c r="I2173" t="s">
        <v>1265</v>
      </c>
      <c r="J2173" t="s">
        <v>1266</v>
      </c>
      <c r="K2173" t="s">
        <v>1267</v>
      </c>
      <c r="L2173" t="s">
        <v>1263</v>
      </c>
      <c r="M2173" t="s">
        <v>1268</v>
      </c>
      <c r="N2173">
        <v>1</v>
      </c>
      <c r="O2173" t="str">
        <f t="shared" si="184"/>
        <v>42</v>
      </c>
      <c r="P2173">
        <v>42</v>
      </c>
      <c r="R2173" t="s">
        <v>1269</v>
      </c>
      <c r="S2173">
        <v>2.96</v>
      </c>
      <c r="T2173">
        <v>0.31140000000000001</v>
      </c>
      <c r="U2173">
        <f t="shared" si="185"/>
        <v>0</v>
      </c>
      <c r="V2173" t="str">
        <f t="shared" si="182"/>
        <v>Middle Counselor</v>
      </c>
      <c r="W2173" t="str">
        <f t="shared" si="183"/>
        <v>Counselor</v>
      </c>
    </row>
    <row r="2174" spans="1:23" x14ac:dyDescent="0.25">
      <c r="A2174">
        <v>27417</v>
      </c>
      <c r="B2174" t="s">
        <v>1289</v>
      </c>
      <c r="C2174">
        <v>0.54</v>
      </c>
      <c r="D2174" t="s">
        <v>1264</v>
      </c>
      <c r="E2174">
        <v>100088</v>
      </c>
      <c r="F2174">
        <v>27417</v>
      </c>
      <c r="G2174" t="str">
        <f t="shared" si="181"/>
        <v>27417</v>
      </c>
      <c r="H2174" t="s">
        <v>492</v>
      </c>
      <c r="I2174" t="s">
        <v>1265</v>
      </c>
      <c r="J2174" t="s">
        <v>1276</v>
      </c>
      <c r="K2174" t="s">
        <v>1277</v>
      </c>
      <c r="L2174" t="s">
        <v>1289</v>
      </c>
      <c r="M2174" t="s">
        <v>1307</v>
      </c>
      <c r="N2174">
        <v>21</v>
      </c>
      <c r="O2174" t="str">
        <f t="shared" si="184"/>
        <v>43</v>
      </c>
      <c r="P2174">
        <v>43</v>
      </c>
      <c r="R2174" t="s">
        <v>1269</v>
      </c>
      <c r="S2174">
        <v>0.54</v>
      </c>
      <c r="T2174">
        <v>0.31140000000000001</v>
      </c>
      <c r="U2174">
        <f t="shared" si="185"/>
        <v>0.16800000000000001</v>
      </c>
      <c r="V2174" t="str">
        <f t="shared" si="182"/>
        <v>Elementary Occupational Therapist</v>
      </c>
      <c r="W2174" t="str">
        <f t="shared" si="183"/>
        <v>Occupational Therapist</v>
      </c>
    </row>
    <row r="2175" spans="1:23" x14ac:dyDescent="0.25">
      <c r="A2175">
        <v>27417</v>
      </c>
      <c r="B2175" t="s">
        <v>1387</v>
      </c>
      <c r="C2175">
        <v>0.31</v>
      </c>
      <c r="D2175" t="s">
        <v>1264</v>
      </c>
      <c r="E2175">
        <v>100088</v>
      </c>
      <c r="F2175">
        <v>27417</v>
      </c>
      <c r="G2175" t="str">
        <f t="shared" si="181"/>
        <v>27417</v>
      </c>
      <c r="H2175" t="s">
        <v>492</v>
      </c>
      <c r="I2175" t="s">
        <v>1265</v>
      </c>
      <c r="J2175" t="s">
        <v>1271</v>
      </c>
      <c r="K2175" t="s">
        <v>1272</v>
      </c>
      <c r="L2175" t="s">
        <v>1387</v>
      </c>
      <c r="M2175" t="s">
        <v>1406</v>
      </c>
      <c r="N2175">
        <v>21</v>
      </c>
      <c r="O2175" t="str">
        <f t="shared" si="184"/>
        <v>43</v>
      </c>
      <c r="P2175">
        <v>43</v>
      </c>
      <c r="R2175" t="s">
        <v>1269</v>
      </c>
      <c r="S2175">
        <v>0.31</v>
      </c>
      <c r="T2175">
        <v>0.31140000000000001</v>
      </c>
      <c r="U2175">
        <f t="shared" si="185"/>
        <v>9.7000000000000003E-2</v>
      </c>
      <c r="V2175" t="str">
        <f t="shared" si="182"/>
        <v>High Occupational Therapist</v>
      </c>
      <c r="W2175" t="str">
        <f t="shared" si="183"/>
        <v>Occupational Therapist</v>
      </c>
    </row>
    <row r="2176" spans="1:23" x14ac:dyDescent="0.25">
      <c r="A2176">
        <v>27417</v>
      </c>
      <c r="B2176" t="s">
        <v>1303</v>
      </c>
      <c r="C2176">
        <v>0.15</v>
      </c>
      <c r="D2176" t="s">
        <v>1264</v>
      </c>
      <c r="E2176">
        <v>100088</v>
      </c>
      <c r="F2176">
        <v>27417</v>
      </c>
      <c r="G2176" t="str">
        <f t="shared" si="181"/>
        <v>27417</v>
      </c>
      <c r="H2176" t="s">
        <v>492</v>
      </c>
      <c r="I2176" t="s">
        <v>1265</v>
      </c>
      <c r="J2176" t="s">
        <v>1266</v>
      </c>
      <c r="K2176" t="s">
        <v>1267</v>
      </c>
      <c r="L2176" t="s">
        <v>1303</v>
      </c>
      <c r="M2176" t="s">
        <v>1304</v>
      </c>
      <c r="N2176">
        <v>21</v>
      </c>
      <c r="O2176" t="str">
        <f t="shared" si="184"/>
        <v>43</v>
      </c>
      <c r="P2176">
        <v>43</v>
      </c>
      <c r="R2176" t="s">
        <v>1269</v>
      </c>
      <c r="S2176">
        <v>0.15</v>
      </c>
      <c r="T2176">
        <v>0.31140000000000001</v>
      </c>
      <c r="U2176">
        <f t="shared" si="185"/>
        <v>4.7E-2</v>
      </c>
      <c r="V2176" t="str">
        <f t="shared" si="182"/>
        <v>Middle Occupational Therapist</v>
      </c>
      <c r="W2176" t="str">
        <f t="shared" si="183"/>
        <v>Occupational Therapist</v>
      </c>
    </row>
    <row r="2177" spans="1:23" x14ac:dyDescent="0.25">
      <c r="A2177">
        <v>27417</v>
      </c>
      <c r="B2177" t="s">
        <v>1294</v>
      </c>
      <c r="C2177">
        <v>3.7469999999999999</v>
      </c>
      <c r="D2177" t="s">
        <v>1264</v>
      </c>
      <c r="E2177">
        <v>100088</v>
      </c>
      <c r="F2177">
        <v>27417</v>
      </c>
      <c r="G2177" t="str">
        <f t="shared" si="181"/>
        <v>27417</v>
      </c>
      <c r="H2177" t="s">
        <v>492</v>
      </c>
      <c r="I2177" t="s">
        <v>1265</v>
      </c>
      <c r="J2177" t="s">
        <v>1276</v>
      </c>
      <c r="K2177" t="s">
        <v>1277</v>
      </c>
      <c r="L2177" t="s">
        <v>1294</v>
      </c>
      <c r="M2177" t="s">
        <v>1354</v>
      </c>
      <c r="N2177">
        <v>21</v>
      </c>
      <c r="O2177" t="str">
        <f t="shared" si="184"/>
        <v>45</v>
      </c>
      <c r="P2177">
        <v>45</v>
      </c>
      <c r="R2177" t="s">
        <v>1269</v>
      </c>
      <c r="S2177">
        <v>3.7469999999999999</v>
      </c>
      <c r="T2177">
        <v>0.31140000000000001</v>
      </c>
      <c r="U2177">
        <f t="shared" si="185"/>
        <v>1.167</v>
      </c>
      <c r="V2177" t="str">
        <f t="shared" si="182"/>
        <v>Elementary Speech, Language Pathway/
Audio</v>
      </c>
      <c r="W2177" t="str">
        <f t="shared" si="183"/>
        <v>Speech, Language Pathway/
Audio</v>
      </c>
    </row>
    <row r="2178" spans="1:23" x14ac:dyDescent="0.25">
      <c r="A2178">
        <v>27417</v>
      </c>
      <c r="B2178" t="s">
        <v>1326</v>
      </c>
      <c r="C2178">
        <v>0.5</v>
      </c>
      <c r="D2178" t="s">
        <v>1264</v>
      </c>
      <c r="E2178">
        <v>100088</v>
      </c>
      <c r="F2178">
        <v>27417</v>
      </c>
      <c r="G2178" t="str">
        <f t="shared" ref="G2178:G2241" si="186">TEXT(F2178,"00000")</f>
        <v>27417</v>
      </c>
      <c r="H2178" t="s">
        <v>492</v>
      </c>
      <c r="I2178" t="s">
        <v>1265</v>
      </c>
      <c r="J2178" t="s">
        <v>1271</v>
      </c>
      <c r="K2178" t="s">
        <v>1272</v>
      </c>
      <c r="L2178" t="s">
        <v>1326</v>
      </c>
      <c r="M2178" t="s">
        <v>1353</v>
      </c>
      <c r="N2178">
        <v>21</v>
      </c>
      <c r="O2178" t="str">
        <f t="shared" si="184"/>
        <v>45</v>
      </c>
      <c r="P2178">
        <v>45</v>
      </c>
      <c r="R2178" t="s">
        <v>1269</v>
      </c>
      <c r="S2178">
        <v>0.5</v>
      </c>
      <c r="T2178">
        <v>0.31140000000000001</v>
      </c>
      <c r="U2178">
        <f t="shared" si="185"/>
        <v>0.156</v>
      </c>
      <c r="V2178" t="str">
        <f t="shared" ref="V2178:V2241" si="187">_xlfn.XLOOKUP(L2178,$BV:$BV,$BT:$BT,,0)</f>
        <v>High Speech, Language Pathway/
Audio</v>
      </c>
      <c r="W2178" t="str">
        <f t="shared" ref="W2178:W2241" si="188">_xlfn.TEXTAFTER(V2178," ")</f>
        <v>Speech, Language Pathway/
Audio</v>
      </c>
    </row>
    <row r="2179" spans="1:23" x14ac:dyDescent="0.25">
      <c r="A2179">
        <v>27417</v>
      </c>
      <c r="B2179" t="s">
        <v>1312</v>
      </c>
      <c r="C2179">
        <v>1.0469999999999999</v>
      </c>
      <c r="D2179" t="s">
        <v>1264</v>
      </c>
      <c r="E2179">
        <v>100088</v>
      </c>
      <c r="F2179">
        <v>27417</v>
      </c>
      <c r="G2179" t="str">
        <f t="shared" si="186"/>
        <v>27417</v>
      </c>
      <c r="H2179" t="s">
        <v>492</v>
      </c>
      <c r="I2179" t="s">
        <v>1265</v>
      </c>
      <c r="J2179" t="s">
        <v>1266</v>
      </c>
      <c r="K2179" t="s">
        <v>1267</v>
      </c>
      <c r="L2179" t="s">
        <v>1312</v>
      </c>
      <c r="M2179" t="s">
        <v>1351</v>
      </c>
      <c r="N2179">
        <v>21</v>
      </c>
      <c r="O2179" t="str">
        <f t="shared" ref="O2179:O2242" si="189">MID(L2179,3,2)</f>
        <v>45</v>
      </c>
      <c r="P2179">
        <v>45</v>
      </c>
      <c r="R2179" t="s">
        <v>1269</v>
      </c>
      <c r="S2179">
        <v>1.0469999999999999</v>
      </c>
      <c r="T2179">
        <v>0.31140000000000001</v>
      </c>
      <c r="U2179">
        <f t="shared" ref="U2179:U2242" si="190">IF(N2179=21,ROUND(T2179*S2179,3),0)</f>
        <v>0.32600000000000001</v>
      </c>
      <c r="V2179" t="str">
        <f t="shared" si="187"/>
        <v>Middle Speech, Language Pathway/
Audio</v>
      </c>
      <c r="W2179" t="str">
        <f t="shared" si="188"/>
        <v>Speech, Language Pathway/
Audio</v>
      </c>
    </row>
    <row r="2180" spans="1:23" x14ac:dyDescent="0.25">
      <c r="A2180">
        <v>27417</v>
      </c>
      <c r="B2180" t="s">
        <v>1298</v>
      </c>
      <c r="C2180">
        <v>1.75</v>
      </c>
      <c r="D2180" t="s">
        <v>1264</v>
      </c>
      <c r="E2180">
        <v>100088</v>
      </c>
      <c r="F2180">
        <v>27417</v>
      </c>
      <c r="G2180" t="str">
        <f t="shared" si="186"/>
        <v>27417</v>
      </c>
      <c r="H2180" t="s">
        <v>492</v>
      </c>
      <c r="I2180" t="s">
        <v>1265</v>
      </c>
      <c r="J2180" t="s">
        <v>1276</v>
      </c>
      <c r="K2180" t="s">
        <v>1277</v>
      </c>
      <c r="L2180" t="s">
        <v>1298</v>
      </c>
      <c r="M2180" t="s">
        <v>1349</v>
      </c>
      <c r="N2180">
        <v>21</v>
      </c>
      <c r="O2180" t="str">
        <f t="shared" si="189"/>
        <v>46</v>
      </c>
      <c r="P2180">
        <v>46</v>
      </c>
      <c r="R2180" t="s">
        <v>1269</v>
      </c>
      <c r="S2180">
        <v>1.75</v>
      </c>
      <c r="T2180">
        <v>0.31140000000000001</v>
      </c>
      <c r="U2180">
        <f t="shared" si="190"/>
        <v>0.54500000000000004</v>
      </c>
      <c r="V2180" t="str">
        <f t="shared" si="187"/>
        <v>Elementary Psychologist</v>
      </c>
      <c r="W2180" t="str">
        <f t="shared" si="188"/>
        <v>Psychologist</v>
      </c>
    </row>
    <row r="2181" spans="1:23" x14ac:dyDescent="0.25">
      <c r="A2181">
        <v>27417</v>
      </c>
      <c r="B2181" t="s">
        <v>1309</v>
      </c>
      <c r="C2181">
        <v>0.5</v>
      </c>
      <c r="D2181" t="s">
        <v>1264</v>
      </c>
      <c r="E2181">
        <v>100088</v>
      </c>
      <c r="F2181">
        <v>27417</v>
      </c>
      <c r="G2181" t="str">
        <f t="shared" si="186"/>
        <v>27417</v>
      </c>
      <c r="H2181" t="s">
        <v>492</v>
      </c>
      <c r="I2181" t="s">
        <v>1265</v>
      </c>
      <c r="J2181" t="s">
        <v>1271</v>
      </c>
      <c r="K2181" t="s">
        <v>1272</v>
      </c>
      <c r="L2181" t="s">
        <v>1309</v>
      </c>
      <c r="M2181" t="s">
        <v>1310</v>
      </c>
      <c r="N2181">
        <v>21</v>
      </c>
      <c r="O2181" t="str">
        <f t="shared" si="189"/>
        <v>46</v>
      </c>
      <c r="P2181">
        <v>46</v>
      </c>
      <c r="R2181" t="s">
        <v>1269</v>
      </c>
      <c r="S2181">
        <v>0.5</v>
      </c>
      <c r="T2181">
        <v>0.31140000000000001</v>
      </c>
      <c r="U2181">
        <f t="shared" si="190"/>
        <v>0.156</v>
      </c>
      <c r="V2181" t="str">
        <f t="shared" si="187"/>
        <v>High Psychologist</v>
      </c>
      <c r="W2181" t="str">
        <f t="shared" si="188"/>
        <v>Psychologist</v>
      </c>
    </row>
    <row r="2182" spans="1:23" x14ac:dyDescent="0.25">
      <c r="A2182">
        <v>27417</v>
      </c>
      <c r="B2182" t="s">
        <v>1345</v>
      </c>
      <c r="C2182">
        <v>1.766</v>
      </c>
      <c r="D2182" t="s">
        <v>1264</v>
      </c>
      <c r="E2182">
        <v>100088</v>
      </c>
      <c r="F2182">
        <v>27417</v>
      </c>
      <c r="G2182" t="str">
        <f t="shared" si="186"/>
        <v>27417</v>
      </c>
      <c r="H2182" t="s">
        <v>492</v>
      </c>
      <c r="I2182" t="s">
        <v>1265</v>
      </c>
      <c r="J2182" t="s">
        <v>1266</v>
      </c>
      <c r="K2182" t="s">
        <v>1267</v>
      </c>
      <c r="L2182" t="s">
        <v>1345</v>
      </c>
      <c r="M2182" t="s">
        <v>1346</v>
      </c>
      <c r="N2182">
        <v>21</v>
      </c>
      <c r="O2182" t="str">
        <f t="shared" si="189"/>
        <v>46</v>
      </c>
      <c r="P2182">
        <v>46</v>
      </c>
      <c r="R2182" t="s">
        <v>1269</v>
      </c>
      <c r="S2182">
        <v>1.766</v>
      </c>
      <c r="T2182">
        <v>0.31140000000000001</v>
      </c>
      <c r="U2182">
        <f t="shared" si="190"/>
        <v>0.55000000000000004</v>
      </c>
      <c r="V2182" t="str">
        <f t="shared" si="187"/>
        <v>Middle Psychologist</v>
      </c>
      <c r="W2182" t="str">
        <f t="shared" si="188"/>
        <v>Psychologist</v>
      </c>
    </row>
    <row r="2183" spans="1:23" x14ac:dyDescent="0.25">
      <c r="A2183">
        <v>27417</v>
      </c>
      <c r="B2183" t="s">
        <v>1335</v>
      </c>
      <c r="C2183">
        <v>2</v>
      </c>
      <c r="D2183" t="s">
        <v>1264</v>
      </c>
      <c r="E2183">
        <v>100088</v>
      </c>
      <c r="F2183">
        <v>27417</v>
      </c>
      <c r="G2183" t="str">
        <f t="shared" si="186"/>
        <v>27417</v>
      </c>
      <c r="H2183" t="s">
        <v>492</v>
      </c>
      <c r="I2183" t="s">
        <v>1265</v>
      </c>
      <c r="J2183" t="s">
        <v>1276</v>
      </c>
      <c r="K2183" t="s">
        <v>1277</v>
      </c>
      <c r="L2183" t="s">
        <v>1335</v>
      </c>
      <c r="M2183" t="s">
        <v>1344</v>
      </c>
      <c r="N2183">
        <v>1</v>
      </c>
      <c r="O2183" t="str">
        <f t="shared" si="189"/>
        <v>47</v>
      </c>
      <c r="P2183">
        <v>47</v>
      </c>
      <c r="R2183" t="s">
        <v>1269</v>
      </c>
      <c r="S2183">
        <v>2</v>
      </c>
      <c r="T2183">
        <v>0.31140000000000001</v>
      </c>
      <c r="U2183">
        <f t="shared" si="190"/>
        <v>0</v>
      </c>
      <c r="V2183" t="str">
        <f t="shared" si="187"/>
        <v>Elementary Nurse</v>
      </c>
      <c r="W2183" t="str">
        <f t="shared" si="188"/>
        <v>Nurse</v>
      </c>
    </row>
    <row r="2184" spans="1:23" x14ac:dyDescent="0.25">
      <c r="A2184">
        <v>27417</v>
      </c>
      <c r="B2184" t="s">
        <v>1341</v>
      </c>
      <c r="C2184">
        <v>0.5</v>
      </c>
      <c r="D2184" t="s">
        <v>1264</v>
      </c>
      <c r="E2184">
        <v>100088</v>
      </c>
      <c r="F2184">
        <v>27417</v>
      </c>
      <c r="G2184" t="str">
        <f t="shared" si="186"/>
        <v>27417</v>
      </c>
      <c r="H2184" t="s">
        <v>492</v>
      </c>
      <c r="I2184" t="s">
        <v>1265</v>
      </c>
      <c r="J2184" t="s">
        <v>1271</v>
      </c>
      <c r="K2184" t="s">
        <v>1272</v>
      </c>
      <c r="L2184" t="s">
        <v>1341</v>
      </c>
      <c r="M2184" t="s">
        <v>1342</v>
      </c>
      <c r="N2184">
        <v>1</v>
      </c>
      <c r="O2184" t="str">
        <f t="shared" si="189"/>
        <v>47</v>
      </c>
      <c r="P2184">
        <v>47</v>
      </c>
      <c r="R2184" t="s">
        <v>1269</v>
      </c>
      <c r="S2184">
        <v>0.5</v>
      </c>
      <c r="T2184">
        <v>0.31140000000000001</v>
      </c>
      <c r="U2184">
        <f t="shared" si="190"/>
        <v>0</v>
      </c>
      <c r="V2184" t="str">
        <f t="shared" si="187"/>
        <v>High Nurse</v>
      </c>
      <c r="W2184" t="str">
        <f t="shared" si="188"/>
        <v>Nurse</v>
      </c>
    </row>
    <row r="2185" spans="1:23" x14ac:dyDescent="0.25">
      <c r="A2185">
        <v>27417</v>
      </c>
      <c r="B2185" t="s">
        <v>1338</v>
      </c>
      <c r="C2185">
        <v>0.5</v>
      </c>
      <c r="D2185" t="s">
        <v>1264</v>
      </c>
      <c r="E2185">
        <v>100088</v>
      </c>
      <c r="F2185">
        <v>27417</v>
      </c>
      <c r="G2185" t="str">
        <f t="shared" si="186"/>
        <v>27417</v>
      </c>
      <c r="H2185" t="s">
        <v>492</v>
      </c>
      <c r="I2185" t="s">
        <v>1265</v>
      </c>
      <c r="J2185" t="s">
        <v>1266</v>
      </c>
      <c r="K2185" t="s">
        <v>1267</v>
      </c>
      <c r="L2185" t="s">
        <v>1338</v>
      </c>
      <c r="M2185" t="s">
        <v>1339</v>
      </c>
      <c r="N2185">
        <v>1</v>
      </c>
      <c r="O2185" t="str">
        <f t="shared" si="189"/>
        <v>47</v>
      </c>
      <c r="P2185">
        <v>47</v>
      </c>
      <c r="R2185" t="s">
        <v>1269</v>
      </c>
      <c r="S2185">
        <v>0.5</v>
      </c>
      <c r="T2185">
        <v>0.31140000000000001</v>
      </c>
      <c r="U2185">
        <f t="shared" si="190"/>
        <v>0</v>
      </c>
      <c r="V2185" t="str">
        <f t="shared" si="187"/>
        <v>Middle Nurse</v>
      </c>
      <c r="W2185" t="str">
        <f t="shared" si="188"/>
        <v>Nurse</v>
      </c>
    </row>
    <row r="2186" spans="1:23" x14ac:dyDescent="0.25">
      <c r="A2186">
        <v>27417</v>
      </c>
      <c r="B2186" t="s">
        <v>1302</v>
      </c>
      <c r="C2186">
        <v>0.27</v>
      </c>
      <c r="D2186" t="s">
        <v>1264</v>
      </c>
      <c r="E2186">
        <v>100088</v>
      </c>
      <c r="F2186">
        <v>27417</v>
      </c>
      <c r="G2186" t="str">
        <f t="shared" si="186"/>
        <v>27417</v>
      </c>
      <c r="H2186" t="s">
        <v>492</v>
      </c>
      <c r="I2186" t="s">
        <v>1265</v>
      </c>
      <c r="J2186" t="s">
        <v>1276</v>
      </c>
      <c r="K2186" t="s">
        <v>1277</v>
      </c>
      <c r="L2186" t="s">
        <v>1302</v>
      </c>
      <c r="M2186" t="s">
        <v>1336</v>
      </c>
      <c r="N2186">
        <v>21</v>
      </c>
      <c r="O2186" t="str">
        <f t="shared" si="189"/>
        <v>48</v>
      </c>
      <c r="P2186">
        <v>48</v>
      </c>
      <c r="R2186" t="s">
        <v>1269</v>
      </c>
      <c r="S2186">
        <v>0.27</v>
      </c>
      <c r="T2186">
        <v>0.31140000000000001</v>
      </c>
      <c r="U2186">
        <f t="shared" si="190"/>
        <v>8.4000000000000005E-2</v>
      </c>
      <c r="V2186" t="str">
        <f t="shared" si="187"/>
        <v>Elementary Physical Therapist</v>
      </c>
      <c r="W2186" t="str">
        <f t="shared" si="188"/>
        <v>Physical Therapist</v>
      </c>
    </row>
    <row r="2187" spans="1:23" x14ac:dyDescent="0.25">
      <c r="A2187">
        <v>27417</v>
      </c>
      <c r="B2187" t="s">
        <v>1330</v>
      </c>
      <c r="C2187">
        <v>0.155</v>
      </c>
      <c r="D2187" t="s">
        <v>1264</v>
      </c>
      <c r="E2187">
        <v>100088</v>
      </c>
      <c r="F2187">
        <v>27417</v>
      </c>
      <c r="G2187" t="str">
        <f t="shared" si="186"/>
        <v>27417</v>
      </c>
      <c r="H2187" t="s">
        <v>492</v>
      </c>
      <c r="I2187" t="s">
        <v>1265</v>
      </c>
      <c r="J2187" t="s">
        <v>1271</v>
      </c>
      <c r="K2187" t="s">
        <v>1272</v>
      </c>
      <c r="L2187" t="s">
        <v>1330</v>
      </c>
      <c r="M2187" t="s">
        <v>1367</v>
      </c>
      <c r="N2187">
        <v>21</v>
      </c>
      <c r="O2187" t="str">
        <f t="shared" si="189"/>
        <v>48</v>
      </c>
      <c r="P2187">
        <v>48</v>
      </c>
      <c r="R2187" t="s">
        <v>1269</v>
      </c>
      <c r="S2187">
        <v>0.155</v>
      </c>
      <c r="T2187">
        <v>0.31140000000000001</v>
      </c>
      <c r="U2187">
        <f t="shared" si="190"/>
        <v>4.8000000000000001E-2</v>
      </c>
      <c r="V2187" t="str">
        <f t="shared" si="187"/>
        <v>High Physical Therapist</v>
      </c>
      <c r="W2187" t="str">
        <f t="shared" si="188"/>
        <v>Physical Therapist</v>
      </c>
    </row>
    <row r="2188" spans="1:23" x14ac:dyDescent="0.25">
      <c r="A2188">
        <v>27417</v>
      </c>
      <c r="B2188" t="s">
        <v>1316</v>
      </c>
      <c r="C2188">
        <v>7.4999999999999997E-2</v>
      </c>
      <c r="D2188" t="s">
        <v>1264</v>
      </c>
      <c r="E2188">
        <v>100088</v>
      </c>
      <c r="F2188">
        <v>27417</v>
      </c>
      <c r="G2188" t="str">
        <f t="shared" si="186"/>
        <v>27417</v>
      </c>
      <c r="H2188" t="s">
        <v>492</v>
      </c>
      <c r="I2188" t="s">
        <v>1265</v>
      </c>
      <c r="J2188" t="s">
        <v>1266</v>
      </c>
      <c r="K2188" t="s">
        <v>1267</v>
      </c>
      <c r="L2188" t="s">
        <v>1316</v>
      </c>
      <c r="M2188" t="s">
        <v>1366</v>
      </c>
      <c r="N2188">
        <v>21</v>
      </c>
      <c r="O2188" t="str">
        <f t="shared" si="189"/>
        <v>48</v>
      </c>
      <c r="P2188">
        <v>48</v>
      </c>
      <c r="R2188" t="s">
        <v>1269</v>
      </c>
      <c r="S2188">
        <v>7.4999999999999997E-2</v>
      </c>
      <c r="T2188">
        <v>0.31140000000000001</v>
      </c>
      <c r="U2188">
        <f t="shared" si="190"/>
        <v>2.3E-2</v>
      </c>
      <c r="V2188" t="str">
        <f t="shared" si="187"/>
        <v>Middle Physical Therapist</v>
      </c>
      <c r="W2188" t="str">
        <f t="shared" si="188"/>
        <v>Physical Therapist</v>
      </c>
    </row>
    <row r="2189" spans="1:23" x14ac:dyDescent="0.25">
      <c r="A2189">
        <v>27901</v>
      </c>
      <c r="B2189" t="s">
        <v>1324</v>
      </c>
      <c r="C2189">
        <v>1.462</v>
      </c>
      <c r="D2189" t="s">
        <v>1264</v>
      </c>
      <c r="E2189">
        <v>106180</v>
      </c>
      <c r="F2189">
        <v>27901</v>
      </c>
      <c r="G2189" t="str">
        <f t="shared" si="186"/>
        <v>27901</v>
      </c>
      <c r="H2189" t="s">
        <v>1227</v>
      </c>
      <c r="I2189" t="s">
        <v>1265</v>
      </c>
      <c r="J2189" t="s">
        <v>1271</v>
      </c>
      <c r="K2189" t="s">
        <v>1272</v>
      </c>
      <c r="L2189" t="s">
        <v>1324</v>
      </c>
      <c r="M2189" t="s">
        <v>1325</v>
      </c>
      <c r="N2189">
        <v>21</v>
      </c>
      <c r="O2189" t="str">
        <f t="shared" si="189"/>
        <v>26</v>
      </c>
      <c r="Q2189">
        <v>26</v>
      </c>
      <c r="R2189" t="s">
        <v>1269</v>
      </c>
      <c r="S2189">
        <v>1.462</v>
      </c>
      <c r="T2189">
        <v>0.14860000000000001</v>
      </c>
      <c r="U2189">
        <f t="shared" si="190"/>
        <v>0.217</v>
      </c>
      <c r="V2189" t="str">
        <f t="shared" si="187"/>
        <v>High Health/
Related Services</v>
      </c>
      <c r="W2189" t="str">
        <f t="shared" si="188"/>
        <v>Health/
Related Services</v>
      </c>
    </row>
    <row r="2190" spans="1:23" x14ac:dyDescent="0.25">
      <c r="A2190">
        <v>27901</v>
      </c>
      <c r="B2190" t="s">
        <v>1401</v>
      </c>
      <c r="C2190">
        <v>2</v>
      </c>
      <c r="D2190" t="s">
        <v>1264</v>
      </c>
      <c r="E2190">
        <v>106180</v>
      </c>
      <c r="F2190">
        <v>27901</v>
      </c>
      <c r="G2190" t="str">
        <f t="shared" si="186"/>
        <v>27901</v>
      </c>
      <c r="H2190" t="s">
        <v>1227</v>
      </c>
      <c r="I2190" t="s">
        <v>1265</v>
      </c>
      <c r="J2190" t="s">
        <v>1271</v>
      </c>
      <c r="K2190" t="s">
        <v>1272</v>
      </c>
      <c r="L2190" t="s">
        <v>1401</v>
      </c>
      <c r="M2190" t="s">
        <v>1422</v>
      </c>
      <c r="N2190">
        <v>1</v>
      </c>
      <c r="O2190" t="str">
        <f t="shared" si="189"/>
        <v>35</v>
      </c>
      <c r="Q2190">
        <v>35</v>
      </c>
      <c r="R2190" t="s">
        <v>1269</v>
      </c>
      <c r="S2190">
        <v>2</v>
      </c>
      <c r="T2190">
        <v>0.14860000000000001</v>
      </c>
      <c r="U2190">
        <f t="shared" si="190"/>
        <v>0</v>
      </c>
      <c r="V2190" t="str">
        <f t="shared" si="187"/>
        <v>High Pupil Safety</v>
      </c>
      <c r="W2190" t="str">
        <f t="shared" si="188"/>
        <v>Pupil Safety</v>
      </c>
    </row>
    <row r="2191" spans="1:23" x14ac:dyDescent="0.25">
      <c r="A2191">
        <v>27901</v>
      </c>
      <c r="B2191" t="s">
        <v>1270</v>
      </c>
      <c r="C2191">
        <v>2.0270000000000001</v>
      </c>
      <c r="D2191" t="s">
        <v>1264</v>
      </c>
      <c r="E2191">
        <v>106180</v>
      </c>
      <c r="F2191">
        <v>27901</v>
      </c>
      <c r="G2191" t="str">
        <f t="shared" si="186"/>
        <v>27901</v>
      </c>
      <c r="H2191" t="s">
        <v>1227</v>
      </c>
      <c r="I2191" t="s">
        <v>1265</v>
      </c>
      <c r="J2191" t="s">
        <v>1271</v>
      </c>
      <c r="K2191" t="s">
        <v>1272</v>
      </c>
      <c r="L2191" t="s">
        <v>1270</v>
      </c>
      <c r="M2191" t="s">
        <v>1273</v>
      </c>
      <c r="N2191">
        <v>1</v>
      </c>
      <c r="O2191" t="str">
        <f t="shared" si="189"/>
        <v>42</v>
      </c>
      <c r="P2191">
        <v>42</v>
      </c>
      <c r="R2191" t="s">
        <v>1269</v>
      </c>
      <c r="S2191">
        <v>2.0270000000000001</v>
      </c>
      <c r="T2191">
        <v>0.14860000000000001</v>
      </c>
      <c r="U2191">
        <f t="shared" si="190"/>
        <v>0</v>
      </c>
      <c r="V2191" t="str">
        <f t="shared" si="187"/>
        <v>High Counselor</v>
      </c>
      <c r="W2191" t="str">
        <f t="shared" si="188"/>
        <v>Counselor</v>
      </c>
    </row>
    <row r="2192" spans="1:23" x14ac:dyDescent="0.25">
      <c r="A2192">
        <v>27901</v>
      </c>
      <c r="B2192" t="s">
        <v>1263</v>
      </c>
      <c r="C2192">
        <v>2.0270000000000001</v>
      </c>
      <c r="D2192" t="s">
        <v>1264</v>
      </c>
      <c r="E2192">
        <v>106180</v>
      </c>
      <c r="F2192">
        <v>27901</v>
      </c>
      <c r="G2192" t="str">
        <f t="shared" si="186"/>
        <v>27901</v>
      </c>
      <c r="H2192" t="s">
        <v>1227</v>
      </c>
      <c r="I2192" t="s">
        <v>1265</v>
      </c>
      <c r="J2192" t="s">
        <v>1266</v>
      </c>
      <c r="K2192" t="s">
        <v>1267</v>
      </c>
      <c r="L2192" t="s">
        <v>1263</v>
      </c>
      <c r="M2192" t="s">
        <v>1268</v>
      </c>
      <c r="N2192">
        <v>1</v>
      </c>
      <c r="O2192" t="str">
        <f t="shared" si="189"/>
        <v>42</v>
      </c>
      <c r="P2192">
        <v>42</v>
      </c>
      <c r="R2192" t="s">
        <v>1269</v>
      </c>
      <c r="S2192">
        <v>2.0270000000000001</v>
      </c>
      <c r="T2192">
        <v>0.14860000000000001</v>
      </c>
      <c r="U2192">
        <f t="shared" si="190"/>
        <v>0</v>
      </c>
      <c r="V2192" t="str">
        <f t="shared" si="187"/>
        <v>Middle Counselor</v>
      </c>
      <c r="W2192" t="str">
        <f t="shared" si="188"/>
        <v>Counselor</v>
      </c>
    </row>
    <row r="2193" spans="1:23" x14ac:dyDescent="0.25">
      <c r="A2193">
        <v>27901</v>
      </c>
      <c r="B2193" t="s">
        <v>1294</v>
      </c>
      <c r="C2193">
        <v>0.4</v>
      </c>
      <c r="D2193" t="s">
        <v>1264</v>
      </c>
      <c r="E2193">
        <v>106180</v>
      </c>
      <c r="F2193">
        <v>27901</v>
      </c>
      <c r="G2193" t="str">
        <f t="shared" si="186"/>
        <v>27901</v>
      </c>
      <c r="H2193" t="s">
        <v>1227</v>
      </c>
      <c r="I2193" t="s">
        <v>1265</v>
      </c>
      <c r="J2193" t="s">
        <v>1276</v>
      </c>
      <c r="K2193" t="s">
        <v>1277</v>
      </c>
      <c r="L2193" t="s">
        <v>1294</v>
      </c>
      <c r="M2193" t="s">
        <v>1354</v>
      </c>
      <c r="N2193">
        <v>21</v>
      </c>
      <c r="O2193" t="str">
        <f t="shared" si="189"/>
        <v>45</v>
      </c>
      <c r="P2193">
        <v>45</v>
      </c>
      <c r="R2193" t="s">
        <v>1269</v>
      </c>
      <c r="S2193">
        <v>0.4</v>
      </c>
      <c r="T2193">
        <v>0.14860000000000001</v>
      </c>
      <c r="U2193">
        <f t="shared" si="190"/>
        <v>5.8999999999999997E-2</v>
      </c>
      <c r="V2193" t="str">
        <f t="shared" si="187"/>
        <v>Elementary Speech, Language Pathway/
Audio</v>
      </c>
      <c r="W2193" t="str">
        <f t="shared" si="188"/>
        <v>Speech, Language Pathway/
Audio</v>
      </c>
    </row>
    <row r="2194" spans="1:23" x14ac:dyDescent="0.25">
      <c r="A2194">
        <v>27901</v>
      </c>
      <c r="B2194" t="s">
        <v>1326</v>
      </c>
      <c r="C2194">
        <v>0.2</v>
      </c>
      <c r="D2194" t="s">
        <v>1264</v>
      </c>
      <c r="E2194">
        <v>106180</v>
      </c>
      <c r="F2194">
        <v>27901</v>
      </c>
      <c r="G2194" t="str">
        <f t="shared" si="186"/>
        <v>27901</v>
      </c>
      <c r="H2194" t="s">
        <v>1227</v>
      </c>
      <c r="I2194" t="s">
        <v>1265</v>
      </c>
      <c r="J2194" t="s">
        <v>1271</v>
      </c>
      <c r="K2194" t="s">
        <v>1272</v>
      </c>
      <c r="L2194" t="s">
        <v>1326</v>
      </c>
      <c r="M2194" t="s">
        <v>1353</v>
      </c>
      <c r="N2194">
        <v>21</v>
      </c>
      <c r="O2194" t="str">
        <f t="shared" si="189"/>
        <v>45</v>
      </c>
      <c r="P2194">
        <v>45</v>
      </c>
      <c r="R2194" t="s">
        <v>1269</v>
      </c>
      <c r="S2194">
        <v>0.2</v>
      </c>
      <c r="T2194">
        <v>0.14860000000000001</v>
      </c>
      <c r="U2194">
        <f t="shared" si="190"/>
        <v>0.03</v>
      </c>
      <c r="V2194" t="str">
        <f t="shared" si="187"/>
        <v>High Speech, Language Pathway/
Audio</v>
      </c>
      <c r="W2194" t="str">
        <f t="shared" si="188"/>
        <v>Speech, Language Pathway/
Audio</v>
      </c>
    </row>
    <row r="2195" spans="1:23" x14ac:dyDescent="0.25">
      <c r="A2195">
        <v>27901</v>
      </c>
      <c r="B2195" t="s">
        <v>1312</v>
      </c>
      <c r="C2195">
        <v>0.2</v>
      </c>
      <c r="D2195" t="s">
        <v>1264</v>
      </c>
      <c r="E2195">
        <v>106180</v>
      </c>
      <c r="F2195">
        <v>27901</v>
      </c>
      <c r="G2195" t="str">
        <f t="shared" si="186"/>
        <v>27901</v>
      </c>
      <c r="H2195" t="s">
        <v>1227</v>
      </c>
      <c r="I2195" t="s">
        <v>1265</v>
      </c>
      <c r="J2195" t="s">
        <v>1266</v>
      </c>
      <c r="K2195" t="s">
        <v>1267</v>
      </c>
      <c r="L2195" t="s">
        <v>1312</v>
      </c>
      <c r="M2195" t="s">
        <v>1351</v>
      </c>
      <c r="N2195">
        <v>21</v>
      </c>
      <c r="O2195" t="str">
        <f t="shared" si="189"/>
        <v>45</v>
      </c>
      <c r="P2195">
        <v>45</v>
      </c>
      <c r="R2195" t="s">
        <v>1269</v>
      </c>
      <c r="S2195">
        <v>0.2</v>
      </c>
      <c r="T2195">
        <v>0.14860000000000001</v>
      </c>
      <c r="U2195">
        <f t="shared" si="190"/>
        <v>0.03</v>
      </c>
      <c r="V2195" t="str">
        <f t="shared" si="187"/>
        <v>Middle Speech, Language Pathway/
Audio</v>
      </c>
      <c r="W2195" t="str">
        <f t="shared" si="188"/>
        <v>Speech, Language Pathway/
Audio</v>
      </c>
    </row>
    <row r="2196" spans="1:23" x14ac:dyDescent="0.25">
      <c r="A2196">
        <v>27902</v>
      </c>
      <c r="B2196" t="s">
        <v>1297</v>
      </c>
      <c r="C2196">
        <v>1</v>
      </c>
      <c r="D2196" t="s">
        <v>1264</v>
      </c>
      <c r="E2196">
        <v>106687</v>
      </c>
      <c r="F2196">
        <v>27902</v>
      </c>
      <c r="G2196" t="str">
        <f t="shared" si="186"/>
        <v>27902</v>
      </c>
      <c r="H2196" t="s">
        <v>1110</v>
      </c>
      <c r="I2196" t="s">
        <v>1265</v>
      </c>
      <c r="J2196" t="s">
        <v>1276</v>
      </c>
      <c r="K2196" t="s">
        <v>1277</v>
      </c>
      <c r="L2196" t="s">
        <v>1297</v>
      </c>
      <c r="M2196" t="s">
        <v>1381</v>
      </c>
      <c r="N2196">
        <v>1</v>
      </c>
      <c r="O2196" t="str">
        <f t="shared" si="189"/>
        <v>24</v>
      </c>
      <c r="P2196">
        <v>96</v>
      </c>
      <c r="Q2196">
        <v>24</v>
      </c>
      <c r="R2196" t="s">
        <v>1269</v>
      </c>
      <c r="S2196">
        <v>1</v>
      </c>
      <c r="T2196">
        <v>0.15</v>
      </c>
      <c r="U2196">
        <f t="shared" si="190"/>
        <v>0</v>
      </c>
      <c r="V2196" t="str">
        <f t="shared" si="187"/>
        <v>Elementary Family Engagement Coordinator</v>
      </c>
      <c r="W2196" t="str">
        <f t="shared" si="188"/>
        <v>Family Engagement Coordinator</v>
      </c>
    </row>
    <row r="2197" spans="1:23" x14ac:dyDescent="0.25">
      <c r="A2197">
        <v>27902</v>
      </c>
      <c r="B2197" t="s">
        <v>1306</v>
      </c>
      <c r="C2197">
        <v>2.6</v>
      </c>
      <c r="D2197" t="s">
        <v>1264</v>
      </c>
      <c r="E2197">
        <v>106687</v>
      </c>
      <c r="F2197">
        <v>27902</v>
      </c>
      <c r="G2197" t="str">
        <f t="shared" si="186"/>
        <v>27902</v>
      </c>
      <c r="H2197" t="s">
        <v>1110</v>
      </c>
      <c r="I2197" t="s">
        <v>1265</v>
      </c>
      <c r="J2197" t="s">
        <v>1276</v>
      </c>
      <c r="K2197" t="s">
        <v>1277</v>
      </c>
      <c r="L2197" t="s">
        <v>1306</v>
      </c>
      <c r="M2197" t="s">
        <v>1320</v>
      </c>
      <c r="N2197">
        <v>21</v>
      </c>
      <c r="O2197" t="str">
        <f t="shared" si="189"/>
        <v>64</v>
      </c>
      <c r="P2197">
        <v>64</v>
      </c>
      <c r="R2197" t="s">
        <v>1269</v>
      </c>
      <c r="S2197">
        <v>2.6</v>
      </c>
      <c r="T2197">
        <v>0.15</v>
      </c>
      <c r="U2197">
        <f t="shared" si="190"/>
        <v>0.39</v>
      </c>
      <c r="V2197" t="str">
        <f t="shared" si="187"/>
        <v>Elementary Contractor ESA</v>
      </c>
      <c r="W2197" t="str">
        <f t="shared" si="188"/>
        <v>Contractor ESA</v>
      </c>
    </row>
    <row r="2198" spans="1:23" x14ac:dyDescent="0.25">
      <c r="A2198">
        <v>27905</v>
      </c>
      <c r="B2198" t="s">
        <v>1341</v>
      </c>
      <c r="C2198">
        <v>1</v>
      </c>
      <c r="D2198" t="s">
        <v>1264</v>
      </c>
      <c r="E2198">
        <v>105809</v>
      </c>
      <c r="F2198">
        <v>27905</v>
      </c>
      <c r="G2198" t="str">
        <f t="shared" si="186"/>
        <v>27905</v>
      </c>
      <c r="H2198" t="s">
        <v>1241</v>
      </c>
      <c r="I2198" t="s">
        <v>1265</v>
      </c>
      <c r="J2198" t="s">
        <v>1271</v>
      </c>
      <c r="K2198" t="s">
        <v>1272</v>
      </c>
      <c r="L2198" t="s">
        <v>1341</v>
      </c>
      <c r="M2198" t="s">
        <v>1342</v>
      </c>
      <c r="N2198">
        <v>1</v>
      </c>
      <c r="O2198" t="str">
        <f t="shared" si="189"/>
        <v>47</v>
      </c>
      <c r="P2198">
        <v>47</v>
      </c>
      <c r="R2198" t="s">
        <v>1269</v>
      </c>
      <c r="S2198">
        <v>1</v>
      </c>
      <c r="T2198">
        <v>0.13</v>
      </c>
      <c r="U2198">
        <f t="shared" si="190"/>
        <v>0</v>
      </c>
      <c r="V2198" t="str">
        <f t="shared" si="187"/>
        <v>High Nurse</v>
      </c>
      <c r="W2198" t="str">
        <f t="shared" si="188"/>
        <v>Nurse</v>
      </c>
    </row>
    <row r="2199" spans="1:23" x14ac:dyDescent="0.25">
      <c r="A2199">
        <v>28137</v>
      </c>
      <c r="B2199" t="s">
        <v>1324</v>
      </c>
      <c r="C2199">
        <v>0.19800000000000001</v>
      </c>
      <c r="D2199" t="s">
        <v>1264</v>
      </c>
      <c r="E2199">
        <v>100186</v>
      </c>
      <c r="F2199">
        <v>28137</v>
      </c>
      <c r="G2199" t="str">
        <f t="shared" si="186"/>
        <v>28137</v>
      </c>
      <c r="H2199" t="s">
        <v>494</v>
      </c>
      <c r="I2199" t="s">
        <v>1265</v>
      </c>
      <c r="J2199" t="s">
        <v>1271</v>
      </c>
      <c r="K2199" t="s">
        <v>1272</v>
      </c>
      <c r="L2199" t="s">
        <v>1324</v>
      </c>
      <c r="M2199" t="s">
        <v>1325</v>
      </c>
      <c r="N2199">
        <v>21</v>
      </c>
      <c r="O2199" t="str">
        <f t="shared" si="189"/>
        <v>26</v>
      </c>
      <c r="Q2199">
        <v>26</v>
      </c>
      <c r="R2199" t="s">
        <v>1269</v>
      </c>
      <c r="S2199">
        <v>0.19800000000000001</v>
      </c>
      <c r="T2199">
        <v>0.1227</v>
      </c>
      <c r="U2199">
        <f t="shared" si="190"/>
        <v>2.4E-2</v>
      </c>
      <c r="V2199" t="str">
        <f t="shared" si="187"/>
        <v>High Health/
Related Services</v>
      </c>
      <c r="W2199" t="str">
        <f t="shared" si="188"/>
        <v>Health/
Related Services</v>
      </c>
    </row>
    <row r="2200" spans="1:23" x14ac:dyDescent="0.25">
      <c r="A2200">
        <v>28137</v>
      </c>
      <c r="B2200" t="s">
        <v>1295</v>
      </c>
      <c r="C2200">
        <v>0.60899999999999999</v>
      </c>
      <c r="D2200" t="s">
        <v>1264</v>
      </c>
      <c r="E2200">
        <v>100186</v>
      </c>
      <c r="F2200">
        <v>28137</v>
      </c>
      <c r="G2200" t="str">
        <f t="shared" si="186"/>
        <v>28137</v>
      </c>
      <c r="H2200" t="s">
        <v>494</v>
      </c>
      <c r="I2200" t="s">
        <v>1265</v>
      </c>
      <c r="J2200" t="s">
        <v>1271</v>
      </c>
      <c r="K2200" t="s">
        <v>1272</v>
      </c>
      <c r="L2200" t="s">
        <v>1295</v>
      </c>
      <c r="M2200" t="s">
        <v>1296</v>
      </c>
      <c r="N2200">
        <v>1</v>
      </c>
      <c r="O2200" t="str">
        <f t="shared" si="189"/>
        <v>26</v>
      </c>
      <c r="Q2200">
        <v>26</v>
      </c>
      <c r="R2200" t="s">
        <v>1269</v>
      </c>
      <c r="S2200">
        <v>0.60899999999999999</v>
      </c>
      <c r="T2200">
        <v>0.1227</v>
      </c>
      <c r="U2200">
        <f t="shared" si="190"/>
        <v>0</v>
      </c>
      <c r="V2200" t="str">
        <f t="shared" si="187"/>
        <v>High Health/
Related Services</v>
      </c>
      <c r="W2200" t="str">
        <f t="shared" si="188"/>
        <v>Health/
Related Services</v>
      </c>
    </row>
    <row r="2201" spans="1:23" x14ac:dyDescent="0.25">
      <c r="A2201">
        <v>28137</v>
      </c>
      <c r="B2201" t="s">
        <v>1270</v>
      </c>
      <c r="C2201">
        <v>0.8</v>
      </c>
      <c r="D2201" t="s">
        <v>1264</v>
      </c>
      <c r="E2201">
        <v>100186</v>
      </c>
      <c r="F2201">
        <v>28137</v>
      </c>
      <c r="G2201" t="str">
        <f t="shared" si="186"/>
        <v>28137</v>
      </c>
      <c r="H2201" t="s">
        <v>494</v>
      </c>
      <c r="I2201" t="s">
        <v>1265</v>
      </c>
      <c r="J2201" t="s">
        <v>1271</v>
      </c>
      <c r="K2201" t="s">
        <v>1272</v>
      </c>
      <c r="L2201" t="s">
        <v>1270</v>
      </c>
      <c r="M2201" t="s">
        <v>1273</v>
      </c>
      <c r="N2201">
        <v>1</v>
      </c>
      <c r="O2201" t="str">
        <f t="shared" si="189"/>
        <v>42</v>
      </c>
      <c r="P2201">
        <v>42</v>
      </c>
      <c r="R2201" t="s">
        <v>1269</v>
      </c>
      <c r="S2201">
        <v>0.8</v>
      </c>
      <c r="T2201">
        <v>0.1227</v>
      </c>
      <c r="U2201">
        <f t="shared" si="190"/>
        <v>0</v>
      </c>
      <c r="V2201" t="str">
        <f t="shared" si="187"/>
        <v>High Counselor</v>
      </c>
      <c r="W2201" t="str">
        <f t="shared" si="188"/>
        <v>Counselor</v>
      </c>
    </row>
    <row r="2202" spans="1:23" x14ac:dyDescent="0.25">
      <c r="A2202">
        <v>28137</v>
      </c>
      <c r="B2202" t="s">
        <v>1263</v>
      </c>
      <c r="C2202">
        <v>0.2</v>
      </c>
      <c r="D2202" t="s">
        <v>1264</v>
      </c>
      <c r="E2202">
        <v>100186</v>
      </c>
      <c r="F2202">
        <v>28137</v>
      </c>
      <c r="G2202" t="str">
        <f t="shared" si="186"/>
        <v>28137</v>
      </c>
      <c r="H2202" t="s">
        <v>494</v>
      </c>
      <c r="I2202" t="s">
        <v>1265</v>
      </c>
      <c r="J2202" t="s">
        <v>1266</v>
      </c>
      <c r="K2202" t="s">
        <v>1267</v>
      </c>
      <c r="L2202" t="s">
        <v>1263</v>
      </c>
      <c r="M2202" t="s">
        <v>1268</v>
      </c>
      <c r="N2202">
        <v>1</v>
      </c>
      <c r="O2202" t="str">
        <f t="shared" si="189"/>
        <v>42</v>
      </c>
      <c r="P2202">
        <v>42</v>
      </c>
      <c r="R2202" t="s">
        <v>1269</v>
      </c>
      <c r="S2202">
        <v>0.2</v>
      </c>
      <c r="T2202">
        <v>0.1227</v>
      </c>
      <c r="U2202">
        <f t="shared" si="190"/>
        <v>0</v>
      </c>
      <c r="V2202" t="str">
        <f t="shared" si="187"/>
        <v>Middle Counselor</v>
      </c>
      <c r="W2202" t="str">
        <f t="shared" si="188"/>
        <v>Counselor</v>
      </c>
    </row>
    <row r="2203" spans="1:23" x14ac:dyDescent="0.25">
      <c r="A2203">
        <v>28137</v>
      </c>
      <c r="B2203" t="s">
        <v>1289</v>
      </c>
      <c r="C2203">
        <v>1</v>
      </c>
      <c r="D2203" t="s">
        <v>1264</v>
      </c>
      <c r="E2203">
        <v>100186</v>
      </c>
      <c r="F2203">
        <v>28137</v>
      </c>
      <c r="G2203" t="str">
        <f t="shared" si="186"/>
        <v>28137</v>
      </c>
      <c r="H2203" t="s">
        <v>494</v>
      </c>
      <c r="I2203" t="s">
        <v>1265</v>
      </c>
      <c r="J2203" t="s">
        <v>1276</v>
      </c>
      <c r="K2203" t="s">
        <v>1277</v>
      </c>
      <c r="L2203" t="s">
        <v>1289</v>
      </c>
      <c r="M2203" t="s">
        <v>1307</v>
      </c>
      <c r="N2203">
        <v>21</v>
      </c>
      <c r="O2203" t="str">
        <f t="shared" si="189"/>
        <v>43</v>
      </c>
      <c r="P2203">
        <v>43</v>
      </c>
      <c r="R2203" t="s">
        <v>1269</v>
      </c>
      <c r="S2203">
        <v>1</v>
      </c>
      <c r="T2203">
        <v>0.1227</v>
      </c>
      <c r="U2203">
        <f t="shared" si="190"/>
        <v>0.123</v>
      </c>
      <c r="V2203" t="str">
        <f t="shared" si="187"/>
        <v>Elementary Occupational Therapist</v>
      </c>
      <c r="W2203" t="str">
        <f t="shared" si="188"/>
        <v>Occupational Therapist</v>
      </c>
    </row>
    <row r="2204" spans="1:23" x14ac:dyDescent="0.25">
      <c r="A2204">
        <v>28144</v>
      </c>
      <c r="B2204" t="s">
        <v>1295</v>
      </c>
      <c r="C2204">
        <v>0.72299999999999998</v>
      </c>
      <c r="D2204" t="s">
        <v>1264</v>
      </c>
      <c r="E2204">
        <v>100134</v>
      </c>
      <c r="F2204">
        <v>28144</v>
      </c>
      <c r="G2204" t="str">
        <f t="shared" si="186"/>
        <v>28144</v>
      </c>
      <c r="H2204" t="s">
        <v>495</v>
      </c>
      <c r="I2204" t="s">
        <v>1265</v>
      </c>
      <c r="J2204" t="s">
        <v>1271</v>
      </c>
      <c r="K2204" t="s">
        <v>1272</v>
      </c>
      <c r="L2204" t="s">
        <v>1295</v>
      </c>
      <c r="M2204" t="s">
        <v>1296</v>
      </c>
      <c r="N2204">
        <v>1</v>
      </c>
      <c r="O2204" t="str">
        <f t="shared" si="189"/>
        <v>26</v>
      </c>
      <c r="Q2204">
        <v>26</v>
      </c>
      <c r="R2204" t="s">
        <v>1269</v>
      </c>
      <c r="S2204">
        <v>0.72299999999999998</v>
      </c>
      <c r="T2204">
        <v>0.1832</v>
      </c>
      <c r="U2204">
        <f t="shared" si="190"/>
        <v>0</v>
      </c>
      <c r="V2204" t="str">
        <f t="shared" si="187"/>
        <v>High Health/
Related Services</v>
      </c>
      <c r="W2204" t="str">
        <f t="shared" si="188"/>
        <v>Health/
Related Services</v>
      </c>
    </row>
    <row r="2205" spans="1:23" x14ac:dyDescent="0.25">
      <c r="A2205">
        <v>28144</v>
      </c>
      <c r="B2205" t="s">
        <v>1275</v>
      </c>
      <c r="C2205">
        <v>0.54</v>
      </c>
      <c r="D2205" t="s">
        <v>1264</v>
      </c>
      <c r="E2205">
        <v>100134</v>
      </c>
      <c r="F2205">
        <v>28144</v>
      </c>
      <c r="G2205" t="str">
        <f t="shared" si="186"/>
        <v>28144</v>
      </c>
      <c r="H2205" t="s">
        <v>495</v>
      </c>
      <c r="I2205" t="s">
        <v>1265</v>
      </c>
      <c r="J2205" t="s">
        <v>1276</v>
      </c>
      <c r="K2205" t="s">
        <v>1277</v>
      </c>
      <c r="L2205" t="s">
        <v>1275</v>
      </c>
      <c r="M2205" t="s">
        <v>1278</v>
      </c>
      <c r="N2205">
        <v>1</v>
      </c>
      <c r="O2205" t="str">
        <f t="shared" si="189"/>
        <v>42</v>
      </c>
      <c r="P2205">
        <v>42</v>
      </c>
      <c r="R2205" t="s">
        <v>1269</v>
      </c>
      <c r="S2205">
        <v>0.54</v>
      </c>
      <c r="T2205">
        <v>0.1832</v>
      </c>
      <c r="U2205">
        <f t="shared" si="190"/>
        <v>0</v>
      </c>
      <c r="V2205" t="str">
        <f t="shared" si="187"/>
        <v>Elementary Counselor</v>
      </c>
      <c r="W2205" t="str">
        <f t="shared" si="188"/>
        <v>Counselor</v>
      </c>
    </row>
    <row r="2206" spans="1:23" x14ac:dyDescent="0.25">
      <c r="A2206">
        <v>28144</v>
      </c>
      <c r="B2206" t="s">
        <v>1270</v>
      </c>
      <c r="C2206">
        <v>0.31</v>
      </c>
      <c r="D2206" t="s">
        <v>1264</v>
      </c>
      <c r="E2206">
        <v>100134</v>
      </c>
      <c r="F2206">
        <v>28144</v>
      </c>
      <c r="G2206" t="str">
        <f t="shared" si="186"/>
        <v>28144</v>
      </c>
      <c r="H2206" t="s">
        <v>495</v>
      </c>
      <c r="I2206" t="s">
        <v>1265</v>
      </c>
      <c r="J2206" t="s">
        <v>1271</v>
      </c>
      <c r="K2206" t="s">
        <v>1272</v>
      </c>
      <c r="L2206" t="s">
        <v>1270</v>
      </c>
      <c r="M2206" t="s">
        <v>1273</v>
      </c>
      <c r="N2206">
        <v>1</v>
      </c>
      <c r="O2206" t="str">
        <f t="shared" si="189"/>
        <v>42</v>
      </c>
      <c r="P2206">
        <v>42</v>
      </c>
      <c r="R2206" t="s">
        <v>1269</v>
      </c>
      <c r="S2206">
        <v>0.31</v>
      </c>
      <c r="T2206">
        <v>0.1832</v>
      </c>
      <c r="U2206">
        <f t="shared" si="190"/>
        <v>0</v>
      </c>
      <c r="V2206" t="str">
        <f t="shared" si="187"/>
        <v>High Counselor</v>
      </c>
      <c r="W2206" t="str">
        <f t="shared" si="188"/>
        <v>Counselor</v>
      </c>
    </row>
    <row r="2207" spans="1:23" x14ac:dyDescent="0.25">
      <c r="A2207">
        <v>28144</v>
      </c>
      <c r="B2207" t="s">
        <v>1263</v>
      </c>
      <c r="C2207">
        <v>0.15</v>
      </c>
      <c r="D2207" t="s">
        <v>1264</v>
      </c>
      <c r="E2207">
        <v>100134</v>
      </c>
      <c r="F2207">
        <v>28144</v>
      </c>
      <c r="G2207" t="str">
        <f t="shared" si="186"/>
        <v>28144</v>
      </c>
      <c r="H2207" t="s">
        <v>495</v>
      </c>
      <c r="I2207" t="s">
        <v>1265</v>
      </c>
      <c r="J2207" t="s">
        <v>1266</v>
      </c>
      <c r="K2207" t="s">
        <v>1267</v>
      </c>
      <c r="L2207" t="s">
        <v>1263</v>
      </c>
      <c r="M2207" t="s">
        <v>1268</v>
      </c>
      <c r="N2207">
        <v>1</v>
      </c>
      <c r="O2207" t="str">
        <f t="shared" si="189"/>
        <v>42</v>
      </c>
      <c r="P2207">
        <v>42</v>
      </c>
      <c r="R2207" t="s">
        <v>1269</v>
      </c>
      <c r="S2207">
        <v>0.15</v>
      </c>
      <c r="T2207">
        <v>0.1832</v>
      </c>
      <c r="U2207">
        <f t="shared" si="190"/>
        <v>0</v>
      </c>
      <c r="V2207" t="str">
        <f t="shared" si="187"/>
        <v>Middle Counselor</v>
      </c>
      <c r="W2207" t="str">
        <f t="shared" si="188"/>
        <v>Counselor</v>
      </c>
    </row>
    <row r="2208" spans="1:23" x14ac:dyDescent="0.25">
      <c r="A2208">
        <v>28144</v>
      </c>
      <c r="B2208" t="s">
        <v>1294</v>
      </c>
      <c r="C2208">
        <v>0.3</v>
      </c>
      <c r="D2208" t="s">
        <v>1264</v>
      </c>
      <c r="E2208">
        <v>100134</v>
      </c>
      <c r="F2208">
        <v>28144</v>
      </c>
      <c r="G2208" t="str">
        <f t="shared" si="186"/>
        <v>28144</v>
      </c>
      <c r="H2208" t="s">
        <v>495</v>
      </c>
      <c r="I2208" t="s">
        <v>1265</v>
      </c>
      <c r="J2208" t="s">
        <v>1276</v>
      </c>
      <c r="K2208" t="s">
        <v>1277</v>
      </c>
      <c r="L2208" t="s">
        <v>1294</v>
      </c>
      <c r="M2208" t="s">
        <v>1354</v>
      </c>
      <c r="N2208">
        <v>21</v>
      </c>
      <c r="O2208" t="str">
        <f t="shared" si="189"/>
        <v>45</v>
      </c>
      <c r="P2208">
        <v>45</v>
      </c>
      <c r="R2208" t="s">
        <v>1269</v>
      </c>
      <c r="S2208">
        <v>0.3</v>
      </c>
      <c r="T2208">
        <v>0.1832</v>
      </c>
      <c r="U2208">
        <f t="shared" si="190"/>
        <v>5.5E-2</v>
      </c>
      <c r="V2208" t="str">
        <f t="shared" si="187"/>
        <v>Elementary Speech, Language Pathway/
Audio</v>
      </c>
      <c r="W2208" t="str">
        <f t="shared" si="188"/>
        <v>Speech, Language Pathway/
Audio</v>
      </c>
    </row>
    <row r="2209" spans="1:23" x14ac:dyDescent="0.25">
      <c r="A2209">
        <v>28144</v>
      </c>
      <c r="B2209" t="s">
        <v>1326</v>
      </c>
      <c r="C2209">
        <v>0.18</v>
      </c>
      <c r="D2209" t="s">
        <v>1264</v>
      </c>
      <c r="E2209">
        <v>100134</v>
      </c>
      <c r="F2209">
        <v>28144</v>
      </c>
      <c r="G2209" t="str">
        <f t="shared" si="186"/>
        <v>28144</v>
      </c>
      <c r="H2209" t="s">
        <v>495</v>
      </c>
      <c r="I2209" t="s">
        <v>1265</v>
      </c>
      <c r="J2209" t="s">
        <v>1271</v>
      </c>
      <c r="K2209" t="s">
        <v>1272</v>
      </c>
      <c r="L2209" t="s">
        <v>1326</v>
      </c>
      <c r="M2209" t="s">
        <v>1353</v>
      </c>
      <c r="N2209">
        <v>21</v>
      </c>
      <c r="O2209" t="str">
        <f t="shared" si="189"/>
        <v>45</v>
      </c>
      <c r="P2209">
        <v>45</v>
      </c>
      <c r="R2209" t="s">
        <v>1269</v>
      </c>
      <c r="S2209">
        <v>0.18</v>
      </c>
      <c r="T2209">
        <v>0.1832</v>
      </c>
      <c r="U2209">
        <f t="shared" si="190"/>
        <v>3.3000000000000002E-2</v>
      </c>
      <c r="V2209" t="str">
        <f t="shared" si="187"/>
        <v>High Speech, Language Pathway/
Audio</v>
      </c>
      <c r="W2209" t="str">
        <f t="shared" si="188"/>
        <v>Speech, Language Pathway/
Audio</v>
      </c>
    </row>
    <row r="2210" spans="1:23" x14ac:dyDescent="0.25">
      <c r="A2210">
        <v>28144</v>
      </c>
      <c r="B2210" t="s">
        <v>1312</v>
      </c>
      <c r="C2210">
        <v>0.12</v>
      </c>
      <c r="D2210" t="s">
        <v>1264</v>
      </c>
      <c r="E2210">
        <v>100134</v>
      </c>
      <c r="F2210">
        <v>28144</v>
      </c>
      <c r="G2210" t="str">
        <f t="shared" si="186"/>
        <v>28144</v>
      </c>
      <c r="H2210" t="s">
        <v>495</v>
      </c>
      <c r="I2210" t="s">
        <v>1265</v>
      </c>
      <c r="J2210" t="s">
        <v>1266</v>
      </c>
      <c r="K2210" t="s">
        <v>1267</v>
      </c>
      <c r="L2210" t="s">
        <v>1312</v>
      </c>
      <c r="M2210" t="s">
        <v>1351</v>
      </c>
      <c r="N2210">
        <v>21</v>
      </c>
      <c r="O2210" t="str">
        <f t="shared" si="189"/>
        <v>45</v>
      </c>
      <c r="P2210">
        <v>45</v>
      </c>
      <c r="R2210" t="s">
        <v>1269</v>
      </c>
      <c r="S2210">
        <v>0.12</v>
      </c>
      <c r="T2210">
        <v>0.1832</v>
      </c>
      <c r="U2210">
        <f t="shared" si="190"/>
        <v>2.1999999999999999E-2</v>
      </c>
      <c r="V2210" t="str">
        <f t="shared" si="187"/>
        <v>Middle Speech, Language Pathway/
Audio</v>
      </c>
      <c r="W2210" t="str">
        <f t="shared" si="188"/>
        <v>Speech, Language Pathway/
Audio</v>
      </c>
    </row>
    <row r="2211" spans="1:23" x14ac:dyDescent="0.25">
      <c r="A2211">
        <v>28149</v>
      </c>
      <c r="B2211" t="s">
        <v>1299</v>
      </c>
      <c r="C2211">
        <v>9.1999999999999998E-2</v>
      </c>
      <c r="D2211" t="s">
        <v>1264</v>
      </c>
      <c r="E2211">
        <v>100227</v>
      </c>
      <c r="F2211">
        <v>28149</v>
      </c>
      <c r="G2211" t="str">
        <f t="shared" si="186"/>
        <v>28149</v>
      </c>
      <c r="H2211" t="s">
        <v>496</v>
      </c>
      <c r="I2211" t="s">
        <v>1265</v>
      </c>
      <c r="J2211" t="s">
        <v>1271</v>
      </c>
      <c r="K2211" t="s">
        <v>1272</v>
      </c>
      <c r="L2211" t="s">
        <v>1299</v>
      </c>
      <c r="M2211" t="s">
        <v>1300</v>
      </c>
      <c r="N2211">
        <v>1</v>
      </c>
      <c r="O2211" t="str">
        <f t="shared" si="189"/>
        <v>25</v>
      </c>
      <c r="Q2211">
        <v>25</v>
      </c>
      <c r="R2211" t="s">
        <v>1269</v>
      </c>
      <c r="S2211">
        <v>9.1999999999999998E-2</v>
      </c>
      <c r="T2211">
        <v>0.15529999999999999</v>
      </c>
      <c r="U2211">
        <f t="shared" si="190"/>
        <v>0</v>
      </c>
      <c r="V2211" t="str">
        <f t="shared" si="187"/>
        <v>High Pupil Management</v>
      </c>
      <c r="W2211" t="str">
        <f t="shared" si="188"/>
        <v>Pupil Management</v>
      </c>
    </row>
    <row r="2212" spans="1:23" x14ac:dyDescent="0.25">
      <c r="A2212">
        <v>28149</v>
      </c>
      <c r="B2212" t="s">
        <v>1275</v>
      </c>
      <c r="C2212">
        <v>1</v>
      </c>
      <c r="D2212" t="s">
        <v>1264</v>
      </c>
      <c r="E2212">
        <v>100227</v>
      </c>
      <c r="F2212">
        <v>28149</v>
      </c>
      <c r="G2212" t="str">
        <f t="shared" si="186"/>
        <v>28149</v>
      </c>
      <c r="H2212" t="s">
        <v>496</v>
      </c>
      <c r="I2212" t="s">
        <v>1265</v>
      </c>
      <c r="J2212" t="s">
        <v>1276</v>
      </c>
      <c r="K2212" t="s">
        <v>1277</v>
      </c>
      <c r="L2212" t="s">
        <v>1275</v>
      </c>
      <c r="M2212" t="s">
        <v>1278</v>
      </c>
      <c r="N2212">
        <v>1</v>
      </c>
      <c r="O2212" t="str">
        <f t="shared" si="189"/>
        <v>42</v>
      </c>
      <c r="P2212">
        <v>42</v>
      </c>
      <c r="R2212" t="s">
        <v>1269</v>
      </c>
      <c r="S2212">
        <v>1</v>
      </c>
      <c r="T2212">
        <v>0.15529999999999999</v>
      </c>
      <c r="U2212">
        <f t="shared" si="190"/>
        <v>0</v>
      </c>
      <c r="V2212" t="str">
        <f t="shared" si="187"/>
        <v>Elementary Counselor</v>
      </c>
      <c r="W2212" t="str">
        <f t="shared" si="188"/>
        <v>Counselor</v>
      </c>
    </row>
    <row r="2213" spans="1:23" x14ac:dyDescent="0.25">
      <c r="A2213">
        <v>28149</v>
      </c>
      <c r="B2213" t="s">
        <v>1270</v>
      </c>
      <c r="C2213">
        <v>1</v>
      </c>
      <c r="D2213" t="s">
        <v>1264</v>
      </c>
      <c r="E2213">
        <v>100227</v>
      </c>
      <c r="F2213">
        <v>28149</v>
      </c>
      <c r="G2213" t="str">
        <f t="shared" si="186"/>
        <v>28149</v>
      </c>
      <c r="H2213" t="s">
        <v>496</v>
      </c>
      <c r="I2213" t="s">
        <v>1265</v>
      </c>
      <c r="J2213" t="s">
        <v>1271</v>
      </c>
      <c r="K2213" t="s">
        <v>1272</v>
      </c>
      <c r="L2213" t="s">
        <v>1270</v>
      </c>
      <c r="M2213" t="s">
        <v>1273</v>
      </c>
      <c r="N2213">
        <v>1</v>
      </c>
      <c r="O2213" t="str">
        <f t="shared" si="189"/>
        <v>42</v>
      </c>
      <c r="P2213">
        <v>42</v>
      </c>
      <c r="R2213" t="s">
        <v>1269</v>
      </c>
      <c r="S2213">
        <v>1</v>
      </c>
      <c r="T2213">
        <v>0.15529999999999999</v>
      </c>
      <c r="U2213">
        <f t="shared" si="190"/>
        <v>0</v>
      </c>
      <c r="V2213" t="str">
        <f t="shared" si="187"/>
        <v>High Counselor</v>
      </c>
      <c r="W2213" t="str">
        <f t="shared" si="188"/>
        <v>Counselor</v>
      </c>
    </row>
    <row r="2214" spans="1:23" x14ac:dyDescent="0.25">
      <c r="A2214">
        <v>28149</v>
      </c>
      <c r="B2214" t="s">
        <v>1263</v>
      </c>
      <c r="C2214">
        <v>1</v>
      </c>
      <c r="D2214" t="s">
        <v>1264</v>
      </c>
      <c r="E2214">
        <v>100227</v>
      </c>
      <c r="F2214">
        <v>28149</v>
      </c>
      <c r="G2214" t="str">
        <f t="shared" si="186"/>
        <v>28149</v>
      </c>
      <c r="H2214" t="s">
        <v>496</v>
      </c>
      <c r="I2214" t="s">
        <v>1265</v>
      </c>
      <c r="J2214" t="s">
        <v>1266</v>
      </c>
      <c r="K2214" t="s">
        <v>1267</v>
      </c>
      <c r="L2214" t="s">
        <v>1263</v>
      </c>
      <c r="M2214" t="s">
        <v>1268</v>
      </c>
      <c r="N2214">
        <v>1</v>
      </c>
      <c r="O2214" t="str">
        <f t="shared" si="189"/>
        <v>42</v>
      </c>
      <c r="P2214">
        <v>42</v>
      </c>
      <c r="R2214" t="s">
        <v>1269</v>
      </c>
      <c r="S2214">
        <v>1</v>
      </c>
      <c r="T2214">
        <v>0.15529999999999999</v>
      </c>
      <c r="U2214">
        <f t="shared" si="190"/>
        <v>0</v>
      </c>
      <c r="V2214" t="str">
        <f t="shared" si="187"/>
        <v>Middle Counselor</v>
      </c>
      <c r="W2214" t="str">
        <f t="shared" si="188"/>
        <v>Counselor</v>
      </c>
    </row>
    <row r="2215" spans="1:23" x14ac:dyDescent="0.25">
      <c r="A2215">
        <v>28149</v>
      </c>
      <c r="B2215" t="s">
        <v>1289</v>
      </c>
      <c r="C2215">
        <v>0.5</v>
      </c>
      <c r="D2215" t="s">
        <v>1264</v>
      </c>
      <c r="E2215">
        <v>100227</v>
      </c>
      <c r="F2215">
        <v>28149</v>
      </c>
      <c r="G2215" t="str">
        <f t="shared" si="186"/>
        <v>28149</v>
      </c>
      <c r="H2215" t="s">
        <v>496</v>
      </c>
      <c r="I2215" t="s">
        <v>1265</v>
      </c>
      <c r="J2215" t="s">
        <v>1276</v>
      </c>
      <c r="K2215" t="s">
        <v>1277</v>
      </c>
      <c r="L2215" t="s">
        <v>1289</v>
      </c>
      <c r="M2215" t="s">
        <v>1307</v>
      </c>
      <c r="N2215">
        <v>21</v>
      </c>
      <c r="O2215" t="str">
        <f t="shared" si="189"/>
        <v>43</v>
      </c>
      <c r="P2215">
        <v>43</v>
      </c>
      <c r="R2215" t="s">
        <v>1269</v>
      </c>
      <c r="S2215">
        <v>0.5</v>
      </c>
      <c r="T2215">
        <v>0.15529999999999999</v>
      </c>
      <c r="U2215">
        <f t="shared" si="190"/>
        <v>7.8E-2</v>
      </c>
      <c r="V2215" t="str">
        <f t="shared" si="187"/>
        <v>Elementary Occupational Therapist</v>
      </c>
      <c r="W2215" t="str">
        <f t="shared" si="188"/>
        <v>Occupational Therapist</v>
      </c>
    </row>
    <row r="2216" spans="1:23" x14ac:dyDescent="0.25">
      <c r="A2216">
        <v>28149</v>
      </c>
      <c r="B2216" t="s">
        <v>1387</v>
      </c>
      <c r="C2216">
        <v>0.5</v>
      </c>
      <c r="D2216" t="s">
        <v>1264</v>
      </c>
      <c r="E2216">
        <v>100227</v>
      </c>
      <c r="F2216">
        <v>28149</v>
      </c>
      <c r="G2216" t="str">
        <f t="shared" si="186"/>
        <v>28149</v>
      </c>
      <c r="H2216" t="s">
        <v>496</v>
      </c>
      <c r="I2216" t="s">
        <v>1265</v>
      </c>
      <c r="J2216" t="s">
        <v>1271</v>
      </c>
      <c r="K2216" t="s">
        <v>1272</v>
      </c>
      <c r="L2216" t="s">
        <v>1387</v>
      </c>
      <c r="M2216" t="s">
        <v>1406</v>
      </c>
      <c r="N2216">
        <v>21</v>
      </c>
      <c r="O2216" t="str">
        <f t="shared" si="189"/>
        <v>43</v>
      </c>
      <c r="P2216">
        <v>43</v>
      </c>
      <c r="R2216" t="s">
        <v>1269</v>
      </c>
      <c r="S2216">
        <v>0.5</v>
      </c>
      <c r="T2216">
        <v>0.15529999999999999</v>
      </c>
      <c r="U2216">
        <f t="shared" si="190"/>
        <v>7.8E-2</v>
      </c>
      <c r="V2216" t="str">
        <f t="shared" si="187"/>
        <v>High Occupational Therapist</v>
      </c>
      <c r="W2216" t="str">
        <f t="shared" si="188"/>
        <v>Occupational Therapist</v>
      </c>
    </row>
    <row r="2217" spans="1:23" x14ac:dyDescent="0.25">
      <c r="A2217">
        <v>28149</v>
      </c>
      <c r="B2217" t="s">
        <v>1294</v>
      </c>
      <c r="C2217">
        <v>1</v>
      </c>
      <c r="D2217" t="s">
        <v>1264</v>
      </c>
      <c r="E2217">
        <v>100227</v>
      </c>
      <c r="F2217">
        <v>28149</v>
      </c>
      <c r="G2217" t="str">
        <f t="shared" si="186"/>
        <v>28149</v>
      </c>
      <c r="H2217" t="s">
        <v>496</v>
      </c>
      <c r="I2217" t="s">
        <v>1265</v>
      </c>
      <c r="J2217" t="s">
        <v>1276</v>
      </c>
      <c r="K2217" t="s">
        <v>1277</v>
      </c>
      <c r="L2217" t="s">
        <v>1294</v>
      </c>
      <c r="M2217" t="s">
        <v>1354</v>
      </c>
      <c r="N2217">
        <v>21</v>
      </c>
      <c r="O2217" t="str">
        <f t="shared" si="189"/>
        <v>45</v>
      </c>
      <c r="P2217">
        <v>45</v>
      </c>
      <c r="R2217" t="s">
        <v>1269</v>
      </c>
      <c r="S2217">
        <v>1</v>
      </c>
      <c r="T2217">
        <v>0.15529999999999999</v>
      </c>
      <c r="U2217">
        <f t="shared" si="190"/>
        <v>0.155</v>
      </c>
      <c r="V2217" t="str">
        <f t="shared" si="187"/>
        <v>Elementary Speech, Language Pathway/
Audio</v>
      </c>
      <c r="W2217" t="str">
        <f t="shared" si="188"/>
        <v>Speech, Language Pathway/
Audio</v>
      </c>
    </row>
    <row r="2218" spans="1:23" x14ac:dyDescent="0.25">
      <c r="A2218">
        <v>28149</v>
      </c>
      <c r="B2218" t="s">
        <v>1335</v>
      </c>
      <c r="C2218">
        <v>0.35</v>
      </c>
      <c r="D2218" t="s">
        <v>1264</v>
      </c>
      <c r="E2218">
        <v>100227</v>
      </c>
      <c r="F2218">
        <v>28149</v>
      </c>
      <c r="G2218" t="str">
        <f t="shared" si="186"/>
        <v>28149</v>
      </c>
      <c r="H2218" t="s">
        <v>496</v>
      </c>
      <c r="I2218" t="s">
        <v>1265</v>
      </c>
      <c r="J2218" t="s">
        <v>1276</v>
      </c>
      <c r="K2218" t="s">
        <v>1277</v>
      </c>
      <c r="L2218" t="s">
        <v>1335</v>
      </c>
      <c r="M2218" t="s">
        <v>1344</v>
      </c>
      <c r="N2218">
        <v>1</v>
      </c>
      <c r="O2218" t="str">
        <f t="shared" si="189"/>
        <v>47</v>
      </c>
      <c r="P2218">
        <v>47</v>
      </c>
      <c r="R2218" t="s">
        <v>1269</v>
      </c>
      <c r="S2218">
        <v>0.35</v>
      </c>
      <c r="T2218">
        <v>0.15529999999999999</v>
      </c>
      <c r="U2218">
        <f t="shared" si="190"/>
        <v>0</v>
      </c>
      <c r="V2218" t="str">
        <f t="shared" si="187"/>
        <v>Elementary Nurse</v>
      </c>
      <c r="W2218" t="str">
        <f t="shared" si="188"/>
        <v>Nurse</v>
      </c>
    </row>
    <row r="2219" spans="1:23" x14ac:dyDescent="0.25">
      <c r="A2219">
        <v>28149</v>
      </c>
      <c r="B2219" t="s">
        <v>1341</v>
      </c>
      <c r="C2219">
        <v>0.3</v>
      </c>
      <c r="D2219" t="s">
        <v>1264</v>
      </c>
      <c r="E2219">
        <v>100227</v>
      </c>
      <c r="F2219">
        <v>28149</v>
      </c>
      <c r="G2219" t="str">
        <f t="shared" si="186"/>
        <v>28149</v>
      </c>
      <c r="H2219" t="s">
        <v>496</v>
      </c>
      <c r="I2219" t="s">
        <v>1265</v>
      </c>
      <c r="J2219" t="s">
        <v>1271</v>
      </c>
      <c r="K2219" t="s">
        <v>1272</v>
      </c>
      <c r="L2219" t="s">
        <v>1341</v>
      </c>
      <c r="M2219" t="s">
        <v>1342</v>
      </c>
      <c r="N2219">
        <v>1</v>
      </c>
      <c r="O2219" t="str">
        <f t="shared" si="189"/>
        <v>47</v>
      </c>
      <c r="P2219">
        <v>47</v>
      </c>
      <c r="R2219" t="s">
        <v>1269</v>
      </c>
      <c r="S2219">
        <v>0.3</v>
      </c>
      <c r="T2219">
        <v>0.15529999999999999</v>
      </c>
      <c r="U2219">
        <f t="shared" si="190"/>
        <v>0</v>
      </c>
      <c r="V2219" t="str">
        <f t="shared" si="187"/>
        <v>High Nurse</v>
      </c>
      <c r="W2219" t="str">
        <f t="shared" si="188"/>
        <v>Nurse</v>
      </c>
    </row>
    <row r="2220" spans="1:23" x14ac:dyDescent="0.25">
      <c r="A2220">
        <v>28149</v>
      </c>
      <c r="B2220" t="s">
        <v>1338</v>
      </c>
      <c r="C2220">
        <v>0.35</v>
      </c>
      <c r="D2220" t="s">
        <v>1264</v>
      </c>
      <c r="E2220">
        <v>100227</v>
      </c>
      <c r="F2220">
        <v>28149</v>
      </c>
      <c r="G2220" t="str">
        <f t="shared" si="186"/>
        <v>28149</v>
      </c>
      <c r="H2220" t="s">
        <v>496</v>
      </c>
      <c r="I2220" t="s">
        <v>1265</v>
      </c>
      <c r="J2220" t="s">
        <v>1266</v>
      </c>
      <c r="K2220" t="s">
        <v>1267</v>
      </c>
      <c r="L2220" t="s">
        <v>1338</v>
      </c>
      <c r="M2220" t="s">
        <v>1339</v>
      </c>
      <c r="N2220">
        <v>1</v>
      </c>
      <c r="O2220" t="str">
        <f t="shared" si="189"/>
        <v>47</v>
      </c>
      <c r="P2220">
        <v>47</v>
      </c>
      <c r="R2220" t="s">
        <v>1269</v>
      </c>
      <c r="S2220">
        <v>0.35</v>
      </c>
      <c r="T2220">
        <v>0.15529999999999999</v>
      </c>
      <c r="U2220">
        <f t="shared" si="190"/>
        <v>0</v>
      </c>
      <c r="V2220" t="str">
        <f t="shared" si="187"/>
        <v>Middle Nurse</v>
      </c>
      <c r="W2220" t="str">
        <f t="shared" si="188"/>
        <v>Nurse</v>
      </c>
    </row>
    <row r="2221" spans="1:23" x14ac:dyDescent="0.25">
      <c r="A2221">
        <v>29011</v>
      </c>
      <c r="B2221" t="s">
        <v>1299</v>
      </c>
      <c r="C2221">
        <v>0.64200000000000002</v>
      </c>
      <c r="D2221" t="s">
        <v>1264</v>
      </c>
      <c r="E2221">
        <v>100054</v>
      </c>
      <c r="F2221">
        <v>29011</v>
      </c>
      <c r="G2221" t="str">
        <f t="shared" si="186"/>
        <v>29011</v>
      </c>
      <c r="H2221" t="s">
        <v>497</v>
      </c>
      <c r="I2221" t="s">
        <v>1265</v>
      </c>
      <c r="J2221" t="s">
        <v>1271</v>
      </c>
      <c r="K2221" t="s">
        <v>1272</v>
      </c>
      <c r="L2221" t="s">
        <v>1299</v>
      </c>
      <c r="M2221" t="s">
        <v>1300</v>
      </c>
      <c r="N2221">
        <v>1</v>
      </c>
      <c r="O2221" t="str">
        <f t="shared" si="189"/>
        <v>25</v>
      </c>
      <c r="Q2221">
        <v>25</v>
      </c>
      <c r="R2221" t="s">
        <v>1269</v>
      </c>
      <c r="S2221">
        <v>0.64200000000000002</v>
      </c>
      <c r="T2221">
        <v>0.17449999999999999</v>
      </c>
      <c r="U2221">
        <f t="shared" si="190"/>
        <v>0</v>
      </c>
      <c r="V2221" t="str">
        <f t="shared" si="187"/>
        <v>High Pupil Management</v>
      </c>
      <c r="W2221" t="str">
        <f t="shared" si="188"/>
        <v>Pupil Management</v>
      </c>
    </row>
    <row r="2222" spans="1:23" x14ac:dyDescent="0.25">
      <c r="A2222">
        <v>29011</v>
      </c>
      <c r="B2222" t="s">
        <v>1295</v>
      </c>
      <c r="C2222">
        <v>1.1299999999999999</v>
      </c>
      <c r="D2222" t="s">
        <v>1264</v>
      </c>
      <c r="E2222">
        <v>100054</v>
      </c>
      <c r="F2222">
        <v>29011</v>
      </c>
      <c r="G2222" t="str">
        <f t="shared" si="186"/>
        <v>29011</v>
      </c>
      <c r="H2222" t="s">
        <v>497</v>
      </c>
      <c r="I2222" t="s">
        <v>1265</v>
      </c>
      <c r="J2222" t="s">
        <v>1271</v>
      </c>
      <c r="K2222" t="s">
        <v>1272</v>
      </c>
      <c r="L2222" t="s">
        <v>1295</v>
      </c>
      <c r="M2222" t="s">
        <v>1296</v>
      </c>
      <c r="N2222">
        <v>1</v>
      </c>
      <c r="O2222" t="str">
        <f t="shared" si="189"/>
        <v>26</v>
      </c>
      <c r="Q2222">
        <v>26</v>
      </c>
      <c r="R2222" t="s">
        <v>1269</v>
      </c>
      <c r="S2222">
        <v>1.1299999999999999</v>
      </c>
      <c r="T2222">
        <v>0.17449999999999999</v>
      </c>
      <c r="U2222">
        <f t="shared" si="190"/>
        <v>0</v>
      </c>
      <c r="V2222" t="str">
        <f t="shared" si="187"/>
        <v>High Health/
Related Services</v>
      </c>
      <c r="W2222" t="str">
        <f t="shared" si="188"/>
        <v>Health/
Related Services</v>
      </c>
    </row>
    <row r="2223" spans="1:23" x14ac:dyDescent="0.25">
      <c r="A2223">
        <v>29011</v>
      </c>
      <c r="B2223" t="s">
        <v>1275</v>
      </c>
      <c r="C2223">
        <v>0.8</v>
      </c>
      <c r="D2223" t="s">
        <v>1264</v>
      </c>
      <c r="E2223">
        <v>100054</v>
      </c>
      <c r="F2223">
        <v>29011</v>
      </c>
      <c r="G2223" t="str">
        <f t="shared" si="186"/>
        <v>29011</v>
      </c>
      <c r="H2223" t="s">
        <v>497</v>
      </c>
      <c r="I2223" t="s">
        <v>1265</v>
      </c>
      <c r="J2223" t="s">
        <v>1276</v>
      </c>
      <c r="K2223" t="s">
        <v>1277</v>
      </c>
      <c r="L2223" t="s">
        <v>1275</v>
      </c>
      <c r="M2223" t="s">
        <v>1278</v>
      </c>
      <c r="N2223">
        <v>1</v>
      </c>
      <c r="O2223" t="str">
        <f t="shared" si="189"/>
        <v>42</v>
      </c>
      <c r="P2223">
        <v>42</v>
      </c>
      <c r="R2223" t="s">
        <v>1269</v>
      </c>
      <c r="S2223">
        <v>0.8</v>
      </c>
      <c r="T2223">
        <v>0.17449999999999999</v>
      </c>
      <c r="U2223">
        <f t="shared" si="190"/>
        <v>0</v>
      </c>
      <c r="V2223" t="str">
        <f t="shared" si="187"/>
        <v>Elementary Counselor</v>
      </c>
      <c r="W2223" t="str">
        <f t="shared" si="188"/>
        <v>Counselor</v>
      </c>
    </row>
    <row r="2224" spans="1:23" x14ac:dyDescent="0.25">
      <c r="A2224">
        <v>29011</v>
      </c>
      <c r="B2224" t="s">
        <v>1270</v>
      </c>
      <c r="C2224">
        <v>0.12</v>
      </c>
      <c r="D2224" t="s">
        <v>1264</v>
      </c>
      <c r="E2224">
        <v>100054</v>
      </c>
      <c r="F2224">
        <v>29011</v>
      </c>
      <c r="G2224" t="str">
        <f t="shared" si="186"/>
        <v>29011</v>
      </c>
      <c r="H2224" t="s">
        <v>497</v>
      </c>
      <c r="I2224" t="s">
        <v>1265</v>
      </c>
      <c r="J2224" t="s">
        <v>1271</v>
      </c>
      <c r="K2224" t="s">
        <v>1272</v>
      </c>
      <c r="L2224" t="s">
        <v>1270</v>
      </c>
      <c r="M2224" t="s">
        <v>1273</v>
      </c>
      <c r="N2224">
        <v>1</v>
      </c>
      <c r="O2224" t="str">
        <f t="shared" si="189"/>
        <v>42</v>
      </c>
      <c r="P2224">
        <v>42</v>
      </c>
      <c r="R2224" t="s">
        <v>1269</v>
      </c>
      <c r="S2224">
        <v>0.12</v>
      </c>
      <c r="T2224">
        <v>0.17449999999999999</v>
      </c>
      <c r="U2224">
        <f t="shared" si="190"/>
        <v>0</v>
      </c>
      <c r="V2224" t="str">
        <f t="shared" si="187"/>
        <v>High Counselor</v>
      </c>
      <c r="W2224" t="str">
        <f t="shared" si="188"/>
        <v>Counselor</v>
      </c>
    </row>
    <row r="2225" spans="1:23" x14ac:dyDescent="0.25">
      <c r="A2225">
        <v>29011</v>
      </c>
      <c r="B2225" t="s">
        <v>1263</v>
      </c>
      <c r="C2225">
        <v>0.08</v>
      </c>
      <c r="D2225" t="s">
        <v>1264</v>
      </c>
      <c r="E2225">
        <v>100054</v>
      </c>
      <c r="F2225">
        <v>29011</v>
      </c>
      <c r="G2225" t="str">
        <f t="shared" si="186"/>
        <v>29011</v>
      </c>
      <c r="H2225" t="s">
        <v>497</v>
      </c>
      <c r="I2225" t="s">
        <v>1265</v>
      </c>
      <c r="J2225" t="s">
        <v>1266</v>
      </c>
      <c r="K2225" t="s">
        <v>1267</v>
      </c>
      <c r="L2225" t="s">
        <v>1263</v>
      </c>
      <c r="M2225" t="s">
        <v>1268</v>
      </c>
      <c r="N2225">
        <v>1</v>
      </c>
      <c r="O2225" t="str">
        <f t="shared" si="189"/>
        <v>42</v>
      </c>
      <c r="P2225">
        <v>42</v>
      </c>
      <c r="R2225" t="s">
        <v>1269</v>
      </c>
      <c r="S2225">
        <v>0.08</v>
      </c>
      <c r="T2225">
        <v>0.17449999999999999</v>
      </c>
      <c r="U2225">
        <f t="shared" si="190"/>
        <v>0</v>
      </c>
      <c r="V2225" t="str">
        <f t="shared" si="187"/>
        <v>Middle Counselor</v>
      </c>
      <c r="W2225" t="str">
        <f t="shared" si="188"/>
        <v>Counselor</v>
      </c>
    </row>
    <row r="2226" spans="1:23" x14ac:dyDescent="0.25">
      <c r="A2226">
        <v>29011</v>
      </c>
      <c r="B2226" t="s">
        <v>1340</v>
      </c>
      <c r="C2226">
        <v>0.25</v>
      </c>
      <c r="D2226" t="s">
        <v>1264</v>
      </c>
      <c r="E2226">
        <v>100054</v>
      </c>
      <c r="F2226">
        <v>29011</v>
      </c>
      <c r="G2226" t="str">
        <f t="shared" si="186"/>
        <v>29011</v>
      </c>
      <c r="H2226" t="s">
        <v>497</v>
      </c>
      <c r="I2226" t="s">
        <v>1265</v>
      </c>
      <c r="J2226" t="s">
        <v>1276</v>
      </c>
      <c r="K2226" t="s">
        <v>1277</v>
      </c>
      <c r="L2226" t="s">
        <v>1340</v>
      </c>
      <c r="M2226" t="s">
        <v>1395</v>
      </c>
      <c r="N2226">
        <v>21</v>
      </c>
      <c r="O2226" t="str">
        <f t="shared" si="189"/>
        <v>49</v>
      </c>
      <c r="P2226">
        <v>49</v>
      </c>
      <c r="R2226" t="s">
        <v>1269</v>
      </c>
      <c r="S2226">
        <v>0.25</v>
      </c>
      <c r="T2226">
        <v>0.17449999999999999</v>
      </c>
      <c r="U2226">
        <f t="shared" si="190"/>
        <v>4.3999999999999997E-2</v>
      </c>
      <c r="V2226" t="str">
        <f t="shared" si="187"/>
        <v>Elementary Behavior Analyst</v>
      </c>
      <c r="W2226" t="str">
        <f t="shared" si="188"/>
        <v>Behavior Analyst</v>
      </c>
    </row>
    <row r="2227" spans="1:23" x14ac:dyDescent="0.25">
      <c r="A2227">
        <v>29011</v>
      </c>
      <c r="B2227" t="s">
        <v>1392</v>
      </c>
      <c r="C2227">
        <v>0.15</v>
      </c>
      <c r="D2227" t="s">
        <v>1264</v>
      </c>
      <c r="E2227">
        <v>100054</v>
      </c>
      <c r="F2227">
        <v>29011</v>
      </c>
      <c r="G2227" t="str">
        <f t="shared" si="186"/>
        <v>29011</v>
      </c>
      <c r="H2227" t="s">
        <v>497</v>
      </c>
      <c r="I2227" t="s">
        <v>1265</v>
      </c>
      <c r="J2227" t="s">
        <v>1271</v>
      </c>
      <c r="K2227" t="s">
        <v>1272</v>
      </c>
      <c r="L2227" t="s">
        <v>1392</v>
      </c>
      <c r="M2227" t="s">
        <v>1393</v>
      </c>
      <c r="N2227">
        <v>21</v>
      </c>
      <c r="O2227" t="str">
        <f t="shared" si="189"/>
        <v>49</v>
      </c>
      <c r="P2227">
        <v>49</v>
      </c>
      <c r="R2227" t="s">
        <v>1269</v>
      </c>
      <c r="S2227">
        <v>0.15</v>
      </c>
      <c r="T2227">
        <v>0.17449999999999999</v>
      </c>
      <c r="U2227">
        <f t="shared" si="190"/>
        <v>2.5999999999999999E-2</v>
      </c>
      <c r="V2227" t="str">
        <f t="shared" si="187"/>
        <v>High Behavior Analyst</v>
      </c>
      <c r="W2227" t="str">
        <f t="shared" si="188"/>
        <v>Behavior Analyst</v>
      </c>
    </row>
    <row r="2228" spans="1:23" x14ac:dyDescent="0.25">
      <c r="A2228">
        <v>29100</v>
      </c>
      <c r="B2228" t="s">
        <v>1286</v>
      </c>
      <c r="C2228">
        <v>2.6629999999999998</v>
      </c>
      <c r="D2228" t="s">
        <v>1264</v>
      </c>
      <c r="E2228">
        <v>100030</v>
      </c>
      <c r="F2228">
        <v>29100</v>
      </c>
      <c r="G2228" t="str">
        <f t="shared" si="186"/>
        <v>29100</v>
      </c>
      <c r="H2228" t="s">
        <v>498</v>
      </c>
      <c r="I2228" t="s">
        <v>1265</v>
      </c>
      <c r="J2228" t="s">
        <v>1271</v>
      </c>
      <c r="K2228" t="s">
        <v>1272</v>
      </c>
      <c r="L2228" t="s">
        <v>1286</v>
      </c>
      <c r="M2228" t="s">
        <v>1287</v>
      </c>
      <c r="N2228">
        <v>1</v>
      </c>
      <c r="O2228" t="str">
        <f t="shared" si="189"/>
        <v>24</v>
      </c>
      <c r="P2228">
        <v>96</v>
      </c>
      <c r="Q2228">
        <v>24</v>
      </c>
      <c r="R2228" t="s">
        <v>1269</v>
      </c>
      <c r="S2228">
        <v>2.6629999999999998</v>
      </c>
      <c r="T2228">
        <v>0.21199999999999999</v>
      </c>
      <c r="U2228">
        <f t="shared" si="190"/>
        <v>0</v>
      </c>
      <c r="V2228" t="str">
        <f t="shared" si="187"/>
        <v>High Family Engagement Coordinator</v>
      </c>
      <c r="W2228" t="str">
        <f t="shared" si="188"/>
        <v>Family Engagement Coordinator</v>
      </c>
    </row>
    <row r="2229" spans="1:23" x14ac:dyDescent="0.25">
      <c r="A2229">
        <v>29100</v>
      </c>
      <c r="B2229" t="s">
        <v>1315</v>
      </c>
      <c r="C2229">
        <v>0.46200000000000002</v>
      </c>
      <c r="D2229" t="s">
        <v>1264</v>
      </c>
      <c r="E2229">
        <v>100030</v>
      </c>
      <c r="F2229">
        <v>29100</v>
      </c>
      <c r="G2229" t="str">
        <f t="shared" si="186"/>
        <v>29100</v>
      </c>
      <c r="H2229" t="s">
        <v>498</v>
      </c>
      <c r="I2229" t="s">
        <v>1265</v>
      </c>
      <c r="J2229" t="s">
        <v>1276</v>
      </c>
      <c r="K2229" t="s">
        <v>1277</v>
      </c>
      <c r="L2229" t="s">
        <v>1315</v>
      </c>
      <c r="M2229" t="s">
        <v>1375</v>
      </c>
      <c r="N2229">
        <v>1</v>
      </c>
      <c r="O2229" t="str">
        <f t="shared" si="189"/>
        <v>26</v>
      </c>
      <c r="Q2229">
        <v>26</v>
      </c>
      <c r="R2229" t="s">
        <v>1269</v>
      </c>
      <c r="S2229">
        <v>0.46200000000000002</v>
      </c>
      <c r="T2229">
        <v>0.21199999999999999</v>
      </c>
      <c r="U2229">
        <f t="shared" si="190"/>
        <v>0</v>
      </c>
      <c r="V2229" t="str">
        <f t="shared" si="187"/>
        <v>Elementary Health/
Related Services</v>
      </c>
      <c r="W2229" t="str">
        <f t="shared" si="188"/>
        <v>Health/
Related Services</v>
      </c>
    </row>
    <row r="2230" spans="1:23" x14ac:dyDescent="0.25">
      <c r="A2230">
        <v>29100</v>
      </c>
      <c r="B2230" t="s">
        <v>1324</v>
      </c>
      <c r="C2230">
        <v>0.57399999999999995</v>
      </c>
      <c r="D2230" t="s">
        <v>1264</v>
      </c>
      <c r="E2230">
        <v>100030</v>
      </c>
      <c r="F2230">
        <v>29100</v>
      </c>
      <c r="G2230" t="str">
        <f t="shared" si="186"/>
        <v>29100</v>
      </c>
      <c r="H2230" t="s">
        <v>498</v>
      </c>
      <c r="I2230" t="s">
        <v>1265</v>
      </c>
      <c r="J2230" t="s">
        <v>1271</v>
      </c>
      <c r="K2230" t="s">
        <v>1272</v>
      </c>
      <c r="L2230" t="s">
        <v>1324</v>
      </c>
      <c r="M2230" t="s">
        <v>1325</v>
      </c>
      <c r="N2230">
        <v>21</v>
      </c>
      <c r="O2230" t="str">
        <f t="shared" si="189"/>
        <v>26</v>
      </c>
      <c r="Q2230">
        <v>26</v>
      </c>
      <c r="R2230" t="s">
        <v>1269</v>
      </c>
      <c r="S2230">
        <v>0.57399999999999995</v>
      </c>
      <c r="T2230">
        <v>0.21199999999999999</v>
      </c>
      <c r="U2230">
        <f t="shared" si="190"/>
        <v>0.122</v>
      </c>
      <c r="V2230" t="str">
        <f t="shared" si="187"/>
        <v>High Health/
Related Services</v>
      </c>
      <c r="W2230" t="str">
        <f t="shared" si="188"/>
        <v>Health/
Related Services</v>
      </c>
    </row>
    <row r="2231" spans="1:23" x14ac:dyDescent="0.25">
      <c r="A2231">
        <v>29100</v>
      </c>
      <c r="B2231" t="s">
        <v>1295</v>
      </c>
      <c r="C2231">
        <v>2.42</v>
      </c>
      <c r="D2231" t="s">
        <v>1264</v>
      </c>
      <c r="E2231">
        <v>100030</v>
      </c>
      <c r="F2231">
        <v>29100</v>
      </c>
      <c r="G2231" t="str">
        <f t="shared" si="186"/>
        <v>29100</v>
      </c>
      <c r="H2231" t="s">
        <v>498</v>
      </c>
      <c r="I2231" t="s">
        <v>1265</v>
      </c>
      <c r="J2231" t="s">
        <v>1271</v>
      </c>
      <c r="K2231" t="s">
        <v>1272</v>
      </c>
      <c r="L2231" t="s">
        <v>1295</v>
      </c>
      <c r="M2231" t="s">
        <v>1296</v>
      </c>
      <c r="N2231">
        <v>1</v>
      </c>
      <c r="O2231" t="str">
        <f t="shared" si="189"/>
        <v>26</v>
      </c>
      <c r="Q2231">
        <v>26</v>
      </c>
      <c r="R2231" t="s">
        <v>1269</v>
      </c>
      <c r="S2231">
        <v>2.42</v>
      </c>
      <c r="T2231">
        <v>0.21199999999999999</v>
      </c>
      <c r="U2231">
        <f t="shared" si="190"/>
        <v>0</v>
      </c>
      <c r="V2231" t="str">
        <f t="shared" si="187"/>
        <v>High Health/
Related Services</v>
      </c>
      <c r="W2231" t="str">
        <f t="shared" si="188"/>
        <v>Health/
Related Services</v>
      </c>
    </row>
    <row r="2232" spans="1:23" x14ac:dyDescent="0.25">
      <c r="A2232">
        <v>29100</v>
      </c>
      <c r="B2232" t="s">
        <v>1402</v>
      </c>
      <c r="C2232">
        <v>1.232</v>
      </c>
      <c r="D2232" t="s">
        <v>1264</v>
      </c>
      <c r="E2232">
        <v>100030</v>
      </c>
      <c r="F2232">
        <v>29100</v>
      </c>
      <c r="G2232" t="str">
        <f t="shared" si="186"/>
        <v>29100</v>
      </c>
      <c r="H2232" t="s">
        <v>498</v>
      </c>
      <c r="I2232" t="s">
        <v>1265</v>
      </c>
      <c r="J2232" t="s">
        <v>1271</v>
      </c>
      <c r="K2232" t="s">
        <v>1272</v>
      </c>
      <c r="L2232" t="s">
        <v>1402</v>
      </c>
      <c r="M2232" t="s">
        <v>1408</v>
      </c>
      <c r="N2232">
        <v>97</v>
      </c>
      <c r="O2232" t="str">
        <f t="shared" si="189"/>
        <v>35</v>
      </c>
      <c r="Q2232">
        <v>35</v>
      </c>
      <c r="R2232" t="s">
        <v>1269</v>
      </c>
      <c r="S2232">
        <v>1.232</v>
      </c>
      <c r="T2232">
        <v>0.21199999999999999</v>
      </c>
      <c r="U2232">
        <f t="shared" si="190"/>
        <v>0</v>
      </c>
      <c r="V2232" t="str">
        <f t="shared" si="187"/>
        <v>High Pupil Safety</v>
      </c>
      <c r="W2232" t="str">
        <f t="shared" si="188"/>
        <v>Pupil Safety</v>
      </c>
    </row>
    <row r="2233" spans="1:23" x14ac:dyDescent="0.25">
      <c r="A2233">
        <v>29100</v>
      </c>
      <c r="B2233" t="s">
        <v>1401</v>
      </c>
      <c r="C2233">
        <v>4.3999999999999997E-2</v>
      </c>
      <c r="D2233" t="s">
        <v>1264</v>
      </c>
      <c r="E2233">
        <v>100030</v>
      </c>
      <c r="F2233">
        <v>29100</v>
      </c>
      <c r="G2233" t="str">
        <f t="shared" si="186"/>
        <v>29100</v>
      </c>
      <c r="H2233" t="s">
        <v>498</v>
      </c>
      <c r="I2233" t="s">
        <v>1265</v>
      </c>
      <c r="J2233" t="s">
        <v>1271</v>
      </c>
      <c r="K2233" t="s">
        <v>1272</v>
      </c>
      <c r="L2233" t="s">
        <v>1401</v>
      </c>
      <c r="M2233" t="s">
        <v>1422</v>
      </c>
      <c r="N2233">
        <v>1</v>
      </c>
      <c r="O2233" t="str">
        <f t="shared" si="189"/>
        <v>35</v>
      </c>
      <c r="Q2233">
        <v>35</v>
      </c>
      <c r="R2233" t="s">
        <v>1269</v>
      </c>
      <c r="S2233">
        <v>4.3999999999999997E-2</v>
      </c>
      <c r="T2233">
        <v>0.21199999999999999</v>
      </c>
      <c r="U2233">
        <f t="shared" si="190"/>
        <v>0</v>
      </c>
      <c r="V2233" t="str">
        <f t="shared" si="187"/>
        <v>High Pupil Safety</v>
      </c>
      <c r="W2233" t="str">
        <f t="shared" si="188"/>
        <v>Pupil Safety</v>
      </c>
    </row>
    <row r="2234" spans="1:23" x14ac:dyDescent="0.25">
      <c r="A2234">
        <v>29100</v>
      </c>
      <c r="B2234" t="s">
        <v>1275</v>
      </c>
      <c r="C2234">
        <v>4.2030000000000003</v>
      </c>
      <c r="D2234" t="s">
        <v>1264</v>
      </c>
      <c r="E2234">
        <v>100030</v>
      </c>
      <c r="F2234">
        <v>29100</v>
      </c>
      <c r="G2234" t="str">
        <f t="shared" si="186"/>
        <v>29100</v>
      </c>
      <c r="H2234" t="s">
        <v>498</v>
      </c>
      <c r="I2234" t="s">
        <v>1265</v>
      </c>
      <c r="J2234" t="s">
        <v>1276</v>
      </c>
      <c r="K2234" t="s">
        <v>1277</v>
      </c>
      <c r="L2234" t="s">
        <v>1275</v>
      </c>
      <c r="M2234" t="s">
        <v>1278</v>
      </c>
      <c r="N2234">
        <v>1</v>
      </c>
      <c r="O2234" t="str">
        <f t="shared" si="189"/>
        <v>42</v>
      </c>
      <c r="P2234">
        <v>42</v>
      </c>
      <c r="R2234" t="s">
        <v>1269</v>
      </c>
      <c r="S2234">
        <v>4.2030000000000003</v>
      </c>
      <c r="T2234">
        <v>0.21199999999999999</v>
      </c>
      <c r="U2234">
        <f t="shared" si="190"/>
        <v>0</v>
      </c>
      <c r="V2234" t="str">
        <f t="shared" si="187"/>
        <v>Elementary Counselor</v>
      </c>
      <c r="W2234" t="str">
        <f t="shared" si="188"/>
        <v>Counselor</v>
      </c>
    </row>
    <row r="2235" spans="1:23" x14ac:dyDescent="0.25">
      <c r="A2235">
        <v>29100</v>
      </c>
      <c r="B2235" t="s">
        <v>1270</v>
      </c>
      <c r="C2235">
        <v>3.5</v>
      </c>
      <c r="D2235" t="s">
        <v>1264</v>
      </c>
      <c r="E2235">
        <v>100030</v>
      </c>
      <c r="F2235">
        <v>29100</v>
      </c>
      <c r="G2235" t="str">
        <f t="shared" si="186"/>
        <v>29100</v>
      </c>
      <c r="H2235" t="s">
        <v>498</v>
      </c>
      <c r="I2235" t="s">
        <v>1265</v>
      </c>
      <c r="J2235" t="s">
        <v>1271</v>
      </c>
      <c r="K2235" t="s">
        <v>1272</v>
      </c>
      <c r="L2235" t="s">
        <v>1270</v>
      </c>
      <c r="M2235" t="s">
        <v>1273</v>
      </c>
      <c r="N2235">
        <v>1</v>
      </c>
      <c r="O2235" t="str">
        <f t="shared" si="189"/>
        <v>42</v>
      </c>
      <c r="P2235">
        <v>42</v>
      </c>
      <c r="R2235" t="s">
        <v>1269</v>
      </c>
      <c r="S2235">
        <v>3.5</v>
      </c>
      <c r="T2235">
        <v>0.21199999999999999</v>
      </c>
      <c r="U2235">
        <f t="shared" si="190"/>
        <v>0</v>
      </c>
      <c r="V2235" t="str">
        <f t="shared" si="187"/>
        <v>High Counselor</v>
      </c>
      <c r="W2235" t="str">
        <f t="shared" si="188"/>
        <v>Counselor</v>
      </c>
    </row>
    <row r="2236" spans="1:23" x14ac:dyDescent="0.25">
      <c r="A2236">
        <v>29100</v>
      </c>
      <c r="B2236" t="s">
        <v>1263</v>
      </c>
      <c r="C2236">
        <v>1.0169999999999999</v>
      </c>
      <c r="D2236" t="s">
        <v>1264</v>
      </c>
      <c r="E2236">
        <v>100030</v>
      </c>
      <c r="F2236">
        <v>29100</v>
      </c>
      <c r="G2236" t="str">
        <f t="shared" si="186"/>
        <v>29100</v>
      </c>
      <c r="H2236" t="s">
        <v>498</v>
      </c>
      <c r="I2236" t="s">
        <v>1265</v>
      </c>
      <c r="J2236" t="s">
        <v>1266</v>
      </c>
      <c r="K2236" t="s">
        <v>1267</v>
      </c>
      <c r="L2236" t="s">
        <v>1263</v>
      </c>
      <c r="M2236" t="s">
        <v>1268</v>
      </c>
      <c r="N2236">
        <v>1</v>
      </c>
      <c r="O2236" t="str">
        <f t="shared" si="189"/>
        <v>42</v>
      </c>
      <c r="P2236">
        <v>42</v>
      </c>
      <c r="R2236" t="s">
        <v>1269</v>
      </c>
      <c r="S2236">
        <v>1.0169999999999999</v>
      </c>
      <c r="T2236">
        <v>0.21199999999999999</v>
      </c>
      <c r="U2236">
        <f t="shared" si="190"/>
        <v>0</v>
      </c>
      <c r="V2236" t="str">
        <f t="shared" si="187"/>
        <v>Middle Counselor</v>
      </c>
      <c r="W2236" t="str">
        <f t="shared" si="188"/>
        <v>Counselor</v>
      </c>
    </row>
    <row r="2237" spans="1:23" x14ac:dyDescent="0.25">
      <c r="A2237">
        <v>29100</v>
      </c>
      <c r="B2237" t="s">
        <v>1289</v>
      </c>
      <c r="C2237">
        <v>1.9590000000000001</v>
      </c>
      <c r="D2237" t="s">
        <v>1264</v>
      </c>
      <c r="E2237">
        <v>100030</v>
      </c>
      <c r="F2237">
        <v>29100</v>
      </c>
      <c r="G2237" t="str">
        <f t="shared" si="186"/>
        <v>29100</v>
      </c>
      <c r="H2237" t="s">
        <v>498</v>
      </c>
      <c r="I2237" t="s">
        <v>1265</v>
      </c>
      <c r="J2237" t="s">
        <v>1276</v>
      </c>
      <c r="K2237" t="s">
        <v>1277</v>
      </c>
      <c r="L2237" t="s">
        <v>1289</v>
      </c>
      <c r="M2237" t="s">
        <v>1307</v>
      </c>
      <c r="N2237">
        <v>21</v>
      </c>
      <c r="O2237" t="str">
        <f t="shared" si="189"/>
        <v>43</v>
      </c>
      <c r="P2237">
        <v>43</v>
      </c>
      <c r="R2237" t="s">
        <v>1269</v>
      </c>
      <c r="S2237">
        <v>1.9590000000000001</v>
      </c>
      <c r="T2237">
        <v>0.21199999999999999</v>
      </c>
      <c r="U2237">
        <f t="shared" si="190"/>
        <v>0.41499999999999998</v>
      </c>
      <c r="V2237" t="str">
        <f t="shared" si="187"/>
        <v>Elementary Occupational Therapist</v>
      </c>
      <c r="W2237" t="str">
        <f t="shared" si="188"/>
        <v>Occupational Therapist</v>
      </c>
    </row>
    <row r="2238" spans="1:23" x14ac:dyDescent="0.25">
      <c r="A2238">
        <v>29100</v>
      </c>
      <c r="B2238" t="s">
        <v>1387</v>
      </c>
      <c r="C2238">
        <v>0.16</v>
      </c>
      <c r="D2238" t="s">
        <v>1264</v>
      </c>
      <c r="E2238">
        <v>100030</v>
      </c>
      <c r="F2238">
        <v>29100</v>
      </c>
      <c r="G2238" t="str">
        <f t="shared" si="186"/>
        <v>29100</v>
      </c>
      <c r="H2238" t="s">
        <v>498</v>
      </c>
      <c r="I2238" t="s">
        <v>1265</v>
      </c>
      <c r="J2238" t="s">
        <v>1271</v>
      </c>
      <c r="K2238" t="s">
        <v>1272</v>
      </c>
      <c r="L2238" t="s">
        <v>1387</v>
      </c>
      <c r="M2238" t="s">
        <v>1406</v>
      </c>
      <c r="N2238">
        <v>21</v>
      </c>
      <c r="O2238" t="str">
        <f t="shared" si="189"/>
        <v>43</v>
      </c>
      <c r="P2238">
        <v>43</v>
      </c>
      <c r="R2238" t="s">
        <v>1269</v>
      </c>
      <c r="S2238">
        <v>0.16</v>
      </c>
      <c r="T2238">
        <v>0.21199999999999999</v>
      </c>
      <c r="U2238">
        <f t="shared" si="190"/>
        <v>3.4000000000000002E-2</v>
      </c>
      <c r="V2238" t="str">
        <f t="shared" si="187"/>
        <v>High Occupational Therapist</v>
      </c>
      <c r="W2238" t="str">
        <f t="shared" si="188"/>
        <v>Occupational Therapist</v>
      </c>
    </row>
    <row r="2239" spans="1:23" x14ac:dyDescent="0.25">
      <c r="A2239">
        <v>29100</v>
      </c>
      <c r="B2239" t="s">
        <v>1303</v>
      </c>
      <c r="C2239">
        <v>0.28100000000000003</v>
      </c>
      <c r="D2239" t="s">
        <v>1264</v>
      </c>
      <c r="E2239">
        <v>100030</v>
      </c>
      <c r="F2239">
        <v>29100</v>
      </c>
      <c r="G2239" t="str">
        <f t="shared" si="186"/>
        <v>29100</v>
      </c>
      <c r="H2239" t="s">
        <v>498</v>
      </c>
      <c r="I2239" t="s">
        <v>1265</v>
      </c>
      <c r="J2239" t="s">
        <v>1266</v>
      </c>
      <c r="K2239" t="s">
        <v>1267</v>
      </c>
      <c r="L2239" t="s">
        <v>1303</v>
      </c>
      <c r="M2239" t="s">
        <v>1304</v>
      </c>
      <c r="N2239">
        <v>21</v>
      </c>
      <c r="O2239" t="str">
        <f t="shared" si="189"/>
        <v>43</v>
      </c>
      <c r="P2239">
        <v>43</v>
      </c>
      <c r="R2239" t="s">
        <v>1269</v>
      </c>
      <c r="S2239">
        <v>0.28100000000000003</v>
      </c>
      <c r="T2239">
        <v>0.21199999999999999</v>
      </c>
      <c r="U2239">
        <f t="shared" si="190"/>
        <v>0.06</v>
      </c>
      <c r="V2239" t="str">
        <f t="shared" si="187"/>
        <v>Middle Occupational Therapist</v>
      </c>
      <c r="W2239" t="str">
        <f t="shared" si="188"/>
        <v>Occupational Therapist</v>
      </c>
    </row>
    <row r="2240" spans="1:23" x14ac:dyDescent="0.25">
      <c r="A2240">
        <v>29100</v>
      </c>
      <c r="B2240" t="s">
        <v>1356</v>
      </c>
      <c r="C2240">
        <v>0.78</v>
      </c>
      <c r="D2240" t="s">
        <v>1264</v>
      </c>
      <c r="E2240">
        <v>100030</v>
      </c>
      <c r="F2240">
        <v>29100</v>
      </c>
      <c r="G2240" t="str">
        <f t="shared" si="186"/>
        <v>29100</v>
      </c>
      <c r="H2240" t="s">
        <v>498</v>
      </c>
      <c r="I2240" t="s">
        <v>1265</v>
      </c>
      <c r="J2240" t="s">
        <v>1266</v>
      </c>
      <c r="K2240" t="s">
        <v>1267</v>
      </c>
      <c r="L2240" t="s">
        <v>1356</v>
      </c>
      <c r="M2240" t="s">
        <v>1357</v>
      </c>
      <c r="N2240">
        <v>1</v>
      </c>
      <c r="O2240" t="str">
        <f t="shared" si="189"/>
        <v>44</v>
      </c>
      <c r="P2240">
        <v>44</v>
      </c>
      <c r="R2240" t="s">
        <v>1269</v>
      </c>
      <c r="S2240">
        <v>0.78</v>
      </c>
      <c r="T2240">
        <v>0.21199999999999999</v>
      </c>
      <c r="U2240">
        <f t="shared" si="190"/>
        <v>0</v>
      </c>
      <c r="V2240" t="str">
        <f t="shared" si="187"/>
        <v>Middle Social Worker</v>
      </c>
      <c r="W2240" t="str">
        <f t="shared" si="188"/>
        <v>Social Worker</v>
      </c>
    </row>
    <row r="2241" spans="1:23" x14ac:dyDescent="0.25">
      <c r="A2241">
        <v>29100</v>
      </c>
      <c r="B2241" t="s">
        <v>1294</v>
      </c>
      <c r="C2241">
        <v>4.47</v>
      </c>
      <c r="D2241" t="s">
        <v>1264</v>
      </c>
      <c r="E2241">
        <v>100030</v>
      </c>
      <c r="F2241">
        <v>29100</v>
      </c>
      <c r="G2241" t="str">
        <f t="shared" si="186"/>
        <v>29100</v>
      </c>
      <c r="H2241" t="s">
        <v>498</v>
      </c>
      <c r="I2241" t="s">
        <v>1265</v>
      </c>
      <c r="J2241" t="s">
        <v>1276</v>
      </c>
      <c r="K2241" t="s">
        <v>1277</v>
      </c>
      <c r="L2241" t="s">
        <v>1294</v>
      </c>
      <c r="M2241" t="s">
        <v>1354</v>
      </c>
      <c r="N2241">
        <v>21</v>
      </c>
      <c r="O2241" t="str">
        <f t="shared" si="189"/>
        <v>45</v>
      </c>
      <c r="P2241">
        <v>45</v>
      </c>
      <c r="R2241" t="s">
        <v>1269</v>
      </c>
      <c r="S2241">
        <v>4.47</v>
      </c>
      <c r="T2241">
        <v>0.21199999999999999</v>
      </c>
      <c r="U2241">
        <f t="shared" si="190"/>
        <v>0.94799999999999995</v>
      </c>
      <c r="V2241" t="str">
        <f t="shared" si="187"/>
        <v>Elementary Speech, Language Pathway/
Audio</v>
      </c>
      <c r="W2241" t="str">
        <f t="shared" si="188"/>
        <v>Speech, Language Pathway/
Audio</v>
      </c>
    </row>
    <row r="2242" spans="1:23" x14ac:dyDescent="0.25">
      <c r="A2242">
        <v>29100</v>
      </c>
      <c r="B2242" t="s">
        <v>1326</v>
      </c>
      <c r="C2242">
        <v>1</v>
      </c>
      <c r="D2242" t="s">
        <v>1264</v>
      </c>
      <c r="E2242">
        <v>100030</v>
      </c>
      <c r="F2242">
        <v>29100</v>
      </c>
      <c r="G2242" t="str">
        <f t="shared" ref="G2242:G2305" si="191">TEXT(F2242,"00000")</f>
        <v>29100</v>
      </c>
      <c r="H2242" t="s">
        <v>498</v>
      </c>
      <c r="I2242" t="s">
        <v>1265</v>
      </c>
      <c r="J2242" t="s">
        <v>1271</v>
      </c>
      <c r="K2242" t="s">
        <v>1272</v>
      </c>
      <c r="L2242" t="s">
        <v>1326</v>
      </c>
      <c r="M2242" t="s">
        <v>1353</v>
      </c>
      <c r="N2242">
        <v>21</v>
      </c>
      <c r="O2242" t="str">
        <f t="shared" si="189"/>
        <v>45</v>
      </c>
      <c r="P2242">
        <v>45</v>
      </c>
      <c r="R2242" t="s">
        <v>1269</v>
      </c>
      <c r="S2242">
        <v>1</v>
      </c>
      <c r="T2242">
        <v>0.21199999999999999</v>
      </c>
      <c r="U2242">
        <f t="shared" si="190"/>
        <v>0.21199999999999999</v>
      </c>
      <c r="V2242" t="str">
        <f t="shared" ref="V2242:V2305" si="192">_xlfn.XLOOKUP(L2242,$BV:$BV,$BT:$BT,,0)</f>
        <v>High Speech, Language Pathway/
Audio</v>
      </c>
      <c r="W2242" t="str">
        <f t="shared" ref="W2242:W2305" si="193">_xlfn.TEXTAFTER(V2242," ")</f>
        <v>Speech, Language Pathway/
Audio</v>
      </c>
    </row>
    <row r="2243" spans="1:23" x14ac:dyDescent="0.25">
      <c r="A2243">
        <v>29100</v>
      </c>
      <c r="B2243" t="s">
        <v>1312</v>
      </c>
      <c r="C2243">
        <v>0.52</v>
      </c>
      <c r="D2243" t="s">
        <v>1264</v>
      </c>
      <c r="E2243">
        <v>100030</v>
      </c>
      <c r="F2243">
        <v>29100</v>
      </c>
      <c r="G2243" t="str">
        <f t="shared" si="191"/>
        <v>29100</v>
      </c>
      <c r="H2243" t="s">
        <v>498</v>
      </c>
      <c r="I2243" t="s">
        <v>1265</v>
      </c>
      <c r="J2243" t="s">
        <v>1266</v>
      </c>
      <c r="K2243" t="s">
        <v>1267</v>
      </c>
      <c r="L2243" t="s">
        <v>1312</v>
      </c>
      <c r="M2243" t="s">
        <v>1351</v>
      </c>
      <c r="N2243">
        <v>21</v>
      </c>
      <c r="O2243" t="str">
        <f t="shared" ref="O2243:O2306" si="194">MID(L2243,3,2)</f>
        <v>45</v>
      </c>
      <c r="P2243">
        <v>45</v>
      </c>
      <c r="R2243" t="s">
        <v>1269</v>
      </c>
      <c r="S2243">
        <v>0.52</v>
      </c>
      <c r="T2243">
        <v>0.21199999999999999</v>
      </c>
      <c r="U2243">
        <f t="shared" ref="U2243:U2306" si="195">IF(N2243=21,ROUND(T2243*S2243,3),0)</f>
        <v>0.11</v>
      </c>
      <c r="V2243" t="str">
        <f t="shared" si="192"/>
        <v>Middle Speech, Language Pathway/
Audio</v>
      </c>
      <c r="W2243" t="str">
        <f t="shared" si="193"/>
        <v>Speech, Language Pathway/
Audio</v>
      </c>
    </row>
    <row r="2244" spans="1:23" x14ac:dyDescent="0.25">
      <c r="A2244">
        <v>29100</v>
      </c>
      <c r="B2244" t="s">
        <v>1335</v>
      </c>
      <c r="C2244">
        <v>1.609</v>
      </c>
      <c r="D2244" t="s">
        <v>1264</v>
      </c>
      <c r="E2244">
        <v>100030</v>
      </c>
      <c r="F2244">
        <v>29100</v>
      </c>
      <c r="G2244" t="str">
        <f t="shared" si="191"/>
        <v>29100</v>
      </c>
      <c r="H2244" t="s">
        <v>498</v>
      </c>
      <c r="I2244" t="s">
        <v>1265</v>
      </c>
      <c r="J2244" t="s">
        <v>1276</v>
      </c>
      <c r="K2244" t="s">
        <v>1277</v>
      </c>
      <c r="L2244" t="s">
        <v>1335</v>
      </c>
      <c r="M2244" t="s">
        <v>1344</v>
      </c>
      <c r="N2244">
        <v>1</v>
      </c>
      <c r="O2244" t="str">
        <f t="shared" si="194"/>
        <v>47</v>
      </c>
      <c r="P2244">
        <v>47</v>
      </c>
      <c r="R2244" t="s">
        <v>1269</v>
      </c>
      <c r="S2244">
        <v>1.609</v>
      </c>
      <c r="T2244">
        <v>0.21199999999999999</v>
      </c>
      <c r="U2244">
        <f t="shared" si="195"/>
        <v>0</v>
      </c>
      <c r="V2244" t="str">
        <f t="shared" si="192"/>
        <v>Elementary Nurse</v>
      </c>
      <c r="W2244" t="str">
        <f t="shared" si="193"/>
        <v>Nurse</v>
      </c>
    </row>
    <row r="2245" spans="1:23" x14ac:dyDescent="0.25">
      <c r="A2245">
        <v>29100</v>
      </c>
      <c r="B2245" t="s">
        <v>1341</v>
      </c>
      <c r="C2245">
        <v>1</v>
      </c>
      <c r="D2245" t="s">
        <v>1264</v>
      </c>
      <c r="E2245">
        <v>100030</v>
      </c>
      <c r="F2245">
        <v>29100</v>
      </c>
      <c r="G2245" t="str">
        <f t="shared" si="191"/>
        <v>29100</v>
      </c>
      <c r="H2245" t="s">
        <v>498</v>
      </c>
      <c r="I2245" t="s">
        <v>1265</v>
      </c>
      <c r="J2245" t="s">
        <v>1271</v>
      </c>
      <c r="K2245" t="s">
        <v>1272</v>
      </c>
      <c r="L2245" t="s">
        <v>1341</v>
      </c>
      <c r="M2245" t="s">
        <v>1342</v>
      </c>
      <c r="N2245">
        <v>1</v>
      </c>
      <c r="O2245" t="str">
        <f t="shared" si="194"/>
        <v>47</v>
      </c>
      <c r="P2245">
        <v>47</v>
      </c>
      <c r="R2245" t="s">
        <v>1269</v>
      </c>
      <c r="S2245">
        <v>1</v>
      </c>
      <c r="T2245">
        <v>0.21199999999999999</v>
      </c>
      <c r="U2245">
        <f t="shared" si="195"/>
        <v>0</v>
      </c>
      <c r="V2245" t="str">
        <f t="shared" si="192"/>
        <v>High Nurse</v>
      </c>
      <c r="W2245" t="str">
        <f t="shared" si="193"/>
        <v>Nurse</v>
      </c>
    </row>
    <row r="2246" spans="1:23" x14ac:dyDescent="0.25">
      <c r="A2246">
        <v>29100</v>
      </c>
      <c r="B2246" t="s">
        <v>1338</v>
      </c>
      <c r="C2246">
        <v>0.39100000000000001</v>
      </c>
      <c r="D2246" t="s">
        <v>1264</v>
      </c>
      <c r="E2246">
        <v>100030</v>
      </c>
      <c r="F2246">
        <v>29100</v>
      </c>
      <c r="G2246" t="str">
        <f t="shared" si="191"/>
        <v>29100</v>
      </c>
      <c r="H2246" t="s">
        <v>498</v>
      </c>
      <c r="I2246" t="s">
        <v>1265</v>
      </c>
      <c r="J2246" t="s">
        <v>1266</v>
      </c>
      <c r="K2246" t="s">
        <v>1267</v>
      </c>
      <c r="L2246" t="s">
        <v>1338</v>
      </c>
      <c r="M2246" t="s">
        <v>1339</v>
      </c>
      <c r="N2246">
        <v>1</v>
      </c>
      <c r="O2246" t="str">
        <f t="shared" si="194"/>
        <v>47</v>
      </c>
      <c r="P2246">
        <v>47</v>
      </c>
      <c r="R2246" t="s">
        <v>1269</v>
      </c>
      <c r="S2246">
        <v>0.39100000000000001</v>
      </c>
      <c r="T2246">
        <v>0.21199999999999999</v>
      </c>
      <c r="U2246">
        <f t="shared" si="195"/>
        <v>0</v>
      </c>
      <c r="V2246" t="str">
        <f t="shared" si="192"/>
        <v>Middle Nurse</v>
      </c>
      <c r="W2246" t="str">
        <f t="shared" si="193"/>
        <v>Nurse</v>
      </c>
    </row>
    <row r="2247" spans="1:23" x14ac:dyDescent="0.25">
      <c r="A2247">
        <v>29100</v>
      </c>
      <c r="B2247" t="s">
        <v>1302</v>
      </c>
      <c r="C2247">
        <v>0.21</v>
      </c>
      <c r="D2247" t="s">
        <v>1264</v>
      </c>
      <c r="E2247">
        <v>100030</v>
      </c>
      <c r="F2247">
        <v>29100</v>
      </c>
      <c r="G2247" t="str">
        <f t="shared" si="191"/>
        <v>29100</v>
      </c>
      <c r="H2247" t="s">
        <v>498</v>
      </c>
      <c r="I2247" t="s">
        <v>1265</v>
      </c>
      <c r="J2247" t="s">
        <v>1276</v>
      </c>
      <c r="K2247" t="s">
        <v>1277</v>
      </c>
      <c r="L2247" t="s">
        <v>1302</v>
      </c>
      <c r="M2247" t="s">
        <v>1336</v>
      </c>
      <c r="N2247">
        <v>21</v>
      </c>
      <c r="O2247" t="str">
        <f t="shared" si="194"/>
        <v>48</v>
      </c>
      <c r="P2247">
        <v>48</v>
      </c>
      <c r="R2247" t="s">
        <v>1269</v>
      </c>
      <c r="S2247">
        <v>0.21</v>
      </c>
      <c r="T2247">
        <v>0.21199999999999999</v>
      </c>
      <c r="U2247">
        <f t="shared" si="195"/>
        <v>4.4999999999999998E-2</v>
      </c>
      <c r="V2247" t="str">
        <f t="shared" si="192"/>
        <v>Elementary Physical Therapist</v>
      </c>
      <c r="W2247" t="str">
        <f t="shared" si="193"/>
        <v>Physical Therapist</v>
      </c>
    </row>
    <row r="2248" spans="1:23" x14ac:dyDescent="0.25">
      <c r="A2248">
        <v>29100</v>
      </c>
      <c r="B2248" t="s">
        <v>1330</v>
      </c>
      <c r="C2248">
        <v>8.8999999999999996E-2</v>
      </c>
      <c r="D2248" t="s">
        <v>1264</v>
      </c>
      <c r="E2248">
        <v>100030</v>
      </c>
      <c r="F2248">
        <v>29100</v>
      </c>
      <c r="G2248" t="str">
        <f t="shared" si="191"/>
        <v>29100</v>
      </c>
      <c r="H2248" t="s">
        <v>498</v>
      </c>
      <c r="I2248" t="s">
        <v>1265</v>
      </c>
      <c r="J2248" t="s">
        <v>1271</v>
      </c>
      <c r="K2248" t="s">
        <v>1272</v>
      </c>
      <c r="L2248" t="s">
        <v>1330</v>
      </c>
      <c r="M2248" t="s">
        <v>1367</v>
      </c>
      <c r="N2248">
        <v>21</v>
      </c>
      <c r="O2248" t="str">
        <f t="shared" si="194"/>
        <v>48</v>
      </c>
      <c r="P2248">
        <v>48</v>
      </c>
      <c r="R2248" t="s">
        <v>1269</v>
      </c>
      <c r="S2248">
        <v>8.8999999999999996E-2</v>
      </c>
      <c r="T2248">
        <v>0.21199999999999999</v>
      </c>
      <c r="U2248">
        <f t="shared" si="195"/>
        <v>1.9E-2</v>
      </c>
      <c r="V2248" t="str">
        <f t="shared" si="192"/>
        <v>High Physical Therapist</v>
      </c>
      <c r="W2248" t="str">
        <f t="shared" si="193"/>
        <v>Physical Therapist</v>
      </c>
    </row>
    <row r="2249" spans="1:23" x14ac:dyDescent="0.25">
      <c r="A2249">
        <v>29100</v>
      </c>
      <c r="B2249" t="s">
        <v>1316</v>
      </c>
      <c r="C2249">
        <v>8.8999999999999996E-2</v>
      </c>
      <c r="D2249" t="s">
        <v>1264</v>
      </c>
      <c r="E2249">
        <v>100030</v>
      </c>
      <c r="F2249">
        <v>29100</v>
      </c>
      <c r="G2249" t="str">
        <f t="shared" si="191"/>
        <v>29100</v>
      </c>
      <c r="H2249" t="s">
        <v>498</v>
      </c>
      <c r="I2249" t="s">
        <v>1265</v>
      </c>
      <c r="J2249" t="s">
        <v>1266</v>
      </c>
      <c r="K2249" t="s">
        <v>1267</v>
      </c>
      <c r="L2249" t="s">
        <v>1316</v>
      </c>
      <c r="M2249" t="s">
        <v>1366</v>
      </c>
      <c r="N2249">
        <v>21</v>
      </c>
      <c r="O2249" t="str">
        <f t="shared" si="194"/>
        <v>48</v>
      </c>
      <c r="P2249">
        <v>48</v>
      </c>
      <c r="R2249" t="s">
        <v>1269</v>
      </c>
      <c r="S2249">
        <v>8.8999999999999996E-2</v>
      </c>
      <c r="T2249">
        <v>0.21199999999999999</v>
      </c>
      <c r="U2249">
        <f t="shared" si="195"/>
        <v>1.9E-2</v>
      </c>
      <c r="V2249" t="str">
        <f t="shared" si="192"/>
        <v>Middle Physical Therapist</v>
      </c>
      <c r="W2249" t="str">
        <f t="shared" si="193"/>
        <v>Physical Therapist</v>
      </c>
    </row>
    <row r="2250" spans="1:23" x14ac:dyDescent="0.25">
      <c r="A2250">
        <v>29101</v>
      </c>
      <c r="B2250" t="s">
        <v>1286</v>
      </c>
      <c r="C2250">
        <v>0.69199999999999995</v>
      </c>
      <c r="D2250" t="s">
        <v>1264</v>
      </c>
      <c r="E2250">
        <v>100230</v>
      </c>
      <c r="F2250">
        <v>29101</v>
      </c>
      <c r="G2250" t="str">
        <f t="shared" si="191"/>
        <v>29101</v>
      </c>
      <c r="H2250" t="s">
        <v>499</v>
      </c>
      <c r="I2250" t="s">
        <v>1265</v>
      </c>
      <c r="J2250" t="s">
        <v>1271</v>
      </c>
      <c r="K2250" t="s">
        <v>1272</v>
      </c>
      <c r="L2250" t="s">
        <v>1286</v>
      </c>
      <c r="M2250" t="s">
        <v>1287</v>
      </c>
      <c r="N2250">
        <v>1</v>
      </c>
      <c r="O2250" t="str">
        <f t="shared" si="194"/>
        <v>24</v>
      </c>
      <c r="P2250">
        <v>96</v>
      </c>
      <c r="Q2250">
        <v>24</v>
      </c>
      <c r="R2250" t="s">
        <v>1269</v>
      </c>
      <c r="S2250">
        <v>0.69199999999999995</v>
      </c>
      <c r="T2250">
        <v>0.23139999999999999</v>
      </c>
      <c r="U2250">
        <f t="shared" si="195"/>
        <v>0</v>
      </c>
      <c r="V2250" t="str">
        <f t="shared" si="192"/>
        <v>High Family Engagement Coordinator</v>
      </c>
      <c r="W2250" t="str">
        <f t="shared" si="193"/>
        <v>Family Engagement Coordinator</v>
      </c>
    </row>
    <row r="2251" spans="1:23" x14ac:dyDescent="0.25">
      <c r="A2251">
        <v>29101</v>
      </c>
      <c r="B2251" t="s">
        <v>1301</v>
      </c>
      <c r="C2251">
        <v>1.3540000000000001</v>
      </c>
      <c r="D2251" t="s">
        <v>1264</v>
      </c>
      <c r="E2251">
        <v>100230</v>
      </c>
      <c r="F2251">
        <v>29101</v>
      </c>
      <c r="G2251" t="str">
        <f t="shared" si="191"/>
        <v>29101</v>
      </c>
      <c r="H2251" t="s">
        <v>499</v>
      </c>
      <c r="I2251" t="s">
        <v>1265</v>
      </c>
      <c r="J2251" t="s">
        <v>1276</v>
      </c>
      <c r="K2251" t="s">
        <v>1277</v>
      </c>
      <c r="L2251" t="s">
        <v>1301</v>
      </c>
      <c r="M2251" t="s">
        <v>1427</v>
      </c>
      <c r="N2251">
        <v>21</v>
      </c>
      <c r="O2251" t="str">
        <f t="shared" si="194"/>
        <v>25</v>
      </c>
      <c r="Q2251">
        <v>25</v>
      </c>
      <c r="R2251" t="s">
        <v>1269</v>
      </c>
      <c r="S2251">
        <v>1.3540000000000001</v>
      </c>
      <c r="T2251">
        <v>0.23139999999999999</v>
      </c>
      <c r="U2251">
        <f t="shared" si="195"/>
        <v>0.313</v>
      </c>
      <c r="V2251" t="str">
        <f t="shared" si="192"/>
        <v>Elementary Pupil Management</v>
      </c>
      <c r="W2251" t="str">
        <f t="shared" si="193"/>
        <v>Pupil Management</v>
      </c>
    </row>
    <row r="2252" spans="1:23" x14ac:dyDescent="0.25">
      <c r="A2252">
        <v>29101</v>
      </c>
      <c r="B2252" t="s">
        <v>1308</v>
      </c>
      <c r="C2252">
        <v>7.8840000000000003</v>
      </c>
      <c r="D2252" t="s">
        <v>1264</v>
      </c>
      <c r="E2252">
        <v>100230</v>
      </c>
      <c r="F2252">
        <v>29101</v>
      </c>
      <c r="G2252" t="str">
        <f t="shared" si="191"/>
        <v>29101</v>
      </c>
      <c r="H2252" t="s">
        <v>499</v>
      </c>
      <c r="I2252" t="s">
        <v>1265</v>
      </c>
      <c r="J2252" t="s">
        <v>1276</v>
      </c>
      <c r="K2252" t="s">
        <v>1277</v>
      </c>
      <c r="L2252" t="s">
        <v>1308</v>
      </c>
      <c r="M2252" t="s">
        <v>1389</v>
      </c>
      <c r="N2252">
        <v>1</v>
      </c>
      <c r="O2252" t="str">
        <f t="shared" si="194"/>
        <v>25</v>
      </c>
      <c r="Q2252">
        <v>25</v>
      </c>
      <c r="R2252" t="s">
        <v>1269</v>
      </c>
      <c r="S2252">
        <v>7.8840000000000003</v>
      </c>
      <c r="T2252">
        <v>0.23139999999999999</v>
      </c>
      <c r="U2252">
        <f t="shared" si="195"/>
        <v>0</v>
      </c>
      <c r="V2252" t="str">
        <f t="shared" si="192"/>
        <v>Elementary Pupil Management</v>
      </c>
      <c r="W2252" t="str">
        <f t="shared" si="193"/>
        <v>Pupil Management</v>
      </c>
    </row>
    <row r="2253" spans="1:23" x14ac:dyDescent="0.25">
      <c r="A2253">
        <v>29101</v>
      </c>
      <c r="B2253" t="s">
        <v>1383</v>
      </c>
      <c r="C2253">
        <v>1.319</v>
      </c>
      <c r="D2253" t="s">
        <v>1264</v>
      </c>
      <c r="E2253">
        <v>100230</v>
      </c>
      <c r="F2253">
        <v>29101</v>
      </c>
      <c r="G2253" t="str">
        <f t="shared" si="191"/>
        <v>29101</v>
      </c>
      <c r="H2253" t="s">
        <v>499</v>
      </c>
      <c r="I2253" t="s">
        <v>1265</v>
      </c>
      <c r="J2253" t="s">
        <v>1271</v>
      </c>
      <c r="K2253" t="s">
        <v>1272</v>
      </c>
      <c r="L2253" t="s">
        <v>1383</v>
      </c>
      <c r="M2253" t="s">
        <v>1409</v>
      </c>
      <c r="N2253">
        <v>21</v>
      </c>
      <c r="O2253" t="str">
        <f t="shared" si="194"/>
        <v>25</v>
      </c>
      <c r="Q2253">
        <v>25</v>
      </c>
      <c r="R2253" t="s">
        <v>1269</v>
      </c>
      <c r="S2253">
        <v>1.319</v>
      </c>
      <c r="T2253">
        <v>0.23139999999999999</v>
      </c>
      <c r="U2253">
        <f t="shared" si="195"/>
        <v>0.30499999999999999</v>
      </c>
      <c r="V2253" t="str">
        <f t="shared" si="192"/>
        <v>High Pupil Management</v>
      </c>
      <c r="W2253" t="str">
        <f t="shared" si="193"/>
        <v>Pupil Management</v>
      </c>
    </row>
    <row r="2254" spans="1:23" x14ac:dyDescent="0.25">
      <c r="A2254">
        <v>29101</v>
      </c>
      <c r="B2254" t="s">
        <v>1299</v>
      </c>
      <c r="C2254">
        <v>0.78400000000000003</v>
      </c>
      <c r="D2254" t="s">
        <v>1264</v>
      </c>
      <c r="E2254">
        <v>100230</v>
      </c>
      <c r="F2254">
        <v>29101</v>
      </c>
      <c r="G2254" t="str">
        <f t="shared" si="191"/>
        <v>29101</v>
      </c>
      <c r="H2254" t="s">
        <v>499</v>
      </c>
      <c r="I2254" t="s">
        <v>1265</v>
      </c>
      <c r="J2254" t="s">
        <v>1271</v>
      </c>
      <c r="K2254" t="s">
        <v>1272</v>
      </c>
      <c r="L2254" t="s">
        <v>1299</v>
      </c>
      <c r="M2254" t="s">
        <v>1300</v>
      </c>
      <c r="N2254">
        <v>1</v>
      </c>
      <c r="O2254" t="str">
        <f t="shared" si="194"/>
        <v>25</v>
      </c>
      <c r="Q2254">
        <v>25</v>
      </c>
      <c r="R2254" t="s">
        <v>1269</v>
      </c>
      <c r="S2254">
        <v>0.78400000000000003</v>
      </c>
      <c r="T2254">
        <v>0.23139999999999999</v>
      </c>
      <c r="U2254">
        <f t="shared" si="195"/>
        <v>0</v>
      </c>
      <c r="V2254" t="str">
        <f t="shared" si="192"/>
        <v>High Pupil Management</v>
      </c>
      <c r="W2254" t="str">
        <f t="shared" si="193"/>
        <v>Pupil Management</v>
      </c>
    </row>
    <row r="2255" spans="1:23" x14ac:dyDescent="0.25">
      <c r="A2255">
        <v>29101</v>
      </c>
      <c r="B2255" t="s">
        <v>1361</v>
      </c>
      <c r="C2255">
        <v>0.45500000000000002</v>
      </c>
      <c r="D2255" t="s">
        <v>1264</v>
      </c>
      <c r="E2255">
        <v>100230</v>
      </c>
      <c r="F2255">
        <v>29101</v>
      </c>
      <c r="G2255" t="str">
        <f t="shared" si="191"/>
        <v>29101</v>
      </c>
      <c r="H2255" t="s">
        <v>499</v>
      </c>
      <c r="I2255" t="s">
        <v>1265</v>
      </c>
      <c r="J2255" t="s">
        <v>1266</v>
      </c>
      <c r="K2255" t="s">
        <v>1267</v>
      </c>
      <c r="L2255" t="s">
        <v>1361</v>
      </c>
      <c r="M2255" t="s">
        <v>1411</v>
      </c>
      <c r="N2255">
        <v>21</v>
      </c>
      <c r="O2255" t="str">
        <f t="shared" si="194"/>
        <v>25</v>
      </c>
      <c r="Q2255">
        <v>25</v>
      </c>
      <c r="R2255" t="s">
        <v>1269</v>
      </c>
      <c r="S2255">
        <v>0.45500000000000002</v>
      </c>
      <c r="T2255">
        <v>0.23139999999999999</v>
      </c>
      <c r="U2255">
        <f t="shared" si="195"/>
        <v>0.105</v>
      </c>
      <c r="V2255" t="str">
        <f t="shared" si="192"/>
        <v>Middle Pupil Management</v>
      </c>
      <c r="W2255" t="str">
        <f t="shared" si="193"/>
        <v>Pupil Management</v>
      </c>
    </row>
    <row r="2256" spans="1:23" x14ac:dyDescent="0.25">
      <c r="A2256">
        <v>29101</v>
      </c>
      <c r="B2256" t="s">
        <v>1363</v>
      </c>
      <c r="C2256">
        <v>0.85899999999999999</v>
      </c>
      <c r="D2256" t="s">
        <v>1264</v>
      </c>
      <c r="E2256">
        <v>100230</v>
      </c>
      <c r="F2256">
        <v>29101</v>
      </c>
      <c r="G2256" t="str">
        <f t="shared" si="191"/>
        <v>29101</v>
      </c>
      <c r="H2256" t="s">
        <v>499</v>
      </c>
      <c r="I2256" t="s">
        <v>1265</v>
      </c>
      <c r="J2256" t="s">
        <v>1266</v>
      </c>
      <c r="K2256" t="s">
        <v>1267</v>
      </c>
      <c r="L2256" t="s">
        <v>1363</v>
      </c>
      <c r="M2256" t="s">
        <v>1386</v>
      </c>
      <c r="N2256">
        <v>1</v>
      </c>
      <c r="O2256" t="str">
        <f t="shared" si="194"/>
        <v>25</v>
      </c>
      <c r="Q2256">
        <v>25</v>
      </c>
      <c r="R2256" t="s">
        <v>1269</v>
      </c>
      <c r="S2256">
        <v>0.85899999999999999</v>
      </c>
      <c r="T2256">
        <v>0.23139999999999999</v>
      </c>
      <c r="U2256">
        <f t="shared" si="195"/>
        <v>0</v>
      </c>
      <c r="V2256" t="str">
        <f t="shared" si="192"/>
        <v>Middle Pupil Management</v>
      </c>
      <c r="W2256" t="str">
        <f t="shared" si="193"/>
        <v>Pupil Management</v>
      </c>
    </row>
    <row r="2257" spans="1:23" x14ac:dyDescent="0.25">
      <c r="A2257">
        <v>29101</v>
      </c>
      <c r="B2257" t="s">
        <v>1311</v>
      </c>
      <c r="C2257">
        <v>1.6519999999999999</v>
      </c>
      <c r="D2257" t="s">
        <v>1264</v>
      </c>
      <c r="E2257">
        <v>100230</v>
      </c>
      <c r="F2257">
        <v>29101</v>
      </c>
      <c r="G2257" t="str">
        <f t="shared" si="191"/>
        <v>29101</v>
      </c>
      <c r="H2257" t="s">
        <v>499</v>
      </c>
      <c r="I2257" t="s">
        <v>1265</v>
      </c>
      <c r="J2257" t="s">
        <v>1276</v>
      </c>
      <c r="K2257" t="s">
        <v>1277</v>
      </c>
      <c r="L2257" t="s">
        <v>1311</v>
      </c>
      <c r="M2257" t="s">
        <v>1327</v>
      </c>
      <c r="N2257">
        <v>21</v>
      </c>
      <c r="O2257" t="str">
        <f t="shared" si="194"/>
        <v>26</v>
      </c>
      <c r="Q2257">
        <v>26</v>
      </c>
      <c r="R2257" t="s">
        <v>1269</v>
      </c>
      <c r="S2257">
        <v>1.6519999999999999</v>
      </c>
      <c r="T2257">
        <v>0.23139999999999999</v>
      </c>
      <c r="U2257">
        <f t="shared" si="195"/>
        <v>0.38200000000000001</v>
      </c>
      <c r="V2257" t="str">
        <f t="shared" si="192"/>
        <v>Elementary Health/
Related Services</v>
      </c>
      <c r="W2257" t="str">
        <f t="shared" si="193"/>
        <v>Health/
Related Services</v>
      </c>
    </row>
    <row r="2258" spans="1:23" x14ac:dyDescent="0.25">
      <c r="A2258">
        <v>29101</v>
      </c>
      <c r="B2258" t="s">
        <v>1315</v>
      </c>
      <c r="C2258">
        <v>4.4269999999999996</v>
      </c>
      <c r="D2258" t="s">
        <v>1264</v>
      </c>
      <c r="E2258">
        <v>100230</v>
      </c>
      <c r="F2258">
        <v>29101</v>
      </c>
      <c r="G2258" t="str">
        <f t="shared" si="191"/>
        <v>29101</v>
      </c>
      <c r="H2258" t="s">
        <v>499</v>
      </c>
      <c r="I2258" t="s">
        <v>1265</v>
      </c>
      <c r="J2258" t="s">
        <v>1276</v>
      </c>
      <c r="K2258" t="s">
        <v>1277</v>
      </c>
      <c r="L2258" t="s">
        <v>1315</v>
      </c>
      <c r="M2258" t="s">
        <v>1375</v>
      </c>
      <c r="N2258">
        <v>1</v>
      </c>
      <c r="O2258" t="str">
        <f t="shared" si="194"/>
        <v>26</v>
      </c>
      <c r="Q2258">
        <v>26</v>
      </c>
      <c r="R2258" t="s">
        <v>1269</v>
      </c>
      <c r="S2258">
        <v>4.4269999999999996</v>
      </c>
      <c r="T2258">
        <v>0.23139999999999999</v>
      </c>
      <c r="U2258">
        <f t="shared" si="195"/>
        <v>0</v>
      </c>
      <c r="V2258" t="str">
        <f t="shared" si="192"/>
        <v>Elementary Health/
Related Services</v>
      </c>
      <c r="W2258" t="str">
        <f t="shared" si="193"/>
        <v>Health/
Related Services</v>
      </c>
    </row>
    <row r="2259" spans="1:23" x14ac:dyDescent="0.25">
      <c r="A2259">
        <v>29101</v>
      </c>
      <c r="B2259" t="s">
        <v>1324</v>
      </c>
      <c r="C2259">
        <v>0.93500000000000005</v>
      </c>
      <c r="D2259" t="s">
        <v>1264</v>
      </c>
      <c r="E2259">
        <v>100230</v>
      </c>
      <c r="F2259">
        <v>29101</v>
      </c>
      <c r="G2259" t="str">
        <f t="shared" si="191"/>
        <v>29101</v>
      </c>
      <c r="H2259" t="s">
        <v>499</v>
      </c>
      <c r="I2259" t="s">
        <v>1265</v>
      </c>
      <c r="J2259" t="s">
        <v>1271</v>
      </c>
      <c r="K2259" t="s">
        <v>1272</v>
      </c>
      <c r="L2259" t="s">
        <v>1324</v>
      </c>
      <c r="M2259" t="s">
        <v>1325</v>
      </c>
      <c r="N2259">
        <v>21</v>
      </c>
      <c r="O2259" t="str">
        <f t="shared" si="194"/>
        <v>26</v>
      </c>
      <c r="Q2259">
        <v>26</v>
      </c>
      <c r="R2259" t="s">
        <v>1269</v>
      </c>
      <c r="S2259">
        <v>0.93500000000000005</v>
      </c>
      <c r="T2259">
        <v>0.23139999999999999</v>
      </c>
      <c r="U2259">
        <f t="shared" si="195"/>
        <v>0.216</v>
      </c>
      <c r="V2259" t="str">
        <f t="shared" si="192"/>
        <v>High Health/
Related Services</v>
      </c>
      <c r="W2259" t="str">
        <f t="shared" si="193"/>
        <v>Health/
Related Services</v>
      </c>
    </row>
    <row r="2260" spans="1:23" x14ac:dyDescent="0.25">
      <c r="A2260">
        <v>29101</v>
      </c>
      <c r="B2260" t="s">
        <v>1295</v>
      </c>
      <c r="C2260">
        <v>0.878</v>
      </c>
      <c r="D2260" t="s">
        <v>1264</v>
      </c>
      <c r="E2260">
        <v>100230</v>
      </c>
      <c r="F2260">
        <v>29101</v>
      </c>
      <c r="G2260" t="str">
        <f t="shared" si="191"/>
        <v>29101</v>
      </c>
      <c r="H2260" t="s">
        <v>499</v>
      </c>
      <c r="I2260" t="s">
        <v>1265</v>
      </c>
      <c r="J2260" t="s">
        <v>1271</v>
      </c>
      <c r="K2260" t="s">
        <v>1272</v>
      </c>
      <c r="L2260" t="s">
        <v>1295</v>
      </c>
      <c r="M2260" t="s">
        <v>1296</v>
      </c>
      <c r="N2260">
        <v>1</v>
      </c>
      <c r="O2260" t="str">
        <f t="shared" si="194"/>
        <v>26</v>
      </c>
      <c r="Q2260">
        <v>26</v>
      </c>
      <c r="R2260" t="s">
        <v>1269</v>
      </c>
      <c r="S2260">
        <v>0.878</v>
      </c>
      <c r="T2260">
        <v>0.23139999999999999</v>
      </c>
      <c r="U2260">
        <f t="shared" si="195"/>
        <v>0</v>
      </c>
      <c r="V2260" t="str">
        <f t="shared" si="192"/>
        <v>High Health/
Related Services</v>
      </c>
      <c r="W2260" t="str">
        <f t="shared" si="193"/>
        <v>Health/
Related Services</v>
      </c>
    </row>
    <row r="2261" spans="1:23" x14ac:dyDescent="0.25">
      <c r="A2261">
        <v>29101</v>
      </c>
      <c r="B2261" t="s">
        <v>1322</v>
      </c>
      <c r="C2261">
        <v>0.45800000000000002</v>
      </c>
      <c r="D2261" t="s">
        <v>1264</v>
      </c>
      <c r="E2261">
        <v>100230</v>
      </c>
      <c r="F2261">
        <v>29101</v>
      </c>
      <c r="G2261" t="str">
        <f t="shared" si="191"/>
        <v>29101</v>
      </c>
      <c r="H2261" t="s">
        <v>499</v>
      </c>
      <c r="I2261" t="s">
        <v>1265</v>
      </c>
      <c r="J2261" t="s">
        <v>1266</v>
      </c>
      <c r="K2261" t="s">
        <v>1267</v>
      </c>
      <c r="L2261" t="s">
        <v>1322</v>
      </c>
      <c r="M2261" t="s">
        <v>1323</v>
      </c>
      <c r="N2261">
        <v>21</v>
      </c>
      <c r="O2261" t="str">
        <f t="shared" si="194"/>
        <v>26</v>
      </c>
      <c r="Q2261">
        <v>26</v>
      </c>
      <c r="R2261" t="s">
        <v>1269</v>
      </c>
      <c r="S2261">
        <v>0.45800000000000002</v>
      </c>
      <c r="T2261">
        <v>0.23139999999999999</v>
      </c>
      <c r="U2261">
        <f t="shared" si="195"/>
        <v>0.106</v>
      </c>
      <c r="V2261" t="str">
        <f t="shared" si="192"/>
        <v>Middle Health/
Related Services</v>
      </c>
      <c r="W2261" t="str">
        <f t="shared" si="193"/>
        <v>Health/
Related Services</v>
      </c>
    </row>
    <row r="2262" spans="1:23" x14ac:dyDescent="0.25">
      <c r="A2262">
        <v>29101</v>
      </c>
      <c r="B2262" t="s">
        <v>1291</v>
      </c>
      <c r="C2262">
        <v>0.68200000000000005</v>
      </c>
      <c r="D2262" t="s">
        <v>1264</v>
      </c>
      <c r="E2262">
        <v>100230</v>
      </c>
      <c r="F2262">
        <v>29101</v>
      </c>
      <c r="G2262" t="str">
        <f t="shared" si="191"/>
        <v>29101</v>
      </c>
      <c r="H2262" t="s">
        <v>499</v>
      </c>
      <c r="I2262" t="s">
        <v>1265</v>
      </c>
      <c r="J2262" t="s">
        <v>1266</v>
      </c>
      <c r="K2262" t="s">
        <v>1267</v>
      </c>
      <c r="L2262" t="s">
        <v>1291</v>
      </c>
      <c r="M2262" t="s">
        <v>1292</v>
      </c>
      <c r="N2262">
        <v>1</v>
      </c>
      <c r="O2262" t="str">
        <f t="shared" si="194"/>
        <v>26</v>
      </c>
      <c r="Q2262">
        <v>26</v>
      </c>
      <c r="R2262" t="s">
        <v>1269</v>
      </c>
      <c r="S2262">
        <v>0.68200000000000005</v>
      </c>
      <c r="T2262">
        <v>0.23139999999999999</v>
      </c>
      <c r="U2262">
        <f t="shared" si="195"/>
        <v>0</v>
      </c>
      <c r="V2262" t="str">
        <f t="shared" si="192"/>
        <v>Middle Health/
Related Services</v>
      </c>
      <c r="W2262" t="str">
        <f t="shared" si="193"/>
        <v>Health/
Related Services</v>
      </c>
    </row>
    <row r="2263" spans="1:23" x14ac:dyDescent="0.25">
      <c r="A2263">
        <v>29101</v>
      </c>
      <c r="B2263" t="s">
        <v>1319</v>
      </c>
      <c r="C2263">
        <v>0.86</v>
      </c>
      <c r="D2263" t="s">
        <v>1264</v>
      </c>
      <c r="E2263">
        <v>100230</v>
      </c>
      <c r="F2263">
        <v>29101</v>
      </c>
      <c r="G2263" t="str">
        <f t="shared" si="191"/>
        <v>29101</v>
      </c>
      <c r="H2263" t="s">
        <v>499</v>
      </c>
      <c r="I2263" t="s">
        <v>1265</v>
      </c>
      <c r="J2263" t="s">
        <v>1276</v>
      </c>
      <c r="K2263" t="s">
        <v>1277</v>
      </c>
      <c r="L2263" t="s">
        <v>1319</v>
      </c>
      <c r="M2263" t="s">
        <v>1426</v>
      </c>
      <c r="N2263">
        <v>21</v>
      </c>
      <c r="O2263" t="str">
        <f t="shared" si="194"/>
        <v>39</v>
      </c>
      <c r="P2263">
        <v>39</v>
      </c>
      <c r="R2263" t="s">
        <v>1269</v>
      </c>
      <c r="S2263">
        <v>0.86</v>
      </c>
      <c r="T2263">
        <v>0.23139999999999999</v>
      </c>
      <c r="U2263">
        <f t="shared" si="195"/>
        <v>0.19900000000000001</v>
      </c>
      <c r="V2263" t="str">
        <f t="shared" si="192"/>
        <v>Elementary Orientation &amp; Mobility Specialist</v>
      </c>
      <c r="W2263" t="str">
        <f t="shared" si="193"/>
        <v>Orientation &amp; Mobility Specialist</v>
      </c>
    </row>
    <row r="2264" spans="1:23" x14ac:dyDescent="0.25">
      <c r="A2264">
        <v>29101</v>
      </c>
      <c r="B2264" t="s">
        <v>1364</v>
      </c>
      <c r="C2264">
        <v>0.1</v>
      </c>
      <c r="D2264" t="s">
        <v>1264</v>
      </c>
      <c r="E2264">
        <v>100230</v>
      </c>
      <c r="F2264">
        <v>29101</v>
      </c>
      <c r="G2264" t="str">
        <f t="shared" si="191"/>
        <v>29101</v>
      </c>
      <c r="H2264" t="s">
        <v>499</v>
      </c>
      <c r="I2264" t="s">
        <v>1265</v>
      </c>
      <c r="J2264" t="s">
        <v>1266</v>
      </c>
      <c r="K2264" t="s">
        <v>1267</v>
      </c>
      <c r="L2264" t="s">
        <v>1364</v>
      </c>
      <c r="M2264" t="s">
        <v>1424</v>
      </c>
      <c r="N2264">
        <v>21</v>
      </c>
      <c r="O2264" t="str">
        <f t="shared" si="194"/>
        <v>39</v>
      </c>
      <c r="P2264">
        <v>39</v>
      </c>
      <c r="R2264" t="s">
        <v>1269</v>
      </c>
      <c r="S2264">
        <v>0.1</v>
      </c>
      <c r="T2264">
        <v>0.23139999999999999</v>
      </c>
      <c r="U2264">
        <f t="shared" si="195"/>
        <v>2.3E-2</v>
      </c>
      <c r="V2264" t="str">
        <f t="shared" si="192"/>
        <v>Middle Orientation &amp; Mobility Specialist</v>
      </c>
      <c r="W2264" t="str">
        <f t="shared" si="193"/>
        <v>Orientation &amp; Mobility Specialist</v>
      </c>
    </row>
    <row r="2265" spans="1:23" x14ac:dyDescent="0.25">
      <c r="A2265">
        <v>29101</v>
      </c>
      <c r="B2265" t="s">
        <v>1275</v>
      </c>
      <c r="C2265">
        <v>5.0780000000000003</v>
      </c>
      <c r="D2265" t="s">
        <v>1264</v>
      </c>
      <c r="E2265">
        <v>100230</v>
      </c>
      <c r="F2265">
        <v>29101</v>
      </c>
      <c r="G2265" t="str">
        <f t="shared" si="191"/>
        <v>29101</v>
      </c>
      <c r="H2265" t="s">
        <v>499</v>
      </c>
      <c r="I2265" t="s">
        <v>1265</v>
      </c>
      <c r="J2265" t="s">
        <v>1276</v>
      </c>
      <c r="K2265" t="s">
        <v>1277</v>
      </c>
      <c r="L2265" t="s">
        <v>1275</v>
      </c>
      <c r="M2265" t="s">
        <v>1278</v>
      </c>
      <c r="N2265">
        <v>1</v>
      </c>
      <c r="O2265" t="str">
        <f t="shared" si="194"/>
        <v>42</v>
      </c>
      <c r="P2265">
        <v>42</v>
      </c>
      <c r="R2265" t="s">
        <v>1269</v>
      </c>
      <c r="S2265">
        <v>5.0780000000000003</v>
      </c>
      <c r="T2265">
        <v>0.23139999999999999</v>
      </c>
      <c r="U2265">
        <f t="shared" si="195"/>
        <v>0</v>
      </c>
      <c r="V2265" t="str">
        <f t="shared" si="192"/>
        <v>Elementary Counselor</v>
      </c>
      <c r="W2265" t="str">
        <f t="shared" si="193"/>
        <v>Counselor</v>
      </c>
    </row>
    <row r="2266" spans="1:23" x14ac:dyDescent="0.25">
      <c r="A2266">
        <v>29101</v>
      </c>
      <c r="B2266" t="s">
        <v>1270</v>
      </c>
      <c r="C2266">
        <v>3.3690000000000002</v>
      </c>
      <c r="D2266" t="s">
        <v>1264</v>
      </c>
      <c r="E2266">
        <v>100230</v>
      </c>
      <c r="F2266">
        <v>29101</v>
      </c>
      <c r="G2266" t="str">
        <f t="shared" si="191"/>
        <v>29101</v>
      </c>
      <c r="H2266" t="s">
        <v>499</v>
      </c>
      <c r="I2266" t="s">
        <v>1265</v>
      </c>
      <c r="J2266" t="s">
        <v>1271</v>
      </c>
      <c r="K2266" t="s">
        <v>1272</v>
      </c>
      <c r="L2266" t="s">
        <v>1270</v>
      </c>
      <c r="M2266" t="s">
        <v>1273</v>
      </c>
      <c r="N2266">
        <v>1</v>
      </c>
      <c r="O2266" t="str">
        <f t="shared" si="194"/>
        <v>42</v>
      </c>
      <c r="P2266">
        <v>42</v>
      </c>
      <c r="R2266" t="s">
        <v>1269</v>
      </c>
      <c r="S2266">
        <v>3.3690000000000002</v>
      </c>
      <c r="T2266">
        <v>0.23139999999999999</v>
      </c>
      <c r="U2266">
        <f t="shared" si="195"/>
        <v>0</v>
      </c>
      <c r="V2266" t="str">
        <f t="shared" si="192"/>
        <v>High Counselor</v>
      </c>
      <c r="W2266" t="str">
        <f t="shared" si="193"/>
        <v>Counselor</v>
      </c>
    </row>
    <row r="2267" spans="1:23" x14ac:dyDescent="0.25">
      <c r="A2267">
        <v>29101</v>
      </c>
      <c r="B2267" t="s">
        <v>1263</v>
      </c>
      <c r="C2267">
        <v>2</v>
      </c>
      <c r="D2267" t="s">
        <v>1264</v>
      </c>
      <c r="E2267">
        <v>100230</v>
      </c>
      <c r="F2267">
        <v>29101</v>
      </c>
      <c r="G2267" t="str">
        <f t="shared" si="191"/>
        <v>29101</v>
      </c>
      <c r="H2267" t="s">
        <v>499</v>
      </c>
      <c r="I2267" t="s">
        <v>1265</v>
      </c>
      <c r="J2267" t="s">
        <v>1266</v>
      </c>
      <c r="K2267" t="s">
        <v>1267</v>
      </c>
      <c r="L2267" t="s">
        <v>1263</v>
      </c>
      <c r="M2267" t="s">
        <v>1268</v>
      </c>
      <c r="N2267">
        <v>1</v>
      </c>
      <c r="O2267" t="str">
        <f t="shared" si="194"/>
        <v>42</v>
      </c>
      <c r="P2267">
        <v>42</v>
      </c>
      <c r="R2267" t="s">
        <v>1269</v>
      </c>
      <c r="S2267">
        <v>2</v>
      </c>
      <c r="T2267">
        <v>0.23139999999999999</v>
      </c>
      <c r="U2267">
        <f t="shared" si="195"/>
        <v>0</v>
      </c>
      <c r="V2267" t="str">
        <f t="shared" si="192"/>
        <v>Middle Counselor</v>
      </c>
      <c r="W2267" t="str">
        <f t="shared" si="193"/>
        <v>Counselor</v>
      </c>
    </row>
    <row r="2268" spans="1:23" x14ac:dyDescent="0.25">
      <c r="A2268">
        <v>29101</v>
      </c>
      <c r="B2268" t="s">
        <v>1289</v>
      </c>
      <c r="C2268">
        <v>3.06</v>
      </c>
      <c r="D2268" t="s">
        <v>1264</v>
      </c>
      <c r="E2268">
        <v>100230</v>
      </c>
      <c r="F2268">
        <v>29101</v>
      </c>
      <c r="G2268" t="str">
        <f t="shared" si="191"/>
        <v>29101</v>
      </c>
      <c r="H2268" t="s">
        <v>499</v>
      </c>
      <c r="I2268" t="s">
        <v>1265</v>
      </c>
      <c r="J2268" t="s">
        <v>1276</v>
      </c>
      <c r="K2268" t="s">
        <v>1277</v>
      </c>
      <c r="L2268" t="s">
        <v>1289</v>
      </c>
      <c r="M2268" t="s">
        <v>1307</v>
      </c>
      <c r="N2268">
        <v>21</v>
      </c>
      <c r="O2268" t="str">
        <f t="shared" si="194"/>
        <v>43</v>
      </c>
      <c r="P2268">
        <v>43</v>
      </c>
      <c r="R2268" t="s">
        <v>1269</v>
      </c>
      <c r="S2268">
        <v>3.06</v>
      </c>
      <c r="T2268">
        <v>0.23139999999999999</v>
      </c>
      <c r="U2268">
        <f t="shared" si="195"/>
        <v>0.70799999999999996</v>
      </c>
      <c r="V2268" t="str">
        <f t="shared" si="192"/>
        <v>Elementary Occupational Therapist</v>
      </c>
      <c r="W2268" t="str">
        <f t="shared" si="193"/>
        <v>Occupational Therapist</v>
      </c>
    </row>
    <row r="2269" spans="1:23" x14ac:dyDescent="0.25">
      <c r="A2269">
        <v>29101</v>
      </c>
      <c r="B2269" t="s">
        <v>1387</v>
      </c>
      <c r="C2269">
        <v>0.22</v>
      </c>
      <c r="D2269" t="s">
        <v>1264</v>
      </c>
      <c r="E2269">
        <v>100230</v>
      </c>
      <c r="F2269">
        <v>29101</v>
      </c>
      <c r="G2269" t="str">
        <f t="shared" si="191"/>
        <v>29101</v>
      </c>
      <c r="H2269" t="s">
        <v>499</v>
      </c>
      <c r="I2269" t="s">
        <v>1265</v>
      </c>
      <c r="J2269" t="s">
        <v>1271</v>
      </c>
      <c r="K2269" t="s">
        <v>1272</v>
      </c>
      <c r="L2269" t="s">
        <v>1387</v>
      </c>
      <c r="M2269" t="s">
        <v>1406</v>
      </c>
      <c r="N2269">
        <v>21</v>
      </c>
      <c r="O2269" t="str">
        <f t="shared" si="194"/>
        <v>43</v>
      </c>
      <c r="P2269">
        <v>43</v>
      </c>
      <c r="R2269" t="s">
        <v>1269</v>
      </c>
      <c r="S2269">
        <v>0.22</v>
      </c>
      <c r="T2269">
        <v>0.23139999999999999</v>
      </c>
      <c r="U2269">
        <f t="shared" si="195"/>
        <v>5.0999999999999997E-2</v>
      </c>
      <c r="V2269" t="str">
        <f t="shared" si="192"/>
        <v>High Occupational Therapist</v>
      </c>
      <c r="W2269" t="str">
        <f t="shared" si="193"/>
        <v>Occupational Therapist</v>
      </c>
    </row>
    <row r="2270" spans="1:23" x14ac:dyDescent="0.25">
      <c r="A2270">
        <v>29101</v>
      </c>
      <c r="B2270" t="s">
        <v>1303</v>
      </c>
      <c r="C2270">
        <v>0.1</v>
      </c>
      <c r="D2270" t="s">
        <v>1264</v>
      </c>
      <c r="E2270">
        <v>100230</v>
      </c>
      <c r="F2270">
        <v>29101</v>
      </c>
      <c r="G2270" t="str">
        <f t="shared" si="191"/>
        <v>29101</v>
      </c>
      <c r="H2270" t="s">
        <v>499</v>
      </c>
      <c r="I2270" t="s">
        <v>1265</v>
      </c>
      <c r="J2270" t="s">
        <v>1266</v>
      </c>
      <c r="K2270" t="s">
        <v>1267</v>
      </c>
      <c r="L2270" t="s">
        <v>1303</v>
      </c>
      <c r="M2270" t="s">
        <v>1304</v>
      </c>
      <c r="N2270">
        <v>21</v>
      </c>
      <c r="O2270" t="str">
        <f t="shared" si="194"/>
        <v>43</v>
      </c>
      <c r="P2270">
        <v>43</v>
      </c>
      <c r="R2270" t="s">
        <v>1269</v>
      </c>
      <c r="S2270">
        <v>0.1</v>
      </c>
      <c r="T2270">
        <v>0.23139999999999999</v>
      </c>
      <c r="U2270">
        <f t="shared" si="195"/>
        <v>2.3E-2</v>
      </c>
      <c r="V2270" t="str">
        <f t="shared" si="192"/>
        <v>Middle Occupational Therapist</v>
      </c>
      <c r="W2270" t="str">
        <f t="shared" si="193"/>
        <v>Occupational Therapist</v>
      </c>
    </row>
    <row r="2271" spans="1:23" x14ac:dyDescent="0.25">
      <c r="A2271">
        <v>29101</v>
      </c>
      <c r="B2271" t="s">
        <v>1294</v>
      </c>
      <c r="C2271">
        <v>7.03</v>
      </c>
      <c r="D2271" t="s">
        <v>1264</v>
      </c>
      <c r="E2271">
        <v>100230</v>
      </c>
      <c r="F2271">
        <v>29101</v>
      </c>
      <c r="G2271" t="str">
        <f t="shared" si="191"/>
        <v>29101</v>
      </c>
      <c r="H2271" t="s">
        <v>499</v>
      </c>
      <c r="I2271" t="s">
        <v>1265</v>
      </c>
      <c r="J2271" t="s">
        <v>1276</v>
      </c>
      <c r="K2271" t="s">
        <v>1277</v>
      </c>
      <c r="L2271" t="s">
        <v>1294</v>
      </c>
      <c r="M2271" t="s">
        <v>1354</v>
      </c>
      <c r="N2271">
        <v>21</v>
      </c>
      <c r="O2271" t="str">
        <f t="shared" si="194"/>
        <v>45</v>
      </c>
      <c r="P2271">
        <v>45</v>
      </c>
      <c r="R2271" t="s">
        <v>1269</v>
      </c>
      <c r="S2271">
        <v>7.03</v>
      </c>
      <c r="T2271">
        <v>0.23139999999999999</v>
      </c>
      <c r="U2271">
        <f t="shared" si="195"/>
        <v>1.627</v>
      </c>
      <c r="V2271" t="str">
        <f t="shared" si="192"/>
        <v>Elementary Speech, Language Pathway/
Audio</v>
      </c>
      <c r="W2271" t="str">
        <f t="shared" si="193"/>
        <v>Speech, Language Pathway/
Audio</v>
      </c>
    </row>
    <row r="2272" spans="1:23" x14ac:dyDescent="0.25">
      <c r="A2272">
        <v>29101</v>
      </c>
      <c r="B2272" t="s">
        <v>1326</v>
      </c>
      <c r="C2272">
        <v>0.55000000000000004</v>
      </c>
      <c r="D2272" t="s">
        <v>1264</v>
      </c>
      <c r="E2272">
        <v>100230</v>
      </c>
      <c r="F2272">
        <v>29101</v>
      </c>
      <c r="G2272" t="str">
        <f t="shared" si="191"/>
        <v>29101</v>
      </c>
      <c r="H2272" t="s">
        <v>499</v>
      </c>
      <c r="I2272" t="s">
        <v>1265</v>
      </c>
      <c r="J2272" t="s">
        <v>1271</v>
      </c>
      <c r="K2272" t="s">
        <v>1272</v>
      </c>
      <c r="L2272" t="s">
        <v>1326</v>
      </c>
      <c r="M2272" t="s">
        <v>1353</v>
      </c>
      <c r="N2272">
        <v>21</v>
      </c>
      <c r="O2272" t="str">
        <f t="shared" si="194"/>
        <v>45</v>
      </c>
      <c r="P2272">
        <v>45</v>
      </c>
      <c r="R2272" t="s">
        <v>1269</v>
      </c>
      <c r="S2272">
        <v>0.55000000000000004</v>
      </c>
      <c r="T2272">
        <v>0.23139999999999999</v>
      </c>
      <c r="U2272">
        <f t="shared" si="195"/>
        <v>0.127</v>
      </c>
      <c r="V2272" t="str">
        <f t="shared" si="192"/>
        <v>High Speech, Language Pathway/
Audio</v>
      </c>
      <c r="W2272" t="str">
        <f t="shared" si="193"/>
        <v>Speech, Language Pathway/
Audio</v>
      </c>
    </row>
    <row r="2273" spans="1:23" x14ac:dyDescent="0.25">
      <c r="A2273">
        <v>29101</v>
      </c>
      <c r="B2273" t="s">
        <v>1312</v>
      </c>
      <c r="C2273">
        <v>0.4</v>
      </c>
      <c r="D2273" t="s">
        <v>1264</v>
      </c>
      <c r="E2273">
        <v>100230</v>
      </c>
      <c r="F2273">
        <v>29101</v>
      </c>
      <c r="G2273" t="str">
        <f t="shared" si="191"/>
        <v>29101</v>
      </c>
      <c r="H2273" t="s">
        <v>499</v>
      </c>
      <c r="I2273" t="s">
        <v>1265</v>
      </c>
      <c r="J2273" t="s">
        <v>1266</v>
      </c>
      <c r="K2273" t="s">
        <v>1267</v>
      </c>
      <c r="L2273" t="s">
        <v>1312</v>
      </c>
      <c r="M2273" t="s">
        <v>1351</v>
      </c>
      <c r="N2273">
        <v>21</v>
      </c>
      <c r="O2273" t="str">
        <f t="shared" si="194"/>
        <v>45</v>
      </c>
      <c r="P2273">
        <v>45</v>
      </c>
      <c r="R2273" t="s">
        <v>1269</v>
      </c>
      <c r="S2273">
        <v>0.4</v>
      </c>
      <c r="T2273">
        <v>0.23139999999999999</v>
      </c>
      <c r="U2273">
        <f t="shared" si="195"/>
        <v>9.2999999999999999E-2</v>
      </c>
      <c r="V2273" t="str">
        <f t="shared" si="192"/>
        <v>Middle Speech, Language Pathway/
Audio</v>
      </c>
      <c r="W2273" t="str">
        <f t="shared" si="193"/>
        <v>Speech, Language Pathway/
Audio</v>
      </c>
    </row>
    <row r="2274" spans="1:23" x14ac:dyDescent="0.25">
      <c r="A2274">
        <v>29101</v>
      </c>
      <c r="B2274" t="s">
        <v>1298</v>
      </c>
      <c r="C2274">
        <v>2.95</v>
      </c>
      <c r="D2274" t="s">
        <v>1264</v>
      </c>
      <c r="E2274">
        <v>100230</v>
      </c>
      <c r="F2274">
        <v>29101</v>
      </c>
      <c r="G2274" t="str">
        <f t="shared" si="191"/>
        <v>29101</v>
      </c>
      <c r="H2274" t="s">
        <v>499</v>
      </c>
      <c r="I2274" t="s">
        <v>1265</v>
      </c>
      <c r="J2274" t="s">
        <v>1276</v>
      </c>
      <c r="K2274" t="s">
        <v>1277</v>
      </c>
      <c r="L2274" t="s">
        <v>1298</v>
      </c>
      <c r="M2274" t="s">
        <v>1349</v>
      </c>
      <c r="N2274">
        <v>21</v>
      </c>
      <c r="O2274" t="str">
        <f t="shared" si="194"/>
        <v>46</v>
      </c>
      <c r="P2274">
        <v>46</v>
      </c>
      <c r="R2274" t="s">
        <v>1269</v>
      </c>
      <c r="S2274">
        <v>2.95</v>
      </c>
      <c r="T2274">
        <v>0.23139999999999999</v>
      </c>
      <c r="U2274">
        <f t="shared" si="195"/>
        <v>0.68300000000000005</v>
      </c>
      <c r="V2274" t="str">
        <f t="shared" si="192"/>
        <v>Elementary Psychologist</v>
      </c>
      <c r="W2274" t="str">
        <f t="shared" si="193"/>
        <v>Psychologist</v>
      </c>
    </row>
    <row r="2275" spans="1:23" x14ac:dyDescent="0.25">
      <c r="A2275">
        <v>29101</v>
      </c>
      <c r="B2275" t="s">
        <v>1309</v>
      </c>
      <c r="C2275">
        <v>1.3</v>
      </c>
      <c r="D2275" t="s">
        <v>1264</v>
      </c>
      <c r="E2275">
        <v>100230</v>
      </c>
      <c r="F2275">
        <v>29101</v>
      </c>
      <c r="G2275" t="str">
        <f t="shared" si="191"/>
        <v>29101</v>
      </c>
      <c r="H2275" t="s">
        <v>499</v>
      </c>
      <c r="I2275" t="s">
        <v>1265</v>
      </c>
      <c r="J2275" t="s">
        <v>1271</v>
      </c>
      <c r="K2275" t="s">
        <v>1272</v>
      </c>
      <c r="L2275" t="s">
        <v>1309</v>
      </c>
      <c r="M2275" t="s">
        <v>1310</v>
      </c>
      <c r="N2275">
        <v>21</v>
      </c>
      <c r="O2275" t="str">
        <f t="shared" si="194"/>
        <v>46</v>
      </c>
      <c r="P2275">
        <v>46</v>
      </c>
      <c r="R2275" t="s">
        <v>1269</v>
      </c>
      <c r="S2275">
        <v>1.3</v>
      </c>
      <c r="T2275">
        <v>0.23139999999999999</v>
      </c>
      <c r="U2275">
        <f t="shared" si="195"/>
        <v>0.30099999999999999</v>
      </c>
      <c r="V2275" t="str">
        <f t="shared" si="192"/>
        <v>High Psychologist</v>
      </c>
      <c r="W2275" t="str">
        <f t="shared" si="193"/>
        <v>Psychologist</v>
      </c>
    </row>
    <row r="2276" spans="1:23" x14ac:dyDescent="0.25">
      <c r="A2276">
        <v>29101</v>
      </c>
      <c r="B2276" t="s">
        <v>1345</v>
      </c>
      <c r="C2276">
        <v>0.9</v>
      </c>
      <c r="D2276" t="s">
        <v>1264</v>
      </c>
      <c r="E2276">
        <v>100230</v>
      </c>
      <c r="F2276">
        <v>29101</v>
      </c>
      <c r="G2276" t="str">
        <f t="shared" si="191"/>
        <v>29101</v>
      </c>
      <c r="H2276" t="s">
        <v>499</v>
      </c>
      <c r="I2276" t="s">
        <v>1265</v>
      </c>
      <c r="J2276" t="s">
        <v>1266</v>
      </c>
      <c r="K2276" t="s">
        <v>1267</v>
      </c>
      <c r="L2276" t="s">
        <v>1345</v>
      </c>
      <c r="M2276" t="s">
        <v>1346</v>
      </c>
      <c r="N2276">
        <v>21</v>
      </c>
      <c r="O2276" t="str">
        <f t="shared" si="194"/>
        <v>46</v>
      </c>
      <c r="P2276">
        <v>46</v>
      </c>
      <c r="R2276" t="s">
        <v>1269</v>
      </c>
      <c r="S2276">
        <v>0.9</v>
      </c>
      <c r="T2276">
        <v>0.23139999999999999</v>
      </c>
      <c r="U2276">
        <f t="shared" si="195"/>
        <v>0.20799999999999999</v>
      </c>
      <c r="V2276" t="str">
        <f t="shared" si="192"/>
        <v>Middle Psychologist</v>
      </c>
      <c r="W2276" t="str">
        <f t="shared" si="193"/>
        <v>Psychologist</v>
      </c>
    </row>
    <row r="2277" spans="1:23" x14ac:dyDescent="0.25">
      <c r="A2277">
        <v>29101</v>
      </c>
      <c r="B2277" t="s">
        <v>1335</v>
      </c>
      <c r="C2277">
        <v>0.54300000000000004</v>
      </c>
      <c r="D2277" t="s">
        <v>1264</v>
      </c>
      <c r="E2277">
        <v>100230</v>
      </c>
      <c r="F2277">
        <v>29101</v>
      </c>
      <c r="G2277" t="str">
        <f t="shared" si="191"/>
        <v>29101</v>
      </c>
      <c r="H2277" t="s">
        <v>499</v>
      </c>
      <c r="I2277" t="s">
        <v>1265</v>
      </c>
      <c r="J2277" t="s">
        <v>1276</v>
      </c>
      <c r="K2277" t="s">
        <v>1277</v>
      </c>
      <c r="L2277" t="s">
        <v>1335</v>
      </c>
      <c r="M2277" t="s">
        <v>1344</v>
      </c>
      <c r="N2277">
        <v>1</v>
      </c>
      <c r="O2277" t="str">
        <f t="shared" si="194"/>
        <v>47</v>
      </c>
      <c r="P2277">
        <v>47</v>
      </c>
      <c r="R2277" t="s">
        <v>1269</v>
      </c>
      <c r="S2277">
        <v>0.54300000000000004</v>
      </c>
      <c r="T2277">
        <v>0.23139999999999999</v>
      </c>
      <c r="U2277">
        <f t="shared" si="195"/>
        <v>0</v>
      </c>
      <c r="V2277" t="str">
        <f t="shared" si="192"/>
        <v>Elementary Nurse</v>
      </c>
      <c r="W2277" t="str">
        <f t="shared" si="193"/>
        <v>Nurse</v>
      </c>
    </row>
    <row r="2278" spans="1:23" x14ac:dyDescent="0.25">
      <c r="A2278">
        <v>29101</v>
      </c>
      <c r="B2278" t="s">
        <v>1341</v>
      </c>
      <c r="C2278">
        <v>0.30599999999999999</v>
      </c>
      <c r="D2278" t="s">
        <v>1264</v>
      </c>
      <c r="E2278">
        <v>100230</v>
      </c>
      <c r="F2278">
        <v>29101</v>
      </c>
      <c r="G2278" t="str">
        <f t="shared" si="191"/>
        <v>29101</v>
      </c>
      <c r="H2278" t="s">
        <v>499</v>
      </c>
      <c r="I2278" t="s">
        <v>1265</v>
      </c>
      <c r="J2278" t="s">
        <v>1271</v>
      </c>
      <c r="K2278" t="s">
        <v>1272</v>
      </c>
      <c r="L2278" t="s">
        <v>1341</v>
      </c>
      <c r="M2278" t="s">
        <v>1342</v>
      </c>
      <c r="N2278">
        <v>1</v>
      </c>
      <c r="O2278" t="str">
        <f t="shared" si="194"/>
        <v>47</v>
      </c>
      <c r="P2278">
        <v>47</v>
      </c>
      <c r="R2278" t="s">
        <v>1269</v>
      </c>
      <c r="S2278">
        <v>0.30599999999999999</v>
      </c>
      <c r="T2278">
        <v>0.23139999999999999</v>
      </c>
      <c r="U2278">
        <f t="shared" si="195"/>
        <v>0</v>
      </c>
      <c r="V2278" t="str">
        <f t="shared" si="192"/>
        <v>High Nurse</v>
      </c>
      <c r="W2278" t="str">
        <f t="shared" si="193"/>
        <v>Nurse</v>
      </c>
    </row>
    <row r="2279" spans="1:23" x14ac:dyDescent="0.25">
      <c r="A2279">
        <v>29101</v>
      </c>
      <c r="B2279" t="s">
        <v>1338</v>
      </c>
      <c r="C2279">
        <v>0.151</v>
      </c>
      <c r="D2279" t="s">
        <v>1264</v>
      </c>
      <c r="E2279">
        <v>100230</v>
      </c>
      <c r="F2279">
        <v>29101</v>
      </c>
      <c r="G2279" t="str">
        <f t="shared" si="191"/>
        <v>29101</v>
      </c>
      <c r="H2279" t="s">
        <v>499</v>
      </c>
      <c r="I2279" t="s">
        <v>1265</v>
      </c>
      <c r="J2279" t="s">
        <v>1266</v>
      </c>
      <c r="K2279" t="s">
        <v>1267</v>
      </c>
      <c r="L2279" t="s">
        <v>1338</v>
      </c>
      <c r="M2279" t="s">
        <v>1339</v>
      </c>
      <c r="N2279">
        <v>1</v>
      </c>
      <c r="O2279" t="str">
        <f t="shared" si="194"/>
        <v>47</v>
      </c>
      <c r="P2279">
        <v>47</v>
      </c>
      <c r="R2279" t="s">
        <v>1269</v>
      </c>
      <c r="S2279">
        <v>0.151</v>
      </c>
      <c r="T2279">
        <v>0.23139999999999999</v>
      </c>
      <c r="U2279">
        <f t="shared" si="195"/>
        <v>0</v>
      </c>
      <c r="V2279" t="str">
        <f t="shared" si="192"/>
        <v>Middle Nurse</v>
      </c>
      <c r="W2279" t="str">
        <f t="shared" si="193"/>
        <v>Nurse</v>
      </c>
    </row>
    <row r="2280" spans="1:23" x14ac:dyDescent="0.25">
      <c r="A2280">
        <v>29101</v>
      </c>
      <c r="B2280" t="s">
        <v>1302</v>
      </c>
      <c r="C2280">
        <v>1.0149999999999999</v>
      </c>
      <c r="D2280" t="s">
        <v>1264</v>
      </c>
      <c r="E2280">
        <v>100230</v>
      </c>
      <c r="F2280">
        <v>29101</v>
      </c>
      <c r="G2280" t="str">
        <f t="shared" si="191"/>
        <v>29101</v>
      </c>
      <c r="H2280" t="s">
        <v>499</v>
      </c>
      <c r="I2280" t="s">
        <v>1265</v>
      </c>
      <c r="J2280" t="s">
        <v>1276</v>
      </c>
      <c r="K2280" t="s">
        <v>1277</v>
      </c>
      <c r="L2280" t="s">
        <v>1302</v>
      </c>
      <c r="M2280" t="s">
        <v>1336</v>
      </c>
      <c r="N2280">
        <v>21</v>
      </c>
      <c r="O2280" t="str">
        <f t="shared" si="194"/>
        <v>48</v>
      </c>
      <c r="P2280">
        <v>48</v>
      </c>
      <c r="R2280" t="s">
        <v>1269</v>
      </c>
      <c r="S2280">
        <v>1.0149999999999999</v>
      </c>
      <c r="T2280">
        <v>0.23139999999999999</v>
      </c>
      <c r="U2280">
        <f t="shared" si="195"/>
        <v>0.23499999999999999</v>
      </c>
      <c r="V2280" t="str">
        <f t="shared" si="192"/>
        <v>Elementary Physical Therapist</v>
      </c>
      <c r="W2280" t="str">
        <f t="shared" si="193"/>
        <v>Physical Therapist</v>
      </c>
    </row>
    <row r="2281" spans="1:23" x14ac:dyDescent="0.25">
      <c r="A2281">
        <v>29101</v>
      </c>
      <c r="B2281" t="s">
        <v>1330</v>
      </c>
      <c r="C2281">
        <v>0.161</v>
      </c>
      <c r="D2281" t="s">
        <v>1264</v>
      </c>
      <c r="E2281">
        <v>100230</v>
      </c>
      <c r="F2281">
        <v>29101</v>
      </c>
      <c r="G2281" t="str">
        <f t="shared" si="191"/>
        <v>29101</v>
      </c>
      <c r="H2281" t="s">
        <v>499</v>
      </c>
      <c r="I2281" t="s">
        <v>1265</v>
      </c>
      <c r="J2281" t="s">
        <v>1271</v>
      </c>
      <c r="K2281" t="s">
        <v>1272</v>
      </c>
      <c r="L2281" t="s">
        <v>1330</v>
      </c>
      <c r="M2281" t="s">
        <v>1367</v>
      </c>
      <c r="N2281">
        <v>21</v>
      </c>
      <c r="O2281" t="str">
        <f t="shared" si="194"/>
        <v>48</v>
      </c>
      <c r="P2281">
        <v>48</v>
      </c>
      <c r="R2281" t="s">
        <v>1269</v>
      </c>
      <c r="S2281">
        <v>0.161</v>
      </c>
      <c r="T2281">
        <v>0.23139999999999999</v>
      </c>
      <c r="U2281">
        <f t="shared" si="195"/>
        <v>3.6999999999999998E-2</v>
      </c>
      <c r="V2281" t="str">
        <f t="shared" si="192"/>
        <v>High Physical Therapist</v>
      </c>
      <c r="W2281" t="str">
        <f t="shared" si="193"/>
        <v>Physical Therapist</v>
      </c>
    </row>
    <row r="2282" spans="1:23" x14ac:dyDescent="0.25">
      <c r="A2282">
        <v>29101</v>
      </c>
      <c r="B2282" t="s">
        <v>1316</v>
      </c>
      <c r="C2282">
        <v>0.13300000000000001</v>
      </c>
      <c r="D2282" t="s">
        <v>1264</v>
      </c>
      <c r="E2282">
        <v>100230</v>
      </c>
      <c r="F2282">
        <v>29101</v>
      </c>
      <c r="G2282" t="str">
        <f t="shared" si="191"/>
        <v>29101</v>
      </c>
      <c r="H2282" t="s">
        <v>499</v>
      </c>
      <c r="I2282" t="s">
        <v>1265</v>
      </c>
      <c r="J2282" t="s">
        <v>1266</v>
      </c>
      <c r="K2282" t="s">
        <v>1267</v>
      </c>
      <c r="L2282" t="s">
        <v>1316</v>
      </c>
      <c r="M2282" t="s">
        <v>1366</v>
      </c>
      <c r="N2282">
        <v>21</v>
      </c>
      <c r="O2282" t="str">
        <f t="shared" si="194"/>
        <v>48</v>
      </c>
      <c r="P2282">
        <v>48</v>
      </c>
      <c r="R2282" t="s">
        <v>1269</v>
      </c>
      <c r="S2282">
        <v>0.13300000000000001</v>
      </c>
      <c r="T2282">
        <v>0.23139999999999999</v>
      </c>
      <c r="U2282">
        <f t="shared" si="195"/>
        <v>3.1E-2</v>
      </c>
      <c r="V2282" t="str">
        <f t="shared" si="192"/>
        <v>Middle Physical Therapist</v>
      </c>
      <c r="W2282" t="str">
        <f t="shared" si="193"/>
        <v>Physical Therapist</v>
      </c>
    </row>
    <row r="2283" spans="1:23" x14ac:dyDescent="0.25">
      <c r="A2283">
        <v>29101</v>
      </c>
      <c r="B2283" t="s">
        <v>1340</v>
      </c>
      <c r="C2283">
        <v>0.184</v>
      </c>
      <c r="D2283" t="s">
        <v>1264</v>
      </c>
      <c r="E2283">
        <v>100230</v>
      </c>
      <c r="F2283">
        <v>29101</v>
      </c>
      <c r="G2283" t="str">
        <f t="shared" si="191"/>
        <v>29101</v>
      </c>
      <c r="H2283" t="s">
        <v>499</v>
      </c>
      <c r="I2283" t="s">
        <v>1265</v>
      </c>
      <c r="J2283" t="s">
        <v>1276</v>
      </c>
      <c r="K2283" t="s">
        <v>1277</v>
      </c>
      <c r="L2283" t="s">
        <v>1340</v>
      </c>
      <c r="M2283" t="s">
        <v>1395</v>
      </c>
      <c r="N2283">
        <v>21</v>
      </c>
      <c r="O2283" t="str">
        <f t="shared" si="194"/>
        <v>49</v>
      </c>
      <c r="P2283">
        <v>49</v>
      </c>
      <c r="R2283" t="s">
        <v>1269</v>
      </c>
      <c r="S2283">
        <v>0.184</v>
      </c>
      <c r="T2283">
        <v>0.23139999999999999</v>
      </c>
      <c r="U2283">
        <f t="shared" si="195"/>
        <v>4.2999999999999997E-2</v>
      </c>
      <c r="V2283" t="str">
        <f t="shared" si="192"/>
        <v>Elementary Behavior Analyst</v>
      </c>
      <c r="W2283" t="str">
        <f t="shared" si="193"/>
        <v>Behavior Analyst</v>
      </c>
    </row>
    <row r="2284" spans="1:23" x14ac:dyDescent="0.25">
      <c r="A2284">
        <v>29101</v>
      </c>
      <c r="B2284" t="s">
        <v>1343</v>
      </c>
      <c r="C2284">
        <v>0.73599999999999999</v>
      </c>
      <c r="D2284" t="s">
        <v>1264</v>
      </c>
      <c r="E2284">
        <v>100230</v>
      </c>
      <c r="F2284">
        <v>29101</v>
      </c>
      <c r="G2284" t="str">
        <f t="shared" si="191"/>
        <v>29101</v>
      </c>
      <c r="H2284" t="s">
        <v>499</v>
      </c>
      <c r="I2284" t="s">
        <v>1265</v>
      </c>
      <c r="J2284" t="s">
        <v>1276</v>
      </c>
      <c r="K2284" t="s">
        <v>1277</v>
      </c>
      <c r="L2284" t="s">
        <v>1343</v>
      </c>
      <c r="M2284" t="s">
        <v>1434</v>
      </c>
      <c r="N2284">
        <v>1</v>
      </c>
      <c r="O2284" t="str">
        <f t="shared" si="194"/>
        <v>49</v>
      </c>
      <c r="P2284">
        <v>49</v>
      </c>
      <c r="R2284" t="s">
        <v>1269</v>
      </c>
      <c r="S2284">
        <v>0.73599999999999999</v>
      </c>
      <c r="T2284">
        <v>0.23139999999999999</v>
      </c>
      <c r="U2284">
        <f t="shared" si="195"/>
        <v>0</v>
      </c>
      <c r="V2284" t="str">
        <f t="shared" si="192"/>
        <v>Elementary Behavior Analyst</v>
      </c>
      <c r="W2284" t="str">
        <f t="shared" si="193"/>
        <v>Behavior Analyst</v>
      </c>
    </row>
    <row r="2285" spans="1:23" x14ac:dyDescent="0.25">
      <c r="A2285">
        <v>29101</v>
      </c>
      <c r="B2285" t="s">
        <v>1392</v>
      </c>
      <c r="C2285">
        <v>8.0000000000000002E-3</v>
      </c>
      <c r="D2285" t="s">
        <v>1264</v>
      </c>
      <c r="E2285">
        <v>100230</v>
      </c>
      <c r="F2285">
        <v>29101</v>
      </c>
      <c r="G2285" t="str">
        <f t="shared" si="191"/>
        <v>29101</v>
      </c>
      <c r="H2285" t="s">
        <v>499</v>
      </c>
      <c r="I2285" t="s">
        <v>1265</v>
      </c>
      <c r="J2285" t="s">
        <v>1271</v>
      </c>
      <c r="K2285" t="s">
        <v>1272</v>
      </c>
      <c r="L2285" t="s">
        <v>1392</v>
      </c>
      <c r="M2285" t="s">
        <v>1393</v>
      </c>
      <c r="N2285">
        <v>21</v>
      </c>
      <c r="O2285" t="str">
        <f t="shared" si="194"/>
        <v>49</v>
      </c>
      <c r="P2285">
        <v>49</v>
      </c>
      <c r="R2285" t="s">
        <v>1269</v>
      </c>
      <c r="S2285">
        <v>8.0000000000000002E-3</v>
      </c>
      <c r="T2285">
        <v>0.23139999999999999</v>
      </c>
      <c r="U2285">
        <f t="shared" si="195"/>
        <v>2E-3</v>
      </c>
      <c r="V2285" t="str">
        <f t="shared" si="192"/>
        <v>High Behavior Analyst</v>
      </c>
      <c r="W2285" t="str">
        <f t="shared" si="193"/>
        <v>Behavior Analyst</v>
      </c>
    </row>
    <row r="2286" spans="1:23" x14ac:dyDescent="0.25">
      <c r="A2286">
        <v>29101</v>
      </c>
      <c r="B2286" t="s">
        <v>1399</v>
      </c>
      <c r="C2286">
        <v>3.2000000000000001E-2</v>
      </c>
      <c r="D2286" t="s">
        <v>1264</v>
      </c>
      <c r="E2286">
        <v>100230</v>
      </c>
      <c r="F2286">
        <v>29101</v>
      </c>
      <c r="G2286" t="str">
        <f t="shared" si="191"/>
        <v>29101</v>
      </c>
      <c r="H2286" t="s">
        <v>499</v>
      </c>
      <c r="I2286" t="s">
        <v>1265</v>
      </c>
      <c r="J2286" t="s">
        <v>1271</v>
      </c>
      <c r="K2286" t="s">
        <v>1272</v>
      </c>
      <c r="L2286" t="s">
        <v>1399</v>
      </c>
      <c r="M2286" t="s">
        <v>1410</v>
      </c>
      <c r="N2286">
        <v>1</v>
      </c>
      <c r="O2286" t="str">
        <f t="shared" si="194"/>
        <v>49</v>
      </c>
      <c r="P2286">
        <v>49</v>
      </c>
      <c r="R2286" t="s">
        <v>1269</v>
      </c>
      <c r="S2286">
        <v>3.2000000000000001E-2</v>
      </c>
      <c r="T2286">
        <v>0.23139999999999999</v>
      </c>
      <c r="U2286">
        <f t="shared" si="195"/>
        <v>0</v>
      </c>
      <c r="V2286" t="str">
        <f t="shared" si="192"/>
        <v>High Behavior Analyst</v>
      </c>
      <c r="W2286" t="str">
        <f t="shared" si="193"/>
        <v>Behavior Analyst</v>
      </c>
    </row>
    <row r="2287" spans="1:23" x14ac:dyDescent="0.25">
      <c r="A2287">
        <v>29101</v>
      </c>
      <c r="B2287" t="s">
        <v>1374</v>
      </c>
      <c r="C2287">
        <v>8.0000000000000002E-3</v>
      </c>
      <c r="D2287" t="s">
        <v>1264</v>
      </c>
      <c r="E2287">
        <v>100230</v>
      </c>
      <c r="F2287">
        <v>29101</v>
      </c>
      <c r="G2287" t="str">
        <f t="shared" si="191"/>
        <v>29101</v>
      </c>
      <c r="H2287" t="s">
        <v>499</v>
      </c>
      <c r="I2287" t="s">
        <v>1265</v>
      </c>
      <c r="J2287" t="s">
        <v>1266</v>
      </c>
      <c r="K2287" t="s">
        <v>1267</v>
      </c>
      <c r="L2287" t="s">
        <v>1374</v>
      </c>
      <c r="M2287" t="s">
        <v>1391</v>
      </c>
      <c r="N2287">
        <v>21</v>
      </c>
      <c r="O2287" t="str">
        <f t="shared" si="194"/>
        <v>49</v>
      </c>
      <c r="P2287">
        <v>49</v>
      </c>
      <c r="R2287" t="s">
        <v>1269</v>
      </c>
      <c r="S2287">
        <v>8.0000000000000002E-3</v>
      </c>
      <c r="T2287">
        <v>0.23139999999999999</v>
      </c>
      <c r="U2287">
        <f t="shared" si="195"/>
        <v>2E-3</v>
      </c>
      <c r="V2287" t="str">
        <f t="shared" si="192"/>
        <v>Middle Behavior Analyst</v>
      </c>
      <c r="W2287" t="str">
        <f t="shared" si="193"/>
        <v>Behavior Analyst</v>
      </c>
    </row>
    <row r="2288" spans="1:23" x14ac:dyDescent="0.25">
      <c r="A2288">
        <v>29101</v>
      </c>
      <c r="B2288" t="s">
        <v>1477</v>
      </c>
      <c r="C2288">
        <v>3.2000000000000001E-2</v>
      </c>
      <c r="D2288" t="s">
        <v>1264</v>
      </c>
      <c r="E2288">
        <v>100230</v>
      </c>
      <c r="F2288">
        <v>29101</v>
      </c>
      <c r="G2288" t="str">
        <f t="shared" si="191"/>
        <v>29101</v>
      </c>
      <c r="H2288" t="s">
        <v>499</v>
      </c>
      <c r="I2288" t="s">
        <v>1265</v>
      </c>
      <c r="J2288" t="s">
        <v>1266</v>
      </c>
      <c r="K2288" t="s">
        <v>1267</v>
      </c>
      <c r="L2288" t="s">
        <v>1477</v>
      </c>
      <c r="M2288" t="s">
        <v>1613</v>
      </c>
      <c r="N2288">
        <v>1</v>
      </c>
      <c r="O2288" t="str">
        <f t="shared" si="194"/>
        <v>49</v>
      </c>
      <c r="P2288">
        <v>49</v>
      </c>
      <c r="R2288" t="s">
        <v>1269</v>
      </c>
      <c r="S2288">
        <v>3.2000000000000001E-2</v>
      </c>
      <c r="T2288">
        <v>0.23139999999999999</v>
      </c>
      <c r="U2288">
        <f t="shared" si="195"/>
        <v>0</v>
      </c>
      <c r="V2288" t="str">
        <f t="shared" si="192"/>
        <v>Middle Behavior Analyst</v>
      </c>
      <c r="W2288" t="str">
        <f t="shared" si="193"/>
        <v>Behavior Analyst</v>
      </c>
    </row>
    <row r="2289" spans="1:23" x14ac:dyDescent="0.25">
      <c r="A2289">
        <v>29103</v>
      </c>
      <c r="B2289" t="s">
        <v>1299</v>
      </c>
      <c r="C2289">
        <v>5.4260000000000002</v>
      </c>
      <c r="D2289" t="s">
        <v>1264</v>
      </c>
      <c r="E2289">
        <v>100013</v>
      </c>
      <c r="F2289">
        <v>29103</v>
      </c>
      <c r="G2289" t="str">
        <f t="shared" si="191"/>
        <v>29103</v>
      </c>
      <c r="H2289" t="s">
        <v>500</v>
      </c>
      <c r="I2289" t="s">
        <v>1265</v>
      </c>
      <c r="J2289" t="s">
        <v>1271</v>
      </c>
      <c r="K2289" t="s">
        <v>1272</v>
      </c>
      <c r="L2289" t="s">
        <v>1299</v>
      </c>
      <c r="M2289" t="s">
        <v>1300</v>
      </c>
      <c r="N2289">
        <v>1</v>
      </c>
      <c r="O2289" t="str">
        <f t="shared" si="194"/>
        <v>25</v>
      </c>
      <c r="Q2289">
        <v>25</v>
      </c>
      <c r="R2289" t="s">
        <v>1269</v>
      </c>
      <c r="S2289">
        <v>5.4260000000000002</v>
      </c>
      <c r="T2289">
        <v>0.20030000000000001</v>
      </c>
      <c r="U2289">
        <f t="shared" si="195"/>
        <v>0</v>
      </c>
      <c r="V2289" t="str">
        <f t="shared" si="192"/>
        <v>High Pupil Management</v>
      </c>
      <c r="W2289" t="str">
        <f t="shared" si="193"/>
        <v>Pupil Management</v>
      </c>
    </row>
    <row r="2290" spans="1:23" x14ac:dyDescent="0.25">
      <c r="A2290">
        <v>29103</v>
      </c>
      <c r="B2290" t="s">
        <v>1295</v>
      </c>
      <c r="C2290">
        <v>3.32</v>
      </c>
      <c r="D2290" t="s">
        <v>1264</v>
      </c>
      <c r="E2290">
        <v>100013</v>
      </c>
      <c r="F2290">
        <v>29103</v>
      </c>
      <c r="G2290" t="str">
        <f t="shared" si="191"/>
        <v>29103</v>
      </c>
      <c r="H2290" t="s">
        <v>500</v>
      </c>
      <c r="I2290" t="s">
        <v>1265</v>
      </c>
      <c r="J2290" t="s">
        <v>1271</v>
      </c>
      <c r="K2290" t="s">
        <v>1272</v>
      </c>
      <c r="L2290" t="s">
        <v>1295</v>
      </c>
      <c r="M2290" t="s">
        <v>1296</v>
      </c>
      <c r="N2290">
        <v>1</v>
      </c>
      <c r="O2290" t="str">
        <f t="shared" si="194"/>
        <v>26</v>
      </c>
      <c r="Q2290">
        <v>26</v>
      </c>
      <c r="R2290" t="s">
        <v>1269</v>
      </c>
      <c r="S2290">
        <v>3.32</v>
      </c>
      <c r="T2290">
        <v>0.20030000000000001</v>
      </c>
      <c r="U2290">
        <f t="shared" si="195"/>
        <v>0</v>
      </c>
      <c r="V2290" t="str">
        <f t="shared" si="192"/>
        <v>High Health/
Related Services</v>
      </c>
      <c r="W2290" t="str">
        <f t="shared" si="193"/>
        <v>Health/
Related Services</v>
      </c>
    </row>
    <row r="2291" spans="1:23" x14ac:dyDescent="0.25">
      <c r="A2291">
        <v>29103</v>
      </c>
      <c r="B2291" t="s">
        <v>1275</v>
      </c>
      <c r="C2291">
        <v>2.4009999999999998</v>
      </c>
      <c r="D2291" t="s">
        <v>1264</v>
      </c>
      <c r="E2291">
        <v>100013</v>
      </c>
      <c r="F2291">
        <v>29103</v>
      </c>
      <c r="G2291" t="str">
        <f t="shared" si="191"/>
        <v>29103</v>
      </c>
      <c r="H2291" t="s">
        <v>500</v>
      </c>
      <c r="I2291" t="s">
        <v>1265</v>
      </c>
      <c r="J2291" t="s">
        <v>1276</v>
      </c>
      <c r="K2291" t="s">
        <v>1277</v>
      </c>
      <c r="L2291" t="s">
        <v>1275</v>
      </c>
      <c r="M2291" t="s">
        <v>1278</v>
      </c>
      <c r="N2291">
        <v>1</v>
      </c>
      <c r="O2291" t="str">
        <f t="shared" si="194"/>
        <v>42</v>
      </c>
      <c r="P2291">
        <v>42</v>
      </c>
      <c r="R2291" t="s">
        <v>1269</v>
      </c>
      <c r="S2291">
        <v>2.4009999999999998</v>
      </c>
      <c r="T2291">
        <v>0.20030000000000001</v>
      </c>
      <c r="U2291">
        <f t="shared" si="195"/>
        <v>0</v>
      </c>
      <c r="V2291" t="str">
        <f t="shared" si="192"/>
        <v>Elementary Counselor</v>
      </c>
      <c r="W2291" t="str">
        <f t="shared" si="193"/>
        <v>Counselor</v>
      </c>
    </row>
    <row r="2292" spans="1:23" x14ac:dyDescent="0.25">
      <c r="A2292">
        <v>29103</v>
      </c>
      <c r="B2292" t="s">
        <v>1270</v>
      </c>
      <c r="C2292">
        <v>2.5499999999999998</v>
      </c>
      <c r="D2292" t="s">
        <v>1264</v>
      </c>
      <c r="E2292">
        <v>100013</v>
      </c>
      <c r="F2292">
        <v>29103</v>
      </c>
      <c r="G2292" t="str">
        <f t="shared" si="191"/>
        <v>29103</v>
      </c>
      <c r="H2292" t="s">
        <v>500</v>
      </c>
      <c r="I2292" t="s">
        <v>1265</v>
      </c>
      <c r="J2292" t="s">
        <v>1271</v>
      </c>
      <c r="K2292" t="s">
        <v>1272</v>
      </c>
      <c r="L2292" t="s">
        <v>1270</v>
      </c>
      <c r="M2292" t="s">
        <v>1273</v>
      </c>
      <c r="N2292">
        <v>1</v>
      </c>
      <c r="O2292" t="str">
        <f t="shared" si="194"/>
        <v>42</v>
      </c>
      <c r="P2292">
        <v>42</v>
      </c>
      <c r="R2292" t="s">
        <v>1269</v>
      </c>
      <c r="S2292">
        <v>2.5499999999999998</v>
      </c>
      <c r="T2292">
        <v>0.20030000000000001</v>
      </c>
      <c r="U2292">
        <f t="shared" si="195"/>
        <v>0</v>
      </c>
      <c r="V2292" t="str">
        <f t="shared" si="192"/>
        <v>High Counselor</v>
      </c>
      <c r="W2292" t="str">
        <f t="shared" si="193"/>
        <v>Counselor</v>
      </c>
    </row>
    <row r="2293" spans="1:23" x14ac:dyDescent="0.25">
      <c r="A2293">
        <v>29103</v>
      </c>
      <c r="B2293" t="s">
        <v>1263</v>
      </c>
      <c r="C2293">
        <v>1.9</v>
      </c>
      <c r="D2293" t="s">
        <v>1264</v>
      </c>
      <c r="E2293">
        <v>100013</v>
      </c>
      <c r="F2293">
        <v>29103</v>
      </c>
      <c r="G2293" t="str">
        <f t="shared" si="191"/>
        <v>29103</v>
      </c>
      <c r="H2293" t="s">
        <v>500</v>
      </c>
      <c r="I2293" t="s">
        <v>1265</v>
      </c>
      <c r="J2293" t="s">
        <v>1266</v>
      </c>
      <c r="K2293" t="s">
        <v>1267</v>
      </c>
      <c r="L2293" t="s">
        <v>1263</v>
      </c>
      <c r="M2293" t="s">
        <v>1268</v>
      </c>
      <c r="N2293">
        <v>1</v>
      </c>
      <c r="O2293" t="str">
        <f t="shared" si="194"/>
        <v>42</v>
      </c>
      <c r="P2293">
        <v>42</v>
      </c>
      <c r="R2293" t="s">
        <v>1269</v>
      </c>
      <c r="S2293">
        <v>1.9</v>
      </c>
      <c r="T2293">
        <v>0.20030000000000001</v>
      </c>
      <c r="U2293">
        <f t="shared" si="195"/>
        <v>0</v>
      </c>
      <c r="V2293" t="str">
        <f t="shared" si="192"/>
        <v>Middle Counselor</v>
      </c>
      <c r="W2293" t="str">
        <f t="shared" si="193"/>
        <v>Counselor</v>
      </c>
    </row>
    <row r="2294" spans="1:23" x14ac:dyDescent="0.25">
      <c r="A2294">
        <v>29103</v>
      </c>
      <c r="B2294" t="s">
        <v>1289</v>
      </c>
      <c r="C2294">
        <v>1.4019999999999999</v>
      </c>
      <c r="D2294" t="s">
        <v>1264</v>
      </c>
      <c r="E2294">
        <v>100013</v>
      </c>
      <c r="F2294">
        <v>29103</v>
      </c>
      <c r="G2294" t="str">
        <f t="shared" si="191"/>
        <v>29103</v>
      </c>
      <c r="H2294" t="s">
        <v>500</v>
      </c>
      <c r="I2294" t="s">
        <v>1265</v>
      </c>
      <c r="J2294" t="s">
        <v>1276</v>
      </c>
      <c r="K2294" t="s">
        <v>1277</v>
      </c>
      <c r="L2294" t="s">
        <v>1289</v>
      </c>
      <c r="M2294" t="s">
        <v>1307</v>
      </c>
      <c r="N2294">
        <v>21</v>
      </c>
      <c r="O2294" t="str">
        <f t="shared" si="194"/>
        <v>43</v>
      </c>
      <c r="P2294">
        <v>43</v>
      </c>
      <c r="R2294" t="s">
        <v>1269</v>
      </c>
      <c r="S2294">
        <v>1.4019999999999999</v>
      </c>
      <c r="T2294">
        <v>0.20030000000000001</v>
      </c>
      <c r="U2294">
        <f t="shared" si="195"/>
        <v>0.28100000000000003</v>
      </c>
      <c r="V2294" t="str">
        <f t="shared" si="192"/>
        <v>Elementary Occupational Therapist</v>
      </c>
      <c r="W2294" t="str">
        <f t="shared" si="193"/>
        <v>Occupational Therapist</v>
      </c>
    </row>
    <row r="2295" spans="1:23" x14ac:dyDescent="0.25">
      <c r="A2295">
        <v>29103</v>
      </c>
      <c r="B2295" t="s">
        <v>1303</v>
      </c>
      <c r="C2295">
        <v>0.19800000000000001</v>
      </c>
      <c r="D2295" t="s">
        <v>1264</v>
      </c>
      <c r="E2295">
        <v>100013</v>
      </c>
      <c r="F2295">
        <v>29103</v>
      </c>
      <c r="G2295" t="str">
        <f t="shared" si="191"/>
        <v>29103</v>
      </c>
      <c r="H2295" t="s">
        <v>500</v>
      </c>
      <c r="I2295" t="s">
        <v>1265</v>
      </c>
      <c r="J2295" t="s">
        <v>1266</v>
      </c>
      <c r="K2295" t="s">
        <v>1267</v>
      </c>
      <c r="L2295" t="s">
        <v>1303</v>
      </c>
      <c r="M2295" t="s">
        <v>1304</v>
      </c>
      <c r="N2295">
        <v>21</v>
      </c>
      <c r="O2295" t="str">
        <f t="shared" si="194"/>
        <v>43</v>
      </c>
      <c r="P2295">
        <v>43</v>
      </c>
      <c r="R2295" t="s">
        <v>1269</v>
      </c>
      <c r="S2295">
        <v>0.19800000000000001</v>
      </c>
      <c r="T2295">
        <v>0.20030000000000001</v>
      </c>
      <c r="U2295">
        <f t="shared" si="195"/>
        <v>0.04</v>
      </c>
      <c r="V2295" t="str">
        <f t="shared" si="192"/>
        <v>Middle Occupational Therapist</v>
      </c>
      <c r="W2295" t="str">
        <f t="shared" si="193"/>
        <v>Occupational Therapist</v>
      </c>
    </row>
    <row r="2296" spans="1:23" x14ac:dyDescent="0.25">
      <c r="A2296">
        <v>29103</v>
      </c>
      <c r="B2296" t="s">
        <v>1359</v>
      </c>
      <c r="C2296">
        <v>1</v>
      </c>
      <c r="D2296" t="s">
        <v>1264</v>
      </c>
      <c r="E2296">
        <v>100013</v>
      </c>
      <c r="F2296">
        <v>29103</v>
      </c>
      <c r="G2296" t="str">
        <f t="shared" si="191"/>
        <v>29103</v>
      </c>
      <c r="H2296" t="s">
        <v>500</v>
      </c>
      <c r="I2296" t="s">
        <v>1265</v>
      </c>
      <c r="J2296" t="s">
        <v>1271</v>
      </c>
      <c r="K2296" t="s">
        <v>1272</v>
      </c>
      <c r="L2296" t="s">
        <v>1359</v>
      </c>
      <c r="M2296" t="s">
        <v>1360</v>
      </c>
      <c r="N2296">
        <v>1</v>
      </c>
      <c r="O2296" t="str">
        <f t="shared" si="194"/>
        <v>44</v>
      </c>
      <c r="P2296">
        <v>44</v>
      </c>
      <c r="R2296" t="s">
        <v>1269</v>
      </c>
      <c r="S2296">
        <v>1</v>
      </c>
      <c r="T2296">
        <v>0.20030000000000001</v>
      </c>
      <c r="U2296">
        <f t="shared" si="195"/>
        <v>0</v>
      </c>
      <c r="V2296" t="str">
        <f t="shared" si="192"/>
        <v>High Social Worker</v>
      </c>
      <c r="W2296" t="str">
        <f t="shared" si="193"/>
        <v>Social Worker</v>
      </c>
    </row>
    <row r="2297" spans="1:23" x14ac:dyDescent="0.25">
      <c r="A2297">
        <v>29103</v>
      </c>
      <c r="B2297" t="s">
        <v>1356</v>
      </c>
      <c r="C2297">
        <v>1</v>
      </c>
      <c r="D2297" t="s">
        <v>1264</v>
      </c>
      <c r="E2297">
        <v>100013</v>
      </c>
      <c r="F2297">
        <v>29103</v>
      </c>
      <c r="G2297" t="str">
        <f t="shared" si="191"/>
        <v>29103</v>
      </c>
      <c r="H2297" t="s">
        <v>500</v>
      </c>
      <c r="I2297" t="s">
        <v>1265</v>
      </c>
      <c r="J2297" t="s">
        <v>1266</v>
      </c>
      <c r="K2297" t="s">
        <v>1267</v>
      </c>
      <c r="L2297" t="s">
        <v>1356</v>
      </c>
      <c r="M2297" t="s">
        <v>1357</v>
      </c>
      <c r="N2297">
        <v>1</v>
      </c>
      <c r="O2297" t="str">
        <f t="shared" si="194"/>
        <v>44</v>
      </c>
      <c r="P2297">
        <v>44</v>
      </c>
      <c r="R2297" t="s">
        <v>1269</v>
      </c>
      <c r="S2297">
        <v>1</v>
      </c>
      <c r="T2297">
        <v>0.20030000000000001</v>
      </c>
      <c r="U2297">
        <f t="shared" si="195"/>
        <v>0</v>
      </c>
      <c r="V2297" t="str">
        <f t="shared" si="192"/>
        <v>Middle Social Worker</v>
      </c>
      <c r="W2297" t="str">
        <f t="shared" si="193"/>
        <v>Social Worker</v>
      </c>
    </row>
    <row r="2298" spans="1:23" x14ac:dyDescent="0.25">
      <c r="A2298">
        <v>29103</v>
      </c>
      <c r="B2298" t="s">
        <v>1294</v>
      </c>
      <c r="C2298">
        <v>4.5</v>
      </c>
      <c r="D2298" t="s">
        <v>1264</v>
      </c>
      <c r="E2298">
        <v>100013</v>
      </c>
      <c r="F2298">
        <v>29103</v>
      </c>
      <c r="G2298" t="str">
        <f t="shared" si="191"/>
        <v>29103</v>
      </c>
      <c r="H2298" t="s">
        <v>500</v>
      </c>
      <c r="I2298" t="s">
        <v>1265</v>
      </c>
      <c r="J2298" t="s">
        <v>1276</v>
      </c>
      <c r="K2298" t="s">
        <v>1277</v>
      </c>
      <c r="L2298" t="s">
        <v>1294</v>
      </c>
      <c r="M2298" t="s">
        <v>1354</v>
      </c>
      <c r="N2298">
        <v>21</v>
      </c>
      <c r="O2298" t="str">
        <f t="shared" si="194"/>
        <v>45</v>
      </c>
      <c r="P2298">
        <v>45</v>
      </c>
      <c r="R2298" t="s">
        <v>1269</v>
      </c>
      <c r="S2298">
        <v>4.5</v>
      </c>
      <c r="T2298">
        <v>0.20030000000000001</v>
      </c>
      <c r="U2298">
        <f t="shared" si="195"/>
        <v>0.90100000000000002</v>
      </c>
      <c r="V2298" t="str">
        <f t="shared" si="192"/>
        <v>Elementary Speech, Language Pathway/
Audio</v>
      </c>
      <c r="W2298" t="str">
        <f t="shared" si="193"/>
        <v>Speech, Language Pathway/
Audio</v>
      </c>
    </row>
    <row r="2299" spans="1:23" x14ac:dyDescent="0.25">
      <c r="A2299">
        <v>29103</v>
      </c>
      <c r="B2299" t="s">
        <v>1312</v>
      </c>
      <c r="C2299">
        <v>0.2</v>
      </c>
      <c r="D2299" t="s">
        <v>1264</v>
      </c>
      <c r="E2299">
        <v>100013</v>
      </c>
      <c r="F2299">
        <v>29103</v>
      </c>
      <c r="G2299" t="str">
        <f t="shared" si="191"/>
        <v>29103</v>
      </c>
      <c r="H2299" t="s">
        <v>500</v>
      </c>
      <c r="I2299" t="s">
        <v>1265</v>
      </c>
      <c r="J2299" t="s">
        <v>1266</v>
      </c>
      <c r="K2299" t="s">
        <v>1267</v>
      </c>
      <c r="L2299" t="s">
        <v>1312</v>
      </c>
      <c r="M2299" t="s">
        <v>1351</v>
      </c>
      <c r="N2299">
        <v>21</v>
      </c>
      <c r="O2299" t="str">
        <f t="shared" si="194"/>
        <v>45</v>
      </c>
      <c r="P2299">
        <v>45</v>
      </c>
      <c r="R2299" t="s">
        <v>1269</v>
      </c>
      <c r="S2299">
        <v>0.2</v>
      </c>
      <c r="T2299">
        <v>0.20030000000000001</v>
      </c>
      <c r="U2299">
        <f t="shared" si="195"/>
        <v>0.04</v>
      </c>
      <c r="V2299" t="str">
        <f t="shared" si="192"/>
        <v>Middle Speech, Language Pathway/
Audio</v>
      </c>
      <c r="W2299" t="str">
        <f t="shared" si="193"/>
        <v>Speech, Language Pathway/
Audio</v>
      </c>
    </row>
    <row r="2300" spans="1:23" x14ac:dyDescent="0.25">
      <c r="A2300">
        <v>29103</v>
      </c>
      <c r="B2300" t="s">
        <v>1298</v>
      </c>
      <c r="C2300">
        <v>1.3</v>
      </c>
      <c r="D2300" t="s">
        <v>1264</v>
      </c>
      <c r="E2300">
        <v>100013</v>
      </c>
      <c r="F2300">
        <v>29103</v>
      </c>
      <c r="G2300" t="str">
        <f t="shared" si="191"/>
        <v>29103</v>
      </c>
      <c r="H2300" t="s">
        <v>500</v>
      </c>
      <c r="I2300" t="s">
        <v>1265</v>
      </c>
      <c r="J2300" t="s">
        <v>1276</v>
      </c>
      <c r="K2300" t="s">
        <v>1277</v>
      </c>
      <c r="L2300" t="s">
        <v>1298</v>
      </c>
      <c r="M2300" t="s">
        <v>1349</v>
      </c>
      <c r="N2300">
        <v>21</v>
      </c>
      <c r="O2300" t="str">
        <f t="shared" si="194"/>
        <v>46</v>
      </c>
      <c r="P2300">
        <v>46</v>
      </c>
      <c r="R2300" t="s">
        <v>1269</v>
      </c>
      <c r="S2300">
        <v>1.3</v>
      </c>
      <c r="T2300">
        <v>0.20030000000000001</v>
      </c>
      <c r="U2300">
        <f t="shared" si="195"/>
        <v>0.26</v>
      </c>
      <c r="V2300" t="str">
        <f t="shared" si="192"/>
        <v>Elementary Psychologist</v>
      </c>
      <c r="W2300" t="str">
        <f t="shared" si="193"/>
        <v>Psychologist</v>
      </c>
    </row>
    <row r="2301" spans="1:23" x14ac:dyDescent="0.25">
      <c r="A2301">
        <v>29103</v>
      </c>
      <c r="B2301" t="s">
        <v>1309</v>
      </c>
      <c r="C2301">
        <v>0.7</v>
      </c>
      <c r="D2301" t="s">
        <v>1264</v>
      </c>
      <c r="E2301">
        <v>100013</v>
      </c>
      <c r="F2301">
        <v>29103</v>
      </c>
      <c r="G2301" t="str">
        <f t="shared" si="191"/>
        <v>29103</v>
      </c>
      <c r="H2301" t="s">
        <v>500</v>
      </c>
      <c r="I2301" t="s">
        <v>1265</v>
      </c>
      <c r="J2301" t="s">
        <v>1271</v>
      </c>
      <c r="K2301" t="s">
        <v>1272</v>
      </c>
      <c r="L2301" t="s">
        <v>1309</v>
      </c>
      <c r="M2301" t="s">
        <v>1310</v>
      </c>
      <c r="N2301">
        <v>21</v>
      </c>
      <c r="O2301" t="str">
        <f t="shared" si="194"/>
        <v>46</v>
      </c>
      <c r="P2301">
        <v>46</v>
      </c>
      <c r="R2301" t="s">
        <v>1269</v>
      </c>
      <c r="S2301">
        <v>0.7</v>
      </c>
      <c r="T2301">
        <v>0.20030000000000001</v>
      </c>
      <c r="U2301">
        <f t="shared" si="195"/>
        <v>0.14000000000000001</v>
      </c>
      <c r="V2301" t="str">
        <f t="shared" si="192"/>
        <v>High Psychologist</v>
      </c>
      <c r="W2301" t="str">
        <f t="shared" si="193"/>
        <v>Psychologist</v>
      </c>
    </row>
    <row r="2302" spans="1:23" x14ac:dyDescent="0.25">
      <c r="A2302">
        <v>29103</v>
      </c>
      <c r="B2302" t="s">
        <v>1345</v>
      </c>
      <c r="C2302">
        <v>0.6</v>
      </c>
      <c r="D2302" t="s">
        <v>1264</v>
      </c>
      <c r="E2302">
        <v>100013</v>
      </c>
      <c r="F2302">
        <v>29103</v>
      </c>
      <c r="G2302" t="str">
        <f t="shared" si="191"/>
        <v>29103</v>
      </c>
      <c r="H2302" t="s">
        <v>500</v>
      </c>
      <c r="I2302" t="s">
        <v>1265</v>
      </c>
      <c r="J2302" t="s">
        <v>1266</v>
      </c>
      <c r="K2302" t="s">
        <v>1267</v>
      </c>
      <c r="L2302" t="s">
        <v>1345</v>
      </c>
      <c r="M2302" t="s">
        <v>1346</v>
      </c>
      <c r="N2302">
        <v>21</v>
      </c>
      <c r="O2302" t="str">
        <f t="shared" si="194"/>
        <v>46</v>
      </c>
      <c r="P2302">
        <v>46</v>
      </c>
      <c r="R2302" t="s">
        <v>1269</v>
      </c>
      <c r="S2302">
        <v>0.6</v>
      </c>
      <c r="T2302">
        <v>0.20030000000000001</v>
      </c>
      <c r="U2302">
        <f t="shared" si="195"/>
        <v>0.12</v>
      </c>
      <c r="V2302" t="str">
        <f t="shared" si="192"/>
        <v>Middle Psychologist</v>
      </c>
      <c r="W2302" t="str">
        <f t="shared" si="193"/>
        <v>Psychologist</v>
      </c>
    </row>
    <row r="2303" spans="1:23" x14ac:dyDescent="0.25">
      <c r="A2303">
        <v>29103</v>
      </c>
      <c r="B2303" t="s">
        <v>1335</v>
      </c>
      <c r="C2303">
        <v>0.53900000000000003</v>
      </c>
      <c r="D2303" t="s">
        <v>1264</v>
      </c>
      <c r="E2303">
        <v>100013</v>
      </c>
      <c r="F2303">
        <v>29103</v>
      </c>
      <c r="G2303" t="str">
        <f t="shared" si="191"/>
        <v>29103</v>
      </c>
      <c r="H2303" t="s">
        <v>500</v>
      </c>
      <c r="I2303" t="s">
        <v>1265</v>
      </c>
      <c r="J2303" t="s">
        <v>1276</v>
      </c>
      <c r="K2303" t="s">
        <v>1277</v>
      </c>
      <c r="L2303" t="s">
        <v>1335</v>
      </c>
      <c r="M2303" t="s">
        <v>1344</v>
      </c>
      <c r="N2303">
        <v>1</v>
      </c>
      <c r="O2303" t="str">
        <f t="shared" si="194"/>
        <v>47</v>
      </c>
      <c r="P2303">
        <v>47</v>
      </c>
      <c r="R2303" t="s">
        <v>1269</v>
      </c>
      <c r="S2303">
        <v>0.53900000000000003</v>
      </c>
      <c r="T2303">
        <v>0.20030000000000001</v>
      </c>
      <c r="U2303">
        <f t="shared" si="195"/>
        <v>0</v>
      </c>
      <c r="V2303" t="str">
        <f t="shared" si="192"/>
        <v>Elementary Nurse</v>
      </c>
      <c r="W2303" t="str">
        <f t="shared" si="193"/>
        <v>Nurse</v>
      </c>
    </row>
    <row r="2304" spans="1:23" x14ac:dyDescent="0.25">
      <c r="A2304">
        <v>29103</v>
      </c>
      <c r="B2304" t="s">
        <v>1341</v>
      </c>
      <c r="C2304">
        <v>0.307</v>
      </c>
      <c r="D2304" t="s">
        <v>1264</v>
      </c>
      <c r="E2304">
        <v>100013</v>
      </c>
      <c r="F2304">
        <v>29103</v>
      </c>
      <c r="G2304" t="str">
        <f t="shared" si="191"/>
        <v>29103</v>
      </c>
      <c r="H2304" t="s">
        <v>500</v>
      </c>
      <c r="I2304" t="s">
        <v>1265</v>
      </c>
      <c r="J2304" t="s">
        <v>1271</v>
      </c>
      <c r="K2304" t="s">
        <v>1272</v>
      </c>
      <c r="L2304" t="s">
        <v>1341</v>
      </c>
      <c r="M2304" t="s">
        <v>1342</v>
      </c>
      <c r="N2304">
        <v>1</v>
      </c>
      <c r="O2304" t="str">
        <f t="shared" si="194"/>
        <v>47</v>
      </c>
      <c r="P2304">
        <v>47</v>
      </c>
      <c r="R2304" t="s">
        <v>1269</v>
      </c>
      <c r="S2304">
        <v>0.307</v>
      </c>
      <c r="T2304">
        <v>0.20030000000000001</v>
      </c>
      <c r="U2304">
        <f t="shared" si="195"/>
        <v>0</v>
      </c>
      <c r="V2304" t="str">
        <f t="shared" si="192"/>
        <v>High Nurse</v>
      </c>
      <c r="W2304" t="str">
        <f t="shared" si="193"/>
        <v>Nurse</v>
      </c>
    </row>
    <row r="2305" spans="1:23" x14ac:dyDescent="0.25">
      <c r="A2305">
        <v>29103</v>
      </c>
      <c r="B2305" t="s">
        <v>1338</v>
      </c>
      <c r="C2305">
        <v>0.154</v>
      </c>
      <c r="D2305" t="s">
        <v>1264</v>
      </c>
      <c r="E2305">
        <v>100013</v>
      </c>
      <c r="F2305">
        <v>29103</v>
      </c>
      <c r="G2305" t="str">
        <f t="shared" si="191"/>
        <v>29103</v>
      </c>
      <c r="H2305" t="s">
        <v>500</v>
      </c>
      <c r="I2305" t="s">
        <v>1265</v>
      </c>
      <c r="J2305" t="s">
        <v>1266</v>
      </c>
      <c r="K2305" t="s">
        <v>1267</v>
      </c>
      <c r="L2305" t="s">
        <v>1338</v>
      </c>
      <c r="M2305" t="s">
        <v>1339</v>
      </c>
      <c r="N2305">
        <v>1</v>
      </c>
      <c r="O2305" t="str">
        <f t="shared" si="194"/>
        <v>47</v>
      </c>
      <c r="P2305">
        <v>47</v>
      </c>
      <c r="R2305" t="s">
        <v>1269</v>
      </c>
      <c r="S2305">
        <v>0.154</v>
      </c>
      <c r="T2305">
        <v>0.20030000000000001</v>
      </c>
      <c r="U2305">
        <f t="shared" si="195"/>
        <v>0</v>
      </c>
      <c r="V2305" t="str">
        <f t="shared" si="192"/>
        <v>Middle Nurse</v>
      </c>
      <c r="W2305" t="str">
        <f t="shared" si="193"/>
        <v>Nurse</v>
      </c>
    </row>
    <row r="2306" spans="1:23" x14ac:dyDescent="0.25">
      <c r="A2306">
        <v>29103</v>
      </c>
      <c r="B2306" t="s">
        <v>1302</v>
      </c>
      <c r="C2306">
        <v>0.91200000000000003</v>
      </c>
      <c r="D2306" t="s">
        <v>1264</v>
      </c>
      <c r="E2306">
        <v>100013</v>
      </c>
      <c r="F2306">
        <v>29103</v>
      </c>
      <c r="G2306" t="str">
        <f t="shared" ref="G2306:G2369" si="196">TEXT(F2306,"00000")</f>
        <v>29103</v>
      </c>
      <c r="H2306" t="s">
        <v>500</v>
      </c>
      <c r="I2306" t="s">
        <v>1265</v>
      </c>
      <c r="J2306" t="s">
        <v>1276</v>
      </c>
      <c r="K2306" t="s">
        <v>1277</v>
      </c>
      <c r="L2306" t="s">
        <v>1302</v>
      </c>
      <c r="M2306" t="s">
        <v>1336</v>
      </c>
      <c r="N2306">
        <v>21</v>
      </c>
      <c r="O2306" t="str">
        <f t="shared" si="194"/>
        <v>48</v>
      </c>
      <c r="P2306">
        <v>48</v>
      </c>
      <c r="R2306" t="s">
        <v>1269</v>
      </c>
      <c r="S2306">
        <v>0.91200000000000003</v>
      </c>
      <c r="T2306">
        <v>0.20030000000000001</v>
      </c>
      <c r="U2306">
        <f t="shared" si="195"/>
        <v>0.183</v>
      </c>
      <c r="V2306" t="str">
        <f t="shared" ref="V2306:V2369" si="197">_xlfn.XLOOKUP(L2306,$BV:$BV,$BT:$BT,,0)</f>
        <v>Elementary Physical Therapist</v>
      </c>
      <c r="W2306" t="str">
        <f t="shared" ref="W2306:W2369" si="198">_xlfn.TEXTAFTER(V2306," ")</f>
        <v>Physical Therapist</v>
      </c>
    </row>
    <row r="2307" spans="1:23" x14ac:dyDescent="0.25">
      <c r="A2307">
        <v>29103</v>
      </c>
      <c r="B2307" t="s">
        <v>1330</v>
      </c>
      <c r="C2307">
        <v>2.4E-2</v>
      </c>
      <c r="D2307" t="s">
        <v>1264</v>
      </c>
      <c r="E2307">
        <v>100013</v>
      </c>
      <c r="F2307">
        <v>29103</v>
      </c>
      <c r="G2307" t="str">
        <f t="shared" si="196"/>
        <v>29103</v>
      </c>
      <c r="H2307" t="s">
        <v>500</v>
      </c>
      <c r="I2307" t="s">
        <v>1265</v>
      </c>
      <c r="J2307" t="s">
        <v>1271</v>
      </c>
      <c r="K2307" t="s">
        <v>1272</v>
      </c>
      <c r="L2307" t="s">
        <v>1330</v>
      </c>
      <c r="M2307" t="s">
        <v>1367</v>
      </c>
      <c r="N2307">
        <v>21</v>
      </c>
      <c r="O2307" t="str">
        <f t="shared" ref="O2307:O2370" si="199">MID(L2307,3,2)</f>
        <v>48</v>
      </c>
      <c r="P2307">
        <v>48</v>
      </c>
      <c r="R2307" t="s">
        <v>1269</v>
      </c>
      <c r="S2307">
        <v>2.4E-2</v>
      </c>
      <c r="T2307">
        <v>0.20030000000000001</v>
      </c>
      <c r="U2307">
        <f t="shared" ref="U2307:U2370" si="200">IF(N2307=21,ROUND(T2307*S2307,3),0)</f>
        <v>5.0000000000000001E-3</v>
      </c>
      <c r="V2307" t="str">
        <f t="shared" si="197"/>
        <v>High Physical Therapist</v>
      </c>
      <c r="W2307" t="str">
        <f t="shared" si="198"/>
        <v>Physical Therapist</v>
      </c>
    </row>
    <row r="2308" spans="1:23" x14ac:dyDescent="0.25">
      <c r="A2308">
        <v>29103</v>
      </c>
      <c r="B2308" t="s">
        <v>1316</v>
      </c>
      <c r="C2308">
        <v>6.4000000000000001E-2</v>
      </c>
      <c r="D2308" t="s">
        <v>1264</v>
      </c>
      <c r="E2308">
        <v>100013</v>
      </c>
      <c r="F2308">
        <v>29103</v>
      </c>
      <c r="G2308" t="str">
        <f t="shared" si="196"/>
        <v>29103</v>
      </c>
      <c r="H2308" t="s">
        <v>500</v>
      </c>
      <c r="I2308" t="s">
        <v>1265</v>
      </c>
      <c r="J2308" t="s">
        <v>1266</v>
      </c>
      <c r="K2308" t="s">
        <v>1267</v>
      </c>
      <c r="L2308" t="s">
        <v>1316</v>
      </c>
      <c r="M2308" t="s">
        <v>1366</v>
      </c>
      <c r="N2308">
        <v>21</v>
      </c>
      <c r="O2308" t="str">
        <f t="shared" si="199"/>
        <v>48</v>
      </c>
      <c r="P2308">
        <v>48</v>
      </c>
      <c r="R2308" t="s">
        <v>1269</v>
      </c>
      <c r="S2308">
        <v>6.4000000000000001E-2</v>
      </c>
      <c r="T2308">
        <v>0.20030000000000001</v>
      </c>
      <c r="U2308">
        <f t="shared" si="200"/>
        <v>1.2999999999999999E-2</v>
      </c>
      <c r="V2308" t="str">
        <f t="shared" si="197"/>
        <v>Middle Physical Therapist</v>
      </c>
      <c r="W2308" t="str">
        <f t="shared" si="198"/>
        <v>Physical Therapist</v>
      </c>
    </row>
    <row r="2309" spans="1:23" x14ac:dyDescent="0.25">
      <c r="A2309">
        <v>29311</v>
      </c>
      <c r="B2309" t="s">
        <v>1308</v>
      </c>
      <c r="C2309">
        <v>0.63900000000000001</v>
      </c>
      <c r="D2309" t="s">
        <v>1264</v>
      </c>
      <c r="E2309">
        <v>100123</v>
      </c>
      <c r="F2309">
        <v>29311</v>
      </c>
      <c r="G2309" t="str">
        <f t="shared" si="196"/>
        <v>29311</v>
      </c>
      <c r="H2309" t="s">
        <v>501</v>
      </c>
      <c r="I2309" t="s">
        <v>1265</v>
      </c>
      <c r="J2309" t="s">
        <v>1276</v>
      </c>
      <c r="K2309" t="s">
        <v>1277</v>
      </c>
      <c r="L2309" t="s">
        <v>1308</v>
      </c>
      <c r="M2309" t="s">
        <v>1389</v>
      </c>
      <c r="N2309">
        <v>1</v>
      </c>
      <c r="O2309" t="str">
        <f t="shared" si="199"/>
        <v>25</v>
      </c>
      <c r="Q2309">
        <v>25</v>
      </c>
      <c r="R2309" t="s">
        <v>1269</v>
      </c>
      <c r="S2309">
        <v>0.63900000000000001</v>
      </c>
      <c r="T2309">
        <v>0.22489999999999999</v>
      </c>
      <c r="U2309">
        <f t="shared" si="200"/>
        <v>0</v>
      </c>
      <c r="V2309" t="str">
        <f t="shared" si="197"/>
        <v>Elementary Pupil Management</v>
      </c>
      <c r="W2309" t="str">
        <f t="shared" si="198"/>
        <v>Pupil Management</v>
      </c>
    </row>
    <row r="2310" spans="1:23" x14ac:dyDescent="0.25">
      <c r="A2310">
        <v>29311</v>
      </c>
      <c r="B2310" t="s">
        <v>1299</v>
      </c>
      <c r="C2310">
        <v>0.14000000000000001</v>
      </c>
      <c r="D2310" t="s">
        <v>1264</v>
      </c>
      <c r="E2310">
        <v>100123</v>
      </c>
      <c r="F2310">
        <v>29311</v>
      </c>
      <c r="G2310" t="str">
        <f t="shared" si="196"/>
        <v>29311</v>
      </c>
      <c r="H2310" t="s">
        <v>501</v>
      </c>
      <c r="I2310" t="s">
        <v>1265</v>
      </c>
      <c r="J2310" t="s">
        <v>1271</v>
      </c>
      <c r="K2310" t="s">
        <v>1272</v>
      </c>
      <c r="L2310" t="s">
        <v>1299</v>
      </c>
      <c r="M2310" t="s">
        <v>1300</v>
      </c>
      <c r="N2310">
        <v>1</v>
      </c>
      <c r="O2310" t="str">
        <f t="shared" si="199"/>
        <v>25</v>
      </c>
      <c r="Q2310">
        <v>25</v>
      </c>
      <c r="R2310" t="s">
        <v>1269</v>
      </c>
      <c r="S2310">
        <v>0.14000000000000001</v>
      </c>
      <c r="T2310">
        <v>0.22489999999999999</v>
      </c>
      <c r="U2310">
        <f t="shared" si="200"/>
        <v>0</v>
      </c>
      <c r="V2310" t="str">
        <f t="shared" si="197"/>
        <v>High Pupil Management</v>
      </c>
      <c r="W2310" t="str">
        <f t="shared" si="198"/>
        <v>Pupil Management</v>
      </c>
    </row>
    <row r="2311" spans="1:23" x14ac:dyDescent="0.25">
      <c r="A2311">
        <v>29311</v>
      </c>
      <c r="B2311" t="s">
        <v>1363</v>
      </c>
      <c r="C2311">
        <v>9.4E-2</v>
      </c>
      <c r="D2311" t="s">
        <v>1264</v>
      </c>
      <c r="E2311">
        <v>100123</v>
      </c>
      <c r="F2311">
        <v>29311</v>
      </c>
      <c r="G2311" t="str">
        <f t="shared" si="196"/>
        <v>29311</v>
      </c>
      <c r="H2311" t="s">
        <v>501</v>
      </c>
      <c r="I2311" t="s">
        <v>1265</v>
      </c>
      <c r="J2311" t="s">
        <v>1266</v>
      </c>
      <c r="K2311" t="s">
        <v>1267</v>
      </c>
      <c r="L2311" t="s">
        <v>1363</v>
      </c>
      <c r="M2311" t="s">
        <v>1386</v>
      </c>
      <c r="N2311">
        <v>1</v>
      </c>
      <c r="O2311" t="str">
        <f t="shared" si="199"/>
        <v>25</v>
      </c>
      <c r="Q2311">
        <v>25</v>
      </c>
      <c r="R2311" t="s">
        <v>1269</v>
      </c>
      <c r="S2311">
        <v>9.4E-2</v>
      </c>
      <c r="T2311">
        <v>0.22489999999999999</v>
      </c>
      <c r="U2311">
        <f t="shared" si="200"/>
        <v>0</v>
      </c>
      <c r="V2311" t="str">
        <f t="shared" si="197"/>
        <v>Middle Pupil Management</v>
      </c>
      <c r="W2311" t="str">
        <f t="shared" si="198"/>
        <v>Pupil Management</v>
      </c>
    </row>
    <row r="2312" spans="1:23" x14ac:dyDescent="0.25">
      <c r="A2312">
        <v>29311</v>
      </c>
      <c r="B2312" t="s">
        <v>1322</v>
      </c>
      <c r="C2312">
        <v>0.67400000000000004</v>
      </c>
      <c r="D2312" t="s">
        <v>1264</v>
      </c>
      <c r="E2312">
        <v>100123</v>
      </c>
      <c r="F2312">
        <v>29311</v>
      </c>
      <c r="G2312" t="str">
        <f t="shared" si="196"/>
        <v>29311</v>
      </c>
      <c r="H2312" t="s">
        <v>501</v>
      </c>
      <c r="I2312" t="s">
        <v>1265</v>
      </c>
      <c r="J2312" t="s">
        <v>1266</v>
      </c>
      <c r="K2312" t="s">
        <v>1267</v>
      </c>
      <c r="L2312" t="s">
        <v>1322</v>
      </c>
      <c r="M2312" t="s">
        <v>1323</v>
      </c>
      <c r="N2312">
        <v>21</v>
      </c>
      <c r="O2312" t="str">
        <f t="shared" si="199"/>
        <v>26</v>
      </c>
      <c r="Q2312">
        <v>26</v>
      </c>
      <c r="R2312" t="s">
        <v>1269</v>
      </c>
      <c r="S2312">
        <v>0.67400000000000004</v>
      </c>
      <c r="T2312">
        <v>0.22489999999999999</v>
      </c>
      <c r="U2312">
        <f t="shared" si="200"/>
        <v>0.152</v>
      </c>
      <c r="V2312" t="str">
        <f t="shared" si="197"/>
        <v>Middle Health/
Related Services</v>
      </c>
      <c r="W2312" t="str">
        <f t="shared" si="198"/>
        <v>Health/
Related Services</v>
      </c>
    </row>
    <row r="2313" spans="1:23" x14ac:dyDescent="0.25">
      <c r="A2313">
        <v>29311</v>
      </c>
      <c r="B2313" t="s">
        <v>1270</v>
      </c>
      <c r="C2313">
        <v>0.5</v>
      </c>
      <c r="D2313" t="s">
        <v>1264</v>
      </c>
      <c r="E2313">
        <v>100123</v>
      </c>
      <c r="F2313">
        <v>29311</v>
      </c>
      <c r="G2313" t="str">
        <f t="shared" si="196"/>
        <v>29311</v>
      </c>
      <c r="H2313" t="s">
        <v>501</v>
      </c>
      <c r="I2313" t="s">
        <v>1265</v>
      </c>
      <c r="J2313" t="s">
        <v>1271</v>
      </c>
      <c r="K2313" t="s">
        <v>1272</v>
      </c>
      <c r="L2313" t="s">
        <v>1270</v>
      </c>
      <c r="M2313" t="s">
        <v>1273</v>
      </c>
      <c r="N2313">
        <v>1</v>
      </c>
      <c r="O2313" t="str">
        <f t="shared" si="199"/>
        <v>42</v>
      </c>
      <c r="P2313">
        <v>42</v>
      </c>
      <c r="R2313" t="s">
        <v>1269</v>
      </c>
      <c r="S2313">
        <v>0.5</v>
      </c>
      <c r="T2313">
        <v>0.22489999999999999</v>
      </c>
      <c r="U2313">
        <f t="shared" si="200"/>
        <v>0</v>
      </c>
      <c r="V2313" t="str">
        <f t="shared" si="197"/>
        <v>High Counselor</v>
      </c>
      <c r="W2313" t="str">
        <f t="shared" si="198"/>
        <v>Counselor</v>
      </c>
    </row>
    <row r="2314" spans="1:23" x14ac:dyDescent="0.25">
      <c r="A2314">
        <v>29311</v>
      </c>
      <c r="B2314" t="s">
        <v>1263</v>
      </c>
      <c r="C2314">
        <v>0.5</v>
      </c>
      <c r="D2314" t="s">
        <v>1264</v>
      </c>
      <c r="E2314">
        <v>100123</v>
      </c>
      <c r="F2314">
        <v>29311</v>
      </c>
      <c r="G2314" t="str">
        <f t="shared" si="196"/>
        <v>29311</v>
      </c>
      <c r="H2314" t="s">
        <v>501</v>
      </c>
      <c r="I2314" t="s">
        <v>1265</v>
      </c>
      <c r="J2314" t="s">
        <v>1266</v>
      </c>
      <c r="K2314" t="s">
        <v>1267</v>
      </c>
      <c r="L2314" t="s">
        <v>1263</v>
      </c>
      <c r="M2314" t="s">
        <v>1268</v>
      </c>
      <c r="N2314">
        <v>1</v>
      </c>
      <c r="O2314" t="str">
        <f t="shared" si="199"/>
        <v>42</v>
      </c>
      <c r="P2314">
        <v>42</v>
      </c>
      <c r="R2314" t="s">
        <v>1269</v>
      </c>
      <c r="S2314">
        <v>0.5</v>
      </c>
      <c r="T2314">
        <v>0.22489999999999999</v>
      </c>
      <c r="U2314">
        <f t="shared" si="200"/>
        <v>0</v>
      </c>
      <c r="V2314" t="str">
        <f t="shared" si="197"/>
        <v>Middle Counselor</v>
      </c>
      <c r="W2314" t="str">
        <f t="shared" si="198"/>
        <v>Counselor</v>
      </c>
    </row>
    <row r="2315" spans="1:23" x14ac:dyDescent="0.25">
      <c r="A2315">
        <v>29311</v>
      </c>
      <c r="B2315" t="s">
        <v>1294</v>
      </c>
      <c r="C2315">
        <v>1</v>
      </c>
      <c r="D2315" t="s">
        <v>1264</v>
      </c>
      <c r="E2315">
        <v>100123</v>
      </c>
      <c r="F2315">
        <v>29311</v>
      </c>
      <c r="G2315" t="str">
        <f t="shared" si="196"/>
        <v>29311</v>
      </c>
      <c r="H2315" t="s">
        <v>501</v>
      </c>
      <c r="I2315" t="s">
        <v>1265</v>
      </c>
      <c r="J2315" t="s">
        <v>1276</v>
      </c>
      <c r="K2315" t="s">
        <v>1277</v>
      </c>
      <c r="L2315" t="s">
        <v>1294</v>
      </c>
      <c r="M2315" t="s">
        <v>1354</v>
      </c>
      <c r="N2315">
        <v>21</v>
      </c>
      <c r="O2315" t="str">
        <f t="shared" si="199"/>
        <v>45</v>
      </c>
      <c r="P2315">
        <v>45</v>
      </c>
      <c r="R2315" t="s">
        <v>1269</v>
      </c>
      <c r="S2315">
        <v>1</v>
      </c>
      <c r="T2315">
        <v>0.22489999999999999</v>
      </c>
      <c r="U2315">
        <f t="shared" si="200"/>
        <v>0.22500000000000001</v>
      </c>
      <c r="V2315" t="str">
        <f t="shared" si="197"/>
        <v>Elementary Speech, Language Pathway/
Audio</v>
      </c>
      <c r="W2315" t="str">
        <f t="shared" si="198"/>
        <v>Speech, Language Pathway/
Audio</v>
      </c>
    </row>
    <row r="2316" spans="1:23" x14ac:dyDescent="0.25">
      <c r="A2316">
        <v>29311</v>
      </c>
      <c r="B2316" t="s">
        <v>1335</v>
      </c>
      <c r="C2316">
        <v>0.4</v>
      </c>
      <c r="D2316" t="s">
        <v>1264</v>
      </c>
      <c r="E2316">
        <v>100123</v>
      </c>
      <c r="F2316">
        <v>29311</v>
      </c>
      <c r="G2316" t="str">
        <f t="shared" si="196"/>
        <v>29311</v>
      </c>
      <c r="H2316" t="s">
        <v>501</v>
      </c>
      <c r="I2316" t="s">
        <v>1265</v>
      </c>
      <c r="J2316" t="s">
        <v>1276</v>
      </c>
      <c r="K2316" t="s">
        <v>1277</v>
      </c>
      <c r="L2316" t="s">
        <v>1335</v>
      </c>
      <c r="M2316" t="s">
        <v>1344</v>
      </c>
      <c r="N2316">
        <v>1</v>
      </c>
      <c r="O2316" t="str">
        <f t="shared" si="199"/>
        <v>47</v>
      </c>
      <c r="P2316">
        <v>47</v>
      </c>
      <c r="R2316" t="s">
        <v>1269</v>
      </c>
      <c r="S2316">
        <v>0.4</v>
      </c>
      <c r="T2316">
        <v>0.22489999999999999</v>
      </c>
      <c r="U2316">
        <f t="shared" si="200"/>
        <v>0</v>
      </c>
      <c r="V2316" t="str">
        <f t="shared" si="197"/>
        <v>Elementary Nurse</v>
      </c>
      <c r="W2316" t="str">
        <f t="shared" si="198"/>
        <v>Nurse</v>
      </c>
    </row>
    <row r="2317" spans="1:23" x14ac:dyDescent="0.25">
      <c r="A2317">
        <v>29317</v>
      </c>
      <c r="B2317" t="s">
        <v>1299</v>
      </c>
      <c r="C2317">
        <v>0.874</v>
      </c>
      <c r="D2317" t="s">
        <v>1264</v>
      </c>
      <c r="E2317">
        <v>100055</v>
      </c>
      <c r="F2317">
        <v>29317</v>
      </c>
      <c r="G2317" t="str">
        <f t="shared" si="196"/>
        <v>29317</v>
      </c>
      <c r="H2317" t="s">
        <v>502</v>
      </c>
      <c r="I2317" t="s">
        <v>1265</v>
      </c>
      <c r="J2317" t="s">
        <v>1271</v>
      </c>
      <c r="K2317" t="s">
        <v>1272</v>
      </c>
      <c r="L2317" t="s">
        <v>1299</v>
      </c>
      <c r="M2317" t="s">
        <v>1300</v>
      </c>
      <c r="N2317">
        <v>1</v>
      </c>
      <c r="O2317" t="str">
        <f t="shared" si="199"/>
        <v>25</v>
      </c>
      <c r="Q2317">
        <v>25</v>
      </c>
      <c r="R2317" t="s">
        <v>1269</v>
      </c>
      <c r="S2317">
        <v>0.874</v>
      </c>
      <c r="T2317">
        <v>0.12709999999999999</v>
      </c>
      <c r="U2317">
        <f t="shared" si="200"/>
        <v>0</v>
      </c>
      <c r="V2317" t="str">
        <f t="shared" si="197"/>
        <v>High Pupil Management</v>
      </c>
      <c r="W2317" t="str">
        <f t="shared" si="198"/>
        <v>Pupil Management</v>
      </c>
    </row>
    <row r="2318" spans="1:23" x14ac:dyDescent="0.25">
      <c r="A2318">
        <v>29317</v>
      </c>
      <c r="B2318" t="s">
        <v>1295</v>
      </c>
      <c r="C2318">
        <v>5.0999999999999997E-2</v>
      </c>
      <c r="D2318" t="s">
        <v>1264</v>
      </c>
      <c r="E2318">
        <v>100055</v>
      </c>
      <c r="F2318">
        <v>29317</v>
      </c>
      <c r="G2318" t="str">
        <f t="shared" si="196"/>
        <v>29317</v>
      </c>
      <c r="H2318" t="s">
        <v>502</v>
      </c>
      <c r="I2318" t="s">
        <v>1265</v>
      </c>
      <c r="J2318" t="s">
        <v>1271</v>
      </c>
      <c r="K2318" t="s">
        <v>1272</v>
      </c>
      <c r="L2318" t="s">
        <v>1295</v>
      </c>
      <c r="M2318" t="s">
        <v>1296</v>
      </c>
      <c r="N2318">
        <v>1</v>
      </c>
      <c r="O2318" t="str">
        <f t="shared" si="199"/>
        <v>26</v>
      </c>
      <c r="Q2318">
        <v>26</v>
      </c>
      <c r="R2318" t="s">
        <v>1269</v>
      </c>
      <c r="S2318">
        <v>5.0999999999999997E-2</v>
      </c>
      <c r="T2318">
        <v>0.12709999999999999</v>
      </c>
      <c r="U2318">
        <f t="shared" si="200"/>
        <v>0</v>
      </c>
      <c r="V2318" t="str">
        <f t="shared" si="197"/>
        <v>High Health/
Related Services</v>
      </c>
      <c r="W2318" t="str">
        <f t="shared" si="198"/>
        <v>Health/
Related Services</v>
      </c>
    </row>
    <row r="2319" spans="1:23" x14ac:dyDescent="0.25">
      <c r="A2319">
        <v>29317</v>
      </c>
      <c r="B2319" t="s">
        <v>1275</v>
      </c>
      <c r="C2319">
        <v>0.8</v>
      </c>
      <c r="D2319" t="s">
        <v>1264</v>
      </c>
      <c r="E2319">
        <v>100055</v>
      </c>
      <c r="F2319">
        <v>29317</v>
      </c>
      <c r="G2319" t="str">
        <f t="shared" si="196"/>
        <v>29317</v>
      </c>
      <c r="H2319" t="s">
        <v>502</v>
      </c>
      <c r="I2319" t="s">
        <v>1265</v>
      </c>
      <c r="J2319" t="s">
        <v>1276</v>
      </c>
      <c r="K2319" t="s">
        <v>1277</v>
      </c>
      <c r="L2319" t="s">
        <v>1275</v>
      </c>
      <c r="M2319" t="s">
        <v>1278</v>
      </c>
      <c r="N2319">
        <v>1</v>
      </c>
      <c r="O2319" t="str">
        <f t="shared" si="199"/>
        <v>42</v>
      </c>
      <c r="P2319">
        <v>42</v>
      </c>
      <c r="R2319" t="s">
        <v>1269</v>
      </c>
      <c r="S2319">
        <v>0.8</v>
      </c>
      <c r="T2319">
        <v>0.12709999999999999</v>
      </c>
      <c r="U2319">
        <f t="shared" si="200"/>
        <v>0</v>
      </c>
      <c r="V2319" t="str">
        <f t="shared" si="197"/>
        <v>Elementary Counselor</v>
      </c>
      <c r="W2319" t="str">
        <f t="shared" si="198"/>
        <v>Counselor</v>
      </c>
    </row>
    <row r="2320" spans="1:23" x14ac:dyDescent="0.25">
      <c r="A2320">
        <v>29317</v>
      </c>
      <c r="B2320" t="s">
        <v>1294</v>
      </c>
      <c r="C2320">
        <v>0.51600000000000001</v>
      </c>
      <c r="D2320" t="s">
        <v>1264</v>
      </c>
      <c r="E2320">
        <v>100055</v>
      </c>
      <c r="F2320">
        <v>29317</v>
      </c>
      <c r="G2320" t="str">
        <f t="shared" si="196"/>
        <v>29317</v>
      </c>
      <c r="H2320" t="s">
        <v>502</v>
      </c>
      <c r="I2320" t="s">
        <v>1265</v>
      </c>
      <c r="J2320" t="s">
        <v>1276</v>
      </c>
      <c r="K2320" t="s">
        <v>1277</v>
      </c>
      <c r="L2320" t="s">
        <v>1294</v>
      </c>
      <c r="M2320" t="s">
        <v>1354</v>
      </c>
      <c r="N2320">
        <v>21</v>
      </c>
      <c r="O2320" t="str">
        <f t="shared" si="199"/>
        <v>45</v>
      </c>
      <c r="P2320">
        <v>45</v>
      </c>
      <c r="R2320" t="s">
        <v>1269</v>
      </c>
      <c r="S2320">
        <v>0.51600000000000001</v>
      </c>
      <c r="T2320">
        <v>0.12709999999999999</v>
      </c>
      <c r="U2320">
        <f t="shared" si="200"/>
        <v>6.6000000000000003E-2</v>
      </c>
      <c r="V2320" t="str">
        <f t="shared" si="197"/>
        <v>Elementary Speech, Language Pathway/
Audio</v>
      </c>
      <c r="W2320" t="str">
        <f t="shared" si="198"/>
        <v>Speech, Language Pathway/
Audio</v>
      </c>
    </row>
    <row r="2321" spans="1:23" x14ac:dyDescent="0.25">
      <c r="A2321">
        <v>29317</v>
      </c>
      <c r="B2321" t="s">
        <v>1298</v>
      </c>
      <c r="C2321">
        <v>0.4</v>
      </c>
      <c r="D2321" t="s">
        <v>1264</v>
      </c>
      <c r="E2321">
        <v>100055</v>
      </c>
      <c r="F2321">
        <v>29317</v>
      </c>
      <c r="G2321" t="str">
        <f t="shared" si="196"/>
        <v>29317</v>
      </c>
      <c r="H2321" t="s">
        <v>502</v>
      </c>
      <c r="I2321" t="s">
        <v>1265</v>
      </c>
      <c r="J2321" t="s">
        <v>1276</v>
      </c>
      <c r="K2321" t="s">
        <v>1277</v>
      </c>
      <c r="L2321" t="s">
        <v>1298</v>
      </c>
      <c r="M2321" t="s">
        <v>1349</v>
      </c>
      <c r="N2321">
        <v>21</v>
      </c>
      <c r="O2321" t="str">
        <f t="shared" si="199"/>
        <v>46</v>
      </c>
      <c r="P2321">
        <v>46</v>
      </c>
      <c r="R2321" t="s">
        <v>1269</v>
      </c>
      <c r="S2321">
        <v>0.4</v>
      </c>
      <c r="T2321">
        <v>0.12709999999999999</v>
      </c>
      <c r="U2321">
        <f t="shared" si="200"/>
        <v>5.0999999999999997E-2</v>
      </c>
      <c r="V2321" t="str">
        <f t="shared" si="197"/>
        <v>Elementary Psychologist</v>
      </c>
      <c r="W2321" t="str">
        <f t="shared" si="198"/>
        <v>Psychologist</v>
      </c>
    </row>
    <row r="2322" spans="1:23" x14ac:dyDescent="0.25">
      <c r="A2322">
        <v>29320</v>
      </c>
      <c r="B2322" t="s">
        <v>1308</v>
      </c>
      <c r="C2322">
        <v>7.8520000000000003</v>
      </c>
      <c r="D2322" t="s">
        <v>1264</v>
      </c>
      <c r="E2322">
        <v>100158</v>
      </c>
      <c r="F2322">
        <v>29320</v>
      </c>
      <c r="G2322" t="str">
        <f t="shared" si="196"/>
        <v>29320</v>
      </c>
      <c r="H2322" t="s">
        <v>503</v>
      </c>
      <c r="I2322" t="s">
        <v>1265</v>
      </c>
      <c r="J2322" t="s">
        <v>1276</v>
      </c>
      <c r="K2322" t="s">
        <v>1277</v>
      </c>
      <c r="L2322" t="s">
        <v>1308</v>
      </c>
      <c r="M2322" t="s">
        <v>1389</v>
      </c>
      <c r="N2322">
        <v>1</v>
      </c>
      <c r="O2322" t="str">
        <f t="shared" si="199"/>
        <v>25</v>
      </c>
      <c r="Q2322">
        <v>25</v>
      </c>
      <c r="R2322" t="s">
        <v>1269</v>
      </c>
      <c r="S2322">
        <v>7.8520000000000003</v>
      </c>
      <c r="T2322">
        <v>0.26129999999999998</v>
      </c>
      <c r="U2322">
        <f t="shared" si="200"/>
        <v>0</v>
      </c>
      <c r="V2322" t="str">
        <f t="shared" si="197"/>
        <v>Elementary Pupil Management</v>
      </c>
      <c r="W2322" t="str">
        <f t="shared" si="198"/>
        <v>Pupil Management</v>
      </c>
    </row>
    <row r="2323" spans="1:23" x14ac:dyDescent="0.25">
      <c r="A2323">
        <v>29320</v>
      </c>
      <c r="B2323" t="s">
        <v>1299</v>
      </c>
      <c r="C2323">
        <v>0.73599999999999999</v>
      </c>
      <c r="D2323" t="s">
        <v>1264</v>
      </c>
      <c r="E2323">
        <v>100158</v>
      </c>
      <c r="F2323">
        <v>29320</v>
      </c>
      <c r="G2323" t="str">
        <f t="shared" si="196"/>
        <v>29320</v>
      </c>
      <c r="H2323" t="s">
        <v>503</v>
      </c>
      <c r="I2323" t="s">
        <v>1265</v>
      </c>
      <c r="J2323" t="s">
        <v>1271</v>
      </c>
      <c r="K2323" t="s">
        <v>1272</v>
      </c>
      <c r="L2323" t="s">
        <v>1299</v>
      </c>
      <c r="M2323" t="s">
        <v>1300</v>
      </c>
      <c r="N2323">
        <v>1</v>
      </c>
      <c r="O2323" t="str">
        <f t="shared" si="199"/>
        <v>25</v>
      </c>
      <c r="Q2323">
        <v>25</v>
      </c>
      <c r="R2323" t="s">
        <v>1269</v>
      </c>
      <c r="S2323">
        <v>0.73599999999999999</v>
      </c>
      <c r="T2323">
        <v>0.26129999999999998</v>
      </c>
      <c r="U2323">
        <f t="shared" si="200"/>
        <v>0</v>
      </c>
      <c r="V2323" t="str">
        <f t="shared" si="197"/>
        <v>High Pupil Management</v>
      </c>
      <c r="W2323" t="str">
        <f t="shared" si="198"/>
        <v>Pupil Management</v>
      </c>
    </row>
    <row r="2324" spans="1:23" x14ac:dyDescent="0.25">
      <c r="A2324">
        <v>29320</v>
      </c>
      <c r="B2324" t="s">
        <v>1363</v>
      </c>
      <c r="C2324">
        <v>0.65300000000000002</v>
      </c>
      <c r="D2324" t="s">
        <v>1264</v>
      </c>
      <c r="E2324">
        <v>100158</v>
      </c>
      <c r="F2324">
        <v>29320</v>
      </c>
      <c r="G2324" t="str">
        <f t="shared" si="196"/>
        <v>29320</v>
      </c>
      <c r="H2324" t="s">
        <v>503</v>
      </c>
      <c r="I2324" t="s">
        <v>1265</v>
      </c>
      <c r="J2324" t="s">
        <v>1266</v>
      </c>
      <c r="K2324" t="s">
        <v>1267</v>
      </c>
      <c r="L2324" t="s">
        <v>1363</v>
      </c>
      <c r="M2324" t="s">
        <v>1386</v>
      </c>
      <c r="N2324">
        <v>1</v>
      </c>
      <c r="O2324" t="str">
        <f t="shared" si="199"/>
        <v>25</v>
      </c>
      <c r="Q2324">
        <v>25</v>
      </c>
      <c r="R2324" t="s">
        <v>1269</v>
      </c>
      <c r="S2324">
        <v>0.65300000000000002</v>
      </c>
      <c r="T2324">
        <v>0.26129999999999998</v>
      </c>
      <c r="U2324">
        <f t="shared" si="200"/>
        <v>0</v>
      </c>
      <c r="V2324" t="str">
        <f t="shared" si="197"/>
        <v>Middle Pupil Management</v>
      </c>
      <c r="W2324" t="str">
        <f t="shared" si="198"/>
        <v>Pupil Management</v>
      </c>
    </row>
    <row r="2325" spans="1:23" x14ac:dyDescent="0.25">
      <c r="A2325">
        <v>29320</v>
      </c>
      <c r="B2325" t="s">
        <v>1315</v>
      </c>
      <c r="C2325">
        <v>1.8720000000000001</v>
      </c>
      <c r="D2325" t="s">
        <v>1264</v>
      </c>
      <c r="E2325">
        <v>100158</v>
      </c>
      <c r="F2325">
        <v>29320</v>
      </c>
      <c r="G2325" t="str">
        <f t="shared" si="196"/>
        <v>29320</v>
      </c>
      <c r="H2325" t="s">
        <v>503</v>
      </c>
      <c r="I2325" t="s">
        <v>1265</v>
      </c>
      <c r="J2325" t="s">
        <v>1276</v>
      </c>
      <c r="K2325" t="s">
        <v>1277</v>
      </c>
      <c r="L2325" t="s">
        <v>1315</v>
      </c>
      <c r="M2325" t="s">
        <v>1375</v>
      </c>
      <c r="N2325">
        <v>1</v>
      </c>
      <c r="O2325" t="str">
        <f t="shared" si="199"/>
        <v>26</v>
      </c>
      <c r="Q2325">
        <v>26</v>
      </c>
      <c r="R2325" t="s">
        <v>1269</v>
      </c>
      <c r="S2325">
        <v>1.8720000000000001</v>
      </c>
      <c r="T2325">
        <v>0.26129999999999998</v>
      </c>
      <c r="U2325">
        <f t="shared" si="200"/>
        <v>0</v>
      </c>
      <c r="V2325" t="str">
        <f t="shared" si="197"/>
        <v>Elementary Health/
Related Services</v>
      </c>
      <c r="W2325" t="str">
        <f t="shared" si="198"/>
        <v>Health/
Related Services</v>
      </c>
    </row>
    <row r="2326" spans="1:23" x14ac:dyDescent="0.25">
      <c r="A2326">
        <v>29320</v>
      </c>
      <c r="B2326" t="s">
        <v>1324</v>
      </c>
      <c r="C2326">
        <v>1.9379999999999999</v>
      </c>
      <c r="D2326" t="s">
        <v>1264</v>
      </c>
      <c r="E2326">
        <v>100158</v>
      </c>
      <c r="F2326">
        <v>29320</v>
      </c>
      <c r="G2326" t="str">
        <f t="shared" si="196"/>
        <v>29320</v>
      </c>
      <c r="H2326" t="s">
        <v>503</v>
      </c>
      <c r="I2326" t="s">
        <v>1265</v>
      </c>
      <c r="J2326" t="s">
        <v>1271</v>
      </c>
      <c r="K2326" t="s">
        <v>1272</v>
      </c>
      <c r="L2326" t="s">
        <v>1324</v>
      </c>
      <c r="M2326" t="s">
        <v>1325</v>
      </c>
      <c r="N2326">
        <v>21</v>
      </c>
      <c r="O2326" t="str">
        <f t="shared" si="199"/>
        <v>26</v>
      </c>
      <c r="Q2326">
        <v>26</v>
      </c>
      <c r="R2326" t="s">
        <v>1269</v>
      </c>
      <c r="S2326">
        <v>1.9379999999999999</v>
      </c>
      <c r="T2326">
        <v>0.26129999999999998</v>
      </c>
      <c r="U2326">
        <f t="shared" si="200"/>
        <v>0.50600000000000001</v>
      </c>
      <c r="V2326" t="str">
        <f t="shared" si="197"/>
        <v>High Health/
Related Services</v>
      </c>
      <c r="W2326" t="str">
        <f t="shared" si="198"/>
        <v>Health/
Related Services</v>
      </c>
    </row>
    <row r="2327" spans="1:23" x14ac:dyDescent="0.25">
      <c r="A2327">
        <v>29320</v>
      </c>
      <c r="B2327" t="s">
        <v>1295</v>
      </c>
      <c r="C2327">
        <v>3.3370000000000002</v>
      </c>
      <c r="D2327" t="s">
        <v>1264</v>
      </c>
      <c r="E2327">
        <v>100158</v>
      </c>
      <c r="F2327">
        <v>29320</v>
      </c>
      <c r="G2327" t="str">
        <f t="shared" si="196"/>
        <v>29320</v>
      </c>
      <c r="H2327" t="s">
        <v>503</v>
      </c>
      <c r="I2327" t="s">
        <v>1265</v>
      </c>
      <c r="J2327" t="s">
        <v>1271</v>
      </c>
      <c r="K2327" t="s">
        <v>1272</v>
      </c>
      <c r="L2327" t="s">
        <v>1295</v>
      </c>
      <c r="M2327" t="s">
        <v>1296</v>
      </c>
      <c r="N2327">
        <v>1</v>
      </c>
      <c r="O2327" t="str">
        <f t="shared" si="199"/>
        <v>26</v>
      </c>
      <c r="Q2327">
        <v>26</v>
      </c>
      <c r="R2327" t="s">
        <v>1269</v>
      </c>
      <c r="S2327">
        <v>3.3370000000000002</v>
      </c>
      <c r="T2327">
        <v>0.26129999999999998</v>
      </c>
      <c r="U2327">
        <f t="shared" si="200"/>
        <v>0</v>
      </c>
      <c r="V2327" t="str">
        <f t="shared" si="197"/>
        <v>High Health/
Related Services</v>
      </c>
      <c r="W2327" t="str">
        <f t="shared" si="198"/>
        <v>Health/
Related Services</v>
      </c>
    </row>
    <row r="2328" spans="1:23" x14ac:dyDescent="0.25">
      <c r="A2328">
        <v>29320</v>
      </c>
      <c r="B2328" t="s">
        <v>1401</v>
      </c>
      <c r="C2328">
        <v>4.4279999999999999</v>
      </c>
      <c r="D2328" t="s">
        <v>1264</v>
      </c>
      <c r="E2328">
        <v>100158</v>
      </c>
      <c r="F2328">
        <v>29320</v>
      </c>
      <c r="G2328" t="str">
        <f t="shared" si="196"/>
        <v>29320</v>
      </c>
      <c r="H2328" t="s">
        <v>503</v>
      </c>
      <c r="I2328" t="s">
        <v>1265</v>
      </c>
      <c r="J2328" t="s">
        <v>1271</v>
      </c>
      <c r="K2328" t="s">
        <v>1272</v>
      </c>
      <c r="L2328" t="s">
        <v>1401</v>
      </c>
      <c r="M2328" t="s">
        <v>1422</v>
      </c>
      <c r="N2328">
        <v>1</v>
      </c>
      <c r="O2328" t="str">
        <f t="shared" si="199"/>
        <v>35</v>
      </c>
      <c r="Q2328">
        <v>35</v>
      </c>
      <c r="R2328" t="s">
        <v>1269</v>
      </c>
      <c r="S2328">
        <v>4.4279999999999999</v>
      </c>
      <c r="T2328">
        <v>0.26129999999999998</v>
      </c>
      <c r="U2328">
        <f t="shared" si="200"/>
        <v>0</v>
      </c>
      <c r="V2328" t="str">
        <f t="shared" si="197"/>
        <v>High Pupil Safety</v>
      </c>
      <c r="W2328" t="str">
        <f t="shared" si="198"/>
        <v>Pupil Safety</v>
      </c>
    </row>
    <row r="2329" spans="1:23" x14ac:dyDescent="0.25">
      <c r="A2329">
        <v>29320</v>
      </c>
      <c r="B2329" t="s">
        <v>1275</v>
      </c>
      <c r="C2329">
        <v>6</v>
      </c>
      <c r="D2329" t="s">
        <v>1264</v>
      </c>
      <c r="E2329">
        <v>100158</v>
      </c>
      <c r="F2329">
        <v>29320</v>
      </c>
      <c r="G2329" t="str">
        <f t="shared" si="196"/>
        <v>29320</v>
      </c>
      <c r="H2329" t="s">
        <v>503</v>
      </c>
      <c r="I2329" t="s">
        <v>1265</v>
      </c>
      <c r="J2329" t="s">
        <v>1276</v>
      </c>
      <c r="K2329" t="s">
        <v>1277</v>
      </c>
      <c r="L2329" t="s">
        <v>1275</v>
      </c>
      <c r="M2329" t="s">
        <v>1278</v>
      </c>
      <c r="N2329">
        <v>1</v>
      </c>
      <c r="O2329" t="str">
        <f t="shared" si="199"/>
        <v>42</v>
      </c>
      <c r="P2329">
        <v>42</v>
      </c>
      <c r="R2329" t="s">
        <v>1269</v>
      </c>
      <c r="S2329">
        <v>6</v>
      </c>
      <c r="T2329">
        <v>0.26129999999999998</v>
      </c>
      <c r="U2329">
        <f t="shared" si="200"/>
        <v>0</v>
      </c>
      <c r="V2329" t="str">
        <f t="shared" si="197"/>
        <v>Elementary Counselor</v>
      </c>
      <c r="W2329" t="str">
        <f t="shared" si="198"/>
        <v>Counselor</v>
      </c>
    </row>
    <row r="2330" spans="1:23" x14ac:dyDescent="0.25">
      <c r="A2330">
        <v>29320</v>
      </c>
      <c r="B2330" t="s">
        <v>1270</v>
      </c>
      <c r="C2330">
        <v>4.5</v>
      </c>
      <c r="D2330" t="s">
        <v>1264</v>
      </c>
      <c r="E2330">
        <v>100158</v>
      </c>
      <c r="F2330">
        <v>29320</v>
      </c>
      <c r="G2330" t="str">
        <f t="shared" si="196"/>
        <v>29320</v>
      </c>
      <c r="H2330" t="s">
        <v>503</v>
      </c>
      <c r="I2330" t="s">
        <v>1265</v>
      </c>
      <c r="J2330" t="s">
        <v>1271</v>
      </c>
      <c r="K2330" t="s">
        <v>1272</v>
      </c>
      <c r="L2330" t="s">
        <v>1270</v>
      </c>
      <c r="M2330" t="s">
        <v>1273</v>
      </c>
      <c r="N2330">
        <v>1</v>
      </c>
      <c r="O2330" t="str">
        <f t="shared" si="199"/>
        <v>42</v>
      </c>
      <c r="P2330">
        <v>42</v>
      </c>
      <c r="R2330" t="s">
        <v>1269</v>
      </c>
      <c r="S2330">
        <v>4.5</v>
      </c>
      <c r="T2330">
        <v>0.26129999999999998</v>
      </c>
      <c r="U2330">
        <f t="shared" si="200"/>
        <v>0</v>
      </c>
      <c r="V2330" t="str">
        <f t="shared" si="197"/>
        <v>High Counselor</v>
      </c>
      <c r="W2330" t="str">
        <f t="shared" si="198"/>
        <v>Counselor</v>
      </c>
    </row>
    <row r="2331" spans="1:23" x14ac:dyDescent="0.25">
      <c r="A2331">
        <v>29320</v>
      </c>
      <c r="B2331" t="s">
        <v>1263</v>
      </c>
      <c r="C2331">
        <v>4</v>
      </c>
      <c r="D2331" t="s">
        <v>1264</v>
      </c>
      <c r="E2331">
        <v>100158</v>
      </c>
      <c r="F2331">
        <v>29320</v>
      </c>
      <c r="G2331" t="str">
        <f t="shared" si="196"/>
        <v>29320</v>
      </c>
      <c r="H2331" t="s">
        <v>503</v>
      </c>
      <c r="I2331" t="s">
        <v>1265</v>
      </c>
      <c r="J2331" t="s">
        <v>1266</v>
      </c>
      <c r="K2331" t="s">
        <v>1267</v>
      </c>
      <c r="L2331" t="s">
        <v>1263</v>
      </c>
      <c r="M2331" t="s">
        <v>1268</v>
      </c>
      <c r="N2331">
        <v>1</v>
      </c>
      <c r="O2331" t="str">
        <f t="shared" si="199"/>
        <v>42</v>
      </c>
      <c r="P2331">
        <v>42</v>
      </c>
      <c r="R2331" t="s">
        <v>1269</v>
      </c>
      <c r="S2331">
        <v>4</v>
      </c>
      <c r="T2331">
        <v>0.26129999999999998</v>
      </c>
      <c r="U2331">
        <f t="shared" si="200"/>
        <v>0</v>
      </c>
      <c r="V2331" t="str">
        <f t="shared" si="197"/>
        <v>Middle Counselor</v>
      </c>
      <c r="W2331" t="str">
        <f t="shared" si="198"/>
        <v>Counselor</v>
      </c>
    </row>
    <row r="2332" spans="1:23" x14ac:dyDescent="0.25">
      <c r="A2332">
        <v>29320</v>
      </c>
      <c r="B2332" t="s">
        <v>1289</v>
      </c>
      <c r="C2332">
        <v>1.8</v>
      </c>
      <c r="D2332" t="s">
        <v>1264</v>
      </c>
      <c r="E2332">
        <v>100158</v>
      </c>
      <c r="F2332">
        <v>29320</v>
      </c>
      <c r="G2332" t="str">
        <f t="shared" si="196"/>
        <v>29320</v>
      </c>
      <c r="H2332" t="s">
        <v>503</v>
      </c>
      <c r="I2332" t="s">
        <v>1265</v>
      </c>
      <c r="J2332" t="s">
        <v>1276</v>
      </c>
      <c r="K2332" t="s">
        <v>1277</v>
      </c>
      <c r="L2332" t="s">
        <v>1289</v>
      </c>
      <c r="M2332" t="s">
        <v>1307</v>
      </c>
      <c r="N2332">
        <v>21</v>
      </c>
      <c r="O2332" t="str">
        <f t="shared" si="199"/>
        <v>43</v>
      </c>
      <c r="P2332">
        <v>43</v>
      </c>
      <c r="R2332" t="s">
        <v>1269</v>
      </c>
      <c r="S2332">
        <v>1.8</v>
      </c>
      <c r="T2332">
        <v>0.26129999999999998</v>
      </c>
      <c r="U2332">
        <f t="shared" si="200"/>
        <v>0.47</v>
      </c>
      <c r="V2332" t="str">
        <f t="shared" si="197"/>
        <v>Elementary Occupational Therapist</v>
      </c>
      <c r="W2332" t="str">
        <f t="shared" si="198"/>
        <v>Occupational Therapist</v>
      </c>
    </row>
    <row r="2333" spans="1:23" x14ac:dyDescent="0.25">
      <c r="A2333">
        <v>29320</v>
      </c>
      <c r="B2333" t="s">
        <v>1387</v>
      </c>
      <c r="C2333">
        <v>0.2</v>
      </c>
      <c r="D2333" t="s">
        <v>1264</v>
      </c>
      <c r="E2333">
        <v>100158</v>
      </c>
      <c r="F2333">
        <v>29320</v>
      </c>
      <c r="G2333" t="str">
        <f t="shared" si="196"/>
        <v>29320</v>
      </c>
      <c r="H2333" t="s">
        <v>503</v>
      </c>
      <c r="I2333" t="s">
        <v>1265</v>
      </c>
      <c r="J2333" t="s">
        <v>1271</v>
      </c>
      <c r="K2333" t="s">
        <v>1272</v>
      </c>
      <c r="L2333" t="s">
        <v>1387</v>
      </c>
      <c r="M2333" t="s">
        <v>1406</v>
      </c>
      <c r="N2333">
        <v>21</v>
      </c>
      <c r="O2333" t="str">
        <f t="shared" si="199"/>
        <v>43</v>
      </c>
      <c r="P2333">
        <v>43</v>
      </c>
      <c r="R2333" t="s">
        <v>1269</v>
      </c>
      <c r="S2333">
        <v>0.2</v>
      </c>
      <c r="T2333">
        <v>0.26129999999999998</v>
      </c>
      <c r="U2333">
        <f t="shared" si="200"/>
        <v>5.1999999999999998E-2</v>
      </c>
      <c r="V2333" t="str">
        <f t="shared" si="197"/>
        <v>High Occupational Therapist</v>
      </c>
      <c r="W2333" t="str">
        <f t="shared" si="198"/>
        <v>Occupational Therapist</v>
      </c>
    </row>
    <row r="2334" spans="1:23" x14ac:dyDescent="0.25">
      <c r="A2334">
        <v>29320</v>
      </c>
      <c r="B2334" t="s">
        <v>1331</v>
      </c>
      <c r="C2334">
        <v>2.25</v>
      </c>
      <c r="D2334" t="s">
        <v>1264</v>
      </c>
      <c r="E2334">
        <v>100158</v>
      </c>
      <c r="F2334">
        <v>29320</v>
      </c>
      <c r="G2334" t="str">
        <f t="shared" si="196"/>
        <v>29320</v>
      </c>
      <c r="H2334" t="s">
        <v>503</v>
      </c>
      <c r="I2334" t="s">
        <v>1265</v>
      </c>
      <c r="J2334" t="s">
        <v>1276</v>
      </c>
      <c r="K2334" t="s">
        <v>1277</v>
      </c>
      <c r="L2334" t="s">
        <v>1331</v>
      </c>
      <c r="M2334" t="s">
        <v>1405</v>
      </c>
      <c r="N2334">
        <v>1</v>
      </c>
      <c r="O2334" t="str">
        <f t="shared" si="199"/>
        <v>44</v>
      </c>
      <c r="P2334">
        <v>44</v>
      </c>
      <c r="R2334" t="s">
        <v>1269</v>
      </c>
      <c r="S2334">
        <v>2.25</v>
      </c>
      <c r="T2334">
        <v>0.26129999999999998</v>
      </c>
      <c r="U2334">
        <f t="shared" si="200"/>
        <v>0</v>
      </c>
      <c r="V2334" t="str">
        <f t="shared" si="197"/>
        <v>Elementary Social Worker</v>
      </c>
      <c r="W2334" t="str">
        <f t="shared" si="198"/>
        <v>Social Worker</v>
      </c>
    </row>
    <row r="2335" spans="1:23" x14ac:dyDescent="0.25">
      <c r="A2335">
        <v>29320</v>
      </c>
      <c r="B2335" t="s">
        <v>1359</v>
      </c>
      <c r="C2335">
        <v>0.8</v>
      </c>
      <c r="D2335" t="s">
        <v>1264</v>
      </c>
      <c r="E2335">
        <v>100158</v>
      </c>
      <c r="F2335">
        <v>29320</v>
      </c>
      <c r="G2335" t="str">
        <f t="shared" si="196"/>
        <v>29320</v>
      </c>
      <c r="H2335" t="s">
        <v>503</v>
      </c>
      <c r="I2335" t="s">
        <v>1265</v>
      </c>
      <c r="J2335" t="s">
        <v>1271</v>
      </c>
      <c r="K2335" t="s">
        <v>1272</v>
      </c>
      <c r="L2335" t="s">
        <v>1359</v>
      </c>
      <c r="M2335" t="s">
        <v>1360</v>
      </c>
      <c r="N2335">
        <v>1</v>
      </c>
      <c r="O2335" t="str">
        <f t="shared" si="199"/>
        <v>44</v>
      </c>
      <c r="P2335">
        <v>44</v>
      </c>
      <c r="R2335" t="s">
        <v>1269</v>
      </c>
      <c r="S2335">
        <v>0.8</v>
      </c>
      <c r="T2335">
        <v>0.26129999999999998</v>
      </c>
      <c r="U2335">
        <f t="shared" si="200"/>
        <v>0</v>
      </c>
      <c r="V2335" t="str">
        <f t="shared" si="197"/>
        <v>High Social Worker</v>
      </c>
      <c r="W2335" t="str">
        <f t="shared" si="198"/>
        <v>Social Worker</v>
      </c>
    </row>
    <row r="2336" spans="1:23" x14ac:dyDescent="0.25">
      <c r="A2336">
        <v>29320</v>
      </c>
      <c r="B2336" t="s">
        <v>1356</v>
      </c>
      <c r="C2336">
        <v>0.33</v>
      </c>
      <c r="D2336" t="s">
        <v>1264</v>
      </c>
      <c r="E2336">
        <v>100158</v>
      </c>
      <c r="F2336">
        <v>29320</v>
      </c>
      <c r="G2336" t="str">
        <f t="shared" si="196"/>
        <v>29320</v>
      </c>
      <c r="H2336" t="s">
        <v>503</v>
      </c>
      <c r="I2336" t="s">
        <v>1265</v>
      </c>
      <c r="J2336" t="s">
        <v>1266</v>
      </c>
      <c r="K2336" t="s">
        <v>1267</v>
      </c>
      <c r="L2336" t="s">
        <v>1356</v>
      </c>
      <c r="M2336" t="s">
        <v>1357</v>
      </c>
      <c r="N2336">
        <v>1</v>
      </c>
      <c r="O2336" t="str">
        <f t="shared" si="199"/>
        <v>44</v>
      </c>
      <c r="P2336">
        <v>44</v>
      </c>
      <c r="R2336" t="s">
        <v>1269</v>
      </c>
      <c r="S2336">
        <v>0.33</v>
      </c>
      <c r="T2336">
        <v>0.26129999999999998</v>
      </c>
      <c r="U2336">
        <f t="shared" si="200"/>
        <v>0</v>
      </c>
      <c r="V2336" t="str">
        <f t="shared" si="197"/>
        <v>Middle Social Worker</v>
      </c>
      <c r="W2336" t="str">
        <f t="shared" si="198"/>
        <v>Social Worker</v>
      </c>
    </row>
    <row r="2337" spans="1:23" x14ac:dyDescent="0.25">
      <c r="A2337">
        <v>29320</v>
      </c>
      <c r="B2337" t="s">
        <v>1294</v>
      </c>
      <c r="C2337">
        <v>7.2960000000000003</v>
      </c>
      <c r="D2337" t="s">
        <v>1264</v>
      </c>
      <c r="E2337">
        <v>100158</v>
      </c>
      <c r="F2337">
        <v>29320</v>
      </c>
      <c r="G2337" t="str">
        <f t="shared" si="196"/>
        <v>29320</v>
      </c>
      <c r="H2337" t="s">
        <v>503</v>
      </c>
      <c r="I2337" t="s">
        <v>1265</v>
      </c>
      <c r="J2337" t="s">
        <v>1276</v>
      </c>
      <c r="K2337" t="s">
        <v>1277</v>
      </c>
      <c r="L2337" t="s">
        <v>1294</v>
      </c>
      <c r="M2337" t="s">
        <v>1354</v>
      </c>
      <c r="N2337">
        <v>21</v>
      </c>
      <c r="O2337" t="str">
        <f t="shared" si="199"/>
        <v>45</v>
      </c>
      <c r="P2337">
        <v>45</v>
      </c>
      <c r="R2337" t="s">
        <v>1269</v>
      </c>
      <c r="S2337">
        <v>7.2960000000000003</v>
      </c>
      <c r="T2337">
        <v>0.26129999999999998</v>
      </c>
      <c r="U2337">
        <f t="shared" si="200"/>
        <v>1.9059999999999999</v>
      </c>
      <c r="V2337" t="str">
        <f t="shared" si="197"/>
        <v>Elementary Speech, Language Pathway/
Audio</v>
      </c>
      <c r="W2337" t="str">
        <f t="shared" si="198"/>
        <v>Speech, Language Pathway/
Audio</v>
      </c>
    </row>
    <row r="2338" spans="1:23" x14ac:dyDescent="0.25">
      <c r="A2338">
        <v>29320</v>
      </c>
      <c r="B2338" t="s">
        <v>1326</v>
      </c>
      <c r="C2338">
        <v>1.7</v>
      </c>
      <c r="D2338" t="s">
        <v>1264</v>
      </c>
      <c r="E2338">
        <v>100158</v>
      </c>
      <c r="F2338">
        <v>29320</v>
      </c>
      <c r="G2338" t="str">
        <f t="shared" si="196"/>
        <v>29320</v>
      </c>
      <c r="H2338" t="s">
        <v>503</v>
      </c>
      <c r="I2338" t="s">
        <v>1265</v>
      </c>
      <c r="J2338" t="s">
        <v>1271</v>
      </c>
      <c r="K2338" t="s">
        <v>1272</v>
      </c>
      <c r="L2338" t="s">
        <v>1326</v>
      </c>
      <c r="M2338" t="s">
        <v>1353</v>
      </c>
      <c r="N2338">
        <v>21</v>
      </c>
      <c r="O2338" t="str">
        <f t="shared" si="199"/>
        <v>45</v>
      </c>
      <c r="P2338">
        <v>45</v>
      </c>
      <c r="R2338" t="s">
        <v>1269</v>
      </c>
      <c r="S2338">
        <v>1.7</v>
      </c>
      <c r="T2338">
        <v>0.26129999999999998</v>
      </c>
      <c r="U2338">
        <f t="shared" si="200"/>
        <v>0.44400000000000001</v>
      </c>
      <c r="V2338" t="str">
        <f t="shared" si="197"/>
        <v>High Speech, Language Pathway/
Audio</v>
      </c>
      <c r="W2338" t="str">
        <f t="shared" si="198"/>
        <v>Speech, Language Pathway/
Audio</v>
      </c>
    </row>
    <row r="2339" spans="1:23" x14ac:dyDescent="0.25">
      <c r="A2339">
        <v>29320</v>
      </c>
      <c r="B2339" t="s">
        <v>1312</v>
      </c>
      <c r="C2339">
        <v>1.1719999999999999</v>
      </c>
      <c r="D2339" t="s">
        <v>1264</v>
      </c>
      <c r="E2339">
        <v>100158</v>
      </c>
      <c r="F2339">
        <v>29320</v>
      </c>
      <c r="G2339" t="str">
        <f t="shared" si="196"/>
        <v>29320</v>
      </c>
      <c r="H2339" t="s">
        <v>503</v>
      </c>
      <c r="I2339" t="s">
        <v>1265</v>
      </c>
      <c r="J2339" t="s">
        <v>1266</v>
      </c>
      <c r="K2339" t="s">
        <v>1267</v>
      </c>
      <c r="L2339" t="s">
        <v>1312</v>
      </c>
      <c r="M2339" t="s">
        <v>1351</v>
      </c>
      <c r="N2339">
        <v>21</v>
      </c>
      <c r="O2339" t="str">
        <f t="shared" si="199"/>
        <v>45</v>
      </c>
      <c r="P2339">
        <v>45</v>
      </c>
      <c r="R2339" t="s">
        <v>1269</v>
      </c>
      <c r="S2339">
        <v>1.1719999999999999</v>
      </c>
      <c r="T2339">
        <v>0.26129999999999998</v>
      </c>
      <c r="U2339">
        <f t="shared" si="200"/>
        <v>0.30599999999999999</v>
      </c>
      <c r="V2339" t="str">
        <f t="shared" si="197"/>
        <v>Middle Speech, Language Pathway/
Audio</v>
      </c>
      <c r="W2339" t="str">
        <f t="shared" si="198"/>
        <v>Speech, Language Pathway/
Audio</v>
      </c>
    </row>
    <row r="2340" spans="1:23" x14ac:dyDescent="0.25">
      <c r="A2340">
        <v>29320</v>
      </c>
      <c r="B2340" t="s">
        <v>1335</v>
      </c>
      <c r="C2340">
        <v>2.347</v>
      </c>
      <c r="D2340" t="s">
        <v>1264</v>
      </c>
      <c r="E2340">
        <v>100158</v>
      </c>
      <c r="F2340">
        <v>29320</v>
      </c>
      <c r="G2340" t="str">
        <f t="shared" si="196"/>
        <v>29320</v>
      </c>
      <c r="H2340" t="s">
        <v>503</v>
      </c>
      <c r="I2340" t="s">
        <v>1265</v>
      </c>
      <c r="J2340" t="s">
        <v>1276</v>
      </c>
      <c r="K2340" t="s">
        <v>1277</v>
      </c>
      <c r="L2340" t="s">
        <v>1335</v>
      </c>
      <c r="M2340" t="s">
        <v>1344</v>
      </c>
      <c r="N2340">
        <v>1</v>
      </c>
      <c r="O2340" t="str">
        <f t="shared" si="199"/>
        <v>47</v>
      </c>
      <c r="P2340">
        <v>47</v>
      </c>
      <c r="R2340" t="s">
        <v>1269</v>
      </c>
      <c r="S2340">
        <v>2.347</v>
      </c>
      <c r="T2340">
        <v>0.26129999999999998</v>
      </c>
      <c r="U2340">
        <f t="shared" si="200"/>
        <v>0</v>
      </c>
      <c r="V2340" t="str">
        <f t="shared" si="197"/>
        <v>Elementary Nurse</v>
      </c>
      <c r="W2340" t="str">
        <f t="shared" si="198"/>
        <v>Nurse</v>
      </c>
    </row>
    <row r="2341" spans="1:23" x14ac:dyDescent="0.25">
      <c r="A2341">
        <v>29320</v>
      </c>
      <c r="B2341" t="s">
        <v>1341</v>
      </c>
      <c r="C2341">
        <v>1.06</v>
      </c>
      <c r="D2341" t="s">
        <v>1264</v>
      </c>
      <c r="E2341">
        <v>100158</v>
      </c>
      <c r="F2341">
        <v>29320</v>
      </c>
      <c r="G2341" t="str">
        <f t="shared" si="196"/>
        <v>29320</v>
      </c>
      <c r="H2341" t="s">
        <v>503</v>
      </c>
      <c r="I2341" t="s">
        <v>1265</v>
      </c>
      <c r="J2341" t="s">
        <v>1271</v>
      </c>
      <c r="K2341" t="s">
        <v>1272</v>
      </c>
      <c r="L2341" t="s">
        <v>1341</v>
      </c>
      <c r="M2341" t="s">
        <v>1342</v>
      </c>
      <c r="N2341">
        <v>1</v>
      </c>
      <c r="O2341" t="str">
        <f t="shared" si="199"/>
        <v>47</v>
      </c>
      <c r="P2341">
        <v>47</v>
      </c>
      <c r="R2341" t="s">
        <v>1269</v>
      </c>
      <c r="S2341">
        <v>1.06</v>
      </c>
      <c r="T2341">
        <v>0.26129999999999998</v>
      </c>
      <c r="U2341">
        <f t="shared" si="200"/>
        <v>0</v>
      </c>
      <c r="V2341" t="str">
        <f t="shared" si="197"/>
        <v>High Nurse</v>
      </c>
      <c r="W2341" t="str">
        <f t="shared" si="198"/>
        <v>Nurse</v>
      </c>
    </row>
    <row r="2342" spans="1:23" x14ac:dyDescent="0.25">
      <c r="A2342">
        <v>29320</v>
      </c>
      <c r="B2342" t="s">
        <v>1338</v>
      </c>
      <c r="C2342">
        <v>0.79300000000000004</v>
      </c>
      <c r="D2342" t="s">
        <v>1264</v>
      </c>
      <c r="E2342">
        <v>100158</v>
      </c>
      <c r="F2342">
        <v>29320</v>
      </c>
      <c r="G2342" t="str">
        <f t="shared" si="196"/>
        <v>29320</v>
      </c>
      <c r="H2342" t="s">
        <v>503</v>
      </c>
      <c r="I2342" t="s">
        <v>1265</v>
      </c>
      <c r="J2342" t="s">
        <v>1266</v>
      </c>
      <c r="K2342" t="s">
        <v>1267</v>
      </c>
      <c r="L2342" t="s">
        <v>1338</v>
      </c>
      <c r="M2342" t="s">
        <v>1339</v>
      </c>
      <c r="N2342">
        <v>1</v>
      </c>
      <c r="O2342" t="str">
        <f t="shared" si="199"/>
        <v>47</v>
      </c>
      <c r="P2342">
        <v>47</v>
      </c>
      <c r="R2342" t="s">
        <v>1269</v>
      </c>
      <c r="S2342">
        <v>0.79300000000000004</v>
      </c>
      <c r="T2342">
        <v>0.26129999999999998</v>
      </c>
      <c r="U2342">
        <f t="shared" si="200"/>
        <v>0</v>
      </c>
      <c r="V2342" t="str">
        <f t="shared" si="197"/>
        <v>Middle Nurse</v>
      </c>
      <c r="W2342" t="str">
        <f t="shared" si="198"/>
        <v>Nurse</v>
      </c>
    </row>
    <row r="2343" spans="1:23" x14ac:dyDescent="0.25">
      <c r="A2343">
        <v>29320</v>
      </c>
      <c r="B2343" t="s">
        <v>1302</v>
      </c>
      <c r="C2343">
        <v>0.33</v>
      </c>
      <c r="D2343" t="s">
        <v>1264</v>
      </c>
      <c r="E2343">
        <v>100158</v>
      </c>
      <c r="F2343">
        <v>29320</v>
      </c>
      <c r="G2343" t="str">
        <f t="shared" si="196"/>
        <v>29320</v>
      </c>
      <c r="H2343" t="s">
        <v>503</v>
      </c>
      <c r="I2343" t="s">
        <v>1265</v>
      </c>
      <c r="J2343" t="s">
        <v>1276</v>
      </c>
      <c r="K2343" t="s">
        <v>1277</v>
      </c>
      <c r="L2343" t="s">
        <v>1302</v>
      </c>
      <c r="M2343" t="s">
        <v>1336</v>
      </c>
      <c r="N2343">
        <v>21</v>
      </c>
      <c r="O2343" t="str">
        <f t="shared" si="199"/>
        <v>48</v>
      </c>
      <c r="P2343">
        <v>48</v>
      </c>
      <c r="R2343" t="s">
        <v>1269</v>
      </c>
      <c r="S2343">
        <v>0.33</v>
      </c>
      <c r="T2343">
        <v>0.26129999999999998</v>
      </c>
      <c r="U2343">
        <f t="shared" si="200"/>
        <v>8.5999999999999993E-2</v>
      </c>
      <c r="V2343" t="str">
        <f t="shared" si="197"/>
        <v>Elementary Physical Therapist</v>
      </c>
      <c r="W2343" t="str">
        <f t="shared" si="198"/>
        <v>Physical Therapist</v>
      </c>
    </row>
    <row r="2344" spans="1:23" x14ac:dyDescent="0.25">
      <c r="A2344">
        <v>29320</v>
      </c>
      <c r="B2344" t="s">
        <v>1330</v>
      </c>
      <c r="C2344">
        <v>0.09</v>
      </c>
      <c r="D2344" t="s">
        <v>1264</v>
      </c>
      <c r="E2344">
        <v>100158</v>
      </c>
      <c r="F2344">
        <v>29320</v>
      </c>
      <c r="G2344" t="str">
        <f t="shared" si="196"/>
        <v>29320</v>
      </c>
      <c r="H2344" t="s">
        <v>503</v>
      </c>
      <c r="I2344" t="s">
        <v>1265</v>
      </c>
      <c r="J2344" t="s">
        <v>1271</v>
      </c>
      <c r="K2344" t="s">
        <v>1272</v>
      </c>
      <c r="L2344" t="s">
        <v>1330</v>
      </c>
      <c r="M2344" t="s">
        <v>1367</v>
      </c>
      <c r="N2344">
        <v>21</v>
      </c>
      <c r="O2344" t="str">
        <f t="shared" si="199"/>
        <v>48</v>
      </c>
      <c r="P2344">
        <v>48</v>
      </c>
      <c r="R2344" t="s">
        <v>1269</v>
      </c>
      <c r="S2344">
        <v>0.09</v>
      </c>
      <c r="T2344">
        <v>0.26129999999999998</v>
      </c>
      <c r="U2344">
        <f t="shared" si="200"/>
        <v>2.4E-2</v>
      </c>
      <c r="V2344" t="str">
        <f t="shared" si="197"/>
        <v>High Physical Therapist</v>
      </c>
      <c r="W2344" t="str">
        <f t="shared" si="198"/>
        <v>Physical Therapist</v>
      </c>
    </row>
    <row r="2345" spans="1:23" x14ac:dyDescent="0.25">
      <c r="A2345">
        <v>29320</v>
      </c>
      <c r="B2345" t="s">
        <v>1316</v>
      </c>
      <c r="C2345">
        <v>0.18</v>
      </c>
      <c r="D2345" t="s">
        <v>1264</v>
      </c>
      <c r="E2345">
        <v>100158</v>
      </c>
      <c r="F2345">
        <v>29320</v>
      </c>
      <c r="G2345" t="str">
        <f t="shared" si="196"/>
        <v>29320</v>
      </c>
      <c r="H2345" t="s">
        <v>503</v>
      </c>
      <c r="I2345" t="s">
        <v>1265</v>
      </c>
      <c r="J2345" t="s">
        <v>1266</v>
      </c>
      <c r="K2345" t="s">
        <v>1267</v>
      </c>
      <c r="L2345" t="s">
        <v>1316</v>
      </c>
      <c r="M2345" t="s">
        <v>1366</v>
      </c>
      <c r="N2345">
        <v>21</v>
      </c>
      <c r="O2345" t="str">
        <f t="shared" si="199"/>
        <v>48</v>
      </c>
      <c r="P2345">
        <v>48</v>
      </c>
      <c r="R2345" t="s">
        <v>1269</v>
      </c>
      <c r="S2345">
        <v>0.18</v>
      </c>
      <c r="T2345">
        <v>0.26129999999999998</v>
      </c>
      <c r="U2345">
        <f t="shared" si="200"/>
        <v>4.7E-2</v>
      </c>
      <c r="V2345" t="str">
        <f t="shared" si="197"/>
        <v>Middle Physical Therapist</v>
      </c>
      <c r="W2345" t="str">
        <f t="shared" si="198"/>
        <v>Physical Therapist</v>
      </c>
    </row>
    <row r="2346" spans="1:23" x14ac:dyDescent="0.25">
      <c r="A2346">
        <v>30002</v>
      </c>
      <c r="B2346" t="s">
        <v>1295</v>
      </c>
      <c r="C2346">
        <v>0.20100000000000001</v>
      </c>
      <c r="D2346" t="s">
        <v>1264</v>
      </c>
      <c r="E2346">
        <v>100237</v>
      </c>
      <c r="F2346">
        <v>30002</v>
      </c>
      <c r="G2346" t="str">
        <f t="shared" si="196"/>
        <v>30002</v>
      </c>
      <c r="H2346" t="s">
        <v>504</v>
      </c>
      <c r="I2346" t="s">
        <v>1265</v>
      </c>
      <c r="J2346" t="s">
        <v>1271</v>
      </c>
      <c r="K2346" t="s">
        <v>1272</v>
      </c>
      <c r="L2346" t="s">
        <v>1295</v>
      </c>
      <c r="M2346" t="s">
        <v>1296</v>
      </c>
      <c r="N2346">
        <v>1</v>
      </c>
      <c r="O2346" t="str">
        <f t="shared" si="199"/>
        <v>26</v>
      </c>
      <c r="Q2346">
        <v>26</v>
      </c>
      <c r="R2346" t="s">
        <v>1269</v>
      </c>
      <c r="S2346">
        <v>0.20100000000000001</v>
      </c>
      <c r="T2346">
        <v>0.1913</v>
      </c>
      <c r="U2346">
        <f t="shared" si="200"/>
        <v>0</v>
      </c>
      <c r="V2346" t="str">
        <f t="shared" si="197"/>
        <v>High Health/
Related Services</v>
      </c>
      <c r="W2346" t="str">
        <f t="shared" si="198"/>
        <v>Health/
Related Services</v>
      </c>
    </row>
    <row r="2347" spans="1:23" x14ac:dyDescent="0.25">
      <c r="A2347">
        <v>30029</v>
      </c>
      <c r="B2347" t="s">
        <v>1295</v>
      </c>
      <c r="C2347">
        <v>0.28000000000000003</v>
      </c>
      <c r="D2347" t="s">
        <v>1264</v>
      </c>
      <c r="E2347">
        <v>100157</v>
      </c>
      <c r="F2347">
        <v>30029</v>
      </c>
      <c r="G2347" t="str">
        <f t="shared" si="196"/>
        <v>30029</v>
      </c>
      <c r="H2347" t="s">
        <v>505</v>
      </c>
      <c r="I2347" t="s">
        <v>1265</v>
      </c>
      <c r="J2347" t="s">
        <v>1271</v>
      </c>
      <c r="K2347" t="s">
        <v>1272</v>
      </c>
      <c r="L2347" t="s">
        <v>1295</v>
      </c>
      <c r="M2347" t="s">
        <v>1296</v>
      </c>
      <c r="N2347">
        <v>1</v>
      </c>
      <c r="O2347" t="str">
        <f t="shared" si="199"/>
        <v>26</v>
      </c>
      <c r="Q2347">
        <v>26</v>
      </c>
      <c r="R2347" t="s">
        <v>1269</v>
      </c>
      <c r="S2347">
        <v>0.28000000000000003</v>
      </c>
      <c r="T2347">
        <v>0.1913</v>
      </c>
      <c r="U2347">
        <f t="shared" si="200"/>
        <v>0</v>
      </c>
      <c r="V2347" t="str">
        <f t="shared" si="197"/>
        <v>High Health/
Related Services</v>
      </c>
      <c r="W2347" t="str">
        <f t="shared" si="198"/>
        <v>Health/
Related Services</v>
      </c>
    </row>
    <row r="2348" spans="1:23" x14ac:dyDescent="0.25">
      <c r="A2348">
        <v>30031</v>
      </c>
      <c r="B2348" t="s">
        <v>1270</v>
      </c>
      <c r="C2348">
        <v>0.75</v>
      </c>
      <c r="D2348" t="s">
        <v>1264</v>
      </c>
      <c r="E2348">
        <v>100149</v>
      </c>
      <c r="F2348">
        <v>30031</v>
      </c>
      <c r="G2348" t="str">
        <f t="shared" si="196"/>
        <v>30031</v>
      </c>
      <c r="H2348" t="s">
        <v>506</v>
      </c>
      <c r="I2348" t="s">
        <v>1265</v>
      </c>
      <c r="J2348" t="s">
        <v>1271</v>
      </c>
      <c r="K2348" t="s">
        <v>1272</v>
      </c>
      <c r="L2348" t="s">
        <v>1270</v>
      </c>
      <c r="M2348" t="s">
        <v>1273</v>
      </c>
      <c r="N2348">
        <v>1</v>
      </c>
      <c r="O2348" t="str">
        <f t="shared" si="199"/>
        <v>42</v>
      </c>
      <c r="P2348">
        <v>42</v>
      </c>
      <c r="R2348" t="s">
        <v>1269</v>
      </c>
      <c r="S2348">
        <v>0.75</v>
      </c>
      <c r="T2348">
        <v>0.1913</v>
      </c>
      <c r="U2348">
        <f t="shared" si="200"/>
        <v>0</v>
      </c>
      <c r="V2348" t="str">
        <f t="shared" si="197"/>
        <v>High Counselor</v>
      </c>
      <c r="W2348" t="str">
        <f t="shared" si="198"/>
        <v>Counselor</v>
      </c>
    </row>
    <row r="2349" spans="1:23" x14ac:dyDescent="0.25">
      <c r="A2349">
        <v>30303</v>
      </c>
      <c r="B2349" t="s">
        <v>1299</v>
      </c>
      <c r="C2349">
        <v>0.88200000000000001</v>
      </c>
      <c r="D2349" t="s">
        <v>1264</v>
      </c>
      <c r="E2349">
        <v>100256</v>
      </c>
      <c r="F2349">
        <v>30303</v>
      </c>
      <c r="G2349" t="str">
        <f t="shared" si="196"/>
        <v>30303</v>
      </c>
      <c r="H2349" t="s">
        <v>507</v>
      </c>
      <c r="I2349" t="s">
        <v>1265</v>
      </c>
      <c r="J2349" t="s">
        <v>1271</v>
      </c>
      <c r="K2349" t="s">
        <v>1272</v>
      </c>
      <c r="L2349" t="s">
        <v>1299</v>
      </c>
      <c r="M2349" t="s">
        <v>1300</v>
      </c>
      <c r="N2349">
        <v>1</v>
      </c>
      <c r="O2349" t="str">
        <f t="shared" si="199"/>
        <v>25</v>
      </c>
      <c r="Q2349">
        <v>25</v>
      </c>
      <c r="R2349" t="s">
        <v>1269</v>
      </c>
      <c r="S2349">
        <v>0.88200000000000001</v>
      </c>
      <c r="T2349">
        <v>0.1913</v>
      </c>
      <c r="U2349">
        <f t="shared" si="200"/>
        <v>0</v>
      </c>
      <c r="V2349" t="str">
        <f t="shared" si="197"/>
        <v>High Pupil Management</v>
      </c>
      <c r="W2349" t="str">
        <f t="shared" si="198"/>
        <v>Pupil Management</v>
      </c>
    </row>
    <row r="2350" spans="1:23" x14ac:dyDescent="0.25">
      <c r="A2350">
        <v>30303</v>
      </c>
      <c r="B2350" t="s">
        <v>1401</v>
      </c>
      <c r="C2350">
        <v>0.54500000000000004</v>
      </c>
      <c r="D2350" t="s">
        <v>1264</v>
      </c>
      <c r="E2350">
        <v>100256</v>
      </c>
      <c r="F2350">
        <v>30303</v>
      </c>
      <c r="G2350" t="str">
        <f t="shared" si="196"/>
        <v>30303</v>
      </c>
      <c r="H2350" t="s">
        <v>507</v>
      </c>
      <c r="I2350" t="s">
        <v>1265</v>
      </c>
      <c r="J2350" t="s">
        <v>1271</v>
      </c>
      <c r="K2350" t="s">
        <v>1272</v>
      </c>
      <c r="L2350" t="s">
        <v>1401</v>
      </c>
      <c r="M2350" t="s">
        <v>1422</v>
      </c>
      <c r="N2350">
        <v>1</v>
      </c>
      <c r="O2350" t="str">
        <f t="shared" si="199"/>
        <v>35</v>
      </c>
      <c r="Q2350">
        <v>35</v>
      </c>
      <c r="R2350" t="s">
        <v>1269</v>
      </c>
      <c r="S2350">
        <v>0.54500000000000004</v>
      </c>
      <c r="T2350">
        <v>0.1913</v>
      </c>
      <c r="U2350">
        <f t="shared" si="200"/>
        <v>0</v>
      </c>
      <c r="V2350" t="str">
        <f t="shared" si="197"/>
        <v>High Pupil Safety</v>
      </c>
      <c r="W2350" t="str">
        <f t="shared" si="198"/>
        <v>Pupil Safety</v>
      </c>
    </row>
    <row r="2351" spans="1:23" x14ac:dyDescent="0.25">
      <c r="A2351">
        <v>30303</v>
      </c>
      <c r="B2351" t="s">
        <v>1275</v>
      </c>
      <c r="C2351">
        <v>0.8</v>
      </c>
      <c r="D2351" t="s">
        <v>1264</v>
      </c>
      <c r="E2351">
        <v>100256</v>
      </c>
      <c r="F2351">
        <v>30303</v>
      </c>
      <c r="G2351" t="str">
        <f t="shared" si="196"/>
        <v>30303</v>
      </c>
      <c r="H2351" t="s">
        <v>507</v>
      </c>
      <c r="I2351" t="s">
        <v>1265</v>
      </c>
      <c r="J2351" t="s">
        <v>1276</v>
      </c>
      <c r="K2351" t="s">
        <v>1277</v>
      </c>
      <c r="L2351" t="s">
        <v>1275</v>
      </c>
      <c r="M2351" t="s">
        <v>1278</v>
      </c>
      <c r="N2351">
        <v>1</v>
      </c>
      <c r="O2351" t="str">
        <f t="shared" si="199"/>
        <v>42</v>
      </c>
      <c r="P2351">
        <v>42</v>
      </c>
      <c r="R2351" t="s">
        <v>1269</v>
      </c>
      <c r="S2351">
        <v>0.8</v>
      </c>
      <c r="T2351">
        <v>0.1913</v>
      </c>
      <c r="U2351">
        <f t="shared" si="200"/>
        <v>0</v>
      </c>
      <c r="V2351" t="str">
        <f t="shared" si="197"/>
        <v>Elementary Counselor</v>
      </c>
      <c r="W2351" t="str">
        <f t="shared" si="198"/>
        <v>Counselor</v>
      </c>
    </row>
    <row r="2352" spans="1:23" x14ac:dyDescent="0.25">
      <c r="A2352">
        <v>30303</v>
      </c>
      <c r="B2352" t="s">
        <v>1270</v>
      </c>
      <c r="C2352">
        <v>1.2</v>
      </c>
      <c r="D2352" t="s">
        <v>1264</v>
      </c>
      <c r="E2352">
        <v>100256</v>
      </c>
      <c r="F2352">
        <v>30303</v>
      </c>
      <c r="G2352" t="str">
        <f t="shared" si="196"/>
        <v>30303</v>
      </c>
      <c r="H2352" t="s">
        <v>507</v>
      </c>
      <c r="I2352" t="s">
        <v>1265</v>
      </c>
      <c r="J2352" t="s">
        <v>1271</v>
      </c>
      <c r="K2352" t="s">
        <v>1272</v>
      </c>
      <c r="L2352" t="s">
        <v>1270</v>
      </c>
      <c r="M2352" t="s">
        <v>1273</v>
      </c>
      <c r="N2352">
        <v>1</v>
      </c>
      <c r="O2352" t="str">
        <f t="shared" si="199"/>
        <v>42</v>
      </c>
      <c r="P2352">
        <v>42</v>
      </c>
      <c r="R2352" t="s">
        <v>1269</v>
      </c>
      <c r="S2352">
        <v>1.2</v>
      </c>
      <c r="T2352">
        <v>0.1913</v>
      </c>
      <c r="U2352">
        <f t="shared" si="200"/>
        <v>0</v>
      </c>
      <c r="V2352" t="str">
        <f t="shared" si="197"/>
        <v>High Counselor</v>
      </c>
      <c r="W2352" t="str">
        <f t="shared" si="198"/>
        <v>Counselor</v>
      </c>
    </row>
    <row r="2353" spans="1:23" x14ac:dyDescent="0.25">
      <c r="A2353">
        <v>30303</v>
      </c>
      <c r="B2353" t="s">
        <v>1263</v>
      </c>
      <c r="C2353">
        <v>0.8</v>
      </c>
      <c r="D2353" t="s">
        <v>1264</v>
      </c>
      <c r="E2353">
        <v>100256</v>
      </c>
      <c r="F2353">
        <v>30303</v>
      </c>
      <c r="G2353" t="str">
        <f t="shared" si="196"/>
        <v>30303</v>
      </c>
      <c r="H2353" t="s">
        <v>507</v>
      </c>
      <c r="I2353" t="s">
        <v>1265</v>
      </c>
      <c r="J2353" t="s">
        <v>1266</v>
      </c>
      <c r="K2353" t="s">
        <v>1267</v>
      </c>
      <c r="L2353" t="s">
        <v>1263</v>
      </c>
      <c r="M2353" t="s">
        <v>1268</v>
      </c>
      <c r="N2353">
        <v>1</v>
      </c>
      <c r="O2353" t="str">
        <f t="shared" si="199"/>
        <v>42</v>
      </c>
      <c r="P2353">
        <v>42</v>
      </c>
      <c r="R2353" t="s">
        <v>1269</v>
      </c>
      <c r="S2353">
        <v>0.8</v>
      </c>
      <c r="T2353">
        <v>0.1913</v>
      </c>
      <c r="U2353">
        <f t="shared" si="200"/>
        <v>0</v>
      </c>
      <c r="V2353" t="str">
        <f t="shared" si="197"/>
        <v>Middle Counselor</v>
      </c>
      <c r="W2353" t="str">
        <f t="shared" si="198"/>
        <v>Counselor</v>
      </c>
    </row>
    <row r="2354" spans="1:23" x14ac:dyDescent="0.25">
      <c r="A2354">
        <v>31002</v>
      </c>
      <c r="B2354" t="s">
        <v>1286</v>
      </c>
      <c r="C2354">
        <v>0.64300000000000002</v>
      </c>
      <c r="D2354" t="s">
        <v>1264</v>
      </c>
      <c r="E2354">
        <v>100083</v>
      </c>
      <c r="F2354">
        <v>31002</v>
      </c>
      <c r="G2354" t="str">
        <f t="shared" si="196"/>
        <v>31002</v>
      </c>
      <c r="H2354" t="s">
        <v>508</v>
      </c>
      <c r="I2354" t="s">
        <v>1265</v>
      </c>
      <c r="J2354" t="s">
        <v>1271</v>
      </c>
      <c r="K2354" t="s">
        <v>1272</v>
      </c>
      <c r="L2354" t="s">
        <v>1286</v>
      </c>
      <c r="M2354" t="s">
        <v>1287</v>
      </c>
      <c r="N2354">
        <v>1</v>
      </c>
      <c r="O2354" t="str">
        <f t="shared" si="199"/>
        <v>24</v>
      </c>
      <c r="P2354">
        <v>96</v>
      </c>
      <c r="Q2354">
        <v>24</v>
      </c>
      <c r="R2354" t="s">
        <v>1269</v>
      </c>
      <c r="S2354">
        <v>0.64300000000000002</v>
      </c>
      <c r="T2354">
        <v>0.29820000000000002</v>
      </c>
      <c r="U2354">
        <f t="shared" si="200"/>
        <v>0</v>
      </c>
      <c r="V2354" t="str">
        <f t="shared" si="197"/>
        <v>High Family Engagement Coordinator</v>
      </c>
      <c r="W2354" t="str">
        <f t="shared" si="198"/>
        <v>Family Engagement Coordinator</v>
      </c>
    </row>
    <row r="2355" spans="1:23" x14ac:dyDescent="0.25">
      <c r="A2355">
        <v>31002</v>
      </c>
      <c r="B2355" t="s">
        <v>1383</v>
      </c>
      <c r="C2355">
        <v>1.294</v>
      </c>
      <c r="D2355" t="s">
        <v>1264</v>
      </c>
      <c r="E2355">
        <v>100083</v>
      </c>
      <c r="F2355">
        <v>31002</v>
      </c>
      <c r="G2355" t="str">
        <f t="shared" si="196"/>
        <v>31002</v>
      </c>
      <c r="H2355" t="s">
        <v>508</v>
      </c>
      <c r="I2355" t="s">
        <v>1265</v>
      </c>
      <c r="J2355" t="s">
        <v>1271</v>
      </c>
      <c r="K2355" t="s">
        <v>1272</v>
      </c>
      <c r="L2355" t="s">
        <v>1383</v>
      </c>
      <c r="M2355" t="s">
        <v>1409</v>
      </c>
      <c r="N2355">
        <v>21</v>
      </c>
      <c r="O2355" t="str">
        <f t="shared" si="199"/>
        <v>25</v>
      </c>
      <c r="Q2355">
        <v>25</v>
      </c>
      <c r="R2355" t="s">
        <v>1269</v>
      </c>
      <c r="S2355">
        <v>1.294</v>
      </c>
      <c r="T2355">
        <v>0.29820000000000002</v>
      </c>
      <c r="U2355">
        <f t="shared" si="200"/>
        <v>0.38600000000000001</v>
      </c>
      <c r="V2355" t="str">
        <f t="shared" si="197"/>
        <v>High Pupil Management</v>
      </c>
      <c r="W2355" t="str">
        <f t="shared" si="198"/>
        <v>Pupil Management</v>
      </c>
    </row>
    <row r="2356" spans="1:23" x14ac:dyDescent="0.25">
      <c r="A2356">
        <v>31002</v>
      </c>
      <c r="B2356" t="s">
        <v>1299</v>
      </c>
      <c r="C2356">
        <v>33.484000000000002</v>
      </c>
      <c r="D2356" t="s">
        <v>1264</v>
      </c>
      <c r="E2356">
        <v>100083</v>
      </c>
      <c r="F2356">
        <v>31002</v>
      </c>
      <c r="G2356" t="str">
        <f t="shared" si="196"/>
        <v>31002</v>
      </c>
      <c r="H2356" t="s">
        <v>508</v>
      </c>
      <c r="I2356" t="s">
        <v>1265</v>
      </c>
      <c r="J2356" t="s">
        <v>1271</v>
      </c>
      <c r="K2356" t="s">
        <v>1272</v>
      </c>
      <c r="L2356" t="s">
        <v>1299</v>
      </c>
      <c r="M2356" t="s">
        <v>1300</v>
      </c>
      <c r="N2356">
        <v>1</v>
      </c>
      <c r="O2356" t="str">
        <f t="shared" si="199"/>
        <v>25</v>
      </c>
      <c r="Q2356">
        <v>25</v>
      </c>
      <c r="R2356" t="s">
        <v>1269</v>
      </c>
      <c r="S2356">
        <v>33.484000000000002</v>
      </c>
      <c r="T2356">
        <v>0.29820000000000002</v>
      </c>
      <c r="U2356">
        <f t="shared" si="200"/>
        <v>0</v>
      </c>
      <c r="V2356" t="str">
        <f t="shared" si="197"/>
        <v>High Pupil Management</v>
      </c>
      <c r="W2356" t="str">
        <f t="shared" si="198"/>
        <v>Pupil Management</v>
      </c>
    </row>
    <row r="2357" spans="1:23" x14ac:dyDescent="0.25">
      <c r="A2357">
        <v>31002</v>
      </c>
      <c r="B2357" t="s">
        <v>1324</v>
      </c>
      <c r="C2357">
        <v>5.3150000000000004</v>
      </c>
      <c r="D2357" t="s">
        <v>1264</v>
      </c>
      <c r="E2357">
        <v>100083</v>
      </c>
      <c r="F2357">
        <v>31002</v>
      </c>
      <c r="G2357" t="str">
        <f t="shared" si="196"/>
        <v>31002</v>
      </c>
      <c r="H2357" t="s">
        <v>508</v>
      </c>
      <c r="I2357" t="s">
        <v>1265</v>
      </c>
      <c r="J2357" t="s">
        <v>1271</v>
      </c>
      <c r="K2357" t="s">
        <v>1272</v>
      </c>
      <c r="L2357" t="s">
        <v>1324</v>
      </c>
      <c r="M2357" t="s">
        <v>1325</v>
      </c>
      <c r="N2357">
        <v>21</v>
      </c>
      <c r="O2357" t="str">
        <f t="shared" si="199"/>
        <v>26</v>
      </c>
      <c r="Q2357">
        <v>26</v>
      </c>
      <c r="R2357" t="s">
        <v>1269</v>
      </c>
      <c r="S2357">
        <v>5.3150000000000004</v>
      </c>
      <c r="T2357">
        <v>0.29820000000000002</v>
      </c>
      <c r="U2357">
        <f t="shared" si="200"/>
        <v>1.585</v>
      </c>
      <c r="V2357" t="str">
        <f t="shared" si="197"/>
        <v>High Health/
Related Services</v>
      </c>
      <c r="W2357" t="str">
        <f t="shared" si="198"/>
        <v>Health/
Related Services</v>
      </c>
    </row>
    <row r="2358" spans="1:23" x14ac:dyDescent="0.25">
      <c r="A2358">
        <v>31002</v>
      </c>
      <c r="B2358" t="s">
        <v>1295</v>
      </c>
      <c r="C2358">
        <v>25.937999999999999</v>
      </c>
      <c r="D2358" t="s">
        <v>1264</v>
      </c>
      <c r="E2358">
        <v>100083</v>
      </c>
      <c r="F2358">
        <v>31002</v>
      </c>
      <c r="G2358" t="str">
        <f t="shared" si="196"/>
        <v>31002</v>
      </c>
      <c r="H2358" t="s">
        <v>508</v>
      </c>
      <c r="I2358" t="s">
        <v>1265</v>
      </c>
      <c r="J2358" t="s">
        <v>1271</v>
      </c>
      <c r="K2358" t="s">
        <v>1272</v>
      </c>
      <c r="L2358" t="s">
        <v>1295</v>
      </c>
      <c r="M2358" t="s">
        <v>1296</v>
      </c>
      <c r="N2358">
        <v>1</v>
      </c>
      <c r="O2358" t="str">
        <f t="shared" si="199"/>
        <v>26</v>
      </c>
      <c r="Q2358">
        <v>26</v>
      </c>
      <c r="R2358" t="s">
        <v>1269</v>
      </c>
      <c r="S2358">
        <v>25.937999999999999</v>
      </c>
      <c r="T2358">
        <v>0.29820000000000002</v>
      </c>
      <c r="U2358">
        <f t="shared" si="200"/>
        <v>0</v>
      </c>
      <c r="V2358" t="str">
        <f t="shared" si="197"/>
        <v>High Health/
Related Services</v>
      </c>
      <c r="W2358" t="str">
        <f t="shared" si="198"/>
        <v>Health/
Related Services</v>
      </c>
    </row>
    <row r="2359" spans="1:23" x14ac:dyDescent="0.25">
      <c r="A2359">
        <v>31002</v>
      </c>
      <c r="B2359" t="s">
        <v>1401</v>
      </c>
      <c r="C2359">
        <v>9.19</v>
      </c>
      <c r="D2359" t="s">
        <v>1264</v>
      </c>
      <c r="E2359">
        <v>100083</v>
      </c>
      <c r="F2359">
        <v>31002</v>
      </c>
      <c r="G2359" t="str">
        <f t="shared" si="196"/>
        <v>31002</v>
      </c>
      <c r="H2359" t="s">
        <v>508</v>
      </c>
      <c r="I2359" t="s">
        <v>1265</v>
      </c>
      <c r="J2359" t="s">
        <v>1271</v>
      </c>
      <c r="K2359" t="s">
        <v>1272</v>
      </c>
      <c r="L2359" t="s">
        <v>1401</v>
      </c>
      <c r="M2359" t="s">
        <v>1422</v>
      </c>
      <c r="N2359">
        <v>1</v>
      </c>
      <c r="O2359" t="str">
        <f t="shared" si="199"/>
        <v>35</v>
      </c>
      <c r="Q2359">
        <v>35</v>
      </c>
      <c r="R2359" t="s">
        <v>1269</v>
      </c>
      <c r="S2359">
        <v>9.19</v>
      </c>
      <c r="T2359">
        <v>0.29820000000000002</v>
      </c>
      <c r="U2359">
        <f t="shared" si="200"/>
        <v>0</v>
      </c>
      <c r="V2359" t="str">
        <f t="shared" si="197"/>
        <v>High Pupil Safety</v>
      </c>
      <c r="W2359" t="str">
        <f t="shared" si="198"/>
        <v>Pupil Safety</v>
      </c>
    </row>
    <row r="2360" spans="1:23" x14ac:dyDescent="0.25">
      <c r="A2360">
        <v>31002</v>
      </c>
      <c r="B2360" t="s">
        <v>1275</v>
      </c>
      <c r="C2360">
        <v>23.786000000000001</v>
      </c>
      <c r="D2360" t="s">
        <v>1264</v>
      </c>
      <c r="E2360">
        <v>100083</v>
      </c>
      <c r="F2360">
        <v>31002</v>
      </c>
      <c r="G2360" t="str">
        <f t="shared" si="196"/>
        <v>31002</v>
      </c>
      <c r="H2360" t="s">
        <v>508</v>
      </c>
      <c r="I2360" t="s">
        <v>1265</v>
      </c>
      <c r="J2360" t="s">
        <v>1276</v>
      </c>
      <c r="K2360" t="s">
        <v>1277</v>
      </c>
      <c r="L2360" t="s">
        <v>1275</v>
      </c>
      <c r="M2360" t="s">
        <v>1278</v>
      </c>
      <c r="N2360">
        <v>1</v>
      </c>
      <c r="O2360" t="str">
        <f t="shared" si="199"/>
        <v>42</v>
      </c>
      <c r="P2360">
        <v>42</v>
      </c>
      <c r="R2360" t="s">
        <v>1269</v>
      </c>
      <c r="S2360">
        <v>23.786000000000001</v>
      </c>
      <c r="T2360">
        <v>0.29820000000000002</v>
      </c>
      <c r="U2360">
        <f t="shared" si="200"/>
        <v>0</v>
      </c>
      <c r="V2360" t="str">
        <f t="shared" si="197"/>
        <v>Elementary Counselor</v>
      </c>
      <c r="W2360" t="str">
        <f t="shared" si="198"/>
        <v>Counselor</v>
      </c>
    </row>
    <row r="2361" spans="1:23" x14ac:dyDescent="0.25">
      <c r="A2361">
        <v>31002</v>
      </c>
      <c r="B2361" t="s">
        <v>1270</v>
      </c>
      <c r="C2361">
        <v>11.76</v>
      </c>
      <c r="D2361" t="s">
        <v>1264</v>
      </c>
      <c r="E2361">
        <v>100083</v>
      </c>
      <c r="F2361">
        <v>31002</v>
      </c>
      <c r="G2361" t="str">
        <f t="shared" si="196"/>
        <v>31002</v>
      </c>
      <c r="H2361" t="s">
        <v>508</v>
      </c>
      <c r="I2361" t="s">
        <v>1265</v>
      </c>
      <c r="J2361" t="s">
        <v>1271</v>
      </c>
      <c r="K2361" t="s">
        <v>1272</v>
      </c>
      <c r="L2361" t="s">
        <v>1270</v>
      </c>
      <c r="M2361" t="s">
        <v>1273</v>
      </c>
      <c r="N2361">
        <v>1</v>
      </c>
      <c r="O2361" t="str">
        <f t="shared" si="199"/>
        <v>42</v>
      </c>
      <c r="P2361">
        <v>42</v>
      </c>
      <c r="R2361" t="s">
        <v>1269</v>
      </c>
      <c r="S2361">
        <v>11.76</v>
      </c>
      <c r="T2361">
        <v>0.29820000000000002</v>
      </c>
      <c r="U2361">
        <f t="shared" si="200"/>
        <v>0</v>
      </c>
      <c r="V2361" t="str">
        <f t="shared" si="197"/>
        <v>High Counselor</v>
      </c>
      <c r="W2361" t="str">
        <f t="shared" si="198"/>
        <v>Counselor</v>
      </c>
    </row>
    <row r="2362" spans="1:23" x14ac:dyDescent="0.25">
      <c r="A2362">
        <v>31002</v>
      </c>
      <c r="B2362" t="s">
        <v>1263</v>
      </c>
      <c r="C2362">
        <v>12.88</v>
      </c>
      <c r="D2362" t="s">
        <v>1264</v>
      </c>
      <c r="E2362">
        <v>100083</v>
      </c>
      <c r="F2362">
        <v>31002</v>
      </c>
      <c r="G2362" t="str">
        <f t="shared" si="196"/>
        <v>31002</v>
      </c>
      <c r="H2362" t="s">
        <v>508</v>
      </c>
      <c r="I2362" t="s">
        <v>1265</v>
      </c>
      <c r="J2362" t="s">
        <v>1266</v>
      </c>
      <c r="K2362" t="s">
        <v>1267</v>
      </c>
      <c r="L2362" t="s">
        <v>1263</v>
      </c>
      <c r="M2362" t="s">
        <v>1268</v>
      </c>
      <c r="N2362">
        <v>1</v>
      </c>
      <c r="O2362" t="str">
        <f t="shared" si="199"/>
        <v>42</v>
      </c>
      <c r="P2362">
        <v>42</v>
      </c>
      <c r="R2362" t="s">
        <v>1269</v>
      </c>
      <c r="S2362">
        <v>12.88</v>
      </c>
      <c r="T2362">
        <v>0.29820000000000002</v>
      </c>
      <c r="U2362">
        <f t="shared" si="200"/>
        <v>0</v>
      </c>
      <c r="V2362" t="str">
        <f t="shared" si="197"/>
        <v>Middle Counselor</v>
      </c>
      <c r="W2362" t="str">
        <f t="shared" si="198"/>
        <v>Counselor</v>
      </c>
    </row>
    <row r="2363" spans="1:23" x14ac:dyDescent="0.25">
      <c r="A2363">
        <v>31002</v>
      </c>
      <c r="B2363" t="s">
        <v>1289</v>
      </c>
      <c r="C2363">
        <v>6.4009999999999998</v>
      </c>
      <c r="D2363" t="s">
        <v>1264</v>
      </c>
      <c r="E2363">
        <v>100083</v>
      </c>
      <c r="F2363">
        <v>31002</v>
      </c>
      <c r="G2363" t="str">
        <f t="shared" si="196"/>
        <v>31002</v>
      </c>
      <c r="H2363" t="s">
        <v>508</v>
      </c>
      <c r="I2363" t="s">
        <v>1265</v>
      </c>
      <c r="J2363" t="s">
        <v>1276</v>
      </c>
      <c r="K2363" t="s">
        <v>1277</v>
      </c>
      <c r="L2363" t="s">
        <v>1289</v>
      </c>
      <c r="M2363" t="s">
        <v>1307</v>
      </c>
      <c r="N2363">
        <v>21</v>
      </c>
      <c r="O2363" t="str">
        <f t="shared" si="199"/>
        <v>43</v>
      </c>
      <c r="P2363">
        <v>43</v>
      </c>
      <c r="R2363" t="s">
        <v>1269</v>
      </c>
      <c r="S2363">
        <v>6.4009999999999998</v>
      </c>
      <c r="T2363">
        <v>0.29820000000000002</v>
      </c>
      <c r="U2363">
        <f t="shared" si="200"/>
        <v>1.909</v>
      </c>
      <c r="V2363" t="str">
        <f t="shared" si="197"/>
        <v>Elementary Occupational Therapist</v>
      </c>
      <c r="W2363" t="str">
        <f t="shared" si="198"/>
        <v>Occupational Therapist</v>
      </c>
    </row>
    <row r="2364" spans="1:23" x14ac:dyDescent="0.25">
      <c r="A2364">
        <v>31002</v>
      </c>
      <c r="B2364" t="s">
        <v>1387</v>
      </c>
      <c r="C2364">
        <v>1.6</v>
      </c>
      <c r="D2364" t="s">
        <v>1264</v>
      </c>
      <c r="E2364">
        <v>100083</v>
      </c>
      <c r="F2364">
        <v>31002</v>
      </c>
      <c r="G2364" t="str">
        <f t="shared" si="196"/>
        <v>31002</v>
      </c>
      <c r="H2364" t="s">
        <v>508</v>
      </c>
      <c r="I2364" t="s">
        <v>1265</v>
      </c>
      <c r="J2364" t="s">
        <v>1271</v>
      </c>
      <c r="K2364" t="s">
        <v>1272</v>
      </c>
      <c r="L2364" t="s">
        <v>1387</v>
      </c>
      <c r="M2364" t="s">
        <v>1406</v>
      </c>
      <c r="N2364">
        <v>21</v>
      </c>
      <c r="O2364" t="str">
        <f t="shared" si="199"/>
        <v>43</v>
      </c>
      <c r="P2364">
        <v>43</v>
      </c>
      <c r="R2364" t="s">
        <v>1269</v>
      </c>
      <c r="S2364">
        <v>1.6</v>
      </c>
      <c r="T2364">
        <v>0.29820000000000002</v>
      </c>
      <c r="U2364">
        <f t="shared" si="200"/>
        <v>0.47699999999999998</v>
      </c>
      <c r="V2364" t="str">
        <f t="shared" si="197"/>
        <v>High Occupational Therapist</v>
      </c>
      <c r="W2364" t="str">
        <f t="shared" si="198"/>
        <v>Occupational Therapist</v>
      </c>
    </row>
    <row r="2365" spans="1:23" x14ac:dyDescent="0.25">
      <c r="A2365">
        <v>31002</v>
      </c>
      <c r="B2365" t="s">
        <v>1303</v>
      </c>
      <c r="C2365">
        <v>0.6</v>
      </c>
      <c r="D2365" t="s">
        <v>1264</v>
      </c>
      <c r="E2365">
        <v>100083</v>
      </c>
      <c r="F2365">
        <v>31002</v>
      </c>
      <c r="G2365" t="str">
        <f t="shared" si="196"/>
        <v>31002</v>
      </c>
      <c r="H2365" t="s">
        <v>508</v>
      </c>
      <c r="I2365" t="s">
        <v>1265</v>
      </c>
      <c r="J2365" t="s">
        <v>1266</v>
      </c>
      <c r="K2365" t="s">
        <v>1267</v>
      </c>
      <c r="L2365" t="s">
        <v>1303</v>
      </c>
      <c r="M2365" t="s">
        <v>1304</v>
      </c>
      <c r="N2365">
        <v>21</v>
      </c>
      <c r="O2365" t="str">
        <f t="shared" si="199"/>
        <v>43</v>
      </c>
      <c r="P2365">
        <v>43</v>
      </c>
      <c r="R2365" t="s">
        <v>1269</v>
      </c>
      <c r="S2365">
        <v>0.6</v>
      </c>
      <c r="T2365">
        <v>0.29820000000000002</v>
      </c>
      <c r="U2365">
        <f t="shared" si="200"/>
        <v>0.17899999999999999</v>
      </c>
      <c r="V2365" t="str">
        <f t="shared" si="197"/>
        <v>Middle Occupational Therapist</v>
      </c>
      <c r="W2365" t="str">
        <f t="shared" si="198"/>
        <v>Occupational Therapist</v>
      </c>
    </row>
    <row r="2366" spans="1:23" x14ac:dyDescent="0.25">
      <c r="A2366">
        <v>31002</v>
      </c>
      <c r="B2366" t="s">
        <v>1331</v>
      </c>
      <c r="C2366">
        <v>2.0009999999999999</v>
      </c>
      <c r="D2366" t="s">
        <v>1264</v>
      </c>
      <c r="E2366">
        <v>100083</v>
      </c>
      <c r="F2366">
        <v>31002</v>
      </c>
      <c r="G2366" t="str">
        <f t="shared" si="196"/>
        <v>31002</v>
      </c>
      <c r="H2366" t="s">
        <v>508</v>
      </c>
      <c r="I2366" t="s">
        <v>1265</v>
      </c>
      <c r="J2366" t="s">
        <v>1276</v>
      </c>
      <c r="K2366" t="s">
        <v>1277</v>
      </c>
      <c r="L2366" t="s">
        <v>1331</v>
      </c>
      <c r="M2366" t="s">
        <v>1405</v>
      </c>
      <c r="N2366">
        <v>1</v>
      </c>
      <c r="O2366" t="str">
        <f t="shared" si="199"/>
        <v>44</v>
      </c>
      <c r="P2366">
        <v>44</v>
      </c>
      <c r="R2366" t="s">
        <v>1269</v>
      </c>
      <c r="S2366">
        <v>2.0009999999999999</v>
      </c>
      <c r="T2366">
        <v>0.29820000000000002</v>
      </c>
      <c r="U2366">
        <f t="shared" si="200"/>
        <v>0</v>
      </c>
      <c r="V2366" t="str">
        <f t="shared" si="197"/>
        <v>Elementary Social Worker</v>
      </c>
      <c r="W2366" t="str">
        <f t="shared" si="198"/>
        <v>Social Worker</v>
      </c>
    </row>
    <row r="2367" spans="1:23" x14ac:dyDescent="0.25">
      <c r="A2367">
        <v>31002</v>
      </c>
      <c r="B2367" t="s">
        <v>1359</v>
      </c>
      <c r="C2367">
        <v>0.44400000000000001</v>
      </c>
      <c r="D2367" t="s">
        <v>1264</v>
      </c>
      <c r="E2367">
        <v>100083</v>
      </c>
      <c r="F2367">
        <v>31002</v>
      </c>
      <c r="G2367" t="str">
        <f t="shared" si="196"/>
        <v>31002</v>
      </c>
      <c r="H2367" t="s">
        <v>508</v>
      </c>
      <c r="I2367" t="s">
        <v>1265</v>
      </c>
      <c r="J2367" t="s">
        <v>1271</v>
      </c>
      <c r="K2367" t="s">
        <v>1272</v>
      </c>
      <c r="L2367" t="s">
        <v>1359</v>
      </c>
      <c r="M2367" t="s">
        <v>1360</v>
      </c>
      <c r="N2367">
        <v>1</v>
      </c>
      <c r="O2367" t="str">
        <f t="shared" si="199"/>
        <v>44</v>
      </c>
      <c r="P2367">
        <v>44</v>
      </c>
      <c r="R2367" t="s">
        <v>1269</v>
      </c>
      <c r="S2367">
        <v>0.44400000000000001</v>
      </c>
      <c r="T2367">
        <v>0.29820000000000002</v>
      </c>
      <c r="U2367">
        <f t="shared" si="200"/>
        <v>0</v>
      </c>
      <c r="V2367" t="str">
        <f t="shared" si="197"/>
        <v>High Social Worker</v>
      </c>
      <c r="W2367" t="str">
        <f t="shared" si="198"/>
        <v>Social Worker</v>
      </c>
    </row>
    <row r="2368" spans="1:23" x14ac:dyDescent="0.25">
      <c r="A2368">
        <v>31002</v>
      </c>
      <c r="B2368" t="s">
        <v>1356</v>
      </c>
      <c r="C2368">
        <v>0.55500000000000005</v>
      </c>
      <c r="D2368" t="s">
        <v>1264</v>
      </c>
      <c r="E2368">
        <v>100083</v>
      </c>
      <c r="F2368">
        <v>31002</v>
      </c>
      <c r="G2368" t="str">
        <f t="shared" si="196"/>
        <v>31002</v>
      </c>
      <c r="H2368" t="s">
        <v>508</v>
      </c>
      <c r="I2368" t="s">
        <v>1265</v>
      </c>
      <c r="J2368" t="s">
        <v>1266</v>
      </c>
      <c r="K2368" t="s">
        <v>1267</v>
      </c>
      <c r="L2368" t="s">
        <v>1356</v>
      </c>
      <c r="M2368" t="s">
        <v>1357</v>
      </c>
      <c r="N2368">
        <v>1</v>
      </c>
      <c r="O2368" t="str">
        <f t="shared" si="199"/>
        <v>44</v>
      </c>
      <c r="P2368">
        <v>44</v>
      </c>
      <c r="R2368" t="s">
        <v>1269</v>
      </c>
      <c r="S2368">
        <v>0.55500000000000005</v>
      </c>
      <c r="T2368">
        <v>0.29820000000000002</v>
      </c>
      <c r="U2368">
        <f t="shared" si="200"/>
        <v>0</v>
      </c>
      <c r="V2368" t="str">
        <f t="shared" si="197"/>
        <v>Middle Social Worker</v>
      </c>
      <c r="W2368" t="str">
        <f t="shared" si="198"/>
        <v>Social Worker</v>
      </c>
    </row>
    <row r="2369" spans="1:23" x14ac:dyDescent="0.25">
      <c r="A2369">
        <v>31002</v>
      </c>
      <c r="B2369" t="s">
        <v>1294</v>
      </c>
      <c r="C2369">
        <v>20.882000000000001</v>
      </c>
      <c r="D2369" t="s">
        <v>1264</v>
      </c>
      <c r="E2369">
        <v>100083</v>
      </c>
      <c r="F2369">
        <v>31002</v>
      </c>
      <c r="G2369" t="str">
        <f t="shared" si="196"/>
        <v>31002</v>
      </c>
      <c r="H2369" t="s">
        <v>508</v>
      </c>
      <c r="I2369" t="s">
        <v>1265</v>
      </c>
      <c r="J2369" t="s">
        <v>1276</v>
      </c>
      <c r="K2369" t="s">
        <v>1277</v>
      </c>
      <c r="L2369" t="s">
        <v>1294</v>
      </c>
      <c r="M2369" t="s">
        <v>1354</v>
      </c>
      <c r="N2369">
        <v>21</v>
      </c>
      <c r="O2369" t="str">
        <f t="shared" si="199"/>
        <v>45</v>
      </c>
      <c r="P2369">
        <v>45</v>
      </c>
      <c r="R2369" t="s">
        <v>1269</v>
      </c>
      <c r="S2369">
        <v>20.882000000000001</v>
      </c>
      <c r="T2369">
        <v>0.29820000000000002</v>
      </c>
      <c r="U2369">
        <f t="shared" si="200"/>
        <v>6.2270000000000003</v>
      </c>
      <c r="V2369" t="str">
        <f t="shared" si="197"/>
        <v>Elementary Speech, Language Pathway/
Audio</v>
      </c>
      <c r="W2369" t="str">
        <f t="shared" si="198"/>
        <v>Speech, Language Pathway/
Audio</v>
      </c>
    </row>
    <row r="2370" spans="1:23" x14ac:dyDescent="0.25">
      <c r="A2370">
        <v>31002</v>
      </c>
      <c r="B2370" t="s">
        <v>1332</v>
      </c>
      <c r="C2370">
        <v>0.66600000000000004</v>
      </c>
      <c r="D2370" t="s">
        <v>1264</v>
      </c>
      <c r="E2370">
        <v>100083</v>
      </c>
      <c r="F2370">
        <v>31002</v>
      </c>
      <c r="G2370" t="str">
        <f t="shared" ref="G2370:G2433" si="201">TEXT(F2370,"00000")</f>
        <v>31002</v>
      </c>
      <c r="H2370" t="s">
        <v>508</v>
      </c>
      <c r="I2370" t="s">
        <v>1265</v>
      </c>
      <c r="J2370" t="s">
        <v>1276</v>
      </c>
      <c r="K2370" t="s">
        <v>1277</v>
      </c>
      <c r="L2370" t="s">
        <v>1332</v>
      </c>
      <c r="M2370" t="s">
        <v>1403</v>
      </c>
      <c r="N2370">
        <v>1</v>
      </c>
      <c r="O2370" t="str">
        <f t="shared" si="199"/>
        <v>45</v>
      </c>
      <c r="P2370">
        <v>45</v>
      </c>
      <c r="R2370" t="s">
        <v>1269</v>
      </c>
      <c r="S2370">
        <v>0.66600000000000004</v>
      </c>
      <c r="T2370">
        <v>0.29820000000000002</v>
      </c>
      <c r="U2370">
        <f t="shared" si="200"/>
        <v>0</v>
      </c>
      <c r="V2370" t="str">
        <f t="shared" ref="V2370:V2433" si="202">_xlfn.XLOOKUP(L2370,$BV:$BV,$BT:$BT,,0)</f>
        <v>Elementary Speech, Language Pathway/
Audio</v>
      </c>
      <c r="W2370" t="str">
        <f t="shared" ref="W2370:W2433" si="203">_xlfn.TEXTAFTER(V2370," ")</f>
        <v>Speech, Language Pathway/
Audio</v>
      </c>
    </row>
    <row r="2371" spans="1:23" x14ac:dyDescent="0.25">
      <c r="A2371">
        <v>31002</v>
      </c>
      <c r="B2371" t="s">
        <v>1326</v>
      </c>
      <c r="C2371">
        <v>6.1479999999999997</v>
      </c>
      <c r="D2371" t="s">
        <v>1264</v>
      </c>
      <c r="E2371">
        <v>100083</v>
      </c>
      <c r="F2371">
        <v>31002</v>
      </c>
      <c r="G2371" t="str">
        <f t="shared" si="201"/>
        <v>31002</v>
      </c>
      <c r="H2371" t="s">
        <v>508</v>
      </c>
      <c r="I2371" t="s">
        <v>1265</v>
      </c>
      <c r="J2371" t="s">
        <v>1271</v>
      </c>
      <c r="K2371" t="s">
        <v>1272</v>
      </c>
      <c r="L2371" t="s">
        <v>1326</v>
      </c>
      <c r="M2371" t="s">
        <v>1353</v>
      </c>
      <c r="N2371">
        <v>21</v>
      </c>
      <c r="O2371" t="str">
        <f t="shared" ref="O2371:O2434" si="204">MID(L2371,3,2)</f>
        <v>45</v>
      </c>
      <c r="P2371">
        <v>45</v>
      </c>
      <c r="R2371" t="s">
        <v>1269</v>
      </c>
      <c r="S2371">
        <v>6.1479999999999997</v>
      </c>
      <c r="T2371">
        <v>0.29820000000000002</v>
      </c>
      <c r="U2371">
        <f t="shared" ref="U2371:U2434" si="205">IF(N2371=21,ROUND(T2371*S2371,3),0)</f>
        <v>1.833</v>
      </c>
      <c r="V2371" t="str">
        <f t="shared" si="202"/>
        <v>High Speech, Language Pathway/
Audio</v>
      </c>
      <c r="W2371" t="str">
        <f t="shared" si="203"/>
        <v>Speech, Language Pathway/
Audio</v>
      </c>
    </row>
    <row r="2372" spans="1:23" x14ac:dyDescent="0.25">
      <c r="A2372">
        <v>31002</v>
      </c>
      <c r="B2372" t="s">
        <v>1394</v>
      </c>
      <c r="C2372">
        <v>0.14799999999999999</v>
      </c>
      <c r="D2372" t="s">
        <v>1264</v>
      </c>
      <c r="E2372">
        <v>100083</v>
      </c>
      <c r="F2372">
        <v>31002</v>
      </c>
      <c r="G2372" t="str">
        <f t="shared" si="201"/>
        <v>31002</v>
      </c>
      <c r="H2372" t="s">
        <v>508</v>
      </c>
      <c r="I2372" t="s">
        <v>1265</v>
      </c>
      <c r="J2372" t="s">
        <v>1271</v>
      </c>
      <c r="K2372" t="s">
        <v>1272</v>
      </c>
      <c r="L2372" t="s">
        <v>1394</v>
      </c>
      <c r="M2372" t="s">
        <v>1415</v>
      </c>
      <c r="N2372">
        <v>1</v>
      </c>
      <c r="O2372" t="str">
        <f t="shared" si="204"/>
        <v>45</v>
      </c>
      <c r="P2372">
        <v>45</v>
      </c>
      <c r="R2372" t="s">
        <v>1269</v>
      </c>
      <c r="S2372">
        <v>0.14799999999999999</v>
      </c>
      <c r="T2372">
        <v>0.29820000000000002</v>
      </c>
      <c r="U2372">
        <f t="shared" si="205"/>
        <v>0</v>
      </c>
      <c r="V2372" t="str">
        <f t="shared" si="202"/>
        <v>High Speech, Language Pathway/
Audio</v>
      </c>
      <c r="W2372" t="str">
        <f t="shared" si="203"/>
        <v>Speech, Language Pathway/
Audio</v>
      </c>
    </row>
    <row r="2373" spans="1:23" x14ac:dyDescent="0.25">
      <c r="A2373">
        <v>31002</v>
      </c>
      <c r="B2373" t="s">
        <v>1312</v>
      </c>
      <c r="C2373">
        <v>5.3860000000000001</v>
      </c>
      <c r="D2373" t="s">
        <v>1264</v>
      </c>
      <c r="E2373">
        <v>100083</v>
      </c>
      <c r="F2373">
        <v>31002</v>
      </c>
      <c r="G2373" t="str">
        <f t="shared" si="201"/>
        <v>31002</v>
      </c>
      <c r="H2373" t="s">
        <v>508</v>
      </c>
      <c r="I2373" t="s">
        <v>1265</v>
      </c>
      <c r="J2373" t="s">
        <v>1266</v>
      </c>
      <c r="K2373" t="s">
        <v>1267</v>
      </c>
      <c r="L2373" t="s">
        <v>1312</v>
      </c>
      <c r="M2373" t="s">
        <v>1351</v>
      </c>
      <c r="N2373">
        <v>21</v>
      </c>
      <c r="O2373" t="str">
        <f t="shared" si="204"/>
        <v>45</v>
      </c>
      <c r="P2373">
        <v>45</v>
      </c>
      <c r="R2373" t="s">
        <v>1269</v>
      </c>
      <c r="S2373">
        <v>5.3860000000000001</v>
      </c>
      <c r="T2373">
        <v>0.29820000000000002</v>
      </c>
      <c r="U2373">
        <f t="shared" si="205"/>
        <v>1.6060000000000001</v>
      </c>
      <c r="V2373" t="str">
        <f t="shared" si="202"/>
        <v>Middle Speech, Language Pathway/
Audio</v>
      </c>
      <c r="W2373" t="str">
        <f t="shared" si="203"/>
        <v>Speech, Language Pathway/
Audio</v>
      </c>
    </row>
    <row r="2374" spans="1:23" x14ac:dyDescent="0.25">
      <c r="A2374">
        <v>31002</v>
      </c>
      <c r="B2374" t="s">
        <v>1370</v>
      </c>
      <c r="C2374">
        <v>0.186</v>
      </c>
      <c r="D2374" t="s">
        <v>1264</v>
      </c>
      <c r="E2374">
        <v>100083</v>
      </c>
      <c r="F2374">
        <v>31002</v>
      </c>
      <c r="G2374" t="str">
        <f t="shared" si="201"/>
        <v>31002</v>
      </c>
      <c r="H2374" t="s">
        <v>508</v>
      </c>
      <c r="I2374" t="s">
        <v>1265</v>
      </c>
      <c r="J2374" t="s">
        <v>1266</v>
      </c>
      <c r="K2374" t="s">
        <v>1267</v>
      </c>
      <c r="L2374" t="s">
        <v>1370</v>
      </c>
      <c r="M2374" t="s">
        <v>1414</v>
      </c>
      <c r="N2374">
        <v>1</v>
      </c>
      <c r="O2374" t="str">
        <f t="shared" si="204"/>
        <v>45</v>
      </c>
      <c r="P2374">
        <v>45</v>
      </c>
      <c r="R2374" t="s">
        <v>1269</v>
      </c>
      <c r="S2374">
        <v>0.186</v>
      </c>
      <c r="T2374">
        <v>0.29820000000000002</v>
      </c>
      <c r="U2374">
        <f t="shared" si="205"/>
        <v>0</v>
      </c>
      <c r="V2374" t="str">
        <f t="shared" si="202"/>
        <v>Middle Speech, Language Pathway/
Audio</v>
      </c>
      <c r="W2374" t="str">
        <f t="shared" si="203"/>
        <v>Speech, Language Pathway/
Audio</v>
      </c>
    </row>
    <row r="2375" spans="1:23" x14ac:dyDescent="0.25">
      <c r="A2375">
        <v>31002</v>
      </c>
      <c r="B2375" t="s">
        <v>1298</v>
      </c>
      <c r="C2375">
        <v>8.4</v>
      </c>
      <c r="D2375" t="s">
        <v>1264</v>
      </c>
      <c r="E2375">
        <v>100083</v>
      </c>
      <c r="F2375">
        <v>31002</v>
      </c>
      <c r="G2375" t="str">
        <f t="shared" si="201"/>
        <v>31002</v>
      </c>
      <c r="H2375" t="s">
        <v>508</v>
      </c>
      <c r="I2375" t="s">
        <v>1265</v>
      </c>
      <c r="J2375" t="s">
        <v>1276</v>
      </c>
      <c r="K2375" t="s">
        <v>1277</v>
      </c>
      <c r="L2375" t="s">
        <v>1298</v>
      </c>
      <c r="M2375" t="s">
        <v>1349</v>
      </c>
      <c r="N2375">
        <v>21</v>
      </c>
      <c r="O2375" t="str">
        <f t="shared" si="204"/>
        <v>46</v>
      </c>
      <c r="P2375">
        <v>46</v>
      </c>
      <c r="R2375" t="s">
        <v>1269</v>
      </c>
      <c r="S2375">
        <v>8.4</v>
      </c>
      <c r="T2375">
        <v>0.29820000000000002</v>
      </c>
      <c r="U2375">
        <f t="shared" si="205"/>
        <v>2.5049999999999999</v>
      </c>
      <c r="V2375" t="str">
        <f t="shared" si="202"/>
        <v>Elementary Psychologist</v>
      </c>
      <c r="W2375" t="str">
        <f t="shared" si="203"/>
        <v>Psychologist</v>
      </c>
    </row>
    <row r="2376" spans="1:23" x14ac:dyDescent="0.25">
      <c r="A2376">
        <v>31002</v>
      </c>
      <c r="B2376" t="s">
        <v>1309</v>
      </c>
      <c r="C2376">
        <v>1.4</v>
      </c>
      <c r="D2376" t="s">
        <v>1264</v>
      </c>
      <c r="E2376">
        <v>100083</v>
      </c>
      <c r="F2376">
        <v>31002</v>
      </c>
      <c r="G2376" t="str">
        <f t="shared" si="201"/>
        <v>31002</v>
      </c>
      <c r="H2376" t="s">
        <v>508</v>
      </c>
      <c r="I2376" t="s">
        <v>1265</v>
      </c>
      <c r="J2376" t="s">
        <v>1271</v>
      </c>
      <c r="K2376" t="s">
        <v>1272</v>
      </c>
      <c r="L2376" t="s">
        <v>1309</v>
      </c>
      <c r="M2376" t="s">
        <v>1310</v>
      </c>
      <c r="N2376">
        <v>21</v>
      </c>
      <c r="O2376" t="str">
        <f t="shared" si="204"/>
        <v>46</v>
      </c>
      <c r="P2376">
        <v>46</v>
      </c>
      <c r="R2376" t="s">
        <v>1269</v>
      </c>
      <c r="S2376">
        <v>1.4</v>
      </c>
      <c r="T2376">
        <v>0.29820000000000002</v>
      </c>
      <c r="U2376">
        <f t="shared" si="205"/>
        <v>0.41699999999999998</v>
      </c>
      <c r="V2376" t="str">
        <f t="shared" si="202"/>
        <v>High Psychologist</v>
      </c>
      <c r="W2376" t="str">
        <f t="shared" si="203"/>
        <v>Psychologist</v>
      </c>
    </row>
    <row r="2377" spans="1:23" x14ac:dyDescent="0.25">
      <c r="A2377">
        <v>31002</v>
      </c>
      <c r="B2377" t="s">
        <v>1345</v>
      </c>
      <c r="C2377">
        <v>2.4</v>
      </c>
      <c r="D2377" t="s">
        <v>1264</v>
      </c>
      <c r="E2377">
        <v>100083</v>
      </c>
      <c r="F2377">
        <v>31002</v>
      </c>
      <c r="G2377" t="str">
        <f t="shared" si="201"/>
        <v>31002</v>
      </c>
      <c r="H2377" t="s">
        <v>508</v>
      </c>
      <c r="I2377" t="s">
        <v>1265</v>
      </c>
      <c r="J2377" t="s">
        <v>1266</v>
      </c>
      <c r="K2377" t="s">
        <v>1267</v>
      </c>
      <c r="L2377" t="s">
        <v>1345</v>
      </c>
      <c r="M2377" t="s">
        <v>1346</v>
      </c>
      <c r="N2377">
        <v>21</v>
      </c>
      <c r="O2377" t="str">
        <f t="shared" si="204"/>
        <v>46</v>
      </c>
      <c r="P2377">
        <v>46</v>
      </c>
      <c r="R2377" t="s">
        <v>1269</v>
      </c>
      <c r="S2377">
        <v>2.4</v>
      </c>
      <c r="T2377">
        <v>0.29820000000000002</v>
      </c>
      <c r="U2377">
        <f t="shared" si="205"/>
        <v>0.71599999999999997</v>
      </c>
      <c r="V2377" t="str">
        <f t="shared" si="202"/>
        <v>Middle Psychologist</v>
      </c>
      <c r="W2377" t="str">
        <f t="shared" si="203"/>
        <v>Psychologist</v>
      </c>
    </row>
    <row r="2378" spans="1:23" x14ac:dyDescent="0.25">
      <c r="A2378">
        <v>31002</v>
      </c>
      <c r="B2378" t="s">
        <v>1302</v>
      </c>
      <c r="C2378">
        <v>5.5010000000000003</v>
      </c>
      <c r="D2378" t="s">
        <v>1264</v>
      </c>
      <c r="E2378">
        <v>100083</v>
      </c>
      <c r="F2378">
        <v>31002</v>
      </c>
      <c r="G2378" t="str">
        <f t="shared" si="201"/>
        <v>31002</v>
      </c>
      <c r="H2378" t="s">
        <v>508</v>
      </c>
      <c r="I2378" t="s">
        <v>1265</v>
      </c>
      <c r="J2378" t="s">
        <v>1276</v>
      </c>
      <c r="K2378" t="s">
        <v>1277</v>
      </c>
      <c r="L2378" t="s">
        <v>1302</v>
      </c>
      <c r="M2378" t="s">
        <v>1336</v>
      </c>
      <c r="N2378">
        <v>21</v>
      </c>
      <c r="O2378" t="str">
        <f t="shared" si="204"/>
        <v>48</v>
      </c>
      <c r="P2378">
        <v>48</v>
      </c>
      <c r="R2378" t="s">
        <v>1269</v>
      </c>
      <c r="S2378">
        <v>5.5010000000000003</v>
      </c>
      <c r="T2378">
        <v>0.29820000000000002</v>
      </c>
      <c r="U2378">
        <f t="shared" si="205"/>
        <v>1.64</v>
      </c>
      <c r="V2378" t="str">
        <f t="shared" si="202"/>
        <v>Elementary Physical Therapist</v>
      </c>
      <c r="W2378" t="str">
        <f t="shared" si="203"/>
        <v>Physical Therapist</v>
      </c>
    </row>
    <row r="2379" spans="1:23" x14ac:dyDescent="0.25">
      <c r="A2379">
        <v>31002</v>
      </c>
      <c r="B2379" t="s">
        <v>1330</v>
      </c>
      <c r="C2379">
        <v>0.9</v>
      </c>
      <c r="D2379" t="s">
        <v>1264</v>
      </c>
      <c r="E2379">
        <v>100083</v>
      </c>
      <c r="F2379">
        <v>31002</v>
      </c>
      <c r="G2379" t="str">
        <f t="shared" si="201"/>
        <v>31002</v>
      </c>
      <c r="H2379" t="s">
        <v>508</v>
      </c>
      <c r="I2379" t="s">
        <v>1265</v>
      </c>
      <c r="J2379" t="s">
        <v>1271</v>
      </c>
      <c r="K2379" t="s">
        <v>1272</v>
      </c>
      <c r="L2379" t="s">
        <v>1330</v>
      </c>
      <c r="M2379" t="s">
        <v>1367</v>
      </c>
      <c r="N2379">
        <v>21</v>
      </c>
      <c r="O2379" t="str">
        <f t="shared" si="204"/>
        <v>48</v>
      </c>
      <c r="P2379">
        <v>48</v>
      </c>
      <c r="R2379" t="s">
        <v>1269</v>
      </c>
      <c r="S2379">
        <v>0.9</v>
      </c>
      <c r="T2379">
        <v>0.29820000000000002</v>
      </c>
      <c r="U2379">
        <f t="shared" si="205"/>
        <v>0.26800000000000002</v>
      </c>
      <c r="V2379" t="str">
        <f t="shared" si="202"/>
        <v>High Physical Therapist</v>
      </c>
      <c r="W2379" t="str">
        <f t="shared" si="203"/>
        <v>Physical Therapist</v>
      </c>
    </row>
    <row r="2380" spans="1:23" x14ac:dyDescent="0.25">
      <c r="A2380">
        <v>31002</v>
      </c>
      <c r="B2380" t="s">
        <v>1316</v>
      </c>
      <c r="C2380">
        <v>1</v>
      </c>
      <c r="D2380" t="s">
        <v>1264</v>
      </c>
      <c r="E2380">
        <v>100083</v>
      </c>
      <c r="F2380">
        <v>31002</v>
      </c>
      <c r="G2380" t="str">
        <f t="shared" si="201"/>
        <v>31002</v>
      </c>
      <c r="H2380" t="s">
        <v>508</v>
      </c>
      <c r="I2380" t="s">
        <v>1265</v>
      </c>
      <c r="J2380" t="s">
        <v>1266</v>
      </c>
      <c r="K2380" t="s">
        <v>1267</v>
      </c>
      <c r="L2380" t="s">
        <v>1316</v>
      </c>
      <c r="M2380" t="s">
        <v>1366</v>
      </c>
      <c r="N2380">
        <v>21</v>
      </c>
      <c r="O2380" t="str">
        <f t="shared" si="204"/>
        <v>48</v>
      </c>
      <c r="P2380">
        <v>48</v>
      </c>
      <c r="R2380" t="s">
        <v>1269</v>
      </c>
      <c r="S2380">
        <v>1</v>
      </c>
      <c r="T2380">
        <v>0.29820000000000002</v>
      </c>
      <c r="U2380">
        <f t="shared" si="205"/>
        <v>0.29799999999999999</v>
      </c>
      <c r="V2380" t="str">
        <f t="shared" si="202"/>
        <v>Middle Physical Therapist</v>
      </c>
      <c r="W2380" t="str">
        <f t="shared" si="203"/>
        <v>Physical Therapist</v>
      </c>
    </row>
    <row r="2381" spans="1:23" x14ac:dyDescent="0.25">
      <c r="A2381">
        <v>31002</v>
      </c>
      <c r="B2381" t="s">
        <v>1340</v>
      </c>
      <c r="C2381">
        <v>1.3340000000000001</v>
      </c>
      <c r="D2381" t="s">
        <v>1264</v>
      </c>
      <c r="E2381">
        <v>100083</v>
      </c>
      <c r="F2381">
        <v>31002</v>
      </c>
      <c r="G2381" t="str">
        <f t="shared" si="201"/>
        <v>31002</v>
      </c>
      <c r="H2381" t="s">
        <v>508</v>
      </c>
      <c r="I2381" t="s">
        <v>1265</v>
      </c>
      <c r="J2381" t="s">
        <v>1276</v>
      </c>
      <c r="K2381" t="s">
        <v>1277</v>
      </c>
      <c r="L2381" t="s">
        <v>1340</v>
      </c>
      <c r="M2381" t="s">
        <v>1395</v>
      </c>
      <c r="N2381">
        <v>21</v>
      </c>
      <c r="O2381" t="str">
        <f t="shared" si="204"/>
        <v>49</v>
      </c>
      <c r="P2381">
        <v>49</v>
      </c>
      <c r="R2381" t="s">
        <v>1269</v>
      </c>
      <c r="S2381">
        <v>1.3340000000000001</v>
      </c>
      <c r="T2381">
        <v>0.29820000000000002</v>
      </c>
      <c r="U2381">
        <f t="shared" si="205"/>
        <v>0.39800000000000002</v>
      </c>
      <c r="V2381" t="str">
        <f t="shared" si="202"/>
        <v>Elementary Behavior Analyst</v>
      </c>
      <c r="W2381" t="str">
        <f t="shared" si="203"/>
        <v>Behavior Analyst</v>
      </c>
    </row>
    <row r="2382" spans="1:23" x14ac:dyDescent="0.25">
      <c r="A2382">
        <v>31002</v>
      </c>
      <c r="B2382" t="s">
        <v>1392</v>
      </c>
      <c r="C2382">
        <v>0.29599999999999999</v>
      </c>
      <c r="D2382" t="s">
        <v>1264</v>
      </c>
      <c r="E2382">
        <v>100083</v>
      </c>
      <c r="F2382">
        <v>31002</v>
      </c>
      <c r="G2382" t="str">
        <f t="shared" si="201"/>
        <v>31002</v>
      </c>
      <c r="H2382" t="s">
        <v>508</v>
      </c>
      <c r="I2382" t="s">
        <v>1265</v>
      </c>
      <c r="J2382" t="s">
        <v>1271</v>
      </c>
      <c r="K2382" t="s">
        <v>1272</v>
      </c>
      <c r="L2382" t="s">
        <v>1392</v>
      </c>
      <c r="M2382" t="s">
        <v>1393</v>
      </c>
      <c r="N2382">
        <v>21</v>
      </c>
      <c r="O2382" t="str">
        <f t="shared" si="204"/>
        <v>49</v>
      </c>
      <c r="P2382">
        <v>49</v>
      </c>
      <c r="R2382" t="s">
        <v>1269</v>
      </c>
      <c r="S2382">
        <v>0.29599999999999999</v>
      </c>
      <c r="T2382">
        <v>0.29820000000000002</v>
      </c>
      <c r="U2382">
        <f t="shared" si="205"/>
        <v>8.7999999999999995E-2</v>
      </c>
      <c r="V2382" t="str">
        <f t="shared" si="202"/>
        <v>High Behavior Analyst</v>
      </c>
      <c r="W2382" t="str">
        <f t="shared" si="203"/>
        <v>Behavior Analyst</v>
      </c>
    </row>
    <row r="2383" spans="1:23" x14ac:dyDescent="0.25">
      <c r="A2383">
        <v>31002</v>
      </c>
      <c r="B2383" t="s">
        <v>1374</v>
      </c>
      <c r="C2383">
        <v>0.37</v>
      </c>
      <c r="D2383" t="s">
        <v>1264</v>
      </c>
      <c r="E2383">
        <v>100083</v>
      </c>
      <c r="F2383">
        <v>31002</v>
      </c>
      <c r="G2383" t="str">
        <f t="shared" si="201"/>
        <v>31002</v>
      </c>
      <c r="H2383" t="s">
        <v>508</v>
      </c>
      <c r="I2383" t="s">
        <v>1265</v>
      </c>
      <c r="J2383" t="s">
        <v>1266</v>
      </c>
      <c r="K2383" t="s">
        <v>1267</v>
      </c>
      <c r="L2383" t="s">
        <v>1374</v>
      </c>
      <c r="M2383" t="s">
        <v>1391</v>
      </c>
      <c r="N2383">
        <v>21</v>
      </c>
      <c r="O2383" t="str">
        <f t="shared" si="204"/>
        <v>49</v>
      </c>
      <c r="P2383">
        <v>49</v>
      </c>
      <c r="R2383" t="s">
        <v>1269</v>
      </c>
      <c r="S2383">
        <v>0.37</v>
      </c>
      <c r="T2383">
        <v>0.29820000000000002</v>
      </c>
      <c r="U2383">
        <f t="shared" si="205"/>
        <v>0.11</v>
      </c>
      <c r="V2383" t="str">
        <f t="shared" si="202"/>
        <v>Middle Behavior Analyst</v>
      </c>
      <c r="W2383" t="str">
        <f t="shared" si="203"/>
        <v>Behavior Analyst</v>
      </c>
    </row>
    <row r="2384" spans="1:23" x14ac:dyDescent="0.25">
      <c r="A2384">
        <v>31004</v>
      </c>
      <c r="B2384" t="s">
        <v>1286</v>
      </c>
      <c r="C2384">
        <v>4.6349999999999998</v>
      </c>
      <c r="D2384" t="s">
        <v>1264</v>
      </c>
      <c r="E2384">
        <v>100126</v>
      </c>
      <c r="F2384">
        <v>31004</v>
      </c>
      <c r="G2384" t="str">
        <f t="shared" si="201"/>
        <v>31004</v>
      </c>
      <c r="H2384" t="s">
        <v>509</v>
      </c>
      <c r="I2384" t="s">
        <v>1265</v>
      </c>
      <c r="J2384" t="s">
        <v>1271</v>
      </c>
      <c r="K2384" t="s">
        <v>1272</v>
      </c>
      <c r="L2384" t="s">
        <v>1286</v>
      </c>
      <c r="M2384" t="s">
        <v>1287</v>
      </c>
      <c r="N2384">
        <v>1</v>
      </c>
      <c r="O2384" t="str">
        <f t="shared" si="204"/>
        <v>24</v>
      </c>
      <c r="P2384">
        <v>96</v>
      </c>
      <c r="Q2384">
        <v>24</v>
      </c>
      <c r="R2384" t="s">
        <v>1269</v>
      </c>
      <c r="S2384">
        <v>4.6349999999999998</v>
      </c>
      <c r="T2384">
        <v>0.2656</v>
      </c>
      <c r="U2384">
        <f t="shared" si="205"/>
        <v>0</v>
      </c>
      <c r="V2384" t="str">
        <f t="shared" si="202"/>
        <v>High Family Engagement Coordinator</v>
      </c>
      <c r="W2384" t="str">
        <f t="shared" si="203"/>
        <v>Family Engagement Coordinator</v>
      </c>
    </row>
    <row r="2385" spans="1:23" x14ac:dyDescent="0.25">
      <c r="A2385">
        <v>31004</v>
      </c>
      <c r="B2385" t="s">
        <v>1290</v>
      </c>
      <c r="C2385">
        <v>4.32</v>
      </c>
      <c r="D2385" t="s">
        <v>1264</v>
      </c>
      <c r="E2385">
        <v>100126</v>
      </c>
      <c r="F2385">
        <v>31004</v>
      </c>
      <c r="G2385" t="str">
        <f t="shared" si="201"/>
        <v>31004</v>
      </c>
      <c r="H2385" t="s">
        <v>509</v>
      </c>
      <c r="I2385" t="s">
        <v>1265</v>
      </c>
      <c r="J2385" t="s">
        <v>1271</v>
      </c>
      <c r="K2385" t="s">
        <v>1272</v>
      </c>
      <c r="L2385" t="s">
        <v>1290</v>
      </c>
      <c r="M2385" t="s">
        <v>1412</v>
      </c>
      <c r="N2385">
        <v>97</v>
      </c>
      <c r="O2385" t="str">
        <f t="shared" si="204"/>
        <v>25</v>
      </c>
      <c r="Q2385">
        <v>25</v>
      </c>
      <c r="R2385" t="s">
        <v>1269</v>
      </c>
      <c r="S2385">
        <v>4.32</v>
      </c>
      <c r="T2385">
        <v>0.2656</v>
      </c>
      <c r="U2385">
        <f t="shared" si="205"/>
        <v>0</v>
      </c>
      <c r="V2385" t="str">
        <f t="shared" si="202"/>
        <v>High Pupil Management</v>
      </c>
      <c r="W2385" t="str">
        <f t="shared" si="203"/>
        <v>Pupil Management</v>
      </c>
    </row>
    <row r="2386" spans="1:23" x14ac:dyDescent="0.25">
      <c r="A2386">
        <v>31004</v>
      </c>
      <c r="B2386" t="s">
        <v>1311</v>
      </c>
      <c r="C2386">
        <v>0.48499999999999999</v>
      </c>
      <c r="D2386" t="s">
        <v>1264</v>
      </c>
      <c r="E2386">
        <v>100126</v>
      </c>
      <c r="F2386">
        <v>31004</v>
      </c>
      <c r="G2386" t="str">
        <f t="shared" si="201"/>
        <v>31004</v>
      </c>
      <c r="H2386" t="s">
        <v>509</v>
      </c>
      <c r="I2386" t="s">
        <v>1265</v>
      </c>
      <c r="J2386" t="s">
        <v>1276</v>
      </c>
      <c r="K2386" t="s">
        <v>1277</v>
      </c>
      <c r="L2386" t="s">
        <v>1311</v>
      </c>
      <c r="M2386" t="s">
        <v>1327</v>
      </c>
      <c r="N2386">
        <v>21</v>
      </c>
      <c r="O2386" t="str">
        <f t="shared" si="204"/>
        <v>26</v>
      </c>
      <c r="Q2386">
        <v>26</v>
      </c>
      <c r="R2386" t="s">
        <v>1269</v>
      </c>
      <c r="S2386">
        <v>0.48499999999999999</v>
      </c>
      <c r="T2386">
        <v>0.2656</v>
      </c>
      <c r="U2386">
        <f t="shared" si="205"/>
        <v>0.129</v>
      </c>
      <c r="V2386" t="str">
        <f t="shared" si="202"/>
        <v>Elementary Health/
Related Services</v>
      </c>
      <c r="W2386" t="str">
        <f t="shared" si="203"/>
        <v>Health/
Related Services</v>
      </c>
    </row>
    <row r="2387" spans="1:23" x14ac:dyDescent="0.25">
      <c r="A2387">
        <v>31004</v>
      </c>
      <c r="B2387" t="s">
        <v>1324</v>
      </c>
      <c r="C2387">
        <v>3.63</v>
      </c>
      <c r="D2387" t="s">
        <v>1264</v>
      </c>
      <c r="E2387">
        <v>100126</v>
      </c>
      <c r="F2387">
        <v>31004</v>
      </c>
      <c r="G2387" t="str">
        <f t="shared" si="201"/>
        <v>31004</v>
      </c>
      <c r="H2387" t="s">
        <v>509</v>
      </c>
      <c r="I2387" t="s">
        <v>1265</v>
      </c>
      <c r="J2387" t="s">
        <v>1271</v>
      </c>
      <c r="K2387" t="s">
        <v>1272</v>
      </c>
      <c r="L2387" t="s">
        <v>1324</v>
      </c>
      <c r="M2387" t="s">
        <v>1325</v>
      </c>
      <c r="N2387">
        <v>21</v>
      </c>
      <c r="O2387" t="str">
        <f t="shared" si="204"/>
        <v>26</v>
      </c>
      <c r="Q2387">
        <v>26</v>
      </c>
      <c r="R2387" t="s">
        <v>1269</v>
      </c>
      <c r="S2387">
        <v>3.63</v>
      </c>
      <c r="T2387">
        <v>0.2656</v>
      </c>
      <c r="U2387">
        <f t="shared" si="205"/>
        <v>0.96399999999999997</v>
      </c>
      <c r="V2387" t="str">
        <f t="shared" si="202"/>
        <v>High Health/
Related Services</v>
      </c>
      <c r="W2387" t="str">
        <f t="shared" si="203"/>
        <v>Health/
Related Services</v>
      </c>
    </row>
    <row r="2388" spans="1:23" x14ac:dyDescent="0.25">
      <c r="A2388">
        <v>31004</v>
      </c>
      <c r="B2388" t="s">
        <v>1295</v>
      </c>
      <c r="C2388">
        <v>15.202999999999999</v>
      </c>
      <c r="D2388" t="s">
        <v>1264</v>
      </c>
      <c r="E2388">
        <v>100126</v>
      </c>
      <c r="F2388">
        <v>31004</v>
      </c>
      <c r="G2388" t="str">
        <f t="shared" si="201"/>
        <v>31004</v>
      </c>
      <c r="H2388" t="s">
        <v>509</v>
      </c>
      <c r="I2388" t="s">
        <v>1265</v>
      </c>
      <c r="J2388" t="s">
        <v>1271</v>
      </c>
      <c r="K2388" t="s">
        <v>1272</v>
      </c>
      <c r="L2388" t="s">
        <v>1295</v>
      </c>
      <c r="M2388" t="s">
        <v>1296</v>
      </c>
      <c r="N2388">
        <v>1</v>
      </c>
      <c r="O2388" t="str">
        <f t="shared" si="204"/>
        <v>26</v>
      </c>
      <c r="Q2388">
        <v>26</v>
      </c>
      <c r="R2388" t="s">
        <v>1269</v>
      </c>
      <c r="S2388">
        <v>15.202999999999999</v>
      </c>
      <c r="T2388">
        <v>0.2656</v>
      </c>
      <c r="U2388">
        <f t="shared" si="205"/>
        <v>0</v>
      </c>
      <c r="V2388" t="str">
        <f t="shared" si="202"/>
        <v>High Health/
Related Services</v>
      </c>
      <c r="W2388" t="str">
        <f t="shared" si="203"/>
        <v>Health/
Related Services</v>
      </c>
    </row>
    <row r="2389" spans="1:23" x14ac:dyDescent="0.25">
      <c r="A2389">
        <v>31004</v>
      </c>
      <c r="B2389" t="s">
        <v>1402</v>
      </c>
      <c r="C2389">
        <v>1.278</v>
      </c>
      <c r="D2389" t="s">
        <v>1264</v>
      </c>
      <c r="E2389">
        <v>100126</v>
      </c>
      <c r="F2389">
        <v>31004</v>
      </c>
      <c r="G2389" t="str">
        <f t="shared" si="201"/>
        <v>31004</v>
      </c>
      <c r="H2389" t="s">
        <v>509</v>
      </c>
      <c r="I2389" t="s">
        <v>1265</v>
      </c>
      <c r="J2389" t="s">
        <v>1271</v>
      </c>
      <c r="K2389" t="s">
        <v>1272</v>
      </c>
      <c r="L2389" t="s">
        <v>1402</v>
      </c>
      <c r="M2389" t="s">
        <v>1408</v>
      </c>
      <c r="N2389">
        <v>97</v>
      </c>
      <c r="O2389" t="str">
        <f t="shared" si="204"/>
        <v>35</v>
      </c>
      <c r="Q2389">
        <v>35</v>
      </c>
      <c r="R2389" t="s">
        <v>1269</v>
      </c>
      <c r="S2389">
        <v>1.278</v>
      </c>
      <c r="T2389">
        <v>0.2656</v>
      </c>
      <c r="U2389">
        <f t="shared" si="205"/>
        <v>0</v>
      </c>
      <c r="V2389" t="str">
        <f t="shared" si="202"/>
        <v>High Pupil Safety</v>
      </c>
      <c r="W2389" t="str">
        <f t="shared" si="203"/>
        <v>Pupil Safety</v>
      </c>
    </row>
    <row r="2390" spans="1:23" x14ac:dyDescent="0.25">
      <c r="A2390">
        <v>31004</v>
      </c>
      <c r="B2390" t="s">
        <v>1275</v>
      </c>
      <c r="C2390">
        <v>8</v>
      </c>
      <c r="D2390" t="s">
        <v>1264</v>
      </c>
      <c r="E2390">
        <v>100126</v>
      </c>
      <c r="F2390">
        <v>31004</v>
      </c>
      <c r="G2390" t="str">
        <f t="shared" si="201"/>
        <v>31004</v>
      </c>
      <c r="H2390" t="s">
        <v>509</v>
      </c>
      <c r="I2390" t="s">
        <v>1265</v>
      </c>
      <c r="J2390" t="s">
        <v>1276</v>
      </c>
      <c r="K2390" t="s">
        <v>1277</v>
      </c>
      <c r="L2390" t="s">
        <v>1275</v>
      </c>
      <c r="M2390" t="s">
        <v>1278</v>
      </c>
      <c r="N2390">
        <v>1</v>
      </c>
      <c r="O2390" t="str">
        <f t="shared" si="204"/>
        <v>42</v>
      </c>
      <c r="P2390">
        <v>42</v>
      </c>
      <c r="R2390" t="s">
        <v>1269</v>
      </c>
      <c r="S2390">
        <v>8</v>
      </c>
      <c r="T2390">
        <v>0.2656</v>
      </c>
      <c r="U2390">
        <f t="shared" si="205"/>
        <v>0</v>
      </c>
      <c r="V2390" t="str">
        <f t="shared" si="202"/>
        <v>Elementary Counselor</v>
      </c>
      <c r="W2390" t="str">
        <f t="shared" si="203"/>
        <v>Counselor</v>
      </c>
    </row>
    <row r="2391" spans="1:23" x14ac:dyDescent="0.25">
      <c r="A2391">
        <v>31004</v>
      </c>
      <c r="B2391" t="s">
        <v>1270</v>
      </c>
      <c r="C2391">
        <v>10.1</v>
      </c>
      <c r="D2391" t="s">
        <v>1264</v>
      </c>
      <c r="E2391">
        <v>100126</v>
      </c>
      <c r="F2391">
        <v>31004</v>
      </c>
      <c r="G2391" t="str">
        <f t="shared" si="201"/>
        <v>31004</v>
      </c>
      <c r="H2391" t="s">
        <v>509</v>
      </c>
      <c r="I2391" t="s">
        <v>1265</v>
      </c>
      <c r="J2391" t="s">
        <v>1271</v>
      </c>
      <c r="K2391" t="s">
        <v>1272</v>
      </c>
      <c r="L2391" t="s">
        <v>1270</v>
      </c>
      <c r="M2391" t="s">
        <v>1273</v>
      </c>
      <c r="N2391">
        <v>1</v>
      </c>
      <c r="O2391" t="str">
        <f t="shared" si="204"/>
        <v>42</v>
      </c>
      <c r="P2391">
        <v>42</v>
      </c>
      <c r="R2391" t="s">
        <v>1269</v>
      </c>
      <c r="S2391">
        <v>10.1</v>
      </c>
      <c r="T2391">
        <v>0.2656</v>
      </c>
      <c r="U2391">
        <f t="shared" si="205"/>
        <v>0</v>
      </c>
      <c r="V2391" t="str">
        <f t="shared" si="202"/>
        <v>High Counselor</v>
      </c>
      <c r="W2391" t="str">
        <f t="shared" si="203"/>
        <v>Counselor</v>
      </c>
    </row>
    <row r="2392" spans="1:23" x14ac:dyDescent="0.25">
      <c r="A2392">
        <v>31004</v>
      </c>
      <c r="B2392" t="s">
        <v>1263</v>
      </c>
      <c r="C2392">
        <v>4.5940000000000003</v>
      </c>
      <c r="D2392" t="s">
        <v>1264</v>
      </c>
      <c r="E2392">
        <v>100126</v>
      </c>
      <c r="F2392">
        <v>31004</v>
      </c>
      <c r="G2392" t="str">
        <f t="shared" si="201"/>
        <v>31004</v>
      </c>
      <c r="H2392" t="s">
        <v>509</v>
      </c>
      <c r="I2392" t="s">
        <v>1265</v>
      </c>
      <c r="J2392" t="s">
        <v>1266</v>
      </c>
      <c r="K2392" t="s">
        <v>1267</v>
      </c>
      <c r="L2392" t="s">
        <v>1263</v>
      </c>
      <c r="M2392" t="s">
        <v>1268</v>
      </c>
      <c r="N2392">
        <v>1</v>
      </c>
      <c r="O2392" t="str">
        <f t="shared" si="204"/>
        <v>42</v>
      </c>
      <c r="P2392">
        <v>42</v>
      </c>
      <c r="R2392" t="s">
        <v>1269</v>
      </c>
      <c r="S2392">
        <v>4.5940000000000003</v>
      </c>
      <c r="T2392">
        <v>0.2656</v>
      </c>
      <c r="U2392">
        <f t="shared" si="205"/>
        <v>0</v>
      </c>
      <c r="V2392" t="str">
        <f t="shared" si="202"/>
        <v>Middle Counselor</v>
      </c>
      <c r="W2392" t="str">
        <f t="shared" si="203"/>
        <v>Counselor</v>
      </c>
    </row>
    <row r="2393" spans="1:23" x14ac:dyDescent="0.25">
      <c r="A2393">
        <v>31004</v>
      </c>
      <c r="B2393" t="s">
        <v>1289</v>
      </c>
      <c r="C2393">
        <v>6.5</v>
      </c>
      <c r="D2393" t="s">
        <v>1264</v>
      </c>
      <c r="E2393">
        <v>100126</v>
      </c>
      <c r="F2393">
        <v>31004</v>
      </c>
      <c r="G2393" t="str">
        <f t="shared" si="201"/>
        <v>31004</v>
      </c>
      <c r="H2393" t="s">
        <v>509</v>
      </c>
      <c r="I2393" t="s">
        <v>1265</v>
      </c>
      <c r="J2393" t="s">
        <v>1276</v>
      </c>
      <c r="K2393" t="s">
        <v>1277</v>
      </c>
      <c r="L2393" t="s">
        <v>1289</v>
      </c>
      <c r="M2393" t="s">
        <v>1307</v>
      </c>
      <c r="N2393">
        <v>21</v>
      </c>
      <c r="O2393" t="str">
        <f t="shared" si="204"/>
        <v>43</v>
      </c>
      <c r="P2393">
        <v>43</v>
      </c>
      <c r="R2393" t="s">
        <v>1269</v>
      </c>
      <c r="S2393">
        <v>6.5</v>
      </c>
      <c r="T2393">
        <v>0.2656</v>
      </c>
      <c r="U2393">
        <f t="shared" si="205"/>
        <v>1.726</v>
      </c>
      <c r="V2393" t="str">
        <f t="shared" si="202"/>
        <v>Elementary Occupational Therapist</v>
      </c>
      <c r="W2393" t="str">
        <f t="shared" si="203"/>
        <v>Occupational Therapist</v>
      </c>
    </row>
    <row r="2394" spans="1:23" x14ac:dyDescent="0.25">
      <c r="A2394">
        <v>31004</v>
      </c>
      <c r="B2394" t="s">
        <v>1294</v>
      </c>
      <c r="C2394">
        <v>11</v>
      </c>
      <c r="D2394" t="s">
        <v>1264</v>
      </c>
      <c r="E2394">
        <v>100126</v>
      </c>
      <c r="F2394">
        <v>31004</v>
      </c>
      <c r="G2394" t="str">
        <f t="shared" si="201"/>
        <v>31004</v>
      </c>
      <c r="H2394" t="s">
        <v>509</v>
      </c>
      <c r="I2394" t="s">
        <v>1265</v>
      </c>
      <c r="J2394" t="s">
        <v>1276</v>
      </c>
      <c r="K2394" t="s">
        <v>1277</v>
      </c>
      <c r="L2394" t="s">
        <v>1294</v>
      </c>
      <c r="M2394" t="s">
        <v>1354</v>
      </c>
      <c r="N2394">
        <v>21</v>
      </c>
      <c r="O2394" t="str">
        <f t="shared" si="204"/>
        <v>45</v>
      </c>
      <c r="P2394">
        <v>45</v>
      </c>
      <c r="R2394" t="s">
        <v>1269</v>
      </c>
      <c r="S2394">
        <v>11</v>
      </c>
      <c r="T2394">
        <v>0.2656</v>
      </c>
      <c r="U2394">
        <f t="shared" si="205"/>
        <v>2.9220000000000002</v>
      </c>
      <c r="V2394" t="str">
        <f t="shared" si="202"/>
        <v>Elementary Speech, Language Pathway/
Audio</v>
      </c>
      <c r="W2394" t="str">
        <f t="shared" si="203"/>
        <v>Speech, Language Pathway/
Audio</v>
      </c>
    </row>
    <row r="2395" spans="1:23" x14ac:dyDescent="0.25">
      <c r="A2395">
        <v>31004</v>
      </c>
      <c r="B2395" t="s">
        <v>1326</v>
      </c>
      <c r="C2395">
        <v>2</v>
      </c>
      <c r="D2395" t="s">
        <v>1264</v>
      </c>
      <c r="E2395">
        <v>100126</v>
      </c>
      <c r="F2395">
        <v>31004</v>
      </c>
      <c r="G2395" t="str">
        <f t="shared" si="201"/>
        <v>31004</v>
      </c>
      <c r="H2395" t="s">
        <v>509</v>
      </c>
      <c r="I2395" t="s">
        <v>1265</v>
      </c>
      <c r="J2395" t="s">
        <v>1271</v>
      </c>
      <c r="K2395" t="s">
        <v>1272</v>
      </c>
      <c r="L2395" t="s">
        <v>1326</v>
      </c>
      <c r="M2395" t="s">
        <v>1353</v>
      </c>
      <c r="N2395">
        <v>21</v>
      </c>
      <c r="O2395" t="str">
        <f t="shared" si="204"/>
        <v>45</v>
      </c>
      <c r="P2395">
        <v>45</v>
      </c>
      <c r="R2395" t="s">
        <v>1269</v>
      </c>
      <c r="S2395">
        <v>2</v>
      </c>
      <c r="T2395">
        <v>0.2656</v>
      </c>
      <c r="U2395">
        <f t="shared" si="205"/>
        <v>0.53100000000000003</v>
      </c>
      <c r="V2395" t="str">
        <f t="shared" si="202"/>
        <v>High Speech, Language Pathway/
Audio</v>
      </c>
      <c r="W2395" t="str">
        <f t="shared" si="203"/>
        <v>Speech, Language Pathway/
Audio</v>
      </c>
    </row>
    <row r="2396" spans="1:23" x14ac:dyDescent="0.25">
      <c r="A2396">
        <v>31004</v>
      </c>
      <c r="B2396" t="s">
        <v>1312</v>
      </c>
      <c r="C2396">
        <v>2</v>
      </c>
      <c r="D2396" t="s">
        <v>1264</v>
      </c>
      <c r="E2396">
        <v>100126</v>
      </c>
      <c r="F2396">
        <v>31004</v>
      </c>
      <c r="G2396" t="str">
        <f t="shared" si="201"/>
        <v>31004</v>
      </c>
      <c r="H2396" t="s">
        <v>509</v>
      </c>
      <c r="I2396" t="s">
        <v>1265</v>
      </c>
      <c r="J2396" t="s">
        <v>1266</v>
      </c>
      <c r="K2396" t="s">
        <v>1267</v>
      </c>
      <c r="L2396" t="s">
        <v>1312</v>
      </c>
      <c r="M2396" t="s">
        <v>1351</v>
      </c>
      <c r="N2396">
        <v>21</v>
      </c>
      <c r="O2396" t="str">
        <f t="shared" si="204"/>
        <v>45</v>
      </c>
      <c r="P2396">
        <v>45</v>
      </c>
      <c r="R2396" t="s">
        <v>1269</v>
      </c>
      <c r="S2396">
        <v>2</v>
      </c>
      <c r="T2396">
        <v>0.2656</v>
      </c>
      <c r="U2396">
        <f t="shared" si="205"/>
        <v>0.53100000000000003</v>
      </c>
      <c r="V2396" t="str">
        <f t="shared" si="202"/>
        <v>Middle Speech, Language Pathway/
Audio</v>
      </c>
      <c r="W2396" t="str">
        <f t="shared" si="203"/>
        <v>Speech, Language Pathway/
Audio</v>
      </c>
    </row>
    <row r="2397" spans="1:23" x14ac:dyDescent="0.25">
      <c r="A2397">
        <v>31004</v>
      </c>
      <c r="B2397" t="s">
        <v>1298</v>
      </c>
      <c r="C2397">
        <v>5</v>
      </c>
      <c r="D2397" t="s">
        <v>1264</v>
      </c>
      <c r="E2397">
        <v>100126</v>
      </c>
      <c r="F2397">
        <v>31004</v>
      </c>
      <c r="G2397" t="str">
        <f t="shared" si="201"/>
        <v>31004</v>
      </c>
      <c r="H2397" t="s">
        <v>509</v>
      </c>
      <c r="I2397" t="s">
        <v>1265</v>
      </c>
      <c r="J2397" t="s">
        <v>1276</v>
      </c>
      <c r="K2397" t="s">
        <v>1277</v>
      </c>
      <c r="L2397" t="s">
        <v>1298</v>
      </c>
      <c r="M2397" t="s">
        <v>1349</v>
      </c>
      <c r="N2397">
        <v>21</v>
      </c>
      <c r="O2397" t="str">
        <f t="shared" si="204"/>
        <v>46</v>
      </c>
      <c r="P2397">
        <v>46</v>
      </c>
      <c r="R2397" t="s">
        <v>1269</v>
      </c>
      <c r="S2397">
        <v>5</v>
      </c>
      <c r="T2397">
        <v>0.2656</v>
      </c>
      <c r="U2397">
        <f t="shared" si="205"/>
        <v>1.3280000000000001</v>
      </c>
      <c r="V2397" t="str">
        <f t="shared" si="202"/>
        <v>Elementary Psychologist</v>
      </c>
      <c r="W2397" t="str">
        <f t="shared" si="203"/>
        <v>Psychologist</v>
      </c>
    </row>
    <row r="2398" spans="1:23" x14ac:dyDescent="0.25">
      <c r="A2398">
        <v>31004</v>
      </c>
      <c r="B2398" t="s">
        <v>1309</v>
      </c>
      <c r="C2398">
        <v>1</v>
      </c>
      <c r="D2398" t="s">
        <v>1264</v>
      </c>
      <c r="E2398">
        <v>100126</v>
      </c>
      <c r="F2398">
        <v>31004</v>
      </c>
      <c r="G2398" t="str">
        <f t="shared" si="201"/>
        <v>31004</v>
      </c>
      <c r="H2398" t="s">
        <v>509</v>
      </c>
      <c r="I2398" t="s">
        <v>1265</v>
      </c>
      <c r="J2398" t="s">
        <v>1271</v>
      </c>
      <c r="K2398" t="s">
        <v>1272</v>
      </c>
      <c r="L2398" t="s">
        <v>1309</v>
      </c>
      <c r="M2398" t="s">
        <v>1310</v>
      </c>
      <c r="N2398">
        <v>21</v>
      </c>
      <c r="O2398" t="str">
        <f t="shared" si="204"/>
        <v>46</v>
      </c>
      <c r="P2398">
        <v>46</v>
      </c>
      <c r="R2398" t="s">
        <v>1269</v>
      </c>
      <c r="S2398">
        <v>1</v>
      </c>
      <c r="T2398">
        <v>0.2656</v>
      </c>
      <c r="U2398">
        <f t="shared" si="205"/>
        <v>0.26600000000000001</v>
      </c>
      <c r="V2398" t="str">
        <f t="shared" si="202"/>
        <v>High Psychologist</v>
      </c>
      <c r="W2398" t="str">
        <f t="shared" si="203"/>
        <v>Psychologist</v>
      </c>
    </row>
    <row r="2399" spans="1:23" x14ac:dyDescent="0.25">
      <c r="A2399">
        <v>31004</v>
      </c>
      <c r="B2399" t="s">
        <v>1345</v>
      </c>
      <c r="C2399">
        <v>3</v>
      </c>
      <c r="D2399" t="s">
        <v>1264</v>
      </c>
      <c r="E2399">
        <v>100126</v>
      </c>
      <c r="F2399">
        <v>31004</v>
      </c>
      <c r="G2399" t="str">
        <f t="shared" si="201"/>
        <v>31004</v>
      </c>
      <c r="H2399" t="s">
        <v>509</v>
      </c>
      <c r="I2399" t="s">
        <v>1265</v>
      </c>
      <c r="J2399" t="s">
        <v>1266</v>
      </c>
      <c r="K2399" t="s">
        <v>1267</v>
      </c>
      <c r="L2399" t="s">
        <v>1345</v>
      </c>
      <c r="M2399" t="s">
        <v>1346</v>
      </c>
      <c r="N2399">
        <v>21</v>
      </c>
      <c r="O2399" t="str">
        <f t="shared" si="204"/>
        <v>46</v>
      </c>
      <c r="P2399">
        <v>46</v>
      </c>
      <c r="R2399" t="s">
        <v>1269</v>
      </c>
      <c r="S2399">
        <v>3</v>
      </c>
      <c r="T2399">
        <v>0.2656</v>
      </c>
      <c r="U2399">
        <f t="shared" si="205"/>
        <v>0.79700000000000004</v>
      </c>
      <c r="V2399" t="str">
        <f t="shared" si="202"/>
        <v>Middle Psychologist</v>
      </c>
      <c r="W2399" t="str">
        <f t="shared" si="203"/>
        <v>Psychologist</v>
      </c>
    </row>
    <row r="2400" spans="1:23" x14ac:dyDescent="0.25">
      <c r="A2400">
        <v>31006</v>
      </c>
      <c r="B2400" t="s">
        <v>1324</v>
      </c>
      <c r="C2400">
        <v>1.2330000000000001</v>
      </c>
      <c r="D2400" t="s">
        <v>1264</v>
      </c>
      <c r="E2400">
        <v>100159</v>
      </c>
      <c r="F2400">
        <v>31006</v>
      </c>
      <c r="G2400" t="str">
        <f t="shared" si="201"/>
        <v>31006</v>
      </c>
      <c r="H2400" t="s">
        <v>510</v>
      </c>
      <c r="I2400" t="s">
        <v>1265</v>
      </c>
      <c r="J2400" t="s">
        <v>1271</v>
      </c>
      <c r="K2400" t="s">
        <v>1272</v>
      </c>
      <c r="L2400" t="s">
        <v>1324</v>
      </c>
      <c r="M2400" t="s">
        <v>1325</v>
      </c>
      <c r="N2400">
        <v>21</v>
      </c>
      <c r="O2400" t="str">
        <f t="shared" si="204"/>
        <v>26</v>
      </c>
      <c r="Q2400">
        <v>26</v>
      </c>
      <c r="R2400" t="s">
        <v>1269</v>
      </c>
      <c r="S2400">
        <v>1.2330000000000001</v>
      </c>
      <c r="T2400">
        <v>0.28149999999999997</v>
      </c>
      <c r="U2400">
        <f t="shared" si="205"/>
        <v>0.34699999999999998</v>
      </c>
      <c r="V2400" t="str">
        <f t="shared" si="202"/>
        <v>High Health/
Related Services</v>
      </c>
      <c r="W2400" t="str">
        <f t="shared" si="203"/>
        <v>Health/
Related Services</v>
      </c>
    </row>
    <row r="2401" spans="1:23" x14ac:dyDescent="0.25">
      <c r="A2401">
        <v>31006</v>
      </c>
      <c r="B2401" t="s">
        <v>1295</v>
      </c>
      <c r="C2401">
        <v>2.4220000000000002</v>
      </c>
      <c r="D2401" t="s">
        <v>1264</v>
      </c>
      <c r="E2401">
        <v>100159</v>
      </c>
      <c r="F2401">
        <v>31006</v>
      </c>
      <c r="G2401" t="str">
        <f t="shared" si="201"/>
        <v>31006</v>
      </c>
      <c r="H2401" t="s">
        <v>510</v>
      </c>
      <c r="I2401" t="s">
        <v>1265</v>
      </c>
      <c r="J2401" t="s">
        <v>1271</v>
      </c>
      <c r="K2401" t="s">
        <v>1272</v>
      </c>
      <c r="L2401" t="s">
        <v>1295</v>
      </c>
      <c r="M2401" t="s">
        <v>1296</v>
      </c>
      <c r="N2401">
        <v>1</v>
      </c>
      <c r="O2401" t="str">
        <f t="shared" si="204"/>
        <v>26</v>
      </c>
      <c r="Q2401">
        <v>26</v>
      </c>
      <c r="R2401" t="s">
        <v>1269</v>
      </c>
      <c r="S2401">
        <v>2.4220000000000002</v>
      </c>
      <c r="T2401">
        <v>0.28149999999999997</v>
      </c>
      <c r="U2401">
        <f t="shared" si="205"/>
        <v>0</v>
      </c>
      <c r="V2401" t="str">
        <f t="shared" si="202"/>
        <v>High Health/
Related Services</v>
      </c>
      <c r="W2401" t="str">
        <f t="shared" si="203"/>
        <v>Health/
Related Services</v>
      </c>
    </row>
    <row r="2402" spans="1:23" x14ac:dyDescent="0.25">
      <c r="A2402">
        <v>31006</v>
      </c>
      <c r="B2402" t="s">
        <v>1401</v>
      </c>
      <c r="C2402">
        <v>5.5359999999999996</v>
      </c>
      <c r="D2402" t="s">
        <v>1264</v>
      </c>
      <c r="E2402">
        <v>100159</v>
      </c>
      <c r="F2402">
        <v>31006</v>
      </c>
      <c r="G2402" t="str">
        <f t="shared" si="201"/>
        <v>31006</v>
      </c>
      <c r="H2402" t="s">
        <v>510</v>
      </c>
      <c r="I2402" t="s">
        <v>1265</v>
      </c>
      <c r="J2402" t="s">
        <v>1271</v>
      </c>
      <c r="K2402" t="s">
        <v>1272</v>
      </c>
      <c r="L2402" t="s">
        <v>1401</v>
      </c>
      <c r="M2402" t="s">
        <v>1422</v>
      </c>
      <c r="N2402">
        <v>1</v>
      </c>
      <c r="O2402" t="str">
        <f t="shared" si="204"/>
        <v>35</v>
      </c>
      <c r="Q2402">
        <v>35</v>
      </c>
      <c r="R2402" t="s">
        <v>1269</v>
      </c>
      <c r="S2402">
        <v>5.5359999999999996</v>
      </c>
      <c r="T2402">
        <v>0.28149999999999997</v>
      </c>
      <c r="U2402">
        <f t="shared" si="205"/>
        <v>0</v>
      </c>
      <c r="V2402" t="str">
        <f t="shared" si="202"/>
        <v>High Pupil Safety</v>
      </c>
      <c r="W2402" t="str">
        <f t="shared" si="203"/>
        <v>Pupil Safety</v>
      </c>
    </row>
    <row r="2403" spans="1:23" x14ac:dyDescent="0.25">
      <c r="A2403">
        <v>31006</v>
      </c>
      <c r="B2403" t="s">
        <v>1275</v>
      </c>
      <c r="C2403">
        <v>6.7759999999999998</v>
      </c>
      <c r="D2403" t="s">
        <v>1264</v>
      </c>
      <c r="E2403">
        <v>100159</v>
      </c>
      <c r="F2403">
        <v>31006</v>
      </c>
      <c r="G2403" t="str">
        <f t="shared" si="201"/>
        <v>31006</v>
      </c>
      <c r="H2403" t="s">
        <v>510</v>
      </c>
      <c r="I2403" t="s">
        <v>1265</v>
      </c>
      <c r="J2403" t="s">
        <v>1276</v>
      </c>
      <c r="K2403" t="s">
        <v>1277</v>
      </c>
      <c r="L2403" t="s">
        <v>1275</v>
      </c>
      <c r="M2403" t="s">
        <v>1278</v>
      </c>
      <c r="N2403">
        <v>1</v>
      </c>
      <c r="O2403" t="str">
        <f t="shared" si="204"/>
        <v>42</v>
      </c>
      <c r="P2403">
        <v>42</v>
      </c>
      <c r="R2403" t="s">
        <v>1269</v>
      </c>
      <c r="S2403">
        <v>6.7759999999999998</v>
      </c>
      <c r="T2403">
        <v>0.28149999999999997</v>
      </c>
      <c r="U2403">
        <f t="shared" si="205"/>
        <v>0</v>
      </c>
      <c r="V2403" t="str">
        <f t="shared" si="202"/>
        <v>Elementary Counselor</v>
      </c>
      <c r="W2403" t="str">
        <f t="shared" si="203"/>
        <v>Counselor</v>
      </c>
    </row>
    <row r="2404" spans="1:23" x14ac:dyDescent="0.25">
      <c r="A2404">
        <v>31006</v>
      </c>
      <c r="B2404" t="s">
        <v>1270</v>
      </c>
      <c r="C2404">
        <v>11.65</v>
      </c>
      <c r="D2404" t="s">
        <v>1264</v>
      </c>
      <c r="E2404">
        <v>100159</v>
      </c>
      <c r="F2404">
        <v>31006</v>
      </c>
      <c r="G2404" t="str">
        <f t="shared" si="201"/>
        <v>31006</v>
      </c>
      <c r="H2404" t="s">
        <v>510</v>
      </c>
      <c r="I2404" t="s">
        <v>1265</v>
      </c>
      <c r="J2404" t="s">
        <v>1271</v>
      </c>
      <c r="K2404" t="s">
        <v>1272</v>
      </c>
      <c r="L2404" t="s">
        <v>1270</v>
      </c>
      <c r="M2404" t="s">
        <v>1273</v>
      </c>
      <c r="N2404">
        <v>1</v>
      </c>
      <c r="O2404" t="str">
        <f t="shared" si="204"/>
        <v>42</v>
      </c>
      <c r="P2404">
        <v>42</v>
      </c>
      <c r="R2404" t="s">
        <v>1269</v>
      </c>
      <c r="S2404">
        <v>11.65</v>
      </c>
      <c r="T2404">
        <v>0.28149999999999997</v>
      </c>
      <c r="U2404">
        <f t="shared" si="205"/>
        <v>0</v>
      </c>
      <c r="V2404" t="str">
        <f t="shared" si="202"/>
        <v>High Counselor</v>
      </c>
      <c r="W2404" t="str">
        <f t="shared" si="203"/>
        <v>Counselor</v>
      </c>
    </row>
    <row r="2405" spans="1:23" x14ac:dyDescent="0.25">
      <c r="A2405">
        <v>31006</v>
      </c>
      <c r="B2405" t="s">
        <v>1263</v>
      </c>
      <c r="C2405">
        <v>7.556</v>
      </c>
      <c r="D2405" t="s">
        <v>1264</v>
      </c>
      <c r="E2405">
        <v>100159</v>
      </c>
      <c r="F2405">
        <v>31006</v>
      </c>
      <c r="G2405" t="str">
        <f t="shared" si="201"/>
        <v>31006</v>
      </c>
      <c r="H2405" t="s">
        <v>510</v>
      </c>
      <c r="I2405" t="s">
        <v>1265</v>
      </c>
      <c r="J2405" t="s">
        <v>1266</v>
      </c>
      <c r="K2405" t="s">
        <v>1267</v>
      </c>
      <c r="L2405" t="s">
        <v>1263</v>
      </c>
      <c r="M2405" t="s">
        <v>1268</v>
      </c>
      <c r="N2405">
        <v>1</v>
      </c>
      <c r="O2405" t="str">
        <f t="shared" si="204"/>
        <v>42</v>
      </c>
      <c r="P2405">
        <v>42</v>
      </c>
      <c r="R2405" t="s">
        <v>1269</v>
      </c>
      <c r="S2405">
        <v>7.556</v>
      </c>
      <c r="T2405">
        <v>0.28149999999999997</v>
      </c>
      <c r="U2405">
        <f t="shared" si="205"/>
        <v>0</v>
      </c>
      <c r="V2405" t="str">
        <f t="shared" si="202"/>
        <v>Middle Counselor</v>
      </c>
      <c r="W2405" t="str">
        <f t="shared" si="203"/>
        <v>Counselor</v>
      </c>
    </row>
    <row r="2406" spans="1:23" x14ac:dyDescent="0.25">
      <c r="A2406">
        <v>31006</v>
      </c>
      <c r="B2406" t="s">
        <v>1289</v>
      </c>
      <c r="C2406">
        <v>13.214</v>
      </c>
      <c r="D2406" t="s">
        <v>1264</v>
      </c>
      <c r="E2406">
        <v>100159</v>
      </c>
      <c r="F2406">
        <v>31006</v>
      </c>
      <c r="G2406" t="str">
        <f t="shared" si="201"/>
        <v>31006</v>
      </c>
      <c r="H2406" t="s">
        <v>510</v>
      </c>
      <c r="I2406" t="s">
        <v>1265</v>
      </c>
      <c r="J2406" t="s">
        <v>1276</v>
      </c>
      <c r="K2406" t="s">
        <v>1277</v>
      </c>
      <c r="L2406" t="s">
        <v>1289</v>
      </c>
      <c r="M2406" t="s">
        <v>1307</v>
      </c>
      <c r="N2406">
        <v>21</v>
      </c>
      <c r="O2406" t="str">
        <f t="shared" si="204"/>
        <v>43</v>
      </c>
      <c r="P2406">
        <v>43</v>
      </c>
      <c r="R2406" t="s">
        <v>1269</v>
      </c>
      <c r="S2406">
        <v>13.214</v>
      </c>
      <c r="T2406">
        <v>0.28149999999999997</v>
      </c>
      <c r="U2406">
        <f t="shared" si="205"/>
        <v>3.72</v>
      </c>
      <c r="V2406" t="str">
        <f t="shared" si="202"/>
        <v>Elementary Occupational Therapist</v>
      </c>
      <c r="W2406" t="str">
        <f t="shared" si="203"/>
        <v>Occupational Therapist</v>
      </c>
    </row>
    <row r="2407" spans="1:23" x14ac:dyDescent="0.25">
      <c r="A2407">
        <v>31006</v>
      </c>
      <c r="B2407" t="s">
        <v>1387</v>
      </c>
      <c r="C2407">
        <v>1.905</v>
      </c>
      <c r="D2407" t="s">
        <v>1264</v>
      </c>
      <c r="E2407">
        <v>100159</v>
      </c>
      <c r="F2407">
        <v>31006</v>
      </c>
      <c r="G2407" t="str">
        <f t="shared" si="201"/>
        <v>31006</v>
      </c>
      <c r="H2407" t="s">
        <v>510</v>
      </c>
      <c r="I2407" t="s">
        <v>1265</v>
      </c>
      <c r="J2407" t="s">
        <v>1271</v>
      </c>
      <c r="K2407" t="s">
        <v>1272</v>
      </c>
      <c r="L2407" t="s">
        <v>1387</v>
      </c>
      <c r="M2407" t="s">
        <v>1406</v>
      </c>
      <c r="N2407">
        <v>21</v>
      </c>
      <c r="O2407" t="str">
        <f t="shared" si="204"/>
        <v>43</v>
      </c>
      <c r="P2407">
        <v>43</v>
      </c>
      <c r="R2407" t="s">
        <v>1269</v>
      </c>
      <c r="S2407">
        <v>1.905</v>
      </c>
      <c r="T2407">
        <v>0.28149999999999997</v>
      </c>
      <c r="U2407">
        <f t="shared" si="205"/>
        <v>0.53600000000000003</v>
      </c>
      <c r="V2407" t="str">
        <f t="shared" si="202"/>
        <v>High Occupational Therapist</v>
      </c>
      <c r="W2407" t="str">
        <f t="shared" si="203"/>
        <v>Occupational Therapist</v>
      </c>
    </row>
    <row r="2408" spans="1:23" x14ac:dyDescent="0.25">
      <c r="A2408">
        <v>31006</v>
      </c>
      <c r="B2408" t="s">
        <v>1303</v>
      </c>
      <c r="C2408">
        <v>1.5229999999999999</v>
      </c>
      <c r="D2408" t="s">
        <v>1264</v>
      </c>
      <c r="E2408">
        <v>100159</v>
      </c>
      <c r="F2408">
        <v>31006</v>
      </c>
      <c r="G2408" t="str">
        <f t="shared" si="201"/>
        <v>31006</v>
      </c>
      <c r="H2408" t="s">
        <v>510</v>
      </c>
      <c r="I2408" t="s">
        <v>1265</v>
      </c>
      <c r="J2408" t="s">
        <v>1266</v>
      </c>
      <c r="K2408" t="s">
        <v>1267</v>
      </c>
      <c r="L2408" t="s">
        <v>1303</v>
      </c>
      <c r="M2408" t="s">
        <v>1304</v>
      </c>
      <c r="N2408">
        <v>21</v>
      </c>
      <c r="O2408" t="str">
        <f t="shared" si="204"/>
        <v>43</v>
      </c>
      <c r="P2408">
        <v>43</v>
      </c>
      <c r="R2408" t="s">
        <v>1269</v>
      </c>
      <c r="S2408">
        <v>1.5229999999999999</v>
      </c>
      <c r="T2408">
        <v>0.28149999999999997</v>
      </c>
      <c r="U2408">
        <f t="shared" si="205"/>
        <v>0.42899999999999999</v>
      </c>
      <c r="V2408" t="str">
        <f t="shared" si="202"/>
        <v>Middle Occupational Therapist</v>
      </c>
      <c r="W2408" t="str">
        <f t="shared" si="203"/>
        <v>Occupational Therapist</v>
      </c>
    </row>
    <row r="2409" spans="1:23" x14ac:dyDescent="0.25">
      <c r="A2409">
        <v>31006</v>
      </c>
      <c r="B2409" t="s">
        <v>1331</v>
      </c>
      <c r="C2409">
        <v>7</v>
      </c>
      <c r="D2409" t="s">
        <v>1264</v>
      </c>
      <c r="E2409">
        <v>100159</v>
      </c>
      <c r="F2409">
        <v>31006</v>
      </c>
      <c r="G2409" t="str">
        <f t="shared" si="201"/>
        <v>31006</v>
      </c>
      <c r="H2409" t="s">
        <v>510</v>
      </c>
      <c r="I2409" t="s">
        <v>1265</v>
      </c>
      <c r="J2409" t="s">
        <v>1276</v>
      </c>
      <c r="K2409" t="s">
        <v>1277</v>
      </c>
      <c r="L2409" t="s">
        <v>1331</v>
      </c>
      <c r="M2409" t="s">
        <v>1405</v>
      </c>
      <c r="N2409">
        <v>1</v>
      </c>
      <c r="O2409" t="str">
        <f t="shared" si="204"/>
        <v>44</v>
      </c>
      <c r="P2409">
        <v>44</v>
      </c>
      <c r="R2409" t="s">
        <v>1269</v>
      </c>
      <c r="S2409">
        <v>7</v>
      </c>
      <c r="T2409">
        <v>0.28149999999999997</v>
      </c>
      <c r="U2409">
        <f t="shared" si="205"/>
        <v>0</v>
      </c>
      <c r="V2409" t="str">
        <f t="shared" si="202"/>
        <v>Elementary Social Worker</v>
      </c>
      <c r="W2409" t="str">
        <f t="shared" si="203"/>
        <v>Social Worker</v>
      </c>
    </row>
    <row r="2410" spans="1:23" x14ac:dyDescent="0.25">
      <c r="A2410">
        <v>31006</v>
      </c>
      <c r="B2410" t="s">
        <v>1294</v>
      </c>
      <c r="C2410">
        <v>21.795999999999999</v>
      </c>
      <c r="D2410" t="s">
        <v>1264</v>
      </c>
      <c r="E2410">
        <v>100159</v>
      </c>
      <c r="F2410">
        <v>31006</v>
      </c>
      <c r="G2410" t="str">
        <f t="shared" si="201"/>
        <v>31006</v>
      </c>
      <c r="H2410" t="s">
        <v>510</v>
      </c>
      <c r="I2410" t="s">
        <v>1265</v>
      </c>
      <c r="J2410" t="s">
        <v>1276</v>
      </c>
      <c r="K2410" t="s">
        <v>1277</v>
      </c>
      <c r="L2410" t="s">
        <v>1294</v>
      </c>
      <c r="M2410" t="s">
        <v>1354</v>
      </c>
      <c r="N2410">
        <v>21</v>
      </c>
      <c r="O2410" t="str">
        <f t="shared" si="204"/>
        <v>45</v>
      </c>
      <c r="P2410">
        <v>45</v>
      </c>
      <c r="R2410" t="s">
        <v>1269</v>
      </c>
      <c r="S2410">
        <v>21.795999999999999</v>
      </c>
      <c r="T2410">
        <v>0.28149999999999997</v>
      </c>
      <c r="U2410">
        <f t="shared" si="205"/>
        <v>6.1360000000000001</v>
      </c>
      <c r="V2410" t="str">
        <f t="shared" si="202"/>
        <v>Elementary Speech, Language Pathway/
Audio</v>
      </c>
      <c r="W2410" t="str">
        <f t="shared" si="203"/>
        <v>Speech, Language Pathway/
Audio</v>
      </c>
    </row>
    <row r="2411" spans="1:23" x14ac:dyDescent="0.25">
      <c r="A2411">
        <v>31006</v>
      </c>
      <c r="B2411" t="s">
        <v>1326</v>
      </c>
      <c r="C2411">
        <v>4.7539999999999996</v>
      </c>
      <c r="D2411" t="s">
        <v>1264</v>
      </c>
      <c r="E2411">
        <v>100159</v>
      </c>
      <c r="F2411">
        <v>31006</v>
      </c>
      <c r="G2411" t="str">
        <f t="shared" si="201"/>
        <v>31006</v>
      </c>
      <c r="H2411" t="s">
        <v>510</v>
      </c>
      <c r="I2411" t="s">
        <v>1265</v>
      </c>
      <c r="J2411" t="s">
        <v>1271</v>
      </c>
      <c r="K2411" t="s">
        <v>1272</v>
      </c>
      <c r="L2411" t="s">
        <v>1326</v>
      </c>
      <c r="M2411" t="s">
        <v>1353</v>
      </c>
      <c r="N2411">
        <v>21</v>
      </c>
      <c r="O2411" t="str">
        <f t="shared" si="204"/>
        <v>45</v>
      </c>
      <c r="P2411">
        <v>45</v>
      </c>
      <c r="R2411" t="s">
        <v>1269</v>
      </c>
      <c r="S2411">
        <v>4.7539999999999996</v>
      </c>
      <c r="T2411">
        <v>0.28149999999999997</v>
      </c>
      <c r="U2411">
        <f t="shared" si="205"/>
        <v>1.3380000000000001</v>
      </c>
      <c r="V2411" t="str">
        <f t="shared" si="202"/>
        <v>High Speech, Language Pathway/
Audio</v>
      </c>
      <c r="W2411" t="str">
        <f t="shared" si="203"/>
        <v>Speech, Language Pathway/
Audio</v>
      </c>
    </row>
    <row r="2412" spans="1:23" x14ac:dyDescent="0.25">
      <c r="A2412">
        <v>31006</v>
      </c>
      <c r="B2412" t="s">
        <v>1312</v>
      </c>
      <c r="C2412">
        <v>3.1930000000000001</v>
      </c>
      <c r="D2412" t="s">
        <v>1264</v>
      </c>
      <c r="E2412">
        <v>100159</v>
      </c>
      <c r="F2412">
        <v>31006</v>
      </c>
      <c r="G2412" t="str">
        <f t="shared" si="201"/>
        <v>31006</v>
      </c>
      <c r="H2412" t="s">
        <v>510</v>
      </c>
      <c r="I2412" t="s">
        <v>1265</v>
      </c>
      <c r="J2412" t="s">
        <v>1266</v>
      </c>
      <c r="K2412" t="s">
        <v>1267</v>
      </c>
      <c r="L2412" t="s">
        <v>1312</v>
      </c>
      <c r="M2412" t="s">
        <v>1351</v>
      </c>
      <c r="N2412">
        <v>21</v>
      </c>
      <c r="O2412" t="str">
        <f t="shared" si="204"/>
        <v>45</v>
      </c>
      <c r="P2412">
        <v>45</v>
      </c>
      <c r="R2412" t="s">
        <v>1269</v>
      </c>
      <c r="S2412">
        <v>3.1930000000000001</v>
      </c>
      <c r="T2412">
        <v>0.28149999999999997</v>
      </c>
      <c r="U2412">
        <f t="shared" si="205"/>
        <v>0.89900000000000002</v>
      </c>
      <c r="V2412" t="str">
        <f t="shared" si="202"/>
        <v>Middle Speech, Language Pathway/
Audio</v>
      </c>
      <c r="W2412" t="str">
        <f t="shared" si="203"/>
        <v>Speech, Language Pathway/
Audio</v>
      </c>
    </row>
    <row r="2413" spans="1:23" x14ac:dyDescent="0.25">
      <c r="A2413">
        <v>31006</v>
      </c>
      <c r="B2413" t="s">
        <v>1298</v>
      </c>
      <c r="C2413">
        <v>8.4930000000000003</v>
      </c>
      <c r="D2413" t="s">
        <v>1264</v>
      </c>
      <c r="E2413">
        <v>100159</v>
      </c>
      <c r="F2413">
        <v>31006</v>
      </c>
      <c r="G2413" t="str">
        <f t="shared" si="201"/>
        <v>31006</v>
      </c>
      <c r="H2413" t="s">
        <v>510</v>
      </c>
      <c r="I2413" t="s">
        <v>1265</v>
      </c>
      <c r="J2413" t="s">
        <v>1276</v>
      </c>
      <c r="K2413" t="s">
        <v>1277</v>
      </c>
      <c r="L2413" t="s">
        <v>1298</v>
      </c>
      <c r="M2413" t="s">
        <v>1349</v>
      </c>
      <c r="N2413">
        <v>21</v>
      </c>
      <c r="O2413" t="str">
        <f t="shared" si="204"/>
        <v>46</v>
      </c>
      <c r="P2413">
        <v>46</v>
      </c>
      <c r="R2413" t="s">
        <v>1269</v>
      </c>
      <c r="S2413">
        <v>8.4930000000000003</v>
      </c>
      <c r="T2413">
        <v>0.28149999999999997</v>
      </c>
      <c r="U2413">
        <f t="shared" si="205"/>
        <v>2.391</v>
      </c>
      <c r="V2413" t="str">
        <f t="shared" si="202"/>
        <v>Elementary Psychologist</v>
      </c>
      <c r="W2413" t="str">
        <f t="shared" si="203"/>
        <v>Psychologist</v>
      </c>
    </row>
    <row r="2414" spans="1:23" x14ac:dyDescent="0.25">
      <c r="A2414">
        <v>31006</v>
      </c>
      <c r="B2414" t="s">
        <v>1333</v>
      </c>
      <c r="C2414">
        <v>3</v>
      </c>
      <c r="D2414" t="s">
        <v>1264</v>
      </c>
      <c r="E2414">
        <v>100159</v>
      </c>
      <c r="F2414">
        <v>31006</v>
      </c>
      <c r="G2414" t="str">
        <f t="shared" si="201"/>
        <v>31006</v>
      </c>
      <c r="H2414" t="s">
        <v>510</v>
      </c>
      <c r="I2414" t="s">
        <v>1265</v>
      </c>
      <c r="J2414" t="s">
        <v>1276</v>
      </c>
      <c r="K2414" t="s">
        <v>1277</v>
      </c>
      <c r="L2414" t="s">
        <v>1333</v>
      </c>
      <c r="M2414" t="s">
        <v>1432</v>
      </c>
      <c r="N2414">
        <v>1</v>
      </c>
      <c r="O2414" t="str">
        <f t="shared" si="204"/>
        <v>46</v>
      </c>
      <c r="P2414">
        <v>46</v>
      </c>
      <c r="R2414" t="s">
        <v>1269</v>
      </c>
      <c r="S2414">
        <v>3</v>
      </c>
      <c r="T2414">
        <v>0.28149999999999997</v>
      </c>
      <c r="U2414">
        <f t="shared" si="205"/>
        <v>0</v>
      </c>
      <c r="V2414" t="str">
        <f t="shared" si="202"/>
        <v>Elementary Psychologist</v>
      </c>
      <c r="W2414" t="str">
        <f t="shared" si="203"/>
        <v>Psychologist</v>
      </c>
    </row>
    <row r="2415" spans="1:23" x14ac:dyDescent="0.25">
      <c r="A2415">
        <v>31006</v>
      </c>
      <c r="B2415" t="s">
        <v>1309</v>
      </c>
      <c r="C2415">
        <v>3</v>
      </c>
      <c r="D2415" t="s">
        <v>1264</v>
      </c>
      <c r="E2415">
        <v>100159</v>
      </c>
      <c r="F2415">
        <v>31006</v>
      </c>
      <c r="G2415" t="str">
        <f t="shared" si="201"/>
        <v>31006</v>
      </c>
      <c r="H2415" t="s">
        <v>510</v>
      </c>
      <c r="I2415" t="s">
        <v>1265</v>
      </c>
      <c r="J2415" t="s">
        <v>1271</v>
      </c>
      <c r="K2415" t="s">
        <v>1272</v>
      </c>
      <c r="L2415" t="s">
        <v>1309</v>
      </c>
      <c r="M2415" t="s">
        <v>1310</v>
      </c>
      <c r="N2415">
        <v>21</v>
      </c>
      <c r="O2415" t="str">
        <f t="shared" si="204"/>
        <v>46</v>
      </c>
      <c r="P2415">
        <v>46</v>
      </c>
      <c r="R2415" t="s">
        <v>1269</v>
      </c>
      <c r="S2415">
        <v>3</v>
      </c>
      <c r="T2415">
        <v>0.28149999999999997</v>
      </c>
      <c r="U2415">
        <f t="shared" si="205"/>
        <v>0.84499999999999997</v>
      </c>
      <c r="V2415" t="str">
        <f t="shared" si="202"/>
        <v>High Psychologist</v>
      </c>
      <c r="W2415" t="str">
        <f t="shared" si="203"/>
        <v>Psychologist</v>
      </c>
    </row>
    <row r="2416" spans="1:23" x14ac:dyDescent="0.25">
      <c r="A2416">
        <v>31006</v>
      </c>
      <c r="B2416" t="s">
        <v>1345</v>
      </c>
      <c r="C2416">
        <v>1.5069999999999999</v>
      </c>
      <c r="D2416" t="s">
        <v>1264</v>
      </c>
      <c r="E2416">
        <v>100159</v>
      </c>
      <c r="F2416">
        <v>31006</v>
      </c>
      <c r="G2416" t="str">
        <f t="shared" si="201"/>
        <v>31006</v>
      </c>
      <c r="H2416" t="s">
        <v>510</v>
      </c>
      <c r="I2416" t="s">
        <v>1265</v>
      </c>
      <c r="J2416" t="s">
        <v>1266</v>
      </c>
      <c r="K2416" t="s">
        <v>1267</v>
      </c>
      <c r="L2416" t="s">
        <v>1345</v>
      </c>
      <c r="M2416" t="s">
        <v>1346</v>
      </c>
      <c r="N2416">
        <v>21</v>
      </c>
      <c r="O2416" t="str">
        <f t="shared" si="204"/>
        <v>46</v>
      </c>
      <c r="P2416">
        <v>46</v>
      </c>
      <c r="R2416" t="s">
        <v>1269</v>
      </c>
      <c r="S2416">
        <v>1.5069999999999999</v>
      </c>
      <c r="T2416">
        <v>0.28149999999999997</v>
      </c>
      <c r="U2416">
        <f t="shared" si="205"/>
        <v>0.42399999999999999</v>
      </c>
      <c r="V2416" t="str">
        <f t="shared" si="202"/>
        <v>Middle Psychologist</v>
      </c>
      <c r="W2416" t="str">
        <f t="shared" si="203"/>
        <v>Psychologist</v>
      </c>
    </row>
    <row r="2417" spans="1:23" x14ac:dyDescent="0.25">
      <c r="A2417">
        <v>31006</v>
      </c>
      <c r="B2417" t="s">
        <v>1335</v>
      </c>
      <c r="C2417">
        <v>8.9589999999999996</v>
      </c>
      <c r="D2417" t="s">
        <v>1264</v>
      </c>
      <c r="E2417">
        <v>100159</v>
      </c>
      <c r="F2417">
        <v>31006</v>
      </c>
      <c r="G2417" t="str">
        <f t="shared" si="201"/>
        <v>31006</v>
      </c>
      <c r="H2417" t="s">
        <v>510</v>
      </c>
      <c r="I2417" t="s">
        <v>1265</v>
      </c>
      <c r="J2417" t="s">
        <v>1276</v>
      </c>
      <c r="K2417" t="s">
        <v>1277</v>
      </c>
      <c r="L2417" t="s">
        <v>1335</v>
      </c>
      <c r="M2417" t="s">
        <v>1344</v>
      </c>
      <c r="N2417">
        <v>1</v>
      </c>
      <c r="O2417" t="str">
        <f t="shared" si="204"/>
        <v>47</v>
      </c>
      <c r="P2417">
        <v>47</v>
      </c>
      <c r="R2417" t="s">
        <v>1269</v>
      </c>
      <c r="S2417">
        <v>8.9589999999999996</v>
      </c>
      <c r="T2417">
        <v>0.28149999999999997</v>
      </c>
      <c r="U2417">
        <f t="shared" si="205"/>
        <v>0</v>
      </c>
      <c r="V2417" t="str">
        <f t="shared" si="202"/>
        <v>Elementary Nurse</v>
      </c>
      <c r="W2417" t="str">
        <f t="shared" si="203"/>
        <v>Nurse</v>
      </c>
    </row>
    <row r="2418" spans="1:23" x14ac:dyDescent="0.25">
      <c r="A2418">
        <v>31006</v>
      </c>
      <c r="B2418" t="s">
        <v>1341</v>
      </c>
      <c r="C2418">
        <v>2.956</v>
      </c>
      <c r="D2418" t="s">
        <v>1264</v>
      </c>
      <c r="E2418">
        <v>100159</v>
      </c>
      <c r="F2418">
        <v>31006</v>
      </c>
      <c r="G2418" t="str">
        <f t="shared" si="201"/>
        <v>31006</v>
      </c>
      <c r="H2418" t="s">
        <v>510</v>
      </c>
      <c r="I2418" t="s">
        <v>1265</v>
      </c>
      <c r="J2418" t="s">
        <v>1271</v>
      </c>
      <c r="K2418" t="s">
        <v>1272</v>
      </c>
      <c r="L2418" t="s">
        <v>1341</v>
      </c>
      <c r="M2418" t="s">
        <v>1342</v>
      </c>
      <c r="N2418">
        <v>1</v>
      </c>
      <c r="O2418" t="str">
        <f t="shared" si="204"/>
        <v>47</v>
      </c>
      <c r="P2418">
        <v>47</v>
      </c>
      <c r="R2418" t="s">
        <v>1269</v>
      </c>
      <c r="S2418">
        <v>2.956</v>
      </c>
      <c r="T2418">
        <v>0.28149999999999997</v>
      </c>
      <c r="U2418">
        <f t="shared" si="205"/>
        <v>0</v>
      </c>
      <c r="V2418" t="str">
        <f t="shared" si="202"/>
        <v>High Nurse</v>
      </c>
      <c r="W2418" t="str">
        <f t="shared" si="203"/>
        <v>Nurse</v>
      </c>
    </row>
    <row r="2419" spans="1:23" x14ac:dyDescent="0.25">
      <c r="A2419">
        <v>31006</v>
      </c>
      <c r="B2419" t="s">
        <v>1338</v>
      </c>
      <c r="C2419">
        <v>2.7509999999999999</v>
      </c>
      <c r="D2419" t="s">
        <v>1264</v>
      </c>
      <c r="E2419">
        <v>100159</v>
      </c>
      <c r="F2419">
        <v>31006</v>
      </c>
      <c r="G2419" t="str">
        <f t="shared" si="201"/>
        <v>31006</v>
      </c>
      <c r="H2419" t="s">
        <v>510</v>
      </c>
      <c r="I2419" t="s">
        <v>1265</v>
      </c>
      <c r="J2419" t="s">
        <v>1266</v>
      </c>
      <c r="K2419" t="s">
        <v>1267</v>
      </c>
      <c r="L2419" t="s">
        <v>1338</v>
      </c>
      <c r="M2419" t="s">
        <v>1339</v>
      </c>
      <c r="N2419">
        <v>1</v>
      </c>
      <c r="O2419" t="str">
        <f t="shared" si="204"/>
        <v>47</v>
      </c>
      <c r="P2419">
        <v>47</v>
      </c>
      <c r="R2419" t="s">
        <v>1269</v>
      </c>
      <c r="S2419">
        <v>2.7509999999999999</v>
      </c>
      <c r="T2419">
        <v>0.28149999999999997</v>
      </c>
      <c r="U2419">
        <f t="shared" si="205"/>
        <v>0</v>
      </c>
      <c r="V2419" t="str">
        <f t="shared" si="202"/>
        <v>Middle Nurse</v>
      </c>
      <c r="W2419" t="str">
        <f t="shared" si="203"/>
        <v>Nurse</v>
      </c>
    </row>
    <row r="2420" spans="1:23" x14ac:dyDescent="0.25">
      <c r="A2420">
        <v>31006</v>
      </c>
      <c r="B2420" t="s">
        <v>1302</v>
      </c>
      <c r="C2420">
        <v>3.6269999999999998</v>
      </c>
      <c r="D2420" t="s">
        <v>1264</v>
      </c>
      <c r="E2420">
        <v>100159</v>
      </c>
      <c r="F2420">
        <v>31006</v>
      </c>
      <c r="G2420" t="str">
        <f t="shared" si="201"/>
        <v>31006</v>
      </c>
      <c r="H2420" t="s">
        <v>510</v>
      </c>
      <c r="I2420" t="s">
        <v>1265</v>
      </c>
      <c r="J2420" t="s">
        <v>1276</v>
      </c>
      <c r="K2420" t="s">
        <v>1277</v>
      </c>
      <c r="L2420" t="s">
        <v>1302</v>
      </c>
      <c r="M2420" t="s">
        <v>1336</v>
      </c>
      <c r="N2420">
        <v>21</v>
      </c>
      <c r="O2420" t="str">
        <f t="shared" si="204"/>
        <v>48</v>
      </c>
      <c r="P2420">
        <v>48</v>
      </c>
      <c r="R2420" t="s">
        <v>1269</v>
      </c>
      <c r="S2420">
        <v>3.6269999999999998</v>
      </c>
      <c r="T2420">
        <v>0.28149999999999997</v>
      </c>
      <c r="U2420">
        <f t="shared" si="205"/>
        <v>1.0209999999999999</v>
      </c>
      <c r="V2420" t="str">
        <f t="shared" si="202"/>
        <v>Elementary Physical Therapist</v>
      </c>
      <c r="W2420" t="str">
        <f t="shared" si="203"/>
        <v>Physical Therapist</v>
      </c>
    </row>
    <row r="2421" spans="1:23" x14ac:dyDescent="0.25">
      <c r="A2421">
        <v>31006</v>
      </c>
      <c r="B2421" t="s">
        <v>1330</v>
      </c>
      <c r="C2421">
        <v>0.55000000000000004</v>
      </c>
      <c r="D2421" t="s">
        <v>1264</v>
      </c>
      <c r="E2421">
        <v>100159</v>
      </c>
      <c r="F2421">
        <v>31006</v>
      </c>
      <c r="G2421" t="str">
        <f t="shared" si="201"/>
        <v>31006</v>
      </c>
      <c r="H2421" t="s">
        <v>510</v>
      </c>
      <c r="I2421" t="s">
        <v>1265</v>
      </c>
      <c r="J2421" t="s">
        <v>1271</v>
      </c>
      <c r="K2421" t="s">
        <v>1272</v>
      </c>
      <c r="L2421" t="s">
        <v>1330</v>
      </c>
      <c r="M2421" t="s">
        <v>1367</v>
      </c>
      <c r="N2421">
        <v>21</v>
      </c>
      <c r="O2421" t="str">
        <f t="shared" si="204"/>
        <v>48</v>
      </c>
      <c r="P2421">
        <v>48</v>
      </c>
      <c r="R2421" t="s">
        <v>1269</v>
      </c>
      <c r="S2421">
        <v>0.55000000000000004</v>
      </c>
      <c r="T2421">
        <v>0.28149999999999997</v>
      </c>
      <c r="U2421">
        <f t="shared" si="205"/>
        <v>0.155</v>
      </c>
      <c r="V2421" t="str">
        <f t="shared" si="202"/>
        <v>High Physical Therapist</v>
      </c>
      <c r="W2421" t="str">
        <f t="shared" si="203"/>
        <v>Physical Therapist</v>
      </c>
    </row>
    <row r="2422" spans="1:23" x14ac:dyDescent="0.25">
      <c r="A2422">
        <v>31006</v>
      </c>
      <c r="B2422" t="s">
        <v>1316</v>
      </c>
      <c r="C2422">
        <v>0.32500000000000001</v>
      </c>
      <c r="D2422" t="s">
        <v>1264</v>
      </c>
      <c r="E2422">
        <v>100159</v>
      </c>
      <c r="F2422">
        <v>31006</v>
      </c>
      <c r="G2422" t="str">
        <f t="shared" si="201"/>
        <v>31006</v>
      </c>
      <c r="H2422" t="s">
        <v>510</v>
      </c>
      <c r="I2422" t="s">
        <v>1265</v>
      </c>
      <c r="J2422" t="s">
        <v>1266</v>
      </c>
      <c r="K2422" t="s">
        <v>1267</v>
      </c>
      <c r="L2422" t="s">
        <v>1316</v>
      </c>
      <c r="M2422" t="s">
        <v>1366</v>
      </c>
      <c r="N2422">
        <v>21</v>
      </c>
      <c r="O2422" t="str">
        <f t="shared" si="204"/>
        <v>48</v>
      </c>
      <c r="P2422">
        <v>48</v>
      </c>
      <c r="R2422" t="s">
        <v>1269</v>
      </c>
      <c r="S2422">
        <v>0.32500000000000001</v>
      </c>
      <c r="T2422">
        <v>0.28149999999999997</v>
      </c>
      <c r="U2422">
        <f t="shared" si="205"/>
        <v>9.0999999999999998E-2</v>
      </c>
      <c r="V2422" t="str">
        <f t="shared" si="202"/>
        <v>Middle Physical Therapist</v>
      </c>
      <c r="W2422" t="str">
        <f t="shared" si="203"/>
        <v>Physical Therapist</v>
      </c>
    </row>
    <row r="2423" spans="1:23" x14ac:dyDescent="0.25">
      <c r="A2423">
        <v>31015</v>
      </c>
      <c r="B2423" t="s">
        <v>1286</v>
      </c>
      <c r="C2423">
        <v>3.3180000000000001</v>
      </c>
      <c r="D2423" t="s">
        <v>1264</v>
      </c>
      <c r="E2423">
        <v>100075</v>
      </c>
      <c r="F2423">
        <v>31015</v>
      </c>
      <c r="G2423" t="str">
        <f t="shared" si="201"/>
        <v>31015</v>
      </c>
      <c r="H2423" t="s">
        <v>511</v>
      </c>
      <c r="I2423" t="s">
        <v>1265</v>
      </c>
      <c r="J2423" t="s">
        <v>1271</v>
      </c>
      <c r="K2423" t="s">
        <v>1272</v>
      </c>
      <c r="L2423" t="s">
        <v>1286</v>
      </c>
      <c r="M2423" t="s">
        <v>1287</v>
      </c>
      <c r="N2423">
        <v>1</v>
      </c>
      <c r="O2423" t="str">
        <f t="shared" si="204"/>
        <v>24</v>
      </c>
      <c r="P2423">
        <v>96</v>
      </c>
      <c r="Q2423">
        <v>24</v>
      </c>
      <c r="R2423" t="s">
        <v>1269</v>
      </c>
      <c r="S2423">
        <v>3.3180000000000001</v>
      </c>
      <c r="T2423">
        <v>0.29459999999999997</v>
      </c>
      <c r="U2423">
        <f t="shared" si="205"/>
        <v>0</v>
      </c>
      <c r="V2423" t="str">
        <f t="shared" si="202"/>
        <v>High Family Engagement Coordinator</v>
      </c>
      <c r="W2423" t="str">
        <f t="shared" si="203"/>
        <v>Family Engagement Coordinator</v>
      </c>
    </row>
    <row r="2424" spans="1:23" x14ac:dyDescent="0.25">
      <c r="A2424">
        <v>31015</v>
      </c>
      <c r="B2424" t="s">
        <v>1383</v>
      </c>
      <c r="C2424">
        <v>3.42</v>
      </c>
      <c r="D2424" t="s">
        <v>1264</v>
      </c>
      <c r="E2424">
        <v>100075</v>
      </c>
      <c r="F2424">
        <v>31015</v>
      </c>
      <c r="G2424" t="str">
        <f t="shared" si="201"/>
        <v>31015</v>
      </c>
      <c r="H2424" t="s">
        <v>511</v>
      </c>
      <c r="I2424" t="s">
        <v>1265</v>
      </c>
      <c r="J2424" t="s">
        <v>1271</v>
      </c>
      <c r="K2424" t="s">
        <v>1272</v>
      </c>
      <c r="L2424" t="s">
        <v>1383</v>
      </c>
      <c r="M2424" t="s">
        <v>1409</v>
      </c>
      <c r="N2424">
        <v>21</v>
      </c>
      <c r="O2424" t="str">
        <f t="shared" si="204"/>
        <v>25</v>
      </c>
      <c r="Q2424">
        <v>25</v>
      </c>
      <c r="R2424" t="s">
        <v>1269</v>
      </c>
      <c r="S2424">
        <v>3.42</v>
      </c>
      <c r="T2424">
        <v>0.29459999999999997</v>
      </c>
      <c r="U2424">
        <f t="shared" si="205"/>
        <v>1.008</v>
      </c>
      <c r="V2424" t="str">
        <f t="shared" si="202"/>
        <v>High Pupil Management</v>
      </c>
      <c r="W2424" t="str">
        <f t="shared" si="203"/>
        <v>Pupil Management</v>
      </c>
    </row>
    <row r="2425" spans="1:23" x14ac:dyDescent="0.25">
      <c r="A2425">
        <v>31015</v>
      </c>
      <c r="B2425" t="s">
        <v>1299</v>
      </c>
      <c r="C2425">
        <v>9.0180000000000007</v>
      </c>
      <c r="D2425" t="s">
        <v>1264</v>
      </c>
      <c r="E2425">
        <v>100075</v>
      </c>
      <c r="F2425">
        <v>31015</v>
      </c>
      <c r="G2425" t="str">
        <f t="shared" si="201"/>
        <v>31015</v>
      </c>
      <c r="H2425" t="s">
        <v>511</v>
      </c>
      <c r="I2425" t="s">
        <v>1265</v>
      </c>
      <c r="J2425" t="s">
        <v>1271</v>
      </c>
      <c r="K2425" t="s">
        <v>1272</v>
      </c>
      <c r="L2425" t="s">
        <v>1299</v>
      </c>
      <c r="M2425" t="s">
        <v>1300</v>
      </c>
      <c r="N2425">
        <v>1</v>
      </c>
      <c r="O2425" t="str">
        <f t="shared" si="204"/>
        <v>25</v>
      </c>
      <c r="Q2425">
        <v>25</v>
      </c>
      <c r="R2425" t="s">
        <v>1269</v>
      </c>
      <c r="S2425">
        <v>9.0180000000000007</v>
      </c>
      <c r="T2425">
        <v>0.29459999999999997</v>
      </c>
      <c r="U2425">
        <f t="shared" si="205"/>
        <v>0</v>
      </c>
      <c r="V2425" t="str">
        <f t="shared" si="202"/>
        <v>High Pupil Management</v>
      </c>
      <c r="W2425" t="str">
        <f t="shared" si="203"/>
        <v>Pupil Management</v>
      </c>
    </row>
    <row r="2426" spans="1:23" x14ac:dyDescent="0.25">
      <c r="A2426">
        <v>31015</v>
      </c>
      <c r="B2426" t="s">
        <v>1324</v>
      </c>
      <c r="C2426">
        <v>2.895</v>
      </c>
      <c r="D2426" t="s">
        <v>1264</v>
      </c>
      <c r="E2426">
        <v>100075</v>
      </c>
      <c r="F2426">
        <v>31015</v>
      </c>
      <c r="G2426" t="str">
        <f t="shared" si="201"/>
        <v>31015</v>
      </c>
      <c r="H2426" t="s">
        <v>511</v>
      </c>
      <c r="I2426" t="s">
        <v>1265</v>
      </c>
      <c r="J2426" t="s">
        <v>1271</v>
      </c>
      <c r="K2426" t="s">
        <v>1272</v>
      </c>
      <c r="L2426" t="s">
        <v>1324</v>
      </c>
      <c r="M2426" t="s">
        <v>1325</v>
      </c>
      <c r="N2426">
        <v>21</v>
      </c>
      <c r="O2426" t="str">
        <f t="shared" si="204"/>
        <v>26</v>
      </c>
      <c r="Q2426">
        <v>26</v>
      </c>
      <c r="R2426" t="s">
        <v>1269</v>
      </c>
      <c r="S2426">
        <v>2.895</v>
      </c>
      <c r="T2426">
        <v>0.29459999999999997</v>
      </c>
      <c r="U2426">
        <f t="shared" si="205"/>
        <v>0.85299999999999998</v>
      </c>
      <c r="V2426" t="str">
        <f t="shared" si="202"/>
        <v>High Health/
Related Services</v>
      </c>
      <c r="W2426" t="str">
        <f t="shared" si="203"/>
        <v>Health/
Related Services</v>
      </c>
    </row>
    <row r="2427" spans="1:23" x14ac:dyDescent="0.25">
      <c r="A2427">
        <v>31015</v>
      </c>
      <c r="B2427" t="s">
        <v>1295</v>
      </c>
      <c r="C2427">
        <v>4.5069999999999997</v>
      </c>
      <c r="D2427" t="s">
        <v>1264</v>
      </c>
      <c r="E2427">
        <v>100075</v>
      </c>
      <c r="F2427">
        <v>31015</v>
      </c>
      <c r="G2427" t="str">
        <f t="shared" si="201"/>
        <v>31015</v>
      </c>
      <c r="H2427" t="s">
        <v>511</v>
      </c>
      <c r="I2427" t="s">
        <v>1265</v>
      </c>
      <c r="J2427" t="s">
        <v>1271</v>
      </c>
      <c r="K2427" t="s">
        <v>1272</v>
      </c>
      <c r="L2427" t="s">
        <v>1295</v>
      </c>
      <c r="M2427" t="s">
        <v>1296</v>
      </c>
      <c r="N2427">
        <v>1</v>
      </c>
      <c r="O2427" t="str">
        <f t="shared" si="204"/>
        <v>26</v>
      </c>
      <c r="Q2427">
        <v>26</v>
      </c>
      <c r="R2427" t="s">
        <v>1269</v>
      </c>
      <c r="S2427">
        <v>4.5069999999999997</v>
      </c>
      <c r="T2427">
        <v>0.29459999999999997</v>
      </c>
      <c r="U2427">
        <f t="shared" si="205"/>
        <v>0</v>
      </c>
      <c r="V2427" t="str">
        <f t="shared" si="202"/>
        <v>High Health/
Related Services</v>
      </c>
      <c r="W2427" t="str">
        <f t="shared" si="203"/>
        <v>Health/
Related Services</v>
      </c>
    </row>
    <row r="2428" spans="1:23" x14ac:dyDescent="0.25">
      <c r="A2428">
        <v>31015</v>
      </c>
      <c r="B2428" t="s">
        <v>1401</v>
      </c>
      <c r="C2428">
        <v>3.5489999999999999</v>
      </c>
      <c r="D2428" t="s">
        <v>1264</v>
      </c>
      <c r="E2428">
        <v>100075</v>
      </c>
      <c r="F2428">
        <v>31015</v>
      </c>
      <c r="G2428" t="str">
        <f t="shared" si="201"/>
        <v>31015</v>
      </c>
      <c r="H2428" t="s">
        <v>511</v>
      </c>
      <c r="I2428" t="s">
        <v>1265</v>
      </c>
      <c r="J2428" t="s">
        <v>1271</v>
      </c>
      <c r="K2428" t="s">
        <v>1272</v>
      </c>
      <c r="L2428" t="s">
        <v>1401</v>
      </c>
      <c r="M2428" t="s">
        <v>1422</v>
      </c>
      <c r="N2428">
        <v>1</v>
      </c>
      <c r="O2428" t="str">
        <f t="shared" si="204"/>
        <v>35</v>
      </c>
      <c r="Q2428">
        <v>35</v>
      </c>
      <c r="R2428" t="s">
        <v>1269</v>
      </c>
      <c r="S2428">
        <v>3.5489999999999999</v>
      </c>
      <c r="T2428">
        <v>0.29459999999999997</v>
      </c>
      <c r="U2428">
        <f t="shared" si="205"/>
        <v>0</v>
      </c>
      <c r="V2428" t="str">
        <f t="shared" si="202"/>
        <v>High Pupil Safety</v>
      </c>
      <c r="W2428" t="str">
        <f t="shared" si="203"/>
        <v>Pupil Safety</v>
      </c>
    </row>
    <row r="2429" spans="1:23" x14ac:dyDescent="0.25">
      <c r="A2429">
        <v>31015</v>
      </c>
      <c r="B2429" t="s">
        <v>1319</v>
      </c>
      <c r="C2429">
        <v>1</v>
      </c>
      <c r="D2429" t="s">
        <v>1264</v>
      </c>
      <c r="E2429">
        <v>100075</v>
      </c>
      <c r="F2429">
        <v>31015</v>
      </c>
      <c r="G2429" t="str">
        <f t="shared" si="201"/>
        <v>31015</v>
      </c>
      <c r="H2429" t="s">
        <v>511</v>
      </c>
      <c r="I2429" t="s">
        <v>1265</v>
      </c>
      <c r="J2429" t="s">
        <v>1276</v>
      </c>
      <c r="K2429" t="s">
        <v>1277</v>
      </c>
      <c r="L2429" t="s">
        <v>1319</v>
      </c>
      <c r="M2429" t="s">
        <v>1426</v>
      </c>
      <c r="N2429">
        <v>21</v>
      </c>
      <c r="O2429" t="str">
        <f t="shared" si="204"/>
        <v>39</v>
      </c>
      <c r="P2429">
        <v>39</v>
      </c>
      <c r="R2429" t="s">
        <v>1269</v>
      </c>
      <c r="S2429">
        <v>1</v>
      </c>
      <c r="T2429">
        <v>0.29459999999999997</v>
      </c>
      <c r="U2429">
        <f t="shared" si="205"/>
        <v>0.29499999999999998</v>
      </c>
      <c r="V2429" t="str">
        <f t="shared" si="202"/>
        <v>Elementary Orientation &amp; Mobility Specialist</v>
      </c>
      <c r="W2429" t="str">
        <f t="shared" si="203"/>
        <v>Orientation &amp; Mobility Specialist</v>
      </c>
    </row>
    <row r="2430" spans="1:23" x14ac:dyDescent="0.25">
      <c r="A2430">
        <v>31015</v>
      </c>
      <c r="B2430" t="s">
        <v>1275</v>
      </c>
      <c r="C2430">
        <v>25.640999999999998</v>
      </c>
      <c r="D2430" t="s">
        <v>1264</v>
      </c>
      <c r="E2430">
        <v>100075</v>
      </c>
      <c r="F2430">
        <v>31015</v>
      </c>
      <c r="G2430" t="str">
        <f t="shared" si="201"/>
        <v>31015</v>
      </c>
      <c r="H2430" t="s">
        <v>511</v>
      </c>
      <c r="I2430" t="s">
        <v>1265</v>
      </c>
      <c r="J2430" t="s">
        <v>1276</v>
      </c>
      <c r="K2430" t="s">
        <v>1277</v>
      </c>
      <c r="L2430" t="s">
        <v>1275</v>
      </c>
      <c r="M2430" t="s">
        <v>1278</v>
      </c>
      <c r="N2430">
        <v>1</v>
      </c>
      <c r="O2430" t="str">
        <f t="shared" si="204"/>
        <v>42</v>
      </c>
      <c r="P2430">
        <v>42</v>
      </c>
      <c r="R2430" t="s">
        <v>1269</v>
      </c>
      <c r="S2430">
        <v>25.640999999999998</v>
      </c>
      <c r="T2430">
        <v>0.29459999999999997</v>
      </c>
      <c r="U2430">
        <f t="shared" si="205"/>
        <v>0</v>
      </c>
      <c r="V2430" t="str">
        <f t="shared" si="202"/>
        <v>Elementary Counselor</v>
      </c>
      <c r="W2430" t="str">
        <f t="shared" si="203"/>
        <v>Counselor</v>
      </c>
    </row>
    <row r="2431" spans="1:23" x14ac:dyDescent="0.25">
      <c r="A2431">
        <v>31015</v>
      </c>
      <c r="B2431" t="s">
        <v>1270</v>
      </c>
      <c r="C2431">
        <v>19.292000000000002</v>
      </c>
      <c r="D2431" t="s">
        <v>1264</v>
      </c>
      <c r="E2431">
        <v>100075</v>
      </c>
      <c r="F2431">
        <v>31015</v>
      </c>
      <c r="G2431" t="str">
        <f t="shared" si="201"/>
        <v>31015</v>
      </c>
      <c r="H2431" t="s">
        <v>511</v>
      </c>
      <c r="I2431" t="s">
        <v>1265</v>
      </c>
      <c r="J2431" t="s">
        <v>1271</v>
      </c>
      <c r="K2431" t="s">
        <v>1272</v>
      </c>
      <c r="L2431" t="s">
        <v>1270</v>
      </c>
      <c r="M2431" t="s">
        <v>1273</v>
      </c>
      <c r="N2431">
        <v>1</v>
      </c>
      <c r="O2431" t="str">
        <f t="shared" si="204"/>
        <v>42</v>
      </c>
      <c r="P2431">
        <v>42</v>
      </c>
      <c r="R2431" t="s">
        <v>1269</v>
      </c>
      <c r="S2431">
        <v>19.292000000000002</v>
      </c>
      <c r="T2431">
        <v>0.29459999999999997</v>
      </c>
      <c r="U2431">
        <f t="shared" si="205"/>
        <v>0</v>
      </c>
      <c r="V2431" t="str">
        <f t="shared" si="202"/>
        <v>High Counselor</v>
      </c>
      <c r="W2431" t="str">
        <f t="shared" si="203"/>
        <v>Counselor</v>
      </c>
    </row>
    <row r="2432" spans="1:23" x14ac:dyDescent="0.25">
      <c r="A2432">
        <v>31015</v>
      </c>
      <c r="B2432" t="s">
        <v>1263</v>
      </c>
      <c r="C2432">
        <v>10.6</v>
      </c>
      <c r="D2432" t="s">
        <v>1264</v>
      </c>
      <c r="E2432">
        <v>100075</v>
      </c>
      <c r="F2432">
        <v>31015</v>
      </c>
      <c r="G2432" t="str">
        <f t="shared" si="201"/>
        <v>31015</v>
      </c>
      <c r="H2432" t="s">
        <v>511</v>
      </c>
      <c r="I2432" t="s">
        <v>1265</v>
      </c>
      <c r="J2432" t="s">
        <v>1266</v>
      </c>
      <c r="K2432" t="s">
        <v>1267</v>
      </c>
      <c r="L2432" t="s">
        <v>1263</v>
      </c>
      <c r="M2432" t="s">
        <v>1268</v>
      </c>
      <c r="N2432">
        <v>1</v>
      </c>
      <c r="O2432" t="str">
        <f t="shared" si="204"/>
        <v>42</v>
      </c>
      <c r="P2432">
        <v>42</v>
      </c>
      <c r="R2432" t="s">
        <v>1269</v>
      </c>
      <c r="S2432">
        <v>10.6</v>
      </c>
      <c r="T2432">
        <v>0.29459999999999997</v>
      </c>
      <c r="U2432">
        <f t="shared" si="205"/>
        <v>0</v>
      </c>
      <c r="V2432" t="str">
        <f t="shared" si="202"/>
        <v>Middle Counselor</v>
      </c>
      <c r="W2432" t="str">
        <f t="shared" si="203"/>
        <v>Counselor</v>
      </c>
    </row>
    <row r="2433" spans="1:23" x14ac:dyDescent="0.25">
      <c r="A2433">
        <v>31015</v>
      </c>
      <c r="B2433" t="s">
        <v>1289</v>
      </c>
      <c r="C2433">
        <v>15.907999999999999</v>
      </c>
      <c r="D2433" t="s">
        <v>1264</v>
      </c>
      <c r="E2433">
        <v>100075</v>
      </c>
      <c r="F2433">
        <v>31015</v>
      </c>
      <c r="G2433" t="str">
        <f t="shared" si="201"/>
        <v>31015</v>
      </c>
      <c r="H2433" t="s">
        <v>511</v>
      </c>
      <c r="I2433" t="s">
        <v>1265</v>
      </c>
      <c r="J2433" t="s">
        <v>1276</v>
      </c>
      <c r="K2433" t="s">
        <v>1277</v>
      </c>
      <c r="L2433" t="s">
        <v>1289</v>
      </c>
      <c r="M2433" t="s">
        <v>1307</v>
      </c>
      <c r="N2433">
        <v>21</v>
      </c>
      <c r="O2433" t="str">
        <f t="shared" si="204"/>
        <v>43</v>
      </c>
      <c r="P2433">
        <v>43</v>
      </c>
      <c r="R2433" t="s">
        <v>1269</v>
      </c>
      <c r="S2433">
        <v>15.907999999999999</v>
      </c>
      <c r="T2433">
        <v>0.29459999999999997</v>
      </c>
      <c r="U2433">
        <f t="shared" si="205"/>
        <v>4.6859999999999999</v>
      </c>
      <c r="V2433" t="str">
        <f t="shared" si="202"/>
        <v>Elementary Occupational Therapist</v>
      </c>
      <c r="W2433" t="str">
        <f t="shared" si="203"/>
        <v>Occupational Therapist</v>
      </c>
    </row>
    <row r="2434" spans="1:23" x14ac:dyDescent="0.25">
      <c r="A2434">
        <v>31015</v>
      </c>
      <c r="B2434" t="s">
        <v>1294</v>
      </c>
      <c r="C2434">
        <v>39.203000000000003</v>
      </c>
      <c r="D2434" t="s">
        <v>1264</v>
      </c>
      <c r="E2434">
        <v>100075</v>
      </c>
      <c r="F2434">
        <v>31015</v>
      </c>
      <c r="G2434" t="str">
        <f t="shared" ref="G2434:G2497" si="206">TEXT(F2434,"00000")</f>
        <v>31015</v>
      </c>
      <c r="H2434" t="s">
        <v>511</v>
      </c>
      <c r="I2434" t="s">
        <v>1265</v>
      </c>
      <c r="J2434" t="s">
        <v>1276</v>
      </c>
      <c r="K2434" t="s">
        <v>1277</v>
      </c>
      <c r="L2434" t="s">
        <v>1294</v>
      </c>
      <c r="M2434" t="s">
        <v>1354</v>
      </c>
      <c r="N2434">
        <v>21</v>
      </c>
      <c r="O2434" t="str">
        <f t="shared" si="204"/>
        <v>45</v>
      </c>
      <c r="P2434">
        <v>45</v>
      </c>
      <c r="R2434" t="s">
        <v>1269</v>
      </c>
      <c r="S2434">
        <v>39.203000000000003</v>
      </c>
      <c r="T2434">
        <v>0.29459999999999997</v>
      </c>
      <c r="U2434">
        <f t="shared" si="205"/>
        <v>11.548999999999999</v>
      </c>
      <c r="V2434" t="str">
        <f t="shared" ref="V2434:V2497" si="207">_xlfn.XLOOKUP(L2434,$BV:$BV,$BT:$BT,,0)</f>
        <v>Elementary Speech, Language Pathway/
Audio</v>
      </c>
      <c r="W2434" t="str">
        <f t="shared" ref="W2434:W2497" si="208">_xlfn.TEXTAFTER(V2434," ")</f>
        <v>Speech, Language Pathway/
Audio</v>
      </c>
    </row>
    <row r="2435" spans="1:23" x14ac:dyDescent="0.25">
      <c r="A2435">
        <v>31015</v>
      </c>
      <c r="B2435" t="s">
        <v>1332</v>
      </c>
      <c r="C2435">
        <v>0.79200000000000004</v>
      </c>
      <c r="D2435" t="s">
        <v>1264</v>
      </c>
      <c r="E2435">
        <v>100075</v>
      </c>
      <c r="F2435">
        <v>31015</v>
      </c>
      <c r="G2435" t="str">
        <f t="shared" si="206"/>
        <v>31015</v>
      </c>
      <c r="H2435" t="s">
        <v>511</v>
      </c>
      <c r="I2435" t="s">
        <v>1265</v>
      </c>
      <c r="J2435" t="s">
        <v>1276</v>
      </c>
      <c r="K2435" t="s">
        <v>1277</v>
      </c>
      <c r="L2435" t="s">
        <v>1332</v>
      </c>
      <c r="M2435" t="s">
        <v>1403</v>
      </c>
      <c r="N2435">
        <v>1</v>
      </c>
      <c r="O2435" t="str">
        <f t="shared" ref="O2435:O2498" si="209">MID(L2435,3,2)</f>
        <v>45</v>
      </c>
      <c r="P2435">
        <v>45</v>
      </c>
      <c r="R2435" t="s">
        <v>1269</v>
      </c>
      <c r="S2435">
        <v>0.79200000000000004</v>
      </c>
      <c r="T2435">
        <v>0.29459999999999997</v>
      </c>
      <c r="U2435">
        <f t="shared" ref="U2435:U2498" si="210">IF(N2435=21,ROUND(T2435*S2435,3),0)</f>
        <v>0</v>
      </c>
      <c r="V2435" t="str">
        <f t="shared" si="207"/>
        <v>Elementary Speech, Language Pathway/
Audio</v>
      </c>
      <c r="W2435" t="str">
        <f t="shared" si="208"/>
        <v>Speech, Language Pathway/
Audio</v>
      </c>
    </row>
    <row r="2436" spans="1:23" x14ac:dyDescent="0.25">
      <c r="A2436">
        <v>31015</v>
      </c>
      <c r="B2436" t="s">
        <v>1326</v>
      </c>
      <c r="C2436">
        <v>0.2</v>
      </c>
      <c r="D2436" t="s">
        <v>1264</v>
      </c>
      <c r="E2436">
        <v>100075</v>
      </c>
      <c r="F2436">
        <v>31015</v>
      </c>
      <c r="G2436" t="str">
        <f t="shared" si="206"/>
        <v>31015</v>
      </c>
      <c r="H2436" t="s">
        <v>511</v>
      </c>
      <c r="I2436" t="s">
        <v>1265</v>
      </c>
      <c r="J2436" t="s">
        <v>1271</v>
      </c>
      <c r="K2436" t="s">
        <v>1272</v>
      </c>
      <c r="L2436" t="s">
        <v>1326</v>
      </c>
      <c r="M2436" t="s">
        <v>1353</v>
      </c>
      <c r="N2436">
        <v>21</v>
      </c>
      <c r="O2436" t="str">
        <f t="shared" si="209"/>
        <v>45</v>
      </c>
      <c r="P2436">
        <v>45</v>
      </c>
      <c r="R2436" t="s">
        <v>1269</v>
      </c>
      <c r="S2436">
        <v>0.2</v>
      </c>
      <c r="T2436">
        <v>0.29459999999999997</v>
      </c>
      <c r="U2436">
        <f t="shared" si="210"/>
        <v>5.8999999999999997E-2</v>
      </c>
      <c r="V2436" t="str">
        <f t="shared" si="207"/>
        <v>High Speech, Language Pathway/
Audio</v>
      </c>
      <c r="W2436" t="str">
        <f t="shared" si="208"/>
        <v>Speech, Language Pathway/
Audio</v>
      </c>
    </row>
    <row r="2437" spans="1:23" x14ac:dyDescent="0.25">
      <c r="A2437">
        <v>31015</v>
      </c>
      <c r="B2437" t="s">
        <v>1298</v>
      </c>
      <c r="C2437">
        <v>14.395</v>
      </c>
      <c r="D2437" t="s">
        <v>1264</v>
      </c>
      <c r="E2437">
        <v>100075</v>
      </c>
      <c r="F2437">
        <v>31015</v>
      </c>
      <c r="G2437" t="str">
        <f t="shared" si="206"/>
        <v>31015</v>
      </c>
      <c r="H2437" t="s">
        <v>511</v>
      </c>
      <c r="I2437" t="s">
        <v>1265</v>
      </c>
      <c r="J2437" t="s">
        <v>1276</v>
      </c>
      <c r="K2437" t="s">
        <v>1277</v>
      </c>
      <c r="L2437" t="s">
        <v>1298</v>
      </c>
      <c r="M2437" t="s">
        <v>1349</v>
      </c>
      <c r="N2437">
        <v>21</v>
      </c>
      <c r="O2437" t="str">
        <f t="shared" si="209"/>
        <v>46</v>
      </c>
      <c r="P2437">
        <v>46</v>
      </c>
      <c r="R2437" t="s">
        <v>1269</v>
      </c>
      <c r="S2437">
        <v>14.395</v>
      </c>
      <c r="T2437">
        <v>0.29459999999999997</v>
      </c>
      <c r="U2437">
        <f t="shared" si="210"/>
        <v>4.2409999999999997</v>
      </c>
      <c r="V2437" t="str">
        <f t="shared" si="207"/>
        <v>Elementary Psychologist</v>
      </c>
      <c r="W2437" t="str">
        <f t="shared" si="208"/>
        <v>Psychologist</v>
      </c>
    </row>
    <row r="2438" spans="1:23" x14ac:dyDescent="0.25">
      <c r="A2438">
        <v>31015</v>
      </c>
      <c r="B2438" t="s">
        <v>1309</v>
      </c>
      <c r="C2438">
        <v>5.9</v>
      </c>
      <c r="D2438" t="s">
        <v>1264</v>
      </c>
      <c r="E2438">
        <v>100075</v>
      </c>
      <c r="F2438">
        <v>31015</v>
      </c>
      <c r="G2438" t="str">
        <f t="shared" si="206"/>
        <v>31015</v>
      </c>
      <c r="H2438" t="s">
        <v>511</v>
      </c>
      <c r="I2438" t="s">
        <v>1265</v>
      </c>
      <c r="J2438" t="s">
        <v>1271</v>
      </c>
      <c r="K2438" t="s">
        <v>1272</v>
      </c>
      <c r="L2438" t="s">
        <v>1309</v>
      </c>
      <c r="M2438" t="s">
        <v>1310</v>
      </c>
      <c r="N2438">
        <v>21</v>
      </c>
      <c r="O2438" t="str">
        <f t="shared" si="209"/>
        <v>46</v>
      </c>
      <c r="P2438">
        <v>46</v>
      </c>
      <c r="R2438" t="s">
        <v>1269</v>
      </c>
      <c r="S2438">
        <v>5.9</v>
      </c>
      <c r="T2438">
        <v>0.29459999999999997</v>
      </c>
      <c r="U2438">
        <f t="shared" si="210"/>
        <v>1.738</v>
      </c>
      <c r="V2438" t="str">
        <f t="shared" si="207"/>
        <v>High Psychologist</v>
      </c>
      <c r="W2438" t="str">
        <f t="shared" si="208"/>
        <v>Psychologist</v>
      </c>
    </row>
    <row r="2439" spans="1:23" x14ac:dyDescent="0.25">
      <c r="A2439">
        <v>31015</v>
      </c>
      <c r="B2439" t="s">
        <v>1345</v>
      </c>
      <c r="C2439">
        <v>1.7</v>
      </c>
      <c r="D2439" t="s">
        <v>1264</v>
      </c>
      <c r="E2439">
        <v>100075</v>
      </c>
      <c r="F2439">
        <v>31015</v>
      </c>
      <c r="G2439" t="str">
        <f t="shared" si="206"/>
        <v>31015</v>
      </c>
      <c r="H2439" t="s">
        <v>511</v>
      </c>
      <c r="I2439" t="s">
        <v>1265</v>
      </c>
      <c r="J2439" t="s">
        <v>1266</v>
      </c>
      <c r="K2439" t="s">
        <v>1267</v>
      </c>
      <c r="L2439" t="s">
        <v>1345</v>
      </c>
      <c r="M2439" t="s">
        <v>1346</v>
      </c>
      <c r="N2439">
        <v>21</v>
      </c>
      <c r="O2439" t="str">
        <f t="shared" si="209"/>
        <v>46</v>
      </c>
      <c r="P2439">
        <v>46</v>
      </c>
      <c r="R2439" t="s">
        <v>1269</v>
      </c>
      <c r="S2439">
        <v>1.7</v>
      </c>
      <c r="T2439">
        <v>0.29459999999999997</v>
      </c>
      <c r="U2439">
        <f t="shared" si="210"/>
        <v>0.501</v>
      </c>
      <c r="V2439" t="str">
        <f t="shared" si="207"/>
        <v>Middle Psychologist</v>
      </c>
      <c r="W2439" t="str">
        <f t="shared" si="208"/>
        <v>Psychologist</v>
      </c>
    </row>
    <row r="2440" spans="1:23" x14ac:dyDescent="0.25">
      <c r="A2440">
        <v>31015</v>
      </c>
      <c r="B2440" t="s">
        <v>1334</v>
      </c>
      <c r="C2440">
        <v>0.7</v>
      </c>
      <c r="D2440" t="s">
        <v>1264</v>
      </c>
      <c r="E2440">
        <v>100075</v>
      </c>
      <c r="F2440">
        <v>31015</v>
      </c>
      <c r="G2440" t="str">
        <f t="shared" si="206"/>
        <v>31015</v>
      </c>
      <c r="H2440" t="s">
        <v>511</v>
      </c>
      <c r="I2440" t="s">
        <v>1265</v>
      </c>
      <c r="J2440" t="s">
        <v>1276</v>
      </c>
      <c r="K2440" t="s">
        <v>1277</v>
      </c>
      <c r="L2440" t="s">
        <v>1334</v>
      </c>
      <c r="M2440" t="s">
        <v>1413</v>
      </c>
      <c r="N2440">
        <v>21</v>
      </c>
      <c r="O2440" t="str">
        <f t="shared" si="209"/>
        <v>47</v>
      </c>
      <c r="P2440">
        <v>47</v>
      </c>
      <c r="R2440" t="s">
        <v>1269</v>
      </c>
      <c r="S2440">
        <v>0.7</v>
      </c>
      <c r="T2440">
        <v>0.29459999999999997</v>
      </c>
      <c r="U2440">
        <f t="shared" si="210"/>
        <v>0.20599999999999999</v>
      </c>
      <c r="V2440" t="str">
        <f t="shared" si="207"/>
        <v>Elementary Nurse</v>
      </c>
      <c r="W2440" t="str">
        <f t="shared" si="208"/>
        <v>Nurse</v>
      </c>
    </row>
    <row r="2441" spans="1:23" x14ac:dyDescent="0.25">
      <c r="A2441">
        <v>31015</v>
      </c>
      <c r="B2441" t="s">
        <v>1335</v>
      </c>
      <c r="C2441">
        <v>11.59</v>
      </c>
      <c r="D2441" t="s">
        <v>1264</v>
      </c>
      <c r="E2441">
        <v>100075</v>
      </c>
      <c r="F2441">
        <v>31015</v>
      </c>
      <c r="G2441" t="str">
        <f t="shared" si="206"/>
        <v>31015</v>
      </c>
      <c r="H2441" t="s">
        <v>511</v>
      </c>
      <c r="I2441" t="s">
        <v>1265</v>
      </c>
      <c r="J2441" t="s">
        <v>1276</v>
      </c>
      <c r="K2441" t="s">
        <v>1277</v>
      </c>
      <c r="L2441" t="s">
        <v>1335</v>
      </c>
      <c r="M2441" t="s">
        <v>1344</v>
      </c>
      <c r="N2441">
        <v>1</v>
      </c>
      <c r="O2441" t="str">
        <f t="shared" si="209"/>
        <v>47</v>
      </c>
      <c r="P2441">
        <v>47</v>
      </c>
      <c r="R2441" t="s">
        <v>1269</v>
      </c>
      <c r="S2441">
        <v>11.59</v>
      </c>
      <c r="T2441">
        <v>0.29459999999999997</v>
      </c>
      <c r="U2441">
        <f t="shared" si="210"/>
        <v>0</v>
      </c>
      <c r="V2441" t="str">
        <f t="shared" si="207"/>
        <v>Elementary Nurse</v>
      </c>
      <c r="W2441" t="str">
        <f t="shared" si="208"/>
        <v>Nurse</v>
      </c>
    </row>
    <row r="2442" spans="1:23" x14ac:dyDescent="0.25">
      <c r="A2442">
        <v>31015</v>
      </c>
      <c r="B2442" t="s">
        <v>1397</v>
      </c>
      <c r="C2442">
        <v>0.2</v>
      </c>
      <c r="D2442" t="s">
        <v>1264</v>
      </c>
      <c r="E2442">
        <v>100075</v>
      </c>
      <c r="F2442">
        <v>31015</v>
      </c>
      <c r="G2442" t="str">
        <f t="shared" si="206"/>
        <v>31015</v>
      </c>
      <c r="H2442" t="s">
        <v>511</v>
      </c>
      <c r="I2442" t="s">
        <v>1265</v>
      </c>
      <c r="J2442" t="s">
        <v>1271</v>
      </c>
      <c r="K2442" t="s">
        <v>1272</v>
      </c>
      <c r="L2442" t="s">
        <v>1397</v>
      </c>
      <c r="M2442" t="s">
        <v>1435</v>
      </c>
      <c r="N2442">
        <v>21</v>
      </c>
      <c r="O2442" t="str">
        <f t="shared" si="209"/>
        <v>47</v>
      </c>
      <c r="P2442">
        <v>47</v>
      </c>
      <c r="R2442" t="s">
        <v>1269</v>
      </c>
      <c r="S2442">
        <v>0.2</v>
      </c>
      <c r="T2442">
        <v>0.29459999999999997</v>
      </c>
      <c r="U2442">
        <f t="shared" si="210"/>
        <v>5.8999999999999997E-2</v>
      </c>
      <c r="V2442" t="str">
        <f t="shared" si="207"/>
        <v>High Nurse</v>
      </c>
      <c r="W2442" t="str">
        <f t="shared" si="208"/>
        <v>Nurse</v>
      </c>
    </row>
    <row r="2443" spans="1:23" x14ac:dyDescent="0.25">
      <c r="A2443">
        <v>31015</v>
      </c>
      <c r="B2443" t="s">
        <v>1341</v>
      </c>
      <c r="C2443">
        <v>4.4000000000000004</v>
      </c>
      <c r="D2443" t="s">
        <v>1264</v>
      </c>
      <c r="E2443">
        <v>100075</v>
      </c>
      <c r="F2443">
        <v>31015</v>
      </c>
      <c r="G2443" t="str">
        <f t="shared" si="206"/>
        <v>31015</v>
      </c>
      <c r="H2443" t="s">
        <v>511</v>
      </c>
      <c r="I2443" t="s">
        <v>1265</v>
      </c>
      <c r="J2443" t="s">
        <v>1271</v>
      </c>
      <c r="K2443" t="s">
        <v>1272</v>
      </c>
      <c r="L2443" t="s">
        <v>1341</v>
      </c>
      <c r="M2443" t="s">
        <v>1342</v>
      </c>
      <c r="N2443">
        <v>1</v>
      </c>
      <c r="O2443" t="str">
        <f t="shared" si="209"/>
        <v>47</v>
      </c>
      <c r="P2443">
        <v>47</v>
      </c>
      <c r="R2443" t="s">
        <v>1269</v>
      </c>
      <c r="S2443">
        <v>4.4000000000000004</v>
      </c>
      <c r="T2443">
        <v>0.29459999999999997</v>
      </c>
      <c r="U2443">
        <f t="shared" si="210"/>
        <v>0</v>
      </c>
      <c r="V2443" t="str">
        <f t="shared" si="207"/>
        <v>High Nurse</v>
      </c>
      <c r="W2443" t="str">
        <f t="shared" si="208"/>
        <v>Nurse</v>
      </c>
    </row>
    <row r="2444" spans="1:23" x14ac:dyDescent="0.25">
      <c r="A2444">
        <v>31015</v>
      </c>
      <c r="B2444" t="s">
        <v>1338</v>
      </c>
      <c r="C2444">
        <v>1.8</v>
      </c>
      <c r="D2444" t="s">
        <v>1264</v>
      </c>
      <c r="E2444">
        <v>100075</v>
      </c>
      <c r="F2444">
        <v>31015</v>
      </c>
      <c r="G2444" t="str">
        <f t="shared" si="206"/>
        <v>31015</v>
      </c>
      <c r="H2444" t="s">
        <v>511</v>
      </c>
      <c r="I2444" t="s">
        <v>1265</v>
      </c>
      <c r="J2444" t="s">
        <v>1266</v>
      </c>
      <c r="K2444" t="s">
        <v>1267</v>
      </c>
      <c r="L2444" t="s">
        <v>1338</v>
      </c>
      <c r="M2444" t="s">
        <v>1339</v>
      </c>
      <c r="N2444">
        <v>1</v>
      </c>
      <c r="O2444" t="str">
        <f t="shared" si="209"/>
        <v>47</v>
      </c>
      <c r="P2444">
        <v>47</v>
      </c>
      <c r="R2444" t="s">
        <v>1269</v>
      </c>
      <c r="S2444">
        <v>1.8</v>
      </c>
      <c r="T2444">
        <v>0.29459999999999997</v>
      </c>
      <c r="U2444">
        <f t="shared" si="210"/>
        <v>0</v>
      </c>
      <c r="V2444" t="str">
        <f t="shared" si="207"/>
        <v>Middle Nurse</v>
      </c>
      <c r="W2444" t="str">
        <f t="shared" si="208"/>
        <v>Nurse</v>
      </c>
    </row>
    <row r="2445" spans="1:23" x14ac:dyDescent="0.25">
      <c r="A2445">
        <v>31015</v>
      </c>
      <c r="B2445" t="s">
        <v>1302</v>
      </c>
      <c r="C2445">
        <v>6.8</v>
      </c>
      <c r="D2445" t="s">
        <v>1264</v>
      </c>
      <c r="E2445">
        <v>100075</v>
      </c>
      <c r="F2445">
        <v>31015</v>
      </c>
      <c r="G2445" t="str">
        <f t="shared" si="206"/>
        <v>31015</v>
      </c>
      <c r="H2445" t="s">
        <v>511</v>
      </c>
      <c r="I2445" t="s">
        <v>1265</v>
      </c>
      <c r="J2445" t="s">
        <v>1276</v>
      </c>
      <c r="K2445" t="s">
        <v>1277</v>
      </c>
      <c r="L2445" t="s">
        <v>1302</v>
      </c>
      <c r="M2445" t="s">
        <v>1336</v>
      </c>
      <c r="N2445">
        <v>21</v>
      </c>
      <c r="O2445" t="str">
        <f t="shared" si="209"/>
        <v>48</v>
      </c>
      <c r="P2445">
        <v>48</v>
      </c>
      <c r="R2445" t="s">
        <v>1269</v>
      </c>
      <c r="S2445">
        <v>6.8</v>
      </c>
      <c r="T2445">
        <v>0.29459999999999997</v>
      </c>
      <c r="U2445">
        <f t="shared" si="210"/>
        <v>2.0030000000000001</v>
      </c>
      <c r="V2445" t="str">
        <f t="shared" si="207"/>
        <v>Elementary Physical Therapist</v>
      </c>
      <c r="W2445" t="str">
        <f t="shared" si="208"/>
        <v>Physical Therapist</v>
      </c>
    </row>
    <row r="2446" spans="1:23" x14ac:dyDescent="0.25">
      <c r="A2446">
        <v>31015</v>
      </c>
      <c r="B2446" t="s">
        <v>1340</v>
      </c>
      <c r="C2446">
        <v>0.46500000000000002</v>
      </c>
      <c r="D2446" t="s">
        <v>1264</v>
      </c>
      <c r="E2446">
        <v>100075</v>
      </c>
      <c r="F2446">
        <v>31015</v>
      </c>
      <c r="G2446" t="str">
        <f t="shared" si="206"/>
        <v>31015</v>
      </c>
      <c r="H2446" t="s">
        <v>511</v>
      </c>
      <c r="I2446" t="s">
        <v>1265</v>
      </c>
      <c r="J2446" t="s">
        <v>1276</v>
      </c>
      <c r="K2446" t="s">
        <v>1277</v>
      </c>
      <c r="L2446" t="s">
        <v>1340</v>
      </c>
      <c r="M2446" t="s">
        <v>1395</v>
      </c>
      <c r="N2446">
        <v>21</v>
      </c>
      <c r="O2446" t="str">
        <f t="shared" si="209"/>
        <v>49</v>
      </c>
      <c r="P2446">
        <v>49</v>
      </c>
      <c r="R2446" t="s">
        <v>1269</v>
      </c>
      <c r="S2446">
        <v>0.46500000000000002</v>
      </c>
      <c r="T2446">
        <v>0.29459999999999997</v>
      </c>
      <c r="U2446">
        <f t="shared" si="210"/>
        <v>0.13700000000000001</v>
      </c>
      <c r="V2446" t="str">
        <f t="shared" si="207"/>
        <v>Elementary Behavior Analyst</v>
      </c>
      <c r="W2446" t="str">
        <f t="shared" si="208"/>
        <v>Behavior Analyst</v>
      </c>
    </row>
    <row r="2447" spans="1:23" x14ac:dyDescent="0.25">
      <c r="A2447">
        <v>31015</v>
      </c>
      <c r="B2447" t="s">
        <v>1343</v>
      </c>
      <c r="C2447">
        <v>4</v>
      </c>
      <c r="D2447" t="s">
        <v>1264</v>
      </c>
      <c r="E2447">
        <v>100075</v>
      </c>
      <c r="F2447">
        <v>31015</v>
      </c>
      <c r="G2447" t="str">
        <f t="shared" si="206"/>
        <v>31015</v>
      </c>
      <c r="H2447" t="s">
        <v>511</v>
      </c>
      <c r="I2447" t="s">
        <v>1265</v>
      </c>
      <c r="J2447" t="s">
        <v>1276</v>
      </c>
      <c r="K2447" t="s">
        <v>1277</v>
      </c>
      <c r="L2447" t="s">
        <v>1343</v>
      </c>
      <c r="M2447" t="s">
        <v>1434</v>
      </c>
      <c r="N2447">
        <v>1</v>
      </c>
      <c r="O2447" t="str">
        <f t="shared" si="209"/>
        <v>49</v>
      </c>
      <c r="P2447">
        <v>49</v>
      </c>
      <c r="R2447" t="s">
        <v>1269</v>
      </c>
      <c r="S2447">
        <v>4</v>
      </c>
      <c r="T2447">
        <v>0.29459999999999997</v>
      </c>
      <c r="U2447">
        <f t="shared" si="210"/>
        <v>0</v>
      </c>
      <c r="V2447" t="str">
        <f t="shared" si="207"/>
        <v>Elementary Behavior Analyst</v>
      </c>
      <c r="W2447" t="str">
        <f t="shared" si="208"/>
        <v>Behavior Analyst</v>
      </c>
    </row>
    <row r="2448" spans="1:23" x14ac:dyDescent="0.25">
      <c r="A2448">
        <v>31016</v>
      </c>
      <c r="B2448" t="s">
        <v>1299</v>
      </c>
      <c r="C2448">
        <v>1.349</v>
      </c>
      <c r="D2448" t="s">
        <v>1264</v>
      </c>
      <c r="E2448">
        <v>100014</v>
      </c>
      <c r="F2448">
        <v>31016</v>
      </c>
      <c r="G2448" t="str">
        <f t="shared" si="206"/>
        <v>31016</v>
      </c>
      <c r="H2448" t="s">
        <v>512</v>
      </c>
      <c r="I2448" t="s">
        <v>1265</v>
      </c>
      <c r="J2448" t="s">
        <v>1271</v>
      </c>
      <c r="K2448" t="s">
        <v>1272</v>
      </c>
      <c r="L2448" t="s">
        <v>1299</v>
      </c>
      <c r="M2448" t="s">
        <v>1300</v>
      </c>
      <c r="N2448">
        <v>1</v>
      </c>
      <c r="O2448" t="str">
        <f t="shared" si="209"/>
        <v>25</v>
      </c>
      <c r="Q2448">
        <v>25</v>
      </c>
      <c r="R2448" t="s">
        <v>1269</v>
      </c>
      <c r="S2448">
        <v>1.349</v>
      </c>
      <c r="T2448">
        <v>0.2326</v>
      </c>
      <c r="U2448">
        <f t="shared" si="210"/>
        <v>0</v>
      </c>
      <c r="V2448" t="str">
        <f t="shared" si="207"/>
        <v>High Pupil Management</v>
      </c>
      <c r="W2448" t="str">
        <f t="shared" si="208"/>
        <v>Pupil Management</v>
      </c>
    </row>
    <row r="2449" spans="1:23" x14ac:dyDescent="0.25">
      <c r="A2449">
        <v>31016</v>
      </c>
      <c r="B2449" t="s">
        <v>1311</v>
      </c>
      <c r="C2449">
        <v>1.454</v>
      </c>
      <c r="D2449" t="s">
        <v>1264</v>
      </c>
      <c r="E2449">
        <v>100014</v>
      </c>
      <c r="F2449">
        <v>31016</v>
      </c>
      <c r="G2449" t="str">
        <f t="shared" si="206"/>
        <v>31016</v>
      </c>
      <c r="H2449" t="s">
        <v>512</v>
      </c>
      <c r="I2449" t="s">
        <v>1265</v>
      </c>
      <c r="J2449" t="s">
        <v>1276</v>
      </c>
      <c r="K2449" t="s">
        <v>1277</v>
      </c>
      <c r="L2449" t="s">
        <v>1311</v>
      </c>
      <c r="M2449" t="s">
        <v>1327</v>
      </c>
      <c r="N2449">
        <v>21</v>
      </c>
      <c r="O2449" t="str">
        <f t="shared" si="209"/>
        <v>26</v>
      </c>
      <c r="Q2449">
        <v>26</v>
      </c>
      <c r="R2449" t="s">
        <v>1269</v>
      </c>
      <c r="S2449">
        <v>1.454</v>
      </c>
      <c r="T2449">
        <v>0.2326</v>
      </c>
      <c r="U2449">
        <f t="shared" si="210"/>
        <v>0.33800000000000002</v>
      </c>
      <c r="V2449" t="str">
        <f t="shared" si="207"/>
        <v>Elementary Health/
Related Services</v>
      </c>
      <c r="W2449" t="str">
        <f t="shared" si="208"/>
        <v>Health/
Related Services</v>
      </c>
    </row>
    <row r="2450" spans="1:23" x14ac:dyDescent="0.25">
      <c r="A2450">
        <v>31016</v>
      </c>
      <c r="B2450" t="s">
        <v>1315</v>
      </c>
      <c r="C2450">
        <v>2.7839999999999998</v>
      </c>
      <c r="D2450" t="s">
        <v>1264</v>
      </c>
      <c r="E2450">
        <v>100014</v>
      </c>
      <c r="F2450">
        <v>31016</v>
      </c>
      <c r="G2450" t="str">
        <f t="shared" si="206"/>
        <v>31016</v>
      </c>
      <c r="H2450" t="s">
        <v>512</v>
      </c>
      <c r="I2450" t="s">
        <v>1265</v>
      </c>
      <c r="J2450" t="s">
        <v>1276</v>
      </c>
      <c r="K2450" t="s">
        <v>1277</v>
      </c>
      <c r="L2450" t="s">
        <v>1315</v>
      </c>
      <c r="M2450" t="s">
        <v>1375</v>
      </c>
      <c r="N2450">
        <v>1</v>
      </c>
      <c r="O2450" t="str">
        <f t="shared" si="209"/>
        <v>26</v>
      </c>
      <c r="Q2450">
        <v>26</v>
      </c>
      <c r="R2450" t="s">
        <v>1269</v>
      </c>
      <c r="S2450">
        <v>2.7839999999999998</v>
      </c>
      <c r="T2450">
        <v>0.2326</v>
      </c>
      <c r="U2450">
        <f t="shared" si="210"/>
        <v>0</v>
      </c>
      <c r="V2450" t="str">
        <f t="shared" si="207"/>
        <v>Elementary Health/
Related Services</v>
      </c>
      <c r="W2450" t="str">
        <f t="shared" si="208"/>
        <v>Health/
Related Services</v>
      </c>
    </row>
    <row r="2451" spans="1:23" x14ac:dyDescent="0.25">
      <c r="A2451">
        <v>31016</v>
      </c>
      <c r="B2451" t="s">
        <v>1324</v>
      </c>
      <c r="C2451">
        <v>0.501</v>
      </c>
      <c r="D2451" t="s">
        <v>1264</v>
      </c>
      <c r="E2451">
        <v>100014</v>
      </c>
      <c r="F2451">
        <v>31016</v>
      </c>
      <c r="G2451" t="str">
        <f t="shared" si="206"/>
        <v>31016</v>
      </c>
      <c r="H2451" t="s">
        <v>512</v>
      </c>
      <c r="I2451" t="s">
        <v>1265</v>
      </c>
      <c r="J2451" t="s">
        <v>1271</v>
      </c>
      <c r="K2451" t="s">
        <v>1272</v>
      </c>
      <c r="L2451" t="s">
        <v>1324</v>
      </c>
      <c r="M2451" t="s">
        <v>1325</v>
      </c>
      <c r="N2451">
        <v>21</v>
      </c>
      <c r="O2451" t="str">
        <f t="shared" si="209"/>
        <v>26</v>
      </c>
      <c r="Q2451">
        <v>26</v>
      </c>
      <c r="R2451" t="s">
        <v>1269</v>
      </c>
      <c r="S2451">
        <v>0.501</v>
      </c>
      <c r="T2451">
        <v>0.2326</v>
      </c>
      <c r="U2451">
        <f t="shared" si="210"/>
        <v>0.11700000000000001</v>
      </c>
      <c r="V2451" t="str">
        <f t="shared" si="207"/>
        <v>High Health/
Related Services</v>
      </c>
      <c r="W2451" t="str">
        <f t="shared" si="208"/>
        <v>Health/
Related Services</v>
      </c>
    </row>
    <row r="2452" spans="1:23" x14ac:dyDescent="0.25">
      <c r="A2452">
        <v>31016</v>
      </c>
      <c r="B2452" t="s">
        <v>1295</v>
      </c>
      <c r="C2452">
        <v>1.5720000000000001</v>
      </c>
      <c r="D2452" t="s">
        <v>1264</v>
      </c>
      <c r="E2452">
        <v>100014</v>
      </c>
      <c r="F2452">
        <v>31016</v>
      </c>
      <c r="G2452" t="str">
        <f t="shared" si="206"/>
        <v>31016</v>
      </c>
      <c r="H2452" t="s">
        <v>512</v>
      </c>
      <c r="I2452" t="s">
        <v>1265</v>
      </c>
      <c r="J2452" t="s">
        <v>1271</v>
      </c>
      <c r="K2452" t="s">
        <v>1272</v>
      </c>
      <c r="L2452" t="s">
        <v>1295</v>
      </c>
      <c r="M2452" t="s">
        <v>1296</v>
      </c>
      <c r="N2452">
        <v>1</v>
      </c>
      <c r="O2452" t="str">
        <f t="shared" si="209"/>
        <v>26</v>
      </c>
      <c r="Q2452">
        <v>26</v>
      </c>
      <c r="R2452" t="s">
        <v>1269</v>
      </c>
      <c r="S2452">
        <v>1.5720000000000001</v>
      </c>
      <c r="T2452">
        <v>0.2326</v>
      </c>
      <c r="U2452">
        <f t="shared" si="210"/>
        <v>0</v>
      </c>
      <c r="V2452" t="str">
        <f t="shared" si="207"/>
        <v>High Health/
Related Services</v>
      </c>
      <c r="W2452" t="str">
        <f t="shared" si="208"/>
        <v>Health/
Related Services</v>
      </c>
    </row>
    <row r="2453" spans="1:23" x14ac:dyDescent="0.25">
      <c r="A2453">
        <v>31016</v>
      </c>
      <c r="B2453" t="s">
        <v>1322</v>
      </c>
      <c r="C2453">
        <v>0.219</v>
      </c>
      <c r="D2453" t="s">
        <v>1264</v>
      </c>
      <c r="E2453">
        <v>100014</v>
      </c>
      <c r="F2453">
        <v>31016</v>
      </c>
      <c r="G2453" t="str">
        <f t="shared" si="206"/>
        <v>31016</v>
      </c>
      <c r="H2453" t="s">
        <v>512</v>
      </c>
      <c r="I2453" t="s">
        <v>1265</v>
      </c>
      <c r="J2453" t="s">
        <v>1266</v>
      </c>
      <c r="K2453" t="s">
        <v>1267</v>
      </c>
      <c r="L2453" t="s">
        <v>1322</v>
      </c>
      <c r="M2453" t="s">
        <v>1323</v>
      </c>
      <c r="N2453">
        <v>21</v>
      </c>
      <c r="O2453" t="str">
        <f t="shared" si="209"/>
        <v>26</v>
      </c>
      <c r="Q2453">
        <v>26</v>
      </c>
      <c r="R2453" t="s">
        <v>1269</v>
      </c>
      <c r="S2453">
        <v>0.219</v>
      </c>
      <c r="T2453">
        <v>0.2326</v>
      </c>
      <c r="U2453">
        <f t="shared" si="210"/>
        <v>5.0999999999999997E-2</v>
      </c>
      <c r="V2453" t="str">
        <f t="shared" si="207"/>
        <v>Middle Health/
Related Services</v>
      </c>
      <c r="W2453" t="str">
        <f t="shared" si="208"/>
        <v>Health/
Related Services</v>
      </c>
    </row>
    <row r="2454" spans="1:23" x14ac:dyDescent="0.25">
      <c r="A2454">
        <v>31016</v>
      </c>
      <c r="B2454" t="s">
        <v>1291</v>
      </c>
      <c r="C2454">
        <v>1.3919999999999999</v>
      </c>
      <c r="D2454" t="s">
        <v>1264</v>
      </c>
      <c r="E2454">
        <v>100014</v>
      </c>
      <c r="F2454">
        <v>31016</v>
      </c>
      <c r="G2454" t="str">
        <f t="shared" si="206"/>
        <v>31016</v>
      </c>
      <c r="H2454" t="s">
        <v>512</v>
      </c>
      <c r="I2454" t="s">
        <v>1265</v>
      </c>
      <c r="J2454" t="s">
        <v>1266</v>
      </c>
      <c r="K2454" t="s">
        <v>1267</v>
      </c>
      <c r="L2454" t="s">
        <v>1291</v>
      </c>
      <c r="M2454" t="s">
        <v>1292</v>
      </c>
      <c r="N2454">
        <v>1</v>
      </c>
      <c r="O2454" t="str">
        <f t="shared" si="209"/>
        <v>26</v>
      </c>
      <c r="Q2454">
        <v>26</v>
      </c>
      <c r="R2454" t="s">
        <v>1269</v>
      </c>
      <c r="S2454">
        <v>1.3919999999999999</v>
      </c>
      <c r="T2454">
        <v>0.2326</v>
      </c>
      <c r="U2454">
        <f t="shared" si="210"/>
        <v>0</v>
      </c>
      <c r="V2454" t="str">
        <f t="shared" si="207"/>
        <v>Middle Health/
Related Services</v>
      </c>
      <c r="W2454" t="str">
        <f t="shared" si="208"/>
        <v>Health/
Related Services</v>
      </c>
    </row>
    <row r="2455" spans="1:23" x14ac:dyDescent="0.25">
      <c r="A2455">
        <v>31016</v>
      </c>
      <c r="B2455" t="s">
        <v>1275</v>
      </c>
      <c r="C2455">
        <v>4</v>
      </c>
      <c r="D2455" t="s">
        <v>1264</v>
      </c>
      <c r="E2455">
        <v>100014</v>
      </c>
      <c r="F2455">
        <v>31016</v>
      </c>
      <c r="G2455" t="str">
        <f t="shared" si="206"/>
        <v>31016</v>
      </c>
      <c r="H2455" t="s">
        <v>512</v>
      </c>
      <c r="I2455" t="s">
        <v>1265</v>
      </c>
      <c r="J2455" t="s">
        <v>1276</v>
      </c>
      <c r="K2455" t="s">
        <v>1277</v>
      </c>
      <c r="L2455" t="s">
        <v>1275</v>
      </c>
      <c r="M2455" t="s">
        <v>1278</v>
      </c>
      <c r="N2455">
        <v>1</v>
      </c>
      <c r="O2455" t="str">
        <f t="shared" si="209"/>
        <v>42</v>
      </c>
      <c r="P2455">
        <v>42</v>
      </c>
      <c r="R2455" t="s">
        <v>1269</v>
      </c>
      <c r="S2455">
        <v>4</v>
      </c>
      <c r="T2455">
        <v>0.2326</v>
      </c>
      <c r="U2455">
        <f t="shared" si="210"/>
        <v>0</v>
      </c>
      <c r="V2455" t="str">
        <f t="shared" si="207"/>
        <v>Elementary Counselor</v>
      </c>
      <c r="W2455" t="str">
        <f t="shared" si="208"/>
        <v>Counselor</v>
      </c>
    </row>
    <row r="2456" spans="1:23" x14ac:dyDescent="0.25">
      <c r="A2456">
        <v>31016</v>
      </c>
      <c r="B2456" t="s">
        <v>1270</v>
      </c>
      <c r="C2456">
        <v>5.5</v>
      </c>
      <c r="D2456" t="s">
        <v>1264</v>
      </c>
      <c r="E2456">
        <v>100014</v>
      </c>
      <c r="F2456">
        <v>31016</v>
      </c>
      <c r="G2456" t="str">
        <f t="shared" si="206"/>
        <v>31016</v>
      </c>
      <c r="H2456" t="s">
        <v>512</v>
      </c>
      <c r="I2456" t="s">
        <v>1265</v>
      </c>
      <c r="J2456" t="s">
        <v>1271</v>
      </c>
      <c r="K2456" t="s">
        <v>1272</v>
      </c>
      <c r="L2456" t="s">
        <v>1270</v>
      </c>
      <c r="M2456" t="s">
        <v>1273</v>
      </c>
      <c r="N2456">
        <v>1</v>
      </c>
      <c r="O2456" t="str">
        <f t="shared" si="209"/>
        <v>42</v>
      </c>
      <c r="P2456">
        <v>42</v>
      </c>
      <c r="R2456" t="s">
        <v>1269</v>
      </c>
      <c r="S2456">
        <v>5.5</v>
      </c>
      <c r="T2456">
        <v>0.2326</v>
      </c>
      <c r="U2456">
        <f t="shared" si="210"/>
        <v>0</v>
      </c>
      <c r="V2456" t="str">
        <f t="shared" si="207"/>
        <v>High Counselor</v>
      </c>
      <c r="W2456" t="str">
        <f t="shared" si="208"/>
        <v>Counselor</v>
      </c>
    </row>
    <row r="2457" spans="1:23" x14ac:dyDescent="0.25">
      <c r="A2457">
        <v>31016</v>
      </c>
      <c r="B2457" t="s">
        <v>1263</v>
      </c>
      <c r="C2457">
        <v>1.7</v>
      </c>
      <c r="D2457" t="s">
        <v>1264</v>
      </c>
      <c r="E2457">
        <v>100014</v>
      </c>
      <c r="F2457">
        <v>31016</v>
      </c>
      <c r="G2457" t="str">
        <f t="shared" si="206"/>
        <v>31016</v>
      </c>
      <c r="H2457" t="s">
        <v>512</v>
      </c>
      <c r="I2457" t="s">
        <v>1265</v>
      </c>
      <c r="J2457" t="s">
        <v>1266</v>
      </c>
      <c r="K2457" t="s">
        <v>1267</v>
      </c>
      <c r="L2457" t="s">
        <v>1263</v>
      </c>
      <c r="M2457" t="s">
        <v>1268</v>
      </c>
      <c r="N2457">
        <v>1</v>
      </c>
      <c r="O2457" t="str">
        <f t="shared" si="209"/>
        <v>42</v>
      </c>
      <c r="P2457">
        <v>42</v>
      </c>
      <c r="R2457" t="s">
        <v>1269</v>
      </c>
      <c r="S2457">
        <v>1.7</v>
      </c>
      <c r="T2457">
        <v>0.2326</v>
      </c>
      <c r="U2457">
        <f t="shared" si="210"/>
        <v>0</v>
      </c>
      <c r="V2457" t="str">
        <f t="shared" si="207"/>
        <v>Middle Counselor</v>
      </c>
      <c r="W2457" t="str">
        <f t="shared" si="208"/>
        <v>Counselor</v>
      </c>
    </row>
    <row r="2458" spans="1:23" x14ac:dyDescent="0.25">
      <c r="A2458">
        <v>31016</v>
      </c>
      <c r="B2458" t="s">
        <v>1289</v>
      </c>
      <c r="C2458">
        <v>3.371</v>
      </c>
      <c r="D2458" t="s">
        <v>1264</v>
      </c>
      <c r="E2458">
        <v>100014</v>
      </c>
      <c r="F2458">
        <v>31016</v>
      </c>
      <c r="G2458" t="str">
        <f t="shared" si="206"/>
        <v>31016</v>
      </c>
      <c r="H2458" t="s">
        <v>512</v>
      </c>
      <c r="I2458" t="s">
        <v>1265</v>
      </c>
      <c r="J2458" t="s">
        <v>1276</v>
      </c>
      <c r="K2458" t="s">
        <v>1277</v>
      </c>
      <c r="L2458" t="s">
        <v>1289</v>
      </c>
      <c r="M2458" t="s">
        <v>1307</v>
      </c>
      <c r="N2458">
        <v>21</v>
      </c>
      <c r="O2458" t="str">
        <f t="shared" si="209"/>
        <v>43</v>
      </c>
      <c r="P2458">
        <v>43</v>
      </c>
      <c r="R2458" t="s">
        <v>1269</v>
      </c>
      <c r="S2458">
        <v>3.371</v>
      </c>
      <c r="T2458">
        <v>0.2326</v>
      </c>
      <c r="U2458">
        <f t="shared" si="210"/>
        <v>0.78400000000000003</v>
      </c>
      <c r="V2458" t="str">
        <f t="shared" si="207"/>
        <v>Elementary Occupational Therapist</v>
      </c>
      <c r="W2458" t="str">
        <f t="shared" si="208"/>
        <v>Occupational Therapist</v>
      </c>
    </row>
    <row r="2459" spans="1:23" x14ac:dyDescent="0.25">
      <c r="A2459">
        <v>31016</v>
      </c>
      <c r="B2459" t="s">
        <v>1387</v>
      </c>
      <c r="C2459">
        <v>0.47499999999999998</v>
      </c>
      <c r="D2459" t="s">
        <v>1264</v>
      </c>
      <c r="E2459">
        <v>100014</v>
      </c>
      <c r="F2459">
        <v>31016</v>
      </c>
      <c r="G2459" t="str">
        <f t="shared" si="206"/>
        <v>31016</v>
      </c>
      <c r="H2459" t="s">
        <v>512</v>
      </c>
      <c r="I2459" t="s">
        <v>1265</v>
      </c>
      <c r="J2459" t="s">
        <v>1271</v>
      </c>
      <c r="K2459" t="s">
        <v>1272</v>
      </c>
      <c r="L2459" t="s">
        <v>1387</v>
      </c>
      <c r="M2459" t="s">
        <v>1406</v>
      </c>
      <c r="N2459">
        <v>21</v>
      </c>
      <c r="O2459" t="str">
        <f t="shared" si="209"/>
        <v>43</v>
      </c>
      <c r="P2459">
        <v>43</v>
      </c>
      <c r="R2459" t="s">
        <v>1269</v>
      </c>
      <c r="S2459">
        <v>0.47499999999999998</v>
      </c>
      <c r="T2459">
        <v>0.2326</v>
      </c>
      <c r="U2459">
        <f t="shared" si="210"/>
        <v>0.11</v>
      </c>
      <c r="V2459" t="str">
        <f t="shared" si="207"/>
        <v>High Occupational Therapist</v>
      </c>
      <c r="W2459" t="str">
        <f t="shared" si="208"/>
        <v>Occupational Therapist</v>
      </c>
    </row>
    <row r="2460" spans="1:23" x14ac:dyDescent="0.25">
      <c r="A2460">
        <v>31016</v>
      </c>
      <c r="B2460" t="s">
        <v>1303</v>
      </c>
      <c r="C2460">
        <v>0.77300000000000002</v>
      </c>
      <c r="D2460" t="s">
        <v>1264</v>
      </c>
      <c r="E2460">
        <v>100014</v>
      </c>
      <c r="F2460">
        <v>31016</v>
      </c>
      <c r="G2460" t="str">
        <f t="shared" si="206"/>
        <v>31016</v>
      </c>
      <c r="H2460" t="s">
        <v>512</v>
      </c>
      <c r="I2460" t="s">
        <v>1265</v>
      </c>
      <c r="J2460" t="s">
        <v>1266</v>
      </c>
      <c r="K2460" t="s">
        <v>1267</v>
      </c>
      <c r="L2460" t="s">
        <v>1303</v>
      </c>
      <c r="M2460" t="s">
        <v>1304</v>
      </c>
      <c r="N2460">
        <v>21</v>
      </c>
      <c r="O2460" t="str">
        <f t="shared" si="209"/>
        <v>43</v>
      </c>
      <c r="P2460">
        <v>43</v>
      </c>
      <c r="R2460" t="s">
        <v>1269</v>
      </c>
      <c r="S2460">
        <v>0.77300000000000002</v>
      </c>
      <c r="T2460">
        <v>0.2326</v>
      </c>
      <c r="U2460">
        <f t="shared" si="210"/>
        <v>0.18</v>
      </c>
      <c r="V2460" t="str">
        <f t="shared" si="207"/>
        <v>Middle Occupational Therapist</v>
      </c>
      <c r="W2460" t="str">
        <f t="shared" si="208"/>
        <v>Occupational Therapist</v>
      </c>
    </row>
    <row r="2461" spans="1:23" x14ac:dyDescent="0.25">
      <c r="A2461">
        <v>31016</v>
      </c>
      <c r="B2461" t="s">
        <v>1294</v>
      </c>
      <c r="C2461">
        <v>8.6940000000000008</v>
      </c>
      <c r="D2461" t="s">
        <v>1264</v>
      </c>
      <c r="E2461">
        <v>100014</v>
      </c>
      <c r="F2461">
        <v>31016</v>
      </c>
      <c r="G2461" t="str">
        <f t="shared" si="206"/>
        <v>31016</v>
      </c>
      <c r="H2461" t="s">
        <v>512</v>
      </c>
      <c r="I2461" t="s">
        <v>1265</v>
      </c>
      <c r="J2461" t="s">
        <v>1276</v>
      </c>
      <c r="K2461" t="s">
        <v>1277</v>
      </c>
      <c r="L2461" t="s">
        <v>1294</v>
      </c>
      <c r="M2461" t="s">
        <v>1354</v>
      </c>
      <c r="N2461">
        <v>21</v>
      </c>
      <c r="O2461" t="str">
        <f t="shared" si="209"/>
        <v>45</v>
      </c>
      <c r="P2461">
        <v>45</v>
      </c>
      <c r="R2461" t="s">
        <v>1269</v>
      </c>
      <c r="S2461">
        <v>8.6940000000000008</v>
      </c>
      <c r="T2461">
        <v>0.2326</v>
      </c>
      <c r="U2461">
        <f t="shared" si="210"/>
        <v>2.0219999999999998</v>
      </c>
      <c r="V2461" t="str">
        <f t="shared" si="207"/>
        <v>Elementary Speech, Language Pathway/
Audio</v>
      </c>
      <c r="W2461" t="str">
        <f t="shared" si="208"/>
        <v>Speech, Language Pathway/
Audio</v>
      </c>
    </row>
    <row r="2462" spans="1:23" x14ac:dyDescent="0.25">
      <c r="A2462">
        <v>31016</v>
      </c>
      <c r="B2462" t="s">
        <v>1312</v>
      </c>
      <c r="C2462">
        <v>1.006</v>
      </c>
      <c r="D2462" t="s">
        <v>1264</v>
      </c>
      <c r="E2462">
        <v>100014</v>
      </c>
      <c r="F2462">
        <v>31016</v>
      </c>
      <c r="G2462" t="str">
        <f t="shared" si="206"/>
        <v>31016</v>
      </c>
      <c r="H2462" t="s">
        <v>512</v>
      </c>
      <c r="I2462" t="s">
        <v>1265</v>
      </c>
      <c r="J2462" t="s">
        <v>1266</v>
      </c>
      <c r="K2462" t="s">
        <v>1267</v>
      </c>
      <c r="L2462" t="s">
        <v>1312</v>
      </c>
      <c r="M2462" t="s">
        <v>1351</v>
      </c>
      <c r="N2462">
        <v>21</v>
      </c>
      <c r="O2462" t="str">
        <f t="shared" si="209"/>
        <v>45</v>
      </c>
      <c r="P2462">
        <v>45</v>
      </c>
      <c r="R2462" t="s">
        <v>1269</v>
      </c>
      <c r="S2462">
        <v>1.006</v>
      </c>
      <c r="T2462">
        <v>0.2326</v>
      </c>
      <c r="U2462">
        <f t="shared" si="210"/>
        <v>0.23400000000000001</v>
      </c>
      <c r="V2462" t="str">
        <f t="shared" si="207"/>
        <v>Middle Speech, Language Pathway/
Audio</v>
      </c>
      <c r="W2462" t="str">
        <f t="shared" si="208"/>
        <v>Speech, Language Pathway/
Audio</v>
      </c>
    </row>
    <row r="2463" spans="1:23" x14ac:dyDescent="0.25">
      <c r="A2463">
        <v>31016</v>
      </c>
      <c r="B2463" t="s">
        <v>1298</v>
      </c>
      <c r="C2463">
        <v>0.3</v>
      </c>
      <c r="D2463" t="s">
        <v>1264</v>
      </c>
      <c r="E2463">
        <v>100014</v>
      </c>
      <c r="F2463">
        <v>31016</v>
      </c>
      <c r="G2463" t="str">
        <f t="shared" si="206"/>
        <v>31016</v>
      </c>
      <c r="H2463" t="s">
        <v>512</v>
      </c>
      <c r="I2463" t="s">
        <v>1265</v>
      </c>
      <c r="J2463" t="s">
        <v>1276</v>
      </c>
      <c r="K2463" t="s">
        <v>1277</v>
      </c>
      <c r="L2463" t="s">
        <v>1298</v>
      </c>
      <c r="M2463" t="s">
        <v>1349</v>
      </c>
      <c r="N2463">
        <v>21</v>
      </c>
      <c r="O2463" t="str">
        <f t="shared" si="209"/>
        <v>46</v>
      </c>
      <c r="P2463">
        <v>46</v>
      </c>
      <c r="R2463" t="s">
        <v>1269</v>
      </c>
      <c r="S2463">
        <v>0.3</v>
      </c>
      <c r="T2463">
        <v>0.2326</v>
      </c>
      <c r="U2463">
        <f t="shared" si="210"/>
        <v>7.0000000000000007E-2</v>
      </c>
      <c r="V2463" t="str">
        <f t="shared" si="207"/>
        <v>Elementary Psychologist</v>
      </c>
      <c r="W2463" t="str">
        <f t="shared" si="208"/>
        <v>Psychologist</v>
      </c>
    </row>
    <row r="2464" spans="1:23" x14ac:dyDescent="0.25">
      <c r="A2464">
        <v>31016</v>
      </c>
      <c r="B2464" t="s">
        <v>1335</v>
      </c>
      <c r="C2464">
        <v>1</v>
      </c>
      <c r="D2464" t="s">
        <v>1264</v>
      </c>
      <c r="E2464">
        <v>100014</v>
      </c>
      <c r="F2464">
        <v>31016</v>
      </c>
      <c r="G2464" t="str">
        <f t="shared" si="206"/>
        <v>31016</v>
      </c>
      <c r="H2464" t="s">
        <v>512</v>
      </c>
      <c r="I2464" t="s">
        <v>1265</v>
      </c>
      <c r="J2464" t="s">
        <v>1276</v>
      </c>
      <c r="K2464" t="s">
        <v>1277</v>
      </c>
      <c r="L2464" t="s">
        <v>1335</v>
      </c>
      <c r="M2464" t="s">
        <v>1344</v>
      </c>
      <c r="N2464">
        <v>1</v>
      </c>
      <c r="O2464" t="str">
        <f t="shared" si="209"/>
        <v>47</v>
      </c>
      <c r="P2464">
        <v>47</v>
      </c>
      <c r="R2464" t="s">
        <v>1269</v>
      </c>
      <c r="S2464">
        <v>1</v>
      </c>
      <c r="T2464">
        <v>0.2326</v>
      </c>
      <c r="U2464">
        <f t="shared" si="210"/>
        <v>0</v>
      </c>
      <c r="V2464" t="str">
        <f t="shared" si="207"/>
        <v>Elementary Nurse</v>
      </c>
      <c r="W2464" t="str">
        <f t="shared" si="208"/>
        <v>Nurse</v>
      </c>
    </row>
    <row r="2465" spans="1:23" x14ac:dyDescent="0.25">
      <c r="A2465">
        <v>31016</v>
      </c>
      <c r="B2465" t="s">
        <v>1302</v>
      </c>
      <c r="C2465">
        <v>0.76100000000000001</v>
      </c>
      <c r="D2465" t="s">
        <v>1264</v>
      </c>
      <c r="E2465">
        <v>100014</v>
      </c>
      <c r="F2465">
        <v>31016</v>
      </c>
      <c r="G2465" t="str">
        <f t="shared" si="206"/>
        <v>31016</v>
      </c>
      <c r="H2465" t="s">
        <v>512</v>
      </c>
      <c r="I2465" t="s">
        <v>1265</v>
      </c>
      <c r="J2465" t="s">
        <v>1276</v>
      </c>
      <c r="K2465" t="s">
        <v>1277</v>
      </c>
      <c r="L2465" t="s">
        <v>1302</v>
      </c>
      <c r="M2465" t="s">
        <v>1336</v>
      </c>
      <c r="N2465">
        <v>21</v>
      </c>
      <c r="O2465" t="str">
        <f t="shared" si="209"/>
        <v>48</v>
      </c>
      <c r="P2465">
        <v>48</v>
      </c>
      <c r="R2465" t="s">
        <v>1269</v>
      </c>
      <c r="S2465">
        <v>0.76100000000000001</v>
      </c>
      <c r="T2465">
        <v>0.2326</v>
      </c>
      <c r="U2465">
        <f t="shared" si="210"/>
        <v>0.17699999999999999</v>
      </c>
      <c r="V2465" t="str">
        <f t="shared" si="207"/>
        <v>Elementary Physical Therapist</v>
      </c>
      <c r="W2465" t="str">
        <f t="shared" si="208"/>
        <v>Physical Therapist</v>
      </c>
    </row>
    <row r="2466" spans="1:23" x14ac:dyDescent="0.25">
      <c r="A2466">
        <v>31016</v>
      </c>
      <c r="B2466" t="s">
        <v>1330</v>
      </c>
      <c r="C2466">
        <v>0.14799999999999999</v>
      </c>
      <c r="D2466" t="s">
        <v>1264</v>
      </c>
      <c r="E2466">
        <v>100014</v>
      </c>
      <c r="F2466">
        <v>31016</v>
      </c>
      <c r="G2466" t="str">
        <f t="shared" si="206"/>
        <v>31016</v>
      </c>
      <c r="H2466" t="s">
        <v>512</v>
      </c>
      <c r="I2466" t="s">
        <v>1265</v>
      </c>
      <c r="J2466" t="s">
        <v>1271</v>
      </c>
      <c r="K2466" t="s">
        <v>1272</v>
      </c>
      <c r="L2466" t="s">
        <v>1330</v>
      </c>
      <c r="M2466" t="s">
        <v>1367</v>
      </c>
      <c r="N2466">
        <v>21</v>
      </c>
      <c r="O2466" t="str">
        <f t="shared" si="209"/>
        <v>48</v>
      </c>
      <c r="P2466">
        <v>48</v>
      </c>
      <c r="R2466" t="s">
        <v>1269</v>
      </c>
      <c r="S2466">
        <v>0.14799999999999999</v>
      </c>
      <c r="T2466">
        <v>0.2326</v>
      </c>
      <c r="U2466">
        <f t="shared" si="210"/>
        <v>3.4000000000000002E-2</v>
      </c>
      <c r="V2466" t="str">
        <f t="shared" si="207"/>
        <v>High Physical Therapist</v>
      </c>
      <c r="W2466" t="str">
        <f t="shared" si="208"/>
        <v>Physical Therapist</v>
      </c>
    </row>
    <row r="2467" spans="1:23" x14ac:dyDescent="0.25">
      <c r="A2467">
        <v>31016</v>
      </c>
      <c r="B2467" t="s">
        <v>1316</v>
      </c>
      <c r="C2467">
        <v>9.0999999999999998E-2</v>
      </c>
      <c r="D2467" t="s">
        <v>1264</v>
      </c>
      <c r="E2467">
        <v>100014</v>
      </c>
      <c r="F2467">
        <v>31016</v>
      </c>
      <c r="G2467" t="str">
        <f t="shared" si="206"/>
        <v>31016</v>
      </c>
      <c r="H2467" t="s">
        <v>512</v>
      </c>
      <c r="I2467" t="s">
        <v>1265</v>
      </c>
      <c r="J2467" t="s">
        <v>1266</v>
      </c>
      <c r="K2467" t="s">
        <v>1267</v>
      </c>
      <c r="L2467" t="s">
        <v>1316</v>
      </c>
      <c r="M2467" t="s">
        <v>1366</v>
      </c>
      <c r="N2467">
        <v>21</v>
      </c>
      <c r="O2467" t="str">
        <f t="shared" si="209"/>
        <v>48</v>
      </c>
      <c r="P2467">
        <v>48</v>
      </c>
      <c r="R2467" t="s">
        <v>1269</v>
      </c>
      <c r="S2467">
        <v>9.0999999999999998E-2</v>
      </c>
      <c r="T2467">
        <v>0.2326</v>
      </c>
      <c r="U2467">
        <f t="shared" si="210"/>
        <v>2.1000000000000001E-2</v>
      </c>
      <c r="V2467" t="str">
        <f t="shared" si="207"/>
        <v>Middle Physical Therapist</v>
      </c>
      <c r="W2467" t="str">
        <f t="shared" si="208"/>
        <v>Physical Therapist</v>
      </c>
    </row>
    <row r="2468" spans="1:23" x14ac:dyDescent="0.25">
      <c r="A2468">
        <v>31025</v>
      </c>
      <c r="B2468" t="s">
        <v>1286</v>
      </c>
      <c r="C2468">
        <v>1.8260000000000001</v>
      </c>
      <c r="D2468" t="s">
        <v>1264</v>
      </c>
      <c r="E2468">
        <v>100142</v>
      </c>
      <c r="F2468">
        <v>31025</v>
      </c>
      <c r="G2468" t="str">
        <f t="shared" si="206"/>
        <v>31025</v>
      </c>
      <c r="H2468" t="s">
        <v>513</v>
      </c>
      <c r="I2468" t="s">
        <v>1265</v>
      </c>
      <c r="J2468" t="s">
        <v>1271</v>
      </c>
      <c r="K2468" t="s">
        <v>1272</v>
      </c>
      <c r="L2468" t="s">
        <v>1286</v>
      </c>
      <c r="M2468" t="s">
        <v>1287</v>
      </c>
      <c r="N2468">
        <v>1</v>
      </c>
      <c r="O2468" t="str">
        <f t="shared" si="209"/>
        <v>24</v>
      </c>
      <c r="P2468">
        <v>96</v>
      </c>
      <c r="Q2468">
        <v>24</v>
      </c>
      <c r="R2468" t="s">
        <v>1269</v>
      </c>
      <c r="S2468">
        <v>1.8260000000000001</v>
      </c>
      <c r="T2468">
        <v>0.30270000000000002</v>
      </c>
      <c r="U2468">
        <f t="shared" si="210"/>
        <v>0</v>
      </c>
      <c r="V2468" t="str">
        <f t="shared" si="207"/>
        <v>High Family Engagement Coordinator</v>
      </c>
      <c r="W2468" t="str">
        <f t="shared" si="208"/>
        <v>Family Engagement Coordinator</v>
      </c>
    </row>
    <row r="2469" spans="1:23" x14ac:dyDescent="0.25">
      <c r="A2469">
        <v>31025</v>
      </c>
      <c r="B2469" t="s">
        <v>1383</v>
      </c>
      <c r="C2469">
        <v>1.117</v>
      </c>
      <c r="D2469" t="s">
        <v>1264</v>
      </c>
      <c r="E2469">
        <v>100142</v>
      </c>
      <c r="F2469">
        <v>31025</v>
      </c>
      <c r="G2469" t="str">
        <f t="shared" si="206"/>
        <v>31025</v>
      </c>
      <c r="H2469" t="s">
        <v>513</v>
      </c>
      <c r="I2469" t="s">
        <v>1265</v>
      </c>
      <c r="J2469" t="s">
        <v>1271</v>
      </c>
      <c r="K2469" t="s">
        <v>1272</v>
      </c>
      <c r="L2469" t="s">
        <v>1383</v>
      </c>
      <c r="M2469" t="s">
        <v>1409</v>
      </c>
      <c r="N2469">
        <v>21</v>
      </c>
      <c r="O2469" t="str">
        <f t="shared" si="209"/>
        <v>25</v>
      </c>
      <c r="Q2469">
        <v>25</v>
      </c>
      <c r="R2469" t="s">
        <v>1269</v>
      </c>
      <c r="S2469">
        <v>1.117</v>
      </c>
      <c r="T2469">
        <v>0.30270000000000002</v>
      </c>
      <c r="U2469">
        <f t="shared" si="210"/>
        <v>0.33800000000000002</v>
      </c>
      <c r="V2469" t="str">
        <f t="shared" si="207"/>
        <v>High Pupil Management</v>
      </c>
      <c r="W2469" t="str">
        <f t="shared" si="208"/>
        <v>Pupil Management</v>
      </c>
    </row>
    <row r="2470" spans="1:23" x14ac:dyDescent="0.25">
      <c r="A2470">
        <v>31025</v>
      </c>
      <c r="B2470" t="s">
        <v>1299</v>
      </c>
      <c r="C2470">
        <v>13.766999999999999</v>
      </c>
      <c r="D2470" t="s">
        <v>1264</v>
      </c>
      <c r="E2470">
        <v>100142</v>
      </c>
      <c r="F2470">
        <v>31025</v>
      </c>
      <c r="G2470" t="str">
        <f t="shared" si="206"/>
        <v>31025</v>
      </c>
      <c r="H2470" t="s">
        <v>513</v>
      </c>
      <c r="I2470" t="s">
        <v>1265</v>
      </c>
      <c r="J2470" t="s">
        <v>1271</v>
      </c>
      <c r="K2470" t="s">
        <v>1272</v>
      </c>
      <c r="L2470" t="s">
        <v>1299</v>
      </c>
      <c r="M2470" t="s">
        <v>1300</v>
      </c>
      <c r="N2470">
        <v>1</v>
      </c>
      <c r="O2470" t="str">
        <f t="shared" si="209"/>
        <v>25</v>
      </c>
      <c r="Q2470">
        <v>25</v>
      </c>
      <c r="R2470" t="s">
        <v>1269</v>
      </c>
      <c r="S2470">
        <v>13.766999999999999</v>
      </c>
      <c r="T2470">
        <v>0.30270000000000002</v>
      </c>
      <c r="U2470">
        <f t="shared" si="210"/>
        <v>0</v>
      </c>
      <c r="V2470" t="str">
        <f t="shared" si="207"/>
        <v>High Pupil Management</v>
      </c>
      <c r="W2470" t="str">
        <f t="shared" si="208"/>
        <v>Pupil Management</v>
      </c>
    </row>
    <row r="2471" spans="1:23" x14ac:dyDescent="0.25">
      <c r="A2471">
        <v>31025</v>
      </c>
      <c r="B2471" t="s">
        <v>1324</v>
      </c>
      <c r="C2471">
        <v>0.624</v>
      </c>
      <c r="D2471" t="s">
        <v>1264</v>
      </c>
      <c r="E2471">
        <v>100142</v>
      </c>
      <c r="F2471">
        <v>31025</v>
      </c>
      <c r="G2471" t="str">
        <f t="shared" si="206"/>
        <v>31025</v>
      </c>
      <c r="H2471" t="s">
        <v>513</v>
      </c>
      <c r="I2471" t="s">
        <v>1265</v>
      </c>
      <c r="J2471" t="s">
        <v>1271</v>
      </c>
      <c r="K2471" t="s">
        <v>1272</v>
      </c>
      <c r="L2471" t="s">
        <v>1324</v>
      </c>
      <c r="M2471" t="s">
        <v>1325</v>
      </c>
      <c r="N2471">
        <v>21</v>
      </c>
      <c r="O2471" t="str">
        <f t="shared" si="209"/>
        <v>26</v>
      </c>
      <c r="Q2471">
        <v>26</v>
      </c>
      <c r="R2471" t="s">
        <v>1269</v>
      </c>
      <c r="S2471">
        <v>0.624</v>
      </c>
      <c r="T2471">
        <v>0.30270000000000002</v>
      </c>
      <c r="U2471">
        <f t="shared" si="210"/>
        <v>0.189</v>
      </c>
      <c r="V2471" t="str">
        <f t="shared" si="207"/>
        <v>High Health/
Related Services</v>
      </c>
      <c r="W2471" t="str">
        <f t="shared" si="208"/>
        <v>Health/
Related Services</v>
      </c>
    </row>
    <row r="2472" spans="1:23" x14ac:dyDescent="0.25">
      <c r="A2472">
        <v>31025</v>
      </c>
      <c r="B2472" t="s">
        <v>1295</v>
      </c>
      <c r="C2472">
        <v>13.131</v>
      </c>
      <c r="D2472" t="s">
        <v>1264</v>
      </c>
      <c r="E2472">
        <v>100142</v>
      </c>
      <c r="F2472">
        <v>31025</v>
      </c>
      <c r="G2472" t="str">
        <f t="shared" si="206"/>
        <v>31025</v>
      </c>
      <c r="H2472" t="s">
        <v>513</v>
      </c>
      <c r="I2472" t="s">
        <v>1265</v>
      </c>
      <c r="J2472" t="s">
        <v>1271</v>
      </c>
      <c r="K2472" t="s">
        <v>1272</v>
      </c>
      <c r="L2472" t="s">
        <v>1295</v>
      </c>
      <c r="M2472" t="s">
        <v>1296</v>
      </c>
      <c r="N2472">
        <v>1</v>
      </c>
      <c r="O2472" t="str">
        <f t="shared" si="209"/>
        <v>26</v>
      </c>
      <c r="Q2472">
        <v>26</v>
      </c>
      <c r="R2472" t="s">
        <v>1269</v>
      </c>
      <c r="S2472">
        <v>13.131</v>
      </c>
      <c r="T2472">
        <v>0.30270000000000002</v>
      </c>
      <c r="U2472">
        <f t="shared" si="210"/>
        <v>0</v>
      </c>
      <c r="V2472" t="str">
        <f t="shared" si="207"/>
        <v>High Health/
Related Services</v>
      </c>
      <c r="W2472" t="str">
        <f t="shared" si="208"/>
        <v>Health/
Related Services</v>
      </c>
    </row>
    <row r="2473" spans="1:23" x14ac:dyDescent="0.25">
      <c r="A2473">
        <v>31025</v>
      </c>
      <c r="B2473" t="s">
        <v>1275</v>
      </c>
      <c r="C2473">
        <v>10.180999999999999</v>
      </c>
      <c r="D2473" t="s">
        <v>1264</v>
      </c>
      <c r="E2473">
        <v>100142</v>
      </c>
      <c r="F2473">
        <v>31025</v>
      </c>
      <c r="G2473" t="str">
        <f t="shared" si="206"/>
        <v>31025</v>
      </c>
      <c r="H2473" t="s">
        <v>513</v>
      </c>
      <c r="I2473" t="s">
        <v>1265</v>
      </c>
      <c r="J2473" t="s">
        <v>1276</v>
      </c>
      <c r="K2473" t="s">
        <v>1277</v>
      </c>
      <c r="L2473" t="s">
        <v>1275</v>
      </c>
      <c r="M2473" t="s">
        <v>1278</v>
      </c>
      <c r="N2473">
        <v>1</v>
      </c>
      <c r="O2473" t="str">
        <f t="shared" si="209"/>
        <v>42</v>
      </c>
      <c r="P2473">
        <v>42</v>
      </c>
      <c r="R2473" t="s">
        <v>1269</v>
      </c>
      <c r="S2473">
        <v>10.180999999999999</v>
      </c>
      <c r="T2473">
        <v>0.30270000000000002</v>
      </c>
      <c r="U2473">
        <f t="shared" si="210"/>
        <v>0</v>
      </c>
      <c r="V2473" t="str">
        <f t="shared" si="207"/>
        <v>Elementary Counselor</v>
      </c>
      <c r="W2473" t="str">
        <f t="shared" si="208"/>
        <v>Counselor</v>
      </c>
    </row>
    <row r="2474" spans="1:23" x14ac:dyDescent="0.25">
      <c r="A2474">
        <v>31025</v>
      </c>
      <c r="B2474" t="s">
        <v>1270</v>
      </c>
      <c r="C2474">
        <v>6.4340000000000002</v>
      </c>
      <c r="D2474" t="s">
        <v>1264</v>
      </c>
      <c r="E2474">
        <v>100142</v>
      </c>
      <c r="F2474">
        <v>31025</v>
      </c>
      <c r="G2474" t="str">
        <f t="shared" si="206"/>
        <v>31025</v>
      </c>
      <c r="H2474" t="s">
        <v>513</v>
      </c>
      <c r="I2474" t="s">
        <v>1265</v>
      </c>
      <c r="J2474" t="s">
        <v>1271</v>
      </c>
      <c r="K2474" t="s">
        <v>1272</v>
      </c>
      <c r="L2474" t="s">
        <v>1270</v>
      </c>
      <c r="M2474" t="s">
        <v>1273</v>
      </c>
      <c r="N2474">
        <v>1</v>
      </c>
      <c r="O2474" t="str">
        <f t="shared" si="209"/>
        <v>42</v>
      </c>
      <c r="P2474">
        <v>42</v>
      </c>
      <c r="R2474" t="s">
        <v>1269</v>
      </c>
      <c r="S2474">
        <v>6.4340000000000002</v>
      </c>
      <c r="T2474">
        <v>0.30270000000000002</v>
      </c>
      <c r="U2474">
        <f t="shared" si="210"/>
        <v>0</v>
      </c>
      <c r="V2474" t="str">
        <f t="shared" si="207"/>
        <v>High Counselor</v>
      </c>
      <c r="W2474" t="str">
        <f t="shared" si="208"/>
        <v>Counselor</v>
      </c>
    </row>
    <row r="2475" spans="1:23" x14ac:dyDescent="0.25">
      <c r="A2475">
        <v>31025</v>
      </c>
      <c r="B2475" t="s">
        <v>1263</v>
      </c>
      <c r="C2475">
        <v>2.1259999999999999</v>
      </c>
      <c r="D2475" t="s">
        <v>1264</v>
      </c>
      <c r="E2475">
        <v>100142</v>
      </c>
      <c r="F2475">
        <v>31025</v>
      </c>
      <c r="G2475" t="str">
        <f t="shared" si="206"/>
        <v>31025</v>
      </c>
      <c r="H2475" t="s">
        <v>513</v>
      </c>
      <c r="I2475" t="s">
        <v>1265</v>
      </c>
      <c r="J2475" t="s">
        <v>1266</v>
      </c>
      <c r="K2475" t="s">
        <v>1267</v>
      </c>
      <c r="L2475" t="s">
        <v>1263</v>
      </c>
      <c r="M2475" t="s">
        <v>1268</v>
      </c>
      <c r="N2475">
        <v>1</v>
      </c>
      <c r="O2475" t="str">
        <f t="shared" si="209"/>
        <v>42</v>
      </c>
      <c r="P2475">
        <v>42</v>
      </c>
      <c r="R2475" t="s">
        <v>1269</v>
      </c>
      <c r="S2475">
        <v>2.1259999999999999</v>
      </c>
      <c r="T2475">
        <v>0.30270000000000002</v>
      </c>
      <c r="U2475">
        <f t="shared" si="210"/>
        <v>0</v>
      </c>
      <c r="V2475" t="str">
        <f t="shared" si="207"/>
        <v>Middle Counselor</v>
      </c>
      <c r="W2475" t="str">
        <f t="shared" si="208"/>
        <v>Counselor</v>
      </c>
    </row>
    <row r="2476" spans="1:23" x14ac:dyDescent="0.25">
      <c r="A2476">
        <v>31025</v>
      </c>
      <c r="B2476" t="s">
        <v>1289</v>
      </c>
      <c r="C2476">
        <v>4.8</v>
      </c>
      <c r="D2476" t="s">
        <v>1264</v>
      </c>
      <c r="E2476">
        <v>100142</v>
      </c>
      <c r="F2476">
        <v>31025</v>
      </c>
      <c r="G2476" t="str">
        <f t="shared" si="206"/>
        <v>31025</v>
      </c>
      <c r="H2476" t="s">
        <v>513</v>
      </c>
      <c r="I2476" t="s">
        <v>1265</v>
      </c>
      <c r="J2476" t="s">
        <v>1276</v>
      </c>
      <c r="K2476" t="s">
        <v>1277</v>
      </c>
      <c r="L2476" t="s">
        <v>1289</v>
      </c>
      <c r="M2476" t="s">
        <v>1307</v>
      </c>
      <c r="N2476">
        <v>21</v>
      </c>
      <c r="O2476" t="str">
        <f t="shared" si="209"/>
        <v>43</v>
      </c>
      <c r="P2476">
        <v>43</v>
      </c>
      <c r="R2476" t="s">
        <v>1269</v>
      </c>
      <c r="S2476">
        <v>4.8</v>
      </c>
      <c r="T2476">
        <v>0.30270000000000002</v>
      </c>
      <c r="U2476">
        <f t="shared" si="210"/>
        <v>1.4530000000000001</v>
      </c>
      <c r="V2476" t="str">
        <f t="shared" si="207"/>
        <v>Elementary Occupational Therapist</v>
      </c>
      <c r="W2476" t="str">
        <f t="shared" si="208"/>
        <v>Occupational Therapist</v>
      </c>
    </row>
    <row r="2477" spans="1:23" x14ac:dyDescent="0.25">
      <c r="A2477">
        <v>31025</v>
      </c>
      <c r="B2477" t="s">
        <v>1294</v>
      </c>
      <c r="C2477">
        <v>11.1</v>
      </c>
      <c r="D2477" t="s">
        <v>1264</v>
      </c>
      <c r="E2477">
        <v>100142</v>
      </c>
      <c r="F2477">
        <v>31025</v>
      </c>
      <c r="G2477" t="str">
        <f t="shared" si="206"/>
        <v>31025</v>
      </c>
      <c r="H2477" t="s">
        <v>513</v>
      </c>
      <c r="I2477" t="s">
        <v>1265</v>
      </c>
      <c r="J2477" t="s">
        <v>1276</v>
      </c>
      <c r="K2477" t="s">
        <v>1277</v>
      </c>
      <c r="L2477" t="s">
        <v>1294</v>
      </c>
      <c r="M2477" t="s">
        <v>1354</v>
      </c>
      <c r="N2477">
        <v>21</v>
      </c>
      <c r="O2477" t="str">
        <f t="shared" si="209"/>
        <v>45</v>
      </c>
      <c r="P2477">
        <v>45</v>
      </c>
      <c r="R2477" t="s">
        <v>1269</v>
      </c>
      <c r="S2477">
        <v>11.1</v>
      </c>
      <c r="T2477">
        <v>0.30270000000000002</v>
      </c>
      <c r="U2477">
        <f t="shared" si="210"/>
        <v>3.36</v>
      </c>
      <c r="V2477" t="str">
        <f t="shared" si="207"/>
        <v>Elementary Speech, Language Pathway/
Audio</v>
      </c>
      <c r="W2477" t="str">
        <f t="shared" si="208"/>
        <v>Speech, Language Pathway/
Audio</v>
      </c>
    </row>
    <row r="2478" spans="1:23" x14ac:dyDescent="0.25">
      <c r="A2478">
        <v>31025</v>
      </c>
      <c r="B2478" t="s">
        <v>1332</v>
      </c>
      <c r="C2478">
        <v>0.7</v>
      </c>
      <c r="D2478" t="s">
        <v>1264</v>
      </c>
      <c r="E2478">
        <v>100142</v>
      </c>
      <c r="F2478">
        <v>31025</v>
      </c>
      <c r="G2478" t="str">
        <f t="shared" si="206"/>
        <v>31025</v>
      </c>
      <c r="H2478" t="s">
        <v>513</v>
      </c>
      <c r="I2478" t="s">
        <v>1265</v>
      </c>
      <c r="J2478" t="s">
        <v>1276</v>
      </c>
      <c r="K2478" t="s">
        <v>1277</v>
      </c>
      <c r="L2478" t="s">
        <v>1332</v>
      </c>
      <c r="M2478" t="s">
        <v>1403</v>
      </c>
      <c r="N2478">
        <v>1</v>
      </c>
      <c r="O2478" t="str">
        <f t="shared" si="209"/>
        <v>45</v>
      </c>
      <c r="P2478">
        <v>45</v>
      </c>
      <c r="R2478" t="s">
        <v>1269</v>
      </c>
      <c r="S2478">
        <v>0.7</v>
      </c>
      <c r="T2478">
        <v>0.30270000000000002</v>
      </c>
      <c r="U2478">
        <f t="shared" si="210"/>
        <v>0</v>
      </c>
      <c r="V2478" t="str">
        <f t="shared" si="207"/>
        <v>Elementary Speech, Language Pathway/
Audio</v>
      </c>
      <c r="W2478" t="str">
        <f t="shared" si="208"/>
        <v>Speech, Language Pathway/
Audio</v>
      </c>
    </row>
    <row r="2479" spans="1:23" x14ac:dyDescent="0.25">
      <c r="A2479">
        <v>31025</v>
      </c>
      <c r="B2479" t="s">
        <v>1326</v>
      </c>
      <c r="C2479">
        <v>1</v>
      </c>
      <c r="D2479" t="s">
        <v>1264</v>
      </c>
      <c r="E2479">
        <v>100142</v>
      </c>
      <c r="F2479">
        <v>31025</v>
      </c>
      <c r="G2479" t="str">
        <f t="shared" si="206"/>
        <v>31025</v>
      </c>
      <c r="H2479" t="s">
        <v>513</v>
      </c>
      <c r="I2479" t="s">
        <v>1265</v>
      </c>
      <c r="J2479" t="s">
        <v>1271</v>
      </c>
      <c r="K2479" t="s">
        <v>1272</v>
      </c>
      <c r="L2479" t="s">
        <v>1326</v>
      </c>
      <c r="M2479" t="s">
        <v>1353</v>
      </c>
      <c r="N2479">
        <v>21</v>
      </c>
      <c r="O2479" t="str">
        <f t="shared" si="209"/>
        <v>45</v>
      </c>
      <c r="P2479">
        <v>45</v>
      </c>
      <c r="R2479" t="s">
        <v>1269</v>
      </c>
      <c r="S2479">
        <v>1</v>
      </c>
      <c r="T2479">
        <v>0.30270000000000002</v>
      </c>
      <c r="U2479">
        <f t="shared" si="210"/>
        <v>0.30299999999999999</v>
      </c>
      <c r="V2479" t="str">
        <f t="shared" si="207"/>
        <v>High Speech, Language Pathway/
Audio</v>
      </c>
      <c r="W2479" t="str">
        <f t="shared" si="208"/>
        <v>Speech, Language Pathway/
Audio</v>
      </c>
    </row>
    <row r="2480" spans="1:23" x14ac:dyDescent="0.25">
      <c r="A2480">
        <v>31025</v>
      </c>
      <c r="B2480" t="s">
        <v>1312</v>
      </c>
      <c r="C2480">
        <v>1</v>
      </c>
      <c r="D2480" t="s">
        <v>1264</v>
      </c>
      <c r="E2480">
        <v>100142</v>
      </c>
      <c r="F2480">
        <v>31025</v>
      </c>
      <c r="G2480" t="str">
        <f t="shared" si="206"/>
        <v>31025</v>
      </c>
      <c r="H2480" t="s">
        <v>513</v>
      </c>
      <c r="I2480" t="s">
        <v>1265</v>
      </c>
      <c r="J2480" t="s">
        <v>1266</v>
      </c>
      <c r="K2480" t="s">
        <v>1267</v>
      </c>
      <c r="L2480" t="s">
        <v>1312</v>
      </c>
      <c r="M2480" t="s">
        <v>1351</v>
      </c>
      <c r="N2480">
        <v>21</v>
      </c>
      <c r="O2480" t="str">
        <f t="shared" si="209"/>
        <v>45</v>
      </c>
      <c r="P2480">
        <v>45</v>
      </c>
      <c r="R2480" t="s">
        <v>1269</v>
      </c>
      <c r="S2480">
        <v>1</v>
      </c>
      <c r="T2480">
        <v>0.30270000000000002</v>
      </c>
      <c r="U2480">
        <f t="shared" si="210"/>
        <v>0.30299999999999999</v>
      </c>
      <c r="V2480" t="str">
        <f t="shared" si="207"/>
        <v>Middle Speech, Language Pathway/
Audio</v>
      </c>
      <c r="W2480" t="str">
        <f t="shared" si="208"/>
        <v>Speech, Language Pathway/
Audio</v>
      </c>
    </row>
    <row r="2481" spans="1:23" x14ac:dyDescent="0.25">
      <c r="A2481">
        <v>31025</v>
      </c>
      <c r="B2481" t="s">
        <v>1298</v>
      </c>
      <c r="C2481">
        <v>3.8</v>
      </c>
      <c r="D2481" t="s">
        <v>1264</v>
      </c>
      <c r="E2481">
        <v>100142</v>
      </c>
      <c r="F2481">
        <v>31025</v>
      </c>
      <c r="G2481" t="str">
        <f t="shared" si="206"/>
        <v>31025</v>
      </c>
      <c r="H2481" t="s">
        <v>513</v>
      </c>
      <c r="I2481" t="s">
        <v>1265</v>
      </c>
      <c r="J2481" t="s">
        <v>1276</v>
      </c>
      <c r="K2481" t="s">
        <v>1277</v>
      </c>
      <c r="L2481" t="s">
        <v>1298</v>
      </c>
      <c r="M2481" t="s">
        <v>1349</v>
      </c>
      <c r="N2481">
        <v>21</v>
      </c>
      <c r="O2481" t="str">
        <f t="shared" si="209"/>
        <v>46</v>
      </c>
      <c r="P2481">
        <v>46</v>
      </c>
      <c r="R2481" t="s">
        <v>1269</v>
      </c>
      <c r="S2481">
        <v>3.8</v>
      </c>
      <c r="T2481">
        <v>0.30270000000000002</v>
      </c>
      <c r="U2481">
        <f t="shared" si="210"/>
        <v>1.1499999999999999</v>
      </c>
      <c r="V2481" t="str">
        <f t="shared" si="207"/>
        <v>Elementary Psychologist</v>
      </c>
      <c r="W2481" t="str">
        <f t="shared" si="208"/>
        <v>Psychologist</v>
      </c>
    </row>
    <row r="2482" spans="1:23" x14ac:dyDescent="0.25">
      <c r="A2482">
        <v>31025</v>
      </c>
      <c r="B2482" t="s">
        <v>1345</v>
      </c>
      <c r="C2482">
        <v>4</v>
      </c>
      <c r="D2482" t="s">
        <v>1264</v>
      </c>
      <c r="E2482">
        <v>100142</v>
      </c>
      <c r="F2482">
        <v>31025</v>
      </c>
      <c r="G2482" t="str">
        <f t="shared" si="206"/>
        <v>31025</v>
      </c>
      <c r="H2482" t="s">
        <v>513</v>
      </c>
      <c r="I2482" t="s">
        <v>1265</v>
      </c>
      <c r="J2482" t="s">
        <v>1266</v>
      </c>
      <c r="K2482" t="s">
        <v>1267</v>
      </c>
      <c r="L2482" t="s">
        <v>1345</v>
      </c>
      <c r="M2482" t="s">
        <v>1346</v>
      </c>
      <c r="N2482">
        <v>21</v>
      </c>
      <c r="O2482" t="str">
        <f t="shared" si="209"/>
        <v>46</v>
      </c>
      <c r="P2482">
        <v>46</v>
      </c>
      <c r="R2482" t="s">
        <v>1269</v>
      </c>
      <c r="S2482">
        <v>4</v>
      </c>
      <c r="T2482">
        <v>0.30270000000000002</v>
      </c>
      <c r="U2482">
        <f t="shared" si="210"/>
        <v>1.2110000000000001</v>
      </c>
      <c r="V2482" t="str">
        <f t="shared" si="207"/>
        <v>Middle Psychologist</v>
      </c>
      <c r="W2482" t="str">
        <f t="shared" si="208"/>
        <v>Psychologist</v>
      </c>
    </row>
    <row r="2483" spans="1:23" x14ac:dyDescent="0.25">
      <c r="A2483">
        <v>31025</v>
      </c>
      <c r="B2483" t="s">
        <v>1335</v>
      </c>
      <c r="C2483">
        <v>0.5</v>
      </c>
      <c r="D2483" t="s">
        <v>1264</v>
      </c>
      <c r="E2483">
        <v>100142</v>
      </c>
      <c r="F2483">
        <v>31025</v>
      </c>
      <c r="G2483" t="str">
        <f t="shared" si="206"/>
        <v>31025</v>
      </c>
      <c r="H2483" t="s">
        <v>513</v>
      </c>
      <c r="I2483" t="s">
        <v>1265</v>
      </c>
      <c r="J2483" t="s">
        <v>1276</v>
      </c>
      <c r="K2483" t="s">
        <v>1277</v>
      </c>
      <c r="L2483" t="s">
        <v>1335</v>
      </c>
      <c r="M2483" t="s">
        <v>1344</v>
      </c>
      <c r="N2483">
        <v>1</v>
      </c>
      <c r="O2483" t="str">
        <f t="shared" si="209"/>
        <v>47</v>
      </c>
      <c r="P2483">
        <v>47</v>
      </c>
      <c r="R2483" t="s">
        <v>1269</v>
      </c>
      <c r="S2483">
        <v>0.5</v>
      </c>
      <c r="T2483">
        <v>0.30270000000000002</v>
      </c>
      <c r="U2483">
        <f t="shared" si="210"/>
        <v>0</v>
      </c>
      <c r="V2483" t="str">
        <f t="shared" si="207"/>
        <v>Elementary Nurse</v>
      </c>
      <c r="W2483" t="str">
        <f t="shared" si="208"/>
        <v>Nurse</v>
      </c>
    </row>
    <row r="2484" spans="1:23" x14ac:dyDescent="0.25">
      <c r="A2484">
        <v>31025</v>
      </c>
      <c r="B2484" t="s">
        <v>1302</v>
      </c>
      <c r="C2484">
        <v>3</v>
      </c>
      <c r="D2484" t="s">
        <v>1264</v>
      </c>
      <c r="E2484">
        <v>100142</v>
      </c>
      <c r="F2484">
        <v>31025</v>
      </c>
      <c r="G2484" t="str">
        <f t="shared" si="206"/>
        <v>31025</v>
      </c>
      <c r="H2484" t="s">
        <v>513</v>
      </c>
      <c r="I2484" t="s">
        <v>1265</v>
      </c>
      <c r="J2484" t="s">
        <v>1276</v>
      </c>
      <c r="K2484" t="s">
        <v>1277</v>
      </c>
      <c r="L2484" t="s">
        <v>1302</v>
      </c>
      <c r="M2484" t="s">
        <v>1336</v>
      </c>
      <c r="N2484">
        <v>21</v>
      </c>
      <c r="O2484" t="str">
        <f t="shared" si="209"/>
        <v>48</v>
      </c>
      <c r="P2484">
        <v>48</v>
      </c>
      <c r="R2484" t="s">
        <v>1269</v>
      </c>
      <c r="S2484">
        <v>3</v>
      </c>
      <c r="T2484">
        <v>0.30270000000000002</v>
      </c>
      <c r="U2484">
        <f t="shared" si="210"/>
        <v>0.90800000000000003</v>
      </c>
      <c r="V2484" t="str">
        <f t="shared" si="207"/>
        <v>Elementary Physical Therapist</v>
      </c>
      <c r="W2484" t="str">
        <f t="shared" si="208"/>
        <v>Physical Therapist</v>
      </c>
    </row>
    <row r="2485" spans="1:23" x14ac:dyDescent="0.25">
      <c r="A2485">
        <v>31063</v>
      </c>
      <c r="B2485" t="s">
        <v>1315</v>
      </c>
      <c r="C2485">
        <v>0.127</v>
      </c>
      <c r="D2485" t="s">
        <v>1264</v>
      </c>
      <c r="E2485">
        <v>100110</v>
      </c>
      <c r="F2485">
        <v>31063</v>
      </c>
      <c r="G2485" t="str">
        <f t="shared" si="206"/>
        <v>31063</v>
      </c>
      <c r="H2485" t="s">
        <v>514</v>
      </c>
      <c r="I2485" t="s">
        <v>1265</v>
      </c>
      <c r="J2485" t="s">
        <v>1276</v>
      </c>
      <c r="K2485" t="s">
        <v>1277</v>
      </c>
      <c r="L2485" t="s">
        <v>1315</v>
      </c>
      <c r="M2485" t="s">
        <v>1375</v>
      </c>
      <c r="N2485">
        <v>1</v>
      </c>
      <c r="O2485" t="str">
        <f t="shared" si="209"/>
        <v>26</v>
      </c>
      <c r="Q2485">
        <v>26</v>
      </c>
      <c r="R2485" t="s">
        <v>1269</v>
      </c>
      <c r="S2485">
        <v>0.127</v>
      </c>
      <c r="T2485">
        <v>0.08</v>
      </c>
      <c r="U2485">
        <f t="shared" si="210"/>
        <v>0</v>
      </c>
      <c r="V2485" t="str">
        <f t="shared" si="207"/>
        <v>Elementary Health/
Related Services</v>
      </c>
      <c r="W2485" t="str">
        <f t="shared" si="208"/>
        <v>Health/
Related Services</v>
      </c>
    </row>
    <row r="2486" spans="1:23" x14ac:dyDescent="0.25">
      <c r="A2486">
        <v>31063</v>
      </c>
      <c r="B2486" t="s">
        <v>1291</v>
      </c>
      <c r="C2486">
        <v>1.2999999999999999E-2</v>
      </c>
      <c r="D2486" t="s">
        <v>1264</v>
      </c>
      <c r="E2486">
        <v>100110</v>
      </c>
      <c r="F2486">
        <v>31063</v>
      </c>
      <c r="G2486" t="str">
        <f t="shared" si="206"/>
        <v>31063</v>
      </c>
      <c r="H2486" t="s">
        <v>514</v>
      </c>
      <c r="I2486" t="s">
        <v>1265</v>
      </c>
      <c r="J2486" t="s">
        <v>1266</v>
      </c>
      <c r="K2486" t="s">
        <v>1267</v>
      </c>
      <c r="L2486" t="s">
        <v>1291</v>
      </c>
      <c r="M2486" t="s">
        <v>1292</v>
      </c>
      <c r="N2486">
        <v>1</v>
      </c>
      <c r="O2486" t="str">
        <f t="shared" si="209"/>
        <v>26</v>
      </c>
      <c r="Q2486">
        <v>26</v>
      </c>
      <c r="R2486" t="s">
        <v>1269</v>
      </c>
      <c r="S2486">
        <v>1.2999999999999999E-2</v>
      </c>
      <c r="T2486">
        <v>0.08</v>
      </c>
      <c r="U2486">
        <f t="shared" si="210"/>
        <v>0</v>
      </c>
      <c r="V2486" t="str">
        <f t="shared" si="207"/>
        <v>Middle Health/
Related Services</v>
      </c>
      <c r="W2486" t="str">
        <f t="shared" si="208"/>
        <v>Health/
Related Services</v>
      </c>
    </row>
    <row r="2487" spans="1:23" x14ac:dyDescent="0.25">
      <c r="A2487">
        <v>31103</v>
      </c>
      <c r="B2487" t="s">
        <v>1297</v>
      </c>
      <c r="C2487">
        <v>0.248</v>
      </c>
      <c r="D2487" t="s">
        <v>1264</v>
      </c>
      <c r="E2487">
        <v>100150</v>
      </c>
      <c r="F2487">
        <v>31103</v>
      </c>
      <c r="G2487" t="str">
        <f t="shared" si="206"/>
        <v>31103</v>
      </c>
      <c r="H2487" t="s">
        <v>515</v>
      </c>
      <c r="I2487" t="s">
        <v>1265</v>
      </c>
      <c r="J2487" t="s">
        <v>1276</v>
      </c>
      <c r="K2487" t="s">
        <v>1277</v>
      </c>
      <c r="L2487" t="s">
        <v>1297</v>
      </c>
      <c r="M2487" t="s">
        <v>1381</v>
      </c>
      <c r="N2487">
        <v>1</v>
      </c>
      <c r="O2487" t="str">
        <f t="shared" si="209"/>
        <v>24</v>
      </c>
      <c r="P2487">
        <v>96</v>
      </c>
      <c r="Q2487">
        <v>24</v>
      </c>
      <c r="R2487" t="s">
        <v>1269</v>
      </c>
      <c r="S2487">
        <v>0.248</v>
      </c>
      <c r="T2487">
        <v>0.2051</v>
      </c>
      <c r="U2487">
        <f t="shared" si="210"/>
        <v>0</v>
      </c>
      <c r="V2487" t="str">
        <f t="shared" si="207"/>
        <v>Elementary Family Engagement Coordinator</v>
      </c>
      <c r="W2487" t="str">
        <f t="shared" si="208"/>
        <v>Family Engagement Coordinator</v>
      </c>
    </row>
    <row r="2488" spans="1:23" x14ac:dyDescent="0.25">
      <c r="A2488">
        <v>31103</v>
      </c>
      <c r="B2488" t="s">
        <v>1286</v>
      </c>
      <c r="C2488">
        <v>0.78</v>
      </c>
      <c r="D2488" t="s">
        <v>1264</v>
      </c>
      <c r="E2488">
        <v>100150</v>
      </c>
      <c r="F2488">
        <v>31103</v>
      </c>
      <c r="G2488" t="str">
        <f t="shared" si="206"/>
        <v>31103</v>
      </c>
      <c r="H2488" t="s">
        <v>515</v>
      </c>
      <c r="I2488" t="s">
        <v>1265</v>
      </c>
      <c r="J2488" t="s">
        <v>1271</v>
      </c>
      <c r="K2488" t="s">
        <v>1272</v>
      </c>
      <c r="L2488" t="s">
        <v>1286</v>
      </c>
      <c r="M2488" t="s">
        <v>1287</v>
      </c>
      <c r="N2488">
        <v>1</v>
      </c>
      <c r="O2488" t="str">
        <f t="shared" si="209"/>
        <v>24</v>
      </c>
      <c r="P2488">
        <v>96</v>
      </c>
      <c r="Q2488">
        <v>24</v>
      </c>
      <c r="R2488" t="s">
        <v>1269</v>
      </c>
      <c r="S2488">
        <v>0.78</v>
      </c>
      <c r="T2488">
        <v>0.2051</v>
      </c>
      <c r="U2488">
        <f t="shared" si="210"/>
        <v>0</v>
      </c>
      <c r="V2488" t="str">
        <f t="shared" si="207"/>
        <v>High Family Engagement Coordinator</v>
      </c>
      <c r="W2488" t="str">
        <f t="shared" si="208"/>
        <v>Family Engagement Coordinator</v>
      </c>
    </row>
    <row r="2489" spans="1:23" x14ac:dyDescent="0.25">
      <c r="A2489">
        <v>31103</v>
      </c>
      <c r="B2489" t="s">
        <v>1284</v>
      </c>
      <c r="C2489">
        <v>0.52900000000000003</v>
      </c>
      <c r="D2489" t="s">
        <v>1264</v>
      </c>
      <c r="E2489">
        <v>100150</v>
      </c>
      <c r="F2489">
        <v>31103</v>
      </c>
      <c r="G2489" t="str">
        <f t="shared" si="206"/>
        <v>31103</v>
      </c>
      <c r="H2489" t="s">
        <v>515</v>
      </c>
      <c r="I2489" t="s">
        <v>1265</v>
      </c>
      <c r="J2489" t="s">
        <v>1266</v>
      </c>
      <c r="K2489" t="s">
        <v>1267</v>
      </c>
      <c r="L2489" t="s">
        <v>1284</v>
      </c>
      <c r="M2489" t="s">
        <v>1285</v>
      </c>
      <c r="N2489">
        <v>1</v>
      </c>
      <c r="O2489" t="str">
        <f t="shared" si="209"/>
        <v>24</v>
      </c>
      <c r="P2489">
        <v>96</v>
      </c>
      <c r="Q2489">
        <v>24</v>
      </c>
      <c r="R2489" t="s">
        <v>1269</v>
      </c>
      <c r="S2489">
        <v>0.52900000000000003</v>
      </c>
      <c r="T2489">
        <v>0.2051</v>
      </c>
      <c r="U2489">
        <f t="shared" si="210"/>
        <v>0</v>
      </c>
      <c r="V2489" t="str">
        <f t="shared" si="207"/>
        <v>Middle Family Engagement Coordinator</v>
      </c>
      <c r="W2489" t="str">
        <f t="shared" si="208"/>
        <v>Family Engagement Coordinator</v>
      </c>
    </row>
    <row r="2490" spans="1:23" x14ac:dyDescent="0.25">
      <c r="A2490">
        <v>31103</v>
      </c>
      <c r="B2490" t="s">
        <v>1308</v>
      </c>
      <c r="C2490">
        <v>0.75900000000000001</v>
      </c>
      <c r="D2490" t="s">
        <v>1264</v>
      </c>
      <c r="E2490">
        <v>100150</v>
      </c>
      <c r="F2490">
        <v>31103</v>
      </c>
      <c r="G2490" t="str">
        <f t="shared" si="206"/>
        <v>31103</v>
      </c>
      <c r="H2490" t="s">
        <v>515</v>
      </c>
      <c r="I2490" t="s">
        <v>1265</v>
      </c>
      <c r="J2490" t="s">
        <v>1276</v>
      </c>
      <c r="K2490" t="s">
        <v>1277</v>
      </c>
      <c r="L2490" t="s">
        <v>1308</v>
      </c>
      <c r="M2490" t="s">
        <v>1389</v>
      </c>
      <c r="N2490">
        <v>1</v>
      </c>
      <c r="O2490" t="str">
        <f t="shared" si="209"/>
        <v>25</v>
      </c>
      <c r="Q2490">
        <v>25</v>
      </c>
      <c r="R2490" t="s">
        <v>1269</v>
      </c>
      <c r="S2490">
        <v>0.75900000000000001</v>
      </c>
      <c r="T2490">
        <v>0.2051</v>
      </c>
      <c r="U2490">
        <f t="shared" si="210"/>
        <v>0</v>
      </c>
      <c r="V2490" t="str">
        <f t="shared" si="207"/>
        <v>Elementary Pupil Management</v>
      </c>
      <c r="W2490" t="str">
        <f t="shared" si="208"/>
        <v>Pupil Management</v>
      </c>
    </row>
    <row r="2491" spans="1:23" x14ac:dyDescent="0.25">
      <c r="A2491">
        <v>31103</v>
      </c>
      <c r="B2491" t="s">
        <v>1299</v>
      </c>
      <c r="C2491">
        <v>4.3739999999999997</v>
      </c>
      <c r="D2491" t="s">
        <v>1264</v>
      </c>
      <c r="E2491">
        <v>100150</v>
      </c>
      <c r="F2491">
        <v>31103</v>
      </c>
      <c r="G2491" t="str">
        <f t="shared" si="206"/>
        <v>31103</v>
      </c>
      <c r="H2491" t="s">
        <v>515</v>
      </c>
      <c r="I2491" t="s">
        <v>1265</v>
      </c>
      <c r="J2491" t="s">
        <v>1271</v>
      </c>
      <c r="K2491" t="s">
        <v>1272</v>
      </c>
      <c r="L2491" t="s">
        <v>1299</v>
      </c>
      <c r="M2491" t="s">
        <v>1300</v>
      </c>
      <c r="N2491">
        <v>1</v>
      </c>
      <c r="O2491" t="str">
        <f t="shared" si="209"/>
        <v>25</v>
      </c>
      <c r="Q2491">
        <v>25</v>
      </c>
      <c r="R2491" t="s">
        <v>1269</v>
      </c>
      <c r="S2491">
        <v>4.3739999999999997</v>
      </c>
      <c r="T2491">
        <v>0.2051</v>
      </c>
      <c r="U2491">
        <f t="shared" si="210"/>
        <v>0</v>
      </c>
      <c r="V2491" t="str">
        <f t="shared" si="207"/>
        <v>High Pupil Management</v>
      </c>
      <c r="W2491" t="str">
        <f t="shared" si="208"/>
        <v>Pupil Management</v>
      </c>
    </row>
    <row r="2492" spans="1:23" x14ac:dyDescent="0.25">
      <c r="A2492">
        <v>31103</v>
      </c>
      <c r="B2492" t="s">
        <v>1363</v>
      </c>
      <c r="C2492">
        <v>3.2000000000000001E-2</v>
      </c>
      <c r="D2492" t="s">
        <v>1264</v>
      </c>
      <c r="E2492">
        <v>100150</v>
      </c>
      <c r="F2492">
        <v>31103</v>
      </c>
      <c r="G2492" t="str">
        <f t="shared" si="206"/>
        <v>31103</v>
      </c>
      <c r="H2492" t="s">
        <v>515</v>
      </c>
      <c r="I2492" t="s">
        <v>1265</v>
      </c>
      <c r="J2492" t="s">
        <v>1266</v>
      </c>
      <c r="K2492" t="s">
        <v>1267</v>
      </c>
      <c r="L2492" t="s">
        <v>1363</v>
      </c>
      <c r="M2492" t="s">
        <v>1386</v>
      </c>
      <c r="N2492">
        <v>1</v>
      </c>
      <c r="O2492" t="str">
        <f t="shared" si="209"/>
        <v>25</v>
      </c>
      <c r="Q2492">
        <v>25</v>
      </c>
      <c r="R2492" t="s">
        <v>1269</v>
      </c>
      <c r="S2492">
        <v>3.2000000000000001E-2</v>
      </c>
      <c r="T2492">
        <v>0.2051</v>
      </c>
      <c r="U2492">
        <f t="shared" si="210"/>
        <v>0</v>
      </c>
      <c r="V2492" t="str">
        <f t="shared" si="207"/>
        <v>Middle Pupil Management</v>
      </c>
      <c r="W2492" t="str">
        <f t="shared" si="208"/>
        <v>Pupil Management</v>
      </c>
    </row>
    <row r="2493" spans="1:23" x14ac:dyDescent="0.25">
      <c r="A2493">
        <v>31103</v>
      </c>
      <c r="B2493" t="s">
        <v>1315</v>
      </c>
      <c r="C2493">
        <v>2.7149999999999999</v>
      </c>
      <c r="D2493" t="s">
        <v>1264</v>
      </c>
      <c r="E2493">
        <v>100150</v>
      </c>
      <c r="F2493">
        <v>31103</v>
      </c>
      <c r="G2493" t="str">
        <f t="shared" si="206"/>
        <v>31103</v>
      </c>
      <c r="H2493" t="s">
        <v>515</v>
      </c>
      <c r="I2493" t="s">
        <v>1265</v>
      </c>
      <c r="J2493" t="s">
        <v>1276</v>
      </c>
      <c r="K2493" t="s">
        <v>1277</v>
      </c>
      <c r="L2493" t="s">
        <v>1315</v>
      </c>
      <c r="M2493" t="s">
        <v>1375</v>
      </c>
      <c r="N2493">
        <v>1</v>
      </c>
      <c r="O2493" t="str">
        <f t="shared" si="209"/>
        <v>26</v>
      </c>
      <c r="Q2493">
        <v>26</v>
      </c>
      <c r="R2493" t="s">
        <v>1269</v>
      </c>
      <c r="S2493">
        <v>2.7149999999999999</v>
      </c>
      <c r="T2493">
        <v>0.2051</v>
      </c>
      <c r="U2493">
        <f t="shared" si="210"/>
        <v>0</v>
      </c>
      <c r="V2493" t="str">
        <f t="shared" si="207"/>
        <v>Elementary Health/
Related Services</v>
      </c>
      <c r="W2493" t="str">
        <f t="shared" si="208"/>
        <v>Health/
Related Services</v>
      </c>
    </row>
    <row r="2494" spans="1:23" x14ac:dyDescent="0.25">
      <c r="A2494">
        <v>31103</v>
      </c>
      <c r="B2494" t="s">
        <v>1324</v>
      </c>
      <c r="C2494">
        <v>3.0009999999999999</v>
      </c>
      <c r="D2494" t="s">
        <v>1264</v>
      </c>
      <c r="E2494">
        <v>100150</v>
      </c>
      <c r="F2494">
        <v>31103</v>
      </c>
      <c r="G2494" t="str">
        <f t="shared" si="206"/>
        <v>31103</v>
      </c>
      <c r="H2494" t="s">
        <v>515</v>
      </c>
      <c r="I2494" t="s">
        <v>1265</v>
      </c>
      <c r="J2494" t="s">
        <v>1271</v>
      </c>
      <c r="K2494" t="s">
        <v>1272</v>
      </c>
      <c r="L2494" t="s">
        <v>1324</v>
      </c>
      <c r="M2494" t="s">
        <v>1325</v>
      </c>
      <c r="N2494">
        <v>21</v>
      </c>
      <c r="O2494" t="str">
        <f t="shared" si="209"/>
        <v>26</v>
      </c>
      <c r="Q2494">
        <v>26</v>
      </c>
      <c r="R2494" t="s">
        <v>1269</v>
      </c>
      <c r="S2494">
        <v>3.0009999999999999</v>
      </c>
      <c r="T2494">
        <v>0.2051</v>
      </c>
      <c r="U2494">
        <f t="shared" si="210"/>
        <v>0.61599999999999999</v>
      </c>
      <c r="V2494" t="str">
        <f t="shared" si="207"/>
        <v>High Health/
Related Services</v>
      </c>
      <c r="W2494" t="str">
        <f t="shared" si="208"/>
        <v>Health/
Related Services</v>
      </c>
    </row>
    <row r="2495" spans="1:23" x14ac:dyDescent="0.25">
      <c r="A2495">
        <v>31103</v>
      </c>
      <c r="B2495" t="s">
        <v>1295</v>
      </c>
      <c r="C2495">
        <v>2.2850000000000001</v>
      </c>
      <c r="D2495" t="s">
        <v>1264</v>
      </c>
      <c r="E2495">
        <v>100150</v>
      </c>
      <c r="F2495">
        <v>31103</v>
      </c>
      <c r="G2495" t="str">
        <f t="shared" si="206"/>
        <v>31103</v>
      </c>
      <c r="H2495" t="s">
        <v>515</v>
      </c>
      <c r="I2495" t="s">
        <v>1265</v>
      </c>
      <c r="J2495" t="s">
        <v>1271</v>
      </c>
      <c r="K2495" t="s">
        <v>1272</v>
      </c>
      <c r="L2495" t="s">
        <v>1295</v>
      </c>
      <c r="M2495" t="s">
        <v>1296</v>
      </c>
      <c r="N2495">
        <v>1</v>
      </c>
      <c r="O2495" t="str">
        <f t="shared" si="209"/>
        <v>26</v>
      </c>
      <c r="Q2495">
        <v>26</v>
      </c>
      <c r="R2495" t="s">
        <v>1269</v>
      </c>
      <c r="S2495">
        <v>2.2850000000000001</v>
      </c>
      <c r="T2495">
        <v>0.2051</v>
      </c>
      <c r="U2495">
        <f t="shared" si="210"/>
        <v>0</v>
      </c>
      <c r="V2495" t="str">
        <f t="shared" si="207"/>
        <v>High Health/
Related Services</v>
      </c>
      <c r="W2495" t="str">
        <f t="shared" si="208"/>
        <v>Health/
Related Services</v>
      </c>
    </row>
    <row r="2496" spans="1:23" x14ac:dyDescent="0.25">
      <c r="A2496">
        <v>31103</v>
      </c>
      <c r="B2496" t="s">
        <v>1401</v>
      </c>
      <c r="C2496">
        <v>2.226</v>
      </c>
      <c r="D2496" t="s">
        <v>1264</v>
      </c>
      <c r="E2496">
        <v>100150</v>
      </c>
      <c r="F2496">
        <v>31103</v>
      </c>
      <c r="G2496" t="str">
        <f t="shared" si="206"/>
        <v>31103</v>
      </c>
      <c r="H2496" t="s">
        <v>515</v>
      </c>
      <c r="I2496" t="s">
        <v>1265</v>
      </c>
      <c r="J2496" t="s">
        <v>1271</v>
      </c>
      <c r="K2496" t="s">
        <v>1272</v>
      </c>
      <c r="L2496" t="s">
        <v>1401</v>
      </c>
      <c r="M2496" t="s">
        <v>1422</v>
      </c>
      <c r="N2496">
        <v>1</v>
      </c>
      <c r="O2496" t="str">
        <f t="shared" si="209"/>
        <v>35</v>
      </c>
      <c r="Q2496">
        <v>35</v>
      </c>
      <c r="R2496" t="s">
        <v>1269</v>
      </c>
      <c r="S2496">
        <v>2.226</v>
      </c>
      <c r="T2496">
        <v>0.2051</v>
      </c>
      <c r="U2496">
        <f t="shared" si="210"/>
        <v>0</v>
      </c>
      <c r="V2496" t="str">
        <f t="shared" si="207"/>
        <v>High Pupil Safety</v>
      </c>
      <c r="W2496" t="str">
        <f t="shared" si="208"/>
        <v>Pupil Safety</v>
      </c>
    </row>
    <row r="2497" spans="1:23" x14ac:dyDescent="0.25">
      <c r="A2497">
        <v>31103</v>
      </c>
      <c r="B2497" t="s">
        <v>1275</v>
      </c>
      <c r="C2497">
        <v>5.9569999999999999</v>
      </c>
      <c r="D2497" t="s">
        <v>1264</v>
      </c>
      <c r="E2497">
        <v>100150</v>
      </c>
      <c r="F2497">
        <v>31103</v>
      </c>
      <c r="G2497" t="str">
        <f t="shared" si="206"/>
        <v>31103</v>
      </c>
      <c r="H2497" t="s">
        <v>515</v>
      </c>
      <c r="I2497" t="s">
        <v>1265</v>
      </c>
      <c r="J2497" t="s">
        <v>1276</v>
      </c>
      <c r="K2497" t="s">
        <v>1277</v>
      </c>
      <c r="L2497" t="s">
        <v>1275</v>
      </c>
      <c r="M2497" t="s">
        <v>1278</v>
      </c>
      <c r="N2497">
        <v>1</v>
      </c>
      <c r="O2497" t="str">
        <f t="shared" si="209"/>
        <v>42</v>
      </c>
      <c r="P2497">
        <v>42</v>
      </c>
      <c r="R2497" t="s">
        <v>1269</v>
      </c>
      <c r="S2497">
        <v>5.9569999999999999</v>
      </c>
      <c r="T2497">
        <v>0.2051</v>
      </c>
      <c r="U2497">
        <f t="shared" si="210"/>
        <v>0</v>
      </c>
      <c r="V2497" t="str">
        <f t="shared" si="207"/>
        <v>Elementary Counselor</v>
      </c>
      <c r="W2497" t="str">
        <f t="shared" si="208"/>
        <v>Counselor</v>
      </c>
    </row>
    <row r="2498" spans="1:23" x14ac:dyDescent="0.25">
      <c r="A2498">
        <v>31103</v>
      </c>
      <c r="B2498" t="s">
        <v>1270</v>
      </c>
      <c r="C2498">
        <v>3.5169999999999999</v>
      </c>
      <c r="D2498" t="s">
        <v>1264</v>
      </c>
      <c r="E2498">
        <v>100150</v>
      </c>
      <c r="F2498">
        <v>31103</v>
      </c>
      <c r="G2498" t="str">
        <f t="shared" ref="G2498:G2561" si="211">TEXT(F2498,"00000")</f>
        <v>31103</v>
      </c>
      <c r="H2498" t="s">
        <v>515</v>
      </c>
      <c r="I2498" t="s">
        <v>1265</v>
      </c>
      <c r="J2498" t="s">
        <v>1271</v>
      </c>
      <c r="K2498" t="s">
        <v>1272</v>
      </c>
      <c r="L2498" t="s">
        <v>1270</v>
      </c>
      <c r="M2498" t="s">
        <v>1273</v>
      </c>
      <c r="N2498">
        <v>1</v>
      </c>
      <c r="O2498" t="str">
        <f t="shared" si="209"/>
        <v>42</v>
      </c>
      <c r="P2498">
        <v>42</v>
      </c>
      <c r="R2498" t="s">
        <v>1269</v>
      </c>
      <c r="S2498">
        <v>3.5169999999999999</v>
      </c>
      <c r="T2498">
        <v>0.2051</v>
      </c>
      <c r="U2498">
        <f t="shared" si="210"/>
        <v>0</v>
      </c>
      <c r="V2498" t="str">
        <f t="shared" ref="V2498:V2561" si="212">_xlfn.XLOOKUP(L2498,$BV:$BV,$BT:$BT,,0)</f>
        <v>High Counselor</v>
      </c>
      <c r="W2498" t="str">
        <f t="shared" ref="W2498:W2561" si="213">_xlfn.TEXTAFTER(V2498," ")</f>
        <v>Counselor</v>
      </c>
    </row>
    <row r="2499" spans="1:23" x14ac:dyDescent="0.25">
      <c r="A2499">
        <v>31103</v>
      </c>
      <c r="B2499" t="s">
        <v>1263</v>
      </c>
      <c r="C2499">
        <v>1.7430000000000001</v>
      </c>
      <c r="D2499" t="s">
        <v>1264</v>
      </c>
      <c r="E2499">
        <v>100150</v>
      </c>
      <c r="F2499">
        <v>31103</v>
      </c>
      <c r="G2499" t="str">
        <f t="shared" si="211"/>
        <v>31103</v>
      </c>
      <c r="H2499" t="s">
        <v>515</v>
      </c>
      <c r="I2499" t="s">
        <v>1265</v>
      </c>
      <c r="J2499" t="s">
        <v>1266</v>
      </c>
      <c r="K2499" t="s">
        <v>1267</v>
      </c>
      <c r="L2499" t="s">
        <v>1263</v>
      </c>
      <c r="M2499" t="s">
        <v>1268</v>
      </c>
      <c r="N2499">
        <v>1</v>
      </c>
      <c r="O2499" t="str">
        <f t="shared" ref="O2499:O2562" si="214">MID(L2499,3,2)</f>
        <v>42</v>
      </c>
      <c r="P2499">
        <v>42</v>
      </c>
      <c r="R2499" t="s">
        <v>1269</v>
      </c>
      <c r="S2499">
        <v>1.7430000000000001</v>
      </c>
      <c r="T2499">
        <v>0.2051</v>
      </c>
      <c r="U2499">
        <f t="shared" ref="U2499:U2562" si="215">IF(N2499=21,ROUND(T2499*S2499,3),0)</f>
        <v>0</v>
      </c>
      <c r="V2499" t="str">
        <f t="shared" si="212"/>
        <v>Middle Counselor</v>
      </c>
      <c r="W2499" t="str">
        <f t="shared" si="213"/>
        <v>Counselor</v>
      </c>
    </row>
    <row r="2500" spans="1:23" x14ac:dyDescent="0.25">
      <c r="A2500">
        <v>31103</v>
      </c>
      <c r="B2500" t="s">
        <v>1289</v>
      </c>
      <c r="C2500">
        <v>2.6019999999999999</v>
      </c>
      <c r="D2500" t="s">
        <v>1264</v>
      </c>
      <c r="E2500">
        <v>100150</v>
      </c>
      <c r="F2500">
        <v>31103</v>
      </c>
      <c r="G2500" t="str">
        <f t="shared" si="211"/>
        <v>31103</v>
      </c>
      <c r="H2500" t="s">
        <v>515</v>
      </c>
      <c r="I2500" t="s">
        <v>1265</v>
      </c>
      <c r="J2500" t="s">
        <v>1276</v>
      </c>
      <c r="K2500" t="s">
        <v>1277</v>
      </c>
      <c r="L2500" t="s">
        <v>1289</v>
      </c>
      <c r="M2500" t="s">
        <v>1307</v>
      </c>
      <c r="N2500">
        <v>21</v>
      </c>
      <c r="O2500" t="str">
        <f t="shared" si="214"/>
        <v>43</v>
      </c>
      <c r="P2500">
        <v>43</v>
      </c>
      <c r="R2500" t="s">
        <v>1269</v>
      </c>
      <c r="S2500">
        <v>2.6019999999999999</v>
      </c>
      <c r="T2500">
        <v>0.2051</v>
      </c>
      <c r="U2500">
        <f t="shared" si="215"/>
        <v>0.53400000000000003</v>
      </c>
      <c r="V2500" t="str">
        <f t="shared" si="212"/>
        <v>Elementary Occupational Therapist</v>
      </c>
      <c r="W2500" t="str">
        <f t="shared" si="213"/>
        <v>Occupational Therapist</v>
      </c>
    </row>
    <row r="2501" spans="1:23" x14ac:dyDescent="0.25">
      <c r="A2501">
        <v>31103</v>
      </c>
      <c r="B2501" t="s">
        <v>1387</v>
      </c>
      <c r="C2501">
        <v>0.251</v>
      </c>
      <c r="D2501" t="s">
        <v>1264</v>
      </c>
      <c r="E2501">
        <v>100150</v>
      </c>
      <c r="F2501">
        <v>31103</v>
      </c>
      <c r="G2501" t="str">
        <f t="shared" si="211"/>
        <v>31103</v>
      </c>
      <c r="H2501" t="s">
        <v>515</v>
      </c>
      <c r="I2501" t="s">
        <v>1265</v>
      </c>
      <c r="J2501" t="s">
        <v>1271</v>
      </c>
      <c r="K2501" t="s">
        <v>1272</v>
      </c>
      <c r="L2501" t="s">
        <v>1387</v>
      </c>
      <c r="M2501" t="s">
        <v>1406</v>
      </c>
      <c r="N2501">
        <v>21</v>
      </c>
      <c r="O2501" t="str">
        <f t="shared" si="214"/>
        <v>43</v>
      </c>
      <c r="P2501">
        <v>43</v>
      </c>
      <c r="R2501" t="s">
        <v>1269</v>
      </c>
      <c r="S2501">
        <v>0.251</v>
      </c>
      <c r="T2501">
        <v>0.2051</v>
      </c>
      <c r="U2501">
        <f t="shared" si="215"/>
        <v>5.0999999999999997E-2</v>
      </c>
      <c r="V2501" t="str">
        <f t="shared" si="212"/>
        <v>High Occupational Therapist</v>
      </c>
      <c r="W2501" t="str">
        <f t="shared" si="213"/>
        <v>Occupational Therapist</v>
      </c>
    </row>
    <row r="2502" spans="1:23" x14ac:dyDescent="0.25">
      <c r="A2502">
        <v>31103</v>
      </c>
      <c r="B2502" t="s">
        <v>1303</v>
      </c>
      <c r="C2502">
        <v>0.505</v>
      </c>
      <c r="D2502" t="s">
        <v>1264</v>
      </c>
      <c r="E2502">
        <v>100150</v>
      </c>
      <c r="F2502">
        <v>31103</v>
      </c>
      <c r="G2502" t="str">
        <f t="shared" si="211"/>
        <v>31103</v>
      </c>
      <c r="H2502" t="s">
        <v>515</v>
      </c>
      <c r="I2502" t="s">
        <v>1265</v>
      </c>
      <c r="J2502" t="s">
        <v>1266</v>
      </c>
      <c r="K2502" t="s">
        <v>1267</v>
      </c>
      <c r="L2502" t="s">
        <v>1303</v>
      </c>
      <c r="M2502" t="s">
        <v>1304</v>
      </c>
      <c r="N2502">
        <v>21</v>
      </c>
      <c r="O2502" t="str">
        <f t="shared" si="214"/>
        <v>43</v>
      </c>
      <c r="P2502">
        <v>43</v>
      </c>
      <c r="R2502" t="s">
        <v>1269</v>
      </c>
      <c r="S2502">
        <v>0.505</v>
      </c>
      <c r="T2502">
        <v>0.2051</v>
      </c>
      <c r="U2502">
        <f t="shared" si="215"/>
        <v>0.104</v>
      </c>
      <c r="V2502" t="str">
        <f t="shared" si="212"/>
        <v>Middle Occupational Therapist</v>
      </c>
      <c r="W2502" t="str">
        <f t="shared" si="213"/>
        <v>Occupational Therapist</v>
      </c>
    </row>
    <row r="2503" spans="1:23" x14ac:dyDescent="0.25">
      <c r="A2503">
        <v>31103</v>
      </c>
      <c r="B2503" t="s">
        <v>1329</v>
      </c>
      <c r="C2503">
        <v>3.0000000000000001E-3</v>
      </c>
      <c r="D2503" t="s">
        <v>1264</v>
      </c>
      <c r="E2503">
        <v>100150</v>
      </c>
      <c r="F2503">
        <v>31103</v>
      </c>
      <c r="G2503" t="str">
        <f t="shared" si="211"/>
        <v>31103</v>
      </c>
      <c r="H2503" t="s">
        <v>515</v>
      </c>
      <c r="I2503" t="s">
        <v>1265</v>
      </c>
      <c r="J2503" t="s">
        <v>1276</v>
      </c>
      <c r="K2503" t="s">
        <v>1277</v>
      </c>
      <c r="L2503" t="s">
        <v>1329</v>
      </c>
      <c r="M2503" t="s">
        <v>1418</v>
      </c>
      <c r="N2503">
        <v>21</v>
      </c>
      <c r="O2503" t="str">
        <f t="shared" si="214"/>
        <v>44</v>
      </c>
      <c r="P2503">
        <v>44</v>
      </c>
      <c r="R2503" t="s">
        <v>1269</v>
      </c>
      <c r="S2503">
        <v>3.0000000000000001E-3</v>
      </c>
      <c r="T2503">
        <v>0.2051</v>
      </c>
      <c r="U2503">
        <f t="shared" si="215"/>
        <v>1E-3</v>
      </c>
      <c r="V2503" t="str">
        <f t="shared" si="212"/>
        <v>Elementary Social Worker</v>
      </c>
      <c r="W2503" t="str">
        <f t="shared" si="213"/>
        <v>Social Worker</v>
      </c>
    </row>
    <row r="2504" spans="1:23" x14ac:dyDescent="0.25">
      <c r="A2504">
        <v>31103</v>
      </c>
      <c r="B2504" t="s">
        <v>1294</v>
      </c>
      <c r="C2504">
        <v>3.6720000000000002</v>
      </c>
      <c r="D2504" t="s">
        <v>1264</v>
      </c>
      <c r="E2504">
        <v>100150</v>
      </c>
      <c r="F2504">
        <v>31103</v>
      </c>
      <c r="G2504" t="str">
        <f t="shared" si="211"/>
        <v>31103</v>
      </c>
      <c r="H2504" t="s">
        <v>515</v>
      </c>
      <c r="I2504" t="s">
        <v>1265</v>
      </c>
      <c r="J2504" t="s">
        <v>1276</v>
      </c>
      <c r="K2504" t="s">
        <v>1277</v>
      </c>
      <c r="L2504" t="s">
        <v>1294</v>
      </c>
      <c r="M2504" t="s">
        <v>1354</v>
      </c>
      <c r="N2504">
        <v>21</v>
      </c>
      <c r="O2504" t="str">
        <f t="shared" si="214"/>
        <v>45</v>
      </c>
      <c r="P2504">
        <v>45</v>
      </c>
      <c r="R2504" t="s">
        <v>1269</v>
      </c>
      <c r="S2504">
        <v>3.6720000000000002</v>
      </c>
      <c r="T2504">
        <v>0.2051</v>
      </c>
      <c r="U2504">
        <f t="shared" si="215"/>
        <v>0.753</v>
      </c>
      <c r="V2504" t="str">
        <f t="shared" si="212"/>
        <v>Elementary Speech, Language Pathway/
Audio</v>
      </c>
      <c r="W2504" t="str">
        <f t="shared" si="213"/>
        <v>Speech, Language Pathway/
Audio</v>
      </c>
    </row>
    <row r="2505" spans="1:23" x14ac:dyDescent="0.25">
      <c r="A2505">
        <v>31103</v>
      </c>
      <c r="B2505" t="s">
        <v>1326</v>
      </c>
      <c r="C2505">
        <v>1.3009999999999999</v>
      </c>
      <c r="D2505" t="s">
        <v>1264</v>
      </c>
      <c r="E2505">
        <v>100150</v>
      </c>
      <c r="F2505">
        <v>31103</v>
      </c>
      <c r="G2505" t="str">
        <f t="shared" si="211"/>
        <v>31103</v>
      </c>
      <c r="H2505" t="s">
        <v>515</v>
      </c>
      <c r="I2505" t="s">
        <v>1265</v>
      </c>
      <c r="J2505" t="s">
        <v>1271</v>
      </c>
      <c r="K2505" t="s">
        <v>1272</v>
      </c>
      <c r="L2505" t="s">
        <v>1326</v>
      </c>
      <c r="M2505" t="s">
        <v>1353</v>
      </c>
      <c r="N2505">
        <v>21</v>
      </c>
      <c r="O2505" t="str">
        <f t="shared" si="214"/>
        <v>45</v>
      </c>
      <c r="P2505">
        <v>45</v>
      </c>
      <c r="R2505" t="s">
        <v>1269</v>
      </c>
      <c r="S2505">
        <v>1.3009999999999999</v>
      </c>
      <c r="T2505">
        <v>0.2051</v>
      </c>
      <c r="U2505">
        <f t="shared" si="215"/>
        <v>0.26700000000000002</v>
      </c>
      <c r="V2505" t="str">
        <f t="shared" si="212"/>
        <v>High Speech, Language Pathway/
Audio</v>
      </c>
      <c r="W2505" t="str">
        <f t="shared" si="213"/>
        <v>Speech, Language Pathway/
Audio</v>
      </c>
    </row>
    <row r="2506" spans="1:23" x14ac:dyDescent="0.25">
      <c r="A2506">
        <v>31103</v>
      </c>
      <c r="B2506" t="s">
        <v>1312</v>
      </c>
      <c r="C2506">
        <v>0.317</v>
      </c>
      <c r="D2506" t="s">
        <v>1264</v>
      </c>
      <c r="E2506">
        <v>100150</v>
      </c>
      <c r="F2506">
        <v>31103</v>
      </c>
      <c r="G2506" t="str">
        <f t="shared" si="211"/>
        <v>31103</v>
      </c>
      <c r="H2506" t="s">
        <v>515</v>
      </c>
      <c r="I2506" t="s">
        <v>1265</v>
      </c>
      <c r="J2506" t="s">
        <v>1266</v>
      </c>
      <c r="K2506" t="s">
        <v>1267</v>
      </c>
      <c r="L2506" t="s">
        <v>1312</v>
      </c>
      <c r="M2506" t="s">
        <v>1351</v>
      </c>
      <c r="N2506">
        <v>21</v>
      </c>
      <c r="O2506" t="str">
        <f t="shared" si="214"/>
        <v>45</v>
      </c>
      <c r="P2506">
        <v>45</v>
      </c>
      <c r="R2506" t="s">
        <v>1269</v>
      </c>
      <c r="S2506">
        <v>0.317</v>
      </c>
      <c r="T2506">
        <v>0.2051</v>
      </c>
      <c r="U2506">
        <f t="shared" si="215"/>
        <v>6.5000000000000002E-2</v>
      </c>
      <c r="V2506" t="str">
        <f t="shared" si="212"/>
        <v>Middle Speech, Language Pathway/
Audio</v>
      </c>
      <c r="W2506" t="str">
        <f t="shared" si="213"/>
        <v>Speech, Language Pathway/
Audio</v>
      </c>
    </row>
    <row r="2507" spans="1:23" x14ac:dyDescent="0.25">
      <c r="A2507">
        <v>31103</v>
      </c>
      <c r="B2507" t="s">
        <v>1298</v>
      </c>
      <c r="C2507">
        <v>2.359</v>
      </c>
      <c r="D2507" t="s">
        <v>1264</v>
      </c>
      <c r="E2507">
        <v>100150</v>
      </c>
      <c r="F2507">
        <v>31103</v>
      </c>
      <c r="G2507" t="str">
        <f t="shared" si="211"/>
        <v>31103</v>
      </c>
      <c r="H2507" t="s">
        <v>515</v>
      </c>
      <c r="I2507" t="s">
        <v>1265</v>
      </c>
      <c r="J2507" t="s">
        <v>1276</v>
      </c>
      <c r="K2507" t="s">
        <v>1277</v>
      </c>
      <c r="L2507" t="s">
        <v>1298</v>
      </c>
      <c r="M2507" t="s">
        <v>1349</v>
      </c>
      <c r="N2507">
        <v>21</v>
      </c>
      <c r="O2507" t="str">
        <f t="shared" si="214"/>
        <v>46</v>
      </c>
      <c r="P2507">
        <v>46</v>
      </c>
      <c r="R2507" t="s">
        <v>1269</v>
      </c>
      <c r="S2507">
        <v>2.359</v>
      </c>
      <c r="T2507">
        <v>0.2051</v>
      </c>
      <c r="U2507">
        <f t="shared" si="215"/>
        <v>0.48399999999999999</v>
      </c>
      <c r="V2507" t="str">
        <f t="shared" si="212"/>
        <v>Elementary Psychologist</v>
      </c>
      <c r="W2507" t="str">
        <f t="shared" si="213"/>
        <v>Psychologist</v>
      </c>
    </row>
    <row r="2508" spans="1:23" x14ac:dyDescent="0.25">
      <c r="A2508">
        <v>31103</v>
      </c>
      <c r="B2508" t="s">
        <v>1345</v>
      </c>
      <c r="C2508">
        <v>0.63500000000000001</v>
      </c>
      <c r="D2508" t="s">
        <v>1264</v>
      </c>
      <c r="E2508">
        <v>100150</v>
      </c>
      <c r="F2508">
        <v>31103</v>
      </c>
      <c r="G2508" t="str">
        <f t="shared" si="211"/>
        <v>31103</v>
      </c>
      <c r="H2508" t="s">
        <v>515</v>
      </c>
      <c r="I2508" t="s">
        <v>1265</v>
      </c>
      <c r="J2508" t="s">
        <v>1266</v>
      </c>
      <c r="K2508" t="s">
        <v>1267</v>
      </c>
      <c r="L2508" t="s">
        <v>1345</v>
      </c>
      <c r="M2508" t="s">
        <v>1346</v>
      </c>
      <c r="N2508">
        <v>21</v>
      </c>
      <c r="O2508" t="str">
        <f t="shared" si="214"/>
        <v>46</v>
      </c>
      <c r="P2508">
        <v>46</v>
      </c>
      <c r="R2508" t="s">
        <v>1269</v>
      </c>
      <c r="S2508">
        <v>0.63500000000000001</v>
      </c>
      <c r="T2508">
        <v>0.2051</v>
      </c>
      <c r="U2508">
        <f t="shared" si="215"/>
        <v>0.13</v>
      </c>
      <c r="V2508" t="str">
        <f t="shared" si="212"/>
        <v>Middle Psychologist</v>
      </c>
      <c r="W2508" t="str">
        <f t="shared" si="213"/>
        <v>Psychologist</v>
      </c>
    </row>
    <row r="2509" spans="1:23" x14ac:dyDescent="0.25">
      <c r="A2509">
        <v>31103</v>
      </c>
      <c r="B2509" t="s">
        <v>1335</v>
      </c>
      <c r="C2509">
        <v>2.5990000000000002</v>
      </c>
      <c r="D2509" t="s">
        <v>1264</v>
      </c>
      <c r="E2509">
        <v>100150</v>
      </c>
      <c r="F2509">
        <v>31103</v>
      </c>
      <c r="G2509" t="str">
        <f t="shared" si="211"/>
        <v>31103</v>
      </c>
      <c r="H2509" t="s">
        <v>515</v>
      </c>
      <c r="I2509" t="s">
        <v>1265</v>
      </c>
      <c r="J2509" t="s">
        <v>1276</v>
      </c>
      <c r="K2509" t="s">
        <v>1277</v>
      </c>
      <c r="L2509" t="s">
        <v>1335</v>
      </c>
      <c r="M2509" t="s">
        <v>1344</v>
      </c>
      <c r="N2509">
        <v>1</v>
      </c>
      <c r="O2509" t="str">
        <f t="shared" si="214"/>
        <v>47</v>
      </c>
      <c r="P2509">
        <v>47</v>
      </c>
      <c r="R2509" t="s">
        <v>1269</v>
      </c>
      <c r="S2509">
        <v>2.5990000000000002</v>
      </c>
      <c r="T2509">
        <v>0.2051</v>
      </c>
      <c r="U2509">
        <f t="shared" si="215"/>
        <v>0</v>
      </c>
      <c r="V2509" t="str">
        <f t="shared" si="212"/>
        <v>Elementary Nurse</v>
      </c>
      <c r="W2509" t="str">
        <f t="shared" si="213"/>
        <v>Nurse</v>
      </c>
    </row>
    <row r="2510" spans="1:23" x14ac:dyDescent="0.25">
      <c r="A2510">
        <v>31103</v>
      </c>
      <c r="B2510" t="s">
        <v>1341</v>
      </c>
      <c r="C2510">
        <v>1.0580000000000001</v>
      </c>
      <c r="D2510" t="s">
        <v>1264</v>
      </c>
      <c r="E2510">
        <v>100150</v>
      </c>
      <c r="F2510">
        <v>31103</v>
      </c>
      <c r="G2510" t="str">
        <f t="shared" si="211"/>
        <v>31103</v>
      </c>
      <c r="H2510" t="s">
        <v>515</v>
      </c>
      <c r="I2510" t="s">
        <v>1265</v>
      </c>
      <c r="J2510" t="s">
        <v>1271</v>
      </c>
      <c r="K2510" t="s">
        <v>1272</v>
      </c>
      <c r="L2510" t="s">
        <v>1341</v>
      </c>
      <c r="M2510" t="s">
        <v>1342</v>
      </c>
      <c r="N2510">
        <v>1</v>
      </c>
      <c r="O2510" t="str">
        <f t="shared" si="214"/>
        <v>47</v>
      </c>
      <c r="P2510">
        <v>47</v>
      </c>
      <c r="R2510" t="s">
        <v>1269</v>
      </c>
      <c r="S2510">
        <v>1.0580000000000001</v>
      </c>
      <c r="T2510">
        <v>0.2051</v>
      </c>
      <c r="U2510">
        <f t="shared" si="215"/>
        <v>0</v>
      </c>
      <c r="V2510" t="str">
        <f t="shared" si="212"/>
        <v>High Nurse</v>
      </c>
      <c r="W2510" t="str">
        <f t="shared" si="213"/>
        <v>Nurse</v>
      </c>
    </row>
    <row r="2511" spans="1:23" x14ac:dyDescent="0.25">
      <c r="A2511">
        <v>31103</v>
      </c>
      <c r="B2511" t="s">
        <v>1338</v>
      </c>
      <c r="C2511">
        <v>0.55500000000000005</v>
      </c>
      <c r="D2511" t="s">
        <v>1264</v>
      </c>
      <c r="E2511">
        <v>100150</v>
      </c>
      <c r="F2511">
        <v>31103</v>
      </c>
      <c r="G2511" t="str">
        <f t="shared" si="211"/>
        <v>31103</v>
      </c>
      <c r="H2511" t="s">
        <v>515</v>
      </c>
      <c r="I2511" t="s">
        <v>1265</v>
      </c>
      <c r="J2511" t="s">
        <v>1266</v>
      </c>
      <c r="K2511" t="s">
        <v>1267</v>
      </c>
      <c r="L2511" t="s">
        <v>1338</v>
      </c>
      <c r="M2511" t="s">
        <v>1339</v>
      </c>
      <c r="N2511">
        <v>1</v>
      </c>
      <c r="O2511" t="str">
        <f t="shared" si="214"/>
        <v>47</v>
      </c>
      <c r="P2511">
        <v>47</v>
      </c>
      <c r="R2511" t="s">
        <v>1269</v>
      </c>
      <c r="S2511">
        <v>0.55500000000000005</v>
      </c>
      <c r="T2511">
        <v>0.2051</v>
      </c>
      <c r="U2511">
        <f t="shared" si="215"/>
        <v>0</v>
      </c>
      <c r="V2511" t="str">
        <f t="shared" si="212"/>
        <v>Middle Nurse</v>
      </c>
      <c r="W2511" t="str">
        <f t="shared" si="213"/>
        <v>Nurse</v>
      </c>
    </row>
    <row r="2512" spans="1:23" x14ac:dyDescent="0.25">
      <c r="A2512">
        <v>31103</v>
      </c>
      <c r="B2512" t="s">
        <v>1302</v>
      </c>
      <c r="C2512">
        <v>0.93500000000000005</v>
      </c>
      <c r="D2512" t="s">
        <v>1264</v>
      </c>
      <c r="E2512">
        <v>100150</v>
      </c>
      <c r="F2512">
        <v>31103</v>
      </c>
      <c r="G2512" t="str">
        <f t="shared" si="211"/>
        <v>31103</v>
      </c>
      <c r="H2512" t="s">
        <v>515</v>
      </c>
      <c r="I2512" t="s">
        <v>1265</v>
      </c>
      <c r="J2512" t="s">
        <v>1276</v>
      </c>
      <c r="K2512" t="s">
        <v>1277</v>
      </c>
      <c r="L2512" t="s">
        <v>1302</v>
      </c>
      <c r="M2512" t="s">
        <v>1336</v>
      </c>
      <c r="N2512">
        <v>21</v>
      </c>
      <c r="O2512" t="str">
        <f t="shared" si="214"/>
        <v>48</v>
      </c>
      <c r="P2512">
        <v>48</v>
      </c>
      <c r="R2512" t="s">
        <v>1269</v>
      </c>
      <c r="S2512">
        <v>0.93500000000000005</v>
      </c>
      <c r="T2512">
        <v>0.2051</v>
      </c>
      <c r="U2512">
        <f t="shared" si="215"/>
        <v>0.192</v>
      </c>
      <c r="V2512" t="str">
        <f t="shared" si="212"/>
        <v>Elementary Physical Therapist</v>
      </c>
      <c r="W2512" t="str">
        <f t="shared" si="213"/>
        <v>Physical Therapist</v>
      </c>
    </row>
    <row r="2513" spans="1:23" x14ac:dyDescent="0.25">
      <c r="A2513">
        <v>31103</v>
      </c>
      <c r="B2513" t="s">
        <v>1330</v>
      </c>
      <c r="C2513">
        <v>0.111</v>
      </c>
      <c r="D2513" t="s">
        <v>1264</v>
      </c>
      <c r="E2513">
        <v>100150</v>
      </c>
      <c r="F2513">
        <v>31103</v>
      </c>
      <c r="G2513" t="str">
        <f t="shared" si="211"/>
        <v>31103</v>
      </c>
      <c r="H2513" t="s">
        <v>515</v>
      </c>
      <c r="I2513" t="s">
        <v>1265</v>
      </c>
      <c r="J2513" t="s">
        <v>1271</v>
      </c>
      <c r="K2513" t="s">
        <v>1272</v>
      </c>
      <c r="L2513" t="s">
        <v>1330</v>
      </c>
      <c r="M2513" t="s">
        <v>1367</v>
      </c>
      <c r="N2513">
        <v>21</v>
      </c>
      <c r="O2513" t="str">
        <f t="shared" si="214"/>
        <v>48</v>
      </c>
      <c r="P2513">
        <v>48</v>
      </c>
      <c r="R2513" t="s">
        <v>1269</v>
      </c>
      <c r="S2513">
        <v>0.111</v>
      </c>
      <c r="T2513">
        <v>0.2051</v>
      </c>
      <c r="U2513">
        <f t="shared" si="215"/>
        <v>2.3E-2</v>
      </c>
      <c r="V2513" t="str">
        <f t="shared" si="212"/>
        <v>High Physical Therapist</v>
      </c>
      <c r="W2513" t="str">
        <f t="shared" si="213"/>
        <v>Physical Therapist</v>
      </c>
    </row>
    <row r="2514" spans="1:23" x14ac:dyDescent="0.25">
      <c r="A2514">
        <v>31103</v>
      </c>
      <c r="B2514" t="s">
        <v>1316</v>
      </c>
      <c r="C2514">
        <v>0.16600000000000001</v>
      </c>
      <c r="D2514" t="s">
        <v>1264</v>
      </c>
      <c r="E2514">
        <v>100150</v>
      </c>
      <c r="F2514">
        <v>31103</v>
      </c>
      <c r="G2514" t="str">
        <f t="shared" si="211"/>
        <v>31103</v>
      </c>
      <c r="H2514" t="s">
        <v>515</v>
      </c>
      <c r="I2514" t="s">
        <v>1265</v>
      </c>
      <c r="J2514" t="s">
        <v>1266</v>
      </c>
      <c r="K2514" t="s">
        <v>1267</v>
      </c>
      <c r="L2514" t="s">
        <v>1316</v>
      </c>
      <c r="M2514" t="s">
        <v>1366</v>
      </c>
      <c r="N2514">
        <v>21</v>
      </c>
      <c r="O2514" t="str">
        <f t="shared" si="214"/>
        <v>48</v>
      </c>
      <c r="P2514">
        <v>48</v>
      </c>
      <c r="R2514" t="s">
        <v>1269</v>
      </c>
      <c r="S2514">
        <v>0.16600000000000001</v>
      </c>
      <c r="T2514">
        <v>0.2051</v>
      </c>
      <c r="U2514">
        <f t="shared" si="215"/>
        <v>3.4000000000000002E-2</v>
      </c>
      <c r="V2514" t="str">
        <f t="shared" si="212"/>
        <v>Middle Physical Therapist</v>
      </c>
      <c r="W2514" t="str">
        <f t="shared" si="213"/>
        <v>Physical Therapist</v>
      </c>
    </row>
    <row r="2515" spans="1:23" x14ac:dyDescent="0.25">
      <c r="A2515">
        <v>31103</v>
      </c>
      <c r="B2515" t="s">
        <v>1306</v>
      </c>
      <c r="C2515">
        <v>5.5439999999999996</v>
      </c>
      <c r="D2515" t="s">
        <v>1264</v>
      </c>
      <c r="E2515">
        <v>100150</v>
      </c>
      <c r="F2515">
        <v>31103</v>
      </c>
      <c r="G2515" t="str">
        <f t="shared" si="211"/>
        <v>31103</v>
      </c>
      <c r="H2515" t="s">
        <v>515</v>
      </c>
      <c r="I2515" t="s">
        <v>1265</v>
      </c>
      <c r="J2515" t="s">
        <v>1276</v>
      </c>
      <c r="K2515" t="s">
        <v>1277</v>
      </c>
      <c r="L2515" t="s">
        <v>1306</v>
      </c>
      <c r="M2515" t="s">
        <v>1320</v>
      </c>
      <c r="N2515">
        <v>21</v>
      </c>
      <c r="O2515" t="str">
        <f t="shared" si="214"/>
        <v>64</v>
      </c>
      <c r="P2515">
        <v>64</v>
      </c>
      <c r="R2515" t="s">
        <v>1269</v>
      </c>
      <c r="S2515">
        <v>5.5439999999999996</v>
      </c>
      <c r="T2515">
        <v>0.2051</v>
      </c>
      <c r="U2515">
        <f t="shared" si="215"/>
        <v>1.137</v>
      </c>
      <c r="V2515" t="str">
        <f t="shared" si="212"/>
        <v>Elementary Contractor ESA</v>
      </c>
      <c r="W2515" t="str">
        <f t="shared" si="213"/>
        <v>Contractor ESA</v>
      </c>
    </row>
    <row r="2516" spans="1:23" x14ac:dyDescent="0.25">
      <c r="A2516">
        <v>31103</v>
      </c>
      <c r="B2516" t="s">
        <v>1317</v>
      </c>
      <c r="C2516">
        <v>1.673</v>
      </c>
      <c r="D2516" t="s">
        <v>1264</v>
      </c>
      <c r="E2516">
        <v>100150</v>
      </c>
      <c r="F2516">
        <v>31103</v>
      </c>
      <c r="G2516" t="str">
        <f t="shared" si="211"/>
        <v>31103</v>
      </c>
      <c r="H2516" t="s">
        <v>515</v>
      </c>
      <c r="I2516" t="s">
        <v>1265</v>
      </c>
      <c r="J2516" t="s">
        <v>1271</v>
      </c>
      <c r="K2516" t="s">
        <v>1272</v>
      </c>
      <c r="L2516" t="s">
        <v>1317</v>
      </c>
      <c r="M2516" t="s">
        <v>1318</v>
      </c>
      <c r="N2516">
        <v>21</v>
      </c>
      <c r="O2516" t="str">
        <f t="shared" si="214"/>
        <v>64</v>
      </c>
      <c r="P2516">
        <v>64</v>
      </c>
      <c r="R2516" t="s">
        <v>1269</v>
      </c>
      <c r="S2516">
        <v>1.673</v>
      </c>
      <c r="T2516">
        <v>0.2051</v>
      </c>
      <c r="U2516">
        <f t="shared" si="215"/>
        <v>0.34300000000000003</v>
      </c>
      <c r="V2516" t="str">
        <f t="shared" si="212"/>
        <v>High Contractor ESA</v>
      </c>
      <c r="W2516" t="str">
        <f t="shared" si="213"/>
        <v>Contractor ESA</v>
      </c>
    </row>
    <row r="2517" spans="1:23" x14ac:dyDescent="0.25">
      <c r="A2517">
        <v>31103</v>
      </c>
      <c r="B2517" t="s">
        <v>1313</v>
      </c>
      <c r="C2517">
        <v>1.982</v>
      </c>
      <c r="D2517" t="s">
        <v>1264</v>
      </c>
      <c r="E2517">
        <v>100150</v>
      </c>
      <c r="F2517">
        <v>31103</v>
      </c>
      <c r="G2517" t="str">
        <f t="shared" si="211"/>
        <v>31103</v>
      </c>
      <c r="H2517" t="s">
        <v>515</v>
      </c>
      <c r="I2517" t="s">
        <v>1265</v>
      </c>
      <c r="J2517" t="s">
        <v>1266</v>
      </c>
      <c r="K2517" t="s">
        <v>1267</v>
      </c>
      <c r="L2517" t="s">
        <v>1313</v>
      </c>
      <c r="M2517" t="s">
        <v>1314</v>
      </c>
      <c r="N2517">
        <v>21</v>
      </c>
      <c r="O2517" t="str">
        <f t="shared" si="214"/>
        <v>64</v>
      </c>
      <c r="P2517">
        <v>64</v>
      </c>
      <c r="R2517" t="s">
        <v>1269</v>
      </c>
      <c r="S2517">
        <v>1.982</v>
      </c>
      <c r="T2517">
        <v>0.2051</v>
      </c>
      <c r="U2517">
        <f t="shared" si="215"/>
        <v>0.40699999999999997</v>
      </c>
      <c r="V2517" t="str">
        <f t="shared" si="212"/>
        <v>Middle Contractor ESA</v>
      </c>
      <c r="W2517" t="str">
        <f t="shared" si="213"/>
        <v>Contractor ESA</v>
      </c>
    </row>
    <row r="2518" spans="1:23" x14ac:dyDescent="0.25">
      <c r="A2518">
        <v>31201</v>
      </c>
      <c r="B2518" t="s">
        <v>1311</v>
      </c>
      <c r="C2518">
        <v>0.94099999999999995</v>
      </c>
      <c r="D2518" t="s">
        <v>1264</v>
      </c>
      <c r="E2518">
        <v>100239</v>
      </c>
      <c r="F2518">
        <v>31201</v>
      </c>
      <c r="G2518" t="str">
        <f t="shared" si="211"/>
        <v>31201</v>
      </c>
      <c r="H2518" t="s">
        <v>516</v>
      </c>
      <c r="I2518" t="s">
        <v>1265</v>
      </c>
      <c r="J2518" t="s">
        <v>1276</v>
      </c>
      <c r="K2518" t="s">
        <v>1277</v>
      </c>
      <c r="L2518" t="s">
        <v>1311</v>
      </c>
      <c r="M2518" t="s">
        <v>1327</v>
      </c>
      <c r="N2518">
        <v>21</v>
      </c>
      <c r="O2518" t="str">
        <f t="shared" si="214"/>
        <v>26</v>
      </c>
      <c r="Q2518">
        <v>26</v>
      </c>
      <c r="R2518" t="s">
        <v>1269</v>
      </c>
      <c r="S2518">
        <v>0.94099999999999995</v>
      </c>
      <c r="T2518">
        <v>0.23119999999999999</v>
      </c>
      <c r="U2518">
        <f t="shared" si="215"/>
        <v>0.218</v>
      </c>
      <c r="V2518" t="str">
        <f t="shared" si="212"/>
        <v>Elementary Health/
Related Services</v>
      </c>
      <c r="W2518" t="str">
        <f t="shared" si="213"/>
        <v>Health/
Related Services</v>
      </c>
    </row>
    <row r="2519" spans="1:23" x14ac:dyDescent="0.25">
      <c r="A2519">
        <v>31201</v>
      </c>
      <c r="B2519" t="s">
        <v>1315</v>
      </c>
      <c r="C2519">
        <v>2.36</v>
      </c>
      <c r="D2519" t="s">
        <v>1264</v>
      </c>
      <c r="E2519">
        <v>100239</v>
      </c>
      <c r="F2519">
        <v>31201</v>
      </c>
      <c r="G2519" t="str">
        <f t="shared" si="211"/>
        <v>31201</v>
      </c>
      <c r="H2519" t="s">
        <v>516</v>
      </c>
      <c r="I2519" t="s">
        <v>1265</v>
      </c>
      <c r="J2519" t="s">
        <v>1276</v>
      </c>
      <c r="K2519" t="s">
        <v>1277</v>
      </c>
      <c r="L2519" t="s">
        <v>1315</v>
      </c>
      <c r="M2519" t="s">
        <v>1375</v>
      </c>
      <c r="N2519">
        <v>1</v>
      </c>
      <c r="O2519" t="str">
        <f t="shared" si="214"/>
        <v>26</v>
      </c>
      <c r="Q2519">
        <v>26</v>
      </c>
      <c r="R2519" t="s">
        <v>1269</v>
      </c>
      <c r="S2519">
        <v>2.36</v>
      </c>
      <c r="T2519">
        <v>0.23119999999999999</v>
      </c>
      <c r="U2519">
        <f t="shared" si="215"/>
        <v>0</v>
      </c>
      <c r="V2519" t="str">
        <f t="shared" si="212"/>
        <v>Elementary Health/
Related Services</v>
      </c>
      <c r="W2519" t="str">
        <f t="shared" si="213"/>
        <v>Health/
Related Services</v>
      </c>
    </row>
    <row r="2520" spans="1:23" x14ac:dyDescent="0.25">
      <c r="A2520">
        <v>31201</v>
      </c>
      <c r="B2520" t="s">
        <v>1324</v>
      </c>
      <c r="C2520">
        <v>0.63900000000000001</v>
      </c>
      <c r="D2520" t="s">
        <v>1264</v>
      </c>
      <c r="E2520">
        <v>100239</v>
      </c>
      <c r="F2520">
        <v>31201</v>
      </c>
      <c r="G2520" t="str">
        <f t="shared" si="211"/>
        <v>31201</v>
      </c>
      <c r="H2520" t="s">
        <v>516</v>
      </c>
      <c r="I2520" t="s">
        <v>1265</v>
      </c>
      <c r="J2520" t="s">
        <v>1271</v>
      </c>
      <c r="K2520" t="s">
        <v>1272</v>
      </c>
      <c r="L2520" t="s">
        <v>1324</v>
      </c>
      <c r="M2520" t="s">
        <v>1325</v>
      </c>
      <c r="N2520">
        <v>21</v>
      </c>
      <c r="O2520" t="str">
        <f t="shared" si="214"/>
        <v>26</v>
      </c>
      <c r="Q2520">
        <v>26</v>
      </c>
      <c r="R2520" t="s">
        <v>1269</v>
      </c>
      <c r="S2520">
        <v>0.63900000000000001</v>
      </c>
      <c r="T2520">
        <v>0.23119999999999999</v>
      </c>
      <c r="U2520">
        <f t="shared" si="215"/>
        <v>0.14799999999999999</v>
      </c>
      <c r="V2520" t="str">
        <f t="shared" si="212"/>
        <v>High Health/
Related Services</v>
      </c>
      <c r="W2520" t="str">
        <f t="shared" si="213"/>
        <v>Health/
Related Services</v>
      </c>
    </row>
    <row r="2521" spans="1:23" x14ac:dyDescent="0.25">
      <c r="A2521">
        <v>31201</v>
      </c>
      <c r="B2521" t="s">
        <v>1295</v>
      </c>
      <c r="C2521">
        <v>0.54800000000000004</v>
      </c>
      <c r="D2521" t="s">
        <v>1264</v>
      </c>
      <c r="E2521">
        <v>100239</v>
      </c>
      <c r="F2521">
        <v>31201</v>
      </c>
      <c r="G2521" t="str">
        <f t="shared" si="211"/>
        <v>31201</v>
      </c>
      <c r="H2521" t="s">
        <v>516</v>
      </c>
      <c r="I2521" t="s">
        <v>1265</v>
      </c>
      <c r="J2521" t="s">
        <v>1271</v>
      </c>
      <c r="K2521" t="s">
        <v>1272</v>
      </c>
      <c r="L2521" t="s">
        <v>1295</v>
      </c>
      <c r="M2521" t="s">
        <v>1296</v>
      </c>
      <c r="N2521">
        <v>1</v>
      </c>
      <c r="O2521" t="str">
        <f t="shared" si="214"/>
        <v>26</v>
      </c>
      <c r="Q2521">
        <v>26</v>
      </c>
      <c r="R2521" t="s">
        <v>1269</v>
      </c>
      <c r="S2521">
        <v>0.54800000000000004</v>
      </c>
      <c r="T2521">
        <v>0.23119999999999999</v>
      </c>
      <c r="U2521">
        <f t="shared" si="215"/>
        <v>0</v>
      </c>
      <c r="V2521" t="str">
        <f t="shared" si="212"/>
        <v>High Health/
Related Services</v>
      </c>
      <c r="W2521" t="str">
        <f t="shared" si="213"/>
        <v>Health/
Related Services</v>
      </c>
    </row>
    <row r="2522" spans="1:23" x14ac:dyDescent="0.25">
      <c r="A2522">
        <v>31201</v>
      </c>
      <c r="B2522" t="s">
        <v>1322</v>
      </c>
      <c r="C2522">
        <v>0.59399999999999997</v>
      </c>
      <c r="D2522" t="s">
        <v>1264</v>
      </c>
      <c r="E2522">
        <v>100239</v>
      </c>
      <c r="F2522">
        <v>31201</v>
      </c>
      <c r="G2522" t="str">
        <f t="shared" si="211"/>
        <v>31201</v>
      </c>
      <c r="H2522" t="s">
        <v>516</v>
      </c>
      <c r="I2522" t="s">
        <v>1265</v>
      </c>
      <c r="J2522" t="s">
        <v>1266</v>
      </c>
      <c r="K2522" t="s">
        <v>1267</v>
      </c>
      <c r="L2522" t="s">
        <v>1322</v>
      </c>
      <c r="M2522" t="s">
        <v>1323</v>
      </c>
      <c r="N2522">
        <v>21</v>
      </c>
      <c r="O2522" t="str">
        <f t="shared" si="214"/>
        <v>26</v>
      </c>
      <c r="Q2522">
        <v>26</v>
      </c>
      <c r="R2522" t="s">
        <v>1269</v>
      </c>
      <c r="S2522">
        <v>0.59399999999999997</v>
      </c>
      <c r="T2522">
        <v>0.23119999999999999</v>
      </c>
      <c r="U2522">
        <f t="shared" si="215"/>
        <v>0.13700000000000001</v>
      </c>
      <c r="V2522" t="str">
        <f t="shared" si="212"/>
        <v>Middle Health/
Related Services</v>
      </c>
      <c r="W2522" t="str">
        <f t="shared" si="213"/>
        <v>Health/
Related Services</v>
      </c>
    </row>
    <row r="2523" spans="1:23" x14ac:dyDescent="0.25">
      <c r="A2523">
        <v>31201</v>
      </c>
      <c r="B2523" t="s">
        <v>1291</v>
      </c>
      <c r="C2523">
        <v>0.36599999999999999</v>
      </c>
      <c r="D2523" t="s">
        <v>1264</v>
      </c>
      <c r="E2523">
        <v>100239</v>
      </c>
      <c r="F2523">
        <v>31201</v>
      </c>
      <c r="G2523" t="str">
        <f t="shared" si="211"/>
        <v>31201</v>
      </c>
      <c r="H2523" t="s">
        <v>516</v>
      </c>
      <c r="I2523" t="s">
        <v>1265</v>
      </c>
      <c r="J2523" t="s">
        <v>1266</v>
      </c>
      <c r="K2523" t="s">
        <v>1267</v>
      </c>
      <c r="L2523" t="s">
        <v>1291</v>
      </c>
      <c r="M2523" t="s">
        <v>1292</v>
      </c>
      <c r="N2523">
        <v>1</v>
      </c>
      <c r="O2523" t="str">
        <f t="shared" si="214"/>
        <v>26</v>
      </c>
      <c r="Q2523">
        <v>26</v>
      </c>
      <c r="R2523" t="s">
        <v>1269</v>
      </c>
      <c r="S2523">
        <v>0.36599999999999999</v>
      </c>
      <c r="T2523">
        <v>0.23119999999999999</v>
      </c>
      <c r="U2523">
        <f t="shared" si="215"/>
        <v>0</v>
      </c>
      <c r="V2523" t="str">
        <f t="shared" si="212"/>
        <v>Middle Health/
Related Services</v>
      </c>
      <c r="W2523" t="str">
        <f t="shared" si="213"/>
        <v>Health/
Related Services</v>
      </c>
    </row>
    <row r="2524" spans="1:23" x14ac:dyDescent="0.25">
      <c r="A2524">
        <v>31201</v>
      </c>
      <c r="B2524" t="s">
        <v>1401</v>
      </c>
      <c r="C2524">
        <v>1.37</v>
      </c>
      <c r="D2524" t="s">
        <v>1264</v>
      </c>
      <c r="E2524">
        <v>100239</v>
      </c>
      <c r="F2524">
        <v>31201</v>
      </c>
      <c r="G2524" t="str">
        <f t="shared" si="211"/>
        <v>31201</v>
      </c>
      <c r="H2524" t="s">
        <v>516</v>
      </c>
      <c r="I2524" t="s">
        <v>1265</v>
      </c>
      <c r="J2524" t="s">
        <v>1271</v>
      </c>
      <c r="K2524" t="s">
        <v>1272</v>
      </c>
      <c r="L2524" t="s">
        <v>1401</v>
      </c>
      <c r="M2524" t="s">
        <v>1422</v>
      </c>
      <c r="N2524">
        <v>1</v>
      </c>
      <c r="O2524" t="str">
        <f t="shared" si="214"/>
        <v>35</v>
      </c>
      <c r="Q2524">
        <v>35</v>
      </c>
      <c r="R2524" t="s">
        <v>1269</v>
      </c>
      <c r="S2524">
        <v>1.37</v>
      </c>
      <c r="T2524">
        <v>0.23119999999999999</v>
      </c>
      <c r="U2524">
        <f t="shared" si="215"/>
        <v>0</v>
      </c>
      <c r="V2524" t="str">
        <f t="shared" si="212"/>
        <v>High Pupil Safety</v>
      </c>
      <c r="W2524" t="str">
        <f t="shared" si="213"/>
        <v>Pupil Safety</v>
      </c>
    </row>
    <row r="2525" spans="1:23" x14ac:dyDescent="0.25">
      <c r="A2525">
        <v>31201</v>
      </c>
      <c r="B2525" t="s">
        <v>1319</v>
      </c>
      <c r="C2525">
        <v>1</v>
      </c>
      <c r="D2525" t="s">
        <v>1264</v>
      </c>
      <c r="E2525">
        <v>100239</v>
      </c>
      <c r="F2525">
        <v>31201</v>
      </c>
      <c r="G2525" t="str">
        <f t="shared" si="211"/>
        <v>31201</v>
      </c>
      <c r="H2525" t="s">
        <v>516</v>
      </c>
      <c r="I2525" t="s">
        <v>1265</v>
      </c>
      <c r="J2525" t="s">
        <v>1276</v>
      </c>
      <c r="K2525" t="s">
        <v>1277</v>
      </c>
      <c r="L2525" t="s">
        <v>1319</v>
      </c>
      <c r="M2525" t="s">
        <v>1426</v>
      </c>
      <c r="N2525">
        <v>21</v>
      </c>
      <c r="O2525" t="str">
        <f t="shared" si="214"/>
        <v>39</v>
      </c>
      <c r="P2525">
        <v>39</v>
      </c>
      <c r="R2525" t="s">
        <v>1269</v>
      </c>
      <c r="S2525">
        <v>1</v>
      </c>
      <c r="T2525">
        <v>0.23119999999999999</v>
      </c>
      <c r="U2525">
        <f t="shared" si="215"/>
        <v>0.23100000000000001</v>
      </c>
      <c r="V2525" t="str">
        <f t="shared" si="212"/>
        <v>Elementary Orientation &amp; Mobility Specialist</v>
      </c>
      <c r="W2525" t="str">
        <f t="shared" si="213"/>
        <v>Orientation &amp; Mobility Specialist</v>
      </c>
    </row>
    <row r="2526" spans="1:23" x14ac:dyDescent="0.25">
      <c r="A2526">
        <v>31201</v>
      </c>
      <c r="B2526" t="s">
        <v>1275</v>
      </c>
      <c r="C2526">
        <v>7.1280000000000001</v>
      </c>
      <c r="D2526" t="s">
        <v>1264</v>
      </c>
      <c r="E2526">
        <v>100239</v>
      </c>
      <c r="F2526">
        <v>31201</v>
      </c>
      <c r="G2526" t="str">
        <f t="shared" si="211"/>
        <v>31201</v>
      </c>
      <c r="H2526" t="s">
        <v>516</v>
      </c>
      <c r="I2526" t="s">
        <v>1265</v>
      </c>
      <c r="J2526" t="s">
        <v>1276</v>
      </c>
      <c r="K2526" t="s">
        <v>1277</v>
      </c>
      <c r="L2526" t="s">
        <v>1275</v>
      </c>
      <c r="M2526" t="s">
        <v>1278</v>
      </c>
      <c r="N2526">
        <v>1</v>
      </c>
      <c r="O2526" t="str">
        <f t="shared" si="214"/>
        <v>42</v>
      </c>
      <c r="P2526">
        <v>42</v>
      </c>
      <c r="R2526" t="s">
        <v>1269</v>
      </c>
      <c r="S2526">
        <v>7.1280000000000001</v>
      </c>
      <c r="T2526">
        <v>0.23119999999999999</v>
      </c>
      <c r="U2526">
        <f t="shared" si="215"/>
        <v>0</v>
      </c>
      <c r="V2526" t="str">
        <f t="shared" si="212"/>
        <v>Elementary Counselor</v>
      </c>
      <c r="W2526" t="str">
        <f t="shared" si="213"/>
        <v>Counselor</v>
      </c>
    </row>
    <row r="2527" spans="1:23" x14ac:dyDescent="0.25">
      <c r="A2527">
        <v>31201</v>
      </c>
      <c r="B2527" t="s">
        <v>1270</v>
      </c>
      <c r="C2527">
        <v>9</v>
      </c>
      <c r="D2527" t="s">
        <v>1264</v>
      </c>
      <c r="E2527">
        <v>100239</v>
      </c>
      <c r="F2527">
        <v>31201</v>
      </c>
      <c r="G2527" t="str">
        <f t="shared" si="211"/>
        <v>31201</v>
      </c>
      <c r="H2527" t="s">
        <v>516</v>
      </c>
      <c r="I2527" t="s">
        <v>1265</v>
      </c>
      <c r="J2527" t="s">
        <v>1271</v>
      </c>
      <c r="K2527" t="s">
        <v>1272</v>
      </c>
      <c r="L2527" t="s">
        <v>1270</v>
      </c>
      <c r="M2527" t="s">
        <v>1273</v>
      </c>
      <c r="N2527">
        <v>1</v>
      </c>
      <c r="O2527" t="str">
        <f t="shared" si="214"/>
        <v>42</v>
      </c>
      <c r="P2527">
        <v>42</v>
      </c>
      <c r="R2527" t="s">
        <v>1269</v>
      </c>
      <c r="S2527">
        <v>9</v>
      </c>
      <c r="T2527">
        <v>0.23119999999999999</v>
      </c>
      <c r="U2527">
        <f t="shared" si="215"/>
        <v>0</v>
      </c>
      <c r="V2527" t="str">
        <f t="shared" si="212"/>
        <v>High Counselor</v>
      </c>
      <c r="W2527" t="str">
        <f t="shared" si="213"/>
        <v>Counselor</v>
      </c>
    </row>
    <row r="2528" spans="1:23" x14ac:dyDescent="0.25">
      <c r="A2528">
        <v>31201</v>
      </c>
      <c r="B2528" t="s">
        <v>1263</v>
      </c>
      <c r="C2528">
        <v>4</v>
      </c>
      <c r="D2528" t="s">
        <v>1264</v>
      </c>
      <c r="E2528">
        <v>100239</v>
      </c>
      <c r="F2528">
        <v>31201</v>
      </c>
      <c r="G2528" t="str">
        <f t="shared" si="211"/>
        <v>31201</v>
      </c>
      <c r="H2528" t="s">
        <v>516</v>
      </c>
      <c r="I2528" t="s">
        <v>1265</v>
      </c>
      <c r="J2528" t="s">
        <v>1266</v>
      </c>
      <c r="K2528" t="s">
        <v>1267</v>
      </c>
      <c r="L2528" t="s">
        <v>1263</v>
      </c>
      <c r="M2528" t="s">
        <v>1268</v>
      </c>
      <c r="N2528">
        <v>1</v>
      </c>
      <c r="O2528" t="str">
        <f t="shared" si="214"/>
        <v>42</v>
      </c>
      <c r="P2528">
        <v>42</v>
      </c>
      <c r="R2528" t="s">
        <v>1269</v>
      </c>
      <c r="S2528">
        <v>4</v>
      </c>
      <c r="T2528">
        <v>0.23119999999999999</v>
      </c>
      <c r="U2528">
        <f t="shared" si="215"/>
        <v>0</v>
      </c>
      <c r="V2528" t="str">
        <f t="shared" si="212"/>
        <v>Middle Counselor</v>
      </c>
      <c r="W2528" t="str">
        <f t="shared" si="213"/>
        <v>Counselor</v>
      </c>
    </row>
    <row r="2529" spans="1:23" x14ac:dyDescent="0.25">
      <c r="A2529">
        <v>31201</v>
      </c>
      <c r="B2529" t="s">
        <v>1289</v>
      </c>
      <c r="C2529">
        <v>2.5</v>
      </c>
      <c r="D2529" t="s">
        <v>1264</v>
      </c>
      <c r="E2529">
        <v>100239</v>
      </c>
      <c r="F2529">
        <v>31201</v>
      </c>
      <c r="G2529" t="str">
        <f t="shared" si="211"/>
        <v>31201</v>
      </c>
      <c r="H2529" t="s">
        <v>516</v>
      </c>
      <c r="I2529" t="s">
        <v>1265</v>
      </c>
      <c r="J2529" t="s">
        <v>1276</v>
      </c>
      <c r="K2529" t="s">
        <v>1277</v>
      </c>
      <c r="L2529" t="s">
        <v>1289</v>
      </c>
      <c r="M2529" t="s">
        <v>1307</v>
      </c>
      <c r="N2529">
        <v>21</v>
      </c>
      <c r="O2529" t="str">
        <f t="shared" si="214"/>
        <v>43</v>
      </c>
      <c r="P2529">
        <v>43</v>
      </c>
      <c r="R2529" t="s">
        <v>1269</v>
      </c>
      <c r="S2529">
        <v>2.5</v>
      </c>
      <c r="T2529">
        <v>0.23119999999999999</v>
      </c>
      <c r="U2529">
        <f t="shared" si="215"/>
        <v>0.57799999999999996</v>
      </c>
      <c r="V2529" t="str">
        <f t="shared" si="212"/>
        <v>Elementary Occupational Therapist</v>
      </c>
      <c r="W2529" t="str">
        <f t="shared" si="213"/>
        <v>Occupational Therapist</v>
      </c>
    </row>
    <row r="2530" spans="1:23" x14ac:dyDescent="0.25">
      <c r="A2530">
        <v>31201</v>
      </c>
      <c r="B2530" t="s">
        <v>1387</v>
      </c>
      <c r="C2530">
        <v>1.75</v>
      </c>
      <c r="D2530" t="s">
        <v>1264</v>
      </c>
      <c r="E2530">
        <v>100239</v>
      </c>
      <c r="F2530">
        <v>31201</v>
      </c>
      <c r="G2530" t="str">
        <f t="shared" si="211"/>
        <v>31201</v>
      </c>
      <c r="H2530" t="s">
        <v>516</v>
      </c>
      <c r="I2530" t="s">
        <v>1265</v>
      </c>
      <c r="J2530" t="s">
        <v>1271</v>
      </c>
      <c r="K2530" t="s">
        <v>1272</v>
      </c>
      <c r="L2530" t="s">
        <v>1387</v>
      </c>
      <c r="M2530" t="s">
        <v>1406</v>
      </c>
      <c r="N2530">
        <v>21</v>
      </c>
      <c r="O2530" t="str">
        <f t="shared" si="214"/>
        <v>43</v>
      </c>
      <c r="P2530">
        <v>43</v>
      </c>
      <c r="R2530" t="s">
        <v>1269</v>
      </c>
      <c r="S2530">
        <v>1.75</v>
      </c>
      <c r="T2530">
        <v>0.23119999999999999</v>
      </c>
      <c r="U2530">
        <f t="shared" si="215"/>
        <v>0.40500000000000003</v>
      </c>
      <c r="V2530" t="str">
        <f t="shared" si="212"/>
        <v>High Occupational Therapist</v>
      </c>
      <c r="W2530" t="str">
        <f t="shared" si="213"/>
        <v>Occupational Therapist</v>
      </c>
    </row>
    <row r="2531" spans="1:23" x14ac:dyDescent="0.25">
      <c r="A2531">
        <v>31201</v>
      </c>
      <c r="B2531" t="s">
        <v>1303</v>
      </c>
      <c r="C2531">
        <v>0.75</v>
      </c>
      <c r="D2531" t="s">
        <v>1264</v>
      </c>
      <c r="E2531">
        <v>100239</v>
      </c>
      <c r="F2531">
        <v>31201</v>
      </c>
      <c r="G2531" t="str">
        <f t="shared" si="211"/>
        <v>31201</v>
      </c>
      <c r="H2531" t="s">
        <v>516</v>
      </c>
      <c r="I2531" t="s">
        <v>1265</v>
      </c>
      <c r="J2531" t="s">
        <v>1266</v>
      </c>
      <c r="K2531" t="s">
        <v>1267</v>
      </c>
      <c r="L2531" t="s">
        <v>1303</v>
      </c>
      <c r="M2531" t="s">
        <v>1304</v>
      </c>
      <c r="N2531">
        <v>21</v>
      </c>
      <c r="O2531" t="str">
        <f t="shared" si="214"/>
        <v>43</v>
      </c>
      <c r="P2531">
        <v>43</v>
      </c>
      <c r="R2531" t="s">
        <v>1269</v>
      </c>
      <c r="S2531">
        <v>0.75</v>
      </c>
      <c r="T2531">
        <v>0.23119999999999999</v>
      </c>
      <c r="U2531">
        <f t="shared" si="215"/>
        <v>0.17299999999999999</v>
      </c>
      <c r="V2531" t="str">
        <f t="shared" si="212"/>
        <v>Middle Occupational Therapist</v>
      </c>
      <c r="W2531" t="str">
        <f t="shared" si="213"/>
        <v>Occupational Therapist</v>
      </c>
    </row>
    <row r="2532" spans="1:23" x14ac:dyDescent="0.25">
      <c r="A2532">
        <v>31201</v>
      </c>
      <c r="B2532" t="s">
        <v>1331</v>
      </c>
      <c r="C2532">
        <v>1</v>
      </c>
      <c r="D2532" t="s">
        <v>1264</v>
      </c>
      <c r="E2532">
        <v>100239</v>
      </c>
      <c r="F2532">
        <v>31201</v>
      </c>
      <c r="G2532" t="str">
        <f t="shared" si="211"/>
        <v>31201</v>
      </c>
      <c r="H2532" t="s">
        <v>516</v>
      </c>
      <c r="I2532" t="s">
        <v>1265</v>
      </c>
      <c r="J2532" t="s">
        <v>1276</v>
      </c>
      <c r="K2532" t="s">
        <v>1277</v>
      </c>
      <c r="L2532" t="s">
        <v>1331</v>
      </c>
      <c r="M2532" t="s">
        <v>1405</v>
      </c>
      <c r="N2532">
        <v>1</v>
      </c>
      <c r="O2532" t="str">
        <f t="shared" si="214"/>
        <v>44</v>
      </c>
      <c r="P2532">
        <v>44</v>
      </c>
      <c r="R2532" t="s">
        <v>1269</v>
      </c>
      <c r="S2532">
        <v>1</v>
      </c>
      <c r="T2532">
        <v>0.23119999999999999</v>
      </c>
      <c r="U2532">
        <f t="shared" si="215"/>
        <v>0</v>
      </c>
      <c r="V2532" t="str">
        <f t="shared" si="212"/>
        <v>Elementary Social Worker</v>
      </c>
      <c r="W2532" t="str">
        <f t="shared" si="213"/>
        <v>Social Worker</v>
      </c>
    </row>
    <row r="2533" spans="1:23" x14ac:dyDescent="0.25">
      <c r="A2533">
        <v>31201</v>
      </c>
      <c r="B2533" t="s">
        <v>1294</v>
      </c>
      <c r="C2533">
        <v>8.0419999999999998</v>
      </c>
      <c r="D2533" t="s">
        <v>1264</v>
      </c>
      <c r="E2533">
        <v>100239</v>
      </c>
      <c r="F2533">
        <v>31201</v>
      </c>
      <c r="G2533" t="str">
        <f t="shared" si="211"/>
        <v>31201</v>
      </c>
      <c r="H2533" t="s">
        <v>516</v>
      </c>
      <c r="I2533" t="s">
        <v>1265</v>
      </c>
      <c r="J2533" t="s">
        <v>1276</v>
      </c>
      <c r="K2533" t="s">
        <v>1277</v>
      </c>
      <c r="L2533" t="s">
        <v>1294</v>
      </c>
      <c r="M2533" t="s">
        <v>1354</v>
      </c>
      <c r="N2533">
        <v>21</v>
      </c>
      <c r="O2533" t="str">
        <f t="shared" si="214"/>
        <v>45</v>
      </c>
      <c r="P2533">
        <v>45</v>
      </c>
      <c r="R2533" t="s">
        <v>1269</v>
      </c>
      <c r="S2533">
        <v>8.0419999999999998</v>
      </c>
      <c r="T2533">
        <v>0.23119999999999999</v>
      </c>
      <c r="U2533">
        <f t="shared" si="215"/>
        <v>1.859</v>
      </c>
      <c r="V2533" t="str">
        <f t="shared" si="212"/>
        <v>Elementary Speech, Language Pathway/
Audio</v>
      </c>
      <c r="W2533" t="str">
        <f t="shared" si="213"/>
        <v>Speech, Language Pathway/
Audio</v>
      </c>
    </row>
    <row r="2534" spans="1:23" x14ac:dyDescent="0.25">
      <c r="A2534">
        <v>31201</v>
      </c>
      <c r="B2534" t="s">
        <v>1326</v>
      </c>
      <c r="C2534">
        <v>5.6289999999999996</v>
      </c>
      <c r="D2534" t="s">
        <v>1264</v>
      </c>
      <c r="E2534">
        <v>100239</v>
      </c>
      <c r="F2534">
        <v>31201</v>
      </c>
      <c r="G2534" t="str">
        <f t="shared" si="211"/>
        <v>31201</v>
      </c>
      <c r="H2534" t="s">
        <v>516</v>
      </c>
      <c r="I2534" t="s">
        <v>1265</v>
      </c>
      <c r="J2534" t="s">
        <v>1271</v>
      </c>
      <c r="K2534" t="s">
        <v>1272</v>
      </c>
      <c r="L2534" t="s">
        <v>1326</v>
      </c>
      <c r="M2534" t="s">
        <v>1353</v>
      </c>
      <c r="N2534">
        <v>21</v>
      </c>
      <c r="O2534" t="str">
        <f t="shared" si="214"/>
        <v>45</v>
      </c>
      <c r="P2534">
        <v>45</v>
      </c>
      <c r="R2534" t="s">
        <v>1269</v>
      </c>
      <c r="S2534">
        <v>5.6289999999999996</v>
      </c>
      <c r="T2534">
        <v>0.23119999999999999</v>
      </c>
      <c r="U2534">
        <f t="shared" si="215"/>
        <v>1.3009999999999999</v>
      </c>
      <c r="V2534" t="str">
        <f t="shared" si="212"/>
        <v>High Speech, Language Pathway/
Audio</v>
      </c>
      <c r="W2534" t="str">
        <f t="shared" si="213"/>
        <v>Speech, Language Pathway/
Audio</v>
      </c>
    </row>
    <row r="2535" spans="1:23" x14ac:dyDescent="0.25">
      <c r="A2535">
        <v>31201</v>
      </c>
      <c r="B2535" t="s">
        <v>1312</v>
      </c>
      <c r="C2535">
        <v>2.4119999999999999</v>
      </c>
      <c r="D2535" t="s">
        <v>1264</v>
      </c>
      <c r="E2535">
        <v>100239</v>
      </c>
      <c r="F2535">
        <v>31201</v>
      </c>
      <c r="G2535" t="str">
        <f t="shared" si="211"/>
        <v>31201</v>
      </c>
      <c r="H2535" t="s">
        <v>516</v>
      </c>
      <c r="I2535" t="s">
        <v>1265</v>
      </c>
      <c r="J2535" t="s">
        <v>1266</v>
      </c>
      <c r="K2535" t="s">
        <v>1267</v>
      </c>
      <c r="L2535" t="s">
        <v>1312</v>
      </c>
      <c r="M2535" t="s">
        <v>1351</v>
      </c>
      <c r="N2535">
        <v>21</v>
      </c>
      <c r="O2535" t="str">
        <f t="shared" si="214"/>
        <v>45</v>
      </c>
      <c r="P2535">
        <v>45</v>
      </c>
      <c r="R2535" t="s">
        <v>1269</v>
      </c>
      <c r="S2535">
        <v>2.4119999999999999</v>
      </c>
      <c r="T2535">
        <v>0.23119999999999999</v>
      </c>
      <c r="U2535">
        <f t="shared" si="215"/>
        <v>0.55800000000000005</v>
      </c>
      <c r="V2535" t="str">
        <f t="shared" si="212"/>
        <v>Middle Speech, Language Pathway/
Audio</v>
      </c>
      <c r="W2535" t="str">
        <f t="shared" si="213"/>
        <v>Speech, Language Pathway/
Audio</v>
      </c>
    </row>
    <row r="2536" spans="1:23" x14ac:dyDescent="0.25">
      <c r="A2536">
        <v>31201</v>
      </c>
      <c r="B2536" t="s">
        <v>1298</v>
      </c>
      <c r="C2536">
        <v>4.4000000000000004</v>
      </c>
      <c r="D2536" t="s">
        <v>1264</v>
      </c>
      <c r="E2536">
        <v>100239</v>
      </c>
      <c r="F2536">
        <v>31201</v>
      </c>
      <c r="G2536" t="str">
        <f t="shared" si="211"/>
        <v>31201</v>
      </c>
      <c r="H2536" t="s">
        <v>516</v>
      </c>
      <c r="I2536" t="s">
        <v>1265</v>
      </c>
      <c r="J2536" t="s">
        <v>1276</v>
      </c>
      <c r="K2536" t="s">
        <v>1277</v>
      </c>
      <c r="L2536" t="s">
        <v>1298</v>
      </c>
      <c r="M2536" t="s">
        <v>1349</v>
      </c>
      <c r="N2536">
        <v>21</v>
      </c>
      <c r="O2536" t="str">
        <f t="shared" si="214"/>
        <v>46</v>
      </c>
      <c r="P2536">
        <v>46</v>
      </c>
      <c r="R2536" t="s">
        <v>1269</v>
      </c>
      <c r="S2536">
        <v>4.4000000000000004</v>
      </c>
      <c r="T2536">
        <v>0.23119999999999999</v>
      </c>
      <c r="U2536">
        <f t="shared" si="215"/>
        <v>1.0169999999999999</v>
      </c>
      <c r="V2536" t="str">
        <f t="shared" si="212"/>
        <v>Elementary Psychologist</v>
      </c>
      <c r="W2536" t="str">
        <f t="shared" si="213"/>
        <v>Psychologist</v>
      </c>
    </row>
    <row r="2537" spans="1:23" x14ac:dyDescent="0.25">
      <c r="A2537">
        <v>31201</v>
      </c>
      <c r="B2537" t="s">
        <v>1333</v>
      </c>
      <c r="C2537">
        <v>2</v>
      </c>
      <c r="D2537" t="s">
        <v>1264</v>
      </c>
      <c r="E2537">
        <v>100239</v>
      </c>
      <c r="F2537">
        <v>31201</v>
      </c>
      <c r="G2537" t="str">
        <f t="shared" si="211"/>
        <v>31201</v>
      </c>
      <c r="H2537" t="s">
        <v>516</v>
      </c>
      <c r="I2537" t="s">
        <v>1265</v>
      </c>
      <c r="J2537" t="s">
        <v>1276</v>
      </c>
      <c r="K2537" t="s">
        <v>1277</v>
      </c>
      <c r="L2537" t="s">
        <v>1333</v>
      </c>
      <c r="M2537" t="s">
        <v>1432</v>
      </c>
      <c r="N2537">
        <v>1</v>
      </c>
      <c r="O2537" t="str">
        <f t="shared" si="214"/>
        <v>46</v>
      </c>
      <c r="P2537">
        <v>46</v>
      </c>
      <c r="R2537" t="s">
        <v>1269</v>
      </c>
      <c r="S2537">
        <v>2</v>
      </c>
      <c r="T2537">
        <v>0.23119999999999999</v>
      </c>
      <c r="U2537">
        <f t="shared" si="215"/>
        <v>0</v>
      </c>
      <c r="V2537" t="str">
        <f t="shared" si="212"/>
        <v>Elementary Psychologist</v>
      </c>
      <c r="W2537" t="str">
        <f t="shared" si="213"/>
        <v>Psychologist</v>
      </c>
    </row>
    <row r="2538" spans="1:23" x14ac:dyDescent="0.25">
      <c r="A2538">
        <v>31201</v>
      </c>
      <c r="B2538" t="s">
        <v>1309</v>
      </c>
      <c r="C2538">
        <v>3.08</v>
      </c>
      <c r="D2538" t="s">
        <v>1264</v>
      </c>
      <c r="E2538">
        <v>100239</v>
      </c>
      <c r="F2538">
        <v>31201</v>
      </c>
      <c r="G2538" t="str">
        <f t="shared" si="211"/>
        <v>31201</v>
      </c>
      <c r="H2538" t="s">
        <v>516</v>
      </c>
      <c r="I2538" t="s">
        <v>1265</v>
      </c>
      <c r="J2538" t="s">
        <v>1271</v>
      </c>
      <c r="K2538" t="s">
        <v>1272</v>
      </c>
      <c r="L2538" t="s">
        <v>1309</v>
      </c>
      <c r="M2538" t="s">
        <v>1310</v>
      </c>
      <c r="N2538">
        <v>21</v>
      </c>
      <c r="O2538" t="str">
        <f t="shared" si="214"/>
        <v>46</v>
      </c>
      <c r="P2538">
        <v>46</v>
      </c>
      <c r="R2538" t="s">
        <v>1269</v>
      </c>
      <c r="S2538">
        <v>3.08</v>
      </c>
      <c r="T2538">
        <v>0.23119999999999999</v>
      </c>
      <c r="U2538">
        <f t="shared" si="215"/>
        <v>0.71199999999999997</v>
      </c>
      <c r="V2538" t="str">
        <f t="shared" si="212"/>
        <v>High Psychologist</v>
      </c>
      <c r="W2538" t="str">
        <f t="shared" si="213"/>
        <v>Psychologist</v>
      </c>
    </row>
    <row r="2539" spans="1:23" x14ac:dyDescent="0.25">
      <c r="A2539">
        <v>31201</v>
      </c>
      <c r="B2539" t="s">
        <v>1396</v>
      </c>
      <c r="C2539">
        <v>1.4</v>
      </c>
      <c r="D2539" t="s">
        <v>1264</v>
      </c>
      <c r="E2539">
        <v>100239</v>
      </c>
      <c r="F2539">
        <v>31201</v>
      </c>
      <c r="G2539" t="str">
        <f t="shared" si="211"/>
        <v>31201</v>
      </c>
      <c r="H2539" t="s">
        <v>516</v>
      </c>
      <c r="I2539" t="s">
        <v>1265</v>
      </c>
      <c r="J2539" t="s">
        <v>1271</v>
      </c>
      <c r="K2539" t="s">
        <v>1272</v>
      </c>
      <c r="L2539" t="s">
        <v>1396</v>
      </c>
      <c r="M2539" t="s">
        <v>1431</v>
      </c>
      <c r="N2539">
        <v>1</v>
      </c>
      <c r="O2539" t="str">
        <f t="shared" si="214"/>
        <v>46</v>
      </c>
      <c r="P2539">
        <v>46</v>
      </c>
      <c r="R2539" t="s">
        <v>1269</v>
      </c>
      <c r="S2539">
        <v>1.4</v>
      </c>
      <c r="T2539">
        <v>0.23119999999999999</v>
      </c>
      <c r="U2539">
        <f t="shared" si="215"/>
        <v>0</v>
      </c>
      <c r="V2539" t="str">
        <f t="shared" si="212"/>
        <v>High Psychologist</v>
      </c>
      <c r="W2539" t="str">
        <f t="shared" si="213"/>
        <v>Psychologist</v>
      </c>
    </row>
    <row r="2540" spans="1:23" x14ac:dyDescent="0.25">
      <c r="A2540">
        <v>31201</v>
      </c>
      <c r="B2540" t="s">
        <v>1345</v>
      </c>
      <c r="C2540">
        <v>1.32</v>
      </c>
      <c r="D2540" t="s">
        <v>1264</v>
      </c>
      <c r="E2540">
        <v>100239</v>
      </c>
      <c r="F2540">
        <v>31201</v>
      </c>
      <c r="G2540" t="str">
        <f t="shared" si="211"/>
        <v>31201</v>
      </c>
      <c r="H2540" t="s">
        <v>516</v>
      </c>
      <c r="I2540" t="s">
        <v>1265</v>
      </c>
      <c r="J2540" t="s">
        <v>1266</v>
      </c>
      <c r="K2540" t="s">
        <v>1267</v>
      </c>
      <c r="L2540" t="s">
        <v>1345</v>
      </c>
      <c r="M2540" t="s">
        <v>1346</v>
      </c>
      <c r="N2540">
        <v>21</v>
      </c>
      <c r="O2540" t="str">
        <f t="shared" si="214"/>
        <v>46</v>
      </c>
      <c r="P2540">
        <v>46</v>
      </c>
      <c r="R2540" t="s">
        <v>1269</v>
      </c>
      <c r="S2540">
        <v>1.32</v>
      </c>
      <c r="T2540">
        <v>0.23119999999999999</v>
      </c>
      <c r="U2540">
        <f t="shared" si="215"/>
        <v>0.30499999999999999</v>
      </c>
      <c r="V2540" t="str">
        <f t="shared" si="212"/>
        <v>Middle Psychologist</v>
      </c>
      <c r="W2540" t="str">
        <f t="shared" si="213"/>
        <v>Psychologist</v>
      </c>
    </row>
    <row r="2541" spans="1:23" x14ac:dyDescent="0.25">
      <c r="A2541">
        <v>31201</v>
      </c>
      <c r="B2541" t="s">
        <v>1371</v>
      </c>
      <c r="C2541">
        <v>0.6</v>
      </c>
      <c r="D2541" t="s">
        <v>1264</v>
      </c>
      <c r="E2541">
        <v>100239</v>
      </c>
      <c r="F2541">
        <v>31201</v>
      </c>
      <c r="G2541" t="str">
        <f t="shared" si="211"/>
        <v>31201</v>
      </c>
      <c r="H2541" t="s">
        <v>516</v>
      </c>
      <c r="I2541" t="s">
        <v>1265</v>
      </c>
      <c r="J2541" t="s">
        <v>1266</v>
      </c>
      <c r="K2541" t="s">
        <v>1267</v>
      </c>
      <c r="L2541" t="s">
        <v>1371</v>
      </c>
      <c r="M2541" t="s">
        <v>1430</v>
      </c>
      <c r="N2541">
        <v>1</v>
      </c>
      <c r="O2541" t="str">
        <f t="shared" si="214"/>
        <v>46</v>
      </c>
      <c r="P2541">
        <v>46</v>
      </c>
      <c r="R2541" t="s">
        <v>1269</v>
      </c>
      <c r="S2541">
        <v>0.6</v>
      </c>
      <c r="T2541">
        <v>0.23119999999999999</v>
      </c>
      <c r="U2541">
        <f t="shared" si="215"/>
        <v>0</v>
      </c>
      <c r="V2541" t="str">
        <f t="shared" si="212"/>
        <v>Middle Psychologist</v>
      </c>
      <c r="W2541" t="str">
        <f t="shared" si="213"/>
        <v>Psychologist</v>
      </c>
    </row>
    <row r="2542" spans="1:23" x14ac:dyDescent="0.25">
      <c r="A2542">
        <v>31201</v>
      </c>
      <c r="B2542" t="s">
        <v>1335</v>
      </c>
      <c r="C2542">
        <v>12.46</v>
      </c>
      <c r="D2542" t="s">
        <v>1264</v>
      </c>
      <c r="E2542">
        <v>100239</v>
      </c>
      <c r="F2542">
        <v>31201</v>
      </c>
      <c r="G2542" t="str">
        <f t="shared" si="211"/>
        <v>31201</v>
      </c>
      <c r="H2542" t="s">
        <v>516</v>
      </c>
      <c r="I2542" t="s">
        <v>1265</v>
      </c>
      <c r="J2542" t="s">
        <v>1276</v>
      </c>
      <c r="K2542" t="s">
        <v>1277</v>
      </c>
      <c r="L2542" t="s">
        <v>1335</v>
      </c>
      <c r="M2542" t="s">
        <v>1344</v>
      </c>
      <c r="N2542">
        <v>1</v>
      </c>
      <c r="O2542" t="str">
        <f t="shared" si="214"/>
        <v>47</v>
      </c>
      <c r="P2542">
        <v>47</v>
      </c>
      <c r="R2542" t="s">
        <v>1269</v>
      </c>
      <c r="S2542">
        <v>12.46</v>
      </c>
      <c r="T2542">
        <v>0.23119999999999999</v>
      </c>
      <c r="U2542">
        <f t="shared" si="215"/>
        <v>0</v>
      </c>
      <c r="V2542" t="str">
        <f t="shared" si="212"/>
        <v>Elementary Nurse</v>
      </c>
      <c r="W2542" t="str">
        <f t="shared" si="213"/>
        <v>Nurse</v>
      </c>
    </row>
    <row r="2543" spans="1:23" x14ac:dyDescent="0.25">
      <c r="A2543">
        <v>31201</v>
      </c>
      <c r="B2543" t="s">
        <v>1302</v>
      </c>
      <c r="C2543">
        <v>1</v>
      </c>
      <c r="D2543" t="s">
        <v>1264</v>
      </c>
      <c r="E2543">
        <v>100239</v>
      </c>
      <c r="F2543">
        <v>31201</v>
      </c>
      <c r="G2543" t="str">
        <f t="shared" si="211"/>
        <v>31201</v>
      </c>
      <c r="H2543" t="s">
        <v>516</v>
      </c>
      <c r="I2543" t="s">
        <v>1265</v>
      </c>
      <c r="J2543" t="s">
        <v>1276</v>
      </c>
      <c r="K2543" t="s">
        <v>1277</v>
      </c>
      <c r="L2543" t="s">
        <v>1302</v>
      </c>
      <c r="M2543" t="s">
        <v>1336</v>
      </c>
      <c r="N2543">
        <v>21</v>
      </c>
      <c r="O2543" t="str">
        <f t="shared" si="214"/>
        <v>48</v>
      </c>
      <c r="P2543">
        <v>48</v>
      </c>
      <c r="R2543" t="s">
        <v>1269</v>
      </c>
      <c r="S2543">
        <v>1</v>
      </c>
      <c r="T2543">
        <v>0.23119999999999999</v>
      </c>
      <c r="U2543">
        <f t="shared" si="215"/>
        <v>0.23100000000000001</v>
      </c>
      <c r="V2543" t="str">
        <f t="shared" si="212"/>
        <v>Elementary Physical Therapist</v>
      </c>
      <c r="W2543" t="str">
        <f t="shared" si="213"/>
        <v>Physical Therapist</v>
      </c>
    </row>
    <row r="2544" spans="1:23" x14ac:dyDescent="0.25">
      <c r="A2544">
        <v>31201</v>
      </c>
      <c r="B2544" t="s">
        <v>1330</v>
      </c>
      <c r="C2544">
        <v>0.7</v>
      </c>
      <c r="D2544" t="s">
        <v>1264</v>
      </c>
      <c r="E2544">
        <v>100239</v>
      </c>
      <c r="F2544">
        <v>31201</v>
      </c>
      <c r="G2544" t="str">
        <f t="shared" si="211"/>
        <v>31201</v>
      </c>
      <c r="H2544" t="s">
        <v>516</v>
      </c>
      <c r="I2544" t="s">
        <v>1265</v>
      </c>
      <c r="J2544" t="s">
        <v>1271</v>
      </c>
      <c r="K2544" t="s">
        <v>1272</v>
      </c>
      <c r="L2544" t="s">
        <v>1330</v>
      </c>
      <c r="M2544" t="s">
        <v>1367</v>
      </c>
      <c r="N2544">
        <v>21</v>
      </c>
      <c r="O2544" t="str">
        <f t="shared" si="214"/>
        <v>48</v>
      </c>
      <c r="P2544">
        <v>48</v>
      </c>
      <c r="R2544" t="s">
        <v>1269</v>
      </c>
      <c r="S2544">
        <v>0.7</v>
      </c>
      <c r="T2544">
        <v>0.23119999999999999</v>
      </c>
      <c r="U2544">
        <f t="shared" si="215"/>
        <v>0.16200000000000001</v>
      </c>
      <c r="V2544" t="str">
        <f t="shared" si="212"/>
        <v>High Physical Therapist</v>
      </c>
      <c r="W2544" t="str">
        <f t="shared" si="213"/>
        <v>Physical Therapist</v>
      </c>
    </row>
    <row r="2545" spans="1:23" x14ac:dyDescent="0.25">
      <c r="A2545">
        <v>31201</v>
      </c>
      <c r="B2545" t="s">
        <v>1316</v>
      </c>
      <c r="C2545">
        <v>0.3</v>
      </c>
      <c r="D2545" t="s">
        <v>1264</v>
      </c>
      <c r="E2545">
        <v>100239</v>
      </c>
      <c r="F2545">
        <v>31201</v>
      </c>
      <c r="G2545" t="str">
        <f t="shared" si="211"/>
        <v>31201</v>
      </c>
      <c r="H2545" t="s">
        <v>516</v>
      </c>
      <c r="I2545" t="s">
        <v>1265</v>
      </c>
      <c r="J2545" t="s">
        <v>1266</v>
      </c>
      <c r="K2545" t="s">
        <v>1267</v>
      </c>
      <c r="L2545" t="s">
        <v>1316</v>
      </c>
      <c r="M2545" t="s">
        <v>1366</v>
      </c>
      <c r="N2545">
        <v>21</v>
      </c>
      <c r="O2545" t="str">
        <f t="shared" si="214"/>
        <v>48</v>
      </c>
      <c r="P2545">
        <v>48</v>
      </c>
      <c r="R2545" t="s">
        <v>1269</v>
      </c>
      <c r="S2545">
        <v>0.3</v>
      </c>
      <c r="T2545">
        <v>0.23119999999999999</v>
      </c>
      <c r="U2545">
        <f t="shared" si="215"/>
        <v>6.9000000000000006E-2</v>
      </c>
      <c r="V2545" t="str">
        <f t="shared" si="212"/>
        <v>Middle Physical Therapist</v>
      </c>
      <c r="W2545" t="str">
        <f t="shared" si="213"/>
        <v>Physical Therapist</v>
      </c>
    </row>
    <row r="2546" spans="1:23" x14ac:dyDescent="0.25">
      <c r="A2546">
        <v>31306</v>
      </c>
      <c r="B2546" t="s">
        <v>1308</v>
      </c>
      <c r="C2546">
        <v>0.76700000000000002</v>
      </c>
      <c r="D2546" t="s">
        <v>1264</v>
      </c>
      <c r="E2546">
        <v>100128</v>
      </c>
      <c r="F2546">
        <v>31306</v>
      </c>
      <c r="G2546" t="str">
        <f t="shared" si="211"/>
        <v>31306</v>
      </c>
      <c r="H2546" t="s">
        <v>517</v>
      </c>
      <c r="I2546" t="s">
        <v>1265</v>
      </c>
      <c r="J2546" t="s">
        <v>1276</v>
      </c>
      <c r="K2546" t="s">
        <v>1277</v>
      </c>
      <c r="L2546" t="s">
        <v>1308</v>
      </c>
      <c r="M2546" t="s">
        <v>1389</v>
      </c>
      <c r="N2546">
        <v>1</v>
      </c>
      <c r="O2546" t="str">
        <f t="shared" si="214"/>
        <v>25</v>
      </c>
      <c r="Q2546">
        <v>25</v>
      </c>
      <c r="R2546" t="s">
        <v>1269</v>
      </c>
      <c r="S2546">
        <v>0.76700000000000002</v>
      </c>
      <c r="T2546">
        <v>0.27289999999999998</v>
      </c>
      <c r="U2546">
        <f t="shared" si="215"/>
        <v>0</v>
      </c>
      <c r="V2546" t="str">
        <f t="shared" si="212"/>
        <v>Elementary Pupil Management</v>
      </c>
      <c r="W2546" t="str">
        <f t="shared" si="213"/>
        <v>Pupil Management</v>
      </c>
    </row>
    <row r="2547" spans="1:23" x14ac:dyDescent="0.25">
      <c r="A2547">
        <v>31306</v>
      </c>
      <c r="B2547" t="s">
        <v>1383</v>
      </c>
      <c r="C2547">
        <v>0.114</v>
      </c>
      <c r="D2547" t="s">
        <v>1264</v>
      </c>
      <c r="E2547">
        <v>100128</v>
      </c>
      <c r="F2547">
        <v>31306</v>
      </c>
      <c r="G2547" t="str">
        <f t="shared" si="211"/>
        <v>31306</v>
      </c>
      <c r="H2547" t="s">
        <v>517</v>
      </c>
      <c r="I2547" t="s">
        <v>1265</v>
      </c>
      <c r="J2547" t="s">
        <v>1271</v>
      </c>
      <c r="K2547" t="s">
        <v>1272</v>
      </c>
      <c r="L2547" t="s">
        <v>1383</v>
      </c>
      <c r="M2547" t="s">
        <v>1409</v>
      </c>
      <c r="N2547">
        <v>21</v>
      </c>
      <c r="O2547" t="str">
        <f t="shared" si="214"/>
        <v>25</v>
      </c>
      <c r="Q2547">
        <v>25</v>
      </c>
      <c r="R2547" t="s">
        <v>1269</v>
      </c>
      <c r="S2547">
        <v>0.114</v>
      </c>
      <c r="T2547">
        <v>0.27289999999999998</v>
      </c>
      <c r="U2547">
        <f t="shared" si="215"/>
        <v>3.1E-2</v>
      </c>
      <c r="V2547" t="str">
        <f t="shared" si="212"/>
        <v>High Pupil Management</v>
      </c>
      <c r="W2547" t="str">
        <f t="shared" si="213"/>
        <v>Pupil Management</v>
      </c>
    </row>
    <row r="2548" spans="1:23" x14ac:dyDescent="0.25">
      <c r="A2548">
        <v>31306</v>
      </c>
      <c r="B2548" t="s">
        <v>1299</v>
      </c>
      <c r="C2548">
        <v>2.871</v>
      </c>
      <c r="D2548" t="s">
        <v>1264</v>
      </c>
      <c r="E2548">
        <v>100128</v>
      </c>
      <c r="F2548">
        <v>31306</v>
      </c>
      <c r="G2548" t="str">
        <f t="shared" si="211"/>
        <v>31306</v>
      </c>
      <c r="H2548" t="s">
        <v>517</v>
      </c>
      <c r="I2548" t="s">
        <v>1265</v>
      </c>
      <c r="J2548" t="s">
        <v>1271</v>
      </c>
      <c r="K2548" t="s">
        <v>1272</v>
      </c>
      <c r="L2548" t="s">
        <v>1299</v>
      </c>
      <c r="M2548" t="s">
        <v>1300</v>
      </c>
      <c r="N2548">
        <v>1</v>
      </c>
      <c r="O2548" t="str">
        <f t="shared" si="214"/>
        <v>25</v>
      </c>
      <c r="Q2548">
        <v>25</v>
      </c>
      <c r="R2548" t="s">
        <v>1269</v>
      </c>
      <c r="S2548">
        <v>2.871</v>
      </c>
      <c r="T2548">
        <v>0.27289999999999998</v>
      </c>
      <c r="U2548">
        <f t="shared" si="215"/>
        <v>0</v>
      </c>
      <c r="V2548" t="str">
        <f t="shared" si="212"/>
        <v>High Pupil Management</v>
      </c>
      <c r="W2548" t="str">
        <f t="shared" si="213"/>
        <v>Pupil Management</v>
      </c>
    </row>
    <row r="2549" spans="1:23" x14ac:dyDescent="0.25">
      <c r="A2549">
        <v>31306</v>
      </c>
      <c r="B2549" t="s">
        <v>1315</v>
      </c>
      <c r="C2549">
        <v>0.65600000000000003</v>
      </c>
      <c r="D2549" t="s">
        <v>1264</v>
      </c>
      <c r="E2549">
        <v>100128</v>
      </c>
      <c r="F2549">
        <v>31306</v>
      </c>
      <c r="G2549" t="str">
        <f t="shared" si="211"/>
        <v>31306</v>
      </c>
      <c r="H2549" t="s">
        <v>517</v>
      </c>
      <c r="I2549" t="s">
        <v>1265</v>
      </c>
      <c r="J2549" t="s">
        <v>1276</v>
      </c>
      <c r="K2549" t="s">
        <v>1277</v>
      </c>
      <c r="L2549" t="s">
        <v>1315</v>
      </c>
      <c r="M2549" t="s">
        <v>1375</v>
      </c>
      <c r="N2549">
        <v>1</v>
      </c>
      <c r="O2549" t="str">
        <f t="shared" si="214"/>
        <v>26</v>
      </c>
      <c r="Q2549">
        <v>26</v>
      </c>
      <c r="R2549" t="s">
        <v>1269</v>
      </c>
      <c r="S2549">
        <v>0.65600000000000003</v>
      </c>
      <c r="T2549">
        <v>0.27289999999999998</v>
      </c>
      <c r="U2549">
        <f t="shared" si="215"/>
        <v>0</v>
      </c>
      <c r="V2549" t="str">
        <f t="shared" si="212"/>
        <v>Elementary Health/
Related Services</v>
      </c>
      <c r="W2549" t="str">
        <f t="shared" si="213"/>
        <v>Health/
Related Services</v>
      </c>
    </row>
    <row r="2550" spans="1:23" x14ac:dyDescent="0.25">
      <c r="A2550">
        <v>31306</v>
      </c>
      <c r="B2550" t="s">
        <v>1324</v>
      </c>
      <c r="C2550">
        <v>1.1659999999999999</v>
      </c>
      <c r="D2550" t="s">
        <v>1264</v>
      </c>
      <c r="E2550">
        <v>100128</v>
      </c>
      <c r="F2550">
        <v>31306</v>
      </c>
      <c r="G2550" t="str">
        <f t="shared" si="211"/>
        <v>31306</v>
      </c>
      <c r="H2550" t="s">
        <v>517</v>
      </c>
      <c r="I2550" t="s">
        <v>1265</v>
      </c>
      <c r="J2550" t="s">
        <v>1271</v>
      </c>
      <c r="K2550" t="s">
        <v>1272</v>
      </c>
      <c r="L2550" t="s">
        <v>1324</v>
      </c>
      <c r="M2550" t="s">
        <v>1325</v>
      </c>
      <c r="N2550">
        <v>21</v>
      </c>
      <c r="O2550" t="str">
        <f t="shared" si="214"/>
        <v>26</v>
      </c>
      <c r="Q2550">
        <v>26</v>
      </c>
      <c r="R2550" t="s">
        <v>1269</v>
      </c>
      <c r="S2550">
        <v>1.1659999999999999</v>
      </c>
      <c r="T2550">
        <v>0.27289999999999998</v>
      </c>
      <c r="U2550">
        <f t="shared" si="215"/>
        <v>0.318</v>
      </c>
      <c r="V2550" t="str">
        <f t="shared" si="212"/>
        <v>High Health/
Related Services</v>
      </c>
      <c r="W2550" t="str">
        <f t="shared" si="213"/>
        <v>Health/
Related Services</v>
      </c>
    </row>
    <row r="2551" spans="1:23" x14ac:dyDescent="0.25">
      <c r="A2551">
        <v>31306</v>
      </c>
      <c r="B2551" t="s">
        <v>1295</v>
      </c>
      <c r="C2551">
        <v>2.6240000000000001</v>
      </c>
      <c r="D2551" t="s">
        <v>1264</v>
      </c>
      <c r="E2551">
        <v>100128</v>
      </c>
      <c r="F2551">
        <v>31306</v>
      </c>
      <c r="G2551" t="str">
        <f t="shared" si="211"/>
        <v>31306</v>
      </c>
      <c r="H2551" t="s">
        <v>517</v>
      </c>
      <c r="I2551" t="s">
        <v>1265</v>
      </c>
      <c r="J2551" t="s">
        <v>1271</v>
      </c>
      <c r="K2551" t="s">
        <v>1272</v>
      </c>
      <c r="L2551" t="s">
        <v>1295</v>
      </c>
      <c r="M2551" t="s">
        <v>1296</v>
      </c>
      <c r="N2551">
        <v>1</v>
      </c>
      <c r="O2551" t="str">
        <f t="shared" si="214"/>
        <v>26</v>
      </c>
      <c r="Q2551">
        <v>26</v>
      </c>
      <c r="R2551" t="s">
        <v>1269</v>
      </c>
      <c r="S2551">
        <v>2.6240000000000001</v>
      </c>
      <c r="T2551">
        <v>0.27289999999999998</v>
      </c>
      <c r="U2551">
        <f t="shared" si="215"/>
        <v>0</v>
      </c>
      <c r="V2551" t="str">
        <f t="shared" si="212"/>
        <v>High Health/
Related Services</v>
      </c>
      <c r="W2551" t="str">
        <f t="shared" si="213"/>
        <v>Health/
Related Services</v>
      </c>
    </row>
    <row r="2552" spans="1:23" x14ac:dyDescent="0.25">
      <c r="A2552">
        <v>31306</v>
      </c>
      <c r="B2552" t="s">
        <v>1275</v>
      </c>
      <c r="C2552">
        <v>3</v>
      </c>
      <c r="D2552" t="s">
        <v>1264</v>
      </c>
      <c r="E2552">
        <v>100128</v>
      </c>
      <c r="F2552">
        <v>31306</v>
      </c>
      <c r="G2552" t="str">
        <f t="shared" si="211"/>
        <v>31306</v>
      </c>
      <c r="H2552" t="s">
        <v>517</v>
      </c>
      <c r="I2552" t="s">
        <v>1265</v>
      </c>
      <c r="J2552" t="s">
        <v>1276</v>
      </c>
      <c r="K2552" t="s">
        <v>1277</v>
      </c>
      <c r="L2552" t="s">
        <v>1275</v>
      </c>
      <c r="M2552" t="s">
        <v>1278</v>
      </c>
      <c r="N2552">
        <v>1</v>
      </c>
      <c r="O2552" t="str">
        <f t="shared" si="214"/>
        <v>42</v>
      </c>
      <c r="P2552">
        <v>42</v>
      </c>
      <c r="R2552" t="s">
        <v>1269</v>
      </c>
      <c r="S2552">
        <v>3</v>
      </c>
      <c r="T2552">
        <v>0.27289999999999998</v>
      </c>
      <c r="U2552">
        <f t="shared" si="215"/>
        <v>0</v>
      </c>
      <c r="V2552" t="str">
        <f t="shared" si="212"/>
        <v>Elementary Counselor</v>
      </c>
      <c r="W2552" t="str">
        <f t="shared" si="213"/>
        <v>Counselor</v>
      </c>
    </row>
    <row r="2553" spans="1:23" x14ac:dyDescent="0.25">
      <c r="A2553">
        <v>31306</v>
      </c>
      <c r="B2553" t="s">
        <v>1270</v>
      </c>
      <c r="C2553">
        <v>2</v>
      </c>
      <c r="D2553" t="s">
        <v>1264</v>
      </c>
      <c r="E2553">
        <v>100128</v>
      </c>
      <c r="F2553">
        <v>31306</v>
      </c>
      <c r="G2553" t="str">
        <f t="shared" si="211"/>
        <v>31306</v>
      </c>
      <c r="H2553" t="s">
        <v>517</v>
      </c>
      <c r="I2553" t="s">
        <v>1265</v>
      </c>
      <c r="J2553" t="s">
        <v>1271</v>
      </c>
      <c r="K2553" t="s">
        <v>1272</v>
      </c>
      <c r="L2553" t="s">
        <v>1270</v>
      </c>
      <c r="M2553" t="s">
        <v>1273</v>
      </c>
      <c r="N2553">
        <v>1</v>
      </c>
      <c r="O2553" t="str">
        <f t="shared" si="214"/>
        <v>42</v>
      </c>
      <c r="P2553">
        <v>42</v>
      </c>
      <c r="R2553" t="s">
        <v>1269</v>
      </c>
      <c r="S2553">
        <v>2</v>
      </c>
      <c r="T2553">
        <v>0.27289999999999998</v>
      </c>
      <c r="U2553">
        <f t="shared" si="215"/>
        <v>0</v>
      </c>
      <c r="V2553" t="str">
        <f t="shared" si="212"/>
        <v>High Counselor</v>
      </c>
      <c r="W2553" t="str">
        <f t="shared" si="213"/>
        <v>Counselor</v>
      </c>
    </row>
    <row r="2554" spans="1:23" x14ac:dyDescent="0.25">
      <c r="A2554">
        <v>31306</v>
      </c>
      <c r="B2554" t="s">
        <v>1263</v>
      </c>
      <c r="C2554">
        <v>1.5</v>
      </c>
      <c r="D2554" t="s">
        <v>1264</v>
      </c>
      <c r="E2554">
        <v>100128</v>
      </c>
      <c r="F2554">
        <v>31306</v>
      </c>
      <c r="G2554" t="str">
        <f t="shared" si="211"/>
        <v>31306</v>
      </c>
      <c r="H2554" t="s">
        <v>517</v>
      </c>
      <c r="I2554" t="s">
        <v>1265</v>
      </c>
      <c r="J2554" t="s">
        <v>1266</v>
      </c>
      <c r="K2554" t="s">
        <v>1267</v>
      </c>
      <c r="L2554" t="s">
        <v>1263</v>
      </c>
      <c r="M2554" t="s">
        <v>1268</v>
      </c>
      <c r="N2554">
        <v>1</v>
      </c>
      <c r="O2554" t="str">
        <f t="shared" si="214"/>
        <v>42</v>
      </c>
      <c r="P2554">
        <v>42</v>
      </c>
      <c r="R2554" t="s">
        <v>1269</v>
      </c>
      <c r="S2554">
        <v>1.5</v>
      </c>
      <c r="T2554">
        <v>0.27289999999999998</v>
      </c>
      <c r="U2554">
        <f t="shared" si="215"/>
        <v>0</v>
      </c>
      <c r="V2554" t="str">
        <f t="shared" si="212"/>
        <v>Middle Counselor</v>
      </c>
      <c r="W2554" t="str">
        <f t="shared" si="213"/>
        <v>Counselor</v>
      </c>
    </row>
    <row r="2555" spans="1:23" x14ac:dyDescent="0.25">
      <c r="A2555">
        <v>31306</v>
      </c>
      <c r="B2555" t="s">
        <v>1289</v>
      </c>
      <c r="C2555">
        <v>0.9</v>
      </c>
      <c r="D2555" t="s">
        <v>1264</v>
      </c>
      <c r="E2555">
        <v>100128</v>
      </c>
      <c r="F2555">
        <v>31306</v>
      </c>
      <c r="G2555" t="str">
        <f t="shared" si="211"/>
        <v>31306</v>
      </c>
      <c r="H2555" t="s">
        <v>517</v>
      </c>
      <c r="I2555" t="s">
        <v>1265</v>
      </c>
      <c r="J2555" t="s">
        <v>1276</v>
      </c>
      <c r="K2555" t="s">
        <v>1277</v>
      </c>
      <c r="L2555" t="s">
        <v>1289</v>
      </c>
      <c r="M2555" t="s">
        <v>1307</v>
      </c>
      <c r="N2555">
        <v>21</v>
      </c>
      <c r="O2555" t="str">
        <f t="shared" si="214"/>
        <v>43</v>
      </c>
      <c r="P2555">
        <v>43</v>
      </c>
      <c r="R2555" t="s">
        <v>1269</v>
      </c>
      <c r="S2555">
        <v>0.9</v>
      </c>
      <c r="T2555">
        <v>0.27289999999999998</v>
      </c>
      <c r="U2555">
        <f t="shared" si="215"/>
        <v>0.246</v>
      </c>
      <c r="V2555" t="str">
        <f t="shared" si="212"/>
        <v>Elementary Occupational Therapist</v>
      </c>
      <c r="W2555" t="str">
        <f t="shared" si="213"/>
        <v>Occupational Therapist</v>
      </c>
    </row>
    <row r="2556" spans="1:23" x14ac:dyDescent="0.25">
      <c r="A2556">
        <v>31306</v>
      </c>
      <c r="B2556" t="s">
        <v>1294</v>
      </c>
      <c r="C2556">
        <v>1</v>
      </c>
      <c r="D2556" t="s">
        <v>1264</v>
      </c>
      <c r="E2556">
        <v>100128</v>
      </c>
      <c r="F2556">
        <v>31306</v>
      </c>
      <c r="G2556" t="str">
        <f t="shared" si="211"/>
        <v>31306</v>
      </c>
      <c r="H2556" t="s">
        <v>517</v>
      </c>
      <c r="I2556" t="s">
        <v>1265</v>
      </c>
      <c r="J2556" t="s">
        <v>1276</v>
      </c>
      <c r="K2556" t="s">
        <v>1277</v>
      </c>
      <c r="L2556" t="s">
        <v>1294</v>
      </c>
      <c r="M2556" t="s">
        <v>1354</v>
      </c>
      <c r="N2556">
        <v>21</v>
      </c>
      <c r="O2556" t="str">
        <f t="shared" si="214"/>
        <v>45</v>
      </c>
      <c r="P2556">
        <v>45</v>
      </c>
      <c r="R2556" t="s">
        <v>1269</v>
      </c>
      <c r="S2556">
        <v>1</v>
      </c>
      <c r="T2556">
        <v>0.27289999999999998</v>
      </c>
      <c r="U2556">
        <f t="shared" si="215"/>
        <v>0.27300000000000002</v>
      </c>
      <c r="V2556" t="str">
        <f t="shared" si="212"/>
        <v>Elementary Speech, Language Pathway/
Audio</v>
      </c>
      <c r="W2556" t="str">
        <f t="shared" si="213"/>
        <v>Speech, Language Pathway/
Audio</v>
      </c>
    </row>
    <row r="2557" spans="1:23" x14ac:dyDescent="0.25">
      <c r="A2557">
        <v>31306</v>
      </c>
      <c r="B2557" t="s">
        <v>1326</v>
      </c>
      <c r="C2557">
        <v>0.20499999999999999</v>
      </c>
      <c r="D2557" t="s">
        <v>1264</v>
      </c>
      <c r="E2557">
        <v>100128</v>
      </c>
      <c r="F2557">
        <v>31306</v>
      </c>
      <c r="G2557" t="str">
        <f t="shared" si="211"/>
        <v>31306</v>
      </c>
      <c r="H2557" t="s">
        <v>517</v>
      </c>
      <c r="I2557" t="s">
        <v>1265</v>
      </c>
      <c r="J2557" t="s">
        <v>1271</v>
      </c>
      <c r="K2557" t="s">
        <v>1272</v>
      </c>
      <c r="L2557" t="s">
        <v>1326</v>
      </c>
      <c r="M2557" t="s">
        <v>1353</v>
      </c>
      <c r="N2557">
        <v>21</v>
      </c>
      <c r="O2557" t="str">
        <f t="shared" si="214"/>
        <v>45</v>
      </c>
      <c r="P2557">
        <v>45</v>
      </c>
      <c r="R2557" t="s">
        <v>1269</v>
      </c>
      <c r="S2557">
        <v>0.20499999999999999</v>
      </c>
      <c r="T2557">
        <v>0.27289999999999998</v>
      </c>
      <c r="U2557">
        <f t="shared" si="215"/>
        <v>5.6000000000000001E-2</v>
      </c>
      <c r="V2557" t="str">
        <f t="shared" si="212"/>
        <v>High Speech, Language Pathway/
Audio</v>
      </c>
      <c r="W2557" t="str">
        <f t="shared" si="213"/>
        <v>Speech, Language Pathway/
Audio</v>
      </c>
    </row>
    <row r="2558" spans="1:23" x14ac:dyDescent="0.25">
      <c r="A2558">
        <v>31306</v>
      </c>
      <c r="B2558" t="s">
        <v>1312</v>
      </c>
      <c r="C2558">
        <v>0.29499999999999998</v>
      </c>
      <c r="D2558" t="s">
        <v>1264</v>
      </c>
      <c r="E2558">
        <v>100128</v>
      </c>
      <c r="F2558">
        <v>31306</v>
      </c>
      <c r="G2558" t="str">
        <f t="shared" si="211"/>
        <v>31306</v>
      </c>
      <c r="H2558" t="s">
        <v>517</v>
      </c>
      <c r="I2558" t="s">
        <v>1265</v>
      </c>
      <c r="J2558" t="s">
        <v>1266</v>
      </c>
      <c r="K2558" t="s">
        <v>1267</v>
      </c>
      <c r="L2558" t="s">
        <v>1312</v>
      </c>
      <c r="M2558" t="s">
        <v>1351</v>
      </c>
      <c r="N2558">
        <v>21</v>
      </c>
      <c r="O2558" t="str">
        <f t="shared" si="214"/>
        <v>45</v>
      </c>
      <c r="P2558">
        <v>45</v>
      </c>
      <c r="R2558" t="s">
        <v>1269</v>
      </c>
      <c r="S2558">
        <v>0.29499999999999998</v>
      </c>
      <c r="T2558">
        <v>0.27289999999999998</v>
      </c>
      <c r="U2558">
        <f t="shared" si="215"/>
        <v>8.1000000000000003E-2</v>
      </c>
      <c r="V2558" t="str">
        <f t="shared" si="212"/>
        <v>Middle Speech, Language Pathway/
Audio</v>
      </c>
      <c r="W2558" t="str">
        <f t="shared" si="213"/>
        <v>Speech, Language Pathway/
Audio</v>
      </c>
    </row>
    <row r="2559" spans="1:23" x14ac:dyDescent="0.25">
      <c r="A2559">
        <v>31306</v>
      </c>
      <c r="B2559" t="s">
        <v>1335</v>
      </c>
      <c r="C2559">
        <v>1</v>
      </c>
      <c r="D2559" t="s">
        <v>1264</v>
      </c>
      <c r="E2559">
        <v>100128</v>
      </c>
      <c r="F2559">
        <v>31306</v>
      </c>
      <c r="G2559" t="str">
        <f t="shared" si="211"/>
        <v>31306</v>
      </c>
      <c r="H2559" t="s">
        <v>517</v>
      </c>
      <c r="I2559" t="s">
        <v>1265</v>
      </c>
      <c r="J2559" t="s">
        <v>1276</v>
      </c>
      <c r="K2559" t="s">
        <v>1277</v>
      </c>
      <c r="L2559" t="s">
        <v>1335</v>
      </c>
      <c r="M2559" t="s">
        <v>1344</v>
      </c>
      <c r="N2559">
        <v>1</v>
      </c>
      <c r="O2559" t="str">
        <f t="shared" si="214"/>
        <v>47</v>
      </c>
      <c r="P2559">
        <v>47</v>
      </c>
      <c r="R2559" t="s">
        <v>1269</v>
      </c>
      <c r="S2559">
        <v>1</v>
      </c>
      <c r="T2559">
        <v>0.27289999999999998</v>
      </c>
      <c r="U2559">
        <f t="shared" si="215"/>
        <v>0</v>
      </c>
      <c r="V2559" t="str">
        <f t="shared" si="212"/>
        <v>Elementary Nurse</v>
      </c>
      <c r="W2559" t="str">
        <f t="shared" si="213"/>
        <v>Nurse</v>
      </c>
    </row>
    <row r="2560" spans="1:23" x14ac:dyDescent="0.25">
      <c r="A2560">
        <v>31306</v>
      </c>
      <c r="B2560" t="s">
        <v>1302</v>
      </c>
      <c r="C2560">
        <v>0.4</v>
      </c>
      <c r="D2560" t="s">
        <v>1264</v>
      </c>
      <c r="E2560">
        <v>100128</v>
      </c>
      <c r="F2560">
        <v>31306</v>
      </c>
      <c r="G2560" t="str">
        <f t="shared" si="211"/>
        <v>31306</v>
      </c>
      <c r="H2560" t="s">
        <v>517</v>
      </c>
      <c r="I2560" t="s">
        <v>1265</v>
      </c>
      <c r="J2560" t="s">
        <v>1276</v>
      </c>
      <c r="K2560" t="s">
        <v>1277</v>
      </c>
      <c r="L2560" t="s">
        <v>1302</v>
      </c>
      <c r="M2560" t="s">
        <v>1336</v>
      </c>
      <c r="N2560">
        <v>21</v>
      </c>
      <c r="O2560" t="str">
        <f t="shared" si="214"/>
        <v>48</v>
      </c>
      <c r="P2560">
        <v>48</v>
      </c>
      <c r="R2560" t="s">
        <v>1269</v>
      </c>
      <c r="S2560">
        <v>0.4</v>
      </c>
      <c r="T2560">
        <v>0.27289999999999998</v>
      </c>
      <c r="U2560">
        <f t="shared" si="215"/>
        <v>0.109</v>
      </c>
      <c r="V2560" t="str">
        <f t="shared" si="212"/>
        <v>Elementary Physical Therapist</v>
      </c>
      <c r="W2560" t="str">
        <f t="shared" si="213"/>
        <v>Physical Therapist</v>
      </c>
    </row>
    <row r="2561" spans="1:23" x14ac:dyDescent="0.25">
      <c r="A2561">
        <v>31311</v>
      </c>
      <c r="B2561" t="s">
        <v>1286</v>
      </c>
      <c r="C2561">
        <v>1.63</v>
      </c>
      <c r="D2561" t="s">
        <v>1264</v>
      </c>
      <c r="E2561">
        <v>100257</v>
      </c>
      <c r="F2561">
        <v>31311</v>
      </c>
      <c r="G2561" t="str">
        <f t="shared" si="211"/>
        <v>31311</v>
      </c>
      <c r="H2561" t="s">
        <v>518</v>
      </c>
      <c r="I2561" t="s">
        <v>1265</v>
      </c>
      <c r="J2561" t="s">
        <v>1271</v>
      </c>
      <c r="K2561" t="s">
        <v>1272</v>
      </c>
      <c r="L2561" t="s">
        <v>1286</v>
      </c>
      <c r="M2561" t="s">
        <v>1287</v>
      </c>
      <c r="N2561">
        <v>1</v>
      </c>
      <c r="O2561" t="str">
        <f t="shared" si="214"/>
        <v>24</v>
      </c>
      <c r="P2561">
        <v>96</v>
      </c>
      <c r="Q2561">
        <v>24</v>
      </c>
      <c r="R2561" t="s">
        <v>1269</v>
      </c>
      <c r="S2561">
        <v>1.63</v>
      </c>
      <c r="T2561">
        <v>0.30230000000000001</v>
      </c>
      <c r="U2561">
        <f t="shared" si="215"/>
        <v>0</v>
      </c>
      <c r="V2561" t="str">
        <f t="shared" si="212"/>
        <v>High Family Engagement Coordinator</v>
      </c>
      <c r="W2561" t="str">
        <f t="shared" si="213"/>
        <v>Family Engagement Coordinator</v>
      </c>
    </row>
    <row r="2562" spans="1:23" x14ac:dyDescent="0.25">
      <c r="A2562">
        <v>31311</v>
      </c>
      <c r="B2562" t="s">
        <v>1299</v>
      </c>
      <c r="C2562">
        <v>5.8000000000000003E-2</v>
      </c>
      <c r="D2562" t="s">
        <v>1264</v>
      </c>
      <c r="E2562">
        <v>100257</v>
      </c>
      <c r="F2562">
        <v>31311</v>
      </c>
      <c r="G2562" t="str">
        <f t="shared" ref="G2562:G2625" si="216">TEXT(F2562,"00000")</f>
        <v>31311</v>
      </c>
      <c r="H2562" t="s">
        <v>518</v>
      </c>
      <c r="I2562" t="s">
        <v>1265</v>
      </c>
      <c r="J2562" t="s">
        <v>1271</v>
      </c>
      <c r="K2562" t="s">
        <v>1272</v>
      </c>
      <c r="L2562" t="s">
        <v>1299</v>
      </c>
      <c r="M2562" t="s">
        <v>1300</v>
      </c>
      <c r="N2562">
        <v>1</v>
      </c>
      <c r="O2562" t="str">
        <f t="shared" si="214"/>
        <v>25</v>
      </c>
      <c r="Q2562">
        <v>25</v>
      </c>
      <c r="R2562" t="s">
        <v>1269</v>
      </c>
      <c r="S2562">
        <v>5.8000000000000003E-2</v>
      </c>
      <c r="T2562">
        <v>0.30230000000000001</v>
      </c>
      <c r="U2562">
        <f t="shared" si="215"/>
        <v>0</v>
      </c>
      <c r="V2562" t="str">
        <f t="shared" ref="V2562:V2625" si="217">_xlfn.XLOOKUP(L2562,$BV:$BV,$BT:$BT,,0)</f>
        <v>High Pupil Management</v>
      </c>
      <c r="W2562" t="str">
        <f t="shared" ref="W2562:W2625" si="218">_xlfn.TEXTAFTER(V2562," ")</f>
        <v>Pupil Management</v>
      </c>
    </row>
    <row r="2563" spans="1:23" x14ac:dyDescent="0.25">
      <c r="A2563">
        <v>31311</v>
      </c>
      <c r="B2563" t="s">
        <v>1295</v>
      </c>
      <c r="C2563">
        <v>1.081</v>
      </c>
      <c r="D2563" t="s">
        <v>1264</v>
      </c>
      <c r="E2563">
        <v>100257</v>
      </c>
      <c r="F2563">
        <v>31311</v>
      </c>
      <c r="G2563" t="str">
        <f t="shared" si="216"/>
        <v>31311</v>
      </c>
      <c r="H2563" t="s">
        <v>518</v>
      </c>
      <c r="I2563" t="s">
        <v>1265</v>
      </c>
      <c r="J2563" t="s">
        <v>1271</v>
      </c>
      <c r="K2563" t="s">
        <v>1272</v>
      </c>
      <c r="L2563" t="s">
        <v>1295</v>
      </c>
      <c r="M2563" t="s">
        <v>1296</v>
      </c>
      <c r="N2563">
        <v>1</v>
      </c>
      <c r="O2563" t="str">
        <f t="shared" ref="O2563:O2626" si="219">MID(L2563,3,2)</f>
        <v>26</v>
      </c>
      <c r="Q2563">
        <v>26</v>
      </c>
      <c r="R2563" t="s">
        <v>1269</v>
      </c>
      <c r="S2563">
        <v>1.081</v>
      </c>
      <c r="T2563">
        <v>0.30230000000000001</v>
      </c>
      <c r="U2563">
        <f t="shared" ref="U2563:U2626" si="220">IF(N2563=21,ROUND(T2563*S2563,3),0)</f>
        <v>0</v>
      </c>
      <c r="V2563" t="str">
        <f t="shared" si="217"/>
        <v>High Health/
Related Services</v>
      </c>
      <c r="W2563" t="str">
        <f t="shared" si="218"/>
        <v>Health/
Related Services</v>
      </c>
    </row>
    <row r="2564" spans="1:23" x14ac:dyDescent="0.25">
      <c r="A2564">
        <v>31311</v>
      </c>
      <c r="B2564" t="s">
        <v>1275</v>
      </c>
      <c r="C2564">
        <v>2</v>
      </c>
      <c r="D2564" t="s">
        <v>1264</v>
      </c>
      <c r="E2564">
        <v>100257</v>
      </c>
      <c r="F2564">
        <v>31311</v>
      </c>
      <c r="G2564" t="str">
        <f t="shared" si="216"/>
        <v>31311</v>
      </c>
      <c r="H2564" t="s">
        <v>518</v>
      </c>
      <c r="I2564" t="s">
        <v>1265</v>
      </c>
      <c r="J2564" t="s">
        <v>1276</v>
      </c>
      <c r="K2564" t="s">
        <v>1277</v>
      </c>
      <c r="L2564" t="s">
        <v>1275</v>
      </c>
      <c r="M2564" t="s">
        <v>1278</v>
      </c>
      <c r="N2564">
        <v>1</v>
      </c>
      <c r="O2564" t="str">
        <f t="shared" si="219"/>
        <v>42</v>
      </c>
      <c r="P2564">
        <v>42</v>
      </c>
      <c r="R2564" t="s">
        <v>1269</v>
      </c>
      <c r="S2564">
        <v>2</v>
      </c>
      <c r="T2564">
        <v>0.30230000000000001</v>
      </c>
      <c r="U2564">
        <f t="shared" si="220"/>
        <v>0</v>
      </c>
      <c r="V2564" t="str">
        <f t="shared" si="217"/>
        <v>Elementary Counselor</v>
      </c>
      <c r="W2564" t="str">
        <f t="shared" si="218"/>
        <v>Counselor</v>
      </c>
    </row>
    <row r="2565" spans="1:23" x14ac:dyDescent="0.25">
      <c r="A2565">
        <v>31311</v>
      </c>
      <c r="B2565" t="s">
        <v>1270</v>
      </c>
      <c r="C2565">
        <v>1.9</v>
      </c>
      <c r="D2565" t="s">
        <v>1264</v>
      </c>
      <c r="E2565">
        <v>100257</v>
      </c>
      <c r="F2565">
        <v>31311</v>
      </c>
      <c r="G2565" t="str">
        <f t="shared" si="216"/>
        <v>31311</v>
      </c>
      <c r="H2565" t="s">
        <v>518</v>
      </c>
      <c r="I2565" t="s">
        <v>1265</v>
      </c>
      <c r="J2565" t="s">
        <v>1271</v>
      </c>
      <c r="K2565" t="s">
        <v>1272</v>
      </c>
      <c r="L2565" t="s">
        <v>1270</v>
      </c>
      <c r="M2565" t="s">
        <v>1273</v>
      </c>
      <c r="N2565">
        <v>1</v>
      </c>
      <c r="O2565" t="str">
        <f t="shared" si="219"/>
        <v>42</v>
      </c>
      <c r="P2565">
        <v>42</v>
      </c>
      <c r="R2565" t="s">
        <v>1269</v>
      </c>
      <c r="S2565">
        <v>1.9</v>
      </c>
      <c r="T2565">
        <v>0.30230000000000001</v>
      </c>
      <c r="U2565">
        <f t="shared" si="220"/>
        <v>0</v>
      </c>
      <c r="V2565" t="str">
        <f t="shared" si="217"/>
        <v>High Counselor</v>
      </c>
      <c r="W2565" t="str">
        <f t="shared" si="218"/>
        <v>Counselor</v>
      </c>
    </row>
    <row r="2566" spans="1:23" x14ac:dyDescent="0.25">
      <c r="A2566">
        <v>31311</v>
      </c>
      <c r="B2566" t="s">
        <v>1289</v>
      </c>
      <c r="C2566">
        <v>1</v>
      </c>
      <c r="D2566" t="s">
        <v>1264</v>
      </c>
      <c r="E2566">
        <v>100257</v>
      </c>
      <c r="F2566">
        <v>31311</v>
      </c>
      <c r="G2566" t="str">
        <f t="shared" si="216"/>
        <v>31311</v>
      </c>
      <c r="H2566" t="s">
        <v>518</v>
      </c>
      <c r="I2566" t="s">
        <v>1265</v>
      </c>
      <c r="J2566" t="s">
        <v>1276</v>
      </c>
      <c r="K2566" t="s">
        <v>1277</v>
      </c>
      <c r="L2566" t="s">
        <v>1289</v>
      </c>
      <c r="M2566" t="s">
        <v>1307</v>
      </c>
      <c r="N2566">
        <v>21</v>
      </c>
      <c r="O2566" t="str">
        <f t="shared" si="219"/>
        <v>43</v>
      </c>
      <c r="P2566">
        <v>43</v>
      </c>
      <c r="R2566" t="s">
        <v>1269</v>
      </c>
      <c r="S2566">
        <v>1</v>
      </c>
      <c r="T2566">
        <v>0.30230000000000001</v>
      </c>
      <c r="U2566">
        <f t="shared" si="220"/>
        <v>0.30199999999999999</v>
      </c>
      <c r="V2566" t="str">
        <f t="shared" si="217"/>
        <v>Elementary Occupational Therapist</v>
      </c>
      <c r="W2566" t="str">
        <f t="shared" si="218"/>
        <v>Occupational Therapist</v>
      </c>
    </row>
    <row r="2567" spans="1:23" x14ac:dyDescent="0.25">
      <c r="A2567">
        <v>31311</v>
      </c>
      <c r="B2567" t="s">
        <v>1294</v>
      </c>
      <c r="C2567">
        <v>2.4</v>
      </c>
      <c r="D2567" t="s">
        <v>1264</v>
      </c>
      <c r="E2567">
        <v>100257</v>
      </c>
      <c r="F2567">
        <v>31311</v>
      </c>
      <c r="G2567" t="str">
        <f t="shared" si="216"/>
        <v>31311</v>
      </c>
      <c r="H2567" t="s">
        <v>518</v>
      </c>
      <c r="I2567" t="s">
        <v>1265</v>
      </c>
      <c r="J2567" t="s">
        <v>1276</v>
      </c>
      <c r="K2567" t="s">
        <v>1277</v>
      </c>
      <c r="L2567" t="s">
        <v>1294</v>
      </c>
      <c r="M2567" t="s">
        <v>1354</v>
      </c>
      <c r="N2567">
        <v>21</v>
      </c>
      <c r="O2567" t="str">
        <f t="shared" si="219"/>
        <v>45</v>
      </c>
      <c r="P2567">
        <v>45</v>
      </c>
      <c r="R2567" t="s">
        <v>1269</v>
      </c>
      <c r="S2567">
        <v>2.4</v>
      </c>
      <c r="T2567">
        <v>0.30230000000000001</v>
      </c>
      <c r="U2567">
        <f t="shared" si="220"/>
        <v>0.72599999999999998</v>
      </c>
      <c r="V2567" t="str">
        <f t="shared" si="217"/>
        <v>Elementary Speech, Language Pathway/
Audio</v>
      </c>
      <c r="W2567" t="str">
        <f t="shared" si="218"/>
        <v>Speech, Language Pathway/
Audio</v>
      </c>
    </row>
    <row r="2568" spans="1:23" x14ac:dyDescent="0.25">
      <c r="A2568">
        <v>31311</v>
      </c>
      <c r="B2568" t="s">
        <v>1326</v>
      </c>
      <c r="C2568">
        <v>1</v>
      </c>
      <c r="D2568" t="s">
        <v>1264</v>
      </c>
      <c r="E2568">
        <v>100257</v>
      </c>
      <c r="F2568">
        <v>31311</v>
      </c>
      <c r="G2568" t="str">
        <f t="shared" si="216"/>
        <v>31311</v>
      </c>
      <c r="H2568" t="s">
        <v>518</v>
      </c>
      <c r="I2568" t="s">
        <v>1265</v>
      </c>
      <c r="J2568" t="s">
        <v>1271</v>
      </c>
      <c r="K2568" t="s">
        <v>1272</v>
      </c>
      <c r="L2568" t="s">
        <v>1326</v>
      </c>
      <c r="M2568" t="s">
        <v>1353</v>
      </c>
      <c r="N2568">
        <v>21</v>
      </c>
      <c r="O2568" t="str">
        <f t="shared" si="219"/>
        <v>45</v>
      </c>
      <c r="P2568">
        <v>45</v>
      </c>
      <c r="R2568" t="s">
        <v>1269</v>
      </c>
      <c r="S2568">
        <v>1</v>
      </c>
      <c r="T2568">
        <v>0.30230000000000001</v>
      </c>
      <c r="U2568">
        <f t="shared" si="220"/>
        <v>0.30199999999999999</v>
      </c>
      <c r="V2568" t="str">
        <f t="shared" si="217"/>
        <v>High Speech, Language Pathway/
Audio</v>
      </c>
      <c r="W2568" t="str">
        <f t="shared" si="218"/>
        <v>Speech, Language Pathway/
Audio</v>
      </c>
    </row>
    <row r="2569" spans="1:23" x14ac:dyDescent="0.25">
      <c r="A2569">
        <v>31311</v>
      </c>
      <c r="B2569" t="s">
        <v>1298</v>
      </c>
      <c r="C2569">
        <v>1.012</v>
      </c>
      <c r="D2569" t="s">
        <v>1264</v>
      </c>
      <c r="E2569">
        <v>100257</v>
      </c>
      <c r="F2569">
        <v>31311</v>
      </c>
      <c r="G2569" t="str">
        <f t="shared" si="216"/>
        <v>31311</v>
      </c>
      <c r="H2569" t="s">
        <v>518</v>
      </c>
      <c r="I2569" t="s">
        <v>1265</v>
      </c>
      <c r="J2569" t="s">
        <v>1276</v>
      </c>
      <c r="K2569" t="s">
        <v>1277</v>
      </c>
      <c r="L2569" t="s">
        <v>1298</v>
      </c>
      <c r="M2569" t="s">
        <v>1349</v>
      </c>
      <c r="N2569">
        <v>21</v>
      </c>
      <c r="O2569" t="str">
        <f t="shared" si="219"/>
        <v>46</v>
      </c>
      <c r="P2569">
        <v>46</v>
      </c>
      <c r="R2569" t="s">
        <v>1269</v>
      </c>
      <c r="S2569">
        <v>1.012</v>
      </c>
      <c r="T2569">
        <v>0.30230000000000001</v>
      </c>
      <c r="U2569">
        <f t="shared" si="220"/>
        <v>0.30599999999999999</v>
      </c>
      <c r="V2569" t="str">
        <f t="shared" si="217"/>
        <v>Elementary Psychologist</v>
      </c>
      <c r="W2569" t="str">
        <f t="shared" si="218"/>
        <v>Psychologist</v>
      </c>
    </row>
    <row r="2570" spans="1:23" x14ac:dyDescent="0.25">
      <c r="A2570">
        <v>31311</v>
      </c>
      <c r="B2570" t="s">
        <v>1309</v>
      </c>
      <c r="C2570">
        <v>0.156</v>
      </c>
      <c r="D2570" t="s">
        <v>1264</v>
      </c>
      <c r="E2570">
        <v>100257</v>
      </c>
      <c r="F2570">
        <v>31311</v>
      </c>
      <c r="G2570" t="str">
        <f t="shared" si="216"/>
        <v>31311</v>
      </c>
      <c r="H2570" t="s">
        <v>518</v>
      </c>
      <c r="I2570" t="s">
        <v>1265</v>
      </c>
      <c r="J2570" t="s">
        <v>1271</v>
      </c>
      <c r="K2570" t="s">
        <v>1272</v>
      </c>
      <c r="L2570" t="s">
        <v>1309</v>
      </c>
      <c r="M2570" t="s">
        <v>1310</v>
      </c>
      <c r="N2570">
        <v>21</v>
      </c>
      <c r="O2570" t="str">
        <f t="shared" si="219"/>
        <v>46</v>
      </c>
      <c r="P2570">
        <v>46</v>
      </c>
      <c r="R2570" t="s">
        <v>1269</v>
      </c>
      <c r="S2570">
        <v>0.156</v>
      </c>
      <c r="T2570">
        <v>0.30230000000000001</v>
      </c>
      <c r="U2570">
        <f t="shared" si="220"/>
        <v>4.7E-2</v>
      </c>
      <c r="V2570" t="str">
        <f t="shared" si="217"/>
        <v>High Psychologist</v>
      </c>
      <c r="W2570" t="str">
        <f t="shared" si="218"/>
        <v>Psychologist</v>
      </c>
    </row>
    <row r="2571" spans="1:23" x14ac:dyDescent="0.25">
      <c r="A2571">
        <v>31311</v>
      </c>
      <c r="B2571" t="s">
        <v>1345</v>
      </c>
      <c r="C2571">
        <v>8.3000000000000004E-2</v>
      </c>
      <c r="D2571" t="s">
        <v>1264</v>
      </c>
      <c r="E2571">
        <v>100257</v>
      </c>
      <c r="F2571">
        <v>31311</v>
      </c>
      <c r="G2571" t="str">
        <f t="shared" si="216"/>
        <v>31311</v>
      </c>
      <c r="H2571" t="s">
        <v>518</v>
      </c>
      <c r="I2571" t="s">
        <v>1265</v>
      </c>
      <c r="J2571" t="s">
        <v>1266</v>
      </c>
      <c r="K2571" t="s">
        <v>1267</v>
      </c>
      <c r="L2571" t="s">
        <v>1345</v>
      </c>
      <c r="M2571" t="s">
        <v>1346</v>
      </c>
      <c r="N2571">
        <v>21</v>
      </c>
      <c r="O2571" t="str">
        <f t="shared" si="219"/>
        <v>46</v>
      </c>
      <c r="P2571">
        <v>46</v>
      </c>
      <c r="R2571" t="s">
        <v>1269</v>
      </c>
      <c r="S2571">
        <v>8.3000000000000004E-2</v>
      </c>
      <c r="T2571">
        <v>0.30230000000000001</v>
      </c>
      <c r="U2571">
        <f t="shared" si="220"/>
        <v>2.5000000000000001E-2</v>
      </c>
      <c r="V2571" t="str">
        <f t="shared" si="217"/>
        <v>Middle Psychologist</v>
      </c>
      <c r="W2571" t="str">
        <f t="shared" si="218"/>
        <v>Psychologist</v>
      </c>
    </row>
    <row r="2572" spans="1:23" x14ac:dyDescent="0.25">
      <c r="A2572">
        <v>31330</v>
      </c>
      <c r="B2572" t="s">
        <v>1299</v>
      </c>
      <c r="C2572">
        <v>1.0840000000000001</v>
      </c>
      <c r="D2572" t="s">
        <v>1264</v>
      </c>
      <c r="E2572">
        <v>100064</v>
      </c>
      <c r="F2572">
        <v>31330</v>
      </c>
      <c r="G2572" t="str">
        <f t="shared" si="216"/>
        <v>31330</v>
      </c>
      <c r="H2572" t="s">
        <v>519</v>
      </c>
      <c r="I2572" t="s">
        <v>1265</v>
      </c>
      <c r="J2572" t="s">
        <v>1271</v>
      </c>
      <c r="K2572" t="s">
        <v>1272</v>
      </c>
      <c r="L2572" t="s">
        <v>1299</v>
      </c>
      <c r="M2572" t="s">
        <v>1300</v>
      </c>
      <c r="N2572">
        <v>1</v>
      </c>
      <c r="O2572" t="str">
        <f t="shared" si="219"/>
        <v>25</v>
      </c>
      <c r="Q2572">
        <v>25</v>
      </c>
      <c r="R2572" t="s">
        <v>1269</v>
      </c>
      <c r="S2572">
        <v>1.0840000000000001</v>
      </c>
      <c r="T2572">
        <v>0.1636</v>
      </c>
      <c r="U2572">
        <f t="shared" si="220"/>
        <v>0</v>
      </c>
      <c r="V2572" t="str">
        <f t="shared" si="217"/>
        <v>High Pupil Management</v>
      </c>
      <c r="W2572" t="str">
        <f t="shared" si="218"/>
        <v>Pupil Management</v>
      </c>
    </row>
    <row r="2573" spans="1:23" x14ac:dyDescent="0.25">
      <c r="A2573">
        <v>31330</v>
      </c>
      <c r="B2573" t="s">
        <v>1324</v>
      </c>
      <c r="C2573">
        <v>0.74</v>
      </c>
      <c r="D2573" t="s">
        <v>1264</v>
      </c>
      <c r="E2573">
        <v>100064</v>
      </c>
      <c r="F2573">
        <v>31330</v>
      </c>
      <c r="G2573" t="str">
        <f t="shared" si="216"/>
        <v>31330</v>
      </c>
      <c r="H2573" t="s">
        <v>519</v>
      </c>
      <c r="I2573" t="s">
        <v>1265</v>
      </c>
      <c r="J2573" t="s">
        <v>1271</v>
      </c>
      <c r="K2573" t="s">
        <v>1272</v>
      </c>
      <c r="L2573" t="s">
        <v>1324</v>
      </c>
      <c r="M2573" t="s">
        <v>1325</v>
      </c>
      <c r="N2573">
        <v>21</v>
      </c>
      <c r="O2573" t="str">
        <f t="shared" si="219"/>
        <v>26</v>
      </c>
      <c r="Q2573">
        <v>26</v>
      </c>
      <c r="R2573" t="s">
        <v>1269</v>
      </c>
      <c r="S2573">
        <v>0.74</v>
      </c>
      <c r="T2573">
        <v>0.1636</v>
      </c>
      <c r="U2573">
        <f t="shared" si="220"/>
        <v>0.121</v>
      </c>
      <c r="V2573" t="str">
        <f t="shared" si="217"/>
        <v>High Health/
Related Services</v>
      </c>
      <c r="W2573" t="str">
        <f t="shared" si="218"/>
        <v>Health/
Related Services</v>
      </c>
    </row>
    <row r="2574" spans="1:23" x14ac:dyDescent="0.25">
      <c r="A2574">
        <v>31330</v>
      </c>
      <c r="B2574" t="s">
        <v>1295</v>
      </c>
      <c r="C2574">
        <v>0.23799999999999999</v>
      </c>
      <c r="D2574" t="s">
        <v>1264</v>
      </c>
      <c r="E2574">
        <v>100064</v>
      </c>
      <c r="F2574">
        <v>31330</v>
      </c>
      <c r="G2574" t="str">
        <f t="shared" si="216"/>
        <v>31330</v>
      </c>
      <c r="H2574" t="s">
        <v>519</v>
      </c>
      <c r="I2574" t="s">
        <v>1265</v>
      </c>
      <c r="J2574" t="s">
        <v>1271</v>
      </c>
      <c r="K2574" t="s">
        <v>1272</v>
      </c>
      <c r="L2574" t="s">
        <v>1295</v>
      </c>
      <c r="M2574" t="s">
        <v>1296</v>
      </c>
      <c r="N2574">
        <v>1</v>
      </c>
      <c r="O2574" t="str">
        <f t="shared" si="219"/>
        <v>26</v>
      </c>
      <c r="Q2574">
        <v>26</v>
      </c>
      <c r="R2574" t="s">
        <v>1269</v>
      </c>
      <c r="S2574">
        <v>0.23799999999999999</v>
      </c>
      <c r="T2574">
        <v>0.1636</v>
      </c>
      <c r="U2574">
        <f t="shared" si="220"/>
        <v>0</v>
      </c>
      <c r="V2574" t="str">
        <f t="shared" si="217"/>
        <v>High Health/
Related Services</v>
      </c>
      <c r="W2574" t="str">
        <f t="shared" si="218"/>
        <v>Health/
Related Services</v>
      </c>
    </row>
    <row r="2575" spans="1:23" x14ac:dyDescent="0.25">
      <c r="A2575">
        <v>31332</v>
      </c>
      <c r="B2575" t="s">
        <v>1383</v>
      </c>
      <c r="C2575">
        <v>0.80900000000000005</v>
      </c>
      <c r="D2575" t="s">
        <v>1264</v>
      </c>
      <c r="E2575">
        <v>100098</v>
      </c>
      <c r="F2575">
        <v>31332</v>
      </c>
      <c r="G2575" t="str">
        <f t="shared" si="216"/>
        <v>31332</v>
      </c>
      <c r="H2575" t="s">
        <v>520</v>
      </c>
      <c r="I2575" t="s">
        <v>1265</v>
      </c>
      <c r="J2575" t="s">
        <v>1271</v>
      </c>
      <c r="K2575" t="s">
        <v>1272</v>
      </c>
      <c r="L2575" t="s">
        <v>1383</v>
      </c>
      <c r="M2575" t="s">
        <v>1409</v>
      </c>
      <c r="N2575">
        <v>21</v>
      </c>
      <c r="O2575" t="str">
        <f t="shared" si="219"/>
        <v>25</v>
      </c>
      <c r="Q2575">
        <v>25</v>
      </c>
      <c r="R2575" t="s">
        <v>1269</v>
      </c>
      <c r="S2575">
        <v>0.80900000000000005</v>
      </c>
      <c r="T2575">
        <v>0.27300000000000002</v>
      </c>
      <c r="U2575">
        <f t="shared" si="220"/>
        <v>0.221</v>
      </c>
      <c r="V2575" t="str">
        <f t="shared" si="217"/>
        <v>High Pupil Management</v>
      </c>
      <c r="W2575" t="str">
        <f t="shared" si="218"/>
        <v>Pupil Management</v>
      </c>
    </row>
    <row r="2576" spans="1:23" x14ac:dyDescent="0.25">
      <c r="A2576">
        <v>31332</v>
      </c>
      <c r="B2576" t="s">
        <v>1299</v>
      </c>
      <c r="C2576">
        <v>7.0229999999999997</v>
      </c>
      <c r="D2576" t="s">
        <v>1264</v>
      </c>
      <c r="E2576">
        <v>100098</v>
      </c>
      <c r="F2576">
        <v>31332</v>
      </c>
      <c r="G2576" t="str">
        <f t="shared" si="216"/>
        <v>31332</v>
      </c>
      <c r="H2576" t="s">
        <v>520</v>
      </c>
      <c r="I2576" t="s">
        <v>1265</v>
      </c>
      <c r="J2576" t="s">
        <v>1271</v>
      </c>
      <c r="K2576" t="s">
        <v>1272</v>
      </c>
      <c r="L2576" t="s">
        <v>1299</v>
      </c>
      <c r="M2576" t="s">
        <v>1300</v>
      </c>
      <c r="N2576">
        <v>1</v>
      </c>
      <c r="O2576" t="str">
        <f t="shared" si="219"/>
        <v>25</v>
      </c>
      <c r="Q2576">
        <v>25</v>
      </c>
      <c r="R2576" t="s">
        <v>1269</v>
      </c>
      <c r="S2576">
        <v>7.0229999999999997</v>
      </c>
      <c r="T2576">
        <v>0.27300000000000002</v>
      </c>
      <c r="U2576">
        <f t="shared" si="220"/>
        <v>0</v>
      </c>
      <c r="V2576" t="str">
        <f t="shared" si="217"/>
        <v>High Pupil Management</v>
      </c>
      <c r="W2576" t="str">
        <f t="shared" si="218"/>
        <v>Pupil Management</v>
      </c>
    </row>
    <row r="2577" spans="1:23" x14ac:dyDescent="0.25">
      <c r="A2577">
        <v>31332</v>
      </c>
      <c r="B2577" t="s">
        <v>1324</v>
      </c>
      <c r="C2577">
        <v>2.278</v>
      </c>
      <c r="D2577" t="s">
        <v>1264</v>
      </c>
      <c r="E2577">
        <v>100098</v>
      </c>
      <c r="F2577">
        <v>31332</v>
      </c>
      <c r="G2577" t="str">
        <f t="shared" si="216"/>
        <v>31332</v>
      </c>
      <c r="H2577" t="s">
        <v>520</v>
      </c>
      <c r="I2577" t="s">
        <v>1265</v>
      </c>
      <c r="J2577" t="s">
        <v>1271</v>
      </c>
      <c r="K2577" t="s">
        <v>1272</v>
      </c>
      <c r="L2577" t="s">
        <v>1324</v>
      </c>
      <c r="M2577" t="s">
        <v>1325</v>
      </c>
      <c r="N2577">
        <v>21</v>
      </c>
      <c r="O2577" t="str">
        <f t="shared" si="219"/>
        <v>26</v>
      </c>
      <c r="Q2577">
        <v>26</v>
      </c>
      <c r="R2577" t="s">
        <v>1269</v>
      </c>
      <c r="S2577">
        <v>2.278</v>
      </c>
      <c r="T2577">
        <v>0.27300000000000002</v>
      </c>
      <c r="U2577">
        <f t="shared" si="220"/>
        <v>0.622</v>
      </c>
      <c r="V2577" t="str">
        <f t="shared" si="217"/>
        <v>High Health/
Related Services</v>
      </c>
      <c r="W2577" t="str">
        <f t="shared" si="218"/>
        <v>Health/
Related Services</v>
      </c>
    </row>
    <row r="2578" spans="1:23" x14ac:dyDescent="0.25">
      <c r="A2578">
        <v>31332</v>
      </c>
      <c r="B2578" t="s">
        <v>1295</v>
      </c>
      <c r="C2578">
        <v>2.5710000000000002</v>
      </c>
      <c r="D2578" t="s">
        <v>1264</v>
      </c>
      <c r="E2578">
        <v>100098</v>
      </c>
      <c r="F2578">
        <v>31332</v>
      </c>
      <c r="G2578" t="str">
        <f t="shared" si="216"/>
        <v>31332</v>
      </c>
      <c r="H2578" t="s">
        <v>520</v>
      </c>
      <c r="I2578" t="s">
        <v>1265</v>
      </c>
      <c r="J2578" t="s">
        <v>1271</v>
      </c>
      <c r="K2578" t="s">
        <v>1272</v>
      </c>
      <c r="L2578" t="s">
        <v>1295</v>
      </c>
      <c r="M2578" t="s">
        <v>1296</v>
      </c>
      <c r="N2578">
        <v>1</v>
      </c>
      <c r="O2578" t="str">
        <f t="shared" si="219"/>
        <v>26</v>
      </c>
      <c r="Q2578">
        <v>26</v>
      </c>
      <c r="R2578" t="s">
        <v>1269</v>
      </c>
      <c r="S2578">
        <v>2.5710000000000002</v>
      </c>
      <c r="T2578">
        <v>0.27300000000000002</v>
      </c>
      <c r="U2578">
        <f t="shared" si="220"/>
        <v>0</v>
      </c>
      <c r="V2578" t="str">
        <f t="shared" si="217"/>
        <v>High Health/
Related Services</v>
      </c>
      <c r="W2578" t="str">
        <f t="shared" si="218"/>
        <v>Health/
Related Services</v>
      </c>
    </row>
    <row r="2579" spans="1:23" x14ac:dyDescent="0.25">
      <c r="A2579">
        <v>31332</v>
      </c>
      <c r="B2579" t="s">
        <v>1275</v>
      </c>
      <c r="C2579">
        <v>2</v>
      </c>
      <c r="D2579" t="s">
        <v>1264</v>
      </c>
      <c r="E2579">
        <v>100098</v>
      </c>
      <c r="F2579">
        <v>31332</v>
      </c>
      <c r="G2579" t="str">
        <f t="shared" si="216"/>
        <v>31332</v>
      </c>
      <c r="H2579" t="s">
        <v>520</v>
      </c>
      <c r="I2579" t="s">
        <v>1265</v>
      </c>
      <c r="J2579" t="s">
        <v>1276</v>
      </c>
      <c r="K2579" t="s">
        <v>1277</v>
      </c>
      <c r="L2579" t="s">
        <v>1275</v>
      </c>
      <c r="M2579" t="s">
        <v>1278</v>
      </c>
      <c r="N2579">
        <v>1</v>
      </c>
      <c r="O2579" t="str">
        <f t="shared" si="219"/>
        <v>42</v>
      </c>
      <c r="P2579">
        <v>42</v>
      </c>
      <c r="R2579" t="s">
        <v>1269</v>
      </c>
      <c r="S2579">
        <v>2</v>
      </c>
      <c r="T2579">
        <v>0.27300000000000002</v>
      </c>
      <c r="U2579">
        <f t="shared" si="220"/>
        <v>0</v>
      </c>
      <c r="V2579" t="str">
        <f t="shared" si="217"/>
        <v>Elementary Counselor</v>
      </c>
      <c r="W2579" t="str">
        <f t="shared" si="218"/>
        <v>Counselor</v>
      </c>
    </row>
    <row r="2580" spans="1:23" x14ac:dyDescent="0.25">
      <c r="A2580">
        <v>31332</v>
      </c>
      <c r="B2580" t="s">
        <v>1270</v>
      </c>
      <c r="C2580">
        <v>1.5</v>
      </c>
      <c r="D2580" t="s">
        <v>1264</v>
      </c>
      <c r="E2580">
        <v>100098</v>
      </c>
      <c r="F2580">
        <v>31332</v>
      </c>
      <c r="G2580" t="str">
        <f t="shared" si="216"/>
        <v>31332</v>
      </c>
      <c r="H2580" t="s">
        <v>520</v>
      </c>
      <c r="I2580" t="s">
        <v>1265</v>
      </c>
      <c r="J2580" t="s">
        <v>1271</v>
      </c>
      <c r="K2580" t="s">
        <v>1272</v>
      </c>
      <c r="L2580" t="s">
        <v>1270</v>
      </c>
      <c r="M2580" t="s">
        <v>1273</v>
      </c>
      <c r="N2580">
        <v>1</v>
      </c>
      <c r="O2580" t="str">
        <f t="shared" si="219"/>
        <v>42</v>
      </c>
      <c r="P2580">
        <v>42</v>
      </c>
      <c r="R2580" t="s">
        <v>1269</v>
      </c>
      <c r="S2580">
        <v>1.5</v>
      </c>
      <c r="T2580">
        <v>0.27300000000000002</v>
      </c>
      <c r="U2580">
        <f t="shared" si="220"/>
        <v>0</v>
      </c>
      <c r="V2580" t="str">
        <f t="shared" si="217"/>
        <v>High Counselor</v>
      </c>
      <c r="W2580" t="str">
        <f t="shared" si="218"/>
        <v>Counselor</v>
      </c>
    </row>
    <row r="2581" spans="1:23" x14ac:dyDescent="0.25">
      <c r="A2581">
        <v>31332</v>
      </c>
      <c r="B2581" t="s">
        <v>1263</v>
      </c>
      <c r="C2581">
        <v>0.75</v>
      </c>
      <c r="D2581" t="s">
        <v>1264</v>
      </c>
      <c r="E2581">
        <v>100098</v>
      </c>
      <c r="F2581">
        <v>31332</v>
      </c>
      <c r="G2581" t="str">
        <f t="shared" si="216"/>
        <v>31332</v>
      </c>
      <c r="H2581" t="s">
        <v>520</v>
      </c>
      <c r="I2581" t="s">
        <v>1265</v>
      </c>
      <c r="J2581" t="s">
        <v>1266</v>
      </c>
      <c r="K2581" t="s">
        <v>1267</v>
      </c>
      <c r="L2581" t="s">
        <v>1263</v>
      </c>
      <c r="M2581" t="s">
        <v>1268</v>
      </c>
      <c r="N2581">
        <v>1</v>
      </c>
      <c r="O2581" t="str">
        <f t="shared" si="219"/>
        <v>42</v>
      </c>
      <c r="P2581">
        <v>42</v>
      </c>
      <c r="R2581" t="s">
        <v>1269</v>
      </c>
      <c r="S2581">
        <v>0.75</v>
      </c>
      <c r="T2581">
        <v>0.27300000000000002</v>
      </c>
      <c r="U2581">
        <f t="shared" si="220"/>
        <v>0</v>
      </c>
      <c r="V2581" t="str">
        <f t="shared" si="217"/>
        <v>Middle Counselor</v>
      </c>
      <c r="W2581" t="str">
        <f t="shared" si="218"/>
        <v>Counselor</v>
      </c>
    </row>
    <row r="2582" spans="1:23" x14ac:dyDescent="0.25">
      <c r="A2582">
        <v>31332</v>
      </c>
      <c r="B2582" t="s">
        <v>1309</v>
      </c>
      <c r="C2582">
        <v>1</v>
      </c>
      <c r="D2582" t="s">
        <v>1264</v>
      </c>
      <c r="E2582">
        <v>100098</v>
      </c>
      <c r="F2582">
        <v>31332</v>
      </c>
      <c r="G2582" t="str">
        <f t="shared" si="216"/>
        <v>31332</v>
      </c>
      <c r="H2582" t="s">
        <v>520</v>
      </c>
      <c r="I2582" t="s">
        <v>1265</v>
      </c>
      <c r="J2582" t="s">
        <v>1271</v>
      </c>
      <c r="K2582" t="s">
        <v>1272</v>
      </c>
      <c r="L2582" t="s">
        <v>1309</v>
      </c>
      <c r="M2582" t="s">
        <v>1310</v>
      </c>
      <c r="N2582">
        <v>21</v>
      </c>
      <c r="O2582" t="str">
        <f t="shared" si="219"/>
        <v>46</v>
      </c>
      <c r="P2582">
        <v>46</v>
      </c>
      <c r="R2582" t="s">
        <v>1269</v>
      </c>
      <c r="S2582">
        <v>1</v>
      </c>
      <c r="T2582">
        <v>0.27300000000000002</v>
      </c>
      <c r="U2582">
        <f t="shared" si="220"/>
        <v>0.27300000000000002</v>
      </c>
      <c r="V2582" t="str">
        <f t="shared" si="217"/>
        <v>High Psychologist</v>
      </c>
      <c r="W2582" t="str">
        <f t="shared" si="218"/>
        <v>Psychologist</v>
      </c>
    </row>
    <row r="2583" spans="1:23" x14ac:dyDescent="0.25">
      <c r="A2583">
        <v>31332</v>
      </c>
      <c r="B2583" t="s">
        <v>1334</v>
      </c>
      <c r="C2583">
        <v>0.443</v>
      </c>
      <c r="D2583" t="s">
        <v>1264</v>
      </c>
      <c r="E2583">
        <v>100098</v>
      </c>
      <c r="F2583">
        <v>31332</v>
      </c>
      <c r="G2583" t="str">
        <f t="shared" si="216"/>
        <v>31332</v>
      </c>
      <c r="H2583" t="s">
        <v>520</v>
      </c>
      <c r="I2583" t="s">
        <v>1265</v>
      </c>
      <c r="J2583" t="s">
        <v>1276</v>
      </c>
      <c r="K2583" t="s">
        <v>1277</v>
      </c>
      <c r="L2583" t="s">
        <v>1334</v>
      </c>
      <c r="M2583" t="s">
        <v>1413</v>
      </c>
      <c r="N2583">
        <v>21</v>
      </c>
      <c r="O2583" t="str">
        <f t="shared" si="219"/>
        <v>47</v>
      </c>
      <c r="P2583">
        <v>47</v>
      </c>
      <c r="R2583" t="s">
        <v>1269</v>
      </c>
      <c r="S2583">
        <v>0.443</v>
      </c>
      <c r="T2583">
        <v>0.27300000000000002</v>
      </c>
      <c r="U2583">
        <f t="shared" si="220"/>
        <v>0.121</v>
      </c>
      <c r="V2583" t="str">
        <f t="shared" si="217"/>
        <v>Elementary Nurse</v>
      </c>
      <c r="W2583" t="str">
        <f t="shared" si="218"/>
        <v>Nurse</v>
      </c>
    </row>
    <row r="2584" spans="1:23" x14ac:dyDescent="0.25">
      <c r="A2584">
        <v>31332</v>
      </c>
      <c r="B2584" t="s">
        <v>1335</v>
      </c>
      <c r="C2584">
        <v>0.443</v>
      </c>
      <c r="D2584" t="s">
        <v>1264</v>
      </c>
      <c r="E2584">
        <v>100098</v>
      </c>
      <c r="F2584">
        <v>31332</v>
      </c>
      <c r="G2584" t="str">
        <f t="shared" si="216"/>
        <v>31332</v>
      </c>
      <c r="H2584" t="s">
        <v>520</v>
      </c>
      <c r="I2584" t="s">
        <v>1265</v>
      </c>
      <c r="J2584" t="s">
        <v>1276</v>
      </c>
      <c r="K2584" t="s">
        <v>1277</v>
      </c>
      <c r="L2584" t="s">
        <v>1335</v>
      </c>
      <c r="M2584" t="s">
        <v>1344</v>
      </c>
      <c r="N2584">
        <v>1</v>
      </c>
      <c r="O2584" t="str">
        <f t="shared" si="219"/>
        <v>47</v>
      </c>
      <c r="P2584">
        <v>47</v>
      </c>
      <c r="R2584" t="s">
        <v>1269</v>
      </c>
      <c r="S2584">
        <v>0.443</v>
      </c>
      <c r="T2584">
        <v>0.27300000000000002</v>
      </c>
      <c r="U2584">
        <f t="shared" si="220"/>
        <v>0</v>
      </c>
      <c r="V2584" t="str">
        <f t="shared" si="217"/>
        <v>Elementary Nurse</v>
      </c>
      <c r="W2584" t="str">
        <f t="shared" si="218"/>
        <v>Nurse</v>
      </c>
    </row>
    <row r="2585" spans="1:23" x14ac:dyDescent="0.25">
      <c r="A2585">
        <v>31332</v>
      </c>
      <c r="B2585" t="s">
        <v>1397</v>
      </c>
      <c r="C2585">
        <v>2.2240000000000002</v>
      </c>
      <c r="D2585" t="s">
        <v>1264</v>
      </c>
      <c r="E2585">
        <v>100098</v>
      </c>
      <c r="F2585">
        <v>31332</v>
      </c>
      <c r="G2585" t="str">
        <f t="shared" si="216"/>
        <v>31332</v>
      </c>
      <c r="H2585" t="s">
        <v>520</v>
      </c>
      <c r="I2585" t="s">
        <v>1265</v>
      </c>
      <c r="J2585" t="s">
        <v>1271</v>
      </c>
      <c r="K2585" t="s">
        <v>1272</v>
      </c>
      <c r="L2585" t="s">
        <v>1397</v>
      </c>
      <c r="M2585" t="s">
        <v>1435</v>
      </c>
      <c r="N2585">
        <v>21</v>
      </c>
      <c r="O2585" t="str">
        <f t="shared" si="219"/>
        <v>47</v>
      </c>
      <c r="P2585">
        <v>47</v>
      </c>
      <c r="R2585" t="s">
        <v>1269</v>
      </c>
      <c r="S2585">
        <v>2.2240000000000002</v>
      </c>
      <c r="T2585">
        <v>0.27300000000000002</v>
      </c>
      <c r="U2585">
        <f t="shared" si="220"/>
        <v>0.60699999999999998</v>
      </c>
      <c r="V2585" t="str">
        <f t="shared" si="217"/>
        <v>High Nurse</v>
      </c>
      <c r="W2585" t="str">
        <f t="shared" si="218"/>
        <v>Nurse</v>
      </c>
    </row>
    <row r="2586" spans="1:23" x14ac:dyDescent="0.25">
      <c r="A2586">
        <v>31401</v>
      </c>
      <c r="B2586" t="s">
        <v>1308</v>
      </c>
      <c r="C2586">
        <v>9.4570000000000007</v>
      </c>
      <c r="D2586" t="s">
        <v>1264</v>
      </c>
      <c r="E2586">
        <v>100250</v>
      </c>
      <c r="F2586">
        <v>31401</v>
      </c>
      <c r="G2586" t="str">
        <f t="shared" si="216"/>
        <v>31401</v>
      </c>
      <c r="H2586" t="s">
        <v>521</v>
      </c>
      <c r="I2586" t="s">
        <v>1265</v>
      </c>
      <c r="J2586" t="s">
        <v>1276</v>
      </c>
      <c r="K2586" t="s">
        <v>1277</v>
      </c>
      <c r="L2586" t="s">
        <v>1308</v>
      </c>
      <c r="M2586" t="s">
        <v>1389</v>
      </c>
      <c r="N2586">
        <v>1</v>
      </c>
      <c r="O2586" t="str">
        <f t="shared" si="219"/>
        <v>25</v>
      </c>
      <c r="Q2586">
        <v>25</v>
      </c>
      <c r="R2586" t="s">
        <v>1269</v>
      </c>
      <c r="S2586">
        <v>9.4570000000000007</v>
      </c>
      <c r="T2586">
        <v>0.2298</v>
      </c>
      <c r="U2586">
        <f t="shared" si="220"/>
        <v>0</v>
      </c>
      <c r="V2586" t="str">
        <f t="shared" si="217"/>
        <v>Elementary Pupil Management</v>
      </c>
      <c r="W2586" t="str">
        <f t="shared" si="218"/>
        <v>Pupil Management</v>
      </c>
    </row>
    <row r="2587" spans="1:23" x14ac:dyDescent="0.25">
      <c r="A2587">
        <v>31401</v>
      </c>
      <c r="B2587" t="s">
        <v>1299</v>
      </c>
      <c r="C2587">
        <v>2.4E-2</v>
      </c>
      <c r="D2587" t="s">
        <v>1264</v>
      </c>
      <c r="E2587">
        <v>100250</v>
      </c>
      <c r="F2587">
        <v>31401</v>
      </c>
      <c r="G2587" t="str">
        <f t="shared" si="216"/>
        <v>31401</v>
      </c>
      <c r="H2587" t="s">
        <v>521</v>
      </c>
      <c r="I2587" t="s">
        <v>1265</v>
      </c>
      <c r="J2587" t="s">
        <v>1271</v>
      </c>
      <c r="K2587" t="s">
        <v>1272</v>
      </c>
      <c r="L2587" t="s">
        <v>1299</v>
      </c>
      <c r="M2587" t="s">
        <v>1300</v>
      </c>
      <c r="N2587">
        <v>1</v>
      </c>
      <c r="O2587" t="str">
        <f t="shared" si="219"/>
        <v>25</v>
      </c>
      <c r="Q2587">
        <v>25</v>
      </c>
      <c r="R2587" t="s">
        <v>1269</v>
      </c>
      <c r="S2587">
        <v>2.4E-2</v>
      </c>
      <c r="T2587">
        <v>0.2298</v>
      </c>
      <c r="U2587">
        <f t="shared" si="220"/>
        <v>0</v>
      </c>
      <c r="V2587" t="str">
        <f t="shared" si="217"/>
        <v>High Pupil Management</v>
      </c>
      <c r="W2587" t="str">
        <f t="shared" si="218"/>
        <v>Pupil Management</v>
      </c>
    </row>
    <row r="2588" spans="1:23" x14ac:dyDescent="0.25">
      <c r="A2588">
        <v>31401</v>
      </c>
      <c r="B2588" t="s">
        <v>1363</v>
      </c>
      <c r="C2588">
        <v>0.90700000000000003</v>
      </c>
      <c r="D2588" t="s">
        <v>1264</v>
      </c>
      <c r="E2588">
        <v>100250</v>
      </c>
      <c r="F2588">
        <v>31401</v>
      </c>
      <c r="G2588" t="str">
        <f t="shared" si="216"/>
        <v>31401</v>
      </c>
      <c r="H2588" t="s">
        <v>521</v>
      </c>
      <c r="I2588" t="s">
        <v>1265</v>
      </c>
      <c r="J2588" t="s">
        <v>1266</v>
      </c>
      <c r="K2588" t="s">
        <v>1267</v>
      </c>
      <c r="L2588" t="s">
        <v>1363</v>
      </c>
      <c r="M2588" t="s">
        <v>1386</v>
      </c>
      <c r="N2588">
        <v>1</v>
      </c>
      <c r="O2588" t="str">
        <f t="shared" si="219"/>
        <v>25</v>
      </c>
      <c r="Q2588">
        <v>25</v>
      </c>
      <c r="R2588" t="s">
        <v>1269</v>
      </c>
      <c r="S2588">
        <v>0.90700000000000003</v>
      </c>
      <c r="T2588">
        <v>0.2298</v>
      </c>
      <c r="U2588">
        <f t="shared" si="220"/>
        <v>0</v>
      </c>
      <c r="V2588" t="str">
        <f t="shared" si="217"/>
        <v>Middle Pupil Management</v>
      </c>
      <c r="W2588" t="str">
        <f t="shared" si="218"/>
        <v>Pupil Management</v>
      </c>
    </row>
    <row r="2589" spans="1:23" x14ac:dyDescent="0.25">
      <c r="A2589">
        <v>31401</v>
      </c>
      <c r="B2589" t="s">
        <v>1311</v>
      </c>
      <c r="C2589">
        <v>1.0529999999999999</v>
      </c>
      <c r="D2589" t="s">
        <v>1264</v>
      </c>
      <c r="E2589">
        <v>100250</v>
      </c>
      <c r="F2589">
        <v>31401</v>
      </c>
      <c r="G2589" t="str">
        <f t="shared" si="216"/>
        <v>31401</v>
      </c>
      <c r="H2589" t="s">
        <v>521</v>
      </c>
      <c r="I2589" t="s">
        <v>1265</v>
      </c>
      <c r="J2589" t="s">
        <v>1276</v>
      </c>
      <c r="K2589" t="s">
        <v>1277</v>
      </c>
      <c r="L2589" t="s">
        <v>1311</v>
      </c>
      <c r="M2589" t="s">
        <v>1327</v>
      </c>
      <c r="N2589">
        <v>21</v>
      </c>
      <c r="O2589" t="str">
        <f t="shared" si="219"/>
        <v>26</v>
      </c>
      <c r="Q2589">
        <v>26</v>
      </c>
      <c r="R2589" t="s">
        <v>1269</v>
      </c>
      <c r="S2589">
        <v>1.0529999999999999</v>
      </c>
      <c r="T2589">
        <v>0.2298</v>
      </c>
      <c r="U2589">
        <f t="shared" si="220"/>
        <v>0.24199999999999999</v>
      </c>
      <c r="V2589" t="str">
        <f t="shared" si="217"/>
        <v>Elementary Health/
Related Services</v>
      </c>
      <c r="W2589" t="str">
        <f t="shared" si="218"/>
        <v>Health/
Related Services</v>
      </c>
    </row>
    <row r="2590" spans="1:23" x14ac:dyDescent="0.25">
      <c r="A2590">
        <v>31401</v>
      </c>
      <c r="B2590" t="s">
        <v>1315</v>
      </c>
      <c r="C2590">
        <v>1.712</v>
      </c>
      <c r="D2590" t="s">
        <v>1264</v>
      </c>
      <c r="E2590">
        <v>100250</v>
      </c>
      <c r="F2590">
        <v>31401</v>
      </c>
      <c r="G2590" t="str">
        <f t="shared" si="216"/>
        <v>31401</v>
      </c>
      <c r="H2590" t="s">
        <v>521</v>
      </c>
      <c r="I2590" t="s">
        <v>1265</v>
      </c>
      <c r="J2590" t="s">
        <v>1276</v>
      </c>
      <c r="K2590" t="s">
        <v>1277</v>
      </c>
      <c r="L2590" t="s">
        <v>1315</v>
      </c>
      <c r="M2590" t="s">
        <v>1375</v>
      </c>
      <c r="N2590">
        <v>1</v>
      </c>
      <c r="O2590" t="str">
        <f t="shared" si="219"/>
        <v>26</v>
      </c>
      <c r="Q2590">
        <v>26</v>
      </c>
      <c r="R2590" t="s">
        <v>1269</v>
      </c>
      <c r="S2590">
        <v>1.712</v>
      </c>
      <c r="T2590">
        <v>0.2298</v>
      </c>
      <c r="U2590">
        <f t="shared" si="220"/>
        <v>0</v>
      </c>
      <c r="V2590" t="str">
        <f t="shared" si="217"/>
        <v>Elementary Health/
Related Services</v>
      </c>
      <c r="W2590" t="str">
        <f t="shared" si="218"/>
        <v>Health/
Related Services</v>
      </c>
    </row>
    <row r="2591" spans="1:23" x14ac:dyDescent="0.25">
      <c r="A2591">
        <v>31401</v>
      </c>
      <c r="B2591" t="s">
        <v>1324</v>
      </c>
      <c r="C2591">
        <v>1.714</v>
      </c>
      <c r="D2591" t="s">
        <v>1264</v>
      </c>
      <c r="E2591">
        <v>100250</v>
      </c>
      <c r="F2591">
        <v>31401</v>
      </c>
      <c r="G2591" t="str">
        <f t="shared" si="216"/>
        <v>31401</v>
      </c>
      <c r="H2591" t="s">
        <v>521</v>
      </c>
      <c r="I2591" t="s">
        <v>1265</v>
      </c>
      <c r="J2591" t="s">
        <v>1271</v>
      </c>
      <c r="K2591" t="s">
        <v>1272</v>
      </c>
      <c r="L2591" t="s">
        <v>1324</v>
      </c>
      <c r="M2591" t="s">
        <v>1325</v>
      </c>
      <c r="N2591">
        <v>21</v>
      </c>
      <c r="O2591" t="str">
        <f t="shared" si="219"/>
        <v>26</v>
      </c>
      <c r="Q2591">
        <v>26</v>
      </c>
      <c r="R2591" t="s">
        <v>1269</v>
      </c>
      <c r="S2591">
        <v>1.714</v>
      </c>
      <c r="T2591">
        <v>0.2298</v>
      </c>
      <c r="U2591">
        <f t="shared" si="220"/>
        <v>0.39400000000000002</v>
      </c>
      <c r="V2591" t="str">
        <f t="shared" si="217"/>
        <v>High Health/
Related Services</v>
      </c>
      <c r="W2591" t="str">
        <f t="shared" si="218"/>
        <v>Health/
Related Services</v>
      </c>
    </row>
    <row r="2592" spans="1:23" x14ac:dyDescent="0.25">
      <c r="A2592">
        <v>31401</v>
      </c>
      <c r="B2592" t="s">
        <v>1295</v>
      </c>
      <c r="C2592">
        <v>0.55400000000000005</v>
      </c>
      <c r="D2592" t="s">
        <v>1264</v>
      </c>
      <c r="E2592">
        <v>100250</v>
      </c>
      <c r="F2592">
        <v>31401</v>
      </c>
      <c r="G2592" t="str">
        <f t="shared" si="216"/>
        <v>31401</v>
      </c>
      <c r="H2592" t="s">
        <v>521</v>
      </c>
      <c r="I2592" t="s">
        <v>1265</v>
      </c>
      <c r="J2592" t="s">
        <v>1271</v>
      </c>
      <c r="K2592" t="s">
        <v>1272</v>
      </c>
      <c r="L2592" t="s">
        <v>1295</v>
      </c>
      <c r="M2592" t="s">
        <v>1296</v>
      </c>
      <c r="N2592">
        <v>1</v>
      </c>
      <c r="O2592" t="str">
        <f t="shared" si="219"/>
        <v>26</v>
      </c>
      <c r="Q2592">
        <v>26</v>
      </c>
      <c r="R2592" t="s">
        <v>1269</v>
      </c>
      <c r="S2592">
        <v>0.55400000000000005</v>
      </c>
      <c r="T2592">
        <v>0.2298</v>
      </c>
      <c r="U2592">
        <f t="shared" si="220"/>
        <v>0</v>
      </c>
      <c r="V2592" t="str">
        <f t="shared" si="217"/>
        <v>High Health/
Related Services</v>
      </c>
      <c r="W2592" t="str">
        <f t="shared" si="218"/>
        <v>Health/
Related Services</v>
      </c>
    </row>
    <row r="2593" spans="1:23" x14ac:dyDescent="0.25">
      <c r="A2593">
        <v>31401</v>
      </c>
      <c r="B2593" t="s">
        <v>1322</v>
      </c>
      <c r="C2593">
        <v>0.56100000000000005</v>
      </c>
      <c r="D2593" t="s">
        <v>1264</v>
      </c>
      <c r="E2593">
        <v>100250</v>
      </c>
      <c r="F2593">
        <v>31401</v>
      </c>
      <c r="G2593" t="str">
        <f t="shared" si="216"/>
        <v>31401</v>
      </c>
      <c r="H2593" t="s">
        <v>521</v>
      </c>
      <c r="I2593" t="s">
        <v>1265</v>
      </c>
      <c r="J2593" t="s">
        <v>1266</v>
      </c>
      <c r="K2593" t="s">
        <v>1267</v>
      </c>
      <c r="L2593" t="s">
        <v>1322</v>
      </c>
      <c r="M2593" t="s">
        <v>1323</v>
      </c>
      <c r="N2593">
        <v>21</v>
      </c>
      <c r="O2593" t="str">
        <f t="shared" si="219"/>
        <v>26</v>
      </c>
      <c r="Q2593">
        <v>26</v>
      </c>
      <c r="R2593" t="s">
        <v>1269</v>
      </c>
      <c r="S2593">
        <v>0.56100000000000005</v>
      </c>
      <c r="T2593">
        <v>0.2298</v>
      </c>
      <c r="U2593">
        <f t="shared" si="220"/>
        <v>0.129</v>
      </c>
      <c r="V2593" t="str">
        <f t="shared" si="217"/>
        <v>Middle Health/
Related Services</v>
      </c>
      <c r="W2593" t="str">
        <f t="shared" si="218"/>
        <v>Health/
Related Services</v>
      </c>
    </row>
    <row r="2594" spans="1:23" x14ac:dyDescent="0.25">
      <c r="A2594">
        <v>31401</v>
      </c>
      <c r="B2594" t="s">
        <v>1291</v>
      </c>
      <c r="C2594">
        <v>0.86699999999999999</v>
      </c>
      <c r="D2594" t="s">
        <v>1264</v>
      </c>
      <c r="E2594">
        <v>100250</v>
      </c>
      <c r="F2594">
        <v>31401</v>
      </c>
      <c r="G2594" t="str">
        <f t="shared" si="216"/>
        <v>31401</v>
      </c>
      <c r="H2594" t="s">
        <v>521</v>
      </c>
      <c r="I2594" t="s">
        <v>1265</v>
      </c>
      <c r="J2594" t="s">
        <v>1266</v>
      </c>
      <c r="K2594" t="s">
        <v>1267</v>
      </c>
      <c r="L2594" t="s">
        <v>1291</v>
      </c>
      <c r="M2594" t="s">
        <v>1292</v>
      </c>
      <c r="N2594">
        <v>1</v>
      </c>
      <c r="O2594" t="str">
        <f t="shared" si="219"/>
        <v>26</v>
      </c>
      <c r="Q2594">
        <v>26</v>
      </c>
      <c r="R2594" t="s">
        <v>1269</v>
      </c>
      <c r="S2594">
        <v>0.86699999999999999</v>
      </c>
      <c r="T2594">
        <v>0.2298</v>
      </c>
      <c r="U2594">
        <f t="shared" si="220"/>
        <v>0</v>
      </c>
      <c r="V2594" t="str">
        <f t="shared" si="217"/>
        <v>Middle Health/
Related Services</v>
      </c>
      <c r="W2594" t="str">
        <f t="shared" si="218"/>
        <v>Health/
Related Services</v>
      </c>
    </row>
    <row r="2595" spans="1:23" x14ac:dyDescent="0.25">
      <c r="A2595">
        <v>31401</v>
      </c>
      <c r="B2595" t="s">
        <v>1401</v>
      </c>
      <c r="C2595">
        <v>0.64300000000000002</v>
      </c>
      <c r="D2595" t="s">
        <v>1264</v>
      </c>
      <c r="E2595">
        <v>100250</v>
      </c>
      <c r="F2595">
        <v>31401</v>
      </c>
      <c r="G2595" t="str">
        <f t="shared" si="216"/>
        <v>31401</v>
      </c>
      <c r="H2595" t="s">
        <v>521</v>
      </c>
      <c r="I2595" t="s">
        <v>1265</v>
      </c>
      <c r="J2595" t="s">
        <v>1271</v>
      </c>
      <c r="K2595" t="s">
        <v>1272</v>
      </c>
      <c r="L2595" t="s">
        <v>1401</v>
      </c>
      <c r="M2595" t="s">
        <v>1422</v>
      </c>
      <c r="N2595">
        <v>1</v>
      </c>
      <c r="O2595" t="str">
        <f t="shared" si="219"/>
        <v>35</v>
      </c>
      <c r="Q2595">
        <v>35</v>
      </c>
      <c r="R2595" t="s">
        <v>1269</v>
      </c>
      <c r="S2595">
        <v>0.64300000000000002</v>
      </c>
      <c r="T2595">
        <v>0.2298</v>
      </c>
      <c r="U2595">
        <f t="shared" si="220"/>
        <v>0</v>
      </c>
      <c r="V2595" t="str">
        <f t="shared" si="217"/>
        <v>High Pupil Safety</v>
      </c>
      <c r="W2595" t="str">
        <f t="shared" si="218"/>
        <v>Pupil Safety</v>
      </c>
    </row>
    <row r="2596" spans="1:23" x14ac:dyDescent="0.25">
      <c r="A2596">
        <v>31401</v>
      </c>
      <c r="B2596" t="s">
        <v>1275</v>
      </c>
      <c r="C2596">
        <v>4</v>
      </c>
      <c r="D2596" t="s">
        <v>1264</v>
      </c>
      <c r="E2596">
        <v>100250</v>
      </c>
      <c r="F2596">
        <v>31401</v>
      </c>
      <c r="G2596" t="str">
        <f t="shared" si="216"/>
        <v>31401</v>
      </c>
      <c r="H2596" t="s">
        <v>521</v>
      </c>
      <c r="I2596" t="s">
        <v>1265</v>
      </c>
      <c r="J2596" t="s">
        <v>1276</v>
      </c>
      <c r="K2596" t="s">
        <v>1277</v>
      </c>
      <c r="L2596" t="s">
        <v>1275</v>
      </c>
      <c r="M2596" t="s">
        <v>1278</v>
      </c>
      <c r="N2596">
        <v>1</v>
      </c>
      <c r="O2596" t="str">
        <f t="shared" si="219"/>
        <v>42</v>
      </c>
      <c r="P2596">
        <v>42</v>
      </c>
      <c r="R2596" t="s">
        <v>1269</v>
      </c>
      <c r="S2596">
        <v>4</v>
      </c>
      <c r="T2596">
        <v>0.2298</v>
      </c>
      <c r="U2596">
        <f t="shared" si="220"/>
        <v>0</v>
      </c>
      <c r="V2596" t="str">
        <f t="shared" si="217"/>
        <v>Elementary Counselor</v>
      </c>
      <c r="W2596" t="str">
        <f t="shared" si="218"/>
        <v>Counselor</v>
      </c>
    </row>
    <row r="2597" spans="1:23" x14ac:dyDescent="0.25">
      <c r="A2597">
        <v>31401</v>
      </c>
      <c r="B2597" t="s">
        <v>1270</v>
      </c>
      <c r="C2597">
        <v>3.1</v>
      </c>
      <c r="D2597" t="s">
        <v>1264</v>
      </c>
      <c r="E2597">
        <v>100250</v>
      </c>
      <c r="F2597">
        <v>31401</v>
      </c>
      <c r="G2597" t="str">
        <f t="shared" si="216"/>
        <v>31401</v>
      </c>
      <c r="H2597" t="s">
        <v>521</v>
      </c>
      <c r="I2597" t="s">
        <v>1265</v>
      </c>
      <c r="J2597" t="s">
        <v>1271</v>
      </c>
      <c r="K2597" t="s">
        <v>1272</v>
      </c>
      <c r="L2597" t="s">
        <v>1270</v>
      </c>
      <c r="M2597" t="s">
        <v>1273</v>
      </c>
      <c r="N2597">
        <v>1</v>
      </c>
      <c r="O2597" t="str">
        <f t="shared" si="219"/>
        <v>42</v>
      </c>
      <c r="P2597">
        <v>42</v>
      </c>
      <c r="R2597" t="s">
        <v>1269</v>
      </c>
      <c r="S2597">
        <v>3.1</v>
      </c>
      <c r="T2597">
        <v>0.2298</v>
      </c>
      <c r="U2597">
        <f t="shared" si="220"/>
        <v>0</v>
      </c>
      <c r="V2597" t="str">
        <f t="shared" si="217"/>
        <v>High Counselor</v>
      </c>
      <c r="W2597" t="str">
        <f t="shared" si="218"/>
        <v>Counselor</v>
      </c>
    </row>
    <row r="2598" spans="1:23" x14ac:dyDescent="0.25">
      <c r="A2598">
        <v>31401</v>
      </c>
      <c r="B2598" t="s">
        <v>1263</v>
      </c>
      <c r="C2598">
        <v>2.5</v>
      </c>
      <c r="D2598" t="s">
        <v>1264</v>
      </c>
      <c r="E2598">
        <v>100250</v>
      </c>
      <c r="F2598">
        <v>31401</v>
      </c>
      <c r="G2598" t="str">
        <f t="shared" si="216"/>
        <v>31401</v>
      </c>
      <c r="H2598" t="s">
        <v>521</v>
      </c>
      <c r="I2598" t="s">
        <v>1265</v>
      </c>
      <c r="J2598" t="s">
        <v>1266</v>
      </c>
      <c r="K2598" t="s">
        <v>1267</v>
      </c>
      <c r="L2598" t="s">
        <v>1263</v>
      </c>
      <c r="M2598" t="s">
        <v>1268</v>
      </c>
      <c r="N2598">
        <v>1</v>
      </c>
      <c r="O2598" t="str">
        <f t="shared" si="219"/>
        <v>42</v>
      </c>
      <c r="P2598">
        <v>42</v>
      </c>
      <c r="R2598" t="s">
        <v>1269</v>
      </c>
      <c r="S2598">
        <v>2.5</v>
      </c>
      <c r="T2598">
        <v>0.2298</v>
      </c>
      <c r="U2598">
        <f t="shared" si="220"/>
        <v>0</v>
      </c>
      <c r="V2598" t="str">
        <f t="shared" si="217"/>
        <v>Middle Counselor</v>
      </c>
      <c r="W2598" t="str">
        <f t="shared" si="218"/>
        <v>Counselor</v>
      </c>
    </row>
    <row r="2599" spans="1:23" x14ac:dyDescent="0.25">
      <c r="A2599">
        <v>31401</v>
      </c>
      <c r="B2599" t="s">
        <v>1289</v>
      </c>
      <c r="C2599">
        <v>0.78300000000000003</v>
      </c>
      <c r="D2599" t="s">
        <v>1264</v>
      </c>
      <c r="E2599">
        <v>100250</v>
      </c>
      <c r="F2599">
        <v>31401</v>
      </c>
      <c r="G2599" t="str">
        <f t="shared" si="216"/>
        <v>31401</v>
      </c>
      <c r="H2599" t="s">
        <v>521</v>
      </c>
      <c r="I2599" t="s">
        <v>1265</v>
      </c>
      <c r="J2599" t="s">
        <v>1276</v>
      </c>
      <c r="K2599" t="s">
        <v>1277</v>
      </c>
      <c r="L2599" t="s">
        <v>1289</v>
      </c>
      <c r="M2599" t="s">
        <v>1307</v>
      </c>
      <c r="N2599">
        <v>21</v>
      </c>
      <c r="O2599" t="str">
        <f t="shared" si="219"/>
        <v>43</v>
      </c>
      <c r="P2599">
        <v>43</v>
      </c>
      <c r="R2599" t="s">
        <v>1269</v>
      </c>
      <c r="S2599">
        <v>0.78300000000000003</v>
      </c>
      <c r="T2599">
        <v>0.2298</v>
      </c>
      <c r="U2599">
        <f t="shared" si="220"/>
        <v>0.18</v>
      </c>
      <c r="V2599" t="str">
        <f t="shared" si="217"/>
        <v>Elementary Occupational Therapist</v>
      </c>
      <c r="W2599" t="str">
        <f t="shared" si="218"/>
        <v>Occupational Therapist</v>
      </c>
    </row>
    <row r="2600" spans="1:23" x14ac:dyDescent="0.25">
      <c r="A2600">
        <v>31401</v>
      </c>
      <c r="B2600" t="s">
        <v>1331</v>
      </c>
      <c r="C2600">
        <v>1</v>
      </c>
      <c r="D2600" t="s">
        <v>1264</v>
      </c>
      <c r="E2600">
        <v>100250</v>
      </c>
      <c r="F2600">
        <v>31401</v>
      </c>
      <c r="G2600" t="str">
        <f t="shared" si="216"/>
        <v>31401</v>
      </c>
      <c r="H2600" t="s">
        <v>521</v>
      </c>
      <c r="I2600" t="s">
        <v>1265</v>
      </c>
      <c r="J2600" t="s">
        <v>1276</v>
      </c>
      <c r="K2600" t="s">
        <v>1277</v>
      </c>
      <c r="L2600" t="s">
        <v>1331</v>
      </c>
      <c r="M2600" t="s">
        <v>1405</v>
      </c>
      <c r="N2600">
        <v>1</v>
      </c>
      <c r="O2600" t="str">
        <f t="shared" si="219"/>
        <v>44</v>
      </c>
      <c r="P2600">
        <v>44</v>
      </c>
      <c r="R2600" t="s">
        <v>1269</v>
      </c>
      <c r="S2600">
        <v>1</v>
      </c>
      <c r="T2600">
        <v>0.2298</v>
      </c>
      <c r="U2600">
        <f t="shared" si="220"/>
        <v>0</v>
      </c>
      <c r="V2600" t="str">
        <f t="shared" si="217"/>
        <v>Elementary Social Worker</v>
      </c>
      <c r="W2600" t="str">
        <f t="shared" si="218"/>
        <v>Social Worker</v>
      </c>
    </row>
    <row r="2601" spans="1:23" x14ac:dyDescent="0.25">
      <c r="A2601">
        <v>31401</v>
      </c>
      <c r="B2601" t="s">
        <v>1294</v>
      </c>
      <c r="C2601">
        <v>3.44</v>
      </c>
      <c r="D2601" t="s">
        <v>1264</v>
      </c>
      <c r="E2601">
        <v>100250</v>
      </c>
      <c r="F2601">
        <v>31401</v>
      </c>
      <c r="G2601" t="str">
        <f t="shared" si="216"/>
        <v>31401</v>
      </c>
      <c r="H2601" t="s">
        <v>521</v>
      </c>
      <c r="I2601" t="s">
        <v>1265</v>
      </c>
      <c r="J2601" t="s">
        <v>1276</v>
      </c>
      <c r="K2601" t="s">
        <v>1277</v>
      </c>
      <c r="L2601" t="s">
        <v>1294</v>
      </c>
      <c r="M2601" t="s">
        <v>1354</v>
      </c>
      <c r="N2601">
        <v>21</v>
      </c>
      <c r="O2601" t="str">
        <f t="shared" si="219"/>
        <v>45</v>
      </c>
      <c r="P2601">
        <v>45</v>
      </c>
      <c r="R2601" t="s">
        <v>1269</v>
      </c>
      <c r="S2601">
        <v>3.44</v>
      </c>
      <c r="T2601">
        <v>0.2298</v>
      </c>
      <c r="U2601">
        <f t="shared" si="220"/>
        <v>0.79100000000000004</v>
      </c>
      <c r="V2601" t="str">
        <f t="shared" si="217"/>
        <v>Elementary Speech, Language Pathway/
Audio</v>
      </c>
      <c r="W2601" t="str">
        <f t="shared" si="218"/>
        <v>Speech, Language Pathway/
Audio</v>
      </c>
    </row>
    <row r="2602" spans="1:23" x14ac:dyDescent="0.25">
      <c r="A2602">
        <v>31401</v>
      </c>
      <c r="B2602" t="s">
        <v>1312</v>
      </c>
      <c r="C2602">
        <v>1.56</v>
      </c>
      <c r="D2602" t="s">
        <v>1264</v>
      </c>
      <c r="E2602">
        <v>100250</v>
      </c>
      <c r="F2602">
        <v>31401</v>
      </c>
      <c r="G2602" t="str">
        <f t="shared" si="216"/>
        <v>31401</v>
      </c>
      <c r="H2602" t="s">
        <v>521</v>
      </c>
      <c r="I2602" t="s">
        <v>1265</v>
      </c>
      <c r="J2602" t="s">
        <v>1266</v>
      </c>
      <c r="K2602" t="s">
        <v>1267</v>
      </c>
      <c r="L2602" t="s">
        <v>1312</v>
      </c>
      <c r="M2602" t="s">
        <v>1351</v>
      </c>
      <c r="N2602">
        <v>21</v>
      </c>
      <c r="O2602" t="str">
        <f t="shared" si="219"/>
        <v>45</v>
      </c>
      <c r="P2602">
        <v>45</v>
      </c>
      <c r="R2602" t="s">
        <v>1269</v>
      </c>
      <c r="S2602">
        <v>1.56</v>
      </c>
      <c r="T2602">
        <v>0.2298</v>
      </c>
      <c r="U2602">
        <f t="shared" si="220"/>
        <v>0.35799999999999998</v>
      </c>
      <c r="V2602" t="str">
        <f t="shared" si="217"/>
        <v>Middle Speech, Language Pathway/
Audio</v>
      </c>
      <c r="W2602" t="str">
        <f t="shared" si="218"/>
        <v>Speech, Language Pathway/
Audio</v>
      </c>
    </row>
    <row r="2603" spans="1:23" x14ac:dyDescent="0.25">
      <c r="A2603">
        <v>31401</v>
      </c>
      <c r="B2603" t="s">
        <v>1298</v>
      </c>
      <c r="C2603">
        <v>3.4</v>
      </c>
      <c r="D2603" t="s">
        <v>1264</v>
      </c>
      <c r="E2603">
        <v>100250</v>
      </c>
      <c r="F2603">
        <v>31401</v>
      </c>
      <c r="G2603" t="str">
        <f t="shared" si="216"/>
        <v>31401</v>
      </c>
      <c r="H2603" t="s">
        <v>521</v>
      </c>
      <c r="I2603" t="s">
        <v>1265</v>
      </c>
      <c r="J2603" t="s">
        <v>1276</v>
      </c>
      <c r="K2603" t="s">
        <v>1277</v>
      </c>
      <c r="L2603" t="s">
        <v>1298</v>
      </c>
      <c r="M2603" t="s">
        <v>1349</v>
      </c>
      <c r="N2603">
        <v>21</v>
      </c>
      <c r="O2603" t="str">
        <f t="shared" si="219"/>
        <v>46</v>
      </c>
      <c r="P2603">
        <v>46</v>
      </c>
      <c r="R2603" t="s">
        <v>1269</v>
      </c>
      <c r="S2603">
        <v>3.4</v>
      </c>
      <c r="T2603">
        <v>0.2298</v>
      </c>
      <c r="U2603">
        <f t="shared" si="220"/>
        <v>0.78100000000000003</v>
      </c>
      <c r="V2603" t="str">
        <f t="shared" si="217"/>
        <v>Elementary Psychologist</v>
      </c>
      <c r="W2603" t="str">
        <f t="shared" si="218"/>
        <v>Psychologist</v>
      </c>
    </row>
    <row r="2604" spans="1:23" x14ac:dyDescent="0.25">
      <c r="A2604">
        <v>31401</v>
      </c>
      <c r="B2604" t="s">
        <v>1309</v>
      </c>
      <c r="C2604">
        <v>2</v>
      </c>
      <c r="D2604" t="s">
        <v>1264</v>
      </c>
      <c r="E2604">
        <v>100250</v>
      </c>
      <c r="F2604">
        <v>31401</v>
      </c>
      <c r="G2604" t="str">
        <f t="shared" si="216"/>
        <v>31401</v>
      </c>
      <c r="H2604" t="s">
        <v>521</v>
      </c>
      <c r="I2604" t="s">
        <v>1265</v>
      </c>
      <c r="J2604" t="s">
        <v>1271</v>
      </c>
      <c r="K2604" t="s">
        <v>1272</v>
      </c>
      <c r="L2604" t="s">
        <v>1309</v>
      </c>
      <c r="M2604" t="s">
        <v>1310</v>
      </c>
      <c r="N2604">
        <v>21</v>
      </c>
      <c r="O2604" t="str">
        <f t="shared" si="219"/>
        <v>46</v>
      </c>
      <c r="P2604">
        <v>46</v>
      </c>
      <c r="R2604" t="s">
        <v>1269</v>
      </c>
      <c r="S2604">
        <v>2</v>
      </c>
      <c r="T2604">
        <v>0.2298</v>
      </c>
      <c r="U2604">
        <f t="shared" si="220"/>
        <v>0.46</v>
      </c>
      <c r="V2604" t="str">
        <f t="shared" si="217"/>
        <v>High Psychologist</v>
      </c>
      <c r="W2604" t="str">
        <f t="shared" si="218"/>
        <v>Psychologist</v>
      </c>
    </row>
    <row r="2605" spans="1:23" x14ac:dyDescent="0.25">
      <c r="A2605">
        <v>31401</v>
      </c>
      <c r="B2605" t="s">
        <v>1345</v>
      </c>
      <c r="C2605">
        <v>1</v>
      </c>
      <c r="D2605" t="s">
        <v>1264</v>
      </c>
      <c r="E2605">
        <v>100250</v>
      </c>
      <c r="F2605">
        <v>31401</v>
      </c>
      <c r="G2605" t="str">
        <f t="shared" si="216"/>
        <v>31401</v>
      </c>
      <c r="H2605" t="s">
        <v>521</v>
      </c>
      <c r="I2605" t="s">
        <v>1265</v>
      </c>
      <c r="J2605" t="s">
        <v>1266</v>
      </c>
      <c r="K2605" t="s">
        <v>1267</v>
      </c>
      <c r="L2605" t="s">
        <v>1345</v>
      </c>
      <c r="M2605" t="s">
        <v>1346</v>
      </c>
      <c r="N2605">
        <v>21</v>
      </c>
      <c r="O2605" t="str">
        <f t="shared" si="219"/>
        <v>46</v>
      </c>
      <c r="P2605">
        <v>46</v>
      </c>
      <c r="R2605" t="s">
        <v>1269</v>
      </c>
      <c r="S2605">
        <v>1</v>
      </c>
      <c r="T2605">
        <v>0.2298</v>
      </c>
      <c r="U2605">
        <f t="shared" si="220"/>
        <v>0.23</v>
      </c>
      <c r="V2605" t="str">
        <f t="shared" si="217"/>
        <v>Middle Psychologist</v>
      </c>
      <c r="W2605" t="str">
        <f t="shared" si="218"/>
        <v>Psychologist</v>
      </c>
    </row>
    <row r="2606" spans="1:23" x14ac:dyDescent="0.25">
      <c r="A2606">
        <v>31401</v>
      </c>
      <c r="B2606" t="s">
        <v>1335</v>
      </c>
      <c r="C2606">
        <v>4.75</v>
      </c>
      <c r="D2606" t="s">
        <v>1264</v>
      </c>
      <c r="E2606">
        <v>100250</v>
      </c>
      <c r="F2606">
        <v>31401</v>
      </c>
      <c r="G2606" t="str">
        <f t="shared" si="216"/>
        <v>31401</v>
      </c>
      <c r="H2606" t="s">
        <v>521</v>
      </c>
      <c r="I2606" t="s">
        <v>1265</v>
      </c>
      <c r="J2606" t="s">
        <v>1276</v>
      </c>
      <c r="K2606" t="s">
        <v>1277</v>
      </c>
      <c r="L2606" t="s">
        <v>1335</v>
      </c>
      <c r="M2606" t="s">
        <v>1344</v>
      </c>
      <c r="N2606">
        <v>1</v>
      </c>
      <c r="O2606" t="str">
        <f t="shared" si="219"/>
        <v>47</v>
      </c>
      <c r="P2606">
        <v>47</v>
      </c>
      <c r="R2606" t="s">
        <v>1269</v>
      </c>
      <c r="S2606">
        <v>4.75</v>
      </c>
      <c r="T2606">
        <v>0.2298</v>
      </c>
      <c r="U2606">
        <f t="shared" si="220"/>
        <v>0</v>
      </c>
      <c r="V2606" t="str">
        <f t="shared" si="217"/>
        <v>Elementary Nurse</v>
      </c>
      <c r="W2606" t="str">
        <f t="shared" si="218"/>
        <v>Nurse</v>
      </c>
    </row>
    <row r="2607" spans="1:23" x14ac:dyDescent="0.25">
      <c r="A2607">
        <v>31401</v>
      </c>
      <c r="B2607" t="s">
        <v>1338</v>
      </c>
      <c r="C2607">
        <v>1.6</v>
      </c>
      <c r="D2607" t="s">
        <v>1264</v>
      </c>
      <c r="E2607">
        <v>100250</v>
      </c>
      <c r="F2607">
        <v>31401</v>
      </c>
      <c r="G2607" t="str">
        <f t="shared" si="216"/>
        <v>31401</v>
      </c>
      <c r="H2607" t="s">
        <v>521</v>
      </c>
      <c r="I2607" t="s">
        <v>1265</v>
      </c>
      <c r="J2607" t="s">
        <v>1266</v>
      </c>
      <c r="K2607" t="s">
        <v>1267</v>
      </c>
      <c r="L2607" t="s">
        <v>1338</v>
      </c>
      <c r="M2607" t="s">
        <v>1339</v>
      </c>
      <c r="N2607">
        <v>1</v>
      </c>
      <c r="O2607" t="str">
        <f t="shared" si="219"/>
        <v>47</v>
      </c>
      <c r="P2607">
        <v>47</v>
      </c>
      <c r="R2607" t="s">
        <v>1269</v>
      </c>
      <c r="S2607">
        <v>1.6</v>
      </c>
      <c r="T2607">
        <v>0.2298</v>
      </c>
      <c r="U2607">
        <f t="shared" si="220"/>
        <v>0</v>
      </c>
      <c r="V2607" t="str">
        <f t="shared" si="217"/>
        <v>Middle Nurse</v>
      </c>
      <c r="W2607" t="str">
        <f t="shared" si="218"/>
        <v>Nurse</v>
      </c>
    </row>
    <row r="2608" spans="1:23" x14ac:dyDescent="0.25">
      <c r="A2608">
        <v>31401</v>
      </c>
      <c r="B2608" t="s">
        <v>1340</v>
      </c>
      <c r="C2608">
        <v>2</v>
      </c>
      <c r="D2608" t="s">
        <v>1264</v>
      </c>
      <c r="E2608">
        <v>100250</v>
      </c>
      <c r="F2608">
        <v>31401</v>
      </c>
      <c r="G2608" t="str">
        <f t="shared" si="216"/>
        <v>31401</v>
      </c>
      <c r="H2608" t="s">
        <v>521</v>
      </c>
      <c r="I2608" t="s">
        <v>1265</v>
      </c>
      <c r="J2608" t="s">
        <v>1276</v>
      </c>
      <c r="K2608" t="s">
        <v>1277</v>
      </c>
      <c r="L2608" t="s">
        <v>1340</v>
      </c>
      <c r="M2608" t="s">
        <v>1395</v>
      </c>
      <c r="N2608">
        <v>21</v>
      </c>
      <c r="O2608" t="str">
        <f t="shared" si="219"/>
        <v>49</v>
      </c>
      <c r="P2608">
        <v>49</v>
      </c>
      <c r="R2608" t="s">
        <v>1269</v>
      </c>
      <c r="S2608">
        <v>2</v>
      </c>
      <c r="T2608">
        <v>0.2298</v>
      </c>
      <c r="U2608">
        <f t="shared" si="220"/>
        <v>0.46</v>
      </c>
      <c r="V2608" t="str">
        <f t="shared" si="217"/>
        <v>Elementary Behavior Analyst</v>
      </c>
      <c r="W2608" t="str">
        <f t="shared" si="218"/>
        <v>Behavior Analyst</v>
      </c>
    </row>
    <row r="2609" spans="1:23" x14ac:dyDescent="0.25">
      <c r="A2609">
        <v>32081</v>
      </c>
      <c r="B2609" t="s">
        <v>1286</v>
      </c>
      <c r="C2609">
        <v>0.73099999999999998</v>
      </c>
      <c r="D2609" t="s">
        <v>1264</v>
      </c>
      <c r="E2609">
        <v>100247</v>
      </c>
      <c r="F2609">
        <v>32081</v>
      </c>
      <c r="G2609" t="str">
        <f t="shared" si="216"/>
        <v>32081</v>
      </c>
      <c r="H2609" t="s">
        <v>522</v>
      </c>
      <c r="I2609" t="s">
        <v>1265</v>
      </c>
      <c r="J2609" t="s">
        <v>1271</v>
      </c>
      <c r="K2609" t="s">
        <v>1272</v>
      </c>
      <c r="L2609" t="s">
        <v>1286</v>
      </c>
      <c r="M2609" t="s">
        <v>1287</v>
      </c>
      <c r="N2609">
        <v>1</v>
      </c>
      <c r="O2609" t="str">
        <f t="shared" si="219"/>
        <v>24</v>
      </c>
      <c r="P2609">
        <v>96</v>
      </c>
      <c r="Q2609">
        <v>24</v>
      </c>
      <c r="R2609" t="s">
        <v>1269</v>
      </c>
      <c r="S2609">
        <v>0.73099999999999998</v>
      </c>
      <c r="T2609">
        <v>0.2429</v>
      </c>
      <c r="U2609">
        <f t="shared" si="220"/>
        <v>0</v>
      </c>
      <c r="V2609" t="str">
        <f t="shared" si="217"/>
        <v>High Family Engagement Coordinator</v>
      </c>
      <c r="W2609" t="str">
        <f t="shared" si="218"/>
        <v>Family Engagement Coordinator</v>
      </c>
    </row>
    <row r="2610" spans="1:23" x14ac:dyDescent="0.25">
      <c r="A2610">
        <v>32081</v>
      </c>
      <c r="B2610" t="s">
        <v>1299</v>
      </c>
      <c r="C2610">
        <v>24.501999999999999</v>
      </c>
      <c r="D2610" t="s">
        <v>1264</v>
      </c>
      <c r="E2610">
        <v>100247</v>
      </c>
      <c r="F2610">
        <v>32081</v>
      </c>
      <c r="G2610" t="str">
        <f t="shared" si="216"/>
        <v>32081</v>
      </c>
      <c r="H2610" t="s">
        <v>522</v>
      </c>
      <c r="I2610" t="s">
        <v>1265</v>
      </c>
      <c r="J2610" t="s">
        <v>1271</v>
      </c>
      <c r="K2610" t="s">
        <v>1272</v>
      </c>
      <c r="L2610" t="s">
        <v>1299</v>
      </c>
      <c r="M2610" t="s">
        <v>1300</v>
      </c>
      <c r="N2610">
        <v>1</v>
      </c>
      <c r="O2610" t="str">
        <f t="shared" si="219"/>
        <v>25</v>
      </c>
      <c r="Q2610">
        <v>25</v>
      </c>
      <c r="R2610" t="s">
        <v>1269</v>
      </c>
      <c r="S2610">
        <v>24.501999999999999</v>
      </c>
      <c r="T2610">
        <v>0.2429</v>
      </c>
      <c r="U2610">
        <f t="shared" si="220"/>
        <v>0</v>
      </c>
      <c r="V2610" t="str">
        <f t="shared" si="217"/>
        <v>High Pupil Management</v>
      </c>
      <c r="W2610" t="str">
        <f t="shared" si="218"/>
        <v>Pupil Management</v>
      </c>
    </row>
    <row r="2611" spans="1:23" x14ac:dyDescent="0.25">
      <c r="A2611">
        <v>32081</v>
      </c>
      <c r="B2611" t="s">
        <v>1315</v>
      </c>
      <c r="C2611">
        <v>11.13</v>
      </c>
      <c r="D2611" t="s">
        <v>1264</v>
      </c>
      <c r="E2611">
        <v>100247</v>
      </c>
      <c r="F2611">
        <v>32081</v>
      </c>
      <c r="G2611" t="str">
        <f t="shared" si="216"/>
        <v>32081</v>
      </c>
      <c r="H2611" t="s">
        <v>522</v>
      </c>
      <c r="I2611" t="s">
        <v>1265</v>
      </c>
      <c r="J2611" t="s">
        <v>1276</v>
      </c>
      <c r="K2611" t="s">
        <v>1277</v>
      </c>
      <c r="L2611" t="s">
        <v>1315</v>
      </c>
      <c r="M2611" t="s">
        <v>1375</v>
      </c>
      <c r="N2611">
        <v>1</v>
      </c>
      <c r="O2611" t="str">
        <f t="shared" si="219"/>
        <v>26</v>
      </c>
      <c r="Q2611">
        <v>26</v>
      </c>
      <c r="R2611" t="s">
        <v>1269</v>
      </c>
      <c r="S2611">
        <v>11.13</v>
      </c>
      <c r="T2611">
        <v>0.2429</v>
      </c>
      <c r="U2611">
        <f t="shared" si="220"/>
        <v>0</v>
      </c>
      <c r="V2611" t="str">
        <f t="shared" si="217"/>
        <v>Elementary Health/
Related Services</v>
      </c>
      <c r="W2611" t="str">
        <f t="shared" si="218"/>
        <v>Health/
Related Services</v>
      </c>
    </row>
    <row r="2612" spans="1:23" x14ac:dyDescent="0.25">
      <c r="A2612">
        <v>32081</v>
      </c>
      <c r="B2612" t="s">
        <v>1324</v>
      </c>
      <c r="C2612">
        <v>8.7789999999999999</v>
      </c>
      <c r="D2612" t="s">
        <v>1264</v>
      </c>
      <c r="E2612">
        <v>100247</v>
      </c>
      <c r="F2612">
        <v>32081</v>
      </c>
      <c r="G2612" t="str">
        <f t="shared" si="216"/>
        <v>32081</v>
      </c>
      <c r="H2612" t="s">
        <v>522</v>
      </c>
      <c r="I2612" t="s">
        <v>1265</v>
      </c>
      <c r="J2612" t="s">
        <v>1271</v>
      </c>
      <c r="K2612" t="s">
        <v>1272</v>
      </c>
      <c r="L2612" t="s">
        <v>1324</v>
      </c>
      <c r="M2612" t="s">
        <v>1325</v>
      </c>
      <c r="N2612">
        <v>21</v>
      </c>
      <c r="O2612" t="str">
        <f t="shared" si="219"/>
        <v>26</v>
      </c>
      <c r="Q2612">
        <v>26</v>
      </c>
      <c r="R2612" t="s">
        <v>1269</v>
      </c>
      <c r="S2612">
        <v>8.7789999999999999</v>
      </c>
      <c r="T2612">
        <v>0.2429</v>
      </c>
      <c r="U2612">
        <f t="shared" si="220"/>
        <v>2.1320000000000001</v>
      </c>
      <c r="V2612" t="str">
        <f t="shared" si="217"/>
        <v>High Health/
Related Services</v>
      </c>
      <c r="W2612" t="str">
        <f t="shared" si="218"/>
        <v>Health/
Related Services</v>
      </c>
    </row>
    <row r="2613" spans="1:23" x14ac:dyDescent="0.25">
      <c r="A2613">
        <v>32081</v>
      </c>
      <c r="B2613" t="s">
        <v>1295</v>
      </c>
      <c r="C2613">
        <v>3.7629999999999999</v>
      </c>
      <c r="D2613" t="s">
        <v>1264</v>
      </c>
      <c r="E2613">
        <v>100247</v>
      </c>
      <c r="F2613">
        <v>32081</v>
      </c>
      <c r="G2613" t="str">
        <f t="shared" si="216"/>
        <v>32081</v>
      </c>
      <c r="H2613" t="s">
        <v>522</v>
      </c>
      <c r="I2613" t="s">
        <v>1265</v>
      </c>
      <c r="J2613" t="s">
        <v>1271</v>
      </c>
      <c r="K2613" t="s">
        <v>1272</v>
      </c>
      <c r="L2613" t="s">
        <v>1295</v>
      </c>
      <c r="M2613" t="s">
        <v>1296</v>
      </c>
      <c r="N2613">
        <v>1</v>
      </c>
      <c r="O2613" t="str">
        <f t="shared" si="219"/>
        <v>26</v>
      </c>
      <c r="Q2613">
        <v>26</v>
      </c>
      <c r="R2613" t="s">
        <v>1269</v>
      </c>
      <c r="S2613">
        <v>3.7629999999999999</v>
      </c>
      <c r="T2613">
        <v>0.2429</v>
      </c>
      <c r="U2613">
        <f t="shared" si="220"/>
        <v>0</v>
      </c>
      <c r="V2613" t="str">
        <f t="shared" si="217"/>
        <v>High Health/
Related Services</v>
      </c>
      <c r="W2613" t="str">
        <f t="shared" si="218"/>
        <v>Health/
Related Services</v>
      </c>
    </row>
    <row r="2614" spans="1:23" x14ac:dyDescent="0.25">
      <c r="A2614">
        <v>32081</v>
      </c>
      <c r="B2614" t="s">
        <v>1291</v>
      </c>
      <c r="C2614">
        <v>5.4569999999999999</v>
      </c>
      <c r="D2614" t="s">
        <v>1264</v>
      </c>
      <c r="E2614">
        <v>100247</v>
      </c>
      <c r="F2614">
        <v>32081</v>
      </c>
      <c r="G2614" t="str">
        <f t="shared" si="216"/>
        <v>32081</v>
      </c>
      <c r="H2614" t="s">
        <v>522</v>
      </c>
      <c r="I2614" t="s">
        <v>1265</v>
      </c>
      <c r="J2614" t="s">
        <v>1266</v>
      </c>
      <c r="K2614" t="s">
        <v>1267</v>
      </c>
      <c r="L2614" t="s">
        <v>1291</v>
      </c>
      <c r="M2614" t="s">
        <v>1292</v>
      </c>
      <c r="N2614">
        <v>1</v>
      </c>
      <c r="O2614" t="str">
        <f t="shared" si="219"/>
        <v>26</v>
      </c>
      <c r="Q2614">
        <v>26</v>
      </c>
      <c r="R2614" t="s">
        <v>1269</v>
      </c>
      <c r="S2614">
        <v>5.4569999999999999</v>
      </c>
      <c r="T2614">
        <v>0.2429</v>
      </c>
      <c r="U2614">
        <f t="shared" si="220"/>
        <v>0</v>
      </c>
      <c r="V2614" t="str">
        <f t="shared" si="217"/>
        <v>Middle Health/
Related Services</v>
      </c>
      <c r="W2614" t="str">
        <f t="shared" si="218"/>
        <v>Health/
Related Services</v>
      </c>
    </row>
    <row r="2615" spans="1:23" x14ac:dyDescent="0.25">
      <c r="A2615">
        <v>32081</v>
      </c>
      <c r="B2615" t="s">
        <v>1350</v>
      </c>
      <c r="C2615">
        <v>0.35499999999999998</v>
      </c>
      <c r="D2615" t="s">
        <v>1264</v>
      </c>
      <c r="E2615">
        <v>100247</v>
      </c>
      <c r="F2615">
        <v>32081</v>
      </c>
      <c r="G2615" t="str">
        <f t="shared" si="216"/>
        <v>32081</v>
      </c>
      <c r="H2615" t="s">
        <v>522</v>
      </c>
      <c r="I2615" t="s">
        <v>1265</v>
      </c>
      <c r="J2615" t="s">
        <v>1276</v>
      </c>
      <c r="K2615" t="s">
        <v>1277</v>
      </c>
      <c r="L2615" t="s">
        <v>1350</v>
      </c>
      <c r="M2615" t="s">
        <v>1433</v>
      </c>
      <c r="N2615">
        <v>1</v>
      </c>
      <c r="O2615" t="str">
        <f t="shared" si="219"/>
        <v>35</v>
      </c>
      <c r="Q2615">
        <v>35</v>
      </c>
      <c r="R2615" t="s">
        <v>1269</v>
      </c>
      <c r="S2615">
        <v>0.35499999999999998</v>
      </c>
      <c r="T2615">
        <v>0.2429</v>
      </c>
      <c r="U2615">
        <f t="shared" si="220"/>
        <v>0</v>
      </c>
      <c r="V2615" t="str">
        <f t="shared" si="217"/>
        <v>Elementary Pupil Safety</v>
      </c>
      <c r="W2615" t="str">
        <f t="shared" si="218"/>
        <v>Pupil Safety</v>
      </c>
    </row>
    <row r="2616" spans="1:23" x14ac:dyDescent="0.25">
      <c r="A2616">
        <v>32081</v>
      </c>
      <c r="B2616" t="s">
        <v>1401</v>
      </c>
      <c r="C2616">
        <v>6.3890000000000002</v>
      </c>
      <c r="D2616" t="s">
        <v>1264</v>
      </c>
      <c r="E2616">
        <v>100247</v>
      </c>
      <c r="F2616">
        <v>32081</v>
      </c>
      <c r="G2616" t="str">
        <f t="shared" si="216"/>
        <v>32081</v>
      </c>
      <c r="H2616" t="s">
        <v>522</v>
      </c>
      <c r="I2616" t="s">
        <v>1265</v>
      </c>
      <c r="J2616" t="s">
        <v>1271</v>
      </c>
      <c r="K2616" t="s">
        <v>1272</v>
      </c>
      <c r="L2616" t="s">
        <v>1401</v>
      </c>
      <c r="M2616" t="s">
        <v>1422</v>
      </c>
      <c r="N2616">
        <v>1</v>
      </c>
      <c r="O2616" t="str">
        <f t="shared" si="219"/>
        <v>35</v>
      </c>
      <c r="Q2616">
        <v>35</v>
      </c>
      <c r="R2616" t="s">
        <v>1269</v>
      </c>
      <c r="S2616">
        <v>6.3890000000000002</v>
      </c>
      <c r="T2616">
        <v>0.2429</v>
      </c>
      <c r="U2616">
        <f t="shared" si="220"/>
        <v>0</v>
      </c>
      <c r="V2616" t="str">
        <f t="shared" si="217"/>
        <v>High Pupil Safety</v>
      </c>
      <c r="W2616" t="str">
        <f t="shared" si="218"/>
        <v>Pupil Safety</v>
      </c>
    </row>
    <row r="2617" spans="1:23" x14ac:dyDescent="0.25">
      <c r="A2617">
        <v>32081</v>
      </c>
      <c r="B2617" t="s">
        <v>1377</v>
      </c>
      <c r="C2617">
        <v>6.3289999999999997</v>
      </c>
      <c r="D2617" t="s">
        <v>1264</v>
      </c>
      <c r="E2617">
        <v>100247</v>
      </c>
      <c r="F2617">
        <v>32081</v>
      </c>
      <c r="G2617" t="str">
        <f t="shared" si="216"/>
        <v>32081</v>
      </c>
      <c r="H2617" t="s">
        <v>522</v>
      </c>
      <c r="I2617" t="s">
        <v>1265</v>
      </c>
      <c r="J2617" t="s">
        <v>1266</v>
      </c>
      <c r="K2617" t="s">
        <v>1267</v>
      </c>
      <c r="L2617" t="s">
        <v>1377</v>
      </c>
      <c r="M2617" t="s">
        <v>1423</v>
      </c>
      <c r="N2617">
        <v>1</v>
      </c>
      <c r="O2617" t="str">
        <f t="shared" si="219"/>
        <v>35</v>
      </c>
      <c r="Q2617">
        <v>35</v>
      </c>
      <c r="R2617" t="s">
        <v>1269</v>
      </c>
      <c r="S2617">
        <v>6.3289999999999997</v>
      </c>
      <c r="T2617">
        <v>0.2429</v>
      </c>
      <c r="U2617">
        <f t="shared" si="220"/>
        <v>0</v>
      </c>
      <c r="V2617" t="str">
        <f t="shared" si="217"/>
        <v>Middle Pupil Safety</v>
      </c>
      <c r="W2617" t="str">
        <f t="shared" si="218"/>
        <v>Pupil Safety</v>
      </c>
    </row>
    <row r="2618" spans="1:23" x14ac:dyDescent="0.25">
      <c r="A2618">
        <v>32081</v>
      </c>
      <c r="B2618" t="s">
        <v>1319</v>
      </c>
      <c r="C2618">
        <v>2.59</v>
      </c>
      <c r="D2618" t="s">
        <v>1264</v>
      </c>
      <c r="E2618">
        <v>100247</v>
      </c>
      <c r="F2618">
        <v>32081</v>
      </c>
      <c r="G2618" t="str">
        <f t="shared" si="216"/>
        <v>32081</v>
      </c>
      <c r="H2618" t="s">
        <v>522</v>
      </c>
      <c r="I2618" t="s">
        <v>1265</v>
      </c>
      <c r="J2618" t="s">
        <v>1276</v>
      </c>
      <c r="K2618" t="s">
        <v>1277</v>
      </c>
      <c r="L2618" t="s">
        <v>1319</v>
      </c>
      <c r="M2618" t="s">
        <v>1426</v>
      </c>
      <c r="N2618">
        <v>21</v>
      </c>
      <c r="O2618" t="str">
        <f t="shared" si="219"/>
        <v>39</v>
      </c>
      <c r="P2618">
        <v>39</v>
      </c>
      <c r="R2618" t="s">
        <v>1269</v>
      </c>
      <c r="S2618">
        <v>2.59</v>
      </c>
      <c r="T2618">
        <v>0.2429</v>
      </c>
      <c r="U2618">
        <f t="shared" si="220"/>
        <v>0.629</v>
      </c>
      <c r="V2618" t="str">
        <f t="shared" si="217"/>
        <v>Elementary Orientation &amp; Mobility Specialist</v>
      </c>
      <c r="W2618" t="str">
        <f t="shared" si="218"/>
        <v>Orientation &amp; Mobility Specialist</v>
      </c>
    </row>
    <row r="2619" spans="1:23" x14ac:dyDescent="0.25">
      <c r="A2619">
        <v>32081</v>
      </c>
      <c r="B2619" t="s">
        <v>1384</v>
      </c>
      <c r="C2619">
        <v>1.4750000000000001</v>
      </c>
      <c r="D2619" t="s">
        <v>1264</v>
      </c>
      <c r="E2619">
        <v>100247</v>
      </c>
      <c r="F2619">
        <v>32081</v>
      </c>
      <c r="G2619" t="str">
        <f t="shared" si="216"/>
        <v>32081</v>
      </c>
      <c r="H2619" t="s">
        <v>522</v>
      </c>
      <c r="I2619" t="s">
        <v>1265</v>
      </c>
      <c r="J2619" t="s">
        <v>1271</v>
      </c>
      <c r="K2619" t="s">
        <v>1272</v>
      </c>
      <c r="L2619" t="s">
        <v>1384</v>
      </c>
      <c r="M2619" t="s">
        <v>1425</v>
      </c>
      <c r="N2619">
        <v>21</v>
      </c>
      <c r="O2619" t="str">
        <f t="shared" si="219"/>
        <v>39</v>
      </c>
      <c r="P2619">
        <v>39</v>
      </c>
      <c r="R2619" t="s">
        <v>1269</v>
      </c>
      <c r="S2619">
        <v>1.4750000000000001</v>
      </c>
      <c r="T2619">
        <v>0.2429</v>
      </c>
      <c r="U2619">
        <f t="shared" si="220"/>
        <v>0.35799999999999998</v>
      </c>
      <c r="V2619" t="str">
        <f t="shared" si="217"/>
        <v>High Orientation &amp; Mobility Specialist</v>
      </c>
      <c r="W2619" t="str">
        <f t="shared" si="218"/>
        <v>Orientation &amp; Mobility Specialist</v>
      </c>
    </row>
    <row r="2620" spans="1:23" x14ac:dyDescent="0.25">
      <c r="A2620">
        <v>32081</v>
      </c>
      <c r="B2620" t="s">
        <v>1364</v>
      </c>
      <c r="C2620">
        <v>0.73799999999999999</v>
      </c>
      <c r="D2620" t="s">
        <v>1264</v>
      </c>
      <c r="E2620">
        <v>100247</v>
      </c>
      <c r="F2620">
        <v>32081</v>
      </c>
      <c r="G2620" t="str">
        <f t="shared" si="216"/>
        <v>32081</v>
      </c>
      <c r="H2620" t="s">
        <v>522</v>
      </c>
      <c r="I2620" t="s">
        <v>1265</v>
      </c>
      <c r="J2620" t="s">
        <v>1266</v>
      </c>
      <c r="K2620" t="s">
        <v>1267</v>
      </c>
      <c r="L2620" t="s">
        <v>1364</v>
      </c>
      <c r="M2620" t="s">
        <v>1424</v>
      </c>
      <c r="N2620">
        <v>21</v>
      </c>
      <c r="O2620" t="str">
        <f t="shared" si="219"/>
        <v>39</v>
      </c>
      <c r="P2620">
        <v>39</v>
      </c>
      <c r="R2620" t="s">
        <v>1269</v>
      </c>
      <c r="S2620">
        <v>0.73799999999999999</v>
      </c>
      <c r="T2620">
        <v>0.2429</v>
      </c>
      <c r="U2620">
        <f t="shared" si="220"/>
        <v>0.17899999999999999</v>
      </c>
      <c r="V2620" t="str">
        <f t="shared" si="217"/>
        <v>Middle Orientation &amp; Mobility Specialist</v>
      </c>
      <c r="W2620" t="str">
        <f t="shared" si="218"/>
        <v>Orientation &amp; Mobility Specialist</v>
      </c>
    </row>
    <row r="2621" spans="1:23" x14ac:dyDescent="0.25">
      <c r="A2621">
        <v>32081</v>
      </c>
      <c r="B2621" t="s">
        <v>1275</v>
      </c>
      <c r="C2621">
        <v>33.729999999999997</v>
      </c>
      <c r="D2621" t="s">
        <v>1264</v>
      </c>
      <c r="E2621">
        <v>100247</v>
      </c>
      <c r="F2621">
        <v>32081</v>
      </c>
      <c r="G2621" t="str">
        <f t="shared" si="216"/>
        <v>32081</v>
      </c>
      <c r="H2621" t="s">
        <v>522</v>
      </c>
      <c r="I2621" t="s">
        <v>1265</v>
      </c>
      <c r="J2621" t="s">
        <v>1276</v>
      </c>
      <c r="K2621" t="s">
        <v>1277</v>
      </c>
      <c r="L2621" t="s">
        <v>1275</v>
      </c>
      <c r="M2621" t="s">
        <v>1278</v>
      </c>
      <c r="N2621">
        <v>1</v>
      </c>
      <c r="O2621" t="str">
        <f t="shared" si="219"/>
        <v>42</v>
      </c>
      <c r="P2621">
        <v>42</v>
      </c>
      <c r="R2621" t="s">
        <v>1269</v>
      </c>
      <c r="S2621">
        <v>33.729999999999997</v>
      </c>
      <c r="T2621">
        <v>0.2429</v>
      </c>
      <c r="U2621">
        <f t="shared" si="220"/>
        <v>0</v>
      </c>
      <c r="V2621" t="str">
        <f t="shared" si="217"/>
        <v>Elementary Counselor</v>
      </c>
      <c r="W2621" t="str">
        <f t="shared" si="218"/>
        <v>Counselor</v>
      </c>
    </row>
    <row r="2622" spans="1:23" x14ac:dyDescent="0.25">
      <c r="A2622">
        <v>32081</v>
      </c>
      <c r="B2622" t="s">
        <v>1270</v>
      </c>
      <c r="C2622">
        <v>30</v>
      </c>
      <c r="D2622" t="s">
        <v>1264</v>
      </c>
      <c r="E2622">
        <v>100247</v>
      </c>
      <c r="F2622">
        <v>32081</v>
      </c>
      <c r="G2622" t="str">
        <f t="shared" si="216"/>
        <v>32081</v>
      </c>
      <c r="H2622" t="s">
        <v>522</v>
      </c>
      <c r="I2622" t="s">
        <v>1265</v>
      </c>
      <c r="J2622" t="s">
        <v>1271</v>
      </c>
      <c r="K2622" t="s">
        <v>1272</v>
      </c>
      <c r="L2622" t="s">
        <v>1270</v>
      </c>
      <c r="M2622" t="s">
        <v>1273</v>
      </c>
      <c r="N2622">
        <v>1</v>
      </c>
      <c r="O2622" t="str">
        <f t="shared" si="219"/>
        <v>42</v>
      </c>
      <c r="P2622">
        <v>42</v>
      </c>
      <c r="R2622" t="s">
        <v>1269</v>
      </c>
      <c r="S2622">
        <v>30</v>
      </c>
      <c r="T2622">
        <v>0.2429</v>
      </c>
      <c r="U2622">
        <f t="shared" si="220"/>
        <v>0</v>
      </c>
      <c r="V2622" t="str">
        <f t="shared" si="217"/>
        <v>High Counselor</v>
      </c>
      <c r="W2622" t="str">
        <f t="shared" si="218"/>
        <v>Counselor</v>
      </c>
    </row>
    <row r="2623" spans="1:23" x14ac:dyDescent="0.25">
      <c r="A2623">
        <v>32081</v>
      </c>
      <c r="B2623" t="s">
        <v>1263</v>
      </c>
      <c r="C2623">
        <v>18</v>
      </c>
      <c r="D2623" t="s">
        <v>1264</v>
      </c>
      <c r="E2623">
        <v>100247</v>
      </c>
      <c r="F2623">
        <v>32081</v>
      </c>
      <c r="G2623" t="str">
        <f t="shared" si="216"/>
        <v>32081</v>
      </c>
      <c r="H2623" t="s">
        <v>522</v>
      </c>
      <c r="I2623" t="s">
        <v>1265</v>
      </c>
      <c r="J2623" t="s">
        <v>1266</v>
      </c>
      <c r="K2623" t="s">
        <v>1267</v>
      </c>
      <c r="L2623" t="s">
        <v>1263</v>
      </c>
      <c r="M2623" t="s">
        <v>1268</v>
      </c>
      <c r="N2623">
        <v>1</v>
      </c>
      <c r="O2623" t="str">
        <f t="shared" si="219"/>
        <v>42</v>
      </c>
      <c r="P2623">
        <v>42</v>
      </c>
      <c r="R2623" t="s">
        <v>1269</v>
      </c>
      <c r="S2623">
        <v>18</v>
      </c>
      <c r="T2623">
        <v>0.2429</v>
      </c>
      <c r="U2623">
        <f t="shared" si="220"/>
        <v>0</v>
      </c>
      <c r="V2623" t="str">
        <f t="shared" si="217"/>
        <v>Middle Counselor</v>
      </c>
      <c r="W2623" t="str">
        <f t="shared" si="218"/>
        <v>Counselor</v>
      </c>
    </row>
    <row r="2624" spans="1:23" x14ac:dyDescent="0.25">
      <c r="A2624">
        <v>32081</v>
      </c>
      <c r="B2624" t="s">
        <v>1289</v>
      </c>
      <c r="C2624">
        <v>7.335</v>
      </c>
      <c r="D2624" t="s">
        <v>1264</v>
      </c>
      <c r="E2624">
        <v>100247</v>
      </c>
      <c r="F2624">
        <v>32081</v>
      </c>
      <c r="G2624" t="str">
        <f t="shared" si="216"/>
        <v>32081</v>
      </c>
      <c r="H2624" t="s">
        <v>522</v>
      </c>
      <c r="I2624" t="s">
        <v>1265</v>
      </c>
      <c r="J2624" t="s">
        <v>1276</v>
      </c>
      <c r="K2624" t="s">
        <v>1277</v>
      </c>
      <c r="L2624" t="s">
        <v>1289</v>
      </c>
      <c r="M2624" t="s">
        <v>1307</v>
      </c>
      <c r="N2624">
        <v>21</v>
      </c>
      <c r="O2624" t="str">
        <f t="shared" si="219"/>
        <v>43</v>
      </c>
      <c r="P2624">
        <v>43</v>
      </c>
      <c r="R2624" t="s">
        <v>1269</v>
      </c>
      <c r="S2624">
        <v>7.335</v>
      </c>
      <c r="T2624">
        <v>0.2429</v>
      </c>
      <c r="U2624">
        <f t="shared" si="220"/>
        <v>1.782</v>
      </c>
      <c r="V2624" t="str">
        <f t="shared" si="217"/>
        <v>Elementary Occupational Therapist</v>
      </c>
      <c r="W2624" t="str">
        <f t="shared" si="218"/>
        <v>Occupational Therapist</v>
      </c>
    </row>
    <row r="2625" spans="1:23" x14ac:dyDescent="0.25">
      <c r="A2625">
        <v>32081</v>
      </c>
      <c r="B2625" t="s">
        <v>1328</v>
      </c>
      <c r="C2625">
        <v>0.33900000000000002</v>
      </c>
      <c r="D2625" t="s">
        <v>1264</v>
      </c>
      <c r="E2625">
        <v>100247</v>
      </c>
      <c r="F2625">
        <v>32081</v>
      </c>
      <c r="G2625" t="str">
        <f t="shared" si="216"/>
        <v>32081</v>
      </c>
      <c r="H2625" t="s">
        <v>522</v>
      </c>
      <c r="I2625" t="s">
        <v>1265</v>
      </c>
      <c r="J2625" t="s">
        <v>1276</v>
      </c>
      <c r="K2625" t="s">
        <v>1277</v>
      </c>
      <c r="L2625" t="s">
        <v>1328</v>
      </c>
      <c r="M2625" t="s">
        <v>1442</v>
      </c>
      <c r="N2625">
        <v>1</v>
      </c>
      <c r="O2625" t="str">
        <f t="shared" si="219"/>
        <v>43</v>
      </c>
      <c r="P2625">
        <v>43</v>
      </c>
      <c r="R2625" t="s">
        <v>1269</v>
      </c>
      <c r="S2625">
        <v>0.33900000000000002</v>
      </c>
      <c r="T2625">
        <v>0.2429</v>
      </c>
      <c r="U2625">
        <f t="shared" si="220"/>
        <v>0</v>
      </c>
      <c r="V2625" t="str">
        <f t="shared" si="217"/>
        <v>Elementary Occupational Therapist</v>
      </c>
      <c r="W2625" t="str">
        <f t="shared" si="218"/>
        <v>Occupational Therapist</v>
      </c>
    </row>
    <row r="2626" spans="1:23" x14ac:dyDescent="0.25">
      <c r="A2626">
        <v>32081</v>
      </c>
      <c r="B2626" t="s">
        <v>1387</v>
      </c>
      <c r="C2626">
        <v>4.1859999999999999</v>
      </c>
      <c r="D2626" t="s">
        <v>1264</v>
      </c>
      <c r="E2626">
        <v>100247</v>
      </c>
      <c r="F2626">
        <v>32081</v>
      </c>
      <c r="G2626" t="str">
        <f t="shared" ref="G2626:G2689" si="221">TEXT(F2626,"00000")</f>
        <v>32081</v>
      </c>
      <c r="H2626" t="s">
        <v>522</v>
      </c>
      <c r="I2626" t="s">
        <v>1265</v>
      </c>
      <c r="J2626" t="s">
        <v>1271</v>
      </c>
      <c r="K2626" t="s">
        <v>1272</v>
      </c>
      <c r="L2626" t="s">
        <v>1387</v>
      </c>
      <c r="M2626" t="s">
        <v>1406</v>
      </c>
      <c r="N2626">
        <v>21</v>
      </c>
      <c r="O2626" t="str">
        <f t="shared" si="219"/>
        <v>43</v>
      </c>
      <c r="P2626">
        <v>43</v>
      </c>
      <c r="R2626" t="s">
        <v>1269</v>
      </c>
      <c r="S2626">
        <v>4.1859999999999999</v>
      </c>
      <c r="T2626">
        <v>0.2429</v>
      </c>
      <c r="U2626">
        <f t="shared" si="220"/>
        <v>1.0169999999999999</v>
      </c>
      <c r="V2626" t="str">
        <f t="shared" ref="V2626:V2689" si="222">_xlfn.XLOOKUP(L2626,$BV:$BV,$BT:$BT,,0)</f>
        <v>High Occupational Therapist</v>
      </c>
      <c r="W2626" t="str">
        <f t="shared" ref="W2626:W2689" si="223">_xlfn.TEXTAFTER(V2626," ")</f>
        <v>Occupational Therapist</v>
      </c>
    </row>
    <row r="2627" spans="1:23" x14ac:dyDescent="0.25">
      <c r="A2627">
        <v>32081</v>
      </c>
      <c r="B2627" t="s">
        <v>1388</v>
      </c>
      <c r="C2627">
        <v>0.188</v>
      </c>
      <c r="D2627" t="s">
        <v>1264</v>
      </c>
      <c r="E2627">
        <v>100247</v>
      </c>
      <c r="F2627">
        <v>32081</v>
      </c>
      <c r="G2627" t="str">
        <f t="shared" si="221"/>
        <v>32081</v>
      </c>
      <c r="H2627" t="s">
        <v>522</v>
      </c>
      <c r="I2627" t="s">
        <v>1265</v>
      </c>
      <c r="J2627" t="s">
        <v>1271</v>
      </c>
      <c r="K2627" t="s">
        <v>1272</v>
      </c>
      <c r="L2627" t="s">
        <v>1388</v>
      </c>
      <c r="M2627" t="s">
        <v>1445</v>
      </c>
      <c r="N2627">
        <v>1</v>
      </c>
      <c r="O2627" t="str">
        <f t="shared" ref="O2627:O2690" si="224">MID(L2627,3,2)</f>
        <v>43</v>
      </c>
      <c r="P2627">
        <v>43</v>
      </c>
      <c r="R2627" t="s">
        <v>1269</v>
      </c>
      <c r="S2627">
        <v>0.188</v>
      </c>
      <c r="T2627">
        <v>0.2429</v>
      </c>
      <c r="U2627">
        <f t="shared" ref="U2627:U2690" si="225">IF(N2627=21,ROUND(T2627*S2627,3),0)</f>
        <v>0</v>
      </c>
      <c r="V2627" t="str">
        <f t="shared" si="222"/>
        <v>High Occupational Therapist</v>
      </c>
      <c r="W2627" t="str">
        <f t="shared" si="223"/>
        <v>Occupational Therapist</v>
      </c>
    </row>
    <row r="2628" spans="1:23" x14ac:dyDescent="0.25">
      <c r="A2628">
        <v>32081</v>
      </c>
      <c r="B2628" t="s">
        <v>1303</v>
      </c>
      <c r="C2628">
        <v>2.0979999999999999</v>
      </c>
      <c r="D2628" t="s">
        <v>1264</v>
      </c>
      <c r="E2628">
        <v>100247</v>
      </c>
      <c r="F2628">
        <v>32081</v>
      </c>
      <c r="G2628" t="str">
        <f t="shared" si="221"/>
        <v>32081</v>
      </c>
      <c r="H2628" t="s">
        <v>522</v>
      </c>
      <c r="I2628" t="s">
        <v>1265</v>
      </c>
      <c r="J2628" t="s">
        <v>1266</v>
      </c>
      <c r="K2628" t="s">
        <v>1267</v>
      </c>
      <c r="L2628" t="s">
        <v>1303</v>
      </c>
      <c r="M2628" t="s">
        <v>1304</v>
      </c>
      <c r="N2628">
        <v>21</v>
      </c>
      <c r="O2628" t="str">
        <f t="shared" si="224"/>
        <v>43</v>
      </c>
      <c r="P2628">
        <v>43</v>
      </c>
      <c r="R2628" t="s">
        <v>1269</v>
      </c>
      <c r="S2628">
        <v>2.0979999999999999</v>
      </c>
      <c r="T2628">
        <v>0.2429</v>
      </c>
      <c r="U2628">
        <f t="shared" si="225"/>
        <v>0.51</v>
      </c>
      <c r="V2628" t="str">
        <f t="shared" si="222"/>
        <v>Middle Occupational Therapist</v>
      </c>
      <c r="W2628" t="str">
        <f t="shared" si="223"/>
        <v>Occupational Therapist</v>
      </c>
    </row>
    <row r="2629" spans="1:23" x14ac:dyDescent="0.25">
      <c r="A2629">
        <v>32081</v>
      </c>
      <c r="B2629" t="s">
        <v>1368</v>
      </c>
      <c r="C2629">
        <v>9.9000000000000005E-2</v>
      </c>
      <c r="D2629" t="s">
        <v>1264</v>
      </c>
      <c r="E2629">
        <v>100247</v>
      </c>
      <c r="F2629">
        <v>32081</v>
      </c>
      <c r="G2629" t="str">
        <f t="shared" si="221"/>
        <v>32081</v>
      </c>
      <c r="H2629" t="s">
        <v>522</v>
      </c>
      <c r="I2629" t="s">
        <v>1265</v>
      </c>
      <c r="J2629" t="s">
        <v>1266</v>
      </c>
      <c r="K2629" t="s">
        <v>1267</v>
      </c>
      <c r="L2629" t="s">
        <v>1368</v>
      </c>
      <c r="M2629" t="s">
        <v>1444</v>
      </c>
      <c r="N2629">
        <v>1</v>
      </c>
      <c r="O2629" t="str">
        <f t="shared" si="224"/>
        <v>43</v>
      </c>
      <c r="P2629">
        <v>43</v>
      </c>
      <c r="R2629" t="s">
        <v>1269</v>
      </c>
      <c r="S2629">
        <v>9.9000000000000005E-2</v>
      </c>
      <c r="T2629">
        <v>0.2429</v>
      </c>
      <c r="U2629">
        <f t="shared" si="225"/>
        <v>0</v>
      </c>
      <c r="V2629" t="str">
        <f t="shared" si="222"/>
        <v>Middle Occupational Therapist</v>
      </c>
      <c r="W2629" t="str">
        <f t="shared" si="223"/>
        <v>Occupational Therapist</v>
      </c>
    </row>
    <row r="2630" spans="1:23" x14ac:dyDescent="0.25">
      <c r="A2630">
        <v>32081</v>
      </c>
      <c r="B2630" t="s">
        <v>1294</v>
      </c>
      <c r="C2630">
        <v>49.045000000000002</v>
      </c>
      <c r="D2630" t="s">
        <v>1264</v>
      </c>
      <c r="E2630">
        <v>100247</v>
      </c>
      <c r="F2630">
        <v>32081</v>
      </c>
      <c r="G2630" t="str">
        <f t="shared" si="221"/>
        <v>32081</v>
      </c>
      <c r="H2630" t="s">
        <v>522</v>
      </c>
      <c r="I2630" t="s">
        <v>1265</v>
      </c>
      <c r="J2630" t="s">
        <v>1276</v>
      </c>
      <c r="K2630" t="s">
        <v>1277</v>
      </c>
      <c r="L2630" t="s">
        <v>1294</v>
      </c>
      <c r="M2630" t="s">
        <v>1354</v>
      </c>
      <c r="N2630">
        <v>21</v>
      </c>
      <c r="O2630" t="str">
        <f t="shared" si="224"/>
        <v>45</v>
      </c>
      <c r="P2630">
        <v>45</v>
      </c>
      <c r="R2630" t="s">
        <v>1269</v>
      </c>
      <c r="S2630">
        <v>49.045000000000002</v>
      </c>
      <c r="T2630">
        <v>0.2429</v>
      </c>
      <c r="U2630">
        <f t="shared" si="225"/>
        <v>11.913</v>
      </c>
      <c r="V2630" t="str">
        <f t="shared" si="222"/>
        <v>Elementary Speech, Language Pathway/
Audio</v>
      </c>
      <c r="W2630" t="str">
        <f t="shared" si="223"/>
        <v>Speech, Language Pathway/
Audio</v>
      </c>
    </row>
    <row r="2631" spans="1:23" x14ac:dyDescent="0.25">
      <c r="A2631">
        <v>32081</v>
      </c>
      <c r="B2631" t="s">
        <v>1332</v>
      </c>
      <c r="C2631">
        <v>0.214</v>
      </c>
      <c r="D2631" t="s">
        <v>1264</v>
      </c>
      <c r="E2631">
        <v>100247</v>
      </c>
      <c r="F2631">
        <v>32081</v>
      </c>
      <c r="G2631" t="str">
        <f t="shared" si="221"/>
        <v>32081</v>
      </c>
      <c r="H2631" t="s">
        <v>522</v>
      </c>
      <c r="I2631" t="s">
        <v>1265</v>
      </c>
      <c r="J2631" t="s">
        <v>1276</v>
      </c>
      <c r="K2631" t="s">
        <v>1277</v>
      </c>
      <c r="L2631" t="s">
        <v>1332</v>
      </c>
      <c r="M2631" t="s">
        <v>1403</v>
      </c>
      <c r="N2631">
        <v>1</v>
      </c>
      <c r="O2631" t="str">
        <f t="shared" si="224"/>
        <v>45</v>
      </c>
      <c r="P2631">
        <v>45</v>
      </c>
      <c r="R2631" t="s">
        <v>1269</v>
      </c>
      <c r="S2631">
        <v>0.214</v>
      </c>
      <c r="T2631">
        <v>0.2429</v>
      </c>
      <c r="U2631">
        <f t="shared" si="225"/>
        <v>0</v>
      </c>
      <c r="V2631" t="str">
        <f t="shared" si="222"/>
        <v>Elementary Speech, Language Pathway/
Audio</v>
      </c>
      <c r="W2631" t="str">
        <f t="shared" si="223"/>
        <v>Speech, Language Pathway/
Audio</v>
      </c>
    </row>
    <row r="2632" spans="1:23" x14ac:dyDescent="0.25">
      <c r="A2632">
        <v>32081</v>
      </c>
      <c r="B2632" t="s">
        <v>1326</v>
      </c>
      <c r="C2632">
        <v>0.45800000000000002</v>
      </c>
      <c r="D2632" t="s">
        <v>1264</v>
      </c>
      <c r="E2632">
        <v>100247</v>
      </c>
      <c r="F2632">
        <v>32081</v>
      </c>
      <c r="G2632" t="str">
        <f t="shared" si="221"/>
        <v>32081</v>
      </c>
      <c r="H2632" t="s">
        <v>522</v>
      </c>
      <c r="I2632" t="s">
        <v>1265</v>
      </c>
      <c r="J2632" t="s">
        <v>1271</v>
      </c>
      <c r="K2632" t="s">
        <v>1272</v>
      </c>
      <c r="L2632" t="s">
        <v>1326</v>
      </c>
      <c r="M2632" t="s">
        <v>1353</v>
      </c>
      <c r="N2632">
        <v>21</v>
      </c>
      <c r="O2632" t="str">
        <f t="shared" si="224"/>
        <v>45</v>
      </c>
      <c r="P2632">
        <v>45</v>
      </c>
      <c r="R2632" t="s">
        <v>1269</v>
      </c>
      <c r="S2632">
        <v>0.45800000000000002</v>
      </c>
      <c r="T2632">
        <v>0.2429</v>
      </c>
      <c r="U2632">
        <f t="shared" si="225"/>
        <v>0.111</v>
      </c>
      <c r="V2632" t="str">
        <f t="shared" si="222"/>
        <v>High Speech, Language Pathway/
Audio</v>
      </c>
      <c r="W2632" t="str">
        <f t="shared" si="223"/>
        <v>Speech, Language Pathway/
Audio</v>
      </c>
    </row>
    <row r="2633" spans="1:23" x14ac:dyDescent="0.25">
      <c r="A2633">
        <v>32081</v>
      </c>
      <c r="B2633" t="s">
        <v>1394</v>
      </c>
      <c r="C2633">
        <v>0.124</v>
      </c>
      <c r="D2633" t="s">
        <v>1264</v>
      </c>
      <c r="E2633">
        <v>100247</v>
      </c>
      <c r="F2633">
        <v>32081</v>
      </c>
      <c r="G2633" t="str">
        <f t="shared" si="221"/>
        <v>32081</v>
      </c>
      <c r="H2633" t="s">
        <v>522</v>
      </c>
      <c r="I2633" t="s">
        <v>1265</v>
      </c>
      <c r="J2633" t="s">
        <v>1271</v>
      </c>
      <c r="K2633" t="s">
        <v>1272</v>
      </c>
      <c r="L2633" t="s">
        <v>1394</v>
      </c>
      <c r="M2633" t="s">
        <v>1415</v>
      </c>
      <c r="N2633">
        <v>1</v>
      </c>
      <c r="O2633" t="str">
        <f t="shared" si="224"/>
        <v>45</v>
      </c>
      <c r="P2633">
        <v>45</v>
      </c>
      <c r="R2633" t="s">
        <v>1269</v>
      </c>
      <c r="S2633">
        <v>0.124</v>
      </c>
      <c r="T2633">
        <v>0.2429</v>
      </c>
      <c r="U2633">
        <f t="shared" si="225"/>
        <v>0</v>
      </c>
      <c r="V2633" t="str">
        <f t="shared" si="222"/>
        <v>High Speech, Language Pathway/
Audio</v>
      </c>
      <c r="W2633" t="str">
        <f t="shared" si="223"/>
        <v>Speech, Language Pathway/
Audio</v>
      </c>
    </row>
    <row r="2634" spans="1:23" x14ac:dyDescent="0.25">
      <c r="A2634">
        <v>32081</v>
      </c>
      <c r="B2634" t="s">
        <v>1312</v>
      </c>
      <c r="C2634">
        <v>0.82799999999999996</v>
      </c>
      <c r="D2634" t="s">
        <v>1264</v>
      </c>
      <c r="E2634">
        <v>100247</v>
      </c>
      <c r="F2634">
        <v>32081</v>
      </c>
      <c r="G2634" t="str">
        <f t="shared" si="221"/>
        <v>32081</v>
      </c>
      <c r="H2634" t="s">
        <v>522</v>
      </c>
      <c r="I2634" t="s">
        <v>1265</v>
      </c>
      <c r="J2634" t="s">
        <v>1266</v>
      </c>
      <c r="K2634" t="s">
        <v>1267</v>
      </c>
      <c r="L2634" t="s">
        <v>1312</v>
      </c>
      <c r="M2634" t="s">
        <v>1351</v>
      </c>
      <c r="N2634">
        <v>21</v>
      </c>
      <c r="O2634" t="str">
        <f t="shared" si="224"/>
        <v>45</v>
      </c>
      <c r="P2634">
        <v>45</v>
      </c>
      <c r="R2634" t="s">
        <v>1269</v>
      </c>
      <c r="S2634">
        <v>0.82799999999999996</v>
      </c>
      <c r="T2634">
        <v>0.2429</v>
      </c>
      <c r="U2634">
        <f t="shared" si="225"/>
        <v>0.20100000000000001</v>
      </c>
      <c r="V2634" t="str">
        <f t="shared" si="222"/>
        <v>Middle Speech, Language Pathway/
Audio</v>
      </c>
      <c r="W2634" t="str">
        <f t="shared" si="223"/>
        <v>Speech, Language Pathway/
Audio</v>
      </c>
    </row>
    <row r="2635" spans="1:23" x14ac:dyDescent="0.25">
      <c r="A2635">
        <v>32081</v>
      </c>
      <c r="B2635" t="s">
        <v>1370</v>
      </c>
      <c r="C2635">
        <v>6.2E-2</v>
      </c>
      <c r="D2635" t="s">
        <v>1264</v>
      </c>
      <c r="E2635">
        <v>100247</v>
      </c>
      <c r="F2635">
        <v>32081</v>
      </c>
      <c r="G2635" t="str">
        <f t="shared" si="221"/>
        <v>32081</v>
      </c>
      <c r="H2635" t="s">
        <v>522</v>
      </c>
      <c r="I2635" t="s">
        <v>1265</v>
      </c>
      <c r="J2635" t="s">
        <v>1266</v>
      </c>
      <c r="K2635" t="s">
        <v>1267</v>
      </c>
      <c r="L2635" t="s">
        <v>1370</v>
      </c>
      <c r="M2635" t="s">
        <v>1414</v>
      </c>
      <c r="N2635">
        <v>1</v>
      </c>
      <c r="O2635" t="str">
        <f t="shared" si="224"/>
        <v>45</v>
      </c>
      <c r="P2635">
        <v>45</v>
      </c>
      <c r="R2635" t="s">
        <v>1269</v>
      </c>
      <c r="S2635">
        <v>6.2E-2</v>
      </c>
      <c r="T2635">
        <v>0.2429</v>
      </c>
      <c r="U2635">
        <f t="shared" si="225"/>
        <v>0</v>
      </c>
      <c r="V2635" t="str">
        <f t="shared" si="222"/>
        <v>Middle Speech, Language Pathway/
Audio</v>
      </c>
      <c r="W2635" t="str">
        <f t="shared" si="223"/>
        <v>Speech, Language Pathway/
Audio</v>
      </c>
    </row>
    <row r="2636" spans="1:23" x14ac:dyDescent="0.25">
      <c r="A2636">
        <v>32081</v>
      </c>
      <c r="B2636" t="s">
        <v>1298</v>
      </c>
      <c r="C2636">
        <v>16.672000000000001</v>
      </c>
      <c r="D2636" t="s">
        <v>1264</v>
      </c>
      <c r="E2636">
        <v>100247</v>
      </c>
      <c r="F2636">
        <v>32081</v>
      </c>
      <c r="G2636" t="str">
        <f t="shared" si="221"/>
        <v>32081</v>
      </c>
      <c r="H2636" t="s">
        <v>522</v>
      </c>
      <c r="I2636" t="s">
        <v>1265</v>
      </c>
      <c r="J2636" t="s">
        <v>1276</v>
      </c>
      <c r="K2636" t="s">
        <v>1277</v>
      </c>
      <c r="L2636" t="s">
        <v>1298</v>
      </c>
      <c r="M2636" t="s">
        <v>1349</v>
      </c>
      <c r="N2636">
        <v>21</v>
      </c>
      <c r="O2636" t="str">
        <f t="shared" si="224"/>
        <v>46</v>
      </c>
      <c r="P2636">
        <v>46</v>
      </c>
      <c r="R2636" t="s">
        <v>1269</v>
      </c>
      <c r="S2636">
        <v>16.672000000000001</v>
      </c>
      <c r="T2636">
        <v>0.2429</v>
      </c>
      <c r="U2636">
        <f t="shared" si="225"/>
        <v>4.05</v>
      </c>
      <c r="V2636" t="str">
        <f t="shared" si="222"/>
        <v>Elementary Psychologist</v>
      </c>
      <c r="W2636" t="str">
        <f t="shared" si="223"/>
        <v>Psychologist</v>
      </c>
    </row>
    <row r="2637" spans="1:23" x14ac:dyDescent="0.25">
      <c r="A2637">
        <v>32081</v>
      </c>
      <c r="B2637" t="s">
        <v>1309</v>
      </c>
      <c r="C2637">
        <v>6.383</v>
      </c>
      <c r="D2637" t="s">
        <v>1264</v>
      </c>
      <c r="E2637">
        <v>100247</v>
      </c>
      <c r="F2637">
        <v>32081</v>
      </c>
      <c r="G2637" t="str">
        <f t="shared" si="221"/>
        <v>32081</v>
      </c>
      <c r="H2637" t="s">
        <v>522</v>
      </c>
      <c r="I2637" t="s">
        <v>1265</v>
      </c>
      <c r="J2637" t="s">
        <v>1271</v>
      </c>
      <c r="K2637" t="s">
        <v>1272</v>
      </c>
      <c r="L2637" t="s">
        <v>1309</v>
      </c>
      <c r="M2637" t="s">
        <v>1310</v>
      </c>
      <c r="N2637">
        <v>21</v>
      </c>
      <c r="O2637" t="str">
        <f t="shared" si="224"/>
        <v>46</v>
      </c>
      <c r="P2637">
        <v>46</v>
      </c>
      <c r="R2637" t="s">
        <v>1269</v>
      </c>
      <c r="S2637">
        <v>6.383</v>
      </c>
      <c r="T2637">
        <v>0.2429</v>
      </c>
      <c r="U2637">
        <f t="shared" si="225"/>
        <v>1.55</v>
      </c>
      <c r="V2637" t="str">
        <f t="shared" si="222"/>
        <v>High Psychologist</v>
      </c>
      <c r="W2637" t="str">
        <f t="shared" si="223"/>
        <v>Psychologist</v>
      </c>
    </row>
    <row r="2638" spans="1:23" x14ac:dyDescent="0.25">
      <c r="A2638">
        <v>32081</v>
      </c>
      <c r="B2638" t="s">
        <v>1345</v>
      </c>
      <c r="C2638">
        <v>6.88</v>
      </c>
      <c r="D2638" t="s">
        <v>1264</v>
      </c>
      <c r="E2638">
        <v>100247</v>
      </c>
      <c r="F2638">
        <v>32081</v>
      </c>
      <c r="G2638" t="str">
        <f t="shared" si="221"/>
        <v>32081</v>
      </c>
      <c r="H2638" t="s">
        <v>522</v>
      </c>
      <c r="I2638" t="s">
        <v>1265</v>
      </c>
      <c r="J2638" t="s">
        <v>1266</v>
      </c>
      <c r="K2638" t="s">
        <v>1267</v>
      </c>
      <c r="L2638" t="s">
        <v>1345</v>
      </c>
      <c r="M2638" t="s">
        <v>1346</v>
      </c>
      <c r="N2638">
        <v>21</v>
      </c>
      <c r="O2638" t="str">
        <f t="shared" si="224"/>
        <v>46</v>
      </c>
      <c r="P2638">
        <v>46</v>
      </c>
      <c r="R2638" t="s">
        <v>1269</v>
      </c>
      <c r="S2638">
        <v>6.88</v>
      </c>
      <c r="T2638">
        <v>0.2429</v>
      </c>
      <c r="U2638">
        <f t="shared" si="225"/>
        <v>1.671</v>
      </c>
      <c r="V2638" t="str">
        <f t="shared" si="222"/>
        <v>Middle Psychologist</v>
      </c>
      <c r="W2638" t="str">
        <f t="shared" si="223"/>
        <v>Psychologist</v>
      </c>
    </row>
    <row r="2639" spans="1:23" x14ac:dyDescent="0.25">
      <c r="A2639">
        <v>32081</v>
      </c>
      <c r="B2639" t="s">
        <v>1334</v>
      </c>
      <c r="C2639">
        <v>0.17799999999999999</v>
      </c>
      <c r="D2639" t="s">
        <v>1264</v>
      </c>
      <c r="E2639">
        <v>100247</v>
      </c>
      <c r="F2639">
        <v>32081</v>
      </c>
      <c r="G2639" t="str">
        <f t="shared" si="221"/>
        <v>32081</v>
      </c>
      <c r="H2639" t="s">
        <v>522</v>
      </c>
      <c r="I2639" t="s">
        <v>1265</v>
      </c>
      <c r="J2639" t="s">
        <v>1276</v>
      </c>
      <c r="K2639" t="s">
        <v>1277</v>
      </c>
      <c r="L2639" t="s">
        <v>1334</v>
      </c>
      <c r="M2639" t="s">
        <v>1413</v>
      </c>
      <c r="N2639">
        <v>21</v>
      </c>
      <c r="O2639" t="str">
        <f t="shared" si="224"/>
        <v>47</v>
      </c>
      <c r="P2639">
        <v>47</v>
      </c>
      <c r="R2639" t="s">
        <v>1269</v>
      </c>
      <c r="S2639">
        <v>0.17799999999999999</v>
      </c>
      <c r="T2639">
        <v>0.2429</v>
      </c>
      <c r="U2639">
        <f t="shared" si="225"/>
        <v>4.2999999999999997E-2</v>
      </c>
      <c r="V2639" t="str">
        <f t="shared" si="222"/>
        <v>Elementary Nurse</v>
      </c>
      <c r="W2639" t="str">
        <f t="shared" si="223"/>
        <v>Nurse</v>
      </c>
    </row>
    <row r="2640" spans="1:23" x14ac:dyDescent="0.25">
      <c r="A2640">
        <v>32081</v>
      </c>
      <c r="B2640" t="s">
        <v>1335</v>
      </c>
      <c r="C2640">
        <v>5.7309999999999999</v>
      </c>
      <c r="D2640" t="s">
        <v>1264</v>
      </c>
      <c r="E2640">
        <v>100247</v>
      </c>
      <c r="F2640">
        <v>32081</v>
      </c>
      <c r="G2640" t="str">
        <f t="shared" si="221"/>
        <v>32081</v>
      </c>
      <c r="H2640" t="s">
        <v>522</v>
      </c>
      <c r="I2640" t="s">
        <v>1265</v>
      </c>
      <c r="J2640" t="s">
        <v>1276</v>
      </c>
      <c r="K2640" t="s">
        <v>1277</v>
      </c>
      <c r="L2640" t="s">
        <v>1335</v>
      </c>
      <c r="M2640" t="s">
        <v>1344</v>
      </c>
      <c r="N2640">
        <v>1</v>
      </c>
      <c r="O2640" t="str">
        <f t="shared" si="224"/>
        <v>47</v>
      </c>
      <c r="P2640">
        <v>47</v>
      </c>
      <c r="R2640" t="s">
        <v>1269</v>
      </c>
      <c r="S2640">
        <v>5.7309999999999999</v>
      </c>
      <c r="T2640">
        <v>0.2429</v>
      </c>
      <c r="U2640">
        <f t="shared" si="225"/>
        <v>0</v>
      </c>
      <c r="V2640" t="str">
        <f t="shared" si="222"/>
        <v>Elementary Nurse</v>
      </c>
      <c r="W2640" t="str">
        <f t="shared" si="223"/>
        <v>Nurse</v>
      </c>
    </row>
    <row r="2641" spans="1:23" x14ac:dyDescent="0.25">
      <c r="A2641">
        <v>32081</v>
      </c>
      <c r="B2641" t="s">
        <v>1397</v>
      </c>
      <c r="C2641">
        <v>0.10299999999999999</v>
      </c>
      <c r="D2641" t="s">
        <v>1264</v>
      </c>
      <c r="E2641">
        <v>100247</v>
      </c>
      <c r="F2641">
        <v>32081</v>
      </c>
      <c r="G2641" t="str">
        <f t="shared" si="221"/>
        <v>32081</v>
      </c>
      <c r="H2641" t="s">
        <v>522</v>
      </c>
      <c r="I2641" t="s">
        <v>1265</v>
      </c>
      <c r="J2641" t="s">
        <v>1271</v>
      </c>
      <c r="K2641" t="s">
        <v>1272</v>
      </c>
      <c r="L2641" t="s">
        <v>1397</v>
      </c>
      <c r="M2641" t="s">
        <v>1435</v>
      </c>
      <c r="N2641">
        <v>21</v>
      </c>
      <c r="O2641" t="str">
        <f t="shared" si="224"/>
        <v>47</v>
      </c>
      <c r="P2641">
        <v>47</v>
      </c>
      <c r="R2641" t="s">
        <v>1269</v>
      </c>
      <c r="S2641">
        <v>0.10299999999999999</v>
      </c>
      <c r="T2641">
        <v>0.2429</v>
      </c>
      <c r="U2641">
        <f t="shared" si="225"/>
        <v>2.5000000000000001E-2</v>
      </c>
      <c r="V2641" t="str">
        <f t="shared" si="222"/>
        <v>High Nurse</v>
      </c>
      <c r="W2641" t="str">
        <f t="shared" si="223"/>
        <v>Nurse</v>
      </c>
    </row>
    <row r="2642" spans="1:23" x14ac:dyDescent="0.25">
      <c r="A2642">
        <v>32081</v>
      </c>
      <c r="B2642" t="s">
        <v>1341</v>
      </c>
      <c r="C2642">
        <v>3.2789999999999999</v>
      </c>
      <c r="D2642" t="s">
        <v>1264</v>
      </c>
      <c r="E2642">
        <v>100247</v>
      </c>
      <c r="F2642">
        <v>32081</v>
      </c>
      <c r="G2642" t="str">
        <f t="shared" si="221"/>
        <v>32081</v>
      </c>
      <c r="H2642" t="s">
        <v>522</v>
      </c>
      <c r="I2642" t="s">
        <v>1265</v>
      </c>
      <c r="J2642" t="s">
        <v>1271</v>
      </c>
      <c r="K2642" t="s">
        <v>1272</v>
      </c>
      <c r="L2642" t="s">
        <v>1341</v>
      </c>
      <c r="M2642" t="s">
        <v>1342</v>
      </c>
      <c r="N2642">
        <v>1</v>
      </c>
      <c r="O2642" t="str">
        <f t="shared" si="224"/>
        <v>47</v>
      </c>
      <c r="P2642">
        <v>47</v>
      </c>
      <c r="R2642" t="s">
        <v>1269</v>
      </c>
      <c r="S2642">
        <v>3.2789999999999999</v>
      </c>
      <c r="T2642">
        <v>0.2429</v>
      </c>
      <c r="U2642">
        <f t="shared" si="225"/>
        <v>0</v>
      </c>
      <c r="V2642" t="str">
        <f t="shared" si="222"/>
        <v>High Nurse</v>
      </c>
      <c r="W2642" t="str">
        <f t="shared" si="223"/>
        <v>Nurse</v>
      </c>
    </row>
    <row r="2643" spans="1:23" x14ac:dyDescent="0.25">
      <c r="A2643">
        <v>32081</v>
      </c>
      <c r="B2643" t="s">
        <v>1372</v>
      </c>
      <c r="C2643">
        <v>0.05</v>
      </c>
      <c r="D2643" t="s">
        <v>1264</v>
      </c>
      <c r="E2643">
        <v>100247</v>
      </c>
      <c r="F2643">
        <v>32081</v>
      </c>
      <c r="G2643" t="str">
        <f t="shared" si="221"/>
        <v>32081</v>
      </c>
      <c r="H2643" t="s">
        <v>522</v>
      </c>
      <c r="I2643" t="s">
        <v>1265</v>
      </c>
      <c r="J2643" t="s">
        <v>1266</v>
      </c>
      <c r="K2643" t="s">
        <v>1267</v>
      </c>
      <c r="L2643" t="s">
        <v>1372</v>
      </c>
      <c r="M2643" t="s">
        <v>1436</v>
      </c>
      <c r="N2643">
        <v>21</v>
      </c>
      <c r="O2643" t="str">
        <f t="shared" si="224"/>
        <v>47</v>
      </c>
      <c r="P2643">
        <v>47</v>
      </c>
      <c r="R2643" t="s">
        <v>1269</v>
      </c>
      <c r="S2643">
        <v>0.05</v>
      </c>
      <c r="T2643">
        <v>0.2429</v>
      </c>
      <c r="U2643">
        <f t="shared" si="225"/>
        <v>1.2E-2</v>
      </c>
      <c r="V2643" t="str">
        <f t="shared" si="222"/>
        <v>Middle Nurse</v>
      </c>
      <c r="W2643" t="str">
        <f t="shared" si="223"/>
        <v>Nurse</v>
      </c>
    </row>
    <row r="2644" spans="1:23" x14ac:dyDescent="0.25">
      <c r="A2644">
        <v>32081</v>
      </c>
      <c r="B2644" t="s">
        <v>1338</v>
      </c>
      <c r="C2644">
        <v>1.6339999999999999</v>
      </c>
      <c r="D2644" t="s">
        <v>1264</v>
      </c>
      <c r="E2644">
        <v>100247</v>
      </c>
      <c r="F2644">
        <v>32081</v>
      </c>
      <c r="G2644" t="str">
        <f t="shared" si="221"/>
        <v>32081</v>
      </c>
      <c r="H2644" t="s">
        <v>522</v>
      </c>
      <c r="I2644" t="s">
        <v>1265</v>
      </c>
      <c r="J2644" t="s">
        <v>1266</v>
      </c>
      <c r="K2644" t="s">
        <v>1267</v>
      </c>
      <c r="L2644" t="s">
        <v>1338</v>
      </c>
      <c r="M2644" t="s">
        <v>1339</v>
      </c>
      <c r="N2644">
        <v>1</v>
      </c>
      <c r="O2644" t="str">
        <f t="shared" si="224"/>
        <v>47</v>
      </c>
      <c r="P2644">
        <v>47</v>
      </c>
      <c r="R2644" t="s">
        <v>1269</v>
      </c>
      <c r="S2644">
        <v>1.6339999999999999</v>
      </c>
      <c r="T2644">
        <v>0.2429</v>
      </c>
      <c r="U2644">
        <f t="shared" si="225"/>
        <v>0</v>
      </c>
      <c r="V2644" t="str">
        <f t="shared" si="222"/>
        <v>Middle Nurse</v>
      </c>
      <c r="W2644" t="str">
        <f t="shared" si="223"/>
        <v>Nurse</v>
      </c>
    </row>
    <row r="2645" spans="1:23" x14ac:dyDescent="0.25">
      <c r="A2645">
        <v>32081</v>
      </c>
      <c r="B2645" t="s">
        <v>1302</v>
      </c>
      <c r="C2645">
        <v>3.7669999999999999</v>
      </c>
      <c r="D2645" t="s">
        <v>1264</v>
      </c>
      <c r="E2645">
        <v>100247</v>
      </c>
      <c r="F2645">
        <v>32081</v>
      </c>
      <c r="G2645" t="str">
        <f t="shared" si="221"/>
        <v>32081</v>
      </c>
      <c r="H2645" t="s">
        <v>522</v>
      </c>
      <c r="I2645" t="s">
        <v>1265</v>
      </c>
      <c r="J2645" t="s">
        <v>1276</v>
      </c>
      <c r="K2645" t="s">
        <v>1277</v>
      </c>
      <c r="L2645" t="s">
        <v>1302</v>
      </c>
      <c r="M2645" t="s">
        <v>1336</v>
      </c>
      <c r="N2645">
        <v>21</v>
      </c>
      <c r="O2645" t="str">
        <f t="shared" si="224"/>
        <v>48</v>
      </c>
      <c r="P2645">
        <v>48</v>
      </c>
      <c r="R2645" t="s">
        <v>1269</v>
      </c>
      <c r="S2645">
        <v>3.7669999999999999</v>
      </c>
      <c r="T2645">
        <v>0.2429</v>
      </c>
      <c r="U2645">
        <f t="shared" si="225"/>
        <v>0.91500000000000004</v>
      </c>
      <c r="V2645" t="str">
        <f t="shared" si="222"/>
        <v>Elementary Physical Therapist</v>
      </c>
      <c r="W2645" t="str">
        <f t="shared" si="223"/>
        <v>Physical Therapist</v>
      </c>
    </row>
    <row r="2646" spans="1:23" x14ac:dyDescent="0.25">
      <c r="A2646">
        <v>32081</v>
      </c>
      <c r="B2646" t="s">
        <v>1337</v>
      </c>
      <c r="C2646">
        <v>0.20899999999999999</v>
      </c>
      <c r="D2646" t="s">
        <v>1264</v>
      </c>
      <c r="E2646">
        <v>100247</v>
      </c>
      <c r="F2646">
        <v>32081</v>
      </c>
      <c r="G2646" t="str">
        <f t="shared" si="221"/>
        <v>32081</v>
      </c>
      <c r="H2646" t="s">
        <v>522</v>
      </c>
      <c r="I2646" t="s">
        <v>1265</v>
      </c>
      <c r="J2646" t="s">
        <v>1276</v>
      </c>
      <c r="K2646" t="s">
        <v>1277</v>
      </c>
      <c r="L2646" t="s">
        <v>1337</v>
      </c>
      <c r="M2646" t="s">
        <v>1439</v>
      </c>
      <c r="N2646">
        <v>1</v>
      </c>
      <c r="O2646" t="str">
        <f t="shared" si="224"/>
        <v>48</v>
      </c>
      <c r="P2646">
        <v>48</v>
      </c>
      <c r="R2646" t="s">
        <v>1269</v>
      </c>
      <c r="S2646">
        <v>0.20899999999999999</v>
      </c>
      <c r="T2646">
        <v>0.2429</v>
      </c>
      <c r="U2646">
        <f t="shared" si="225"/>
        <v>0</v>
      </c>
      <c r="V2646" t="str">
        <f t="shared" si="222"/>
        <v>Elementary Physical Therapist</v>
      </c>
      <c r="W2646" t="str">
        <f t="shared" si="223"/>
        <v>Physical Therapist</v>
      </c>
    </row>
    <row r="2647" spans="1:23" x14ac:dyDescent="0.25">
      <c r="A2647">
        <v>32081</v>
      </c>
      <c r="B2647" t="s">
        <v>1330</v>
      </c>
      <c r="C2647">
        <v>2.149</v>
      </c>
      <c r="D2647" t="s">
        <v>1264</v>
      </c>
      <c r="E2647">
        <v>100247</v>
      </c>
      <c r="F2647">
        <v>32081</v>
      </c>
      <c r="G2647" t="str">
        <f t="shared" si="221"/>
        <v>32081</v>
      </c>
      <c r="H2647" t="s">
        <v>522</v>
      </c>
      <c r="I2647" t="s">
        <v>1265</v>
      </c>
      <c r="J2647" t="s">
        <v>1271</v>
      </c>
      <c r="K2647" t="s">
        <v>1272</v>
      </c>
      <c r="L2647" t="s">
        <v>1330</v>
      </c>
      <c r="M2647" t="s">
        <v>1367</v>
      </c>
      <c r="N2647">
        <v>21</v>
      </c>
      <c r="O2647" t="str">
        <f t="shared" si="224"/>
        <v>48</v>
      </c>
      <c r="P2647">
        <v>48</v>
      </c>
      <c r="R2647" t="s">
        <v>1269</v>
      </c>
      <c r="S2647">
        <v>2.149</v>
      </c>
      <c r="T2647">
        <v>0.2429</v>
      </c>
      <c r="U2647">
        <f t="shared" si="225"/>
        <v>0.52200000000000002</v>
      </c>
      <c r="V2647" t="str">
        <f t="shared" si="222"/>
        <v>High Physical Therapist</v>
      </c>
      <c r="W2647" t="str">
        <f t="shared" si="223"/>
        <v>Physical Therapist</v>
      </c>
    </row>
    <row r="2648" spans="1:23" x14ac:dyDescent="0.25">
      <c r="A2648">
        <v>32081</v>
      </c>
      <c r="B2648" t="s">
        <v>1398</v>
      </c>
      <c r="C2648">
        <v>0.11700000000000001</v>
      </c>
      <c r="D2648" t="s">
        <v>1264</v>
      </c>
      <c r="E2648">
        <v>100247</v>
      </c>
      <c r="F2648">
        <v>32081</v>
      </c>
      <c r="G2648" t="str">
        <f t="shared" si="221"/>
        <v>32081</v>
      </c>
      <c r="H2648" t="s">
        <v>522</v>
      </c>
      <c r="I2648" t="s">
        <v>1265</v>
      </c>
      <c r="J2648" t="s">
        <v>1271</v>
      </c>
      <c r="K2648" t="s">
        <v>1272</v>
      </c>
      <c r="L2648" t="s">
        <v>1398</v>
      </c>
      <c r="M2648" t="s">
        <v>1438</v>
      </c>
      <c r="N2648">
        <v>1</v>
      </c>
      <c r="O2648" t="str">
        <f t="shared" si="224"/>
        <v>48</v>
      </c>
      <c r="P2648">
        <v>48</v>
      </c>
      <c r="R2648" t="s">
        <v>1269</v>
      </c>
      <c r="S2648">
        <v>0.11700000000000001</v>
      </c>
      <c r="T2648">
        <v>0.2429</v>
      </c>
      <c r="U2648">
        <f t="shared" si="225"/>
        <v>0</v>
      </c>
      <c r="V2648" t="str">
        <f t="shared" si="222"/>
        <v>High Physical Therapist</v>
      </c>
      <c r="W2648" t="str">
        <f t="shared" si="223"/>
        <v>Physical Therapist</v>
      </c>
    </row>
    <row r="2649" spans="1:23" x14ac:dyDescent="0.25">
      <c r="A2649">
        <v>32081</v>
      </c>
      <c r="B2649" t="s">
        <v>1316</v>
      </c>
      <c r="C2649">
        <v>1.0780000000000001</v>
      </c>
      <c r="D2649" t="s">
        <v>1264</v>
      </c>
      <c r="E2649">
        <v>100247</v>
      </c>
      <c r="F2649">
        <v>32081</v>
      </c>
      <c r="G2649" t="str">
        <f t="shared" si="221"/>
        <v>32081</v>
      </c>
      <c r="H2649" t="s">
        <v>522</v>
      </c>
      <c r="I2649" t="s">
        <v>1265</v>
      </c>
      <c r="J2649" t="s">
        <v>1266</v>
      </c>
      <c r="K2649" t="s">
        <v>1267</v>
      </c>
      <c r="L2649" t="s">
        <v>1316</v>
      </c>
      <c r="M2649" t="s">
        <v>1366</v>
      </c>
      <c r="N2649">
        <v>21</v>
      </c>
      <c r="O2649" t="str">
        <f t="shared" si="224"/>
        <v>48</v>
      </c>
      <c r="P2649">
        <v>48</v>
      </c>
      <c r="R2649" t="s">
        <v>1269</v>
      </c>
      <c r="S2649">
        <v>1.0780000000000001</v>
      </c>
      <c r="T2649">
        <v>0.2429</v>
      </c>
      <c r="U2649">
        <f t="shared" si="225"/>
        <v>0.26200000000000001</v>
      </c>
      <c r="V2649" t="str">
        <f t="shared" si="222"/>
        <v>Middle Physical Therapist</v>
      </c>
      <c r="W2649" t="str">
        <f t="shared" si="223"/>
        <v>Physical Therapist</v>
      </c>
    </row>
    <row r="2650" spans="1:23" x14ac:dyDescent="0.25">
      <c r="A2650">
        <v>32081</v>
      </c>
      <c r="B2650" t="s">
        <v>1373</v>
      </c>
      <c r="C2650">
        <v>6.3E-2</v>
      </c>
      <c r="D2650" t="s">
        <v>1264</v>
      </c>
      <c r="E2650">
        <v>100247</v>
      </c>
      <c r="F2650">
        <v>32081</v>
      </c>
      <c r="G2650" t="str">
        <f t="shared" si="221"/>
        <v>32081</v>
      </c>
      <c r="H2650" t="s">
        <v>522</v>
      </c>
      <c r="I2650" t="s">
        <v>1265</v>
      </c>
      <c r="J2650" t="s">
        <v>1266</v>
      </c>
      <c r="K2650" t="s">
        <v>1267</v>
      </c>
      <c r="L2650" t="s">
        <v>1373</v>
      </c>
      <c r="M2650" t="s">
        <v>1437</v>
      </c>
      <c r="N2650">
        <v>1</v>
      </c>
      <c r="O2650" t="str">
        <f t="shared" si="224"/>
        <v>48</v>
      </c>
      <c r="P2650">
        <v>48</v>
      </c>
      <c r="R2650" t="s">
        <v>1269</v>
      </c>
      <c r="S2650">
        <v>6.3E-2</v>
      </c>
      <c r="T2650">
        <v>0.2429</v>
      </c>
      <c r="U2650">
        <f t="shared" si="225"/>
        <v>0</v>
      </c>
      <c r="V2650" t="str">
        <f t="shared" si="222"/>
        <v>Middle Physical Therapist</v>
      </c>
      <c r="W2650" t="str">
        <f t="shared" si="223"/>
        <v>Physical Therapist</v>
      </c>
    </row>
    <row r="2651" spans="1:23" x14ac:dyDescent="0.25">
      <c r="A2651">
        <v>32123</v>
      </c>
      <c r="B2651" t="s">
        <v>1286</v>
      </c>
      <c r="C2651">
        <v>0.13700000000000001</v>
      </c>
      <c r="D2651" t="s">
        <v>1264</v>
      </c>
      <c r="E2651">
        <v>100187</v>
      </c>
      <c r="F2651">
        <v>32123</v>
      </c>
      <c r="G2651" t="str">
        <f t="shared" si="221"/>
        <v>32123</v>
      </c>
      <c r="H2651" t="s">
        <v>523</v>
      </c>
      <c r="I2651" t="s">
        <v>1265</v>
      </c>
      <c r="J2651" t="s">
        <v>1271</v>
      </c>
      <c r="K2651" t="s">
        <v>1272</v>
      </c>
      <c r="L2651" t="s">
        <v>1286</v>
      </c>
      <c r="M2651" t="s">
        <v>1287</v>
      </c>
      <c r="N2651">
        <v>1</v>
      </c>
      <c r="O2651" t="str">
        <f t="shared" si="224"/>
        <v>24</v>
      </c>
      <c r="P2651">
        <v>96</v>
      </c>
      <c r="Q2651">
        <v>24</v>
      </c>
      <c r="R2651" t="s">
        <v>1269</v>
      </c>
      <c r="S2651">
        <v>0.13700000000000001</v>
      </c>
      <c r="T2651">
        <v>0.115</v>
      </c>
      <c r="U2651">
        <f t="shared" si="225"/>
        <v>0</v>
      </c>
      <c r="V2651" t="str">
        <f t="shared" si="222"/>
        <v>High Family Engagement Coordinator</v>
      </c>
      <c r="W2651" t="str">
        <f t="shared" si="223"/>
        <v>Family Engagement Coordinator</v>
      </c>
    </row>
    <row r="2652" spans="1:23" x14ac:dyDescent="0.25">
      <c r="A2652">
        <v>32123</v>
      </c>
      <c r="B2652" t="s">
        <v>1295</v>
      </c>
      <c r="C2652">
        <v>7.6999999999999999E-2</v>
      </c>
      <c r="D2652" t="s">
        <v>1264</v>
      </c>
      <c r="E2652">
        <v>100187</v>
      </c>
      <c r="F2652">
        <v>32123</v>
      </c>
      <c r="G2652" t="str">
        <f t="shared" si="221"/>
        <v>32123</v>
      </c>
      <c r="H2652" t="s">
        <v>523</v>
      </c>
      <c r="I2652" t="s">
        <v>1265</v>
      </c>
      <c r="J2652" t="s">
        <v>1271</v>
      </c>
      <c r="K2652" t="s">
        <v>1272</v>
      </c>
      <c r="L2652" t="s">
        <v>1295</v>
      </c>
      <c r="M2652" t="s">
        <v>1296</v>
      </c>
      <c r="N2652">
        <v>1</v>
      </c>
      <c r="O2652" t="str">
        <f t="shared" si="224"/>
        <v>26</v>
      </c>
      <c r="Q2652">
        <v>26</v>
      </c>
      <c r="R2652" t="s">
        <v>1269</v>
      </c>
      <c r="S2652">
        <v>7.6999999999999999E-2</v>
      </c>
      <c r="T2652">
        <v>0.115</v>
      </c>
      <c r="U2652">
        <f t="shared" si="225"/>
        <v>0</v>
      </c>
      <c r="V2652" t="str">
        <f t="shared" si="222"/>
        <v>High Health/
Related Services</v>
      </c>
      <c r="W2652" t="str">
        <f t="shared" si="223"/>
        <v>Health/
Related Services</v>
      </c>
    </row>
    <row r="2653" spans="1:23" x14ac:dyDescent="0.25">
      <c r="A2653">
        <v>32312</v>
      </c>
      <c r="B2653" t="s">
        <v>1295</v>
      </c>
      <c r="C2653">
        <v>0.28799999999999998</v>
      </c>
      <c r="D2653" t="s">
        <v>1264</v>
      </c>
      <c r="E2653">
        <v>100100</v>
      </c>
      <c r="F2653">
        <v>32312</v>
      </c>
      <c r="G2653" t="str">
        <f t="shared" si="221"/>
        <v>32312</v>
      </c>
      <c r="H2653" t="s">
        <v>524</v>
      </c>
      <c r="I2653" t="s">
        <v>1265</v>
      </c>
      <c r="J2653" t="s">
        <v>1271</v>
      </c>
      <c r="K2653" t="s">
        <v>1272</v>
      </c>
      <c r="L2653" t="s">
        <v>1295</v>
      </c>
      <c r="M2653" t="s">
        <v>1296</v>
      </c>
      <c r="N2653">
        <v>1</v>
      </c>
      <c r="O2653" t="str">
        <f t="shared" si="224"/>
        <v>26</v>
      </c>
      <c r="Q2653">
        <v>26</v>
      </c>
      <c r="R2653" t="s">
        <v>1269</v>
      </c>
      <c r="S2653">
        <v>0.28799999999999998</v>
      </c>
      <c r="T2653">
        <v>8.7099999999999997E-2</v>
      </c>
      <c r="U2653">
        <f t="shared" si="225"/>
        <v>0</v>
      </c>
      <c r="V2653" t="str">
        <f t="shared" si="222"/>
        <v>High Health/
Related Services</v>
      </c>
      <c r="W2653" t="str">
        <f t="shared" si="223"/>
        <v>Health/
Related Services</v>
      </c>
    </row>
    <row r="2654" spans="1:23" x14ac:dyDescent="0.25">
      <c r="A2654">
        <v>32325</v>
      </c>
      <c r="B2654" t="s">
        <v>1308</v>
      </c>
      <c r="C2654">
        <v>1.696</v>
      </c>
      <c r="D2654" t="s">
        <v>1264</v>
      </c>
      <c r="E2654">
        <v>100165</v>
      </c>
      <c r="F2654">
        <v>32325</v>
      </c>
      <c r="G2654" t="str">
        <f t="shared" si="221"/>
        <v>32325</v>
      </c>
      <c r="H2654" t="s">
        <v>525</v>
      </c>
      <c r="I2654" t="s">
        <v>1265</v>
      </c>
      <c r="J2654" t="s">
        <v>1276</v>
      </c>
      <c r="K2654" t="s">
        <v>1277</v>
      </c>
      <c r="L2654" t="s">
        <v>1308</v>
      </c>
      <c r="M2654" t="s">
        <v>1389</v>
      </c>
      <c r="N2654">
        <v>1</v>
      </c>
      <c r="O2654" t="str">
        <f t="shared" si="224"/>
        <v>25</v>
      </c>
      <c r="Q2654">
        <v>25</v>
      </c>
      <c r="R2654" t="s">
        <v>1269</v>
      </c>
      <c r="S2654">
        <v>1.696</v>
      </c>
      <c r="T2654">
        <v>0.2059</v>
      </c>
      <c r="U2654">
        <f t="shared" si="225"/>
        <v>0</v>
      </c>
      <c r="V2654" t="str">
        <f t="shared" si="222"/>
        <v>Elementary Pupil Management</v>
      </c>
      <c r="W2654" t="str">
        <f t="shared" si="223"/>
        <v>Pupil Management</v>
      </c>
    </row>
    <row r="2655" spans="1:23" x14ac:dyDescent="0.25">
      <c r="A2655">
        <v>32325</v>
      </c>
      <c r="B2655" t="s">
        <v>1363</v>
      </c>
      <c r="C2655">
        <v>0.24199999999999999</v>
      </c>
      <c r="D2655" t="s">
        <v>1264</v>
      </c>
      <c r="E2655">
        <v>100165</v>
      </c>
      <c r="F2655">
        <v>32325</v>
      </c>
      <c r="G2655" t="str">
        <f t="shared" si="221"/>
        <v>32325</v>
      </c>
      <c r="H2655" t="s">
        <v>525</v>
      </c>
      <c r="I2655" t="s">
        <v>1265</v>
      </c>
      <c r="J2655" t="s">
        <v>1266</v>
      </c>
      <c r="K2655" t="s">
        <v>1267</v>
      </c>
      <c r="L2655" t="s">
        <v>1363</v>
      </c>
      <c r="M2655" t="s">
        <v>1386</v>
      </c>
      <c r="N2655">
        <v>1</v>
      </c>
      <c r="O2655" t="str">
        <f t="shared" si="224"/>
        <v>25</v>
      </c>
      <c r="Q2655">
        <v>25</v>
      </c>
      <c r="R2655" t="s">
        <v>1269</v>
      </c>
      <c r="S2655">
        <v>0.24199999999999999</v>
      </c>
      <c r="T2655">
        <v>0.2059</v>
      </c>
      <c r="U2655">
        <f t="shared" si="225"/>
        <v>0</v>
      </c>
      <c r="V2655" t="str">
        <f t="shared" si="222"/>
        <v>Middle Pupil Management</v>
      </c>
      <c r="W2655" t="str">
        <f t="shared" si="223"/>
        <v>Pupil Management</v>
      </c>
    </row>
    <row r="2656" spans="1:23" x14ac:dyDescent="0.25">
      <c r="A2656">
        <v>32325</v>
      </c>
      <c r="B2656" t="s">
        <v>1311</v>
      </c>
      <c r="C2656">
        <v>0.77700000000000002</v>
      </c>
      <c r="D2656" t="s">
        <v>1264</v>
      </c>
      <c r="E2656">
        <v>100165</v>
      </c>
      <c r="F2656">
        <v>32325</v>
      </c>
      <c r="G2656" t="str">
        <f t="shared" si="221"/>
        <v>32325</v>
      </c>
      <c r="H2656" t="s">
        <v>525</v>
      </c>
      <c r="I2656" t="s">
        <v>1265</v>
      </c>
      <c r="J2656" t="s">
        <v>1276</v>
      </c>
      <c r="K2656" t="s">
        <v>1277</v>
      </c>
      <c r="L2656" t="s">
        <v>1311</v>
      </c>
      <c r="M2656" t="s">
        <v>1327</v>
      </c>
      <c r="N2656">
        <v>21</v>
      </c>
      <c r="O2656" t="str">
        <f t="shared" si="224"/>
        <v>26</v>
      </c>
      <c r="Q2656">
        <v>26</v>
      </c>
      <c r="R2656" t="s">
        <v>1269</v>
      </c>
      <c r="S2656">
        <v>0.77700000000000002</v>
      </c>
      <c r="T2656">
        <v>0.2059</v>
      </c>
      <c r="U2656">
        <f t="shared" si="225"/>
        <v>0.16</v>
      </c>
      <c r="V2656" t="str">
        <f t="shared" si="222"/>
        <v>Elementary Health/
Related Services</v>
      </c>
      <c r="W2656" t="str">
        <f t="shared" si="223"/>
        <v>Health/
Related Services</v>
      </c>
    </row>
    <row r="2657" spans="1:23" x14ac:dyDescent="0.25">
      <c r="A2657">
        <v>32325</v>
      </c>
      <c r="B2657" t="s">
        <v>1295</v>
      </c>
      <c r="C2657">
        <v>0.59099999999999997</v>
      </c>
      <c r="D2657" t="s">
        <v>1264</v>
      </c>
      <c r="E2657">
        <v>100165</v>
      </c>
      <c r="F2657">
        <v>32325</v>
      </c>
      <c r="G2657" t="str">
        <f t="shared" si="221"/>
        <v>32325</v>
      </c>
      <c r="H2657" t="s">
        <v>525</v>
      </c>
      <c r="I2657" t="s">
        <v>1265</v>
      </c>
      <c r="J2657" t="s">
        <v>1271</v>
      </c>
      <c r="K2657" t="s">
        <v>1272</v>
      </c>
      <c r="L2657" t="s">
        <v>1295</v>
      </c>
      <c r="M2657" t="s">
        <v>1296</v>
      </c>
      <c r="N2657">
        <v>1</v>
      </c>
      <c r="O2657" t="str">
        <f t="shared" si="224"/>
        <v>26</v>
      </c>
      <c r="Q2657">
        <v>26</v>
      </c>
      <c r="R2657" t="s">
        <v>1269</v>
      </c>
      <c r="S2657">
        <v>0.59099999999999997</v>
      </c>
      <c r="T2657">
        <v>0.2059</v>
      </c>
      <c r="U2657">
        <f t="shared" si="225"/>
        <v>0</v>
      </c>
      <c r="V2657" t="str">
        <f t="shared" si="222"/>
        <v>High Health/
Related Services</v>
      </c>
      <c r="W2657" t="str">
        <f t="shared" si="223"/>
        <v>Health/
Related Services</v>
      </c>
    </row>
    <row r="2658" spans="1:23" x14ac:dyDescent="0.25">
      <c r="A2658">
        <v>32325</v>
      </c>
      <c r="B2658" t="s">
        <v>1322</v>
      </c>
      <c r="C2658">
        <v>0.185</v>
      </c>
      <c r="D2658" t="s">
        <v>1264</v>
      </c>
      <c r="E2658">
        <v>100165</v>
      </c>
      <c r="F2658">
        <v>32325</v>
      </c>
      <c r="G2658" t="str">
        <f t="shared" si="221"/>
        <v>32325</v>
      </c>
      <c r="H2658" t="s">
        <v>525</v>
      </c>
      <c r="I2658" t="s">
        <v>1265</v>
      </c>
      <c r="J2658" t="s">
        <v>1266</v>
      </c>
      <c r="K2658" t="s">
        <v>1267</v>
      </c>
      <c r="L2658" t="s">
        <v>1322</v>
      </c>
      <c r="M2658" t="s">
        <v>1323</v>
      </c>
      <c r="N2658">
        <v>21</v>
      </c>
      <c r="O2658" t="str">
        <f t="shared" si="224"/>
        <v>26</v>
      </c>
      <c r="Q2658">
        <v>26</v>
      </c>
      <c r="R2658" t="s">
        <v>1269</v>
      </c>
      <c r="S2658">
        <v>0.185</v>
      </c>
      <c r="T2658">
        <v>0.2059</v>
      </c>
      <c r="U2658">
        <f t="shared" si="225"/>
        <v>3.7999999999999999E-2</v>
      </c>
      <c r="V2658" t="str">
        <f t="shared" si="222"/>
        <v>Middle Health/
Related Services</v>
      </c>
      <c r="W2658" t="str">
        <f t="shared" si="223"/>
        <v>Health/
Related Services</v>
      </c>
    </row>
    <row r="2659" spans="1:23" x14ac:dyDescent="0.25">
      <c r="A2659">
        <v>32325</v>
      </c>
      <c r="B2659" t="s">
        <v>1275</v>
      </c>
      <c r="C2659">
        <v>2</v>
      </c>
      <c r="D2659" t="s">
        <v>1264</v>
      </c>
      <c r="E2659">
        <v>100165</v>
      </c>
      <c r="F2659">
        <v>32325</v>
      </c>
      <c r="G2659" t="str">
        <f t="shared" si="221"/>
        <v>32325</v>
      </c>
      <c r="H2659" t="s">
        <v>525</v>
      </c>
      <c r="I2659" t="s">
        <v>1265</v>
      </c>
      <c r="J2659" t="s">
        <v>1276</v>
      </c>
      <c r="K2659" t="s">
        <v>1277</v>
      </c>
      <c r="L2659" t="s">
        <v>1275</v>
      </c>
      <c r="M2659" t="s">
        <v>1278</v>
      </c>
      <c r="N2659">
        <v>1</v>
      </c>
      <c r="O2659" t="str">
        <f t="shared" si="224"/>
        <v>42</v>
      </c>
      <c r="P2659">
        <v>42</v>
      </c>
      <c r="R2659" t="s">
        <v>1269</v>
      </c>
      <c r="S2659">
        <v>2</v>
      </c>
      <c r="T2659">
        <v>0.2059</v>
      </c>
      <c r="U2659">
        <f t="shared" si="225"/>
        <v>0</v>
      </c>
      <c r="V2659" t="str">
        <f t="shared" si="222"/>
        <v>Elementary Counselor</v>
      </c>
      <c r="W2659" t="str">
        <f t="shared" si="223"/>
        <v>Counselor</v>
      </c>
    </row>
    <row r="2660" spans="1:23" x14ac:dyDescent="0.25">
      <c r="A2660">
        <v>32325</v>
      </c>
      <c r="B2660" t="s">
        <v>1270</v>
      </c>
      <c r="C2660">
        <v>1.4</v>
      </c>
      <c r="D2660" t="s">
        <v>1264</v>
      </c>
      <c r="E2660">
        <v>100165</v>
      </c>
      <c r="F2660">
        <v>32325</v>
      </c>
      <c r="G2660" t="str">
        <f t="shared" si="221"/>
        <v>32325</v>
      </c>
      <c r="H2660" t="s">
        <v>525</v>
      </c>
      <c r="I2660" t="s">
        <v>1265</v>
      </c>
      <c r="J2660" t="s">
        <v>1271</v>
      </c>
      <c r="K2660" t="s">
        <v>1272</v>
      </c>
      <c r="L2660" t="s">
        <v>1270</v>
      </c>
      <c r="M2660" t="s">
        <v>1273</v>
      </c>
      <c r="N2660">
        <v>1</v>
      </c>
      <c r="O2660" t="str">
        <f t="shared" si="224"/>
        <v>42</v>
      </c>
      <c r="P2660">
        <v>42</v>
      </c>
      <c r="R2660" t="s">
        <v>1269</v>
      </c>
      <c r="S2660">
        <v>1.4</v>
      </c>
      <c r="T2660">
        <v>0.2059</v>
      </c>
      <c r="U2660">
        <f t="shared" si="225"/>
        <v>0</v>
      </c>
      <c r="V2660" t="str">
        <f t="shared" si="222"/>
        <v>High Counselor</v>
      </c>
      <c r="W2660" t="str">
        <f t="shared" si="223"/>
        <v>Counselor</v>
      </c>
    </row>
    <row r="2661" spans="1:23" x14ac:dyDescent="0.25">
      <c r="A2661">
        <v>32325</v>
      </c>
      <c r="B2661" t="s">
        <v>1331</v>
      </c>
      <c r="C2661">
        <v>0.33300000000000002</v>
      </c>
      <c r="D2661" t="s">
        <v>1264</v>
      </c>
      <c r="E2661">
        <v>100165</v>
      </c>
      <c r="F2661">
        <v>32325</v>
      </c>
      <c r="G2661" t="str">
        <f t="shared" si="221"/>
        <v>32325</v>
      </c>
      <c r="H2661" t="s">
        <v>525</v>
      </c>
      <c r="I2661" t="s">
        <v>1265</v>
      </c>
      <c r="J2661" t="s">
        <v>1276</v>
      </c>
      <c r="K2661" t="s">
        <v>1277</v>
      </c>
      <c r="L2661" t="s">
        <v>1331</v>
      </c>
      <c r="M2661" t="s">
        <v>1405</v>
      </c>
      <c r="N2661">
        <v>1</v>
      </c>
      <c r="O2661" t="str">
        <f t="shared" si="224"/>
        <v>44</v>
      </c>
      <c r="P2661">
        <v>44</v>
      </c>
      <c r="R2661" t="s">
        <v>1269</v>
      </c>
      <c r="S2661">
        <v>0.33300000000000002</v>
      </c>
      <c r="T2661">
        <v>0.2059</v>
      </c>
      <c r="U2661">
        <f t="shared" si="225"/>
        <v>0</v>
      </c>
      <c r="V2661" t="str">
        <f t="shared" si="222"/>
        <v>Elementary Social Worker</v>
      </c>
      <c r="W2661" t="str">
        <f t="shared" si="223"/>
        <v>Social Worker</v>
      </c>
    </row>
    <row r="2662" spans="1:23" x14ac:dyDescent="0.25">
      <c r="A2662">
        <v>32325</v>
      </c>
      <c r="B2662" t="s">
        <v>1356</v>
      </c>
      <c r="C2662">
        <v>0.66700000000000004</v>
      </c>
      <c r="D2662" t="s">
        <v>1264</v>
      </c>
      <c r="E2662">
        <v>100165</v>
      </c>
      <c r="F2662">
        <v>32325</v>
      </c>
      <c r="G2662" t="str">
        <f t="shared" si="221"/>
        <v>32325</v>
      </c>
      <c r="H2662" t="s">
        <v>525</v>
      </c>
      <c r="I2662" t="s">
        <v>1265</v>
      </c>
      <c r="J2662" t="s">
        <v>1266</v>
      </c>
      <c r="K2662" t="s">
        <v>1267</v>
      </c>
      <c r="L2662" t="s">
        <v>1356</v>
      </c>
      <c r="M2662" t="s">
        <v>1357</v>
      </c>
      <c r="N2662">
        <v>1</v>
      </c>
      <c r="O2662" t="str">
        <f t="shared" si="224"/>
        <v>44</v>
      </c>
      <c r="P2662">
        <v>44</v>
      </c>
      <c r="R2662" t="s">
        <v>1269</v>
      </c>
      <c r="S2662">
        <v>0.66700000000000004</v>
      </c>
      <c r="T2662">
        <v>0.2059</v>
      </c>
      <c r="U2662">
        <f t="shared" si="225"/>
        <v>0</v>
      </c>
      <c r="V2662" t="str">
        <f t="shared" si="222"/>
        <v>Middle Social Worker</v>
      </c>
      <c r="W2662" t="str">
        <f t="shared" si="223"/>
        <v>Social Worker</v>
      </c>
    </row>
    <row r="2663" spans="1:23" x14ac:dyDescent="0.25">
      <c r="A2663">
        <v>32325</v>
      </c>
      <c r="B2663" t="s">
        <v>1294</v>
      </c>
      <c r="C2663">
        <v>0.8</v>
      </c>
      <c r="D2663" t="s">
        <v>1264</v>
      </c>
      <c r="E2663">
        <v>100165</v>
      </c>
      <c r="F2663">
        <v>32325</v>
      </c>
      <c r="G2663" t="str">
        <f t="shared" si="221"/>
        <v>32325</v>
      </c>
      <c r="H2663" t="s">
        <v>525</v>
      </c>
      <c r="I2663" t="s">
        <v>1265</v>
      </c>
      <c r="J2663" t="s">
        <v>1276</v>
      </c>
      <c r="K2663" t="s">
        <v>1277</v>
      </c>
      <c r="L2663" t="s">
        <v>1294</v>
      </c>
      <c r="M2663" t="s">
        <v>1354</v>
      </c>
      <c r="N2663">
        <v>21</v>
      </c>
      <c r="O2663" t="str">
        <f t="shared" si="224"/>
        <v>45</v>
      </c>
      <c r="P2663">
        <v>45</v>
      </c>
      <c r="R2663" t="s">
        <v>1269</v>
      </c>
      <c r="S2663">
        <v>0.8</v>
      </c>
      <c r="T2663">
        <v>0.2059</v>
      </c>
      <c r="U2663">
        <f t="shared" si="225"/>
        <v>0.16500000000000001</v>
      </c>
      <c r="V2663" t="str">
        <f t="shared" si="222"/>
        <v>Elementary Speech, Language Pathway/
Audio</v>
      </c>
      <c r="W2663" t="str">
        <f t="shared" si="223"/>
        <v>Speech, Language Pathway/
Audio</v>
      </c>
    </row>
    <row r="2664" spans="1:23" x14ac:dyDescent="0.25">
      <c r="A2664">
        <v>32325</v>
      </c>
      <c r="B2664" t="s">
        <v>1298</v>
      </c>
      <c r="C2664">
        <v>1</v>
      </c>
      <c r="D2664" t="s">
        <v>1264</v>
      </c>
      <c r="E2664">
        <v>100165</v>
      </c>
      <c r="F2664">
        <v>32325</v>
      </c>
      <c r="G2664" t="str">
        <f t="shared" si="221"/>
        <v>32325</v>
      </c>
      <c r="H2664" t="s">
        <v>525</v>
      </c>
      <c r="I2664" t="s">
        <v>1265</v>
      </c>
      <c r="J2664" t="s">
        <v>1276</v>
      </c>
      <c r="K2664" t="s">
        <v>1277</v>
      </c>
      <c r="L2664" t="s">
        <v>1298</v>
      </c>
      <c r="M2664" t="s">
        <v>1349</v>
      </c>
      <c r="N2664">
        <v>21</v>
      </c>
      <c r="O2664" t="str">
        <f t="shared" si="224"/>
        <v>46</v>
      </c>
      <c r="P2664">
        <v>46</v>
      </c>
      <c r="R2664" t="s">
        <v>1269</v>
      </c>
      <c r="S2664">
        <v>1</v>
      </c>
      <c r="T2664">
        <v>0.2059</v>
      </c>
      <c r="U2664">
        <f t="shared" si="225"/>
        <v>0.20599999999999999</v>
      </c>
      <c r="V2664" t="str">
        <f t="shared" si="222"/>
        <v>Elementary Psychologist</v>
      </c>
      <c r="W2664" t="str">
        <f t="shared" si="223"/>
        <v>Psychologist</v>
      </c>
    </row>
    <row r="2665" spans="1:23" x14ac:dyDescent="0.25">
      <c r="A2665">
        <v>32325</v>
      </c>
      <c r="B2665" t="s">
        <v>1335</v>
      </c>
      <c r="C2665">
        <v>1.05</v>
      </c>
      <c r="D2665" t="s">
        <v>1264</v>
      </c>
      <c r="E2665">
        <v>100165</v>
      </c>
      <c r="F2665">
        <v>32325</v>
      </c>
      <c r="G2665" t="str">
        <f t="shared" si="221"/>
        <v>32325</v>
      </c>
      <c r="H2665" t="s">
        <v>525</v>
      </c>
      <c r="I2665" t="s">
        <v>1265</v>
      </c>
      <c r="J2665" t="s">
        <v>1276</v>
      </c>
      <c r="K2665" t="s">
        <v>1277</v>
      </c>
      <c r="L2665" t="s">
        <v>1335</v>
      </c>
      <c r="M2665" t="s">
        <v>1344</v>
      </c>
      <c r="N2665">
        <v>1</v>
      </c>
      <c r="O2665" t="str">
        <f t="shared" si="224"/>
        <v>47</v>
      </c>
      <c r="P2665">
        <v>47</v>
      </c>
      <c r="R2665" t="s">
        <v>1269</v>
      </c>
      <c r="S2665">
        <v>1.05</v>
      </c>
      <c r="T2665">
        <v>0.2059</v>
      </c>
      <c r="U2665">
        <f t="shared" si="225"/>
        <v>0</v>
      </c>
      <c r="V2665" t="str">
        <f t="shared" si="222"/>
        <v>Elementary Nurse</v>
      </c>
      <c r="W2665" t="str">
        <f t="shared" si="223"/>
        <v>Nurse</v>
      </c>
    </row>
    <row r="2666" spans="1:23" x14ac:dyDescent="0.25">
      <c r="A2666">
        <v>32325</v>
      </c>
      <c r="B2666" t="s">
        <v>1341</v>
      </c>
      <c r="C2666">
        <v>0.76</v>
      </c>
      <c r="D2666" t="s">
        <v>1264</v>
      </c>
      <c r="E2666">
        <v>100165</v>
      </c>
      <c r="F2666">
        <v>32325</v>
      </c>
      <c r="G2666" t="str">
        <f t="shared" si="221"/>
        <v>32325</v>
      </c>
      <c r="H2666" t="s">
        <v>525</v>
      </c>
      <c r="I2666" t="s">
        <v>1265</v>
      </c>
      <c r="J2666" t="s">
        <v>1271</v>
      </c>
      <c r="K2666" t="s">
        <v>1272</v>
      </c>
      <c r="L2666" t="s">
        <v>1341</v>
      </c>
      <c r="M2666" t="s">
        <v>1342</v>
      </c>
      <c r="N2666">
        <v>1</v>
      </c>
      <c r="O2666" t="str">
        <f t="shared" si="224"/>
        <v>47</v>
      </c>
      <c r="P2666">
        <v>47</v>
      </c>
      <c r="R2666" t="s">
        <v>1269</v>
      </c>
      <c r="S2666">
        <v>0.76</v>
      </c>
      <c r="T2666">
        <v>0.2059</v>
      </c>
      <c r="U2666">
        <f t="shared" si="225"/>
        <v>0</v>
      </c>
      <c r="V2666" t="str">
        <f t="shared" si="222"/>
        <v>High Nurse</v>
      </c>
      <c r="W2666" t="str">
        <f t="shared" si="223"/>
        <v>Nurse</v>
      </c>
    </row>
    <row r="2667" spans="1:23" x14ac:dyDescent="0.25">
      <c r="A2667">
        <v>32325</v>
      </c>
      <c r="B2667" t="s">
        <v>1338</v>
      </c>
      <c r="C2667">
        <v>0.19</v>
      </c>
      <c r="D2667" t="s">
        <v>1264</v>
      </c>
      <c r="E2667">
        <v>100165</v>
      </c>
      <c r="F2667">
        <v>32325</v>
      </c>
      <c r="G2667" t="str">
        <f t="shared" si="221"/>
        <v>32325</v>
      </c>
      <c r="H2667" t="s">
        <v>525</v>
      </c>
      <c r="I2667" t="s">
        <v>1265</v>
      </c>
      <c r="J2667" t="s">
        <v>1266</v>
      </c>
      <c r="K2667" t="s">
        <v>1267</v>
      </c>
      <c r="L2667" t="s">
        <v>1338</v>
      </c>
      <c r="M2667" t="s">
        <v>1339</v>
      </c>
      <c r="N2667">
        <v>1</v>
      </c>
      <c r="O2667" t="str">
        <f t="shared" si="224"/>
        <v>47</v>
      </c>
      <c r="P2667">
        <v>47</v>
      </c>
      <c r="R2667" t="s">
        <v>1269</v>
      </c>
      <c r="S2667">
        <v>0.19</v>
      </c>
      <c r="T2667">
        <v>0.2059</v>
      </c>
      <c r="U2667">
        <f t="shared" si="225"/>
        <v>0</v>
      </c>
      <c r="V2667" t="str">
        <f t="shared" si="222"/>
        <v>Middle Nurse</v>
      </c>
      <c r="W2667" t="str">
        <f t="shared" si="223"/>
        <v>Nurse</v>
      </c>
    </row>
    <row r="2668" spans="1:23" x14ac:dyDescent="0.25">
      <c r="A2668">
        <v>32326</v>
      </c>
      <c r="B2668" t="s">
        <v>1299</v>
      </c>
      <c r="C2668">
        <v>0.63900000000000001</v>
      </c>
      <c r="D2668" t="s">
        <v>1264</v>
      </c>
      <c r="E2668">
        <v>100145</v>
      </c>
      <c r="F2668">
        <v>32326</v>
      </c>
      <c r="G2668" t="str">
        <f t="shared" si="221"/>
        <v>32326</v>
      </c>
      <c r="H2668" t="s">
        <v>526</v>
      </c>
      <c r="I2668" t="s">
        <v>1265</v>
      </c>
      <c r="J2668" t="s">
        <v>1271</v>
      </c>
      <c r="K2668" t="s">
        <v>1272</v>
      </c>
      <c r="L2668" t="s">
        <v>1299</v>
      </c>
      <c r="M2668" t="s">
        <v>1300</v>
      </c>
      <c r="N2668">
        <v>1</v>
      </c>
      <c r="O2668" t="str">
        <f t="shared" si="224"/>
        <v>25</v>
      </c>
      <c r="Q2668">
        <v>25</v>
      </c>
      <c r="R2668" t="s">
        <v>1269</v>
      </c>
      <c r="S2668">
        <v>0.63900000000000001</v>
      </c>
      <c r="T2668">
        <v>0.1764</v>
      </c>
      <c r="U2668">
        <f t="shared" si="225"/>
        <v>0</v>
      </c>
      <c r="V2668" t="str">
        <f t="shared" si="222"/>
        <v>High Pupil Management</v>
      </c>
      <c r="W2668" t="str">
        <f t="shared" si="223"/>
        <v>Pupil Management</v>
      </c>
    </row>
    <row r="2669" spans="1:23" x14ac:dyDescent="0.25">
      <c r="A2669">
        <v>32326</v>
      </c>
      <c r="B2669" t="s">
        <v>1315</v>
      </c>
      <c r="C2669">
        <v>1.3720000000000001</v>
      </c>
      <c r="D2669" t="s">
        <v>1264</v>
      </c>
      <c r="E2669">
        <v>100145</v>
      </c>
      <c r="F2669">
        <v>32326</v>
      </c>
      <c r="G2669" t="str">
        <f t="shared" si="221"/>
        <v>32326</v>
      </c>
      <c r="H2669" t="s">
        <v>526</v>
      </c>
      <c r="I2669" t="s">
        <v>1265</v>
      </c>
      <c r="J2669" t="s">
        <v>1276</v>
      </c>
      <c r="K2669" t="s">
        <v>1277</v>
      </c>
      <c r="L2669" t="s">
        <v>1315</v>
      </c>
      <c r="M2669" t="s">
        <v>1375</v>
      </c>
      <c r="N2669">
        <v>1</v>
      </c>
      <c r="O2669" t="str">
        <f t="shared" si="224"/>
        <v>26</v>
      </c>
      <c r="Q2669">
        <v>26</v>
      </c>
      <c r="R2669" t="s">
        <v>1269</v>
      </c>
      <c r="S2669">
        <v>1.3720000000000001</v>
      </c>
      <c r="T2669">
        <v>0.1764</v>
      </c>
      <c r="U2669">
        <f t="shared" si="225"/>
        <v>0</v>
      </c>
      <c r="V2669" t="str">
        <f t="shared" si="222"/>
        <v>Elementary Health/
Related Services</v>
      </c>
      <c r="W2669" t="str">
        <f t="shared" si="223"/>
        <v>Health/
Related Services</v>
      </c>
    </row>
    <row r="2670" spans="1:23" x14ac:dyDescent="0.25">
      <c r="A2670">
        <v>32326</v>
      </c>
      <c r="B2670" t="s">
        <v>1324</v>
      </c>
      <c r="C2670">
        <v>0.68500000000000005</v>
      </c>
      <c r="D2670" t="s">
        <v>1264</v>
      </c>
      <c r="E2670">
        <v>100145</v>
      </c>
      <c r="F2670">
        <v>32326</v>
      </c>
      <c r="G2670" t="str">
        <f t="shared" si="221"/>
        <v>32326</v>
      </c>
      <c r="H2670" t="s">
        <v>526</v>
      </c>
      <c r="I2670" t="s">
        <v>1265</v>
      </c>
      <c r="J2670" t="s">
        <v>1271</v>
      </c>
      <c r="K2670" t="s">
        <v>1272</v>
      </c>
      <c r="L2670" t="s">
        <v>1324</v>
      </c>
      <c r="M2670" t="s">
        <v>1325</v>
      </c>
      <c r="N2670">
        <v>21</v>
      </c>
      <c r="O2670" t="str">
        <f t="shared" si="224"/>
        <v>26</v>
      </c>
      <c r="Q2670">
        <v>26</v>
      </c>
      <c r="R2670" t="s">
        <v>1269</v>
      </c>
      <c r="S2670">
        <v>0.68500000000000005</v>
      </c>
      <c r="T2670">
        <v>0.1764</v>
      </c>
      <c r="U2670">
        <f t="shared" si="225"/>
        <v>0.121</v>
      </c>
      <c r="V2670" t="str">
        <f t="shared" si="222"/>
        <v>High Health/
Related Services</v>
      </c>
      <c r="W2670" t="str">
        <f t="shared" si="223"/>
        <v>Health/
Related Services</v>
      </c>
    </row>
    <row r="2671" spans="1:23" x14ac:dyDescent="0.25">
      <c r="A2671">
        <v>32326</v>
      </c>
      <c r="B2671" t="s">
        <v>1295</v>
      </c>
      <c r="C2671">
        <v>1.7310000000000001</v>
      </c>
      <c r="D2671" t="s">
        <v>1264</v>
      </c>
      <c r="E2671">
        <v>100145</v>
      </c>
      <c r="F2671">
        <v>32326</v>
      </c>
      <c r="G2671" t="str">
        <f t="shared" si="221"/>
        <v>32326</v>
      </c>
      <c r="H2671" t="s">
        <v>526</v>
      </c>
      <c r="I2671" t="s">
        <v>1265</v>
      </c>
      <c r="J2671" t="s">
        <v>1271</v>
      </c>
      <c r="K2671" t="s">
        <v>1272</v>
      </c>
      <c r="L2671" t="s">
        <v>1295</v>
      </c>
      <c r="M2671" t="s">
        <v>1296</v>
      </c>
      <c r="N2671">
        <v>1</v>
      </c>
      <c r="O2671" t="str">
        <f t="shared" si="224"/>
        <v>26</v>
      </c>
      <c r="Q2671">
        <v>26</v>
      </c>
      <c r="R2671" t="s">
        <v>1269</v>
      </c>
      <c r="S2671">
        <v>1.7310000000000001</v>
      </c>
      <c r="T2671">
        <v>0.1764</v>
      </c>
      <c r="U2671">
        <f t="shared" si="225"/>
        <v>0</v>
      </c>
      <c r="V2671" t="str">
        <f t="shared" si="222"/>
        <v>High Health/
Related Services</v>
      </c>
      <c r="W2671" t="str">
        <f t="shared" si="223"/>
        <v>Health/
Related Services</v>
      </c>
    </row>
    <row r="2672" spans="1:23" x14ac:dyDescent="0.25">
      <c r="A2672">
        <v>32326</v>
      </c>
      <c r="B2672" t="s">
        <v>1275</v>
      </c>
      <c r="C2672">
        <v>2</v>
      </c>
      <c r="D2672" t="s">
        <v>1264</v>
      </c>
      <c r="E2672">
        <v>100145</v>
      </c>
      <c r="F2672">
        <v>32326</v>
      </c>
      <c r="G2672" t="str">
        <f t="shared" si="221"/>
        <v>32326</v>
      </c>
      <c r="H2672" t="s">
        <v>526</v>
      </c>
      <c r="I2672" t="s">
        <v>1265</v>
      </c>
      <c r="J2672" t="s">
        <v>1276</v>
      </c>
      <c r="K2672" t="s">
        <v>1277</v>
      </c>
      <c r="L2672" t="s">
        <v>1275</v>
      </c>
      <c r="M2672" t="s">
        <v>1278</v>
      </c>
      <c r="N2672">
        <v>1</v>
      </c>
      <c r="O2672" t="str">
        <f t="shared" si="224"/>
        <v>42</v>
      </c>
      <c r="P2672">
        <v>42</v>
      </c>
      <c r="R2672" t="s">
        <v>1269</v>
      </c>
      <c r="S2672">
        <v>2</v>
      </c>
      <c r="T2672">
        <v>0.1764</v>
      </c>
      <c r="U2672">
        <f t="shared" si="225"/>
        <v>0</v>
      </c>
      <c r="V2672" t="str">
        <f t="shared" si="222"/>
        <v>Elementary Counselor</v>
      </c>
      <c r="W2672" t="str">
        <f t="shared" si="223"/>
        <v>Counselor</v>
      </c>
    </row>
    <row r="2673" spans="1:23" x14ac:dyDescent="0.25">
      <c r="A2673">
        <v>32326</v>
      </c>
      <c r="B2673" t="s">
        <v>1270</v>
      </c>
      <c r="C2673">
        <v>1.5</v>
      </c>
      <c r="D2673" t="s">
        <v>1264</v>
      </c>
      <c r="E2673">
        <v>100145</v>
      </c>
      <c r="F2673">
        <v>32326</v>
      </c>
      <c r="G2673" t="str">
        <f t="shared" si="221"/>
        <v>32326</v>
      </c>
      <c r="H2673" t="s">
        <v>526</v>
      </c>
      <c r="I2673" t="s">
        <v>1265</v>
      </c>
      <c r="J2673" t="s">
        <v>1271</v>
      </c>
      <c r="K2673" t="s">
        <v>1272</v>
      </c>
      <c r="L2673" t="s">
        <v>1270</v>
      </c>
      <c r="M2673" t="s">
        <v>1273</v>
      </c>
      <c r="N2673">
        <v>1</v>
      </c>
      <c r="O2673" t="str">
        <f t="shared" si="224"/>
        <v>42</v>
      </c>
      <c r="P2673">
        <v>42</v>
      </c>
      <c r="R2673" t="s">
        <v>1269</v>
      </c>
      <c r="S2673">
        <v>1.5</v>
      </c>
      <c r="T2673">
        <v>0.1764</v>
      </c>
      <c r="U2673">
        <f t="shared" si="225"/>
        <v>0</v>
      </c>
      <c r="V2673" t="str">
        <f t="shared" si="222"/>
        <v>High Counselor</v>
      </c>
      <c r="W2673" t="str">
        <f t="shared" si="223"/>
        <v>Counselor</v>
      </c>
    </row>
    <row r="2674" spans="1:23" x14ac:dyDescent="0.25">
      <c r="A2674">
        <v>32326</v>
      </c>
      <c r="B2674" t="s">
        <v>1263</v>
      </c>
      <c r="C2674">
        <v>1.5</v>
      </c>
      <c r="D2674" t="s">
        <v>1264</v>
      </c>
      <c r="E2674">
        <v>100145</v>
      </c>
      <c r="F2674">
        <v>32326</v>
      </c>
      <c r="G2674" t="str">
        <f t="shared" si="221"/>
        <v>32326</v>
      </c>
      <c r="H2674" t="s">
        <v>526</v>
      </c>
      <c r="I2674" t="s">
        <v>1265</v>
      </c>
      <c r="J2674" t="s">
        <v>1266</v>
      </c>
      <c r="K2674" t="s">
        <v>1267</v>
      </c>
      <c r="L2674" t="s">
        <v>1263</v>
      </c>
      <c r="M2674" t="s">
        <v>1268</v>
      </c>
      <c r="N2674">
        <v>1</v>
      </c>
      <c r="O2674" t="str">
        <f t="shared" si="224"/>
        <v>42</v>
      </c>
      <c r="P2674">
        <v>42</v>
      </c>
      <c r="R2674" t="s">
        <v>1269</v>
      </c>
      <c r="S2674">
        <v>1.5</v>
      </c>
      <c r="T2674">
        <v>0.1764</v>
      </c>
      <c r="U2674">
        <f t="shared" si="225"/>
        <v>0</v>
      </c>
      <c r="V2674" t="str">
        <f t="shared" si="222"/>
        <v>Middle Counselor</v>
      </c>
      <c r="W2674" t="str">
        <f t="shared" si="223"/>
        <v>Counselor</v>
      </c>
    </row>
    <row r="2675" spans="1:23" x14ac:dyDescent="0.25">
      <c r="A2675">
        <v>32326</v>
      </c>
      <c r="B2675" t="s">
        <v>1289</v>
      </c>
      <c r="C2675">
        <v>0.92</v>
      </c>
      <c r="D2675" t="s">
        <v>1264</v>
      </c>
      <c r="E2675">
        <v>100145</v>
      </c>
      <c r="F2675">
        <v>32326</v>
      </c>
      <c r="G2675" t="str">
        <f t="shared" si="221"/>
        <v>32326</v>
      </c>
      <c r="H2675" t="s">
        <v>526</v>
      </c>
      <c r="I2675" t="s">
        <v>1265</v>
      </c>
      <c r="J2675" t="s">
        <v>1276</v>
      </c>
      <c r="K2675" t="s">
        <v>1277</v>
      </c>
      <c r="L2675" t="s">
        <v>1289</v>
      </c>
      <c r="M2675" t="s">
        <v>1307</v>
      </c>
      <c r="N2675">
        <v>21</v>
      </c>
      <c r="O2675" t="str">
        <f t="shared" si="224"/>
        <v>43</v>
      </c>
      <c r="P2675">
        <v>43</v>
      </c>
      <c r="R2675" t="s">
        <v>1269</v>
      </c>
      <c r="S2675">
        <v>0.92</v>
      </c>
      <c r="T2675">
        <v>0.1764</v>
      </c>
      <c r="U2675">
        <f t="shared" si="225"/>
        <v>0.16200000000000001</v>
      </c>
      <c r="V2675" t="str">
        <f t="shared" si="222"/>
        <v>Elementary Occupational Therapist</v>
      </c>
      <c r="W2675" t="str">
        <f t="shared" si="223"/>
        <v>Occupational Therapist</v>
      </c>
    </row>
    <row r="2676" spans="1:23" x14ac:dyDescent="0.25">
      <c r="A2676">
        <v>32326</v>
      </c>
      <c r="B2676" t="s">
        <v>1294</v>
      </c>
      <c r="C2676">
        <v>2.6859999999999999</v>
      </c>
      <c r="D2676" t="s">
        <v>1264</v>
      </c>
      <c r="E2676">
        <v>100145</v>
      </c>
      <c r="F2676">
        <v>32326</v>
      </c>
      <c r="G2676" t="str">
        <f t="shared" si="221"/>
        <v>32326</v>
      </c>
      <c r="H2676" t="s">
        <v>526</v>
      </c>
      <c r="I2676" t="s">
        <v>1265</v>
      </c>
      <c r="J2676" t="s">
        <v>1276</v>
      </c>
      <c r="K2676" t="s">
        <v>1277</v>
      </c>
      <c r="L2676" t="s">
        <v>1294</v>
      </c>
      <c r="M2676" t="s">
        <v>1354</v>
      </c>
      <c r="N2676">
        <v>21</v>
      </c>
      <c r="O2676" t="str">
        <f t="shared" si="224"/>
        <v>45</v>
      </c>
      <c r="P2676">
        <v>45</v>
      </c>
      <c r="R2676" t="s">
        <v>1269</v>
      </c>
      <c r="S2676">
        <v>2.6859999999999999</v>
      </c>
      <c r="T2676">
        <v>0.1764</v>
      </c>
      <c r="U2676">
        <f t="shared" si="225"/>
        <v>0.47399999999999998</v>
      </c>
      <c r="V2676" t="str">
        <f t="shared" si="222"/>
        <v>Elementary Speech, Language Pathway/
Audio</v>
      </c>
      <c r="W2676" t="str">
        <f t="shared" si="223"/>
        <v>Speech, Language Pathway/
Audio</v>
      </c>
    </row>
    <row r="2677" spans="1:23" x14ac:dyDescent="0.25">
      <c r="A2677">
        <v>32326</v>
      </c>
      <c r="B2677" t="s">
        <v>1309</v>
      </c>
      <c r="C2677">
        <v>0.92</v>
      </c>
      <c r="D2677" t="s">
        <v>1264</v>
      </c>
      <c r="E2677">
        <v>100145</v>
      </c>
      <c r="F2677">
        <v>32326</v>
      </c>
      <c r="G2677" t="str">
        <f t="shared" si="221"/>
        <v>32326</v>
      </c>
      <c r="H2677" t="s">
        <v>526</v>
      </c>
      <c r="I2677" t="s">
        <v>1265</v>
      </c>
      <c r="J2677" t="s">
        <v>1271</v>
      </c>
      <c r="K2677" t="s">
        <v>1272</v>
      </c>
      <c r="L2677" t="s">
        <v>1309</v>
      </c>
      <c r="M2677" t="s">
        <v>1310</v>
      </c>
      <c r="N2677">
        <v>21</v>
      </c>
      <c r="O2677" t="str">
        <f t="shared" si="224"/>
        <v>46</v>
      </c>
      <c r="P2677">
        <v>46</v>
      </c>
      <c r="R2677" t="s">
        <v>1269</v>
      </c>
      <c r="S2677">
        <v>0.92</v>
      </c>
      <c r="T2677">
        <v>0.1764</v>
      </c>
      <c r="U2677">
        <f t="shared" si="225"/>
        <v>0.16200000000000001</v>
      </c>
      <c r="V2677" t="str">
        <f t="shared" si="222"/>
        <v>High Psychologist</v>
      </c>
      <c r="W2677" t="str">
        <f t="shared" si="223"/>
        <v>Psychologist</v>
      </c>
    </row>
    <row r="2678" spans="1:23" x14ac:dyDescent="0.25">
      <c r="A2678">
        <v>32326</v>
      </c>
      <c r="B2678" t="s">
        <v>1345</v>
      </c>
      <c r="C2678">
        <v>1</v>
      </c>
      <c r="D2678" t="s">
        <v>1264</v>
      </c>
      <c r="E2678">
        <v>100145</v>
      </c>
      <c r="F2678">
        <v>32326</v>
      </c>
      <c r="G2678" t="str">
        <f t="shared" si="221"/>
        <v>32326</v>
      </c>
      <c r="H2678" t="s">
        <v>526</v>
      </c>
      <c r="I2678" t="s">
        <v>1265</v>
      </c>
      <c r="J2678" t="s">
        <v>1266</v>
      </c>
      <c r="K2678" t="s">
        <v>1267</v>
      </c>
      <c r="L2678" t="s">
        <v>1345</v>
      </c>
      <c r="M2678" t="s">
        <v>1346</v>
      </c>
      <c r="N2678">
        <v>21</v>
      </c>
      <c r="O2678" t="str">
        <f t="shared" si="224"/>
        <v>46</v>
      </c>
      <c r="P2678">
        <v>46</v>
      </c>
      <c r="R2678" t="s">
        <v>1269</v>
      </c>
      <c r="S2678">
        <v>1</v>
      </c>
      <c r="T2678">
        <v>0.1764</v>
      </c>
      <c r="U2678">
        <f t="shared" si="225"/>
        <v>0.17599999999999999</v>
      </c>
      <c r="V2678" t="str">
        <f t="shared" si="222"/>
        <v>Middle Psychologist</v>
      </c>
      <c r="W2678" t="str">
        <f t="shared" si="223"/>
        <v>Psychologist</v>
      </c>
    </row>
    <row r="2679" spans="1:23" x14ac:dyDescent="0.25">
      <c r="A2679">
        <v>32326</v>
      </c>
      <c r="B2679" t="s">
        <v>1335</v>
      </c>
      <c r="C2679">
        <v>1</v>
      </c>
      <c r="D2679" t="s">
        <v>1264</v>
      </c>
      <c r="E2679">
        <v>100145</v>
      </c>
      <c r="F2679">
        <v>32326</v>
      </c>
      <c r="G2679" t="str">
        <f t="shared" si="221"/>
        <v>32326</v>
      </c>
      <c r="H2679" t="s">
        <v>526</v>
      </c>
      <c r="I2679" t="s">
        <v>1265</v>
      </c>
      <c r="J2679" t="s">
        <v>1276</v>
      </c>
      <c r="K2679" t="s">
        <v>1277</v>
      </c>
      <c r="L2679" t="s">
        <v>1335</v>
      </c>
      <c r="M2679" t="s">
        <v>1344</v>
      </c>
      <c r="N2679">
        <v>1</v>
      </c>
      <c r="O2679" t="str">
        <f t="shared" si="224"/>
        <v>47</v>
      </c>
      <c r="P2679">
        <v>47</v>
      </c>
      <c r="R2679" t="s">
        <v>1269</v>
      </c>
      <c r="S2679">
        <v>1</v>
      </c>
      <c r="T2679">
        <v>0.1764</v>
      </c>
      <c r="U2679">
        <f t="shared" si="225"/>
        <v>0</v>
      </c>
      <c r="V2679" t="str">
        <f t="shared" si="222"/>
        <v>Elementary Nurse</v>
      </c>
      <c r="W2679" t="str">
        <f t="shared" si="223"/>
        <v>Nurse</v>
      </c>
    </row>
    <row r="2680" spans="1:23" x14ac:dyDescent="0.25">
      <c r="A2680">
        <v>32354</v>
      </c>
      <c r="B2680" t="s">
        <v>1299</v>
      </c>
      <c r="C2680">
        <v>0.123</v>
      </c>
      <c r="D2680" t="s">
        <v>1264</v>
      </c>
      <c r="E2680">
        <v>100144</v>
      </c>
      <c r="F2680">
        <v>32354</v>
      </c>
      <c r="G2680" t="str">
        <f t="shared" si="221"/>
        <v>32354</v>
      </c>
      <c r="H2680" t="s">
        <v>527</v>
      </c>
      <c r="I2680" t="s">
        <v>1265</v>
      </c>
      <c r="J2680" t="s">
        <v>1271</v>
      </c>
      <c r="K2680" t="s">
        <v>1272</v>
      </c>
      <c r="L2680" t="s">
        <v>1299</v>
      </c>
      <c r="M2680" t="s">
        <v>1300</v>
      </c>
      <c r="N2680">
        <v>1</v>
      </c>
      <c r="O2680" t="str">
        <f t="shared" si="224"/>
        <v>25</v>
      </c>
      <c r="Q2680">
        <v>25</v>
      </c>
      <c r="R2680" t="s">
        <v>1269</v>
      </c>
      <c r="S2680">
        <v>0.123</v>
      </c>
      <c r="T2680">
        <v>0.2863</v>
      </c>
      <c r="U2680">
        <f t="shared" si="225"/>
        <v>0</v>
      </c>
      <c r="V2680" t="str">
        <f t="shared" si="222"/>
        <v>High Pupil Management</v>
      </c>
      <c r="W2680" t="str">
        <f t="shared" si="223"/>
        <v>Pupil Management</v>
      </c>
    </row>
    <row r="2681" spans="1:23" x14ac:dyDescent="0.25">
      <c r="A2681">
        <v>32354</v>
      </c>
      <c r="B2681" t="s">
        <v>1324</v>
      </c>
      <c r="C2681">
        <v>4.085</v>
      </c>
      <c r="D2681" t="s">
        <v>1264</v>
      </c>
      <c r="E2681">
        <v>100144</v>
      </c>
      <c r="F2681">
        <v>32354</v>
      </c>
      <c r="G2681" t="str">
        <f t="shared" si="221"/>
        <v>32354</v>
      </c>
      <c r="H2681" t="s">
        <v>527</v>
      </c>
      <c r="I2681" t="s">
        <v>1265</v>
      </c>
      <c r="J2681" t="s">
        <v>1271</v>
      </c>
      <c r="K2681" t="s">
        <v>1272</v>
      </c>
      <c r="L2681" t="s">
        <v>1324</v>
      </c>
      <c r="M2681" t="s">
        <v>1325</v>
      </c>
      <c r="N2681">
        <v>21</v>
      </c>
      <c r="O2681" t="str">
        <f t="shared" si="224"/>
        <v>26</v>
      </c>
      <c r="Q2681">
        <v>26</v>
      </c>
      <c r="R2681" t="s">
        <v>1269</v>
      </c>
      <c r="S2681">
        <v>4.085</v>
      </c>
      <c r="T2681">
        <v>0.2863</v>
      </c>
      <c r="U2681">
        <f t="shared" si="225"/>
        <v>1.17</v>
      </c>
      <c r="V2681" t="str">
        <f t="shared" si="222"/>
        <v>High Health/
Related Services</v>
      </c>
      <c r="W2681" t="str">
        <f t="shared" si="223"/>
        <v>Health/
Related Services</v>
      </c>
    </row>
    <row r="2682" spans="1:23" x14ac:dyDescent="0.25">
      <c r="A2682">
        <v>32354</v>
      </c>
      <c r="B2682" t="s">
        <v>1295</v>
      </c>
      <c r="C2682">
        <v>8.9</v>
      </c>
      <c r="D2682" t="s">
        <v>1264</v>
      </c>
      <c r="E2682">
        <v>100144</v>
      </c>
      <c r="F2682">
        <v>32354</v>
      </c>
      <c r="G2682" t="str">
        <f t="shared" si="221"/>
        <v>32354</v>
      </c>
      <c r="H2682" t="s">
        <v>527</v>
      </c>
      <c r="I2682" t="s">
        <v>1265</v>
      </c>
      <c r="J2682" t="s">
        <v>1271</v>
      </c>
      <c r="K2682" t="s">
        <v>1272</v>
      </c>
      <c r="L2682" t="s">
        <v>1295</v>
      </c>
      <c r="M2682" t="s">
        <v>1296</v>
      </c>
      <c r="N2682">
        <v>1</v>
      </c>
      <c r="O2682" t="str">
        <f t="shared" si="224"/>
        <v>26</v>
      </c>
      <c r="Q2682">
        <v>26</v>
      </c>
      <c r="R2682" t="s">
        <v>1269</v>
      </c>
      <c r="S2682">
        <v>8.9</v>
      </c>
      <c r="T2682">
        <v>0.2863</v>
      </c>
      <c r="U2682">
        <f t="shared" si="225"/>
        <v>0</v>
      </c>
      <c r="V2682" t="str">
        <f t="shared" si="222"/>
        <v>High Health/
Related Services</v>
      </c>
      <c r="W2682" t="str">
        <f t="shared" si="223"/>
        <v>Health/
Related Services</v>
      </c>
    </row>
    <row r="2683" spans="1:23" x14ac:dyDescent="0.25">
      <c r="A2683">
        <v>32354</v>
      </c>
      <c r="B2683" t="s">
        <v>1321</v>
      </c>
      <c r="C2683">
        <v>0.53800000000000003</v>
      </c>
      <c r="D2683" t="s">
        <v>1264</v>
      </c>
      <c r="E2683">
        <v>100144</v>
      </c>
      <c r="F2683">
        <v>32354</v>
      </c>
      <c r="G2683" t="str">
        <f t="shared" si="221"/>
        <v>32354</v>
      </c>
      <c r="H2683" t="s">
        <v>527</v>
      </c>
      <c r="I2683" t="s">
        <v>1265</v>
      </c>
      <c r="J2683" t="s">
        <v>1276</v>
      </c>
      <c r="K2683" t="s">
        <v>1277</v>
      </c>
      <c r="L2683" t="s">
        <v>1321</v>
      </c>
      <c r="M2683" t="s">
        <v>1429</v>
      </c>
      <c r="N2683">
        <v>21</v>
      </c>
      <c r="O2683" t="str">
        <f t="shared" si="224"/>
        <v>42</v>
      </c>
      <c r="P2683">
        <v>42</v>
      </c>
      <c r="R2683" t="s">
        <v>1269</v>
      </c>
      <c r="S2683">
        <v>0.53800000000000003</v>
      </c>
      <c r="T2683">
        <v>0.2863</v>
      </c>
      <c r="U2683">
        <f t="shared" si="225"/>
        <v>0.154</v>
      </c>
      <c r="V2683" t="str">
        <f t="shared" si="222"/>
        <v>Elementary Counselor</v>
      </c>
      <c r="W2683" t="str">
        <f t="shared" si="223"/>
        <v>Counselor</v>
      </c>
    </row>
    <row r="2684" spans="1:23" x14ac:dyDescent="0.25">
      <c r="A2684">
        <v>32354</v>
      </c>
      <c r="B2684" t="s">
        <v>1275</v>
      </c>
      <c r="C2684">
        <v>3</v>
      </c>
      <c r="D2684" t="s">
        <v>1264</v>
      </c>
      <c r="E2684">
        <v>100144</v>
      </c>
      <c r="F2684">
        <v>32354</v>
      </c>
      <c r="G2684" t="str">
        <f t="shared" si="221"/>
        <v>32354</v>
      </c>
      <c r="H2684" t="s">
        <v>527</v>
      </c>
      <c r="I2684" t="s">
        <v>1265</v>
      </c>
      <c r="J2684" t="s">
        <v>1276</v>
      </c>
      <c r="K2684" t="s">
        <v>1277</v>
      </c>
      <c r="L2684" t="s">
        <v>1275</v>
      </c>
      <c r="M2684" t="s">
        <v>1278</v>
      </c>
      <c r="N2684">
        <v>1</v>
      </c>
      <c r="O2684" t="str">
        <f t="shared" si="224"/>
        <v>42</v>
      </c>
      <c r="P2684">
        <v>42</v>
      </c>
      <c r="R2684" t="s">
        <v>1269</v>
      </c>
      <c r="S2684">
        <v>3</v>
      </c>
      <c r="T2684">
        <v>0.2863</v>
      </c>
      <c r="U2684">
        <f t="shared" si="225"/>
        <v>0</v>
      </c>
      <c r="V2684" t="str">
        <f t="shared" si="222"/>
        <v>Elementary Counselor</v>
      </c>
      <c r="W2684" t="str">
        <f t="shared" si="223"/>
        <v>Counselor</v>
      </c>
    </row>
    <row r="2685" spans="1:23" x14ac:dyDescent="0.25">
      <c r="A2685">
        <v>32354</v>
      </c>
      <c r="B2685" t="s">
        <v>1270</v>
      </c>
      <c r="C2685">
        <v>8</v>
      </c>
      <c r="D2685" t="s">
        <v>1264</v>
      </c>
      <c r="E2685">
        <v>100144</v>
      </c>
      <c r="F2685">
        <v>32354</v>
      </c>
      <c r="G2685" t="str">
        <f t="shared" si="221"/>
        <v>32354</v>
      </c>
      <c r="H2685" t="s">
        <v>527</v>
      </c>
      <c r="I2685" t="s">
        <v>1265</v>
      </c>
      <c r="J2685" t="s">
        <v>1271</v>
      </c>
      <c r="K2685" t="s">
        <v>1272</v>
      </c>
      <c r="L2685" t="s">
        <v>1270</v>
      </c>
      <c r="M2685" t="s">
        <v>1273</v>
      </c>
      <c r="N2685">
        <v>1</v>
      </c>
      <c r="O2685" t="str">
        <f t="shared" si="224"/>
        <v>42</v>
      </c>
      <c r="P2685">
        <v>42</v>
      </c>
      <c r="R2685" t="s">
        <v>1269</v>
      </c>
      <c r="S2685">
        <v>8</v>
      </c>
      <c r="T2685">
        <v>0.2863</v>
      </c>
      <c r="U2685">
        <f t="shared" si="225"/>
        <v>0</v>
      </c>
      <c r="V2685" t="str">
        <f t="shared" si="222"/>
        <v>High Counselor</v>
      </c>
      <c r="W2685" t="str">
        <f t="shared" si="223"/>
        <v>Counselor</v>
      </c>
    </row>
    <row r="2686" spans="1:23" x14ac:dyDescent="0.25">
      <c r="A2686">
        <v>32354</v>
      </c>
      <c r="B2686" t="s">
        <v>1263</v>
      </c>
      <c r="C2686">
        <v>2</v>
      </c>
      <c r="D2686" t="s">
        <v>1264</v>
      </c>
      <c r="E2686">
        <v>100144</v>
      </c>
      <c r="F2686">
        <v>32354</v>
      </c>
      <c r="G2686" t="str">
        <f t="shared" si="221"/>
        <v>32354</v>
      </c>
      <c r="H2686" t="s">
        <v>527</v>
      </c>
      <c r="I2686" t="s">
        <v>1265</v>
      </c>
      <c r="J2686" t="s">
        <v>1266</v>
      </c>
      <c r="K2686" t="s">
        <v>1267</v>
      </c>
      <c r="L2686" t="s">
        <v>1263</v>
      </c>
      <c r="M2686" t="s">
        <v>1268</v>
      </c>
      <c r="N2686">
        <v>1</v>
      </c>
      <c r="O2686" t="str">
        <f t="shared" si="224"/>
        <v>42</v>
      </c>
      <c r="P2686">
        <v>42</v>
      </c>
      <c r="R2686" t="s">
        <v>1269</v>
      </c>
      <c r="S2686">
        <v>2</v>
      </c>
      <c r="T2686">
        <v>0.2863</v>
      </c>
      <c r="U2686">
        <f t="shared" si="225"/>
        <v>0</v>
      </c>
      <c r="V2686" t="str">
        <f t="shared" si="222"/>
        <v>Middle Counselor</v>
      </c>
      <c r="W2686" t="str">
        <f t="shared" si="223"/>
        <v>Counselor</v>
      </c>
    </row>
    <row r="2687" spans="1:23" x14ac:dyDescent="0.25">
      <c r="A2687">
        <v>32354</v>
      </c>
      <c r="B2687" t="s">
        <v>1289</v>
      </c>
      <c r="C2687">
        <v>7.7779999999999996</v>
      </c>
      <c r="D2687" t="s">
        <v>1264</v>
      </c>
      <c r="E2687">
        <v>100144</v>
      </c>
      <c r="F2687">
        <v>32354</v>
      </c>
      <c r="G2687" t="str">
        <f t="shared" si="221"/>
        <v>32354</v>
      </c>
      <c r="H2687" t="s">
        <v>527</v>
      </c>
      <c r="I2687" t="s">
        <v>1265</v>
      </c>
      <c r="J2687" t="s">
        <v>1276</v>
      </c>
      <c r="K2687" t="s">
        <v>1277</v>
      </c>
      <c r="L2687" t="s">
        <v>1289</v>
      </c>
      <c r="M2687" t="s">
        <v>1307</v>
      </c>
      <c r="N2687">
        <v>21</v>
      </c>
      <c r="O2687" t="str">
        <f t="shared" si="224"/>
        <v>43</v>
      </c>
      <c r="P2687">
        <v>43</v>
      </c>
      <c r="R2687" t="s">
        <v>1269</v>
      </c>
      <c r="S2687">
        <v>7.7779999999999996</v>
      </c>
      <c r="T2687">
        <v>0.2863</v>
      </c>
      <c r="U2687">
        <f t="shared" si="225"/>
        <v>2.2269999999999999</v>
      </c>
      <c r="V2687" t="str">
        <f t="shared" si="222"/>
        <v>Elementary Occupational Therapist</v>
      </c>
      <c r="W2687" t="str">
        <f t="shared" si="223"/>
        <v>Occupational Therapist</v>
      </c>
    </row>
    <row r="2688" spans="1:23" x14ac:dyDescent="0.25">
      <c r="A2688">
        <v>32354</v>
      </c>
      <c r="B2688" t="s">
        <v>1387</v>
      </c>
      <c r="C2688">
        <v>0.91100000000000003</v>
      </c>
      <c r="D2688" t="s">
        <v>1264</v>
      </c>
      <c r="E2688">
        <v>100144</v>
      </c>
      <c r="F2688">
        <v>32354</v>
      </c>
      <c r="G2688" t="str">
        <f t="shared" si="221"/>
        <v>32354</v>
      </c>
      <c r="H2688" t="s">
        <v>527</v>
      </c>
      <c r="I2688" t="s">
        <v>1265</v>
      </c>
      <c r="J2688" t="s">
        <v>1271</v>
      </c>
      <c r="K2688" t="s">
        <v>1272</v>
      </c>
      <c r="L2688" t="s">
        <v>1387</v>
      </c>
      <c r="M2688" t="s">
        <v>1406</v>
      </c>
      <c r="N2688">
        <v>21</v>
      </c>
      <c r="O2688" t="str">
        <f t="shared" si="224"/>
        <v>43</v>
      </c>
      <c r="P2688">
        <v>43</v>
      </c>
      <c r="R2688" t="s">
        <v>1269</v>
      </c>
      <c r="S2688">
        <v>0.91100000000000003</v>
      </c>
      <c r="T2688">
        <v>0.2863</v>
      </c>
      <c r="U2688">
        <f t="shared" si="225"/>
        <v>0.26100000000000001</v>
      </c>
      <c r="V2688" t="str">
        <f t="shared" si="222"/>
        <v>High Occupational Therapist</v>
      </c>
      <c r="W2688" t="str">
        <f t="shared" si="223"/>
        <v>Occupational Therapist</v>
      </c>
    </row>
    <row r="2689" spans="1:23" x14ac:dyDescent="0.25">
      <c r="A2689">
        <v>32354</v>
      </c>
      <c r="B2689" t="s">
        <v>1303</v>
      </c>
      <c r="C2689">
        <v>1.111</v>
      </c>
      <c r="D2689" t="s">
        <v>1264</v>
      </c>
      <c r="E2689">
        <v>100144</v>
      </c>
      <c r="F2689">
        <v>32354</v>
      </c>
      <c r="G2689" t="str">
        <f t="shared" si="221"/>
        <v>32354</v>
      </c>
      <c r="H2689" t="s">
        <v>527</v>
      </c>
      <c r="I2689" t="s">
        <v>1265</v>
      </c>
      <c r="J2689" t="s">
        <v>1266</v>
      </c>
      <c r="K2689" t="s">
        <v>1267</v>
      </c>
      <c r="L2689" t="s">
        <v>1303</v>
      </c>
      <c r="M2689" t="s">
        <v>1304</v>
      </c>
      <c r="N2689">
        <v>21</v>
      </c>
      <c r="O2689" t="str">
        <f t="shared" si="224"/>
        <v>43</v>
      </c>
      <c r="P2689">
        <v>43</v>
      </c>
      <c r="R2689" t="s">
        <v>1269</v>
      </c>
      <c r="S2689">
        <v>1.111</v>
      </c>
      <c r="T2689">
        <v>0.2863</v>
      </c>
      <c r="U2689">
        <f t="shared" si="225"/>
        <v>0.318</v>
      </c>
      <c r="V2689" t="str">
        <f t="shared" si="222"/>
        <v>Middle Occupational Therapist</v>
      </c>
      <c r="W2689" t="str">
        <f t="shared" si="223"/>
        <v>Occupational Therapist</v>
      </c>
    </row>
    <row r="2690" spans="1:23" x14ac:dyDescent="0.25">
      <c r="A2690">
        <v>32354</v>
      </c>
      <c r="B2690" t="s">
        <v>1331</v>
      </c>
      <c r="C2690">
        <v>8</v>
      </c>
      <c r="D2690" t="s">
        <v>1264</v>
      </c>
      <c r="E2690">
        <v>100144</v>
      </c>
      <c r="F2690">
        <v>32354</v>
      </c>
      <c r="G2690" t="str">
        <f t="shared" ref="G2690:G2753" si="226">TEXT(F2690,"00000")</f>
        <v>32354</v>
      </c>
      <c r="H2690" t="s">
        <v>527</v>
      </c>
      <c r="I2690" t="s">
        <v>1265</v>
      </c>
      <c r="J2690" t="s">
        <v>1276</v>
      </c>
      <c r="K2690" t="s">
        <v>1277</v>
      </c>
      <c r="L2690" t="s">
        <v>1331</v>
      </c>
      <c r="M2690" t="s">
        <v>1405</v>
      </c>
      <c r="N2690">
        <v>1</v>
      </c>
      <c r="O2690" t="str">
        <f t="shared" si="224"/>
        <v>44</v>
      </c>
      <c r="P2690">
        <v>44</v>
      </c>
      <c r="R2690" t="s">
        <v>1269</v>
      </c>
      <c r="S2690">
        <v>8</v>
      </c>
      <c r="T2690">
        <v>0.2863</v>
      </c>
      <c r="U2690">
        <f t="shared" si="225"/>
        <v>0</v>
      </c>
      <c r="V2690" t="str">
        <f t="shared" ref="V2690:V2753" si="227">_xlfn.XLOOKUP(L2690,$BV:$BV,$BT:$BT,,0)</f>
        <v>Elementary Social Worker</v>
      </c>
      <c r="W2690" t="str">
        <f t="shared" ref="W2690:W2753" si="228">_xlfn.TEXTAFTER(V2690," ")</f>
        <v>Social Worker</v>
      </c>
    </row>
    <row r="2691" spans="1:23" x14ac:dyDescent="0.25">
      <c r="A2691">
        <v>32354</v>
      </c>
      <c r="B2691" t="s">
        <v>1294</v>
      </c>
      <c r="C2691">
        <v>15.456</v>
      </c>
      <c r="D2691" t="s">
        <v>1264</v>
      </c>
      <c r="E2691">
        <v>100144</v>
      </c>
      <c r="F2691">
        <v>32354</v>
      </c>
      <c r="G2691" t="str">
        <f t="shared" si="226"/>
        <v>32354</v>
      </c>
      <c r="H2691" t="s">
        <v>527</v>
      </c>
      <c r="I2691" t="s">
        <v>1265</v>
      </c>
      <c r="J2691" t="s">
        <v>1276</v>
      </c>
      <c r="K2691" t="s">
        <v>1277</v>
      </c>
      <c r="L2691" t="s">
        <v>1294</v>
      </c>
      <c r="M2691" t="s">
        <v>1354</v>
      </c>
      <c r="N2691">
        <v>21</v>
      </c>
      <c r="O2691" t="str">
        <f t="shared" ref="O2691:O2754" si="229">MID(L2691,3,2)</f>
        <v>45</v>
      </c>
      <c r="P2691">
        <v>45</v>
      </c>
      <c r="R2691" t="s">
        <v>1269</v>
      </c>
      <c r="S2691">
        <v>15.456</v>
      </c>
      <c r="T2691">
        <v>0.2863</v>
      </c>
      <c r="U2691">
        <f t="shared" ref="U2691:U2754" si="230">IF(N2691=21,ROUND(T2691*S2691,3),0)</f>
        <v>4.4249999999999998</v>
      </c>
      <c r="V2691" t="str">
        <f t="shared" si="227"/>
        <v>Elementary Speech, Language Pathway/
Audio</v>
      </c>
      <c r="W2691" t="str">
        <f t="shared" si="228"/>
        <v>Speech, Language Pathway/
Audio</v>
      </c>
    </row>
    <row r="2692" spans="1:23" x14ac:dyDescent="0.25">
      <c r="A2692">
        <v>32354</v>
      </c>
      <c r="B2692" t="s">
        <v>1326</v>
      </c>
      <c r="C2692">
        <v>2.2000000000000002</v>
      </c>
      <c r="D2692" t="s">
        <v>1264</v>
      </c>
      <c r="E2692">
        <v>100144</v>
      </c>
      <c r="F2692">
        <v>32354</v>
      </c>
      <c r="G2692" t="str">
        <f t="shared" si="226"/>
        <v>32354</v>
      </c>
      <c r="H2692" t="s">
        <v>527</v>
      </c>
      <c r="I2692" t="s">
        <v>1265</v>
      </c>
      <c r="J2692" t="s">
        <v>1271</v>
      </c>
      <c r="K2692" t="s">
        <v>1272</v>
      </c>
      <c r="L2692" t="s">
        <v>1326</v>
      </c>
      <c r="M2692" t="s">
        <v>1353</v>
      </c>
      <c r="N2692">
        <v>21</v>
      </c>
      <c r="O2692" t="str">
        <f t="shared" si="229"/>
        <v>45</v>
      </c>
      <c r="P2692">
        <v>45</v>
      </c>
      <c r="R2692" t="s">
        <v>1269</v>
      </c>
      <c r="S2692">
        <v>2.2000000000000002</v>
      </c>
      <c r="T2692">
        <v>0.2863</v>
      </c>
      <c r="U2692">
        <f t="shared" si="230"/>
        <v>0.63</v>
      </c>
      <c r="V2692" t="str">
        <f t="shared" si="227"/>
        <v>High Speech, Language Pathway/
Audio</v>
      </c>
      <c r="W2692" t="str">
        <f t="shared" si="228"/>
        <v>Speech, Language Pathway/
Audio</v>
      </c>
    </row>
    <row r="2693" spans="1:23" x14ac:dyDescent="0.25">
      <c r="A2693">
        <v>32354</v>
      </c>
      <c r="B2693" t="s">
        <v>1312</v>
      </c>
      <c r="C2693">
        <v>1.8340000000000001</v>
      </c>
      <c r="D2693" t="s">
        <v>1264</v>
      </c>
      <c r="E2693">
        <v>100144</v>
      </c>
      <c r="F2693">
        <v>32354</v>
      </c>
      <c r="G2693" t="str">
        <f t="shared" si="226"/>
        <v>32354</v>
      </c>
      <c r="H2693" t="s">
        <v>527</v>
      </c>
      <c r="I2693" t="s">
        <v>1265</v>
      </c>
      <c r="J2693" t="s">
        <v>1266</v>
      </c>
      <c r="K2693" t="s">
        <v>1267</v>
      </c>
      <c r="L2693" t="s">
        <v>1312</v>
      </c>
      <c r="M2693" t="s">
        <v>1351</v>
      </c>
      <c r="N2693">
        <v>21</v>
      </c>
      <c r="O2693" t="str">
        <f t="shared" si="229"/>
        <v>45</v>
      </c>
      <c r="P2693">
        <v>45</v>
      </c>
      <c r="R2693" t="s">
        <v>1269</v>
      </c>
      <c r="S2693">
        <v>1.8340000000000001</v>
      </c>
      <c r="T2693">
        <v>0.2863</v>
      </c>
      <c r="U2693">
        <f t="shared" si="230"/>
        <v>0.52500000000000002</v>
      </c>
      <c r="V2693" t="str">
        <f t="shared" si="227"/>
        <v>Middle Speech, Language Pathway/
Audio</v>
      </c>
      <c r="W2693" t="str">
        <f t="shared" si="228"/>
        <v>Speech, Language Pathway/
Audio</v>
      </c>
    </row>
    <row r="2694" spans="1:23" x14ac:dyDescent="0.25">
      <c r="A2694">
        <v>32354</v>
      </c>
      <c r="B2694" t="s">
        <v>1298</v>
      </c>
      <c r="C2694">
        <v>6.7549999999999999</v>
      </c>
      <c r="D2694" t="s">
        <v>1264</v>
      </c>
      <c r="E2694">
        <v>100144</v>
      </c>
      <c r="F2694">
        <v>32354</v>
      </c>
      <c r="G2694" t="str">
        <f t="shared" si="226"/>
        <v>32354</v>
      </c>
      <c r="H2694" t="s">
        <v>527</v>
      </c>
      <c r="I2694" t="s">
        <v>1265</v>
      </c>
      <c r="J2694" t="s">
        <v>1276</v>
      </c>
      <c r="K2694" t="s">
        <v>1277</v>
      </c>
      <c r="L2694" t="s">
        <v>1298</v>
      </c>
      <c r="M2694" t="s">
        <v>1349</v>
      </c>
      <c r="N2694">
        <v>21</v>
      </c>
      <c r="O2694" t="str">
        <f t="shared" si="229"/>
        <v>46</v>
      </c>
      <c r="P2694">
        <v>46</v>
      </c>
      <c r="R2694" t="s">
        <v>1269</v>
      </c>
      <c r="S2694">
        <v>6.7549999999999999</v>
      </c>
      <c r="T2694">
        <v>0.2863</v>
      </c>
      <c r="U2694">
        <f t="shared" si="230"/>
        <v>1.9339999999999999</v>
      </c>
      <c r="V2694" t="str">
        <f t="shared" si="227"/>
        <v>Elementary Psychologist</v>
      </c>
      <c r="W2694" t="str">
        <f t="shared" si="228"/>
        <v>Psychologist</v>
      </c>
    </row>
    <row r="2695" spans="1:23" x14ac:dyDescent="0.25">
      <c r="A2695">
        <v>32354</v>
      </c>
      <c r="B2695" t="s">
        <v>1309</v>
      </c>
      <c r="C2695">
        <v>3.8849999999999998</v>
      </c>
      <c r="D2695" t="s">
        <v>1264</v>
      </c>
      <c r="E2695">
        <v>100144</v>
      </c>
      <c r="F2695">
        <v>32354</v>
      </c>
      <c r="G2695" t="str">
        <f t="shared" si="226"/>
        <v>32354</v>
      </c>
      <c r="H2695" t="s">
        <v>527</v>
      </c>
      <c r="I2695" t="s">
        <v>1265</v>
      </c>
      <c r="J2695" t="s">
        <v>1271</v>
      </c>
      <c r="K2695" t="s">
        <v>1272</v>
      </c>
      <c r="L2695" t="s">
        <v>1309</v>
      </c>
      <c r="M2695" t="s">
        <v>1310</v>
      </c>
      <c r="N2695">
        <v>21</v>
      </c>
      <c r="O2695" t="str">
        <f t="shared" si="229"/>
        <v>46</v>
      </c>
      <c r="P2695">
        <v>46</v>
      </c>
      <c r="R2695" t="s">
        <v>1269</v>
      </c>
      <c r="S2695">
        <v>3.8849999999999998</v>
      </c>
      <c r="T2695">
        <v>0.2863</v>
      </c>
      <c r="U2695">
        <f t="shared" si="230"/>
        <v>1.1120000000000001</v>
      </c>
      <c r="V2695" t="str">
        <f t="shared" si="227"/>
        <v>High Psychologist</v>
      </c>
      <c r="W2695" t="str">
        <f t="shared" si="228"/>
        <v>Psychologist</v>
      </c>
    </row>
    <row r="2696" spans="1:23" x14ac:dyDescent="0.25">
      <c r="A2696">
        <v>32354</v>
      </c>
      <c r="B2696" t="s">
        <v>1345</v>
      </c>
      <c r="C2696">
        <v>1.6</v>
      </c>
      <c r="D2696" t="s">
        <v>1264</v>
      </c>
      <c r="E2696">
        <v>100144</v>
      </c>
      <c r="F2696">
        <v>32354</v>
      </c>
      <c r="G2696" t="str">
        <f t="shared" si="226"/>
        <v>32354</v>
      </c>
      <c r="H2696" t="s">
        <v>527</v>
      </c>
      <c r="I2696" t="s">
        <v>1265</v>
      </c>
      <c r="J2696" t="s">
        <v>1266</v>
      </c>
      <c r="K2696" t="s">
        <v>1267</v>
      </c>
      <c r="L2696" t="s">
        <v>1345</v>
      </c>
      <c r="M2696" t="s">
        <v>1346</v>
      </c>
      <c r="N2696">
        <v>21</v>
      </c>
      <c r="O2696" t="str">
        <f t="shared" si="229"/>
        <v>46</v>
      </c>
      <c r="P2696">
        <v>46</v>
      </c>
      <c r="R2696" t="s">
        <v>1269</v>
      </c>
      <c r="S2696">
        <v>1.6</v>
      </c>
      <c r="T2696">
        <v>0.2863</v>
      </c>
      <c r="U2696">
        <f t="shared" si="230"/>
        <v>0.45800000000000002</v>
      </c>
      <c r="V2696" t="str">
        <f t="shared" si="227"/>
        <v>Middle Psychologist</v>
      </c>
      <c r="W2696" t="str">
        <f t="shared" si="228"/>
        <v>Psychologist</v>
      </c>
    </row>
    <row r="2697" spans="1:23" x14ac:dyDescent="0.25">
      <c r="A2697">
        <v>32354</v>
      </c>
      <c r="B2697" t="s">
        <v>1335</v>
      </c>
      <c r="C2697">
        <v>4.1970000000000001</v>
      </c>
      <c r="D2697" t="s">
        <v>1264</v>
      </c>
      <c r="E2697">
        <v>100144</v>
      </c>
      <c r="F2697">
        <v>32354</v>
      </c>
      <c r="G2697" t="str">
        <f t="shared" si="226"/>
        <v>32354</v>
      </c>
      <c r="H2697" t="s">
        <v>527</v>
      </c>
      <c r="I2697" t="s">
        <v>1265</v>
      </c>
      <c r="J2697" t="s">
        <v>1276</v>
      </c>
      <c r="K2697" t="s">
        <v>1277</v>
      </c>
      <c r="L2697" t="s">
        <v>1335</v>
      </c>
      <c r="M2697" t="s">
        <v>1344</v>
      </c>
      <c r="N2697">
        <v>1</v>
      </c>
      <c r="O2697" t="str">
        <f t="shared" si="229"/>
        <v>47</v>
      </c>
      <c r="P2697">
        <v>47</v>
      </c>
      <c r="R2697" t="s">
        <v>1269</v>
      </c>
      <c r="S2697">
        <v>4.1970000000000001</v>
      </c>
      <c r="T2697">
        <v>0.2863</v>
      </c>
      <c r="U2697">
        <f t="shared" si="230"/>
        <v>0</v>
      </c>
      <c r="V2697" t="str">
        <f t="shared" si="227"/>
        <v>Elementary Nurse</v>
      </c>
      <c r="W2697" t="str">
        <f t="shared" si="228"/>
        <v>Nurse</v>
      </c>
    </row>
    <row r="2698" spans="1:23" x14ac:dyDescent="0.25">
      <c r="A2698">
        <v>32354</v>
      </c>
      <c r="B2698" t="s">
        <v>1341</v>
      </c>
      <c r="C2698">
        <v>1.595</v>
      </c>
      <c r="D2698" t="s">
        <v>1264</v>
      </c>
      <c r="E2698">
        <v>100144</v>
      </c>
      <c r="F2698">
        <v>32354</v>
      </c>
      <c r="G2698" t="str">
        <f t="shared" si="226"/>
        <v>32354</v>
      </c>
      <c r="H2698" t="s">
        <v>527</v>
      </c>
      <c r="I2698" t="s">
        <v>1265</v>
      </c>
      <c r="J2698" t="s">
        <v>1271</v>
      </c>
      <c r="K2698" t="s">
        <v>1272</v>
      </c>
      <c r="L2698" t="s">
        <v>1341</v>
      </c>
      <c r="M2698" t="s">
        <v>1342</v>
      </c>
      <c r="N2698">
        <v>1</v>
      </c>
      <c r="O2698" t="str">
        <f t="shared" si="229"/>
        <v>47</v>
      </c>
      <c r="P2698">
        <v>47</v>
      </c>
      <c r="R2698" t="s">
        <v>1269</v>
      </c>
      <c r="S2698">
        <v>1.595</v>
      </c>
      <c r="T2698">
        <v>0.2863</v>
      </c>
      <c r="U2698">
        <f t="shared" si="230"/>
        <v>0</v>
      </c>
      <c r="V2698" t="str">
        <f t="shared" si="227"/>
        <v>High Nurse</v>
      </c>
      <c r="W2698" t="str">
        <f t="shared" si="228"/>
        <v>Nurse</v>
      </c>
    </row>
    <row r="2699" spans="1:23" x14ac:dyDescent="0.25">
      <c r="A2699">
        <v>32354</v>
      </c>
      <c r="B2699" t="s">
        <v>1338</v>
      </c>
      <c r="C2699">
        <v>0.5</v>
      </c>
      <c r="D2699" t="s">
        <v>1264</v>
      </c>
      <c r="E2699">
        <v>100144</v>
      </c>
      <c r="F2699">
        <v>32354</v>
      </c>
      <c r="G2699" t="str">
        <f t="shared" si="226"/>
        <v>32354</v>
      </c>
      <c r="H2699" t="s">
        <v>527</v>
      </c>
      <c r="I2699" t="s">
        <v>1265</v>
      </c>
      <c r="J2699" t="s">
        <v>1266</v>
      </c>
      <c r="K2699" t="s">
        <v>1267</v>
      </c>
      <c r="L2699" t="s">
        <v>1338</v>
      </c>
      <c r="M2699" t="s">
        <v>1339</v>
      </c>
      <c r="N2699">
        <v>1</v>
      </c>
      <c r="O2699" t="str">
        <f t="shared" si="229"/>
        <v>47</v>
      </c>
      <c r="P2699">
        <v>47</v>
      </c>
      <c r="R2699" t="s">
        <v>1269</v>
      </c>
      <c r="S2699">
        <v>0.5</v>
      </c>
      <c r="T2699">
        <v>0.2863</v>
      </c>
      <c r="U2699">
        <f t="shared" si="230"/>
        <v>0</v>
      </c>
      <c r="V2699" t="str">
        <f t="shared" si="227"/>
        <v>Middle Nurse</v>
      </c>
      <c r="W2699" t="str">
        <f t="shared" si="228"/>
        <v>Nurse</v>
      </c>
    </row>
    <row r="2700" spans="1:23" x14ac:dyDescent="0.25">
      <c r="A2700">
        <v>32354</v>
      </c>
      <c r="B2700" t="s">
        <v>1302</v>
      </c>
      <c r="C2700">
        <v>4.7809999999999997</v>
      </c>
      <c r="D2700" t="s">
        <v>1264</v>
      </c>
      <c r="E2700">
        <v>100144</v>
      </c>
      <c r="F2700">
        <v>32354</v>
      </c>
      <c r="G2700" t="str">
        <f t="shared" si="226"/>
        <v>32354</v>
      </c>
      <c r="H2700" t="s">
        <v>527</v>
      </c>
      <c r="I2700" t="s">
        <v>1265</v>
      </c>
      <c r="J2700" t="s">
        <v>1276</v>
      </c>
      <c r="K2700" t="s">
        <v>1277</v>
      </c>
      <c r="L2700" t="s">
        <v>1302</v>
      </c>
      <c r="M2700" t="s">
        <v>1336</v>
      </c>
      <c r="N2700">
        <v>21</v>
      </c>
      <c r="O2700" t="str">
        <f t="shared" si="229"/>
        <v>48</v>
      </c>
      <c r="P2700">
        <v>48</v>
      </c>
      <c r="R2700" t="s">
        <v>1269</v>
      </c>
      <c r="S2700">
        <v>4.7809999999999997</v>
      </c>
      <c r="T2700">
        <v>0.2863</v>
      </c>
      <c r="U2700">
        <f t="shared" si="230"/>
        <v>1.369</v>
      </c>
      <c r="V2700" t="str">
        <f t="shared" si="227"/>
        <v>Elementary Physical Therapist</v>
      </c>
      <c r="W2700" t="str">
        <f t="shared" si="228"/>
        <v>Physical Therapist</v>
      </c>
    </row>
    <row r="2701" spans="1:23" x14ac:dyDescent="0.25">
      <c r="A2701">
        <v>32354</v>
      </c>
      <c r="B2701" t="s">
        <v>1337</v>
      </c>
      <c r="C2701">
        <v>0.45600000000000002</v>
      </c>
      <c r="D2701" t="s">
        <v>1264</v>
      </c>
      <c r="E2701">
        <v>100144</v>
      </c>
      <c r="F2701">
        <v>32354</v>
      </c>
      <c r="G2701" t="str">
        <f t="shared" si="226"/>
        <v>32354</v>
      </c>
      <c r="H2701" t="s">
        <v>527</v>
      </c>
      <c r="I2701" t="s">
        <v>1265</v>
      </c>
      <c r="J2701" t="s">
        <v>1276</v>
      </c>
      <c r="K2701" t="s">
        <v>1277</v>
      </c>
      <c r="L2701" t="s">
        <v>1337</v>
      </c>
      <c r="M2701" t="s">
        <v>1439</v>
      </c>
      <c r="N2701">
        <v>1</v>
      </c>
      <c r="O2701" t="str">
        <f t="shared" si="229"/>
        <v>48</v>
      </c>
      <c r="P2701">
        <v>48</v>
      </c>
      <c r="R2701" t="s">
        <v>1269</v>
      </c>
      <c r="S2701">
        <v>0.45600000000000002</v>
      </c>
      <c r="T2701">
        <v>0.2863</v>
      </c>
      <c r="U2701">
        <f t="shared" si="230"/>
        <v>0</v>
      </c>
      <c r="V2701" t="str">
        <f t="shared" si="227"/>
        <v>Elementary Physical Therapist</v>
      </c>
      <c r="W2701" t="str">
        <f t="shared" si="228"/>
        <v>Physical Therapist</v>
      </c>
    </row>
    <row r="2702" spans="1:23" x14ac:dyDescent="0.25">
      <c r="A2702">
        <v>32354</v>
      </c>
      <c r="B2702" t="s">
        <v>1330</v>
      </c>
      <c r="C2702">
        <v>0.41599999999999998</v>
      </c>
      <c r="D2702" t="s">
        <v>1264</v>
      </c>
      <c r="E2702">
        <v>100144</v>
      </c>
      <c r="F2702">
        <v>32354</v>
      </c>
      <c r="G2702" t="str">
        <f t="shared" si="226"/>
        <v>32354</v>
      </c>
      <c r="H2702" t="s">
        <v>527</v>
      </c>
      <c r="I2702" t="s">
        <v>1265</v>
      </c>
      <c r="J2702" t="s">
        <v>1271</v>
      </c>
      <c r="K2702" t="s">
        <v>1272</v>
      </c>
      <c r="L2702" t="s">
        <v>1330</v>
      </c>
      <c r="M2702" t="s">
        <v>1367</v>
      </c>
      <c r="N2702">
        <v>21</v>
      </c>
      <c r="O2702" t="str">
        <f t="shared" si="229"/>
        <v>48</v>
      </c>
      <c r="P2702">
        <v>48</v>
      </c>
      <c r="R2702" t="s">
        <v>1269</v>
      </c>
      <c r="S2702">
        <v>0.41599999999999998</v>
      </c>
      <c r="T2702">
        <v>0.2863</v>
      </c>
      <c r="U2702">
        <f t="shared" si="230"/>
        <v>0.11899999999999999</v>
      </c>
      <c r="V2702" t="str">
        <f t="shared" si="227"/>
        <v>High Physical Therapist</v>
      </c>
      <c r="W2702" t="str">
        <f t="shared" si="228"/>
        <v>Physical Therapist</v>
      </c>
    </row>
    <row r="2703" spans="1:23" x14ac:dyDescent="0.25">
      <c r="A2703">
        <v>32354</v>
      </c>
      <c r="B2703" t="s">
        <v>1398</v>
      </c>
      <c r="C2703">
        <v>3.5999999999999997E-2</v>
      </c>
      <c r="D2703" t="s">
        <v>1264</v>
      </c>
      <c r="E2703">
        <v>100144</v>
      </c>
      <c r="F2703">
        <v>32354</v>
      </c>
      <c r="G2703" t="str">
        <f t="shared" si="226"/>
        <v>32354</v>
      </c>
      <c r="H2703" t="s">
        <v>527</v>
      </c>
      <c r="I2703" t="s">
        <v>1265</v>
      </c>
      <c r="J2703" t="s">
        <v>1271</v>
      </c>
      <c r="K2703" t="s">
        <v>1272</v>
      </c>
      <c r="L2703" t="s">
        <v>1398</v>
      </c>
      <c r="M2703" t="s">
        <v>1438</v>
      </c>
      <c r="N2703">
        <v>1</v>
      </c>
      <c r="O2703" t="str">
        <f t="shared" si="229"/>
        <v>48</v>
      </c>
      <c r="P2703">
        <v>48</v>
      </c>
      <c r="R2703" t="s">
        <v>1269</v>
      </c>
      <c r="S2703">
        <v>3.5999999999999997E-2</v>
      </c>
      <c r="T2703">
        <v>0.2863</v>
      </c>
      <c r="U2703">
        <f t="shared" si="230"/>
        <v>0</v>
      </c>
      <c r="V2703" t="str">
        <f t="shared" si="227"/>
        <v>High Physical Therapist</v>
      </c>
      <c r="W2703" t="str">
        <f t="shared" si="228"/>
        <v>Physical Therapist</v>
      </c>
    </row>
    <row r="2704" spans="1:23" x14ac:dyDescent="0.25">
      <c r="A2704">
        <v>32354</v>
      </c>
      <c r="B2704" t="s">
        <v>1316</v>
      </c>
      <c r="C2704">
        <v>0.81699999999999995</v>
      </c>
      <c r="D2704" t="s">
        <v>1264</v>
      </c>
      <c r="E2704">
        <v>100144</v>
      </c>
      <c r="F2704">
        <v>32354</v>
      </c>
      <c r="G2704" t="str">
        <f t="shared" si="226"/>
        <v>32354</v>
      </c>
      <c r="H2704" t="s">
        <v>527</v>
      </c>
      <c r="I2704" t="s">
        <v>1265</v>
      </c>
      <c r="J2704" t="s">
        <v>1266</v>
      </c>
      <c r="K2704" t="s">
        <v>1267</v>
      </c>
      <c r="L2704" t="s">
        <v>1316</v>
      </c>
      <c r="M2704" t="s">
        <v>1366</v>
      </c>
      <c r="N2704">
        <v>21</v>
      </c>
      <c r="O2704" t="str">
        <f t="shared" si="229"/>
        <v>48</v>
      </c>
      <c r="P2704">
        <v>48</v>
      </c>
      <c r="R2704" t="s">
        <v>1269</v>
      </c>
      <c r="S2704">
        <v>0.81699999999999995</v>
      </c>
      <c r="T2704">
        <v>0.2863</v>
      </c>
      <c r="U2704">
        <f t="shared" si="230"/>
        <v>0.23400000000000001</v>
      </c>
      <c r="V2704" t="str">
        <f t="shared" si="227"/>
        <v>Middle Physical Therapist</v>
      </c>
      <c r="W2704" t="str">
        <f t="shared" si="228"/>
        <v>Physical Therapist</v>
      </c>
    </row>
    <row r="2705" spans="1:23" x14ac:dyDescent="0.25">
      <c r="A2705">
        <v>32354</v>
      </c>
      <c r="B2705" t="s">
        <v>1373</v>
      </c>
      <c r="C2705">
        <v>3.5999999999999997E-2</v>
      </c>
      <c r="D2705" t="s">
        <v>1264</v>
      </c>
      <c r="E2705">
        <v>100144</v>
      </c>
      <c r="F2705">
        <v>32354</v>
      </c>
      <c r="G2705" t="str">
        <f t="shared" si="226"/>
        <v>32354</v>
      </c>
      <c r="H2705" t="s">
        <v>527</v>
      </c>
      <c r="I2705" t="s">
        <v>1265</v>
      </c>
      <c r="J2705" t="s">
        <v>1266</v>
      </c>
      <c r="K2705" t="s">
        <v>1267</v>
      </c>
      <c r="L2705" t="s">
        <v>1373</v>
      </c>
      <c r="M2705" t="s">
        <v>1437</v>
      </c>
      <c r="N2705">
        <v>1</v>
      </c>
      <c r="O2705" t="str">
        <f t="shared" si="229"/>
        <v>48</v>
      </c>
      <c r="P2705">
        <v>48</v>
      </c>
      <c r="R2705" t="s">
        <v>1269</v>
      </c>
      <c r="S2705">
        <v>3.5999999999999997E-2</v>
      </c>
      <c r="T2705">
        <v>0.2863</v>
      </c>
      <c r="U2705">
        <f t="shared" si="230"/>
        <v>0</v>
      </c>
      <c r="V2705" t="str">
        <f t="shared" si="227"/>
        <v>Middle Physical Therapist</v>
      </c>
      <c r="W2705" t="str">
        <f t="shared" si="228"/>
        <v>Physical Therapist</v>
      </c>
    </row>
    <row r="2706" spans="1:23" x14ac:dyDescent="0.25">
      <c r="A2706">
        <v>32356</v>
      </c>
      <c r="B2706" t="s">
        <v>1299</v>
      </c>
      <c r="C2706">
        <v>35.451000000000001</v>
      </c>
      <c r="D2706" t="s">
        <v>1264</v>
      </c>
      <c r="E2706">
        <v>100039</v>
      </c>
      <c r="F2706">
        <v>32356</v>
      </c>
      <c r="G2706" t="str">
        <f t="shared" si="226"/>
        <v>32356</v>
      </c>
      <c r="H2706" t="s">
        <v>528</v>
      </c>
      <c r="I2706" t="s">
        <v>1265</v>
      </c>
      <c r="J2706" t="s">
        <v>1271</v>
      </c>
      <c r="K2706" t="s">
        <v>1272</v>
      </c>
      <c r="L2706" t="s">
        <v>1299</v>
      </c>
      <c r="M2706" t="s">
        <v>1300</v>
      </c>
      <c r="N2706">
        <v>1</v>
      </c>
      <c r="O2706" t="str">
        <f t="shared" si="229"/>
        <v>25</v>
      </c>
      <c r="Q2706">
        <v>25</v>
      </c>
      <c r="R2706" t="s">
        <v>1269</v>
      </c>
      <c r="S2706">
        <v>35.451000000000001</v>
      </c>
      <c r="T2706">
        <v>0.34910000000000002</v>
      </c>
      <c r="U2706">
        <f t="shared" si="230"/>
        <v>0</v>
      </c>
      <c r="V2706" t="str">
        <f t="shared" si="227"/>
        <v>High Pupil Management</v>
      </c>
      <c r="W2706" t="str">
        <f t="shared" si="228"/>
        <v>Pupil Management</v>
      </c>
    </row>
    <row r="2707" spans="1:23" x14ac:dyDescent="0.25">
      <c r="A2707">
        <v>32356</v>
      </c>
      <c r="B2707" t="s">
        <v>1324</v>
      </c>
      <c r="C2707">
        <v>1.304</v>
      </c>
      <c r="D2707" t="s">
        <v>1264</v>
      </c>
      <c r="E2707">
        <v>100039</v>
      </c>
      <c r="F2707">
        <v>32356</v>
      </c>
      <c r="G2707" t="str">
        <f t="shared" si="226"/>
        <v>32356</v>
      </c>
      <c r="H2707" t="s">
        <v>528</v>
      </c>
      <c r="I2707" t="s">
        <v>1265</v>
      </c>
      <c r="J2707" t="s">
        <v>1271</v>
      </c>
      <c r="K2707" t="s">
        <v>1272</v>
      </c>
      <c r="L2707" t="s">
        <v>1324</v>
      </c>
      <c r="M2707" t="s">
        <v>1325</v>
      </c>
      <c r="N2707">
        <v>21</v>
      </c>
      <c r="O2707" t="str">
        <f t="shared" si="229"/>
        <v>26</v>
      </c>
      <c r="Q2707">
        <v>26</v>
      </c>
      <c r="R2707" t="s">
        <v>1269</v>
      </c>
      <c r="S2707">
        <v>1.304</v>
      </c>
      <c r="T2707">
        <v>0.34910000000000002</v>
      </c>
      <c r="U2707">
        <f t="shared" si="230"/>
        <v>0.45500000000000002</v>
      </c>
      <c r="V2707" t="str">
        <f t="shared" si="227"/>
        <v>High Health/
Related Services</v>
      </c>
      <c r="W2707" t="str">
        <f t="shared" si="228"/>
        <v>Health/
Related Services</v>
      </c>
    </row>
    <row r="2708" spans="1:23" x14ac:dyDescent="0.25">
      <c r="A2708">
        <v>32356</v>
      </c>
      <c r="B2708" t="s">
        <v>1295</v>
      </c>
      <c r="C2708">
        <v>5.8220000000000001</v>
      </c>
      <c r="D2708" t="s">
        <v>1264</v>
      </c>
      <c r="E2708">
        <v>100039</v>
      </c>
      <c r="F2708">
        <v>32356</v>
      </c>
      <c r="G2708" t="str">
        <f t="shared" si="226"/>
        <v>32356</v>
      </c>
      <c r="H2708" t="s">
        <v>528</v>
      </c>
      <c r="I2708" t="s">
        <v>1265</v>
      </c>
      <c r="J2708" t="s">
        <v>1271</v>
      </c>
      <c r="K2708" t="s">
        <v>1272</v>
      </c>
      <c r="L2708" t="s">
        <v>1295</v>
      </c>
      <c r="M2708" t="s">
        <v>1296</v>
      </c>
      <c r="N2708">
        <v>1</v>
      </c>
      <c r="O2708" t="str">
        <f t="shared" si="229"/>
        <v>26</v>
      </c>
      <c r="Q2708">
        <v>26</v>
      </c>
      <c r="R2708" t="s">
        <v>1269</v>
      </c>
      <c r="S2708">
        <v>5.8220000000000001</v>
      </c>
      <c r="T2708">
        <v>0.34910000000000002</v>
      </c>
      <c r="U2708">
        <f t="shared" si="230"/>
        <v>0</v>
      </c>
      <c r="V2708" t="str">
        <f t="shared" si="227"/>
        <v>High Health/
Related Services</v>
      </c>
      <c r="W2708" t="str">
        <f t="shared" si="228"/>
        <v>Health/
Related Services</v>
      </c>
    </row>
    <row r="2709" spans="1:23" x14ac:dyDescent="0.25">
      <c r="A2709">
        <v>32356</v>
      </c>
      <c r="B2709" t="s">
        <v>1401</v>
      </c>
      <c r="C2709">
        <v>2.9239999999999999</v>
      </c>
      <c r="D2709" t="s">
        <v>1264</v>
      </c>
      <c r="E2709">
        <v>100039</v>
      </c>
      <c r="F2709">
        <v>32356</v>
      </c>
      <c r="G2709" t="str">
        <f t="shared" si="226"/>
        <v>32356</v>
      </c>
      <c r="H2709" t="s">
        <v>528</v>
      </c>
      <c r="I2709" t="s">
        <v>1265</v>
      </c>
      <c r="J2709" t="s">
        <v>1271</v>
      </c>
      <c r="K2709" t="s">
        <v>1272</v>
      </c>
      <c r="L2709" t="s">
        <v>1401</v>
      </c>
      <c r="M2709" t="s">
        <v>1422</v>
      </c>
      <c r="N2709">
        <v>1</v>
      </c>
      <c r="O2709" t="str">
        <f t="shared" si="229"/>
        <v>35</v>
      </c>
      <c r="Q2709">
        <v>35</v>
      </c>
      <c r="R2709" t="s">
        <v>1269</v>
      </c>
      <c r="S2709">
        <v>2.9239999999999999</v>
      </c>
      <c r="T2709">
        <v>0.34910000000000002</v>
      </c>
      <c r="U2709">
        <f t="shared" si="230"/>
        <v>0</v>
      </c>
      <c r="V2709" t="str">
        <f t="shared" si="227"/>
        <v>High Pupil Safety</v>
      </c>
      <c r="W2709" t="str">
        <f t="shared" si="228"/>
        <v>Pupil Safety</v>
      </c>
    </row>
    <row r="2710" spans="1:23" x14ac:dyDescent="0.25">
      <c r="A2710">
        <v>32356</v>
      </c>
      <c r="B2710" t="s">
        <v>1319</v>
      </c>
      <c r="C2710">
        <v>1.03</v>
      </c>
      <c r="D2710" t="s">
        <v>1264</v>
      </c>
      <c r="E2710">
        <v>100039</v>
      </c>
      <c r="F2710">
        <v>32356</v>
      </c>
      <c r="G2710" t="str">
        <f t="shared" si="226"/>
        <v>32356</v>
      </c>
      <c r="H2710" t="s">
        <v>528</v>
      </c>
      <c r="I2710" t="s">
        <v>1265</v>
      </c>
      <c r="J2710" t="s">
        <v>1276</v>
      </c>
      <c r="K2710" t="s">
        <v>1277</v>
      </c>
      <c r="L2710" t="s">
        <v>1319</v>
      </c>
      <c r="M2710" t="s">
        <v>1426</v>
      </c>
      <c r="N2710">
        <v>21</v>
      </c>
      <c r="O2710" t="str">
        <f t="shared" si="229"/>
        <v>39</v>
      </c>
      <c r="P2710">
        <v>39</v>
      </c>
      <c r="R2710" t="s">
        <v>1269</v>
      </c>
      <c r="S2710">
        <v>1.03</v>
      </c>
      <c r="T2710">
        <v>0.34910000000000002</v>
      </c>
      <c r="U2710">
        <f t="shared" si="230"/>
        <v>0.36</v>
      </c>
      <c r="V2710" t="str">
        <f t="shared" si="227"/>
        <v>Elementary Orientation &amp; Mobility Specialist</v>
      </c>
      <c r="W2710" t="str">
        <f t="shared" si="228"/>
        <v>Orientation &amp; Mobility Specialist</v>
      </c>
    </row>
    <row r="2711" spans="1:23" x14ac:dyDescent="0.25">
      <c r="A2711">
        <v>32356</v>
      </c>
      <c r="B2711" t="s">
        <v>1384</v>
      </c>
      <c r="C2711">
        <v>0.5</v>
      </c>
      <c r="D2711" t="s">
        <v>1264</v>
      </c>
      <c r="E2711">
        <v>100039</v>
      </c>
      <c r="F2711">
        <v>32356</v>
      </c>
      <c r="G2711" t="str">
        <f t="shared" si="226"/>
        <v>32356</v>
      </c>
      <c r="H2711" t="s">
        <v>528</v>
      </c>
      <c r="I2711" t="s">
        <v>1265</v>
      </c>
      <c r="J2711" t="s">
        <v>1271</v>
      </c>
      <c r="K2711" t="s">
        <v>1272</v>
      </c>
      <c r="L2711" t="s">
        <v>1384</v>
      </c>
      <c r="M2711" t="s">
        <v>1425</v>
      </c>
      <c r="N2711">
        <v>21</v>
      </c>
      <c r="O2711" t="str">
        <f t="shared" si="229"/>
        <v>39</v>
      </c>
      <c r="P2711">
        <v>39</v>
      </c>
      <c r="R2711" t="s">
        <v>1269</v>
      </c>
      <c r="S2711">
        <v>0.5</v>
      </c>
      <c r="T2711">
        <v>0.34910000000000002</v>
      </c>
      <c r="U2711">
        <f t="shared" si="230"/>
        <v>0.17499999999999999</v>
      </c>
      <c r="V2711" t="str">
        <f t="shared" si="227"/>
        <v>High Orientation &amp; Mobility Specialist</v>
      </c>
      <c r="W2711" t="str">
        <f t="shared" si="228"/>
        <v>Orientation &amp; Mobility Specialist</v>
      </c>
    </row>
    <row r="2712" spans="1:23" x14ac:dyDescent="0.25">
      <c r="A2712">
        <v>32356</v>
      </c>
      <c r="B2712" t="s">
        <v>1364</v>
      </c>
      <c r="C2712">
        <v>0.47</v>
      </c>
      <c r="D2712" t="s">
        <v>1264</v>
      </c>
      <c r="E2712">
        <v>100039</v>
      </c>
      <c r="F2712">
        <v>32356</v>
      </c>
      <c r="G2712" t="str">
        <f t="shared" si="226"/>
        <v>32356</v>
      </c>
      <c r="H2712" t="s">
        <v>528</v>
      </c>
      <c r="I2712" t="s">
        <v>1265</v>
      </c>
      <c r="J2712" t="s">
        <v>1266</v>
      </c>
      <c r="K2712" t="s">
        <v>1267</v>
      </c>
      <c r="L2712" t="s">
        <v>1364</v>
      </c>
      <c r="M2712" t="s">
        <v>1424</v>
      </c>
      <c r="N2712">
        <v>21</v>
      </c>
      <c r="O2712" t="str">
        <f t="shared" si="229"/>
        <v>39</v>
      </c>
      <c r="P2712">
        <v>39</v>
      </c>
      <c r="R2712" t="s">
        <v>1269</v>
      </c>
      <c r="S2712">
        <v>0.47</v>
      </c>
      <c r="T2712">
        <v>0.34910000000000002</v>
      </c>
      <c r="U2712">
        <f t="shared" si="230"/>
        <v>0.16400000000000001</v>
      </c>
      <c r="V2712" t="str">
        <f t="shared" si="227"/>
        <v>Middle Orientation &amp; Mobility Specialist</v>
      </c>
      <c r="W2712" t="str">
        <f t="shared" si="228"/>
        <v>Orientation &amp; Mobility Specialist</v>
      </c>
    </row>
    <row r="2713" spans="1:23" x14ac:dyDescent="0.25">
      <c r="A2713">
        <v>32356</v>
      </c>
      <c r="B2713" t="s">
        <v>1321</v>
      </c>
      <c r="C2713">
        <v>0.5</v>
      </c>
      <c r="D2713" t="s">
        <v>1264</v>
      </c>
      <c r="E2713">
        <v>100039</v>
      </c>
      <c r="F2713">
        <v>32356</v>
      </c>
      <c r="G2713" t="str">
        <f t="shared" si="226"/>
        <v>32356</v>
      </c>
      <c r="H2713" t="s">
        <v>528</v>
      </c>
      <c r="I2713" t="s">
        <v>1265</v>
      </c>
      <c r="J2713" t="s">
        <v>1276</v>
      </c>
      <c r="K2713" t="s">
        <v>1277</v>
      </c>
      <c r="L2713" t="s">
        <v>1321</v>
      </c>
      <c r="M2713" t="s">
        <v>1429</v>
      </c>
      <c r="N2713">
        <v>21</v>
      </c>
      <c r="O2713" t="str">
        <f t="shared" si="229"/>
        <v>42</v>
      </c>
      <c r="P2713">
        <v>42</v>
      </c>
      <c r="R2713" t="s">
        <v>1269</v>
      </c>
      <c r="S2713">
        <v>0.5</v>
      </c>
      <c r="T2713">
        <v>0.34910000000000002</v>
      </c>
      <c r="U2713">
        <f t="shared" si="230"/>
        <v>0.17499999999999999</v>
      </c>
      <c r="V2713" t="str">
        <f t="shared" si="227"/>
        <v>Elementary Counselor</v>
      </c>
      <c r="W2713" t="str">
        <f t="shared" si="228"/>
        <v>Counselor</v>
      </c>
    </row>
    <row r="2714" spans="1:23" x14ac:dyDescent="0.25">
      <c r="A2714">
        <v>32356</v>
      </c>
      <c r="B2714" t="s">
        <v>1275</v>
      </c>
      <c r="C2714">
        <v>16.899999999999999</v>
      </c>
      <c r="D2714" t="s">
        <v>1264</v>
      </c>
      <c r="E2714">
        <v>100039</v>
      </c>
      <c r="F2714">
        <v>32356</v>
      </c>
      <c r="G2714" t="str">
        <f t="shared" si="226"/>
        <v>32356</v>
      </c>
      <c r="H2714" t="s">
        <v>528</v>
      </c>
      <c r="I2714" t="s">
        <v>1265</v>
      </c>
      <c r="J2714" t="s">
        <v>1276</v>
      </c>
      <c r="K2714" t="s">
        <v>1277</v>
      </c>
      <c r="L2714" t="s">
        <v>1275</v>
      </c>
      <c r="M2714" t="s">
        <v>1278</v>
      </c>
      <c r="N2714">
        <v>1</v>
      </c>
      <c r="O2714" t="str">
        <f t="shared" si="229"/>
        <v>42</v>
      </c>
      <c r="P2714">
        <v>42</v>
      </c>
      <c r="R2714" t="s">
        <v>1269</v>
      </c>
      <c r="S2714">
        <v>16.899999999999999</v>
      </c>
      <c r="T2714">
        <v>0.34910000000000002</v>
      </c>
      <c r="U2714">
        <f t="shared" si="230"/>
        <v>0</v>
      </c>
      <c r="V2714" t="str">
        <f t="shared" si="227"/>
        <v>Elementary Counselor</v>
      </c>
      <c r="W2714" t="str">
        <f t="shared" si="228"/>
        <v>Counselor</v>
      </c>
    </row>
    <row r="2715" spans="1:23" x14ac:dyDescent="0.25">
      <c r="A2715">
        <v>32356</v>
      </c>
      <c r="B2715" t="s">
        <v>1270</v>
      </c>
      <c r="C2715">
        <v>13.334</v>
      </c>
      <c r="D2715" t="s">
        <v>1264</v>
      </c>
      <c r="E2715">
        <v>100039</v>
      </c>
      <c r="F2715">
        <v>32356</v>
      </c>
      <c r="G2715" t="str">
        <f t="shared" si="226"/>
        <v>32356</v>
      </c>
      <c r="H2715" t="s">
        <v>528</v>
      </c>
      <c r="I2715" t="s">
        <v>1265</v>
      </c>
      <c r="J2715" t="s">
        <v>1271</v>
      </c>
      <c r="K2715" t="s">
        <v>1272</v>
      </c>
      <c r="L2715" t="s">
        <v>1270</v>
      </c>
      <c r="M2715" t="s">
        <v>1273</v>
      </c>
      <c r="N2715">
        <v>1</v>
      </c>
      <c r="O2715" t="str">
        <f t="shared" si="229"/>
        <v>42</v>
      </c>
      <c r="P2715">
        <v>42</v>
      </c>
      <c r="R2715" t="s">
        <v>1269</v>
      </c>
      <c r="S2715">
        <v>13.334</v>
      </c>
      <c r="T2715">
        <v>0.34910000000000002</v>
      </c>
      <c r="U2715">
        <f t="shared" si="230"/>
        <v>0</v>
      </c>
      <c r="V2715" t="str">
        <f t="shared" si="227"/>
        <v>High Counselor</v>
      </c>
      <c r="W2715" t="str">
        <f t="shared" si="228"/>
        <v>Counselor</v>
      </c>
    </row>
    <row r="2716" spans="1:23" x14ac:dyDescent="0.25">
      <c r="A2716">
        <v>32356</v>
      </c>
      <c r="B2716" t="s">
        <v>1365</v>
      </c>
      <c r="C2716">
        <v>0.5</v>
      </c>
      <c r="D2716" t="s">
        <v>1264</v>
      </c>
      <c r="E2716">
        <v>100039</v>
      </c>
      <c r="F2716">
        <v>32356</v>
      </c>
      <c r="G2716" t="str">
        <f t="shared" si="226"/>
        <v>32356</v>
      </c>
      <c r="H2716" t="s">
        <v>528</v>
      </c>
      <c r="I2716" t="s">
        <v>1265</v>
      </c>
      <c r="J2716" t="s">
        <v>1266</v>
      </c>
      <c r="K2716" t="s">
        <v>1267</v>
      </c>
      <c r="L2716" t="s">
        <v>1365</v>
      </c>
      <c r="M2716" t="s">
        <v>1428</v>
      </c>
      <c r="N2716">
        <v>21</v>
      </c>
      <c r="O2716" t="str">
        <f t="shared" si="229"/>
        <v>42</v>
      </c>
      <c r="P2716">
        <v>42</v>
      </c>
      <c r="R2716" t="s">
        <v>1269</v>
      </c>
      <c r="S2716">
        <v>0.5</v>
      </c>
      <c r="T2716">
        <v>0.34910000000000002</v>
      </c>
      <c r="U2716">
        <f t="shared" si="230"/>
        <v>0.17499999999999999</v>
      </c>
      <c r="V2716" t="str">
        <f t="shared" si="227"/>
        <v>Middle Counselor</v>
      </c>
      <c r="W2716" t="str">
        <f t="shared" si="228"/>
        <v>Counselor</v>
      </c>
    </row>
    <row r="2717" spans="1:23" x14ac:dyDescent="0.25">
      <c r="A2717">
        <v>32356</v>
      </c>
      <c r="B2717" t="s">
        <v>1263</v>
      </c>
      <c r="C2717">
        <v>5.2439999999999998</v>
      </c>
      <c r="D2717" t="s">
        <v>1264</v>
      </c>
      <c r="E2717">
        <v>100039</v>
      </c>
      <c r="F2717">
        <v>32356</v>
      </c>
      <c r="G2717" t="str">
        <f t="shared" si="226"/>
        <v>32356</v>
      </c>
      <c r="H2717" t="s">
        <v>528</v>
      </c>
      <c r="I2717" t="s">
        <v>1265</v>
      </c>
      <c r="J2717" t="s">
        <v>1266</v>
      </c>
      <c r="K2717" t="s">
        <v>1267</v>
      </c>
      <c r="L2717" t="s">
        <v>1263</v>
      </c>
      <c r="M2717" t="s">
        <v>1268</v>
      </c>
      <c r="N2717">
        <v>1</v>
      </c>
      <c r="O2717" t="str">
        <f t="shared" si="229"/>
        <v>42</v>
      </c>
      <c r="P2717">
        <v>42</v>
      </c>
      <c r="R2717" t="s">
        <v>1269</v>
      </c>
      <c r="S2717">
        <v>5.2439999999999998</v>
      </c>
      <c r="T2717">
        <v>0.34910000000000002</v>
      </c>
      <c r="U2717">
        <f t="shared" si="230"/>
        <v>0</v>
      </c>
      <c r="V2717" t="str">
        <f t="shared" si="227"/>
        <v>Middle Counselor</v>
      </c>
      <c r="W2717" t="str">
        <f t="shared" si="228"/>
        <v>Counselor</v>
      </c>
    </row>
    <row r="2718" spans="1:23" x14ac:dyDescent="0.25">
      <c r="A2718">
        <v>32356</v>
      </c>
      <c r="B2718" t="s">
        <v>1289</v>
      </c>
      <c r="C2718">
        <v>6.3</v>
      </c>
      <c r="D2718" t="s">
        <v>1264</v>
      </c>
      <c r="E2718">
        <v>100039</v>
      </c>
      <c r="F2718">
        <v>32356</v>
      </c>
      <c r="G2718" t="str">
        <f t="shared" si="226"/>
        <v>32356</v>
      </c>
      <c r="H2718" t="s">
        <v>528</v>
      </c>
      <c r="I2718" t="s">
        <v>1265</v>
      </c>
      <c r="J2718" t="s">
        <v>1276</v>
      </c>
      <c r="K2718" t="s">
        <v>1277</v>
      </c>
      <c r="L2718" t="s">
        <v>1289</v>
      </c>
      <c r="M2718" t="s">
        <v>1307</v>
      </c>
      <c r="N2718">
        <v>21</v>
      </c>
      <c r="O2718" t="str">
        <f t="shared" si="229"/>
        <v>43</v>
      </c>
      <c r="P2718">
        <v>43</v>
      </c>
      <c r="R2718" t="s">
        <v>1269</v>
      </c>
      <c r="S2718">
        <v>6.3</v>
      </c>
      <c r="T2718">
        <v>0.34910000000000002</v>
      </c>
      <c r="U2718">
        <f t="shared" si="230"/>
        <v>2.1989999999999998</v>
      </c>
      <c r="V2718" t="str">
        <f t="shared" si="227"/>
        <v>Elementary Occupational Therapist</v>
      </c>
      <c r="W2718" t="str">
        <f t="shared" si="228"/>
        <v>Occupational Therapist</v>
      </c>
    </row>
    <row r="2719" spans="1:23" x14ac:dyDescent="0.25">
      <c r="A2719">
        <v>32356</v>
      </c>
      <c r="B2719" t="s">
        <v>1387</v>
      </c>
      <c r="C2719">
        <v>3.15</v>
      </c>
      <c r="D2719" t="s">
        <v>1264</v>
      </c>
      <c r="E2719">
        <v>100039</v>
      </c>
      <c r="F2719">
        <v>32356</v>
      </c>
      <c r="G2719" t="str">
        <f t="shared" si="226"/>
        <v>32356</v>
      </c>
      <c r="H2719" t="s">
        <v>528</v>
      </c>
      <c r="I2719" t="s">
        <v>1265</v>
      </c>
      <c r="J2719" t="s">
        <v>1271</v>
      </c>
      <c r="K2719" t="s">
        <v>1272</v>
      </c>
      <c r="L2719" t="s">
        <v>1387</v>
      </c>
      <c r="M2719" t="s">
        <v>1406</v>
      </c>
      <c r="N2719">
        <v>21</v>
      </c>
      <c r="O2719" t="str">
        <f t="shared" si="229"/>
        <v>43</v>
      </c>
      <c r="P2719">
        <v>43</v>
      </c>
      <c r="R2719" t="s">
        <v>1269</v>
      </c>
      <c r="S2719">
        <v>3.15</v>
      </c>
      <c r="T2719">
        <v>0.34910000000000002</v>
      </c>
      <c r="U2719">
        <f t="shared" si="230"/>
        <v>1.1000000000000001</v>
      </c>
      <c r="V2719" t="str">
        <f t="shared" si="227"/>
        <v>High Occupational Therapist</v>
      </c>
      <c r="W2719" t="str">
        <f t="shared" si="228"/>
        <v>Occupational Therapist</v>
      </c>
    </row>
    <row r="2720" spans="1:23" x14ac:dyDescent="0.25">
      <c r="A2720">
        <v>32356</v>
      </c>
      <c r="B2720" t="s">
        <v>1303</v>
      </c>
      <c r="C2720">
        <v>3.15</v>
      </c>
      <c r="D2720" t="s">
        <v>1264</v>
      </c>
      <c r="E2720">
        <v>100039</v>
      </c>
      <c r="F2720">
        <v>32356</v>
      </c>
      <c r="G2720" t="str">
        <f t="shared" si="226"/>
        <v>32356</v>
      </c>
      <c r="H2720" t="s">
        <v>528</v>
      </c>
      <c r="I2720" t="s">
        <v>1265</v>
      </c>
      <c r="J2720" t="s">
        <v>1266</v>
      </c>
      <c r="K2720" t="s">
        <v>1267</v>
      </c>
      <c r="L2720" t="s">
        <v>1303</v>
      </c>
      <c r="M2720" t="s">
        <v>1304</v>
      </c>
      <c r="N2720">
        <v>21</v>
      </c>
      <c r="O2720" t="str">
        <f t="shared" si="229"/>
        <v>43</v>
      </c>
      <c r="P2720">
        <v>43</v>
      </c>
      <c r="R2720" t="s">
        <v>1269</v>
      </c>
      <c r="S2720">
        <v>3.15</v>
      </c>
      <c r="T2720">
        <v>0.34910000000000002</v>
      </c>
      <c r="U2720">
        <f t="shared" si="230"/>
        <v>1.1000000000000001</v>
      </c>
      <c r="V2720" t="str">
        <f t="shared" si="227"/>
        <v>Middle Occupational Therapist</v>
      </c>
      <c r="W2720" t="str">
        <f t="shared" si="228"/>
        <v>Occupational Therapist</v>
      </c>
    </row>
    <row r="2721" spans="1:23" x14ac:dyDescent="0.25">
      <c r="A2721">
        <v>32356</v>
      </c>
      <c r="B2721" t="s">
        <v>1294</v>
      </c>
      <c r="C2721">
        <v>18.5</v>
      </c>
      <c r="D2721" t="s">
        <v>1264</v>
      </c>
      <c r="E2721">
        <v>100039</v>
      </c>
      <c r="F2721">
        <v>32356</v>
      </c>
      <c r="G2721" t="str">
        <f t="shared" si="226"/>
        <v>32356</v>
      </c>
      <c r="H2721" t="s">
        <v>528</v>
      </c>
      <c r="I2721" t="s">
        <v>1265</v>
      </c>
      <c r="J2721" t="s">
        <v>1276</v>
      </c>
      <c r="K2721" t="s">
        <v>1277</v>
      </c>
      <c r="L2721" t="s">
        <v>1294</v>
      </c>
      <c r="M2721" t="s">
        <v>1354</v>
      </c>
      <c r="N2721">
        <v>21</v>
      </c>
      <c r="O2721" t="str">
        <f t="shared" si="229"/>
        <v>45</v>
      </c>
      <c r="P2721">
        <v>45</v>
      </c>
      <c r="R2721" t="s">
        <v>1269</v>
      </c>
      <c r="S2721">
        <v>18.5</v>
      </c>
      <c r="T2721">
        <v>0.34910000000000002</v>
      </c>
      <c r="U2721">
        <f t="shared" si="230"/>
        <v>6.4580000000000002</v>
      </c>
      <c r="V2721" t="str">
        <f t="shared" si="227"/>
        <v>Elementary Speech, Language Pathway/
Audio</v>
      </c>
      <c r="W2721" t="str">
        <f t="shared" si="228"/>
        <v>Speech, Language Pathway/
Audio</v>
      </c>
    </row>
    <row r="2722" spans="1:23" x14ac:dyDescent="0.25">
      <c r="A2722">
        <v>32356</v>
      </c>
      <c r="B2722" t="s">
        <v>1326</v>
      </c>
      <c r="C2722">
        <v>1.5</v>
      </c>
      <c r="D2722" t="s">
        <v>1264</v>
      </c>
      <c r="E2722">
        <v>100039</v>
      </c>
      <c r="F2722">
        <v>32356</v>
      </c>
      <c r="G2722" t="str">
        <f t="shared" si="226"/>
        <v>32356</v>
      </c>
      <c r="H2722" t="s">
        <v>528</v>
      </c>
      <c r="I2722" t="s">
        <v>1265</v>
      </c>
      <c r="J2722" t="s">
        <v>1271</v>
      </c>
      <c r="K2722" t="s">
        <v>1272</v>
      </c>
      <c r="L2722" t="s">
        <v>1326</v>
      </c>
      <c r="M2722" t="s">
        <v>1353</v>
      </c>
      <c r="N2722">
        <v>21</v>
      </c>
      <c r="O2722" t="str">
        <f t="shared" si="229"/>
        <v>45</v>
      </c>
      <c r="P2722">
        <v>45</v>
      </c>
      <c r="R2722" t="s">
        <v>1269</v>
      </c>
      <c r="S2722">
        <v>1.5</v>
      </c>
      <c r="T2722">
        <v>0.34910000000000002</v>
      </c>
      <c r="U2722">
        <f t="shared" si="230"/>
        <v>0.52400000000000002</v>
      </c>
      <c r="V2722" t="str">
        <f t="shared" si="227"/>
        <v>High Speech, Language Pathway/
Audio</v>
      </c>
      <c r="W2722" t="str">
        <f t="shared" si="228"/>
        <v>Speech, Language Pathway/
Audio</v>
      </c>
    </row>
    <row r="2723" spans="1:23" x14ac:dyDescent="0.25">
      <c r="A2723">
        <v>32356</v>
      </c>
      <c r="B2723" t="s">
        <v>1312</v>
      </c>
      <c r="C2723">
        <v>3.2</v>
      </c>
      <c r="D2723" t="s">
        <v>1264</v>
      </c>
      <c r="E2723">
        <v>100039</v>
      </c>
      <c r="F2723">
        <v>32356</v>
      </c>
      <c r="G2723" t="str">
        <f t="shared" si="226"/>
        <v>32356</v>
      </c>
      <c r="H2723" t="s">
        <v>528</v>
      </c>
      <c r="I2723" t="s">
        <v>1265</v>
      </c>
      <c r="J2723" t="s">
        <v>1266</v>
      </c>
      <c r="K2723" t="s">
        <v>1267</v>
      </c>
      <c r="L2723" t="s">
        <v>1312</v>
      </c>
      <c r="M2723" t="s">
        <v>1351</v>
      </c>
      <c r="N2723">
        <v>21</v>
      </c>
      <c r="O2723" t="str">
        <f t="shared" si="229"/>
        <v>45</v>
      </c>
      <c r="P2723">
        <v>45</v>
      </c>
      <c r="R2723" t="s">
        <v>1269</v>
      </c>
      <c r="S2723">
        <v>3.2</v>
      </c>
      <c r="T2723">
        <v>0.34910000000000002</v>
      </c>
      <c r="U2723">
        <f t="shared" si="230"/>
        <v>1.117</v>
      </c>
      <c r="V2723" t="str">
        <f t="shared" si="227"/>
        <v>Middle Speech, Language Pathway/
Audio</v>
      </c>
      <c r="W2723" t="str">
        <f t="shared" si="228"/>
        <v>Speech, Language Pathway/
Audio</v>
      </c>
    </row>
    <row r="2724" spans="1:23" x14ac:dyDescent="0.25">
      <c r="A2724">
        <v>32356</v>
      </c>
      <c r="B2724" t="s">
        <v>1298</v>
      </c>
      <c r="C2724">
        <v>7</v>
      </c>
      <c r="D2724" t="s">
        <v>1264</v>
      </c>
      <c r="E2724">
        <v>100039</v>
      </c>
      <c r="F2724">
        <v>32356</v>
      </c>
      <c r="G2724" t="str">
        <f t="shared" si="226"/>
        <v>32356</v>
      </c>
      <c r="H2724" t="s">
        <v>528</v>
      </c>
      <c r="I2724" t="s">
        <v>1265</v>
      </c>
      <c r="J2724" t="s">
        <v>1276</v>
      </c>
      <c r="K2724" t="s">
        <v>1277</v>
      </c>
      <c r="L2724" t="s">
        <v>1298</v>
      </c>
      <c r="M2724" t="s">
        <v>1349</v>
      </c>
      <c r="N2724">
        <v>21</v>
      </c>
      <c r="O2724" t="str">
        <f t="shared" si="229"/>
        <v>46</v>
      </c>
      <c r="P2724">
        <v>46</v>
      </c>
      <c r="R2724" t="s">
        <v>1269</v>
      </c>
      <c r="S2724">
        <v>7</v>
      </c>
      <c r="T2724">
        <v>0.34910000000000002</v>
      </c>
      <c r="U2724">
        <f t="shared" si="230"/>
        <v>2.444</v>
      </c>
      <c r="V2724" t="str">
        <f t="shared" si="227"/>
        <v>Elementary Psychologist</v>
      </c>
      <c r="W2724" t="str">
        <f t="shared" si="228"/>
        <v>Psychologist</v>
      </c>
    </row>
    <row r="2725" spans="1:23" x14ac:dyDescent="0.25">
      <c r="A2725">
        <v>32356</v>
      </c>
      <c r="B2725" t="s">
        <v>1309</v>
      </c>
      <c r="C2725">
        <v>3.33</v>
      </c>
      <c r="D2725" t="s">
        <v>1264</v>
      </c>
      <c r="E2725">
        <v>100039</v>
      </c>
      <c r="F2725">
        <v>32356</v>
      </c>
      <c r="G2725" t="str">
        <f t="shared" si="226"/>
        <v>32356</v>
      </c>
      <c r="H2725" t="s">
        <v>528</v>
      </c>
      <c r="I2725" t="s">
        <v>1265</v>
      </c>
      <c r="J2725" t="s">
        <v>1271</v>
      </c>
      <c r="K2725" t="s">
        <v>1272</v>
      </c>
      <c r="L2725" t="s">
        <v>1309</v>
      </c>
      <c r="M2725" t="s">
        <v>1310</v>
      </c>
      <c r="N2725">
        <v>21</v>
      </c>
      <c r="O2725" t="str">
        <f t="shared" si="229"/>
        <v>46</v>
      </c>
      <c r="P2725">
        <v>46</v>
      </c>
      <c r="R2725" t="s">
        <v>1269</v>
      </c>
      <c r="S2725">
        <v>3.33</v>
      </c>
      <c r="T2725">
        <v>0.34910000000000002</v>
      </c>
      <c r="U2725">
        <f t="shared" si="230"/>
        <v>1.163</v>
      </c>
      <c r="V2725" t="str">
        <f t="shared" si="227"/>
        <v>High Psychologist</v>
      </c>
      <c r="W2725" t="str">
        <f t="shared" si="228"/>
        <v>Psychologist</v>
      </c>
    </row>
    <row r="2726" spans="1:23" x14ac:dyDescent="0.25">
      <c r="A2726">
        <v>32356</v>
      </c>
      <c r="B2726" t="s">
        <v>1345</v>
      </c>
      <c r="C2726">
        <v>3.67</v>
      </c>
      <c r="D2726" t="s">
        <v>1264</v>
      </c>
      <c r="E2726">
        <v>100039</v>
      </c>
      <c r="F2726">
        <v>32356</v>
      </c>
      <c r="G2726" t="str">
        <f t="shared" si="226"/>
        <v>32356</v>
      </c>
      <c r="H2726" t="s">
        <v>528</v>
      </c>
      <c r="I2726" t="s">
        <v>1265</v>
      </c>
      <c r="J2726" t="s">
        <v>1266</v>
      </c>
      <c r="K2726" t="s">
        <v>1267</v>
      </c>
      <c r="L2726" t="s">
        <v>1345</v>
      </c>
      <c r="M2726" t="s">
        <v>1346</v>
      </c>
      <c r="N2726">
        <v>21</v>
      </c>
      <c r="O2726" t="str">
        <f t="shared" si="229"/>
        <v>46</v>
      </c>
      <c r="P2726">
        <v>46</v>
      </c>
      <c r="R2726" t="s">
        <v>1269</v>
      </c>
      <c r="S2726">
        <v>3.67</v>
      </c>
      <c r="T2726">
        <v>0.34910000000000002</v>
      </c>
      <c r="U2726">
        <f t="shared" si="230"/>
        <v>1.2809999999999999</v>
      </c>
      <c r="V2726" t="str">
        <f t="shared" si="227"/>
        <v>Middle Psychologist</v>
      </c>
      <c r="W2726" t="str">
        <f t="shared" si="228"/>
        <v>Psychologist</v>
      </c>
    </row>
    <row r="2727" spans="1:23" x14ac:dyDescent="0.25">
      <c r="A2727">
        <v>32356</v>
      </c>
      <c r="B2727" t="s">
        <v>1335</v>
      </c>
      <c r="C2727">
        <v>5.3440000000000003</v>
      </c>
      <c r="D2727" t="s">
        <v>1264</v>
      </c>
      <c r="E2727">
        <v>100039</v>
      </c>
      <c r="F2727">
        <v>32356</v>
      </c>
      <c r="G2727" t="str">
        <f t="shared" si="226"/>
        <v>32356</v>
      </c>
      <c r="H2727" t="s">
        <v>528</v>
      </c>
      <c r="I2727" t="s">
        <v>1265</v>
      </c>
      <c r="J2727" t="s">
        <v>1276</v>
      </c>
      <c r="K2727" t="s">
        <v>1277</v>
      </c>
      <c r="L2727" t="s">
        <v>1335</v>
      </c>
      <c r="M2727" t="s">
        <v>1344</v>
      </c>
      <c r="N2727">
        <v>1</v>
      </c>
      <c r="O2727" t="str">
        <f t="shared" si="229"/>
        <v>47</v>
      </c>
      <c r="P2727">
        <v>47</v>
      </c>
      <c r="R2727" t="s">
        <v>1269</v>
      </c>
      <c r="S2727">
        <v>5.3440000000000003</v>
      </c>
      <c r="T2727">
        <v>0.34910000000000002</v>
      </c>
      <c r="U2727">
        <f t="shared" si="230"/>
        <v>0</v>
      </c>
      <c r="V2727" t="str">
        <f t="shared" si="227"/>
        <v>Elementary Nurse</v>
      </c>
      <c r="W2727" t="str">
        <f t="shared" si="228"/>
        <v>Nurse</v>
      </c>
    </row>
    <row r="2728" spans="1:23" x14ac:dyDescent="0.25">
      <c r="A2728">
        <v>32356</v>
      </c>
      <c r="B2728" t="s">
        <v>1341</v>
      </c>
      <c r="C2728">
        <v>5.484</v>
      </c>
      <c r="D2728" t="s">
        <v>1264</v>
      </c>
      <c r="E2728">
        <v>100039</v>
      </c>
      <c r="F2728">
        <v>32356</v>
      </c>
      <c r="G2728" t="str">
        <f t="shared" si="226"/>
        <v>32356</v>
      </c>
      <c r="H2728" t="s">
        <v>528</v>
      </c>
      <c r="I2728" t="s">
        <v>1265</v>
      </c>
      <c r="J2728" t="s">
        <v>1271</v>
      </c>
      <c r="K2728" t="s">
        <v>1272</v>
      </c>
      <c r="L2728" t="s">
        <v>1341</v>
      </c>
      <c r="M2728" t="s">
        <v>1342</v>
      </c>
      <c r="N2728">
        <v>1</v>
      </c>
      <c r="O2728" t="str">
        <f t="shared" si="229"/>
        <v>47</v>
      </c>
      <c r="P2728">
        <v>47</v>
      </c>
      <c r="R2728" t="s">
        <v>1269</v>
      </c>
      <c r="S2728">
        <v>5.484</v>
      </c>
      <c r="T2728">
        <v>0.34910000000000002</v>
      </c>
      <c r="U2728">
        <f t="shared" si="230"/>
        <v>0</v>
      </c>
      <c r="V2728" t="str">
        <f t="shared" si="227"/>
        <v>High Nurse</v>
      </c>
      <c r="W2728" t="str">
        <f t="shared" si="228"/>
        <v>Nurse</v>
      </c>
    </row>
    <row r="2729" spans="1:23" x14ac:dyDescent="0.25">
      <c r="A2729">
        <v>32356</v>
      </c>
      <c r="B2729" t="s">
        <v>1338</v>
      </c>
      <c r="C2729">
        <v>6.6619999999999999</v>
      </c>
      <c r="D2729" t="s">
        <v>1264</v>
      </c>
      <c r="E2729">
        <v>100039</v>
      </c>
      <c r="F2729">
        <v>32356</v>
      </c>
      <c r="G2729" t="str">
        <f t="shared" si="226"/>
        <v>32356</v>
      </c>
      <c r="H2729" t="s">
        <v>528</v>
      </c>
      <c r="I2729" t="s">
        <v>1265</v>
      </c>
      <c r="J2729" t="s">
        <v>1266</v>
      </c>
      <c r="K2729" t="s">
        <v>1267</v>
      </c>
      <c r="L2729" t="s">
        <v>1338</v>
      </c>
      <c r="M2729" t="s">
        <v>1339</v>
      </c>
      <c r="N2729">
        <v>1</v>
      </c>
      <c r="O2729" t="str">
        <f t="shared" si="229"/>
        <v>47</v>
      </c>
      <c r="P2729">
        <v>47</v>
      </c>
      <c r="R2729" t="s">
        <v>1269</v>
      </c>
      <c r="S2729">
        <v>6.6619999999999999</v>
      </c>
      <c r="T2729">
        <v>0.34910000000000002</v>
      </c>
      <c r="U2729">
        <f t="shared" si="230"/>
        <v>0</v>
      </c>
      <c r="V2729" t="str">
        <f t="shared" si="227"/>
        <v>Middle Nurse</v>
      </c>
      <c r="W2729" t="str">
        <f t="shared" si="228"/>
        <v>Nurse</v>
      </c>
    </row>
    <row r="2730" spans="1:23" x14ac:dyDescent="0.25">
      <c r="A2730">
        <v>32356</v>
      </c>
      <c r="B2730" t="s">
        <v>1302</v>
      </c>
      <c r="C2730">
        <v>2.6</v>
      </c>
      <c r="D2730" t="s">
        <v>1264</v>
      </c>
      <c r="E2730">
        <v>100039</v>
      </c>
      <c r="F2730">
        <v>32356</v>
      </c>
      <c r="G2730" t="str">
        <f t="shared" si="226"/>
        <v>32356</v>
      </c>
      <c r="H2730" t="s">
        <v>528</v>
      </c>
      <c r="I2730" t="s">
        <v>1265</v>
      </c>
      <c r="J2730" t="s">
        <v>1276</v>
      </c>
      <c r="K2730" t="s">
        <v>1277</v>
      </c>
      <c r="L2730" t="s">
        <v>1302</v>
      </c>
      <c r="M2730" t="s">
        <v>1336</v>
      </c>
      <c r="N2730">
        <v>21</v>
      </c>
      <c r="O2730" t="str">
        <f t="shared" si="229"/>
        <v>48</v>
      </c>
      <c r="P2730">
        <v>48</v>
      </c>
      <c r="R2730" t="s">
        <v>1269</v>
      </c>
      <c r="S2730">
        <v>2.6</v>
      </c>
      <c r="T2730">
        <v>0.34910000000000002</v>
      </c>
      <c r="U2730">
        <f t="shared" si="230"/>
        <v>0.90800000000000003</v>
      </c>
      <c r="V2730" t="str">
        <f t="shared" si="227"/>
        <v>Elementary Physical Therapist</v>
      </c>
      <c r="W2730" t="str">
        <f t="shared" si="228"/>
        <v>Physical Therapist</v>
      </c>
    </row>
    <row r="2731" spans="1:23" x14ac:dyDescent="0.25">
      <c r="A2731">
        <v>32356</v>
      </c>
      <c r="B2731" t="s">
        <v>1330</v>
      </c>
      <c r="C2731">
        <v>1.3</v>
      </c>
      <c r="D2731" t="s">
        <v>1264</v>
      </c>
      <c r="E2731">
        <v>100039</v>
      </c>
      <c r="F2731">
        <v>32356</v>
      </c>
      <c r="G2731" t="str">
        <f t="shared" si="226"/>
        <v>32356</v>
      </c>
      <c r="H2731" t="s">
        <v>528</v>
      </c>
      <c r="I2731" t="s">
        <v>1265</v>
      </c>
      <c r="J2731" t="s">
        <v>1271</v>
      </c>
      <c r="K2731" t="s">
        <v>1272</v>
      </c>
      <c r="L2731" t="s">
        <v>1330</v>
      </c>
      <c r="M2731" t="s">
        <v>1367</v>
      </c>
      <c r="N2731">
        <v>21</v>
      </c>
      <c r="O2731" t="str">
        <f t="shared" si="229"/>
        <v>48</v>
      </c>
      <c r="P2731">
        <v>48</v>
      </c>
      <c r="R2731" t="s">
        <v>1269</v>
      </c>
      <c r="S2731">
        <v>1.3</v>
      </c>
      <c r="T2731">
        <v>0.34910000000000002</v>
      </c>
      <c r="U2731">
        <f t="shared" si="230"/>
        <v>0.45400000000000001</v>
      </c>
      <c r="V2731" t="str">
        <f t="shared" si="227"/>
        <v>High Physical Therapist</v>
      </c>
      <c r="W2731" t="str">
        <f t="shared" si="228"/>
        <v>Physical Therapist</v>
      </c>
    </row>
    <row r="2732" spans="1:23" x14ac:dyDescent="0.25">
      <c r="A2732">
        <v>32356</v>
      </c>
      <c r="B2732" t="s">
        <v>1316</v>
      </c>
      <c r="C2732">
        <v>1.3</v>
      </c>
      <c r="D2732" t="s">
        <v>1264</v>
      </c>
      <c r="E2732">
        <v>100039</v>
      </c>
      <c r="F2732">
        <v>32356</v>
      </c>
      <c r="G2732" t="str">
        <f t="shared" si="226"/>
        <v>32356</v>
      </c>
      <c r="H2732" t="s">
        <v>528</v>
      </c>
      <c r="I2732" t="s">
        <v>1265</v>
      </c>
      <c r="J2732" t="s">
        <v>1266</v>
      </c>
      <c r="K2732" t="s">
        <v>1267</v>
      </c>
      <c r="L2732" t="s">
        <v>1316</v>
      </c>
      <c r="M2732" t="s">
        <v>1366</v>
      </c>
      <c r="N2732">
        <v>21</v>
      </c>
      <c r="O2732" t="str">
        <f t="shared" si="229"/>
        <v>48</v>
      </c>
      <c r="P2732">
        <v>48</v>
      </c>
      <c r="R2732" t="s">
        <v>1269</v>
      </c>
      <c r="S2732">
        <v>1.3</v>
      </c>
      <c r="T2732">
        <v>0.34910000000000002</v>
      </c>
      <c r="U2732">
        <f t="shared" si="230"/>
        <v>0.45400000000000001</v>
      </c>
      <c r="V2732" t="str">
        <f t="shared" si="227"/>
        <v>Middle Physical Therapist</v>
      </c>
      <c r="W2732" t="str">
        <f t="shared" si="228"/>
        <v>Physical Therapist</v>
      </c>
    </row>
    <row r="2733" spans="1:23" x14ac:dyDescent="0.25">
      <c r="A2733">
        <v>32358</v>
      </c>
      <c r="B2733" t="s">
        <v>1275</v>
      </c>
      <c r="C2733">
        <v>0.7</v>
      </c>
      <c r="D2733" t="s">
        <v>1264</v>
      </c>
      <c r="E2733">
        <v>100091</v>
      </c>
      <c r="F2733">
        <v>32358</v>
      </c>
      <c r="G2733" t="str">
        <f t="shared" si="226"/>
        <v>32358</v>
      </c>
      <c r="H2733" t="s">
        <v>529</v>
      </c>
      <c r="I2733" t="s">
        <v>1265</v>
      </c>
      <c r="J2733" t="s">
        <v>1276</v>
      </c>
      <c r="K2733" t="s">
        <v>1277</v>
      </c>
      <c r="L2733" t="s">
        <v>1275</v>
      </c>
      <c r="M2733" t="s">
        <v>1278</v>
      </c>
      <c r="N2733">
        <v>1</v>
      </c>
      <c r="O2733" t="str">
        <f t="shared" si="229"/>
        <v>42</v>
      </c>
      <c r="P2733">
        <v>42</v>
      </c>
      <c r="R2733" t="s">
        <v>1269</v>
      </c>
      <c r="S2733">
        <v>0.7</v>
      </c>
      <c r="T2733">
        <v>0.20019999999999999</v>
      </c>
      <c r="U2733">
        <f t="shared" si="230"/>
        <v>0</v>
      </c>
      <c r="V2733" t="str">
        <f t="shared" si="227"/>
        <v>Elementary Counselor</v>
      </c>
      <c r="W2733" t="str">
        <f t="shared" si="228"/>
        <v>Counselor</v>
      </c>
    </row>
    <row r="2734" spans="1:23" x14ac:dyDescent="0.25">
      <c r="A2734">
        <v>32358</v>
      </c>
      <c r="B2734" t="s">
        <v>1270</v>
      </c>
      <c r="C2734">
        <v>1</v>
      </c>
      <c r="D2734" t="s">
        <v>1264</v>
      </c>
      <c r="E2734">
        <v>100091</v>
      </c>
      <c r="F2734">
        <v>32358</v>
      </c>
      <c r="G2734" t="str">
        <f t="shared" si="226"/>
        <v>32358</v>
      </c>
      <c r="H2734" t="s">
        <v>529</v>
      </c>
      <c r="I2734" t="s">
        <v>1265</v>
      </c>
      <c r="J2734" t="s">
        <v>1271</v>
      </c>
      <c r="K2734" t="s">
        <v>1272</v>
      </c>
      <c r="L2734" t="s">
        <v>1270</v>
      </c>
      <c r="M2734" t="s">
        <v>1273</v>
      </c>
      <c r="N2734">
        <v>1</v>
      </c>
      <c r="O2734" t="str">
        <f t="shared" si="229"/>
        <v>42</v>
      </c>
      <c r="P2734">
        <v>42</v>
      </c>
      <c r="R2734" t="s">
        <v>1269</v>
      </c>
      <c r="S2734">
        <v>1</v>
      </c>
      <c r="T2734">
        <v>0.20019999999999999</v>
      </c>
      <c r="U2734">
        <f t="shared" si="230"/>
        <v>0</v>
      </c>
      <c r="V2734" t="str">
        <f t="shared" si="227"/>
        <v>High Counselor</v>
      </c>
      <c r="W2734" t="str">
        <f t="shared" si="228"/>
        <v>Counselor</v>
      </c>
    </row>
    <row r="2735" spans="1:23" x14ac:dyDescent="0.25">
      <c r="A2735">
        <v>32358</v>
      </c>
      <c r="B2735" t="s">
        <v>1263</v>
      </c>
      <c r="C2735">
        <v>0.24</v>
      </c>
      <c r="D2735" t="s">
        <v>1264</v>
      </c>
      <c r="E2735">
        <v>100091</v>
      </c>
      <c r="F2735">
        <v>32358</v>
      </c>
      <c r="G2735" t="str">
        <f t="shared" si="226"/>
        <v>32358</v>
      </c>
      <c r="H2735" t="s">
        <v>529</v>
      </c>
      <c r="I2735" t="s">
        <v>1265</v>
      </c>
      <c r="J2735" t="s">
        <v>1266</v>
      </c>
      <c r="K2735" t="s">
        <v>1267</v>
      </c>
      <c r="L2735" t="s">
        <v>1263</v>
      </c>
      <c r="M2735" t="s">
        <v>1268</v>
      </c>
      <c r="N2735">
        <v>1</v>
      </c>
      <c r="O2735" t="str">
        <f t="shared" si="229"/>
        <v>42</v>
      </c>
      <c r="P2735">
        <v>42</v>
      </c>
      <c r="R2735" t="s">
        <v>1269</v>
      </c>
      <c r="S2735">
        <v>0.24</v>
      </c>
      <c r="T2735">
        <v>0.20019999999999999</v>
      </c>
      <c r="U2735">
        <f t="shared" si="230"/>
        <v>0</v>
      </c>
      <c r="V2735" t="str">
        <f t="shared" si="227"/>
        <v>Middle Counselor</v>
      </c>
      <c r="W2735" t="str">
        <f t="shared" si="228"/>
        <v>Counselor</v>
      </c>
    </row>
    <row r="2736" spans="1:23" x14ac:dyDescent="0.25">
      <c r="A2736">
        <v>32358</v>
      </c>
      <c r="B2736" t="s">
        <v>1294</v>
      </c>
      <c r="C2736">
        <v>1</v>
      </c>
      <c r="D2736" t="s">
        <v>1264</v>
      </c>
      <c r="E2736">
        <v>100091</v>
      </c>
      <c r="F2736">
        <v>32358</v>
      </c>
      <c r="G2736" t="str">
        <f t="shared" si="226"/>
        <v>32358</v>
      </c>
      <c r="H2736" t="s">
        <v>529</v>
      </c>
      <c r="I2736" t="s">
        <v>1265</v>
      </c>
      <c r="J2736" t="s">
        <v>1276</v>
      </c>
      <c r="K2736" t="s">
        <v>1277</v>
      </c>
      <c r="L2736" t="s">
        <v>1294</v>
      </c>
      <c r="M2736" t="s">
        <v>1354</v>
      </c>
      <c r="N2736">
        <v>21</v>
      </c>
      <c r="O2736" t="str">
        <f t="shared" si="229"/>
        <v>45</v>
      </c>
      <c r="P2736">
        <v>45</v>
      </c>
      <c r="R2736" t="s">
        <v>1269</v>
      </c>
      <c r="S2736">
        <v>1</v>
      </c>
      <c r="T2736">
        <v>0.20019999999999999</v>
      </c>
      <c r="U2736">
        <f t="shared" si="230"/>
        <v>0.2</v>
      </c>
      <c r="V2736" t="str">
        <f t="shared" si="227"/>
        <v>Elementary Speech, Language Pathway/
Audio</v>
      </c>
      <c r="W2736" t="str">
        <f t="shared" si="228"/>
        <v>Speech, Language Pathway/
Audio</v>
      </c>
    </row>
    <row r="2737" spans="1:23" x14ac:dyDescent="0.25">
      <c r="A2737">
        <v>32358</v>
      </c>
      <c r="B2737" t="s">
        <v>1298</v>
      </c>
      <c r="C2737">
        <v>0.5</v>
      </c>
      <c r="D2737" t="s">
        <v>1264</v>
      </c>
      <c r="E2737">
        <v>100091</v>
      </c>
      <c r="F2737">
        <v>32358</v>
      </c>
      <c r="G2737" t="str">
        <f t="shared" si="226"/>
        <v>32358</v>
      </c>
      <c r="H2737" t="s">
        <v>529</v>
      </c>
      <c r="I2737" t="s">
        <v>1265</v>
      </c>
      <c r="J2737" t="s">
        <v>1276</v>
      </c>
      <c r="K2737" t="s">
        <v>1277</v>
      </c>
      <c r="L2737" t="s">
        <v>1298</v>
      </c>
      <c r="M2737" t="s">
        <v>1349</v>
      </c>
      <c r="N2737">
        <v>21</v>
      </c>
      <c r="O2737" t="str">
        <f t="shared" si="229"/>
        <v>46</v>
      </c>
      <c r="P2737">
        <v>46</v>
      </c>
      <c r="R2737" t="s">
        <v>1269</v>
      </c>
      <c r="S2737">
        <v>0.5</v>
      </c>
      <c r="T2737">
        <v>0.20019999999999999</v>
      </c>
      <c r="U2737">
        <f t="shared" si="230"/>
        <v>0.1</v>
      </c>
      <c r="V2737" t="str">
        <f t="shared" si="227"/>
        <v>Elementary Psychologist</v>
      </c>
      <c r="W2737" t="str">
        <f t="shared" si="228"/>
        <v>Psychologist</v>
      </c>
    </row>
    <row r="2738" spans="1:23" x14ac:dyDescent="0.25">
      <c r="A2738">
        <v>32358</v>
      </c>
      <c r="B2738" t="s">
        <v>1309</v>
      </c>
      <c r="C2738">
        <v>0.70599999999999996</v>
      </c>
      <c r="D2738" t="s">
        <v>1264</v>
      </c>
      <c r="E2738">
        <v>100091</v>
      </c>
      <c r="F2738">
        <v>32358</v>
      </c>
      <c r="G2738" t="str">
        <f t="shared" si="226"/>
        <v>32358</v>
      </c>
      <c r="H2738" t="s">
        <v>529</v>
      </c>
      <c r="I2738" t="s">
        <v>1265</v>
      </c>
      <c r="J2738" t="s">
        <v>1271</v>
      </c>
      <c r="K2738" t="s">
        <v>1272</v>
      </c>
      <c r="L2738" t="s">
        <v>1309</v>
      </c>
      <c r="M2738" t="s">
        <v>1310</v>
      </c>
      <c r="N2738">
        <v>21</v>
      </c>
      <c r="O2738" t="str">
        <f t="shared" si="229"/>
        <v>46</v>
      </c>
      <c r="P2738">
        <v>46</v>
      </c>
      <c r="R2738" t="s">
        <v>1269</v>
      </c>
      <c r="S2738">
        <v>0.70599999999999996</v>
      </c>
      <c r="T2738">
        <v>0.20019999999999999</v>
      </c>
      <c r="U2738">
        <f t="shared" si="230"/>
        <v>0.14099999999999999</v>
      </c>
      <c r="V2738" t="str">
        <f t="shared" si="227"/>
        <v>High Psychologist</v>
      </c>
      <c r="W2738" t="str">
        <f t="shared" si="228"/>
        <v>Psychologist</v>
      </c>
    </row>
    <row r="2739" spans="1:23" x14ac:dyDescent="0.25">
      <c r="A2739">
        <v>32358</v>
      </c>
      <c r="B2739" t="s">
        <v>1335</v>
      </c>
      <c r="C2739">
        <v>0.39900000000000002</v>
      </c>
      <c r="D2739" t="s">
        <v>1264</v>
      </c>
      <c r="E2739">
        <v>100091</v>
      </c>
      <c r="F2739">
        <v>32358</v>
      </c>
      <c r="G2739" t="str">
        <f t="shared" si="226"/>
        <v>32358</v>
      </c>
      <c r="H2739" t="s">
        <v>529</v>
      </c>
      <c r="I2739" t="s">
        <v>1265</v>
      </c>
      <c r="J2739" t="s">
        <v>1276</v>
      </c>
      <c r="K2739" t="s">
        <v>1277</v>
      </c>
      <c r="L2739" t="s">
        <v>1335</v>
      </c>
      <c r="M2739" t="s">
        <v>1344</v>
      </c>
      <c r="N2739">
        <v>1</v>
      </c>
      <c r="O2739" t="str">
        <f t="shared" si="229"/>
        <v>47</v>
      </c>
      <c r="P2739">
        <v>47</v>
      </c>
      <c r="R2739" t="s">
        <v>1269</v>
      </c>
      <c r="S2739">
        <v>0.39900000000000002</v>
      </c>
      <c r="T2739">
        <v>0.20019999999999999</v>
      </c>
      <c r="U2739">
        <f t="shared" si="230"/>
        <v>0</v>
      </c>
      <c r="V2739" t="str">
        <f t="shared" si="227"/>
        <v>Elementary Nurse</v>
      </c>
      <c r="W2739" t="str">
        <f t="shared" si="228"/>
        <v>Nurse</v>
      </c>
    </row>
    <row r="2740" spans="1:23" x14ac:dyDescent="0.25">
      <c r="A2740">
        <v>32358</v>
      </c>
      <c r="B2740" t="s">
        <v>1341</v>
      </c>
      <c r="C2740">
        <v>0.39900000000000002</v>
      </c>
      <c r="D2740" t="s">
        <v>1264</v>
      </c>
      <c r="E2740">
        <v>100091</v>
      </c>
      <c r="F2740">
        <v>32358</v>
      </c>
      <c r="G2740" t="str">
        <f t="shared" si="226"/>
        <v>32358</v>
      </c>
      <c r="H2740" t="s">
        <v>529</v>
      </c>
      <c r="I2740" t="s">
        <v>1265</v>
      </c>
      <c r="J2740" t="s">
        <v>1271</v>
      </c>
      <c r="K2740" t="s">
        <v>1272</v>
      </c>
      <c r="L2740" t="s">
        <v>1341</v>
      </c>
      <c r="M2740" t="s">
        <v>1342</v>
      </c>
      <c r="N2740">
        <v>1</v>
      </c>
      <c r="O2740" t="str">
        <f t="shared" si="229"/>
        <v>47</v>
      </c>
      <c r="P2740">
        <v>47</v>
      </c>
      <c r="R2740" t="s">
        <v>1269</v>
      </c>
      <c r="S2740">
        <v>0.39900000000000002</v>
      </c>
      <c r="T2740">
        <v>0.20019999999999999</v>
      </c>
      <c r="U2740">
        <f t="shared" si="230"/>
        <v>0</v>
      </c>
      <c r="V2740" t="str">
        <f t="shared" si="227"/>
        <v>High Nurse</v>
      </c>
      <c r="W2740" t="str">
        <f t="shared" si="228"/>
        <v>Nurse</v>
      </c>
    </row>
    <row r="2741" spans="1:23" x14ac:dyDescent="0.25">
      <c r="A2741">
        <v>32358</v>
      </c>
      <c r="B2741" t="s">
        <v>1306</v>
      </c>
      <c r="C2741">
        <v>1.1439999999999999</v>
      </c>
      <c r="D2741" t="s">
        <v>1264</v>
      </c>
      <c r="E2741">
        <v>100091</v>
      </c>
      <c r="F2741">
        <v>32358</v>
      </c>
      <c r="G2741" t="str">
        <f t="shared" si="226"/>
        <v>32358</v>
      </c>
      <c r="H2741" t="s">
        <v>529</v>
      </c>
      <c r="I2741" t="s">
        <v>1265</v>
      </c>
      <c r="J2741" t="s">
        <v>1276</v>
      </c>
      <c r="K2741" t="s">
        <v>1277</v>
      </c>
      <c r="L2741" t="s">
        <v>1306</v>
      </c>
      <c r="M2741" t="s">
        <v>1320</v>
      </c>
      <c r="N2741">
        <v>21</v>
      </c>
      <c r="O2741" t="str">
        <f t="shared" si="229"/>
        <v>64</v>
      </c>
      <c r="P2741">
        <v>64</v>
      </c>
      <c r="R2741" t="s">
        <v>1269</v>
      </c>
      <c r="S2741">
        <v>1.1439999999999999</v>
      </c>
      <c r="T2741">
        <v>0.20019999999999999</v>
      </c>
      <c r="U2741">
        <f t="shared" si="230"/>
        <v>0.22900000000000001</v>
      </c>
      <c r="V2741" t="str">
        <f t="shared" si="227"/>
        <v>Elementary Contractor ESA</v>
      </c>
      <c r="W2741" t="str">
        <f t="shared" si="228"/>
        <v>Contractor ESA</v>
      </c>
    </row>
    <row r="2742" spans="1:23" x14ac:dyDescent="0.25">
      <c r="A2742">
        <v>32358</v>
      </c>
      <c r="B2742" t="s">
        <v>1317</v>
      </c>
      <c r="C2742">
        <v>0.14299999999999999</v>
      </c>
      <c r="D2742" t="s">
        <v>1264</v>
      </c>
      <c r="E2742">
        <v>100091</v>
      </c>
      <c r="F2742">
        <v>32358</v>
      </c>
      <c r="G2742" t="str">
        <f t="shared" si="226"/>
        <v>32358</v>
      </c>
      <c r="H2742" t="s">
        <v>529</v>
      </c>
      <c r="I2742" t="s">
        <v>1265</v>
      </c>
      <c r="J2742" t="s">
        <v>1271</v>
      </c>
      <c r="K2742" t="s">
        <v>1272</v>
      </c>
      <c r="L2742" t="s">
        <v>1317</v>
      </c>
      <c r="M2742" t="s">
        <v>1318</v>
      </c>
      <c r="N2742">
        <v>21</v>
      </c>
      <c r="O2742" t="str">
        <f t="shared" si="229"/>
        <v>64</v>
      </c>
      <c r="P2742">
        <v>64</v>
      </c>
      <c r="R2742" t="s">
        <v>1269</v>
      </c>
      <c r="S2742">
        <v>0.14299999999999999</v>
      </c>
      <c r="T2742">
        <v>0.20019999999999999</v>
      </c>
      <c r="U2742">
        <f t="shared" si="230"/>
        <v>2.9000000000000001E-2</v>
      </c>
      <c r="V2742" t="str">
        <f t="shared" si="227"/>
        <v>High Contractor ESA</v>
      </c>
      <c r="W2742" t="str">
        <f t="shared" si="228"/>
        <v>Contractor ESA</v>
      </c>
    </row>
    <row r="2743" spans="1:23" x14ac:dyDescent="0.25">
      <c r="A2743">
        <v>32358</v>
      </c>
      <c r="B2743" t="s">
        <v>1313</v>
      </c>
      <c r="C2743">
        <v>0.14299999999999999</v>
      </c>
      <c r="D2743" t="s">
        <v>1264</v>
      </c>
      <c r="E2743">
        <v>100091</v>
      </c>
      <c r="F2743">
        <v>32358</v>
      </c>
      <c r="G2743" t="str">
        <f t="shared" si="226"/>
        <v>32358</v>
      </c>
      <c r="H2743" t="s">
        <v>529</v>
      </c>
      <c r="I2743" t="s">
        <v>1265</v>
      </c>
      <c r="J2743" t="s">
        <v>1266</v>
      </c>
      <c r="K2743" t="s">
        <v>1267</v>
      </c>
      <c r="L2743" t="s">
        <v>1313</v>
      </c>
      <c r="M2743" t="s">
        <v>1314</v>
      </c>
      <c r="N2743">
        <v>21</v>
      </c>
      <c r="O2743" t="str">
        <f t="shared" si="229"/>
        <v>64</v>
      </c>
      <c r="P2743">
        <v>64</v>
      </c>
      <c r="R2743" t="s">
        <v>1269</v>
      </c>
      <c r="S2743">
        <v>0.14299999999999999</v>
      </c>
      <c r="T2743">
        <v>0.20019999999999999</v>
      </c>
      <c r="U2743">
        <f t="shared" si="230"/>
        <v>2.9000000000000001E-2</v>
      </c>
      <c r="V2743" t="str">
        <f t="shared" si="227"/>
        <v>Middle Contractor ESA</v>
      </c>
      <c r="W2743" t="str">
        <f t="shared" si="228"/>
        <v>Contractor ESA</v>
      </c>
    </row>
    <row r="2744" spans="1:23" x14ac:dyDescent="0.25">
      <c r="A2744">
        <v>32360</v>
      </c>
      <c r="B2744" t="s">
        <v>1383</v>
      </c>
      <c r="C2744">
        <v>2.42</v>
      </c>
      <c r="D2744" t="s">
        <v>1264</v>
      </c>
      <c r="E2744">
        <v>100042</v>
      </c>
      <c r="F2744">
        <v>32360</v>
      </c>
      <c r="G2744" t="str">
        <f t="shared" si="226"/>
        <v>32360</v>
      </c>
      <c r="H2744" t="s">
        <v>530</v>
      </c>
      <c r="I2744" t="s">
        <v>1265</v>
      </c>
      <c r="J2744" t="s">
        <v>1271</v>
      </c>
      <c r="K2744" t="s">
        <v>1272</v>
      </c>
      <c r="L2744" t="s">
        <v>1383</v>
      </c>
      <c r="M2744" t="s">
        <v>1409</v>
      </c>
      <c r="N2744">
        <v>21</v>
      </c>
      <c r="O2744" t="str">
        <f t="shared" si="229"/>
        <v>25</v>
      </c>
      <c r="Q2744">
        <v>25</v>
      </c>
      <c r="R2744" t="s">
        <v>1269</v>
      </c>
      <c r="S2744">
        <v>2.42</v>
      </c>
      <c r="T2744">
        <v>0.20580000000000001</v>
      </c>
      <c r="U2744">
        <f t="shared" si="230"/>
        <v>0.498</v>
      </c>
      <c r="V2744" t="str">
        <f t="shared" si="227"/>
        <v>High Pupil Management</v>
      </c>
      <c r="W2744" t="str">
        <f t="shared" si="228"/>
        <v>Pupil Management</v>
      </c>
    </row>
    <row r="2745" spans="1:23" x14ac:dyDescent="0.25">
      <c r="A2745">
        <v>32360</v>
      </c>
      <c r="B2745" t="s">
        <v>1299</v>
      </c>
      <c r="C2745">
        <v>6.9169999999999998</v>
      </c>
      <c r="D2745" t="s">
        <v>1264</v>
      </c>
      <c r="E2745">
        <v>100042</v>
      </c>
      <c r="F2745">
        <v>32360</v>
      </c>
      <c r="G2745" t="str">
        <f t="shared" si="226"/>
        <v>32360</v>
      </c>
      <c r="H2745" t="s">
        <v>530</v>
      </c>
      <c r="I2745" t="s">
        <v>1265</v>
      </c>
      <c r="J2745" t="s">
        <v>1271</v>
      </c>
      <c r="K2745" t="s">
        <v>1272</v>
      </c>
      <c r="L2745" t="s">
        <v>1299</v>
      </c>
      <c r="M2745" t="s">
        <v>1300</v>
      </c>
      <c r="N2745">
        <v>1</v>
      </c>
      <c r="O2745" t="str">
        <f t="shared" si="229"/>
        <v>25</v>
      </c>
      <c r="Q2745">
        <v>25</v>
      </c>
      <c r="R2745" t="s">
        <v>1269</v>
      </c>
      <c r="S2745">
        <v>6.9169999999999998</v>
      </c>
      <c r="T2745">
        <v>0.20580000000000001</v>
      </c>
      <c r="U2745">
        <f t="shared" si="230"/>
        <v>0</v>
      </c>
      <c r="V2745" t="str">
        <f t="shared" si="227"/>
        <v>High Pupil Management</v>
      </c>
      <c r="W2745" t="str">
        <f t="shared" si="228"/>
        <v>Pupil Management</v>
      </c>
    </row>
    <row r="2746" spans="1:23" x14ac:dyDescent="0.25">
      <c r="A2746">
        <v>32360</v>
      </c>
      <c r="B2746" t="s">
        <v>1295</v>
      </c>
      <c r="C2746">
        <v>5.9690000000000003</v>
      </c>
      <c r="D2746" t="s">
        <v>1264</v>
      </c>
      <c r="E2746">
        <v>100042</v>
      </c>
      <c r="F2746">
        <v>32360</v>
      </c>
      <c r="G2746" t="str">
        <f t="shared" si="226"/>
        <v>32360</v>
      </c>
      <c r="H2746" t="s">
        <v>530</v>
      </c>
      <c r="I2746" t="s">
        <v>1265</v>
      </c>
      <c r="J2746" t="s">
        <v>1271</v>
      </c>
      <c r="K2746" t="s">
        <v>1272</v>
      </c>
      <c r="L2746" t="s">
        <v>1295</v>
      </c>
      <c r="M2746" t="s">
        <v>1296</v>
      </c>
      <c r="N2746">
        <v>1</v>
      </c>
      <c r="O2746" t="str">
        <f t="shared" si="229"/>
        <v>26</v>
      </c>
      <c r="Q2746">
        <v>26</v>
      </c>
      <c r="R2746" t="s">
        <v>1269</v>
      </c>
      <c r="S2746">
        <v>5.9690000000000003</v>
      </c>
      <c r="T2746">
        <v>0.20580000000000001</v>
      </c>
      <c r="U2746">
        <f t="shared" si="230"/>
        <v>0</v>
      </c>
      <c r="V2746" t="str">
        <f t="shared" si="227"/>
        <v>High Health/
Related Services</v>
      </c>
      <c r="W2746" t="str">
        <f t="shared" si="228"/>
        <v>Health/
Related Services</v>
      </c>
    </row>
    <row r="2747" spans="1:23" x14ac:dyDescent="0.25">
      <c r="A2747">
        <v>32360</v>
      </c>
      <c r="B2747" t="s">
        <v>1321</v>
      </c>
      <c r="C2747">
        <v>1</v>
      </c>
      <c r="D2747" t="s">
        <v>1264</v>
      </c>
      <c r="E2747">
        <v>100042</v>
      </c>
      <c r="F2747">
        <v>32360</v>
      </c>
      <c r="G2747" t="str">
        <f t="shared" si="226"/>
        <v>32360</v>
      </c>
      <c r="H2747" t="s">
        <v>530</v>
      </c>
      <c r="I2747" t="s">
        <v>1265</v>
      </c>
      <c r="J2747" t="s">
        <v>1276</v>
      </c>
      <c r="K2747" t="s">
        <v>1277</v>
      </c>
      <c r="L2747" t="s">
        <v>1321</v>
      </c>
      <c r="M2747" t="s">
        <v>1429</v>
      </c>
      <c r="N2747">
        <v>21</v>
      </c>
      <c r="O2747" t="str">
        <f t="shared" si="229"/>
        <v>42</v>
      </c>
      <c r="P2747">
        <v>42</v>
      </c>
      <c r="R2747" t="s">
        <v>1269</v>
      </c>
      <c r="S2747">
        <v>1</v>
      </c>
      <c r="T2747">
        <v>0.20580000000000001</v>
      </c>
      <c r="U2747">
        <f t="shared" si="230"/>
        <v>0.20599999999999999</v>
      </c>
      <c r="V2747" t="str">
        <f t="shared" si="227"/>
        <v>Elementary Counselor</v>
      </c>
      <c r="W2747" t="str">
        <f t="shared" si="228"/>
        <v>Counselor</v>
      </c>
    </row>
    <row r="2748" spans="1:23" x14ac:dyDescent="0.25">
      <c r="A2748">
        <v>32360</v>
      </c>
      <c r="B2748" t="s">
        <v>1275</v>
      </c>
      <c r="C2748">
        <v>5</v>
      </c>
      <c r="D2748" t="s">
        <v>1264</v>
      </c>
      <c r="E2748">
        <v>100042</v>
      </c>
      <c r="F2748">
        <v>32360</v>
      </c>
      <c r="G2748" t="str">
        <f t="shared" si="226"/>
        <v>32360</v>
      </c>
      <c r="H2748" t="s">
        <v>530</v>
      </c>
      <c r="I2748" t="s">
        <v>1265</v>
      </c>
      <c r="J2748" t="s">
        <v>1276</v>
      </c>
      <c r="K2748" t="s">
        <v>1277</v>
      </c>
      <c r="L2748" t="s">
        <v>1275</v>
      </c>
      <c r="M2748" t="s">
        <v>1278</v>
      </c>
      <c r="N2748">
        <v>1</v>
      </c>
      <c r="O2748" t="str">
        <f t="shared" si="229"/>
        <v>42</v>
      </c>
      <c r="P2748">
        <v>42</v>
      </c>
      <c r="R2748" t="s">
        <v>1269</v>
      </c>
      <c r="S2748">
        <v>5</v>
      </c>
      <c r="T2748">
        <v>0.20580000000000001</v>
      </c>
      <c r="U2748">
        <f t="shared" si="230"/>
        <v>0</v>
      </c>
      <c r="V2748" t="str">
        <f t="shared" si="227"/>
        <v>Elementary Counselor</v>
      </c>
      <c r="W2748" t="str">
        <f t="shared" si="228"/>
        <v>Counselor</v>
      </c>
    </row>
    <row r="2749" spans="1:23" x14ac:dyDescent="0.25">
      <c r="A2749">
        <v>32360</v>
      </c>
      <c r="B2749" t="s">
        <v>1270</v>
      </c>
      <c r="C2749">
        <v>3.391</v>
      </c>
      <c r="D2749" t="s">
        <v>1264</v>
      </c>
      <c r="E2749">
        <v>100042</v>
      </c>
      <c r="F2749">
        <v>32360</v>
      </c>
      <c r="G2749" t="str">
        <f t="shared" si="226"/>
        <v>32360</v>
      </c>
      <c r="H2749" t="s">
        <v>530</v>
      </c>
      <c r="I2749" t="s">
        <v>1265</v>
      </c>
      <c r="J2749" t="s">
        <v>1271</v>
      </c>
      <c r="K2749" t="s">
        <v>1272</v>
      </c>
      <c r="L2749" t="s">
        <v>1270</v>
      </c>
      <c r="M2749" t="s">
        <v>1273</v>
      </c>
      <c r="N2749">
        <v>1</v>
      </c>
      <c r="O2749" t="str">
        <f t="shared" si="229"/>
        <v>42</v>
      </c>
      <c r="P2749">
        <v>42</v>
      </c>
      <c r="R2749" t="s">
        <v>1269</v>
      </c>
      <c r="S2749">
        <v>3.391</v>
      </c>
      <c r="T2749">
        <v>0.20580000000000001</v>
      </c>
      <c r="U2749">
        <f t="shared" si="230"/>
        <v>0</v>
      </c>
      <c r="V2749" t="str">
        <f t="shared" si="227"/>
        <v>High Counselor</v>
      </c>
      <c r="W2749" t="str">
        <f t="shared" si="228"/>
        <v>Counselor</v>
      </c>
    </row>
    <row r="2750" spans="1:23" x14ac:dyDescent="0.25">
      <c r="A2750">
        <v>32360</v>
      </c>
      <c r="B2750" t="s">
        <v>1365</v>
      </c>
      <c r="C2750">
        <v>1</v>
      </c>
      <c r="D2750" t="s">
        <v>1264</v>
      </c>
      <c r="E2750">
        <v>100042</v>
      </c>
      <c r="F2750">
        <v>32360</v>
      </c>
      <c r="G2750" t="str">
        <f t="shared" si="226"/>
        <v>32360</v>
      </c>
      <c r="H2750" t="s">
        <v>530</v>
      </c>
      <c r="I2750" t="s">
        <v>1265</v>
      </c>
      <c r="J2750" t="s">
        <v>1266</v>
      </c>
      <c r="K2750" t="s">
        <v>1267</v>
      </c>
      <c r="L2750" t="s">
        <v>1365</v>
      </c>
      <c r="M2750" t="s">
        <v>1428</v>
      </c>
      <c r="N2750">
        <v>21</v>
      </c>
      <c r="O2750" t="str">
        <f t="shared" si="229"/>
        <v>42</v>
      </c>
      <c r="P2750">
        <v>42</v>
      </c>
      <c r="R2750" t="s">
        <v>1269</v>
      </c>
      <c r="S2750">
        <v>1</v>
      </c>
      <c r="T2750">
        <v>0.20580000000000001</v>
      </c>
      <c r="U2750">
        <f t="shared" si="230"/>
        <v>0.20599999999999999</v>
      </c>
      <c r="V2750" t="str">
        <f t="shared" si="227"/>
        <v>Middle Counselor</v>
      </c>
      <c r="W2750" t="str">
        <f t="shared" si="228"/>
        <v>Counselor</v>
      </c>
    </row>
    <row r="2751" spans="1:23" x14ac:dyDescent="0.25">
      <c r="A2751">
        <v>32360</v>
      </c>
      <c r="B2751" t="s">
        <v>1263</v>
      </c>
      <c r="C2751">
        <v>4</v>
      </c>
      <c r="D2751" t="s">
        <v>1264</v>
      </c>
      <c r="E2751">
        <v>100042</v>
      </c>
      <c r="F2751">
        <v>32360</v>
      </c>
      <c r="G2751" t="str">
        <f t="shared" si="226"/>
        <v>32360</v>
      </c>
      <c r="H2751" t="s">
        <v>530</v>
      </c>
      <c r="I2751" t="s">
        <v>1265</v>
      </c>
      <c r="J2751" t="s">
        <v>1266</v>
      </c>
      <c r="K2751" t="s">
        <v>1267</v>
      </c>
      <c r="L2751" t="s">
        <v>1263</v>
      </c>
      <c r="M2751" t="s">
        <v>1268</v>
      </c>
      <c r="N2751">
        <v>1</v>
      </c>
      <c r="O2751" t="str">
        <f t="shared" si="229"/>
        <v>42</v>
      </c>
      <c r="P2751">
        <v>42</v>
      </c>
      <c r="R2751" t="s">
        <v>1269</v>
      </c>
      <c r="S2751">
        <v>4</v>
      </c>
      <c r="T2751">
        <v>0.20580000000000001</v>
      </c>
      <c r="U2751">
        <f t="shared" si="230"/>
        <v>0</v>
      </c>
      <c r="V2751" t="str">
        <f t="shared" si="227"/>
        <v>Middle Counselor</v>
      </c>
      <c r="W2751" t="str">
        <f t="shared" si="228"/>
        <v>Counselor</v>
      </c>
    </row>
    <row r="2752" spans="1:23" x14ac:dyDescent="0.25">
      <c r="A2752">
        <v>32360</v>
      </c>
      <c r="B2752" t="s">
        <v>1289</v>
      </c>
      <c r="C2752">
        <v>4.83</v>
      </c>
      <c r="D2752" t="s">
        <v>1264</v>
      </c>
      <c r="E2752">
        <v>100042</v>
      </c>
      <c r="F2752">
        <v>32360</v>
      </c>
      <c r="G2752" t="str">
        <f t="shared" si="226"/>
        <v>32360</v>
      </c>
      <c r="H2752" t="s">
        <v>530</v>
      </c>
      <c r="I2752" t="s">
        <v>1265</v>
      </c>
      <c r="J2752" t="s">
        <v>1276</v>
      </c>
      <c r="K2752" t="s">
        <v>1277</v>
      </c>
      <c r="L2752" t="s">
        <v>1289</v>
      </c>
      <c r="M2752" t="s">
        <v>1307</v>
      </c>
      <c r="N2752">
        <v>21</v>
      </c>
      <c r="O2752" t="str">
        <f t="shared" si="229"/>
        <v>43</v>
      </c>
      <c r="P2752">
        <v>43</v>
      </c>
      <c r="R2752" t="s">
        <v>1269</v>
      </c>
      <c r="S2752">
        <v>4.83</v>
      </c>
      <c r="T2752">
        <v>0.20580000000000001</v>
      </c>
      <c r="U2752">
        <f t="shared" si="230"/>
        <v>0.99399999999999999</v>
      </c>
      <c r="V2752" t="str">
        <f t="shared" si="227"/>
        <v>Elementary Occupational Therapist</v>
      </c>
      <c r="W2752" t="str">
        <f t="shared" si="228"/>
        <v>Occupational Therapist</v>
      </c>
    </row>
    <row r="2753" spans="1:23" x14ac:dyDescent="0.25">
      <c r="A2753">
        <v>32360</v>
      </c>
      <c r="B2753" t="s">
        <v>1294</v>
      </c>
      <c r="C2753">
        <v>10.5</v>
      </c>
      <c r="D2753" t="s">
        <v>1264</v>
      </c>
      <c r="E2753">
        <v>100042</v>
      </c>
      <c r="F2753">
        <v>32360</v>
      </c>
      <c r="G2753" t="str">
        <f t="shared" si="226"/>
        <v>32360</v>
      </c>
      <c r="H2753" t="s">
        <v>530</v>
      </c>
      <c r="I2753" t="s">
        <v>1265</v>
      </c>
      <c r="J2753" t="s">
        <v>1276</v>
      </c>
      <c r="K2753" t="s">
        <v>1277</v>
      </c>
      <c r="L2753" t="s">
        <v>1294</v>
      </c>
      <c r="M2753" t="s">
        <v>1354</v>
      </c>
      <c r="N2753">
        <v>21</v>
      </c>
      <c r="O2753" t="str">
        <f t="shared" si="229"/>
        <v>45</v>
      </c>
      <c r="P2753">
        <v>45</v>
      </c>
      <c r="R2753" t="s">
        <v>1269</v>
      </c>
      <c r="S2753">
        <v>10.5</v>
      </c>
      <c r="T2753">
        <v>0.20580000000000001</v>
      </c>
      <c r="U2753">
        <f t="shared" si="230"/>
        <v>2.161</v>
      </c>
      <c r="V2753" t="str">
        <f t="shared" si="227"/>
        <v>Elementary Speech, Language Pathway/
Audio</v>
      </c>
      <c r="W2753" t="str">
        <f t="shared" si="228"/>
        <v>Speech, Language Pathway/
Audio</v>
      </c>
    </row>
    <row r="2754" spans="1:23" x14ac:dyDescent="0.25">
      <c r="A2754">
        <v>32360</v>
      </c>
      <c r="B2754" t="s">
        <v>1326</v>
      </c>
      <c r="C2754">
        <v>0.7</v>
      </c>
      <c r="D2754" t="s">
        <v>1264</v>
      </c>
      <c r="E2754">
        <v>100042</v>
      </c>
      <c r="F2754">
        <v>32360</v>
      </c>
      <c r="G2754" t="str">
        <f t="shared" ref="G2754:G2817" si="231">TEXT(F2754,"00000")</f>
        <v>32360</v>
      </c>
      <c r="H2754" t="s">
        <v>530</v>
      </c>
      <c r="I2754" t="s">
        <v>1265</v>
      </c>
      <c r="J2754" t="s">
        <v>1271</v>
      </c>
      <c r="K2754" t="s">
        <v>1272</v>
      </c>
      <c r="L2754" t="s">
        <v>1326</v>
      </c>
      <c r="M2754" t="s">
        <v>1353</v>
      </c>
      <c r="N2754">
        <v>21</v>
      </c>
      <c r="O2754" t="str">
        <f t="shared" si="229"/>
        <v>45</v>
      </c>
      <c r="P2754">
        <v>45</v>
      </c>
      <c r="R2754" t="s">
        <v>1269</v>
      </c>
      <c r="S2754">
        <v>0.7</v>
      </c>
      <c r="T2754">
        <v>0.20580000000000001</v>
      </c>
      <c r="U2754">
        <f t="shared" si="230"/>
        <v>0.14399999999999999</v>
      </c>
      <c r="V2754" t="str">
        <f t="shared" ref="V2754:V2817" si="232">_xlfn.XLOOKUP(L2754,$BV:$BV,$BT:$BT,,0)</f>
        <v>High Speech, Language Pathway/
Audio</v>
      </c>
      <c r="W2754" t="str">
        <f t="shared" ref="W2754:W2817" si="233">_xlfn.TEXTAFTER(V2754," ")</f>
        <v>Speech, Language Pathway/
Audio</v>
      </c>
    </row>
    <row r="2755" spans="1:23" x14ac:dyDescent="0.25">
      <c r="A2755">
        <v>32360</v>
      </c>
      <c r="B2755" t="s">
        <v>1312</v>
      </c>
      <c r="C2755">
        <v>1.8</v>
      </c>
      <c r="D2755" t="s">
        <v>1264</v>
      </c>
      <c r="E2755">
        <v>100042</v>
      </c>
      <c r="F2755">
        <v>32360</v>
      </c>
      <c r="G2755" t="str">
        <f t="shared" si="231"/>
        <v>32360</v>
      </c>
      <c r="H2755" t="s">
        <v>530</v>
      </c>
      <c r="I2755" t="s">
        <v>1265</v>
      </c>
      <c r="J2755" t="s">
        <v>1266</v>
      </c>
      <c r="K2755" t="s">
        <v>1267</v>
      </c>
      <c r="L2755" t="s">
        <v>1312</v>
      </c>
      <c r="M2755" t="s">
        <v>1351</v>
      </c>
      <c r="N2755">
        <v>21</v>
      </c>
      <c r="O2755" t="str">
        <f t="shared" ref="O2755:O2818" si="234">MID(L2755,3,2)</f>
        <v>45</v>
      </c>
      <c r="P2755">
        <v>45</v>
      </c>
      <c r="R2755" t="s">
        <v>1269</v>
      </c>
      <c r="S2755">
        <v>1.8</v>
      </c>
      <c r="T2755">
        <v>0.20580000000000001</v>
      </c>
      <c r="U2755">
        <f t="shared" ref="U2755:U2818" si="235">IF(N2755=21,ROUND(T2755*S2755,3),0)</f>
        <v>0.37</v>
      </c>
      <c r="V2755" t="str">
        <f t="shared" si="232"/>
        <v>Middle Speech, Language Pathway/
Audio</v>
      </c>
      <c r="W2755" t="str">
        <f t="shared" si="233"/>
        <v>Speech, Language Pathway/
Audio</v>
      </c>
    </row>
    <row r="2756" spans="1:23" x14ac:dyDescent="0.25">
      <c r="A2756">
        <v>32360</v>
      </c>
      <c r="B2756" t="s">
        <v>1298</v>
      </c>
      <c r="C2756">
        <v>3.8</v>
      </c>
      <c r="D2756" t="s">
        <v>1264</v>
      </c>
      <c r="E2756">
        <v>100042</v>
      </c>
      <c r="F2756">
        <v>32360</v>
      </c>
      <c r="G2756" t="str">
        <f t="shared" si="231"/>
        <v>32360</v>
      </c>
      <c r="H2756" t="s">
        <v>530</v>
      </c>
      <c r="I2756" t="s">
        <v>1265</v>
      </c>
      <c r="J2756" t="s">
        <v>1276</v>
      </c>
      <c r="K2756" t="s">
        <v>1277</v>
      </c>
      <c r="L2756" t="s">
        <v>1298</v>
      </c>
      <c r="M2756" t="s">
        <v>1349</v>
      </c>
      <c r="N2756">
        <v>21</v>
      </c>
      <c r="O2756" t="str">
        <f t="shared" si="234"/>
        <v>46</v>
      </c>
      <c r="P2756">
        <v>46</v>
      </c>
      <c r="R2756" t="s">
        <v>1269</v>
      </c>
      <c r="S2756">
        <v>3.8</v>
      </c>
      <c r="T2756">
        <v>0.20580000000000001</v>
      </c>
      <c r="U2756">
        <f t="shared" si="235"/>
        <v>0.78200000000000003</v>
      </c>
      <c r="V2756" t="str">
        <f t="shared" si="232"/>
        <v>Elementary Psychologist</v>
      </c>
      <c r="W2756" t="str">
        <f t="shared" si="233"/>
        <v>Psychologist</v>
      </c>
    </row>
    <row r="2757" spans="1:23" x14ac:dyDescent="0.25">
      <c r="A2757">
        <v>32360</v>
      </c>
      <c r="B2757" t="s">
        <v>1309</v>
      </c>
      <c r="C2757">
        <v>0.4</v>
      </c>
      <c r="D2757" t="s">
        <v>1264</v>
      </c>
      <c r="E2757">
        <v>100042</v>
      </c>
      <c r="F2757">
        <v>32360</v>
      </c>
      <c r="G2757" t="str">
        <f t="shared" si="231"/>
        <v>32360</v>
      </c>
      <c r="H2757" t="s">
        <v>530</v>
      </c>
      <c r="I2757" t="s">
        <v>1265</v>
      </c>
      <c r="J2757" t="s">
        <v>1271</v>
      </c>
      <c r="K2757" t="s">
        <v>1272</v>
      </c>
      <c r="L2757" t="s">
        <v>1309</v>
      </c>
      <c r="M2757" t="s">
        <v>1310</v>
      </c>
      <c r="N2757">
        <v>21</v>
      </c>
      <c r="O2757" t="str">
        <f t="shared" si="234"/>
        <v>46</v>
      </c>
      <c r="P2757">
        <v>46</v>
      </c>
      <c r="R2757" t="s">
        <v>1269</v>
      </c>
      <c r="S2757">
        <v>0.4</v>
      </c>
      <c r="T2757">
        <v>0.20580000000000001</v>
      </c>
      <c r="U2757">
        <f t="shared" si="235"/>
        <v>8.2000000000000003E-2</v>
      </c>
      <c r="V2757" t="str">
        <f t="shared" si="232"/>
        <v>High Psychologist</v>
      </c>
      <c r="W2757" t="str">
        <f t="shared" si="233"/>
        <v>Psychologist</v>
      </c>
    </row>
    <row r="2758" spans="1:23" x14ac:dyDescent="0.25">
      <c r="A2758">
        <v>32360</v>
      </c>
      <c r="B2758" t="s">
        <v>1345</v>
      </c>
      <c r="C2758">
        <v>1.8</v>
      </c>
      <c r="D2758" t="s">
        <v>1264</v>
      </c>
      <c r="E2758">
        <v>100042</v>
      </c>
      <c r="F2758">
        <v>32360</v>
      </c>
      <c r="G2758" t="str">
        <f t="shared" si="231"/>
        <v>32360</v>
      </c>
      <c r="H2758" t="s">
        <v>530</v>
      </c>
      <c r="I2758" t="s">
        <v>1265</v>
      </c>
      <c r="J2758" t="s">
        <v>1266</v>
      </c>
      <c r="K2758" t="s">
        <v>1267</v>
      </c>
      <c r="L2758" t="s">
        <v>1345</v>
      </c>
      <c r="M2758" t="s">
        <v>1346</v>
      </c>
      <c r="N2758">
        <v>21</v>
      </c>
      <c r="O2758" t="str">
        <f t="shared" si="234"/>
        <v>46</v>
      </c>
      <c r="P2758">
        <v>46</v>
      </c>
      <c r="R2758" t="s">
        <v>1269</v>
      </c>
      <c r="S2758">
        <v>1.8</v>
      </c>
      <c r="T2758">
        <v>0.20580000000000001</v>
      </c>
      <c r="U2758">
        <f t="shared" si="235"/>
        <v>0.37</v>
      </c>
      <c r="V2758" t="str">
        <f t="shared" si="232"/>
        <v>Middle Psychologist</v>
      </c>
      <c r="W2758" t="str">
        <f t="shared" si="233"/>
        <v>Psychologist</v>
      </c>
    </row>
    <row r="2759" spans="1:23" x14ac:dyDescent="0.25">
      <c r="A2759">
        <v>32360</v>
      </c>
      <c r="B2759" t="s">
        <v>1335</v>
      </c>
      <c r="C2759">
        <v>3.3</v>
      </c>
      <c r="D2759" t="s">
        <v>1264</v>
      </c>
      <c r="E2759">
        <v>100042</v>
      </c>
      <c r="F2759">
        <v>32360</v>
      </c>
      <c r="G2759" t="str">
        <f t="shared" si="231"/>
        <v>32360</v>
      </c>
      <c r="H2759" t="s">
        <v>530</v>
      </c>
      <c r="I2759" t="s">
        <v>1265</v>
      </c>
      <c r="J2759" t="s">
        <v>1276</v>
      </c>
      <c r="K2759" t="s">
        <v>1277</v>
      </c>
      <c r="L2759" t="s">
        <v>1335</v>
      </c>
      <c r="M2759" t="s">
        <v>1344</v>
      </c>
      <c r="N2759">
        <v>1</v>
      </c>
      <c r="O2759" t="str">
        <f t="shared" si="234"/>
        <v>47</v>
      </c>
      <c r="P2759">
        <v>47</v>
      </c>
      <c r="R2759" t="s">
        <v>1269</v>
      </c>
      <c r="S2759">
        <v>3.3</v>
      </c>
      <c r="T2759">
        <v>0.20580000000000001</v>
      </c>
      <c r="U2759">
        <f t="shared" si="235"/>
        <v>0</v>
      </c>
      <c r="V2759" t="str">
        <f t="shared" si="232"/>
        <v>Elementary Nurse</v>
      </c>
      <c r="W2759" t="str">
        <f t="shared" si="233"/>
        <v>Nurse</v>
      </c>
    </row>
    <row r="2760" spans="1:23" x14ac:dyDescent="0.25">
      <c r="A2760">
        <v>32360</v>
      </c>
      <c r="B2760" t="s">
        <v>1341</v>
      </c>
      <c r="C2760">
        <v>2.2000000000000002</v>
      </c>
      <c r="D2760" t="s">
        <v>1264</v>
      </c>
      <c r="E2760">
        <v>100042</v>
      </c>
      <c r="F2760">
        <v>32360</v>
      </c>
      <c r="G2760" t="str">
        <f t="shared" si="231"/>
        <v>32360</v>
      </c>
      <c r="H2760" t="s">
        <v>530</v>
      </c>
      <c r="I2760" t="s">
        <v>1265</v>
      </c>
      <c r="J2760" t="s">
        <v>1271</v>
      </c>
      <c r="K2760" t="s">
        <v>1272</v>
      </c>
      <c r="L2760" t="s">
        <v>1341</v>
      </c>
      <c r="M2760" t="s">
        <v>1342</v>
      </c>
      <c r="N2760">
        <v>1</v>
      </c>
      <c r="O2760" t="str">
        <f t="shared" si="234"/>
        <v>47</v>
      </c>
      <c r="P2760">
        <v>47</v>
      </c>
      <c r="R2760" t="s">
        <v>1269</v>
      </c>
      <c r="S2760">
        <v>2.2000000000000002</v>
      </c>
      <c r="T2760">
        <v>0.20580000000000001</v>
      </c>
      <c r="U2760">
        <f t="shared" si="235"/>
        <v>0</v>
      </c>
      <c r="V2760" t="str">
        <f t="shared" si="232"/>
        <v>High Nurse</v>
      </c>
      <c r="W2760" t="str">
        <f t="shared" si="233"/>
        <v>Nurse</v>
      </c>
    </row>
    <row r="2761" spans="1:23" x14ac:dyDescent="0.25">
      <c r="A2761">
        <v>32360</v>
      </c>
      <c r="B2761" t="s">
        <v>1338</v>
      </c>
      <c r="C2761">
        <v>1.5</v>
      </c>
      <c r="D2761" t="s">
        <v>1264</v>
      </c>
      <c r="E2761">
        <v>100042</v>
      </c>
      <c r="F2761">
        <v>32360</v>
      </c>
      <c r="G2761" t="str">
        <f t="shared" si="231"/>
        <v>32360</v>
      </c>
      <c r="H2761" t="s">
        <v>530</v>
      </c>
      <c r="I2761" t="s">
        <v>1265</v>
      </c>
      <c r="J2761" t="s">
        <v>1266</v>
      </c>
      <c r="K2761" t="s">
        <v>1267</v>
      </c>
      <c r="L2761" t="s">
        <v>1338</v>
      </c>
      <c r="M2761" t="s">
        <v>1339</v>
      </c>
      <c r="N2761">
        <v>1</v>
      </c>
      <c r="O2761" t="str">
        <f t="shared" si="234"/>
        <v>47</v>
      </c>
      <c r="P2761">
        <v>47</v>
      </c>
      <c r="R2761" t="s">
        <v>1269</v>
      </c>
      <c r="S2761">
        <v>1.5</v>
      </c>
      <c r="T2761">
        <v>0.20580000000000001</v>
      </c>
      <c r="U2761">
        <f t="shared" si="235"/>
        <v>0</v>
      </c>
      <c r="V2761" t="str">
        <f t="shared" si="232"/>
        <v>Middle Nurse</v>
      </c>
      <c r="W2761" t="str">
        <f t="shared" si="233"/>
        <v>Nurse</v>
      </c>
    </row>
    <row r="2762" spans="1:23" x14ac:dyDescent="0.25">
      <c r="A2762">
        <v>32360</v>
      </c>
      <c r="B2762" t="s">
        <v>1302</v>
      </c>
      <c r="C2762">
        <v>2</v>
      </c>
      <c r="D2762" t="s">
        <v>1264</v>
      </c>
      <c r="E2762">
        <v>100042</v>
      </c>
      <c r="F2762">
        <v>32360</v>
      </c>
      <c r="G2762" t="str">
        <f t="shared" si="231"/>
        <v>32360</v>
      </c>
      <c r="H2762" t="s">
        <v>530</v>
      </c>
      <c r="I2762" t="s">
        <v>1265</v>
      </c>
      <c r="J2762" t="s">
        <v>1276</v>
      </c>
      <c r="K2762" t="s">
        <v>1277</v>
      </c>
      <c r="L2762" t="s">
        <v>1302</v>
      </c>
      <c r="M2762" t="s">
        <v>1336</v>
      </c>
      <c r="N2762">
        <v>21</v>
      </c>
      <c r="O2762" t="str">
        <f t="shared" si="234"/>
        <v>48</v>
      </c>
      <c r="P2762">
        <v>48</v>
      </c>
      <c r="R2762" t="s">
        <v>1269</v>
      </c>
      <c r="S2762">
        <v>2</v>
      </c>
      <c r="T2762">
        <v>0.20580000000000001</v>
      </c>
      <c r="U2762">
        <f t="shared" si="235"/>
        <v>0.41199999999999998</v>
      </c>
      <c r="V2762" t="str">
        <f t="shared" si="232"/>
        <v>Elementary Physical Therapist</v>
      </c>
      <c r="W2762" t="str">
        <f t="shared" si="233"/>
        <v>Physical Therapist</v>
      </c>
    </row>
    <row r="2763" spans="1:23" x14ac:dyDescent="0.25">
      <c r="A2763">
        <v>32360</v>
      </c>
      <c r="B2763" t="s">
        <v>1316</v>
      </c>
      <c r="C2763">
        <v>1</v>
      </c>
      <c r="D2763" t="s">
        <v>1264</v>
      </c>
      <c r="E2763">
        <v>100042</v>
      </c>
      <c r="F2763">
        <v>32360</v>
      </c>
      <c r="G2763" t="str">
        <f t="shared" si="231"/>
        <v>32360</v>
      </c>
      <c r="H2763" t="s">
        <v>530</v>
      </c>
      <c r="I2763" t="s">
        <v>1265</v>
      </c>
      <c r="J2763" t="s">
        <v>1266</v>
      </c>
      <c r="K2763" t="s">
        <v>1267</v>
      </c>
      <c r="L2763" t="s">
        <v>1316</v>
      </c>
      <c r="M2763" t="s">
        <v>1366</v>
      </c>
      <c r="N2763">
        <v>21</v>
      </c>
      <c r="O2763" t="str">
        <f t="shared" si="234"/>
        <v>48</v>
      </c>
      <c r="P2763">
        <v>48</v>
      </c>
      <c r="R2763" t="s">
        <v>1269</v>
      </c>
      <c r="S2763">
        <v>1</v>
      </c>
      <c r="T2763">
        <v>0.20580000000000001</v>
      </c>
      <c r="U2763">
        <f t="shared" si="235"/>
        <v>0.20599999999999999</v>
      </c>
      <c r="V2763" t="str">
        <f t="shared" si="232"/>
        <v>Middle Physical Therapist</v>
      </c>
      <c r="W2763" t="str">
        <f t="shared" si="233"/>
        <v>Physical Therapist</v>
      </c>
    </row>
    <row r="2764" spans="1:23" x14ac:dyDescent="0.25">
      <c r="A2764">
        <v>32361</v>
      </c>
      <c r="B2764" t="s">
        <v>1308</v>
      </c>
      <c r="C2764">
        <v>5.7089999999999996</v>
      </c>
      <c r="D2764" t="s">
        <v>1264</v>
      </c>
      <c r="E2764">
        <v>100070</v>
      </c>
      <c r="F2764">
        <v>32361</v>
      </c>
      <c r="G2764" t="str">
        <f t="shared" si="231"/>
        <v>32361</v>
      </c>
      <c r="H2764" t="s">
        <v>531</v>
      </c>
      <c r="I2764" t="s">
        <v>1265</v>
      </c>
      <c r="J2764" t="s">
        <v>1276</v>
      </c>
      <c r="K2764" t="s">
        <v>1277</v>
      </c>
      <c r="L2764" t="s">
        <v>1308</v>
      </c>
      <c r="M2764" t="s">
        <v>1389</v>
      </c>
      <c r="N2764">
        <v>1</v>
      </c>
      <c r="O2764" t="str">
        <f t="shared" si="234"/>
        <v>25</v>
      </c>
      <c r="Q2764">
        <v>25</v>
      </c>
      <c r="R2764" t="s">
        <v>1269</v>
      </c>
      <c r="S2764">
        <v>5.7089999999999996</v>
      </c>
      <c r="T2764">
        <v>0.31380000000000002</v>
      </c>
      <c r="U2764">
        <f t="shared" si="235"/>
        <v>0</v>
      </c>
      <c r="V2764" t="str">
        <f t="shared" si="232"/>
        <v>Elementary Pupil Management</v>
      </c>
      <c r="W2764" t="str">
        <f t="shared" si="233"/>
        <v>Pupil Management</v>
      </c>
    </row>
    <row r="2765" spans="1:23" x14ac:dyDescent="0.25">
      <c r="A2765">
        <v>32361</v>
      </c>
      <c r="B2765" t="s">
        <v>1383</v>
      </c>
      <c r="C2765">
        <v>3.45</v>
      </c>
      <c r="D2765" t="s">
        <v>1264</v>
      </c>
      <c r="E2765">
        <v>100070</v>
      </c>
      <c r="F2765">
        <v>32361</v>
      </c>
      <c r="G2765" t="str">
        <f t="shared" si="231"/>
        <v>32361</v>
      </c>
      <c r="H2765" t="s">
        <v>531</v>
      </c>
      <c r="I2765" t="s">
        <v>1265</v>
      </c>
      <c r="J2765" t="s">
        <v>1271</v>
      </c>
      <c r="K2765" t="s">
        <v>1272</v>
      </c>
      <c r="L2765" t="s">
        <v>1383</v>
      </c>
      <c r="M2765" t="s">
        <v>1409</v>
      </c>
      <c r="N2765">
        <v>21</v>
      </c>
      <c r="O2765" t="str">
        <f t="shared" si="234"/>
        <v>25</v>
      </c>
      <c r="Q2765">
        <v>25</v>
      </c>
      <c r="R2765" t="s">
        <v>1269</v>
      </c>
      <c r="S2765">
        <v>3.45</v>
      </c>
      <c r="T2765">
        <v>0.31380000000000002</v>
      </c>
      <c r="U2765">
        <f t="shared" si="235"/>
        <v>1.083</v>
      </c>
      <c r="V2765" t="str">
        <f t="shared" si="232"/>
        <v>High Pupil Management</v>
      </c>
      <c r="W2765" t="str">
        <f t="shared" si="233"/>
        <v>Pupil Management</v>
      </c>
    </row>
    <row r="2766" spans="1:23" x14ac:dyDescent="0.25">
      <c r="A2766">
        <v>32361</v>
      </c>
      <c r="B2766" t="s">
        <v>1299</v>
      </c>
      <c r="C2766">
        <v>0.50900000000000001</v>
      </c>
      <c r="D2766" t="s">
        <v>1264</v>
      </c>
      <c r="E2766">
        <v>100070</v>
      </c>
      <c r="F2766">
        <v>32361</v>
      </c>
      <c r="G2766" t="str">
        <f t="shared" si="231"/>
        <v>32361</v>
      </c>
      <c r="H2766" t="s">
        <v>531</v>
      </c>
      <c r="I2766" t="s">
        <v>1265</v>
      </c>
      <c r="J2766" t="s">
        <v>1271</v>
      </c>
      <c r="K2766" t="s">
        <v>1272</v>
      </c>
      <c r="L2766" t="s">
        <v>1299</v>
      </c>
      <c r="M2766" t="s">
        <v>1300</v>
      </c>
      <c r="N2766">
        <v>1</v>
      </c>
      <c r="O2766" t="str">
        <f t="shared" si="234"/>
        <v>25</v>
      </c>
      <c r="Q2766">
        <v>25</v>
      </c>
      <c r="R2766" t="s">
        <v>1269</v>
      </c>
      <c r="S2766">
        <v>0.50900000000000001</v>
      </c>
      <c r="T2766">
        <v>0.31380000000000002</v>
      </c>
      <c r="U2766">
        <f t="shared" si="235"/>
        <v>0</v>
      </c>
      <c r="V2766" t="str">
        <f t="shared" si="232"/>
        <v>High Pupil Management</v>
      </c>
      <c r="W2766" t="str">
        <f t="shared" si="233"/>
        <v>Pupil Management</v>
      </c>
    </row>
    <row r="2767" spans="1:23" x14ac:dyDescent="0.25">
      <c r="A2767">
        <v>32361</v>
      </c>
      <c r="B2767" t="s">
        <v>1363</v>
      </c>
      <c r="C2767">
        <v>0.70499999999999996</v>
      </c>
      <c r="D2767" t="s">
        <v>1264</v>
      </c>
      <c r="E2767">
        <v>100070</v>
      </c>
      <c r="F2767">
        <v>32361</v>
      </c>
      <c r="G2767" t="str">
        <f t="shared" si="231"/>
        <v>32361</v>
      </c>
      <c r="H2767" t="s">
        <v>531</v>
      </c>
      <c r="I2767" t="s">
        <v>1265</v>
      </c>
      <c r="J2767" t="s">
        <v>1266</v>
      </c>
      <c r="K2767" t="s">
        <v>1267</v>
      </c>
      <c r="L2767" t="s">
        <v>1363</v>
      </c>
      <c r="M2767" t="s">
        <v>1386</v>
      </c>
      <c r="N2767">
        <v>1</v>
      </c>
      <c r="O2767" t="str">
        <f t="shared" si="234"/>
        <v>25</v>
      </c>
      <c r="Q2767">
        <v>25</v>
      </c>
      <c r="R2767" t="s">
        <v>1269</v>
      </c>
      <c r="S2767">
        <v>0.70499999999999996</v>
      </c>
      <c r="T2767">
        <v>0.31380000000000002</v>
      </c>
      <c r="U2767">
        <f t="shared" si="235"/>
        <v>0</v>
      </c>
      <c r="V2767" t="str">
        <f t="shared" si="232"/>
        <v>Middle Pupil Management</v>
      </c>
      <c r="W2767" t="str">
        <f t="shared" si="233"/>
        <v>Pupil Management</v>
      </c>
    </row>
    <row r="2768" spans="1:23" x14ac:dyDescent="0.25">
      <c r="A2768">
        <v>32361</v>
      </c>
      <c r="B2768" t="s">
        <v>1311</v>
      </c>
      <c r="C2768">
        <v>1.236</v>
      </c>
      <c r="D2768" t="s">
        <v>1264</v>
      </c>
      <c r="E2768">
        <v>100070</v>
      </c>
      <c r="F2768">
        <v>32361</v>
      </c>
      <c r="G2768" t="str">
        <f t="shared" si="231"/>
        <v>32361</v>
      </c>
      <c r="H2768" t="s">
        <v>531</v>
      </c>
      <c r="I2768" t="s">
        <v>1265</v>
      </c>
      <c r="J2768" t="s">
        <v>1276</v>
      </c>
      <c r="K2768" t="s">
        <v>1277</v>
      </c>
      <c r="L2768" t="s">
        <v>1311</v>
      </c>
      <c r="M2768" t="s">
        <v>1327</v>
      </c>
      <c r="N2768">
        <v>21</v>
      </c>
      <c r="O2768" t="str">
        <f t="shared" si="234"/>
        <v>26</v>
      </c>
      <c r="Q2768">
        <v>26</v>
      </c>
      <c r="R2768" t="s">
        <v>1269</v>
      </c>
      <c r="S2768">
        <v>1.236</v>
      </c>
      <c r="T2768">
        <v>0.31380000000000002</v>
      </c>
      <c r="U2768">
        <f t="shared" si="235"/>
        <v>0.38800000000000001</v>
      </c>
      <c r="V2768" t="str">
        <f t="shared" si="232"/>
        <v>Elementary Health/
Related Services</v>
      </c>
      <c r="W2768" t="str">
        <f t="shared" si="233"/>
        <v>Health/
Related Services</v>
      </c>
    </row>
    <row r="2769" spans="1:23" x14ac:dyDescent="0.25">
      <c r="A2769">
        <v>32361</v>
      </c>
      <c r="B2769" t="s">
        <v>1315</v>
      </c>
      <c r="C2769">
        <v>3.512</v>
      </c>
      <c r="D2769" t="s">
        <v>1264</v>
      </c>
      <c r="E2769">
        <v>100070</v>
      </c>
      <c r="F2769">
        <v>32361</v>
      </c>
      <c r="G2769" t="str">
        <f t="shared" si="231"/>
        <v>32361</v>
      </c>
      <c r="H2769" t="s">
        <v>531</v>
      </c>
      <c r="I2769" t="s">
        <v>1265</v>
      </c>
      <c r="J2769" t="s">
        <v>1276</v>
      </c>
      <c r="K2769" t="s">
        <v>1277</v>
      </c>
      <c r="L2769" t="s">
        <v>1315</v>
      </c>
      <c r="M2769" t="s">
        <v>1375</v>
      </c>
      <c r="N2769">
        <v>1</v>
      </c>
      <c r="O2769" t="str">
        <f t="shared" si="234"/>
        <v>26</v>
      </c>
      <c r="Q2769">
        <v>26</v>
      </c>
      <c r="R2769" t="s">
        <v>1269</v>
      </c>
      <c r="S2769">
        <v>3.512</v>
      </c>
      <c r="T2769">
        <v>0.31380000000000002</v>
      </c>
      <c r="U2769">
        <f t="shared" si="235"/>
        <v>0</v>
      </c>
      <c r="V2769" t="str">
        <f t="shared" si="232"/>
        <v>Elementary Health/
Related Services</v>
      </c>
      <c r="W2769" t="str">
        <f t="shared" si="233"/>
        <v>Health/
Related Services</v>
      </c>
    </row>
    <row r="2770" spans="1:23" x14ac:dyDescent="0.25">
      <c r="A2770">
        <v>32361</v>
      </c>
      <c r="B2770" t="s">
        <v>1324</v>
      </c>
      <c r="C2770">
        <v>0.64300000000000002</v>
      </c>
      <c r="D2770" t="s">
        <v>1264</v>
      </c>
      <c r="E2770">
        <v>100070</v>
      </c>
      <c r="F2770">
        <v>32361</v>
      </c>
      <c r="G2770" t="str">
        <f t="shared" si="231"/>
        <v>32361</v>
      </c>
      <c r="H2770" t="s">
        <v>531</v>
      </c>
      <c r="I2770" t="s">
        <v>1265</v>
      </c>
      <c r="J2770" t="s">
        <v>1271</v>
      </c>
      <c r="K2770" t="s">
        <v>1272</v>
      </c>
      <c r="L2770" t="s">
        <v>1324</v>
      </c>
      <c r="M2770" t="s">
        <v>1325</v>
      </c>
      <c r="N2770">
        <v>21</v>
      </c>
      <c r="O2770" t="str">
        <f t="shared" si="234"/>
        <v>26</v>
      </c>
      <c r="Q2770">
        <v>26</v>
      </c>
      <c r="R2770" t="s">
        <v>1269</v>
      </c>
      <c r="S2770">
        <v>0.64300000000000002</v>
      </c>
      <c r="T2770">
        <v>0.31380000000000002</v>
      </c>
      <c r="U2770">
        <f t="shared" si="235"/>
        <v>0.20200000000000001</v>
      </c>
      <c r="V2770" t="str">
        <f t="shared" si="232"/>
        <v>High Health/
Related Services</v>
      </c>
      <c r="W2770" t="str">
        <f t="shared" si="233"/>
        <v>Health/
Related Services</v>
      </c>
    </row>
    <row r="2771" spans="1:23" x14ac:dyDescent="0.25">
      <c r="A2771">
        <v>32361</v>
      </c>
      <c r="B2771" t="s">
        <v>1295</v>
      </c>
      <c r="C2771">
        <v>1.4339999999999999</v>
      </c>
      <c r="D2771" t="s">
        <v>1264</v>
      </c>
      <c r="E2771">
        <v>100070</v>
      </c>
      <c r="F2771">
        <v>32361</v>
      </c>
      <c r="G2771" t="str">
        <f t="shared" si="231"/>
        <v>32361</v>
      </c>
      <c r="H2771" t="s">
        <v>531</v>
      </c>
      <c r="I2771" t="s">
        <v>1265</v>
      </c>
      <c r="J2771" t="s">
        <v>1271</v>
      </c>
      <c r="K2771" t="s">
        <v>1272</v>
      </c>
      <c r="L2771" t="s">
        <v>1295</v>
      </c>
      <c r="M2771" t="s">
        <v>1296</v>
      </c>
      <c r="N2771">
        <v>1</v>
      </c>
      <c r="O2771" t="str">
        <f t="shared" si="234"/>
        <v>26</v>
      </c>
      <c r="Q2771">
        <v>26</v>
      </c>
      <c r="R2771" t="s">
        <v>1269</v>
      </c>
      <c r="S2771">
        <v>1.4339999999999999</v>
      </c>
      <c r="T2771">
        <v>0.31380000000000002</v>
      </c>
      <c r="U2771">
        <f t="shared" si="235"/>
        <v>0</v>
      </c>
      <c r="V2771" t="str">
        <f t="shared" si="232"/>
        <v>High Health/
Related Services</v>
      </c>
      <c r="W2771" t="str">
        <f t="shared" si="233"/>
        <v>Health/
Related Services</v>
      </c>
    </row>
    <row r="2772" spans="1:23" x14ac:dyDescent="0.25">
      <c r="A2772">
        <v>32361</v>
      </c>
      <c r="B2772" t="s">
        <v>1291</v>
      </c>
      <c r="C2772">
        <v>0.66500000000000004</v>
      </c>
      <c r="D2772" t="s">
        <v>1264</v>
      </c>
      <c r="E2772">
        <v>100070</v>
      </c>
      <c r="F2772">
        <v>32361</v>
      </c>
      <c r="G2772" t="str">
        <f t="shared" si="231"/>
        <v>32361</v>
      </c>
      <c r="H2772" t="s">
        <v>531</v>
      </c>
      <c r="I2772" t="s">
        <v>1265</v>
      </c>
      <c r="J2772" t="s">
        <v>1266</v>
      </c>
      <c r="K2772" t="s">
        <v>1267</v>
      </c>
      <c r="L2772" t="s">
        <v>1291</v>
      </c>
      <c r="M2772" t="s">
        <v>1292</v>
      </c>
      <c r="N2772">
        <v>1</v>
      </c>
      <c r="O2772" t="str">
        <f t="shared" si="234"/>
        <v>26</v>
      </c>
      <c r="Q2772">
        <v>26</v>
      </c>
      <c r="R2772" t="s">
        <v>1269</v>
      </c>
      <c r="S2772">
        <v>0.66500000000000004</v>
      </c>
      <c r="T2772">
        <v>0.31380000000000002</v>
      </c>
      <c r="U2772">
        <f t="shared" si="235"/>
        <v>0</v>
      </c>
      <c r="V2772" t="str">
        <f t="shared" si="232"/>
        <v>Middle Health/
Related Services</v>
      </c>
      <c r="W2772" t="str">
        <f t="shared" si="233"/>
        <v>Health/
Related Services</v>
      </c>
    </row>
    <row r="2773" spans="1:23" x14ac:dyDescent="0.25">
      <c r="A2773">
        <v>32361</v>
      </c>
      <c r="B2773" t="s">
        <v>1401</v>
      </c>
      <c r="C2773">
        <v>0.73499999999999999</v>
      </c>
      <c r="D2773" t="s">
        <v>1264</v>
      </c>
      <c r="E2773">
        <v>100070</v>
      </c>
      <c r="F2773">
        <v>32361</v>
      </c>
      <c r="G2773" t="str">
        <f t="shared" si="231"/>
        <v>32361</v>
      </c>
      <c r="H2773" t="s">
        <v>531</v>
      </c>
      <c r="I2773" t="s">
        <v>1265</v>
      </c>
      <c r="J2773" t="s">
        <v>1271</v>
      </c>
      <c r="K2773" t="s">
        <v>1272</v>
      </c>
      <c r="L2773" t="s">
        <v>1401</v>
      </c>
      <c r="M2773" t="s">
        <v>1422</v>
      </c>
      <c r="N2773">
        <v>1</v>
      </c>
      <c r="O2773" t="str">
        <f t="shared" si="234"/>
        <v>35</v>
      </c>
      <c r="Q2773">
        <v>35</v>
      </c>
      <c r="R2773" t="s">
        <v>1269</v>
      </c>
      <c r="S2773">
        <v>0.73499999999999999</v>
      </c>
      <c r="T2773">
        <v>0.31380000000000002</v>
      </c>
      <c r="U2773">
        <f t="shared" si="235"/>
        <v>0</v>
      </c>
      <c r="V2773" t="str">
        <f t="shared" si="232"/>
        <v>High Pupil Safety</v>
      </c>
      <c r="W2773" t="str">
        <f t="shared" si="233"/>
        <v>Pupil Safety</v>
      </c>
    </row>
    <row r="2774" spans="1:23" x14ac:dyDescent="0.25">
      <c r="A2774">
        <v>32361</v>
      </c>
      <c r="B2774" t="s">
        <v>1377</v>
      </c>
      <c r="C2774">
        <v>0.73499999999999999</v>
      </c>
      <c r="D2774" t="s">
        <v>1264</v>
      </c>
      <c r="E2774">
        <v>100070</v>
      </c>
      <c r="F2774">
        <v>32361</v>
      </c>
      <c r="G2774" t="str">
        <f t="shared" si="231"/>
        <v>32361</v>
      </c>
      <c r="H2774" t="s">
        <v>531</v>
      </c>
      <c r="I2774" t="s">
        <v>1265</v>
      </c>
      <c r="J2774" t="s">
        <v>1266</v>
      </c>
      <c r="K2774" t="s">
        <v>1267</v>
      </c>
      <c r="L2774" t="s">
        <v>1377</v>
      </c>
      <c r="M2774" t="s">
        <v>1423</v>
      </c>
      <c r="N2774">
        <v>1</v>
      </c>
      <c r="O2774" t="str">
        <f t="shared" si="234"/>
        <v>35</v>
      </c>
      <c r="Q2774">
        <v>35</v>
      </c>
      <c r="R2774" t="s">
        <v>1269</v>
      </c>
      <c r="S2774">
        <v>0.73499999999999999</v>
      </c>
      <c r="T2774">
        <v>0.31380000000000002</v>
      </c>
      <c r="U2774">
        <f t="shared" si="235"/>
        <v>0</v>
      </c>
      <c r="V2774" t="str">
        <f t="shared" si="232"/>
        <v>Middle Pupil Safety</v>
      </c>
      <c r="W2774" t="str">
        <f t="shared" si="233"/>
        <v>Pupil Safety</v>
      </c>
    </row>
    <row r="2775" spans="1:23" x14ac:dyDescent="0.25">
      <c r="A2775">
        <v>32361</v>
      </c>
      <c r="B2775" t="s">
        <v>1275</v>
      </c>
      <c r="C2775">
        <v>4.5</v>
      </c>
      <c r="D2775" t="s">
        <v>1264</v>
      </c>
      <c r="E2775">
        <v>100070</v>
      </c>
      <c r="F2775">
        <v>32361</v>
      </c>
      <c r="G2775" t="str">
        <f t="shared" si="231"/>
        <v>32361</v>
      </c>
      <c r="H2775" t="s">
        <v>531</v>
      </c>
      <c r="I2775" t="s">
        <v>1265</v>
      </c>
      <c r="J2775" t="s">
        <v>1276</v>
      </c>
      <c r="K2775" t="s">
        <v>1277</v>
      </c>
      <c r="L2775" t="s">
        <v>1275</v>
      </c>
      <c r="M2775" t="s">
        <v>1278</v>
      </c>
      <c r="N2775">
        <v>1</v>
      </c>
      <c r="O2775" t="str">
        <f t="shared" si="234"/>
        <v>42</v>
      </c>
      <c r="P2775">
        <v>42</v>
      </c>
      <c r="R2775" t="s">
        <v>1269</v>
      </c>
      <c r="S2775">
        <v>4.5</v>
      </c>
      <c r="T2775">
        <v>0.31380000000000002</v>
      </c>
      <c r="U2775">
        <f t="shared" si="235"/>
        <v>0</v>
      </c>
      <c r="V2775" t="str">
        <f t="shared" si="232"/>
        <v>Elementary Counselor</v>
      </c>
      <c r="W2775" t="str">
        <f t="shared" si="233"/>
        <v>Counselor</v>
      </c>
    </row>
    <row r="2776" spans="1:23" x14ac:dyDescent="0.25">
      <c r="A2776">
        <v>32361</v>
      </c>
      <c r="B2776" t="s">
        <v>1270</v>
      </c>
      <c r="C2776">
        <v>2</v>
      </c>
      <c r="D2776" t="s">
        <v>1264</v>
      </c>
      <c r="E2776">
        <v>100070</v>
      </c>
      <c r="F2776">
        <v>32361</v>
      </c>
      <c r="G2776" t="str">
        <f t="shared" si="231"/>
        <v>32361</v>
      </c>
      <c r="H2776" t="s">
        <v>531</v>
      </c>
      <c r="I2776" t="s">
        <v>1265</v>
      </c>
      <c r="J2776" t="s">
        <v>1271</v>
      </c>
      <c r="K2776" t="s">
        <v>1272</v>
      </c>
      <c r="L2776" t="s">
        <v>1270</v>
      </c>
      <c r="M2776" t="s">
        <v>1273</v>
      </c>
      <c r="N2776">
        <v>1</v>
      </c>
      <c r="O2776" t="str">
        <f t="shared" si="234"/>
        <v>42</v>
      </c>
      <c r="P2776">
        <v>42</v>
      </c>
      <c r="R2776" t="s">
        <v>1269</v>
      </c>
      <c r="S2776">
        <v>2</v>
      </c>
      <c r="T2776">
        <v>0.31380000000000002</v>
      </c>
      <c r="U2776">
        <f t="shared" si="235"/>
        <v>0</v>
      </c>
      <c r="V2776" t="str">
        <f t="shared" si="232"/>
        <v>High Counselor</v>
      </c>
      <c r="W2776" t="str">
        <f t="shared" si="233"/>
        <v>Counselor</v>
      </c>
    </row>
    <row r="2777" spans="1:23" x14ac:dyDescent="0.25">
      <c r="A2777">
        <v>32361</v>
      </c>
      <c r="B2777" t="s">
        <v>1263</v>
      </c>
      <c r="C2777">
        <v>1</v>
      </c>
      <c r="D2777" t="s">
        <v>1264</v>
      </c>
      <c r="E2777">
        <v>100070</v>
      </c>
      <c r="F2777">
        <v>32361</v>
      </c>
      <c r="G2777" t="str">
        <f t="shared" si="231"/>
        <v>32361</v>
      </c>
      <c r="H2777" t="s">
        <v>531</v>
      </c>
      <c r="I2777" t="s">
        <v>1265</v>
      </c>
      <c r="J2777" t="s">
        <v>1266</v>
      </c>
      <c r="K2777" t="s">
        <v>1267</v>
      </c>
      <c r="L2777" t="s">
        <v>1263</v>
      </c>
      <c r="M2777" t="s">
        <v>1268</v>
      </c>
      <c r="N2777">
        <v>1</v>
      </c>
      <c r="O2777" t="str">
        <f t="shared" si="234"/>
        <v>42</v>
      </c>
      <c r="P2777">
        <v>42</v>
      </c>
      <c r="R2777" t="s">
        <v>1269</v>
      </c>
      <c r="S2777">
        <v>1</v>
      </c>
      <c r="T2777">
        <v>0.31380000000000002</v>
      </c>
      <c r="U2777">
        <f t="shared" si="235"/>
        <v>0</v>
      </c>
      <c r="V2777" t="str">
        <f t="shared" si="232"/>
        <v>Middle Counselor</v>
      </c>
      <c r="W2777" t="str">
        <f t="shared" si="233"/>
        <v>Counselor</v>
      </c>
    </row>
    <row r="2778" spans="1:23" x14ac:dyDescent="0.25">
      <c r="A2778">
        <v>32361</v>
      </c>
      <c r="B2778" t="s">
        <v>1289</v>
      </c>
      <c r="C2778">
        <v>4</v>
      </c>
      <c r="D2778" t="s">
        <v>1264</v>
      </c>
      <c r="E2778">
        <v>100070</v>
      </c>
      <c r="F2778">
        <v>32361</v>
      </c>
      <c r="G2778" t="str">
        <f t="shared" si="231"/>
        <v>32361</v>
      </c>
      <c r="H2778" t="s">
        <v>531</v>
      </c>
      <c r="I2778" t="s">
        <v>1265</v>
      </c>
      <c r="J2778" t="s">
        <v>1276</v>
      </c>
      <c r="K2778" t="s">
        <v>1277</v>
      </c>
      <c r="L2778" t="s">
        <v>1289</v>
      </c>
      <c r="M2778" t="s">
        <v>1307</v>
      </c>
      <c r="N2778">
        <v>21</v>
      </c>
      <c r="O2778" t="str">
        <f t="shared" si="234"/>
        <v>43</v>
      </c>
      <c r="P2778">
        <v>43</v>
      </c>
      <c r="R2778" t="s">
        <v>1269</v>
      </c>
      <c r="S2778">
        <v>4</v>
      </c>
      <c r="T2778">
        <v>0.31380000000000002</v>
      </c>
      <c r="U2778">
        <f t="shared" si="235"/>
        <v>1.2549999999999999</v>
      </c>
      <c r="V2778" t="str">
        <f t="shared" si="232"/>
        <v>Elementary Occupational Therapist</v>
      </c>
      <c r="W2778" t="str">
        <f t="shared" si="233"/>
        <v>Occupational Therapist</v>
      </c>
    </row>
    <row r="2779" spans="1:23" x14ac:dyDescent="0.25">
      <c r="A2779">
        <v>32361</v>
      </c>
      <c r="B2779" t="s">
        <v>1294</v>
      </c>
      <c r="C2779">
        <v>7</v>
      </c>
      <c r="D2779" t="s">
        <v>1264</v>
      </c>
      <c r="E2779">
        <v>100070</v>
      </c>
      <c r="F2779">
        <v>32361</v>
      </c>
      <c r="G2779" t="str">
        <f t="shared" si="231"/>
        <v>32361</v>
      </c>
      <c r="H2779" t="s">
        <v>531</v>
      </c>
      <c r="I2779" t="s">
        <v>1265</v>
      </c>
      <c r="J2779" t="s">
        <v>1276</v>
      </c>
      <c r="K2779" t="s">
        <v>1277</v>
      </c>
      <c r="L2779" t="s">
        <v>1294</v>
      </c>
      <c r="M2779" t="s">
        <v>1354</v>
      </c>
      <c r="N2779">
        <v>21</v>
      </c>
      <c r="O2779" t="str">
        <f t="shared" si="234"/>
        <v>45</v>
      </c>
      <c r="P2779">
        <v>45</v>
      </c>
      <c r="R2779" t="s">
        <v>1269</v>
      </c>
      <c r="S2779">
        <v>7</v>
      </c>
      <c r="T2779">
        <v>0.31380000000000002</v>
      </c>
      <c r="U2779">
        <f t="shared" si="235"/>
        <v>2.1970000000000001</v>
      </c>
      <c r="V2779" t="str">
        <f t="shared" si="232"/>
        <v>Elementary Speech, Language Pathway/
Audio</v>
      </c>
      <c r="W2779" t="str">
        <f t="shared" si="233"/>
        <v>Speech, Language Pathway/
Audio</v>
      </c>
    </row>
    <row r="2780" spans="1:23" x14ac:dyDescent="0.25">
      <c r="A2780">
        <v>32361</v>
      </c>
      <c r="B2780" t="s">
        <v>1326</v>
      </c>
      <c r="C2780">
        <v>0.499</v>
      </c>
      <c r="D2780" t="s">
        <v>1264</v>
      </c>
      <c r="E2780">
        <v>100070</v>
      </c>
      <c r="F2780">
        <v>32361</v>
      </c>
      <c r="G2780" t="str">
        <f t="shared" si="231"/>
        <v>32361</v>
      </c>
      <c r="H2780" t="s">
        <v>531</v>
      </c>
      <c r="I2780" t="s">
        <v>1265</v>
      </c>
      <c r="J2780" t="s">
        <v>1271</v>
      </c>
      <c r="K2780" t="s">
        <v>1272</v>
      </c>
      <c r="L2780" t="s">
        <v>1326</v>
      </c>
      <c r="M2780" t="s">
        <v>1353</v>
      </c>
      <c r="N2780">
        <v>21</v>
      </c>
      <c r="O2780" t="str">
        <f t="shared" si="234"/>
        <v>45</v>
      </c>
      <c r="P2780">
        <v>45</v>
      </c>
      <c r="R2780" t="s">
        <v>1269</v>
      </c>
      <c r="S2780">
        <v>0.499</v>
      </c>
      <c r="T2780">
        <v>0.31380000000000002</v>
      </c>
      <c r="U2780">
        <f t="shared" si="235"/>
        <v>0.157</v>
      </c>
      <c r="V2780" t="str">
        <f t="shared" si="232"/>
        <v>High Speech, Language Pathway/
Audio</v>
      </c>
      <c r="W2780" t="str">
        <f t="shared" si="233"/>
        <v>Speech, Language Pathway/
Audio</v>
      </c>
    </row>
    <row r="2781" spans="1:23" x14ac:dyDescent="0.25">
      <c r="A2781">
        <v>32361</v>
      </c>
      <c r="B2781" t="s">
        <v>1312</v>
      </c>
      <c r="C2781">
        <v>1.5009999999999999</v>
      </c>
      <c r="D2781" t="s">
        <v>1264</v>
      </c>
      <c r="E2781">
        <v>100070</v>
      </c>
      <c r="F2781">
        <v>32361</v>
      </c>
      <c r="G2781" t="str">
        <f t="shared" si="231"/>
        <v>32361</v>
      </c>
      <c r="H2781" t="s">
        <v>531</v>
      </c>
      <c r="I2781" t="s">
        <v>1265</v>
      </c>
      <c r="J2781" t="s">
        <v>1266</v>
      </c>
      <c r="K2781" t="s">
        <v>1267</v>
      </c>
      <c r="L2781" t="s">
        <v>1312</v>
      </c>
      <c r="M2781" t="s">
        <v>1351</v>
      </c>
      <c r="N2781">
        <v>21</v>
      </c>
      <c r="O2781" t="str">
        <f t="shared" si="234"/>
        <v>45</v>
      </c>
      <c r="P2781">
        <v>45</v>
      </c>
      <c r="R2781" t="s">
        <v>1269</v>
      </c>
      <c r="S2781">
        <v>1.5009999999999999</v>
      </c>
      <c r="T2781">
        <v>0.31380000000000002</v>
      </c>
      <c r="U2781">
        <f t="shared" si="235"/>
        <v>0.47099999999999997</v>
      </c>
      <c r="V2781" t="str">
        <f t="shared" si="232"/>
        <v>Middle Speech, Language Pathway/
Audio</v>
      </c>
      <c r="W2781" t="str">
        <f t="shared" si="233"/>
        <v>Speech, Language Pathway/
Audio</v>
      </c>
    </row>
    <row r="2782" spans="1:23" x14ac:dyDescent="0.25">
      <c r="A2782">
        <v>32361</v>
      </c>
      <c r="B2782" t="s">
        <v>1298</v>
      </c>
      <c r="C2782">
        <v>5</v>
      </c>
      <c r="D2782" t="s">
        <v>1264</v>
      </c>
      <c r="E2782">
        <v>100070</v>
      </c>
      <c r="F2782">
        <v>32361</v>
      </c>
      <c r="G2782" t="str">
        <f t="shared" si="231"/>
        <v>32361</v>
      </c>
      <c r="H2782" t="s">
        <v>531</v>
      </c>
      <c r="I2782" t="s">
        <v>1265</v>
      </c>
      <c r="J2782" t="s">
        <v>1276</v>
      </c>
      <c r="K2782" t="s">
        <v>1277</v>
      </c>
      <c r="L2782" t="s">
        <v>1298</v>
      </c>
      <c r="M2782" t="s">
        <v>1349</v>
      </c>
      <c r="N2782">
        <v>21</v>
      </c>
      <c r="O2782" t="str">
        <f t="shared" si="234"/>
        <v>46</v>
      </c>
      <c r="P2782">
        <v>46</v>
      </c>
      <c r="R2782" t="s">
        <v>1269</v>
      </c>
      <c r="S2782">
        <v>5</v>
      </c>
      <c r="T2782">
        <v>0.31380000000000002</v>
      </c>
      <c r="U2782">
        <f t="shared" si="235"/>
        <v>1.569</v>
      </c>
      <c r="V2782" t="str">
        <f t="shared" si="232"/>
        <v>Elementary Psychologist</v>
      </c>
      <c r="W2782" t="str">
        <f t="shared" si="233"/>
        <v>Psychologist</v>
      </c>
    </row>
    <row r="2783" spans="1:23" x14ac:dyDescent="0.25">
      <c r="A2783">
        <v>32361</v>
      </c>
      <c r="B2783" t="s">
        <v>1309</v>
      </c>
      <c r="C2783">
        <v>1</v>
      </c>
      <c r="D2783" t="s">
        <v>1264</v>
      </c>
      <c r="E2783">
        <v>100070</v>
      </c>
      <c r="F2783">
        <v>32361</v>
      </c>
      <c r="G2783" t="str">
        <f t="shared" si="231"/>
        <v>32361</v>
      </c>
      <c r="H2783" t="s">
        <v>531</v>
      </c>
      <c r="I2783" t="s">
        <v>1265</v>
      </c>
      <c r="J2783" t="s">
        <v>1271</v>
      </c>
      <c r="K2783" t="s">
        <v>1272</v>
      </c>
      <c r="L2783" t="s">
        <v>1309</v>
      </c>
      <c r="M2783" t="s">
        <v>1310</v>
      </c>
      <c r="N2783">
        <v>21</v>
      </c>
      <c r="O2783" t="str">
        <f t="shared" si="234"/>
        <v>46</v>
      </c>
      <c r="P2783">
        <v>46</v>
      </c>
      <c r="R2783" t="s">
        <v>1269</v>
      </c>
      <c r="S2783">
        <v>1</v>
      </c>
      <c r="T2783">
        <v>0.31380000000000002</v>
      </c>
      <c r="U2783">
        <f t="shared" si="235"/>
        <v>0.314</v>
      </c>
      <c r="V2783" t="str">
        <f t="shared" si="232"/>
        <v>High Psychologist</v>
      </c>
      <c r="W2783" t="str">
        <f t="shared" si="233"/>
        <v>Psychologist</v>
      </c>
    </row>
    <row r="2784" spans="1:23" x14ac:dyDescent="0.25">
      <c r="A2784">
        <v>32361</v>
      </c>
      <c r="B2784" t="s">
        <v>1341</v>
      </c>
      <c r="C2784">
        <v>1</v>
      </c>
      <c r="D2784" t="s">
        <v>1264</v>
      </c>
      <c r="E2784">
        <v>100070</v>
      </c>
      <c r="F2784">
        <v>32361</v>
      </c>
      <c r="G2784" t="str">
        <f t="shared" si="231"/>
        <v>32361</v>
      </c>
      <c r="H2784" t="s">
        <v>531</v>
      </c>
      <c r="I2784" t="s">
        <v>1265</v>
      </c>
      <c r="J2784" t="s">
        <v>1271</v>
      </c>
      <c r="K2784" t="s">
        <v>1272</v>
      </c>
      <c r="L2784" t="s">
        <v>1341</v>
      </c>
      <c r="M2784" t="s">
        <v>1342</v>
      </c>
      <c r="N2784">
        <v>1</v>
      </c>
      <c r="O2784" t="str">
        <f t="shared" si="234"/>
        <v>47</v>
      </c>
      <c r="P2784">
        <v>47</v>
      </c>
      <c r="R2784" t="s">
        <v>1269</v>
      </c>
      <c r="S2784">
        <v>1</v>
      </c>
      <c r="T2784">
        <v>0.31380000000000002</v>
      </c>
      <c r="U2784">
        <f t="shared" si="235"/>
        <v>0</v>
      </c>
      <c r="V2784" t="str">
        <f t="shared" si="232"/>
        <v>High Nurse</v>
      </c>
      <c r="W2784" t="str">
        <f t="shared" si="233"/>
        <v>Nurse</v>
      </c>
    </row>
    <row r="2785" spans="1:23" x14ac:dyDescent="0.25">
      <c r="A2785">
        <v>32361</v>
      </c>
      <c r="B2785" t="s">
        <v>1338</v>
      </c>
      <c r="C2785">
        <v>1.7</v>
      </c>
      <c r="D2785" t="s">
        <v>1264</v>
      </c>
      <c r="E2785">
        <v>100070</v>
      </c>
      <c r="F2785">
        <v>32361</v>
      </c>
      <c r="G2785" t="str">
        <f t="shared" si="231"/>
        <v>32361</v>
      </c>
      <c r="H2785" t="s">
        <v>531</v>
      </c>
      <c r="I2785" t="s">
        <v>1265</v>
      </c>
      <c r="J2785" t="s">
        <v>1266</v>
      </c>
      <c r="K2785" t="s">
        <v>1267</v>
      </c>
      <c r="L2785" t="s">
        <v>1338</v>
      </c>
      <c r="M2785" t="s">
        <v>1339</v>
      </c>
      <c r="N2785">
        <v>1</v>
      </c>
      <c r="O2785" t="str">
        <f t="shared" si="234"/>
        <v>47</v>
      </c>
      <c r="P2785">
        <v>47</v>
      </c>
      <c r="R2785" t="s">
        <v>1269</v>
      </c>
      <c r="S2785">
        <v>1.7</v>
      </c>
      <c r="T2785">
        <v>0.31380000000000002</v>
      </c>
      <c r="U2785">
        <f t="shared" si="235"/>
        <v>0</v>
      </c>
      <c r="V2785" t="str">
        <f t="shared" si="232"/>
        <v>Middle Nurse</v>
      </c>
      <c r="W2785" t="str">
        <f t="shared" si="233"/>
        <v>Nurse</v>
      </c>
    </row>
    <row r="2786" spans="1:23" x14ac:dyDescent="0.25">
      <c r="A2786">
        <v>32361</v>
      </c>
      <c r="B2786" t="s">
        <v>1302</v>
      </c>
      <c r="C2786">
        <v>1</v>
      </c>
      <c r="D2786" t="s">
        <v>1264</v>
      </c>
      <c r="E2786">
        <v>100070</v>
      </c>
      <c r="F2786">
        <v>32361</v>
      </c>
      <c r="G2786" t="str">
        <f t="shared" si="231"/>
        <v>32361</v>
      </c>
      <c r="H2786" t="s">
        <v>531</v>
      </c>
      <c r="I2786" t="s">
        <v>1265</v>
      </c>
      <c r="J2786" t="s">
        <v>1276</v>
      </c>
      <c r="K2786" t="s">
        <v>1277</v>
      </c>
      <c r="L2786" t="s">
        <v>1302</v>
      </c>
      <c r="M2786" t="s">
        <v>1336</v>
      </c>
      <c r="N2786">
        <v>21</v>
      </c>
      <c r="O2786" t="str">
        <f t="shared" si="234"/>
        <v>48</v>
      </c>
      <c r="P2786">
        <v>48</v>
      </c>
      <c r="R2786" t="s">
        <v>1269</v>
      </c>
      <c r="S2786">
        <v>1</v>
      </c>
      <c r="T2786">
        <v>0.31380000000000002</v>
      </c>
      <c r="U2786">
        <f t="shared" si="235"/>
        <v>0.314</v>
      </c>
      <c r="V2786" t="str">
        <f t="shared" si="232"/>
        <v>Elementary Physical Therapist</v>
      </c>
      <c r="W2786" t="str">
        <f t="shared" si="233"/>
        <v>Physical Therapist</v>
      </c>
    </row>
    <row r="2787" spans="1:23" x14ac:dyDescent="0.25">
      <c r="A2787">
        <v>32362</v>
      </c>
      <c r="B2787" t="s">
        <v>1308</v>
      </c>
      <c r="C2787">
        <v>0.65600000000000003</v>
      </c>
      <c r="D2787" t="s">
        <v>1264</v>
      </c>
      <c r="E2787">
        <v>100130</v>
      </c>
      <c r="F2787">
        <v>32362</v>
      </c>
      <c r="G2787" t="str">
        <f t="shared" si="231"/>
        <v>32362</v>
      </c>
      <c r="H2787" t="s">
        <v>532</v>
      </c>
      <c r="I2787" t="s">
        <v>1265</v>
      </c>
      <c r="J2787" t="s">
        <v>1276</v>
      </c>
      <c r="K2787" t="s">
        <v>1277</v>
      </c>
      <c r="L2787" t="s">
        <v>1308</v>
      </c>
      <c r="M2787" t="s">
        <v>1389</v>
      </c>
      <c r="N2787">
        <v>1</v>
      </c>
      <c r="O2787" t="str">
        <f t="shared" si="234"/>
        <v>25</v>
      </c>
      <c r="Q2787">
        <v>25</v>
      </c>
      <c r="R2787" t="s">
        <v>1269</v>
      </c>
      <c r="S2787">
        <v>0.65600000000000003</v>
      </c>
      <c r="T2787">
        <v>0.27629999999999999</v>
      </c>
      <c r="U2787">
        <f t="shared" si="235"/>
        <v>0</v>
      </c>
      <c r="V2787" t="str">
        <f t="shared" si="232"/>
        <v>Elementary Pupil Management</v>
      </c>
      <c r="W2787" t="str">
        <f t="shared" si="233"/>
        <v>Pupil Management</v>
      </c>
    </row>
    <row r="2788" spans="1:23" x14ac:dyDescent="0.25">
      <c r="A2788">
        <v>32362</v>
      </c>
      <c r="B2788" t="s">
        <v>1299</v>
      </c>
      <c r="C2788">
        <v>0.19900000000000001</v>
      </c>
      <c r="D2788" t="s">
        <v>1264</v>
      </c>
      <c r="E2788">
        <v>100130</v>
      </c>
      <c r="F2788">
        <v>32362</v>
      </c>
      <c r="G2788" t="str">
        <f t="shared" si="231"/>
        <v>32362</v>
      </c>
      <c r="H2788" t="s">
        <v>532</v>
      </c>
      <c r="I2788" t="s">
        <v>1265</v>
      </c>
      <c r="J2788" t="s">
        <v>1271</v>
      </c>
      <c r="K2788" t="s">
        <v>1272</v>
      </c>
      <c r="L2788" t="s">
        <v>1299</v>
      </c>
      <c r="M2788" t="s">
        <v>1300</v>
      </c>
      <c r="N2788">
        <v>1</v>
      </c>
      <c r="O2788" t="str">
        <f t="shared" si="234"/>
        <v>25</v>
      </c>
      <c r="Q2788">
        <v>25</v>
      </c>
      <c r="R2788" t="s">
        <v>1269</v>
      </c>
      <c r="S2788">
        <v>0.19900000000000001</v>
      </c>
      <c r="T2788">
        <v>0.27629999999999999</v>
      </c>
      <c r="U2788">
        <f t="shared" si="235"/>
        <v>0</v>
      </c>
      <c r="V2788" t="str">
        <f t="shared" si="232"/>
        <v>High Pupil Management</v>
      </c>
      <c r="W2788" t="str">
        <f t="shared" si="233"/>
        <v>Pupil Management</v>
      </c>
    </row>
    <row r="2789" spans="1:23" x14ac:dyDescent="0.25">
      <c r="A2789">
        <v>32362</v>
      </c>
      <c r="B2789" t="s">
        <v>1363</v>
      </c>
      <c r="C2789">
        <v>0.311</v>
      </c>
      <c r="D2789" t="s">
        <v>1264</v>
      </c>
      <c r="E2789">
        <v>100130</v>
      </c>
      <c r="F2789">
        <v>32362</v>
      </c>
      <c r="G2789" t="str">
        <f t="shared" si="231"/>
        <v>32362</v>
      </c>
      <c r="H2789" t="s">
        <v>532</v>
      </c>
      <c r="I2789" t="s">
        <v>1265</v>
      </c>
      <c r="J2789" t="s">
        <v>1266</v>
      </c>
      <c r="K2789" t="s">
        <v>1267</v>
      </c>
      <c r="L2789" t="s">
        <v>1363</v>
      </c>
      <c r="M2789" t="s">
        <v>1386</v>
      </c>
      <c r="N2789">
        <v>1</v>
      </c>
      <c r="O2789" t="str">
        <f t="shared" si="234"/>
        <v>25</v>
      </c>
      <c r="Q2789">
        <v>25</v>
      </c>
      <c r="R2789" t="s">
        <v>1269</v>
      </c>
      <c r="S2789">
        <v>0.311</v>
      </c>
      <c r="T2789">
        <v>0.27629999999999999</v>
      </c>
      <c r="U2789">
        <f t="shared" si="235"/>
        <v>0</v>
      </c>
      <c r="V2789" t="str">
        <f t="shared" si="232"/>
        <v>Middle Pupil Management</v>
      </c>
      <c r="W2789" t="str">
        <f t="shared" si="233"/>
        <v>Pupil Management</v>
      </c>
    </row>
    <row r="2790" spans="1:23" x14ac:dyDescent="0.25">
      <c r="A2790">
        <v>32362</v>
      </c>
      <c r="B2790" t="s">
        <v>1275</v>
      </c>
      <c r="C2790">
        <v>0.9</v>
      </c>
      <c r="D2790" t="s">
        <v>1264</v>
      </c>
      <c r="E2790">
        <v>100130</v>
      </c>
      <c r="F2790">
        <v>32362</v>
      </c>
      <c r="G2790" t="str">
        <f t="shared" si="231"/>
        <v>32362</v>
      </c>
      <c r="H2790" t="s">
        <v>532</v>
      </c>
      <c r="I2790" t="s">
        <v>1265</v>
      </c>
      <c r="J2790" t="s">
        <v>1276</v>
      </c>
      <c r="K2790" t="s">
        <v>1277</v>
      </c>
      <c r="L2790" t="s">
        <v>1275</v>
      </c>
      <c r="M2790" t="s">
        <v>1278</v>
      </c>
      <c r="N2790">
        <v>1</v>
      </c>
      <c r="O2790" t="str">
        <f t="shared" si="234"/>
        <v>42</v>
      </c>
      <c r="P2790">
        <v>42</v>
      </c>
      <c r="R2790" t="s">
        <v>1269</v>
      </c>
      <c r="S2790">
        <v>0.9</v>
      </c>
      <c r="T2790">
        <v>0.27629999999999999</v>
      </c>
      <c r="U2790">
        <f t="shared" si="235"/>
        <v>0</v>
      </c>
      <c r="V2790" t="str">
        <f t="shared" si="232"/>
        <v>Elementary Counselor</v>
      </c>
      <c r="W2790" t="str">
        <f t="shared" si="233"/>
        <v>Counselor</v>
      </c>
    </row>
    <row r="2791" spans="1:23" x14ac:dyDescent="0.25">
      <c r="A2791">
        <v>32362</v>
      </c>
      <c r="B2791" t="s">
        <v>1270</v>
      </c>
      <c r="C2791">
        <v>1.167</v>
      </c>
      <c r="D2791" t="s">
        <v>1264</v>
      </c>
      <c r="E2791">
        <v>100130</v>
      </c>
      <c r="F2791">
        <v>32362</v>
      </c>
      <c r="G2791" t="str">
        <f t="shared" si="231"/>
        <v>32362</v>
      </c>
      <c r="H2791" t="s">
        <v>532</v>
      </c>
      <c r="I2791" t="s">
        <v>1265</v>
      </c>
      <c r="J2791" t="s">
        <v>1271</v>
      </c>
      <c r="K2791" t="s">
        <v>1272</v>
      </c>
      <c r="L2791" t="s">
        <v>1270</v>
      </c>
      <c r="M2791" t="s">
        <v>1273</v>
      </c>
      <c r="N2791">
        <v>1</v>
      </c>
      <c r="O2791" t="str">
        <f t="shared" si="234"/>
        <v>42</v>
      </c>
      <c r="P2791">
        <v>42</v>
      </c>
      <c r="R2791" t="s">
        <v>1269</v>
      </c>
      <c r="S2791">
        <v>1.167</v>
      </c>
      <c r="T2791">
        <v>0.27629999999999999</v>
      </c>
      <c r="U2791">
        <f t="shared" si="235"/>
        <v>0</v>
      </c>
      <c r="V2791" t="str">
        <f t="shared" si="232"/>
        <v>High Counselor</v>
      </c>
      <c r="W2791" t="str">
        <f t="shared" si="233"/>
        <v>Counselor</v>
      </c>
    </row>
    <row r="2792" spans="1:23" x14ac:dyDescent="0.25">
      <c r="A2792">
        <v>32362</v>
      </c>
      <c r="B2792" t="s">
        <v>1263</v>
      </c>
      <c r="C2792">
        <v>0.1</v>
      </c>
      <c r="D2792" t="s">
        <v>1264</v>
      </c>
      <c r="E2792">
        <v>100130</v>
      </c>
      <c r="F2792">
        <v>32362</v>
      </c>
      <c r="G2792" t="str">
        <f t="shared" si="231"/>
        <v>32362</v>
      </c>
      <c r="H2792" t="s">
        <v>532</v>
      </c>
      <c r="I2792" t="s">
        <v>1265</v>
      </c>
      <c r="J2792" t="s">
        <v>1266</v>
      </c>
      <c r="K2792" t="s">
        <v>1267</v>
      </c>
      <c r="L2792" t="s">
        <v>1263</v>
      </c>
      <c r="M2792" t="s">
        <v>1268</v>
      </c>
      <c r="N2792">
        <v>1</v>
      </c>
      <c r="O2792" t="str">
        <f t="shared" si="234"/>
        <v>42</v>
      </c>
      <c r="P2792">
        <v>42</v>
      </c>
      <c r="R2792" t="s">
        <v>1269</v>
      </c>
      <c r="S2792">
        <v>0.1</v>
      </c>
      <c r="T2792">
        <v>0.27629999999999999</v>
      </c>
      <c r="U2792">
        <f t="shared" si="235"/>
        <v>0</v>
      </c>
      <c r="V2792" t="str">
        <f t="shared" si="232"/>
        <v>Middle Counselor</v>
      </c>
      <c r="W2792" t="str">
        <f t="shared" si="233"/>
        <v>Counselor</v>
      </c>
    </row>
    <row r="2793" spans="1:23" x14ac:dyDescent="0.25">
      <c r="A2793">
        <v>32362</v>
      </c>
      <c r="B2793" t="s">
        <v>1309</v>
      </c>
      <c r="C2793">
        <v>0.6</v>
      </c>
      <c r="D2793" t="s">
        <v>1264</v>
      </c>
      <c r="E2793">
        <v>100130</v>
      </c>
      <c r="F2793">
        <v>32362</v>
      </c>
      <c r="G2793" t="str">
        <f t="shared" si="231"/>
        <v>32362</v>
      </c>
      <c r="H2793" t="s">
        <v>532</v>
      </c>
      <c r="I2793" t="s">
        <v>1265</v>
      </c>
      <c r="J2793" t="s">
        <v>1271</v>
      </c>
      <c r="K2793" t="s">
        <v>1272</v>
      </c>
      <c r="L2793" t="s">
        <v>1309</v>
      </c>
      <c r="M2793" t="s">
        <v>1310</v>
      </c>
      <c r="N2793">
        <v>21</v>
      </c>
      <c r="O2793" t="str">
        <f t="shared" si="234"/>
        <v>46</v>
      </c>
      <c r="P2793">
        <v>46</v>
      </c>
      <c r="R2793" t="s">
        <v>1269</v>
      </c>
      <c r="S2793">
        <v>0.6</v>
      </c>
      <c r="T2793">
        <v>0.27629999999999999</v>
      </c>
      <c r="U2793">
        <f t="shared" si="235"/>
        <v>0.16600000000000001</v>
      </c>
      <c r="V2793" t="str">
        <f t="shared" si="232"/>
        <v>High Psychologist</v>
      </c>
      <c r="W2793" t="str">
        <f t="shared" si="233"/>
        <v>Psychologist</v>
      </c>
    </row>
    <row r="2794" spans="1:23" x14ac:dyDescent="0.25">
      <c r="A2794">
        <v>32362</v>
      </c>
      <c r="B2794" t="s">
        <v>1345</v>
      </c>
      <c r="C2794">
        <v>0.42499999999999999</v>
      </c>
      <c r="D2794" t="s">
        <v>1264</v>
      </c>
      <c r="E2794">
        <v>100130</v>
      </c>
      <c r="F2794">
        <v>32362</v>
      </c>
      <c r="G2794" t="str">
        <f t="shared" si="231"/>
        <v>32362</v>
      </c>
      <c r="H2794" t="s">
        <v>532</v>
      </c>
      <c r="I2794" t="s">
        <v>1265</v>
      </c>
      <c r="J2794" t="s">
        <v>1266</v>
      </c>
      <c r="K2794" t="s">
        <v>1267</v>
      </c>
      <c r="L2794" t="s">
        <v>1345</v>
      </c>
      <c r="M2794" t="s">
        <v>1346</v>
      </c>
      <c r="N2794">
        <v>21</v>
      </c>
      <c r="O2794" t="str">
        <f t="shared" si="234"/>
        <v>46</v>
      </c>
      <c r="P2794">
        <v>46</v>
      </c>
      <c r="R2794" t="s">
        <v>1269</v>
      </c>
      <c r="S2794">
        <v>0.42499999999999999</v>
      </c>
      <c r="T2794">
        <v>0.27629999999999999</v>
      </c>
      <c r="U2794">
        <f t="shared" si="235"/>
        <v>0.11700000000000001</v>
      </c>
      <c r="V2794" t="str">
        <f t="shared" si="232"/>
        <v>Middle Psychologist</v>
      </c>
      <c r="W2794" t="str">
        <f t="shared" si="233"/>
        <v>Psychologist</v>
      </c>
    </row>
    <row r="2795" spans="1:23" x14ac:dyDescent="0.25">
      <c r="A2795">
        <v>32362</v>
      </c>
      <c r="B2795" t="s">
        <v>1335</v>
      </c>
      <c r="C2795">
        <v>0.48099999999999998</v>
      </c>
      <c r="D2795" t="s">
        <v>1264</v>
      </c>
      <c r="E2795">
        <v>100130</v>
      </c>
      <c r="F2795">
        <v>32362</v>
      </c>
      <c r="G2795" t="str">
        <f t="shared" si="231"/>
        <v>32362</v>
      </c>
      <c r="H2795" t="s">
        <v>532</v>
      </c>
      <c r="I2795" t="s">
        <v>1265</v>
      </c>
      <c r="J2795" t="s">
        <v>1276</v>
      </c>
      <c r="K2795" t="s">
        <v>1277</v>
      </c>
      <c r="L2795" t="s">
        <v>1335</v>
      </c>
      <c r="M2795" t="s">
        <v>1344</v>
      </c>
      <c r="N2795">
        <v>1</v>
      </c>
      <c r="O2795" t="str">
        <f t="shared" si="234"/>
        <v>47</v>
      </c>
      <c r="P2795">
        <v>47</v>
      </c>
      <c r="R2795" t="s">
        <v>1269</v>
      </c>
      <c r="S2795">
        <v>0.48099999999999998</v>
      </c>
      <c r="T2795">
        <v>0.27629999999999999</v>
      </c>
      <c r="U2795">
        <f t="shared" si="235"/>
        <v>0</v>
      </c>
      <c r="V2795" t="str">
        <f t="shared" si="232"/>
        <v>Elementary Nurse</v>
      </c>
      <c r="W2795" t="str">
        <f t="shared" si="233"/>
        <v>Nurse</v>
      </c>
    </row>
    <row r="2796" spans="1:23" x14ac:dyDescent="0.25">
      <c r="A2796">
        <v>32362</v>
      </c>
      <c r="B2796" t="s">
        <v>1341</v>
      </c>
      <c r="C2796">
        <v>0.31</v>
      </c>
      <c r="D2796" t="s">
        <v>1264</v>
      </c>
      <c r="E2796">
        <v>100130</v>
      </c>
      <c r="F2796">
        <v>32362</v>
      </c>
      <c r="G2796" t="str">
        <f t="shared" si="231"/>
        <v>32362</v>
      </c>
      <c r="H2796" t="s">
        <v>532</v>
      </c>
      <c r="I2796" t="s">
        <v>1265</v>
      </c>
      <c r="J2796" t="s">
        <v>1271</v>
      </c>
      <c r="K2796" t="s">
        <v>1272</v>
      </c>
      <c r="L2796" t="s">
        <v>1341</v>
      </c>
      <c r="M2796" t="s">
        <v>1342</v>
      </c>
      <c r="N2796">
        <v>1</v>
      </c>
      <c r="O2796" t="str">
        <f t="shared" si="234"/>
        <v>47</v>
      </c>
      <c r="P2796">
        <v>47</v>
      </c>
      <c r="R2796" t="s">
        <v>1269</v>
      </c>
      <c r="S2796">
        <v>0.31</v>
      </c>
      <c r="T2796">
        <v>0.27629999999999999</v>
      </c>
      <c r="U2796">
        <f t="shared" si="235"/>
        <v>0</v>
      </c>
      <c r="V2796" t="str">
        <f t="shared" si="232"/>
        <v>High Nurse</v>
      </c>
      <c r="W2796" t="str">
        <f t="shared" si="233"/>
        <v>Nurse</v>
      </c>
    </row>
    <row r="2797" spans="1:23" x14ac:dyDescent="0.25">
      <c r="A2797">
        <v>32362</v>
      </c>
      <c r="B2797" t="s">
        <v>1338</v>
      </c>
      <c r="C2797">
        <v>0.13700000000000001</v>
      </c>
      <c r="D2797" t="s">
        <v>1264</v>
      </c>
      <c r="E2797">
        <v>100130</v>
      </c>
      <c r="F2797">
        <v>32362</v>
      </c>
      <c r="G2797" t="str">
        <f t="shared" si="231"/>
        <v>32362</v>
      </c>
      <c r="H2797" t="s">
        <v>532</v>
      </c>
      <c r="I2797" t="s">
        <v>1265</v>
      </c>
      <c r="J2797" t="s">
        <v>1266</v>
      </c>
      <c r="K2797" t="s">
        <v>1267</v>
      </c>
      <c r="L2797" t="s">
        <v>1338</v>
      </c>
      <c r="M2797" t="s">
        <v>1339</v>
      </c>
      <c r="N2797">
        <v>1</v>
      </c>
      <c r="O2797" t="str">
        <f t="shared" si="234"/>
        <v>47</v>
      </c>
      <c r="P2797">
        <v>47</v>
      </c>
      <c r="R2797" t="s">
        <v>1269</v>
      </c>
      <c r="S2797">
        <v>0.13700000000000001</v>
      </c>
      <c r="T2797">
        <v>0.27629999999999999</v>
      </c>
      <c r="U2797">
        <f t="shared" si="235"/>
        <v>0</v>
      </c>
      <c r="V2797" t="str">
        <f t="shared" si="232"/>
        <v>Middle Nurse</v>
      </c>
      <c r="W2797" t="str">
        <f t="shared" si="233"/>
        <v>Nurse</v>
      </c>
    </row>
    <row r="2798" spans="1:23" x14ac:dyDescent="0.25">
      <c r="A2798" t="s">
        <v>236</v>
      </c>
      <c r="B2798" t="s">
        <v>1469</v>
      </c>
      <c r="C2798">
        <v>7.1999999999999995E-2</v>
      </c>
      <c r="F2798" t="s">
        <v>236</v>
      </c>
      <c r="G2798" t="str">
        <f t="shared" si="231"/>
        <v>32362</v>
      </c>
      <c r="H2798" t="s">
        <v>532</v>
      </c>
      <c r="I2798" t="s">
        <v>1265</v>
      </c>
      <c r="J2798" t="s">
        <v>1641</v>
      </c>
      <c r="K2798" t="s">
        <v>1277</v>
      </c>
      <c r="L2798" t="s">
        <v>1469</v>
      </c>
      <c r="M2798" t="s">
        <v>1640</v>
      </c>
      <c r="N2798">
        <v>9</v>
      </c>
      <c r="O2798" t="str">
        <f t="shared" si="234"/>
        <v>47</v>
      </c>
      <c r="P2798">
        <v>47</v>
      </c>
      <c r="Q2798">
        <v>26</v>
      </c>
      <c r="S2798">
        <v>7.1999999999999995E-2</v>
      </c>
      <c r="T2798">
        <v>0.27629999999999999</v>
      </c>
      <c r="U2798">
        <f t="shared" si="235"/>
        <v>0</v>
      </c>
      <c r="V2798" t="str">
        <f t="shared" si="232"/>
        <v>TK Nurse</v>
      </c>
      <c r="W2798" t="str">
        <f t="shared" si="233"/>
        <v>Nurse</v>
      </c>
    </row>
    <row r="2799" spans="1:23" x14ac:dyDescent="0.25">
      <c r="A2799">
        <v>32363</v>
      </c>
      <c r="B2799" t="s">
        <v>1299</v>
      </c>
      <c r="C2799">
        <v>9.4E-2</v>
      </c>
      <c r="D2799" t="s">
        <v>1264</v>
      </c>
      <c r="E2799">
        <v>100291</v>
      </c>
      <c r="F2799">
        <v>32363</v>
      </c>
      <c r="G2799" t="str">
        <f t="shared" si="231"/>
        <v>32363</v>
      </c>
      <c r="H2799" t="s">
        <v>533</v>
      </c>
      <c r="I2799" t="s">
        <v>1265</v>
      </c>
      <c r="J2799" t="s">
        <v>1271</v>
      </c>
      <c r="K2799" t="s">
        <v>1272</v>
      </c>
      <c r="L2799" t="s">
        <v>1299</v>
      </c>
      <c r="M2799" t="s">
        <v>1300</v>
      </c>
      <c r="N2799">
        <v>1</v>
      </c>
      <c r="O2799" t="str">
        <f t="shared" si="234"/>
        <v>25</v>
      </c>
      <c r="Q2799">
        <v>25</v>
      </c>
      <c r="R2799" t="s">
        <v>1269</v>
      </c>
      <c r="S2799">
        <v>9.4E-2</v>
      </c>
      <c r="T2799">
        <v>0.2019</v>
      </c>
      <c r="U2799">
        <f t="shared" si="235"/>
        <v>0</v>
      </c>
      <c r="V2799" t="str">
        <f t="shared" si="232"/>
        <v>High Pupil Management</v>
      </c>
      <c r="W2799" t="str">
        <f t="shared" si="233"/>
        <v>Pupil Management</v>
      </c>
    </row>
    <row r="2800" spans="1:23" x14ac:dyDescent="0.25">
      <c r="A2800">
        <v>32363</v>
      </c>
      <c r="B2800" t="s">
        <v>1324</v>
      </c>
      <c r="C2800">
        <v>0.78900000000000003</v>
      </c>
      <c r="D2800" t="s">
        <v>1264</v>
      </c>
      <c r="E2800">
        <v>100291</v>
      </c>
      <c r="F2800">
        <v>32363</v>
      </c>
      <c r="G2800" t="str">
        <f t="shared" si="231"/>
        <v>32363</v>
      </c>
      <c r="H2800" t="s">
        <v>533</v>
      </c>
      <c r="I2800" t="s">
        <v>1265</v>
      </c>
      <c r="J2800" t="s">
        <v>1271</v>
      </c>
      <c r="K2800" t="s">
        <v>1272</v>
      </c>
      <c r="L2800" t="s">
        <v>1324</v>
      </c>
      <c r="M2800" t="s">
        <v>1325</v>
      </c>
      <c r="N2800">
        <v>21</v>
      </c>
      <c r="O2800" t="str">
        <f t="shared" si="234"/>
        <v>26</v>
      </c>
      <c r="Q2800">
        <v>26</v>
      </c>
      <c r="R2800" t="s">
        <v>1269</v>
      </c>
      <c r="S2800">
        <v>0.78900000000000003</v>
      </c>
      <c r="T2800">
        <v>0.2019</v>
      </c>
      <c r="U2800">
        <f t="shared" si="235"/>
        <v>0.159</v>
      </c>
      <c r="V2800" t="str">
        <f t="shared" si="232"/>
        <v>High Health/
Related Services</v>
      </c>
      <c r="W2800" t="str">
        <f t="shared" si="233"/>
        <v>Health/
Related Services</v>
      </c>
    </row>
    <row r="2801" spans="1:23" x14ac:dyDescent="0.25">
      <c r="A2801">
        <v>32363</v>
      </c>
      <c r="B2801" t="s">
        <v>1295</v>
      </c>
      <c r="C2801">
        <v>1.6319999999999999</v>
      </c>
      <c r="D2801" t="s">
        <v>1264</v>
      </c>
      <c r="E2801">
        <v>100291</v>
      </c>
      <c r="F2801">
        <v>32363</v>
      </c>
      <c r="G2801" t="str">
        <f t="shared" si="231"/>
        <v>32363</v>
      </c>
      <c r="H2801" t="s">
        <v>533</v>
      </c>
      <c r="I2801" t="s">
        <v>1265</v>
      </c>
      <c r="J2801" t="s">
        <v>1271</v>
      </c>
      <c r="K2801" t="s">
        <v>1272</v>
      </c>
      <c r="L2801" t="s">
        <v>1295</v>
      </c>
      <c r="M2801" t="s">
        <v>1296</v>
      </c>
      <c r="N2801">
        <v>1</v>
      </c>
      <c r="O2801" t="str">
        <f t="shared" si="234"/>
        <v>26</v>
      </c>
      <c r="Q2801">
        <v>26</v>
      </c>
      <c r="R2801" t="s">
        <v>1269</v>
      </c>
      <c r="S2801">
        <v>1.6319999999999999</v>
      </c>
      <c r="T2801">
        <v>0.2019</v>
      </c>
      <c r="U2801">
        <f t="shared" si="235"/>
        <v>0</v>
      </c>
      <c r="V2801" t="str">
        <f t="shared" si="232"/>
        <v>High Health/
Related Services</v>
      </c>
      <c r="W2801" t="str">
        <f t="shared" si="233"/>
        <v>Health/
Related Services</v>
      </c>
    </row>
    <row r="2802" spans="1:23" x14ac:dyDescent="0.25">
      <c r="A2802">
        <v>32363</v>
      </c>
      <c r="B2802" t="s">
        <v>1401</v>
      </c>
      <c r="C2802">
        <v>1.538</v>
      </c>
      <c r="D2802" t="s">
        <v>1264</v>
      </c>
      <c r="E2802">
        <v>100291</v>
      </c>
      <c r="F2802">
        <v>32363</v>
      </c>
      <c r="G2802" t="str">
        <f t="shared" si="231"/>
        <v>32363</v>
      </c>
      <c r="H2802" t="s">
        <v>533</v>
      </c>
      <c r="I2802" t="s">
        <v>1265</v>
      </c>
      <c r="J2802" t="s">
        <v>1271</v>
      </c>
      <c r="K2802" t="s">
        <v>1272</v>
      </c>
      <c r="L2802" t="s">
        <v>1401</v>
      </c>
      <c r="M2802" t="s">
        <v>1422</v>
      </c>
      <c r="N2802">
        <v>1</v>
      </c>
      <c r="O2802" t="str">
        <f t="shared" si="234"/>
        <v>35</v>
      </c>
      <c r="Q2802">
        <v>35</v>
      </c>
      <c r="R2802" t="s">
        <v>1269</v>
      </c>
      <c r="S2802">
        <v>1.538</v>
      </c>
      <c r="T2802">
        <v>0.2019</v>
      </c>
      <c r="U2802">
        <f t="shared" si="235"/>
        <v>0</v>
      </c>
      <c r="V2802" t="str">
        <f t="shared" si="232"/>
        <v>High Pupil Safety</v>
      </c>
      <c r="W2802" t="str">
        <f t="shared" si="233"/>
        <v>Pupil Safety</v>
      </c>
    </row>
    <row r="2803" spans="1:23" x14ac:dyDescent="0.25">
      <c r="A2803">
        <v>32363</v>
      </c>
      <c r="B2803" t="s">
        <v>1275</v>
      </c>
      <c r="C2803">
        <v>2.68</v>
      </c>
      <c r="D2803" t="s">
        <v>1264</v>
      </c>
      <c r="E2803">
        <v>100291</v>
      </c>
      <c r="F2803">
        <v>32363</v>
      </c>
      <c r="G2803" t="str">
        <f t="shared" si="231"/>
        <v>32363</v>
      </c>
      <c r="H2803" t="s">
        <v>533</v>
      </c>
      <c r="I2803" t="s">
        <v>1265</v>
      </c>
      <c r="J2803" t="s">
        <v>1276</v>
      </c>
      <c r="K2803" t="s">
        <v>1277</v>
      </c>
      <c r="L2803" t="s">
        <v>1275</v>
      </c>
      <c r="M2803" t="s">
        <v>1278</v>
      </c>
      <c r="N2803">
        <v>1</v>
      </c>
      <c r="O2803" t="str">
        <f t="shared" si="234"/>
        <v>42</v>
      </c>
      <c r="P2803">
        <v>42</v>
      </c>
      <c r="R2803" t="s">
        <v>1269</v>
      </c>
      <c r="S2803">
        <v>2.68</v>
      </c>
      <c r="T2803">
        <v>0.2019</v>
      </c>
      <c r="U2803">
        <f t="shared" si="235"/>
        <v>0</v>
      </c>
      <c r="V2803" t="str">
        <f t="shared" si="232"/>
        <v>Elementary Counselor</v>
      </c>
      <c r="W2803" t="str">
        <f t="shared" si="233"/>
        <v>Counselor</v>
      </c>
    </row>
    <row r="2804" spans="1:23" x14ac:dyDescent="0.25">
      <c r="A2804">
        <v>32363</v>
      </c>
      <c r="B2804" t="s">
        <v>1270</v>
      </c>
      <c r="C2804">
        <v>3.1</v>
      </c>
      <c r="D2804" t="s">
        <v>1264</v>
      </c>
      <c r="E2804">
        <v>100291</v>
      </c>
      <c r="F2804">
        <v>32363</v>
      </c>
      <c r="G2804" t="str">
        <f t="shared" si="231"/>
        <v>32363</v>
      </c>
      <c r="H2804" t="s">
        <v>533</v>
      </c>
      <c r="I2804" t="s">
        <v>1265</v>
      </c>
      <c r="J2804" t="s">
        <v>1271</v>
      </c>
      <c r="K2804" t="s">
        <v>1272</v>
      </c>
      <c r="L2804" t="s">
        <v>1270</v>
      </c>
      <c r="M2804" t="s">
        <v>1273</v>
      </c>
      <c r="N2804">
        <v>1</v>
      </c>
      <c r="O2804" t="str">
        <f t="shared" si="234"/>
        <v>42</v>
      </c>
      <c r="P2804">
        <v>42</v>
      </c>
      <c r="R2804" t="s">
        <v>1269</v>
      </c>
      <c r="S2804">
        <v>3.1</v>
      </c>
      <c r="T2804">
        <v>0.2019</v>
      </c>
      <c r="U2804">
        <f t="shared" si="235"/>
        <v>0</v>
      </c>
      <c r="V2804" t="str">
        <f t="shared" si="232"/>
        <v>High Counselor</v>
      </c>
      <c r="W2804" t="str">
        <f t="shared" si="233"/>
        <v>Counselor</v>
      </c>
    </row>
    <row r="2805" spans="1:23" x14ac:dyDescent="0.25">
      <c r="A2805">
        <v>32363</v>
      </c>
      <c r="B2805" t="s">
        <v>1263</v>
      </c>
      <c r="C2805">
        <v>1.32</v>
      </c>
      <c r="D2805" t="s">
        <v>1264</v>
      </c>
      <c r="E2805">
        <v>100291</v>
      </c>
      <c r="F2805">
        <v>32363</v>
      </c>
      <c r="G2805" t="str">
        <f t="shared" si="231"/>
        <v>32363</v>
      </c>
      <c r="H2805" t="s">
        <v>533</v>
      </c>
      <c r="I2805" t="s">
        <v>1265</v>
      </c>
      <c r="J2805" t="s">
        <v>1266</v>
      </c>
      <c r="K2805" t="s">
        <v>1267</v>
      </c>
      <c r="L2805" t="s">
        <v>1263</v>
      </c>
      <c r="M2805" t="s">
        <v>1268</v>
      </c>
      <c r="N2805">
        <v>1</v>
      </c>
      <c r="O2805" t="str">
        <f t="shared" si="234"/>
        <v>42</v>
      </c>
      <c r="P2805">
        <v>42</v>
      </c>
      <c r="R2805" t="s">
        <v>1269</v>
      </c>
      <c r="S2805">
        <v>1.32</v>
      </c>
      <c r="T2805">
        <v>0.2019</v>
      </c>
      <c r="U2805">
        <f t="shared" si="235"/>
        <v>0</v>
      </c>
      <c r="V2805" t="str">
        <f t="shared" si="232"/>
        <v>Middle Counselor</v>
      </c>
      <c r="W2805" t="str">
        <f t="shared" si="233"/>
        <v>Counselor</v>
      </c>
    </row>
    <row r="2806" spans="1:23" x14ac:dyDescent="0.25">
      <c r="A2806">
        <v>32363</v>
      </c>
      <c r="B2806" t="s">
        <v>1289</v>
      </c>
      <c r="C2806">
        <v>1.2210000000000001</v>
      </c>
      <c r="D2806" t="s">
        <v>1264</v>
      </c>
      <c r="E2806">
        <v>100291</v>
      </c>
      <c r="F2806">
        <v>32363</v>
      </c>
      <c r="G2806" t="str">
        <f t="shared" si="231"/>
        <v>32363</v>
      </c>
      <c r="H2806" t="s">
        <v>533</v>
      </c>
      <c r="I2806" t="s">
        <v>1265</v>
      </c>
      <c r="J2806" t="s">
        <v>1276</v>
      </c>
      <c r="K2806" t="s">
        <v>1277</v>
      </c>
      <c r="L2806" t="s">
        <v>1289</v>
      </c>
      <c r="M2806" t="s">
        <v>1307</v>
      </c>
      <c r="N2806">
        <v>21</v>
      </c>
      <c r="O2806" t="str">
        <f t="shared" si="234"/>
        <v>43</v>
      </c>
      <c r="P2806">
        <v>43</v>
      </c>
      <c r="R2806" t="s">
        <v>1269</v>
      </c>
      <c r="S2806">
        <v>1.2210000000000001</v>
      </c>
      <c r="T2806">
        <v>0.2019</v>
      </c>
      <c r="U2806">
        <f t="shared" si="235"/>
        <v>0.247</v>
      </c>
      <c r="V2806" t="str">
        <f t="shared" si="232"/>
        <v>Elementary Occupational Therapist</v>
      </c>
      <c r="W2806" t="str">
        <f t="shared" si="233"/>
        <v>Occupational Therapist</v>
      </c>
    </row>
    <row r="2807" spans="1:23" x14ac:dyDescent="0.25">
      <c r="A2807">
        <v>32363</v>
      </c>
      <c r="B2807" t="s">
        <v>1387</v>
      </c>
      <c r="C2807">
        <v>0.1</v>
      </c>
      <c r="D2807" t="s">
        <v>1264</v>
      </c>
      <c r="E2807">
        <v>100291</v>
      </c>
      <c r="F2807">
        <v>32363</v>
      </c>
      <c r="G2807" t="str">
        <f t="shared" si="231"/>
        <v>32363</v>
      </c>
      <c r="H2807" t="s">
        <v>533</v>
      </c>
      <c r="I2807" t="s">
        <v>1265</v>
      </c>
      <c r="J2807" t="s">
        <v>1271</v>
      </c>
      <c r="K2807" t="s">
        <v>1272</v>
      </c>
      <c r="L2807" t="s">
        <v>1387</v>
      </c>
      <c r="M2807" t="s">
        <v>1406</v>
      </c>
      <c r="N2807">
        <v>21</v>
      </c>
      <c r="O2807" t="str">
        <f t="shared" si="234"/>
        <v>43</v>
      </c>
      <c r="P2807">
        <v>43</v>
      </c>
      <c r="R2807" t="s">
        <v>1269</v>
      </c>
      <c r="S2807">
        <v>0.1</v>
      </c>
      <c r="T2807">
        <v>0.2019</v>
      </c>
      <c r="U2807">
        <f t="shared" si="235"/>
        <v>0.02</v>
      </c>
      <c r="V2807" t="str">
        <f t="shared" si="232"/>
        <v>High Occupational Therapist</v>
      </c>
      <c r="W2807" t="str">
        <f t="shared" si="233"/>
        <v>Occupational Therapist</v>
      </c>
    </row>
    <row r="2808" spans="1:23" x14ac:dyDescent="0.25">
      <c r="A2808">
        <v>32363</v>
      </c>
      <c r="B2808" t="s">
        <v>1303</v>
      </c>
      <c r="C2808">
        <v>0.14000000000000001</v>
      </c>
      <c r="D2808" t="s">
        <v>1264</v>
      </c>
      <c r="E2808">
        <v>100291</v>
      </c>
      <c r="F2808">
        <v>32363</v>
      </c>
      <c r="G2808" t="str">
        <f t="shared" si="231"/>
        <v>32363</v>
      </c>
      <c r="H2808" t="s">
        <v>533</v>
      </c>
      <c r="I2808" t="s">
        <v>1265</v>
      </c>
      <c r="J2808" t="s">
        <v>1266</v>
      </c>
      <c r="K2808" t="s">
        <v>1267</v>
      </c>
      <c r="L2808" t="s">
        <v>1303</v>
      </c>
      <c r="M2808" t="s">
        <v>1304</v>
      </c>
      <c r="N2808">
        <v>21</v>
      </c>
      <c r="O2808" t="str">
        <f t="shared" si="234"/>
        <v>43</v>
      </c>
      <c r="P2808">
        <v>43</v>
      </c>
      <c r="R2808" t="s">
        <v>1269</v>
      </c>
      <c r="S2808">
        <v>0.14000000000000001</v>
      </c>
      <c r="T2808">
        <v>0.2019</v>
      </c>
      <c r="U2808">
        <f t="shared" si="235"/>
        <v>2.8000000000000001E-2</v>
      </c>
      <c r="V2808" t="str">
        <f t="shared" si="232"/>
        <v>Middle Occupational Therapist</v>
      </c>
      <c r="W2808" t="str">
        <f t="shared" si="233"/>
        <v>Occupational Therapist</v>
      </c>
    </row>
    <row r="2809" spans="1:23" x14ac:dyDescent="0.25">
      <c r="A2809">
        <v>32363</v>
      </c>
      <c r="B2809" t="s">
        <v>1359</v>
      </c>
      <c r="C2809">
        <v>0.5</v>
      </c>
      <c r="D2809" t="s">
        <v>1264</v>
      </c>
      <c r="E2809">
        <v>100291</v>
      </c>
      <c r="F2809">
        <v>32363</v>
      </c>
      <c r="G2809" t="str">
        <f t="shared" si="231"/>
        <v>32363</v>
      </c>
      <c r="H2809" t="s">
        <v>533</v>
      </c>
      <c r="I2809" t="s">
        <v>1265</v>
      </c>
      <c r="J2809" t="s">
        <v>1271</v>
      </c>
      <c r="K2809" t="s">
        <v>1272</v>
      </c>
      <c r="L2809" t="s">
        <v>1359</v>
      </c>
      <c r="M2809" t="s">
        <v>1360</v>
      </c>
      <c r="N2809">
        <v>1</v>
      </c>
      <c r="O2809" t="str">
        <f t="shared" si="234"/>
        <v>44</v>
      </c>
      <c r="P2809">
        <v>44</v>
      </c>
      <c r="R2809" t="s">
        <v>1269</v>
      </c>
      <c r="S2809">
        <v>0.5</v>
      </c>
      <c r="T2809">
        <v>0.2019</v>
      </c>
      <c r="U2809">
        <f t="shared" si="235"/>
        <v>0</v>
      </c>
      <c r="V2809" t="str">
        <f t="shared" si="232"/>
        <v>High Social Worker</v>
      </c>
      <c r="W2809" t="str">
        <f t="shared" si="233"/>
        <v>Social Worker</v>
      </c>
    </row>
    <row r="2810" spans="1:23" x14ac:dyDescent="0.25">
      <c r="A2810">
        <v>32363</v>
      </c>
      <c r="B2810" t="s">
        <v>1294</v>
      </c>
      <c r="C2810">
        <v>2.5</v>
      </c>
      <c r="D2810" t="s">
        <v>1264</v>
      </c>
      <c r="E2810">
        <v>100291</v>
      </c>
      <c r="F2810">
        <v>32363</v>
      </c>
      <c r="G2810" t="str">
        <f t="shared" si="231"/>
        <v>32363</v>
      </c>
      <c r="H2810" t="s">
        <v>533</v>
      </c>
      <c r="I2810" t="s">
        <v>1265</v>
      </c>
      <c r="J2810" t="s">
        <v>1276</v>
      </c>
      <c r="K2810" t="s">
        <v>1277</v>
      </c>
      <c r="L2810" t="s">
        <v>1294</v>
      </c>
      <c r="M2810" t="s">
        <v>1354</v>
      </c>
      <c r="N2810">
        <v>21</v>
      </c>
      <c r="O2810" t="str">
        <f t="shared" si="234"/>
        <v>45</v>
      </c>
      <c r="P2810">
        <v>45</v>
      </c>
      <c r="R2810" t="s">
        <v>1269</v>
      </c>
      <c r="S2810">
        <v>2.5</v>
      </c>
      <c r="T2810">
        <v>0.2019</v>
      </c>
      <c r="U2810">
        <f t="shared" si="235"/>
        <v>0.505</v>
      </c>
      <c r="V2810" t="str">
        <f t="shared" si="232"/>
        <v>Elementary Speech, Language Pathway/
Audio</v>
      </c>
      <c r="W2810" t="str">
        <f t="shared" si="233"/>
        <v>Speech, Language Pathway/
Audio</v>
      </c>
    </row>
    <row r="2811" spans="1:23" x14ac:dyDescent="0.25">
      <c r="A2811">
        <v>32363</v>
      </c>
      <c r="B2811" t="s">
        <v>1326</v>
      </c>
      <c r="C2811">
        <v>0.1</v>
      </c>
      <c r="D2811" t="s">
        <v>1264</v>
      </c>
      <c r="E2811">
        <v>100291</v>
      </c>
      <c r="F2811">
        <v>32363</v>
      </c>
      <c r="G2811" t="str">
        <f t="shared" si="231"/>
        <v>32363</v>
      </c>
      <c r="H2811" t="s">
        <v>533</v>
      </c>
      <c r="I2811" t="s">
        <v>1265</v>
      </c>
      <c r="J2811" t="s">
        <v>1271</v>
      </c>
      <c r="K2811" t="s">
        <v>1272</v>
      </c>
      <c r="L2811" t="s">
        <v>1326</v>
      </c>
      <c r="M2811" t="s">
        <v>1353</v>
      </c>
      <c r="N2811">
        <v>21</v>
      </c>
      <c r="O2811" t="str">
        <f t="shared" si="234"/>
        <v>45</v>
      </c>
      <c r="P2811">
        <v>45</v>
      </c>
      <c r="R2811" t="s">
        <v>1269</v>
      </c>
      <c r="S2811">
        <v>0.1</v>
      </c>
      <c r="T2811">
        <v>0.2019</v>
      </c>
      <c r="U2811">
        <f t="shared" si="235"/>
        <v>0.02</v>
      </c>
      <c r="V2811" t="str">
        <f t="shared" si="232"/>
        <v>High Speech, Language Pathway/
Audio</v>
      </c>
      <c r="W2811" t="str">
        <f t="shared" si="233"/>
        <v>Speech, Language Pathway/
Audio</v>
      </c>
    </row>
    <row r="2812" spans="1:23" x14ac:dyDescent="0.25">
      <c r="A2812">
        <v>32363</v>
      </c>
      <c r="B2812" t="s">
        <v>1298</v>
      </c>
      <c r="C2812">
        <v>1.48</v>
      </c>
      <c r="D2812" t="s">
        <v>1264</v>
      </c>
      <c r="E2812">
        <v>100291</v>
      </c>
      <c r="F2812">
        <v>32363</v>
      </c>
      <c r="G2812" t="str">
        <f t="shared" si="231"/>
        <v>32363</v>
      </c>
      <c r="H2812" t="s">
        <v>533</v>
      </c>
      <c r="I2812" t="s">
        <v>1265</v>
      </c>
      <c r="J2812" t="s">
        <v>1276</v>
      </c>
      <c r="K2812" t="s">
        <v>1277</v>
      </c>
      <c r="L2812" t="s">
        <v>1298</v>
      </c>
      <c r="M2812" t="s">
        <v>1349</v>
      </c>
      <c r="N2812">
        <v>21</v>
      </c>
      <c r="O2812" t="str">
        <f t="shared" si="234"/>
        <v>46</v>
      </c>
      <c r="P2812">
        <v>46</v>
      </c>
      <c r="R2812" t="s">
        <v>1269</v>
      </c>
      <c r="S2812">
        <v>1.48</v>
      </c>
      <c r="T2812">
        <v>0.2019</v>
      </c>
      <c r="U2812">
        <f t="shared" si="235"/>
        <v>0.29899999999999999</v>
      </c>
      <c r="V2812" t="str">
        <f t="shared" si="232"/>
        <v>Elementary Psychologist</v>
      </c>
      <c r="W2812" t="str">
        <f t="shared" si="233"/>
        <v>Psychologist</v>
      </c>
    </row>
    <row r="2813" spans="1:23" x14ac:dyDescent="0.25">
      <c r="A2813">
        <v>32363</v>
      </c>
      <c r="B2813" t="s">
        <v>1309</v>
      </c>
      <c r="C2813">
        <v>1.8</v>
      </c>
      <c r="D2813" t="s">
        <v>1264</v>
      </c>
      <c r="E2813">
        <v>100291</v>
      </c>
      <c r="F2813">
        <v>32363</v>
      </c>
      <c r="G2813" t="str">
        <f t="shared" si="231"/>
        <v>32363</v>
      </c>
      <c r="H2813" t="s">
        <v>533</v>
      </c>
      <c r="I2813" t="s">
        <v>1265</v>
      </c>
      <c r="J2813" t="s">
        <v>1271</v>
      </c>
      <c r="K2813" t="s">
        <v>1272</v>
      </c>
      <c r="L2813" t="s">
        <v>1309</v>
      </c>
      <c r="M2813" t="s">
        <v>1310</v>
      </c>
      <c r="N2813">
        <v>21</v>
      </c>
      <c r="O2813" t="str">
        <f t="shared" si="234"/>
        <v>46</v>
      </c>
      <c r="P2813">
        <v>46</v>
      </c>
      <c r="R2813" t="s">
        <v>1269</v>
      </c>
      <c r="S2813">
        <v>1.8</v>
      </c>
      <c r="T2813">
        <v>0.2019</v>
      </c>
      <c r="U2813">
        <f t="shared" si="235"/>
        <v>0.36299999999999999</v>
      </c>
      <c r="V2813" t="str">
        <f t="shared" si="232"/>
        <v>High Psychologist</v>
      </c>
      <c r="W2813" t="str">
        <f t="shared" si="233"/>
        <v>Psychologist</v>
      </c>
    </row>
    <row r="2814" spans="1:23" x14ac:dyDescent="0.25">
      <c r="A2814">
        <v>32363</v>
      </c>
      <c r="B2814" t="s">
        <v>1345</v>
      </c>
      <c r="C2814">
        <v>1</v>
      </c>
      <c r="D2814" t="s">
        <v>1264</v>
      </c>
      <c r="E2814">
        <v>100291</v>
      </c>
      <c r="F2814">
        <v>32363</v>
      </c>
      <c r="G2814" t="str">
        <f t="shared" si="231"/>
        <v>32363</v>
      </c>
      <c r="H2814" t="s">
        <v>533</v>
      </c>
      <c r="I2814" t="s">
        <v>1265</v>
      </c>
      <c r="J2814" t="s">
        <v>1266</v>
      </c>
      <c r="K2814" t="s">
        <v>1267</v>
      </c>
      <c r="L2814" t="s">
        <v>1345</v>
      </c>
      <c r="M2814" t="s">
        <v>1346</v>
      </c>
      <c r="N2814">
        <v>21</v>
      </c>
      <c r="O2814" t="str">
        <f t="shared" si="234"/>
        <v>46</v>
      </c>
      <c r="P2814">
        <v>46</v>
      </c>
      <c r="R2814" t="s">
        <v>1269</v>
      </c>
      <c r="S2814">
        <v>1</v>
      </c>
      <c r="T2814">
        <v>0.2019</v>
      </c>
      <c r="U2814">
        <f t="shared" si="235"/>
        <v>0.20200000000000001</v>
      </c>
      <c r="V2814" t="str">
        <f t="shared" si="232"/>
        <v>Middle Psychologist</v>
      </c>
      <c r="W2814" t="str">
        <f t="shared" si="233"/>
        <v>Psychologist</v>
      </c>
    </row>
    <row r="2815" spans="1:23" x14ac:dyDescent="0.25">
      <c r="A2815">
        <v>32363</v>
      </c>
      <c r="B2815" t="s">
        <v>1334</v>
      </c>
      <c r="C2815">
        <v>0.23499999999999999</v>
      </c>
      <c r="D2815" t="s">
        <v>1264</v>
      </c>
      <c r="E2815">
        <v>100291</v>
      </c>
      <c r="F2815">
        <v>32363</v>
      </c>
      <c r="G2815" t="str">
        <f t="shared" si="231"/>
        <v>32363</v>
      </c>
      <c r="H2815" t="s">
        <v>533</v>
      </c>
      <c r="I2815" t="s">
        <v>1265</v>
      </c>
      <c r="J2815" t="s">
        <v>1276</v>
      </c>
      <c r="K2815" t="s">
        <v>1277</v>
      </c>
      <c r="L2815" t="s">
        <v>1334</v>
      </c>
      <c r="M2815" t="s">
        <v>1413</v>
      </c>
      <c r="N2815">
        <v>21</v>
      </c>
      <c r="O2815" t="str">
        <f t="shared" si="234"/>
        <v>47</v>
      </c>
      <c r="P2815">
        <v>47</v>
      </c>
      <c r="R2815" t="s">
        <v>1269</v>
      </c>
      <c r="S2815">
        <v>0.23499999999999999</v>
      </c>
      <c r="T2815">
        <v>0.2019</v>
      </c>
      <c r="U2815">
        <f t="shared" si="235"/>
        <v>4.7E-2</v>
      </c>
      <c r="V2815" t="str">
        <f t="shared" si="232"/>
        <v>Elementary Nurse</v>
      </c>
      <c r="W2815" t="str">
        <f t="shared" si="233"/>
        <v>Nurse</v>
      </c>
    </row>
    <row r="2816" spans="1:23" x14ac:dyDescent="0.25">
      <c r="A2816">
        <v>32363</v>
      </c>
      <c r="B2816" t="s">
        <v>1335</v>
      </c>
      <c r="C2816">
        <v>1.33</v>
      </c>
      <c r="D2816" t="s">
        <v>1264</v>
      </c>
      <c r="E2816">
        <v>100291</v>
      </c>
      <c r="F2816">
        <v>32363</v>
      </c>
      <c r="G2816" t="str">
        <f t="shared" si="231"/>
        <v>32363</v>
      </c>
      <c r="H2816" t="s">
        <v>533</v>
      </c>
      <c r="I2816" t="s">
        <v>1265</v>
      </c>
      <c r="J2816" t="s">
        <v>1276</v>
      </c>
      <c r="K2816" t="s">
        <v>1277</v>
      </c>
      <c r="L2816" t="s">
        <v>1335</v>
      </c>
      <c r="M2816" t="s">
        <v>1344</v>
      </c>
      <c r="N2816">
        <v>1</v>
      </c>
      <c r="O2816" t="str">
        <f t="shared" si="234"/>
        <v>47</v>
      </c>
      <c r="P2816">
        <v>47</v>
      </c>
      <c r="R2816" t="s">
        <v>1269</v>
      </c>
      <c r="S2816">
        <v>1.33</v>
      </c>
      <c r="T2816">
        <v>0.2019</v>
      </c>
      <c r="U2816">
        <f t="shared" si="235"/>
        <v>0</v>
      </c>
      <c r="V2816" t="str">
        <f t="shared" si="232"/>
        <v>Elementary Nurse</v>
      </c>
      <c r="W2816" t="str">
        <f t="shared" si="233"/>
        <v>Nurse</v>
      </c>
    </row>
    <row r="2817" spans="1:23" x14ac:dyDescent="0.25">
      <c r="A2817">
        <v>32363</v>
      </c>
      <c r="B2817" t="s">
        <v>1397</v>
      </c>
      <c r="C2817">
        <v>0.3</v>
      </c>
      <c r="D2817" t="s">
        <v>1264</v>
      </c>
      <c r="E2817">
        <v>100291</v>
      </c>
      <c r="F2817">
        <v>32363</v>
      </c>
      <c r="G2817" t="str">
        <f t="shared" si="231"/>
        <v>32363</v>
      </c>
      <c r="H2817" t="s">
        <v>533</v>
      </c>
      <c r="I2817" t="s">
        <v>1265</v>
      </c>
      <c r="J2817" t="s">
        <v>1271</v>
      </c>
      <c r="K2817" t="s">
        <v>1272</v>
      </c>
      <c r="L2817" t="s">
        <v>1397</v>
      </c>
      <c r="M2817" t="s">
        <v>1435</v>
      </c>
      <c r="N2817">
        <v>21</v>
      </c>
      <c r="O2817" t="str">
        <f t="shared" si="234"/>
        <v>47</v>
      </c>
      <c r="P2817">
        <v>47</v>
      </c>
      <c r="R2817" t="s">
        <v>1269</v>
      </c>
      <c r="S2817">
        <v>0.3</v>
      </c>
      <c r="T2817">
        <v>0.2019</v>
      </c>
      <c r="U2817">
        <f t="shared" si="235"/>
        <v>6.0999999999999999E-2</v>
      </c>
      <c r="V2817" t="str">
        <f t="shared" si="232"/>
        <v>High Nurse</v>
      </c>
      <c r="W2817" t="str">
        <f t="shared" si="233"/>
        <v>Nurse</v>
      </c>
    </row>
    <row r="2818" spans="1:23" x14ac:dyDescent="0.25">
      <c r="A2818">
        <v>32363</v>
      </c>
      <c r="B2818" t="s">
        <v>1341</v>
      </c>
      <c r="C2818">
        <v>1.7</v>
      </c>
      <c r="D2818" t="s">
        <v>1264</v>
      </c>
      <c r="E2818">
        <v>100291</v>
      </c>
      <c r="F2818">
        <v>32363</v>
      </c>
      <c r="G2818" t="str">
        <f t="shared" ref="G2818:G2881" si="236">TEXT(F2818,"00000")</f>
        <v>32363</v>
      </c>
      <c r="H2818" t="s">
        <v>533</v>
      </c>
      <c r="I2818" t="s">
        <v>1265</v>
      </c>
      <c r="J2818" t="s">
        <v>1271</v>
      </c>
      <c r="K2818" t="s">
        <v>1272</v>
      </c>
      <c r="L2818" t="s">
        <v>1341</v>
      </c>
      <c r="M2818" t="s">
        <v>1342</v>
      </c>
      <c r="N2818">
        <v>1</v>
      </c>
      <c r="O2818" t="str">
        <f t="shared" si="234"/>
        <v>47</v>
      </c>
      <c r="P2818">
        <v>47</v>
      </c>
      <c r="R2818" t="s">
        <v>1269</v>
      </c>
      <c r="S2818">
        <v>1.7</v>
      </c>
      <c r="T2818">
        <v>0.2019</v>
      </c>
      <c r="U2818">
        <f t="shared" si="235"/>
        <v>0</v>
      </c>
      <c r="V2818" t="str">
        <f t="shared" ref="V2818:V2881" si="237">_xlfn.XLOOKUP(L2818,$BV:$BV,$BT:$BT,,0)</f>
        <v>High Nurse</v>
      </c>
      <c r="W2818" t="str">
        <f t="shared" ref="W2818:W2881" si="238">_xlfn.TEXTAFTER(V2818," ")</f>
        <v>Nurse</v>
      </c>
    </row>
    <row r="2819" spans="1:23" x14ac:dyDescent="0.25">
      <c r="A2819">
        <v>32363</v>
      </c>
      <c r="B2819" t="s">
        <v>1302</v>
      </c>
      <c r="C2819">
        <v>0.39</v>
      </c>
      <c r="D2819" t="s">
        <v>1264</v>
      </c>
      <c r="E2819">
        <v>100291</v>
      </c>
      <c r="F2819">
        <v>32363</v>
      </c>
      <c r="G2819" t="str">
        <f t="shared" si="236"/>
        <v>32363</v>
      </c>
      <c r="H2819" t="s">
        <v>533</v>
      </c>
      <c r="I2819" t="s">
        <v>1265</v>
      </c>
      <c r="J2819" t="s">
        <v>1276</v>
      </c>
      <c r="K2819" t="s">
        <v>1277</v>
      </c>
      <c r="L2819" t="s">
        <v>1302</v>
      </c>
      <c r="M2819" t="s">
        <v>1336</v>
      </c>
      <c r="N2819">
        <v>21</v>
      </c>
      <c r="O2819" t="str">
        <f t="shared" ref="O2819:O2882" si="239">MID(L2819,3,2)</f>
        <v>48</v>
      </c>
      <c r="P2819">
        <v>48</v>
      </c>
      <c r="R2819" t="s">
        <v>1269</v>
      </c>
      <c r="S2819">
        <v>0.39</v>
      </c>
      <c r="T2819">
        <v>0.2019</v>
      </c>
      <c r="U2819">
        <f t="shared" ref="U2819:U2882" si="240">IF(N2819=21,ROUND(T2819*S2819,3),0)</f>
        <v>7.9000000000000001E-2</v>
      </c>
      <c r="V2819" t="str">
        <f t="shared" si="237"/>
        <v>Elementary Physical Therapist</v>
      </c>
      <c r="W2819" t="str">
        <f t="shared" si="238"/>
        <v>Physical Therapist</v>
      </c>
    </row>
    <row r="2820" spans="1:23" x14ac:dyDescent="0.25">
      <c r="A2820">
        <v>32363</v>
      </c>
      <c r="B2820" t="s">
        <v>1330</v>
      </c>
      <c r="C2820">
        <v>0.01</v>
      </c>
      <c r="D2820" t="s">
        <v>1264</v>
      </c>
      <c r="E2820">
        <v>100291</v>
      </c>
      <c r="F2820">
        <v>32363</v>
      </c>
      <c r="G2820" t="str">
        <f t="shared" si="236"/>
        <v>32363</v>
      </c>
      <c r="H2820" t="s">
        <v>533</v>
      </c>
      <c r="I2820" t="s">
        <v>1265</v>
      </c>
      <c r="J2820" t="s">
        <v>1271</v>
      </c>
      <c r="K2820" t="s">
        <v>1272</v>
      </c>
      <c r="L2820" t="s">
        <v>1330</v>
      </c>
      <c r="M2820" t="s">
        <v>1367</v>
      </c>
      <c r="N2820">
        <v>21</v>
      </c>
      <c r="O2820" t="str">
        <f t="shared" si="239"/>
        <v>48</v>
      </c>
      <c r="P2820">
        <v>48</v>
      </c>
      <c r="R2820" t="s">
        <v>1269</v>
      </c>
      <c r="S2820">
        <v>0.01</v>
      </c>
      <c r="T2820">
        <v>0.2019</v>
      </c>
      <c r="U2820">
        <f t="shared" si="240"/>
        <v>2E-3</v>
      </c>
      <c r="V2820" t="str">
        <f t="shared" si="237"/>
        <v>High Physical Therapist</v>
      </c>
      <c r="W2820" t="str">
        <f t="shared" si="238"/>
        <v>Physical Therapist</v>
      </c>
    </row>
    <row r="2821" spans="1:23" x14ac:dyDescent="0.25">
      <c r="A2821">
        <v>32363</v>
      </c>
      <c r="B2821" t="s">
        <v>1316</v>
      </c>
      <c r="C2821">
        <v>0.15</v>
      </c>
      <c r="D2821" t="s">
        <v>1264</v>
      </c>
      <c r="E2821">
        <v>100291</v>
      </c>
      <c r="F2821">
        <v>32363</v>
      </c>
      <c r="G2821" t="str">
        <f t="shared" si="236"/>
        <v>32363</v>
      </c>
      <c r="H2821" t="s">
        <v>533</v>
      </c>
      <c r="I2821" t="s">
        <v>1265</v>
      </c>
      <c r="J2821" t="s">
        <v>1266</v>
      </c>
      <c r="K2821" t="s">
        <v>1267</v>
      </c>
      <c r="L2821" t="s">
        <v>1316</v>
      </c>
      <c r="M2821" t="s">
        <v>1366</v>
      </c>
      <c r="N2821">
        <v>21</v>
      </c>
      <c r="O2821" t="str">
        <f t="shared" si="239"/>
        <v>48</v>
      </c>
      <c r="P2821">
        <v>48</v>
      </c>
      <c r="R2821" t="s">
        <v>1269</v>
      </c>
      <c r="S2821">
        <v>0.15</v>
      </c>
      <c r="T2821">
        <v>0.2019</v>
      </c>
      <c r="U2821">
        <f t="shared" si="240"/>
        <v>0.03</v>
      </c>
      <c r="V2821" t="str">
        <f t="shared" si="237"/>
        <v>Middle Physical Therapist</v>
      </c>
      <c r="W2821" t="str">
        <f t="shared" si="238"/>
        <v>Physical Therapist</v>
      </c>
    </row>
    <row r="2822" spans="1:23" x14ac:dyDescent="0.25">
      <c r="A2822">
        <v>32363</v>
      </c>
      <c r="B2822" t="s">
        <v>1340</v>
      </c>
      <c r="C2822">
        <v>5.3999999999999999E-2</v>
      </c>
      <c r="D2822" t="s">
        <v>1264</v>
      </c>
      <c r="E2822">
        <v>100291</v>
      </c>
      <c r="F2822">
        <v>32363</v>
      </c>
      <c r="G2822" t="str">
        <f t="shared" si="236"/>
        <v>32363</v>
      </c>
      <c r="H2822" t="s">
        <v>533</v>
      </c>
      <c r="I2822" t="s">
        <v>1265</v>
      </c>
      <c r="J2822" t="s">
        <v>1276</v>
      </c>
      <c r="K2822" t="s">
        <v>1277</v>
      </c>
      <c r="L2822" t="s">
        <v>1340</v>
      </c>
      <c r="M2822" t="s">
        <v>1395</v>
      </c>
      <c r="N2822">
        <v>21</v>
      </c>
      <c r="O2822" t="str">
        <f t="shared" si="239"/>
        <v>49</v>
      </c>
      <c r="P2822">
        <v>49</v>
      </c>
      <c r="R2822" t="s">
        <v>1269</v>
      </c>
      <c r="S2822">
        <v>5.3999999999999999E-2</v>
      </c>
      <c r="T2822">
        <v>0.2019</v>
      </c>
      <c r="U2822">
        <f t="shared" si="240"/>
        <v>1.0999999999999999E-2</v>
      </c>
      <c r="V2822" t="str">
        <f t="shared" si="237"/>
        <v>Elementary Behavior Analyst</v>
      </c>
      <c r="W2822" t="str">
        <f t="shared" si="238"/>
        <v>Behavior Analyst</v>
      </c>
    </row>
    <row r="2823" spans="1:23" x14ac:dyDescent="0.25">
      <c r="A2823">
        <v>32363</v>
      </c>
      <c r="B2823" t="s">
        <v>1343</v>
      </c>
      <c r="C2823">
        <v>0.47599999999999998</v>
      </c>
      <c r="D2823" t="s">
        <v>1264</v>
      </c>
      <c r="E2823">
        <v>100291</v>
      </c>
      <c r="F2823">
        <v>32363</v>
      </c>
      <c r="G2823" t="str">
        <f t="shared" si="236"/>
        <v>32363</v>
      </c>
      <c r="H2823" t="s">
        <v>533</v>
      </c>
      <c r="I2823" t="s">
        <v>1265</v>
      </c>
      <c r="J2823" t="s">
        <v>1276</v>
      </c>
      <c r="K2823" t="s">
        <v>1277</v>
      </c>
      <c r="L2823" t="s">
        <v>1343</v>
      </c>
      <c r="M2823" t="s">
        <v>1434</v>
      </c>
      <c r="N2823">
        <v>1</v>
      </c>
      <c r="O2823" t="str">
        <f t="shared" si="239"/>
        <v>49</v>
      </c>
      <c r="P2823">
        <v>49</v>
      </c>
      <c r="R2823" t="s">
        <v>1269</v>
      </c>
      <c r="S2823">
        <v>0.47599999999999998</v>
      </c>
      <c r="T2823">
        <v>0.2019</v>
      </c>
      <c r="U2823">
        <f t="shared" si="240"/>
        <v>0</v>
      </c>
      <c r="V2823" t="str">
        <f t="shared" si="237"/>
        <v>Elementary Behavior Analyst</v>
      </c>
      <c r="W2823" t="str">
        <f t="shared" si="238"/>
        <v>Behavior Analyst</v>
      </c>
    </row>
    <row r="2824" spans="1:23" x14ac:dyDescent="0.25">
      <c r="A2824">
        <v>32363</v>
      </c>
      <c r="B2824" t="s">
        <v>1392</v>
      </c>
      <c r="C2824">
        <v>1.4999999999999999E-2</v>
      </c>
      <c r="D2824" t="s">
        <v>1264</v>
      </c>
      <c r="E2824">
        <v>100291</v>
      </c>
      <c r="F2824">
        <v>32363</v>
      </c>
      <c r="G2824" t="str">
        <f t="shared" si="236"/>
        <v>32363</v>
      </c>
      <c r="H2824" t="s">
        <v>533</v>
      </c>
      <c r="I2824" t="s">
        <v>1265</v>
      </c>
      <c r="J2824" t="s">
        <v>1271</v>
      </c>
      <c r="K2824" t="s">
        <v>1272</v>
      </c>
      <c r="L2824" t="s">
        <v>1392</v>
      </c>
      <c r="M2824" t="s">
        <v>1393</v>
      </c>
      <c r="N2824">
        <v>21</v>
      </c>
      <c r="O2824" t="str">
        <f t="shared" si="239"/>
        <v>49</v>
      </c>
      <c r="P2824">
        <v>49</v>
      </c>
      <c r="R2824" t="s">
        <v>1269</v>
      </c>
      <c r="S2824">
        <v>1.4999999999999999E-2</v>
      </c>
      <c r="T2824">
        <v>0.2019</v>
      </c>
      <c r="U2824">
        <f t="shared" si="240"/>
        <v>3.0000000000000001E-3</v>
      </c>
      <c r="V2824" t="str">
        <f t="shared" si="237"/>
        <v>High Behavior Analyst</v>
      </c>
      <c r="W2824" t="str">
        <f t="shared" si="238"/>
        <v>Behavior Analyst</v>
      </c>
    </row>
    <row r="2825" spans="1:23" x14ac:dyDescent="0.25">
      <c r="A2825">
        <v>32363</v>
      </c>
      <c r="B2825" t="s">
        <v>1399</v>
      </c>
      <c r="C2825">
        <v>0.17</v>
      </c>
      <c r="D2825" t="s">
        <v>1264</v>
      </c>
      <c r="E2825">
        <v>100291</v>
      </c>
      <c r="F2825">
        <v>32363</v>
      </c>
      <c r="G2825" t="str">
        <f t="shared" si="236"/>
        <v>32363</v>
      </c>
      <c r="H2825" t="s">
        <v>533</v>
      </c>
      <c r="I2825" t="s">
        <v>1265</v>
      </c>
      <c r="J2825" t="s">
        <v>1271</v>
      </c>
      <c r="K2825" t="s">
        <v>1272</v>
      </c>
      <c r="L2825" t="s">
        <v>1399</v>
      </c>
      <c r="M2825" t="s">
        <v>1410</v>
      </c>
      <c r="N2825">
        <v>1</v>
      </c>
      <c r="O2825" t="str">
        <f t="shared" si="239"/>
        <v>49</v>
      </c>
      <c r="P2825">
        <v>49</v>
      </c>
      <c r="R2825" t="s">
        <v>1269</v>
      </c>
      <c r="S2825">
        <v>0.17</v>
      </c>
      <c r="T2825">
        <v>0.2019</v>
      </c>
      <c r="U2825">
        <f t="shared" si="240"/>
        <v>0</v>
      </c>
      <c r="V2825" t="str">
        <f t="shared" si="237"/>
        <v>High Behavior Analyst</v>
      </c>
      <c r="W2825" t="str">
        <f t="shared" si="238"/>
        <v>Behavior Analyst</v>
      </c>
    </row>
    <row r="2826" spans="1:23" x14ac:dyDescent="0.25">
      <c r="A2826">
        <v>32363</v>
      </c>
      <c r="B2826" t="s">
        <v>1374</v>
      </c>
      <c r="C2826">
        <v>2.1000000000000001E-2</v>
      </c>
      <c r="D2826" t="s">
        <v>1264</v>
      </c>
      <c r="E2826">
        <v>100291</v>
      </c>
      <c r="F2826">
        <v>32363</v>
      </c>
      <c r="G2826" t="str">
        <f t="shared" si="236"/>
        <v>32363</v>
      </c>
      <c r="H2826" t="s">
        <v>533</v>
      </c>
      <c r="I2826" t="s">
        <v>1265</v>
      </c>
      <c r="J2826" t="s">
        <v>1266</v>
      </c>
      <c r="K2826" t="s">
        <v>1267</v>
      </c>
      <c r="L2826" t="s">
        <v>1374</v>
      </c>
      <c r="M2826" t="s">
        <v>1391</v>
      </c>
      <c r="N2826">
        <v>21</v>
      </c>
      <c r="O2826" t="str">
        <f t="shared" si="239"/>
        <v>49</v>
      </c>
      <c r="P2826">
        <v>49</v>
      </c>
      <c r="R2826" t="s">
        <v>1269</v>
      </c>
      <c r="S2826">
        <v>2.1000000000000001E-2</v>
      </c>
      <c r="T2826">
        <v>0.2019</v>
      </c>
      <c r="U2826">
        <f t="shared" si="240"/>
        <v>4.0000000000000001E-3</v>
      </c>
      <c r="V2826" t="str">
        <f t="shared" si="237"/>
        <v>Middle Behavior Analyst</v>
      </c>
      <c r="W2826" t="str">
        <f t="shared" si="238"/>
        <v>Behavior Analyst</v>
      </c>
    </row>
    <row r="2827" spans="1:23" x14ac:dyDescent="0.25">
      <c r="A2827">
        <v>32363</v>
      </c>
      <c r="B2827" t="s">
        <v>1477</v>
      </c>
      <c r="C2827">
        <v>0.20399999999999999</v>
      </c>
      <c r="D2827" t="s">
        <v>1264</v>
      </c>
      <c r="E2827">
        <v>100291</v>
      </c>
      <c r="F2827">
        <v>32363</v>
      </c>
      <c r="G2827" t="str">
        <f t="shared" si="236"/>
        <v>32363</v>
      </c>
      <c r="H2827" t="s">
        <v>533</v>
      </c>
      <c r="I2827" t="s">
        <v>1265</v>
      </c>
      <c r="J2827" t="s">
        <v>1266</v>
      </c>
      <c r="K2827" t="s">
        <v>1267</v>
      </c>
      <c r="L2827" t="s">
        <v>1477</v>
      </c>
      <c r="M2827" t="s">
        <v>1613</v>
      </c>
      <c r="N2827">
        <v>1</v>
      </c>
      <c r="O2827" t="str">
        <f t="shared" si="239"/>
        <v>49</v>
      </c>
      <c r="P2827">
        <v>49</v>
      </c>
      <c r="R2827" t="s">
        <v>1269</v>
      </c>
      <c r="S2827">
        <v>0.20399999999999999</v>
      </c>
      <c r="T2827">
        <v>0.2019</v>
      </c>
      <c r="U2827">
        <f t="shared" si="240"/>
        <v>0</v>
      </c>
      <c r="V2827" t="str">
        <f t="shared" si="237"/>
        <v>Middle Behavior Analyst</v>
      </c>
      <c r="W2827" t="str">
        <f t="shared" si="238"/>
        <v>Behavior Analyst</v>
      </c>
    </row>
    <row r="2828" spans="1:23" x14ac:dyDescent="0.25">
      <c r="A2828">
        <v>32414</v>
      </c>
      <c r="B2828" t="s">
        <v>1383</v>
      </c>
      <c r="C2828">
        <v>1.1240000000000001</v>
      </c>
      <c r="D2828" t="s">
        <v>1264</v>
      </c>
      <c r="E2828">
        <v>100067</v>
      </c>
      <c r="F2828">
        <v>32414</v>
      </c>
      <c r="G2828" t="str">
        <f t="shared" si="236"/>
        <v>32414</v>
      </c>
      <c r="H2828" t="s">
        <v>534</v>
      </c>
      <c r="I2828" t="s">
        <v>1265</v>
      </c>
      <c r="J2828" t="s">
        <v>1271</v>
      </c>
      <c r="K2828" t="s">
        <v>1272</v>
      </c>
      <c r="L2828" t="s">
        <v>1383</v>
      </c>
      <c r="M2828" t="s">
        <v>1409</v>
      </c>
      <c r="N2828">
        <v>21</v>
      </c>
      <c r="O2828" t="str">
        <f t="shared" si="239"/>
        <v>25</v>
      </c>
      <c r="Q2828">
        <v>25</v>
      </c>
      <c r="R2828" t="s">
        <v>1269</v>
      </c>
      <c r="S2828">
        <v>1.1240000000000001</v>
      </c>
      <c r="T2828">
        <v>0.23830000000000001</v>
      </c>
      <c r="U2828">
        <f t="shared" si="240"/>
        <v>0.26800000000000002</v>
      </c>
      <c r="V2828" t="str">
        <f t="shared" si="237"/>
        <v>High Pupil Management</v>
      </c>
      <c r="W2828" t="str">
        <f t="shared" si="238"/>
        <v>Pupil Management</v>
      </c>
    </row>
    <row r="2829" spans="1:23" x14ac:dyDescent="0.25">
      <c r="A2829">
        <v>32414</v>
      </c>
      <c r="B2829" t="s">
        <v>1299</v>
      </c>
      <c r="C2829">
        <v>0.68100000000000005</v>
      </c>
      <c r="D2829" t="s">
        <v>1264</v>
      </c>
      <c r="E2829">
        <v>100067</v>
      </c>
      <c r="F2829">
        <v>32414</v>
      </c>
      <c r="G2829" t="str">
        <f t="shared" si="236"/>
        <v>32414</v>
      </c>
      <c r="H2829" t="s">
        <v>534</v>
      </c>
      <c r="I2829" t="s">
        <v>1265</v>
      </c>
      <c r="J2829" t="s">
        <v>1271</v>
      </c>
      <c r="K2829" t="s">
        <v>1272</v>
      </c>
      <c r="L2829" t="s">
        <v>1299</v>
      </c>
      <c r="M2829" t="s">
        <v>1300</v>
      </c>
      <c r="N2829">
        <v>1</v>
      </c>
      <c r="O2829" t="str">
        <f t="shared" si="239"/>
        <v>25</v>
      </c>
      <c r="Q2829">
        <v>25</v>
      </c>
      <c r="R2829" t="s">
        <v>1269</v>
      </c>
      <c r="S2829">
        <v>0.68100000000000005</v>
      </c>
      <c r="T2829">
        <v>0.23830000000000001</v>
      </c>
      <c r="U2829">
        <f t="shared" si="240"/>
        <v>0</v>
      </c>
      <c r="V2829" t="str">
        <f t="shared" si="237"/>
        <v>High Pupil Management</v>
      </c>
      <c r="W2829" t="str">
        <f t="shared" si="238"/>
        <v>Pupil Management</v>
      </c>
    </row>
    <row r="2830" spans="1:23" x14ac:dyDescent="0.25">
      <c r="A2830">
        <v>32414</v>
      </c>
      <c r="B2830" t="s">
        <v>1295</v>
      </c>
      <c r="C2830">
        <v>1.782</v>
      </c>
      <c r="D2830" t="s">
        <v>1264</v>
      </c>
      <c r="E2830">
        <v>100067</v>
      </c>
      <c r="F2830">
        <v>32414</v>
      </c>
      <c r="G2830" t="str">
        <f t="shared" si="236"/>
        <v>32414</v>
      </c>
      <c r="H2830" t="s">
        <v>534</v>
      </c>
      <c r="I2830" t="s">
        <v>1265</v>
      </c>
      <c r="J2830" t="s">
        <v>1271</v>
      </c>
      <c r="K2830" t="s">
        <v>1272</v>
      </c>
      <c r="L2830" t="s">
        <v>1295</v>
      </c>
      <c r="M2830" t="s">
        <v>1296</v>
      </c>
      <c r="N2830">
        <v>1</v>
      </c>
      <c r="O2830" t="str">
        <f t="shared" si="239"/>
        <v>26</v>
      </c>
      <c r="Q2830">
        <v>26</v>
      </c>
      <c r="R2830" t="s">
        <v>1269</v>
      </c>
      <c r="S2830">
        <v>1.782</v>
      </c>
      <c r="T2830">
        <v>0.23830000000000001</v>
      </c>
      <c r="U2830">
        <f t="shared" si="240"/>
        <v>0</v>
      </c>
      <c r="V2830" t="str">
        <f t="shared" si="237"/>
        <v>High Health/
Related Services</v>
      </c>
      <c r="W2830" t="str">
        <f t="shared" si="238"/>
        <v>Health/
Related Services</v>
      </c>
    </row>
    <row r="2831" spans="1:23" x14ac:dyDescent="0.25">
      <c r="A2831">
        <v>32414</v>
      </c>
      <c r="B2831" t="s">
        <v>1275</v>
      </c>
      <c r="C2831">
        <v>2</v>
      </c>
      <c r="D2831" t="s">
        <v>1264</v>
      </c>
      <c r="E2831">
        <v>100067</v>
      </c>
      <c r="F2831">
        <v>32414</v>
      </c>
      <c r="G2831" t="str">
        <f t="shared" si="236"/>
        <v>32414</v>
      </c>
      <c r="H2831" t="s">
        <v>534</v>
      </c>
      <c r="I2831" t="s">
        <v>1265</v>
      </c>
      <c r="J2831" t="s">
        <v>1276</v>
      </c>
      <c r="K2831" t="s">
        <v>1277</v>
      </c>
      <c r="L2831" t="s">
        <v>1275</v>
      </c>
      <c r="M2831" t="s">
        <v>1278</v>
      </c>
      <c r="N2831">
        <v>1</v>
      </c>
      <c r="O2831" t="str">
        <f t="shared" si="239"/>
        <v>42</v>
      </c>
      <c r="P2831">
        <v>42</v>
      </c>
      <c r="R2831" t="s">
        <v>1269</v>
      </c>
      <c r="S2831">
        <v>2</v>
      </c>
      <c r="T2831">
        <v>0.23830000000000001</v>
      </c>
      <c r="U2831">
        <f t="shared" si="240"/>
        <v>0</v>
      </c>
      <c r="V2831" t="str">
        <f t="shared" si="237"/>
        <v>Elementary Counselor</v>
      </c>
      <c r="W2831" t="str">
        <f t="shared" si="238"/>
        <v>Counselor</v>
      </c>
    </row>
    <row r="2832" spans="1:23" x14ac:dyDescent="0.25">
      <c r="A2832">
        <v>32414</v>
      </c>
      <c r="B2832" t="s">
        <v>1270</v>
      </c>
      <c r="C2832">
        <v>2</v>
      </c>
      <c r="D2832" t="s">
        <v>1264</v>
      </c>
      <c r="E2832">
        <v>100067</v>
      </c>
      <c r="F2832">
        <v>32414</v>
      </c>
      <c r="G2832" t="str">
        <f t="shared" si="236"/>
        <v>32414</v>
      </c>
      <c r="H2832" t="s">
        <v>534</v>
      </c>
      <c r="I2832" t="s">
        <v>1265</v>
      </c>
      <c r="J2832" t="s">
        <v>1271</v>
      </c>
      <c r="K2832" t="s">
        <v>1272</v>
      </c>
      <c r="L2832" t="s">
        <v>1270</v>
      </c>
      <c r="M2832" t="s">
        <v>1273</v>
      </c>
      <c r="N2832">
        <v>1</v>
      </c>
      <c r="O2832" t="str">
        <f t="shared" si="239"/>
        <v>42</v>
      </c>
      <c r="P2832">
        <v>42</v>
      </c>
      <c r="R2832" t="s">
        <v>1269</v>
      </c>
      <c r="S2832">
        <v>2</v>
      </c>
      <c r="T2832">
        <v>0.23830000000000001</v>
      </c>
      <c r="U2832">
        <f t="shared" si="240"/>
        <v>0</v>
      </c>
      <c r="V2832" t="str">
        <f t="shared" si="237"/>
        <v>High Counselor</v>
      </c>
      <c r="W2832" t="str">
        <f t="shared" si="238"/>
        <v>Counselor</v>
      </c>
    </row>
    <row r="2833" spans="1:23" x14ac:dyDescent="0.25">
      <c r="A2833">
        <v>32414</v>
      </c>
      <c r="B2833" t="s">
        <v>1263</v>
      </c>
      <c r="C2833">
        <v>1</v>
      </c>
      <c r="D2833" t="s">
        <v>1264</v>
      </c>
      <c r="E2833">
        <v>100067</v>
      </c>
      <c r="F2833">
        <v>32414</v>
      </c>
      <c r="G2833" t="str">
        <f t="shared" si="236"/>
        <v>32414</v>
      </c>
      <c r="H2833" t="s">
        <v>534</v>
      </c>
      <c r="I2833" t="s">
        <v>1265</v>
      </c>
      <c r="J2833" t="s">
        <v>1266</v>
      </c>
      <c r="K2833" t="s">
        <v>1267</v>
      </c>
      <c r="L2833" t="s">
        <v>1263</v>
      </c>
      <c r="M2833" t="s">
        <v>1268</v>
      </c>
      <c r="N2833">
        <v>1</v>
      </c>
      <c r="O2833" t="str">
        <f t="shared" si="239"/>
        <v>42</v>
      </c>
      <c r="P2833">
        <v>42</v>
      </c>
      <c r="R2833" t="s">
        <v>1269</v>
      </c>
      <c r="S2833">
        <v>1</v>
      </c>
      <c r="T2833">
        <v>0.23830000000000001</v>
      </c>
      <c r="U2833">
        <f t="shared" si="240"/>
        <v>0</v>
      </c>
      <c r="V2833" t="str">
        <f t="shared" si="237"/>
        <v>Middle Counselor</v>
      </c>
      <c r="W2833" t="str">
        <f t="shared" si="238"/>
        <v>Counselor</v>
      </c>
    </row>
    <row r="2834" spans="1:23" x14ac:dyDescent="0.25">
      <c r="A2834">
        <v>32414</v>
      </c>
      <c r="B2834" t="s">
        <v>1289</v>
      </c>
      <c r="C2834">
        <v>0.8</v>
      </c>
      <c r="D2834" t="s">
        <v>1264</v>
      </c>
      <c r="E2834">
        <v>100067</v>
      </c>
      <c r="F2834">
        <v>32414</v>
      </c>
      <c r="G2834" t="str">
        <f t="shared" si="236"/>
        <v>32414</v>
      </c>
      <c r="H2834" t="s">
        <v>534</v>
      </c>
      <c r="I2834" t="s">
        <v>1265</v>
      </c>
      <c r="J2834" t="s">
        <v>1276</v>
      </c>
      <c r="K2834" t="s">
        <v>1277</v>
      </c>
      <c r="L2834" t="s">
        <v>1289</v>
      </c>
      <c r="M2834" t="s">
        <v>1307</v>
      </c>
      <c r="N2834">
        <v>21</v>
      </c>
      <c r="O2834" t="str">
        <f t="shared" si="239"/>
        <v>43</v>
      </c>
      <c r="P2834">
        <v>43</v>
      </c>
      <c r="R2834" t="s">
        <v>1269</v>
      </c>
      <c r="S2834">
        <v>0.8</v>
      </c>
      <c r="T2834">
        <v>0.23830000000000001</v>
      </c>
      <c r="U2834">
        <f t="shared" si="240"/>
        <v>0.191</v>
      </c>
      <c r="V2834" t="str">
        <f t="shared" si="237"/>
        <v>Elementary Occupational Therapist</v>
      </c>
      <c r="W2834" t="str">
        <f t="shared" si="238"/>
        <v>Occupational Therapist</v>
      </c>
    </row>
    <row r="2835" spans="1:23" x14ac:dyDescent="0.25">
      <c r="A2835">
        <v>32414</v>
      </c>
      <c r="B2835" t="s">
        <v>1303</v>
      </c>
      <c r="C2835">
        <v>0.05</v>
      </c>
      <c r="D2835" t="s">
        <v>1264</v>
      </c>
      <c r="E2835">
        <v>100067</v>
      </c>
      <c r="F2835">
        <v>32414</v>
      </c>
      <c r="G2835" t="str">
        <f t="shared" si="236"/>
        <v>32414</v>
      </c>
      <c r="H2835" t="s">
        <v>534</v>
      </c>
      <c r="I2835" t="s">
        <v>1265</v>
      </c>
      <c r="J2835" t="s">
        <v>1266</v>
      </c>
      <c r="K2835" t="s">
        <v>1267</v>
      </c>
      <c r="L2835" t="s">
        <v>1303</v>
      </c>
      <c r="M2835" t="s">
        <v>1304</v>
      </c>
      <c r="N2835">
        <v>21</v>
      </c>
      <c r="O2835" t="str">
        <f t="shared" si="239"/>
        <v>43</v>
      </c>
      <c r="P2835">
        <v>43</v>
      </c>
      <c r="R2835" t="s">
        <v>1269</v>
      </c>
      <c r="S2835">
        <v>0.05</v>
      </c>
      <c r="T2835">
        <v>0.23830000000000001</v>
      </c>
      <c r="U2835">
        <f t="shared" si="240"/>
        <v>1.2E-2</v>
      </c>
      <c r="V2835" t="str">
        <f t="shared" si="237"/>
        <v>Middle Occupational Therapist</v>
      </c>
      <c r="W2835" t="str">
        <f t="shared" si="238"/>
        <v>Occupational Therapist</v>
      </c>
    </row>
    <row r="2836" spans="1:23" x14ac:dyDescent="0.25">
      <c r="A2836">
        <v>32414</v>
      </c>
      <c r="B2836" t="s">
        <v>1294</v>
      </c>
      <c r="C2836">
        <v>2</v>
      </c>
      <c r="D2836" t="s">
        <v>1264</v>
      </c>
      <c r="E2836">
        <v>100067</v>
      </c>
      <c r="F2836">
        <v>32414</v>
      </c>
      <c r="G2836" t="str">
        <f t="shared" si="236"/>
        <v>32414</v>
      </c>
      <c r="H2836" t="s">
        <v>534</v>
      </c>
      <c r="I2836" t="s">
        <v>1265</v>
      </c>
      <c r="J2836" t="s">
        <v>1276</v>
      </c>
      <c r="K2836" t="s">
        <v>1277</v>
      </c>
      <c r="L2836" t="s">
        <v>1294</v>
      </c>
      <c r="M2836" t="s">
        <v>1354</v>
      </c>
      <c r="N2836">
        <v>21</v>
      </c>
      <c r="O2836" t="str">
        <f t="shared" si="239"/>
        <v>45</v>
      </c>
      <c r="P2836">
        <v>45</v>
      </c>
      <c r="R2836" t="s">
        <v>1269</v>
      </c>
      <c r="S2836">
        <v>2</v>
      </c>
      <c r="T2836">
        <v>0.23830000000000001</v>
      </c>
      <c r="U2836">
        <f t="shared" si="240"/>
        <v>0.47699999999999998</v>
      </c>
      <c r="V2836" t="str">
        <f t="shared" si="237"/>
        <v>Elementary Speech, Language Pathway/
Audio</v>
      </c>
      <c r="W2836" t="str">
        <f t="shared" si="238"/>
        <v>Speech, Language Pathway/
Audio</v>
      </c>
    </row>
    <row r="2837" spans="1:23" x14ac:dyDescent="0.25">
      <c r="A2837">
        <v>32414</v>
      </c>
      <c r="B2837" t="s">
        <v>1326</v>
      </c>
      <c r="C2837">
        <v>0.08</v>
      </c>
      <c r="D2837" t="s">
        <v>1264</v>
      </c>
      <c r="E2837">
        <v>100067</v>
      </c>
      <c r="F2837">
        <v>32414</v>
      </c>
      <c r="G2837" t="str">
        <f t="shared" si="236"/>
        <v>32414</v>
      </c>
      <c r="H2837" t="s">
        <v>534</v>
      </c>
      <c r="I2837" t="s">
        <v>1265</v>
      </c>
      <c r="J2837" t="s">
        <v>1271</v>
      </c>
      <c r="K2837" t="s">
        <v>1272</v>
      </c>
      <c r="L2837" t="s">
        <v>1326</v>
      </c>
      <c r="M2837" t="s">
        <v>1353</v>
      </c>
      <c r="N2837">
        <v>21</v>
      </c>
      <c r="O2837" t="str">
        <f t="shared" si="239"/>
        <v>45</v>
      </c>
      <c r="P2837">
        <v>45</v>
      </c>
      <c r="R2837" t="s">
        <v>1269</v>
      </c>
      <c r="S2837">
        <v>0.08</v>
      </c>
      <c r="T2837">
        <v>0.23830000000000001</v>
      </c>
      <c r="U2837">
        <f t="shared" si="240"/>
        <v>1.9E-2</v>
      </c>
      <c r="V2837" t="str">
        <f t="shared" si="237"/>
        <v>High Speech, Language Pathway/
Audio</v>
      </c>
      <c r="W2837" t="str">
        <f t="shared" si="238"/>
        <v>Speech, Language Pathway/
Audio</v>
      </c>
    </row>
    <row r="2838" spans="1:23" x14ac:dyDescent="0.25">
      <c r="A2838">
        <v>32414</v>
      </c>
      <c r="B2838" t="s">
        <v>1312</v>
      </c>
      <c r="C2838">
        <v>0.16</v>
      </c>
      <c r="D2838" t="s">
        <v>1264</v>
      </c>
      <c r="E2838">
        <v>100067</v>
      </c>
      <c r="F2838">
        <v>32414</v>
      </c>
      <c r="G2838" t="str">
        <f t="shared" si="236"/>
        <v>32414</v>
      </c>
      <c r="H2838" t="s">
        <v>534</v>
      </c>
      <c r="I2838" t="s">
        <v>1265</v>
      </c>
      <c r="J2838" t="s">
        <v>1266</v>
      </c>
      <c r="K2838" t="s">
        <v>1267</v>
      </c>
      <c r="L2838" t="s">
        <v>1312</v>
      </c>
      <c r="M2838" t="s">
        <v>1351</v>
      </c>
      <c r="N2838">
        <v>21</v>
      </c>
      <c r="O2838" t="str">
        <f t="shared" si="239"/>
        <v>45</v>
      </c>
      <c r="P2838">
        <v>45</v>
      </c>
      <c r="R2838" t="s">
        <v>1269</v>
      </c>
      <c r="S2838">
        <v>0.16</v>
      </c>
      <c r="T2838">
        <v>0.23830000000000001</v>
      </c>
      <c r="U2838">
        <f t="shared" si="240"/>
        <v>3.7999999999999999E-2</v>
      </c>
      <c r="V2838" t="str">
        <f t="shared" si="237"/>
        <v>Middle Speech, Language Pathway/
Audio</v>
      </c>
      <c r="W2838" t="str">
        <f t="shared" si="238"/>
        <v>Speech, Language Pathway/
Audio</v>
      </c>
    </row>
    <row r="2839" spans="1:23" x14ac:dyDescent="0.25">
      <c r="A2839">
        <v>32414</v>
      </c>
      <c r="B2839" t="s">
        <v>1298</v>
      </c>
      <c r="C2839">
        <v>1.8</v>
      </c>
      <c r="D2839" t="s">
        <v>1264</v>
      </c>
      <c r="E2839">
        <v>100067</v>
      </c>
      <c r="F2839">
        <v>32414</v>
      </c>
      <c r="G2839" t="str">
        <f t="shared" si="236"/>
        <v>32414</v>
      </c>
      <c r="H2839" t="s">
        <v>534</v>
      </c>
      <c r="I2839" t="s">
        <v>1265</v>
      </c>
      <c r="J2839" t="s">
        <v>1276</v>
      </c>
      <c r="K2839" t="s">
        <v>1277</v>
      </c>
      <c r="L2839" t="s">
        <v>1298</v>
      </c>
      <c r="M2839" t="s">
        <v>1349</v>
      </c>
      <c r="N2839">
        <v>21</v>
      </c>
      <c r="O2839" t="str">
        <f t="shared" si="239"/>
        <v>46</v>
      </c>
      <c r="P2839">
        <v>46</v>
      </c>
      <c r="R2839" t="s">
        <v>1269</v>
      </c>
      <c r="S2839">
        <v>1.8</v>
      </c>
      <c r="T2839">
        <v>0.23830000000000001</v>
      </c>
      <c r="U2839">
        <f t="shared" si="240"/>
        <v>0.42899999999999999</v>
      </c>
      <c r="V2839" t="str">
        <f t="shared" si="237"/>
        <v>Elementary Psychologist</v>
      </c>
      <c r="W2839" t="str">
        <f t="shared" si="238"/>
        <v>Psychologist</v>
      </c>
    </row>
    <row r="2840" spans="1:23" x14ac:dyDescent="0.25">
      <c r="A2840">
        <v>32414</v>
      </c>
      <c r="B2840" t="s">
        <v>1333</v>
      </c>
      <c r="C2840">
        <v>0.2</v>
      </c>
      <c r="D2840" t="s">
        <v>1264</v>
      </c>
      <c r="E2840">
        <v>100067</v>
      </c>
      <c r="F2840">
        <v>32414</v>
      </c>
      <c r="G2840" t="str">
        <f t="shared" si="236"/>
        <v>32414</v>
      </c>
      <c r="H2840" t="s">
        <v>534</v>
      </c>
      <c r="I2840" t="s">
        <v>1265</v>
      </c>
      <c r="J2840" t="s">
        <v>1276</v>
      </c>
      <c r="K2840" t="s">
        <v>1277</v>
      </c>
      <c r="L2840" t="s">
        <v>1333</v>
      </c>
      <c r="M2840" t="s">
        <v>1432</v>
      </c>
      <c r="N2840">
        <v>1</v>
      </c>
      <c r="O2840" t="str">
        <f t="shared" si="239"/>
        <v>46</v>
      </c>
      <c r="P2840">
        <v>46</v>
      </c>
      <c r="R2840" t="s">
        <v>1269</v>
      </c>
      <c r="S2840">
        <v>0.2</v>
      </c>
      <c r="T2840">
        <v>0.23830000000000001</v>
      </c>
      <c r="U2840">
        <f t="shared" si="240"/>
        <v>0</v>
      </c>
      <c r="V2840" t="str">
        <f t="shared" si="237"/>
        <v>Elementary Psychologist</v>
      </c>
      <c r="W2840" t="str">
        <f t="shared" si="238"/>
        <v>Psychologist</v>
      </c>
    </row>
    <row r="2841" spans="1:23" x14ac:dyDescent="0.25">
      <c r="A2841">
        <v>32414</v>
      </c>
      <c r="B2841" t="s">
        <v>1309</v>
      </c>
      <c r="C2841">
        <v>0.9</v>
      </c>
      <c r="D2841" t="s">
        <v>1264</v>
      </c>
      <c r="E2841">
        <v>100067</v>
      </c>
      <c r="F2841">
        <v>32414</v>
      </c>
      <c r="G2841" t="str">
        <f t="shared" si="236"/>
        <v>32414</v>
      </c>
      <c r="H2841" t="s">
        <v>534</v>
      </c>
      <c r="I2841" t="s">
        <v>1265</v>
      </c>
      <c r="J2841" t="s">
        <v>1271</v>
      </c>
      <c r="K2841" t="s">
        <v>1272</v>
      </c>
      <c r="L2841" t="s">
        <v>1309</v>
      </c>
      <c r="M2841" t="s">
        <v>1310</v>
      </c>
      <c r="N2841">
        <v>21</v>
      </c>
      <c r="O2841" t="str">
        <f t="shared" si="239"/>
        <v>46</v>
      </c>
      <c r="P2841">
        <v>46</v>
      </c>
      <c r="R2841" t="s">
        <v>1269</v>
      </c>
      <c r="S2841">
        <v>0.9</v>
      </c>
      <c r="T2841">
        <v>0.23830000000000001</v>
      </c>
      <c r="U2841">
        <f t="shared" si="240"/>
        <v>0.214</v>
      </c>
      <c r="V2841" t="str">
        <f t="shared" si="237"/>
        <v>High Psychologist</v>
      </c>
      <c r="W2841" t="str">
        <f t="shared" si="238"/>
        <v>Psychologist</v>
      </c>
    </row>
    <row r="2842" spans="1:23" x14ac:dyDescent="0.25">
      <c r="A2842">
        <v>32414</v>
      </c>
      <c r="B2842" t="s">
        <v>1371</v>
      </c>
      <c r="C2842">
        <v>0.1</v>
      </c>
      <c r="D2842" t="s">
        <v>1264</v>
      </c>
      <c r="E2842">
        <v>100067</v>
      </c>
      <c r="F2842">
        <v>32414</v>
      </c>
      <c r="G2842" t="str">
        <f t="shared" si="236"/>
        <v>32414</v>
      </c>
      <c r="H2842" t="s">
        <v>534</v>
      </c>
      <c r="I2842" t="s">
        <v>1265</v>
      </c>
      <c r="J2842" t="s">
        <v>1266</v>
      </c>
      <c r="K2842" t="s">
        <v>1267</v>
      </c>
      <c r="L2842" t="s">
        <v>1371</v>
      </c>
      <c r="M2842" t="s">
        <v>1430</v>
      </c>
      <c r="N2842">
        <v>1</v>
      </c>
      <c r="O2842" t="str">
        <f t="shared" si="239"/>
        <v>46</v>
      </c>
      <c r="P2842">
        <v>46</v>
      </c>
      <c r="R2842" t="s">
        <v>1269</v>
      </c>
      <c r="S2842">
        <v>0.1</v>
      </c>
      <c r="T2842">
        <v>0.23830000000000001</v>
      </c>
      <c r="U2842">
        <f t="shared" si="240"/>
        <v>0</v>
      </c>
      <c r="V2842" t="str">
        <f t="shared" si="237"/>
        <v>Middle Psychologist</v>
      </c>
      <c r="W2842" t="str">
        <f t="shared" si="238"/>
        <v>Psychologist</v>
      </c>
    </row>
    <row r="2843" spans="1:23" x14ac:dyDescent="0.25">
      <c r="A2843">
        <v>32414</v>
      </c>
      <c r="B2843" t="s">
        <v>1335</v>
      </c>
      <c r="C2843">
        <v>0.56000000000000005</v>
      </c>
      <c r="D2843" t="s">
        <v>1264</v>
      </c>
      <c r="E2843">
        <v>100067</v>
      </c>
      <c r="F2843">
        <v>32414</v>
      </c>
      <c r="G2843" t="str">
        <f t="shared" si="236"/>
        <v>32414</v>
      </c>
      <c r="H2843" t="s">
        <v>534</v>
      </c>
      <c r="I2843" t="s">
        <v>1265</v>
      </c>
      <c r="J2843" t="s">
        <v>1276</v>
      </c>
      <c r="K2843" t="s">
        <v>1277</v>
      </c>
      <c r="L2843" t="s">
        <v>1335</v>
      </c>
      <c r="M2843" t="s">
        <v>1344</v>
      </c>
      <c r="N2843">
        <v>1</v>
      </c>
      <c r="O2843" t="str">
        <f t="shared" si="239"/>
        <v>47</v>
      </c>
      <c r="P2843">
        <v>47</v>
      </c>
      <c r="R2843" t="s">
        <v>1269</v>
      </c>
      <c r="S2843">
        <v>0.56000000000000005</v>
      </c>
      <c r="T2843">
        <v>0.23830000000000001</v>
      </c>
      <c r="U2843">
        <f t="shared" si="240"/>
        <v>0</v>
      </c>
      <c r="V2843" t="str">
        <f t="shared" si="237"/>
        <v>Elementary Nurse</v>
      </c>
      <c r="W2843" t="str">
        <f t="shared" si="238"/>
        <v>Nurse</v>
      </c>
    </row>
    <row r="2844" spans="1:23" x14ac:dyDescent="0.25">
      <c r="A2844">
        <v>32414</v>
      </c>
      <c r="B2844" t="s">
        <v>1341</v>
      </c>
      <c r="C2844">
        <v>0.3</v>
      </c>
      <c r="D2844" t="s">
        <v>1264</v>
      </c>
      <c r="E2844">
        <v>100067</v>
      </c>
      <c r="F2844">
        <v>32414</v>
      </c>
      <c r="G2844" t="str">
        <f t="shared" si="236"/>
        <v>32414</v>
      </c>
      <c r="H2844" t="s">
        <v>534</v>
      </c>
      <c r="I2844" t="s">
        <v>1265</v>
      </c>
      <c r="J2844" t="s">
        <v>1271</v>
      </c>
      <c r="K2844" t="s">
        <v>1272</v>
      </c>
      <c r="L2844" t="s">
        <v>1341</v>
      </c>
      <c r="M2844" t="s">
        <v>1342</v>
      </c>
      <c r="N2844">
        <v>1</v>
      </c>
      <c r="O2844" t="str">
        <f t="shared" si="239"/>
        <v>47</v>
      </c>
      <c r="P2844">
        <v>47</v>
      </c>
      <c r="R2844" t="s">
        <v>1269</v>
      </c>
      <c r="S2844">
        <v>0.3</v>
      </c>
      <c r="T2844">
        <v>0.23830000000000001</v>
      </c>
      <c r="U2844">
        <f t="shared" si="240"/>
        <v>0</v>
      </c>
      <c r="V2844" t="str">
        <f t="shared" si="237"/>
        <v>High Nurse</v>
      </c>
      <c r="W2844" t="str">
        <f t="shared" si="238"/>
        <v>Nurse</v>
      </c>
    </row>
    <row r="2845" spans="1:23" x14ac:dyDescent="0.25">
      <c r="A2845">
        <v>32414</v>
      </c>
      <c r="B2845" t="s">
        <v>1338</v>
      </c>
      <c r="C2845">
        <v>0.14000000000000001</v>
      </c>
      <c r="D2845" t="s">
        <v>1264</v>
      </c>
      <c r="E2845">
        <v>100067</v>
      </c>
      <c r="F2845">
        <v>32414</v>
      </c>
      <c r="G2845" t="str">
        <f t="shared" si="236"/>
        <v>32414</v>
      </c>
      <c r="H2845" t="s">
        <v>534</v>
      </c>
      <c r="I2845" t="s">
        <v>1265</v>
      </c>
      <c r="J2845" t="s">
        <v>1266</v>
      </c>
      <c r="K2845" t="s">
        <v>1267</v>
      </c>
      <c r="L2845" t="s">
        <v>1338</v>
      </c>
      <c r="M2845" t="s">
        <v>1339</v>
      </c>
      <c r="N2845">
        <v>1</v>
      </c>
      <c r="O2845" t="str">
        <f t="shared" si="239"/>
        <v>47</v>
      </c>
      <c r="P2845">
        <v>47</v>
      </c>
      <c r="R2845" t="s">
        <v>1269</v>
      </c>
      <c r="S2845">
        <v>0.14000000000000001</v>
      </c>
      <c r="T2845">
        <v>0.23830000000000001</v>
      </c>
      <c r="U2845">
        <f t="shared" si="240"/>
        <v>0</v>
      </c>
      <c r="V2845" t="str">
        <f t="shared" si="237"/>
        <v>Middle Nurse</v>
      </c>
      <c r="W2845" t="str">
        <f t="shared" si="238"/>
        <v>Nurse</v>
      </c>
    </row>
    <row r="2846" spans="1:23" x14ac:dyDescent="0.25">
      <c r="A2846">
        <v>32414</v>
      </c>
      <c r="B2846" t="s">
        <v>1302</v>
      </c>
      <c r="C2846">
        <v>0.6</v>
      </c>
      <c r="D2846" t="s">
        <v>1264</v>
      </c>
      <c r="E2846">
        <v>100067</v>
      </c>
      <c r="F2846">
        <v>32414</v>
      </c>
      <c r="G2846" t="str">
        <f t="shared" si="236"/>
        <v>32414</v>
      </c>
      <c r="H2846" t="s">
        <v>534</v>
      </c>
      <c r="I2846" t="s">
        <v>1265</v>
      </c>
      <c r="J2846" t="s">
        <v>1276</v>
      </c>
      <c r="K2846" t="s">
        <v>1277</v>
      </c>
      <c r="L2846" t="s">
        <v>1302</v>
      </c>
      <c r="M2846" t="s">
        <v>1336</v>
      </c>
      <c r="N2846">
        <v>21</v>
      </c>
      <c r="O2846" t="str">
        <f t="shared" si="239"/>
        <v>48</v>
      </c>
      <c r="P2846">
        <v>48</v>
      </c>
      <c r="R2846" t="s">
        <v>1269</v>
      </c>
      <c r="S2846">
        <v>0.6</v>
      </c>
      <c r="T2846">
        <v>0.23830000000000001</v>
      </c>
      <c r="U2846">
        <f t="shared" si="240"/>
        <v>0.14299999999999999</v>
      </c>
      <c r="V2846" t="str">
        <f t="shared" si="237"/>
        <v>Elementary Physical Therapist</v>
      </c>
      <c r="W2846" t="str">
        <f t="shared" si="238"/>
        <v>Physical Therapist</v>
      </c>
    </row>
    <row r="2847" spans="1:23" x14ac:dyDescent="0.25">
      <c r="A2847">
        <v>32414</v>
      </c>
      <c r="B2847" t="s">
        <v>1316</v>
      </c>
      <c r="C2847">
        <v>0.09</v>
      </c>
      <c r="D2847" t="s">
        <v>1264</v>
      </c>
      <c r="E2847">
        <v>100067</v>
      </c>
      <c r="F2847">
        <v>32414</v>
      </c>
      <c r="G2847" t="str">
        <f t="shared" si="236"/>
        <v>32414</v>
      </c>
      <c r="H2847" t="s">
        <v>534</v>
      </c>
      <c r="I2847" t="s">
        <v>1265</v>
      </c>
      <c r="J2847" t="s">
        <v>1266</v>
      </c>
      <c r="K2847" t="s">
        <v>1267</v>
      </c>
      <c r="L2847" t="s">
        <v>1316</v>
      </c>
      <c r="M2847" t="s">
        <v>1366</v>
      </c>
      <c r="N2847">
        <v>21</v>
      </c>
      <c r="O2847" t="str">
        <f t="shared" si="239"/>
        <v>48</v>
      </c>
      <c r="P2847">
        <v>48</v>
      </c>
      <c r="R2847" t="s">
        <v>1269</v>
      </c>
      <c r="S2847">
        <v>0.09</v>
      </c>
      <c r="T2847">
        <v>0.23830000000000001</v>
      </c>
      <c r="U2847">
        <f t="shared" si="240"/>
        <v>2.1000000000000001E-2</v>
      </c>
      <c r="V2847" t="str">
        <f t="shared" si="237"/>
        <v>Middle Physical Therapist</v>
      </c>
      <c r="W2847" t="str">
        <f t="shared" si="238"/>
        <v>Physical Therapist</v>
      </c>
    </row>
    <row r="2848" spans="1:23" x14ac:dyDescent="0.25">
      <c r="A2848">
        <v>32416</v>
      </c>
      <c r="B2848" t="s">
        <v>1308</v>
      </c>
      <c r="C2848">
        <v>0.73899999999999999</v>
      </c>
      <c r="D2848" t="s">
        <v>1264</v>
      </c>
      <c r="E2848">
        <v>100221</v>
      </c>
      <c r="F2848">
        <v>32416</v>
      </c>
      <c r="G2848" t="str">
        <f t="shared" si="236"/>
        <v>32416</v>
      </c>
      <c r="H2848" t="s">
        <v>535</v>
      </c>
      <c r="I2848" t="s">
        <v>1265</v>
      </c>
      <c r="J2848" t="s">
        <v>1276</v>
      </c>
      <c r="K2848" t="s">
        <v>1277</v>
      </c>
      <c r="L2848" t="s">
        <v>1308</v>
      </c>
      <c r="M2848" t="s">
        <v>1389</v>
      </c>
      <c r="N2848">
        <v>1</v>
      </c>
      <c r="O2848" t="str">
        <f t="shared" si="239"/>
        <v>25</v>
      </c>
      <c r="Q2848">
        <v>25</v>
      </c>
      <c r="R2848" t="s">
        <v>1269</v>
      </c>
      <c r="S2848">
        <v>0.73899999999999999</v>
      </c>
      <c r="T2848">
        <v>0.2944</v>
      </c>
      <c r="U2848">
        <f t="shared" si="240"/>
        <v>0</v>
      </c>
      <c r="V2848" t="str">
        <f t="shared" si="237"/>
        <v>Elementary Pupil Management</v>
      </c>
      <c r="W2848" t="str">
        <f t="shared" si="238"/>
        <v>Pupil Management</v>
      </c>
    </row>
    <row r="2849" spans="1:23" x14ac:dyDescent="0.25">
      <c r="A2849">
        <v>32416</v>
      </c>
      <c r="B2849" t="s">
        <v>1383</v>
      </c>
      <c r="C2849">
        <v>3.6999999999999998E-2</v>
      </c>
      <c r="D2849" t="s">
        <v>1264</v>
      </c>
      <c r="E2849">
        <v>100221</v>
      </c>
      <c r="F2849">
        <v>32416</v>
      </c>
      <c r="G2849" t="str">
        <f t="shared" si="236"/>
        <v>32416</v>
      </c>
      <c r="H2849" t="s">
        <v>535</v>
      </c>
      <c r="I2849" t="s">
        <v>1265</v>
      </c>
      <c r="J2849" t="s">
        <v>1271</v>
      </c>
      <c r="K2849" t="s">
        <v>1272</v>
      </c>
      <c r="L2849" t="s">
        <v>1383</v>
      </c>
      <c r="M2849" t="s">
        <v>1409</v>
      </c>
      <c r="N2849">
        <v>21</v>
      </c>
      <c r="O2849" t="str">
        <f t="shared" si="239"/>
        <v>25</v>
      </c>
      <c r="Q2849">
        <v>25</v>
      </c>
      <c r="R2849" t="s">
        <v>1269</v>
      </c>
      <c r="S2849">
        <v>3.6999999999999998E-2</v>
      </c>
      <c r="T2849">
        <v>0.2944</v>
      </c>
      <c r="U2849">
        <f t="shared" si="240"/>
        <v>1.0999999999999999E-2</v>
      </c>
      <c r="V2849" t="str">
        <f t="shared" si="237"/>
        <v>High Pupil Management</v>
      </c>
      <c r="W2849" t="str">
        <f t="shared" si="238"/>
        <v>Pupil Management</v>
      </c>
    </row>
    <row r="2850" spans="1:23" x14ac:dyDescent="0.25">
      <c r="A2850">
        <v>32416</v>
      </c>
      <c r="B2850" t="s">
        <v>1299</v>
      </c>
      <c r="C2850">
        <v>1.9870000000000001</v>
      </c>
      <c r="D2850" t="s">
        <v>1264</v>
      </c>
      <c r="E2850">
        <v>100221</v>
      </c>
      <c r="F2850">
        <v>32416</v>
      </c>
      <c r="G2850" t="str">
        <f t="shared" si="236"/>
        <v>32416</v>
      </c>
      <c r="H2850" t="s">
        <v>535</v>
      </c>
      <c r="I2850" t="s">
        <v>1265</v>
      </c>
      <c r="J2850" t="s">
        <v>1271</v>
      </c>
      <c r="K2850" t="s">
        <v>1272</v>
      </c>
      <c r="L2850" t="s">
        <v>1299</v>
      </c>
      <c r="M2850" t="s">
        <v>1300</v>
      </c>
      <c r="N2850">
        <v>1</v>
      </c>
      <c r="O2850" t="str">
        <f t="shared" si="239"/>
        <v>25</v>
      </c>
      <c r="Q2850">
        <v>25</v>
      </c>
      <c r="R2850" t="s">
        <v>1269</v>
      </c>
      <c r="S2850">
        <v>1.9870000000000001</v>
      </c>
      <c r="T2850">
        <v>0.2944</v>
      </c>
      <c r="U2850">
        <f t="shared" si="240"/>
        <v>0</v>
      </c>
      <c r="V2850" t="str">
        <f t="shared" si="237"/>
        <v>High Pupil Management</v>
      </c>
      <c r="W2850" t="str">
        <f t="shared" si="238"/>
        <v>Pupil Management</v>
      </c>
    </row>
    <row r="2851" spans="1:23" x14ac:dyDescent="0.25">
      <c r="A2851">
        <v>32416</v>
      </c>
      <c r="B2851" t="s">
        <v>1324</v>
      </c>
      <c r="C2851">
        <v>0.28899999999999998</v>
      </c>
      <c r="D2851" t="s">
        <v>1264</v>
      </c>
      <c r="E2851">
        <v>100221</v>
      </c>
      <c r="F2851">
        <v>32416</v>
      </c>
      <c r="G2851" t="str">
        <f t="shared" si="236"/>
        <v>32416</v>
      </c>
      <c r="H2851" t="s">
        <v>535</v>
      </c>
      <c r="I2851" t="s">
        <v>1265</v>
      </c>
      <c r="J2851" t="s">
        <v>1271</v>
      </c>
      <c r="K2851" t="s">
        <v>1272</v>
      </c>
      <c r="L2851" t="s">
        <v>1324</v>
      </c>
      <c r="M2851" t="s">
        <v>1325</v>
      </c>
      <c r="N2851">
        <v>21</v>
      </c>
      <c r="O2851" t="str">
        <f t="shared" si="239"/>
        <v>26</v>
      </c>
      <c r="Q2851">
        <v>26</v>
      </c>
      <c r="R2851" t="s">
        <v>1269</v>
      </c>
      <c r="S2851">
        <v>0.28899999999999998</v>
      </c>
      <c r="T2851">
        <v>0.2944</v>
      </c>
      <c r="U2851">
        <f t="shared" si="240"/>
        <v>8.5000000000000006E-2</v>
      </c>
      <c r="V2851" t="str">
        <f t="shared" si="237"/>
        <v>High Health/
Related Services</v>
      </c>
      <c r="W2851" t="str">
        <f t="shared" si="238"/>
        <v>Health/
Related Services</v>
      </c>
    </row>
    <row r="2852" spans="1:23" x14ac:dyDescent="0.25">
      <c r="A2852">
        <v>32416</v>
      </c>
      <c r="B2852" t="s">
        <v>1295</v>
      </c>
      <c r="C2852">
        <v>3.6240000000000001</v>
      </c>
      <c r="D2852" t="s">
        <v>1264</v>
      </c>
      <c r="E2852">
        <v>100221</v>
      </c>
      <c r="F2852">
        <v>32416</v>
      </c>
      <c r="G2852" t="str">
        <f t="shared" si="236"/>
        <v>32416</v>
      </c>
      <c r="H2852" t="s">
        <v>535</v>
      </c>
      <c r="I2852" t="s">
        <v>1265</v>
      </c>
      <c r="J2852" t="s">
        <v>1271</v>
      </c>
      <c r="K2852" t="s">
        <v>1272</v>
      </c>
      <c r="L2852" t="s">
        <v>1295</v>
      </c>
      <c r="M2852" t="s">
        <v>1296</v>
      </c>
      <c r="N2852">
        <v>1</v>
      </c>
      <c r="O2852" t="str">
        <f t="shared" si="239"/>
        <v>26</v>
      </c>
      <c r="Q2852">
        <v>26</v>
      </c>
      <c r="R2852" t="s">
        <v>1269</v>
      </c>
      <c r="S2852">
        <v>3.6240000000000001</v>
      </c>
      <c r="T2852">
        <v>0.2944</v>
      </c>
      <c r="U2852">
        <f t="shared" si="240"/>
        <v>0</v>
      </c>
      <c r="V2852" t="str">
        <f t="shared" si="237"/>
        <v>High Health/
Related Services</v>
      </c>
      <c r="W2852" t="str">
        <f t="shared" si="238"/>
        <v>Health/
Related Services</v>
      </c>
    </row>
    <row r="2853" spans="1:23" x14ac:dyDescent="0.25">
      <c r="A2853">
        <v>32416</v>
      </c>
      <c r="B2853" t="s">
        <v>1275</v>
      </c>
      <c r="C2853">
        <v>1.6</v>
      </c>
      <c r="D2853" t="s">
        <v>1264</v>
      </c>
      <c r="E2853">
        <v>100221</v>
      </c>
      <c r="F2853">
        <v>32416</v>
      </c>
      <c r="G2853" t="str">
        <f t="shared" si="236"/>
        <v>32416</v>
      </c>
      <c r="H2853" t="s">
        <v>535</v>
      </c>
      <c r="I2853" t="s">
        <v>1265</v>
      </c>
      <c r="J2853" t="s">
        <v>1276</v>
      </c>
      <c r="K2853" t="s">
        <v>1277</v>
      </c>
      <c r="L2853" t="s">
        <v>1275</v>
      </c>
      <c r="M2853" t="s">
        <v>1278</v>
      </c>
      <c r="N2853">
        <v>1</v>
      </c>
      <c r="O2853" t="str">
        <f t="shared" si="239"/>
        <v>42</v>
      </c>
      <c r="P2853">
        <v>42</v>
      </c>
      <c r="R2853" t="s">
        <v>1269</v>
      </c>
      <c r="S2853">
        <v>1.6</v>
      </c>
      <c r="T2853">
        <v>0.2944</v>
      </c>
      <c r="U2853">
        <f t="shared" si="240"/>
        <v>0</v>
      </c>
      <c r="V2853" t="str">
        <f t="shared" si="237"/>
        <v>Elementary Counselor</v>
      </c>
      <c r="W2853" t="str">
        <f t="shared" si="238"/>
        <v>Counselor</v>
      </c>
    </row>
    <row r="2854" spans="1:23" x14ac:dyDescent="0.25">
      <c r="A2854">
        <v>32416</v>
      </c>
      <c r="B2854" t="s">
        <v>1270</v>
      </c>
      <c r="C2854">
        <v>2.2000000000000002</v>
      </c>
      <c r="D2854" t="s">
        <v>1264</v>
      </c>
      <c r="E2854">
        <v>100221</v>
      </c>
      <c r="F2854">
        <v>32416</v>
      </c>
      <c r="G2854" t="str">
        <f t="shared" si="236"/>
        <v>32416</v>
      </c>
      <c r="H2854" t="s">
        <v>535</v>
      </c>
      <c r="I2854" t="s">
        <v>1265</v>
      </c>
      <c r="J2854" t="s">
        <v>1271</v>
      </c>
      <c r="K2854" t="s">
        <v>1272</v>
      </c>
      <c r="L2854" t="s">
        <v>1270</v>
      </c>
      <c r="M2854" t="s">
        <v>1273</v>
      </c>
      <c r="N2854">
        <v>1</v>
      </c>
      <c r="O2854" t="str">
        <f t="shared" si="239"/>
        <v>42</v>
      </c>
      <c r="P2854">
        <v>42</v>
      </c>
      <c r="R2854" t="s">
        <v>1269</v>
      </c>
      <c r="S2854">
        <v>2.2000000000000002</v>
      </c>
      <c r="T2854">
        <v>0.2944</v>
      </c>
      <c r="U2854">
        <f t="shared" si="240"/>
        <v>0</v>
      </c>
      <c r="V2854" t="str">
        <f t="shared" si="237"/>
        <v>High Counselor</v>
      </c>
      <c r="W2854" t="str">
        <f t="shared" si="238"/>
        <v>Counselor</v>
      </c>
    </row>
    <row r="2855" spans="1:23" x14ac:dyDescent="0.25">
      <c r="A2855">
        <v>32416</v>
      </c>
      <c r="B2855" t="s">
        <v>1263</v>
      </c>
      <c r="C2855">
        <v>1</v>
      </c>
      <c r="D2855" t="s">
        <v>1264</v>
      </c>
      <c r="E2855">
        <v>100221</v>
      </c>
      <c r="F2855">
        <v>32416</v>
      </c>
      <c r="G2855" t="str">
        <f t="shared" si="236"/>
        <v>32416</v>
      </c>
      <c r="H2855" t="s">
        <v>535</v>
      </c>
      <c r="I2855" t="s">
        <v>1265</v>
      </c>
      <c r="J2855" t="s">
        <v>1266</v>
      </c>
      <c r="K2855" t="s">
        <v>1267</v>
      </c>
      <c r="L2855" t="s">
        <v>1263</v>
      </c>
      <c r="M2855" t="s">
        <v>1268</v>
      </c>
      <c r="N2855">
        <v>1</v>
      </c>
      <c r="O2855" t="str">
        <f t="shared" si="239"/>
        <v>42</v>
      </c>
      <c r="P2855">
        <v>42</v>
      </c>
      <c r="R2855" t="s">
        <v>1269</v>
      </c>
      <c r="S2855">
        <v>1</v>
      </c>
      <c r="T2855">
        <v>0.2944</v>
      </c>
      <c r="U2855">
        <f t="shared" si="240"/>
        <v>0</v>
      </c>
      <c r="V2855" t="str">
        <f t="shared" si="237"/>
        <v>Middle Counselor</v>
      </c>
      <c r="W2855" t="str">
        <f t="shared" si="238"/>
        <v>Counselor</v>
      </c>
    </row>
    <row r="2856" spans="1:23" x14ac:dyDescent="0.25">
      <c r="A2856">
        <v>32416</v>
      </c>
      <c r="B2856" t="s">
        <v>1289</v>
      </c>
      <c r="C2856">
        <v>0.185</v>
      </c>
      <c r="D2856" t="s">
        <v>1264</v>
      </c>
      <c r="E2856">
        <v>100221</v>
      </c>
      <c r="F2856">
        <v>32416</v>
      </c>
      <c r="G2856" t="str">
        <f t="shared" si="236"/>
        <v>32416</v>
      </c>
      <c r="H2856" t="s">
        <v>535</v>
      </c>
      <c r="I2856" t="s">
        <v>1265</v>
      </c>
      <c r="J2856" t="s">
        <v>1276</v>
      </c>
      <c r="K2856" t="s">
        <v>1277</v>
      </c>
      <c r="L2856" t="s">
        <v>1289</v>
      </c>
      <c r="M2856" t="s">
        <v>1307</v>
      </c>
      <c r="N2856">
        <v>21</v>
      </c>
      <c r="O2856" t="str">
        <f t="shared" si="239"/>
        <v>43</v>
      </c>
      <c r="P2856">
        <v>43</v>
      </c>
      <c r="R2856" t="s">
        <v>1269</v>
      </c>
      <c r="S2856">
        <v>0.185</v>
      </c>
      <c r="T2856">
        <v>0.2944</v>
      </c>
      <c r="U2856">
        <f t="shared" si="240"/>
        <v>5.3999999999999999E-2</v>
      </c>
      <c r="V2856" t="str">
        <f t="shared" si="237"/>
        <v>Elementary Occupational Therapist</v>
      </c>
      <c r="W2856" t="str">
        <f t="shared" si="238"/>
        <v>Occupational Therapist</v>
      </c>
    </row>
    <row r="2857" spans="1:23" x14ac:dyDescent="0.25">
      <c r="A2857">
        <v>32416</v>
      </c>
      <c r="B2857" t="s">
        <v>1387</v>
      </c>
      <c r="C2857">
        <v>0.111</v>
      </c>
      <c r="D2857" t="s">
        <v>1264</v>
      </c>
      <c r="E2857">
        <v>100221</v>
      </c>
      <c r="F2857">
        <v>32416</v>
      </c>
      <c r="G2857" t="str">
        <f t="shared" si="236"/>
        <v>32416</v>
      </c>
      <c r="H2857" t="s">
        <v>535</v>
      </c>
      <c r="I2857" t="s">
        <v>1265</v>
      </c>
      <c r="J2857" t="s">
        <v>1271</v>
      </c>
      <c r="K2857" t="s">
        <v>1272</v>
      </c>
      <c r="L2857" t="s">
        <v>1387</v>
      </c>
      <c r="M2857" t="s">
        <v>1406</v>
      </c>
      <c r="N2857">
        <v>21</v>
      </c>
      <c r="O2857" t="str">
        <f t="shared" si="239"/>
        <v>43</v>
      </c>
      <c r="P2857">
        <v>43</v>
      </c>
      <c r="R2857" t="s">
        <v>1269</v>
      </c>
      <c r="S2857">
        <v>0.111</v>
      </c>
      <c r="T2857">
        <v>0.2944</v>
      </c>
      <c r="U2857">
        <f t="shared" si="240"/>
        <v>3.3000000000000002E-2</v>
      </c>
      <c r="V2857" t="str">
        <f t="shared" si="237"/>
        <v>High Occupational Therapist</v>
      </c>
      <c r="W2857" t="str">
        <f t="shared" si="238"/>
        <v>Occupational Therapist</v>
      </c>
    </row>
    <row r="2858" spans="1:23" x14ac:dyDescent="0.25">
      <c r="A2858">
        <v>32416</v>
      </c>
      <c r="B2858" t="s">
        <v>1303</v>
      </c>
      <c r="C2858">
        <v>0.14799999999999999</v>
      </c>
      <c r="D2858" t="s">
        <v>1264</v>
      </c>
      <c r="E2858">
        <v>100221</v>
      </c>
      <c r="F2858">
        <v>32416</v>
      </c>
      <c r="G2858" t="str">
        <f t="shared" si="236"/>
        <v>32416</v>
      </c>
      <c r="H2858" t="s">
        <v>535</v>
      </c>
      <c r="I2858" t="s">
        <v>1265</v>
      </c>
      <c r="J2858" t="s">
        <v>1266</v>
      </c>
      <c r="K2858" t="s">
        <v>1267</v>
      </c>
      <c r="L2858" t="s">
        <v>1303</v>
      </c>
      <c r="M2858" t="s">
        <v>1304</v>
      </c>
      <c r="N2858">
        <v>21</v>
      </c>
      <c r="O2858" t="str">
        <f t="shared" si="239"/>
        <v>43</v>
      </c>
      <c r="P2858">
        <v>43</v>
      </c>
      <c r="R2858" t="s">
        <v>1269</v>
      </c>
      <c r="S2858">
        <v>0.14799999999999999</v>
      </c>
      <c r="T2858">
        <v>0.2944</v>
      </c>
      <c r="U2858">
        <f t="shared" si="240"/>
        <v>4.3999999999999997E-2</v>
      </c>
      <c r="V2858" t="str">
        <f t="shared" si="237"/>
        <v>Middle Occupational Therapist</v>
      </c>
      <c r="W2858" t="str">
        <f t="shared" si="238"/>
        <v>Occupational Therapist</v>
      </c>
    </row>
    <row r="2859" spans="1:23" x14ac:dyDescent="0.25">
      <c r="A2859">
        <v>32416</v>
      </c>
      <c r="B2859" t="s">
        <v>1294</v>
      </c>
      <c r="C2859">
        <v>2</v>
      </c>
      <c r="D2859" t="s">
        <v>1264</v>
      </c>
      <c r="E2859">
        <v>100221</v>
      </c>
      <c r="F2859">
        <v>32416</v>
      </c>
      <c r="G2859" t="str">
        <f t="shared" si="236"/>
        <v>32416</v>
      </c>
      <c r="H2859" t="s">
        <v>535</v>
      </c>
      <c r="I2859" t="s">
        <v>1265</v>
      </c>
      <c r="J2859" t="s">
        <v>1276</v>
      </c>
      <c r="K2859" t="s">
        <v>1277</v>
      </c>
      <c r="L2859" t="s">
        <v>1294</v>
      </c>
      <c r="M2859" t="s">
        <v>1354</v>
      </c>
      <c r="N2859">
        <v>21</v>
      </c>
      <c r="O2859" t="str">
        <f t="shared" si="239"/>
        <v>45</v>
      </c>
      <c r="P2859">
        <v>45</v>
      </c>
      <c r="R2859" t="s">
        <v>1269</v>
      </c>
      <c r="S2859">
        <v>2</v>
      </c>
      <c r="T2859">
        <v>0.2944</v>
      </c>
      <c r="U2859">
        <f t="shared" si="240"/>
        <v>0.58899999999999997</v>
      </c>
      <c r="V2859" t="str">
        <f t="shared" si="237"/>
        <v>Elementary Speech, Language Pathway/
Audio</v>
      </c>
      <c r="W2859" t="str">
        <f t="shared" si="238"/>
        <v>Speech, Language Pathway/
Audio</v>
      </c>
    </row>
    <row r="2860" spans="1:23" x14ac:dyDescent="0.25">
      <c r="A2860">
        <v>32416</v>
      </c>
      <c r="B2860" t="s">
        <v>1298</v>
      </c>
      <c r="C2860">
        <v>1</v>
      </c>
      <c r="D2860" t="s">
        <v>1264</v>
      </c>
      <c r="E2860">
        <v>100221</v>
      </c>
      <c r="F2860">
        <v>32416</v>
      </c>
      <c r="G2860" t="str">
        <f t="shared" si="236"/>
        <v>32416</v>
      </c>
      <c r="H2860" t="s">
        <v>535</v>
      </c>
      <c r="I2860" t="s">
        <v>1265</v>
      </c>
      <c r="J2860" t="s">
        <v>1276</v>
      </c>
      <c r="K2860" t="s">
        <v>1277</v>
      </c>
      <c r="L2860" t="s">
        <v>1298</v>
      </c>
      <c r="M2860" t="s">
        <v>1349</v>
      </c>
      <c r="N2860">
        <v>21</v>
      </c>
      <c r="O2860" t="str">
        <f t="shared" si="239"/>
        <v>46</v>
      </c>
      <c r="P2860">
        <v>46</v>
      </c>
      <c r="R2860" t="s">
        <v>1269</v>
      </c>
      <c r="S2860">
        <v>1</v>
      </c>
      <c r="T2860">
        <v>0.2944</v>
      </c>
      <c r="U2860">
        <f t="shared" si="240"/>
        <v>0.29399999999999998</v>
      </c>
      <c r="V2860" t="str">
        <f t="shared" si="237"/>
        <v>Elementary Psychologist</v>
      </c>
      <c r="W2860" t="str">
        <f t="shared" si="238"/>
        <v>Psychologist</v>
      </c>
    </row>
    <row r="2861" spans="1:23" x14ac:dyDescent="0.25">
      <c r="A2861">
        <v>32416</v>
      </c>
      <c r="B2861" t="s">
        <v>1309</v>
      </c>
      <c r="C2861">
        <v>0.6</v>
      </c>
      <c r="D2861" t="s">
        <v>1264</v>
      </c>
      <c r="E2861">
        <v>100221</v>
      </c>
      <c r="F2861">
        <v>32416</v>
      </c>
      <c r="G2861" t="str">
        <f t="shared" si="236"/>
        <v>32416</v>
      </c>
      <c r="H2861" t="s">
        <v>535</v>
      </c>
      <c r="I2861" t="s">
        <v>1265</v>
      </c>
      <c r="J2861" t="s">
        <v>1271</v>
      </c>
      <c r="K2861" t="s">
        <v>1272</v>
      </c>
      <c r="L2861" t="s">
        <v>1309</v>
      </c>
      <c r="M2861" t="s">
        <v>1310</v>
      </c>
      <c r="N2861">
        <v>21</v>
      </c>
      <c r="O2861" t="str">
        <f t="shared" si="239"/>
        <v>46</v>
      </c>
      <c r="P2861">
        <v>46</v>
      </c>
      <c r="R2861" t="s">
        <v>1269</v>
      </c>
      <c r="S2861">
        <v>0.6</v>
      </c>
      <c r="T2861">
        <v>0.2944</v>
      </c>
      <c r="U2861">
        <f t="shared" si="240"/>
        <v>0.17699999999999999</v>
      </c>
      <c r="V2861" t="str">
        <f t="shared" si="237"/>
        <v>High Psychologist</v>
      </c>
      <c r="W2861" t="str">
        <f t="shared" si="238"/>
        <v>Psychologist</v>
      </c>
    </row>
    <row r="2862" spans="1:23" x14ac:dyDescent="0.25">
      <c r="A2862">
        <v>32416</v>
      </c>
      <c r="B2862" t="s">
        <v>1345</v>
      </c>
      <c r="C2862">
        <v>0.4</v>
      </c>
      <c r="D2862" t="s">
        <v>1264</v>
      </c>
      <c r="E2862">
        <v>100221</v>
      </c>
      <c r="F2862">
        <v>32416</v>
      </c>
      <c r="G2862" t="str">
        <f t="shared" si="236"/>
        <v>32416</v>
      </c>
      <c r="H2862" t="s">
        <v>535</v>
      </c>
      <c r="I2862" t="s">
        <v>1265</v>
      </c>
      <c r="J2862" t="s">
        <v>1266</v>
      </c>
      <c r="K2862" t="s">
        <v>1267</v>
      </c>
      <c r="L2862" t="s">
        <v>1345</v>
      </c>
      <c r="M2862" t="s">
        <v>1346</v>
      </c>
      <c r="N2862">
        <v>21</v>
      </c>
      <c r="O2862" t="str">
        <f t="shared" si="239"/>
        <v>46</v>
      </c>
      <c r="P2862">
        <v>46</v>
      </c>
      <c r="R2862" t="s">
        <v>1269</v>
      </c>
      <c r="S2862">
        <v>0.4</v>
      </c>
      <c r="T2862">
        <v>0.2944</v>
      </c>
      <c r="U2862">
        <f t="shared" si="240"/>
        <v>0.11799999999999999</v>
      </c>
      <c r="V2862" t="str">
        <f t="shared" si="237"/>
        <v>Middle Psychologist</v>
      </c>
      <c r="W2862" t="str">
        <f t="shared" si="238"/>
        <v>Psychologist</v>
      </c>
    </row>
    <row r="2863" spans="1:23" x14ac:dyDescent="0.25">
      <c r="A2863">
        <v>32416</v>
      </c>
      <c r="B2863" t="s">
        <v>1302</v>
      </c>
      <c r="C2863">
        <v>0.66500000000000004</v>
      </c>
      <c r="D2863" t="s">
        <v>1264</v>
      </c>
      <c r="E2863">
        <v>100221</v>
      </c>
      <c r="F2863">
        <v>32416</v>
      </c>
      <c r="G2863" t="str">
        <f t="shared" si="236"/>
        <v>32416</v>
      </c>
      <c r="H2863" t="s">
        <v>535</v>
      </c>
      <c r="I2863" t="s">
        <v>1265</v>
      </c>
      <c r="J2863" t="s">
        <v>1276</v>
      </c>
      <c r="K2863" t="s">
        <v>1277</v>
      </c>
      <c r="L2863" t="s">
        <v>1302</v>
      </c>
      <c r="M2863" t="s">
        <v>1336</v>
      </c>
      <c r="N2863">
        <v>21</v>
      </c>
      <c r="O2863" t="str">
        <f t="shared" si="239"/>
        <v>48</v>
      </c>
      <c r="P2863">
        <v>48</v>
      </c>
      <c r="R2863" t="s">
        <v>1269</v>
      </c>
      <c r="S2863">
        <v>0.66500000000000004</v>
      </c>
      <c r="T2863">
        <v>0.2944</v>
      </c>
      <c r="U2863">
        <f t="shared" si="240"/>
        <v>0.19600000000000001</v>
      </c>
      <c r="V2863" t="str">
        <f t="shared" si="237"/>
        <v>Elementary Physical Therapist</v>
      </c>
      <c r="W2863" t="str">
        <f t="shared" si="238"/>
        <v>Physical Therapist</v>
      </c>
    </row>
    <row r="2864" spans="1:23" x14ac:dyDescent="0.25">
      <c r="A2864">
        <v>32416</v>
      </c>
      <c r="B2864" t="s">
        <v>1330</v>
      </c>
      <c r="C2864">
        <v>0.05</v>
      </c>
      <c r="D2864" t="s">
        <v>1264</v>
      </c>
      <c r="E2864">
        <v>100221</v>
      </c>
      <c r="F2864">
        <v>32416</v>
      </c>
      <c r="G2864" t="str">
        <f t="shared" si="236"/>
        <v>32416</v>
      </c>
      <c r="H2864" t="s">
        <v>535</v>
      </c>
      <c r="I2864" t="s">
        <v>1265</v>
      </c>
      <c r="J2864" t="s">
        <v>1271</v>
      </c>
      <c r="K2864" t="s">
        <v>1272</v>
      </c>
      <c r="L2864" t="s">
        <v>1330</v>
      </c>
      <c r="M2864" t="s">
        <v>1367</v>
      </c>
      <c r="N2864">
        <v>21</v>
      </c>
      <c r="O2864" t="str">
        <f t="shared" si="239"/>
        <v>48</v>
      </c>
      <c r="P2864">
        <v>48</v>
      </c>
      <c r="R2864" t="s">
        <v>1269</v>
      </c>
      <c r="S2864">
        <v>0.05</v>
      </c>
      <c r="T2864">
        <v>0.2944</v>
      </c>
      <c r="U2864">
        <f t="shared" si="240"/>
        <v>1.4999999999999999E-2</v>
      </c>
      <c r="V2864" t="str">
        <f t="shared" si="237"/>
        <v>High Physical Therapist</v>
      </c>
      <c r="W2864" t="str">
        <f t="shared" si="238"/>
        <v>Physical Therapist</v>
      </c>
    </row>
    <row r="2865" spans="1:23" x14ac:dyDescent="0.25">
      <c r="A2865">
        <v>32416</v>
      </c>
      <c r="B2865" t="s">
        <v>1316</v>
      </c>
      <c r="C2865">
        <v>3.5000000000000003E-2</v>
      </c>
      <c r="D2865" t="s">
        <v>1264</v>
      </c>
      <c r="E2865">
        <v>100221</v>
      </c>
      <c r="F2865">
        <v>32416</v>
      </c>
      <c r="G2865" t="str">
        <f t="shared" si="236"/>
        <v>32416</v>
      </c>
      <c r="H2865" t="s">
        <v>535</v>
      </c>
      <c r="I2865" t="s">
        <v>1265</v>
      </c>
      <c r="J2865" t="s">
        <v>1266</v>
      </c>
      <c r="K2865" t="s">
        <v>1267</v>
      </c>
      <c r="L2865" t="s">
        <v>1316</v>
      </c>
      <c r="M2865" t="s">
        <v>1366</v>
      </c>
      <c r="N2865">
        <v>21</v>
      </c>
      <c r="O2865" t="str">
        <f t="shared" si="239"/>
        <v>48</v>
      </c>
      <c r="P2865">
        <v>48</v>
      </c>
      <c r="R2865" t="s">
        <v>1269</v>
      </c>
      <c r="S2865">
        <v>3.5000000000000003E-2</v>
      </c>
      <c r="T2865">
        <v>0.2944</v>
      </c>
      <c r="U2865">
        <f t="shared" si="240"/>
        <v>0.01</v>
      </c>
      <c r="V2865" t="str">
        <f t="shared" si="237"/>
        <v>Middle Physical Therapist</v>
      </c>
      <c r="W2865" t="str">
        <f t="shared" si="238"/>
        <v>Physical Therapist</v>
      </c>
    </row>
    <row r="2866" spans="1:23" x14ac:dyDescent="0.25">
      <c r="A2866">
        <v>32901</v>
      </c>
      <c r="B2866" t="s">
        <v>1295</v>
      </c>
      <c r="C2866">
        <v>0.76200000000000001</v>
      </c>
      <c r="D2866" t="s">
        <v>1264</v>
      </c>
      <c r="E2866">
        <v>105813</v>
      </c>
      <c r="F2866">
        <v>32901</v>
      </c>
      <c r="G2866" t="str">
        <f t="shared" si="236"/>
        <v>32901</v>
      </c>
      <c r="H2866" t="s">
        <v>1239</v>
      </c>
      <c r="I2866" t="s">
        <v>1265</v>
      </c>
      <c r="J2866" t="s">
        <v>1271</v>
      </c>
      <c r="K2866" t="s">
        <v>1272</v>
      </c>
      <c r="L2866" t="s">
        <v>1295</v>
      </c>
      <c r="M2866" t="s">
        <v>1296</v>
      </c>
      <c r="N2866">
        <v>1</v>
      </c>
      <c r="O2866" t="str">
        <f t="shared" si="239"/>
        <v>26</v>
      </c>
      <c r="Q2866">
        <v>26</v>
      </c>
      <c r="R2866" t="s">
        <v>1269</v>
      </c>
      <c r="S2866">
        <v>0.76200000000000001</v>
      </c>
      <c r="T2866">
        <v>9.5299999999999996E-2</v>
      </c>
      <c r="U2866">
        <f t="shared" si="240"/>
        <v>0</v>
      </c>
      <c r="V2866" t="str">
        <f t="shared" si="237"/>
        <v>High Health/
Related Services</v>
      </c>
      <c r="W2866" t="str">
        <f t="shared" si="238"/>
        <v>Health/
Related Services</v>
      </c>
    </row>
    <row r="2867" spans="1:23" x14ac:dyDescent="0.25">
      <c r="A2867">
        <v>32901</v>
      </c>
      <c r="B2867" t="s">
        <v>1275</v>
      </c>
      <c r="C2867">
        <v>1.5</v>
      </c>
      <c r="D2867" t="s">
        <v>1264</v>
      </c>
      <c r="E2867">
        <v>105813</v>
      </c>
      <c r="F2867">
        <v>32901</v>
      </c>
      <c r="G2867" t="str">
        <f t="shared" si="236"/>
        <v>32901</v>
      </c>
      <c r="H2867" t="s">
        <v>1239</v>
      </c>
      <c r="I2867" t="s">
        <v>1265</v>
      </c>
      <c r="J2867" t="s">
        <v>1276</v>
      </c>
      <c r="K2867" t="s">
        <v>1277</v>
      </c>
      <c r="L2867" t="s">
        <v>1275</v>
      </c>
      <c r="M2867" t="s">
        <v>1278</v>
      </c>
      <c r="N2867">
        <v>1</v>
      </c>
      <c r="O2867" t="str">
        <f t="shared" si="239"/>
        <v>42</v>
      </c>
      <c r="P2867">
        <v>42</v>
      </c>
      <c r="R2867" t="s">
        <v>1269</v>
      </c>
      <c r="S2867">
        <v>1.5</v>
      </c>
      <c r="T2867">
        <v>9.5299999999999996E-2</v>
      </c>
      <c r="U2867">
        <f t="shared" si="240"/>
        <v>0</v>
      </c>
      <c r="V2867" t="str">
        <f t="shared" si="237"/>
        <v>Elementary Counselor</v>
      </c>
      <c r="W2867" t="str">
        <f t="shared" si="238"/>
        <v>Counselor</v>
      </c>
    </row>
    <row r="2868" spans="1:23" x14ac:dyDescent="0.25">
      <c r="A2868">
        <v>32901</v>
      </c>
      <c r="B2868" t="s">
        <v>1270</v>
      </c>
      <c r="C2868">
        <v>0.5</v>
      </c>
      <c r="D2868" t="s">
        <v>1264</v>
      </c>
      <c r="E2868">
        <v>105813</v>
      </c>
      <c r="F2868">
        <v>32901</v>
      </c>
      <c r="G2868" t="str">
        <f t="shared" si="236"/>
        <v>32901</v>
      </c>
      <c r="H2868" t="s">
        <v>1239</v>
      </c>
      <c r="I2868" t="s">
        <v>1265</v>
      </c>
      <c r="J2868" t="s">
        <v>1271</v>
      </c>
      <c r="K2868" t="s">
        <v>1272</v>
      </c>
      <c r="L2868" t="s">
        <v>1270</v>
      </c>
      <c r="M2868" t="s">
        <v>1273</v>
      </c>
      <c r="N2868">
        <v>1</v>
      </c>
      <c r="O2868" t="str">
        <f t="shared" si="239"/>
        <v>42</v>
      </c>
      <c r="P2868">
        <v>42</v>
      </c>
      <c r="R2868" t="s">
        <v>1269</v>
      </c>
      <c r="S2868">
        <v>0.5</v>
      </c>
      <c r="T2868">
        <v>9.5299999999999996E-2</v>
      </c>
      <c r="U2868">
        <f t="shared" si="240"/>
        <v>0</v>
      </c>
      <c r="V2868" t="str">
        <f t="shared" si="237"/>
        <v>High Counselor</v>
      </c>
      <c r="W2868" t="str">
        <f t="shared" si="238"/>
        <v>Counselor</v>
      </c>
    </row>
    <row r="2869" spans="1:23" x14ac:dyDescent="0.25">
      <c r="A2869">
        <v>32901</v>
      </c>
      <c r="B2869" t="s">
        <v>1263</v>
      </c>
      <c r="C2869">
        <v>1</v>
      </c>
      <c r="D2869" t="s">
        <v>1264</v>
      </c>
      <c r="E2869">
        <v>105813</v>
      </c>
      <c r="F2869">
        <v>32901</v>
      </c>
      <c r="G2869" t="str">
        <f t="shared" si="236"/>
        <v>32901</v>
      </c>
      <c r="H2869" t="s">
        <v>1239</v>
      </c>
      <c r="I2869" t="s">
        <v>1265</v>
      </c>
      <c r="J2869" t="s">
        <v>1266</v>
      </c>
      <c r="K2869" t="s">
        <v>1267</v>
      </c>
      <c r="L2869" t="s">
        <v>1263</v>
      </c>
      <c r="M2869" t="s">
        <v>1268</v>
      </c>
      <c r="N2869">
        <v>1</v>
      </c>
      <c r="O2869" t="str">
        <f t="shared" si="239"/>
        <v>42</v>
      </c>
      <c r="P2869">
        <v>42</v>
      </c>
      <c r="R2869" t="s">
        <v>1269</v>
      </c>
      <c r="S2869">
        <v>1</v>
      </c>
      <c r="T2869">
        <v>9.5299999999999996E-2</v>
      </c>
      <c r="U2869">
        <f t="shared" si="240"/>
        <v>0</v>
      </c>
      <c r="V2869" t="str">
        <f t="shared" si="237"/>
        <v>Middle Counselor</v>
      </c>
      <c r="W2869" t="str">
        <f t="shared" si="238"/>
        <v>Counselor</v>
      </c>
    </row>
    <row r="2870" spans="1:23" x14ac:dyDescent="0.25">
      <c r="A2870">
        <v>32901</v>
      </c>
      <c r="B2870" t="s">
        <v>1294</v>
      </c>
      <c r="C2870">
        <v>1</v>
      </c>
      <c r="D2870" t="s">
        <v>1264</v>
      </c>
      <c r="E2870">
        <v>105813</v>
      </c>
      <c r="F2870">
        <v>32901</v>
      </c>
      <c r="G2870" t="str">
        <f t="shared" si="236"/>
        <v>32901</v>
      </c>
      <c r="H2870" t="s">
        <v>1239</v>
      </c>
      <c r="I2870" t="s">
        <v>1265</v>
      </c>
      <c r="J2870" t="s">
        <v>1276</v>
      </c>
      <c r="K2870" t="s">
        <v>1277</v>
      </c>
      <c r="L2870" t="s">
        <v>1294</v>
      </c>
      <c r="M2870" t="s">
        <v>1354</v>
      </c>
      <c r="N2870">
        <v>21</v>
      </c>
      <c r="O2870" t="str">
        <f t="shared" si="239"/>
        <v>45</v>
      </c>
      <c r="P2870">
        <v>45</v>
      </c>
      <c r="R2870" t="s">
        <v>1269</v>
      </c>
      <c r="S2870">
        <v>1</v>
      </c>
      <c r="T2870">
        <v>9.5299999999999996E-2</v>
      </c>
      <c r="U2870">
        <f t="shared" si="240"/>
        <v>9.5000000000000001E-2</v>
      </c>
      <c r="V2870" t="str">
        <f t="shared" si="237"/>
        <v>Elementary Speech, Language Pathway/
Audio</v>
      </c>
      <c r="W2870" t="str">
        <f t="shared" si="238"/>
        <v>Speech, Language Pathway/
Audio</v>
      </c>
    </row>
    <row r="2871" spans="1:23" x14ac:dyDescent="0.25">
      <c r="A2871">
        <v>32903</v>
      </c>
      <c r="B2871" t="s">
        <v>1270</v>
      </c>
      <c r="C2871">
        <v>0.86</v>
      </c>
      <c r="D2871" t="s">
        <v>1264</v>
      </c>
      <c r="E2871">
        <v>106257</v>
      </c>
      <c r="F2871">
        <v>32903</v>
      </c>
      <c r="G2871" t="str">
        <f t="shared" si="236"/>
        <v>32903</v>
      </c>
      <c r="H2871" t="s">
        <v>1230</v>
      </c>
      <c r="I2871" t="s">
        <v>1265</v>
      </c>
      <c r="J2871" t="s">
        <v>1271</v>
      </c>
      <c r="K2871" t="s">
        <v>1272</v>
      </c>
      <c r="L2871" t="s">
        <v>1270</v>
      </c>
      <c r="M2871" t="s">
        <v>1273</v>
      </c>
      <c r="N2871">
        <v>1</v>
      </c>
      <c r="O2871" t="str">
        <f t="shared" si="239"/>
        <v>42</v>
      </c>
      <c r="P2871">
        <v>42</v>
      </c>
      <c r="R2871" t="s">
        <v>1269</v>
      </c>
      <c r="S2871">
        <v>0.86</v>
      </c>
      <c r="T2871">
        <v>0.13</v>
      </c>
      <c r="U2871">
        <f t="shared" si="240"/>
        <v>0</v>
      </c>
      <c r="V2871" t="str">
        <f t="shared" si="237"/>
        <v>High Counselor</v>
      </c>
      <c r="W2871" t="str">
        <f t="shared" si="238"/>
        <v>Counselor</v>
      </c>
    </row>
    <row r="2872" spans="1:23" x14ac:dyDescent="0.25">
      <c r="A2872">
        <v>32907</v>
      </c>
      <c r="B2872" t="s">
        <v>1382</v>
      </c>
      <c r="C2872">
        <v>1</v>
      </c>
      <c r="D2872" t="s">
        <v>1264</v>
      </c>
      <c r="E2872">
        <v>105675</v>
      </c>
      <c r="F2872">
        <v>32907</v>
      </c>
      <c r="G2872" t="str">
        <f t="shared" si="236"/>
        <v>32907</v>
      </c>
      <c r="H2872" t="s">
        <v>1636</v>
      </c>
      <c r="I2872" t="s">
        <v>1265</v>
      </c>
      <c r="J2872" t="s">
        <v>1271</v>
      </c>
      <c r="K2872" t="s">
        <v>1272</v>
      </c>
      <c r="L2872" t="s">
        <v>1382</v>
      </c>
      <c r="M2872" t="s">
        <v>1419</v>
      </c>
      <c r="N2872">
        <v>97</v>
      </c>
      <c r="O2872" t="str">
        <f t="shared" si="239"/>
        <v>24</v>
      </c>
      <c r="P2872">
        <v>96</v>
      </c>
      <c r="Q2872">
        <v>24</v>
      </c>
      <c r="R2872" t="s">
        <v>1269</v>
      </c>
      <c r="S2872">
        <v>1</v>
      </c>
      <c r="T2872">
        <v>0.12429999999999999</v>
      </c>
      <c r="U2872">
        <f t="shared" si="240"/>
        <v>0</v>
      </c>
      <c r="V2872" t="str">
        <f t="shared" si="237"/>
        <v>High Family Engagement Coordinator</v>
      </c>
      <c r="W2872" t="str">
        <f t="shared" si="238"/>
        <v>Family Engagement Coordinator</v>
      </c>
    </row>
    <row r="2873" spans="1:23" x14ac:dyDescent="0.25">
      <c r="A2873">
        <v>32907</v>
      </c>
      <c r="B2873" t="s">
        <v>1385</v>
      </c>
      <c r="C2873">
        <v>0.8</v>
      </c>
      <c r="D2873" t="s">
        <v>1264</v>
      </c>
      <c r="E2873">
        <v>105675</v>
      </c>
      <c r="F2873">
        <v>32907</v>
      </c>
      <c r="G2873" t="str">
        <f t="shared" si="236"/>
        <v>32907</v>
      </c>
      <c r="H2873" t="s">
        <v>1636</v>
      </c>
      <c r="I2873" t="s">
        <v>1265</v>
      </c>
      <c r="J2873" t="s">
        <v>1271</v>
      </c>
      <c r="K2873" t="s">
        <v>1272</v>
      </c>
      <c r="L2873" t="s">
        <v>1385</v>
      </c>
      <c r="M2873" t="s">
        <v>1421</v>
      </c>
      <c r="N2873">
        <v>21</v>
      </c>
      <c r="O2873" t="str">
        <f t="shared" si="239"/>
        <v>42</v>
      </c>
      <c r="P2873">
        <v>42</v>
      </c>
      <c r="R2873" t="s">
        <v>1269</v>
      </c>
      <c r="S2873">
        <v>0.8</v>
      </c>
      <c r="T2873">
        <v>0.12429999999999999</v>
      </c>
      <c r="U2873">
        <f t="shared" si="240"/>
        <v>9.9000000000000005E-2</v>
      </c>
      <c r="V2873" t="str">
        <f t="shared" si="237"/>
        <v>High Counselor</v>
      </c>
      <c r="W2873" t="str">
        <f t="shared" si="238"/>
        <v>Counselor</v>
      </c>
    </row>
    <row r="2874" spans="1:23" x14ac:dyDescent="0.25">
      <c r="A2874">
        <v>32907</v>
      </c>
      <c r="B2874" t="s">
        <v>1270</v>
      </c>
      <c r="C2874">
        <v>1</v>
      </c>
      <c r="D2874" t="s">
        <v>1264</v>
      </c>
      <c r="E2874">
        <v>105675</v>
      </c>
      <c r="F2874">
        <v>32907</v>
      </c>
      <c r="G2874" t="str">
        <f t="shared" si="236"/>
        <v>32907</v>
      </c>
      <c r="H2874" t="s">
        <v>1636</v>
      </c>
      <c r="I2874" t="s">
        <v>1265</v>
      </c>
      <c r="J2874" t="s">
        <v>1271</v>
      </c>
      <c r="K2874" t="s">
        <v>1272</v>
      </c>
      <c r="L2874" t="s">
        <v>1270</v>
      </c>
      <c r="M2874" t="s">
        <v>1273</v>
      </c>
      <c r="N2874">
        <v>1</v>
      </c>
      <c r="O2874" t="str">
        <f t="shared" si="239"/>
        <v>42</v>
      </c>
      <c r="P2874">
        <v>42</v>
      </c>
      <c r="R2874" t="s">
        <v>1269</v>
      </c>
      <c r="S2874">
        <v>1</v>
      </c>
      <c r="T2874">
        <v>0.12429999999999999</v>
      </c>
      <c r="U2874">
        <f t="shared" si="240"/>
        <v>0</v>
      </c>
      <c r="V2874" t="str">
        <f t="shared" si="237"/>
        <v>High Counselor</v>
      </c>
      <c r="W2874" t="str">
        <f t="shared" si="238"/>
        <v>Counselor</v>
      </c>
    </row>
    <row r="2875" spans="1:23" x14ac:dyDescent="0.25">
      <c r="A2875">
        <v>33030</v>
      </c>
      <c r="B2875" t="s">
        <v>1295</v>
      </c>
      <c r="C2875">
        <v>0.1</v>
      </c>
      <c r="D2875" t="s">
        <v>1264</v>
      </c>
      <c r="E2875">
        <v>100185</v>
      </c>
      <c r="F2875">
        <v>33030</v>
      </c>
      <c r="G2875" t="str">
        <f t="shared" si="236"/>
        <v>33030</v>
      </c>
      <c r="H2875" t="s">
        <v>536</v>
      </c>
      <c r="I2875" t="s">
        <v>1265</v>
      </c>
      <c r="J2875" t="s">
        <v>1271</v>
      </c>
      <c r="K2875" t="s">
        <v>1272</v>
      </c>
      <c r="L2875" t="s">
        <v>1295</v>
      </c>
      <c r="M2875" t="s">
        <v>1296</v>
      </c>
      <c r="N2875">
        <v>1</v>
      </c>
      <c r="O2875" t="str">
        <f t="shared" si="239"/>
        <v>26</v>
      </c>
      <c r="Q2875">
        <v>26</v>
      </c>
      <c r="R2875" t="s">
        <v>1269</v>
      </c>
      <c r="S2875">
        <v>0.1</v>
      </c>
      <c r="T2875">
        <v>0.17330000000000001</v>
      </c>
      <c r="U2875">
        <f t="shared" si="240"/>
        <v>0</v>
      </c>
      <c r="V2875" t="str">
        <f t="shared" si="237"/>
        <v>High Health/
Related Services</v>
      </c>
      <c r="W2875" t="str">
        <f t="shared" si="238"/>
        <v>Health/
Related Services</v>
      </c>
    </row>
    <row r="2876" spans="1:23" x14ac:dyDescent="0.25">
      <c r="A2876">
        <v>33036</v>
      </c>
      <c r="B2876" t="s">
        <v>1299</v>
      </c>
      <c r="C2876">
        <v>0.1</v>
      </c>
      <c r="D2876" t="s">
        <v>1264</v>
      </c>
      <c r="E2876">
        <v>100043</v>
      </c>
      <c r="F2876">
        <v>33036</v>
      </c>
      <c r="G2876" t="str">
        <f t="shared" si="236"/>
        <v>33036</v>
      </c>
      <c r="H2876" t="s">
        <v>537</v>
      </c>
      <c r="I2876" t="s">
        <v>1265</v>
      </c>
      <c r="J2876" t="s">
        <v>1271</v>
      </c>
      <c r="K2876" t="s">
        <v>1272</v>
      </c>
      <c r="L2876" t="s">
        <v>1299</v>
      </c>
      <c r="M2876" t="s">
        <v>1300</v>
      </c>
      <c r="N2876">
        <v>1</v>
      </c>
      <c r="O2876" t="str">
        <f t="shared" si="239"/>
        <v>25</v>
      </c>
      <c r="Q2876">
        <v>25</v>
      </c>
      <c r="R2876" t="s">
        <v>1269</v>
      </c>
      <c r="S2876">
        <v>0.1</v>
      </c>
      <c r="T2876">
        <v>0.2671</v>
      </c>
      <c r="U2876">
        <f t="shared" si="240"/>
        <v>0</v>
      </c>
      <c r="V2876" t="str">
        <f t="shared" si="237"/>
        <v>High Pupil Management</v>
      </c>
      <c r="W2876" t="str">
        <f t="shared" si="238"/>
        <v>Pupil Management</v>
      </c>
    </row>
    <row r="2877" spans="1:23" x14ac:dyDescent="0.25">
      <c r="A2877">
        <v>33036</v>
      </c>
      <c r="B2877" t="s">
        <v>1295</v>
      </c>
      <c r="C2877">
        <v>0.65900000000000003</v>
      </c>
      <c r="D2877" t="s">
        <v>1264</v>
      </c>
      <c r="E2877">
        <v>100043</v>
      </c>
      <c r="F2877">
        <v>33036</v>
      </c>
      <c r="G2877" t="str">
        <f t="shared" si="236"/>
        <v>33036</v>
      </c>
      <c r="H2877" t="s">
        <v>537</v>
      </c>
      <c r="I2877" t="s">
        <v>1265</v>
      </c>
      <c r="J2877" t="s">
        <v>1271</v>
      </c>
      <c r="K2877" t="s">
        <v>1272</v>
      </c>
      <c r="L2877" t="s">
        <v>1295</v>
      </c>
      <c r="M2877" t="s">
        <v>1296</v>
      </c>
      <c r="N2877">
        <v>1</v>
      </c>
      <c r="O2877" t="str">
        <f t="shared" si="239"/>
        <v>26</v>
      </c>
      <c r="Q2877">
        <v>26</v>
      </c>
      <c r="R2877" t="s">
        <v>1269</v>
      </c>
      <c r="S2877">
        <v>0.65900000000000003</v>
      </c>
      <c r="T2877">
        <v>0.2671</v>
      </c>
      <c r="U2877">
        <f t="shared" si="240"/>
        <v>0</v>
      </c>
      <c r="V2877" t="str">
        <f t="shared" si="237"/>
        <v>High Health/
Related Services</v>
      </c>
      <c r="W2877" t="str">
        <f t="shared" si="238"/>
        <v>Health/
Related Services</v>
      </c>
    </row>
    <row r="2878" spans="1:23" x14ac:dyDescent="0.25">
      <c r="A2878">
        <v>33036</v>
      </c>
      <c r="B2878" t="s">
        <v>1275</v>
      </c>
      <c r="C2878">
        <v>0.55000000000000004</v>
      </c>
      <c r="D2878" t="s">
        <v>1264</v>
      </c>
      <c r="E2878">
        <v>100043</v>
      </c>
      <c r="F2878">
        <v>33036</v>
      </c>
      <c r="G2878" t="str">
        <f t="shared" si="236"/>
        <v>33036</v>
      </c>
      <c r="H2878" t="s">
        <v>537</v>
      </c>
      <c r="I2878" t="s">
        <v>1265</v>
      </c>
      <c r="J2878" t="s">
        <v>1276</v>
      </c>
      <c r="K2878" t="s">
        <v>1277</v>
      </c>
      <c r="L2878" t="s">
        <v>1275</v>
      </c>
      <c r="M2878" t="s">
        <v>1278</v>
      </c>
      <c r="N2878">
        <v>1</v>
      </c>
      <c r="O2878" t="str">
        <f t="shared" si="239"/>
        <v>42</v>
      </c>
      <c r="P2878">
        <v>42</v>
      </c>
      <c r="R2878" t="s">
        <v>1269</v>
      </c>
      <c r="S2878">
        <v>0.55000000000000004</v>
      </c>
      <c r="T2878">
        <v>0.2671</v>
      </c>
      <c r="U2878">
        <f t="shared" si="240"/>
        <v>0</v>
      </c>
      <c r="V2878" t="str">
        <f t="shared" si="237"/>
        <v>Elementary Counselor</v>
      </c>
      <c r="W2878" t="str">
        <f t="shared" si="238"/>
        <v>Counselor</v>
      </c>
    </row>
    <row r="2879" spans="1:23" x14ac:dyDescent="0.25">
      <c r="A2879">
        <v>33036</v>
      </c>
      <c r="B2879" t="s">
        <v>1270</v>
      </c>
      <c r="C2879">
        <v>0.78</v>
      </c>
      <c r="D2879" t="s">
        <v>1264</v>
      </c>
      <c r="E2879">
        <v>100043</v>
      </c>
      <c r="F2879">
        <v>33036</v>
      </c>
      <c r="G2879" t="str">
        <f t="shared" si="236"/>
        <v>33036</v>
      </c>
      <c r="H2879" t="s">
        <v>537</v>
      </c>
      <c r="I2879" t="s">
        <v>1265</v>
      </c>
      <c r="J2879" t="s">
        <v>1271</v>
      </c>
      <c r="K2879" t="s">
        <v>1272</v>
      </c>
      <c r="L2879" t="s">
        <v>1270</v>
      </c>
      <c r="M2879" t="s">
        <v>1273</v>
      </c>
      <c r="N2879">
        <v>1</v>
      </c>
      <c r="O2879" t="str">
        <f t="shared" si="239"/>
        <v>42</v>
      </c>
      <c r="P2879">
        <v>42</v>
      </c>
      <c r="R2879" t="s">
        <v>1269</v>
      </c>
      <c r="S2879">
        <v>0.78</v>
      </c>
      <c r="T2879">
        <v>0.2671</v>
      </c>
      <c r="U2879">
        <f t="shared" si="240"/>
        <v>0</v>
      </c>
      <c r="V2879" t="str">
        <f t="shared" si="237"/>
        <v>High Counselor</v>
      </c>
      <c r="W2879" t="str">
        <f t="shared" si="238"/>
        <v>Counselor</v>
      </c>
    </row>
    <row r="2880" spans="1:23" x14ac:dyDescent="0.25">
      <c r="A2880">
        <v>33036</v>
      </c>
      <c r="B2880" t="s">
        <v>1294</v>
      </c>
      <c r="C2880">
        <v>0.81200000000000006</v>
      </c>
      <c r="D2880" t="s">
        <v>1264</v>
      </c>
      <c r="E2880">
        <v>100043</v>
      </c>
      <c r="F2880">
        <v>33036</v>
      </c>
      <c r="G2880" t="str">
        <f t="shared" si="236"/>
        <v>33036</v>
      </c>
      <c r="H2880" t="s">
        <v>537</v>
      </c>
      <c r="I2880" t="s">
        <v>1265</v>
      </c>
      <c r="J2880" t="s">
        <v>1276</v>
      </c>
      <c r="K2880" t="s">
        <v>1277</v>
      </c>
      <c r="L2880" t="s">
        <v>1294</v>
      </c>
      <c r="M2880" t="s">
        <v>1354</v>
      </c>
      <c r="N2880">
        <v>21</v>
      </c>
      <c r="O2880" t="str">
        <f t="shared" si="239"/>
        <v>45</v>
      </c>
      <c r="P2880">
        <v>45</v>
      </c>
      <c r="R2880" t="s">
        <v>1269</v>
      </c>
      <c r="S2880">
        <v>0.81200000000000006</v>
      </c>
      <c r="T2880">
        <v>0.2671</v>
      </c>
      <c r="U2880">
        <f t="shared" si="240"/>
        <v>0.217</v>
      </c>
      <c r="V2880" t="str">
        <f t="shared" si="237"/>
        <v>Elementary Speech, Language Pathway/
Audio</v>
      </c>
      <c r="W2880" t="str">
        <f t="shared" si="238"/>
        <v>Speech, Language Pathway/
Audio</v>
      </c>
    </row>
    <row r="2881" spans="1:23" x14ac:dyDescent="0.25">
      <c r="A2881">
        <v>33036</v>
      </c>
      <c r="B2881" t="s">
        <v>1326</v>
      </c>
      <c r="C2881">
        <v>8.3000000000000004E-2</v>
      </c>
      <c r="D2881" t="s">
        <v>1264</v>
      </c>
      <c r="E2881">
        <v>100043</v>
      </c>
      <c r="F2881">
        <v>33036</v>
      </c>
      <c r="G2881" t="str">
        <f t="shared" si="236"/>
        <v>33036</v>
      </c>
      <c r="H2881" t="s">
        <v>537</v>
      </c>
      <c r="I2881" t="s">
        <v>1265</v>
      </c>
      <c r="J2881" t="s">
        <v>1271</v>
      </c>
      <c r="K2881" t="s">
        <v>1272</v>
      </c>
      <c r="L2881" t="s">
        <v>1326</v>
      </c>
      <c r="M2881" t="s">
        <v>1353</v>
      </c>
      <c r="N2881">
        <v>21</v>
      </c>
      <c r="O2881" t="str">
        <f t="shared" si="239"/>
        <v>45</v>
      </c>
      <c r="P2881">
        <v>45</v>
      </c>
      <c r="R2881" t="s">
        <v>1269</v>
      </c>
      <c r="S2881">
        <v>8.3000000000000004E-2</v>
      </c>
      <c r="T2881">
        <v>0.2671</v>
      </c>
      <c r="U2881">
        <f t="shared" si="240"/>
        <v>2.1999999999999999E-2</v>
      </c>
      <c r="V2881" t="str">
        <f t="shared" si="237"/>
        <v>High Speech, Language Pathway/
Audio</v>
      </c>
      <c r="W2881" t="str">
        <f t="shared" si="238"/>
        <v>Speech, Language Pathway/
Audio</v>
      </c>
    </row>
    <row r="2882" spans="1:23" x14ac:dyDescent="0.25">
      <c r="A2882">
        <v>33036</v>
      </c>
      <c r="B2882" t="s">
        <v>1312</v>
      </c>
      <c r="C2882">
        <v>6.3E-2</v>
      </c>
      <c r="D2882" t="s">
        <v>1264</v>
      </c>
      <c r="E2882">
        <v>100043</v>
      </c>
      <c r="F2882">
        <v>33036</v>
      </c>
      <c r="G2882" t="str">
        <f t="shared" ref="G2882:G2945" si="241">TEXT(F2882,"00000")</f>
        <v>33036</v>
      </c>
      <c r="H2882" t="s">
        <v>537</v>
      </c>
      <c r="I2882" t="s">
        <v>1265</v>
      </c>
      <c r="J2882" t="s">
        <v>1266</v>
      </c>
      <c r="K2882" t="s">
        <v>1267</v>
      </c>
      <c r="L2882" t="s">
        <v>1312</v>
      </c>
      <c r="M2882" t="s">
        <v>1351</v>
      </c>
      <c r="N2882">
        <v>21</v>
      </c>
      <c r="O2882" t="str">
        <f t="shared" si="239"/>
        <v>45</v>
      </c>
      <c r="P2882">
        <v>45</v>
      </c>
      <c r="R2882" t="s">
        <v>1269</v>
      </c>
      <c r="S2882">
        <v>6.3E-2</v>
      </c>
      <c r="T2882">
        <v>0.2671</v>
      </c>
      <c r="U2882">
        <f t="shared" si="240"/>
        <v>1.7000000000000001E-2</v>
      </c>
      <c r="V2882" t="str">
        <f t="shared" ref="V2882:V2945" si="242">_xlfn.XLOOKUP(L2882,$BV:$BV,$BT:$BT,,0)</f>
        <v>Middle Speech, Language Pathway/
Audio</v>
      </c>
      <c r="W2882" t="str">
        <f t="shared" ref="W2882:W2945" si="243">_xlfn.TEXTAFTER(V2882," ")</f>
        <v>Speech, Language Pathway/
Audio</v>
      </c>
    </row>
    <row r="2883" spans="1:23" x14ac:dyDescent="0.25">
      <c r="A2883">
        <v>33036</v>
      </c>
      <c r="B2883" t="s">
        <v>1298</v>
      </c>
      <c r="C2883">
        <v>0.50900000000000001</v>
      </c>
      <c r="D2883" t="s">
        <v>1264</v>
      </c>
      <c r="E2883">
        <v>100043</v>
      </c>
      <c r="F2883">
        <v>33036</v>
      </c>
      <c r="G2883" t="str">
        <f t="shared" si="241"/>
        <v>33036</v>
      </c>
      <c r="H2883" t="s">
        <v>537</v>
      </c>
      <c r="I2883" t="s">
        <v>1265</v>
      </c>
      <c r="J2883" t="s">
        <v>1276</v>
      </c>
      <c r="K2883" t="s">
        <v>1277</v>
      </c>
      <c r="L2883" t="s">
        <v>1298</v>
      </c>
      <c r="M2883" t="s">
        <v>1349</v>
      </c>
      <c r="N2883">
        <v>21</v>
      </c>
      <c r="O2883" t="str">
        <f t="shared" ref="O2883:O2946" si="244">MID(L2883,3,2)</f>
        <v>46</v>
      </c>
      <c r="P2883">
        <v>46</v>
      </c>
      <c r="R2883" t="s">
        <v>1269</v>
      </c>
      <c r="S2883">
        <v>0.50900000000000001</v>
      </c>
      <c r="T2883">
        <v>0.2671</v>
      </c>
      <c r="U2883">
        <f t="shared" ref="U2883:U2946" si="245">IF(N2883=21,ROUND(T2883*S2883,3),0)</f>
        <v>0.13600000000000001</v>
      </c>
      <c r="V2883" t="str">
        <f t="shared" si="242"/>
        <v>Elementary Psychologist</v>
      </c>
      <c r="W2883" t="str">
        <f t="shared" si="243"/>
        <v>Psychologist</v>
      </c>
    </row>
    <row r="2884" spans="1:23" x14ac:dyDescent="0.25">
      <c r="A2884">
        <v>33036</v>
      </c>
      <c r="B2884" t="s">
        <v>1309</v>
      </c>
      <c r="C2884">
        <v>0.254</v>
      </c>
      <c r="D2884" t="s">
        <v>1264</v>
      </c>
      <c r="E2884">
        <v>100043</v>
      </c>
      <c r="F2884">
        <v>33036</v>
      </c>
      <c r="G2884" t="str">
        <f t="shared" si="241"/>
        <v>33036</v>
      </c>
      <c r="H2884" t="s">
        <v>537</v>
      </c>
      <c r="I2884" t="s">
        <v>1265</v>
      </c>
      <c r="J2884" t="s">
        <v>1271</v>
      </c>
      <c r="K2884" t="s">
        <v>1272</v>
      </c>
      <c r="L2884" t="s">
        <v>1309</v>
      </c>
      <c r="M2884" t="s">
        <v>1310</v>
      </c>
      <c r="N2884">
        <v>21</v>
      </c>
      <c r="O2884" t="str">
        <f t="shared" si="244"/>
        <v>46</v>
      </c>
      <c r="P2884">
        <v>46</v>
      </c>
      <c r="R2884" t="s">
        <v>1269</v>
      </c>
      <c r="S2884">
        <v>0.254</v>
      </c>
      <c r="T2884">
        <v>0.2671</v>
      </c>
      <c r="U2884">
        <f t="shared" si="245"/>
        <v>6.8000000000000005E-2</v>
      </c>
      <c r="V2884" t="str">
        <f t="shared" si="242"/>
        <v>High Psychologist</v>
      </c>
      <c r="W2884" t="str">
        <f t="shared" si="243"/>
        <v>Psychologist</v>
      </c>
    </row>
    <row r="2885" spans="1:23" x14ac:dyDescent="0.25">
      <c r="A2885">
        <v>33036</v>
      </c>
      <c r="B2885" t="s">
        <v>1345</v>
      </c>
      <c r="C2885">
        <v>0.221</v>
      </c>
      <c r="D2885" t="s">
        <v>1264</v>
      </c>
      <c r="E2885">
        <v>100043</v>
      </c>
      <c r="F2885">
        <v>33036</v>
      </c>
      <c r="G2885" t="str">
        <f t="shared" si="241"/>
        <v>33036</v>
      </c>
      <c r="H2885" t="s">
        <v>537</v>
      </c>
      <c r="I2885" t="s">
        <v>1265</v>
      </c>
      <c r="J2885" t="s">
        <v>1266</v>
      </c>
      <c r="K2885" t="s">
        <v>1267</v>
      </c>
      <c r="L2885" t="s">
        <v>1345</v>
      </c>
      <c r="M2885" t="s">
        <v>1346</v>
      </c>
      <c r="N2885">
        <v>21</v>
      </c>
      <c r="O2885" t="str">
        <f t="shared" si="244"/>
        <v>46</v>
      </c>
      <c r="P2885">
        <v>46</v>
      </c>
      <c r="R2885" t="s">
        <v>1269</v>
      </c>
      <c r="S2885">
        <v>0.221</v>
      </c>
      <c r="T2885">
        <v>0.2671</v>
      </c>
      <c r="U2885">
        <f t="shared" si="245"/>
        <v>5.8999999999999997E-2</v>
      </c>
      <c r="V2885" t="str">
        <f t="shared" si="242"/>
        <v>Middle Psychologist</v>
      </c>
      <c r="W2885" t="str">
        <f t="shared" si="243"/>
        <v>Psychologist</v>
      </c>
    </row>
    <row r="2886" spans="1:23" x14ac:dyDescent="0.25">
      <c r="A2886">
        <v>33036</v>
      </c>
      <c r="B2886" t="s">
        <v>1335</v>
      </c>
      <c r="C2886">
        <v>0.54</v>
      </c>
      <c r="D2886" t="s">
        <v>1264</v>
      </c>
      <c r="E2886">
        <v>100043</v>
      </c>
      <c r="F2886">
        <v>33036</v>
      </c>
      <c r="G2886" t="str">
        <f t="shared" si="241"/>
        <v>33036</v>
      </c>
      <c r="H2886" t="s">
        <v>537</v>
      </c>
      <c r="I2886" t="s">
        <v>1265</v>
      </c>
      <c r="J2886" t="s">
        <v>1276</v>
      </c>
      <c r="K2886" t="s">
        <v>1277</v>
      </c>
      <c r="L2886" t="s">
        <v>1335</v>
      </c>
      <c r="M2886" t="s">
        <v>1344</v>
      </c>
      <c r="N2886">
        <v>1</v>
      </c>
      <c r="O2886" t="str">
        <f t="shared" si="244"/>
        <v>47</v>
      </c>
      <c r="P2886">
        <v>47</v>
      </c>
      <c r="R2886" t="s">
        <v>1269</v>
      </c>
      <c r="S2886">
        <v>0.54</v>
      </c>
      <c r="T2886">
        <v>0.2671</v>
      </c>
      <c r="U2886">
        <f t="shared" si="245"/>
        <v>0</v>
      </c>
      <c r="V2886" t="str">
        <f t="shared" si="242"/>
        <v>Elementary Nurse</v>
      </c>
      <c r="W2886" t="str">
        <f t="shared" si="243"/>
        <v>Nurse</v>
      </c>
    </row>
    <row r="2887" spans="1:23" x14ac:dyDescent="0.25">
      <c r="A2887">
        <v>33036</v>
      </c>
      <c r="B2887" t="s">
        <v>1341</v>
      </c>
      <c r="C2887">
        <v>0.31</v>
      </c>
      <c r="D2887" t="s">
        <v>1264</v>
      </c>
      <c r="E2887">
        <v>100043</v>
      </c>
      <c r="F2887">
        <v>33036</v>
      </c>
      <c r="G2887" t="str">
        <f t="shared" si="241"/>
        <v>33036</v>
      </c>
      <c r="H2887" t="s">
        <v>537</v>
      </c>
      <c r="I2887" t="s">
        <v>1265</v>
      </c>
      <c r="J2887" t="s">
        <v>1271</v>
      </c>
      <c r="K2887" t="s">
        <v>1272</v>
      </c>
      <c r="L2887" t="s">
        <v>1341</v>
      </c>
      <c r="M2887" t="s">
        <v>1342</v>
      </c>
      <c r="N2887">
        <v>1</v>
      </c>
      <c r="O2887" t="str">
        <f t="shared" si="244"/>
        <v>47</v>
      </c>
      <c r="P2887">
        <v>47</v>
      </c>
      <c r="R2887" t="s">
        <v>1269</v>
      </c>
      <c r="S2887">
        <v>0.31</v>
      </c>
      <c r="T2887">
        <v>0.2671</v>
      </c>
      <c r="U2887">
        <f t="shared" si="245"/>
        <v>0</v>
      </c>
      <c r="V2887" t="str">
        <f t="shared" si="242"/>
        <v>High Nurse</v>
      </c>
      <c r="W2887" t="str">
        <f t="shared" si="243"/>
        <v>Nurse</v>
      </c>
    </row>
    <row r="2888" spans="1:23" x14ac:dyDescent="0.25">
      <c r="A2888">
        <v>33036</v>
      </c>
      <c r="B2888" t="s">
        <v>1338</v>
      </c>
      <c r="C2888">
        <v>0.15</v>
      </c>
      <c r="D2888" t="s">
        <v>1264</v>
      </c>
      <c r="E2888">
        <v>100043</v>
      </c>
      <c r="F2888">
        <v>33036</v>
      </c>
      <c r="G2888" t="str">
        <f t="shared" si="241"/>
        <v>33036</v>
      </c>
      <c r="H2888" t="s">
        <v>537</v>
      </c>
      <c r="I2888" t="s">
        <v>1265</v>
      </c>
      <c r="J2888" t="s">
        <v>1266</v>
      </c>
      <c r="K2888" t="s">
        <v>1267</v>
      </c>
      <c r="L2888" t="s">
        <v>1338</v>
      </c>
      <c r="M2888" t="s">
        <v>1339</v>
      </c>
      <c r="N2888">
        <v>1</v>
      </c>
      <c r="O2888" t="str">
        <f t="shared" si="244"/>
        <v>47</v>
      </c>
      <c r="P2888">
        <v>47</v>
      </c>
      <c r="R2888" t="s">
        <v>1269</v>
      </c>
      <c r="S2888">
        <v>0.15</v>
      </c>
      <c r="T2888">
        <v>0.2671</v>
      </c>
      <c r="U2888">
        <f t="shared" si="245"/>
        <v>0</v>
      </c>
      <c r="V2888" t="str">
        <f t="shared" si="242"/>
        <v>Middle Nurse</v>
      </c>
      <c r="W2888" t="str">
        <f t="shared" si="243"/>
        <v>Nurse</v>
      </c>
    </row>
    <row r="2889" spans="1:23" x14ac:dyDescent="0.25">
      <c r="A2889">
        <v>33049</v>
      </c>
      <c r="B2889" t="s">
        <v>1275</v>
      </c>
      <c r="C2889">
        <v>1</v>
      </c>
      <c r="D2889" t="s">
        <v>1264</v>
      </c>
      <c r="E2889">
        <v>100289</v>
      </c>
      <c r="F2889">
        <v>33049</v>
      </c>
      <c r="G2889" t="str">
        <f t="shared" si="241"/>
        <v>33049</v>
      </c>
      <c r="H2889" t="s">
        <v>538</v>
      </c>
      <c r="I2889" t="s">
        <v>1265</v>
      </c>
      <c r="J2889" t="s">
        <v>1276</v>
      </c>
      <c r="K2889" t="s">
        <v>1277</v>
      </c>
      <c r="L2889" t="s">
        <v>1275</v>
      </c>
      <c r="M2889" t="s">
        <v>1278</v>
      </c>
      <c r="N2889">
        <v>1</v>
      </c>
      <c r="O2889" t="str">
        <f t="shared" si="244"/>
        <v>42</v>
      </c>
      <c r="P2889">
        <v>42</v>
      </c>
      <c r="R2889" t="s">
        <v>1269</v>
      </c>
      <c r="S2889">
        <v>1</v>
      </c>
      <c r="T2889">
        <v>0.151</v>
      </c>
      <c r="U2889">
        <f t="shared" si="245"/>
        <v>0</v>
      </c>
      <c r="V2889" t="str">
        <f t="shared" si="242"/>
        <v>Elementary Counselor</v>
      </c>
      <c r="W2889" t="str">
        <f t="shared" si="243"/>
        <v>Counselor</v>
      </c>
    </row>
    <row r="2890" spans="1:23" x14ac:dyDescent="0.25">
      <c r="A2890">
        <v>33049</v>
      </c>
      <c r="B2890" t="s">
        <v>1270</v>
      </c>
      <c r="C2890">
        <v>0.5</v>
      </c>
      <c r="D2890" t="s">
        <v>1264</v>
      </c>
      <c r="E2890">
        <v>100289</v>
      </c>
      <c r="F2890">
        <v>33049</v>
      </c>
      <c r="G2890" t="str">
        <f t="shared" si="241"/>
        <v>33049</v>
      </c>
      <c r="H2890" t="s">
        <v>538</v>
      </c>
      <c r="I2890" t="s">
        <v>1265</v>
      </c>
      <c r="J2890" t="s">
        <v>1271</v>
      </c>
      <c r="K2890" t="s">
        <v>1272</v>
      </c>
      <c r="L2890" t="s">
        <v>1270</v>
      </c>
      <c r="M2890" t="s">
        <v>1273</v>
      </c>
      <c r="N2890">
        <v>1</v>
      </c>
      <c r="O2890" t="str">
        <f t="shared" si="244"/>
        <v>42</v>
      </c>
      <c r="P2890">
        <v>42</v>
      </c>
      <c r="R2890" t="s">
        <v>1269</v>
      </c>
      <c r="S2890">
        <v>0.5</v>
      </c>
      <c r="T2890">
        <v>0.151</v>
      </c>
      <c r="U2890">
        <f t="shared" si="245"/>
        <v>0</v>
      </c>
      <c r="V2890" t="str">
        <f t="shared" si="242"/>
        <v>High Counselor</v>
      </c>
      <c r="W2890" t="str">
        <f t="shared" si="243"/>
        <v>Counselor</v>
      </c>
    </row>
    <row r="2891" spans="1:23" x14ac:dyDescent="0.25">
      <c r="A2891">
        <v>33049</v>
      </c>
      <c r="B2891" t="s">
        <v>1263</v>
      </c>
      <c r="C2891">
        <v>0.5</v>
      </c>
      <c r="D2891" t="s">
        <v>1264</v>
      </c>
      <c r="E2891">
        <v>100289</v>
      </c>
      <c r="F2891">
        <v>33049</v>
      </c>
      <c r="G2891" t="str">
        <f t="shared" si="241"/>
        <v>33049</v>
      </c>
      <c r="H2891" t="s">
        <v>538</v>
      </c>
      <c r="I2891" t="s">
        <v>1265</v>
      </c>
      <c r="J2891" t="s">
        <v>1266</v>
      </c>
      <c r="K2891" t="s">
        <v>1267</v>
      </c>
      <c r="L2891" t="s">
        <v>1263</v>
      </c>
      <c r="M2891" t="s">
        <v>1268</v>
      </c>
      <c r="N2891">
        <v>1</v>
      </c>
      <c r="O2891" t="str">
        <f t="shared" si="244"/>
        <v>42</v>
      </c>
      <c r="P2891">
        <v>42</v>
      </c>
      <c r="R2891" t="s">
        <v>1269</v>
      </c>
      <c r="S2891">
        <v>0.5</v>
      </c>
      <c r="T2891">
        <v>0.151</v>
      </c>
      <c r="U2891">
        <f t="shared" si="245"/>
        <v>0</v>
      </c>
      <c r="V2891" t="str">
        <f t="shared" si="242"/>
        <v>Middle Counselor</v>
      </c>
      <c r="W2891" t="str">
        <f t="shared" si="243"/>
        <v>Counselor</v>
      </c>
    </row>
    <row r="2892" spans="1:23" x14ac:dyDescent="0.25">
      <c r="A2892">
        <v>33070</v>
      </c>
      <c r="B2892" t="s">
        <v>1299</v>
      </c>
      <c r="C2892">
        <v>1.365</v>
      </c>
      <c r="D2892" t="s">
        <v>1264</v>
      </c>
      <c r="E2892">
        <v>100277</v>
      </c>
      <c r="F2892">
        <v>33070</v>
      </c>
      <c r="G2892" t="str">
        <f t="shared" si="241"/>
        <v>33070</v>
      </c>
      <c r="H2892" t="s">
        <v>539</v>
      </c>
      <c r="I2892" t="s">
        <v>1265</v>
      </c>
      <c r="J2892" t="s">
        <v>1271</v>
      </c>
      <c r="K2892" t="s">
        <v>1272</v>
      </c>
      <c r="L2892" t="s">
        <v>1299</v>
      </c>
      <c r="M2892" t="s">
        <v>1300</v>
      </c>
      <c r="N2892">
        <v>1</v>
      </c>
      <c r="O2892" t="str">
        <f t="shared" si="244"/>
        <v>25</v>
      </c>
      <c r="Q2892">
        <v>25</v>
      </c>
      <c r="R2892" t="s">
        <v>1269</v>
      </c>
      <c r="S2892">
        <v>1.365</v>
      </c>
      <c r="T2892">
        <v>0.1128</v>
      </c>
      <c r="U2892">
        <f t="shared" si="245"/>
        <v>0</v>
      </c>
      <c r="V2892" t="str">
        <f t="shared" si="242"/>
        <v>High Pupil Management</v>
      </c>
      <c r="W2892" t="str">
        <f t="shared" si="243"/>
        <v>Pupil Management</v>
      </c>
    </row>
    <row r="2893" spans="1:23" x14ac:dyDescent="0.25">
      <c r="A2893">
        <v>33070</v>
      </c>
      <c r="B2893" t="s">
        <v>1275</v>
      </c>
      <c r="C2893">
        <v>0.39</v>
      </c>
      <c r="D2893" t="s">
        <v>1264</v>
      </c>
      <c r="E2893">
        <v>100277</v>
      </c>
      <c r="F2893">
        <v>33070</v>
      </c>
      <c r="G2893" t="str">
        <f t="shared" si="241"/>
        <v>33070</v>
      </c>
      <c r="H2893" t="s">
        <v>539</v>
      </c>
      <c r="I2893" t="s">
        <v>1265</v>
      </c>
      <c r="J2893" t="s">
        <v>1276</v>
      </c>
      <c r="K2893" t="s">
        <v>1277</v>
      </c>
      <c r="L2893" t="s">
        <v>1275</v>
      </c>
      <c r="M2893" t="s">
        <v>1278</v>
      </c>
      <c r="N2893">
        <v>1</v>
      </c>
      <c r="O2893" t="str">
        <f t="shared" si="244"/>
        <v>42</v>
      </c>
      <c r="P2893">
        <v>42</v>
      </c>
      <c r="R2893" t="s">
        <v>1269</v>
      </c>
      <c r="S2893">
        <v>0.39</v>
      </c>
      <c r="T2893">
        <v>0.1128</v>
      </c>
      <c r="U2893">
        <f t="shared" si="245"/>
        <v>0</v>
      </c>
      <c r="V2893" t="str">
        <f t="shared" si="242"/>
        <v>Elementary Counselor</v>
      </c>
      <c r="W2893" t="str">
        <f t="shared" si="243"/>
        <v>Counselor</v>
      </c>
    </row>
    <row r="2894" spans="1:23" x14ac:dyDescent="0.25">
      <c r="A2894">
        <v>33070</v>
      </c>
      <c r="B2894" t="s">
        <v>1270</v>
      </c>
      <c r="C2894">
        <v>0.4</v>
      </c>
      <c r="D2894" t="s">
        <v>1264</v>
      </c>
      <c r="E2894">
        <v>100277</v>
      </c>
      <c r="F2894">
        <v>33070</v>
      </c>
      <c r="G2894" t="str">
        <f t="shared" si="241"/>
        <v>33070</v>
      </c>
      <c r="H2894" t="s">
        <v>539</v>
      </c>
      <c r="I2894" t="s">
        <v>1265</v>
      </c>
      <c r="J2894" t="s">
        <v>1271</v>
      </c>
      <c r="K2894" t="s">
        <v>1272</v>
      </c>
      <c r="L2894" t="s">
        <v>1270</v>
      </c>
      <c r="M2894" t="s">
        <v>1273</v>
      </c>
      <c r="N2894">
        <v>1</v>
      </c>
      <c r="O2894" t="str">
        <f t="shared" si="244"/>
        <v>42</v>
      </c>
      <c r="P2894">
        <v>42</v>
      </c>
      <c r="R2894" t="s">
        <v>1269</v>
      </c>
      <c r="S2894">
        <v>0.4</v>
      </c>
      <c r="T2894">
        <v>0.1128</v>
      </c>
      <c r="U2894">
        <f t="shared" si="245"/>
        <v>0</v>
      </c>
      <c r="V2894" t="str">
        <f t="shared" si="242"/>
        <v>High Counselor</v>
      </c>
      <c r="W2894" t="str">
        <f t="shared" si="243"/>
        <v>Counselor</v>
      </c>
    </row>
    <row r="2895" spans="1:23" x14ac:dyDescent="0.25">
      <c r="A2895">
        <v>33070</v>
      </c>
      <c r="B2895" t="s">
        <v>1263</v>
      </c>
      <c r="C2895">
        <v>0.21</v>
      </c>
      <c r="D2895" t="s">
        <v>1264</v>
      </c>
      <c r="E2895">
        <v>100277</v>
      </c>
      <c r="F2895">
        <v>33070</v>
      </c>
      <c r="G2895" t="str">
        <f t="shared" si="241"/>
        <v>33070</v>
      </c>
      <c r="H2895" t="s">
        <v>539</v>
      </c>
      <c r="I2895" t="s">
        <v>1265</v>
      </c>
      <c r="J2895" t="s">
        <v>1266</v>
      </c>
      <c r="K2895" t="s">
        <v>1267</v>
      </c>
      <c r="L2895" t="s">
        <v>1263</v>
      </c>
      <c r="M2895" t="s">
        <v>1268</v>
      </c>
      <c r="N2895">
        <v>1</v>
      </c>
      <c r="O2895" t="str">
        <f t="shared" si="244"/>
        <v>42</v>
      </c>
      <c r="P2895">
        <v>42</v>
      </c>
      <c r="R2895" t="s">
        <v>1269</v>
      </c>
      <c r="S2895">
        <v>0.21</v>
      </c>
      <c r="T2895">
        <v>0.1128</v>
      </c>
      <c r="U2895">
        <f t="shared" si="245"/>
        <v>0</v>
      </c>
      <c r="V2895" t="str">
        <f t="shared" si="242"/>
        <v>Middle Counselor</v>
      </c>
      <c r="W2895" t="str">
        <f t="shared" si="243"/>
        <v>Counselor</v>
      </c>
    </row>
    <row r="2896" spans="1:23" x14ac:dyDescent="0.25">
      <c r="A2896">
        <v>33115</v>
      </c>
      <c r="B2896" t="s">
        <v>1311</v>
      </c>
      <c r="C2896">
        <v>0.60599999999999998</v>
      </c>
      <c r="D2896" t="s">
        <v>1264</v>
      </c>
      <c r="E2896">
        <v>100053</v>
      </c>
      <c r="F2896">
        <v>33115</v>
      </c>
      <c r="G2896" t="str">
        <f t="shared" si="241"/>
        <v>33115</v>
      </c>
      <c r="H2896" t="s">
        <v>540</v>
      </c>
      <c r="I2896" t="s">
        <v>1265</v>
      </c>
      <c r="J2896" t="s">
        <v>1276</v>
      </c>
      <c r="K2896" t="s">
        <v>1277</v>
      </c>
      <c r="L2896" t="s">
        <v>1311</v>
      </c>
      <c r="M2896" t="s">
        <v>1327</v>
      </c>
      <c r="N2896">
        <v>21</v>
      </c>
      <c r="O2896" t="str">
        <f t="shared" si="244"/>
        <v>26</v>
      </c>
      <c r="Q2896">
        <v>26</v>
      </c>
      <c r="R2896" t="s">
        <v>1269</v>
      </c>
      <c r="S2896">
        <v>0.60599999999999998</v>
      </c>
      <c r="T2896">
        <v>0.22</v>
      </c>
      <c r="U2896">
        <f t="shared" si="245"/>
        <v>0.13300000000000001</v>
      </c>
      <c r="V2896" t="str">
        <f t="shared" si="242"/>
        <v>Elementary Health/
Related Services</v>
      </c>
      <c r="W2896" t="str">
        <f t="shared" si="243"/>
        <v>Health/
Related Services</v>
      </c>
    </row>
    <row r="2897" spans="1:23" x14ac:dyDescent="0.25">
      <c r="A2897">
        <v>33115</v>
      </c>
      <c r="B2897" t="s">
        <v>1315</v>
      </c>
      <c r="C2897">
        <v>0.70299999999999996</v>
      </c>
      <c r="D2897" t="s">
        <v>1264</v>
      </c>
      <c r="E2897">
        <v>100053</v>
      </c>
      <c r="F2897">
        <v>33115</v>
      </c>
      <c r="G2897" t="str">
        <f t="shared" si="241"/>
        <v>33115</v>
      </c>
      <c r="H2897" t="s">
        <v>540</v>
      </c>
      <c r="I2897" t="s">
        <v>1265</v>
      </c>
      <c r="J2897" t="s">
        <v>1276</v>
      </c>
      <c r="K2897" t="s">
        <v>1277</v>
      </c>
      <c r="L2897" t="s">
        <v>1315</v>
      </c>
      <c r="M2897" t="s">
        <v>1375</v>
      </c>
      <c r="N2897">
        <v>1</v>
      </c>
      <c r="O2897" t="str">
        <f t="shared" si="244"/>
        <v>26</v>
      </c>
      <c r="Q2897">
        <v>26</v>
      </c>
      <c r="R2897" t="s">
        <v>1269</v>
      </c>
      <c r="S2897">
        <v>0.70299999999999996</v>
      </c>
      <c r="T2897">
        <v>0.22</v>
      </c>
      <c r="U2897">
        <f t="shared" si="245"/>
        <v>0</v>
      </c>
      <c r="V2897" t="str">
        <f t="shared" si="242"/>
        <v>Elementary Health/
Related Services</v>
      </c>
      <c r="W2897" t="str">
        <f t="shared" si="243"/>
        <v>Health/
Related Services</v>
      </c>
    </row>
    <row r="2898" spans="1:23" x14ac:dyDescent="0.25">
      <c r="A2898">
        <v>33115</v>
      </c>
      <c r="B2898" t="s">
        <v>1401</v>
      </c>
      <c r="C2898">
        <v>0.5</v>
      </c>
      <c r="D2898" t="s">
        <v>1264</v>
      </c>
      <c r="E2898">
        <v>100053</v>
      </c>
      <c r="F2898">
        <v>33115</v>
      </c>
      <c r="G2898" t="str">
        <f t="shared" si="241"/>
        <v>33115</v>
      </c>
      <c r="H2898" t="s">
        <v>540</v>
      </c>
      <c r="I2898" t="s">
        <v>1265</v>
      </c>
      <c r="J2898" t="s">
        <v>1271</v>
      </c>
      <c r="K2898" t="s">
        <v>1272</v>
      </c>
      <c r="L2898" t="s">
        <v>1401</v>
      </c>
      <c r="M2898" t="s">
        <v>1422</v>
      </c>
      <c r="N2898">
        <v>1</v>
      </c>
      <c r="O2898" t="str">
        <f t="shared" si="244"/>
        <v>35</v>
      </c>
      <c r="Q2898">
        <v>35</v>
      </c>
      <c r="R2898" t="s">
        <v>1269</v>
      </c>
      <c r="S2898">
        <v>0.5</v>
      </c>
      <c r="T2898">
        <v>0.22</v>
      </c>
      <c r="U2898">
        <f t="shared" si="245"/>
        <v>0</v>
      </c>
      <c r="V2898" t="str">
        <f t="shared" si="242"/>
        <v>High Pupil Safety</v>
      </c>
      <c r="W2898" t="str">
        <f t="shared" si="243"/>
        <v>Pupil Safety</v>
      </c>
    </row>
    <row r="2899" spans="1:23" x14ac:dyDescent="0.25">
      <c r="A2899">
        <v>33115</v>
      </c>
      <c r="B2899" t="s">
        <v>1275</v>
      </c>
      <c r="C2899">
        <v>2.33</v>
      </c>
      <c r="D2899" t="s">
        <v>1264</v>
      </c>
      <c r="E2899">
        <v>100053</v>
      </c>
      <c r="F2899">
        <v>33115</v>
      </c>
      <c r="G2899" t="str">
        <f t="shared" si="241"/>
        <v>33115</v>
      </c>
      <c r="H2899" t="s">
        <v>540</v>
      </c>
      <c r="I2899" t="s">
        <v>1265</v>
      </c>
      <c r="J2899" t="s">
        <v>1276</v>
      </c>
      <c r="K2899" t="s">
        <v>1277</v>
      </c>
      <c r="L2899" t="s">
        <v>1275</v>
      </c>
      <c r="M2899" t="s">
        <v>1278</v>
      </c>
      <c r="N2899">
        <v>1</v>
      </c>
      <c r="O2899" t="str">
        <f t="shared" si="244"/>
        <v>42</v>
      </c>
      <c r="P2899">
        <v>42</v>
      </c>
      <c r="R2899" t="s">
        <v>1269</v>
      </c>
      <c r="S2899">
        <v>2.33</v>
      </c>
      <c r="T2899">
        <v>0.22</v>
      </c>
      <c r="U2899">
        <f t="shared" si="245"/>
        <v>0</v>
      </c>
      <c r="V2899" t="str">
        <f t="shared" si="242"/>
        <v>Elementary Counselor</v>
      </c>
      <c r="W2899" t="str">
        <f t="shared" si="243"/>
        <v>Counselor</v>
      </c>
    </row>
    <row r="2900" spans="1:23" x14ac:dyDescent="0.25">
      <c r="A2900">
        <v>33115</v>
      </c>
      <c r="B2900" t="s">
        <v>1270</v>
      </c>
      <c r="C2900">
        <v>2</v>
      </c>
      <c r="D2900" t="s">
        <v>1264</v>
      </c>
      <c r="E2900">
        <v>100053</v>
      </c>
      <c r="F2900">
        <v>33115</v>
      </c>
      <c r="G2900" t="str">
        <f t="shared" si="241"/>
        <v>33115</v>
      </c>
      <c r="H2900" t="s">
        <v>540</v>
      </c>
      <c r="I2900" t="s">
        <v>1265</v>
      </c>
      <c r="J2900" t="s">
        <v>1271</v>
      </c>
      <c r="K2900" t="s">
        <v>1272</v>
      </c>
      <c r="L2900" t="s">
        <v>1270</v>
      </c>
      <c r="M2900" t="s">
        <v>1273</v>
      </c>
      <c r="N2900">
        <v>1</v>
      </c>
      <c r="O2900" t="str">
        <f t="shared" si="244"/>
        <v>42</v>
      </c>
      <c r="P2900">
        <v>42</v>
      </c>
      <c r="R2900" t="s">
        <v>1269</v>
      </c>
      <c r="S2900">
        <v>2</v>
      </c>
      <c r="T2900">
        <v>0.22</v>
      </c>
      <c r="U2900">
        <f t="shared" si="245"/>
        <v>0</v>
      </c>
      <c r="V2900" t="str">
        <f t="shared" si="242"/>
        <v>High Counselor</v>
      </c>
      <c r="W2900" t="str">
        <f t="shared" si="243"/>
        <v>Counselor</v>
      </c>
    </row>
    <row r="2901" spans="1:23" x14ac:dyDescent="0.25">
      <c r="A2901">
        <v>33115</v>
      </c>
      <c r="B2901" t="s">
        <v>1263</v>
      </c>
      <c r="C2901">
        <v>0.67</v>
      </c>
      <c r="D2901" t="s">
        <v>1264</v>
      </c>
      <c r="E2901">
        <v>100053</v>
      </c>
      <c r="F2901">
        <v>33115</v>
      </c>
      <c r="G2901" t="str">
        <f t="shared" si="241"/>
        <v>33115</v>
      </c>
      <c r="H2901" t="s">
        <v>540</v>
      </c>
      <c r="I2901" t="s">
        <v>1265</v>
      </c>
      <c r="J2901" t="s">
        <v>1266</v>
      </c>
      <c r="K2901" t="s">
        <v>1267</v>
      </c>
      <c r="L2901" t="s">
        <v>1263</v>
      </c>
      <c r="M2901" t="s">
        <v>1268</v>
      </c>
      <c r="N2901">
        <v>1</v>
      </c>
      <c r="O2901" t="str">
        <f t="shared" si="244"/>
        <v>42</v>
      </c>
      <c r="P2901">
        <v>42</v>
      </c>
      <c r="R2901" t="s">
        <v>1269</v>
      </c>
      <c r="S2901">
        <v>0.67</v>
      </c>
      <c r="T2901">
        <v>0.22</v>
      </c>
      <c r="U2901">
        <f t="shared" si="245"/>
        <v>0</v>
      </c>
      <c r="V2901" t="str">
        <f t="shared" si="242"/>
        <v>Middle Counselor</v>
      </c>
      <c r="W2901" t="str">
        <f t="shared" si="243"/>
        <v>Counselor</v>
      </c>
    </row>
    <row r="2902" spans="1:23" x14ac:dyDescent="0.25">
      <c r="A2902">
        <v>33115</v>
      </c>
      <c r="B2902" t="s">
        <v>1294</v>
      </c>
      <c r="C2902">
        <v>2</v>
      </c>
      <c r="D2902" t="s">
        <v>1264</v>
      </c>
      <c r="E2902">
        <v>100053</v>
      </c>
      <c r="F2902">
        <v>33115</v>
      </c>
      <c r="G2902" t="str">
        <f t="shared" si="241"/>
        <v>33115</v>
      </c>
      <c r="H2902" t="s">
        <v>540</v>
      </c>
      <c r="I2902" t="s">
        <v>1265</v>
      </c>
      <c r="J2902" t="s">
        <v>1276</v>
      </c>
      <c r="K2902" t="s">
        <v>1277</v>
      </c>
      <c r="L2902" t="s">
        <v>1294</v>
      </c>
      <c r="M2902" t="s">
        <v>1354</v>
      </c>
      <c r="N2902">
        <v>21</v>
      </c>
      <c r="O2902" t="str">
        <f t="shared" si="244"/>
        <v>45</v>
      </c>
      <c r="P2902">
        <v>45</v>
      </c>
      <c r="R2902" t="s">
        <v>1269</v>
      </c>
      <c r="S2902">
        <v>2</v>
      </c>
      <c r="T2902">
        <v>0.22</v>
      </c>
      <c r="U2902">
        <f t="shared" si="245"/>
        <v>0.44</v>
      </c>
      <c r="V2902" t="str">
        <f t="shared" si="242"/>
        <v>Elementary Speech, Language Pathway/
Audio</v>
      </c>
      <c r="W2902" t="str">
        <f t="shared" si="243"/>
        <v>Speech, Language Pathway/
Audio</v>
      </c>
    </row>
    <row r="2903" spans="1:23" x14ac:dyDescent="0.25">
      <c r="A2903">
        <v>33115</v>
      </c>
      <c r="B2903" t="s">
        <v>1335</v>
      </c>
      <c r="C2903">
        <v>1</v>
      </c>
      <c r="D2903" t="s">
        <v>1264</v>
      </c>
      <c r="E2903">
        <v>100053</v>
      </c>
      <c r="F2903">
        <v>33115</v>
      </c>
      <c r="G2903" t="str">
        <f t="shared" si="241"/>
        <v>33115</v>
      </c>
      <c r="H2903" t="s">
        <v>540</v>
      </c>
      <c r="I2903" t="s">
        <v>1265</v>
      </c>
      <c r="J2903" t="s">
        <v>1276</v>
      </c>
      <c r="K2903" t="s">
        <v>1277</v>
      </c>
      <c r="L2903" t="s">
        <v>1335</v>
      </c>
      <c r="M2903" t="s">
        <v>1344</v>
      </c>
      <c r="N2903">
        <v>1</v>
      </c>
      <c r="O2903" t="str">
        <f t="shared" si="244"/>
        <v>47</v>
      </c>
      <c r="P2903">
        <v>47</v>
      </c>
      <c r="R2903" t="s">
        <v>1269</v>
      </c>
      <c r="S2903">
        <v>1</v>
      </c>
      <c r="T2903">
        <v>0.22</v>
      </c>
      <c r="U2903">
        <f t="shared" si="245"/>
        <v>0</v>
      </c>
      <c r="V2903" t="str">
        <f t="shared" si="242"/>
        <v>Elementary Nurse</v>
      </c>
      <c r="W2903" t="str">
        <f t="shared" si="243"/>
        <v>Nurse</v>
      </c>
    </row>
    <row r="2904" spans="1:23" x14ac:dyDescent="0.25">
      <c r="A2904">
        <v>33115</v>
      </c>
      <c r="B2904" t="s">
        <v>1341</v>
      </c>
      <c r="C2904">
        <v>1</v>
      </c>
      <c r="D2904" t="s">
        <v>1264</v>
      </c>
      <c r="E2904">
        <v>100053</v>
      </c>
      <c r="F2904">
        <v>33115</v>
      </c>
      <c r="G2904" t="str">
        <f t="shared" si="241"/>
        <v>33115</v>
      </c>
      <c r="H2904" t="s">
        <v>540</v>
      </c>
      <c r="I2904" t="s">
        <v>1265</v>
      </c>
      <c r="J2904" t="s">
        <v>1271</v>
      </c>
      <c r="K2904" t="s">
        <v>1272</v>
      </c>
      <c r="L2904" t="s">
        <v>1341</v>
      </c>
      <c r="M2904" t="s">
        <v>1342</v>
      </c>
      <c r="N2904">
        <v>1</v>
      </c>
      <c r="O2904" t="str">
        <f t="shared" si="244"/>
        <v>47</v>
      </c>
      <c r="P2904">
        <v>47</v>
      </c>
      <c r="R2904" t="s">
        <v>1269</v>
      </c>
      <c r="S2904">
        <v>1</v>
      </c>
      <c r="T2904">
        <v>0.22</v>
      </c>
      <c r="U2904">
        <f t="shared" si="245"/>
        <v>0</v>
      </c>
      <c r="V2904" t="str">
        <f t="shared" si="242"/>
        <v>High Nurse</v>
      </c>
      <c r="W2904" t="str">
        <f t="shared" si="243"/>
        <v>Nurse</v>
      </c>
    </row>
    <row r="2905" spans="1:23" x14ac:dyDescent="0.25">
      <c r="A2905">
        <v>33115</v>
      </c>
      <c r="B2905" t="s">
        <v>1302</v>
      </c>
      <c r="C2905">
        <v>0.5</v>
      </c>
      <c r="D2905" t="s">
        <v>1264</v>
      </c>
      <c r="E2905">
        <v>100053</v>
      </c>
      <c r="F2905">
        <v>33115</v>
      </c>
      <c r="G2905" t="str">
        <f t="shared" si="241"/>
        <v>33115</v>
      </c>
      <c r="H2905" t="s">
        <v>540</v>
      </c>
      <c r="I2905" t="s">
        <v>1265</v>
      </c>
      <c r="J2905" t="s">
        <v>1276</v>
      </c>
      <c r="K2905" t="s">
        <v>1277</v>
      </c>
      <c r="L2905" t="s">
        <v>1302</v>
      </c>
      <c r="M2905" t="s">
        <v>1336</v>
      </c>
      <c r="N2905">
        <v>21</v>
      </c>
      <c r="O2905" t="str">
        <f t="shared" si="244"/>
        <v>48</v>
      </c>
      <c r="P2905">
        <v>48</v>
      </c>
      <c r="R2905" t="s">
        <v>1269</v>
      </c>
      <c r="S2905">
        <v>0.5</v>
      </c>
      <c r="T2905">
        <v>0.22</v>
      </c>
      <c r="U2905">
        <f t="shared" si="245"/>
        <v>0.11</v>
      </c>
      <c r="V2905" t="str">
        <f t="shared" si="242"/>
        <v>Elementary Physical Therapist</v>
      </c>
      <c r="W2905" t="str">
        <f t="shared" si="243"/>
        <v>Physical Therapist</v>
      </c>
    </row>
    <row r="2906" spans="1:23" x14ac:dyDescent="0.25">
      <c r="A2906">
        <v>33115</v>
      </c>
      <c r="B2906" t="s">
        <v>1330</v>
      </c>
      <c r="C2906">
        <v>0.28599999999999998</v>
      </c>
      <c r="D2906" t="s">
        <v>1264</v>
      </c>
      <c r="E2906">
        <v>100053</v>
      </c>
      <c r="F2906">
        <v>33115</v>
      </c>
      <c r="G2906" t="str">
        <f t="shared" si="241"/>
        <v>33115</v>
      </c>
      <c r="H2906" t="s">
        <v>540</v>
      </c>
      <c r="I2906" t="s">
        <v>1265</v>
      </c>
      <c r="J2906" t="s">
        <v>1271</v>
      </c>
      <c r="K2906" t="s">
        <v>1272</v>
      </c>
      <c r="L2906" t="s">
        <v>1330</v>
      </c>
      <c r="M2906" t="s">
        <v>1367</v>
      </c>
      <c r="N2906">
        <v>21</v>
      </c>
      <c r="O2906" t="str">
        <f t="shared" si="244"/>
        <v>48</v>
      </c>
      <c r="P2906">
        <v>48</v>
      </c>
      <c r="R2906" t="s">
        <v>1269</v>
      </c>
      <c r="S2906">
        <v>0.28599999999999998</v>
      </c>
      <c r="T2906">
        <v>0.22</v>
      </c>
      <c r="U2906">
        <f t="shared" si="245"/>
        <v>6.3E-2</v>
      </c>
      <c r="V2906" t="str">
        <f t="shared" si="242"/>
        <v>High Physical Therapist</v>
      </c>
      <c r="W2906" t="str">
        <f t="shared" si="243"/>
        <v>Physical Therapist</v>
      </c>
    </row>
    <row r="2907" spans="1:23" x14ac:dyDescent="0.25">
      <c r="A2907">
        <v>33115</v>
      </c>
      <c r="B2907" t="s">
        <v>1316</v>
      </c>
      <c r="C2907">
        <v>0.14299999999999999</v>
      </c>
      <c r="D2907" t="s">
        <v>1264</v>
      </c>
      <c r="E2907">
        <v>100053</v>
      </c>
      <c r="F2907">
        <v>33115</v>
      </c>
      <c r="G2907" t="str">
        <f t="shared" si="241"/>
        <v>33115</v>
      </c>
      <c r="H2907" t="s">
        <v>540</v>
      </c>
      <c r="I2907" t="s">
        <v>1265</v>
      </c>
      <c r="J2907" t="s">
        <v>1266</v>
      </c>
      <c r="K2907" t="s">
        <v>1267</v>
      </c>
      <c r="L2907" t="s">
        <v>1316</v>
      </c>
      <c r="M2907" t="s">
        <v>1366</v>
      </c>
      <c r="N2907">
        <v>21</v>
      </c>
      <c r="O2907" t="str">
        <f t="shared" si="244"/>
        <v>48</v>
      </c>
      <c r="P2907">
        <v>48</v>
      </c>
      <c r="R2907" t="s">
        <v>1269</v>
      </c>
      <c r="S2907">
        <v>0.14299999999999999</v>
      </c>
      <c r="T2907">
        <v>0.22</v>
      </c>
      <c r="U2907">
        <f t="shared" si="245"/>
        <v>3.1E-2</v>
      </c>
      <c r="V2907" t="str">
        <f t="shared" si="242"/>
        <v>Middle Physical Therapist</v>
      </c>
      <c r="W2907" t="str">
        <f t="shared" si="243"/>
        <v>Physical Therapist</v>
      </c>
    </row>
    <row r="2908" spans="1:23" x14ac:dyDescent="0.25">
      <c r="A2908">
        <v>33183</v>
      </c>
      <c r="B2908" t="s">
        <v>1297</v>
      </c>
      <c r="C2908">
        <v>0.315</v>
      </c>
      <c r="D2908" t="s">
        <v>1264</v>
      </c>
      <c r="E2908">
        <v>100133</v>
      </c>
      <c r="F2908">
        <v>33183</v>
      </c>
      <c r="G2908" t="str">
        <f t="shared" si="241"/>
        <v>33183</v>
      </c>
      <c r="H2908" t="s">
        <v>541</v>
      </c>
      <c r="I2908" t="s">
        <v>1265</v>
      </c>
      <c r="J2908" t="s">
        <v>1276</v>
      </c>
      <c r="K2908" t="s">
        <v>1277</v>
      </c>
      <c r="L2908" t="s">
        <v>1297</v>
      </c>
      <c r="M2908" t="s">
        <v>1381</v>
      </c>
      <c r="N2908">
        <v>1</v>
      </c>
      <c r="O2908" t="str">
        <f t="shared" si="244"/>
        <v>24</v>
      </c>
      <c r="P2908">
        <v>96</v>
      </c>
      <c r="Q2908">
        <v>24</v>
      </c>
      <c r="R2908" t="s">
        <v>1269</v>
      </c>
      <c r="S2908">
        <v>0.315</v>
      </c>
      <c r="T2908">
        <v>0.23269999999999999</v>
      </c>
      <c r="U2908">
        <f t="shared" si="245"/>
        <v>0</v>
      </c>
      <c r="V2908" t="str">
        <f t="shared" si="242"/>
        <v>Elementary Family Engagement Coordinator</v>
      </c>
      <c r="W2908" t="str">
        <f t="shared" si="243"/>
        <v>Family Engagement Coordinator</v>
      </c>
    </row>
    <row r="2909" spans="1:23" x14ac:dyDescent="0.25">
      <c r="A2909">
        <v>33202</v>
      </c>
      <c r="B2909" t="s">
        <v>1275</v>
      </c>
      <c r="C2909">
        <v>0.19600000000000001</v>
      </c>
      <c r="D2909" t="s">
        <v>1264</v>
      </c>
      <c r="E2909">
        <v>100258</v>
      </c>
      <c r="F2909">
        <v>33202</v>
      </c>
      <c r="G2909" t="str">
        <f t="shared" si="241"/>
        <v>33202</v>
      </c>
      <c r="H2909" t="s">
        <v>542</v>
      </c>
      <c r="I2909" t="s">
        <v>1265</v>
      </c>
      <c r="J2909" t="s">
        <v>1276</v>
      </c>
      <c r="K2909" t="s">
        <v>1277</v>
      </c>
      <c r="L2909" t="s">
        <v>1275</v>
      </c>
      <c r="M2909" t="s">
        <v>1278</v>
      </c>
      <c r="N2909">
        <v>1</v>
      </c>
      <c r="O2909" t="str">
        <f t="shared" si="244"/>
        <v>42</v>
      </c>
      <c r="P2909">
        <v>42</v>
      </c>
      <c r="R2909" t="s">
        <v>1269</v>
      </c>
      <c r="S2909">
        <v>0.19600000000000001</v>
      </c>
      <c r="T2909">
        <v>0.10150000000000001</v>
      </c>
      <c r="U2909">
        <f t="shared" si="245"/>
        <v>0</v>
      </c>
      <c r="V2909" t="str">
        <f t="shared" si="242"/>
        <v>Elementary Counselor</v>
      </c>
      <c r="W2909" t="str">
        <f t="shared" si="243"/>
        <v>Counselor</v>
      </c>
    </row>
    <row r="2910" spans="1:23" x14ac:dyDescent="0.25">
      <c r="A2910">
        <v>33202</v>
      </c>
      <c r="B2910" t="s">
        <v>1263</v>
      </c>
      <c r="C2910">
        <v>5.5E-2</v>
      </c>
      <c r="D2910" t="s">
        <v>1264</v>
      </c>
      <c r="E2910">
        <v>100258</v>
      </c>
      <c r="F2910">
        <v>33202</v>
      </c>
      <c r="G2910" t="str">
        <f t="shared" si="241"/>
        <v>33202</v>
      </c>
      <c r="H2910" t="s">
        <v>542</v>
      </c>
      <c r="I2910" t="s">
        <v>1265</v>
      </c>
      <c r="J2910" t="s">
        <v>1266</v>
      </c>
      <c r="K2910" t="s">
        <v>1267</v>
      </c>
      <c r="L2910" t="s">
        <v>1263</v>
      </c>
      <c r="M2910" t="s">
        <v>1268</v>
      </c>
      <c r="N2910">
        <v>1</v>
      </c>
      <c r="O2910" t="str">
        <f t="shared" si="244"/>
        <v>42</v>
      </c>
      <c r="P2910">
        <v>42</v>
      </c>
      <c r="R2910" t="s">
        <v>1269</v>
      </c>
      <c r="S2910">
        <v>5.5E-2</v>
      </c>
      <c r="T2910">
        <v>0.10150000000000001</v>
      </c>
      <c r="U2910">
        <f t="shared" si="245"/>
        <v>0</v>
      </c>
      <c r="V2910" t="str">
        <f t="shared" si="242"/>
        <v>Middle Counselor</v>
      </c>
      <c r="W2910" t="str">
        <f t="shared" si="243"/>
        <v>Counselor</v>
      </c>
    </row>
    <row r="2911" spans="1:23" x14ac:dyDescent="0.25">
      <c r="A2911">
        <v>33205</v>
      </c>
      <c r="B2911" t="s">
        <v>1275</v>
      </c>
      <c r="C2911">
        <v>0.11899999999999999</v>
      </c>
      <c r="D2911" t="s">
        <v>1264</v>
      </c>
      <c r="E2911">
        <v>100085</v>
      </c>
      <c r="F2911">
        <v>33205</v>
      </c>
      <c r="G2911" t="str">
        <f t="shared" si="241"/>
        <v>33205</v>
      </c>
      <c r="H2911" t="s">
        <v>543</v>
      </c>
      <c r="I2911" t="s">
        <v>1265</v>
      </c>
      <c r="J2911" t="s">
        <v>1276</v>
      </c>
      <c r="K2911" t="s">
        <v>1277</v>
      </c>
      <c r="L2911" t="s">
        <v>1275</v>
      </c>
      <c r="M2911" t="s">
        <v>1278</v>
      </c>
      <c r="N2911">
        <v>1</v>
      </c>
      <c r="O2911" t="str">
        <f t="shared" si="244"/>
        <v>42</v>
      </c>
      <c r="P2911">
        <v>42</v>
      </c>
      <c r="R2911" t="s">
        <v>1269</v>
      </c>
      <c r="S2911">
        <v>0.11899999999999999</v>
      </c>
      <c r="T2911">
        <v>0.08</v>
      </c>
      <c r="U2911">
        <f t="shared" si="245"/>
        <v>0</v>
      </c>
      <c r="V2911" t="str">
        <f t="shared" si="242"/>
        <v>Elementary Counselor</v>
      </c>
      <c r="W2911" t="str">
        <f t="shared" si="243"/>
        <v>Counselor</v>
      </c>
    </row>
    <row r="2912" spans="1:23" x14ac:dyDescent="0.25">
      <c r="A2912">
        <v>33206</v>
      </c>
      <c r="B2912" t="s">
        <v>1270</v>
      </c>
      <c r="C2912">
        <v>0.15</v>
      </c>
      <c r="D2912" t="s">
        <v>1264</v>
      </c>
      <c r="E2912">
        <v>100051</v>
      </c>
      <c r="F2912">
        <v>33206</v>
      </c>
      <c r="G2912" t="str">
        <f t="shared" si="241"/>
        <v>33206</v>
      </c>
      <c r="H2912" t="s">
        <v>544</v>
      </c>
      <c r="I2912" t="s">
        <v>1265</v>
      </c>
      <c r="J2912" t="s">
        <v>1271</v>
      </c>
      <c r="K2912" t="s">
        <v>1272</v>
      </c>
      <c r="L2912" t="s">
        <v>1270</v>
      </c>
      <c r="M2912" t="s">
        <v>1273</v>
      </c>
      <c r="N2912">
        <v>1</v>
      </c>
      <c r="O2912" t="str">
        <f t="shared" si="244"/>
        <v>42</v>
      </c>
      <c r="P2912">
        <v>42</v>
      </c>
      <c r="R2912" t="s">
        <v>1269</v>
      </c>
      <c r="S2912">
        <v>0.15</v>
      </c>
      <c r="T2912">
        <v>0.1386</v>
      </c>
      <c r="U2912">
        <f t="shared" si="245"/>
        <v>0</v>
      </c>
      <c r="V2912" t="str">
        <f t="shared" si="242"/>
        <v>High Counselor</v>
      </c>
      <c r="W2912" t="str">
        <f t="shared" si="243"/>
        <v>Counselor</v>
      </c>
    </row>
    <row r="2913" spans="1:23" x14ac:dyDescent="0.25">
      <c r="A2913">
        <v>33206</v>
      </c>
      <c r="B2913" t="s">
        <v>1335</v>
      </c>
      <c r="C2913">
        <v>0.127</v>
      </c>
      <c r="D2913" t="s">
        <v>1264</v>
      </c>
      <c r="E2913">
        <v>100051</v>
      </c>
      <c r="F2913">
        <v>33206</v>
      </c>
      <c r="G2913" t="str">
        <f t="shared" si="241"/>
        <v>33206</v>
      </c>
      <c r="H2913" t="s">
        <v>544</v>
      </c>
      <c r="I2913" t="s">
        <v>1265</v>
      </c>
      <c r="J2913" t="s">
        <v>1276</v>
      </c>
      <c r="K2913" t="s">
        <v>1277</v>
      </c>
      <c r="L2913" t="s">
        <v>1335</v>
      </c>
      <c r="M2913" t="s">
        <v>1344</v>
      </c>
      <c r="N2913">
        <v>1</v>
      </c>
      <c r="O2913" t="str">
        <f t="shared" si="244"/>
        <v>47</v>
      </c>
      <c r="P2913">
        <v>47</v>
      </c>
      <c r="R2913" t="s">
        <v>1269</v>
      </c>
      <c r="S2913">
        <v>0.127</v>
      </c>
      <c r="T2913">
        <v>0.1386</v>
      </c>
      <c r="U2913">
        <f t="shared" si="245"/>
        <v>0</v>
      </c>
      <c r="V2913" t="str">
        <f t="shared" si="242"/>
        <v>Elementary Nurse</v>
      </c>
      <c r="W2913" t="str">
        <f t="shared" si="243"/>
        <v>Nurse</v>
      </c>
    </row>
    <row r="2914" spans="1:23" x14ac:dyDescent="0.25">
      <c r="A2914">
        <v>33206</v>
      </c>
      <c r="B2914" t="s">
        <v>1341</v>
      </c>
      <c r="C2914">
        <v>7.2999999999999995E-2</v>
      </c>
      <c r="D2914" t="s">
        <v>1264</v>
      </c>
      <c r="E2914">
        <v>100051</v>
      </c>
      <c r="F2914">
        <v>33206</v>
      </c>
      <c r="G2914" t="str">
        <f t="shared" si="241"/>
        <v>33206</v>
      </c>
      <c r="H2914" t="s">
        <v>544</v>
      </c>
      <c r="I2914" t="s">
        <v>1265</v>
      </c>
      <c r="J2914" t="s">
        <v>1271</v>
      </c>
      <c r="K2914" t="s">
        <v>1272</v>
      </c>
      <c r="L2914" t="s">
        <v>1341</v>
      </c>
      <c r="M2914" t="s">
        <v>1342</v>
      </c>
      <c r="N2914">
        <v>1</v>
      </c>
      <c r="O2914" t="str">
        <f t="shared" si="244"/>
        <v>47</v>
      </c>
      <c r="P2914">
        <v>47</v>
      </c>
      <c r="R2914" t="s">
        <v>1269</v>
      </c>
      <c r="S2914">
        <v>7.2999999999999995E-2</v>
      </c>
      <c r="T2914">
        <v>0.1386</v>
      </c>
      <c r="U2914">
        <f t="shared" si="245"/>
        <v>0</v>
      </c>
      <c r="V2914" t="str">
        <f t="shared" si="242"/>
        <v>High Nurse</v>
      </c>
      <c r="W2914" t="str">
        <f t="shared" si="243"/>
        <v>Nurse</v>
      </c>
    </row>
    <row r="2915" spans="1:23" x14ac:dyDescent="0.25">
      <c r="A2915">
        <v>33206</v>
      </c>
      <c r="B2915" t="s">
        <v>1338</v>
      </c>
      <c r="C2915">
        <v>3.5000000000000003E-2</v>
      </c>
      <c r="D2915" t="s">
        <v>1264</v>
      </c>
      <c r="E2915">
        <v>100051</v>
      </c>
      <c r="F2915">
        <v>33206</v>
      </c>
      <c r="G2915" t="str">
        <f t="shared" si="241"/>
        <v>33206</v>
      </c>
      <c r="H2915" t="s">
        <v>544</v>
      </c>
      <c r="I2915" t="s">
        <v>1265</v>
      </c>
      <c r="J2915" t="s">
        <v>1266</v>
      </c>
      <c r="K2915" t="s">
        <v>1267</v>
      </c>
      <c r="L2915" t="s">
        <v>1338</v>
      </c>
      <c r="M2915" t="s">
        <v>1339</v>
      </c>
      <c r="N2915">
        <v>1</v>
      </c>
      <c r="O2915" t="str">
        <f t="shared" si="244"/>
        <v>47</v>
      </c>
      <c r="P2915">
        <v>47</v>
      </c>
      <c r="R2915" t="s">
        <v>1269</v>
      </c>
      <c r="S2915">
        <v>3.5000000000000003E-2</v>
      </c>
      <c r="T2915">
        <v>0.1386</v>
      </c>
      <c r="U2915">
        <f t="shared" si="245"/>
        <v>0</v>
      </c>
      <c r="V2915" t="str">
        <f t="shared" si="242"/>
        <v>Middle Nurse</v>
      </c>
      <c r="W2915" t="str">
        <f t="shared" si="243"/>
        <v>Nurse</v>
      </c>
    </row>
    <row r="2916" spans="1:23" x14ac:dyDescent="0.25">
      <c r="A2916">
        <v>33207</v>
      </c>
      <c r="B2916" t="s">
        <v>1295</v>
      </c>
      <c r="C2916">
        <v>0.38700000000000001</v>
      </c>
      <c r="D2916" t="s">
        <v>1264</v>
      </c>
      <c r="E2916">
        <v>100141</v>
      </c>
      <c r="F2916">
        <v>33207</v>
      </c>
      <c r="G2916" t="str">
        <f t="shared" si="241"/>
        <v>33207</v>
      </c>
      <c r="H2916" t="s">
        <v>545</v>
      </c>
      <c r="I2916" t="s">
        <v>1265</v>
      </c>
      <c r="J2916" t="s">
        <v>1271</v>
      </c>
      <c r="K2916" t="s">
        <v>1272</v>
      </c>
      <c r="L2916" t="s">
        <v>1295</v>
      </c>
      <c r="M2916" t="s">
        <v>1296</v>
      </c>
      <c r="N2916">
        <v>1</v>
      </c>
      <c r="O2916" t="str">
        <f t="shared" si="244"/>
        <v>26</v>
      </c>
      <c r="Q2916">
        <v>26</v>
      </c>
      <c r="R2916" t="s">
        <v>1269</v>
      </c>
      <c r="S2916">
        <v>0.38700000000000001</v>
      </c>
      <c r="T2916">
        <v>0.16839999999999999</v>
      </c>
      <c r="U2916">
        <f t="shared" si="245"/>
        <v>0</v>
      </c>
      <c r="V2916" t="str">
        <f t="shared" si="242"/>
        <v>High Health/
Related Services</v>
      </c>
      <c r="W2916" t="str">
        <f t="shared" si="243"/>
        <v>Health/
Related Services</v>
      </c>
    </row>
    <row r="2917" spans="1:23" x14ac:dyDescent="0.25">
      <c r="A2917">
        <v>33207</v>
      </c>
      <c r="B2917" t="s">
        <v>1270</v>
      </c>
      <c r="C2917">
        <v>0.42299999999999999</v>
      </c>
      <c r="D2917" t="s">
        <v>1264</v>
      </c>
      <c r="E2917">
        <v>100141</v>
      </c>
      <c r="F2917">
        <v>33207</v>
      </c>
      <c r="G2917" t="str">
        <f t="shared" si="241"/>
        <v>33207</v>
      </c>
      <c r="H2917" t="s">
        <v>545</v>
      </c>
      <c r="I2917" t="s">
        <v>1265</v>
      </c>
      <c r="J2917" t="s">
        <v>1271</v>
      </c>
      <c r="K2917" t="s">
        <v>1272</v>
      </c>
      <c r="L2917" t="s">
        <v>1270</v>
      </c>
      <c r="M2917" t="s">
        <v>1273</v>
      </c>
      <c r="N2917">
        <v>1</v>
      </c>
      <c r="O2917" t="str">
        <f t="shared" si="244"/>
        <v>42</v>
      </c>
      <c r="P2917">
        <v>42</v>
      </c>
      <c r="R2917" t="s">
        <v>1269</v>
      </c>
      <c r="S2917">
        <v>0.42299999999999999</v>
      </c>
      <c r="T2917">
        <v>0.16839999999999999</v>
      </c>
      <c r="U2917">
        <f t="shared" si="245"/>
        <v>0</v>
      </c>
      <c r="V2917" t="str">
        <f t="shared" si="242"/>
        <v>High Counselor</v>
      </c>
      <c r="W2917" t="str">
        <f t="shared" si="243"/>
        <v>Counselor</v>
      </c>
    </row>
    <row r="2918" spans="1:23" x14ac:dyDescent="0.25">
      <c r="A2918">
        <v>33211</v>
      </c>
      <c r="B2918" t="s">
        <v>1311</v>
      </c>
      <c r="C2918">
        <v>0.42399999999999999</v>
      </c>
      <c r="D2918" t="s">
        <v>1264</v>
      </c>
      <c r="E2918">
        <v>100173</v>
      </c>
      <c r="F2918">
        <v>33211</v>
      </c>
      <c r="G2918" t="str">
        <f t="shared" si="241"/>
        <v>33211</v>
      </c>
      <c r="H2918" t="s">
        <v>546</v>
      </c>
      <c r="I2918" t="s">
        <v>1265</v>
      </c>
      <c r="J2918" t="s">
        <v>1276</v>
      </c>
      <c r="K2918" t="s">
        <v>1277</v>
      </c>
      <c r="L2918" t="s">
        <v>1311</v>
      </c>
      <c r="M2918" t="s">
        <v>1327</v>
      </c>
      <c r="N2918">
        <v>21</v>
      </c>
      <c r="O2918" t="str">
        <f t="shared" si="244"/>
        <v>26</v>
      </c>
      <c r="Q2918">
        <v>26</v>
      </c>
      <c r="R2918" t="s">
        <v>1269</v>
      </c>
      <c r="S2918">
        <v>0.42399999999999999</v>
      </c>
      <c r="T2918">
        <v>0.15840000000000001</v>
      </c>
      <c r="U2918">
        <f t="shared" si="245"/>
        <v>6.7000000000000004E-2</v>
      </c>
      <c r="V2918" t="str">
        <f t="shared" si="242"/>
        <v>Elementary Health/
Related Services</v>
      </c>
      <c r="W2918" t="str">
        <f t="shared" si="243"/>
        <v>Health/
Related Services</v>
      </c>
    </row>
    <row r="2919" spans="1:23" x14ac:dyDescent="0.25">
      <c r="A2919">
        <v>33211</v>
      </c>
      <c r="B2919" t="s">
        <v>1315</v>
      </c>
      <c r="C2919">
        <v>0.224</v>
      </c>
      <c r="D2919" t="s">
        <v>1264</v>
      </c>
      <c r="E2919">
        <v>100173</v>
      </c>
      <c r="F2919">
        <v>33211</v>
      </c>
      <c r="G2919" t="str">
        <f t="shared" si="241"/>
        <v>33211</v>
      </c>
      <c r="H2919" t="s">
        <v>546</v>
      </c>
      <c r="I2919" t="s">
        <v>1265</v>
      </c>
      <c r="J2919" t="s">
        <v>1276</v>
      </c>
      <c r="K2919" t="s">
        <v>1277</v>
      </c>
      <c r="L2919" t="s">
        <v>1315</v>
      </c>
      <c r="M2919" t="s">
        <v>1375</v>
      </c>
      <c r="N2919">
        <v>1</v>
      </c>
      <c r="O2919" t="str">
        <f t="shared" si="244"/>
        <v>26</v>
      </c>
      <c r="Q2919">
        <v>26</v>
      </c>
      <c r="R2919" t="s">
        <v>1269</v>
      </c>
      <c r="S2919">
        <v>0.224</v>
      </c>
      <c r="T2919">
        <v>0.15840000000000001</v>
      </c>
      <c r="U2919">
        <f t="shared" si="245"/>
        <v>0</v>
      </c>
      <c r="V2919" t="str">
        <f t="shared" si="242"/>
        <v>Elementary Health/
Related Services</v>
      </c>
      <c r="W2919" t="str">
        <f t="shared" si="243"/>
        <v>Health/
Related Services</v>
      </c>
    </row>
    <row r="2920" spans="1:23" x14ac:dyDescent="0.25">
      <c r="A2920">
        <v>33211</v>
      </c>
      <c r="B2920" t="s">
        <v>1295</v>
      </c>
      <c r="C2920">
        <v>3.2000000000000001E-2</v>
      </c>
      <c r="D2920" t="s">
        <v>1264</v>
      </c>
      <c r="E2920">
        <v>100173</v>
      </c>
      <c r="F2920">
        <v>33211</v>
      </c>
      <c r="G2920" t="str">
        <f t="shared" si="241"/>
        <v>33211</v>
      </c>
      <c r="H2920" t="s">
        <v>546</v>
      </c>
      <c r="I2920" t="s">
        <v>1265</v>
      </c>
      <c r="J2920" t="s">
        <v>1271</v>
      </c>
      <c r="K2920" t="s">
        <v>1272</v>
      </c>
      <c r="L2920" t="s">
        <v>1295</v>
      </c>
      <c r="M2920" t="s">
        <v>1296</v>
      </c>
      <c r="N2920">
        <v>1</v>
      </c>
      <c r="O2920" t="str">
        <f t="shared" si="244"/>
        <v>26</v>
      </c>
      <c r="Q2920">
        <v>26</v>
      </c>
      <c r="R2920" t="s">
        <v>1269</v>
      </c>
      <c r="S2920">
        <v>3.2000000000000001E-2</v>
      </c>
      <c r="T2920">
        <v>0.15840000000000001</v>
      </c>
      <c r="U2920">
        <f t="shared" si="245"/>
        <v>0</v>
      </c>
      <c r="V2920" t="str">
        <f t="shared" si="242"/>
        <v>High Health/
Related Services</v>
      </c>
      <c r="W2920" t="str">
        <f t="shared" si="243"/>
        <v>Health/
Related Services</v>
      </c>
    </row>
    <row r="2921" spans="1:23" x14ac:dyDescent="0.25">
      <c r="A2921">
        <v>33211</v>
      </c>
      <c r="B2921" t="s">
        <v>1291</v>
      </c>
      <c r="C2921">
        <v>3.2000000000000001E-2</v>
      </c>
      <c r="D2921" t="s">
        <v>1264</v>
      </c>
      <c r="E2921">
        <v>100173</v>
      </c>
      <c r="F2921">
        <v>33211</v>
      </c>
      <c r="G2921" t="str">
        <f t="shared" si="241"/>
        <v>33211</v>
      </c>
      <c r="H2921" t="s">
        <v>546</v>
      </c>
      <c r="I2921" t="s">
        <v>1265</v>
      </c>
      <c r="J2921" t="s">
        <v>1266</v>
      </c>
      <c r="K2921" t="s">
        <v>1267</v>
      </c>
      <c r="L2921" t="s">
        <v>1291</v>
      </c>
      <c r="M2921" t="s">
        <v>1292</v>
      </c>
      <c r="N2921">
        <v>1</v>
      </c>
      <c r="O2921" t="str">
        <f t="shared" si="244"/>
        <v>26</v>
      </c>
      <c r="Q2921">
        <v>26</v>
      </c>
      <c r="R2921" t="s">
        <v>1269</v>
      </c>
      <c r="S2921">
        <v>3.2000000000000001E-2</v>
      </c>
      <c r="T2921">
        <v>0.15840000000000001</v>
      </c>
      <c r="U2921">
        <f t="shared" si="245"/>
        <v>0</v>
      </c>
      <c r="V2921" t="str">
        <f t="shared" si="242"/>
        <v>Middle Health/
Related Services</v>
      </c>
      <c r="W2921" t="str">
        <f t="shared" si="243"/>
        <v>Health/
Related Services</v>
      </c>
    </row>
    <row r="2922" spans="1:23" x14ac:dyDescent="0.25">
      <c r="A2922">
        <v>33212</v>
      </c>
      <c r="B2922" t="s">
        <v>1324</v>
      </c>
      <c r="C2922">
        <v>0.39</v>
      </c>
      <c r="D2922" t="s">
        <v>1264</v>
      </c>
      <c r="E2922">
        <v>100118</v>
      </c>
      <c r="F2922">
        <v>33212</v>
      </c>
      <c r="G2922" t="str">
        <f t="shared" si="241"/>
        <v>33212</v>
      </c>
      <c r="H2922" t="s">
        <v>547</v>
      </c>
      <c r="I2922" t="s">
        <v>1265</v>
      </c>
      <c r="J2922" t="s">
        <v>1271</v>
      </c>
      <c r="K2922" t="s">
        <v>1272</v>
      </c>
      <c r="L2922" t="s">
        <v>1324</v>
      </c>
      <c r="M2922" t="s">
        <v>1325</v>
      </c>
      <c r="N2922">
        <v>21</v>
      </c>
      <c r="O2922" t="str">
        <f t="shared" si="244"/>
        <v>26</v>
      </c>
      <c r="Q2922">
        <v>26</v>
      </c>
      <c r="R2922" t="s">
        <v>1269</v>
      </c>
      <c r="S2922">
        <v>0.39</v>
      </c>
      <c r="T2922">
        <v>0.2165</v>
      </c>
      <c r="U2922">
        <f t="shared" si="245"/>
        <v>8.4000000000000005E-2</v>
      </c>
      <c r="V2922" t="str">
        <f t="shared" si="242"/>
        <v>High Health/
Related Services</v>
      </c>
      <c r="W2922" t="str">
        <f t="shared" si="243"/>
        <v>Health/
Related Services</v>
      </c>
    </row>
    <row r="2923" spans="1:23" x14ac:dyDescent="0.25">
      <c r="A2923">
        <v>33212</v>
      </c>
      <c r="B2923" t="s">
        <v>1295</v>
      </c>
      <c r="C2923">
        <v>0.72099999999999997</v>
      </c>
      <c r="D2923" t="s">
        <v>1264</v>
      </c>
      <c r="E2923">
        <v>100118</v>
      </c>
      <c r="F2923">
        <v>33212</v>
      </c>
      <c r="G2923" t="str">
        <f t="shared" si="241"/>
        <v>33212</v>
      </c>
      <c r="H2923" t="s">
        <v>547</v>
      </c>
      <c r="I2923" t="s">
        <v>1265</v>
      </c>
      <c r="J2923" t="s">
        <v>1271</v>
      </c>
      <c r="K2923" t="s">
        <v>1272</v>
      </c>
      <c r="L2923" t="s">
        <v>1295</v>
      </c>
      <c r="M2923" t="s">
        <v>1296</v>
      </c>
      <c r="N2923">
        <v>1</v>
      </c>
      <c r="O2923" t="str">
        <f t="shared" si="244"/>
        <v>26</v>
      </c>
      <c r="Q2923">
        <v>26</v>
      </c>
      <c r="R2923" t="s">
        <v>1269</v>
      </c>
      <c r="S2923">
        <v>0.72099999999999997</v>
      </c>
      <c r="T2923">
        <v>0.2165</v>
      </c>
      <c r="U2923">
        <f t="shared" si="245"/>
        <v>0</v>
      </c>
      <c r="V2923" t="str">
        <f t="shared" si="242"/>
        <v>High Health/
Related Services</v>
      </c>
      <c r="W2923" t="str">
        <f t="shared" si="243"/>
        <v>Health/
Related Services</v>
      </c>
    </row>
    <row r="2924" spans="1:23" x14ac:dyDescent="0.25">
      <c r="A2924">
        <v>33212</v>
      </c>
      <c r="B2924" t="s">
        <v>1401</v>
      </c>
      <c r="C2924">
        <v>1.538</v>
      </c>
      <c r="D2924" t="s">
        <v>1264</v>
      </c>
      <c r="E2924">
        <v>100118</v>
      </c>
      <c r="F2924">
        <v>33212</v>
      </c>
      <c r="G2924" t="str">
        <f t="shared" si="241"/>
        <v>33212</v>
      </c>
      <c r="H2924" t="s">
        <v>547</v>
      </c>
      <c r="I2924" t="s">
        <v>1265</v>
      </c>
      <c r="J2924" t="s">
        <v>1271</v>
      </c>
      <c r="K2924" t="s">
        <v>1272</v>
      </c>
      <c r="L2924" t="s">
        <v>1401</v>
      </c>
      <c r="M2924" t="s">
        <v>1422</v>
      </c>
      <c r="N2924">
        <v>1</v>
      </c>
      <c r="O2924" t="str">
        <f t="shared" si="244"/>
        <v>35</v>
      </c>
      <c r="Q2924">
        <v>35</v>
      </c>
      <c r="R2924" t="s">
        <v>1269</v>
      </c>
      <c r="S2924">
        <v>1.538</v>
      </c>
      <c r="T2924">
        <v>0.2165</v>
      </c>
      <c r="U2924">
        <f t="shared" si="245"/>
        <v>0</v>
      </c>
      <c r="V2924" t="str">
        <f t="shared" si="242"/>
        <v>High Pupil Safety</v>
      </c>
      <c r="W2924" t="str">
        <f t="shared" si="243"/>
        <v>Pupil Safety</v>
      </c>
    </row>
    <row r="2925" spans="1:23" x14ac:dyDescent="0.25">
      <c r="A2925">
        <v>33212</v>
      </c>
      <c r="B2925" t="s">
        <v>1275</v>
      </c>
      <c r="C2925">
        <v>1.5</v>
      </c>
      <c r="D2925" t="s">
        <v>1264</v>
      </c>
      <c r="E2925">
        <v>100118</v>
      </c>
      <c r="F2925">
        <v>33212</v>
      </c>
      <c r="G2925" t="str">
        <f t="shared" si="241"/>
        <v>33212</v>
      </c>
      <c r="H2925" t="s">
        <v>547</v>
      </c>
      <c r="I2925" t="s">
        <v>1265</v>
      </c>
      <c r="J2925" t="s">
        <v>1276</v>
      </c>
      <c r="K2925" t="s">
        <v>1277</v>
      </c>
      <c r="L2925" t="s">
        <v>1275</v>
      </c>
      <c r="M2925" t="s">
        <v>1278</v>
      </c>
      <c r="N2925">
        <v>1</v>
      </c>
      <c r="O2925" t="str">
        <f t="shared" si="244"/>
        <v>42</v>
      </c>
      <c r="P2925">
        <v>42</v>
      </c>
      <c r="R2925" t="s">
        <v>1269</v>
      </c>
      <c r="S2925">
        <v>1.5</v>
      </c>
      <c r="T2925">
        <v>0.2165</v>
      </c>
      <c r="U2925">
        <f t="shared" si="245"/>
        <v>0</v>
      </c>
      <c r="V2925" t="str">
        <f t="shared" si="242"/>
        <v>Elementary Counselor</v>
      </c>
      <c r="W2925" t="str">
        <f t="shared" si="243"/>
        <v>Counselor</v>
      </c>
    </row>
    <row r="2926" spans="1:23" x14ac:dyDescent="0.25">
      <c r="A2926">
        <v>33212</v>
      </c>
      <c r="B2926" t="s">
        <v>1270</v>
      </c>
      <c r="C2926">
        <v>1</v>
      </c>
      <c r="D2926" t="s">
        <v>1264</v>
      </c>
      <c r="E2926">
        <v>100118</v>
      </c>
      <c r="F2926">
        <v>33212</v>
      </c>
      <c r="G2926" t="str">
        <f t="shared" si="241"/>
        <v>33212</v>
      </c>
      <c r="H2926" t="s">
        <v>547</v>
      </c>
      <c r="I2926" t="s">
        <v>1265</v>
      </c>
      <c r="J2926" t="s">
        <v>1271</v>
      </c>
      <c r="K2926" t="s">
        <v>1272</v>
      </c>
      <c r="L2926" t="s">
        <v>1270</v>
      </c>
      <c r="M2926" t="s">
        <v>1273</v>
      </c>
      <c r="N2926">
        <v>1</v>
      </c>
      <c r="O2926" t="str">
        <f t="shared" si="244"/>
        <v>42</v>
      </c>
      <c r="P2926">
        <v>42</v>
      </c>
      <c r="R2926" t="s">
        <v>1269</v>
      </c>
      <c r="S2926">
        <v>1</v>
      </c>
      <c r="T2926">
        <v>0.2165</v>
      </c>
      <c r="U2926">
        <f t="shared" si="245"/>
        <v>0</v>
      </c>
      <c r="V2926" t="str">
        <f t="shared" si="242"/>
        <v>High Counselor</v>
      </c>
      <c r="W2926" t="str">
        <f t="shared" si="243"/>
        <v>Counselor</v>
      </c>
    </row>
    <row r="2927" spans="1:23" x14ac:dyDescent="0.25">
      <c r="A2927">
        <v>33212</v>
      </c>
      <c r="B2927" t="s">
        <v>1263</v>
      </c>
      <c r="C2927">
        <v>0.5</v>
      </c>
      <c r="D2927" t="s">
        <v>1264</v>
      </c>
      <c r="E2927">
        <v>100118</v>
      </c>
      <c r="F2927">
        <v>33212</v>
      </c>
      <c r="G2927" t="str">
        <f t="shared" si="241"/>
        <v>33212</v>
      </c>
      <c r="H2927" t="s">
        <v>547</v>
      </c>
      <c r="I2927" t="s">
        <v>1265</v>
      </c>
      <c r="J2927" t="s">
        <v>1266</v>
      </c>
      <c r="K2927" t="s">
        <v>1267</v>
      </c>
      <c r="L2927" t="s">
        <v>1263</v>
      </c>
      <c r="M2927" t="s">
        <v>1268</v>
      </c>
      <c r="N2927">
        <v>1</v>
      </c>
      <c r="O2927" t="str">
        <f t="shared" si="244"/>
        <v>42</v>
      </c>
      <c r="P2927">
        <v>42</v>
      </c>
      <c r="R2927" t="s">
        <v>1269</v>
      </c>
      <c r="S2927">
        <v>0.5</v>
      </c>
      <c r="T2927">
        <v>0.2165</v>
      </c>
      <c r="U2927">
        <f t="shared" si="245"/>
        <v>0</v>
      </c>
      <c r="V2927" t="str">
        <f t="shared" si="242"/>
        <v>Middle Counselor</v>
      </c>
      <c r="W2927" t="str">
        <f t="shared" si="243"/>
        <v>Counselor</v>
      </c>
    </row>
    <row r="2928" spans="1:23" x14ac:dyDescent="0.25">
      <c r="A2928">
        <v>33212</v>
      </c>
      <c r="B2928" t="s">
        <v>1333</v>
      </c>
      <c r="C2928">
        <v>0.77700000000000002</v>
      </c>
      <c r="D2928" t="s">
        <v>1264</v>
      </c>
      <c r="E2928">
        <v>100118</v>
      </c>
      <c r="F2928">
        <v>33212</v>
      </c>
      <c r="G2928" t="str">
        <f t="shared" si="241"/>
        <v>33212</v>
      </c>
      <c r="H2928" t="s">
        <v>547</v>
      </c>
      <c r="I2928" t="s">
        <v>1265</v>
      </c>
      <c r="J2928" t="s">
        <v>1276</v>
      </c>
      <c r="K2928" t="s">
        <v>1277</v>
      </c>
      <c r="L2928" t="s">
        <v>1333</v>
      </c>
      <c r="M2928" t="s">
        <v>1432</v>
      </c>
      <c r="N2928">
        <v>1</v>
      </c>
      <c r="O2928" t="str">
        <f t="shared" si="244"/>
        <v>46</v>
      </c>
      <c r="P2928">
        <v>46</v>
      </c>
      <c r="R2928" t="s">
        <v>1269</v>
      </c>
      <c r="S2928">
        <v>0.77700000000000002</v>
      </c>
      <c r="T2928">
        <v>0.2165</v>
      </c>
      <c r="U2928">
        <f t="shared" si="245"/>
        <v>0</v>
      </c>
      <c r="V2928" t="str">
        <f t="shared" si="242"/>
        <v>Elementary Psychologist</v>
      </c>
      <c r="W2928" t="str">
        <f t="shared" si="243"/>
        <v>Psychologist</v>
      </c>
    </row>
    <row r="2929" spans="1:23" x14ac:dyDescent="0.25">
      <c r="A2929">
        <v>33212</v>
      </c>
      <c r="B2929" t="s">
        <v>1309</v>
      </c>
      <c r="C2929">
        <v>0.2</v>
      </c>
      <c r="D2929" t="s">
        <v>1264</v>
      </c>
      <c r="E2929">
        <v>100118</v>
      </c>
      <c r="F2929">
        <v>33212</v>
      </c>
      <c r="G2929" t="str">
        <f t="shared" si="241"/>
        <v>33212</v>
      </c>
      <c r="H2929" t="s">
        <v>547</v>
      </c>
      <c r="I2929" t="s">
        <v>1265</v>
      </c>
      <c r="J2929" t="s">
        <v>1271</v>
      </c>
      <c r="K2929" t="s">
        <v>1272</v>
      </c>
      <c r="L2929" t="s">
        <v>1309</v>
      </c>
      <c r="M2929" t="s">
        <v>1310</v>
      </c>
      <c r="N2929">
        <v>21</v>
      </c>
      <c r="O2929" t="str">
        <f t="shared" si="244"/>
        <v>46</v>
      </c>
      <c r="P2929">
        <v>46</v>
      </c>
      <c r="R2929" t="s">
        <v>1269</v>
      </c>
      <c r="S2929">
        <v>0.2</v>
      </c>
      <c r="T2929">
        <v>0.2165</v>
      </c>
      <c r="U2929">
        <f t="shared" si="245"/>
        <v>4.2999999999999997E-2</v>
      </c>
      <c r="V2929" t="str">
        <f t="shared" si="242"/>
        <v>High Psychologist</v>
      </c>
      <c r="W2929" t="str">
        <f t="shared" si="243"/>
        <v>Psychologist</v>
      </c>
    </row>
    <row r="2930" spans="1:23" x14ac:dyDescent="0.25">
      <c r="A2930">
        <v>33212</v>
      </c>
      <c r="B2930" t="s">
        <v>1345</v>
      </c>
      <c r="C2930">
        <v>0.1</v>
      </c>
      <c r="D2930" t="s">
        <v>1264</v>
      </c>
      <c r="E2930">
        <v>100118</v>
      </c>
      <c r="F2930">
        <v>33212</v>
      </c>
      <c r="G2930" t="str">
        <f t="shared" si="241"/>
        <v>33212</v>
      </c>
      <c r="H2930" t="s">
        <v>547</v>
      </c>
      <c r="I2930" t="s">
        <v>1265</v>
      </c>
      <c r="J2930" t="s">
        <v>1266</v>
      </c>
      <c r="K2930" t="s">
        <v>1267</v>
      </c>
      <c r="L2930" t="s">
        <v>1345</v>
      </c>
      <c r="M2930" t="s">
        <v>1346</v>
      </c>
      <c r="N2930">
        <v>21</v>
      </c>
      <c r="O2930" t="str">
        <f t="shared" si="244"/>
        <v>46</v>
      </c>
      <c r="P2930">
        <v>46</v>
      </c>
      <c r="R2930" t="s">
        <v>1269</v>
      </c>
      <c r="S2930">
        <v>0.1</v>
      </c>
      <c r="T2930">
        <v>0.2165</v>
      </c>
      <c r="U2930">
        <f t="shared" si="245"/>
        <v>2.1999999999999999E-2</v>
      </c>
      <c r="V2930" t="str">
        <f t="shared" si="242"/>
        <v>Middle Psychologist</v>
      </c>
      <c r="W2930" t="str">
        <f t="shared" si="243"/>
        <v>Psychologist</v>
      </c>
    </row>
    <row r="2931" spans="1:23" x14ac:dyDescent="0.25">
      <c r="A2931">
        <v>33212</v>
      </c>
      <c r="B2931" t="s">
        <v>1371</v>
      </c>
      <c r="C2931">
        <v>0.223</v>
      </c>
      <c r="D2931" t="s">
        <v>1264</v>
      </c>
      <c r="E2931">
        <v>100118</v>
      </c>
      <c r="F2931">
        <v>33212</v>
      </c>
      <c r="G2931" t="str">
        <f t="shared" si="241"/>
        <v>33212</v>
      </c>
      <c r="H2931" t="s">
        <v>547</v>
      </c>
      <c r="I2931" t="s">
        <v>1265</v>
      </c>
      <c r="J2931" t="s">
        <v>1266</v>
      </c>
      <c r="K2931" t="s">
        <v>1267</v>
      </c>
      <c r="L2931" t="s">
        <v>1371</v>
      </c>
      <c r="M2931" t="s">
        <v>1430</v>
      </c>
      <c r="N2931">
        <v>1</v>
      </c>
      <c r="O2931" t="str">
        <f t="shared" si="244"/>
        <v>46</v>
      </c>
      <c r="P2931">
        <v>46</v>
      </c>
      <c r="R2931" t="s">
        <v>1269</v>
      </c>
      <c r="S2931">
        <v>0.223</v>
      </c>
      <c r="T2931">
        <v>0.2165</v>
      </c>
      <c r="U2931">
        <f t="shared" si="245"/>
        <v>0</v>
      </c>
      <c r="V2931" t="str">
        <f t="shared" si="242"/>
        <v>Middle Psychologist</v>
      </c>
      <c r="W2931" t="str">
        <f t="shared" si="243"/>
        <v>Psychologist</v>
      </c>
    </row>
    <row r="2932" spans="1:23" x14ac:dyDescent="0.25">
      <c r="A2932">
        <v>34002</v>
      </c>
      <c r="B2932" t="s">
        <v>1383</v>
      </c>
      <c r="C2932">
        <v>4.4329999999999998</v>
      </c>
      <c r="D2932" t="s">
        <v>1264</v>
      </c>
      <c r="E2932">
        <v>100304</v>
      </c>
      <c r="F2932">
        <v>34002</v>
      </c>
      <c r="G2932" t="str">
        <f t="shared" si="241"/>
        <v>34002</v>
      </c>
      <c r="H2932" t="s">
        <v>548</v>
      </c>
      <c r="I2932" t="s">
        <v>1265</v>
      </c>
      <c r="J2932" t="s">
        <v>1271</v>
      </c>
      <c r="K2932" t="s">
        <v>1272</v>
      </c>
      <c r="L2932" t="s">
        <v>1383</v>
      </c>
      <c r="M2932" t="s">
        <v>1409</v>
      </c>
      <c r="N2932">
        <v>21</v>
      </c>
      <c r="O2932" t="str">
        <f t="shared" si="244"/>
        <v>25</v>
      </c>
      <c r="Q2932">
        <v>25</v>
      </c>
      <c r="R2932" t="s">
        <v>1269</v>
      </c>
      <c r="S2932">
        <v>4.4329999999999998</v>
      </c>
      <c r="T2932">
        <v>0.24759999999999999</v>
      </c>
      <c r="U2932">
        <f t="shared" si="245"/>
        <v>1.0980000000000001</v>
      </c>
      <c r="V2932" t="str">
        <f t="shared" si="242"/>
        <v>High Pupil Management</v>
      </c>
      <c r="W2932" t="str">
        <f t="shared" si="243"/>
        <v>Pupil Management</v>
      </c>
    </row>
    <row r="2933" spans="1:23" x14ac:dyDescent="0.25">
      <c r="A2933">
        <v>34002</v>
      </c>
      <c r="B2933" t="s">
        <v>1299</v>
      </c>
      <c r="C2933">
        <v>5.9569999999999999</v>
      </c>
      <c r="D2933" t="s">
        <v>1264</v>
      </c>
      <c r="E2933">
        <v>100304</v>
      </c>
      <c r="F2933">
        <v>34002</v>
      </c>
      <c r="G2933" t="str">
        <f t="shared" si="241"/>
        <v>34002</v>
      </c>
      <c r="H2933" t="s">
        <v>548</v>
      </c>
      <c r="I2933" t="s">
        <v>1265</v>
      </c>
      <c r="J2933" t="s">
        <v>1271</v>
      </c>
      <c r="K2933" t="s">
        <v>1272</v>
      </c>
      <c r="L2933" t="s">
        <v>1299</v>
      </c>
      <c r="M2933" t="s">
        <v>1300</v>
      </c>
      <c r="N2933">
        <v>1</v>
      </c>
      <c r="O2933" t="str">
        <f t="shared" si="244"/>
        <v>25</v>
      </c>
      <c r="Q2933">
        <v>25</v>
      </c>
      <c r="R2933" t="s">
        <v>1269</v>
      </c>
      <c r="S2933">
        <v>5.9569999999999999</v>
      </c>
      <c r="T2933">
        <v>0.24759999999999999</v>
      </c>
      <c r="U2933">
        <f t="shared" si="245"/>
        <v>0</v>
      </c>
      <c r="V2933" t="str">
        <f t="shared" si="242"/>
        <v>High Pupil Management</v>
      </c>
      <c r="W2933" t="str">
        <f t="shared" si="243"/>
        <v>Pupil Management</v>
      </c>
    </row>
    <row r="2934" spans="1:23" x14ac:dyDescent="0.25">
      <c r="A2934">
        <v>34002</v>
      </c>
      <c r="B2934" t="s">
        <v>1324</v>
      </c>
      <c r="C2934">
        <v>0.95899999999999996</v>
      </c>
      <c r="D2934" t="s">
        <v>1264</v>
      </c>
      <c r="E2934">
        <v>100304</v>
      </c>
      <c r="F2934">
        <v>34002</v>
      </c>
      <c r="G2934" t="str">
        <f t="shared" si="241"/>
        <v>34002</v>
      </c>
      <c r="H2934" t="s">
        <v>548</v>
      </c>
      <c r="I2934" t="s">
        <v>1265</v>
      </c>
      <c r="J2934" t="s">
        <v>1271</v>
      </c>
      <c r="K2934" t="s">
        <v>1272</v>
      </c>
      <c r="L2934" t="s">
        <v>1324</v>
      </c>
      <c r="M2934" t="s">
        <v>1325</v>
      </c>
      <c r="N2934">
        <v>21</v>
      </c>
      <c r="O2934" t="str">
        <f t="shared" si="244"/>
        <v>26</v>
      </c>
      <c r="Q2934">
        <v>26</v>
      </c>
      <c r="R2934" t="s">
        <v>1269</v>
      </c>
      <c r="S2934">
        <v>0.95899999999999996</v>
      </c>
      <c r="T2934">
        <v>0.24759999999999999</v>
      </c>
      <c r="U2934">
        <f t="shared" si="245"/>
        <v>0.23699999999999999</v>
      </c>
      <c r="V2934" t="str">
        <f t="shared" si="242"/>
        <v>High Health/
Related Services</v>
      </c>
      <c r="W2934" t="str">
        <f t="shared" si="243"/>
        <v>Health/
Related Services</v>
      </c>
    </row>
    <row r="2935" spans="1:23" x14ac:dyDescent="0.25">
      <c r="A2935">
        <v>34002</v>
      </c>
      <c r="B2935" t="s">
        <v>1295</v>
      </c>
      <c r="C2935">
        <v>4.758</v>
      </c>
      <c r="D2935" t="s">
        <v>1264</v>
      </c>
      <c r="E2935">
        <v>100304</v>
      </c>
      <c r="F2935">
        <v>34002</v>
      </c>
      <c r="G2935" t="str">
        <f t="shared" si="241"/>
        <v>34002</v>
      </c>
      <c r="H2935" t="s">
        <v>548</v>
      </c>
      <c r="I2935" t="s">
        <v>1265</v>
      </c>
      <c r="J2935" t="s">
        <v>1271</v>
      </c>
      <c r="K2935" t="s">
        <v>1272</v>
      </c>
      <c r="L2935" t="s">
        <v>1295</v>
      </c>
      <c r="M2935" t="s">
        <v>1296</v>
      </c>
      <c r="N2935">
        <v>1</v>
      </c>
      <c r="O2935" t="str">
        <f t="shared" si="244"/>
        <v>26</v>
      </c>
      <c r="Q2935">
        <v>26</v>
      </c>
      <c r="R2935" t="s">
        <v>1269</v>
      </c>
      <c r="S2935">
        <v>4.758</v>
      </c>
      <c r="T2935">
        <v>0.24759999999999999</v>
      </c>
      <c r="U2935">
        <f t="shared" si="245"/>
        <v>0</v>
      </c>
      <c r="V2935" t="str">
        <f t="shared" si="242"/>
        <v>High Health/
Related Services</v>
      </c>
      <c r="W2935" t="str">
        <f t="shared" si="243"/>
        <v>Health/
Related Services</v>
      </c>
    </row>
    <row r="2936" spans="1:23" x14ac:dyDescent="0.25">
      <c r="A2936">
        <v>34002</v>
      </c>
      <c r="B2936" t="s">
        <v>1401</v>
      </c>
      <c r="C2936">
        <v>2.1930000000000001</v>
      </c>
      <c r="D2936" t="s">
        <v>1264</v>
      </c>
      <c r="E2936">
        <v>100304</v>
      </c>
      <c r="F2936">
        <v>34002</v>
      </c>
      <c r="G2936" t="str">
        <f t="shared" si="241"/>
        <v>34002</v>
      </c>
      <c r="H2936" t="s">
        <v>548</v>
      </c>
      <c r="I2936" t="s">
        <v>1265</v>
      </c>
      <c r="J2936" t="s">
        <v>1271</v>
      </c>
      <c r="K2936" t="s">
        <v>1272</v>
      </c>
      <c r="L2936" t="s">
        <v>1401</v>
      </c>
      <c r="M2936" t="s">
        <v>1422</v>
      </c>
      <c r="N2936">
        <v>1</v>
      </c>
      <c r="O2936" t="str">
        <f t="shared" si="244"/>
        <v>35</v>
      </c>
      <c r="Q2936">
        <v>35</v>
      </c>
      <c r="R2936" t="s">
        <v>1269</v>
      </c>
      <c r="S2936">
        <v>2.1930000000000001</v>
      </c>
      <c r="T2936">
        <v>0.24759999999999999</v>
      </c>
      <c r="U2936">
        <f t="shared" si="245"/>
        <v>0</v>
      </c>
      <c r="V2936" t="str">
        <f t="shared" si="242"/>
        <v>High Pupil Safety</v>
      </c>
      <c r="W2936" t="str">
        <f t="shared" si="243"/>
        <v>Pupil Safety</v>
      </c>
    </row>
    <row r="2937" spans="1:23" x14ac:dyDescent="0.25">
      <c r="A2937">
        <v>34002</v>
      </c>
      <c r="B2937" t="s">
        <v>1275</v>
      </c>
      <c r="C2937">
        <v>3.29</v>
      </c>
      <c r="D2937" t="s">
        <v>1264</v>
      </c>
      <c r="E2937">
        <v>100304</v>
      </c>
      <c r="F2937">
        <v>34002</v>
      </c>
      <c r="G2937" t="str">
        <f t="shared" si="241"/>
        <v>34002</v>
      </c>
      <c r="H2937" t="s">
        <v>548</v>
      </c>
      <c r="I2937" t="s">
        <v>1265</v>
      </c>
      <c r="J2937" t="s">
        <v>1276</v>
      </c>
      <c r="K2937" t="s">
        <v>1277</v>
      </c>
      <c r="L2937" t="s">
        <v>1275</v>
      </c>
      <c r="M2937" t="s">
        <v>1278</v>
      </c>
      <c r="N2937">
        <v>1</v>
      </c>
      <c r="O2937" t="str">
        <f t="shared" si="244"/>
        <v>42</v>
      </c>
      <c r="P2937">
        <v>42</v>
      </c>
      <c r="R2937" t="s">
        <v>1269</v>
      </c>
      <c r="S2937">
        <v>3.29</v>
      </c>
      <c r="T2937">
        <v>0.24759999999999999</v>
      </c>
      <c r="U2937">
        <f t="shared" si="245"/>
        <v>0</v>
      </c>
      <c r="V2937" t="str">
        <f t="shared" si="242"/>
        <v>Elementary Counselor</v>
      </c>
      <c r="W2937" t="str">
        <f t="shared" si="243"/>
        <v>Counselor</v>
      </c>
    </row>
    <row r="2938" spans="1:23" x14ac:dyDescent="0.25">
      <c r="A2938">
        <v>34002</v>
      </c>
      <c r="B2938" t="s">
        <v>1270</v>
      </c>
      <c r="C2938">
        <v>4</v>
      </c>
      <c r="D2938" t="s">
        <v>1264</v>
      </c>
      <c r="E2938">
        <v>100304</v>
      </c>
      <c r="F2938">
        <v>34002</v>
      </c>
      <c r="G2938" t="str">
        <f t="shared" si="241"/>
        <v>34002</v>
      </c>
      <c r="H2938" t="s">
        <v>548</v>
      </c>
      <c r="I2938" t="s">
        <v>1265</v>
      </c>
      <c r="J2938" t="s">
        <v>1271</v>
      </c>
      <c r="K2938" t="s">
        <v>1272</v>
      </c>
      <c r="L2938" t="s">
        <v>1270</v>
      </c>
      <c r="M2938" t="s">
        <v>1273</v>
      </c>
      <c r="N2938">
        <v>1</v>
      </c>
      <c r="O2938" t="str">
        <f t="shared" si="244"/>
        <v>42</v>
      </c>
      <c r="P2938">
        <v>42</v>
      </c>
      <c r="R2938" t="s">
        <v>1269</v>
      </c>
      <c r="S2938">
        <v>4</v>
      </c>
      <c r="T2938">
        <v>0.24759999999999999</v>
      </c>
      <c r="U2938">
        <f t="shared" si="245"/>
        <v>0</v>
      </c>
      <c r="V2938" t="str">
        <f t="shared" si="242"/>
        <v>High Counselor</v>
      </c>
      <c r="W2938" t="str">
        <f t="shared" si="243"/>
        <v>Counselor</v>
      </c>
    </row>
    <row r="2939" spans="1:23" x14ac:dyDescent="0.25">
      <c r="A2939">
        <v>34002</v>
      </c>
      <c r="B2939" t="s">
        <v>1263</v>
      </c>
      <c r="C2939">
        <v>3</v>
      </c>
      <c r="D2939" t="s">
        <v>1264</v>
      </c>
      <c r="E2939">
        <v>100304</v>
      </c>
      <c r="F2939">
        <v>34002</v>
      </c>
      <c r="G2939" t="str">
        <f t="shared" si="241"/>
        <v>34002</v>
      </c>
      <c r="H2939" t="s">
        <v>548</v>
      </c>
      <c r="I2939" t="s">
        <v>1265</v>
      </c>
      <c r="J2939" t="s">
        <v>1266</v>
      </c>
      <c r="K2939" t="s">
        <v>1267</v>
      </c>
      <c r="L2939" t="s">
        <v>1263</v>
      </c>
      <c r="M2939" t="s">
        <v>1268</v>
      </c>
      <c r="N2939">
        <v>1</v>
      </c>
      <c r="O2939" t="str">
        <f t="shared" si="244"/>
        <v>42</v>
      </c>
      <c r="P2939">
        <v>42</v>
      </c>
      <c r="R2939" t="s">
        <v>1269</v>
      </c>
      <c r="S2939">
        <v>3</v>
      </c>
      <c r="T2939">
        <v>0.24759999999999999</v>
      </c>
      <c r="U2939">
        <f t="shared" si="245"/>
        <v>0</v>
      </c>
      <c r="V2939" t="str">
        <f t="shared" si="242"/>
        <v>Middle Counselor</v>
      </c>
      <c r="W2939" t="str">
        <f t="shared" si="243"/>
        <v>Counselor</v>
      </c>
    </row>
    <row r="2940" spans="1:23" x14ac:dyDescent="0.25">
      <c r="A2940">
        <v>34002</v>
      </c>
      <c r="B2940" t="s">
        <v>1289</v>
      </c>
      <c r="C2940">
        <v>0.66600000000000004</v>
      </c>
      <c r="D2940" t="s">
        <v>1264</v>
      </c>
      <c r="E2940">
        <v>100304</v>
      </c>
      <c r="F2940">
        <v>34002</v>
      </c>
      <c r="G2940" t="str">
        <f t="shared" si="241"/>
        <v>34002</v>
      </c>
      <c r="H2940" t="s">
        <v>548</v>
      </c>
      <c r="I2940" t="s">
        <v>1265</v>
      </c>
      <c r="J2940" t="s">
        <v>1276</v>
      </c>
      <c r="K2940" t="s">
        <v>1277</v>
      </c>
      <c r="L2940" t="s">
        <v>1289</v>
      </c>
      <c r="M2940" t="s">
        <v>1307</v>
      </c>
      <c r="N2940">
        <v>21</v>
      </c>
      <c r="O2940" t="str">
        <f t="shared" si="244"/>
        <v>43</v>
      </c>
      <c r="P2940">
        <v>43</v>
      </c>
      <c r="R2940" t="s">
        <v>1269</v>
      </c>
      <c r="S2940">
        <v>0.66600000000000004</v>
      </c>
      <c r="T2940">
        <v>0.24759999999999999</v>
      </c>
      <c r="U2940">
        <f t="shared" si="245"/>
        <v>0.16500000000000001</v>
      </c>
      <c r="V2940" t="str">
        <f t="shared" si="242"/>
        <v>Elementary Occupational Therapist</v>
      </c>
      <c r="W2940" t="str">
        <f t="shared" si="243"/>
        <v>Occupational Therapist</v>
      </c>
    </row>
    <row r="2941" spans="1:23" x14ac:dyDescent="0.25">
      <c r="A2941">
        <v>34002</v>
      </c>
      <c r="B2941" t="s">
        <v>1387</v>
      </c>
      <c r="C2941">
        <v>0.112</v>
      </c>
      <c r="D2941" t="s">
        <v>1264</v>
      </c>
      <c r="E2941">
        <v>100304</v>
      </c>
      <c r="F2941">
        <v>34002</v>
      </c>
      <c r="G2941" t="str">
        <f t="shared" si="241"/>
        <v>34002</v>
      </c>
      <c r="H2941" t="s">
        <v>548</v>
      </c>
      <c r="I2941" t="s">
        <v>1265</v>
      </c>
      <c r="J2941" t="s">
        <v>1271</v>
      </c>
      <c r="K2941" t="s">
        <v>1272</v>
      </c>
      <c r="L2941" t="s">
        <v>1387</v>
      </c>
      <c r="M2941" t="s">
        <v>1406</v>
      </c>
      <c r="N2941">
        <v>21</v>
      </c>
      <c r="O2941" t="str">
        <f t="shared" si="244"/>
        <v>43</v>
      </c>
      <c r="P2941">
        <v>43</v>
      </c>
      <c r="R2941" t="s">
        <v>1269</v>
      </c>
      <c r="S2941">
        <v>0.112</v>
      </c>
      <c r="T2941">
        <v>0.24759999999999999</v>
      </c>
      <c r="U2941">
        <f t="shared" si="245"/>
        <v>2.8000000000000001E-2</v>
      </c>
      <c r="V2941" t="str">
        <f t="shared" si="242"/>
        <v>High Occupational Therapist</v>
      </c>
      <c r="W2941" t="str">
        <f t="shared" si="243"/>
        <v>Occupational Therapist</v>
      </c>
    </row>
    <row r="2942" spans="1:23" x14ac:dyDescent="0.25">
      <c r="A2942">
        <v>34002</v>
      </c>
      <c r="B2942" t="s">
        <v>1303</v>
      </c>
      <c r="C2942">
        <v>0.111</v>
      </c>
      <c r="D2942" t="s">
        <v>1264</v>
      </c>
      <c r="E2942">
        <v>100304</v>
      </c>
      <c r="F2942">
        <v>34002</v>
      </c>
      <c r="G2942" t="str">
        <f t="shared" si="241"/>
        <v>34002</v>
      </c>
      <c r="H2942" t="s">
        <v>548</v>
      </c>
      <c r="I2942" t="s">
        <v>1265</v>
      </c>
      <c r="J2942" t="s">
        <v>1266</v>
      </c>
      <c r="K2942" t="s">
        <v>1267</v>
      </c>
      <c r="L2942" t="s">
        <v>1303</v>
      </c>
      <c r="M2942" t="s">
        <v>1304</v>
      </c>
      <c r="N2942">
        <v>21</v>
      </c>
      <c r="O2942" t="str">
        <f t="shared" si="244"/>
        <v>43</v>
      </c>
      <c r="P2942">
        <v>43</v>
      </c>
      <c r="R2942" t="s">
        <v>1269</v>
      </c>
      <c r="S2942">
        <v>0.111</v>
      </c>
      <c r="T2942">
        <v>0.24759999999999999</v>
      </c>
      <c r="U2942">
        <f t="shared" si="245"/>
        <v>2.7E-2</v>
      </c>
      <c r="V2942" t="str">
        <f t="shared" si="242"/>
        <v>Middle Occupational Therapist</v>
      </c>
      <c r="W2942" t="str">
        <f t="shared" si="243"/>
        <v>Occupational Therapist</v>
      </c>
    </row>
    <row r="2943" spans="1:23" x14ac:dyDescent="0.25">
      <c r="A2943">
        <v>34002</v>
      </c>
      <c r="B2943" t="s">
        <v>1294</v>
      </c>
      <c r="C2943">
        <v>3</v>
      </c>
      <c r="D2943" t="s">
        <v>1264</v>
      </c>
      <c r="E2943">
        <v>100304</v>
      </c>
      <c r="F2943">
        <v>34002</v>
      </c>
      <c r="G2943" t="str">
        <f t="shared" si="241"/>
        <v>34002</v>
      </c>
      <c r="H2943" t="s">
        <v>548</v>
      </c>
      <c r="I2943" t="s">
        <v>1265</v>
      </c>
      <c r="J2943" t="s">
        <v>1276</v>
      </c>
      <c r="K2943" t="s">
        <v>1277</v>
      </c>
      <c r="L2943" t="s">
        <v>1294</v>
      </c>
      <c r="M2943" t="s">
        <v>1354</v>
      </c>
      <c r="N2943">
        <v>21</v>
      </c>
      <c r="O2943" t="str">
        <f t="shared" si="244"/>
        <v>45</v>
      </c>
      <c r="P2943">
        <v>45</v>
      </c>
      <c r="R2943" t="s">
        <v>1269</v>
      </c>
      <c r="S2943">
        <v>3</v>
      </c>
      <c r="T2943">
        <v>0.24759999999999999</v>
      </c>
      <c r="U2943">
        <f t="shared" si="245"/>
        <v>0.74299999999999999</v>
      </c>
      <c r="V2943" t="str">
        <f t="shared" si="242"/>
        <v>Elementary Speech, Language Pathway/
Audio</v>
      </c>
      <c r="W2943" t="str">
        <f t="shared" si="243"/>
        <v>Speech, Language Pathway/
Audio</v>
      </c>
    </row>
    <row r="2944" spans="1:23" x14ac:dyDescent="0.25">
      <c r="A2944">
        <v>34002</v>
      </c>
      <c r="B2944" t="s">
        <v>1298</v>
      </c>
      <c r="C2944">
        <v>2.6150000000000002</v>
      </c>
      <c r="D2944" t="s">
        <v>1264</v>
      </c>
      <c r="E2944">
        <v>100304</v>
      </c>
      <c r="F2944">
        <v>34002</v>
      </c>
      <c r="G2944" t="str">
        <f t="shared" si="241"/>
        <v>34002</v>
      </c>
      <c r="H2944" t="s">
        <v>548</v>
      </c>
      <c r="I2944" t="s">
        <v>1265</v>
      </c>
      <c r="J2944" t="s">
        <v>1276</v>
      </c>
      <c r="K2944" t="s">
        <v>1277</v>
      </c>
      <c r="L2944" t="s">
        <v>1298</v>
      </c>
      <c r="M2944" t="s">
        <v>1349</v>
      </c>
      <c r="N2944">
        <v>21</v>
      </c>
      <c r="O2944" t="str">
        <f t="shared" si="244"/>
        <v>46</v>
      </c>
      <c r="P2944">
        <v>46</v>
      </c>
      <c r="R2944" t="s">
        <v>1269</v>
      </c>
      <c r="S2944">
        <v>2.6150000000000002</v>
      </c>
      <c r="T2944">
        <v>0.24759999999999999</v>
      </c>
      <c r="U2944">
        <f t="shared" si="245"/>
        <v>0.64700000000000002</v>
      </c>
      <c r="V2944" t="str">
        <f t="shared" si="242"/>
        <v>Elementary Psychologist</v>
      </c>
      <c r="W2944" t="str">
        <f t="shared" si="243"/>
        <v>Psychologist</v>
      </c>
    </row>
    <row r="2945" spans="1:23" x14ac:dyDescent="0.25">
      <c r="A2945">
        <v>34002</v>
      </c>
      <c r="B2945" t="s">
        <v>1309</v>
      </c>
      <c r="C2945">
        <v>3.0880000000000001</v>
      </c>
      <c r="D2945" t="s">
        <v>1264</v>
      </c>
      <c r="E2945">
        <v>100304</v>
      </c>
      <c r="F2945">
        <v>34002</v>
      </c>
      <c r="G2945" t="str">
        <f t="shared" si="241"/>
        <v>34002</v>
      </c>
      <c r="H2945" t="s">
        <v>548</v>
      </c>
      <c r="I2945" t="s">
        <v>1265</v>
      </c>
      <c r="J2945" t="s">
        <v>1271</v>
      </c>
      <c r="K2945" t="s">
        <v>1272</v>
      </c>
      <c r="L2945" t="s">
        <v>1309</v>
      </c>
      <c r="M2945" t="s">
        <v>1310</v>
      </c>
      <c r="N2945">
        <v>21</v>
      </c>
      <c r="O2945" t="str">
        <f t="shared" si="244"/>
        <v>46</v>
      </c>
      <c r="P2945">
        <v>46</v>
      </c>
      <c r="R2945" t="s">
        <v>1269</v>
      </c>
      <c r="S2945">
        <v>3.0880000000000001</v>
      </c>
      <c r="T2945">
        <v>0.24759999999999999</v>
      </c>
      <c r="U2945">
        <f t="shared" si="245"/>
        <v>0.76500000000000001</v>
      </c>
      <c r="V2945" t="str">
        <f t="shared" si="242"/>
        <v>High Psychologist</v>
      </c>
      <c r="W2945" t="str">
        <f t="shared" si="243"/>
        <v>Psychologist</v>
      </c>
    </row>
    <row r="2946" spans="1:23" x14ac:dyDescent="0.25">
      <c r="A2946">
        <v>34002</v>
      </c>
      <c r="B2946" t="s">
        <v>1345</v>
      </c>
      <c r="C2946">
        <v>1.1759999999999999</v>
      </c>
      <c r="D2946" t="s">
        <v>1264</v>
      </c>
      <c r="E2946">
        <v>100304</v>
      </c>
      <c r="F2946">
        <v>34002</v>
      </c>
      <c r="G2946" t="str">
        <f t="shared" ref="G2946:G3009" si="246">TEXT(F2946,"00000")</f>
        <v>34002</v>
      </c>
      <c r="H2946" t="s">
        <v>548</v>
      </c>
      <c r="I2946" t="s">
        <v>1265</v>
      </c>
      <c r="J2946" t="s">
        <v>1266</v>
      </c>
      <c r="K2946" t="s">
        <v>1267</v>
      </c>
      <c r="L2946" t="s">
        <v>1345</v>
      </c>
      <c r="M2946" t="s">
        <v>1346</v>
      </c>
      <c r="N2946">
        <v>21</v>
      </c>
      <c r="O2946" t="str">
        <f t="shared" si="244"/>
        <v>46</v>
      </c>
      <c r="P2946">
        <v>46</v>
      </c>
      <c r="R2946" t="s">
        <v>1269</v>
      </c>
      <c r="S2946">
        <v>1.1759999999999999</v>
      </c>
      <c r="T2946">
        <v>0.24759999999999999</v>
      </c>
      <c r="U2946">
        <f t="shared" si="245"/>
        <v>0.29099999999999998</v>
      </c>
      <c r="V2946" t="str">
        <f t="shared" ref="V2946:V3009" si="247">_xlfn.XLOOKUP(L2946,$BV:$BV,$BT:$BT,,0)</f>
        <v>Middle Psychologist</v>
      </c>
      <c r="W2946" t="str">
        <f t="shared" ref="W2946:W3009" si="248">_xlfn.TEXTAFTER(V2946," ")</f>
        <v>Psychologist</v>
      </c>
    </row>
    <row r="2947" spans="1:23" x14ac:dyDescent="0.25">
      <c r="A2947">
        <v>34002</v>
      </c>
      <c r="B2947" t="s">
        <v>1335</v>
      </c>
      <c r="C2947">
        <v>1.9379999999999999</v>
      </c>
      <c r="D2947" t="s">
        <v>1264</v>
      </c>
      <c r="E2947">
        <v>100304</v>
      </c>
      <c r="F2947">
        <v>34002</v>
      </c>
      <c r="G2947" t="str">
        <f t="shared" si="246"/>
        <v>34002</v>
      </c>
      <c r="H2947" t="s">
        <v>548</v>
      </c>
      <c r="I2947" t="s">
        <v>1265</v>
      </c>
      <c r="J2947" t="s">
        <v>1276</v>
      </c>
      <c r="K2947" t="s">
        <v>1277</v>
      </c>
      <c r="L2947" t="s">
        <v>1335</v>
      </c>
      <c r="M2947" t="s">
        <v>1344</v>
      </c>
      <c r="N2947">
        <v>1</v>
      </c>
      <c r="O2947" t="str">
        <f t="shared" ref="O2947:O3010" si="249">MID(L2947,3,2)</f>
        <v>47</v>
      </c>
      <c r="P2947">
        <v>47</v>
      </c>
      <c r="R2947" t="s">
        <v>1269</v>
      </c>
      <c r="S2947">
        <v>1.9379999999999999</v>
      </c>
      <c r="T2947">
        <v>0.24759999999999999</v>
      </c>
      <c r="U2947">
        <f t="shared" ref="U2947:U3010" si="250">IF(N2947=21,ROUND(T2947*S2947,3),0)</f>
        <v>0</v>
      </c>
      <c r="V2947" t="str">
        <f t="shared" si="247"/>
        <v>Elementary Nurse</v>
      </c>
      <c r="W2947" t="str">
        <f t="shared" si="248"/>
        <v>Nurse</v>
      </c>
    </row>
    <row r="2948" spans="1:23" x14ac:dyDescent="0.25">
      <c r="A2948">
        <v>34002</v>
      </c>
      <c r="B2948" t="s">
        <v>1341</v>
      </c>
      <c r="C2948">
        <v>1.508</v>
      </c>
      <c r="D2948" t="s">
        <v>1264</v>
      </c>
      <c r="E2948">
        <v>100304</v>
      </c>
      <c r="F2948">
        <v>34002</v>
      </c>
      <c r="G2948" t="str">
        <f t="shared" si="246"/>
        <v>34002</v>
      </c>
      <c r="H2948" t="s">
        <v>548</v>
      </c>
      <c r="I2948" t="s">
        <v>1265</v>
      </c>
      <c r="J2948" t="s">
        <v>1271</v>
      </c>
      <c r="K2948" t="s">
        <v>1272</v>
      </c>
      <c r="L2948" t="s">
        <v>1341</v>
      </c>
      <c r="M2948" t="s">
        <v>1342</v>
      </c>
      <c r="N2948">
        <v>1</v>
      </c>
      <c r="O2948" t="str">
        <f t="shared" si="249"/>
        <v>47</v>
      </c>
      <c r="P2948">
        <v>47</v>
      </c>
      <c r="R2948" t="s">
        <v>1269</v>
      </c>
      <c r="S2948">
        <v>1.508</v>
      </c>
      <c r="T2948">
        <v>0.24759999999999999</v>
      </c>
      <c r="U2948">
        <f t="shared" si="250"/>
        <v>0</v>
      </c>
      <c r="V2948" t="str">
        <f t="shared" si="247"/>
        <v>High Nurse</v>
      </c>
      <c r="W2948" t="str">
        <f t="shared" si="248"/>
        <v>Nurse</v>
      </c>
    </row>
    <row r="2949" spans="1:23" x14ac:dyDescent="0.25">
      <c r="A2949">
        <v>34002</v>
      </c>
      <c r="B2949" t="s">
        <v>1338</v>
      </c>
      <c r="C2949">
        <v>0.55400000000000005</v>
      </c>
      <c r="D2949" t="s">
        <v>1264</v>
      </c>
      <c r="E2949">
        <v>100304</v>
      </c>
      <c r="F2949">
        <v>34002</v>
      </c>
      <c r="G2949" t="str">
        <f t="shared" si="246"/>
        <v>34002</v>
      </c>
      <c r="H2949" t="s">
        <v>548</v>
      </c>
      <c r="I2949" t="s">
        <v>1265</v>
      </c>
      <c r="J2949" t="s">
        <v>1266</v>
      </c>
      <c r="K2949" t="s">
        <v>1267</v>
      </c>
      <c r="L2949" t="s">
        <v>1338</v>
      </c>
      <c r="M2949" t="s">
        <v>1339</v>
      </c>
      <c r="N2949">
        <v>1</v>
      </c>
      <c r="O2949" t="str">
        <f t="shared" si="249"/>
        <v>47</v>
      </c>
      <c r="P2949">
        <v>47</v>
      </c>
      <c r="R2949" t="s">
        <v>1269</v>
      </c>
      <c r="S2949">
        <v>0.55400000000000005</v>
      </c>
      <c r="T2949">
        <v>0.24759999999999999</v>
      </c>
      <c r="U2949">
        <f t="shared" si="250"/>
        <v>0</v>
      </c>
      <c r="V2949" t="str">
        <f t="shared" si="247"/>
        <v>Middle Nurse</v>
      </c>
      <c r="W2949" t="str">
        <f t="shared" si="248"/>
        <v>Nurse</v>
      </c>
    </row>
    <row r="2950" spans="1:23" x14ac:dyDescent="0.25">
      <c r="A2950">
        <v>34002</v>
      </c>
      <c r="B2950" t="s">
        <v>1302</v>
      </c>
      <c r="C2950">
        <v>1</v>
      </c>
      <c r="D2950" t="s">
        <v>1264</v>
      </c>
      <c r="E2950">
        <v>100304</v>
      </c>
      <c r="F2950">
        <v>34002</v>
      </c>
      <c r="G2950" t="str">
        <f t="shared" si="246"/>
        <v>34002</v>
      </c>
      <c r="H2950" t="s">
        <v>548</v>
      </c>
      <c r="I2950" t="s">
        <v>1265</v>
      </c>
      <c r="J2950" t="s">
        <v>1276</v>
      </c>
      <c r="K2950" t="s">
        <v>1277</v>
      </c>
      <c r="L2950" t="s">
        <v>1302</v>
      </c>
      <c r="M2950" t="s">
        <v>1336</v>
      </c>
      <c r="N2950">
        <v>21</v>
      </c>
      <c r="O2950" t="str">
        <f t="shared" si="249"/>
        <v>48</v>
      </c>
      <c r="P2950">
        <v>48</v>
      </c>
      <c r="R2950" t="s">
        <v>1269</v>
      </c>
      <c r="S2950">
        <v>1</v>
      </c>
      <c r="T2950">
        <v>0.24759999999999999</v>
      </c>
      <c r="U2950">
        <f t="shared" si="250"/>
        <v>0.248</v>
      </c>
      <c r="V2950" t="str">
        <f t="shared" si="247"/>
        <v>Elementary Physical Therapist</v>
      </c>
      <c r="W2950" t="str">
        <f t="shared" si="248"/>
        <v>Physical Therapist</v>
      </c>
    </row>
    <row r="2951" spans="1:23" x14ac:dyDescent="0.25">
      <c r="A2951" t="s">
        <v>252</v>
      </c>
      <c r="B2951" t="s">
        <v>1474</v>
      </c>
      <c r="C2951">
        <v>4.3999999999999997E-2</v>
      </c>
      <c r="F2951" t="s">
        <v>252</v>
      </c>
      <c r="G2951" t="str">
        <f t="shared" si="246"/>
        <v>34002</v>
      </c>
      <c r="H2951" t="s">
        <v>548</v>
      </c>
      <c r="I2951" t="s">
        <v>1265</v>
      </c>
      <c r="K2951" t="s">
        <v>1277</v>
      </c>
      <c r="L2951" t="s">
        <v>1474</v>
      </c>
      <c r="M2951" t="s">
        <v>1642</v>
      </c>
      <c r="N2951">
        <v>9</v>
      </c>
      <c r="O2951" t="str">
        <f t="shared" si="249"/>
        <v>25</v>
      </c>
      <c r="P2951">
        <v>91</v>
      </c>
      <c r="Q2951">
        <v>25</v>
      </c>
      <c r="S2951">
        <v>4.3999999999999997E-2</v>
      </c>
      <c r="T2951">
        <v>0.24759999999999999</v>
      </c>
      <c r="U2951">
        <f t="shared" si="250"/>
        <v>0</v>
      </c>
      <c r="V2951" t="str">
        <f t="shared" si="247"/>
        <v>TK Pupil Management</v>
      </c>
      <c r="W2951" t="str">
        <f t="shared" si="248"/>
        <v>Pupil Management</v>
      </c>
    </row>
    <row r="2952" spans="1:23" x14ac:dyDescent="0.25">
      <c r="A2952" t="s">
        <v>252</v>
      </c>
      <c r="B2952" t="s">
        <v>1474</v>
      </c>
      <c r="C2952">
        <v>6.6000000000000003E-2</v>
      </c>
      <c r="F2952" t="s">
        <v>252</v>
      </c>
      <c r="G2952" t="str">
        <f t="shared" si="246"/>
        <v>34002</v>
      </c>
      <c r="H2952" t="s">
        <v>548</v>
      </c>
      <c r="I2952" t="s">
        <v>1265</v>
      </c>
      <c r="K2952" t="s">
        <v>1277</v>
      </c>
      <c r="L2952" t="s">
        <v>1474</v>
      </c>
      <c r="M2952" t="s">
        <v>1642</v>
      </c>
      <c r="N2952">
        <v>9</v>
      </c>
      <c r="O2952" t="str">
        <f t="shared" si="249"/>
        <v>25</v>
      </c>
      <c r="P2952">
        <v>91</v>
      </c>
      <c r="Q2952">
        <v>25</v>
      </c>
      <c r="S2952">
        <v>6.6000000000000003E-2</v>
      </c>
      <c r="T2952">
        <v>0.24759999999999999</v>
      </c>
      <c r="U2952">
        <f t="shared" si="250"/>
        <v>0</v>
      </c>
      <c r="V2952" t="str">
        <f t="shared" si="247"/>
        <v>TK Pupil Management</v>
      </c>
      <c r="W2952" t="str">
        <f t="shared" si="248"/>
        <v>Pupil Management</v>
      </c>
    </row>
    <row r="2953" spans="1:23" x14ac:dyDescent="0.25">
      <c r="A2953">
        <v>34003</v>
      </c>
      <c r="B2953" t="s">
        <v>1383</v>
      </c>
      <c r="C2953">
        <v>5.8140000000000001</v>
      </c>
      <c r="D2953" t="s">
        <v>1264</v>
      </c>
      <c r="E2953">
        <v>100172</v>
      </c>
      <c r="F2953">
        <v>34003</v>
      </c>
      <c r="G2953" t="str">
        <f t="shared" si="246"/>
        <v>34003</v>
      </c>
      <c r="H2953" t="s">
        <v>549</v>
      </c>
      <c r="I2953" t="s">
        <v>1265</v>
      </c>
      <c r="J2953" t="s">
        <v>1271</v>
      </c>
      <c r="K2953" t="s">
        <v>1272</v>
      </c>
      <c r="L2953" t="s">
        <v>1383</v>
      </c>
      <c r="M2953" t="s">
        <v>1409</v>
      </c>
      <c r="N2953">
        <v>21</v>
      </c>
      <c r="O2953" t="str">
        <f t="shared" si="249"/>
        <v>25</v>
      </c>
      <c r="Q2953">
        <v>25</v>
      </c>
      <c r="R2953" t="s">
        <v>1269</v>
      </c>
      <c r="S2953">
        <v>5.8140000000000001</v>
      </c>
      <c r="T2953">
        <v>0.25950000000000001</v>
      </c>
      <c r="U2953">
        <f t="shared" si="250"/>
        <v>1.5089999999999999</v>
      </c>
      <c r="V2953" t="str">
        <f t="shared" si="247"/>
        <v>High Pupil Management</v>
      </c>
      <c r="W2953" t="str">
        <f t="shared" si="248"/>
        <v>Pupil Management</v>
      </c>
    </row>
    <row r="2954" spans="1:23" x14ac:dyDescent="0.25">
      <c r="A2954">
        <v>34003</v>
      </c>
      <c r="B2954" t="s">
        <v>1299</v>
      </c>
      <c r="C2954">
        <v>24.23</v>
      </c>
      <c r="D2954" t="s">
        <v>1264</v>
      </c>
      <c r="E2954">
        <v>100172</v>
      </c>
      <c r="F2954">
        <v>34003</v>
      </c>
      <c r="G2954" t="str">
        <f t="shared" si="246"/>
        <v>34003</v>
      </c>
      <c r="H2954" t="s">
        <v>549</v>
      </c>
      <c r="I2954" t="s">
        <v>1265</v>
      </c>
      <c r="J2954" t="s">
        <v>1271</v>
      </c>
      <c r="K2954" t="s">
        <v>1272</v>
      </c>
      <c r="L2954" t="s">
        <v>1299</v>
      </c>
      <c r="M2954" t="s">
        <v>1300</v>
      </c>
      <c r="N2954">
        <v>1</v>
      </c>
      <c r="O2954" t="str">
        <f t="shared" si="249"/>
        <v>25</v>
      </c>
      <c r="Q2954">
        <v>25</v>
      </c>
      <c r="R2954" t="s">
        <v>1269</v>
      </c>
      <c r="S2954">
        <v>24.23</v>
      </c>
      <c r="T2954">
        <v>0.25950000000000001</v>
      </c>
      <c r="U2954">
        <f t="shared" si="250"/>
        <v>0</v>
      </c>
      <c r="V2954" t="str">
        <f t="shared" si="247"/>
        <v>High Pupil Management</v>
      </c>
      <c r="W2954" t="str">
        <f t="shared" si="248"/>
        <v>Pupil Management</v>
      </c>
    </row>
    <row r="2955" spans="1:23" x14ac:dyDescent="0.25">
      <c r="A2955">
        <v>34003</v>
      </c>
      <c r="B2955" t="s">
        <v>1324</v>
      </c>
      <c r="C2955">
        <v>2.8159999999999998</v>
      </c>
      <c r="D2955" t="s">
        <v>1264</v>
      </c>
      <c r="E2955">
        <v>100172</v>
      </c>
      <c r="F2955">
        <v>34003</v>
      </c>
      <c r="G2955" t="str">
        <f t="shared" si="246"/>
        <v>34003</v>
      </c>
      <c r="H2955" t="s">
        <v>549</v>
      </c>
      <c r="I2955" t="s">
        <v>1265</v>
      </c>
      <c r="J2955" t="s">
        <v>1271</v>
      </c>
      <c r="K2955" t="s">
        <v>1272</v>
      </c>
      <c r="L2955" t="s">
        <v>1324</v>
      </c>
      <c r="M2955" t="s">
        <v>1325</v>
      </c>
      <c r="N2955">
        <v>21</v>
      </c>
      <c r="O2955" t="str">
        <f t="shared" si="249"/>
        <v>26</v>
      </c>
      <c r="Q2955">
        <v>26</v>
      </c>
      <c r="R2955" t="s">
        <v>1269</v>
      </c>
      <c r="S2955">
        <v>2.8159999999999998</v>
      </c>
      <c r="T2955">
        <v>0.25950000000000001</v>
      </c>
      <c r="U2955">
        <f t="shared" si="250"/>
        <v>0.73099999999999998</v>
      </c>
      <c r="V2955" t="str">
        <f t="shared" si="247"/>
        <v>High Health/
Related Services</v>
      </c>
      <c r="W2955" t="str">
        <f t="shared" si="248"/>
        <v>Health/
Related Services</v>
      </c>
    </row>
    <row r="2956" spans="1:23" x14ac:dyDescent="0.25">
      <c r="A2956">
        <v>34003</v>
      </c>
      <c r="B2956" t="s">
        <v>1295</v>
      </c>
      <c r="C2956">
        <v>14.686999999999999</v>
      </c>
      <c r="D2956" t="s">
        <v>1264</v>
      </c>
      <c r="E2956">
        <v>100172</v>
      </c>
      <c r="F2956">
        <v>34003</v>
      </c>
      <c r="G2956" t="str">
        <f t="shared" si="246"/>
        <v>34003</v>
      </c>
      <c r="H2956" t="s">
        <v>549</v>
      </c>
      <c r="I2956" t="s">
        <v>1265</v>
      </c>
      <c r="J2956" t="s">
        <v>1271</v>
      </c>
      <c r="K2956" t="s">
        <v>1272</v>
      </c>
      <c r="L2956" t="s">
        <v>1295</v>
      </c>
      <c r="M2956" t="s">
        <v>1296</v>
      </c>
      <c r="N2956">
        <v>1</v>
      </c>
      <c r="O2956" t="str">
        <f t="shared" si="249"/>
        <v>26</v>
      </c>
      <c r="Q2956">
        <v>26</v>
      </c>
      <c r="R2956" t="s">
        <v>1269</v>
      </c>
      <c r="S2956">
        <v>14.686999999999999</v>
      </c>
      <c r="T2956">
        <v>0.25950000000000001</v>
      </c>
      <c r="U2956">
        <f t="shared" si="250"/>
        <v>0</v>
      </c>
      <c r="V2956" t="str">
        <f t="shared" si="247"/>
        <v>High Health/
Related Services</v>
      </c>
      <c r="W2956" t="str">
        <f t="shared" si="248"/>
        <v>Health/
Related Services</v>
      </c>
    </row>
    <row r="2957" spans="1:23" x14ac:dyDescent="0.25">
      <c r="A2957">
        <v>34003</v>
      </c>
      <c r="B2957" t="s">
        <v>1401</v>
      </c>
      <c r="C2957">
        <v>2.5449999999999999</v>
      </c>
      <c r="D2957" t="s">
        <v>1264</v>
      </c>
      <c r="E2957">
        <v>100172</v>
      </c>
      <c r="F2957">
        <v>34003</v>
      </c>
      <c r="G2957" t="str">
        <f t="shared" si="246"/>
        <v>34003</v>
      </c>
      <c r="H2957" t="s">
        <v>549</v>
      </c>
      <c r="I2957" t="s">
        <v>1265</v>
      </c>
      <c r="J2957" t="s">
        <v>1271</v>
      </c>
      <c r="K2957" t="s">
        <v>1272</v>
      </c>
      <c r="L2957" t="s">
        <v>1401</v>
      </c>
      <c r="M2957" t="s">
        <v>1422</v>
      </c>
      <c r="N2957">
        <v>1</v>
      </c>
      <c r="O2957" t="str">
        <f t="shared" si="249"/>
        <v>35</v>
      </c>
      <c r="Q2957">
        <v>35</v>
      </c>
      <c r="R2957" t="s">
        <v>1269</v>
      </c>
      <c r="S2957">
        <v>2.5449999999999999</v>
      </c>
      <c r="T2957">
        <v>0.25950000000000001</v>
      </c>
      <c r="U2957">
        <f t="shared" si="250"/>
        <v>0</v>
      </c>
      <c r="V2957" t="str">
        <f t="shared" si="247"/>
        <v>High Pupil Safety</v>
      </c>
      <c r="W2957" t="str">
        <f t="shared" si="248"/>
        <v>Pupil Safety</v>
      </c>
    </row>
    <row r="2958" spans="1:23" x14ac:dyDescent="0.25">
      <c r="A2958">
        <v>34003</v>
      </c>
      <c r="B2958" t="s">
        <v>1275</v>
      </c>
      <c r="C2958">
        <v>16.132999999999999</v>
      </c>
      <c r="D2958" t="s">
        <v>1264</v>
      </c>
      <c r="E2958">
        <v>100172</v>
      </c>
      <c r="F2958">
        <v>34003</v>
      </c>
      <c r="G2958" t="str">
        <f t="shared" si="246"/>
        <v>34003</v>
      </c>
      <c r="H2958" t="s">
        <v>549</v>
      </c>
      <c r="I2958" t="s">
        <v>1265</v>
      </c>
      <c r="J2958" t="s">
        <v>1276</v>
      </c>
      <c r="K2958" t="s">
        <v>1277</v>
      </c>
      <c r="L2958" t="s">
        <v>1275</v>
      </c>
      <c r="M2958" t="s">
        <v>1278</v>
      </c>
      <c r="N2958">
        <v>1</v>
      </c>
      <c r="O2958" t="str">
        <f t="shared" si="249"/>
        <v>42</v>
      </c>
      <c r="P2958">
        <v>42</v>
      </c>
      <c r="R2958" t="s">
        <v>1269</v>
      </c>
      <c r="S2958">
        <v>16.132999999999999</v>
      </c>
      <c r="T2958">
        <v>0.25950000000000001</v>
      </c>
      <c r="U2958">
        <f t="shared" si="250"/>
        <v>0</v>
      </c>
      <c r="V2958" t="str">
        <f t="shared" si="247"/>
        <v>Elementary Counselor</v>
      </c>
      <c r="W2958" t="str">
        <f t="shared" si="248"/>
        <v>Counselor</v>
      </c>
    </row>
    <row r="2959" spans="1:23" x14ac:dyDescent="0.25">
      <c r="A2959">
        <v>34003</v>
      </c>
      <c r="B2959" t="s">
        <v>1270</v>
      </c>
      <c r="C2959">
        <v>12</v>
      </c>
      <c r="D2959" t="s">
        <v>1264</v>
      </c>
      <c r="E2959">
        <v>100172</v>
      </c>
      <c r="F2959">
        <v>34003</v>
      </c>
      <c r="G2959" t="str">
        <f t="shared" si="246"/>
        <v>34003</v>
      </c>
      <c r="H2959" t="s">
        <v>549</v>
      </c>
      <c r="I2959" t="s">
        <v>1265</v>
      </c>
      <c r="J2959" t="s">
        <v>1271</v>
      </c>
      <c r="K2959" t="s">
        <v>1272</v>
      </c>
      <c r="L2959" t="s">
        <v>1270</v>
      </c>
      <c r="M2959" t="s">
        <v>1273</v>
      </c>
      <c r="N2959">
        <v>1</v>
      </c>
      <c r="O2959" t="str">
        <f t="shared" si="249"/>
        <v>42</v>
      </c>
      <c r="P2959">
        <v>42</v>
      </c>
      <c r="R2959" t="s">
        <v>1269</v>
      </c>
      <c r="S2959">
        <v>12</v>
      </c>
      <c r="T2959">
        <v>0.25950000000000001</v>
      </c>
      <c r="U2959">
        <f t="shared" si="250"/>
        <v>0</v>
      </c>
      <c r="V2959" t="str">
        <f t="shared" si="247"/>
        <v>High Counselor</v>
      </c>
      <c r="W2959" t="str">
        <f t="shared" si="248"/>
        <v>Counselor</v>
      </c>
    </row>
    <row r="2960" spans="1:23" x14ac:dyDescent="0.25">
      <c r="A2960">
        <v>34003</v>
      </c>
      <c r="B2960" t="s">
        <v>1263</v>
      </c>
      <c r="C2960">
        <v>5.4020000000000001</v>
      </c>
      <c r="D2960" t="s">
        <v>1264</v>
      </c>
      <c r="E2960">
        <v>100172</v>
      </c>
      <c r="F2960">
        <v>34003</v>
      </c>
      <c r="G2960" t="str">
        <f t="shared" si="246"/>
        <v>34003</v>
      </c>
      <c r="H2960" t="s">
        <v>549</v>
      </c>
      <c r="I2960" t="s">
        <v>1265</v>
      </c>
      <c r="J2960" t="s">
        <v>1266</v>
      </c>
      <c r="K2960" t="s">
        <v>1267</v>
      </c>
      <c r="L2960" t="s">
        <v>1263</v>
      </c>
      <c r="M2960" t="s">
        <v>1268</v>
      </c>
      <c r="N2960">
        <v>1</v>
      </c>
      <c r="O2960" t="str">
        <f t="shared" si="249"/>
        <v>42</v>
      </c>
      <c r="P2960">
        <v>42</v>
      </c>
      <c r="R2960" t="s">
        <v>1269</v>
      </c>
      <c r="S2960">
        <v>5.4020000000000001</v>
      </c>
      <c r="T2960">
        <v>0.25950000000000001</v>
      </c>
      <c r="U2960">
        <f t="shared" si="250"/>
        <v>0</v>
      </c>
      <c r="V2960" t="str">
        <f t="shared" si="247"/>
        <v>Middle Counselor</v>
      </c>
      <c r="W2960" t="str">
        <f t="shared" si="248"/>
        <v>Counselor</v>
      </c>
    </row>
    <row r="2961" spans="1:23" x14ac:dyDescent="0.25">
      <c r="A2961">
        <v>34003</v>
      </c>
      <c r="B2961" t="s">
        <v>1289</v>
      </c>
      <c r="C2961">
        <v>8.2210000000000001</v>
      </c>
      <c r="D2961" t="s">
        <v>1264</v>
      </c>
      <c r="E2961">
        <v>100172</v>
      </c>
      <c r="F2961">
        <v>34003</v>
      </c>
      <c r="G2961" t="str">
        <f t="shared" si="246"/>
        <v>34003</v>
      </c>
      <c r="H2961" t="s">
        <v>549</v>
      </c>
      <c r="I2961" t="s">
        <v>1265</v>
      </c>
      <c r="J2961" t="s">
        <v>1276</v>
      </c>
      <c r="K2961" t="s">
        <v>1277</v>
      </c>
      <c r="L2961" t="s">
        <v>1289</v>
      </c>
      <c r="M2961" t="s">
        <v>1307</v>
      </c>
      <c r="N2961">
        <v>21</v>
      </c>
      <c r="O2961" t="str">
        <f t="shared" si="249"/>
        <v>43</v>
      </c>
      <c r="P2961">
        <v>43</v>
      </c>
      <c r="R2961" t="s">
        <v>1269</v>
      </c>
      <c r="S2961">
        <v>8.2210000000000001</v>
      </c>
      <c r="T2961">
        <v>0.25950000000000001</v>
      </c>
      <c r="U2961">
        <f t="shared" si="250"/>
        <v>2.133</v>
      </c>
      <c r="V2961" t="str">
        <f t="shared" si="247"/>
        <v>Elementary Occupational Therapist</v>
      </c>
      <c r="W2961" t="str">
        <f t="shared" si="248"/>
        <v>Occupational Therapist</v>
      </c>
    </row>
    <row r="2962" spans="1:23" x14ac:dyDescent="0.25">
      <c r="A2962">
        <v>34003</v>
      </c>
      <c r="B2962" t="s">
        <v>1387</v>
      </c>
      <c r="C2962">
        <v>1.673</v>
      </c>
      <c r="D2962" t="s">
        <v>1264</v>
      </c>
      <c r="E2962">
        <v>100172</v>
      </c>
      <c r="F2962">
        <v>34003</v>
      </c>
      <c r="G2962" t="str">
        <f t="shared" si="246"/>
        <v>34003</v>
      </c>
      <c r="H2962" t="s">
        <v>549</v>
      </c>
      <c r="I2962" t="s">
        <v>1265</v>
      </c>
      <c r="J2962" t="s">
        <v>1271</v>
      </c>
      <c r="K2962" t="s">
        <v>1272</v>
      </c>
      <c r="L2962" t="s">
        <v>1387</v>
      </c>
      <c r="M2962" t="s">
        <v>1406</v>
      </c>
      <c r="N2962">
        <v>21</v>
      </c>
      <c r="O2962" t="str">
        <f t="shared" si="249"/>
        <v>43</v>
      </c>
      <c r="P2962">
        <v>43</v>
      </c>
      <c r="R2962" t="s">
        <v>1269</v>
      </c>
      <c r="S2962">
        <v>1.673</v>
      </c>
      <c r="T2962">
        <v>0.25950000000000001</v>
      </c>
      <c r="U2962">
        <f t="shared" si="250"/>
        <v>0.434</v>
      </c>
      <c r="V2962" t="str">
        <f t="shared" si="247"/>
        <v>High Occupational Therapist</v>
      </c>
      <c r="W2962" t="str">
        <f t="shared" si="248"/>
        <v>Occupational Therapist</v>
      </c>
    </row>
    <row r="2963" spans="1:23" x14ac:dyDescent="0.25">
      <c r="A2963">
        <v>34003</v>
      </c>
      <c r="B2963" t="s">
        <v>1303</v>
      </c>
      <c r="C2963">
        <v>1.1060000000000001</v>
      </c>
      <c r="D2963" t="s">
        <v>1264</v>
      </c>
      <c r="E2963">
        <v>100172</v>
      </c>
      <c r="F2963">
        <v>34003</v>
      </c>
      <c r="G2963" t="str">
        <f t="shared" si="246"/>
        <v>34003</v>
      </c>
      <c r="H2963" t="s">
        <v>549</v>
      </c>
      <c r="I2963" t="s">
        <v>1265</v>
      </c>
      <c r="J2963" t="s">
        <v>1266</v>
      </c>
      <c r="K2963" t="s">
        <v>1267</v>
      </c>
      <c r="L2963" t="s">
        <v>1303</v>
      </c>
      <c r="M2963" t="s">
        <v>1304</v>
      </c>
      <c r="N2963">
        <v>21</v>
      </c>
      <c r="O2963" t="str">
        <f t="shared" si="249"/>
        <v>43</v>
      </c>
      <c r="P2963">
        <v>43</v>
      </c>
      <c r="R2963" t="s">
        <v>1269</v>
      </c>
      <c r="S2963">
        <v>1.1060000000000001</v>
      </c>
      <c r="T2963">
        <v>0.25950000000000001</v>
      </c>
      <c r="U2963">
        <f t="shared" si="250"/>
        <v>0.28699999999999998</v>
      </c>
      <c r="V2963" t="str">
        <f t="shared" si="247"/>
        <v>Middle Occupational Therapist</v>
      </c>
      <c r="W2963" t="str">
        <f t="shared" si="248"/>
        <v>Occupational Therapist</v>
      </c>
    </row>
    <row r="2964" spans="1:23" x14ac:dyDescent="0.25">
      <c r="A2964">
        <v>34003</v>
      </c>
      <c r="B2964" t="s">
        <v>1294</v>
      </c>
      <c r="C2964">
        <v>25.202000000000002</v>
      </c>
      <c r="D2964" t="s">
        <v>1264</v>
      </c>
      <c r="E2964">
        <v>100172</v>
      </c>
      <c r="F2964">
        <v>34003</v>
      </c>
      <c r="G2964" t="str">
        <f t="shared" si="246"/>
        <v>34003</v>
      </c>
      <c r="H2964" t="s">
        <v>549</v>
      </c>
      <c r="I2964" t="s">
        <v>1265</v>
      </c>
      <c r="J2964" t="s">
        <v>1276</v>
      </c>
      <c r="K2964" t="s">
        <v>1277</v>
      </c>
      <c r="L2964" t="s">
        <v>1294</v>
      </c>
      <c r="M2964" t="s">
        <v>1354</v>
      </c>
      <c r="N2964">
        <v>21</v>
      </c>
      <c r="O2964" t="str">
        <f t="shared" si="249"/>
        <v>45</v>
      </c>
      <c r="P2964">
        <v>45</v>
      </c>
      <c r="R2964" t="s">
        <v>1269</v>
      </c>
      <c r="S2964">
        <v>25.202000000000002</v>
      </c>
      <c r="T2964">
        <v>0.25950000000000001</v>
      </c>
      <c r="U2964">
        <f t="shared" si="250"/>
        <v>6.54</v>
      </c>
      <c r="V2964" t="str">
        <f t="shared" si="247"/>
        <v>Elementary Speech, Language Pathway/
Audio</v>
      </c>
      <c r="W2964" t="str">
        <f t="shared" si="248"/>
        <v>Speech, Language Pathway/
Audio</v>
      </c>
    </row>
    <row r="2965" spans="1:23" x14ac:dyDescent="0.25">
      <c r="A2965">
        <v>34003</v>
      </c>
      <c r="B2965" t="s">
        <v>1326</v>
      </c>
      <c r="C2965">
        <v>4.5110000000000001</v>
      </c>
      <c r="D2965" t="s">
        <v>1264</v>
      </c>
      <c r="E2965">
        <v>100172</v>
      </c>
      <c r="F2965">
        <v>34003</v>
      </c>
      <c r="G2965" t="str">
        <f t="shared" si="246"/>
        <v>34003</v>
      </c>
      <c r="H2965" t="s">
        <v>549</v>
      </c>
      <c r="I2965" t="s">
        <v>1265</v>
      </c>
      <c r="J2965" t="s">
        <v>1271</v>
      </c>
      <c r="K2965" t="s">
        <v>1272</v>
      </c>
      <c r="L2965" t="s">
        <v>1326</v>
      </c>
      <c r="M2965" t="s">
        <v>1353</v>
      </c>
      <c r="N2965">
        <v>21</v>
      </c>
      <c r="O2965" t="str">
        <f t="shared" si="249"/>
        <v>45</v>
      </c>
      <c r="P2965">
        <v>45</v>
      </c>
      <c r="R2965" t="s">
        <v>1269</v>
      </c>
      <c r="S2965">
        <v>4.5110000000000001</v>
      </c>
      <c r="T2965">
        <v>0.25950000000000001</v>
      </c>
      <c r="U2965">
        <f t="shared" si="250"/>
        <v>1.171</v>
      </c>
      <c r="V2965" t="str">
        <f t="shared" si="247"/>
        <v>High Speech, Language Pathway/
Audio</v>
      </c>
      <c r="W2965" t="str">
        <f t="shared" si="248"/>
        <v>Speech, Language Pathway/
Audio</v>
      </c>
    </row>
    <row r="2966" spans="1:23" x14ac:dyDescent="0.25">
      <c r="A2966">
        <v>34003</v>
      </c>
      <c r="B2966" t="s">
        <v>1312</v>
      </c>
      <c r="C2966">
        <v>3.3540000000000001</v>
      </c>
      <c r="D2966" t="s">
        <v>1264</v>
      </c>
      <c r="E2966">
        <v>100172</v>
      </c>
      <c r="F2966">
        <v>34003</v>
      </c>
      <c r="G2966" t="str">
        <f t="shared" si="246"/>
        <v>34003</v>
      </c>
      <c r="H2966" t="s">
        <v>549</v>
      </c>
      <c r="I2966" t="s">
        <v>1265</v>
      </c>
      <c r="J2966" t="s">
        <v>1266</v>
      </c>
      <c r="K2966" t="s">
        <v>1267</v>
      </c>
      <c r="L2966" t="s">
        <v>1312</v>
      </c>
      <c r="M2966" t="s">
        <v>1351</v>
      </c>
      <c r="N2966">
        <v>21</v>
      </c>
      <c r="O2966" t="str">
        <f t="shared" si="249"/>
        <v>45</v>
      </c>
      <c r="P2966">
        <v>45</v>
      </c>
      <c r="R2966" t="s">
        <v>1269</v>
      </c>
      <c r="S2966">
        <v>3.3540000000000001</v>
      </c>
      <c r="T2966">
        <v>0.25950000000000001</v>
      </c>
      <c r="U2966">
        <f t="shared" si="250"/>
        <v>0.87</v>
      </c>
      <c r="V2966" t="str">
        <f t="shared" si="247"/>
        <v>Middle Speech, Language Pathway/
Audio</v>
      </c>
      <c r="W2966" t="str">
        <f t="shared" si="248"/>
        <v>Speech, Language Pathway/
Audio</v>
      </c>
    </row>
    <row r="2967" spans="1:23" x14ac:dyDescent="0.25">
      <c r="A2967">
        <v>34003</v>
      </c>
      <c r="B2967" t="s">
        <v>1298</v>
      </c>
      <c r="C2967">
        <v>12.516999999999999</v>
      </c>
      <c r="D2967" t="s">
        <v>1264</v>
      </c>
      <c r="E2967">
        <v>100172</v>
      </c>
      <c r="F2967">
        <v>34003</v>
      </c>
      <c r="G2967" t="str">
        <f t="shared" si="246"/>
        <v>34003</v>
      </c>
      <c r="H2967" t="s">
        <v>549</v>
      </c>
      <c r="I2967" t="s">
        <v>1265</v>
      </c>
      <c r="J2967" t="s">
        <v>1276</v>
      </c>
      <c r="K2967" t="s">
        <v>1277</v>
      </c>
      <c r="L2967" t="s">
        <v>1298</v>
      </c>
      <c r="M2967" t="s">
        <v>1349</v>
      </c>
      <c r="N2967">
        <v>21</v>
      </c>
      <c r="O2967" t="str">
        <f t="shared" si="249"/>
        <v>46</v>
      </c>
      <c r="P2967">
        <v>46</v>
      </c>
      <c r="R2967" t="s">
        <v>1269</v>
      </c>
      <c r="S2967">
        <v>12.516999999999999</v>
      </c>
      <c r="T2967">
        <v>0.25950000000000001</v>
      </c>
      <c r="U2967">
        <f t="shared" si="250"/>
        <v>3.2480000000000002</v>
      </c>
      <c r="V2967" t="str">
        <f t="shared" si="247"/>
        <v>Elementary Psychologist</v>
      </c>
      <c r="W2967" t="str">
        <f t="shared" si="248"/>
        <v>Psychologist</v>
      </c>
    </row>
    <row r="2968" spans="1:23" x14ac:dyDescent="0.25">
      <c r="A2968">
        <v>34003</v>
      </c>
      <c r="B2968" t="s">
        <v>1309</v>
      </c>
      <c r="C2968">
        <v>4.9669999999999996</v>
      </c>
      <c r="D2968" t="s">
        <v>1264</v>
      </c>
      <c r="E2968">
        <v>100172</v>
      </c>
      <c r="F2968">
        <v>34003</v>
      </c>
      <c r="G2968" t="str">
        <f t="shared" si="246"/>
        <v>34003</v>
      </c>
      <c r="H2968" t="s">
        <v>549</v>
      </c>
      <c r="I2968" t="s">
        <v>1265</v>
      </c>
      <c r="J2968" t="s">
        <v>1271</v>
      </c>
      <c r="K2968" t="s">
        <v>1272</v>
      </c>
      <c r="L2968" t="s">
        <v>1309</v>
      </c>
      <c r="M2968" t="s">
        <v>1310</v>
      </c>
      <c r="N2968">
        <v>21</v>
      </c>
      <c r="O2968" t="str">
        <f t="shared" si="249"/>
        <v>46</v>
      </c>
      <c r="P2968">
        <v>46</v>
      </c>
      <c r="R2968" t="s">
        <v>1269</v>
      </c>
      <c r="S2968">
        <v>4.9669999999999996</v>
      </c>
      <c r="T2968">
        <v>0.25950000000000001</v>
      </c>
      <c r="U2968">
        <f t="shared" si="250"/>
        <v>1.2889999999999999</v>
      </c>
      <c r="V2968" t="str">
        <f t="shared" si="247"/>
        <v>High Psychologist</v>
      </c>
      <c r="W2968" t="str">
        <f t="shared" si="248"/>
        <v>Psychologist</v>
      </c>
    </row>
    <row r="2969" spans="1:23" x14ac:dyDescent="0.25">
      <c r="A2969">
        <v>34003</v>
      </c>
      <c r="B2969" t="s">
        <v>1345</v>
      </c>
      <c r="C2969">
        <v>2.2200000000000002</v>
      </c>
      <c r="D2969" t="s">
        <v>1264</v>
      </c>
      <c r="E2969">
        <v>100172</v>
      </c>
      <c r="F2969">
        <v>34003</v>
      </c>
      <c r="G2969" t="str">
        <f t="shared" si="246"/>
        <v>34003</v>
      </c>
      <c r="H2969" t="s">
        <v>549</v>
      </c>
      <c r="I2969" t="s">
        <v>1265</v>
      </c>
      <c r="J2969" t="s">
        <v>1266</v>
      </c>
      <c r="K2969" t="s">
        <v>1267</v>
      </c>
      <c r="L2969" t="s">
        <v>1345</v>
      </c>
      <c r="M2969" t="s">
        <v>1346</v>
      </c>
      <c r="N2969">
        <v>21</v>
      </c>
      <c r="O2969" t="str">
        <f t="shared" si="249"/>
        <v>46</v>
      </c>
      <c r="P2969">
        <v>46</v>
      </c>
      <c r="R2969" t="s">
        <v>1269</v>
      </c>
      <c r="S2969">
        <v>2.2200000000000002</v>
      </c>
      <c r="T2969">
        <v>0.25950000000000001</v>
      </c>
      <c r="U2969">
        <f t="shared" si="250"/>
        <v>0.57599999999999996</v>
      </c>
      <c r="V2969" t="str">
        <f t="shared" si="247"/>
        <v>Middle Psychologist</v>
      </c>
      <c r="W2969" t="str">
        <f t="shared" si="248"/>
        <v>Psychologist</v>
      </c>
    </row>
    <row r="2970" spans="1:23" x14ac:dyDescent="0.25">
      <c r="A2970">
        <v>34003</v>
      </c>
      <c r="B2970" t="s">
        <v>1335</v>
      </c>
      <c r="C2970">
        <v>11.327999999999999</v>
      </c>
      <c r="D2970" t="s">
        <v>1264</v>
      </c>
      <c r="E2970">
        <v>100172</v>
      </c>
      <c r="F2970">
        <v>34003</v>
      </c>
      <c r="G2970" t="str">
        <f t="shared" si="246"/>
        <v>34003</v>
      </c>
      <c r="H2970" t="s">
        <v>549</v>
      </c>
      <c r="I2970" t="s">
        <v>1265</v>
      </c>
      <c r="J2970" t="s">
        <v>1276</v>
      </c>
      <c r="K2970" t="s">
        <v>1277</v>
      </c>
      <c r="L2970" t="s">
        <v>1335</v>
      </c>
      <c r="M2970" t="s">
        <v>1344</v>
      </c>
      <c r="N2970">
        <v>1</v>
      </c>
      <c r="O2970" t="str">
        <f t="shared" si="249"/>
        <v>47</v>
      </c>
      <c r="P2970">
        <v>47</v>
      </c>
      <c r="R2970" t="s">
        <v>1269</v>
      </c>
      <c r="S2970">
        <v>11.327999999999999</v>
      </c>
      <c r="T2970">
        <v>0.25950000000000001</v>
      </c>
      <c r="U2970">
        <f t="shared" si="250"/>
        <v>0</v>
      </c>
      <c r="V2970" t="str">
        <f t="shared" si="247"/>
        <v>Elementary Nurse</v>
      </c>
      <c r="W2970" t="str">
        <f t="shared" si="248"/>
        <v>Nurse</v>
      </c>
    </row>
    <row r="2971" spans="1:23" x14ac:dyDescent="0.25">
      <c r="A2971">
        <v>34003</v>
      </c>
      <c r="B2971" t="s">
        <v>1341</v>
      </c>
      <c r="C2971">
        <v>6.2</v>
      </c>
      <c r="D2971" t="s">
        <v>1264</v>
      </c>
      <c r="E2971">
        <v>100172</v>
      </c>
      <c r="F2971">
        <v>34003</v>
      </c>
      <c r="G2971" t="str">
        <f t="shared" si="246"/>
        <v>34003</v>
      </c>
      <c r="H2971" t="s">
        <v>549</v>
      </c>
      <c r="I2971" t="s">
        <v>1265</v>
      </c>
      <c r="J2971" t="s">
        <v>1271</v>
      </c>
      <c r="K2971" t="s">
        <v>1272</v>
      </c>
      <c r="L2971" t="s">
        <v>1341</v>
      </c>
      <c r="M2971" t="s">
        <v>1342</v>
      </c>
      <c r="N2971">
        <v>1</v>
      </c>
      <c r="O2971" t="str">
        <f t="shared" si="249"/>
        <v>47</v>
      </c>
      <c r="P2971">
        <v>47</v>
      </c>
      <c r="R2971" t="s">
        <v>1269</v>
      </c>
      <c r="S2971">
        <v>6.2</v>
      </c>
      <c r="T2971">
        <v>0.25950000000000001</v>
      </c>
      <c r="U2971">
        <f t="shared" si="250"/>
        <v>0</v>
      </c>
      <c r="V2971" t="str">
        <f t="shared" si="247"/>
        <v>High Nurse</v>
      </c>
      <c r="W2971" t="str">
        <f t="shared" si="248"/>
        <v>Nurse</v>
      </c>
    </row>
    <row r="2972" spans="1:23" x14ac:dyDescent="0.25">
      <c r="A2972">
        <v>34003</v>
      </c>
      <c r="B2972" t="s">
        <v>1338</v>
      </c>
      <c r="C2972">
        <v>3.472</v>
      </c>
      <c r="D2972" t="s">
        <v>1264</v>
      </c>
      <c r="E2972">
        <v>100172</v>
      </c>
      <c r="F2972">
        <v>34003</v>
      </c>
      <c r="G2972" t="str">
        <f t="shared" si="246"/>
        <v>34003</v>
      </c>
      <c r="H2972" t="s">
        <v>549</v>
      </c>
      <c r="I2972" t="s">
        <v>1265</v>
      </c>
      <c r="J2972" t="s">
        <v>1266</v>
      </c>
      <c r="K2972" t="s">
        <v>1267</v>
      </c>
      <c r="L2972" t="s">
        <v>1338</v>
      </c>
      <c r="M2972" t="s">
        <v>1339</v>
      </c>
      <c r="N2972">
        <v>1</v>
      </c>
      <c r="O2972" t="str">
        <f t="shared" si="249"/>
        <v>47</v>
      </c>
      <c r="P2972">
        <v>47</v>
      </c>
      <c r="R2972" t="s">
        <v>1269</v>
      </c>
      <c r="S2972">
        <v>3.472</v>
      </c>
      <c r="T2972">
        <v>0.25950000000000001</v>
      </c>
      <c r="U2972">
        <f t="shared" si="250"/>
        <v>0</v>
      </c>
      <c r="V2972" t="str">
        <f t="shared" si="247"/>
        <v>Middle Nurse</v>
      </c>
      <c r="W2972" t="str">
        <f t="shared" si="248"/>
        <v>Nurse</v>
      </c>
    </row>
    <row r="2973" spans="1:23" x14ac:dyDescent="0.25">
      <c r="A2973">
        <v>34003</v>
      </c>
      <c r="B2973" t="s">
        <v>1302</v>
      </c>
      <c r="C2973">
        <v>3.2029999999999998</v>
      </c>
      <c r="D2973" t="s">
        <v>1264</v>
      </c>
      <c r="E2973">
        <v>100172</v>
      </c>
      <c r="F2973">
        <v>34003</v>
      </c>
      <c r="G2973" t="str">
        <f t="shared" si="246"/>
        <v>34003</v>
      </c>
      <c r="H2973" t="s">
        <v>549</v>
      </c>
      <c r="I2973" t="s">
        <v>1265</v>
      </c>
      <c r="J2973" t="s">
        <v>1276</v>
      </c>
      <c r="K2973" t="s">
        <v>1277</v>
      </c>
      <c r="L2973" t="s">
        <v>1302</v>
      </c>
      <c r="M2973" t="s">
        <v>1336</v>
      </c>
      <c r="N2973">
        <v>21</v>
      </c>
      <c r="O2973" t="str">
        <f t="shared" si="249"/>
        <v>48</v>
      </c>
      <c r="P2973">
        <v>48</v>
      </c>
      <c r="R2973" t="s">
        <v>1269</v>
      </c>
      <c r="S2973">
        <v>3.2029999999999998</v>
      </c>
      <c r="T2973">
        <v>0.25950000000000001</v>
      </c>
      <c r="U2973">
        <f t="shared" si="250"/>
        <v>0.83099999999999996</v>
      </c>
      <c r="V2973" t="str">
        <f t="shared" si="247"/>
        <v>Elementary Physical Therapist</v>
      </c>
      <c r="W2973" t="str">
        <f t="shared" si="248"/>
        <v>Physical Therapist</v>
      </c>
    </row>
    <row r="2974" spans="1:23" x14ac:dyDescent="0.25">
      <c r="A2974">
        <v>34003</v>
      </c>
      <c r="B2974" t="s">
        <v>1330</v>
      </c>
      <c r="C2974">
        <v>0.70699999999999996</v>
      </c>
      <c r="D2974" t="s">
        <v>1264</v>
      </c>
      <c r="E2974">
        <v>100172</v>
      </c>
      <c r="F2974">
        <v>34003</v>
      </c>
      <c r="G2974" t="str">
        <f t="shared" si="246"/>
        <v>34003</v>
      </c>
      <c r="H2974" t="s">
        <v>549</v>
      </c>
      <c r="I2974" t="s">
        <v>1265</v>
      </c>
      <c r="J2974" t="s">
        <v>1271</v>
      </c>
      <c r="K2974" t="s">
        <v>1272</v>
      </c>
      <c r="L2974" t="s">
        <v>1330</v>
      </c>
      <c r="M2974" t="s">
        <v>1367</v>
      </c>
      <c r="N2974">
        <v>21</v>
      </c>
      <c r="O2974" t="str">
        <f t="shared" si="249"/>
        <v>48</v>
      </c>
      <c r="P2974">
        <v>48</v>
      </c>
      <c r="R2974" t="s">
        <v>1269</v>
      </c>
      <c r="S2974">
        <v>0.70699999999999996</v>
      </c>
      <c r="T2974">
        <v>0.25950000000000001</v>
      </c>
      <c r="U2974">
        <f t="shared" si="250"/>
        <v>0.183</v>
      </c>
      <c r="V2974" t="str">
        <f t="shared" si="247"/>
        <v>High Physical Therapist</v>
      </c>
      <c r="W2974" t="str">
        <f t="shared" si="248"/>
        <v>Physical Therapist</v>
      </c>
    </row>
    <row r="2975" spans="1:23" x14ac:dyDescent="0.25">
      <c r="A2975">
        <v>34003</v>
      </c>
      <c r="B2975" t="s">
        <v>1316</v>
      </c>
      <c r="C2975">
        <v>0.79</v>
      </c>
      <c r="D2975" t="s">
        <v>1264</v>
      </c>
      <c r="E2975">
        <v>100172</v>
      </c>
      <c r="F2975">
        <v>34003</v>
      </c>
      <c r="G2975" t="str">
        <f t="shared" si="246"/>
        <v>34003</v>
      </c>
      <c r="H2975" t="s">
        <v>549</v>
      </c>
      <c r="I2975" t="s">
        <v>1265</v>
      </c>
      <c r="J2975" t="s">
        <v>1266</v>
      </c>
      <c r="K2975" t="s">
        <v>1267</v>
      </c>
      <c r="L2975" t="s">
        <v>1316</v>
      </c>
      <c r="M2975" t="s">
        <v>1366</v>
      </c>
      <c r="N2975">
        <v>21</v>
      </c>
      <c r="O2975" t="str">
        <f t="shared" si="249"/>
        <v>48</v>
      </c>
      <c r="P2975">
        <v>48</v>
      </c>
      <c r="R2975" t="s">
        <v>1269</v>
      </c>
      <c r="S2975">
        <v>0.79</v>
      </c>
      <c r="T2975">
        <v>0.25950000000000001</v>
      </c>
      <c r="U2975">
        <f t="shared" si="250"/>
        <v>0.20499999999999999</v>
      </c>
      <c r="V2975" t="str">
        <f t="shared" si="247"/>
        <v>Middle Physical Therapist</v>
      </c>
      <c r="W2975" t="str">
        <f t="shared" si="248"/>
        <v>Physical Therapist</v>
      </c>
    </row>
    <row r="2976" spans="1:23" x14ac:dyDescent="0.25">
      <c r="A2976">
        <v>34033</v>
      </c>
      <c r="B2976" t="s">
        <v>1301</v>
      </c>
      <c r="C2976">
        <v>1.3620000000000001</v>
      </c>
      <c r="D2976" t="s">
        <v>1264</v>
      </c>
      <c r="E2976">
        <v>100273</v>
      </c>
      <c r="F2976">
        <v>34033</v>
      </c>
      <c r="G2976" t="str">
        <f t="shared" si="246"/>
        <v>34033</v>
      </c>
      <c r="H2976" t="s">
        <v>550</v>
      </c>
      <c r="I2976" t="s">
        <v>1265</v>
      </c>
      <c r="J2976" t="s">
        <v>1276</v>
      </c>
      <c r="K2976" t="s">
        <v>1277</v>
      </c>
      <c r="L2976" t="s">
        <v>1301</v>
      </c>
      <c r="M2976" t="s">
        <v>1427</v>
      </c>
      <c r="N2976">
        <v>21</v>
      </c>
      <c r="O2976" t="str">
        <f t="shared" si="249"/>
        <v>25</v>
      </c>
      <c r="Q2976">
        <v>25</v>
      </c>
      <c r="R2976" t="s">
        <v>1269</v>
      </c>
      <c r="S2976">
        <v>1.3620000000000001</v>
      </c>
      <c r="T2976">
        <v>0.2641</v>
      </c>
      <c r="U2976">
        <f t="shared" si="250"/>
        <v>0.36</v>
      </c>
      <c r="V2976" t="str">
        <f t="shared" si="247"/>
        <v>Elementary Pupil Management</v>
      </c>
      <c r="W2976" t="str">
        <f t="shared" si="248"/>
        <v>Pupil Management</v>
      </c>
    </row>
    <row r="2977" spans="1:23" x14ac:dyDescent="0.25">
      <c r="A2977">
        <v>34033</v>
      </c>
      <c r="B2977" t="s">
        <v>1308</v>
      </c>
      <c r="C2977">
        <v>4.1340000000000003</v>
      </c>
      <c r="D2977" t="s">
        <v>1264</v>
      </c>
      <c r="E2977">
        <v>100273</v>
      </c>
      <c r="F2977">
        <v>34033</v>
      </c>
      <c r="G2977" t="str">
        <f t="shared" si="246"/>
        <v>34033</v>
      </c>
      <c r="H2977" t="s">
        <v>550</v>
      </c>
      <c r="I2977" t="s">
        <v>1265</v>
      </c>
      <c r="J2977" t="s">
        <v>1276</v>
      </c>
      <c r="K2977" t="s">
        <v>1277</v>
      </c>
      <c r="L2977" t="s">
        <v>1308</v>
      </c>
      <c r="M2977" t="s">
        <v>1389</v>
      </c>
      <c r="N2977">
        <v>1</v>
      </c>
      <c r="O2977" t="str">
        <f t="shared" si="249"/>
        <v>25</v>
      </c>
      <c r="Q2977">
        <v>25</v>
      </c>
      <c r="R2977" t="s">
        <v>1269</v>
      </c>
      <c r="S2977">
        <v>4.1340000000000003</v>
      </c>
      <c r="T2977">
        <v>0.2641</v>
      </c>
      <c r="U2977">
        <f t="shared" si="250"/>
        <v>0</v>
      </c>
      <c r="V2977" t="str">
        <f t="shared" si="247"/>
        <v>Elementary Pupil Management</v>
      </c>
      <c r="W2977" t="str">
        <f t="shared" si="248"/>
        <v>Pupil Management</v>
      </c>
    </row>
    <row r="2978" spans="1:23" x14ac:dyDescent="0.25">
      <c r="A2978">
        <v>34033</v>
      </c>
      <c r="B2978" t="s">
        <v>1383</v>
      </c>
      <c r="C2978">
        <v>9.1999999999999998E-2</v>
      </c>
      <c r="D2978" t="s">
        <v>1264</v>
      </c>
      <c r="E2978">
        <v>100273</v>
      </c>
      <c r="F2978">
        <v>34033</v>
      </c>
      <c r="G2978" t="str">
        <f t="shared" si="246"/>
        <v>34033</v>
      </c>
      <c r="H2978" t="s">
        <v>550</v>
      </c>
      <c r="I2978" t="s">
        <v>1265</v>
      </c>
      <c r="J2978" t="s">
        <v>1271</v>
      </c>
      <c r="K2978" t="s">
        <v>1272</v>
      </c>
      <c r="L2978" t="s">
        <v>1383</v>
      </c>
      <c r="M2978" t="s">
        <v>1409</v>
      </c>
      <c r="N2978">
        <v>21</v>
      </c>
      <c r="O2978" t="str">
        <f t="shared" si="249"/>
        <v>25</v>
      </c>
      <c r="Q2978">
        <v>25</v>
      </c>
      <c r="R2978" t="s">
        <v>1269</v>
      </c>
      <c r="S2978">
        <v>9.1999999999999998E-2</v>
      </c>
      <c r="T2978">
        <v>0.2641</v>
      </c>
      <c r="U2978">
        <f t="shared" si="250"/>
        <v>2.4E-2</v>
      </c>
      <c r="V2978" t="str">
        <f t="shared" si="247"/>
        <v>High Pupil Management</v>
      </c>
      <c r="W2978" t="str">
        <f t="shared" si="248"/>
        <v>Pupil Management</v>
      </c>
    </row>
    <row r="2979" spans="1:23" x14ac:dyDescent="0.25">
      <c r="A2979">
        <v>34033</v>
      </c>
      <c r="B2979" t="s">
        <v>1290</v>
      </c>
      <c r="C2979">
        <v>1</v>
      </c>
      <c r="D2979" t="s">
        <v>1264</v>
      </c>
      <c r="E2979">
        <v>100273</v>
      </c>
      <c r="F2979">
        <v>34033</v>
      </c>
      <c r="G2979" t="str">
        <f t="shared" si="246"/>
        <v>34033</v>
      </c>
      <c r="H2979" t="s">
        <v>550</v>
      </c>
      <c r="I2979" t="s">
        <v>1265</v>
      </c>
      <c r="J2979" t="s">
        <v>1271</v>
      </c>
      <c r="K2979" t="s">
        <v>1272</v>
      </c>
      <c r="L2979" t="s">
        <v>1290</v>
      </c>
      <c r="M2979" t="s">
        <v>1412</v>
      </c>
      <c r="N2979">
        <v>97</v>
      </c>
      <c r="O2979" t="str">
        <f t="shared" si="249"/>
        <v>25</v>
      </c>
      <c r="Q2979">
        <v>25</v>
      </c>
      <c r="R2979" t="s">
        <v>1269</v>
      </c>
      <c r="S2979">
        <v>1</v>
      </c>
      <c r="T2979">
        <v>0.2641</v>
      </c>
      <c r="U2979">
        <f t="shared" si="250"/>
        <v>0</v>
      </c>
      <c r="V2979" t="str">
        <f t="shared" si="247"/>
        <v>High Pupil Management</v>
      </c>
      <c r="W2979" t="str">
        <f t="shared" si="248"/>
        <v>Pupil Management</v>
      </c>
    </row>
    <row r="2980" spans="1:23" x14ac:dyDescent="0.25">
      <c r="A2980">
        <v>34033</v>
      </c>
      <c r="B2980" t="s">
        <v>1299</v>
      </c>
      <c r="C2980">
        <v>5.39</v>
      </c>
      <c r="D2980" t="s">
        <v>1264</v>
      </c>
      <c r="E2980">
        <v>100273</v>
      </c>
      <c r="F2980">
        <v>34033</v>
      </c>
      <c r="G2980" t="str">
        <f t="shared" si="246"/>
        <v>34033</v>
      </c>
      <c r="H2980" t="s">
        <v>550</v>
      </c>
      <c r="I2980" t="s">
        <v>1265</v>
      </c>
      <c r="J2980" t="s">
        <v>1271</v>
      </c>
      <c r="K2980" t="s">
        <v>1272</v>
      </c>
      <c r="L2980" t="s">
        <v>1299</v>
      </c>
      <c r="M2980" t="s">
        <v>1300</v>
      </c>
      <c r="N2980">
        <v>1</v>
      </c>
      <c r="O2980" t="str">
        <f t="shared" si="249"/>
        <v>25</v>
      </c>
      <c r="Q2980">
        <v>25</v>
      </c>
      <c r="R2980" t="s">
        <v>1269</v>
      </c>
      <c r="S2980">
        <v>5.39</v>
      </c>
      <c r="T2980">
        <v>0.2641</v>
      </c>
      <c r="U2980">
        <f t="shared" si="250"/>
        <v>0</v>
      </c>
      <c r="V2980" t="str">
        <f t="shared" si="247"/>
        <v>High Pupil Management</v>
      </c>
      <c r="W2980" t="str">
        <f t="shared" si="248"/>
        <v>Pupil Management</v>
      </c>
    </row>
    <row r="2981" spans="1:23" x14ac:dyDescent="0.25">
      <c r="A2981">
        <v>34033</v>
      </c>
      <c r="B2981" t="s">
        <v>1361</v>
      </c>
      <c r="C2981">
        <v>0.13600000000000001</v>
      </c>
      <c r="D2981" t="s">
        <v>1264</v>
      </c>
      <c r="E2981">
        <v>100273</v>
      </c>
      <c r="F2981">
        <v>34033</v>
      </c>
      <c r="G2981" t="str">
        <f t="shared" si="246"/>
        <v>34033</v>
      </c>
      <c r="H2981" t="s">
        <v>550</v>
      </c>
      <c r="I2981" t="s">
        <v>1265</v>
      </c>
      <c r="J2981" t="s">
        <v>1266</v>
      </c>
      <c r="K2981" t="s">
        <v>1267</v>
      </c>
      <c r="L2981" t="s">
        <v>1361</v>
      </c>
      <c r="M2981" t="s">
        <v>1411</v>
      </c>
      <c r="N2981">
        <v>21</v>
      </c>
      <c r="O2981" t="str">
        <f t="shared" si="249"/>
        <v>25</v>
      </c>
      <c r="Q2981">
        <v>25</v>
      </c>
      <c r="R2981" t="s">
        <v>1269</v>
      </c>
      <c r="S2981">
        <v>0.13600000000000001</v>
      </c>
      <c r="T2981">
        <v>0.2641</v>
      </c>
      <c r="U2981">
        <f t="shared" si="250"/>
        <v>3.5999999999999997E-2</v>
      </c>
      <c r="V2981" t="str">
        <f t="shared" si="247"/>
        <v>Middle Pupil Management</v>
      </c>
      <c r="W2981" t="str">
        <f t="shared" si="248"/>
        <v>Pupil Management</v>
      </c>
    </row>
    <row r="2982" spans="1:23" x14ac:dyDescent="0.25">
      <c r="A2982">
        <v>34033</v>
      </c>
      <c r="B2982" t="s">
        <v>1363</v>
      </c>
      <c r="C2982">
        <v>1.2330000000000001</v>
      </c>
      <c r="D2982" t="s">
        <v>1264</v>
      </c>
      <c r="E2982">
        <v>100273</v>
      </c>
      <c r="F2982">
        <v>34033</v>
      </c>
      <c r="G2982" t="str">
        <f t="shared" si="246"/>
        <v>34033</v>
      </c>
      <c r="H2982" t="s">
        <v>550</v>
      </c>
      <c r="I2982" t="s">
        <v>1265</v>
      </c>
      <c r="J2982" t="s">
        <v>1266</v>
      </c>
      <c r="K2982" t="s">
        <v>1267</v>
      </c>
      <c r="L2982" t="s">
        <v>1363</v>
      </c>
      <c r="M2982" t="s">
        <v>1386</v>
      </c>
      <c r="N2982">
        <v>1</v>
      </c>
      <c r="O2982" t="str">
        <f t="shared" si="249"/>
        <v>25</v>
      </c>
      <c r="Q2982">
        <v>25</v>
      </c>
      <c r="R2982" t="s">
        <v>1269</v>
      </c>
      <c r="S2982">
        <v>1.2330000000000001</v>
      </c>
      <c r="T2982">
        <v>0.2641</v>
      </c>
      <c r="U2982">
        <f t="shared" si="250"/>
        <v>0</v>
      </c>
      <c r="V2982" t="str">
        <f t="shared" si="247"/>
        <v>Middle Pupil Management</v>
      </c>
      <c r="W2982" t="str">
        <f t="shared" si="248"/>
        <v>Pupil Management</v>
      </c>
    </row>
    <row r="2983" spans="1:23" x14ac:dyDescent="0.25">
      <c r="A2983">
        <v>34033</v>
      </c>
      <c r="B2983" t="s">
        <v>1311</v>
      </c>
      <c r="C2983">
        <v>6.1379999999999999</v>
      </c>
      <c r="D2983" t="s">
        <v>1264</v>
      </c>
      <c r="E2983">
        <v>100273</v>
      </c>
      <c r="F2983">
        <v>34033</v>
      </c>
      <c r="G2983" t="str">
        <f t="shared" si="246"/>
        <v>34033</v>
      </c>
      <c r="H2983" t="s">
        <v>550</v>
      </c>
      <c r="I2983" t="s">
        <v>1265</v>
      </c>
      <c r="J2983" t="s">
        <v>1276</v>
      </c>
      <c r="K2983" t="s">
        <v>1277</v>
      </c>
      <c r="L2983" t="s">
        <v>1311</v>
      </c>
      <c r="M2983" t="s">
        <v>1327</v>
      </c>
      <c r="N2983">
        <v>21</v>
      </c>
      <c r="O2983" t="str">
        <f t="shared" si="249"/>
        <v>26</v>
      </c>
      <c r="Q2983">
        <v>26</v>
      </c>
      <c r="R2983" t="s">
        <v>1269</v>
      </c>
      <c r="S2983">
        <v>6.1379999999999999</v>
      </c>
      <c r="T2983">
        <v>0.2641</v>
      </c>
      <c r="U2983">
        <f t="shared" si="250"/>
        <v>1.621</v>
      </c>
      <c r="V2983" t="str">
        <f t="shared" si="247"/>
        <v>Elementary Health/
Related Services</v>
      </c>
      <c r="W2983" t="str">
        <f t="shared" si="248"/>
        <v>Health/
Related Services</v>
      </c>
    </row>
    <row r="2984" spans="1:23" x14ac:dyDescent="0.25">
      <c r="A2984">
        <v>34033</v>
      </c>
      <c r="B2984" t="s">
        <v>1315</v>
      </c>
      <c r="C2984">
        <v>3.5550000000000002</v>
      </c>
      <c r="D2984" t="s">
        <v>1264</v>
      </c>
      <c r="E2984">
        <v>100273</v>
      </c>
      <c r="F2984">
        <v>34033</v>
      </c>
      <c r="G2984" t="str">
        <f t="shared" si="246"/>
        <v>34033</v>
      </c>
      <c r="H2984" t="s">
        <v>550</v>
      </c>
      <c r="I2984" t="s">
        <v>1265</v>
      </c>
      <c r="J2984" t="s">
        <v>1276</v>
      </c>
      <c r="K2984" t="s">
        <v>1277</v>
      </c>
      <c r="L2984" t="s">
        <v>1315</v>
      </c>
      <c r="M2984" t="s">
        <v>1375</v>
      </c>
      <c r="N2984">
        <v>1</v>
      </c>
      <c r="O2984" t="str">
        <f t="shared" si="249"/>
        <v>26</v>
      </c>
      <c r="Q2984">
        <v>26</v>
      </c>
      <c r="R2984" t="s">
        <v>1269</v>
      </c>
      <c r="S2984">
        <v>3.5550000000000002</v>
      </c>
      <c r="T2984">
        <v>0.2641</v>
      </c>
      <c r="U2984">
        <f t="shared" si="250"/>
        <v>0</v>
      </c>
      <c r="V2984" t="str">
        <f t="shared" si="247"/>
        <v>Elementary Health/
Related Services</v>
      </c>
      <c r="W2984" t="str">
        <f t="shared" si="248"/>
        <v>Health/
Related Services</v>
      </c>
    </row>
    <row r="2985" spans="1:23" x14ac:dyDescent="0.25">
      <c r="A2985">
        <v>34033</v>
      </c>
      <c r="B2985" t="s">
        <v>1324</v>
      </c>
      <c r="C2985">
        <v>5.2140000000000004</v>
      </c>
      <c r="D2985" t="s">
        <v>1264</v>
      </c>
      <c r="E2985">
        <v>100273</v>
      </c>
      <c r="F2985">
        <v>34033</v>
      </c>
      <c r="G2985" t="str">
        <f t="shared" si="246"/>
        <v>34033</v>
      </c>
      <c r="H2985" t="s">
        <v>550</v>
      </c>
      <c r="I2985" t="s">
        <v>1265</v>
      </c>
      <c r="J2985" t="s">
        <v>1271</v>
      </c>
      <c r="K2985" t="s">
        <v>1272</v>
      </c>
      <c r="L2985" t="s">
        <v>1324</v>
      </c>
      <c r="M2985" t="s">
        <v>1325</v>
      </c>
      <c r="N2985">
        <v>21</v>
      </c>
      <c r="O2985" t="str">
        <f t="shared" si="249"/>
        <v>26</v>
      </c>
      <c r="Q2985">
        <v>26</v>
      </c>
      <c r="R2985" t="s">
        <v>1269</v>
      </c>
      <c r="S2985">
        <v>5.2140000000000004</v>
      </c>
      <c r="T2985">
        <v>0.2641</v>
      </c>
      <c r="U2985">
        <f t="shared" si="250"/>
        <v>1.377</v>
      </c>
      <c r="V2985" t="str">
        <f t="shared" si="247"/>
        <v>High Health/
Related Services</v>
      </c>
      <c r="W2985" t="str">
        <f t="shared" si="248"/>
        <v>Health/
Related Services</v>
      </c>
    </row>
    <row r="2986" spans="1:23" x14ac:dyDescent="0.25">
      <c r="A2986">
        <v>34033</v>
      </c>
      <c r="B2986" t="s">
        <v>1295</v>
      </c>
      <c r="C2986">
        <v>1.476</v>
      </c>
      <c r="D2986" t="s">
        <v>1264</v>
      </c>
      <c r="E2986">
        <v>100273</v>
      </c>
      <c r="F2986">
        <v>34033</v>
      </c>
      <c r="G2986" t="str">
        <f t="shared" si="246"/>
        <v>34033</v>
      </c>
      <c r="H2986" t="s">
        <v>550</v>
      </c>
      <c r="I2986" t="s">
        <v>1265</v>
      </c>
      <c r="J2986" t="s">
        <v>1271</v>
      </c>
      <c r="K2986" t="s">
        <v>1272</v>
      </c>
      <c r="L2986" t="s">
        <v>1295</v>
      </c>
      <c r="M2986" t="s">
        <v>1296</v>
      </c>
      <c r="N2986">
        <v>1</v>
      </c>
      <c r="O2986" t="str">
        <f t="shared" si="249"/>
        <v>26</v>
      </c>
      <c r="Q2986">
        <v>26</v>
      </c>
      <c r="R2986" t="s">
        <v>1269</v>
      </c>
      <c r="S2986">
        <v>1.476</v>
      </c>
      <c r="T2986">
        <v>0.2641</v>
      </c>
      <c r="U2986">
        <f t="shared" si="250"/>
        <v>0</v>
      </c>
      <c r="V2986" t="str">
        <f t="shared" si="247"/>
        <v>High Health/
Related Services</v>
      </c>
      <c r="W2986" t="str">
        <f t="shared" si="248"/>
        <v>Health/
Related Services</v>
      </c>
    </row>
    <row r="2987" spans="1:23" x14ac:dyDescent="0.25">
      <c r="A2987">
        <v>34033</v>
      </c>
      <c r="B2987" t="s">
        <v>1291</v>
      </c>
      <c r="C2987">
        <v>1.292</v>
      </c>
      <c r="D2987" t="s">
        <v>1264</v>
      </c>
      <c r="E2987">
        <v>100273</v>
      </c>
      <c r="F2987">
        <v>34033</v>
      </c>
      <c r="G2987" t="str">
        <f t="shared" si="246"/>
        <v>34033</v>
      </c>
      <c r="H2987" t="s">
        <v>550</v>
      </c>
      <c r="I2987" t="s">
        <v>1265</v>
      </c>
      <c r="J2987" t="s">
        <v>1266</v>
      </c>
      <c r="K2987" t="s">
        <v>1267</v>
      </c>
      <c r="L2987" t="s">
        <v>1291</v>
      </c>
      <c r="M2987" t="s">
        <v>1292</v>
      </c>
      <c r="N2987">
        <v>1</v>
      </c>
      <c r="O2987" t="str">
        <f t="shared" si="249"/>
        <v>26</v>
      </c>
      <c r="Q2987">
        <v>26</v>
      </c>
      <c r="R2987" t="s">
        <v>1269</v>
      </c>
      <c r="S2987">
        <v>1.292</v>
      </c>
      <c r="T2987">
        <v>0.2641</v>
      </c>
      <c r="U2987">
        <f t="shared" si="250"/>
        <v>0</v>
      </c>
      <c r="V2987" t="str">
        <f t="shared" si="247"/>
        <v>Middle Health/
Related Services</v>
      </c>
      <c r="W2987" t="str">
        <f t="shared" si="248"/>
        <v>Health/
Related Services</v>
      </c>
    </row>
    <row r="2988" spans="1:23" x14ac:dyDescent="0.25">
      <c r="A2988">
        <v>34033</v>
      </c>
      <c r="B2988" t="s">
        <v>1275</v>
      </c>
      <c r="C2988">
        <v>8.1660000000000004</v>
      </c>
      <c r="D2988" t="s">
        <v>1264</v>
      </c>
      <c r="E2988">
        <v>100273</v>
      </c>
      <c r="F2988">
        <v>34033</v>
      </c>
      <c r="G2988" t="str">
        <f t="shared" si="246"/>
        <v>34033</v>
      </c>
      <c r="H2988" t="s">
        <v>550</v>
      </c>
      <c r="I2988" t="s">
        <v>1265</v>
      </c>
      <c r="J2988" t="s">
        <v>1276</v>
      </c>
      <c r="K2988" t="s">
        <v>1277</v>
      </c>
      <c r="L2988" t="s">
        <v>1275</v>
      </c>
      <c r="M2988" t="s">
        <v>1278</v>
      </c>
      <c r="N2988">
        <v>1</v>
      </c>
      <c r="O2988" t="str">
        <f t="shared" si="249"/>
        <v>42</v>
      </c>
      <c r="P2988">
        <v>42</v>
      </c>
      <c r="R2988" t="s">
        <v>1269</v>
      </c>
      <c r="S2988">
        <v>8.1660000000000004</v>
      </c>
      <c r="T2988">
        <v>0.2641</v>
      </c>
      <c r="U2988">
        <f t="shared" si="250"/>
        <v>0</v>
      </c>
      <c r="V2988" t="str">
        <f t="shared" si="247"/>
        <v>Elementary Counselor</v>
      </c>
      <c r="W2988" t="str">
        <f t="shared" si="248"/>
        <v>Counselor</v>
      </c>
    </row>
    <row r="2989" spans="1:23" x14ac:dyDescent="0.25">
      <c r="A2989">
        <v>34033</v>
      </c>
      <c r="B2989" t="s">
        <v>1270</v>
      </c>
      <c r="C2989">
        <v>6.2</v>
      </c>
      <c r="D2989" t="s">
        <v>1264</v>
      </c>
      <c r="E2989">
        <v>100273</v>
      </c>
      <c r="F2989">
        <v>34033</v>
      </c>
      <c r="G2989" t="str">
        <f t="shared" si="246"/>
        <v>34033</v>
      </c>
      <c r="H2989" t="s">
        <v>550</v>
      </c>
      <c r="I2989" t="s">
        <v>1265</v>
      </c>
      <c r="J2989" t="s">
        <v>1271</v>
      </c>
      <c r="K2989" t="s">
        <v>1272</v>
      </c>
      <c r="L2989" t="s">
        <v>1270</v>
      </c>
      <c r="M2989" t="s">
        <v>1273</v>
      </c>
      <c r="N2989">
        <v>1</v>
      </c>
      <c r="O2989" t="str">
        <f t="shared" si="249"/>
        <v>42</v>
      </c>
      <c r="P2989">
        <v>42</v>
      </c>
      <c r="R2989" t="s">
        <v>1269</v>
      </c>
      <c r="S2989">
        <v>6.2</v>
      </c>
      <c r="T2989">
        <v>0.2641</v>
      </c>
      <c r="U2989">
        <f t="shared" si="250"/>
        <v>0</v>
      </c>
      <c r="V2989" t="str">
        <f t="shared" si="247"/>
        <v>High Counselor</v>
      </c>
      <c r="W2989" t="str">
        <f t="shared" si="248"/>
        <v>Counselor</v>
      </c>
    </row>
    <row r="2990" spans="1:23" x14ac:dyDescent="0.25">
      <c r="A2990">
        <v>34033</v>
      </c>
      <c r="B2990" t="s">
        <v>1263</v>
      </c>
      <c r="C2990">
        <v>3.3340000000000001</v>
      </c>
      <c r="D2990" t="s">
        <v>1264</v>
      </c>
      <c r="E2990">
        <v>100273</v>
      </c>
      <c r="F2990">
        <v>34033</v>
      </c>
      <c r="G2990" t="str">
        <f t="shared" si="246"/>
        <v>34033</v>
      </c>
      <c r="H2990" t="s">
        <v>550</v>
      </c>
      <c r="I2990" t="s">
        <v>1265</v>
      </c>
      <c r="J2990" t="s">
        <v>1266</v>
      </c>
      <c r="K2990" t="s">
        <v>1267</v>
      </c>
      <c r="L2990" t="s">
        <v>1263</v>
      </c>
      <c r="M2990" t="s">
        <v>1268</v>
      </c>
      <c r="N2990">
        <v>1</v>
      </c>
      <c r="O2990" t="str">
        <f t="shared" si="249"/>
        <v>42</v>
      </c>
      <c r="P2990">
        <v>42</v>
      </c>
      <c r="R2990" t="s">
        <v>1269</v>
      </c>
      <c r="S2990">
        <v>3.3340000000000001</v>
      </c>
      <c r="T2990">
        <v>0.2641</v>
      </c>
      <c r="U2990">
        <f t="shared" si="250"/>
        <v>0</v>
      </c>
      <c r="V2990" t="str">
        <f t="shared" si="247"/>
        <v>Middle Counselor</v>
      </c>
      <c r="W2990" t="str">
        <f t="shared" si="248"/>
        <v>Counselor</v>
      </c>
    </row>
    <row r="2991" spans="1:23" x14ac:dyDescent="0.25">
      <c r="A2991">
        <v>34033</v>
      </c>
      <c r="B2991" t="s">
        <v>1289</v>
      </c>
      <c r="C2991">
        <v>2.4300000000000002</v>
      </c>
      <c r="D2991" t="s">
        <v>1264</v>
      </c>
      <c r="E2991">
        <v>100273</v>
      </c>
      <c r="F2991">
        <v>34033</v>
      </c>
      <c r="G2991" t="str">
        <f t="shared" si="246"/>
        <v>34033</v>
      </c>
      <c r="H2991" t="s">
        <v>550</v>
      </c>
      <c r="I2991" t="s">
        <v>1265</v>
      </c>
      <c r="J2991" t="s">
        <v>1276</v>
      </c>
      <c r="K2991" t="s">
        <v>1277</v>
      </c>
      <c r="L2991" t="s">
        <v>1289</v>
      </c>
      <c r="M2991" t="s">
        <v>1307</v>
      </c>
      <c r="N2991">
        <v>21</v>
      </c>
      <c r="O2991" t="str">
        <f t="shared" si="249"/>
        <v>43</v>
      </c>
      <c r="P2991">
        <v>43</v>
      </c>
      <c r="R2991" t="s">
        <v>1269</v>
      </c>
      <c r="S2991">
        <v>2.4300000000000002</v>
      </c>
      <c r="T2991">
        <v>0.2641</v>
      </c>
      <c r="U2991">
        <f t="shared" si="250"/>
        <v>0.64200000000000002</v>
      </c>
      <c r="V2991" t="str">
        <f t="shared" si="247"/>
        <v>Elementary Occupational Therapist</v>
      </c>
      <c r="W2991" t="str">
        <f t="shared" si="248"/>
        <v>Occupational Therapist</v>
      </c>
    </row>
    <row r="2992" spans="1:23" x14ac:dyDescent="0.25">
      <c r="A2992">
        <v>34033</v>
      </c>
      <c r="B2992" t="s">
        <v>1387</v>
      </c>
      <c r="C2992">
        <v>0.30399999999999999</v>
      </c>
      <c r="D2992" t="s">
        <v>1264</v>
      </c>
      <c r="E2992">
        <v>100273</v>
      </c>
      <c r="F2992">
        <v>34033</v>
      </c>
      <c r="G2992" t="str">
        <f t="shared" si="246"/>
        <v>34033</v>
      </c>
      <c r="H2992" t="s">
        <v>550</v>
      </c>
      <c r="I2992" t="s">
        <v>1265</v>
      </c>
      <c r="J2992" t="s">
        <v>1271</v>
      </c>
      <c r="K2992" t="s">
        <v>1272</v>
      </c>
      <c r="L2992" t="s">
        <v>1387</v>
      </c>
      <c r="M2992" t="s">
        <v>1406</v>
      </c>
      <c r="N2992">
        <v>21</v>
      </c>
      <c r="O2992" t="str">
        <f t="shared" si="249"/>
        <v>43</v>
      </c>
      <c r="P2992">
        <v>43</v>
      </c>
      <c r="R2992" t="s">
        <v>1269</v>
      </c>
      <c r="S2992">
        <v>0.30399999999999999</v>
      </c>
      <c r="T2992">
        <v>0.2641</v>
      </c>
      <c r="U2992">
        <f t="shared" si="250"/>
        <v>0.08</v>
      </c>
      <c r="V2992" t="str">
        <f t="shared" si="247"/>
        <v>High Occupational Therapist</v>
      </c>
      <c r="W2992" t="str">
        <f t="shared" si="248"/>
        <v>Occupational Therapist</v>
      </c>
    </row>
    <row r="2993" spans="1:23" x14ac:dyDescent="0.25">
      <c r="A2993">
        <v>34033</v>
      </c>
      <c r="B2993" t="s">
        <v>1303</v>
      </c>
      <c r="C2993">
        <v>0.22600000000000001</v>
      </c>
      <c r="D2993" t="s">
        <v>1264</v>
      </c>
      <c r="E2993">
        <v>100273</v>
      </c>
      <c r="F2993">
        <v>34033</v>
      </c>
      <c r="G2993" t="str">
        <f t="shared" si="246"/>
        <v>34033</v>
      </c>
      <c r="H2993" t="s">
        <v>550</v>
      </c>
      <c r="I2993" t="s">
        <v>1265</v>
      </c>
      <c r="J2993" t="s">
        <v>1266</v>
      </c>
      <c r="K2993" t="s">
        <v>1267</v>
      </c>
      <c r="L2993" t="s">
        <v>1303</v>
      </c>
      <c r="M2993" t="s">
        <v>1304</v>
      </c>
      <c r="N2993">
        <v>21</v>
      </c>
      <c r="O2993" t="str">
        <f t="shared" si="249"/>
        <v>43</v>
      </c>
      <c r="P2993">
        <v>43</v>
      </c>
      <c r="R2993" t="s">
        <v>1269</v>
      </c>
      <c r="S2993">
        <v>0.22600000000000001</v>
      </c>
      <c r="T2993">
        <v>0.2641</v>
      </c>
      <c r="U2993">
        <f t="shared" si="250"/>
        <v>0.06</v>
      </c>
      <c r="V2993" t="str">
        <f t="shared" si="247"/>
        <v>Middle Occupational Therapist</v>
      </c>
      <c r="W2993" t="str">
        <f t="shared" si="248"/>
        <v>Occupational Therapist</v>
      </c>
    </row>
    <row r="2994" spans="1:23" x14ac:dyDescent="0.25">
      <c r="A2994">
        <v>34033</v>
      </c>
      <c r="B2994" t="s">
        <v>1294</v>
      </c>
      <c r="C2994">
        <v>4.8540000000000001</v>
      </c>
      <c r="D2994" t="s">
        <v>1264</v>
      </c>
      <c r="E2994">
        <v>100273</v>
      </c>
      <c r="F2994">
        <v>34033</v>
      </c>
      <c r="G2994" t="str">
        <f t="shared" si="246"/>
        <v>34033</v>
      </c>
      <c r="H2994" t="s">
        <v>550</v>
      </c>
      <c r="I2994" t="s">
        <v>1265</v>
      </c>
      <c r="J2994" t="s">
        <v>1276</v>
      </c>
      <c r="K2994" t="s">
        <v>1277</v>
      </c>
      <c r="L2994" t="s">
        <v>1294</v>
      </c>
      <c r="M2994" t="s">
        <v>1354</v>
      </c>
      <c r="N2994">
        <v>21</v>
      </c>
      <c r="O2994" t="str">
        <f t="shared" si="249"/>
        <v>45</v>
      </c>
      <c r="P2994">
        <v>45</v>
      </c>
      <c r="R2994" t="s">
        <v>1269</v>
      </c>
      <c r="S2994">
        <v>4.8540000000000001</v>
      </c>
      <c r="T2994">
        <v>0.2641</v>
      </c>
      <c r="U2994">
        <f t="shared" si="250"/>
        <v>1.282</v>
      </c>
      <c r="V2994" t="str">
        <f t="shared" si="247"/>
        <v>Elementary Speech, Language Pathway/
Audio</v>
      </c>
      <c r="W2994" t="str">
        <f t="shared" si="248"/>
        <v>Speech, Language Pathway/
Audio</v>
      </c>
    </row>
    <row r="2995" spans="1:23" x14ac:dyDescent="0.25">
      <c r="A2995">
        <v>34033</v>
      </c>
      <c r="B2995" t="s">
        <v>1326</v>
      </c>
      <c r="C2995">
        <v>3</v>
      </c>
      <c r="D2995" t="s">
        <v>1264</v>
      </c>
      <c r="E2995">
        <v>100273</v>
      </c>
      <c r="F2995">
        <v>34033</v>
      </c>
      <c r="G2995" t="str">
        <f t="shared" si="246"/>
        <v>34033</v>
      </c>
      <c r="H2995" t="s">
        <v>550</v>
      </c>
      <c r="I2995" t="s">
        <v>1265</v>
      </c>
      <c r="J2995" t="s">
        <v>1271</v>
      </c>
      <c r="K2995" t="s">
        <v>1272</v>
      </c>
      <c r="L2995" t="s">
        <v>1326</v>
      </c>
      <c r="M2995" t="s">
        <v>1353</v>
      </c>
      <c r="N2995">
        <v>21</v>
      </c>
      <c r="O2995" t="str">
        <f t="shared" si="249"/>
        <v>45</v>
      </c>
      <c r="P2995">
        <v>45</v>
      </c>
      <c r="R2995" t="s">
        <v>1269</v>
      </c>
      <c r="S2995">
        <v>3</v>
      </c>
      <c r="T2995">
        <v>0.2641</v>
      </c>
      <c r="U2995">
        <f t="shared" si="250"/>
        <v>0.79200000000000004</v>
      </c>
      <c r="V2995" t="str">
        <f t="shared" si="247"/>
        <v>High Speech, Language Pathway/
Audio</v>
      </c>
      <c r="W2995" t="str">
        <f t="shared" si="248"/>
        <v>Speech, Language Pathway/
Audio</v>
      </c>
    </row>
    <row r="2996" spans="1:23" x14ac:dyDescent="0.25">
      <c r="A2996">
        <v>34033</v>
      </c>
      <c r="B2996" t="s">
        <v>1312</v>
      </c>
      <c r="C2996">
        <v>0.82</v>
      </c>
      <c r="D2996" t="s">
        <v>1264</v>
      </c>
      <c r="E2996">
        <v>100273</v>
      </c>
      <c r="F2996">
        <v>34033</v>
      </c>
      <c r="G2996" t="str">
        <f t="shared" si="246"/>
        <v>34033</v>
      </c>
      <c r="H2996" t="s">
        <v>550</v>
      </c>
      <c r="I2996" t="s">
        <v>1265</v>
      </c>
      <c r="J2996" t="s">
        <v>1266</v>
      </c>
      <c r="K2996" t="s">
        <v>1267</v>
      </c>
      <c r="L2996" t="s">
        <v>1312</v>
      </c>
      <c r="M2996" t="s">
        <v>1351</v>
      </c>
      <c r="N2996">
        <v>21</v>
      </c>
      <c r="O2996" t="str">
        <f t="shared" si="249"/>
        <v>45</v>
      </c>
      <c r="P2996">
        <v>45</v>
      </c>
      <c r="R2996" t="s">
        <v>1269</v>
      </c>
      <c r="S2996">
        <v>0.82</v>
      </c>
      <c r="T2996">
        <v>0.2641</v>
      </c>
      <c r="U2996">
        <f t="shared" si="250"/>
        <v>0.217</v>
      </c>
      <c r="V2996" t="str">
        <f t="shared" si="247"/>
        <v>Middle Speech, Language Pathway/
Audio</v>
      </c>
      <c r="W2996" t="str">
        <f t="shared" si="248"/>
        <v>Speech, Language Pathway/
Audio</v>
      </c>
    </row>
    <row r="2997" spans="1:23" x14ac:dyDescent="0.25">
      <c r="A2997">
        <v>34033</v>
      </c>
      <c r="B2997" t="s">
        <v>1298</v>
      </c>
      <c r="C2997">
        <v>3.1</v>
      </c>
      <c r="D2997" t="s">
        <v>1264</v>
      </c>
      <c r="E2997">
        <v>100273</v>
      </c>
      <c r="F2997">
        <v>34033</v>
      </c>
      <c r="G2997" t="str">
        <f t="shared" si="246"/>
        <v>34033</v>
      </c>
      <c r="H2997" t="s">
        <v>550</v>
      </c>
      <c r="I2997" t="s">
        <v>1265</v>
      </c>
      <c r="J2997" t="s">
        <v>1276</v>
      </c>
      <c r="K2997" t="s">
        <v>1277</v>
      </c>
      <c r="L2997" t="s">
        <v>1298</v>
      </c>
      <c r="M2997" t="s">
        <v>1349</v>
      </c>
      <c r="N2997">
        <v>21</v>
      </c>
      <c r="O2997" t="str">
        <f t="shared" si="249"/>
        <v>46</v>
      </c>
      <c r="P2997">
        <v>46</v>
      </c>
      <c r="R2997" t="s">
        <v>1269</v>
      </c>
      <c r="S2997">
        <v>3.1</v>
      </c>
      <c r="T2997">
        <v>0.2641</v>
      </c>
      <c r="U2997">
        <f t="shared" si="250"/>
        <v>0.81899999999999995</v>
      </c>
      <c r="V2997" t="str">
        <f t="shared" si="247"/>
        <v>Elementary Psychologist</v>
      </c>
      <c r="W2997" t="str">
        <f t="shared" si="248"/>
        <v>Psychologist</v>
      </c>
    </row>
    <row r="2998" spans="1:23" x14ac:dyDescent="0.25">
      <c r="A2998">
        <v>34033</v>
      </c>
      <c r="B2998" t="s">
        <v>1309</v>
      </c>
      <c r="C2998">
        <v>3.1</v>
      </c>
      <c r="D2998" t="s">
        <v>1264</v>
      </c>
      <c r="E2998">
        <v>100273</v>
      </c>
      <c r="F2998">
        <v>34033</v>
      </c>
      <c r="G2998" t="str">
        <f t="shared" si="246"/>
        <v>34033</v>
      </c>
      <c r="H2998" t="s">
        <v>550</v>
      </c>
      <c r="I2998" t="s">
        <v>1265</v>
      </c>
      <c r="J2998" t="s">
        <v>1271</v>
      </c>
      <c r="K2998" t="s">
        <v>1272</v>
      </c>
      <c r="L2998" t="s">
        <v>1309</v>
      </c>
      <c r="M2998" t="s">
        <v>1310</v>
      </c>
      <c r="N2998">
        <v>21</v>
      </c>
      <c r="O2998" t="str">
        <f t="shared" si="249"/>
        <v>46</v>
      </c>
      <c r="P2998">
        <v>46</v>
      </c>
      <c r="R2998" t="s">
        <v>1269</v>
      </c>
      <c r="S2998">
        <v>3.1</v>
      </c>
      <c r="T2998">
        <v>0.2641</v>
      </c>
      <c r="U2998">
        <f t="shared" si="250"/>
        <v>0.81899999999999995</v>
      </c>
      <c r="V2998" t="str">
        <f t="shared" si="247"/>
        <v>High Psychologist</v>
      </c>
      <c r="W2998" t="str">
        <f t="shared" si="248"/>
        <v>Psychologist</v>
      </c>
    </row>
    <row r="2999" spans="1:23" x14ac:dyDescent="0.25">
      <c r="A2999">
        <v>34033</v>
      </c>
      <c r="B2999" t="s">
        <v>1345</v>
      </c>
      <c r="C2999">
        <v>0.5</v>
      </c>
      <c r="D2999" t="s">
        <v>1264</v>
      </c>
      <c r="E2999">
        <v>100273</v>
      </c>
      <c r="F2999">
        <v>34033</v>
      </c>
      <c r="G2999" t="str">
        <f t="shared" si="246"/>
        <v>34033</v>
      </c>
      <c r="H2999" t="s">
        <v>550</v>
      </c>
      <c r="I2999" t="s">
        <v>1265</v>
      </c>
      <c r="J2999" t="s">
        <v>1266</v>
      </c>
      <c r="K2999" t="s">
        <v>1267</v>
      </c>
      <c r="L2999" t="s">
        <v>1345</v>
      </c>
      <c r="M2999" t="s">
        <v>1346</v>
      </c>
      <c r="N2999">
        <v>21</v>
      </c>
      <c r="O2999" t="str">
        <f t="shared" si="249"/>
        <v>46</v>
      </c>
      <c r="P2999">
        <v>46</v>
      </c>
      <c r="R2999" t="s">
        <v>1269</v>
      </c>
      <c r="S2999">
        <v>0.5</v>
      </c>
      <c r="T2999">
        <v>0.2641</v>
      </c>
      <c r="U2999">
        <f t="shared" si="250"/>
        <v>0.13200000000000001</v>
      </c>
      <c r="V2999" t="str">
        <f t="shared" si="247"/>
        <v>Middle Psychologist</v>
      </c>
      <c r="W2999" t="str">
        <f t="shared" si="248"/>
        <v>Psychologist</v>
      </c>
    </row>
    <row r="3000" spans="1:23" x14ac:dyDescent="0.25">
      <c r="A3000">
        <v>34033</v>
      </c>
      <c r="B3000" t="s">
        <v>1335</v>
      </c>
      <c r="C3000">
        <v>3.2639999999999998</v>
      </c>
      <c r="D3000" t="s">
        <v>1264</v>
      </c>
      <c r="E3000">
        <v>100273</v>
      </c>
      <c r="F3000">
        <v>34033</v>
      </c>
      <c r="G3000" t="str">
        <f t="shared" si="246"/>
        <v>34033</v>
      </c>
      <c r="H3000" t="s">
        <v>550</v>
      </c>
      <c r="I3000" t="s">
        <v>1265</v>
      </c>
      <c r="J3000" t="s">
        <v>1276</v>
      </c>
      <c r="K3000" t="s">
        <v>1277</v>
      </c>
      <c r="L3000" t="s">
        <v>1335</v>
      </c>
      <c r="M3000" t="s">
        <v>1344</v>
      </c>
      <c r="N3000">
        <v>1</v>
      </c>
      <c r="O3000" t="str">
        <f t="shared" si="249"/>
        <v>47</v>
      </c>
      <c r="P3000">
        <v>47</v>
      </c>
      <c r="R3000" t="s">
        <v>1269</v>
      </c>
      <c r="S3000">
        <v>3.2639999999999998</v>
      </c>
      <c r="T3000">
        <v>0.2641</v>
      </c>
      <c r="U3000">
        <f t="shared" si="250"/>
        <v>0</v>
      </c>
      <c r="V3000" t="str">
        <f t="shared" si="247"/>
        <v>Elementary Nurse</v>
      </c>
      <c r="W3000" t="str">
        <f t="shared" si="248"/>
        <v>Nurse</v>
      </c>
    </row>
    <row r="3001" spans="1:23" x14ac:dyDescent="0.25">
      <c r="A3001">
        <v>34033</v>
      </c>
      <c r="B3001" t="s">
        <v>1341</v>
      </c>
      <c r="C3001">
        <v>0.8</v>
      </c>
      <c r="D3001" t="s">
        <v>1264</v>
      </c>
      <c r="E3001">
        <v>100273</v>
      </c>
      <c r="F3001">
        <v>34033</v>
      </c>
      <c r="G3001" t="str">
        <f t="shared" si="246"/>
        <v>34033</v>
      </c>
      <c r="H3001" t="s">
        <v>550</v>
      </c>
      <c r="I3001" t="s">
        <v>1265</v>
      </c>
      <c r="J3001" t="s">
        <v>1271</v>
      </c>
      <c r="K3001" t="s">
        <v>1272</v>
      </c>
      <c r="L3001" t="s">
        <v>1341</v>
      </c>
      <c r="M3001" t="s">
        <v>1342</v>
      </c>
      <c r="N3001">
        <v>1</v>
      </c>
      <c r="O3001" t="str">
        <f t="shared" si="249"/>
        <v>47</v>
      </c>
      <c r="P3001">
        <v>47</v>
      </c>
      <c r="R3001" t="s">
        <v>1269</v>
      </c>
      <c r="S3001">
        <v>0.8</v>
      </c>
      <c r="T3001">
        <v>0.2641</v>
      </c>
      <c r="U3001">
        <f t="shared" si="250"/>
        <v>0</v>
      </c>
      <c r="V3001" t="str">
        <f t="shared" si="247"/>
        <v>High Nurse</v>
      </c>
      <c r="W3001" t="str">
        <f t="shared" si="248"/>
        <v>Nurse</v>
      </c>
    </row>
    <row r="3002" spans="1:23" x14ac:dyDescent="0.25">
      <c r="A3002">
        <v>34033</v>
      </c>
      <c r="B3002" t="s">
        <v>1338</v>
      </c>
      <c r="C3002">
        <v>0.93600000000000005</v>
      </c>
      <c r="D3002" t="s">
        <v>1264</v>
      </c>
      <c r="E3002">
        <v>100273</v>
      </c>
      <c r="F3002">
        <v>34033</v>
      </c>
      <c r="G3002" t="str">
        <f t="shared" si="246"/>
        <v>34033</v>
      </c>
      <c r="H3002" t="s">
        <v>550</v>
      </c>
      <c r="I3002" t="s">
        <v>1265</v>
      </c>
      <c r="J3002" t="s">
        <v>1266</v>
      </c>
      <c r="K3002" t="s">
        <v>1267</v>
      </c>
      <c r="L3002" t="s">
        <v>1338</v>
      </c>
      <c r="M3002" t="s">
        <v>1339</v>
      </c>
      <c r="N3002">
        <v>1</v>
      </c>
      <c r="O3002" t="str">
        <f t="shared" si="249"/>
        <v>47</v>
      </c>
      <c r="P3002">
        <v>47</v>
      </c>
      <c r="R3002" t="s">
        <v>1269</v>
      </c>
      <c r="S3002">
        <v>0.93600000000000005</v>
      </c>
      <c r="T3002">
        <v>0.2641</v>
      </c>
      <c r="U3002">
        <f t="shared" si="250"/>
        <v>0</v>
      </c>
      <c r="V3002" t="str">
        <f t="shared" si="247"/>
        <v>Middle Nurse</v>
      </c>
      <c r="W3002" t="str">
        <f t="shared" si="248"/>
        <v>Nurse</v>
      </c>
    </row>
    <row r="3003" spans="1:23" x14ac:dyDescent="0.25">
      <c r="A3003">
        <v>34033</v>
      </c>
      <c r="B3003" t="s">
        <v>1340</v>
      </c>
      <c r="C3003">
        <v>0.54500000000000004</v>
      </c>
      <c r="D3003" t="s">
        <v>1264</v>
      </c>
      <c r="E3003">
        <v>100273</v>
      </c>
      <c r="F3003">
        <v>34033</v>
      </c>
      <c r="G3003" t="str">
        <f t="shared" si="246"/>
        <v>34033</v>
      </c>
      <c r="H3003" t="s">
        <v>550</v>
      </c>
      <c r="I3003" t="s">
        <v>1265</v>
      </c>
      <c r="J3003" t="s">
        <v>1276</v>
      </c>
      <c r="K3003" t="s">
        <v>1277</v>
      </c>
      <c r="L3003" t="s">
        <v>1340</v>
      </c>
      <c r="M3003" t="s">
        <v>1395</v>
      </c>
      <c r="N3003">
        <v>21</v>
      </c>
      <c r="O3003" t="str">
        <f t="shared" si="249"/>
        <v>49</v>
      </c>
      <c r="P3003">
        <v>49</v>
      </c>
      <c r="R3003" t="s">
        <v>1269</v>
      </c>
      <c r="S3003">
        <v>0.54500000000000004</v>
      </c>
      <c r="T3003">
        <v>0.2641</v>
      </c>
      <c r="U3003">
        <f t="shared" si="250"/>
        <v>0.14399999999999999</v>
      </c>
      <c r="V3003" t="str">
        <f t="shared" si="247"/>
        <v>Elementary Behavior Analyst</v>
      </c>
      <c r="W3003" t="str">
        <f t="shared" si="248"/>
        <v>Behavior Analyst</v>
      </c>
    </row>
    <row r="3004" spans="1:23" x14ac:dyDescent="0.25">
      <c r="A3004">
        <v>34033</v>
      </c>
      <c r="B3004" t="s">
        <v>1392</v>
      </c>
      <c r="C3004">
        <v>0.27300000000000002</v>
      </c>
      <c r="D3004" t="s">
        <v>1264</v>
      </c>
      <c r="E3004">
        <v>100273</v>
      </c>
      <c r="F3004">
        <v>34033</v>
      </c>
      <c r="G3004" t="str">
        <f t="shared" si="246"/>
        <v>34033</v>
      </c>
      <c r="H3004" t="s">
        <v>550</v>
      </c>
      <c r="I3004" t="s">
        <v>1265</v>
      </c>
      <c r="J3004" t="s">
        <v>1271</v>
      </c>
      <c r="K3004" t="s">
        <v>1272</v>
      </c>
      <c r="L3004" t="s">
        <v>1392</v>
      </c>
      <c r="M3004" t="s">
        <v>1393</v>
      </c>
      <c r="N3004">
        <v>21</v>
      </c>
      <c r="O3004" t="str">
        <f t="shared" si="249"/>
        <v>49</v>
      </c>
      <c r="P3004">
        <v>49</v>
      </c>
      <c r="R3004" t="s">
        <v>1269</v>
      </c>
      <c r="S3004">
        <v>0.27300000000000002</v>
      </c>
      <c r="T3004">
        <v>0.2641</v>
      </c>
      <c r="U3004">
        <f t="shared" si="250"/>
        <v>7.1999999999999995E-2</v>
      </c>
      <c r="V3004" t="str">
        <f t="shared" si="247"/>
        <v>High Behavior Analyst</v>
      </c>
      <c r="W3004" t="str">
        <f t="shared" si="248"/>
        <v>Behavior Analyst</v>
      </c>
    </row>
    <row r="3005" spans="1:23" x14ac:dyDescent="0.25">
      <c r="A3005">
        <v>34033</v>
      </c>
      <c r="B3005" t="s">
        <v>1374</v>
      </c>
      <c r="C3005">
        <v>0.182</v>
      </c>
      <c r="D3005" t="s">
        <v>1264</v>
      </c>
      <c r="E3005">
        <v>100273</v>
      </c>
      <c r="F3005">
        <v>34033</v>
      </c>
      <c r="G3005" t="str">
        <f t="shared" si="246"/>
        <v>34033</v>
      </c>
      <c r="H3005" t="s">
        <v>550</v>
      </c>
      <c r="I3005" t="s">
        <v>1265</v>
      </c>
      <c r="J3005" t="s">
        <v>1266</v>
      </c>
      <c r="K3005" t="s">
        <v>1267</v>
      </c>
      <c r="L3005" t="s">
        <v>1374</v>
      </c>
      <c r="M3005" t="s">
        <v>1391</v>
      </c>
      <c r="N3005">
        <v>21</v>
      </c>
      <c r="O3005" t="str">
        <f t="shared" si="249"/>
        <v>49</v>
      </c>
      <c r="P3005">
        <v>49</v>
      </c>
      <c r="R3005" t="s">
        <v>1269</v>
      </c>
      <c r="S3005">
        <v>0.182</v>
      </c>
      <c r="T3005">
        <v>0.2641</v>
      </c>
      <c r="U3005">
        <f t="shared" si="250"/>
        <v>4.8000000000000001E-2</v>
      </c>
      <c r="V3005" t="str">
        <f t="shared" si="247"/>
        <v>Middle Behavior Analyst</v>
      </c>
      <c r="W3005" t="str">
        <f t="shared" si="248"/>
        <v>Behavior Analyst</v>
      </c>
    </row>
    <row r="3006" spans="1:23" x14ac:dyDescent="0.25">
      <c r="A3006">
        <v>34111</v>
      </c>
      <c r="B3006" t="s">
        <v>1286</v>
      </c>
      <c r="C3006">
        <v>2.37</v>
      </c>
      <c r="D3006" t="s">
        <v>1264</v>
      </c>
      <c r="E3006">
        <v>100182</v>
      </c>
      <c r="F3006">
        <v>34111</v>
      </c>
      <c r="G3006" t="str">
        <f t="shared" si="246"/>
        <v>34111</v>
      </c>
      <c r="H3006" t="s">
        <v>551</v>
      </c>
      <c r="I3006" t="s">
        <v>1265</v>
      </c>
      <c r="J3006" t="s">
        <v>1271</v>
      </c>
      <c r="K3006" t="s">
        <v>1272</v>
      </c>
      <c r="L3006" t="s">
        <v>1286</v>
      </c>
      <c r="M3006" t="s">
        <v>1287</v>
      </c>
      <c r="N3006">
        <v>1</v>
      </c>
      <c r="O3006" t="str">
        <f t="shared" si="249"/>
        <v>24</v>
      </c>
      <c r="P3006">
        <v>96</v>
      </c>
      <c r="Q3006">
        <v>24</v>
      </c>
      <c r="R3006" t="s">
        <v>1269</v>
      </c>
      <c r="S3006">
        <v>2.37</v>
      </c>
      <c r="T3006">
        <v>0.26419999999999999</v>
      </c>
      <c r="U3006">
        <f t="shared" si="250"/>
        <v>0</v>
      </c>
      <c r="V3006" t="str">
        <f t="shared" si="247"/>
        <v>High Family Engagement Coordinator</v>
      </c>
      <c r="W3006" t="str">
        <f t="shared" si="248"/>
        <v>Family Engagement Coordinator</v>
      </c>
    </row>
    <row r="3007" spans="1:23" x14ac:dyDescent="0.25">
      <c r="A3007">
        <v>34111</v>
      </c>
      <c r="B3007" t="s">
        <v>1308</v>
      </c>
      <c r="C3007">
        <v>0.27100000000000002</v>
      </c>
      <c r="D3007" t="s">
        <v>1264</v>
      </c>
      <c r="E3007">
        <v>100182</v>
      </c>
      <c r="F3007">
        <v>34111</v>
      </c>
      <c r="G3007" t="str">
        <f t="shared" si="246"/>
        <v>34111</v>
      </c>
      <c r="H3007" t="s">
        <v>551</v>
      </c>
      <c r="I3007" t="s">
        <v>1265</v>
      </c>
      <c r="J3007" t="s">
        <v>1276</v>
      </c>
      <c r="K3007" t="s">
        <v>1277</v>
      </c>
      <c r="L3007" t="s">
        <v>1308</v>
      </c>
      <c r="M3007" t="s">
        <v>1389</v>
      </c>
      <c r="N3007">
        <v>1</v>
      </c>
      <c r="O3007" t="str">
        <f t="shared" si="249"/>
        <v>25</v>
      </c>
      <c r="Q3007">
        <v>25</v>
      </c>
      <c r="R3007" t="s">
        <v>1269</v>
      </c>
      <c r="S3007">
        <v>0.27100000000000002</v>
      </c>
      <c r="T3007">
        <v>0.26419999999999999</v>
      </c>
      <c r="U3007">
        <f t="shared" si="250"/>
        <v>0</v>
      </c>
      <c r="V3007" t="str">
        <f t="shared" si="247"/>
        <v>Elementary Pupil Management</v>
      </c>
      <c r="W3007" t="str">
        <f t="shared" si="248"/>
        <v>Pupil Management</v>
      </c>
    </row>
    <row r="3008" spans="1:23" x14ac:dyDescent="0.25">
      <c r="A3008">
        <v>34111</v>
      </c>
      <c r="B3008" t="s">
        <v>1299</v>
      </c>
      <c r="C3008">
        <v>1.8720000000000001</v>
      </c>
      <c r="D3008" t="s">
        <v>1264</v>
      </c>
      <c r="E3008">
        <v>100182</v>
      </c>
      <c r="F3008">
        <v>34111</v>
      </c>
      <c r="G3008" t="str">
        <f t="shared" si="246"/>
        <v>34111</v>
      </c>
      <c r="H3008" t="s">
        <v>551</v>
      </c>
      <c r="I3008" t="s">
        <v>1265</v>
      </c>
      <c r="J3008" t="s">
        <v>1271</v>
      </c>
      <c r="K3008" t="s">
        <v>1272</v>
      </c>
      <c r="L3008" t="s">
        <v>1299</v>
      </c>
      <c r="M3008" t="s">
        <v>1300</v>
      </c>
      <c r="N3008">
        <v>1</v>
      </c>
      <c r="O3008" t="str">
        <f t="shared" si="249"/>
        <v>25</v>
      </c>
      <c r="Q3008">
        <v>25</v>
      </c>
      <c r="R3008" t="s">
        <v>1269</v>
      </c>
      <c r="S3008">
        <v>1.8720000000000001</v>
      </c>
      <c r="T3008">
        <v>0.26419999999999999</v>
      </c>
      <c r="U3008">
        <f t="shared" si="250"/>
        <v>0</v>
      </c>
      <c r="V3008" t="str">
        <f t="shared" si="247"/>
        <v>High Pupil Management</v>
      </c>
      <c r="W3008" t="str">
        <f t="shared" si="248"/>
        <v>Pupil Management</v>
      </c>
    </row>
    <row r="3009" spans="1:23" x14ac:dyDescent="0.25">
      <c r="A3009">
        <v>34111</v>
      </c>
      <c r="B3009" t="s">
        <v>1363</v>
      </c>
      <c r="C3009">
        <v>0.55200000000000005</v>
      </c>
      <c r="D3009" t="s">
        <v>1264</v>
      </c>
      <c r="E3009">
        <v>100182</v>
      </c>
      <c r="F3009">
        <v>34111</v>
      </c>
      <c r="G3009" t="str">
        <f t="shared" si="246"/>
        <v>34111</v>
      </c>
      <c r="H3009" t="s">
        <v>551</v>
      </c>
      <c r="I3009" t="s">
        <v>1265</v>
      </c>
      <c r="J3009" t="s">
        <v>1266</v>
      </c>
      <c r="K3009" t="s">
        <v>1267</v>
      </c>
      <c r="L3009" t="s">
        <v>1363</v>
      </c>
      <c r="M3009" t="s">
        <v>1386</v>
      </c>
      <c r="N3009">
        <v>1</v>
      </c>
      <c r="O3009" t="str">
        <f t="shared" si="249"/>
        <v>25</v>
      </c>
      <c r="Q3009">
        <v>25</v>
      </c>
      <c r="R3009" t="s">
        <v>1269</v>
      </c>
      <c r="S3009">
        <v>0.55200000000000005</v>
      </c>
      <c r="T3009">
        <v>0.26419999999999999</v>
      </c>
      <c r="U3009">
        <f t="shared" si="250"/>
        <v>0</v>
      </c>
      <c r="V3009" t="str">
        <f t="shared" si="247"/>
        <v>Middle Pupil Management</v>
      </c>
      <c r="W3009" t="str">
        <f t="shared" si="248"/>
        <v>Pupil Management</v>
      </c>
    </row>
    <row r="3010" spans="1:23" x14ac:dyDescent="0.25">
      <c r="A3010">
        <v>34111</v>
      </c>
      <c r="B3010" t="s">
        <v>1311</v>
      </c>
      <c r="C3010">
        <v>0.60099999999999998</v>
      </c>
      <c r="D3010" t="s">
        <v>1264</v>
      </c>
      <c r="E3010">
        <v>100182</v>
      </c>
      <c r="F3010">
        <v>34111</v>
      </c>
      <c r="G3010" t="str">
        <f t="shared" ref="G3010:G3073" si="251">TEXT(F3010,"00000")</f>
        <v>34111</v>
      </c>
      <c r="H3010" t="s">
        <v>551</v>
      </c>
      <c r="I3010" t="s">
        <v>1265</v>
      </c>
      <c r="J3010" t="s">
        <v>1276</v>
      </c>
      <c r="K3010" t="s">
        <v>1277</v>
      </c>
      <c r="L3010" t="s">
        <v>1311</v>
      </c>
      <c r="M3010" t="s">
        <v>1327</v>
      </c>
      <c r="N3010">
        <v>21</v>
      </c>
      <c r="O3010" t="str">
        <f t="shared" si="249"/>
        <v>26</v>
      </c>
      <c r="Q3010">
        <v>26</v>
      </c>
      <c r="R3010" t="s">
        <v>1269</v>
      </c>
      <c r="S3010">
        <v>0.60099999999999998</v>
      </c>
      <c r="T3010">
        <v>0.26419999999999999</v>
      </c>
      <c r="U3010">
        <f t="shared" si="250"/>
        <v>0.159</v>
      </c>
      <c r="V3010" t="str">
        <f t="shared" ref="V3010:V3073" si="252">_xlfn.XLOOKUP(L3010,$BV:$BV,$BT:$BT,,0)</f>
        <v>Elementary Health/
Related Services</v>
      </c>
      <c r="W3010" t="str">
        <f t="shared" ref="W3010:W3073" si="253">_xlfn.TEXTAFTER(V3010," ")</f>
        <v>Health/
Related Services</v>
      </c>
    </row>
    <row r="3011" spans="1:23" x14ac:dyDescent="0.25">
      <c r="A3011">
        <v>34111</v>
      </c>
      <c r="B3011" t="s">
        <v>1315</v>
      </c>
      <c r="C3011">
        <v>4.2060000000000004</v>
      </c>
      <c r="D3011" t="s">
        <v>1264</v>
      </c>
      <c r="E3011">
        <v>100182</v>
      </c>
      <c r="F3011">
        <v>34111</v>
      </c>
      <c r="G3011" t="str">
        <f t="shared" si="251"/>
        <v>34111</v>
      </c>
      <c r="H3011" t="s">
        <v>551</v>
      </c>
      <c r="I3011" t="s">
        <v>1265</v>
      </c>
      <c r="J3011" t="s">
        <v>1276</v>
      </c>
      <c r="K3011" t="s">
        <v>1277</v>
      </c>
      <c r="L3011" t="s">
        <v>1315</v>
      </c>
      <c r="M3011" t="s">
        <v>1375</v>
      </c>
      <c r="N3011">
        <v>1</v>
      </c>
      <c r="O3011" t="str">
        <f t="shared" ref="O3011:O3074" si="254">MID(L3011,3,2)</f>
        <v>26</v>
      </c>
      <c r="Q3011">
        <v>26</v>
      </c>
      <c r="R3011" t="s">
        <v>1269</v>
      </c>
      <c r="S3011">
        <v>4.2060000000000004</v>
      </c>
      <c r="T3011">
        <v>0.26419999999999999</v>
      </c>
      <c r="U3011">
        <f t="shared" ref="U3011:U3074" si="255">IF(N3011=21,ROUND(T3011*S3011,3),0)</f>
        <v>0</v>
      </c>
      <c r="V3011" t="str">
        <f t="shared" si="252"/>
        <v>Elementary Health/
Related Services</v>
      </c>
      <c r="W3011" t="str">
        <f t="shared" si="253"/>
        <v>Health/
Related Services</v>
      </c>
    </row>
    <row r="3012" spans="1:23" x14ac:dyDescent="0.25">
      <c r="A3012">
        <v>34111</v>
      </c>
      <c r="B3012" t="s">
        <v>1324</v>
      </c>
      <c r="C3012">
        <v>1.3140000000000001</v>
      </c>
      <c r="D3012" t="s">
        <v>1264</v>
      </c>
      <c r="E3012">
        <v>100182</v>
      </c>
      <c r="F3012">
        <v>34111</v>
      </c>
      <c r="G3012" t="str">
        <f t="shared" si="251"/>
        <v>34111</v>
      </c>
      <c r="H3012" t="s">
        <v>551</v>
      </c>
      <c r="I3012" t="s">
        <v>1265</v>
      </c>
      <c r="J3012" t="s">
        <v>1271</v>
      </c>
      <c r="K3012" t="s">
        <v>1272</v>
      </c>
      <c r="L3012" t="s">
        <v>1324</v>
      </c>
      <c r="M3012" t="s">
        <v>1325</v>
      </c>
      <c r="N3012">
        <v>21</v>
      </c>
      <c r="O3012" t="str">
        <f t="shared" si="254"/>
        <v>26</v>
      </c>
      <c r="Q3012">
        <v>26</v>
      </c>
      <c r="R3012" t="s">
        <v>1269</v>
      </c>
      <c r="S3012">
        <v>1.3140000000000001</v>
      </c>
      <c r="T3012">
        <v>0.26419999999999999</v>
      </c>
      <c r="U3012">
        <f t="shared" si="255"/>
        <v>0.34699999999999998</v>
      </c>
      <c r="V3012" t="str">
        <f t="shared" si="252"/>
        <v>High Health/
Related Services</v>
      </c>
      <c r="W3012" t="str">
        <f t="shared" si="253"/>
        <v>Health/
Related Services</v>
      </c>
    </row>
    <row r="3013" spans="1:23" x14ac:dyDescent="0.25">
      <c r="A3013">
        <v>34111</v>
      </c>
      <c r="B3013" t="s">
        <v>1295</v>
      </c>
      <c r="C3013">
        <v>2.4159999999999999</v>
      </c>
      <c r="D3013" t="s">
        <v>1264</v>
      </c>
      <c r="E3013">
        <v>100182</v>
      </c>
      <c r="F3013">
        <v>34111</v>
      </c>
      <c r="G3013" t="str">
        <f t="shared" si="251"/>
        <v>34111</v>
      </c>
      <c r="H3013" t="s">
        <v>551</v>
      </c>
      <c r="I3013" t="s">
        <v>1265</v>
      </c>
      <c r="J3013" t="s">
        <v>1271</v>
      </c>
      <c r="K3013" t="s">
        <v>1272</v>
      </c>
      <c r="L3013" t="s">
        <v>1295</v>
      </c>
      <c r="M3013" t="s">
        <v>1296</v>
      </c>
      <c r="N3013">
        <v>1</v>
      </c>
      <c r="O3013" t="str">
        <f t="shared" si="254"/>
        <v>26</v>
      </c>
      <c r="Q3013">
        <v>26</v>
      </c>
      <c r="R3013" t="s">
        <v>1269</v>
      </c>
      <c r="S3013">
        <v>2.4159999999999999</v>
      </c>
      <c r="T3013">
        <v>0.26419999999999999</v>
      </c>
      <c r="U3013">
        <f t="shared" si="255"/>
        <v>0</v>
      </c>
      <c r="V3013" t="str">
        <f t="shared" si="252"/>
        <v>High Health/
Related Services</v>
      </c>
      <c r="W3013" t="str">
        <f t="shared" si="253"/>
        <v>Health/
Related Services</v>
      </c>
    </row>
    <row r="3014" spans="1:23" x14ac:dyDescent="0.25">
      <c r="A3014">
        <v>34111</v>
      </c>
      <c r="B3014" t="s">
        <v>1322</v>
      </c>
      <c r="C3014">
        <v>7.6999999999999999E-2</v>
      </c>
      <c r="D3014" t="s">
        <v>1264</v>
      </c>
      <c r="E3014">
        <v>100182</v>
      </c>
      <c r="F3014">
        <v>34111</v>
      </c>
      <c r="G3014" t="str">
        <f t="shared" si="251"/>
        <v>34111</v>
      </c>
      <c r="H3014" t="s">
        <v>551</v>
      </c>
      <c r="I3014" t="s">
        <v>1265</v>
      </c>
      <c r="J3014" t="s">
        <v>1266</v>
      </c>
      <c r="K3014" t="s">
        <v>1267</v>
      </c>
      <c r="L3014" t="s">
        <v>1322</v>
      </c>
      <c r="M3014" t="s">
        <v>1323</v>
      </c>
      <c r="N3014">
        <v>21</v>
      </c>
      <c r="O3014" t="str">
        <f t="shared" si="254"/>
        <v>26</v>
      </c>
      <c r="Q3014">
        <v>26</v>
      </c>
      <c r="R3014" t="s">
        <v>1269</v>
      </c>
      <c r="S3014">
        <v>7.6999999999999999E-2</v>
      </c>
      <c r="T3014">
        <v>0.26419999999999999</v>
      </c>
      <c r="U3014">
        <f t="shared" si="255"/>
        <v>0.02</v>
      </c>
      <c r="V3014" t="str">
        <f t="shared" si="252"/>
        <v>Middle Health/
Related Services</v>
      </c>
      <c r="W3014" t="str">
        <f t="shared" si="253"/>
        <v>Health/
Related Services</v>
      </c>
    </row>
    <row r="3015" spans="1:23" x14ac:dyDescent="0.25">
      <c r="A3015">
        <v>34111</v>
      </c>
      <c r="B3015" t="s">
        <v>1291</v>
      </c>
      <c r="C3015">
        <v>0.36699999999999999</v>
      </c>
      <c r="D3015" t="s">
        <v>1264</v>
      </c>
      <c r="E3015">
        <v>100182</v>
      </c>
      <c r="F3015">
        <v>34111</v>
      </c>
      <c r="G3015" t="str">
        <f t="shared" si="251"/>
        <v>34111</v>
      </c>
      <c r="H3015" t="s">
        <v>551</v>
      </c>
      <c r="I3015" t="s">
        <v>1265</v>
      </c>
      <c r="J3015" t="s">
        <v>1266</v>
      </c>
      <c r="K3015" t="s">
        <v>1267</v>
      </c>
      <c r="L3015" t="s">
        <v>1291</v>
      </c>
      <c r="M3015" t="s">
        <v>1292</v>
      </c>
      <c r="N3015">
        <v>1</v>
      </c>
      <c r="O3015" t="str">
        <f t="shared" si="254"/>
        <v>26</v>
      </c>
      <c r="Q3015">
        <v>26</v>
      </c>
      <c r="R3015" t="s">
        <v>1269</v>
      </c>
      <c r="S3015">
        <v>0.36699999999999999</v>
      </c>
      <c r="T3015">
        <v>0.26419999999999999</v>
      </c>
      <c r="U3015">
        <f t="shared" si="255"/>
        <v>0</v>
      </c>
      <c r="V3015" t="str">
        <f t="shared" si="252"/>
        <v>Middle Health/
Related Services</v>
      </c>
      <c r="W3015" t="str">
        <f t="shared" si="253"/>
        <v>Health/
Related Services</v>
      </c>
    </row>
    <row r="3016" spans="1:23" x14ac:dyDescent="0.25">
      <c r="A3016">
        <v>34111</v>
      </c>
      <c r="B3016" t="s">
        <v>1401</v>
      </c>
      <c r="C3016">
        <v>1.0389999999999999</v>
      </c>
      <c r="D3016" t="s">
        <v>1264</v>
      </c>
      <c r="E3016">
        <v>100182</v>
      </c>
      <c r="F3016">
        <v>34111</v>
      </c>
      <c r="G3016" t="str">
        <f t="shared" si="251"/>
        <v>34111</v>
      </c>
      <c r="H3016" t="s">
        <v>551</v>
      </c>
      <c r="I3016" t="s">
        <v>1265</v>
      </c>
      <c r="J3016" t="s">
        <v>1271</v>
      </c>
      <c r="K3016" t="s">
        <v>1272</v>
      </c>
      <c r="L3016" t="s">
        <v>1401</v>
      </c>
      <c r="M3016" t="s">
        <v>1422</v>
      </c>
      <c r="N3016">
        <v>1</v>
      </c>
      <c r="O3016" t="str">
        <f t="shared" si="254"/>
        <v>35</v>
      </c>
      <c r="Q3016">
        <v>35</v>
      </c>
      <c r="R3016" t="s">
        <v>1269</v>
      </c>
      <c r="S3016">
        <v>1.0389999999999999</v>
      </c>
      <c r="T3016">
        <v>0.26419999999999999</v>
      </c>
      <c r="U3016">
        <f t="shared" si="255"/>
        <v>0</v>
      </c>
      <c r="V3016" t="str">
        <f t="shared" si="252"/>
        <v>High Pupil Safety</v>
      </c>
      <c r="W3016" t="str">
        <f t="shared" si="253"/>
        <v>Pupil Safety</v>
      </c>
    </row>
    <row r="3017" spans="1:23" x14ac:dyDescent="0.25">
      <c r="A3017">
        <v>34111</v>
      </c>
      <c r="B3017" t="s">
        <v>1275</v>
      </c>
      <c r="C3017">
        <v>1.667</v>
      </c>
      <c r="D3017" t="s">
        <v>1264</v>
      </c>
      <c r="E3017">
        <v>100182</v>
      </c>
      <c r="F3017">
        <v>34111</v>
      </c>
      <c r="G3017" t="str">
        <f t="shared" si="251"/>
        <v>34111</v>
      </c>
      <c r="H3017" t="s">
        <v>551</v>
      </c>
      <c r="I3017" t="s">
        <v>1265</v>
      </c>
      <c r="J3017" t="s">
        <v>1276</v>
      </c>
      <c r="K3017" t="s">
        <v>1277</v>
      </c>
      <c r="L3017" t="s">
        <v>1275</v>
      </c>
      <c r="M3017" t="s">
        <v>1278</v>
      </c>
      <c r="N3017">
        <v>1</v>
      </c>
      <c r="O3017" t="str">
        <f t="shared" si="254"/>
        <v>42</v>
      </c>
      <c r="P3017">
        <v>42</v>
      </c>
      <c r="R3017" t="s">
        <v>1269</v>
      </c>
      <c r="S3017">
        <v>1.667</v>
      </c>
      <c r="T3017">
        <v>0.26419999999999999</v>
      </c>
      <c r="U3017">
        <f t="shared" si="255"/>
        <v>0</v>
      </c>
      <c r="V3017" t="str">
        <f t="shared" si="252"/>
        <v>Elementary Counselor</v>
      </c>
      <c r="W3017" t="str">
        <f t="shared" si="253"/>
        <v>Counselor</v>
      </c>
    </row>
    <row r="3018" spans="1:23" x14ac:dyDescent="0.25">
      <c r="A3018">
        <v>34111</v>
      </c>
      <c r="B3018" t="s">
        <v>1270</v>
      </c>
      <c r="C3018">
        <v>6.9</v>
      </c>
      <c r="D3018" t="s">
        <v>1264</v>
      </c>
      <c r="E3018">
        <v>100182</v>
      </c>
      <c r="F3018">
        <v>34111</v>
      </c>
      <c r="G3018" t="str">
        <f t="shared" si="251"/>
        <v>34111</v>
      </c>
      <c r="H3018" t="s">
        <v>551</v>
      </c>
      <c r="I3018" t="s">
        <v>1265</v>
      </c>
      <c r="J3018" t="s">
        <v>1271</v>
      </c>
      <c r="K3018" t="s">
        <v>1272</v>
      </c>
      <c r="L3018" t="s">
        <v>1270</v>
      </c>
      <c r="M3018" t="s">
        <v>1273</v>
      </c>
      <c r="N3018">
        <v>1</v>
      </c>
      <c r="O3018" t="str">
        <f t="shared" si="254"/>
        <v>42</v>
      </c>
      <c r="P3018">
        <v>42</v>
      </c>
      <c r="R3018" t="s">
        <v>1269</v>
      </c>
      <c r="S3018">
        <v>6.9</v>
      </c>
      <c r="T3018">
        <v>0.26419999999999999</v>
      </c>
      <c r="U3018">
        <f t="shared" si="255"/>
        <v>0</v>
      </c>
      <c r="V3018" t="str">
        <f t="shared" si="252"/>
        <v>High Counselor</v>
      </c>
      <c r="W3018" t="str">
        <f t="shared" si="253"/>
        <v>Counselor</v>
      </c>
    </row>
    <row r="3019" spans="1:23" x14ac:dyDescent="0.25">
      <c r="A3019">
        <v>34111</v>
      </c>
      <c r="B3019" t="s">
        <v>1263</v>
      </c>
      <c r="C3019">
        <v>3.629</v>
      </c>
      <c r="D3019" t="s">
        <v>1264</v>
      </c>
      <c r="E3019">
        <v>100182</v>
      </c>
      <c r="F3019">
        <v>34111</v>
      </c>
      <c r="G3019" t="str">
        <f t="shared" si="251"/>
        <v>34111</v>
      </c>
      <c r="H3019" t="s">
        <v>551</v>
      </c>
      <c r="I3019" t="s">
        <v>1265</v>
      </c>
      <c r="J3019" t="s">
        <v>1266</v>
      </c>
      <c r="K3019" t="s">
        <v>1267</v>
      </c>
      <c r="L3019" t="s">
        <v>1263</v>
      </c>
      <c r="M3019" t="s">
        <v>1268</v>
      </c>
      <c r="N3019">
        <v>1</v>
      </c>
      <c r="O3019" t="str">
        <f t="shared" si="254"/>
        <v>42</v>
      </c>
      <c r="P3019">
        <v>42</v>
      </c>
      <c r="R3019" t="s">
        <v>1269</v>
      </c>
      <c r="S3019">
        <v>3.629</v>
      </c>
      <c r="T3019">
        <v>0.26419999999999999</v>
      </c>
      <c r="U3019">
        <f t="shared" si="255"/>
        <v>0</v>
      </c>
      <c r="V3019" t="str">
        <f t="shared" si="252"/>
        <v>Middle Counselor</v>
      </c>
      <c r="W3019" t="str">
        <f t="shared" si="253"/>
        <v>Counselor</v>
      </c>
    </row>
    <row r="3020" spans="1:23" x14ac:dyDescent="0.25">
      <c r="A3020">
        <v>34111</v>
      </c>
      <c r="B3020" t="s">
        <v>1289</v>
      </c>
      <c r="C3020">
        <v>4.8</v>
      </c>
      <c r="D3020" t="s">
        <v>1264</v>
      </c>
      <c r="E3020">
        <v>100182</v>
      </c>
      <c r="F3020">
        <v>34111</v>
      </c>
      <c r="G3020" t="str">
        <f t="shared" si="251"/>
        <v>34111</v>
      </c>
      <c r="H3020" t="s">
        <v>551</v>
      </c>
      <c r="I3020" t="s">
        <v>1265</v>
      </c>
      <c r="J3020" t="s">
        <v>1276</v>
      </c>
      <c r="K3020" t="s">
        <v>1277</v>
      </c>
      <c r="L3020" t="s">
        <v>1289</v>
      </c>
      <c r="M3020" t="s">
        <v>1307</v>
      </c>
      <c r="N3020">
        <v>21</v>
      </c>
      <c r="O3020" t="str">
        <f t="shared" si="254"/>
        <v>43</v>
      </c>
      <c r="P3020">
        <v>43</v>
      </c>
      <c r="R3020" t="s">
        <v>1269</v>
      </c>
      <c r="S3020">
        <v>4.8</v>
      </c>
      <c r="T3020">
        <v>0.26419999999999999</v>
      </c>
      <c r="U3020">
        <f t="shared" si="255"/>
        <v>1.268</v>
      </c>
      <c r="V3020" t="str">
        <f t="shared" si="252"/>
        <v>Elementary Occupational Therapist</v>
      </c>
      <c r="W3020" t="str">
        <f t="shared" si="253"/>
        <v>Occupational Therapist</v>
      </c>
    </row>
    <row r="3021" spans="1:23" x14ac:dyDescent="0.25">
      <c r="A3021">
        <v>34111</v>
      </c>
      <c r="B3021" t="s">
        <v>1387</v>
      </c>
      <c r="C3021">
        <v>0.6</v>
      </c>
      <c r="D3021" t="s">
        <v>1264</v>
      </c>
      <c r="E3021">
        <v>100182</v>
      </c>
      <c r="F3021">
        <v>34111</v>
      </c>
      <c r="G3021" t="str">
        <f t="shared" si="251"/>
        <v>34111</v>
      </c>
      <c r="H3021" t="s">
        <v>551</v>
      </c>
      <c r="I3021" t="s">
        <v>1265</v>
      </c>
      <c r="J3021" t="s">
        <v>1271</v>
      </c>
      <c r="K3021" t="s">
        <v>1272</v>
      </c>
      <c r="L3021" t="s">
        <v>1387</v>
      </c>
      <c r="M3021" t="s">
        <v>1406</v>
      </c>
      <c r="N3021">
        <v>21</v>
      </c>
      <c r="O3021" t="str">
        <f t="shared" si="254"/>
        <v>43</v>
      </c>
      <c r="P3021">
        <v>43</v>
      </c>
      <c r="R3021" t="s">
        <v>1269</v>
      </c>
      <c r="S3021">
        <v>0.6</v>
      </c>
      <c r="T3021">
        <v>0.26419999999999999</v>
      </c>
      <c r="U3021">
        <f t="shared" si="255"/>
        <v>0.159</v>
      </c>
      <c r="V3021" t="str">
        <f t="shared" si="252"/>
        <v>High Occupational Therapist</v>
      </c>
      <c r="W3021" t="str">
        <f t="shared" si="253"/>
        <v>Occupational Therapist</v>
      </c>
    </row>
    <row r="3022" spans="1:23" x14ac:dyDescent="0.25">
      <c r="A3022">
        <v>34111</v>
      </c>
      <c r="B3022" t="s">
        <v>1303</v>
      </c>
      <c r="C3022">
        <v>0.4</v>
      </c>
      <c r="D3022" t="s">
        <v>1264</v>
      </c>
      <c r="E3022">
        <v>100182</v>
      </c>
      <c r="F3022">
        <v>34111</v>
      </c>
      <c r="G3022" t="str">
        <f t="shared" si="251"/>
        <v>34111</v>
      </c>
      <c r="H3022" t="s">
        <v>551</v>
      </c>
      <c r="I3022" t="s">
        <v>1265</v>
      </c>
      <c r="J3022" t="s">
        <v>1266</v>
      </c>
      <c r="K3022" t="s">
        <v>1267</v>
      </c>
      <c r="L3022" t="s">
        <v>1303</v>
      </c>
      <c r="M3022" t="s">
        <v>1304</v>
      </c>
      <c r="N3022">
        <v>21</v>
      </c>
      <c r="O3022" t="str">
        <f t="shared" si="254"/>
        <v>43</v>
      </c>
      <c r="P3022">
        <v>43</v>
      </c>
      <c r="R3022" t="s">
        <v>1269</v>
      </c>
      <c r="S3022">
        <v>0.4</v>
      </c>
      <c r="T3022">
        <v>0.26419999999999999</v>
      </c>
      <c r="U3022">
        <f t="shared" si="255"/>
        <v>0.106</v>
      </c>
      <c r="V3022" t="str">
        <f t="shared" si="252"/>
        <v>Middle Occupational Therapist</v>
      </c>
      <c r="W3022" t="str">
        <f t="shared" si="253"/>
        <v>Occupational Therapist</v>
      </c>
    </row>
    <row r="3023" spans="1:23" x14ac:dyDescent="0.25">
      <c r="A3023">
        <v>34111</v>
      </c>
      <c r="B3023" t="s">
        <v>1331</v>
      </c>
      <c r="C3023">
        <v>7.8</v>
      </c>
      <c r="D3023" t="s">
        <v>1264</v>
      </c>
      <c r="E3023">
        <v>100182</v>
      </c>
      <c r="F3023">
        <v>34111</v>
      </c>
      <c r="G3023" t="str">
        <f t="shared" si="251"/>
        <v>34111</v>
      </c>
      <c r="H3023" t="s">
        <v>551</v>
      </c>
      <c r="I3023" t="s">
        <v>1265</v>
      </c>
      <c r="J3023" t="s">
        <v>1276</v>
      </c>
      <c r="K3023" t="s">
        <v>1277</v>
      </c>
      <c r="L3023" t="s">
        <v>1331</v>
      </c>
      <c r="M3023" t="s">
        <v>1405</v>
      </c>
      <c r="N3023">
        <v>1</v>
      </c>
      <c r="O3023" t="str">
        <f t="shared" si="254"/>
        <v>44</v>
      </c>
      <c r="P3023">
        <v>44</v>
      </c>
      <c r="R3023" t="s">
        <v>1269</v>
      </c>
      <c r="S3023">
        <v>7.8</v>
      </c>
      <c r="T3023">
        <v>0.26419999999999999</v>
      </c>
      <c r="U3023">
        <f t="shared" si="255"/>
        <v>0</v>
      </c>
      <c r="V3023" t="str">
        <f t="shared" si="252"/>
        <v>Elementary Social Worker</v>
      </c>
      <c r="W3023" t="str">
        <f t="shared" si="253"/>
        <v>Social Worker</v>
      </c>
    </row>
    <row r="3024" spans="1:23" x14ac:dyDescent="0.25">
      <c r="A3024">
        <v>34111</v>
      </c>
      <c r="B3024" t="s">
        <v>1359</v>
      </c>
      <c r="C3024">
        <v>2.4</v>
      </c>
      <c r="D3024" t="s">
        <v>1264</v>
      </c>
      <c r="E3024">
        <v>100182</v>
      </c>
      <c r="F3024">
        <v>34111</v>
      </c>
      <c r="G3024" t="str">
        <f t="shared" si="251"/>
        <v>34111</v>
      </c>
      <c r="H3024" t="s">
        <v>551</v>
      </c>
      <c r="I3024" t="s">
        <v>1265</v>
      </c>
      <c r="J3024" t="s">
        <v>1271</v>
      </c>
      <c r="K3024" t="s">
        <v>1272</v>
      </c>
      <c r="L3024" t="s">
        <v>1359</v>
      </c>
      <c r="M3024" t="s">
        <v>1360</v>
      </c>
      <c r="N3024">
        <v>1</v>
      </c>
      <c r="O3024" t="str">
        <f t="shared" si="254"/>
        <v>44</v>
      </c>
      <c r="P3024">
        <v>44</v>
      </c>
      <c r="R3024" t="s">
        <v>1269</v>
      </c>
      <c r="S3024">
        <v>2.4</v>
      </c>
      <c r="T3024">
        <v>0.26419999999999999</v>
      </c>
      <c r="U3024">
        <f t="shared" si="255"/>
        <v>0</v>
      </c>
      <c r="V3024" t="str">
        <f t="shared" si="252"/>
        <v>High Social Worker</v>
      </c>
      <c r="W3024" t="str">
        <f t="shared" si="253"/>
        <v>Social Worker</v>
      </c>
    </row>
    <row r="3025" spans="1:23" x14ac:dyDescent="0.25">
      <c r="A3025">
        <v>34111</v>
      </c>
      <c r="B3025" t="s">
        <v>1356</v>
      </c>
      <c r="C3025">
        <v>1.4</v>
      </c>
      <c r="D3025" t="s">
        <v>1264</v>
      </c>
      <c r="E3025">
        <v>100182</v>
      </c>
      <c r="F3025">
        <v>34111</v>
      </c>
      <c r="G3025" t="str">
        <f t="shared" si="251"/>
        <v>34111</v>
      </c>
      <c r="H3025" t="s">
        <v>551</v>
      </c>
      <c r="I3025" t="s">
        <v>1265</v>
      </c>
      <c r="J3025" t="s">
        <v>1266</v>
      </c>
      <c r="K3025" t="s">
        <v>1267</v>
      </c>
      <c r="L3025" t="s">
        <v>1356</v>
      </c>
      <c r="M3025" t="s">
        <v>1357</v>
      </c>
      <c r="N3025">
        <v>1</v>
      </c>
      <c r="O3025" t="str">
        <f t="shared" si="254"/>
        <v>44</v>
      </c>
      <c r="P3025">
        <v>44</v>
      </c>
      <c r="R3025" t="s">
        <v>1269</v>
      </c>
      <c r="S3025">
        <v>1.4</v>
      </c>
      <c r="T3025">
        <v>0.26419999999999999</v>
      </c>
      <c r="U3025">
        <f t="shared" si="255"/>
        <v>0</v>
      </c>
      <c r="V3025" t="str">
        <f t="shared" si="252"/>
        <v>Middle Social Worker</v>
      </c>
      <c r="W3025" t="str">
        <f t="shared" si="253"/>
        <v>Social Worker</v>
      </c>
    </row>
    <row r="3026" spans="1:23" x14ac:dyDescent="0.25">
      <c r="A3026">
        <v>34111</v>
      </c>
      <c r="B3026" t="s">
        <v>1294</v>
      </c>
      <c r="C3026">
        <v>11.978</v>
      </c>
      <c r="D3026" t="s">
        <v>1264</v>
      </c>
      <c r="E3026">
        <v>100182</v>
      </c>
      <c r="F3026">
        <v>34111</v>
      </c>
      <c r="G3026" t="str">
        <f t="shared" si="251"/>
        <v>34111</v>
      </c>
      <c r="H3026" t="s">
        <v>551</v>
      </c>
      <c r="I3026" t="s">
        <v>1265</v>
      </c>
      <c r="J3026" t="s">
        <v>1276</v>
      </c>
      <c r="K3026" t="s">
        <v>1277</v>
      </c>
      <c r="L3026" t="s">
        <v>1294</v>
      </c>
      <c r="M3026" t="s">
        <v>1354</v>
      </c>
      <c r="N3026">
        <v>21</v>
      </c>
      <c r="O3026" t="str">
        <f t="shared" si="254"/>
        <v>45</v>
      </c>
      <c r="P3026">
        <v>45</v>
      </c>
      <c r="R3026" t="s">
        <v>1269</v>
      </c>
      <c r="S3026">
        <v>11.978</v>
      </c>
      <c r="T3026">
        <v>0.26419999999999999</v>
      </c>
      <c r="U3026">
        <f t="shared" si="255"/>
        <v>3.165</v>
      </c>
      <c r="V3026" t="str">
        <f t="shared" si="252"/>
        <v>Elementary Speech, Language Pathway/
Audio</v>
      </c>
      <c r="W3026" t="str">
        <f t="shared" si="253"/>
        <v>Speech, Language Pathway/
Audio</v>
      </c>
    </row>
    <row r="3027" spans="1:23" x14ac:dyDescent="0.25">
      <c r="A3027">
        <v>34111</v>
      </c>
      <c r="B3027" t="s">
        <v>1326</v>
      </c>
      <c r="C3027">
        <v>2.8</v>
      </c>
      <c r="D3027" t="s">
        <v>1264</v>
      </c>
      <c r="E3027">
        <v>100182</v>
      </c>
      <c r="F3027">
        <v>34111</v>
      </c>
      <c r="G3027" t="str">
        <f t="shared" si="251"/>
        <v>34111</v>
      </c>
      <c r="H3027" t="s">
        <v>551</v>
      </c>
      <c r="I3027" t="s">
        <v>1265</v>
      </c>
      <c r="J3027" t="s">
        <v>1271</v>
      </c>
      <c r="K3027" t="s">
        <v>1272</v>
      </c>
      <c r="L3027" t="s">
        <v>1326</v>
      </c>
      <c r="M3027" t="s">
        <v>1353</v>
      </c>
      <c r="N3027">
        <v>21</v>
      </c>
      <c r="O3027" t="str">
        <f t="shared" si="254"/>
        <v>45</v>
      </c>
      <c r="P3027">
        <v>45</v>
      </c>
      <c r="R3027" t="s">
        <v>1269</v>
      </c>
      <c r="S3027">
        <v>2.8</v>
      </c>
      <c r="T3027">
        <v>0.26419999999999999</v>
      </c>
      <c r="U3027">
        <f t="shared" si="255"/>
        <v>0.74</v>
      </c>
      <c r="V3027" t="str">
        <f t="shared" si="252"/>
        <v>High Speech, Language Pathway/
Audio</v>
      </c>
      <c r="W3027" t="str">
        <f t="shared" si="253"/>
        <v>Speech, Language Pathway/
Audio</v>
      </c>
    </row>
    <row r="3028" spans="1:23" x14ac:dyDescent="0.25">
      <c r="A3028">
        <v>34111</v>
      </c>
      <c r="B3028" t="s">
        <v>1312</v>
      </c>
      <c r="C3028">
        <v>1.6</v>
      </c>
      <c r="D3028" t="s">
        <v>1264</v>
      </c>
      <c r="E3028">
        <v>100182</v>
      </c>
      <c r="F3028">
        <v>34111</v>
      </c>
      <c r="G3028" t="str">
        <f t="shared" si="251"/>
        <v>34111</v>
      </c>
      <c r="H3028" t="s">
        <v>551</v>
      </c>
      <c r="I3028" t="s">
        <v>1265</v>
      </c>
      <c r="J3028" t="s">
        <v>1266</v>
      </c>
      <c r="K3028" t="s">
        <v>1267</v>
      </c>
      <c r="L3028" t="s">
        <v>1312</v>
      </c>
      <c r="M3028" t="s">
        <v>1351</v>
      </c>
      <c r="N3028">
        <v>21</v>
      </c>
      <c r="O3028" t="str">
        <f t="shared" si="254"/>
        <v>45</v>
      </c>
      <c r="P3028">
        <v>45</v>
      </c>
      <c r="R3028" t="s">
        <v>1269</v>
      </c>
      <c r="S3028">
        <v>1.6</v>
      </c>
      <c r="T3028">
        <v>0.26419999999999999</v>
      </c>
      <c r="U3028">
        <f t="shared" si="255"/>
        <v>0.42299999999999999</v>
      </c>
      <c r="V3028" t="str">
        <f t="shared" si="252"/>
        <v>Middle Speech, Language Pathway/
Audio</v>
      </c>
      <c r="W3028" t="str">
        <f t="shared" si="253"/>
        <v>Speech, Language Pathway/
Audio</v>
      </c>
    </row>
    <row r="3029" spans="1:23" x14ac:dyDescent="0.25">
      <c r="A3029">
        <v>34111</v>
      </c>
      <c r="B3029" t="s">
        <v>1298</v>
      </c>
      <c r="C3029">
        <v>5.2670000000000003</v>
      </c>
      <c r="D3029" t="s">
        <v>1264</v>
      </c>
      <c r="E3029">
        <v>100182</v>
      </c>
      <c r="F3029">
        <v>34111</v>
      </c>
      <c r="G3029" t="str">
        <f t="shared" si="251"/>
        <v>34111</v>
      </c>
      <c r="H3029" t="s">
        <v>551</v>
      </c>
      <c r="I3029" t="s">
        <v>1265</v>
      </c>
      <c r="J3029" t="s">
        <v>1276</v>
      </c>
      <c r="K3029" t="s">
        <v>1277</v>
      </c>
      <c r="L3029" t="s">
        <v>1298</v>
      </c>
      <c r="M3029" t="s">
        <v>1349</v>
      </c>
      <c r="N3029">
        <v>21</v>
      </c>
      <c r="O3029" t="str">
        <f t="shared" si="254"/>
        <v>46</v>
      </c>
      <c r="P3029">
        <v>46</v>
      </c>
      <c r="R3029" t="s">
        <v>1269</v>
      </c>
      <c r="S3029">
        <v>5.2670000000000003</v>
      </c>
      <c r="T3029">
        <v>0.26419999999999999</v>
      </c>
      <c r="U3029">
        <f t="shared" si="255"/>
        <v>1.3919999999999999</v>
      </c>
      <c r="V3029" t="str">
        <f t="shared" si="252"/>
        <v>Elementary Psychologist</v>
      </c>
      <c r="W3029" t="str">
        <f t="shared" si="253"/>
        <v>Psychologist</v>
      </c>
    </row>
    <row r="3030" spans="1:23" x14ac:dyDescent="0.25">
      <c r="A3030">
        <v>34111</v>
      </c>
      <c r="B3030" t="s">
        <v>1333</v>
      </c>
      <c r="C3030">
        <v>0.1</v>
      </c>
      <c r="D3030" t="s">
        <v>1264</v>
      </c>
      <c r="E3030">
        <v>100182</v>
      </c>
      <c r="F3030">
        <v>34111</v>
      </c>
      <c r="G3030" t="str">
        <f t="shared" si="251"/>
        <v>34111</v>
      </c>
      <c r="H3030" t="s">
        <v>551</v>
      </c>
      <c r="I3030" t="s">
        <v>1265</v>
      </c>
      <c r="J3030" t="s">
        <v>1276</v>
      </c>
      <c r="K3030" t="s">
        <v>1277</v>
      </c>
      <c r="L3030" t="s">
        <v>1333</v>
      </c>
      <c r="M3030" t="s">
        <v>1432</v>
      </c>
      <c r="N3030">
        <v>1</v>
      </c>
      <c r="O3030" t="str">
        <f t="shared" si="254"/>
        <v>46</v>
      </c>
      <c r="P3030">
        <v>46</v>
      </c>
      <c r="R3030" t="s">
        <v>1269</v>
      </c>
      <c r="S3030">
        <v>0.1</v>
      </c>
      <c r="T3030">
        <v>0.26419999999999999</v>
      </c>
      <c r="U3030">
        <f t="shared" si="255"/>
        <v>0</v>
      </c>
      <c r="V3030" t="str">
        <f t="shared" si="252"/>
        <v>Elementary Psychologist</v>
      </c>
      <c r="W3030" t="str">
        <f t="shared" si="253"/>
        <v>Psychologist</v>
      </c>
    </row>
    <row r="3031" spans="1:23" x14ac:dyDescent="0.25">
      <c r="A3031">
        <v>34111</v>
      </c>
      <c r="B3031" t="s">
        <v>1309</v>
      </c>
      <c r="C3031">
        <v>3.2</v>
      </c>
      <c r="D3031" t="s">
        <v>1264</v>
      </c>
      <c r="E3031">
        <v>100182</v>
      </c>
      <c r="F3031">
        <v>34111</v>
      </c>
      <c r="G3031" t="str">
        <f t="shared" si="251"/>
        <v>34111</v>
      </c>
      <c r="H3031" t="s">
        <v>551</v>
      </c>
      <c r="I3031" t="s">
        <v>1265</v>
      </c>
      <c r="J3031" t="s">
        <v>1271</v>
      </c>
      <c r="K3031" t="s">
        <v>1272</v>
      </c>
      <c r="L3031" t="s">
        <v>1309</v>
      </c>
      <c r="M3031" t="s">
        <v>1310</v>
      </c>
      <c r="N3031">
        <v>21</v>
      </c>
      <c r="O3031" t="str">
        <f t="shared" si="254"/>
        <v>46</v>
      </c>
      <c r="P3031">
        <v>46</v>
      </c>
      <c r="R3031" t="s">
        <v>1269</v>
      </c>
      <c r="S3031">
        <v>3.2</v>
      </c>
      <c r="T3031">
        <v>0.26419999999999999</v>
      </c>
      <c r="U3031">
        <f t="shared" si="255"/>
        <v>0.84499999999999997</v>
      </c>
      <c r="V3031" t="str">
        <f t="shared" si="252"/>
        <v>High Psychologist</v>
      </c>
      <c r="W3031" t="str">
        <f t="shared" si="253"/>
        <v>Psychologist</v>
      </c>
    </row>
    <row r="3032" spans="1:23" x14ac:dyDescent="0.25">
      <c r="A3032">
        <v>34111</v>
      </c>
      <c r="B3032" t="s">
        <v>1345</v>
      </c>
      <c r="C3032">
        <v>0.93300000000000005</v>
      </c>
      <c r="D3032" t="s">
        <v>1264</v>
      </c>
      <c r="E3032">
        <v>100182</v>
      </c>
      <c r="F3032">
        <v>34111</v>
      </c>
      <c r="G3032" t="str">
        <f t="shared" si="251"/>
        <v>34111</v>
      </c>
      <c r="H3032" t="s">
        <v>551</v>
      </c>
      <c r="I3032" t="s">
        <v>1265</v>
      </c>
      <c r="J3032" t="s">
        <v>1266</v>
      </c>
      <c r="K3032" t="s">
        <v>1267</v>
      </c>
      <c r="L3032" t="s">
        <v>1345</v>
      </c>
      <c r="M3032" t="s">
        <v>1346</v>
      </c>
      <c r="N3032">
        <v>21</v>
      </c>
      <c r="O3032" t="str">
        <f t="shared" si="254"/>
        <v>46</v>
      </c>
      <c r="P3032">
        <v>46</v>
      </c>
      <c r="R3032" t="s">
        <v>1269</v>
      </c>
      <c r="S3032">
        <v>0.93300000000000005</v>
      </c>
      <c r="T3032">
        <v>0.26419999999999999</v>
      </c>
      <c r="U3032">
        <f t="shared" si="255"/>
        <v>0.246</v>
      </c>
      <c r="V3032" t="str">
        <f t="shared" si="252"/>
        <v>Middle Psychologist</v>
      </c>
      <c r="W3032" t="str">
        <f t="shared" si="253"/>
        <v>Psychologist</v>
      </c>
    </row>
    <row r="3033" spans="1:23" x14ac:dyDescent="0.25">
      <c r="A3033">
        <v>34111</v>
      </c>
      <c r="B3033" t="s">
        <v>1335</v>
      </c>
      <c r="C3033">
        <v>3.3679999999999999</v>
      </c>
      <c r="D3033" t="s">
        <v>1264</v>
      </c>
      <c r="E3033">
        <v>100182</v>
      </c>
      <c r="F3033">
        <v>34111</v>
      </c>
      <c r="G3033" t="str">
        <f t="shared" si="251"/>
        <v>34111</v>
      </c>
      <c r="H3033" t="s">
        <v>551</v>
      </c>
      <c r="I3033" t="s">
        <v>1265</v>
      </c>
      <c r="J3033" t="s">
        <v>1276</v>
      </c>
      <c r="K3033" t="s">
        <v>1277</v>
      </c>
      <c r="L3033" t="s">
        <v>1335</v>
      </c>
      <c r="M3033" t="s">
        <v>1344</v>
      </c>
      <c r="N3033">
        <v>1</v>
      </c>
      <c r="O3033" t="str">
        <f t="shared" si="254"/>
        <v>47</v>
      </c>
      <c r="P3033">
        <v>47</v>
      </c>
      <c r="R3033" t="s">
        <v>1269</v>
      </c>
      <c r="S3033">
        <v>3.3679999999999999</v>
      </c>
      <c r="T3033">
        <v>0.26419999999999999</v>
      </c>
      <c r="U3033">
        <f t="shared" si="255"/>
        <v>0</v>
      </c>
      <c r="V3033" t="str">
        <f t="shared" si="252"/>
        <v>Elementary Nurse</v>
      </c>
      <c r="W3033" t="str">
        <f t="shared" si="253"/>
        <v>Nurse</v>
      </c>
    </row>
    <row r="3034" spans="1:23" x14ac:dyDescent="0.25">
      <c r="A3034">
        <v>34111</v>
      </c>
      <c r="B3034" t="s">
        <v>1341</v>
      </c>
      <c r="C3034">
        <v>1.9</v>
      </c>
      <c r="D3034" t="s">
        <v>1264</v>
      </c>
      <c r="E3034">
        <v>100182</v>
      </c>
      <c r="F3034">
        <v>34111</v>
      </c>
      <c r="G3034" t="str">
        <f t="shared" si="251"/>
        <v>34111</v>
      </c>
      <c r="H3034" t="s">
        <v>551</v>
      </c>
      <c r="I3034" t="s">
        <v>1265</v>
      </c>
      <c r="J3034" t="s">
        <v>1271</v>
      </c>
      <c r="K3034" t="s">
        <v>1272</v>
      </c>
      <c r="L3034" t="s">
        <v>1341</v>
      </c>
      <c r="M3034" t="s">
        <v>1342</v>
      </c>
      <c r="N3034">
        <v>1</v>
      </c>
      <c r="O3034" t="str">
        <f t="shared" si="254"/>
        <v>47</v>
      </c>
      <c r="P3034">
        <v>47</v>
      </c>
      <c r="R3034" t="s">
        <v>1269</v>
      </c>
      <c r="S3034">
        <v>1.9</v>
      </c>
      <c r="T3034">
        <v>0.26419999999999999</v>
      </c>
      <c r="U3034">
        <f t="shared" si="255"/>
        <v>0</v>
      </c>
      <c r="V3034" t="str">
        <f t="shared" si="252"/>
        <v>High Nurse</v>
      </c>
      <c r="W3034" t="str">
        <f t="shared" si="253"/>
        <v>Nurse</v>
      </c>
    </row>
    <row r="3035" spans="1:23" x14ac:dyDescent="0.25">
      <c r="A3035">
        <v>34111</v>
      </c>
      <c r="B3035" t="s">
        <v>1338</v>
      </c>
      <c r="C3035">
        <v>0.93300000000000005</v>
      </c>
      <c r="D3035" t="s">
        <v>1264</v>
      </c>
      <c r="E3035">
        <v>100182</v>
      </c>
      <c r="F3035">
        <v>34111</v>
      </c>
      <c r="G3035" t="str">
        <f t="shared" si="251"/>
        <v>34111</v>
      </c>
      <c r="H3035" t="s">
        <v>551</v>
      </c>
      <c r="I3035" t="s">
        <v>1265</v>
      </c>
      <c r="J3035" t="s">
        <v>1266</v>
      </c>
      <c r="K3035" t="s">
        <v>1267</v>
      </c>
      <c r="L3035" t="s">
        <v>1338</v>
      </c>
      <c r="M3035" t="s">
        <v>1339</v>
      </c>
      <c r="N3035">
        <v>1</v>
      </c>
      <c r="O3035" t="str">
        <f t="shared" si="254"/>
        <v>47</v>
      </c>
      <c r="P3035">
        <v>47</v>
      </c>
      <c r="R3035" t="s">
        <v>1269</v>
      </c>
      <c r="S3035">
        <v>0.93300000000000005</v>
      </c>
      <c r="T3035">
        <v>0.26419999999999999</v>
      </c>
      <c r="U3035">
        <f t="shared" si="255"/>
        <v>0</v>
      </c>
      <c r="V3035" t="str">
        <f t="shared" si="252"/>
        <v>Middle Nurse</v>
      </c>
      <c r="W3035" t="str">
        <f t="shared" si="253"/>
        <v>Nurse</v>
      </c>
    </row>
    <row r="3036" spans="1:23" x14ac:dyDescent="0.25">
      <c r="A3036">
        <v>34111</v>
      </c>
      <c r="B3036" t="s">
        <v>1302</v>
      </c>
      <c r="C3036">
        <v>2.2999999999999998</v>
      </c>
      <c r="D3036" t="s">
        <v>1264</v>
      </c>
      <c r="E3036">
        <v>100182</v>
      </c>
      <c r="F3036">
        <v>34111</v>
      </c>
      <c r="G3036" t="str">
        <f t="shared" si="251"/>
        <v>34111</v>
      </c>
      <c r="H3036" t="s">
        <v>551</v>
      </c>
      <c r="I3036" t="s">
        <v>1265</v>
      </c>
      <c r="J3036" t="s">
        <v>1276</v>
      </c>
      <c r="K3036" t="s">
        <v>1277</v>
      </c>
      <c r="L3036" t="s">
        <v>1302</v>
      </c>
      <c r="M3036" t="s">
        <v>1336</v>
      </c>
      <c r="N3036">
        <v>21</v>
      </c>
      <c r="O3036" t="str">
        <f t="shared" si="254"/>
        <v>48</v>
      </c>
      <c r="P3036">
        <v>48</v>
      </c>
      <c r="R3036" t="s">
        <v>1269</v>
      </c>
      <c r="S3036">
        <v>2.2999999999999998</v>
      </c>
      <c r="T3036">
        <v>0.26419999999999999</v>
      </c>
      <c r="U3036">
        <f t="shared" si="255"/>
        <v>0.60799999999999998</v>
      </c>
      <c r="V3036" t="str">
        <f t="shared" si="252"/>
        <v>Elementary Physical Therapist</v>
      </c>
      <c r="W3036" t="str">
        <f t="shared" si="253"/>
        <v>Physical Therapist</v>
      </c>
    </row>
    <row r="3037" spans="1:23" x14ac:dyDescent="0.25">
      <c r="A3037">
        <v>34111</v>
      </c>
      <c r="B3037" t="s">
        <v>1330</v>
      </c>
      <c r="C3037">
        <v>0.2</v>
      </c>
      <c r="D3037" t="s">
        <v>1264</v>
      </c>
      <c r="E3037">
        <v>100182</v>
      </c>
      <c r="F3037">
        <v>34111</v>
      </c>
      <c r="G3037" t="str">
        <f t="shared" si="251"/>
        <v>34111</v>
      </c>
      <c r="H3037" t="s">
        <v>551</v>
      </c>
      <c r="I3037" t="s">
        <v>1265</v>
      </c>
      <c r="J3037" t="s">
        <v>1271</v>
      </c>
      <c r="K3037" t="s">
        <v>1272</v>
      </c>
      <c r="L3037" t="s">
        <v>1330</v>
      </c>
      <c r="M3037" t="s">
        <v>1367</v>
      </c>
      <c r="N3037">
        <v>21</v>
      </c>
      <c r="O3037" t="str">
        <f t="shared" si="254"/>
        <v>48</v>
      </c>
      <c r="P3037">
        <v>48</v>
      </c>
      <c r="R3037" t="s">
        <v>1269</v>
      </c>
      <c r="S3037">
        <v>0.2</v>
      </c>
      <c r="T3037">
        <v>0.26419999999999999</v>
      </c>
      <c r="U3037">
        <f t="shared" si="255"/>
        <v>5.2999999999999999E-2</v>
      </c>
      <c r="V3037" t="str">
        <f t="shared" si="252"/>
        <v>High Physical Therapist</v>
      </c>
      <c r="W3037" t="str">
        <f t="shared" si="253"/>
        <v>Physical Therapist</v>
      </c>
    </row>
    <row r="3038" spans="1:23" x14ac:dyDescent="0.25">
      <c r="A3038">
        <v>34111</v>
      </c>
      <c r="B3038" t="s">
        <v>1316</v>
      </c>
      <c r="C3038">
        <v>0.1</v>
      </c>
      <c r="D3038" t="s">
        <v>1264</v>
      </c>
      <c r="E3038">
        <v>100182</v>
      </c>
      <c r="F3038">
        <v>34111</v>
      </c>
      <c r="G3038" t="str">
        <f t="shared" si="251"/>
        <v>34111</v>
      </c>
      <c r="H3038" t="s">
        <v>551</v>
      </c>
      <c r="I3038" t="s">
        <v>1265</v>
      </c>
      <c r="J3038" t="s">
        <v>1266</v>
      </c>
      <c r="K3038" t="s">
        <v>1267</v>
      </c>
      <c r="L3038" t="s">
        <v>1316</v>
      </c>
      <c r="M3038" t="s">
        <v>1366</v>
      </c>
      <c r="N3038">
        <v>21</v>
      </c>
      <c r="O3038" t="str">
        <f t="shared" si="254"/>
        <v>48</v>
      </c>
      <c r="P3038">
        <v>48</v>
      </c>
      <c r="R3038" t="s">
        <v>1269</v>
      </c>
      <c r="S3038">
        <v>0.1</v>
      </c>
      <c r="T3038">
        <v>0.26419999999999999</v>
      </c>
      <c r="U3038">
        <f t="shared" si="255"/>
        <v>2.5999999999999999E-2</v>
      </c>
      <c r="V3038" t="str">
        <f t="shared" si="252"/>
        <v>Middle Physical Therapist</v>
      </c>
      <c r="W3038" t="str">
        <f t="shared" si="253"/>
        <v>Physical Therapist</v>
      </c>
    </row>
    <row r="3039" spans="1:23" x14ac:dyDescent="0.25">
      <c r="A3039">
        <v>34307</v>
      </c>
      <c r="B3039" t="s">
        <v>1308</v>
      </c>
      <c r="C3039">
        <v>1.1020000000000001</v>
      </c>
      <c r="D3039" t="s">
        <v>1264</v>
      </c>
      <c r="E3039">
        <v>100213</v>
      </c>
      <c r="F3039">
        <v>34307</v>
      </c>
      <c r="G3039" t="str">
        <f t="shared" si="251"/>
        <v>34307</v>
      </c>
      <c r="H3039" t="s">
        <v>552</v>
      </c>
      <c r="I3039" t="s">
        <v>1265</v>
      </c>
      <c r="J3039" t="s">
        <v>1276</v>
      </c>
      <c r="K3039" t="s">
        <v>1277</v>
      </c>
      <c r="L3039" t="s">
        <v>1308</v>
      </c>
      <c r="M3039" t="s">
        <v>1389</v>
      </c>
      <c r="N3039">
        <v>1</v>
      </c>
      <c r="O3039" t="str">
        <f t="shared" si="254"/>
        <v>25</v>
      </c>
      <c r="Q3039">
        <v>25</v>
      </c>
      <c r="R3039" t="s">
        <v>1269</v>
      </c>
      <c r="S3039">
        <v>1.1020000000000001</v>
      </c>
      <c r="T3039">
        <v>0.23139999999999999</v>
      </c>
      <c r="U3039">
        <f t="shared" si="255"/>
        <v>0</v>
      </c>
      <c r="V3039" t="str">
        <f t="shared" si="252"/>
        <v>Elementary Pupil Management</v>
      </c>
      <c r="W3039" t="str">
        <f t="shared" si="253"/>
        <v>Pupil Management</v>
      </c>
    </row>
    <row r="3040" spans="1:23" x14ac:dyDescent="0.25">
      <c r="A3040">
        <v>34307</v>
      </c>
      <c r="B3040" t="s">
        <v>1299</v>
      </c>
      <c r="C3040">
        <v>4.4999999999999998E-2</v>
      </c>
      <c r="D3040" t="s">
        <v>1264</v>
      </c>
      <c r="E3040">
        <v>100213</v>
      </c>
      <c r="F3040">
        <v>34307</v>
      </c>
      <c r="G3040" t="str">
        <f t="shared" si="251"/>
        <v>34307</v>
      </c>
      <c r="H3040" t="s">
        <v>552</v>
      </c>
      <c r="I3040" t="s">
        <v>1265</v>
      </c>
      <c r="J3040" t="s">
        <v>1271</v>
      </c>
      <c r="K3040" t="s">
        <v>1272</v>
      </c>
      <c r="L3040" t="s">
        <v>1299</v>
      </c>
      <c r="M3040" t="s">
        <v>1300</v>
      </c>
      <c r="N3040">
        <v>1</v>
      </c>
      <c r="O3040" t="str">
        <f t="shared" si="254"/>
        <v>25</v>
      </c>
      <c r="Q3040">
        <v>25</v>
      </c>
      <c r="R3040" t="s">
        <v>1269</v>
      </c>
      <c r="S3040">
        <v>4.4999999999999998E-2</v>
      </c>
      <c r="T3040">
        <v>0.23139999999999999</v>
      </c>
      <c r="U3040">
        <f t="shared" si="255"/>
        <v>0</v>
      </c>
      <c r="V3040" t="str">
        <f t="shared" si="252"/>
        <v>High Pupil Management</v>
      </c>
      <c r="W3040" t="str">
        <f t="shared" si="253"/>
        <v>Pupil Management</v>
      </c>
    </row>
    <row r="3041" spans="1:23" x14ac:dyDescent="0.25">
      <c r="A3041">
        <v>34307</v>
      </c>
      <c r="B3041" t="s">
        <v>1363</v>
      </c>
      <c r="C3041">
        <v>0.13900000000000001</v>
      </c>
      <c r="D3041" t="s">
        <v>1264</v>
      </c>
      <c r="E3041">
        <v>100213</v>
      </c>
      <c r="F3041">
        <v>34307</v>
      </c>
      <c r="G3041" t="str">
        <f t="shared" si="251"/>
        <v>34307</v>
      </c>
      <c r="H3041" t="s">
        <v>552</v>
      </c>
      <c r="I3041" t="s">
        <v>1265</v>
      </c>
      <c r="J3041" t="s">
        <v>1266</v>
      </c>
      <c r="K3041" t="s">
        <v>1267</v>
      </c>
      <c r="L3041" t="s">
        <v>1363</v>
      </c>
      <c r="M3041" t="s">
        <v>1386</v>
      </c>
      <c r="N3041">
        <v>1</v>
      </c>
      <c r="O3041" t="str">
        <f t="shared" si="254"/>
        <v>25</v>
      </c>
      <c r="Q3041">
        <v>25</v>
      </c>
      <c r="R3041" t="s">
        <v>1269</v>
      </c>
      <c r="S3041">
        <v>0.13900000000000001</v>
      </c>
      <c r="T3041">
        <v>0.23139999999999999</v>
      </c>
      <c r="U3041">
        <f t="shared" si="255"/>
        <v>0</v>
      </c>
      <c r="V3041" t="str">
        <f t="shared" si="252"/>
        <v>Middle Pupil Management</v>
      </c>
      <c r="W3041" t="str">
        <f t="shared" si="253"/>
        <v>Pupil Management</v>
      </c>
    </row>
    <row r="3042" spans="1:23" x14ac:dyDescent="0.25">
      <c r="A3042">
        <v>34307</v>
      </c>
      <c r="B3042" t="s">
        <v>1311</v>
      </c>
      <c r="C3042">
        <v>0.92700000000000005</v>
      </c>
      <c r="D3042" t="s">
        <v>1264</v>
      </c>
      <c r="E3042">
        <v>100213</v>
      </c>
      <c r="F3042">
        <v>34307</v>
      </c>
      <c r="G3042" t="str">
        <f t="shared" si="251"/>
        <v>34307</v>
      </c>
      <c r="H3042" t="s">
        <v>552</v>
      </c>
      <c r="I3042" t="s">
        <v>1265</v>
      </c>
      <c r="J3042" t="s">
        <v>1276</v>
      </c>
      <c r="K3042" t="s">
        <v>1277</v>
      </c>
      <c r="L3042" t="s">
        <v>1311</v>
      </c>
      <c r="M3042" t="s">
        <v>1327</v>
      </c>
      <c r="N3042">
        <v>21</v>
      </c>
      <c r="O3042" t="str">
        <f t="shared" si="254"/>
        <v>26</v>
      </c>
      <c r="Q3042">
        <v>26</v>
      </c>
      <c r="R3042" t="s">
        <v>1269</v>
      </c>
      <c r="S3042">
        <v>0.92700000000000005</v>
      </c>
      <c r="T3042">
        <v>0.23139999999999999</v>
      </c>
      <c r="U3042">
        <f t="shared" si="255"/>
        <v>0.215</v>
      </c>
      <c r="V3042" t="str">
        <f t="shared" si="252"/>
        <v>Elementary Health/
Related Services</v>
      </c>
      <c r="W3042" t="str">
        <f t="shared" si="253"/>
        <v>Health/
Related Services</v>
      </c>
    </row>
    <row r="3043" spans="1:23" x14ac:dyDescent="0.25">
      <c r="A3043">
        <v>34307</v>
      </c>
      <c r="B3043" t="s">
        <v>1324</v>
      </c>
      <c r="C3043">
        <v>3.5999999999999997E-2</v>
      </c>
      <c r="D3043" t="s">
        <v>1264</v>
      </c>
      <c r="E3043">
        <v>100213</v>
      </c>
      <c r="F3043">
        <v>34307</v>
      </c>
      <c r="G3043" t="str">
        <f t="shared" si="251"/>
        <v>34307</v>
      </c>
      <c r="H3043" t="s">
        <v>552</v>
      </c>
      <c r="I3043" t="s">
        <v>1265</v>
      </c>
      <c r="J3043" t="s">
        <v>1271</v>
      </c>
      <c r="K3043" t="s">
        <v>1272</v>
      </c>
      <c r="L3043" t="s">
        <v>1324</v>
      </c>
      <c r="M3043" t="s">
        <v>1325</v>
      </c>
      <c r="N3043">
        <v>21</v>
      </c>
      <c r="O3043" t="str">
        <f t="shared" si="254"/>
        <v>26</v>
      </c>
      <c r="Q3043">
        <v>26</v>
      </c>
      <c r="R3043" t="s">
        <v>1269</v>
      </c>
      <c r="S3043">
        <v>3.5999999999999997E-2</v>
      </c>
      <c r="T3043">
        <v>0.23139999999999999</v>
      </c>
      <c r="U3043">
        <f t="shared" si="255"/>
        <v>8.0000000000000002E-3</v>
      </c>
      <c r="V3043" t="str">
        <f t="shared" si="252"/>
        <v>High Health/
Related Services</v>
      </c>
      <c r="W3043" t="str">
        <f t="shared" si="253"/>
        <v>Health/
Related Services</v>
      </c>
    </row>
    <row r="3044" spans="1:23" x14ac:dyDescent="0.25">
      <c r="A3044">
        <v>34307</v>
      </c>
      <c r="B3044" t="s">
        <v>1322</v>
      </c>
      <c r="C3044">
        <v>0.219</v>
      </c>
      <c r="D3044" t="s">
        <v>1264</v>
      </c>
      <c r="E3044">
        <v>100213</v>
      </c>
      <c r="F3044">
        <v>34307</v>
      </c>
      <c r="G3044" t="str">
        <f t="shared" si="251"/>
        <v>34307</v>
      </c>
      <c r="H3044" t="s">
        <v>552</v>
      </c>
      <c r="I3044" t="s">
        <v>1265</v>
      </c>
      <c r="J3044" t="s">
        <v>1266</v>
      </c>
      <c r="K3044" t="s">
        <v>1267</v>
      </c>
      <c r="L3044" t="s">
        <v>1322</v>
      </c>
      <c r="M3044" t="s">
        <v>1323</v>
      </c>
      <c r="N3044">
        <v>21</v>
      </c>
      <c r="O3044" t="str">
        <f t="shared" si="254"/>
        <v>26</v>
      </c>
      <c r="Q3044">
        <v>26</v>
      </c>
      <c r="R3044" t="s">
        <v>1269</v>
      </c>
      <c r="S3044">
        <v>0.219</v>
      </c>
      <c r="T3044">
        <v>0.23139999999999999</v>
      </c>
      <c r="U3044">
        <f t="shared" si="255"/>
        <v>5.0999999999999997E-2</v>
      </c>
      <c r="V3044" t="str">
        <f t="shared" si="252"/>
        <v>Middle Health/
Related Services</v>
      </c>
      <c r="W3044" t="str">
        <f t="shared" si="253"/>
        <v>Health/
Related Services</v>
      </c>
    </row>
    <row r="3045" spans="1:23" x14ac:dyDescent="0.25">
      <c r="A3045">
        <v>34307</v>
      </c>
      <c r="B3045" t="s">
        <v>1275</v>
      </c>
      <c r="C3045">
        <v>0.5</v>
      </c>
      <c r="D3045" t="s">
        <v>1264</v>
      </c>
      <c r="E3045">
        <v>100213</v>
      </c>
      <c r="F3045">
        <v>34307</v>
      </c>
      <c r="G3045" t="str">
        <f t="shared" si="251"/>
        <v>34307</v>
      </c>
      <c r="H3045" t="s">
        <v>552</v>
      </c>
      <c r="I3045" t="s">
        <v>1265</v>
      </c>
      <c r="J3045" t="s">
        <v>1276</v>
      </c>
      <c r="K3045" t="s">
        <v>1277</v>
      </c>
      <c r="L3045" t="s">
        <v>1275</v>
      </c>
      <c r="M3045" t="s">
        <v>1278</v>
      </c>
      <c r="N3045">
        <v>1</v>
      </c>
      <c r="O3045" t="str">
        <f t="shared" si="254"/>
        <v>42</v>
      </c>
      <c r="P3045">
        <v>42</v>
      </c>
      <c r="R3045" t="s">
        <v>1269</v>
      </c>
      <c r="S3045">
        <v>0.5</v>
      </c>
      <c r="T3045">
        <v>0.23139999999999999</v>
      </c>
      <c r="U3045">
        <f t="shared" si="255"/>
        <v>0</v>
      </c>
      <c r="V3045" t="str">
        <f t="shared" si="252"/>
        <v>Elementary Counselor</v>
      </c>
      <c r="W3045" t="str">
        <f t="shared" si="253"/>
        <v>Counselor</v>
      </c>
    </row>
    <row r="3046" spans="1:23" x14ac:dyDescent="0.25">
      <c r="A3046">
        <v>34307</v>
      </c>
      <c r="B3046" t="s">
        <v>1270</v>
      </c>
      <c r="C3046">
        <v>1</v>
      </c>
      <c r="D3046" t="s">
        <v>1264</v>
      </c>
      <c r="E3046">
        <v>100213</v>
      </c>
      <c r="F3046">
        <v>34307</v>
      </c>
      <c r="G3046" t="str">
        <f t="shared" si="251"/>
        <v>34307</v>
      </c>
      <c r="H3046" t="s">
        <v>552</v>
      </c>
      <c r="I3046" t="s">
        <v>1265</v>
      </c>
      <c r="J3046" t="s">
        <v>1271</v>
      </c>
      <c r="K3046" t="s">
        <v>1272</v>
      </c>
      <c r="L3046" t="s">
        <v>1270</v>
      </c>
      <c r="M3046" t="s">
        <v>1273</v>
      </c>
      <c r="N3046">
        <v>1</v>
      </c>
      <c r="O3046" t="str">
        <f t="shared" si="254"/>
        <v>42</v>
      </c>
      <c r="P3046">
        <v>42</v>
      </c>
      <c r="R3046" t="s">
        <v>1269</v>
      </c>
      <c r="S3046">
        <v>1</v>
      </c>
      <c r="T3046">
        <v>0.23139999999999999</v>
      </c>
      <c r="U3046">
        <f t="shared" si="255"/>
        <v>0</v>
      </c>
      <c r="V3046" t="str">
        <f t="shared" si="252"/>
        <v>High Counselor</v>
      </c>
      <c r="W3046" t="str">
        <f t="shared" si="253"/>
        <v>Counselor</v>
      </c>
    </row>
    <row r="3047" spans="1:23" x14ac:dyDescent="0.25">
      <c r="A3047">
        <v>34307</v>
      </c>
      <c r="B3047" t="s">
        <v>1263</v>
      </c>
      <c r="C3047">
        <v>0.5</v>
      </c>
      <c r="D3047" t="s">
        <v>1264</v>
      </c>
      <c r="E3047">
        <v>100213</v>
      </c>
      <c r="F3047">
        <v>34307</v>
      </c>
      <c r="G3047" t="str">
        <f t="shared" si="251"/>
        <v>34307</v>
      </c>
      <c r="H3047" t="s">
        <v>552</v>
      </c>
      <c r="I3047" t="s">
        <v>1265</v>
      </c>
      <c r="J3047" t="s">
        <v>1266</v>
      </c>
      <c r="K3047" t="s">
        <v>1267</v>
      </c>
      <c r="L3047" t="s">
        <v>1263</v>
      </c>
      <c r="M3047" t="s">
        <v>1268</v>
      </c>
      <c r="N3047">
        <v>1</v>
      </c>
      <c r="O3047" t="str">
        <f t="shared" si="254"/>
        <v>42</v>
      </c>
      <c r="P3047">
        <v>42</v>
      </c>
      <c r="R3047" t="s">
        <v>1269</v>
      </c>
      <c r="S3047">
        <v>0.5</v>
      </c>
      <c r="T3047">
        <v>0.23139999999999999</v>
      </c>
      <c r="U3047">
        <f t="shared" si="255"/>
        <v>0</v>
      </c>
      <c r="V3047" t="str">
        <f t="shared" si="252"/>
        <v>Middle Counselor</v>
      </c>
      <c r="W3047" t="str">
        <f t="shared" si="253"/>
        <v>Counselor</v>
      </c>
    </row>
    <row r="3048" spans="1:23" x14ac:dyDescent="0.25">
      <c r="A3048">
        <v>34307</v>
      </c>
      <c r="B3048" t="s">
        <v>1289</v>
      </c>
      <c r="C3048">
        <v>0.67</v>
      </c>
      <c r="D3048" t="s">
        <v>1264</v>
      </c>
      <c r="E3048">
        <v>100213</v>
      </c>
      <c r="F3048">
        <v>34307</v>
      </c>
      <c r="G3048" t="str">
        <f t="shared" si="251"/>
        <v>34307</v>
      </c>
      <c r="H3048" t="s">
        <v>552</v>
      </c>
      <c r="I3048" t="s">
        <v>1265</v>
      </c>
      <c r="J3048" t="s">
        <v>1276</v>
      </c>
      <c r="K3048" t="s">
        <v>1277</v>
      </c>
      <c r="L3048" t="s">
        <v>1289</v>
      </c>
      <c r="M3048" t="s">
        <v>1307</v>
      </c>
      <c r="N3048">
        <v>21</v>
      </c>
      <c r="O3048" t="str">
        <f t="shared" si="254"/>
        <v>43</v>
      </c>
      <c r="P3048">
        <v>43</v>
      </c>
      <c r="R3048" t="s">
        <v>1269</v>
      </c>
      <c r="S3048">
        <v>0.67</v>
      </c>
      <c r="T3048">
        <v>0.23139999999999999</v>
      </c>
      <c r="U3048">
        <f t="shared" si="255"/>
        <v>0.155</v>
      </c>
      <c r="V3048" t="str">
        <f t="shared" si="252"/>
        <v>Elementary Occupational Therapist</v>
      </c>
      <c r="W3048" t="str">
        <f t="shared" si="253"/>
        <v>Occupational Therapist</v>
      </c>
    </row>
    <row r="3049" spans="1:23" x14ac:dyDescent="0.25">
      <c r="A3049">
        <v>34307</v>
      </c>
      <c r="B3049" t="s">
        <v>1387</v>
      </c>
      <c r="C3049">
        <v>0.08</v>
      </c>
      <c r="D3049" t="s">
        <v>1264</v>
      </c>
      <c r="E3049">
        <v>100213</v>
      </c>
      <c r="F3049">
        <v>34307</v>
      </c>
      <c r="G3049" t="str">
        <f t="shared" si="251"/>
        <v>34307</v>
      </c>
      <c r="H3049" t="s">
        <v>552</v>
      </c>
      <c r="I3049" t="s">
        <v>1265</v>
      </c>
      <c r="J3049" t="s">
        <v>1271</v>
      </c>
      <c r="K3049" t="s">
        <v>1272</v>
      </c>
      <c r="L3049" t="s">
        <v>1387</v>
      </c>
      <c r="M3049" t="s">
        <v>1406</v>
      </c>
      <c r="N3049">
        <v>21</v>
      </c>
      <c r="O3049" t="str">
        <f t="shared" si="254"/>
        <v>43</v>
      </c>
      <c r="P3049">
        <v>43</v>
      </c>
      <c r="R3049" t="s">
        <v>1269</v>
      </c>
      <c r="S3049">
        <v>0.08</v>
      </c>
      <c r="T3049">
        <v>0.23139999999999999</v>
      </c>
      <c r="U3049">
        <f t="shared" si="255"/>
        <v>1.9E-2</v>
      </c>
      <c r="V3049" t="str">
        <f t="shared" si="252"/>
        <v>High Occupational Therapist</v>
      </c>
      <c r="W3049" t="str">
        <f t="shared" si="253"/>
        <v>Occupational Therapist</v>
      </c>
    </row>
    <row r="3050" spans="1:23" x14ac:dyDescent="0.25">
      <c r="A3050">
        <v>34307</v>
      </c>
      <c r="B3050" t="s">
        <v>1303</v>
      </c>
      <c r="C3050">
        <v>0.25</v>
      </c>
      <c r="D3050" t="s">
        <v>1264</v>
      </c>
      <c r="E3050">
        <v>100213</v>
      </c>
      <c r="F3050">
        <v>34307</v>
      </c>
      <c r="G3050" t="str">
        <f t="shared" si="251"/>
        <v>34307</v>
      </c>
      <c r="H3050" t="s">
        <v>552</v>
      </c>
      <c r="I3050" t="s">
        <v>1265</v>
      </c>
      <c r="J3050" t="s">
        <v>1266</v>
      </c>
      <c r="K3050" t="s">
        <v>1267</v>
      </c>
      <c r="L3050" t="s">
        <v>1303</v>
      </c>
      <c r="M3050" t="s">
        <v>1304</v>
      </c>
      <c r="N3050">
        <v>21</v>
      </c>
      <c r="O3050" t="str">
        <f t="shared" si="254"/>
        <v>43</v>
      </c>
      <c r="P3050">
        <v>43</v>
      </c>
      <c r="R3050" t="s">
        <v>1269</v>
      </c>
      <c r="S3050">
        <v>0.25</v>
      </c>
      <c r="T3050">
        <v>0.23139999999999999</v>
      </c>
      <c r="U3050">
        <f t="shared" si="255"/>
        <v>5.8000000000000003E-2</v>
      </c>
      <c r="V3050" t="str">
        <f t="shared" si="252"/>
        <v>Middle Occupational Therapist</v>
      </c>
      <c r="W3050" t="str">
        <f t="shared" si="253"/>
        <v>Occupational Therapist</v>
      </c>
    </row>
    <row r="3051" spans="1:23" x14ac:dyDescent="0.25">
      <c r="A3051">
        <v>34307</v>
      </c>
      <c r="B3051" t="s">
        <v>1343</v>
      </c>
      <c r="C3051">
        <v>1</v>
      </c>
      <c r="D3051" t="s">
        <v>1264</v>
      </c>
      <c r="E3051">
        <v>100213</v>
      </c>
      <c r="F3051">
        <v>34307</v>
      </c>
      <c r="G3051" t="str">
        <f t="shared" si="251"/>
        <v>34307</v>
      </c>
      <c r="H3051" t="s">
        <v>552</v>
      </c>
      <c r="I3051" t="s">
        <v>1265</v>
      </c>
      <c r="J3051" t="s">
        <v>1276</v>
      </c>
      <c r="K3051" t="s">
        <v>1277</v>
      </c>
      <c r="L3051" t="s">
        <v>1343</v>
      </c>
      <c r="M3051" t="s">
        <v>1434</v>
      </c>
      <c r="N3051">
        <v>1</v>
      </c>
      <c r="O3051" t="str">
        <f t="shared" si="254"/>
        <v>49</v>
      </c>
      <c r="P3051">
        <v>49</v>
      </c>
      <c r="R3051" t="s">
        <v>1269</v>
      </c>
      <c r="S3051">
        <v>1</v>
      </c>
      <c r="T3051">
        <v>0.23139999999999999</v>
      </c>
      <c r="U3051">
        <f t="shared" si="255"/>
        <v>0</v>
      </c>
      <c r="V3051" t="str">
        <f t="shared" si="252"/>
        <v>Elementary Behavior Analyst</v>
      </c>
      <c r="W3051" t="str">
        <f t="shared" si="253"/>
        <v>Behavior Analyst</v>
      </c>
    </row>
    <row r="3052" spans="1:23" x14ac:dyDescent="0.25">
      <c r="A3052">
        <v>34307</v>
      </c>
      <c r="B3052" t="s">
        <v>1477</v>
      </c>
      <c r="C3052">
        <v>0.6</v>
      </c>
      <c r="D3052" t="s">
        <v>1264</v>
      </c>
      <c r="E3052">
        <v>100213</v>
      </c>
      <c r="F3052">
        <v>34307</v>
      </c>
      <c r="G3052" t="str">
        <f t="shared" si="251"/>
        <v>34307</v>
      </c>
      <c r="H3052" t="s">
        <v>552</v>
      </c>
      <c r="I3052" t="s">
        <v>1265</v>
      </c>
      <c r="J3052" t="s">
        <v>1266</v>
      </c>
      <c r="K3052" t="s">
        <v>1267</v>
      </c>
      <c r="L3052" t="s">
        <v>1477</v>
      </c>
      <c r="M3052" t="s">
        <v>1613</v>
      </c>
      <c r="N3052">
        <v>1</v>
      </c>
      <c r="O3052" t="str">
        <f t="shared" si="254"/>
        <v>49</v>
      </c>
      <c r="P3052">
        <v>49</v>
      </c>
      <c r="R3052" t="s">
        <v>1269</v>
      </c>
      <c r="S3052">
        <v>0.6</v>
      </c>
      <c r="T3052">
        <v>0.23139999999999999</v>
      </c>
      <c r="U3052">
        <f t="shared" si="255"/>
        <v>0</v>
      </c>
      <c r="V3052" t="str">
        <f t="shared" si="252"/>
        <v>Middle Behavior Analyst</v>
      </c>
      <c r="W3052" t="str">
        <f t="shared" si="253"/>
        <v>Behavior Analyst</v>
      </c>
    </row>
    <row r="3053" spans="1:23" x14ac:dyDescent="0.25">
      <c r="A3053">
        <v>34324</v>
      </c>
      <c r="B3053" t="s">
        <v>1299</v>
      </c>
      <c r="C3053">
        <v>1.7230000000000001</v>
      </c>
      <c r="D3053" t="s">
        <v>1264</v>
      </c>
      <c r="E3053">
        <v>100102</v>
      </c>
      <c r="F3053">
        <v>34324</v>
      </c>
      <c r="G3053" t="str">
        <f t="shared" si="251"/>
        <v>34324</v>
      </c>
      <c r="H3053" t="s">
        <v>553</v>
      </c>
      <c r="I3053" t="s">
        <v>1265</v>
      </c>
      <c r="J3053" t="s">
        <v>1271</v>
      </c>
      <c r="K3053" t="s">
        <v>1272</v>
      </c>
      <c r="L3053" t="s">
        <v>1299</v>
      </c>
      <c r="M3053" t="s">
        <v>1300</v>
      </c>
      <c r="N3053">
        <v>1</v>
      </c>
      <c r="O3053" t="str">
        <f t="shared" si="254"/>
        <v>25</v>
      </c>
      <c r="Q3053">
        <v>25</v>
      </c>
      <c r="R3053" t="s">
        <v>1269</v>
      </c>
      <c r="S3053">
        <v>1.7230000000000001</v>
      </c>
      <c r="T3053">
        <v>0.153</v>
      </c>
      <c r="U3053">
        <f t="shared" si="255"/>
        <v>0</v>
      </c>
      <c r="V3053" t="str">
        <f t="shared" si="252"/>
        <v>High Pupil Management</v>
      </c>
      <c r="W3053" t="str">
        <f t="shared" si="253"/>
        <v>Pupil Management</v>
      </c>
    </row>
    <row r="3054" spans="1:23" x14ac:dyDescent="0.25">
      <c r="A3054">
        <v>34324</v>
      </c>
      <c r="B3054" t="s">
        <v>1315</v>
      </c>
      <c r="C3054">
        <v>0.32400000000000001</v>
      </c>
      <c r="D3054" t="s">
        <v>1264</v>
      </c>
      <c r="E3054">
        <v>100102</v>
      </c>
      <c r="F3054">
        <v>34324</v>
      </c>
      <c r="G3054" t="str">
        <f t="shared" si="251"/>
        <v>34324</v>
      </c>
      <c r="H3054" t="s">
        <v>553</v>
      </c>
      <c r="I3054" t="s">
        <v>1265</v>
      </c>
      <c r="J3054" t="s">
        <v>1276</v>
      </c>
      <c r="K3054" t="s">
        <v>1277</v>
      </c>
      <c r="L3054" t="s">
        <v>1315</v>
      </c>
      <c r="M3054" t="s">
        <v>1375</v>
      </c>
      <c r="N3054">
        <v>1</v>
      </c>
      <c r="O3054" t="str">
        <f t="shared" si="254"/>
        <v>26</v>
      </c>
      <c r="Q3054">
        <v>26</v>
      </c>
      <c r="R3054" t="s">
        <v>1269</v>
      </c>
      <c r="S3054">
        <v>0.32400000000000001</v>
      </c>
      <c r="T3054">
        <v>0.153</v>
      </c>
      <c r="U3054">
        <f t="shared" si="255"/>
        <v>0</v>
      </c>
      <c r="V3054" t="str">
        <f t="shared" si="252"/>
        <v>Elementary Health/
Related Services</v>
      </c>
      <c r="W3054" t="str">
        <f t="shared" si="253"/>
        <v>Health/
Related Services</v>
      </c>
    </row>
    <row r="3055" spans="1:23" x14ac:dyDescent="0.25">
      <c r="A3055">
        <v>34324</v>
      </c>
      <c r="B3055" t="s">
        <v>1291</v>
      </c>
      <c r="C3055">
        <v>0.182</v>
      </c>
      <c r="D3055" t="s">
        <v>1264</v>
      </c>
      <c r="E3055">
        <v>100102</v>
      </c>
      <c r="F3055">
        <v>34324</v>
      </c>
      <c r="G3055" t="str">
        <f t="shared" si="251"/>
        <v>34324</v>
      </c>
      <c r="H3055" t="s">
        <v>553</v>
      </c>
      <c r="I3055" t="s">
        <v>1265</v>
      </c>
      <c r="J3055" t="s">
        <v>1266</v>
      </c>
      <c r="K3055" t="s">
        <v>1267</v>
      </c>
      <c r="L3055" t="s">
        <v>1291</v>
      </c>
      <c r="M3055" t="s">
        <v>1292</v>
      </c>
      <c r="N3055">
        <v>1</v>
      </c>
      <c r="O3055" t="str">
        <f t="shared" si="254"/>
        <v>26</v>
      </c>
      <c r="Q3055">
        <v>26</v>
      </c>
      <c r="R3055" t="s">
        <v>1269</v>
      </c>
      <c r="S3055">
        <v>0.182</v>
      </c>
      <c r="T3055">
        <v>0.153</v>
      </c>
      <c r="U3055">
        <f t="shared" si="255"/>
        <v>0</v>
      </c>
      <c r="V3055" t="str">
        <f t="shared" si="252"/>
        <v>Middle Health/
Related Services</v>
      </c>
      <c r="W3055" t="str">
        <f t="shared" si="253"/>
        <v>Health/
Related Services</v>
      </c>
    </row>
    <row r="3056" spans="1:23" x14ac:dyDescent="0.25">
      <c r="A3056">
        <v>34324</v>
      </c>
      <c r="B3056" t="s">
        <v>1275</v>
      </c>
      <c r="C3056">
        <v>0.8</v>
      </c>
      <c r="D3056" t="s">
        <v>1264</v>
      </c>
      <c r="E3056">
        <v>100102</v>
      </c>
      <c r="F3056">
        <v>34324</v>
      </c>
      <c r="G3056" t="str">
        <f t="shared" si="251"/>
        <v>34324</v>
      </c>
      <c r="H3056" t="s">
        <v>553</v>
      </c>
      <c r="I3056" t="s">
        <v>1265</v>
      </c>
      <c r="J3056" t="s">
        <v>1276</v>
      </c>
      <c r="K3056" t="s">
        <v>1277</v>
      </c>
      <c r="L3056" t="s">
        <v>1275</v>
      </c>
      <c r="M3056" t="s">
        <v>1278</v>
      </c>
      <c r="N3056">
        <v>1</v>
      </c>
      <c r="O3056" t="str">
        <f t="shared" si="254"/>
        <v>42</v>
      </c>
      <c r="P3056">
        <v>42</v>
      </c>
      <c r="R3056" t="s">
        <v>1269</v>
      </c>
      <c r="S3056">
        <v>0.8</v>
      </c>
      <c r="T3056">
        <v>0.153</v>
      </c>
      <c r="U3056">
        <f t="shared" si="255"/>
        <v>0</v>
      </c>
      <c r="V3056" t="str">
        <f t="shared" si="252"/>
        <v>Elementary Counselor</v>
      </c>
      <c r="W3056" t="str">
        <f t="shared" si="253"/>
        <v>Counselor</v>
      </c>
    </row>
    <row r="3057" spans="1:23" x14ac:dyDescent="0.25">
      <c r="A3057">
        <v>34324</v>
      </c>
      <c r="B3057" t="s">
        <v>1263</v>
      </c>
      <c r="C3057">
        <v>1</v>
      </c>
      <c r="D3057" t="s">
        <v>1264</v>
      </c>
      <c r="E3057">
        <v>100102</v>
      </c>
      <c r="F3057">
        <v>34324</v>
      </c>
      <c r="G3057" t="str">
        <f t="shared" si="251"/>
        <v>34324</v>
      </c>
      <c r="H3057" t="s">
        <v>553</v>
      </c>
      <c r="I3057" t="s">
        <v>1265</v>
      </c>
      <c r="J3057" t="s">
        <v>1266</v>
      </c>
      <c r="K3057" t="s">
        <v>1267</v>
      </c>
      <c r="L3057" t="s">
        <v>1263</v>
      </c>
      <c r="M3057" t="s">
        <v>1268</v>
      </c>
      <c r="N3057">
        <v>1</v>
      </c>
      <c r="O3057" t="str">
        <f t="shared" si="254"/>
        <v>42</v>
      </c>
      <c r="P3057">
        <v>42</v>
      </c>
      <c r="R3057" t="s">
        <v>1269</v>
      </c>
      <c r="S3057">
        <v>1</v>
      </c>
      <c r="T3057">
        <v>0.153</v>
      </c>
      <c r="U3057">
        <f t="shared" si="255"/>
        <v>0</v>
      </c>
      <c r="V3057" t="str">
        <f t="shared" si="252"/>
        <v>Middle Counselor</v>
      </c>
      <c r="W3057" t="str">
        <f t="shared" si="253"/>
        <v>Counselor</v>
      </c>
    </row>
    <row r="3058" spans="1:23" x14ac:dyDescent="0.25">
      <c r="A3058">
        <v>34401</v>
      </c>
      <c r="B3058" t="s">
        <v>1324</v>
      </c>
      <c r="C3058">
        <v>0.88100000000000001</v>
      </c>
      <c r="D3058" t="s">
        <v>1264</v>
      </c>
      <c r="E3058">
        <v>100223</v>
      </c>
      <c r="F3058">
        <v>34401</v>
      </c>
      <c r="G3058" t="str">
        <f t="shared" si="251"/>
        <v>34401</v>
      </c>
      <c r="H3058" t="s">
        <v>554</v>
      </c>
      <c r="I3058" t="s">
        <v>1265</v>
      </c>
      <c r="J3058" t="s">
        <v>1271</v>
      </c>
      <c r="K3058" t="s">
        <v>1272</v>
      </c>
      <c r="L3058" t="s">
        <v>1324</v>
      </c>
      <c r="M3058" t="s">
        <v>1325</v>
      </c>
      <c r="N3058">
        <v>21</v>
      </c>
      <c r="O3058" t="str">
        <f t="shared" si="254"/>
        <v>26</v>
      </c>
      <c r="Q3058">
        <v>26</v>
      </c>
      <c r="R3058" t="s">
        <v>1269</v>
      </c>
      <c r="S3058">
        <v>0.88100000000000001</v>
      </c>
      <c r="T3058">
        <v>0.2341</v>
      </c>
      <c r="U3058">
        <f t="shared" si="255"/>
        <v>0.20599999999999999</v>
      </c>
      <c r="V3058" t="str">
        <f t="shared" si="252"/>
        <v>High Health/
Related Services</v>
      </c>
      <c r="W3058" t="str">
        <f t="shared" si="253"/>
        <v>Health/
Related Services</v>
      </c>
    </row>
    <row r="3059" spans="1:23" x14ac:dyDescent="0.25">
      <c r="A3059">
        <v>34401</v>
      </c>
      <c r="B3059" t="s">
        <v>1275</v>
      </c>
      <c r="C3059">
        <v>2.3330000000000002</v>
      </c>
      <c r="D3059" t="s">
        <v>1264</v>
      </c>
      <c r="E3059">
        <v>100223</v>
      </c>
      <c r="F3059">
        <v>34401</v>
      </c>
      <c r="G3059" t="str">
        <f t="shared" si="251"/>
        <v>34401</v>
      </c>
      <c r="H3059" t="s">
        <v>554</v>
      </c>
      <c r="I3059" t="s">
        <v>1265</v>
      </c>
      <c r="J3059" t="s">
        <v>1276</v>
      </c>
      <c r="K3059" t="s">
        <v>1277</v>
      </c>
      <c r="L3059" t="s">
        <v>1275</v>
      </c>
      <c r="M3059" t="s">
        <v>1278</v>
      </c>
      <c r="N3059">
        <v>1</v>
      </c>
      <c r="O3059" t="str">
        <f t="shared" si="254"/>
        <v>42</v>
      </c>
      <c r="P3059">
        <v>42</v>
      </c>
      <c r="R3059" t="s">
        <v>1269</v>
      </c>
      <c r="S3059">
        <v>2.3330000000000002</v>
      </c>
      <c r="T3059">
        <v>0.2341</v>
      </c>
      <c r="U3059">
        <f t="shared" si="255"/>
        <v>0</v>
      </c>
      <c r="V3059" t="str">
        <f t="shared" si="252"/>
        <v>Elementary Counselor</v>
      </c>
      <c r="W3059" t="str">
        <f t="shared" si="253"/>
        <v>Counselor</v>
      </c>
    </row>
    <row r="3060" spans="1:23" x14ac:dyDescent="0.25">
      <c r="A3060">
        <v>34401</v>
      </c>
      <c r="B3060" t="s">
        <v>1270</v>
      </c>
      <c r="C3060">
        <v>2</v>
      </c>
      <c r="D3060" t="s">
        <v>1264</v>
      </c>
      <c r="E3060">
        <v>100223</v>
      </c>
      <c r="F3060">
        <v>34401</v>
      </c>
      <c r="G3060" t="str">
        <f t="shared" si="251"/>
        <v>34401</v>
      </c>
      <c r="H3060" t="s">
        <v>554</v>
      </c>
      <c r="I3060" t="s">
        <v>1265</v>
      </c>
      <c r="J3060" t="s">
        <v>1271</v>
      </c>
      <c r="K3060" t="s">
        <v>1272</v>
      </c>
      <c r="L3060" t="s">
        <v>1270</v>
      </c>
      <c r="M3060" t="s">
        <v>1273</v>
      </c>
      <c r="N3060">
        <v>1</v>
      </c>
      <c r="O3060" t="str">
        <f t="shared" si="254"/>
        <v>42</v>
      </c>
      <c r="P3060">
        <v>42</v>
      </c>
      <c r="R3060" t="s">
        <v>1269</v>
      </c>
      <c r="S3060">
        <v>2</v>
      </c>
      <c r="T3060">
        <v>0.2341</v>
      </c>
      <c r="U3060">
        <f t="shared" si="255"/>
        <v>0</v>
      </c>
      <c r="V3060" t="str">
        <f t="shared" si="252"/>
        <v>High Counselor</v>
      </c>
      <c r="W3060" t="str">
        <f t="shared" si="253"/>
        <v>Counselor</v>
      </c>
    </row>
    <row r="3061" spans="1:23" x14ac:dyDescent="0.25">
      <c r="A3061">
        <v>34401</v>
      </c>
      <c r="B3061" t="s">
        <v>1263</v>
      </c>
      <c r="C3061">
        <v>0.66700000000000004</v>
      </c>
      <c r="D3061" t="s">
        <v>1264</v>
      </c>
      <c r="E3061">
        <v>100223</v>
      </c>
      <c r="F3061">
        <v>34401</v>
      </c>
      <c r="G3061" t="str">
        <f t="shared" si="251"/>
        <v>34401</v>
      </c>
      <c r="H3061" t="s">
        <v>554</v>
      </c>
      <c r="I3061" t="s">
        <v>1265</v>
      </c>
      <c r="J3061" t="s">
        <v>1266</v>
      </c>
      <c r="K3061" t="s">
        <v>1267</v>
      </c>
      <c r="L3061" t="s">
        <v>1263</v>
      </c>
      <c r="M3061" t="s">
        <v>1268</v>
      </c>
      <c r="N3061">
        <v>1</v>
      </c>
      <c r="O3061" t="str">
        <f t="shared" si="254"/>
        <v>42</v>
      </c>
      <c r="P3061">
        <v>42</v>
      </c>
      <c r="R3061" t="s">
        <v>1269</v>
      </c>
      <c r="S3061">
        <v>0.66700000000000004</v>
      </c>
      <c r="T3061">
        <v>0.2341</v>
      </c>
      <c r="U3061">
        <f t="shared" si="255"/>
        <v>0</v>
      </c>
      <c r="V3061" t="str">
        <f t="shared" si="252"/>
        <v>Middle Counselor</v>
      </c>
      <c r="W3061" t="str">
        <f t="shared" si="253"/>
        <v>Counselor</v>
      </c>
    </row>
    <row r="3062" spans="1:23" x14ac:dyDescent="0.25">
      <c r="A3062">
        <v>34401</v>
      </c>
      <c r="B3062" t="s">
        <v>1294</v>
      </c>
      <c r="C3062">
        <v>1.25</v>
      </c>
      <c r="D3062" t="s">
        <v>1264</v>
      </c>
      <c r="E3062">
        <v>100223</v>
      </c>
      <c r="F3062">
        <v>34401</v>
      </c>
      <c r="G3062" t="str">
        <f t="shared" si="251"/>
        <v>34401</v>
      </c>
      <c r="H3062" t="s">
        <v>554</v>
      </c>
      <c r="I3062" t="s">
        <v>1265</v>
      </c>
      <c r="J3062" t="s">
        <v>1276</v>
      </c>
      <c r="K3062" t="s">
        <v>1277</v>
      </c>
      <c r="L3062" t="s">
        <v>1294</v>
      </c>
      <c r="M3062" t="s">
        <v>1354</v>
      </c>
      <c r="N3062">
        <v>21</v>
      </c>
      <c r="O3062" t="str">
        <f t="shared" si="254"/>
        <v>45</v>
      </c>
      <c r="P3062">
        <v>45</v>
      </c>
      <c r="R3062" t="s">
        <v>1269</v>
      </c>
      <c r="S3062">
        <v>1.25</v>
      </c>
      <c r="T3062">
        <v>0.2341</v>
      </c>
      <c r="U3062">
        <f t="shared" si="255"/>
        <v>0.29299999999999998</v>
      </c>
      <c r="V3062" t="str">
        <f t="shared" si="252"/>
        <v>Elementary Speech, Language Pathway/
Audio</v>
      </c>
      <c r="W3062" t="str">
        <f t="shared" si="253"/>
        <v>Speech, Language Pathway/
Audio</v>
      </c>
    </row>
    <row r="3063" spans="1:23" x14ac:dyDescent="0.25">
      <c r="A3063">
        <v>34401</v>
      </c>
      <c r="B3063" t="s">
        <v>1298</v>
      </c>
      <c r="C3063">
        <v>1.1000000000000001</v>
      </c>
      <c r="D3063" t="s">
        <v>1264</v>
      </c>
      <c r="E3063">
        <v>100223</v>
      </c>
      <c r="F3063">
        <v>34401</v>
      </c>
      <c r="G3063" t="str">
        <f t="shared" si="251"/>
        <v>34401</v>
      </c>
      <c r="H3063" t="s">
        <v>554</v>
      </c>
      <c r="I3063" t="s">
        <v>1265</v>
      </c>
      <c r="J3063" t="s">
        <v>1276</v>
      </c>
      <c r="K3063" t="s">
        <v>1277</v>
      </c>
      <c r="L3063" t="s">
        <v>1298</v>
      </c>
      <c r="M3063" t="s">
        <v>1349</v>
      </c>
      <c r="N3063">
        <v>21</v>
      </c>
      <c r="O3063" t="str">
        <f t="shared" si="254"/>
        <v>46</v>
      </c>
      <c r="P3063">
        <v>46</v>
      </c>
      <c r="R3063" t="s">
        <v>1269</v>
      </c>
      <c r="S3063">
        <v>1.1000000000000001</v>
      </c>
      <c r="T3063">
        <v>0.2341</v>
      </c>
      <c r="U3063">
        <f t="shared" si="255"/>
        <v>0.25800000000000001</v>
      </c>
      <c r="V3063" t="str">
        <f t="shared" si="252"/>
        <v>Elementary Psychologist</v>
      </c>
      <c r="W3063" t="str">
        <f t="shared" si="253"/>
        <v>Psychologist</v>
      </c>
    </row>
    <row r="3064" spans="1:23" x14ac:dyDescent="0.25">
      <c r="A3064">
        <v>34401</v>
      </c>
      <c r="B3064" t="s">
        <v>1309</v>
      </c>
      <c r="C3064">
        <v>0.4</v>
      </c>
      <c r="D3064" t="s">
        <v>1264</v>
      </c>
      <c r="E3064">
        <v>100223</v>
      </c>
      <c r="F3064">
        <v>34401</v>
      </c>
      <c r="G3064" t="str">
        <f t="shared" si="251"/>
        <v>34401</v>
      </c>
      <c r="H3064" t="s">
        <v>554</v>
      </c>
      <c r="I3064" t="s">
        <v>1265</v>
      </c>
      <c r="J3064" t="s">
        <v>1271</v>
      </c>
      <c r="K3064" t="s">
        <v>1272</v>
      </c>
      <c r="L3064" t="s">
        <v>1309</v>
      </c>
      <c r="M3064" t="s">
        <v>1310</v>
      </c>
      <c r="N3064">
        <v>21</v>
      </c>
      <c r="O3064" t="str">
        <f t="shared" si="254"/>
        <v>46</v>
      </c>
      <c r="P3064">
        <v>46</v>
      </c>
      <c r="R3064" t="s">
        <v>1269</v>
      </c>
      <c r="S3064">
        <v>0.4</v>
      </c>
      <c r="T3064">
        <v>0.2341</v>
      </c>
      <c r="U3064">
        <f t="shared" si="255"/>
        <v>9.4E-2</v>
      </c>
      <c r="V3064" t="str">
        <f t="shared" si="252"/>
        <v>High Psychologist</v>
      </c>
      <c r="W3064" t="str">
        <f t="shared" si="253"/>
        <v>Psychologist</v>
      </c>
    </row>
    <row r="3065" spans="1:23" x14ac:dyDescent="0.25">
      <c r="A3065">
        <v>34402</v>
      </c>
      <c r="B3065" t="s">
        <v>1315</v>
      </c>
      <c r="C3065">
        <v>0.75</v>
      </c>
      <c r="D3065" t="s">
        <v>1264</v>
      </c>
      <c r="E3065">
        <v>100265</v>
      </c>
      <c r="F3065">
        <v>34402</v>
      </c>
      <c r="G3065" t="str">
        <f t="shared" si="251"/>
        <v>34402</v>
      </c>
      <c r="H3065" t="s">
        <v>555</v>
      </c>
      <c r="I3065" t="s">
        <v>1265</v>
      </c>
      <c r="J3065" t="s">
        <v>1276</v>
      </c>
      <c r="K3065" t="s">
        <v>1277</v>
      </c>
      <c r="L3065" t="s">
        <v>1315</v>
      </c>
      <c r="M3065" t="s">
        <v>1375</v>
      </c>
      <c r="N3065">
        <v>1</v>
      </c>
      <c r="O3065" t="str">
        <f t="shared" si="254"/>
        <v>26</v>
      </c>
      <c r="Q3065">
        <v>26</v>
      </c>
      <c r="R3065" t="s">
        <v>1269</v>
      </c>
      <c r="S3065">
        <v>0.75</v>
      </c>
      <c r="T3065">
        <v>0.2487</v>
      </c>
      <c r="U3065">
        <f t="shared" si="255"/>
        <v>0</v>
      </c>
      <c r="V3065" t="str">
        <f t="shared" si="252"/>
        <v>Elementary Health/
Related Services</v>
      </c>
      <c r="W3065" t="str">
        <f t="shared" si="253"/>
        <v>Health/
Related Services</v>
      </c>
    </row>
    <row r="3066" spans="1:23" x14ac:dyDescent="0.25">
      <c r="A3066">
        <v>34402</v>
      </c>
      <c r="B3066" t="s">
        <v>1295</v>
      </c>
      <c r="C3066">
        <v>0.375</v>
      </c>
      <c r="D3066" t="s">
        <v>1264</v>
      </c>
      <c r="E3066">
        <v>100265</v>
      </c>
      <c r="F3066">
        <v>34402</v>
      </c>
      <c r="G3066" t="str">
        <f t="shared" si="251"/>
        <v>34402</v>
      </c>
      <c r="H3066" t="s">
        <v>555</v>
      </c>
      <c r="I3066" t="s">
        <v>1265</v>
      </c>
      <c r="J3066" t="s">
        <v>1271</v>
      </c>
      <c r="K3066" t="s">
        <v>1272</v>
      </c>
      <c r="L3066" t="s">
        <v>1295</v>
      </c>
      <c r="M3066" t="s">
        <v>1296</v>
      </c>
      <c r="N3066">
        <v>1</v>
      </c>
      <c r="O3066" t="str">
        <f t="shared" si="254"/>
        <v>26</v>
      </c>
      <c r="Q3066">
        <v>26</v>
      </c>
      <c r="R3066" t="s">
        <v>1269</v>
      </c>
      <c r="S3066">
        <v>0.375</v>
      </c>
      <c r="T3066">
        <v>0.2487</v>
      </c>
      <c r="U3066">
        <f t="shared" si="255"/>
        <v>0</v>
      </c>
      <c r="V3066" t="str">
        <f t="shared" si="252"/>
        <v>High Health/
Related Services</v>
      </c>
      <c r="W3066" t="str">
        <f t="shared" si="253"/>
        <v>Health/
Related Services</v>
      </c>
    </row>
    <row r="3067" spans="1:23" x14ac:dyDescent="0.25">
      <c r="A3067">
        <v>34402</v>
      </c>
      <c r="B3067" t="s">
        <v>1291</v>
      </c>
      <c r="C3067">
        <v>0.375</v>
      </c>
      <c r="D3067" t="s">
        <v>1264</v>
      </c>
      <c r="E3067">
        <v>100265</v>
      </c>
      <c r="F3067">
        <v>34402</v>
      </c>
      <c r="G3067" t="str">
        <f t="shared" si="251"/>
        <v>34402</v>
      </c>
      <c r="H3067" t="s">
        <v>555</v>
      </c>
      <c r="I3067" t="s">
        <v>1265</v>
      </c>
      <c r="J3067" t="s">
        <v>1266</v>
      </c>
      <c r="K3067" t="s">
        <v>1267</v>
      </c>
      <c r="L3067" t="s">
        <v>1291</v>
      </c>
      <c r="M3067" t="s">
        <v>1292</v>
      </c>
      <c r="N3067">
        <v>1</v>
      </c>
      <c r="O3067" t="str">
        <f t="shared" si="254"/>
        <v>26</v>
      </c>
      <c r="Q3067">
        <v>26</v>
      </c>
      <c r="R3067" t="s">
        <v>1269</v>
      </c>
      <c r="S3067">
        <v>0.375</v>
      </c>
      <c r="T3067">
        <v>0.2487</v>
      </c>
      <c r="U3067">
        <f t="shared" si="255"/>
        <v>0</v>
      </c>
      <c r="V3067" t="str">
        <f t="shared" si="252"/>
        <v>Middle Health/
Related Services</v>
      </c>
      <c r="W3067" t="str">
        <f t="shared" si="253"/>
        <v>Health/
Related Services</v>
      </c>
    </row>
    <row r="3068" spans="1:23" x14ac:dyDescent="0.25">
      <c r="A3068">
        <v>34402</v>
      </c>
      <c r="B3068" t="s">
        <v>1275</v>
      </c>
      <c r="C3068">
        <v>1.8</v>
      </c>
      <c r="D3068" t="s">
        <v>1264</v>
      </c>
      <c r="E3068">
        <v>100265</v>
      </c>
      <c r="F3068">
        <v>34402</v>
      </c>
      <c r="G3068" t="str">
        <f t="shared" si="251"/>
        <v>34402</v>
      </c>
      <c r="H3068" t="s">
        <v>555</v>
      </c>
      <c r="I3068" t="s">
        <v>1265</v>
      </c>
      <c r="J3068" t="s">
        <v>1276</v>
      </c>
      <c r="K3068" t="s">
        <v>1277</v>
      </c>
      <c r="L3068" t="s">
        <v>1275</v>
      </c>
      <c r="M3068" t="s">
        <v>1278</v>
      </c>
      <c r="N3068">
        <v>1</v>
      </c>
      <c r="O3068" t="str">
        <f t="shared" si="254"/>
        <v>42</v>
      </c>
      <c r="P3068">
        <v>42</v>
      </c>
      <c r="R3068" t="s">
        <v>1269</v>
      </c>
      <c r="S3068">
        <v>1.8</v>
      </c>
      <c r="T3068">
        <v>0.2487</v>
      </c>
      <c r="U3068">
        <f t="shared" si="255"/>
        <v>0</v>
      </c>
      <c r="V3068" t="str">
        <f t="shared" si="252"/>
        <v>Elementary Counselor</v>
      </c>
      <c r="W3068" t="str">
        <f t="shared" si="253"/>
        <v>Counselor</v>
      </c>
    </row>
    <row r="3069" spans="1:23" x14ac:dyDescent="0.25">
      <c r="A3069">
        <v>34402</v>
      </c>
      <c r="B3069" t="s">
        <v>1270</v>
      </c>
      <c r="C3069">
        <v>0.75</v>
      </c>
      <c r="D3069" t="s">
        <v>1264</v>
      </c>
      <c r="E3069">
        <v>100265</v>
      </c>
      <c r="F3069">
        <v>34402</v>
      </c>
      <c r="G3069" t="str">
        <f t="shared" si="251"/>
        <v>34402</v>
      </c>
      <c r="H3069" t="s">
        <v>555</v>
      </c>
      <c r="I3069" t="s">
        <v>1265</v>
      </c>
      <c r="J3069" t="s">
        <v>1271</v>
      </c>
      <c r="K3069" t="s">
        <v>1272</v>
      </c>
      <c r="L3069" t="s">
        <v>1270</v>
      </c>
      <c r="M3069" t="s">
        <v>1273</v>
      </c>
      <c r="N3069">
        <v>1</v>
      </c>
      <c r="O3069" t="str">
        <f t="shared" si="254"/>
        <v>42</v>
      </c>
      <c r="P3069">
        <v>42</v>
      </c>
      <c r="R3069" t="s">
        <v>1269</v>
      </c>
      <c r="S3069">
        <v>0.75</v>
      </c>
      <c r="T3069">
        <v>0.2487</v>
      </c>
      <c r="U3069">
        <f t="shared" si="255"/>
        <v>0</v>
      </c>
      <c r="V3069" t="str">
        <f t="shared" si="252"/>
        <v>High Counselor</v>
      </c>
      <c r="W3069" t="str">
        <f t="shared" si="253"/>
        <v>Counselor</v>
      </c>
    </row>
    <row r="3070" spans="1:23" x14ac:dyDescent="0.25">
      <c r="A3070">
        <v>34402</v>
      </c>
      <c r="B3070" t="s">
        <v>1263</v>
      </c>
      <c r="C3070">
        <v>0.6</v>
      </c>
      <c r="D3070" t="s">
        <v>1264</v>
      </c>
      <c r="E3070">
        <v>100265</v>
      </c>
      <c r="F3070">
        <v>34402</v>
      </c>
      <c r="G3070" t="str">
        <f t="shared" si="251"/>
        <v>34402</v>
      </c>
      <c r="H3070" t="s">
        <v>555</v>
      </c>
      <c r="I3070" t="s">
        <v>1265</v>
      </c>
      <c r="J3070" t="s">
        <v>1266</v>
      </c>
      <c r="K3070" t="s">
        <v>1267</v>
      </c>
      <c r="L3070" t="s">
        <v>1263</v>
      </c>
      <c r="M3070" t="s">
        <v>1268</v>
      </c>
      <c r="N3070">
        <v>1</v>
      </c>
      <c r="O3070" t="str">
        <f t="shared" si="254"/>
        <v>42</v>
      </c>
      <c r="P3070">
        <v>42</v>
      </c>
      <c r="R3070" t="s">
        <v>1269</v>
      </c>
      <c r="S3070">
        <v>0.6</v>
      </c>
      <c r="T3070">
        <v>0.2487</v>
      </c>
      <c r="U3070">
        <f t="shared" si="255"/>
        <v>0</v>
      </c>
      <c r="V3070" t="str">
        <f t="shared" si="252"/>
        <v>Middle Counselor</v>
      </c>
      <c r="W3070" t="str">
        <f t="shared" si="253"/>
        <v>Counselor</v>
      </c>
    </row>
    <row r="3071" spans="1:23" x14ac:dyDescent="0.25">
      <c r="A3071">
        <v>34402</v>
      </c>
      <c r="B3071" t="s">
        <v>1294</v>
      </c>
      <c r="C3071">
        <v>1</v>
      </c>
      <c r="D3071" t="s">
        <v>1264</v>
      </c>
      <c r="E3071">
        <v>100265</v>
      </c>
      <c r="F3071">
        <v>34402</v>
      </c>
      <c r="G3071" t="str">
        <f t="shared" si="251"/>
        <v>34402</v>
      </c>
      <c r="H3071" t="s">
        <v>555</v>
      </c>
      <c r="I3071" t="s">
        <v>1265</v>
      </c>
      <c r="J3071" t="s">
        <v>1276</v>
      </c>
      <c r="K3071" t="s">
        <v>1277</v>
      </c>
      <c r="L3071" t="s">
        <v>1294</v>
      </c>
      <c r="M3071" t="s">
        <v>1354</v>
      </c>
      <c r="N3071">
        <v>21</v>
      </c>
      <c r="O3071" t="str">
        <f t="shared" si="254"/>
        <v>45</v>
      </c>
      <c r="P3071">
        <v>45</v>
      </c>
      <c r="R3071" t="s">
        <v>1269</v>
      </c>
      <c r="S3071">
        <v>1</v>
      </c>
      <c r="T3071">
        <v>0.2487</v>
      </c>
      <c r="U3071">
        <f t="shared" si="255"/>
        <v>0.249</v>
      </c>
      <c r="V3071" t="str">
        <f t="shared" si="252"/>
        <v>Elementary Speech, Language Pathway/
Audio</v>
      </c>
      <c r="W3071" t="str">
        <f t="shared" si="253"/>
        <v>Speech, Language Pathway/
Audio</v>
      </c>
    </row>
    <row r="3072" spans="1:23" x14ac:dyDescent="0.25">
      <c r="A3072">
        <v>34901</v>
      </c>
      <c r="B3072" t="s">
        <v>1275</v>
      </c>
      <c r="C3072">
        <v>0.67</v>
      </c>
      <c r="D3072" t="s">
        <v>1264</v>
      </c>
      <c r="E3072">
        <v>106074</v>
      </c>
      <c r="F3072">
        <v>34901</v>
      </c>
      <c r="G3072" t="str">
        <f t="shared" si="251"/>
        <v>34901</v>
      </c>
      <c r="H3072" t="s">
        <v>1243</v>
      </c>
      <c r="I3072" t="s">
        <v>1265</v>
      </c>
      <c r="J3072" t="s">
        <v>1276</v>
      </c>
      <c r="K3072" t="s">
        <v>1277</v>
      </c>
      <c r="L3072" t="s">
        <v>1275</v>
      </c>
      <c r="M3072" t="s">
        <v>1278</v>
      </c>
      <c r="N3072">
        <v>1</v>
      </c>
      <c r="O3072" t="str">
        <f t="shared" si="254"/>
        <v>42</v>
      </c>
      <c r="P3072">
        <v>42</v>
      </c>
      <c r="R3072" t="s">
        <v>1269</v>
      </c>
      <c r="S3072">
        <v>0.67</v>
      </c>
      <c r="T3072">
        <v>0.19539999999999999</v>
      </c>
      <c r="U3072">
        <f t="shared" si="255"/>
        <v>0</v>
      </c>
      <c r="V3072" t="str">
        <f t="shared" si="252"/>
        <v>Elementary Counselor</v>
      </c>
      <c r="W3072" t="str">
        <f t="shared" si="253"/>
        <v>Counselor</v>
      </c>
    </row>
    <row r="3073" spans="1:23" x14ac:dyDescent="0.25">
      <c r="A3073">
        <v>34901</v>
      </c>
      <c r="B3073" t="s">
        <v>1263</v>
      </c>
      <c r="C3073">
        <v>0.33</v>
      </c>
      <c r="D3073" t="s">
        <v>1264</v>
      </c>
      <c r="E3073">
        <v>106074</v>
      </c>
      <c r="F3073">
        <v>34901</v>
      </c>
      <c r="G3073" t="str">
        <f t="shared" si="251"/>
        <v>34901</v>
      </c>
      <c r="H3073" t="s">
        <v>1243</v>
      </c>
      <c r="I3073" t="s">
        <v>1265</v>
      </c>
      <c r="J3073" t="s">
        <v>1266</v>
      </c>
      <c r="K3073" t="s">
        <v>1267</v>
      </c>
      <c r="L3073" t="s">
        <v>1263</v>
      </c>
      <c r="M3073" t="s">
        <v>1268</v>
      </c>
      <c r="N3073">
        <v>1</v>
      </c>
      <c r="O3073" t="str">
        <f t="shared" si="254"/>
        <v>42</v>
      </c>
      <c r="P3073">
        <v>42</v>
      </c>
      <c r="R3073" t="s">
        <v>1269</v>
      </c>
      <c r="S3073">
        <v>0.33</v>
      </c>
      <c r="T3073">
        <v>0.19539999999999999</v>
      </c>
      <c r="U3073">
        <f t="shared" si="255"/>
        <v>0</v>
      </c>
      <c r="V3073" t="str">
        <f t="shared" si="252"/>
        <v>Middle Counselor</v>
      </c>
      <c r="W3073" t="str">
        <f t="shared" si="253"/>
        <v>Counselor</v>
      </c>
    </row>
    <row r="3074" spans="1:23" x14ac:dyDescent="0.25">
      <c r="A3074">
        <v>35200</v>
      </c>
      <c r="B3074" t="s">
        <v>1308</v>
      </c>
      <c r="C3074">
        <v>0.93700000000000006</v>
      </c>
      <c r="D3074" t="s">
        <v>1264</v>
      </c>
      <c r="E3074">
        <v>100280</v>
      </c>
      <c r="F3074">
        <v>35200</v>
      </c>
      <c r="G3074" t="str">
        <f t="shared" ref="G3074:G3137" si="256">TEXT(F3074,"00000")</f>
        <v>35200</v>
      </c>
      <c r="H3074" t="s">
        <v>556</v>
      </c>
      <c r="I3074" t="s">
        <v>1265</v>
      </c>
      <c r="J3074" t="s">
        <v>1276</v>
      </c>
      <c r="K3074" t="s">
        <v>1277</v>
      </c>
      <c r="L3074" t="s">
        <v>1308</v>
      </c>
      <c r="M3074" t="s">
        <v>1389</v>
      </c>
      <c r="N3074">
        <v>1</v>
      </c>
      <c r="O3074" t="str">
        <f t="shared" si="254"/>
        <v>25</v>
      </c>
      <c r="Q3074">
        <v>25</v>
      </c>
      <c r="R3074" t="s">
        <v>1269</v>
      </c>
      <c r="S3074">
        <v>0.93700000000000006</v>
      </c>
      <c r="T3074">
        <v>0.1913</v>
      </c>
      <c r="U3074">
        <f t="shared" si="255"/>
        <v>0</v>
      </c>
      <c r="V3074" t="str">
        <f t="shared" ref="V3074:V3137" si="257">_xlfn.XLOOKUP(L3074,$BV:$BV,$BT:$BT,,0)</f>
        <v>Elementary Pupil Management</v>
      </c>
      <c r="W3074" t="str">
        <f t="shared" ref="W3074:W3137" si="258">_xlfn.TEXTAFTER(V3074," ")</f>
        <v>Pupil Management</v>
      </c>
    </row>
    <row r="3075" spans="1:23" x14ac:dyDescent="0.25">
      <c r="A3075">
        <v>35200</v>
      </c>
      <c r="B3075" t="s">
        <v>1363</v>
      </c>
      <c r="C3075">
        <v>0.17699999999999999</v>
      </c>
      <c r="D3075" t="s">
        <v>1264</v>
      </c>
      <c r="E3075">
        <v>100280</v>
      </c>
      <c r="F3075">
        <v>35200</v>
      </c>
      <c r="G3075" t="str">
        <f t="shared" si="256"/>
        <v>35200</v>
      </c>
      <c r="H3075" t="s">
        <v>556</v>
      </c>
      <c r="I3075" t="s">
        <v>1265</v>
      </c>
      <c r="J3075" t="s">
        <v>1266</v>
      </c>
      <c r="K3075" t="s">
        <v>1267</v>
      </c>
      <c r="L3075" t="s">
        <v>1363</v>
      </c>
      <c r="M3075" t="s">
        <v>1386</v>
      </c>
      <c r="N3075">
        <v>1</v>
      </c>
      <c r="O3075" t="str">
        <f t="shared" ref="O3075:O3138" si="259">MID(L3075,3,2)</f>
        <v>25</v>
      </c>
      <c r="Q3075">
        <v>25</v>
      </c>
      <c r="R3075" t="s">
        <v>1269</v>
      </c>
      <c r="S3075">
        <v>0.17699999999999999</v>
      </c>
      <c r="T3075">
        <v>0.1913</v>
      </c>
      <c r="U3075">
        <f t="shared" ref="U3075:U3138" si="260">IF(N3075=21,ROUND(T3075*S3075,3),0)</f>
        <v>0</v>
      </c>
      <c r="V3075" t="str">
        <f t="shared" si="257"/>
        <v>Middle Pupil Management</v>
      </c>
      <c r="W3075" t="str">
        <f t="shared" si="258"/>
        <v>Pupil Management</v>
      </c>
    </row>
    <row r="3076" spans="1:23" x14ac:dyDescent="0.25">
      <c r="A3076">
        <v>36140</v>
      </c>
      <c r="B3076" t="s">
        <v>1383</v>
      </c>
      <c r="C3076">
        <v>3.7909999999999999</v>
      </c>
      <c r="D3076" t="s">
        <v>1264</v>
      </c>
      <c r="E3076">
        <v>100283</v>
      </c>
      <c r="F3076">
        <v>36140</v>
      </c>
      <c r="G3076" t="str">
        <f t="shared" si="256"/>
        <v>36140</v>
      </c>
      <c r="H3076" t="s">
        <v>558</v>
      </c>
      <c r="I3076" t="s">
        <v>1265</v>
      </c>
      <c r="J3076" t="s">
        <v>1271</v>
      </c>
      <c r="K3076" t="s">
        <v>1272</v>
      </c>
      <c r="L3076" t="s">
        <v>1383</v>
      </c>
      <c r="M3076" t="s">
        <v>1409</v>
      </c>
      <c r="N3076">
        <v>21</v>
      </c>
      <c r="O3076" t="str">
        <f t="shared" si="259"/>
        <v>25</v>
      </c>
      <c r="Q3076">
        <v>25</v>
      </c>
      <c r="R3076" t="s">
        <v>1269</v>
      </c>
      <c r="S3076">
        <v>3.7909999999999999</v>
      </c>
      <c r="T3076">
        <v>0.2253</v>
      </c>
      <c r="U3076">
        <f t="shared" si="260"/>
        <v>0.85399999999999998</v>
      </c>
      <c r="V3076" t="str">
        <f t="shared" si="257"/>
        <v>High Pupil Management</v>
      </c>
      <c r="W3076" t="str">
        <f t="shared" si="258"/>
        <v>Pupil Management</v>
      </c>
    </row>
    <row r="3077" spans="1:23" x14ac:dyDescent="0.25">
      <c r="A3077">
        <v>36140</v>
      </c>
      <c r="B3077" t="s">
        <v>1311</v>
      </c>
      <c r="C3077">
        <v>5.6000000000000001E-2</v>
      </c>
      <c r="D3077" t="s">
        <v>1264</v>
      </c>
      <c r="E3077">
        <v>100283</v>
      </c>
      <c r="F3077">
        <v>36140</v>
      </c>
      <c r="G3077" t="str">
        <f t="shared" si="256"/>
        <v>36140</v>
      </c>
      <c r="H3077" t="s">
        <v>558</v>
      </c>
      <c r="I3077" t="s">
        <v>1265</v>
      </c>
      <c r="J3077" t="s">
        <v>1276</v>
      </c>
      <c r="K3077" t="s">
        <v>1277</v>
      </c>
      <c r="L3077" t="s">
        <v>1311</v>
      </c>
      <c r="M3077" t="s">
        <v>1327</v>
      </c>
      <c r="N3077">
        <v>21</v>
      </c>
      <c r="O3077" t="str">
        <f t="shared" si="259"/>
        <v>26</v>
      </c>
      <c r="Q3077">
        <v>26</v>
      </c>
      <c r="R3077" t="s">
        <v>1269</v>
      </c>
      <c r="S3077">
        <v>5.6000000000000001E-2</v>
      </c>
      <c r="T3077">
        <v>0.2253</v>
      </c>
      <c r="U3077">
        <f t="shared" si="260"/>
        <v>1.2999999999999999E-2</v>
      </c>
      <c r="V3077" t="str">
        <f t="shared" si="257"/>
        <v>Elementary Health/
Related Services</v>
      </c>
      <c r="W3077" t="str">
        <f t="shared" si="258"/>
        <v>Health/
Related Services</v>
      </c>
    </row>
    <row r="3078" spans="1:23" x14ac:dyDescent="0.25">
      <c r="A3078">
        <v>36140</v>
      </c>
      <c r="B3078" t="s">
        <v>1315</v>
      </c>
      <c r="C3078">
        <v>0.13100000000000001</v>
      </c>
      <c r="D3078" t="s">
        <v>1264</v>
      </c>
      <c r="E3078">
        <v>100283</v>
      </c>
      <c r="F3078">
        <v>36140</v>
      </c>
      <c r="G3078" t="str">
        <f t="shared" si="256"/>
        <v>36140</v>
      </c>
      <c r="H3078" t="s">
        <v>558</v>
      </c>
      <c r="I3078" t="s">
        <v>1265</v>
      </c>
      <c r="J3078" t="s">
        <v>1276</v>
      </c>
      <c r="K3078" t="s">
        <v>1277</v>
      </c>
      <c r="L3078" t="s">
        <v>1315</v>
      </c>
      <c r="M3078" t="s">
        <v>1375</v>
      </c>
      <c r="N3078">
        <v>1</v>
      </c>
      <c r="O3078" t="str">
        <f t="shared" si="259"/>
        <v>26</v>
      </c>
      <c r="Q3078">
        <v>26</v>
      </c>
      <c r="R3078" t="s">
        <v>1269</v>
      </c>
      <c r="S3078">
        <v>0.13100000000000001</v>
      </c>
      <c r="T3078">
        <v>0.2253</v>
      </c>
      <c r="U3078">
        <f t="shared" si="260"/>
        <v>0</v>
      </c>
      <c r="V3078" t="str">
        <f t="shared" si="257"/>
        <v>Elementary Health/
Related Services</v>
      </c>
      <c r="W3078" t="str">
        <f t="shared" si="258"/>
        <v>Health/
Related Services</v>
      </c>
    </row>
    <row r="3079" spans="1:23" x14ac:dyDescent="0.25">
      <c r="A3079">
        <v>36140</v>
      </c>
      <c r="B3079" t="s">
        <v>1324</v>
      </c>
      <c r="C3079">
        <v>0.54800000000000004</v>
      </c>
      <c r="D3079" t="s">
        <v>1264</v>
      </c>
      <c r="E3079">
        <v>100283</v>
      </c>
      <c r="F3079">
        <v>36140</v>
      </c>
      <c r="G3079" t="str">
        <f t="shared" si="256"/>
        <v>36140</v>
      </c>
      <c r="H3079" t="s">
        <v>558</v>
      </c>
      <c r="I3079" t="s">
        <v>1265</v>
      </c>
      <c r="J3079" t="s">
        <v>1271</v>
      </c>
      <c r="K3079" t="s">
        <v>1272</v>
      </c>
      <c r="L3079" t="s">
        <v>1324</v>
      </c>
      <c r="M3079" t="s">
        <v>1325</v>
      </c>
      <c r="N3079">
        <v>21</v>
      </c>
      <c r="O3079" t="str">
        <f t="shared" si="259"/>
        <v>26</v>
      </c>
      <c r="Q3079">
        <v>26</v>
      </c>
      <c r="R3079" t="s">
        <v>1269</v>
      </c>
      <c r="S3079">
        <v>0.54800000000000004</v>
      </c>
      <c r="T3079">
        <v>0.2253</v>
      </c>
      <c r="U3079">
        <f t="shared" si="260"/>
        <v>0.123</v>
      </c>
      <c r="V3079" t="str">
        <f t="shared" si="257"/>
        <v>High Health/
Related Services</v>
      </c>
      <c r="W3079" t="str">
        <f t="shared" si="258"/>
        <v>Health/
Related Services</v>
      </c>
    </row>
    <row r="3080" spans="1:23" x14ac:dyDescent="0.25">
      <c r="A3080">
        <v>36140</v>
      </c>
      <c r="B3080" t="s">
        <v>1295</v>
      </c>
      <c r="C3080">
        <v>3.8679999999999999</v>
      </c>
      <c r="D3080" t="s">
        <v>1264</v>
      </c>
      <c r="E3080">
        <v>100283</v>
      </c>
      <c r="F3080">
        <v>36140</v>
      </c>
      <c r="G3080" t="str">
        <f t="shared" si="256"/>
        <v>36140</v>
      </c>
      <c r="H3080" t="s">
        <v>558</v>
      </c>
      <c r="I3080" t="s">
        <v>1265</v>
      </c>
      <c r="J3080" t="s">
        <v>1271</v>
      </c>
      <c r="K3080" t="s">
        <v>1272</v>
      </c>
      <c r="L3080" t="s">
        <v>1295</v>
      </c>
      <c r="M3080" t="s">
        <v>1296</v>
      </c>
      <c r="N3080">
        <v>1</v>
      </c>
      <c r="O3080" t="str">
        <f t="shared" si="259"/>
        <v>26</v>
      </c>
      <c r="Q3080">
        <v>26</v>
      </c>
      <c r="R3080" t="s">
        <v>1269</v>
      </c>
      <c r="S3080">
        <v>3.8679999999999999</v>
      </c>
      <c r="T3080">
        <v>0.2253</v>
      </c>
      <c r="U3080">
        <f t="shared" si="260"/>
        <v>0</v>
      </c>
      <c r="V3080" t="str">
        <f t="shared" si="257"/>
        <v>High Health/
Related Services</v>
      </c>
      <c r="W3080" t="str">
        <f t="shared" si="258"/>
        <v>Health/
Related Services</v>
      </c>
    </row>
    <row r="3081" spans="1:23" x14ac:dyDescent="0.25">
      <c r="A3081">
        <v>36140</v>
      </c>
      <c r="B3081" t="s">
        <v>1291</v>
      </c>
      <c r="C3081">
        <v>0.373</v>
      </c>
      <c r="D3081" t="s">
        <v>1264</v>
      </c>
      <c r="E3081">
        <v>100283</v>
      </c>
      <c r="F3081">
        <v>36140</v>
      </c>
      <c r="G3081" t="str">
        <f t="shared" si="256"/>
        <v>36140</v>
      </c>
      <c r="H3081" t="s">
        <v>558</v>
      </c>
      <c r="I3081" t="s">
        <v>1265</v>
      </c>
      <c r="J3081" t="s">
        <v>1266</v>
      </c>
      <c r="K3081" t="s">
        <v>1267</v>
      </c>
      <c r="L3081" t="s">
        <v>1291</v>
      </c>
      <c r="M3081" t="s">
        <v>1292</v>
      </c>
      <c r="N3081">
        <v>1</v>
      </c>
      <c r="O3081" t="str">
        <f t="shared" si="259"/>
        <v>26</v>
      </c>
      <c r="Q3081">
        <v>26</v>
      </c>
      <c r="R3081" t="s">
        <v>1269</v>
      </c>
      <c r="S3081">
        <v>0.373</v>
      </c>
      <c r="T3081">
        <v>0.2253</v>
      </c>
      <c r="U3081">
        <f t="shared" si="260"/>
        <v>0</v>
      </c>
      <c r="V3081" t="str">
        <f t="shared" si="257"/>
        <v>Middle Health/
Related Services</v>
      </c>
      <c r="W3081" t="str">
        <f t="shared" si="258"/>
        <v>Health/
Related Services</v>
      </c>
    </row>
    <row r="3082" spans="1:23" x14ac:dyDescent="0.25">
      <c r="A3082">
        <v>36140</v>
      </c>
      <c r="B3082" t="s">
        <v>1350</v>
      </c>
      <c r="C3082">
        <v>0.48399999999999999</v>
      </c>
      <c r="D3082" t="s">
        <v>1264</v>
      </c>
      <c r="E3082">
        <v>100283</v>
      </c>
      <c r="F3082">
        <v>36140</v>
      </c>
      <c r="G3082" t="str">
        <f t="shared" si="256"/>
        <v>36140</v>
      </c>
      <c r="H3082" t="s">
        <v>558</v>
      </c>
      <c r="I3082" t="s">
        <v>1265</v>
      </c>
      <c r="J3082" t="s">
        <v>1276</v>
      </c>
      <c r="K3082" t="s">
        <v>1277</v>
      </c>
      <c r="L3082" t="s">
        <v>1350</v>
      </c>
      <c r="M3082" t="s">
        <v>1433</v>
      </c>
      <c r="N3082">
        <v>1</v>
      </c>
      <c r="O3082" t="str">
        <f t="shared" si="259"/>
        <v>35</v>
      </c>
      <c r="Q3082">
        <v>35</v>
      </c>
      <c r="R3082" t="s">
        <v>1269</v>
      </c>
      <c r="S3082">
        <v>0.48399999999999999</v>
      </c>
      <c r="T3082">
        <v>0.2253</v>
      </c>
      <c r="U3082">
        <f t="shared" si="260"/>
        <v>0</v>
      </c>
      <c r="V3082" t="str">
        <f t="shared" si="257"/>
        <v>Elementary Pupil Safety</v>
      </c>
      <c r="W3082" t="str">
        <f t="shared" si="258"/>
        <v>Pupil Safety</v>
      </c>
    </row>
    <row r="3083" spans="1:23" x14ac:dyDescent="0.25">
      <c r="A3083">
        <v>36140</v>
      </c>
      <c r="B3083" t="s">
        <v>1401</v>
      </c>
      <c r="C3083">
        <v>2.181</v>
      </c>
      <c r="D3083" t="s">
        <v>1264</v>
      </c>
      <c r="E3083">
        <v>100283</v>
      </c>
      <c r="F3083">
        <v>36140</v>
      </c>
      <c r="G3083" t="str">
        <f t="shared" si="256"/>
        <v>36140</v>
      </c>
      <c r="H3083" t="s">
        <v>558</v>
      </c>
      <c r="I3083" t="s">
        <v>1265</v>
      </c>
      <c r="J3083" t="s">
        <v>1271</v>
      </c>
      <c r="K3083" t="s">
        <v>1272</v>
      </c>
      <c r="L3083" t="s">
        <v>1401</v>
      </c>
      <c r="M3083" t="s">
        <v>1422</v>
      </c>
      <c r="N3083">
        <v>1</v>
      </c>
      <c r="O3083" t="str">
        <f t="shared" si="259"/>
        <v>35</v>
      </c>
      <c r="Q3083">
        <v>35</v>
      </c>
      <c r="R3083" t="s">
        <v>1269</v>
      </c>
      <c r="S3083">
        <v>2.181</v>
      </c>
      <c r="T3083">
        <v>0.2253</v>
      </c>
      <c r="U3083">
        <f t="shared" si="260"/>
        <v>0</v>
      </c>
      <c r="V3083" t="str">
        <f t="shared" si="257"/>
        <v>High Pupil Safety</v>
      </c>
      <c r="W3083" t="str">
        <f t="shared" si="258"/>
        <v>Pupil Safety</v>
      </c>
    </row>
    <row r="3084" spans="1:23" x14ac:dyDescent="0.25">
      <c r="A3084">
        <v>36140</v>
      </c>
      <c r="B3084" t="s">
        <v>1377</v>
      </c>
      <c r="C3084">
        <v>0.97</v>
      </c>
      <c r="D3084" t="s">
        <v>1264</v>
      </c>
      <c r="E3084">
        <v>100283</v>
      </c>
      <c r="F3084">
        <v>36140</v>
      </c>
      <c r="G3084" t="str">
        <f t="shared" si="256"/>
        <v>36140</v>
      </c>
      <c r="H3084" t="s">
        <v>558</v>
      </c>
      <c r="I3084" t="s">
        <v>1265</v>
      </c>
      <c r="J3084" t="s">
        <v>1266</v>
      </c>
      <c r="K3084" t="s">
        <v>1267</v>
      </c>
      <c r="L3084" t="s">
        <v>1377</v>
      </c>
      <c r="M3084" t="s">
        <v>1423</v>
      </c>
      <c r="N3084">
        <v>1</v>
      </c>
      <c r="O3084" t="str">
        <f t="shared" si="259"/>
        <v>35</v>
      </c>
      <c r="Q3084">
        <v>35</v>
      </c>
      <c r="R3084" t="s">
        <v>1269</v>
      </c>
      <c r="S3084">
        <v>0.97</v>
      </c>
      <c r="T3084">
        <v>0.2253</v>
      </c>
      <c r="U3084">
        <f t="shared" si="260"/>
        <v>0</v>
      </c>
      <c r="V3084" t="str">
        <f t="shared" si="257"/>
        <v>Middle Pupil Safety</v>
      </c>
      <c r="W3084" t="str">
        <f t="shared" si="258"/>
        <v>Pupil Safety</v>
      </c>
    </row>
    <row r="3085" spans="1:23" x14ac:dyDescent="0.25">
      <c r="A3085">
        <v>36140</v>
      </c>
      <c r="B3085" t="s">
        <v>1321</v>
      </c>
      <c r="C3085">
        <v>0.5</v>
      </c>
      <c r="D3085" t="s">
        <v>1264</v>
      </c>
      <c r="E3085">
        <v>100283</v>
      </c>
      <c r="F3085">
        <v>36140</v>
      </c>
      <c r="G3085" t="str">
        <f t="shared" si="256"/>
        <v>36140</v>
      </c>
      <c r="H3085" t="s">
        <v>558</v>
      </c>
      <c r="I3085" t="s">
        <v>1265</v>
      </c>
      <c r="J3085" t="s">
        <v>1276</v>
      </c>
      <c r="K3085" t="s">
        <v>1277</v>
      </c>
      <c r="L3085" t="s">
        <v>1321</v>
      </c>
      <c r="M3085" t="s">
        <v>1429</v>
      </c>
      <c r="N3085">
        <v>21</v>
      </c>
      <c r="O3085" t="str">
        <f t="shared" si="259"/>
        <v>42</v>
      </c>
      <c r="P3085">
        <v>42</v>
      </c>
      <c r="R3085" t="s">
        <v>1269</v>
      </c>
      <c r="S3085">
        <v>0.5</v>
      </c>
      <c r="T3085">
        <v>0.2253</v>
      </c>
      <c r="U3085">
        <f t="shared" si="260"/>
        <v>0.113</v>
      </c>
      <c r="V3085" t="str">
        <f t="shared" si="257"/>
        <v>Elementary Counselor</v>
      </c>
      <c r="W3085" t="str">
        <f t="shared" si="258"/>
        <v>Counselor</v>
      </c>
    </row>
    <row r="3086" spans="1:23" x14ac:dyDescent="0.25">
      <c r="A3086">
        <v>36140</v>
      </c>
      <c r="B3086" t="s">
        <v>1275</v>
      </c>
      <c r="C3086">
        <v>5.82</v>
      </c>
      <c r="D3086" t="s">
        <v>1264</v>
      </c>
      <c r="E3086">
        <v>100283</v>
      </c>
      <c r="F3086">
        <v>36140</v>
      </c>
      <c r="G3086" t="str">
        <f t="shared" si="256"/>
        <v>36140</v>
      </c>
      <c r="H3086" t="s">
        <v>558</v>
      </c>
      <c r="I3086" t="s">
        <v>1265</v>
      </c>
      <c r="J3086" t="s">
        <v>1276</v>
      </c>
      <c r="K3086" t="s">
        <v>1277</v>
      </c>
      <c r="L3086" t="s">
        <v>1275</v>
      </c>
      <c r="M3086" t="s">
        <v>1278</v>
      </c>
      <c r="N3086">
        <v>1</v>
      </c>
      <c r="O3086" t="str">
        <f t="shared" si="259"/>
        <v>42</v>
      </c>
      <c r="P3086">
        <v>42</v>
      </c>
      <c r="R3086" t="s">
        <v>1269</v>
      </c>
      <c r="S3086">
        <v>5.82</v>
      </c>
      <c r="T3086">
        <v>0.2253</v>
      </c>
      <c r="U3086">
        <f t="shared" si="260"/>
        <v>0</v>
      </c>
      <c r="V3086" t="str">
        <f t="shared" si="257"/>
        <v>Elementary Counselor</v>
      </c>
      <c r="W3086" t="str">
        <f t="shared" si="258"/>
        <v>Counselor</v>
      </c>
    </row>
    <row r="3087" spans="1:23" x14ac:dyDescent="0.25">
      <c r="A3087">
        <v>36140</v>
      </c>
      <c r="B3087" t="s">
        <v>1270</v>
      </c>
      <c r="C3087">
        <v>5</v>
      </c>
      <c r="D3087" t="s">
        <v>1264</v>
      </c>
      <c r="E3087">
        <v>100283</v>
      </c>
      <c r="F3087">
        <v>36140</v>
      </c>
      <c r="G3087" t="str">
        <f t="shared" si="256"/>
        <v>36140</v>
      </c>
      <c r="H3087" t="s">
        <v>558</v>
      </c>
      <c r="I3087" t="s">
        <v>1265</v>
      </c>
      <c r="J3087" t="s">
        <v>1271</v>
      </c>
      <c r="K3087" t="s">
        <v>1272</v>
      </c>
      <c r="L3087" t="s">
        <v>1270</v>
      </c>
      <c r="M3087" t="s">
        <v>1273</v>
      </c>
      <c r="N3087">
        <v>1</v>
      </c>
      <c r="O3087" t="str">
        <f t="shared" si="259"/>
        <v>42</v>
      </c>
      <c r="P3087">
        <v>42</v>
      </c>
      <c r="R3087" t="s">
        <v>1269</v>
      </c>
      <c r="S3087">
        <v>5</v>
      </c>
      <c r="T3087">
        <v>0.2253</v>
      </c>
      <c r="U3087">
        <f t="shared" si="260"/>
        <v>0</v>
      </c>
      <c r="V3087" t="str">
        <f t="shared" si="257"/>
        <v>High Counselor</v>
      </c>
      <c r="W3087" t="str">
        <f t="shared" si="258"/>
        <v>Counselor</v>
      </c>
    </row>
    <row r="3088" spans="1:23" x14ac:dyDescent="0.25">
      <c r="A3088">
        <v>36140</v>
      </c>
      <c r="B3088" t="s">
        <v>1263</v>
      </c>
      <c r="C3088">
        <v>2.68</v>
      </c>
      <c r="D3088" t="s">
        <v>1264</v>
      </c>
      <c r="E3088">
        <v>100283</v>
      </c>
      <c r="F3088">
        <v>36140</v>
      </c>
      <c r="G3088" t="str">
        <f t="shared" si="256"/>
        <v>36140</v>
      </c>
      <c r="H3088" t="s">
        <v>558</v>
      </c>
      <c r="I3088" t="s">
        <v>1265</v>
      </c>
      <c r="J3088" t="s">
        <v>1266</v>
      </c>
      <c r="K3088" t="s">
        <v>1267</v>
      </c>
      <c r="L3088" t="s">
        <v>1263</v>
      </c>
      <c r="M3088" t="s">
        <v>1268</v>
      </c>
      <c r="N3088">
        <v>1</v>
      </c>
      <c r="O3088" t="str">
        <f t="shared" si="259"/>
        <v>42</v>
      </c>
      <c r="P3088">
        <v>42</v>
      </c>
      <c r="R3088" t="s">
        <v>1269</v>
      </c>
      <c r="S3088">
        <v>2.68</v>
      </c>
      <c r="T3088">
        <v>0.2253</v>
      </c>
      <c r="U3088">
        <f t="shared" si="260"/>
        <v>0</v>
      </c>
      <c r="V3088" t="str">
        <f t="shared" si="257"/>
        <v>Middle Counselor</v>
      </c>
      <c r="W3088" t="str">
        <f t="shared" si="258"/>
        <v>Counselor</v>
      </c>
    </row>
    <row r="3089" spans="1:23" x14ac:dyDescent="0.25">
      <c r="A3089">
        <v>36140</v>
      </c>
      <c r="B3089" t="s">
        <v>1289</v>
      </c>
      <c r="C3089">
        <v>1</v>
      </c>
      <c r="D3089" t="s">
        <v>1264</v>
      </c>
      <c r="E3089">
        <v>100283</v>
      </c>
      <c r="F3089">
        <v>36140</v>
      </c>
      <c r="G3089" t="str">
        <f t="shared" si="256"/>
        <v>36140</v>
      </c>
      <c r="H3089" t="s">
        <v>558</v>
      </c>
      <c r="I3089" t="s">
        <v>1265</v>
      </c>
      <c r="J3089" t="s">
        <v>1276</v>
      </c>
      <c r="K3089" t="s">
        <v>1277</v>
      </c>
      <c r="L3089" t="s">
        <v>1289</v>
      </c>
      <c r="M3089" t="s">
        <v>1307</v>
      </c>
      <c r="N3089">
        <v>21</v>
      </c>
      <c r="O3089" t="str">
        <f t="shared" si="259"/>
        <v>43</v>
      </c>
      <c r="P3089">
        <v>43</v>
      </c>
      <c r="R3089" t="s">
        <v>1269</v>
      </c>
      <c r="S3089">
        <v>1</v>
      </c>
      <c r="T3089">
        <v>0.2253</v>
      </c>
      <c r="U3089">
        <f t="shared" si="260"/>
        <v>0.22500000000000001</v>
      </c>
      <c r="V3089" t="str">
        <f t="shared" si="257"/>
        <v>Elementary Occupational Therapist</v>
      </c>
      <c r="W3089" t="str">
        <f t="shared" si="258"/>
        <v>Occupational Therapist</v>
      </c>
    </row>
    <row r="3090" spans="1:23" x14ac:dyDescent="0.25">
      <c r="A3090">
        <v>36140</v>
      </c>
      <c r="B3090" t="s">
        <v>1294</v>
      </c>
      <c r="C3090">
        <v>5.1159999999999997</v>
      </c>
      <c r="D3090" t="s">
        <v>1264</v>
      </c>
      <c r="E3090">
        <v>100283</v>
      </c>
      <c r="F3090">
        <v>36140</v>
      </c>
      <c r="G3090" t="str">
        <f t="shared" si="256"/>
        <v>36140</v>
      </c>
      <c r="H3090" t="s">
        <v>558</v>
      </c>
      <c r="I3090" t="s">
        <v>1265</v>
      </c>
      <c r="J3090" t="s">
        <v>1276</v>
      </c>
      <c r="K3090" t="s">
        <v>1277</v>
      </c>
      <c r="L3090" t="s">
        <v>1294</v>
      </c>
      <c r="M3090" t="s">
        <v>1354</v>
      </c>
      <c r="N3090">
        <v>21</v>
      </c>
      <c r="O3090" t="str">
        <f t="shared" si="259"/>
        <v>45</v>
      </c>
      <c r="P3090">
        <v>45</v>
      </c>
      <c r="R3090" t="s">
        <v>1269</v>
      </c>
      <c r="S3090">
        <v>5.1159999999999997</v>
      </c>
      <c r="T3090">
        <v>0.2253</v>
      </c>
      <c r="U3090">
        <f t="shared" si="260"/>
        <v>1.153</v>
      </c>
      <c r="V3090" t="str">
        <f t="shared" si="257"/>
        <v>Elementary Speech, Language Pathway/
Audio</v>
      </c>
      <c r="W3090" t="str">
        <f t="shared" si="258"/>
        <v>Speech, Language Pathway/
Audio</v>
      </c>
    </row>
    <row r="3091" spans="1:23" x14ac:dyDescent="0.25">
      <c r="A3091">
        <v>36140</v>
      </c>
      <c r="B3091" t="s">
        <v>1326</v>
      </c>
      <c r="C3091">
        <v>1.3080000000000001</v>
      </c>
      <c r="D3091" t="s">
        <v>1264</v>
      </c>
      <c r="E3091">
        <v>100283</v>
      </c>
      <c r="F3091">
        <v>36140</v>
      </c>
      <c r="G3091" t="str">
        <f t="shared" si="256"/>
        <v>36140</v>
      </c>
      <c r="H3091" t="s">
        <v>558</v>
      </c>
      <c r="I3091" t="s">
        <v>1265</v>
      </c>
      <c r="J3091" t="s">
        <v>1271</v>
      </c>
      <c r="K3091" t="s">
        <v>1272</v>
      </c>
      <c r="L3091" t="s">
        <v>1326</v>
      </c>
      <c r="M3091" t="s">
        <v>1353</v>
      </c>
      <c r="N3091">
        <v>21</v>
      </c>
      <c r="O3091" t="str">
        <f t="shared" si="259"/>
        <v>45</v>
      </c>
      <c r="P3091">
        <v>45</v>
      </c>
      <c r="R3091" t="s">
        <v>1269</v>
      </c>
      <c r="S3091">
        <v>1.3080000000000001</v>
      </c>
      <c r="T3091">
        <v>0.2253</v>
      </c>
      <c r="U3091">
        <f t="shared" si="260"/>
        <v>0.29499999999999998</v>
      </c>
      <c r="V3091" t="str">
        <f t="shared" si="257"/>
        <v>High Speech, Language Pathway/
Audio</v>
      </c>
      <c r="W3091" t="str">
        <f t="shared" si="258"/>
        <v>Speech, Language Pathway/
Audio</v>
      </c>
    </row>
    <row r="3092" spans="1:23" x14ac:dyDescent="0.25">
      <c r="A3092">
        <v>36140</v>
      </c>
      <c r="B3092" t="s">
        <v>1312</v>
      </c>
      <c r="C3092">
        <v>1.3759999999999999</v>
      </c>
      <c r="D3092" t="s">
        <v>1264</v>
      </c>
      <c r="E3092">
        <v>100283</v>
      </c>
      <c r="F3092">
        <v>36140</v>
      </c>
      <c r="G3092" t="str">
        <f t="shared" si="256"/>
        <v>36140</v>
      </c>
      <c r="H3092" t="s">
        <v>558</v>
      </c>
      <c r="I3092" t="s">
        <v>1265</v>
      </c>
      <c r="J3092" t="s">
        <v>1266</v>
      </c>
      <c r="K3092" t="s">
        <v>1267</v>
      </c>
      <c r="L3092" t="s">
        <v>1312</v>
      </c>
      <c r="M3092" t="s">
        <v>1351</v>
      </c>
      <c r="N3092">
        <v>21</v>
      </c>
      <c r="O3092" t="str">
        <f t="shared" si="259"/>
        <v>45</v>
      </c>
      <c r="P3092">
        <v>45</v>
      </c>
      <c r="R3092" t="s">
        <v>1269</v>
      </c>
      <c r="S3092">
        <v>1.3759999999999999</v>
      </c>
      <c r="T3092">
        <v>0.2253</v>
      </c>
      <c r="U3092">
        <f t="shared" si="260"/>
        <v>0.31</v>
      </c>
      <c r="V3092" t="str">
        <f t="shared" si="257"/>
        <v>Middle Speech, Language Pathway/
Audio</v>
      </c>
      <c r="W3092" t="str">
        <f t="shared" si="258"/>
        <v>Speech, Language Pathway/
Audio</v>
      </c>
    </row>
    <row r="3093" spans="1:23" x14ac:dyDescent="0.25">
      <c r="A3093">
        <v>36140</v>
      </c>
      <c r="B3093" t="s">
        <v>1298</v>
      </c>
      <c r="C3093">
        <v>2.556</v>
      </c>
      <c r="D3093" t="s">
        <v>1264</v>
      </c>
      <c r="E3093">
        <v>100283</v>
      </c>
      <c r="F3093">
        <v>36140</v>
      </c>
      <c r="G3093" t="str">
        <f t="shared" si="256"/>
        <v>36140</v>
      </c>
      <c r="H3093" t="s">
        <v>558</v>
      </c>
      <c r="I3093" t="s">
        <v>1265</v>
      </c>
      <c r="J3093" t="s">
        <v>1276</v>
      </c>
      <c r="K3093" t="s">
        <v>1277</v>
      </c>
      <c r="L3093" t="s">
        <v>1298</v>
      </c>
      <c r="M3093" t="s">
        <v>1349</v>
      </c>
      <c r="N3093">
        <v>21</v>
      </c>
      <c r="O3093" t="str">
        <f t="shared" si="259"/>
        <v>46</v>
      </c>
      <c r="P3093">
        <v>46</v>
      </c>
      <c r="R3093" t="s">
        <v>1269</v>
      </c>
      <c r="S3093">
        <v>2.556</v>
      </c>
      <c r="T3093">
        <v>0.2253</v>
      </c>
      <c r="U3093">
        <f t="shared" si="260"/>
        <v>0.57599999999999996</v>
      </c>
      <c r="V3093" t="str">
        <f t="shared" si="257"/>
        <v>Elementary Psychologist</v>
      </c>
      <c r="W3093" t="str">
        <f t="shared" si="258"/>
        <v>Psychologist</v>
      </c>
    </row>
    <row r="3094" spans="1:23" x14ac:dyDescent="0.25">
      <c r="A3094">
        <v>36140</v>
      </c>
      <c r="B3094" t="s">
        <v>1309</v>
      </c>
      <c r="C3094">
        <v>2.15</v>
      </c>
      <c r="D3094" t="s">
        <v>1264</v>
      </c>
      <c r="E3094">
        <v>100283</v>
      </c>
      <c r="F3094">
        <v>36140</v>
      </c>
      <c r="G3094" t="str">
        <f t="shared" si="256"/>
        <v>36140</v>
      </c>
      <c r="H3094" t="s">
        <v>558</v>
      </c>
      <c r="I3094" t="s">
        <v>1265</v>
      </c>
      <c r="J3094" t="s">
        <v>1271</v>
      </c>
      <c r="K3094" t="s">
        <v>1272</v>
      </c>
      <c r="L3094" t="s">
        <v>1309</v>
      </c>
      <c r="M3094" t="s">
        <v>1310</v>
      </c>
      <c r="N3094">
        <v>21</v>
      </c>
      <c r="O3094" t="str">
        <f t="shared" si="259"/>
        <v>46</v>
      </c>
      <c r="P3094">
        <v>46</v>
      </c>
      <c r="R3094" t="s">
        <v>1269</v>
      </c>
      <c r="S3094">
        <v>2.15</v>
      </c>
      <c r="T3094">
        <v>0.2253</v>
      </c>
      <c r="U3094">
        <f t="shared" si="260"/>
        <v>0.48399999999999999</v>
      </c>
      <c r="V3094" t="str">
        <f t="shared" si="257"/>
        <v>High Psychologist</v>
      </c>
      <c r="W3094" t="str">
        <f t="shared" si="258"/>
        <v>Psychologist</v>
      </c>
    </row>
    <row r="3095" spans="1:23" x14ac:dyDescent="0.25">
      <c r="A3095">
        <v>36140</v>
      </c>
      <c r="B3095" t="s">
        <v>1345</v>
      </c>
      <c r="C3095">
        <v>0.89400000000000002</v>
      </c>
      <c r="D3095" t="s">
        <v>1264</v>
      </c>
      <c r="E3095">
        <v>100283</v>
      </c>
      <c r="F3095">
        <v>36140</v>
      </c>
      <c r="G3095" t="str">
        <f t="shared" si="256"/>
        <v>36140</v>
      </c>
      <c r="H3095" t="s">
        <v>558</v>
      </c>
      <c r="I3095" t="s">
        <v>1265</v>
      </c>
      <c r="J3095" t="s">
        <v>1266</v>
      </c>
      <c r="K3095" t="s">
        <v>1267</v>
      </c>
      <c r="L3095" t="s">
        <v>1345</v>
      </c>
      <c r="M3095" t="s">
        <v>1346</v>
      </c>
      <c r="N3095">
        <v>21</v>
      </c>
      <c r="O3095" t="str">
        <f t="shared" si="259"/>
        <v>46</v>
      </c>
      <c r="P3095">
        <v>46</v>
      </c>
      <c r="R3095" t="s">
        <v>1269</v>
      </c>
      <c r="S3095">
        <v>0.89400000000000002</v>
      </c>
      <c r="T3095">
        <v>0.2253</v>
      </c>
      <c r="U3095">
        <f t="shared" si="260"/>
        <v>0.20100000000000001</v>
      </c>
      <c r="V3095" t="str">
        <f t="shared" si="257"/>
        <v>Middle Psychologist</v>
      </c>
      <c r="W3095" t="str">
        <f t="shared" si="258"/>
        <v>Psychologist</v>
      </c>
    </row>
    <row r="3096" spans="1:23" x14ac:dyDescent="0.25">
      <c r="A3096">
        <v>36140</v>
      </c>
      <c r="B3096" t="s">
        <v>1334</v>
      </c>
      <c r="C3096">
        <v>1.25</v>
      </c>
      <c r="D3096" t="s">
        <v>1264</v>
      </c>
      <c r="E3096">
        <v>100283</v>
      </c>
      <c r="F3096">
        <v>36140</v>
      </c>
      <c r="G3096" t="str">
        <f t="shared" si="256"/>
        <v>36140</v>
      </c>
      <c r="H3096" t="s">
        <v>558</v>
      </c>
      <c r="I3096" t="s">
        <v>1265</v>
      </c>
      <c r="J3096" t="s">
        <v>1276</v>
      </c>
      <c r="K3096" t="s">
        <v>1277</v>
      </c>
      <c r="L3096" t="s">
        <v>1334</v>
      </c>
      <c r="M3096" t="s">
        <v>1413</v>
      </c>
      <c r="N3096">
        <v>21</v>
      </c>
      <c r="O3096" t="str">
        <f t="shared" si="259"/>
        <v>47</v>
      </c>
      <c r="P3096">
        <v>47</v>
      </c>
      <c r="R3096" t="s">
        <v>1269</v>
      </c>
      <c r="S3096">
        <v>1.25</v>
      </c>
      <c r="T3096">
        <v>0.2253</v>
      </c>
      <c r="U3096">
        <f t="shared" si="260"/>
        <v>0.28199999999999997</v>
      </c>
      <c r="V3096" t="str">
        <f t="shared" si="257"/>
        <v>Elementary Nurse</v>
      </c>
      <c r="W3096" t="str">
        <f t="shared" si="258"/>
        <v>Nurse</v>
      </c>
    </row>
    <row r="3097" spans="1:23" x14ac:dyDescent="0.25">
      <c r="A3097">
        <v>36140</v>
      </c>
      <c r="B3097" t="s">
        <v>1335</v>
      </c>
      <c r="C3097">
        <v>1.091</v>
      </c>
      <c r="D3097" t="s">
        <v>1264</v>
      </c>
      <c r="E3097">
        <v>100283</v>
      </c>
      <c r="F3097">
        <v>36140</v>
      </c>
      <c r="G3097" t="str">
        <f t="shared" si="256"/>
        <v>36140</v>
      </c>
      <c r="H3097" t="s">
        <v>558</v>
      </c>
      <c r="I3097" t="s">
        <v>1265</v>
      </c>
      <c r="J3097" t="s">
        <v>1276</v>
      </c>
      <c r="K3097" t="s">
        <v>1277</v>
      </c>
      <c r="L3097" t="s">
        <v>1335</v>
      </c>
      <c r="M3097" t="s">
        <v>1344</v>
      </c>
      <c r="N3097">
        <v>1</v>
      </c>
      <c r="O3097" t="str">
        <f t="shared" si="259"/>
        <v>47</v>
      </c>
      <c r="P3097">
        <v>47</v>
      </c>
      <c r="R3097" t="s">
        <v>1269</v>
      </c>
      <c r="S3097">
        <v>1.091</v>
      </c>
      <c r="T3097">
        <v>0.2253</v>
      </c>
      <c r="U3097">
        <f t="shared" si="260"/>
        <v>0</v>
      </c>
      <c r="V3097" t="str">
        <f t="shared" si="257"/>
        <v>Elementary Nurse</v>
      </c>
      <c r="W3097" t="str">
        <f t="shared" si="258"/>
        <v>Nurse</v>
      </c>
    </row>
    <row r="3098" spans="1:23" x14ac:dyDescent="0.25">
      <c r="A3098">
        <v>36140</v>
      </c>
      <c r="B3098" t="s">
        <v>1397</v>
      </c>
      <c r="C3098">
        <v>9.2999999999999999E-2</v>
      </c>
      <c r="D3098" t="s">
        <v>1264</v>
      </c>
      <c r="E3098">
        <v>100283</v>
      </c>
      <c r="F3098">
        <v>36140</v>
      </c>
      <c r="G3098" t="str">
        <f t="shared" si="256"/>
        <v>36140</v>
      </c>
      <c r="H3098" t="s">
        <v>558</v>
      </c>
      <c r="I3098" t="s">
        <v>1265</v>
      </c>
      <c r="J3098" t="s">
        <v>1271</v>
      </c>
      <c r="K3098" t="s">
        <v>1272</v>
      </c>
      <c r="L3098" t="s">
        <v>1397</v>
      </c>
      <c r="M3098" t="s">
        <v>1435</v>
      </c>
      <c r="N3098">
        <v>21</v>
      </c>
      <c r="O3098" t="str">
        <f t="shared" si="259"/>
        <v>47</v>
      </c>
      <c r="P3098">
        <v>47</v>
      </c>
      <c r="R3098" t="s">
        <v>1269</v>
      </c>
      <c r="S3098">
        <v>9.2999999999999999E-2</v>
      </c>
      <c r="T3098">
        <v>0.2253</v>
      </c>
      <c r="U3098">
        <f t="shared" si="260"/>
        <v>2.1000000000000001E-2</v>
      </c>
      <c r="V3098" t="str">
        <f t="shared" si="257"/>
        <v>High Nurse</v>
      </c>
      <c r="W3098" t="str">
        <f t="shared" si="258"/>
        <v>Nurse</v>
      </c>
    </row>
    <row r="3099" spans="1:23" x14ac:dyDescent="0.25">
      <c r="A3099">
        <v>36140</v>
      </c>
      <c r="B3099" t="s">
        <v>1341</v>
      </c>
      <c r="C3099">
        <v>0.84099999999999997</v>
      </c>
      <c r="D3099" t="s">
        <v>1264</v>
      </c>
      <c r="E3099">
        <v>100283</v>
      </c>
      <c r="F3099">
        <v>36140</v>
      </c>
      <c r="G3099" t="str">
        <f t="shared" si="256"/>
        <v>36140</v>
      </c>
      <c r="H3099" t="s">
        <v>558</v>
      </c>
      <c r="I3099" t="s">
        <v>1265</v>
      </c>
      <c r="J3099" t="s">
        <v>1271</v>
      </c>
      <c r="K3099" t="s">
        <v>1272</v>
      </c>
      <c r="L3099" t="s">
        <v>1341</v>
      </c>
      <c r="M3099" t="s">
        <v>1342</v>
      </c>
      <c r="N3099">
        <v>1</v>
      </c>
      <c r="O3099" t="str">
        <f t="shared" si="259"/>
        <v>47</v>
      </c>
      <c r="P3099">
        <v>47</v>
      </c>
      <c r="R3099" t="s">
        <v>1269</v>
      </c>
      <c r="S3099">
        <v>0.84099999999999997</v>
      </c>
      <c r="T3099">
        <v>0.2253</v>
      </c>
      <c r="U3099">
        <f t="shared" si="260"/>
        <v>0</v>
      </c>
      <c r="V3099" t="str">
        <f t="shared" si="257"/>
        <v>High Nurse</v>
      </c>
      <c r="W3099" t="str">
        <f t="shared" si="258"/>
        <v>Nurse</v>
      </c>
    </row>
    <row r="3100" spans="1:23" x14ac:dyDescent="0.25">
      <c r="A3100">
        <v>36140</v>
      </c>
      <c r="B3100" t="s">
        <v>1338</v>
      </c>
      <c r="C3100">
        <v>0.436</v>
      </c>
      <c r="D3100" t="s">
        <v>1264</v>
      </c>
      <c r="E3100">
        <v>100283</v>
      </c>
      <c r="F3100">
        <v>36140</v>
      </c>
      <c r="G3100" t="str">
        <f t="shared" si="256"/>
        <v>36140</v>
      </c>
      <c r="H3100" t="s">
        <v>558</v>
      </c>
      <c r="I3100" t="s">
        <v>1265</v>
      </c>
      <c r="J3100" t="s">
        <v>1266</v>
      </c>
      <c r="K3100" t="s">
        <v>1267</v>
      </c>
      <c r="L3100" t="s">
        <v>1338</v>
      </c>
      <c r="M3100" t="s">
        <v>1339</v>
      </c>
      <c r="N3100">
        <v>1</v>
      </c>
      <c r="O3100" t="str">
        <f t="shared" si="259"/>
        <v>47</v>
      </c>
      <c r="P3100">
        <v>47</v>
      </c>
      <c r="R3100" t="s">
        <v>1269</v>
      </c>
      <c r="S3100">
        <v>0.436</v>
      </c>
      <c r="T3100">
        <v>0.2253</v>
      </c>
      <c r="U3100">
        <f t="shared" si="260"/>
        <v>0</v>
      </c>
      <c r="V3100" t="str">
        <f t="shared" si="257"/>
        <v>Middle Nurse</v>
      </c>
      <c r="W3100" t="str">
        <f t="shared" si="258"/>
        <v>Nurse</v>
      </c>
    </row>
    <row r="3101" spans="1:23" x14ac:dyDescent="0.25">
      <c r="A3101">
        <v>36140</v>
      </c>
      <c r="B3101" t="s">
        <v>1302</v>
      </c>
      <c r="C3101">
        <v>0.75</v>
      </c>
      <c r="D3101" t="s">
        <v>1264</v>
      </c>
      <c r="E3101">
        <v>100283</v>
      </c>
      <c r="F3101">
        <v>36140</v>
      </c>
      <c r="G3101" t="str">
        <f t="shared" si="256"/>
        <v>36140</v>
      </c>
      <c r="H3101" t="s">
        <v>558</v>
      </c>
      <c r="I3101" t="s">
        <v>1265</v>
      </c>
      <c r="J3101" t="s">
        <v>1276</v>
      </c>
      <c r="K3101" t="s">
        <v>1277</v>
      </c>
      <c r="L3101" t="s">
        <v>1302</v>
      </c>
      <c r="M3101" t="s">
        <v>1336</v>
      </c>
      <c r="N3101">
        <v>21</v>
      </c>
      <c r="O3101" t="str">
        <f t="shared" si="259"/>
        <v>48</v>
      </c>
      <c r="P3101">
        <v>48</v>
      </c>
      <c r="R3101" t="s">
        <v>1269</v>
      </c>
      <c r="S3101">
        <v>0.75</v>
      </c>
      <c r="T3101">
        <v>0.2253</v>
      </c>
      <c r="U3101">
        <f t="shared" si="260"/>
        <v>0.16900000000000001</v>
      </c>
      <c r="V3101" t="str">
        <f t="shared" si="257"/>
        <v>Elementary Physical Therapist</v>
      </c>
      <c r="W3101" t="str">
        <f t="shared" si="258"/>
        <v>Physical Therapist</v>
      </c>
    </row>
    <row r="3102" spans="1:23" x14ac:dyDescent="0.25">
      <c r="A3102">
        <v>36140</v>
      </c>
      <c r="B3102" t="s">
        <v>1330</v>
      </c>
      <c r="C3102">
        <v>0.5</v>
      </c>
      <c r="D3102" t="s">
        <v>1264</v>
      </c>
      <c r="E3102">
        <v>100283</v>
      </c>
      <c r="F3102">
        <v>36140</v>
      </c>
      <c r="G3102" t="str">
        <f t="shared" si="256"/>
        <v>36140</v>
      </c>
      <c r="H3102" t="s">
        <v>558</v>
      </c>
      <c r="I3102" t="s">
        <v>1265</v>
      </c>
      <c r="J3102" t="s">
        <v>1271</v>
      </c>
      <c r="K3102" t="s">
        <v>1272</v>
      </c>
      <c r="L3102" t="s">
        <v>1330</v>
      </c>
      <c r="M3102" t="s">
        <v>1367</v>
      </c>
      <c r="N3102">
        <v>21</v>
      </c>
      <c r="O3102" t="str">
        <f t="shared" si="259"/>
        <v>48</v>
      </c>
      <c r="P3102">
        <v>48</v>
      </c>
      <c r="R3102" t="s">
        <v>1269</v>
      </c>
      <c r="S3102">
        <v>0.5</v>
      </c>
      <c r="T3102">
        <v>0.2253</v>
      </c>
      <c r="U3102">
        <f t="shared" si="260"/>
        <v>0.113</v>
      </c>
      <c r="V3102" t="str">
        <f t="shared" si="257"/>
        <v>High Physical Therapist</v>
      </c>
      <c r="W3102" t="str">
        <f t="shared" si="258"/>
        <v>Physical Therapist</v>
      </c>
    </row>
    <row r="3103" spans="1:23" x14ac:dyDescent="0.25">
      <c r="A3103">
        <v>36140</v>
      </c>
      <c r="B3103" t="s">
        <v>1316</v>
      </c>
      <c r="C3103">
        <v>0.5</v>
      </c>
      <c r="D3103" t="s">
        <v>1264</v>
      </c>
      <c r="E3103">
        <v>100283</v>
      </c>
      <c r="F3103">
        <v>36140</v>
      </c>
      <c r="G3103" t="str">
        <f t="shared" si="256"/>
        <v>36140</v>
      </c>
      <c r="H3103" t="s">
        <v>558</v>
      </c>
      <c r="I3103" t="s">
        <v>1265</v>
      </c>
      <c r="J3103" t="s">
        <v>1266</v>
      </c>
      <c r="K3103" t="s">
        <v>1267</v>
      </c>
      <c r="L3103" t="s">
        <v>1316</v>
      </c>
      <c r="M3103" t="s">
        <v>1366</v>
      </c>
      <c r="N3103">
        <v>21</v>
      </c>
      <c r="O3103" t="str">
        <f t="shared" si="259"/>
        <v>48</v>
      </c>
      <c r="P3103">
        <v>48</v>
      </c>
      <c r="R3103" t="s">
        <v>1269</v>
      </c>
      <c r="S3103">
        <v>0.5</v>
      </c>
      <c r="T3103">
        <v>0.2253</v>
      </c>
      <c r="U3103">
        <f t="shared" si="260"/>
        <v>0.113</v>
      </c>
      <c r="V3103" t="str">
        <f t="shared" si="257"/>
        <v>Middle Physical Therapist</v>
      </c>
      <c r="W3103" t="str">
        <f t="shared" si="258"/>
        <v>Physical Therapist</v>
      </c>
    </row>
    <row r="3104" spans="1:23" x14ac:dyDescent="0.25">
      <c r="A3104">
        <v>36140</v>
      </c>
      <c r="B3104" t="s">
        <v>1306</v>
      </c>
      <c r="C3104">
        <v>2.0960000000000001</v>
      </c>
      <c r="D3104" t="s">
        <v>1264</v>
      </c>
      <c r="E3104">
        <v>100283</v>
      </c>
      <c r="F3104">
        <v>36140</v>
      </c>
      <c r="G3104" t="str">
        <f t="shared" si="256"/>
        <v>36140</v>
      </c>
      <c r="H3104" t="s">
        <v>558</v>
      </c>
      <c r="I3104" t="s">
        <v>1265</v>
      </c>
      <c r="J3104" t="s">
        <v>1276</v>
      </c>
      <c r="K3104" t="s">
        <v>1277</v>
      </c>
      <c r="L3104" t="s">
        <v>1306</v>
      </c>
      <c r="M3104" t="s">
        <v>1320</v>
      </c>
      <c r="N3104">
        <v>21</v>
      </c>
      <c r="O3104" t="str">
        <f t="shared" si="259"/>
        <v>64</v>
      </c>
      <c r="P3104">
        <v>64</v>
      </c>
      <c r="R3104" t="s">
        <v>1269</v>
      </c>
      <c r="S3104">
        <v>2.0960000000000001</v>
      </c>
      <c r="T3104">
        <v>0.2253</v>
      </c>
      <c r="U3104">
        <f t="shared" si="260"/>
        <v>0.47199999999999998</v>
      </c>
      <c r="V3104" t="str">
        <f t="shared" si="257"/>
        <v>Elementary Contractor ESA</v>
      </c>
      <c r="W3104" t="str">
        <f t="shared" si="258"/>
        <v>Contractor ESA</v>
      </c>
    </row>
    <row r="3105" spans="1:23" x14ac:dyDescent="0.25">
      <c r="A3105">
        <v>36140</v>
      </c>
      <c r="B3105" t="s">
        <v>1317</v>
      </c>
      <c r="C3105">
        <v>0.33800000000000002</v>
      </c>
      <c r="D3105" t="s">
        <v>1264</v>
      </c>
      <c r="E3105">
        <v>100283</v>
      </c>
      <c r="F3105">
        <v>36140</v>
      </c>
      <c r="G3105" t="str">
        <f t="shared" si="256"/>
        <v>36140</v>
      </c>
      <c r="H3105" t="s">
        <v>558</v>
      </c>
      <c r="I3105" t="s">
        <v>1265</v>
      </c>
      <c r="J3105" t="s">
        <v>1271</v>
      </c>
      <c r="K3105" t="s">
        <v>1272</v>
      </c>
      <c r="L3105" t="s">
        <v>1317</v>
      </c>
      <c r="M3105" t="s">
        <v>1318</v>
      </c>
      <c r="N3105">
        <v>21</v>
      </c>
      <c r="O3105" t="str">
        <f t="shared" si="259"/>
        <v>64</v>
      </c>
      <c r="P3105">
        <v>64</v>
      </c>
      <c r="R3105" t="s">
        <v>1269</v>
      </c>
      <c r="S3105">
        <v>0.33800000000000002</v>
      </c>
      <c r="T3105">
        <v>0.2253</v>
      </c>
      <c r="U3105">
        <f t="shared" si="260"/>
        <v>7.5999999999999998E-2</v>
      </c>
      <c r="V3105" t="str">
        <f t="shared" si="257"/>
        <v>High Contractor ESA</v>
      </c>
      <c r="W3105" t="str">
        <f t="shared" si="258"/>
        <v>Contractor ESA</v>
      </c>
    </row>
    <row r="3106" spans="1:23" x14ac:dyDescent="0.25">
      <c r="A3106">
        <v>36140</v>
      </c>
      <c r="B3106" t="s">
        <v>1313</v>
      </c>
      <c r="C3106">
        <v>0.16900000000000001</v>
      </c>
      <c r="D3106" t="s">
        <v>1264</v>
      </c>
      <c r="E3106">
        <v>100283</v>
      </c>
      <c r="F3106">
        <v>36140</v>
      </c>
      <c r="G3106" t="str">
        <f t="shared" si="256"/>
        <v>36140</v>
      </c>
      <c r="H3106" t="s">
        <v>558</v>
      </c>
      <c r="I3106" t="s">
        <v>1265</v>
      </c>
      <c r="J3106" t="s">
        <v>1266</v>
      </c>
      <c r="K3106" t="s">
        <v>1267</v>
      </c>
      <c r="L3106" t="s">
        <v>1313</v>
      </c>
      <c r="M3106" t="s">
        <v>1314</v>
      </c>
      <c r="N3106">
        <v>21</v>
      </c>
      <c r="O3106" t="str">
        <f t="shared" si="259"/>
        <v>64</v>
      </c>
      <c r="P3106">
        <v>64</v>
      </c>
      <c r="R3106" t="s">
        <v>1269</v>
      </c>
      <c r="S3106">
        <v>0.16900000000000001</v>
      </c>
      <c r="T3106">
        <v>0.2253</v>
      </c>
      <c r="U3106">
        <f t="shared" si="260"/>
        <v>3.7999999999999999E-2</v>
      </c>
      <c r="V3106" t="str">
        <f t="shared" si="257"/>
        <v>Middle Contractor ESA</v>
      </c>
      <c r="W3106" t="str">
        <f t="shared" si="258"/>
        <v>Contractor ESA</v>
      </c>
    </row>
    <row r="3107" spans="1:23" x14ac:dyDescent="0.25">
      <c r="A3107" t="s">
        <v>262</v>
      </c>
      <c r="B3107" t="s">
        <v>1469</v>
      </c>
      <c r="C3107">
        <v>0.223</v>
      </c>
      <c r="F3107" t="s">
        <v>262</v>
      </c>
      <c r="G3107" t="str">
        <f t="shared" si="256"/>
        <v>36140</v>
      </c>
      <c r="H3107" t="s">
        <v>558</v>
      </c>
      <c r="I3107" t="s">
        <v>1265</v>
      </c>
      <c r="J3107" t="s">
        <v>1647</v>
      </c>
      <c r="K3107" t="s">
        <v>1277</v>
      </c>
      <c r="L3107" t="s">
        <v>1469</v>
      </c>
      <c r="M3107" t="s">
        <v>1640</v>
      </c>
      <c r="N3107">
        <v>9</v>
      </c>
      <c r="O3107" t="str">
        <f t="shared" si="259"/>
        <v>47</v>
      </c>
      <c r="P3107">
        <v>47</v>
      </c>
      <c r="Q3107">
        <v>26</v>
      </c>
      <c r="S3107">
        <v>0.223</v>
      </c>
      <c r="T3107">
        <v>0.2253</v>
      </c>
      <c r="U3107">
        <f t="shared" si="260"/>
        <v>0</v>
      </c>
      <c r="V3107" t="str">
        <f t="shared" si="257"/>
        <v>TK Nurse</v>
      </c>
      <c r="W3107" t="str">
        <f t="shared" si="258"/>
        <v>Nurse</v>
      </c>
    </row>
    <row r="3108" spans="1:23" x14ac:dyDescent="0.25">
      <c r="A3108" t="s">
        <v>262</v>
      </c>
      <c r="B3108" t="s">
        <v>1474</v>
      </c>
      <c r="C3108">
        <v>3.9E-2</v>
      </c>
      <c r="F3108" t="s">
        <v>262</v>
      </c>
      <c r="G3108" t="str">
        <f t="shared" si="256"/>
        <v>36140</v>
      </c>
      <c r="H3108" t="s">
        <v>558</v>
      </c>
      <c r="I3108" t="s">
        <v>1265</v>
      </c>
      <c r="K3108" t="s">
        <v>1277</v>
      </c>
      <c r="L3108" t="s">
        <v>1474</v>
      </c>
      <c r="M3108" t="s">
        <v>1642</v>
      </c>
      <c r="N3108">
        <v>9</v>
      </c>
      <c r="O3108" t="str">
        <f t="shared" si="259"/>
        <v>25</v>
      </c>
      <c r="P3108">
        <v>91</v>
      </c>
      <c r="Q3108">
        <v>25</v>
      </c>
      <c r="S3108">
        <v>3.9E-2</v>
      </c>
      <c r="T3108">
        <v>0.2253</v>
      </c>
      <c r="U3108">
        <f t="shared" si="260"/>
        <v>0</v>
      </c>
      <c r="V3108" t="str">
        <f t="shared" si="257"/>
        <v>TK Pupil Management</v>
      </c>
      <c r="W3108" t="str">
        <f t="shared" si="258"/>
        <v>Pupil Management</v>
      </c>
    </row>
    <row r="3109" spans="1:23" x14ac:dyDescent="0.25">
      <c r="A3109" t="s">
        <v>262</v>
      </c>
      <c r="B3109" t="s">
        <v>1474</v>
      </c>
      <c r="C3109">
        <v>0.09</v>
      </c>
      <c r="F3109" t="s">
        <v>262</v>
      </c>
      <c r="G3109" t="str">
        <f t="shared" si="256"/>
        <v>36140</v>
      </c>
      <c r="H3109" t="s">
        <v>558</v>
      </c>
      <c r="I3109" t="s">
        <v>1265</v>
      </c>
      <c r="K3109" t="s">
        <v>1277</v>
      </c>
      <c r="L3109" t="s">
        <v>1474</v>
      </c>
      <c r="M3109" t="s">
        <v>1642</v>
      </c>
      <c r="N3109">
        <v>9</v>
      </c>
      <c r="O3109" t="str">
        <f t="shared" si="259"/>
        <v>25</v>
      </c>
      <c r="P3109">
        <v>91</v>
      </c>
      <c r="Q3109">
        <v>25</v>
      </c>
      <c r="S3109">
        <v>0.09</v>
      </c>
      <c r="T3109">
        <v>0.2253</v>
      </c>
      <c r="U3109">
        <f t="shared" si="260"/>
        <v>0</v>
      </c>
      <c r="V3109" t="str">
        <f t="shared" si="257"/>
        <v>TK Pupil Management</v>
      </c>
      <c r="W3109" t="str">
        <f t="shared" si="258"/>
        <v>Pupil Management</v>
      </c>
    </row>
    <row r="3110" spans="1:23" x14ac:dyDescent="0.25">
      <c r="A3110" t="s">
        <v>262</v>
      </c>
      <c r="B3110" t="s">
        <v>1474</v>
      </c>
      <c r="C3110">
        <v>8.5000000000000006E-2</v>
      </c>
      <c r="F3110" t="s">
        <v>262</v>
      </c>
      <c r="G3110" t="str">
        <f t="shared" si="256"/>
        <v>36140</v>
      </c>
      <c r="H3110" t="s">
        <v>558</v>
      </c>
      <c r="I3110" t="s">
        <v>1265</v>
      </c>
      <c r="K3110" t="s">
        <v>1277</v>
      </c>
      <c r="L3110" t="s">
        <v>1474</v>
      </c>
      <c r="M3110" t="s">
        <v>1642</v>
      </c>
      <c r="N3110">
        <v>9</v>
      </c>
      <c r="O3110" t="str">
        <f t="shared" si="259"/>
        <v>25</v>
      </c>
      <c r="P3110">
        <v>91</v>
      </c>
      <c r="Q3110">
        <v>25</v>
      </c>
      <c r="S3110">
        <v>8.5000000000000006E-2</v>
      </c>
      <c r="T3110">
        <v>0.2253</v>
      </c>
      <c r="U3110">
        <f t="shared" si="260"/>
        <v>0</v>
      </c>
      <c r="V3110" t="str">
        <f t="shared" si="257"/>
        <v>TK Pupil Management</v>
      </c>
      <c r="W3110" t="str">
        <f t="shared" si="258"/>
        <v>Pupil Management</v>
      </c>
    </row>
    <row r="3111" spans="1:23" x14ac:dyDescent="0.25">
      <c r="A3111" t="s">
        <v>262</v>
      </c>
      <c r="B3111" t="s">
        <v>1474</v>
      </c>
      <c r="C3111">
        <v>0.25700000000000001</v>
      </c>
      <c r="F3111" t="s">
        <v>262</v>
      </c>
      <c r="G3111" t="str">
        <f t="shared" si="256"/>
        <v>36140</v>
      </c>
      <c r="H3111" t="s">
        <v>558</v>
      </c>
      <c r="I3111" t="s">
        <v>1265</v>
      </c>
      <c r="K3111" t="s">
        <v>1277</v>
      </c>
      <c r="L3111" t="s">
        <v>1474</v>
      </c>
      <c r="M3111" t="s">
        <v>1642</v>
      </c>
      <c r="N3111">
        <v>9</v>
      </c>
      <c r="O3111" t="str">
        <f t="shared" si="259"/>
        <v>25</v>
      </c>
      <c r="P3111">
        <v>91</v>
      </c>
      <c r="Q3111">
        <v>25</v>
      </c>
      <c r="S3111">
        <v>0.25700000000000001</v>
      </c>
      <c r="T3111">
        <v>0.2253</v>
      </c>
      <c r="U3111">
        <f t="shared" si="260"/>
        <v>0</v>
      </c>
      <c r="V3111" t="str">
        <f t="shared" si="257"/>
        <v>TK Pupil Management</v>
      </c>
      <c r="W3111" t="str">
        <f t="shared" si="258"/>
        <v>Pupil Management</v>
      </c>
    </row>
    <row r="3112" spans="1:23" x14ac:dyDescent="0.25">
      <c r="A3112" t="s">
        <v>262</v>
      </c>
      <c r="B3112" t="s">
        <v>1474</v>
      </c>
      <c r="C3112">
        <v>6.2E-2</v>
      </c>
      <c r="F3112" t="s">
        <v>262</v>
      </c>
      <c r="G3112" t="str">
        <f t="shared" si="256"/>
        <v>36140</v>
      </c>
      <c r="H3112" t="s">
        <v>558</v>
      </c>
      <c r="I3112" t="s">
        <v>1265</v>
      </c>
      <c r="K3112" t="s">
        <v>1277</v>
      </c>
      <c r="L3112" t="s">
        <v>1474</v>
      </c>
      <c r="M3112" t="s">
        <v>1642</v>
      </c>
      <c r="N3112">
        <v>9</v>
      </c>
      <c r="O3112" t="str">
        <f t="shared" si="259"/>
        <v>25</v>
      </c>
      <c r="P3112">
        <v>91</v>
      </c>
      <c r="Q3112">
        <v>25</v>
      </c>
      <c r="S3112">
        <v>6.2E-2</v>
      </c>
      <c r="T3112">
        <v>0.2253</v>
      </c>
      <c r="U3112">
        <f t="shared" si="260"/>
        <v>0</v>
      </c>
      <c r="V3112" t="str">
        <f t="shared" si="257"/>
        <v>TK Pupil Management</v>
      </c>
      <c r="W3112" t="str">
        <f t="shared" si="258"/>
        <v>Pupil Management</v>
      </c>
    </row>
    <row r="3113" spans="1:23" x14ac:dyDescent="0.25">
      <c r="A3113" t="s">
        <v>262</v>
      </c>
      <c r="B3113" t="s">
        <v>1474</v>
      </c>
      <c r="C3113">
        <v>0.05</v>
      </c>
      <c r="F3113" t="s">
        <v>262</v>
      </c>
      <c r="G3113" t="str">
        <f t="shared" si="256"/>
        <v>36140</v>
      </c>
      <c r="H3113" t="s">
        <v>558</v>
      </c>
      <c r="I3113" t="s">
        <v>1265</v>
      </c>
      <c r="K3113" t="s">
        <v>1277</v>
      </c>
      <c r="L3113" t="s">
        <v>1474</v>
      </c>
      <c r="M3113" t="s">
        <v>1642</v>
      </c>
      <c r="N3113">
        <v>9</v>
      </c>
      <c r="O3113" t="str">
        <f t="shared" si="259"/>
        <v>25</v>
      </c>
      <c r="P3113">
        <v>91</v>
      </c>
      <c r="Q3113">
        <v>25</v>
      </c>
      <c r="S3113">
        <v>0.05</v>
      </c>
      <c r="T3113">
        <v>0.2253</v>
      </c>
      <c r="U3113">
        <f t="shared" si="260"/>
        <v>0</v>
      </c>
      <c r="V3113" t="str">
        <f t="shared" si="257"/>
        <v>TK Pupil Management</v>
      </c>
      <c r="W3113" t="str">
        <f t="shared" si="258"/>
        <v>Pupil Management</v>
      </c>
    </row>
    <row r="3114" spans="1:23" x14ac:dyDescent="0.25">
      <c r="A3114" t="s">
        <v>262</v>
      </c>
      <c r="B3114" t="s">
        <v>1352</v>
      </c>
      <c r="C3114">
        <v>0.504</v>
      </c>
      <c r="F3114" t="s">
        <v>262</v>
      </c>
      <c r="G3114" t="str">
        <f t="shared" si="256"/>
        <v>36140</v>
      </c>
      <c r="H3114" t="s">
        <v>558</v>
      </c>
      <c r="I3114" t="s">
        <v>1265</v>
      </c>
      <c r="J3114" t="s">
        <v>1641</v>
      </c>
      <c r="K3114" t="s">
        <v>1277</v>
      </c>
      <c r="L3114" t="s">
        <v>1352</v>
      </c>
      <c r="M3114" t="s">
        <v>1646</v>
      </c>
      <c r="N3114">
        <v>9</v>
      </c>
      <c r="O3114" t="str">
        <f t="shared" si="259"/>
        <v>26</v>
      </c>
      <c r="P3114">
        <v>96</v>
      </c>
      <c r="Q3114">
        <v>26</v>
      </c>
      <c r="S3114">
        <v>0.504</v>
      </c>
      <c r="T3114">
        <v>0.2253</v>
      </c>
      <c r="U3114">
        <f t="shared" si="260"/>
        <v>0</v>
      </c>
      <c r="V3114" t="str">
        <f t="shared" si="257"/>
        <v>TK Health/
Related Services</v>
      </c>
      <c r="W3114" t="str">
        <f t="shared" si="258"/>
        <v>Health/
Related Services</v>
      </c>
    </row>
    <row r="3115" spans="1:23" x14ac:dyDescent="0.25">
      <c r="A3115">
        <v>36250</v>
      </c>
      <c r="B3115" t="s">
        <v>1308</v>
      </c>
      <c r="C3115">
        <v>0.437</v>
      </c>
      <c r="D3115" t="s">
        <v>1264</v>
      </c>
      <c r="E3115">
        <v>100049</v>
      </c>
      <c r="F3115">
        <v>36250</v>
      </c>
      <c r="G3115" t="str">
        <f t="shared" si="256"/>
        <v>36250</v>
      </c>
      <c r="H3115" t="s">
        <v>559</v>
      </c>
      <c r="I3115" t="s">
        <v>1265</v>
      </c>
      <c r="J3115" t="s">
        <v>1276</v>
      </c>
      <c r="K3115" t="s">
        <v>1277</v>
      </c>
      <c r="L3115" t="s">
        <v>1308</v>
      </c>
      <c r="M3115" t="s">
        <v>1389</v>
      </c>
      <c r="N3115">
        <v>1</v>
      </c>
      <c r="O3115" t="str">
        <f t="shared" si="259"/>
        <v>25</v>
      </c>
      <c r="Q3115">
        <v>25</v>
      </c>
      <c r="R3115" t="s">
        <v>1269</v>
      </c>
      <c r="S3115">
        <v>0.437</v>
      </c>
      <c r="T3115">
        <v>0.27229999999999999</v>
      </c>
      <c r="U3115">
        <f t="shared" si="260"/>
        <v>0</v>
      </c>
      <c r="V3115" t="str">
        <f t="shared" si="257"/>
        <v>Elementary Pupil Management</v>
      </c>
      <c r="W3115" t="str">
        <f t="shared" si="258"/>
        <v>Pupil Management</v>
      </c>
    </row>
    <row r="3116" spans="1:23" x14ac:dyDescent="0.25">
      <c r="A3116">
        <v>36250</v>
      </c>
      <c r="B3116" t="s">
        <v>1383</v>
      </c>
      <c r="C3116">
        <v>0.91500000000000004</v>
      </c>
      <c r="D3116" t="s">
        <v>1264</v>
      </c>
      <c r="E3116">
        <v>100049</v>
      </c>
      <c r="F3116">
        <v>36250</v>
      </c>
      <c r="G3116" t="str">
        <f t="shared" si="256"/>
        <v>36250</v>
      </c>
      <c r="H3116" t="s">
        <v>559</v>
      </c>
      <c r="I3116" t="s">
        <v>1265</v>
      </c>
      <c r="J3116" t="s">
        <v>1271</v>
      </c>
      <c r="K3116" t="s">
        <v>1272</v>
      </c>
      <c r="L3116" t="s">
        <v>1383</v>
      </c>
      <c r="M3116" t="s">
        <v>1409</v>
      </c>
      <c r="N3116">
        <v>21</v>
      </c>
      <c r="O3116" t="str">
        <f t="shared" si="259"/>
        <v>25</v>
      </c>
      <c r="Q3116">
        <v>25</v>
      </c>
      <c r="R3116" t="s">
        <v>1269</v>
      </c>
      <c r="S3116">
        <v>0.91500000000000004</v>
      </c>
      <c r="T3116">
        <v>0.27229999999999999</v>
      </c>
      <c r="U3116">
        <f t="shared" si="260"/>
        <v>0.249</v>
      </c>
      <c r="V3116" t="str">
        <f t="shared" si="257"/>
        <v>High Pupil Management</v>
      </c>
      <c r="W3116" t="str">
        <f t="shared" si="258"/>
        <v>Pupil Management</v>
      </c>
    </row>
    <row r="3117" spans="1:23" x14ac:dyDescent="0.25">
      <c r="A3117">
        <v>36250</v>
      </c>
      <c r="B3117" t="s">
        <v>1363</v>
      </c>
      <c r="C3117">
        <v>0.23</v>
      </c>
      <c r="D3117" t="s">
        <v>1264</v>
      </c>
      <c r="E3117">
        <v>100049</v>
      </c>
      <c r="F3117">
        <v>36250</v>
      </c>
      <c r="G3117" t="str">
        <f t="shared" si="256"/>
        <v>36250</v>
      </c>
      <c r="H3117" t="s">
        <v>559</v>
      </c>
      <c r="I3117" t="s">
        <v>1265</v>
      </c>
      <c r="J3117" t="s">
        <v>1266</v>
      </c>
      <c r="K3117" t="s">
        <v>1267</v>
      </c>
      <c r="L3117" t="s">
        <v>1363</v>
      </c>
      <c r="M3117" t="s">
        <v>1386</v>
      </c>
      <c r="N3117">
        <v>1</v>
      </c>
      <c r="O3117" t="str">
        <f t="shared" si="259"/>
        <v>25</v>
      </c>
      <c r="Q3117">
        <v>25</v>
      </c>
      <c r="R3117" t="s">
        <v>1269</v>
      </c>
      <c r="S3117">
        <v>0.23</v>
      </c>
      <c r="T3117">
        <v>0.27229999999999999</v>
      </c>
      <c r="U3117">
        <f t="shared" si="260"/>
        <v>0</v>
      </c>
      <c r="V3117" t="str">
        <f t="shared" si="257"/>
        <v>Middle Pupil Management</v>
      </c>
      <c r="W3117" t="str">
        <f t="shared" si="258"/>
        <v>Pupil Management</v>
      </c>
    </row>
    <row r="3118" spans="1:23" x14ac:dyDescent="0.25">
      <c r="A3118">
        <v>36250</v>
      </c>
      <c r="B3118" t="s">
        <v>1311</v>
      </c>
      <c r="C3118">
        <v>0.68500000000000005</v>
      </c>
      <c r="D3118" t="s">
        <v>1264</v>
      </c>
      <c r="E3118">
        <v>100049</v>
      </c>
      <c r="F3118">
        <v>36250</v>
      </c>
      <c r="G3118" t="str">
        <f t="shared" si="256"/>
        <v>36250</v>
      </c>
      <c r="H3118" t="s">
        <v>559</v>
      </c>
      <c r="I3118" t="s">
        <v>1265</v>
      </c>
      <c r="J3118" t="s">
        <v>1276</v>
      </c>
      <c r="K3118" t="s">
        <v>1277</v>
      </c>
      <c r="L3118" t="s">
        <v>1311</v>
      </c>
      <c r="M3118" t="s">
        <v>1327</v>
      </c>
      <c r="N3118">
        <v>21</v>
      </c>
      <c r="O3118" t="str">
        <f t="shared" si="259"/>
        <v>26</v>
      </c>
      <c r="Q3118">
        <v>26</v>
      </c>
      <c r="R3118" t="s">
        <v>1269</v>
      </c>
      <c r="S3118">
        <v>0.68500000000000005</v>
      </c>
      <c r="T3118">
        <v>0.27229999999999999</v>
      </c>
      <c r="U3118">
        <f t="shared" si="260"/>
        <v>0.187</v>
      </c>
      <c r="V3118" t="str">
        <f t="shared" si="257"/>
        <v>Elementary Health/
Related Services</v>
      </c>
      <c r="W3118" t="str">
        <f t="shared" si="258"/>
        <v>Health/
Related Services</v>
      </c>
    </row>
    <row r="3119" spans="1:23" x14ac:dyDescent="0.25">
      <c r="A3119">
        <v>36250</v>
      </c>
      <c r="B3119" t="s">
        <v>1315</v>
      </c>
      <c r="C3119">
        <v>0.70299999999999996</v>
      </c>
      <c r="D3119" t="s">
        <v>1264</v>
      </c>
      <c r="E3119">
        <v>100049</v>
      </c>
      <c r="F3119">
        <v>36250</v>
      </c>
      <c r="G3119" t="str">
        <f t="shared" si="256"/>
        <v>36250</v>
      </c>
      <c r="H3119" t="s">
        <v>559</v>
      </c>
      <c r="I3119" t="s">
        <v>1265</v>
      </c>
      <c r="J3119" t="s">
        <v>1276</v>
      </c>
      <c r="K3119" t="s">
        <v>1277</v>
      </c>
      <c r="L3119" t="s">
        <v>1315</v>
      </c>
      <c r="M3119" t="s">
        <v>1375</v>
      </c>
      <c r="N3119">
        <v>1</v>
      </c>
      <c r="O3119" t="str">
        <f t="shared" si="259"/>
        <v>26</v>
      </c>
      <c r="Q3119">
        <v>26</v>
      </c>
      <c r="R3119" t="s">
        <v>1269</v>
      </c>
      <c r="S3119">
        <v>0.70299999999999996</v>
      </c>
      <c r="T3119">
        <v>0.27229999999999999</v>
      </c>
      <c r="U3119">
        <f t="shared" si="260"/>
        <v>0</v>
      </c>
      <c r="V3119" t="str">
        <f t="shared" si="257"/>
        <v>Elementary Health/
Related Services</v>
      </c>
      <c r="W3119" t="str">
        <f t="shared" si="258"/>
        <v>Health/
Related Services</v>
      </c>
    </row>
    <row r="3120" spans="1:23" x14ac:dyDescent="0.25">
      <c r="A3120">
        <v>36250</v>
      </c>
      <c r="B3120" t="s">
        <v>1295</v>
      </c>
      <c r="C3120">
        <v>1.7030000000000001</v>
      </c>
      <c r="D3120" t="s">
        <v>1264</v>
      </c>
      <c r="E3120">
        <v>100049</v>
      </c>
      <c r="F3120">
        <v>36250</v>
      </c>
      <c r="G3120" t="str">
        <f t="shared" si="256"/>
        <v>36250</v>
      </c>
      <c r="H3120" t="s">
        <v>559</v>
      </c>
      <c r="I3120" t="s">
        <v>1265</v>
      </c>
      <c r="J3120" t="s">
        <v>1271</v>
      </c>
      <c r="K3120" t="s">
        <v>1272</v>
      </c>
      <c r="L3120" t="s">
        <v>1295</v>
      </c>
      <c r="M3120" t="s">
        <v>1296</v>
      </c>
      <c r="N3120">
        <v>1</v>
      </c>
      <c r="O3120" t="str">
        <f t="shared" si="259"/>
        <v>26</v>
      </c>
      <c r="Q3120">
        <v>26</v>
      </c>
      <c r="R3120" t="s">
        <v>1269</v>
      </c>
      <c r="S3120">
        <v>1.7030000000000001</v>
      </c>
      <c r="T3120">
        <v>0.27229999999999999</v>
      </c>
      <c r="U3120">
        <f t="shared" si="260"/>
        <v>0</v>
      </c>
      <c r="V3120" t="str">
        <f t="shared" si="257"/>
        <v>High Health/
Related Services</v>
      </c>
      <c r="W3120" t="str">
        <f t="shared" si="258"/>
        <v>Health/
Related Services</v>
      </c>
    </row>
    <row r="3121" spans="1:23" x14ac:dyDescent="0.25">
      <c r="A3121">
        <v>36250</v>
      </c>
      <c r="B3121" t="s">
        <v>1291</v>
      </c>
      <c r="C3121">
        <v>0.70299999999999996</v>
      </c>
      <c r="D3121" t="s">
        <v>1264</v>
      </c>
      <c r="E3121">
        <v>100049</v>
      </c>
      <c r="F3121">
        <v>36250</v>
      </c>
      <c r="G3121" t="str">
        <f t="shared" si="256"/>
        <v>36250</v>
      </c>
      <c r="H3121" t="s">
        <v>559</v>
      </c>
      <c r="I3121" t="s">
        <v>1265</v>
      </c>
      <c r="J3121" t="s">
        <v>1266</v>
      </c>
      <c r="K3121" t="s">
        <v>1267</v>
      </c>
      <c r="L3121" t="s">
        <v>1291</v>
      </c>
      <c r="M3121" t="s">
        <v>1292</v>
      </c>
      <c r="N3121">
        <v>1</v>
      </c>
      <c r="O3121" t="str">
        <f t="shared" si="259"/>
        <v>26</v>
      </c>
      <c r="Q3121">
        <v>26</v>
      </c>
      <c r="R3121" t="s">
        <v>1269</v>
      </c>
      <c r="S3121">
        <v>0.70299999999999996</v>
      </c>
      <c r="T3121">
        <v>0.27229999999999999</v>
      </c>
      <c r="U3121">
        <f t="shared" si="260"/>
        <v>0</v>
      </c>
      <c r="V3121" t="str">
        <f t="shared" si="257"/>
        <v>Middle Health/
Related Services</v>
      </c>
      <c r="W3121" t="str">
        <f t="shared" si="258"/>
        <v>Health/
Related Services</v>
      </c>
    </row>
    <row r="3122" spans="1:23" x14ac:dyDescent="0.25">
      <c r="A3122">
        <v>36250</v>
      </c>
      <c r="B3122" t="s">
        <v>1275</v>
      </c>
      <c r="C3122">
        <v>3</v>
      </c>
      <c r="D3122" t="s">
        <v>1264</v>
      </c>
      <c r="E3122">
        <v>100049</v>
      </c>
      <c r="F3122">
        <v>36250</v>
      </c>
      <c r="G3122" t="str">
        <f t="shared" si="256"/>
        <v>36250</v>
      </c>
      <c r="H3122" t="s">
        <v>559</v>
      </c>
      <c r="I3122" t="s">
        <v>1265</v>
      </c>
      <c r="J3122" t="s">
        <v>1276</v>
      </c>
      <c r="K3122" t="s">
        <v>1277</v>
      </c>
      <c r="L3122" t="s">
        <v>1275</v>
      </c>
      <c r="M3122" t="s">
        <v>1278</v>
      </c>
      <c r="N3122">
        <v>1</v>
      </c>
      <c r="O3122" t="str">
        <f t="shared" si="259"/>
        <v>42</v>
      </c>
      <c r="P3122">
        <v>42</v>
      </c>
      <c r="R3122" t="s">
        <v>1269</v>
      </c>
      <c r="S3122">
        <v>3</v>
      </c>
      <c r="T3122">
        <v>0.27229999999999999</v>
      </c>
      <c r="U3122">
        <f t="shared" si="260"/>
        <v>0</v>
      </c>
      <c r="V3122" t="str">
        <f t="shared" si="257"/>
        <v>Elementary Counselor</v>
      </c>
      <c r="W3122" t="str">
        <f t="shared" si="258"/>
        <v>Counselor</v>
      </c>
    </row>
    <row r="3123" spans="1:23" x14ac:dyDescent="0.25">
      <c r="A3123">
        <v>36250</v>
      </c>
      <c r="B3123" t="s">
        <v>1270</v>
      </c>
      <c r="C3123">
        <v>0.86</v>
      </c>
      <c r="D3123" t="s">
        <v>1264</v>
      </c>
      <c r="E3123">
        <v>100049</v>
      </c>
      <c r="F3123">
        <v>36250</v>
      </c>
      <c r="G3123" t="str">
        <f t="shared" si="256"/>
        <v>36250</v>
      </c>
      <c r="H3123" t="s">
        <v>559</v>
      </c>
      <c r="I3123" t="s">
        <v>1265</v>
      </c>
      <c r="J3123" t="s">
        <v>1271</v>
      </c>
      <c r="K3123" t="s">
        <v>1272</v>
      </c>
      <c r="L3123" t="s">
        <v>1270</v>
      </c>
      <c r="M3123" t="s">
        <v>1273</v>
      </c>
      <c r="N3123">
        <v>1</v>
      </c>
      <c r="O3123" t="str">
        <f t="shared" si="259"/>
        <v>42</v>
      </c>
      <c r="P3123">
        <v>42</v>
      </c>
      <c r="R3123" t="s">
        <v>1269</v>
      </c>
      <c r="S3123">
        <v>0.86</v>
      </c>
      <c r="T3123">
        <v>0.27229999999999999</v>
      </c>
      <c r="U3123">
        <f t="shared" si="260"/>
        <v>0</v>
      </c>
      <c r="V3123" t="str">
        <f t="shared" si="257"/>
        <v>High Counselor</v>
      </c>
      <c r="W3123" t="str">
        <f t="shared" si="258"/>
        <v>Counselor</v>
      </c>
    </row>
    <row r="3124" spans="1:23" x14ac:dyDescent="0.25">
      <c r="A3124">
        <v>36250</v>
      </c>
      <c r="B3124" t="s">
        <v>1331</v>
      </c>
      <c r="C3124">
        <v>0.5</v>
      </c>
      <c r="D3124" t="s">
        <v>1264</v>
      </c>
      <c r="E3124">
        <v>100049</v>
      </c>
      <c r="F3124">
        <v>36250</v>
      </c>
      <c r="G3124" t="str">
        <f t="shared" si="256"/>
        <v>36250</v>
      </c>
      <c r="H3124" t="s">
        <v>559</v>
      </c>
      <c r="I3124" t="s">
        <v>1265</v>
      </c>
      <c r="J3124" t="s">
        <v>1276</v>
      </c>
      <c r="K3124" t="s">
        <v>1277</v>
      </c>
      <c r="L3124" t="s">
        <v>1331</v>
      </c>
      <c r="M3124" t="s">
        <v>1405</v>
      </c>
      <c r="N3124">
        <v>1</v>
      </c>
      <c r="O3124" t="str">
        <f t="shared" si="259"/>
        <v>44</v>
      </c>
      <c r="P3124">
        <v>44</v>
      </c>
      <c r="R3124" t="s">
        <v>1269</v>
      </c>
      <c r="S3124">
        <v>0.5</v>
      </c>
      <c r="T3124">
        <v>0.27229999999999999</v>
      </c>
      <c r="U3124">
        <f t="shared" si="260"/>
        <v>0</v>
      </c>
      <c r="V3124" t="str">
        <f t="shared" si="257"/>
        <v>Elementary Social Worker</v>
      </c>
      <c r="W3124" t="str">
        <f t="shared" si="258"/>
        <v>Social Worker</v>
      </c>
    </row>
    <row r="3125" spans="1:23" x14ac:dyDescent="0.25">
      <c r="A3125">
        <v>36250</v>
      </c>
      <c r="B3125" t="s">
        <v>1359</v>
      </c>
      <c r="C3125">
        <v>0.25</v>
      </c>
      <c r="D3125" t="s">
        <v>1264</v>
      </c>
      <c r="E3125">
        <v>100049</v>
      </c>
      <c r="F3125">
        <v>36250</v>
      </c>
      <c r="G3125" t="str">
        <f t="shared" si="256"/>
        <v>36250</v>
      </c>
      <c r="H3125" t="s">
        <v>559</v>
      </c>
      <c r="I3125" t="s">
        <v>1265</v>
      </c>
      <c r="J3125" t="s">
        <v>1271</v>
      </c>
      <c r="K3125" t="s">
        <v>1272</v>
      </c>
      <c r="L3125" t="s">
        <v>1359</v>
      </c>
      <c r="M3125" t="s">
        <v>1360</v>
      </c>
      <c r="N3125">
        <v>1</v>
      </c>
      <c r="O3125" t="str">
        <f t="shared" si="259"/>
        <v>44</v>
      </c>
      <c r="P3125">
        <v>44</v>
      </c>
      <c r="R3125" t="s">
        <v>1269</v>
      </c>
      <c r="S3125">
        <v>0.25</v>
      </c>
      <c r="T3125">
        <v>0.27229999999999999</v>
      </c>
      <c r="U3125">
        <f t="shared" si="260"/>
        <v>0</v>
      </c>
      <c r="V3125" t="str">
        <f t="shared" si="257"/>
        <v>High Social Worker</v>
      </c>
      <c r="W3125" t="str">
        <f t="shared" si="258"/>
        <v>Social Worker</v>
      </c>
    </row>
    <row r="3126" spans="1:23" x14ac:dyDescent="0.25">
      <c r="A3126">
        <v>36250</v>
      </c>
      <c r="B3126" t="s">
        <v>1356</v>
      </c>
      <c r="C3126">
        <v>0.25</v>
      </c>
      <c r="D3126" t="s">
        <v>1264</v>
      </c>
      <c r="E3126">
        <v>100049</v>
      </c>
      <c r="F3126">
        <v>36250</v>
      </c>
      <c r="G3126" t="str">
        <f t="shared" si="256"/>
        <v>36250</v>
      </c>
      <c r="H3126" t="s">
        <v>559</v>
      </c>
      <c r="I3126" t="s">
        <v>1265</v>
      </c>
      <c r="J3126" t="s">
        <v>1266</v>
      </c>
      <c r="K3126" t="s">
        <v>1267</v>
      </c>
      <c r="L3126" t="s">
        <v>1356</v>
      </c>
      <c r="M3126" t="s">
        <v>1357</v>
      </c>
      <c r="N3126">
        <v>1</v>
      </c>
      <c r="O3126" t="str">
        <f t="shared" si="259"/>
        <v>44</v>
      </c>
      <c r="P3126">
        <v>44</v>
      </c>
      <c r="R3126" t="s">
        <v>1269</v>
      </c>
      <c r="S3126">
        <v>0.25</v>
      </c>
      <c r="T3126">
        <v>0.27229999999999999</v>
      </c>
      <c r="U3126">
        <f t="shared" si="260"/>
        <v>0</v>
      </c>
      <c r="V3126" t="str">
        <f t="shared" si="257"/>
        <v>Middle Social Worker</v>
      </c>
      <c r="W3126" t="str">
        <f t="shared" si="258"/>
        <v>Social Worker</v>
      </c>
    </row>
    <row r="3127" spans="1:23" x14ac:dyDescent="0.25">
      <c r="A3127">
        <v>36250</v>
      </c>
      <c r="B3127" t="s">
        <v>1294</v>
      </c>
      <c r="C3127">
        <v>1</v>
      </c>
      <c r="D3127" t="s">
        <v>1264</v>
      </c>
      <c r="E3127">
        <v>100049</v>
      </c>
      <c r="F3127">
        <v>36250</v>
      </c>
      <c r="G3127" t="str">
        <f t="shared" si="256"/>
        <v>36250</v>
      </c>
      <c r="H3127" t="s">
        <v>559</v>
      </c>
      <c r="I3127" t="s">
        <v>1265</v>
      </c>
      <c r="J3127" t="s">
        <v>1276</v>
      </c>
      <c r="K3127" t="s">
        <v>1277</v>
      </c>
      <c r="L3127" t="s">
        <v>1294</v>
      </c>
      <c r="M3127" t="s">
        <v>1354</v>
      </c>
      <c r="N3127">
        <v>21</v>
      </c>
      <c r="O3127" t="str">
        <f t="shared" si="259"/>
        <v>45</v>
      </c>
      <c r="P3127">
        <v>45</v>
      </c>
      <c r="R3127" t="s">
        <v>1269</v>
      </c>
      <c r="S3127">
        <v>1</v>
      </c>
      <c r="T3127">
        <v>0.27229999999999999</v>
      </c>
      <c r="U3127">
        <f t="shared" si="260"/>
        <v>0.27200000000000002</v>
      </c>
      <c r="V3127" t="str">
        <f t="shared" si="257"/>
        <v>Elementary Speech, Language Pathway/
Audio</v>
      </c>
      <c r="W3127" t="str">
        <f t="shared" si="258"/>
        <v>Speech, Language Pathway/
Audio</v>
      </c>
    </row>
    <row r="3128" spans="1:23" x14ac:dyDescent="0.25">
      <c r="A3128">
        <v>36250</v>
      </c>
      <c r="B3128" t="s">
        <v>1298</v>
      </c>
      <c r="C3128">
        <v>1</v>
      </c>
      <c r="D3128" t="s">
        <v>1264</v>
      </c>
      <c r="E3128">
        <v>100049</v>
      </c>
      <c r="F3128">
        <v>36250</v>
      </c>
      <c r="G3128" t="str">
        <f t="shared" si="256"/>
        <v>36250</v>
      </c>
      <c r="H3128" t="s">
        <v>559</v>
      </c>
      <c r="I3128" t="s">
        <v>1265</v>
      </c>
      <c r="J3128" t="s">
        <v>1276</v>
      </c>
      <c r="K3128" t="s">
        <v>1277</v>
      </c>
      <c r="L3128" t="s">
        <v>1298</v>
      </c>
      <c r="M3128" t="s">
        <v>1349</v>
      </c>
      <c r="N3128">
        <v>21</v>
      </c>
      <c r="O3128" t="str">
        <f t="shared" si="259"/>
        <v>46</v>
      </c>
      <c r="P3128">
        <v>46</v>
      </c>
      <c r="R3128" t="s">
        <v>1269</v>
      </c>
      <c r="S3128">
        <v>1</v>
      </c>
      <c r="T3128">
        <v>0.27229999999999999</v>
      </c>
      <c r="U3128">
        <f t="shared" si="260"/>
        <v>0.27200000000000002</v>
      </c>
      <c r="V3128" t="str">
        <f t="shared" si="257"/>
        <v>Elementary Psychologist</v>
      </c>
      <c r="W3128" t="str">
        <f t="shared" si="258"/>
        <v>Psychologist</v>
      </c>
    </row>
    <row r="3129" spans="1:23" x14ac:dyDescent="0.25">
      <c r="A3129">
        <v>36300</v>
      </c>
      <c r="B3129" t="s">
        <v>1315</v>
      </c>
      <c r="C3129">
        <v>0.25</v>
      </c>
      <c r="D3129" t="s">
        <v>1264</v>
      </c>
      <c r="E3129">
        <v>100270</v>
      </c>
      <c r="F3129">
        <v>36300</v>
      </c>
      <c r="G3129" t="str">
        <f t="shared" si="256"/>
        <v>36300</v>
      </c>
      <c r="H3129" t="s">
        <v>560</v>
      </c>
      <c r="I3129" t="s">
        <v>1265</v>
      </c>
      <c r="J3129" t="s">
        <v>1276</v>
      </c>
      <c r="K3129" t="s">
        <v>1277</v>
      </c>
      <c r="L3129" t="s">
        <v>1315</v>
      </c>
      <c r="M3129" t="s">
        <v>1375</v>
      </c>
      <c r="N3129">
        <v>1</v>
      </c>
      <c r="O3129" t="str">
        <f t="shared" si="259"/>
        <v>26</v>
      </c>
      <c r="Q3129">
        <v>26</v>
      </c>
      <c r="R3129" t="s">
        <v>1269</v>
      </c>
      <c r="S3129">
        <v>0.25</v>
      </c>
      <c r="T3129">
        <v>0.105</v>
      </c>
      <c r="U3129">
        <f t="shared" si="260"/>
        <v>0</v>
      </c>
      <c r="V3129" t="str">
        <f t="shared" si="257"/>
        <v>Elementary Health/
Related Services</v>
      </c>
      <c r="W3129" t="str">
        <f t="shared" si="258"/>
        <v>Health/
Related Services</v>
      </c>
    </row>
    <row r="3130" spans="1:23" x14ac:dyDescent="0.25">
      <c r="A3130">
        <v>36300</v>
      </c>
      <c r="B3130" t="s">
        <v>1270</v>
      </c>
      <c r="C3130">
        <v>0.6</v>
      </c>
      <c r="D3130" t="s">
        <v>1264</v>
      </c>
      <c r="E3130">
        <v>100270</v>
      </c>
      <c r="F3130">
        <v>36300</v>
      </c>
      <c r="G3130" t="str">
        <f t="shared" si="256"/>
        <v>36300</v>
      </c>
      <c r="H3130" t="s">
        <v>560</v>
      </c>
      <c r="I3130" t="s">
        <v>1265</v>
      </c>
      <c r="J3130" t="s">
        <v>1271</v>
      </c>
      <c r="K3130" t="s">
        <v>1272</v>
      </c>
      <c r="L3130" t="s">
        <v>1270</v>
      </c>
      <c r="M3130" t="s">
        <v>1273</v>
      </c>
      <c r="N3130">
        <v>1</v>
      </c>
      <c r="O3130" t="str">
        <f t="shared" si="259"/>
        <v>42</v>
      </c>
      <c r="P3130">
        <v>42</v>
      </c>
      <c r="R3130" t="s">
        <v>1269</v>
      </c>
      <c r="S3130">
        <v>0.6</v>
      </c>
      <c r="T3130">
        <v>0.105</v>
      </c>
      <c r="U3130">
        <f t="shared" si="260"/>
        <v>0</v>
      </c>
      <c r="V3130" t="str">
        <f t="shared" si="257"/>
        <v>High Counselor</v>
      </c>
      <c r="W3130" t="str">
        <f t="shared" si="258"/>
        <v>Counselor</v>
      </c>
    </row>
    <row r="3131" spans="1:23" x14ac:dyDescent="0.25">
      <c r="A3131">
        <v>36400</v>
      </c>
      <c r="B3131" t="s">
        <v>1295</v>
      </c>
      <c r="C3131">
        <v>0.36499999999999999</v>
      </c>
      <c r="D3131" t="s">
        <v>1264</v>
      </c>
      <c r="E3131">
        <v>100052</v>
      </c>
      <c r="F3131">
        <v>36400</v>
      </c>
      <c r="G3131" t="str">
        <f t="shared" si="256"/>
        <v>36400</v>
      </c>
      <c r="H3131" t="s">
        <v>561</v>
      </c>
      <c r="I3131" t="s">
        <v>1265</v>
      </c>
      <c r="J3131" t="s">
        <v>1271</v>
      </c>
      <c r="K3131" t="s">
        <v>1272</v>
      </c>
      <c r="L3131" t="s">
        <v>1295</v>
      </c>
      <c r="M3131" t="s">
        <v>1296</v>
      </c>
      <c r="N3131">
        <v>1</v>
      </c>
      <c r="O3131" t="str">
        <f t="shared" si="259"/>
        <v>26</v>
      </c>
      <c r="Q3131">
        <v>26</v>
      </c>
      <c r="R3131" t="s">
        <v>1269</v>
      </c>
      <c r="S3131">
        <v>0.36499999999999999</v>
      </c>
      <c r="T3131">
        <v>0.24610000000000001</v>
      </c>
      <c r="U3131">
        <f t="shared" si="260"/>
        <v>0</v>
      </c>
      <c r="V3131" t="str">
        <f t="shared" si="257"/>
        <v>High Health/
Related Services</v>
      </c>
      <c r="W3131" t="str">
        <f t="shared" si="258"/>
        <v>Health/
Related Services</v>
      </c>
    </row>
    <row r="3132" spans="1:23" x14ac:dyDescent="0.25">
      <c r="A3132">
        <v>36400</v>
      </c>
      <c r="B3132" t="s">
        <v>1291</v>
      </c>
      <c r="C3132">
        <v>0.36499999999999999</v>
      </c>
      <c r="D3132" t="s">
        <v>1264</v>
      </c>
      <c r="E3132">
        <v>100052</v>
      </c>
      <c r="F3132">
        <v>36400</v>
      </c>
      <c r="G3132" t="str">
        <f t="shared" si="256"/>
        <v>36400</v>
      </c>
      <c r="H3132" t="s">
        <v>561</v>
      </c>
      <c r="I3132" t="s">
        <v>1265</v>
      </c>
      <c r="J3132" t="s">
        <v>1266</v>
      </c>
      <c r="K3132" t="s">
        <v>1267</v>
      </c>
      <c r="L3132" t="s">
        <v>1291</v>
      </c>
      <c r="M3132" t="s">
        <v>1292</v>
      </c>
      <c r="N3132">
        <v>1</v>
      </c>
      <c r="O3132" t="str">
        <f t="shared" si="259"/>
        <v>26</v>
      </c>
      <c r="Q3132">
        <v>26</v>
      </c>
      <c r="R3132" t="s">
        <v>1269</v>
      </c>
      <c r="S3132">
        <v>0.36499999999999999</v>
      </c>
      <c r="T3132">
        <v>0.24610000000000001</v>
      </c>
      <c r="U3132">
        <f t="shared" si="260"/>
        <v>0</v>
      </c>
      <c r="V3132" t="str">
        <f t="shared" si="257"/>
        <v>Middle Health/
Related Services</v>
      </c>
      <c r="W3132" t="str">
        <f t="shared" si="258"/>
        <v>Health/
Related Services</v>
      </c>
    </row>
    <row r="3133" spans="1:23" x14ac:dyDescent="0.25">
      <c r="A3133">
        <v>36400</v>
      </c>
      <c r="B3133" t="s">
        <v>1270</v>
      </c>
      <c r="C3133">
        <v>1</v>
      </c>
      <c r="D3133" t="s">
        <v>1264</v>
      </c>
      <c r="E3133">
        <v>100052</v>
      </c>
      <c r="F3133">
        <v>36400</v>
      </c>
      <c r="G3133" t="str">
        <f t="shared" si="256"/>
        <v>36400</v>
      </c>
      <c r="H3133" t="s">
        <v>561</v>
      </c>
      <c r="I3133" t="s">
        <v>1265</v>
      </c>
      <c r="J3133" t="s">
        <v>1271</v>
      </c>
      <c r="K3133" t="s">
        <v>1272</v>
      </c>
      <c r="L3133" t="s">
        <v>1270</v>
      </c>
      <c r="M3133" t="s">
        <v>1273</v>
      </c>
      <c r="N3133">
        <v>1</v>
      </c>
      <c r="O3133" t="str">
        <f t="shared" si="259"/>
        <v>42</v>
      </c>
      <c r="P3133">
        <v>42</v>
      </c>
      <c r="R3133" t="s">
        <v>1269</v>
      </c>
      <c r="S3133">
        <v>1</v>
      </c>
      <c r="T3133">
        <v>0.24610000000000001</v>
      </c>
      <c r="U3133">
        <f t="shared" si="260"/>
        <v>0</v>
      </c>
      <c r="V3133" t="str">
        <f t="shared" si="257"/>
        <v>High Counselor</v>
      </c>
      <c r="W3133" t="str">
        <f t="shared" si="258"/>
        <v>Counselor</v>
      </c>
    </row>
    <row r="3134" spans="1:23" x14ac:dyDescent="0.25">
      <c r="A3134">
        <v>36400</v>
      </c>
      <c r="B3134" t="s">
        <v>1298</v>
      </c>
      <c r="C3134">
        <v>0.25</v>
      </c>
      <c r="D3134" t="s">
        <v>1264</v>
      </c>
      <c r="E3134">
        <v>100052</v>
      </c>
      <c r="F3134">
        <v>36400</v>
      </c>
      <c r="G3134" t="str">
        <f t="shared" si="256"/>
        <v>36400</v>
      </c>
      <c r="H3134" t="s">
        <v>561</v>
      </c>
      <c r="I3134" t="s">
        <v>1265</v>
      </c>
      <c r="J3134" t="s">
        <v>1276</v>
      </c>
      <c r="K3134" t="s">
        <v>1277</v>
      </c>
      <c r="L3134" t="s">
        <v>1298</v>
      </c>
      <c r="M3134" t="s">
        <v>1349</v>
      </c>
      <c r="N3134">
        <v>21</v>
      </c>
      <c r="O3134" t="str">
        <f t="shared" si="259"/>
        <v>46</v>
      </c>
      <c r="P3134">
        <v>46</v>
      </c>
      <c r="R3134" t="s">
        <v>1269</v>
      </c>
      <c r="S3134">
        <v>0.25</v>
      </c>
      <c r="T3134">
        <v>0.24610000000000001</v>
      </c>
      <c r="U3134">
        <f t="shared" si="260"/>
        <v>6.2E-2</v>
      </c>
      <c r="V3134" t="str">
        <f t="shared" si="257"/>
        <v>Elementary Psychologist</v>
      </c>
      <c r="W3134" t="str">
        <f t="shared" si="258"/>
        <v>Psychologist</v>
      </c>
    </row>
    <row r="3135" spans="1:23" x14ac:dyDescent="0.25">
      <c r="A3135">
        <v>36400</v>
      </c>
      <c r="B3135" t="s">
        <v>1333</v>
      </c>
      <c r="C3135">
        <v>0.25</v>
      </c>
      <c r="D3135" t="s">
        <v>1264</v>
      </c>
      <c r="E3135">
        <v>100052</v>
      </c>
      <c r="F3135">
        <v>36400</v>
      </c>
      <c r="G3135" t="str">
        <f t="shared" si="256"/>
        <v>36400</v>
      </c>
      <c r="H3135" t="s">
        <v>561</v>
      </c>
      <c r="I3135" t="s">
        <v>1265</v>
      </c>
      <c r="J3135" t="s">
        <v>1276</v>
      </c>
      <c r="K3135" t="s">
        <v>1277</v>
      </c>
      <c r="L3135" t="s">
        <v>1333</v>
      </c>
      <c r="M3135" t="s">
        <v>1432</v>
      </c>
      <c r="N3135">
        <v>1</v>
      </c>
      <c r="O3135" t="str">
        <f t="shared" si="259"/>
        <v>46</v>
      </c>
      <c r="P3135">
        <v>46</v>
      </c>
      <c r="R3135" t="s">
        <v>1269</v>
      </c>
      <c r="S3135">
        <v>0.25</v>
      </c>
      <c r="T3135">
        <v>0.24610000000000001</v>
      </c>
      <c r="U3135">
        <f t="shared" si="260"/>
        <v>0</v>
      </c>
      <c r="V3135" t="str">
        <f t="shared" si="257"/>
        <v>Elementary Psychologist</v>
      </c>
      <c r="W3135" t="str">
        <f t="shared" si="258"/>
        <v>Psychologist</v>
      </c>
    </row>
    <row r="3136" spans="1:23" x14ac:dyDescent="0.25">
      <c r="A3136">
        <v>36400</v>
      </c>
      <c r="B3136" t="s">
        <v>1309</v>
      </c>
      <c r="C3136">
        <v>0.125</v>
      </c>
      <c r="D3136" t="s">
        <v>1264</v>
      </c>
      <c r="E3136">
        <v>100052</v>
      </c>
      <c r="F3136">
        <v>36400</v>
      </c>
      <c r="G3136" t="str">
        <f t="shared" si="256"/>
        <v>36400</v>
      </c>
      <c r="H3136" t="s">
        <v>561</v>
      </c>
      <c r="I3136" t="s">
        <v>1265</v>
      </c>
      <c r="J3136" t="s">
        <v>1271</v>
      </c>
      <c r="K3136" t="s">
        <v>1272</v>
      </c>
      <c r="L3136" t="s">
        <v>1309</v>
      </c>
      <c r="M3136" t="s">
        <v>1310</v>
      </c>
      <c r="N3136">
        <v>21</v>
      </c>
      <c r="O3136" t="str">
        <f t="shared" si="259"/>
        <v>46</v>
      </c>
      <c r="P3136">
        <v>46</v>
      </c>
      <c r="R3136" t="s">
        <v>1269</v>
      </c>
      <c r="S3136">
        <v>0.125</v>
      </c>
      <c r="T3136">
        <v>0.24610000000000001</v>
      </c>
      <c r="U3136">
        <f t="shared" si="260"/>
        <v>3.1E-2</v>
      </c>
      <c r="V3136" t="str">
        <f t="shared" si="257"/>
        <v>High Psychologist</v>
      </c>
      <c r="W3136" t="str">
        <f t="shared" si="258"/>
        <v>Psychologist</v>
      </c>
    </row>
    <row r="3137" spans="1:23" x14ac:dyDescent="0.25">
      <c r="A3137">
        <v>36400</v>
      </c>
      <c r="B3137" t="s">
        <v>1396</v>
      </c>
      <c r="C3137">
        <v>0.125</v>
      </c>
      <c r="D3137" t="s">
        <v>1264</v>
      </c>
      <c r="E3137">
        <v>100052</v>
      </c>
      <c r="F3137">
        <v>36400</v>
      </c>
      <c r="G3137" t="str">
        <f t="shared" si="256"/>
        <v>36400</v>
      </c>
      <c r="H3137" t="s">
        <v>561</v>
      </c>
      <c r="I3137" t="s">
        <v>1265</v>
      </c>
      <c r="J3137" t="s">
        <v>1271</v>
      </c>
      <c r="K3137" t="s">
        <v>1272</v>
      </c>
      <c r="L3137" t="s">
        <v>1396</v>
      </c>
      <c r="M3137" t="s">
        <v>1431</v>
      </c>
      <c r="N3137">
        <v>1</v>
      </c>
      <c r="O3137" t="str">
        <f t="shared" si="259"/>
        <v>46</v>
      </c>
      <c r="P3137">
        <v>46</v>
      </c>
      <c r="R3137" t="s">
        <v>1269</v>
      </c>
      <c r="S3137">
        <v>0.125</v>
      </c>
      <c r="T3137">
        <v>0.24610000000000001</v>
      </c>
      <c r="U3137">
        <f t="shared" si="260"/>
        <v>0</v>
      </c>
      <c r="V3137" t="str">
        <f t="shared" si="257"/>
        <v>High Psychologist</v>
      </c>
      <c r="W3137" t="str">
        <f t="shared" si="258"/>
        <v>Psychologist</v>
      </c>
    </row>
    <row r="3138" spans="1:23" x14ac:dyDescent="0.25">
      <c r="A3138">
        <v>36400</v>
      </c>
      <c r="B3138" t="s">
        <v>1345</v>
      </c>
      <c r="C3138">
        <v>0.125</v>
      </c>
      <c r="D3138" t="s">
        <v>1264</v>
      </c>
      <c r="E3138">
        <v>100052</v>
      </c>
      <c r="F3138">
        <v>36400</v>
      </c>
      <c r="G3138" t="str">
        <f t="shared" ref="G3138:G3201" si="261">TEXT(F3138,"00000")</f>
        <v>36400</v>
      </c>
      <c r="H3138" t="s">
        <v>561</v>
      </c>
      <c r="I3138" t="s">
        <v>1265</v>
      </c>
      <c r="J3138" t="s">
        <v>1266</v>
      </c>
      <c r="K3138" t="s">
        <v>1267</v>
      </c>
      <c r="L3138" t="s">
        <v>1345</v>
      </c>
      <c r="M3138" t="s">
        <v>1346</v>
      </c>
      <c r="N3138">
        <v>21</v>
      </c>
      <c r="O3138" t="str">
        <f t="shared" si="259"/>
        <v>46</v>
      </c>
      <c r="P3138">
        <v>46</v>
      </c>
      <c r="R3138" t="s">
        <v>1269</v>
      </c>
      <c r="S3138">
        <v>0.125</v>
      </c>
      <c r="T3138">
        <v>0.24610000000000001</v>
      </c>
      <c r="U3138">
        <f t="shared" si="260"/>
        <v>3.1E-2</v>
      </c>
      <c r="V3138" t="str">
        <f t="shared" ref="V3138:V3201" si="262">_xlfn.XLOOKUP(L3138,$BV:$BV,$BT:$BT,,0)</f>
        <v>Middle Psychologist</v>
      </c>
      <c r="W3138" t="str">
        <f t="shared" ref="W3138:W3201" si="263">_xlfn.TEXTAFTER(V3138," ")</f>
        <v>Psychologist</v>
      </c>
    </row>
    <row r="3139" spans="1:23" x14ac:dyDescent="0.25">
      <c r="A3139">
        <v>36400</v>
      </c>
      <c r="B3139" t="s">
        <v>1371</v>
      </c>
      <c r="C3139">
        <v>0.125</v>
      </c>
      <c r="D3139" t="s">
        <v>1264</v>
      </c>
      <c r="E3139">
        <v>100052</v>
      </c>
      <c r="F3139">
        <v>36400</v>
      </c>
      <c r="G3139" t="str">
        <f t="shared" si="261"/>
        <v>36400</v>
      </c>
      <c r="H3139" t="s">
        <v>561</v>
      </c>
      <c r="I3139" t="s">
        <v>1265</v>
      </c>
      <c r="J3139" t="s">
        <v>1266</v>
      </c>
      <c r="K3139" t="s">
        <v>1267</v>
      </c>
      <c r="L3139" t="s">
        <v>1371</v>
      </c>
      <c r="M3139" t="s">
        <v>1430</v>
      </c>
      <c r="N3139">
        <v>1</v>
      </c>
      <c r="O3139" t="str">
        <f t="shared" ref="O3139:O3202" si="264">MID(L3139,3,2)</f>
        <v>46</v>
      </c>
      <c r="P3139">
        <v>46</v>
      </c>
      <c r="R3139" t="s">
        <v>1269</v>
      </c>
      <c r="S3139">
        <v>0.125</v>
      </c>
      <c r="T3139">
        <v>0.24610000000000001</v>
      </c>
      <c r="U3139">
        <f t="shared" ref="U3139:U3202" si="265">IF(N3139=21,ROUND(T3139*S3139,3),0)</f>
        <v>0</v>
      </c>
      <c r="V3139" t="str">
        <f t="shared" si="262"/>
        <v>Middle Psychologist</v>
      </c>
      <c r="W3139" t="str">
        <f t="shared" si="263"/>
        <v>Psychologist</v>
      </c>
    </row>
    <row r="3140" spans="1:23" x14ac:dyDescent="0.25">
      <c r="A3140">
        <v>36401</v>
      </c>
      <c r="B3140" t="s">
        <v>1297</v>
      </c>
      <c r="C3140">
        <v>0.23599999999999999</v>
      </c>
      <c r="D3140" t="s">
        <v>1264</v>
      </c>
      <c r="E3140">
        <v>100282</v>
      </c>
      <c r="F3140">
        <v>36401</v>
      </c>
      <c r="G3140" t="str">
        <f t="shared" si="261"/>
        <v>36401</v>
      </c>
      <c r="H3140" t="s">
        <v>562</v>
      </c>
      <c r="I3140" t="s">
        <v>1265</v>
      </c>
      <c r="J3140" t="s">
        <v>1276</v>
      </c>
      <c r="K3140" t="s">
        <v>1277</v>
      </c>
      <c r="L3140" t="s">
        <v>1297</v>
      </c>
      <c r="M3140" t="s">
        <v>1381</v>
      </c>
      <c r="N3140">
        <v>1</v>
      </c>
      <c r="O3140" t="str">
        <f t="shared" si="264"/>
        <v>24</v>
      </c>
      <c r="P3140">
        <v>96</v>
      </c>
      <c r="Q3140">
        <v>24</v>
      </c>
      <c r="R3140" t="s">
        <v>1269</v>
      </c>
      <c r="S3140">
        <v>0.23599999999999999</v>
      </c>
      <c r="T3140">
        <v>0.1913</v>
      </c>
      <c r="U3140">
        <f t="shared" si="265"/>
        <v>0</v>
      </c>
      <c r="V3140" t="str">
        <f t="shared" si="262"/>
        <v>Elementary Family Engagement Coordinator</v>
      </c>
      <c r="W3140" t="str">
        <f t="shared" si="263"/>
        <v>Family Engagement Coordinator</v>
      </c>
    </row>
    <row r="3141" spans="1:23" x14ac:dyDescent="0.25">
      <c r="A3141">
        <v>36401</v>
      </c>
      <c r="B3141" t="s">
        <v>1286</v>
      </c>
      <c r="C3141">
        <v>0.23599999999999999</v>
      </c>
      <c r="D3141" t="s">
        <v>1264</v>
      </c>
      <c r="E3141">
        <v>100282</v>
      </c>
      <c r="F3141">
        <v>36401</v>
      </c>
      <c r="G3141" t="str">
        <f t="shared" si="261"/>
        <v>36401</v>
      </c>
      <c r="H3141" t="s">
        <v>562</v>
      </c>
      <c r="I3141" t="s">
        <v>1265</v>
      </c>
      <c r="J3141" t="s">
        <v>1271</v>
      </c>
      <c r="K3141" t="s">
        <v>1272</v>
      </c>
      <c r="L3141" t="s">
        <v>1286</v>
      </c>
      <c r="M3141" t="s">
        <v>1287</v>
      </c>
      <c r="N3141">
        <v>1</v>
      </c>
      <c r="O3141" t="str">
        <f t="shared" si="264"/>
        <v>24</v>
      </c>
      <c r="P3141">
        <v>96</v>
      </c>
      <c r="Q3141">
        <v>24</v>
      </c>
      <c r="R3141" t="s">
        <v>1269</v>
      </c>
      <c r="S3141">
        <v>0.23599999999999999</v>
      </c>
      <c r="T3141">
        <v>0.1913</v>
      </c>
      <c r="U3141">
        <f t="shared" si="265"/>
        <v>0</v>
      </c>
      <c r="V3141" t="str">
        <f t="shared" si="262"/>
        <v>High Family Engagement Coordinator</v>
      </c>
      <c r="W3141" t="str">
        <f t="shared" si="263"/>
        <v>Family Engagement Coordinator</v>
      </c>
    </row>
    <row r="3142" spans="1:23" x14ac:dyDescent="0.25">
      <c r="A3142">
        <v>36401</v>
      </c>
      <c r="B3142" t="s">
        <v>1284</v>
      </c>
      <c r="C3142">
        <v>0.23599999999999999</v>
      </c>
      <c r="D3142" t="s">
        <v>1264</v>
      </c>
      <c r="E3142">
        <v>100282</v>
      </c>
      <c r="F3142">
        <v>36401</v>
      </c>
      <c r="G3142" t="str">
        <f t="shared" si="261"/>
        <v>36401</v>
      </c>
      <c r="H3142" t="s">
        <v>562</v>
      </c>
      <c r="I3142" t="s">
        <v>1265</v>
      </c>
      <c r="J3142" t="s">
        <v>1266</v>
      </c>
      <c r="K3142" t="s">
        <v>1267</v>
      </c>
      <c r="L3142" t="s">
        <v>1284</v>
      </c>
      <c r="M3142" t="s">
        <v>1285</v>
      </c>
      <c r="N3142">
        <v>1</v>
      </c>
      <c r="O3142" t="str">
        <f t="shared" si="264"/>
        <v>24</v>
      </c>
      <c r="P3142">
        <v>96</v>
      </c>
      <c r="Q3142">
        <v>24</v>
      </c>
      <c r="R3142" t="s">
        <v>1269</v>
      </c>
      <c r="S3142">
        <v>0.23599999999999999</v>
      </c>
      <c r="T3142">
        <v>0.1913</v>
      </c>
      <c r="U3142">
        <f t="shared" si="265"/>
        <v>0</v>
      </c>
      <c r="V3142" t="str">
        <f t="shared" si="262"/>
        <v>Middle Family Engagement Coordinator</v>
      </c>
      <c r="W3142" t="str">
        <f t="shared" si="263"/>
        <v>Family Engagement Coordinator</v>
      </c>
    </row>
    <row r="3143" spans="1:23" x14ac:dyDescent="0.25">
      <c r="A3143">
        <v>36401</v>
      </c>
      <c r="B3143" t="s">
        <v>1383</v>
      </c>
      <c r="C3143">
        <v>0.16400000000000001</v>
      </c>
      <c r="D3143" t="s">
        <v>1264</v>
      </c>
      <c r="E3143">
        <v>100282</v>
      </c>
      <c r="F3143">
        <v>36401</v>
      </c>
      <c r="G3143" t="str">
        <f t="shared" si="261"/>
        <v>36401</v>
      </c>
      <c r="H3143" t="s">
        <v>562</v>
      </c>
      <c r="I3143" t="s">
        <v>1265</v>
      </c>
      <c r="J3143" t="s">
        <v>1271</v>
      </c>
      <c r="K3143" t="s">
        <v>1272</v>
      </c>
      <c r="L3143" t="s">
        <v>1383</v>
      </c>
      <c r="M3143" t="s">
        <v>1409</v>
      </c>
      <c r="N3143">
        <v>21</v>
      </c>
      <c r="O3143" t="str">
        <f t="shared" si="264"/>
        <v>25</v>
      </c>
      <c r="Q3143">
        <v>25</v>
      </c>
      <c r="R3143" t="s">
        <v>1269</v>
      </c>
      <c r="S3143">
        <v>0.16400000000000001</v>
      </c>
      <c r="T3143">
        <v>0.1913</v>
      </c>
      <c r="U3143">
        <f t="shared" si="265"/>
        <v>3.1E-2</v>
      </c>
      <c r="V3143" t="str">
        <f t="shared" si="262"/>
        <v>High Pupil Management</v>
      </c>
      <c r="W3143" t="str">
        <f t="shared" si="263"/>
        <v>Pupil Management</v>
      </c>
    </row>
    <row r="3144" spans="1:23" x14ac:dyDescent="0.25">
      <c r="A3144">
        <v>36401</v>
      </c>
      <c r="B3144" t="s">
        <v>1299</v>
      </c>
      <c r="C3144">
        <v>0.40799999999999997</v>
      </c>
      <c r="D3144" t="s">
        <v>1264</v>
      </c>
      <c r="E3144">
        <v>100282</v>
      </c>
      <c r="F3144">
        <v>36401</v>
      </c>
      <c r="G3144" t="str">
        <f t="shared" si="261"/>
        <v>36401</v>
      </c>
      <c r="H3144" t="s">
        <v>562</v>
      </c>
      <c r="I3144" t="s">
        <v>1265</v>
      </c>
      <c r="J3144" t="s">
        <v>1271</v>
      </c>
      <c r="K3144" t="s">
        <v>1272</v>
      </c>
      <c r="L3144" t="s">
        <v>1299</v>
      </c>
      <c r="M3144" t="s">
        <v>1300</v>
      </c>
      <c r="N3144">
        <v>1</v>
      </c>
      <c r="O3144" t="str">
        <f t="shared" si="264"/>
        <v>25</v>
      </c>
      <c r="Q3144">
        <v>25</v>
      </c>
      <c r="R3144" t="s">
        <v>1269</v>
      </c>
      <c r="S3144">
        <v>0.40799999999999997</v>
      </c>
      <c r="T3144">
        <v>0.1913</v>
      </c>
      <c r="U3144">
        <f t="shared" si="265"/>
        <v>0</v>
      </c>
      <c r="V3144" t="str">
        <f t="shared" si="262"/>
        <v>High Pupil Management</v>
      </c>
      <c r="W3144" t="str">
        <f t="shared" si="263"/>
        <v>Pupil Management</v>
      </c>
    </row>
    <row r="3145" spans="1:23" x14ac:dyDescent="0.25">
      <c r="A3145">
        <v>36402</v>
      </c>
      <c r="B3145" t="s">
        <v>1315</v>
      </c>
      <c r="C3145">
        <v>1.2999999999999999E-2</v>
      </c>
      <c r="D3145" t="s">
        <v>1264</v>
      </c>
      <c r="E3145">
        <v>100204</v>
      </c>
      <c r="F3145">
        <v>36402</v>
      </c>
      <c r="G3145" t="str">
        <f t="shared" si="261"/>
        <v>36402</v>
      </c>
      <c r="H3145" t="s">
        <v>563</v>
      </c>
      <c r="I3145" t="s">
        <v>1265</v>
      </c>
      <c r="J3145" t="s">
        <v>1276</v>
      </c>
      <c r="K3145" t="s">
        <v>1277</v>
      </c>
      <c r="L3145" t="s">
        <v>1315</v>
      </c>
      <c r="M3145" t="s">
        <v>1375</v>
      </c>
      <c r="N3145">
        <v>1</v>
      </c>
      <c r="O3145" t="str">
        <f t="shared" si="264"/>
        <v>26</v>
      </c>
      <c r="Q3145">
        <v>26</v>
      </c>
      <c r="R3145" t="s">
        <v>1269</v>
      </c>
      <c r="S3145">
        <v>1.2999999999999999E-2</v>
      </c>
      <c r="T3145">
        <v>0.17299999999999999</v>
      </c>
      <c r="U3145">
        <f t="shared" si="265"/>
        <v>0</v>
      </c>
      <c r="V3145" t="str">
        <f t="shared" si="262"/>
        <v>Elementary Health/
Related Services</v>
      </c>
      <c r="W3145" t="str">
        <f t="shared" si="263"/>
        <v>Health/
Related Services</v>
      </c>
    </row>
    <row r="3146" spans="1:23" x14ac:dyDescent="0.25">
      <c r="A3146">
        <v>36402</v>
      </c>
      <c r="B3146" t="s">
        <v>1275</v>
      </c>
      <c r="C3146">
        <v>0.05</v>
      </c>
      <c r="D3146" t="s">
        <v>1264</v>
      </c>
      <c r="E3146">
        <v>100204</v>
      </c>
      <c r="F3146">
        <v>36402</v>
      </c>
      <c r="G3146" t="str">
        <f t="shared" si="261"/>
        <v>36402</v>
      </c>
      <c r="H3146" t="s">
        <v>563</v>
      </c>
      <c r="I3146" t="s">
        <v>1265</v>
      </c>
      <c r="J3146" t="s">
        <v>1276</v>
      </c>
      <c r="K3146" t="s">
        <v>1277</v>
      </c>
      <c r="L3146" t="s">
        <v>1275</v>
      </c>
      <c r="M3146" t="s">
        <v>1278</v>
      </c>
      <c r="N3146">
        <v>1</v>
      </c>
      <c r="O3146" t="str">
        <f t="shared" si="264"/>
        <v>42</v>
      </c>
      <c r="P3146">
        <v>42</v>
      </c>
      <c r="R3146" t="s">
        <v>1269</v>
      </c>
      <c r="S3146">
        <v>0.05</v>
      </c>
      <c r="T3146">
        <v>0.17299999999999999</v>
      </c>
      <c r="U3146">
        <f t="shared" si="265"/>
        <v>0</v>
      </c>
      <c r="V3146" t="str">
        <f t="shared" si="262"/>
        <v>Elementary Counselor</v>
      </c>
      <c r="W3146" t="str">
        <f t="shared" si="263"/>
        <v>Counselor</v>
      </c>
    </row>
    <row r="3147" spans="1:23" x14ac:dyDescent="0.25">
      <c r="A3147">
        <v>36402</v>
      </c>
      <c r="B3147" t="s">
        <v>1270</v>
      </c>
      <c r="C3147">
        <v>0.18</v>
      </c>
      <c r="D3147" t="s">
        <v>1264</v>
      </c>
      <c r="E3147">
        <v>100204</v>
      </c>
      <c r="F3147">
        <v>36402</v>
      </c>
      <c r="G3147" t="str">
        <f t="shared" si="261"/>
        <v>36402</v>
      </c>
      <c r="H3147" t="s">
        <v>563</v>
      </c>
      <c r="I3147" t="s">
        <v>1265</v>
      </c>
      <c r="J3147" t="s">
        <v>1271</v>
      </c>
      <c r="K3147" t="s">
        <v>1272</v>
      </c>
      <c r="L3147" t="s">
        <v>1270</v>
      </c>
      <c r="M3147" t="s">
        <v>1273</v>
      </c>
      <c r="N3147">
        <v>1</v>
      </c>
      <c r="O3147" t="str">
        <f t="shared" si="264"/>
        <v>42</v>
      </c>
      <c r="P3147">
        <v>42</v>
      </c>
      <c r="R3147" t="s">
        <v>1269</v>
      </c>
      <c r="S3147">
        <v>0.18</v>
      </c>
      <c r="T3147">
        <v>0.17299999999999999</v>
      </c>
      <c r="U3147">
        <f t="shared" si="265"/>
        <v>0</v>
      </c>
      <c r="V3147" t="str">
        <f t="shared" si="262"/>
        <v>High Counselor</v>
      </c>
      <c r="W3147" t="str">
        <f t="shared" si="263"/>
        <v>Counselor</v>
      </c>
    </row>
    <row r="3148" spans="1:23" x14ac:dyDescent="0.25">
      <c r="A3148">
        <v>36402</v>
      </c>
      <c r="B3148" t="s">
        <v>1263</v>
      </c>
      <c r="C3148">
        <v>0.17</v>
      </c>
      <c r="D3148" t="s">
        <v>1264</v>
      </c>
      <c r="E3148">
        <v>100204</v>
      </c>
      <c r="F3148">
        <v>36402</v>
      </c>
      <c r="G3148" t="str">
        <f t="shared" si="261"/>
        <v>36402</v>
      </c>
      <c r="H3148" t="s">
        <v>563</v>
      </c>
      <c r="I3148" t="s">
        <v>1265</v>
      </c>
      <c r="J3148" t="s">
        <v>1266</v>
      </c>
      <c r="K3148" t="s">
        <v>1267</v>
      </c>
      <c r="L3148" t="s">
        <v>1263</v>
      </c>
      <c r="M3148" t="s">
        <v>1268</v>
      </c>
      <c r="N3148">
        <v>1</v>
      </c>
      <c r="O3148" t="str">
        <f t="shared" si="264"/>
        <v>42</v>
      </c>
      <c r="P3148">
        <v>42</v>
      </c>
      <c r="R3148" t="s">
        <v>1269</v>
      </c>
      <c r="S3148">
        <v>0.17</v>
      </c>
      <c r="T3148">
        <v>0.17299999999999999</v>
      </c>
      <c r="U3148">
        <f t="shared" si="265"/>
        <v>0</v>
      </c>
      <c r="V3148" t="str">
        <f t="shared" si="262"/>
        <v>Middle Counselor</v>
      </c>
      <c r="W3148" t="str">
        <f t="shared" si="263"/>
        <v>Counselor</v>
      </c>
    </row>
    <row r="3149" spans="1:23" x14ac:dyDescent="0.25">
      <c r="A3149">
        <v>37501</v>
      </c>
      <c r="B3149" t="s">
        <v>1286</v>
      </c>
      <c r="C3149">
        <v>3.06</v>
      </c>
      <c r="D3149" t="s">
        <v>1264</v>
      </c>
      <c r="E3149">
        <v>100020</v>
      </c>
      <c r="F3149">
        <v>37501</v>
      </c>
      <c r="G3149" t="str">
        <f t="shared" si="261"/>
        <v>37501</v>
      </c>
      <c r="H3149" t="s">
        <v>564</v>
      </c>
      <c r="I3149" t="s">
        <v>1265</v>
      </c>
      <c r="J3149" t="s">
        <v>1271</v>
      </c>
      <c r="K3149" t="s">
        <v>1272</v>
      </c>
      <c r="L3149" t="s">
        <v>1286</v>
      </c>
      <c r="M3149" t="s">
        <v>1287</v>
      </c>
      <c r="N3149">
        <v>1</v>
      </c>
      <c r="O3149" t="str">
        <f t="shared" si="264"/>
        <v>24</v>
      </c>
      <c r="P3149">
        <v>96</v>
      </c>
      <c r="Q3149">
        <v>24</v>
      </c>
      <c r="R3149" t="s">
        <v>1269</v>
      </c>
      <c r="S3149">
        <v>3.06</v>
      </c>
      <c r="T3149">
        <v>0.1875</v>
      </c>
      <c r="U3149">
        <f t="shared" si="265"/>
        <v>0</v>
      </c>
      <c r="V3149" t="str">
        <f t="shared" si="262"/>
        <v>High Family Engagement Coordinator</v>
      </c>
      <c r="W3149" t="str">
        <f t="shared" si="263"/>
        <v>Family Engagement Coordinator</v>
      </c>
    </row>
    <row r="3150" spans="1:23" x14ac:dyDescent="0.25">
      <c r="A3150">
        <v>37501</v>
      </c>
      <c r="B3150" t="s">
        <v>1299</v>
      </c>
      <c r="C3150">
        <v>18.640999999999998</v>
      </c>
      <c r="D3150" t="s">
        <v>1264</v>
      </c>
      <c r="E3150">
        <v>100020</v>
      </c>
      <c r="F3150">
        <v>37501</v>
      </c>
      <c r="G3150" t="str">
        <f t="shared" si="261"/>
        <v>37501</v>
      </c>
      <c r="H3150" t="s">
        <v>564</v>
      </c>
      <c r="I3150" t="s">
        <v>1265</v>
      </c>
      <c r="J3150" t="s">
        <v>1271</v>
      </c>
      <c r="K3150" t="s">
        <v>1272</v>
      </c>
      <c r="L3150" t="s">
        <v>1299</v>
      </c>
      <c r="M3150" t="s">
        <v>1300</v>
      </c>
      <c r="N3150">
        <v>1</v>
      </c>
      <c r="O3150" t="str">
        <f t="shared" si="264"/>
        <v>25</v>
      </c>
      <c r="Q3150">
        <v>25</v>
      </c>
      <c r="R3150" t="s">
        <v>1269</v>
      </c>
      <c r="S3150">
        <v>18.640999999999998</v>
      </c>
      <c r="T3150">
        <v>0.1875</v>
      </c>
      <c r="U3150">
        <f t="shared" si="265"/>
        <v>0</v>
      </c>
      <c r="V3150" t="str">
        <f t="shared" si="262"/>
        <v>High Pupil Management</v>
      </c>
      <c r="W3150" t="str">
        <f t="shared" si="263"/>
        <v>Pupil Management</v>
      </c>
    </row>
    <row r="3151" spans="1:23" x14ac:dyDescent="0.25">
      <c r="A3151">
        <v>37501</v>
      </c>
      <c r="B3151" t="s">
        <v>1324</v>
      </c>
      <c r="C3151">
        <v>1.716</v>
      </c>
      <c r="D3151" t="s">
        <v>1264</v>
      </c>
      <c r="E3151">
        <v>100020</v>
      </c>
      <c r="F3151">
        <v>37501</v>
      </c>
      <c r="G3151" t="str">
        <f t="shared" si="261"/>
        <v>37501</v>
      </c>
      <c r="H3151" t="s">
        <v>564</v>
      </c>
      <c r="I3151" t="s">
        <v>1265</v>
      </c>
      <c r="J3151" t="s">
        <v>1271</v>
      </c>
      <c r="K3151" t="s">
        <v>1272</v>
      </c>
      <c r="L3151" t="s">
        <v>1324</v>
      </c>
      <c r="M3151" t="s">
        <v>1325</v>
      </c>
      <c r="N3151">
        <v>21</v>
      </c>
      <c r="O3151" t="str">
        <f t="shared" si="264"/>
        <v>26</v>
      </c>
      <c r="Q3151">
        <v>26</v>
      </c>
      <c r="R3151" t="s">
        <v>1269</v>
      </c>
      <c r="S3151">
        <v>1.716</v>
      </c>
      <c r="T3151">
        <v>0.1875</v>
      </c>
      <c r="U3151">
        <f t="shared" si="265"/>
        <v>0.32200000000000001</v>
      </c>
      <c r="V3151" t="str">
        <f t="shared" si="262"/>
        <v>High Health/
Related Services</v>
      </c>
      <c r="W3151" t="str">
        <f t="shared" si="263"/>
        <v>Health/
Related Services</v>
      </c>
    </row>
    <row r="3152" spans="1:23" x14ac:dyDescent="0.25">
      <c r="A3152">
        <v>37501</v>
      </c>
      <c r="B3152" t="s">
        <v>1295</v>
      </c>
      <c r="C3152">
        <v>5.1449999999999996</v>
      </c>
      <c r="D3152" t="s">
        <v>1264</v>
      </c>
      <c r="E3152">
        <v>100020</v>
      </c>
      <c r="F3152">
        <v>37501</v>
      </c>
      <c r="G3152" t="str">
        <f t="shared" si="261"/>
        <v>37501</v>
      </c>
      <c r="H3152" t="s">
        <v>564</v>
      </c>
      <c r="I3152" t="s">
        <v>1265</v>
      </c>
      <c r="J3152" t="s">
        <v>1271</v>
      </c>
      <c r="K3152" t="s">
        <v>1272</v>
      </c>
      <c r="L3152" t="s">
        <v>1295</v>
      </c>
      <c r="M3152" t="s">
        <v>1296</v>
      </c>
      <c r="N3152">
        <v>1</v>
      </c>
      <c r="O3152" t="str">
        <f t="shared" si="264"/>
        <v>26</v>
      </c>
      <c r="Q3152">
        <v>26</v>
      </c>
      <c r="R3152" t="s">
        <v>1269</v>
      </c>
      <c r="S3152">
        <v>5.1449999999999996</v>
      </c>
      <c r="T3152">
        <v>0.1875</v>
      </c>
      <c r="U3152">
        <f t="shared" si="265"/>
        <v>0</v>
      </c>
      <c r="V3152" t="str">
        <f t="shared" si="262"/>
        <v>High Health/
Related Services</v>
      </c>
      <c r="W3152" t="str">
        <f t="shared" si="263"/>
        <v>Health/
Related Services</v>
      </c>
    </row>
    <row r="3153" spans="1:23" x14ac:dyDescent="0.25">
      <c r="A3153">
        <v>37501</v>
      </c>
      <c r="B3153" t="s">
        <v>1402</v>
      </c>
      <c r="C3153">
        <v>1</v>
      </c>
      <c r="D3153" t="s">
        <v>1264</v>
      </c>
      <c r="E3153">
        <v>100020</v>
      </c>
      <c r="F3153">
        <v>37501</v>
      </c>
      <c r="G3153" t="str">
        <f t="shared" si="261"/>
        <v>37501</v>
      </c>
      <c r="H3153" t="s">
        <v>564</v>
      </c>
      <c r="I3153" t="s">
        <v>1265</v>
      </c>
      <c r="J3153" t="s">
        <v>1271</v>
      </c>
      <c r="K3153" t="s">
        <v>1272</v>
      </c>
      <c r="L3153" t="s">
        <v>1402</v>
      </c>
      <c r="M3153" t="s">
        <v>1408</v>
      </c>
      <c r="N3153">
        <v>97</v>
      </c>
      <c r="O3153" t="str">
        <f t="shared" si="264"/>
        <v>35</v>
      </c>
      <c r="Q3153">
        <v>35</v>
      </c>
      <c r="R3153" t="s">
        <v>1269</v>
      </c>
      <c r="S3153">
        <v>1</v>
      </c>
      <c r="T3153">
        <v>0.1875</v>
      </c>
      <c r="U3153">
        <f t="shared" si="265"/>
        <v>0</v>
      </c>
      <c r="V3153" t="str">
        <f t="shared" si="262"/>
        <v>High Pupil Safety</v>
      </c>
      <c r="W3153" t="str">
        <f t="shared" si="263"/>
        <v>Pupil Safety</v>
      </c>
    </row>
    <row r="3154" spans="1:23" x14ac:dyDescent="0.25">
      <c r="A3154">
        <v>37501</v>
      </c>
      <c r="B3154" t="s">
        <v>1275</v>
      </c>
      <c r="C3154">
        <v>5.6</v>
      </c>
      <c r="D3154" t="s">
        <v>1264</v>
      </c>
      <c r="E3154">
        <v>100020</v>
      </c>
      <c r="F3154">
        <v>37501</v>
      </c>
      <c r="G3154" t="str">
        <f t="shared" si="261"/>
        <v>37501</v>
      </c>
      <c r="H3154" t="s">
        <v>564</v>
      </c>
      <c r="I3154" t="s">
        <v>1265</v>
      </c>
      <c r="J3154" t="s">
        <v>1276</v>
      </c>
      <c r="K3154" t="s">
        <v>1277</v>
      </c>
      <c r="L3154" t="s">
        <v>1275</v>
      </c>
      <c r="M3154" t="s">
        <v>1278</v>
      </c>
      <c r="N3154">
        <v>1</v>
      </c>
      <c r="O3154" t="str">
        <f t="shared" si="264"/>
        <v>42</v>
      </c>
      <c r="P3154">
        <v>42</v>
      </c>
      <c r="R3154" t="s">
        <v>1269</v>
      </c>
      <c r="S3154">
        <v>5.6</v>
      </c>
      <c r="T3154">
        <v>0.1875</v>
      </c>
      <c r="U3154">
        <f t="shared" si="265"/>
        <v>0</v>
      </c>
      <c r="V3154" t="str">
        <f t="shared" si="262"/>
        <v>Elementary Counselor</v>
      </c>
      <c r="W3154" t="str">
        <f t="shared" si="263"/>
        <v>Counselor</v>
      </c>
    </row>
    <row r="3155" spans="1:23" x14ac:dyDescent="0.25">
      <c r="A3155">
        <v>37501</v>
      </c>
      <c r="B3155" t="s">
        <v>1270</v>
      </c>
      <c r="C3155">
        <v>8.94</v>
      </c>
      <c r="D3155" t="s">
        <v>1264</v>
      </c>
      <c r="E3155">
        <v>100020</v>
      </c>
      <c r="F3155">
        <v>37501</v>
      </c>
      <c r="G3155" t="str">
        <f t="shared" si="261"/>
        <v>37501</v>
      </c>
      <c r="H3155" t="s">
        <v>564</v>
      </c>
      <c r="I3155" t="s">
        <v>1265</v>
      </c>
      <c r="J3155" t="s">
        <v>1271</v>
      </c>
      <c r="K3155" t="s">
        <v>1272</v>
      </c>
      <c r="L3155" t="s">
        <v>1270</v>
      </c>
      <c r="M3155" t="s">
        <v>1273</v>
      </c>
      <c r="N3155">
        <v>1</v>
      </c>
      <c r="O3155" t="str">
        <f t="shared" si="264"/>
        <v>42</v>
      </c>
      <c r="P3155">
        <v>42</v>
      </c>
      <c r="R3155" t="s">
        <v>1269</v>
      </c>
      <c r="S3155">
        <v>8.94</v>
      </c>
      <c r="T3155">
        <v>0.1875</v>
      </c>
      <c r="U3155">
        <f t="shared" si="265"/>
        <v>0</v>
      </c>
      <c r="V3155" t="str">
        <f t="shared" si="262"/>
        <v>High Counselor</v>
      </c>
      <c r="W3155" t="str">
        <f t="shared" si="263"/>
        <v>Counselor</v>
      </c>
    </row>
    <row r="3156" spans="1:23" x14ac:dyDescent="0.25">
      <c r="A3156">
        <v>37501</v>
      </c>
      <c r="B3156" t="s">
        <v>1263</v>
      </c>
      <c r="C3156">
        <v>5.42</v>
      </c>
      <c r="D3156" t="s">
        <v>1264</v>
      </c>
      <c r="E3156">
        <v>100020</v>
      </c>
      <c r="F3156">
        <v>37501</v>
      </c>
      <c r="G3156" t="str">
        <f t="shared" si="261"/>
        <v>37501</v>
      </c>
      <c r="H3156" t="s">
        <v>564</v>
      </c>
      <c r="I3156" t="s">
        <v>1265</v>
      </c>
      <c r="J3156" t="s">
        <v>1266</v>
      </c>
      <c r="K3156" t="s">
        <v>1267</v>
      </c>
      <c r="L3156" t="s">
        <v>1263</v>
      </c>
      <c r="M3156" t="s">
        <v>1268</v>
      </c>
      <c r="N3156">
        <v>1</v>
      </c>
      <c r="O3156" t="str">
        <f t="shared" si="264"/>
        <v>42</v>
      </c>
      <c r="P3156">
        <v>42</v>
      </c>
      <c r="R3156" t="s">
        <v>1269</v>
      </c>
      <c r="S3156">
        <v>5.42</v>
      </c>
      <c r="T3156">
        <v>0.1875</v>
      </c>
      <c r="U3156">
        <f t="shared" si="265"/>
        <v>0</v>
      </c>
      <c r="V3156" t="str">
        <f t="shared" si="262"/>
        <v>Middle Counselor</v>
      </c>
      <c r="W3156" t="str">
        <f t="shared" si="263"/>
        <v>Counselor</v>
      </c>
    </row>
    <row r="3157" spans="1:23" x14ac:dyDescent="0.25">
      <c r="A3157">
        <v>37501</v>
      </c>
      <c r="B3157" t="s">
        <v>1289</v>
      </c>
      <c r="C3157">
        <v>6.4160000000000004</v>
      </c>
      <c r="D3157" t="s">
        <v>1264</v>
      </c>
      <c r="E3157">
        <v>100020</v>
      </c>
      <c r="F3157">
        <v>37501</v>
      </c>
      <c r="G3157" t="str">
        <f t="shared" si="261"/>
        <v>37501</v>
      </c>
      <c r="H3157" t="s">
        <v>564</v>
      </c>
      <c r="I3157" t="s">
        <v>1265</v>
      </c>
      <c r="J3157" t="s">
        <v>1276</v>
      </c>
      <c r="K3157" t="s">
        <v>1277</v>
      </c>
      <c r="L3157" t="s">
        <v>1289</v>
      </c>
      <c r="M3157" t="s">
        <v>1307</v>
      </c>
      <c r="N3157">
        <v>21</v>
      </c>
      <c r="O3157" t="str">
        <f t="shared" si="264"/>
        <v>43</v>
      </c>
      <c r="P3157">
        <v>43</v>
      </c>
      <c r="R3157" t="s">
        <v>1269</v>
      </c>
      <c r="S3157">
        <v>6.4160000000000004</v>
      </c>
      <c r="T3157">
        <v>0.1875</v>
      </c>
      <c r="U3157">
        <f t="shared" si="265"/>
        <v>1.2030000000000001</v>
      </c>
      <c r="V3157" t="str">
        <f t="shared" si="262"/>
        <v>Elementary Occupational Therapist</v>
      </c>
      <c r="W3157" t="str">
        <f t="shared" si="263"/>
        <v>Occupational Therapist</v>
      </c>
    </row>
    <row r="3158" spans="1:23" x14ac:dyDescent="0.25">
      <c r="A3158">
        <v>37501</v>
      </c>
      <c r="B3158" t="s">
        <v>1387</v>
      </c>
      <c r="C3158">
        <v>0.6</v>
      </c>
      <c r="D3158" t="s">
        <v>1264</v>
      </c>
      <c r="E3158">
        <v>100020</v>
      </c>
      <c r="F3158">
        <v>37501</v>
      </c>
      <c r="G3158" t="str">
        <f t="shared" si="261"/>
        <v>37501</v>
      </c>
      <c r="H3158" t="s">
        <v>564</v>
      </c>
      <c r="I3158" t="s">
        <v>1265</v>
      </c>
      <c r="J3158" t="s">
        <v>1271</v>
      </c>
      <c r="K3158" t="s">
        <v>1272</v>
      </c>
      <c r="L3158" t="s">
        <v>1387</v>
      </c>
      <c r="M3158" t="s">
        <v>1406</v>
      </c>
      <c r="N3158">
        <v>21</v>
      </c>
      <c r="O3158" t="str">
        <f t="shared" si="264"/>
        <v>43</v>
      </c>
      <c r="P3158">
        <v>43</v>
      </c>
      <c r="R3158" t="s">
        <v>1269</v>
      </c>
      <c r="S3158">
        <v>0.6</v>
      </c>
      <c r="T3158">
        <v>0.1875</v>
      </c>
      <c r="U3158">
        <f t="shared" si="265"/>
        <v>0.113</v>
      </c>
      <c r="V3158" t="str">
        <f t="shared" si="262"/>
        <v>High Occupational Therapist</v>
      </c>
      <c r="W3158" t="str">
        <f t="shared" si="263"/>
        <v>Occupational Therapist</v>
      </c>
    </row>
    <row r="3159" spans="1:23" x14ac:dyDescent="0.25">
      <c r="A3159">
        <v>37501</v>
      </c>
      <c r="B3159" t="s">
        <v>1303</v>
      </c>
      <c r="C3159">
        <v>1.0840000000000001</v>
      </c>
      <c r="D3159" t="s">
        <v>1264</v>
      </c>
      <c r="E3159">
        <v>100020</v>
      </c>
      <c r="F3159">
        <v>37501</v>
      </c>
      <c r="G3159" t="str">
        <f t="shared" si="261"/>
        <v>37501</v>
      </c>
      <c r="H3159" t="s">
        <v>564</v>
      </c>
      <c r="I3159" t="s">
        <v>1265</v>
      </c>
      <c r="J3159" t="s">
        <v>1266</v>
      </c>
      <c r="K3159" t="s">
        <v>1267</v>
      </c>
      <c r="L3159" t="s">
        <v>1303</v>
      </c>
      <c r="M3159" t="s">
        <v>1304</v>
      </c>
      <c r="N3159">
        <v>21</v>
      </c>
      <c r="O3159" t="str">
        <f t="shared" si="264"/>
        <v>43</v>
      </c>
      <c r="P3159">
        <v>43</v>
      </c>
      <c r="R3159" t="s">
        <v>1269</v>
      </c>
      <c r="S3159">
        <v>1.0840000000000001</v>
      </c>
      <c r="T3159">
        <v>0.1875</v>
      </c>
      <c r="U3159">
        <f t="shared" si="265"/>
        <v>0.20300000000000001</v>
      </c>
      <c r="V3159" t="str">
        <f t="shared" si="262"/>
        <v>Middle Occupational Therapist</v>
      </c>
      <c r="W3159" t="str">
        <f t="shared" si="263"/>
        <v>Occupational Therapist</v>
      </c>
    </row>
    <row r="3160" spans="1:23" x14ac:dyDescent="0.25">
      <c r="A3160">
        <v>37501</v>
      </c>
      <c r="B3160" t="s">
        <v>1294</v>
      </c>
      <c r="C3160">
        <v>13.75</v>
      </c>
      <c r="D3160" t="s">
        <v>1264</v>
      </c>
      <c r="E3160">
        <v>100020</v>
      </c>
      <c r="F3160">
        <v>37501</v>
      </c>
      <c r="G3160" t="str">
        <f t="shared" si="261"/>
        <v>37501</v>
      </c>
      <c r="H3160" t="s">
        <v>564</v>
      </c>
      <c r="I3160" t="s">
        <v>1265</v>
      </c>
      <c r="J3160" t="s">
        <v>1276</v>
      </c>
      <c r="K3160" t="s">
        <v>1277</v>
      </c>
      <c r="L3160" t="s">
        <v>1294</v>
      </c>
      <c r="M3160" t="s">
        <v>1354</v>
      </c>
      <c r="N3160">
        <v>21</v>
      </c>
      <c r="O3160" t="str">
        <f t="shared" si="264"/>
        <v>45</v>
      </c>
      <c r="P3160">
        <v>45</v>
      </c>
      <c r="R3160" t="s">
        <v>1269</v>
      </c>
      <c r="S3160">
        <v>13.75</v>
      </c>
      <c r="T3160">
        <v>0.1875</v>
      </c>
      <c r="U3160">
        <f t="shared" si="265"/>
        <v>2.5779999999999998</v>
      </c>
      <c r="V3160" t="str">
        <f t="shared" si="262"/>
        <v>Elementary Speech, Language Pathway/
Audio</v>
      </c>
      <c r="W3160" t="str">
        <f t="shared" si="263"/>
        <v>Speech, Language Pathway/
Audio</v>
      </c>
    </row>
    <row r="3161" spans="1:23" x14ac:dyDescent="0.25">
      <c r="A3161">
        <v>37501</v>
      </c>
      <c r="B3161" t="s">
        <v>1326</v>
      </c>
      <c r="C3161">
        <v>2.5840000000000001</v>
      </c>
      <c r="D3161" t="s">
        <v>1264</v>
      </c>
      <c r="E3161">
        <v>100020</v>
      </c>
      <c r="F3161">
        <v>37501</v>
      </c>
      <c r="G3161" t="str">
        <f t="shared" si="261"/>
        <v>37501</v>
      </c>
      <c r="H3161" t="s">
        <v>564</v>
      </c>
      <c r="I3161" t="s">
        <v>1265</v>
      </c>
      <c r="J3161" t="s">
        <v>1271</v>
      </c>
      <c r="K3161" t="s">
        <v>1272</v>
      </c>
      <c r="L3161" t="s">
        <v>1326</v>
      </c>
      <c r="M3161" t="s">
        <v>1353</v>
      </c>
      <c r="N3161">
        <v>21</v>
      </c>
      <c r="O3161" t="str">
        <f t="shared" si="264"/>
        <v>45</v>
      </c>
      <c r="P3161">
        <v>45</v>
      </c>
      <c r="R3161" t="s">
        <v>1269</v>
      </c>
      <c r="S3161">
        <v>2.5840000000000001</v>
      </c>
      <c r="T3161">
        <v>0.1875</v>
      </c>
      <c r="U3161">
        <f t="shared" si="265"/>
        <v>0.48499999999999999</v>
      </c>
      <c r="V3161" t="str">
        <f t="shared" si="262"/>
        <v>High Speech, Language Pathway/
Audio</v>
      </c>
      <c r="W3161" t="str">
        <f t="shared" si="263"/>
        <v>Speech, Language Pathway/
Audio</v>
      </c>
    </row>
    <row r="3162" spans="1:23" x14ac:dyDescent="0.25">
      <c r="A3162">
        <v>37501</v>
      </c>
      <c r="B3162" t="s">
        <v>1312</v>
      </c>
      <c r="C3162">
        <v>2.5659999999999998</v>
      </c>
      <c r="D3162" t="s">
        <v>1264</v>
      </c>
      <c r="E3162">
        <v>100020</v>
      </c>
      <c r="F3162">
        <v>37501</v>
      </c>
      <c r="G3162" t="str">
        <f t="shared" si="261"/>
        <v>37501</v>
      </c>
      <c r="H3162" t="s">
        <v>564</v>
      </c>
      <c r="I3162" t="s">
        <v>1265</v>
      </c>
      <c r="J3162" t="s">
        <v>1266</v>
      </c>
      <c r="K3162" t="s">
        <v>1267</v>
      </c>
      <c r="L3162" t="s">
        <v>1312</v>
      </c>
      <c r="M3162" t="s">
        <v>1351</v>
      </c>
      <c r="N3162">
        <v>21</v>
      </c>
      <c r="O3162" t="str">
        <f t="shared" si="264"/>
        <v>45</v>
      </c>
      <c r="P3162">
        <v>45</v>
      </c>
      <c r="R3162" t="s">
        <v>1269</v>
      </c>
      <c r="S3162">
        <v>2.5659999999999998</v>
      </c>
      <c r="T3162">
        <v>0.1875</v>
      </c>
      <c r="U3162">
        <f t="shared" si="265"/>
        <v>0.48099999999999998</v>
      </c>
      <c r="V3162" t="str">
        <f t="shared" si="262"/>
        <v>Middle Speech, Language Pathway/
Audio</v>
      </c>
      <c r="W3162" t="str">
        <f t="shared" si="263"/>
        <v>Speech, Language Pathway/
Audio</v>
      </c>
    </row>
    <row r="3163" spans="1:23" x14ac:dyDescent="0.25">
      <c r="A3163">
        <v>37501</v>
      </c>
      <c r="B3163" t="s">
        <v>1298</v>
      </c>
      <c r="C3163">
        <v>8.6999999999999993</v>
      </c>
      <c r="D3163" t="s">
        <v>1264</v>
      </c>
      <c r="E3163">
        <v>100020</v>
      </c>
      <c r="F3163">
        <v>37501</v>
      </c>
      <c r="G3163" t="str">
        <f t="shared" si="261"/>
        <v>37501</v>
      </c>
      <c r="H3163" t="s">
        <v>564</v>
      </c>
      <c r="I3163" t="s">
        <v>1265</v>
      </c>
      <c r="J3163" t="s">
        <v>1276</v>
      </c>
      <c r="K3163" t="s">
        <v>1277</v>
      </c>
      <c r="L3163" t="s">
        <v>1298</v>
      </c>
      <c r="M3163" t="s">
        <v>1349</v>
      </c>
      <c r="N3163">
        <v>21</v>
      </c>
      <c r="O3163" t="str">
        <f t="shared" si="264"/>
        <v>46</v>
      </c>
      <c r="P3163">
        <v>46</v>
      </c>
      <c r="R3163" t="s">
        <v>1269</v>
      </c>
      <c r="S3163">
        <v>8.6999999999999993</v>
      </c>
      <c r="T3163">
        <v>0.1875</v>
      </c>
      <c r="U3163">
        <f t="shared" si="265"/>
        <v>1.631</v>
      </c>
      <c r="V3163" t="str">
        <f t="shared" si="262"/>
        <v>Elementary Psychologist</v>
      </c>
      <c r="W3163" t="str">
        <f t="shared" si="263"/>
        <v>Psychologist</v>
      </c>
    </row>
    <row r="3164" spans="1:23" x14ac:dyDescent="0.25">
      <c r="A3164">
        <v>37501</v>
      </c>
      <c r="B3164" t="s">
        <v>1309</v>
      </c>
      <c r="C3164">
        <v>3.1669999999999998</v>
      </c>
      <c r="D3164" t="s">
        <v>1264</v>
      </c>
      <c r="E3164">
        <v>100020</v>
      </c>
      <c r="F3164">
        <v>37501</v>
      </c>
      <c r="G3164" t="str">
        <f t="shared" si="261"/>
        <v>37501</v>
      </c>
      <c r="H3164" t="s">
        <v>564</v>
      </c>
      <c r="I3164" t="s">
        <v>1265</v>
      </c>
      <c r="J3164" t="s">
        <v>1271</v>
      </c>
      <c r="K3164" t="s">
        <v>1272</v>
      </c>
      <c r="L3164" t="s">
        <v>1309</v>
      </c>
      <c r="M3164" t="s">
        <v>1310</v>
      </c>
      <c r="N3164">
        <v>21</v>
      </c>
      <c r="O3164" t="str">
        <f t="shared" si="264"/>
        <v>46</v>
      </c>
      <c r="P3164">
        <v>46</v>
      </c>
      <c r="R3164" t="s">
        <v>1269</v>
      </c>
      <c r="S3164">
        <v>3.1669999999999998</v>
      </c>
      <c r="T3164">
        <v>0.1875</v>
      </c>
      <c r="U3164">
        <f t="shared" si="265"/>
        <v>0.59399999999999997</v>
      </c>
      <c r="V3164" t="str">
        <f t="shared" si="262"/>
        <v>High Psychologist</v>
      </c>
      <c r="W3164" t="str">
        <f t="shared" si="263"/>
        <v>Psychologist</v>
      </c>
    </row>
    <row r="3165" spans="1:23" x14ac:dyDescent="0.25">
      <c r="A3165">
        <v>37501</v>
      </c>
      <c r="B3165" t="s">
        <v>1345</v>
      </c>
      <c r="C3165">
        <v>2.133</v>
      </c>
      <c r="D3165" t="s">
        <v>1264</v>
      </c>
      <c r="E3165">
        <v>100020</v>
      </c>
      <c r="F3165">
        <v>37501</v>
      </c>
      <c r="G3165" t="str">
        <f t="shared" si="261"/>
        <v>37501</v>
      </c>
      <c r="H3165" t="s">
        <v>564</v>
      </c>
      <c r="I3165" t="s">
        <v>1265</v>
      </c>
      <c r="J3165" t="s">
        <v>1266</v>
      </c>
      <c r="K3165" t="s">
        <v>1267</v>
      </c>
      <c r="L3165" t="s">
        <v>1345</v>
      </c>
      <c r="M3165" t="s">
        <v>1346</v>
      </c>
      <c r="N3165">
        <v>21</v>
      </c>
      <c r="O3165" t="str">
        <f t="shared" si="264"/>
        <v>46</v>
      </c>
      <c r="P3165">
        <v>46</v>
      </c>
      <c r="R3165" t="s">
        <v>1269</v>
      </c>
      <c r="S3165">
        <v>2.133</v>
      </c>
      <c r="T3165">
        <v>0.1875</v>
      </c>
      <c r="U3165">
        <f t="shared" si="265"/>
        <v>0.4</v>
      </c>
      <c r="V3165" t="str">
        <f t="shared" si="262"/>
        <v>Middle Psychologist</v>
      </c>
      <c r="W3165" t="str">
        <f t="shared" si="263"/>
        <v>Psychologist</v>
      </c>
    </row>
    <row r="3166" spans="1:23" x14ac:dyDescent="0.25">
      <c r="A3166">
        <v>37501</v>
      </c>
      <c r="B3166" t="s">
        <v>1335</v>
      </c>
      <c r="C3166">
        <v>4.8310000000000004</v>
      </c>
      <c r="D3166" t="s">
        <v>1264</v>
      </c>
      <c r="E3166">
        <v>100020</v>
      </c>
      <c r="F3166">
        <v>37501</v>
      </c>
      <c r="G3166" t="str">
        <f t="shared" si="261"/>
        <v>37501</v>
      </c>
      <c r="H3166" t="s">
        <v>564</v>
      </c>
      <c r="I3166" t="s">
        <v>1265</v>
      </c>
      <c r="J3166" t="s">
        <v>1276</v>
      </c>
      <c r="K3166" t="s">
        <v>1277</v>
      </c>
      <c r="L3166" t="s">
        <v>1335</v>
      </c>
      <c r="M3166" t="s">
        <v>1344</v>
      </c>
      <c r="N3166">
        <v>1</v>
      </c>
      <c r="O3166" t="str">
        <f t="shared" si="264"/>
        <v>47</v>
      </c>
      <c r="P3166">
        <v>47</v>
      </c>
      <c r="R3166" t="s">
        <v>1269</v>
      </c>
      <c r="S3166">
        <v>4.8310000000000004</v>
      </c>
      <c r="T3166">
        <v>0.1875</v>
      </c>
      <c r="U3166">
        <f t="shared" si="265"/>
        <v>0</v>
      </c>
      <c r="V3166" t="str">
        <f t="shared" si="262"/>
        <v>Elementary Nurse</v>
      </c>
      <c r="W3166" t="str">
        <f t="shared" si="263"/>
        <v>Nurse</v>
      </c>
    </row>
    <row r="3167" spans="1:23" x14ac:dyDescent="0.25">
      <c r="A3167">
        <v>37501</v>
      </c>
      <c r="B3167" t="s">
        <v>1341</v>
      </c>
      <c r="C3167">
        <v>1.667</v>
      </c>
      <c r="D3167" t="s">
        <v>1264</v>
      </c>
      <c r="E3167">
        <v>100020</v>
      </c>
      <c r="F3167">
        <v>37501</v>
      </c>
      <c r="G3167" t="str">
        <f t="shared" si="261"/>
        <v>37501</v>
      </c>
      <c r="H3167" t="s">
        <v>564</v>
      </c>
      <c r="I3167" t="s">
        <v>1265</v>
      </c>
      <c r="J3167" t="s">
        <v>1271</v>
      </c>
      <c r="K3167" t="s">
        <v>1272</v>
      </c>
      <c r="L3167" t="s">
        <v>1341</v>
      </c>
      <c r="M3167" t="s">
        <v>1342</v>
      </c>
      <c r="N3167">
        <v>1</v>
      </c>
      <c r="O3167" t="str">
        <f t="shared" si="264"/>
        <v>47</v>
      </c>
      <c r="P3167">
        <v>47</v>
      </c>
      <c r="R3167" t="s">
        <v>1269</v>
      </c>
      <c r="S3167">
        <v>1.667</v>
      </c>
      <c r="T3167">
        <v>0.1875</v>
      </c>
      <c r="U3167">
        <f t="shared" si="265"/>
        <v>0</v>
      </c>
      <c r="V3167" t="str">
        <f t="shared" si="262"/>
        <v>High Nurse</v>
      </c>
      <c r="W3167" t="str">
        <f t="shared" si="263"/>
        <v>Nurse</v>
      </c>
    </row>
    <row r="3168" spans="1:23" x14ac:dyDescent="0.25">
      <c r="A3168">
        <v>37501</v>
      </c>
      <c r="B3168" t="s">
        <v>1338</v>
      </c>
      <c r="C3168">
        <v>1.502</v>
      </c>
      <c r="D3168" t="s">
        <v>1264</v>
      </c>
      <c r="E3168">
        <v>100020</v>
      </c>
      <c r="F3168">
        <v>37501</v>
      </c>
      <c r="G3168" t="str">
        <f t="shared" si="261"/>
        <v>37501</v>
      </c>
      <c r="H3168" t="s">
        <v>564</v>
      </c>
      <c r="I3168" t="s">
        <v>1265</v>
      </c>
      <c r="J3168" t="s">
        <v>1266</v>
      </c>
      <c r="K3168" t="s">
        <v>1267</v>
      </c>
      <c r="L3168" t="s">
        <v>1338</v>
      </c>
      <c r="M3168" t="s">
        <v>1339</v>
      </c>
      <c r="N3168">
        <v>1</v>
      </c>
      <c r="O3168" t="str">
        <f t="shared" si="264"/>
        <v>47</v>
      </c>
      <c r="P3168">
        <v>47</v>
      </c>
      <c r="R3168" t="s">
        <v>1269</v>
      </c>
      <c r="S3168">
        <v>1.502</v>
      </c>
      <c r="T3168">
        <v>0.1875</v>
      </c>
      <c r="U3168">
        <f t="shared" si="265"/>
        <v>0</v>
      </c>
      <c r="V3168" t="str">
        <f t="shared" si="262"/>
        <v>Middle Nurse</v>
      </c>
      <c r="W3168" t="str">
        <f t="shared" si="263"/>
        <v>Nurse</v>
      </c>
    </row>
    <row r="3169" spans="1:23" x14ac:dyDescent="0.25">
      <c r="A3169">
        <v>37501</v>
      </c>
      <c r="B3169" t="s">
        <v>1302</v>
      </c>
      <c r="C3169">
        <v>1.17</v>
      </c>
      <c r="D3169" t="s">
        <v>1264</v>
      </c>
      <c r="E3169">
        <v>100020</v>
      </c>
      <c r="F3169">
        <v>37501</v>
      </c>
      <c r="G3169" t="str">
        <f t="shared" si="261"/>
        <v>37501</v>
      </c>
      <c r="H3169" t="s">
        <v>564</v>
      </c>
      <c r="I3169" t="s">
        <v>1265</v>
      </c>
      <c r="J3169" t="s">
        <v>1276</v>
      </c>
      <c r="K3169" t="s">
        <v>1277</v>
      </c>
      <c r="L3169" t="s">
        <v>1302</v>
      </c>
      <c r="M3169" t="s">
        <v>1336</v>
      </c>
      <c r="N3169">
        <v>21</v>
      </c>
      <c r="O3169" t="str">
        <f t="shared" si="264"/>
        <v>48</v>
      </c>
      <c r="P3169">
        <v>48</v>
      </c>
      <c r="R3169" t="s">
        <v>1269</v>
      </c>
      <c r="S3169">
        <v>1.17</v>
      </c>
      <c r="T3169">
        <v>0.1875</v>
      </c>
      <c r="U3169">
        <f t="shared" si="265"/>
        <v>0.219</v>
      </c>
      <c r="V3169" t="str">
        <f t="shared" si="262"/>
        <v>Elementary Physical Therapist</v>
      </c>
      <c r="W3169" t="str">
        <f t="shared" si="263"/>
        <v>Physical Therapist</v>
      </c>
    </row>
    <row r="3170" spans="1:23" x14ac:dyDescent="0.25">
      <c r="A3170">
        <v>37501</v>
      </c>
      <c r="B3170" t="s">
        <v>1330</v>
      </c>
      <c r="C3170">
        <v>0.41499999999999998</v>
      </c>
      <c r="D3170" t="s">
        <v>1264</v>
      </c>
      <c r="E3170">
        <v>100020</v>
      </c>
      <c r="F3170">
        <v>37501</v>
      </c>
      <c r="G3170" t="str">
        <f t="shared" si="261"/>
        <v>37501</v>
      </c>
      <c r="H3170" t="s">
        <v>564</v>
      </c>
      <c r="I3170" t="s">
        <v>1265</v>
      </c>
      <c r="J3170" t="s">
        <v>1271</v>
      </c>
      <c r="K3170" t="s">
        <v>1272</v>
      </c>
      <c r="L3170" t="s">
        <v>1330</v>
      </c>
      <c r="M3170" t="s">
        <v>1367</v>
      </c>
      <c r="N3170">
        <v>21</v>
      </c>
      <c r="O3170" t="str">
        <f t="shared" si="264"/>
        <v>48</v>
      </c>
      <c r="P3170">
        <v>48</v>
      </c>
      <c r="R3170" t="s">
        <v>1269</v>
      </c>
      <c r="S3170">
        <v>0.41499999999999998</v>
      </c>
      <c r="T3170">
        <v>0.1875</v>
      </c>
      <c r="U3170">
        <f t="shared" si="265"/>
        <v>7.8E-2</v>
      </c>
      <c r="V3170" t="str">
        <f t="shared" si="262"/>
        <v>High Physical Therapist</v>
      </c>
      <c r="W3170" t="str">
        <f t="shared" si="263"/>
        <v>Physical Therapist</v>
      </c>
    </row>
    <row r="3171" spans="1:23" x14ac:dyDescent="0.25">
      <c r="A3171">
        <v>37501</v>
      </c>
      <c r="B3171" t="s">
        <v>1316</v>
      </c>
      <c r="C3171">
        <v>0.33200000000000002</v>
      </c>
      <c r="D3171" t="s">
        <v>1264</v>
      </c>
      <c r="E3171">
        <v>100020</v>
      </c>
      <c r="F3171">
        <v>37501</v>
      </c>
      <c r="G3171" t="str">
        <f t="shared" si="261"/>
        <v>37501</v>
      </c>
      <c r="H3171" t="s">
        <v>564</v>
      </c>
      <c r="I3171" t="s">
        <v>1265</v>
      </c>
      <c r="J3171" t="s">
        <v>1266</v>
      </c>
      <c r="K3171" t="s">
        <v>1267</v>
      </c>
      <c r="L3171" t="s">
        <v>1316</v>
      </c>
      <c r="M3171" t="s">
        <v>1366</v>
      </c>
      <c r="N3171">
        <v>21</v>
      </c>
      <c r="O3171" t="str">
        <f t="shared" si="264"/>
        <v>48</v>
      </c>
      <c r="P3171">
        <v>48</v>
      </c>
      <c r="R3171" t="s">
        <v>1269</v>
      </c>
      <c r="S3171">
        <v>0.33200000000000002</v>
      </c>
      <c r="T3171">
        <v>0.1875</v>
      </c>
      <c r="U3171">
        <f t="shared" si="265"/>
        <v>6.2E-2</v>
      </c>
      <c r="V3171" t="str">
        <f t="shared" si="262"/>
        <v>Middle Physical Therapist</v>
      </c>
      <c r="W3171" t="str">
        <f t="shared" si="263"/>
        <v>Physical Therapist</v>
      </c>
    </row>
    <row r="3172" spans="1:23" x14ac:dyDescent="0.25">
      <c r="A3172">
        <v>37502</v>
      </c>
      <c r="B3172" t="s">
        <v>1286</v>
      </c>
      <c r="C3172">
        <v>3.42</v>
      </c>
      <c r="D3172" t="s">
        <v>1264</v>
      </c>
      <c r="E3172">
        <v>100087</v>
      </c>
      <c r="F3172">
        <v>37502</v>
      </c>
      <c r="G3172" t="str">
        <f t="shared" si="261"/>
        <v>37502</v>
      </c>
      <c r="H3172" t="s">
        <v>565</v>
      </c>
      <c r="I3172" t="s">
        <v>1265</v>
      </c>
      <c r="J3172" t="s">
        <v>1271</v>
      </c>
      <c r="K3172" t="s">
        <v>1272</v>
      </c>
      <c r="L3172" t="s">
        <v>1286</v>
      </c>
      <c r="M3172" t="s">
        <v>1287</v>
      </c>
      <c r="N3172">
        <v>1</v>
      </c>
      <c r="O3172" t="str">
        <f t="shared" si="264"/>
        <v>24</v>
      </c>
      <c r="P3172">
        <v>96</v>
      </c>
      <c r="Q3172">
        <v>24</v>
      </c>
      <c r="R3172" t="s">
        <v>1269</v>
      </c>
      <c r="S3172">
        <v>3.42</v>
      </c>
      <c r="T3172">
        <v>0.23380000000000001</v>
      </c>
      <c r="U3172">
        <f t="shared" si="265"/>
        <v>0</v>
      </c>
      <c r="V3172" t="str">
        <f t="shared" si="262"/>
        <v>High Family Engagement Coordinator</v>
      </c>
      <c r="W3172" t="str">
        <f t="shared" si="263"/>
        <v>Family Engagement Coordinator</v>
      </c>
    </row>
    <row r="3173" spans="1:23" x14ac:dyDescent="0.25">
      <c r="A3173">
        <v>37502</v>
      </c>
      <c r="B3173" t="s">
        <v>1383</v>
      </c>
      <c r="C3173">
        <v>0.14000000000000001</v>
      </c>
      <c r="D3173" t="s">
        <v>1264</v>
      </c>
      <c r="E3173">
        <v>100087</v>
      </c>
      <c r="F3173">
        <v>37502</v>
      </c>
      <c r="G3173" t="str">
        <f t="shared" si="261"/>
        <v>37502</v>
      </c>
      <c r="H3173" t="s">
        <v>565</v>
      </c>
      <c r="I3173" t="s">
        <v>1265</v>
      </c>
      <c r="J3173" t="s">
        <v>1271</v>
      </c>
      <c r="K3173" t="s">
        <v>1272</v>
      </c>
      <c r="L3173" t="s">
        <v>1383</v>
      </c>
      <c r="M3173" t="s">
        <v>1409</v>
      </c>
      <c r="N3173">
        <v>21</v>
      </c>
      <c r="O3173" t="str">
        <f t="shared" si="264"/>
        <v>25</v>
      </c>
      <c r="Q3173">
        <v>25</v>
      </c>
      <c r="R3173" t="s">
        <v>1269</v>
      </c>
      <c r="S3173">
        <v>0.14000000000000001</v>
      </c>
      <c r="T3173">
        <v>0.23380000000000001</v>
      </c>
      <c r="U3173">
        <f t="shared" si="265"/>
        <v>3.3000000000000002E-2</v>
      </c>
      <c r="V3173" t="str">
        <f t="shared" si="262"/>
        <v>High Pupil Management</v>
      </c>
      <c r="W3173" t="str">
        <f t="shared" si="263"/>
        <v>Pupil Management</v>
      </c>
    </row>
    <row r="3174" spans="1:23" x14ac:dyDescent="0.25">
      <c r="A3174">
        <v>37502</v>
      </c>
      <c r="B3174" t="s">
        <v>1299</v>
      </c>
      <c r="C3174">
        <v>6.0730000000000004</v>
      </c>
      <c r="D3174" t="s">
        <v>1264</v>
      </c>
      <c r="E3174">
        <v>100087</v>
      </c>
      <c r="F3174">
        <v>37502</v>
      </c>
      <c r="G3174" t="str">
        <f t="shared" si="261"/>
        <v>37502</v>
      </c>
      <c r="H3174" t="s">
        <v>565</v>
      </c>
      <c r="I3174" t="s">
        <v>1265</v>
      </c>
      <c r="J3174" t="s">
        <v>1271</v>
      </c>
      <c r="K3174" t="s">
        <v>1272</v>
      </c>
      <c r="L3174" t="s">
        <v>1299</v>
      </c>
      <c r="M3174" t="s">
        <v>1300</v>
      </c>
      <c r="N3174">
        <v>1</v>
      </c>
      <c r="O3174" t="str">
        <f t="shared" si="264"/>
        <v>25</v>
      </c>
      <c r="Q3174">
        <v>25</v>
      </c>
      <c r="R3174" t="s">
        <v>1269</v>
      </c>
      <c r="S3174">
        <v>6.0730000000000004</v>
      </c>
      <c r="T3174">
        <v>0.23380000000000001</v>
      </c>
      <c r="U3174">
        <f t="shared" si="265"/>
        <v>0</v>
      </c>
      <c r="V3174" t="str">
        <f t="shared" si="262"/>
        <v>High Pupil Management</v>
      </c>
      <c r="W3174" t="str">
        <f t="shared" si="263"/>
        <v>Pupil Management</v>
      </c>
    </row>
    <row r="3175" spans="1:23" x14ac:dyDescent="0.25">
      <c r="A3175">
        <v>37502</v>
      </c>
      <c r="B3175" t="s">
        <v>1324</v>
      </c>
      <c r="C3175">
        <v>1.401</v>
      </c>
      <c r="D3175" t="s">
        <v>1264</v>
      </c>
      <c r="E3175">
        <v>100087</v>
      </c>
      <c r="F3175">
        <v>37502</v>
      </c>
      <c r="G3175" t="str">
        <f t="shared" si="261"/>
        <v>37502</v>
      </c>
      <c r="H3175" t="s">
        <v>565</v>
      </c>
      <c r="I3175" t="s">
        <v>1265</v>
      </c>
      <c r="J3175" t="s">
        <v>1271</v>
      </c>
      <c r="K3175" t="s">
        <v>1272</v>
      </c>
      <c r="L3175" t="s">
        <v>1324</v>
      </c>
      <c r="M3175" t="s">
        <v>1325</v>
      </c>
      <c r="N3175">
        <v>21</v>
      </c>
      <c r="O3175" t="str">
        <f t="shared" si="264"/>
        <v>26</v>
      </c>
      <c r="Q3175">
        <v>26</v>
      </c>
      <c r="R3175" t="s">
        <v>1269</v>
      </c>
      <c r="S3175">
        <v>1.401</v>
      </c>
      <c r="T3175">
        <v>0.23380000000000001</v>
      </c>
      <c r="U3175">
        <f t="shared" si="265"/>
        <v>0.32800000000000001</v>
      </c>
      <c r="V3175" t="str">
        <f t="shared" si="262"/>
        <v>High Health/
Related Services</v>
      </c>
      <c r="W3175" t="str">
        <f t="shared" si="263"/>
        <v>Health/
Related Services</v>
      </c>
    </row>
    <row r="3176" spans="1:23" x14ac:dyDescent="0.25">
      <c r="A3176">
        <v>37502</v>
      </c>
      <c r="B3176" t="s">
        <v>1295</v>
      </c>
      <c r="C3176">
        <v>2.2370000000000001</v>
      </c>
      <c r="D3176" t="s">
        <v>1264</v>
      </c>
      <c r="E3176">
        <v>100087</v>
      </c>
      <c r="F3176">
        <v>37502</v>
      </c>
      <c r="G3176" t="str">
        <f t="shared" si="261"/>
        <v>37502</v>
      </c>
      <c r="H3176" t="s">
        <v>565</v>
      </c>
      <c r="I3176" t="s">
        <v>1265</v>
      </c>
      <c r="J3176" t="s">
        <v>1271</v>
      </c>
      <c r="K3176" t="s">
        <v>1272</v>
      </c>
      <c r="L3176" t="s">
        <v>1295</v>
      </c>
      <c r="M3176" t="s">
        <v>1296</v>
      </c>
      <c r="N3176">
        <v>1</v>
      </c>
      <c r="O3176" t="str">
        <f t="shared" si="264"/>
        <v>26</v>
      </c>
      <c r="Q3176">
        <v>26</v>
      </c>
      <c r="R3176" t="s">
        <v>1269</v>
      </c>
      <c r="S3176">
        <v>2.2370000000000001</v>
      </c>
      <c r="T3176">
        <v>0.23380000000000001</v>
      </c>
      <c r="U3176">
        <f t="shared" si="265"/>
        <v>0</v>
      </c>
      <c r="V3176" t="str">
        <f t="shared" si="262"/>
        <v>High Health/
Related Services</v>
      </c>
      <c r="W3176" t="str">
        <f t="shared" si="263"/>
        <v>Health/
Related Services</v>
      </c>
    </row>
    <row r="3177" spans="1:23" x14ac:dyDescent="0.25">
      <c r="A3177">
        <v>37502</v>
      </c>
      <c r="B3177" t="s">
        <v>1270</v>
      </c>
      <c r="C3177">
        <v>3</v>
      </c>
      <c r="D3177" t="s">
        <v>1264</v>
      </c>
      <c r="E3177">
        <v>100087</v>
      </c>
      <c r="F3177">
        <v>37502</v>
      </c>
      <c r="G3177" t="str">
        <f t="shared" si="261"/>
        <v>37502</v>
      </c>
      <c r="H3177" t="s">
        <v>565</v>
      </c>
      <c r="I3177" t="s">
        <v>1265</v>
      </c>
      <c r="J3177" t="s">
        <v>1271</v>
      </c>
      <c r="K3177" t="s">
        <v>1272</v>
      </c>
      <c r="L3177" t="s">
        <v>1270</v>
      </c>
      <c r="M3177" t="s">
        <v>1273</v>
      </c>
      <c r="N3177">
        <v>1</v>
      </c>
      <c r="O3177" t="str">
        <f t="shared" si="264"/>
        <v>42</v>
      </c>
      <c r="P3177">
        <v>42</v>
      </c>
      <c r="R3177" t="s">
        <v>1269</v>
      </c>
      <c r="S3177">
        <v>3</v>
      </c>
      <c r="T3177">
        <v>0.23380000000000001</v>
      </c>
      <c r="U3177">
        <f t="shared" si="265"/>
        <v>0</v>
      </c>
      <c r="V3177" t="str">
        <f t="shared" si="262"/>
        <v>High Counselor</v>
      </c>
      <c r="W3177" t="str">
        <f t="shared" si="263"/>
        <v>Counselor</v>
      </c>
    </row>
    <row r="3178" spans="1:23" x14ac:dyDescent="0.25">
      <c r="A3178">
        <v>37502</v>
      </c>
      <c r="B3178" t="s">
        <v>1263</v>
      </c>
      <c r="C3178">
        <v>2</v>
      </c>
      <c r="D3178" t="s">
        <v>1264</v>
      </c>
      <c r="E3178">
        <v>100087</v>
      </c>
      <c r="F3178">
        <v>37502</v>
      </c>
      <c r="G3178" t="str">
        <f t="shared" si="261"/>
        <v>37502</v>
      </c>
      <c r="H3178" t="s">
        <v>565</v>
      </c>
      <c r="I3178" t="s">
        <v>1265</v>
      </c>
      <c r="J3178" t="s">
        <v>1266</v>
      </c>
      <c r="K3178" t="s">
        <v>1267</v>
      </c>
      <c r="L3178" t="s">
        <v>1263</v>
      </c>
      <c r="M3178" t="s">
        <v>1268</v>
      </c>
      <c r="N3178">
        <v>1</v>
      </c>
      <c r="O3178" t="str">
        <f t="shared" si="264"/>
        <v>42</v>
      </c>
      <c r="P3178">
        <v>42</v>
      </c>
      <c r="R3178" t="s">
        <v>1269</v>
      </c>
      <c r="S3178">
        <v>2</v>
      </c>
      <c r="T3178">
        <v>0.23380000000000001</v>
      </c>
      <c r="U3178">
        <f t="shared" si="265"/>
        <v>0</v>
      </c>
      <c r="V3178" t="str">
        <f t="shared" si="262"/>
        <v>Middle Counselor</v>
      </c>
      <c r="W3178" t="str">
        <f t="shared" si="263"/>
        <v>Counselor</v>
      </c>
    </row>
    <row r="3179" spans="1:23" x14ac:dyDescent="0.25">
      <c r="A3179">
        <v>37502</v>
      </c>
      <c r="B3179" t="s">
        <v>1289</v>
      </c>
      <c r="C3179">
        <v>1.891</v>
      </c>
      <c r="D3179" t="s">
        <v>1264</v>
      </c>
      <c r="E3179">
        <v>100087</v>
      </c>
      <c r="F3179">
        <v>37502</v>
      </c>
      <c r="G3179" t="str">
        <f t="shared" si="261"/>
        <v>37502</v>
      </c>
      <c r="H3179" t="s">
        <v>565</v>
      </c>
      <c r="I3179" t="s">
        <v>1265</v>
      </c>
      <c r="J3179" t="s">
        <v>1276</v>
      </c>
      <c r="K3179" t="s">
        <v>1277</v>
      </c>
      <c r="L3179" t="s">
        <v>1289</v>
      </c>
      <c r="M3179" t="s">
        <v>1307</v>
      </c>
      <c r="N3179">
        <v>21</v>
      </c>
      <c r="O3179" t="str">
        <f t="shared" si="264"/>
        <v>43</v>
      </c>
      <c r="P3179">
        <v>43</v>
      </c>
      <c r="R3179" t="s">
        <v>1269</v>
      </c>
      <c r="S3179">
        <v>1.891</v>
      </c>
      <c r="T3179">
        <v>0.23380000000000001</v>
      </c>
      <c r="U3179">
        <f t="shared" si="265"/>
        <v>0.442</v>
      </c>
      <c r="V3179" t="str">
        <f t="shared" si="262"/>
        <v>Elementary Occupational Therapist</v>
      </c>
      <c r="W3179" t="str">
        <f t="shared" si="263"/>
        <v>Occupational Therapist</v>
      </c>
    </row>
    <row r="3180" spans="1:23" x14ac:dyDescent="0.25">
      <c r="A3180">
        <v>37502</v>
      </c>
      <c r="B3180" t="s">
        <v>1387</v>
      </c>
      <c r="C3180">
        <v>0.51500000000000001</v>
      </c>
      <c r="D3180" t="s">
        <v>1264</v>
      </c>
      <c r="E3180">
        <v>100087</v>
      </c>
      <c r="F3180">
        <v>37502</v>
      </c>
      <c r="G3180" t="str">
        <f t="shared" si="261"/>
        <v>37502</v>
      </c>
      <c r="H3180" t="s">
        <v>565</v>
      </c>
      <c r="I3180" t="s">
        <v>1265</v>
      </c>
      <c r="J3180" t="s">
        <v>1271</v>
      </c>
      <c r="K3180" t="s">
        <v>1272</v>
      </c>
      <c r="L3180" t="s">
        <v>1387</v>
      </c>
      <c r="M3180" t="s">
        <v>1406</v>
      </c>
      <c r="N3180">
        <v>21</v>
      </c>
      <c r="O3180" t="str">
        <f t="shared" si="264"/>
        <v>43</v>
      </c>
      <c r="P3180">
        <v>43</v>
      </c>
      <c r="R3180" t="s">
        <v>1269</v>
      </c>
      <c r="S3180">
        <v>0.51500000000000001</v>
      </c>
      <c r="T3180">
        <v>0.23380000000000001</v>
      </c>
      <c r="U3180">
        <f t="shared" si="265"/>
        <v>0.12</v>
      </c>
      <c r="V3180" t="str">
        <f t="shared" si="262"/>
        <v>High Occupational Therapist</v>
      </c>
      <c r="W3180" t="str">
        <f t="shared" si="263"/>
        <v>Occupational Therapist</v>
      </c>
    </row>
    <row r="3181" spans="1:23" x14ac:dyDescent="0.25">
      <c r="A3181">
        <v>37502</v>
      </c>
      <c r="B3181" t="s">
        <v>1303</v>
      </c>
      <c r="C3181">
        <v>1.069</v>
      </c>
      <c r="D3181" t="s">
        <v>1264</v>
      </c>
      <c r="E3181">
        <v>100087</v>
      </c>
      <c r="F3181">
        <v>37502</v>
      </c>
      <c r="G3181" t="str">
        <f t="shared" si="261"/>
        <v>37502</v>
      </c>
      <c r="H3181" t="s">
        <v>565</v>
      </c>
      <c r="I3181" t="s">
        <v>1265</v>
      </c>
      <c r="J3181" t="s">
        <v>1266</v>
      </c>
      <c r="K3181" t="s">
        <v>1267</v>
      </c>
      <c r="L3181" t="s">
        <v>1303</v>
      </c>
      <c r="M3181" t="s">
        <v>1304</v>
      </c>
      <c r="N3181">
        <v>21</v>
      </c>
      <c r="O3181" t="str">
        <f t="shared" si="264"/>
        <v>43</v>
      </c>
      <c r="P3181">
        <v>43</v>
      </c>
      <c r="R3181" t="s">
        <v>1269</v>
      </c>
      <c r="S3181">
        <v>1.069</v>
      </c>
      <c r="T3181">
        <v>0.23380000000000001</v>
      </c>
      <c r="U3181">
        <f t="shared" si="265"/>
        <v>0.25</v>
      </c>
      <c r="V3181" t="str">
        <f t="shared" si="262"/>
        <v>Middle Occupational Therapist</v>
      </c>
      <c r="W3181" t="str">
        <f t="shared" si="263"/>
        <v>Occupational Therapist</v>
      </c>
    </row>
    <row r="3182" spans="1:23" x14ac:dyDescent="0.25">
      <c r="A3182">
        <v>37502</v>
      </c>
      <c r="B3182" t="s">
        <v>1294</v>
      </c>
      <c r="C3182">
        <v>5.0999999999999996</v>
      </c>
      <c r="D3182" t="s">
        <v>1264</v>
      </c>
      <c r="E3182">
        <v>100087</v>
      </c>
      <c r="F3182">
        <v>37502</v>
      </c>
      <c r="G3182" t="str">
        <f t="shared" si="261"/>
        <v>37502</v>
      </c>
      <c r="H3182" t="s">
        <v>565</v>
      </c>
      <c r="I3182" t="s">
        <v>1265</v>
      </c>
      <c r="J3182" t="s">
        <v>1276</v>
      </c>
      <c r="K3182" t="s">
        <v>1277</v>
      </c>
      <c r="L3182" t="s">
        <v>1294</v>
      </c>
      <c r="M3182" t="s">
        <v>1354</v>
      </c>
      <c r="N3182">
        <v>21</v>
      </c>
      <c r="O3182" t="str">
        <f t="shared" si="264"/>
        <v>45</v>
      </c>
      <c r="P3182">
        <v>45</v>
      </c>
      <c r="R3182" t="s">
        <v>1269</v>
      </c>
      <c r="S3182">
        <v>5.0999999999999996</v>
      </c>
      <c r="T3182">
        <v>0.23380000000000001</v>
      </c>
      <c r="U3182">
        <f t="shared" si="265"/>
        <v>1.1919999999999999</v>
      </c>
      <c r="V3182" t="str">
        <f t="shared" si="262"/>
        <v>Elementary Speech, Language Pathway/
Audio</v>
      </c>
      <c r="W3182" t="str">
        <f t="shared" si="263"/>
        <v>Speech, Language Pathway/
Audio</v>
      </c>
    </row>
    <row r="3183" spans="1:23" x14ac:dyDescent="0.25">
      <c r="A3183">
        <v>37502</v>
      </c>
      <c r="B3183" t="s">
        <v>1326</v>
      </c>
      <c r="C3183">
        <v>0.5</v>
      </c>
      <c r="D3183" t="s">
        <v>1264</v>
      </c>
      <c r="E3183">
        <v>100087</v>
      </c>
      <c r="F3183">
        <v>37502</v>
      </c>
      <c r="G3183" t="str">
        <f t="shared" si="261"/>
        <v>37502</v>
      </c>
      <c r="H3183" t="s">
        <v>565</v>
      </c>
      <c r="I3183" t="s">
        <v>1265</v>
      </c>
      <c r="J3183" t="s">
        <v>1271</v>
      </c>
      <c r="K3183" t="s">
        <v>1272</v>
      </c>
      <c r="L3183" t="s">
        <v>1326</v>
      </c>
      <c r="M3183" t="s">
        <v>1353</v>
      </c>
      <c r="N3183">
        <v>21</v>
      </c>
      <c r="O3183" t="str">
        <f t="shared" si="264"/>
        <v>45</v>
      </c>
      <c r="P3183">
        <v>45</v>
      </c>
      <c r="R3183" t="s">
        <v>1269</v>
      </c>
      <c r="S3183">
        <v>0.5</v>
      </c>
      <c r="T3183">
        <v>0.23380000000000001</v>
      </c>
      <c r="U3183">
        <f t="shared" si="265"/>
        <v>0.11700000000000001</v>
      </c>
      <c r="V3183" t="str">
        <f t="shared" si="262"/>
        <v>High Speech, Language Pathway/
Audio</v>
      </c>
      <c r="W3183" t="str">
        <f t="shared" si="263"/>
        <v>Speech, Language Pathway/
Audio</v>
      </c>
    </row>
    <row r="3184" spans="1:23" x14ac:dyDescent="0.25">
      <c r="A3184">
        <v>37502</v>
      </c>
      <c r="B3184" t="s">
        <v>1312</v>
      </c>
      <c r="C3184">
        <v>1.05</v>
      </c>
      <c r="D3184" t="s">
        <v>1264</v>
      </c>
      <c r="E3184">
        <v>100087</v>
      </c>
      <c r="F3184">
        <v>37502</v>
      </c>
      <c r="G3184" t="str">
        <f t="shared" si="261"/>
        <v>37502</v>
      </c>
      <c r="H3184" t="s">
        <v>565</v>
      </c>
      <c r="I3184" t="s">
        <v>1265</v>
      </c>
      <c r="J3184" t="s">
        <v>1266</v>
      </c>
      <c r="K3184" t="s">
        <v>1267</v>
      </c>
      <c r="L3184" t="s">
        <v>1312</v>
      </c>
      <c r="M3184" t="s">
        <v>1351</v>
      </c>
      <c r="N3184">
        <v>21</v>
      </c>
      <c r="O3184" t="str">
        <f t="shared" si="264"/>
        <v>45</v>
      </c>
      <c r="P3184">
        <v>45</v>
      </c>
      <c r="R3184" t="s">
        <v>1269</v>
      </c>
      <c r="S3184">
        <v>1.05</v>
      </c>
      <c r="T3184">
        <v>0.23380000000000001</v>
      </c>
      <c r="U3184">
        <f t="shared" si="265"/>
        <v>0.245</v>
      </c>
      <c r="V3184" t="str">
        <f t="shared" si="262"/>
        <v>Middle Speech, Language Pathway/
Audio</v>
      </c>
      <c r="W3184" t="str">
        <f t="shared" si="263"/>
        <v>Speech, Language Pathway/
Audio</v>
      </c>
    </row>
    <row r="3185" spans="1:23" x14ac:dyDescent="0.25">
      <c r="A3185">
        <v>37502</v>
      </c>
      <c r="B3185" t="s">
        <v>1370</v>
      </c>
      <c r="C3185">
        <v>0.05</v>
      </c>
      <c r="D3185" t="s">
        <v>1264</v>
      </c>
      <c r="E3185">
        <v>100087</v>
      </c>
      <c r="F3185">
        <v>37502</v>
      </c>
      <c r="G3185" t="str">
        <f t="shared" si="261"/>
        <v>37502</v>
      </c>
      <c r="H3185" t="s">
        <v>565</v>
      </c>
      <c r="I3185" t="s">
        <v>1265</v>
      </c>
      <c r="J3185" t="s">
        <v>1266</v>
      </c>
      <c r="K3185" t="s">
        <v>1267</v>
      </c>
      <c r="L3185" t="s">
        <v>1370</v>
      </c>
      <c r="M3185" t="s">
        <v>1414</v>
      </c>
      <c r="N3185">
        <v>1</v>
      </c>
      <c r="O3185" t="str">
        <f t="shared" si="264"/>
        <v>45</v>
      </c>
      <c r="P3185">
        <v>45</v>
      </c>
      <c r="R3185" t="s">
        <v>1269</v>
      </c>
      <c r="S3185">
        <v>0.05</v>
      </c>
      <c r="T3185">
        <v>0.23380000000000001</v>
      </c>
      <c r="U3185">
        <f t="shared" si="265"/>
        <v>0</v>
      </c>
      <c r="V3185" t="str">
        <f t="shared" si="262"/>
        <v>Middle Speech, Language Pathway/
Audio</v>
      </c>
      <c r="W3185" t="str">
        <f t="shared" si="263"/>
        <v>Speech, Language Pathway/
Audio</v>
      </c>
    </row>
    <row r="3186" spans="1:23" x14ac:dyDescent="0.25">
      <c r="A3186">
        <v>37502</v>
      </c>
      <c r="B3186" t="s">
        <v>1298</v>
      </c>
      <c r="C3186">
        <v>2.5</v>
      </c>
      <c r="D3186" t="s">
        <v>1264</v>
      </c>
      <c r="E3186">
        <v>100087</v>
      </c>
      <c r="F3186">
        <v>37502</v>
      </c>
      <c r="G3186" t="str">
        <f t="shared" si="261"/>
        <v>37502</v>
      </c>
      <c r="H3186" t="s">
        <v>565</v>
      </c>
      <c r="I3186" t="s">
        <v>1265</v>
      </c>
      <c r="J3186" t="s">
        <v>1276</v>
      </c>
      <c r="K3186" t="s">
        <v>1277</v>
      </c>
      <c r="L3186" t="s">
        <v>1298</v>
      </c>
      <c r="M3186" t="s">
        <v>1349</v>
      </c>
      <c r="N3186">
        <v>21</v>
      </c>
      <c r="O3186" t="str">
        <f t="shared" si="264"/>
        <v>46</v>
      </c>
      <c r="P3186">
        <v>46</v>
      </c>
      <c r="R3186" t="s">
        <v>1269</v>
      </c>
      <c r="S3186">
        <v>2.5</v>
      </c>
      <c r="T3186">
        <v>0.23380000000000001</v>
      </c>
      <c r="U3186">
        <f t="shared" si="265"/>
        <v>0.58499999999999996</v>
      </c>
      <c r="V3186" t="str">
        <f t="shared" si="262"/>
        <v>Elementary Psychologist</v>
      </c>
      <c r="W3186" t="str">
        <f t="shared" si="263"/>
        <v>Psychologist</v>
      </c>
    </row>
    <row r="3187" spans="1:23" x14ac:dyDescent="0.25">
      <c r="A3187">
        <v>37502</v>
      </c>
      <c r="B3187" t="s">
        <v>1309</v>
      </c>
      <c r="C3187">
        <v>2.5</v>
      </c>
      <c r="D3187" t="s">
        <v>1264</v>
      </c>
      <c r="E3187">
        <v>100087</v>
      </c>
      <c r="F3187">
        <v>37502</v>
      </c>
      <c r="G3187" t="str">
        <f t="shared" si="261"/>
        <v>37502</v>
      </c>
      <c r="H3187" t="s">
        <v>565</v>
      </c>
      <c r="I3187" t="s">
        <v>1265</v>
      </c>
      <c r="J3187" t="s">
        <v>1271</v>
      </c>
      <c r="K3187" t="s">
        <v>1272</v>
      </c>
      <c r="L3187" t="s">
        <v>1309</v>
      </c>
      <c r="M3187" t="s">
        <v>1310</v>
      </c>
      <c r="N3187">
        <v>21</v>
      </c>
      <c r="O3187" t="str">
        <f t="shared" si="264"/>
        <v>46</v>
      </c>
      <c r="P3187">
        <v>46</v>
      </c>
      <c r="R3187" t="s">
        <v>1269</v>
      </c>
      <c r="S3187">
        <v>2.5</v>
      </c>
      <c r="T3187">
        <v>0.23380000000000001</v>
      </c>
      <c r="U3187">
        <f t="shared" si="265"/>
        <v>0.58499999999999996</v>
      </c>
      <c r="V3187" t="str">
        <f t="shared" si="262"/>
        <v>High Psychologist</v>
      </c>
      <c r="W3187" t="str">
        <f t="shared" si="263"/>
        <v>Psychologist</v>
      </c>
    </row>
    <row r="3188" spans="1:23" x14ac:dyDescent="0.25">
      <c r="A3188">
        <v>37502</v>
      </c>
      <c r="B3188" t="s">
        <v>1335</v>
      </c>
      <c r="C3188">
        <v>1.5</v>
      </c>
      <c r="D3188" t="s">
        <v>1264</v>
      </c>
      <c r="E3188">
        <v>100087</v>
      </c>
      <c r="F3188">
        <v>37502</v>
      </c>
      <c r="G3188" t="str">
        <f t="shared" si="261"/>
        <v>37502</v>
      </c>
      <c r="H3188" t="s">
        <v>565</v>
      </c>
      <c r="I3188" t="s">
        <v>1265</v>
      </c>
      <c r="J3188" t="s">
        <v>1276</v>
      </c>
      <c r="K3188" t="s">
        <v>1277</v>
      </c>
      <c r="L3188" t="s">
        <v>1335</v>
      </c>
      <c r="M3188" t="s">
        <v>1344</v>
      </c>
      <c r="N3188">
        <v>1</v>
      </c>
      <c r="O3188" t="str">
        <f t="shared" si="264"/>
        <v>47</v>
      </c>
      <c r="P3188">
        <v>47</v>
      </c>
      <c r="R3188" t="s">
        <v>1269</v>
      </c>
      <c r="S3188">
        <v>1.5</v>
      </c>
      <c r="T3188">
        <v>0.23380000000000001</v>
      </c>
      <c r="U3188">
        <f t="shared" si="265"/>
        <v>0</v>
      </c>
      <c r="V3188" t="str">
        <f t="shared" si="262"/>
        <v>Elementary Nurse</v>
      </c>
      <c r="W3188" t="str">
        <f t="shared" si="263"/>
        <v>Nurse</v>
      </c>
    </row>
    <row r="3189" spans="1:23" x14ac:dyDescent="0.25">
      <c r="A3189">
        <v>37502</v>
      </c>
      <c r="B3189" t="s">
        <v>1338</v>
      </c>
      <c r="C3189">
        <v>1.8</v>
      </c>
      <c r="D3189" t="s">
        <v>1264</v>
      </c>
      <c r="E3189">
        <v>100087</v>
      </c>
      <c r="F3189">
        <v>37502</v>
      </c>
      <c r="G3189" t="str">
        <f t="shared" si="261"/>
        <v>37502</v>
      </c>
      <c r="H3189" t="s">
        <v>565</v>
      </c>
      <c r="I3189" t="s">
        <v>1265</v>
      </c>
      <c r="J3189" t="s">
        <v>1266</v>
      </c>
      <c r="K3189" t="s">
        <v>1267</v>
      </c>
      <c r="L3189" t="s">
        <v>1338</v>
      </c>
      <c r="M3189" t="s">
        <v>1339</v>
      </c>
      <c r="N3189">
        <v>1</v>
      </c>
      <c r="O3189" t="str">
        <f t="shared" si="264"/>
        <v>47</v>
      </c>
      <c r="P3189">
        <v>47</v>
      </c>
      <c r="R3189" t="s">
        <v>1269</v>
      </c>
      <c r="S3189">
        <v>1.8</v>
      </c>
      <c r="T3189">
        <v>0.23380000000000001</v>
      </c>
      <c r="U3189">
        <f t="shared" si="265"/>
        <v>0</v>
      </c>
      <c r="V3189" t="str">
        <f t="shared" si="262"/>
        <v>Middle Nurse</v>
      </c>
      <c r="W3189" t="str">
        <f t="shared" si="263"/>
        <v>Nurse</v>
      </c>
    </row>
    <row r="3190" spans="1:23" x14ac:dyDescent="0.25">
      <c r="A3190">
        <v>37502</v>
      </c>
      <c r="B3190" t="s">
        <v>1302</v>
      </c>
      <c r="C3190">
        <v>1</v>
      </c>
      <c r="D3190" t="s">
        <v>1264</v>
      </c>
      <c r="E3190">
        <v>100087</v>
      </c>
      <c r="F3190">
        <v>37502</v>
      </c>
      <c r="G3190" t="str">
        <f t="shared" si="261"/>
        <v>37502</v>
      </c>
      <c r="H3190" t="s">
        <v>565</v>
      </c>
      <c r="I3190" t="s">
        <v>1265</v>
      </c>
      <c r="J3190" t="s">
        <v>1276</v>
      </c>
      <c r="K3190" t="s">
        <v>1277</v>
      </c>
      <c r="L3190" t="s">
        <v>1302</v>
      </c>
      <c r="M3190" t="s">
        <v>1336</v>
      </c>
      <c r="N3190">
        <v>21</v>
      </c>
      <c r="O3190" t="str">
        <f t="shared" si="264"/>
        <v>48</v>
      </c>
      <c r="P3190">
        <v>48</v>
      </c>
      <c r="R3190" t="s">
        <v>1269</v>
      </c>
      <c r="S3190">
        <v>1</v>
      </c>
      <c r="T3190">
        <v>0.23380000000000001</v>
      </c>
      <c r="U3190">
        <f t="shared" si="265"/>
        <v>0.23400000000000001</v>
      </c>
      <c r="V3190" t="str">
        <f t="shared" si="262"/>
        <v>Elementary Physical Therapist</v>
      </c>
      <c r="W3190" t="str">
        <f t="shared" si="263"/>
        <v>Physical Therapist</v>
      </c>
    </row>
    <row r="3191" spans="1:23" x14ac:dyDescent="0.25">
      <c r="A3191">
        <v>37502</v>
      </c>
      <c r="B3191" t="s">
        <v>1330</v>
      </c>
      <c r="C3191">
        <v>0.20100000000000001</v>
      </c>
      <c r="D3191" t="s">
        <v>1264</v>
      </c>
      <c r="E3191">
        <v>100087</v>
      </c>
      <c r="F3191">
        <v>37502</v>
      </c>
      <c r="G3191" t="str">
        <f t="shared" si="261"/>
        <v>37502</v>
      </c>
      <c r="H3191" t="s">
        <v>565</v>
      </c>
      <c r="I3191" t="s">
        <v>1265</v>
      </c>
      <c r="J3191" t="s">
        <v>1271</v>
      </c>
      <c r="K3191" t="s">
        <v>1272</v>
      </c>
      <c r="L3191" t="s">
        <v>1330</v>
      </c>
      <c r="M3191" t="s">
        <v>1367</v>
      </c>
      <c r="N3191">
        <v>21</v>
      </c>
      <c r="O3191" t="str">
        <f t="shared" si="264"/>
        <v>48</v>
      </c>
      <c r="P3191">
        <v>48</v>
      </c>
      <c r="R3191" t="s">
        <v>1269</v>
      </c>
      <c r="S3191">
        <v>0.20100000000000001</v>
      </c>
      <c r="T3191">
        <v>0.23380000000000001</v>
      </c>
      <c r="U3191">
        <f t="shared" si="265"/>
        <v>4.7E-2</v>
      </c>
      <c r="V3191" t="str">
        <f t="shared" si="262"/>
        <v>High Physical Therapist</v>
      </c>
      <c r="W3191" t="str">
        <f t="shared" si="263"/>
        <v>Physical Therapist</v>
      </c>
    </row>
    <row r="3192" spans="1:23" x14ac:dyDescent="0.25">
      <c r="A3192">
        <v>37502</v>
      </c>
      <c r="B3192" t="s">
        <v>1316</v>
      </c>
      <c r="C3192">
        <v>0.2</v>
      </c>
      <c r="D3192" t="s">
        <v>1264</v>
      </c>
      <c r="E3192">
        <v>100087</v>
      </c>
      <c r="F3192">
        <v>37502</v>
      </c>
      <c r="G3192" t="str">
        <f t="shared" si="261"/>
        <v>37502</v>
      </c>
      <c r="H3192" t="s">
        <v>565</v>
      </c>
      <c r="I3192" t="s">
        <v>1265</v>
      </c>
      <c r="J3192" t="s">
        <v>1266</v>
      </c>
      <c r="K3192" t="s">
        <v>1267</v>
      </c>
      <c r="L3192" t="s">
        <v>1316</v>
      </c>
      <c r="M3192" t="s">
        <v>1366</v>
      </c>
      <c r="N3192">
        <v>21</v>
      </c>
      <c r="O3192" t="str">
        <f t="shared" si="264"/>
        <v>48</v>
      </c>
      <c r="P3192">
        <v>48</v>
      </c>
      <c r="R3192" t="s">
        <v>1269</v>
      </c>
      <c r="S3192">
        <v>0.2</v>
      </c>
      <c r="T3192">
        <v>0.23380000000000001</v>
      </c>
      <c r="U3192">
        <f t="shared" si="265"/>
        <v>4.7E-2</v>
      </c>
      <c r="V3192" t="str">
        <f t="shared" si="262"/>
        <v>Middle Physical Therapist</v>
      </c>
      <c r="W3192" t="str">
        <f t="shared" si="263"/>
        <v>Physical Therapist</v>
      </c>
    </row>
    <row r="3193" spans="1:23" x14ac:dyDescent="0.25">
      <c r="A3193">
        <v>37503</v>
      </c>
      <c r="B3193" t="s">
        <v>1308</v>
      </c>
      <c r="C3193">
        <v>0.23200000000000001</v>
      </c>
      <c r="D3193" t="s">
        <v>1264</v>
      </c>
      <c r="E3193">
        <v>100024</v>
      </c>
      <c r="F3193">
        <v>37503</v>
      </c>
      <c r="G3193" t="str">
        <f t="shared" si="261"/>
        <v>37503</v>
      </c>
      <c r="H3193" t="s">
        <v>566</v>
      </c>
      <c r="I3193" t="s">
        <v>1265</v>
      </c>
      <c r="J3193" t="s">
        <v>1276</v>
      </c>
      <c r="K3193" t="s">
        <v>1277</v>
      </c>
      <c r="L3193" t="s">
        <v>1308</v>
      </c>
      <c r="M3193" t="s">
        <v>1389</v>
      </c>
      <c r="N3193">
        <v>1</v>
      </c>
      <c r="O3193" t="str">
        <f t="shared" si="264"/>
        <v>25</v>
      </c>
      <c r="Q3193">
        <v>25</v>
      </c>
      <c r="R3193" t="s">
        <v>1269</v>
      </c>
      <c r="S3193">
        <v>0.23200000000000001</v>
      </c>
      <c r="T3193">
        <v>0.1777</v>
      </c>
      <c r="U3193">
        <f t="shared" si="265"/>
        <v>0</v>
      </c>
      <c r="V3193" t="str">
        <f t="shared" si="262"/>
        <v>Elementary Pupil Management</v>
      </c>
      <c r="W3193" t="str">
        <f t="shared" si="263"/>
        <v>Pupil Management</v>
      </c>
    </row>
    <row r="3194" spans="1:23" x14ac:dyDescent="0.25">
      <c r="A3194">
        <v>37503</v>
      </c>
      <c r="B3194" t="s">
        <v>1383</v>
      </c>
      <c r="C3194">
        <v>0.03</v>
      </c>
      <c r="D3194" t="s">
        <v>1264</v>
      </c>
      <c r="E3194">
        <v>100024</v>
      </c>
      <c r="F3194">
        <v>37503</v>
      </c>
      <c r="G3194" t="str">
        <f t="shared" si="261"/>
        <v>37503</v>
      </c>
      <c r="H3194" t="s">
        <v>566</v>
      </c>
      <c r="I3194" t="s">
        <v>1265</v>
      </c>
      <c r="J3194" t="s">
        <v>1271</v>
      </c>
      <c r="K3194" t="s">
        <v>1272</v>
      </c>
      <c r="L3194" t="s">
        <v>1383</v>
      </c>
      <c r="M3194" t="s">
        <v>1409</v>
      </c>
      <c r="N3194">
        <v>21</v>
      </c>
      <c r="O3194" t="str">
        <f t="shared" si="264"/>
        <v>25</v>
      </c>
      <c r="Q3194">
        <v>25</v>
      </c>
      <c r="R3194" t="s">
        <v>1269</v>
      </c>
      <c r="S3194">
        <v>0.03</v>
      </c>
      <c r="T3194">
        <v>0.1777</v>
      </c>
      <c r="U3194">
        <f t="shared" si="265"/>
        <v>5.0000000000000001E-3</v>
      </c>
      <c r="V3194" t="str">
        <f t="shared" si="262"/>
        <v>High Pupil Management</v>
      </c>
      <c r="W3194" t="str">
        <f t="shared" si="263"/>
        <v>Pupil Management</v>
      </c>
    </row>
    <row r="3195" spans="1:23" x14ac:dyDescent="0.25">
      <c r="A3195">
        <v>37503</v>
      </c>
      <c r="B3195" t="s">
        <v>1299</v>
      </c>
      <c r="C3195">
        <v>1.6240000000000001</v>
      </c>
      <c r="D3195" t="s">
        <v>1264</v>
      </c>
      <c r="E3195">
        <v>100024</v>
      </c>
      <c r="F3195">
        <v>37503</v>
      </c>
      <c r="G3195" t="str">
        <f t="shared" si="261"/>
        <v>37503</v>
      </c>
      <c r="H3195" t="s">
        <v>566</v>
      </c>
      <c r="I3195" t="s">
        <v>1265</v>
      </c>
      <c r="J3195" t="s">
        <v>1271</v>
      </c>
      <c r="K3195" t="s">
        <v>1272</v>
      </c>
      <c r="L3195" t="s">
        <v>1299</v>
      </c>
      <c r="M3195" t="s">
        <v>1300</v>
      </c>
      <c r="N3195">
        <v>1</v>
      </c>
      <c r="O3195" t="str">
        <f t="shared" si="264"/>
        <v>25</v>
      </c>
      <c r="Q3195">
        <v>25</v>
      </c>
      <c r="R3195" t="s">
        <v>1269</v>
      </c>
      <c r="S3195">
        <v>1.6240000000000001</v>
      </c>
      <c r="T3195">
        <v>0.1777</v>
      </c>
      <c r="U3195">
        <f t="shared" si="265"/>
        <v>0</v>
      </c>
      <c r="V3195" t="str">
        <f t="shared" si="262"/>
        <v>High Pupil Management</v>
      </c>
      <c r="W3195" t="str">
        <f t="shared" si="263"/>
        <v>Pupil Management</v>
      </c>
    </row>
    <row r="3196" spans="1:23" x14ac:dyDescent="0.25">
      <c r="A3196">
        <v>37503</v>
      </c>
      <c r="B3196" t="s">
        <v>1315</v>
      </c>
      <c r="C3196">
        <v>0.27800000000000002</v>
      </c>
      <c r="D3196" t="s">
        <v>1264</v>
      </c>
      <c r="E3196">
        <v>100024</v>
      </c>
      <c r="F3196">
        <v>37503</v>
      </c>
      <c r="G3196" t="str">
        <f t="shared" si="261"/>
        <v>37503</v>
      </c>
      <c r="H3196" t="s">
        <v>566</v>
      </c>
      <c r="I3196" t="s">
        <v>1265</v>
      </c>
      <c r="J3196" t="s">
        <v>1276</v>
      </c>
      <c r="K3196" t="s">
        <v>1277</v>
      </c>
      <c r="L3196" t="s">
        <v>1315</v>
      </c>
      <c r="M3196" t="s">
        <v>1375</v>
      </c>
      <c r="N3196">
        <v>1</v>
      </c>
      <c r="O3196" t="str">
        <f t="shared" si="264"/>
        <v>26</v>
      </c>
      <c r="Q3196">
        <v>26</v>
      </c>
      <c r="R3196" t="s">
        <v>1269</v>
      </c>
      <c r="S3196">
        <v>0.27800000000000002</v>
      </c>
      <c r="T3196">
        <v>0.1777</v>
      </c>
      <c r="U3196">
        <f t="shared" si="265"/>
        <v>0</v>
      </c>
      <c r="V3196" t="str">
        <f t="shared" si="262"/>
        <v>Elementary Health/
Related Services</v>
      </c>
      <c r="W3196" t="str">
        <f t="shared" si="263"/>
        <v>Health/
Related Services</v>
      </c>
    </row>
    <row r="3197" spans="1:23" x14ac:dyDescent="0.25">
      <c r="A3197">
        <v>37503</v>
      </c>
      <c r="B3197" t="s">
        <v>1324</v>
      </c>
      <c r="C3197">
        <v>1.286</v>
      </c>
      <c r="D3197" t="s">
        <v>1264</v>
      </c>
      <c r="E3197">
        <v>100024</v>
      </c>
      <c r="F3197">
        <v>37503</v>
      </c>
      <c r="G3197" t="str">
        <f t="shared" si="261"/>
        <v>37503</v>
      </c>
      <c r="H3197" t="s">
        <v>566</v>
      </c>
      <c r="I3197" t="s">
        <v>1265</v>
      </c>
      <c r="J3197" t="s">
        <v>1271</v>
      </c>
      <c r="K3197" t="s">
        <v>1272</v>
      </c>
      <c r="L3197" t="s">
        <v>1324</v>
      </c>
      <c r="M3197" t="s">
        <v>1325</v>
      </c>
      <c r="N3197">
        <v>21</v>
      </c>
      <c r="O3197" t="str">
        <f t="shared" si="264"/>
        <v>26</v>
      </c>
      <c r="Q3197">
        <v>26</v>
      </c>
      <c r="R3197" t="s">
        <v>1269</v>
      </c>
      <c r="S3197">
        <v>1.286</v>
      </c>
      <c r="T3197">
        <v>0.1777</v>
      </c>
      <c r="U3197">
        <f t="shared" si="265"/>
        <v>0.22900000000000001</v>
      </c>
      <c r="V3197" t="str">
        <f t="shared" si="262"/>
        <v>High Health/
Related Services</v>
      </c>
      <c r="W3197" t="str">
        <f t="shared" si="263"/>
        <v>Health/
Related Services</v>
      </c>
    </row>
    <row r="3198" spans="1:23" x14ac:dyDescent="0.25">
      <c r="A3198">
        <v>37503</v>
      </c>
      <c r="B3198" t="s">
        <v>1295</v>
      </c>
      <c r="C3198">
        <v>0.55700000000000005</v>
      </c>
      <c r="D3198" t="s">
        <v>1264</v>
      </c>
      <c r="E3198">
        <v>100024</v>
      </c>
      <c r="F3198">
        <v>37503</v>
      </c>
      <c r="G3198" t="str">
        <f t="shared" si="261"/>
        <v>37503</v>
      </c>
      <c r="H3198" t="s">
        <v>566</v>
      </c>
      <c r="I3198" t="s">
        <v>1265</v>
      </c>
      <c r="J3198" t="s">
        <v>1271</v>
      </c>
      <c r="K3198" t="s">
        <v>1272</v>
      </c>
      <c r="L3198" t="s">
        <v>1295</v>
      </c>
      <c r="M3198" t="s">
        <v>1296</v>
      </c>
      <c r="N3198">
        <v>1</v>
      </c>
      <c r="O3198" t="str">
        <f t="shared" si="264"/>
        <v>26</v>
      </c>
      <c r="Q3198">
        <v>26</v>
      </c>
      <c r="R3198" t="s">
        <v>1269</v>
      </c>
      <c r="S3198">
        <v>0.55700000000000005</v>
      </c>
      <c r="T3198">
        <v>0.1777</v>
      </c>
      <c r="U3198">
        <f t="shared" si="265"/>
        <v>0</v>
      </c>
      <c r="V3198" t="str">
        <f t="shared" si="262"/>
        <v>High Health/
Related Services</v>
      </c>
      <c r="W3198" t="str">
        <f t="shared" si="263"/>
        <v>Health/
Related Services</v>
      </c>
    </row>
    <row r="3199" spans="1:23" x14ac:dyDescent="0.25">
      <c r="A3199">
        <v>37503</v>
      </c>
      <c r="B3199" t="s">
        <v>1291</v>
      </c>
      <c r="C3199">
        <v>0.27800000000000002</v>
      </c>
      <c r="D3199" t="s">
        <v>1264</v>
      </c>
      <c r="E3199">
        <v>100024</v>
      </c>
      <c r="F3199">
        <v>37503</v>
      </c>
      <c r="G3199" t="str">
        <f t="shared" si="261"/>
        <v>37503</v>
      </c>
      <c r="H3199" t="s">
        <v>566</v>
      </c>
      <c r="I3199" t="s">
        <v>1265</v>
      </c>
      <c r="J3199" t="s">
        <v>1266</v>
      </c>
      <c r="K3199" t="s">
        <v>1267</v>
      </c>
      <c r="L3199" t="s">
        <v>1291</v>
      </c>
      <c r="M3199" t="s">
        <v>1292</v>
      </c>
      <c r="N3199">
        <v>1</v>
      </c>
      <c r="O3199" t="str">
        <f t="shared" si="264"/>
        <v>26</v>
      </c>
      <c r="Q3199">
        <v>26</v>
      </c>
      <c r="R3199" t="s">
        <v>1269</v>
      </c>
      <c r="S3199">
        <v>0.27800000000000002</v>
      </c>
      <c r="T3199">
        <v>0.1777</v>
      </c>
      <c r="U3199">
        <f t="shared" si="265"/>
        <v>0</v>
      </c>
      <c r="V3199" t="str">
        <f t="shared" si="262"/>
        <v>Middle Health/
Related Services</v>
      </c>
      <c r="W3199" t="str">
        <f t="shared" si="263"/>
        <v>Health/
Related Services</v>
      </c>
    </row>
    <row r="3200" spans="1:23" x14ac:dyDescent="0.25">
      <c r="A3200">
        <v>37503</v>
      </c>
      <c r="B3200" t="s">
        <v>1275</v>
      </c>
      <c r="C3200">
        <v>2.31</v>
      </c>
      <c r="D3200" t="s">
        <v>1264</v>
      </c>
      <c r="E3200">
        <v>100024</v>
      </c>
      <c r="F3200">
        <v>37503</v>
      </c>
      <c r="G3200" t="str">
        <f t="shared" si="261"/>
        <v>37503</v>
      </c>
      <c r="H3200" t="s">
        <v>566</v>
      </c>
      <c r="I3200" t="s">
        <v>1265</v>
      </c>
      <c r="J3200" t="s">
        <v>1276</v>
      </c>
      <c r="K3200" t="s">
        <v>1277</v>
      </c>
      <c r="L3200" t="s">
        <v>1275</v>
      </c>
      <c r="M3200" t="s">
        <v>1278</v>
      </c>
      <c r="N3200">
        <v>1</v>
      </c>
      <c r="O3200" t="str">
        <f t="shared" si="264"/>
        <v>42</v>
      </c>
      <c r="P3200">
        <v>42</v>
      </c>
      <c r="R3200" t="s">
        <v>1269</v>
      </c>
      <c r="S3200">
        <v>2.31</v>
      </c>
      <c r="T3200">
        <v>0.1777</v>
      </c>
      <c r="U3200">
        <f t="shared" si="265"/>
        <v>0</v>
      </c>
      <c r="V3200" t="str">
        <f t="shared" si="262"/>
        <v>Elementary Counselor</v>
      </c>
      <c r="W3200" t="str">
        <f t="shared" si="263"/>
        <v>Counselor</v>
      </c>
    </row>
    <row r="3201" spans="1:23" x14ac:dyDescent="0.25">
      <c r="A3201">
        <v>37503</v>
      </c>
      <c r="B3201" t="s">
        <v>1270</v>
      </c>
      <c r="C3201">
        <v>1.94</v>
      </c>
      <c r="D3201" t="s">
        <v>1264</v>
      </c>
      <c r="E3201">
        <v>100024</v>
      </c>
      <c r="F3201">
        <v>37503</v>
      </c>
      <c r="G3201" t="str">
        <f t="shared" si="261"/>
        <v>37503</v>
      </c>
      <c r="H3201" t="s">
        <v>566</v>
      </c>
      <c r="I3201" t="s">
        <v>1265</v>
      </c>
      <c r="J3201" t="s">
        <v>1271</v>
      </c>
      <c r="K3201" t="s">
        <v>1272</v>
      </c>
      <c r="L3201" t="s">
        <v>1270</v>
      </c>
      <c r="M3201" t="s">
        <v>1273</v>
      </c>
      <c r="N3201">
        <v>1</v>
      </c>
      <c r="O3201" t="str">
        <f t="shared" si="264"/>
        <v>42</v>
      </c>
      <c r="P3201">
        <v>42</v>
      </c>
      <c r="R3201" t="s">
        <v>1269</v>
      </c>
      <c r="S3201">
        <v>1.94</v>
      </c>
      <c r="T3201">
        <v>0.1777</v>
      </c>
      <c r="U3201">
        <f t="shared" si="265"/>
        <v>0</v>
      </c>
      <c r="V3201" t="str">
        <f t="shared" si="262"/>
        <v>High Counselor</v>
      </c>
      <c r="W3201" t="str">
        <f t="shared" si="263"/>
        <v>Counselor</v>
      </c>
    </row>
    <row r="3202" spans="1:23" x14ac:dyDescent="0.25">
      <c r="A3202">
        <v>37503</v>
      </c>
      <c r="B3202" t="s">
        <v>1263</v>
      </c>
      <c r="C3202">
        <v>0.69</v>
      </c>
      <c r="D3202" t="s">
        <v>1264</v>
      </c>
      <c r="E3202">
        <v>100024</v>
      </c>
      <c r="F3202">
        <v>37503</v>
      </c>
      <c r="G3202" t="str">
        <f t="shared" ref="G3202:G3265" si="266">TEXT(F3202,"00000")</f>
        <v>37503</v>
      </c>
      <c r="H3202" t="s">
        <v>566</v>
      </c>
      <c r="I3202" t="s">
        <v>1265</v>
      </c>
      <c r="J3202" t="s">
        <v>1266</v>
      </c>
      <c r="K3202" t="s">
        <v>1267</v>
      </c>
      <c r="L3202" t="s">
        <v>1263</v>
      </c>
      <c r="M3202" t="s">
        <v>1268</v>
      </c>
      <c r="N3202">
        <v>1</v>
      </c>
      <c r="O3202" t="str">
        <f t="shared" si="264"/>
        <v>42</v>
      </c>
      <c r="P3202">
        <v>42</v>
      </c>
      <c r="R3202" t="s">
        <v>1269</v>
      </c>
      <c r="S3202">
        <v>0.69</v>
      </c>
      <c r="T3202">
        <v>0.1777</v>
      </c>
      <c r="U3202">
        <f t="shared" si="265"/>
        <v>0</v>
      </c>
      <c r="V3202" t="str">
        <f t="shared" ref="V3202:V3265" si="267">_xlfn.XLOOKUP(L3202,$BV:$BV,$BT:$BT,,0)</f>
        <v>Middle Counselor</v>
      </c>
      <c r="W3202" t="str">
        <f t="shared" ref="W3202:W3265" si="268">_xlfn.TEXTAFTER(V3202," ")</f>
        <v>Counselor</v>
      </c>
    </row>
    <row r="3203" spans="1:23" x14ac:dyDescent="0.25">
      <c r="A3203">
        <v>37503</v>
      </c>
      <c r="B3203" t="s">
        <v>1289</v>
      </c>
      <c r="C3203">
        <v>0.4</v>
      </c>
      <c r="D3203" t="s">
        <v>1264</v>
      </c>
      <c r="E3203">
        <v>100024</v>
      </c>
      <c r="F3203">
        <v>37503</v>
      </c>
      <c r="G3203" t="str">
        <f t="shared" si="266"/>
        <v>37503</v>
      </c>
      <c r="H3203" t="s">
        <v>566</v>
      </c>
      <c r="I3203" t="s">
        <v>1265</v>
      </c>
      <c r="J3203" t="s">
        <v>1276</v>
      </c>
      <c r="K3203" t="s">
        <v>1277</v>
      </c>
      <c r="L3203" t="s">
        <v>1289</v>
      </c>
      <c r="M3203" t="s">
        <v>1307</v>
      </c>
      <c r="N3203">
        <v>21</v>
      </c>
      <c r="O3203" t="str">
        <f t="shared" ref="O3203:O3266" si="269">MID(L3203,3,2)</f>
        <v>43</v>
      </c>
      <c r="P3203">
        <v>43</v>
      </c>
      <c r="R3203" t="s">
        <v>1269</v>
      </c>
      <c r="S3203">
        <v>0.4</v>
      </c>
      <c r="T3203">
        <v>0.1777</v>
      </c>
      <c r="U3203">
        <f t="shared" ref="U3203:U3266" si="270">IF(N3203=21,ROUND(T3203*S3203,3),0)</f>
        <v>7.0999999999999994E-2</v>
      </c>
      <c r="V3203" t="str">
        <f t="shared" si="267"/>
        <v>Elementary Occupational Therapist</v>
      </c>
      <c r="W3203" t="str">
        <f t="shared" si="268"/>
        <v>Occupational Therapist</v>
      </c>
    </row>
    <row r="3204" spans="1:23" x14ac:dyDescent="0.25">
      <c r="A3204">
        <v>37503</v>
      </c>
      <c r="B3204" t="s">
        <v>1387</v>
      </c>
      <c r="C3204">
        <v>0.4</v>
      </c>
      <c r="D3204" t="s">
        <v>1264</v>
      </c>
      <c r="E3204">
        <v>100024</v>
      </c>
      <c r="F3204">
        <v>37503</v>
      </c>
      <c r="G3204" t="str">
        <f t="shared" si="266"/>
        <v>37503</v>
      </c>
      <c r="H3204" t="s">
        <v>566</v>
      </c>
      <c r="I3204" t="s">
        <v>1265</v>
      </c>
      <c r="J3204" t="s">
        <v>1271</v>
      </c>
      <c r="K3204" t="s">
        <v>1272</v>
      </c>
      <c r="L3204" t="s">
        <v>1387</v>
      </c>
      <c r="M3204" t="s">
        <v>1406</v>
      </c>
      <c r="N3204">
        <v>21</v>
      </c>
      <c r="O3204" t="str">
        <f t="shared" si="269"/>
        <v>43</v>
      </c>
      <c r="P3204">
        <v>43</v>
      </c>
      <c r="R3204" t="s">
        <v>1269</v>
      </c>
      <c r="S3204">
        <v>0.4</v>
      </c>
      <c r="T3204">
        <v>0.1777</v>
      </c>
      <c r="U3204">
        <f t="shared" si="270"/>
        <v>7.0999999999999994E-2</v>
      </c>
      <c r="V3204" t="str">
        <f t="shared" si="267"/>
        <v>High Occupational Therapist</v>
      </c>
      <c r="W3204" t="str">
        <f t="shared" si="268"/>
        <v>Occupational Therapist</v>
      </c>
    </row>
    <row r="3205" spans="1:23" x14ac:dyDescent="0.25">
      <c r="A3205">
        <v>37503</v>
      </c>
      <c r="B3205" t="s">
        <v>1303</v>
      </c>
      <c r="C3205">
        <v>0.2</v>
      </c>
      <c r="D3205" t="s">
        <v>1264</v>
      </c>
      <c r="E3205">
        <v>100024</v>
      </c>
      <c r="F3205">
        <v>37503</v>
      </c>
      <c r="G3205" t="str">
        <f t="shared" si="266"/>
        <v>37503</v>
      </c>
      <c r="H3205" t="s">
        <v>566</v>
      </c>
      <c r="I3205" t="s">
        <v>1265</v>
      </c>
      <c r="J3205" t="s">
        <v>1266</v>
      </c>
      <c r="K3205" t="s">
        <v>1267</v>
      </c>
      <c r="L3205" t="s">
        <v>1303</v>
      </c>
      <c r="M3205" t="s">
        <v>1304</v>
      </c>
      <c r="N3205">
        <v>21</v>
      </c>
      <c r="O3205" t="str">
        <f t="shared" si="269"/>
        <v>43</v>
      </c>
      <c r="P3205">
        <v>43</v>
      </c>
      <c r="R3205" t="s">
        <v>1269</v>
      </c>
      <c r="S3205">
        <v>0.2</v>
      </c>
      <c r="T3205">
        <v>0.1777</v>
      </c>
      <c r="U3205">
        <f t="shared" si="270"/>
        <v>3.5999999999999997E-2</v>
      </c>
      <c r="V3205" t="str">
        <f t="shared" si="267"/>
        <v>Middle Occupational Therapist</v>
      </c>
      <c r="W3205" t="str">
        <f t="shared" si="268"/>
        <v>Occupational Therapist</v>
      </c>
    </row>
    <row r="3206" spans="1:23" x14ac:dyDescent="0.25">
      <c r="A3206">
        <v>37503</v>
      </c>
      <c r="B3206" t="s">
        <v>1331</v>
      </c>
      <c r="C3206">
        <v>3.5999999999999997E-2</v>
      </c>
      <c r="D3206" t="s">
        <v>1264</v>
      </c>
      <c r="E3206">
        <v>100024</v>
      </c>
      <c r="F3206">
        <v>37503</v>
      </c>
      <c r="G3206" t="str">
        <f t="shared" si="266"/>
        <v>37503</v>
      </c>
      <c r="H3206" t="s">
        <v>566</v>
      </c>
      <c r="I3206" t="s">
        <v>1265</v>
      </c>
      <c r="J3206" t="s">
        <v>1276</v>
      </c>
      <c r="K3206" t="s">
        <v>1277</v>
      </c>
      <c r="L3206" t="s">
        <v>1331</v>
      </c>
      <c r="M3206" t="s">
        <v>1405</v>
      </c>
      <c r="N3206">
        <v>1</v>
      </c>
      <c r="O3206" t="str">
        <f t="shared" si="269"/>
        <v>44</v>
      </c>
      <c r="P3206">
        <v>44</v>
      </c>
      <c r="R3206" t="s">
        <v>1269</v>
      </c>
      <c r="S3206">
        <v>3.5999999999999997E-2</v>
      </c>
      <c r="T3206">
        <v>0.1777</v>
      </c>
      <c r="U3206">
        <f t="shared" si="270"/>
        <v>0</v>
      </c>
      <c r="V3206" t="str">
        <f t="shared" si="267"/>
        <v>Elementary Social Worker</v>
      </c>
      <c r="W3206" t="str">
        <f t="shared" si="268"/>
        <v>Social Worker</v>
      </c>
    </row>
    <row r="3207" spans="1:23" x14ac:dyDescent="0.25">
      <c r="A3207">
        <v>37503</v>
      </c>
      <c r="B3207" t="s">
        <v>1359</v>
      </c>
      <c r="C3207">
        <v>4.7E-2</v>
      </c>
      <c r="D3207" t="s">
        <v>1264</v>
      </c>
      <c r="E3207">
        <v>100024</v>
      </c>
      <c r="F3207">
        <v>37503</v>
      </c>
      <c r="G3207" t="str">
        <f t="shared" si="266"/>
        <v>37503</v>
      </c>
      <c r="H3207" t="s">
        <v>566</v>
      </c>
      <c r="I3207" t="s">
        <v>1265</v>
      </c>
      <c r="J3207" t="s">
        <v>1271</v>
      </c>
      <c r="K3207" t="s">
        <v>1272</v>
      </c>
      <c r="L3207" t="s">
        <v>1359</v>
      </c>
      <c r="M3207" t="s">
        <v>1360</v>
      </c>
      <c r="N3207">
        <v>1</v>
      </c>
      <c r="O3207" t="str">
        <f t="shared" si="269"/>
        <v>44</v>
      </c>
      <c r="P3207">
        <v>44</v>
      </c>
      <c r="R3207" t="s">
        <v>1269</v>
      </c>
      <c r="S3207">
        <v>4.7E-2</v>
      </c>
      <c r="T3207">
        <v>0.1777</v>
      </c>
      <c r="U3207">
        <f t="shared" si="270"/>
        <v>0</v>
      </c>
      <c r="V3207" t="str">
        <f t="shared" si="267"/>
        <v>High Social Worker</v>
      </c>
      <c r="W3207" t="str">
        <f t="shared" si="268"/>
        <v>Social Worker</v>
      </c>
    </row>
    <row r="3208" spans="1:23" x14ac:dyDescent="0.25">
      <c r="A3208">
        <v>37503</v>
      </c>
      <c r="B3208" t="s">
        <v>1356</v>
      </c>
      <c r="C3208">
        <v>1.6E-2</v>
      </c>
      <c r="D3208" t="s">
        <v>1264</v>
      </c>
      <c r="E3208">
        <v>100024</v>
      </c>
      <c r="F3208">
        <v>37503</v>
      </c>
      <c r="G3208" t="str">
        <f t="shared" si="266"/>
        <v>37503</v>
      </c>
      <c r="H3208" t="s">
        <v>566</v>
      </c>
      <c r="I3208" t="s">
        <v>1265</v>
      </c>
      <c r="J3208" t="s">
        <v>1266</v>
      </c>
      <c r="K3208" t="s">
        <v>1267</v>
      </c>
      <c r="L3208" t="s">
        <v>1356</v>
      </c>
      <c r="M3208" t="s">
        <v>1357</v>
      </c>
      <c r="N3208">
        <v>1</v>
      </c>
      <c r="O3208" t="str">
        <f t="shared" si="269"/>
        <v>44</v>
      </c>
      <c r="P3208">
        <v>44</v>
      </c>
      <c r="R3208" t="s">
        <v>1269</v>
      </c>
      <c r="S3208">
        <v>1.6E-2</v>
      </c>
      <c r="T3208">
        <v>0.1777</v>
      </c>
      <c r="U3208">
        <f t="shared" si="270"/>
        <v>0</v>
      </c>
      <c r="V3208" t="str">
        <f t="shared" si="267"/>
        <v>Middle Social Worker</v>
      </c>
      <c r="W3208" t="str">
        <f t="shared" si="268"/>
        <v>Social Worker</v>
      </c>
    </row>
    <row r="3209" spans="1:23" x14ac:dyDescent="0.25">
      <c r="A3209">
        <v>37503</v>
      </c>
      <c r="B3209" t="s">
        <v>1294</v>
      </c>
      <c r="C3209">
        <v>4.0039999999999996</v>
      </c>
      <c r="D3209" t="s">
        <v>1264</v>
      </c>
      <c r="E3209">
        <v>100024</v>
      </c>
      <c r="F3209">
        <v>37503</v>
      </c>
      <c r="G3209" t="str">
        <f t="shared" si="266"/>
        <v>37503</v>
      </c>
      <c r="H3209" t="s">
        <v>566</v>
      </c>
      <c r="I3209" t="s">
        <v>1265</v>
      </c>
      <c r="J3209" t="s">
        <v>1276</v>
      </c>
      <c r="K3209" t="s">
        <v>1277</v>
      </c>
      <c r="L3209" t="s">
        <v>1294</v>
      </c>
      <c r="M3209" t="s">
        <v>1354</v>
      </c>
      <c r="N3209">
        <v>21</v>
      </c>
      <c r="O3209" t="str">
        <f t="shared" si="269"/>
        <v>45</v>
      </c>
      <c r="P3209">
        <v>45</v>
      </c>
      <c r="R3209" t="s">
        <v>1269</v>
      </c>
      <c r="S3209">
        <v>4.0039999999999996</v>
      </c>
      <c r="T3209">
        <v>0.1777</v>
      </c>
      <c r="U3209">
        <f t="shared" si="270"/>
        <v>0.71199999999999997</v>
      </c>
      <c r="V3209" t="str">
        <f t="shared" si="267"/>
        <v>Elementary Speech, Language Pathway/
Audio</v>
      </c>
      <c r="W3209" t="str">
        <f t="shared" si="268"/>
        <v>Speech, Language Pathway/
Audio</v>
      </c>
    </row>
    <row r="3210" spans="1:23" x14ac:dyDescent="0.25">
      <c r="A3210">
        <v>37503</v>
      </c>
      <c r="B3210" t="s">
        <v>1326</v>
      </c>
      <c r="C3210">
        <v>0.55000000000000004</v>
      </c>
      <c r="D3210" t="s">
        <v>1264</v>
      </c>
      <c r="E3210">
        <v>100024</v>
      </c>
      <c r="F3210">
        <v>37503</v>
      </c>
      <c r="G3210" t="str">
        <f t="shared" si="266"/>
        <v>37503</v>
      </c>
      <c r="H3210" t="s">
        <v>566</v>
      </c>
      <c r="I3210" t="s">
        <v>1265</v>
      </c>
      <c r="J3210" t="s">
        <v>1271</v>
      </c>
      <c r="K3210" t="s">
        <v>1272</v>
      </c>
      <c r="L3210" t="s">
        <v>1326</v>
      </c>
      <c r="M3210" t="s">
        <v>1353</v>
      </c>
      <c r="N3210">
        <v>21</v>
      </c>
      <c r="O3210" t="str">
        <f t="shared" si="269"/>
        <v>45</v>
      </c>
      <c r="P3210">
        <v>45</v>
      </c>
      <c r="R3210" t="s">
        <v>1269</v>
      </c>
      <c r="S3210">
        <v>0.55000000000000004</v>
      </c>
      <c r="T3210">
        <v>0.1777</v>
      </c>
      <c r="U3210">
        <f t="shared" si="270"/>
        <v>9.8000000000000004E-2</v>
      </c>
      <c r="V3210" t="str">
        <f t="shared" si="267"/>
        <v>High Speech, Language Pathway/
Audio</v>
      </c>
      <c r="W3210" t="str">
        <f t="shared" si="268"/>
        <v>Speech, Language Pathway/
Audio</v>
      </c>
    </row>
    <row r="3211" spans="1:23" x14ac:dyDescent="0.25">
      <c r="A3211">
        <v>37503</v>
      </c>
      <c r="B3211" t="s">
        <v>1312</v>
      </c>
      <c r="C3211">
        <v>0.64</v>
      </c>
      <c r="D3211" t="s">
        <v>1264</v>
      </c>
      <c r="E3211">
        <v>100024</v>
      </c>
      <c r="F3211">
        <v>37503</v>
      </c>
      <c r="G3211" t="str">
        <f t="shared" si="266"/>
        <v>37503</v>
      </c>
      <c r="H3211" t="s">
        <v>566</v>
      </c>
      <c r="I3211" t="s">
        <v>1265</v>
      </c>
      <c r="J3211" t="s">
        <v>1266</v>
      </c>
      <c r="K3211" t="s">
        <v>1267</v>
      </c>
      <c r="L3211" t="s">
        <v>1312</v>
      </c>
      <c r="M3211" t="s">
        <v>1351</v>
      </c>
      <c r="N3211">
        <v>21</v>
      </c>
      <c r="O3211" t="str">
        <f t="shared" si="269"/>
        <v>45</v>
      </c>
      <c r="P3211">
        <v>45</v>
      </c>
      <c r="R3211" t="s">
        <v>1269</v>
      </c>
      <c r="S3211">
        <v>0.64</v>
      </c>
      <c r="T3211">
        <v>0.1777</v>
      </c>
      <c r="U3211">
        <f t="shared" si="270"/>
        <v>0.114</v>
      </c>
      <c r="V3211" t="str">
        <f t="shared" si="267"/>
        <v>Middle Speech, Language Pathway/
Audio</v>
      </c>
      <c r="W3211" t="str">
        <f t="shared" si="268"/>
        <v>Speech, Language Pathway/
Audio</v>
      </c>
    </row>
    <row r="3212" spans="1:23" x14ac:dyDescent="0.25">
      <c r="A3212">
        <v>37503</v>
      </c>
      <c r="B3212" t="s">
        <v>1298</v>
      </c>
      <c r="C3212">
        <v>1.2</v>
      </c>
      <c r="D3212" t="s">
        <v>1264</v>
      </c>
      <c r="E3212">
        <v>100024</v>
      </c>
      <c r="F3212">
        <v>37503</v>
      </c>
      <c r="G3212" t="str">
        <f t="shared" si="266"/>
        <v>37503</v>
      </c>
      <c r="H3212" t="s">
        <v>566</v>
      </c>
      <c r="I3212" t="s">
        <v>1265</v>
      </c>
      <c r="J3212" t="s">
        <v>1276</v>
      </c>
      <c r="K3212" t="s">
        <v>1277</v>
      </c>
      <c r="L3212" t="s">
        <v>1298</v>
      </c>
      <c r="M3212" t="s">
        <v>1349</v>
      </c>
      <c r="N3212">
        <v>21</v>
      </c>
      <c r="O3212" t="str">
        <f t="shared" si="269"/>
        <v>46</v>
      </c>
      <c r="P3212">
        <v>46</v>
      </c>
      <c r="R3212" t="s">
        <v>1269</v>
      </c>
      <c r="S3212">
        <v>1.2</v>
      </c>
      <c r="T3212">
        <v>0.1777</v>
      </c>
      <c r="U3212">
        <f t="shared" si="270"/>
        <v>0.21299999999999999</v>
      </c>
      <c r="V3212" t="str">
        <f t="shared" si="267"/>
        <v>Elementary Psychologist</v>
      </c>
      <c r="W3212" t="str">
        <f t="shared" si="268"/>
        <v>Psychologist</v>
      </c>
    </row>
    <row r="3213" spans="1:23" x14ac:dyDescent="0.25">
      <c r="A3213">
        <v>37503</v>
      </c>
      <c r="B3213" t="s">
        <v>1309</v>
      </c>
      <c r="C3213">
        <v>0.4</v>
      </c>
      <c r="D3213" t="s">
        <v>1264</v>
      </c>
      <c r="E3213">
        <v>100024</v>
      </c>
      <c r="F3213">
        <v>37503</v>
      </c>
      <c r="G3213" t="str">
        <f t="shared" si="266"/>
        <v>37503</v>
      </c>
      <c r="H3213" t="s">
        <v>566</v>
      </c>
      <c r="I3213" t="s">
        <v>1265</v>
      </c>
      <c r="J3213" t="s">
        <v>1271</v>
      </c>
      <c r="K3213" t="s">
        <v>1272</v>
      </c>
      <c r="L3213" t="s">
        <v>1309</v>
      </c>
      <c r="M3213" t="s">
        <v>1310</v>
      </c>
      <c r="N3213">
        <v>21</v>
      </c>
      <c r="O3213" t="str">
        <f t="shared" si="269"/>
        <v>46</v>
      </c>
      <c r="P3213">
        <v>46</v>
      </c>
      <c r="R3213" t="s">
        <v>1269</v>
      </c>
      <c r="S3213">
        <v>0.4</v>
      </c>
      <c r="T3213">
        <v>0.1777</v>
      </c>
      <c r="U3213">
        <f t="shared" si="270"/>
        <v>7.0999999999999994E-2</v>
      </c>
      <c r="V3213" t="str">
        <f t="shared" si="267"/>
        <v>High Psychologist</v>
      </c>
      <c r="W3213" t="str">
        <f t="shared" si="268"/>
        <v>Psychologist</v>
      </c>
    </row>
    <row r="3214" spans="1:23" x14ac:dyDescent="0.25">
      <c r="A3214">
        <v>37503</v>
      </c>
      <c r="B3214" t="s">
        <v>1345</v>
      </c>
      <c r="C3214">
        <v>0.2</v>
      </c>
      <c r="D3214" t="s">
        <v>1264</v>
      </c>
      <c r="E3214">
        <v>100024</v>
      </c>
      <c r="F3214">
        <v>37503</v>
      </c>
      <c r="G3214" t="str">
        <f t="shared" si="266"/>
        <v>37503</v>
      </c>
      <c r="H3214" t="s">
        <v>566</v>
      </c>
      <c r="I3214" t="s">
        <v>1265</v>
      </c>
      <c r="J3214" t="s">
        <v>1266</v>
      </c>
      <c r="K3214" t="s">
        <v>1267</v>
      </c>
      <c r="L3214" t="s">
        <v>1345</v>
      </c>
      <c r="M3214" t="s">
        <v>1346</v>
      </c>
      <c r="N3214">
        <v>21</v>
      </c>
      <c r="O3214" t="str">
        <f t="shared" si="269"/>
        <v>46</v>
      </c>
      <c r="P3214">
        <v>46</v>
      </c>
      <c r="R3214" t="s">
        <v>1269</v>
      </c>
      <c r="S3214">
        <v>0.2</v>
      </c>
      <c r="T3214">
        <v>0.1777</v>
      </c>
      <c r="U3214">
        <f t="shared" si="270"/>
        <v>3.5999999999999997E-2</v>
      </c>
      <c r="V3214" t="str">
        <f t="shared" si="267"/>
        <v>Middle Psychologist</v>
      </c>
      <c r="W3214" t="str">
        <f t="shared" si="268"/>
        <v>Psychologist</v>
      </c>
    </row>
    <row r="3215" spans="1:23" x14ac:dyDescent="0.25">
      <c r="A3215">
        <v>37503</v>
      </c>
      <c r="B3215" t="s">
        <v>1335</v>
      </c>
      <c r="C3215">
        <v>0.95</v>
      </c>
      <c r="D3215" t="s">
        <v>1264</v>
      </c>
      <c r="E3215">
        <v>100024</v>
      </c>
      <c r="F3215">
        <v>37503</v>
      </c>
      <c r="G3215" t="str">
        <f t="shared" si="266"/>
        <v>37503</v>
      </c>
      <c r="H3215" t="s">
        <v>566</v>
      </c>
      <c r="I3215" t="s">
        <v>1265</v>
      </c>
      <c r="J3215" t="s">
        <v>1276</v>
      </c>
      <c r="K3215" t="s">
        <v>1277</v>
      </c>
      <c r="L3215" t="s">
        <v>1335</v>
      </c>
      <c r="M3215" t="s">
        <v>1344</v>
      </c>
      <c r="N3215">
        <v>1</v>
      </c>
      <c r="O3215" t="str">
        <f t="shared" si="269"/>
        <v>47</v>
      </c>
      <c r="P3215">
        <v>47</v>
      </c>
      <c r="R3215" t="s">
        <v>1269</v>
      </c>
      <c r="S3215">
        <v>0.95</v>
      </c>
      <c r="T3215">
        <v>0.1777</v>
      </c>
      <c r="U3215">
        <f t="shared" si="270"/>
        <v>0</v>
      </c>
      <c r="V3215" t="str">
        <f t="shared" si="267"/>
        <v>Elementary Nurse</v>
      </c>
      <c r="W3215" t="str">
        <f t="shared" si="268"/>
        <v>Nurse</v>
      </c>
    </row>
    <row r="3216" spans="1:23" x14ac:dyDescent="0.25">
      <c r="A3216">
        <v>37503</v>
      </c>
      <c r="B3216" t="s">
        <v>1341</v>
      </c>
      <c r="C3216">
        <v>0.56999999999999995</v>
      </c>
      <c r="D3216" t="s">
        <v>1264</v>
      </c>
      <c r="E3216">
        <v>100024</v>
      </c>
      <c r="F3216">
        <v>37503</v>
      </c>
      <c r="G3216" t="str">
        <f t="shared" si="266"/>
        <v>37503</v>
      </c>
      <c r="H3216" t="s">
        <v>566</v>
      </c>
      <c r="I3216" t="s">
        <v>1265</v>
      </c>
      <c r="J3216" t="s">
        <v>1271</v>
      </c>
      <c r="K3216" t="s">
        <v>1272</v>
      </c>
      <c r="L3216" t="s">
        <v>1341</v>
      </c>
      <c r="M3216" t="s">
        <v>1342</v>
      </c>
      <c r="N3216">
        <v>1</v>
      </c>
      <c r="O3216" t="str">
        <f t="shared" si="269"/>
        <v>47</v>
      </c>
      <c r="P3216">
        <v>47</v>
      </c>
      <c r="R3216" t="s">
        <v>1269</v>
      </c>
      <c r="S3216">
        <v>0.56999999999999995</v>
      </c>
      <c r="T3216">
        <v>0.1777</v>
      </c>
      <c r="U3216">
        <f t="shared" si="270"/>
        <v>0</v>
      </c>
      <c r="V3216" t="str">
        <f t="shared" si="267"/>
        <v>High Nurse</v>
      </c>
      <c r="W3216" t="str">
        <f t="shared" si="268"/>
        <v>Nurse</v>
      </c>
    </row>
    <row r="3217" spans="1:23" x14ac:dyDescent="0.25">
      <c r="A3217">
        <v>37503</v>
      </c>
      <c r="B3217" t="s">
        <v>1338</v>
      </c>
      <c r="C3217">
        <v>0.28000000000000003</v>
      </c>
      <c r="D3217" t="s">
        <v>1264</v>
      </c>
      <c r="E3217">
        <v>100024</v>
      </c>
      <c r="F3217">
        <v>37503</v>
      </c>
      <c r="G3217" t="str">
        <f t="shared" si="266"/>
        <v>37503</v>
      </c>
      <c r="H3217" t="s">
        <v>566</v>
      </c>
      <c r="I3217" t="s">
        <v>1265</v>
      </c>
      <c r="J3217" t="s">
        <v>1266</v>
      </c>
      <c r="K3217" t="s">
        <v>1267</v>
      </c>
      <c r="L3217" t="s">
        <v>1338</v>
      </c>
      <c r="M3217" t="s">
        <v>1339</v>
      </c>
      <c r="N3217">
        <v>1</v>
      </c>
      <c r="O3217" t="str">
        <f t="shared" si="269"/>
        <v>47</v>
      </c>
      <c r="P3217">
        <v>47</v>
      </c>
      <c r="R3217" t="s">
        <v>1269</v>
      </c>
      <c r="S3217">
        <v>0.28000000000000003</v>
      </c>
      <c r="T3217">
        <v>0.1777</v>
      </c>
      <c r="U3217">
        <f t="shared" si="270"/>
        <v>0</v>
      </c>
      <c r="V3217" t="str">
        <f t="shared" si="267"/>
        <v>Middle Nurse</v>
      </c>
      <c r="W3217" t="str">
        <f t="shared" si="268"/>
        <v>Nurse</v>
      </c>
    </row>
    <row r="3218" spans="1:23" x14ac:dyDescent="0.25">
      <c r="A3218" t="s">
        <v>270</v>
      </c>
      <c r="B3218" t="s">
        <v>1474</v>
      </c>
      <c r="C3218">
        <v>2.3E-2</v>
      </c>
      <c r="F3218" t="s">
        <v>270</v>
      </c>
      <c r="G3218" t="str">
        <f t="shared" si="266"/>
        <v>37503</v>
      </c>
      <c r="H3218" t="s">
        <v>566</v>
      </c>
      <c r="I3218" t="s">
        <v>1265</v>
      </c>
      <c r="K3218" t="s">
        <v>1277</v>
      </c>
      <c r="L3218" t="s">
        <v>1474</v>
      </c>
      <c r="M3218" t="s">
        <v>1642</v>
      </c>
      <c r="N3218">
        <v>9</v>
      </c>
      <c r="O3218" t="str">
        <f t="shared" si="269"/>
        <v>25</v>
      </c>
      <c r="P3218">
        <v>91</v>
      </c>
      <c r="Q3218">
        <v>25</v>
      </c>
      <c r="S3218">
        <v>2.3E-2</v>
      </c>
      <c r="T3218">
        <v>0.1777</v>
      </c>
      <c r="U3218">
        <f t="shared" si="270"/>
        <v>0</v>
      </c>
      <c r="V3218" t="str">
        <f t="shared" si="267"/>
        <v>TK Pupil Management</v>
      </c>
      <c r="W3218" t="str">
        <f t="shared" si="268"/>
        <v>Pupil Management</v>
      </c>
    </row>
    <row r="3219" spans="1:23" x14ac:dyDescent="0.25">
      <c r="A3219" t="s">
        <v>270</v>
      </c>
      <c r="B3219" t="s">
        <v>1474</v>
      </c>
      <c r="C3219">
        <v>2.3E-2</v>
      </c>
      <c r="F3219" t="s">
        <v>270</v>
      </c>
      <c r="G3219" t="str">
        <f t="shared" si="266"/>
        <v>37503</v>
      </c>
      <c r="H3219" t="s">
        <v>566</v>
      </c>
      <c r="I3219" t="s">
        <v>1265</v>
      </c>
      <c r="K3219" t="s">
        <v>1277</v>
      </c>
      <c r="L3219" t="s">
        <v>1474</v>
      </c>
      <c r="M3219" t="s">
        <v>1642</v>
      </c>
      <c r="N3219">
        <v>9</v>
      </c>
      <c r="O3219" t="str">
        <f t="shared" si="269"/>
        <v>25</v>
      </c>
      <c r="P3219">
        <v>91</v>
      </c>
      <c r="Q3219">
        <v>25</v>
      </c>
      <c r="S3219">
        <v>2.3E-2</v>
      </c>
      <c r="T3219">
        <v>0.1777</v>
      </c>
      <c r="U3219">
        <f t="shared" si="270"/>
        <v>0</v>
      </c>
      <c r="V3219" t="str">
        <f t="shared" si="267"/>
        <v>TK Pupil Management</v>
      </c>
      <c r="W3219" t="str">
        <f t="shared" si="268"/>
        <v>Pupil Management</v>
      </c>
    </row>
    <row r="3220" spans="1:23" x14ac:dyDescent="0.25">
      <c r="A3220">
        <v>37504</v>
      </c>
      <c r="B3220" t="s">
        <v>1299</v>
      </c>
      <c r="C3220">
        <v>4.6319999999999997</v>
      </c>
      <c r="D3220" t="s">
        <v>1264</v>
      </c>
      <c r="E3220">
        <v>100136</v>
      </c>
      <c r="F3220">
        <v>37504</v>
      </c>
      <c r="G3220" t="str">
        <f t="shared" si="266"/>
        <v>37504</v>
      </c>
      <c r="H3220" t="s">
        <v>567</v>
      </c>
      <c r="I3220" t="s">
        <v>1265</v>
      </c>
      <c r="J3220" t="s">
        <v>1271</v>
      </c>
      <c r="K3220" t="s">
        <v>1272</v>
      </c>
      <c r="L3220" t="s">
        <v>1299</v>
      </c>
      <c r="M3220" t="s">
        <v>1300</v>
      </c>
      <c r="N3220">
        <v>1</v>
      </c>
      <c r="O3220" t="str">
        <f t="shared" si="269"/>
        <v>25</v>
      </c>
      <c r="Q3220">
        <v>25</v>
      </c>
      <c r="R3220" t="s">
        <v>1269</v>
      </c>
      <c r="S3220">
        <v>4.6319999999999997</v>
      </c>
      <c r="T3220">
        <v>0.18790000000000001</v>
      </c>
      <c r="U3220">
        <f t="shared" si="270"/>
        <v>0</v>
      </c>
      <c r="V3220" t="str">
        <f t="shared" si="267"/>
        <v>High Pupil Management</v>
      </c>
      <c r="W3220" t="str">
        <f t="shared" si="268"/>
        <v>Pupil Management</v>
      </c>
    </row>
    <row r="3221" spans="1:23" x14ac:dyDescent="0.25">
      <c r="A3221">
        <v>37504</v>
      </c>
      <c r="B3221" t="s">
        <v>1324</v>
      </c>
      <c r="C3221">
        <v>0.77500000000000002</v>
      </c>
      <c r="D3221" t="s">
        <v>1264</v>
      </c>
      <c r="E3221">
        <v>100136</v>
      </c>
      <c r="F3221">
        <v>37504</v>
      </c>
      <c r="G3221" t="str">
        <f t="shared" si="266"/>
        <v>37504</v>
      </c>
      <c r="H3221" t="s">
        <v>567</v>
      </c>
      <c r="I3221" t="s">
        <v>1265</v>
      </c>
      <c r="J3221" t="s">
        <v>1271</v>
      </c>
      <c r="K3221" t="s">
        <v>1272</v>
      </c>
      <c r="L3221" t="s">
        <v>1324</v>
      </c>
      <c r="M3221" t="s">
        <v>1325</v>
      </c>
      <c r="N3221">
        <v>21</v>
      </c>
      <c r="O3221" t="str">
        <f t="shared" si="269"/>
        <v>26</v>
      </c>
      <c r="Q3221">
        <v>26</v>
      </c>
      <c r="R3221" t="s">
        <v>1269</v>
      </c>
      <c r="S3221">
        <v>0.77500000000000002</v>
      </c>
      <c r="T3221">
        <v>0.18790000000000001</v>
      </c>
      <c r="U3221">
        <f t="shared" si="270"/>
        <v>0.14599999999999999</v>
      </c>
      <c r="V3221" t="str">
        <f t="shared" si="267"/>
        <v>High Health/
Related Services</v>
      </c>
      <c r="W3221" t="str">
        <f t="shared" si="268"/>
        <v>Health/
Related Services</v>
      </c>
    </row>
    <row r="3222" spans="1:23" x14ac:dyDescent="0.25">
      <c r="A3222">
        <v>37504</v>
      </c>
      <c r="B3222" t="s">
        <v>1295</v>
      </c>
      <c r="C3222">
        <v>2.2480000000000002</v>
      </c>
      <c r="D3222" t="s">
        <v>1264</v>
      </c>
      <c r="E3222">
        <v>100136</v>
      </c>
      <c r="F3222">
        <v>37504</v>
      </c>
      <c r="G3222" t="str">
        <f t="shared" si="266"/>
        <v>37504</v>
      </c>
      <c r="H3222" t="s">
        <v>567</v>
      </c>
      <c r="I3222" t="s">
        <v>1265</v>
      </c>
      <c r="J3222" t="s">
        <v>1271</v>
      </c>
      <c r="K3222" t="s">
        <v>1272</v>
      </c>
      <c r="L3222" t="s">
        <v>1295</v>
      </c>
      <c r="M3222" t="s">
        <v>1296</v>
      </c>
      <c r="N3222">
        <v>1</v>
      </c>
      <c r="O3222" t="str">
        <f t="shared" si="269"/>
        <v>26</v>
      </c>
      <c r="Q3222">
        <v>26</v>
      </c>
      <c r="R3222" t="s">
        <v>1269</v>
      </c>
      <c r="S3222">
        <v>2.2480000000000002</v>
      </c>
      <c r="T3222">
        <v>0.18790000000000001</v>
      </c>
      <c r="U3222">
        <f t="shared" si="270"/>
        <v>0</v>
      </c>
      <c r="V3222" t="str">
        <f t="shared" si="267"/>
        <v>High Health/
Related Services</v>
      </c>
      <c r="W3222" t="str">
        <f t="shared" si="268"/>
        <v>Health/
Related Services</v>
      </c>
    </row>
    <row r="3223" spans="1:23" x14ac:dyDescent="0.25">
      <c r="A3223">
        <v>37504</v>
      </c>
      <c r="B3223" t="s">
        <v>1275</v>
      </c>
      <c r="C3223">
        <v>3.8</v>
      </c>
      <c r="D3223" t="s">
        <v>1264</v>
      </c>
      <c r="E3223">
        <v>100136</v>
      </c>
      <c r="F3223">
        <v>37504</v>
      </c>
      <c r="G3223" t="str">
        <f t="shared" si="266"/>
        <v>37504</v>
      </c>
      <c r="H3223" t="s">
        <v>567</v>
      </c>
      <c r="I3223" t="s">
        <v>1265</v>
      </c>
      <c r="J3223" t="s">
        <v>1276</v>
      </c>
      <c r="K3223" t="s">
        <v>1277</v>
      </c>
      <c r="L3223" t="s">
        <v>1275</v>
      </c>
      <c r="M3223" t="s">
        <v>1278</v>
      </c>
      <c r="N3223">
        <v>1</v>
      </c>
      <c r="O3223" t="str">
        <f t="shared" si="269"/>
        <v>42</v>
      </c>
      <c r="P3223">
        <v>42</v>
      </c>
      <c r="R3223" t="s">
        <v>1269</v>
      </c>
      <c r="S3223">
        <v>3.8</v>
      </c>
      <c r="T3223">
        <v>0.18790000000000001</v>
      </c>
      <c r="U3223">
        <f t="shared" si="270"/>
        <v>0</v>
      </c>
      <c r="V3223" t="str">
        <f t="shared" si="267"/>
        <v>Elementary Counselor</v>
      </c>
      <c r="W3223" t="str">
        <f t="shared" si="268"/>
        <v>Counselor</v>
      </c>
    </row>
    <row r="3224" spans="1:23" x14ac:dyDescent="0.25">
      <c r="A3224">
        <v>37504</v>
      </c>
      <c r="B3224" t="s">
        <v>1270</v>
      </c>
      <c r="C3224">
        <v>3</v>
      </c>
      <c r="D3224" t="s">
        <v>1264</v>
      </c>
      <c r="E3224">
        <v>100136</v>
      </c>
      <c r="F3224">
        <v>37504</v>
      </c>
      <c r="G3224" t="str">
        <f t="shared" si="266"/>
        <v>37504</v>
      </c>
      <c r="H3224" t="s">
        <v>567</v>
      </c>
      <c r="I3224" t="s">
        <v>1265</v>
      </c>
      <c r="J3224" t="s">
        <v>1271</v>
      </c>
      <c r="K3224" t="s">
        <v>1272</v>
      </c>
      <c r="L3224" t="s">
        <v>1270</v>
      </c>
      <c r="M3224" t="s">
        <v>1273</v>
      </c>
      <c r="N3224">
        <v>1</v>
      </c>
      <c r="O3224" t="str">
        <f t="shared" si="269"/>
        <v>42</v>
      </c>
      <c r="P3224">
        <v>42</v>
      </c>
      <c r="R3224" t="s">
        <v>1269</v>
      </c>
      <c r="S3224">
        <v>3</v>
      </c>
      <c r="T3224">
        <v>0.18790000000000001</v>
      </c>
      <c r="U3224">
        <f t="shared" si="270"/>
        <v>0</v>
      </c>
      <c r="V3224" t="str">
        <f t="shared" si="267"/>
        <v>High Counselor</v>
      </c>
      <c r="W3224" t="str">
        <f t="shared" si="268"/>
        <v>Counselor</v>
      </c>
    </row>
    <row r="3225" spans="1:23" x14ac:dyDescent="0.25">
      <c r="A3225">
        <v>37504</v>
      </c>
      <c r="B3225" t="s">
        <v>1263</v>
      </c>
      <c r="C3225">
        <v>1.2</v>
      </c>
      <c r="D3225" t="s">
        <v>1264</v>
      </c>
      <c r="E3225">
        <v>100136</v>
      </c>
      <c r="F3225">
        <v>37504</v>
      </c>
      <c r="G3225" t="str">
        <f t="shared" si="266"/>
        <v>37504</v>
      </c>
      <c r="H3225" t="s">
        <v>567</v>
      </c>
      <c r="I3225" t="s">
        <v>1265</v>
      </c>
      <c r="J3225" t="s">
        <v>1266</v>
      </c>
      <c r="K3225" t="s">
        <v>1267</v>
      </c>
      <c r="L3225" t="s">
        <v>1263</v>
      </c>
      <c r="M3225" t="s">
        <v>1268</v>
      </c>
      <c r="N3225">
        <v>1</v>
      </c>
      <c r="O3225" t="str">
        <f t="shared" si="269"/>
        <v>42</v>
      </c>
      <c r="P3225">
        <v>42</v>
      </c>
      <c r="R3225" t="s">
        <v>1269</v>
      </c>
      <c r="S3225">
        <v>1.2</v>
      </c>
      <c r="T3225">
        <v>0.18790000000000001</v>
      </c>
      <c r="U3225">
        <f t="shared" si="270"/>
        <v>0</v>
      </c>
      <c r="V3225" t="str">
        <f t="shared" si="267"/>
        <v>Middle Counselor</v>
      </c>
      <c r="W3225" t="str">
        <f t="shared" si="268"/>
        <v>Counselor</v>
      </c>
    </row>
    <row r="3226" spans="1:23" x14ac:dyDescent="0.25">
      <c r="A3226">
        <v>37504</v>
      </c>
      <c r="B3226" t="s">
        <v>1289</v>
      </c>
      <c r="C3226">
        <v>3.4</v>
      </c>
      <c r="D3226" t="s">
        <v>1264</v>
      </c>
      <c r="E3226">
        <v>100136</v>
      </c>
      <c r="F3226">
        <v>37504</v>
      </c>
      <c r="G3226" t="str">
        <f t="shared" si="266"/>
        <v>37504</v>
      </c>
      <c r="H3226" t="s">
        <v>567</v>
      </c>
      <c r="I3226" t="s">
        <v>1265</v>
      </c>
      <c r="J3226" t="s">
        <v>1276</v>
      </c>
      <c r="K3226" t="s">
        <v>1277</v>
      </c>
      <c r="L3226" t="s">
        <v>1289</v>
      </c>
      <c r="M3226" t="s">
        <v>1307</v>
      </c>
      <c r="N3226">
        <v>21</v>
      </c>
      <c r="O3226" t="str">
        <f t="shared" si="269"/>
        <v>43</v>
      </c>
      <c r="P3226">
        <v>43</v>
      </c>
      <c r="R3226" t="s">
        <v>1269</v>
      </c>
      <c r="S3226">
        <v>3.4</v>
      </c>
      <c r="T3226">
        <v>0.18790000000000001</v>
      </c>
      <c r="U3226">
        <f t="shared" si="270"/>
        <v>0.63900000000000001</v>
      </c>
      <c r="V3226" t="str">
        <f t="shared" si="267"/>
        <v>Elementary Occupational Therapist</v>
      </c>
      <c r="W3226" t="str">
        <f t="shared" si="268"/>
        <v>Occupational Therapist</v>
      </c>
    </row>
    <row r="3227" spans="1:23" x14ac:dyDescent="0.25">
      <c r="A3227">
        <v>37504</v>
      </c>
      <c r="B3227" t="s">
        <v>1294</v>
      </c>
      <c r="C3227">
        <v>3.25</v>
      </c>
      <c r="D3227" t="s">
        <v>1264</v>
      </c>
      <c r="E3227">
        <v>100136</v>
      </c>
      <c r="F3227">
        <v>37504</v>
      </c>
      <c r="G3227" t="str">
        <f t="shared" si="266"/>
        <v>37504</v>
      </c>
      <c r="H3227" t="s">
        <v>567</v>
      </c>
      <c r="I3227" t="s">
        <v>1265</v>
      </c>
      <c r="J3227" t="s">
        <v>1276</v>
      </c>
      <c r="K3227" t="s">
        <v>1277</v>
      </c>
      <c r="L3227" t="s">
        <v>1294</v>
      </c>
      <c r="M3227" t="s">
        <v>1354</v>
      </c>
      <c r="N3227">
        <v>21</v>
      </c>
      <c r="O3227" t="str">
        <f t="shared" si="269"/>
        <v>45</v>
      </c>
      <c r="P3227">
        <v>45</v>
      </c>
      <c r="R3227" t="s">
        <v>1269</v>
      </c>
      <c r="S3227">
        <v>3.25</v>
      </c>
      <c r="T3227">
        <v>0.18790000000000001</v>
      </c>
      <c r="U3227">
        <f t="shared" si="270"/>
        <v>0.61099999999999999</v>
      </c>
      <c r="V3227" t="str">
        <f t="shared" si="267"/>
        <v>Elementary Speech, Language Pathway/
Audio</v>
      </c>
      <c r="W3227" t="str">
        <f t="shared" si="268"/>
        <v>Speech, Language Pathway/
Audio</v>
      </c>
    </row>
    <row r="3228" spans="1:23" x14ac:dyDescent="0.25">
      <c r="A3228">
        <v>37504</v>
      </c>
      <c r="B3228" t="s">
        <v>1326</v>
      </c>
      <c r="C3228">
        <v>1.6</v>
      </c>
      <c r="D3228" t="s">
        <v>1264</v>
      </c>
      <c r="E3228">
        <v>100136</v>
      </c>
      <c r="F3228">
        <v>37504</v>
      </c>
      <c r="G3228" t="str">
        <f t="shared" si="266"/>
        <v>37504</v>
      </c>
      <c r="H3228" t="s">
        <v>567</v>
      </c>
      <c r="I3228" t="s">
        <v>1265</v>
      </c>
      <c r="J3228" t="s">
        <v>1271</v>
      </c>
      <c r="K3228" t="s">
        <v>1272</v>
      </c>
      <c r="L3228" t="s">
        <v>1326</v>
      </c>
      <c r="M3228" t="s">
        <v>1353</v>
      </c>
      <c r="N3228">
        <v>21</v>
      </c>
      <c r="O3228" t="str">
        <f t="shared" si="269"/>
        <v>45</v>
      </c>
      <c r="P3228">
        <v>45</v>
      </c>
      <c r="R3228" t="s">
        <v>1269</v>
      </c>
      <c r="S3228">
        <v>1.6</v>
      </c>
      <c r="T3228">
        <v>0.18790000000000001</v>
      </c>
      <c r="U3228">
        <f t="shared" si="270"/>
        <v>0.30099999999999999</v>
      </c>
      <c r="V3228" t="str">
        <f t="shared" si="267"/>
        <v>High Speech, Language Pathway/
Audio</v>
      </c>
      <c r="W3228" t="str">
        <f t="shared" si="268"/>
        <v>Speech, Language Pathway/
Audio</v>
      </c>
    </row>
    <row r="3229" spans="1:23" x14ac:dyDescent="0.25">
      <c r="A3229">
        <v>37504</v>
      </c>
      <c r="B3229" t="s">
        <v>1312</v>
      </c>
      <c r="C3229">
        <v>1</v>
      </c>
      <c r="D3229" t="s">
        <v>1264</v>
      </c>
      <c r="E3229">
        <v>100136</v>
      </c>
      <c r="F3229">
        <v>37504</v>
      </c>
      <c r="G3229" t="str">
        <f t="shared" si="266"/>
        <v>37504</v>
      </c>
      <c r="H3229" t="s">
        <v>567</v>
      </c>
      <c r="I3229" t="s">
        <v>1265</v>
      </c>
      <c r="J3229" t="s">
        <v>1266</v>
      </c>
      <c r="K3229" t="s">
        <v>1267</v>
      </c>
      <c r="L3229" t="s">
        <v>1312</v>
      </c>
      <c r="M3229" t="s">
        <v>1351</v>
      </c>
      <c r="N3229">
        <v>21</v>
      </c>
      <c r="O3229" t="str">
        <f t="shared" si="269"/>
        <v>45</v>
      </c>
      <c r="P3229">
        <v>45</v>
      </c>
      <c r="R3229" t="s">
        <v>1269</v>
      </c>
      <c r="S3229">
        <v>1</v>
      </c>
      <c r="T3229">
        <v>0.18790000000000001</v>
      </c>
      <c r="U3229">
        <f t="shared" si="270"/>
        <v>0.188</v>
      </c>
      <c r="V3229" t="str">
        <f t="shared" si="267"/>
        <v>Middle Speech, Language Pathway/
Audio</v>
      </c>
      <c r="W3229" t="str">
        <f t="shared" si="268"/>
        <v>Speech, Language Pathway/
Audio</v>
      </c>
    </row>
    <row r="3230" spans="1:23" x14ac:dyDescent="0.25">
      <c r="A3230">
        <v>37504</v>
      </c>
      <c r="B3230" t="s">
        <v>1298</v>
      </c>
      <c r="C3230">
        <v>3.33</v>
      </c>
      <c r="D3230" t="s">
        <v>1264</v>
      </c>
      <c r="E3230">
        <v>100136</v>
      </c>
      <c r="F3230">
        <v>37504</v>
      </c>
      <c r="G3230" t="str">
        <f t="shared" si="266"/>
        <v>37504</v>
      </c>
      <c r="H3230" t="s">
        <v>567</v>
      </c>
      <c r="I3230" t="s">
        <v>1265</v>
      </c>
      <c r="J3230" t="s">
        <v>1276</v>
      </c>
      <c r="K3230" t="s">
        <v>1277</v>
      </c>
      <c r="L3230" t="s">
        <v>1298</v>
      </c>
      <c r="M3230" t="s">
        <v>1349</v>
      </c>
      <c r="N3230">
        <v>21</v>
      </c>
      <c r="O3230" t="str">
        <f t="shared" si="269"/>
        <v>46</v>
      </c>
      <c r="P3230">
        <v>46</v>
      </c>
      <c r="R3230" t="s">
        <v>1269</v>
      </c>
      <c r="S3230">
        <v>3.33</v>
      </c>
      <c r="T3230">
        <v>0.18790000000000001</v>
      </c>
      <c r="U3230">
        <f t="shared" si="270"/>
        <v>0.626</v>
      </c>
      <c r="V3230" t="str">
        <f t="shared" si="267"/>
        <v>Elementary Psychologist</v>
      </c>
      <c r="W3230" t="str">
        <f t="shared" si="268"/>
        <v>Psychologist</v>
      </c>
    </row>
    <row r="3231" spans="1:23" x14ac:dyDescent="0.25">
      <c r="A3231">
        <v>37504</v>
      </c>
      <c r="B3231" t="s">
        <v>1309</v>
      </c>
      <c r="C3231">
        <v>1</v>
      </c>
      <c r="D3231" t="s">
        <v>1264</v>
      </c>
      <c r="E3231">
        <v>100136</v>
      </c>
      <c r="F3231">
        <v>37504</v>
      </c>
      <c r="G3231" t="str">
        <f t="shared" si="266"/>
        <v>37504</v>
      </c>
      <c r="H3231" t="s">
        <v>567</v>
      </c>
      <c r="I3231" t="s">
        <v>1265</v>
      </c>
      <c r="J3231" t="s">
        <v>1271</v>
      </c>
      <c r="K3231" t="s">
        <v>1272</v>
      </c>
      <c r="L3231" t="s">
        <v>1309</v>
      </c>
      <c r="M3231" t="s">
        <v>1310</v>
      </c>
      <c r="N3231">
        <v>21</v>
      </c>
      <c r="O3231" t="str">
        <f t="shared" si="269"/>
        <v>46</v>
      </c>
      <c r="P3231">
        <v>46</v>
      </c>
      <c r="R3231" t="s">
        <v>1269</v>
      </c>
      <c r="S3231">
        <v>1</v>
      </c>
      <c r="T3231">
        <v>0.18790000000000001</v>
      </c>
      <c r="U3231">
        <f t="shared" si="270"/>
        <v>0.188</v>
      </c>
      <c r="V3231" t="str">
        <f t="shared" si="267"/>
        <v>High Psychologist</v>
      </c>
      <c r="W3231" t="str">
        <f t="shared" si="268"/>
        <v>Psychologist</v>
      </c>
    </row>
    <row r="3232" spans="1:23" x14ac:dyDescent="0.25">
      <c r="A3232">
        <v>37504</v>
      </c>
      <c r="B3232" t="s">
        <v>1345</v>
      </c>
      <c r="C3232">
        <v>0.67</v>
      </c>
      <c r="D3232" t="s">
        <v>1264</v>
      </c>
      <c r="E3232">
        <v>100136</v>
      </c>
      <c r="F3232">
        <v>37504</v>
      </c>
      <c r="G3232" t="str">
        <f t="shared" si="266"/>
        <v>37504</v>
      </c>
      <c r="H3232" t="s">
        <v>567</v>
      </c>
      <c r="I3232" t="s">
        <v>1265</v>
      </c>
      <c r="J3232" t="s">
        <v>1266</v>
      </c>
      <c r="K3232" t="s">
        <v>1267</v>
      </c>
      <c r="L3232" t="s">
        <v>1345</v>
      </c>
      <c r="M3232" t="s">
        <v>1346</v>
      </c>
      <c r="N3232">
        <v>21</v>
      </c>
      <c r="O3232" t="str">
        <f t="shared" si="269"/>
        <v>46</v>
      </c>
      <c r="P3232">
        <v>46</v>
      </c>
      <c r="R3232" t="s">
        <v>1269</v>
      </c>
      <c r="S3232">
        <v>0.67</v>
      </c>
      <c r="T3232">
        <v>0.18790000000000001</v>
      </c>
      <c r="U3232">
        <f t="shared" si="270"/>
        <v>0.126</v>
      </c>
      <c r="V3232" t="str">
        <f t="shared" si="267"/>
        <v>Middle Psychologist</v>
      </c>
      <c r="W3232" t="str">
        <f t="shared" si="268"/>
        <v>Psychologist</v>
      </c>
    </row>
    <row r="3233" spans="1:23" x14ac:dyDescent="0.25">
      <c r="A3233">
        <v>37504</v>
      </c>
      <c r="B3233" t="s">
        <v>1335</v>
      </c>
      <c r="C3233">
        <v>1</v>
      </c>
      <c r="D3233" t="s">
        <v>1264</v>
      </c>
      <c r="E3233">
        <v>100136</v>
      </c>
      <c r="F3233">
        <v>37504</v>
      </c>
      <c r="G3233" t="str">
        <f t="shared" si="266"/>
        <v>37504</v>
      </c>
      <c r="H3233" t="s">
        <v>567</v>
      </c>
      <c r="I3233" t="s">
        <v>1265</v>
      </c>
      <c r="J3233" t="s">
        <v>1276</v>
      </c>
      <c r="K3233" t="s">
        <v>1277</v>
      </c>
      <c r="L3233" t="s">
        <v>1335</v>
      </c>
      <c r="M3233" t="s">
        <v>1344</v>
      </c>
      <c r="N3233">
        <v>1</v>
      </c>
      <c r="O3233" t="str">
        <f t="shared" si="269"/>
        <v>47</v>
      </c>
      <c r="P3233">
        <v>47</v>
      </c>
      <c r="R3233" t="s">
        <v>1269</v>
      </c>
      <c r="S3233">
        <v>1</v>
      </c>
      <c r="T3233">
        <v>0.18790000000000001</v>
      </c>
      <c r="U3233">
        <f t="shared" si="270"/>
        <v>0</v>
      </c>
      <c r="V3233" t="str">
        <f t="shared" si="267"/>
        <v>Elementary Nurse</v>
      </c>
      <c r="W3233" t="str">
        <f t="shared" si="268"/>
        <v>Nurse</v>
      </c>
    </row>
    <row r="3234" spans="1:23" x14ac:dyDescent="0.25">
      <c r="A3234">
        <v>37504</v>
      </c>
      <c r="B3234" t="s">
        <v>1338</v>
      </c>
      <c r="C3234">
        <v>1</v>
      </c>
      <c r="D3234" t="s">
        <v>1264</v>
      </c>
      <c r="E3234">
        <v>100136</v>
      </c>
      <c r="F3234">
        <v>37504</v>
      </c>
      <c r="G3234" t="str">
        <f t="shared" si="266"/>
        <v>37504</v>
      </c>
      <c r="H3234" t="s">
        <v>567</v>
      </c>
      <c r="I3234" t="s">
        <v>1265</v>
      </c>
      <c r="J3234" t="s">
        <v>1266</v>
      </c>
      <c r="K3234" t="s">
        <v>1267</v>
      </c>
      <c r="L3234" t="s">
        <v>1338</v>
      </c>
      <c r="M3234" t="s">
        <v>1339</v>
      </c>
      <c r="N3234">
        <v>1</v>
      </c>
      <c r="O3234" t="str">
        <f t="shared" si="269"/>
        <v>47</v>
      </c>
      <c r="P3234">
        <v>47</v>
      </c>
      <c r="R3234" t="s">
        <v>1269</v>
      </c>
      <c r="S3234">
        <v>1</v>
      </c>
      <c r="T3234">
        <v>0.18790000000000001</v>
      </c>
      <c r="U3234">
        <f t="shared" si="270"/>
        <v>0</v>
      </c>
      <c r="V3234" t="str">
        <f t="shared" si="267"/>
        <v>Middle Nurse</v>
      </c>
      <c r="W3234" t="str">
        <f t="shared" si="268"/>
        <v>Nurse</v>
      </c>
    </row>
    <row r="3235" spans="1:23" x14ac:dyDescent="0.25">
      <c r="A3235">
        <v>37505</v>
      </c>
      <c r="B3235" t="s">
        <v>1297</v>
      </c>
      <c r="C3235">
        <v>0.20599999999999999</v>
      </c>
      <c r="D3235" t="s">
        <v>1264</v>
      </c>
      <c r="E3235">
        <v>100147</v>
      </c>
      <c r="F3235">
        <v>37505</v>
      </c>
      <c r="G3235" t="str">
        <f t="shared" si="266"/>
        <v>37505</v>
      </c>
      <c r="H3235" t="s">
        <v>568</v>
      </c>
      <c r="I3235" t="s">
        <v>1265</v>
      </c>
      <c r="J3235" t="s">
        <v>1276</v>
      </c>
      <c r="K3235" t="s">
        <v>1277</v>
      </c>
      <c r="L3235" t="s">
        <v>1297</v>
      </c>
      <c r="M3235" t="s">
        <v>1381</v>
      </c>
      <c r="N3235">
        <v>1</v>
      </c>
      <c r="O3235" t="str">
        <f t="shared" si="269"/>
        <v>24</v>
      </c>
      <c r="P3235">
        <v>96</v>
      </c>
      <c r="Q3235">
        <v>24</v>
      </c>
      <c r="R3235" t="s">
        <v>1269</v>
      </c>
      <c r="S3235">
        <v>0.20599999999999999</v>
      </c>
      <c r="T3235">
        <v>0.1925</v>
      </c>
      <c r="U3235">
        <f t="shared" si="270"/>
        <v>0</v>
      </c>
      <c r="V3235" t="str">
        <f t="shared" si="267"/>
        <v>Elementary Family Engagement Coordinator</v>
      </c>
      <c r="W3235" t="str">
        <f t="shared" si="268"/>
        <v>Family Engagement Coordinator</v>
      </c>
    </row>
    <row r="3236" spans="1:23" x14ac:dyDescent="0.25">
      <c r="A3236">
        <v>37505</v>
      </c>
      <c r="B3236" t="s">
        <v>1286</v>
      </c>
      <c r="C3236">
        <v>0.90100000000000002</v>
      </c>
      <c r="D3236" t="s">
        <v>1264</v>
      </c>
      <c r="E3236">
        <v>100147</v>
      </c>
      <c r="F3236">
        <v>37505</v>
      </c>
      <c r="G3236" t="str">
        <f t="shared" si="266"/>
        <v>37505</v>
      </c>
      <c r="H3236" t="s">
        <v>568</v>
      </c>
      <c r="I3236" t="s">
        <v>1265</v>
      </c>
      <c r="J3236" t="s">
        <v>1271</v>
      </c>
      <c r="K3236" t="s">
        <v>1272</v>
      </c>
      <c r="L3236" t="s">
        <v>1286</v>
      </c>
      <c r="M3236" t="s">
        <v>1287</v>
      </c>
      <c r="N3236">
        <v>1</v>
      </c>
      <c r="O3236" t="str">
        <f t="shared" si="269"/>
        <v>24</v>
      </c>
      <c r="P3236">
        <v>96</v>
      </c>
      <c r="Q3236">
        <v>24</v>
      </c>
      <c r="R3236" t="s">
        <v>1269</v>
      </c>
      <c r="S3236">
        <v>0.90100000000000002</v>
      </c>
      <c r="T3236">
        <v>0.1925</v>
      </c>
      <c r="U3236">
        <f t="shared" si="270"/>
        <v>0</v>
      </c>
      <c r="V3236" t="str">
        <f t="shared" si="267"/>
        <v>High Family Engagement Coordinator</v>
      </c>
      <c r="W3236" t="str">
        <f t="shared" si="268"/>
        <v>Family Engagement Coordinator</v>
      </c>
    </row>
    <row r="3237" spans="1:23" x14ac:dyDescent="0.25">
      <c r="A3237">
        <v>37505</v>
      </c>
      <c r="B3237" t="s">
        <v>1284</v>
      </c>
      <c r="C3237">
        <v>0.10299999999999999</v>
      </c>
      <c r="D3237" t="s">
        <v>1264</v>
      </c>
      <c r="E3237">
        <v>100147</v>
      </c>
      <c r="F3237">
        <v>37505</v>
      </c>
      <c r="G3237" t="str">
        <f t="shared" si="266"/>
        <v>37505</v>
      </c>
      <c r="H3237" t="s">
        <v>568</v>
      </c>
      <c r="I3237" t="s">
        <v>1265</v>
      </c>
      <c r="J3237" t="s">
        <v>1266</v>
      </c>
      <c r="K3237" t="s">
        <v>1267</v>
      </c>
      <c r="L3237" t="s">
        <v>1284</v>
      </c>
      <c r="M3237" t="s">
        <v>1285</v>
      </c>
      <c r="N3237">
        <v>1</v>
      </c>
      <c r="O3237" t="str">
        <f t="shared" si="269"/>
        <v>24</v>
      </c>
      <c r="P3237">
        <v>96</v>
      </c>
      <c r="Q3237">
        <v>24</v>
      </c>
      <c r="R3237" t="s">
        <v>1269</v>
      </c>
      <c r="S3237">
        <v>0.10299999999999999</v>
      </c>
      <c r="T3237">
        <v>0.1925</v>
      </c>
      <c r="U3237">
        <f t="shared" si="270"/>
        <v>0</v>
      </c>
      <c r="V3237" t="str">
        <f t="shared" si="267"/>
        <v>Middle Family Engagement Coordinator</v>
      </c>
      <c r="W3237" t="str">
        <f t="shared" si="268"/>
        <v>Family Engagement Coordinator</v>
      </c>
    </row>
    <row r="3238" spans="1:23" x14ac:dyDescent="0.25">
      <c r="A3238">
        <v>37505</v>
      </c>
      <c r="B3238" t="s">
        <v>1308</v>
      </c>
      <c r="C3238">
        <v>2.9169999999999998</v>
      </c>
      <c r="D3238" t="s">
        <v>1264</v>
      </c>
      <c r="E3238">
        <v>100147</v>
      </c>
      <c r="F3238">
        <v>37505</v>
      </c>
      <c r="G3238" t="str">
        <f t="shared" si="266"/>
        <v>37505</v>
      </c>
      <c r="H3238" t="s">
        <v>568</v>
      </c>
      <c r="I3238" t="s">
        <v>1265</v>
      </c>
      <c r="J3238" t="s">
        <v>1276</v>
      </c>
      <c r="K3238" t="s">
        <v>1277</v>
      </c>
      <c r="L3238" t="s">
        <v>1308</v>
      </c>
      <c r="M3238" t="s">
        <v>1389</v>
      </c>
      <c r="N3238">
        <v>1</v>
      </c>
      <c r="O3238" t="str">
        <f t="shared" si="269"/>
        <v>25</v>
      </c>
      <c r="Q3238">
        <v>25</v>
      </c>
      <c r="R3238" t="s">
        <v>1269</v>
      </c>
      <c r="S3238">
        <v>2.9169999999999998</v>
      </c>
      <c r="T3238">
        <v>0.1925</v>
      </c>
      <c r="U3238">
        <f t="shared" si="270"/>
        <v>0</v>
      </c>
      <c r="V3238" t="str">
        <f t="shared" si="267"/>
        <v>Elementary Pupil Management</v>
      </c>
      <c r="W3238" t="str">
        <f t="shared" si="268"/>
        <v>Pupil Management</v>
      </c>
    </row>
    <row r="3239" spans="1:23" x14ac:dyDescent="0.25">
      <c r="A3239">
        <v>37505</v>
      </c>
      <c r="B3239" t="s">
        <v>1383</v>
      </c>
      <c r="C3239">
        <v>0.84299999999999997</v>
      </c>
      <c r="D3239" t="s">
        <v>1264</v>
      </c>
      <c r="E3239">
        <v>100147</v>
      </c>
      <c r="F3239">
        <v>37505</v>
      </c>
      <c r="G3239" t="str">
        <f t="shared" si="266"/>
        <v>37505</v>
      </c>
      <c r="H3239" t="s">
        <v>568</v>
      </c>
      <c r="I3239" t="s">
        <v>1265</v>
      </c>
      <c r="J3239" t="s">
        <v>1271</v>
      </c>
      <c r="K3239" t="s">
        <v>1272</v>
      </c>
      <c r="L3239" t="s">
        <v>1383</v>
      </c>
      <c r="M3239" t="s">
        <v>1409</v>
      </c>
      <c r="N3239">
        <v>21</v>
      </c>
      <c r="O3239" t="str">
        <f t="shared" si="269"/>
        <v>25</v>
      </c>
      <c r="Q3239">
        <v>25</v>
      </c>
      <c r="R3239" t="s">
        <v>1269</v>
      </c>
      <c r="S3239">
        <v>0.84299999999999997</v>
      </c>
      <c r="T3239">
        <v>0.1925</v>
      </c>
      <c r="U3239">
        <f t="shared" si="270"/>
        <v>0.16200000000000001</v>
      </c>
      <c r="V3239" t="str">
        <f t="shared" si="267"/>
        <v>High Pupil Management</v>
      </c>
      <c r="W3239" t="str">
        <f t="shared" si="268"/>
        <v>Pupil Management</v>
      </c>
    </row>
    <row r="3240" spans="1:23" x14ac:dyDescent="0.25">
      <c r="A3240">
        <v>37505</v>
      </c>
      <c r="B3240" t="s">
        <v>1363</v>
      </c>
      <c r="C3240">
        <v>4.4999999999999998E-2</v>
      </c>
      <c r="D3240" t="s">
        <v>1264</v>
      </c>
      <c r="E3240">
        <v>100147</v>
      </c>
      <c r="F3240">
        <v>37505</v>
      </c>
      <c r="G3240" t="str">
        <f t="shared" si="266"/>
        <v>37505</v>
      </c>
      <c r="H3240" t="s">
        <v>568</v>
      </c>
      <c r="I3240" t="s">
        <v>1265</v>
      </c>
      <c r="J3240" t="s">
        <v>1266</v>
      </c>
      <c r="K3240" t="s">
        <v>1267</v>
      </c>
      <c r="L3240" t="s">
        <v>1363</v>
      </c>
      <c r="M3240" t="s">
        <v>1386</v>
      </c>
      <c r="N3240">
        <v>1</v>
      </c>
      <c r="O3240" t="str">
        <f t="shared" si="269"/>
        <v>25</v>
      </c>
      <c r="Q3240">
        <v>25</v>
      </c>
      <c r="R3240" t="s">
        <v>1269</v>
      </c>
      <c r="S3240">
        <v>4.4999999999999998E-2</v>
      </c>
      <c r="T3240">
        <v>0.1925</v>
      </c>
      <c r="U3240">
        <f t="shared" si="270"/>
        <v>0</v>
      </c>
      <c r="V3240" t="str">
        <f t="shared" si="267"/>
        <v>Middle Pupil Management</v>
      </c>
      <c r="W3240" t="str">
        <f t="shared" si="268"/>
        <v>Pupil Management</v>
      </c>
    </row>
    <row r="3241" spans="1:23" x14ac:dyDescent="0.25">
      <c r="A3241">
        <v>37505</v>
      </c>
      <c r="B3241" t="s">
        <v>1315</v>
      </c>
      <c r="C3241">
        <v>0.54100000000000004</v>
      </c>
      <c r="D3241" t="s">
        <v>1264</v>
      </c>
      <c r="E3241">
        <v>100147</v>
      </c>
      <c r="F3241">
        <v>37505</v>
      </c>
      <c r="G3241" t="str">
        <f t="shared" si="266"/>
        <v>37505</v>
      </c>
      <c r="H3241" t="s">
        <v>568</v>
      </c>
      <c r="I3241" t="s">
        <v>1265</v>
      </c>
      <c r="J3241" t="s">
        <v>1276</v>
      </c>
      <c r="K3241" t="s">
        <v>1277</v>
      </c>
      <c r="L3241" t="s">
        <v>1315</v>
      </c>
      <c r="M3241" t="s">
        <v>1375</v>
      </c>
      <c r="N3241">
        <v>1</v>
      </c>
      <c r="O3241" t="str">
        <f t="shared" si="269"/>
        <v>26</v>
      </c>
      <c r="Q3241">
        <v>26</v>
      </c>
      <c r="R3241" t="s">
        <v>1269</v>
      </c>
      <c r="S3241">
        <v>0.54100000000000004</v>
      </c>
      <c r="T3241">
        <v>0.1925</v>
      </c>
      <c r="U3241">
        <f t="shared" si="270"/>
        <v>0</v>
      </c>
      <c r="V3241" t="str">
        <f t="shared" si="267"/>
        <v>Elementary Health/
Related Services</v>
      </c>
      <c r="W3241" t="str">
        <f t="shared" si="268"/>
        <v>Health/
Related Services</v>
      </c>
    </row>
    <row r="3242" spans="1:23" x14ac:dyDescent="0.25">
      <c r="A3242">
        <v>37505</v>
      </c>
      <c r="B3242" t="s">
        <v>1291</v>
      </c>
      <c r="C3242">
        <v>0.54100000000000004</v>
      </c>
      <c r="D3242" t="s">
        <v>1264</v>
      </c>
      <c r="E3242">
        <v>100147</v>
      </c>
      <c r="F3242">
        <v>37505</v>
      </c>
      <c r="G3242" t="str">
        <f t="shared" si="266"/>
        <v>37505</v>
      </c>
      <c r="H3242" t="s">
        <v>568</v>
      </c>
      <c r="I3242" t="s">
        <v>1265</v>
      </c>
      <c r="J3242" t="s">
        <v>1266</v>
      </c>
      <c r="K3242" t="s">
        <v>1267</v>
      </c>
      <c r="L3242" t="s">
        <v>1291</v>
      </c>
      <c r="M3242" t="s">
        <v>1292</v>
      </c>
      <c r="N3242">
        <v>1</v>
      </c>
      <c r="O3242" t="str">
        <f t="shared" si="269"/>
        <v>26</v>
      </c>
      <c r="Q3242">
        <v>26</v>
      </c>
      <c r="R3242" t="s">
        <v>1269</v>
      </c>
      <c r="S3242">
        <v>0.54100000000000004</v>
      </c>
      <c r="T3242">
        <v>0.1925</v>
      </c>
      <c r="U3242">
        <f t="shared" si="270"/>
        <v>0</v>
      </c>
      <c r="V3242" t="str">
        <f t="shared" si="267"/>
        <v>Middle Health/
Related Services</v>
      </c>
      <c r="W3242" t="str">
        <f t="shared" si="268"/>
        <v>Health/
Related Services</v>
      </c>
    </row>
    <row r="3243" spans="1:23" x14ac:dyDescent="0.25">
      <c r="A3243">
        <v>37505</v>
      </c>
      <c r="B3243" t="s">
        <v>1275</v>
      </c>
      <c r="C3243">
        <v>2.1869999999999998</v>
      </c>
      <c r="D3243" t="s">
        <v>1264</v>
      </c>
      <c r="E3243">
        <v>100147</v>
      </c>
      <c r="F3243">
        <v>37505</v>
      </c>
      <c r="G3243" t="str">
        <f t="shared" si="266"/>
        <v>37505</v>
      </c>
      <c r="H3243" t="s">
        <v>568</v>
      </c>
      <c r="I3243" t="s">
        <v>1265</v>
      </c>
      <c r="J3243" t="s">
        <v>1276</v>
      </c>
      <c r="K3243" t="s">
        <v>1277</v>
      </c>
      <c r="L3243" t="s">
        <v>1275</v>
      </c>
      <c r="M3243" t="s">
        <v>1278</v>
      </c>
      <c r="N3243">
        <v>1</v>
      </c>
      <c r="O3243" t="str">
        <f t="shared" si="269"/>
        <v>42</v>
      </c>
      <c r="P3243">
        <v>42</v>
      </c>
      <c r="R3243" t="s">
        <v>1269</v>
      </c>
      <c r="S3243">
        <v>2.1869999999999998</v>
      </c>
      <c r="T3243">
        <v>0.1925</v>
      </c>
      <c r="U3243">
        <f t="shared" si="270"/>
        <v>0</v>
      </c>
      <c r="V3243" t="str">
        <f t="shared" si="267"/>
        <v>Elementary Counselor</v>
      </c>
      <c r="W3243" t="str">
        <f t="shared" si="268"/>
        <v>Counselor</v>
      </c>
    </row>
    <row r="3244" spans="1:23" x14ac:dyDescent="0.25">
      <c r="A3244">
        <v>37505</v>
      </c>
      <c r="B3244" t="s">
        <v>1270</v>
      </c>
      <c r="C3244">
        <v>1.976</v>
      </c>
      <c r="D3244" t="s">
        <v>1264</v>
      </c>
      <c r="E3244">
        <v>100147</v>
      </c>
      <c r="F3244">
        <v>37505</v>
      </c>
      <c r="G3244" t="str">
        <f t="shared" si="266"/>
        <v>37505</v>
      </c>
      <c r="H3244" t="s">
        <v>568</v>
      </c>
      <c r="I3244" t="s">
        <v>1265</v>
      </c>
      <c r="J3244" t="s">
        <v>1271</v>
      </c>
      <c r="K3244" t="s">
        <v>1272</v>
      </c>
      <c r="L3244" t="s">
        <v>1270</v>
      </c>
      <c r="M3244" t="s">
        <v>1273</v>
      </c>
      <c r="N3244">
        <v>1</v>
      </c>
      <c r="O3244" t="str">
        <f t="shared" si="269"/>
        <v>42</v>
      </c>
      <c r="P3244">
        <v>42</v>
      </c>
      <c r="R3244" t="s">
        <v>1269</v>
      </c>
      <c r="S3244">
        <v>1.976</v>
      </c>
      <c r="T3244">
        <v>0.1925</v>
      </c>
      <c r="U3244">
        <f t="shared" si="270"/>
        <v>0</v>
      </c>
      <c r="V3244" t="str">
        <f t="shared" si="267"/>
        <v>High Counselor</v>
      </c>
      <c r="W3244" t="str">
        <f t="shared" si="268"/>
        <v>Counselor</v>
      </c>
    </row>
    <row r="3245" spans="1:23" x14ac:dyDescent="0.25">
      <c r="A3245">
        <v>37505</v>
      </c>
      <c r="B3245" t="s">
        <v>1263</v>
      </c>
      <c r="C3245">
        <v>1.387</v>
      </c>
      <c r="D3245" t="s">
        <v>1264</v>
      </c>
      <c r="E3245">
        <v>100147</v>
      </c>
      <c r="F3245">
        <v>37505</v>
      </c>
      <c r="G3245" t="str">
        <f t="shared" si="266"/>
        <v>37505</v>
      </c>
      <c r="H3245" t="s">
        <v>568</v>
      </c>
      <c r="I3245" t="s">
        <v>1265</v>
      </c>
      <c r="J3245" t="s">
        <v>1266</v>
      </c>
      <c r="K3245" t="s">
        <v>1267</v>
      </c>
      <c r="L3245" t="s">
        <v>1263</v>
      </c>
      <c r="M3245" t="s">
        <v>1268</v>
      </c>
      <c r="N3245">
        <v>1</v>
      </c>
      <c r="O3245" t="str">
        <f t="shared" si="269"/>
        <v>42</v>
      </c>
      <c r="P3245">
        <v>42</v>
      </c>
      <c r="R3245" t="s">
        <v>1269</v>
      </c>
      <c r="S3245">
        <v>1.387</v>
      </c>
      <c r="T3245">
        <v>0.1925</v>
      </c>
      <c r="U3245">
        <f t="shared" si="270"/>
        <v>0</v>
      </c>
      <c r="V3245" t="str">
        <f t="shared" si="267"/>
        <v>Middle Counselor</v>
      </c>
      <c r="W3245" t="str">
        <f t="shared" si="268"/>
        <v>Counselor</v>
      </c>
    </row>
    <row r="3246" spans="1:23" x14ac:dyDescent="0.25">
      <c r="A3246">
        <v>37505</v>
      </c>
      <c r="B3246" t="s">
        <v>1289</v>
      </c>
      <c r="C3246">
        <v>0.67500000000000004</v>
      </c>
      <c r="D3246" t="s">
        <v>1264</v>
      </c>
      <c r="E3246">
        <v>100147</v>
      </c>
      <c r="F3246">
        <v>37505</v>
      </c>
      <c r="G3246" t="str">
        <f t="shared" si="266"/>
        <v>37505</v>
      </c>
      <c r="H3246" t="s">
        <v>568</v>
      </c>
      <c r="I3246" t="s">
        <v>1265</v>
      </c>
      <c r="J3246" t="s">
        <v>1276</v>
      </c>
      <c r="K3246" t="s">
        <v>1277</v>
      </c>
      <c r="L3246" t="s">
        <v>1289</v>
      </c>
      <c r="M3246" t="s">
        <v>1307</v>
      </c>
      <c r="N3246">
        <v>21</v>
      </c>
      <c r="O3246" t="str">
        <f t="shared" si="269"/>
        <v>43</v>
      </c>
      <c r="P3246">
        <v>43</v>
      </c>
      <c r="R3246" t="s">
        <v>1269</v>
      </c>
      <c r="S3246">
        <v>0.67500000000000004</v>
      </c>
      <c r="T3246">
        <v>0.1925</v>
      </c>
      <c r="U3246">
        <f t="shared" si="270"/>
        <v>0.13</v>
      </c>
      <c r="V3246" t="str">
        <f t="shared" si="267"/>
        <v>Elementary Occupational Therapist</v>
      </c>
      <c r="W3246" t="str">
        <f t="shared" si="268"/>
        <v>Occupational Therapist</v>
      </c>
    </row>
    <row r="3247" spans="1:23" x14ac:dyDescent="0.25">
      <c r="A3247">
        <v>37505</v>
      </c>
      <c r="B3247" t="s">
        <v>1387</v>
      </c>
      <c r="C3247">
        <v>0.432</v>
      </c>
      <c r="D3247" t="s">
        <v>1264</v>
      </c>
      <c r="E3247">
        <v>100147</v>
      </c>
      <c r="F3247">
        <v>37505</v>
      </c>
      <c r="G3247" t="str">
        <f t="shared" si="266"/>
        <v>37505</v>
      </c>
      <c r="H3247" t="s">
        <v>568</v>
      </c>
      <c r="I3247" t="s">
        <v>1265</v>
      </c>
      <c r="J3247" t="s">
        <v>1271</v>
      </c>
      <c r="K3247" t="s">
        <v>1272</v>
      </c>
      <c r="L3247" t="s">
        <v>1387</v>
      </c>
      <c r="M3247" t="s">
        <v>1406</v>
      </c>
      <c r="N3247">
        <v>21</v>
      </c>
      <c r="O3247" t="str">
        <f t="shared" si="269"/>
        <v>43</v>
      </c>
      <c r="P3247">
        <v>43</v>
      </c>
      <c r="R3247" t="s">
        <v>1269</v>
      </c>
      <c r="S3247">
        <v>0.432</v>
      </c>
      <c r="T3247">
        <v>0.1925</v>
      </c>
      <c r="U3247">
        <f t="shared" si="270"/>
        <v>8.3000000000000004E-2</v>
      </c>
      <c r="V3247" t="str">
        <f t="shared" si="267"/>
        <v>High Occupational Therapist</v>
      </c>
      <c r="W3247" t="str">
        <f t="shared" si="268"/>
        <v>Occupational Therapist</v>
      </c>
    </row>
    <row r="3248" spans="1:23" x14ac:dyDescent="0.25">
      <c r="A3248">
        <v>37505</v>
      </c>
      <c r="B3248" t="s">
        <v>1303</v>
      </c>
      <c r="C3248">
        <v>0.36799999999999999</v>
      </c>
      <c r="D3248" t="s">
        <v>1264</v>
      </c>
      <c r="E3248">
        <v>100147</v>
      </c>
      <c r="F3248">
        <v>37505</v>
      </c>
      <c r="G3248" t="str">
        <f t="shared" si="266"/>
        <v>37505</v>
      </c>
      <c r="H3248" t="s">
        <v>568</v>
      </c>
      <c r="I3248" t="s">
        <v>1265</v>
      </c>
      <c r="J3248" t="s">
        <v>1266</v>
      </c>
      <c r="K3248" t="s">
        <v>1267</v>
      </c>
      <c r="L3248" t="s">
        <v>1303</v>
      </c>
      <c r="M3248" t="s">
        <v>1304</v>
      </c>
      <c r="N3248">
        <v>21</v>
      </c>
      <c r="O3248" t="str">
        <f t="shared" si="269"/>
        <v>43</v>
      </c>
      <c r="P3248">
        <v>43</v>
      </c>
      <c r="R3248" t="s">
        <v>1269</v>
      </c>
      <c r="S3248">
        <v>0.36799999999999999</v>
      </c>
      <c r="T3248">
        <v>0.1925</v>
      </c>
      <c r="U3248">
        <f t="shared" si="270"/>
        <v>7.0999999999999994E-2</v>
      </c>
      <c r="V3248" t="str">
        <f t="shared" si="267"/>
        <v>Middle Occupational Therapist</v>
      </c>
      <c r="W3248" t="str">
        <f t="shared" si="268"/>
        <v>Occupational Therapist</v>
      </c>
    </row>
    <row r="3249" spans="1:23" x14ac:dyDescent="0.25">
      <c r="A3249">
        <v>37505</v>
      </c>
      <c r="B3249" t="s">
        <v>1294</v>
      </c>
      <c r="C3249">
        <v>0.55000000000000004</v>
      </c>
      <c r="D3249" t="s">
        <v>1264</v>
      </c>
      <c r="E3249">
        <v>100147</v>
      </c>
      <c r="F3249">
        <v>37505</v>
      </c>
      <c r="G3249" t="str">
        <f t="shared" si="266"/>
        <v>37505</v>
      </c>
      <c r="H3249" t="s">
        <v>568</v>
      </c>
      <c r="I3249" t="s">
        <v>1265</v>
      </c>
      <c r="J3249" t="s">
        <v>1276</v>
      </c>
      <c r="K3249" t="s">
        <v>1277</v>
      </c>
      <c r="L3249" t="s">
        <v>1294</v>
      </c>
      <c r="M3249" t="s">
        <v>1354</v>
      </c>
      <c r="N3249">
        <v>21</v>
      </c>
      <c r="O3249" t="str">
        <f t="shared" si="269"/>
        <v>45</v>
      </c>
      <c r="P3249">
        <v>45</v>
      </c>
      <c r="R3249" t="s">
        <v>1269</v>
      </c>
      <c r="S3249">
        <v>0.55000000000000004</v>
      </c>
      <c r="T3249">
        <v>0.1925</v>
      </c>
      <c r="U3249">
        <f t="shared" si="270"/>
        <v>0.106</v>
      </c>
      <c r="V3249" t="str">
        <f t="shared" si="267"/>
        <v>Elementary Speech, Language Pathway/
Audio</v>
      </c>
      <c r="W3249" t="str">
        <f t="shared" si="268"/>
        <v>Speech, Language Pathway/
Audio</v>
      </c>
    </row>
    <row r="3250" spans="1:23" x14ac:dyDescent="0.25">
      <c r="A3250">
        <v>37505</v>
      </c>
      <c r="B3250" t="s">
        <v>1326</v>
      </c>
      <c r="C3250">
        <v>0.28000000000000003</v>
      </c>
      <c r="D3250" t="s">
        <v>1264</v>
      </c>
      <c r="E3250">
        <v>100147</v>
      </c>
      <c r="F3250">
        <v>37505</v>
      </c>
      <c r="G3250" t="str">
        <f t="shared" si="266"/>
        <v>37505</v>
      </c>
      <c r="H3250" t="s">
        <v>568</v>
      </c>
      <c r="I3250" t="s">
        <v>1265</v>
      </c>
      <c r="J3250" t="s">
        <v>1271</v>
      </c>
      <c r="K3250" t="s">
        <v>1272</v>
      </c>
      <c r="L3250" t="s">
        <v>1326</v>
      </c>
      <c r="M3250" t="s">
        <v>1353</v>
      </c>
      <c r="N3250">
        <v>21</v>
      </c>
      <c r="O3250" t="str">
        <f t="shared" si="269"/>
        <v>45</v>
      </c>
      <c r="P3250">
        <v>45</v>
      </c>
      <c r="R3250" t="s">
        <v>1269</v>
      </c>
      <c r="S3250">
        <v>0.28000000000000003</v>
      </c>
      <c r="T3250">
        <v>0.1925</v>
      </c>
      <c r="U3250">
        <f t="shared" si="270"/>
        <v>5.3999999999999999E-2</v>
      </c>
      <c r="V3250" t="str">
        <f t="shared" si="267"/>
        <v>High Speech, Language Pathway/
Audio</v>
      </c>
      <c r="W3250" t="str">
        <f t="shared" si="268"/>
        <v>Speech, Language Pathway/
Audio</v>
      </c>
    </row>
    <row r="3251" spans="1:23" x14ac:dyDescent="0.25">
      <c r="A3251">
        <v>37505</v>
      </c>
      <c r="B3251" t="s">
        <v>1312</v>
      </c>
      <c r="C3251">
        <v>0.17</v>
      </c>
      <c r="D3251" t="s">
        <v>1264</v>
      </c>
      <c r="E3251">
        <v>100147</v>
      </c>
      <c r="F3251">
        <v>37505</v>
      </c>
      <c r="G3251" t="str">
        <f t="shared" si="266"/>
        <v>37505</v>
      </c>
      <c r="H3251" t="s">
        <v>568</v>
      </c>
      <c r="I3251" t="s">
        <v>1265</v>
      </c>
      <c r="J3251" t="s">
        <v>1266</v>
      </c>
      <c r="K3251" t="s">
        <v>1267</v>
      </c>
      <c r="L3251" t="s">
        <v>1312</v>
      </c>
      <c r="M3251" t="s">
        <v>1351</v>
      </c>
      <c r="N3251">
        <v>21</v>
      </c>
      <c r="O3251" t="str">
        <f t="shared" si="269"/>
        <v>45</v>
      </c>
      <c r="P3251">
        <v>45</v>
      </c>
      <c r="R3251" t="s">
        <v>1269</v>
      </c>
      <c r="S3251">
        <v>0.17</v>
      </c>
      <c r="T3251">
        <v>0.1925</v>
      </c>
      <c r="U3251">
        <f t="shared" si="270"/>
        <v>3.3000000000000002E-2</v>
      </c>
      <c r="V3251" t="str">
        <f t="shared" si="267"/>
        <v>Middle Speech, Language Pathway/
Audio</v>
      </c>
      <c r="W3251" t="str">
        <f t="shared" si="268"/>
        <v>Speech, Language Pathway/
Audio</v>
      </c>
    </row>
    <row r="3252" spans="1:23" x14ac:dyDescent="0.25">
      <c r="A3252">
        <v>37505</v>
      </c>
      <c r="B3252" t="s">
        <v>1298</v>
      </c>
      <c r="C3252">
        <v>1.1000000000000001</v>
      </c>
      <c r="D3252" t="s">
        <v>1264</v>
      </c>
      <c r="E3252">
        <v>100147</v>
      </c>
      <c r="F3252">
        <v>37505</v>
      </c>
      <c r="G3252" t="str">
        <f t="shared" si="266"/>
        <v>37505</v>
      </c>
      <c r="H3252" t="s">
        <v>568</v>
      </c>
      <c r="I3252" t="s">
        <v>1265</v>
      </c>
      <c r="J3252" t="s">
        <v>1276</v>
      </c>
      <c r="K3252" t="s">
        <v>1277</v>
      </c>
      <c r="L3252" t="s">
        <v>1298</v>
      </c>
      <c r="M3252" t="s">
        <v>1349</v>
      </c>
      <c r="N3252">
        <v>21</v>
      </c>
      <c r="O3252" t="str">
        <f t="shared" si="269"/>
        <v>46</v>
      </c>
      <c r="P3252">
        <v>46</v>
      </c>
      <c r="R3252" t="s">
        <v>1269</v>
      </c>
      <c r="S3252">
        <v>1.1000000000000001</v>
      </c>
      <c r="T3252">
        <v>0.1925</v>
      </c>
      <c r="U3252">
        <f t="shared" si="270"/>
        <v>0.21199999999999999</v>
      </c>
      <c r="V3252" t="str">
        <f t="shared" si="267"/>
        <v>Elementary Psychologist</v>
      </c>
      <c r="W3252" t="str">
        <f t="shared" si="268"/>
        <v>Psychologist</v>
      </c>
    </row>
    <row r="3253" spans="1:23" x14ac:dyDescent="0.25">
      <c r="A3253">
        <v>37505</v>
      </c>
      <c r="B3253" t="s">
        <v>1309</v>
      </c>
      <c r="C3253">
        <v>0.56000000000000005</v>
      </c>
      <c r="D3253" t="s">
        <v>1264</v>
      </c>
      <c r="E3253">
        <v>100147</v>
      </c>
      <c r="F3253">
        <v>37505</v>
      </c>
      <c r="G3253" t="str">
        <f t="shared" si="266"/>
        <v>37505</v>
      </c>
      <c r="H3253" t="s">
        <v>568</v>
      </c>
      <c r="I3253" t="s">
        <v>1265</v>
      </c>
      <c r="J3253" t="s">
        <v>1271</v>
      </c>
      <c r="K3253" t="s">
        <v>1272</v>
      </c>
      <c r="L3253" t="s">
        <v>1309</v>
      </c>
      <c r="M3253" t="s">
        <v>1310</v>
      </c>
      <c r="N3253">
        <v>21</v>
      </c>
      <c r="O3253" t="str">
        <f t="shared" si="269"/>
        <v>46</v>
      </c>
      <c r="P3253">
        <v>46</v>
      </c>
      <c r="R3253" t="s">
        <v>1269</v>
      </c>
      <c r="S3253">
        <v>0.56000000000000005</v>
      </c>
      <c r="T3253">
        <v>0.1925</v>
      </c>
      <c r="U3253">
        <f t="shared" si="270"/>
        <v>0.108</v>
      </c>
      <c r="V3253" t="str">
        <f t="shared" si="267"/>
        <v>High Psychologist</v>
      </c>
      <c r="W3253" t="str">
        <f t="shared" si="268"/>
        <v>Psychologist</v>
      </c>
    </row>
    <row r="3254" spans="1:23" x14ac:dyDescent="0.25">
      <c r="A3254">
        <v>37505</v>
      </c>
      <c r="B3254" t="s">
        <v>1345</v>
      </c>
      <c r="C3254">
        <v>0.34</v>
      </c>
      <c r="D3254" t="s">
        <v>1264</v>
      </c>
      <c r="E3254">
        <v>100147</v>
      </c>
      <c r="F3254">
        <v>37505</v>
      </c>
      <c r="G3254" t="str">
        <f t="shared" si="266"/>
        <v>37505</v>
      </c>
      <c r="H3254" t="s">
        <v>568</v>
      </c>
      <c r="I3254" t="s">
        <v>1265</v>
      </c>
      <c r="J3254" t="s">
        <v>1266</v>
      </c>
      <c r="K3254" t="s">
        <v>1267</v>
      </c>
      <c r="L3254" t="s">
        <v>1345</v>
      </c>
      <c r="M3254" t="s">
        <v>1346</v>
      </c>
      <c r="N3254">
        <v>21</v>
      </c>
      <c r="O3254" t="str">
        <f t="shared" si="269"/>
        <v>46</v>
      </c>
      <c r="P3254">
        <v>46</v>
      </c>
      <c r="R3254" t="s">
        <v>1269</v>
      </c>
      <c r="S3254">
        <v>0.34</v>
      </c>
      <c r="T3254">
        <v>0.1925</v>
      </c>
      <c r="U3254">
        <f t="shared" si="270"/>
        <v>6.5000000000000002E-2</v>
      </c>
      <c r="V3254" t="str">
        <f t="shared" si="267"/>
        <v>Middle Psychologist</v>
      </c>
      <c r="W3254" t="str">
        <f t="shared" si="268"/>
        <v>Psychologist</v>
      </c>
    </row>
    <row r="3255" spans="1:23" x14ac:dyDescent="0.25">
      <c r="A3255">
        <v>37505</v>
      </c>
      <c r="B3255" t="s">
        <v>1335</v>
      </c>
      <c r="C3255">
        <v>1</v>
      </c>
      <c r="D3255" t="s">
        <v>1264</v>
      </c>
      <c r="E3255">
        <v>100147</v>
      </c>
      <c r="F3255">
        <v>37505</v>
      </c>
      <c r="G3255" t="str">
        <f t="shared" si="266"/>
        <v>37505</v>
      </c>
      <c r="H3255" t="s">
        <v>568</v>
      </c>
      <c r="I3255" t="s">
        <v>1265</v>
      </c>
      <c r="J3255" t="s">
        <v>1276</v>
      </c>
      <c r="K3255" t="s">
        <v>1277</v>
      </c>
      <c r="L3255" t="s">
        <v>1335</v>
      </c>
      <c r="M3255" t="s">
        <v>1344</v>
      </c>
      <c r="N3255">
        <v>1</v>
      </c>
      <c r="O3255" t="str">
        <f t="shared" si="269"/>
        <v>47</v>
      </c>
      <c r="P3255">
        <v>47</v>
      </c>
      <c r="R3255" t="s">
        <v>1269</v>
      </c>
      <c r="S3255">
        <v>1</v>
      </c>
      <c r="T3255">
        <v>0.1925</v>
      </c>
      <c r="U3255">
        <f t="shared" si="270"/>
        <v>0</v>
      </c>
      <c r="V3255" t="str">
        <f t="shared" si="267"/>
        <v>Elementary Nurse</v>
      </c>
      <c r="W3255" t="str">
        <f t="shared" si="268"/>
        <v>Nurse</v>
      </c>
    </row>
    <row r="3256" spans="1:23" x14ac:dyDescent="0.25">
      <c r="A3256">
        <v>37505</v>
      </c>
      <c r="B3256" t="s">
        <v>1341</v>
      </c>
      <c r="C3256">
        <v>0.161</v>
      </c>
      <c r="D3256" t="s">
        <v>1264</v>
      </c>
      <c r="E3256">
        <v>100147</v>
      </c>
      <c r="F3256">
        <v>37505</v>
      </c>
      <c r="G3256" t="str">
        <f t="shared" si="266"/>
        <v>37505</v>
      </c>
      <c r="H3256" t="s">
        <v>568</v>
      </c>
      <c r="I3256" t="s">
        <v>1265</v>
      </c>
      <c r="J3256" t="s">
        <v>1271</v>
      </c>
      <c r="K3256" t="s">
        <v>1272</v>
      </c>
      <c r="L3256" t="s">
        <v>1341</v>
      </c>
      <c r="M3256" t="s">
        <v>1342</v>
      </c>
      <c r="N3256">
        <v>1</v>
      </c>
      <c r="O3256" t="str">
        <f t="shared" si="269"/>
        <v>47</v>
      </c>
      <c r="P3256">
        <v>47</v>
      </c>
      <c r="R3256" t="s">
        <v>1269</v>
      </c>
      <c r="S3256">
        <v>0.161</v>
      </c>
      <c r="T3256">
        <v>0.1925</v>
      </c>
      <c r="U3256">
        <f t="shared" si="270"/>
        <v>0</v>
      </c>
      <c r="V3256" t="str">
        <f t="shared" si="267"/>
        <v>High Nurse</v>
      </c>
      <c r="W3256" t="str">
        <f t="shared" si="268"/>
        <v>Nurse</v>
      </c>
    </row>
    <row r="3257" spans="1:23" x14ac:dyDescent="0.25">
      <c r="A3257">
        <v>37505</v>
      </c>
      <c r="B3257" t="s">
        <v>1338</v>
      </c>
      <c r="C3257">
        <v>0.13900000000000001</v>
      </c>
      <c r="D3257" t="s">
        <v>1264</v>
      </c>
      <c r="E3257">
        <v>100147</v>
      </c>
      <c r="F3257">
        <v>37505</v>
      </c>
      <c r="G3257" t="str">
        <f t="shared" si="266"/>
        <v>37505</v>
      </c>
      <c r="H3257" t="s">
        <v>568</v>
      </c>
      <c r="I3257" t="s">
        <v>1265</v>
      </c>
      <c r="J3257" t="s">
        <v>1266</v>
      </c>
      <c r="K3257" t="s">
        <v>1267</v>
      </c>
      <c r="L3257" t="s">
        <v>1338</v>
      </c>
      <c r="M3257" t="s">
        <v>1339</v>
      </c>
      <c r="N3257">
        <v>1</v>
      </c>
      <c r="O3257" t="str">
        <f t="shared" si="269"/>
        <v>47</v>
      </c>
      <c r="P3257">
        <v>47</v>
      </c>
      <c r="R3257" t="s">
        <v>1269</v>
      </c>
      <c r="S3257">
        <v>0.13900000000000001</v>
      </c>
      <c r="T3257">
        <v>0.1925</v>
      </c>
      <c r="U3257">
        <f t="shared" si="270"/>
        <v>0</v>
      </c>
      <c r="V3257" t="str">
        <f t="shared" si="267"/>
        <v>Middle Nurse</v>
      </c>
      <c r="W3257" t="str">
        <f t="shared" si="268"/>
        <v>Nurse</v>
      </c>
    </row>
    <row r="3258" spans="1:23" x14ac:dyDescent="0.25">
      <c r="A3258">
        <v>37505</v>
      </c>
      <c r="B3258" t="s">
        <v>1302</v>
      </c>
      <c r="C3258">
        <v>0.6</v>
      </c>
      <c r="D3258" t="s">
        <v>1264</v>
      </c>
      <c r="E3258">
        <v>100147</v>
      </c>
      <c r="F3258">
        <v>37505</v>
      </c>
      <c r="G3258" t="str">
        <f t="shared" si="266"/>
        <v>37505</v>
      </c>
      <c r="H3258" t="s">
        <v>568</v>
      </c>
      <c r="I3258" t="s">
        <v>1265</v>
      </c>
      <c r="J3258" t="s">
        <v>1276</v>
      </c>
      <c r="K3258" t="s">
        <v>1277</v>
      </c>
      <c r="L3258" t="s">
        <v>1302</v>
      </c>
      <c r="M3258" t="s">
        <v>1336</v>
      </c>
      <c r="N3258">
        <v>21</v>
      </c>
      <c r="O3258" t="str">
        <f t="shared" si="269"/>
        <v>48</v>
      </c>
      <c r="P3258">
        <v>48</v>
      </c>
      <c r="R3258" t="s">
        <v>1269</v>
      </c>
      <c r="S3258">
        <v>0.6</v>
      </c>
      <c r="T3258">
        <v>0.1925</v>
      </c>
      <c r="U3258">
        <f t="shared" si="270"/>
        <v>0.11600000000000001</v>
      </c>
      <c r="V3258" t="str">
        <f t="shared" si="267"/>
        <v>Elementary Physical Therapist</v>
      </c>
      <c r="W3258" t="str">
        <f t="shared" si="268"/>
        <v>Physical Therapist</v>
      </c>
    </row>
    <row r="3259" spans="1:23" x14ac:dyDescent="0.25">
      <c r="A3259">
        <v>37505</v>
      </c>
      <c r="B3259" t="s">
        <v>1337</v>
      </c>
      <c r="C3259">
        <v>0.4</v>
      </c>
      <c r="D3259" t="s">
        <v>1264</v>
      </c>
      <c r="E3259">
        <v>100147</v>
      </c>
      <c r="F3259">
        <v>37505</v>
      </c>
      <c r="G3259" t="str">
        <f t="shared" si="266"/>
        <v>37505</v>
      </c>
      <c r="H3259" t="s">
        <v>568</v>
      </c>
      <c r="I3259" t="s">
        <v>1265</v>
      </c>
      <c r="J3259" t="s">
        <v>1276</v>
      </c>
      <c r="K3259" t="s">
        <v>1277</v>
      </c>
      <c r="L3259" t="s">
        <v>1337</v>
      </c>
      <c r="M3259" t="s">
        <v>1439</v>
      </c>
      <c r="N3259">
        <v>1</v>
      </c>
      <c r="O3259" t="str">
        <f t="shared" si="269"/>
        <v>48</v>
      </c>
      <c r="P3259">
        <v>48</v>
      </c>
      <c r="R3259" t="s">
        <v>1269</v>
      </c>
      <c r="S3259">
        <v>0.4</v>
      </c>
      <c r="T3259">
        <v>0.1925</v>
      </c>
      <c r="U3259">
        <f t="shared" si="270"/>
        <v>0</v>
      </c>
      <c r="V3259" t="str">
        <f t="shared" si="267"/>
        <v>Elementary Physical Therapist</v>
      </c>
      <c r="W3259" t="str">
        <f t="shared" si="268"/>
        <v>Physical Therapist</v>
      </c>
    </row>
    <row r="3260" spans="1:23" x14ac:dyDescent="0.25">
      <c r="A3260" t="s">
        <v>272</v>
      </c>
      <c r="B3260" t="s">
        <v>1467</v>
      </c>
      <c r="C3260">
        <v>1.0999999999999999E-2</v>
      </c>
      <c r="F3260" t="s">
        <v>272</v>
      </c>
      <c r="G3260" t="str">
        <f t="shared" si="266"/>
        <v>37505</v>
      </c>
      <c r="H3260" t="s">
        <v>568</v>
      </c>
      <c r="I3260" t="s">
        <v>1265</v>
      </c>
      <c r="K3260" t="s">
        <v>1277</v>
      </c>
      <c r="L3260" t="s">
        <v>1467</v>
      </c>
      <c r="M3260" t="s">
        <v>1648</v>
      </c>
      <c r="N3260">
        <v>9</v>
      </c>
      <c r="O3260" t="str">
        <f t="shared" si="269"/>
        <v>45</v>
      </c>
      <c r="P3260">
        <v>45</v>
      </c>
      <c r="Q3260">
        <v>34</v>
      </c>
      <c r="S3260">
        <v>1.0999999999999999E-2</v>
      </c>
      <c r="T3260">
        <v>0.1925</v>
      </c>
      <c r="U3260">
        <f t="shared" si="270"/>
        <v>0</v>
      </c>
      <c r="V3260" t="str">
        <f t="shared" si="267"/>
        <v>TK Speech, Language Pathway/
Audio</v>
      </c>
      <c r="W3260" t="str">
        <f t="shared" si="268"/>
        <v>Speech, Language Pathway/
Audio</v>
      </c>
    </row>
    <row r="3261" spans="1:23" x14ac:dyDescent="0.25">
      <c r="A3261" t="s">
        <v>272</v>
      </c>
      <c r="B3261" t="s">
        <v>1467</v>
      </c>
      <c r="C3261">
        <v>0.48899999999999999</v>
      </c>
      <c r="F3261" t="s">
        <v>272</v>
      </c>
      <c r="G3261" t="str">
        <f t="shared" si="266"/>
        <v>37505</v>
      </c>
      <c r="H3261" t="s">
        <v>568</v>
      </c>
      <c r="I3261" t="s">
        <v>1265</v>
      </c>
      <c r="K3261" t="s">
        <v>1277</v>
      </c>
      <c r="L3261" t="s">
        <v>1467</v>
      </c>
      <c r="M3261" t="s">
        <v>1645</v>
      </c>
      <c r="N3261">
        <v>9</v>
      </c>
      <c r="O3261" t="str">
        <f t="shared" si="269"/>
        <v>45</v>
      </c>
      <c r="P3261">
        <v>45</v>
      </c>
      <c r="Q3261">
        <v>26</v>
      </c>
      <c r="S3261">
        <v>0.48899999999999999</v>
      </c>
      <c r="T3261">
        <v>0.1925</v>
      </c>
      <c r="U3261">
        <f t="shared" si="270"/>
        <v>0</v>
      </c>
      <c r="V3261" t="str">
        <f t="shared" si="267"/>
        <v>TK Speech, Language Pathway/
Audio</v>
      </c>
      <c r="W3261" t="str">
        <f t="shared" si="268"/>
        <v>Speech, Language Pathway/
Audio</v>
      </c>
    </row>
    <row r="3262" spans="1:23" x14ac:dyDescent="0.25">
      <c r="A3262">
        <v>37506</v>
      </c>
      <c r="B3262" t="s">
        <v>1286</v>
      </c>
      <c r="C3262">
        <v>0.127</v>
      </c>
      <c r="D3262" t="s">
        <v>1264</v>
      </c>
      <c r="E3262">
        <v>100166</v>
      </c>
      <c r="F3262">
        <v>37506</v>
      </c>
      <c r="G3262" t="str">
        <f t="shared" si="266"/>
        <v>37506</v>
      </c>
      <c r="H3262" t="s">
        <v>569</v>
      </c>
      <c r="I3262" t="s">
        <v>1265</v>
      </c>
      <c r="J3262" t="s">
        <v>1271</v>
      </c>
      <c r="K3262" t="s">
        <v>1272</v>
      </c>
      <c r="L3262" t="s">
        <v>1286</v>
      </c>
      <c r="M3262" t="s">
        <v>1287</v>
      </c>
      <c r="N3262">
        <v>1</v>
      </c>
      <c r="O3262" t="str">
        <f t="shared" si="269"/>
        <v>24</v>
      </c>
      <c r="P3262">
        <v>96</v>
      </c>
      <c r="Q3262">
        <v>24</v>
      </c>
      <c r="R3262" t="s">
        <v>1269</v>
      </c>
      <c r="S3262">
        <v>0.127</v>
      </c>
      <c r="T3262">
        <v>0.255</v>
      </c>
      <c r="U3262">
        <f t="shared" si="270"/>
        <v>0</v>
      </c>
      <c r="V3262" t="str">
        <f t="shared" si="267"/>
        <v>High Family Engagement Coordinator</v>
      </c>
      <c r="W3262" t="str">
        <f t="shared" si="268"/>
        <v>Family Engagement Coordinator</v>
      </c>
    </row>
    <row r="3263" spans="1:23" x14ac:dyDescent="0.25">
      <c r="A3263">
        <v>37506</v>
      </c>
      <c r="B3263" t="s">
        <v>1324</v>
      </c>
      <c r="C3263">
        <v>0.98199999999999998</v>
      </c>
      <c r="D3263" t="s">
        <v>1264</v>
      </c>
      <c r="E3263">
        <v>100166</v>
      </c>
      <c r="F3263">
        <v>37506</v>
      </c>
      <c r="G3263" t="str">
        <f t="shared" si="266"/>
        <v>37506</v>
      </c>
      <c r="H3263" t="s">
        <v>569</v>
      </c>
      <c r="I3263" t="s">
        <v>1265</v>
      </c>
      <c r="J3263" t="s">
        <v>1271</v>
      </c>
      <c r="K3263" t="s">
        <v>1272</v>
      </c>
      <c r="L3263" t="s">
        <v>1324</v>
      </c>
      <c r="M3263" t="s">
        <v>1325</v>
      </c>
      <c r="N3263">
        <v>21</v>
      </c>
      <c r="O3263" t="str">
        <f t="shared" si="269"/>
        <v>26</v>
      </c>
      <c r="Q3263">
        <v>26</v>
      </c>
      <c r="R3263" t="s">
        <v>1269</v>
      </c>
      <c r="S3263">
        <v>0.98199999999999998</v>
      </c>
      <c r="T3263">
        <v>0.255</v>
      </c>
      <c r="U3263">
        <f t="shared" si="270"/>
        <v>0.25</v>
      </c>
      <c r="V3263" t="str">
        <f t="shared" si="267"/>
        <v>High Health/
Related Services</v>
      </c>
      <c r="W3263" t="str">
        <f t="shared" si="268"/>
        <v>Health/
Related Services</v>
      </c>
    </row>
    <row r="3264" spans="1:23" x14ac:dyDescent="0.25">
      <c r="A3264">
        <v>37506</v>
      </c>
      <c r="B3264" t="s">
        <v>1295</v>
      </c>
      <c r="C3264">
        <v>1.5669999999999999</v>
      </c>
      <c r="D3264" t="s">
        <v>1264</v>
      </c>
      <c r="E3264">
        <v>100166</v>
      </c>
      <c r="F3264">
        <v>37506</v>
      </c>
      <c r="G3264" t="str">
        <f t="shared" si="266"/>
        <v>37506</v>
      </c>
      <c r="H3264" t="s">
        <v>569</v>
      </c>
      <c r="I3264" t="s">
        <v>1265</v>
      </c>
      <c r="J3264" t="s">
        <v>1271</v>
      </c>
      <c r="K3264" t="s">
        <v>1272</v>
      </c>
      <c r="L3264" t="s">
        <v>1295</v>
      </c>
      <c r="M3264" t="s">
        <v>1296</v>
      </c>
      <c r="N3264">
        <v>1</v>
      </c>
      <c r="O3264" t="str">
        <f t="shared" si="269"/>
        <v>26</v>
      </c>
      <c r="Q3264">
        <v>26</v>
      </c>
      <c r="R3264" t="s">
        <v>1269</v>
      </c>
      <c r="S3264">
        <v>1.5669999999999999</v>
      </c>
      <c r="T3264">
        <v>0.255</v>
      </c>
      <c r="U3264">
        <f t="shared" si="270"/>
        <v>0</v>
      </c>
      <c r="V3264" t="str">
        <f t="shared" si="267"/>
        <v>High Health/
Related Services</v>
      </c>
      <c r="W3264" t="str">
        <f t="shared" si="268"/>
        <v>Health/
Related Services</v>
      </c>
    </row>
    <row r="3265" spans="1:23" x14ac:dyDescent="0.25">
      <c r="A3265">
        <v>37506</v>
      </c>
      <c r="B3265" t="s">
        <v>1275</v>
      </c>
      <c r="C3265">
        <v>2.9209999999999998</v>
      </c>
      <c r="D3265" t="s">
        <v>1264</v>
      </c>
      <c r="E3265">
        <v>100166</v>
      </c>
      <c r="F3265">
        <v>37506</v>
      </c>
      <c r="G3265" t="str">
        <f t="shared" si="266"/>
        <v>37506</v>
      </c>
      <c r="H3265" t="s">
        <v>569</v>
      </c>
      <c r="I3265" t="s">
        <v>1265</v>
      </c>
      <c r="J3265" t="s">
        <v>1276</v>
      </c>
      <c r="K3265" t="s">
        <v>1277</v>
      </c>
      <c r="L3265" t="s">
        <v>1275</v>
      </c>
      <c r="M3265" t="s">
        <v>1278</v>
      </c>
      <c r="N3265">
        <v>1</v>
      </c>
      <c r="O3265" t="str">
        <f t="shared" si="269"/>
        <v>42</v>
      </c>
      <c r="P3265">
        <v>42</v>
      </c>
      <c r="R3265" t="s">
        <v>1269</v>
      </c>
      <c r="S3265">
        <v>2.9209999999999998</v>
      </c>
      <c r="T3265">
        <v>0.255</v>
      </c>
      <c r="U3265">
        <f t="shared" si="270"/>
        <v>0</v>
      </c>
      <c r="V3265" t="str">
        <f t="shared" si="267"/>
        <v>Elementary Counselor</v>
      </c>
      <c r="W3265" t="str">
        <f t="shared" si="268"/>
        <v>Counselor</v>
      </c>
    </row>
    <row r="3266" spans="1:23" x14ac:dyDescent="0.25">
      <c r="A3266">
        <v>37506</v>
      </c>
      <c r="B3266" t="s">
        <v>1270</v>
      </c>
      <c r="C3266">
        <v>0.79300000000000004</v>
      </c>
      <c r="D3266" t="s">
        <v>1264</v>
      </c>
      <c r="E3266">
        <v>100166</v>
      </c>
      <c r="F3266">
        <v>37506</v>
      </c>
      <c r="G3266" t="str">
        <f t="shared" ref="G3266:G3329" si="271">TEXT(F3266,"00000")</f>
        <v>37506</v>
      </c>
      <c r="H3266" t="s">
        <v>569</v>
      </c>
      <c r="I3266" t="s">
        <v>1265</v>
      </c>
      <c r="J3266" t="s">
        <v>1271</v>
      </c>
      <c r="K3266" t="s">
        <v>1272</v>
      </c>
      <c r="L3266" t="s">
        <v>1270</v>
      </c>
      <c r="M3266" t="s">
        <v>1273</v>
      </c>
      <c r="N3266">
        <v>1</v>
      </c>
      <c r="O3266" t="str">
        <f t="shared" si="269"/>
        <v>42</v>
      </c>
      <c r="P3266">
        <v>42</v>
      </c>
      <c r="R3266" t="s">
        <v>1269</v>
      </c>
      <c r="S3266">
        <v>0.79300000000000004</v>
      </c>
      <c r="T3266">
        <v>0.255</v>
      </c>
      <c r="U3266">
        <f t="shared" si="270"/>
        <v>0</v>
      </c>
      <c r="V3266" t="str">
        <f t="shared" ref="V3266:V3329" si="272">_xlfn.XLOOKUP(L3266,$BV:$BV,$BT:$BT,,0)</f>
        <v>High Counselor</v>
      </c>
      <c r="W3266" t="str">
        <f t="shared" ref="W3266:W3329" si="273">_xlfn.TEXTAFTER(V3266," ")</f>
        <v>Counselor</v>
      </c>
    </row>
    <row r="3267" spans="1:23" x14ac:dyDescent="0.25">
      <c r="A3267">
        <v>37506</v>
      </c>
      <c r="B3267" t="s">
        <v>1263</v>
      </c>
      <c r="C3267">
        <v>1.5</v>
      </c>
      <c r="D3267" t="s">
        <v>1264</v>
      </c>
      <c r="E3267">
        <v>100166</v>
      </c>
      <c r="F3267">
        <v>37506</v>
      </c>
      <c r="G3267" t="str">
        <f t="shared" si="271"/>
        <v>37506</v>
      </c>
      <c r="H3267" t="s">
        <v>569</v>
      </c>
      <c r="I3267" t="s">
        <v>1265</v>
      </c>
      <c r="J3267" t="s">
        <v>1266</v>
      </c>
      <c r="K3267" t="s">
        <v>1267</v>
      </c>
      <c r="L3267" t="s">
        <v>1263</v>
      </c>
      <c r="M3267" t="s">
        <v>1268</v>
      </c>
      <c r="N3267">
        <v>1</v>
      </c>
      <c r="O3267" t="str">
        <f t="shared" ref="O3267:O3330" si="274">MID(L3267,3,2)</f>
        <v>42</v>
      </c>
      <c r="P3267">
        <v>42</v>
      </c>
      <c r="R3267" t="s">
        <v>1269</v>
      </c>
      <c r="S3267">
        <v>1.5</v>
      </c>
      <c r="T3267">
        <v>0.255</v>
      </c>
      <c r="U3267">
        <f t="shared" ref="U3267:U3330" si="275">IF(N3267=21,ROUND(T3267*S3267,3),0)</f>
        <v>0</v>
      </c>
      <c r="V3267" t="str">
        <f t="shared" si="272"/>
        <v>Middle Counselor</v>
      </c>
      <c r="W3267" t="str">
        <f t="shared" si="273"/>
        <v>Counselor</v>
      </c>
    </row>
    <row r="3268" spans="1:23" x14ac:dyDescent="0.25">
      <c r="A3268">
        <v>37506</v>
      </c>
      <c r="B3268" t="s">
        <v>1289</v>
      </c>
      <c r="C3268">
        <v>1</v>
      </c>
      <c r="D3268" t="s">
        <v>1264</v>
      </c>
      <c r="E3268">
        <v>100166</v>
      </c>
      <c r="F3268">
        <v>37506</v>
      </c>
      <c r="G3268" t="str">
        <f t="shared" si="271"/>
        <v>37506</v>
      </c>
      <c r="H3268" t="s">
        <v>569</v>
      </c>
      <c r="I3268" t="s">
        <v>1265</v>
      </c>
      <c r="J3268" t="s">
        <v>1276</v>
      </c>
      <c r="K3268" t="s">
        <v>1277</v>
      </c>
      <c r="L3268" t="s">
        <v>1289</v>
      </c>
      <c r="M3268" t="s">
        <v>1307</v>
      </c>
      <c r="N3268">
        <v>21</v>
      </c>
      <c r="O3268" t="str">
        <f t="shared" si="274"/>
        <v>43</v>
      </c>
      <c r="P3268">
        <v>43</v>
      </c>
      <c r="R3268" t="s">
        <v>1269</v>
      </c>
      <c r="S3268">
        <v>1</v>
      </c>
      <c r="T3268">
        <v>0.255</v>
      </c>
      <c r="U3268">
        <f t="shared" si="275"/>
        <v>0.255</v>
      </c>
      <c r="V3268" t="str">
        <f t="shared" si="272"/>
        <v>Elementary Occupational Therapist</v>
      </c>
      <c r="W3268" t="str">
        <f t="shared" si="273"/>
        <v>Occupational Therapist</v>
      </c>
    </row>
    <row r="3269" spans="1:23" x14ac:dyDescent="0.25">
      <c r="A3269">
        <v>37506</v>
      </c>
      <c r="B3269" t="s">
        <v>1294</v>
      </c>
      <c r="C3269">
        <v>3.6</v>
      </c>
      <c r="D3269" t="s">
        <v>1264</v>
      </c>
      <c r="E3269">
        <v>100166</v>
      </c>
      <c r="F3269">
        <v>37506</v>
      </c>
      <c r="G3269" t="str">
        <f t="shared" si="271"/>
        <v>37506</v>
      </c>
      <c r="H3269" t="s">
        <v>569</v>
      </c>
      <c r="I3269" t="s">
        <v>1265</v>
      </c>
      <c r="J3269" t="s">
        <v>1276</v>
      </c>
      <c r="K3269" t="s">
        <v>1277</v>
      </c>
      <c r="L3269" t="s">
        <v>1294</v>
      </c>
      <c r="M3269" t="s">
        <v>1354</v>
      </c>
      <c r="N3269">
        <v>21</v>
      </c>
      <c r="O3269" t="str">
        <f t="shared" si="274"/>
        <v>45</v>
      </c>
      <c r="P3269">
        <v>45</v>
      </c>
      <c r="R3269" t="s">
        <v>1269</v>
      </c>
      <c r="S3269">
        <v>3.6</v>
      </c>
      <c r="T3269">
        <v>0.255</v>
      </c>
      <c r="U3269">
        <f t="shared" si="275"/>
        <v>0.91800000000000004</v>
      </c>
      <c r="V3269" t="str">
        <f t="shared" si="272"/>
        <v>Elementary Speech, Language Pathway/
Audio</v>
      </c>
      <c r="W3269" t="str">
        <f t="shared" si="273"/>
        <v>Speech, Language Pathway/
Audio</v>
      </c>
    </row>
    <row r="3270" spans="1:23" x14ac:dyDescent="0.25">
      <c r="A3270">
        <v>37506</v>
      </c>
      <c r="B3270" t="s">
        <v>1298</v>
      </c>
      <c r="C3270">
        <v>0.28799999999999998</v>
      </c>
      <c r="D3270" t="s">
        <v>1264</v>
      </c>
      <c r="E3270">
        <v>100166</v>
      </c>
      <c r="F3270">
        <v>37506</v>
      </c>
      <c r="G3270" t="str">
        <f t="shared" si="271"/>
        <v>37506</v>
      </c>
      <c r="H3270" t="s">
        <v>569</v>
      </c>
      <c r="I3270" t="s">
        <v>1265</v>
      </c>
      <c r="J3270" t="s">
        <v>1276</v>
      </c>
      <c r="K3270" t="s">
        <v>1277</v>
      </c>
      <c r="L3270" t="s">
        <v>1298</v>
      </c>
      <c r="M3270" t="s">
        <v>1349</v>
      </c>
      <c r="N3270">
        <v>21</v>
      </c>
      <c r="O3270" t="str">
        <f t="shared" si="274"/>
        <v>46</v>
      </c>
      <c r="P3270">
        <v>46</v>
      </c>
      <c r="R3270" t="s">
        <v>1269</v>
      </c>
      <c r="S3270">
        <v>0.28799999999999998</v>
      </c>
      <c r="T3270">
        <v>0.255</v>
      </c>
      <c r="U3270">
        <f t="shared" si="275"/>
        <v>7.2999999999999995E-2</v>
      </c>
      <c r="V3270" t="str">
        <f t="shared" si="272"/>
        <v>Elementary Psychologist</v>
      </c>
      <c r="W3270" t="str">
        <f t="shared" si="273"/>
        <v>Psychologist</v>
      </c>
    </row>
    <row r="3271" spans="1:23" x14ac:dyDescent="0.25">
      <c r="A3271">
        <v>37506</v>
      </c>
      <c r="B3271" t="s">
        <v>1309</v>
      </c>
      <c r="C3271">
        <v>2</v>
      </c>
      <c r="D3271" t="s">
        <v>1264</v>
      </c>
      <c r="E3271">
        <v>100166</v>
      </c>
      <c r="F3271">
        <v>37506</v>
      </c>
      <c r="G3271" t="str">
        <f t="shared" si="271"/>
        <v>37506</v>
      </c>
      <c r="H3271" t="s">
        <v>569</v>
      </c>
      <c r="I3271" t="s">
        <v>1265</v>
      </c>
      <c r="J3271" t="s">
        <v>1271</v>
      </c>
      <c r="K3271" t="s">
        <v>1272</v>
      </c>
      <c r="L3271" t="s">
        <v>1309</v>
      </c>
      <c r="M3271" t="s">
        <v>1310</v>
      </c>
      <c r="N3271">
        <v>21</v>
      </c>
      <c r="O3271" t="str">
        <f t="shared" si="274"/>
        <v>46</v>
      </c>
      <c r="P3271">
        <v>46</v>
      </c>
      <c r="R3271" t="s">
        <v>1269</v>
      </c>
      <c r="S3271">
        <v>2</v>
      </c>
      <c r="T3271">
        <v>0.255</v>
      </c>
      <c r="U3271">
        <f t="shared" si="275"/>
        <v>0.51</v>
      </c>
      <c r="V3271" t="str">
        <f t="shared" si="272"/>
        <v>High Psychologist</v>
      </c>
      <c r="W3271" t="str">
        <f t="shared" si="273"/>
        <v>Psychologist</v>
      </c>
    </row>
    <row r="3272" spans="1:23" x14ac:dyDescent="0.25">
      <c r="A3272">
        <v>37507</v>
      </c>
      <c r="B3272" t="s">
        <v>1286</v>
      </c>
      <c r="C3272">
        <v>0.68799999999999994</v>
      </c>
      <c r="D3272" t="s">
        <v>1264</v>
      </c>
      <c r="E3272">
        <v>100156</v>
      </c>
      <c r="F3272">
        <v>37507</v>
      </c>
      <c r="G3272" t="str">
        <f t="shared" si="271"/>
        <v>37507</v>
      </c>
      <c r="H3272" t="s">
        <v>570</v>
      </c>
      <c r="I3272" t="s">
        <v>1265</v>
      </c>
      <c r="J3272" t="s">
        <v>1271</v>
      </c>
      <c r="K3272" t="s">
        <v>1272</v>
      </c>
      <c r="L3272" t="s">
        <v>1286</v>
      </c>
      <c r="M3272" t="s">
        <v>1287</v>
      </c>
      <c r="N3272">
        <v>1</v>
      </c>
      <c r="O3272" t="str">
        <f t="shared" si="274"/>
        <v>24</v>
      </c>
      <c r="P3272">
        <v>96</v>
      </c>
      <c r="Q3272">
        <v>24</v>
      </c>
      <c r="R3272" t="s">
        <v>1269</v>
      </c>
      <c r="S3272">
        <v>0.68799999999999994</v>
      </c>
      <c r="T3272">
        <v>0.20949999999999999</v>
      </c>
      <c r="U3272">
        <f t="shared" si="275"/>
        <v>0</v>
      </c>
      <c r="V3272" t="str">
        <f t="shared" si="272"/>
        <v>High Family Engagement Coordinator</v>
      </c>
      <c r="W3272" t="str">
        <f t="shared" si="273"/>
        <v>Family Engagement Coordinator</v>
      </c>
    </row>
    <row r="3273" spans="1:23" x14ac:dyDescent="0.25">
      <c r="A3273">
        <v>37507</v>
      </c>
      <c r="B3273" t="s">
        <v>1383</v>
      </c>
      <c r="C3273">
        <v>0.253</v>
      </c>
      <c r="D3273" t="s">
        <v>1264</v>
      </c>
      <c r="E3273">
        <v>100156</v>
      </c>
      <c r="F3273">
        <v>37507</v>
      </c>
      <c r="G3273" t="str">
        <f t="shared" si="271"/>
        <v>37507</v>
      </c>
      <c r="H3273" t="s">
        <v>570</v>
      </c>
      <c r="I3273" t="s">
        <v>1265</v>
      </c>
      <c r="J3273" t="s">
        <v>1271</v>
      </c>
      <c r="K3273" t="s">
        <v>1272</v>
      </c>
      <c r="L3273" t="s">
        <v>1383</v>
      </c>
      <c r="M3273" t="s">
        <v>1409</v>
      </c>
      <c r="N3273">
        <v>21</v>
      </c>
      <c r="O3273" t="str">
        <f t="shared" si="274"/>
        <v>25</v>
      </c>
      <c r="Q3273">
        <v>25</v>
      </c>
      <c r="R3273" t="s">
        <v>1269</v>
      </c>
      <c r="S3273">
        <v>0.253</v>
      </c>
      <c r="T3273">
        <v>0.20949999999999999</v>
      </c>
      <c r="U3273">
        <f t="shared" si="275"/>
        <v>5.2999999999999999E-2</v>
      </c>
      <c r="V3273" t="str">
        <f t="shared" si="272"/>
        <v>High Pupil Management</v>
      </c>
      <c r="W3273" t="str">
        <f t="shared" si="273"/>
        <v>Pupil Management</v>
      </c>
    </row>
    <row r="3274" spans="1:23" x14ac:dyDescent="0.25">
      <c r="A3274">
        <v>37507</v>
      </c>
      <c r="B3274" t="s">
        <v>1295</v>
      </c>
      <c r="C3274">
        <v>1.1299999999999999</v>
      </c>
      <c r="D3274" t="s">
        <v>1264</v>
      </c>
      <c r="E3274">
        <v>100156</v>
      </c>
      <c r="F3274">
        <v>37507</v>
      </c>
      <c r="G3274" t="str">
        <f t="shared" si="271"/>
        <v>37507</v>
      </c>
      <c r="H3274" t="s">
        <v>570</v>
      </c>
      <c r="I3274" t="s">
        <v>1265</v>
      </c>
      <c r="J3274" t="s">
        <v>1271</v>
      </c>
      <c r="K3274" t="s">
        <v>1272</v>
      </c>
      <c r="L3274" t="s">
        <v>1295</v>
      </c>
      <c r="M3274" t="s">
        <v>1296</v>
      </c>
      <c r="N3274">
        <v>1</v>
      </c>
      <c r="O3274" t="str">
        <f t="shared" si="274"/>
        <v>26</v>
      </c>
      <c r="Q3274">
        <v>26</v>
      </c>
      <c r="R3274" t="s">
        <v>1269</v>
      </c>
      <c r="S3274">
        <v>1.1299999999999999</v>
      </c>
      <c r="T3274">
        <v>0.20949999999999999</v>
      </c>
      <c r="U3274">
        <f t="shared" si="275"/>
        <v>0</v>
      </c>
      <c r="V3274" t="str">
        <f t="shared" si="272"/>
        <v>High Health/
Related Services</v>
      </c>
      <c r="W3274" t="str">
        <f t="shared" si="273"/>
        <v>Health/
Related Services</v>
      </c>
    </row>
    <row r="3275" spans="1:23" x14ac:dyDescent="0.25">
      <c r="A3275">
        <v>37507</v>
      </c>
      <c r="B3275" t="s">
        <v>1275</v>
      </c>
      <c r="C3275">
        <v>2.3330000000000002</v>
      </c>
      <c r="D3275" t="s">
        <v>1264</v>
      </c>
      <c r="E3275">
        <v>100156</v>
      </c>
      <c r="F3275">
        <v>37507</v>
      </c>
      <c r="G3275" t="str">
        <f t="shared" si="271"/>
        <v>37507</v>
      </c>
      <c r="H3275" t="s">
        <v>570</v>
      </c>
      <c r="I3275" t="s">
        <v>1265</v>
      </c>
      <c r="J3275" t="s">
        <v>1276</v>
      </c>
      <c r="K3275" t="s">
        <v>1277</v>
      </c>
      <c r="L3275" t="s">
        <v>1275</v>
      </c>
      <c r="M3275" t="s">
        <v>1278</v>
      </c>
      <c r="N3275">
        <v>1</v>
      </c>
      <c r="O3275" t="str">
        <f t="shared" si="274"/>
        <v>42</v>
      </c>
      <c r="P3275">
        <v>42</v>
      </c>
      <c r="R3275" t="s">
        <v>1269</v>
      </c>
      <c r="S3275">
        <v>2.3330000000000002</v>
      </c>
      <c r="T3275">
        <v>0.20949999999999999</v>
      </c>
      <c r="U3275">
        <f t="shared" si="275"/>
        <v>0</v>
      </c>
      <c r="V3275" t="str">
        <f t="shared" si="272"/>
        <v>Elementary Counselor</v>
      </c>
      <c r="W3275" t="str">
        <f t="shared" si="273"/>
        <v>Counselor</v>
      </c>
    </row>
    <row r="3276" spans="1:23" x14ac:dyDescent="0.25">
      <c r="A3276">
        <v>37507</v>
      </c>
      <c r="B3276" t="s">
        <v>1270</v>
      </c>
      <c r="C3276">
        <v>1.75</v>
      </c>
      <c r="D3276" t="s">
        <v>1264</v>
      </c>
      <c r="E3276">
        <v>100156</v>
      </c>
      <c r="F3276">
        <v>37507</v>
      </c>
      <c r="G3276" t="str">
        <f t="shared" si="271"/>
        <v>37507</v>
      </c>
      <c r="H3276" t="s">
        <v>570</v>
      </c>
      <c r="I3276" t="s">
        <v>1265</v>
      </c>
      <c r="J3276" t="s">
        <v>1271</v>
      </c>
      <c r="K3276" t="s">
        <v>1272</v>
      </c>
      <c r="L3276" t="s">
        <v>1270</v>
      </c>
      <c r="M3276" t="s">
        <v>1273</v>
      </c>
      <c r="N3276">
        <v>1</v>
      </c>
      <c r="O3276" t="str">
        <f t="shared" si="274"/>
        <v>42</v>
      </c>
      <c r="P3276">
        <v>42</v>
      </c>
      <c r="R3276" t="s">
        <v>1269</v>
      </c>
      <c r="S3276">
        <v>1.75</v>
      </c>
      <c r="T3276">
        <v>0.20949999999999999</v>
      </c>
      <c r="U3276">
        <f t="shared" si="275"/>
        <v>0</v>
      </c>
      <c r="V3276" t="str">
        <f t="shared" si="272"/>
        <v>High Counselor</v>
      </c>
      <c r="W3276" t="str">
        <f t="shared" si="273"/>
        <v>Counselor</v>
      </c>
    </row>
    <row r="3277" spans="1:23" x14ac:dyDescent="0.25">
      <c r="A3277">
        <v>37507</v>
      </c>
      <c r="B3277" t="s">
        <v>1263</v>
      </c>
      <c r="C3277">
        <v>1</v>
      </c>
      <c r="D3277" t="s">
        <v>1264</v>
      </c>
      <c r="E3277">
        <v>100156</v>
      </c>
      <c r="F3277">
        <v>37507</v>
      </c>
      <c r="G3277" t="str">
        <f t="shared" si="271"/>
        <v>37507</v>
      </c>
      <c r="H3277" t="s">
        <v>570</v>
      </c>
      <c r="I3277" t="s">
        <v>1265</v>
      </c>
      <c r="J3277" t="s">
        <v>1266</v>
      </c>
      <c r="K3277" t="s">
        <v>1267</v>
      </c>
      <c r="L3277" t="s">
        <v>1263</v>
      </c>
      <c r="M3277" t="s">
        <v>1268</v>
      </c>
      <c r="N3277">
        <v>1</v>
      </c>
      <c r="O3277" t="str">
        <f t="shared" si="274"/>
        <v>42</v>
      </c>
      <c r="P3277">
        <v>42</v>
      </c>
      <c r="R3277" t="s">
        <v>1269</v>
      </c>
      <c r="S3277">
        <v>1</v>
      </c>
      <c r="T3277">
        <v>0.20949999999999999</v>
      </c>
      <c r="U3277">
        <f t="shared" si="275"/>
        <v>0</v>
      </c>
      <c r="V3277" t="str">
        <f t="shared" si="272"/>
        <v>Middle Counselor</v>
      </c>
      <c r="W3277" t="str">
        <f t="shared" si="273"/>
        <v>Counselor</v>
      </c>
    </row>
    <row r="3278" spans="1:23" x14ac:dyDescent="0.25">
      <c r="A3278">
        <v>37507</v>
      </c>
      <c r="B3278" t="s">
        <v>1294</v>
      </c>
      <c r="C3278">
        <v>2.3959999999999999</v>
      </c>
      <c r="D3278" t="s">
        <v>1264</v>
      </c>
      <c r="E3278">
        <v>100156</v>
      </c>
      <c r="F3278">
        <v>37507</v>
      </c>
      <c r="G3278" t="str">
        <f t="shared" si="271"/>
        <v>37507</v>
      </c>
      <c r="H3278" t="s">
        <v>570</v>
      </c>
      <c r="I3278" t="s">
        <v>1265</v>
      </c>
      <c r="J3278" t="s">
        <v>1276</v>
      </c>
      <c r="K3278" t="s">
        <v>1277</v>
      </c>
      <c r="L3278" t="s">
        <v>1294</v>
      </c>
      <c r="M3278" t="s">
        <v>1354</v>
      </c>
      <c r="N3278">
        <v>21</v>
      </c>
      <c r="O3278" t="str">
        <f t="shared" si="274"/>
        <v>45</v>
      </c>
      <c r="P3278">
        <v>45</v>
      </c>
      <c r="R3278" t="s">
        <v>1269</v>
      </c>
      <c r="S3278">
        <v>2.3959999999999999</v>
      </c>
      <c r="T3278">
        <v>0.20949999999999999</v>
      </c>
      <c r="U3278">
        <f t="shared" si="275"/>
        <v>0.502</v>
      </c>
      <c r="V3278" t="str">
        <f t="shared" si="272"/>
        <v>Elementary Speech, Language Pathway/
Audio</v>
      </c>
      <c r="W3278" t="str">
        <f t="shared" si="273"/>
        <v>Speech, Language Pathway/
Audio</v>
      </c>
    </row>
    <row r="3279" spans="1:23" x14ac:dyDescent="0.25">
      <c r="A3279">
        <v>37507</v>
      </c>
      <c r="B3279" t="s">
        <v>1326</v>
      </c>
      <c r="C3279">
        <v>0.40699999999999997</v>
      </c>
      <c r="D3279" t="s">
        <v>1264</v>
      </c>
      <c r="E3279">
        <v>100156</v>
      </c>
      <c r="F3279">
        <v>37507</v>
      </c>
      <c r="G3279" t="str">
        <f t="shared" si="271"/>
        <v>37507</v>
      </c>
      <c r="H3279" t="s">
        <v>570</v>
      </c>
      <c r="I3279" t="s">
        <v>1265</v>
      </c>
      <c r="J3279" t="s">
        <v>1271</v>
      </c>
      <c r="K3279" t="s">
        <v>1272</v>
      </c>
      <c r="L3279" t="s">
        <v>1326</v>
      </c>
      <c r="M3279" t="s">
        <v>1353</v>
      </c>
      <c r="N3279">
        <v>21</v>
      </c>
      <c r="O3279" t="str">
        <f t="shared" si="274"/>
        <v>45</v>
      </c>
      <c r="P3279">
        <v>45</v>
      </c>
      <c r="R3279" t="s">
        <v>1269</v>
      </c>
      <c r="S3279">
        <v>0.40699999999999997</v>
      </c>
      <c r="T3279">
        <v>0.20949999999999999</v>
      </c>
      <c r="U3279">
        <f t="shared" si="275"/>
        <v>8.5000000000000006E-2</v>
      </c>
      <c r="V3279" t="str">
        <f t="shared" si="272"/>
        <v>High Speech, Language Pathway/
Audio</v>
      </c>
      <c r="W3279" t="str">
        <f t="shared" si="273"/>
        <v>Speech, Language Pathway/
Audio</v>
      </c>
    </row>
    <row r="3280" spans="1:23" x14ac:dyDescent="0.25">
      <c r="A3280">
        <v>37507</v>
      </c>
      <c r="B3280" t="s">
        <v>1312</v>
      </c>
      <c r="C3280">
        <v>0.2</v>
      </c>
      <c r="D3280" t="s">
        <v>1264</v>
      </c>
      <c r="E3280">
        <v>100156</v>
      </c>
      <c r="F3280">
        <v>37507</v>
      </c>
      <c r="G3280" t="str">
        <f t="shared" si="271"/>
        <v>37507</v>
      </c>
      <c r="H3280" t="s">
        <v>570</v>
      </c>
      <c r="I3280" t="s">
        <v>1265</v>
      </c>
      <c r="J3280" t="s">
        <v>1266</v>
      </c>
      <c r="K3280" t="s">
        <v>1267</v>
      </c>
      <c r="L3280" t="s">
        <v>1312</v>
      </c>
      <c r="M3280" t="s">
        <v>1351</v>
      </c>
      <c r="N3280">
        <v>21</v>
      </c>
      <c r="O3280" t="str">
        <f t="shared" si="274"/>
        <v>45</v>
      </c>
      <c r="P3280">
        <v>45</v>
      </c>
      <c r="R3280" t="s">
        <v>1269</v>
      </c>
      <c r="S3280">
        <v>0.2</v>
      </c>
      <c r="T3280">
        <v>0.20949999999999999</v>
      </c>
      <c r="U3280">
        <f t="shared" si="275"/>
        <v>4.2000000000000003E-2</v>
      </c>
      <c r="V3280" t="str">
        <f t="shared" si="272"/>
        <v>Middle Speech, Language Pathway/
Audio</v>
      </c>
      <c r="W3280" t="str">
        <f t="shared" si="273"/>
        <v>Speech, Language Pathway/
Audio</v>
      </c>
    </row>
    <row r="3281" spans="1:23" x14ac:dyDescent="0.25">
      <c r="A3281">
        <v>37507</v>
      </c>
      <c r="B3281" t="s">
        <v>1298</v>
      </c>
      <c r="C3281">
        <v>0.73</v>
      </c>
      <c r="D3281" t="s">
        <v>1264</v>
      </c>
      <c r="E3281">
        <v>100156</v>
      </c>
      <c r="F3281">
        <v>37507</v>
      </c>
      <c r="G3281" t="str">
        <f t="shared" si="271"/>
        <v>37507</v>
      </c>
      <c r="H3281" t="s">
        <v>570</v>
      </c>
      <c r="I3281" t="s">
        <v>1265</v>
      </c>
      <c r="J3281" t="s">
        <v>1276</v>
      </c>
      <c r="K3281" t="s">
        <v>1277</v>
      </c>
      <c r="L3281" t="s">
        <v>1298</v>
      </c>
      <c r="M3281" t="s">
        <v>1349</v>
      </c>
      <c r="N3281">
        <v>21</v>
      </c>
      <c r="O3281" t="str">
        <f t="shared" si="274"/>
        <v>46</v>
      </c>
      <c r="P3281">
        <v>46</v>
      </c>
      <c r="R3281" t="s">
        <v>1269</v>
      </c>
      <c r="S3281">
        <v>0.73</v>
      </c>
      <c r="T3281">
        <v>0.20949999999999999</v>
      </c>
      <c r="U3281">
        <f t="shared" si="275"/>
        <v>0.153</v>
      </c>
      <c r="V3281" t="str">
        <f t="shared" si="272"/>
        <v>Elementary Psychologist</v>
      </c>
      <c r="W3281" t="str">
        <f t="shared" si="273"/>
        <v>Psychologist</v>
      </c>
    </row>
    <row r="3282" spans="1:23" x14ac:dyDescent="0.25">
      <c r="A3282">
        <v>37507</v>
      </c>
      <c r="B3282" t="s">
        <v>1309</v>
      </c>
      <c r="C3282">
        <v>0.5</v>
      </c>
      <c r="D3282" t="s">
        <v>1264</v>
      </c>
      <c r="E3282">
        <v>100156</v>
      </c>
      <c r="F3282">
        <v>37507</v>
      </c>
      <c r="G3282" t="str">
        <f t="shared" si="271"/>
        <v>37507</v>
      </c>
      <c r="H3282" t="s">
        <v>570</v>
      </c>
      <c r="I3282" t="s">
        <v>1265</v>
      </c>
      <c r="J3282" t="s">
        <v>1271</v>
      </c>
      <c r="K3282" t="s">
        <v>1272</v>
      </c>
      <c r="L3282" t="s">
        <v>1309</v>
      </c>
      <c r="M3282" t="s">
        <v>1310</v>
      </c>
      <c r="N3282">
        <v>21</v>
      </c>
      <c r="O3282" t="str">
        <f t="shared" si="274"/>
        <v>46</v>
      </c>
      <c r="P3282">
        <v>46</v>
      </c>
      <c r="R3282" t="s">
        <v>1269</v>
      </c>
      <c r="S3282">
        <v>0.5</v>
      </c>
      <c r="T3282">
        <v>0.20949999999999999</v>
      </c>
      <c r="U3282">
        <f t="shared" si="275"/>
        <v>0.105</v>
      </c>
      <c r="V3282" t="str">
        <f t="shared" si="272"/>
        <v>High Psychologist</v>
      </c>
      <c r="W3282" t="str">
        <f t="shared" si="273"/>
        <v>Psychologist</v>
      </c>
    </row>
    <row r="3283" spans="1:23" x14ac:dyDescent="0.25">
      <c r="A3283">
        <v>37507</v>
      </c>
      <c r="B3283" t="s">
        <v>1345</v>
      </c>
      <c r="C3283">
        <v>0.3</v>
      </c>
      <c r="D3283" t="s">
        <v>1264</v>
      </c>
      <c r="E3283">
        <v>100156</v>
      </c>
      <c r="F3283">
        <v>37507</v>
      </c>
      <c r="G3283" t="str">
        <f t="shared" si="271"/>
        <v>37507</v>
      </c>
      <c r="H3283" t="s">
        <v>570</v>
      </c>
      <c r="I3283" t="s">
        <v>1265</v>
      </c>
      <c r="J3283" t="s">
        <v>1266</v>
      </c>
      <c r="K3283" t="s">
        <v>1267</v>
      </c>
      <c r="L3283" t="s">
        <v>1345</v>
      </c>
      <c r="M3283" t="s">
        <v>1346</v>
      </c>
      <c r="N3283">
        <v>21</v>
      </c>
      <c r="O3283" t="str">
        <f t="shared" si="274"/>
        <v>46</v>
      </c>
      <c r="P3283">
        <v>46</v>
      </c>
      <c r="R3283" t="s">
        <v>1269</v>
      </c>
      <c r="S3283">
        <v>0.3</v>
      </c>
      <c r="T3283">
        <v>0.20949999999999999</v>
      </c>
      <c r="U3283">
        <f t="shared" si="275"/>
        <v>6.3E-2</v>
      </c>
      <c r="V3283" t="str">
        <f t="shared" si="272"/>
        <v>Middle Psychologist</v>
      </c>
      <c r="W3283" t="str">
        <f t="shared" si="273"/>
        <v>Psychologist</v>
      </c>
    </row>
    <row r="3284" spans="1:23" x14ac:dyDescent="0.25">
      <c r="A3284">
        <v>37507</v>
      </c>
      <c r="B3284" t="s">
        <v>1335</v>
      </c>
      <c r="C3284">
        <v>0.63100000000000001</v>
      </c>
      <c r="D3284" t="s">
        <v>1264</v>
      </c>
      <c r="E3284">
        <v>100156</v>
      </c>
      <c r="F3284">
        <v>37507</v>
      </c>
      <c r="G3284" t="str">
        <f t="shared" si="271"/>
        <v>37507</v>
      </c>
      <c r="H3284" t="s">
        <v>570</v>
      </c>
      <c r="I3284" t="s">
        <v>1265</v>
      </c>
      <c r="J3284" t="s">
        <v>1276</v>
      </c>
      <c r="K3284" t="s">
        <v>1277</v>
      </c>
      <c r="L3284" t="s">
        <v>1335</v>
      </c>
      <c r="M3284" t="s">
        <v>1344</v>
      </c>
      <c r="N3284">
        <v>1</v>
      </c>
      <c r="O3284" t="str">
        <f t="shared" si="274"/>
        <v>47</v>
      </c>
      <c r="P3284">
        <v>47</v>
      </c>
      <c r="R3284" t="s">
        <v>1269</v>
      </c>
      <c r="S3284">
        <v>0.63100000000000001</v>
      </c>
      <c r="T3284">
        <v>0.20949999999999999</v>
      </c>
      <c r="U3284">
        <f t="shared" si="275"/>
        <v>0</v>
      </c>
      <c r="V3284" t="str">
        <f t="shared" si="272"/>
        <v>Elementary Nurse</v>
      </c>
      <c r="W3284" t="str">
        <f t="shared" si="273"/>
        <v>Nurse</v>
      </c>
    </row>
    <row r="3285" spans="1:23" x14ac:dyDescent="0.25">
      <c r="A3285">
        <v>37507</v>
      </c>
      <c r="B3285" t="s">
        <v>1341</v>
      </c>
      <c r="C3285">
        <v>0.378</v>
      </c>
      <c r="D3285" t="s">
        <v>1264</v>
      </c>
      <c r="E3285">
        <v>100156</v>
      </c>
      <c r="F3285">
        <v>37507</v>
      </c>
      <c r="G3285" t="str">
        <f t="shared" si="271"/>
        <v>37507</v>
      </c>
      <c r="H3285" t="s">
        <v>570</v>
      </c>
      <c r="I3285" t="s">
        <v>1265</v>
      </c>
      <c r="J3285" t="s">
        <v>1271</v>
      </c>
      <c r="K3285" t="s">
        <v>1272</v>
      </c>
      <c r="L3285" t="s">
        <v>1341</v>
      </c>
      <c r="M3285" t="s">
        <v>1342</v>
      </c>
      <c r="N3285">
        <v>1</v>
      </c>
      <c r="O3285" t="str">
        <f t="shared" si="274"/>
        <v>47</v>
      </c>
      <c r="P3285">
        <v>47</v>
      </c>
      <c r="R3285" t="s">
        <v>1269</v>
      </c>
      <c r="S3285">
        <v>0.378</v>
      </c>
      <c r="T3285">
        <v>0.20949999999999999</v>
      </c>
      <c r="U3285">
        <f t="shared" si="275"/>
        <v>0</v>
      </c>
      <c r="V3285" t="str">
        <f t="shared" si="272"/>
        <v>High Nurse</v>
      </c>
      <c r="W3285" t="str">
        <f t="shared" si="273"/>
        <v>Nurse</v>
      </c>
    </row>
    <row r="3286" spans="1:23" x14ac:dyDescent="0.25">
      <c r="A3286">
        <v>37507</v>
      </c>
      <c r="B3286" t="s">
        <v>1338</v>
      </c>
      <c r="C3286">
        <v>0.253</v>
      </c>
      <c r="D3286" t="s">
        <v>1264</v>
      </c>
      <c r="E3286">
        <v>100156</v>
      </c>
      <c r="F3286">
        <v>37507</v>
      </c>
      <c r="G3286" t="str">
        <f t="shared" si="271"/>
        <v>37507</v>
      </c>
      <c r="H3286" t="s">
        <v>570</v>
      </c>
      <c r="I3286" t="s">
        <v>1265</v>
      </c>
      <c r="J3286" t="s">
        <v>1266</v>
      </c>
      <c r="K3286" t="s">
        <v>1267</v>
      </c>
      <c r="L3286" t="s">
        <v>1338</v>
      </c>
      <c r="M3286" t="s">
        <v>1339</v>
      </c>
      <c r="N3286">
        <v>1</v>
      </c>
      <c r="O3286" t="str">
        <f t="shared" si="274"/>
        <v>47</v>
      </c>
      <c r="P3286">
        <v>47</v>
      </c>
      <c r="R3286" t="s">
        <v>1269</v>
      </c>
      <c r="S3286">
        <v>0.253</v>
      </c>
      <c r="T3286">
        <v>0.20949999999999999</v>
      </c>
      <c r="U3286">
        <f t="shared" si="275"/>
        <v>0</v>
      </c>
      <c r="V3286" t="str">
        <f t="shared" si="272"/>
        <v>Middle Nurse</v>
      </c>
      <c r="W3286" t="str">
        <f t="shared" si="273"/>
        <v>Nurse</v>
      </c>
    </row>
    <row r="3287" spans="1:23" x14ac:dyDescent="0.25">
      <c r="A3287">
        <v>37507</v>
      </c>
      <c r="B3287" t="s">
        <v>1302</v>
      </c>
      <c r="C3287">
        <v>0.12</v>
      </c>
      <c r="D3287" t="s">
        <v>1264</v>
      </c>
      <c r="E3287">
        <v>100156</v>
      </c>
      <c r="F3287">
        <v>37507</v>
      </c>
      <c r="G3287" t="str">
        <f t="shared" si="271"/>
        <v>37507</v>
      </c>
      <c r="H3287" t="s">
        <v>570</v>
      </c>
      <c r="I3287" t="s">
        <v>1265</v>
      </c>
      <c r="J3287" t="s">
        <v>1276</v>
      </c>
      <c r="K3287" t="s">
        <v>1277</v>
      </c>
      <c r="L3287" t="s">
        <v>1302</v>
      </c>
      <c r="M3287" t="s">
        <v>1336</v>
      </c>
      <c r="N3287">
        <v>21</v>
      </c>
      <c r="O3287" t="str">
        <f t="shared" si="274"/>
        <v>48</v>
      </c>
      <c r="P3287">
        <v>48</v>
      </c>
      <c r="R3287" t="s">
        <v>1269</v>
      </c>
      <c r="S3287">
        <v>0.12</v>
      </c>
      <c r="T3287">
        <v>0.20949999999999999</v>
      </c>
      <c r="U3287">
        <f t="shared" si="275"/>
        <v>2.5000000000000001E-2</v>
      </c>
      <c r="V3287" t="str">
        <f t="shared" si="272"/>
        <v>Elementary Physical Therapist</v>
      </c>
      <c r="W3287" t="str">
        <f t="shared" si="273"/>
        <v>Physical Therapist</v>
      </c>
    </row>
    <row r="3288" spans="1:23" x14ac:dyDescent="0.25">
      <c r="A3288">
        <v>37507</v>
      </c>
      <c r="B3288" t="s">
        <v>1330</v>
      </c>
      <c r="C3288">
        <v>0.114</v>
      </c>
      <c r="D3288" t="s">
        <v>1264</v>
      </c>
      <c r="E3288">
        <v>100156</v>
      </c>
      <c r="F3288">
        <v>37507</v>
      </c>
      <c r="G3288" t="str">
        <f t="shared" si="271"/>
        <v>37507</v>
      </c>
      <c r="H3288" t="s">
        <v>570</v>
      </c>
      <c r="I3288" t="s">
        <v>1265</v>
      </c>
      <c r="J3288" t="s">
        <v>1271</v>
      </c>
      <c r="K3288" t="s">
        <v>1272</v>
      </c>
      <c r="L3288" t="s">
        <v>1330</v>
      </c>
      <c r="M3288" t="s">
        <v>1367</v>
      </c>
      <c r="N3288">
        <v>21</v>
      </c>
      <c r="O3288" t="str">
        <f t="shared" si="274"/>
        <v>48</v>
      </c>
      <c r="P3288">
        <v>48</v>
      </c>
      <c r="R3288" t="s">
        <v>1269</v>
      </c>
      <c r="S3288">
        <v>0.114</v>
      </c>
      <c r="T3288">
        <v>0.20949999999999999</v>
      </c>
      <c r="U3288">
        <f t="shared" si="275"/>
        <v>2.4E-2</v>
      </c>
      <c r="V3288" t="str">
        <f t="shared" si="272"/>
        <v>High Physical Therapist</v>
      </c>
      <c r="W3288" t="str">
        <f t="shared" si="273"/>
        <v>Physical Therapist</v>
      </c>
    </row>
    <row r="3289" spans="1:23" x14ac:dyDescent="0.25">
      <c r="A3289">
        <v>37507</v>
      </c>
      <c r="B3289" t="s">
        <v>1316</v>
      </c>
      <c r="C3289">
        <v>0.114</v>
      </c>
      <c r="D3289" t="s">
        <v>1264</v>
      </c>
      <c r="E3289">
        <v>100156</v>
      </c>
      <c r="F3289">
        <v>37507</v>
      </c>
      <c r="G3289" t="str">
        <f t="shared" si="271"/>
        <v>37507</v>
      </c>
      <c r="H3289" t="s">
        <v>570</v>
      </c>
      <c r="I3289" t="s">
        <v>1265</v>
      </c>
      <c r="J3289" t="s">
        <v>1266</v>
      </c>
      <c r="K3289" t="s">
        <v>1267</v>
      </c>
      <c r="L3289" t="s">
        <v>1316</v>
      </c>
      <c r="M3289" t="s">
        <v>1366</v>
      </c>
      <c r="N3289">
        <v>21</v>
      </c>
      <c r="O3289" t="str">
        <f t="shared" si="274"/>
        <v>48</v>
      </c>
      <c r="P3289">
        <v>48</v>
      </c>
      <c r="R3289" t="s">
        <v>1269</v>
      </c>
      <c r="S3289">
        <v>0.114</v>
      </c>
      <c r="T3289">
        <v>0.20949999999999999</v>
      </c>
      <c r="U3289">
        <f t="shared" si="275"/>
        <v>2.4E-2</v>
      </c>
      <c r="V3289" t="str">
        <f t="shared" si="272"/>
        <v>Middle Physical Therapist</v>
      </c>
      <c r="W3289" t="str">
        <f t="shared" si="273"/>
        <v>Physical Therapist</v>
      </c>
    </row>
    <row r="3290" spans="1:23" x14ac:dyDescent="0.25">
      <c r="A3290">
        <v>37902</v>
      </c>
      <c r="B3290" t="s">
        <v>1290</v>
      </c>
      <c r="C3290">
        <v>0.255</v>
      </c>
      <c r="D3290" t="s">
        <v>1264</v>
      </c>
      <c r="E3290">
        <v>106256</v>
      </c>
      <c r="F3290">
        <v>37902</v>
      </c>
      <c r="G3290" t="str">
        <f t="shared" si="271"/>
        <v>37902</v>
      </c>
      <c r="H3290" t="s">
        <v>1244</v>
      </c>
      <c r="I3290" t="s">
        <v>1265</v>
      </c>
      <c r="J3290" t="s">
        <v>1271</v>
      </c>
      <c r="K3290" t="s">
        <v>1272</v>
      </c>
      <c r="L3290" t="s">
        <v>1290</v>
      </c>
      <c r="M3290" t="s">
        <v>1412</v>
      </c>
      <c r="N3290">
        <v>97</v>
      </c>
      <c r="O3290" t="str">
        <f t="shared" si="274"/>
        <v>25</v>
      </c>
      <c r="Q3290">
        <v>25</v>
      </c>
      <c r="R3290" t="s">
        <v>1269</v>
      </c>
      <c r="S3290">
        <v>0.255</v>
      </c>
      <c r="T3290">
        <v>0.13</v>
      </c>
      <c r="U3290">
        <f t="shared" si="275"/>
        <v>0</v>
      </c>
      <c r="V3290" t="str">
        <f t="shared" si="272"/>
        <v>High Pupil Management</v>
      </c>
      <c r="W3290" t="str">
        <f t="shared" si="273"/>
        <v>Pupil Management</v>
      </c>
    </row>
    <row r="3291" spans="1:23" x14ac:dyDescent="0.25">
      <c r="A3291">
        <v>37903</v>
      </c>
      <c r="B3291" t="s">
        <v>1335</v>
      </c>
      <c r="C3291">
        <v>1</v>
      </c>
      <c r="D3291" t="s">
        <v>1264</v>
      </c>
      <c r="E3291">
        <v>105800</v>
      </c>
      <c r="F3291">
        <v>37903</v>
      </c>
      <c r="G3291" t="str">
        <f t="shared" si="271"/>
        <v>37903</v>
      </c>
      <c r="H3291" t="s">
        <v>571</v>
      </c>
      <c r="I3291" t="s">
        <v>1265</v>
      </c>
      <c r="J3291" t="s">
        <v>1276</v>
      </c>
      <c r="K3291" t="s">
        <v>1277</v>
      </c>
      <c r="L3291" t="s">
        <v>1335</v>
      </c>
      <c r="M3291" t="s">
        <v>1344</v>
      </c>
      <c r="N3291">
        <v>1</v>
      </c>
      <c r="O3291" t="str">
        <f t="shared" si="274"/>
        <v>47</v>
      </c>
      <c r="P3291">
        <v>47</v>
      </c>
      <c r="R3291" t="s">
        <v>1269</v>
      </c>
      <c r="S3291">
        <v>1</v>
      </c>
      <c r="T3291">
        <v>0.14660000000000001</v>
      </c>
      <c r="U3291">
        <f t="shared" si="275"/>
        <v>0</v>
      </c>
      <c r="V3291" t="str">
        <f t="shared" si="272"/>
        <v>Elementary Nurse</v>
      </c>
      <c r="W3291" t="str">
        <f t="shared" si="273"/>
        <v>Nurse</v>
      </c>
    </row>
    <row r="3292" spans="1:23" x14ac:dyDescent="0.25">
      <c r="A3292">
        <v>38126</v>
      </c>
      <c r="B3292" t="s">
        <v>1295</v>
      </c>
      <c r="C3292">
        <v>7.4999999999999997E-2</v>
      </c>
      <c r="D3292" t="s">
        <v>1264</v>
      </c>
      <c r="E3292">
        <v>100124</v>
      </c>
      <c r="F3292">
        <v>38126</v>
      </c>
      <c r="G3292" t="str">
        <f t="shared" si="271"/>
        <v>38126</v>
      </c>
      <c r="H3292" t="s">
        <v>572</v>
      </c>
      <c r="I3292" t="s">
        <v>1265</v>
      </c>
      <c r="J3292" t="s">
        <v>1271</v>
      </c>
      <c r="K3292" t="s">
        <v>1272</v>
      </c>
      <c r="L3292" t="s">
        <v>1295</v>
      </c>
      <c r="M3292" t="s">
        <v>1296</v>
      </c>
      <c r="N3292">
        <v>1</v>
      </c>
      <c r="O3292" t="str">
        <f t="shared" si="274"/>
        <v>26</v>
      </c>
      <c r="Q3292">
        <v>26</v>
      </c>
      <c r="R3292" t="s">
        <v>1269</v>
      </c>
      <c r="S3292">
        <v>7.4999999999999997E-2</v>
      </c>
      <c r="T3292">
        <v>0.1</v>
      </c>
      <c r="U3292">
        <f t="shared" si="275"/>
        <v>0</v>
      </c>
      <c r="V3292" t="str">
        <f t="shared" si="272"/>
        <v>High Health/
Related Services</v>
      </c>
      <c r="W3292" t="str">
        <f t="shared" si="273"/>
        <v>Health/
Related Services</v>
      </c>
    </row>
    <row r="3293" spans="1:23" x14ac:dyDescent="0.25">
      <c r="A3293">
        <v>38126</v>
      </c>
      <c r="B3293" t="s">
        <v>1270</v>
      </c>
      <c r="C3293">
        <v>0.45</v>
      </c>
      <c r="D3293" t="s">
        <v>1264</v>
      </c>
      <c r="E3293">
        <v>100124</v>
      </c>
      <c r="F3293">
        <v>38126</v>
      </c>
      <c r="G3293" t="str">
        <f t="shared" si="271"/>
        <v>38126</v>
      </c>
      <c r="H3293" t="s">
        <v>572</v>
      </c>
      <c r="I3293" t="s">
        <v>1265</v>
      </c>
      <c r="J3293" t="s">
        <v>1271</v>
      </c>
      <c r="K3293" t="s">
        <v>1272</v>
      </c>
      <c r="L3293" t="s">
        <v>1270</v>
      </c>
      <c r="M3293" t="s">
        <v>1273</v>
      </c>
      <c r="N3293">
        <v>1</v>
      </c>
      <c r="O3293" t="str">
        <f t="shared" si="274"/>
        <v>42</v>
      </c>
      <c r="P3293">
        <v>42</v>
      </c>
      <c r="R3293" t="s">
        <v>1269</v>
      </c>
      <c r="S3293">
        <v>0.45</v>
      </c>
      <c r="T3293">
        <v>0.1</v>
      </c>
      <c r="U3293">
        <f t="shared" si="275"/>
        <v>0</v>
      </c>
      <c r="V3293" t="str">
        <f t="shared" si="272"/>
        <v>High Counselor</v>
      </c>
      <c r="W3293" t="str">
        <f t="shared" si="273"/>
        <v>Counselor</v>
      </c>
    </row>
    <row r="3294" spans="1:23" x14ac:dyDescent="0.25">
      <c r="A3294">
        <v>38265</v>
      </c>
      <c r="B3294" t="s">
        <v>1275</v>
      </c>
      <c r="C3294">
        <v>0.5</v>
      </c>
      <c r="D3294" t="s">
        <v>1264</v>
      </c>
      <c r="E3294">
        <v>100264</v>
      </c>
      <c r="F3294">
        <v>38265</v>
      </c>
      <c r="G3294" t="str">
        <f t="shared" si="271"/>
        <v>38265</v>
      </c>
      <c r="H3294" t="s">
        <v>574</v>
      </c>
      <c r="I3294" t="s">
        <v>1265</v>
      </c>
      <c r="J3294" t="s">
        <v>1276</v>
      </c>
      <c r="K3294" t="s">
        <v>1277</v>
      </c>
      <c r="L3294" t="s">
        <v>1275</v>
      </c>
      <c r="M3294" t="s">
        <v>1278</v>
      </c>
      <c r="N3294">
        <v>1</v>
      </c>
      <c r="O3294" t="str">
        <f t="shared" si="274"/>
        <v>42</v>
      </c>
      <c r="P3294">
        <v>42</v>
      </c>
      <c r="R3294" t="s">
        <v>1269</v>
      </c>
      <c r="S3294">
        <v>0.5</v>
      </c>
      <c r="T3294">
        <v>0.1351</v>
      </c>
      <c r="U3294">
        <f t="shared" si="275"/>
        <v>0</v>
      </c>
      <c r="V3294" t="str">
        <f t="shared" si="272"/>
        <v>Elementary Counselor</v>
      </c>
      <c r="W3294" t="str">
        <f t="shared" si="273"/>
        <v>Counselor</v>
      </c>
    </row>
    <row r="3295" spans="1:23" x14ac:dyDescent="0.25">
      <c r="A3295">
        <v>38265</v>
      </c>
      <c r="B3295" t="s">
        <v>1270</v>
      </c>
      <c r="C3295">
        <v>0.66</v>
      </c>
      <c r="D3295" t="s">
        <v>1264</v>
      </c>
      <c r="E3295">
        <v>100264</v>
      </c>
      <c r="F3295">
        <v>38265</v>
      </c>
      <c r="G3295" t="str">
        <f t="shared" si="271"/>
        <v>38265</v>
      </c>
      <c r="H3295" t="s">
        <v>574</v>
      </c>
      <c r="I3295" t="s">
        <v>1265</v>
      </c>
      <c r="J3295" t="s">
        <v>1271</v>
      </c>
      <c r="K3295" t="s">
        <v>1272</v>
      </c>
      <c r="L3295" t="s">
        <v>1270</v>
      </c>
      <c r="M3295" t="s">
        <v>1273</v>
      </c>
      <c r="N3295">
        <v>1</v>
      </c>
      <c r="O3295" t="str">
        <f t="shared" si="274"/>
        <v>42</v>
      </c>
      <c r="P3295">
        <v>42</v>
      </c>
      <c r="R3295" t="s">
        <v>1269</v>
      </c>
      <c r="S3295">
        <v>0.66</v>
      </c>
      <c r="T3295">
        <v>0.1351</v>
      </c>
      <c r="U3295">
        <f t="shared" si="275"/>
        <v>0</v>
      </c>
      <c r="V3295" t="str">
        <f t="shared" si="272"/>
        <v>High Counselor</v>
      </c>
      <c r="W3295" t="str">
        <f t="shared" si="273"/>
        <v>Counselor</v>
      </c>
    </row>
    <row r="3296" spans="1:23" x14ac:dyDescent="0.25">
      <c r="A3296">
        <v>38265</v>
      </c>
      <c r="B3296" t="s">
        <v>1263</v>
      </c>
      <c r="C3296">
        <v>0.22800000000000001</v>
      </c>
      <c r="D3296" t="s">
        <v>1264</v>
      </c>
      <c r="E3296">
        <v>100264</v>
      </c>
      <c r="F3296">
        <v>38265</v>
      </c>
      <c r="G3296" t="str">
        <f t="shared" si="271"/>
        <v>38265</v>
      </c>
      <c r="H3296" t="s">
        <v>574</v>
      </c>
      <c r="I3296" t="s">
        <v>1265</v>
      </c>
      <c r="J3296" t="s">
        <v>1266</v>
      </c>
      <c r="K3296" t="s">
        <v>1267</v>
      </c>
      <c r="L3296" t="s">
        <v>1263</v>
      </c>
      <c r="M3296" t="s">
        <v>1268</v>
      </c>
      <c r="N3296">
        <v>1</v>
      </c>
      <c r="O3296" t="str">
        <f t="shared" si="274"/>
        <v>42</v>
      </c>
      <c r="P3296">
        <v>42</v>
      </c>
      <c r="R3296" t="s">
        <v>1269</v>
      </c>
      <c r="S3296">
        <v>0.22800000000000001</v>
      </c>
      <c r="T3296">
        <v>0.1351</v>
      </c>
      <c r="U3296">
        <f t="shared" si="275"/>
        <v>0</v>
      </c>
      <c r="V3296" t="str">
        <f t="shared" si="272"/>
        <v>Middle Counselor</v>
      </c>
      <c r="W3296" t="str">
        <f t="shared" si="273"/>
        <v>Counselor</v>
      </c>
    </row>
    <row r="3297" spans="1:23" x14ac:dyDescent="0.25">
      <c r="A3297">
        <v>38267</v>
      </c>
      <c r="B3297" t="s">
        <v>1383</v>
      </c>
      <c r="C3297">
        <v>1.2729999999999999</v>
      </c>
      <c r="D3297" t="s">
        <v>1264</v>
      </c>
      <c r="E3297">
        <v>100206</v>
      </c>
      <c r="F3297">
        <v>38267</v>
      </c>
      <c r="G3297" t="str">
        <f t="shared" si="271"/>
        <v>38267</v>
      </c>
      <c r="H3297" t="s">
        <v>575</v>
      </c>
      <c r="I3297" t="s">
        <v>1265</v>
      </c>
      <c r="J3297" t="s">
        <v>1271</v>
      </c>
      <c r="K3297" t="s">
        <v>1272</v>
      </c>
      <c r="L3297" t="s">
        <v>1383</v>
      </c>
      <c r="M3297" t="s">
        <v>1409</v>
      </c>
      <c r="N3297">
        <v>21</v>
      </c>
      <c r="O3297" t="str">
        <f t="shared" si="274"/>
        <v>25</v>
      </c>
      <c r="Q3297">
        <v>25</v>
      </c>
      <c r="R3297" t="s">
        <v>1269</v>
      </c>
      <c r="S3297">
        <v>1.2729999999999999</v>
      </c>
      <c r="T3297">
        <v>0.20910000000000001</v>
      </c>
      <c r="U3297">
        <f t="shared" si="275"/>
        <v>0.26600000000000001</v>
      </c>
      <c r="V3297" t="str">
        <f t="shared" si="272"/>
        <v>High Pupil Management</v>
      </c>
      <c r="W3297" t="str">
        <f t="shared" si="273"/>
        <v>Pupil Management</v>
      </c>
    </row>
    <row r="3298" spans="1:23" x14ac:dyDescent="0.25">
      <c r="A3298">
        <v>38267</v>
      </c>
      <c r="B3298" t="s">
        <v>1299</v>
      </c>
      <c r="C3298">
        <v>2.3519999999999999</v>
      </c>
      <c r="D3298" t="s">
        <v>1264</v>
      </c>
      <c r="E3298">
        <v>100206</v>
      </c>
      <c r="F3298">
        <v>38267</v>
      </c>
      <c r="G3298" t="str">
        <f t="shared" si="271"/>
        <v>38267</v>
      </c>
      <c r="H3298" t="s">
        <v>575</v>
      </c>
      <c r="I3298" t="s">
        <v>1265</v>
      </c>
      <c r="J3298" t="s">
        <v>1271</v>
      </c>
      <c r="K3298" t="s">
        <v>1272</v>
      </c>
      <c r="L3298" t="s">
        <v>1299</v>
      </c>
      <c r="M3298" t="s">
        <v>1300</v>
      </c>
      <c r="N3298">
        <v>1</v>
      </c>
      <c r="O3298" t="str">
        <f t="shared" si="274"/>
        <v>25</v>
      </c>
      <c r="Q3298">
        <v>25</v>
      </c>
      <c r="R3298" t="s">
        <v>1269</v>
      </c>
      <c r="S3298">
        <v>2.3519999999999999</v>
      </c>
      <c r="T3298">
        <v>0.20910000000000001</v>
      </c>
      <c r="U3298">
        <f t="shared" si="275"/>
        <v>0</v>
      </c>
      <c r="V3298" t="str">
        <f t="shared" si="272"/>
        <v>High Pupil Management</v>
      </c>
      <c r="W3298" t="str">
        <f t="shared" si="273"/>
        <v>Pupil Management</v>
      </c>
    </row>
    <row r="3299" spans="1:23" x14ac:dyDescent="0.25">
      <c r="A3299">
        <v>38267</v>
      </c>
      <c r="B3299" t="s">
        <v>1315</v>
      </c>
      <c r="C3299">
        <v>1.3420000000000001</v>
      </c>
      <c r="D3299" t="s">
        <v>1264</v>
      </c>
      <c r="E3299">
        <v>100206</v>
      </c>
      <c r="F3299">
        <v>38267</v>
      </c>
      <c r="G3299" t="str">
        <f t="shared" si="271"/>
        <v>38267</v>
      </c>
      <c r="H3299" t="s">
        <v>575</v>
      </c>
      <c r="I3299" t="s">
        <v>1265</v>
      </c>
      <c r="J3299" t="s">
        <v>1276</v>
      </c>
      <c r="K3299" t="s">
        <v>1277</v>
      </c>
      <c r="L3299" t="s">
        <v>1315</v>
      </c>
      <c r="M3299" t="s">
        <v>1375</v>
      </c>
      <c r="N3299">
        <v>1</v>
      </c>
      <c r="O3299" t="str">
        <f t="shared" si="274"/>
        <v>26</v>
      </c>
      <c r="Q3299">
        <v>26</v>
      </c>
      <c r="R3299" t="s">
        <v>1269</v>
      </c>
      <c r="S3299">
        <v>1.3420000000000001</v>
      </c>
      <c r="T3299">
        <v>0.20910000000000001</v>
      </c>
      <c r="U3299">
        <f t="shared" si="275"/>
        <v>0</v>
      </c>
      <c r="V3299" t="str">
        <f t="shared" si="272"/>
        <v>Elementary Health/
Related Services</v>
      </c>
      <c r="W3299" t="str">
        <f t="shared" si="273"/>
        <v>Health/
Related Services</v>
      </c>
    </row>
    <row r="3300" spans="1:23" x14ac:dyDescent="0.25">
      <c r="A3300">
        <v>38267</v>
      </c>
      <c r="B3300" t="s">
        <v>1295</v>
      </c>
      <c r="C3300">
        <v>1.6379999999999999</v>
      </c>
      <c r="D3300" t="s">
        <v>1264</v>
      </c>
      <c r="E3300">
        <v>100206</v>
      </c>
      <c r="F3300">
        <v>38267</v>
      </c>
      <c r="G3300" t="str">
        <f t="shared" si="271"/>
        <v>38267</v>
      </c>
      <c r="H3300" t="s">
        <v>575</v>
      </c>
      <c r="I3300" t="s">
        <v>1265</v>
      </c>
      <c r="J3300" t="s">
        <v>1271</v>
      </c>
      <c r="K3300" t="s">
        <v>1272</v>
      </c>
      <c r="L3300" t="s">
        <v>1295</v>
      </c>
      <c r="M3300" t="s">
        <v>1296</v>
      </c>
      <c r="N3300">
        <v>1</v>
      </c>
      <c r="O3300" t="str">
        <f t="shared" si="274"/>
        <v>26</v>
      </c>
      <c r="Q3300">
        <v>26</v>
      </c>
      <c r="R3300" t="s">
        <v>1269</v>
      </c>
      <c r="S3300">
        <v>1.6379999999999999</v>
      </c>
      <c r="T3300">
        <v>0.20910000000000001</v>
      </c>
      <c r="U3300">
        <f t="shared" si="275"/>
        <v>0</v>
      </c>
      <c r="V3300" t="str">
        <f t="shared" si="272"/>
        <v>High Health/
Related Services</v>
      </c>
      <c r="W3300" t="str">
        <f t="shared" si="273"/>
        <v>Health/
Related Services</v>
      </c>
    </row>
    <row r="3301" spans="1:23" x14ac:dyDescent="0.25">
      <c r="A3301">
        <v>38267</v>
      </c>
      <c r="B3301" t="s">
        <v>1275</v>
      </c>
      <c r="C3301">
        <v>3</v>
      </c>
      <c r="D3301" t="s">
        <v>1264</v>
      </c>
      <c r="E3301">
        <v>100206</v>
      </c>
      <c r="F3301">
        <v>38267</v>
      </c>
      <c r="G3301" t="str">
        <f t="shared" si="271"/>
        <v>38267</v>
      </c>
      <c r="H3301" t="s">
        <v>575</v>
      </c>
      <c r="I3301" t="s">
        <v>1265</v>
      </c>
      <c r="J3301" t="s">
        <v>1276</v>
      </c>
      <c r="K3301" t="s">
        <v>1277</v>
      </c>
      <c r="L3301" t="s">
        <v>1275</v>
      </c>
      <c r="M3301" t="s">
        <v>1278</v>
      </c>
      <c r="N3301">
        <v>1</v>
      </c>
      <c r="O3301" t="str">
        <f t="shared" si="274"/>
        <v>42</v>
      </c>
      <c r="P3301">
        <v>42</v>
      </c>
      <c r="R3301" t="s">
        <v>1269</v>
      </c>
      <c r="S3301">
        <v>3</v>
      </c>
      <c r="T3301">
        <v>0.20910000000000001</v>
      </c>
      <c r="U3301">
        <f t="shared" si="275"/>
        <v>0</v>
      </c>
      <c r="V3301" t="str">
        <f t="shared" si="272"/>
        <v>Elementary Counselor</v>
      </c>
      <c r="W3301" t="str">
        <f t="shared" si="273"/>
        <v>Counselor</v>
      </c>
    </row>
    <row r="3302" spans="1:23" x14ac:dyDescent="0.25">
      <c r="A3302">
        <v>38267</v>
      </c>
      <c r="B3302" t="s">
        <v>1270</v>
      </c>
      <c r="C3302">
        <v>2.5</v>
      </c>
      <c r="D3302" t="s">
        <v>1264</v>
      </c>
      <c r="E3302">
        <v>100206</v>
      </c>
      <c r="F3302">
        <v>38267</v>
      </c>
      <c r="G3302" t="str">
        <f t="shared" si="271"/>
        <v>38267</v>
      </c>
      <c r="H3302" t="s">
        <v>575</v>
      </c>
      <c r="I3302" t="s">
        <v>1265</v>
      </c>
      <c r="J3302" t="s">
        <v>1271</v>
      </c>
      <c r="K3302" t="s">
        <v>1272</v>
      </c>
      <c r="L3302" t="s">
        <v>1270</v>
      </c>
      <c r="M3302" t="s">
        <v>1273</v>
      </c>
      <c r="N3302">
        <v>1</v>
      </c>
      <c r="O3302" t="str">
        <f t="shared" si="274"/>
        <v>42</v>
      </c>
      <c r="P3302">
        <v>42</v>
      </c>
      <c r="R3302" t="s">
        <v>1269</v>
      </c>
      <c r="S3302">
        <v>2.5</v>
      </c>
      <c r="T3302">
        <v>0.20910000000000001</v>
      </c>
      <c r="U3302">
        <f t="shared" si="275"/>
        <v>0</v>
      </c>
      <c r="V3302" t="str">
        <f t="shared" si="272"/>
        <v>High Counselor</v>
      </c>
      <c r="W3302" t="str">
        <f t="shared" si="273"/>
        <v>Counselor</v>
      </c>
    </row>
    <row r="3303" spans="1:23" x14ac:dyDescent="0.25">
      <c r="A3303">
        <v>38267</v>
      </c>
      <c r="B3303" t="s">
        <v>1263</v>
      </c>
      <c r="C3303">
        <v>1.5</v>
      </c>
      <c r="D3303" t="s">
        <v>1264</v>
      </c>
      <c r="E3303">
        <v>100206</v>
      </c>
      <c r="F3303">
        <v>38267</v>
      </c>
      <c r="G3303" t="str">
        <f t="shared" si="271"/>
        <v>38267</v>
      </c>
      <c r="H3303" t="s">
        <v>575</v>
      </c>
      <c r="I3303" t="s">
        <v>1265</v>
      </c>
      <c r="J3303" t="s">
        <v>1266</v>
      </c>
      <c r="K3303" t="s">
        <v>1267</v>
      </c>
      <c r="L3303" t="s">
        <v>1263</v>
      </c>
      <c r="M3303" t="s">
        <v>1268</v>
      </c>
      <c r="N3303">
        <v>1</v>
      </c>
      <c r="O3303" t="str">
        <f t="shared" si="274"/>
        <v>42</v>
      </c>
      <c r="P3303">
        <v>42</v>
      </c>
      <c r="R3303" t="s">
        <v>1269</v>
      </c>
      <c r="S3303">
        <v>1.5</v>
      </c>
      <c r="T3303">
        <v>0.20910000000000001</v>
      </c>
      <c r="U3303">
        <f t="shared" si="275"/>
        <v>0</v>
      </c>
      <c r="V3303" t="str">
        <f t="shared" si="272"/>
        <v>Middle Counselor</v>
      </c>
      <c r="W3303" t="str">
        <f t="shared" si="273"/>
        <v>Counselor</v>
      </c>
    </row>
    <row r="3304" spans="1:23" x14ac:dyDescent="0.25">
      <c r="A3304">
        <v>38267</v>
      </c>
      <c r="B3304" t="s">
        <v>1289</v>
      </c>
      <c r="C3304">
        <v>1</v>
      </c>
      <c r="D3304" t="s">
        <v>1264</v>
      </c>
      <c r="E3304">
        <v>100206</v>
      </c>
      <c r="F3304">
        <v>38267</v>
      </c>
      <c r="G3304" t="str">
        <f t="shared" si="271"/>
        <v>38267</v>
      </c>
      <c r="H3304" t="s">
        <v>575</v>
      </c>
      <c r="I3304" t="s">
        <v>1265</v>
      </c>
      <c r="J3304" t="s">
        <v>1276</v>
      </c>
      <c r="K3304" t="s">
        <v>1277</v>
      </c>
      <c r="L3304" t="s">
        <v>1289</v>
      </c>
      <c r="M3304" t="s">
        <v>1307</v>
      </c>
      <c r="N3304">
        <v>21</v>
      </c>
      <c r="O3304" t="str">
        <f t="shared" si="274"/>
        <v>43</v>
      </c>
      <c r="P3304">
        <v>43</v>
      </c>
      <c r="R3304" t="s">
        <v>1269</v>
      </c>
      <c r="S3304">
        <v>1</v>
      </c>
      <c r="T3304">
        <v>0.20910000000000001</v>
      </c>
      <c r="U3304">
        <f t="shared" si="275"/>
        <v>0.20899999999999999</v>
      </c>
      <c r="V3304" t="str">
        <f t="shared" si="272"/>
        <v>Elementary Occupational Therapist</v>
      </c>
      <c r="W3304" t="str">
        <f t="shared" si="273"/>
        <v>Occupational Therapist</v>
      </c>
    </row>
    <row r="3305" spans="1:23" x14ac:dyDescent="0.25">
      <c r="A3305">
        <v>38267</v>
      </c>
      <c r="B3305" t="s">
        <v>1294</v>
      </c>
      <c r="C3305">
        <v>2.8</v>
      </c>
      <c r="D3305" t="s">
        <v>1264</v>
      </c>
      <c r="E3305">
        <v>100206</v>
      </c>
      <c r="F3305">
        <v>38267</v>
      </c>
      <c r="G3305" t="str">
        <f t="shared" si="271"/>
        <v>38267</v>
      </c>
      <c r="H3305" t="s">
        <v>575</v>
      </c>
      <c r="I3305" t="s">
        <v>1265</v>
      </c>
      <c r="J3305" t="s">
        <v>1276</v>
      </c>
      <c r="K3305" t="s">
        <v>1277</v>
      </c>
      <c r="L3305" t="s">
        <v>1294</v>
      </c>
      <c r="M3305" t="s">
        <v>1354</v>
      </c>
      <c r="N3305">
        <v>21</v>
      </c>
      <c r="O3305" t="str">
        <f t="shared" si="274"/>
        <v>45</v>
      </c>
      <c r="P3305">
        <v>45</v>
      </c>
      <c r="R3305" t="s">
        <v>1269</v>
      </c>
      <c r="S3305">
        <v>2.8</v>
      </c>
      <c r="T3305">
        <v>0.20910000000000001</v>
      </c>
      <c r="U3305">
        <f t="shared" si="275"/>
        <v>0.58499999999999996</v>
      </c>
      <c r="V3305" t="str">
        <f t="shared" si="272"/>
        <v>Elementary Speech, Language Pathway/
Audio</v>
      </c>
      <c r="W3305" t="str">
        <f t="shared" si="273"/>
        <v>Speech, Language Pathway/
Audio</v>
      </c>
    </row>
    <row r="3306" spans="1:23" x14ac:dyDescent="0.25">
      <c r="A3306">
        <v>38267</v>
      </c>
      <c r="B3306" t="s">
        <v>1326</v>
      </c>
      <c r="C3306">
        <v>0.68100000000000005</v>
      </c>
      <c r="D3306" t="s">
        <v>1264</v>
      </c>
      <c r="E3306">
        <v>100206</v>
      </c>
      <c r="F3306">
        <v>38267</v>
      </c>
      <c r="G3306" t="str">
        <f t="shared" si="271"/>
        <v>38267</v>
      </c>
      <c r="H3306" t="s">
        <v>575</v>
      </c>
      <c r="I3306" t="s">
        <v>1265</v>
      </c>
      <c r="J3306" t="s">
        <v>1271</v>
      </c>
      <c r="K3306" t="s">
        <v>1272</v>
      </c>
      <c r="L3306" t="s">
        <v>1326</v>
      </c>
      <c r="M3306" t="s">
        <v>1353</v>
      </c>
      <c r="N3306">
        <v>21</v>
      </c>
      <c r="O3306" t="str">
        <f t="shared" si="274"/>
        <v>45</v>
      </c>
      <c r="P3306">
        <v>45</v>
      </c>
      <c r="R3306" t="s">
        <v>1269</v>
      </c>
      <c r="S3306">
        <v>0.68100000000000005</v>
      </c>
      <c r="T3306">
        <v>0.20910000000000001</v>
      </c>
      <c r="U3306">
        <f t="shared" si="275"/>
        <v>0.14199999999999999</v>
      </c>
      <c r="V3306" t="str">
        <f t="shared" si="272"/>
        <v>High Speech, Language Pathway/
Audio</v>
      </c>
      <c r="W3306" t="str">
        <f t="shared" si="273"/>
        <v>Speech, Language Pathway/
Audio</v>
      </c>
    </row>
    <row r="3307" spans="1:23" x14ac:dyDescent="0.25">
      <c r="A3307">
        <v>38267</v>
      </c>
      <c r="B3307" t="s">
        <v>1312</v>
      </c>
      <c r="C3307">
        <v>0.56399999999999995</v>
      </c>
      <c r="D3307" t="s">
        <v>1264</v>
      </c>
      <c r="E3307">
        <v>100206</v>
      </c>
      <c r="F3307">
        <v>38267</v>
      </c>
      <c r="G3307" t="str">
        <f t="shared" si="271"/>
        <v>38267</v>
      </c>
      <c r="H3307" t="s">
        <v>575</v>
      </c>
      <c r="I3307" t="s">
        <v>1265</v>
      </c>
      <c r="J3307" t="s">
        <v>1266</v>
      </c>
      <c r="K3307" t="s">
        <v>1267</v>
      </c>
      <c r="L3307" t="s">
        <v>1312</v>
      </c>
      <c r="M3307" t="s">
        <v>1351</v>
      </c>
      <c r="N3307">
        <v>21</v>
      </c>
      <c r="O3307" t="str">
        <f t="shared" si="274"/>
        <v>45</v>
      </c>
      <c r="P3307">
        <v>45</v>
      </c>
      <c r="R3307" t="s">
        <v>1269</v>
      </c>
      <c r="S3307">
        <v>0.56399999999999995</v>
      </c>
      <c r="T3307">
        <v>0.20910000000000001</v>
      </c>
      <c r="U3307">
        <f t="shared" si="275"/>
        <v>0.11799999999999999</v>
      </c>
      <c r="V3307" t="str">
        <f t="shared" si="272"/>
        <v>Middle Speech, Language Pathway/
Audio</v>
      </c>
      <c r="W3307" t="str">
        <f t="shared" si="273"/>
        <v>Speech, Language Pathway/
Audio</v>
      </c>
    </row>
    <row r="3308" spans="1:23" x14ac:dyDescent="0.25">
      <c r="A3308">
        <v>38267</v>
      </c>
      <c r="B3308" t="s">
        <v>1298</v>
      </c>
      <c r="C3308">
        <v>1.75</v>
      </c>
      <c r="D3308" t="s">
        <v>1264</v>
      </c>
      <c r="E3308">
        <v>100206</v>
      </c>
      <c r="F3308">
        <v>38267</v>
      </c>
      <c r="G3308" t="str">
        <f t="shared" si="271"/>
        <v>38267</v>
      </c>
      <c r="H3308" t="s">
        <v>575</v>
      </c>
      <c r="I3308" t="s">
        <v>1265</v>
      </c>
      <c r="J3308" t="s">
        <v>1276</v>
      </c>
      <c r="K3308" t="s">
        <v>1277</v>
      </c>
      <c r="L3308" t="s">
        <v>1298</v>
      </c>
      <c r="M3308" t="s">
        <v>1349</v>
      </c>
      <c r="N3308">
        <v>21</v>
      </c>
      <c r="O3308" t="str">
        <f t="shared" si="274"/>
        <v>46</v>
      </c>
      <c r="P3308">
        <v>46</v>
      </c>
      <c r="R3308" t="s">
        <v>1269</v>
      </c>
      <c r="S3308">
        <v>1.75</v>
      </c>
      <c r="T3308">
        <v>0.20910000000000001</v>
      </c>
      <c r="U3308">
        <f t="shared" si="275"/>
        <v>0.36599999999999999</v>
      </c>
      <c r="V3308" t="str">
        <f t="shared" si="272"/>
        <v>Elementary Psychologist</v>
      </c>
      <c r="W3308" t="str">
        <f t="shared" si="273"/>
        <v>Psychologist</v>
      </c>
    </row>
    <row r="3309" spans="1:23" x14ac:dyDescent="0.25">
      <c r="A3309">
        <v>38267</v>
      </c>
      <c r="B3309" t="s">
        <v>1309</v>
      </c>
      <c r="C3309">
        <v>0.5</v>
      </c>
      <c r="D3309" t="s">
        <v>1264</v>
      </c>
      <c r="E3309">
        <v>100206</v>
      </c>
      <c r="F3309">
        <v>38267</v>
      </c>
      <c r="G3309" t="str">
        <f t="shared" si="271"/>
        <v>38267</v>
      </c>
      <c r="H3309" t="s">
        <v>575</v>
      </c>
      <c r="I3309" t="s">
        <v>1265</v>
      </c>
      <c r="J3309" t="s">
        <v>1271</v>
      </c>
      <c r="K3309" t="s">
        <v>1272</v>
      </c>
      <c r="L3309" t="s">
        <v>1309</v>
      </c>
      <c r="M3309" t="s">
        <v>1310</v>
      </c>
      <c r="N3309">
        <v>21</v>
      </c>
      <c r="O3309" t="str">
        <f t="shared" si="274"/>
        <v>46</v>
      </c>
      <c r="P3309">
        <v>46</v>
      </c>
      <c r="R3309" t="s">
        <v>1269</v>
      </c>
      <c r="S3309">
        <v>0.5</v>
      </c>
      <c r="T3309">
        <v>0.20910000000000001</v>
      </c>
      <c r="U3309">
        <f t="shared" si="275"/>
        <v>0.105</v>
      </c>
      <c r="V3309" t="str">
        <f t="shared" si="272"/>
        <v>High Psychologist</v>
      </c>
      <c r="W3309" t="str">
        <f t="shared" si="273"/>
        <v>Psychologist</v>
      </c>
    </row>
    <row r="3310" spans="1:23" x14ac:dyDescent="0.25">
      <c r="A3310">
        <v>38267</v>
      </c>
      <c r="B3310" t="s">
        <v>1345</v>
      </c>
      <c r="C3310">
        <v>0.5</v>
      </c>
      <c r="D3310" t="s">
        <v>1264</v>
      </c>
      <c r="E3310">
        <v>100206</v>
      </c>
      <c r="F3310">
        <v>38267</v>
      </c>
      <c r="G3310" t="str">
        <f t="shared" si="271"/>
        <v>38267</v>
      </c>
      <c r="H3310" t="s">
        <v>575</v>
      </c>
      <c r="I3310" t="s">
        <v>1265</v>
      </c>
      <c r="J3310" t="s">
        <v>1266</v>
      </c>
      <c r="K3310" t="s">
        <v>1267</v>
      </c>
      <c r="L3310" t="s">
        <v>1345</v>
      </c>
      <c r="M3310" t="s">
        <v>1346</v>
      </c>
      <c r="N3310">
        <v>21</v>
      </c>
      <c r="O3310" t="str">
        <f t="shared" si="274"/>
        <v>46</v>
      </c>
      <c r="P3310">
        <v>46</v>
      </c>
      <c r="R3310" t="s">
        <v>1269</v>
      </c>
      <c r="S3310">
        <v>0.5</v>
      </c>
      <c r="T3310">
        <v>0.20910000000000001</v>
      </c>
      <c r="U3310">
        <f t="shared" si="275"/>
        <v>0.105</v>
      </c>
      <c r="V3310" t="str">
        <f t="shared" si="272"/>
        <v>Middle Psychologist</v>
      </c>
      <c r="W3310" t="str">
        <f t="shared" si="273"/>
        <v>Psychologist</v>
      </c>
    </row>
    <row r="3311" spans="1:23" x14ac:dyDescent="0.25">
      <c r="A3311">
        <v>38267</v>
      </c>
      <c r="B3311" t="s">
        <v>1340</v>
      </c>
      <c r="C3311">
        <v>0.153</v>
      </c>
      <c r="D3311" t="s">
        <v>1264</v>
      </c>
      <c r="E3311">
        <v>100206</v>
      </c>
      <c r="F3311">
        <v>38267</v>
      </c>
      <c r="G3311" t="str">
        <f t="shared" si="271"/>
        <v>38267</v>
      </c>
      <c r="H3311" t="s">
        <v>575</v>
      </c>
      <c r="I3311" t="s">
        <v>1265</v>
      </c>
      <c r="J3311" t="s">
        <v>1276</v>
      </c>
      <c r="K3311" t="s">
        <v>1277</v>
      </c>
      <c r="L3311" t="s">
        <v>1340</v>
      </c>
      <c r="M3311" t="s">
        <v>1395</v>
      </c>
      <c r="N3311">
        <v>21</v>
      </c>
      <c r="O3311" t="str">
        <f t="shared" si="274"/>
        <v>49</v>
      </c>
      <c r="P3311">
        <v>49</v>
      </c>
      <c r="R3311" t="s">
        <v>1269</v>
      </c>
      <c r="S3311">
        <v>0.153</v>
      </c>
      <c r="T3311">
        <v>0.20910000000000001</v>
      </c>
      <c r="U3311">
        <f t="shared" si="275"/>
        <v>3.2000000000000001E-2</v>
      </c>
      <c r="V3311" t="str">
        <f t="shared" si="272"/>
        <v>Elementary Behavior Analyst</v>
      </c>
      <c r="W3311" t="str">
        <f t="shared" si="273"/>
        <v>Behavior Analyst</v>
      </c>
    </row>
    <row r="3312" spans="1:23" x14ac:dyDescent="0.25">
      <c r="A3312">
        <v>38267</v>
      </c>
      <c r="B3312" t="s">
        <v>1343</v>
      </c>
      <c r="C3312">
        <v>0.153</v>
      </c>
      <c r="D3312" t="s">
        <v>1264</v>
      </c>
      <c r="E3312">
        <v>100206</v>
      </c>
      <c r="F3312">
        <v>38267</v>
      </c>
      <c r="G3312" t="str">
        <f t="shared" si="271"/>
        <v>38267</v>
      </c>
      <c r="H3312" t="s">
        <v>575</v>
      </c>
      <c r="I3312" t="s">
        <v>1265</v>
      </c>
      <c r="J3312" t="s">
        <v>1276</v>
      </c>
      <c r="K3312" t="s">
        <v>1277</v>
      </c>
      <c r="L3312" t="s">
        <v>1343</v>
      </c>
      <c r="M3312" t="s">
        <v>1434</v>
      </c>
      <c r="N3312">
        <v>1</v>
      </c>
      <c r="O3312" t="str">
        <f t="shared" si="274"/>
        <v>49</v>
      </c>
      <c r="P3312">
        <v>49</v>
      </c>
      <c r="R3312" t="s">
        <v>1269</v>
      </c>
      <c r="S3312">
        <v>0.153</v>
      </c>
      <c r="T3312">
        <v>0.20910000000000001</v>
      </c>
      <c r="U3312">
        <f t="shared" si="275"/>
        <v>0</v>
      </c>
      <c r="V3312" t="str">
        <f t="shared" si="272"/>
        <v>Elementary Behavior Analyst</v>
      </c>
      <c r="W3312" t="str">
        <f t="shared" si="273"/>
        <v>Behavior Analyst</v>
      </c>
    </row>
    <row r="3313" spans="1:23" x14ac:dyDescent="0.25">
      <c r="A3313">
        <v>38300</v>
      </c>
      <c r="B3313" t="s">
        <v>1299</v>
      </c>
      <c r="C3313">
        <v>0.54100000000000004</v>
      </c>
      <c r="D3313" t="s">
        <v>1264</v>
      </c>
      <c r="E3313">
        <v>100048</v>
      </c>
      <c r="F3313">
        <v>38300</v>
      </c>
      <c r="G3313" t="str">
        <f t="shared" si="271"/>
        <v>38300</v>
      </c>
      <c r="H3313" t="s">
        <v>576</v>
      </c>
      <c r="I3313" t="s">
        <v>1265</v>
      </c>
      <c r="J3313" t="s">
        <v>1271</v>
      </c>
      <c r="K3313" t="s">
        <v>1272</v>
      </c>
      <c r="L3313" t="s">
        <v>1299</v>
      </c>
      <c r="M3313" t="s">
        <v>1300</v>
      </c>
      <c r="N3313">
        <v>1</v>
      </c>
      <c r="O3313" t="str">
        <f t="shared" si="274"/>
        <v>25</v>
      </c>
      <c r="Q3313">
        <v>25</v>
      </c>
      <c r="R3313" t="s">
        <v>1269</v>
      </c>
      <c r="S3313">
        <v>0.54100000000000004</v>
      </c>
      <c r="T3313">
        <v>0.18340000000000001</v>
      </c>
      <c r="U3313">
        <f t="shared" si="275"/>
        <v>0</v>
      </c>
      <c r="V3313" t="str">
        <f t="shared" si="272"/>
        <v>High Pupil Management</v>
      </c>
      <c r="W3313" t="str">
        <f t="shared" si="273"/>
        <v>Pupil Management</v>
      </c>
    </row>
    <row r="3314" spans="1:23" x14ac:dyDescent="0.25">
      <c r="A3314">
        <v>38300</v>
      </c>
      <c r="B3314" t="s">
        <v>1275</v>
      </c>
      <c r="C3314">
        <v>0.875</v>
      </c>
      <c r="D3314" t="s">
        <v>1264</v>
      </c>
      <c r="E3314">
        <v>100048</v>
      </c>
      <c r="F3314">
        <v>38300</v>
      </c>
      <c r="G3314" t="str">
        <f t="shared" si="271"/>
        <v>38300</v>
      </c>
      <c r="H3314" t="s">
        <v>576</v>
      </c>
      <c r="I3314" t="s">
        <v>1265</v>
      </c>
      <c r="J3314" t="s">
        <v>1276</v>
      </c>
      <c r="K3314" t="s">
        <v>1277</v>
      </c>
      <c r="L3314" t="s">
        <v>1275</v>
      </c>
      <c r="M3314" t="s">
        <v>1278</v>
      </c>
      <c r="N3314">
        <v>1</v>
      </c>
      <c r="O3314" t="str">
        <f t="shared" si="274"/>
        <v>42</v>
      </c>
      <c r="P3314">
        <v>42</v>
      </c>
      <c r="R3314" t="s">
        <v>1269</v>
      </c>
      <c r="S3314">
        <v>0.875</v>
      </c>
      <c r="T3314">
        <v>0.18340000000000001</v>
      </c>
      <c r="U3314">
        <f t="shared" si="275"/>
        <v>0</v>
      </c>
      <c r="V3314" t="str">
        <f t="shared" si="272"/>
        <v>Elementary Counselor</v>
      </c>
      <c r="W3314" t="str">
        <f t="shared" si="273"/>
        <v>Counselor</v>
      </c>
    </row>
    <row r="3315" spans="1:23" x14ac:dyDescent="0.25">
      <c r="A3315">
        <v>38300</v>
      </c>
      <c r="B3315" t="s">
        <v>1270</v>
      </c>
      <c r="C3315">
        <v>0.56599999999999995</v>
      </c>
      <c r="D3315" t="s">
        <v>1264</v>
      </c>
      <c r="E3315">
        <v>100048</v>
      </c>
      <c r="F3315">
        <v>38300</v>
      </c>
      <c r="G3315" t="str">
        <f t="shared" si="271"/>
        <v>38300</v>
      </c>
      <c r="H3315" t="s">
        <v>576</v>
      </c>
      <c r="I3315" t="s">
        <v>1265</v>
      </c>
      <c r="J3315" t="s">
        <v>1271</v>
      </c>
      <c r="K3315" t="s">
        <v>1272</v>
      </c>
      <c r="L3315" t="s">
        <v>1270</v>
      </c>
      <c r="M3315" t="s">
        <v>1273</v>
      </c>
      <c r="N3315">
        <v>1</v>
      </c>
      <c r="O3315" t="str">
        <f t="shared" si="274"/>
        <v>42</v>
      </c>
      <c r="P3315">
        <v>42</v>
      </c>
      <c r="R3315" t="s">
        <v>1269</v>
      </c>
      <c r="S3315">
        <v>0.56599999999999995</v>
      </c>
      <c r="T3315">
        <v>0.18340000000000001</v>
      </c>
      <c r="U3315">
        <f t="shared" si="275"/>
        <v>0</v>
      </c>
      <c r="V3315" t="str">
        <f t="shared" si="272"/>
        <v>High Counselor</v>
      </c>
      <c r="W3315" t="str">
        <f t="shared" si="273"/>
        <v>Counselor</v>
      </c>
    </row>
    <row r="3316" spans="1:23" x14ac:dyDescent="0.25">
      <c r="A3316">
        <v>38300</v>
      </c>
      <c r="B3316" t="s">
        <v>1263</v>
      </c>
      <c r="C3316">
        <v>0.33400000000000002</v>
      </c>
      <c r="D3316" t="s">
        <v>1264</v>
      </c>
      <c r="E3316">
        <v>100048</v>
      </c>
      <c r="F3316">
        <v>38300</v>
      </c>
      <c r="G3316" t="str">
        <f t="shared" si="271"/>
        <v>38300</v>
      </c>
      <c r="H3316" t="s">
        <v>576</v>
      </c>
      <c r="I3316" t="s">
        <v>1265</v>
      </c>
      <c r="J3316" t="s">
        <v>1266</v>
      </c>
      <c r="K3316" t="s">
        <v>1267</v>
      </c>
      <c r="L3316" t="s">
        <v>1263</v>
      </c>
      <c r="M3316" t="s">
        <v>1268</v>
      </c>
      <c r="N3316">
        <v>1</v>
      </c>
      <c r="O3316" t="str">
        <f t="shared" si="274"/>
        <v>42</v>
      </c>
      <c r="P3316">
        <v>42</v>
      </c>
      <c r="R3316" t="s">
        <v>1269</v>
      </c>
      <c r="S3316">
        <v>0.33400000000000002</v>
      </c>
      <c r="T3316">
        <v>0.18340000000000001</v>
      </c>
      <c r="U3316">
        <f t="shared" si="275"/>
        <v>0</v>
      </c>
      <c r="V3316" t="str">
        <f t="shared" si="272"/>
        <v>Middle Counselor</v>
      </c>
      <c r="W3316" t="str">
        <f t="shared" si="273"/>
        <v>Counselor</v>
      </c>
    </row>
    <row r="3317" spans="1:23" x14ac:dyDescent="0.25">
      <c r="A3317">
        <v>38300</v>
      </c>
      <c r="B3317" t="s">
        <v>1294</v>
      </c>
      <c r="C3317">
        <v>0.66500000000000004</v>
      </c>
      <c r="D3317" t="s">
        <v>1264</v>
      </c>
      <c r="E3317">
        <v>100048</v>
      </c>
      <c r="F3317">
        <v>38300</v>
      </c>
      <c r="G3317" t="str">
        <f t="shared" si="271"/>
        <v>38300</v>
      </c>
      <c r="H3317" t="s">
        <v>576</v>
      </c>
      <c r="I3317" t="s">
        <v>1265</v>
      </c>
      <c r="J3317" t="s">
        <v>1276</v>
      </c>
      <c r="K3317" t="s">
        <v>1277</v>
      </c>
      <c r="L3317" t="s">
        <v>1294</v>
      </c>
      <c r="M3317" t="s">
        <v>1354</v>
      </c>
      <c r="N3317">
        <v>21</v>
      </c>
      <c r="O3317" t="str">
        <f t="shared" si="274"/>
        <v>45</v>
      </c>
      <c r="P3317">
        <v>45</v>
      </c>
      <c r="R3317" t="s">
        <v>1269</v>
      </c>
      <c r="S3317">
        <v>0.66500000000000004</v>
      </c>
      <c r="T3317">
        <v>0.18340000000000001</v>
      </c>
      <c r="U3317">
        <f t="shared" si="275"/>
        <v>0.122</v>
      </c>
      <c r="V3317" t="str">
        <f t="shared" si="272"/>
        <v>Elementary Speech, Language Pathway/
Audio</v>
      </c>
      <c r="W3317" t="str">
        <f t="shared" si="273"/>
        <v>Speech, Language Pathway/
Audio</v>
      </c>
    </row>
    <row r="3318" spans="1:23" x14ac:dyDescent="0.25">
      <c r="A3318">
        <v>38300</v>
      </c>
      <c r="B3318" t="s">
        <v>1326</v>
      </c>
      <c r="C3318">
        <v>0.16800000000000001</v>
      </c>
      <c r="D3318" t="s">
        <v>1264</v>
      </c>
      <c r="E3318">
        <v>100048</v>
      </c>
      <c r="F3318">
        <v>38300</v>
      </c>
      <c r="G3318" t="str">
        <f t="shared" si="271"/>
        <v>38300</v>
      </c>
      <c r="H3318" t="s">
        <v>576</v>
      </c>
      <c r="I3318" t="s">
        <v>1265</v>
      </c>
      <c r="J3318" t="s">
        <v>1271</v>
      </c>
      <c r="K3318" t="s">
        <v>1272</v>
      </c>
      <c r="L3318" t="s">
        <v>1326</v>
      </c>
      <c r="M3318" t="s">
        <v>1353</v>
      </c>
      <c r="N3318">
        <v>21</v>
      </c>
      <c r="O3318" t="str">
        <f t="shared" si="274"/>
        <v>45</v>
      </c>
      <c r="P3318">
        <v>45</v>
      </c>
      <c r="R3318" t="s">
        <v>1269</v>
      </c>
      <c r="S3318">
        <v>0.16800000000000001</v>
      </c>
      <c r="T3318">
        <v>0.18340000000000001</v>
      </c>
      <c r="U3318">
        <f t="shared" si="275"/>
        <v>3.1E-2</v>
      </c>
      <c r="V3318" t="str">
        <f t="shared" si="272"/>
        <v>High Speech, Language Pathway/
Audio</v>
      </c>
      <c r="W3318" t="str">
        <f t="shared" si="273"/>
        <v>Speech, Language Pathway/
Audio</v>
      </c>
    </row>
    <row r="3319" spans="1:23" x14ac:dyDescent="0.25">
      <c r="A3319">
        <v>38300</v>
      </c>
      <c r="B3319" t="s">
        <v>1312</v>
      </c>
      <c r="C3319">
        <v>0.16700000000000001</v>
      </c>
      <c r="D3319" t="s">
        <v>1264</v>
      </c>
      <c r="E3319">
        <v>100048</v>
      </c>
      <c r="F3319">
        <v>38300</v>
      </c>
      <c r="G3319" t="str">
        <f t="shared" si="271"/>
        <v>38300</v>
      </c>
      <c r="H3319" t="s">
        <v>576</v>
      </c>
      <c r="I3319" t="s">
        <v>1265</v>
      </c>
      <c r="J3319" t="s">
        <v>1266</v>
      </c>
      <c r="K3319" t="s">
        <v>1267</v>
      </c>
      <c r="L3319" t="s">
        <v>1312</v>
      </c>
      <c r="M3319" t="s">
        <v>1351</v>
      </c>
      <c r="N3319">
        <v>21</v>
      </c>
      <c r="O3319" t="str">
        <f t="shared" si="274"/>
        <v>45</v>
      </c>
      <c r="P3319">
        <v>45</v>
      </c>
      <c r="R3319" t="s">
        <v>1269</v>
      </c>
      <c r="S3319">
        <v>0.16700000000000001</v>
      </c>
      <c r="T3319">
        <v>0.18340000000000001</v>
      </c>
      <c r="U3319">
        <f t="shared" si="275"/>
        <v>3.1E-2</v>
      </c>
      <c r="V3319" t="str">
        <f t="shared" si="272"/>
        <v>Middle Speech, Language Pathway/
Audio</v>
      </c>
      <c r="W3319" t="str">
        <f t="shared" si="273"/>
        <v>Speech, Language Pathway/
Audio</v>
      </c>
    </row>
    <row r="3320" spans="1:23" x14ac:dyDescent="0.25">
      <c r="A3320" t="s">
        <v>280</v>
      </c>
      <c r="B3320" t="s">
        <v>1348</v>
      </c>
      <c r="C3320">
        <v>0.125</v>
      </c>
      <c r="F3320" t="s">
        <v>280</v>
      </c>
      <c r="G3320" t="str">
        <f t="shared" si="271"/>
        <v>38300</v>
      </c>
      <c r="H3320" t="s">
        <v>576</v>
      </c>
      <c r="I3320" t="s">
        <v>1265</v>
      </c>
      <c r="J3320" t="s">
        <v>1641</v>
      </c>
      <c r="K3320" t="s">
        <v>1277</v>
      </c>
      <c r="L3320" t="s">
        <v>1348</v>
      </c>
      <c r="M3320" t="s">
        <v>1645</v>
      </c>
      <c r="N3320">
        <v>9</v>
      </c>
      <c r="O3320" t="str">
        <f t="shared" si="274"/>
        <v>42</v>
      </c>
      <c r="P3320">
        <v>42</v>
      </c>
      <c r="Q3320">
        <v>24</v>
      </c>
      <c r="S3320">
        <v>0.125</v>
      </c>
      <c r="T3320">
        <v>0.18340000000000001</v>
      </c>
      <c r="U3320">
        <f t="shared" si="275"/>
        <v>0</v>
      </c>
      <c r="V3320" t="str">
        <f t="shared" si="272"/>
        <v>TK Counselor</v>
      </c>
      <c r="W3320" t="str">
        <f t="shared" si="273"/>
        <v>Counselor</v>
      </c>
    </row>
    <row r="3321" spans="1:23" x14ac:dyDescent="0.25">
      <c r="A3321">
        <v>38301</v>
      </c>
      <c r="B3321" t="s">
        <v>1275</v>
      </c>
      <c r="C3321">
        <v>0.5</v>
      </c>
      <c r="D3321" t="s">
        <v>1264</v>
      </c>
      <c r="E3321">
        <v>100194</v>
      </c>
      <c r="F3321">
        <v>38301</v>
      </c>
      <c r="G3321" t="str">
        <f t="shared" si="271"/>
        <v>38301</v>
      </c>
      <c r="H3321" t="s">
        <v>577</v>
      </c>
      <c r="I3321" t="s">
        <v>1265</v>
      </c>
      <c r="J3321" t="s">
        <v>1276</v>
      </c>
      <c r="K3321" t="s">
        <v>1277</v>
      </c>
      <c r="L3321" t="s">
        <v>1275</v>
      </c>
      <c r="M3321" t="s">
        <v>1278</v>
      </c>
      <c r="N3321">
        <v>1</v>
      </c>
      <c r="O3321" t="str">
        <f t="shared" si="274"/>
        <v>42</v>
      </c>
      <c r="P3321">
        <v>42</v>
      </c>
      <c r="R3321" t="s">
        <v>1269</v>
      </c>
      <c r="S3321">
        <v>0.5</v>
      </c>
      <c r="T3321">
        <v>0.14169999999999999</v>
      </c>
      <c r="U3321">
        <f t="shared" si="275"/>
        <v>0</v>
      </c>
      <c r="V3321" t="str">
        <f t="shared" si="272"/>
        <v>Elementary Counselor</v>
      </c>
      <c r="W3321" t="str">
        <f t="shared" si="273"/>
        <v>Counselor</v>
      </c>
    </row>
    <row r="3322" spans="1:23" x14ac:dyDescent="0.25">
      <c r="A3322">
        <v>38301</v>
      </c>
      <c r="B3322" t="s">
        <v>1270</v>
      </c>
      <c r="C3322">
        <v>0.5</v>
      </c>
      <c r="D3322" t="s">
        <v>1264</v>
      </c>
      <c r="E3322">
        <v>100194</v>
      </c>
      <c r="F3322">
        <v>38301</v>
      </c>
      <c r="G3322" t="str">
        <f t="shared" si="271"/>
        <v>38301</v>
      </c>
      <c r="H3322" t="s">
        <v>577</v>
      </c>
      <c r="I3322" t="s">
        <v>1265</v>
      </c>
      <c r="J3322" t="s">
        <v>1271</v>
      </c>
      <c r="K3322" t="s">
        <v>1272</v>
      </c>
      <c r="L3322" t="s">
        <v>1270</v>
      </c>
      <c r="M3322" t="s">
        <v>1273</v>
      </c>
      <c r="N3322">
        <v>1</v>
      </c>
      <c r="O3322" t="str">
        <f t="shared" si="274"/>
        <v>42</v>
      </c>
      <c r="P3322">
        <v>42</v>
      </c>
      <c r="R3322" t="s">
        <v>1269</v>
      </c>
      <c r="S3322">
        <v>0.5</v>
      </c>
      <c r="T3322">
        <v>0.14169999999999999</v>
      </c>
      <c r="U3322">
        <f t="shared" si="275"/>
        <v>0</v>
      </c>
      <c r="V3322" t="str">
        <f t="shared" si="272"/>
        <v>High Counselor</v>
      </c>
      <c r="W3322" t="str">
        <f t="shared" si="273"/>
        <v>Counselor</v>
      </c>
    </row>
    <row r="3323" spans="1:23" x14ac:dyDescent="0.25">
      <c r="A3323">
        <v>38302</v>
      </c>
      <c r="B3323" t="s">
        <v>1315</v>
      </c>
      <c r="C3323">
        <v>4.2000000000000003E-2</v>
      </c>
      <c r="D3323" t="s">
        <v>1264</v>
      </c>
      <c r="E3323">
        <v>100092</v>
      </c>
      <c r="F3323">
        <v>38302</v>
      </c>
      <c r="G3323" t="str">
        <f t="shared" si="271"/>
        <v>38302</v>
      </c>
      <c r="H3323" t="s">
        <v>578</v>
      </c>
      <c r="I3323" t="s">
        <v>1265</v>
      </c>
      <c r="J3323" t="s">
        <v>1276</v>
      </c>
      <c r="K3323" t="s">
        <v>1277</v>
      </c>
      <c r="L3323" t="s">
        <v>1315</v>
      </c>
      <c r="M3323" t="s">
        <v>1375</v>
      </c>
      <c r="N3323">
        <v>1</v>
      </c>
      <c r="O3323" t="str">
        <f t="shared" si="274"/>
        <v>26</v>
      </c>
      <c r="Q3323">
        <v>26</v>
      </c>
      <c r="R3323" t="s">
        <v>1269</v>
      </c>
      <c r="S3323">
        <v>4.2000000000000003E-2</v>
      </c>
      <c r="T3323">
        <v>0.1741</v>
      </c>
      <c r="U3323">
        <f t="shared" si="275"/>
        <v>0</v>
      </c>
      <c r="V3323" t="str">
        <f t="shared" si="272"/>
        <v>Elementary Health/
Related Services</v>
      </c>
      <c r="W3323" t="str">
        <f t="shared" si="273"/>
        <v>Health/
Related Services</v>
      </c>
    </row>
    <row r="3324" spans="1:23" x14ac:dyDescent="0.25">
      <c r="A3324">
        <v>38302</v>
      </c>
      <c r="B3324" t="s">
        <v>1295</v>
      </c>
      <c r="C3324">
        <v>0.06</v>
      </c>
      <c r="D3324" t="s">
        <v>1264</v>
      </c>
      <c r="E3324">
        <v>100092</v>
      </c>
      <c r="F3324">
        <v>38302</v>
      </c>
      <c r="G3324" t="str">
        <f t="shared" si="271"/>
        <v>38302</v>
      </c>
      <c r="H3324" t="s">
        <v>578</v>
      </c>
      <c r="I3324" t="s">
        <v>1265</v>
      </c>
      <c r="J3324" t="s">
        <v>1271</v>
      </c>
      <c r="K3324" t="s">
        <v>1272</v>
      </c>
      <c r="L3324" t="s">
        <v>1295</v>
      </c>
      <c r="M3324" t="s">
        <v>1296</v>
      </c>
      <c r="N3324">
        <v>1</v>
      </c>
      <c r="O3324" t="str">
        <f t="shared" si="274"/>
        <v>26</v>
      </c>
      <c r="Q3324">
        <v>26</v>
      </c>
      <c r="R3324" t="s">
        <v>1269</v>
      </c>
      <c r="S3324">
        <v>0.06</v>
      </c>
      <c r="T3324">
        <v>0.1741</v>
      </c>
      <c r="U3324">
        <f t="shared" si="275"/>
        <v>0</v>
      </c>
      <c r="V3324" t="str">
        <f t="shared" si="272"/>
        <v>High Health/
Related Services</v>
      </c>
      <c r="W3324" t="str">
        <f t="shared" si="273"/>
        <v>Health/
Related Services</v>
      </c>
    </row>
    <row r="3325" spans="1:23" x14ac:dyDescent="0.25">
      <c r="A3325">
        <v>38302</v>
      </c>
      <c r="B3325" t="s">
        <v>1275</v>
      </c>
      <c r="C3325">
        <v>0.5</v>
      </c>
      <c r="D3325" t="s">
        <v>1264</v>
      </c>
      <c r="E3325">
        <v>100092</v>
      </c>
      <c r="F3325">
        <v>38302</v>
      </c>
      <c r="G3325" t="str">
        <f t="shared" si="271"/>
        <v>38302</v>
      </c>
      <c r="H3325" t="s">
        <v>578</v>
      </c>
      <c r="I3325" t="s">
        <v>1265</v>
      </c>
      <c r="J3325" t="s">
        <v>1276</v>
      </c>
      <c r="K3325" t="s">
        <v>1277</v>
      </c>
      <c r="L3325" t="s">
        <v>1275</v>
      </c>
      <c r="M3325" t="s">
        <v>1278</v>
      </c>
      <c r="N3325">
        <v>1</v>
      </c>
      <c r="O3325" t="str">
        <f t="shared" si="274"/>
        <v>42</v>
      </c>
      <c r="P3325">
        <v>42</v>
      </c>
      <c r="R3325" t="s">
        <v>1269</v>
      </c>
      <c r="S3325">
        <v>0.5</v>
      </c>
      <c r="T3325">
        <v>0.1741</v>
      </c>
      <c r="U3325">
        <f t="shared" si="275"/>
        <v>0</v>
      </c>
      <c r="V3325" t="str">
        <f t="shared" si="272"/>
        <v>Elementary Counselor</v>
      </c>
      <c r="W3325" t="str">
        <f t="shared" si="273"/>
        <v>Counselor</v>
      </c>
    </row>
    <row r="3326" spans="1:23" x14ac:dyDescent="0.25">
      <c r="A3326">
        <v>38302</v>
      </c>
      <c r="B3326" t="s">
        <v>1263</v>
      </c>
      <c r="C3326">
        <v>0.5</v>
      </c>
      <c r="D3326" t="s">
        <v>1264</v>
      </c>
      <c r="E3326">
        <v>100092</v>
      </c>
      <c r="F3326">
        <v>38302</v>
      </c>
      <c r="G3326" t="str">
        <f t="shared" si="271"/>
        <v>38302</v>
      </c>
      <c r="H3326" t="s">
        <v>578</v>
      </c>
      <c r="I3326" t="s">
        <v>1265</v>
      </c>
      <c r="J3326" t="s">
        <v>1266</v>
      </c>
      <c r="K3326" t="s">
        <v>1267</v>
      </c>
      <c r="L3326" t="s">
        <v>1263</v>
      </c>
      <c r="M3326" t="s">
        <v>1268</v>
      </c>
      <c r="N3326">
        <v>1</v>
      </c>
      <c r="O3326" t="str">
        <f t="shared" si="274"/>
        <v>42</v>
      </c>
      <c r="P3326">
        <v>42</v>
      </c>
      <c r="R3326" t="s">
        <v>1269</v>
      </c>
      <c r="S3326">
        <v>0.5</v>
      </c>
      <c r="T3326">
        <v>0.1741</v>
      </c>
      <c r="U3326">
        <f t="shared" si="275"/>
        <v>0</v>
      </c>
      <c r="V3326" t="str">
        <f t="shared" si="272"/>
        <v>Middle Counselor</v>
      </c>
      <c r="W3326" t="str">
        <f t="shared" si="273"/>
        <v>Counselor</v>
      </c>
    </row>
    <row r="3327" spans="1:23" x14ac:dyDescent="0.25">
      <c r="A3327">
        <v>38304</v>
      </c>
      <c r="B3327" t="s">
        <v>1295</v>
      </c>
      <c r="C3327">
        <v>3.5000000000000003E-2</v>
      </c>
      <c r="D3327" t="s">
        <v>1264</v>
      </c>
      <c r="E3327">
        <v>100255</v>
      </c>
      <c r="F3327">
        <v>38304</v>
      </c>
      <c r="G3327" t="str">
        <f t="shared" si="271"/>
        <v>38304</v>
      </c>
      <c r="H3327" t="s">
        <v>579</v>
      </c>
      <c r="I3327" t="s">
        <v>1265</v>
      </c>
      <c r="J3327" t="s">
        <v>1271</v>
      </c>
      <c r="K3327" t="s">
        <v>1272</v>
      </c>
      <c r="L3327" t="s">
        <v>1295</v>
      </c>
      <c r="M3327" t="s">
        <v>1296</v>
      </c>
      <c r="N3327">
        <v>1</v>
      </c>
      <c r="O3327" t="str">
        <f t="shared" si="274"/>
        <v>26</v>
      </c>
      <c r="Q3327">
        <v>26</v>
      </c>
      <c r="R3327" t="s">
        <v>1269</v>
      </c>
      <c r="S3327">
        <v>3.5000000000000003E-2</v>
      </c>
      <c r="T3327">
        <v>0.1014</v>
      </c>
      <c r="U3327">
        <f t="shared" si="275"/>
        <v>0</v>
      </c>
      <c r="V3327" t="str">
        <f t="shared" si="272"/>
        <v>High Health/
Related Services</v>
      </c>
      <c r="W3327" t="str">
        <f t="shared" si="273"/>
        <v>Health/
Related Services</v>
      </c>
    </row>
    <row r="3328" spans="1:23" x14ac:dyDescent="0.25">
      <c r="A3328">
        <v>38306</v>
      </c>
      <c r="B3328" t="s">
        <v>1275</v>
      </c>
      <c r="C3328">
        <v>0.128</v>
      </c>
      <c r="D3328" t="s">
        <v>1264</v>
      </c>
      <c r="E3328">
        <v>100050</v>
      </c>
      <c r="F3328">
        <v>38306</v>
      </c>
      <c r="G3328" t="str">
        <f t="shared" si="271"/>
        <v>38306</v>
      </c>
      <c r="H3328" t="s">
        <v>580</v>
      </c>
      <c r="I3328" t="s">
        <v>1265</v>
      </c>
      <c r="J3328" t="s">
        <v>1276</v>
      </c>
      <c r="K3328" t="s">
        <v>1277</v>
      </c>
      <c r="L3328" t="s">
        <v>1275</v>
      </c>
      <c r="M3328" t="s">
        <v>1278</v>
      </c>
      <c r="N3328">
        <v>1</v>
      </c>
      <c r="O3328" t="str">
        <f t="shared" si="274"/>
        <v>42</v>
      </c>
      <c r="P3328">
        <v>42</v>
      </c>
      <c r="R3328" t="s">
        <v>1269</v>
      </c>
      <c r="S3328">
        <v>0.128</v>
      </c>
      <c r="T3328">
        <v>0.14729999999999999</v>
      </c>
      <c r="U3328">
        <f t="shared" si="275"/>
        <v>0</v>
      </c>
      <c r="V3328" t="str">
        <f t="shared" si="272"/>
        <v>Elementary Counselor</v>
      </c>
      <c r="W3328" t="str">
        <f t="shared" si="273"/>
        <v>Counselor</v>
      </c>
    </row>
    <row r="3329" spans="1:23" x14ac:dyDescent="0.25">
      <c r="A3329">
        <v>38306</v>
      </c>
      <c r="B3329" t="s">
        <v>1270</v>
      </c>
      <c r="C3329">
        <v>0.16900000000000001</v>
      </c>
      <c r="D3329" t="s">
        <v>1264</v>
      </c>
      <c r="E3329">
        <v>100050</v>
      </c>
      <c r="F3329">
        <v>38306</v>
      </c>
      <c r="G3329" t="str">
        <f t="shared" si="271"/>
        <v>38306</v>
      </c>
      <c r="H3329" t="s">
        <v>580</v>
      </c>
      <c r="I3329" t="s">
        <v>1265</v>
      </c>
      <c r="J3329" t="s">
        <v>1271</v>
      </c>
      <c r="K3329" t="s">
        <v>1272</v>
      </c>
      <c r="L3329" t="s">
        <v>1270</v>
      </c>
      <c r="M3329" t="s">
        <v>1273</v>
      </c>
      <c r="N3329">
        <v>1</v>
      </c>
      <c r="O3329" t="str">
        <f t="shared" si="274"/>
        <v>42</v>
      </c>
      <c r="P3329">
        <v>42</v>
      </c>
      <c r="R3329" t="s">
        <v>1269</v>
      </c>
      <c r="S3329">
        <v>0.16900000000000001</v>
      </c>
      <c r="T3329">
        <v>0.14729999999999999</v>
      </c>
      <c r="U3329">
        <f t="shared" si="275"/>
        <v>0</v>
      </c>
      <c r="V3329" t="str">
        <f t="shared" si="272"/>
        <v>High Counselor</v>
      </c>
      <c r="W3329" t="str">
        <f t="shared" si="273"/>
        <v>Counselor</v>
      </c>
    </row>
    <row r="3330" spans="1:23" x14ac:dyDescent="0.25">
      <c r="A3330">
        <v>38306</v>
      </c>
      <c r="B3330" t="s">
        <v>1263</v>
      </c>
      <c r="C3330">
        <v>0.34699999999999998</v>
      </c>
      <c r="D3330" t="s">
        <v>1264</v>
      </c>
      <c r="E3330">
        <v>100050</v>
      </c>
      <c r="F3330">
        <v>38306</v>
      </c>
      <c r="G3330" t="str">
        <f t="shared" ref="G3330:G3393" si="276">TEXT(F3330,"00000")</f>
        <v>38306</v>
      </c>
      <c r="H3330" t="s">
        <v>580</v>
      </c>
      <c r="I3330" t="s">
        <v>1265</v>
      </c>
      <c r="J3330" t="s">
        <v>1266</v>
      </c>
      <c r="K3330" t="s">
        <v>1267</v>
      </c>
      <c r="L3330" t="s">
        <v>1263</v>
      </c>
      <c r="M3330" t="s">
        <v>1268</v>
      </c>
      <c r="N3330">
        <v>1</v>
      </c>
      <c r="O3330" t="str">
        <f t="shared" si="274"/>
        <v>42</v>
      </c>
      <c r="P3330">
        <v>42</v>
      </c>
      <c r="R3330" t="s">
        <v>1269</v>
      </c>
      <c r="S3330">
        <v>0.34699999999999998</v>
      </c>
      <c r="T3330">
        <v>0.14729999999999999</v>
      </c>
      <c r="U3330">
        <f t="shared" si="275"/>
        <v>0</v>
      </c>
      <c r="V3330" t="str">
        <f t="shared" ref="V3330:V3389" si="277">_xlfn.XLOOKUP(L3330,$BV:$BV,$BT:$BT,,0)</f>
        <v>Middle Counselor</v>
      </c>
      <c r="W3330" t="str">
        <f t="shared" ref="W3330:W3389" si="278">_xlfn.TEXTAFTER(V3330," ")</f>
        <v>Counselor</v>
      </c>
    </row>
    <row r="3331" spans="1:23" x14ac:dyDescent="0.25">
      <c r="A3331">
        <v>38308</v>
      </c>
      <c r="B3331" t="s">
        <v>1286</v>
      </c>
      <c r="C3331">
        <v>0.67100000000000004</v>
      </c>
      <c r="D3331" t="s">
        <v>1264</v>
      </c>
      <c r="E3331">
        <v>100078</v>
      </c>
      <c r="F3331">
        <v>38308</v>
      </c>
      <c r="G3331" t="str">
        <f t="shared" si="276"/>
        <v>38308</v>
      </c>
      <c r="H3331" t="s">
        <v>581</v>
      </c>
      <c r="I3331" t="s">
        <v>1265</v>
      </c>
      <c r="J3331" t="s">
        <v>1271</v>
      </c>
      <c r="K3331" t="s">
        <v>1272</v>
      </c>
      <c r="L3331" t="s">
        <v>1286</v>
      </c>
      <c r="M3331" t="s">
        <v>1287</v>
      </c>
      <c r="N3331">
        <v>1</v>
      </c>
      <c r="O3331" t="str">
        <f t="shared" ref="O3331:O3394" si="279">MID(L3331,3,2)</f>
        <v>24</v>
      </c>
      <c r="P3331">
        <v>96</v>
      </c>
      <c r="Q3331">
        <v>24</v>
      </c>
      <c r="R3331" t="s">
        <v>1269</v>
      </c>
      <c r="S3331">
        <v>0.67100000000000004</v>
      </c>
      <c r="T3331">
        <v>0.15140000000000001</v>
      </c>
      <c r="U3331">
        <f t="shared" ref="U3331:U3394" si="280">IF(N3331=21,ROUND(T3331*S3331,3),0)</f>
        <v>0</v>
      </c>
      <c r="V3331" t="str">
        <f t="shared" si="277"/>
        <v>High Family Engagement Coordinator</v>
      </c>
      <c r="W3331" t="str">
        <f t="shared" si="278"/>
        <v>Family Engagement Coordinator</v>
      </c>
    </row>
    <row r="3332" spans="1:23" x14ac:dyDescent="0.25">
      <c r="A3332">
        <v>38308</v>
      </c>
      <c r="B3332" t="s">
        <v>1299</v>
      </c>
      <c r="C3332">
        <v>0.24199999999999999</v>
      </c>
      <c r="D3332" t="s">
        <v>1264</v>
      </c>
      <c r="E3332">
        <v>100078</v>
      </c>
      <c r="F3332">
        <v>38308</v>
      </c>
      <c r="G3332" t="str">
        <f t="shared" si="276"/>
        <v>38308</v>
      </c>
      <c r="H3332" t="s">
        <v>581</v>
      </c>
      <c r="I3332" t="s">
        <v>1265</v>
      </c>
      <c r="J3332" t="s">
        <v>1271</v>
      </c>
      <c r="K3332" t="s">
        <v>1272</v>
      </c>
      <c r="L3332" t="s">
        <v>1299</v>
      </c>
      <c r="M3332" t="s">
        <v>1300</v>
      </c>
      <c r="N3332">
        <v>1</v>
      </c>
      <c r="O3332" t="str">
        <f t="shared" si="279"/>
        <v>25</v>
      </c>
      <c r="Q3332">
        <v>25</v>
      </c>
      <c r="R3332" t="s">
        <v>1269</v>
      </c>
      <c r="S3332">
        <v>0.24199999999999999</v>
      </c>
      <c r="T3332">
        <v>0.15140000000000001</v>
      </c>
      <c r="U3332">
        <f t="shared" si="280"/>
        <v>0</v>
      </c>
      <c r="V3332" t="str">
        <f t="shared" si="277"/>
        <v>High Pupil Management</v>
      </c>
      <c r="W3332" t="str">
        <f t="shared" si="278"/>
        <v>Pupil Management</v>
      </c>
    </row>
    <row r="3333" spans="1:23" x14ac:dyDescent="0.25">
      <c r="A3333">
        <v>38320</v>
      </c>
      <c r="B3333" t="s">
        <v>1308</v>
      </c>
      <c r="C3333">
        <v>4.4999999999999998E-2</v>
      </c>
      <c r="D3333" t="s">
        <v>1264</v>
      </c>
      <c r="E3333">
        <v>100225</v>
      </c>
      <c r="F3333">
        <v>38320</v>
      </c>
      <c r="G3333" t="str">
        <f t="shared" si="276"/>
        <v>38320</v>
      </c>
      <c r="H3333" t="s">
        <v>582</v>
      </c>
      <c r="I3333" t="s">
        <v>1265</v>
      </c>
      <c r="J3333" t="s">
        <v>1276</v>
      </c>
      <c r="K3333" t="s">
        <v>1277</v>
      </c>
      <c r="L3333" t="s">
        <v>1308</v>
      </c>
      <c r="M3333" t="s">
        <v>1389</v>
      </c>
      <c r="N3333">
        <v>1</v>
      </c>
      <c r="O3333" t="str">
        <f t="shared" si="279"/>
        <v>25</v>
      </c>
      <c r="Q3333">
        <v>25</v>
      </c>
      <c r="R3333" t="s">
        <v>1269</v>
      </c>
      <c r="S3333">
        <v>4.4999999999999998E-2</v>
      </c>
      <c r="T3333">
        <v>0.1187</v>
      </c>
      <c r="U3333">
        <f t="shared" si="280"/>
        <v>0</v>
      </c>
      <c r="V3333" t="str">
        <f t="shared" si="277"/>
        <v>Elementary Pupil Management</v>
      </c>
      <c r="W3333" t="str">
        <f t="shared" si="278"/>
        <v>Pupil Management</v>
      </c>
    </row>
    <row r="3334" spans="1:23" x14ac:dyDescent="0.25">
      <c r="A3334">
        <v>38320</v>
      </c>
      <c r="B3334" t="s">
        <v>1299</v>
      </c>
      <c r="C3334">
        <v>8.8999999999999996E-2</v>
      </c>
      <c r="D3334" t="s">
        <v>1264</v>
      </c>
      <c r="E3334">
        <v>100225</v>
      </c>
      <c r="F3334">
        <v>38320</v>
      </c>
      <c r="G3334" t="str">
        <f t="shared" si="276"/>
        <v>38320</v>
      </c>
      <c r="H3334" t="s">
        <v>582</v>
      </c>
      <c r="I3334" t="s">
        <v>1265</v>
      </c>
      <c r="J3334" t="s">
        <v>1271</v>
      </c>
      <c r="K3334" t="s">
        <v>1272</v>
      </c>
      <c r="L3334" t="s">
        <v>1299</v>
      </c>
      <c r="M3334" t="s">
        <v>1300</v>
      </c>
      <c r="N3334">
        <v>1</v>
      </c>
      <c r="O3334" t="str">
        <f t="shared" si="279"/>
        <v>25</v>
      </c>
      <c r="Q3334">
        <v>25</v>
      </c>
      <c r="R3334" t="s">
        <v>1269</v>
      </c>
      <c r="S3334">
        <v>8.8999999999999996E-2</v>
      </c>
      <c r="T3334">
        <v>0.1187</v>
      </c>
      <c r="U3334">
        <f t="shared" si="280"/>
        <v>0</v>
      </c>
      <c r="V3334" t="str">
        <f t="shared" si="277"/>
        <v>High Pupil Management</v>
      </c>
      <c r="W3334" t="str">
        <f t="shared" si="278"/>
        <v>Pupil Management</v>
      </c>
    </row>
    <row r="3335" spans="1:23" x14ac:dyDescent="0.25">
      <c r="A3335">
        <v>38320</v>
      </c>
      <c r="B3335" t="s">
        <v>1363</v>
      </c>
      <c r="C3335">
        <v>0.14399999999999999</v>
      </c>
      <c r="D3335" t="s">
        <v>1264</v>
      </c>
      <c r="E3335">
        <v>100225</v>
      </c>
      <c r="F3335">
        <v>38320</v>
      </c>
      <c r="G3335" t="str">
        <f t="shared" si="276"/>
        <v>38320</v>
      </c>
      <c r="H3335" t="s">
        <v>582</v>
      </c>
      <c r="I3335" t="s">
        <v>1265</v>
      </c>
      <c r="J3335" t="s">
        <v>1266</v>
      </c>
      <c r="K3335" t="s">
        <v>1267</v>
      </c>
      <c r="L3335" t="s">
        <v>1363</v>
      </c>
      <c r="M3335" t="s">
        <v>1386</v>
      </c>
      <c r="N3335">
        <v>1</v>
      </c>
      <c r="O3335" t="str">
        <f t="shared" si="279"/>
        <v>25</v>
      </c>
      <c r="Q3335">
        <v>25</v>
      </c>
      <c r="R3335" t="s">
        <v>1269</v>
      </c>
      <c r="S3335">
        <v>0.14399999999999999</v>
      </c>
      <c r="T3335">
        <v>0.1187</v>
      </c>
      <c r="U3335">
        <f t="shared" si="280"/>
        <v>0</v>
      </c>
      <c r="V3335" t="str">
        <f t="shared" si="277"/>
        <v>Middle Pupil Management</v>
      </c>
      <c r="W3335" t="str">
        <f t="shared" si="278"/>
        <v>Pupil Management</v>
      </c>
    </row>
    <row r="3336" spans="1:23" x14ac:dyDescent="0.25">
      <c r="A3336">
        <v>38320</v>
      </c>
      <c r="B3336" t="s">
        <v>1315</v>
      </c>
      <c r="C3336">
        <v>9.2999999999999999E-2</v>
      </c>
      <c r="D3336" t="s">
        <v>1264</v>
      </c>
      <c r="E3336">
        <v>100225</v>
      </c>
      <c r="F3336">
        <v>38320</v>
      </c>
      <c r="G3336" t="str">
        <f t="shared" si="276"/>
        <v>38320</v>
      </c>
      <c r="H3336" t="s">
        <v>582</v>
      </c>
      <c r="I3336" t="s">
        <v>1265</v>
      </c>
      <c r="J3336" t="s">
        <v>1276</v>
      </c>
      <c r="K3336" t="s">
        <v>1277</v>
      </c>
      <c r="L3336" t="s">
        <v>1315</v>
      </c>
      <c r="M3336" t="s">
        <v>1375</v>
      </c>
      <c r="N3336">
        <v>1</v>
      </c>
      <c r="O3336" t="str">
        <f t="shared" si="279"/>
        <v>26</v>
      </c>
      <c r="Q3336">
        <v>26</v>
      </c>
      <c r="R3336" t="s">
        <v>1269</v>
      </c>
      <c r="S3336">
        <v>9.2999999999999999E-2</v>
      </c>
      <c r="T3336">
        <v>0.1187</v>
      </c>
      <c r="U3336">
        <f t="shared" si="280"/>
        <v>0</v>
      </c>
      <c r="V3336" t="str">
        <f t="shared" si="277"/>
        <v>Elementary Health/
Related Services</v>
      </c>
      <c r="W3336" t="str">
        <f t="shared" si="278"/>
        <v>Health/
Related Services</v>
      </c>
    </row>
    <row r="3337" spans="1:23" x14ac:dyDescent="0.25">
      <c r="A3337">
        <v>38320</v>
      </c>
      <c r="B3337" t="s">
        <v>1295</v>
      </c>
      <c r="C3337">
        <v>9.2999999999999999E-2</v>
      </c>
      <c r="D3337" t="s">
        <v>1264</v>
      </c>
      <c r="E3337">
        <v>100225</v>
      </c>
      <c r="F3337">
        <v>38320</v>
      </c>
      <c r="G3337" t="str">
        <f t="shared" si="276"/>
        <v>38320</v>
      </c>
      <c r="H3337" t="s">
        <v>582</v>
      </c>
      <c r="I3337" t="s">
        <v>1265</v>
      </c>
      <c r="J3337" t="s">
        <v>1271</v>
      </c>
      <c r="K3337" t="s">
        <v>1272</v>
      </c>
      <c r="L3337" t="s">
        <v>1295</v>
      </c>
      <c r="M3337" t="s">
        <v>1296</v>
      </c>
      <c r="N3337">
        <v>1</v>
      </c>
      <c r="O3337" t="str">
        <f t="shared" si="279"/>
        <v>26</v>
      </c>
      <c r="Q3337">
        <v>26</v>
      </c>
      <c r="R3337" t="s">
        <v>1269</v>
      </c>
      <c r="S3337">
        <v>9.2999999999999999E-2</v>
      </c>
      <c r="T3337">
        <v>0.1187</v>
      </c>
      <c r="U3337">
        <f t="shared" si="280"/>
        <v>0</v>
      </c>
      <c r="V3337" t="str">
        <f t="shared" si="277"/>
        <v>High Health/
Related Services</v>
      </c>
      <c r="W3337" t="str">
        <f t="shared" si="278"/>
        <v>Health/
Related Services</v>
      </c>
    </row>
    <row r="3338" spans="1:23" x14ac:dyDescent="0.25">
      <c r="A3338">
        <v>38320</v>
      </c>
      <c r="B3338" t="s">
        <v>1291</v>
      </c>
      <c r="C3338">
        <v>9.2999999999999999E-2</v>
      </c>
      <c r="D3338" t="s">
        <v>1264</v>
      </c>
      <c r="E3338">
        <v>100225</v>
      </c>
      <c r="F3338">
        <v>38320</v>
      </c>
      <c r="G3338" t="str">
        <f t="shared" si="276"/>
        <v>38320</v>
      </c>
      <c r="H3338" t="s">
        <v>582</v>
      </c>
      <c r="I3338" t="s">
        <v>1265</v>
      </c>
      <c r="J3338" t="s">
        <v>1266</v>
      </c>
      <c r="K3338" t="s">
        <v>1267</v>
      </c>
      <c r="L3338" t="s">
        <v>1291</v>
      </c>
      <c r="M3338" t="s">
        <v>1292</v>
      </c>
      <c r="N3338">
        <v>1</v>
      </c>
      <c r="O3338" t="str">
        <f t="shared" si="279"/>
        <v>26</v>
      </c>
      <c r="Q3338">
        <v>26</v>
      </c>
      <c r="R3338" t="s">
        <v>1269</v>
      </c>
      <c r="S3338">
        <v>9.2999999999999999E-2</v>
      </c>
      <c r="T3338">
        <v>0.1187</v>
      </c>
      <c r="U3338">
        <f t="shared" si="280"/>
        <v>0</v>
      </c>
      <c r="V3338" t="str">
        <f t="shared" si="277"/>
        <v>Middle Health/
Related Services</v>
      </c>
      <c r="W3338" t="str">
        <f t="shared" si="278"/>
        <v>Health/
Related Services</v>
      </c>
    </row>
    <row r="3339" spans="1:23" x14ac:dyDescent="0.25">
      <c r="A3339">
        <v>38320</v>
      </c>
      <c r="B3339" t="s">
        <v>1343</v>
      </c>
      <c r="C3339">
        <v>0.20399999999999999</v>
      </c>
      <c r="D3339" t="s">
        <v>1264</v>
      </c>
      <c r="E3339">
        <v>100225</v>
      </c>
      <c r="F3339">
        <v>38320</v>
      </c>
      <c r="G3339" t="str">
        <f t="shared" si="276"/>
        <v>38320</v>
      </c>
      <c r="H3339" t="s">
        <v>582</v>
      </c>
      <c r="I3339" t="s">
        <v>1265</v>
      </c>
      <c r="J3339" t="s">
        <v>1276</v>
      </c>
      <c r="K3339" t="s">
        <v>1277</v>
      </c>
      <c r="L3339" t="s">
        <v>1343</v>
      </c>
      <c r="M3339" t="s">
        <v>1434</v>
      </c>
      <c r="N3339">
        <v>1</v>
      </c>
      <c r="O3339" t="str">
        <f t="shared" si="279"/>
        <v>49</v>
      </c>
      <c r="P3339">
        <v>49</v>
      </c>
      <c r="R3339" t="s">
        <v>1269</v>
      </c>
      <c r="S3339">
        <v>0.20399999999999999</v>
      </c>
      <c r="T3339">
        <v>0.1187</v>
      </c>
      <c r="U3339">
        <f t="shared" si="280"/>
        <v>0</v>
      </c>
      <c r="V3339" t="str">
        <f t="shared" si="277"/>
        <v>Elementary Behavior Analyst</v>
      </c>
      <c r="W3339" t="str">
        <f t="shared" si="278"/>
        <v>Behavior Analyst</v>
      </c>
    </row>
    <row r="3340" spans="1:23" x14ac:dyDescent="0.25">
      <c r="A3340">
        <v>38320</v>
      </c>
      <c r="B3340" t="s">
        <v>1399</v>
      </c>
      <c r="C3340">
        <v>0.20399999999999999</v>
      </c>
      <c r="D3340" t="s">
        <v>1264</v>
      </c>
      <c r="E3340">
        <v>100225</v>
      </c>
      <c r="F3340">
        <v>38320</v>
      </c>
      <c r="G3340" t="str">
        <f t="shared" si="276"/>
        <v>38320</v>
      </c>
      <c r="H3340" t="s">
        <v>582</v>
      </c>
      <c r="I3340" t="s">
        <v>1265</v>
      </c>
      <c r="J3340" t="s">
        <v>1271</v>
      </c>
      <c r="K3340" t="s">
        <v>1272</v>
      </c>
      <c r="L3340" t="s">
        <v>1399</v>
      </c>
      <c r="M3340" t="s">
        <v>1410</v>
      </c>
      <c r="N3340">
        <v>1</v>
      </c>
      <c r="O3340" t="str">
        <f t="shared" si="279"/>
        <v>49</v>
      </c>
      <c r="P3340">
        <v>49</v>
      </c>
      <c r="R3340" t="s">
        <v>1269</v>
      </c>
      <c r="S3340">
        <v>0.20399999999999999</v>
      </c>
      <c r="T3340">
        <v>0.1187</v>
      </c>
      <c r="U3340">
        <f t="shared" si="280"/>
        <v>0</v>
      </c>
      <c r="V3340" t="str">
        <f t="shared" si="277"/>
        <v>High Behavior Analyst</v>
      </c>
      <c r="W3340" t="str">
        <f t="shared" si="278"/>
        <v>Behavior Analyst</v>
      </c>
    </row>
    <row r="3341" spans="1:23" x14ac:dyDescent="0.25">
      <c r="A3341">
        <v>38320</v>
      </c>
      <c r="B3341" t="s">
        <v>1477</v>
      </c>
      <c r="C3341">
        <v>0.20399999999999999</v>
      </c>
      <c r="D3341" t="s">
        <v>1264</v>
      </c>
      <c r="E3341">
        <v>100225</v>
      </c>
      <c r="F3341">
        <v>38320</v>
      </c>
      <c r="G3341" t="str">
        <f t="shared" si="276"/>
        <v>38320</v>
      </c>
      <c r="H3341" t="s">
        <v>582</v>
      </c>
      <c r="I3341" t="s">
        <v>1265</v>
      </c>
      <c r="J3341" t="s">
        <v>1266</v>
      </c>
      <c r="K3341" t="s">
        <v>1267</v>
      </c>
      <c r="L3341" t="s">
        <v>1477</v>
      </c>
      <c r="M3341" t="s">
        <v>1613</v>
      </c>
      <c r="N3341">
        <v>1</v>
      </c>
      <c r="O3341" t="str">
        <f t="shared" si="279"/>
        <v>49</v>
      </c>
      <c r="P3341">
        <v>49</v>
      </c>
      <c r="R3341" t="s">
        <v>1269</v>
      </c>
      <c r="S3341">
        <v>0.20399999999999999</v>
      </c>
      <c r="T3341">
        <v>0.1187</v>
      </c>
      <c r="U3341">
        <f t="shared" si="280"/>
        <v>0</v>
      </c>
      <c r="V3341" t="str">
        <f t="shared" si="277"/>
        <v>Middle Behavior Analyst</v>
      </c>
      <c r="W3341" t="str">
        <f t="shared" si="278"/>
        <v>Behavior Analyst</v>
      </c>
    </row>
    <row r="3342" spans="1:23" x14ac:dyDescent="0.25">
      <c r="A3342">
        <v>38322</v>
      </c>
      <c r="B3342" t="s">
        <v>1275</v>
      </c>
      <c r="C3342">
        <v>0.13</v>
      </c>
      <c r="D3342" t="s">
        <v>1264</v>
      </c>
      <c r="E3342">
        <v>100249</v>
      </c>
      <c r="F3342">
        <v>38322</v>
      </c>
      <c r="G3342" t="str">
        <f t="shared" si="276"/>
        <v>38322</v>
      </c>
      <c r="H3342" t="s">
        <v>583</v>
      </c>
      <c r="I3342" t="s">
        <v>1265</v>
      </c>
      <c r="J3342" t="s">
        <v>1276</v>
      </c>
      <c r="K3342" t="s">
        <v>1277</v>
      </c>
      <c r="L3342" t="s">
        <v>1275</v>
      </c>
      <c r="M3342" t="s">
        <v>1278</v>
      </c>
      <c r="N3342">
        <v>1</v>
      </c>
      <c r="O3342" t="str">
        <f t="shared" si="279"/>
        <v>42</v>
      </c>
      <c r="P3342">
        <v>42</v>
      </c>
      <c r="R3342" t="s">
        <v>1269</v>
      </c>
      <c r="S3342">
        <v>0.13</v>
      </c>
      <c r="T3342">
        <v>0.13819999999999999</v>
      </c>
      <c r="U3342">
        <f t="shared" si="280"/>
        <v>0</v>
      </c>
      <c r="V3342" t="str">
        <f t="shared" si="277"/>
        <v>Elementary Counselor</v>
      </c>
      <c r="W3342" t="str">
        <f t="shared" si="278"/>
        <v>Counselor</v>
      </c>
    </row>
    <row r="3343" spans="1:23" x14ac:dyDescent="0.25">
      <c r="A3343">
        <v>38322</v>
      </c>
      <c r="B3343" t="s">
        <v>1270</v>
      </c>
      <c r="C3343">
        <v>0.30299999999999999</v>
      </c>
      <c r="D3343" t="s">
        <v>1264</v>
      </c>
      <c r="E3343">
        <v>100249</v>
      </c>
      <c r="F3343">
        <v>38322</v>
      </c>
      <c r="G3343" t="str">
        <f t="shared" si="276"/>
        <v>38322</v>
      </c>
      <c r="H3343" t="s">
        <v>583</v>
      </c>
      <c r="I3343" t="s">
        <v>1265</v>
      </c>
      <c r="J3343" t="s">
        <v>1271</v>
      </c>
      <c r="K3343" t="s">
        <v>1272</v>
      </c>
      <c r="L3343" t="s">
        <v>1270</v>
      </c>
      <c r="M3343" t="s">
        <v>1273</v>
      </c>
      <c r="N3343">
        <v>1</v>
      </c>
      <c r="O3343" t="str">
        <f t="shared" si="279"/>
        <v>42</v>
      </c>
      <c r="P3343">
        <v>42</v>
      </c>
      <c r="R3343" t="s">
        <v>1269</v>
      </c>
      <c r="S3343">
        <v>0.30299999999999999</v>
      </c>
      <c r="T3343">
        <v>0.13819999999999999</v>
      </c>
      <c r="U3343">
        <f t="shared" si="280"/>
        <v>0</v>
      </c>
      <c r="V3343" t="str">
        <f t="shared" si="277"/>
        <v>High Counselor</v>
      </c>
      <c r="W3343" t="str">
        <f t="shared" si="278"/>
        <v>Counselor</v>
      </c>
    </row>
    <row r="3344" spans="1:23" x14ac:dyDescent="0.25">
      <c r="A3344">
        <v>38324</v>
      </c>
      <c r="B3344" t="s">
        <v>1315</v>
      </c>
      <c r="C3344">
        <v>0.22700000000000001</v>
      </c>
      <c r="D3344" t="s">
        <v>1264</v>
      </c>
      <c r="E3344">
        <v>100176</v>
      </c>
      <c r="F3344">
        <v>38324</v>
      </c>
      <c r="G3344" t="str">
        <f t="shared" si="276"/>
        <v>38324</v>
      </c>
      <c r="H3344" t="s">
        <v>584</v>
      </c>
      <c r="I3344" t="s">
        <v>1265</v>
      </c>
      <c r="J3344" t="s">
        <v>1276</v>
      </c>
      <c r="K3344" t="s">
        <v>1277</v>
      </c>
      <c r="L3344" t="s">
        <v>1315</v>
      </c>
      <c r="M3344" t="s">
        <v>1375</v>
      </c>
      <c r="N3344">
        <v>1</v>
      </c>
      <c r="O3344" t="str">
        <f t="shared" si="279"/>
        <v>26</v>
      </c>
      <c r="Q3344">
        <v>26</v>
      </c>
      <c r="R3344" t="s">
        <v>1269</v>
      </c>
      <c r="S3344">
        <v>0.22700000000000001</v>
      </c>
      <c r="T3344">
        <v>0.16189999999999999</v>
      </c>
      <c r="U3344">
        <f t="shared" si="280"/>
        <v>0</v>
      </c>
      <c r="V3344" t="str">
        <f t="shared" si="277"/>
        <v>Elementary Health/
Related Services</v>
      </c>
      <c r="W3344" t="str">
        <f t="shared" si="278"/>
        <v>Health/
Related Services</v>
      </c>
    </row>
    <row r="3345" spans="1:23" x14ac:dyDescent="0.25">
      <c r="A3345">
        <v>38324</v>
      </c>
      <c r="B3345" t="s">
        <v>1295</v>
      </c>
      <c r="C3345">
        <v>0.113</v>
      </c>
      <c r="D3345" t="s">
        <v>1264</v>
      </c>
      <c r="E3345">
        <v>100176</v>
      </c>
      <c r="F3345">
        <v>38324</v>
      </c>
      <c r="G3345" t="str">
        <f t="shared" si="276"/>
        <v>38324</v>
      </c>
      <c r="H3345" t="s">
        <v>584</v>
      </c>
      <c r="I3345" t="s">
        <v>1265</v>
      </c>
      <c r="J3345" t="s">
        <v>1271</v>
      </c>
      <c r="K3345" t="s">
        <v>1272</v>
      </c>
      <c r="L3345" t="s">
        <v>1295</v>
      </c>
      <c r="M3345" t="s">
        <v>1296</v>
      </c>
      <c r="N3345">
        <v>1</v>
      </c>
      <c r="O3345" t="str">
        <f t="shared" si="279"/>
        <v>26</v>
      </c>
      <c r="Q3345">
        <v>26</v>
      </c>
      <c r="R3345" t="s">
        <v>1269</v>
      </c>
      <c r="S3345">
        <v>0.113</v>
      </c>
      <c r="T3345">
        <v>0.16189999999999999</v>
      </c>
      <c r="U3345">
        <f t="shared" si="280"/>
        <v>0</v>
      </c>
      <c r="V3345" t="str">
        <f t="shared" si="277"/>
        <v>High Health/
Related Services</v>
      </c>
      <c r="W3345" t="str">
        <f t="shared" si="278"/>
        <v>Health/
Related Services</v>
      </c>
    </row>
    <row r="3346" spans="1:23" x14ac:dyDescent="0.25">
      <c r="A3346">
        <v>38324</v>
      </c>
      <c r="B3346" t="s">
        <v>1291</v>
      </c>
      <c r="C3346">
        <v>0.113</v>
      </c>
      <c r="D3346" t="s">
        <v>1264</v>
      </c>
      <c r="E3346">
        <v>100176</v>
      </c>
      <c r="F3346">
        <v>38324</v>
      </c>
      <c r="G3346" t="str">
        <f t="shared" si="276"/>
        <v>38324</v>
      </c>
      <c r="H3346" t="s">
        <v>584</v>
      </c>
      <c r="I3346" t="s">
        <v>1265</v>
      </c>
      <c r="J3346" t="s">
        <v>1266</v>
      </c>
      <c r="K3346" t="s">
        <v>1267</v>
      </c>
      <c r="L3346" t="s">
        <v>1291</v>
      </c>
      <c r="M3346" t="s">
        <v>1292</v>
      </c>
      <c r="N3346">
        <v>1</v>
      </c>
      <c r="O3346" t="str">
        <f t="shared" si="279"/>
        <v>26</v>
      </c>
      <c r="Q3346">
        <v>26</v>
      </c>
      <c r="R3346" t="s">
        <v>1269</v>
      </c>
      <c r="S3346">
        <v>0.113</v>
      </c>
      <c r="T3346">
        <v>0.16189999999999999</v>
      </c>
      <c r="U3346">
        <f t="shared" si="280"/>
        <v>0</v>
      </c>
      <c r="V3346" t="str">
        <f t="shared" si="277"/>
        <v>Middle Health/
Related Services</v>
      </c>
      <c r="W3346" t="str">
        <f t="shared" si="278"/>
        <v>Health/
Related Services</v>
      </c>
    </row>
    <row r="3347" spans="1:23" x14ac:dyDescent="0.25">
      <c r="A3347">
        <v>38324</v>
      </c>
      <c r="B3347" t="s">
        <v>1270</v>
      </c>
      <c r="C3347">
        <v>0.6</v>
      </c>
      <c r="D3347" t="s">
        <v>1264</v>
      </c>
      <c r="E3347">
        <v>100176</v>
      </c>
      <c r="F3347">
        <v>38324</v>
      </c>
      <c r="G3347" t="str">
        <f t="shared" si="276"/>
        <v>38324</v>
      </c>
      <c r="H3347" t="s">
        <v>584</v>
      </c>
      <c r="I3347" t="s">
        <v>1265</v>
      </c>
      <c r="J3347" t="s">
        <v>1271</v>
      </c>
      <c r="K3347" t="s">
        <v>1272</v>
      </c>
      <c r="L3347" t="s">
        <v>1270</v>
      </c>
      <c r="M3347" t="s">
        <v>1273</v>
      </c>
      <c r="N3347">
        <v>1</v>
      </c>
      <c r="O3347" t="str">
        <f t="shared" si="279"/>
        <v>42</v>
      </c>
      <c r="P3347">
        <v>42</v>
      </c>
      <c r="R3347" t="s">
        <v>1269</v>
      </c>
      <c r="S3347">
        <v>0.6</v>
      </c>
      <c r="T3347">
        <v>0.16189999999999999</v>
      </c>
      <c r="U3347">
        <f t="shared" si="280"/>
        <v>0</v>
      </c>
      <c r="V3347" t="str">
        <f t="shared" si="277"/>
        <v>High Counselor</v>
      </c>
      <c r="W3347" t="str">
        <f t="shared" si="278"/>
        <v>Counselor</v>
      </c>
    </row>
    <row r="3348" spans="1:23" x14ac:dyDescent="0.25">
      <c r="A3348">
        <v>39002</v>
      </c>
      <c r="B3348" t="s">
        <v>1299</v>
      </c>
      <c r="C3348">
        <v>3.0939999999999999</v>
      </c>
      <c r="D3348" t="s">
        <v>1264</v>
      </c>
      <c r="E3348">
        <v>100274</v>
      </c>
      <c r="F3348">
        <v>39002</v>
      </c>
      <c r="G3348" t="str">
        <f t="shared" si="276"/>
        <v>39002</v>
      </c>
      <c r="H3348" t="s">
        <v>585</v>
      </c>
      <c r="I3348" t="s">
        <v>1265</v>
      </c>
      <c r="J3348" t="s">
        <v>1271</v>
      </c>
      <c r="K3348" t="s">
        <v>1272</v>
      </c>
      <c r="L3348" t="s">
        <v>1299</v>
      </c>
      <c r="M3348" t="s">
        <v>1300</v>
      </c>
      <c r="N3348">
        <v>1</v>
      </c>
      <c r="O3348" t="str">
        <f t="shared" si="279"/>
        <v>25</v>
      </c>
      <c r="Q3348">
        <v>25</v>
      </c>
      <c r="R3348" t="s">
        <v>1269</v>
      </c>
      <c r="S3348">
        <v>3.0939999999999999</v>
      </c>
      <c r="T3348">
        <v>0.19009999999999999</v>
      </c>
      <c r="U3348">
        <f t="shared" si="280"/>
        <v>0</v>
      </c>
      <c r="V3348" t="str">
        <f t="shared" si="277"/>
        <v>High Pupil Management</v>
      </c>
      <c r="W3348" t="str">
        <f t="shared" si="278"/>
        <v>Pupil Management</v>
      </c>
    </row>
    <row r="3349" spans="1:23" x14ac:dyDescent="0.25">
      <c r="A3349">
        <v>39002</v>
      </c>
      <c r="B3349" t="s">
        <v>1324</v>
      </c>
      <c r="C3349">
        <v>0.64600000000000002</v>
      </c>
      <c r="D3349" t="s">
        <v>1264</v>
      </c>
      <c r="E3349">
        <v>100274</v>
      </c>
      <c r="F3349">
        <v>39002</v>
      </c>
      <c r="G3349" t="str">
        <f t="shared" si="276"/>
        <v>39002</v>
      </c>
      <c r="H3349" t="s">
        <v>585</v>
      </c>
      <c r="I3349" t="s">
        <v>1265</v>
      </c>
      <c r="J3349" t="s">
        <v>1271</v>
      </c>
      <c r="K3349" t="s">
        <v>1272</v>
      </c>
      <c r="L3349" t="s">
        <v>1324</v>
      </c>
      <c r="M3349" t="s">
        <v>1325</v>
      </c>
      <c r="N3349">
        <v>21</v>
      </c>
      <c r="O3349" t="str">
        <f t="shared" si="279"/>
        <v>26</v>
      </c>
      <c r="Q3349">
        <v>26</v>
      </c>
      <c r="R3349" t="s">
        <v>1269</v>
      </c>
      <c r="S3349">
        <v>0.64600000000000002</v>
      </c>
      <c r="T3349">
        <v>0.19009999999999999</v>
      </c>
      <c r="U3349">
        <f t="shared" si="280"/>
        <v>0.123</v>
      </c>
      <c r="V3349" t="str">
        <f t="shared" si="277"/>
        <v>High Health/
Related Services</v>
      </c>
      <c r="W3349" t="str">
        <f t="shared" si="278"/>
        <v>Health/
Related Services</v>
      </c>
    </row>
    <row r="3350" spans="1:23" x14ac:dyDescent="0.25">
      <c r="A3350">
        <v>39002</v>
      </c>
      <c r="B3350" t="s">
        <v>1295</v>
      </c>
      <c r="C3350">
        <v>0.91100000000000003</v>
      </c>
      <c r="D3350" t="s">
        <v>1264</v>
      </c>
      <c r="E3350">
        <v>100274</v>
      </c>
      <c r="F3350">
        <v>39002</v>
      </c>
      <c r="G3350" t="str">
        <f t="shared" si="276"/>
        <v>39002</v>
      </c>
      <c r="H3350" t="s">
        <v>585</v>
      </c>
      <c r="I3350" t="s">
        <v>1265</v>
      </c>
      <c r="J3350" t="s">
        <v>1271</v>
      </c>
      <c r="K3350" t="s">
        <v>1272</v>
      </c>
      <c r="L3350" t="s">
        <v>1295</v>
      </c>
      <c r="M3350" t="s">
        <v>1296</v>
      </c>
      <c r="N3350">
        <v>1</v>
      </c>
      <c r="O3350" t="str">
        <f t="shared" si="279"/>
        <v>26</v>
      </c>
      <c r="Q3350">
        <v>26</v>
      </c>
      <c r="R3350" t="s">
        <v>1269</v>
      </c>
      <c r="S3350">
        <v>0.91100000000000003</v>
      </c>
      <c r="T3350">
        <v>0.19009999999999999</v>
      </c>
      <c r="U3350">
        <f t="shared" si="280"/>
        <v>0</v>
      </c>
      <c r="V3350" t="str">
        <f t="shared" si="277"/>
        <v>High Health/
Related Services</v>
      </c>
      <c r="W3350" t="str">
        <f t="shared" si="278"/>
        <v>Health/
Related Services</v>
      </c>
    </row>
    <row r="3351" spans="1:23" x14ac:dyDescent="0.25">
      <c r="A3351">
        <v>39002</v>
      </c>
      <c r="B3351" t="s">
        <v>1275</v>
      </c>
      <c r="C3351">
        <v>0.5</v>
      </c>
      <c r="D3351" t="s">
        <v>1264</v>
      </c>
      <c r="E3351">
        <v>100274</v>
      </c>
      <c r="F3351">
        <v>39002</v>
      </c>
      <c r="G3351" t="str">
        <f t="shared" si="276"/>
        <v>39002</v>
      </c>
      <c r="H3351" t="s">
        <v>585</v>
      </c>
      <c r="I3351" t="s">
        <v>1265</v>
      </c>
      <c r="J3351" t="s">
        <v>1276</v>
      </c>
      <c r="K3351" t="s">
        <v>1277</v>
      </c>
      <c r="L3351" t="s">
        <v>1275</v>
      </c>
      <c r="M3351" t="s">
        <v>1278</v>
      </c>
      <c r="N3351">
        <v>1</v>
      </c>
      <c r="O3351" t="str">
        <f t="shared" si="279"/>
        <v>42</v>
      </c>
      <c r="P3351">
        <v>42</v>
      </c>
      <c r="R3351" t="s">
        <v>1269</v>
      </c>
      <c r="S3351">
        <v>0.5</v>
      </c>
      <c r="T3351">
        <v>0.19009999999999999</v>
      </c>
      <c r="U3351">
        <f t="shared" si="280"/>
        <v>0</v>
      </c>
      <c r="V3351" t="str">
        <f t="shared" si="277"/>
        <v>Elementary Counselor</v>
      </c>
      <c r="W3351" t="str">
        <f t="shared" si="278"/>
        <v>Counselor</v>
      </c>
    </row>
    <row r="3352" spans="1:23" x14ac:dyDescent="0.25">
      <c r="A3352">
        <v>39002</v>
      </c>
      <c r="B3352" t="s">
        <v>1263</v>
      </c>
      <c r="C3352">
        <v>0.5</v>
      </c>
      <c r="D3352" t="s">
        <v>1264</v>
      </c>
      <c r="E3352">
        <v>100274</v>
      </c>
      <c r="F3352">
        <v>39002</v>
      </c>
      <c r="G3352" t="str">
        <f t="shared" si="276"/>
        <v>39002</v>
      </c>
      <c r="H3352" t="s">
        <v>585</v>
      </c>
      <c r="I3352" t="s">
        <v>1265</v>
      </c>
      <c r="J3352" t="s">
        <v>1266</v>
      </c>
      <c r="K3352" t="s">
        <v>1267</v>
      </c>
      <c r="L3352" t="s">
        <v>1263</v>
      </c>
      <c r="M3352" t="s">
        <v>1268</v>
      </c>
      <c r="N3352">
        <v>1</v>
      </c>
      <c r="O3352" t="str">
        <f t="shared" si="279"/>
        <v>42</v>
      </c>
      <c r="P3352">
        <v>42</v>
      </c>
      <c r="R3352" t="s">
        <v>1269</v>
      </c>
      <c r="S3352">
        <v>0.5</v>
      </c>
      <c r="T3352">
        <v>0.19009999999999999</v>
      </c>
      <c r="U3352">
        <f t="shared" si="280"/>
        <v>0</v>
      </c>
      <c r="V3352" t="str">
        <f t="shared" si="277"/>
        <v>Middle Counselor</v>
      </c>
      <c r="W3352" t="str">
        <f t="shared" si="278"/>
        <v>Counselor</v>
      </c>
    </row>
    <row r="3353" spans="1:23" x14ac:dyDescent="0.25">
      <c r="A3353">
        <v>39002</v>
      </c>
      <c r="B3353" t="s">
        <v>1298</v>
      </c>
      <c r="C3353">
        <v>0.5</v>
      </c>
      <c r="D3353" t="s">
        <v>1264</v>
      </c>
      <c r="E3353">
        <v>100274</v>
      </c>
      <c r="F3353">
        <v>39002</v>
      </c>
      <c r="G3353" t="str">
        <f t="shared" si="276"/>
        <v>39002</v>
      </c>
      <c r="H3353" t="s">
        <v>585</v>
      </c>
      <c r="I3353" t="s">
        <v>1265</v>
      </c>
      <c r="J3353" t="s">
        <v>1276</v>
      </c>
      <c r="K3353" t="s">
        <v>1277</v>
      </c>
      <c r="L3353" t="s">
        <v>1298</v>
      </c>
      <c r="M3353" t="s">
        <v>1349</v>
      </c>
      <c r="N3353">
        <v>21</v>
      </c>
      <c r="O3353" t="str">
        <f t="shared" si="279"/>
        <v>46</v>
      </c>
      <c r="P3353">
        <v>46</v>
      </c>
      <c r="R3353" t="s">
        <v>1269</v>
      </c>
      <c r="S3353">
        <v>0.5</v>
      </c>
      <c r="T3353">
        <v>0.19009999999999999</v>
      </c>
      <c r="U3353">
        <f t="shared" si="280"/>
        <v>9.5000000000000001E-2</v>
      </c>
      <c r="V3353" t="str">
        <f t="shared" si="277"/>
        <v>Elementary Psychologist</v>
      </c>
      <c r="W3353" t="str">
        <f t="shared" si="278"/>
        <v>Psychologist</v>
      </c>
    </row>
    <row r="3354" spans="1:23" x14ac:dyDescent="0.25">
      <c r="A3354">
        <v>39002</v>
      </c>
      <c r="B3354" t="s">
        <v>1345</v>
      </c>
      <c r="C3354">
        <v>0.5</v>
      </c>
      <c r="D3354" t="s">
        <v>1264</v>
      </c>
      <c r="E3354">
        <v>100274</v>
      </c>
      <c r="F3354">
        <v>39002</v>
      </c>
      <c r="G3354" t="str">
        <f t="shared" si="276"/>
        <v>39002</v>
      </c>
      <c r="H3354" t="s">
        <v>585</v>
      </c>
      <c r="I3354" t="s">
        <v>1265</v>
      </c>
      <c r="J3354" t="s">
        <v>1266</v>
      </c>
      <c r="K3354" t="s">
        <v>1267</v>
      </c>
      <c r="L3354" t="s">
        <v>1345</v>
      </c>
      <c r="M3354" t="s">
        <v>1346</v>
      </c>
      <c r="N3354">
        <v>21</v>
      </c>
      <c r="O3354" t="str">
        <f t="shared" si="279"/>
        <v>46</v>
      </c>
      <c r="P3354">
        <v>46</v>
      </c>
      <c r="R3354" t="s">
        <v>1269</v>
      </c>
      <c r="S3354">
        <v>0.5</v>
      </c>
      <c r="T3354">
        <v>0.19009999999999999</v>
      </c>
      <c r="U3354">
        <f t="shared" si="280"/>
        <v>9.5000000000000001E-2</v>
      </c>
      <c r="V3354" t="str">
        <f t="shared" si="277"/>
        <v>Middle Psychologist</v>
      </c>
      <c r="W3354" t="str">
        <f t="shared" si="278"/>
        <v>Psychologist</v>
      </c>
    </row>
    <row r="3355" spans="1:23" x14ac:dyDescent="0.25">
      <c r="A3355">
        <v>39003</v>
      </c>
      <c r="B3355" t="s">
        <v>1301</v>
      </c>
      <c r="C3355">
        <v>6.9000000000000006E-2</v>
      </c>
      <c r="D3355" t="s">
        <v>1264</v>
      </c>
      <c r="E3355">
        <v>100160</v>
      </c>
      <c r="F3355">
        <v>39003</v>
      </c>
      <c r="G3355" t="str">
        <f t="shared" si="276"/>
        <v>39003</v>
      </c>
      <c r="H3355" t="s">
        <v>586</v>
      </c>
      <c r="I3355" t="s">
        <v>1265</v>
      </c>
      <c r="J3355" t="s">
        <v>1276</v>
      </c>
      <c r="K3355" t="s">
        <v>1277</v>
      </c>
      <c r="L3355" t="s">
        <v>1301</v>
      </c>
      <c r="M3355" t="s">
        <v>1427</v>
      </c>
      <c r="N3355">
        <v>21</v>
      </c>
      <c r="O3355" t="str">
        <f t="shared" si="279"/>
        <v>25</v>
      </c>
      <c r="Q3355">
        <v>25</v>
      </c>
      <c r="R3355" t="s">
        <v>1269</v>
      </c>
      <c r="S3355">
        <v>6.9000000000000006E-2</v>
      </c>
      <c r="T3355">
        <v>0.15840000000000001</v>
      </c>
      <c r="U3355">
        <f t="shared" si="280"/>
        <v>1.0999999999999999E-2</v>
      </c>
      <c r="V3355" t="str">
        <f t="shared" si="277"/>
        <v>Elementary Pupil Management</v>
      </c>
      <c r="W3355" t="str">
        <f t="shared" si="278"/>
        <v>Pupil Management</v>
      </c>
    </row>
    <row r="3356" spans="1:23" x14ac:dyDescent="0.25">
      <c r="A3356">
        <v>39003</v>
      </c>
      <c r="B3356" t="s">
        <v>1308</v>
      </c>
      <c r="C3356">
        <v>7.3999999999999996E-2</v>
      </c>
      <c r="D3356" t="s">
        <v>1264</v>
      </c>
      <c r="E3356">
        <v>100160</v>
      </c>
      <c r="F3356">
        <v>39003</v>
      </c>
      <c r="G3356" t="str">
        <f t="shared" si="276"/>
        <v>39003</v>
      </c>
      <c r="H3356" t="s">
        <v>586</v>
      </c>
      <c r="I3356" t="s">
        <v>1265</v>
      </c>
      <c r="J3356" t="s">
        <v>1276</v>
      </c>
      <c r="K3356" t="s">
        <v>1277</v>
      </c>
      <c r="L3356" t="s">
        <v>1308</v>
      </c>
      <c r="M3356" t="s">
        <v>1389</v>
      </c>
      <c r="N3356">
        <v>1</v>
      </c>
      <c r="O3356" t="str">
        <f t="shared" si="279"/>
        <v>25</v>
      </c>
      <c r="Q3356">
        <v>25</v>
      </c>
      <c r="R3356" t="s">
        <v>1269</v>
      </c>
      <c r="S3356">
        <v>7.3999999999999996E-2</v>
      </c>
      <c r="T3356">
        <v>0.15840000000000001</v>
      </c>
      <c r="U3356">
        <f t="shared" si="280"/>
        <v>0</v>
      </c>
      <c r="V3356" t="str">
        <f t="shared" si="277"/>
        <v>Elementary Pupil Management</v>
      </c>
      <c r="W3356" t="str">
        <f t="shared" si="278"/>
        <v>Pupil Management</v>
      </c>
    </row>
    <row r="3357" spans="1:23" x14ac:dyDescent="0.25">
      <c r="A3357">
        <v>39003</v>
      </c>
      <c r="B3357" t="s">
        <v>1299</v>
      </c>
      <c r="C3357">
        <v>0.14000000000000001</v>
      </c>
      <c r="D3357" t="s">
        <v>1264</v>
      </c>
      <c r="E3357">
        <v>100160</v>
      </c>
      <c r="F3357">
        <v>39003</v>
      </c>
      <c r="G3357" t="str">
        <f t="shared" si="276"/>
        <v>39003</v>
      </c>
      <c r="H3357" t="s">
        <v>586</v>
      </c>
      <c r="I3357" t="s">
        <v>1265</v>
      </c>
      <c r="J3357" t="s">
        <v>1271</v>
      </c>
      <c r="K3357" t="s">
        <v>1272</v>
      </c>
      <c r="L3357" t="s">
        <v>1299</v>
      </c>
      <c r="M3357" t="s">
        <v>1300</v>
      </c>
      <c r="N3357">
        <v>1</v>
      </c>
      <c r="O3357" t="str">
        <f t="shared" si="279"/>
        <v>25</v>
      </c>
      <c r="Q3357">
        <v>25</v>
      </c>
      <c r="R3357" t="s">
        <v>1269</v>
      </c>
      <c r="S3357">
        <v>0.14000000000000001</v>
      </c>
      <c r="T3357">
        <v>0.15840000000000001</v>
      </c>
      <c r="U3357">
        <f t="shared" si="280"/>
        <v>0</v>
      </c>
      <c r="V3357" t="str">
        <f t="shared" si="277"/>
        <v>High Pupil Management</v>
      </c>
      <c r="W3357" t="str">
        <f t="shared" si="278"/>
        <v>Pupil Management</v>
      </c>
    </row>
    <row r="3358" spans="1:23" x14ac:dyDescent="0.25">
      <c r="A3358">
        <v>39003</v>
      </c>
      <c r="B3358" t="s">
        <v>1363</v>
      </c>
      <c r="C3358">
        <v>0.56499999999999995</v>
      </c>
      <c r="D3358" t="s">
        <v>1264</v>
      </c>
      <c r="E3358">
        <v>100160</v>
      </c>
      <c r="F3358">
        <v>39003</v>
      </c>
      <c r="G3358" t="str">
        <f t="shared" si="276"/>
        <v>39003</v>
      </c>
      <c r="H3358" t="s">
        <v>586</v>
      </c>
      <c r="I3358" t="s">
        <v>1265</v>
      </c>
      <c r="J3358" t="s">
        <v>1266</v>
      </c>
      <c r="K3358" t="s">
        <v>1267</v>
      </c>
      <c r="L3358" t="s">
        <v>1363</v>
      </c>
      <c r="M3358" t="s">
        <v>1386</v>
      </c>
      <c r="N3358">
        <v>1</v>
      </c>
      <c r="O3358" t="str">
        <f t="shared" si="279"/>
        <v>25</v>
      </c>
      <c r="Q3358">
        <v>25</v>
      </c>
      <c r="R3358" t="s">
        <v>1269</v>
      </c>
      <c r="S3358">
        <v>0.56499999999999995</v>
      </c>
      <c r="T3358">
        <v>0.15840000000000001</v>
      </c>
      <c r="U3358">
        <f t="shared" si="280"/>
        <v>0</v>
      </c>
      <c r="V3358" t="str">
        <f t="shared" si="277"/>
        <v>Middle Pupil Management</v>
      </c>
      <c r="W3358" t="str">
        <f t="shared" si="278"/>
        <v>Pupil Management</v>
      </c>
    </row>
    <row r="3359" spans="1:23" x14ac:dyDescent="0.25">
      <c r="A3359">
        <v>39003</v>
      </c>
      <c r="B3359" t="s">
        <v>1311</v>
      </c>
      <c r="C3359">
        <v>0.59399999999999997</v>
      </c>
      <c r="D3359" t="s">
        <v>1264</v>
      </c>
      <c r="E3359">
        <v>100160</v>
      </c>
      <c r="F3359">
        <v>39003</v>
      </c>
      <c r="G3359" t="str">
        <f t="shared" si="276"/>
        <v>39003</v>
      </c>
      <c r="H3359" t="s">
        <v>586</v>
      </c>
      <c r="I3359" t="s">
        <v>1265</v>
      </c>
      <c r="J3359" t="s">
        <v>1276</v>
      </c>
      <c r="K3359" t="s">
        <v>1277</v>
      </c>
      <c r="L3359" t="s">
        <v>1311</v>
      </c>
      <c r="M3359" t="s">
        <v>1327</v>
      </c>
      <c r="N3359">
        <v>21</v>
      </c>
      <c r="O3359" t="str">
        <f t="shared" si="279"/>
        <v>26</v>
      </c>
      <c r="Q3359">
        <v>26</v>
      </c>
      <c r="R3359" t="s">
        <v>1269</v>
      </c>
      <c r="S3359">
        <v>0.59399999999999997</v>
      </c>
      <c r="T3359">
        <v>0.15840000000000001</v>
      </c>
      <c r="U3359">
        <f t="shared" si="280"/>
        <v>9.4E-2</v>
      </c>
      <c r="V3359" t="str">
        <f t="shared" si="277"/>
        <v>Elementary Health/
Related Services</v>
      </c>
      <c r="W3359" t="str">
        <f t="shared" si="278"/>
        <v>Health/
Related Services</v>
      </c>
    </row>
    <row r="3360" spans="1:23" x14ac:dyDescent="0.25">
      <c r="A3360">
        <v>39003</v>
      </c>
      <c r="B3360" t="s">
        <v>1315</v>
      </c>
      <c r="C3360">
        <v>0.72499999999999998</v>
      </c>
      <c r="D3360" t="s">
        <v>1264</v>
      </c>
      <c r="E3360">
        <v>100160</v>
      </c>
      <c r="F3360">
        <v>39003</v>
      </c>
      <c r="G3360" t="str">
        <f t="shared" si="276"/>
        <v>39003</v>
      </c>
      <c r="H3360" t="s">
        <v>586</v>
      </c>
      <c r="I3360" t="s">
        <v>1265</v>
      </c>
      <c r="J3360" t="s">
        <v>1276</v>
      </c>
      <c r="K3360" t="s">
        <v>1277</v>
      </c>
      <c r="L3360" t="s">
        <v>1315</v>
      </c>
      <c r="M3360" t="s">
        <v>1375</v>
      </c>
      <c r="N3360">
        <v>1</v>
      </c>
      <c r="O3360" t="str">
        <f t="shared" si="279"/>
        <v>26</v>
      </c>
      <c r="Q3360">
        <v>26</v>
      </c>
      <c r="R3360" t="s">
        <v>1269</v>
      </c>
      <c r="S3360">
        <v>0.72499999999999998</v>
      </c>
      <c r="T3360">
        <v>0.15840000000000001</v>
      </c>
      <c r="U3360">
        <f t="shared" si="280"/>
        <v>0</v>
      </c>
      <c r="V3360" t="str">
        <f t="shared" si="277"/>
        <v>Elementary Health/
Related Services</v>
      </c>
      <c r="W3360" t="str">
        <f t="shared" si="278"/>
        <v>Health/
Related Services</v>
      </c>
    </row>
    <row r="3361" spans="1:23" x14ac:dyDescent="0.25">
      <c r="A3361">
        <v>39003</v>
      </c>
      <c r="B3361" t="s">
        <v>1275</v>
      </c>
      <c r="C3361">
        <v>1.5</v>
      </c>
      <c r="D3361" t="s">
        <v>1264</v>
      </c>
      <c r="E3361">
        <v>100160</v>
      </c>
      <c r="F3361">
        <v>39003</v>
      </c>
      <c r="G3361" t="str">
        <f t="shared" si="276"/>
        <v>39003</v>
      </c>
      <c r="H3361" t="s">
        <v>586</v>
      </c>
      <c r="I3361" t="s">
        <v>1265</v>
      </c>
      <c r="J3361" t="s">
        <v>1276</v>
      </c>
      <c r="K3361" t="s">
        <v>1277</v>
      </c>
      <c r="L3361" t="s">
        <v>1275</v>
      </c>
      <c r="M3361" t="s">
        <v>1278</v>
      </c>
      <c r="N3361">
        <v>1</v>
      </c>
      <c r="O3361" t="str">
        <f t="shared" si="279"/>
        <v>42</v>
      </c>
      <c r="P3361">
        <v>42</v>
      </c>
      <c r="R3361" t="s">
        <v>1269</v>
      </c>
      <c r="S3361">
        <v>1.5</v>
      </c>
      <c r="T3361">
        <v>0.15840000000000001</v>
      </c>
      <c r="U3361">
        <f t="shared" si="280"/>
        <v>0</v>
      </c>
      <c r="V3361" t="str">
        <f t="shared" si="277"/>
        <v>Elementary Counselor</v>
      </c>
      <c r="W3361" t="str">
        <f t="shared" si="278"/>
        <v>Counselor</v>
      </c>
    </row>
    <row r="3362" spans="1:23" x14ac:dyDescent="0.25">
      <c r="A3362">
        <v>39003</v>
      </c>
      <c r="B3362" t="s">
        <v>1270</v>
      </c>
      <c r="C3362">
        <v>1.25</v>
      </c>
      <c r="D3362" t="s">
        <v>1264</v>
      </c>
      <c r="E3362">
        <v>100160</v>
      </c>
      <c r="F3362">
        <v>39003</v>
      </c>
      <c r="G3362" t="str">
        <f t="shared" si="276"/>
        <v>39003</v>
      </c>
      <c r="H3362" t="s">
        <v>586</v>
      </c>
      <c r="I3362" t="s">
        <v>1265</v>
      </c>
      <c r="J3362" t="s">
        <v>1271</v>
      </c>
      <c r="K3362" t="s">
        <v>1272</v>
      </c>
      <c r="L3362" t="s">
        <v>1270</v>
      </c>
      <c r="M3362" t="s">
        <v>1273</v>
      </c>
      <c r="N3362">
        <v>1</v>
      </c>
      <c r="O3362" t="str">
        <f t="shared" si="279"/>
        <v>42</v>
      </c>
      <c r="P3362">
        <v>42</v>
      </c>
      <c r="R3362" t="s">
        <v>1269</v>
      </c>
      <c r="S3362">
        <v>1.25</v>
      </c>
      <c r="T3362">
        <v>0.15840000000000001</v>
      </c>
      <c r="U3362">
        <f t="shared" si="280"/>
        <v>0</v>
      </c>
      <c r="V3362" t="str">
        <f t="shared" si="277"/>
        <v>High Counselor</v>
      </c>
      <c r="W3362" t="str">
        <f t="shared" si="278"/>
        <v>Counselor</v>
      </c>
    </row>
    <row r="3363" spans="1:23" x14ac:dyDescent="0.25">
      <c r="A3363">
        <v>39003</v>
      </c>
      <c r="B3363" t="s">
        <v>1263</v>
      </c>
      <c r="C3363">
        <v>0.5</v>
      </c>
      <c r="D3363" t="s">
        <v>1264</v>
      </c>
      <c r="E3363">
        <v>100160</v>
      </c>
      <c r="F3363">
        <v>39003</v>
      </c>
      <c r="G3363" t="str">
        <f t="shared" si="276"/>
        <v>39003</v>
      </c>
      <c r="H3363" t="s">
        <v>586</v>
      </c>
      <c r="I3363" t="s">
        <v>1265</v>
      </c>
      <c r="J3363" t="s">
        <v>1266</v>
      </c>
      <c r="K3363" t="s">
        <v>1267</v>
      </c>
      <c r="L3363" t="s">
        <v>1263</v>
      </c>
      <c r="M3363" t="s">
        <v>1268</v>
      </c>
      <c r="N3363">
        <v>1</v>
      </c>
      <c r="O3363" t="str">
        <f t="shared" si="279"/>
        <v>42</v>
      </c>
      <c r="P3363">
        <v>42</v>
      </c>
      <c r="R3363" t="s">
        <v>1269</v>
      </c>
      <c r="S3363">
        <v>0.5</v>
      </c>
      <c r="T3363">
        <v>0.15840000000000001</v>
      </c>
      <c r="U3363">
        <f t="shared" si="280"/>
        <v>0</v>
      </c>
      <c r="V3363" t="str">
        <f t="shared" si="277"/>
        <v>Middle Counselor</v>
      </c>
      <c r="W3363" t="str">
        <f t="shared" si="278"/>
        <v>Counselor</v>
      </c>
    </row>
    <row r="3364" spans="1:23" x14ac:dyDescent="0.25">
      <c r="A3364">
        <v>39003</v>
      </c>
      <c r="B3364" t="s">
        <v>1294</v>
      </c>
      <c r="C3364">
        <v>0.33400000000000002</v>
      </c>
      <c r="D3364" t="s">
        <v>1264</v>
      </c>
      <c r="E3364">
        <v>100160</v>
      </c>
      <c r="F3364">
        <v>39003</v>
      </c>
      <c r="G3364" t="str">
        <f t="shared" si="276"/>
        <v>39003</v>
      </c>
      <c r="H3364" t="s">
        <v>586</v>
      </c>
      <c r="I3364" t="s">
        <v>1265</v>
      </c>
      <c r="J3364" t="s">
        <v>1276</v>
      </c>
      <c r="K3364" t="s">
        <v>1277</v>
      </c>
      <c r="L3364" t="s">
        <v>1294</v>
      </c>
      <c r="M3364" t="s">
        <v>1354</v>
      </c>
      <c r="N3364">
        <v>21</v>
      </c>
      <c r="O3364" t="str">
        <f t="shared" si="279"/>
        <v>45</v>
      </c>
      <c r="P3364">
        <v>45</v>
      </c>
      <c r="R3364" t="s">
        <v>1269</v>
      </c>
      <c r="S3364">
        <v>0.33400000000000002</v>
      </c>
      <c r="T3364">
        <v>0.15840000000000001</v>
      </c>
      <c r="U3364">
        <f t="shared" si="280"/>
        <v>5.2999999999999999E-2</v>
      </c>
      <c r="V3364" t="str">
        <f t="shared" si="277"/>
        <v>Elementary Speech, Language Pathway/
Audio</v>
      </c>
      <c r="W3364" t="str">
        <f t="shared" si="278"/>
        <v>Speech, Language Pathway/
Audio</v>
      </c>
    </row>
    <row r="3365" spans="1:23" x14ac:dyDescent="0.25">
      <c r="A3365">
        <v>39003</v>
      </c>
      <c r="B3365" t="s">
        <v>1326</v>
      </c>
      <c r="C3365">
        <v>1.333</v>
      </c>
      <c r="D3365" t="s">
        <v>1264</v>
      </c>
      <c r="E3365">
        <v>100160</v>
      </c>
      <c r="F3365">
        <v>39003</v>
      </c>
      <c r="G3365" t="str">
        <f t="shared" si="276"/>
        <v>39003</v>
      </c>
      <c r="H3365" t="s">
        <v>586</v>
      </c>
      <c r="I3365" t="s">
        <v>1265</v>
      </c>
      <c r="J3365" t="s">
        <v>1271</v>
      </c>
      <c r="K3365" t="s">
        <v>1272</v>
      </c>
      <c r="L3365" t="s">
        <v>1326</v>
      </c>
      <c r="M3365" t="s">
        <v>1353</v>
      </c>
      <c r="N3365">
        <v>21</v>
      </c>
      <c r="O3365" t="str">
        <f t="shared" si="279"/>
        <v>45</v>
      </c>
      <c r="P3365">
        <v>45</v>
      </c>
      <c r="R3365" t="s">
        <v>1269</v>
      </c>
      <c r="S3365">
        <v>1.333</v>
      </c>
      <c r="T3365">
        <v>0.15840000000000001</v>
      </c>
      <c r="U3365">
        <f t="shared" si="280"/>
        <v>0.21099999999999999</v>
      </c>
      <c r="V3365" t="str">
        <f t="shared" si="277"/>
        <v>High Speech, Language Pathway/
Audio</v>
      </c>
      <c r="W3365" t="str">
        <f t="shared" si="278"/>
        <v>Speech, Language Pathway/
Audio</v>
      </c>
    </row>
    <row r="3366" spans="1:23" x14ac:dyDescent="0.25">
      <c r="A3366">
        <v>39003</v>
      </c>
      <c r="B3366" t="s">
        <v>1312</v>
      </c>
      <c r="C3366">
        <v>0.33300000000000002</v>
      </c>
      <c r="D3366" t="s">
        <v>1264</v>
      </c>
      <c r="E3366">
        <v>100160</v>
      </c>
      <c r="F3366">
        <v>39003</v>
      </c>
      <c r="G3366" t="str">
        <f t="shared" si="276"/>
        <v>39003</v>
      </c>
      <c r="H3366" t="s">
        <v>586</v>
      </c>
      <c r="I3366" t="s">
        <v>1265</v>
      </c>
      <c r="J3366" t="s">
        <v>1266</v>
      </c>
      <c r="K3366" t="s">
        <v>1267</v>
      </c>
      <c r="L3366" t="s">
        <v>1312</v>
      </c>
      <c r="M3366" t="s">
        <v>1351</v>
      </c>
      <c r="N3366">
        <v>21</v>
      </c>
      <c r="O3366" t="str">
        <f t="shared" si="279"/>
        <v>45</v>
      </c>
      <c r="P3366">
        <v>45</v>
      </c>
      <c r="R3366" t="s">
        <v>1269</v>
      </c>
      <c r="S3366">
        <v>0.33300000000000002</v>
      </c>
      <c r="T3366">
        <v>0.15840000000000001</v>
      </c>
      <c r="U3366">
        <f t="shared" si="280"/>
        <v>5.2999999999999999E-2</v>
      </c>
      <c r="V3366" t="str">
        <f t="shared" si="277"/>
        <v>Middle Speech, Language Pathway/
Audio</v>
      </c>
      <c r="W3366" t="str">
        <f t="shared" si="278"/>
        <v>Speech, Language Pathway/
Audio</v>
      </c>
    </row>
    <row r="3367" spans="1:23" x14ac:dyDescent="0.25">
      <c r="A3367">
        <v>39003</v>
      </c>
      <c r="B3367" t="s">
        <v>1298</v>
      </c>
      <c r="C3367">
        <v>0.33400000000000002</v>
      </c>
      <c r="D3367" t="s">
        <v>1264</v>
      </c>
      <c r="E3367">
        <v>100160</v>
      </c>
      <c r="F3367">
        <v>39003</v>
      </c>
      <c r="G3367" t="str">
        <f t="shared" si="276"/>
        <v>39003</v>
      </c>
      <c r="H3367" t="s">
        <v>586</v>
      </c>
      <c r="I3367" t="s">
        <v>1265</v>
      </c>
      <c r="J3367" t="s">
        <v>1276</v>
      </c>
      <c r="K3367" t="s">
        <v>1277</v>
      </c>
      <c r="L3367" t="s">
        <v>1298</v>
      </c>
      <c r="M3367" t="s">
        <v>1349</v>
      </c>
      <c r="N3367">
        <v>21</v>
      </c>
      <c r="O3367" t="str">
        <f t="shared" si="279"/>
        <v>46</v>
      </c>
      <c r="P3367">
        <v>46</v>
      </c>
      <c r="R3367" t="s">
        <v>1269</v>
      </c>
      <c r="S3367">
        <v>0.33400000000000002</v>
      </c>
      <c r="T3367">
        <v>0.15840000000000001</v>
      </c>
      <c r="U3367">
        <f t="shared" si="280"/>
        <v>5.2999999999999999E-2</v>
      </c>
      <c r="V3367" t="str">
        <f t="shared" si="277"/>
        <v>Elementary Psychologist</v>
      </c>
      <c r="W3367" t="str">
        <f t="shared" si="278"/>
        <v>Psychologist</v>
      </c>
    </row>
    <row r="3368" spans="1:23" x14ac:dyDescent="0.25">
      <c r="A3368">
        <v>39003</v>
      </c>
      <c r="B3368" t="s">
        <v>1309</v>
      </c>
      <c r="C3368">
        <v>0.33300000000000002</v>
      </c>
      <c r="D3368" t="s">
        <v>1264</v>
      </c>
      <c r="E3368">
        <v>100160</v>
      </c>
      <c r="F3368">
        <v>39003</v>
      </c>
      <c r="G3368" t="str">
        <f t="shared" si="276"/>
        <v>39003</v>
      </c>
      <c r="H3368" t="s">
        <v>586</v>
      </c>
      <c r="I3368" t="s">
        <v>1265</v>
      </c>
      <c r="J3368" t="s">
        <v>1271</v>
      </c>
      <c r="K3368" t="s">
        <v>1272</v>
      </c>
      <c r="L3368" t="s">
        <v>1309</v>
      </c>
      <c r="M3368" t="s">
        <v>1310</v>
      </c>
      <c r="N3368">
        <v>21</v>
      </c>
      <c r="O3368" t="str">
        <f t="shared" si="279"/>
        <v>46</v>
      </c>
      <c r="P3368">
        <v>46</v>
      </c>
      <c r="R3368" t="s">
        <v>1269</v>
      </c>
      <c r="S3368">
        <v>0.33300000000000002</v>
      </c>
      <c r="T3368">
        <v>0.15840000000000001</v>
      </c>
      <c r="U3368">
        <f t="shared" si="280"/>
        <v>5.2999999999999999E-2</v>
      </c>
      <c r="V3368" t="str">
        <f t="shared" si="277"/>
        <v>High Psychologist</v>
      </c>
      <c r="W3368" t="str">
        <f t="shared" si="278"/>
        <v>Psychologist</v>
      </c>
    </row>
    <row r="3369" spans="1:23" x14ac:dyDescent="0.25">
      <c r="A3369">
        <v>39003</v>
      </c>
      <c r="B3369" t="s">
        <v>1345</v>
      </c>
      <c r="C3369">
        <v>0.33300000000000002</v>
      </c>
      <c r="D3369" t="s">
        <v>1264</v>
      </c>
      <c r="E3369">
        <v>100160</v>
      </c>
      <c r="F3369">
        <v>39003</v>
      </c>
      <c r="G3369" t="str">
        <f t="shared" si="276"/>
        <v>39003</v>
      </c>
      <c r="H3369" t="s">
        <v>586</v>
      </c>
      <c r="I3369" t="s">
        <v>1265</v>
      </c>
      <c r="J3369" t="s">
        <v>1266</v>
      </c>
      <c r="K3369" t="s">
        <v>1267</v>
      </c>
      <c r="L3369" t="s">
        <v>1345</v>
      </c>
      <c r="M3369" t="s">
        <v>1346</v>
      </c>
      <c r="N3369">
        <v>21</v>
      </c>
      <c r="O3369" t="str">
        <f t="shared" si="279"/>
        <v>46</v>
      </c>
      <c r="P3369">
        <v>46</v>
      </c>
      <c r="R3369" t="s">
        <v>1269</v>
      </c>
      <c r="S3369">
        <v>0.33300000000000002</v>
      </c>
      <c r="T3369">
        <v>0.15840000000000001</v>
      </c>
      <c r="U3369">
        <f t="shared" si="280"/>
        <v>5.2999999999999999E-2</v>
      </c>
      <c r="V3369" t="str">
        <f t="shared" si="277"/>
        <v>Middle Psychologist</v>
      </c>
      <c r="W3369" t="str">
        <f t="shared" si="278"/>
        <v>Psychologist</v>
      </c>
    </row>
    <row r="3370" spans="1:23" x14ac:dyDescent="0.25">
      <c r="A3370">
        <v>39003</v>
      </c>
      <c r="B3370" t="s">
        <v>1335</v>
      </c>
      <c r="C3370">
        <v>0.43</v>
      </c>
      <c r="D3370" t="s">
        <v>1264</v>
      </c>
      <c r="E3370">
        <v>100160</v>
      </c>
      <c r="F3370">
        <v>39003</v>
      </c>
      <c r="G3370" t="str">
        <f t="shared" si="276"/>
        <v>39003</v>
      </c>
      <c r="H3370" t="s">
        <v>586</v>
      </c>
      <c r="I3370" t="s">
        <v>1265</v>
      </c>
      <c r="J3370" t="s">
        <v>1276</v>
      </c>
      <c r="K3370" t="s">
        <v>1277</v>
      </c>
      <c r="L3370" t="s">
        <v>1335</v>
      </c>
      <c r="M3370" t="s">
        <v>1344</v>
      </c>
      <c r="N3370">
        <v>1</v>
      </c>
      <c r="O3370" t="str">
        <f t="shared" si="279"/>
        <v>47</v>
      </c>
      <c r="P3370">
        <v>47</v>
      </c>
      <c r="R3370" t="s">
        <v>1269</v>
      </c>
      <c r="S3370">
        <v>0.43</v>
      </c>
      <c r="T3370">
        <v>0.15840000000000001</v>
      </c>
      <c r="U3370">
        <f t="shared" si="280"/>
        <v>0</v>
      </c>
      <c r="V3370" t="str">
        <f t="shared" si="277"/>
        <v>Elementary Nurse</v>
      </c>
      <c r="W3370" t="str">
        <f t="shared" si="278"/>
        <v>Nurse</v>
      </c>
    </row>
    <row r="3371" spans="1:23" x14ac:dyDescent="0.25">
      <c r="A3371">
        <v>39003</v>
      </c>
      <c r="B3371" t="s">
        <v>1341</v>
      </c>
      <c r="C3371">
        <v>0.43099999999999999</v>
      </c>
      <c r="D3371" t="s">
        <v>1264</v>
      </c>
      <c r="E3371">
        <v>100160</v>
      </c>
      <c r="F3371">
        <v>39003</v>
      </c>
      <c r="G3371" t="str">
        <f t="shared" si="276"/>
        <v>39003</v>
      </c>
      <c r="H3371" t="s">
        <v>586</v>
      </c>
      <c r="I3371" t="s">
        <v>1265</v>
      </c>
      <c r="J3371" t="s">
        <v>1271</v>
      </c>
      <c r="K3371" t="s">
        <v>1272</v>
      </c>
      <c r="L3371" t="s">
        <v>1341</v>
      </c>
      <c r="M3371" t="s">
        <v>1342</v>
      </c>
      <c r="N3371">
        <v>1</v>
      </c>
      <c r="O3371" t="str">
        <f t="shared" si="279"/>
        <v>47</v>
      </c>
      <c r="P3371">
        <v>47</v>
      </c>
      <c r="R3371" t="s">
        <v>1269</v>
      </c>
      <c r="S3371">
        <v>0.43099999999999999</v>
      </c>
      <c r="T3371">
        <v>0.15840000000000001</v>
      </c>
      <c r="U3371">
        <f t="shared" si="280"/>
        <v>0</v>
      </c>
      <c r="V3371" t="str">
        <f t="shared" si="277"/>
        <v>High Nurse</v>
      </c>
      <c r="W3371" t="str">
        <f t="shared" si="278"/>
        <v>Nurse</v>
      </c>
    </row>
    <row r="3372" spans="1:23" x14ac:dyDescent="0.25">
      <c r="A3372">
        <v>39003</v>
      </c>
      <c r="B3372" t="s">
        <v>1338</v>
      </c>
      <c r="C3372">
        <v>0.43</v>
      </c>
      <c r="D3372" t="s">
        <v>1264</v>
      </c>
      <c r="E3372">
        <v>100160</v>
      </c>
      <c r="F3372">
        <v>39003</v>
      </c>
      <c r="G3372" t="str">
        <f t="shared" si="276"/>
        <v>39003</v>
      </c>
      <c r="H3372" t="s">
        <v>586</v>
      </c>
      <c r="I3372" t="s">
        <v>1265</v>
      </c>
      <c r="J3372" t="s">
        <v>1266</v>
      </c>
      <c r="K3372" t="s">
        <v>1267</v>
      </c>
      <c r="L3372" t="s">
        <v>1338</v>
      </c>
      <c r="M3372" t="s">
        <v>1339</v>
      </c>
      <c r="N3372">
        <v>1</v>
      </c>
      <c r="O3372" t="str">
        <f t="shared" si="279"/>
        <v>47</v>
      </c>
      <c r="P3372">
        <v>47</v>
      </c>
      <c r="R3372" t="s">
        <v>1269</v>
      </c>
      <c r="S3372">
        <v>0.43</v>
      </c>
      <c r="T3372">
        <v>0.15840000000000001</v>
      </c>
      <c r="U3372">
        <f t="shared" si="280"/>
        <v>0</v>
      </c>
      <c r="V3372" t="str">
        <f t="shared" si="277"/>
        <v>Middle Nurse</v>
      </c>
      <c r="W3372" t="str">
        <f t="shared" si="278"/>
        <v>Nurse</v>
      </c>
    </row>
    <row r="3373" spans="1:23" x14ac:dyDescent="0.25">
      <c r="A3373" t="s">
        <v>290</v>
      </c>
      <c r="B3373" t="s">
        <v>1474</v>
      </c>
      <c r="C3373">
        <v>6.9000000000000006E-2</v>
      </c>
      <c r="F3373" t="s">
        <v>290</v>
      </c>
      <c r="G3373" t="str">
        <f t="shared" si="276"/>
        <v>39003</v>
      </c>
      <c r="H3373" t="s">
        <v>586</v>
      </c>
      <c r="I3373" t="s">
        <v>1265</v>
      </c>
      <c r="K3373" t="s">
        <v>1277</v>
      </c>
      <c r="L3373" t="s">
        <v>1474</v>
      </c>
      <c r="M3373" t="s">
        <v>1642</v>
      </c>
      <c r="N3373">
        <v>9</v>
      </c>
      <c r="O3373" t="str">
        <f t="shared" si="279"/>
        <v>25</v>
      </c>
      <c r="P3373">
        <v>91</v>
      </c>
      <c r="Q3373">
        <v>25</v>
      </c>
      <c r="S3373">
        <v>6.9000000000000006E-2</v>
      </c>
      <c r="T3373">
        <v>0.15840000000000001</v>
      </c>
      <c r="U3373">
        <f t="shared" si="280"/>
        <v>0</v>
      </c>
      <c r="V3373" t="str">
        <f t="shared" si="277"/>
        <v>TK Pupil Management</v>
      </c>
      <c r="W3373" t="str">
        <f t="shared" si="278"/>
        <v>Pupil Management</v>
      </c>
    </row>
    <row r="3374" spans="1:23" x14ac:dyDescent="0.25">
      <c r="A3374">
        <v>39007</v>
      </c>
      <c r="B3374" t="s">
        <v>1383</v>
      </c>
      <c r="C3374">
        <v>1</v>
      </c>
      <c r="D3374" t="s">
        <v>1264</v>
      </c>
      <c r="E3374">
        <v>100303</v>
      </c>
      <c r="F3374">
        <v>39007</v>
      </c>
      <c r="G3374" t="str">
        <f t="shared" si="276"/>
        <v>39007</v>
      </c>
      <c r="H3374" t="s">
        <v>587</v>
      </c>
      <c r="I3374" t="s">
        <v>1265</v>
      </c>
      <c r="J3374" t="s">
        <v>1271</v>
      </c>
      <c r="K3374" t="s">
        <v>1272</v>
      </c>
      <c r="L3374" t="s">
        <v>1383</v>
      </c>
      <c r="M3374" t="s">
        <v>1409</v>
      </c>
      <c r="N3374">
        <v>21</v>
      </c>
      <c r="O3374" t="str">
        <f t="shared" si="279"/>
        <v>25</v>
      </c>
      <c r="Q3374">
        <v>25</v>
      </c>
      <c r="R3374" t="s">
        <v>1269</v>
      </c>
      <c r="S3374">
        <v>1</v>
      </c>
      <c r="T3374">
        <v>0.32019999999999998</v>
      </c>
      <c r="U3374">
        <f t="shared" si="280"/>
        <v>0.32</v>
      </c>
      <c r="V3374" t="str">
        <f t="shared" si="277"/>
        <v>High Pupil Management</v>
      </c>
      <c r="W3374" t="str">
        <f t="shared" si="278"/>
        <v>Pupil Management</v>
      </c>
    </row>
    <row r="3375" spans="1:23" x14ac:dyDescent="0.25">
      <c r="A3375">
        <v>39007</v>
      </c>
      <c r="B3375" t="s">
        <v>1299</v>
      </c>
      <c r="C3375">
        <v>19.241</v>
      </c>
      <c r="D3375" t="s">
        <v>1264</v>
      </c>
      <c r="E3375">
        <v>100303</v>
      </c>
      <c r="F3375">
        <v>39007</v>
      </c>
      <c r="G3375" t="str">
        <f t="shared" si="276"/>
        <v>39007</v>
      </c>
      <c r="H3375" t="s">
        <v>587</v>
      </c>
      <c r="I3375" t="s">
        <v>1265</v>
      </c>
      <c r="J3375" t="s">
        <v>1271</v>
      </c>
      <c r="K3375" t="s">
        <v>1272</v>
      </c>
      <c r="L3375" t="s">
        <v>1299</v>
      </c>
      <c r="M3375" t="s">
        <v>1300</v>
      </c>
      <c r="N3375">
        <v>1</v>
      </c>
      <c r="O3375" t="str">
        <f t="shared" si="279"/>
        <v>25</v>
      </c>
      <c r="Q3375">
        <v>25</v>
      </c>
      <c r="R3375" t="s">
        <v>1269</v>
      </c>
      <c r="S3375">
        <v>19.241</v>
      </c>
      <c r="T3375">
        <v>0.32019999999999998</v>
      </c>
      <c r="U3375">
        <f t="shared" si="280"/>
        <v>0</v>
      </c>
      <c r="V3375" t="str">
        <f t="shared" si="277"/>
        <v>High Pupil Management</v>
      </c>
      <c r="W3375" t="str">
        <f t="shared" si="278"/>
        <v>Pupil Management</v>
      </c>
    </row>
    <row r="3376" spans="1:23" x14ac:dyDescent="0.25">
      <c r="A3376">
        <v>39007</v>
      </c>
      <c r="B3376" t="s">
        <v>1324</v>
      </c>
      <c r="C3376">
        <v>19.736999999999998</v>
      </c>
      <c r="D3376" t="s">
        <v>1264</v>
      </c>
      <c r="E3376">
        <v>100303</v>
      </c>
      <c r="F3376">
        <v>39007</v>
      </c>
      <c r="G3376" t="str">
        <f t="shared" si="276"/>
        <v>39007</v>
      </c>
      <c r="H3376" t="s">
        <v>587</v>
      </c>
      <c r="I3376" t="s">
        <v>1265</v>
      </c>
      <c r="J3376" t="s">
        <v>1271</v>
      </c>
      <c r="K3376" t="s">
        <v>1272</v>
      </c>
      <c r="L3376" t="s">
        <v>1324</v>
      </c>
      <c r="M3376" t="s">
        <v>1325</v>
      </c>
      <c r="N3376">
        <v>21</v>
      </c>
      <c r="O3376" t="str">
        <f t="shared" si="279"/>
        <v>26</v>
      </c>
      <c r="Q3376">
        <v>26</v>
      </c>
      <c r="R3376" t="s">
        <v>1269</v>
      </c>
      <c r="S3376">
        <v>19.736999999999998</v>
      </c>
      <c r="T3376">
        <v>0.32019999999999998</v>
      </c>
      <c r="U3376">
        <f t="shared" si="280"/>
        <v>6.32</v>
      </c>
      <c r="V3376" t="str">
        <f t="shared" si="277"/>
        <v>High Health/
Related Services</v>
      </c>
      <c r="W3376" t="str">
        <f t="shared" si="278"/>
        <v>Health/
Related Services</v>
      </c>
    </row>
    <row r="3377" spans="1:23" x14ac:dyDescent="0.25">
      <c r="A3377">
        <v>39007</v>
      </c>
      <c r="B3377" t="s">
        <v>1295</v>
      </c>
      <c r="C3377">
        <v>5.2519999999999998</v>
      </c>
      <c r="D3377" t="s">
        <v>1264</v>
      </c>
      <c r="E3377">
        <v>100303</v>
      </c>
      <c r="F3377">
        <v>39007</v>
      </c>
      <c r="G3377" t="str">
        <f t="shared" si="276"/>
        <v>39007</v>
      </c>
      <c r="H3377" t="s">
        <v>587</v>
      </c>
      <c r="I3377" t="s">
        <v>1265</v>
      </c>
      <c r="J3377" t="s">
        <v>1271</v>
      </c>
      <c r="K3377" t="s">
        <v>1272</v>
      </c>
      <c r="L3377" t="s">
        <v>1295</v>
      </c>
      <c r="M3377" t="s">
        <v>1296</v>
      </c>
      <c r="N3377">
        <v>1</v>
      </c>
      <c r="O3377" t="str">
        <f t="shared" si="279"/>
        <v>26</v>
      </c>
      <c r="Q3377">
        <v>26</v>
      </c>
      <c r="R3377" t="s">
        <v>1269</v>
      </c>
      <c r="S3377">
        <v>5.2519999999999998</v>
      </c>
      <c r="T3377">
        <v>0.32019999999999998</v>
      </c>
      <c r="U3377">
        <f t="shared" si="280"/>
        <v>0</v>
      </c>
      <c r="V3377" t="str">
        <f t="shared" si="277"/>
        <v>High Health/
Related Services</v>
      </c>
      <c r="W3377" t="str">
        <f t="shared" si="278"/>
        <v>Health/
Related Services</v>
      </c>
    </row>
    <row r="3378" spans="1:23" x14ac:dyDescent="0.25">
      <c r="A3378">
        <v>39007</v>
      </c>
      <c r="B3378" t="s">
        <v>1401</v>
      </c>
      <c r="C3378">
        <v>13.362</v>
      </c>
      <c r="D3378" t="s">
        <v>1264</v>
      </c>
      <c r="E3378">
        <v>100303</v>
      </c>
      <c r="F3378">
        <v>39007</v>
      </c>
      <c r="G3378" t="str">
        <f t="shared" si="276"/>
        <v>39007</v>
      </c>
      <c r="H3378" t="s">
        <v>587</v>
      </c>
      <c r="I3378" t="s">
        <v>1265</v>
      </c>
      <c r="J3378" t="s">
        <v>1271</v>
      </c>
      <c r="K3378" t="s">
        <v>1272</v>
      </c>
      <c r="L3378" t="s">
        <v>1401</v>
      </c>
      <c r="M3378" t="s">
        <v>1422</v>
      </c>
      <c r="N3378">
        <v>1</v>
      </c>
      <c r="O3378" t="str">
        <f t="shared" si="279"/>
        <v>35</v>
      </c>
      <c r="Q3378">
        <v>35</v>
      </c>
      <c r="R3378" t="s">
        <v>1269</v>
      </c>
      <c r="S3378">
        <v>13.362</v>
      </c>
      <c r="T3378">
        <v>0.32019999999999998</v>
      </c>
      <c r="U3378">
        <f t="shared" si="280"/>
        <v>0</v>
      </c>
      <c r="V3378" t="str">
        <f t="shared" si="277"/>
        <v>High Pupil Safety</v>
      </c>
      <c r="W3378" t="str">
        <f t="shared" si="278"/>
        <v>Pupil Safety</v>
      </c>
    </row>
    <row r="3379" spans="1:23" x14ac:dyDescent="0.25">
      <c r="A3379">
        <v>39007</v>
      </c>
      <c r="B3379" t="s">
        <v>1275</v>
      </c>
      <c r="C3379">
        <v>3.84</v>
      </c>
      <c r="D3379" t="s">
        <v>1264</v>
      </c>
      <c r="E3379">
        <v>100303</v>
      </c>
      <c r="F3379">
        <v>39007</v>
      </c>
      <c r="G3379" t="str">
        <f t="shared" si="276"/>
        <v>39007</v>
      </c>
      <c r="H3379" t="s">
        <v>587</v>
      </c>
      <c r="I3379" t="s">
        <v>1265</v>
      </c>
      <c r="J3379" t="s">
        <v>1276</v>
      </c>
      <c r="K3379" t="s">
        <v>1277</v>
      </c>
      <c r="L3379" t="s">
        <v>1275</v>
      </c>
      <c r="M3379" t="s">
        <v>1278</v>
      </c>
      <c r="N3379">
        <v>1</v>
      </c>
      <c r="O3379" t="str">
        <f t="shared" si="279"/>
        <v>42</v>
      </c>
      <c r="P3379">
        <v>42</v>
      </c>
      <c r="R3379" t="s">
        <v>1269</v>
      </c>
      <c r="S3379">
        <v>3.84</v>
      </c>
      <c r="T3379">
        <v>0.32019999999999998</v>
      </c>
      <c r="U3379">
        <f t="shared" si="280"/>
        <v>0</v>
      </c>
      <c r="V3379" t="str">
        <f t="shared" si="277"/>
        <v>Elementary Counselor</v>
      </c>
      <c r="W3379" t="str">
        <f t="shared" si="278"/>
        <v>Counselor</v>
      </c>
    </row>
    <row r="3380" spans="1:23" x14ac:dyDescent="0.25">
      <c r="A3380">
        <v>39007</v>
      </c>
      <c r="B3380" t="s">
        <v>1270</v>
      </c>
      <c r="C3380">
        <v>9</v>
      </c>
      <c r="D3380" t="s">
        <v>1264</v>
      </c>
      <c r="E3380">
        <v>100303</v>
      </c>
      <c r="F3380">
        <v>39007</v>
      </c>
      <c r="G3380" t="str">
        <f t="shared" si="276"/>
        <v>39007</v>
      </c>
      <c r="H3380" t="s">
        <v>587</v>
      </c>
      <c r="I3380" t="s">
        <v>1265</v>
      </c>
      <c r="J3380" t="s">
        <v>1271</v>
      </c>
      <c r="K3380" t="s">
        <v>1272</v>
      </c>
      <c r="L3380" t="s">
        <v>1270</v>
      </c>
      <c r="M3380" t="s">
        <v>1273</v>
      </c>
      <c r="N3380">
        <v>1</v>
      </c>
      <c r="O3380" t="str">
        <f t="shared" si="279"/>
        <v>42</v>
      </c>
      <c r="P3380">
        <v>42</v>
      </c>
      <c r="R3380" t="s">
        <v>1269</v>
      </c>
      <c r="S3380">
        <v>9</v>
      </c>
      <c r="T3380">
        <v>0.32019999999999998</v>
      </c>
      <c r="U3380">
        <f t="shared" si="280"/>
        <v>0</v>
      </c>
      <c r="V3380" t="str">
        <f t="shared" si="277"/>
        <v>High Counselor</v>
      </c>
      <c r="W3380" t="str">
        <f t="shared" si="278"/>
        <v>Counselor</v>
      </c>
    </row>
    <row r="3381" spans="1:23" x14ac:dyDescent="0.25">
      <c r="A3381">
        <v>39007</v>
      </c>
      <c r="B3381" t="s">
        <v>1263</v>
      </c>
      <c r="C3381">
        <v>3.66</v>
      </c>
      <c r="D3381" t="s">
        <v>1264</v>
      </c>
      <c r="E3381">
        <v>100303</v>
      </c>
      <c r="F3381">
        <v>39007</v>
      </c>
      <c r="G3381" t="str">
        <f t="shared" si="276"/>
        <v>39007</v>
      </c>
      <c r="H3381" t="s">
        <v>587</v>
      </c>
      <c r="I3381" t="s">
        <v>1265</v>
      </c>
      <c r="J3381" t="s">
        <v>1266</v>
      </c>
      <c r="K3381" t="s">
        <v>1267</v>
      </c>
      <c r="L3381" t="s">
        <v>1263</v>
      </c>
      <c r="M3381" t="s">
        <v>1268</v>
      </c>
      <c r="N3381">
        <v>1</v>
      </c>
      <c r="O3381" t="str">
        <f t="shared" si="279"/>
        <v>42</v>
      </c>
      <c r="P3381">
        <v>42</v>
      </c>
      <c r="R3381" t="s">
        <v>1269</v>
      </c>
      <c r="S3381">
        <v>3.66</v>
      </c>
      <c r="T3381">
        <v>0.32019999999999998</v>
      </c>
      <c r="U3381">
        <f t="shared" si="280"/>
        <v>0</v>
      </c>
      <c r="V3381" t="str">
        <f t="shared" si="277"/>
        <v>Middle Counselor</v>
      </c>
      <c r="W3381" t="str">
        <f t="shared" si="278"/>
        <v>Counselor</v>
      </c>
    </row>
    <row r="3382" spans="1:23" x14ac:dyDescent="0.25">
      <c r="A3382">
        <v>39007</v>
      </c>
      <c r="B3382" t="s">
        <v>1289</v>
      </c>
      <c r="C3382">
        <v>1.871</v>
      </c>
      <c r="D3382" t="s">
        <v>1264</v>
      </c>
      <c r="E3382">
        <v>100303</v>
      </c>
      <c r="F3382">
        <v>39007</v>
      </c>
      <c r="G3382" t="str">
        <f t="shared" si="276"/>
        <v>39007</v>
      </c>
      <c r="H3382" t="s">
        <v>587</v>
      </c>
      <c r="I3382" t="s">
        <v>1265</v>
      </c>
      <c r="J3382" t="s">
        <v>1276</v>
      </c>
      <c r="K3382" t="s">
        <v>1277</v>
      </c>
      <c r="L3382" t="s">
        <v>1289</v>
      </c>
      <c r="M3382" t="s">
        <v>1307</v>
      </c>
      <c r="N3382">
        <v>21</v>
      </c>
      <c r="O3382" t="str">
        <f t="shared" si="279"/>
        <v>43</v>
      </c>
      <c r="P3382">
        <v>43</v>
      </c>
      <c r="R3382" t="s">
        <v>1269</v>
      </c>
      <c r="S3382">
        <v>1.871</v>
      </c>
      <c r="T3382">
        <v>0.32019999999999998</v>
      </c>
      <c r="U3382">
        <f t="shared" si="280"/>
        <v>0.59899999999999998</v>
      </c>
      <c r="V3382" t="str">
        <f t="shared" si="277"/>
        <v>Elementary Occupational Therapist</v>
      </c>
      <c r="W3382" t="str">
        <f t="shared" si="278"/>
        <v>Occupational Therapist</v>
      </c>
    </row>
    <row r="3383" spans="1:23" x14ac:dyDescent="0.25">
      <c r="A3383">
        <v>39007</v>
      </c>
      <c r="B3383" t="s">
        <v>1387</v>
      </c>
      <c r="C3383">
        <v>0.31</v>
      </c>
      <c r="D3383" t="s">
        <v>1264</v>
      </c>
      <c r="E3383">
        <v>100303</v>
      </c>
      <c r="F3383">
        <v>39007</v>
      </c>
      <c r="G3383" t="str">
        <f t="shared" si="276"/>
        <v>39007</v>
      </c>
      <c r="H3383" t="s">
        <v>587</v>
      </c>
      <c r="I3383" t="s">
        <v>1265</v>
      </c>
      <c r="J3383" t="s">
        <v>1271</v>
      </c>
      <c r="K3383" t="s">
        <v>1272</v>
      </c>
      <c r="L3383" t="s">
        <v>1387</v>
      </c>
      <c r="M3383" t="s">
        <v>1406</v>
      </c>
      <c r="N3383">
        <v>21</v>
      </c>
      <c r="O3383" t="str">
        <f t="shared" si="279"/>
        <v>43</v>
      </c>
      <c r="P3383">
        <v>43</v>
      </c>
      <c r="R3383" t="s">
        <v>1269</v>
      </c>
      <c r="S3383">
        <v>0.31</v>
      </c>
      <c r="T3383">
        <v>0.32019999999999998</v>
      </c>
      <c r="U3383">
        <f t="shared" si="280"/>
        <v>9.9000000000000005E-2</v>
      </c>
      <c r="V3383" t="str">
        <f t="shared" si="277"/>
        <v>High Occupational Therapist</v>
      </c>
      <c r="W3383" t="str">
        <f t="shared" si="278"/>
        <v>Occupational Therapist</v>
      </c>
    </row>
    <row r="3384" spans="1:23" x14ac:dyDescent="0.25">
      <c r="A3384">
        <v>39007</v>
      </c>
      <c r="B3384" t="s">
        <v>1303</v>
      </c>
      <c r="C3384">
        <v>3.7970000000000002</v>
      </c>
      <c r="D3384" t="s">
        <v>1264</v>
      </c>
      <c r="E3384">
        <v>100303</v>
      </c>
      <c r="F3384">
        <v>39007</v>
      </c>
      <c r="G3384" t="str">
        <f t="shared" si="276"/>
        <v>39007</v>
      </c>
      <c r="H3384" t="s">
        <v>587</v>
      </c>
      <c r="I3384" t="s">
        <v>1265</v>
      </c>
      <c r="J3384" t="s">
        <v>1266</v>
      </c>
      <c r="K3384" t="s">
        <v>1267</v>
      </c>
      <c r="L3384" t="s">
        <v>1303</v>
      </c>
      <c r="M3384" t="s">
        <v>1304</v>
      </c>
      <c r="N3384">
        <v>21</v>
      </c>
      <c r="O3384" t="str">
        <f t="shared" si="279"/>
        <v>43</v>
      </c>
      <c r="P3384">
        <v>43</v>
      </c>
      <c r="R3384" t="s">
        <v>1269</v>
      </c>
      <c r="S3384">
        <v>3.7970000000000002</v>
      </c>
      <c r="T3384">
        <v>0.32019999999999998</v>
      </c>
      <c r="U3384">
        <f t="shared" si="280"/>
        <v>1.216</v>
      </c>
      <c r="V3384" t="str">
        <f t="shared" si="277"/>
        <v>Middle Occupational Therapist</v>
      </c>
      <c r="W3384" t="str">
        <f t="shared" si="278"/>
        <v>Occupational Therapist</v>
      </c>
    </row>
    <row r="3385" spans="1:23" x14ac:dyDescent="0.25">
      <c r="A3385">
        <v>39007</v>
      </c>
      <c r="B3385" t="s">
        <v>1294</v>
      </c>
      <c r="C3385">
        <v>5.8</v>
      </c>
      <c r="D3385" t="s">
        <v>1264</v>
      </c>
      <c r="E3385">
        <v>100303</v>
      </c>
      <c r="F3385">
        <v>39007</v>
      </c>
      <c r="G3385" t="str">
        <f t="shared" si="276"/>
        <v>39007</v>
      </c>
      <c r="H3385" t="s">
        <v>587</v>
      </c>
      <c r="I3385" t="s">
        <v>1265</v>
      </c>
      <c r="J3385" t="s">
        <v>1276</v>
      </c>
      <c r="K3385" t="s">
        <v>1277</v>
      </c>
      <c r="L3385" t="s">
        <v>1294</v>
      </c>
      <c r="M3385" t="s">
        <v>1354</v>
      </c>
      <c r="N3385">
        <v>21</v>
      </c>
      <c r="O3385" t="str">
        <f t="shared" si="279"/>
        <v>45</v>
      </c>
      <c r="P3385">
        <v>45</v>
      </c>
      <c r="R3385" t="s">
        <v>1269</v>
      </c>
      <c r="S3385">
        <v>5.8</v>
      </c>
      <c r="T3385">
        <v>0.32019999999999998</v>
      </c>
      <c r="U3385">
        <f t="shared" si="280"/>
        <v>1.857</v>
      </c>
      <c r="V3385" t="str">
        <f t="shared" si="277"/>
        <v>Elementary Speech, Language Pathway/
Audio</v>
      </c>
      <c r="W3385" t="str">
        <f t="shared" si="278"/>
        <v>Speech, Language Pathway/
Audio</v>
      </c>
    </row>
    <row r="3386" spans="1:23" x14ac:dyDescent="0.25">
      <c r="A3386">
        <v>39007</v>
      </c>
      <c r="B3386" t="s">
        <v>1312</v>
      </c>
      <c r="C3386">
        <v>3</v>
      </c>
      <c r="D3386" t="s">
        <v>1264</v>
      </c>
      <c r="E3386">
        <v>100303</v>
      </c>
      <c r="F3386">
        <v>39007</v>
      </c>
      <c r="G3386" t="str">
        <f t="shared" si="276"/>
        <v>39007</v>
      </c>
      <c r="H3386" t="s">
        <v>587</v>
      </c>
      <c r="I3386" t="s">
        <v>1265</v>
      </c>
      <c r="J3386" t="s">
        <v>1266</v>
      </c>
      <c r="K3386" t="s">
        <v>1267</v>
      </c>
      <c r="L3386" t="s">
        <v>1312</v>
      </c>
      <c r="M3386" t="s">
        <v>1351</v>
      </c>
      <c r="N3386">
        <v>21</v>
      </c>
      <c r="O3386" t="str">
        <f t="shared" si="279"/>
        <v>45</v>
      </c>
      <c r="P3386">
        <v>45</v>
      </c>
      <c r="R3386" t="s">
        <v>1269</v>
      </c>
      <c r="S3386">
        <v>3</v>
      </c>
      <c r="T3386">
        <v>0.32019999999999998</v>
      </c>
      <c r="U3386">
        <f t="shared" si="280"/>
        <v>0.96099999999999997</v>
      </c>
      <c r="V3386" t="str">
        <f t="shared" si="277"/>
        <v>Middle Speech, Language Pathway/
Audio</v>
      </c>
      <c r="W3386" t="str">
        <f t="shared" si="278"/>
        <v>Speech, Language Pathway/
Audio</v>
      </c>
    </row>
    <row r="3387" spans="1:23" x14ac:dyDescent="0.25">
      <c r="A3387">
        <v>39007</v>
      </c>
      <c r="B3387" t="s">
        <v>1298</v>
      </c>
      <c r="C3387">
        <v>5.4</v>
      </c>
      <c r="D3387" t="s">
        <v>1264</v>
      </c>
      <c r="E3387">
        <v>100303</v>
      </c>
      <c r="F3387">
        <v>39007</v>
      </c>
      <c r="G3387" t="str">
        <f t="shared" si="276"/>
        <v>39007</v>
      </c>
      <c r="H3387" t="s">
        <v>587</v>
      </c>
      <c r="I3387" t="s">
        <v>1265</v>
      </c>
      <c r="J3387" t="s">
        <v>1276</v>
      </c>
      <c r="K3387" t="s">
        <v>1277</v>
      </c>
      <c r="L3387" t="s">
        <v>1298</v>
      </c>
      <c r="M3387" t="s">
        <v>1349</v>
      </c>
      <c r="N3387">
        <v>21</v>
      </c>
      <c r="O3387" t="str">
        <f t="shared" si="279"/>
        <v>46</v>
      </c>
      <c r="P3387">
        <v>46</v>
      </c>
      <c r="R3387" t="s">
        <v>1269</v>
      </c>
      <c r="S3387">
        <v>5.4</v>
      </c>
      <c r="T3387">
        <v>0.32019999999999998</v>
      </c>
      <c r="U3387">
        <f t="shared" si="280"/>
        <v>1.7290000000000001</v>
      </c>
      <c r="V3387" t="str">
        <f t="shared" si="277"/>
        <v>Elementary Psychologist</v>
      </c>
      <c r="W3387" t="str">
        <f t="shared" si="278"/>
        <v>Psychologist</v>
      </c>
    </row>
    <row r="3388" spans="1:23" x14ac:dyDescent="0.25">
      <c r="A3388">
        <v>39007</v>
      </c>
      <c r="B3388" t="s">
        <v>1309</v>
      </c>
      <c r="C3388">
        <v>6.8</v>
      </c>
      <c r="D3388" t="s">
        <v>1264</v>
      </c>
      <c r="E3388">
        <v>100303</v>
      </c>
      <c r="F3388">
        <v>39007</v>
      </c>
      <c r="G3388" t="str">
        <f t="shared" si="276"/>
        <v>39007</v>
      </c>
      <c r="H3388" t="s">
        <v>587</v>
      </c>
      <c r="I3388" t="s">
        <v>1265</v>
      </c>
      <c r="J3388" t="s">
        <v>1271</v>
      </c>
      <c r="K3388" t="s">
        <v>1272</v>
      </c>
      <c r="L3388" t="s">
        <v>1309</v>
      </c>
      <c r="M3388" t="s">
        <v>1310</v>
      </c>
      <c r="N3388">
        <v>21</v>
      </c>
      <c r="O3388" t="str">
        <f t="shared" si="279"/>
        <v>46</v>
      </c>
      <c r="P3388">
        <v>46</v>
      </c>
      <c r="R3388" t="s">
        <v>1269</v>
      </c>
      <c r="S3388">
        <v>6.8</v>
      </c>
      <c r="T3388">
        <v>0.32019999999999998</v>
      </c>
      <c r="U3388">
        <f t="shared" si="280"/>
        <v>2.177</v>
      </c>
      <c r="V3388" t="str">
        <f t="shared" si="277"/>
        <v>High Psychologist</v>
      </c>
      <c r="W3388" t="str">
        <f t="shared" si="278"/>
        <v>Psychologist</v>
      </c>
    </row>
    <row r="3389" spans="1:23" x14ac:dyDescent="0.25">
      <c r="A3389">
        <v>39007</v>
      </c>
      <c r="B3389" t="s">
        <v>1345</v>
      </c>
      <c r="C3389">
        <v>5.4</v>
      </c>
      <c r="D3389" t="s">
        <v>1264</v>
      </c>
      <c r="E3389">
        <v>100303</v>
      </c>
      <c r="F3389">
        <v>39007</v>
      </c>
      <c r="G3389" t="str">
        <f t="shared" si="276"/>
        <v>39007</v>
      </c>
      <c r="H3389" t="s">
        <v>587</v>
      </c>
      <c r="I3389" t="s">
        <v>1265</v>
      </c>
      <c r="J3389" t="s">
        <v>1266</v>
      </c>
      <c r="K3389" t="s">
        <v>1267</v>
      </c>
      <c r="L3389" t="s">
        <v>1345</v>
      </c>
      <c r="M3389" t="s">
        <v>1346</v>
      </c>
      <c r="N3389">
        <v>21</v>
      </c>
      <c r="O3389" t="str">
        <f t="shared" si="279"/>
        <v>46</v>
      </c>
      <c r="P3389">
        <v>46</v>
      </c>
      <c r="R3389" t="s">
        <v>1269</v>
      </c>
      <c r="S3389">
        <v>5.4</v>
      </c>
      <c r="T3389">
        <v>0.32019999999999998</v>
      </c>
      <c r="U3389">
        <f t="shared" si="280"/>
        <v>1.7290000000000001</v>
      </c>
      <c r="V3389" t="str">
        <f t="shared" si="277"/>
        <v>Middle Psychologist</v>
      </c>
      <c r="W3389" t="str">
        <f t="shared" si="278"/>
        <v>Psychologist</v>
      </c>
    </row>
    <row r="3390" spans="1:23" x14ac:dyDescent="0.25">
      <c r="A3390">
        <v>39007</v>
      </c>
      <c r="B3390" t="s">
        <v>1335</v>
      </c>
      <c r="C3390">
        <v>11</v>
      </c>
      <c r="D3390" t="s">
        <v>1264</v>
      </c>
      <c r="E3390">
        <v>100303</v>
      </c>
      <c r="F3390">
        <v>39007</v>
      </c>
      <c r="G3390" t="str">
        <f t="shared" si="276"/>
        <v>39007</v>
      </c>
      <c r="H3390" t="s">
        <v>587</v>
      </c>
      <c r="I3390" t="s">
        <v>1265</v>
      </c>
      <c r="J3390" t="s">
        <v>1276</v>
      </c>
      <c r="K3390" t="s">
        <v>1277</v>
      </c>
      <c r="L3390" t="s">
        <v>1335</v>
      </c>
      <c r="M3390" t="s">
        <v>1344</v>
      </c>
      <c r="N3390">
        <v>1</v>
      </c>
      <c r="O3390" t="str">
        <f t="shared" si="279"/>
        <v>47</v>
      </c>
      <c r="P3390">
        <v>47</v>
      </c>
      <c r="R3390" t="s">
        <v>1269</v>
      </c>
      <c r="S3390">
        <v>11</v>
      </c>
      <c r="T3390">
        <v>0.32019999999999998</v>
      </c>
      <c r="U3390">
        <f t="shared" si="280"/>
        <v>0</v>
      </c>
      <c r="V3390" t="str">
        <f t="shared" ref="V3390:V3453" si="281">_xlfn.XLOOKUP(L3390,$BV:$BV,$BT:$BT,,0)</f>
        <v>Elementary Nurse</v>
      </c>
      <c r="W3390" t="str">
        <f t="shared" ref="W3390:W3453" si="282">_xlfn.TEXTAFTER(V3390," ")</f>
        <v>Nurse</v>
      </c>
    </row>
    <row r="3391" spans="1:23" x14ac:dyDescent="0.25">
      <c r="A3391">
        <v>39007</v>
      </c>
      <c r="B3391" t="s">
        <v>1341</v>
      </c>
      <c r="C3391">
        <v>4</v>
      </c>
      <c r="D3391" t="s">
        <v>1264</v>
      </c>
      <c r="E3391">
        <v>100303</v>
      </c>
      <c r="F3391">
        <v>39007</v>
      </c>
      <c r="G3391" t="str">
        <f t="shared" si="276"/>
        <v>39007</v>
      </c>
      <c r="H3391" t="s">
        <v>587</v>
      </c>
      <c r="I3391" t="s">
        <v>1265</v>
      </c>
      <c r="J3391" t="s">
        <v>1271</v>
      </c>
      <c r="K3391" t="s">
        <v>1272</v>
      </c>
      <c r="L3391" t="s">
        <v>1341</v>
      </c>
      <c r="M3391" t="s">
        <v>1342</v>
      </c>
      <c r="N3391">
        <v>1</v>
      </c>
      <c r="O3391" t="str">
        <f t="shared" si="279"/>
        <v>47</v>
      </c>
      <c r="P3391">
        <v>47</v>
      </c>
      <c r="R3391" t="s">
        <v>1269</v>
      </c>
      <c r="S3391">
        <v>4</v>
      </c>
      <c r="T3391">
        <v>0.32019999999999998</v>
      </c>
      <c r="U3391">
        <f t="shared" si="280"/>
        <v>0</v>
      </c>
      <c r="V3391" t="str">
        <f t="shared" si="281"/>
        <v>High Nurse</v>
      </c>
      <c r="W3391" t="str">
        <f t="shared" si="282"/>
        <v>Nurse</v>
      </c>
    </row>
    <row r="3392" spans="1:23" x14ac:dyDescent="0.25">
      <c r="A3392">
        <v>39007</v>
      </c>
      <c r="B3392" t="s">
        <v>1338</v>
      </c>
      <c r="C3392">
        <v>4</v>
      </c>
      <c r="D3392" t="s">
        <v>1264</v>
      </c>
      <c r="E3392">
        <v>100303</v>
      </c>
      <c r="F3392">
        <v>39007</v>
      </c>
      <c r="G3392" t="str">
        <f t="shared" si="276"/>
        <v>39007</v>
      </c>
      <c r="H3392" t="s">
        <v>587</v>
      </c>
      <c r="I3392" t="s">
        <v>1265</v>
      </c>
      <c r="J3392" t="s">
        <v>1266</v>
      </c>
      <c r="K3392" t="s">
        <v>1267</v>
      </c>
      <c r="L3392" t="s">
        <v>1338</v>
      </c>
      <c r="M3392" t="s">
        <v>1339</v>
      </c>
      <c r="N3392">
        <v>1</v>
      </c>
      <c r="O3392" t="str">
        <f t="shared" si="279"/>
        <v>47</v>
      </c>
      <c r="P3392">
        <v>47</v>
      </c>
      <c r="R3392" t="s">
        <v>1269</v>
      </c>
      <c r="S3392">
        <v>4</v>
      </c>
      <c r="T3392">
        <v>0.32019999999999998</v>
      </c>
      <c r="U3392">
        <f t="shared" si="280"/>
        <v>0</v>
      </c>
      <c r="V3392" t="str">
        <f t="shared" si="281"/>
        <v>Middle Nurse</v>
      </c>
      <c r="W3392" t="str">
        <f t="shared" si="282"/>
        <v>Nurse</v>
      </c>
    </row>
    <row r="3393" spans="1:23" x14ac:dyDescent="0.25">
      <c r="A3393">
        <v>39090</v>
      </c>
      <c r="B3393" t="s">
        <v>1299</v>
      </c>
      <c r="C3393">
        <v>3.407</v>
      </c>
      <c r="D3393" t="s">
        <v>1264</v>
      </c>
      <c r="E3393">
        <v>100071</v>
      </c>
      <c r="F3393">
        <v>39090</v>
      </c>
      <c r="G3393" t="str">
        <f t="shared" si="276"/>
        <v>39090</v>
      </c>
      <c r="H3393" t="s">
        <v>588</v>
      </c>
      <c r="I3393" t="s">
        <v>1265</v>
      </c>
      <c r="J3393" t="s">
        <v>1271</v>
      </c>
      <c r="K3393" t="s">
        <v>1272</v>
      </c>
      <c r="L3393" t="s">
        <v>1299</v>
      </c>
      <c r="M3393" t="s">
        <v>1300</v>
      </c>
      <c r="N3393">
        <v>1</v>
      </c>
      <c r="O3393" t="str">
        <f t="shared" si="279"/>
        <v>25</v>
      </c>
      <c r="Q3393">
        <v>25</v>
      </c>
      <c r="R3393" t="s">
        <v>1269</v>
      </c>
      <c r="S3393">
        <v>3.407</v>
      </c>
      <c r="T3393">
        <v>0.219</v>
      </c>
      <c r="U3393">
        <f t="shared" si="280"/>
        <v>0</v>
      </c>
      <c r="V3393" t="str">
        <f t="shared" si="281"/>
        <v>High Pupil Management</v>
      </c>
      <c r="W3393" t="str">
        <f t="shared" si="282"/>
        <v>Pupil Management</v>
      </c>
    </row>
    <row r="3394" spans="1:23" x14ac:dyDescent="0.25">
      <c r="A3394">
        <v>39090</v>
      </c>
      <c r="B3394" t="s">
        <v>1324</v>
      </c>
      <c r="C3394">
        <v>1.873</v>
      </c>
      <c r="D3394" t="s">
        <v>1264</v>
      </c>
      <c r="E3394">
        <v>100071</v>
      </c>
      <c r="F3394">
        <v>39090</v>
      </c>
      <c r="G3394" t="str">
        <f t="shared" ref="G3394:G3457" si="283">TEXT(F3394,"00000")</f>
        <v>39090</v>
      </c>
      <c r="H3394" t="s">
        <v>588</v>
      </c>
      <c r="I3394" t="s">
        <v>1265</v>
      </c>
      <c r="J3394" t="s">
        <v>1271</v>
      </c>
      <c r="K3394" t="s">
        <v>1272</v>
      </c>
      <c r="L3394" t="s">
        <v>1324</v>
      </c>
      <c r="M3394" t="s">
        <v>1325</v>
      </c>
      <c r="N3394">
        <v>21</v>
      </c>
      <c r="O3394" t="str">
        <f t="shared" si="279"/>
        <v>26</v>
      </c>
      <c r="Q3394">
        <v>26</v>
      </c>
      <c r="R3394" t="s">
        <v>1269</v>
      </c>
      <c r="S3394">
        <v>1.873</v>
      </c>
      <c r="T3394">
        <v>0.219</v>
      </c>
      <c r="U3394">
        <f t="shared" si="280"/>
        <v>0.41</v>
      </c>
      <c r="V3394" t="str">
        <f t="shared" si="281"/>
        <v>High Health/
Related Services</v>
      </c>
      <c r="W3394" t="str">
        <f t="shared" si="282"/>
        <v>Health/
Related Services</v>
      </c>
    </row>
    <row r="3395" spans="1:23" x14ac:dyDescent="0.25">
      <c r="A3395">
        <v>39090</v>
      </c>
      <c r="B3395" t="s">
        <v>1295</v>
      </c>
      <c r="C3395">
        <v>3.09</v>
      </c>
      <c r="D3395" t="s">
        <v>1264</v>
      </c>
      <c r="E3395">
        <v>100071</v>
      </c>
      <c r="F3395">
        <v>39090</v>
      </c>
      <c r="G3395" t="str">
        <f t="shared" si="283"/>
        <v>39090</v>
      </c>
      <c r="H3395" t="s">
        <v>588</v>
      </c>
      <c r="I3395" t="s">
        <v>1265</v>
      </c>
      <c r="J3395" t="s">
        <v>1271</v>
      </c>
      <c r="K3395" t="s">
        <v>1272</v>
      </c>
      <c r="L3395" t="s">
        <v>1295</v>
      </c>
      <c r="M3395" t="s">
        <v>1296</v>
      </c>
      <c r="N3395">
        <v>1</v>
      </c>
      <c r="O3395" t="str">
        <f t="shared" ref="O3395:O3458" si="284">MID(L3395,3,2)</f>
        <v>26</v>
      </c>
      <c r="Q3395">
        <v>26</v>
      </c>
      <c r="R3395" t="s">
        <v>1269</v>
      </c>
      <c r="S3395">
        <v>3.09</v>
      </c>
      <c r="T3395">
        <v>0.219</v>
      </c>
      <c r="U3395">
        <f t="shared" ref="U3395:U3440" si="285">IF(N3395=21,ROUND(T3395*S3395,3),0)</f>
        <v>0</v>
      </c>
      <c r="V3395" t="str">
        <f t="shared" si="281"/>
        <v>High Health/
Related Services</v>
      </c>
      <c r="W3395" t="str">
        <f t="shared" si="282"/>
        <v>Health/
Related Services</v>
      </c>
    </row>
    <row r="3396" spans="1:23" x14ac:dyDescent="0.25">
      <c r="A3396">
        <v>39090</v>
      </c>
      <c r="B3396" t="s">
        <v>1401</v>
      </c>
      <c r="C3396">
        <v>1.202</v>
      </c>
      <c r="D3396" t="s">
        <v>1264</v>
      </c>
      <c r="E3396">
        <v>100071</v>
      </c>
      <c r="F3396">
        <v>39090</v>
      </c>
      <c r="G3396" t="str">
        <f t="shared" si="283"/>
        <v>39090</v>
      </c>
      <c r="H3396" t="s">
        <v>588</v>
      </c>
      <c r="I3396" t="s">
        <v>1265</v>
      </c>
      <c r="J3396" t="s">
        <v>1271</v>
      </c>
      <c r="K3396" t="s">
        <v>1272</v>
      </c>
      <c r="L3396" t="s">
        <v>1401</v>
      </c>
      <c r="M3396" t="s">
        <v>1422</v>
      </c>
      <c r="N3396">
        <v>1</v>
      </c>
      <c r="O3396" t="str">
        <f t="shared" si="284"/>
        <v>35</v>
      </c>
      <c r="Q3396">
        <v>35</v>
      </c>
      <c r="R3396" t="s">
        <v>1269</v>
      </c>
      <c r="S3396">
        <v>1.202</v>
      </c>
      <c r="T3396">
        <v>0.219</v>
      </c>
      <c r="U3396">
        <f t="shared" si="285"/>
        <v>0</v>
      </c>
      <c r="V3396" t="str">
        <f t="shared" si="281"/>
        <v>High Pupil Safety</v>
      </c>
      <c r="W3396" t="str">
        <f t="shared" si="282"/>
        <v>Pupil Safety</v>
      </c>
    </row>
    <row r="3397" spans="1:23" x14ac:dyDescent="0.25">
      <c r="A3397">
        <v>39090</v>
      </c>
      <c r="B3397" t="s">
        <v>1275</v>
      </c>
      <c r="C3397">
        <v>3</v>
      </c>
      <c r="D3397" t="s">
        <v>1264</v>
      </c>
      <c r="E3397">
        <v>100071</v>
      </c>
      <c r="F3397">
        <v>39090</v>
      </c>
      <c r="G3397" t="str">
        <f t="shared" si="283"/>
        <v>39090</v>
      </c>
      <c r="H3397" t="s">
        <v>588</v>
      </c>
      <c r="I3397" t="s">
        <v>1265</v>
      </c>
      <c r="J3397" t="s">
        <v>1276</v>
      </c>
      <c r="K3397" t="s">
        <v>1277</v>
      </c>
      <c r="L3397" t="s">
        <v>1275</v>
      </c>
      <c r="M3397" t="s">
        <v>1278</v>
      </c>
      <c r="N3397">
        <v>1</v>
      </c>
      <c r="O3397" t="str">
        <f t="shared" si="284"/>
        <v>42</v>
      </c>
      <c r="P3397">
        <v>42</v>
      </c>
      <c r="R3397" t="s">
        <v>1269</v>
      </c>
      <c r="S3397">
        <v>3</v>
      </c>
      <c r="T3397">
        <v>0.219</v>
      </c>
      <c r="U3397">
        <f t="shared" si="285"/>
        <v>0</v>
      </c>
      <c r="V3397" t="str">
        <f t="shared" si="281"/>
        <v>Elementary Counselor</v>
      </c>
      <c r="W3397" t="str">
        <f t="shared" si="282"/>
        <v>Counselor</v>
      </c>
    </row>
    <row r="3398" spans="1:23" x14ac:dyDescent="0.25">
      <c r="A3398">
        <v>39090</v>
      </c>
      <c r="B3398" t="s">
        <v>1270</v>
      </c>
      <c r="C3398">
        <v>2.5499999999999998</v>
      </c>
      <c r="D3398" t="s">
        <v>1264</v>
      </c>
      <c r="E3398">
        <v>100071</v>
      </c>
      <c r="F3398">
        <v>39090</v>
      </c>
      <c r="G3398" t="str">
        <f t="shared" si="283"/>
        <v>39090</v>
      </c>
      <c r="H3398" t="s">
        <v>588</v>
      </c>
      <c r="I3398" t="s">
        <v>1265</v>
      </c>
      <c r="J3398" t="s">
        <v>1271</v>
      </c>
      <c r="K3398" t="s">
        <v>1272</v>
      </c>
      <c r="L3398" t="s">
        <v>1270</v>
      </c>
      <c r="M3398" t="s">
        <v>1273</v>
      </c>
      <c r="N3398">
        <v>1</v>
      </c>
      <c r="O3398" t="str">
        <f t="shared" si="284"/>
        <v>42</v>
      </c>
      <c r="P3398">
        <v>42</v>
      </c>
      <c r="R3398" t="s">
        <v>1269</v>
      </c>
      <c r="S3398">
        <v>2.5499999999999998</v>
      </c>
      <c r="T3398">
        <v>0.219</v>
      </c>
      <c r="U3398">
        <f t="shared" si="285"/>
        <v>0</v>
      </c>
      <c r="V3398" t="str">
        <f t="shared" si="281"/>
        <v>High Counselor</v>
      </c>
      <c r="W3398" t="str">
        <f t="shared" si="282"/>
        <v>Counselor</v>
      </c>
    </row>
    <row r="3399" spans="1:23" x14ac:dyDescent="0.25">
      <c r="A3399">
        <v>39090</v>
      </c>
      <c r="B3399" t="s">
        <v>1263</v>
      </c>
      <c r="C3399">
        <v>2.0009999999999999</v>
      </c>
      <c r="D3399" t="s">
        <v>1264</v>
      </c>
      <c r="E3399">
        <v>100071</v>
      </c>
      <c r="F3399">
        <v>39090</v>
      </c>
      <c r="G3399" t="str">
        <f t="shared" si="283"/>
        <v>39090</v>
      </c>
      <c r="H3399" t="s">
        <v>588</v>
      </c>
      <c r="I3399" t="s">
        <v>1265</v>
      </c>
      <c r="J3399" t="s">
        <v>1266</v>
      </c>
      <c r="K3399" t="s">
        <v>1267</v>
      </c>
      <c r="L3399" t="s">
        <v>1263</v>
      </c>
      <c r="M3399" t="s">
        <v>1268</v>
      </c>
      <c r="N3399">
        <v>1</v>
      </c>
      <c r="O3399" t="str">
        <f t="shared" si="284"/>
        <v>42</v>
      </c>
      <c r="P3399">
        <v>42</v>
      </c>
      <c r="R3399" t="s">
        <v>1269</v>
      </c>
      <c r="S3399">
        <v>2.0009999999999999</v>
      </c>
      <c r="T3399">
        <v>0.219</v>
      </c>
      <c r="U3399">
        <f t="shared" si="285"/>
        <v>0</v>
      </c>
      <c r="V3399" t="str">
        <f t="shared" si="281"/>
        <v>Middle Counselor</v>
      </c>
      <c r="W3399" t="str">
        <f t="shared" si="282"/>
        <v>Counselor</v>
      </c>
    </row>
    <row r="3400" spans="1:23" x14ac:dyDescent="0.25">
      <c r="A3400">
        <v>39090</v>
      </c>
      <c r="B3400" t="s">
        <v>1289</v>
      </c>
      <c r="C3400">
        <v>0.63</v>
      </c>
      <c r="D3400" t="s">
        <v>1264</v>
      </c>
      <c r="E3400">
        <v>100071</v>
      </c>
      <c r="F3400">
        <v>39090</v>
      </c>
      <c r="G3400" t="str">
        <f t="shared" si="283"/>
        <v>39090</v>
      </c>
      <c r="H3400" t="s">
        <v>588</v>
      </c>
      <c r="I3400" t="s">
        <v>1265</v>
      </c>
      <c r="J3400" t="s">
        <v>1276</v>
      </c>
      <c r="K3400" t="s">
        <v>1277</v>
      </c>
      <c r="L3400" t="s">
        <v>1289</v>
      </c>
      <c r="M3400" t="s">
        <v>1307</v>
      </c>
      <c r="N3400">
        <v>21</v>
      </c>
      <c r="O3400" t="str">
        <f t="shared" si="284"/>
        <v>43</v>
      </c>
      <c r="P3400">
        <v>43</v>
      </c>
      <c r="R3400" t="s">
        <v>1269</v>
      </c>
      <c r="S3400">
        <v>0.63</v>
      </c>
      <c r="T3400">
        <v>0.219</v>
      </c>
      <c r="U3400">
        <f t="shared" si="285"/>
        <v>0.13800000000000001</v>
      </c>
      <c r="V3400" t="str">
        <f t="shared" si="281"/>
        <v>Elementary Occupational Therapist</v>
      </c>
      <c r="W3400" t="str">
        <f t="shared" si="282"/>
        <v>Occupational Therapist</v>
      </c>
    </row>
    <row r="3401" spans="1:23" x14ac:dyDescent="0.25">
      <c r="A3401">
        <v>39090</v>
      </c>
      <c r="B3401" t="s">
        <v>1387</v>
      </c>
      <c r="C3401">
        <v>0.17</v>
      </c>
      <c r="D3401" t="s">
        <v>1264</v>
      </c>
      <c r="E3401">
        <v>100071</v>
      </c>
      <c r="F3401">
        <v>39090</v>
      </c>
      <c r="G3401" t="str">
        <f t="shared" si="283"/>
        <v>39090</v>
      </c>
      <c r="H3401" t="s">
        <v>588</v>
      </c>
      <c r="I3401" t="s">
        <v>1265</v>
      </c>
      <c r="J3401" t="s">
        <v>1271</v>
      </c>
      <c r="K3401" t="s">
        <v>1272</v>
      </c>
      <c r="L3401" t="s">
        <v>1387</v>
      </c>
      <c r="M3401" t="s">
        <v>1406</v>
      </c>
      <c r="N3401">
        <v>21</v>
      </c>
      <c r="O3401" t="str">
        <f t="shared" si="284"/>
        <v>43</v>
      </c>
      <c r="P3401">
        <v>43</v>
      </c>
      <c r="R3401" t="s">
        <v>1269</v>
      </c>
      <c r="S3401">
        <v>0.17</v>
      </c>
      <c r="T3401">
        <v>0.219</v>
      </c>
      <c r="U3401">
        <f t="shared" si="285"/>
        <v>3.6999999999999998E-2</v>
      </c>
      <c r="V3401" t="str">
        <f t="shared" si="281"/>
        <v>High Occupational Therapist</v>
      </c>
      <c r="W3401" t="str">
        <f t="shared" si="282"/>
        <v>Occupational Therapist</v>
      </c>
    </row>
    <row r="3402" spans="1:23" x14ac:dyDescent="0.25">
      <c r="A3402">
        <v>39090</v>
      </c>
      <c r="B3402" t="s">
        <v>1303</v>
      </c>
      <c r="C3402">
        <v>0.2</v>
      </c>
      <c r="D3402" t="s">
        <v>1264</v>
      </c>
      <c r="E3402">
        <v>100071</v>
      </c>
      <c r="F3402">
        <v>39090</v>
      </c>
      <c r="G3402" t="str">
        <f t="shared" si="283"/>
        <v>39090</v>
      </c>
      <c r="H3402" t="s">
        <v>588</v>
      </c>
      <c r="I3402" t="s">
        <v>1265</v>
      </c>
      <c r="J3402" t="s">
        <v>1266</v>
      </c>
      <c r="K3402" t="s">
        <v>1267</v>
      </c>
      <c r="L3402" t="s">
        <v>1303</v>
      </c>
      <c r="M3402" t="s">
        <v>1304</v>
      </c>
      <c r="N3402">
        <v>21</v>
      </c>
      <c r="O3402" t="str">
        <f t="shared" si="284"/>
        <v>43</v>
      </c>
      <c r="P3402">
        <v>43</v>
      </c>
      <c r="R3402" t="s">
        <v>1269</v>
      </c>
      <c r="S3402">
        <v>0.2</v>
      </c>
      <c r="T3402">
        <v>0.219</v>
      </c>
      <c r="U3402">
        <f t="shared" si="285"/>
        <v>4.3999999999999997E-2</v>
      </c>
      <c r="V3402" t="str">
        <f t="shared" si="281"/>
        <v>Middle Occupational Therapist</v>
      </c>
      <c r="W3402" t="str">
        <f t="shared" si="282"/>
        <v>Occupational Therapist</v>
      </c>
    </row>
    <row r="3403" spans="1:23" x14ac:dyDescent="0.25">
      <c r="A3403">
        <v>39090</v>
      </c>
      <c r="B3403" t="s">
        <v>1298</v>
      </c>
      <c r="C3403">
        <v>3.77</v>
      </c>
      <c r="D3403" t="s">
        <v>1264</v>
      </c>
      <c r="E3403">
        <v>100071</v>
      </c>
      <c r="F3403">
        <v>39090</v>
      </c>
      <c r="G3403" t="str">
        <f t="shared" si="283"/>
        <v>39090</v>
      </c>
      <c r="H3403" t="s">
        <v>588</v>
      </c>
      <c r="I3403" t="s">
        <v>1265</v>
      </c>
      <c r="J3403" t="s">
        <v>1276</v>
      </c>
      <c r="K3403" t="s">
        <v>1277</v>
      </c>
      <c r="L3403" t="s">
        <v>1298</v>
      </c>
      <c r="M3403" t="s">
        <v>1349</v>
      </c>
      <c r="N3403">
        <v>21</v>
      </c>
      <c r="O3403" t="str">
        <f t="shared" si="284"/>
        <v>46</v>
      </c>
      <c r="P3403">
        <v>46</v>
      </c>
      <c r="R3403" t="s">
        <v>1269</v>
      </c>
      <c r="S3403">
        <v>3.77</v>
      </c>
      <c r="T3403">
        <v>0.219</v>
      </c>
      <c r="U3403">
        <f t="shared" si="285"/>
        <v>0.82599999999999996</v>
      </c>
      <c r="V3403" t="str">
        <f t="shared" si="281"/>
        <v>Elementary Psychologist</v>
      </c>
      <c r="W3403" t="str">
        <f t="shared" si="282"/>
        <v>Psychologist</v>
      </c>
    </row>
    <row r="3404" spans="1:23" x14ac:dyDescent="0.25">
      <c r="A3404">
        <v>39090</v>
      </c>
      <c r="B3404" t="s">
        <v>1309</v>
      </c>
      <c r="C3404">
        <v>1</v>
      </c>
      <c r="D3404" t="s">
        <v>1264</v>
      </c>
      <c r="E3404">
        <v>100071</v>
      </c>
      <c r="F3404">
        <v>39090</v>
      </c>
      <c r="G3404" t="str">
        <f t="shared" si="283"/>
        <v>39090</v>
      </c>
      <c r="H3404" t="s">
        <v>588</v>
      </c>
      <c r="I3404" t="s">
        <v>1265</v>
      </c>
      <c r="J3404" t="s">
        <v>1271</v>
      </c>
      <c r="K3404" t="s">
        <v>1272</v>
      </c>
      <c r="L3404" t="s">
        <v>1309</v>
      </c>
      <c r="M3404" t="s">
        <v>1310</v>
      </c>
      <c r="N3404">
        <v>21</v>
      </c>
      <c r="O3404" t="str">
        <f t="shared" si="284"/>
        <v>46</v>
      </c>
      <c r="P3404">
        <v>46</v>
      </c>
      <c r="R3404" t="s">
        <v>1269</v>
      </c>
      <c r="S3404">
        <v>1</v>
      </c>
      <c r="T3404">
        <v>0.219</v>
      </c>
      <c r="U3404">
        <f t="shared" si="285"/>
        <v>0.219</v>
      </c>
      <c r="V3404" t="str">
        <f t="shared" si="281"/>
        <v>High Psychologist</v>
      </c>
      <c r="W3404" t="str">
        <f t="shared" si="282"/>
        <v>Psychologist</v>
      </c>
    </row>
    <row r="3405" spans="1:23" x14ac:dyDescent="0.25">
      <c r="A3405">
        <v>39090</v>
      </c>
      <c r="B3405" t="s">
        <v>1306</v>
      </c>
      <c r="C3405">
        <v>4.6399999999999997</v>
      </c>
      <c r="D3405" t="s">
        <v>1264</v>
      </c>
      <c r="E3405">
        <v>100071</v>
      </c>
      <c r="F3405">
        <v>39090</v>
      </c>
      <c r="G3405" t="str">
        <f t="shared" si="283"/>
        <v>39090</v>
      </c>
      <c r="H3405" t="s">
        <v>588</v>
      </c>
      <c r="I3405" t="s">
        <v>1265</v>
      </c>
      <c r="J3405" t="s">
        <v>1276</v>
      </c>
      <c r="K3405" t="s">
        <v>1277</v>
      </c>
      <c r="L3405" t="s">
        <v>1306</v>
      </c>
      <c r="M3405" t="s">
        <v>1320</v>
      </c>
      <c r="N3405">
        <v>21</v>
      </c>
      <c r="O3405" t="str">
        <f t="shared" si="284"/>
        <v>64</v>
      </c>
      <c r="P3405">
        <v>64</v>
      </c>
      <c r="R3405" t="s">
        <v>1269</v>
      </c>
      <c r="S3405">
        <v>4.6399999999999997</v>
      </c>
      <c r="T3405">
        <v>0.219</v>
      </c>
      <c r="U3405">
        <f t="shared" si="285"/>
        <v>1.016</v>
      </c>
      <c r="V3405" t="str">
        <f t="shared" si="281"/>
        <v>Elementary Contractor ESA</v>
      </c>
      <c r="W3405" t="str">
        <f t="shared" si="282"/>
        <v>Contractor ESA</v>
      </c>
    </row>
    <row r="3406" spans="1:23" x14ac:dyDescent="0.25">
      <c r="A3406">
        <v>39090</v>
      </c>
      <c r="B3406" t="s">
        <v>1317</v>
      </c>
      <c r="C3406">
        <v>1</v>
      </c>
      <c r="D3406" t="s">
        <v>1264</v>
      </c>
      <c r="E3406">
        <v>100071</v>
      </c>
      <c r="F3406">
        <v>39090</v>
      </c>
      <c r="G3406" t="str">
        <f t="shared" si="283"/>
        <v>39090</v>
      </c>
      <c r="H3406" t="s">
        <v>588</v>
      </c>
      <c r="I3406" t="s">
        <v>1265</v>
      </c>
      <c r="J3406" t="s">
        <v>1271</v>
      </c>
      <c r="K3406" t="s">
        <v>1272</v>
      </c>
      <c r="L3406" t="s">
        <v>1317</v>
      </c>
      <c r="M3406" t="s">
        <v>1318</v>
      </c>
      <c r="N3406">
        <v>21</v>
      </c>
      <c r="O3406" t="str">
        <f t="shared" si="284"/>
        <v>64</v>
      </c>
      <c r="P3406">
        <v>64</v>
      </c>
      <c r="R3406" t="s">
        <v>1269</v>
      </c>
      <c r="S3406">
        <v>1</v>
      </c>
      <c r="T3406">
        <v>0.219</v>
      </c>
      <c r="U3406">
        <f t="shared" si="285"/>
        <v>0.219</v>
      </c>
      <c r="V3406" t="str">
        <f t="shared" si="281"/>
        <v>High Contractor ESA</v>
      </c>
      <c r="W3406" t="str">
        <f t="shared" si="282"/>
        <v>Contractor ESA</v>
      </c>
    </row>
    <row r="3407" spans="1:23" x14ac:dyDescent="0.25">
      <c r="A3407">
        <v>39090</v>
      </c>
      <c r="B3407" t="s">
        <v>1313</v>
      </c>
      <c r="C3407">
        <v>1</v>
      </c>
      <c r="D3407" t="s">
        <v>1264</v>
      </c>
      <c r="E3407">
        <v>100071</v>
      </c>
      <c r="F3407">
        <v>39090</v>
      </c>
      <c r="G3407" t="str">
        <f t="shared" si="283"/>
        <v>39090</v>
      </c>
      <c r="H3407" t="s">
        <v>588</v>
      </c>
      <c r="I3407" t="s">
        <v>1265</v>
      </c>
      <c r="J3407" t="s">
        <v>1266</v>
      </c>
      <c r="K3407" t="s">
        <v>1267</v>
      </c>
      <c r="L3407" t="s">
        <v>1313</v>
      </c>
      <c r="M3407" t="s">
        <v>1314</v>
      </c>
      <c r="N3407">
        <v>21</v>
      </c>
      <c r="O3407" t="str">
        <f t="shared" si="284"/>
        <v>64</v>
      </c>
      <c r="P3407">
        <v>64</v>
      </c>
      <c r="R3407" t="s">
        <v>1269</v>
      </c>
      <c r="S3407">
        <v>1</v>
      </c>
      <c r="T3407">
        <v>0.219</v>
      </c>
      <c r="U3407">
        <f t="shared" si="285"/>
        <v>0.219</v>
      </c>
      <c r="V3407" t="str">
        <f t="shared" si="281"/>
        <v>Middle Contractor ESA</v>
      </c>
      <c r="W3407" t="str">
        <f t="shared" si="282"/>
        <v>Contractor ESA</v>
      </c>
    </row>
    <row r="3408" spans="1:23" x14ac:dyDescent="0.25">
      <c r="A3408" t="s">
        <v>292</v>
      </c>
      <c r="B3408" t="s">
        <v>1472</v>
      </c>
      <c r="C3408">
        <v>0.04</v>
      </c>
      <c r="F3408" t="s">
        <v>292</v>
      </c>
      <c r="G3408" t="str">
        <f t="shared" si="283"/>
        <v>39090</v>
      </c>
      <c r="H3408" t="s">
        <v>588</v>
      </c>
      <c r="I3408" t="s">
        <v>1265</v>
      </c>
      <c r="J3408" t="s">
        <v>1641</v>
      </c>
      <c r="K3408" t="s">
        <v>1277</v>
      </c>
      <c r="L3408" t="s">
        <v>1472</v>
      </c>
      <c r="M3408" t="s">
        <v>1649</v>
      </c>
      <c r="N3408">
        <v>9</v>
      </c>
      <c r="O3408" t="str">
        <f t="shared" si="284"/>
        <v>64</v>
      </c>
      <c r="P3408">
        <v>64</v>
      </c>
      <c r="Q3408">
        <v>26</v>
      </c>
      <c r="S3408">
        <v>0.04</v>
      </c>
      <c r="T3408">
        <v>0.219</v>
      </c>
      <c r="U3408">
        <f t="shared" si="285"/>
        <v>0</v>
      </c>
      <c r="V3408" t="str">
        <f t="shared" si="281"/>
        <v>TK Contractor ESA</v>
      </c>
      <c r="W3408" t="str">
        <f t="shared" si="282"/>
        <v>Contractor ESA</v>
      </c>
    </row>
    <row r="3409" spans="1:23" x14ac:dyDescent="0.25">
      <c r="A3409" t="s">
        <v>292</v>
      </c>
      <c r="B3409" t="s">
        <v>1472</v>
      </c>
      <c r="C3409">
        <v>0.3</v>
      </c>
      <c r="F3409" t="s">
        <v>292</v>
      </c>
      <c r="G3409" t="str">
        <f t="shared" si="283"/>
        <v>39090</v>
      </c>
      <c r="H3409" t="s">
        <v>588</v>
      </c>
      <c r="I3409" t="s">
        <v>1265</v>
      </c>
      <c r="J3409" t="s">
        <v>1641</v>
      </c>
      <c r="K3409" t="s">
        <v>1277</v>
      </c>
      <c r="L3409" t="s">
        <v>1472</v>
      </c>
      <c r="M3409" t="s">
        <v>1649</v>
      </c>
      <c r="N3409">
        <v>9</v>
      </c>
      <c r="O3409" t="str">
        <f t="shared" si="284"/>
        <v>64</v>
      </c>
      <c r="P3409">
        <v>64</v>
      </c>
      <c r="Q3409">
        <v>26</v>
      </c>
      <c r="S3409">
        <v>0.3</v>
      </c>
      <c r="T3409">
        <v>0.219</v>
      </c>
      <c r="U3409">
        <f t="shared" si="285"/>
        <v>0</v>
      </c>
      <c r="V3409" t="str">
        <f t="shared" si="281"/>
        <v>TK Contractor ESA</v>
      </c>
      <c r="W3409" t="str">
        <f t="shared" si="282"/>
        <v>Contractor ESA</v>
      </c>
    </row>
    <row r="3410" spans="1:23" x14ac:dyDescent="0.25">
      <c r="A3410" t="s">
        <v>292</v>
      </c>
      <c r="B3410" t="s">
        <v>1472</v>
      </c>
      <c r="C3410">
        <v>0.02</v>
      </c>
      <c r="F3410" t="s">
        <v>292</v>
      </c>
      <c r="G3410" t="str">
        <f t="shared" si="283"/>
        <v>39090</v>
      </c>
      <c r="H3410" t="s">
        <v>588</v>
      </c>
      <c r="I3410" t="s">
        <v>1265</v>
      </c>
      <c r="J3410" t="s">
        <v>1641</v>
      </c>
      <c r="K3410" t="s">
        <v>1277</v>
      </c>
      <c r="L3410" t="s">
        <v>1472</v>
      </c>
      <c r="M3410" t="s">
        <v>1649</v>
      </c>
      <c r="N3410">
        <v>9</v>
      </c>
      <c r="O3410" t="str">
        <f t="shared" si="284"/>
        <v>64</v>
      </c>
      <c r="P3410">
        <v>64</v>
      </c>
      <c r="Q3410">
        <v>26</v>
      </c>
      <c r="S3410">
        <v>0.02</v>
      </c>
      <c r="T3410">
        <v>0.219</v>
      </c>
      <c r="U3410">
        <f t="shared" si="285"/>
        <v>0</v>
      </c>
      <c r="V3410" t="str">
        <f t="shared" si="281"/>
        <v>TK Contractor ESA</v>
      </c>
      <c r="W3410" t="str">
        <f t="shared" si="282"/>
        <v>Contractor ESA</v>
      </c>
    </row>
    <row r="3411" spans="1:23" x14ac:dyDescent="0.25">
      <c r="A3411">
        <v>39119</v>
      </c>
      <c r="B3411" t="s">
        <v>1286</v>
      </c>
      <c r="C3411">
        <v>1.577</v>
      </c>
      <c r="D3411" t="s">
        <v>1264</v>
      </c>
      <c r="E3411">
        <v>100231</v>
      </c>
      <c r="F3411">
        <v>39119</v>
      </c>
      <c r="G3411" t="str">
        <f t="shared" si="283"/>
        <v>39119</v>
      </c>
      <c r="H3411" t="s">
        <v>589</v>
      </c>
      <c r="I3411" t="s">
        <v>1265</v>
      </c>
      <c r="J3411" t="s">
        <v>1271</v>
      </c>
      <c r="K3411" t="s">
        <v>1272</v>
      </c>
      <c r="L3411" t="s">
        <v>1286</v>
      </c>
      <c r="M3411" t="s">
        <v>1287</v>
      </c>
      <c r="N3411">
        <v>1</v>
      </c>
      <c r="O3411" t="str">
        <f t="shared" si="284"/>
        <v>24</v>
      </c>
      <c r="P3411">
        <v>96</v>
      </c>
      <c r="Q3411">
        <v>24</v>
      </c>
      <c r="R3411" t="s">
        <v>1269</v>
      </c>
      <c r="S3411">
        <v>1.577</v>
      </c>
      <c r="T3411">
        <v>0.1996</v>
      </c>
      <c r="U3411">
        <f t="shared" si="285"/>
        <v>0</v>
      </c>
      <c r="V3411" t="str">
        <f t="shared" si="281"/>
        <v>High Family Engagement Coordinator</v>
      </c>
      <c r="W3411" t="str">
        <f t="shared" si="282"/>
        <v>Family Engagement Coordinator</v>
      </c>
    </row>
    <row r="3412" spans="1:23" x14ac:dyDescent="0.25">
      <c r="A3412">
        <v>39119</v>
      </c>
      <c r="B3412" t="s">
        <v>1299</v>
      </c>
      <c r="C3412">
        <v>0.36699999999999999</v>
      </c>
      <c r="D3412" t="s">
        <v>1264</v>
      </c>
      <c r="E3412">
        <v>100231</v>
      </c>
      <c r="F3412">
        <v>39119</v>
      </c>
      <c r="G3412" t="str">
        <f t="shared" si="283"/>
        <v>39119</v>
      </c>
      <c r="H3412" t="s">
        <v>589</v>
      </c>
      <c r="I3412" t="s">
        <v>1265</v>
      </c>
      <c r="J3412" t="s">
        <v>1271</v>
      </c>
      <c r="K3412" t="s">
        <v>1272</v>
      </c>
      <c r="L3412" t="s">
        <v>1299</v>
      </c>
      <c r="M3412" t="s">
        <v>1300</v>
      </c>
      <c r="N3412">
        <v>1</v>
      </c>
      <c r="O3412" t="str">
        <f t="shared" si="284"/>
        <v>25</v>
      </c>
      <c r="Q3412">
        <v>25</v>
      </c>
      <c r="R3412" t="s">
        <v>1269</v>
      </c>
      <c r="S3412">
        <v>0.36699999999999999</v>
      </c>
      <c r="T3412">
        <v>0.1996</v>
      </c>
      <c r="U3412">
        <f t="shared" si="285"/>
        <v>0</v>
      </c>
      <c r="V3412" t="str">
        <f t="shared" si="281"/>
        <v>High Pupil Management</v>
      </c>
      <c r="W3412" t="str">
        <f t="shared" si="282"/>
        <v>Pupil Management</v>
      </c>
    </row>
    <row r="3413" spans="1:23" x14ac:dyDescent="0.25">
      <c r="A3413">
        <v>39119</v>
      </c>
      <c r="B3413" t="s">
        <v>1324</v>
      </c>
      <c r="C3413">
        <v>1.9610000000000001</v>
      </c>
      <c r="D3413" t="s">
        <v>1264</v>
      </c>
      <c r="E3413">
        <v>100231</v>
      </c>
      <c r="F3413">
        <v>39119</v>
      </c>
      <c r="G3413" t="str">
        <f t="shared" si="283"/>
        <v>39119</v>
      </c>
      <c r="H3413" t="s">
        <v>589</v>
      </c>
      <c r="I3413" t="s">
        <v>1265</v>
      </c>
      <c r="J3413" t="s">
        <v>1271</v>
      </c>
      <c r="K3413" t="s">
        <v>1272</v>
      </c>
      <c r="L3413" t="s">
        <v>1324</v>
      </c>
      <c r="M3413" t="s">
        <v>1325</v>
      </c>
      <c r="N3413">
        <v>21</v>
      </c>
      <c r="O3413" t="str">
        <f t="shared" si="284"/>
        <v>26</v>
      </c>
      <c r="Q3413">
        <v>26</v>
      </c>
      <c r="R3413" t="s">
        <v>1269</v>
      </c>
      <c r="S3413">
        <v>1.9610000000000001</v>
      </c>
      <c r="T3413">
        <v>0.1996</v>
      </c>
      <c r="U3413">
        <f t="shared" si="285"/>
        <v>0.39100000000000001</v>
      </c>
      <c r="V3413" t="str">
        <f t="shared" si="281"/>
        <v>High Health/
Related Services</v>
      </c>
      <c r="W3413" t="str">
        <f t="shared" si="282"/>
        <v>Health/
Related Services</v>
      </c>
    </row>
    <row r="3414" spans="1:23" x14ac:dyDescent="0.25">
      <c r="A3414">
        <v>39119</v>
      </c>
      <c r="B3414" t="s">
        <v>1295</v>
      </c>
      <c r="C3414">
        <v>1.6060000000000001</v>
      </c>
      <c r="D3414" t="s">
        <v>1264</v>
      </c>
      <c r="E3414">
        <v>100231</v>
      </c>
      <c r="F3414">
        <v>39119</v>
      </c>
      <c r="G3414" t="str">
        <f t="shared" si="283"/>
        <v>39119</v>
      </c>
      <c r="H3414" t="s">
        <v>589</v>
      </c>
      <c r="I3414" t="s">
        <v>1265</v>
      </c>
      <c r="J3414" t="s">
        <v>1271</v>
      </c>
      <c r="K3414" t="s">
        <v>1272</v>
      </c>
      <c r="L3414" t="s">
        <v>1295</v>
      </c>
      <c r="M3414" t="s">
        <v>1296</v>
      </c>
      <c r="N3414">
        <v>1</v>
      </c>
      <c r="O3414" t="str">
        <f t="shared" si="284"/>
        <v>26</v>
      </c>
      <c r="Q3414">
        <v>26</v>
      </c>
      <c r="R3414" t="s">
        <v>1269</v>
      </c>
      <c r="S3414">
        <v>1.6060000000000001</v>
      </c>
      <c r="T3414">
        <v>0.1996</v>
      </c>
      <c r="U3414">
        <f t="shared" si="285"/>
        <v>0</v>
      </c>
      <c r="V3414" t="str">
        <f t="shared" si="281"/>
        <v>High Health/
Related Services</v>
      </c>
      <c r="W3414" t="str">
        <f t="shared" si="282"/>
        <v>Health/
Related Services</v>
      </c>
    </row>
    <row r="3415" spans="1:23" x14ac:dyDescent="0.25">
      <c r="A3415">
        <v>39119</v>
      </c>
      <c r="B3415" t="s">
        <v>1275</v>
      </c>
      <c r="C3415">
        <v>4</v>
      </c>
      <c r="D3415" t="s">
        <v>1264</v>
      </c>
      <c r="E3415">
        <v>100231</v>
      </c>
      <c r="F3415">
        <v>39119</v>
      </c>
      <c r="G3415" t="str">
        <f t="shared" si="283"/>
        <v>39119</v>
      </c>
      <c r="H3415" t="s">
        <v>589</v>
      </c>
      <c r="I3415" t="s">
        <v>1265</v>
      </c>
      <c r="J3415" t="s">
        <v>1276</v>
      </c>
      <c r="K3415" t="s">
        <v>1277</v>
      </c>
      <c r="L3415" t="s">
        <v>1275</v>
      </c>
      <c r="M3415" t="s">
        <v>1278</v>
      </c>
      <c r="N3415">
        <v>1</v>
      </c>
      <c r="O3415" t="str">
        <f t="shared" si="284"/>
        <v>42</v>
      </c>
      <c r="P3415">
        <v>42</v>
      </c>
      <c r="R3415" t="s">
        <v>1269</v>
      </c>
      <c r="S3415">
        <v>4</v>
      </c>
      <c r="T3415">
        <v>0.1996</v>
      </c>
      <c r="U3415">
        <f t="shared" si="285"/>
        <v>0</v>
      </c>
      <c r="V3415" t="str">
        <f t="shared" si="281"/>
        <v>Elementary Counselor</v>
      </c>
      <c r="W3415" t="str">
        <f t="shared" si="282"/>
        <v>Counselor</v>
      </c>
    </row>
    <row r="3416" spans="1:23" x14ac:dyDescent="0.25">
      <c r="A3416">
        <v>39119</v>
      </c>
      <c r="B3416" t="s">
        <v>1270</v>
      </c>
      <c r="C3416">
        <v>2.4</v>
      </c>
      <c r="D3416" t="s">
        <v>1264</v>
      </c>
      <c r="E3416">
        <v>100231</v>
      </c>
      <c r="F3416">
        <v>39119</v>
      </c>
      <c r="G3416" t="str">
        <f t="shared" si="283"/>
        <v>39119</v>
      </c>
      <c r="H3416" t="s">
        <v>589</v>
      </c>
      <c r="I3416" t="s">
        <v>1265</v>
      </c>
      <c r="J3416" t="s">
        <v>1271</v>
      </c>
      <c r="K3416" t="s">
        <v>1272</v>
      </c>
      <c r="L3416" t="s">
        <v>1270</v>
      </c>
      <c r="M3416" t="s">
        <v>1273</v>
      </c>
      <c r="N3416">
        <v>1</v>
      </c>
      <c r="O3416" t="str">
        <f t="shared" si="284"/>
        <v>42</v>
      </c>
      <c r="P3416">
        <v>42</v>
      </c>
      <c r="R3416" t="s">
        <v>1269</v>
      </c>
      <c r="S3416">
        <v>2.4</v>
      </c>
      <c r="T3416">
        <v>0.1996</v>
      </c>
      <c r="U3416">
        <f t="shared" si="285"/>
        <v>0</v>
      </c>
      <c r="V3416" t="str">
        <f t="shared" si="281"/>
        <v>High Counselor</v>
      </c>
      <c r="W3416" t="str">
        <f t="shared" si="282"/>
        <v>Counselor</v>
      </c>
    </row>
    <row r="3417" spans="1:23" x14ac:dyDescent="0.25">
      <c r="A3417">
        <v>39119</v>
      </c>
      <c r="B3417" t="s">
        <v>1263</v>
      </c>
      <c r="C3417">
        <v>2.4</v>
      </c>
      <c r="D3417" t="s">
        <v>1264</v>
      </c>
      <c r="E3417">
        <v>100231</v>
      </c>
      <c r="F3417">
        <v>39119</v>
      </c>
      <c r="G3417" t="str">
        <f t="shared" si="283"/>
        <v>39119</v>
      </c>
      <c r="H3417" t="s">
        <v>589</v>
      </c>
      <c r="I3417" t="s">
        <v>1265</v>
      </c>
      <c r="J3417" t="s">
        <v>1266</v>
      </c>
      <c r="K3417" t="s">
        <v>1267</v>
      </c>
      <c r="L3417" t="s">
        <v>1263</v>
      </c>
      <c r="M3417" t="s">
        <v>1268</v>
      </c>
      <c r="N3417">
        <v>1</v>
      </c>
      <c r="O3417" t="str">
        <f t="shared" si="284"/>
        <v>42</v>
      </c>
      <c r="P3417">
        <v>42</v>
      </c>
      <c r="R3417" t="s">
        <v>1269</v>
      </c>
      <c r="S3417">
        <v>2.4</v>
      </c>
      <c r="T3417">
        <v>0.1996</v>
      </c>
      <c r="U3417">
        <f t="shared" si="285"/>
        <v>0</v>
      </c>
      <c r="V3417" t="str">
        <f t="shared" si="281"/>
        <v>Middle Counselor</v>
      </c>
      <c r="W3417" t="str">
        <f t="shared" si="282"/>
        <v>Counselor</v>
      </c>
    </row>
    <row r="3418" spans="1:23" x14ac:dyDescent="0.25">
      <c r="A3418">
        <v>39119</v>
      </c>
      <c r="B3418" t="s">
        <v>1289</v>
      </c>
      <c r="C3418">
        <v>0.93200000000000005</v>
      </c>
      <c r="D3418" t="s">
        <v>1264</v>
      </c>
      <c r="E3418">
        <v>100231</v>
      </c>
      <c r="F3418">
        <v>39119</v>
      </c>
      <c r="G3418" t="str">
        <f t="shared" si="283"/>
        <v>39119</v>
      </c>
      <c r="H3418" t="s">
        <v>589</v>
      </c>
      <c r="I3418" t="s">
        <v>1265</v>
      </c>
      <c r="J3418" t="s">
        <v>1276</v>
      </c>
      <c r="K3418" t="s">
        <v>1277</v>
      </c>
      <c r="L3418" t="s">
        <v>1289</v>
      </c>
      <c r="M3418" t="s">
        <v>1307</v>
      </c>
      <c r="N3418">
        <v>21</v>
      </c>
      <c r="O3418" t="str">
        <f t="shared" si="284"/>
        <v>43</v>
      </c>
      <c r="P3418">
        <v>43</v>
      </c>
      <c r="R3418" t="s">
        <v>1269</v>
      </c>
      <c r="S3418">
        <v>0.93200000000000005</v>
      </c>
      <c r="T3418">
        <v>0.1996</v>
      </c>
      <c r="U3418">
        <f t="shared" si="285"/>
        <v>0.186</v>
      </c>
      <c r="V3418" t="str">
        <f t="shared" si="281"/>
        <v>Elementary Occupational Therapist</v>
      </c>
      <c r="W3418" t="str">
        <f t="shared" si="282"/>
        <v>Occupational Therapist</v>
      </c>
    </row>
    <row r="3419" spans="1:23" x14ac:dyDescent="0.25">
      <c r="A3419">
        <v>39119</v>
      </c>
      <c r="B3419" t="s">
        <v>1387</v>
      </c>
      <c r="C3419">
        <v>0.4</v>
      </c>
      <c r="D3419" t="s">
        <v>1264</v>
      </c>
      <c r="E3419">
        <v>100231</v>
      </c>
      <c r="F3419">
        <v>39119</v>
      </c>
      <c r="G3419" t="str">
        <f t="shared" si="283"/>
        <v>39119</v>
      </c>
      <c r="H3419" t="s">
        <v>589</v>
      </c>
      <c r="I3419" t="s">
        <v>1265</v>
      </c>
      <c r="J3419" t="s">
        <v>1271</v>
      </c>
      <c r="K3419" t="s">
        <v>1272</v>
      </c>
      <c r="L3419" t="s">
        <v>1387</v>
      </c>
      <c r="M3419" t="s">
        <v>1406</v>
      </c>
      <c r="N3419">
        <v>21</v>
      </c>
      <c r="O3419" t="str">
        <f t="shared" si="284"/>
        <v>43</v>
      </c>
      <c r="P3419">
        <v>43</v>
      </c>
      <c r="R3419" t="s">
        <v>1269</v>
      </c>
      <c r="S3419">
        <v>0.4</v>
      </c>
      <c r="T3419">
        <v>0.1996</v>
      </c>
      <c r="U3419">
        <f t="shared" si="285"/>
        <v>0.08</v>
      </c>
      <c r="V3419" t="str">
        <f t="shared" si="281"/>
        <v>High Occupational Therapist</v>
      </c>
      <c r="W3419" t="str">
        <f t="shared" si="282"/>
        <v>Occupational Therapist</v>
      </c>
    </row>
    <row r="3420" spans="1:23" x14ac:dyDescent="0.25">
      <c r="A3420">
        <v>39119</v>
      </c>
      <c r="B3420" t="s">
        <v>1303</v>
      </c>
      <c r="C3420">
        <v>0.26800000000000002</v>
      </c>
      <c r="D3420" t="s">
        <v>1264</v>
      </c>
      <c r="E3420">
        <v>100231</v>
      </c>
      <c r="F3420">
        <v>39119</v>
      </c>
      <c r="G3420" t="str">
        <f t="shared" si="283"/>
        <v>39119</v>
      </c>
      <c r="H3420" t="s">
        <v>589</v>
      </c>
      <c r="I3420" t="s">
        <v>1265</v>
      </c>
      <c r="J3420" t="s">
        <v>1266</v>
      </c>
      <c r="K3420" t="s">
        <v>1267</v>
      </c>
      <c r="L3420" t="s">
        <v>1303</v>
      </c>
      <c r="M3420" t="s">
        <v>1304</v>
      </c>
      <c r="N3420">
        <v>21</v>
      </c>
      <c r="O3420" t="str">
        <f t="shared" si="284"/>
        <v>43</v>
      </c>
      <c r="P3420">
        <v>43</v>
      </c>
      <c r="R3420" t="s">
        <v>1269</v>
      </c>
      <c r="S3420">
        <v>0.26800000000000002</v>
      </c>
      <c r="T3420">
        <v>0.1996</v>
      </c>
      <c r="U3420">
        <f t="shared" si="285"/>
        <v>5.2999999999999999E-2</v>
      </c>
      <c r="V3420" t="str">
        <f t="shared" si="281"/>
        <v>Middle Occupational Therapist</v>
      </c>
      <c r="W3420" t="str">
        <f t="shared" si="282"/>
        <v>Occupational Therapist</v>
      </c>
    </row>
    <row r="3421" spans="1:23" x14ac:dyDescent="0.25">
      <c r="A3421">
        <v>39119</v>
      </c>
      <c r="B3421" t="s">
        <v>1331</v>
      </c>
      <c r="C3421">
        <v>1</v>
      </c>
      <c r="D3421" t="s">
        <v>1264</v>
      </c>
      <c r="E3421">
        <v>100231</v>
      </c>
      <c r="F3421">
        <v>39119</v>
      </c>
      <c r="G3421" t="str">
        <f t="shared" si="283"/>
        <v>39119</v>
      </c>
      <c r="H3421" t="s">
        <v>589</v>
      </c>
      <c r="I3421" t="s">
        <v>1265</v>
      </c>
      <c r="J3421" t="s">
        <v>1276</v>
      </c>
      <c r="K3421" t="s">
        <v>1277</v>
      </c>
      <c r="L3421" t="s">
        <v>1331</v>
      </c>
      <c r="M3421" t="s">
        <v>1405</v>
      </c>
      <c r="N3421">
        <v>1</v>
      </c>
      <c r="O3421" t="str">
        <f t="shared" si="284"/>
        <v>44</v>
      </c>
      <c r="P3421">
        <v>44</v>
      </c>
      <c r="R3421" t="s">
        <v>1269</v>
      </c>
      <c r="S3421">
        <v>1</v>
      </c>
      <c r="T3421">
        <v>0.1996</v>
      </c>
      <c r="U3421">
        <f t="shared" si="285"/>
        <v>0</v>
      </c>
      <c r="V3421" t="str">
        <f t="shared" si="281"/>
        <v>Elementary Social Worker</v>
      </c>
      <c r="W3421" t="str">
        <f t="shared" si="282"/>
        <v>Social Worker</v>
      </c>
    </row>
    <row r="3422" spans="1:23" x14ac:dyDescent="0.25">
      <c r="A3422">
        <v>39119</v>
      </c>
      <c r="B3422" t="s">
        <v>1294</v>
      </c>
      <c r="C3422">
        <v>1.833</v>
      </c>
      <c r="D3422" t="s">
        <v>1264</v>
      </c>
      <c r="E3422">
        <v>100231</v>
      </c>
      <c r="F3422">
        <v>39119</v>
      </c>
      <c r="G3422" t="str">
        <f t="shared" si="283"/>
        <v>39119</v>
      </c>
      <c r="H3422" t="s">
        <v>589</v>
      </c>
      <c r="I3422" t="s">
        <v>1265</v>
      </c>
      <c r="J3422" t="s">
        <v>1276</v>
      </c>
      <c r="K3422" t="s">
        <v>1277</v>
      </c>
      <c r="L3422" t="s">
        <v>1294</v>
      </c>
      <c r="M3422" t="s">
        <v>1354</v>
      </c>
      <c r="N3422">
        <v>21</v>
      </c>
      <c r="O3422" t="str">
        <f t="shared" si="284"/>
        <v>45</v>
      </c>
      <c r="P3422">
        <v>45</v>
      </c>
      <c r="R3422" t="s">
        <v>1269</v>
      </c>
      <c r="S3422">
        <v>1.833</v>
      </c>
      <c r="T3422">
        <v>0.1996</v>
      </c>
      <c r="U3422">
        <f t="shared" si="285"/>
        <v>0.36599999999999999</v>
      </c>
      <c r="V3422" t="str">
        <f t="shared" si="281"/>
        <v>Elementary Speech, Language Pathway/
Audio</v>
      </c>
      <c r="W3422" t="str">
        <f t="shared" si="282"/>
        <v>Speech, Language Pathway/
Audio</v>
      </c>
    </row>
    <row r="3423" spans="1:23" x14ac:dyDescent="0.25">
      <c r="A3423">
        <v>39119</v>
      </c>
      <c r="B3423" t="s">
        <v>1326</v>
      </c>
      <c r="C3423">
        <v>0.05</v>
      </c>
      <c r="D3423" t="s">
        <v>1264</v>
      </c>
      <c r="E3423">
        <v>100231</v>
      </c>
      <c r="F3423">
        <v>39119</v>
      </c>
      <c r="G3423" t="str">
        <f t="shared" si="283"/>
        <v>39119</v>
      </c>
      <c r="H3423" t="s">
        <v>589</v>
      </c>
      <c r="I3423" t="s">
        <v>1265</v>
      </c>
      <c r="J3423" t="s">
        <v>1271</v>
      </c>
      <c r="K3423" t="s">
        <v>1272</v>
      </c>
      <c r="L3423" t="s">
        <v>1326</v>
      </c>
      <c r="M3423" t="s">
        <v>1353</v>
      </c>
      <c r="N3423">
        <v>21</v>
      </c>
      <c r="O3423" t="str">
        <f t="shared" si="284"/>
        <v>45</v>
      </c>
      <c r="P3423">
        <v>45</v>
      </c>
      <c r="R3423" t="s">
        <v>1269</v>
      </c>
      <c r="S3423">
        <v>0.05</v>
      </c>
      <c r="T3423">
        <v>0.1996</v>
      </c>
      <c r="U3423">
        <f t="shared" si="285"/>
        <v>0.01</v>
      </c>
      <c r="V3423" t="str">
        <f t="shared" si="281"/>
        <v>High Speech, Language Pathway/
Audio</v>
      </c>
      <c r="W3423" t="str">
        <f t="shared" si="282"/>
        <v>Speech, Language Pathway/
Audio</v>
      </c>
    </row>
    <row r="3424" spans="1:23" x14ac:dyDescent="0.25">
      <c r="A3424">
        <v>39119</v>
      </c>
      <c r="B3424" t="s">
        <v>1312</v>
      </c>
      <c r="C3424">
        <v>6.7000000000000004E-2</v>
      </c>
      <c r="D3424" t="s">
        <v>1264</v>
      </c>
      <c r="E3424">
        <v>100231</v>
      </c>
      <c r="F3424">
        <v>39119</v>
      </c>
      <c r="G3424" t="str">
        <f t="shared" si="283"/>
        <v>39119</v>
      </c>
      <c r="H3424" t="s">
        <v>589</v>
      </c>
      <c r="I3424" t="s">
        <v>1265</v>
      </c>
      <c r="J3424" t="s">
        <v>1266</v>
      </c>
      <c r="K3424" t="s">
        <v>1267</v>
      </c>
      <c r="L3424" t="s">
        <v>1312</v>
      </c>
      <c r="M3424" t="s">
        <v>1351</v>
      </c>
      <c r="N3424">
        <v>21</v>
      </c>
      <c r="O3424" t="str">
        <f t="shared" si="284"/>
        <v>45</v>
      </c>
      <c r="P3424">
        <v>45</v>
      </c>
      <c r="R3424" t="s">
        <v>1269</v>
      </c>
      <c r="S3424">
        <v>6.7000000000000004E-2</v>
      </c>
      <c r="T3424">
        <v>0.1996</v>
      </c>
      <c r="U3424">
        <f t="shared" si="285"/>
        <v>1.2999999999999999E-2</v>
      </c>
      <c r="V3424" t="str">
        <f t="shared" si="281"/>
        <v>Middle Speech, Language Pathway/
Audio</v>
      </c>
      <c r="W3424" t="str">
        <f t="shared" si="282"/>
        <v>Speech, Language Pathway/
Audio</v>
      </c>
    </row>
    <row r="3425" spans="1:23" x14ac:dyDescent="0.25">
      <c r="A3425">
        <v>39119</v>
      </c>
      <c r="B3425" t="s">
        <v>1298</v>
      </c>
      <c r="C3425">
        <v>1.871</v>
      </c>
      <c r="D3425" t="s">
        <v>1264</v>
      </c>
      <c r="E3425">
        <v>100231</v>
      </c>
      <c r="F3425">
        <v>39119</v>
      </c>
      <c r="G3425" t="str">
        <f t="shared" si="283"/>
        <v>39119</v>
      </c>
      <c r="H3425" t="s">
        <v>589</v>
      </c>
      <c r="I3425" t="s">
        <v>1265</v>
      </c>
      <c r="J3425" t="s">
        <v>1276</v>
      </c>
      <c r="K3425" t="s">
        <v>1277</v>
      </c>
      <c r="L3425" t="s">
        <v>1298</v>
      </c>
      <c r="M3425" t="s">
        <v>1349</v>
      </c>
      <c r="N3425">
        <v>21</v>
      </c>
      <c r="O3425" t="str">
        <f t="shared" si="284"/>
        <v>46</v>
      </c>
      <c r="P3425">
        <v>46</v>
      </c>
      <c r="R3425" t="s">
        <v>1269</v>
      </c>
      <c r="S3425">
        <v>1.871</v>
      </c>
      <c r="T3425">
        <v>0.1996</v>
      </c>
      <c r="U3425">
        <f t="shared" si="285"/>
        <v>0.373</v>
      </c>
      <c r="V3425" t="str">
        <f t="shared" si="281"/>
        <v>Elementary Psychologist</v>
      </c>
      <c r="W3425" t="str">
        <f t="shared" si="282"/>
        <v>Psychologist</v>
      </c>
    </row>
    <row r="3426" spans="1:23" x14ac:dyDescent="0.25">
      <c r="A3426">
        <v>39119</v>
      </c>
      <c r="B3426" t="s">
        <v>1309</v>
      </c>
      <c r="C3426">
        <v>1</v>
      </c>
      <c r="D3426" t="s">
        <v>1264</v>
      </c>
      <c r="E3426">
        <v>100231</v>
      </c>
      <c r="F3426">
        <v>39119</v>
      </c>
      <c r="G3426" t="str">
        <f t="shared" si="283"/>
        <v>39119</v>
      </c>
      <c r="H3426" t="s">
        <v>589</v>
      </c>
      <c r="I3426" t="s">
        <v>1265</v>
      </c>
      <c r="J3426" t="s">
        <v>1271</v>
      </c>
      <c r="K3426" t="s">
        <v>1272</v>
      </c>
      <c r="L3426" t="s">
        <v>1309</v>
      </c>
      <c r="M3426" t="s">
        <v>1310</v>
      </c>
      <c r="N3426">
        <v>21</v>
      </c>
      <c r="O3426" t="str">
        <f t="shared" si="284"/>
        <v>46</v>
      </c>
      <c r="P3426">
        <v>46</v>
      </c>
      <c r="R3426" t="s">
        <v>1269</v>
      </c>
      <c r="S3426">
        <v>1</v>
      </c>
      <c r="T3426">
        <v>0.1996</v>
      </c>
      <c r="U3426">
        <f t="shared" si="285"/>
        <v>0.2</v>
      </c>
      <c r="V3426" t="str">
        <f t="shared" si="281"/>
        <v>High Psychologist</v>
      </c>
      <c r="W3426" t="str">
        <f t="shared" si="282"/>
        <v>Psychologist</v>
      </c>
    </row>
    <row r="3427" spans="1:23" x14ac:dyDescent="0.25">
      <c r="A3427">
        <v>39119</v>
      </c>
      <c r="B3427" t="s">
        <v>1345</v>
      </c>
      <c r="C3427">
        <v>1.768</v>
      </c>
      <c r="D3427" t="s">
        <v>1264</v>
      </c>
      <c r="E3427">
        <v>100231</v>
      </c>
      <c r="F3427">
        <v>39119</v>
      </c>
      <c r="G3427" t="str">
        <f t="shared" si="283"/>
        <v>39119</v>
      </c>
      <c r="H3427" t="s">
        <v>589</v>
      </c>
      <c r="I3427" t="s">
        <v>1265</v>
      </c>
      <c r="J3427" t="s">
        <v>1266</v>
      </c>
      <c r="K3427" t="s">
        <v>1267</v>
      </c>
      <c r="L3427" t="s">
        <v>1345</v>
      </c>
      <c r="M3427" t="s">
        <v>1346</v>
      </c>
      <c r="N3427">
        <v>21</v>
      </c>
      <c r="O3427" t="str">
        <f t="shared" si="284"/>
        <v>46</v>
      </c>
      <c r="P3427">
        <v>46</v>
      </c>
      <c r="R3427" t="s">
        <v>1269</v>
      </c>
      <c r="S3427">
        <v>1.768</v>
      </c>
      <c r="T3427">
        <v>0.1996</v>
      </c>
      <c r="U3427">
        <f t="shared" si="285"/>
        <v>0.35299999999999998</v>
      </c>
      <c r="V3427" t="str">
        <f t="shared" si="281"/>
        <v>Middle Psychologist</v>
      </c>
      <c r="W3427" t="str">
        <f t="shared" si="282"/>
        <v>Psychologist</v>
      </c>
    </row>
    <row r="3428" spans="1:23" x14ac:dyDescent="0.25">
      <c r="A3428">
        <v>39119</v>
      </c>
      <c r="B3428" t="s">
        <v>1334</v>
      </c>
      <c r="C3428">
        <v>0.14000000000000001</v>
      </c>
      <c r="D3428" t="s">
        <v>1264</v>
      </c>
      <c r="E3428">
        <v>100231</v>
      </c>
      <c r="F3428">
        <v>39119</v>
      </c>
      <c r="G3428" t="str">
        <f t="shared" si="283"/>
        <v>39119</v>
      </c>
      <c r="H3428" t="s">
        <v>589</v>
      </c>
      <c r="I3428" t="s">
        <v>1265</v>
      </c>
      <c r="J3428" t="s">
        <v>1276</v>
      </c>
      <c r="K3428" t="s">
        <v>1277</v>
      </c>
      <c r="L3428" t="s">
        <v>1334</v>
      </c>
      <c r="M3428" t="s">
        <v>1413</v>
      </c>
      <c r="N3428">
        <v>21</v>
      </c>
      <c r="O3428" t="str">
        <f t="shared" si="284"/>
        <v>47</v>
      </c>
      <c r="P3428">
        <v>47</v>
      </c>
      <c r="R3428" t="s">
        <v>1269</v>
      </c>
      <c r="S3428">
        <v>0.14000000000000001</v>
      </c>
      <c r="T3428">
        <v>0.1996</v>
      </c>
      <c r="U3428">
        <f t="shared" si="285"/>
        <v>2.8000000000000001E-2</v>
      </c>
      <c r="V3428" t="str">
        <f t="shared" si="281"/>
        <v>Elementary Nurse</v>
      </c>
      <c r="W3428" t="str">
        <f t="shared" si="282"/>
        <v>Nurse</v>
      </c>
    </row>
    <row r="3429" spans="1:23" x14ac:dyDescent="0.25">
      <c r="A3429">
        <v>39119</v>
      </c>
      <c r="B3429" t="s">
        <v>1335</v>
      </c>
      <c r="C3429">
        <v>0.86</v>
      </c>
      <c r="D3429" t="s">
        <v>1264</v>
      </c>
      <c r="E3429">
        <v>100231</v>
      </c>
      <c r="F3429">
        <v>39119</v>
      </c>
      <c r="G3429" t="str">
        <f t="shared" si="283"/>
        <v>39119</v>
      </c>
      <c r="H3429" t="s">
        <v>589</v>
      </c>
      <c r="I3429" t="s">
        <v>1265</v>
      </c>
      <c r="J3429" t="s">
        <v>1276</v>
      </c>
      <c r="K3429" t="s">
        <v>1277</v>
      </c>
      <c r="L3429" t="s">
        <v>1335</v>
      </c>
      <c r="M3429" t="s">
        <v>1344</v>
      </c>
      <c r="N3429">
        <v>1</v>
      </c>
      <c r="O3429" t="str">
        <f t="shared" si="284"/>
        <v>47</v>
      </c>
      <c r="P3429">
        <v>47</v>
      </c>
      <c r="R3429" t="s">
        <v>1269</v>
      </c>
      <c r="S3429">
        <v>0.86</v>
      </c>
      <c r="T3429">
        <v>0.1996</v>
      </c>
      <c r="U3429">
        <f t="shared" si="285"/>
        <v>0</v>
      </c>
      <c r="V3429" t="str">
        <f t="shared" si="281"/>
        <v>Elementary Nurse</v>
      </c>
      <c r="W3429" t="str">
        <f t="shared" si="282"/>
        <v>Nurse</v>
      </c>
    </row>
    <row r="3430" spans="1:23" x14ac:dyDescent="0.25">
      <c r="A3430">
        <v>39119</v>
      </c>
      <c r="B3430" t="s">
        <v>1397</v>
      </c>
      <c r="C3430">
        <v>0.28599999999999998</v>
      </c>
      <c r="D3430" t="s">
        <v>1264</v>
      </c>
      <c r="E3430">
        <v>100231</v>
      </c>
      <c r="F3430">
        <v>39119</v>
      </c>
      <c r="G3430" t="str">
        <f t="shared" si="283"/>
        <v>39119</v>
      </c>
      <c r="H3430" t="s">
        <v>589</v>
      </c>
      <c r="I3430" t="s">
        <v>1265</v>
      </c>
      <c r="J3430" t="s">
        <v>1271</v>
      </c>
      <c r="K3430" t="s">
        <v>1272</v>
      </c>
      <c r="L3430" t="s">
        <v>1397</v>
      </c>
      <c r="M3430" t="s">
        <v>1435</v>
      </c>
      <c r="N3430">
        <v>21</v>
      </c>
      <c r="O3430" t="str">
        <f t="shared" si="284"/>
        <v>47</v>
      </c>
      <c r="P3430">
        <v>47</v>
      </c>
      <c r="R3430" t="s">
        <v>1269</v>
      </c>
      <c r="S3430">
        <v>0.28599999999999998</v>
      </c>
      <c r="T3430">
        <v>0.1996</v>
      </c>
      <c r="U3430">
        <f t="shared" si="285"/>
        <v>5.7000000000000002E-2</v>
      </c>
      <c r="V3430" t="str">
        <f t="shared" si="281"/>
        <v>High Nurse</v>
      </c>
      <c r="W3430" t="str">
        <f t="shared" si="282"/>
        <v>Nurse</v>
      </c>
    </row>
    <row r="3431" spans="1:23" x14ac:dyDescent="0.25">
      <c r="A3431">
        <v>39119</v>
      </c>
      <c r="B3431" t="s">
        <v>1341</v>
      </c>
      <c r="C3431">
        <v>1.714</v>
      </c>
      <c r="D3431" t="s">
        <v>1264</v>
      </c>
      <c r="E3431">
        <v>100231</v>
      </c>
      <c r="F3431">
        <v>39119</v>
      </c>
      <c r="G3431" t="str">
        <f t="shared" si="283"/>
        <v>39119</v>
      </c>
      <c r="H3431" t="s">
        <v>589</v>
      </c>
      <c r="I3431" t="s">
        <v>1265</v>
      </c>
      <c r="J3431" t="s">
        <v>1271</v>
      </c>
      <c r="K3431" t="s">
        <v>1272</v>
      </c>
      <c r="L3431" t="s">
        <v>1341</v>
      </c>
      <c r="M3431" t="s">
        <v>1342</v>
      </c>
      <c r="N3431">
        <v>1</v>
      </c>
      <c r="O3431" t="str">
        <f t="shared" si="284"/>
        <v>47</v>
      </c>
      <c r="P3431">
        <v>47</v>
      </c>
      <c r="R3431" t="s">
        <v>1269</v>
      </c>
      <c r="S3431">
        <v>1.714</v>
      </c>
      <c r="T3431">
        <v>0.1996</v>
      </c>
      <c r="U3431">
        <f t="shared" si="285"/>
        <v>0</v>
      </c>
      <c r="V3431" t="str">
        <f t="shared" si="281"/>
        <v>High Nurse</v>
      </c>
      <c r="W3431" t="str">
        <f t="shared" si="282"/>
        <v>Nurse</v>
      </c>
    </row>
    <row r="3432" spans="1:23" x14ac:dyDescent="0.25">
      <c r="A3432">
        <v>39120</v>
      </c>
      <c r="B3432" t="s">
        <v>1295</v>
      </c>
      <c r="C3432">
        <v>0.60599999999999998</v>
      </c>
      <c r="D3432" t="s">
        <v>1264</v>
      </c>
      <c r="E3432">
        <v>100137</v>
      </c>
      <c r="F3432">
        <v>39120</v>
      </c>
      <c r="G3432" t="str">
        <f t="shared" si="283"/>
        <v>39120</v>
      </c>
      <c r="H3432" t="s">
        <v>590</v>
      </c>
      <c r="I3432" t="s">
        <v>1265</v>
      </c>
      <c r="J3432" t="s">
        <v>1271</v>
      </c>
      <c r="K3432" t="s">
        <v>1272</v>
      </c>
      <c r="L3432" t="s">
        <v>1295</v>
      </c>
      <c r="M3432" t="s">
        <v>1296</v>
      </c>
      <c r="N3432">
        <v>1</v>
      </c>
      <c r="O3432" t="str">
        <f t="shared" si="284"/>
        <v>26</v>
      </c>
      <c r="Q3432">
        <v>26</v>
      </c>
      <c r="R3432" t="s">
        <v>1269</v>
      </c>
      <c r="S3432">
        <v>0.60599999999999998</v>
      </c>
      <c r="T3432">
        <v>0.252</v>
      </c>
      <c r="U3432">
        <f t="shared" si="285"/>
        <v>0</v>
      </c>
      <c r="V3432" t="str">
        <f t="shared" si="281"/>
        <v>High Health/
Related Services</v>
      </c>
      <c r="W3432" t="str">
        <f t="shared" si="282"/>
        <v>Health/
Related Services</v>
      </c>
    </row>
    <row r="3433" spans="1:23" x14ac:dyDescent="0.25">
      <c r="A3433">
        <v>39120</v>
      </c>
      <c r="B3433" t="s">
        <v>1275</v>
      </c>
      <c r="C3433">
        <v>0.5</v>
      </c>
      <c r="D3433" t="s">
        <v>1264</v>
      </c>
      <c r="E3433">
        <v>100137</v>
      </c>
      <c r="F3433">
        <v>39120</v>
      </c>
      <c r="G3433" t="str">
        <f t="shared" si="283"/>
        <v>39120</v>
      </c>
      <c r="H3433" t="s">
        <v>590</v>
      </c>
      <c r="I3433" t="s">
        <v>1265</v>
      </c>
      <c r="J3433" t="s">
        <v>1276</v>
      </c>
      <c r="K3433" t="s">
        <v>1277</v>
      </c>
      <c r="L3433" t="s">
        <v>1275</v>
      </c>
      <c r="M3433" t="s">
        <v>1278</v>
      </c>
      <c r="N3433">
        <v>1</v>
      </c>
      <c r="O3433" t="str">
        <f t="shared" si="284"/>
        <v>42</v>
      </c>
      <c r="P3433">
        <v>42</v>
      </c>
      <c r="R3433" t="s">
        <v>1269</v>
      </c>
      <c r="S3433">
        <v>0.5</v>
      </c>
      <c r="T3433">
        <v>0.252</v>
      </c>
      <c r="U3433">
        <f t="shared" si="285"/>
        <v>0</v>
      </c>
      <c r="V3433" t="str">
        <f t="shared" si="281"/>
        <v>Elementary Counselor</v>
      </c>
      <c r="W3433" t="str">
        <f t="shared" si="282"/>
        <v>Counselor</v>
      </c>
    </row>
    <row r="3434" spans="1:23" x14ac:dyDescent="0.25">
      <c r="A3434">
        <v>39120</v>
      </c>
      <c r="B3434" t="s">
        <v>1270</v>
      </c>
      <c r="C3434">
        <v>0.5</v>
      </c>
      <c r="D3434" t="s">
        <v>1264</v>
      </c>
      <c r="E3434">
        <v>100137</v>
      </c>
      <c r="F3434">
        <v>39120</v>
      </c>
      <c r="G3434" t="str">
        <f t="shared" si="283"/>
        <v>39120</v>
      </c>
      <c r="H3434" t="s">
        <v>590</v>
      </c>
      <c r="I3434" t="s">
        <v>1265</v>
      </c>
      <c r="J3434" t="s">
        <v>1271</v>
      </c>
      <c r="K3434" t="s">
        <v>1272</v>
      </c>
      <c r="L3434" t="s">
        <v>1270</v>
      </c>
      <c r="M3434" t="s">
        <v>1273</v>
      </c>
      <c r="N3434">
        <v>1</v>
      </c>
      <c r="O3434" t="str">
        <f t="shared" si="284"/>
        <v>42</v>
      </c>
      <c r="P3434">
        <v>42</v>
      </c>
      <c r="R3434" t="s">
        <v>1269</v>
      </c>
      <c r="S3434">
        <v>0.5</v>
      </c>
      <c r="T3434">
        <v>0.252</v>
      </c>
      <c r="U3434">
        <f t="shared" si="285"/>
        <v>0</v>
      </c>
      <c r="V3434" t="str">
        <f t="shared" si="281"/>
        <v>High Counselor</v>
      </c>
      <c r="W3434" t="str">
        <f t="shared" si="282"/>
        <v>Counselor</v>
      </c>
    </row>
    <row r="3435" spans="1:23" x14ac:dyDescent="0.25">
      <c r="A3435">
        <v>39200</v>
      </c>
      <c r="B3435" t="s">
        <v>1308</v>
      </c>
      <c r="C3435">
        <v>1.226</v>
      </c>
      <c r="D3435" t="s">
        <v>1264</v>
      </c>
      <c r="E3435">
        <v>100096</v>
      </c>
      <c r="F3435">
        <v>39200</v>
      </c>
      <c r="G3435" t="str">
        <f t="shared" si="283"/>
        <v>39200</v>
      </c>
      <c r="H3435" t="s">
        <v>591</v>
      </c>
      <c r="I3435" t="s">
        <v>1265</v>
      </c>
      <c r="J3435" t="s">
        <v>1276</v>
      </c>
      <c r="K3435" t="s">
        <v>1277</v>
      </c>
      <c r="L3435" t="s">
        <v>1308</v>
      </c>
      <c r="M3435" t="s">
        <v>1389</v>
      </c>
      <c r="N3435">
        <v>1</v>
      </c>
      <c r="O3435" t="str">
        <f t="shared" si="284"/>
        <v>25</v>
      </c>
      <c r="Q3435">
        <v>25</v>
      </c>
      <c r="R3435" t="s">
        <v>1269</v>
      </c>
      <c r="S3435">
        <v>1.226</v>
      </c>
      <c r="T3435">
        <v>0.30709999999999998</v>
      </c>
      <c r="U3435">
        <f t="shared" si="285"/>
        <v>0</v>
      </c>
      <c r="V3435" t="str">
        <f t="shared" si="281"/>
        <v>Elementary Pupil Management</v>
      </c>
      <c r="W3435" t="str">
        <f t="shared" si="282"/>
        <v>Pupil Management</v>
      </c>
    </row>
    <row r="3436" spans="1:23" x14ac:dyDescent="0.25">
      <c r="A3436">
        <v>39200</v>
      </c>
      <c r="B3436" t="s">
        <v>1299</v>
      </c>
      <c r="C3436">
        <v>0.78500000000000003</v>
      </c>
      <c r="D3436" t="s">
        <v>1264</v>
      </c>
      <c r="E3436">
        <v>100096</v>
      </c>
      <c r="F3436">
        <v>39200</v>
      </c>
      <c r="G3436" t="str">
        <f t="shared" si="283"/>
        <v>39200</v>
      </c>
      <c r="H3436" t="s">
        <v>591</v>
      </c>
      <c r="I3436" t="s">
        <v>1265</v>
      </c>
      <c r="J3436" t="s">
        <v>1271</v>
      </c>
      <c r="K3436" t="s">
        <v>1272</v>
      </c>
      <c r="L3436" t="s">
        <v>1299</v>
      </c>
      <c r="M3436" t="s">
        <v>1300</v>
      </c>
      <c r="N3436">
        <v>1</v>
      </c>
      <c r="O3436" t="str">
        <f t="shared" si="284"/>
        <v>25</v>
      </c>
      <c r="Q3436">
        <v>25</v>
      </c>
      <c r="R3436" t="s">
        <v>1269</v>
      </c>
      <c r="S3436">
        <v>0.78500000000000003</v>
      </c>
      <c r="T3436">
        <v>0.30709999999999998</v>
      </c>
      <c r="U3436">
        <f t="shared" si="285"/>
        <v>0</v>
      </c>
      <c r="V3436" t="str">
        <f t="shared" si="281"/>
        <v>High Pupil Management</v>
      </c>
      <c r="W3436" t="str">
        <f t="shared" si="282"/>
        <v>Pupil Management</v>
      </c>
    </row>
    <row r="3437" spans="1:23" x14ac:dyDescent="0.25">
      <c r="A3437">
        <v>39200</v>
      </c>
      <c r="B3437" t="s">
        <v>1363</v>
      </c>
      <c r="C3437">
        <v>1.3919999999999999</v>
      </c>
      <c r="D3437" t="s">
        <v>1264</v>
      </c>
      <c r="E3437">
        <v>100096</v>
      </c>
      <c r="F3437">
        <v>39200</v>
      </c>
      <c r="G3437" t="str">
        <f t="shared" si="283"/>
        <v>39200</v>
      </c>
      <c r="H3437" t="s">
        <v>591</v>
      </c>
      <c r="I3437" t="s">
        <v>1265</v>
      </c>
      <c r="J3437" t="s">
        <v>1266</v>
      </c>
      <c r="K3437" t="s">
        <v>1267</v>
      </c>
      <c r="L3437" t="s">
        <v>1363</v>
      </c>
      <c r="M3437" t="s">
        <v>1386</v>
      </c>
      <c r="N3437">
        <v>1</v>
      </c>
      <c r="O3437" t="str">
        <f t="shared" si="284"/>
        <v>25</v>
      </c>
      <c r="Q3437">
        <v>25</v>
      </c>
      <c r="R3437" t="s">
        <v>1269</v>
      </c>
      <c r="S3437">
        <v>1.3919999999999999</v>
      </c>
      <c r="T3437">
        <v>0.30709999999999998</v>
      </c>
      <c r="U3437">
        <f t="shared" si="285"/>
        <v>0</v>
      </c>
      <c r="V3437" t="str">
        <f t="shared" si="281"/>
        <v>Middle Pupil Management</v>
      </c>
      <c r="W3437" t="str">
        <f t="shared" si="282"/>
        <v>Pupil Management</v>
      </c>
    </row>
    <row r="3438" spans="1:23" x14ac:dyDescent="0.25">
      <c r="A3438">
        <v>39200</v>
      </c>
      <c r="B3438" t="s">
        <v>1311</v>
      </c>
      <c r="C3438">
        <v>2.5179999999999998</v>
      </c>
      <c r="D3438" t="s">
        <v>1264</v>
      </c>
      <c r="E3438">
        <v>100096</v>
      </c>
      <c r="F3438">
        <v>39200</v>
      </c>
      <c r="G3438" t="str">
        <f t="shared" si="283"/>
        <v>39200</v>
      </c>
      <c r="H3438" t="s">
        <v>591</v>
      </c>
      <c r="I3438" t="s">
        <v>1265</v>
      </c>
      <c r="J3438" t="s">
        <v>1276</v>
      </c>
      <c r="K3438" t="s">
        <v>1277</v>
      </c>
      <c r="L3438" t="s">
        <v>1311</v>
      </c>
      <c r="M3438" t="s">
        <v>1327</v>
      </c>
      <c r="N3438">
        <v>21</v>
      </c>
      <c r="O3438" t="str">
        <f t="shared" si="284"/>
        <v>26</v>
      </c>
      <c r="Q3438">
        <v>26</v>
      </c>
      <c r="R3438" t="s">
        <v>1269</v>
      </c>
      <c r="S3438">
        <v>2.5179999999999998</v>
      </c>
      <c r="T3438">
        <v>0.30709999999999998</v>
      </c>
      <c r="U3438">
        <f t="shared" si="285"/>
        <v>0.77300000000000002</v>
      </c>
      <c r="V3438" t="str">
        <f t="shared" si="281"/>
        <v>Elementary Health/
Related Services</v>
      </c>
      <c r="W3438" t="str">
        <f t="shared" si="282"/>
        <v>Health/
Related Services</v>
      </c>
    </row>
    <row r="3439" spans="1:23" x14ac:dyDescent="0.25">
      <c r="A3439">
        <v>39200</v>
      </c>
      <c r="B3439" t="s">
        <v>1315</v>
      </c>
      <c r="C3439">
        <v>1.9530000000000001</v>
      </c>
      <c r="D3439" t="s">
        <v>1264</v>
      </c>
      <c r="E3439">
        <v>100096</v>
      </c>
      <c r="F3439">
        <v>39200</v>
      </c>
      <c r="G3439" t="str">
        <f t="shared" si="283"/>
        <v>39200</v>
      </c>
      <c r="H3439" t="s">
        <v>591</v>
      </c>
      <c r="I3439" t="s">
        <v>1265</v>
      </c>
      <c r="J3439" t="s">
        <v>1276</v>
      </c>
      <c r="K3439" t="s">
        <v>1277</v>
      </c>
      <c r="L3439" t="s">
        <v>1315</v>
      </c>
      <c r="M3439" t="s">
        <v>1375</v>
      </c>
      <c r="N3439">
        <v>1</v>
      </c>
      <c r="O3439" t="str">
        <f t="shared" si="284"/>
        <v>26</v>
      </c>
      <c r="Q3439">
        <v>26</v>
      </c>
      <c r="R3439" t="s">
        <v>1269</v>
      </c>
      <c r="S3439">
        <v>1.9530000000000001</v>
      </c>
      <c r="T3439">
        <v>0.30709999999999998</v>
      </c>
      <c r="U3439">
        <f t="shared" si="285"/>
        <v>0</v>
      </c>
      <c r="V3439" t="str">
        <f t="shared" si="281"/>
        <v>Elementary Health/
Related Services</v>
      </c>
      <c r="W3439" t="str">
        <f t="shared" si="282"/>
        <v>Health/
Related Services</v>
      </c>
    </row>
    <row r="3440" spans="1:23" x14ac:dyDescent="0.25">
      <c r="A3440">
        <v>39200</v>
      </c>
      <c r="B3440" t="s">
        <v>1324</v>
      </c>
      <c r="C3440">
        <v>1.544</v>
      </c>
      <c r="D3440" t="s">
        <v>1264</v>
      </c>
      <c r="E3440">
        <v>100096</v>
      </c>
      <c r="F3440">
        <v>39200</v>
      </c>
      <c r="G3440" t="str">
        <f t="shared" si="283"/>
        <v>39200</v>
      </c>
      <c r="H3440" t="s">
        <v>591</v>
      </c>
      <c r="I3440" t="s">
        <v>1265</v>
      </c>
      <c r="J3440" t="s">
        <v>1271</v>
      </c>
      <c r="K3440" t="s">
        <v>1272</v>
      </c>
      <c r="L3440" t="s">
        <v>1324</v>
      </c>
      <c r="M3440" t="s">
        <v>1325</v>
      </c>
      <c r="N3440">
        <v>21</v>
      </c>
      <c r="O3440" t="str">
        <f t="shared" si="284"/>
        <v>26</v>
      </c>
      <c r="Q3440">
        <v>26</v>
      </c>
      <c r="R3440" t="s">
        <v>1269</v>
      </c>
      <c r="S3440">
        <v>1.544</v>
      </c>
      <c r="T3440">
        <v>0.30709999999999998</v>
      </c>
      <c r="U3440">
        <f t="shared" si="285"/>
        <v>0.47399999999999998</v>
      </c>
      <c r="V3440" t="str">
        <f t="shared" si="281"/>
        <v>High Health/
Related Services</v>
      </c>
      <c r="W3440" t="str">
        <f t="shared" si="282"/>
        <v>Health/
Related Services</v>
      </c>
    </row>
    <row r="3441" spans="1:23" x14ac:dyDescent="0.25">
      <c r="A3441">
        <v>39200</v>
      </c>
      <c r="B3441" t="s">
        <v>1295</v>
      </c>
      <c r="C3441">
        <v>1.3029999999999999</v>
      </c>
      <c r="D3441" t="s">
        <v>1264</v>
      </c>
      <c r="E3441">
        <v>100096</v>
      </c>
      <c r="F3441">
        <v>39200</v>
      </c>
      <c r="G3441" t="str">
        <f t="shared" si="283"/>
        <v>39200</v>
      </c>
      <c r="H3441" t="s">
        <v>591</v>
      </c>
      <c r="I3441" t="s">
        <v>1265</v>
      </c>
      <c r="J3441" t="s">
        <v>1271</v>
      </c>
      <c r="K3441" t="s">
        <v>1272</v>
      </c>
      <c r="L3441" t="s">
        <v>1295</v>
      </c>
      <c r="M3441" t="s">
        <v>1296</v>
      </c>
      <c r="N3441">
        <v>1</v>
      </c>
      <c r="O3441" t="str">
        <f t="shared" si="284"/>
        <v>26</v>
      </c>
      <c r="Q3441">
        <v>26</v>
      </c>
      <c r="R3441" t="s">
        <v>1269</v>
      </c>
      <c r="S3441">
        <v>1.3029999999999999</v>
      </c>
      <c r="T3441">
        <v>0.30709999999999998</v>
      </c>
      <c r="U3441">
        <f t="shared" ref="U3441:U3445" si="286">IF(N3441=21,ROUND(T3441*S3441,3),0)</f>
        <v>0</v>
      </c>
      <c r="V3441" t="str">
        <f t="shared" si="281"/>
        <v>High Health/
Related Services</v>
      </c>
      <c r="W3441" t="str">
        <f t="shared" si="282"/>
        <v>Health/
Related Services</v>
      </c>
    </row>
    <row r="3442" spans="1:23" x14ac:dyDescent="0.25">
      <c r="A3442">
        <v>39200</v>
      </c>
      <c r="B3442" t="s">
        <v>1322</v>
      </c>
      <c r="C3442">
        <v>0.79</v>
      </c>
      <c r="D3442" t="s">
        <v>1264</v>
      </c>
      <c r="E3442">
        <v>100096</v>
      </c>
      <c r="F3442">
        <v>39200</v>
      </c>
      <c r="G3442" t="str">
        <f t="shared" si="283"/>
        <v>39200</v>
      </c>
      <c r="H3442" t="s">
        <v>591</v>
      </c>
      <c r="I3442" t="s">
        <v>1265</v>
      </c>
      <c r="J3442" t="s">
        <v>1266</v>
      </c>
      <c r="K3442" t="s">
        <v>1267</v>
      </c>
      <c r="L3442" t="s">
        <v>1322</v>
      </c>
      <c r="M3442" t="s">
        <v>1323</v>
      </c>
      <c r="N3442">
        <v>21</v>
      </c>
      <c r="O3442" t="str">
        <f t="shared" si="284"/>
        <v>26</v>
      </c>
      <c r="Q3442">
        <v>26</v>
      </c>
      <c r="R3442" t="s">
        <v>1269</v>
      </c>
      <c r="S3442">
        <v>0.79</v>
      </c>
      <c r="T3442">
        <v>0.30709999999999998</v>
      </c>
      <c r="U3442">
        <f t="shared" si="286"/>
        <v>0.24299999999999999</v>
      </c>
      <c r="V3442" t="str">
        <f t="shared" si="281"/>
        <v>Middle Health/
Related Services</v>
      </c>
      <c r="W3442" t="str">
        <f t="shared" si="282"/>
        <v>Health/
Related Services</v>
      </c>
    </row>
    <row r="3443" spans="1:23" x14ac:dyDescent="0.25">
      <c r="A3443">
        <v>39200</v>
      </c>
      <c r="B3443" t="s">
        <v>1402</v>
      </c>
      <c r="C3443">
        <v>3.35</v>
      </c>
      <c r="D3443" t="s">
        <v>1264</v>
      </c>
      <c r="E3443">
        <v>100096</v>
      </c>
      <c r="F3443">
        <v>39200</v>
      </c>
      <c r="G3443" t="str">
        <f t="shared" si="283"/>
        <v>39200</v>
      </c>
      <c r="H3443" t="s">
        <v>591</v>
      </c>
      <c r="I3443" t="s">
        <v>1265</v>
      </c>
      <c r="J3443" t="s">
        <v>1271</v>
      </c>
      <c r="K3443" t="s">
        <v>1272</v>
      </c>
      <c r="L3443" t="s">
        <v>1402</v>
      </c>
      <c r="M3443" t="s">
        <v>1408</v>
      </c>
      <c r="N3443">
        <v>97</v>
      </c>
      <c r="O3443" t="str">
        <f t="shared" si="284"/>
        <v>35</v>
      </c>
      <c r="Q3443">
        <v>35</v>
      </c>
      <c r="R3443" t="s">
        <v>1269</v>
      </c>
      <c r="S3443">
        <v>3.35</v>
      </c>
      <c r="T3443">
        <v>0.30709999999999998</v>
      </c>
      <c r="U3443">
        <f t="shared" si="286"/>
        <v>0</v>
      </c>
      <c r="V3443" t="str">
        <f t="shared" si="281"/>
        <v>High Pupil Safety</v>
      </c>
      <c r="W3443" t="str">
        <f t="shared" si="282"/>
        <v>Pupil Safety</v>
      </c>
    </row>
    <row r="3444" spans="1:23" x14ac:dyDescent="0.25">
      <c r="A3444">
        <v>39200</v>
      </c>
      <c r="B3444" t="s">
        <v>1378</v>
      </c>
      <c r="C3444">
        <v>0.73099999999999998</v>
      </c>
      <c r="D3444" t="s">
        <v>1264</v>
      </c>
      <c r="E3444">
        <v>100096</v>
      </c>
      <c r="F3444">
        <v>39200</v>
      </c>
      <c r="G3444" t="str">
        <f t="shared" si="283"/>
        <v>39200</v>
      </c>
      <c r="H3444" t="s">
        <v>591</v>
      </c>
      <c r="I3444" t="s">
        <v>1265</v>
      </c>
      <c r="J3444" t="s">
        <v>1266</v>
      </c>
      <c r="K3444" t="s">
        <v>1267</v>
      </c>
      <c r="L3444" t="s">
        <v>1378</v>
      </c>
      <c r="M3444" t="s">
        <v>1407</v>
      </c>
      <c r="N3444">
        <v>97</v>
      </c>
      <c r="O3444" t="str">
        <f t="shared" si="284"/>
        <v>35</v>
      </c>
      <c r="Q3444">
        <v>35</v>
      </c>
      <c r="R3444" t="s">
        <v>1269</v>
      </c>
      <c r="S3444">
        <v>0.73099999999999998</v>
      </c>
      <c r="T3444">
        <v>0.30709999999999998</v>
      </c>
      <c r="U3444">
        <f t="shared" si="286"/>
        <v>0</v>
      </c>
      <c r="V3444" t="str">
        <f t="shared" si="281"/>
        <v>Middle Pupil Safety</v>
      </c>
      <c r="W3444" t="str">
        <f t="shared" si="282"/>
        <v>Pupil Safety</v>
      </c>
    </row>
    <row r="3445" spans="1:23" x14ac:dyDescent="0.25">
      <c r="A3445">
        <v>39200</v>
      </c>
      <c r="B3445" t="s">
        <v>1275</v>
      </c>
      <c r="C3445">
        <v>3</v>
      </c>
      <c r="D3445" t="s">
        <v>1264</v>
      </c>
      <c r="E3445">
        <v>100096</v>
      </c>
      <c r="F3445">
        <v>39200</v>
      </c>
      <c r="G3445" t="str">
        <f t="shared" si="283"/>
        <v>39200</v>
      </c>
      <c r="H3445" t="s">
        <v>591</v>
      </c>
      <c r="I3445" t="s">
        <v>1265</v>
      </c>
      <c r="J3445" t="s">
        <v>1276</v>
      </c>
      <c r="K3445" t="s">
        <v>1277</v>
      </c>
      <c r="L3445" t="s">
        <v>1275</v>
      </c>
      <c r="M3445" t="s">
        <v>1278</v>
      </c>
      <c r="N3445">
        <v>1</v>
      </c>
      <c r="O3445" t="str">
        <f t="shared" si="284"/>
        <v>42</v>
      </c>
      <c r="P3445">
        <v>42</v>
      </c>
      <c r="R3445" t="s">
        <v>1269</v>
      </c>
      <c r="S3445">
        <v>3</v>
      </c>
      <c r="T3445">
        <v>0.30709999999999998</v>
      </c>
      <c r="U3445">
        <f t="shared" si="286"/>
        <v>0</v>
      </c>
      <c r="V3445" t="str">
        <f t="shared" si="281"/>
        <v>Elementary Counselor</v>
      </c>
      <c r="W3445" t="str">
        <f t="shared" si="282"/>
        <v>Counselor</v>
      </c>
    </row>
    <row r="3446" spans="1:23" x14ac:dyDescent="0.25">
      <c r="A3446">
        <v>39200</v>
      </c>
      <c r="B3446" t="s">
        <v>1270</v>
      </c>
      <c r="C3446">
        <v>2.8</v>
      </c>
      <c r="D3446" t="s">
        <v>1264</v>
      </c>
      <c r="E3446">
        <v>100096</v>
      </c>
      <c r="F3446">
        <v>39200</v>
      </c>
      <c r="G3446" t="str">
        <f t="shared" si="283"/>
        <v>39200</v>
      </c>
      <c r="H3446" t="s">
        <v>591</v>
      </c>
      <c r="I3446" t="s">
        <v>1265</v>
      </c>
      <c r="J3446" t="s">
        <v>1271</v>
      </c>
      <c r="K3446" t="s">
        <v>1272</v>
      </c>
      <c r="L3446" t="s">
        <v>1270</v>
      </c>
      <c r="M3446" t="s">
        <v>1273</v>
      </c>
      <c r="N3446">
        <v>1</v>
      </c>
      <c r="O3446" t="str">
        <f t="shared" si="284"/>
        <v>42</v>
      </c>
      <c r="P3446">
        <v>42</v>
      </c>
      <c r="R3446" t="s">
        <v>1269</v>
      </c>
      <c r="S3446">
        <v>2.8</v>
      </c>
      <c r="T3446">
        <v>0.30709999999999998</v>
      </c>
      <c r="U3446">
        <f t="shared" ref="U3446:U3509" si="287">IF(N3446=21,ROUND(T3446*S3446,3),0)</f>
        <v>0</v>
      </c>
      <c r="V3446" t="str">
        <f t="shared" si="281"/>
        <v>High Counselor</v>
      </c>
      <c r="W3446" t="str">
        <f t="shared" si="282"/>
        <v>Counselor</v>
      </c>
    </row>
    <row r="3447" spans="1:23" x14ac:dyDescent="0.25">
      <c r="A3447">
        <v>39200</v>
      </c>
      <c r="B3447" t="s">
        <v>1263</v>
      </c>
      <c r="C3447">
        <v>2.7</v>
      </c>
      <c r="D3447" t="s">
        <v>1264</v>
      </c>
      <c r="E3447">
        <v>100096</v>
      </c>
      <c r="F3447">
        <v>39200</v>
      </c>
      <c r="G3447" t="str">
        <f t="shared" si="283"/>
        <v>39200</v>
      </c>
      <c r="H3447" t="s">
        <v>591</v>
      </c>
      <c r="I3447" t="s">
        <v>1265</v>
      </c>
      <c r="J3447" t="s">
        <v>1266</v>
      </c>
      <c r="K3447" t="s">
        <v>1267</v>
      </c>
      <c r="L3447" t="s">
        <v>1263</v>
      </c>
      <c r="M3447" t="s">
        <v>1268</v>
      </c>
      <c r="N3447">
        <v>1</v>
      </c>
      <c r="O3447" t="str">
        <f t="shared" si="284"/>
        <v>42</v>
      </c>
      <c r="P3447">
        <v>42</v>
      </c>
      <c r="R3447" t="s">
        <v>1269</v>
      </c>
      <c r="S3447">
        <v>2.7</v>
      </c>
      <c r="T3447">
        <v>0.30709999999999998</v>
      </c>
      <c r="U3447">
        <f t="shared" si="287"/>
        <v>0</v>
      </c>
      <c r="V3447" t="str">
        <f t="shared" si="281"/>
        <v>Middle Counselor</v>
      </c>
      <c r="W3447" t="str">
        <f t="shared" si="282"/>
        <v>Counselor</v>
      </c>
    </row>
    <row r="3448" spans="1:23" x14ac:dyDescent="0.25">
      <c r="A3448">
        <v>39200</v>
      </c>
      <c r="B3448" t="s">
        <v>1298</v>
      </c>
      <c r="C3448">
        <v>2</v>
      </c>
      <c r="D3448" t="s">
        <v>1264</v>
      </c>
      <c r="E3448">
        <v>100096</v>
      </c>
      <c r="F3448">
        <v>39200</v>
      </c>
      <c r="G3448" t="str">
        <f t="shared" si="283"/>
        <v>39200</v>
      </c>
      <c r="H3448" t="s">
        <v>591</v>
      </c>
      <c r="I3448" t="s">
        <v>1265</v>
      </c>
      <c r="J3448" t="s">
        <v>1276</v>
      </c>
      <c r="K3448" t="s">
        <v>1277</v>
      </c>
      <c r="L3448" t="s">
        <v>1298</v>
      </c>
      <c r="M3448" t="s">
        <v>1349</v>
      </c>
      <c r="N3448">
        <v>21</v>
      </c>
      <c r="O3448" t="str">
        <f t="shared" si="284"/>
        <v>46</v>
      </c>
      <c r="P3448">
        <v>46</v>
      </c>
      <c r="R3448" t="s">
        <v>1269</v>
      </c>
      <c r="S3448">
        <v>2</v>
      </c>
      <c r="T3448">
        <v>0.30709999999999998</v>
      </c>
      <c r="U3448">
        <f t="shared" si="287"/>
        <v>0.61399999999999999</v>
      </c>
      <c r="V3448" t="str">
        <f t="shared" si="281"/>
        <v>Elementary Psychologist</v>
      </c>
      <c r="W3448" t="str">
        <f t="shared" si="282"/>
        <v>Psychologist</v>
      </c>
    </row>
    <row r="3449" spans="1:23" x14ac:dyDescent="0.25">
      <c r="A3449">
        <v>39200</v>
      </c>
      <c r="B3449" t="s">
        <v>1309</v>
      </c>
      <c r="C3449">
        <v>0.5</v>
      </c>
      <c r="D3449" t="s">
        <v>1264</v>
      </c>
      <c r="E3449">
        <v>100096</v>
      </c>
      <c r="F3449">
        <v>39200</v>
      </c>
      <c r="G3449" t="str">
        <f t="shared" si="283"/>
        <v>39200</v>
      </c>
      <c r="H3449" t="s">
        <v>591</v>
      </c>
      <c r="I3449" t="s">
        <v>1265</v>
      </c>
      <c r="J3449" t="s">
        <v>1271</v>
      </c>
      <c r="K3449" t="s">
        <v>1272</v>
      </c>
      <c r="L3449" t="s">
        <v>1309</v>
      </c>
      <c r="M3449" t="s">
        <v>1310</v>
      </c>
      <c r="N3449">
        <v>21</v>
      </c>
      <c r="O3449" t="str">
        <f t="shared" si="284"/>
        <v>46</v>
      </c>
      <c r="P3449">
        <v>46</v>
      </c>
      <c r="R3449" t="s">
        <v>1269</v>
      </c>
      <c r="S3449">
        <v>0.5</v>
      </c>
      <c r="T3449">
        <v>0.30709999999999998</v>
      </c>
      <c r="U3449">
        <f t="shared" si="287"/>
        <v>0.154</v>
      </c>
      <c r="V3449" t="str">
        <f t="shared" si="281"/>
        <v>High Psychologist</v>
      </c>
      <c r="W3449" t="str">
        <f t="shared" si="282"/>
        <v>Psychologist</v>
      </c>
    </row>
    <row r="3450" spans="1:23" x14ac:dyDescent="0.25">
      <c r="A3450">
        <v>39200</v>
      </c>
      <c r="B3450" t="s">
        <v>1345</v>
      </c>
      <c r="C3450">
        <v>0.5</v>
      </c>
      <c r="D3450" t="s">
        <v>1264</v>
      </c>
      <c r="E3450">
        <v>100096</v>
      </c>
      <c r="F3450">
        <v>39200</v>
      </c>
      <c r="G3450" t="str">
        <f t="shared" si="283"/>
        <v>39200</v>
      </c>
      <c r="H3450" t="s">
        <v>591</v>
      </c>
      <c r="I3450" t="s">
        <v>1265</v>
      </c>
      <c r="J3450" t="s">
        <v>1266</v>
      </c>
      <c r="K3450" t="s">
        <v>1267</v>
      </c>
      <c r="L3450" t="s">
        <v>1345</v>
      </c>
      <c r="M3450" t="s">
        <v>1346</v>
      </c>
      <c r="N3450">
        <v>21</v>
      </c>
      <c r="O3450" t="str">
        <f t="shared" si="284"/>
        <v>46</v>
      </c>
      <c r="P3450">
        <v>46</v>
      </c>
      <c r="R3450" t="s">
        <v>1269</v>
      </c>
      <c r="S3450">
        <v>0.5</v>
      </c>
      <c r="T3450">
        <v>0.30709999999999998</v>
      </c>
      <c r="U3450">
        <f t="shared" si="287"/>
        <v>0.154</v>
      </c>
      <c r="V3450" t="str">
        <f t="shared" si="281"/>
        <v>Middle Psychologist</v>
      </c>
      <c r="W3450" t="str">
        <f t="shared" si="282"/>
        <v>Psychologist</v>
      </c>
    </row>
    <row r="3451" spans="1:23" x14ac:dyDescent="0.25">
      <c r="A3451">
        <v>39200</v>
      </c>
      <c r="B3451" t="s">
        <v>1338</v>
      </c>
      <c r="C3451">
        <v>1</v>
      </c>
      <c r="D3451" t="s">
        <v>1264</v>
      </c>
      <c r="E3451">
        <v>100096</v>
      </c>
      <c r="F3451">
        <v>39200</v>
      </c>
      <c r="G3451" t="str">
        <f t="shared" si="283"/>
        <v>39200</v>
      </c>
      <c r="H3451" t="s">
        <v>591</v>
      </c>
      <c r="I3451" t="s">
        <v>1265</v>
      </c>
      <c r="J3451" t="s">
        <v>1266</v>
      </c>
      <c r="K3451" t="s">
        <v>1267</v>
      </c>
      <c r="L3451" t="s">
        <v>1338</v>
      </c>
      <c r="M3451" t="s">
        <v>1339</v>
      </c>
      <c r="N3451">
        <v>1</v>
      </c>
      <c r="O3451" t="str">
        <f t="shared" si="284"/>
        <v>47</v>
      </c>
      <c r="P3451">
        <v>47</v>
      </c>
      <c r="R3451" t="s">
        <v>1269</v>
      </c>
      <c r="S3451">
        <v>1</v>
      </c>
      <c r="T3451">
        <v>0.30709999999999998</v>
      </c>
      <c r="U3451">
        <f t="shared" si="287"/>
        <v>0</v>
      </c>
      <c r="V3451" t="str">
        <f t="shared" si="281"/>
        <v>Middle Nurse</v>
      </c>
      <c r="W3451" t="str">
        <f t="shared" si="282"/>
        <v>Nurse</v>
      </c>
    </row>
    <row r="3452" spans="1:23" x14ac:dyDescent="0.25">
      <c r="A3452">
        <v>39200</v>
      </c>
      <c r="B3452" t="s">
        <v>1306</v>
      </c>
      <c r="C3452">
        <v>3.448</v>
      </c>
      <c r="D3452" t="s">
        <v>1264</v>
      </c>
      <c r="E3452">
        <v>100096</v>
      </c>
      <c r="F3452">
        <v>39200</v>
      </c>
      <c r="G3452" t="str">
        <f t="shared" si="283"/>
        <v>39200</v>
      </c>
      <c r="H3452" t="s">
        <v>591</v>
      </c>
      <c r="I3452" t="s">
        <v>1265</v>
      </c>
      <c r="J3452" t="s">
        <v>1276</v>
      </c>
      <c r="K3452" t="s">
        <v>1277</v>
      </c>
      <c r="L3452" t="s">
        <v>1306</v>
      </c>
      <c r="M3452" t="s">
        <v>1320</v>
      </c>
      <c r="N3452">
        <v>21</v>
      </c>
      <c r="O3452" t="str">
        <f t="shared" si="284"/>
        <v>64</v>
      </c>
      <c r="P3452">
        <v>64</v>
      </c>
      <c r="R3452" t="s">
        <v>1269</v>
      </c>
      <c r="S3452">
        <v>3.448</v>
      </c>
      <c r="T3452">
        <v>0.30709999999999998</v>
      </c>
      <c r="U3452">
        <f t="shared" si="287"/>
        <v>1.0589999999999999</v>
      </c>
      <c r="V3452" t="str">
        <f t="shared" si="281"/>
        <v>Elementary Contractor ESA</v>
      </c>
      <c r="W3452" t="str">
        <f t="shared" si="282"/>
        <v>Contractor ESA</v>
      </c>
    </row>
    <row r="3453" spans="1:23" x14ac:dyDescent="0.25">
      <c r="A3453">
        <v>39200</v>
      </c>
      <c r="B3453" t="s">
        <v>1317</v>
      </c>
      <c r="C3453">
        <v>0.189</v>
      </c>
      <c r="D3453" t="s">
        <v>1264</v>
      </c>
      <c r="E3453">
        <v>100096</v>
      </c>
      <c r="F3453">
        <v>39200</v>
      </c>
      <c r="G3453" t="str">
        <f t="shared" si="283"/>
        <v>39200</v>
      </c>
      <c r="H3453" t="s">
        <v>591</v>
      </c>
      <c r="I3453" t="s">
        <v>1265</v>
      </c>
      <c r="J3453" t="s">
        <v>1271</v>
      </c>
      <c r="K3453" t="s">
        <v>1272</v>
      </c>
      <c r="L3453" t="s">
        <v>1317</v>
      </c>
      <c r="M3453" t="s">
        <v>1318</v>
      </c>
      <c r="N3453">
        <v>21</v>
      </c>
      <c r="O3453" t="str">
        <f t="shared" si="284"/>
        <v>64</v>
      </c>
      <c r="P3453">
        <v>64</v>
      </c>
      <c r="R3453" t="s">
        <v>1269</v>
      </c>
      <c r="S3453">
        <v>0.189</v>
      </c>
      <c r="T3453">
        <v>0.30709999999999998</v>
      </c>
      <c r="U3453">
        <f t="shared" si="287"/>
        <v>5.8000000000000003E-2</v>
      </c>
      <c r="V3453" t="str">
        <f t="shared" si="281"/>
        <v>High Contractor ESA</v>
      </c>
      <c r="W3453" t="str">
        <f t="shared" si="282"/>
        <v>Contractor ESA</v>
      </c>
    </row>
    <row r="3454" spans="1:23" x14ac:dyDescent="0.25">
      <c r="A3454">
        <v>39200</v>
      </c>
      <c r="B3454" t="s">
        <v>1313</v>
      </c>
      <c r="C3454">
        <v>0.58499999999999996</v>
      </c>
      <c r="D3454" t="s">
        <v>1264</v>
      </c>
      <c r="E3454">
        <v>100096</v>
      </c>
      <c r="F3454">
        <v>39200</v>
      </c>
      <c r="G3454" t="str">
        <f t="shared" si="283"/>
        <v>39200</v>
      </c>
      <c r="H3454" t="s">
        <v>591</v>
      </c>
      <c r="I3454" t="s">
        <v>1265</v>
      </c>
      <c r="J3454" t="s">
        <v>1266</v>
      </c>
      <c r="K3454" t="s">
        <v>1267</v>
      </c>
      <c r="L3454" t="s">
        <v>1313</v>
      </c>
      <c r="M3454" t="s">
        <v>1314</v>
      </c>
      <c r="N3454">
        <v>21</v>
      </c>
      <c r="O3454" t="str">
        <f t="shared" si="284"/>
        <v>64</v>
      </c>
      <c r="P3454">
        <v>64</v>
      </c>
      <c r="R3454" t="s">
        <v>1269</v>
      </c>
      <c r="S3454">
        <v>0.58499999999999996</v>
      </c>
      <c r="T3454">
        <v>0.30709999999999998</v>
      </c>
      <c r="U3454">
        <f t="shared" si="287"/>
        <v>0.18</v>
      </c>
      <c r="V3454" t="str">
        <f t="shared" ref="V3454:V3517" si="288">_xlfn.XLOOKUP(L3454,$BV:$BV,$BT:$BT,,0)</f>
        <v>Middle Contractor ESA</v>
      </c>
      <c r="W3454" t="str">
        <f t="shared" ref="W3454:W3517" si="289">_xlfn.TEXTAFTER(V3454," ")</f>
        <v>Contractor ESA</v>
      </c>
    </row>
    <row r="3455" spans="1:23" x14ac:dyDescent="0.25">
      <c r="A3455">
        <v>39201</v>
      </c>
      <c r="B3455" t="s">
        <v>1383</v>
      </c>
      <c r="C3455">
        <v>4.2699999999999996</v>
      </c>
      <c r="D3455" t="s">
        <v>1264</v>
      </c>
      <c r="E3455">
        <v>100260</v>
      </c>
      <c r="F3455">
        <v>39201</v>
      </c>
      <c r="G3455" t="str">
        <f t="shared" si="283"/>
        <v>39201</v>
      </c>
      <c r="H3455" t="s">
        <v>592</v>
      </c>
      <c r="I3455" t="s">
        <v>1265</v>
      </c>
      <c r="J3455" t="s">
        <v>1271</v>
      </c>
      <c r="K3455" t="s">
        <v>1272</v>
      </c>
      <c r="L3455" t="s">
        <v>1383</v>
      </c>
      <c r="M3455" t="s">
        <v>1409</v>
      </c>
      <c r="N3455">
        <v>21</v>
      </c>
      <c r="O3455" t="str">
        <f t="shared" si="284"/>
        <v>25</v>
      </c>
      <c r="Q3455">
        <v>25</v>
      </c>
      <c r="R3455" t="s">
        <v>1269</v>
      </c>
      <c r="S3455">
        <v>4.2699999999999996</v>
      </c>
      <c r="T3455">
        <v>0.28639999999999999</v>
      </c>
      <c r="U3455">
        <f t="shared" si="287"/>
        <v>1.2230000000000001</v>
      </c>
      <c r="V3455" t="str">
        <f t="shared" si="288"/>
        <v>High Pupil Management</v>
      </c>
      <c r="W3455" t="str">
        <f t="shared" si="289"/>
        <v>Pupil Management</v>
      </c>
    </row>
    <row r="3456" spans="1:23" x14ac:dyDescent="0.25">
      <c r="A3456">
        <v>39201</v>
      </c>
      <c r="B3456" t="s">
        <v>1299</v>
      </c>
      <c r="C3456">
        <v>7.9580000000000002</v>
      </c>
      <c r="D3456" t="s">
        <v>1264</v>
      </c>
      <c r="E3456">
        <v>100260</v>
      </c>
      <c r="F3456">
        <v>39201</v>
      </c>
      <c r="G3456" t="str">
        <f t="shared" si="283"/>
        <v>39201</v>
      </c>
      <c r="H3456" t="s">
        <v>592</v>
      </c>
      <c r="I3456" t="s">
        <v>1265</v>
      </c>
      <c r="J3456" t="s">
        <v>1271</v>
      </c>
      <c r="K3456" t="s">
        <v>1272</v>
      </c>
      <c r="L3456" t="s">
        <v>1299</v>
      </c>
      <c r="M3456" t="s">
        <v>1300</v>
      </c>
      <c r="N3456">
        <v>1</v>
      </c>
      <c r="O3456" t="str">
        <f t="shared" si="284"/>
        <v>25</v>
      </c>
      <c r="Q3456">
        <v>25</v>
      </c>
      <c r="R3456" t="s">
        <v>1269</v>
      </c>
      <c r="S3456">
        <v>7.9580000000000002</v>
      </c>
      <c r="T3456">
        <v>0.28639999999999999</v>
      </c>
      <c r="U3456">
        <f t="shared" si="287"/>
        <v>0</v>
      </c>
      <c r="V3456" t="str">
        <f t="shared" si="288"/>
        <v>High Pupil Management</v>
      </c>
      <c r="W3456" t="str">
        <f t="shared" si="289"/>
        <v>Pupil Management</v>
      </c>
    </row>
    <row r="3457" spans="1:23" x14ac:dyDescent="0.25">
      <c r="A3457">
        <v>39201</v>
      </c>
      <c r="B3457" t="s">
        <v>1324</v>
      </c>
      <c r="C3457">
        <v>6.3710000000000004</v>
      </c>
      <c r="D3457" t="s">
        <v>1264</v>
      </c>
      <c r="E3457">
        <v>100260</v>
      </c>
      <c r="F3457">
        <v>39201</v>
      </c>
      <c r="G3457" t="str">
        <f t="shared" si="283"/>
        <v>39201</v>
      </c>
      <c r="H3457" t="s">
        <v>592</v>
      </c>
      <c r="I3457" t="s">
        <v>1265</v>
      </c>
      <c r="J3457" t="s">
        <v>1271</v>
      </c>
      <c r="K3457" t="s">
        <v>1272</v>
      </c>
      <c r="L3457" t="s">
        <v>1324</v>
      </c>
      <c r="M3457" t="s">
        <v>1325</v>
      </c>
      <c r="N3457">
        <v>21</v>
      </c>
      <c r="O3457" t="str">
        <f t="shared" si="284"/>
        <v>26</v>
      </c>
      <c r="Q3457">
        <v>26</v>
      </c>
      <c r="R3457" t="s">
        <v>1269</v>
      </c>
      <c r="S3457">
        <v>6.3710000000000004</v>
      </c>
      <c r="T3457">
        <v>0.28639999999999999</v>
      </c>
      <c r="U3457">
        <f t="shared" si="287"/>
        <v>1.825</v>
      </c>
      <c r="V3457" t="str">
        <f t="shared" si="288"/>
        <v>High Health/
Related Services</v>
      </c>
      <c r="W3457" t="str">
        <f t="shared" si="289"/>
        <v>Health/
Related Services</v>
      </c>
    </row>
    <row r="3458" spans="1:23" x14ac:dyDescent="0.25">
      <c r="A3458">
        <v>39201</v>
      </c>
      <c r="B3458" t="s">
        <v>1295</v>
      </c>
      <c r="C3458">
        <v>1.278</v>
      </c>
      <c r="D3458" t="s">
        <v>1264</v>
      </c>
      <c r="E3458">
        <v>100260</v>
      </c>
      <c r="F3458">
        <v>39201</v>
      </c>
      <c r="G3458" t="str">
        <f t="shared" ref="G3458:G3521" si="290">TEXT(F3458,"00000")</f>
        <v>39201</v>
      </c>
      <c r="H3458" t="s">
        <v>592</v>
      </c>
      <c r="I3458" t="s">
        <v>1265</v>
      </c>
      <c r="J3458" t="s">
        <v>1271</v>
      </c>
      <c r="K3458" t="s">
        <v>1272</v>
      </c>
      <c r="L3458" t="s">
        <v>1295</v>
      </c>
      <c r="M3458" t="s">
        <v>1296</v>
      </c>
      <c r="N3458">
        <v>1</v>
      </c>
      <c r="O3458" t="str">
        <f t="shared" si="284"/>
        <v>26</v>
      </c>
      <c r="Q3458">
        <v>26</v>
      </c>
      <c r="R3458" t="s">
        <v>1269</v>
      </c>
      <c r="S3458">
        <v>1.278</v>
      </c>
      <c r="T3458">
        <v>0.28639999999999999</v>
      </c>
      <c r="U3458">
        <f t="shared" si="287"/>
        <v>0</v>
      </c>
      <c r="V3458" t="str">
        <f t="shared" si="288"/>
        <v>High Health/
Related Services</v>
      </c>
      <c r="W3458" t="str">
        <f t="shared" si="289"/>
        <v>Health/
Related Services</v>
      </c>
    </row>
    <row r="3459" spans="1:23" x14ac:dyDescent="0.25">
      <c r="A3459">
        <v>39201</v>
      </c>
      <c r="B3459" t="s">
        <v>1275</v>
      </c>
      <c r="C3459">
        <v>8</v>
      </c>
      <c r="D3459" t="s">
        <v>1264</v>
      </c>
      <c r="E3459">
        <v>100260</v>
      </c>
      <c r="F3459">
        <v>39201</v>
      </c>
      <c r="G3459" t="str">
        <f t="shared" si="290"/>
        <v>39201</v>
      </c>
      <c r="H3459" t="s">
        <v>592</v>
      </c>
      <c r="I3459" t="s">
        <v>1265</v>
      </c>
      <c r="J3459" t="s">
        <v>1276</v>
      </c>
      <c r="K3459" t="s">
        <v>1277</v>
      </c>
      <c r="L3459" t="s">
        <v>1275</v>
      </c>
      <c r="M3459" t="s">
        <v>1278</v>
      </c>
      <c r="N3459">
        <v>1</v>
      </c>
      <c r="O3459" t="str">
        <f t="shared" ref="O3459:O3522" si="291">MID(L3459,3,2)</f>
        <v>42</v>
      </c>
      <c r="P3459">
        <v>42</v>
      </c>
      <c r="R3459" t="s">
        <v>1269</v>
      </c>
      <c r="S3459">
        <v>8</v>
      </c>
      <c r="T3459">
        <v>0.28639999999999999</v>
      </c>
      <c r="U3459">
        <f t="shared" si="287"/>
        <v>0</v>
      </c>
      <c r="V3459" t="str">
        <f t="shared" si="288"/>
        <v>Elementary Counselor</v>
      </c>
      <c r="W3459" t="str">
        <f t="shared" si="289"/>
        <v>Counselor</v>
      </c>
    </row>
    <row r="3460" spans="1:23" x14ac:dyDescent="0.25">
      <c r="A3460">
        <v>39201</v>
      </c>
      <c r="B3460" t="s">
        <v>1270</v>
      </c>
      <c r="C3460">
        <v>6</v>
      </c>
      <c r="D3460" t="s">
        <v>1264</v>
      </c>
      <c r="E3460">
        <v>100260</v>
      </c>
      <c r="F3460">
        <v>39201</v>
      </c>
      <c r="G3460" t="str">
        <f t="shared" si="290"/>
        <v>39201</v>
      </c>
      <c r="H3460" t="s">
        <v>592</v>
      </c>
      <c r="I3460" t="s">
        <v>1265</v>
      </c>
      <c r="J3460" t="s">
        <v>1271</v>
      </c>
      <c r="K3460" t="s">
        <v>1272</v>
      </c>
      <c r="L3460" t="s">
        <v>1270</v>
      </c>
      <c r="M3460" t="s">
        <v>1273</v>
      </c>
      <c r="N3460">
        <v>1</v>
      </c>
      <c r="O3460" t="str">
        <f t="shared" si="291"/>
        <v>42</v>
      </c>
      <c r="P3460">
        <v>42</v>
      </c>
      <c r="R3460" t="s">
        <v>1269</v>
      </c>
      <c r="S3460">
        <v>6</v>
      </c>
      <c r="T3460">
        <v>0.28639999999999999</v>
      </c>
      <c r="U3460">
        <f t="shared" si="287"/>
        <v>0</v>
      </c>
      <c r="V3460" t="str">
        <f t="shared" si="288"/>
        <v>High Counselor</v>
      </c>
      <c r="W3460" t="str">
        <f t="shared" si="289"/>
        <v>Counselor</v>
      </c>
    </row>
    <row r="3461" spans="1:23" x14ac:dyDescent="0.25">
      <c r="A3461">
        <v>39201</v>
      </c>
      <c r="B3461" t="s">
        <v>1263</v>
      </c>
      <c r="C3461">
        <v>5</v>
      </c>
      <c r="D3461" t="s">
        <v>1264</v>
      </c>
      <c r="E3461">
        <v>100260</v>
      </c>
      <c r="F3461">
        <v>39201</v>
      </c>
      <c r="G3461" t="str">
        <f t="shared" si="290"/>
        <v>39201</v>
      </c>
      <c r="H3461" t="s">
        <v>592</v>
      </c>
      <c r="I3461" t="s">
        <v>1265</v>
      </c>
      <c r="J3461" t="s">
        <v>1266</v>
      </c>
      <c r="K3461" t="s">
        <v>1267</v>
      </c>
      <c r="L3461" t="s">
        <v>1263</v>
      </c>
      <c r="M3461" t="s">
        <v>1268</v>
      </c>
      <c r="N3461">
        <v>1</v>
      </c>
      <c r="O3461" t="str">
        <f t="shared" si="291"/>
        <v>42</v>
      </c>
      <c r="P3461">
        <v>42</v>
      </c>
      <c r="R3461" t="s">
        <v>1269</v>
      </c>
      <c r="S3461">
        <v>5</v>
      </c>
      <c r="T3461">
        <v>0.28639999999999999</v>
      </c>
      <c r="U3461">
        <f t="shared" si="287"/>
        <v>0</v>
      </c>
      <c r="V3461" t="str">
        <f t="shared" si="288"/>
        <v>Middle Counselor</v>
      </c>
      <c r="W3461" t="str">
        <f t="shared" si="289"/>
        <v>Counselor</v>
      </c>
    </row>
    <row r="3462" spans="1:23" x14ac:dyDescent="0.25">
      <c r="A3462">
        <v>39201</v>
      </c>
      <c r="B3462" t="s">
        <v>1294</v>
      </c>
      <c r="C3462">
        <v>3</v>
      </c>
      <c r="D3462" t="s">
        <v>1264</v>
      </c>
      <c r="E3462">
        <v>100260</v>
      </c>
      <c r="F3462">
        <v>39201</v>
      </c>
      <c r="G3462" t="str">
        <f t="shared" si="290"/>
        <v>39201</v>
      </c>
      <c r="H3462" t="s">
        <v>592</v>
      </c>
      <c r="I3462" t="s">
        <v>1265</v>
      </c>
      <c r="J3462" t="s">
        <v>1276</v>
      </c>
      <c r="K3462" t="s">
        <v>1277</v>
      </c>
      <c r="L3462" t="s">
        <v>1294</v>
      </c>
      <c r="M3462" t="s">
        <v>1354</v>
      </c>
      <c r="N3462">
        <v>21</v>
      </c>
      <c r="O3462" t="str">
        <f t="shared" si="291"/>
        <v>45</v>
      </c>
      <c r="P3462">
        <v>45</v>
      </c>
      <c r="R3462" t="s">
        <v>1269</v>
      </c>
      <c r="S3462">
        <v>3</v>
      </c>
      <c r="T3462">
        <v>0.28639999999999999</v>
      </c>
      <c r="U3462">
        <f t="shared" si="287"/>
        <v>0.85899999999999999</v>
      </c>
      <c r="V3462" t="str">
        <f t="shared" si="288"/>
        <v>Elementary Speech, Language Pathway/
Audio</v>
      </c>
      <c r="W3462" t="str">
        <f t="shared" si="289"/>
        <v>Speech, Language Pathway/
Audio</v>
      </c>
    </row>
    <row r="3463" spans="1:23" x14ac:dyDescent="0.25">
      <c r="A3463">
        <v>39201</v>
      </c>
      <c r="B3463" t="s">
        <v>1312</v>
      </c>
      <c r="C3463">
        <v>0.81699999999999995</v>
      </c>
      <c r="D3463" t="s">
        <v>1264</v>
      </c>
      <c r="E3463">
        <v>100260</v>
      </c>
      <c r="F3463">
        <v>39201</v>
      </c>
      <c r="G3463" t="str">
        <f t="shared" si="290"/>
        <v>39201</v>
      </c>
      <c r="H3463" t="s">
        <v>592</v>
      </c>
      <c r="I3463" t="s">
        <v>1265</v>
      </c>
      <c r="J3463" t="s">
        <v>1266</v>
      </c>
      <c r="K3463" t="s">
        <v>1267</v>
      </c>
      <c r="L3463" t="s">
        <v>1312</v>
      </c>
      <c r="M3463" t="s">
        <v>1351</v>
      </c>
      <c r="N3463">
        <v>21</v>
      </c>
      <c r="O3463" t="str">
        <f t="shared" si="291"/>
        <v>45</v>
      </c>
      <c r="P3463">
        <v>45</v>
      </c>
      <c r="R3463" t="s">
        <v>1269</v>
      </c>
      <c r="S3463">
        <v>0.81699999999999995</v>
      </c>
      <c r="T3463">
        <v>0.28639999999999999</v>
      </c>
      <c r="U3463">
        <f t="shared" si="287"/>
        <v>0.23400000000000001</v>
      </c>
      <c r="V3463" t="str">
        <f t="shared" si="288"/>
        <v>Middle Speech, Language Pathway/
Audio</v>
      </c>
      <c r="W3463" t="str">
        <f t="shared" si="289"/>
        <v>Speech, Language Pathway/
Audio</v>
      </c>
    </row>
    <row r="3464" spans="1:23" x14ac:dyDescent="0.25">
      <c r="A3464">
        <v>39201</v>
      </c>
      <c r="B3464" t="s">
        <v>1298</v>
      </c>
      <c r="C3464">
        <v>4</v>
      </c>
      <c r="D3464" t="s">
        <v>1264</v>
      </c>
      <c r="E3464">
        <v>100260</v>
      </c>
      <c r="F3464">
        <v>39201</v>
      </c>
      <c r="G3464" t="str">
        <f t="shared" si="290"/>
        <v>39201</v>
      </c>
      <c r="H3464" t="s">
        <v>592</v>
      </c>
      <c r="I3464" t="s">
        <v>1265</v>
      </c>
      <c r="J3464" t="s">
        <v>1276</v>
      </c>
      <c r="K3464" t="s">
        <v>1277</v>
      </c>
      <c r="L3464" t="s">
        <v>1298</v>
      </c>
      <c r="M3464" t="s">
        <v>1349</v>
      </c>
      <c r="N3464">
        <v>21</v>
      </c>
      <c r="O3464" t="str">
        <f t="shared" si="291"/>
        <v>46</v>
      </c>
      <c r="P3464">
        <v>46</v>
      </c>
      <c r="R3464" t="s">
        <v>1269</v>
      </c>
      <c r="S3464">
        <v>4</v>
      </c>
      <c r="T3464">
        <v>0.28639999999999999</v>
      </c>
      <c r="U3464">
        <f t="shared" si="287"/>
        <v>1.1459999999999999</v>
      </c>
      <c r="V3464" t="str">
        <f t="shared" si="288"/>
        <v>Elementary Psychologist</v>
      </c>
      <c r="W3464" t="str">
        <f t="shared" si="289"/>
        <v>Psychologist</v>
      </c>
    </row>
    <row r="3465" spans="1:23" x14ac:dyDescent="0.25">
      <c r="A3465">
        <v>39201</v>
      </c>
      <c r="B3465" t="s">
        <v>1309</v>
      </c>
      <c r="C3465">
        <v>2</v>
      </c>
      <c r="D3465" t="s">
        <v>1264</v>
      </c>
      <c r="E3465">
        <v>100260</v>
      </c>
      <c r="F3465">
        <v>39201</v>
      </c>
      <c r="G3465" t="str">
        <f t="shared" si="290"/>
        <v>39201</v>
      </c>
      <c r="H3465" t="s">
        <v>592</v>
      </c>
      <c r="I3465" t="s">
        <v>1265</v>
      </c>
      <c r="J3465" t="s">
        <v>1271</v>
      </c>
      <c r="K3465" t="s">
        <v>1272</v>
      </c>
      <c r="L3465" t="s">
        <v>1309</v>
      </c>
      <c r="M3465" t="s">
        <v>1310</v>
      </c>
      <c r="N3465">
        <v>21</v>
      </c>
      <c r="O3465" t="str">
        <f t="shared" si="291"/>
        <v>46</v>
      </c>
      <c r="P3465">
        <v>46</v>
      </c>
      <c r="R3465" t="s">
        <v>1269</v>
      </c>
      <c r="S3465">
        <v>2</v>
      </c>
      <c r="T3465">
        <v>0.28639999999999999</v>
      </c>
      <c r="U3465">
        <f t="shared" si="287"/>
        <v>0.57299999999999995</v>
      </c>
      <c r="V3465" t="str">
        <f t="shared" si="288"/>
        <v>High Psychologist</v>
      </c>
      <c r="W3465" t="str">
        <f t="shared" si="289"/>
        <v>Psychologist</v>
      </c>
    </row>
    <row r="3466" spans="1:23" x14ac:dyDescent="0.25">
      <c r="A3466">
        <v>39201</v>
      </c>
      <c r="B3466" t="s">
        <v>1335</v>
      </c>
      <c r="C3466">
        <v>3</v>
      </c>
      <c r="D3466" t="s">
        <v>1264</v>
      </c>
      <c r="E3466">
        <v>100260</v>
      </c>
      <c r="F3466">
        <v>39201</v>
      </c>
      <c r="G3466" t="str">
        <f t="shared" si="290"/>
        <v>39201</v>
      </c>
      <c r="H3466" t="s">
        <v>592</v>
      </c>
      <c r="I3466" t="s">
        <v>1265</v>
      </c>
      <c r="J3466" t="s">
        <v>1276</v>
      </c>
      <c r="K3466" t="s">
        <v>1277</v>
      </c>
      <c r="L3466" t="s">
        <v>1335</v>
      </c>
      <c r="M3466" t="s">
        <v>1344</v>
      </c>
      <c r="N3466">
        <v>1</v>
      </c>
      <c r="O3466" t="str">
        <f t="shared" si="291"/>
        <v>47</v>
      </c>
      <c r="P3466">
        <v>47</v>
      </c>
      <c r="R3466" t="s">
        <v>1269</v>
      </c>
      <c r="S3466">
        <v>3</v>
      </c>
      <c r="T3466">
        <v>0.28639999999999999</v>
      </c>
      <c r="U3466">
        <f t="shared" si="287"/>
        <v>0</v>
      </c>
      <c r="V3466" t="str">
        <f t="shared" si="288"/>
        <v>Elementary Nurse</v>
      </c>
      <c r="W3466" t="str">
        <f t="shared" si="289"/>
        <v>Nurse</v>
      </c>
    </row>
    <row r="3467" spans="1:23" x14ac:dyDescent="0.25">
      <c r="A3467">
        <v>39201</v>
      </c>
      <c r="B3467" t="s">
        <v>1341</v>
      </c>
      <c r="C3467">
        <v>1.2</v>
      </c>
      <c r="D3467" t="s">
        <v>1264</v>
      </c>
      <c r="E3467">
        <v>100260</v>
      </c>
      <c r="F3467">
        <v>39201</v>
      </c>
      <c r="G3467" t="str">
        <f t="shared" si="290"/>
        <v>39201</v>
      </c>
      <c r="H3467" t="s">
        <v>592</v>
      </c>
      <c r="I3467" t="s">
        <v>1265</v>
      </c>
      <c r="J3467" t="s">
        <v>1271</v>
      </c>
      <c r="K3467" t="s">
        <v>1272</v>
      </c>
      <c r="L3467" t="s">
        <v>1341</v>
      </c>
      <c r="M3467" t="s">
        <v>1342</v>
      </c>
      <c r="N3467">
        <v>1</v>
      </c>
      <c r="O3467" t="str">
        <f t="shared" si="291"/>
        <v>47</v>
      </c>
      <c r="P3467">
        <v>47</v>
      </c>
      <c r="R3467" t="s">
        <v>1269</v>
      </c>
      <c r="S3467">
        <v>1.2</v>
      </c>
      <c r="T3467">
        <v>0.28639999999999999</v>
      </c>
      <c r="U3467">
        <f t="shared" si="287"/>
        <v>0</v>
      </c>
      <c r="V3467" t="str">
        <f t="shared" si="288"/>
        <v>High Nurse</v>
      </c>
      <c r="W3467" t="str">
        <f t="shared" si="289"/>
        <v>Nurse</v>
      </c>
    </row>
    <row r="3468" spans="1:23" x14ac:dyDescent="0.25">
      <c r="A3468">
        <v>39201</v>
      </c>
      <c r="B3468" t="s">
        <v>1338</v>
      </c>
      <c r="C3468">
        <v>2</v>
      </c>
      <c r="D3468" t="s">
        <v>1264</v>
      </c>
      <c r="E3468">
        <v>100260</v>
      </c>
      <c r="F3468">
        <v>39201</v>
      </c>
      <c r="G3468" t="str">
        <f t="shared" si="290"/>
        <v>39201</v>
      </c>
      <c r="H3468" t="s">
        <v>592</v>
      </c>
      <c r="I3468" t="s">
        <v>1265</v>
      </c>
      <c r="J3468" t="s">
        <v>1266</v>
      </c>
      <c r="K3468" t="s">
        <v>1267</v>
      </c>
      <c r="L3468" t="s">
        <v>1338</v>
      </c>
      <c r="M3468" t="s">
        <v>1339</v>
      </c>
      <c r="N3468">
        <v>1</v>
      </c>
      <c r="O3468" t="str">
        <f t="shared" si="291"/>
        <v>47</v>
      </c>
      <c r="P3468">
        <v>47</v>
      </c>
      <c r="R3468" t="s">
        <v>1269</v>
      </c>
      <c r="S3468">
        <v>2</v>
      </c>
      <c r="T3468">
        <v>0.28639999999999999</v>
      </c>
      <c r="U3468">
        <f t="shared" si="287"/>
        <v>0</v>
      </c>
      <c r="V3468" t="str">
        <f t="shared" si="288"/>
        <v>Middle Nurse</v>
      </c>
      <c r="W3468" t="str">
        <f t="shared" si="289"/>
        <v>Nurse</v>
      </c>
    </row>
    <row r="3469" spans="1:23" x14ac:dyDescent="0.25">
      <c r="A3469" t="s">
        <v>296</v>
      </c>
      <c r="B3469" t="s">
        <v>1474</v>
      </c>
      <c r="C3469">
        <v>0.13700000000000001</v>
      </c>
      <c r="F3469" t="s">
        <v>296</v>
      </c>
      <c r="G3469" t="str">
        <f t="shared" si="290"/>
        <v>39201</v>
      </c>
      <c r="H3469" t="s">
        <v>592</v>
      </c>
      <c r="I3469" t="s">
        <v>1265</v>
      </c>
      <c r="K3469" t="s">
        <v>1277</v>
      </c>
      <c r="L3469" t="s">
        <v>1474</v>
      </c>
      <c r="M3469" t="s">
        <v>1642</v>
      </c>
      <c r="N3469">
        <v>9</v>
      </c>
      <c r="O3469" t="str">
        <f t="shared" si="291"/>
        <v>25</v>
      </c>
      <c r="P3469">
        <v>91</v>
      </c>
      <c r="Q3469">
        <v>25</v>
      </c>
      <c r="S3469">
        <v>0.13700000000000001</v>
      </c>
      <c r="T3469">
        <v>0.28639999999999999</v>
      </c>
      <c r="U3469">
        <f t="shared" si="287"/>
        <v>0</v>
      </c>
      <c r="V3469" t="str">
        <f t="shared" si="288"/>
        <v>TK Pupil Management</v>
      </c>
      <c r="W3469" t="str">
        <f t="shared" si="289"/>
        <v>Pupil Management</v>
      </c>
    </row>
    <row r="3470" spans="1:23" x14ac:dyDescent="0.25">
      <c r="A3470" t="s">
        <v>296</v>
      </c>
      <c r="B3470" t="s">
        <v>1474</v>
      </c>
      <c r="C3470">
        <v>0.128</v>
      </c>
      <c r="F3470" t="s">
        <v>296</v>
      </c>
      <c r="G3470" t="str">
        <f t="shared" si="290"/>
        <v>39201</v>
      </c>
      <c r="H3470" t="s">
        <v>592</v>
      </c>
      <c r="I3470" t="s">
        <v>1265</v>
      </c>
      <c r="K3470" t="s">
        <v>1277</v>
      </c>
      <c r="L3470" t="s">
        <v>1474</v>
      </c>
      <c r="M3470" t="s">
        <v>1642</v>
      </c>
      <c r="N3470">
        <v>9</v>
      </c>
      <c r="O3470" t="str">
        <f t="shared" si="291"/>
        <v>25</v>
      </c>
      <c r="P3470">
        <v>91</v>
      </c>
      <c r="Q3470">
        <v>25</v>
      </c>
      <c r="S3470">
        <v>0.128</v>
      </c>
      <c r="T3470">
        <v>0.28639999999999999</v>
      </c>
      <c r="U3470">
        <f t="shared" si="287"/>
        <v>0</v>
      </c>
      <c r="V3470" t="str">
        <f t="shared" si="288"/>
        <v>TK Pupil Management</v>
      </c>
      <c r="W3470" t="str">
        <f t="shared" si="289"/>
        <v>Pupil Management</v>
      </c>
    </row>
    <row r="3471" spans="1:23" x14ac:dyDescent="0.25">
      <c r="A3471">
        <v>39202</v>
      </c>
      <c r="B3471" t="s">
        <v>1286</v>
      </c>
      <c r="C3471">
        <v>0.65</v>
      </c>
      <c r="D3471" t="s">
        <v>1264</v>
      </c>
      <c r="E3471">
        <v>100269</v>
      </c>
      <c r="F3471">
        <v>39202</v>
      </c>
      <c r="G3471" t="str">
        <f t="shared" si="290"/>
        <v>39202</v>
      </c>
      <c r="H3471" t="s">
        <v>593</v>
      </c>
      <c r="I3471" t="s">
        <v>1265</v>
      </c>
      <c r="J3471" t="s">
        <v>1271</v>
      </c>
      <c r="K3471" t="s">
        <v>1272</v>
      </c>
      <c r="L3471" t="s">
        <v>1286</v>
      </c>
      <c r="M3471" t="s">
        <v>1287</v>
      </c>
      <c r="N3471">
        <v>1</v>
      </c>
      <c r="O3471" t="str">
        <f t="shared" si="291"/>
        <v>24</v>
      </c>
      <c r="P3471">
        <v>96</v>
      </c>
      <c r="Q3471">
        <v>24</v>
      </c>
      <c r="R3471" t="s">
        <v>1269</v>
      </c>
      <c r="S3471">
        <v>0.65</v>
      </c>
      <c r="T3471">
        <v>0.15629999999999999</v>
      </c>
      <c r="U3471">
        <f t="shared" si="287"/>
        <v>0</v>
      </c>
      <c r="V3471" t="str">
        <f t="shared" si="288"/>
        <v>High Family Engagement Coordinator</v>
      </c>
      <c r="W3471" t="str">
        <f t="shared" si="289"/>
        <v>Family Engagement Coordinator</v>
      </c>
    </row>
    <row r="3472" spans="1:23" x14ac:dyDescent="0.25">
      <c r="A3472">
        <v>39202</v>
      </c>
      <c r="B3472" t="s">
        <v>1315</v>
      </c>
      <c r="C3472">
        <v>1.833</v>
      </c>
      <c r="D3472" t="s">
        <v>1264</v>
      </c>
      <c r="E3472">
        <v>100269</v>
      </c>
      <c r="F3472">
        <v>39202</v>
      </c>
      <c r="G3472" t="str">
        <f t="shared" si="290"/>
        <v>39202</v>
      </c>
      <c r="H3472" t="s">
        <v>593</v>
      </c>
      <c r="I3472" t="s">
        <v>1265</v>
      </c>
      <c r="J3472" t="s">
        <v>1276</v>
      </c>
      <c r="K3472" t="s">
        <v>1277</v>
      </c>
      <c r="L3472" t="s">
        <v>1315</v>
      </c>
      <c r="M3472" t="s">
        <v>1375</v>
      </c>
      <c r="N3472">
        <v>1</v>
      </c>
      <c r="O3472" t="str">
        <f t="shared" si="291"/>
        <v>26</v>
      </c>
      <c r="Q3472">
        <v>26</v>
      </c>
      <c r="R3472" t="s">
        <v>1269</v>
      </c>
      <c r="S3472">
        <v>1.833</v>
      </c>
      <c r="T3472">
        <v>0.15629999999999999</v>
      </c>
      <c r="U3472">
        <f t="shared" si="287"/>
        <v>0</v>
      </c>
      <c r="V3472" t="str">
        <f t="shared" si="288"/>
        <v>Elementary Health/
Related Services</v>
      </c>
      <c r="W3472" t="str">
        <f t="shared" si="289"/>
        <v>Health/
Related Services</v>
      </c>
    </row>
    <row r="3473" spans="1:23" x14ac:dyDescent="0.25">
      <c r="A3473">
        <v>39202</v>
      </c>
      <c r="B3473" t="s">
        <v>1324</v>
      </c>
      <c r="C3473">
        <v>0.63900000000000001</v>
      </c>
      <c r="D3473" t="s">
        <v>1264</v>
      </c>
      <c r="E3473">
        <v>100269</v>
      </c>
      <c r="F3473">
        <v>39202</v>
      </c>
      <c r="G3473" t="str">
        <f t="shared" si="290"/>
        <v>39202</v>
      </c>
      <c r="H3473" t="s">
        <v>593</v>
      </c>
      <c r="I3473" t="s">
        <v>1265</v>
      </c>
      <c r="J3473" t="s">
        <v>1271</v>
      </c>
      <c r="K3473" t="s">
        <v>1272</v>
      </c>
      <c r="L3473" t="s">
        <v>1324</v>
      </c>
      <c r="M3473" t="s">
        <v>1325</v>
      </c>
      <c r="N3473">
        <v>21</v>
      </c>
      <c r="O3473" t="str">
        <f t="shared" si="291"/>
        <v>26</v>
      </c>
      <c r="Q3473">
        <v>26</v>
      </c>
      <c r="R3473" t="s">
        <v>1269</v>
      </c>
      <c r="S3473">
        <v>0.63900000000000001</v>
      </c>
      <c r="T3473">
        <v>0.15629999999999999</v>
      </c>
      <c r="U3473">
        <f t="shared" si="287"/>
        <v>0.1</v>
      </c>
      <c r="V3473" t="str">
        <f t="shared" si="288"/>
        <v>High Health/
Related Services</v>
      </c>
      <c r="W3473" t="str">
        <f t="shared" si="289"/>
        <v>Health/
Related Services</v>
      </c>
    </row>
    <row r="3474" spans="1:23" x14ac:dyDescent="0.25">
      <c r="A3474">
        <v>39202</v>
      </c>
      <c r="B3474" t="s">
        <v>1295</v>
      </c>
      <c r="C3474">
        <v>1.7</v>
      </c>
      <c r="D3474" t="s">
        <v>1264</v>
      </c>
      <c r="E3474">
        <v>100269</v>
      </c>
      <c r="F3474">
        <v>39202</v>
      </c>
      <c r="G3474" t="str">
        <f t="shared" si="290"/>
        <v>39202</v>
      </c>
      <c r="H3474" t="s">
        <v>593</v>
      </c>
      <c r="I3474" t="s">
        <v>1265</v>
      </c>
      <c r="J3474" t="s">
        <v>1271</v>
      </c>
      <c r="K3474" t="s">
        <v>1272</v>
      </c>
      <c r="L3474" t="s">
        <v>1295</v>
      </c>
      <c r="M3474" t="s">
        <v>1296</v>
      </c>
      <c r="N3474">
        <v>1</v>
      </c>
      <c r="O3474" t="str">
        <f t="shared" si="291"/>
        <v>26</v>
      </c>
      <c r="Q3474">
        <v>26</v>
      </c>
      <c r="R3474" t="s">
        <v>1269</v>
      </c>
      <c r="S3474">
        <v>1.7</v>
      </c>
      <c r="T3474">
        <v>0.15629999999999999</v>
      </c>
      <c r="U3474">
        <f t="shared" si="287"/>
        <v>0</v>
      </c>
      <c r="V3474" t="str">
        <f t="shared" si="288"/>
        <v>High Health/
Related Services</v>
      </c>
      <c r="W3474" t="str">
        <f t="shared" si="289"/>
        <v>Health/
Related Services</v>
      </c>
    </row>
    <row r="3475" spans="1:23" x14ac:dyDescent="0.25">
      <c r="A3475">
        <v>39202</v>
      </c>
      <c r="B3475" t="s">
        <v>1322</v>
      </c>
      <c r="C3475">
        <v>0.59399999999999997</v>
      </c>
      <c r="D3475" t="s">
        <v>1264</v>
      </c>
      <c r="E3475">
        <v>100269</v>
      </c>
      <c r="F3475">
        <v>39202</v>
      </c>
      <c r="G3475" t="str">
        <f t="shared" si="290"/>
        <v>39202</v>
      </c>
      <c r="H3475" t="s">
        <v>593</v>
      </c>
      <c r="I3475" t="s">
        <v>1265</v>
      </c>
      <c r="J3475" t="s">
        <v>1266</v>
      </c>
      <c r="K3475" t="s">
        <v>1267</v>
      </c>
      <c r="L3475" t="s">
        <v>1322</v>
      </c>
      <c r="M3475" t="s">
        <v>1323</v>
      </c>
      <c r="N3475">
        <v>21</v>
      </c>
      <c r="O3475" t="str">
        <f t="shared" si="291"/>
        <v>26</v>
      </c>
      <c r="Q3475">
        <v>26</v>
      </c>
      <c r="R3475" t="s">
        <v>1269</v>
      </c>
      <c r="S3475">
        <v>0.59399999999999997</v>
      </c>
      <c r="T3475">
        <v>0.15629999999999999</v>
      </c>
      <c r="U3475">
        <f t="shared" si="287"/>
        <v>9.2999999999999999E-2</v>
      </c>
      <c r="V3475" t="str">
        <f t="shared" si="288"/>
        <v>Middle Health/
Related Services</v>
      </c>
      <c r="W3475" t="str">
        <f t="shared" si="289"/>
        <v>Health/
Related Services</v>
      </c>
    </row>
    <row r="3476" spans="1:23" x14ac:dyDescent="0.25">
      <c r="A3476">
        <v>39202</v>
      </c>
      <c r="B3476" t="s">
        <v>1291</v>
      </c>
      <c r="C3476">
        <v>0.63900000000000001</v>
      </c>
      <c r="D3476" t="s">
        <v>1264</v>
      </c>
      <c r="E3476">
        <v>100269</v>
      </c>
      <c r="F3476">
        <v>39202</v>
      </c>
      <c r="G3476" t="str">
        <f t="shared" si="290"/>
        <v>39202</v>
      </c>
      <c r="H3476" t="s">
        <v>593</v>
      </c>
      <c r="I3476" t="s">
        <v>1265</v>
      </c>
      <c r="J3476" t="s">
        <v>1266</v>
      </c>
      <c r="K3476" t="s">
        <v>1267</v>
      </c>
      <c r="L3476" t="s">
        <v>1291</v>
      </c>
      <c r="M3476" t="s">
        <v>1292</v>
      </c>
      <c r="N3476">
        <v>1</v>
      </c>
      <c r="O3476" t="str">
        <f t="shared" si="291"/>
        <v>26</v>
      </c>
      <c r="Q3476">
        <v>26</v>
      </c>
      <c r="R3476" t="s">
        <v>1269</v>
      </c>
      <c r="S3476">
        <v>0.63900000000000001</v>
      </c>
      <c r="T3476">
        <v>0.15629999999999999</v>
      </c>
      <c r="U3476">
        <f t="shared" si="287"/>
        <v>0</v>
      </c>
      <c r="V3476" t="str">
        <f t="shared" si="288"/>
        <v>Middle Health/
Related Services</v>
      </c>
      <c r="W3476" t="str">
        <f t="shared" si="289"/>
        <v>Health/
Related Services</v>
      </c>
    </row>
    <row r="3477" spans="1:23" x14ac:dyDescent="0.25">
      <c r="A3477">
        <v>39202</v>
      </c>
      <c r="B3477" t="s">
        <v>1350</v>
      </c>
      <c r="C3477">
        <v>1.7470000000000001</v>
      </c>
      <c r="D3477" t="s">
        <v>1264</v>
      </c>
      <c r="E3477">
        <v>100269</v>
      </c>
      <c r="F3477">
        <v>39202</v>
      </c>
      <c r="G3477" t="str">
        <f t="shared" si="290"/>
        <v>39202</v>
      </c>
      <c r="H3477" t="s">
        <v>593</v>
      </c>
      <c r="I3477" t="s">
        <v>1265</v>
      </c>
      <c r="J3477" t="s">
        <v>1276</v>
      </c>
      <c r="K3477" t="s">
        <v>1277</v>
      </c>
      <c r="L3477" t="s">
        <v>1350</v>
      </c>
      <c r="M3477" t="s">
        <v>1433</v>
      </c>
      <c r="N3477">
        <v>1</v>
      </c>
      <c r="O3477" t="str">
        <f t="shared" si="291"/>
        <v>35</v>
      </c>
      <c r="Q3477">
        <v>35</v>
      </c>
      <c r="R3477" t="s">
        <v>1269</v>
      </c>
      <c r="S3477">
        <v>1.7470000000000001</v>
      </c>
      <c r="T3477">
        <v>0.15629999999999999</v>
      </c>
      <c r="U3477">
        <f t="shared" si="287"/>
        <v>0</v>
      </c>
      <c r="V3477" t="str">
        <f t="shared" si="288"/>
        <v>Elementary Pupil Safety</v>
      </c>
      <c r="W3477" t="str">
        <f t="shared" si="289"/>
        <v>Pupil Safety</v>
      </c>
    </row>
    <row r="3478" spans="1:23" x14ac:dyDescent="0.25">
      <c r="A3478">
        <v>39202</v>
      </c>
      <c r="B3478" t="s">
        <v>1404</v>
      </c>
      <c r="C3478">
        <v>0.59399999999999997</v>
      </c>
      <c r="D3478" t="s">
        <v>1264</v>
      </c>
      <c r="E3478">
        <v>100269</v>
      </c>
      <c r="F3478">
        <v>39202</v>
      </c>
      <c r="G3478" t="str">
        <f t="shared" si="290"/>
        <v>39202</v>
      </c>
      <c r="H3478" t="s">
        <v>593</v>
      </c>
      <c r="I3478" t="s">
        <v>1265</v>
      </c>
      <c r="J3478" t="s">
        <v>1271</v>
      </c>
      <c r="K3478" t="s">
        <v>1272</v>
      </c>
      <c r="L3478" t="s">
        <v>1404</v>
      </c>
      <c r="M3478" t="s">
        <v>1443</v>
      </c>
      <c r="N3478">
        <v>21</v>
      </c>
      <c r="O3478" t="str">
        <f t="shared" si="291"/>
        <v>35</v>
      </c>
      <c r="Q3478">
        <v>35</v>
      </c>
      <c r="R3478" t="s">
        <v>1269</v>
      </c>
      <c r="S3478">
        <v>0.59399999999999997</v>
      </c>
      <c r="T3478">
        <v>0.15629999999999999</v>
      </c>
      <c r="U3478">
        <f t="shared" si="287"/>
        <v>9.2999999999999999E-2</v>
      </c>
      <c r="V3478" t="str">
        <f t="shared" si="288"/>
        <v>High Pupil Safety</v>
      </c>
      <c r="W3478" t="str">
        <f t="shared" si="289"/>
        <v>Pupil Safety</v>
      </c>
    </row>
    <row r="3479" spans="1:23" x14ac:dyDescent="0.25">
      <c r="A3479">
        <v>39202</v>
      </c>
      <c r="B3479" t="s">
        <v>1275</v>
      </c>
      <c r="C3479">
        <v>4.25</v>
      </c>
      <c r="D3479" t="s">
        <v>1264</v>
      </c>
      <c r="E3479">
        <v>100269</v>
      </c>
      <c r="F3479">
        <v>39202</v>
      </c>
      <c r="G3479" t="str">
        <f t="shared" si="290"/>
        <v>39202</v>
      </c>
      <c r="H3479" t="s">
        <v>593</v>
      </c>
      <c r="I3479" t="s">
        <v>1265</v>
      </c>
      <c r="J3479" t="s">
        <v>1276</v>
      </c>
      <c r="K3479" t="s">
        <v>1277</v>
      </c>
      <c r="L3479" t="s">
        <v>1275</v>
      </c>
      <c r="M3479" t="s">
        <v>1278</v>
      </c>
      <c r="N3479">
        <v>1</v>
      </c>
      <c r="O3479" t="str">
        <f t="shared" si="291"/>
        <v>42</v>
      </c>
      <c r="P3479">
        <v>42</v>
      </c>
      <c r="R3479" t="s">
        <v>1269</v>
      </c>
      <c r="S3479">
        <v>4.25</v>
      </c>
      <c r="T3479">
        <v>0.15629999999999999</v>
      </c>
      <c r="U3479">
        <f t="shared" si="287"/>
        <v>0</v>
      </c>
      <c r="V3479" t="str">
        <f t="shared" si="288"/>
        <v>Elementary Counselor</v>
      </c>
      <c r="W3479" t="str">
        <f t="shared" si="289"/>
        <v>Counselor</v>
      </c>
    </row>
    <row r="3480" spans="1:23" x14ac:dyDescent="0.25">
      <c r="A3480">
        <v>39202</v>
      </c>
      <c r="B3480" t="s">
        <v>1270</v>
      </c>
      <c r="C3480">
        <v>1.75</v>
      </c>
      <c r="D3480" t="s">
        <v>1264</v>
      </c>
      <c r="E3480">
        <v>100269</v>
      </c>
      <c r="F3480">
        <v>39202</v>
      </c>
      <c r="G3480" t="str">
        <f t="shared" si="290"/>
        <v>39202</v>
      </c>
      <c r="H3480" t="s">
        <v>593</v>
      </c>
      <c r="I3480" t="s">
        <v>1265</v>
      </c>
      <c r="J3480" t="s">
        <v>1271</v>
      </c>
      <c r="K3480" t="s">
        <v>1272</v>
      </c>
      <c r="L3480" t="s">
        <v>1270</v>
      </c>
      <c r="M3480" t="s">
        <v>1273</v>
      </c>
      <c r="N3480">
        <v>1</v>
      </c>
      <c r="O3480" t="str">
        <f t="shared" si="291"/>
        <v>42</v>
      </c>
      <c r="P3480">
        <v>42</v>
      </c>
      <c r="R3480" t="s">
        <v>1269</v>
      </c>
      <c r="S3480">
        <v>1.75</v>
      </c>
      <c r="T3480">
        <v>0.15629999999999999</v>
      </c>
      <c r="U3480">
        <f t="shared" si="287"/>
        <v>0</v>
      </c>
      <c r="V3480" t="str">
        <f t="shared" si="288"/>
        <v>High Counselor</v>
      </c>
      <c r="W3480" t="str">
        <f t="shared" si="289"/>
        <v>Counselor</v>
      </c>
    </row>
    <row r="3481" spans="1:23" x14ac:dyDescent="0.25">
      <c r="A3481">
        <v>39202</v>
      </c>
      <c r="B3481" t="s">
        <v>1263</v>
      </c>
      <c r="C3481">
        <v>0.75</v>
      </c>
      <c r="D3481" t="s">
        <v>1264</v>
      </c>
      <c r="E3481">
        <v>100269</v>
      </c>
      <c r="F3481">
        <v>39202</v>
      </c>
      <c r="G3481" t="str">
        <f t="shared" si="290"/>
        <v>39202</v>
      </c>
      <c r="H3481" t="s">
        <v>593</v>
      </c>
      <c r="I3481" t="s">
        <v>1265</v>
      </c>
      <c r="J3481" t="s">
        <v>1266</v>
      </c>
      <c r="K3481" t="s">
        <v>1267</v>
      </c>
      <c r="L3481" t="s">
        <v>1263</v>
      </c>
      <c r="M3481" t="s">
        <v>1268</v>
      </c>
      <c r="N3481">
        <v>1</v>
      </c>
      <c r="O3481" t="str">
        <f t="shared" si="291"/>
        <v>42</v>
      </c>
      <c r="P3481">
        <v>42</v>
      </c>
      <c r="R3481" t="s">
        <v>1269</v>
      </c>
      <c r="S3481">
        <v>0.75</v>
      </c>
      <c r="T3481">
        <v>0.15629999999999999</v>
      </c>
      <c r="U3481">
        <f t="shared" si="287"/>
        <v>0</v>
      </c>
      <c r="V3481" t="str">
        <f t="shared" si="288"/>
        <v>Middle Counselor</v>
      </c>
      <c r="W3481" t="str">
        <f t="shared" si="289"/>
        <v>Counselor</v>
      </c>
    </row>
    <row r="3482" spans="1:23" x14ac:dyDescent="0.25">
      <c r="A3482">
        <v>39202</v>
      </c>
      <c r="B3482" t="s">
        <v>1294</v>
      </c>
      <c r="C3482">
        <v>1.22</v>
      </c>
      <c r="D3482" t="s">
        <v>1264</v>
      </c>
      <c r="E3482">
        <v>100269</v>
      </c>
      <c r="F3482">
        <v>39202</v>
      </c>
      <c r="G3482" t="str">
        <f t="shared" si="290"/>
        <v>39202</v>
      </c>
      <c r="H3482" t="s">
        <v>593</v>
      </c>
      <c r="I3482" t="s">
        <v>1265</v>
      </c>
      <c r="J3482" t="s">
        <v>1276</v>
      </c>
      <c r="K3482" t="s">
        <v>1277</v>
      </c>
      <c r="L3482" t="s">
        <v>1294</v>
      </c>
      <c r="M3482" t="s">
        <v>1354</v>
      </c>
      <c r="N3482">
        <v>21</v>
      </c>
      <c r="O3482" t="str">
        <f t="shared" si="291"/>
        <v>45</v>
      </c>
      <c r="P3482">
        <v>45</v>
      </c>
      <c r="R3482" t="s">
        <v>1269</v>
      </c>
      <c r="S3482">
        <v>1.22</v>
      </c>
      <c r="T3482">
        <v>0.15629999999999999</v>
      </c>
      <c r="U3482">
        <f t="shared" si="287"/>
        <v>0.191</v>
      </c>
      <c r="V3482" t="str">
        <f t="shared" si="288"/>
        <v>Elementary Speech, Language Pathway/
Audio</v>
      </c>
      <c r="W3482" t="str">
        <f t="shared" si="289"/>
        <v>Speech, Language Pathway/
Audio</v>
      </c>
    </row>
    <row r="3483" spans="1:23" x14ac:dyDescent="0.25">
      <c r="A3483">
        <v>39202</v>
      </c>
      <c r="B3483" t="s">
        <v>1332</v>
      </c>
      <c r="C3483">
        <v>1</v>
      </c>
      <c r="D3483" t="s">
        <v>1264</v>
      </c>
      <c r="E3483">
        <v>100269</v>
      </c>
      <c r="F3483">
        <v>39202</v>
      </c>
      <c r="G3483" t="str">
        <f t="shared" si="290"/>
        <v>39202</v>
      </c>
      <c r="H3483" t="s">
        <v>593</v>
      </c>
      <c r="I3483" t="s">
        <v>1265</v>
      </c>
      <c r="J3483" t="s">
        <v>1276</v>
      </c>
      <c r="K3483" t="s">
        <v>1277</v>
      </c>
      <c r="L3483" t="s">
        <v>1332</v>
      </c>
      <c r="M3483" t="s">
        <v>1403</v>
      </c>
      <c r="N3483">
        <v>1</v>
      </c>
      <c r="O3483" t="str">
        <f t="shared" si="291"/>
        <v>45</v>
      </c>
      <c r="P3483">
        <v>45</v>
      </c>
      <c r="R3483" t="s">
        <v>1269</v>
      </c>
      <c r="S3483">
        <v>1</v>
      </c>
      <c r="T3483">
        <v>0.15629999999999999</v>
      </c>
      <c r="U3483">
        <f t="shared" si="287"/>
        <v>0</v>
      </c>
      <c r="V3483" t="str">
        <f t="shared" si="288"/>
        <v>Elementary Speech, Language Pathway/
Audio</v>
      </c>
      <c r="W3483" t="str">
        <f t="shared" si="289"/>
        <v>Speech, Language Pathway/
Audio</v>
      </c>
    </row>
    <row r="3484" spans="1:23" x14ac:dyDescent="0.25">
      <c r="A3484">
        <v>39202</v>
      </c>
      <c r="B3484" t="s">
        <v>1326</v>
      </c>
      <c r="C3484">
        <v>1.4390000000000001</v>
      </c>
      <c r="D3484" t="s">
        <v>1264</v>
      </c>
      <c r="E3484">
        <v>100269</v>
      </c>
      <c r="F3484">
        <v>39202</v>
      </c>
      <c r="G3484" t="str">
        <f t="shared" si="290"/>
        <v>39202</v>
      </c>
      <c r="H3484" t="s">
        <v>593</v>
      </c>
      <c r="I3484" t="s">
        <v>1265</v>
      </c>
      <c r="J3484" t="s">
        <v>1271</v>
      </c>
      <c r="K3484" t="s">
        <v>1272</v>
      </c>
      <c r="L3484" t="s">
        <v>1326</v>
      </c>
      <c r="M3484" t="s">
        <v>1353</v>
      </c>
      <c r="N3484">
        <v>21</v>
      </c>
      <c r="O3484" t="str">
        <f t="shared" si="291"/>
        <v>45</v>
      </c>
      <c r="P3484">
        <v>45</v>
      </c>
      <c r="R3484" t="s">
        <v>1269</v>
      </c>
      <c r="S3484">
        <v>1.4390000000000001</v>
      </c>
      <c r="T3484">
        <v>0.15629999999999999</v>
      </c>
      <c r="U3484">
        <f t="shared" si="287"/>
        <v>0.22500000000000001</v>
      </c>
      <c r="V3484" t="str">
        <f t="shared" si="288"/>
        <v>High Speech, Language Pathway/
Audio</v>
      </c>
      <c r="W3484" t="str">
        <f t="shared" si="289"/>
        <v>Speech, Language Pathway/
Audio</v>
      </c>
    </row>
    <row r="3485" spans="1:23" x14ac:dyDescent="0.25">
      <c r="A3485">
        <v>39202</v>
      </c>
      <c r="B3485" t="s">
        <v>1312</v>
      </c>
      <c r="C3485">
        <v>0.22</v>
      </c>
      <c r="D3485" t="s">
        <v>1264</v>
      </c>
      <c r="E3485">
        <v>100269</v>
      </c>
      <c r="F3485">
        <v>39202</v>
      </c>
      <c r="G3485" t="str">
        <f t="shared" si="290"/>
        <v>39202</v>
      </c>
      <c r="H3485" t="s">
        <v>593</v>
      </c>
      <c r="I3485" t="s">
        <v>1265</v>
      </c>
      <c r="J3485" t="s">
        <v>1266</v>
      </c>
      <c r="K3485" t="s">
        <v>1267</v>
      </c>
      <c r="L3485" t="s">
        <v>1312</v>
      </c>
      <c r="M3485" t="s">
        <v>1351</v>
      </c>
      <c r="N3485">
        <v>21</v>
      </c>
      <c r="O3485" t="str">
        <f t="shared" si="291"/>
        <v>45</v>
      </c>
      <c r="P3485">
        <v>45</v>
      </c>
      <c r="R3485" t="s">
        <v>1269</v>
      </c>
      <c r="S3485">
        <v>0.22</v>
      </c>
      <c r="T3485">
        <v>0.15629999999999999</v>
      </c>
      <c r="U3485">
        <f t="shared" si="287"/>
        <v>3.4000000000000002E-2</v>
      </c>
      <c r="V3485" t="str">
        <f t="shared" si="288"/>
        <v>Middle Speech, Language Pathway/
Audio</v>
      </c>
      <c r="W3485" t="str">
        <f t="shared" si="289"/>
        <v>Speech, Language Pathway/
Audio</v>
      </c>
    </row>
    <row r="3486" spans="1:23" x14ac:dyDescent="0.25">
      <c r="A3486">
        <v>39202</v>
      </c>
      <c r="B3486" t="s">
        <v>1298</v>
      </c>
      <c r="C3486">
        <v>2.75</v>
      </c>
      <c r="D3486" t="s">
        <v>1264</v>
      </c>
      <c r="E3486">
        <v>100269</v>
      </c>
      <c r="F3486">
        <v>39202</v>
      </c>
      <c r="G3486" t="str">
        <f t="shared" si="290"/>
        <v>39202</v>
      </c>
      <c r="H3486" t="s">
        <v>593</v>
      </c>
      <c r="I3486" t="s">
        <v>1265</v>
      </c>
      <c r="J3486" t="s">
        <v>1276</v>
      </c>
      <c r="K3486" t="s">
        <v>1277</v>
      </c>
      <c r="L3486" t="s">
        <v>1298</v>
      </c>
      <c r="M3486" t="s">
        <v>1349</v>
      </c>
      <c r="N3486">
        <v>21</v>
      </c>
      <c r="O3486" t="str">
        <f t="shared" si="291"/>
        <v>46</v>
      </c>
      <c r="P3486">
        <v>46</v>
      </c>
      <c r="R3486" t="s">
        <v>1269</v>
      </c>
      <c r="S3486">
        <v>2.75</v>
      </c>
      <c r="T3486">
        <v>0.15629999999999999</v>
      </c>
      <c r="U3486">
        <f t="shared" si="287"/>
        <v>0.43</v>
      </c>
      <c r="V3486" t="str">
        <f t="shared" si="288"/>
        <v>Elementary Psychologist</v>
      </c>
      <c r="W3486" t="str">
        <f t="shared" si="289"/>
        <v>Psychologist</v>
      </c>
    </row>
    <row r="3487" spans="1:23" x14ac:dyDescent="0.25">
      <c r="A3487">
        <v>39202</v>
      </c>
      <c r="B3487" t="s">
        <v>1309</v>
      </c>
      <c r="C3487">
        <v>1</v>
      </c>
      <c r="D3487" t="s">
        <v>1264</v>
      </c>
      <c r="E3487">
        <v>100269</v>
      </c>
      <c r="F3487">
        <v>39202</v>
      </c>
      <c r="G3487" t="str">
        <f t="shared" si="290"/>
        <v>39202</v>
      </c>
      <c r="H3487" t="s">
        <v>593</v>
      </c>
      <c r="I3487" t="s">
        <v>1265</v>
      </c>
      <c r="J3487" t="s">
        <v>1271</v>
      </c>
      <c r="K3487" t="s">
        <v>1272</v>
      </c>
      <c r="L3487" t="s">
        <v>1309</v>
      </c>
      <c r="M3487" t="s">
        <v>1310</v>
      </c>
      <c r="N3487">
        <v>21</v>
      </c>
      <c r="O3487" t="str">
        <f t="shared" si="291"/>
        <v>46</v>
      </c>
      <c r="P3487">
        <v>46</v>
      </c>
      <c r="R3487" t="s">
        <v>1269</v>
      </c>
      <c r="S3487">
        <v>1</v>
      </c>
      <c r="T3487">
        <v>0.15629999999999999</v>
      </c>
      <c r="U3487">
        <f t="shared" si="287"/>
        <v>0.156</v>
      </c>
      <c r="V3487" t="str">
        <f t="shared" si="288"/>
        <v>High Psychologist</v>
      </c>
      <c r="W3487" t="str">
        <f t="shared" si="289"/>
        <v>Psychologist</v>
      </c>
    </row>
    <row r="3488" spans="1:23" x14ac:dyDescent="0.25">
      <c r="A3488">
        <v>39202</v>
      </c>
      <c r="B3488" t="s">
        <v>1345</v>
      </c>
      <c r="C3488">
        <v>0.75</v>
      </c>
      <c r="D3488" t="s">
        <v>1264</v>
      </c>
      <c r="E3488">
        <v>100269</v>
      </c>
      <c r="F3488">
        <v>39202</v>
      </c>
      <c r="G3488" t="str">
        <f t="shared" si="290"/>
        <v>39202</v>
      </c>
      <c r="H3488" t="s">
        <v>593</v>
      </c>
      <c r="I3488" t="s">
        <v>1265</v>
      </c>
      <c r="J3488" t="s">
        <v>1266</v>
      </c>
      <c r="K3488" t="s">
        <v>1267</v>
      </c>
      <c r="L3488" t="s">
        <v>1345</v>
      </c>
      <c r="M3488" t="s">
        <v>1346</v>
      </c>
      <c r="N3488">
        <v>21</v>
      </c>
      <c r="O3488" t="str">
        <f t="shared" si="291"/>
        <v>46</v>
      </c>
      <c r="P3488">
        <v>46</v>
      </c>
      <c r="R3488" t="s">
        <v>1269</v>
      </c>
      <c r="S3488">
        <v>0.75</v>
      </c>
      <c r="T3488">
        <v>0.15629999999999999</v>
      </c>
      <c r="U3488">
        <f t="shared" si="287"/>
        <v>0.11700000000000001</v>
      </c>
      <c r="V3488" t="str">
        <f t="shared" si="288"/>
        <v>Middle Psychologist</v>
      </c>
      <c r="W3488" t="str">
        <f t="shared" si="289"/>
        <v>Psychologist</v>
      </c>
    </row>
    <row r="3489" spans="1:23" x14ac:dyDescent="0.25">
      <c r="A3489">
        <v>39202</v>
      </c>
      <c r="B3489" t="s">
        <v>1302</v>
      </c>
      <c r="C3489">
        <v>0.5</v>
      </c>
      <c r="D3489" t="s">
        <v>1264</v>
      </c>
      <c r="E3489">
        <v>100269</v>
      </c>
      <c r="F3489">
        <v>39202</v>
      </c>
      <c r="G3489" t="str">
        <f t="shared" si="290"/>
        <v>39202</v>
      </c>
      <c r="H3489" t="s">
        <v>593</v>
      </c>
      <c r="I3489" t="s">
        <v>1265</v>
      </c>
      <c r="J3489" t="s">
        <v>1276</v>
      </c>
      <c r="K3489" t="s">
        <v>1277</v>
      </c>
      <c r="L3489" t="s">
        <v>1302</v>
      </c>
      <c r="M3489" t="s">
        <v>1336</v>
      </c>
      <c r="N3489">
        <v>21</v>
      </c>
      <c r="O3489" t="str">
        <f t="shared" si="291"/>
        <v>48</v>
      </c>
      <c r="P3489">
        <v>48</v>
      </c>
      <c r="R3489" t="s">
        <v>1269</v>
      </c>
      <c r="S3489">
        <v>0.5</v>
      </c>
      <c r="T3489">
        <v>0.15629999999999999</v>
      </c>
      <c r="U3489">
        <f t="shared" si="287"/>
        <v>7.8E-2</v>
      </c>
      <c r="V3489" t="str">
        <f t="shared" si="288"/>
        <v>Elementary Physical Therapist</v>
      </c>
      <c r="W3489" t="str">
        <f t="shared" si="289"/>
        <v>Physical Therapist</v>
      </c>
    </row>
    <row r="3490" spans="1:23" x14ac:dyDescent="0.25">
      <c r="A3490">
        <v>39202</v>
      </c>
      <c r="B3490" t="s">
        <v>1330</v>
      </c>
      <c r="C3490">
        <v>0.5</v>
      </c>
      <c r="D3490" t="s">
        <v>1264</v>
      </c>
      <c r="E3490">
        <v>100269</v>
      </c>
      <c r="F3490">
        <v>39202</v>
      </c>
      <c r="G3490" t="str">
        <f t="shared" si="290"/>
        <v>39202</v>
      </c>
      <c r="H3490" t="s">
        <v>593</v>
      </c>
      <c r="I3490" t="s">
        <v>1265</v>
      </c>
      <c r="J3490" t="s">
        <v>1271</v>
      </c>
      <c r="K3490" t="s">
        <v>1272</v>
      </c>
      <c r="L3490" t="s">
        <v>1330</v>
      </c>
      <c r="M3490" t="s">
        <v>1367</v>
      </c>
      <c r="N3490">
        <v>21</v>
      </c>
      <c r="O3490" t="str">
        <f t="shared" si="291"/>
        <v>48</v>
      </c>
      <c r="P3490">
        <v>48</v>
      </c>
      <c r="R3490" t="s">
        <v>1269</v>
      </c>
      <c r="S3490">
        <v>0.5</v>
      </c>
      <c r="T3490">
        <v>0.15629999999999999</v>
      </c>
      <c r="U3490">
        <f t="shared" si="287"/>
        <v>7.8E-2</v>
      </c>
      <c r="V3490" t="str">
        <f t="shared" si="288"/>
        <v>High Physical Therapist</v>
      </c>
      <c r="W3490" t="str">
        <f t="shared" si="289"/>
        <v>Physical Therapist</v>
      </c>
    </row>
    <row r="3491" spans="1:23" x14ac:dyDescent="0.25">
      <c r="A3491">
        <v>39202</v>
      </c>
      <c r="B3491" t="s">
        <v>1340</v>
      </c>
      <c r="C3491">
        <v>1</v>
      </c>
      <c r="D3491" t="s">
        <v>1264</v>
      </c>
      <c r="E3491">
        <v>100269</v>
      </c>
      <c r="F3491">
        <v>39202</v>
      </c>
      <c r="G3491" t="str">
        <f t="shared" si="290"/>
        <v>39202</v>
      </c>
      <c r="H3491" t="s">
        <v>593</v>
      </c>
      <c r="I3491" t="s">
        <v>1265</v>
      </c>
      <c r="J3491" t="s">
        <v>1276</v>
      </c>
      <c r="K3491" t="s">
        <v>1277</v>
      </c>
      <c r="L3491" t="s">
        <v>1340</v>
      </c>
      <c r="M3491" t="s">
        <v>1395</v>
      </c>
      <c r="N3491">
        <v>21</v>
      </c>
      <c r="O3491" t="str">
        <f t="shared" si="291"/>
        <v>49</v>
      </c>
      <c r="P3491">
        <v>49</v>
      </c>
      <c r="R3491" t="s">
        <v>1269</v>
      </c>
      <c r="S3491">
        <v>1</v>
      </c>
      <c r="T3491">
        <v>0.15629999999999999</v>
      </c>
      <c r="U3491">
        <f t="shared" si="287"/>
        <v>0.156</v>
      </c>
      <c r="V3491" t="str">
        <f t="shared" si="288"/>
        <v>Elementary Behavior Analyst</v>
      </c>
      <c r="W3491" t="str">
        <f t="shared" si="289"/>
        <v>Behavior Analyst</v>
      </c>
    </row>
    <row r="3492" spans="1:23" x14ac:dyDescent="0.25">
      <c r="A3492">
        <v>39202</v>
      </c>
      <c r="B3492" t="s">
        <v>1392</v>
      </c>
      <c r="C3492">
        <v>1</v>
      </c>
      <c r="D3492" t="s">
        <v>1264</v>
      </c>
      <c r="E3492">
        <v>100269</v>
      </c>
      <c r="F3492">
        <v>39202</v>
      </c>
      <c r="G3492" t="str">
        <f t="shared" si="290"/>
        <v>39202</v>
      </c>
      <c r="H3492" t="s">
        <v>593</v>
      </c>
      <c r="I3492" t="s">
        <v>1265</v>
      </c>
      <c r="J3492" t="s">
        <v>1271</v>
      </c>
      <c r="K3492" t="s">
        <v>1272</v>
      </c>
      <c r="L3492" t="s">
        <v>1392</v>
      </c>
      <c r="M3492" t="s">
        <v>1393</v>
      </c>
      <c r="N3492">
        <v>21</v>
      </c>
      <c r="O3492" t="str">
        <f t="shared" si="291"/>
        <v>49</v>
      </c>
      <c r="P3492">
        <v>49</v>
      </c>
      <c r="R3492" t="s">
        <v>1269</v>
      </c>
      <c r="S3492">
        <v>1</v>
      </c>
      <c r="T3492">
        <v>0.15629999999999999</v>
      </c>
      <c r="U3492">
        <f t="shared" si="287"/>
        <v>0.156</v>
      </c>
      <c r="V3492" t="str">
        <f t="shared" si="288"/>
        <v>High Behavior Analyst</v>
      </c>
      <c r="W3492" t="str">
        <f t="shared" si="289"/>
        <v>Behavior Analyst</v>
      </c>
    </row>
    <row r="3493" spans="1:23" x14ac:dyDescent="0.25">
      <c r="A3493">
        <v>39203</v>
      </c>
      <c r="B3493" t="s">
        <v>1295</v>
      </c>
      <c r="C3493">
        <v>1.01</v>
      </c>
      <c r="D3493" t="s">
        <v>1264</v>
      </c>
      <c r="E3493">
        <v>100104</v>
      </c>
      <c r="F3493">
        <v>39203</v>
      </c>
      <c r="G3493" t="str">
        <f t="shared" si="290"/>
        <v>39203</v>
      </c>
      <c r="H3493" t="s">
        <v>594</v>
      </c>
      <c r="I3493" t="s">
        <v>1265</v>
      </c>
      <c r="J3493" t="s">
        <v>1271</v>
      </c>
      <c r="K3493" t="s">
        <v>1272</v>
      </c>
      <c r="L3493" t="s">
        <v>1295</v>
      </c>
      <c r="M3493" t="s">
        <v>1296</v>
      </c>
      <c r="N3493">
        <v>1</v>
      </c>
      <c r="O3493" t="str">
        <f t="shared" si="291"/>
        <v>26</v>
      </c>
      <c r="Q3493">
        <v>26</v>
      </c>
      <c r="R3493" t="s">
        <v>1269</v>
      </c>
      <c r="S3493">
        <v>1.01</v>
      </c>
      <c r="T3493">
        <v>0.25080000000000002</v>
      </c>
      <c r="U3493">
        <f t="shared" si="287"/>
        <v>0</v>
      </c>
      <c r="V3493" t="str">
        <f t="shared" si="288"/>
        <v>High Health/
Related Services</v>
      </c>
      <c r="W3493" t="str">
        <f t="shared" si="289"/>
        <v>Health/
Related Services</v>
      </c>
    </row>
    <row r="3494" spans="1:23" x14ac:dyDescent="0.25">
      <c r="A3494">
        <v>39203</v>
      </c>
      <c r="B3494" t="s">
        <v>1275</v>
      </c>
      <c r="C3494">
        <v>1</v>
      </c>
      <c r="D3494" t="s">
        <v>1264</v>
      </c>
      <c r="E3494">
        <v>100104</v>
      </c>
      <c r="F3494">
        <v>39203</v>
      </c>
      <c r="G3494" t="str">
        <f t="shared" si="290"/>
        <v>39203</v>
      </c>
      <c r="H3494" t="s">
        <v>594</v>
      </c>
      <c r="I3494" t="s">
        <v>1265</v>
      </c>
      <c r="J3494" t="s">
        <v>1276</v>
      </c>
      <c r="K3494" t="s">
        <v>1277</v>
      </c>
      <c r="L3494" t="s">
        <v>1275</v>
      </c>
      <c r="M3494" t="s">
        <v>1278</v>
      </c>
      <c r="N3494">
        <v>1</v>
      </c>
      <c r="O3494" t="str">
        <f t="shared" si="291"/>
        <v>42</v>
      </c>
      <c r="P3494">
        <v>42</v>
      </c>
      <c r="R3494" t="s">
        <v>1269</v>
      </c>
      <c r="S3494">
        <v>1</v>
      </c>
      <c r="T3494">
        <v>0.25080000000000002</v>
      </c>
      <c r="U3494">
        <f t="shared" si="287"/>
        <v>0</v>
      </c>
      <c r="V3494" t="str">
        <f t="shared" si="288"/>
        <v>Elementary Counselor</v>
      </c>
      <c r="W3494" t="str">
        <f t="shared" si="289"/>
        <v>Counselor</v>
      </c>
    </row>
    <row r="3495" spans="1:23" x14ac:dyDescent="0.25">
      <c r="A3495">
        <v>39203</v>
      </c>
      <c r="B3495" t="s">
        <v>1270</v>
      </c>
      <c r="C3495">
        <v>1</v>
      </c>
      <c r="D3495" t="s">
        <v>1264</v>
      </c>
      <c r="E3495">
        <v>100104</v>
      </c>
      <c r="F3495">
        <v>39203</v>
      </c>
      <c r="G3495" t="str">
        <f t="shared" si="290"/>
        <v>39203</v>
      </c>
      <c r="H3495" t="s">
        <v>594</v>
      </c>
      <c r="I3495" t="s">
        <v>1265</v>
      </c>
      <c r="J3495" t="s">
        <v>1271</v>
      </c>
      <c r="K3495" t="s">
        <v>1272</v>
      </c>
      <c r="L3495" t="s">
        <v>1270</v>
      </c>
      <c r="M3495" t="s">
        <v>1273</v>
      </c>
      <c r="N3495">
        <v>1</v>
      </c>
      <c r="O3495" t="str">
        <f t="shared" si="291"/>
        <v>42</v>
      </c>
      <c r="P3495">
        <v>42</v>
      </c>
      <c r="R3495" t="s">
        <v>1269</v>
      </c>
      <c r="S3495">
        <v>1</v>
      </c>
      <c r="T3495">
        <v>0.25080000000000002</v>
      </c>
      <c r="U3495">
        <f t="shared" si="287"/>
        <v>0</v>
      </c>
      <c r="V3495" t="str">
        <f t="shared" si="288"/>
        <v>High Counselor</v>
      </c>
      <c r="W3495" t="str">
        <f t="shared" si="289"/>
        <v>Counselor</v>
      </c>
    </row>
    <row r="3496" spans="1:23" x14ac:dyDescent="0.25">
      <c r="A3496">
        <v>39203</v>
      </c>
      <c r="B3496" t="s">
        <v>1263</v>
      </c>
      <c r="C3496">
        <v>1</v>
      </c>
      <c r="D3496" t="s">
        <v>1264</v>
      </c>
      <c r="E3496">
        <v>100104</v>
      </c>
      <c r="F3496">
        <v>39203</v>
      </c>
      <c r="G3496" t="str">
        <f t="shared" si="290"/>
        <v>39203</v>
      </c>
      <c r="H3496" t="s">
        <v>594</v>
      </c>
      <c r="I3496" t="s">
        <v>1265</v>
      </c>
      <c r="J3496" t="s">
        <v>1266</v>
      </c>
      <c r="K3496" t="s">
        <v>1267</v>
      </c>
      <c r="L3496" t="s">
        <v>1263</v>
      </c>
      <c r="M3496" t="s">
        <v>1268</v>
      </c>
      <c r="N3496">
        <v>1</v>
      </c>
      <c r="O3496" t="str">
        <f t="shared" si="291"/>
        <v>42</v>
      </c>
      <c r="P3496">
        <v>42</v>
      </c>
      <c r="R3496" t="s">
        <v>1269</v>
      </c>
      <c r="S3496">
        <v>1</v>
      </c>
      <c r="T3496">
        <v>0.25080000000000002</v>
      </c>
      <c r="U3496">
        <f t="shared" si="287"/>
        <v>0</v>
      </c>
      <c r="V3496" t="str">
        <f t="shared" si="288"/>
        <v>Middle Counselor</v>
      </c>
      <c r="W3496" t="str">
        <f t="shared" si="289"/>
        <v>Counselor</v>
      </c>
    </row>
    <row r="3497" spans="1:23" x14ac:dyDescent="0.25">
      <c r="A3497">
        <v>39203</v>
      </c>
      <c r="B3497" t="s">
        <v>1294</v>
      </c>
      <c r="C3497">
        <v>0.5</v>
      </c>
      <c r="D3497" t="s">
        <v>1264</v>
      </c>
      <c r="E3497">
        <v>100104</v>
      </c>
      <c r="F3497">
        <v>39203</v>
      </c>
      <c r="G3497" t="str">
        <f t="shared" si="290"/>
        <v>39203</v>
      </c>
      <c r="H3497" t="s">
        <v>594</v>
      </c>
      <c r="I3497" t="s">
        <v>1265</v>
      </c>
      <c r="J3497" t="s">
        <v>1276</v>
      </c>
      <c r="K3497" t="s">
        <v>1277</v>
      </c>
      <c r="L3497" t="s">
        <v>1294</v>
      </c>
      <c r="M3497" t="s">
        <v>1354</v>
      </c>
      <c r="N3497">
        <v>21</v>
      </c>
      <c r="O3497" t="str">
        <f t="shared" si="291"/>
        <v>45</v>
      </c>
      <c r="P3497">
        <v>45</v>
      </c>
      <c r="R3497" t="s">
        <v>1269</v>
      </c>
      <c r="S3497">
        <v>0.5</v>
      </c>
      <c r="T3497">
        <v>0.25080000000000002</v>
      </c>
      <c r="U3497">
        <f t="shared" si="287"/>
        <v>0.125</v>
      </c>
      <c r="V3497" t="str">
        <f t="shared" si="288"/>
        <v>Elementary Speech, Language Pathway/
Audio</v>
      </c>
      <c r="W3497" t="str">
        <f t="shared" si="289"/>
        <v>Speech, Language Pathway/
Audio</v>
      </c>
    </row>
    <row r="3498" spans="1:23" x14ac:dyDescent="0.25">
      <c r="A3498">
        <v>39203</v>
      </c>
      <c r="B3498" t="s">
        <v>1312</v>
      </c>
      <c r="C3498">
        <v>0.5</v>
      </c>
      <c r="D3498" t="s">
        <v>1264</v>
      </c>
      <c r="E3498">
        <v>100104</v>
      </c>
      <c r="F3498">
        <v>39203</v>
      </c>
      <c r="G3498" t="str">
        <f t="shared" si="290"/>
        <v>39203</v>
      </c>
      <c r="H3498" t="s">
        <v>594</v>
      </c>
      <c r="I3498" t="s">
        <v>1265</v>
      </c>
      <c r="J3498" t="s">
        <v>1266</v>
      </c>
      <c r="K3498" t="s">
        <v>1267</v>
      </c>
      <c r="L3498" t="s">
        <v>1312</v>
      </c>
      <c r="M3498" t="s">
        <v>1351</v>
      </c>
      <c r="N3498">
        <v>21</v>
      </c>
      <c r="O3498" t="str">
        <f t="shared" si="291"/>
        <v>45</v>
      </c>
      <c r="P3498">
        <v>45</v>
      </c>
      <c r="R3498" t="s">
        <v>1269</v>
      </c>
      <c r="S3498">
        <v>0.5</v>
      </c>
      <c r="T3498">
        <v>0.25080000000000002</v>
      </c>
      <c r="U3498">
        <f t="shared" si="287"/>
        <v>0.125</v>
      </c>
      <c r="V3498" t="str">
        <f t="shared" si="288"/>
        <v>Middle Speech, Language Pathway/
Audio</v>
      </c>
      <c r="W3498" t="str">
        <f t="shared" si="289"/>
        <v>Speech, Language Pathway/
Audio</v>
      </c>
    </row>
    <row r="3499" spans="1:23" x14ac:dyDescent="0.25">
      <c r="A3499">
        <v>39203</v>
      </c>
      <c r="B3499" t="s">
        <v>1298</v>
      </c>
      <c r="C3499">
        <v>1</v>
      </c>
      <c r="D3499" t="s">
        <v>1264</v>
      </c>
      <c r="E3499">
        <v>100104</v>
      </c>
      <c r="F3499">
        <v>39203</v>
      </c>
      <c r="G3499" t="str">
        <f t="shared" si="290"/>
        <v>39203</v>
      </c>
      <c r="H3499" t="s">
        <v>594</v>
      </c>
      <c r="I3499" t="s">
        <v>1265</v>
      </c>
      <c r="J3499" t="s">
        <v>1276</v>
      </c>
      <c r="K3499" t="s">
        <v>1277</v>
      </c>
      <c r="L3499" t="s">
        <v>1298</v>
      </c>
      <c r="M3499" t="s">
        <v>1349</v>
      </c>
      <c r="N3499">
        <v>21</v>
      </c>
      <c r="O3499" t="str">
        <f t="shared" si="291"/>
        <v>46</v>
      </c>
      <c r="P3499">
        <v>46</v>
      </c>
      <c r="R3499" t="s">
        <v>1269</v>
      </c>
      <c r="S3499">
        <v>1</v>
      </c>
      <c r="T3499">
        <v>0.25080000000000002</v>
      </c>
      <c r="U3499">
        <f t="shared" si="287"/>
        <v>0.251</v>
      </c>
      <c r="V3499" t="str">
        <f t="shared" si="288"/>
        <v>Elementary Psychologist</v>
      </c>
      <c r="W3499" t="str">
        <f t="shared" si="289"/>
        <v>Psychologist</v>
      </c>
    </row>
    <row r="3500" spans="1:23" x14ac:dyDescent="0.25">
      <c r="A3500">
        <v>39204</v>
      </c>
      <c r="B3500" t="s">
        <v>1290</v>
      </c>
      <c r="C3500">
        <v>0.76900000000000002</v>
      </c>
      <c r="D3500" t="s">
        <v>1264</v>
      </c>
      <c r="E3500">
        <v>100097</v>
      </c>
      <c r="F3500">
        <v>39204</v>
      </c>
      <c r="G3500" t="str">
        <f t="shared" si="290"/>
        <v>39204</v>
      </c>
      <c r="H3500" t="s">
        <v>595</v>
      </c>
      <c r="I3500" t="s">
        <v>1265</v>
      </c>
      <c r="J3500" t="s">
        <v>1271</v>
      </c>
      <c r="K3500" t="s">
        <v>1272</v>
      </c>
      <c r="L3500" t="s">
        <v>1290</v>
      </c>
      <c r="M3500" t="s">
        <v>1412</v>
      </c>
      <c r="N3500">
        <v>97</v>
      </c>
      <c r="O3500" t="str">
        <f t="shared" si="291"/>
        <v>25</v>
      </c>
      <c r="Q3500">
        <v>25</v>
      </c>
      <c r="R3500" t="s">
        <v>1269</v>
      </c>
      <c r="S3500">
        <v>0.76900000000000002</v>
      </c>
      <c r="T3500">
        <v>0.27610000000000001</v>
      </c>
      <c r="U3500">
        <f t="shared" si="287"/>
        <v>0</v>
      </c>
      <c r="V3500" t="str">
        <f t="shared" si="288"/>
        <v>High Pupil Management</v>
      </c>
      <c r="W3500" t="str">
        <f t="shared" si="289"/>
        <v>Pupil Management</v>
      </c>
    </row>
    <row r="3501" spans="1:23" x14ac:dyDescent="0.25">
      <c r="A3501">
        <v>39204</v>
      </c>
      <c r="B3501" t="s">
        <v>1324</v>
      </c>
      <c r="C3501">
        <v>1.837</v>
      </c>
      <c r="D3501" t="s">
        <v>1264</v>
      </c>
      <c r="E3501">
        <v>100097</v>
      </c>
      <c r="F3501">
        <v>39204</v>
      </c>
      <c r="G3501" t="str">
        <f t="shared" si="290"/>
        <v>39204</v>
      </c>
      <c r="H3501" t="s">
        <v>595</v>
      </c>
      <c r="I3501" t="s">
        <v>1265</v>
      </c>
      <c r="J3501" t="s">
        <v>1271</v>
      </c>
      <c r="K3501" t="s">
        <v>1272</v>
      </c>
      <c r="L3501" t="s">
        <v>1324</v>
      </c>
      <c r="M3501" t="s">
        <v>1325</v>
      </c>
      <c r="N3501">
        <v>21</v>
      </c>
      <c r="O3501" t="str">
        <f t="shared" si="291"/>
        <v>26</v>
      </c>
      <c r="Q3501">
        <v>26</v>
      </c>
      <c r="R3501" t="s">
        <v>1269</v>
      </c>
      <c r="S3501">
        <v>1.837</v>
      </c>
      <c r="T3501">
        <v>0.27610000000000001</v>
      </c>
      <c r="U3501">
        <f t="shared" si="287"/>
        <v>0.50700000000000001</v>
      </c>
      <c r="V3501" t="str">
        <f t="shared" si="288"/>
        <v>High Health/
Related Services</v>
      </c>
      <c r="W3501" t="str">
        <f t="shared" si="289"/>
        <v>Health/
Related Services</v>
      </c>
    </row>
    <row r="3502" spans="1:23" x14ac:dyDescent="0.25">
      <c r="A3502">
        <v>39204</v>
      </c>
      <c r="B3502" t="s">
        <v>1295</v>
      </c>
      <c r="C3502">
        <v>1.2669999999999999</v>
      </c>
      <c r="D3502" t="s">
        <v>1264</v>
      </c>
      <c r="E3502">
        <v>100097</v>
      </c>
      <c r="F3502">
        <v>39204</v>
      </c>
      <c r="G3502" t="str">
        <f t="shared" si="290"/>
        <v>39204</v>
      </c>
      <c r="H3502" t="s">
        <v>595</v>
      </c>
      <c r="I3502" t="s">
        <v>1265</v>
      </c>
      <c r="J3502" t="s">
        <v>1271</v>
      </c>
      <c r="K3502" t="s">
        <v>1272</v>
      </c>
      <c r="L3502" t="s">
        <v>1295</v>
      </c>
      <c r="M3502" t="s">
        <v>1296</v>
      </c>
      <c r="N3502">
        <v>1</v>
      </c>
      <c r="O3502" t="str">
        <f t="shared" si="291"/>
        <v>26</v>
      </c>
      <c r="Q3502">
        <v>26</v>
      </c>
      <c r="R3502" t="s">
        <v>1269</v>
      </c>
      <c r="S3502">
        <v>1.2669999999999999</v>
      </c>
      <c r="T3502">
        <v>0.27610000000000001</v>
      </c>
      <c r="U3502">
        <f t="shared" si="287"/>
        <v>0</v>
      </c>
      <c r="V3502" t="str">
        <f t="shared" si="288"/>
        <v>High Health/
Related Services</v>
      </c>
      <c r="W3502" t="str">
        <f t="shared" si="289"/>
        <v>Health/
Related Services</v>
      </c>
    </row>
    <row r="3503" spans="1:23" x14ac:dyDescent="0.25">
      <c r="A3503">
        <v>39204</v>
      </c>
      <c r="B3503" t="s">
        <v>1275</v>
      </c>
      <c r="C3503">
        <v>2</v>
      </c>
      <c r="D3503" t="s">
        <v>1264</v>
      </c>
      <c r="E3503">
        <v>100097</v>
      </c>
      <c r="F3503">
        <v>39204</v>
      </c>
      <c r="G3503" t="str">
        <f t="shared" si="290"/>
        <v>39204</v>
      </c>
      <c r="H3503" t="s">
        <v>595</v>
      </c>
      <c r="I3503" t="s">
        <v>1265</v>
      </c>
      <c r="J3503" t="s">
        <v>1276</v>
      </c>
      <c r="K3503" t="s">
        <v>1277</v>
      </c>
      <c r="L3503" t="s">
        <v>1275</v>
      </c>
      <c r="M3503" t="s">
        <v>1278</v>
      </c>
      <c r="N3503">
        <v>1</v>
      </c>
      <c r="O3503" t="str">
        <f t="shared" si="291"/>
        <v>42</v>
      </c>
      <c r="P3503">
        <v>42</v>
      </c>
      <c r="R3503" t="s">
        <v>1269</v>
      </c>
      <c r="S3503">
        <v>2</v>
      </c>
      <c r="T3503">
        <v>0.27610000000000001</v>
      </c>
      <c r="U3503">
        <f t="shared" si="287"/>
        <v>0</v>
      </c>
      <c r="V3503" t="str">
        <f t="shared" si="288"/>
        <v>Elementary Counselor</v>
      </c>
      <c r="W3503" t="str">
        <f t="shared" si="289"/>
        <v>Counselor</v>
      </c>
    </row>
    <row r="3504" spans="1:23" x14ac:dyDescent="0.25">
      <c r="A3504">
        <v>39204</v>
      </c>
      <c r="B3504" t="s">
        <v>1270</v>
      </c>
      <c r="C3504">
        <v>1.38</v>
      </c>
      <c r="D3504" t="s">
        <v>1264</v>
      </c>
      <c r="E3504">
        <v>100097</v>
      </c>
      <c r="F3504">
        <v>39204</v>
      </c>
      <c r="G3504" t="str">
        <f t="shared" si="290"/>
        <v>39204</v>
      </c>
      <c r="H3504" t="s">
        <v>595</v>
      </c>
      <c r="I3504" t="s">
        <v>1265</v>
      </c>
      <c r="J3504" t="s">
        <v>1271</v>
      </c>
      <c r="K3504" t="s">
        <v>1272</v>
      </c>
      <c r="L3504" t="s">
        <v>1270</v>
      </c>
      <c r="M3504" t="s">
        <v>1273</v>
      </c>
      <c r="N3504">
        <v>1</v>
      </c>
      <c r="O3504" t="str">
        <f t="shared" si="291"/>
        <v>42</v>
      </c>
      <c r="P3504">
        <v>42</v>
      </c>
      <c r="R3504" t="s">
        <v>1269</v>
      </c>
      <c r="S3504">
        <v>1.38</v>
      </c>
      <c r="T3504">
        <v>0.27610000000000001</v>
      </c>
      <c r="U3504">
        <f t="shared" si="287"/>
        <v>0</v>
      </c>
      <c r="V3504" t="str">
        <f t="shared" si="288"/>
        <v>High Counselor</v>
      </c>
      <c r="W3504" t="str">
        <f t="shared" si="289"/>
        <v>Counselor</v>
      </c>
    </row>
    <row r="3505" spans="1:23" x14ac:dyDescent="0.25">
      <c r="A3505">
        <v>39204</v>
      </c>
      <c r="B3505" t="s">
        <v>1263</v>
      </c>
      <c r="C3505">
        <v>1</v>
      </c>
      <c r="D3505" t="s">
        <v>1264</v>
      </c>
      <c r="E3505">
        <v>100097</v>
      </c>
      <c r="F3505">
        <v>39204</v>
      </c>
      <c r="G3505" t="str">
        <f t="shared" si="290"/>
        <v>39204</v>
      </c>
      <c r="H3505" t="s">
        <v>595</v>
      </c>
      <c r="I3505" t="s">
        <v>1265</v>
      </c>
      <c r="J3505" t="s">
        <v>1266</v>
      </c>
      <c r="K3505" t="s">
        <v>1267</v>
      </c>
      <c r="L3505" t="s">
        <v>1263</v>
      </c>
      <c r="M3505" t="s">
        <v>1268</v>
      </c>
      <c r="N3505">
        <v>1</v>
      </c>
      <c r="O3505" t="str">
        <f t="shared" si="291"/>
        <v>42</v>
      </c>
      <c r="P3505">
        <v>42</v>
      </c>
      <c r="R3505" t="s">
        <v>1269</v>
      </c>
      <c r="S3505">
        <v>1</v>
      </c>
      <c r="T3505">
        <v>0.27610000000000001</v>
      </c>
      <c r="U3505">
        <f t="shared" si="287"/>
        <v>0</v>
      </c>
      <c r="V3505" t="str">
        <f t="shared" si="288"/>
        <v>Middle Counselor</v>
      </c>
      <c r="W3505" t="str">
        <f t="shared" si="289"/>
        <v>Counselor</v>
      </c>
    </row>
    <row r="3506" spans="1:23" x14ac:dyDescent="0.25">
      <c r="A3506">
        <v>39204</v>
      </c>
      <c r="B3506" t="s">
        <v>1298</v>
      </c>
      <c r="C3506">
        <v>0.28399999999999997</v>
      </c>
      <c r="D3506" t="s">
        <v>1264</v>
      </c>
      <c r="E3506">
        <v>100097</v>
      </c>
      <c r="F3506">
        <v>39204</v>
      </c>
      <c r="G3506" t="str">
        <f t="shared" si="290"/>
        <v>39204</v>
      </c>
      <c r="H3506" t="s">
        <v>595</v>
      </c>
      <c r="I3506" t="s">
        <v>1265</v>
      </c>
      <c r="J3506" t="s">
        <v>1276</v>
      </c>
      <c r="K3506" t="s">
        <v>1277</v>
      </c>
      <c r="L3506" t="s">
        <v>1298</v>
      </c>
      <c r="M3506" t="s">
        <v>1349</v>
      </c>
      <c r="N3506">
        <v>21</v>
      </c>
      <c r="O3506" t="str">
        <f t="shared" si="291"/>
        <v>46</v>
      </c>
      <c r="P3506">
        <v>46</v>
      </c>
      <c r="R3506" t="s">
        <v>1269</v>
      </c>
      <c r="S3506">
        <v>0.28399999999999997</v>
      </c>
      <c r="T3506">
        <v>0.27610000000000001</v>
      </c>
      <c r="U3506">
        <f t="shared" si="287"/>
        <v>7.8E-2</v>
      </c>
      <c r="V3506" t="str">
        <f t="shared" si="288"/>
        <v>Elementary Psychologist</v>
      </c>
      <c r="W3506" t="str">
        <f t="shared" si="289"/>
        <v>Psychologist</v>
      </c>
    </row>
    <row r="3507" spans="1:23" x14ac:dyDescent="0.25">
      <c r="A3507">
        <v>39204</v>
      </c>
      <c r="B3507" t="s">
        <v>1309</v>
      </c>
      <c r="C3507">
        <v>0.27500000000000002</v>
      </c>
      <c r="D3507" t="s">
        <v>1264</v>
      </c>
      <c r="E3507">
        <v>100097</v>
      </c>
      <c r="F3507">
        <v>39204</v>
      </c>
      <c r="G3507" t="str">
        <f t="shared" si="290"/>
        <v>39204</v>
      </c>
      <c r="H3507" t="s">
        <v>595</v>
      </c>
      <c r="I3507" t="s">
        <v>1265</v>
      </c>
      <c r="J3507" t="s">
        <v>1271</v>
      </c>
      <c r="K3507" t="s">
        <v>1272</v>
      </c>
      <c r="L3507" t="s">
        <v>1309</v>
      </c>
      <c r="M3507" t="s">
        <v>1310</v>
      </c>
      <c r="N3507">
        <v>21</v>
      </c>
      <c r="O3507" t="str">
        <f t="shared" si="291"/>
        <v>46</v>
      </c>
      <c r="P3507">
        <v>46</v>
      </c>
      <c r="R3507" t="s">
        <v>1269</v>
      </c>
      <c r="S3507">
        <v>0.27500000000000002</v>
      </c>
      <c r="T3507">
        <v>0.27610000000000001</v>
      </c>
      <c r="U3507">
        <f t="shared" si="287"/>
        <v>7.5999999999999998E-2</v>
      </c>
      <c r="V3507" t="str">
        <f t="shared" si="288"/>
        <v>High Psychologist</v>
      </c>
      <c r="W3507" t="str">
        <f t="shared" si="289"/>
        <v>Psychologist</v>
      </c>
    </row>
    <row r="3508" spans="1:23" x14ac:dyDescent="0.25">
      <c r="A3508">
        <v>39204</v>
      </c>
      <c r="B3508" t="s">
        <v>1345</v>
      </c>
      <c r="C3508">
        <v>0.27500000000000002</v>
      </c>
      <c r="D3508" t="s">
        <v>1264</v>
      </c>
      <c r="E3508">
        <v>100097</v>
      </c>
      <c r="F3508">
        <v>39204</v>
      </c>
      <c r="G3508" t="str">
        <f t="shared" si="290"/>
        <v>39204</v>
      </c>
      <c r="H3508" t="s">
        <v>595</v>
      </c>
      <c r="I3508" t="s">
        <v>1265</v>
      </c>
      <c r="J3508" t="s">
        <v>1266</v>
      </c>
      <c r="K3508" t="s">
        <v>1267</v>
      </c>
      <c r="L3508" t="s">
        <v>1345</v>
      </c>
      <c r="M3508" t="s">
        <v>1346</v>
      </c>
      <c r="N3508">
        <v>21</v>
      </c>
      <c r="O3508" t="str">
        <f t="shared" si="291"/>
        <v>46</v>
      </c>
      <c r="P3508">
        <v>46</v>
      </c>
      <c r="R3508" t="s">
        <v>1269</v>
      </c>
      <c r="S3508">
        <v>0.27500000000000002</v>
      </c>
      <c r="T3508">
        <v>0.27610000000000001</v>
      </c>
      <c r="U3508">
        <f t="shared" si="287"/>
        <v>7.5999999999999998E-2</v>
      </c>
      <c r="V3508" t="str">
        <f t="shared" si="288"/>
        <v>Middle Psychologist</v>
      </c>
      <c r="W3508" t="str">
        <f t="shared" si="289"/>
        <v>Psychologist</v>
      </c>
    </row>
    <row r="3509" spans="1:23" x14ac:dyDescent="0.25">
      <c r="A3509">
        <v>39205</v>
      </c>
      <c r="B3509" t="s">
        <v>1315</v>
      </c>
      <c r="C3509">
        <v>0.32200000000000001</v>
      </c>
      <c r="D3509" t="s">
        <v>1264</v>
      </c>
      <c r="E3509">
        <v>100305</v>
      </c>
      <c r="F3509">
        <v>39205</v>
      </c>
      <c r="G3509" t="str">
        <f t="shared" si="290"/>
        <v>39205</v>
      </c>
      <c r="H3509" t="s">
        <v>596</v>
      </c>
      <c r="I3509" t="s">
        <v>1265</v>
      </c>
      <c r="J3509" t="s">
        <v>1276</v>
      </c>
      <c r="K3509" t="s">
        <v>1277</v>
      </c>
      <c r="L3509" t="s">
        <v>1315</v>
      </c>
      <c r="M3509" t="s">
        <v>1375</v>
      </c>
      <c r="N3509">
        <v>1</v>
      </c>
      <c r="O3509" t="str">
        <f t="shared" si="291"/>
        <v>26</v>
      </c>
      <c r="Q3509">
        <v>26</v>
      </c>
      <c r="R3509" t="s">
        <v>1269</v>
      </c>
      <c r="S3509">
        <v>0.32200000000000001</v>
      </c>
      <c r="T3509">
        <v>0.18459999999999999</v>
      </c>
      <c r="U3509">
        <f t="shared" si="287"/>
        <v>0</v>
      </c>
      <c r="V3509" t="str">
        <f t="shared" si="288"/>
        <v>Elementary Health/
Related Services</v>
      </c>
      <c r="W3509" t="str">
        <f t="shared" si="289"/>
        <v>Health/
Related Services</v>
      </c>
    </row>
    <row r="3510" spans="1:23" x14ac:dyDescent="0.25">
      <c r="A3510">
        <v>39205</v>
      </c>
      <c r="B3510" t="s">
        <v>1295</v>
      </c>
      <c r="C3510">
        <v>0.161</v>
      </c>
      <c r="D3510" t="s">
        <v>1264</v>
      </c>
      <c r="E3510">
        <v>100305</v>
      </c>
      <c r="F3510">
        <v>39205</v>
      </c>
      <c r="G3510" t="str">
        <f t="shared" si="290"/>
        <v>39205</v>
      </c>
      <c r="H3510" t="s">
        <v>596</v>
      </c>
      <c r="I3510" t="s">
        <v>1265</v>
      </c>
      <c r="J3510" t="s">
        <v>1271</v>
      </c>
      <c r="K3510" t="s">
        <v>1272</v>
      </c>
      <c r="L3510" t="s">
        <v>1295</v>
      </c>
      <c r="M3510" t="s">
        <v>1296</v>
      </c>
      <c r="N3510">
        <v>1</v>
      </c>
      <c r="O3510" t="str">
        <f t="shared" si="291"/>
        <v>26</v>
      </c>
      <c r="Q3510">
        <v>26</v>
      </c>
      <c r="R3510" t="s">
        <v>1269</v>
      </c>
      <c r="S3510">
        <v>0.161</v>
      </c>
      <c r="T3510">
        <v>0.18459999999999999</v>
      </c>
      <c r="U3510">
        <f t="shared" ref="U3510:U3573" si="292">IF(N3510=21,ROUND(T3510*S3510,3),0)</f>
        <v>0</v>
      </c>
      <c r="V3510" t="str">
        <f t="shared" si="288"/>
        <v>High Health/
Related Services</v>
      </c>
      <c r="W3510" t="str">
        <f t="shared" si="289"/>
        <v>Health/
Related Services</v>
      </c>
    </row>
    <row r="3511" spans="1:23" x14ac:dyDescent="0.25">
      <c r="A3511">
        <v>39205</v>
      </c>
      <c r="B3511" t="s">
        <v>1291</v>
      </c>
      <c r="C3511">
        <v>0.161</v>
      </c>
      <c r="D3511" t="s">
        <v>1264</v>
      </c>
      <c r="E3511">
        <v>100305</v>
      </c>
      <c r="F3511">
        <v>39205</v>
      </c>
      <c r="G3511" t="str">
        <f t="shared" si="290"/>
        <v>39205</v>
      </c>
      <c r="H3511" t="s">
        <v>596</v>
      </c>
      <c r="I3511" t="s">
        <v>1265</v>
      </c>
      <c r="J3511" t="s">
        <v>1266</v>
      </c>
      <c r="K3511" t="s">
        <v>1267</v>
      </c>
      <c r="L3511" t="s">
        <v>1291</v>
      </c>
      <c r="M3511" t="s">
        <v>1292</v>
      </c>
      <c r="N3511">
        <v>1</v>
      </c>
      <c r="O3511" t="str">
        <f t="shared" si="291"/>
        <v>26</v>
      </c>
      <c r="Q3511">
        <v>26</v>
      </c>
      <c r="R3511" t="s">
        <v>1269</v>
      </c>
      <c r="S3511">
        <v>0.161</v>
      </c>
      <c r="T3511">
        <v>0.18459999999999999</v>
      </c>
      <c r="U3511">
        <f t="shared" si="292"/>
        <v>0</v>
      </c>
      <c r="V3511" t="str">
        <f t="shared" si="288"/>
        <v>Middle Health/
Related Services</v>
      </c>
      <c r="W3511" t="str">
        <f t="shared" si="289"/>
        <v>Health/
Related Services</v>
      </c>
    </row>
    <row r="3512" spans="1:23" x14ac:dyDescent="0.25">
      <c r="A3512">
        <v>39205</v>
      </c>
      <c r="B3512" t="s">
        <v>1275</v>
      </c>
      <c r="C3512">
        <v>1</v>
      </c>
      <c r="D3512" t="s">
        <v>1264</v>
      </c>
      <c r="E3512">
        <v>100305</v>
      </c>
      <c r="F3512">
        <v>39205</v>
      </c>
      <c r="G3512" t="str">
        <f t="shared" si="290"/>
        <v>39205</v>
      </c>
      <c r="H3512" t="s">
        <v>596</v>
      </c>
      <c r="I3512" t="s">
        <v>1265</v>
      </c>
      <c r="J3512" t="s">
        <v>1276</v>
      </c>
      <c r="K3512" t="s">
        <v>1277</v>
      </c>
      <c r="L3512" t="s">
        <v>1275</v>
      </c>
      <c r="M3512" t="s">
        <v>1278</v>
      </c>
      <c r="N3512">
        <v>1</v>
      </c>
      <c r="O3512" t="str">
        <f t="shared" si="291"/>
        <v>42</v>
      </c>
      <c r="P3512">
        <v>42</v>
      </c>
      <c r="R3512" t="s">
        <v>1269</v>
      </c>
      <c r="S3512">
        <v>1</v>
      </c>
      <c r="T3512">
        <v>0.18459999999999999</v>
      </c>
      <c r="U3512">
        <f t="shared" si="292"/>
        <v>0</v>
      </c>
      <c r="V3512" t="str">
        <f t="shared" si="288"/>
        <v>Elementary Counselor</v>
      </c>
      <c r="W3512" t="str">
        <f t="shared" si="289"/>
        <v>Counselor</v>
      </c>
    </row>
    <row r="3513" spans="1:23" x14ac:dyDescent="0.25">
      <c r="A3513">
        <v>39205</v>
      </c>
      <c r="B3513" t="s">
        <v>1270</v>
      </c>
      <c r="C3513">
        <v>1.4</v>
      </c>
      <c r="D3513" t="s">
        <v>1264</v>
      </c>
      <c r="E3513">
        <v>100305</v>
      </c>
      <c r="F3513">
        <v>39205</v>
      </c>
      <c r="G3513" t="str">
        <f t="shared" si="290"/>
        <v>39205</v>
      </c>
      <c r="H3513" t="s">
        <v>596</v>
      </c>
      <c r="I3513" t="s">
        <v>1265</v>
      </c>
      <c r="J3513" t="s">
        <v>1271</v>
      </c>
      <c r="K3513" t="s">
        <v>1272</v>
      </c>
      <c r="L3513" t="s">
        <v>1270</v>
      </c>
      <c r="M3513" t="s">
        <v>1273</v>
      </c>
      <c r="N3513">
        <v>1</v>
      </c>
      <c r="O3513" t="str">
        <f t="shared" si="291"/>
        <v>42</v>
      </c>
      <c r="P3513">
        <v>42</v>
      </c>
      <c r="R3513" t="s">
        <v>1269</v>
      </c>
      <c r="S3513">
        <v>1.4</v>
      </c>
      <c r="T3513">
        <v>0.18459999999999999</v>
      </c>
      <c r="U3513">
        <f t="shared" si="292"/>
        <v>0</v>
      </c>
      <c r="V3513" t="str">
        <f t="shared" si="288"/>
        <v>High Counselor</v>
      </c>
      <c r="W3513" t="str">
        <f t="shared" si="289"/>
        <v>Counselor</v>
      </c>
    </row>
    <row r="3514" spans="1:23" x14ac:dyDescent="0.25">
      <c r="A3514">
        <v>39205</v>
      </c>
      <c r="B3514" t="s">
        <v>1263</v>
      </c>
      <c r="C3514">
        <v>0.8</v>
      </c>
      <c r="D3514" t="s">
        <v>1264</v>
      </c>
      <c r="E3514">
        <v>100305</v>
      </c>
      <c r="F3514">
        <v>39205</v>
      </c>
      <c r="G3514" t="str">
        <f t="shared" si="290"/>
        <v>39205</v>
      </c>
      <c r="H3514" t="s">
        <v>596</v>
      </c>
      <c r="I3514" t="s">
        <v>1265</v>
      </c>
      <c r="J3514" t="s">
        <v>1266</v>
      </c>
      <c r="K3514" t="s">
        <v>1267</v>
      </c>
      <c r="L3514" t="s">
        <v>1263</v>
      </c>
      <c r="M3514" t="s">
        <v>1268</v>
      </c>
      <c r="N3514">
        <v>1</v>
      </c>
      <c r="O3514" t="str">
        <f t="shared" si="291"/>
        <v>42</v>
      </c>
      <c r="P3514">
        <v>42</v>
      </c>
      <c r="R3514" t="s">
        <v>1269</v>
      </c>
      <c r="S3514">
        <v>0.8</v>
      </c>
      <c r="T3514">
        <v>0.18459999999999999</v>
      </c>
      <c r="U3514">
        <f t="shared" si="292"/>
        <v>0</v>
      </c>
      <c r="V3514" t="str">
        <f t="shared" si="288"/>
        <v>Middle Counselor</v>
      </c>
      <c r="W3514" t="str">
        <f t="shared" si="289"/>
        <v>Counselor</v>
      </c>
    </row>
    <row r="3515" spans="1:23" x14ac:dyDescent="0.25">
      <c r="A3515">
        <v>39205</v>
      </c>
      <c r="B3515" t="s">
        <v>1394</v>
      </c>
      <c r="C3515">
        <v>1.6E-2</v>
      </c>
      <c r="D3515" t="s">
        <v>1264</v>
      </c>
      <c r="E3515">
        <v>100305</v>
      </c>
      <c r="F3515">
        <v>39205</v>
      </c>
      <c r="G3515" t="str">
        <f t="shared" si="290"/>
        <v>39205</v>
      </c>
      <c r="H3515" t="s">
        <v>596</v>
      </c>
      <c r="I3515" t="s">
        <v>1265</v>
      </c>
      <c r="J3515" t="s">
        <v>1271</v>
      </c>
      <c r="K3515" t="s">
        <v>1272</v>
      </c>
      <c r="L3515" t="s">
        <v>1394</v>
      </c>
      <c r="M3515" t="s">
        <v>1415</v>
      </c>
      <c r="N3515">
        <v>1</v>
      </c>
      <c r="O3515" t="str">
        <f t="shared" si="291"/>
        <v>45</v>
      </c>
      <c r="P3515">
        <v>45</v>
      </c>
      <c r="R3515" t="s">
        <v>1269</v>
      </c>
      <c r="S3515">
        <v>1.6E-2</v>
      </c>
      <c r="T3515">
        <v>0.18459999999999999</v>
      </c>
      <c r="U3515">
        <f t="shared" si="292"/>
        <v>0</v>
      </c>
      <c r="V3515" t="str">
        <f t="shared" si="288"/>
        <v>High Speech, Language Pathway/
Audio</v>
      </c>
      <c r="W3515" t="str">
        <f t="shared" si="289"/>
        <v>Speech, Language Pathway/
Audio</v>
      </c>
    </row>
    <row r="3516" spans="1:23" x14ac:dyDescent="0.25">
      <c r="A3516">
        <v>39205</v>
      </c>
      <c r="B3516" t="s">
        <v>1335</v>
      </c>
      <c r="C3516">
        <v>1</v>
      </c>
      <c r="D3516" t="s">
        <v>1264</v>
      </c>
      <c r="E3516">
        <v>100305</v>
      </c>
      <c r="F3516">
        <v>39205</v>
      </c>
      <c r="G3516" t="str">
        <f t="shared" si="290"/>
        <v>39205</v>
      </c>
      <c r="H3516" t="s">
        <v>596</v>
      </c>
      <c r="I3516" t="s">
        <v>1265</v>
      </c>
      <c r="J3516" t="s">
        <v>1276</v>
      </c>
      <c r="K3516" t="s">
        <v>1277</v>
      </c>
      <c r="L3516" t="s">
        <v>1335</v>
      </c>
      <c r="M3516" t="s">
        <v>1344</v>
      </c>
      <c r="N3516">
        <v>1</v>
      </c>
      <c r="O3516" t="str">
        <f t="shared" si="291"/>
        <v>47</v>
      </c>
      <c r="P3516">
        <v>47</v>
      </c>
      <c r="R3516" t="s">
        <v>1269</v>
      </c>
      <c r="S3516">
        <v>1</v>
      </c>
      <c r="T3516">
        <v>0.18459999999999999</v>
      </c>
      <c r="U3516">
        <f t="shared" si="292"/>
        <v>0</v>
      </c>
      <c r="V3516" t="str">
        <f t="shared" si="288"/>
        <v>Elementary Nurse</v>
      </c>
      <c r="W3516" t="str">
        <f t="shared" si="289"/>
        <v>Nurse</v>
      </c>
    </row>
    <row r="3517" spans="1:23" x14ac:dyDescent="0.25">
      <c r="A3517">
        <v>39205</v>
      </c>
      <c r="B3517" t="s">
        <v>1341</v>
      </c>
      <c r="C3517">
        <v>0.5</v>
      </c>
      <c r="D3517" t="s">
        <v>1264</v>
      </c>
      <c r="E3517">
        <v>100305</v>
      </c>
      <c r="F3517">
        <v>39205</v>
      </c>
      <c r="G3517" t="str">
        <f t="shared" si="290"/>
        <v>39205</v>
      </c>
      <c r="H3517" t="s">
        <v>596</v>
      </c>
      <c r="I3517" t="s">
        <v>1265</v>
      </c>
      <c r="J3517" t="s">
        <v>1271</v>
      </c>
      <c r="K3517" t="s">
        <v>1272</v>
      </c>
      <c r="L3517" t="s">
        <v>1341</v>
      </c>
      <c r="M3517" t="s">
        <v>1342</v>
      </c>
      <c r="N3517">
        <v>1</v>
      </c>
      <c r="O3517" t="str">
        <f t="shared" si="291"/>
        <v>47</v>
      </c>
      <c r="P3517">
        <v>47</v>
      </c>
      <c r="R3517" t="s">
        <v>1269</v>
      </c>
      <c r="S3517">
        <v>0.5</v>
      </c>
      <c r="T3517">
        <v>0.18459999999999999</v>
      </c>
      <c r="U3517">
        <f t="shared" si="292"/>
        <v>0</v>
      </c>
      <c r="V3517" t="str">
        <f t="shared" si="288"/>
        <v>High Nurse</v>
      </c>
      <c r="W3517" t="str">
        <f t="shared" si="289"/>
        <v>Nurse</v>
      </c>
    </row>
    <row r="3518" spans="1:23" x14ac:dyDescent="0.25">
      <c r="A3518">
        <v>39205</v>
      </c>
      <c r="B3518" t="s">
        <v>1338</v>
      </c>
      <c r="C3518">
        <v>0.5</v>
      </c>
      <c r="D3518" t="s">
        <v>1264</v>
      </c>
      <c r="E3518">
        <v>100305</v>
      </c>
      <c r="F3518">
        <v>39205</v>
      </c>
      <c r="G3518" t="str">
        <f t="shared" si="290"/>
        <v>39205</v>
      </c>
      <c r="H3518" t="s">
        <v>596</v>
      </c>
      <c r="I3518" t="s">
        <v>1265</v>
      </c>
      <c r="J3518" t="s">
        <v>1266</v>
      </c>
      <c r="K3518" t="s">
        <v>1267</v>
      </c>
      <c r="L3518" t="s">
        <v>1338</v>
      </c>
      <c r="M3518" t="s">
        <v>1339</v>
      </c>
      <c r="N3518">
        <v>1</v>
      </c>
      <c r="O3518" t="str">
        <f t="shared" si="291"/>
        <v>47</v>
      </c>
      <c r="P3518">
        <v>47</v>
      </c>
      <c r="R3518" t="s">
        <v>1269</v>
      </c>
      <c r="S3518">
        <v>0.5</v>
      </c>
      <c r="T3518">
        <v>0.18459999999999999</v>
      </c>
      <c r="U3518">
        <f t="shared" si="292"/>
        <v>0</v>
      </c>
      <c r="V3518" t="str">
        <f t="shared" ref="V3518:V3580" si="293">_xlfn.XLOOKUP(L3518,$BV:$BV,$BT:$BT,,0)</f>
        <v>Middle Nurse</v>
      </c>
      <c r="W3518" t="str">
        <f t="shared" ref="W3518:W3580" si="294">_xlfn.TEXTAFTER(V3518," ")</f>
        <v>Nurse</v>
      </c>
    </row>
    <row r="3519" spans="1:23" x14ac:dyDescent="0.25">
      <c r="A3519">
        <v>39207</v>
      </c>
      <c r="B3519" t="s">
        <v>1286</v>
      </c>
      <c r="C3519">
        <v>3.1749999999999998</v>
      </c>
      <c r="D3519" t="s">
        <v>1264</v>
      </c>
      <c r="E3519">
        <v>100284</v>
      </c>
      <c r="F3519">
        <v>39207</v>
      </c>
      <c r="G3519" t="str">
        <f t="shared" si="290"/>
        <v>39207</v>
      </c>
      <c r="H3519" t="s">
        <v>597</v>
      </c>
      <c r="I3519" t="s">
        <v>1265</v>
      </c>
      <c r="J3519" t="s">
        <v>1271</v>
      </c>
      <c r="K3519" t="s">
        <v>1272</v>
      </c>
      <c r="L3519" t="s">
        <v>1286</v>
      </c>
      <c r="M3519" t="s">
        <v>1287</v>
      </c>
      <c r="N3519">
        <v>1</v>
      </c>
      <c r="O3519" t="str">
        <f t="shared" si="291"/>
        <v>24</v>
      </c>
      <c r="P3519">
        <v>96</v>
      </c>
      <c r="Q3519">
        <v>24</v>
      </c>
      <c r="R3519" t="s">
        <v>1269</v>
      </c>
      <c r="S3519">
        <v>3.1749999999999998</v>
      </c>
      <c r="T3519">
        <v>0.2258</v>
      </c>
      <c r="U3519">
        <f t="shared" si="292"/>
        <v>0</v>
      </c>
      <c r="V3519" t="str">
        <f t="shared" si="293"/>
        <v>High Family Engagement Coordinator</v>
      </c>
      <c r="W3519" t="str">
        <f t="shared" si="294"/>
        <v>Family Engagement Coordinator</v>
      </c>
    </row>
    <row r="3520" spans="1:23" x14ac:dyDescent="0.25">
      <c r="A3520">
        <v>39207</v>
      </c>
      <c r="B3520" t="s">
        <v>1308</v>
      </c>
      <c r="C3520">
        <v>0.34599999999999997</v>
      </c>
      <c r="D3520" t="s">
        <v>1264</v>
      </c>
      <c r="E3520">
        <v>100284</v>
      </c>
      <c r="F3520">
        <v>39207</v>
      </c>
      <c r="G3520" t="str">
        <f t="shared" si="290"/>
        <v>39207</v>
      </c>
      <c r="H3520" t="s">
        <v>597</v>
      </c>
      <c r="I3520" t="s">
        <v>1265</v>
      </c>
      <c r="J3520" t="s">
        <v>1276</v>
      </c>
      <c r="K3520" t="s">
        <v>1277</v>
      </c>
      <c r="L3520" t="s">
        <v>1308</v>
      </c>
      <c r="M3520" t="s">
        <v>1389</v>
      </c>
      <c r="N3520">
        <v>1</v>
      </c>
      <c r="O3520" t="str">
        <f t="shared" si="291"/>
        <v>25</v>
      </c>
      <c r="Q3520">
        <v>25</v>
      </c>
      <c r="R3520" t="s">
        <v>1269</v>
      </c>
      <c r="S3520">
        <v>0.34599999999999997</v>
      </c>
      <c r="T3520">
        <v>0.2258</v>
      </c>
      <c r="U3520">
        <f t="shared" si="292"/>
        <v>0</v>
      </c>
      <c r="V3520" t="str">
        <f t="shared" si="293"/>
        <v>Elementary Pupil Management</v>
      </c>
      <c r="W3520" t="str">
        <f t="shared" si="294"/>
        <v>Pupil Management</v>
      </c>
    </row>
    <row r="3521" spans="1:23" x14ac:dyDescent="0.25">
      <c r="A3521">
        <v>39207</v>
      </c>
      <c r="B3521" t="s">
        <v>1383</v>
      </c>
      <c r="C3521">
        <v>1.075</v>
      </c>
      <c r="D3521" t="s">
        <v>1264</v>
      </c>
      <c r="E3521">
        <v>100284</v>
      </c>
      <c r="F3521">
        <v>39207</v>
      </c>
      <c r="G3521" t="str">
        <f t="shared" si="290"/>
        <v>39207</v>
      </c>
      <c r="H3521" t="s">
        <v>597</v>
      </c>
      <c r="I3521" t="s">
        <v>1265</v>
      </c>
      <c r="J3521" t="s">
        <v>1271</v>
      </c>
      <c r="K3521" t="s">
        <v>1272</v>
      </c>
      <c r="L3521" t="s">
        <v>1383</v>
      </c>
      <c r="M3521" t="s">
        <v>1409</v>
      </c>
      <c r="N3521">
        <v>21</v>
      </c>
      <c r="O3521" t="str">
        <f t="shared" si="291"/>
        <v>25</v>
      </c>
      <c r="Q3521">
        <v>25</v>
      </c>
      <c r="R3521" t="s">
        <v>1269</v>
      </c>
      <c r="S3521">
        <v>1.075</v>
      </c>
      <c r="T3521">
        <v>0.2258</v>
      </c>
      <c r="U3521">
        <f t="shared" si="292"/>
        <v>0.24299999999999999</v>
      </c>
      <c r="V3521" t="str">
        <f t="shared" si="293"/>
        <v>High Pupil Management</v>
      </c>
      <c r="W3521" t="str">
        <f t="shared" si="294"/>
        <v>Pupil Management</v>
      </c>
    </row>
    <row r="3522" spans="1:23" x14ac:dyDescent="0.25">
      <c r="A3522">
        <v>39207</v>
      </c>
      <c r="B3522" t="s">
        <v>1299</v>
      </c>
      <c r="C3522">
        <v>3.593</v>
      </c>
      <c r="D3522" t="s">
        <v>1264</v>
      </c>
      <c r="E3522">
        <v>100284</v>
      </c>
      <c r="F3522">
        <v>39207</v>
      </c>
      <c r="G3522" t="str">
        <f t="shared" ref="G3522:G3585" si="295">TEXT(F3522,"00000")</f>
        <v>39207</v>
      </c>
      <c r="H3522" t="s">
        <v>597</v>
      </c>
      <c r="I3522" t="s">
        <v>1265</v>
      </c>
      <c r="J3522" t="s">
        <v>1271</v>
      </c>
      <c r="K3522" t="s">
        <v>1272</v>
      </c>
      <c r="L3522" t="s">
        <v>1299</v>
      </c>
      <c r="M3522" t="s">
        <v>1300</v>
      </c>
      <c r="N3522">
        <v>1</v>
      </c>
      <c r="O3522" t="str">
        <f t="shared" si="291"/>
        <v>25</v>
      </c>
      <c r="Q3522">
        <v>25</v>
      </c>
      <c r="R3522" t="s">
        <v>1269</v>
      </c>
      <c r="S3522">
        <v>3.593</v>
      </c>
      <c r="T3522">
        <v>0.2258</v>
      </c>
      <c r="U3522">
        <f t="shared" si="292"/>
        <v>0</v>
      </c>
      <c r="V3522" t="str">
        <f t="shared" si="293"/>
        <v>High Pupil Management</v>
      </c>
      <c r="W3522" t="str">
        <f t="shared" si="294"/>
        <v>Pupil Management</v>
      </c>
    </row>
    <row r="3523" spans="1:23" x14ac:dyDescent="0.25">
      <c r="A3523">
        <v>39207</v>
      </c>
      <c r="B3523" t="s">
        <v>1324</v>
      </c>
      <c r="C3523">
        <v>1.925</v>
      </c>
      <c r="D3523" t="s">
        <v>1264</v>
      </c>
      <c r="E3523">
        <v>100284</v>
      </c>
      <c r="F3523">
        <v>39207</v>
      </c>
      <c r="G3523" t="str">
        <f t="shared" si="295"/>
        <v>39207</v>
      </c>
      <c r="H3523" t="s">
        <v>597</v>
      </c>
      <c r="I3523" t="s">
        <v>1265</v>
      </c>
      <c r="J3523" t="s">
        <v>1271</v>
      </c>
      <c r="K3523" t="s">
        <v>1272</v>
      </c>
      <c r="L3523" t="s">
        <v>1324</v>
      </c>
      <c r="M3523" t="s">
        <v>1325</v>
      </c>
      <c r="N3523">
        <v>21</v>
      </c>
      <c r="O3523" t="str">
        <f t="shared" ref="O3523:O3586" si="296">MID(L3523,3,2)</f>
        <v>26</v>
      </c>
      <c r="Q3523">
        <v>26</v>
      </c>
      <c r="R3523" t="s">
        <v>1269</v>
      </c>
      <c r="S3523">
        <v>1.925</v>
      </c>
      <c r="T3523">
        <v>0.2258</v>
      </c>
      <c r="U3523">
        <f t="shared" si="292"/>
        <v>0.435</v>
      </c>
      <c r="V3523" t="str">
        <f t="shared" si="293"/>
        <v>High Health/
Related Services</v>
      </c>
      <c r="W3523" t="str">
        <f t="shared" si="294"/>
        <v>Health/
Related Services</v>
      </c>
    </row>
    <row r="3524" spans="1:23" x14ac:dyDescent="0.25">
      <c r="A3524">
        <v>39207</v>
      </c>
      <c r="B3524" t="s">
        <v>1295</v>
      </c>
      <c r="C3524">
        <v>3.141</v>
      </c>
      <c r="D3524" t="s">
        <v>1264</v>
      </c>
      <c r="E3524">
        <v>100284</v>
      </c>
      <c r="F3524">
        <v>39207</v>
      </c>
      <c r="G3524" t="str">
        <f t="shared" si="295"/>
        <v>39207</v>
      </c>
      <c r="H3524" t="s">
        <v>597</v>
      </c>
      <c r="I3524" t="s">
        <v>1265</v>
      </c>
      <c r="J3524" t="s">
        <v>1271</v>
      </c>
      <c r="K3524" t="s">
        <v>1272</v>
      </c>
      <c r="L3524" t="s">
        <v>1295</v>
      </c>
      <c r="M3524" t="s">
        <v>1296</v>
      </c>
      <c r="N3524">
        <v>1</v>
      </c>
      <c r="O3524" t="str">
        <f t="shared" si="296"/>
        <v>26</v>
      </c>
      <c r="Q3524">
        <v>26</v>
      </c>
      <c r="R3524" t="s">
        <v>1269</v>
      </c>
      <c r="S3524">
        <v>3.141</v>
      </c>
      <c r="T3524">
        <v>0.2258</v>
      </c>
      <c r="U3524">
        <f t="shared" si="292"/>
        <v>0</v>
      </c>
      <c r="V3524" t="str">
        <f t="shared" si="293"/>
        <v>High Health/
Related Services</v>
      </c>
      <c r="W3524" t="str">
        <f t="shared" si="294"/>
        <v>Health/
Related Services</v>
      </c>
    </row>
    <row r="3525" spans="1:23" x14ac:dyDescent="0.25">
      <c r="A3525">
        <v>39207</v>
      </c>
      <c r="B3525" t="s">
        <v>1275</v>
      </c>
      <c r="C3525">
        <v>4.07</v>
      </c>
      <c r="D3525" t="s">
        <v>1264</v>
      </c>
      <c r="E3525">
        <v>100284</v>
      </c>
      <c r="F3525">
        <v>39207</v>
      </c>
      <c r="G3525" t="str">
        <f t="shared" si="295"/>
        <v>39207</v>
      </c>
      <c r="H3525" t="s">
        <v>597</v>
      </c>
      <c r="I3525" t="s">
        <v>1265</v>
      </c>
      <c r="J3525" t="s">
        <v>1276</v>
      </c>
      <c r="K3525" t="s">
        <v>1277</v>
      </c>
      <c r="L3525" t="s">
        <v>1275</v>
      </c>
      <c r="M3525" t="s">
        <v>1278</v>
      </c>
      <c r="N3525">
        <v>1</v>
      </c>
      <c r="O3525" t="str">
        <f t="shared" si="296"/>
        <v>42</v>
      </c>
      <c r="P3525">
        <v>42</v>
      </c>
      <c r="R3525" t="s">
        <v>1269</v>
      </c>
      <c r="S3525">
        <v>4.07</v>
      </c>
      <c r="T3525">
        <v>0.2258</v>
      </c>
      <c r="U3525">
        <f t="shared" si="292"/>
        <v>0</v>
      </c>
      <c r="V3525" t="str">
        <f t="shared" si="293"/>
        <v>Elementary Counselor</v>
      </c>
      <c r="W3525" t="str">
        <f t="shared" si="294"/>
        <v>Counselor</v>
      </c>
    </row>
    <row r="3526" spans="1:23" x14ac:dyDescent="0.25">
      <c r="A3526">
        <v>39207</v>
      </c>
      <c r="B3526" t="s">
        <v>1270</v>
      </c>
      <c r="C3526">
        <v>2.875</v>
      </c>
      <c r="D3526" t="s">
        <v>1264</v>
      </c>
      <c r="E3526">
        <v>100284</v>
      </c>
      <c r="F3526">
        <v>39207</v>
      </c>
      <c r="G3526" t="str">
        <f t="shared" si="295"/>
        <v>39207</v>
      </c>
      <c r="H3526" t="s">
        <v>597</v>
      </c>
      <c r="I3526" t="s">
        <v>1265</v>
      </c>
      <c r="J3526" t="s">
        <v>1271</v>
      </c>
      <c r="K3526" t="s">
        <v>1272</v>
      </c>
      <c r="L3526" t="s">
        <v>1270</v>
      </c>
      <c r="M3526" t="s">
        <v>1273</v>
      </c>
      <c r="N3526">
        <v>1</v>
      </c>
      <c r="O3526" t="str">
        <f t="shared" si="296"/>
        <v>42</v>
      </c>
      <c r="P3526">
        <v>42</v>
      </c>
      <c r="R3526" t="s">
        <v>1269</v>
      </c>
      <c r="S3526">
        <v>2.875</v>
      </c>
      <c r="T3526">
        <v>0.2258</v>
      </c>
      <c r="U3526">
        <f t="shared" si="292"/>
        <v>0</v>
      </c>
      <c r="V3526" t="str">
        <f t="shared" si="293"/>
        <v>High Counselor</v>
      </c>
      <c r="W3526" t="str">
        <f t="shared" si="294"/>
        <v>Counselor</v>
      </c>
    </row>
    <row r="3527" spans="1:23" x14ac:dyDescent="0.25">
      <c r="A3527">
        <v>39207</v>
      </c>
      <c r="B3527" t="s">
        <v>1263</v>
      </c>
      <c r="C3527">
        <v>2.5550000000000002</v>
      </c>
      <c r="D3527" t="s">
        <v>1264</v>
      </c>
      <c r="E3527">
        <v>100284</v>
      </c>
      <c r="F3527">
        <v>39207</v>
      </c>
      <c r="G3527" t="str">
        <f t="shared" si="295"/>
        <v>39207</v>
      </c>
      <c r="H3527" t="s">
        <v>597</v>
      </c>
      <c r="I3527" t="s">
        <v>1265</v>
      </c>
      <c r="J3527" t="s">
        <v>1266</v>
      </c>
      <c r="K3527" t="s">
        <v>1267</v>
      </c>
      <c r="L3527" t="s">
        <v>1263</v>
      </c>
      <c r="M3527" t="s">
        <v>1268</v>
      </c>
      <c r="N3527">
        <v>1</v>
      </c>
      <c r="O3527" t="str">
        <f t="shared" si="296"/>
        <v>42</v>
      </c>
      <c r="P3527">
        <v>42</v>
      </c>
      <c r="R3527" t="s">
        <v>1269</v>
      </c>
      <c r="S3527">
        <v>2.5550000000000002</v>
      </c>
      <c r="T3527">
        <v>0.2258</v>
      </c>
      <c r="U3527">
        <f t="shared" si="292"/>
        <v>0</v>
      </c>
      <c r="V3527" t="str">
        <f t="shared" si="293"/>
        <v>Middle Counselor</v>
      </c>
      <c r="W3527" t="str">
        <f t="shared" si="294"/>
        <v>Counselor</v>
      </c>
    </row>
    <row r="3528" spans="1:23" x14ac:dyDescent="0.25">
      <c r="A3528">
        <v>39207</v>
      </c>
      <c r="B3528" t="s">
        <v>1294</v>
      </c>
      <c r="C3528">
        <v>1.6879999999999999</v>
      </c>
      <c r="D3528" t="s">
        <v>1264</v>
      </c>
      <c r="E3528">
        <v>100284</v>
      </c>
      <c r="F3528">
        <v>39207</v>
      </c>
      <c r="G3528" t="str">
        <f t="shared" si="295"/>
        <v>39207</v>
      </c>
      <c r="H3528" t="s">
        <v>597</v>
      </c>
      <c r="I3528" t="s">
        <v>1265</v>
      </c>
      <c r="J3528" t="s">
        <v>1276</v>
      </c>
      <c r="K3528" t="s">
        <v>1277</v>
      </c>
      <c r="L3528" t="s">
        <v>1294</v>
      </c>
      <c r="M3528" t="s">
        <v>1354</v>
      </c>
      <c r="N3528">
        <v>21</v>
      </c>
      <c r="O3528" t="str">
        <f t="shared" si="296"/>
        <v>45</v>
      </c>
      <c r="P3528">
        <v>45</v>
      </c>
      <c r="R3528" t="s">
        <v>1269</v>
      </c>
      <c r="S3528">
        <v>1.6879999999999999</v>
      </c>
      <c r="T3528">
        <v>0.2258</v>
      </c>
      <c r="U3528">
        <f t="shared" si="292"/>
        <v>0.38100000000000001</v>
      </c>
      <c r="V3528" t="str">
        <f t="shared" si="293"/>
        <v>Elementary Speech, Language Pathway/
Audio</v>
      </c>
      <c r="W3528" t="str">
        <f t="shared" si="294"/>
        <v>Speech, Language Pathway/
Audio</v>
      </c>
    </row>
    <row r="3529" spans="1:23" x14ac:dyDescent="0.25">
      <c r="A3529">
        <v>39207</v>
      </c>
      <c r="B3529" t="s">
        <v>1326</v>
      </c>
      <c r="C3529">
        <v>0.03</v>
      </c>
      <c r="D3529" t="s">
        <v>1264</v>
      </c>
      <c r="E3529">
        <v>100284</v>
      </c>
      <c r="F3529">
        <v>39207</v>
      </c>
      <c r="G3529" t="str">
        <f t="shared" si="295"/>
        <v>39207</v>
      </c>
      <c r="H3529" t="s">
        <v>597</v>
      </c>
      <c r="I3529" t="s">
        <v>1265</v>
      </c>
      <c r="J3529" t="s">
        <v>1271</v>
      </c>
      <c r="K3529" t="s">
        <v>1272</v>
      </c>
      <c r="L3529" t="s">
        <v>1326</v>
      </c>
      <c r="M3529" t="s">
        <v>1353</v>
      </c>
      <c r="N3529">
        <v>21</v>
      </c>
      <c r="O3529" t="str">
        <f t="shared" si="296"/>
        <v>45</v>
      </c>
      <c r="P3529">
        <v>45</v>
      </c>
      <c r="R3529" t="s">
        <v>1269</v>
      </c>
      <c r="S3529">
        <v>0.03</v>
      </c>
      <c r="T3529">
        <v>0.2258</v>
      </c>
      <c r="U3529">
        <f t="shared" si="292"/>
        <v>7.0000000000000001E-3</v>
      </c>
      <c r="V3529" t="str">
        <f t="shared" si="293"/>
        <v>High Speech, Language Pathway/
Audio</v>
      </c>
      <c r="W3529" t="str">
        <f t="shared" si="294"/>
        <v>Speech, Language Pathway/
Audio</v>
      </c>
    </row>
    <row r="3530" spans="1:23" x14ac:dyDescent="0.25">
      <c r="A3530">
        <v>39207</v>
      </c>
      <c r="B3530" t="s">
        <v>1298</v>
      </c>
      <c r="C3530">
        <v>0.6</v>
      </c>
      <c r="D3530" t="s">
        <v>1264</v>
      </c>
      <c r="E3530">
        <v>100284</v>
      </c>
      <c r="F3530">
        <v>39207</v>
      </c>
      <c r="G3530" t="str">
        <f t="shared" si="295"/>
        <v>39207</v>
      </c>
      <c r="H3530" t="s">
        <v>597</v>
      </c>
      <c r="I3530" t="s">
        <v>1265</v>
      </c>
      <c r="J3530" t="s">
        <v>1276</v>
      </c>
      <c r="K3530" t="s">
        <v>1277</v>
      </c>
      <c r="L3530" t="s">
        <v>1298</v>
      </c>
      <c r="M3530" t="s">
        <v>1349</v>
      </c>
      <c r="N3530">
        <v>21</v>
      </c>
      <c r="O3530" t="str">
        <f t="shared" si="296"/>
        <v>46</v>
      </c>
      <c r="P3530">
        <v>46</v>
      </c>
      <c r="R3530" t="s">
        <v>1269</v>
      </c>
      <c r="S3530">
        <v>0.6</v>
      </c>
      <c r="T3530">
        <v>0.2258</v>
      </c>
      <c r="U3530">
        <f t="shared" si="292"/>
        <v>0.13500000000000001</v>
      </c>
      <c r="V3530" t="str">
        <f t="shared" si="293"/>
        <v>Elementary Psychologist</v>
      </c>
      <c r="W3530" t="str">
        <f t="shared" si="294"/>
        <v>Psychologist</v>
      </c>
    </row>
    <row r="3531" spans="1:23" x14ac:dyDescent="0.25">
      <c r="A3531">
        <v>39207</v>
      </c>
      <c r="B3531" t="s">
        <v>1341</v>
      </c>
      <c r="C3531">
        <v>1</v>
      </c>
      <c r="D3531" t="s">
        <v>1264</v>
      </c>
      <c r="E3531">
        <v>100284</v>
      </c>
      <c r="F3531">
        <v>39207</v>
      </c>
      <c r="G3531" t="str">
        <f t="shared" si="295"/>
        <v>39207</v>
      </c>
      <c r="H3531" t="s">
        <v>597</v>
      </c>
      <c r="I3531" t="s">
        <v>1265</v>
      </c>
      <c r="J3531" t="s">
        <v>1271</v>
      </c>
      <c r="K3531" t="s">
        <v>1272</v>
      </c>
      <c r="L3531" t="s">
        <v>1341</v>
      </c>
      <c r="M3531" t="s">
        <v>1342</v>
      </c>
      <c r="N3531">
        <v>1</v>
      </c>
      <c r="O3531" t="str">
        <f t="shared" si="296"/>
        <v>47</v>
      </c>
      <c r="P3531">
        <v>47</v>
      </c>
      <c r="R3531" t="s">
        <v>1269</v>
      </c>
      <c r="S3531">
        <v>1</v>
      </c>
      <c r="T3531">
        <v>0.2258</v>
      </c>
      <c r="U3531">
        <f t="shared" si="292"/>
        <v>0</v>
      </c>
      <c r="V3531" t="str">
        <f t="shared" si="293"/>
        <v>High Nurse</v>
      </c>
      <c r="W3531" t="str">
        <f t="shared" si="294"/>
        <v>Nurse</v>
      </c>
    </row>
    <row r="3532" spans="1:23" x14ac:dyDescent="0.25">
      <c r="A3532">
        <v>39208</v>
      </c>
      <c r="B3532" t="s">
        <v>1299</v>
      </c>
      <c r="C3532">
        <v>0.624</v>
      </c>
      <c r="D3532" t="s">
        <v>1264</v>
      </c>
      <c r="E3532">
        <v>100292</v>
      </c>
      <c r="F3532">
        <v>39208</v>
      </c>
      <c r="G3532" t="str">
        <f t="shared" si="295"/>
        <v>39208</v>
      </c>
      <c r="H3532" t="s">
        <v>598</v>
      </c>
      <c r="I3532" t="s">
        <v>1265</v>
      </c>
      <c r="J3532" t="s">
        <v>1271</v>
      </c>
      <c r="K3532" t="s">
        <v>1272</v>
      </c>
      <c r="L3532" t="s">
        <v>1299</v>
      </c>
      <c r="M3532" t="s">
        <v>1300</v>
      </c>
      <c r="N3532">
        <v>1</v>
      </c>
      <c r="O3532" t="str">
        <f t="shared" si="296"/>
        <v>25</v>
      </c>
      <c r="Q3532">
        <v>25</v>
      </c>
      <c r="R3532" t="s">
        <v>1269</v>
      </c>
      <c r="S3532">
        <v>0.624</v>
      </c>
      <c r="T3532">
        <v>0.21990000000000001</v>
      </c>
      <c r="U3532">
        <f t="shared" si="292"/>
        <v>0</v>
      </c>
      <c r="V3532" t="str">
        <f t="shared" si="293"/>
        <v>High Pupil Management</v>
      </c>
      <c r="W3532" t="str">
        <f t="shared" si="294"/>
        <v>Pupil Management</v>
      </c>
    </row>
    <row r="3533" spans="1:23" x14ac:dyDescent="0.25">
      <c r="A3533">
        <v>39208</v>
      </c>
      <c r="B3533" t="s">
        <v>1324</v>
      </c>
      <c r="C3533">
        <v>9.798</v>
      </c>
      <c r="D3533" t="s">
        <v>1264</v>
      </c>
      <c r="E3533">
        <v>100292</v>
      </c>
      <c r="F3533">
        <v>39208</v>
      </c>
      <c r="G3533" t="str">
        <f t="shared" si="295"/>
        <v>39208</v>
      </c>
      <c r="H3533" t="s">
        <v>598</v>
      </c>
      <c r="I3533" t="s">
        <v>1265</v>
      </c>
      <c r="J3533" t="s">
        <v>1271</v>
      </c>
      <c r="K3533" t="s">
        <v>1272</v>
      </c>
      <c r="L3533" t="s">
        <v>1324</v>
      </c>
      <c r="M3533" t="s">
        <v>1325</v>
      </c>
      <c r="N3533">
        <v>21</v>
      </c>
      <c r="O3533" t="str">
        <f t="shared" si="296"/>
        <v>26</v>
      </c>
      <c r="Q3533">
        <v>26</v>
      </c>
      <c r="R3533" t="s">
        <v>1269</v>
      </c>
      <c r="S3533">
        <v>9.798</v>
      </c>
      <c r="T3533">
        <v>0.21990000000000001</v>
      </c>
      <c r="U3533">
        <f t="shared" si="292"/>
        <v>2.1549999999999998</v>
      </c>
      <c r="V3533" t="str">
        <f t="shared" si="293"/>
        <v>High Health/
Related Services</v>
      </c>
      <c r="W3533" t="str">
        <f t="shared" si="294"/>
        <v>Health/
Related Services</v>
      </c>
    </row>
    <row r="3534" spans="1:23" x14ac:dyDescent="0.25">
      <c r="A3534">
        <v>39208</v>
      </c>
      <c r="B3534" t="s">
        <v>1295</v>
      </c>
      <c r="C3534">
        <v>4.3929999999999998</v>
      </c>
      <c r="D3534" t="s">
        <v>1264</v>
      </c>
      <c r="E3534">
        <v>100292</v>
      </c>
      <c r="F3534">
        <v>39208</v>
      </c>
      <c r="G3534" t="str">
        <f t="shared" si="295"/>
        <v>39208</v>
      </c>
      <c r="H3534" t="s">
        <v>598</v>
      </c>
      <c r="I3534" t="s">
        <v>1265</v>
      </c>
      <c r="J3534" t="s">
        <v>1271</v>
      </c>
      <c r="K3534" t="s">
        <v>1272</v>
      </c>
      <c r="L3534" t="s">
        <v>1295</v>
      </c>
      <c r="M3534" t="s">
        <v>1296</v>
      </c>
      <c r="N3534">
        <v>1</v>
      </c>
      <c r="O3534" t="str">
        <f t="shared" si="296"/>
        <v>26</v>
      </c>
      <c r="Q3534">
        <v>26</v>
      </c>
      <c r="R3534" t="s">
        <v>1269</v>
      </c>
      <c r="S3534">
        <v>4.3929999999999998</v>
      </c>
      <c r="T3534">
        <v>0.21990000000000001</v>
      </c>
      <c r="U3534">
        <f t="shared" si="292"/>
        <v>0</v>
      </c>
      <c r="V3534" t="str">
        <f t="shared" si="293"/>
        <v>High Health/
Related Services</v>
      </c>
      <c r="W3534" t="str">
        <f t="shared" si="294"/>
        <v>Health/
Related Services</v>
      </c>
    </row>
    <row r="3535" spans="1:23" x14ac:dyDescent="0.25">
      <c r="A3535">
        <v>39208</v>
      </c>
      <c r="B3535" t="s">
        <v>1275</v>
      </c>
      <c r="C3535">
        <v>3</v>
      </c>
      <c r="D3535" t="s">
        <v>1264</v>
      </c>
      <c r="E3535">
        <v>100292</v>
      </c>
      <c r="F3535">
        <v>39208</v>
      </c>
      <c r="G3535" t="str">
        <f t="shared" si="295"/>
        <v>39208</v>
      </c>
      <c r="H3535" t="s">
        <v>598</v>
      </c>
      <c r="I3535" t="s">
        <v>1265</v>
      </c>
      <c r="J3535" t="s">
        <v>1276</v>
      </c>
      <c r="K3535" t="s">
        <v>1277</v>
      </c>
      <c r="L3535" t="s">
        <v>1275</v>
      </c>
      <c r="M3535" t="s">
        <v>1278</v>
      </c>
      <c r="N3535">
        <v>1</v>
      </c>
      <c r="O3535" t="str">
        <f t="shared" si="296"/>
        <v>42</v>
      </c>
      <c r="P3535">
        <v>42</v>
      </c>
      <c r="R3535" t="s">
        <v>1269</v>
      </c>
      <c r="S3535">
        <v>3</v>
      </c>
      <c r="T3535">
        <v>0.21990000000000001</v>
      </c>
      <c r="U3535">
        <f t="shared" si="292"/>
        <v>0</v>
      </c>
      <c r="V3535" t="str">
        <f t="shared" si="293"/>
        <v>Elementary Counselor</v>
      </c>
      <c r="W3535" t="str">
        <f t="shared" si="294"/>
        <v>Counselor</v>
      </c>
    </row>
    <row r="3536" spans="1:23" x14ac:dyDescent="0.25">
      <c r="A3536">
        <v>39208</v>
      </c>
      <c r="B3536" t="s">
        <v>1270</v>
      </c>
      <c r="C3536">
        <v>3.2</v>
      </c>
      <c r="D3536" t="s">
        <v>1264</v>
      </c>
      <c r="E3536">
        <v>100292</v>
      </c>
      <c r="F3536">
        <v>39208</v>
      </c>
      <c r="G3536" t="str">
        <f t="shared" si="295"/>
        <v>39208</v>
      </c>
      <c r="H3536" t="s">
        <v>598</v>
      </c>
      <c r="I3536" t="s">
        <v>1265</v>
      </c>
      <c r="J3536" t="s">
        <v>1271</v>
      </c>
      <c r="K3536" t="s">
        <v>1272</v>
      </c>
      <c r="L3536" t="s">
        <v>1270</v>
      </c>
      <c r="M3536" t="s">
        <v>1273</v>
      </c>
      <c r="N3536">
        <v>1</v>
      </c>
      <c r="O3536" t="str">
        <f t="shared" si="296"/>
        <v>42</v>
      </c>
      <c r="P3536">
        <v>42</v>
      </c>
      <c r="R3536" t="s">
        <v>1269</v>
      </c>
      <c r="S3536">
        <v>3.2</v>
      </c>
      <c r="T3536">
        <v>0.21990000000000001</v>
      </c>
      <c r="U3536">
        <f t="shared" si="292"/>
        <v>0</v>
      </c>
      <c r="V3536" t="str">
        <f t="shared" si="293"/>
        <v>High Counselor</v>
      </c>
      <c r="W3536" t="str">
        <f t="shared" si="294"/>
        <v>Counselor</v>
      </c>
    </row>
    <row r="3537" spans="1:23" x14ac:dyDescent="0.25">
      <c r="A3537">
        <v>39208</v>
      </c>
      <c r="B3537" t="s">
        <v>1365</v>
      </c>
      <c r="C3537">
        <v>1</v>
      </c>
      <c r="D3537" t="s">
        <v>1264</v>
      </c>
      <c r="E3537">
        <v>100292</v>
      </c>
      <c r="F3537">
        <v>39208</v>
      </c>
      <c r="G3537" t="str">
        <f t="shared" si="295"/>
        <v>39208</v>
      </c>
      <c r="H3537" t="s">
        <v>598</v>
      </c>
      <c r="I3537" t="s">
        <v>1265</v>
      </c>
      <c r="J3537" t="s">
        <v>1266</v>
      </c>
      <c r="K3537" t="s">
        <v>1267</v>
      </c>
      <c r="L3537" t="s">
        <v>1365</v>
      </c>
      <c r="M3537" t="s">
        <v>1428</v>
      </c>
      <c r="N3537">
        <v>21</v>
      </c>
      <c r="O3537" t="str">
        <f t="shared" si="296"/>
        <v>42</v>
      </c>
      <c r="P3537">
        <v>42</v>
      </c>
      <c r="R3537" t="s">
        <v>1269</v>
      </c>
      <c r="S3537">
        <v>1</v>
      </c>
      <c r="T3537">
        <v>0.21990000000000001</v>
      </c>
      <c r="U3537">
        <f t="shared" si="292"/>
        <v>0.22</v>
      </c>
      <c r="V3537" t="str">
        <f t="shared" si="293"/>
        <v>Middle Counselor</v>
      </c>
      <c r="W3537" t="str">
        <f t="shared" si="294"/>
        <v>Counselor</v>
      </c>
    </row>
    <row r="3538" spans="1:23" x14ac:dyDescent="0.25">
      <c r="A3538">
        <v>39208</v>
      </c>
      <c r="B3538" t="s">
        <v>1263</v>
      </c>
      <c r="C3538">
        <v>2.6</v>
      </c>
      <c r="D3538" t="s">
        <v>1264</v>
      </c>
      <c r="E3538">
        <v>100292</v>
      </c>
      <c r="F3538">
        <v>39208</v>
      </c>
      <c r="G3538" t="str">
        <f t="shared" si="295"/>
        <v>39208</v>
      </c>
      <c r="H3538" t="s">
        <v>598</v>
      </c>
      <c r="I3538" t="s">
        <v>1265</v>
      </c>
      <c r="J3538" t="s">
        <v>1266</v>
      </c>
      <c r="K3538" t="s">
        <v>1267</v>
      </c>
      <c r="L3538" t="s">
        <v>1263</v>
      </c>
      <c r="M3538" t="s">
        <v>1268</v>
      </c>
      <c r="N3538">
        <v>1</v>
      </c>
      <c r="O3538" t="str">
        <f t="shared" si="296"/>
        <v>42</v>
      </c>
      <c r="P3538">
        <v>42</v>
      </c>
      <c r="R3538" t="s">
        <v>1269</v>
      </c>
      <c r="S3538">
        <v>2.6</v>
      </c>
      <c r="T3538">
        <v>0.21990000000000001</v>
      </c>
      <c r="U3538">
        <f t="shared" si="292"/>
        <v>0</v>
      </c>
      <c r="V3538" t="str">
        <f t="shared" si="293"/>
        <v>Middle Counselor</v>
      </c>
      <c r="W3538" t="str">
        <f t="shared" si="294"/>
        <v>Counselor</v>
      </c>
    </row>
    <row r="3539" spans="1:23" x14ac:dyDescent="0.25">
      <c r="A3539">
        <v>39208</v>
      </c>
      <c r="B3539" t="s">
        <v>1294</v>
      </c>
      <c r="C3539">
        <v>3.4</v>
      </c>
      <c r="D3539" t="s">
        <v>1264</v>
      </c>
      <c r="E3539">
        <v>100292</v>
      </c>
      <c r="F3539">
        <v>39208</v>
      </c>
      <c r="G3539" t="str">
        <f t="shared" si="295"/>
        <v>39208</v>
      </c>
      <c r="H3539" t="s">
        <v>598</v>
      </c>
      <c r="I3539" t="s">
        <v>1265</v>
      </c>
      <c r="J3539" t="s">
        <v>1276</v>
      </c>
      <c r="K3539" t="s">
        <v>1277</v>
      </c>
      <c r="L3539" t="s">
        <v>1294</v>
      </c>
      <c r="M3539" t="s">
        <v>1354</v>
      </c>
      <c r="N3539">
        <v>21</v>
      </c>
      <c r="O3539" t="str">
        <f t="shared" si="296"/>
        <v>45</v>
      </c>
      <c r="P3539">
        <v>45</v>
      </c>
      <c r="R3539" t="s">
        <v>1269</v>
      </c>
      <c r="S3539">
        <v>3.4</v>
      </c>
      <c r="T3539">
        <v>0.21990000000000001</v>
      </c>
      <c r="U3539">
        <f t="shared" si="292"/>
        <v>0.748</v>
      </c>
      <c r="V3539" t="str">
        <f t="shared" si="293"/>
        <v>Elementary Speech, Language Pathway/
Audio</v>
      </c>
      <c r="W3539" t="str">
        <f t="shared" si="294"/>
        <v>Speech, Language Pathway/
Audio</v>
      </c>
    </row>
    <row r="3540" spans="1:23" x14ac:dyDescent="0.25">
      <c r="A3540">
        <v>39208</v>
      </c>
      <c r="B3540" t="s">
        <v>1298</v>
      </c>
      <c r="C3540">
        <v>3.75</v>
      </c>
      <c r="D3540" t="s">
        <v>1264</v>
      </c>
      <c r="E3540">
        <v>100292</v>
      </c>
      <c r="F3540">
        <v>39208</v>
      </c>
      <c r="G3540" t="str">
        <f t="shared" si="295"/>
        <v>39208</v>
      </c>
      <c r="H3540" t="s">
        <v>598</v>
      </c>
      <c r="I3540" t="s">
        <v>1265</v>
      </c>
      <c r="J3540" t="s">
        <v>1276</v>
      </c>
      <c r="K3540" t="s">
        <v>1277</v>
      </c>
      <c r="L3540" t="s">
        <v>1298</v>
      </c>
      <c r="M3540" t="s">
        <v>1349</v>
      </c>
      <c r="N3540">
        <v>21</v>
      </c>
      <c r="O3540" t="str">
        <f t="shared" si="296"/>
        <v>46</v>
      </c>
      <c r="P3540">
        <v>46</v>
      </c>
      <c r="R3540" t="s">
        <v>1269</v>
      </c>
      <c r="S3540">
        <v>3.75</v>
      </c>
      <c r="T3540">
        <v>0.21990000000000001</v>
      </c>
      <c r="U3540">
        <f t="shared" si="292"/>
        <v>0.82499999999999996</v>
      </c>
      <c r="V3540" t="str">
        <f t="shared" si="293"/>
        <v>Elementary Psychologist</v>
      </c>
      <c r="W3540" t="str">
        <f t="shared" si="294"/>
        <v>Psychologist</v>
      </c>
    </row>
    <row r="3541" spans="1:23" x14ac:dyDescent="0.25">
      <c r="A3541">
        <v>39208</v>
      </c>
      <c r="B3541" t="s">
        <v>1309</v>
      </c>
      <c r="C3541">
        <v>1.25</v>
      </c>
      <c r="D3541" t="s">
        <v>1264</v>
      </c>
      <c r="E3541">
        <v>100292</v>
      </c>
      <c r="F3541">
        <v>39208</v>
      </c>
      <c r="G3541" t="str">
        <f t="shared" si="295"/>
        <v>39208</v>
      </c>
      <c r="H3541" t="s">
        <v>598</v>
      </c>
      <c r="I3541" t="s">
        <v>1265</v>
      </c>
      <c r="J3541" t="s">
        <v>1271</v>
      </c>
      <c r="K3541" t="s">
        <v>1272</v>
      </c>
      <c r="L3541" t="s">
        <v>1309</v>
      </c>
      <c r="M3541" t="s">
        <v>1310</v>
      </c>
      <c r="N3541">
        <v>21</v>
      </c>
      <c r="O3541" t="str">
        <f t="shared" si="296"/>
        <v>46</v>
      </c>
      <c r="P3541">
        <v>46</v>
      </c>
      <c r="R3541" t="s">
        <v>1269</v>
      </c>
      <c r="S3541">
        <v>1.25</v>
      </c>
      <c r="T3541">
        <v>0.21990000000000001</v>
      </c>
      <c r="U3541">
        <f t="shared" si="292"/>
        <v>0.27500000000000002</v>
      </c>
      <c r="V3541" t="str">
        <f t="shared" si="293"/>
        <v>High Psychologist</v>
      </c>
      <c r="W3541" t="str">
        <f t="shared" si="294"/>
        <v>Psychologist</v>
      </c>
    </row>
    <row r="3542" spans="1:23" x14ac:dyDescent="0.25">
      <c r="A3542">
        <v>39208</v>
      </c>
      <c r="B3542" t="s">
        <v>1345</v>
      </c>
      <c r="C3542">
        <v>1</v>
      </c>
      <c r="D3542" t="s">
        <v>1264</v>
      </c>
      <c r="E3542">
        <v>100292</v>
      </c>
      <c r="F3542">
        <v>39208</v>
      </c>
      <c r="G3542" t="str">
        <f t="shared" si="295"/>
        <v>39208</v>
      </c>
      <c r="H3542" t="s">
        <v>598</v>
      </c>
      <c r="I3542" t="s">
        <v>1265</v>
      </c>
      <c r="J3542" t="s">
        <v>1266</v>
      </c>
      <c r="K3542" t="s">
        <v>1267</v>
      </c>
      <c r="L3542" t="s">
        <v>1345</v>
      </c>
      <c r="M3542" t="s">
        <v>1346</v>
      </c>
      <c r="N3542">
        <v>21</v>
      </c>
      <c r="O3542" t="str">
        <f t="shared" si="296"/>
        <v>46</v>
      </c>
      <c r="P3542">
        <v>46</v>
      </c>
      <c r="R3542" t="s">
        <v>1269</v>
      </c>
      <c r="S3542">
        <v>1</v>
      </c>
      <c r="T3542">
        <v>0.21990000000000001</v>
      </c>
      <c r="U3542">
        <f t="shared" si="292"/>
        <v>0.22</v>
      </c>
      <c r="V3542" t="str">
        <f t="shared" si="293"/>
        <v>Middle Psychologist</v>
      </c>
      <c r="W3542" t="str">
        <f t="shared" si="294"/>
        <v>Psychologist</v>
      </c>
    </row>
    <row r="3543" spans="1:23" x14ac:dyDescent="0.25">
      <c r="A3543">
        <v>39208</v>
      </c>
      <c r="B3543" t="s">
        <v>1340</v>
      </c>
      <c r="C3543">
        <v>1</v>
      </c>
      <c r="D3543" t="s">
        <v>1264</v>
      </c>
      <c r="E3543">
        <v>100292</v>
      </c>
      <c r="F3543">
        <v>39208</v>
      </c>
      <c r="G3543" t="str">
        <f t="shared" si="295"/>
        <v>39208</v>
      </c>
      <c r="H3543" t="s">
        <v>598</v>
      </c>
      <c r="I3543" t="s">
        <v>1265</v>
      </c>
      <c r="J3543" t="s">
        <v>1276</v>
      </c>
      <c r="K3543" t="s">
        <v>1277</v>
      </c>
      <c r="L3543" t="s">
        <v>1340</v>
      </c>
      <c r="M3543" t="s">
        <v>1395</v>
      </c>
      <c r="N3543">
        <v>21</v>
      </c>
      <c r="O3543" t="str">
        <f t="shared" si="296"/>
        <v>49</v>
      </c>
      <c r="P3543">
        <v>49</v>
      </c>
      <c r="R3543" t="s">
        <v>1269</v>
      </c>
      <c r="S3543">
        <v>1</v>
      </c>
      <c r="T3543">
        <v>0.21990000000000001</v>
      </c>
      <c r="U3543">
        <f t="shared" si="292"/>
        <v>0.22</v>
      </c>
      <c r="V3543" t="str">
        <f t="shared" si="293"/>
        <v>Elementary Behavior Analyst</v>
      </c>
      <c r="W3543" t="str">
        <f t="shared" si="294"/>
        <v>Behavior Analyst</v>
      </c>
    </row>
    <row r="3544" spans="1:23" x14ac:dyDescent="0.25">
      <c r="A3544">
        <v>39208</v>
      </c>
      <c r="B3544" t="s">
        <v>1343</v>
      </c>
      <c r="C3544">
        <v>2</v>
      </c>
      <c r="D3544" t="s">
        <v>1264</v>
      </c>
      <c r="E3544">
        <v>100292</v>
      </c>
      <c r="F3544">
        <v>39208</v>
      </c>
      <c r="G3544" t="str">
        <f t="shared" si="295"/>
        <v>39208</v>
      </c>
      <c r="H3544" t="s">
        <v>598</v>
      </c>
      <c r="I3544" t="s">
        <v>1265</v>
      </c>
      <c r="J3544" t="s">
        <v>1276</v>
      </c>
      <c r="K3544" t="s">
        <v>1277</v>
      </c>
      <c r="L3544" t="s">
        <v>1343</v>
      </c>
      <c r="M3544" t="s">
        <v>1434</v>
      </c>
      <c r="N3544">
        <v>1</v>
      </c>
      <c r="O3544" t="str">
        <f t="shared" si="296"/>
        <v>49</v>
      </c>
      <c r="P3544">
        <v>49</v>
      </c>
      <c r="R3544" t="s">
        <v>1269</v>
      </c>
      <c r="S3544">
        <v>2</v>
      </c>
      <c r="T3544">
        <v>0.21990000000000001</v>
      </c>
      <c r="U3544">
        <f t="shared" si="292"/>
        <v>0</v>
      </c>
      <c r="V3544" t="str">
        <f t="shared" si="293"/>
        <v>Elementary Behavior Analyst</v>
      </c>
      <c r="W3544" t="str">
        <f t="shared" si="294"/>
        <v>Behavior Analyst</v>
      </c>
    </row>
    <row r="3545" spans="1:23" x14ac:dyDescent="0.25">
      <c r="A3545">
        <v>39209</v>
      </c>
      <c r="B3545" t="s">
        <v>1311</v>
      </c>
      <c r="C3545">
        <v>0.74199999999999999</v>
      </c>
      <c r="D3545" t="s">
        <v>1264</v>
      </c>
      <c r="E3545">
        <v>100155</v>
      </c>
      <c r="F3545">
        <v>39209</v>
      </c>
      <c r="G3545" t="str">
        <f t="shared" si="295"/>
        <v>39209</v>
      </c>
      <c r="H3545" t="s">
        <v>599</v>
      </c>
      <c r="I3545" t="s">
        <v>1265</v>
      </c>
      <c r="J3545" t="s">
        <v>1276</v>
      </c>
      <c r="K3545" t="s">
        <v>1277</v>
      </c>
      <c r="L3545" t="s">
        <v>1311</v>
      </c>
      <c r="M3545" t="s">
        <v>1327</v>
      </c>
      <c r="N3545">
        <v>21</v>
      </c>
      <c r="O3545" t="str">
        <f t="shared" si="296"/>
        <v>26</v>
      </c>
      <c r="Q3545">
        <v>26</v>
      </c>
      <c r="R3545" t="s">
        <v>1269</v>
      </c>
      <c r="S3545">
        <v>0.74199999999999999</v>
      </c>
      <c r="T3545">
        <v>0.20219999999999999</v>
      </c>
      <c r="U3545">
        <f t="shared" si="292"/>
        <v>0.15</v>
      </c>
      <c r="V3545" t="str">
        <f t="shared" si="293"/>
        <v>Elementary Health/
Related Services</v>
      </c>
      <c r="W3545" t="str">
        <f t="shared" si="294"/>
        <v>Health/
Related Services</v>
      </c>
    </row>
    <row r="3546" spans="1:23" x14ac:dyDescent="0.25">
      <c r="A3546">
        <v>39209</v>
      </c>
      <c r="B3546" t="s">
        <v>1315</v>
      </c>
      <c r="C3546">
        <v>0.63900000000000001</v>
      </c>
      <c r="D3546" t="s">
        <v>1264</v>
      </c>
      <c r="E3546">
        <v>100155</v>
      </c>
      <c r="F3546">
        <v>39209</v>
      </c>
      <c r="G3546" t="str">
        <f t="shared" si="295"/>
        <v>39209</v>
      </c>
      <c r="H3546" t="s">
        <v>599</v>
      </c>
      <c r="I3546" t="s">
        <v>1265</v>
      </c>
      <c r="J3546" t="s">
        <v>1276</v>
      </c>
      <c r="K3546" t="s">
        <v>1277</v>
      </c>
      <c r="L3546" t="s">
        <v>1315</v>
      </c>
      <c r="M3546" t="s">
        <v>1375</v>
      </c>
      <c r="N3546">
        <v>1</v>
      </c>
      <c r="O3546" t="str">
        <f t="shared" si="296"/>
        <v>26</v>
      </c>
      <c r="Q3546">
        <v>26</v>
      </c>
      <c r="R3546" t="s">
        <v>1269</v>
      </c>
      <c r="S3546">
        <v>0.63900000000000001</v>
      </c>
      <c r="T3546">
        <v>0.20219999999999999</v>
      </c>
      <c r="U3546">
        <f t="shared" si="292"/>
        <v>0</v>
      </c>
      <c r="V3546" t="str">
        <f t="shared" si="293"/>
        <v>Elementary Health/
Related Services</v>
      </c>
      <c r="W3546" t="str">
        <f t="shared" si="294"/>
        <v>Health/
Related Services</v>
      </c>
    </row>
    <row r="3547" spans="1:23" x14ac:dyDescent="0.25">
      <c r="A3547">
        <v>39209</v>
      </c>
      <c r="B3547" t="s">
        <v>1324</v>
      </c>
      <c r="C3547">
        <v>1.4890000000000001</v>
      </c>
      <c r="D3547" t="s">
        <v>1264</v>
      </c>
      <c r="E3547">
        <v>100155</v>
      </c>
      <c r="F3547">
        <v>39209</v>
      </c>
      <c r="G3547" t="str">
        <f t="shared" si="295"/>
        <v>39209</v>
      </c>
      <c r="H3547" t="s">
        <v>599</v>
      </c>
      <c r="I3547" t="s">
        <v>1265</v>
      </c>
      <c r="J3547" t="s">
        <v>1271</v>
      </c>
      <c r="K3547" t="s">
        <v>1272</v>
      </c>
      <c r="L3547" t="s">
        <v>1324</v>
      </c>
      <c r="M3547" t="s">
        <v>1325</v>
      </c>
      <c r="N3547">
        <v>21</v>
      </c>
      <c r="O3547" t="str">
        <f t="shared" si="296"/>
        <v>26</v>
      </c>
      <c r="Q3547">
        <v>26</v>
      </c>
      <c r="R3547" t="s">
        <v>1269</v>
      </c>
      <c r="S3547">
        <v>1.4890000000000001</v>
      </c>
      <c r="T3547">
        <v>0.20219999999999999</v>
      </c>
      <c r="U3547">
        <f t="shared" si="292"/>
        <v>0.30099999999999999</v>
      </c>
      <c r="V3547" t="str">
        <f t="shared" si="293"/>
        <v>High Health/
Related Services</v>
      </c>
      <c r="W3547" t="str">
        <f t="shared" si="294"/>
        <v>Health/
Related Services</v>
      </c>
    </row>
    <row r="3548" spans="1:23" x14ac:dyDescent="0.25">
      <c r="A3548">
        <v>39209</v>
      </c>
      <c r="B3548" t="s">
        <v>1295</v>
      </c>
      <c r="C3548">
        <v>0.63900000000000001</v>
      </c>
      <c r="D3548" t="s">
        <v>1264</v>
      </c>
      <c r="E3548">
        <v>100155</v>
      </c>
      <c r="F3548">
        <v>39209</v>
      </c>
      <c r="G3548" t="str">
        <f t="shared" si="295"/>
        <v>39209</v>
      </c>
      <c r="H3548" t="s">
        <v>599</v>
      </c>
      <c r="I3548" t="s">
        <v>1265</v>
      </c>
      <c r="J3548" t="s">
        <v>1271</v>
      </c>
      <c r="K3548" t="s">
        <v>1272</v>
      </c>
      <c r="L3548" t="s">
        <v>1295</v>
      </c>
      <c r="M3548" t="s">
        <v>1296</v>
      </c>
      <c r="N3548">
        <v>1</v>
      </c>
      <c r="O3548" t="str">
        <f t="shared" si="296"/>
        <v>26</v>
      </c>
      <c r="Q3548">
        <v>26</v>
      </c>
      <c r="R3548" t="s">
        <v>1269</v>
      </c>
      <c r="S3548">
        <v>0.63900000000000001</v>
      </c>
      <c r="T3548">
        <v>0.20219999999999999</v>
      </c>
      <c r="U3548">
        <f t="shared" si="292"/>
        <v>0</v>
      </c>
      <c r="V3548" t="str">
        <f t="shared" si="293"/>
        <v>High Health/
Related Services</v>
      </c>
      <c r="W3548" t="str">
        <f t="shared" si="294"/>
        <v>Health/
Related Services</v>
      </c>
    </row>
    <row r="3549" spans="1:23" x14ac:dyDescent="0.25">
      <c r="A3549">
        <v>39209</v>
      </c>
      <c r="B3549" t="s">
        <v>1322</v>
      </c>
      <c r="C3549">
        <v>0.21099999999999999</v>
      </c>
      <c r="D3549" t="s">
        <v>1264</v>
      </c>
      <c r="E3549">
        <v>100155</v>
      </c>
      <c r="F3549">
        <v>39209</v>
      </c>
      <c r="G3549" t="str">
        <f t="shared" si="295"/>
        <v>39209</v>
      </c>
      <c r="H3549" t="s">
        <v>599</v>
      </c>
      <c r="I3549" t="s">
        <v>1265</v>
      </c>
      <c r="J3549" t="s">
        <v>1266</v>
      </c>
      <c r="K3549" t="s">
        <v>1267</v>
      </c>
      <c r="L3549" t="s">
        <v>1322</v>
      </c>
      <c r="M3549" t="s">
        <v>1323</v>
      </c>
      <c r="N3549">
        <v>21</v>
      </c>
      <c r="O3549" t="str">
        <f t="shared" si="296"/>
        <v>26</v>
      </c>
      <c r="Q3549">
        <v>26</v>
      </c>
      <c r="R3549" t="s">
        <v>1269</v>
      </c>
      <c r="S3549">
        <v>0.21099999999999999</v>
      </c>
      <c r="T3549">
        <v>0.20219999999999999</v>
      </c>
      <c r="U3549">
        <f t="shared" si="292"/>
        <v>4.2999999999999997E-2</v>
      </c>
      <c r="V3549" t="str">
        <f t="shared" si="293"/>
        <v>Middle Health/
Related Services</v>
      </c>
      <c r="W3549" t="str">
        <f t="shared" si="294"/>
        <v>Health/
Related Services</v>
      </c>
    </row>
    <row r="3550" spans="1:23" x14ac:dyDescent="0.25">
      <c r="A3550">
        <v>39209</v>
      </c>
      <c r="B3550" t="s">
        <v>1291</v>
      </c>
      <c r="C3550">
        <v>0.63900000000000001</v>
      </c>
      <c r="D3550" t="s">
        <v>1264</v>
      </c>
      <c r="E3550">
        <v>100155</v>
      </c>
      <c r="F3550">
        <v>39209</v>
      </c>
      <c r="G3550" t="str">
        <f t="shared" si="295"/>
        <v>39209</v>
      </c>
      <c r="H3550" t="s">
        <v>599</v>
      </c>
      <c r="I3550" t="s">
        <v>1265</v>
      </c>
      <c r="J3550" t="s">
        <v>1266</v>
      </c>
      <c r="K3550" t="s">
        <v>1267</v>
      </c>
      <c r="L3550" t="s">
        <v>1291</v>
      </c>
      <c r="M3550" t="s">
        <v>1292</v>
      </c>
      <c r="N3550">
        <v>1</v>
      </c>
      <c r="O3550" t="str">
        <f t="shared" si="296"/>
        <v>26</v>
      </c>
      <c r="Q3550">
        <v>26</v>
      </c>
      <c r="R3550" t="s">
        <v>1269</v>
      </c>
      <c r="S3550">
        <v>0.63900000000000001</v>
      </c>
      <c r="T3550">
        <v>0.20219999999999999</v>
      </c>
      <c r="U3550">
        <f t="shared" si="292"/>
        <v>0</v>
      </c>
      <c r="V3550" t="str">
        <f t="shared" si="293"/>
        <v>Middle Health/
Related Services</v>
      </c>
      <c r="W3550" t="str">
        <f t="shared" si="294"/>
        <v>Health/
Related Services</v>
      </c>
    </row>
    <row r="3551" spans="1:23" x14ac:dyDescent="0.25">
      <c r="A3551">
        <v>39209</v>
      </c>
      <c r="B3551" t="s">
        <v>1275</v>
      </c>
      <c r="C3551">
        <v>0.78</v>
      </c>
      <c r="D3551" t="s">
        <v>1264</v>
      </c>
      <c r="E3551">
        <v>100155</v>
      </c>
      <c r="F3551">
        <v>39209</v>
      </c>
      <c r="G3551" t="str">
        <f t="shared" si="295"/>
        <v>39209</v>
      </c>
      <c r="H3551" t="s">
        <v>599</v>
      </c>
      <c r="I3551" t="s">
        <v>1265</v>
      </c>
      <c r="J3551" t="s">
        <v>1276</v>
      </c>
      <c r="K3551" t="s">
        <v>1277</v>
      </c>
      <c r="L3551" t="s">
        <v>1275</v>
      </c>
      <c r="M3551" t="s">
        <v>1278</v>
      </c>
      <c r="N3551">
        <v>1</v>
      </c>
      <c r="O3551" t="str">
        <f t="shared" si="296"/>
        <v>42</v>
      </c>
      <c r="P3551">
        <v>42</v>
      </c>
      <c r="R3551" t="s">
        <v>1269</v>
      </c>
      <c r="S3551">
        <v>0.78</v>
      </c>
      <c r="T3551">
        <v>0.20219999999999999</v>
      </c>
      <c r="U3551">
        <f t="shared" si="292"/>
        <v>0</v>
      </c>
      <c r="V3551" t="str">
        <f t="shared" si="293"/>
        <v>Elementary Counselor</v>
      </c>
      <c r="W3551" t="str">
        <f t="shared" si="294"/>
        <v>Counselor</v>
      </c>
    </row>
    <row r="3552" spans="1:23" x14ac:dyDescent="0.25">
      <c r="A3552">
        <v>39209</v>
      </c>
      <c r="B3552" t="s">
        <v>1263</v>
      </c>
      <c r="C3552">
        <v>0.22</v>
      </c>
      <c r="D3552" t="s">
        <v>1264</v>
      </c>
      <c r="E3552">
        <v>100155</v>
      </c>
      <c r="F3552">
        <v>39209</v>
      </c>
      <c r="G3552" t="str">
        <f t="shared" si="295"/>
        <v>39209</v>
      </c>
      <c r="H3552" t="s">
        <v>599</v>
      </c>
      <c r="I3552" t="s">
        <v>1265</v>
      </c>
      <c r="J3552" t="s">
        <v>1266</v>
      </c>
      <c r="K3552" t="s">
        <v>1267</v>
      </c>
      <c r="L3552" t="s">
        <v>1263</v>
      </c>
      <c r="M3552" t="s">
        <v>1268</v>
      </c>
      <c r="N3552">
        <v>1</v>
      </c>
      <c r="O3552" t="str">
        <f t="shared" si="296"/>
        <v>42</v>
      </c>
      <c r="P3552">
        <v>42</v>
      </c>
      <c r="R3552" t="s">
        <v>1269</v>
      </c>
      <c r="S3552">
        <v>0.22</v>
      </c>
      <c r="T3552">
        <v>0.20219999999999999</v>
      </c>
      <c r="U3552">
        <f t="shared" si="292"/>
        <v>0</v>
      </c>
      <c r="V3552" t="str">
        <f t="shared" si="293"/>
        <v>Middle Counselor</v>
      </c>
      <c r="W3552" t="str">
        <f t="shared" si="294"/>
        <v>Counselor</v>
      </c>
    </row>
    <row r="3553" spans="1:23" x14ac:dyDescent="0.25">
      <c r="A3553">
        <v>39209</v>
      </c>
      <c r="B3553" t="s">
        <v>1359</v>
      </c>
      <c r="C3553">
        <v>0.3</v>
      </c>
      <c r="D3553" t="s">
        <v>1264</v>
      </c>
      <c r="E3553">
        <v>100155</v>
      </c>
      <c r="F3553">
        <v>39209</v>
      </c>
      <c r="G3553" t="str">
        <f t="shared" si="295"/>
        <v>39209</v>
      </c>
      <c r="H3553" t="s">
        <v>599</v>
      </c>
      <c r="I3553" t="s">
        <v>1265</v>
      </c>
      <c r="J3553" t="s">
        <v>1271</v>
      </c>
      <c r="K3553" t="s">
        <v>1272</v>
      </c>
      <c r="L3553" t="s">
        <v>1359</v>
      </c>
      <c r="M3553" t="s">
        <v>1360</v>
      </c>
      <c r="N3553">
        <v>1</v>
      </c>
      <c r="O3553" t="str">
        <f t="shared" si="296"/>
        <v>44</v>
      </c>
      <c r="P3553">
        <v>44</v>
      </c>
      <c r="R3553" t="s">
        <v>1269</v>
      </c>
      <c r="S3553">
        <v>0.3</v>
      </c>
      <c r="T3553">
        <v>0.20219999999999999</v>
      </c>
      <c r="U3553">
        <f t="shared" si="292"/>
        <v>0</v>
      </c>
      <c r="V3553" t="str">
        <f t="shared" si="293"/>
        <v>High Social Worker</v>
      </c>
      <c r="W3553" t="str">
        <f t="shared" si="294"/>
        <v>Social Worker</v>
      </c>
    </row>
    <row r="3554" spans="1:23" x14ac:dyDescent="0.25">
      <c r="A3554">
        <v>39901</v>
      </c>
      <c r="B3554" t="s">
        <v>1290</v>
      </c>
      <c r="C3554">
        <v>6</v>
      </c>
      <c r="D3554" t="s">
        <v>1264</v>
      </c>
      <c r="E3554">
        <v>106181</v>
      </c>
      <c r="F3554">
        <v>39901</v>
      </c>
      <c r="G3554" t="str">
        <f t="shared" si="295"/>
        <v>39901</v>
      </c>
      <c r="H3554" t="s">
        <v>1246</v>
      </c>
      <c r="I3554" t="s">
        <v>1265</v>
      </c>
      <c r="J3554" t="s">
        <v>1271</v>
      </c>
      <c r="K3554" t="s">
        <v>1272</v>
      </c>
      <c r="L3554" t="s">
        <v>1290</v>
      </c>
      <c r="M3554" t="s">
        <v>1412</v>
      </c>
      <c r="N3554">
        <v>97</v>
      </c>
      <c r="O3554" t="str">
        <f t="shared" si="296"/>
        <v>25</v>
      </c>
      <c r="Q3554">
        <v>25</v>
      </c>
      <c r="R3554" t="s">
        <v>1269</v>
      </c>
      <c r="S3554">
        <v>6</v>
      </c>
      <c r="T3554">
        <v>0.21360000000000001</v>
      </c>
      <c r="U3554">
        <f t="shared" si="292"/>
        <v>0</v>
      </c>
      <c r="V3554" t="str">
        <f t="shared" si="293"/>
        <v>High Pupil Management</v>
      </c>
      <c r="W3554" t="str">
        <f t="shared" si="294"/>
        <v>Pupil Management</v>
      </c>
    </row>
    <row r="3555" spans="1:23" x14ac:dyDescent="0.25">
      <c r="A3555">
        <v>39901</v>
      </c>
      <c r="B3555" t="s">
        <v>1402</v>
      </c>
      <c r="C3555">
        <v>1</v>
      </c>
      <c r="D3555" t="s">
        <v>1264</v>
      </c>
      <c r="E3555">
        <v>106181</v>
      </c>
      <c r="F3555">
        <v>39901</v>
      </c>
      <c r="G3555" t="str">
        <f t="shared" si="295"/>
        <v>39901</v>
      </c>
      <c r="H3555" t="s">
        <v>1246</v>
      </c>
      <c r="I3555" t="s">
        <v>1265</v>
      </c>
      <c r="J3555" t="s">
        <v>1271</v>
      </c>
      <c r="K3555" t="s">
        <v>1272</v>
      </c>
      <c r="L3555" t="s">
        <v>1402</v>
      </c>
      <c r="M3555" t="s">
        <v>1408</v>
      </c>
      <c r="N3555">
        <v>97</v>
      </c>
      <c r="O3555" t="str">
        <f t="shared" si="296"/>
        <v>35</v>
      </c>
      <c r="Q3555">
        <v>35</v>
      </c>
      <c r="R3555" t="s">
        <v>1269</v>
      </c>
      <c r="S3555">
        <v>1</v>
      </c>
      <c r="T3555">
        <v>0.21360000000000001</v>
      </c>
      <c r="U3555">
        <f t="shared" si="292"/>
        <v>0</v>
      </c>
      <c r="V3555" t="str">
        <f t="shared" si="293"/>
        <v>High Pupil Safety</v>
      </c>
      <c r="W3555" t="str">
        <f t="shared" si="294"/>
        <v>Pupil Safety</v>
      </c>
    </row>
    <row r="3556" spans="1:23" x14ac:dyDescent="0.25">
      <c r="G3556" t="str">
        <f t="shared" si="295"/>
        <v>00000</v>
      </c>
      <c r="H3556" s="89" t="s">
        <v>1650</v>
      </c>
      <c r="I3556" s="89" t="s">
        <v>1265</v>
      </c>
      <c r="J3556" s="89" t="s">
        <v>1276</v>
      </c>
      <c r="K3556" s="89" t="s">
        <v>1277</v>
      </c>
      <c r="L3556" s="89" t="s">
        <v>1288</v>
      </c>
      <c r="M3556" s="89" t="s">
        <v>1651</v>
      </c>
      <c r="N3556" s="89">
        <v>21</v>
      </c>
      <c r="O3556" t="str">
        <f t="shared" si="296"/>
        <v>24</v>
      </c>
      <c r="Q3556">
        <v>24</v>
      </c>
      <c r="S3556">
        <v>0</v>
      </c>
      <c r="U3556">
        <f t="shared" si="292"/>
        <v>0</v>
      </c>
      <c r="V3556" t="str">
        <f t="shared" si="293"/>
        <v>Elementary Family Engagement Coordinator</v>
      </c>
      <c r="W3556" t="str">
        <f t="shared" si="294"/>
        <v>Family Engagement Coordinator</v>
      </c>
    </row>
    <row r="3557" spans="1:23" x14ac:dyDescent="0.25">
      <c r="G3557" t="str">
        <f t="shared" si="295"/>
        <v>00000</v>
      </c>
      <c r="H3557" s="89" t="s">
        <v>1650</v>
      </c>
      <c r="I3557" s="89" t="s">
        <v>1265</v>
      </c>
      <c r="J3557" s="89" t="s">
        <v>1266</v>
      </c>
      <c r="K3557" s="89" t="s">
        <v>1267</v>
      </c>
      <c r="L3557" s="89" t="s">
        <v>1355</v>
      </c>
      <c r="M3557" s="89" t="s">
        <v>1652</v>
      </c>
      <c r="N3557" s="89">
        <v>21</v>
      </c>
      <c r="O3557" t="str">
        <f t="shared" si="296"/>
        <v>24</v>
      </c>
      <c r="Q3557">
        <v>24</v>
      </c>
      <c r="S3557">
        <v>0</v>
      </c>
      <c r="U3557">
        <f t="shared" si="292"/>
        <v>0</v>
      </c>
      <c r="V3557" t="str">
        <f t="shared" si="293"/>
        <v>Middle Family Engagement Coordinator</v>
      </c>
      <c r="W3557" t="str">
        <f t="shared" si="294"/>
        <v>Family Engagement Coordinator</v>
      </c>
    </row>
    <row r="3558" spans="1:23" x14ac:dyDescent="0.25">
      <c r="G3558" t="str">
        <f t="shared" si="295"/>
        <v>00000</v>
      </c>
      <c r="H3558" s="89" t="s">
        <v>1650</v>
      </c>
      <c r="I3558" s="89" t="s">
        <v>1265</v>
      </c>
      <c r="J3558" s="89" t="s">
        <v>1271</v>
      </c>
      <c r="K3558" s="89" t="s">
        <v>1272</v>
      </c>
      <c r="L3558" s="89" t="s">
        <v>1379</v>
      </c>
      <c r="M3558" s="89" t="s">
        <v>1380</v>
      </c>
      <c r="N3558" s="89">
        <v>21</v>
      </c>
      <c r="O3558" t="str">
        <f t="shared" si="296"/>
        <v>24</v>
      </c>
      <c r="Q3558">
        <v>24</v>
      </c>
      <c r="S3558">
        <v>0</v>
      </c>
      <c r="U3558">
        <f t="shared" si="292"/>
        <v>0</v>
      </c>
      <c r="V3558" t="str">
        <f t="shared" si="293"/>
        <v>High Family Engagement Coordinator</v>
      </c>
      <c r="W3558" t="str">
        <f t="shared" si="294"/>
        <v>Family Engagement Coordinator</v>
      </c>
    </row>
    <row r="3559" spans="1:23" x14ac:dyDescent="0.25">
      <c r="G3559" t="str">
        <f t="shared" si="295"/>
        <v>00000</v>
      </c>
      <c r="H3559" s="89" t="s">
        <v>1650</v>
      </c>
      <c r="I3559" s="89" t="s">
        <v>1265</v>
      </c>
      <c r="J3559" s="89" t="s">
        <v>1276</v>
      </c>
      <c r="K3559" s="89" t="s">
        <v>1277</v>
      </c>
      <c r="L3559" s="89" t="s">
        <v>1293</v>
      </c>
      <c r="M3559" s="89" t="s">
        <v>1449</v>
      </c>
      <c r="N3559" s="89">
        <v>97</v>
      </c>
      <c r="O3559" t="str">
        <f t="shared" si="296"/>
        <v>24</v>
      </c>
      <c r="Q3559">
        <v>24</v>
      </c>
      <c r="S3559">
        <v>0</v>
      </c>
      <c r="U3559">
        <f t="shared" si="292"/>
        <v>0</v>
      </c>
      <c r="V3559" t="str">
        <f t="shared" si="293"/>
        <v>Elementary Family Engagement Coordinator</v>
      </c>
      <c r="W3559" t="str">
        <f t="shared" si="294"/>
        <v>Family Engagement Coordinator</v>
      </c>
    </row>
    <row r="3560" spans="1:23" x14ac:dyDescent="0.25">
      <c r="G3560" t="str">
        <f t="shared" si="295"/>
        <v>00000</v>
      </c>
      <c r="H3560" s="89" t="s">
        <v>1650</v>
      </c>
      <c r="I3560" s="89" t="s">
        <v>1265</v>
      </c>
      <c r="J3560" s="89" t="s">
        <v>1266</v>
      </c>
      <c r="K3560" s="89" t="s">
        <v>1267</v>
      </c>
      <c r="L3560" s="89" t="s">
        <v>1358</v>
      </c>
      <c r="M3560" s="89" t="s">
        <v>1448</v>
      </c>
      <c r="N3560" s="89">
        <v>97</v>
      </c>
      <c r="O3560" t="str">
        <f t="shared" si="296"/>
        <v>24</v>
      </c>
      <c r="Q3560">
        <v>24</v>
      </c>
      <c r="S3560">
        <v>0</v>
      </c>
      <c r="U3560">
        <f t="shared" si="292"/>
        <v>0</v>
      </c>
      <c r="V3560" t="str">
        <f t="shared" si="293"/>
        <v>Middle Family Engagement Coordinator</v>
      </c>
      <c r="W3560" t="str">
        <f t="shared" si="294"/>
        <v>Family Engagement Coordinator</v>
      </c>
    </row>
    <row r="3561" spans="1:23" x14ac:dyDescent="0.25">
      <c r="G3561" t="str">
        <f t="shared" si="295"/>
        <v>00000</v>
      </c>
      <c r="H3561" s="89" t="s">
        <v>1650</v>
      </c>
      <c r="I3561" s="89" t="s">
        <v>1265</v>
      </c>
      <c r="J3561" s="89" t="s">
        <v>1271</v>
      </c>
      <c r="K3561" s="89" t="s">
        <v>1272</v>
      </c>
      <c r="L3561" s="89" t="s">
        <v>1382</v>
      </c>
      <c r="M3561" s="89" t="s">
        <v>1419</v>
      </c>
      <c r="N3561" s="89">
        <v>97</v>
      </c>
      <c r="O3561" t="str">
        <f t="shared" si="296"/>
        <v>24</v>
      </c>
      <c r="Q3561">
        <v>24</v>
      </c>
      <c r="S3561">
        <v>0</v>
      </c>
      <c r="U3561">
        <f t="shared" si="292"/>
        <v>0</v>
      </c>
      <c r="V3561" t="str">
        <f t="shared" si="293"/>
        <v>High Family Engagement Coordinator</v>
      </c>
      <c r="W3561" t="str">
        <f t="shared" si="294"/>
        <v>Family Engagement Coordinator</v>
      </c>
    </row>
    <row r="3562" spans="1:23" x14ac:dyDescent="0.25">
      <c r="G3562" t="str">
        <f t="shared" si="295"/>
        <v>00000</v>
      </c>
      <c r="H3562" s="89" t="s">
        <v>1650</v>
      </c>
      <c r="I3562" s="89" t="s">
        <v>1265</v>
      </c>
      <c r="J3562" s="89" t="s">
        <v>1276</v>
      </c>
      <c r="K3562" s="89" t="s">
        <v>1277</v>
      </c>
      <c r="L3562" s="89" t="s">
        <v>1473</v>
      </c>
      <c r="M3562" s="89" t="s">
        <v>1653</v>
      </c>
      <c r="N3562" s="89" t="s">
        <v>1129</v>
      </c>
      <c r="O3562" t="str">
        <f t="shared" si="296"/>
        <v>24</v>
      </c>
      <c r="Q3562">
        <v>24</v>
      </c>
      <c r="S3562">
        <v>0</v>
      </c>
      <c r="U3562">
        <f t="shared" si="292"/>
        <v>0</v>
      </c>
      <c r="V3562" t="str">
        <f t="shared" si="293"/>
        <v>TK Family Engagement Coordinator</v>
      </c>
      <c r="W3562" t="str">
        <f t="shared" si="294"/>
        <v>Family Engagement Coordinator</v>
      </c>
    </row>
    <row r="3563" spans="1:23" x14ac:dyDescent="0.25">
      <c r="G3563" t="str">
        <f t="shared" si="295"/>
        <v>00000</v>
      </c>
      <c r="H3563" s="89" t="s">
        <v>1650</v>
      </c>
      <c r="I3563" s="89" t="s">
        <v>1265</v>
      </c>
      <c r="J3563" s="89" t="s">
        <v>1276</v>
      </c>
      <c r="K3563" s="89" t="s">
        <v>1277</v>
      </c>
      <c r="L3563" s="89" t="s">
        <v>1297</v>
      </c>
      <c r="M3563" s="89" t="s">
        <v>1381</v>
      </c>
      <c r="N3563" s="89" t="s">
        <v>731</v>
      </c>
      <c r="O3563" t="str">
        <f t="shared" si="296"/>
        <v>24</v>
      </c>
      <c r="Q3563">
        <v>24</v>
      </c>
      <c r="S3563">
        <v>0</v>
      </c>
      <c r="U3563">
        <f t="shared" si="292"/>
        <v>0</v>
      </c>
      <c r="V3563" t="str">
        <f t="shared" si="293"/>
        <v>Elementary Family Engagement Coordinator</v>
      </c>
      <c r="W3563" t="str">
        <f t="shared" si="294"/>
        <v>Family Engagement Coordinator</v>
      </c>
    </row>
    <row r="3564" spans="1:23" x14ac:dyDescent="0.25">
      <c r="G3564" t="str">
        <f t="shared" si="295"/>
        <v>00000</v>
      </c>
      <c r="H3564" s="89" t="s">
        <v>1650</v>
      </c>
      <c r="I3564" s="89" t="s">
        <v>1265</v>
      </c>
      <c r="J3564" s="89" t="s">
        <v>1266</v>
      </c>
      <c r="K3564" s="89" t="s">
        <v>1267</v>
      </c>
      <c r="L3564" s="89" t="s">
        <v>1284</v>
      </c>
      <c r="M3564" s="89" t="s">
        <v>1285</v>
      </c>
      <c r="N3564" s="89" t="s">
        <v>731</v>
      </c>
      <c r="O3564" t="str">
        <f t="shared" si="296"/>
        <v>24</v>
      </c>
      <c r="Q3564">
        <v>24</v>
      </c>
      <c r="S3564">
        <v>0</v>
      </c>
      <c r="U3564">
        <f t="shared" si="292"/>
        <v>0</v>
      </c>
      <c r="V3564" t="str">
        <f t="shared" si="293"/>
        <v>Middle Family Engagement Coordinator</v>
      </c>
      <c r="W3564" t="str">
        <f t="shared" si="294"/>
        <v>Family Engagement Coordinator</v>
      </c>
    </row>
    <row r="3565" spans="1:23" x14ac:dyDescent="0.25">
      <c r="G3565" t="str">
        <f t="shared" si="295"/>
        <v>00000</v>
      </c>
      <c r="H3565" s="89" t="s">
        <v>1650</v>
      </c>
      <c r="I3565" s="89" t="s">
        <v>1265</v>
      </c>
      <c r="J3565" s="89" t="s">
        <v>1271</v>
      </c>
      <c r="K3565" s="89" t="s">
        <v>1272</v>
      </c>
      <c r="L3565" s="89" t="s">
        <v>1286</v>
      </c>
      <c r="M3565" s="89" t="s">
        <v>1287</v>
      </c>
      <c r="N3565" s="89" t="s">
        <v>731</v>
      </c>
      <c r="O3565" t="str">
        <f t="shared" si="296"/>
        <v>24</v>
      </c>
      <c r="Q3565">
        <v>24</v>
      </c>
      <c r="S3565">
        <v>0</v>
      </c>
      <c r="U3565">
        <f t="shared" si="292"/>
        <v>0</v>
      </c>
      <c r="V3565" t="str">
        <f t="shared" si="293"/>
        <v>High Family Engagement Coordinator</v>
      </c>
      <c r="W3565" t="str">
        <f t="shared" si="294"/>
        <v>Family Engagement Coordinator</v>
      </c>
    </row>
    <row r="3566" spans="1:23" x14ac:dyDescent="0.25">
      <c r="G3566" t="str">
        <f t="shared" si="295"/>
        <v>00000</v>
      </c>
      <c r="H3566" s="89" t="s">
        <v>1650</v>
      </c>
      <c r="I3566" s="89" t="s">
        <v>1265</v>
      </c>
      <c r="J3566" s="89" t="s">
        <v>1276</v>
      </c>
      <c r="K3566" s="89" t="s">
        <v>1277</v>
      </c>
      <c r="L3566" s="89" t="s">
        <v>1301</v>
      </c>
      <c r="M3566" s="89" t="s">
        <v>1427</v>
      </c>
      <c r="N3566" s="89">
        <v>21</v>
      </c>
      <c r="O3566" t="str">
        <f t="shared" si="296"/>
        <v>25</v>
      </c>
      <c r="Q3566">
        <v>25</v>
      </c>
      <c r="S3566">
        <v>0</v>
      </c>
      <c r="U3566">
        <f t="shared" si="292"/>
        <v>0</v>
      </c>
      <c r="V3566" t="str">
        <f t="shared" si="293"/>
        <v>Elementary Pupil Management</v>
      </c>
      <c r="W3566" t="str">
        <f t="shared" si="294"/>
        <v>Pupil Management</v>
      </c>
    </row>
    <row r="3567" spans="1:23" x14ac:dyDescent="0.25">
      <c r="G3567" t="str">
        <f t="shared" si="295"/>
        <v>00000</v>
      </c>
      <c r="H3567" s="89" t="s">
        <v>1650</v>
      </c>
      <c r="I3567" s="89" t="s">
        <v>1265</v>
      </c>
      <c r="J3567" s="89" t="s">
        <v>1266</v>
      </c>
      <c r="K3567" s="89" t="s">
        <v>1267</v>
      </c>
      <c r="L3567" s="89" t="s">
        <v>1361</v>
      </c>
      <c r="M3567" s="89" t="s">
        <v>1411</v>
      </c>
      <c r="N3567" s="89">
        <v>21</v>
      </c>
      <c r="O3567" t="str">
        <f t="shared" si="296"/>
        <v>25</v>
      </c>
      <c r="Q3567">
        <v>25</v>
      </c>
      <c r="S3567">
        <v>0</v>
      </c>
      <c r="U3567">
        <f t="shared" si="292"/>
        <v>0</v>
      </c>
      <c r="V3567" t="str">
        <f t="shared" si="293"/>
        <v>Middle Pupil Management</v>
      </c>
      <c r="W3567" t="str">
        <f t="shared" si="294"/>
        <v>Pupil Management</v>
      </c>
    </row>
    <row r="3568" spans="1:23" x14ac:dyDescent="0.25">
      <c r="G3568" t="str">
        <f t="shared" si="295"/>
        <v>00000</v>
      </c>
      <c r="H3568" s="89" t="s">
        <v>1650</v>
      </c>
      <c r="I3568" s="89" t="s">
        <v>1265</v>
      </c>
      <c r="J3568" s="89" t="s">
        <v>1271</v>
      </c>
      <c r="K3568" s="89" t="s">
        <v>1272</v>
      </c>
      <c r="L3568" s="89" t="s">
        <v>1383</v>
      </c>
      <c r="M3568" s="89" t="s">
        <v>1409</v>
      </c>
      <c r="N3568" s="89">
        <v>21</v>
      </c>
      <c r="O3568" t="str">
        <f t="shared" si="296"/>
        <v>25</v>
      </c>
      <c r="Q3568">
        <v>25</v>
      </c>
      <c r="S3568">
        <v>0</v>
      </c>
      <c r="U3568">
        <f t="shared" si="292"/>
        <v>0</v>
      </c>
      <c r="V3568" t="str">
        <f t="shared" si="293"/>
        <v>High Pupil Management</v>
      </c>
      <c r="W3568" t="str">
        <f t="shared" si="294"/>
        <v>Pupil Management</v>
      </c>
    </row>
    <row r="3569" spans="7:23" x14ac:dyDescent="0.25">
      <c r="G3569" t="str">
        <f t="shared" si="295"/>
        <v>00000</v>
      </c>
      <c r="H3569" s="89" t="s">
        <v>1650</v>
      </c>
      <c r="I3569" s="89" t="s">
        <v>1265</v>
      </c>
      <c r="J3569" s="89" t="s">
        <v>1276</v>
      </c>
      <c r="K3569" s="89" t="s">
        <v>1277</v>
      </c>
      <c r="L3569" s="89" t="s">
        <v>1305</v>
      </c>
      <c r="M3569" s="89" t="s">
        <v>1447</v>
      </c>
      <c r="N3569" s="89">
        <v>97</v>
      </c>
      <c r="O3569" t="str">
        <f t="shared" si="296"/>
        <v>25</v>
      </c>
      <c r="Q3569">
        <v>25</v>
      </c>
      <c r="S3569">
        <v>0</v>
      </c>
      <c r="U3569">
        <f t="shared" si="292"/>
        <v>0</v>
      </c>
      <c r="V3569" t="str">
        <f t="shared" si="293"/>
        <v>Elementary Pupil Management</v>
      </c>
      <c r="W3569" t="str">
        <f t="shared" si="294"/>
        <v>Pupil Management</v>
      </c>
    </row>
    <row r="3570" spans="7:23" x14ac:dyDescent="0.25">
      <c r="G3570" t="str">
        <f t="shared" si="295"/>
        <v>00000</v>
      </c>
      <c r="H3570" s="89" t="s">
        <v>1650</v>
      </c>
      <c r="I3570" s="89" t="s">
        <v>1265</v>
      </c>
      <c r="J3570" s="89" t="s">
        <v>1266</v>
      </c>
      <c r="K3570" s="89" t="s">
        <v>1267</v>
      </c>
      <c r="L3570" s="89" t="s">
        <v>1362</v>
      </c>
      <c r="M3570" s="89" t="s">
        <v>1446</v>
      </c>
      <c r="N3570" s="89">
        <v>97</v>
      </c>
      <c r="O3570" t="str">
        <f t="shared" si="296"/>
        <v>25</v>
      </c>
      <c r="Q3570">
        <v>25</v>
      </c>
      <c r="S3570">
        <v>0</v>
      </c>
      <c r="U3570">
        <f t="shared" si="292"/>
        <v>0</v>
      </c>
      <c r="V3570" t="str">
        <f t="shared" si="293"/>
        <v>Middle Pupil Management</v>
      </c>
      <c r="W3570" t="str">
        <f t="shared" si="294"/>
        <v>Pupil Management</v>
      </c>
    </row>
    <row r="3571" spans="7:23" x14ac:dyDescent="0.25">
      <c r="G3571" t="str">
        <f t="shared" si="295"/>
        <v>00000</v>
      </c>
      <c r="H3571" s="89" t="s">
        <v>1650</v>
      </c>
      <c r="I3571" s="89" t="s">
        <v>1265</v>
      </c>
      <c r="J3571" s="89" t="s">
        <v>1271</v>
      </c>
      <c r="K3571" s="89" t="s">
        <v>1272</v>
      </c>
      <c r="L3571" s="89" t="s">
        <v>1290</v>
      </c>
      <c r="M3571" s="89" t="s">
        <v>1412</v>
      </c>
      <c r="N3571" s="89">
        <v>97</v>
      </c>
      <c r="O3571" t="str">
        <f t="shared" si="296"/>
        <v>25</v>
      </c>
      <c r="Q3571">
        <v>25</v>
      </c>
      <c r="S3571">
        <v>0</v>
      </c>
      <c r="U3571">
        <f t="shared" si="292"/>
        <v>0</v>
      </c>
      <c r="V3571" t="str">
        <f t="shared" si="293"/>
        <v>High Pupil Management</v>
      </c>
      <c r="W3571" t="str">
        <f t="shared" si="294"/>
        <v>Pupil Management</v>
      </c>
    </row>
    <row r="3572" spans="7:23" x14ac:dyDescent="0.25">
      <c r="G3572" t="str">
        <f t="shared" si="295"/>
        <v>00000</v>
      </c>
      <c r="H3572" s="89" t="s">
        <v>1650</v>
      </c>
      <c r="I3572" s="89" t="s">
        <v>1265</v>
      </c>
      <c r="J3572" s="89" t="s">
        <v>1276</v>
      </c>
      <c r="K3572" s="89" t="s">
        <v>1277</v>
      </c>
      <c r="L3572" s="89" t="s">
        <v>1474</v>
      </c>
      <c r="M3572" s="89" t="s">
        <v>1523</v>
      </c>
      <c r="N3572" s="89" t="s">
        <v>1129</v>
      </c>
      <c r="O3572" t="str">
        <f t="shared" si="296"/>
        <v>25</v>
      </c>
      <c r="Q3572">
        <v>25</v>
      </c>
      <c r="S3572">
        <v>0</v>
      </c>
      <c r="U3572">
        <f t="shared" si="292"/>
        <v>0</v>
      </c>
      <c r="V3572" t="str">
        <f t="shared" si="293"/>
        <v>TK Pupil Management</v>
      </c>
      <c r="W3572" t="str">
        <f t="shared" si="294"/>
        <v>Pupil Management</v>
      </c>
    </row>
    <row r="3573" spans="7:23" x14ac:dyDescent="0.25">
      <c r="G3573" t="str">
        <f t="shared" si="295"/>
        <v>00000</v>
      </c>
      <c r="H3573" s="89" t="s">
        <v>1650</v>
      </c>
      <c r="I3573" s="89" t="s">
        <v>1265</v>
      </c>
      <c r="J3573" s="89" t="s">
        <v>1276</v>
      </c>
      <c r="K3573" s="89" t="s">
        <v>1277</v>
      </c>
      <c r="L3573" s="89" t="s">
        <v>1308</v>
      </c>
      <c r="M3573" s="89" t="s">
        <v>1389</v>
      </c>
      <c r="N3573" s="89" t="s">
        <v>731</v>
      </c>
      <c r="O3573" t="str">
        <f t="shared" si="296"/>
        <v>25</v>
      </c>
      <c r="Q3573">
        <v>25</v>
      </c>
      <c r="S3573">
        <v>0</v>
      </c>
      <c r="U3573">
        <f t="shared" si="292"/>
        <v>0</v>
      </c>
      <c r="V3573" t="str">
        <f t="shared" si="293"/>
        <v>Elementary Pupil Management</v>
      </c>
      <c r="W3573" t="str">
        <f t="shared" si="294"/>
        <v>Pupil Management</v>
      </c>
    </row>
    <row r="3574" spans="7:23" x14ac:dyDescent="0.25">
      <c r="G3574" t="str">
        <f t="shared" si="295"/>
        <v>00000</v>
      </c>
      <c r="H3574" s="89" t="s">
        <v>1650</v>
      </c>
      <c r="I3574" s="89" t="s">
        <v>1265</v>
      </c>
      <c r="J3574" s="89" t="s">
        <v>1266</v>
      </c>
      <c r="K3574" s="89" t="s">
        <v>1267</v>
      </c>
      <c r="L3574" s="89" t="s">
        <v>1363</v>
      </c>
      <c r="M3574" s="89" t="s">
        <v>1386</v>
      </c>
      <c r="N3574" s="89" t="s">
        <v>731</v>
      </c>
      <c r="O3574" t="str">
        <f t="shared" si="296"/>
        <v>25</v>
      </c>
      <c r="Q3574">
        <v>25</v>
      </c>
      <c r="S3574">
        <v>0</v>
      </c>
      <c r="U3574">
        <f t="shared" ref="U3574:U3637" si="297">IF(N3574=21,ROUND(T3574*S3574,3),0)</f>
        <v>0</v>
      </c>
      <c r="V3574" t="str">
        <f t="shared" si="293"/>
        <v>Middle Pupil Management</v>
      </c>
      <c r="W3574" t="str">
        <f t="shared" si="294"/>
        <v>Pupil Management</v>
      </c>
    </row>
    <row r="3575" spans="7:23" x14ac:dyDescent="0.25">
      <c r="G3575" t="str">
        <f t="shared" si="295"/>
        <v>00000</v>
      </c>
      <c r="H3575" s="89" t="s">
        <v>1650</v>
      </c>
      <c r="I3575" s="89" t="s">
        <v>1265</v>
      </c>
      <c r="J3575" s="89" t="s">
        <v>1271</v>
      </c>
      <c r="K3575" s="89" t="s">
        <v>1272</v>
      </c>
      <c r="L3575" s="89" t="s">
        <v>1299</v>
      </c>
      <c r="M3575" s="89" t="s">
        <v>1300</v>
      </c>
      <c r="N3575" s="89" t="s">
        <v>731</v>
      </c>
      <c r="O3575" t="str">
        <f t="shared" si="296"/>
        <v>25</v>
      </c>
      <c r="Q3575">
        <v>25</v>
      </c>
      <c r="S3575">
        <v>0</v>
      </c>
      <c r="U3575">
        <f t="shared" si="297"/>
        <v>0</v>
      </c>
      <c r="V3575" t="str">
        <f t="shared" si="293"/>
        <v>High Pupil Management</v>
      </c>
      <c r="W3575" t="str">
        <f t="shared" si="294"/>
        <v>Pupil Management</v>
      </c>
    </row>
    <row r="3576" spans="7:23" x14ac:dyDescent="0.25">
      <c r="G3576" t="str">
        <f t="shared" si="295"/>
        <v>00000</v>
      </c>
      <c r="H3576" s="89" t="s">
        <v>1650</v>
      </c>
      <c r="I3576" s="89" t="s">
        <v>1265</v>
      </c>
      <c r="J3576" s="89" t="s">
        <v>1276</v>
      </c>
      <c r="K3576" s="89" t="s">
        <v>1277</v>
      </c>
      <c r="L3576" s="89" t="s">
        <v>1311</v>
      </c>
      <c r="M3576" s="89" t="s">
        <v>1327</v>
      </c>
      <c r="N3576" s="89">
        <v>21</v>
      </c>
      <c r="O3576" t="str">
        <f t="shared" si="296"/>
        <v>26</v>
      </c>
      <c r="Q3576">
        <v>26</v>
      </c>
      <c r="S3576">
        <v>0</v>
      </c>
      <c r="U3576">
        <f t="shared" si="297"/>
        <v>0</v>
      </c>
      <c r="V3576" t="str">
        <f t="shared" si="293"/>
        <v>Elementary Health/
Related Services</v>
      </c>
      <c r="W3576" t="str">
        <f t="shared" si="294"/>
        <v>Health/
Related Services</v>
      </c>
    </row>
    <row r="3577" spans="7:23" x14ac:dyDescent="0.25">
      <c r="G3577" t="str">
        <f t="shared" si="295"/>
        <v>00000</v>
      </c>
      <c r="H3577" s="89" t="s">
        <v>1650</v>
      </c>
      <c r="I3577" s="89" t="s">
        <v>1265</v>
      </c>
      <c r="J3577" s="89" t="s">
        <v>1266</v>
      </c>
      <c r="K3577" s="89" t="s">
        <v>1267</v>
      </c>
      <c r="L3577" s="89" t="s">
        <v>1322</v>
      </c>
      <c r="M3577" s="89" t="s">
        <v>1323</v>
      </c>
      <c r="N3577" s="89">
        <v>21</v>
      </c>
      <c r="O3577" t="str">
        <f t="shared" si="296"/>
        <v>26</v>
      </c>
      <c r="Q3577">
        <v>26</v>
      </c>
      <c r="S3577">
        <v>0</v>
      </c>
      <c r="U3577">
        <f t="shared" si="297"/>
        <v>0</v>
      </c>
      <c r="V3577" t="str">
        <f t="shared" si="293"/>
        <v>Middle Health/
Related Services</v>
      </c>
      <c r="W3577" t="str">
        <f t="shared" si="294"/>
        <v>Health/
Related Services</v>
      </c>
    </row>
    <row r="3578" spans="7:23" x14ac:dyDescent="0.25">
      <c r="G3578" t="str">
        <f t="shared" si="295"/>
        <v>00000</v>
      </c>
      <c r="H3578" s="89" t="s">
        <v>1650</v>
      </c>
      <c r="I3578" s="89" t="s">
        <v>1265</v>
      </c>
      <c r="J3578" s="89" t="s">
        <v>1271</v>
      </c>
      <c r="K3578" s="89" t="s">
        <v>1272</v>
      </c>
      <c r="L3578" s="89" t="s">
        <v>1324</v>
      </c>
      <c r="M3578" s="89" t="s">
        <v>1325</v>
      </c>
      <c r="N3578" s="89">
        <v>21</v>
      </c>
      <c r="O3578" t="str">
        <f t="shared" si="296"/>
        <v>26</v>
      </c>
      <c r="Q3578">
        <v>26</v>
      </c>
      <c r="S3578">
        <v>0</v>
      </c>
      <c r="U3578">
        <f t="shared" si="297"/>
        <v>0</v>
      </c>
      <c r="V3578" t="str">
        <f t="shared" si="293"/>
        <v>High Health/
Related Services</v>
      </c>
      <c r="W3578" t="str">
        <f t="shared" si="294"/>
        <v>Health/
Related Services</v>
      </c>
    </row>
    <row r="3579" spans="7:23" x14ac:dyDescent="0.25">
      <c r="G3579" t="str">
        <f t="shared" si="295"/>
        <v>00000</v>
      </c>
      <c r="H3579" s="89" t="s">
        <v>1650</v>
      </c>
      <c r="I3579" s="89" t="s">
        <v>1265</v>
      </c>
      <c r="J3579" s="89" t="s">
        <v>1276</v>
      </c>
      <c r="K3579" s="89" t="s">
        <v>1277</v>
      </c>
      <c r="L3579" s="89" t="s">
        <v>1461</v>
      </c>
      <c r="M3579" s="89" t="s">
        <v>1514</v>
      </c>
      <c r="N3579" s="89">
        <v>97</v>
      </c>
      <c r="O3579" t="str">
        <f t="shared" si="296"/>
        <v>26</v>
      </c>
      <c r="Q3579">
        <v>26</v>
      </c>
      <c r="S3579">
        <v>0</v>
      </c>
      <c r="U3579">
        <f t="shared" si="297"/>
        <v>0</v>
      </c>
      <c r="V3579" t="str">
        <f t="shared" si="293"/>
        <v>Elementary Health/
Related Services</v>
      </c>
      <c r="W3579" t="str">
        <f t="shared" si="294"/>
        <v>Health/
Related Services</v>
      </c>
    </row>
    <row r="3580" spans="7:23" x14ac:dyDescent="0.25">
      <c r="G3580" t="str">
        <f t="shared" si="295"/>
        <v>00000</v>
      </c>
      <c r="H3580" s="89" t="s">
        <v>1650</v>
      </c>
      <c r="I3580" s="89" t="s">
        <v>1265</v>
      </c>
      <c r="J3580" s="89" t="s">
        <v>1266</v>
      </c>
      <c r="K3580" s="89" t="s">
        <v>1267</v>
      </c>
      <c r="L3580" s="89" t="s">
        <v>1488</v>
      </c>
      <c r="M3580" s="89" t="s">
        <v>1532</v>
      </c>
      <c r="N3580" s="89">
        <v>97</v>
      </c>
      <c r="O3580" t="str">
        <f t="shared" si="296"/>
        <v>26</v>
      </c>
      <c r="Q3580">
        <v>26</v>
      </c>
      <c r="S3580">
        <v>0</v>
      </c>
      <c r="U3580">
        <f t="shared" si="297"/>
        <v>0</v>
      </c>
      <c r="V3580" t="str">
        <f t="shared" si="293"/>
        <v>Middle Health/
Related Services</v>
      </c>
      <c r="W3580" t="str">
        <f t="shared" si="294"/>
        <v>Health/
Related Services</v>
      </c>
    </row>
    <row r="3581" spans="7:23" x14ac:dyDescent="0.25">
      <c r="G3581" t="str">
        <f t="shared" si="295"/>
        <v>00000</v>
      </c>
      <c r="H3581" s="89" t="s">
        <v>1650</v>
      </c>
      <c r="I3581" s="89" t="s">
        <v>1265</v>
      </c>
      <c r="J3581" s="89" t="s">
        <v>1271</v>
      </c>
      <c r="K3581" s="89" t="s">
        <v>1272</v>
      </c>
      <c r="L3581" s="89" t="s">
        <v>1501</v>
      </c>
      <c r="M3581" s="89" t="s">
        <v>1542</v>
      </c>
      <c r="N3581" s="89">
        <v>97</v>
      </c>
      <c r="O3581" t="str">
        <f t="shared" si="296"/>
        <v>26</v>
      </c>
      <c r="Q3581">
        <v>26</v>
      </c>
      <c r="S3581">
        <v>0</v>
      </c>
      <c r="U3581">
        <f t="shared" si="297"/>
        <v>0</v>
      </c>
      <c r="V3581" t="str">
        <f t="shared" ref="V3581:V3644" si="298">_xlfn.XLOOKUP(L3581,$BV:$BV,$BT:$BT,,0)</f>
        <v>High Health/
Related Services</v>
      </c>
      <c r="W3581" t="str">
        <f t="shared" ref="W3581:W3644" si="299">_xlfn.TEXTAFTER(V3581," ")</f>
        <v>Health/
Related Services</v>
      </c>
    </row>
    <row r="3582" spans="7:23" x14ac:dyDescent="0.25">
      <c r="G3582" t="str">
        <f t="shared" si="295"/>
        <v>00000</v>
      </c>
      <c r="H3582" s="89" t="s">
        <v>1650</v>
      </c>
      <c r="I3582" s="89" t="s">
        <v>1265</v>
      </c>
      <c r="J3582" s="89" t="s">
        <v>1276</v>
      </c>
      <c r="K3582" s="89" t="s">
        <v>1277</v>
      </c>
      <c r="L3582" s="89" t="s">
        <v>1352</v>
      </c>
      <c r="M3582" s="89" t="s">
        <v>1654</v>
      </c>
      <c r="N3582" s="89" t="s">
        <v>1129</v>
      </c>
      <c r="O3582" t="str">
        <f t="shared" si="296"/>
        <v>26</v>
      </c>
      <c r="Q3582">
        <v>26</v>
      </c>
      <c r="S3582">
        <v>0</v>
      </c>
      <c r="U3582">
        <f t="shared" si="297"/>
        <v>0</v>
      </c>
      <c r="V3582" t="str">
        <f t="shared" si="298"/>
        <v>TK Health/
Related Services</v>
      </c>
      <c r="W3582" t="str">
        <f t="shared" si="299"/>
        <v>Health/
Related Services</v>
      </c>
    </row>
    <row r="3583" spans="7:23" x14ac:dyDescent="0.25">
      <c r="G3583" t="str">
        <f t="shared" si="295"/>
        <v>00000</v>
      </c>
      <c r="H3583" s="89" t="s">
        <v>1650</v>
      </c>
      <c r="I3583" s="89" t="s">
        <v>1265</v>
      </c>
      <c r="J3583" s="89" t="s">
        <v>1276</v>
      </c>
      <c r="K3583" s="89" t="s">
        <v>1277</v>
      </c>
      <c r="L3583" s="89" t="s">
        <v>1315</v>
      </c>
      <c r="M3583" s="89" t="s">
        <v>1375</v>
      </c>
      <c r="N3583" s="89" t="s">
        <v>731</v>
      </c>
      <c r="O3583" t="str">
        <f t="shared" si="296"/>
        <v>26</v>
      </c>
      <c r="Q3583">
        <v>26</v>
      </c>
      <c r="S3583">
        <v>0</v>
      </c>
      <c r="U3583">
        <f t="shared" si="297"/>
        <v>0</v>
      </c>
      <c r="V3583" t="str">
        <f t="shared" si="298"/>
        <v>Elementary Health/
Related Services</v>
      </c>
      <c r="W3583" t="str">
        <f t="shared" si="299"/>
        <v>Health/
Related Services</v>
      </c>
    </row>
    <row r="3584" spans="7:23" x14ac:dyDescent="0.25">
      <c r="G3584" t="str">
        <f t="shared" si="295"/>
        <v>00000</v>
      </c>
      <c r="H3584" s="89" t="s">
        <v>1650</v>
      </c>
      <c r="I3584" s="89" t="s">
        <v>1265</v>
      </c>
      <c r="J3584" s="89" t="s">
        <v>1266</v>
      </c>
      <c r="K3584" s="89" t="s">
        <v>1267</v>
      </c>
      <c r="L3584" s="89" t="s">
        <v>1291</v>
      </c>
      <c r="M3584" s="89" t="s">
        <v>1292</v>
      </c>
      <c r="N3584" s="89" t="s">
        <v>731</v>
      </c>
      <c r="O3584" t="str">
        <f t="shared" si="296"/>
        <v>26</v>
      </c>
      <c r="Q3584">
        <v>26</v>
      </c>
      <c r="S3584">
        <v>0</v>
      </c>
      <c r="U3584">
        <f t="shared" si="297"/>
        <v>0</v>
      </c>
      <c r="V3584" t="str">
        <f t="shared" si="298"/>
        <v>Middle Health/
Related Services</v>
      </c>
      <c r="W3584" t="str">
        <f t="shared" si="299"/>
        <v>Health/
Related Services</v>
      </c>
    </row>
    <row r="3585" spans="7:23" x14ac:dyDescent="0.25">
      <c r="G3585" t="str">
        <f t="shared" si="295"/>
        <v>00000</v>
      </c>
      <c r="H3585" s="89" t="s">
        <v>1650</v>
      </c>
      <c r="I3585" s="89" t="s">
        <v>1265</v>
      </c>
      <c r="J3585" s="89" t="s">
        <v>1271</v>
      </c>
      <c r="K3585" s="89" t="s">
        <v>1272</v>
      </c>
      <c r="L3585" s="89" t="s">
        <v>1295</v>
      </c>
      <c r="M3585" s="89" t="s">
        <v>1296</v>
      </c>
      <c r="N3585" s="89" t="s">
        <v>731</v>
      </c>
      <c r="O3585" t="str">
        <f t="shared" si="296"/>
        <v>26</v>
      </c>
      <c r="Q3585">
        <v>26</v>
      </c>
      <c r="S3585">
        <v>0</v>
      </c>
      <c r="U3585">
        <f t="shared" si="297"/>
        <v>0</v>
      </c>
      <c r="V3585" t="str">
        <f t="shared" si="298"/>
        <v>High Health/
Related Services</v>
      </c>
      <c r="W3585" t="str">
        <f t="shared" si="299"/>
        <v>Health/
Related Services</v>
      </c>
    </row>
    <row r="3586" spans="7:23" x14ac:dyDescent="0.25">
      <c r="G3586" t="str">
        <f t="shared" ref="G3586:G3649" si="300">TEXT(F3586,"00000")</f>
        <v>00000</v>
      </c>
      <c r="H3586" s="89" t="s">
        <v>1650</v>
      </c>
      <c r="I3586" s="89" t="s">
        <v>1265</v>
      </c>
      <c r="J3586" s="89" t="s">
        <v>1276</v>
      </c>
      <c r="K3586" s="89" t="s">
        <v>1277</v>
      </c>
      <c r="L3586" s="89" t="s">
        <v>1463</v>
      </c>
      <c r="M3586" s="89" t="s">
        <v>1515</v>
      </c>
      <c r="N3586" s="89">
        <v>21</v>
      </c>
      <c r="O3586" t="str">
        <f t="shared" si="296"/>
        <v>35</v>
      </c>
      <c r="Q3586">
        <v>35</v>
      </c>
      <c r="S3586">
        <v>0</v>
      </c>
      <c r="U3586">
        <f t="shared" si="297"/>
        <v>0</v>
      </c>
      <c r="V3586" t="str">
        <f t="shared" si="298"/>
        <v>Elementary Pupil Safety</v>
      </c>
      <c r="W3586" t="str">
        <f t="shared" si="299"/>
        <v>Pupil Safety</v>
      </c>
    </row>
    <row r="3587" spans="7:23" x14ac:dyDescent="0.25">
      <c r="G3587" t="str">
        <f t="shared" si="300"/>
        <v>00000</v>
      </c>
      <c r="H3587" s="89" t="s">
        <v>1650</v>
      </c>
      <c r="I3587" s="89" t="s">
        <v>1265</v>
      </c>
      <c r="J3587" s="89" t="s">
        <v>1266</v>
      </c>
      <c r="K3587" s="89" t="s">
        <v>1267</v>
      </c>
      <c r="L3587" s="89" t="s">
        <v>1489</v>
      </c>
      <c r="M3587" s="89" t="s">
        <v>1533</v>
      </c>
      <c r="N3587" s="89">
        <v>21</v>
      </c>
      <c r="O3587" t="str">
        <f t="shared" ref="O3587:O3650" si="301">MID(L3587,3,2)</f>
        <v>35</v>
      </c>
      <c r="Q3587">
        <v>35</v>
      </c>
      <c r="S3587">
        <v>0</v>
      </c>
      <c r="U3587">
        <f t="shared" si="297"/>
        <v>0</v>
      </c>
      <c r="V3587" t="str">
        <f t="shared" si="298"/>
        <v>Middle Pupil Safety</v>
      </c>
      <c r="W3587" t="str">
        <f t="shared" si="299"/>
        <v>Pupil Safety</v>
      </c>
    </row>
    <row r="3588" spans="7:23" x14ac:dyDescent="0.25">
      <c r="G3588" t="str">
        <f t="shared" si="300"/>
        <v>00000</v>
      </c>
      <c r="H3588" s="89" t="s">
        <v>1650</v>
      </c>
      <c r="I3588" s="89" t="s">
        <v>1265</v>
      </c>
      <c r="J3588" s="89" t="s">
        <v>1271</v>
      </c>
      <c r="K3588" s="89" t="s">
        <v>1272</v>
      </c>
      <c r="L3588" s="89" t="s">
        <v>1404</v>
      </c>
      <c r="M3588" s="89" t="s">
        <v>1443</v>
      </c>
      <c r="N3588" s="89">
        <v>21</v>
      </c>
      <c r="O3588" t="str">
        <f t="shared" si="301"/>
        <v>35</v>
      </c>
      <c r="Q3588">
        <v>35</v>
      </c>
      <c r="S3588">
        <v>0</v>
      </c>
      <c r="U3588">
        <f t="shared" si="297"/>
        <v>0</v>
      </c>
      <c r="V3588" t="str">
        <f t="shared" si="298"/>
        <v>High Pupil Safety</v>
      </c>
      <c r="W3588" t="str">
        <f t="shared" si="299"/>
        <v>Pupil Safety</v>
      </c>
    </row>
    <row r="3589" spans="7:23" x14ac:dyDescent="0.25">
      <c r="G3589" t="str">
        <f t="shared" si="300"/>
        <v>00000</v>
      </c>
      <c r="H3589" s="89" t="s">
        <v>1650</v>
      </c>
      <c r="I3589" s="89" t="s">
        <v>1265</v>
      </c>
      <c r="J3589" s="89" t="s">
        <v>1276</v>
      </c>
      <c r="K3589" s="89" t="s">
        <v>1277</v>
      </c>
      <c r="L3589" s="89" t="s">
        <v>1462</v>
      </c>
      <c r="M3589" s="89" t="s">
        <v>1515</v>
      </c>
      <c r="N3589" s="89">
        <v>97</v>
      </c>
      <c r="O3589" t="str">
        <f t="shared" si="301"/>
        <v>35</v>
      </c>
      <c r="Q3589">
        <v>35</v>
      </c>
      <c r="S3589">
        <v>0</v>
      </c>
      <c r="U3589">
        <f t="shared" si="297"/>
        <v>0</v>
      </c>
      <c r="V3589" t="str">
        <f t="shared" si="298"/>
        <v>Elementary Pupil Safety</v>
      </c>
      <c r="W3589" t="str">
        <f t="shared" si="299"/>
        <v>Pupil Safety</v>
      </c>
    </row>
    <row r="3590" spans="7:23" x14ac:dyDescent="0.25">
      <c r="G3590" t="str">
        <f t="shared" si="300"/>
        <v>00000</v>
      </c>
      <c r="H3590" s="89" t="s">
        <v>1650</v>
      </c>
      <c r="I3590" s="89" t="s">
        <v>1265</v>
      </c>
      <c r="J3590" s="89" t="s">
        <v>1266</v>
      </c>
      <c r="K3590" s="89" t="s">
        <v>1267</v>
      </c>
      <c r="L3590" s="89" t="s">
        <v>1378</v>
      </c>
      <c r="M3590" s="89" t="s">
        <v>1407</v>
      </c>
      <c r="N3590" s="89">
        <v>97</v>
      </c>
      <c r="O3590" t="str">
        <f t="shared" si="301"/>
        <v>35</v>
      </c>
      <c r="Q3590">
        <v>35</v>
      </c>
      <c r="S3590">
        <v>0</v>
      </c>
      <c r="U3590">
        <f t="shared" si="297"/>
        <v>0</v>
      </c>
      <c r="V3590" t="str">
        <f t="shared" si="298"/>
        <v>Middle Pupil Safety</v>
      </c>
      <c r="W3590" t="str">
        <f t="shared" si="299"/>
        <v>Pupil Safety</v>
      </c>
    </row>
    <row r="3591" spans="7:23" x14ac:dyDescent="0.25">
      <c r="G3591" t="str">
        <f t="shared" si="300"/>
        <v>00000</v>
      </c>
      <c r="H3591" s="89" t="s">
        <v>1650</v>
      </c>
      <c r="I3591" s="89" t="s">
        <v>1265</v>
      </c>
      <c r="J3591" s="89" t="s">
        <v>1271</v>
      </c>
      <c r="K3591" s="89" t="s">
        <v>1272</v>
      </c>
      <c r="L3591" s="89" t="s">
        <v>1402</v>
      </c>
      <c r="M3591" s="89" t="s">
        <v>1408</v>
      </c>
      <c r="N3591" s="89">
        <v>97</v>
      </c>
      <c r="O3591" t="str">
        <f t="shared" si="301"/>
        <v>35</v>
      </c>
      <c r="Q3591">
        <v>35</v>
      </c>
      <c r="S3591">
        <v>0</v>
      </c>
      <c r="U3591">
        <f t="shared" si="297"/>
        <v>0</v>
      </c>
      <c r="V3591" t="str">
        <f t="shared" si="298"/>
        <v>High Pupil Safety</v>
      </c>
      <c r="W3591" t="str">
        <f t="shared" si="299"/>
        <v>Pupil Safety</v>
      </c>
    </row>
    <row r="3592" spans="7:23" x14ac:dyDescent="0.25">
      <c r="G3592" t="str">
        <f t="shared" si="300"/>
        <v>00000</v>
      </c>
      <c r="H3592" s="89" t="s">
        <v>1650</v>
      </c>
      <c r="I3592" s="89" t="s">
        <v>1265</v>
      </c>
      <c r="J3592" s="89" t="s">
        <v>1276</v>
      </c>
      <c r="K3592" s="89" t="s">
        <v>1277</v>
      </c>
      <c r="L3592" s="89" t="s">
        <v>1475</v>
      </c>
      <c r="M3592" s="89" t="s">
        <v>1516</v>
      </c>
      <c r="N3592" s="89" t="s">
        <v>1129</v>
      </c>
      <c r="O3592" t="str">
        <f t="shared" si="301"/>
        <v>35</v>
      </c>
      <c r="Q3592">
        <v>35</v>
      </c>
      <c r="S3592">
        <v>0</v>
      </c>
      <c r="U3592">
        <f t="shared" si="297"/>
        <v>0</v>
      </c>
      <c r="V3592" t="str">
        <f t="shared" si="298"/>
        <v>TK Pupil Safety</v>
      </c>
      <c r="W3592" t="str">
        <f t="shared" si="299"/>
        <v>Pupil Safety</v>
      </c>
    </row>
    <row r="3593" spans="7:23" x14ac:dyDescent="0.25">
      <c r="G3593" t="str">
        <f t="shared" si="300"/>
        <v>00000</v>
      </c>
      <c r="H3593" s="89" t="s">
        <v>1650</v>
      </c>
      <c r="I3593" s="89" t="s">
        <v>1265</v>
      </c>
      <c r="J3593" s="89" t="s">
        <v>1276</v>
      </c>
      <c r="K3593" s="89" t="s">
        <v>1277</v>
      </c>
      <c r="L3593" s="89" t="s">
        <v>1350</v>
      </c>
      <c r="M3593" s="89" t="s">
        <v>1433</v>
      </c>
      <c r="N3593" s="89" t="s">
        <v>731</v>
      </c>
      <c r="O3593" t="str">
        <f t="shared" si="301"/>
        <v>35</v>
      </c>
      <c r="Q3593">
        <v>35</v>
      </c>
      <c r="S3593">
        <v>0</v>
      </c>
      <c r="U3593">
        <f t="shared" si="297"/>
        <v>0</v>
      </c>
      <c r="V3593" t="str">
        <f t="shared" si="298"/>
        <v>Elementary Pupil Safety</v>
      </c>
      <c r="W3593" t="str">
        <f t="shared" si="299"/>
        <v>Pupil Safety</v>
      </c>
    </row>
    <row r="3594" spans="7:23" x14ac:dyDescent="0.25">
      <c r="G3594" t="str">
        <f t="shared" si="300"/>
        <v>00000</v>
      </c>
      <c r="H3594" s="89" t="s">
        <v>1650</v>
      </c>
      <c r="I3594" s="89" t="s">
        <v>1265</v>
      </c>
      <c r="J3594" s="89" t="s">
        <v>1266</v>
      </c>
      <c r="K3594" s="89" t="s">
        <v>1267</v>
      </c>
      <c r="L3594" s="89" t="s">
        <v>1377</v>
      </c>
      <c r="M3594" s="89" t="s">
        <v>1423</v>
      </c>
      <c r="N3594" s="89" t="s">
        <v>731</v>
      </c>
      <c r="O3594" t="str">
        <f t="shared" si="301"/>
        <v>35</v>
      </c>
      <c r="Q3594">
        <v>35</v>
      </c>
      <c r="S3594">
        <v>0</v>
      </c>
      <c r="U3594">
        <f t="shared" si="297"/>
        <v>0</v>
      </c>
      <c r="V3594" t="str">
        <f t="shared" si="298"/>
        <v>Middle Pupil Safety</v>
      </c>
      <c r="W3594" t="str">
        <f t="shared" si="299"/>
        <v>Pupil Safety</v>
      </c>
    </row>
    <row r="3595" spans="7:23" x14ac:dyDescent="0.25">
      <c r="G3595" t="str">
        <f t="shared" si="300"/>
        <v>00000</v>
      </c>
      <c r="H3595" s="89" t="s">
        <v>1650</v>
      </c>
      <c r="I3595" s="89" t="s">
        <v>1265</v>
      </c>
      <c r="J3595" s="89" t="s">
        <v>1271</v>
      </c>
      <c r="K3595" s="89" t="s">
        <v>1272</v>
      </c>
      <c r="L3595" s="89" t="s">
        <v>1401</v>
      </c>
      <c r="M3595" s="89" t="s">
        <v>1422</v>
      </c>
      <c r="N3595" s="89" t="s">
        <v>731</v>
      </c>
      <c r="O3595" t="str">
        <f t="shared" si="301"/>
        <v>35</v>
      </c>
      <c r="Q3595">
        <v>35</v>
      </c>
      <c r="S3595">
        <v>0</v>
      </c>
      <c r="U3595">
        <f t="shared" si="297"/>
        <v>0</v>
      </c>
      <c r="V3595" t="str">
        <f t="shared" si="298"/>
        <v>High Pupil Safety</v>
      </c>
      <c r="W3595" t="str">
        <f t="shared" si="299"/>
        <v>Pupil Safety</v>
      </c>
    </row>
    <row r="3596" spans="7:23" x14ac:dyDescent="0.25">
      <c r="G3596" t="str">
        <f t="shared" si="300"/>
        <v>00000</v>
      </c>
      <c r="H3596" s="89" t="s">
        <v>1650</v>
      </c>
      <c r="I3596" s="89" t="s">
        <v>1265</v>
      </c>
      <c r="J3596" s="89" t="s">
        <v>1276</v>
      </c>
      <c r="K3596" s="89" t="s">
        <v>1277</v>
      </c>
      <c r="L3596" s="89" t="s">
        <v>1319</v>
      </c>
      <c r="M3596" s="89" t="s">
        <v>1426</v>
      </c>
      <c r="N3596" s="89">
        <v>21</v>
      </c>
      <c r="O3596" t="str">
        <f t="shared" si="301"/>
        <v>39</v>
      </c>
      <c r="P3596" t="s">
        <v>747</v>
      </c>
      <c r="S3596">
        <v>0</v>
      </c>
      <c r="U3596">
        <f t="shared" si="297"/>
        <v>0</v>
      </c>
      <c r="V3596" t="str">
        <f t="shared" si="298"/>
        <v>Elementary Orientation &amp; Mobility Specialist</v>
      </c>
      <c r="W3596" t="str">
        <f t="shared" si="299"/>
        <v>Orientation &amp; Mobility Specialist</v>
      </c>
    </row>
    <row r="3597" spans="7:23" x14ac:dyDescent="0.25">
      <c r="G3597" t="str">
        <f t="shared" si="300"/>
        <v>00000</v>
      </c>
      <c r="H3597" s="89" t="s">
        <v>1650</v>
      </c>
      <c r="I3597" s="89" t="s">
        <v>1265</v>
      </c>
      <c r="J3597" s="89" t="s">
        <v>1266</v>
      </c>
      <c r="K3597" s="89" t="s">
        <v>1267</v>
      </c>
      <c r="L3597" s="89" t="s">
        <v>1364</v>
      </c>
      <c r="M3597" s="89" t="s">
        <v>1524</v>
      </c>
      <c r="N3597" s="89">
        <v>21</v>
      </c>
      <c r="O3597" t="str">
        <f t="shared" si="301"/>
        <v>39</v>
      </c>
      <c r="P3597" t="s">
        <v>747</v>
      </c>
      <c r="S3597">
        <v>0</v>
      </c>
      <c r="U3597">
        <f t="shared" si="297"/>
        <v>0</v>
      </c>
      <c r="V3597" t="str">
        <f t="shared" si="298"/>
        <v>Middle Orientation &amp; Mobility Specialist</v>
      </c>
      <c r="W3597" t="str">
        <f t="shared" si="299"/>
        <v>Orientation &amp; Mobility Specialist</v>
      </c>
    </row>
    <row r="3598" spans="7:23" x14ac:dyDescent="0.25">
      <c r="G3598" t="str">
        <f t="shared" si="300"/>
        <v>00000</v>
      </c>
      <c r="H3598" s="89" t="s">
        <v>1650</v>
      </c>
      <c r="I3598" s="89" t="s">
        <v>1265</v>
      </c>
      <c r="J3598" s="89" t="s">
        <v>1271</v>
      </c>
      <c r="K3598" s="89" t="s">
        <v>1272</v>
      </c>
      <c r="L3598" s="89" t="s">
        <v>1384</v>
      </c>
      <c r="M3598" s="89" t="s">
        <v>1425</v>
      </c>
      <c r="N3598" s="89">
        <v>21</v>
      </c>
      <c r="O3598" t="str">
        <f t="shared" si="301"/>
        <v>39</v>
      </c>
      <c r="P3598" t="s">
        <v>747</v>
      </c>
      <c r="S3598">
        <v>0</v>
      </c>
      <c r="U3598">
        <f t="shared" si="297"/>
        <v>0</v>
      </c>
      <c r="V3598" t="str">
        <f t="shared" si="298"/>
        <v>High Orientation &amp; Mobility Specialist</v>
      </c>
      <c r="W3598" t="str">
        <f t="shared" si="299"/>
        <v>Orientation &amp; Mobility Specialist</v>
      </c>
    </row>
    <row r="3599" spans="7:23" x14ac:dyDescent="0.25">
      <c r="G3599" t="str">
        <f t="shared" si="300"/>
        <v>00000</v>
      </c>
      <c r="H3599" s="89" t="s">
        <v>1650</v>
      </c>
      <c r="I3599" s="89" t="s">
        <v>1265</v>
      </c>
      <c r="J3599" s="89" t="s">
        <v>1276</v>
      </c>
      <c r="K3599" s="89" t="s">
        <v>1277</v>
      </c>
      <c r="L3599" s="89" t="s">
        <v>1451</v>
      </c>
      <c r="M3599" s="89" t="s">
        <v>1506</v>
      </c>
      <c r="N3599" s="89">
        <v>97</v>
      </c>
      <c r="O3599" t="str">
        <f t="shared" si="301"/>
        <v>39</v>
      </c>
      <c r="P3599" t="s">
        <v>747</v>
      </c>
      <c r="S3599">
        <v>0</v>
      </c>
      <c r="U3599">
        <f t="shared" si="297"/>
        <v>0</v>
      </c>
      <c r="V3599" t="str">
        <f t="shared" si="298"/>
        <v>Elementary Orientation &amp; Mobility Specialist</v>
      </c>
      <c r="W3599" t="str">
        <f t="shared" si="299"/>
        <v>Orientation &amp; Mobility Specialist</v>
      </c>
    </row>
    <row r="3600" spans="7:23" x14ac:dyDescent="0.25">
      <c r="G3600" t="str">
        <f t="shared" si="300"/>
        <v>00000</v>
      </c>
      <c r="H3600" s="89" t="s">
        <v>1650</v>
      </c>
      <c r="I3600" s="89" t="s">
        <v>1265</v>
      </c>
      <c r="J3600" s="89" t="s">
        <v>1266</v>
      </c>
      <c r="K3600" s="89" t="s">
        <v>1267</v>
      </c>
      <c r="L3600" s="89" t="s">
        <v>1478</v>
      </c>
      <c r="M3600" s="89" t="s">
        <v>1524</v>
      </c>
      <c r="N3600" s="89">
        <v>97</v>
      </c>
      <c r="O3600" t="str">
        <f t="shared" si="301"/>
        <v>39</v>
      </c>
      <c r="P3600" t="s">
        <v>747</v>
      </c>
      <c r="S3600">
        <v>0</v>
      </c>
      <c r="U3600">
        <f t="shared" si="297"/>
        <v>0</v>
      </c>
      <c r="V3600" t="str">
        <f t="shared" si="298"/>
        <v>Middle Orientation &amp; Mobility Specialist</v>
      </c>
      <c r="W3600" t="str">
        <f t="shared" si="299"/>
        <v>Orientation &amp; Mobility Specialist</v>
      </c>
    </row>
    <row r="3601" spans="7:23" x14ac:dyDescent="0.25">
      <c r="G3601" t="str">
        <f t="shared" si="300"/>
        <v>00000</v>
      </c>
      <c r="H3601" s="89" t="s">
        <v>1650</v>
      </c>
      <c r="I3601" s="89" t="s">
        <v>1265</v>
      </c>
      <c r="J3601" s="89" t="s">
        <v>1271</v>
      </c>
      <c r="K3601" s="89" t="s">
        <v>1272</v>
      </c>
      <c r="L3601" s="89" t="s">
        <v>1491</v>
      </c>
      <c r="M3601" s="89" t="s">
        <v>1534</v>
      </c>
      <c r="N3601" s="89">
        <v>97</v>
      </c>
      <c r="O3601" t="str">
        <f t="shared" si="301"/>
        <v>39</v>
      </c>
      <c r="P3601" t="s">
        <v>747</v>
      </c>
      <c r="S3601">
        <v>0</v>
      </c>
      <c r="U3601">
        <f t="shared" si="297"/>
        <v>0</v>
      </c>
      <c r="V3601" t="str">
        <f t="shared" si="298"/>
        <v>High Orientation &amp; Mobility Specialist</v>
      </c>
      <c r="W3601" t="str">
        <f t="shared" si="299"/>
        <v>Orientation &amp; Mobility Specialist</v>
      </c>
    </row>
    <row r="3602" spans="7:23" x14ac:dyDescent="0.25">
      <c r="G3602" t="str">
        <f t="shared" si="300"/>
        <v>00000</v>
      </c>
      <c r="H3602" s="89" t="s">
        <v>1650</v>
      </c>
      <c r="I3602" s="89" t="s">
        <v>1265</v>
      </c>
      <c r="J3602" s="89" t="s">
        <v>1276</v>
      </c>
      <c r="K3602" s="89" t="s">
        <v>1277</v>
      </c>
      <c r="L3602" s="89" t="s">
        <v>1464</v>
      </c>
      <c r="M3602" s="89" t="s">
        <v>1516</v>
      </c>
      <c r="N3602" s="89" t="s">
        <v>1129</v>
      </c>
      <c r="O3602" t="str">
        <f t="shared" si="301"/>
        <v>39</v>
      </c>
      <c r="P3602" t="s">
        <v>747</v>
      </c>
      <c r="S3602">
        <v>0</v>
      </c>
      <c r="U3602">
        <f t="shared" si="297"/>
        <v>0</v>
      </c>
      <c r="V3602" t="str">
        <f t="shared" si="298"/>
        <v>TK Orientation &amp; Mobility Specialist</v>
      </c>
      <c r="W3602" t="str">
        <f t="shared" si="299"/>
        <v>Orientation &amp; Mobility Specialist</v>
      </c>
    </row>
    <row r="3603" spans="7:23" x14ac:dyDescent="0.25">
      <c r="G3603" t="str">
        <f t="shared" si="300"/>
        <v>00000</v>
      </c>
      <c r="H3603" s="89" t="s">
        <v>1650</v>
      </c>
      <c r="I3603" s="89" t="s">
        <v>1265</v>
      </c>
      <c r="J3603" s="89" t="s">
        <v>1276</v>
      </c>
      <c r="K3603" s="89" t="s">
        <v>1277</v>
      </c>
      <c r="L3603" s="89" t="s">
        <v>1450</v>
      </c>
      <c r="M3603" s="89" t="s">
        <v>1506</v>
      </c>
      <c r="N3603" s="89" t="s">
        <v>731</v>
      </c>
      <c r="O3603" t="str">
        <f t="shared" si="301"/>
        <v>39</v>
      </c>
      <c r="P3603" t="s">
        <v>747</v>
      </c>
      <c r="S3603">
        <v>0</v>
      </c>
      <c r="U3603">
        <f t="shared" si="297"/>
        <v>0</v>
      </c>
      <c r="V3603" t="str">
        <f t="shared" si="298"/>
        <v>Elementary Orientation &amp; Mobility Specialist</v>
      </c>
      <c r="W3603" t="str">
        <f t="shared" si="299"/>
        <v>Orientation &amp; Mobility Specialist</v>
      </c>
    </row>
    <row r="3604" spans="7:23" x14ac:dyDescent="0.25">
      <c r="G3604" t="str">
        <f t="shared" si="300"/>
        <v>00000</v>
      </c>
      <c r="H3604" s="89" t="s">
        <v>1650</v>
      </c>
      <c r="I3604" s="89" t="s">
        <v>1265</v>
      </c>
      <c r="J3604" s="89" t="s">
        <v>1266</v>
      </c>
      <c r="K3604" s="89" t="s">
        <v>1267</v>
      </c>
      <c r="L3604" s="89" t="s">
        <v>1476</v>
      </c>
      <c r="M3604" s="89" t="s">
        <v>1524</v>
      </c>
      <c r="N3604" s="89" t="s">
        <v>731</v>
      </c>
      <c r="O3604" t="str">
        <f t="shared" si="301"/>
        <v>39</v>
      </c>
      <c r="P3604" t="s">
        <v>747</v>
      </c>
      <c r="S3604">
        <v>0</v>
      </c>
      <c r="U3604">
        <f t="shared" si="297"/>
        <v>0</v>
      </c>
      <c r="V3604" t="str">
        <f t="shared" si="298"/>
        <v>Middle Orientation &amp; Mobility Specialist</v>
      </c>
      <c r="W3604" t="str">
        <f t="shared" si="299"/>
        <v>Orientation &amp; Mobility Specialist</v>
      </c>
    </row>
    <row r="3605" spans="7:23" x14ac:dyDescent="0.25">
      <c r="G3605" t="str">
        <f t="shared" si="300"/>
        <v>00000</v>
      </c>
      <c r="H3605" s="89" t="s">
        <v>1650</v>
      </c>
      <c r="I3605" s="89" t="s">
        <v>1265</v>
      </c>
      <c r="J3605" s="89" t="s">
        <v>1271</v>
      </c>
      <c r="K3605" s="89" t="s">
        <v>1272</v>
      </c>
      <c r="L3605" s="89" t="s">
        <v>1490</v>
      </c>
      <c r="M3605" s="89" t="s">
        <v>1534</v>
      </c>
      <c r="N3605" s="89" t="s">
        <v>731</v>
      </c>
      <c r="O3605" t="str">
        <f t="shared" si="301"/>
        <v>39</v>
      </c>
      <c r="P3605" t="s">
        <v>747</v>
      </c>
      <c r="S3605">
        <v>0</v>
      </c>
      <c r="U3605">
        <f t="shared" si="297"/>
        <v>0</v>
      </c>
      <c r="V3605" t="str">
        <f t="shared" si="298"/>
        <v>High Orientation &amp; Mobility Specialist</v>
      </c>
      <c r="W3605" t="str">
        <f t="shared" si="299"/>
        <v>Orientation &amp; Mobility Specialist</v>
      </c>
    </row>
    <row r="3606" spans="7:23" x14ac:dyDescent="0.25">
      <c r="G3606" t="str">
        <f t="shared" si="300"/>
        <v>00000</v>
      </c>
      <c r="H3606" s="89" t="s">
        <v>1650</v>
      </c>
      <c r="I3606" s="89" t="s">
        <v>1265</v>
      </c>
      <c r="J3606" s="89" t="s">
        <v>1276</v>
      </c>
      <c r="K3606" s="89" t="s">
        <v>1277</v>
      </c>
      <c r="L3606" s="89" t="s">
        <v>1321</v>
      </c>
      <c r="M3606" s="89" t="s">
        <v>1507</v>
      </c>
      <c r="N3606" s="89">
        <v>21</v>
      </c>
      <c r="O3606" t="str">
        <f t="shared" si="301"/>
        <v>42</v>
      </c>
      <c r="P3606" t="s">
        <v>736</v>
      </c>
      <c r="S3606">
        <v>0</v>
      </c>
      <c r="U3606">
        <f t="shared" si="297"/>
        <v>0</v>
      </c>
      <c r="V3606" t="str">
        <f t="shared" si="298"/>
        <v>Elementary Counselor</v>
      </c>
      <c r="W3606" t="str">
        <f t="shared" si="299"/>
        <v>Counselor</v>
      </c>
    </row>
    <row r="3607" spans="7:23" x14ac:dyDescent="0.25">
      <c r="G3607" t="str">
        <f t="shared" si="300"/>
        <v>00000</v>
      </c>
      <c r="H3607" s="89" t="s">
        <v>1650</v>
      </c>
      <c r="I3607" s="89" t="s">
        <v>1265</v>
      </c>
      <c r="J3607" s="89" t="s">
        <v>1266</v>
      </c>
      <c r="K3607" s="89" t="s">
        <v>1267</v>
      </c>
      <c r="L3607" s="89" t="s">
        <v>1365</v>
      </c>
      <c r="M3607" s="89" t="s">
        <v>1525</v>
      </c>
      <c r="N3607" s="89">
        <v>21</v>
      </c>
      <c r="O3607" t="str">
        <f t="shared" si="301"/>
        <v>42</v>
      </c>
      <c r="P3607" t="s">
        <v>736</v>
      </c>
      <c r="S3607">
        <v>0</v>
      </c>
      <c r="U3607">
        <f t="shared" si="297"/>
        <v>0</v>
      </c>
      <c r="V3607" t="str">
        <f t="shared" si="298"/>
        <v>Middle Counselor</v>
      </c>
      <c r="W3607" t="str">
        <f t="shared" si="299"/>
        <v>Counselor</v>
      </c>
    </row>
    <row r="3608" spans="7:23" x14ac:dyDescent="0.25">
      <c r="G3608" t="str">
        <f t="shared" si="300"/>
        <v>00000</v>
      </c>
      <c r="H3608" s="89" t="s">
        <v>1650</v>
      </c>
      <c r="I3608" s="89" t="s">
        <v>1265</v>
      </c>
      <c r="J3608" s="89" t="s">
        <v>1271</v>
      </c>
      <c r="K3608" s="89" t="s">
        <v>1272</v>
      </c>
      <c r="L3608" s="89" t="s">
        <v>1385</v>
      </c>
      <c r="M3608" s="89" t="s">
        <v>1535</v>
      </c>
      <c r="N3608" s="89">
        <v>21</v>
      </c>
      <c r="O3608" t="str">
        <f t="shared" si="301"/>
        <v>42</v>
      </c>
      <c r="P3608" t="s">
        <v>736</v>
      </c>
      <c r="S3608">
        <v>0</v>
      </c>
      <c r="U3608">
        <f t="shared" si="297"/>
        <v>0</v>
      </c>
      <c r="V3608" t="str">
        <f t="shared" si="298"/>
        <v>High Counselor</v>
      </c>
      <c r="W3608" t="str">
        <f t="shared" si="299"/>
        <v>Counselor</v>
      </c>
    </row>
    <row r="3609" spans="7:23" x14ac:dyDescent="0.25">
      <c r="G3609" t="str">
        <f t="shared" si="300"/>
        <v>00000</v>
      </c>
      <c r="H3609" s="89" t="s">
        <v>1650</v>
      </c>
      <c r="I3609" s="89" t="s">
        <v>1265</v>
      </c>
      <c r="J3609" s="89" t="s">
        <v>1276</v>
      </c>
      <c r="K3609" s="89" t="s">
        <v>1277</v>
      </c>
      <c r="L3609" s="89" t="s">
        <v>1452</v>
      </c>
      <c r="M3609" s="89" t="s">
        <v>1507</v>
      </c>
      <c r="N3609" s="89">
        <v>97</v>
      </c>
      <c r="O3609" t="str">
        <f t="shared" si="301"/>
        <v>42</v>
      </c>
      <c r="P3609" t="s">
        <v>736</v>
      </c>
      <c r="S3609">
        <v>0</v>
      </c>
      <c r="U3609">
        <f t="shared" si="297"/>
        <v>0</v>
      </c>
      <c r="V3609" t="str">
        <f t="shared" si="298"/>
        <v>Elementary Counselor</v>
      </c>
      <c r="W3609" t="str">
        <f t="shared" si="299"/>
        <v>Counselor</v>
      </c>
    </row>
    <row r="3610" spans="7:23" x14ac:dyDescent="0.25">
      <c r="G3610" t="str">
        <f t="shared" si="300"/>
        <v>00000</v>
      </c>
      <c r="H3610" s="89" t="s">
        <v>1650</v>
      </c>
      <c r="I3610" s="89" t="s">
        <v>1265</v>
      </c>
      <c r="J3610" s="89" t="s">
        <v>1266</v>
      </c>
      <c r="K3610" s="89" t="s">
        <v>1267</v>
      </c>
      <c r="L3610" s="89" t="s">
        <v>1479</v>
      </c>
      <c r="M3610" s="89" t="s">
        <v>1525</v>
      </c>
      <c r="N3610" s="89">
        <v>97</v>
      </c>
      <c r="O3610" t="str">
        <f t="shared" si="301"/>
        <v>42</v>
      </c>
      <c r="P3610" t="s">
        <v>736</v>
      </c>
      <c r="S3610">
        <v>0</v>
      </c>
      <c r="U3610">
        <f t="shared" si="297"/>
        <v>0</v>
      </c>
      <c r="V3610" t="str">
        <f t="shared" si="298"/>
        <v>Middle Counselor</v>
      </c>
      <c r="W3610" t="str">
        <f t="shared" si="299"/>
        <v>Counselor</v>
      </c>
    </row>
    <row r="3611" spans="7:23" x14ac:dyDescent="0.25">
      <c r="G3611" t="str">
        <f t="shared" si="300"/>
        <v>00000</v>
      </c>
      <c r="H3611" s="89" t="s">
        <v>1650</v>
      </c>
      <c r="I3611" s="89" t="s">
        <v>1265</v>
      </c>
      <c r="J3611" s="89" t="s">
        <v>1271</v>
      </c>
      <c r="K3611" s="89" t="s">
        <v>1272</v>
      </c>
      <c r="L3611" s="89" t="s">
        <v>1492</v>
      </c>
      <c r="M3611" s="89" t="s">
        <v>1535</v>
      </c>
      <c r="N3611" s="89">
        <v>97</v>
      </c>
      <c r="O3611" t="str">
        <f t="shared" si="301"/>
        <v>42</v>
      </c>
      <c r="P3611" t="s">
        <v>736</v>
      </c>
      <c r="S3611">
        <v>0</v>
      </c>
      <c r="U3611">
        <f t="shared" si="297"/>
        <v>0</v>
      </c>
      <c r="V3611" t="str">
        <f t="shared" si="298"/>
        <v>High Counselor</v>
      </c>
      <c r="W3611" t="str">
        <f t="shared" si="299"/>
        <v>Counselor</v>
      </c>
    </row>
    <row r="3612" spans="7:23" x14ac:dyDescent="0.25">
      <c r="G3612" t="str">
        <f t="shared" si="300"/>
        <v>00000</v>
      </c>
      <c r="H3612" s="89" t="s">
        <v>1650</v>
      </c>
      <c r="I3612" s="89" t="s">
        <v>1265</v>
      </c>
      <c r="J3612" s="89" t="s">
        <v>1276</v>
      </c>
      <c r="K3612" s="89" t="s">
        <v>1277</v>
      </c>
      <c r="L3612" s="89" t="s">
        <v>1348</v>
      </c>
      <c r="M3612" s="89" t="s">
        <v>1645</v>
      </c>
      <c r="N3612" s="89" t="s">
        <v>1129</v>
      </c>
      <c r="O3612" t="str">
        <f t="shared" si="301"/>
        <v>42</v>
      </c>
      <c r="P3612" t="s">
        <v>736</v>
      </c>
      <c r="S3612">
        <v>0</v>
      </c>
      <c r="U3612">
        <f t="shared" si="297"/>
        <v>0</v>
      </c>
      <c r="V3612" t="str">
        <f t="shared" si="298"/>
        <v>TK Counselor</v>
      </c>
      <c r="W3612" t="str">
        <f t="shared" si="299"/>
        <v>Counselor</v>
      </c>
    </row>
    <row r="3613" spans="7:23" x14ac:dyDescent="0.25">
      <c r="G3613" t="str">
        <f t="shared" si="300"/>
        <v>00000</v>
      </c>
      <c r="H3613" s="89" t="s">
        <v>1650</v>
      </c>
      <c r="I3613" s="89" t="s">
        <v>1265</v>
      </c>
      <c r="J3613" s="89" t="s">
        <v>1276</v>
      </c>
      <c r="K3613" s="89" t="s">
        <v>1277</v>
      </c>
      <c r="L3613" s="89" t="s">
        <v>1275</v>
      </c>
      <c r="M3613" s="89" t="s">
        <v>1507</v>
      </c>
      <c r="N3613" s="89" t="s">
        <v>731</v>
      </c>
      <c r="O3613" t="str">
        <f t="shared" si="301"/>
        <v>42</v>
      </c>
      <c r="P3613" t="s">
        <v>736</v>
      </c>
      <c r="S3613">
        <v>0</v>
      </c>
      <c r="U3613">
        <f t="shared" si="297"/>
        <v>0</v>
      </c>
      <c r="V3613" t="str">
        <f t="shared" si="298"/>
        <v>Elementary Counselor</v>
      </c>
      <c r="W3613" t="str">
        <f t="shared" si="299"/>
        <v>Counselor</v>
      </c>
    </row>
    <row r="3614" spans="7:23" x14ac:dyDescent="0.25">
      <c r="G3614" t="str">
        <f t="shared" si="300"/>
        <v>00000</v>
      </c>
      <c r="H3614" s="89" t="s">
        <v>1650</v>
      </c>
      <c r="I3614" s="89" t="s">
        <v>1265</v>
      </c>
      <c r="J3614" s="89" t="s">
        <v>1266</v>
      </c>
      <c r="K3614" s="89" t="s">
        <v>1267</v>
      </c>
      <c r="L3614" s="89" t="s">
        <v>1263</v>
      </c>
      <c r="M3614" s="89" t="s">
        <v>1525</v>
      </c>
      <c r="N3614" s="89" t="s">
        <v>731</v>
      </c>
      <c r="O3614" t="str">
        <f t="shared" si="301"/>
        <v>42</v>
      </c>
      <c r="P3614" t="s">
        <v>736</v>
      </c>
      <c r="S3614">
        <v>0</v>
      </c>
      <c r="U3614">
        <f t="shared" si="297"/>
        <v>0</v>
      </c>
      <c r="V3614" t="str">
        <f t="shared" si="298"/>
        <v>Middle Counselor</v>
      </c>
      <c r="W3614" t="str">
        <f t="shared" si="299"/>
        <v>Counselor</v>
      </c>
    </row>
    <row r="3615" spans="7:23" x14ac:dyDescent="0.25">
      <c r="G3615" t="str">
        <f t="shared" si="300"/>
        <v>00000</v>
      </c>
      <c r="H3615" s="89" t="s">
        <v>1650</v>
      </c>
      <c r="I3615" s="89" t="s">
        <v>1265</v>
      </c>
      <c r="J3615" s="89" t="s">
        <v>1271</v>
      </c>
      <c r="K3615" s="89" t="s">
        <v>1272</v>
      </c>
      <c r="L3615" s="89" t="s">
        <v>1270</v>
      </c>
      <c r="M3615" s="89" t="s">
        <v>1535</v>
      </c>
      <c r="N3615" s="89" t="s">
        <v>731</v>
      </c>
      <c r="O3615" t="str">
        <f t="shared" si="301"/>
        <v>42</v>
      </c>
      <c r="P3615" t="s">
        <v>736</v>
      </c>
      <c r="S3615">
        <v>0</v>
      </c>
      <c r="U3615">
        <f t="shared" si="297"/>
        <v>0</v>
      </c>
      <c r="V3615" t="str">
        <f t="shared" si="298"/>
        <v>High Counselor</v>
      </c>
      <c r="W3615" t="str">
        <f t="shared" si="299"/>
        <v>Counselor</v>
      </c>
    </row>
    <row r="3616" spans="7:23" x14ac:dyDescent="0.25">
      <c r="G3616" t="str">
        <f t="shared" si="300"/>
        <v>00000</v>
      </c>
      <c r="H3616" s="89" t="s">
        <v>1650</v>
      </c>
      <c r="I3616" s="89" t="s">
        <v>1265</v>
      </c>
      <c r="J3616" s="89" t="s">
        <v>1276</v>
      </c>
      <c r="K3616" s="89" t="s">
        <v>1277</v>
      </c>
      <c r="L3616" s="89" t="s">
        <v>1289</v>
      </c>
      <c r="M3616" s="89" t="s">
        <v>1655</v>
      </c>
      <c r="N3616" s="89">
        <v>21</v>
      </c>
      <c r="O3616" t="str">
        <f t="shared" si="301"/>
        <v>43</v>
      </c>
      <c r="P3616" t="s">
        <v>738</v>
      </c>
      <c r="S3616">
        <v>0</v>
      </c>
      <c r="U3616">
        <f t="shared" si="297"/>
        <v>0</v>
      </c>
      <c r="V3616" t="str">
        <f t="shared" si="298"/>
        <v>Elementary Occupational Therapist</v>
      </c>
      <c r="W3616" t="str">
        <f t="shared" si="299"/>
        <v>Occupational Therapist</v>
      </c>
    </row>
    <row r="3617" spans="7:23" x14ac:dyDescent="0.25">
      <c r="G3617" t="str">
        <f t="shared" si="300"/>
        <v>00000</v>
      </c>
      <c r="H3617" s="89" t="s">
        <v>1650</v>
      </c>
      <c r="I3617" s="89" t="s">
        <v>1265</v>
      </c>
      <c r="J3617" s="89" t="s">
        <v>1266</v>
      </c>
      <c r="K3617" s="89" t="s">
        <v>1267</v>
      </c>
      <c r="L3617" s="89" t="s">
        <v>1303</v>
      </c>
      <c r="M3617" s="89" t="s">
        <v>1656</v>
      </c>
      <c r="N3617" s="89">
        <v>21</v>
      </c>
      <c r="O3617" t="str">
        <f t="shared" si="301"/>
        <v>43</v>
      </c>
      <c r="P3617" t="s">
        <v>738</v>
      </c>
      <c r="S3617">
        <v>0</v>
      </c>
      <c r="U3617">
        <f t="shared" si="297"/>
        <v>0</v>
      </c>
      <c r="V3617" t="str">
        <f t="shared" si="298"/>
        <v>Middle Occupational Therapist</v>
      </c>
      <c r="W3617" t="str">
        <f t="shared" si="299"/>
        <v>Occupational Therapist</v>
      </c>
    </row>
    <row r="3618" spans="7:23" x14ac:dyDescent="0.25">
      <c r="G3618" t="str">
        <f t="shared" si="300"/>
        <v>00000</v>
      </c>
      <c r="H3618" s="89" t="s">
        <v>1650</v>
      </c>
      <c r="I3618" s="89" t="s">
        <v>1265</v>
      </c>
      <c r="J3618" s="89" t="s">
        <v>1271</v>
      </c>
      <c r="K3618" s="89" t="s">
        <v>1272</v>
      </c>
      <c r="L3618" s="89" t="s">
        <v>1387</v>
      </c>
      <c r="M3618" s="89" t="s">
        <v>1657</v>
      </c>
      <c r="N3618" s="89">
        <v>21</v>
      </c>
      <c r="O3618" t="str">
        <f t="shared" si="301"/>
        <v>43</v>
      </c>
      <c r="P3618" t="s">
        <v>738</v>
      </c>
      <c r="S3618">
        <v>0</v>
      </c>
      <c r="U3618">
        <f t="shared" si="297"/>
        <v>0</v>
      </c>
      <c r="V3618" t="str">
        <f t="shared" si="298"/>
        <v>High Occupational Therapist</v>
      </c>
      <c r="W3618" t="str">
        <f t="shared" si="299"/>
        <v>Occupational Therapist</v>
      </c>
    </row>
    <row r="3619" spans="7:23" x14ac:dyDescent="0.25">
      <c r="G3619" t="str">
        <f t="shared" si="300"/>
        <v>00000</v>
      </c>
      <c r="H3619" s="89" t="s">
        <v>1650</v>
      </c>
      <c r="I3619" s="89" t="s">
        <v>1265</v>
      </c>
      <c r="J3619" s="89" t="s">
        <v>1276</v>
      </c>
      <c r="K3619" s="89" t="s">
        <v>1277</v>
      </c>
      <c r="L3619" s="89" t="s">
        <v>1453</v>
      </c>
      <c r="M3619" s="89" t="s">
        <v>1655</v>
      </c>
      <c r="N3619" s="89">
        <v>97</v>
      </c>
      <c r="O3619" t="str">
        <f t="shared" si="301"/>
        <v>43</v>
      </c>
      <c r="P3619" t="s">
        <v>738</v>
      </c>
      <c r="S3619">
        <v>0</v>
      </c>
      <c r="U3619">
        <f t="shared" si="297"/>
        <v>0</v>
      </c>
      <c r="V3619" t="str">
        <f t="shared" si="298"/>
        <v>Elementary Occupational Therapist</v>
      </c>
      <c r="W3619" t="str">
        <f t="shared" si="299"/>
        <v>Occupational Therapist</v>
      </c>
    </row>
    <row r="3620" spans="7:23" x14ac:dyDescent="0.25">
      <c r="G3620" t="str">
        <f t="shared" si="300"/>
        <v>00000</v>
      </c>
      <c r="H3620" s="89" t="s">
        <v>1650</v>
      </c>
      <c r="I3620" s="89" t="s">
        <v>1265</v>
      </c>
      <c r="J3620" s="89" t="s">
        <v>1266</v>
      </c>
      <c r="K3620" s="89" t="s">
        <v>1267</v>
      </c>
      <c r="L3620" s="89" t="s">
        <v>1480</v>
      </c>
      <c r="M3620" s="89" t="s">
        <v>1656</v>
      </c>
      <c r="N3620" s="89">
        <v>97</v>
      </c>
      <c r="O3620" t="str">
        <f t="shared" si="301"/>
        <v>43</v>
      </c>
      <c r="P3620" t="s">
        <v>738</v>
      </c>
      <c r="S3620">
        <v>0</v>
      </c>
      <c r="U3620">
        <f t="shared" si="297"/>
        <v>0</v>
      </c>
      <c r="V3620" t="str">
        <f t="shared" si="298"/>
        <v>Middle Occupational Therapist</v>
      </c>
      <c r="W3620" t="str">
        <f t="shared" si="299"/>
        <v>Occupational Therapist</v>
      </c>
    </row>
    <row r="3621" spans="7:23" x14ac:dyDescent="0.25">
      <c r="G3621" t="str">
        <f t="shared" si="300"/>
        <v>00000</v>
      </c>
      <c r="H3621" s="89" t="s">
        <v>1650</v>
      </c>
      <c r="I3621" s="89" t="s">
        <v>1265</v>
      </c>
      <c r="J3621" s="89" t="s">
        <v>1271</v>
      </c>
      <c r="K3621" s="89" t="s">
        <v>1272</v>
      </c>
      <c r="L3621" s="89" t="s">
        <v>1493</v>
      </c>
      <c r="M3621" s="89" t="s">
        <v>1657</v>
      </c>
      <c r="N3621" s="89">
        <v>97</v>
      </c>
      <c r="O3621" t="str">
        <f t="shared" si="301"/>
        <v>43</v>
      </c>
      <c r="P3621" t="s">
        <v>738</v>
      </c>
      <c r="S3621">
        <v>0</v>
      </c>
      <c r="U3621">
        <f t="shared" si="297"/>
        <v>0</v>
      </c>
      <c r="V3621" t="str">
        <f t="shared" si="298"/>
        <v>High Occupational Therapist</v>
      </c>
      <c r="W3621" t="str">
        <f t="shared" si="299"/>
        <v>Occupational Therapist</v>
      </c>
    </row>
    <row r="3622" spans="7:23" x14ac:dyDescent="0.25">
      <c r="G3622" t="str">
        <f t="shared" si="300"/>
        <v>00000</v>
      </c>
      <c r="H3622" s="89" t="s">
        <v>1650</v>
      </c>
      <c r="I3622" s="89" t="s">
        <v>1265</v>
      </c>
      <c r="J3622" s="89" t="s">
        <v>1276</v>
      </c>
      <c r="K3622" s="89" t="s">
        <v>1277</v>
      </c>
      <c r="L3622" s="89" t="s">
        <v>1465</v>
      </c>
      <c r="M3622" s="89" t="s">
        <v>1658</v>
      </c>
      <c r="N3622" s="89" t="s">
        <v>1129</v>
      </c>
      <c r="O3622" t="str">
        <f t="shared" si="301"/>
        <v>43</v>
      </c>
      <c r="P3622" t="s">
        <v>738</v>
      </c>
      <c r="S3622">
        <v>0</v>
      </c>
      <c r="U3622">
        <f t="shared" si="297"/>
        <v>0</v>
      </c>
      <c r="V3622" t="str">
        <f t="shared" si="298"/>
        <v>TK Occupational Therapist</v>
      </c>
      <c r="W3622" t="str">
        <f t="shared" si="299"/>
        <v>Occupational Therapist</v>
      </c>
    </row>
    <row r="3623" spans="7:23" x14ac:dyDescent="0.25">
      <c r="G3623" t="str">
        <f t="shared" si="300"/>
        <v>00000</v>
      </c>
      <c r="H3623" s="89" t="s">
        <v>1650</v>
      </c>
      <c r="I3623" s="89" t="s">
        <v>1265</v>
      </c>
      <c r="J3623" s="89" t="s">
        <v>1276</v>
      </c>
      <c r="K3623" s="89" t="s">
        <v>1277</v>
      </c>
      <c r="L3623" s="89" t="s">
        <v>1328</v>
      </c>
      <c r="M3623" s="89" t="s">
        <v>1655</v>
      </c>
      <c r="N3623" s="89" t="s">
        <v>731</v>
      </c>
      <c r="O3623" t="str">
        <f t="shared" si="301"/>
        <v>43</v>
      </c>
      <c r="P3623" t="s">
        <v>738</v>
      </c>
      <c r="S3623">
        <v>0</v>
      </c>
      <c r="U3623">
        <f t="shared" si="297"/>
        <v>0</v>
      </c>
      <c r="V3623" t="str">
        <f t="shared" si="298"/>
        <v>Elementary Occupational Therapist</v>
      </c>
      <c r="W3623" t="str">
        <f t="shared" si="299"/>
        <v>Occupational Therapist</v>
      </c>
    </row>
    <row r="3624" spans="7:23" x14ac:dyDescent="0.25">
      <c r="G3624" t="str">
        <f t="shared" si="300"/>
        <v>00000</v>
      </c>
      <c r="H3624" s="89" t="s">
        <v>1650</v>
      </c>
      <c r="I3624" s="89" t="s">
        <v>1265</v>
      </c>
      <c r="J3624" s="89" t="s">
        <v>1266</v>
      </c>
      <c r="K3624" s="89" t="s">
        <v>1267</v>
      </c>
      <c r="L3624" s="89" t="s">
        <v>1368</v>
      </c>
      <c r="M3624" s="89" t="s">
        <v>1656</v>
      </c>
      <c r="N3624" s="89" t="s">
        <v>731</v>
      </c>
      <c r="O3624" t="str">
        <f t="shared" si="301"/>
        <v>43</v>
      </c>
      <c r="P3624" t="s">
        <v>738</v>
      </c>
      <c r="S3624">
        <v>0</v>
      </c>
      <c r="U3624">
        <f t="shared" si="297"/>
        <v>0</v>
      </c>
      <c r="V3624" t="str">
        <f t="shared" si="298"/>
        <v>Middle Occupational Therapist</v>
      </c>
      <c r="W3624" t="str">
        <f t="shared" si="299"/>
        <v>Occupational Therapist</v>
      </c>
    </row>
    <row r="3625" spans="7:23" x14ac:dyDescent="0.25">
      <c r="G3625" t="str">
        <f t="shared" si="300"/>
        <v>00000</v>
      </c>
      <c r="H3625" s="89" t="s">
        <v>1650</v>
      </c>
      <c r="I3625" s="89" t="s">
        <v>1265</v>
      </c>
      <c r="J3625" s="89" t="s">
        <v>1271</v>
      </c>
      <c r="K3625" s="89" t="s">
        <v>1272</v>
      </c>
      <c r="L3625" s="89" t="s">
        <v>1388</v>
      </c>
      <c r="M3625" s="89" t="s">
        <v>1657</v>
      </c>
      <c r="N3625" s="89" t="s">
        <v>731</v>
      </c>
      <c r="O3625" t="str">
        <f t="shared" si="301"/>
        <v>43</v>
      </c>
      <c r="P3625" t="s">
        <v>738</v>
      </c>
      <c r="S3625">
        <v>0</v>
      </c>
      <c r="U3625">
        <f t="shared" si="297"/>
        <v>0</v>
      </c>
      <c r="V3625" t="str">
        <f t="shared" si="298"/>
        <v>High Occupational Therapist</v>
      </c>
      <c r="W3625" t="str">
        <f t="shared" si="299"/>
        <v>Occupational Therapist</v>
      </c>
    </row>
    <row r="3626" spans="7:23" x14ac:dyDescent="0.25">
      <c r="G3626" t="str">
        <f t="shared" si="300"/>
        <v>00000</v>
      </c>
      <c r="H3626" s="89" t="s">
        <v>1650</v>
      </c>
      <c r="I3626" s="89" t="s">
        <v>1265</v>
      </c>
      <c r="J3626" s="89" t="s">
        <v>1276</v>
      </c>
      <c r="K3626" s="89" t="s">
        <v>1277</v>
      </c>
      <c r="L3626" s="89" t="s">
        <v>1329</v>
      </c>
      <c r="M3626" s="89" t="s">
        <v>1508</v>
      </c>
      <c r="N3626" s="89">
        <v>21</v>
      </c>
      <c r="O3626" t="str">
        <f t="shared" si="301"/>
        <v>44</v>
      </c>
      <c r="P3626" t="s">
        <v>744</v>
      </c>
      <c r="S3626">
        <v>0</v>
      </c>
      <c r="U3626">
        <f t="shared" si="297"/>
        <v>0</v>
      </c>
      <c r="V3626" t="str">
        <f t="shared" si="298"/>
        <v>Elementary Social Worker</v>
      </c>
      <c r="W3626" t="str">
        <f t="shared" si="299"/>
        <v>Social Worker</v>
      </c>
    </row>
    <row r="3627" spans="7:23" x14ac:dyDescent="0.25">
      <c r="G3627" t="str">
        <f t="shared" si="300"/>
        <v>00000</v>
      </c>
      <c r="H3627" s="89" t="s">
        <v>1650</v>
      </c>
      <c r="I3627" s="89" t="s">
        <v>1265</v>
      </c>
      <c r="J3627" s="89" t="s">
        <v>1266</v>
      </c>
      <c r="K3627" s="89" t="s">
        <v>1267</v>
      </c>
      <c r="L3627" s="89" t="s">
        <v>1369</v>
      </c>
      <c r="M3627" s="89" t="s">
        <v>1526</v>
      </c>
      <c r="N3627" s="89">
        <v>21</v>
      </c>
      <c r="O3627" t="str">
        <f t="shared" si="301"/>
        <v>44</v>
      </c>
      <c r="P3627" t="s">
        <v>744</v>
      </c>
      <c r="S3627">
        <v>0</v>
      </c>
      <c r="U3627">
        <f t="shared" si="297"/>
        <v>0</v>
      </c>
      <c r="V3627" t="str">
        <f t="shared" si="298"/>
        <v>Middle Social Worker</v>
      </c>
      <c r="W3627" t="str">
        <f t="shared" si="299"/>
        <v>Social Worker</v>
      </c>
    </row>
    <row r="3628" spans="7:23" x14ac:dyDescent="0.25">
      <c r="G3628" t="str">
        <f t="shared" si="300"/>
        <v>00000</v>
      </c>
      <c r="H3628" s="89" t="s">
        <v>1650</v>
      </c>
      <c r="I3628" s="89" t="s">
        <v>1265</v>
      </c>
      <c r="J3628" s="89" t="s">
        <v>1271</v>
      </c>
      <c r="K3628" s="89" t="s">
        <v>1272</v>
      </c>
      <c r="L3628" s="89" t="s">
        <v>1390</v>
      </c>
      <c r="M3628" s="89" t="s">
        <v>1536</v>
      </c>
      <c r="N3628" s="89">
        <v>21</v>
      </c>
      <c r="O3628" t="str">
        <f t="shared" si="301"/>
        <v>44</v>
      </c>
      <c r="P3628" t="s">
        <v>744</v>
      </c>
      <c r="S3628">
        <v>0</v>
      </c>
      <c r="U3628">
        <f t="shared" si="297"/>
        <v>0</v>
      </c>
      <c r="V3628" t="str">
        <f t="shared" si="298"/>
        <v>High Social Worker</v>
      </c>
      <c r="W3628" t="str">
        <f t="shared" si="299"/>
        <v>Social Worker</v>
      </c>
    </row>
    <row r="3629" spans="7:23" x14ac:dyDescent="0.25">
      <c r="G3629" t="str">
        <f t="shared" si="300"/>
        <v>00000</v>
      </c>
      <c r="H3629" s="89" t="s">
        <v>1650</v>
      </c>
      <c r="I3629" s="89" t="s">
        <v>1265</v>
      </c>
      <c r="J3629" s="89" t="s">
        <v>1276</v>
      </c>
      <c r="K3629" s="89" t="s">
        <v>1277</v>
      </c>
      <c r="L3629" s="89" t="s">
        <v>1454</v>
      </c>
      <c r="M3629" s="89" t="s">
        <v>1508</v>
      </c>
      <c r="N3629" s="89">
        <v>97</v>
      </c>
      <c r="O3629" t="str">
        <f t="shared" si="301"/>
        <v>44</v>
      </c>
      <c r="P3629" t="s">
        <v>744</v>
      </c>
      <c r="S3629">
        <v>0</v>
      </c>
      <c r="U3629">
        <f t="shared" si="297"/>
        <v>0</v>
      </c>
      <c r="V3629" t="str">
        <f t="shared" si="298"/>
        <v>Elementary Social Worker</v>
      </c>
      <c r="W3629" t="str">
        <f t="shared" si="299"/>
        <v>Social Worker</v>
      </c>
    </row>
    <row r="3630" spans="7:23" x14ac:dyDescent="0.25">
      <c r="G3630" t="str">
        <f t="shared" si="300"/>
        <v>00000</v>
      </c>
      <c r="H3630" s="89" t="s">
        <v>1650</v>
      </c>
      <c r="I3630" s="89" t="s">
        <v>1265</v>
      </c>
      <c r="J3630" s="89" t="s">
        <v>1266</v>
      </c>
      <c r="K3630" s="89" t="s">
        <v>1267</v>
      </c>
      <c r="L3630" s="89" t="s">
        <v>1481</v>
      </c>
      <c r="M3630" s="89" t="s">
        <v>1526</v>
      </c>
      <c r="N3630" s="89">
        <v>97</v>
      </c>
      <c r="O3630" t="str">
        <f t="shared" si="301"/>
        <v>44</v>
      </c>
      <c r="P3630" t="s">
        <v>744</v>
      </c>
      <c r="S3630">
        <v>0</v>
      </c>
      <c r="U3630">
        <f t="shared" si="297"/>
        <v>0</v>
      </c>
      <c r="V3630" t="str">
        <f t="shared" si="298"/>
        <v>Middle Social Worker</v>
      </c>
      <c r="W3630" t="str">
        <f t="shared" si="299"/>
        <v>Social Worker</v>
      </c>
    </row>
    <row r="3631" spans="7:23" x14ac:dyDescent="0.25">
      <c r="G3631" t="str">
        <f t="shared" si="300"/>
        <v>00000</v>
      </c>
      <c r="H3631" s="89" t="s">
        <v>1650</v>
      </c>
      <c r="I3631" s="89" t="s">
        <v>1265</v>
      </c>
      <c r="J3631" s="89" t="s">
        <v>1271</v>
      </c>
      <c r="K3631" s="89" t="s">
        <v>1272</v>
      </c>
      <c r="L3631" s="89" t="s">
        <v>1494</v>
      </c>
      <c r="M3631" s="89" t="s">
        <v>1536</v>
      </c>
      <c r="N3631" s="89">
        <v>97</v>
      </c>
      <c r="O3631" t="str">
        <f t="shared" si="301"/>
        <v>44</v>
      </c>
      <c r="P3631" t="s">
        <v>744</v>
      </c>
      <c r="S3631">
        <v>0</v>
      </c>
      <c r="U3631">
        <f t="shared" si="297"/>
        <v>0</v>
      </c>
      <c r="V3631" t="str">
        <f t="shared" si="298"/>
        <v>High Social Worker</v>
      </c>
      <c r="W3631" t="str">
        <f t="shared" si="299"/>
        <v>Social Worker</v>
      </c>
    </row>
    <row r="3632" spans="7:23" x14ac:dyDescent="0.25">
      <c r="G3632" t="str">
        <f t="shared" si="300"/>
        <v>00000</v>
      </c>
      <c r="H3632" s="89" t="s">
        <v>1650</v>
      </c>
      <c r="I3632" s="89" t="s">
        <v>1265</v>
      </c>
      <c r="J3632" s="89" t="s">
        <v>1276</v>
      </c>
      <c r="K3632" s="89" t="s">
        <v>1277</v>
      </c>
      <c r="L3632" s="89" t="s">
        <v>1466</v>
      </c>
      <c r="M3632" s="89" t="s">
        <v>1517</v>
      </c>
      <c r="N3632" s="89" t="s">
        <v>1129</v>
      </c>
      <c r="O3632" t="str">
        <f t="shared" si="301"/>
        <v>44</v>
      </c>
      <c r="P3632" t="s">
        <v>744</v>
      </c>
      <c r="S3632">
        <v>0</v>
      </c>
      <c r="U3632">
        <f t="shared" si="297"/>
        <v>0</v>
      </c>
      <c r="V3632" t="str">
        <f t="shared" si="298"/>
        <v>TK Social Worker</v>
      </c>
      <c r="W3632" t="str">
        <f t="shared" si="299"/>
        <v>Social Worker</v>
      </c>
    </row>
    <row r="3633" spans="7:23" x14ac:dyDescent="0.25">
      <c r="G3633" t="str">
        <f t="shared" si="300"/>
        <v>00000</v>
      </c>
      <c r="H3633" s="89" t="s">
        <v>1650</v>
      </c>
      <c r="I3633" s="89" t="s">
        <v>1265</v>
      </c>
      <c r="J3633" s="89" t="s">
        <v>1276</v>
      </c>
      <c r="K3633" s="89" t="s">
        <v>1277</v>
      </c>
      <c r="L3633" s="89" t="s">
        <v>1331</v>
      </c>
      <c r="M3633" s="89" t="s">
        <v>1508</v>
      </c>
      <c r="N3633" s="89" t="s">
        <v>731</v>
      </c>
      <c r="O3633" t="str">
        <f t="shared" si="301"/>
        <v>44</v>
      </c>
      <c r="P3633" t="s">
        <v>744</v>
      </c>
      <c r="S3633">
        <v>0</v>
      </c>
      <c r="U3633">
        <f t="shared" si="297"/>
        <v>0</v>
      </c>
      <c r="V3633" t="str">
        <f t="shared" si="298"/>
        <v>Elementary Social Worker</v>
      </c>
      <c r="W3633" t="str">
        <f t="shared" si="299"/>
        <v>Social Worker</v>
      </c>
    </row>
    <row r="3634" spans="7:23" x14ac:dyDescent="0.25">
      <c r="G3634" t="str">
        <f t="shared" si="300"/>
        <v>00000</v>
      </c>
      <c r="H3634" s="89" t="s">
        <v>1650</v>
      </c>
      <c r="I3634" s="89" t="s">
        <v>1265</v>
      </c>
      <c r="J3634" s="89" t="s">
        <v>1266</v>
      </c>
      <c r="K3634" s="89" t="s">
        <v>1267</v>
      </c>
      <c r="L3634" s="89" t="s">
        <v>1356</v>
      </c>
      <c r="M3634" s="89" t="s">
        <v>1526</v>
      </c>
      <c r="N3634" s="89" t="s">
        <v>731</v>
      </c>
      <c r="O3634" t="str">
        <f t="shared" si="301"/>
        <v>44</v>
      </c>
      <c r="P3634" t="s">
        <v>744</v>
      </c>
      <c r="S3634">
        <v>0</v>
      </c>
      <c r="U3634">
        <f t="shared" si="297"/>
        <v>0</v>
      </c>
      <c r="V3634" t="str">
        <f t="shared" si="298"/>
        <v>Middle Social Worker</v>
      </c>
      <c r="W3634" t="str">
        <f t="shared" si="299"/>
        <v>Social Worker</v>
      </c>
    </row>
    <row r="3635" spans="7:23" x14ac:dyDescent="0.25">
      <c r="G3635" t="str">
        <f t="shared" si="300"/>
        <v>00000</v>
      </c>
      <c r="H3635" s="89" t="s">
        <v>1650</v>
      </c>
      <c r="I3635" s="89" t="s">
        <v>1265</v>
      </c>
      <c r="J3635" s="89" t="s">
        <v>1271</v>
      </c>
      <c r="K3635" s="89" t="s">
        <v>1272</v>
      </c>
      <c r="L3635" s="89" t="s">
        <v>1359</v>
      </c>
      <c r="M3635" s="89" t="s">
        <v>1536</v>
      </c>
      <c r="N3635" s="89" t="s">
        <v>731</v>
      </c>
      <c r="O3635" t="str">
        <f t="shared" si="301"/>
        <v>44</v>
      </c>
      <c r="P3635" t="s">
        <v>744</v>
      </c>
      <c r="S3635">
        <v>0</v>
      </c>
      <c r="U3635">
        <f t="shared" si="297"/>
        <v>0</v>
      </c>
      <c r="V3635" t="str">
        <f t="shared" si="298"/>
        <v>High Social Worker</v>
      </c>
      <c r="W3635" t="str">
        <f t="shared" si="299"/>
        <v>Social Worker</v>
      </c>
    </row>
    <row r="3636" spans="7:23" x14ac:dyDescent="0.25">
      <c r="G3636" t="str">
        <f t="shared" si="300"/>
        <v>00000</v>
      </c>
      <c r="H3636" s="89" t="s">
        <v>1650</v>
      </c>
      <c r="I3636" s="89" t="s">
        <v>1265</v>
      </c>
      <c r="J3636" s="89" t="s">
        <v>1276</v>
      </c>
      <c r="K3636" s="89" t="s">
        <v>1277</v>
      </c>
      <c r="L3636" s="89" t="s">
        <v>1294</v>
      </c>
      <c r="M3636" s="89" t="s">
        <v>1509</v>
      </c>
      <c r="N3636" s="89">
        <v>21</v>
      </c>
      <c r="O3636" t="str">
        <f t="shared" si="301"/>
        <v>45</v>
      </c>
      <c r="P3636" t="s">
        <v>739</v>
      </c>
      <c r="S3636">
        <v>0</v>
      </c>
      <c r="U3636">
        <f t="shared" si="297"/>
        <v>0</v>
      </c>
      <c r="V3636" t="str">
        <f t="shared" si="298"/>
        <v>Elementary Speech, Language Pathway/
Audio</v>
      </c>
      <c r="W3636" t="str">
        <f t="shared" si="299"/>
        <v>Speech, Language Pathway/
Audio</v>
      </c>
    </row>
    <row r="3637" spans="7:23" x14ac:dyDescent="0.25">
      <c r="G3637" t="str">
        <f t="shared" si="300"/>
        <v>00000</v>
      </c>
      <c r="H3637" s="89" t="s">
        <v>1650</v>
      </c>
      <c r="I3637" s="89" t="s">
        <v>1265</v>
      </c>
      <c r="J3637" s="89" t="s">
        <v>1266</v>
      </c>
      <c r="K3637" s="89" t="s">
        <v>1267</v>
      </c>
      <c r="L3637" s="89" t="s">
        <v>1312</v>
      </c>
      <c r="M3637" s="89" t="s">
        <v>1527</v>
      </c>
      <c r="N3637" s="89">
        <v>21</v>
      </c>
      <c r="O3637" t="str">
        <f t="shared" si="301"/>
        <v>45</v>
      </c>
      <c r="P3637" t="s">
        <v>739</v>
      </c>
      <c r="S3637">
        <v>0</v>
      </c>
      <c r="U3637">
        <f t="shared" si="297"/>
        <v>0</v>
      </c>
      <c r="V3637" t="str">
        <f t="shared" si="298"/>
        <v>Middle Speech, Language Pathway/
Audio</v>
      </c>
      <c r="W3637" t="str">
        <f t="shared" si="299"/>
        <v>Speech, Language Pathway/
Audio</v>
      </c>
    </row>
    <row r="3638" spans="7:23" x14ac:dyDescent="0.25">
      <c r="G3638" t="str">
        <f t="shared" si="300"/>
        <v>00000</v>
      </c>
      <c r="H3638" s="89" t="s">
        <v>1650</v>
      </c>
      <c r="I3638" s="89" t="s">
        <v>1265</v>
      </c>
      <c r="J3638" s="89" t="s">
        <v>1271</v>
      </c>
      <c r="K3638" s="89" t="s">
        <v>1272</v>
      </c>
      <c r="L3638" s="89" t="s">
        <v>1326</v>
      </c>
      <c r="M3638" s="89" t="s">
        <v>1537</v>
      </c>
      <c r="N3638" s="89">
        <v>21</v>
      </c>
      <c r="O3638" t="str">
        <f t="shared" si="301"/>
        <v>45</v>
      </c>
      <c r="P3638" t="s">
        <v>739</v>
      </c>
      <c r="S3638">
        <v>0</v>
      </c>
      <c r="U3638">
        <f t="shared" ref="U3638:U3695" si="302">IF(N3638=21,ROUND(T3638*S3638,3),0)</f>
        <v>0</v>
      </c>
      <c r="V3638" t="str">
        <f t="shared" si="298"/>
        <v>High Speech, Language Pathway/
Audio</v>
      </c>
      <c r="W3638" t="str">
        <f t="shared" si="299"/>
        <v>Speech, Language Pathway/
Audio</v>
      </c>
    </row>
    <row r="3639" spans="7:23" x14ac:dyDescent="0.25">
      <c r="G3639" t="str">
        <f t="shared" si="300"/>
        <v>00000</v>
      </c>
      <c r="H3639" s="89" t="s">
        <v>1650</v>
      </c>
      <c r="I3639" s="89" t="s">
        <v>1265</v>
      </c>
      <c r="J3639" s="89" t="s">
        <v>1276</v>
      </c>
      <c r="K3639" s="89" t="s">
        <v>1277</v>
      </c>
      <c r="L3639" s="89" t="s">
        <v>1455</v>
      </c>
      <c r="M3639" s="89" t="s">
        <v>1509</v>
      </c>
      <c r="N3639" s="89">
        <v>97</v>
      </c>
      <c r="O3639" t="str">
        <f t="shared" si="301"/>
        <v>45</v>
      </c>
      <c r="P3639" t="s">
        <v>739</v>
      </c>
      <c r="S3639">
        <v>0</v>
      </c>
      <c r="U3639">
        <f t="shared" si="302"/>
        <v>0</v>
      </c>
      <c r="V3639" t="str">
        <f t="shared" si="298"/>
        <v>Elementary Speech, Language Pathway/
Audio</v>
      </c>
      <c r="W3639" t="str">
        <f t="shared" si="299"/>
        <v>Speech, Language Pathway/
Audio</v>
      </c>
    </row>
    <row r="3640" spans="7:23" x14ac:dyDescent="0.25">
      <c r="G3640" t="str">
        <f t="shared" si="300"/>
        <v>00000</v>
      </c>
      <c r="H3640" s="89" t="s">
        <v>1650</v>
      </c>
      <c r="I3640" s="89" t="s">
        <v>1265</v>
      </c>
      <c r="J3640" s="89" t="s">
        <v>1266</v>
      </c>
      <c r="K3640" s="89" t="s">
        <v>1267</v>
      </c>
      <c r="L3640" s="89" t="s">
        <v>1482</v>
      </c>
      <c r="M3640" s="89" t="s">
        <v>1527</v>
      </c>
      <c r="N3640" s="89">
        <v>97</v>
      </c>
      <c r="O3640" t="str">
        <f t="shared" si="301"/>
        <v>45</v>
      </c>
      <c r="P3640" t="s">
        <v>739</v>
      </c>
      <c r="S3640">
        <v>0</v>
      </c>
      <c r="U3640">
        <f t="shared" si="302"/>
        <v>0</v>
      </c>
      <c r="V3640" t="str">
        <f t="shared" si="298"/>
        <v>Middle Speech, Language Pathway/
Audio</v>
      </c>
      <c r="W3640" t="str">
        <f t="shared" si="299"/>
        <v>Speech, Language Pathway/
Audio</v>
      </c>
    </row>
    <row r="3641" spans="7:23" x14ac:dyDescent="0.25">
      <c r="G3641" t="str">
        <f t="shared" si="300"/>
        <v>00000</v>
      </c>
      <c r="H3641" s="89" t="s">
        <v>1650</v>
      </c>
      <c r="I3641" s="89" t="s">
        <v>1265</v>
      </c>
      <c r="J3641" s="89" t="s">
        <v>1271</v>
      </c>
      <c r="K3641" s="89" t="s">
        <v>1272</v>
      </c>
      <c r="L3641" s="89" t="s">
        <v>1495</v>
      </c>
      <c r="M3641" s="89" t="s">
        <v>1537</v>
      </c>
      <c r="N3641" s="89">
        <v>97</v>
      </c>
      <c r="O3641" t="str">
        <f t="shared" si="301"/>
        <v>45</v>
      </c>
      <c r="P3641" t="s">
        <v>739</v>
      </c>
      <c r="S3641">
        <v>0</v>
      </c>
      <c r="U3641">
        <f t="shared" si="302"/>
        <v>0</v>
      </c>
      <c r="V3641" t="str">
        <f t="shared" si="298"/>
        <v>High Speech, Language Pathway/
Audio</v>
      </c>
      <c r="W3641" t="str">
        <f t="shared" si="299"/>
        <v>Speech, Language Pathway/
Audio</v>
      </c>
    </row>
    <row r="3642" spans="7:23" x14ac:dyDescent="0.25">
      <c r="G3642" t="str">
        <f t="shared" si="300"/>
        <v>00000</v>
      </c>
      <c r="H3642" s="89" t="s">
        <v>1650</v>
      </c>
      <c r="I3642" s="89" t="s">
        <v>1265</v>
      </c>
      <c r="J3642" s="89" t="s">
        <v>1276</v>
      </c>
      <c r="K3642" s="89" t="s">
        <v>1277</v>
      </c>
      <c r="L3642" s="89" t="s">
        <v>1467</v>
      </c>
      <c r="M3642" s="89" t="s">
        <v>1518</v>
      </c>
      <c r="N3642" s="89" t="s">
        <v>1129</v>
      </c>
      <c r="O3642" t="str">
        <f t="shared" si="301"/>
        <v>45</v>
      </c>
      <c r="P3642" t="s">
        <v>739</v>
      </c>
      <c r="S3642">
        <v>0</v>
      </c>
      <c r="U3642">
        <f t="shared" si="302"/>
        <v>0</v>
      </c>
      <c r="V3642" t="str">
        <f t="shared" si="298"/>
        <v>TK Speech, Language Pathway/
Audio</v>
      </c>
      <c r="W3642" t="str">
        <f t="shared" si="299"/>
        <v>Speech, Language Pathway/
Audio</v>
      </c>
    </row>
    <row r="3643" spans="7:23" x14ac:dyDescent="0.25">
      <c r="G3643" t="str">
        <f t="shared" si="300"/>
        <v>00000</v>
      </c>
      <c r="H3643" s="89" t="s">
        <v>1650</v>
      </c>
      <c r="I3643" s="89" t="s">
        <v>1265</v>
      </c>
      <c r="J3643" s="89" t="s">
        <v>1276</v>
      </c>
      <c r="K3643" s="89" t="s">
        <v>1277</v>
      </c>
      <c r="L3643" s="89" t="s">
        <v>1332</v>
      </c>
      <c r="M3643" s="89" t="s">
        <v>1509</v>
      </c>
      <c r="N3643" s="89" t="s">
        <v>731</v>
      </c>
      <c r="O3643" t="str">
        <f t="shared" si="301"/>
        <v>45</v>
      </c>
      <c r="P3643" t="s">
        <v>739</v>
      </c>
      <c r="S3643">
        <v>0</v>
      </c>
      <c r="U3643">
        <f t="shared" si="302"/>
        <v>0</v>
      </c>
      <c r="V3643" t="str">
        <f t="shared" si="298"/>
        <v>Elementary Speech, Language Pathway/
Audio</v>
      </c>
      <c r="W3643" t="str">
        <f t="shared" si="299"/>
        <v>Speech, Language Pathway/
Audio</v>
      </c>
    </row>
    <row r="3644" spans="7:23" x14ac:dyDescent="0.25">
      <c r="G3644" t="str">
        <f t="shared" si="300"/>
        <v>00000</v>
      </c>
      <c r="H3644" s="89" t="s">
        <v>1650</v>
      </c>
      <c r="I3644" s="89" t="s">
        <v>1265</v>
      </c>
      <c r="J3644" s="89" t="s">
        <v>1266</v>
      </c>
      <c r="K3644" s="89" t="s">
        <v>1267</v>
      </c>
      <c r="L3644" s="89" t="s">
        <v>1370</v>
      </c>
      <c r="M3644" s="89" t="s">
        <v>1527</v>
      </c>
      <c r="N3644" s="89" t="s">
        <v>731</v>
      </c>
      <c r="O3644" t="str">
        <f t="shared" si="301"/>
        <v>45</v>
      </c>
      <c r="P3644" t="s">
        <v>739</v>
      </c>
      <c r="S3644">
        <v>0</v>
      </c>
      <c r="U3644">
        <f t="shared" si="302"/>
        <v>0</v>
      </c>
      <c r="V3644" t="str">
        <f t="shared" si="298"/>
        <v>Middle Speech, Language Pathway/
Audio</v>
      </c>
      <c r="W3644" t="str">
        <f t="shared" si="299"/>
        <v>Speech, Language Pathway/
Audio</v>
      </c>
    </row>
    <row r="3645" spans="7:23" x14ac:dyDescent="0.25">
      <c r="G3645" t="str">
        <f t="shared" si="300"/>
        <v>00000</v>
      </c>
      <c r="H3645" s="89" t="s">
        <v>1650</v>
      </c>
      <c r="I3645" s="89" t="s">
        <v>1265</v>
      </c>
      <c r="J3645" s="89" t="s">
        <v>1271</v>
      </c>
      <c r="K3645" s="89" t="s">
        <v>1272</v>
      </c>
      <c r="L3645" s="89" t="s">
        <v>1394</v>
      </c>
      <c r="M3645" s="89" t="s">
        <v>1537</v>
      </c>
      <c r="N3645" s="89" t="s">
        <v>731</v>
      </c>
      <c r="O3645" t="str">
        <f t="shared" si="301"/>
        <v>45</v>
      </c>
      <c r="P3645" t="s">
        <v>739</v>
      </c>
      <c r="S3645">
        <v>0</v>
      </c>
      <c r="U3645">
        <f t="shared" si="302"/>
        <v>0</v>
      </c>
      <c r="V3645" t="str">
        <f t="shared" ref="V3645:V3695" si="303">_xlfn.XLOOKUP(L3645,$BV:$BV,$BT:$BT,,0)</f>
        <v>High Speech, Language Pathway/
Audio</v>
      </c>
      <c r="W3645" t="str">
        <f t="shared" ref="W3645:W3695" si="304">_xlfn.TEXTAFTER(V3645," ")</f>
        <v>Speech, Language Pathway/
Audio</v>
      </c>
    </row>
    <row r="3646" spans="7:23" x14ac:dyDescent="0.25">
      <c r="G3646" t="str">
        <f t="shared" si="300"/>
        <v>00000</v>
      </c>
      <c r="H3646" s="89" t="s">
        <v>1650</v>
      </c>
      <c r="I3646" s="89" t="s">
        <v>1265</v>
      </c>
      <c r="J3646" s="89" t="s">
        <v>1276</v>
      </c>
      <c r="K3646" s="89" t="s">
        <v>1277</v>
      </c>
      <c r="L3646" s="89" t="s">
        <v>1298</v>
      </c>
      <c r="M3646" s="89" t="s">
        <v>1659</v>
      </c>
      <c r="N3646" s="89">
        <v>21</v>
      </c>
      <c r="O3646" t="str">
        <f t="shared" si="301"/>
        <v>46</v>
      </c>
      <c r="P3646" t="s">
        <v>740</v>
      </c>
      <c r="S3646">
        <v>0</v>
      </c>
      <c r="U3646">
        <f t="shared" si="302"/>
        <v>0</v>
      </c>
      <c r="V3646" t="str">
        <f t="shared" si="303"/>
        <v>Elementary Psychologist</v>
      </c>
      <c r="W3646" t="str">
        <f t="shared" si="304"/>
        <v>Psychologist</v>
      </c>
    </row>
    <row r="3647" spans="7:23" x14ac:dyDescent="0.25">
      <c r="G3647" t="str">
        <f t="shared" si="300"/>
        <v>00000</v>
      </c>
      <c r="H3647" s="89" t="s">
        <v>1650</v>
      </c>
      <c r="I3647" s="89" t="s">
        <v>1265</v>
      </c>
      <c r="J3647" s="89" t="s">
        <v>1266</v>
      </c>
      <c r="K3647" s="89" t="s">
        <v>1267</v>
      </c>
      <c r="L3647" s="89" t="s">
        <v>1345</v>
      </c>
      <c r="M3647" s="89" t="s">
        <v>1660</v>
      </c>
      <c r="N3647" s="89">
        <v>21</v>
      </c>
      <c r="O3647" t="str">
        <f t="shared" si="301"/>
        <v>46</v>
      </c>
      <c r="P3647" t="s">
        <v>740</v>
      </c>
      <c r="S3647">
        <v>0</v>
      </c>
      <c r="U3647">
        <f t="shared" si="302"/>
        <v>0</v>
      </c>
      <c r="V3647" t="str">
        <f t="shared" si="303"/>
        <v>Middle Psychologist</v>
      </c>
      <c r="W3647" t="str">
        <f t="shared" si="304"/>
        <v>Psychologist</v>
      </c>
    </row>
    <row r="3648" spans="7:23" x14ac:dyDescent="0.25">
      <c r="G3648" t="str">
        <f t="shared" si="300"/>
        <v>00000</v>
      </c>
      <c r="H3648" s="89" t="s">
        <v>1650</v>
      </c>
      <c r="I3648" s="89" t="s">
        <v>1265</v>
      </c>
      <c r="J3648" s="89" t="s">
        <v>1271</v>
      </c>
      <c r="K3648" s="89" t="s">
        <v>1272</v>
      </c>
      <c r="L3648" s="89" t="s">
        <v>1309</v>
      </c>
      <c r="M3648" s="89" t="s">
        <v>1661</v>
      </c>
      <c r="N3648" s="89">
        <v>21</v>
      </c>
      <c r="O3648" t="str">
        <f t="shared" si="301"/>
        <v>46</v>
      </c>
      <c r="P3648" t="s">
        <v>740</v>
      </c>
      <c r="S3648">
        <v>0</v>
      </c>
      <c r="U3648">
        <f t="shared" si="302"/>
        <v>0</v>
      </c>
      <c r="V3648" t="str">
        <f t="shared" si="303"/>
        <v>High Psychologist</v>
      </c>
      <c r="W3648" t="str">
        <f t="shared" si="304"/>
        <v>Psychologist</v>
      </c>
    </row>
    <row r="3649" spans="7:23" x14ac:dyDescent="0.25">
      <c r="G3649" t="str">
        <f t="shared" si="300"/>
        <v>00000</v>
      </c>
      <c r="H3649" s="89" t="s">
        <v>1650</v>
      </c>
      <c r="I3649" s="89" t="s">
        <v>1265</v>
      </c>
      <c r="J3649" s="89" t="s">
        <v>1276</v>
      </c>
      <c r="K3649" s="89" t="s">
        <v>1277</v>
      </c>
      <c r="L3649" s="89" t="s">
        <v>1456</v>
      </c>
      <c r="M3649" s="89" t="s">
        <v>1659</v>
      </c>
      <c r="N3649" s="89">
        <v>97</v>
      </c>
      <c r="O3649" t="str">
        <f t="shared" si="301"/>
        <v>46</v>
      </c>
      <c r="P3649" t="s">
        <v>740</v>
      </c>
      <c r="S3649">
        <v>0</v>
      </c>
      <c r="U3649">
        <f t="shared" si="302"/>
        <v>0</v>
      </c>
      <c r="V3649" t="str">
        <f t="shared" si="303"/>
        <v>Elementary Psychologist</v>
      </c>
      <c r="W3649" t="str">
        <f t="shared" si="304"/>
        <v>Psychologist</v>
      </c>
    </row>
    <row r="3650" spans="7:23" x14ac:dyDescent="0.25">
      <c r="G3650" t="str">
        <f t="shared" ref="G3650:G3695" si="305">TEXT(F3650,"00000")</f>
        <v>00000</v>
      </c>
      <c r="H3650" s="89" t="s">
        <v>1650</v>
      </c>
      <c r="I3650" s="89" t="s">
        <v>1265</v>
      </c>
      <c r="J3650" s="89" t="s">
        <v>1266</v>
      </c>
      <c r="K3650" s="89" t="s">
        <v>1267</v>
      </c>
      <c r="L3650" s="89" t="s">
        <v>1483</v>
      </c>
      <c r="M3650" s="89" t="s">
        <v>1660</v>
      </c>
      <c r="N3650" s="89">
        <v>97</v>
      </c>
      <c r="O3650" t="str">
        <f t="shared" si="301"/>
        <v>46</v>
      </c>
      <c r="P3650" t="s">
        <v>740</v>
      </c>
      <c r="S3650">
        <v>0</v>
      </c>
      <c r="U3650">
        <f t="shared" si="302"/>
        <v>0</v>
      </c>
      <c r="V3650" t="str">
        <f t="shared" si="303"/>
        <v>Middle Psychologist</v>
      </c>
      <c r="W3650" t="str">
        <f t="shared" si="304"/>
        <v>Psychologist</v>
      </c>
    </row>
    <row r="3651" spans="7:23" x14ac:dyDescent="0.25">
      <c r="G3651" t="str">
        <f t="shared" si="305"/>
        <v>00000</v>
      </c>
      <c r="H3651" s="89" t="s">
        <v>1650</v>
      </c>
      <c r="I3651" s="89" t="s">
        <v>1265</v>
      </c>
      <c r="J3651" s="89" t="s">
        <v>1271</v>
      </c>
      <c r="K3651" s="89" t="s">
        <v>1272</v>
      </c>
      <c r="L3651" s="89" t="s">
        <v>1496</v>
      </c>
      <c r="M3651" s="89" t="s">
        <v>1661</v>
      </c>
      <c r="N3651" s="89">
        <v>97</v>
      </c>
      <c r="O3651" t="str">
        <f t="shared" ref="O3651:O3695" si="306">MID(L3651,3,2)</f>
        <v>46</v>
      </c>
      <c r="P3651" t="s">
        <v>740</v>
      </c>
      <c r="S3651">
        <v>0</v>
      </c>
      <c r="U3651">
        <f t="shared" si="302"/>
        <v>0</v>
      </c>
      <c r="V3651" t="str">
        <f t="shared" si="303"/>
        <v>High Psychologist</v>
      </c>
      <c r="W3651" t="str">
        <f t="shared" si="304"/>
        <v>Psychologist</v>
      </c>
    </row>
    <row r="3652" spans="7:23" x14ac:dyDescent="0.25">
      <c r="G3652" t="str">
        <f t="shared" si="305"/>
        <v>00000</v>
      </c>
      <c r="H3652" s="89" t="s">
        <v>1650</v>
      </c>
      <c r="I3652" s="89" t="s">
        <v>1265</v>
      </c>
      <c r="J3652" s="89" t="s">
        <v>1276</v>
      </c>
      <c r="K3652" s="89" t="s">
        <v>1277</v>
      </c>
      <c r="L3652" s="89" t="s">
        <v>1468</v>
      </c>
      <c r="M3652" s="89" t="s">
        <v>1662</v>
      </c>
      <c r="N3652" s="89" t="s">
        <v>1129</v>
      </c>
      <c r="O3652" t="str">
        <f t="shared" si="306"/>
        <v>46</v>
      </c>
      <c r="P3652" t="s">
        <v>740</v>
      </c>
      <c r="S3652">
        <v>0</v>
      </c>
      <c r="U3652">
        <f t="shared" si="302"/>
        <v>0</v>
      </c>
      <c r="V3652" t="str">
        <f t="shared" si="303"/>
        <v>TK Psychologist</v>
      </c>
      <c r="W3652" t="str">
        <f t="shared" si="304"/>
        <v>Psychologist</v>
      </c>
    </row>
    <row r="3653" spans="7:23" x14ac:dyDescent="0.25">
      <c r="G3653" t="str">
        <f t="shared" si="305"/>
        <v>00000</v>
      </c>
      <c r="H3653" s="89" t="s">
        <v>1650</v>
      </c>
      <c r="I3653" s="89" t="s">
        <v>1265</v>
      </c>
      <c r="J3653" s="89" t="s">
        <v>1276</v>
      </c>
      <c r="K3653" s="89" t="s">
        <v>1277</v>
      </c>
      <c r="L3653" s="89" t="s">
        <v>1333</v>
      </c>
      <c r="M3653" s="89" t="s">
        <v>1659</v>
      </c>
      <c r="N3653" s="89" t="s">
        <v>731</v>
      </c>
      <c r="O3653" t="str">
        <f t="shared" si="306"/>
        <v>46</v>
      </c>
      <c r="P3653" t="s">
        <v>740</v>
      </c>
      <c r="S3653">
        <v>0</v>
      </c>
      <c r="U3653">
        <f t="shared" si="302"/>
        <v>0</v>
      </c>
      <c r="V3653" t="str">
        <f t="shared" si="303"/>
        <v>Elementary Psychologist</v>
      </c>
      <c r="W3653" t="str">
        <f t="shared" si="304"/>
        <v>Psychologist</v>
      </c>
    </row>
    <row r="3654" spans="7:23" x14ac:dyDescent="0.25">
      <c r="G3654" t="str">
        <f t="shared" si="305"/>
        <v>00000</v>
      </c>
      <c r="H3654" s="89" t="s">
        <v>1650</v>
      </c>
      <c r="I3654" s="89" t="s">
        <v>1265</v>
      </c>
      <c r="J3654" s="89" t="s">
        <v>1266</v>
      </c>
      <c r="K3654" s="89" t="s">
        <v>1267</v>
      </c>
      <c r="L3654" s="89" t="s">
        <v>1371</v>
      </c>
      <c r="M3654" s="89" t="s">
        <v>1660</v>
      </c>
      <c r="N3654" s="89" t="s">
        <v>731</v>
      </c>
      <c r="O3654" t="str">
        <f t="shared" si="306"/>
        <v>46</v>
      </c>
      <c r="P3654" t="s">
        <v>740</v>
      </c>
      <c r="S3654">
        <v>0</v>
      </c>
      <c r="U3654">
        <f t="shared" si="302"/>
        <v>0</v>
      </c>
      <c r="V3654" t="str">
        <f t="shared" si="303"/>
        <v>Middle Psychologist</v>
      </c>
      <c r="W3654" t="str">
        <f t="shared" si="304"/>
        <v>Psychologist</v>
      </c>
    </row>
    <row r="3655" spans="7:23" x14ac:dyDescent="0.25">
      <c r="G3655" t="str">
        <f t="shared" si="305"/>
        <v>00000</v>
      </c>
      <c r="H3655" s="89" t="s">
        <v>1650</v>
      </c>
      <c r="I3655" s="89" t="s">
        <v>1265</v>
      </c>
      <c r="J3655" s="89" t="s">
        <v>1271</v>
      </c>
      <c r="K3655" s="89" t="s">
        <v>1272</v>
      </c>
      <c r="L3655" s="89" t="s">
        <v>1396</v>
      </c>
      <c r="M3655" s="89" t="s">
        <v>1661</v>
      </c>
      <c r="N3655" s="89" t="s">
        <v>731</v>
      </c>
      <c r="O3655" t="str">
        <f t="shared" si="306"/>
        <v>46</v>
      </c>
      <c r="P3655" t="s">
        <v>740</v>
      </c>
      <c r="S3655">
        <v>0</v>
      </c>
      <c r="U3655">
        <f t="shared" si="302"/>
        <v>0</v>
      </c>
      <c r="V3655" t="str">
        <f t="shared" si="303"/>
        <v>High Psychologist</v>
      </c>
      <c r="W3655" t="str">
        <f t="shared" si="304"/>
        <v>Psychologist</v>
      </c>
    </row>
    <row r="3656" spans="7:23" x14ac:dyDescent="0.25">
      <c r="G3656" t="str">
        <f t="shared" si="305"/>
        <v>00000</v>
      </c>
      <c r="H3656" s="89" t="s">
        <v>1650</v>
      </c>
      <c r="I3656" s="89" t="s">
        <v>1265</v>
      </c>
      <c r="J3656" s="89" t="s">
        <v>1276</v>
      </c>
      <c r="K3656" s="89" t="s">
        <v>1277</v>
      </c>
      <c r="L3656" s="89" t="s">
        <v>1334</v>
      </c>
      <c r="M3656" s="89" t="s">
        <v>1510</v>
      </c>
      <c r="N3656" s="89">
        <v>21</v>
      </c>
      <c r="O3656" t="str">
        <f t="shared" si="306"/>
        <v>47</v>
      </c>
      <c r="P3656" t="s">
        <v>742</v>
      </c>
      <c r="S3656">
        <v>0</v>
      </c>
      <c r="U3656">
        <f t="shared" si="302"/>
        <v>0</v>
      </c>
      <c r="V3656" t="str">
        <f t="shared" si="303"/>
        <v>Elementary Nurse</v>
      </c>
      <c r="W3656" t="str">
        <f t="shared" si="304"/>
        <v>Nurse</v>
      </c>
    </row>
    <row r="3657" spans="7:23" x14ac:dyDescent="0.25">
      <c r="G3657" t="str">
        <f t="shared" si="305"/>
        <v>00000</v>
      </c>
      <c r="H3657" s="89" t="s">
        <v>1650</v>
      </c>
      <c r="I3657" s="89" t="s">
        <v>1265</v>
      </c>
      <c r="J3657" s="89" t="s">
        <v>1266</v>
      </c>
      <c r="K3657" s="89" t="s">
        <v>1267</v>
      </c>
      <c r="L3657" s="89" t="s">
        <v>1372</v>
      </c>
      <c r="M3657" s="89" t="s">
        <v>1529</v>
      </c>
      <c r="N3657" s="89">
        <v>21</v>
      </c>
      <c r="O3657" t="str">
        <f t="shared" si="306"/>
        <v>47</v>
      </c>
      <c r="P3657" t="s">
        <v>742</v>
      </c>
      <c r="S3657">
        <v>0</v>
      </c>
      <c r="U3657">
        <f t="shared" si="302"/>
        <v>0</v>
      </c>
      <c r="V3657" t="str">
        <f t="shared" si="303"/>
        <v>Middle Nurse</v>
      </c>
      <c r="W3657" t="str">
        <f t="shared" si="304"/>
        <v>Nurse</v>
      </c>
    </row>
    <row r="3658" spans="7:23" x14ac:dyDescent="0.25">
      <c r="G3658" t="str">
        <f t="shared" si="305"/>
        <v>00000</v>
      </c>
      <c r="H3658" s="89" t="s">
        <v>1650</v>
      </c>
      <c r="I3658" s="89" t="s">
        <v>1265</v>
      </c>
      <c r="J3658" s="89" t="s">
        <v>1271</v>
      </c>
      <c r="K3658" s="89" t="s">
        <v>1272</v>
      </c>
      <c r="L3658" s="89" t="s">
        <v>1397</v>
      </c>
      <c r="M3658" s="89" t="s">
        <v>1435</v>
      </c>
      <c r="N3658" s="89">
        <v>21</v>
      </c>
      <c r="O3658" t="str">
        <f t="shared" si="306"/>
        <v>47</v>
      </c>
      <c r="P3658" t="s">
        <v>742</v>
      </c>
      <c r="S3658">
        <v>0</v>
      </c>
      <c r="U3658">
        <f t="shared" si="302"/>
        <v>0</v>
      </c>
      <c r="V3658" t="str">
        <f t="shared" si="303"/>
        <v>High Nurse</v>
      </c>
      <c r="W3658" t="str">
        <f t="shared" si="304"/>
        <v>Nurse</v>
      </c>
    </row>
    <row r="3659" spans="7:23" x14ac:dyDescent="0.25">
      <c r="G3659" t="str">
        <f t="shared" si="305"/>
        <v>00000</v>
      </c>
      <c r="H3659" s="89" t="s">
        <v>1650</v>
      </c>
      <c r="I3659" s="89" t="s">
        <v>1265</v>
      </c>
      <c r="J3659" s="89" t="s">
        <v>1276</v>
      </c>
      <c r="K3659" s="89" t="s">
        <v>1277</v>
      </c>
      <c r="L3659" s="89" t="s">
        <v>1457</v>
      </c>
      <c r="M3659" s="89" t="s">
        <v>1510</v>
      </c>
      <c r="N3659" s="89">
        <v>97</v>
      </c>
      <c r="O3659" t="str">
        <f t="shared" si="306"/>
        <v>47</v>
      </c>
      <c r="P3659" t="s">
        <v>742</v>
      </c>
      <c r="S3659">
        <v>0</v>
      </c>
      <c r="U3659">
        <f t="shared" si="302"/>
        <v>0</v>
      </c>
      <c r="V3659" t="str">
        <f t="shared" si="303"/>
        <v>Elementary Nurse</v>
      </c>
      <c r="W3659" t="str">
        <f t="shared" si="304"/>
        <v>Nurse</v>
      </c>
    </row>
    <row r="3660" spans="7:23" x14ac:dyDescent="0.25">
      <c r="G3660" t="str">
        <f t="shared" si="305"/>
        <v>00000</v>
      </c>
      <c r="H3660" s="89" t="s">
        <v>1650</v>
      </c>
      <c r="I3660" s="89" t="s">
        <v>1265</v>
      </c>
      <c r="J3660" s="89" t="s">
        <v>1266</v>
      </c>
      <c r="K3660" s="89" t="s">
        <v>1267</v>
      </c>
      <c r="L3660" s="89" t="s">
        <v>1484</v>
      </c>
      <c r="M3660" s="89" t="s">
        <v>1529</v>
      </c>
      <c r="N3660" s="89">
        <v>97</v>
      </c>
      <c r="O3660" t="str">
        <f t="shared" si="306"/>
        <v>47</v>
      </c>
      <c r="P3660" t="s">
        <v>742</v>
      </c>
      <c r="S3660">
        <v>0</v>
      </c>
      <c r="U3660">
        <f t="shared" si="302"/>
        <v>0</v>
      </c>
      <c r="V3660" t="str">
        <f t="shared" si="303"/>
        <v>Middle Nurse</v>
      </c>
      <c r="W3660" t="str">
        <f t="shared" si="304"/>
        <v>Nurse</v>
      </c>
    </row>
    <row r="3661" spans="7:23" x14ac:dyDescent="0.25">
      <c r="G3661" t="str">
        <f t="shared" si="305"/>
        <v>00000</v>
      </c>
      <c r="H3661" s="89" t="s">
        <v>1650</v>
      </c>
      <c r="I3661" s="89" t="s">
        <v>1265</v>
      </c>
      <c r="J3661" s="89" t="s">
        <v>1271</v>
      </c>
      <c r="K3661" s="89" t="s">
        <v>1272</v>
      </c>
      <c r="L3661" s="89" t="s">
        <v>1497</v>
      </c>
      <c r="M3661" s="89" t="s">
        <v>1538</v>
      </c>
      <c r="N3661" s="89">
        <v>97</v>
      </c>
      <c r="O3661" t="str">
        <f t="shared" si="306"/>
        <v>47</v>
      </c>
      <c r="P3661" t="s">
        <v>742</v>
      </c>
      <c r="S3661">
        <v>0</v>
      </c>
      <c r="U3661">
        <f t="shared" si="302"/>
        <v>0</v>
      </c>
      <c r="V3661" t="str">
        <f t="shared" si="303"/>
        <v>High Nurse</v>
      </c>
      <c r="W3661" t="str">
        <f t="shared" si="304"/>
        <v>Nurse</v>
      </c>
    </row>
    <row r="3662" spans="7:23" x14ac:dyDescent="0.25">
      <c r="G3662" t="str">
        <f t="shared" si="305"/>
        <v>00000</v>
      </c>
      <c r="H3662" s="89" t="s">
        <v>1650</v>
      </c>
      <c r="I3662" s="89" t="s">
        <v>1265</v>
      </c>
      <c r="J3662" s="89" t="s">
        <v>1276</v>
      </c>
      <c r="K3662" s="89" t="s">
        <v>1277</v>
      </c>
      <c r="L3662" s="89" t="s">
        <v>1469</v>
      </c>
      <c r="M3662" s="89" t="s">
        <v>1519</v>
      </c>
      <c r="N3662" s="89" t="s">
        <v>1129</v>
      </c>
      <c r="O3662" t="str">
        <f t="shared" si="306"/>
        <v>47</v>
      </c>
      <c r="P3662" t="s">
        <v>742</v>
      </c>
      <c r="S3662">
        <v>0</v>
      </c>
      <c r="U3662">
        <f t="shared" si="302"/>
        <v>0</v>
      </c>
      <c r="V3662" t="str">
        <f t="shared" si="303"/>
        <v>TK Nurse</v>
      </c>
      <c r="W3662" t="str">
        <f t="shared" si="304"/>
        <v>Nurse</v>
      </c>
    </row>
    <row r="3663" spans="7:23" x14ac:dyDescent="0.25">
      <c r="G3663" t="str">
        <f t="shared" si="305"/>
        <v>00000</v>
      </c>
      <c r="H3663" s="89" t="s">
        <v>1650</v>
      </c>
      <c r="I3663" s="89" t="s">
        <v>1265</v>
      </c>
      <c r="J3663" s="89" t="s">
        <v>1276</v>
      </c>
      <c r="K3663" s="89" t="s">
        <v>1277</v>
      </c>
      <c r="L3663" s="89" t="s">
        <v>1335</v>
      </c>
      <c r="M3663" s="89" t="s">
        <v>1344</v>
      </c>
      <c r="N3663" s="89" t="s">
        <v>731</v>
      </c>
      <c r="O3663" t="str">
        <f t="shared" si="306"/>
        <v>47</v>
      </c>
      <c r="P3663" t="s">
        <v>742</v>
      </c>
      <c r="S3663">
        <v>0</v>
      </c>
      <c r="U3663">
        <f t="shared" si="302"/>
        <v>0</v>
      </c>
      <c r="V3663" t="str">
        <f t="shared" si="303"/>
        <v>Elementary Nurse</v>
      </c>
      <c r="W3663" t="str">
        <f t="shared" si="304"/>
        <v>Nurse</v>
      </c>
    </row>
    <row r="3664" spans="7:23" x14ac:dyDescent="0.25">
      <c r="G3664" t="str">
        <f t="shared" si="305"/>
        <v>00000</v>
      </c>
      <c r="H3664" s="89" t="s">
        <v>1650</v>
      </c>
      <c r="I3664" s="89" t="s">
        <v>1265</v>
      </c>
      <c r="J3664" s="89" t="s">
        <v>1266</v>
      </c>
      <c r="K3664" s="89" t="s">
        <v>1267</v>
      </c>
      <c r="L3664" s="89" t="s">
        <v>1338</v>
      </c>
      <c r="M3664" s="89" t="s">
        <v>1339</v>
      </c>
      <c r="N3664" s="89" t="s">
        <v>731</v>
      </c>
      <c r="O3664" t="str">
        <f t="shared" si="306"/>
        <v>47</v>
      </c>
      <c r="P3664" t="s">
        <v>742</v>
      </c>
      <c r="S3664">
        <v>0</v>
      </c>
      <c r="U3664">
        <f t="shared" si="302"/>
        <v>0</v>
      </c>
      <c r="V3664" t="str">
        <f t="shared" si="303"/>
        <v>Middle Nurse</v>
      </c>
      <c r="W3664" t="str">
        <f t="shared" si="304"/>
        <v>Nurse</v>
      </c>
    </row>
    <row r="3665" spans="7:23" x14ac:dyDescent="0.25">
      <c r="G3665" t="str">
        <f t="shared" si="305"/>
        <v>00000</v>
      </c>
      <c r="H3665" s="89" t="s">
        <v>1650</v>
      </c>
      <c r="I3665" s="89" t="s">
        <v>1265</v>
      </c>
      <c r="J3665" s="89" t="s">
        <v>1271</v>
      </c>
      <c r="K3665" s="89" t="s">
        <v>1272</v>
      </c>
      <c r="L3665" s="89" t="s">
        <v>1341</v>
      </c>
      <c r="M3665" s="89" t="s">
        <v>1342</v>
      </c>
      <c r="N3665" s="89" t="s">
        <v>731</v>
      </c>
      <c r="O3665" t="str">
        <f t="shared" si="306"/>
        <v>47</v>
      </c>
      <c r="P3665" t="s">
        <v>742</v>
      </c>
      <c r="S3665">
        <v>0</v>
      </c>
      <c r="U3665">
        <f t="shared" si="302"/>
        <v>0</v>
      </c>
      <c r="V3665" t="str">
        <f t="shared" si="303"/>
        <v>High Nurse</v>
      </c>
      <c r="W3665" t="str">
        <f t="shared" si="304"/>
        <v>Nurse</v>
      </c>
    </row>
    <row r="3666" spans="7:23" x14ac:dyDescent="0.25">
      <c r="G3666" t="str">
        <f t="shared" si="305"/>
        <v>00000</v>
      </c>
      <c r="H3666" s="89" t="s">
        <v>1650</v>
      </c>
      <c r="I3666" s="89" t="s">
        <v>1265</v>
      </c>
      <c r="J3666" s="89" t="s">
        <v>1276</v>
      </c>
      <c r="K3666" s="89" t="s">
        <v>1277</v>
      </c>
      <c r="L3666" s="89" t="s">
        <v>1302</v>
      </c>
      <c r="M3666" s="89" t="s">
        <v>1336</v>
      </c>
      <c r="N3666" s="89">
        <v>21</v>
      </c>
      <c r="O3666" t="str">
        <f t="shared" si="306"/>
        <v>48</v>
      </c>
      <c r="P3666" t="s">
        <v>743</v>
      </c>
      <c r="S3666">
        <v>0</v>
      </c>
      <c r="U3666">
        <f t="shared" si="302"/>
        <v>0</v>
      </c>
      <c r="V3666" t="str">
        <f t="shared" si="303"/>
        <v>Elementary Physical Therapist</v>
      </c>
      <c r="W3666" t="str">
        <f t="shared" si="304"/>
        <v>Physical Therapist</v>
      </c>
    </row>
    <row r="3667" spans="7:23" x14ac:dyDescent="0.25">
      <c r="G3667" t="str">
        <f t="shared" si="305"/>
        <v>00000</v>
      </c>
      <c r="H3667" s="89" t="s">
        <v>1650</v>
      </c>
      <c r="I3667" s="89" t="s">
        <v>1265</v>
      </c>
      <c r="J3667" s="89" t="s">
        <v>1266</v>
      </c>
      <c r="K3667" s="89" t="s">
        <v>1267</v>
      </c>
      <c r="L3667" s="89" t="s">
        <v>1316</v>
      </c>
      <c r="M3667" s="89" t="s">
        <v>1366</v>
      </c>
      <c r="N3667" s="89">
        <v>21</v>
      </c>
      <c r="O3667" t="str">
        <f t="shared" si="306"/>
        <v>48</v>
      </c>
      <c r="P3667" t="s">
        <v>743</v>
      </c>
      <c r="S3667">
        <v>0</v>
      </c>
      <c r="U3667">
        <f t="shared" si="302"/>
        <v>0</v>
      </c>
      <c r="V3667" t="str">
        <f t="shared" si="303"/>
        <v>Middle Physical Therapist</v>
      </c>
      <c r="W3667" t="str">
        <f t="shared" si="304"/>
        <v>Physical Therapist</v>
      </c>
    </row>
    <row r="3668" spans="7:23" x14ac:dyDescent="0.25">
      <c r="G3668" t="str">
        <f t="shared" si="305"/>
        <v>00000</v>
      </c>
      <c r="H3668" s="89" t="s">
        <v>1650</v>
      </c>
      <c r="I3668" s="89" t="s">
        <v>1265</v>
      </c>
      <c r="J3668" s="89" t="s">
        <v>1271</v>
      </c>
      <c r="K3668" s="89" t="s">
        <v>1272</v>
      </c>
      <c r="L3668" s="89" t="s">
        <v>1330</v>
      </c>
      <c r="M3668" s="89" t="s">
        <v>1367</v>
      </c>
      <c r="N3668" s="89">
        <v>21</v>
      </c>
      <c r="O3668" t="str">
        <f t="shared" si="306"/>
        <v>48</v>
      </c>
      <c r="P3668" t="s">
        <v>743</v>
      </c>
      <c r="S3668">
        <v>0</v>
      </c>
      <c r="U3668">
        <f t="shared" si="302"/>
        <v>0</v>
      </c>
      <c r="V3668" t="str">
        <f t="shared" si="303"/>
        <v>High Physical Therapist</v>
      </c>
      <c r="W3668" t="str">
        <f t="shared" si="304"/>
        <v>Physical Therapist</v>
      </c>
    </row>
    <row r="3669" spans="7:23" x14ac:dyDescent="0.25">
      <c r="G3669" t="str">
        <f t="shared" si="305"/>
        <v>00000</v>
      </c>
      <c r="H3669" s="89" t="s">
        <v>1650</v>
      </c>
      <c r="I3669" s="89" t="s">
        <v>1265</v>
      </c>
      <c r="J3669" s="89" t="s">
        <v>1276</v>
      </c>
      <c r="K3669" s="89" t="s">
        <v>1277</v>
      </c>
      <c r="L3669" s="89" t="s">
        <v>1458</v>
      </c>
      <c r="M3669" s="89" t="s">
        <v>1511</v>
      </c>
      <c r="N3669" s="89">
        <v>97</v>
      </c>
      <c r="O3669" t="str">
        <f t="shared" si="306"/>
        <v>48</v>
      </c>
      <c r="P3669" t="s">
        <v>743</v>
      </c>
      <c r="S3669">
        <v>0</v>
      </c>
      <c r="U3669">
        <f t="shared" si="302"/>
        <v>0</v>
      </c>
      <c r="V3669" t="str">
        <f t="shared" si="303"/>
        <v>Elementary Physical Therapist</v>
      </c>
      <c r="W3669" t="str">
        <f t="shared" si="304"/>
        <v>Physical Therapist</v>
      </c>
    </row>
    <row r="3670" spans="7:23" x14ac:dyDescent="0.25">
      <c r="G3670" t="str">
        <f t="shared" si="305"/>
        <v>00000</v>
      </c>
      <c r="H3670" s="89" t="s">
        <v>1650</v>
      </c>
      <c r="I3670" s="89" t="s">
        <v>1265</v>
      </c>
      <c r="J3670" s="89" t="s">
        <v>1266</v>
      </c>
      <c r="K3670" s="89" t="s">
        <v>1267</v>
      </c>
      <c r="L3670" s="89" t="s">
        <v>1485</v>
      </c>
      <c r="M3670" s="89" t="s">
        <v>1530</v>
      </c>
      <c r="N3670" s="89">
        <v>97</v>
      </c>
      <c r="O3670" t="str">
        <f t="shared" si="306"/>
        <v>48</v>
      </c>
      <c r="P3670" t="s">
        <v>743</v>
      </c>
      <c r="S3670">
        <v>0</v>
      </c>
      <c r="U3670">
        <f t="shared" si="302"/>
        <v>0</v>
      </c>
      <c r="V3670" t="str">
        <f t="shared" si="303"/>
        <v>Middle Physical Therapist</v>
      </c>
      <c r="W3670" t="str">
        <f t="shared" si="304"/>
        <v>Physical Therapist</v>
      </c>
    </row>
    <row r="3671" spans="7:23" x14ac:dyDescent="0.25">
      <c r="G3671" t="str">
        <f t="shared" si="305"/>
        <v>00000</v>
      </c>
      <c r="H3671" s="89" t="s">
        <v>1650</v>
      </c>
      <c r="I3671" s="89" t="s">
        <v>1265</v>
      </c>
      <c r="J3671" s="89" t="s">
        <v>1271</v>
      </c>
      <c r="K3671" s="89" t="s">
        <v>1272</v>
      </c>
      <c r="L3671" s="89" t="s">
        <v>1498</v>
      </c>
      <c r="M3671" s="89" t="s">
        <v>1539</v>
      </c>
      <c r="N3671" s="89">
        <v>97</v>
      </c>
      <c r="O3671" t="str">
        <f t="shared" si="306"/>
        <v>48</v>
      </c>
      <c r="P3671" t="s">
        <v>743</v>
      </c>
      <c r="S3671">
        <v>0</v>
      </c>
      <c r="U3671">
        <f t="shared" si="302"/>
        <v>0</v>
      </c>
      <c r="V3671" t="str">
        <f t="shared" si="303"/>
        <v>High Physical Therapist</v>
      </c>
      <c r="W3671" t="str">
        <f t="shared" si="304"/>
        <v>Physical Therapist</v>
      </c>
    </row>
    <row r="3672" spans="7:23" x14ac:dyDescent="0.25">
      <c r="G3672" t="str">
        <f t="shared" si="305"/>
        <v>00000</v>
      </c>
      <c r="H3672" s="89" t="s">
        <v>1650</v>
      </c>
      <c r="I3672" s="89" t="s">
        <v>1265</v>
      </c>
      <c r="J3672" s="89" t="s">
        <v>1276</v>
      </c>
      <c r="K3672" s="89" t="s">
        <v>1277</v>
      </c>
      <c r="L3672" s="89" t="s">
        <v>1470</v>
      </c>
      <c r="M3672" s="89" t="s">
        <v>1520</v>
      </c>
      <c r="N3672" s="89" t="s">
        <v>1129</v>
      </c>
      <c r="O3672" t="str">
        <f t="shared" si="306"/>
        <v>48</v>
      </c>
      <c r="P3672" t="s">
        <v>743</v>
      </c>
      <c r="S3672">
        <v>0</v>
      </c>
      <c r="U3672">
        <f t="shared" si="302"/>
        <v>0</v>
      </c>
      <c r="V3672" t="str">
        <f t="shared" si="303"/>
        <v>TK Physical Therapist</v>
      </c>
      <c r="W3672" t="str">
        <f t="shared" si="304"/>
        <v>Physical Therapist</v>
      </c>
    </row>
    <row r="3673" spans="7:23" x14ac:dyDescent="0.25">
      <c r="G3673" t="str">
        <f t="shared" si="305"/>
        <v>00000</v>
      </c>
      <c r="H3673" s="89" t="s">
        <v>1650</v>
      </c>
      <c r="I3673" s="89" t="s">
        <v>1265</v>
      </c>
      <c r="J3673" s="89" t="s">
        <v>1276</v>
      </c>
      <c r="K3673" s="89" t="s">
        <v>1277</v>
      </c>
      <c r="L3673" s="89" t="s">
        <v>1337</v>
      </c>
      <c r="M3673" s="89" t="s">
        <v>1439</v>
      </c>
      <c r="N3673" s="89" t="s">
        <v>731</v>
      </c>
      <c r="O3673" t="str">
        <f t="shared" si="306"/>
        <v>48</v>
      </c>
      <c r="P3673" t="s">
        <v>743</v>
      </c>
      <c r="S3673">
        <v>0</v>
      </c>
      <c r="U3673">
        <f t="shared" si="302"/>
        <v>0</v>
      </c>
      <c r="V3673" t="str">
        <f t="shared" si="303"/>
        <v>Elementary Physical Therapist</v>
      </c>
      <c r="W3673" t="str">
        <f t="shared" si="304"/>
        <v>Physical Therapist</v>
      </c>
    </row>
    <row r="3674" spans="7:23" x14ac:dyDescent="0.25">
      <c r="G3674" t="str">
        <f t="shared" si="305"/>
        <v>00000</v>
      </c>
      <c r="H3674" s="89" t="s">
        <v>1650</v>
      </c>
      <c r="I3674" s="89" t="s">
        <v>1265</v>
      </c>
      <c r="J3674" s="89" t="s">
        <v>1266</v>
      </c>
      <c r="K3674" s="89" t="s">
        <v>1267</v>
      </c>
      <c r="L3674" s="89" t="s">
        <v>1373</v>
      </c>
      <c r="M3674" s="89" t="s">
        <v>1437</v>
      </c>
      <c r="N3674" s="89" t="s">
        <v>731</v>
      </c>
      <c r="O3674" t="str">
        <f t="shared" si="306"/>
        <v>48</v>
      </c>
      <c r="P3674" t="s">
        <v>743</v>
      </c>
      <c r="S3674">
        <v>0</v>
      </c>
      <c r="U3674">
        <f t="shared" si="302"/>
        <v>0</v>
      </c>
      <c r="V3674" t="str">
        <f t="shared" si="303"/>
        <v>Middle Physical Therapist</v>
      </c>
      <c r="W3674" t="str">
        <f t="shared" si="304"/>
        <v>Physical Therapist</v>
      </c>
    </row>
    <row r="3675" spans="7:23" x14ac:dyDescent="0.25">
      <c r="G3675" t="str">
        <f t="shared" si="305"/>
        <v>00000</v>
      </c>
      <c r="H3675" s="89" t="s">
        <v>1650</v>
      </c>
      <c r="I3675" s="89" t="s">
        <v>1265</v>
      </c>
      <c r="J3675" s="89" t="s">
        <v>1271</v>
      </c>
      <c r="K3675" s="89" t="s">
        <v>1272</v>
      </c>
      <c r="L3675" s="89" t="s">
        <v>1398</v>
      </c>
      <c r="M3675" s="89" t="s">
        <v>1438</v>
      </c>
      <c r="N3675" s="89" t="s">
        <v>731</v>
      </c>
      <c r="O3675" t="str">
        <f t="shared" si="306"/>
        <v>48</v>
      </c>
      <c r="P3675" t="s">
        <v>743</v>
      </c>
      <c r="S3675">
        <v>0</v>
      </c>
      <c r="U3675">
        <f t="shared" si="302"/>
        <v>0</v>
      </c>
      <c r="V3675" t="str">
        <f t="shared" si="303"/>
        <v>High Physical Therapist</v>
      </c>
      <c r="W3675" t="str">
        <f t="shared" si="304"/>
        <v>Physical Therapist</v>
      </c>
    </row>
    <row r="3676" spans="7:23" x14ac:dyDescent="0.25">
      <c r="G3676" t="str">
        <f t="shared" si="305"/>
        <v>00000</v>
      </c>
      <c r="H3676" s="89" t="s">
        <v>1650</v>
      </c>
      <c r="I3676" s="89" t="s">
        <v>1265</v>
      </c>
      <c r="J3676" s="89" t="s">
        <v>1276</v>
      </c>
      <c r="K3676" s="89" t="s">
        <v>1277</v>
      </c>
      <c r="L3676" s="89" t="s">
        <v>1340</v>
      </c>
      <c r="M3676" s="89" t="s">
        <v>1395</v>
      </c>
      <c r="N3676" s="89">
        <v>21</v>
      </c>
      <c r="O3676" t="str">
        <f t="shared" si="306"/>
        <v>49</v>
      </c>
      <c r="P3676" t="s">
        <v>746</v>
      </c>
      <c r="S3676">
        <v>0</v>
      </c>
      <c r="U3676">
        <f t="shared" si="302"/>
        <v>0</v>
      </c>
      <c r="V3676" t="str">
        <f t="shared" si="303"/>
        <v>Elementary Behavior Analyst</v>
      </c>
      <c r="W3676" t="str">
        <f t="shared" si="304"/>
        <v>Behavior Analyst</v>
      </c>
    </row>
    <row r="3677" spans="7:23" x14ac:dyDescent="0.25">
      <c r="G3677" t="str">
        <f t="shared" si="305"/>
        <v>00000</v>
      </c>
      <c r="H3677" s="89" t="s">
        <v>1650</v>
      </c>
      <c r="I3677" s="89" t="s">
        <v>1265</v>
      </c>
      <c r="J3677" s="89" t="s">
        <v>1266</v>
      </c>
      <c r="K3677" s="89" t="s">
        <v>1267</v>
      </c>
      <c r="L3677" s="89" t="s">
        <v>1374</v>
      </c>
      <c r="M3677" s="89" t="s">
        <v>1391</v>
      </c>
      <c r="N3677" s="89">
        <v>21</v>
      </c>
      <c r="O3677" t="str">
        <f t="shared" si="306"/>
        <v>49</v>
      </c>
      <c r="P3677" t="s">
        <v>746</v>
      </c>
      <c r="S3677">
        <v>0</v>
      </c>
      <c r="U3677">
        <f t="shared" si="302"/>
        <v>0</v>
      </c>
      <c r="V3677" t="str">
        <f t="shared" si="303"/>
        <v>Middle Behavior Analyst</v>
      </c>
      <c r="W3677" t="str">
        <f t="shared" si="304"/>
        <v>Behavior Analyst</v>
      </c>
    </row>
    <row r="3678" spans="7:23" x14ac:dyDescent="0.25">
      <c r="G3678" t="str">
        <f t="shared" si="305"/>
        <v>00000</v>
      </c>
      <c r="H3678" s="89" t="s">
        <v>1650</v>
      </c>
      <c r="I3678" s="89" t="s">
        <v>1265</v>
      </c>
      <c r="J3678" s="89" t="s">
        <v>1271</v>
      </c>
      <c r="K3678" s="89" t="s">
        <v>1272</v>
      </c>
      <c r="L3678" s="89" t="s">
        <v>1392</v>
      </c>
      <c r="M3678" s="89" t="s">
        <v>1393</v>
      </c>
      <c r="N3678" s="89">
        <v>21</v>
      </c>
      <c r="O3678" t="str">
        <f t="shared" si="306"/>
        <v>49</v>
      </c>
      <c r="P3678" t="s">
        <v>746</v>
      </c>
      <c r="S3678">
        <v>0</v>
      </c>
      <c r="U3678">
        <f t="shared" si="302"/>
        <v>0</v>
      </c>
      <c r="V3678" t="str">
        <f t="shared" si="303"/>
        <v>High Behavior Analyst</v>
      </c>
      <c r="W3678" t="str">
        <f t="shared" si="304"/>
        <v>Behavior Analyst</v>
      </c>
    </row>
    <row r="3679" spans="7:23" x14ac:dyDescent="0.25">
      <c r="G3679" t="str">
        <f t="shared" si="305"/>
        <v>00000</v>
      </c>
      <c r="H3679" s="89" t="s">
        <v>1650</v>
      </c>
      <c r="I3679" s="89" t="s">
        <v>1265</v>
      </c>
      <c r="J3679" s="89" t="s">
        <v>1276</v>
      </c>
      <c r="K3679" s="89" t="s">
        <v>1277</v>
      </c>
      <c r="L3679" s="89" t="s">
        <v>1459</v>
      </c>
      <c r="M3679" s="89" t="s">
        <v>1512</v>
      </c>
      <c r="N3679" s="89">
        <v>97</v>
      </c>
      <c r="O3679" t="str">
        <f t="shared" si="306"/>
        <v>49</v>
      </c>
      <c r="P3679" t="s">
        <v>746</v>
      </c>
      <c r="S3679">
        <v>0</v>
      </c>
      <c r="U3679">
        <f t="shared" si="302"/>
        <v>0</v>
      </c>
      <c r="V3679" t="str">
        <f t="shared" si="303"/>
        <v>Elementary Behavior Analyst</v>
      </c>
      <c r="W3679" t="str">
        <f t="shared" si="304"/>
        <v>Behavior Analyst</v>
      </c>
    </row>
    <row r="3680" spans="7:23" x14ac:dyDescent="0.25">
      <c r="G3680" t="str">
        <f t="shared" si="305"/>
        <v>00000</v>
      </c>
      <c r="H3680" s="89" t="s">
        <v>1650</v>
      </c>
      <c r="I3680" s="89" t="s">
        <v>1265</v>
      </c>
      <c r="J3680" s="89" t="s">
        <v>1266</v>
      </c>
      <c r="K3680" s="89" t="s">
        <v>1267</v>
      </c>
      <c r="L3680" s="89" t="s">
        <v>1486</v>
      </c>
      <c r="M3680" s="89" t="s">
        <v>1528</v>
      </c>
      <c r="N3680" s="89">
        <v>97</v>
      </c>
      <c r="O3680" t="str">
        <f t="shared" si="306"/>
        <v>49</v>
      </c>
      <c r="P3680" t="s">
        <v>746</v>
      </c>
      <c r="S3680">
        <v>0</v>
      </c>
      <c r="U3680">
        <f t="shared" si="302"/>
        <v>0</v>
      </c>
      <c r="V3680" t="str">
        <f t="shared" si="303"/>
        <v>Middle Behavior Analyst</v>
      </c>
      <c r="W3680" t="str">
        <f t="shared" si="304"/>
        <v>Behavior Analyst</v>
      </c>
    </row>
    <row r="3681" spans="7:23" x14ac:dyDescent="0.25">
      <c r="G3681" t="str">
        <f t="shared" si="305"/>
        <v>00000</v>
      </c>
      <c r="H3681" s="89" t="s">
        <v>1650</v>
      </c>
      <c r="I3681" s="89" t="s">
        <v>1265</v>
      </c>
      <c r="J3681" s="89" t="s">
        <v>1271</v>
      </c>
      <c r="K3681" s="89" t="s">
        <v>1272</v>
      </c>
      <c r="L3681" s="89" t="s">
        <v>1499</v>
      </c>
      <c r="M3681" s="89" t="s">
        <v>1540</v>
      </c>
      <c r="N3681" s="89">
        <v>97</v>
      </c>
      <c r="O3681" t="str">
        <f t="shared" si="306"/>
        <v>49</v>
      </c>
      <c r="P3681" t="s">
        <v>746</v>
      </c>
      <c r="S3681">
        <v>0</v>
      </c>
      <c r="U3681">
        <f t="shared" si="302"/>
        <v>0</v>
      </c>
      <c r="V3681" t="str">
        <f t="shared" si="303"/>
        <v>High Behavior Analyst</v>
      </c>
      <c r="W3681" t="str">
        <f t="shared" si="304"/>
        <v>Behavior Analyst</v>
      </c>
    </row>
    <row r="3682" spans="7:23" x14ac:dyDescent="0.25">
      <c r="G3682" t="str">
        <f t="shared" si="305"/>
        <v>00000</v>
      </c>
      <c r="H3682" s="89" t="s">
        <v>1650</v>
      </c>
      <c r="I3682" s="89" t="s">
        <v>1265</v>
      </c>
      <c r="J3682" s="89" t="s">
        <v>1276</v>
      </c>
      <c r="K3682" s="89" t="s">
        <v>1277</v>
      </c>
      <c r="L3682" s="89" t="s">
        <v>1471</v>
      </c>
      <c r="M3682" s="89" t="s">
        <v>1521</v>
      </c>
      <c r="N3682" s="89" t="s">
        <v>1129</v>
      </c>
      <c r="O3682" t="str">
        <f t="shared" si="306"/>
        <v>49</v>
      </c>
      <c r="P3682" t="s">
        <v>746</v>
      </c>
      <c r="S3682">
        <v>0</v>
      </c>
      <c r="U3682">
        <f t="shared" si="302"/>
        <v>0</v>
      </c>
      <c r="V3682" t="str">
        <f t="shared" si="303"/>
        <v>TK Behavior Analyst</v>
      </c>
      <c r="W3682" t="str">
        <f t="shared" si="304"/>
        <v>Behavior Analyst</v>
      </c>
    </row>
    <row r="3683" spans="7:23" x14ac:dyDescent="0.25">
      <c r="G3683" t="str">
        <f t="shared" si="305"/>
        <v>00000</v>
      </c>
      <c r="H3683" s="89" t="s">
        <v>1650</v>
      </c>
      <c r="I3683" s="89" t="s">
        <v>1265</v>
      </c>
      <c r="J3683" s="89" t="s">
        <v>1276</v>
      </c>
      <c r="K3683" s="89" t="s">
        <v>1277</v>
      </c>
      <c r="L3683" s="89" t="s">
        <v>1343</v>
      </c>
      <c r="M3683" s="89" t="s">
        <v>1434</v>
      </c>
      <c r="N3683" s="89" t="s">
        <v>731</v>
      </c>
      <c r="O3683" t="str">
        <f t="shared" si="306"/>
        <v>49</v>
      </c>
      <c r="P3683" t="s">
        <v>746</v>
      </c>
      <c r="S3683">
        <v>0</v>
      </c>
      <c r="U3683">
        <f t="shared" si="302"/>
        <v>0</v>
      </c>
      <c r="V3683" t="str">
        <f t="shared" si="303"/>
        <v>Elementary Behavior Analyst</v>
      </c>
      <c r="W3683" t="str">
        <f t="shared" si="304"/>
        <v>Behavior Analyst</v>
      </c>
    </row>
    <row r="3684" spans="7:23" x14ac:dyDescent="0.25">
      <c r="G3684" t="str">
        <f t="shared" si="305"/>
        <v>00000</v>
      </c>
      <c r="H3684" s="89" t="s">
        <v>1650</v>
      </c>
      <c r="I3684" s="89" t="s">
        <v>1265</v>
      </c>
      <c r="J3684" s="89" t="s">
        <v>1266</v>
      </c>
      <c r="K3684" s="89" t="s">
        <v>1267</v>
      </c>
      <c r="L3684" s="89" t="s">
        <v>1477</v>
      </c>
      <c r="M3684" s="89" t="s">
        <v>1528</v>
      </c>
      <c r="N3684" s="89" t="s">
        <v>731</v>
      </c>
      <c r="O3684" t="str">
        <f t="shared" si="306"/>
        <v>49</v>
      </c>
      <c r="P3684" t="s">
        <v>746</v>
      </c>
      <c r="S3684">
        <v>0</v>
      </c>
      <c r="U3684">
        <f t="shared" si="302"/>
        <v>0</v>
      </c>
      <c r="V3684" t="str">
        <f t="shared" si="303"/>
        <v>Middle Behavior Analyst</v>
      </c>
      <c r="W3684" t="str">
        <f t="shared" si="304"/>
        <v>Behavior Analyst</v>
      </c>
    </row>
    <row r="3685" spans="7:23" x14ac:dyDescent="0.25">
      <c r="G3685" t="str">
        <f t="shared" si="305"/>
        <v>00000</v>
      </c>
      <c r="H3685" s="89" t="s">
        <v>1650</v>
      </c>
      <c r="I3685" s="89" t="s">
        <v>1265</v>
      </c>
      <c r="J3685" s="89" t="s">
        <v>1271</v>
      </c>
      <c r="K3685" s="89" t="s">
        <v>1272</v>
      </c>
      <c r="L3685" s="89" t="s">
        <v>1399</v>
      </c>
      <c r="M3685" s="89" t="s">
        <v>1410</v>
      </c>
      <c r="N3685" s="89" t="s">
        <v>731</v>
      </c>
      <c r="O3685" t="str">
        <f t="shared" si="306"/>
        <v>49</v>
      </c>
      <c r="P3685" t="s">
        <v>746</v>
      </c>
      <c r="S3685">
        <v>0</v>
      </c>
      <c r="U3685">
        <f t="shared" si="302"/>
        <v>0</v>
      </c>
      <c r="V3685" t="str">
        <f t="shared" si="303"/>
        <v>High Behavior Analyst</v>
      </c>
      <c r="W3685" t="str">
        <f t="shared" si="304"/>
        <v>Behavior Analyst</v>
      </c>
    </row>
    <row r="3686" spans="7:23" x14ac:dyDescent="0.25">
      <c r="G3686" t="str">
        <f t="shared" si="305"/>
        <v>00000</v>
      </c>
      <c r="H3686" s="89" t="s">
        <v>1650</v>
      </c>
      <c r="I3686" s="89" t="s">
        <v>1265</v>
      </c>
      <c r="J3686" s="89" t="s">
        <v>1276</v>
      </c>
      <c r="K3686" s="89" t="s">
        <v>1277</v>
      </c>
      <c r="L3686" s="89" t="s">
        <v>1306</v>
      </c>
      <c r="M3686" s="89" t="s">
        <v>1320</v>
      </c>
      <c r="N3686" s="89">
        <v>21</v>
      </c>
      <c r="O3686" t="str">
        <f t="shared" si="306"/>
        <v>64</v>
      </c>
      <c r="P3686" t="s">
        <v>745</v>
      </c>
      <c r="S3686">
        <v>0</v>
      </c>
      <c r="U3686">
        <f t="shared" si="302"/>
        <v>0</v>
      </c>
      <c r="V3686" t="str">
        <f t="shared" si="303"/>
        <v>Elementary Contractor ESA</v>
      </c>
      <c r="W3686" t="str">
        <f t="shared" si="304"/>
        <v>Contractor ESA</v>
      </c>
    </row>
    <row r="3687" spans="7:23" x14ac:dyDescent="0.25">
      <c r="G3687" t="str">
        <f t="shared" si="305"/>
        <v>00000</v>
      </c>
      <c r="H3687" s="89" t="s">
        <v>1650</v>
      </c>
      <c r="I3687" s="89" t="s">
        <v>1265</v>
      </c>
      <c r="J3687" s="89" t="s">
        <v>1266</v>
      </c>
      <c r="K3687" s="89" t="s">
        <v>1267</v>
      </c>
      <c r="L3687" s="89" t="s">
        <v>1313</v>
      </c>
      <c r="M3687" s="89" t="s">
        <v>1314</v>
      </c>
      <c r="N3687" s="89">
        <v>21</v>
      </c>
      <c r="O3687" t="str">
        <f t="shared" si="306"/>
        <v>64</v>
      </c>
      <c r="P3687" t="s">
        <v>745</v>
      </c>
      <c r="S3687">
        <v>0</v>
      </c>
      <c r="U3687">
        <f t="shared" si="302"/>
        <v>0</v>
      </c>
      <c r="V3687" t="str">
        <f t="shared" si="303"/>
        <v>Middle Contractor ESA</v>
      </c>
      <c r="W3687" t="str">
        <f t="shared" si="304"/>
        <v>Contractor ESA</v>
      </c>
    </row>
    <row r="3688" spans="7:23" x14ac:dyDescent="0.25">
      <c r="G3688" t="str">
        <f t="shared" si="305"/>
        <v>00000</v>
      </c>
      <c r="H3688" s="89" t="s">
        <v>1650</v>
      </c>
      <c r="I3688" s="89" t="s">
        <v>1265</v>
      </c>
      <c r="J3688" s="89" t="s">
        <v>1271</v>
      </c>
      <c r="K3688" s="89" t="s">
        <v>1272</v>
      </c>
      <c r="L3688" s="89" t="s">
        <v>1317</v>
      </c>
      <c r="M3688" s="89" t="s">
        <v>1318</v>
      </c>
      <c r="N3688" s="89">
        <v>21</v>
      </c>
      <c r="O3688" t="str">
        <f t="shared" si="306"/>
        <v>64</v>
      </c>
      <c r="P3688" t="s">
        <v>745</v>
      </c>
      <c r="S3688">
        <v>0</v>
      </c>
      <c r="U3688">
        <f t="shared" si="302"/>
        <v>0</v>
      </c>
      <c r="V3688" t="str">
        <f t="shared" si="303"/>
        <v>High Contractor ESA</v>
      </c>
      <c r="W3688" t="str">
        <f t="shared" si="304"/>
        <v>Contractor ESA</v>
      </c>
    </row>
    <row r="3689" spans="7:23" x14ac:dyDescent="0.25">
      <c r="G3689" t="str">
        <f t="shared" si="305"/>
        <v>00000</v>
      </c>
      <c r="H3689" s="89" t="s">
        <v>1650</v>
      </c>
      <c r="I3689" s="89" t="s">
        <v>1265</v>
      </c>
      <c r="J3689" s="89" t="s">
        <v>1276</v>
      </c>
      <c r="K3689" s="89" t="s">
        <v>1277</v>
      </c>
      <c r="L3689" s="89" t="s">
        <v>1460</v>
      </c>
      <c r="M3689" s="89" t="s">
        <v>1513</v>
      </c>
      <c r="N3689" s="89">
        <v>97</v>
      </c>
      <c r="O3689" t="str">
        <f t="shared" si="306"/>
        <v>64</v>
      </c>
      <c r="P3689" t="s">
        <v>745</v>
      </c>
      <c r="S3689">
        <v>0</v>
      </c>
      <c r="U3689">
        <f t="shared" si="302"/>
        <v>0</v>
      </c>
      <c r="V3689" t="str">
        <f t="shared" si="303"/>
        <v>Elementary Contractor ESA</v>
      </c>
      <c r="W3689" t="str">
        <f t="shared" si="304"/>
        <v>Contractor ESA</v>
      </c>
    </row>
    <row r="3690" spans="7:23" x14ac:dyDescent="0.25">
      <c r="G3690" t="str">
        <f t="shared" si="305"/>
        <v>00000</v>
      </c>
      <c r="H3690" s="89" t="s">
        <v>1650</v>
      </c>
      <c r="I3690" s="89" t="s">
        <v>1265</v>
      </c>
      <c r="J3690" s="89" t="s">
        <v>1266</v>
      </c>
      <c r="K3690" s="89" t="s">
        <v>1267</v>
      </c>
      <c r="L3690" s="89" t="s">
        <v>1487</v>
      </c>
      <c r="M3690" s="89" t="s">
        <v>1531</v>
      </c>
      <c r="N3690" s="89">
        <v>97</v>
      </c>
      <c r="O3690" t="str">
        <f t="shared" si="306"/>
        <v>64</v>
      </c>
      <c r="P3690" t="s">
        <v>745</v>
      </c>
      <c r="S3690">
        <v>0</v>
      </c>
      <c r="U3690">
        <f t="shared" si="302"/>
        <v>0</v>
      </c>
      <c r="V3690" t="str">
        <f t="shared" si="303"/>
        <v>Middle Contractor ESA</v>
      </c>
      <c r="W3690" t="str">
        <f t="shared" si="304"/>
        <v>Contractor ESA</v>
      </c>
    </row>
    <row r="3691" spans="7:23" x14ac:dyDescent="0.25">
      <c r="G3691" t="str">
        <f t="shared" si="305"/>
        <v>00000</v>
      </c>
      <c r="H3691" s="89" t="s">
        <v>1650</v>
      </c>
      <c r="I3691" s="89" t="s">
        <v>1265</v>
      </c>
      <c r="J3691" s="89" t="s">
        <v>1271</v>
      </c>
      <c r="K3691" s="89" t="s">
        <v>1272</v>
      </c>
      <c r="L3691" s="89" t="s">
        <v>1500</v>
      </c>
      <c r="M3691" s="89" t="s">
        <v>1541</v>
      </c>
      <c r="N3691" s="89">
        <v>97</v>
      </c>
      <c r="O3691" t="str">
        <f t="shared" si="306"/>
        <v>64</v>
      </c>
      <c r="P3691" t="s">
        <v>745</v>
      </c>
      <c r="S3691">
        <v>0</v>
      </c>
      <c r="U3691">
        <f t="shared" si="302"/>
        <v>0</v>
      </c>
      <c r="V3691" t="str">
        <f t="shared" si="303"/>
        <v>High Contractor ESA</v>
      </c>
      <c r="W3691" t="str">
        <f t="shared" si="304"/>
        <v>Contractor ESA</v>
      </c>
    </row>
    <row r="3692" spans="7:23" x14ac:dyDescent="0.25">
      <c r="G3692" t="str">
        <f t="shared" si="305"/>
        <v>00000</v>
      </c>
      <c r="H3692" s="89" t="s">
        <v>1650</v>
      </c>
      <c r="I3692" s="89" t="s">
        <v>1265</v>
      </c>
      <c r="J3692" s="89" t="s">
        <v>1276</v>
      </c>
      <c r="K3692" s="89" t="s">
        <v>1277</v>
      </c>
      <c r="L3692" s="89" t="s">
        <v>1472</v>
      </c>
      <c r="M3692" s="89" t="s">
        <v>1522</v>
      </c>
      <c r="N3692" s="89" t="s">
        <v>1129</v>
      </c>
      <c r="O3692" t="str">
        <f t="shared" si="306"/>
        <v>64</v>
      </c>
      <c r="P3692" t="s">
        <v>745</v>
      </c>
      <c r="S3692">
        <v>0</v>
      </c>
      <c r="U3692">
        <f t="shared" si="302"/>
        <v>0</v>
      </c>
      <c r="V3692" t="str">
        <f t="shared" si="303"/>
        <v>TK Contractor ESA</v>
      </c>
      <c r="W3692" t="str">
        <f t="shared" si="304"/>
        <v>Contractor ESA</v>
      </c>
    </row>
    <row r="3693" spans="7:23" x14ac:dyDescent="0.25">
      <c r="G3693" t="str">
        <f t="shared" si="305"/>
        <v>00000</v>
      </c>
      <c r="H3693" s="89" t="s">
        <v>1650</v>
      </c>
      <c r="I3693" s="89" t="s">
        <v>1265</v>
      </c>
      <c r="J3693" s="89" t="s">
        <v>1276</v>
      </c>
      <c r="K3693" s="89" t="s">
        <v>1277</v>
      </c>
      <c r="L3693" s="89" t="s">
        <v>1347</v>
      </c>
      <c r="M3693" s="89" t="s">
        <v>1420</v>
      </c>
      <c r="N3693" s="89" t="s">
        <v>731</v>
      </c>
      <c r="O3693" t="str">
        <f t="shared" si="306"/>
        <v>64</v>
      </c>
      <c r="P3693" t="s">
        <v>745</v>
      </c>
      <c r="S3693">
        <v>0</v>
      </c>
      <c r="U3693">
        <f t="shared" si="302"/>
        <v>0</v>
      </c>
      <c r="V3693" t="str">
        <f t="shared" si="303"/>
        <v>Elementary Contractor ESA</v>
      </c>
      <c r="W3693" t="str">
        <f t="shared" si="304"/>
        <v>Contractor ESA</v>
      </c>
    </row>
    <row r="3694" spans="7:23" x14ac:dyDescent="0.25">
      <c r="G3694" t="str">
        <f t="shared" si="305"/>
        <v>00000</v>
      </c>
      <c r="H3694" s="89" t="s">
        <v>1650</v>
      </c>
      <c r="I3694" s="89" t="s">
        <v>1265</v>
      </c>
      <c r="J3694" s="89" t="s">
        <v>1266</v>
      </c>
      <c r="K3694" s="89" t="s">
        <v>1267</v>
      </c>
      <c r="L3694" s="89" t="s">
        <v>1376</v>
      </c>
      <c r="M3694" s="89" t="s">
        <v>1440</v>
      </c>
      <c r="N3694" s="89" t="s">
        <v>731</v>
      </c>
      <c r="O3694" t="str">
        <f t="shared" si="306"/>
        <v>64</v>
      </c>
      <c r="P3694" t="s">
        <v>745</v>
      </c>
      <c r="S3694">
        <v>0</v>
      </c>
      <c r="U3694">
        <f t="shared" si="302"/>
        <v>0</v>
      </c>
      <c r="V3694" t="str">
        <f t="shared" si="303"/>
        <v>Middle Contractor ESA</v>
      </c>
      <c r="W3694" t="str">
        <f t="shared" si="304"/>
        <v>Contractor ESA</v>
      </c>
    </row>
    <row r="3695" spans="7:23" x14ac:dyDescent="0.25">
      <c r="G3695" t="str">
        <f t="shared" si="305"/>
        <v>00000</v>
      </c>
      <c r="H3695" s="89" t="s">
        <v>1650</v>
      </c>
      <c r="I3695" s="89" t="s">
        <v>1265</v>
      </c>
      <c r="J3695" s="89" t="s">
        <v>1271</v>
      </c>
      <c r="K3695" s="89" t="s">
        <v>1272</v>
      </c>
      <c r="L3695" s="89" t="s">
        <v>1400</v>
      </c>
      <c r="M3695" s="89" t="s">
        <v>1441</v>
      </c>
      <c r="N3695" s="89" t="s">
        <v>731</v>
      </c>
      <c r="O3695" t="str">
        <f t="shared" si="306"/>
        <v>64</v>
      </c>
      <c r="P3695" t="s">
        <v>745</v>
      </c>
      <c r="S3695">
        <v>0</v>
      </c>
      <c r="U3695">
        <f t="shared" si="302"/>
        <v>0</v>
      </c>
      <c r="V3695" t="str">
        <f t="shared" si="303"/>
        <v>High Contractor ESA</v>
      </c>
      <c r="W3695" t="str">
        <f t="shared" si="304"/>
        <v>Contractor ESA</v>
      </c>
    </row>
  </sheetData>
  <autoFilter ref="A1:W3580" xr:uid="{6E6CB781-B03B-4B65-9B6D-53555EFEB908}"/>
  <phoneticPr fontId="24" type="noConversion"/>
  <pageMargins left="0.7" right="0.7" top="0.75" bottom="0.75" header="0.3" footer="0.3"/>
  <pageSetup orientation="portrait" r:id="rId1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C246C-74C1-48AA-B451-FEF557CF668E}">
  <dimension ref="A1:CA346"/>
  <sheetViews>
    <sheetView workbookViewId="0">
      <selection activeCell="J3" sqref="J3"/>
    </sheetView>
  </sheetViews>
  <sheetFormatPr defaultRowHeight="15" x14ac:dyDescent="0.25"/>
  <cols>
    <col min="1" max="1" width="16.140625" bestFit="1" customWidth="1"/>
    <col min="2" max="2" width="28.85546875" bestFit="1" customWidth="1"/>
    <col min="3" max="4" width="7.5703125" bestFit="1" customWidth="1"/>
    <col min="5" max="6" width="7.140625" bestFit="1" customWidth="1"/>
    <col min="7" max="7" width="9.140625" bestFit="1" customWidth="1"/>
    <col min="8" max="8" width="7.140625" bestFit="1" customWidth="1"/>
    <col min="9" max="9" width="7.5703125" bestFit="1" customWidth="1"/>
    <col min="10" max="11" width="7.140625" bestFit="1" customWidth="1"/>
    <col min="12" max="12" width="7.5703125" bestFit="1" customWidth="1"/>
    <col min="13" max="15" width="7.140625" bestFit="1" customWidth="1"/>
    <col min="16" max="16" width="11.28515625" bestFit="1" customWidth="1"/>
    <col min="17" max="17" width="9.140625" bestFit="1" customWidth="1"/>
    <col min="18" max="18" width="4.7109375" customWidth="1"/>
    <col min="19" max="19" width="16.140625" bestFit="1" customWidth="1"/>
    <col min="20" max="20" width="28.85546875" bestFit="1" customWidth="1"/>
    <col min="21" max="33" width="9.140625" bestFit="1" customWidth="1"/>
    <col min="34" max="34" width="11.28515625" bestFit="1" customWidth="1"/>
    <col min="35" max="35" width="9.140625" bestFit="1" customWidth="1"/>
    <col min="36" max="36" width="4.7109375" customWidth="1"/>
    <col min="37" max="37" width="16.140625" bestFit="1" customWidth="1"/>
    <col min="38" max="38" width="28.85546875" bestFit="1" customWidth="1"/>
    <col min="39" max="51" width="9.140625" bestFit="1" customWidth="1"/>
    <col min="52" max="52" width="11.28515625" bestFit="1" customWidth="1"/>
    <col min="53" max="53" width="9.140625" bestFit="1" customWidth="1"/>
    <col min="54" max="54" width="4.7109375" customWidth="1"/>
    <col min="55" max="55" width="16.140625" bestFit="1" customWidth="1"/>
    <col min="56" max="56" width="28.85546875" bestFit="1" customWidth="1"/>
    <col min="57" max="69" width="9.140625" bestFit="1" customWidth="1"/>
    <col min="70" max="70" width="11.28515625" bestFit="1" customWidth="1"/>
    <col min="71" max="71" width="11.28515625" customWidth="1"/>
    <col min="72" max="76" width="9.140625" bestFit="1" customWidth="1"/>
    <col min="77" max="77" width="11.28515625" bestFit="1" customWidth="1"/>
    <col min="78" max="79" width="9.140625" bestFit="1" customWidth="1"/>
    <col min="80" max="80" width="7.85546875" bestFit="1" customWidth="1"/>
    <col min="81" max="81" width="11.28515625" bestFit="1" customWidth="1"/>
    <col min="82" max="86" width="22.85546875" bestFit="1" customWidth="1"/>
    <col min="87" max="87" width="27.85546875" bestFit="1" customWidth="1"/>
    <col min="88" max="88" width="23.28515625" bestFit="1" customWidth="1"/>
    <col min="89" max="120" width="21.42578125" bestFit="1" customWidth="1"/>
    <col min="121" max="121" width="26.42578125" bestFit="1" customWidth="1"/>
    <col min="122" max="122" width="11.28515625" bestFit="1" customWidth="1"/>
    <col min="123" max="136" width="22.85546875" bestFit="1" customWidth="1"/>
  </cols>
  <sheetData>
    <row r="1" spans="1:79" x14ac:dyDescent="0.25">
      <c r="A1" s="91" t="s">
        <v>910</v>
      </c>
      <c r="B1" s="88">
        <v>1</v>
      </c>
      <c r="R1" s="89"/>
      <c r="S1" s="91" t="s">
        <v>910</v>
      </c>
      <c r="T1" s="88">
        <v>9</v>
      </c>
      <c r="AJ1" s="89"/>
      <c r="AK1" s="91" t="s">
        <v>910</v>
      </c>
      <c r="AL1" s="88">
        <v>97</v>
      </c>
      <c r="BB1" s="89"/>
      <c r="BC1" s="91" t="s">
        <v>910</v>
      </c>
      <c r="BD1" s="88">
        <v>21</v>
      </c>
    </row>
    <row r="2" spans="1:79" x14ac:dyDescent="0.25">
      <c r="A2" s="91" t="s">
        <v>714</v>
      </c>
      <c r="B2" t="s">
        <v>1277</v>
      </c>
      <c r="R2" s="89"/>
      <c r="S2" s="91" t="s">
        <v>714</v>
      </c>
      <c r="T2" t="s">
        <v>1277</v>
      </c>
      <c r="AJ2" s="89"/>
      <c r="AK2" s="91" t="s">
        <v>714</v>
      </c>
      <c r="AL2" t="s">
        <v>1277</v>
      </c>
      <c r="BB2" s="89"/>
      <c r="BC2" s="91" t="s">
        <v>714</v>
      </c>
      <c r="BD2" t="s">
        <v>1277</v>
      </c>
      <c r="BV2" t="str">
        <f t="shared" ref="BV2:CA2" si="0">$BM4&amp;MID(BV5,3,2)</f>
        <v/>
      </c>
      <c r="BW2" t="str">
        <f t="shared" si="0"/>
        <v/>
      </c>
      <c r="BX2" t="str">
        <f t="shared" si="0"/>
        <v/>
      </c>
      <c r="BY2" t="str">
        <f t="shared" si="0"/>
        <v/>
      </c>
      <c r="BZ2" t="str">
        <f t="shared" si="0"/>
        <v/>
      </c>
      <c r="CA2" t="str">
        <f t="shared" si="0"/>
        <v/>
      </c>
    </row>
    <row r="3" spans="1:79" x14ac:dyDescent="0.25">
      <c r="B3" t="str">
        <f>MID(B5,3,2)</f>
        <v>24</v>
      </c>
      <c r="C3" t="str">
        <f>MID(C5,3,2)</f>
        <v>25</v>
      </c>
      <c r="D3" t="str">
        <f t="shared" ref="D3:O3" si="1">MID(D5,3,2)</f>
        <v>26</v>
      </c>
      <c r="E3" t="str">
        <f t="shared" si="1"/>
        <v>35</v>
      </c>
      <c r="F3" t="str">
        <f t="shared" si="1"/>
        <v>39</v>
      </c>
      <c r="G3" t="str">
        <f t="shared" si="1"/>
        <v>42</v>
      </c>
      <c r="H3" t="str">
        <f t="shared" si="1"/>
        <v>43</v>
      </c>
      <c r="I3" t="str">
        <f t="shared" si="1"/>
        <v>44</v>
      </c>
      <c r="J3" t="str">
        <f t="shared" si="1"/>
        <v>45</v>
      </c>
      <c r="K3" t="str">
        <f t="shared" si="1"/>
        <v>46</v>
      </c>
      <c r="L3" t="str">
        <f t="shared" si="1"/>
        <v>47</v>
      </c>
      <c r="M3" t="str">
        <f t="shared" si="1"/>
        <v>48</v>
      </c>
      <c r="N3" t="str">
        <f t="shared" si="1"/>
        <v>49</v>
      </c>
      <c r="O3" t="str">
        <f t="shared" si="1"/>
        <v>64</v>
      </c>
      <c r="P3" s="243">
        <v>16</v>
      </c>
      <c r="Q3" s="243">
        <v>17</v>
      </c>
      <c r="R3" s="89"/>
      <c r="T3" t="str">
        <f>MID(T5,3,2)</f>
        <v>25</v>
      </c>
      <c r="U3" t="str">
        <f>MID(U5,3,2)</f>
        <v>26</v>
      </c>
      <c r="V3" t="str">
        <f t="shared" ref="V3:AG3" si="2">MID(V5,3,2)</f>
        <v>35</v>
      </c>
      <c r="W3" t="str">
        <f t="shared" si="2"/>
        <v>42</v>
      </c>
      <c r="X3" t="str">
        <f t="shared" si="2"/>
        <v>44</v>
      </c>
      <c r="Y3" t="str">
        <f t="shared" si="2"/>
        <v>45</v>
      </c>
      <c r="Z3" t="str">
        <f t="shared" si="2"/>
        <v>47</v>
      </c>
      <c r="AA3" t="str">
        <f t="shared" si="2"/>
        <v>64</v>
      </c>
      <c r="AB3" t="str">
        <f t="shared" si="2"/>
        <v/>
      </c>
      <c r="AC3" t="str">
        <f t="shared" si="2"/>
        <v/>
      </c>
      <c r="AD3" t="str">
        <f t="shared" si="2"/>
        <v/>
      </c>
      <c r="AE3" t="str">
        <f t="shared" si="2"/>
        <v/>
      </c>
      <c r="AF3" t="str">
        <f t="shared" si="2"/>
        <v/>
      </c>
      <c r="AG3" t="str">
        <f t="shared" si="2"/>
        <v/>
      </c>
      <c r="AH3" s="243">
        <v>16</v>
      </c>
      <c r="AI3" s="243">
        <v>17</v>
      </c>
      <c r="AJ3" s="89"/>
      <c r="AL3" t="str">
        <f>MID(AL5,3,2)</f>
        <v>24</v>
      </c>
      <c r="AM3" t="str">
        <f>MID(AM5,3,2)</f>
        <v>25</v>
      </c>
      <c r="AN3" t="str">
        <f t="shared" ref="AN3:AY3" si="3">MID(AN5,3,2)</f>
        <v>26</v>
      </c>
      <c r="AO3" t="str">
        <f t="shared" si="3"/>
        <v>35</v>
      </c>
      <c r="AP3" t="str">
        <f t="shared" si="3"/>
        <v>39</v>
      </c>
      <c r="AQ3" t="str">
        <f t="shared" si="3"/>
        <v>42</v>
      </c>
      <c r="AR3" t="str">
        <f t="shared" si="3"/>
        <v>43</v>
      </c>
      <c r="AS3" t="str">
        <f t="shared" si="3"/>
        <v>44</v>
      </c>
      <c r="AT3" t="str">
        <f t="shared" si="3"/>
        <v>45</v>
      </c>
      <c r="AU3" t="str">
        <f t="shared" si="3"/>
        <v>46</v>
      </c>
      <c r="AV3" t="str">
        <f t="shared" si="3"/>
        <v>47</v>
      </c>
      <c r="AW3" t="str">
        <f t="shared" si="3"/>
        <v>48</v>
      </c>
      <c r="AX3" t="str">
        <f t="shared" si="3"/>
        <v>49</v>
      </c>
      <c r="AY3" t="str">
        <f t="shared" si="3"/>
        <v>64</v>
      </c>
      <c r="AZ3" s="243">
        <v>16</v>
      </c>
      <c r="BA3" s="243">
        <v>17</v>
      </c>
      <c r="BB3" s="89"/>
      <c r="BD3" t="str">
        <f>MID(BD5,3,2)</f>
        <v>24</v>
      </c>
      <c r="BE3" t="str">
        <f>MID(BE5,3,2)</f>
        <v>25</v>
      </c>
      <c r="BF3" t="str">
        <f t="shared" ref="BF3:BQ3" si="4">MID(BF5,3,2)</f>
        <v>26</v>
      </c>
      <c r="BG3" t="str">
        <f t="shared" si="4"/>
        <v>35</v>
      </c>
      <c r="BH3" t="str">
        <f t="shared" si="4"/>
        <v>39</v>
      </c>
      <c r="BI3" t="str">
        <f t="shared" si="4"/>
        <v>42</v>
      </c>
      <c r="BJ3" t="str">
        <f t="shared" si="4"/>
        <v>43</v>
      </c>
      <c r="BK3" t="str">
        <f t="shared" si="4"/>
        <v>44</v>
      </c>
      <c r="BL3" t="str">
        <f t="shared" si="4"/>
        <v>45</v>
      </c>
      <c r="BM3" t="str">
        <f t="shared" si="4"/>
        <v>46</v>
      </c>
      <c r="BN3" t="str">
        <f t="shared" si="4"/>
        <v>47</v>
      </c>
      <c r="BO3" t="str">
        <f t="shared" si="4"/>
        <v>48</v>
      </c>
      <c r="BP3" t="str">
        <f t="shared" si="4"/>
        <v>49</v>
      </c>
      <c r="BQ3" t="str">
        <f t="shared" si="4"/>
        <v>64</v>
      </c>
      <c r="BR3" s="243">
        <v>16</v>
      </c>
      <c r="BS3" s="243">
        <v>17</v>
      </c>
      <c r="BT3" s="243">
        <v>18</v>
      </c>
      <c r="BU3" s="243">
        <v>19</v>
      </c>
    </row>
    <row r="4" spans="1:79" x14ac:dyDescent="0.25">
      <c r="A4" s="91" t="s">
        <v>1274</v>
      </c>
      <c r="B4" s="91" t="s">
        <v>751</v>
      </c>
      <c r="R4" s="89"/>
      <c r="S4" s="91" t="s">
        <v>1274</v>
      </c>
      <c r="T4" s="91" t="s">
        <v>751</v>
      </c>
      <c r="AJ4" s="89"/>
      <c r="AK4" s="91" t="s">
        <v>1274</v>
      </c>
      <c r="AL4" s="91" t="s">
        <v>751</v>
      </c>
      <c r="BB4" s="89"/>
      <c r="BC4" s="91" t="s">
        <v>1274</v>
      </c>
      <c r="BD4" s="91" t="s">
        <v>751</v>
      </c>
    </row>
    <row r="5" spans="1:79" x14ac:dyDescent="0.25">
      <c r="A5" s="91" t="s">
        <v>752</v>
      </c>
      <c r="B5" t="s">
        <v>1297</v>
      </c>
      <c r="C5" t="s">
        <v>1308</v>
      </c>
      <c r="D5" t="s">
        <v>1315</v>
      </c>
      <c r="E5" t="s">
        <v>1350</v>
      </c>
      <c r="F5" t="s">
        <v>1450</v>
      </c>
      <c r="G5" t="s">
        <v>1275</v>
      </c>
      <c r="H5" t="s">
        <v>1328</v>
      </c>
      <c r="I5" t="s">
        <v>1331</v>
      </c>
      <c r="J5" t="s">
        <v>1332</v>
      </c>
      <c r="K5" t="s">
        <v>1333</v>
      </c>
      <c r="L5" t="s">
        <v>1335</v>
      </c>
      <c r="M5" t="s">
        <v>1337</v>
      </c>
      <c r="N5" t="s">
        <v>1343</v>
      </c>
      <c r="O5" t="s">
        <v>1347</v>
      </c>
      <c r="P5" t="s">
        <v>682</v>
      </c>
      <c r="Q5" t="s">
        <v>683</v>
      </c>
      <c r="R5" s="89"/>
      <c r="S5" s="91" t="s">
        <v>752</v>
      </c>
      <c r="T5" t="s">
        <v>1474</v>
      </c>
      <c r="U5" t="s">
        <v>1352</v>
      </c>
      <c r="V5" t="s">
        <v>1475</v>
      </c>
      <c r="W5" t="s">
        <v>1348</v>
      </c>
      <c r="X5" t="s">
        <v>1466</v>
      </c>
      <c r="Y5" t="s">
        <v>1467</v>
      </c>
      <c r="Z5" t="s">
        <v>1469</v>
      </c>
      <c r="AA5" t="s">
        <v>1472</v>
      </c>
      <c r="AH5" t="s">
        <v>682</v>
      </c>
      <c r="AI5" t="s">
        <v>683</v>
      </c>
      <c r="AJ5" s="89"/>
      <c r="AK5" s="91" t="s">
        <v>752</v>
      </c>
      <c r="AL5" t="s">
        <v>1293</v>
      </c>
      <c r="AM5" t="s">
        <v>1305</v>
      </c>
      <c r="AN5" t="s">
        <v>1461</v>
      </c>
      <c r="AO5" t="s">
        <v>1462</v>
      </c>
      <c r="AP5" t="s">
        <v>1451</v>
      </c>
      <c r="AQ5" t="s">
        <v>1452</v>
      </c>
      <c r="AR5" t="s">
        <v>1453</v>
      </c>
      <c r="AS5" t="s">
        <v>1454</v>
      </c>
      <c r="AT5" t="s">
        <v>1455</v>
      </c>
      <c r="AU5" t="s">
        <v>1456</v>
      </c>
      <c r="AV5" t="s">
        <v>1457</v>
      </c>
      <c r="AW5" t="s">
        <v>1458</v>
      </c>
      <c r="AX5" t="s">
        <v>1459</v>
      </c>
      <c r="AY5" t="s">
        <v>1460</v>
      </c>
      <c r="AZ5" t="s">
        <v>682</v>
      </c>
      <c r="BA5" t="s">
        <v>683</v>
      </c>
      <c r="BB5" s="89"/>
      <c r="BC5" s="91" t="s">
        <v>752</v>
      </c>
      <c r="BD5" t="s">
        <v>1288</v>
      </c>
      <c r="BE5" t="s">
        <v>1301</v>
      </c>
      <c r="BF5" t="s">
        <v>1311</v>
      </c>
      <c r="BG5" t="s">
        <v>1463</v>
      </c>
      <c r="BH5" t="s">
        <v>1319</v>
      </c>
      <c r="BI5" t="s">
        <v>1321</v>
      </c>
      <c r="BJ5" t="s">
        <v>1289</v>
      </c>
      <c r="BK5" t="s">
        <v>1329</v>
      </c>
      <c r="BL5" t="s">
        <v>1294</v>
      </c>
      <c r="BM5" t="s">
        <v>1298</v>
      </c>
      <c r="BN5" t="s">
        <v>1334</v>
      </c>
      <c r="BO5" t="s">
        <v>1302</v>
      </c>
      <c r="BP5" t="s">
        <v>1340</v>
      </c>
      <c r="BQ5" t="s">
        <v>1306</v>
      </c>
      <c r="BR5" t="s">
        <v>682</v>
      </c>
      <c r="BS5" t="s">
        <v>1503</v>
      </c>
      <c r="BT5" t="s">
        <v>683</v>
      </c>
      <c r="BU5" t="s">
        <v>1504</v>
      </c>
    </row>
    <row r="6" spans="1:79" x14ac:dyDescent="0.25">
      <c r="A6" s="88" t="s">
        <v>9</v>
      </c>
      <c r="B6" s="90">
        <v>1.387</v>
      </c>
      <c r="C6" s="90">
        <v>7.2370000000000001</v>
      </c>
      <c r="D6" s="90">
        <v>2.3239999999999998</v>
      </c>
      <c r="E6" s="90"/>
      <c r="F6" s="90"/>
      <c r="G6" s="90">
        <v>1.8</v>
      </c>
      <c r="H6" s="90"/>
      <c r="I6" s="90"/>
      <c r="J6" s="90"/>
      <c r="K6" s="90"/>
      <c r="L6" s="90"/>
      <c r="M6" s="90"/>
      <c r="N6" s="90"/>
      <c r="O6" s="90"/>
      <c r="P6" s="90">
        <f>SUM(F6:O6)</f>
        <v>1.8</v>
      </c>
      <c r="Q6" s="90">
        <f>SUM($B6:E6)</f>
        <v>10.948</v>
      </c>
      <c r="R6" s="89"/>
      <c r="S6" s="88" t="s">
        <v>33</v>
      </c>
      <c r="T6" s="90"/>
      <c r="U6" s="90"/>
      <c r="V6" s="90"/>
      <c r="W6" s="90"/>
      <c r="X6" s="90">
        <v>0.5</v>
      </c>
      <c r="Y6" s="90"/>
      <c r="Z6" s="90"/>
      <c r="AA6" s="90"/>
      <c r="AH6" s="90">
        <f>SUM(X6:AG6)</f>
        <v>0.5</v>
      </c>
      <c r="AI6" s="90">
        <f>SUM(T6:W6)</f>
        <v>0</v>
      </c>
      <c r="AJ6" s="89"/>
      <c r="AK6" s="88" t="s">
        <v>759</v>
      </c>
      <c r="AL6" s="90">
        <v>0</v>
      </c>
      <c r="AM6" s="90">
        <v>0</v>
      </c>
      <c r="AN6" s="90">
        <v>0</v>
      </c>
      <c r="AO6" s="90">
        <v>0</v>
      </c>
      <c r="AP6" s="90">
        <v>0</v>
      </c>
      <c r="AQ6" s="90">
        <v>0</v>
      </c>
      <c r="AR6" s="90">
        <v>0</v>
      </c>
      <c r="AS6" s="90">
        <v>0</v>
      </c>
      <c r="AT6" s="90">
        <v>0</v>
      </c>
      <c r="AU6" s="90">
        <v>0</v>
      </c>
      <c r="AV6" s="90">
        <v>0</v>
      </c>
      <c r="AW6" s="90">
        <v>0</v>
      </c>
      <c r="AX6" s="90">
        <v>0</v>
      </c>
      <c r="AY6" s="90">
        <v>0</v>
      </c>
      <c r="AZ6" s="90">
        <f>SUM(AP6:AY6)</f>
        <v>0</v>
      </c>
      <c r="BA6" s="90">
        <f>SUM(AL6:AO6)</f>
        <v>0</v>
      </c>
      <c r="BB6" s="89"/>
      <c r="BC6" s="88" t="s">
        <v>759</v>
      </c>
      <c r="BD6" s="90">
        <v>0</v>
      </c>
      <c r="BE6" s="90">
        <v>0</v>
      </c>
      <c r="BF6" s="90">
        <v>0</v>
      </c>
      <c r="BG6" s="90">
        <v>0</v>
      </c>
      <c r="BH6" s="90">
        <v>0</v>
      </c>
      <c r="BI6" s="90">
        <v>0</v>
      </c>
      <c r="BJ6" s="90">
        <v>0</v>
      </c>
      <c r="BK6" s="90">
        <v>0</v>
      </c>
      <c r="BL6" s="90">
        <v>0</v>
      </c>
      <c r="BM6" s="90">
        <v>0</v>
      </c>
      <c r="BN6" s="90">
        <v>0</v>
      </c>
      <c r="BO6" s="90">
        <v>0</v>
      </c>
      <c r="BP6" s="90">
        <v>0</v>
      </c>
      <c r="BQ6" s="90">
        <v>0</v>
      </c>
      <c r="BR6" s="90">
        <f>SUM(BH6:BQ6)</f>
        <v>0</v>
      </c>
      <c r="BS6" s="90">
        <f>ROUND(BR6*IFERROR(VLOOKUP($BC6,'3121% SY'!$A$2:$M$324,13,FALSE),0),3)</f>
        <v>0</v>
      </c>
      <c r="BT6" s="90">
        <f>SUM(BD6:BG6)</f>
        <v>0</v>
      </c>
      <c r="BU6" s="90">
        <f>ROUND(BT6*IFERROR(VLOOKUP($BC6,'3121% SY'!$A$2:$M$324,13,FALSE),0),3)</f>
        <v>0</v>
      </c>
    </row>
    <row r="7" spans="1:79" x14ac:dyDescent="0.25">
      <c r="A7" s="88" t="s">
        <v>10</v>
      </c>
      <c r="B7" s="90"/>
      <c r="C7" s="90">
        <v>0.17799999999999999</v>
      </c>
      <c r="D7" s="90">
        <v>0.27700000000000002</v>
      </c>
      <c r="E7" s="90"/>
      <c r="F7" s="90"/>
      <c r="G7" s="90">
        <v>0.96199999999999997</v>
      </c>
      <c r="H7" s="90"/>
      <c r="I7" s="90"/>
      <c r="J7" s="90"/>
      <c r="K7" s="90"/>
      <c r="L7" s="90"/>
      <c r="M7" s="90"/>
      <c r="N7" s="90"/>
      <c r="O7" s="90"/>
      <c r="P7" s="90">
        <f t="shared" ref="P7:P70" si="5">SUM(F7:O7)</f>
        <v>0.96199999999999997</v>
      </c>
      <c r="Q7" s="90">
        <f>SUM($B7:E7)</f>
        <v>0.45500000000000002</v>
      </c>
      <c r="R7" s="89"/>
      <c r="S7" s="88" t="s">
        <v>46</v>
      </c>
      <c r="T7" s="90">
        <v>1.282</v>
      </c>
      <c r="U7" s="90"/>
      <c r="V7" s="90"/>
      <c r="W7" s="90"/>
      <c r="X7" s="90"/>
      <c r="Y7" s="90"/>
      <c r="Z7" s="90"/>
      <c r="AA7" s="90"/>
      <c r="AH7" s="90">
        <f t="shared" ref="AH7:AH70" si="6">SUM(X7:AG7)</f>
        <v>0</v>
      </c>
      <c r="AI7" s="90">
        <f t="shared" ref="AI7:AI70" si="7">SUM(T7:W7)</f>
        <v>1.282</v>
      </c>
      <c r="AJ7" s="89"/>
      <c r="AK7" s="88" t="s">
        <v>14</v>
      </c>
      <c r="AL7" s="90"/>
      <c r="AM7" s="90"/>
      <c r="AN7" s="90"/>
      <c r="AO7" s="90">
        <v>1.2</v>
      </c>
      <c r="AP7" s="90"/>
      <c r="AQ7" s="90"/>
      <c r="AR7" s="90"/>
      <c r="AS7" s="90"/>
      <c r="AT7" s="90"/>
      <c r="AU7" s="90"/>
      <c r="AV7" s="90"/>
      <c r="AW7" s="90"/>
      <c r="AX7" s="90"/>
      <c r="AY7" s="90"/>
      <c r="AZ7" s="90">
        <f t="shared" ref="AZ7:AZ70" si="8">SUM(AP7:AY7)</f>
        <v>0</v>
      </c>
      <c r="BA7" s="90">
        <f t="shared" ref="BA7:BA70" si="9">SUM(AL7:AO7)</f>
        <v>1.2</v>
      </c>
      <c r="BB7" s="89"/>
      <c r="BC7" s="88" t="s">
        <v>9</v>
      </c>
      <c r="BD7" s="90"/>
      <c r="BE7" s="90"/>
      <c r="BF7" s="90">
        <v>1.3140000000000001</v>
      </c>
      <c r="BG7" s="90"/>
      <c r="BH7" s="90">
        <v>1</v>
      </c>
      <c r="BI7" s="90"/>
      <c r="BJ7" s="90">
        <v>0.75</v>
      </c>
      <c r="BK7" s="90"/>
      <c r="BL7" s="90">
        <v>2.782</v>
      </c>
      <c r="BM7" s="90">
        <v>2</v>
      </c>
      <c r="BN7" s="90"/>
      <c r="BO7" s="90"/>
      <c r="BP7" s="90">
        <v>1</v>
      </c>
      <c r="BQ7" s="90"/>
      <c r="BR7" s="90">
        <f t="shared" ref="BR7:BR70" si="10">SUM(BH7:BQ7)</f>
        <v>7.532</v>
      </c>
      <c r="BS7" s="90">
        <f>ROUND(BR7*IFERROR(VLOOKUP($BC7,'3121% SY'!$A$2:$M$324,13,FALSE),0),3)</f>
        <v>1.8740000000000001</v>
      </c>
      <c r="BT7" s="90">
        <f t="shared" ref="BT7:BT70" si="11">SUM(BD7:BG7)</f>
        <v>1.3140000000000001</v>
      </c>
      <c r="BU7" s="90">
        <f>ROUND(BT7*IFERROR(VLOOKUP($BC7,'3121% SY'!$A$2:$M$324,13,FALSE),0),3)</f>
        <v>0.32700000000000001</v>
      </c>
    </row>
    <row r="8" spans="1:79" x14ac:dyDescent="0.25">
      <c r="A8" s="88" t="s">
        <v>11</v>
      </c>
      <c r="B8" s="90"/>
      <c r="C8" s="90">
        <v>0.86599999999999999</v>
      </c>
      <c r="D8" s="90">
        <v>0.59899999999999998</v>
      </c>
      <c r="E8" s="90"/>
      <c r="F8" s="90"/>
      <c r="G8" s="90"/>
      <c r="H8" s="90"/>
      <c r="I8" s="90"/>
      <c r="J8" s="90"/>
      <c r="K8" s="90"/>
      <c r="L8" s="90"/>
      <c r="M8" s="90"/>
      <c r="N8" s="90"/>
      <c r="O8" s="90"/>
      <c r="P8" s="90">
        <f t="shared" si="5"/>
        <v>0</v>
      </c>
      <c r="Q8" s="90">
        <f>SUM($B8:E8)</f>
        <v>1.4649999999999999</v>
      </c>
      <c r="R8" s="89"/>
      <c r="S8" s="88" t="s">
        <v>70</v>
      </c>
      <c r="T8" s="90"/>
      <c r="U8" s="90"/>
      <c r="V8" s="90"/>
      <c r="W8" s="90">
        <v>0.1</v>
      </c>
      <c r="X8" s="90"/>
      <c r="Y8" s="90"/>
      <c r="Z8" s="90"/>
      <c r="AA8" s="90"/>
      <c r="AH8" s="90">
        <f t="shared" si="6"/>
        <v>0</v>
      </c>
      <c r="AI8" s="90">
        <f t="shared" si="7"/>
        <v>0.1</v>
      </c>
      <c r="AJ8" s="89"/>
      <c r="AK8" s="88" t="s">
        <v>667</v>
      </c>
      <c r="AL8" s="90">
        <v>0.124</v>
      </c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>
        <f t="shared" si="8"/>
        <v>0</v>
      </c>
      <c r="BA8" s="90">
        <f t="shared" si="9"/>
        <v>0.124</v>
      </c>
      <c r="BB8" s="89"/>
      <c r="BC8" s="88" t="s">
        <v>12</v>
      </c>
      <c r="BD8" s="90"/>
      <c r="BE8" s="90"/>
      <c r="BF8" s="90">
        <v>0.496</v>
      </c>
      <c r="BG8" s="90"/>
      <c r="BH8" s="90"/>
      <c r="BI8" s="90"/>
      <c r="BJ8" s="90">
        <v>1.857</v>
      </c>
      <c r="BK8" s="90"/>
      <c r="BL8" s="90">
        <v>3.581</v>
      </c>
      <c r="BM8" s="90">
        <v>2.012</v>
      </c>
      <c r="BN8" s="90"/>
      <c r="BO8" s="90"/>
      <c r="BP8" s="90"/>
      <c r="BQ8" s="90"/>
      <c r="BR8" s="90">
        <f t="shared" si="10"/>
        <v>7.4499999999999993</v>
      </c>
      <c r="BS8" s="90">
        <f>ROUND(BR8*IFERROR(VLOOKUP($BC8,'3121% SY'!$A$2:$M$324,13,FALSE),0),3)</f>
        <v>1.673</v>
      </c>
      <c r="BT8" s="90">
        <f t="shared" si="11"/>
        <v>0.496</v>
      </c>
      <c r="BU8" s="90">
        <f>ROUND(BT8*IFERROR(VLOOKUP($BC8,'3121% SY'!$A$2:$M$324,13,FALSE),0),3)</f>
        <v>0.111</v>
      </c>
    </row>
    <row r="9" spans="1:79" x14ac:dyDescent="0.25">
      <c r="A9" s="88" t="s">
        <v>12</v>
      </c>
      <c r="B9" s="90"/>
      <c r="C9" s="90">
        <v>0.14000000000000001</v>
      </c>
      <c r="D9" s="90"/>
      <c r="E9" s="90"/>
      <c r="F9" s="90"/>
      <c r="G9" s="90"/>
      <c r="H9" s="90"/>
      <c r="I9" s="90"/>
      <c r="J9" s="90"/>
      <c r="K9" s="90"/>
      <c r="L9" s="90">
        <v>1</v>
      </c>
      <c r="M9" s="90"/>
      <c r="N9" s="90"/>
      <c r="O9" s="90"/>
      <c r="P9" s="90">
        <f t="shared" si="5"/>
        <v>1</v>
      </c>
      <c r="Q9" s="90">
        <f>SUM($B9:E9)</f>
        <v>0.14000000000000001</v>
      </c>
      <c r="R9" s="89"/>
      <c r="S9" s="88" t="s">
        <v>79</v>
      </c>
      <c r="T9" s="90">
        <v>0.66400000000000003</v>
      </c>
      <c r="U9" s="90"/>
      <c r="V9" s="90"/>
      <c r="W9" s="90"/>
      <c r="X9" s="90"/>
      <c r="Y9" s="90"/>
      <c r="Z9" s="90"/>
      <c r="AA9" s="90"/>
      <c r="AH9" s="90">
        <f t="shared" si="6"/>
        <v>0</v>
      </c>
      <c r="AI9" s="90">
        <f t="shared" si="7"/>
        <v>0.66400000000000003</v>
      </c>
      <c r="AJ9" s="89"/>
      <c r="AK9" s="88" t="s">
        <v>96</v>
      </c>
      <c r="AL9" s="90"/>
      <c r="AM9" s="90">
        <v>2.1219999999999999</v>
      </c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>
        <f t="shared" si="8"/>
        <v>0</v>
      </c>
      <c r="BA9" s="90">
        <f t="shared" si="9"/>
        <v>2.1219999999999999</v>
      </c>
      <c r="BB9" s="89"/>
      <c r="BC9" s="88" t="s">
        <v>13</v>
      </c>
      <c r="BD9" s="90"/>
      <c r="BE9" s="90"/>
      <c r="BF9" s="90"/>
      <c r="BG9" s="90"/>
      <c r="BH9" s="90"/>
      <c r="BI9" s="90"/>
      <c r="BJ9" s="90"/>
      <c r="BK9" s="90"/>
      <c r="BL9" s="90">
        <v>0.60799999999999998</v>
      </c>
      <c r="BM9" s="90">
        <v>0.16700000000000001</v>
      </c>
      <c r="BN9" s="90"/>
      <c r="BO9" s="90"/>
      <c r="BP9" s="90"/>
      <c r="BQ9" s="90"/>
      <c r="BR9" s="90">
        <f t="shared" si="10"/>
        <v>0.77500000000000002</v>
      </c>
      <c r="BS9" s="90">
        <f>ROUND(BR9*IFERROR(VLOOKUP($BC9,'3121% SY'!$A$2:$M$324,13,FALSE),0),3)</f>
        <v>0.16800000000000001</v>
      </c>
      <c r="BT9" s="90">
        <f t="shared" si="11"/>
        <v>0</v>
      </c>
      <c r="BU9" s="90">
        <f>ROUND(BT9*IFERROR(VLOOKUP($BC9,'3121% SY'!$A$2:$M$324,13,FALSE),0),3)</f>
        <v>0</v>
      </c>
    </row>
    <row r="10" spans="1:79" x14ac:dyDescent="0.25">
      <c r="A10" s="88" t="s">
        <v>13</v>
      </c>
      <c r="B10" s="90"/>
      <c r="C10" s="90">
        <v>1.319</v>
      </c>
      <c r="D10" s="90"/>
      <c r="E10" s="90"/>
      <c r="F10" s="90"/>
      <c r="G10" s="90">
        <v>0.499</v>
      </c>
      <c r="H10" s="90"/>
      <c r="I10" s="90"/>
      <c r="J10" s="90"/>
      <c r="K10" s="90"/>
      <c r="L10" s="90"/>
      <c r="M10" s="90"/>
      <c r="N10" s="90"/>
      <c r="O10" s="90"/>
      <c r="P10" s="90">
        <f t="shared" si="5"/>
        <v>0.499</v>
      </c>
      <c r="Q10" s="90">
        <f>SUM($B10:E10)</f>
        <v>1.319</v>
      </c>
      <c r="R10" s="89"/>
      <c r="S10" s="88" t="s">
        <v>102</v>
      </c>
      <c r="T10" s="90"/>
      <c r="U10" s="90"/>
      <c r="V10" s="90">
        <v>0.67700000000000005</v>
      </c>
      <c r="W10" s="90"/>
      <c r="X10" s="90"/>
      <c r="Y10" s="90"/>
      <c r="Z10" s="90"/>
      <c r="AA10" s="90"/>
      <c r="AH10" s="90">
        <f t="shared" si="6"/>
        <v>0</v>
      </c>
      <c r="AI10" s="90">
        <f t="shared" si="7"/>
        <v>0.67700000000000005</v>
      </c>
      <c r="AJ10" s="89"/>
      <c r="AK10" s="88" t="s">
        <v>185</v>
      </c>
      <c r="AL10" s="90"/>
      <c r="AM10" s="90">
        <v>1.3</v>
      </c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>
        <f t="shared" si="8"/>
        <v>0</v>
      </c>
      <c r="BA10" s="90">
        <f t="shared" si="9"/>
        <v>1.3</v>
      </c>
      <c r="BB10" s="89"/>
      <c r="BC10" s="88" t="s">
        <v>14</v>
      </c>
      <c r="BD10" s="90"/>
      <c r="BE10" s="90"/>
      <c r="BF10" s="90"/>
      <c r="BG10" s="90"/>
      <c r="BH10" s="90"/>
      <c r="BI10" s="90"/>
      <c r="BJ10" s="90">
        <v>2.754</v>
      </c>
      <c r="BK10" s="90"/>
      <c r="BL10" s="90">
        <v>16.623999999999999</v>
      </c>
      <c r="BM10" s="90">
        <v>6.8739999999999997</v>
      </c>
      <c r="BN10" s="90">
        <v>0.05</v>
      </c>
      <c r="BO10" s="90">
        <v>2.4700000000000002</v>
      </c>
      <c r="BP10" s="90"/>
      <c r="BQ10" s="90"/>
      <c r="BR10" s="90">
        <f t="shared" si="10"/>
        <v>28.771999999999998</v>
      </c>
      <c r="BS10" s="90">
        <f>ROUND(BR10*IFERROR(VLOOKUP($BC10,'3121% SY'!$A$2:$M$324,13,FALSE),0),3)</f>
        <v>8.6549999999999994</v>
      </c>
      <c r="BT10" s="90">
        <f t="shared" si="11"/>
        <v>0</v>
      </c>
      <c r="BU10" s="90">
        <f>ROUND(BT10*IFERROR(VLOOKUP($BC10,'3121% SY'!$A$2:$M$324,13,FALSE),0),3)</f>
        <v>0</v>
      </c>
    </row>
    <row r="11" spans="1:79" x14ac:dyDescent="0.25">
      <c r="A11" s="88" t="s">
        <v>14</v>
      </c>
      <c r="B11" s="90"/>
      <c r="C11" s="90"/>
      <c r="D11" s="90"/>
      <c r="E11" s="90"/>
      <c r="F11" s="90"/>
      <c r="G11" s="90">
        <v>20.2</v>
      </c>
      <c r="H11" s="90"/>
      <c r="I11" s="90"/>
      <c r="J11" s="90"/>
      <c r="K11" s="90"/>
      <c r="L11" s="90">
        <v>8.0860000000000003</v>
      </c>
      <c r="M11" s="90"/>
      <c r="N11" s="90"/>
      <c r="O11" s="90"/>
      <c r="P11" s="90">
        <f t="shared" si="5"/>
        <v>28.286000000000001</v>
      </c>
      <c r="Q11" s="90">
        <f>SUM($B11:E11)</f>
        <v>0</v>
      </c>
      <c r="R11" s="89"/>
      <c r="S11" s="88" t="s">
        <v>126</v>
      </c>
      <c r="T11" s="90">
        <v>0.151</v>
      </c>
      <c r="U11" s="90"/>
      <c r="V11" s="90"/>
      <c r="W11" s="90">
        <v>7.0000000000000007E-2</v>
      </c>
      <c r="X11" s="90"/>
      <c r="Y11" s="90"/>
      <c r="Z11" s="90"/>
      <c r="AA11" s="90"/>
      <c r="AH11" s="90">
        <f t="shared" si="6"/>
        <v>0</v>
      </c>
      <c r="AI11" s="90">
        <f t="shared" si="7"/>
        <v>0.221</v>
      </c>
      <c r="AJ11" s="89"/>
      <c r="AK11" s="88" t="s">
        <v>753</v>
      </c>
      <c r="AL11" s="90">
        <v>0.124</v>
      </c>
      <c r="AM11" s="90">
        <v>3.4219999999999997</v>
      </c>
      <c r="AN11" s="90">
        <v>0</v>
      </c>
      <c r="AO11" s="90">
        <v>1.2</v>
      </c>
      <c r="AP11" s="90">
        <v>0</v>
      </c>
      <c r="AQ11" s="90">
        <v>0</v>
      </c>
      <c r="AR11" s="90">
        <v>0</v>
      </c>
      <c r="AS11" s="90">
        <v>0</v>
      </c>
      <c r="AT11" s="90">
        <v>0</v>
      </c>
      <c r="AU11" s="90">
        <v>0</v>
      </c>
      <c r="AV11" s="90">
        <v>0</v>
      </c>
      <c r="AW11" s="90">
        <v>0</v>
      </c>
      <c r="AX11" s="90">
        <v>0</v>
      </c>
      <c r="AY11" s="90">
        <v>0</v>
      </c>
      <c r="AZ11" s="90">
        <f t="shared" si="8"/>
        <v>0</v>
      </c>
      <c r="BA11" s="90">
        <f t="shared" si="9"/>
        <v>4.7459999999999996</v>
      </c>
      <c r="BB11" s="89"/>
      <c r="BC11" s="88" t="s">
        <v>15</v>
      </c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>
        <v>0.5</v>
      </c>
      <c r="BR11" s="90">
        <f t="shared" si="10"/>
        <v>0.5</v>
      </c>
      <c r="BS11" s="90">
        <f>ROUND(BR11*IFERROR(VLOOKUP($BC11,'3121% SY'!$A$2:$M$324,13,FALSE),0),3)</f>
        <v>4.2000000000000003E-2</v>
      </c>
      <c r="BT11" s="90">
        <f t="shared" si="11"/>
        <v>0</v>
      </c>
      <c r="BU11" s="90">
        <f>ROUND(BT11*IFERROR(VLOOKUP($BC11,'3121% SY'!$A$2:$M$324,13,FALSE),0),3)</f>
        <v>0</v>
      </c>
    </row>
    <row r="12" spans="1:79" x14ac:dyDescent="0.25">
      <c r="A12" s="88" t="s">
        <v>15</v>
      </c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>
        <v>0.5</v>
      </c>
      <c r="P12" s="90">
        <f t="shared" si="5"/>
        <v>0.5</v>
      </c>
      <c r="Q12" s="90">
        <f>SUM($B12:E12)</f>
        <v>0</v>
      </c>
      <c r="R12" s="89"/>
      <c r="S12" s="88" t="s">
        <v>139</v>
      </c>
      <c r="T12" s="90">
        <v>3.4000000000000002E-2</v>
      </c>
      <c r="U12" s="90"/>
      <c r="V12" s="90"/>
      <c r="W12" s="90"/>
      <c r="X12" s="90"/>
      <c r="Y12" s="90"/>
      <c r="Z12" s="90"/>
      <c r="AA12" s="90"/>
      <c r="AH12" s="90">
        <f t="shared" si="6"/>
        <v>0</v>
      </c>
      <c r="AI12" s="90">
        <f t="shared" si="7"/>
        <v>3.4000000000000002E-2</v>
      </c>
      <c r="AJ12" s="89"/>
      <c r="AZ12" s="90">
        <f t="shared" si="8"/>
        <v>0</v>
      </c>
      <c r="BA12" s="90">
        <f t="shared" si="9"/>
        <v>0</v>
      </c>
      <c r="BB12" s="89"/>
      <c r="BC12" s="88" t="s">
        <v>16</v>
      </c>
      <c r="BD12" s="90"/>
      <c r="BE12" s="90"/>
      <c r="BF12" s="90"/>
      <c r="BG12" s="90"/>
      <c r="BH12" s="90"/>
      <c r="BI12" s="90"/>
      <c r="BJ12" s="90">
        <v>0.4</v>
      </c>
      <c r="BK12" s="90"/>
      <c r="BL12" s="90"/>
      <c r="BM12" s="90">
        <v>0.47499999999999998</v>
      </c>
      <c r="BN12" s="90"/>
      <c r="BO12" s="90"/>
      <c r="BP12" s="90"/>
      <c r="BQ12" s="90"/>
      <c r="BR12" s="90">
        <f t="shared" si="10"/>
        <v>0.875</v>
      </c>
      <c r="BS12" s="90">
        <f>ROUND(BR12*IFERROR(VLOOKUP($BC12,'3121% SY'!$A$2:$M$324,13,FALSE),0),3)</f>
        <v>0.184</v>
      </c>
      <c r="BT12" s="90">
        <f t="shared" si="11"/>
        <v>0</v>
      </c>
      <c r="BU12" s="90">
        <f>ROUND(BT12*IFERROR(VLOOKUP($BC12,'3121% SY'!$A$2:$M$324,13,FALSE),0),3)</f>
        <v>0</v>
      </c>
    </row>
    <row r="13" spans="1:79" x14ac:dyDescent="0.25">
      <c r="A13" s="88" t="s">
        <v>16</v>
      </c>
      <c r="B13" s="90"/>
      <c r="C13" s="90"/>
      <c r="D13" s="90"/>
      <c r="E13" s="90"/>
      <c r="F13" s="90"/>
      <c r="G13" s="90">
        <v>1</v>
      </c>
      <c r="H13" s="90"/>
      <c r="I13" s="90"/>
      <c r="J13" s="90"/>
      <c r="K13" s="90"/>
      <c r="L13" s="90"/>
      <c r="M13" s="90"/>
      <c r="N13" s="90"/>
      <c r="O13" s="90"/>
      <c r="P13" s="90">
        <f t="shared" si="5"/>
        <v>1</v>
      </c>
      <c r="Q13" s="90">
        <f>SUM($B13:E13)</f>
        <v>0</v>
      </c>
      <c r="R13" s="89"/>
      <c r="S13" s="88" t="s">
        <v>156</v>
      </c>
      <c r="T13" s="90"/>
      <c r="U13" s="90">
        <v>1.4E-2</v>
      </c>
      <c r="V13" s="90"/>
      <c r="W13" s="90"/>
      <c r="X13" s="90"/>
      <c r="Y13" s="90"/>
      <c r="Z13" s="90"/>
      <c r="AA13" s="90"/>
      <c r="AH13" s="90">
        <f t="shared" si="6"/>
        <v>0</v>
      </c>
      <c r="AI13" s="90">
        <f t="shared" si="7"/>
        <v>1.4E-2</v>
      </c>
      <c r="AJ13" s="89"/>
      <c r="AZ13" s="90">
        <f t="shared" si="8"/>
        <v>0</v>
      </c>
      <c r="BA13" s="90">
        <f t="shared" si="9"/>
        <v>0</v>
      </c>
      <c r="BB13" s="89"/>
      <c r="BC13" s="88" t="s">
        <v>17</v>
      </c>
      <c r="BD13" s="90"/>
      <c r="BE13" s="90"/>
      <c r="BF13" s="90"/>
      <c r="BG13" s="90"/>
      <c r="BH13" s="90"/>
      <c r="BI13" s="90"/>
      <c r="BJ13" s="90"/>
      <c r="BK13" s="90"/>
      <c r="BL13" s="90">
        <v>1</v>
      </c>
      <c r="BM13" s="90">
        <v>1</v>
      </c>
      <c r="BN13" s="90"/>
      <c r="BO13" s="90"/>
      <c r="BP13" s="90"/>
      <c r="BQ13" s="90"/>
      <c r="BR13" s="90">
        <f t="shared" si="10"/>
        <v>2</v>
      </c>
      <c r="BS13" s="90">
        <f>ROUND(BR13*IFERROR(VLOOKUP($BC13,'3121% SY'!$A$2:$M$324,13,FALSE),0),3)</f>
        <v>0.54100000000000004</v>
      </c>
      <c r="BT13" s="90">
        <f t="shared" si="11"/>
        <v>0</v>
      </c>
      <c r="BU13" s="90">
        <f>ROUND(BT13*IFERROR(VLOOKUP($BC13,'3121% SY'!$A$2:$M$324,13,FALSE),0),3)</f>
        <v>0</v>
      </c>
    </row>
    <row r="14" spans="1:79" x14ac:dyDescent="0.25">
      <c r="A14" s="88" t="s">
        <v>17</v>
      </c>
      <c r="B14" s="90"/>
      <c r="C14" s="90">
        <v>0.94099999999999995</v>
      </c>
      <c r="D14" s="90">
        <v>0.41299999999999998</v>
      </c>
      <c r="E14" s="90"/>
      <c r="F14" s="90"/>
      <c r="G14" s="90">
        <v>0.4</v>
      </c>
      <c r="H14" s="90"/>
      <c r="I14" s="90"/>
      <c r="J14" s="90"/>
      <c r="K14" s="90"/>
      <c r="L14" s="90"/>
      <c r="M14" s="90"/>
      <c r="N14" s="90"/>
      <c r="O14" s="90"/>
      <c r="P14" s="90">
        <f t="shared" si="5"/>
        <v>0.4</v>
      </c>
      <c r="Q14" s="90">
        <f>SUM($B14:E14)</f>
        <v>1.3539999999999999</v>
      </c>
      <c r="R14" s="89"/>
      <c r="S14" s="88" t="s">
        <v>160</v>
      </c>
      <c r="T14" s="90">
        <v>0.187</v>
      </c>
      <c r="U14" s="90"/>
      <c r="V14" s="90"/>
      <c r="W14" s="90"/>
      <c r="X14" s="90"/>
      <c r="Y14" s="90"/>
      <c r="Z14" s="90"/>
      <c r="AA14" s="90"/>
      <c r="AH14" s="90">
        <f t="shared" si="6"/>
        <v>0</v>
      </c>
      <c r="AI14" s="90">
        <f t="shared" si="7"/>
        <v>0.187</v>
      </c>
      <c r="AJ14" s="89"/>
      <c r="AZ14" s="90">
        <f t="shared" si="8"/>
        <v>0</v>
      </c>
      <c r="BA14" s="90">
        <f t="shared" si="9"/>
        <v>0</v>
      </c>
      <c r="BB14" s="89"/>
      <c r="BC14" s="88" t="s">
        <v>18</v>
      </c>
      <c r="BD14" s="90"/>
      <c r="BE14" s="90"/>
      <c r="BF14" s="90">
        <v>0.60599999999999998</v>
      </c>
      <c r="BG14" s="90"/>
      <c r="BH14" s="90"/>
      <c r="BI14" s="90"/>
      <c r="BJ14" s="90"/>
      <c r="BK14" s="90"/>
      <c r="BL14" s="90">
        <v>1.04</v>
      </c>
      <c r="BM14" s="90"/>
      <c r="BN14" s="90"/>
      <c r="BO14" s="90">
        <v>0.34399999999999997</v>
      </c>
      <c r="BP14" s="90"/>
      <c r="BQ14" s="90"/>
      <c r="BR14" s="90">
        <f t="shared" si="10"/>
        <v>1.3839999999999999</v>
      </c>
      <c r="BS14" s="90">
        <f>ROUND(BR14*IFERROR(VLOOKUP($BC14,'3121% SY'!$A$2:$M$324,13,FALSE),0),3)</f>
        <v>0.38900000000000001</v>
      </c>
      <c r="BT14" s="90">
        <f t="shared" si="11"/>
        <v>0.60599999999999998</v>
      </c>
      <c r="BU14" s="90">
        <f>ROUND(BT14*IFERROR(VLOOKUP($BC14,'3121% SY'!$A$2:$M$324,13,FALSE),0),3)</f>
        <v>0.17</v>
      </c>
    </row>
    <row r="15" spans="1:79" x14ac:dyDescent="0.25">
      <c r="A15" s="88" t="s">
        <v>18</v>
      </c>
      <c r="B15" s="90"/>
      <c r="C15" s="90">
        <v>7.3999999999999996E-2</v>
      </c>
      <c r="D15" s="90">
        <v>0.63900000000000001</v>
      </c>
      <c r="E15" s="90"/>
      <c r="F15" s="90"/>
      <c r="G15" s="90">
        <v>3</v>
      </c>
      <c r="H15" s="90"/>
      <c r="I15" s="90"/>
      <c r="J15" s="90"/>
      <c r="K15" s="90"/>
      <c r="L15" s="90"/>
      <c r="M15" s="90"/>
      <c r="N15" s="90"/>
      <c r="O15" s="90"/>
      <c r="P15" s="90">
        <f t="shared" si="5"/>
        <v>3</v>
      </c>
      <c r="Q15" s="90">
        <f>SUM($B15:E15)</f>
        <v>0.71299999999999997</v>
      </c>
      <c r="R15" s="89"/>
      <c r="S15" s="88" t="s">
        <v>170</v>
      </c>
      <c r="T15" s="90"/>
      <c r="U15" s="90"/>
      <c r="V15" s="90"/>
      <c r="W15" s="90"/>
      <c r="X15" s="90"/>
      <c r="Y15" s="90"/>
      <c r="Z15" s="90">
        <v>2.5999999999999999E-2</v>
      </c>
      <c r="AA15" s="90"/>
      <c r="AH15" s="90">
        <f t="shared" si="6"/>
        <v>2.5999999999999999E-2</v>
      </c>
      <c r="AI15" s="90">
        <f t="shared" si="7"/>
        <v>0</v>
      </c>
      <c r="AJ15" s="89"/>
      <c r="AZ15" s="90">
        <f t="shared" si="8"/>
        <v>0</v>
      </c>
      <c r="BA15" s="90">
        <f t="shared" si="9"/>
        <v>0</v>
      </c>
      <c r="BB15" s="89"/>
      <c r="BC15" s="88" t="s">
        <v>19</v>
      </c>
      <c r="BD15" s="90"/>
      <c r="BE15" s="90"/>
      <c r="BF15" s="90"/>
      <c r="BG15" s="90"/>
      <c r="BH15" s="90">
        <v>1</v>
      </c>
      <c r="BI15" s="90"/>
      <c r="BJ15" s="90">
        <v>8.2129999999999992</v>
      </c>
      <c r="BK15" s="90">
        <v>0.5</v>
      </c>
      <c r="BL15" s="90">
        <v>16.8</v>
      </c>
      <c r="BM15" s="90">
        <v>7.9</v>
      </c>
      <c r="BN15" s="90"/>
      <c r="BO15" s="90">
        <v>4</v>
      </c>
      <c r="BP15" s="90"/>
      <c r="BQ15" s="90"/>
      <c r="BR15" s="90">
        <f t="shared" si="10"/>
        <v>38.412999999999997</v>
      </c>
      <c r="BS15" s="90">
        <f>ROUND(BR15*IFERROR(VLOOKUP($BC15,'3121% SY'!$A$2:$M$324,13,FALSE),0),3)</f>
        <v>10.321999999999999</v>
      </c>
      <c r="BT15" s="90">
        <f t="shared" si="11"/>
        <v>0</v>
      </c>
      <c r="BU15" s="90">
        <f>ROUND(BT15*IFERROR(VLOOKUP($BC15,'3121% SY'!$A$2:$M$324,13,FALSE),0),3)</f>
        <v>0</v>
      </c>
    </row>
    <row r="16" spans="1:79" x14ac:dyDescent="0.25">
      <c r="A16" s="88" t="s">
        <v>19</v>
      </c>
      <c r="B16" s="90"/>
      <c r="C16" s="90"/>
      <c r="D16" s="90"/>
      <c r="E16" s="90"/>
      <c r="F16" s="90">
        <v>1</v>
      </c>
      <c r="G16" s="90">
        <v>11.445</v>
      </c>
      <c r="H16" s="90"/>
      <c r="I16" s="90">
        <v>0.5</v>
      </c>
      <c r="J16" s="90">
        <v>1</v>
      </c>
      <c r="K16" s="90">
        <v>4.9000000000000004</v>
      </c>
      <c r="L16" s="90">
        <v>9.6</v>
      </c>
      <c r="M16" s="90"/>
      <c r="N16" s="90"/>
      <c r="O16" s="90"/>
      <c r="P16" s="90">
        <f t="shared" si="5"/>
        <v>28.445</v>
      </c>
      <c r="Q16" s="90">
        <f>SUM($B16:E16)</f>
        <v>0</v>
      </c>
      <c r="R16" s="89"/>
      <c r="S16" s="88" t="s">
        <v>194</v>
      </c>
      <c r="T16" s="90"/>
      <c r="U16" s="90">
        <v>0.72399999999999998</v>
      </c>
      <c r="V16" s="90"/>
      <c r="W16" s="90"/>
      <c r="X16" s="90"/>
      <c r="Y16" s="90"/>
      <c r="Z16" s="90"/>
      <c r="AA16" s="90"/>
      <c r="AH16" s="90">
        <f t="shared" si="6"/>
        <v>0</v>
      </c>
      <c r="AI16" s="90">
        <f t="shared" si="7"/>
        <v>0.72399999999999998</v>
      </c>
      <c r="AJ16" s="89"/>
      <c r="AZ16" s="90">
        <f t="shared" si="8"/>
        <v>0</v>
      </c>
      <c r="BA16" s="90">
        <f t="shared" si="9"/>
        <v>0</v>
      </c>
      <c r="BB16" s="89"/>
      <c r="BC16" s="88" t="s">
        <v>23</v>
      </c>
      <c r="BD16" s="90"/>
      <c r="BE16" s="90"/>
      <c r="BF16" s="90"/>
      <c r="BG16" s="90"/>
      <c r="BH16" s="90"/>
      <c r="BI16" s="90"/>
      <c r="BJ16" s="90">
        <v>0.25</v>
      </c>
      <c r="BK16" s="90"/>
      <c r="BL16" s="90">
        <v>0.63300000000000001</v>
      </c>
      <c r="BM16" s="90">
        <v>0.4</v>
      </c>
      <c r="BN16" s="90"/>
      <c r="BO16" s="90"/>
      <c r="BP16" s="90"/>
      <c r="BQ16" s="90"/>
      <c r="BR16" s="90">
        <f t="shared" si="10"/>
        <v>1.2829999999999999</v>
      </c>
      <c r="BS16" s="90">
        <f>ROUND(BR16*IFERROR(VLOOKUP($BC16,'3121% SY'!$A$2:$M$324,13,FALSE),0),3)</f>
        <v>0.19700000000000001</v>
      </c>
      <c r="BT16" s="90">
        <f t="shared" si="11"/>
        <v>0</v>
      </c>
      <c r="BU16" s="90">
        <f>ROUND(BT16*IFERROR(VLOOKUP($BC16,'3121% SY'!$A$2:$M$324,13,FALSE),0),3)</f>
        <v>0</v>
      </c>
    </row>
    <row r="17" spans="1:73" x14ac:dyDescent="0.25">
      <c r="A17" s="88" t="s">
        <v>20</v>
      </c>
      <c r="B17" s="90"/>
      <c r="C17" s="90"/>
      <c r="D17" s="90"/>
      <c r="E17" s="90"/>
      <c r="F17" s="90"/>
      <c r="G17" s="90">
        <v>0.8</v>
      </c>
      <c r="H17" s="90"/>
      <c r="I17" s="90"/>
      <c r="J17" s="90">
        <v>0.7</v>
      </c>
      <c r="K17" s="90"/>
      <c r="L17" s="90"/>
      <c r="M17" s="90"/>
      <c r="N17" s="90"/>
      <c r="O17" s="90"/>
      <c r="P17" s="90">
        <f t="shared" si="5"/>
        <v>1.5</v>
      </c>
      <c r="Q17" s="90">
        <f>SUM($B17:E17)</f>
        <v>0</v>
      </c>
      <c r="R17" s="89"/>
      <c r="S17" s="88" t="s">
        <v>196</v>
      </c>
      <c r="T17" s="90"/>
      <c r="U17" s="90"/>
      <c r="V17" s="90"/>
      <c r="W17" s="90">
        <v>0.15</v>
      </c>
      <c r="X17" s="90"/>
      <c r="Y17" s="90"/>
      <c r="Z17" s="90"/>
      <c r="AA17" s="90"/>
      <c r="AH17" s="90">
        <f t="shared" si="6"/>
        <v>0</v>
      </c>
      <c r="AI17" s="90">
        <f t="shared" si="7"/>
        <v>0.15</v>
      </c>
      <c r="AJ17" s="89"/>
      <c r="AZ17" s="90">
        <f t="shared" si="8"/>
        <v>0</v>
      </c>
      <c r="BA17" s="90">
        <f t="shared" si="9"/>
        <v>0</v>
      </c>
      <c r="BB17" s="89"/>
      <c r="BC17" s="88" t="s">
        <v>24</v>
      </c>
      <c r="BD17" s="90"/>
      <c r="BE17" s="90"/>
      <c r="BF17" s="90">
        <v>0.33</v>
      </c>
      <c r="BG17" s="90"/>
      <c r="BH17" s="90"/>
      <c r="BI17" s="90"/>
      <c r="BJ17" s="90">
        <v>0.80600000000000005</v>
      </c>
      <c r="BK17" s="90"/>
      <c r="BL17" s="90">
        <v>1.6220000000000001</v>
      </c>
      <c r="BM17" s="90">
        <v>1</v>
      </c>
      <c r="BN17" s="90"/>
      <c r="BO17" s="90">
        <v>0.8</v>
      </c>
      <c r="BP17" s="90"/>
      <c r="BQ17" s="90"/>
      <c r="BR17" s="90">
        <f t="shared" si="10"/>
        <v>4.2279999999999998</v>
      </c>
      <c r="BS17" s="90">
        <f>ROUND(BR17*IFERROR(VLOOKUP($BC17,'3121% SY'!$A$2:$M$324,13,FALSE),0),3)</f>
        <v>0.64</v>
      </c>
      <c r="BT17" s="90">
        <f t="shared" si="11"/>
        <v>0.33</v>
      </c>
      <c r="BU17" s="90">
        <f>ROUND(BT17*IFERROR(VLOOKUP($BC17,'3121% SY'!$A$2:$M$324,13,FALSE),0),3)</f>
        <v>0.05</v>
      </c>
    </row>
    <row r="18" spans="1:73" x14ac:dyDescent="0.25">
      <c r="A18" s="88" t="s">
        <v>22</v>
      </c>
      <c r="B18" s="90"/>
      <c r="C18" s="90">
        <v>0.17199999999999999</v>
      </c>
      <c r="D18" s="90"/>
      <c r="E18" s="90"/>
      <c r="F18" s="90"/>
      <c r="G18" s="90">
        <v>0.5</v>
      </c>
      <c r="H18" s="90"/>
      <c r="I18" s="90"/>
      <c r="J18" s="90"/>
      <c r="K18" s="90"/>
      <c r="L18" s="90"/>
      <c r="M18" s="90"/>
      <c r="N18" s="90"/>
      <c r="O18" s="90"/>
      <c r="P18" s="90">
        <f t="shared" si="5"/>
        <v>0.5</v>
      </c>
      <c r="Q18" s="90">
        <f>SUM($B18:E18)</f>
        <v>0.17199999999999999</v>
      </c>
      <c r="R18" s="89"/>
      <c r="S18" s="88" t="s">
        <v>236</v>
      </c>
      <c r="T18" s="90"/>
      <c r="U18" s="90"/>
      <c r="V18" s="90"/>
      <c r="W18" s="90"/>
      <c r="X18" s="90"/>
      <c r="Y18" s="90"/>
      <c r="Z18" s="90">
        <v>7.1999999999999995E-2</v>
      </c>
      <c r="AA18" s="90"/>
      <c r="AH18" s="90">
        <f t="shared" si="6"/>
        <v>7.1999999999999995E-2</v>
      </c>
      <c r="AI18" s="90">
        <f t="shared" si="7"/>
        <v>0</v>
      </c>
      <c r="AJ18" s="89"/>
      <c r="AZ18" s="90">
        <f t="shared" si="8"/>
        <v>0</v>
      </c>
      <c r="BA18" s="90">
        <f t="shared" si="9"/>
        <v>0</v>
      </c>
      <c r="BB18" s="89"/>
      <c r="BC18" s="88" t="s">
        <v>25</v>
      </c>
      <c r="BD18" s="90"/>
      <c r="BE18" s="90"/>
      <c r="BF18" s="90">
        <v>0.128</v>
      </c>
      <c r="BG18" s="90"/>
      <c r="BH18" s="90"/>
      <c r="BI18" s="90"/>
      <c r="BJ18" s="90"/>
      <c r="BK18" s="90"/>
      <c r="BL18" s="90"/>
      <c r="BM18" s="90">
        <v>0.49</v>
      </c>
      <c r="BN18" s="90"/>
      <c r="BO18" s="90">
        <v>0.8</v>
      </c>
      <c r="BP18" s="90"/>
      <c r="BQ18" s="90"/>
      <c r="BR18" s="90">
        <f t="shared" si="10"/>
        <v>1.29</v>
      </c>
      <c r="BS18" s="90">
        <f>ROUND(BR18*IFERROR(VLOOKUP($BC18,'3121% SY'!$A$2:$M$324,13,FALSE),0),3)</f>
        <v>0.247</v>
      </c>
      <c r="BT18" s="90">
        <f t="shared" si="11"/>
        <v>0.128</v>
      </c>
      <c r="BU18" s="90">
        <f>ROUND(BT18*IFERROR(VLOOKUP($BC18,'3121% SY'!$A$2:$M$324,13,FALSE),0),3)</f>
        <v>2.4E-2</v>
      </c>
    </row>
    <row r="19" spans="1:73" x14ac:dyDescent="0.25">
      <c r="A19" s="88" t="s">
        <v>23</v>
      </c>
      <c r="B19" s="90"/>
      <c r="C19" s="90">
        <v>0.82799999999999996</v>
      </c>
      <c r="D19" s="90">
        <v>0.72699999999999998</v>
      </c>
      <c r="E19" s="90"/>
      <c r="F19" s="90"/>
      <c r="G19" s="90">
        <v>1.33</v>
      </c>
      <c r="H19" s="90"/>
      <c r="I19" s="90"/>
      <c r="J19" s="90"/>
      <c r="K19" s="90"/>
      <c r="L19" s="90"/>
      <c r="M19" s="90"/>
      <c r="N19" s="90"/>
      <c r="O19" s="90"/>
      <c r="P19" s="90">
        <f t="shared" si="5"/>
        <v>1.33</v>
      </c>
      <c r="Q19" s="90">
        <f>SUM($B19:E19)</f>
        <v>1.5549999999999999</v>
      </c>
      <c r="R19" s="89"/>
      <c r="S19" s="88" t="s">
        <v>252</v>
      </c>
      <c r="T19" s="90">
        <v>0.11</v>
      </c>
      <c r="U19" s="90"/>
      <c r="V19" s="90"/>
      <c r="W19" s="90"/>
      <c r="X19" s="90"/>
      <c r="Y19" s="90"/>
      <c r="Z19" s="90"/>
      <c r="AA19" s="90"/>
      <c r="AH19" s="90">
        <f t="shared" si="6"/>
        <v>0</v>
      </c>
      <c r="AI19" s="90">
        <f t="shared" si="7"/>
        <v>0.11</v>
      </c>
      <c r="AJ19" s="89"/>
      <c r="AZ19" s="90">
        <f t="shared" si="8"/>
        <v>0</v>
      </c>
      <c r="BA19" s="90">
        <f t="shared" si="9"/>
        <v>0</v>
      </c>
      <c r="BB19" s="89"/>
      <c r="BC19" s="88" t="s">
        <v>26</v>
      </c>
      <c r="BD19" s="90"/>
      <c r="BE19" s="90"/>
      <c r="BF19" s="90"/>
      <c r="BG19" s="90"/>
      <c r="BH19" s="90"/>
      <c r="BI19" s="90"/>
      <c r="BJ19" s="90">
        <v>3.1</v>
      </c>
      <c r="BK19" s="90"/>
      <c r="BL19" s="90">
        <v>6.2930000000000001</v>
      </c>
      <c r="BM19" s="90">
        <v>5.2</v>
      </c>
      <c r="BN19" s="90">
        <v>1.3</v>
      </c>
      <c r="BO19" s="90">
        <v>2.1</v>
      </c>
      <c r="BP19" s="90">
        <v>1.71</v>
      </c>
      <c r="BQ19" s="90"/>
      <c r="BR19" s="90">
        <f t="shared" si="10"/>
        <v>19.703000000000003</v>
      </c>
      <c r="BS19" s="90">
        <f>ROUND(BR19*IFERROR(VLOOKUP($BC19,'3121% SY'!$A$2:$M$324,13,FALSE),0),3)</f>
        <v>3.452</v>
      </c>
      <c r="BT19" s="90">
        <f t="shared" si="11"/>
        <v>0</v>
      </c>
      <c r="BU19" s="90">
        <f>ROUND(BT19*IFERROR(VLOOKUP($BC19,'3121% SY'!$A$2:$M$324,13,FALSE),0),3)</f>
        <v>0</v>
      </c>
    </row>
    <row r="20" spans="1:73" x14ac:dyDescent="0.25">
      <c r="A20" s="88" t="s">
        <v>24</v>
      </c>
      <c r="B20" s="90"/>
      <c r="C20" s="90"/>
      <c r="D20" s="90">
        <v>0.754</v>
      </c>
      <c r="E20" s="90"/>
      <c r="F20" s="90"/>
      <c r="G20" s="90">
        <v>1.6379999999999999</v>
      </c>
      <c r="H20" s="90"/>
      <c r="I20" s="90"/>
      <c r="J20" s="90"/>
      <c r="K20" s="90"/>
      <c r="L20" s="90"/>
      <c r="M20" s="90"/>
      <c r="N20" s="90"/>
      <c r="O20" s="90"/>
      <c r="P20" s="90">
        <f t="shared" si="5"/>
        <v>1.6379999999999999</v>
      </c>
      <c r="Q20" s="90">
        <f>SUM($B20:E20)</f>
        <v>0.754</v>
      </c>
      <c r="R20" s="89"/>
      <c r="S20" s="88" t="s">
        <v>262</v>
      </c>
      <c r="T20" s="90">
        <v>0.58300000000000007</v>
      </c>
      <c r="U20" s="90">
        <v>0.504</v>
      </c>
      <c r="V20" s="90"/>
      <c r="W20" s="90"/>
      <c r="X20" s="90"/>
      <c r="Y20" s="90"/>
      <c r="Z20" s="90">
        <v>0.223</v>
      </c>
      <c r="AA20" s="90"/>
      <c r="AH20" s="90">
        <f t="shared" si="6"/>
        <v>0.223</v>
      </c>
      <c r="AI20" s="90">
        <f t="shared" si="7"/>
        <v>1.0870000000000002</v>
      </c>
      <c r="AJ20" s="89"/>
      <c r="AZ20" s="90">
        <f t="shared" si="8"/>
        <v>0</v>
      </c>
      <c r="BA20" s="90">
        <f t="shared" si="9"/>
        <v>0</v>
      </c>
      <c r="BB20" s="89"/>
      <c r="BC20" s="88" t="s">
        <v>27</v>
      </c>
      <c r="BD20" s="90"/>
      <c r="BE20" s="90"/>
      <c r="BF20" s="90"/>
      <c r="BG20" s="90"/>
      <c r="BH20" s="90"/>
      <c r="BI20" s="90"/>
      <c r="BJ20" s="90">
        <v>0.57199999999999995</v>
      </c>
      <c r="BK20" s="90"/>
      <c r="BL20" s="90">
        <v>5</v>
      </c>
      <c r="BM20" s="90">
        <v>5</v>
      </c>
      <c r="BN20" s="90"/>
      <c r="BO20" s="90"/>
      <c r="BP20" s="90"/>
      <c r="BQ20" s="90"/>
      <c r="BR20" s="90">
        <f t="shared" si="10"/>
        <v>10.571999999999999</v>
      </c>
      <c r="BS20" s="90">
        <f>ROUND(BR20*IFERROR(VLOOKUP($BC20,'3121% SY'!$A$2:$M$324,13,FALSE),0),3)</f>
        <v>2.7160000000000002</v>
      </c>
      <c r="BT20" s="90">
        <f t="shared" si="11"/>
        <v>0</v>
      </c>
      <c r="BU20" s="90">
        <f>ROUND(BT20*IFERROR(VLOOKUP($BC20,'3121% SY'!$A$2:$M$324,13,FALSE),0),3)</f>
        <v>0</v>
      </c>
    </row>
    <row r="21" spans="1:73" x14ac:dyDescent="0.25">
      <c r="A21" s="88" t="s">
        <v>25</v>
      </c>
      <c r="B21" s="90"/>
      <c r="C21" s="90"/>
      <c r="D21" s="90">
        <v>0.39200000000000002</v>
      </c>
      <c r="E21" s="90"/>
      <c r="F21" s="90"/>
      <c r="G21" s="90">
        <v>1.3169999999999999</v>
      </c>
      <c r="H21" s="90"/>
      <c r="I21" s="90"/>
      <c r="J21" s="90"/>
      <c r="K21" s="90"/>
      <c r="L21" s="90"/>
      <c r="M21" s="90"/>
      <c r="N21" s="90"/>
      <c r="O21" s="90"/>
      <c r="P21" s="90">
        <f t="shared" si="5"/>
        <v>1.3169999999999999</v>
      </c>
      <c r="Q21" s="90">
        <f>SUM($B21:E21)</f>
        <v>0.39200000000000002</v>
      </c>
      <c r="R21" s="89"/>
      <c r="S21" s="88" t="s">
        <v>270</v>
      </c>
      <c r="T21" s="90">
        <v>4.5999999999999999E-2</v>
      </c>
      <c r="U21" s="90"/>
      <c r="V21" s="90"/>
      <c r="W21" s="90"/>
      <c r="X21" s="90"/>
      <c r="Y21" s="90"/>
      <c r="Z21" s="90"/>
      <c r="AA21" s="90"/>
      <c r="AH21" s="90">
        <f t="shared" si="6"/>
        <v>0</v>
      </c>
      <c r="AI21" s="90">
        <f t="shared" si="7"/>
        <v>4.5999999999999999E-2</v>
      </c>
      <c r="AJ21" s="89"/>
      <c r="AZ21" s="90">
        <f t="shared" si="8"/>
        <v>0</v>
      </c>
      <c r="BA21" s="90">
        <f t="shared" si="9"/>
        <v>0</v>
      </c>
      <c r="BB21" s="89"/>
      <c r="BC21" s="88" t="s">
        <v>29</v>
      </c>
      <c r="BD21" s="90"/>
      <c r="BE21" s="90"/>
      <c r="BF21" s="90"/>
      <c r="BG21" s="90"/>
      <c r="BH21" s="90"/>
      <c r="BI21" s="90"/>
      <c r="BJ21" s="90"/>
      <c r="BK21" s="90"/>
      <c r="BL21" s="90">
        <v>2.6259999999999999</v>
      </c>
      <c r="BM21" s="90">
        <v>2.9950000000000001</v>
      </c>
      <c r="BN21" s="90">
        <v>0.12</v>
      </c>
      <c r="BO21" s="90">
        <v>1</v>
      </c>
      <c r="BP21" s="90"/>
      <c r="BQ21" s="90"/>
      <c r="BR21" s="90">
        <f t="shared" si="10"/>
        <v>6.7410000000000005</v>
      </c>
      <c r="BS21" s="90">
        <f>ROUND(BR21*IFERROR(VLOOKUP($BC21,'3121% SY'!$A$2:$M$324,13,FALSE),0),3)</f>
        <v>1.0309999999999999</v>
      </c>
      <c r="BT21" s="90">
        <f t="shared" si="11"/>
        <v>0</v>
      </c>
      <c r="BU21" s="90">
        <f>ROUND(BT21*IFERROR(VLOOKUP($BC21,'3121% SY'!$A$2:$M$324,13,FALSE),0),3)</f>
        <v>0</v>
      </c>
    </row>
    <row r="22" spans="1:73" x14ac:dyDescent="0.25">
      <c r="A22" s="88" t="s">
        <v>26</v>
      </c>
      <c r="B22" s="90"/>
      <c r="C22" s="90"/>
      <c r="D22" s="90"/>
      <c r="E22" s="90"/>
      <c r="F22" s="90"/>
      <c r="G22" s="90">
        <v>6.6210000000000004</v>
      </c>
      <c r="H22" s="90"/>
      <c r="I22" s="90"/>
      <c r="J22" s="90">
        <v>1</v>
      </c>
      <c r="K22" s="90"/>
      <c r="L22" s="90">
        <v>2.5</v>
      </c>
      <c r="M22" s="90"/>
      <c r="N22" s="90"/>
      <c r="O22" s="90"/>
      <c r="P22" s="90">
        <f t="shared" si="5"/>
        <v>10.121</v>
      </c>
      <c r="Q22" s="90">
        <f>SUM($B22:E22)</f>
        <v>0</v>
      </c>
      <c r="R22" s="89"/>
      <c r="S22" s="88" t="s">
        <v>272</v>
      </c>
      <c r="T22" s="90"/>
      <c r="U22" s="90"/>
      <c r="V22" s="90"/>
      <c r="W22" s="90"/>
      <c r="X22" s="90"/>
      <c r="Y22" s="90">
        <v>0.5</v>
      </c>
      <c r="Z22" s="90"/>
      <c r="AA22" s="90"/>
      <c r="AH22" s="90">
        <f t="shared" si="6"/>
        <v>0.5</v>
      </c>
      <c r="AI22" s="90">
        <f t="shared" si="7"/>
        <v>0</v>
      </c>
      <c r="AJ22" s="89"/>
      <c r="AZ22" s="90">
        <f t="shared" si="8"/>
        <v>0</v>
      </c>
      <c r="BA22" s="90">
        <f t="shared" si="9"/>
        <v>0</v>
      </c>
      <c r="BB22" s="89"/>
      <c r="BC22" s="88" t="s">
        <v>31</v>
      </c>
      <c r="BD22" s="90"/>
      <c r="BE22" s="90"/>
      <c r="BF22" s="90"/>
      <c r="BG22" s="90"/>
      <c r="BH22" s="90"/>
      <c r="BI22" s="90"/>
      <c r="BJ22" s="90">
        <v>0.65400000000000003</v>
      </c>
      <c r="BK22" s="90"/>
      <c r="BL22" s="90">
        <v>0.01</v>
      </c>
      <c r="BM22" s="90"/>
      <c r="BN22" s="90"/>
      <c r="BO22" s="90"/>
      <c r="BP22" s="90"/>
      <c r="BQ22" s="90">
        <v>0.33</v>
      </c>
      <c r="BR22" s="90">
        <f t="shared" si="10"/>
        <v>0.99399999999999999</v>
      </c>
      <c r="BS22" s="90">
        <f>ROUND(BR22*IFERROR(VLOOKUP($BC22,'3121% SY'!$A$2:$M$324,13,FALSE),0),3)</f>
        <v>0.14899999999999999</v>
      </c>
      <c r="BT22" s="90">
        <f t="shared" si="11"/>
        <v>0</v>
      </c>
      <c r="BU22" s="90">
        <f>ROUND(BT22*IFERROR(VLOOKUP($BC22,'3121% SY'!$A$2:$M$324,13,FALSE),0),3)</f>
        <v>0</v>
      </c>
    </row>
    <row r="23" spans="1:73" x14ac:dyDescent="0.25">
      <c r="A23" s="88" t="s">
        <v>667</v>
      </c>
      <c r="B23" s="90"/>
      <c r="C23" s="90"/>
      <c r="D23" s="90">
        <v>0.1</v>
      </c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>
        <f t="shared" si="5"/>
        <v>0</v>
      </c>
      <c r="Q23" s="90">
        <f>SUM($B23:E23)</f>
        <v>0.1</v>
      </c>
      <c r="R23" s="89"/>
      <c r="S23" s="88" t="s">
        <v>280</v>
      </c>
      <c r="T23" s="90"/>
      <c r="U23" s="90"/>
      <c r="V23" s="90"/>
      <c r="W23" s="90">
        <v>0.125</v>
      </c>
      <c r="X23" s="90"/>
      <c r="Y23" s="90"/>
      <c r="Z23" s="90"/>
      <c r="AA23" s="90"/>
      <c r="AH23" s="90">
        <f t="shared" si="6"/>
        <v>0</v>
      </c>
      <c r="AI23" s="90">
        <f t="shared" si="7"/>
        <v>0.125</v>
      </c>
      <c r="AJ23" s="89"/>
      <c r="AZ23" s="90">
        <f t="shared" si="8"/>
        <v>0</v>
      </c>
      <c r="BA23" s="90">
        <f t="shared" si="9"/>
        <v>0</v>
      </c>
      <c r="BB23" s="89"/>
      <c r="BC23" s="88" t="s">
        <v>32</v>
      </c>
      <c r="BD23" s="90"/>
      <c r="BE23" s="90"/>
      <c r="BF23" s="90"/>
      <c r="BG23" s="90"/>
      <c r="BH23" s="90"/>
      <c r="BI23" s="90"/>
      <c r="BJ23" s="90">
        <v>16.585999999999999</v>
      </c>
      <c r="BK23" s="90"/>
      <c r="BL23" s="90">
        <v>34.188000000000002</v>
      </c>
      <c r="BM23" s="90">
        <v>12.129</v>
      </c>
      <c r="BN23" s="90">
        <v>0.05</v>
      </c>
      <c r="BO23" s="90">
        <v>2.823</v>
      </c>
      <c r="BP23" s="90"/>
      <c r="BQ23" s="90"/>
      <c r="BR23" s="90">
        <f t="shared" si="10"/>
        <v>65.775999999999996</v>
      </c>
      <c r="BS23" s="90">
        <f>ROUND(BR23*IFERROR(VLOOKUP($BC23,'3121% SY'!$A$2:$M$324,13,FALSE),0),3)</f>
        <v>18.213000000000001</v>
      </c>
      <c r="BT23" s="90">
        <f t="shared" si="11"/>
        <v>0</v>
      </c>
      <c r="BU23" s="90">
        <f>ROUND(BT23*IFERROR(VLOOKUP($BC23,'3121% SY'!$A$2:$M$324,13,FALSE),0),3)</f>
        <v>0</v>
      </c>
    </row>
    <row r="24" spans="1:73" x14ac:dyDescent="0.25">
      <c r="A24" s="88" t="s">
        <v>27</v>
      </c>
      <c r="B24" s="90"/>
      <c r="C24" s="90">
        <v>0.88800000000000001</v>
      </c>
      <c r="D24" s="90"/>
      <c r="E24" s="90"/>
      <c r="F24" s="90"/>
      <c r="G24" s="90">
        <v>3</v>
      </c>
      <c r="H24" s="90"/>
      <c r="I24" s="90"/>
      <c r="J24" s="90"/>
      <c r="K24" s="90"/>
      <c r="L24" s="90">
        <v>3</v>
      </c>
      <c r="M24" s="90"/>
      <c r="N24" s="90"/>
      <c r="O24" s="90"/>
      <c r="P24" s="90">
        <f t="shared" si="5"/>
        <v>6</v>
      </c>
      <c r="Q24" s="90">
        <f>SUM($B24:E24)</f>
        <v>0.88800000000000001</v>
      </c>
      <c r="R24" s="89"/>
      <c r="S24" s="88" t="s">
        <v>290</v>
      </c>
      <c r="T24" s="90">
        <v>6.9000000000000006E-2</v>
      </c>
      <c r="U24" s="90"/>
      <c r="V24" s="90"/>
      <c r="W24" s="90"/>
      <c r="X24" s="90"/>
      <c r="Y24" s="90"/>
      <c r="Z24" s="90"/>
      <c r="AA24" s="90"/>
      <c r="AH24" s="90">
        <f t="shared" si="6"/>
        <v>0</v>
      </c>
      <c r="AI24" s="90">
        <f t="shared" si="7"/>
        <v>6.9000000000000006E-2</v>
      </c>
      <c r="AJ24" s="89"/>
      <c r="AZ24" s="90">
        <f t="shared" si="8"/>
        <v>0</v>
      </c>
      <c r="BA24" s="90">
        <f t="shared" si="9"/>
        <v>0</v>
      </c>
      <c r="BB24" s="89"/>
      <c r="BC24" s="88" t="s">
        <v>33</v>
      </c>
      <c r="BD24" s="90"/>
      <c r="BE24" s="90"/>
      <c r="BF24" s="90"/>
      <c r="BG24" s="90"/>
      <c r="BH24" s="90"/>
      <c r="BI24" s="90"/>
      <c r="BJ24" s="90">
        <v>3</v>
      </c>
      <c r="BK24" s="90">
        <v>0.6</v>
      </c>
      <c r="BL24" s="90"/>
      <c r="BM24" s="90">
        <v>0.95</v>
      </c>
      <c r="BN24" s="90"/>
      <c r="BO24" s="90">
        <v>0.4</v>
      </c>
      <c r="BP24" s="90"/>
      <c r="BQ24" s="90"/>
      <c r="BR24" s="90">
        <f t="shared" si="10"/>
        <v>4.95</v>
      </c>
      <c r="BS24" s="90">
        <f>ROUND(BR24*IFERROR(VLOOKUP($BC24,'3121% SY'!$A$2:$M$324,13,FALSE),0),3)</f>
        <v>0.79600000000000004</v>
      </c>
      <c r="BT24" s="90">
        <f t="shared" si="11"/>
        <v>0</v>
      </c>
      <c r="BU24" s="90">
        <f>ROUND(BT24*IFERROR(VLOOKUP($BC24,'3121% SY'!$A$2:$M$324,13,FALSE),0),3)</f>
        <v>0</v>
      </c>
    </row>
    <row r="25" spans="1:73" x14ac:dyDescent="0.25">
      <c r="A25" s="88" t="s">
        <v>28</v>
      </c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>
        <v>1.1259999999999999</v>
      </c>
      <c r="M25" s="90"/>
      <c r="N25" s="90"/>
      <c r="O25" s="90"/>
      <c r="P25" s="90">
        <f t="shared" si="5"/>
        <v>1.1259999999999999</v>
      </c>
      <c r="Q25" s="90">
        <f>SUM($B25:E25)</f>
        <v>0</v>
      </c>
      <c r="R25" s="89"/>
      <c r="S25" s="88" t="s">
        <v>292</v>
      </c>
      <c r="T25" s="90"/>
      <c r="U25" s="90"/>
      <c r="V25" s="90"/>
      <c r="W25" s="90"/>
      <c r="X25" s="90"/>
      <c r="Y25" s="90"/>
      <c r="Z25" s="90"/>
      <c r="AA25" s="90">
        <v>0.36</v>
      </c>
      <c r="AH25" s="90">
        <f t="shared" si="6"/>
        <v>0.36</v>
      </c>
      <c r="AI25" s="90">
        <f t="shared" si="7"/>
        <v>0</v>
      </c>
      <c r="AJ25" s="89"/>
      <c r="AZ25" s="90">
        <f t="shared" si="8"/>
        <v>0</v>
      </c>
      <c r="BA25" s="90">
        <f t="shared" si="9"/>
        <v>0</v>
      </c>
      <c r="BB25" s="89"/>
      <c r="BC25" s="88" t="s">
        <v>34</v>
      </c>
      <c r="BD25" s="90"/>
      <c r="BE25" s="90"/>
      <c r="BF25" s="90"/>
      <c r="BG25" s="90"/>
      <c r="BH25" s="90"/>
      <c r="BI25" s="90"/>
      <c r="BJ25" s="90"/>
      <c r="BK25" s="90"/>
      <c r="BL25" s="90">
        <v>2.59</v>
      </c>
      <c r="BM25" s="90"/>
      <c r="BN25" s="90"/>
      <c r="BO25" s="90"/>
      <c r="BP25" s="90"/>
      <c r="BQ25" s="90">
        <v>0.57099999999999995</v>
      </c>
      <c r="BR25" s="90">
        <f t="shared" si="10"/>
        <v>3.1609999999999996</v>
      </c>
      <c r="BS25" s="90">
        <f>ROUND(BR25*IFERROR(VLOOKUP($BC25,'3121% SY'!$A$2:$M$324,13,FALSE),0),3)</f>
        <v>0.746</v>
      </c>
      <c r="BT25" s="90">
        <f t="shared" si="11"/>
        <v>0</v>
      </c>
      <c r="BU25" s="90">
        <f>ROUND(BT25*IFERROR(VLOOKUP($BC25,'3121% SY'!$A$2:$M$324,13,FALSE),0),3)</f>
        <v>0</v>
      </c>
    </row>
    <row r="26" spans="1:73" x14ac:dyDescent="0.25">
      <c r="A26" s="88" t="s">
        <v>29</v>
      </c>
      <c r="B26" s="90"/>
      <c r="C26" s="90"/>
      <c r="D26" s="90"/>
      <c r="E26" s="90"/>
      <c r="F26" s="90"/>
      <c r="G26" s="90">
        <v>4.7430000000000003</v>
      </c>
      <c r="H26" s="90"/>
      <c r="I26" s="90"/>
      <c r="J26" s="90"/>
      <c r="K26" s="90"/>
      <c r="L26" s="90">
        <v>0.875</v>
      </c>
      <c r="M26" s="90"/>
      <c r="N26" s="90"/>
      <c r="O26" s="90"/>
      <c r="P26" s="90">
        <f t="shared" si="5"/>
        <v>5.6180000000000003</v>
      </c>
      <c r="Q26" s="90">
        <f>SUM($B26:E26)</f>
        <v>0</v>
      </c>
      <c r="R26" s="89"/>
      <c r="S26" s="88" t="s">
        <v>296</v>
      </c>
      <c r="T26" s="90">
        <v>0.26500000000000001</v>
      </c>
      <c r="U26" s="90"/>
      <c r="V26" s="90"/>
      <c r="W26" s="90"/>
      <c r="X26" s="90"/>
      <c r="Y26" s="90"/>
      <c r="Z26" s="90"/>
      <c r="AA26" s="90"/>
      <c r="AH26" s="90">
        <f t="shared" si="6"/>
        <v>0</v>
      </c>
      <c r="AI26" s="90">
        <f t="shared" si="7"/>
        <v>0.26500000000000001</v>
      </c>
      <c r="AJ26" s="89"/>
      <c r="AZ26" s="90">
        <f t="shared" si="8"/>
        <v>0</v>
      </c>
      <c r="BA26" s="90">
        <f t="shared" si="9"/>
        <v>0</v>
      </c>
      <c r="BB26" s="89"/>
      <c r="BC26" s="88" t="s">
        <v>36</v>
      </c>
      <c r="BD26" s="90"/>
      <c r="BE26" s="90"/>
      <c r="BF26" s="90"/>
      <c r="BG26" s="90"/>
      <c r="BH26" s="90"/>
      <c r="BI26" s="90"/>
      <c r="BJ26" s="90">
        <v>0.92</v>
      </c>
      <c r="BK26" s="90"/>
      <c r="BL26" s="90">
        <v>3.9140000000000001</v>
      </c>
      <c r="BM26" s="90"/>
      <c r="BN26" s="90"/>
      <c r="BO26" s="90">
        <v>0.2</v>
      </c>
      <c r="BP26" s="90"/>
      <c r="BQ26" s="90"/>
      <c r="BR26" s="90">
        <f t="shared" si="10"/>
        <v>5.0340000000000007</v>
      </c>
      <c r="BS26" s="90">
        <f>ROUND(BR26*IFERROR(VLOOKUP($BC26,'3121% SY'!$A$2:$M$324,13,FALSE),0),3)</f>
        <v>1.1890000000000001</v>
      </c>
      <c r="BT26" s="90">
        <f t="shared" si="11"/>
        <v>0</v>
      </c>
      <c r="BU26" s="90">
        <f>ROUND(BT26*IFERROR(VLOOKUP($BC26,'3121% SY'!$A$2:$M$324,13,FALSE),0),3)</f>
        <v>0</v>
      </c>
    </row>
    <row r="27" spans="1:73" x14ac:dyDescent="0.25">
      <c r="A27" s="88" t="s">
        <v>30</v>
      </c>
      <c r="B27" s="90"/>
      <c r="C27" s="90"/>
      <c r="D27" s="90"/>
      <c r="E27" s="90"/>
      <c r="F27" s="90"/>
      <c r="G27" s="90">
        <v>0.63800000000000001</v>
      </c>
      <c r="H27" s="90"/>
      <c r="I27" s="90"/>
      <c r="J27" s="90"/>
      <c r="K27" s="90"/>
      <c r="L27" s="90"/>
      <c r="M27" s="90"/>
      <c r="N27" s="90"/>
      <c r="O27" s="90"/>
      <c r="P27" s="90">
        <f t="shared" si="5"/>
        <v>0.63800000000000001</v>
      </c>
      <c r="Q27" s="90">
        <f>SUM($B27:E27)</f>
        <v>0</v>
      </c>
      <c r="R27" s="89"/>
      <c r="S27" s="88" t="s">
        <v>753</v>
      </c>
      <c r="T27" s="90">
        <v>3.3909999999999996</v>
      </c>
      <c r="U27" s="90">
        <v>1.242</v>
      </c>
      <c r="V27" s="90">
        <v>0.67700000000000005</v>
      </c>
      <c r="W27" s="90">
        <v>0.44500000000000001</v>
      </c>
      <c r="X27" s="90">
        <v>0.5</v>
      </c>
      <c r="Y27" s="90">
        <v>0.5</v>
      </c>
      <c r="Z27" s="90">
        <v>0.32100000000000001</v>
      </c>
      <c r="AA27" s="90">
        <v>0.36</v>
      </c>
      <c r="AH27" s="90">
        <f t="shared" si="6"/>
        <v>1.681</v>
      </c>
      <c r="AI27" s="90">
        <f t="shared" si="7"/>
        <v>5.754999999999999</v>
      </c>
      <c r="AJ27" s="89"/>
      <c r="AZ27" s="90">
        <f t="shared" si="8"/>
        <v>0</v>
      </c>
      <c r="BA27" s="90">
        <f t="shared" si="9"/>
        <v>0</v>
      </c>
      <c r="BB27" s="89"/>
      <c r="BC27" s="88" t="s">
        <v>37</v>
      </c>
      <c r="BD27" s="90"/>
      <c r="BE27" s="90"/>
      <c r="BF27" s="90"/>
      <c r="BG27" s="90"/>
      <c r="BH27" s="90">
        <v>1</v>
      </c>
      <c r="BI27" s="90"/>
      <c r="BJ27" s="90">
        <v>9.4320000000000004</v>
      </c>
      <c r="BK27" s="90"/>
      <c r="BL27" s="90">
        <v>28.527999999999999</v>
      </c>
      <c r="BM27" s="90">
        <v>13.45</v>
      </c>
      <c r="BN27" s="90"/>
      <c r="BO27" s="90">
        <v>3.8730000000000002</v>
      </c>
      <c r="BP27" s="90"/>
      <c r="BQ27" s="90"/>
      <c r="BR27" s="90">
        <f t="shared" si="10"/>
        <v>56.282999999999994</v>
      </c>
      <c r="BS27" s="90">
        <f>ROUND(BR27*IFERROR(VLOOKUP($BC27,'3121% SY'!$A$2:$M$324,13,FALSE),0),3)</f>
        <v>12.122999999999999</v>
      </c>
      <c r="BT27" s="90">
        <f t="shared" si="11"/>
        <v>0</v>
      </c>
      <c r="BU27" s="90">
        <f>ROUND(BT27*IFERROR(VLOOKUP($BC27,'3121% SY'!$A$2:$M$324,13,FALSE),0),3)</f>
        <v>0</v>
      </c>
    </row>
    <row r="28" spans="1:73" x14ac:dyDescent="0.25">
      <c r="A28" s="88" t="s">
        <v>31</v>
      </c>
      <c r="B28" s="90"/>
      <c r="C28" s="90"/>
      <c r="D28" s="90"/>
      <c r="E28" s="90"/>
      <c r="F28" s="90"/>
      <c r="G28" s="90">
        <v>1.4999999999999999E-2</v>
      </c>
      <c r="H28" s="90"/>
      <c r="I28" s="90"/>
      <c r="J28" s="90"/>
      <c r="K28" s="90"/>
      <c r="L28" s="90"/>
      <c r="M28" s="90"/>
      <c r="N28" s="90"/>
      <c r="O28" s="90"/>
      <c r="P28" s="90">
        <f t="shared" si="5"/>
        <v>1.4999999999999999E-2</v>
      </c>
      <c r="Q28" s="90">
        <f>SUM($B28:E28)</f>
        <v>0</v>
      </c>
      <c r="R28" s="89"/>
      <c r="AH28" s="90">
        <f t="shared" si="6"/>
        <v>0</v>
      </c>
      <c r="AI28" s="90">
        <f t="shared" si="7"/>
        <v>0</v>
      </c>
      <c r="AJ28" s="89"/>
      <c r="AZ28" s="90">
        <f t="shared" si="8"/>
        <v>0</v>
      </c>
      <c r="BA28" s="90">
        <f t="shared" si="9"/>
        <v>0</v>
      </c>
      <c r="BB28" s="89"/>
      <c r="BC28" s="88" t="s">
        <v>38</v>
      </c>
      <c r="BD28" s="90"/>
      <c r="BE28" s="90"/>
      <c r="BF28" s="90">
        <v>5.5E-2</v>
      </c>
      <c r="BG28" s="90"/>
      <c r="BH28" s="90"/>
      <c r="BI28" s="90"/>
      <c r="BJ28" s="90">
        <v>2.8</v>
      </c>
      <c r="BK28" s="90"/>
      <c r="BL28" s="90">
        <v>7.6</v>
      </c>
      <c r="BM28" s="90">
        <v>7</v>
      </c>
      <c r="BN28" s="90"/>
      <c r="BO28" s="90">
        <v>0.5</v>
      </c>
      <c r="BP28" s="90"/>
      <c r="BQ28" s="90"/>
      <c r="BR28" s="90">
        <f t="shared" si="10"/>
        <v>17.899999999999999</v>
      </c>
      <c r="BS28" s="90">
        <f>ROUND(BR28*IFERROR(VLOOKUP($BC28,'3121% SY'!$A$2:$M$324,13,FALSE),0),3)</f>
        <v>3.621</v>
      </c>
      <c r="BT28" s="90">
        <f t="shared" si="11"/>
        <v>5.5E-2</v>
      </c>
      <c r="BU28" s="90">
        <f>ROUND(BT28*IFERROR(VLOOKUP($BC28,'3121% SY'!$A$2:$M$324,13,FALSE),0),3)</f>
        <v>1.0999999999999999E-2</v>
      </c>
    </row>
    <row r="29" spans="1:73" x14ac:dyDescent="0.25">
      <c r="A29" s="88" t="s">
        <v>613</v>
      </c>
      <c r="B29" s="90"/>
      <c r="C29" s="90"/>
      <c r="D29" s="90"/>
      <c r="E29" s="90"/>
      <c r="F29" s="90"/>
      <c r="G29" s="90"/>
      <c r="H29" s="90"/>
      <c r="I29" s="90">
        <v>1.268</v>
      </c>
      <c r="J29" s="90"/>
      <c r="K29" s="90"/>
      <c r="L29" s="90"/>
      <c r="M29" s="90"/>
      <c r="N29" s="90"/>
      <c r="O29" s="90"/>
      <c r="P29" s="90">
        <f t="shared" si="5"/>
        <v>1.268</v>
      </c>
      <c r="Q29" s="90">
        <f>SUM($B29:E29)</f>
        <v>0</v>
      </c>
      <c r="R29" s="89"/>
      <c r="AH29" s="90">
        <f t="shared" si="6"/>
        <v>0</v>
      </c>
      <c r="AI29" s="90">
        <f t="shared" si="7"/>
        <v>0</v>
      </c>
      <c r="AJ29" s="89"/>
      <c r="AZ29" s="90">
        <f t="shared" si="8"/>
        <v>0</v>
      </c>
      <c r="BA29" s="90">
        <f t="shared" si="9"/>
        <v>0</v>
      </c>
      <c r="BB29" s="89"/>
      <c r="BC29" s="88" t="s">
        <v>39</v>
      </c>
      <c r="BD29" s="90"/>
      <c r="BE29" s="90"/>
      <c r="BF29" s="90">
        <v>0.95299999999999996</v>
      </c>
      <c r="BG29" s="90"/>
      <c r="BH29" s="90"/>
      <c r="BI29" s="90"/>
      <c r="BJ29" s="90">
        <v>6</v>
      </c>
      <c r="BK29" s="90"/>
      <c r="BL29" s="90">
        <v>16.399999999999999</v>
      </c>
      <c r="BM29" s="90">
        <v>12</v>
      </c>
      <c r="BN29" s="90"/>
      <c r="BO29" s="90">
        <v>1</v>
      </c>
      <c r="BP29" s="90"/>
      <c r="BQ29" s="90"/>
      <c r="BR29" s="90">
        <f t="shared" si="10"/>
        <v>35.4</v>
      </c>
      <c r="BS29" s="90">
        <f>ROUND(BR29*IFERROR(VLOOKUP($BC29,'3121% SY'!$A$2:$M$324,13,FALSE),0),3)</f>
        <v>7.8550000000000004</v>
      </c>
      <c r="BT29" s="90">
        <f t="shared" si="11"/>
        <v>0.95299999999999996</v>
      </c>
      <c r="BU29" s="90">
        <f>ROUND(BT29*IFERROR(VLOOKUP($BC29,'3121% SY'!$A$2:$M$324,13,FALSE),0),3)</f>
        <v>0.21099999999999999</v>
      </c>
    </row>
    <row r="30" spans="1:73" x14ac:dyDescent="0.25">
      <c r="A30" s="88" t="s">
        <v>32</v>
      </c>
      <c r="B30" s="90"/>
      <c r="C30" s="90"/>
      <c r="D30" s="90"/>
      <c r="E30" s="90"/>
      <c r="F30" s="90"/>
      <c r="G30" s="90">
        <v>31.245000000000001</v>
      </c>
      <c r="H30" s="90"/>
      <c r="I30" s="90"/>
      <c r="J30" s="90"/>
      <c r="K30" s="90"/>
      <c r="L30" s="90">
        <v>8.76</v>
      </c>
      <c r="M30" s="90"/>
      <c r="N30" s="90"/>
      <c r="O30" s="90"/>
      <c r="P30" s="90">
        <f t="shared" si="5"/>
        <v>40.005000000000003</v>
      </c>
      <c r="Q30" s="90">
        <f>SUM($B30:E30)</f>
        <v>0</v>
      </c>
      <c r="R30" s="89"/>
      <c r="AH30" s="90">
        <f t="shared" si="6"/>
        <v>0</v>
      </c>
      <c r="AI30" s="90">
        <f t="shared" si="7"/>
        <v>0</v>
      </c>
      <c r="AJ30" s="89"/>
      <c r="AZ30" s="90">
        <f t="shared" si="8"/>
        <v>0</v>
      </c>
      <c r="BA30" s="90">
        <f t="shared" si="9"/>
        <v>0</v>
      </c>
      <c r="BB30" s="89"/>
      <c r="BC30" s="88" t="s">
        <v>40</v>
      </c>
      <c r="BD30" s="90"/>
      <c r="BE30" s="90"/>
      <c r="BF30" s="90">
        <v>0.20699999999999999</v>
      </c>
      <c r="BG30" s="90"/>
      <c r="BH30" s="90"/>
      <c r="BI30" s="90"/>
      <c r="BJ30" s="90">
        <v>0.99199999999999999</v>
      </c>
      <c r="BK30" s="90"/>
      <c r="BL30" s="90">
        <v>4.1020000000000003</v>
      </c>
      <c r="BM30" s="90">
        <v>2.65</v>
      </c>
      <c r="BN30" s="90"/>
      <c r="BO30" s="90">
        <v>0.56000000000000005</v>
      </c>
      <c r="BP30" s="90">
        <v>0.73</v>
      </c>
      <c r="BQ30" s="90"/>
      <c r="BR30" s="90">
        <f t="shared" si="10"/>
        <v>9.0340000000000007</v>
      </c>
      <c r="BS30" s="90">
        <f>ROUND(BR30*IFERROR(VLOOKUP($BC30,'3121% SY'!$A$2:$M$324,13,FALSE),0),3)</f>
        <v>1.621</v>
      </c>
      <c r="BT30" s="90">
        <f t="shared" si="11"/>
        <v>0.20699999999999999</v>
      </c>
      <c r="BU30" s="90">
        <f>ROUND(BT30*IFERROR(VLOOKUP($BC30,'3121% SY'!$A$2:$M$324,13,FALSE),0),3)</f>
        <v>3.6999999999999998E-2</v>
      </c>
    </row>
    <row r="31" spans="1:73" x14ac:dyDescent="0.25">
      <c r="A31" s="88" t="s">
        <v>33</v>
      </c>
      <c r="B31" s="90"/>
      <c r="C31" s="90"/>
      <c r="D31" s="90"/>
      <c r="E31" s="90">
        <v>0.754</v>
      </c>
      <c r="F31" s="90"/>
      <c r="G31" s="90">
        <v>1</v>
      </c>
      <c r="H31" s="90"/>
      <c r="I31" s="90">
        <v>0.4</v>
      </c>
      <c r="J31" s="90"/>
      <c r="K31" s="90"/>
      <c r="L31" s="90"/>
      <c r="M31" s="90"/>
      <c r="N31" s="90"/>
      <c r="O31" s="90"/>
      <c r="P31" s="90">
        <f t="shared" si="5"/>
        <v>1.4</v>
      </c>
      <c r="Q31" s="90">
        <f>SUM($B31:E31)</f>
        <v>0.754</v>
      </c>
      <c r="R31" s="89"/>
      <c r="AH31" s="90">
        <f t="shared" si="6"/>
        <v>0</v>
      </c>
      <c r="AI31" s="90">
        <f t="shared" si="7"/>
        <v>0</v>
      </c>
      <c r="AJ31" s="89"/>
      <c r="AZ31" s="90">
        <f t="shared" si="8"/>
        <v>0</v>
      </c>
      <c r="BA31" s="90">
        <f t="shared" si="9"/>
        <v>0</v>
      </c>
      <c r="BB31" s="89"/>
      <c r="BC31" s="88" t="s">
        <v>43</v>
      </c>
      <c r="BD31" s="90"/>
      <c r="BE31" s="90"/>
      <c r="BF31" s="90"/>
      <c r="BG31" s="90"/>
      <c r="BH31" s="90"/>
      <c r="BI31" s="90"/>
      <c r="BJ31" s="90">
        <v>2.3340000000000001</v>
      </c>
      <c r="BK31" s="90"/>
      <c r="BL31" s="90">
        <v>4.8529999999999998</v>
      </c>
      <c r="BM31" s="90">
        <v>1.4990000000000001</v>
      </c>
      <c r="BN31" s="90"/>
      <c r="BO31" s="90">
        <v>0.52</v>
      </c>
      <c r="BP31" s="90"/>
      <c r="BQ31" s="90"/>
      <c r="BR31" s="90">
        <f t="shared" si="10"/>
        <v>9.2059999999999995</v>
      </c>
      <c r="BS31" s="90">
        <f>ROUND(BR31*IFERROR(VLOOKUP($BC31,'3121% SY'!$A$2:$M$324,13,FALSE),0),3)</f>
        <v>2.274</v>
      </c>
      <c r="BT31" s="90">
        <f t="shared" si="11"/>
        <v>0</v>
      </c>
      <c r="BU31" s="90">
        <f>ROUND(BT31*IFERROR(VLOOKUP($BC31,'3121% SY'!$A$2:$M$324,13,FALSE),0),3)</f>
        <v>0</v>
      </c>
    </row>
    <row r="32" spans="1:73" x14ac:dyDescent="0.25">
      <c r="A32" s="88" t="s">
        <v>34</v>
      </c>
      <c r="B32" s="90"/>
      <c r="C32" s="90">
        <v>1.7949999999999999</v>
      </c>
      <c r="D32" s="90">
        <v>0.69899999999999995</v>
      </c>
      <c r="E32" s="90"/>
      <c r="F32" s="90"/>
      <c r="G32" s="90">
        <v>2.33</v>
      </c>
      <c r="H32" s="90"/>
      <c r="I32" s="90"/>
      <c r="J32" s="90"/>
      <c r="K32" s="90"/>
      <c r="L32" s="90"/>
      <c r="M32" s="90"/>
      <c r="N32" s="90"/>
      <c r="O32" s="90"/>
      <c r="P32" s="90">
        <f t="shared" si="5"/>
        <v>2.33</v>
      </c>
      <c r="Q32" s="90">
        <f>SUM($B32:E32)</f>
        <v>2.4939999999999998</v>
      </c>
      <c r="R32" s="89"/>
      <c r="AH32" s="90">
        <f t="shared" si="6"/>
        <v>0</v>
      </c>
      <c r="AI32" s="90">
        <f t="shared" si="7"/>
        <v>0</v>
      </c>
      <c r="AJ32" s="89"/>
      <c r="AZ32" s="90">
        <f t="shared" si="8"/>
        <v>0</v>
      </c>
      <c r="BA32" s="90">
        <f t="shared" si="9"/>
        <v>0</v>
      </c>
      <c r="BB32" s="89"/>
      <c r="BC32" s="88" t="s">
        <v>45</v>
      </c>
      <c r="BD32" s="90"/>
      <c r="BE32" s="90"/>
      <c r="BF32" s="90"/>
      <c r="BG32" s="90"/>
      <c r="BH32" s="90"/>
      <c r="BI32" s="90"/>
      <c r="BJ32" s="90"/>
      <c r="BK32" s="90"/>
      <c r="BL32" s="90">
        <v>1.82</v>
      </c>
      <c r="BM32" s="90">
        <v>1</v>
      </c>
      <c r="BN32" s="90"/>
      <c r="BO32" s="90"/>
      <c r="BP32" s="90"/>
      <c r="BQ32" s="90"/>
      <c r="BR32" s="90">
        <f t="shared" si="10"/>
        <v>2.8200000000000003</v>
      </c>
      <c r="BS32" s="90">
        <f>ROUND(BR32*IFERROR(VLOOKUP($BC32,'3121% SY'!$A$2:$M$324,13,FALSE),0),3)</f>
        <v>0.50900000000000001</v>
      </c>
      <c r="BT32" s="90">
        <f t="shared" si="11"/>
        <v>0</v>
      </c>
      <c r="BU32" s="90">
        <f>ROUND(BT32*IFERROR(VLOOKUP($BC32,'3121% SY'!$A$2:$M$324,13,FALSE),0),3)</f>
        <v>0</v>
      </c>
    </row>
    <row r="33" spans="1:73" x14ac:dyDescent="0.25">
      <c r="A33" s="88" t="s">
        <v>36</v>
      </c>
      <c r="B33" s="90">
        <v>0.61399999999999999</v>
      </c>
      <c r="C33" s="90">
        <v>2.9620000000000002</v>
      </c>
      <c r="D33" s="90"/>
      <c r="E33" s="90"/>
      <c r="F33" s="90"/>
      <c r="G33" s="90">
        <v>3.9409999999999998</v>
      </c>
      <c r="H33" s="90"/>
      <c r="I33" s="90"/>
      <c r="J33" s="90"/>
      <c r="K33" s="90"/>
      <c r="L33" s="90"/>
      <c r="M33" s="90"/>
      <c r="N33" s="90"/>
      <c r="O33" s="90"/>
      <c r="P33" s="90">
        <f t="shared" si="5"/>
        <v>3.9409999999999998</v>
      </c>
      <c r="Q33" s="90">
        <f>SUM($B33:E33)</f>
        <v>3.5760000000000001</v>
      </c>
      <c r="R33" s="89"/>
      <c r="AH33" s="90">
        <f t="shared" si="6"/>
        <v>0</v>
      </c>
      <c r="AI33" s="90">
        <f t="shared" si="7"/>
        <v>0</v>
      </c>
      <c r="AJ33" s="89"/>
      <c r="AZ33" s="90">
        <f t="shared" si="8"/>
        <v>0</v>
      </c>
      <c r="BA33" s="90">
        <f t="shared" si="9"/>
        <v>0</v>
      </c>
      <c r="BB33" s="89"/>
      <c r="BC33" s="88" t="s">
        <v>47</v>
      </c>
      <c r="BD33" s="90"/>
      <c r="BE33" s="90"/>
      <c r="BF33" s="90"/>
      <c r="BG33" s="90"/>
      <c r="BH33" s="90"/>
      <c r="BI33" s="90"/>
      <c r="BJ33" s="90"/>
      <c r="BK33" s="90"/>
      <c r="BL33" s="90">
        <v>3</v>
      </c>
      <c r="BM33" s="90">
        <v>1.5</v>
      </c>
      <c r="BN33" s="90"/>
      <c r="BO33" s="90"/>
      <c r="BP33" s="90"/>
      <c r="BQ33" s="90"/>
      <c r="BR33" s="90">
        <f t="shared" si="10"/>
        <v>4.5</v>
      </c>
      <c r="BS33" s="90">
        <f>ROUND(BR33*IFERROR(VLOOKUP($BC33,'3121% SY'!$A$2:$M$324,13,FALSE),0),3)</f>
        <v>1.0609999999999999</v>
      </c>
      <c r="BT33" s="90">
        <f t="shared" si="11"/>
        <v>0</v>
      </c>
      <c r="BU33" s="90">
        <f>ROUND(BT33*IFERROR(VLOOKUP($BC33,'3121% SY'!$A$2:$M$324,13,FALSE),0),3)</f>
        <v>0</v>
      </c>
    </row>
    <row r="34" spans="1:73" x14ac:dyDescent="0.25">
      <c r="A34" s="88" t="s">
        <v>37</v>
      </c>
      <c r="B34" s="90"/>
      <c r="C34" s="90"/>
      <c r="D34" s="90"/>
      <c r="E34" s="90"/>
      <c r="F34" s="90"/>
      <c r="G34" s="90">
        <v>20.745999999999999</v>
      </c>
      <c r="H34" s="90"/>
      <c r="I34" s="90">
        <v>5.6660000000000004</v>
      </c>
      <c r="J34" s="90"/>
      <c r="K34" s="90"/>
      <c r="L34" s="90">
        <v>7.47</v>
      </c>
      <c r="M34" s="90"/>
      <c r="N34" s="90"/>
      <c r="O34" s="90"/>
      <c r="P34" s="90">
        <f t="shared" si="5"/>
        <v>33.881999999999998</v>
      </c>
      <c r="Q34" s="90">
        <f>SUM($B34:E34)</f>
        <v>0</v>
      </c>
      <c r="R34" s="89"/>
      <c r="AH34" s="90">
        <f t="shared" si="6"/>
        <v>0</v>
      </c>
      <c r="AI34" s="90">
        <f t="shared" si="7"/>
        <v>0</v>
      </c>
      <c r="AJ34" s="89"/>
      <c r="AZ34" s="90">
        <f t="shared" si="8"/>
        <v>0</v>
      </c>
      <c r="BA34" s="90">
        <f t="shared" si="9"/>
        <v>0</v>
      </c>
      <c r="BB34" s="89"/>
      <c r="BC34" s="88" t="s">
        <v>48</v>
      </c>
      <c r="BD34" s="90"/>
      <c r="BE34" s="90">
        <v>0.29599999999999999</v>
      </c>
      <c r="BF34" s="90">
        <v>1.9</v>
      </c>
      <c r="BG34" s="90"/>
      <c r="BH34" s="90"/>
      <c r="BI34" s="90"/>
      <c r="BJ34" s="90">
        <v>1</v>
      </c>
      <c r="BK34" s="90"/>
      <c r="BL34" s="90">
        <v>5</v>
      </c>
      <c r="BM34" s="90">
        <v>3</v>
      </c>
      <c r="BN34" s="90"/>
      <c r="BO34" s="90">
        <v>0.58599999999999997</v>
      </c>
      <c r="BP34" s="90"/>
      <c r="BQ34" s="90"/>
      <c r="BR34" s="90">
        <f t="shared" si="10"/>
        <v>9.5860000000000003</v>
      </c>
      <c r="BS34" s="90">
        <f>ROUND(BR34*IFERROR(VLOOKUP($BC34,'3121% SY'!$A$2:$M$324,13,FALSE),0),3)</f>
        <v>2.4689999999999999</v>
      </c>
      <c r="BT34" s="90">
        <f t="shared" si="11"/>
        <v>2.1959999999999997</v>
      </c>
      <c r="BU34" s="90">
        <f>ROUND(BT34*IFERROR(VLOOKUP($BC34,'3121% SY'!$A$2:$M$324,13,FALSE),0),3)</f>
        <v>0.56599999999999995</v>
      </c>
    </row>
    <row r="35" spans="1:73" x14ac:dyDescent="0.25">
      <c r="A35" s="88" t="s">
        <v>38</v>
      </c>
      <c r="B35" s="90"/>
      <c r="C35" s="90">
        <v>3.4119999999999999</v>
      </c>
      <c r="D35" s="90">
        <v>4.8049999999999997</v>
      </c>
      <c r="E35" s="90"/>
      <c r="F35" s="90"/>
      <c r="G35" s="90">
        <v>8.266</v>
      </c>
      <c r="H35" s="90"/>
      <c r="I35" s="90"/>
      <c r="J35" s="90"/>
      <c r="K35" s="90"/>
      <c r="L35" s="90"/>
      <c r="M35" s="90"/>
      <c r="N35" s="90"/>
      <c r="O35" s="90"/>
      <c r="P35" s="90">
        <f t="shared" si="5"/>
        <v>8.266</v>
      </c>
      <c r="Q35" s="90">
        <f>SUM($B35:E35)</f>
        <v>8.2169999999999987</v>
      </c>
      <c r="R35" s="89"/>
      <c r="AH35" s="90">
        <f t="shared" si="6"/>
        <v>0</v>
      </c>
      <c r="AI35" s="90">
        <f t="shared" si="7"/>
        <v>0</v>
      </c>
      <c r="AJ35" s="89"/>
      <c r="AZ35" s="90">
        <f t="shared" si="8"/>
        <v>0</v>
      </c>
      <c r="BA35" s="90">
        <f t="shared" si="9"/>
        <v>0</v>
      </c>
      <c r="BB35" s="89"/>
      <c r="BC35" s="88" t="s">
        <v>52</v>
      </c>
      <c r="BD35" s="90"/>
      <c r="BE35" s="90"/>
      <c r="BF35" s="90"/>
      <c r="BG35" s="90"/>
      <c r="BH35" s="90"/>
      <c r="BI35" s="90"/>
      <c r="BJ35" s="90">
        <v>1.7529999999999999</v>
      </c>
      <c r="BK35" s="90"/>
      <c r="BL35" s="90">
        <v>5</v>
      </c>
      <c r="BM35" s="90">
        <v>4.75</v>
      </c>
      <c r="BN35" s="90">
        <v>0.42799999999999999</v>
      </c>
      <c r="BO35" s="90">
        <v>1.23</v>
      </c>
      <c r="BP35" s="90">
        <v>0.70799999999999996</v>
      </c>
      <c r="BQ35" s="90"/>
      <c r="BR35" s="90">
        <f t="shared" si="10"/>
        <v>13.869000000000002</v>
      </c>
      <c r="BS35" s="90">
        <f>ROUND(BR35*IFERROR(VLOOKUP($BC35,'3121% SY'!$A$2:$M$324,13,FALSE),0),3)</f>
        <v>2.8740000000000001</v>
      </c>
      <c r="BT35" s="90">
        <f t="shared" si="11"/>
        <v>0</v>
      </c>
      <c r="BU35" s="90">
        <f>ROUND(BT35*IFERROR(VLOOKUP($BC35,'3121% SY'!$A$2:$M$324,13,FALSE),0),3)</f>
        <v>0</v>
      </c>
    </row>
    <row r="36" spans="1:73" x14ac:dyDescent="0.25">
      <c r="A36" s="88" t="s">
        <v>39</v>
      </c>
      <c r="B36" s="90"/>
      <c r="C36" s="90">
        <v>12.385999999999999</v>
      </c>
      <c r="D36" s="90">
        <v>5.1669999999999998</v>
      </c>
      <c r="E36" s="90"/>
      <c r="F36" s="90"/>
      <c r="G36" s="90">
        <v>10.5</v>
      </c>
      <c r="H36" s="90"/>
      <c r="I36" s="90"/>
      <c r="J36" s="90"/>
      <c r="K36" s="90">
        <v>1</v>
      </c>
      <c r="L36" s="90">
        <v>2.54</v>
      </c>
      <c r="M36" s="90"/>
      <c r="N36" s="90"/>
      <c r="O36" s="90"/>
      <c r="P36" s="90">
        <f t="shared" si="5"/>
        <v>14.04</v>
      </c>
      <c r="Q36" s="90">
        <f>SUM($B36:E36)</f>
        <v>17.552999999999997</v>
      </c>
      <c r="R36" s="89"/>
      <c r="AH36" s="90">
        <f t="shared" si="6"/>
        <v>0</v>
      </c>
      <c r="AI36" s="90">
        <f t="shared" si="7"/>
        <v>0</v>
      </c>
      <c r="AJ36" s="89"/>
      <c r="AZ36" s="90">
        <f t="shared" si="8"/>
        <v>0</v>
      </c>
      <c r="BA36" s="90">
        <f t="shared" si="9"/>
        <v>0</v>
      </c>
      <c r="BB36" s="89"/>
      <c r="BC36" s="88" t="s">
        <v>60</v>
      </c>
      <c r="BD36" s="90"/>
      <c r="BE36" s="90"/>
      <c r="BF36" s="90"/>
      <c r="BG36" s="90"/>
      <c r="BH36" s="90"/>
      <c r="BI36" s="90"/>
      <c r="BJ36" s="90">
        <v>3</v>
      </c>
      <c r="BK36" s="90"/>
      <c r="BL36" s="90">
        <v>0.79600000000000004</v>
      </c>
      <c r="BM36" s="90"/>
      <c r="BN36" s="90">
        <v>0.75</v>
      </c>
      <c r="BO36" s="90">
        <v>1</v>
      </c>
      <c r="BP36" s="90"/>
      <c r="BQ36" s="90"/>
      <c r="BR36" s="90">
        <f t="shared" si="10"/>
        <v>5.5460000000000003</v>
      </c>
      <c r="BS36" s="90">
        <f>ROUND(BR36*IFERROR(VLOOKUP($BC36,'3121% SY'!$A$2:$M$324,13,FALSE),0),3)</f>
        <v>1.5269999999999999</v>
      </c>
      <c r="BT36" s="90">
        <f t="shared" si="11"/>
        <v>0</v>
      </c>
      <c r="BU36" s="90">
        <f>ROUND(BT36*IFERROR(VLOOKUP($BC36,'3121% SY'!$A$2:$M$324,13,FALSE),0),3)</f>
        <v>0</v>
      </c>
    </row>
    <row r="37" spans="1:73" x14ac:dyDescent="0.25">
      <c r="A37" s="88" t="s">
        <v>40</v>
      </c>
      <c r="B37" s="90"/>
      <c r="C37" s="90">
        <v>1.7589999999999999</v>
      </c>
      <c r="D37" s="90">
        <v>2.4569999999999999</v>
      </c>
      <c r="E37" s="90"/>
      <c r="F37" s="90"/>
      <c r="G37" s="90">
        <v>5.6219999999999999</v>
      </c>
      <c r="H37" s="90"/>
      <c r="I37" s="90"/>
      <c r="J37" s="90"/>
      <c r="K37" s="90"/>
      <c r="L37" s="90"/>
      <c r="M37" s="90"/>
      <c r="N37" s="90"/>
      <c r="O37" s="90"/>
      <c r="P37" s="90">
        <f t="shared" si="5"/>
        <v>5.6219999999999999</v>
      </c>
      <c r="Q37" s="90">
        <f>SUM($B37:E37)</f>
        <v>4.2159999999999993</v>
      </c>
      <c r="R37" s="89"/>
      <c r="AH37" s="90">
        <f t="shared" si="6"/>
        <v>0</v>
      </c>
      <c r="AI37" s="90">
        <f t="shared" si="7"/>
        <v>0</v>
      </c>
      <c r="AJ37" s="89"/>
      <c r="AZ37" s="90">
        <f t="shared" si="8"/>
        <v>0</v>
      </c>
      <c r="BA37" s="90">
        <f t="shared" si="9"/>
        <v>0</v>
      </c>
      <c r="BB37" s="89"/>
      <c r="BC37" s="88" t="s">
        <v>61</v>
      </c>
      <c r="BD37" s="90"/>
      <c r="BE37" s="90"/>
      <c r="BF37" s="90"/>
      <c r="BG37" s="90"/>
      <c r="BH37" s="90"/>
      <c r="BI37" s="90"/>
      <c r="BJ37" s="90"/>
      <c r="BK37" s="90"/>
      <c r="BL37" s="90">
        <v>1.1950000000000001</v>
      </c>
      <c r="BM37" s="90">
        <v>1</v>
      </c>
      <c r="BN37" s="90"/>
      <c r="BO37" s="90"/>
      <c r="BP37" s="90"/>
      <c r="BQ37" s="90"/>
      <c r="BR37" s="90">
        <f t="shared" si="10"/>
        <v>2.1950000000000003</v>
      </c>
      <c r="BS37" s="90">
        <f>ROUND(BR37*IFERROR(VLOOKUP($BC37,'3121% SY'!$A$2:$M$324,13,FALSE),0),3)</f>
        <v>0.54100000000000004</v>
      </c>
      <c r="BT37" s="90">
        <f t="shared" si="11"/>
        <v>0</v>
      </c>
      <c r="BU37" s="90">
        <f>ROUND(BT37*IFERROR(VLOOKUP($BC37,'3121% SY'!$A$2:$M$324,13,FALSE),0),3)</f>
        <v>0</v>
      </c>
    </row>
    <row r="38" spans="1:73" x14ac:dyDescent="0.25">
      <c r="A38" s="88" t="s">
        <v>41</v>
      </c>
      <c r="B38" s="90"/>
      <c r="C38" s="90">
        <v>0.442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>
        <f t="shared" si="5"/>
        <v>0</v>
      </c>
      <c r="Q38" s="90">
        <f>SUM($B38:E38)</f>
        <v>0.442</v>
      </c>
      <c r="R38" s="89"/>
      <c r="AH38" s="90">
        <f t="shared" si="6"/>
        <v>0</v>
      </c>
      <c r="AI38" s="90">
        <f t="shared" si="7"/>
        <v>0</v>
      </c>
      <c r="AJ38" s="89"/>
      <c r="AZ38" s="90">
        <f t="shared" si="8"/>
        <v>0</v>
      </c>
      <c r="BA38" s="90">
        <f t="shared" si="9"/>
        <v>0</v>
      </c>
      <c r="BB38" s="89"/>
      <c r="BC38" s="88" t="s">
        <v>65</v>
      </c>
      <c r="BD38" s="90"/>
      <c r="BE38" s="90"/>
      <c r="BF38" s="90"/>
      <c r="BG38" s="90"/>
      <c r="BH38" s="90"/>
      <c r="BI38" s="90"/>
      <c r="BJ38" s="90"/>
      <c r="BK38" s="90"/>
      <c r="BL38" s="90"/>
      <c r="BM38" s="90">
        <v>2</v>
      </c>
      <c r="BN38" s="90"/>
      <c r="BO38" s="90"/>
      <c r="BP38" s="90"/>
      <c r="BQ38" s="90"/>
      <c r="BR38" s="90">
        <f t="shared" si="10"/>
        <v>2</v>
      </c>
      <c r="BS38" s="90">
        <f>ROUND(BR38*IFERROR(VLOOKUP($BC38,'3121% SY'!$A$2:$M$324,13,FALSE),0),3)</f>
        <v>0.49399999999999999</v>
      </c>
      <c r="BT38" s="90">
        <f t="shared" si="11"/>
        <v>0</v>
      </c>
      <c r="BU38" s="90">
        <f>ROUND(BT38*IFERROR(VLOOKUP($BC38,'3121% SY'!$A$2:$M$324,13,FALSE),0),3)</f>
        <v>0</v>
      </c>
    </row>
    <row r="39" spans="1:73" x14ac:dyDescent="0.25">
      <c r="A39" s="88" t="s">
        <v>43</v>
      </c>
      <c r="B39" s="90"/>
      <c r="C39" s="90">
        <v>8.61</v>
      </c>
      <c r="D39" s="90">
        <v>5.0659999999999998</v>
      </c>
      <c r="E39" s="90"/>
      <c r="F39" s="90"/>
      <c r="G39" s="90">
        <v>11</v>
      </c>
      <c r="H39" s="90"/>
      <c r="I39" s="90"/>
      <c r="J39" s="90"/>
      <c r="K39" s="90">
        <v>3</v>
      </c>
      <c r="L39" s="90">
        <v>1.52</v>
      </c>
      <c r="M39" s="90"/>
      <c r="N39" s="90"/>
      <c r="O39" s="90"/>
      <c r="P39" s="90">
        <f t="shared" si="5"/>
        <v>15.52</v>
      </c>
      <c r="Q39" s="90">
        <f>SUM($B39:E39)</f>
        <v>13.675999999999998</v>
      </c>
      <c r="R39" s="89"/>
      <c r="AH39" s="90">
        <f t="shared" si="6"/>
        <v>0</v>
      </c>
      <c r="AI39" s="90">
        <f t="shared" si="7"/>
        <v>0</v>
      </c>
      <c r="AJ39" s="89"/>
      <c r="AZ39" s="90">
        <f t="shared" si="8"/>
        <v>0</v>
      </c>
      <c r="BA39" s="90">
        <f t="shared" si="9"/>
        <v>0</v>
      </c>
      <c r="BB39" s="89"/>
      <c r="BC39" s="88" t="s">
        <v>67</v>
      </c>
      <c r="BD39" s="90"/>
      <c r="BE39" s="90"/>
      <c r="BF39" s="90">
        <v>0.318</v>
      </c>
      <c r="BG39" s="90"/>
      <c r="BH39" s="90"/>
      <c r="BI39" s="90"/>
      <c r="BJ39" s="90"/>
      <c r="BK39" s="90"/>
      <c r="BL39" s="90">
        <v>0.44</v>
      </c>
      <c r="BM39" s="90">
        <v>0.44</v>
      </c>
      <c r="BN39" s="90"/>
      <c r="BO39" s="90"/>
      <c r="BP39" s="90"/>
      <c r="BQ39" s="90"/>
      <c r="BR39" s="90">
        <f t="shared" si="10"/>
        <v>0.88</v>
      </c>
      <c r="BS39" s="90">
        <f>ROUND(BR39*IFERROR(VLOOKUP($BC39,'3121% SY'!$A$2:$M$324,13,FALSE),0),3)</f>
        <v>0.28699999999999998</v>
      </c>
      <c r="BT39" s="90">
        <f t="shared" si="11"/>
        <v>0.318</v>
      </c>
      <c r="BU39" s="90">
        <f>ROUND(BT39*IFERROR(VLOOKUP($BC39,'3121% SY'!$A$2:$M$324,13,FALSE),0),3)</f>
        <v>0.104</v>
      </c>
    </row>
    <row r="40" spans="1:73" x14ac:dyDescent="0.25">
      <c r="A40" s="88" t="s">
        <v>44</v>
      </c>
      <c r="B40" s="90"/>
      <c r="C40" s="90"/>
      <c r="D40" s="90"/>
      <c r="E40" s="90"/>
      <c r="F40" s="90"/>
      <c r="G40" s="90">
        <v>1</v>
      </c>
      <c r="H40" s="90"/>
      <c r="I40" s="90"/>
      <c r="J40" s="90"/>
      <c r="K40" s="90"/>
      <c r="L40" s="90"/>
      <c r="M40" s="90"/>
      <c r="N40" s="90"/>
      <c r="O40" s="90"/>
      <c r="P40" s="90">
        <f t="shared" si="5"/>
        <v>1</v>
      </c>
      <c r="Q40" s="90">
        <f>SUM($B40:E40)</f>
        <v>0</v>
      </c>
      <c r="R40" s="89"/>
      <c r="AH40" s="90">
        <f t="shared" si="6"/>
        <v>0</v>
      </c>
      <c r="AI40" s="90">
        <f t="shared" si="7"/>
        <v>0</v>
      </c>
      <c r="AJ40" s="89"/>
      <c r="AZ40" s="90">
        <f t="shared" si="8"/>
        <v>0</v>
      </c>
      <c r="BA40" s="90">
        <f t="shared" si="9"/>
        <v>0</v>
      </c>
      <c r="BB40" s="89"/>
      <c r="BC40" s="88" t="s">
        <v>70</v>
      </c>
      <c r="BD40" s="90"/>
      <c r="BE40" s="90"/>
      <c r="BF40" s="90"/>
      <c r="BG40" s="90"/>
      <c r="BH40" s="90"/>
      <c r="BI40" s="90"/>
      <c r="BJ40" s="90"/>
      <c r="BK40" s="90"/>
      <c r="BL40" s="90"/>
      <c r="BM40" s="90">
        <v>1.0780000000000001</v>
      </c>
      <c r="BN40" s="90"/>
      <c r="BO40" s="90"/>
      <c r="BP40" s="90"/>
      <c r="BQ40" s="90"/>
      <c r="BR40" s="90">
        <f t="shared" si="10"/>
        <v>1.0780000000000001</v>
      </c>
      <c r="BS40" s="90">
        <f>ROUND(BR40*IFERROR(VLOOKUP($BC40,'3121% SY'!$A$2:$M$324,13,FALSE),0),3)</f>
        <v>0.219</v>
      </c>
      <c r="BT40" s="90">
        <f t="shared" si="11"/>
        <v>0</v>
      </c>
      <c r="BU40" s="90">
        <f>ROUND(BT40*IFERROR(VLOOKUP($BC40,'3121% SY'!$A$2:$M$324,13,FALSE),0),3)</f>
        <v>0</v>
      </c>
    </row>
    <row r="41" spans="1:73" x14ac:dyDescent="0.25">
      <c r="A41" s="88" t="s">
        <v>45</v>
      </c>
      <c r="B41" s="90"/>
      <c r="C41" s="90"/>
      <c r="D41" s="90">
        <v>0.95299999999999996</v>
      </c>
      <c r="E41" s="90"/>
      <c r="F41" s="90"/>
      <c r="G41" s="90">
        <v>1</v>
      </c>
      <c r="H41" s="90"/>
      <c r="I41" s="90"/>
      <c r="J41" s="90"/>
      <c r="K41" s="90"/>
      <c r="L41" s="90"/>
      <c r="M41" s="90"/>
      <c r="N41" s="90"/>
      <c r="O41" s="90"/>
      <c r="P41" s="90">
        <f t="shared" si="5"/>
        <v>1</v>
      </c>
      <c r="Q41" s="90">
        <f>SUM($B41:E41)</f>
        <v>0.95299999999999996</v>
      </c>
      <c r="R41" s="89"/>
      <c r="AH41" s="90">
        <f t="shared" si="6"/>
        <v>0</v>
      </c>
      <c r="AI41" s="90">
        <f t="shared" si="7"/>
        <v>0</v>
      </c>
      <c r="AJ41" s="89"/>
      <c r="AZ41" s="90">
        <f t="shared" si="8"/>
        <v>0</v>
      </c>
      <c r="BA41" s="90">
        <f t="shared" si="9"/>
        <v>0</v>
      </c>
      <c r="BB41" s="89"/>
      <c r="BC41" s="88" t="s">
        <v>71</v>
      </c>
      <c r="BD41" s="90"/>
      <c r="BE41" s="90"/>
      <c r="BF41" s="90"/>
      <c r="BG41" s="90"/>
      <c r="BH41" s="90"/>
      <c r="BI41" s="90"/>
      <c r="BJ41" s="90">
        <v>4</v>
      </c>
      <c r="BK41" s="90"/>
      <c r="BL41" s="90">
        <v>11.5</v>
      </c>
      <c r="BM41" s="90">
        <v>6.4180000000000001</v>
      </c>
      <c r="BN41" s="90">
        <v>3.5</v>
      </c>
      <c r="BO41" s="90">
        <v>2</v>
      </c>
      <c r="BP41" s="90">
        <v>0.46</v>
      </c>
      <c r="BQ41" s="90"/>
      <c r="BR41" s="90">
        <f t="shared" si="10"/>
        <v>27.878</v>
      </c>
      <c r="BS41" s="90">
        <f>ROUND(BR41*IFERROR(VLOOKUP($BC41,'3121% SY'!$A$2:$M$324,13,FALSE),0),3)</f>
        <v>6.9859999999999998</v>
      </c>
      <c r="BT41" s="90">
        <f t="shared" si="11"/>
        <v>0</v>
      </c>
      <c r="BU41" s="90">
        <f>ROUND(BT41*IFERROR(VLOOKUP($BC41,'3121% SY'!$A$2:$M$324,13,FALSE),0),3)</f>
        <v>0</v>
      </c>
    </row>
    <row r="42" spans="1:73" x14ac:dyDescent="0.25">
      <c r="A42" s="88" t="s">
        <v>46</v>
      </c>
      <c r="B42" s="90"/>
      <c r="C42" s="90">
        <v>1.294</v>
      </c>
      <c r="D42" s="90">
        <v>0.67</v>
      </c>
      <c r="E42" s="90"/>
      <c r="F42" s="90"/>
      <c r="G42" s="90">
        <v>1.081</v>
      </c>
      <c r="H42" s="90"/>
      <c r="I42" s="90"/>
      <c r="J42" s="90"/>
      <c r="K42" s="90"/>
      <c r="L42" s="90"/>
      <c r="M42" s="90"/>
      <c r="N42" s="90"/>
      <c r="O42" s="90"/>
      <c r="P42" s="90">
        <f t="shared" si="5"/>
        <v>1.081</v>
      </c>
      <c r="Q42" s="90">
        <f>SUM($B42:E42)</f>
        <v>1.964</v>
      </c>
      <c r="R42" s="89"/>
      <c r="AH42" s="90">
        <f t="shared" si="6"/>
        <v>0</v>
      </c>
      <c r="AI42" s="90">
        <f t="shared" si="7"/>
        <v>0</v>
      </c>
      <c r="AJ42" s="89"/>
      <c r="AZ42" s="90">
        <f t="shared" si="8"/>
        <v>0</v>
      </c>
      <c r="BA42" s="90">
        <f t="shared" si="9"/>
        <v>0</v>
      </c>
      <c r="BB42" s="89"/>
      <c r="BC42" s="88" t="s">
        <v>72</v>
      </c>
      <c r="BD42" s="90"/>
      <c r="BE42" s="90"/>
      <c r="BF42" s="90"/>
      <c r="BG42" s="90"/>
      <c r="BH42" s="90"/>
      <c r="BI42" s="90"/>
      <c r="BJ42" s="90"/>
      <c r="BK42" s="90"/>
      <c r="BL42" s="90">
        <v>1.5249999999999999</v>
      </c>
      <c r="BM42" s="90">
        <v>1.3340000000000001</v>
      </c>
      <c r="BN42" s="90"/>
      <c r="BO42" s="90"/>
      <c r="BP42" s="90"/>
      <c r="BQ42" s="90"/>
      <c r="BR42" s="90">
        <f t="shared" si="10"/>
        <v>2.859</v>
      </c>
      <c r="BS42" s="90">
        <f>ROUND(BR42*IFERROR(VLOOKUP($BC42,'3121% SY'!$A$2:$M$324,13,FALSE),0),3)</f>
        <v>0.67900000000000005</v>
      </c>
      <c r="BT42" s="90">
        <f t="shared" si="11"/>
        <v>0</v>
      </c>
      <c r="BU42" s="90">
        <f>ROUND(BT42*IFERROR(VLOOKUP($BC42,'3121% SY'!$A$2:$M$324,13,FALSE),0),3)</f>
        <v>0</v>
      </c>
    </row>
    <row r="43" spans="1:73" x14ac:dyDescent="0.25">
      <c r="A43" s="88" t="s">
        <v>47</v>
      </c>
      <c r="B43" s="90">
        <v>0.78500000000000003</v>
      </c>
      <c r="C43" s="90"/>
      <c r="D43" s="90">
        <v>0.45600000000000002</v>
      </c>
      <c r="E43" s="90"/>
      <c r="F43" s="90"/>
      <c r="G43" s="90">
        <v>1.5</v>
      </c>
      <c r="H43" s="90"/>
      <c r="I43" s="90"/>
      <c r="J43" s="90"/>
      <c r="K43" s="90">
        <v>0.5</v>
      </c>
      <c r="L43" s="90">
        <v>0.5</v>
      </c>
      <c r="M43" s="90"/>
      <c r="N43" s="90"/>
      <c r="O43" s="90"/>
      <c r="P43" s="90">
        <f t="shared" si="5"/>
        <v>2.5</v>
      </c>
      <c r="Q43" s="90">
        <f>SUM($B43:E43)</f>
        <v>1.2410000000000001</v>
      </c>
      <c r="R43" s="89"/>
      <c r="AH43" s="90">
        <f t="shared" si="6"/>
        <v>0</v>
      </c>
      <c r="AI43" s="90">
        <f t="shared" si="7"/>
        <v>0</v>
      </c>
      <c r="AJ43" s="89"/>
      <c r="AZ43" s="90">
        <f t="shared" si="8"/>
        <v>0</v>
      </c>
      <c r="BA43" s="90">
        <f t="shared" si="9"/>
        <v>0</v>
      </c>
      <c r="BB43" s="89"/>
      <c r="BC43" s="88" t="s">
        <v>75</v>
      </c>
      <c r="BD43" s="90"/>
      <c r="BE43" s="90"/>
      <c r="BF43" s="90"/>
      <c r="BG43" s="90"/>
      <c r="BH43" s="90"/>
      <c r="BI43" s="90"/>
      <c r="BJ43" s="90"/>
      <c r="BK43" s="90"/>
      <c r="BL43" s="90">
        <v>0.436</v>
      </c>
      <c r="BM43" s="90"/>
      <c r="BN43" s="90"/>
      <c r="BO43" s="90"/>
      <c r="BP43" s="90"/>
      <c r="BQ43" s="90">
        <v>12</v>
      </c>
      <c r="BR43" s="90">
        <f t="shared" si="10"/>
        <v>12.436</v>
      </c>
      <c r="BS43" s="90">
        <f>ROUND(BR43*IFERROR(VLOOKUP($BC43,'3121% SY'!$A$2:$M$324,13,FALSE),0),3)</f>
        <v>3.3420000000000001</v>
      </c>
      <c r="BT43" s="90">
        <f t="shared" si="11"/>
        <v>0</v>
      </c>
      <c r="BU43" s="90">
        <f>ROUND(BT43*IFERROR(VLOOKUP($BC43,'3121% SY'!$A$2:$M$324,13,FALSE),0),3)</f>
        <v>0</v>
      </c>
    </row>
    <row r="44" spans="1:73" x14ac:dyDescent="0.25">
      <c r="A44" s="88" t="s">
        <v>48</v>
      </c>
      <c r="B44" s="90"/>
      <c r="C44" s="90">
        <v>3.9239999999999999</v>
      </c>
      <c r="D44" s="90">
        <v>4.6740000000000004</v>
      </c>
      <c r="E44" s="90"/>
      <c r="F44" s="90"/>
      <c r="G44" s="90">
        <v>5.9029999999999996</v>
      </c>
      <c r="H44" s="90"/>
      <c r="I44" s="90"/>
      <c r="J44" s="90"/>
      <c r="K44" s="90"/>
      <c r="L44" s="90">
        <v>2</v>
      </c>
      <c r="M44" s="90"/>
      <c r="N44" s="90"/>
      <c r="O44" s="90"/>
      <c r="P44" s="90">
        <f t="shared" si="5"/>
        <v>7.9029999999999996</v>
      </c>
      <c r="Q44" s="90">
        <f>SUM($B44:E44)</f>
        <v>8.5980000000000008</v>
      </c>
      <c r="R44" s="89"/>
      <c r="AH44" s="90">
        <f t="shared" si="6"/>
        <v>0</v>
      </c>
      <c r="AI44" s="90">
        <f t="shared" si="7"/>
        <v>0</v>
      </c>
      <c r="AJ44" s="89"/>
      <c r="AZ44" s="90">
        <f t="shared" si="8"/>
        <v>0</v>
      </c>
      <c r="BA44" s="90">
        <f t="shared" si="9"/>
        <v>0</v>
      </c>
      <c r="BB44" s="89"/>
      <c r="BC44" s="88" t="s">
        <v>76</v>
      </c>
      <c r="BD44" s="90"/>
      <c r="BE44" s="90"/>
      <c r="BF44" s="90"/>
      <c r="BG44" s="90"/>
      <c r="BH44" s="90"/>
      <c r="BI44" s="90"/>
      <c r="BJ44" s="90"/>
      <c r="BK44" s="90"/>
      <c r="BL44" s="90"/>
      <c r="BM44" s="90">
        <v>1</v>
      </c>
      <c r="BN44" s="90"/>
      <c r="BO44" s="90"/>
      <c r="BP44" s="90"/>
      <c r="BQ44" s="90">
        <v>5.5389999999999997</v>
      </c>
      <c r="BR44" s="90">
        <f t="shared" si="10"/>
        <v>6.5389999999999997</v>
      </c>
      <c r="BS44" s="90">
        <f>ROUND(BR44*IFERROR(VLOOKUP($BC44,'3121% SY'!$A$2:$M$324,13,FALSE),0),3)</f>
        <v>1.31</v>
      </c>
      <c r="BT44" s="90">
        <f t="shared" si="11"/>
        <v>0</v>
      </c>
      <c r="BU44" s="90">
        <f>ROUND(BT44*IFERROR(VLOOKUP($BC44,'3121% SY'!$A$2:$M$324,13,FALSE),0),3)</f>
        <v>0</v>
      </c>
    </row>
    <row r="45" spans="1:73" x14ac:dyDescent="0.25">
      <c r="A45" s="88" t="s">
        <v>49</v>
      </c>
      <c r="B45" s="90"/>
      <c r="C45" s="90"/>
      <c r="D45" s="90">
        <v>0.107</v>
      </c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>
        <f t="shared" si="5"/>
        <v>0</v>
      </c>
      <c r="Q45" s="90">
        <f>SUM($B45:E45)</f>
        <v>0.107</v>
      </c>
      <c r="R45" s="89"/>
      <c r="AH45" s="90">
        <f t="shared" si="6"/>
        <v>0</v>
      </c>
      <c r="AI45" s="90">
        <f t="shared" si="7"/>
        <v>0</v>
      </c>
      <c r="AJ45" s="89"/>
      <c r="AZ45" s="90">
        <f t="shared" si="8"/>
        <v>0</v>
      </c>
      <c r="BA45" s="90">
        <f t="shared" si="9"/>
        <v>0</v>
      </c>
      <c r="BB45" s="89"/>
      <c r="BC45" s="88" t="s">
        <v>77</v>
      </c>
      <c r="BD45" s="90"/>
      <c r="BE45" s="90"/>
      <c r="BF45" s="90"/>
      <c r="BG45" s="90"/>
      <c r="BH45" s="90"/>
      <c r="BI45" s="90"/>
      <c r="BJ45" s="90"/>
      <c r="BK45" s="90"/>
      <c r="BL45" s="90">
        <v>0.5</v>
      </c>
      <c r="BM45" s="90"/>
      <c r="BN45" s="90"/>
      <c r="BO45" s="90"/>
      <c r="BP45" s="90"/>
      <c r="BQ45" s="90"/>
      <c r="BR45" s="90">
        <f t="shared" si="10"/>
        <v>0.5</v>
      </c>
      <c r="BS45" s="90">
        <f>ROUND(BR45*IFERROR(VLOOKUP($BC45,'3121% SY'!$A$2:$M$324,13,FALSE),0),3)</f>
        <v>0.10299999999999999</v>
      </c>
      <c r="BT45" s="90">
        <f t="shared" si="11"/>
        <v>0</v>
      </c>
      <c r="BU45" s="90">
        <f>ROUND(BT45*IFERROR(VLOOKUP($BC45,'3121% SY'!$A$2:$M$324,13,FALSE),0),3)</f>
        <v>0</v>
      </c>
    </row>
    <row r="46" spans="1:73" x14ac:dyDescent="0.25">
      <c r="A46" s="88" t="s">
        <v>52</v>
      </c>
      <c r="B46" s="90"/>
      <c r="C46" s="90"/>
      <c r="D46" s="90"/>
      <c r="E46" s="90"/>
      <c r="F46" s="90"/>
      <c r="G46" s="90">
        <v>6</v>
      </c>
      <c r="H46" s="90"/>
      <c r="I46" s="90"/>
      <c r="J46" s="90"/>
      <c r="K46" s="90">
        <v>1.25</v>
      </c>
      <c r="L46" s="90">
        <v>2.84</v>
      </c>
      <c r="M46" s="90"/>
      <c r="N46" s="90"/>
      <c r="O46" s="90"/>
      <c r="P46" s="90">
        <f t="shared" si="5"/>
        <v>10.09</v>
      </c>
      <c r="Q46" s="90">
        <f>SUM($B46:E46)</f>
        <v>0</v>
      </c>
      <c r="R46" s="89"/>
      <c r="AH46" s="90">
        <f t="shared" si="6"/>
        <v>0</v>
      </c>
      <c r="AI46" s="90">
        <f t="shared" si="7"/>
        <v>0</v>
      </c>
      <c r="AJ46" s="89"/>
      <c r="AZ46" s="90">
        <f t="shared" si="8"/>
        <v>0</v>
      </c>
      <c r="BA46" s="90">
        <f t="shared" si="9"/>
        <v>0</v>
      </c>
      <c r="BB46" s="89"/>
      <c r="BC46" s="88" t="s">
        <v>79</v>
      </c>
      <c r="BD46" s="90"/>
      <c r="BE46" s="90"/>
      <c r="BF46" s="90"/>
      <c r="BG46" s="90"/>
      <c r="BH46" s="90"/>
      <c r="BI46" s="90"/>
      <c r="BJ46" s="90"/>
      <c r="BK46" s="90"/>
      <c r="BL46" s="90">
        <v>1</v>
      </c>
      <c r="BM46" s="90">
        <v>1</v>
      </c>
      <c r="BN46" s="90"/>
      <c r="BO46" s="90">
        <v>1</v>
      </c>
      <c r="BP46" s="90"/>
      <c r="BQ46" s="90"/>
      <c r="BR46" s="90">
        <f t="shared" si="10"/>
        <v>3</v>
      </c>
      <c r="BS46" s="90">
        <f>ROUND(BR46*IFERROR(VLOOKUP($BC46,'3121% SY'!$A$2:$M$324,13,FALSE),0),3)</f>
        <v>0.70199999999999996</v>
      </c>
      <c r="BT46" s="90">
        <f t="shared" si="11"/>
        <v>0</v>
      </c>
      <c r="BU46" s="90">
        <f>ROUND(BT46*IFERROR(VLOOKUP($BC46,'3121% SY'!$A$2:$M$324,13,FALSE),0),3)</f>
        <v>0</v>
      </c>
    </row>
    <row r="47" spans="1:73" x14ac:dyDescent="0.25">
      <c r="A47" s="88" t="s">
        <v>53</v>
      </c>
      <c r="B47" s="90"/>
      <c r="C47" s="90">
        <v>0.13300000000000001</v>
      </c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>
        <f t="shared" si="5"/>
        <v>0</v>
      </c>
      <c r="Q47" s="90">
        <f>SUM($B47:E47)</f>
        <v>0.13300000000000001</v>
      </c>
      <c r="R47" s="89"/>
      <c r="AH47" s="90">
        <f t="shared" si="6"/>
        <v>0</v>
      </c>
      <c r="AI47" s="90">
        <f t="shared" si="7"/>
        <v>0</v>
      </c>
      <c r="AJ47" s="89"/>
      <c r="AZ47" s="90">
        <f t="shared" si="8"/>
        <v>0</v>
      </c>
      <c r="BA47" s="90">
        <f t="shared" si="9"/>
        <v>0</v>
      </c>
      <c r="BB47" s="89"/>
      <c r="BC47" s="88" t="s">
        <v>80</v>
      </c>
      <c r="BD47" s="90"/>
      <c r="BE47" s="90"/>
      <c r="BF47" s="90"/>
      <c r="BG47" s="90"/>
      <c r="BH47" s="90"/>
      <c r="BI47" s="90"/>
      <c r="BJ47" s="90"/>
      <c r="BK47" s="90"/>
      <c r="BL47" s="90">
        <v>0.75</v>
      </c>
      <c r="BM47" s="90">
        <v>0.33</v>
      </c>
      <c r="BN47" s="90"/>
      <c r="BO47" s="90"/>
      <c r="BP47" s="90"/>
      <c r="BQ47" s="90"/>
      <c r="BR47" s="90">
        <f t="shared" si="10"/>
        <v>1.08</v>
      </c>
      <c r="BS47" s="90">
        <f>ROUND(BR47*IFERROR(VLOOKUP($BC47,'3121% SY'!$A$2:$M$324,13,FALSE),0),3)</f>
        <v>0.27700000000000002</v>
      </c>
      <c r="BT47" s="90">
        <f t="shared" si="11"/>
        <v>0</v>
      </c>
      <c r="BU47" s="90">
        <f>ROUND(BT47*IFERROR(VLOOKUP($BC47,'3121% SY'!$A$2:$M$324,13,FALSE),0),3)</f>
        <v>0</v>
      </c>
    </row>
    <row r="48" spans="1:73" x14ac:dyDescent="0.25">
      <c r="A48" s="88" t="s">
        <v>57</v>
      </c>
      <c r="B48" s="90"/>
      <c r="C48" s="90"/>
      <c r="D48" s="90">
        <v>0.11899999999999999</v>
      </c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>
        <f t="shared" si="5"/>
        <v>0</v>
      </c>
      <c r="Q48" s="90">
        <f>SUM($B48:E48)</f>
        <v>0.11899999999999999</v>
      </c>
      <c r="R48" s="89"/>
      <c r="AH48" s="90">
        <f t="shared" si="6"/>
        <v>0</v>
      </c>
      <c r="AI48" s="90">
        <f t="shared" si="7"/>
        <v>0</v>
      </c>
      <c r="AJ48" s="89"/>
      <c r="AZ48" s="90">
        <f t="shared" si="8"/>
        <v>0</v>
      </c>
      <c r="BA48" s="90">
        <f t="shared" si="9"/>
        <v>0</v>
      </c>
      <c r="BB48" s="89"/>
      <c r="BC48" s="88" t="s">
        <v>81</v>
      </c>
      <c r="BD48" s="90"/>
      <c r="BE48" s="90"/>
      <c r="BF48" s="90">
        <v>0.222</v>
      </c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>
        <f t="shared" si="10"/>
        <v>0</v>
      </c>
      <c r="BS48" s="90">
        <f>ROUND(BR48*IFERROR(VLOOKUP($BC48,'3121% SY'!$A$2:$M$324,13,FALSE),0),3)</f>
        <v>0</v>
      </c>
      <c r="BT48" s="90">
        <f t="shared" si="11"/>
        <v>0.222</v>
      </c>
      <c r="BU48" s="90">
        <f>ROUND(BT48*IFERROR(VLOOKUP($BC48,'3121% SY'!$A$2:$M$324,13,FALSE),0),3)</f>
        <v>2.5000000000000001E-2</v>
      </c>
    </row>
    <row r="49" spans="1:73" x14ac:dyDescent="0.25">
      <c r="A49" s="88" t="s">
        <v>58</v>
      </c>
      <c r="B49" s="90"/>
      <c r="C49" s="90"/>
      <c r="D49" s="90"/>
      <c r="E49" s="90"/>
      <c r="F49" s="90"/>
      <c r="G49" s="90">
        <v>0.3</v>
      </c>
      <c r="H49" s="90"/>
      <c r="I49" s="90"/>
      <c r="J49" s="90"/>
      <c r="K49" s="90"/>
      <c r="L49" s="90"/>
      <c r="M49" s="90"/>
      <c r="N49" s="90"/>
      <c r="O49" s="90"/>
      <c r="P49" s="90">
        <f t="shared" si="5"/>
        <v>0.3</v>
      </c>
      <c r="Q49" s="90">
        <f>SUM($B49:E49)</f>
        <v>0</v>
      </c>
      <c r="R49" s="89"/>
      <c r="AH49" s="90">
        <f t="shared" si="6"/>
        <v>0</v>
      </c>
      <c r="AI49" s="90">
        <f t="shared" si="7"/>
        <v>0</v>
      </c>
      <c r="AJ49" s="89"/>
      <c r="AZ49" s="90">
        <f t="shared" si="8"/>
        <v>0</v>
      </c>
      <c r="BA49" s="90">
        <f t="shared" si="9"/>
        <v>0</v>
      </c>
      <c r="BB49" s="89"/>
      <c r="BC49" s="88" t="s">
        <v>83</v>
      </c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>
        <v>0.20599999999999999</v>
      </c>
      <c r="BR49" s="90">
        <f t="shared" si="10"/>
        <v>0.20599999999999999</v>
      </c>
      <c r="BS49" s="90">
        <f>ROUND(BR49*IFERROR(VLOOKUP($BC49,'3121% SY'!$A$2:$M$324,13,FALSE),0),3)</f>
        <v>5.5E-2</v>
      </c>
      <c r="BT49" s="90">
        <f t="shared" si="11"/>
        <v>0</v>
      </c>
      <c r="BU49" s="90">
        <f>ROUND(BT49*IFERROR(VLOOKUP($BC49,'3121% SY'!$A$2:$M$324,13,FALSE),0),3)</f>
        <v>0</v>
      </c>
    </row>
    <row r="50" spans="1:73" x14ac:dyDescent="0.25">
      <c r="A50" s="88" t="s">
        <v>60</v>
      </c>
      <c r="B50" s="90"/>
      <c r="C50" s="90"/>
      <c r="D50" s="90"/>
      <c r="E50" s="90"/>
      <c r="F50" s="90"/>
      <c r="G50" s="90">
        <v>16</v>
      </c>
      <c r="H50" s="90">
        <v>1.2</v>
      </c>
      <c r="I50" s="90"/>
      <c r="J50" s="90"/>
      <c r="K50" s="90"/>
      <c r="L50" s="90">
        <v>19.305</v>
      </c>
      <c r="M50" s="90"/>
      <c r="N50" s="90"/>
      <c r="O50" s="90"/>
      <c r="P50" s="90">
        <f t="shared" si="5"/>
        <v>36.504999999999995</v>
      </c>
      <c r="Q50" s="90">
        <f>SUM($B50:E50)</f>
        <v>0</v>
      </c>
      <c r="R50" s="89"/>
      <c r="AH50" s="90">
        <f t="shared" si="6"/>
        <v>0</v>
      </c>
      <c r="AI50" s="90">
        <f t="shared" si="7"/>
        <v>0</v>
      </c>
      <c r="AJ50" s="89"/>
      <c r="AZ50" s="90">
        <f t="shared" si="8"/>
        <v>0</v>
      </c>
      <c r="BA50" s="90">
        <f t="shared" si="9"/>
        <v>0</v>
      </c>
      <c r="BB50" s="89"/>
      <c r="BC50" s="88" t="s">
        <v>87</v>
      </c>
      <c r="BD50" s="90"/>
      <c r="BE50" s="90"/>
      <c r="BF50" s="90"/>
      <c r="BG50" s="90"/>
      <c r="BH50" s="90"/>
      <c r="BI50" s="90"/>
      <c r="BJ50" s="90">
        <v>0.65</v>
      </c>
      <c r="BK50" s="90"/>
      <c r="BL50" s="90">
        <v>0.52</v>
      </c>
      <c r="BM50" s="90">
        <v>0.32500000000000001</v>
      </c>
      <c r="BN50" s="90"/>
      <c r="BO50" s="90"/>
      <c r="BP50" s="90"/>
      <c r="BQ50" s="90"/>
      <c r="BR50" s="90">
        <f t="shared" si="10"/>
        <v>1.4949999999999999</v>
      </c>
      <c r="BS50" s="90">
        <f>ROUND(BR50*IFERROR(VLOOKUP($BC50,'3121% SY'!$A$2:$M$324,13,FALSE),0),3)</f>
        <v>0.27400000000000002</v>
      </c>
      <c r="BT50" s="90">
        <f t="shared" si="11"/>
        <v>0</v>
      </c>
      <c r="BU50" s="90">
        <f>ROUND(BT50*IFERROR(VLOOKUP($BC50,'3121% SY'!$A$2:$M$324,13,FALSE),0),3)</f>
        <v>0</v>
      </c>
    </row>
    <row r="51" spans="1:73" x14ac:dyDescent="0.25">
      <c r="A51" s="88" t="s">
        <v>61</v>
      </c>
      <c r="B51" s="90"/>
      <c r="C51" s="90"/>
      <c r="D51" s="90"/>
      <c r="E51" s="90"/>
      <c r="F51" s="90"/>
      <c r="G51" s="90">
        <v>2</v>
      </c>
      <c r="H51" s="90"/>
      <c r="I51" s="90"/>
      <c r="J51" s="90"/>
      <c r="K51" s="90"/>
      <c r="L51" s="90"/>
      <c r="M51" s="90"/>
      <c r="N51" s="90"/>
      <c r="O51" s="90"/>
      <c r="P51" s="90">
        <f t="shared" si="5"/>
        <v>2</v>
      </c>
      <c r="Q51" s="90">
        <f>SUM($B51:E51)</f>
        <v>0</v>
      </c>
      <c r="R51" s="89"/>
      <c r="AH51" s="90">
        <f t="shared" si="6"/>
        <v>0</v>
      </c>
      <c r="AI51" s="90">
        <f t="shared" si="7"/>
        <v>0</v>
      </c>
      <c r="AJ51" s="89"/>
      <c r="AZ51" s="90">
        <f t="shared" si="8"/>
        <v>0</v>
      </c>
      <c r="BA51" s="90">
        <f t="shared" si="9"/>
        <v>0</v>
      </c>
      <c r="BB51" s="89"/>
      <c r="BC51" s="88" t="s">
        <v>88</v>
      </c>
      <c r="BD51" s="90"/>
      <c r="BE51" s="90"/>
      <c r="BF51" s="90">
        <v>0.72899999999999998</v>
      </c>
      <c r="BG51" s="90"/>
      <c r="BH51" s="90"/>
      <c r="BI51" s="90"/>
      <c r="BJ51" s="90">
        <v>1.6619999999999999</v>
      </c>
      <c r="BK51" s="90"/>
      <c r="BL51" s="90">
        <v>7.7640000000000002</v>
      </c>
      <c r="BM51" s="90">
        <v>2.2080000000000002</v>
      </c>
      <c r="BN51" s="90"/>
      <c r="BO51" s="90">
        <v>0.80800000000000005</v>
      </c>
      <c r="BP51" s="90"/>
      <c r="BQ51" s="90"/>
      <c r="BR51" s="90">
        <f t="shared" si="10"/>
        <v>12.442</v>
      </c>
      <c r="BS51" s="90">
        <f>ROUND(BR51*IFERROR(VLOOKUP($BC51,'3121% SY'!$A$2:$M$324,13,FALSE),0),3)</f>
        <v>3.5430000000000001</v>
      </c>
      <c r="BT51" s="90">
        <f t="shared" si="11"/>
        <v>0.72899999999999998</v>
      </c>
      <c r="BU51" s="90">
        <f>ROUND(BT51*IFERROR(VLOOKUP($BC51,'3121% SY'!$A$2:$M$324,13,FALSE),0),3)</f>
        <v>0.20799999999999999</v>
      </c>
    </row>
    <row r="52" spans="1:73" x14ac:dyDescent="0.25">
      <c r="A52" s="88" t="s">
        <v>63</v>
      </c>
      <c r="B52" s="90"/>
      <c r="C52" s="90"/>
      <c r="D52" s="90"/>
      <c r="E52" s="90"/>
      <c r="F52" s="90"/>
      <c r="G52" s="90">
        <v>1</v>
      </c>
      <c r="H52" s="90"/>
      <c r="I52" s="90"/>
      <c r="J52" s="90"/>
      <c r="K52" s="90"/>
      <c r="L52" s="90"/>
      <c r="M52" s="90"/>
      <c r="N52" s="90"/>
      <c r="O52" s="90"/>
      <c r="P52" s="90">
        <f t="shared" si="5"/>
        <v>1</v>
      </c>
      <c r="Q52" s="90">
        <f>SUM($B52:E52)</f>
        <v>0</v>
      </c>
      <c r="R52" s="89"/>
      <c r="AH52" s="90">
        <f t="shared" si="6"/>
        <v>0</v>
      </c>
      <c r="AI52" s="90">
        <f t="shared" si="7"/>
        <v>0</v>
      </c>
      <c r="AJ52" s="89"/>
      <c r="AZ52" s="90">
        <f t="shared" si="8"/>
        <v>0</v>
      </c>
      <c r="BA52" s="90">
        <f t="shared" si="9"/>
        <v>0</v>
      </c>
      <c r="BB52" s="89"/>
      <c r="BC52" s="88" t="s">
        <v>89</v>
      </c>
      <c r="BD52" s="90"/>
      <c r="BE52" s="90"/>
      <c r="BF52" s="90"/>
      <c r="BG52" s="90"/>
      <c r="BH52" s="90"/>
      <c r="BI52" s="90"/>
      <c r="BJ52" s="90"/>
      <c r="BK52" s="90"/>
      <c r="BL52" s="90">
        <v>0.52</v>
      </c>
      <c r="BM52" s="90"/>
      <c r="BN52" s="90"/>
      <c r="BO52" s="90"/>
      <c r="BP52" s="90"/>
      <c r="BQ52" s="90"/>
      <c r="BR52" s="90">
        <f t="shared" si="10"/>
        <v>0.52</v>
      </c>
      <c r="BS52" s="90">
        <f>ROUND(BR52*IFERROR(VLOOKUP($BC52,'3121% SY'!$A$2:$M$324,13,FALSE),0),3)</f>
        <v>0.115</v>
      </c>
      <c r="BT52" s="90">
        <f t="shared" si="11"/>
        <v>0</v>
      </c>
      <c r="BU52" s="90">
        <f>ROUND(BT52*IFERROR(VLOOKUP($BC52,'3121% SY'!$A$2:$M$324,13,FALSE),0),3)</f>
        <v>0</v>
      </c>
    </row>
    <row r="53" spans="1:73" x14ac:dyDescent="0.25">
      <c r="A53" s="88" t="s">
        <v>64</v>
      </c>
      <c r="B53" s="90"/>
      <c r="C53" s="90"/>
      <c r="D53" s="90"/>
      <c r="E53" s="90"/>
      <c r="F53" s="90"/>
      <c r="G53" s="90">
        <v>0.61699999999999999</v>
      </c>
      <c r="H53" s="90"/>
      <c r="I53" s="90"/>
      <c r="J53" s="90"/>
      <c r="K53" s="90"/>
      <c r="L53" s="90"/>
      <c r="M53" s="90"/>
      <c r="N53" s="90"/>
      <c r="O53" s="90"/>
      <c r="P53" s="90">
        <f t="shared" si="5"/>
        <v>0.61699999999999999</v>
      </c>
      <c r="Q53" s="90">
        <f>SUM($B53:E53)</f>
        <v>0</v>
      </c>
      <c r="R53" s="89"/>
      <c r="AH53" s="90">
        <f t="shared" si="6"/>
        <v>0</v>
      </c>
      <c r="AI53" s="90">
        <f t="shared" si="7"/>
        <v>0</v>
      </c>
      <c r="AJ53" s="89"/>
      <c r="AZ53" s="90">
        <f t="shared" si="8"/>
        <v>0</v>
      </c>
      <c r="BA53" s="90">
        <f t="shared" si="9"/>
        <v>0</v>
      </c>
      <c r="BB53" s="89"/>
      <c r="BC53" s="88" t="s">
        <v>90</v>
      </c>
      <c r="BD53" s="90"/>
      <c r="BE53" s="90"/>
      <c r="BF53" s="90"/>
      <c r="BG53" s="90"/>
      <c r="BH53" s="90"/>
      <c r="BI53" s="90"/>
      <c r="BJ53" s="90">
        <v>0.8</v>
      </c>
      <c r="BK53" s="90"/>
      <c r="BL53" s="90">
        <v>0.46800000000000003</v>
      </c>
      <c r="BM53" s="90">
        <v>1</v>
      </c>
      <c r="BN53" s="90"/>
      <c r="BO53" s="90"/>
      <c r="BP53" s="90"/>
      <c r="BQ53" s="90"/>
      <c r="BR53" s="90">
        <f t="shared" si="10"/>
        <v>2.2679999999999998</v>
      </c>
      <c r="BS53" s="90">
        <f>ROUND(BR53*IFERROR(VLOOKUP($BC53,'3121% SY'!$A$2:$M$324,13,FALSE),0),3)</f>
        <v>0.51300000000000001</v>
      </c>
      <c r="BT53" s="90">
        <f t="shared" si="11"/>
        <v>0</v>
      </c>
      <c r="BU53" s="90">
        <f>ROUND(BT53*IFERROR(VLOOKUP($BC53,'3121% SY'!$A$2:$M$324,13,FALSE),0),3)</f>
        <v>0</v>
      </c>
    </row>
    <row r="54" spans="1:73" x14ac:dyDescent="0.25">
      <c r="A54" s="88" t="s">
        <v>65</v>
      </c>
      <c r="B54" s="90"/>
      <c r="C54" s="90"/>
      <c r="D54" s="90"/>
      <c r="E54" s="90"/>
      <c r="F54" s="90"/>
      <c r="G54" s="90">
        <v>5.36</v>
      </c>
      <c r="H54" s="90"/>
      <c r="I54" s="90"/>
      <c r="J54" s="90"/>
      <c r="K54" s="90"/>
      <c r="L54" s="90"/>
      <c r="M54" s="90"/>
      <c r="N54" s="90"/>
      <c r="O54" s="90"/>
      <c r="P54" s="90">
        <f t="shared" si="5"/>
        <v>5.36</v>
      </c>
      <c r="Q54" s="90">
        <f>SUM($B54:E54)</f>
        <v>0</v>
      </c>
      <c r="R54" s="89"/>
      <c r="AH54" s="90">
        <f t="shared" si="6"/>
        <v>0</v>
      </c>
      <c r="AI54" s="90">
        <f t="shared" si="7"/>
        <v>0</v>
      </c>
      <c r="AJ54" s="89"/>
      <c r="AZ54" s="90">
        <f t="shared" si="8"/>
        <v>0</v>
      </c>
      <c r="BA54" s="90">
        <f t="shared" si="9"/>
        <v>0</v>
      </c>
      <c r="BB54" s="89"/>
      <c r="BC54" s="88" t="s">
        <v>93</v>
      </c>
      <c r="BD54" s="90"/>
      <c r="BE54" s="90"/>
      <c r="BF54" s="90"/>
      <c r="BG54" s="90"/>
      <c r="BH54" s="90"/>
      <c r="BI54" s="90"/>
      <c r="BJ54" s="90"/>
      <c r="BK54" s="90"/>
      <c r="BL54" s="90">
        <v>0.60699999999999998</v>
      </c>
      <c r="BM54" s="90">
        <v>0.20100000000000001</v>
      </c>
      <c r="BN54" s="90"/>
      <c r="BO54" s="90"/>
      <c r="BP54" s="90"/>
      <c r="BQ54" s="90"/>
      <c r="BR54" s="90">
        <f t="shared" si="10"/>
        <v>0.80800000000000005</v>
      </c>
      <c r="BS54" s="90">
        <f>ROUND(BR54*IFERROR(VLOOKUP($BC54,'3121% SY'!$A$2:$M$324,13,FALSE),0),3)</f>
        <v>8.4000000000000005E-2</v>
      </c>
      <c r="BT54" s="90">
        <f t="shared" si="11"/>
        <v>0</v>
      </c>
      <c r="BU54" s="90">
        <f>ROUND(BT54*IFERROR(VLOOKUP($BC54,'3121% SY'!$A$2:$M$324,13,FALSE),0),3)</f>
        <v>0</v>
      </c>
    </row>
    <row r="55" spans="1:73" x14ac:dyDescent="0.25">
      <c r="A55" s="88" t="s">
        <v>66</v>
      </c>
      <c r="B55" s="90"/>
      <c r="C55" s="90">
        <v>0.42399999999999999</v>
      </c>
      <c r="D55" s="90"/>
      <c r="E55" s="90"/>
      <c r="F55" s="90"/>
      <c r="G55" s="90">
        <v>4.33</v>
      </c>
      <c r="H55" s="90"/>
      <c r="I55" s="90">
        <v>1.5</v>
      </c>
      <c r="J55" s="90"/>
      <c r="K55" s="90"/>
      <c r="L55" s="90">
        <v>1.0760000000000001</v>
      </c>
      <c r="M55" s="90"/>
      <c r="N55" s="90"/>
      <c r="O55" s="90"/>
      <c r="P55" s="90">
        <f t="shared" si="5"/>
        <v>6.9060000000000006</v>
      </c>
      <c r="Q55" s="90">
        <f>SUM($B55:E55)</f>
        <v>0.42399999999999999</v>
      </c>
      <c r="R55" s="89"/>
      <c r="AH55" s="90">
        <f t="shared" si="6"/>
        <v>0</v>
      </c>
      <c r="AI55" s="90">
        <f t="shared" si="7"/>
        <v>0</v>
      </c>
      <c r="AJ55" s="89"/>
      <c r="AZ55" s="90">
        <f t="shared" si="8"/>
        <v>0</v>
      </c>
      <c r="BA55" s="90">
        <f t="shared" si="9"/>
        <v>0</v>
      </c>
      <c r="BB55" s="89"/>
      <c r="BC55" s="88" t="s">
        <v>94</v>
      </c>
      <c r="BD55" s="90"/>
      <c r="BE55" s="90"/>
      <c r="BF55" s="90"/>
      <c r="BG55" s="90"/>
      <c r="BH55" s="90"/>
      <c r="BI55" s="90"/>
      <c r="BJ55" s="90">
        <v>0.46899999999999997</v>
      </c>
      <c r="BK55" s="90"/>
      <c r="BL55" s="90"/>
      <c r="BM55" s="90"/>
      <c r="BN55" s="90"/>
      <c r="BO55" s="90"/>
      <c r="BP55" s="90"/>
      <c r="BQ55" s="90"/>
      <c r="BR55" s="90">
        <f t="shared" si="10"/>
        <v>0.46899999999999997</v>
      </c>
      <c r="BS55" s="90">
        <f>ROUND(BR55*IFERROR(VLOOKUP($BC55,'3121% SY'!$A$2:$M$324,13,FALSE),0),3)</f>
        <v>0.126</v>
      </c>
      <c r="BT55" s="90">
        <f t="shared" si="11"/>
        <v>0</v>
      </c>
      <c r="BU55" s="90">
        <f>ROUND(BT55*IFERROR(VLOOKUP($BC55,'3121% SY'!$A$2:$M$324,13,FALSE),0),3)</f>
        <v>0</v>
      </c>
    </row>
    <row r="56" spans="1:73" x14ac:dyDescent="0.25">
      <c r="A56" s="88" t="s">
        <v>67</v>
      </c>
      <c r="B56" s="90">
        <v>0.318</v>
      </c>
      <c r="C56" s="90"/>
      <c r="D56" s="90"/>
      <c r="E56" s="90"/>
      <c r="F56" s="90"/>
      <c r="G56" s="90">
        <v>0.65</v>
      </c>
      <c r="H56" s="90"/>
      <c r="I56" s="90"/>
      <c r="J56" s="90"/>
      <c r="K56" s="90"/>
      <c r="L56" s="90"/>
      <c r="M56" s="90"/>
      <c r="N56" s="90"/>
      <c r="O56" s="90"/>
      <c r="P56" s="90">
        <f t="shared" si="5"/>
        <v>0.65</v>
      </c>
      <c r="Q56" s="90">
        <f>SUM($B56:E56)</f>
        <v>0.318</v>
      </c>
      <c r="R56" s="89"/>
      <c r="AH56" s="90">
        <f t="shared" si="6"/>
        <v>0</v>
      </c>
      <c r="AI56" s="90">
        <f t="shared" si="7"/>
        <v>0</v>
      </c>
      <c r="AJ56" s="89"/>
      <c r="AZ56" s="90">
        <f t="shared" si="8"/>
        <v>0</v>
      </c>
      <c r="BA56" s="90">
        <f t="shared" si="9"/>
        <v>0</v>
      </c>
      <c r="BB56" s="89"/>
      <c r="BC56" s="88" t="s">
        <v>95</v>
      </c>
      <c r="BD56" s="90"/>
      <c r="BE56" s="90"/>
      <c r="BF56" s="90"/>
      <c r="BG56" s="90"/>
      <c r="BH56" s="90"/>
      <c r="BI56" s="90"/>
      <c r="BJ56" s="90">
        <v>0.48</v>
      </c>
      <c r="BK56" s="90"/>
      <c r="BL56" s="90">
        <v>1</v>
      </c>
      <c r="BM56" s="90">
        <v>0.8</v>
      </c>
      <c r="BN56" s="90"/>
      <c r="BO56" s="90"/>
      <c r="BP56" s="90"/>
      <c r="BQ56" s="90"/>
      <c r="BR56" s="90">
        <f t="shared" si="10"/>
        <v>2.2800000000000002</v>
      </c>
      <c r="BS56" s="90">
        <f>ROUND(BR56*IFERROR(VLOOKUP($BC56,'3121% SY'!$A$2:$M$324,13,FALSE),0),3)</f>
        <v>0.46600000000000003</v>
      </c>
      <c r="BT56" s="90">
        <f t="shared" si="11"/>
        <v>0</v>
      </c>
      <c r="BU56" s="90">
        <f>ROUND(BT56*IFERROR(VLOOKUP($BC56,'3121% SY'!$A$2:$M$324,13,FALSE),0),3)</f>
        <v>0</v>
      </c>
    </row>
    <row r="57" spans="1:73" x14ac:dyDescent="0.25">
      <c r="A57" s="88" t="s">
        <v>68</v>
      </c>
      <c r="B57" s="90"/>
      <c r="C57" s="90"/>
      <c r="D57" s="90"/>
      <c r="E57" s="90"/>
      <c r="F57" s="90"/>
      <c r="G57" s="90">
        <v>0.14000000000000001</v>
      </c>
      <c r="H57" s="90"/>
      <c r="I57" s="90"/>
      <c r="J57" s="90"/>
      <c r="K57" s="90"/>
      <c r="L57" s="90"/>
      <c r="M57" s="90"/>
      <c r="N57" s="90"/>
      <c r="O57" s="90"/>
      <c r="P57" s="90">
        <f t="shared" si="5"/>
        <v>0.14000000000000001</v>
      </c>
      <c r="Q57" s="90">
        <f>SUM($B57:E57)</f>
        <v>0</v>
      </c>
      <c r="R57" s="89"/>
      <c r="AH57" s="90">
        <f t="shared" si="6"/>
        <v>0</v>
      </c>
      <c r="AI57" s="90">
        <f t="shared" si="7"/>
        <v>0</v>
      </c>
      <c r="AJ57" s="89"/>
      <c r="AZ57" s="90">
        <f t="shared" si="8"/>
        <v>0</v>
      </c>
      <c r="BA57" s="90">
        <f t="shared" si="9"/>
        <v>0</v>
      </c>
      <c r="BB57" s="89"/>
      <c r="BC57" s="88" t="s">
        <v>96</v>
      </c>
      <c r="BD57" s="90"/>
      <c r="BE57" s="90"/>
      <c r="BF57" s="90"/>
      <c r="BG57" s="90"/>
      <c r="BH57" s="90"/>
      <c r="BI57" s="90"/>
      <c r="BJ57" s="90">
        <v>32.9</v>
      </c>
      <c r="BK57" s="90"/>
      <c r="BL57" s="90">
        <v>58.284999999999997</v>
      </c>
      <c r="BM57" s="90">
        <v>28.774999999999999</v>
      </c>
      <c r="BN57" s="90">
        <v>1.9570000000000001</v>
      </c>
      <c r="BO57" s="90">
        <v>6.6</v>
      </c>
      <c r="BP57" s="90"/>
      <c r="BQ57" s="90"/>
      <c r="BR57" s="90">
        <f t="shared" si="10"/>
        <v>128.517</v>
      </c>
      <c r="BS57" s="90">
        <f>ROUND(BR57*IFERROR(VLOOKUP($BC57,'3121% SY'!$A$2:$M$324,13,FALSE),0),3)</f>
        <v>29.225000000000001</v>
      </c>
      <c r="BT57" s="90">
        <f t="shared" si="11"/>
        <v>0</v>
      </c>
      <c r="BU57" s="90">
        <f>ROUND(BT57*IFERROR(VLOOKUP($BC57,'3121% SY'!$A$2:$M$324,13,FALSE),0),3)</f>
        <v>0</v>
      </c>
    </row>
    <row r="58" spans="1:73" x14ac:dyDescent="0.25">
      <c r="A58" s="88" t="s">
        <v>69</v>
      </c>
      <c r="B58" s="90"/>
      <c r="C58" s="90"/>
      <c r="D58" s="90">
        <v>0.20200000000000001</v>
      </c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>
        <f t="shared" si="5"/>
        <v>0</v>
      </c>
      <c r="Q58" s="90">
        <f>SUM($B58:E58)</f>
        <v>0.20200000000000001</v>
      </c>
      <c r="R58" s="89"/>
      <c r="AH58" s="90">
        <f t="shared" si="6"/>
        <v>0</v>
      </c>
      <c r="AI58" s="90">
        <f t="shared" si="7"/>
        <v>0</v>
      </c>
      <c r="AJ58" s="89"/>
      <c r="AZ58" s="90">
        <f t="shared" si="8"/>
        <v>0</v>
      </c>
      <c r="BA58" s="90">
        <f t="shared" si="9"/>
        <v>0</v>
      </c>
      <c r="BB58" s="89"/>
      <c r="BC58" s="88" t="s">
        <v>97</v>
      </c>
      <c r="BD58" s="90"/>
      <c r="BE58" s="90"/>
      <c r="BF58" s="90"/>
      <c r="BG58" s="90"/>
      <c r="BH58" s="90"/>
      <c r="BI58" s="90"/>
      <c r="BJ58" s="90">
        <v>3.2280000000000002</v>
      </c>
      <c r="BK58" s="90"/>
      <c r="BL58" s="90">
        <v>20.288</v>
      </c>
      <c r="BM58" s="90">
        <v>16.140999999999998</v>
      </c>
      <c r="BN58" s="90"/>
      <c r="BO58" s="90">
        <v>2.69</v>
      </c>
      <c r="BP58" s="90"/>
      <c r="BQ58" s="90">
        <v>3.2280000000000002</v>
      </c>
      <c r="BR58" s="90">
        <f t="shared" si="10"/>
        <v>45.574999999999996</v>
      </c>
      <c r="BS58" s="90">
        <f>ROUND(BR58*IFERROR(VLOOKUP($BC58,'3121% SY'!$A$2:$M$324,13,FALSE),0),3)</f>
        <v>13.54</v>
      </c>
      <c r="BT58" s="90">
        <f t="shared" si="11"/>
        <v>0</v>
      </c>
      <c r="BU58" s="90">
        <f>ROUND(BT58*IFERROR(VLOOKUP($BC58,'3121% SY'!$A$2:$M$324,13,FALSE),0),3)</f>
        <v>0</v>
      </c>
    </row>
    <row r="59" spans="1:73" x14ac:dyDescent="0.25">
      <c r="A59" s="88" t="s">
        <v>70</v>
      </c>
      <c r="B59" s="90"/>
      <c r="C59" s="90"/>
      <c r="D59" s="90"/>
      <c r="E59" s="90"/>
      <c r="F59" s="90"/>
      <c r="G59" s="90">
        <v>0.9</v>
      </c>
      <c r="H59" s="90"/>
      <c r="I59" s="90"/>
      <c r="J59" s="90"/>
      <c r="K59" s="90"/>
      <c r="L59" s="90">
        <v>0.497</v>
      </c>
      <c r="M59" s="90"/>
      <c r="N59" s="90"/>
      <c r="O59" s="90"/>
      <c r="P59" s="90">
        <f t="shared" si="5"/>
        <v>1.397</v>
      </c>
      <c r="Q59" s="90">
        <f>SUM($B59:E59)</f>
        <v>0</v>
      </c>
      <c r="R59" s="89"/>
      <c r="AH59" s="90">
        <f t="shared" si="6"/>
        <v>0</v>
      </c>
      <c r="AI59" s="90">
        <f t="shared" si="7"/>
        <v>0</v>
      </c>
      <c r="AJ59" s="89"/>
      <c r="AZ59" s="90">
        <f t="shared" si="8"/>
        <v>0</v>
      </c>
      <c r="BA59" s="90">
        <f t="shared" si="9"/>
        <v>0</v>
      </c>
      <c r="BB59" s="89"/>
      <c r="BC59" s="88" t="s">
        <v>98</v>
      </c>
      <c r="BD59" s="90"/>
      <c r="BE59" s="90"/>
      <c r="BF59" s="90"/>
      <c r="BG59" s="90"/>
      <c r="BH59" s="90"/>
      <c r="BI59" s="90"/>
      <c r="BJ59" s="90">
        <v>1</v>
      </c>
      <c r="BK59" s="90"/>
      <c r="BL59" s="90">
        <v>5.26</v>
      </c>
      <c r="BM59" s="90">
        <v>2</v>
      </c>
      <c r="BN59" s="90">
        <v>7.0000000000000007E-2</v>
      </c>
      <c r="BO59" s="90"/>
      <c r="BP59" s="90"/>
      <c r="BQ59" s="90">
        <v>1.5329999999999999</v>
      </c>
      <c r="BR59" s="90">
        <f t="shared" si="10"/>
        <v>9.8629999999999995</v>
      </c>
      <c r="BS59" s="90">
        <f>ROUND(BR59*IFERROR(VLOOKUP($BC59,'3121% SY'!$A$2:$M$324,13,FALSE),0),3)</f>
        <v>2.4940000000000002</v>
      </c>
      <c r="BT59" s="90">
        <f t="shared" si="11"/>
        <v>0</v>
      </c>
      <c r="BU59" s="90">
        <f>ROUND(BT59*IFERROR(VLOOKUP($BC59,'3121% SY'!$A$2:$M$324,13,FALSE),0),3)</f>
        <v>0</v>
      </c>
    </row>
    <row r="60" spans="1:73" x14ac:dyDescent="0.25">
      <c r="A60" s="88" t="s">
        <v>71</v>
      </c>
      <c r="B60" s="90"/>
      <c r="C60" s="90"/>
      <c r="D60" s="90"/>
      <c r="E60" s="90"/>
      <c r="F60" s="90"/>
      <c r="G60" s="90">
        <v>6.4889999999999999</v>
      </c>
      <c r="H60" s="90"/>
      <c r="I60" s="90">
        <v>4.8</v>
      </c>
      <c r="J60" s="90"/>
      <c r="K60" s="90"/>
      <c r="L60" s="90">
        <v>3.5</v>
      </c>
      <c r="M60" s="90"/>
      <c r="N60" s="90"/>
      <c r="O60" s="90"/>
      <c r="P60" s="90">
        <f t="shared" si="5"/>
        <v>14.789</v>
      </c>
      <c r="Q60" s="90">
        <f>SUM($B60:E60)</f>
        <v>0</v>
      </c>
      <c r="R60" s="89"/>
      <c r="AH60" s="90">
        <f t="shared" si="6"/>
        <v>0</v>
      </c>
      <c r="AI60" s="90">
        <f t="shared" si="7"/>
        <v>0</v>
      </c>
      <c r="AJ60" s="89"/>
      <c r="AZ60" s="90">
        <f t="shared" si="8"/>
        <v>0</v>
      </c>
      <c r="BA60" s="90">
        <f t="shared" si="9"/>
        <v>0</v>
      </c>
      <c r="BB60" s="89"/>
      <c r="BC60" s="88" t="s">
        <v>99</v>
      </c>
      <c r="BD60" s="90"/>
      <c r="BE60" s="90"/>
      <c r="BF60" s="90"/>
      <c r="BG60" s="90"/>
      <c r="BH60" s="90"/>
      <c r="BI60" s="90"/>
      <c r="BJ60" s="90">
        <v>1</v>
      </c>
      <c r="BK60" s="90"/>
      <c r="BL60" s="90">
        <v>2.4300000000000002</v>
      </c>
      <c r="BM60" s="90">
        <v>1.8</v>
      </c>
      <c r="BN60" s="90"/>
      <c r="BO60" s="90">
        <v>1.4</v>
      </c>
      <c r="BP60" s="90">
        <v>1.3240000000000001</v>
      </c>
      <c r="BQ60" s="90"/>
      <c r="BR60" s="90">
        <f t="shared" si="10"/>
        <v>7.9540000000000006</v>
      </c>
      <c r="BS60" s="90">
        <f>ROUND(BR60*IFERROR(VLOOKUP($BC60,'3121% SY'!$A$2:$M$324,13,FALSE),0),3)</f>
        <v>1.55</v>
      </c>
      <c r="BT60" s="90">
        <f t="shared" si="11"/>
        <v>0</v>
      </c>
      <c r="BU60" s="90">
        <f>ROUND(BT60*IFERROR(VLOOKUP($BC60,'3121% SY'!$A$2:$M$324,13,FALSE),0),3)</f>
        <v>0</v>
      </c>
    </row>
    <row r="61" spans="1:73" x14ac:dyDescent="0.25">
      <c r="A61" s="88" t="s">
        <v>72</v>
      </c>
      <c r="B61" s="90"/>
      <c r="C61" s="90"/>
      <c r="D61" s="90"/>
      <c r="E61" s="90"/>
      <c r="F61" s="90"/>
      <c r="G61" s="90">
        <v>3</v>
      </c>
      <c r="H61" s="90"/>
      <c r="I61" s="90"/>
      <c r="J61" s="90"/>
      <c r="K61" s="90">
        <v>0.14899999999999999</v>
      </c>
      <c r="L61" s="90">
        <v>1.5</v>
      </c>
      <c r="M61" s="90"/>
      <c r="N61" s="90"/>
      <c r="O61" s="90"/>
      <c r="P61" s="90">
        <f t="shared" si="5"/>
        <v>4.649</v>
      </c>
      <c r="Q61" s="90">
        <f>SUM($B61:E61)</f>
        <v>0</v>
      </c>
      <c r="R61" s="89"/>
      <c r="AH61" s="90">
        <f t="shared" si="6"/>
        <v>0</v>
      </c>
      <c r="AI61" s="90">
        <f t="shared" si="7"/>
        <v>0</v>
      </c>
      <c r="AJ61" s="89"/>
      <c r="AZ61" s="90">
        <f t="shared" si="8"/>
        <v>0</v>
      </c>
      <c r="BA61" s="90">
        <f t="shared" si="9"/>
        <v>0</v>
      </c>
      <c r="BB61" s="89"/>
      <c r="BC61" s="88" t="s">
        <v>100</v>
      </c>
      <c r="BD61" s="90"/>
      <c r="BE61" s="90"/>
      <c r="BF61" s="90"/>
      <c r="BG61" s="90"/>
      <c r="BH61" s="90"/>
      <c r="BI61" s="90"/>
      <c r="BJ61" s="90">
        <v>16.210999999999999</v>
      </c>
      <c r="BK61" s="90">
        <v>1</v>
      </c>
      <c r="BL61" s="90">
        <v>34.770000000000003</v>
      </c>
      <c r="BM61" s="90">
        <v>12.369</v>
      </c>
      <c r="BN61" s="90"/>
      <c r="BO61" s="90">
        <v>1.83</v>
      </c>
      <c r="BP61" s="90">
        <v>2</v>
      </c>
      <c r="BQ61" s="90"/>
      <c r="BR61" s="90">
        <f t="shared" si="10"/>
        <v>68.179999999999993</v>
      </c>
      <c r="BS61" s="90">
        <f>ROUND(BR61*IFERROR(VLOOKUP($BC61,'3121% SY'!$A$2:$M$324,13,FALSE),0),3)</f>
        <v>16.527000000000001</v>
      </c>
      <c r="BT61" s="90">
        <f t="shared" si="11"/>
        <v>0</v>
      </c>
      <c r="BU61" s="90">
        <f>ROUND(BT61*IFERROR(VLOOKUP($BC61,'3121% SY'!$A$2:$M$324,13,FALSE),0),3)</f>
        <v>0</v>
      </c>
    </row>
    <row r="62" spans="1:73" x14ac:dyDescent="0.25">
      <c r="A62" s="88" t="s">
        <v>73</v>
      </c>
      <c r="B62" s="90"/>
      <c r="C62" s="90"/>
      <c r="D62" s="90">
        <v>0.29199999999999998</v>
      </c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>
        <f t="shared" si="5"/>
        <v>0</v>
      </c>
      <c r="Q62" s="90">
        <f>SUM($B62:E62)</f>
        <v>0.29199999999999998</v>
      </c>
      <c r="R62" s="89"/>
      <c r="AH62" s="90">
        <f t="shared" si="6"/>
        <v>0</v>
      </c>
      <c r="AI62" s="90">
        <f t="shared" si="7"/>
        <v>0</v>
      </c>
      <c r="AJ62" s="89"/>
      <c r="AZ62" s="90">
        <f t="shared" si="8"/>
        <v>0</v>
      </c>
      <c r="BA62" s="90">
        <f t="shared" si="9"/>
        <v>0</v>
      </c>
      <c r="BB62" s="89"/>
      <c r="BC62" s="88" t="s">
        <v>102</v>
      </c>
      <c r="BD62" s="90"/>
      <c r="BE62" s="90"/>
      <c r="BF62" s="90"/>
      <c r="BG62" s="90"/>
      <c r="BH62" s="90"/>
      <c r="BI62" s="90">
        <v>0.33300000000000002</v>
      </c>
      <c r="BJ62" s="90">
        <v>13.087</v>
      </c>
      <c r="BK62" s="90"/>
      <c r="BL62" s="90">
        <v>16.856999999999999</v>
      </c>
      <c r="BM62" s="90">
        <v>7.8</v>
      </c>
      <c r="BN62" s="90"/>
      <c r="BO62" s="90">
        <v>3.548</v>
      </c>
      <c r="BP62" s="90"/>
      <c r="BQ62" s="90"/>
      <c r="BR62" s="90">
        <f t="shared" si="10"/>
        <v>41.625</v>
      </c>
      <c r="BS62" s="90">
        <f>ROUND(BR62*IFERROR(VLOOKUP($BC62,'3121% SY'!$A$2:$M$324,13,FALSE),0),3)</f>
        <v>12.304</v>
      </c>
      <c r="BT62" s="90">
        <f t="shared" si="11"/>
        <v>0</v>
      </c>
      <c r="BU62" s="90">
        <f>ROUND(BT62*IFERROR(VLOOKUP($BC62,'3121% SY'!$A$2:$M$324,13,FALSE),0),3)</f>
        <v>0</v>
      </c>
    </row>
    <row r="63" spans="1:73" x14ac:dyDescent="0.25">
      <c r="A63" s="88" t="s">
        <v>75</v>
      </c>
      <c r="B63" s="90">
        <v>0.499</v>
      </c>
      <c r="C63" s="90"/>
      <c r="D63" s="90"/>
      <c r="E63" s="90"/>
      <c r="F63" s="90"/>
      <c r="G63" s="90">
        <v>3.25</v>
      </c>
      <c r="H63" s="90"/>
      <c r="I63" s="90"/>
      <c r="J63" s="90"/>
      <c r="K63" s="90"/>
      <c r="L63" s="90"/>
      <c r="M63" s="90"/>
      <c r="N63" s="90"/>
      <c r="O63" s="90"/>
      <c r="P63" s="90">
        <f t="shared" si="5"/>
        <v>3.25</v>
      </c>
      <c r="Q63" s="90">
        <f>SUM($B63:E63)</f>
        <v>0.499</v>
      </c>
      <c r="R63" s="89"/>
      <c r="AH63" s="90">
        <f t="shared" si="6"/>
        <v>0</v>
      </c>
      <c r="AI63" s="90">
        <f t="shared" si="7"/>
        <v>0</v>
      </c>
      <c r="AJ63" s="89"/>
      <c r="AZ63" s="90">
        <f t="shared" si="8"/>
        <v>0</v>
      </c>
      <c r="BA63" s="90">
        <f t="shared" si="9"/>
        <v>0</v>
      </c>
      <c r="BB63" s="89"/>
      <c r="BC63" s="88" t="s">
        <v>104</v>
      </c>
      <c r="BD63" s="90"/>
      <c r="BE63" s="90"/>
      <c r="BF63" s="90"/>
      <c r="BG63" s="90"/>
      <c r="BH63" s="90"/>
      <c r="BI63" s="90"/>
      <c r="BJ63" s="90">
        <v>6.72</v>
      </c>
      <c r="BK63" s="90">
        <v>5.2320000000000002</v>
      </c>
      <c r="BL63" s="90">
        <v>16.416</v>
      </c>
      <c r="BM63" s="90">
        <v>12.48</v>
      </c>
      <c r="BN63" s="90">
        <v>0.3</v>
      </c>
      <c r="BO63" s="90">
        <v>2.6880000000000002</v>
      </c>
      <c r="BP63" s="90">
        <v>2.4</v>
      </c>
      <c r="BQ63" s="90"/>
      <c r="BR63" s="90">
        <f t="shared" si="10"/>
        <v>46.235999999999997</v>
      </c>
      <c r="BS63" s="90">
        <f>ROUND(BR63*IFERROR(VLOOKUP($BC63,'3121% SY'!$A$2:$M$324,13,FALSE),0),3)</f>
        <v>10.14</v>
      </c>
      <c r="BT63" s="90">
        <f t="shared" si="11"/>
        <v>0</v>
      </c>
      <c r="BU63" s="90">
        <f>ROUND(BT63*IFERROR(VLOOKUP($BC63,'3121% SY'!$A$2:$M$324,13,FALSE),0),3)</f>
        <v>0</v>
      </c>
    </row>
    <row r="64" spans="1:73" x14ac:dyDescent="0.25">
      <c r="A64" s="88" t="s">
        <v>76</v>
      </c>
      <c r="B64" s="90"/>
      <c r="C64" s="90"/>
      <c r="D64" s="90">
        <v>1.2769999999999999</v>
      </c>
      <c r="E64" s="90"/>
      <c r="F64" s="90"/>
      <c r="G64" s="90">
        <v>1.7989999999999999</v>
      </c>
      <c r="H64" s="90"/>
      <c r="I64" s="90"/>
      <c r="J64" s="90"/>
      <c r="K64" s="90"/>
      <c r="L64" s="90">
        <v>1</v>
      </c>
      <c r="M64" s="90"/>
      <c r="N64" s="90"/>
      <c r="O64" s="90"/>
      <c r="P64" s="90">
        <f t="shared" si="5"/>
        <v>2.7989999999999999</v>
      </c>
      <c r="Q64" s="90">
        <f>SUM($B64:E64)</f>
        <v>1.2769999999999999</v>
      </c>
      <c r="R64" s="89"/>
      <c r="AH64" s="90">
        <f t="shared" si="6"/>
        <v>0</v>
      </c>
      <c r="AI64" s="90">
        <f t="shared" si="7"/>
        <v>0</v>
      </c>
      <c r="AJ64" s="89"/>
      <c r="AZ64" s="90">
        <f t="shared" si="8"/>
        <v>0</v>
      </c>
      <c r="BA64" s="90">
        <f t="shared" si="9"/>
        <v>0</v>
      </c>
      <c r="BB64" s="89"/>
      <c r="BC64" s="88" t="s">
        <v>105</v>
      </c>
      <c r="BD64" s="90"/>
      <c r="BE64" s="90"/>
      <c r="BF64" s="90"/>
      <c r="BG64" s="90"/>
      <c r="BH64" s="90"/>
      <c r="BI64" s="90"/>
      <c r="BJ64" s="90">
        <v>0.33400000000000002</v>
      </c>
      <c r="BK64" s="90"/>
      <c r="BL64" s="90">
        <v>3.1669999999999998</v>
      </c>
      <c r="BM64" s="90">
        <v>2.1669999999999998</v>
      </c>
      <c r="BN64" s="90"/>
      <c r="BO64" s="90">
        <v>1</v>
      </c>
      <c r="BP64" s="90"/>
      <c r="BQ64" s="90"/>
      <c r="BR64" s="90">
        <f t="shared" si="10"/>
        <v>6.6679999999999993</v>
      </c>
      <c r="BS64" s="90">
        <f>ROUND(BR64*IFERROR(VLOOKUP($BC64,'3121% SY'!$A$2:$M$324,13,FALSE),0),3)</f>
        <v>1.77</v>
      </c>
      <c r="BT64" s="90">
        <f t="shared" si="11"/>
        <v>0</v>
      </c>
      <c r="BU64" s="90">
        <f>ROUND(BT64*IFERROR(VLOOKUP($BC64,'3121% SY'!$A$2:$M$324,13,FALSE),0),3)</f>
        <v>0</v>
      </c>
    </row>
    <row r="65" spans="1:73" x14ac:dyDescent="0.25">
      <c r="A65" s="88" t="s">
        <v>77</v>
      </c>
      <c r="B65" s="90"/>
      <c r="C65" s="90"/>
      <c r="D65" s="90"/>
      <c r="E65" s="90"/>
      <c r="F65" s="90"/>
      <c r="G65" s="90">
        <v>1.1599999999999999</v>
      </c>
      <c r="H65" s="90"/>
      <c r="I65" s="90"/>
      <c r="J65" s="90"/>
      <c r="K65" s="90"/>
      <c r="L65" s="90"/>
      <c r="M65" s="90"/>
      <c r="N65" s="90"/>
      <c r="O65" s="90"/>
      <c r="P65" s="90">
        <f t="shared" si="5"/>
        <v>1.1599999999999999</v>
      </c>
      <c r="Q65" s="90">
        <f>SUM($B65:E65)</f>
        <v>0</v>
      </c>
      <c r="R65" s="89"/>
      <c r="AH65" s="90">
        <f t="shared" si="6"/>
        <v>0</v>
      </c>
      <c r="AI65" s="90">
        <f t="shared" si="7"/>
        <v>0</v>
      </c>
      <c r="AJ65" s="89"/>
      <c r="AZ65" s="90">
        <f t="shared" si="8"/>
        <v>0</v>
      </c>
      <c r="BA65" s="90">
        <f t="shared" si="9"/>
        <v>0</v>
      </c>
      <c r="BB65" s="89"/>
      <c r="BC65" s="88" t="s">
        <v>106</v>
      </c>
      <c r="BD65" s="90"/>
      <c r="BE65" s="90"/>
      <c r="BF65" s="90"/>
      <c r="BG65" s="90"/>
      <c r="BH65" s="90"/>
      <c r="BI65" s="90"/>
      <c r="BJ65" s="90"/>
      <c r="BK65" s="90"/>
      <c r="BL65" s="90">
        <v>3.35</v>
      </c>
      <c r="BM65" s="90">
        <v>3.29</v>
      </c>
      <c r="BN65" s="90"/>
      <c r="BO65" s="90"/>
      <c r="BP65" s="90"/>
      <c r="BQ65" s="90"/>
      <c r="BR65" s="90">
        <f t="shared" si="10"/>
        <v>6.6400000000000006</v>
      </c>
      <c r="BS65" s="90">
        <f>ROUND(BR65*IFERROR(VLOOKUP($BC65,'3121% SY'!$A$2:$M$324,13,FALSE),0),3)</f>
        <v>1.363</v>
      </c>
      <c r="BT65" s="90">
        <f t="shared" si="11"/>
        <v>0</v>
      </c>
      <c r="BU65" s="90">
        <f>ROUND(BT65*IFERROR(VLOOKUP($BC65,'3121% SY'!$A$2:$M$324,13,FALSE),0),3)</f>
        <v>0</v>
      </c>
    </row>
    <row r="66" spans="1:73" x14ac:dyDescent="0.25">
      <c r="A66" s="88" t="s">
        <v>78</v>
      </c>
      <c r="B66" s="90"/>
      <c r="C66" s="90">
        <v>0.40699999999999997</v>
      </c>
      <c r="D66" s="90"/>
      <c r="E66" s="90"/>
      <c r="F66" s="90"/>
      <c r="G66" s="90">
        <v>0.45</v>
      </c>
      <c r="H66" s="90"/>
      <c r="I66" s="90"/>
      <c r="J66" s="90"/>
      <c r="K66" s="90"/>
      <c r="L66" s="90"/>
      <c r="M66" s="90"/>
      <c r="N66" s="90"/>
      <c r="O66" s="90"/>
      <c r="P66" s="90">
        <f t="shared" si="5"/>
        <v>0.45</v>
      </c>
      <c r="Q66" s="90">
        <f>SUM($B66:E66)</f>
        <v>0.40699999999999997</v>
      </c>
      <c r="R66" s="89"/>
      <c r="AH66" s="90">
        <f t="shared" si="6"/>
        <v>0</v>
      </c>
      <c r="AI66" s="90">
        <f t="shared" si="7"/>
        <v>0</v>
      </c>
      <c r="AJ66" s="89"/>
      <c r="AZ66" s="90">
        <f t="shared" si="8"/>
        <v>0</v>
      </c>
      <c r="BA66" s="90">
        <f t="shared" si="9"/>
        <v>0</v>
      </c>
      <c r="BB66" s="89"/>
      <c r="BC66" s="88" t="s">
        <v>107</v>
      </c>
      <c r="BD66" s="90"/>
      <c r="BE66" s="90"/>
      <c r="BF66" s="90">
        <v>4.5940000000000003</v>
      </c>
      <c r="BG66" s="90"/>
      <c r="BH66" s="90"/>
      <c r="BI66" s="90"/>
      <c r="BJ66" s="90">
        <v>10.911</v>
      </c>
      <c r="BK66" s="90"/>
      <c r="BL66" s="90">
        <v>25.995999999999999</v>
      </c>
      <c r="BM66" s="90">
        <v>13.272</v>
      </c>
      <c r="BN66" s="90"/>
      <c r="BO66" s="90">
        <v>2.02</v>
      </c>
      <c r="BP66" s="90">
        <v>1.67</v>
      </c>
      <c r="BQ66" s="90"/>
      <c r="BR66" s="90">
        <f t="shared" si="10"/>
        <v>53.869</v>
      </c>
      <c r="BS66" s="90">
        <f>ROUND(BR66*IFERROR(VLOOKUP($BC66,'3121% SY'!$A$2:$M$324,13,FALSE),0),3)</f>
        <v>13.353999999999999</v>
      </c>
      <c r="BT66" s="90">
        <f t="shared" si="11"/>
        <v>4.5940000000000003</v>
      </c>
      <c r="BU66" s="90">
        <f>ROUND(BT66*IFERROR(VLOOKUP($BC66,'3121% SY'!$A$2:$M$324,13,FALSE),0),3)</f>
        <v>1.139</v>
      </c>
    </row>
    <row r="67" spans="1:73" x14ac:dyDescent="0.25">
      <c r="A67" s="88" t="s">
        <v>79</v>
      </c>
      <c r="B67" s="90"/>
      <c r="C67" s="90">
        <v>9.4E-2</v>
      </c>
      <c r="D67" s="90"/>
      <c r="E67" s="90"/>
      <c r="F67" s="90"/>
      <c r="G67" s="90">
        <v>2</v>
      </c>
      <c r="H67" s="90"/>
      <c r="I67" s="90"/>
      <c r="J67" s="90"/>
      <c r="K67" s="90"/>
      <c r="L67" s="90"/>
      <c r="M67" s="90"/>
      <c r="N67" s="90"/>
      <c r="O67" s="90"/>
      <c r="P67" s="90">
        <f t="shared" si="5"/>
        <v>2</v>
      </c>
      <c r="Q67" s="90">
        <f>SUM($B67:E67)</f>
        <v>9.4E-2</v>
      </c>
      <c r="R67" s="89"/>
      <c r="AH67" s="90">
        <f t="shared" si="6"/>
        <v>0</v>
      </c>
      <c r="AI67" s="90">
        <f t="shared" si="7"/>
        <v>0</v>
      </c>
      <c r="AJ67" s="89"/>
      <c r="AZ67" s="90">
        <f t="shared" si="8"/>
        <v>0</v>
      </c>
      <c r="BA67" s="90">
        <f t="shared" si="9"/>
        <v>0</v>
      </c>
      <c r="BB67" s="89"/>
      <c r="BC67" s="88" t="s">
        <v>108</v>
      </c>
      <c r="BD67" s="90"/>
      <c r="BE67" s="90"/>
      <c r="BF67" s="90"/>
      <c r="BG67" s="90"/>
      <c r="BH67" s="90"/>
      <c r="BI67" s="90"/>
      <c r="BJ67" s="90">
        <v>2.1930000000000001</v>
      </c>
      <c r="BK67" s="90"/>
      <c r="BL67" s="90">
        <v>10.795</v>
      </c>
      <c r="BM67" s="90">
        <v>5.3029999999999999</v>
      </c>
      <c r="BN67" s="90"/>
      <c r="BO67" s="90">
        <v>0.66</v>
      </c>
      <c r="BP67" s="90"/>
      <c r="BQ67" s="90"/>
      <c r="BR67" s="90">
        <f t="shared" si="10"/>
        <v>18.951000000000001</v>
      </c>
      <c r="BS67" s="90">
        <f>ROUND(BR67*IFERROR(VLOOKUP($BC67,'3121% SY'!$A$2:$M$324,13,FALSE),0),3)</f>
        <v>4.484</v>
      </c>
      <c r="BT67" s="90">
        <f t="shared" si="11"/>
        <v>0</v>
      </c>
      <c r="BU67" s="90">
        <f>ROUND(BT67*IFERROR(VLOOKUP($BC67,'3121% SY'!$A$2:$M$324,13,FALSE),0),3)</f>
        <v>0</v>
      </c>
    </row>
    <row r="68" spans="1:73" x14ac:dyDescent="0.25">
      <c r="A68" s="88" t="s">
        <v>80</v>
      </c>
      <c r="B68" s="90"/>
      <c r="C68" s="90"/>
      <c r="D68" s="90"/>
      <c r="E68" s="90"/>
      <c r="F68" s="90"/>
      <c r="G68" s="90">
        <v>1</v>
      </c>
      <c r="H68" s="90"/>
      <c r="I68" s="90"/>
      <c r="J68" s="90"/>
      <c r="K68" s="90"/>
      <c r="L68" s="90"/>
      <c r="M68" s="90"/>
      <c r="N68" s="90"/>
      <c r="O68" s="90"/>
      <c r="P68" s="90">
        <f t="shared" si="5"/>
        <v>1</v>
      </c>
      <c r="Q68" s="90">
        <f>SUM($B68:E68)</f>
        <v>0</v>
      </c>
      <c r="R68" s="89"/>
      <c r="AH68" s="90">
        <f t="shared" si="6"/>
        <v>0</v>
      </c>
      <c r="AI68" s="90">
        <f t="shared" si="7"/>
        <v>0</v>
      </c>
      <c r="AJ68" s="89"/>
      <c r="AZ68" s="90">
        <f t="shared" si="8"/>
        <v>0</v>
      </c>
      <c r="BA68" s="90">
        <f t="shared" si="9"/>
        <v>0</v>
      </c>
      <c r="BB68" s="89"/>
      <c r="BC68" s="88" t="s">
        <v>109</v>
      </c>
      <c r="BD68" s="90"/>
      <c r="BE68" s="90"/>
      <c r="BF68" s="90"/>
      <c r="BG68" s="90"/>
      <c r="BH68" s="90"/>
      <c r="BI68" s="90"/>
      <c r="BJ68" s="90">
        <v>2.206</v>
      </c>
      <c r="BK68" s="90"/>
      <c r="BL68" s="90">
        <v>5.5030000000000001</v>
      </c>
      <c r="BM68" s="90">
        <v>8.1720000000000006</v>
      </c>
      <c r="BN68" s="90"/>
      <c r="BO68" s="90">
        <v>0.57999999999999996</v>
      </c>
      <c r="BP68" s="90"/>
      <c r="BQ68" s="90"/>
      <c r="BR68" s="90">
        <f t="shared" si="10"/>
        <v>16.460999999999999</v>
      </c>
      <c r="BS68" s="90">
        <f>ROUND(BR68*IFERROR(VLOOKUP($BC68,'3121% SY'!$A$2:$M$324,13,FALSE),0),3)</f>
        <v>3.8140000000000001</v>
      </c>
      <c r="BT68" s="90">
        <f t="shared" si="11"/>
        <v>0</v>
      </c>
      <c r="BU68" s="90">
        <f>ROUND(BT68*IFERROR(VLOOKUP($BC68,'3121% SY'!$A$2:$M$324,13,FALSE),0),3)</f>
        <v>0</v>
      </c>
    </row>
    <row r="69" spans="1:73" x14ac:dyDescent="0.25">
      <c r="A69" s="88" t="s">
        <v>82</v>
      </c>
      <c r="B69" s="90"/>
      <c r="C69" s="90">
        <v>0.16800000000000001</v>
      </c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>
        <f t="shared" si="5"/>
        <v>0</v>
      </c>
      <c r="Q69" s="90">
        <f>SUM($B69:E69)</f>
        <v>0.16800000000000001</v>
      </c>
      <c r="R69" s="89"/>
      <c r="AH69" s="90">
        <f t="shared" si="6"/>
        <v>0</v>
      </c>
      <c r="AI69" s="90">
        <f t="shared" si="7"/>
        <v>0</v>
      </c>
      <c r="AJ69" s="89"/>
      <c r="AZ69" s="90">
        <f t="shared" si="8"/>
        <v>0</v>
      </c>
      <c r="BA69" s="90">
        <f t="shared" si="9"/>
        <v>0</v>
      </c>
      <c r="BB69" s="89"/>
      <c r="BC69" s="88" t="s">
        <v>110</v>
      </c>
      <c r="BD69" s="90"/>
      <c r="BE69" s="90"/>
      <c r="BF69" s="90"/>
      <c r="BG69" s="90"/>
      <c r="BH69" s="90">
        <v>0.6</v>
      </c>
      <c r="BI69" s="90"/>
      <c r="BJ69" s="90">
        <v>4.5</v>
      </c>
      <c r="BK69" s="90"/>
      <c r="BL69" s="90">
        <v>16.600000000000001</v>
      </c>
      <c r="BM69" s="90"/>
      <c r="BN69" s="90"/>
      <c r="BO69" s="90"/>
      <c r="BP69" s="90"/>
      <c r="BQ69" s="90"/>
      <c r="BR69" s="90">
        <f t="shared" si="10"/>
        <v>21.700000000000003</v>
      </c>
      <c r="BS69" s="90">
        <f>ROUND(BR69*IFERROR(VLOOKUP($BC69,'3121% SY'!$A$2:$M$324,13,FALSE),0),3)</f>
        <v>5.056</v>
      </c>
      <c r="BT69" s="90">
        <f t="shared" si="11"/>
        <v>0</v>
      </c>
      <c r="BU69" s="90">
        <f>ROUND(BT69*IFERROR(VLOOKUP($BC69,'3121% SY'!$A$2:$M$324,13,FALSE),0),3)</f>
        <v>0</v>
      </c>
    </row>
    <row r="70" spans="1:73" x14ac:dyDescent="0.25">
      <c r="A70" s="88" t="s">
        <v>83</v>
      </c>
      <c r="B70" s="90">
        <v>0.36299999999999999</v>
      </c>
      <c r="C70" s="90"/>
      <c r="D70" s="90"/>
      <c r="E70" s="90"/>
      <c r="F70" s="90"/>
      <c r="G70" s="90">
        <v>0.57199999999999995</v>
      </c>
      <c r="H70" s="90"/>
      <c r="I70" s="90"/>
      <c r="J70" s="90"/>
      <c r="K70" s="90"/>
      <c r="L70" s="90"/>
      <c r="M70" s="90"/>
      <c r="N70" s="90"/>
      <c r="O70" s="90"/>
      <c r="P70" s="90">
        <f t="shared" si="5"/>
        <v>0.57199999999999995</v>
      </c>
      <c r="Q70" s="90">
        <f>SUM($B70:E70)</f>
        <v>0.36299999999999999</v>
      </c>
      <c r="R70" s="89"/>
      <c r="AH70" s="90">
        <f t="shared" si="6"/>
        <v>0</v>
      </c>
      <c r="AI70" s="90">
        <f t="shared" si="7"/>
        <v>0</v>
      </c>
      <c r="AJ70" s="89"/>
      <c r="AZ70" s="90">
        <f t="shared" si="8"/>
        <v>0</v>
      </c>
      <c r="BA70" s="90">
        <f t="shared" si="9"/>
        <v>0</v>
      </c>
      <c r="BB70" s="89"/>
      <c r="BC70" s="88" t="s">
        <v>111</v>
      </c>
      <c r="BD70" s="90"/>
      <c r="BE70" s="90"/>
      <c r="BF70" s="90"/>
      <c r="BG70" s="90"/>
      <c r="BH70" s="90"/>
      <c r="BI70" s="90"/>
      <c r="BJ70" s="90">
        <v>5.18</v>
      </c>
      <c r="BK70" s="90"/>
      <c r="BL70" s="90">
        <v>10.302</v>
      </c>
      <c r="BM70" s="90">
        <v>0.8</v>
      </c>
      <c r="BN70" s="90"/>
      <c r="BO70" s="90">
        <v>2.87</v>
      </c>
      <c r="BP70" s="90"/>
      <c r="BQ70" s="90"/>
      <c r="BR70" s="90">
        <f t="shared" si="10"/>
        <v>19.152000000000001</v>
      </c>
      <c r="BS70" s="90">
        <f>ROUND(BR70*IFERROR(VLOOKUP($BC70,'3121% SY'!$A$2:$M$324,13,FALSE),0),3)</f>
        <v>4.4950000000000001</v>
      </c>
      <c r="BT70" s="90">
        <f t="shared" si="11"/>
        <v>0</v>
      </c>
      <c r="BU70" s="90">
        <f>ROUND(BT70*IFERROR(VLOOKUP($BC70,'3121% SY'!$A$2:$M$324,13,FALSE),0),3)</f>
        <v>0</v>
      </c>
    </row>
    <row r="71" spans="1:73" x14ac:dyDescent="0.25">
      <c r="A71" s="88" t="s">
        <v>86</v>
      </c>
      <c r="B71" s="90"/>
      <c r="C71" s="90"/>
      <c r="D71" s="90"/>
      <c r="E71" s="90"/>
      <c r="F71" s="90"/>
      <c r="G71" s="90">
        <v>1</v>
      </c>
      <c r="H71" s="90"/>
      <c r="I71" s="90"/>
      <c r="J71" s="90"/>
      <c r="K71" s="90"/>
      <c r="L71" s="90"/>
      <c r="M71" s="90"/>
      <c r="N71" s="90"/>
      <c r="O71" s="90"/>
      <c r="P71" s="90">
        <f t="shared" ref="P71:P134" si="12">SUM(F71:O71)</f>
        <v>1</v>
      </c>
      <c r="Q71" s="90">
        <f>SUM($B71:E71)</f>
        <v>0</v>
      </c>
      <c r="R71" s="89"/>
      <c r="AH71" s="90">
        <f t="shared" ref="AH71:AH134" si="13">SUM(X71:AG71)</f>
        <v>0</v>
      </c>
      <c r="AI71" s="90">
        <f t="shared" ref="AI71:AI134" si="14">SUM(T71:W71)</f>
        <v>0</v>
      </c>
      <c r="AJ71" s="89"/>
      <c r="AZ71" s="90">
        <f t="shared" ref="AZ71:AZ134" si="15">SUM(AP71:AY71)</f>
        <v>0</v>
      </c>
      <c r="BA71" s="90">
        <f t="shared" ref="BA71:BA134" si="16">SUM(AL71:AO71)</f>
        <v>0</v>
      </c>
      <c r="BB71" s="89"/>
      <c r="BC71" s="88" t="s">
        <v>112</v>
      </c>
      <c r="BD71" s="90"/>
      <c r="BE71" s="90"/>
      <c r="BF71" s="90"/>
      <c r="BG71" s="90"/>
      <c r="BH71" s="90"/>
      <c r="BI71" s="90"/>
      <c r="BJ71" s="90">
        <v>16.672000000000001</v>
      </c>
      <c r="BK71" s="90"/>
      <c r="BL71" s="90">
        <v>17.399999999999999</v>
      </c>
      <c r="BM71" s="90"/>
      <c r="BN71" s="90"/>
      <c r="BO71" s="90">
        <v>2.7</v>
      </c>
      <c r="BP71" s="90"/>
      <c r="BQ71" s="90"/>
      <c r="BR71" s="90">
        <f t="shared" ref="BR71:BR134" si="17">SUM(BH71:BQ71)</f>
        <v>36.772000000000006</v>
      </c>
      <c r="BS71" s="90">
        <f>ROUND(BR71*IFERROR(VLOOKUP($BC71,'3121% SY'!$A$2:$M$324,13,FALSE),0),3)</f>
        <v>8.31</v>
      </c>
      <c r="BT71" s="90">
        <f t="shared" ref="BT71:BT134" si="18">SUM(BD71:BG71)</f>
        <v>0</v>
      </c>
      <c r="BU71" s="90">
        <f>ROUND(BT71*IFERROR(VLOOKUP($BC71,'3121% SY'!$A$2:$M$324,13,FALSE),0),3)</f>
        <v>0</v>
      </c>
    </row>
    <row r="72" spans="1:73" x14ac:dyDescent="0.25">
      <c r="A72" s="88" t="s">
        <v>87</v>
      </c>
      <c r="B72" s="90"/>
      <c r="C72" s="90"/>
      <c r="D72" s="90"/>
      <c r="E72" s="90"/>
      <c r="F72" s="90"/>
      <c r="G72" s="90">
        <v>0.5</v>
      </c>
      <c r="H72" s="90"/>
      <c r="I72" s="90"/>
      <c r="J72" s="90"/>
      <c r="K72" s="90"/>
      <c r="L72" s="90"/>
      <c r="M72" s="90"/>
      <c r="N72" s="90"/>
      <c r="O72" s="90"/>
      <c r="P72" s="90">
        <f t="shared" si="12"/>
        <v>0.5</v>
      </c>
      <c r="Q72" s="90">
        <f>SUM($B72:E72)</f>
        <v>0</v>
      </c>
      <c r="R72" s="89"/>
      <c r="AH72" s="90">
        <f t="shared" si="13"/>
        <v>0</v>
      </c>
      <c r="AI72" s="90">
        <f t="shared" si="14"/>
        <v>0</v>
      </c>
      <c r="AJ72" s="89"/>
      <c r="AZ72" s="90">
        <f t="shared" si="15"/>
        <v>0</v>
      </c>
      <c r="BA72" s="90">
        <f t="shared" si="16"/>
        <v>0</v>
      </c>
      <c r="BB72" s="89"/>
      <c r="BC72" s="88" t="s">
        <v>113</v>
      </c>
      <c r="BD72" s="90"/>
      <c r="BE72" s="90"/>
      <c r="BF72" s="90"/>
      <c r="BG72" s="90"/>
      <c r="BH72" s="90"/>
      <c r="BI72" s="90"/>
      <c r="BJ72" s="90"/>
      <c r="BK72" s="90"/>
      <c r="BL72" s="90">
        <v>19.722999999999999</v>
      </c>
      <c r="BM72" s="90">
        <v>30.556999999999999</v>
      </c>
      <c r="BN72" s="90"/>
      <c r="BO72" s="90">
        <v>4.7699999999999996</v>
      </c>
      <c r="BP72" s="90"/>
      <c r="BQ72" s="90"/>
      <c r="BR72" s="90">
        <f t="shared" si="17"/>
        <v>55.05</v>
      </c>
      <c r="BS72" s="90">
        <f>ROUND(BR72*IFERROR(VLOOKUP($BC72,'3121% SY'!$A$2:$M$324,13,FALSE),0),3)</f>
        <v>16.977</v>
      </c>
      <c r="BT72" s="90">
        <f t="shared" si="18"/>
        <v>0</v>
      </c>
      <c r="BU72" s="90">
        <f>ROUND(BT72*IFERROR(VLOOKUP($BC72,'3121% SY'!$A$2:$M$324,13,FALSE),0),3)</f>
        <v>0</v>
      </c>
    </row>
    <row r="73" spans="1:73" x14ac:dyDescent="0.25">
      <c r="A73" s="88" t="s">
        <v>88</v>
      </c>
      <c r="B73" s="90"/>
      <c r="C73" s="90"/>
      <c r="D73" s="90">
        <v>2.7690000000000001</v>
      </c>
      <c r="E73" s="90"/>
      <c r="F73" s="90"/>
      <c r="G73" s="90">
        <v>7</v>
      </c>
      <c r="H73" s="90"/>
      <c r="I73" s="90">
        <v>0.03</v>
      </c>
      <c r="J73" s="90"/>
      <c r="K73" s="90"/>
      <c r="L73" s="90">
        <v>2.9990000000000001</v>
      </c>
      <c r="M73" s="90"/>
      <c r="N73" s="90"/>
      <c r="O73" s="90"/>
      <c r="P73" s="90">
        <f t="shared" si="12"/>
        <v>10.029</v>
      </c>
      <c r="Q73" s="90">
        <f>SUM($B73:E73)</f>
        <v>2.7690000000000001</v>
      </c>
      <c r="R73" s="89"/>
      <c r="AH73" s="90">
        <f t="shared" si="13"/>
        <v>0</v>
      </c>
      <c r="AI73" s="90">
        <f t="shared" si="14"/>
        <v>0</v>
      </c>
      <c r="AJ73" s="89"/>
      <c r="AZ73" s="90">
        <f t="shared" si="15"/>
        <v>0</v>
      </c>
      <c r="BA73" s="90">
        <f t="shared" si="16"/>
        <v>0</v>
      </c>
      <c r="BB73" s="89"/>
      <c r="BC73" s="88" t="s">
        <v>114</v>
      </c>
      <c r="BD73" s="90"/>
      <c r="BE73" s="90"/>
      <c r="BF73" s="90">
        <v>1.653</v>
      </c>
      <c r="BG73" s="90"/>
      <c r="BH73" s="90"/>
      <c r="BI73" s="90"/>
      <c r="BJ73" s="90">
        <v>10.882</v>
      </c>
      <c r="BK73" s="90"/>
      <c r="BL73" s="90">
        <v>24.763999999999999</v>
      </c>
      <c r="BM73" s="90">
        <v>11.108000000000001</v>
      </c>
      <c r="BN73" s="90">
        <v>0.25</v>
      </c>
      <c r="BO73" s="90">
        <v>7.2569999999999997</v>
      </c>
      <c r="BP73" s="90"/>
      <c r="BQ73" s="90"/>
      <c r="BR73" s="90">
        <f t="shared" si="17"/>
        <v>54.261000000000003</v>
      </c>
      <c r="BS73" s="90">
        <f>ROUND(BR73*IFERROR(VLOOKUP($BC73,'3121% SY'!$A$2:$M$324,13,FALSE),0),3)</f>
        <v>11.303000000000001</v>
      </c>
      <c r="BT73" s="90">
        <f t="shared" si="18"/>
        <v>1.653</v>
      </c>
      <c r="BU73" s="90">
        <f>ROUND(BT73*IFERROR(VLOOKUP($BC73,'3121% SY'!$A$2:$M$324,13,FALSE),0),3)</f>
        <v>0.34399999999999997</v>
      </c>
    </row>
    <row r="74" spans="1:73" x14ac:dyDescent="0.25">
      <c r="A74" s="88" t="s">
        <v>89</v>
      </c>
      <c r="B74" s="90"/>
      <c r="C74" s="90">
        <v>0.20399999999999999</v>
      </c>
      <c r="D74" s="90"/>
      <c r="E74" s="90"/>
      <c r="F74" s="90"/>
      <c r="G74" s="90">
        <v>0.05</v>
      </c>
      <c r="H74" s="90"/>
      <c r="I74" s="90"/>
      <c r="J74" s="90"/>
      <c r="K74" s="90">
        <v>0.4</v>
      </c>
      <c r="L74" s="90"/>
      <c r="M74" s="90"/>
      <c r="N74" s="90"/>
      <c r="O74" s="90"/>
      <c r="P74" s="90">
        <f t="shared" si="12"/>
        <v>0.45</v>
      </c>
      <c r="Q74" s="90">
        <f>SUM($B74:E74)</f>
        <v>0.20399999999999999</v>
      </c>
      <c r="R74" s="89"/>
      <c r="AH74" s="90">
        <f t="shared" si="13"/>
        <v>0</v>
      </c>
      <c r="AI74" s="90">
        <f t="shared" si="14"/>
        <v>0</v>
      </c>
      <c r="AJ74" s="89"/>
      <c r="AZ74" s="90">
        <f t="shared" si="15"/>
        <v>0</v>
      </c>
      <c r="BA74" s="90">
        <f t="shared" si="16"/>
        <v>0</v>
      </c>
      <c r="BB74" s="89"/>
      <c r="BC74" s="88" t="s">
        <v>631</v>
      </c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>
        <v>3.1</v>
      </c>
      <c r="BR74" s="90">
        <f t="shared" si="17"/>
        <v>3.1</v>
      </c>
      <c r="BS74" s="90">
        <f>ROUND(BR74*IFERROR(VLOOKUP($BC74,'3121% SY'!$A$2:$M$324,13,FALSE),0),3)</f>
        <v>0.40799999999999997</v>
      </c>
      <c r="BT74" s="90">
        <f t="shared" si="18"/>
        <v>0</v>
      </c>
      <c r="BU74" s="90">
        <f>ROUND(BT74*IFERROR(VLOOKUP($BC74,'3121% SY'!$A$2:$M$324,13,FALSE),0),3)</f>
        <v>0</v>
      </c>
    </row>
    <row r="75" spans="1:73" x14ac:dyDescent="0.25">
      <c r="A75" s="88" t="s">
        <v>90</v>
      </c>
      <c r="B75" s="90"/>
      <c r="C75" s="90"/>
      <c r="D75" s="90">
        <v>0.66400000000000003</v>
      </c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>
        <f t="shared" si="12"/>
        <v>0</v>
      </c>
      <c r="Q75" s="90">
        <f>SUM($B75:E75)</f>
        <v>0.66400000000000003</v>
      </c>
      <c r="R75" s="89"/>
      <c r="AH75" s="90">
        <f t="shared" si="13"/>
        <v>0</v>
      </c>
      <c r="AI75" s="90">
        <f t="shared" si="14"/>
        <v>0</v>
      </c>
      <c r="AJ75" s="89"/>
      <c r="AZ75" s="90">
        <f t="shared" si="15"/>
        <v>0</v>
      </c>
      <c r="BA75" s="90">
        <f t="shared" si="16"/>
        <v>0</v>
      </c>
      <c r="BB75" s="89"/>
      <c r="BC75" s="88" t="s">
        <v>654</v>
      </c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>
        <v>1.5</v>
      </c>
      <c r="BR75" s="90">
        <f t="shared" si="17"/>
        <v>1.5</v>
      </c>
      <c r="BS75" s="90">
        <f>ROUND(BR75*IFERROR(VLOOKUP($BC75,'3121% SY'!$A$2:$M$324,13,FALSE),0),3)</f>
        <v>0.15</v>
      </c>
      <c r="BT75" s="90">
        <f t="shared" si="18"/>
        <v>0</v>
      </c>
      <c r="BU75" s="90">
        <f>ROUND(BT75*IFERROR(VLOOKUP($BC75,'3121% SY'!$A$2:$M$324,13,FALSE),0),3)</f>
        <v>0</v>
      </c>
    </row>
    <row r="76" spans="1:73" x14ac:dyDescent="0.25">
      <c r="A76" s="88" t="s">
        <v>91</v>
      </c>
      <c r="B76" s="90"/>
      <c r="C76" s="90">
        <v>4.5999999999999999E-2</v>
      </c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>
        <f t="shared" si="12"/>
        <v>0</v>
      </c>
      <c r="Q76" s="90">
        <f>SUM($B76:E76)</f>
        <v>4.5999999999999999E-2</v>
      </c>
      <c r="R76" s="89"/>
      <c r="AH76" s="90">
        <f t="shared" si="13"/>
        <v>0</v>
      </c>
      <c r="AI76" s="90">
        <f t="shared" si="14"/>
        <v>0</v>
      </c>
      <c r="AJ76" s="89"/>
      <c r="AZ76" s="90">
        <f t="shared" si="15"/>
        <v>0</v>
      </c>
      <c r="BA76" s="90">
        <f t="shared" si="16"/>
        <v>0</v>
      </c>
      <c r="BB76" s="89"/>
      <c r="BC76" s="88" t="s">
        <v>1111</v>
      </c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>
        <v>1.7</v>
      </c>
      <c r="BR76" s="90">
        <f t="shared" si="17"/>
        <v>1.7</v>
      </c>
      <c r="BS76" s="90">
        <f>ROUND(BR76*IFERROR(VLOOKUP($BC76,'3121% SY'!$A$2:$M$324,13,FALSE),0),3)</f>
        <v>0.13600000000000001</v>
      </c>
      <c r="BT76" s="90">
        <f t="shared" si="18"/>
        <v>0</v>
      </c>
      <c r="BU76" s="90">
        <f>ROUND(BT76*IFERROR(VLOOKUP($BC76,'3121% SY'!$A$2:$M$324,13,FALSE),0),3)</f>
        <v>0</v>
      </c>
    </row>
    <row r="77" spans="1:73" x14ac:dyDescent="0.25">
      <c r="A77" s="88" t="s">
        <v>93</v>
      </c>
      <c r="B77" s="90"/>
      <c r="C77" s="90"/>
      <c r="D77" s="90"/>
      <c r="E77" s="90"/>
      <c r="F77" s="90"/>
      <c r="G77" s="90">
        <v>0.44900000000000001</v>
      </c>
      <c r="H77" s="90"/>
      <c r="I77" s="90"/>
      <c r="J77" s="90"/>
      <c r="K77" s="90"/>
      <c r="L77" s="90"/>
      <c r="M77" s="90"/>
      <c r="N77" s="90"/>
      <c r="O77" s="90"/>
      <c r="P77" s="90">
        <f t="shared" si="12"/>
        <v>0.44900000000000001</v>
      </c>
      <c r="Q77" s="90">
        <f>SUM($B77:E77)</f>
        <v>0</v>
      </c>
      <c r="R77" s="89"/>
      <c r="AH77" s="90">
        <f t="shared" si="13"/>
        <v>0</v>
      </c>
      <c r="AI77" s="90">
        <f t="shared" si="14"/>
        <v>0</v>
      </c>
      <c r="AJ77" s="89"/>
      <c r="AZ77" s="90">
        <f t="shared" si="15"/>
        <v>0</v>
      </c>
      <c r="BA77" s="90">
        <f t="shared" si="16"/>
        <v>0</v>
      </c>
      <c r="BB77" s="89"/>
      <c r="BC77" s="88" t="s">
        <v>116</v>
      </c>
      <c r="BD77" s="90"/>
      <c r="BE77" s="90"/>
      <c r="BF77" s="90">
        <v>1.603</v>
      </c>
      <c r="BG77" s="90"/>
      <c r="BH77" s="90"/>
      <c r="BI77" s="90"/>
      <c r="BJ77" s="90">
        <v>2.2000000000000002</v>
      </c>
      <c r="BK77" s="90"/>
      <c r="BL77" s="90">
        <v>6.1289999999999996</v>
      </c>
      <c r="BM77" s="90">
        <v>2.694</v>
      </c>
      <c r="BN77" s="90"/>
      <c r="BO77" s="90">
        <v>0.6</v>
      </c>
      <c r="BP77" s="90"/>
      <c r="BQ77" s="90"/>
      <c r="BR77" s="90">
        <f t="shared" si="17"/>
        <v>11.622999999999999</v>
      </c>
      <c r="BS77" s="90">
        <f>ROUND(BR77*IFERROR(VLOOKUP($BC77,'3121% SY'!$A$2:$M$324,13,FALSE),0),3)</f>
        <v>3.149</v>
      </c>
      <c r="BT77" s="90">
        <f t="shared" si="18"/>
        <v>1.603</v>
      </c>
      <c r="BU77" s="90">
        <f>ROUND(BT77*IFERROR(VLOOKUP($BC77,'3121% SY'!$A$2:$M$324,13,FALSE),0),3)</f>
        <v>0.434</v>
      </c>
    </row>
    <row r="78" spans="1:73" x14ac:dyDescent="0.25">
      <c r="A78" s="88" t="s">
        <v>94</v>
      </c>
      <c r="B78" s="90"/>
      <c r="C78" s="90"/>
      <c r="D78" s="90"/>
      <c r="E78" s="90"/>
      <c r="F78" s="90"/>
      <c r="G78" s="90">
        <v>1</v>
      </c>
      <c r="H78" s="90"/>
      <c r="I78" s="90"/>
      <c r="J78" s="90"/>
      <c r="K78" s="90"/>
      <c r="L78" s="90">
        <v>1</v>
      </c>
      <c r="M78" s="90"/>
      <c r="N78" s="90"/>
      <c r="O78" s="90"/>
      <c r="P78" s="90">
        <f t="shared" si="12"/>
        <v>2</v>
      </c>
      <c r="Q78" s="90">
        <f>SUM($B78:E78)</f>
        <v>0</v>
      </c>
      <c r="R78" s="89"/>
      <c r="AH78" s="90">
        <f t="shared" si="13"/>
        <v>0</v>
      </c>
      <c r="AI78" s="90">
        <f t="shared" si="14"/>
        <v>0</v>
      </c>
      <c r="AJ78" s="89"/>
      <c r="AZ78" s="90">
        <f t="shared" si="15"/>
        <v>0</v>
      </c>
      <c r="BA78" s="90">
        <f t="shared" si="16"/>
        <v>0</v>
      </c>
      <c r="BB78" s="89"/>
      <c r="BC78" s="88" t="s">
        <v>117</v>
      </c>
      <c r="BD78" s="90"/>
      <c r="BE78" s="90"/>
      <c r="BF78" s="90"/>
      <c r="BG78" s="90"/>
      <c r="BH78" s="90"/>
      <c r="BI78" s="90"/>
      <c r="BJ78" s="90">
        <v>0.8</v>
      </c>
      <c r="BK78" s="90"/>
      <c r="BL78" s="90">
        <v>3.3039999999999998</v>
      </c>
      <c r="BM78" s="90">
        <v>1.31</v>
      </c>
      <c r="BN78" s="90"/>
      <c r="BO78" s="90">
        <v>0.53</v>
      </c>
      <c r="BP78" s="90"/>
      <c r="BQ78" s="90"/>
      <c r="BR78" s="90">
        <f t="shared" si="17"/>
        <v>5.944</v>
      </c>
      <c r="BS78" s="90">
        <f>ROUND(BR78*IFERROR(VLOOKUP($BC78,'3121% SY'!$A$2:$M$324,13,FALSE),0),3)</f>
        <v>1.21</v>
      </c>
      <c r="BT78" s="90">
        <f t="shared" si="18"/>
        <v>0</v>
      </c>
      <c r="BU78" s="90">
        <f>ROUND(BT78*IFERROR(VLOOKUP($BC78,'3121% SY'!$A$2:$M$324,13,FALSE),0),3)</f>
        <v>0</v>
      </c>
    </row>
    <row r="79" spans="1:73" x14ac:dyDescent="0.25">
      <c r="A79" s="88" t="s">
        <v>95</v>
      </c>
      <c r="B79" s="90"/>
      <c r="C79" s="90"/>
      <c r="D79" s="90"/>
      <c r="E79" s="90"/>
      <c r="F79" s="90"/>
      <c r="G79" s="90">
        <v>1</v>
      </c>
      <c r="H79" s="90"/>
      <c r="I79" s="90"/>
      <c r="J79" s="90"/>
      <c r="K79" s="90"/>
      <c r="L79" s="90"/>
      <c r="M79" s="90"/>
      <c r="N79" s="90"/>
      <c r="O79" s="90"/>
      <c r="P79" s="90">
        <f t="shared" si="12"/>
        <v>1</v>
      </c>
      <c r="Q79" s="90">
        <f>SUM($B79:E79)</f>
        <v>0</v>
      </c>
      <c r="R79" s="89"/>
      <c r="AH79" s="90">
        <f t="shared" si="13"/>
        <v>0</v>
      </c>
      <c r="AI79" s="90">
        <f t="shared" si="14"/>
        <v>0</v>
      </c>
      <c r="AJ79" s="89"/>
      <c r="AZ79" s="90">
        <f t="shared" si="15"/>
        <v>0</v>
      </c>
      <c r="BA79" s="90">
        <f t="shared" si="16"/>
        <v>0</v>
      </c>
      <c r="BB79" s="89"/>
      <c r="BC79" s="88" t="s">
        <v>118</v>
      </c>
      <c r="BD79" s="90"/>
      <c r="BE79" s="90"/>
      <c r="BF79" s="90"/>
      <c r="BG79" s="90"/>
      <c r="BH79" s="90"/>
      <c r="BI79" s="90"/>
      <c r="BJ79" s="90">
        <v>2.895</v>
      </c>
      <c r="BK79" s="90"/>
      <c r="BL79" s="90">
        <v>6.907</v>
      </c>
      <c r="BM79" s="90">
        <v>3.6179999999999999</v>
      </c>
      <c r="BN79" s="90"/>
      <c r="BO79" s="90">
        <v>0.53900000000000003</v>
      </c>
      <c r="BP79" s="90"/>
      <c r="BQ79" s="90"/>
      <c r="BR79" s="90">
        <f t="shared" si="17"/>
        <v>13.959</v>
      </c>
      <c r="BS79" s="90">
        <f>ROUND(BR79*IFERROR(VLOOKUP($BC79,'3121% SY'!$A$2:$M$324,13,FALSE),0),3)</f>
        <v>2.7949999999999999</v>
      </c>
      <c r="BT79" s="90">
        <f t="shared" si="18"/>
        <v>0</v>
      </c>
      <c r="BU79" s="90">
        <f>ROUND(BT79*IFERROR(VLOOKUP($BC79,'3121% SY'!$A$2:$M$324,13,FALSE),0),3)</f>
        <v>0</v>
      </c>
    </row>
    <row r="80" spans="1:73" x14ac:dyDescent="0.25">
      <c r="A80" s="88" t="s">
        <v>96</v>
      </c>
      <c r="B80" s="90">
        <v>0.55000000000000004</v>
      </c>
      <c r="C80" s="90">
        <v>0.43</v>
      </c>
      <c r="D80" s="90"/>
      <c r="E80" s="90"/>
      <c r="F80" s="90"/>
      <c r="G80" s="90">
        <v>36.036999999999999</v>
      </c>
      <c r="H80" s="90">
        <v>1.1000000000000001</v>
      </c>
      <c r="I80" s="90">
        <v>25.425000000000001</v>
      </c>
      <c r="J80" s="90">
        <v>0.08</v>
      </c>
      <c r="K80" s="90">
        <v>0.55000000000000004</v>
      </c>
      <c r="L80" s="90">
        <v>30.026</v>
      </c>
      <c r="M80" s="90"/>
      <c r="N80" s="90"/>
      <c r="O80" s="90"/>
      <c r="P80" s="90">
        <f t="shared" si="12"/>
        <v>93.217999999999989</v>
      </c>
      <c r="Q80" s="90">
        <f>SUM($B80:E80)</f>
        <v>0.98</v>
      </c>
      <c r="R80" s="89"/>
      <c r="AH80" s="90">
        <f t="shared" si="13"/>
        <v>0</v>
      </c>
      <c r="AI80" s="90">
        <f t="shared" si="14"/>
        <v>0</v>
      </c>
      <c r="AJ80" s="89"/>
      <c r="AZ80" s="90">
        <f t="shared" si="15"/>
        <v>0</v>
      </c>
      <c r="BA80" s="90">
        <f t="shared" si="16"/>
        <v>0</v>
      </c>
      <c r="BB80" s="89"/>
      <c r="BC80" s="88" t="s">
        <v>119</v>
      </c>
      <c r="BD80" s="90"/>
      <c r="BE80" s="90"/>
      <c r="BF80" s="90"/>
      <c r="BG80" s="90"/>
      <c r="BH80" s="90"/>
      <c r="BI80" s="90"/>
      <c r="BJ80" s="90">
        <v>2.9140000000000001</v>
      </c>
      <c r="BK80" s="90"/>
      <c r="BL80" s="90">
        <v>6.5</v>
      </c>
      <c r="BM80" s="90">
        <v>5</v>
      </c>
      <c r="BN80" s="90"/>
      <c r="BO80" s="90">
        <v>0.6</v>
      </c>
      <c r="BP80" s="90"/>
      <c r="BQ80" s="90">
        <v>12.374000000000001</v>
      </c>
      <c r="BR80" s="90">
        <f t="shared" si="17"/>
        <v>27.387999999999998</v>
      </c>
      <c r="BS80" s="90">
        <f>ROUND(BR80*IFERROR(VLOOKUP($BC80,'3121% SY'!$A$2:$M$324,13,FALSE),0),3)</f>
        <v>7.2220000000000004</v>
      </c>
      <c r="BT80" s="90">
        <f t="shared" si="18"/>
        <v>0</v>
      </c>
      <c r="BU80" s="90">
        <f>ROUND(BT80*IFERROR(VLOOKUP($BC80,'3121% SY'!$A$2:$M$324,13,FALSE),0),3)</f>
        <v>0</v>
      </c>
    </row>
    <row r="81" spans="1:73" x14ac:dyDescent="0.25">
      <c r="A81" s="88" t="s">
        <v>97</v>
      </c>
      <c r="B81" s="90"/>
      <c r="C81" s="90"/>
      <c r="D81" s="90"/>
      <c r="E81" s="90"/>
      <c r="F81" s="90"/>
      <c r="G81" s="90">
        <v>20.803999999999998</v>
      </c>
      <c r="H81" s="90"/>
      <c r="I81" s="90">
        <v>4.33</v>
      </c>
      <c r="J81" s="90"/>
      <c r="K81" s="90"/>
      <c r="L81" s="90">
        <v>9.42</v>
      </c>
      <c r="M81" s="90"/>
      <c r="N81" s="90"/>
      <c r="O81" s="90"/>
      <c r="P81" s="90">
        <f t="shared" si="12"/>
        <v>34.554000000000002</v>
      </c>
      <c r="Q81" s="90">
        <f>SUM($B81:E81)</f>
        <v>0</v>
      </c>
      <c r="R81" s="89"/>
      <c r="AH81" s="90">
        <f t="shared" si="13"/>
        <v>0</v>
      </c>
      <c r="AI81" s="90">
        <f t="shared" si="14"/>
        <v>0</v>
      </c>
      <c r="AJ81" s="89"/>
      <c r="AZ81" s="90">
        <f t="shared" si="15"/>
        <v>0</v>
      </c>
      <c r="BA81" s="90">
        <f t="shared" si="16"/>
        <v>0</v>
      </c>
      <c r="BB81" s="89"/>
      <c r="BC81" s="88" t="s">
        <v>652</v>
      </c>
      <c r="BD81" s="90"/>
      <c r="BE81" s="90"/>
      <c r="BF81" s="90"/>
      <c r="BG81" s="90"/>
      <c r="BH81" s="90"/>
      <c r="BI81" s="90"/>
      <c r="BJ81" s="90"/>
      <c r="BK81" s="90"/>
      <c r="BL81" s="90"/>
      <c r="BM81" s="90">
        <v>0.34699999999999998</v>
      </c>
      <c r="BN81" s="90"/>
      <c r="BO81" s="90"/>
      <c r="BP81" s="90"/>
      <c r="BQ81" s="90"/>
      <c r="BR81" s="90">
        <f t="shared" si="17"/>
        <v>0.34699999999999998</v>
      </c>
      <c r="BS81" s="90">
        <f>ROUND(BR81*IFERROR(VLOOKUP($BC81,'3121% SY'!$A$2:$M$324,13,FALSE),0),3)</f>
        <v>3.5000000000000003E-2</v>
      </c>
      <c r="BT81" s="90">
        <f t="shared" si="18"/>
        <v>0</v>
      </c>
      <c r="BU81" s="90">
        <f>ROUND(BT81*IFERROR(VLOOKUP($BC81,'3121% SY'!$A$2:$M$324,13,FALSE),0),3)</f>
        <v>0</v>
      </c>
    </row>
    <row r="82" spans="1:73" x14ac:dyDescent="0.25">
      <c r="A82" s="88" t="s">
        <v>98</v>
      </c>
      <c r="B82" s="90"/>
      <c r="C82" s="90">
        <v>1.6759999999999999</v>
      </c>
      <c r="D82" s="90"/>
      <c r="E82" s="90"/>
      <c r="F82" s="90"/>
      <c r="G82" s="90">
        <v>5.6820000000000004</v>
      </c>
      <c r="H82" s="90"/>
      <c r="I82" s="90"/>
      <c r="J82" s="90"/>
      <c r="K82" s="90"/>
      <c r="L82" s="90">
        <v>0.39800000000000002</v>
      </c>
      <c r="M82" s="90"/>
      <c r="N82" s="90"/>
      <c r="O82" s="90"/>
      <c r="P82" s="90">
        <f t="shared" si="12"/>
        <v>6.08</v>
      </c>
      <c r="Q82" s="90">
        <f>SUM($B82:E82)</f>
        <v>1.6759999999999999</v>
      </c>
      <c r="R82" s="89"/>
      <c r="AH82" s="90">
        <f t="shared" si="13"/>
        <v>0</v>
      </c>
      <c r="AI82" s="90">
        <f t="shared" si="14"/>
        <v>0</v>
      </c>
      <c r="AJ82" s="89"/>
      <c r="AZ82" s="90">
        <f t="shared" si="15"/>
        <v>0</v>
      </c>
      <c r="BA82" s="90">
        <f t="shared" si="16"/>
        <v>0</v>
      </c>
      <c r="BB82" s="89"/>
      <c r="BC82" s="88" t="s">
        <v>125</v>
      </c>
      <c r="BD82" s="90"/>
      <c r="BE82" s="90"/>
      <c r="BF82" s="90"/>
      <c r="BG82" s="90"/>
      <c r="BH82" s="90"/>
      <c r="BI82" s="90"/>
      <c r="BJ82" s="90"/>
      <c r="BK82" s="90"/>
      <c r="BL82" s="90">
        <v>0.5</v>
      </c>
      <c r="BM82" s="90">
        <v>2.5710000000000002</v>
      </c>
      <c r="BN82" s="90"/>
      <c r="BO82" s="90"/>
      <c r="BP82" s="90"/>
      <c r="BQ82" s="90">
        <v>3.7130000000000001</v>
      </c>
      <c r="BR82" s="90">
        <f t="shared" si="17"/>
        <v>6.7840000000000007</v>
      </c>
      <c r="BS82" s="90">
        <f>ROUND(BR82*IFERROR(VLOOKUP($BC82,'3121% SY'!$A$2:$M$324,13,FALSE),0),3)</f>
        <v>1.5429999999999999</v>
      </c>
      <c r="BT82" s="90">
        <f t="shared" si="18"/>
        <v>0</v>
      </c>
      <c r="BU82" s="90">
        <f>ROUND(BT82*IFERROR(VLOOKUP($BC82,'3121% SY'!$A$2:$M$324,13,FALSE),0),3)</f>
        <v>0</v>
      </c>
    </row>
    <row r="83" spans="1:73" x14ac:dyDescent="0.25">
      <c r="A83" s="88" t="s">
        <v>100</v>
      </c>
      <c r="B83" s="90"/>
      <c r="C83" s="90"/>
      <c r="D83" s="90"/>
      <c r="E83" s="90"/>
      <c r="F83" s="90"/>
      <c r="G83" s="90">
        <v>26.212</v>
      </c>
      <c r="H83" s="90"/>
      <c r="I83" s="90">
        <v>2.8</v>
      </c>
      <c r="J83" s="90"/>
      <c r="K83" s="90">
        <v>0.16300000000000001</v>
      </c>
      <c r="L83" s="90">
        <v>9.1999999999999993</v>
      </c>
      <c r="M83" s="90"/>
      <c r="N83" s="90"/>
      <c r="O83" s="90"/>
      <c r="P83" s="90">
        <f t="shared" si="12"/>
        <v>38.375</v>
      </c>
      <c r="Q83" s="90">
        <f>SUM($B83:E83)</f>
        <v>0</v>
      </c>
      <c r="R83" s="89"/>
      <c r="AH83" s="90">
        <f t="shared" si="13"/>
        <v>0</v>
      </c>
      <c r="AI83" s="90">
        <f t="shared" si="14"/>
        <v>0</v>
      </c>
      <c r="AJ83" s="89"/>
      <c r="AZ83" s="90">
        <f t="shared" si="15"/>
        <v>0</v>
      </c>
      <c r="BA83" s="90">
        <f t="shared" si="16"/>
        <v>0</v>
      </c>
      <c r="BB83" s="89"/>
      <c r="BC83" s="88" t="s">
        <v>126</v>
      </c>
      <c r="BD83" s="90"/>
      <c r="BE83" s="90">
        <v>0.24199999999999999</v>
      </c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>
        <f t="shared" si="17"/>
        <v>0</v>
      </c>
      <c r="BS83" s="90">
        <f>ROUND(BR83*IFERROR(VLOOKUP($BC83,'3121% SY'!$A$2:$M$324,13,FALSE),0),3)</f>
        <v>0</v>
      </c>
      <c r="BT83" s="90">
        <f t="shared" si="18"/>
        <v>0.24199999999999999</v>
      </c>
      <c r="BU83" s="90">
        <f>ROUND(BT83*IFERROR(VLOOKUP($BC83,'3121% SY'!$A$2:$M$324,13,FALSE),0),3)</f>
        <v>5.2999999999999999E-2</v>
      </c>
    </row>
    <row r="84" spans="1:73" x14ac:dyDescent="0.25">
      <c r="A84" s="88" t="s">
        <v>101</v>
      </c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>
        <v>0.69</v>
      </c>
      <c r="M84" s="90"/>
      <c r="N84" s="90"/>
      <c r="O84" s="90"/>
      <c r="P84" s="90">
        <f t="shared" si="12"/>
        <v>0.69</v>
      </c>
      <c r="Q84" s="90">
        <f>SUM($B84:E84)</f>
        <v>0</v>
      </c>
      <c r="R84" s="89"/>
      <c r="AH84" s="90">
        <f t="shared" si="13"/>
        <v>0</v>
      </c>
      <c r="AI84" s="90">
        <f t="shared" si="14"/>
        <v>0</v>
      </c>
      <c r="AJ84" s="89"/>
      <c r="AZ84" s="90">
        <f t="shared" si="15"/>
        <v>0</v>
      </c>
      <c r="BA84" s="90">
        <f t="shared" si="16"/>
        <v>0</v>
      </c>
      <c r="BB84" s="89"/>
      <c r="BC84" s="88" t="s">
        <v>127</v>
      </c>
      <c r="BD84" s="90"/>
      <c r="BE84" s="90"/>
      <c r="BF84" s="90">
        <v>1.3</v>
      </c>
      <c r="BG84" s="90"/>
      <c r="BH84" s="90"/>
      <c r="BI84" s="90"/>
      <c r="BJ84" s="90"/>
      <c r="BK84" s="90"/>
      <c r="BL84" s="90"/>
      <c r="BM84" s="90">
        <v>0.46500000000000002</v>
      </c>
      <c r="BN84" s="90"/>
      <c r="BO84" s="90"/>
      <c r="BP84" s="90"/>
      <c r="BQ84" s="90"/>
      <c r="BR84" s="90">
        <f t="shared" si="17"/>
        <v>0.46500000000000002</v>
      </c>
      <c r="BS84" s="90">
        <f>ROUND(BR84*IFERROR(VLOOKUP($BC84,'3121% SY'!$A$2:$M$324,13,FALSE),0),3)</f>
        <v>8.1000000000000003E-2</v>
      </c>
      <c r="BT84" s="90">
        <f t="shared" si="18"/>
        <v>1.3</v>
      </c>
      <c r="BU84" s="90">
        <f>ROUND(BT84*IFERROR(VLOOKUP($BC84,'3121% SY'!$A$2:$M$324,13,FALSE),0),3)</f>
        <v>0.22800000000000001</v>
      </c>
    </row>
    <row r="85" spans="1:73" x14ac:dyDescent="0.25">
      <c r="A85" s="88" t="s">
        <v>102</v>
      </c>
      <c r="B85" s="90"/>
      <c r="C85" s="90"/>
      <c r="D85" s="90"/>
      <c r="E85" s="90"/>
      <c r="F85" s="90"/>
      <c r="G85" s="90">
        <v>17.649999999999999</v>
      </c>
      <c r="H85" s="90"/>
      <c r="I85" s="90"/>
      <c r="J85" s="90">
        <v>0.4</v>
      </c>
      <c r="K85" s="90"/>
      <c r="L85" s="90">
        <v>6.7389999999999999</v>
      </c>
      <c r="M85" s="90"/>
      <c r="N85" s="90"/>
      <c r="O85" s="90"/>
      <c r="P85" s="90">
        <f t="shared" si="12"/>
        <v>24.788999999999998</v>
      </c>
      <c r="Q85" s="90">
        <f>SUM($B85:E85)</f>
        <v>0</v>
      </c>
      <c r="R85" s="89"/>
      <c r="AH85" s="90">
        <f t="shared" si="13"/>
        <v>0</v>
      </c>
      <c r="AI85" s="90">
        <f t="shared" si="14"/>
        <v>0</v>
      </c>
      <c r="AJ85" s="89"/>
      <c r="AZ85" s="90">
        <f t="shared" si="15"/>
        <v>0</v>
      </c>
      <c r="BA85" s="90">
        <f t="shared" si="16"/>
        <v>0</v>
      </c>
      <c r="BB85" s="89"/>
      <c r="BC85" s="88" t="s">
        <v>138</v>
      </c>
      <c r="BD85" s="90"/>
      <c r="BE85" s="90">
        <v>0.36299999999999999</v>
      </c>
      <c r="BF85" s="90">
        <v>0.51200000000000001</v>
      </c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>
        <v>1.875</v>
      </c>
      <c r="BR85" s="90">
        <f t="shared" si="17"/>
        <v>1.875</v>
      </c>
      <c r="BS85" s="90">
        <f>ROUND(BR85*IFERROR(VLOOKUP($BC85,'3121% SY'!$A$2:$M$324,13,FALSE),0),3)</f>
        <v>0.34200000000000003</v>
      </c>
      <c r="BT85" s="90">
        <f t="shared" si="18"/>
        <v>0.875</v>
      </c>
      <c r="BU85" s="90">
        <f>ROUND(BT85*IFERROR(VLOOKUP($BC85,'3121% SY'!$A$2:$M$324,13,FALSE),0),3)</f>
        <v>0.16</v>
      </c>
    </row>
    <row r="86" spans="1:73" x14ac:dyDescent="0.25">
      <c r="A86" s="88" t="s">
        <v>104</v>
      </c>
      <c r="B86" s="90"/>
      <c r="C86" s="90"/>
      <c r="D86" s="90"/>
      <c r="E86" s="90"/>
      <c r="F86" s="90"/>
      <c r="G86" s="90">
        <v>29.792999999999999</v>
      </c>
      <c r="H86" s="90"/>
      <c r="I86" s="90">
        <v>0.48</v>
      </c>
      <c r="J86" s="90"/>
      <c r="K86" s="90"/>
      <c r="L86" s="90">
        <v>8.7040000000000006</v>
      </c>
      <c r="M86" s="90"/>
      <c r="N86" s="90"/>
      <c r="O86" s="90"/>
      <c r="P86" s="90">
        <f t="shared" si="12"/>
        <v>38.977000000000004</v>
      </c>
      <c r="Q86" s="90">
        <f>SUM($B86:E86)</f>
        <v>0</v>
      </c>
      <c r="R86" s="89"/>
      <c r="AH86" s="90">
        <f t="shared" si="13"/>
        <v>0</v>
      </c>
      <c r="AI86" s="90">
        <f t="shared" si="14"/>
        <v>0</v>
      </c>
      <c r="AJ86" s="89"/>
      <c r="AZ86" s="90">
        <f t="shared" si="15"/>
        <v>0</v>
      </c>
      <c r="BA86" s="90">
        <f t="shared" si="16"/>
        <v>0</v>
      </c>
      <c r="BB86" s="89"/>
      <c r="BC86" s="88" t="s">
        <v>140</v>
      </c>
      <c r="BD86" s="90"/>
      <c r="BE86" s="90"/>
      <c r="BF86" s="90"/>
      <c r="BG86" s="90"/>
      <c r="BH86" s="90"/>
      <c r="BI86" s="90"/>
      <c r="BJ86" s="90">
        <v>1.2</v>
      </c>
      <c r="BK86" s="90"/>
      <c r="BL86" s="90"/>
      <c r="BM86" s="90"/>
      <c r="BN86" s="90"/>
      <c r="BO86" s="90"/>
      <c r="BP86" s="90"/>
      <c r="BQ86" s="90"/>
      <c r="BR86" s="90">
        <f t="shared" si="17"/>
        <v>1.2</v>
      </c>
      <c r="BS86" s="90">
        <f>ROUND(BR86*IFERROR(VLOOKUP($BC86,'3121% SY'!$A$2:$M$324,13,FALSE),0),3)</f>
        <v>0.373</v>
      </c>
      <c r="BT86" s="90">
        <f t="shared" si="18"/>
        <v>0</v>
      </c>
      <c r="BU86" s="90">
        <f>ROUND(BT86*IFERROR(VLOOKUP($BC86,'3121% SY'!$A$2:$M$324,13,FALSE),0),3)</f>
        <v>0</v>
      </c>
    </row>
    <row r="87" spans="1:73" x14ac:dyDescent="0.25">
      <c r="A87" s="88" t="s">
        <v>105</v>
      </c>
      <c r="B87" s="90"/>
      <c r="C87" s="90"/>
      <c r="D87" s="90"/>
      <c r="E87" s="90"/>
      <c r="F87" s="90"/>
      <c r="G87" s="90">
        <v>0.34</v>
      </c>
      <c r="H87" s="90"/>
      <c r="I87" s="90">
        <v>3</v>
      </c>
      <c r="J87" s="90"/>
      <c r="K87" s="90"/>
      <c r="L87" s="90"/>
      <c r="M87" s="90"/>
      <c r="N87" s="90"/>
      <c r="O87" s="90"/>
      <c r="P87" s="90">
        <f t="shared" si="12"/>
        <v>3.34</v>
      </c>
      <c r="Q87" s="90">
        <f>SUM($B87:E87)</f>
        <v>0</v>
      </c>
      <c r="R87" s="89"/>
      <c r="AH87" s="90">
        <f t="shared" si="13"/>
        <v>0</v>
      </c>
      <c r="AI87" s="90">
        <f t="shared" si="14"/>
        <v>0</v>
      </c>
      <c r="AJ87" s="89"/>
      <c r="AZ87" s="90">
        <f t="shared" si="15"/>
        <v>0</v>
      </c>
      <c r="BA87" s="90">
        <f t="shared" si="16"/>
        <v>0</v>
      </c>
      <c r="BB87" s="89"/>
      <c r="BC87" s="88" t="s">
        <v>143</v>
      </c>
      <c r="BD87" s="90"/>
      <c r="BE87" s="90">
        <v>0.36899999999999999</v>
      </c>
      <c r="BF87" s="90">
        <v>0.73599999999999999</v>
      </c>
      <c r="BG87" s="90"/>
      <c r="BH87" s="90"/>
      <c r="BI87" s="90"/>
      <c r="BJ87" s="90">
        <v>0.5</v>
      </c>
      <c r="BK87" s="90"/>
      <c r="BL87" s="90">
        <v>1.5</v>
      </c>
      <c r="BM87" s="90">
        <v>0.5</v>
      </c>
      <c r="BN87" s="90"/>
      <c r="BO87" s="90"/>
      <c r="BP87" s="90"/>
      <c r="BQ87" s="90"/>
      <c r="BR87" s="90">
        <f t="shared" si="17"/>
        <v>2.5</v>
      </c>
      <c r="BS87" s="90">
        <f>ROUND(BR87*IFERROR(VLOOKUP($BC87,'3121% SY'!$A$2:$M$324,13,FALSE),0),3)</f>
        <v>0.47799999999999998</v>
      </c>
      <c r="BT87" s="90">
        <f t="shared" si="18"/>
        <v>1.105</v>
      </c>
      <c r="BU87" s="90">
        <f>ROUND(BT87*IFERROR(VLOOKUP($BC87,'3121% SY'!$A$2:$M$324,13,FALSE),0),3)</f>
        <v>0.21099999999999999</v>
      </c>
    </row>
    <row r="88" spans="1:73" x14ac:dyDescent="0.25">
      <c r="A88" s="88" t="s">
        <v>106</v>
      </c>
      <c r="B88" s="90"/>
      <c r="C88" s="90"/>
      <c r="D88" s="90"/>
      <c r="E88" s="90"/>
      <c r="F88" s="90"/>
      <c r="G88" s="90">
        <v>3.99</v>
      </c>
      <c r="H88" s="90"/>
      <c r="I88" s="90"/>
      <c r="J88" s="90"/>
      <c r="K88" s="90">
        <v>0.02</v>
      </c>
      <c r="L88" s="90">
        <v>2</v>
      </c>
      <c r="M88" s="90"/>
      <c r="N88" s="90"/>
      <c r="O88" s="90"/>
      <c r="P88" s="90">
        <f t="shared" si="12"/>
        <v>6.01</v>
      </c>
      <c r="Q88" s="90">
        <f>SUM($B88:E88)</f>
        <v>0</v>
      </c>
      <c r="R88" s="89"/>
      <c r="AH88" s="90">
        <f t="shared" si="13"/>
        <v>0</v>
      </c>
      <c r="AI88" s="90">
        <f t="shared" si="14"/>
        <v>0</v>
      </c>
      <c r="AJ88" s="89"/>
      <c r="AZ88" s="90">
        <f t="shared" si="15"/>
        <v>0</v>
      </c>
      <c r="BA88" s="90">
        <f t="shared" si="16"/>
        <v>0</v>
      </c>
      <c r="BB88" s="89"/>
      <c r="BC88" s="88" t="s">
        <v>148</v>
      </c>
      <c r="BD88" s="90"/>
      <c r="BE88" s="90">
        <v>0.505</v>
      </c>
      <c r="BF88" s="90"/>
      <c r="BG88" s="90"/>
      <c r="BH88" s="90">
        <v>0.15</v>
      </c>
      <c r="BI88" s="90"/>
      <c r="BJ88" s="90"/>
      <c r="BK88" s="90"/>
      <c r="BL88" s="90">
        <v>1.9</v>
      </c>
      <c r="BM88" s="90"/>
      <c r="BN88" s="90"/>
      <c r="BO88" s="90">
        <v>0.66</v>
      </c>
      <c r="BP88" s="90"/>
      <c r="BQ88" s="90"/>
      <c r="BR88" s="90">
        <f t="shared" si="17"/>
        <v>2.71</v>
      </c>
      <c r="BS88" s="90">
        <f>ROUND(BR88*IFERROR(VLOOKUP($BC88,'3121% SY'!$A$2:$M$324,13,FALSE),0),3)</f>
        <v>0.67600000000000005</v>
      </c>
      <c r="BT88" s="90">
        <f t="shared" si="18"/>
        <v>0.505</v>
      </c>
      <c r="BU88" s="90">
        <f>ROUND(BT88*IFERROR(VLOOKUP($BC88,'3121% SY'!$A$2:$M$324,13,FALSE),0),3)</f>
        <v>0.126</v>
      </c>
    </row>
    <row r="89" spans="1:73" x14ac:dyDescent="0.25">
      <c r="A89" s="88" t="s">
        <v>107</v>
      </c>
      <c r="B89" s="90"/>
      <c r="C89" s="90">
        <v>6.56</v>
      </c>
      <c r="D89" s="90">
        <v>10.7</v>
      </c>
      <c r="E89" s="90"/>
      <c r="F89" s="90"/>
      <c r="G89" s="90">
        <v>23.728999999999999</v>
      </c>
      <c r="H89" s="90"/>
      <c r="I89" s="90">
        <v>2</v>
      </c>
      <c r="J89" s="90">
        <v>0.5</v>
      </c>
      <c r="K89" s="90"/>
      <c r="L89" s="90">
        <v>9.7940000000000005</v>
      </c>
      <c r="M89" s="90"/>
      <c r="N89" s="90"/>
      <c r="O89" s="90"/>
      <c r="P89" s="90">
        <f t="shared" si="12"/>
        <v>36.022999999999996</v>
      </c>
      <c r="Q89" s="90">
        <f>SUM($B89:E89)</f>
        <v>17.259999999999998</v>
      </c>
      <c r="R89" s="89"/>
      <c r="AH89" s="90">
        <f t="shared" si="13"/>
        <v>0</v>
      </c>
      <c r="AI89" s="90">
        <f t="shared" si="14"/>
        <v>0</v>
      </c>
      <c r="AJ89" s="89"/>
      <c r="AZ89" s="90">
        <f t="shared" si="15"/>
        <v>0</v>
      </c>
      <c r="BA89" s="90">
        <f t="shared" si="16"/>
        <v>0</v>
      </c>
      <c r="BB89" s="89"/>
      <c r="BC89" s="88" t="s">
        <v>150</v>
      </c>
      <c r="BD89" s="90"/>
      <c r="BE89" s="90"/>
      <c r="BF89" s="90"/>
      <c r="BG89" s="90"/>
      <c r="BH89" s="90"/>
      <c r="BI89" s="90"/>
      <c r="BJ89" s="90">
        <v>1.5349999999999999</v>
      </c>
      <c r="BK89" s="90"/>
      <c r="BL89" s="90">
        <v>1.21</v>
      </c>
      <c r="BM89" s="90">
        <v>0.25</v>
      </c>
      <c r="BN89" s="90"/>
      <c r="BO89" s="90">
        <v>0.43</v>
      </c>
      <c r="BP89" s="90">
        <v>0.53500000000000003</v>
      </c>
      <c r="BQ89" s="90"/>
      <c r="BR89" s="90">
        <f t="shared" si="17"/>
        <v>3.9600000000000004</v>
      </c>
      <c r="BS89" s="90">
        <f>ROUND(BR89*IFERROR(VLOOKUP($BC89,'3121% SY'!$A$2:$M$324,13,FALSE),0),3)</f>
        <v>1.0720000000000001</v>
      </c>
      <c r="BT89" s="90">
        <f t="shared" si="18"/>
        <v>0</v>
      </c>
      <c r="BU89" s="90">
        <f>ROUND(BT89*IFERROR(VLOOKUP($BC89,'3121% SY'!$A$2:$M$324,13,FALSE),0),3)</f>
        <v>0</v>
      </c>
    </row>
    <row r="90" spans="1:73" x14ac:dyDescent="0.25">
      <c r="A90" s="88" t="s">
        <v>108</v>
      </c>
      <c r="B90" s="90"/>
      <c r="C90" s="90"/>
      <c r="D90" s="90"/>
      <c r="E90" s="90"/>
      <c r="F90" s="90"/>
      <c r="G90" s="90">
        <v>8.2349999999999994</v>
      </c>
      <c r="H90" s="90"/>
      <c r="I90" s="90"/>
      <c r="J90" s="90"/>
      <c r="K90" s="90"/>
      <c r="L90" s="90">
        <v>1.06</v>
      </c>
      <c r="M90" s="90"/>
      <c r="N90" s="90"/>
      <c r="O90" s="90"/>
      <c r="P90" s="90">
        <f t="shared" si="12"/>
        <v>9.2949999999999999</v>
      </c>
      <c r="Q90" s="90">
        <f>SUM($B90:E90)</f>
        <v>0</v>
      </c>
      <c r="R90" s="89"/>
      <c r="AH90" s="90">
        <f t="shared" si="13"/>
        <v>0</v>
      </c>
      <c r="AI90" s="90">
        <f t="shared" si="14"/>
        <v>0</v>
      </c>
      <c r="AJ90" s="89"/>
      <c r="AZ90" s="90">
        <f t="shared" si="15"/>
        <v>0</v>
      </c>
      <c r="BA90" s="90">
        <f t="shared" si="16"/>
        <v>0</v>
      </c>
      <c r="BB90" s="89"/>
      <c r="BC90" s="88" t="s">
        <v>157</v>
      </c>
      <c r="BD90" s="90"/>
      <c r="BE90" s="90"/>
      <c r="BF90" s="90"/>
      <c r="BG90" s="90"/>
      <c r="BH90" s="90"/>
      <c r="BI90" s="90"/>
      <c r="BJ90" s="90"/>
      <c r="BK90" s="90"/>
      <c r="BL90" s="90">
        <v>0.5</v>
      </c>
      <c r="BM90" s="90"/>
      <c r="BN90" s="90"/>
      <c r="BO90" s="90"/>
      <c r="BP90" s="90"/>
      <c r="BQ90" s="90"/>
      <c r="BR90" s="90">
        <f t="shared" si="17"/>
        <v>0.5</v>
      </c>
      <c r="BS90" s="90">
        <f>ROUND(BR90*IFERROR(VLOOKUP($BC90,'3121% SY'!$A$2:$M$324,13,FALSE),0),3)</f>
        <v>5.6000000000000001E-2</v>
      </c>
      <c r="BT90" s="90">
        <f t="shared" si="18"/>
        <v>0</v>
      </c>
      <c r="BU90" s="90">
        <f>ROUND(BT90*IFERROR(VLOOKUP($BC90,'3121% SY'!$A$2:$M$324,13,FALSE),0),3)</f>
        <v>0</v>
      </c>
    </row>
    <row r="91" spans="1:73" x14ac:dyDescent="0.25">
      <c r="A91" s="88" t="s">
        <v>109</v>
      </c>
      <c r="B91" s="90"/>
      <c r="C91" s="90"/>
      <c r="D91" s="90"/>
      <c r="E91" s="90"/>
      <c r="F91" s="90"/>
      <c r="G91" s="90">
        <v>8.75</v>
      </c>
      <c r="H91" s="90"/>
      <c r="I91" s="90">
        <v>1.7</v>
      </c>
      <c r="J91" s="90"/>
      <c r="K91" s="90"/>
      <c r="L91" s="90">
        <v>8.9559999999999995</v>
      </c>
      <c r="M91" s="90"/>
      <c r="N91" s="90">
        <v>0.8</v>
      </c>
      <c r="O91" s="90"/>
      <c r="P91" s="90">
        <f t="shared" si="12"/>
        <v>20.206</v>
      </c>
      <c r="Q91" s="90">
        <f>SUM($B91:E91)</f>
        <v>0</v>
      </c>
      <c r="R91" s="89"/>
      <c r="AH91" s="90">
        <f t="shared" si="13"/>
        <v>0</v>
      </c>
      <c r="AI91" s="90">
        <f t="shared" si="14"/>
        <v>0</v>
      </c>
      <c r="AJ91" s="89"/>
      <c r="AZ91" s="90">
        <f t="shared" si="15"/>
        <v>0</v>
      </c>
      <c r="BA91" s="90">
        <f t="shared" si="16"/>
        <v>0</v>
      </c>
      <c r="BB91" s="89"/>
      <c r="BC91" s="88" t="s">
        <v>158</v>
      </c>
      <c r="BD91" s="90"/>
      <c r="BE91" s="90"/>
      <c r="BF91" s="90">
        <v>1.411</v>
      </c>
      <c r="BG91" s="90"/>
      <c r="BH91" s="90"/>
      <c r="BI91" s="90"/>
      <c r="BJ91" s="90">
        <v>1</v>
      </c>
      <c r="BK91" s="90"/>
      <c r="BL91" s="90">
        <v>0.4</v>
      </c>
      <c r="BM91" s="90"/>
      <c r="BN91" s="90"/>
      <c r="BO91" s="90"/>
      <c r="BP91" s="90"/>
      <c r="BQ91" s="90"/>
      <c r="BR91" s="90">
        <f t="shared" si="17"/>
        <v>1.4</v>
      </c>
      <c r="BS91" s="90">
        <f>ROUND(BR91*IFERROR(VLOOKUP($BC91,'3121% SY'!$A$2:$M$324,13,FALSE),0),3)</f>
        <v>0.222</v>
      </c>
      <c r="BT91" s="90">
        <f t="shared" si="18"/>
        <v>1.411</v>
      </c>
      <c r="BU91" s="90">
        <f>ROUND(BT91*IFERROR(VLOOKUP($BC91,'3121% SY'!$A$2:$M$324,13,FALSE),0),3)</f>
        <v>0.223</v>
      </c>
    </row>
    <row r="92" spans="1:73" x14ac:dyDescent="0.25">
      <c r="A92" s="88" t="s">
        <v>110</v>
      </c>
      <c r="B92" s="90"/>
      <c r="C92" s="90"/>
      <c r="D92" s="90"/>
      <c r="E92" s="90"/>
      <c r="F92" s="90"/>
      <c r="G92" s="90">
        <v>16.632999999999999</v>
      </c>
      <c r="H92" s="90"/>
      <c r="I92" s="90">
        <v>3</v>
      </c>
      <c r="J92" s="90">
        <v>0.4</v>
      </c>
      <c r="K92" s="90"/>
      <c r="L92" s="90">
        <v>1</v>
      </c>
      <c r="M92" s="90"/>
      <c r="N92" s="90"/>
      <c r="O92" s="90"/>
      <c r="P92" s="90">
        <f t="shared" si="12"/>
        <v>21.032999999999998</v>
      </c>
      <c r="Q92" s="90">
        <f>SUM($B92:E92)</f>
        <v>0</v>
      </c>
      <c r="R92" s="89"/>
      <c r="AH92" s="90">
        <f t="shared" si="13"/>
        <v>0</v>
      </c>
      <c r="AI92" s="90">
        <f t="shared" si="14"/>
        <v>0</v>
      </c>
      <c r="AJ92" s="89"/>
      <c r="AZ92" s="90">
        <f t="shared" si="15"/>
        <v>0</v>
      </c>
      <c r="BA92" s="90">
        <f t="shared" si="16"/>
        <v>0</v>
      </c>
      <c r="BB92" s="89"/>
      <c r="BC92" s="88" t="s">
        <v>161</v>
      </c>
      <c r="BD92" s="90"/>
      <c r="BE92" s="90"/>
      <c r="BF92" s="90"/>
      <c r="BG92" s="90"/>
      <c r="BH92" s="90"/>
      <c r="BI92" s="90"/>
      <c r="BJ92" s="90">
        <v>0.51</v>
      </c>
      <c r="BK92" s="90"/>
      <c r="BL92" s="90">
        <v>2.65</v>
      </c>
      <c r="BM92" s="90">
        <v>1.1259999999999999</v>
      </c>
      <c r="BN92" s="90"/>
      <c r="BO92" s="90">
        <v>0.42</v>
      </c>
      <c r="BP92" s="90"/>
      <c r="BQ92" s="90"/>
      <c r="BR92" s="90">
        <f t="shared" si="17"/>
        <v>4.7059999999999995</v>
      </c>
      <c r="BS92" s="90">
        <f>ROUND(BR92*IFERROR(VLOOKUP($BC92,'3121% SY'!$A$2:$M$324,13,FALSE),0),3)</f>
        <v>0.88100000000000001</v>
      </c>
      <c r="BT92" s="90">
        <f t="shared" si="18"/>
        <v>0</v>
      </c>
      <c r="BU92" s="90">
        <f>ROUND(BT92*IFERROR(VLOOKUP($BC92,'3121% SY'!$A$2:$M$324,13,FALSE),0),3)</f>
        <v>0</v>
      </c>
    </row>
    <row r="93" spans="1:73" x14ac:dyDescent="0.25">
      <c r="A93" s="88" t="s">
        <v>111</v>
      </c>
      <c r="B93" s="90"/>
      <c r="C93" s="90"/>
      <c r="D93" s="90"/>
      <c r="E93" s="90"/>
      <c r="F93" s="90"/>
      <c r="G93" s="90">
        <v>9.76</v>
      </c>
      <c r="H93" s="90"/>
      <c r="I93" s="90"/>
      <c r="J93" s="90"/>
      <c r="K93" s="90"/>
      <c r="L93" s="90"/>
      <c r="M93" s="90"/>
      <c r="N93" s="90"/>
      <c r="O93" s="90"/>
      <c r="P93" s="90">
        <f t="shared" si="12"/>
        <v>9.76</v>
      </c>
      <c r="Q93" s="90">
        <f>SUM($B93:E93)</f>
        <v>0</v>
      </c>
      <c r="R93" s="89"/>
      <c r="AH93" s="90">
        <f t="shared" si="13"/>
        <v>0</v>
      </c>
      <c r="AI93" s="90">
        <f t="shared" si="14"/>
        <v>0</v>
      </c>
      <c r="AJ93" s="89"/>
      <c r="AZ93" s="90">
        <f t="shared" si="15"/>
        <v>0</v>
      </c>
      <c r="BA93" s="90">
        <f t="shared" si="16"/>
        <v>0</v>
      </c>
      <c r="BB93" s="89"/>
      <c r="BC93" s="88" t="s">
        <v>163</v>
      </c>
      <c r="BD93" s="90"/>
      <c r="BE93" s="90">
        <v>0.58499999999999996</v>
      </c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>
        <f t="shared" si="17"/>
        <v>0</v>
      </c>
      <c r="BS93" s="90">
        <f>ROUND(BR93*IFERROR(VLOOKUP($BC93,'3121% SY'!$A$2:$M$324,13,FALSE),0),3)</f>
        <v>0</v>
      </c>
      <c r="BT93" s="90">
        <f t="shared" si="18"/>
        <v>0.58499999999999996</v>
      </c>
      <c r="BU93" s="90">
        <f>ROUND(BT93*IFERROR(VLOOKUP($BC93,'3121% SY'!$A$2:$M$324,13,FALSE),0),3)</f>
        <v>0.123</v>
      </c>
    </row>
    <row r="94" spans="1:73" x14ac:dyDescent="0.25">
      <c r="A94" s="88" t="s">
        <v>112</v>
      </c>
      <c r="B94" s="90"/>
      <c r="C94" s="90"/>
      <c r="D94" s="90"/>
      <c r="E94" s="90"/>
      <c r="F94" s="90"/>
      <c r="G94" s="90">
        <v>28.943999999999999</v>
      </c>
      <c r="H94" s="90"/>
      <c r="I94" s="90"/>
      <c r="J94" s="90"/>
      <c r="K94" s="90">
        <v>15.2</v>
      </c>
      <c r="L94" s="90"/>
      <c r="M94" s="90"/>
      <c r="N94" s="90"/>
      <c r="O94" s="90"/>
      <c r="P94" s="90">
        <f t="shared" si="12"/>
        <v>44.143999999999998</v>
      </c>
      <c r="Q94" s="90">
        <f>SUM($B94:E94)</f>
        <v>0</v>
      </c>
      <c r="R94" s="89"/>
      <c r="AH94" s="90">
        <f t="shared" si="13"/>
        <v>0</v>
      </c>
      <c r="AI94" s="90">
        <f t="shared" si="14"/>
        <v>0</v>
      </c>
      <c r="AJ94" s="89"/>
      <c r="AZ94" s="90">
        <f t="shared" si="15"/>
        <v>0</v>
      </c>
      <c r="BA94" s="90">
        <f t="shared" si="16"/>
        <v>0</v>
      </c>
      <c r="BB94" s="89"/>
      <c r="BC94" s="88" t="s">
        <v>164</v>
      </c>
      <c r="BD94" s="90"/>
      <c r="BE94" s="90"/>
      <c r="BF94" s="90"/>
      <c r="BG94" s="90"/>
      <c r="BH94" s="90"/>
      <c r="BI94" s="90"/>
      <c r="BJ94" s="90">
        <v>0.59599999999999997</v>
      </c>
      <c r="BK94" s="90"/>
      <c r="BL94" s="90">
        <v>1.6E-2</v>
      </c>
      <c r="BM94" s="90"/>
      <c r="BN94" s="90"/>
      <c r="BO94" s="90"/>
      <c r="BP94" s="90"/>
      <c r="BQ94" s="90"/>
      <c r="BR94" s="90">
        <f t="shared" si="17"/>
        <v>0.61199999999999999</v>
      </c>
      <c r="BS94" s="90">
        <f>ROUND(BR94*IFERROR(VLOOKUP($BC94,'3121% SY'!$A$2:$M$324,13,FALSE),0),3)</f>
        <v>0.111</v>
      </c>
      <c r="BT94" s="90">
        <f t="shared" si="18"/>
        <v>0</v>
      </c>
      <c r="BU94" s="90">
        <f>ROUND(BT94*IFERROR(VLOOKUP($BC94,'3121% SY'!$A$2:$M$324,13,FALSE),0),3)</f>
        <v>0</v>
      </c>
    </row>
    <row r="95" spans="1:73" x14ac:dyDescent="0.25">
      <c r="A95" s="88" t="s">
        <v>113</v>
      </c>
      <c r="B95" s="90"/>
      <c r="C95" s="90">
        <v>5.0410000000000004</v>
      </c>
      <c r="D95" s="90">
        <v>2.9</v>
      </c>
      <c r="E95" s="90"/>
      <c r="F95" s="90"/>
      <c r="G95" s="90">
        <v>12.494999999999999</v>
      </c>
      <c r="H95" s="90"/>
      <c r="I95" s="90">
        <v>5</v>
      </c>
      <c r="J95" s="90"/>
      <c r="K95" s="90"/>
      <c r="L95" s="90">
        <v>10.714</v>
      </c>
      <c r="M95" s="90"/>
      <c r="N95" s="90"/>
      <c r="O95" s="90"/>
      <c r="P95" s="90">
        <f t="shared" si="12"/>
        <v>28.208999999999996</v>
      </c>
      <c r="Q95" s="90">
        <f>SUM($B95:E95)</f>
        <v>7.9410000000000007</v>
      </c>
      <c r="R95" s="89"/>
      <c r="AH95" s="90">
        <f t="shared" si="13"/>
        <v>0</v>
      </c>
      <c r="AI95" s="90">
        <f t="shared" si="14"/>
        <v>0</v>
      </c>
      <c r="AJ95" s="89"/>
      <c r="AZ95" s="90">
        <f t="shared" si="15"/>
        <v>0</v>
      </c>
      <c r="BA95" s="90">
        <f t="shared" si="16"/>
        <v>0</v>
      </c>
      <c r="BB95" s="89"/>
      <c r="BC95" s="88" t="s">
        <v>167</v>
      </c>
      <c r="BD95" s="90"/>
      <c r="BE95" s="90"/>
      <c r="BF95" s="90"/>
      <c r="BG95" s="90"/>
      <c r="BH95" s="90"/>
      <c r="BI95" s="90"/>
      <c r="BJ95" s="90"/>
      <c r="BK95" s="90"/>
      <c r="BL95" s="90">
        <v>2.8</v>
      </c>
      <c r="BM95" s="90">
        <v>1</v>
      </c>
      <c r="BN95" s="90"/>
      <c r="BO95" s="90"/>
      <c r="BP95" s="90"/>
      <c r="BQ95" s="90"/>
      <c r="BR95" s="90">
        <f t="shared" si="17"/>
        <v>3.8</v>
      </c>
      <c r="BS95" s="90">
        <f>ROUND(BR95*IFERROR(VLOOKUP($BC95,'3121% SY'!$A$2:$M$324,13,FALSE),0),3)</f>
        <v>0.71299999999999997</v>
      </c>
      <c r="BT95" s="90">
        <f t="shared" si="18"/>
        <v>0</v>
      </c>
      <c r="BU95" s="90">
        <f>ROUND(BT95*IFERROR(VLOOKUP($BC95,'3121% SY'!$A$2:$M$324,13,FALSE),0),3)</f>
        <v>0</v>
      </c>
    </row>
    <row r="96" spans="1:73" x14ac:dyDescent="0.25">
      <c r="A96" s="88" t="s">
        <v>114</v>
      </c>
      <c r="B96" s="90"/>
      <c r="C96" s="90">
        <v>5.8109999999999999</v>
      </c>
      <c r="D96" s="90">
        <v>14.01</v>
      </c>
      <c r="E96" s="90"/>
      <c r="F96" s="90"/>
      <c r="G96" s="90">
        <v>28.28</v>
      </c>
      <c r="H96" s="90"/>
      <c r="I96" s="90"/>
      <c r="J96" s="90"/>
      <c r="K96" s="90"/>
      <c r="L96" s="90">
        <v>0.75</v>
      </c>
      <c r="M96" s="90"/>
      <c r="N96" s="90"/>
      <c r="O96" s="90"/>
      <c r="P96" s="90">
        <f t="shared" si="12"/>
        <v>29.03</v>
      </c>
      <c r="Q96" s="90">
        <f>SUM($B96:E96)</f>
        <v>19.820999999999998</v>
      </c>
      <c r="R96" s="89"/>
      <c r="AH96" s="90">
        <f t="shared" si="13"/>
        <v>0</v>
      </c>
      <c r="AI96" s="90">
        <f t="shared" si="14"/>
        <v>0</v>
      </c>
      <c r="AJ96" s="89"/>
      <c r="AZ96" s="90">
        <f t="shared" si="15"/>
        <v>0</v>
      </c>
      <c r="BA96" s="90">
        <f t="shared" si="16"/>
        <v>0</v>
      </c>
      <c r="BB96" s="89"/>
      <c r="BC96" s="88" t="s">
        <v>168</v>
      </c>
      <c r="BD96" s="90"/>
      <c r="BE96" s="90"/>
      <c r="BF96" s="90"/>
      <c r="BG96" s="90"/>
      <c r="BH96" s="90"/>
      <c r="BI96" s="90"/>
      <c r="BJ96" s="90"/>
      <c r="BK96" s="90"/>
      <c r="BL96" s="90"/>
      <c r="BM96" s="90">
        <v>0.5</v>
      </c>
      <c r="BN96" s="90"/>
      <c r="BO96" s="90"/>
      <c r="BP96" s="90"/>
      <c r="BQ96" s="90"/>
      <c r="BR96" s="90">
        <f t="shared" si="17"/>
        <v>0.5</v>
      </c>
      <c r="BS96" s="90">
        <f>ROUND(BR96*IFERROR(VLOOKUP($BC96,'3121% SY'!$A$2:$M$324,13,FALSE),0),3)</f>
        <v>0.08</v>
      </c>
      <c r="BT96" s="90">
        <f t="shared" si="18"/>
        <v>0</v>
      </c>
      <c r="BU96" s="90">
        <f>ROUND(BT96*IFERROR(VLOOKUP($BC96,'3121% SY'!$A$2:$M$324,13,FALSE),0),3)</f>
        <v>0</v>
      </c>
    </row>
    <row r="97" spans="1:73" x14ac:dyDescent="0.25">
      <c r="A97" s="88" t="s">
        <v>115</v>
      </c>
      <c r="B97" s="90"/>
      <c r="C97" s="90"/>
      <c r="D97" s="90"/>
      <c r="E97" s="90"/>
      <c r="F97" s="90"/>
      <c r="G97" s="90">
        <v>1</v>
      </c>
      <c r="H97" s="90"/>
      <c r="I97" s="90"/>
      <c r="J97" s="90"/>
      <c r="K97" s="90"/>
      <c r="L97" s="90"/>
      <c r="M97" s="90"/>
      <c r="N97" s="90"/>
      <c r="O97" s="90"/>
      <c r="P97" s="90">
        <f t="shared" si="12"/>
        <v>1</v>
      </c>
      <c r="Q97" s="90">
        <f>SUM($B97:E97)</f>
        <v>0</v>
      </c>
      <c r="R97" s="89"/>
      <c r="AH97" s="90">
        <f t="shared" si="13"/>
        <v>0</v>
      </c>
      <c r="AI97" s="90">
        <f t="shared" si="14"/>
        <v>0</v>
      </c>
      <c r="AJ97" s="89"/>
      <c r="AZ97" s="90">
        <f t="shared" si="15"/>
        <v>0</v>
      </c>
      <c r="BA97" s="90">
        <f t="shared" si="16"/>
        <v>0</v>
      </c>
      <c r="BB97" s="89"/>
      <c r="BC97" s="88" t="s">
        <v>169</v>
      </c>
      <c r="BD97" s="90"/>
      <c r="BE97" s="90"/>
      <c r="BF97" s="90">
        <v>0.54800000000000004</v>
      </c>
      <c r="BG97" s="90"/>
      <c r="BH97" s="90"/>
      <c r="BI97" s="90"/>
      <c r="BJ97" s="90"/>
      <c r="BK97" s="90"/>
      <c r="BL97" s="90"/>
      <c r="BM97" s="90">
        <v>0.55000000000000004</v>
      </c>
      <c r="BN97" s="90"/>
      <c r="BO97" s="90"/>
      <c r="BP97" s="90"/>
      <c r="BQ97" s="90"/>
      <c r="BR97" s="90">
        <f t="shared" si="17"/>
        <v>0.55000000000000004</v>
      </c>
      <c r="BS97" s="90">
        <f>ROUND(BR97*IFERROR(VLOOKUP($BC97,'3121% SY'!$A$2:$M$324,13,FALSE),0),3)</f>
        <v>0.11799999999999999</v>
      </c>
      <c r="BT97" s="90">
        <f t="shared" si="18"/>
        <v>0.54800000000000004</v>
      </c>
      <c r="BU97" s="90">
        <f>ROUND(BT97*IFERROR(VLOOKUP($BC97,'3121% SY'!$A$2:$M$324,13,FALSE),0),3)</f>
        <v>0.11700000000000001</v>
      </c>
    </row>
    <row r="98" spans="1:73" x14ac:dyDescent="0.25">
      <c r="A98" s="88" t="s">
        <v>631</v>
      </c>
      <c r="B98" s="90">
        <v>2</v>
      </c>
      <c r="C98" s="90">
        <v>1</v>
      </c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>
        <f t="shared" si="12"/>
        <v>0</v>
      </c>
      <c r="Q98" s="90">
        <f>SUM($B98:E98)</f>
        <v>3</v>
      </c>
      <c r="R98" s="89"/>
      <c r="AH98" s="90">
        <f t="shared" si="13"/>
        <v>0</v>
      </c>
      <c r="AI98" s="90">
        <f t="shared" si="14"/>
        <v>0</v>
      </c>
      <c r="AJ98" s="89"/>
      <c r="AZ98" s="90">
        <f t="shared" si="15"/>
        <v>0</v>
      </c>
      <c r="BA98" s="90">
        <f t="shared" si="16"/>
        <v>0</v>
      </c>
      <c r="BB98" s="89"/>
      <c r="BC98" s="88" t="s">
        <v>170</v>
      </c>
      <c r="BD98" s="90"/>
      <c r="BE98" s="90"/>
      <c r="BF98" s="90"/>
      <c r="BG98" s="90"/>
      <c r="BH98" s="90"/>
      <c r="BI98" s="90"/>
      <c r="BJ98" s="90"/>
      <c r="BK98" s="90"/>
      <c r="BL98" s="90"/>
      <c r="BM98" s="90">
        <v>0.45</v>
      </c>
      <c r="BN98" s="90"/>
      <c r="BO98" s="90"/>
      <c r="BP98" s="90"/>
      <c r="BQ98" s="90"/>
      <c r="BR98" s="90">
        <f t="shared" si="17"/>
        <v>0.45</v>
      </c>
      <c r="BS98" s="90">
        <f>ROUND(BR98*IFERROR(VLOOKUP($BC98,'3121% SY'!$A$2:$M$324,13,FALSE),0),3)</f>
        <v>0.114</v>
      </c>
      <c r="BT98" s="90">
        <f t="shared" si="18"/>
        <v>0</v>
      </c>
      <c r="BU98" s="90">
        <f>ROUND(BT98*IFERROR(VLOOKUP($BC98,'3121% SY'!$A$2:$M$324,13,FALSE),0),3)</f>
        <v>0</v>
      </c>
    </row>
    <row r="99" spans="1:73" x14ac:dyDescent="0.25">
      <c r="A99" s="88" t="s">
        <v>654</v>
      </c>
      <c r="B99" s="90">
        <v>2</v>
      </c>
      <c r="C99" s="90">
        <v>1</v>
      </c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>
        <f t="shared" si="12"/>
        <v>0</v>
      </c>
      <c r="Q99" s="90">
        <f>SUM($B99:E99)</f>
        <v>3</v>
      </c>
      <c r="R99" s="89"/>
      <c r="AH99" s="90">
        <f t="shared" si="13"/>
        <v>0</v>
      </c>
      <c r="AI99" s="90">
        <f t="shared" si="14"/>
        <v>0</v>
      </c>
      <c r="AJ99" s="89"/>
      <c r="AZ99" s="90">
        <f t="shared" si="15"/>
        <v>0</v>
      </c>
      <c r="BA99" s="90">
        <f t="shared" si="16"/>
        <v>0</v>
      </c>
      <c r="BB99" s="89"/>
      <c r="BC99" s="88" t="s">
        <v>172</v>
      </c>
      <c r="BD99" s="90"/>
      <c r="BE99" s="90"/>
      <c r="BF99" s="90">
        <v>0.59599999999999997</v>
      </c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>
        <f t="shared" si="17"/>
        <v>0</v>
      </c>
      <c r="BS99" s="90">
        <f>ROUND(BR99*IFERROR(VLOOKUP($BC99,'3121% SY'!$A$2:$M$324,13,FALSE),0),3)</f>
        <v>0</v>
      </c>
      <c r="BT99" s="90">
        <f t="shared" si="18"/>
        <v>0.59599999999999997</v>
      </c>
      <c r="BU99" s="90">
        <f>ROUND(BT99*IFERROR(VLOOKUP($BC99,'3121% SY'!$A$2:$M$324,13,FALSE),0),3)</f>
        <v>9.1999999999999998E-2</v>
      </c>
    </row>
    <row r="100" spans="1:73" x14ac:dyDescent="0.25">
      <c r="A100" s="88" t="s">
        <v>1111</v>
      </c>
      <c r="B100" s="90">
        <v>1.175</v>
      </c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>
        <f t="shared" si="12"/>
        <v>0</v>
      </c>
      <c r="Q100" s="90">
        <f>SUM($B100:E100)</f>
        <v>1.175</v>
      </c>
      <c r="R100" s="89"/>
      <c r="AH100" s="90">
        <f t="shared" si="13"/>
        <v>0</v>
      </c>
      <c r="AI100" s="90">
        <f t="shared" si="14"/>
        <v>0</v>
      </c>
      <c r="AJ100" s="89"/>
      <c r="AZ100" s="90">
        <f t="shared" si="15"/>
        <v>0</v>
      </c>
      <c r="BA100" s="90">
        <f t="shared" si="16"/>
        <v>0</v>
      </c>
      <c r="BB100" s="89"/>
      <c r="BC100" s="88" t="s">
        <v>173</v>
      </c>
      <c r="BD100" s="90"/>
      <c r="BE100" s="90"/>
      <c r="BF100" s="90"/>
      <c r="BG100" s="90"/>
      <c r="BH100" s="90"/>
      <c r="BI100" s="90"/>
      <c r="BJ100" s="90"/>
      <c r="BK100" s="90"/>
      <c r="BL100" s="90"/>
      <c r="BM100" s="90">
        <v>0.27</v>
      </c>
      <c r="BN100" s="90"/>
      <c r="BO100" s="90"/>
      <c r="BP100" s="90"/>
      <c r="BQ100" s="90"/>
      <c r="BR100" s="90">
        <f t="shared" si="17"/>
        <v>0.27</v>
      </c>
      <c r="BS100" s="90">
        <f>ROUND(BR100*IFERROR(VLOOKUP($BC100,'3121% SY'!$A$2:$M$324,13,FALSE),0),3)</f>
        <v>5.6000000000000001E-2</v>
      </c>
      <c r="BT100" s="90">
        <f t="shared" si="18"/>
        <v>0</v>
      </c>
      <c r="BU100" s="90">
        <f>ROUND(BT100*IFERROR(VLOOKUP($BC100,'3121% SY'!$A$2:$M$324,13,FALSE),0),3)</f>
        <v>0</v>
      </c>
    </row>
    <row r="101" spans="1:73" x14ac:dyDescent="0.25">
      <c r="A101" s="88" t="s">
        <v>116</v>
      </c>
      <c r="B101" s="90"/>
      <c r="C101" s="90"/>
      <c r="D101" s="90">
        <v>3.2530000000000001</v>
      </c>
      <c r="E101" s="90"/>
      <c r="F101" s="90"/>
      <c r="G101" s="90">
        <v>6.2</v>
      </c>
      <c r="H101" s="90"/>
      <c r="I101" s="90"/>
      <c r="J101" s="90"/>
      <c r="K101" s="90"/>
      <c r="L101" s="90"/>
      <c r="M101" s="90"/>
      <c r="N101" s="90"/>
      <c r="O101" s="90"/>
      <c r="P101" s="90">
        <f t="shared" si="12"/>
        <v>6.2</v>
      </c>
      <c r="Q101" s="90">
        <f>SUM($B101:E101)</f>
        <v>3.2530000000000001</v>
      </c>
      <c r="R101" s="89"/>
      <c r="AH101" s="90">
        <f t="shared" si="13"/>
        <v>0</v>
      </c>
      <c r="AI101" s="90">
        <f t="shared" si="14"/>
        <v>0</v>
      </c>
      <c r="AJ101" s="89"/>
      <c r="AZ101" s="90">
        <f t="shared" si="15"/>
        <v>0</v>
      </c>
      <c r="BA101" s="90">
        <f t="shared" si="16"/>
        <v>0</v>
      </c>
      <c r="BB101" s="89"/>
      <c r="BC101" s="88" t="s">
        <v>1247</v>
      </c>
      <c r="BD101" s="90"/>
      <c r="BE101" s="90">
        <v>1.39</v>
      </c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>
        <f t="shared" si="17"/>
        <v>0</v>
      </c>
      <c r="BS101" s="90">
        <f>ROUND(BR101*IFERROR(VLOOKUP($BC101,'3121% SY'!$A$2:$M$324,13,FALSE),0),3)</f>
        <v>0</v>
      </c>
      <c r="BT101" s="90">
        <f t="shared" si="18"/>
        <v>1.39</v>
      </c>
      <c r="BU101" s="90">
        <f>ROUND(BT101*IFERROR(VLOOKUP($BC101,'3121% SY'!$A$2:$M$324,13,FALSE),0),3)</f>
        <v>0.20599999999999999</v>
      </c>
    </row>
    <row r="102" spans="1:73" x14ac:dyDescent="0.25">
      <c r="A102" s="88" t="s">
        <v>117</v>
      </c>
      <c r="B102" s="90"/>
      <c r="C102" s="90">
        <v>0.48899999999999999</v>
      </c>
      <c r="D102" s="90"/>
      <c r="E102" s="90"/>
      <c r="F102" s="90"/>
      <c r="G102" s="90">
        <v>4.5659999999999998</v>
      </c>
      <c r="H102" s="90"/>
      <c r="I102" s="90">
        <v>0.53600000000000003</v>
      </c>
      <c r="J102" s="90"/>
      <c r="K102" s="90"/>
      <c r="L102" s="90">
        <v>0.48</v>
      </c>
      <c r="M102" s="90"/>
      <c r="N102" s="90"/>
      <c r="O102" s="90"/>
      <c r="P102" s="90">
        <f t="shared" si="12"/>
        <v>5.5820000000000007</v>
      </c>
      <c r="Q102" s="90">
        <f>SUM($B102:E102)</f>
        <v>0.48899999999999999</v>
      </c>
      <c r="R102" s="89"/>
      <c r="AH102" s="90">
        <f t="shared" si="13"/>
        <v>0</v>
      </c>
      <c r="AI102" s="90">
        <f t="shared" si="14"/>
        <v>0</v>
      </c>
      <c r="AJ102" s="89"/>
      <c r="AZ102" s="90">
        <f t="shared" si="15"/>
        <v>0</v>
      </c>
      <c r="BA102" s="90">
        <f t="shared" si="16"/>
        <v>0</v>
      </c>
      <c r="BB102" s="89"/>
      <c r="BC102" s="88" t="s">
        <v>180</v>
      </c>
      <c r="BD102" s="90"/>
      <c r="BE102" s="90"/>
      <c r="BF102" s="90">
        <v>0.32900000000000001</v>
      </c>
      <c r="BG102" s="90"/>
      <c r="BH102" s="90"/>
      <c r="BI102" s="90"/>
      <c r="BJ102" s="90"/>
      <c r="BK102" s="90"/>
      <c r="BL102" s="90">
        <v>0.68</v>
      </c>
      <c r="BM102" s="90">
        <v>0.34</v>
      </c>
      <c r="BN102" s="90"/>
      <c r="BO102" s="90"/>
      <c r="BP102" s="90"/>
      <c r="BQ102" s="90"/>
      <c r="BR102" s="90">
        <f t="shared" si="17"/>
        <v>1.02</v>
      </c>
      <c r="BS102" s="90">
        <f>ROUND(BR102*IFERROR(VLOOKUP($BC102,'3121% SY'!$A$2:$M$324,13,FALSE),0),3)</f>
        <v>0.247</v>
      </c>
      <c r="BT102" s="90">
        <f t="shared" si="18"/>
        <v>0.32900000000000001</v>
      </c>
      <c r="BU102" s="90">
        <f>ROUND(BT102*IFERROR(VLOOKUP($BC102,'3121% SY'!$A$2:$M$324,13,FALSE),0),3)</f>
        <v>0.08</v>
      </c>
    </row>
    <row r="103" spans="1:73" x14ac:dyDescent="0.25">
      <c r="A103" s="88" t="s">
        <v>118</v>
      </c>
      <c r="B103" s="90"/>
      <c r="C103" s="90">
        <v>0.53300000000000003</v>
      </c>
      <c r="D103" s="90"/>
      <c r="E103" s="90"/>
      <c r="F103" s="90"/>
      <c r="G103" s="90">
        <v>7.22</v>
      </c>
      <c r="H103" s="90"/>
      <c r="I103" s="90"/>
      <c r="J103" s="90"/>
      <c r="K103" s="90"/>
      <c r="L103" s="90"/>
      <c r="M103" s="90"/>
      <c r="N103" s="90"/>
      <c r="O103" s="90"/>
      <c r="P103" s="90">
        <f t="shared" si="12"/>
        <v>7.22</v>
      </c>
      <c r="Q103" s="90">
        <f>SUM($B103:E103)</f>
        <v>0.53300000000000003</v>
      </c>
      <c r="R103" s="89"/>
      <c r="AH103" s="90">
        <f t="shared" si="13"/>
        <v>0</v>
      </c>
      <c r="AI103" s="90">
        <f t="shared" si="14"/>
        <v>0</v>
      </c>
      <c r="AJ103" s="89"/>
      <c r="AZ103" s="90">
        <f t="shared" si="15"/>
        <v>0</v>
      </c>
      <c r="BA103" s="90">
        <f t="shared" si="16"/>
        <v>0</v>
      </c>
      <c r="BB103" s="89"/>
      <c r="BC103" s="88" t="s">
        <v>181</v>
      </c>
      <c r="BD103" s="90"/>
      <c r="BE103" s="90"/>
      <c r="BF103" s="90"/>
      <c r="BG103" s="90"/>
      <c r="BH103" s="90"/>
      <c r="BI103" s="90"/>
      <c r="BJ103" s="90">
        <v>0.8</v>
      </c>
      <c r="BK103" s="90"/>
      <c r="BL103" s="90">
        <v>0.158</v>
      </c>
      <c r="BM103" s="90"/>
      <c r="BN103" s="90"/>
      <c r="BO103" s="90"/>
      <c r="BP103" s="90"/>
      <c r="BQ103" s="90"/>
      <c r="BR103" s="90">
        <f t="shared" si="17"/>
        <v>0.95800000000000007</v>
      </c>
      <c r="BS103" s="90">
        <f>ROUND(BR103*IFERROR(VLOOKUP($BC103,'3121% SY'!$A$2:$M$324,13,FALSE),0),3)</f>
        <v>0.187</v>
      </c>
      <c r="BT103" s="90">
        <f t="shared" si="18"/>
        <v>0</v>
      </c>
      <c r="BU103" s="90">
        <f>ROUND(BT103*IFERROR(VLOOKUP($BC103,'3121% SY'!$A$2:$M$324,13,FALSE),0),3)</f>
        <v>0</v>
      </c>
    </row>
    <row r="104" spans="1:73" x14ac:dyDescent="0.25">
      <c r="A104" s="88" t="s">
        <v>119</v>
      </c>
      <c r="B104" s="90"/>
      <c r="C104" s="90"/>
      <c r="D104" s="90"/>
      <c r="E104" s="90"/>
      <c r="F104" s="90"/>
      <c r="G104" s="90">
        <v>12.627000000000001</v>
      </c>
      <c r="H104" s="90"/>
      <c r="I104" s="90">
        <v>1</v>
      </c>
      <c r="J104" s="90"/>
      <c r="K104" s="90"/>
      <c r="L104" s="90"/>
      <c r="M104" s="90"/>
      <c r="N104" s="90"/>
      <c r="O104" s="90">
        <v>0.90400000000000003</v>
      </c>
      <c r="P104" s="90">
        <f t="shared" si="12"/>
        <v>14.531000000000001</v>
      </c>
      <c r="Q104" s="90">
        <f>SUM($B104:E104)</f>
        <v>0</v>
      </c>
      <c r="R104" s="89"/>
      <c r="AH104" s="90">
        <f t="shared" si="13"/>
        <v>0</v>
      </c>
      <c r="AI104" s="90">
        <f t="shared" si="14"/>
        <v>0</v>
      </c>
      <c r="AJ104" s="89"/>
      <c r="AZ104" s="90">
        <f t="shared" si="15"/>
        <v>0</v>
      </c>
      <c r="BA104" s="90">
        <f t="shared" si="16"/>
        <v>0</v>
      </c>
      <c r="BB104" s="89"/>
      <c r="BC104" s="88" t="s">
        <v>182</v>
      </c>
      <c r="BD104" s="90"/>
      <c r="BE104" s="90"/>
      <c r="BF104" s="90"/>
      <c r="BG104" s="90"/>
      <c r="BH104" s="90"/>
      <c r="BI104" s="90"/>
      <c r="BJ104" s="90"/>
      <c r="BK104" s="90"/>
      <c r="BL104" s="90">
        <v>0.92</v>
      </c>
      <c r="BM104" s="90">
        <v>0.34200000000000003</v>
      </c>
      <c r="BN104" s="90"/>
      <c r="BO104" s="90"/>
      <c r="BP104" s="90"/>
      <c r="BQ104" s="90"/>
      <c r="BR104" s="90">
        <f t="shared" si="17"/>
        <v>1.262</v>
      </c>
      <c r="BS104" s="90">
        <f>ROUND(BR104*IFERROR(VLOOKUP($BC104,'3121% SY'!$A$2:$M$324,13,FALSE),0),3)</f>
        <v>0.23</v>
      </c>
      <c r="BT104" s="90">
        <f t="shared" si="18"/>
        <v>0</v>
      </c>
      <c r="BU104" s="90">
        <f>ROUND(BT104*IFERROR(VLOOKUP($BC104,'3121% SY'!$A$2:$M$324,13,FALSE),0),3)</f>
        <v>0</v>
      </c>
    </row>
    <row r="105" spans="1:73" x14ac:dyDescent="0.25">
      <c r="A105" s="88" t="s">
        <v>120</v>
      </c>
      <c r="B105" s="90"/>
      <c r="C105" s="90"/>
      <c r="D105" s="90">
        <v>3.4319999999999999</v>
      </c>
      <c r="E105" s="90"/>
      <c r="F105" s="90"/>
      <c r="G105" s="90">
        <v>12.706</v>
      </c>
      <c r="H105" s="90"/>
      <c r="I105" s="90">
        <v>1</v>
      </c>
      <c r="J105" s="90"/>
      <c r="K105" s="90"/>
      <c r="L105" s="90">
        <v>5.4320000000000004</v>
      </c>
      <c r="M105" s="90"/>
      <c r="N105" s="90"/>
      <c r="O105" s="90"/>
      <c r="P105" s="90">
        <f t="shared" si="12"/>
        <v>19.137999999999998</v>
      </c>
      <c r="Q105" s="90">
        <f>SUM($B105:E105)</f>
        <v>3.4319999999999999</v>
      </c>
      <c r="R105" s="89"/>
      <c r="AH105" s="90">
        <f t="shared" si="13"/>
        <v>0</v>
      </c>
      <c r="AI105" s="90">
        <f t="shared" si="14"/>
        <v>0</v>
      </c>
      <c r="AJ105" s="89"/>
      <c r="AZ105" s="90">
        <f t="shared" si="15"/>
        <v>0</v>
      </c>
      <c r="BA105" s="90">
        <f t="shared" si="16"/>
        <v>0</v>
      </c>
      <c r="BB105" s="89"/>
      <c r="BC105" s="88" t="s">
        <v>183</v>
      </c>
      <c r="BD105" s="90"/>
      <c r="BE105" s="90"/>
      <c r="BF105" s="90"/>
      <c r="BG105" s="90"/>
      <c r="BH105" s="90"/>
      <c r="BI105" s="90"/>
      <c r="BJ105" s="90">
        <v>1.59</v>
      </c>
      <c r="BK105" s="90"/>
      <c r="BL105" s="90">
        <v>3.7</v>
      </c>
      <c r="BM105" s="90">
        <v>2.855</v>
      </c>
      <c r="BN105" s="90"/>
      <c r="BO105" s="90">
        <v>0.25</v>
      </c>
      <c r="BP105" s="90"/>
      <c r="BQ105" s="90"/>
      <c r="BR105" s="90">
        <f t="shared" si="17"/>
        <v>8.3949999999999996</v>
      </c>
      <c r="BS105" s="90">
        <f>ROUND(BR105*IFERROR(VLOOKUP($BC105,'3121% SY'!$A$2:$M$324,13,FALSE),0),3)</f>
        <v>1.802</v>
      </c>
      <c r="BT105" s="90">
        <f t="shared" si="18"/>
        <v>0</v>
      </c>
      <c r="BU105" s="90">
        <f>ROUND(BT105*IFERROR(VLOOKUP($BC105,'3121% SY'!$A$2:$M$324,13,FALSE),0),3)</f>
        <v>0</v>
      </c>
    </row>
    <row r="106" spans="1:73" x14ac:dyDescent="0.25">
      <c r="A106" s="88" t="s">
        <v>652</v>
      </c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>
        <v>0.45400000000000001</v>
      </c>
      <c r="M106" s="90"/>
      <c r="N106" s="90"/>
      <c r="O106" s="90"/>
      <c r="P106" s="90">
        <f t="shared" si="12"/>
        <v>0.45400000000000001</v>
      </c>
      <c r="Q106" s="90">
        <f>SUM($B106:E106)</f>
        <v>0</v>
      </c>
      <c r="R106" s="89"/>
      <c r="AH106" s="90">
        <f t="shared" si="13"/>
        <v>0</v>
      </c>
      <c r="AI106" s="90">
        <f t="shared" si="14"/>
        <v>0</v>
      </c>
      <c r="AJ106" s="89"/>
      <c r="AZ106" s="90">
        <f t="shared" si="15"/>
        <v>0</v>
      </c>
      <c r="BA106" s="90">
        <f t="shared" si="16"/>
        <v>0</v>
      </c>
      <c r="BB106" s="89"/>
      <c r="BC106" s="88" t="s">
        <v>184</v>
      </c>
      <c r="BD106" s="90"/>
      <c r="BE106" s="90"/>
      <c r="BF106" s="90"/>
      <c r="BG106" s="90"/>
      <c r="BH106" s="90">
        <v>2.331</v>
      </c>
      <c r="BI106" s="90"/>
      <c r="BJ106" s="90">
        <v>5.8979999999999997</v>
      </c>
      <c r="BK106" s="90">
        <v>0.54</v>
      </c>
      <c r="BL106" s="90">
        <v>15.39</v>
      </c>
      <c r="BM106" s="90">
        <v>13.068</v>
      </c>
      <c r="BN106" s="90"/>
      <c r="BO106" s="90">
        <v>1.62</v>
      </c>
      <c r="BP106" s="90">
        <v>2.7</v>
      </c>
      <c r="BQ106" s="90"/>
      <c r="BR106" s="90">
        <f t="shared" si="17"/>
        <v>41.546999999999997</v>
      </c>
      <c r="BS106" s="90">
        <f>ROUND(BR106*IFERROR(VLOOKUP($BC106,'3121% SY'!$A$2:$M$324,13,FALSE),0),3)</f>
        <v>12.63</v>
      </c>
      <c r="BT106" s="90">
        <f t="shared" si="18"/>
        <v>0</v>
      </c>
      <c r="BU106" s="90">
        <f>ROUND(BT106*IFERROR(VLOOKUP($BC106,'3121% SY'!$A$2:$M$324,13,FALSE),0),3)</f>
        <v>0</v>
      </c>
    </row>
    <row r="107" spans="1:73" x14ac:dyDescent="0.25">
      <c r="A107" s="88" t="s">
        <v>123</v>
      </c>
      <c r="B107" s="90"/>
      <c r="C107" s="90"/>
      <c r="D107" s="90"/>
      <c r="E107" s="90"/>
      <c r="F107" s="90"/>
      <c r="G107" s="90">
        <v>0.46</v>
      </c>
      <c r="H107" s="90"/>
      <c r="I107" s="90"/>
      <c r="J107" s="90"/>
      <c r="K107" s="90"/>
      <c r="L107" s="90"/>
      <c r="M107" s="90"/>
      <c r="N107" s="90"/>
      <c r="O107" s="90"/>
      <c r="P107" s="90">
        <f t="shared" si="12"/>
        <v>0.46</v>
      </c>
      <c r="Q107" s="90">
        <f>SUM($B107:E107)</f>
        <v>0</v>
      </c>
      <c r="R107" s="89"/>
      <c r="AH107" s="90">
        <f t="shared" si="13"/>
        <v>0</v>
      </c>
      <c r="AI107" s="90">
        <f t="shared" si="14"/>
        <v>0</v>
      </c>
      <c r="AJ107" s="89"/>
      <c r="AZ107" s="90">
        <f t="shared" si="15"/>
        <v>0</v>
      </c>
      <c r="BA107" s="90">
        <f t="shared" si="16"/>
        <v>0</v>
      </c>
      <c r="BB107" s="89"/>
      <c r="BC107" s="88" t="s">
        <v>185</v>
      </c>
      <c r="BD107" s="90"/>
      <c r="BE107" s="90"/>
      <c r="BF107" s="90"/>
      <c r="BG107" s="90"/>
      <c r="BH107" s="90"/>
      <c r="BI107" s="90"/>
      <c r="BJ107" s="90">
        <v>10.9</v>
      </c>
      <c r="BK107" s="90"/>
      <c r="BL107" s="90">
        <v>26.516999999999999</v>
      </c>
      <c r="BM107" s="90">
        <v>16.690999999999999</v>
      </c>
      <c r="BN107" s="90">
        <v>0.308</v>
      </c>
      <c r="BO107" s="90">
        <v>5.0359999999999996</v>
      </c>
      <c r="BP107" s="90">
        <v>2.056</v>
      </c>
      <c r="BQ107" s="90"/>
      <c r="BR107" s="90">
        <f t="shared" si="17"/>
        <v>61.508000000000003</v>
      </c>
      <c r="BS107" s="90">
        <f>ROUND(BR107*IFERROR(VLOOKUP($BC107,'3121% SY'!$A$2:$M$324,13,FALSE),0),3)</f>
        <v>17.074999999999999</v>
      </c>
      <c r="BT107" s="90">
        <f t="shared" si="18"/>
        <v>0</v>
      </c>
      <c r="BU107" s="90">
        <f>ROUND(BT107*IFERROR(VLOOKUP($BC107,'3121% SY'!$A$2:$M$324,13,FALSE),0),3)</f>
        <v>0</v>
      </c>
    </row>
    <row r="108" spans="1:73" x14ac:dyDescent="0.25">
      <c r="A108" s="88" t="s">
        <v>125</v>
      </c>
      <c r="B108" s="90"/>
      <c r="C108" s="90"/>
      <c r="D108" s="90">
        <v>0.59399999999999997</v>
      </c>
      <c r="E108" s="90"/>
      <c r="F108" s="90"/>
      <c r="G108" s="90">
        <v>4</v>
      </c>
      <c r="H108" s="90"/>
      <c r="I108" s="90"/>
      <c r="J108" s="90"/>
      <c r="K108" s="90"/>
      <c r="L108" s="90"/>
      <c r="M108" s="90"/>
      <c r="N108" s="90"/>
      <c r="O108" s="90"/>
      <c r="P108" s="90">
        <f t="shared" si="12"/>
        <v>4</v>
      </c>
      <c r="Q108" s="90">
        <f>SUM($B108:E108)</f>
        <v>0.59399999999999997</v>
      </c>
      <c r="R108" s="89"/>
      <c r="AH108" s="90">
        <f t="shared" si="13"/>
        <v>0</v>
      </c>
      <c r="AI108" s="90">
        <f t="shared" si="14"/>
        <v>0</v>
      </c>
      <c r="AJ108" s="89"/>
      <c r="AZ108" s="90">
        <f t="shared" si="15"/>
        <v>0</v>
      </c>
      <c r="BA108" s="90">
        <f t="shared" si="16"/>
        <v>0</v>
      </c>
      <c r="BB108" s="89"/>
      <c r="BC108" s="88" t="s">
        <v>187</v>
      </c>
      <c r="BD108" s="90"/>
      <c r="BE108" s="90"/>
      <c r="BF108" s="90"/>
      <c r="BG108" s="90"/>
      <c r="BH108" s="90"/>
      <c r="BI108" s="90"/>
      <c r="BJ108" s="90">
        <v>1.17</v>
      </c>
      <c r="BK108" s="90"/>
      <c r="BL108" s="90">
        <v>7.2</v>
      </c>
      <c r="BM108" s="90"/>
      <c r="BN108" s="90"/>
      <c r="BO108" s="90">
        <v>0.64500000000000002</v>
      </c>
      <c r="BP108" s="90"/>
      <c r="BQ108" s="90"/>
      <c r="BR108" s="90">
        <f t="shared" si="17"/>
        <v>9.0150000000000006</v>
      </c>
      <c r="BS108" s="90">
        <f>ROUND(BR108*IFERROR(VLOOKUP($BC108,'3121% SY'!$A$2:$M$324,13,FALSE),0),3)</f>
        <v>2.835</v>
      </c>
      <c r="BT108" s="90">
        <f t="shared" si="18"/>
        <v>0</v>
      </c>
      <c r="BU108" s="90">
        <f>ROUND(BT108*IFERROR(VLOOKUP($BC108,'3121% SY'!$A$2:$M$324,13,FALSE),0),3)</f>
        <v>0</v>
      </c>
    </row>
    <row r="109" spans="1:73" x14ac:dyDescent="0.25">
      <c r="A109" s="88" t="s">
        <v>126</v>
      </c>
      <c r="B109" s="90"/>
      <c r="C109" s="90">
        <v>0.12</v>
      </c>
      <c r="D109" s="90"/>
      <c r="E109" s="90"/>
      <c r="F109" s="90"/>
      <c r="G109" s="90">
        <v>0.57999999999999996</v>
      </c>
      <c r="H109" s="90"/>
      <c r="I109" s="90"/>
      <c r="J109" s="90"/>
      <c r="K109" s="90"/>
      <c r="L109" s="90"/>
      <c r="M109" s="90"/>
      <c r="N109" s="90"/>
      <c r="O109" s="90"/>
      <c r="P109" s="90">
        <f t="shared" si="12"/>
        <v>0.57999999999999996</v>
      </c>
      <c r="Q109" s="90">
        <f>SUM($B109:E109)</f>
        <v>0.12</v>
      </c>
      <c r="R109" s="89"/>
      <c r="AH109" s="90">
        <f t="shared" si="13"/>
        <v>0</v>
      </c>
      <c r="AI109" s="90">
        <f t="shared" si="14"/>
        <v>0</v>
      </c>
      <c r="AJ109" s="89"/>
      <c r="AZ109" s="90">
        <f t="shared" si="15"/>
        <v>0</v>
      </c>
      <c r="BA109" s="90">
        <f t="shared" si="16"/>
        <v>0</v>
      </c>
      <c r="BB109" s="89"/>
      <c r="BC109" s="88" t="s">
        <v>188</v>
      </c>
      <c r="BD109" s="90"/>
      <c r="BE109" s="90"/>
      <c r="BF109" s="90">
        <v>0.85</v>
      </c>
      <c r="BG109" s="90"/>
      <c r="BH109" s="90">
        <v>0.52300000000000002</v>
      </c>
      <c r="BI109" s="90">
        <v>1.7430000000000001</v>
      </c>
      <c r="BJ109" s="90">
        <v>5.9130000000000003</v>
      </c>
      <c r="BK109" s="90">
        <v>4.97</v>
      </c>
      <c r="BL109" s="90">
        <v>12.727</v>
      </c>
      <c r="BM109" s="90">
        <v>7.1980000000000004</v>
      </c>
      <c r="BN109" s="90"/>
      <c r="BO109" s="90">
        <v>1.6839999999999999</v>
      </c>
      <c r="BP109" s="90">
        <v>1</v>
      </c>
      <c r="BQ109" s="90"/>
      <c r="BR109" s="90">
        <f t="shared" si="17"/>
        <v>35.757999999999996</v>
      </c>
      <c r="BS109" s="90">
        <f>ROUND(BR109*IFERROR(VLOOKUP($BC109,'3121% SY'!$A$2:$M$324,13,FALSE),0),3)</f>
        <v>9.8230000000000004</v>
      </c>
      <c r="BT109" s="90">
        <f t="shared" si="18"/>
        <v>0.85</v>
      </c>
      <c r="BU109" s="90">
        <f>ROUND(BT109*IFERROR(VLOOKUP($BC109,'3121% SY'!$A$2:$M$324,13,FALSE),0),3)</f>
        <v>0.23300000000000001</v>
      </c>
    </row>
    <row r="110" spans="1:73" x14ac:dyDescent="0.25">
      <c r="A110" s="88" t="s">
        <v>127</v>
      </c>
      <c r="B110" s="90"/>
      <c r="C110" s="90"/>
      <c r="D110" s="90"/>
      <c r="E110" s="90"/>
      <c r="F110" s="90"/>
      <c r="G110" s="90">
        <v>1</v>
      </c>
      <c r="H110" s="90"/>
      <c r="I110" s="90"/>
      <c r="J110" s="90"/>
      <c r="K110" s="90">
        <v>0.104</v>
      </c>
      <c r="L110" s="90"/>
      <c r="M110" s="90"/>
      <c r="N110" s="90"/>
      <c r="O110" s="90"/>
      <c r="P110" s="90">
        <f t="shared" si="12"/>
        <v>1.1040000000000001</v>
      </c>
      <c r="Q110" s="90">
        <f>SUM($B110:E110)</f>
        <v>0</v>
      </c>
      <c r="R110" s="89"/>
      <c r="AH110" s="90">
        <f t="shared" si="13"/>
        <v>0</v>
      </c>
      <c r="AI110" s="90">
        <f t="shared" si="14"/>
        <v>0</v>
      </c>
      <c r="AJ110" s="89"/>
      <c r="AZ110" s="90">
        <f t="shared" si="15"/>
        <v>0</v>
      </c>
      <c r="BA110" s="90">
        <f t="shared" si="16"/>
        <v>0</v>
      </c>
      <c r="BB110" s="89"/>
      <c r="BC110" s="88" t="s">
        <v>189</v>
      </c>
      <c r="BD110" s="90"/>
      <c r="BE110" s="90"/>
      <c r="BF110" s="90"/>
      <c r="BG110" s="90"/>
      <c r="BH110" s="90"/>
      <c r="BI110" s="90"/>
      <c r="BJ110" s="90">
        <v>0.66700000000000004</v>
      </c>
      <c r="BK110" s="90"/>
      <c r="BL110" s="90">
        <v>1.3</v>
      </c>
      <c r="BM110" s="90">
        <v>1.667</v>
      </c>
      <c r="BN110" s="90"/>
      <c r="BO110" s="90"/>
      <c r="BP110" s="90"/>
      <c r="BQ110" s="90"/>
      <c r="BR110" s="90">
        <f t="shared" si="17"/>
        <v>3.6340000000000003</v>
      </c>
      <c r="BS110" s="90">
        <f>ROUND(BR110*IFERROR(VLOOKUP($BC110,'3121% SY'!$A$2:$M$324,13,FALSE),0),3)</f>
        <v>1.119</v>
      </c>
      <c r="BT110" s="90">
        <f t="shared" si="18"/>
        <v>0</v>
      </c>
      <c r="BU110" s="90">
        <f>ROUND(BT110*IFERROR(VLOOKUP($BC110,'3121% SY'!$A$2:$M$324,13,FALSE),0),3)</f>
        <v>0</v>
      </c>
    </row>
    <row r="111" spans="1:73" x14ac:dyDescent="0.25">
      <c r="A111" s="88" t="s">
        <v>128</v>
      </c>
      <c r="B111" s="90"/>
      <c r="C111" s="90">
        <v>1.7969999999999999</v>
      </c>
      <c r="D111" s="90"/>
      <c r="E111" s="90"/>
      <c r="F111" s="90"/>
      <c r="G111" s="90">
        <v>0.312</v>
      </c>
      <c r="H111" s="90"/>
      <c r="I111" s="90"/>
      <c r="J111" s="90"/>
      <c r="K111" s="90"/>
      <c r="L111" s="90"/>
      <c r="M111" s="90"/>
      <c r="N111" s="90"/>
      <c r="O111" s="90"/>
      <c r="P111" s="90">
        <f t="shared" si="12"/>
        <v>0.312</v>
      </c>
      <c r="Q111" s="90">
        <f>SUM($B111:E111)</f>
        <v>1.7969999999999999</v>
      </c>
      <c r="R111" s="89"/>
      <c r="AH111" s="90">
        <f t="shared" si="13"/>
        <v>0</v>
      </c>
      <c r="AI111" s="90">
        <f t="shared" si="14"/>
        <v>0</v>
      </c>
      <c r="AJ111" s="89"/>
      <c r="AZ111" s="90">
        <f t="shared" si="15"/>
        <v>0</v>
      </c>
      <c r="BA111" s="90">
        <f t="shared" si="16"/>
        <v>0</v>
      </c>
      <c r="BB111" s="89"/>
      <c r="BC111" s="88" t="s">
        <v>190</v>
      </c>
      <c r="BD111" s="90"/>
      <c r="BE111" s="90"/>
      <c r="BF111" s="90"/>
      <c r="BG111" s="90"/>
      <c r="BH111" s="90"/>
      <c r="BI111" s="90"/>
      <c r="BJ111" s="90"/>
      <c r="BK111" s="90"/>
      <c r="BL111" s="90">
        <v>1.75</v>
      </c>
      <c r="BM111" s="90"/>
      <c r="BN111" s="90"/>
      <c r="BO111" s="90"/>
      <c r="BP111" s="90"/>
      <c r="BQ111" s="90"/>
      <c r="BR111" s="90">
        <f t="shared" si="17"/>
        <v>1.75</v>
      </c>
      <c r="BS111" s="90">
        <f>ROUND(BR111*IFERROR(VLOOKUP($BC111,'3121% SY'!$A$2:$M$324,13,FALSE),0),3)</f>
        <v>0.45600000000000002</v>
      </c>
      <c r="BT111" s="90">
        <f t="shared" si="18"/>
        <v>0</v>
      </c>
      <c r="BU111" s="90">
        <f>ROUND(BT111*IFERROR(VLOOKUP($BC111,'3121% SY'!$A$2:$M$324,13,FALSE),0),3)</f>
        <v>0</v>
      </c>
    </row>
    <row r="112" spans="1:73" x14ac:dyDescent="0.25">
      <c r="A112" s="88" t="s">
        <v>131</v>
      </c>
      <c r="B112" s="90"/>
      <c r="C112" s="90">
        <v>0.26500000000000001</v>
      </c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>
        <f t="shared" si="12"/>
        <v>0</v>
      </c>
      <c r="Q112" s="90">
        <f>SUM($B112:E112)</f>
        <v>0.26500000000000001</v>
      </c>
      <c r="R112" s="89"/>
      <c r="AH112" s="90">
        <f t="shared" si="13"/>
        <v>0</v>
      </c>
      <c r="AI112" s="90">
        <f t="shared" si="14"/>
        <v>0</v>
      </c>
      <c r="AJ112" s="89"/>
      <c r="AZ112" s="90">
        <f t="shared" si="15"/>
        <v>0</v>
      </c>
      <c r="BA112" s="90">
        <f t="shared" si="16"/>
        <v>0</v>
      </c>
      <c r="BB112" s="89"/>
      <c r="BC112" s="88" t="s">
        <v>191</v>
      </c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>
        <v>0.2</v>
      </c>
      <c r="BO112" s="90"/>
      <c r="BP112" s="90"/>
      <c r="BQ112" s="90"/>
      <c r="BR112" s="90">
        <f t="shared" si="17"/>
        <v>0.2</v>
      </c>
      <c r="BS112" s="90">
        <f>ROUND(BR112*IFERROR(VLOOKUP($BC112,'3121% SY'!$A$2:$M$324,13,FALSE),0),3)</f>
        <v>6.8000000000000005E-2</v>
      </c>
      <c r="BT112" s="90">
        <f t="shared" si="18"/>
        <v>0</v>
      </c>
      <c r="BU112" s="90">
        <f>ROUND(BT112*IFERROR(VLOOKUP($BC112,'3121% SY'!$A$2:$M$324,13,FALSE),0),3)</f>
        <v>0</v>
      </c>
    </row>
    <row r="113" spans="1:73" x14ac:dyDescent="0.25">
      <c r="A113" s="88" t="s">
        <v>132</v>
      </c>
      <c r="B113" s="90"/>
      <c r="C113" s="90"/>
      <c r="D113" s="90"/>
      <c r="E113" s="90"/>
      <c r="F113" s="90"/>
      <c r="G113" s="90">
        <v>0.46899999999999997</v>
      </c>
      <c r="H113" s="90"/>
      <c r="I113" s="90"/>
      <c r="J113" s="90"/>
      <c r="K113" s="90"/>
      <c r="L113" s="90"/>
      <c r="M113" s="90"/>
      <c r="N113" s="90"/>
      <c r="O113" s="90"/>
      <c r="P113" s="90">
        <f t="shared" si="12"/>
        <v>0.46899999999999997</v>
      </c>
      <c r="Q113" s="90">
        <f>SUM($B113:E113)</f>
        <v>0</v>
      </c>
      <c r="R113" s="89"/>
      <c r="AH113" s="90">
        <f t="shared" si="13"/>
        <v>0</v>
      </c>
      <c r="AI113" s="90">
        <f t="shared" si="14"/>
        <v>0</v>
      </c>
      <c r="AJ113" s="89"/>
      <c r="AZ113" s="90">
        <f t="shared" si="15"/>
        <v>0</v>
      </c>
      <c r="BA113" s="90">
        <f t="shared" si="16"/>
        <v>0</v>
      </c>
      <c r="BB113" s="89"/>
      <c r="BC113" s="88" t="s">
        <v>192</v>
      </c>
      <c r="BD113" s="90"/>
      <c r="BE113" s="90"/>
      <c r="BF113" s="90"/>
      <c r="BG113" s="90"/>
      <c r="BH113" s="90"/>
      <c r="BI113" s="90"/>
      <c r="BJ113" s="90">
        <v>6.6520000000000001</v>
      </c>
      <c r="BK113" s="90">
        <v>0.44500000000000001</v>
      </c>
      <c r="BL113" s="90">
        <v>14.04</v>
      </c>
      <c r="BM113" s="90">
        <v>6.0620000000000003</v>
      </c>
      <c r="BN113" s="90">
        <v>0.64500000000000002</v>
      </c>
      <c r="BO113" s="90">
        <v>1.0760000000000001</v>
      </c>
      <c r="BP113" s="90"/>
      <c r="BQ113" s="90"/>
      <c r="BR113" s="90">
        <f t="shared" si="17"/>
        <v>28.92</v>
      </c>
      <c r="BS113" s="90">
        <f>ROUND(BR113*IFERROR(VLOOKUP($BC113,'3121% SY'!$A$2:$M$324,13,FALSE),0),3)</f>
        <v>6.3479999999999999</v>
      </c>
      <c r="BT113" s="90">
        <f t="shared" si="18"/>
        <v>0</v>
      </c>
      <c r="BU113" s="90">
        <f>ROUND(BT113*IFERROR(VLOOKUP($BC113,'3121% SY'!$A$2:$M$324,13,FALSE),0),3)</f>
        <v>0</v>
      </c>
    </row>
    <row r="114" spans="1:73" x14ac:dyDescent="0.25">
      <c r="A114" s="88" t="s">
        <v>133</v>
      </c>
      <c r="B114" s="90"/>
      <c r="C114" s="90">
        <v>0.183</v>
      </c>
      <c r="D114" s="90"/>
      <c r="E114" s="90"/>
      <c r="F114" s="90"/>
      <c r="G114" s="90">
        <v>0.25700000000000001</v>
      </c>
      <c r="H114" s="90"/>
      <c r="I114" s="90"/>
      <c r="J114" s="90"/>
      <c r="K114" s="90"/>
      <c r="L114" s="90"/>
      <c r="M114" s="90"/>
      <c r="N114" s="90"/>
      <c r="O114" s="90"/>
      <c r="P114" s="90">
        <f t="shared" si="12"/>
        <v>0.25700000000000001</v>
      </c>
      <c r="Q114" s="90">
        <f>SUM($B114:E114)</f>
        <v>0.183</v>
      </c>
      <c r="R114" s="89"/>
      <c r="AH114" s="90">
        <f t="shared" si="13"/>
        <v>0</v>
      </c>
      <c r="AI114" s="90">
        <f t="shared" si="14"/>
        <v>0</v>
      </c>
      <c r="AJ114" s="89"/>
      <c r="AZ114" s="90">
        <f t="shared" si="15"/>
        <v>0</v>
      </c>
      <c r="BA114" s="90">
        <f t="shared" si="16"/>
        <v>0</v>
      </c>
      <c r="BB114" s="89"/>
      <c r="BC114" s="88" t="s">
        <v>193</v>
      </c>
      <c r="BD114" s="90"/>
      <c r="BE114" s="90"/>
      <c r="BF114" s="90"/>
      <c r="BG114" s="90"/>
      <c r="BH114" s="90"/>
      <c r="BI114" s="90">
        <v>2.83</v>
      </c>
      <c r="BJ114" s="90">
        <v>4.2300000000000004</v>
      </c>
      <c r="BK114" s="90"/>
      <c r="BL114" s="90">
        <v>7.3490000000000002</v>
      </c>
      <c r="BM114" s="90">
        <v>6.4</v>
      </c>
      <c r="BN114" s="90"/>
      <c r="BO114" s="90">
        <v>1.877</v>
      </c>
      <c r="BP114" s="90"/>
      <c r="BQ114" s="90"/>
      <c r="BR114" s="90">
        <f t="shared" si="17"/>
        <v>22.686</v>
      </c>
      <c r="BS114" s="90">
        <f>ROUND(BR114*IFERROR(VLOOKUP($BC114,'3121% SY'!$A$2:$M$324,13,FALSE),0),3)</f>
        <v>7.0620000000000003</v>
      </c>
      <c r="BT114" s="90">
        <f t="shared" si="18"/>
        <v>0</v>
      </c>
      <c r="BU114" s="90">
        <f>ROUND(BT114*IFERROR(VLOOKUP($BC114,'3121% SY'!$A$2:$M$324,13,FALSE),0),3)</f>
        <v>0</v>
      </c>
    </row>
    <row r="115" spans="1:73" x14ac:dyDescent="0.25">
      <c r="A115" s="88" t="s">
        <v>135</v>
      </c>
      <c r="B115" s="90"/>
      <c r="C115" s="90"/>
      <c r="D115" s="90">
        <v>0.64300000000000002</v>
      </c>
      <c r="E115" s="90"/>
      <c r="F115" s="90"/>
      <c r="G115" s="90">
        <v>0.75</v>
      </c>
      <c r="H115" s="90"/>
      <c r="I115" s="90"/>
      <c r="J115" s="90"/>
      <c r="K115" s="90"/>
      <c r="L115" s="90"/>
      <c r="M115" s="90"/>
      <c r="N115" s="90"/>
      <c r="O115" s="90"/>
      <c r="P115" s="90">
        <f t="shared" si="12"/>
        <v>0.75</v>
      </c>
      <c r="Q115" s="90">
        <f>SUM($B115:E115)</f>
        <v>0.64300000000000002</v>
      </c>
      <c r="R115" s="89"/>
      <c r="AH115" s="90">
        <f t="shared" si="13"/>
        <v>0</v>
      </c>
      <c r="AI115" s="90">
        <f t="shared" si="14"/>
        <v>0</v>
      </c>
      <c r="AJ115" s="89"/>
      <c r="AZ115" s="90">
        <f t="shared" si="15"/>
        <v>0</v>
      </c>
      <c r="BA115" s="90">
        <f t="shared" si="16"/>
        <v>0</v>
      </c>
      <c r="BB115" s="89"/>
      <c r="BC115" s="88" t="s">
        <v>194</v>
      </c>
      <c r="BD115" s="90"/>
      <c r="BE115" s="90"/>
      <c r="BF115" s="90"/>
      <c r="BG115" s="90"/>
      <c r="BH115" s="90"/>
      <c r="BI115" s="90"/>
      <c r="BJ115" s="90">
        <v>7.3410000000000002</v>
      </c>
      <c r="BK115" s="90"/>
      <c r="BL115" s="90">
        <v>7.6</v>
      </c>
      <c r="BM115" s="90">
        <v>5.66</v>
      </c>
      <c r="BN115" s="90"/>
      <c r="BO115" s="90">
        <v>1.62</v>
      </c>
      <c r="BP115" s="90"/>
      <c r="BQ115" s="90">
        <v>23.225000000000001</v>
      </c>
      <c r="BR115" s="90">
        <f t="shared" si="17"/>
        <v>45.445999999999998</v>
      </c>
      <c r="BS115" s="90">
        <f>ROUND(BR115*IFERROR(VLOOKUP($BC115,'3121% SY'!$A$2:$M$324,13,FALSE),0),3)</f>
        <v>14.401999999999999</v>
      </c>
      <c r="BT115" s="90">
        <f t="shared" si="18"/>
        <v>0</v>
      </c>
      <c r="BU115" s="90">
        <f>ROUND(BT115*IFERROR(VLOOKUP($BC115,'3121% SY'!$A$2:$M$324,13,FALSE),0),3)</f>
        <v>0</v>
      </c>
    </row>
    <row r="116" spans="1:73" x14ac:dyDescent="0.25">
      <c r="A116" s="88" t="s">
        <v>136</v>
      </c>
      <c r="B116" s="90">
        <v>0.79800000000000004</v>
      </c>
      <c r="C116" s="90">
        <v>0.98199999999999998</v>
      </c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>
        <f t="shared" si="12"/>
        <v>0</v>
      </c>
      <c r="Q116" s="90">
        <f>SUM($B116:E116)</f>
        <v>1.78</v>
      </c>
      <c r="R116" s="89"/>
      <c r="AH116" s="90">
        <f t="shared" si="13"/>
        <v>0</v>
      </c>
      <c r="AI116" s="90">
        <f t="shared" si="14"/>
        <v>0</v>
      </c>
      <c r="AJ116" s="89"/>
      <c r="AZ116" s="90">
        <f t="shared" si="15"/>
        <v>0</v>
      </c>
      <c r="BA116" s="90">
        <f t="shared" si="16"/>
        <v>0</v>
      </c>
      <c r="BB116" s="89"/>
      <c r="BC116" s="88" t="s">
        <v>195</v>
      </c>
      <c r="BD116" s="90"/>
      <c r="BE116" s="90"/>
      <c r="BF116" s="90"/>
      <c r="BG116" s="90"/>
      <c r="BH116" s="90"/>
      <c r="BI116" s="90"/>
      <c r="BJ116" s="90"/>
      <c r="BK116" s="90"/>
      <c r="BL116" s="90">
        <v>1</v>
      </c>
      <c r="BM116" s="90">
        <v>0.25</v>
      </c>
      <c r="BN116" s="90"/>
      <c r="BO116" s="90"/>
      <c r="BP116" s="90"/>
      <c r="BQ116" s="90">
        <v>0.5</v>
      </c>
      <c r="BR116" s="90">
        <f t="shared" si="17"/>
        <v>1.75</v>
      </c>
      <c r="BS116" s="90">
        <f>ROUND(BR116*IFERROR(VLOOKUP($BC116,'3121% SY'!$A$2:$M$324,13,FALSE),0),3)</f>
        <v>0.46899999999999997</v>
      </c>
      <c r="BT116" s="90">
        <f t="shared" si="18"/>
        <v>0</v>
      </c>
      <c r="BU116" s="90">
        <f>ROUND(BT116*IFERROR(VLOOKUP($BC116,'3121% SY'!$A$2:$M$324,13,FALSE),0),3)</f>
        <v>0</v>
      </c>
    </row>
    <row r="117" spans="1:73" x14ac:dyDescent="0.25">
      <c r="A117" s="88" t="s">
        <v>138</v>
      </c>
      <c r="B117" s="90"/>
      <c r="C117" s="90">
        <v>0.86799999999999999</v>
      </c>
      <c r="D117" s="90">
        <v>0.38500000000000001</v>
      </c>
      <c r="E117" s="90"/>
      <c r="F117" s="90"/>
      <c r="G117" s="90">
        <v>0.4</v>
      </c>
      <c r="H117" s="90"/>
      <c r="I117" s="90"/>
      <c r="J117" s="90"/>
      <c r="K117" s="90"/>
      <c r="L117" s="90"/>
      <c r="M117" s="90"/>
      <c r="N117" s="90"/>
      <c r="O117" s="90"/>
      <c r="P117" s="90">
        <f t="shared" si="12"/>
        <v>0.4</v>
      </c>
      <c r="Q117" s="90">
        <f>SUM($B117:E117)</f>
        <v>1.2530000000000001</v>
      </c>
      <c r="R117" s="89"/>
      <c r="AH117" s="90">
        <f t="shared" si="13"/>
        <v>0</v>
      </c>
      <c r="AI117" s="90">
        <f t="shared" si="14"/>
        <v>0</v>
      </c>
      <c r="AJ117" s="89"/>
      <c r="AZ117" s="90">
        <f t="shared" si="15"/>
        <v>0</v>
      </c>
      <c r="BA117" s="90">
        <f t="shared" si="16"/>
        <v>0</v>
      </c>
      <c r="BB117" s="89"/>
      <c r="BC117" s="88" t="s">
        <v>196</v>
      </c>
      <c r="BD117" s="90"/>
      <c r="BE117" s="90"/>
      <c r="BF117" s="90"/>
      <c r="BG117" s="90"/>
      <c r="BH117" s="90"/>
      <c r="BI117" s="90"/>
      <c r="BJ117" s="90">
        <v>1</v>
      </c>
      <c r="BK117" s="90">
        <v>0.63</v>
      </c>
      <c r="BL117" s="90">
        <v>5.4630000000000001</v>
      </c>
      <c r="BM117" s="90">
        <v>4.3</v>
      </c>
      <c r="BN117" s="90"/>
      <c r="BO117" s="90"/>
      <c r="BP117" s="90"/>
      <c r="BQ117" s="90"/>
      <c r="BR117" s="90">
        <f t="shared" si="17"/>
        <v>11.393000000000001</v>
      </c>
      <c r="BS117" s="90">
        <f>ROUND(BR117*IFERROR(VLOOKUP($BC117,'3121% SY'!$A$2:$M$324,13,FALSE),0),3)</f>
        <v>2.83</v>
      </c>
      <c r="BT117" s="90">
        <f t="shared" si="18"/>
        <v>0</v>
      </c>
      <c r="BU117" s="90">
        <f>ROUND(BT117*IFERROR(VLOOKUP($BC117,'3121% SY'!$A$2:$M$324,13,FALSE),0),3)</f>
        <v>0</v>
      </c>
    </row>
    <row r="118" spans="1:73" x14ac:dyDescent="0.25">
      <c r="A118" s="88" t="s">
        <v>139</v>
      </c>
      <c r="B118" s="90"/>
      <c r="C118" s="90">
        <v>0.54600000000000004</v>
      </c>
      <c r="D118" s="90"/>
      <c r="E118" s="90"/>
      <c r="F118" s="90"/>
      <c r="G118" s="90">
        <v>0.128</v>
      </c>
      <c r="H118" s="90"/>
      <c r="I118" s="90"/>
      <c r="J118" s="90"/>
      <c r="K118" s="90"/>
      <c r="L118" s="90"/>
      <c r="M118" s="90"/>
      <c r="N118" s="90"/>
      <c r="O118" s="90"/>
      <c r="P118" s="90">
        <f t="shared" si="12"/>
        <v>0.128</v>
      </c>
      <c r="Q118" s="90">
        <f>SUM($B118:E118)</f>
        <v>0.54600000000000004</v>
      </c>
      <c r="R118" s="89"/>
      <c r="AH118" s="90">
        <f t="shared" si="13"/>
        <v>0</v>
      </c>
      <c r="AI118" s="90">
        <f t="shared" si="14"/>
        <v>0</v>
      </c>
      <c r="AJ118" s="89"/>
      <c r="AZ118" s="90">
        <f t="shared" si="15"/>
        <v>0</v>
      </c>
      <c r="BA118" s="90">
        <f t="shared" si="16"/>
        <v>0</v>
      </c>
      <c r="BB118" s="89"/>
      <c r="BC118" s="88" t="s">
        <v>197</v>
      </c>
      <c r="BD118" s="90"/>
      <c r="BE118" s="90"/>
      <c r="BF118" s="90"/>
      <c r="BG118" s="90"/>
      <c r="BH118" s="90"/>
      <c r="BI118" s="90"/>
      <c r="BJ118" s="90">
        <v>0.54</v>
      </c>
      <c r="BK118" s="90"/>
      <c r="BL118" s="90">
        <v>3.7469999999999999</v>
      </c>
      <c r="BM118" s="90">
        <v>1.75</v>
      </c>
      <c r="BN118" s="90"/>
      <c r="BO118" s="90">
        <v>0.27</v>
      </c>
      <c r="BP118" s="90"/>
      <c r="BQ118" s="90"/>
      <c r="BR118" s="90">
        <f t="shared" si="17"/>
        <v>6.3070000000000004</v>
      </c>
      <c r="BS118" s="90">
        <f>ROUND(BR118*IFERROR(VLOOKUP($BC118,'3121% SY'!$A$2:$M$324,13,FALSE),0),3)</f>
        <v>1.964</v>
      </c>
      <c r="BT118" s="90">
        <f t="shared" si="18"/>
        <v>0</v>
      </c>
      <c r="BU118" s="90">
        <f>ROUND(BT118*IFERROR(VLOOKUP($BC118,'3121% SY'!$A$2:$M$324,13,FALSE),0),3)</f>
        <v>0</v>
      </c>
    </row>
    <row r="119" spans="1:73" x14ac:dyDescent="0.25">
      <c r="A119" s="88" t="s">
        <v>140</v>
      </c>
      <c r="B119" s="90"/>
      <c r="C119" s="90">
        <v>1.145</v>
      </c>
      <c r="D119" s="90">
        <v>0.48499999999999999</v>
      </c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>
        <f t="shared" si="12"/>
        <v>0</v>
      </c>
      <c r="Q119" s="90">
        <f>SUM($B119:E119)</f>
        <v>1.63</v>
      </c>
      <c r="R119" s="89"/>
      <c r="AH119" s="90">
        <f t="shared" si="13"/>
        <v>0</v>
      </c>
      <c r="AI119" s="90">
        <f t="shared" si="14"/>
        <v>0</v>
      </c>
      <c r="AJ119" s="89"/>
      <c r="AZ119" s="90">
        <f t="shared" si="15"/>
        <v>0</v>
      </c>
      <c r="BA119" s="90">
        <f t="shared" si="16"/>
        <v>0</v>
      </c>
      <c r="BB119" s="89"/>
      <c r="BC119" s="88" t="s">
        <v>632</v>
      </c>
      <c r="BD119" s="90"/>
      <c r="BE119" s="90"/>
      <c r="BF119" s="90"/>
      <c r="BG119" s="90"/>
      <c r="BH119" s="90"/>
      <c r="BI119" s="90"/>
      <c r="BJ119" s="90"/>
      <c r="BK119" s="90"/>
      <c r="BL119" s="90">
        <v>0.4</v>
      </c>
      <c r="BM119" s="90"/>
      <c r="BN119" s="90"/>
      <c r="BO119" s="90"/>
      <c r="BP119" s="90"/>
      <c r="BQ119" s="90"/>
      <c r="BR119" s="90">
        <f t="shared" si="17"/>
        <v>0.4</v>
      </c>
      <c r="BS119" s="90">
        <f>ROUND(BR119*IFERROR(VLOOKUP($BC119,'3121% SY'!$A$2:$M$324,13,FALSE),0),3)</f>
        <v>5.8999999999999997E-2</v>
      </c>
      <c r="BT119" s="90">
        <f t="shared" si="18"/>
        <v>0</v>
      </c>
      <c r="BU119" s="90">
        <f>ROUND(BT119*IFERROR(VLOOKUP($BC119,'3121% SY'!$A$2:$M$324,13,FALSE),0),3)</f>
        <v>0</v>
      </c>
    </row>
    <row r="120" spans="1:73" x14ac:dyDescent="0.25">
      <c r="A120" s="88" t="s">
        <v>141</v>
      </c>
      <c r="B120" s="90"/>
      <c r="C120" s="90"/>
      <c r="D120" s="90"/>
      <c r="E120" s="90"/>
      <c r="F120" s="90"/>
      <c r="G120" s="90">
        <v>0.62</v>
      </c>
      <c r="H120" s="90"/>
      <c r="I120" s="90"/>
      <c r="J120" s="90"/>
      <c r="K120" s="90"/>
      <c r="L120" s="90">
        <v>1.026</v>
      </c>
      <c r="M120" s="90"/>
      <c r="N120" s="90"/>
      <c r="O120" s="90"/>
      <c r="P120" s="90">
        <f t="shared" si="12"/>
        <v>1.6459999999999999</v>
      </c>
      <c r="Q120" s="90">
        <f>SUM($B120:E120)</f>
        <v>0</v>
      </c>
      <c r="R120" s="89"/>
      <c r="AH120" s="90">
        <f t="shared" si="13"/>
        <v>0</v>
      </c>
      <c r="AI120" s="90">
        <f t="shared" si="14"/>
        <v>0</v>
      </c>
      <c r="AJ120" s="89"/>
      <c r="AZ120" s="90">
        <f t="shared" si="15"/>
        <v>0</v>
      </c>
      <c r="BA120" s="90">
        <f t="shared" si="16"/>
        <v>0</v>
      </c>
      <c r="BB120" s="89"/>
      <c r="BC120" s="88" t="s">
        <v>666</v>
      </c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>
        <v>2.6</v>
      </c>
      <c r="BR120" s="90">
        <f t="shared" si="17"/>
        <v>2.6</v>
      </c>
      <c r="BS120" s="90">
        <f>ROUND(BR120*IFERROR(VLOOKUP($BC120,'3121% SY'!$A$2:$M$324,13,FALSE),0),3)</f>
        <v>0.39</v>
      </c>
      <c r="BT120" s="90">
        <f t="shared" si="18"/>
        <v>0</v>
      </c>
      <c r="BU120" s="90">
        <f>ROUND(BT120*IFERROR(VLOOKUP($BC120,'3121% SY'!$A$2:$M$324,13,FALSE),0),3)</f>
        <v>0</v>
      </c>
    </row>
    <row r="121" spans="1:73" x14ac:dyDescent="0.25">
      <c r="A121" s="88" t="s">
        <v>143</v>
      </c>
      <c r="B121" s="90"/>
      <c r="C121" s="90"/>
      <c r="D121" s="90"/>
      <c r="E121" s="90"/>
      <c r="F121" s="90"/>
      <c r="G121" s="90">
        <v>0.45</v>
      </c>
      <c r="H121" s="90"/>
      <c r="I121" s="90"/>
      <c r="J121" s="90"/>
      <c r="K121" s="90"/>
      <c r="L121" s="90"/>
      <c r="M121" s="90"/>
      <c r="N121" s="90"/>
      <c r="O121" s="90"/>
      <c r="P121" s="90">
        <f t="shared" si="12"/>
        <v>0.45</v>
      </c>
      <c r="Q121" s="90">
        <f>SUM($B121:E121)</f>
        <v>0</v>
      </c>
      <c r="R121" s="89"/>
      <c r="AH121" s="90">
        <f t="shared" si="13"/>
        <v>0</v>
      </c>
      <c r="AI121" s="90">
        <f t="shared" si="14"/>
        <v>0</v>
      </c>
      <c r="AJ121" s="89"/>
      <c r="AZ121" s="90">
        <f t="shared" si="15"/>
        <v>0</v>
      </c>
      <c r="BA121" s="90">
        <f t="shared" si="16"/>
        <v>0</v>
      </c>
      <c r="BB121" s="89"/>
      <c r="BC121" s="88" t="s">
        <v>199</v>
      </c>
      <c r="BD121" s="90"/>
      <c r="BE121" s="90"/>
      <c r="BF121" s="90"/>
      <c r="BG121" s="90"/>
      <c r="BH121" s="90"/>
      <c r="BI121" s="90"/>
      <c r="BJ121" s="90">
        <v>1</v>
      </c>
      <c r="BK121" s="90"/>
      <c r="BL121" s="90"/>
      <c r="BM121" s="90"/>
      <c r="BN121" s="90"/>
      <c r="BO121" s="90"/>
      <c r="BP121" s="90"/>
      <c r="BQ121" s="90"/>
      <c r="BR121" s="90">
        <f t="shared" si="17"/>
        <v>1</v>
      </c>
      <c r="BS121" s="90">
        <f>ROUND(BR121*IFERROR(VLOOKUP($BC121,'3121% SY'!$A$2:$M$324,13,FALSE),0),3)</f>
        <v>0.123</v>
      </c>
      <c r="BT121" s="90">
        <f t="shared" si="18"/>
        <v>0</v>
      </c>
      <c r="BU121" s="90">
        <f>ROUND(BT121*IFERROR(VLOOKUP($BC121,'3121% SY'!$A$2:$M$324,13,FALSE),0),3)</f>
        <v>0</v>
      </c>
    </row>
    <row r="122" spans="1:73" x14ac:dyDescent="0.25">
      <c r="A122" s="88" t="s">
        <v>145</v>
      </c>
      <c r="B122" s="90"/>
      <c r="C122" s="90">
        <v>0.254</v>
      </c>
      <c r="D122" s="90">
        <v>0.51800000000000002</v>
      </c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>
        <f t="shared" si="12"/>
        <v>0</v>
      </c>
      <c r="Q122" s="90">
        <f>SUM($B122:E122)</f>
        <v>0.77200000000000002</v>
      </c>
      <c r="R122" s="89"/>
      <c r="AH122" s="90">
        <f t="shared" si="13"/>
        <v>0</v>
      </c>
      <c r="AI122" s="90">
        <f t="shared" si="14"/>
        <v>0</v>
      </c>
      <c r="AJ122" s="89"/>
      <c r="AZ122" s="90">
        <f t="shared" si="15"/>
        <v>0</v>
      </c>
      <c r="BA122" s="90">
        <f t="shared" si="16"/>
        <v>0</v>
      </c>
      <c r="BB122" s="89"/>
      <c r="BC122" s="88" t="s">
        <v>200</v>
      </c>
      <c r="BD122" s="90"/>
      <c r="BE122" s="90"/>
      <c r="BF122" s="90"/>
      <c r="BG122" s="90"/>
      <c r="BH122" s="90"/>
      <c r="BI122" s="90"/>
      <c r="BJ122" s="90"/>
      <c r="BK122" s="90"/>
      <c r="BL122" s="90">
        <v>0.3</v>
      </c>
      <c r="BM122" s="90"/>
      <c r="BN122" s="90"/>
      <c r="BO122" s="90"/>
      <c r="BP122" s="90"/>
      <c r="BQ122" s="90"/>
      <c r="BR122" s="90">
        <f t="shared" si="17"/>
        <v>0.3</v>
      </c>
      <c r="BS122" s="90">
        <f>ROUND(BR122*IFERROR(VLOOKUP($BC122,'3121% SY'!$A$2:$M$324,13,FALSE),0),3)</f>
        <v>5.5E-2</v>
      </c>
      <c r="BT122" s="90">
        <f t="shared" si="18"/>
        <v>0</v>
      </c>
      <c r="BU122" s="90">
        <f>ROUND(BT122*IFERROR(VLOOKUP($BC122,'3121% SY'!$A$2:$M$324,13,FALSE),0),3)</f>
        <v>0</v>
      </c>
    </row>
    <row r="123" spans="1:73" x14ac:dyDescent="0.25">
      <c r="A123" s="88" t="s">
        <v>146</v>
      </c>
      <c r="B123" s="90"/>
      <c r="C123" s="90">
        <v>0.39600000000000002</v>
      </c>
      <c r="D123" s="90">
        <v>0.13200000000000001</v>
      </c>
      <c r="E123" s="90"/>
      <c r="F123" s="90"/>
      <c r="G123" s="90">
        <v>0.45200000000000001</v>
      </c>
      <c r="H123" s="90"/>
      <c r="I123" s="90"/>
      <c r="J123" s="90"/>
      <c r="K123" s="90"/>
      <c r="L123" s="90"/>
      <c r="M123" s="90"/>
      <c r="N123" s="90"/>
      <c r="O123" s="90"/>
      <c r="P123" s="90">
        <f t="shared" si="12"/>
        <v>0.45200000000000001</v>
      </c>
      <c r="Q123" s="90">
        <f>SUM($B123:E123)</f>
        <v>0.52800000000000002</v>
      </c>
      <c r="R123" s="89"/>
      <c r="AH123" s="90">
        <f t="shared" si="13"/>
        <v>0</v>
      </c>
      <c r="AI123" s="90">
        <f t="shared" si="14"/>
        <v>0</v>
      </c>
      <c r="AJ123" s="89"/>
      <c r="AZ123" s="90">
        <f t="shared" si="15"/>
        <v>0</v>
      </c>
      <c r="BA123" s="90">
        <f t="shared" si="16"/>
        <v>0</v>
      </c>
      <c r="BB123" s="89"/>
      <c r="BC123" s="88" t="s">
        <v>201</v>
      </c>
      <c r="BD123" s="90"/>
      <c r="BE123" s="90"/>
      <c r="BF123" s="90"/>
      <c r="BG123" s="90"/>
      <c r="BH123" s="90"/>
      <c r="BI123" s="90"/>
      <c r="BJ123" s="90">
        <v>0.5</v>
      </c>
      <c r="BK123" s="90"/>
      <c r="BL123" s="90">
        <v>1</v>
      </c>
      <c r="BM123" s="90"/>
      <c r="BN123" s="90"/>
      <c r="BO123" s="90"/>
      <c r="BP123" s="90"/>
      <c r="BQ123" s="90"/>
      <c r="BR123" s="90">
        <f t="shared" si="17"/>
        <v>1.5</v>
      </c>
      <c r="BS123" s="90">
        <f>ROUND(BR123*IFERROR(VLOOKUP($BC123,'3121% SY'!$A$2:$M$324,13,FALSE),0),3)</f>
        <v>0.23300000000000001</v>
      </c>
      <c r="BT123" s="90">
        <f t="shared" si="18"/>
        <v>0</v>
      </c>
      <c r="BU123" s="90">
        <f>ROUND(BT123*IFERROR(VLOOKUP($BC123,'3121% SY'!$A$2:$M$324,13,FALSE),0),3)</f>
        <v>0</v>
      </c>
    </row>
    <row r="124" spans="1:73" x14ac:dyDescent="0.25">
      <c r="A124" s="88" t="s">
        <v>148</v>
      </c>
      <c r="B124" s="90"/>
      <c r="C124" s="90"/>
      <c r="D124" s="90"/>
      <c r="E124" s="90"/>
      <c r="F124" s="90"/>
      <c r="G124" s="90">
        <v>0.33300000000000002</v>
      </c>
      <c r="H124" s="90"/>
      <c r="I124" s="90"/>
      <c r="J124" s="90"/>
      <c r="K124" s="90"/>
      <c r="L124" s="90">
        <v>0.57799999999999996</v>
      </c>
      <c r="M124" s="90"/>
      <c r="N124" s="90"/>
      <c r="O124" s="90"/>
      <c r="P124" s="90">
        <f t="shared" si="12"/>
        <v>0.91100000000000003</v>
      </c>
      <c r="Q124" s="90">
        <f>SUM($B124:E124)</f>
        <v>0</v>
      </c>
      <c r="R124" s="89"/>
      <c r="AH124" s="90">
        <f t="shared" si="13"/>
        <v>0</v>
      </c>
      <c r="AI124" s="90">
        <f t="shared" si="14"/>
        <v>0</v>
      </c>
      <c r="AJ124" s="89"/>
      <c r="AZ124" s="90">
        <f t="shared" si="15"/>
        <v>0</v>
      </c>
      <c r="BA124" s="90">
        <f t="shared" si="16"/>
        <v>0</v>
      </c>
      <c r="BB124" s="89"/>
      <c r="BC124" s="88" t="s">
        <v>202</v>
      </c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>
        <v>0.25</v>
      </c>
      <c r="BQ124" s="90"/>
      <c r="BR124" s="90">
        <f t="shared" si="17"/>
        <v>0.25</v>
      </c>
      <c r="BS124" s="90">
        <f>ROUND(BR124*IFERROR(VLOOKUP($BC124,'3121% SY'!$A$2:$M$324,13,FALSE),0),3)</f>
        <v>4.3999999999999997E-2</v>
      </c>
      <c r="BT124" s="90">
        <f t="shared" si="18"/>
        <v>0</v>
      </c>
      <c r="BU124" s="90">
        <f>ROUND(BT124*IFERROR(VLOOKUP($BC124,'3121% SY'!$A$2:$M$324,13,FALSE),0),3)</f>
        <v>0</v>
      </c>
    </row>
    <row r="125" spans="1:73" x14ac:dyDescent="0.25">
      <c r="A125" s="88" t="s">
        <v>149</v>
      </c>
      <c r="B125" s="90"/>
      <c r="C125" s="90">
        <v>3.2370000000000001</v>
      </c>
      <c r="D125" s="90"/>
      <c r="E125" s="90"/>
      <c r="F125" s="90"/>
      <c r="G125" s="90">
        <v>0.313</v>
      </c>
      <c r="H125" s="90"/>
      <c r="I125" s="90"/>
      <c r="J125" s="90"/>
      <c r="K125" s="90"/>
      <c r="L125" s="90">
        <v>0.23799999999999999</v>
      </c>
      <c r="M125" s="90"/>
      <c r="N125" s="90"/>
      <c r="O125" s="90"/>
      <c r="P125" s="90">
        <f t="shared" si="12"/>
        <v>0.55099999999999993</v>
      </c>
      <c r="Q125" s="90">
        <f>SUM($B125:E125)</f>
        <v>3.2370000000000001</v>
      </c>
      <c r="R125" s="89"/>
      <c r="AH125" s="90">
        <f t="shared" si="13"/>
        <v>0</v>
      </c>
      <c r="AI125" s="90">
        <f t="shared" si="14"/>
        <v>0</v>
      </c>
      <c r="AJ125" s="89"/>
      <c r="AZ125" s="90">
        <f t="shared" si="15"/>
        <v>0</v>
      </c>
      <c r="BA125" s="90">
        <f t="shared" si="16"/>
        <v>0</v>
      </c>
      <c r="BB125" s="89"/>
      <c r="BC125" s="88" t="s">
        <v>203</v>
      </c>
      <c r="BD125" s="90"/>
      <c r="BE125" s="90"/>
      <c r="BF125" s="90"/>
      <c r="BG125" s="90"/>
      <c r="BH125" s="90"/>
      <c r="BI125" s="90"/>
      <c r="BJ125" s="90">
        <v>1.9590000000000001</v>
      </c>
      <c r="BK125" s="90"/>
      <c r="BL125" s="90">
        <v>4.47</v>
      </c>
      <c r="BM125" s="90"/>
      <c r="BN125" s="90"/>
      <c r="BO125" s="90">
        <v>0.21</v>
      </c>
      <c r="BP125" s="90"/>
      <c r="BQ125" s="90"/>
      <c r="BR125" s="90">
        <f t="shared" si="17"/>
        <v>6.6390000000000002</v>
      </c>
      <c r="BS125" s="90">
        <f>ROUND(BR125*IFERROR(VLOOKUP($BC125,'3121% SY'!$A$2:$M$324,13,FALSE),0),3)</f>
        <v>1.407</v>
      </c>
      <c r="BT125" s="90">
        <f t="shared" si="18"/>
        <v>0</v>
      </c>
      <c r="BU125" s="90">
        <f>ROUND(BT125*IFERROR(VLOOKUP($BC125,'3121% SY'!$A$2:$M$324,13,FALSE),0),3)</f>
        <v>0</v>
      </c>
    </row>
    <row r="126" spans="1:73" x14ac:dyDescent="0.25">
      <c r="A126" s="88" t="s">
        <v>150</v>
      </c>
      <c r="B126" s="90"/>
      <c r="C126" s="90"/>
      <c r="D126" s="90">
        <v>1.389</v>
      </c>
      <c r="E126" s="90"/>
      <c r="F126" s="90"/>
      <c r="G126" s="90">
        <v>5</v>
      </c>
      <c r="H126" s="90"/>
      <c r="I126" s="90"/>
      <c r="J126" s="90"/>
      <c r="K126" s="90"/>
      <c r="L126" s="90"/>
      <c r="M126" s="90"/>
      <c r="N126" s="90"/>
      <c r="O126" s="90"/>
      <c r="P126" s="90">
        <f t="shared" si="12"/>
        <v>5</v>
      </c>
      <c r="Q126" s="90">
        <f>SUM($B126:E126)</f>
        <v>1.389</v>
      </c>
      <c r="R126" s="89"/>
      <c r="AH126" s="90">
        <f t="shared" si="13"/>
        <v>0</v>
      </c>
      <c r="AI126" s="90">
        <f t="shared" si="14"/>
        <v>0</v>
      </c>
      <c r="AJ126" s="89"/>
      <c r="AZ126" s="90">
        <f t="shared" si="15"/>
        <v>0</v>
      </c>
      <c r="BA126" s="90">
        <f t="shared" si="16"/>
        <v>0</v>
      </c>
      <c r="BB126" s="89"/>
      <c r="BC126" s="88" t="s">
        <v>204</v>
      </c>
      <c r="BD126" s="90"/>
      <c r="BE126" s="90">
        <v>1.3540000000000001</v>
      </c>
      <c r="BF126" s="90">
        <v>1.6519999999999999</v>
      </c>
      <c r="BG126" s="90"/>
      <c r="BH126" s="90">
        <v>0.86</v>
      </c>
      <c r="BI126" s="90"/>
      <c r="BJ126" s="90">
        <v>3.06</v>
      </c>
      <c r="BK126" s="90"/>
      <c r="BL126" s="90">
        <v>7.03</v>
      </c>
      <c r="BM126" s="90">
        <v>2.95</v>
      </c>
      <c r="BN126" s="90"/>
      <c r="BO126" s="90">
        <v>1.0149999999999999</v>
      </c>
      <c r="BP126" s="90">
        <v>0.184</v>
      </c>
      <c r="BQ126" s="90"/>
      <c r="BR126" s="90">
        <f t="shared" si="17"/>
        <v>15.098999999999998</v>
      </c>
      <c r="BS126" s="90">
        <f>ROUND(BR126*IFERROR(VLOOKUP($BC126,'3121% SY'!$A$2:$M$324,13,FALSE),0),3)</f>
        <v>3.4940000000000002</v>
      </c>
      <c r="BT126" s="90">
        <f t="shared" si="18"/>
        <v>3.0060000000000002</v>
      </c>
      <c r="BU126" s="90">
        <f>ROUND(BT126*IFERROR(VLOOKUP($BC126,'3121% SY'!$A$2:$M$324,13,FALSE),0),3)</f>
        <v>0.69599999999999995</v>
      </c>
    </row>
    <row r="127" spans="1:73" x14ac:dyDescent="0.25">
      <c r="A127" s="88" t="s">
        <v>151</v>
      </c>
      <c r="B127" s="90"/>
      <c r="C127" s="90">
        <v>0.33500000000000002</v>
      </c>
      <c r="D127" s="90"/>
      <c r="E127" s="90"/>
      <c r="F127" s="90"/>
      <c r="G127" s="90">
        <v>0.5</v>
      </c>
      <c r="H127" s="90"/>
      <c r="I127" s="90"/>
      <c r="J127" s="90"/>
      <c r="K127" s="90"/>
      <c r="L127" s="90"/>
      <c r="M127" s="90"/>
      <c r="N127" s="90"/>
      <c r="O127" s="90"/>
      <c r="P127" s="90">
        <f t="shared" si="12"/>
        <v>0.5</v>
      </c>
      <c r="Q127" s="90">
        <f>SUM($B127:E127)</f>
        <v>0.33500000000000002</v>
      </c>
      <c r="R127" s="89"/>
      <c r="AH127" s="90">
        <f t="shared" si="13"/>
        <v>0</v>
      </c>
      <c r="AI127" s="90">
        <f t="shared" si="14"/>
        <v>0</v>
      </c>
      <c r="AJ127" s="89"/>
      <c r="AZ127" s="90">
        <f t="shared" si="15"/>
        <v>0</v>
      </c>
      <c r="BA127" s="90">
        <f t="shared" si="16"/>
        <v>0</v>
      </c>
      <c r="BB127" s="89"/>
      <c r="BC127" s="88" t="s">
        <v>205</v>
      </c>
      <c r="BD127" s="90"/>
      <c r="BE127" s="90"/>
      <c r="BF127" s="90"/>
      <c r="BG127" s="90"/>
      <c r="BH127" s="90"/>
      <c r="BI127" s="90"/>
      <c r="BJ127" s="90">
        <v>1.4019999999999999</v>
      </c>
      <c r="BK127" s="90"/>
      <c r="BL127" s="90">
        <v>4.5</v>
      </c>
      <c r="BM127" s="90">
        <v>1.3</v>
      </c>
      <c r="BN127" s="90"/>
      <c r="BO127" s="90">
        <v>0.91200000000000003</v>
      </c>
      <c r="BP127" s="90"/>
      <c r="BQ127" s="90"/>
      <c r="BR127" s="90">
        <f t="shared" si="17"/>
        <v>8.1140000000000008</v>
      </c>
      <c r="BS127" s="90">
        <f>ROUND(BR127*IFERROR(VLOOKUP($BC127,'3121% SY'!$A$2:$M$324,13,FALSE),0),3)</f>
        <v>1.625</v>
      </c>
      <c r="BT127" s="90">
        <f t="shared" si="18"/>
        <v>0</v>
      </c>
      <c r="BU127" s="90">
        <f>ROUND(BT127*IFERROR(VLOOKUP($BC127,'3121% SY'!$A$2:$M$324,13,FALSE),0),3)</f>
        <v>0</v>
      </c>
    </row>
    <row r="128" spans="1:73" x14ac:dyDescent="0.25">
      <c r="A128" s="88" t="s">
        <v>152</v>
      </c>
      <c r="B128" s="90"/>
      <c r="C128" s="90">
        <v>0.24299999999999999</v>
      </c>
      <c r="D128" s="90"/>
      <c r="E128" s="90"/>
      <c r="F128" s="90"/>
      <c r="G128" s="90">
        <v>0.8</v>
      </c>
      <c r="H128" s="90"/>
      <c r="I128" s="90"/>
      <c r="J128" s="90"/>
      <c r="K128" s="90"/>
      <c r="L128" s="90"/>
      <c r="M128" s="90"/>
      <c r="N128" s="90"/>
      <c r="O128" s="90"/>
      <c r="P128" s="90">
        <f t="shared" si="12"/>
        <v>0.8</v>
      </c>
      <c r="Q128" s="90">
        <f>SUM($B128:E128)</f>
        <v>0.24299999999999999</v>
      </c>
      <c r="R128" s="89"/>
      <c r="AH128" s="90">
        <f t="shared" si="13"/>
        <v>0</v>
      </c>
      <c r="AI128" s="90">
        <f t="shared" si="14"/>
        <v>0</v>
      </c>
      <c r="AJ128" s="89"/>
      <c r="AZ128" s="90">
        <f t="shared" si="15"/>
        <v>0</v>
      </c>
      <c r="BA128" s="90">
        <f t="shared" si="16"/>
        <v>0</v>
      </c>
      <c r="BB128" s="89"/>
      <c r="BC128" s="88" t="s">
        <v>206</v>
      </c>
      <c r="BD128" s="90"/>
      <c r="BE128" s="90"/>
      <c r="BF128" s="90"/>
      <c r="BG128" s="90"/>
      <c r="BH128" s="90"/>
      <c r="BI128" s="90"/>
      <c r="BJ128" s="90"/>
      <c r="BK128" s="90"/>
      <c r="BL128" s="90">
        <v>1</v>
      </c>
      <c r="BM128" s="90"/>
      <c r="BN128" s="90"/>
      <c r="BO128" s="90"/>
      <c r="BP128" s="90"/>
      <c r="BQ128" s="90"/>
      <c r="BR128" s="90">
        <f t="shared" si="17"/>
        <v>1</v>
      </c>
      <c r="BS128" s="90">
        <f>ROUND(BR128*IFERROR(VLOOKUP($BC128,'3121% SY'!$A$2:$M$324,13,FALSE),0),3)</f>
        <v>0.22500000000000001</v>
      </c>
      <c r="BT128" s="90">
        <f t="shared" si="18"/>
        <v>0</v>
      </c>
      <c r="BU128" s="90">
        <f>ROUND(BT128*IFERROR(VLOOKUP($BC128,'3121% SY'!$A$2:$M$324,13,FALSE),0),3)</f>
        <v>0</v>
      </c>
    </row>
    <row r="129" spans="1:73" x14ac:dyDescent="0.25">
      <c r="A129" s="88" t="s">
        <v>153</v>
      </c>
      <c r="B129" s="90"/>
      <c r="C129" s="90"/>
      <c r="D129" s="90"/>
      <c r="E129" s="90"/>
      <c r="F129" s="90"/>
      <c r="G129" s="90">
        <v>0.48299999999999998</v>
      </c>
      <c r="H129" s="90"/>
      <c r="I129" s="90"/>
      <c r="J129" s="90"/>
      <c r="K129" s="90"/>
      <c r="L129" s="90"/>
      <c r="M129" s="90"/>
      <c r="N129" s="90"/>
      <c r="O129" s="90"/>
      <c r="P129" s="90">
        <f t="shared" si="12"/>
        <v>0.48299999999999998</v>
      </c>
      <c r="Q129" s="90">
        <f>SUM($B129:E129)</f>
        <v>0</v>
      </c>
      <c r="R129" s="89"/>
      <c r="AH129" s="90">
        <f t="shared" si="13"/>
        <v>0</v>
      </c>
      <c r="AI129" s="90">
        <f t="shared" si="14"/>
        <v>0</v>
      </c>
      <c r="AJ129" s="89"/>
      <c r="AZ129" s="90">
        <f t="shared" si="15"/>
        <v>0</v>
      </c>
      <c r="BA129" s="90">
        <f t="shared" si="16"/>
        <v>0</v>
      </c>
      <c r="BB129" s="89"/>
      <c r="BC129" s="88" t="s">
        <v>207</v>
      </c>
      <c r="BD129" s="90"/>
      <c r="BE129" s="90"/>
      <c r="BF129" s="90"/>
      <c r="BG129" s="90"/>
      <c r="BH129" s="90"/>
      <c r="BI129" s="90"/>
      <c r="BJ129" s="90"/>
      <c r="BK129" s="90"/>
      <c r="BL129" s="90">
        <v>0.51600000000000001</v>
      </c>
      <c r="BM129" s="90">
        <v>0.4</v>
      </c>
      <c r="BN129" s="90"/>
      <c r="BO129" s="90"/>
      <c r="BP129" s="90"/>
      <c r="BQ129" s="90"/>
      <c r="BR129" s="90">
        <f t="shared" si="17"/>
        <v>0.91600000000000004</v>
      </c>
      <c r="BS129" s="90">
        <f>ROUND(BR129*IFERROR(VLOOKUP($BC129,'3121% SY'!$A$2:$M$324,13,FALSE),0),3)</f>
        <v>0.11600000000000001</v>
      </c>
      <c r="BT129" s="90">
        <f t="shared" si="18"/>
        <v>0</v>
      </c>
      <c r="BU129" s="90">
        <f>ROUND(BT129*IFERROR(VLOOKUP($BC129,'3121% SY'!$A$2:$M$324,13,FALSE),0),3)</f>
        <v>0</v>
      </c>
    </row>
    <row r="130" spans="1:73" x14ac:dyDescent="0.25">
      <c r="A130" s="88" t="s">
        <v>155</v>
      </c>
      <c r="B130" s="90"/>
      <c r="C130" s="90">
        <v>0.22</v>
      </c>
      <c r="D130" s="90"/>
      <c r="E130" s="90"/>
      <c r="F130" s="90"/>
      <c r="G130" s="90">
        <v>0.497</v>
      </c>
      <c r="H130" s="90"/>
      <c r="I130" s="90"/>
      <c r="J130" s="90"/>
      <c r="K130" s="90"/>
      <c r="L130" s="90"/>
      <c r="M130" s="90"/>
      <c r="N130" s="90"/>
      <c r="O130" s="90"/>
      <c r="P130" s="90">
        <f t="shared" si="12"/>
        <v>0.497</v>
      </c>
      <c r="Q130" s="90">
        <f>SUM($B130:E130)</f>
        <v>0.22</v>
      </c>
      <c r="R130" s="89"/>
      <c r="AH130" s="90">
        <f t="shared" si="13"/>
        <v>0</v>
      </c>
      <c r="AI130" s="90">
        <f t="shared" si="14"/>
        <v>0</v>
      </c>
      <c r="AJ130" s="89"/>
      <c r="AZ130" s="90">
        <f t="shared" si="15"/>
        <v>0</v>
      </c>
      <c r="BA130" s="90">
        <f t="shared" si="16"/>
        <v>0</v>
      </c>
      <c r="BB130" s="89"/>
      <c r="BC130" s="88" t="s">
        <v>208</v>
      </c>
      <c r="BD130" s="90"/>
      <c r="BE130" s="90"/>
      <c r="BF130" s="90"/>
      <c r="BG130" s="90"/>
      <c r="BH130" s="90"/>
      <c r="BI130" s="90"/>
      <c r="BJ130" s="90">
        <v>1.8</v>
      </c>
      <c r="BK130" s="90"/>
      <c r="BL130" s="90">
        <v>7.2960000000000003</v>
      </c>
      <c r="BM130" s="90"/>
      <c r="BN130" s="90"/>
      <c r="BO130" s="90">
        <v>0.33</v>
      </c>
      <c r="BP130" s="90"/>
      <c r="BQ130" s="90"/>
      <c r="BR130" s="90">
        <f t="shared" si="17"/>
        <v>9.4260000000000002</v>
      </c>
      <c r="BS130" s="90">
        <f>ROUND(BR130*IFERROR(VLOOKUP($BC130,'3121% SY'!$A$2:$M$324,13,FALSE),0),3)</f>
        <v>2.4630000000000001</v>
      </c>
      <c r="BT130" s="90">
        <f t="shared" si="18"/>
        <v>0</v>
      </c>
      <c r="BU130" s="90">
        <f>ROUND(BT130*IFERROR(VLOOKUP($BC130,'3121% SY'!$A$2:$M$324,13,FALSE),0),3)</f>
        <v>0</v>
      </c>
    </row>
    <row r="131" spans="1:73" x14ac:dyDescent="0.25">
      <c r="A131" s="88" t="s">
        <v>156</v>
      </c>
      <c r="B131" s="90"/>
      <c r="C131" s="90"/>
      <c r="D131" s="90">
        <v>0.33900000000000002</v>
      </c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>
        <f t="shared" si="12"/>
        <v>0</v>
      </c>
      <c r="Q131" s="90">
        <f>SUM($B131:E131)</f>
        <v>0.33900000000000002</v>
      </c>
      <c r="R131" s="89"/>
      <c r="AH131" s="90">
        <f t="shared" si="13"/>
        <v>0</v>
      </c>
      <c r="AI131" s="90">
        <f t="shared" si="14"/>
        <v>0</v>
      </c>
      <c r="AJ131" s="89"/>
      <c r="AZ131" s="90">
        <f t="shared" si="15"/>
        <v>0</v>
      </c>
      <c r="BA131" s="90">
        <f t="shared" si="16"/>
        <v>0</v>
      </c>
      <c r="BB131" s="89"/>
      <c r="BC131" s="88" t="s">
        <v>213</v>
      </c>
      <c r="BD131" s="90"/>
      <c r="BE131" s="90"/>
      <c r="BF131" s="90"/>
      <c r="BG131" s="90"/>
      <c r="BH131" s="90"/>
      <c r="BI131" s="90"/>
      <c r="BJ131" s="90">
        <v>6.4009999999999998</v>
      </c>
      <c r="BK131" s="90"/>
      <c r="BL131" s="90">
        <v>20.882000000000001</v>
      </c>
      <c r="BM131" s="90">
        <v>8.4</v>
      </c>
      <c r="BN131" s="90"/>
      <c r="BO131" s="90">
        <v>5.5010000000000003</v>
      </c>
      <c r="BP131" s="90">
        <v>1.3340000000000001</v>
      </c>
      <c r="BQ131" s="90"/>
      <c r="BR131" s="90">
        <f t="shared" si="17"/>
        <v>42.518000000000001</v>
      </c>
      <c r="BS131" s="90">
        <f>ROUND(BR131*IFERROR(VLOOKUP($BC131,'3121% SY'!$A$2:$M$324,13,FALSE),0),3)</f>
        <v>12.679</v>
      </c>
      <c r="BT131" s="90">
        <f t="shared" si="18"/>
        <v>0</v>
      </c>
      <c r="BU131" s="90">
        <f>ROUND(BT131*IFERROR(VLOOKUP($BC131,'3121% SY'!$A$2:$M$324,13,FALSE),0),3)</f>
        <v>0</v>
      </c>
    </row>
    <row r="132" spans="1:73" x14ac:dyDescent="0.25">
      <c r="A132" s="88" t="s">
        <v>157</v>
      </c>
      <c r="B132" s="90"/>
      <c r="C132" s="90">
        <v>4.2000000000000003E-2</v>
      </c>
      <c r="D132" s="90"/>
      <c r="E132" s="90"/>
      <c r="F132" s="90"/>
      <c r="G132" s="90">
        <v>0.5</v>
      </c>
      <c r="H132" s="90"/>
      <c r="I132" s="90"/>
      <c r="J132" s="90"/>
      <c r="K132" s="90"/>
      <c r="L132" s="90"/>
      <c r="M132" s="90"/>
      <c r="N132" s="90"/>
      <c r="O132" s="90"/>
      <c r="P132" s="90">
        <f t="shared" si="12"/>
        <v>0.5</v>
      </c>
      <c r="Q132" s="90">
        <f>SUM($B132:E132)</f>
        <v>4.2000000000000003E-2</v>
      </c>
      <c r="R132" s="89"/>
      <c r="AH132" s="90">
        <f t="shared" si="13"/>
        <v>0</v>
      </c>
      <c r="AI132" s="90">
        <f t="shared" si="14"/>
        <v>0</v>
      </c>
      <c r="AJ132" s="89"/>
      <c r="AZ132" s="90">
        <f t="shared" si="15"/>
        <v>0</v>
      </c>
      <c r="BA132" s="90">
        <f t="shared" si="16"/>
        <v>0</v>
      </c>
      <c r="BB132" s="89"/>
      <c r="BC132" s="88" t="s">
        <v>214</v>
      </c>
      <c r="BD132" s="90"/>
      <c r="BE132" s="90"/>
      <c r="BF132" s="90">
        <v>0.48499999999999999</v>
      </c>
      <c r="BG132" s="90"/>
      <c r="BH132" s="90"/>
      <c r="BI132" s="90"/>
      <c r="BJ132" s="90">
        <v>6.5</v>
      </c>
      <c r="BK132" s="90"/>
      <c r="BL132" s="90">
        <v>11</v>
      </c>
      <c r="BM132" s="90">
        <v>5</v>
      </c>
      <c r="BN132" s="90"/>
      <c r="BO132" s="90"/>
      <c r="BP132" s="90"/>
      <c r="BQ132" s="90"/>
      <c r="BR132" s="90">
        <f t="shared" si="17"/>
        <v>22.5</v>
      </c>
      <c r="BS132" s="90">
        <f>ROUND(BR132*IFERROR(VLOOKUP($BC132,'3121% SY'!$A$2:$M$324,13,FALSE),0),3)</f>
        <v>5.976</v>
      </c>
      <c r="BT132" s="90">
        <f t="shared" si="18"/>
        <v>0.48499999999999999</v>
      </c>
      <c r="BU132" s="90">
        <f>ROUND(BT132*IFERROR(VLOOKUP($BC132,'3121% SY'!$A$2:$M$324,13,FALSE),0),3)</f>
        <v>0.129</v>
      </c>
    </row>
    <row r="133" spans="1:73" x14ac:dyDescent="0.25">
      <c r="A133" s="88" t="s">
        <v>158</v>
      </c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>
        <v>1</v>
      </c>
      <c r="M133" s="90"/>
      <c r="N133" s="90"/>
      <c r="O133" s="90"/>
      <c r="P133" s="90">
        <f t="shared" si="12"/>
        <v>1</v>
      </c>
      <c r="Q133" s="90">
        <f>SUM($B133:E133)</f>
        <v>0</v>
      </c>
      <c r="R133" s="89"/>
      <c r="AH133" s="90">
        <f t="shared" si="13"/>
        <v>0</v>
      </c>
      <c r="AI133" s="90">
        <f t="shared" si="14"/>
        <v>0</v>
      </c>
      <c r="AJ133" s="89"/>
      <c r="AZ133" s="90">
        <f t="shared" si="15"/>
        <v>0</v>
      </c>
      <c r="BA133" s="90">
        <f t="shared" si="16"/>
        <v>0</v>
      </c>
      <c r="BB133" s="89"/>
      <c r="BC133" s="88" t="s">
        <v>215</v>
      </c>
      <c r="BD133" s="90"/>
      <c r="BE133" s="90"/>
      <c r="BF133" s="90"/>
      <c r="BG133" s="90"/>
      <c r="BH133" s="90"/>
      <c r="BI133" s="90"/>
      <c r="BJ133" s="90">
        <v>13.214</v>
      </c>
      <c r="BK133" s="90"/>
      <c r="BL133" s="90">
        <v>21.795999999999999</v>
      </c>
      <c r="BM133" s="90">
        <v>8.4930000000000003</v>
      </c>
      <c r="BN133" s="90"/>
      <c r="BO133" s="90">
        <v>3.6269999999999998</v>
      </c>
      <c r="BP133" s="90"/>
      <c r="BQ133" s="90"/>
      <c r="BR133" s="90">
        <f t="shared" si="17"/>
        <v>47.13</v>
      </c>
      <c r="BS133" s="90">
        <f>ROUND(BR133*IFERROR(VLOOKUP($BC133,'3121% SY'!$A$2:$M$324,13,FALSE),0),3)</f>
        <v>13.266999999999999</v>
      </c>
      <c r="BT133" s="90">
        <f t="shared" si="18"/>
        <v>0</v>
      </c>
      <c r="BU133" s="90">
        <f>ROUND(BT133*IFERROR(VLOOKUP($BC133,'3121% SY'!$A$2:$M$324,13,FALSE),0),3)</f>
        <v>0</v>
      </c>
    </row>
    <row r="134" spans="1:73" x14ac:dyDescent="0.25">
      <c r="A134" s="88" t="s">
        <v>159</v>
      </c>
      <c r="B134" s="90"/>
      <c r="C134" s="90"/>
      <c r="D134" s="90"/>
      <c r="E134" s="90"/>
      <c r="F134" s="90"/>
      <c r="G134" s="90">
        <v>0.26600000000000001</v>
      </c>
      <c r="H134" s="90"/>
      <c r="I134" s="90"/>
      <c r="J134" s="90"/>
      <c r="K134" s="90"/>
      <c r="L134" s="90"/>
      <c r="M134" s="90"/>
      <c r="N134" s="90"/>
      <c r="O134" s="90"/>
      <c r="P134" s="90">
        <f t="shared" si="12"/>
        <v>0.26600000000000001</v>
      </c>
      <c r="Q134" s="90">
        <f>SUM($B134:E134)</f>
        <v>0</v>
      </c>
      <c r="R134" s="89"/>
      <c r="AH134" s="90">
        <f t="shared" si="13"/>
        <v>0</v>
      </c>
      <c r="AI134" s="90">
        <f t="shared" si="14"/>
        <v>0</v>
      </c>
      <c r="AJ134" s="89"/>
      <c r="AZ134" s="90">
        <f t="shared" si="15"/>
        <v>0</v>
      </c>
      <c r="BA134" s="90">
        <f t="shared" si="16"/>
        <v>0</v>
      </c>
      <c r="BB134" s="89"/>
      <c r="BC134" s="88" t="s">
        <v>216</v>
      </c>
      <c r="BD134" s="90"/>
      <c r="BE134" s="90"/>
      <c r="BF134" s="90"/>
      <c r="BG134" s="90"/>
      <c r="BH134" s="90">
        <v>1</v>
      </c>
      <c r="BI134" s="90"/>
      <c r="BJ134" s="90">
        <v>15.907999999999999</v>
      </c>
      <c r="BK134" s="90"/>
      <c r="BL134" s="90">
        <v>39.203000000000003</v>
      </c>
      <c r="BM134" s="90">
        <v>14.395</v>
      </c>
      <c r="BN134" s="90">
        <v>0.7</v>
      </c>
      <c r="BO134" s="90">
        <v>6.8</v>
      </c>
      <c r="BP134" s="90">
        <v>0.46500000000000002</v>
      </c>
      <c r="BQ134" s="90"/>
      <c r="BR134" s="90">
        <f t="shared" si="17"/>
        <v>78.471000000000004</v>
      </c>
      <c r="BS134" s="90">
        <f>ROUND(BR134*IFERROR(VLOOKUP($BC134,'3121% SY'!$A$2:$M$324,13,FALSE),0),3)</f>
        <v>23.117999999999999</v>
      </c>
      <c r="BT134" s="90">
        <f t="shared" si="18"/>
        <v>0</v>
      </c>
      <c r="BU134" s="90">
        <f>ROUND(BT134*IFERROR(VLOOKUP($BC134,'3121% SY'!$A$2:$M$324,13,FALSE),0),3)</f>
        <v>0</v>
      </c>
    </row>
    <row r="135" spans="1:73" x14ac:dyDescent="0.25">
      <c r="A135" s="88" t="s">
        <v>161</v>
      </c>
      <c r="B135" s="90"/>
      <c r="C135" s="90"/>
      <c r="D135" s="90">
        <v>0.63600000000000001</v>
      </c>
      <c r="E135" s="90"/>
      <c r="F135" s="90"/>
      <c r="G135" s="90">
        <v>4.5</v>
      </c>
      <c r="H135" s="90"/>
      <c r="I135" s="90"/>
      <c r="J135" s="90"/>
      <c r="K135" s="90"/>
      <c r="L135" s="90">
        <v>1</v>
      </c>
      <c r="M135" s="90"/>
      <c r="N135" s="90"/>
      <c r="O135" s="90"/>
      <c r="P135" s="90">
        <f t="shared" ref="P135:P198" si="19">SUM(F135:O135)</f>
        <v>5.5</v>
      </c>
      <c r="Q135" s="90">
        <f>SUM($B135:E135)</f>
        <v>0.63600000000000001</v>
      </c>
      <c r="R135" s="89"/>
      <c r="AH135" s="90">
        <f t="shared" ref="AH135:AH198" si="20">SUM(X135:AG135)</f>
        <v>0</v>
      </c>
      <c r="AI135" s="90">
        <f t="shared" ref="AI135:AI198" si="21">SUM(T135:W135)</f>
        <v>0</v>
      </c>
      <c r="AJ135" s="89"/>
      <c r="AZ135" s="90">
        <f t="shared" ref="AZ135:AZ198" si="22">SUM(AP135:AY135)</f>
        <v>0</v>
      </c>
      <c r="BA135" s="90">
        <f t="shared" ref="BA135:BA198" si="23">SUM(AL135:AO135)</f>
        <v>0</v>
      </c>
      <c r="BB135" s="89"/>
      <c r="BC135" s="88" t="s">
        <v>217</v>
      </c>
      <c r="BD135" s="90"/>
      <c r="BE135" s="90"/>
      <c r="BF135" s="90">
        <v>1.454</v>
      </c>
      <c r="BG135" s="90"/>
      <c r="BH135" s="90"/>
      <c r="BI135" s="90"/>
      <c r="BJ135" s="90">
        <v>3.371</v>
      </c>
      <c r="BK135" s="90"/>
      <c r="BL135" s="90">
        <v>8.6940000000000008</v>
      </c>
      <c r="BM135" s="90">
        <v>0.3</v>
      </c>
      <c r="BN135" s="90"/>
      <c r="BO135" s="90">
        <v>0.76100000000000001</v>
      </c>
      <c r="BP135" s="90"/>
      <c r="BQ135" s="90"/>
      <c r="BR135" s="90">
        <f t="shared" ref="BR135:BR198" si="24">SUM(BH135:BQ135)</f>
        <v>13.126000000000001</v>
      </c>
      <c r="BS135" s="90">
        <f>ROUND(BR135*IFERROR(VLOOKUP($BC135,'3121% SY'!$A$2:$M$324,13,FALSE),0),3)</f>
        <v>3.0529999999999999</v>
      </c>
      <c r="BT135" s="90">
        <f t="shared" ref="BT135:BT198" si="25">SUM(BD135:BG135)</f>
        <v>1.454</v>
      </c>
      <c r="BU135" s="90">
        <f>ROUND(BT135*IFERROR(VLOOKUP($BC135,'3121% SY'!$A$2:$M$324,13,FALSE),0),3)</f>
        <v>0.33800000000000002</v>
      </c>
    </row>
    <row r="136" spans="1:73" x14ac:dyDescent="0.25">
      <c r="A136" s="88" t="s">
        <v>163</v>
      </c>
      <c r="B136" s="90"/>
      <c r="C136" s="90">
        <v>0.112</v>
      </c>
      <c r="D136" s="90"/>
      <c r="E136" s="90"/>
      <c r="F136" s="90"/>
      <c r="G136" s="90">
        <v>1.34</v>
      </c>
      <c r="H136" s="90"/>
      <c r="I136" s="90"/>
      <c r="J136" s="90"/>
      <c r="K136" s="90"/>
      <c r="L136" s="90"/>
      <c r="M136" s="90"/>
      <c r="N136" s="90"/>
      <c r="O136" s="90"/>
      <c r="P136" s="90">
        <f t="shared" si="19"/>
        <v>1.34</v>
      </c>
      <c r="Q136" s="90">
        <f>SUM($B136:E136)</f>
        <v>0.112</v>
      </c>
      <c r="R136" s="89"/>
      <c r="AH136" s="90">
        <f t="shared" si="20"/>
        <v>0</v>
      </c>
      <c r="AI136" s="90">
        <f t="shared" si="21"/>
        <v>0</v>
      </c>
      <c r="AJ136" s="89"/>
      <c r="AZ136" s="90">
        <f t="shared" si="22"/>
        <v>0</v>
      </c>
      <c r="BA136" s="90">
        <f t="shared" si="23"/>
        <v>0</v>
      </c>
      <c r="BB136" s="89"/>
      <c r="BC136" s="88" t="s">
        <v>218</v>
      </c>
      <c r="BD136" s="90"/>
      <c r="BE136" s="90"/>
      <c r="BF136" s="90"/>
      <c r="BG136" s="90"/>
      <c r="BH136" s="90"/>
      <c r="BI136" s="90"/>
      <c r="BJ136" s="90">
        <v>4.8</v>
      </c>
      <c r="BK136" s="90"/>
      <c r="BL136" s="90">
        <v>11.1</v>
      </c>
      <c r="BM136" s="90">
        <v>3.8</v>
      </c>
      <c r="BN136" s="90"/>
      <c r="BO136" s="90">
        <v>3</v>
      </c>
      <c r="BP136" s="90"/>
      <c r="BQ136" s="90"/>
      <c r="BR136" s="90">
        <f t="shared" si="24"/>
        <v>22.7</v>
      </c>
      <c r="BS136" s="90">
        <f>ROUND(BR136*IFERROR(VLOOKUP($BC136,'3121% SY'!$A$2:$M$324,13,FALSE),0),3)</f>
        <v>6.8710000000000004</v>
      </c>
      <c r="BT136" s="90">
        <f t="shared" si="25"/>
        <v>0</v>
      </c>
      <c r="BU136" s="90">
        <f>ROUND(BT136*IFERROR(VLOOKUP($BC136,'3121% SY'!$A$2:$M$324,13,FALSE),0),3)</f>
        <v>0</v>
      </c>
    </row>
    <row r="137" spans="1:73" x14ac:dyDescent="0.25">
      <c r="A137" s="88" t="s">
        <v>164</v>
      </c>
      <c r="B137" s="90"/>
      <c r="C137" s="90"/>
      <c r="D137" s="90"/>
      <c r="E137" s="90"/>
      <c r="F137" s="90"/>
      <c r="G137" s="90">
        <v>3.6619999999999999</v>
      </c>
      <c r="H137" s="90"/>
      <c r="I137" s="90"/>
      <c r="J137" s="90"/>
      <c r="K137" s="90"/>
      <c r="L137" s="90"/>
      <c r="M137" s="90"/>
      <c r="N137" s="90"/>
      <c r="O137" s="90"/>
      <c r="P137" s="90">
        <f t="shared" si="19"/>
        <v>3.6619999999999999</v>
      </c>
      <c r="Q137" s="90">
        <f>SUM($B137:E137)</f>
        <v>0</v>
      </c>
      <c r="R137" s="89"/>
      <c r="AH137" s="90">
        <f t="shared" si="20"/>
        <v>0</v>
      </c>
      <c r="AI137" s="90">
        <f t="shared" si="21"/>
        <v>0</v>
      </c>
      <c r="AJ137" s="89"/>
      <c r="AZ137" s="90">
        <f t="shared" si="22"/>
        <v>0</v>
      </c>
      <c r="BA137" s="90">
        <f t="shared" si="23"/>
        <v>0</v>
      </c>
      <c r="BB137" s="89"/>
      <c r="BC137" s="88" t="s">
        <v>220</v>
      </c>
      <c r="BD137" s="90"/>
      <c r="BE137" s="90"/>
      <c r="BF137" s="90"/>
      <c r="BG137" s="90"/>
      <c r="BH137" s="90"/>
      <c r="BI137" s="90"/>
      <c r="BJ137" s="90">
        <v>2.6019999999999999</v>
      </c>
      <c r="BK137" s="90">
        <v>3.0000000000000001E-3</v>
      </c>
      <c r="BL137" s="90">
        <v>3.6720000000000002</v>
      </c>
      <c r="BM137" s="90">
        <v>2.359</v>
      </c>
      <c r="BN137" s="90"/>
      <c r="BO137" s="90">
        <v>0.93500000000000005</v>
      </c>
      <c r="BP137" s="90"/>
      <c r="BQ137" s="90">
        <v>5.5439999999999996</v>
      </c>
      <c r="BR137" s="90">
        <f t="shared" si="24"/>
        <v>15.114999999999998</v>
      </c>
      <c r="BS137" s="90">
        <f>ROUND(BR137*IFERROR(VLOOKUP($BC137,'3121% SY'!$A$2:$M$324,13,FALSE),0),3)</f>
        <v>3.1</v>
      </c>
      <c r="BT137" s="90">
        <f t="shared" si="25"/>
        <v>0</v>
      </c>
      <c r="BU137" s="90">
        <f>ROUND(BT137*IFERROR(VLOOKUP($BC137,'3121% SY'!$A$2:$M$324,13,FALSE),0),3)</f>
        <v>0</v>
      </c>
    </row>
    <row r="138" spans="1:73" x14ac:dyDescent="0.25">
      <c r="A138" s="88" t="s">
        <v>165</v>
      </c>
      <c r="B138" s="90"/>
      <c r="C138" s="90"/>
      <c r="D138" s="90"/>
      <c r="E138" s="90"/>
      <c r="F138" s="90"/>
      <c r="G138" s="90">
        <v>0.77800000000000002</v>
      </c>
      <c r="H138" s="90"/>
      <c r="I138" s="90"/>
      <c r="J138" s="90"/>
      <c r="K138" s="90"/>
      <c r="L138" s="90">
        <v>0.312</v>
      </c>
      <c r="M138" s="90"/>
      <c r="N138" s="90"/>
      <c r="O138" s="90"/>
      <c r="P138" s="90">
        <f t="shared" si="19"/>
        <v>1.0900000000000001</v>
      </c>
      <c r="Q138" s="90">
        <f>SUM($B138:E138)</f>
        <v>0</v>
      </c>
      <c r="R138" s="89"/>
      <c r="AH138" s="90">
        <f t="shared" si="20"/>
        <v>0</v>
      </c>
      <c r="AI138" s="90">
        <f t="shared" si="21"/>
        <v>0</v>
      </c>
      <c r="AJ138" s="89"/>
      <c r="AZ138" s="90">
        <f t="shared" si="22"/>
        <v>0</v>
      </c>
      <c r="BA138" s="90">
        <f t="shared" si="23"/>
        <v>0</v>
      </c>
      <c r="BB138" s="89"/>
      <c r="BC138" s="88" t="s">
        <v>221</v>
      </c>
      <c r="BD138" s="90"/>
      <c r="BE138" s="90"/>
      <c r="BF138" s="90">
        <v>0.94099999999999995</v>
      </c>
      <c r="BG138" s="90"/>
      <c r="BH138" s="90">
        <v>1</v>
      </c>
      <c r="BI138" s="90"/>
      <c r="BJ138" s="90">
        <v>2.5</v>
      </c>
      <c r="BK138" s="90"/>
      <c r="BL138" s="90">
        <v>8.0419999999999998</v>
      </c>
      <c r="BM138" s="90">
        <v>4.4000000000000004</v>
      </c>
      <c r="BN138" s="90"/>
      <c r="BO138" s="90">
        <v>1</v>
      </c>
      <c r="BP138" s="90"/>
      <c r="BQ138" s="90"/>
      <c r="BR138" s="90">
        <f t="shared" si="24"/>
        <v>16.942</v>
      </c>
      <c r="BS138" s="90">
        <f>ROUND(BR138*IFERROR(VLOOKUP($BC138,'3121% SY'!$A$2:$M$324,13,FALSE),0),3)</f>
        <v>3.9169999999999998</v>
      </c>
      <c r="BT138" s="90">
        <f t="shared" si="25"/>
        <v>0.94099999999999995</v>
      </c>
      <c r="BU138" s="90">
        <f>ROUND(BT138*IFERROR(VLOOKUP($BC138,'3121% SY'!$A$2:$M$324,13,FALSE),0),3)</f>
        <v>0.218</v>
      </c>
    </row>
    <row r="139" spans="1:73" x14ac:dyDescent="0.25">
      <c r="A139" s="88" t="s">
        <v>166</v>
      </c>
      <c r="B139" s="90"/>
      <c r="C139" s="90"/>
      <c r="D139" s="90"/>
      <c r="E139" s="90"/>
      <c r="F139" s="90"/>
      <c r="G139" s="90">
        <v>0.39500000000000002</v>
      </c>
      <c r="H139" s="90"/>
      <c r="I139" s="90"/>
      <c r="J139" s="90"/>
      <c r="K139" s="90"/>
      <c r="L139" s="90"/>
      <c r="M139" s="90"/>
      <c r="N139" s="90"/>
      <c r="O139" s="90"/>
      <c r="P139" s="90">
        <f t="shared" si="19"/>
        <v>0.39500000000000002</v>
      </c>
      <c r="Q139" s="90">
        <f>SUM($B139:E139)</f>
        <v>0</v>
      </c>
      <c r="R139" s="89"/>
      <c r="AH139" s="90">
        <f t="shared" si="20"/>
        <v>0</v>
      </c>
      <c r="AI139" s="90">
        <f t="shared" si="21"/>
        <v>0</v>
      </c>
      <c r="AJ139" s="89"/>
      <c r="AZ139" s="90">
        <f t="shared" si="22"/>
        <v>0</v>
      </c>
      <c r="BA139" s="90">
        <f t="shared" si="23"/>
        <v>0</v>
      </c>
      <c r="BB139" s="89"/>
      <c r="BC139" s="88" t="s">
        <v>222</v>
      </c>
      <c r="BD139" s="90"/>
      <c r="BE139" s="90"/>
      <c r="BF139" s="90"/>
      <c r="BG139" s="90"/>
      <c r="BH139" s="90"/>
      <c r="BI139" s="90"/>
      <c r="BJ139" s="90">
        <v>0.9</v>
      </c>
      <c r="BK139" s="90"/>
      <c r="BL139" s="90">
        <v>1</v>
      </c>
      <c r="BM139" s="90"/>
      <c r="BN139" s="90"/>
      <c r="BO139" s="90">
        <v>0.4</v>
      </c>
      <c r="BP139" s="90"/>
      <c r="BQ139" s="90"/>
      <c r="BR139" s="90">
        <f t="shared" si="24"/>
        <v>2.2999999999999998</v>
      </c>
      <c r="BS139" s="90">
        <f>ROUND(BR139*IFERROR(VLOOKUP($BC139,'3121% SY'!$A$2:$M$324,13,FALSE),0),3)</f>
        <v>0.628</v>
      </c>
      <c r="BT139" s="90">
        <f t="shared" si="25"/>
        <v>0</v>
      </c>
      <c r="BU139" s="90">
        <f>ROUND(BT139*IFERROR(VLOOKUP($BC139,'3121% SY'!$A$2:$M$324,13,FALSE),0),3)</f>
        <v>0</v>
      </c>
    </row>
    <row r="140" spans="1:73" x14ac:dyDescent="0.25">
      <c r="A140" s="88" t="s">
        <v>167</v>
      </c>
      <c r="B140" s="90"/>
      <c r="C140" s="90"/>
      <c r="D140" s="90"/>
      <c r="E140" s="90"/>
      <c r="F140" s="90"/>
      <c r="G140" s="90">
        <v>2.3330000000000002</v>
      </c>
      <c r="H140" s="90"/>
      <c r="I140" s="90"/>
      <c r="J140" s="90"/>
      <c r="K140" s="90"/>
      <c r="L140" s="90"/>
      <c r="M140" s="90"/>
      <c r="N140" s="90"/>
      <c r="O140" s="90"/>
      <c r="P140" s="90">
        <f t="shared" si="19"/>
        <v>2.3330000000000002</v>
      </c>
      <c r="Q140" s="90">
        <f>SUM($B140:E140)</f>
        <v>0</v>
      </c>
      <c r="R140" s="89"/>
      <c r="AH140" s="90">
        <f t="shared" si="20"/>
        <v>0</v>
      </c>
      <c r="AI140" s="90">
        <f t="shared" si="21"/>
        <v>0</v>
      </c>
      <c r="AJ140" s="89"/>
      <c r="AZ140" s="90">
        <f t="shared" si="22"/>
        <v>0</v>
      </c>
      <c r="BA140" s="90">
        <f t="shared" si="23"/>
        <v>0</v>
      </c>
      <c r="BB140" s="89"/>
      <c r="BC140" s="88" t="s">
        <v>223</v>
      </c>
      <c r="BD140" s="90"/>
      <c r="BE140" s="90"/>
      <c r="BF140" s="90"/>
      <c r="BG140" s="90"/>
      <c r="BH140" s="90"/>
      <c r="BI140" s="90"/>
      <c r="BJ140" s="90">
        <v>1</v>
      </c>
      <c r="BK140" s="90"/>
      <c r="BL140" s="90">
        <v>2.4</v>
      </c>
      <c r="BM140" s="90">
        <v>1.012</v>
      </c>
      <c r="BN140" s="90"/>
      <c r="BO140" s="90"/>
      <c r="BP140" s="90"/>
      <c r="BQ140" s="90"/>
      <c r="BR140" s="90">
        <f t="shared" si="24"/>
        <v>4.4119999999999999</v>
      </c>
      <c r="BS140" s="90">
        <f>ROUND(BR140*IFERROR(VLOOKUP($BC140,'3121% SY'!$A$2:$M$324,13,FALSE),0),3)</f>
        <v>1.3340000000000001</v>
      </c>
      <c r="BT140" s="90">
        <f t="shared" si="25"/>
        <v>0</v>
      </c>
      <c r="BU140" s="90">
        <f>ROUND(BT140*IFERROR(VLOOKUP($BC140,'3121% SY'!$A$2:$M$324,13,FALSE),0),3)</f>
        <v>0</v>
      </c>
    </row>
    <row r="141" spans="1:73" x14ac:dyDescent="0.25">
      <c r="A141" s="88" t="s">
        <v>168</v>
      </c>
      <c r="B141" s="90"/>
      <c r="C141" s="90">
        <v>1.0620000000000001</v>
      </c>
      <c r="D141" s="90"/>
      <c r="E141" s="90"/>
      <c r="F141" s="90"/>
      <c r="G141" s="90">
        <v>1</v>
      </c>
      <c r="H141" s="90"/>
      <c r="I141" s="90"/>
      <c r="J141" s="90"/>
      <c r="K141" s="90"/>
      <c r="L141" s="90"/>
      <c r="M141" s="90"/>
      <c r="N141" s="90"/>
      <c r="O141" s="90"/>
      <c r="P141" s="90">
        <f t="shared" si="19"/>
        <v>1</v>
      </c>
      <c r="Q141" s="90">
        <f>SUM($B141:E141)</f>
        <v>1.0620000000000001</v>
      </c>
      <c r="R141" s="89"/>
      <c r="AH141" s="90">
        <f t="shared" si="20"/>
        <v>0</v>
      </c>
      <c r="AI141" s="90">
        <f t="shared" si="21"/>
        <v>0</v>
      </c>
      <c r="AJ141" s="89"/>
      <c r="AZ141" s="90">
        <f t="shared" si="22"/>
        <v>0</v>
      </c>
      <c r="BA141" s="90">
        <f t="shared" si="23"/>
        <v>0</v>
      </c>
      <c r="BB141" s="89"/>
      <c r="BC141" s="88" t="s">
        <v>225</v>
      </c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>
        <v>0.443</v>
      </c>
      <c r="BO141" s="90"/>
      <c r="BP141" s="90"/>
      <c r="BQ141" s="90"/>
      <c r="BR141" s="90">
        <f t="shared" si="24"/>
        <v>0.443</v>
      </c>
      <c r="BS141" s="90">
        <f>ROUND(BR141*IFERROR(VLOOKUP($BC141,'3121% SY'!$A$2:$M$324,13,FALSE),0),3)</f>
        <v>0.121</v>
      </c>
      <c r="BT141" s="90">
        <f t="shared" si="25"/>
        <v>0</v>
      </c>
      <c r="BU141" s="90">
        <f>ROUND(BT141*IFERROR(VLOOKUP($BC141,'3121% SY'!$A$2:$M$324,13,FALSE),0),3)</f>
        <v>0</v>
      </c>
    </row>
    <row r="142" spans="1:73" x14ac:dyDescent="0.25">
      <c r="A142" s="88" t="s">
        <v>169</v>
      </c>
      <c r="B142" s="90"/>
      <c r="C142" s="90"/>
      <c r="D142" s="90">
        <v>0.83799999999999997</v>
      </c>
      <c r="E142" s="90"/>
      <c r="F142" s="90"/>
      <c r="G142" s="90">
        <v>1</v>
      </c>
      <c r="H142" s="90"/>
      <c r="I142" s="90"/>
      <c r="J142" s="90"/>
      <c r="K142" s="90"/>
      <c r="L142" s="90"/>
      <c r="M142" s="90"/>
      <c r="N142" s="90"/>
      <c r="O142" s="90"/>
      <c r="P142" s="90">
        <f t="shared" si="19"/>
        <v>1</v>
      </c>
      <c r="Q142" s="90">
        <f>SUM($B142:E142)</f>
        <v>0.83799999999999997</v>
      </c>
      <c r="R142" s="89"/>
      <c r="AH142" s="90">
        <f t="shared" si="20"/>
        <v>0</v>
      </c>
      <c r="AI142" s="90">
        <f t="shared" si="21"/>
        <v>0</v>
      </c>
      <c r="AJ142" s="89"/>
      <c r="AZ142" s="90">
        <f t="shared" si="22"/>
        <v>0</v>
      </c>
      <c r="BA142" s="90">
        <f t="shared" si="23"/>
        <v>0</v>
      </c>
      <c r="BB142" s="89"/>
      <c r="BC142" s="88" t="s">
        <v>226</v>
      </c>
      <c r="BD142" s="90"/>
      <c r="BE142" s="90"/>
      <c r="BF142" s="90">
        <v>1.0529999999999999</v>
      </c>
      <c r="BG142" s="90"/>
      <c r="BH142" s="90"/>
      <c r="BI142" s="90"/>
      <c r="BJ142" s="90">
        <v>0.78300000000000003</v>
      </c>
      <c r="BK142" s="90"/>
      <c r="BL142" s="90">
        <v>3.44</v>
      </c>
      <c r="BM142" s="90">
        <v>3.4</v>
      </c>
      <c r="BN142" s="90"/>
      <c r="BO142" s="90"/>
      <c r="BP142" s="90">
        <v>2</v>
      </c>
      <c r="BQ142" s="90"/>
      <c r="BR142" s="90">
        <f t="shared" si="24"/>
        <v>9.6229999999999993</v>
      </c>
      <c r="BS142" s="90">
        <f>ROUND(BR142*IFERROR(VLOOKUP($BC142,'3121% SY'!$A$2:$M$324,13,FALSE),0),3)</f>
        <v>2.2109999999999999</v>
      </c>
      <c r="BT142" s="90">
        <f t="shared" si="25"/>
        <v>1.0529999999999999</v>
      </c>
      <c r="BU142" s="90">
        <f>ROUND(BT142*IFERROR(VLOOKUP($BC142,'3121% SY'!$A$2:$M$324,13,FALSE),0),3)</f>
        <v>0.24199999999999999</v>
      </c>
    </row>
    <row r="143" spans="1:73" x14ac:dyDescent="0.25">
      <c r="A143" s="88" t="s">
        <v>170</v>
      </c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>
        <v>0.182</v>
      </c>
      <c r="M143" s="90"/>
      <c r="N143" s="90"/>
      <c r="O143" s="90"/>
      <c r="P143" s="90">
        <f t="shared" si="19"/>
        <v>0.182</v>
      </c>
      <c r="Q143" s="90">
        <f>SUM($B143:E143)</f>
        <v>0</v>
      </c>
      <c r="R143" s="89"/>
      <c r="AH143" s="90">
        <f t="shared" si="20"/>
        <v>0</v>
      </c>
      <c r="AI143" s="90">
        <f t="shared" si="21"/>
        <v>0</v>
      </c>
      <c r="AJ143" s="89"/>
      <c r="AZ143" s="90">
        <f t="shared" si="22"/>
        <v>0</v>
      </c>
      <c r="BA143" s="90">
        <f t="shared" si="23"/>
        <v>0</v>
      </c>
      <c r="BB143" s="89"/>
      <c r="BC143" s="88" t="s">
        <v>1</v>
      </c>
      <c r="BD143" s="90"/>
      <c r="BE143" s="90"/>
      <c r="BF143" s="90"/>
      <c r="BG143" s="90"/>
      <c r="BH143" s="90">
        <v>2.59</v>
      </c>
      <c r="BI143" s="90"/>
      <c r="BJ143" s="90">
        <v>7.335</v>
      </c>
      <c r="BK143" s="90"/>
      <c r="BL143" s="90">
        <v>49.045000000000002</v>
      </c>
      <c r="BM143" s="90">
        <v>16.672000000000001</v>
      </c>
      <c r="BN143" s="90">
        <v>0.17799999999999999</v>
      </c>
      <c r="BO143" s="90">
        <v>3.7669999999999999</v>
      </c>
      <c r="BP143" s="90"/>
      <c r="BQ143" s="90"/>
      <c r="BR143" s="90">
        <f t="shared" si="24"/>
        <v>79.586999999999989</v>
      </c>
      <c r="BS143" s="90">
        <f>ROUND(BR143*IFERROR(VLOOKUP($BC143,'3121% SY'!$A$2:$M$324,13,FALSE),0),3)</f>
        <v>19.332000000000001</v>
      </c>
      <c r="BT143" s="90">
        <f t="shared" si="25"/>
        <v>0</v>
      </c>
      <c r="BU143" s="90">
        <f>ROUND(BT143*IFERROR(VLOOKUP($BC143,'3121% SY'!$A$2:$M$324,13,FALSE),0),3)</f>
        <v>0</v>
      </c>
    </row>
    <row r="144" spans="1:73" x14ac:dyDescent="0.25">
      <c r="A144" s="88" t="s">
        <v>171</v>
      </c>
      <c r="B144" s="90"/>
      <c r="C144" s="90"/>
      <c r="D144" s="90"/>
      <c r="E144" s="90"/>
      <c r="F144" s="90"/>
      <c r="G144" s="90">
        <v>0.9</v>
      </c>
      <c r="H144" s="90"/>
      <c r="I144" s="90"/>
      <c r="J144" s="90"/>
      <c r="K144" s="90"/>
      <c r="L144" s="90"/>
      <c r="M144" s="90"/>
      <c r="N144" s="90"/>
      <c r="O144" s="90"/>
      <c r="P144" s="90">
        <f t="shared" si="19"/>
        <v>0.9</v>
      </c>
      <c r="Q144" s="90">
        <f>SUM($B144:E144)</f>
        <v>0</v>
      </c>
      <c r="R144" s="89"/>
      <c r="AH144" s="90">
        <f t="shared" si="20"/>
        <v>0</v>
      </c>
      <c r="AI144" s="90">
        <f t="shared" si="21"/>
        <v>0</v>
      </c>
      <c r="AJ144" s="89"/>
      <c r="AZ144" s="90">
        <f t="shared" si="22"/>
        <v>0</v>
      </c>
      <c r="BA144" s="90">
        <f t="shared" si="23"/>
        <v>0</v>
      </c>
      <c r="BB144" s="89"/>
      <c r="BC144" s="88" t="s">
        <v>229</v>
      </c>
      <c r="BD144" s="90"/>
      <c r="BE144" s="90"/>
      <c r="BF144" s="90">
        <v>0.77700000000000002</v>
      </c>
      <c r="BG144" s="90"/>
      <c r="BH144" s="90"/>
      <c r="BI144" s="90"/>
      <c r="BJ144" s="90"/>
      <c r="BK144" s="90"/>
      <c r="BL144" s="90">
        <v>0.8</v>
      </c>
      <c r="BM144" s="90">
        <v>1</v>
      </c>
      <c r="BN144" s="90"/>
      <c r="BO144" s="90"/>
      <c r="BP144" s="90"/>
      <c r="BQ144" s="90"/>
      <c r="BR144" s="90">
        <f t="shared" si="24"/>
        <v>1.8</v>
      </c>
      <c r="BS144" s="90">
        <f>ROUND(BR144*IFERROR(VLOOKUP($BC144,'3121% SY'!$A$2:$M$324,13,FALSE),0),3)</f>
        <v>0.371</v>
      </c>
      <c r="BT144" s="90">
        <f t="shared" si="25"/>
        <v>0.77700000000000002</v>
      </c>
      <c r="BU144" s="90">
        <f>ROUND(BT144*IFERROR(VLOOKUP($BC144,'3121% SY'!$A$2:$M$324,13,FALSE),0),3)</f>
        <v>0.16</v>
      </c>
    </row>
    <row r="145" spans="1:73" x14ac:dyDescent="0.25">
      <c r="A145" s="88" t="s">
        <v>172</v>
      </c>
      <c r="B145" s="90"/>
      <c r="C145" s="90"/>
      <c r="D145" s="90">
        <v>0.40899999999999997</v>
      </c>
      <c r="E145" s="90"/>
      <c r="F145" s="90"/>
      <c r="G145" s="90">
        <v>0.96399999999999997</v>
      </c>
      <c r="H145" s="90"/>
      <c r="I145" s="90"/>
      <c r="J145" s="90"/>
      <c r="K145" s="90"/>
      <c r="L145" s="90"/>
      <c r="M145" s="90"/>
      <c r="N145" s="90"/>
      <c r="O145" s="90"/>
      <c r="P145" s="90">
        <f t="shared" si="19"/>
        <v>0.96399999999999997</v>
      </c>
      <c r="Q145" s="90">
        <f>SUM($B145:E145)</f>
        <v>0.40899999999999997</v>
      </c>
      <c r="R145" s="89"/>
      <c r="AH145" s="90">
        <f t="shared" si="20"/>
        <v>0</v>
      </c>
      <c r="AI145" s="90">
        <f t="shared" si="21"/>
        <v>0</v>
      </c>
      <c r="AJ145" s="89"/>
      <c r="AZ145" s="90">
        <f t="shared" si="22"/>
        <v>0</v>
      </c>
      <c r="BA145" s="90">
        <f t="shared" si="23"/>
        <v>0</v>
      </c>
      <c r="BB145" s="89"/>
      <c r="BC145" s="88" t="s">
        <v>230</v>
      </c>
      <c r="BD145" s="90"/>
      <c r="BE145" s="90"/>
      <c r="BF145" s="90"/>
      <c r="BG145" s="90"/>
      <c r="BH145" s="90"/>
      <c r="BI145" s="90"/>
      <c r="BJ145" s="90">
        <v>0.92</v>
      </c>
      <c r="BK145" s="90"/>
      <c r="BL145" s="90">
        <v>2.6859999999999999</v>
      </c>
      <c r="BM145" s="90"/>
      <c r="BN145" s="90"/>
      <c r="BO145" s="90"/>
      <c r="BP145" s="90"/>
      <c r="BQ145" s="90"/>
      <c r="BR145" s="90">
        <f t="shared" si="24"/>
        <v>3.6059999999999999</v>
      </c>
      <c r="BS145" s="90">
        <f>ROUND(BR145*IFERROR(VLOOKUP($BC145,'3121% SY'!$A$2:$M$324,13,FALSE),0),3)</f>
        <v>0.63600000000000001</v>
      </c>
      <c r="BT145" s="90">
        <f t="shared" si="25"/>
        <v>0</v>
      </c>
      <c r="BU145" s="90">
        <f>ROUND(BT145*IFERROR(VLOOKUP($BC145,'3121% SY'!$A$2:$M$324,13,FALSE),0),3)</f>
        <v>0</v>
      </c>
    </row>
    <row r="146" spans="1:73" x14ac:dyDescent="0.25">
      <c r="A146" s="88" t="s">
        <v>173</v>
      </c>
      <c r="B146" s="90"/>
      <c r="C146" s="90"/>
      <c r="D146" s="90"/>
      <c r="E146" s="90"/>
      <c r="F146" s="90"/>
      <c r="G146" s="90">
        <v>0.85</v>
      </c>
      <c r="H146" s="90"/>
      <c r="I146" s="90"/>
      <c r="J146" s="90"/>
      <c r="K146" s="90"/>
      <c r="L146" s="90"/>
      <c r="M146" s="90"/>
      <c r="N146" s="90"/>
      <c r="O146" s="90"/>
      <c r="P146" s="90">
        <f t="shared" si="19"/>
        <v>0.85</v>
      </c>
      <c r="Q146" s="90">
        <f>SUM($B146:E146)</f>
        <v>0</v>
      </c>
      <c r="R146" s="89"/>
      <c r="AH146" s="90">
        <f t="shared" si="20"/>
        <v>0</v>
      </c>
      <c r="AI146" s="90">
        <f t="shared" si="21"/>
        <v>0</v>
      </c>
      <c r="AJ146" s="89"/>
      <c r="AZ146" s="90">
        <f t="shared" si="22"/>
        <v>0</v>
      </c>
      <c r="BA146" s="90">
        <f t="shared" si="23"/>
        <v>0</v>
      </c>
      <c r="BB146" s="89"/>
      <c r="BC146" s="88" t="s">
        <v>231</v>
      </c>
      <c r="BD146" s="90"/>
      <c r="BE146" s="90"/>
      <c r="BF146" s="90"/>
      <c r="BG146" s="90"/>
      <c r="BH146" s="90"/>
      <c r="BI146" s="90">
        <v>0.53800000000000003</v>
      </c>
      <c r="BJ146" s="90">
        <v>7.7779999999999996</v>
      </c>
      <c r="BK146" s="90"/>
      <c r="BL146" s="90">
        <v>15.456</v>
      </c>
      <c r="BM146" s="90">
        <v>6.7549999999999999</v>
      </c>
      <c r="BN146" s="90"/>
      <c r="BO146" s="90">
        <v>4.7809999999999997</v>
      </c>
      <c r="BP146" s="90"/>
      <c r="BQ146" s="90"/>
      <c r="BR146" s="90">
        <f t="shared" si="24"/>
        <v>35.308</v>
      </c>
      <c r="BS146" s="90">
        <f>ROUND(BR146*IFERROR(VLOOKUP($BC146,'3121% SY'!$A$2:$M$324,13,FALSE),0),3)</f>
        <v>10.109</v>
      </c>
      <c r="BT146" s="90">
        <f t="shared" si="25"/>
        <v>0</v>
      </c>
      <c r="BU146" s="90">
        <f>ROUND(BT146*IFERROR(VLOOKUP($BC146,'3121% SY'!$A$2:$M$324,13,FALSE),0),3)</f>
        <v>0</v>
      </c>
    </row>
    <row r="147" spans="1:73" x14ac:dyDescent="0.25">
      <c r="A147" s="88" t="s">
        <v>1247</v>
      </c>
      <c r="B147" s="90"/>
      <c r="C147" s="90">
        <v>5.56</v>
      </c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>
        <f t="shared" si="19"/>
        <v>0</v>
      </c>
      <c r="Q147" s="90">
        <f>SUM($B147:E147)</f>
        <v>5.56</v>
      </c>
      <c r="R147" s="89"/>
      <c r="AH147" s="90">
        <f t="shared" si="20"/>
        <v>0</v>
      </c>
      <c r="AI147" s="90">
        <f t="shared" si="21"/>
        <v>0</v>
      </c>
      <c r="AJ147" s="89"/>
      <c r="AZ147" s="90">
        <f t="shared" si="22"/>
        <v>0</v>
      </c>
      <c r="BA147" s="90">
        <f t="shared" si="23"/>
        <v>0</v>
      </c>
      <c r="BB147" s="89"/>
      <c r="BC147" s="88" t="s">
        <v>232</v>
      </c>
      <c r="BD147" s="90"/>
      <c r="BE147" s="90"/>
      <c r="BF147" s="90"/>
      <c r="BG147" s="90"/>
      <c r="BH147" s="90">
        <v>1.03</v>
      </c>
      <c r="BI147" s="90">
        <v>0.5</v>
      </c>
      <c r="BJ147" s="90">
        <v>6.3</v>
      </c>
      <c r="BK147" s="90"/>
      <c r="BL147" s="90">
        <v>18.5</v>
      </c>
      <c r="BM147" s="90">
        <v>7</v>
      </c>
      <c r="BN147" s="90"/>
      <c r="BO147" s="90">
        <v>2.6</v>
      </c>
      <c r="BP147" s="90"/>
      <c r="BQ147" s="90"/>
      <c r="BR147" s="90">
        <f t="shared" si="24"/>
        <v>35.93</v>
      </c>
      <c r="BS147" s="90">
        <f>ROUND(BR147*IFERROR(VLOOKUP($BC147,'3121% SY'!$A$2:$M$324,13,FALSE),0),3)</f>
        <v>12.542999999999999</v>
      </c>
      <c r="BT147" s="90">
        <f t="shared" si="25"/>
        <v>0</v>
      </c>
      <c r="BU147" s="90">
        <f>ROUND(BT147*IFERROR(VLOOKUP($BC147,'3121% SY'!$A$2:$M$324,13,FALSE),0),3)</f>
        <v>0</v>
      </c>
    </row>
    <row r="148" spans="1:73" x14ac:dyDescent="0.25">
      <c r="A148" s="88" t="s">
        <v>174</v>
      </c>
      <c r="B148" s="90"/>
      <c r="C148" s="90">
        <v>1.0329999999999999</v>
      </c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>
        <f t="shared" si="19"/>
        <v>0</v>
      </c>
      <c r="Q148" s="90">
        <f>SUM($B148:E148)</f>
        <v>1.0329999999999999</v>
      </c>
      <c r="R148" s="89"/>
      <c r="AH148" s="90">
        <f t="shared" si="20"/>
        <v>0</v>
      </c>
      <c r="AI148" s="90">
        <f t="shared" si="21"/>
        <v>0</v>
      </c>
      <c r="AJ148" s="89"/>
      <c r="AZ148" s="90">
        <f t="shared" si="22"/>
        <v>0</v>
      </c>
      <c r="BA148" s="90">
        <f t="shared" si="23"/>
        <v>0</v>
      </c>
      <c r="BB148" s="89"/>
      <c r="BC148" s="88" t="s">
        <v>233</v>
      </c>
      <c r="BD148" s="90"/>
      <c r="BE148" s="90"/>
      <c r="BF148" s="90"/>
      <c r="BG148" s="90"/>
      <c r="BH148" s="90"/>
      <c r="BI148" s="90"/>
      <c r="BJ148" s="90"/>
      <c r="BK148" s="90"/>
      <c r="BL148" s="90">
        <v>1</v>
      </c>
      <c r="BM148" s="90">
        <v>0.5</v>
      </c>
      <c r="BN148" s="90"/>
      <c r="BO148" s="90"/>
      <c r="BP148" s="90"/>
      <c r="BQ148" s="90">
        <v>1.1439999999999999</v>
      </c>
      <c r="BR148" s="90">
        <f t="shared" si="24"/>
        <v>2.6440000000000001</v>
      </c>
      <c r="BS148" s="90">
        <f>ROUND(BR148*IFERROR(VLOOKUP($BC148,'3121% SY'!$A$2:$M$324,13,FALSE),0),3)</f>
        <v>0.52900000000000003</v>
      </c>
      <c r="BT148" s="90">
        <f t="shared" si="25"/>
        <v>0</v>
      </c>
      <c r="BU148" s="90">
        <f>ROUND(BT148*IFERROR(VLOOKUP($BC148,'3121% SY'!$A$2:$M$324,13,FALSE),0),3)</f>
        <v>0</v>
      </c>
    </row>
    <row r="149" spans="1:73" x14ac:dyDescent="0.25">
      <c r="A149" s="88" t="s">
        <v>175</v>
      </c>
      <c r="B149" s="90"/>
      <c r="C149" s="90"/>
      <c r="D149" s="90"/>
      <c r="E149" s="90"/>
      <c r="F149" s="90"/>
      <c r="G149" s="90">
        <v>1.5</v>
      </c>
      <c r="H149" s="90"/>
      <c r="I149" s="90"/>
      <c r="J149" s="90"/>
      <c r="K149" s="90"/>
      <c r="L149" s="90"/>
      <c r="M149" s="90"/>
      <c r="N149" s="90"/>
      <c r="O149" s="90"/>
      <c r="P149" s="90">
        <f t="shared" si="19"/>
        <v>1.5</v>
      </c>
      <c r="Q149" s="90">
        <f>SUM($B149:E149)</f>
        <v>0</v>
      </c>
      <c r="R149" s="89"/>
      <c r="AH149" s="90">
        <f t="shared" si="20"/>
        <v>0</v>
      </c>
      <c r="AI149" s="90">
        <f t="shared" si="21"/>
        <v>0</v>
      </c>
      <c r="AJ149" s="89"/>
      <c r="AZ149" s="90">
        <f t="shared" si="22"/>
        <v>0</v>
      </c>
      <c r="BA149" s="90">
        <f t="shared" si="23"/>
        <v>0</v>
      </c>
      <c r="BB149" s="89"/>
      <c r="BC149" s="88" t="s">
        <v>234</v>
      </c>
      <c r="BD149" s="90"/>
      <c r="BE149" s="90"/>
      <c r="BF149" s="90"/>
      <c r="BG149" s="90"/>
      <c r="BH149" s="90"/>
      <c r="BI149" s="90">
        <v>1</v>
      </c>
      <c r="BJ149" s="90">
        <v>4.83</v>
      </c>
      <c r="BK149" s="90"/>
      <c r="BL149" s="90">
        <v>10.5</v>
      </c>
      <c r="BM149" s="90">
        <v>3.8</v>
      </c>
      <c r="BN149" s="90"/>
      <c r="BO149" s="90">
        <v>2</v>
      </c>
      <c r="BP149" s="90"/>
      <c r="BQ149" s="90"/>
      <c r="BR149" s="90">
        <f t="shared" si="24"/>
        <v>22.13</v>
      </c>
      <c r="BS149" s="90">
        <f>ROUND(BR149*IFERROR(VLOOKUP($BC149,'3121% SY'!$A$2:$M$324,13,FALSE),0),3)</f>
        <v>4.5540000000000003</v>
      </c>
      <c r="BT149" s="90">
        <f t="shared" si="25"/>
        <v>0</v>
      </c>
      <c r="BU149" s="90">
        <f>ROUND(BT149*IFERROR(VLOOKUP($BC149,'3121% SY'!$A$2:$M$324,13,FALSE),0),3)</f>
        <v>0</v>
      </c>
    </row>
    <row r="150" spans="1:73" x14ac:dyDescent="0.25">
      <c r="A150" s="88" t="s">
        <v>176</v>
      </c>
      <c r="B150" s="90"/>
      <c r="C150" s="90">
        <v>0.10100000000000001</v>
      </c>
      <c r="D150" s="90">
        <v>0.26700000000000002</v>
      </c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>
        <f t="shared" si="19"/>
        <v>0</v>
      </c>
      <c r="Q150" s="90">
        <f>SUM($B150:E150)</f>
        <v>0.36799999999999999</v>
      </c>
      <c r="R150" s="89"/>
      <c r="AH150" s="90">
        <f t="shared" si="20"/>
        <v>0</v>
      </c>
      <c r="AI150" s="90">
        <f t="shared" si="21"/>
        <v>0</v>
      </c>
      <c r="AJ150" s="89"/>
      <c r="AZ150" s="90">
        <f t="shared" si="22"/>
        <v>0</v>
      </c>
      <c r="BA150" s="90">
        <f t="shared" si="23"/>
        <v>0</v>
      </c>
      <c r="BB150" s="89"/>
      <c r="BC150" s="88" t="s">
        <v>235</v>
      </c>
      <c r="BD150" s="90"/>
      <c r="BE150" s="90"/>
      <c r="BF150" s="90">
        <v>1.236</v>
      </c>
      <c r="BG150" s="90"/>
      <c r="BH150" s="90"/>
      <c r="BI150" s="90"/>
      <c r="BJ150" s="90">
        <v>4</v>
      </c>
      <c r="BK150" s="90"/>
      <c r="BL150" s="90">
        <v>7</v>
      </c>
      <c r="BM150" s="90">
        <v>5</v>
      </c>
      <c r="BN150" s="90"/>
      <c r="BO150" s="90">
        <v>1</v>
      </c>
      <c r="BP150" s="90"/>
      <c r="BQ150" s="90"/>
      <c r="BR150" s="90">
        <f t="shared" si="24"/>
        <v>17</v>
      </c>
      <c r="BS150" s="90">
        <f>ROUND(BR150*IFERROR(VLOOKUP($BC150,'3121% SY'!$A$2:$M$324,13,FALSE),0),3)</f>
        <v>5.335</v>
      </c>
      <c r="BT150" s="90">
        <f t="shared" si="25"/>
        <v>1.236</v>
      </c>
      <c r="BU150" s="90">
        <f>ROUND(BT150*IFERROR(VLOOKUP($BC150,'3121% SY'!$A$2:$M$324,13,FALSE),0),3)</f>
        <v>0.38800000000000001</v>
      </c>
    </row>
    <row r="151" spans="1:73" x14ac:dyDescent="0.25">
      <c r="A151" s="88" t="s">
        <v>178</v>
      </c>
      <c r="B151" s="90"/>
      <c r="C151" s="90">
        <v>0.11799999999999999</v>
      </c>
      <c r="D151" s="90"/>
      <c r="E151" s="90"/>
      <c r="F151" s="90"/>
      <c r="G151" s="90">
        <v>0.49299999999999999</v>
      </c>
      <c r="H151" s="90"/>
      <c r="I151" s="90"/>
      <c r="J151" s="90"/>
      <c r="K151" s="90"/>
      <c r="L151" s="90"/>
      <c r="M151" s="90"/>
      <c r="N151" s="90"/>
      <c r="O151" s="90"/>
      <c r="P151" s="90">
        <f t="shared" si="19"/>
        <v>0.49299999999999999</v>
      </c>
      <c r="Q151" s="90">
        <f>SUM($B151:E151)</f>
        <v>0.11799999999999999</v>
      </c>
      <c r="R151" s="89"/>
      <c r="AH151" s="90">
        <f t="shared" si="20"/>
        <v>0</v>
      </c>
      <c r="AI151" s="90">
        <f t="shared" si="21"/>
        <v>0</v>
      </c>
      <c r="AJ151" s="89"/>
      <c r="AZ151" s="90">
        <f t="shared" si="22"/>
        <v>0</v>
      </c>
      <c r="BA151" s="90">
        <f t="shared" si="23"/>
        <v>0</v>
      </c>
      <c r="BB151" s="89"/>
      <c r="BC151" s="88" t="s">
        <v>237</v>
      </c>
      <c r="BD151" s="90"/>
      <c r="BE151" s="90"/>
      <c r="BF151" s="90"/>
      <c r="BG151" s="90"/>
      <c r="BH151" s="90"/>
      <c r="BI151" s="90"/>
      <c r="BJ151" s="90">
        <v>1.2210000000000001</v>
      </c>
      <c r="BK151" s="90"/>
      <c r="BL151" s="90">
        <v>2.5</v>
      </c>
      <c r="BM151" s="90">
        <v>1.48</v>
      </c>
      <c r="BN151" s="90">
        <v>0.23499999999999999</v>
      </c>
      <c r="BO151" s="90">
        <v>0.39</v>
      </c>
      <c r="BP151" s="90">
        <v>5.3999999999999999E-2</v>
      </c>
      <c r="BQ151" s="90"/>
      <c r="BR151" s="90">
        <f t="shared" si="24"/>
        <v>5.8800000000000008</v>
      </c>
      <c r="BS151" s="90">
        <f>ROUND(BR151*IFERROR(VLOOKUP($BC151,'3121% SY'!$A$2:$M$324,13,FALSE),0),3)</f>
        <v>1.1870000000000001</v>
      </c>
      <c r="BT151" s="90">
        <f t="shared" si="25"/>
        <v>0</v>
      </c>
      <c r="BU151" s="90">
        <f>ROUND(BT151*IFERROR(VLOOKUP($BC151,'3121% SY'!$A$2:$M$324,13,FALSE),0),3)</f>
        <v>0</v>
      </c>
    </row>
    <row r="152" spans="1:73" x14ac:dyDescent="0.25">
      <c r="A152" s="88" t="s">
        <v>180</v>
      </c>
      <c r="B152" s="90"/>
      <c r="C152" s="90"/>
      <c r="D152" s="90"/>
      <c r="E152" s="90"/>
      <c r="F152" s="90"/>
      <c r="G152" s="90">
        <v>1</v>
      </c>
      <c r="H152" s="90"/>
      <c r="I152" s="90">
        <v>0.5</v>
      </c>
      <c r="J152" s="90"/>
      <c r="K152" s="90"/>
      <c r="L152" s="90"/>
      <c r="M152" s="90"/>
      <c r="N152" s="90"/>
      <c r="O152" s="90"/>
      <c r="P152" s="90">
        <f t="shared" si="19"/>
        <v>1.5</v>
      </c>
      <c r="Q152" s="90">
        <f>SUM($B152:E152)</f>
        <v>0</v>
      </c>
      <c r="R152" s="89"/>
      <c r="AH152" s="90">
        <f t="shared" si="20"/>
        <v>0</v>
      </c>
      <c r="AI152" s="90">
        <f t="shared" si="21"/>
        <v>0</v>
      </c>
      <c r="AJ152" s="89"/>
      <c r="AZ152" s="90">
        <f t="shared" si="22"/>
        <v>0</v>
      </c>
      <c r="BA152" s="90">
        <f t="shared" si="23"/>
        <v>0</v>
      </c>
      <c r="BB152" s="89"/>
      <c r="BC152" s="88" t="s">
        <v>238</v>
      </c>
      <c r="BD152" s="90"/>
      <c r="BE152" s="90"/>
      <c r="BF152" s="90"/>
      <c r="BG152" s="90"/>
      <c r="BH152" s="90"/>
      <c r="BI152" s="90"/>
      <c r="BJ152" s="90">
        <v>0.8</v>
      </c>
      <c r="BK152" s="90"/>
      <c r="BL152" s="90">
        <v>2</v>
      </c>
      <c r="BM152" s="90">
        <v>1.8</v>
      </c>
      <c r="BN152" s="90"/>
      <c r="BO152" s="90">
        <v>0.6</v>
      </c>
      <c r="BP152" s="90"/>
      <c r="BQ152" s="90"/>
      <c r="BR152" s="90">
        <f t="shared" si="24"/>
        <v>5.1999999999999993</v>
      </c>
      <c r="BS152" s="90">
        <f>ROUND(BR152*IFERROR(VLOOKUP($BC152,'3121% SY'!$A$2:$M$324,13,FALSE),0),3)</f>
        <v>1.2390000000000001</v>
      </c>
      <c r="BT152" s="90">
        <f t="shared" si="25"/>
        <v>0</v>
      </c>
      <c r="BU152" s="90">
        <f>ROUND(BT152*IFERROR(VLOOKUP($BC152,'3121% SY'!$A$2:$M$324,13,FALSE),0),3)</f>
        <v>0</v>
      </c>
    </row>
    <row r="153" spans="1:73" x14ac:dyDescent="0.25">
      <c r="A153" s="88" t="s">
        <v>181</v>
      </c>
      <c r="B153" s="90"/>
      <c r="C153" s="90">
        <v>0.151</v>
      </c>
      <c r="D153" s="90"/>
      <c r="E153" s="90"/>
      <c r="F153" s="90"/>
      <c r="G153" s="90">
        <v>0.28799999999999998</v>
      </c>
      <c r="H153" s="90"/>
      <c r="I153" s="90"/>
      <c r="J153" s="90"/>
      <c r="K153" s="90"/>
      <c r="L153" s="90"/>
      <c r="M153" s="90"/>
      <c r="N153" s="90"/>
      <c r="O153" s="90"/>
      <c r="P153" s="90">
        <f t="shared" si="19"/>
        <v>0.28799999999999998</v>
      </c>
      <c r="Q153" s="90">
        <f>SUM($B153:E153)</f>
        <v>0.151</v>
      </c>
      <c r="R153" s="89"/>
      <c r="AH153" s="90">
        <f t="shared" si="20"/>
        <v>0</v>
      </c>
      <c r="AI153" s="90">
        <f t="shared" si="21"/>
        <v>0</v>
      </c>
      <c r="AJ153" s="89"/>
      <c r="AZ153" s="90">
        <f t="shared" si="22"/>
        <v>0</v>
      </c>
      <c r="BA153" s="90">
        <f t="shared" si="23"/>
        <v>0</v>
      </c>
      <c r="BB153" s="89"/>
      <c r="BC153" s="88" t="s">
        <v>239</v>
      </c>
      <c r="BD153" s="90"/>
      <c r="BE153" s="90"/>
      <c r="BF153" s="90"/>
      <c r="BG153" s="90"/>
      <c r="BH153" s="90"/>
      <c r="BI153" s="90"/>
      <c r="BJ153" s="90">
        <v>0.185</v>
      </c>
      <c r="BK153" s="90"/>
      <c r="BL153" s="90">
        <v>2</v>
      </c>
      <c r="BM153" s="90">
        <v>1</v>
      </c>
      <c r="BN153" s="90"/>
      <c r="BO153" s="90">
        <v>0.66500000000000004</v>
      </c>
      <c r="BP153" s="90"/>
      <c r="BQ153" s="90"/>
      <c r="BR153" s="90">
        <f t="shared" si="24"/>
        <v>3.85</v>
      </c>
      <c r="BS153" s="90">
        <f>ROUND(BR153*IFERROR(VLOOKUP($BC153,'3121% SY'!$A$2:$M$324,13,FALSE),0),3)</f>
        <v>1.133</v>
      </c>
      <c r="BT153" s="90">
        <f t="shared" si="25"/>
        <v>0</v>
      </c>
      <c r="BU153" s="90">
        <f>ROUND(BT153*IFERROR(VLOOKUP($BC153,'3121% SY'!$A$2:$M$324,13,FALSE),0),3)</f>
        <v>0</v>
      </c>
    </row>
    <row r="154" spans="1:73" x14ac:dyDescent="0.25">
      <c r="A154" s="88" t="s">
        <v>182</v>
      </c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>
        <v>0.499</v>
      </c>
      <c r="M154" s="90"/>
      <c r="N154" s="90"/>
      <c r="O154" s="90"/>
      <c r="P154" s="90">
        <f t="shared" si="19"/>
        <v>0.499</v>
      </c>
      <c r="Q154" s="90">
        <f>SUM($B154:E154)</f>
        <v>0</v>
      </c>
      <c r="R154" s="89"/>
      <c r="AH154" s="90">
        <f t="shared" si="20"/>
        <v>0</v>
      </c>
      <c r="AI154" s="90">
        <f t="shared" si="21"/>
        <v>0</v>
      </c>
      <c r="AJ154" s="89"/>
      <c r="AZ154" s="90">
        <f t="shared" si="22"/>
        <v>0</v>
      </c>
      <c r="BA154" s="90">
        <f t="shared" si="23"/>
        <v>0</v>
      </c>
      <c r="BB154" s="89"/>
      <c r="BC154" s="88" t="s">
        <v>615</v>
      </c>
      <c r="BD154" s="90"/>
      <c r="BE154" s="90"/>
      <c r="BF154" s="90"/>
      <c r="BG154" s="90"/>
      <c r="BH154" s="90"/>
      <c r="BI154" s="90"/>
      <c r="BJ154" s="90"/>
      <c r="BK154" s="90"/>
      <c r="BL154" s="90">
        <v>1</v>
      </c>
      <c r="BM154" s="90"/>
      <c r="BN154" s="90"/>
      <c r="BO154" s="90"/>
      <c r="BP154" s="90"/>
      <c r="BQ154" s="90"/>
      <c r="BR154" s="90">
        <f t="shared" si="24"/>
        <v>1</v>
      </c>
      <c r="BS154" s="90">
        <f>ROUND(BR154*IFERROR(VLOOKUP($BC154,'3121% SY'!$A$2:$M$324,13,FALSE),0),3)</f>
        <v>9.5000000000000001E-2</v>
      </c>
      <c r="BT154" s="90">
        <f t="shared" si="25"/>
        <v>0</v>
      </c>
      <c r="BU154" s="90">
        <f>ROUND(BT154*IFERROR(VLOOKUP($BC154,'3121% SY'!$A$2:$M$324,13,FALSE),0),3)</f>
        <v>0</v>
      </c>
    </row>
    <row r="155" spans="1:73" x14ac:dyDescent="0.25">
      <c r="A155" s="88" t="s">
        <v>183</v>
      </c>
      <c r="B155" s="90"/>
      <c r="C155" s="90"/>
      <c r="D155" s="90"/>
      <c r="E155" s="90"/>
      <c r="F155" s="90"/>
      <c r="G155" s="90">
        <v>3</v>
      </c>
      <c r="H155" s="90"/>
      <c r="I155" s="90">
        <v>1</v>
      </c>
      <c r="J155" s="90"/>
      <c r="K155" s="90"/>
      <c r="L155" s="90">
        <v>0.6</v>
      </c>
      <c r="M155" s="90"/>
      <c r="N155" s="90"/>
      <c r="O155" s="90"/>
      <c r="P155" s="90">
        <f t="shared" si="19"/>
        <v>4.5999999999999996</v>
      </c>
      <c r="Q155" s="90">
        <f>SUM($B155:E155)</f>
        <v>0</v>
      </c>
      <c r="R155" s="89"/>
      <c r="AH155" s="90">
        <f t="shared" si="20"/>
        <v>0</v>
      </c>
      <c r="AI155" s="90">
        <f t="shared" si="21"/>
        <v>0</v>
      </c>
      <c r="AJ155" s="89"/>
      <c r="AZ155" s="90">
        <f t="shared" si="22"/>
        <v>0</v>
      </c>
      <c r="BA155" s="90">
        <f t="shared" si="23"/>
        <v>0</v>
      </c>
      <c r="BB155" s="89"/>
      <c r="BC155" s="88" t="s">
        <v>241</v>
      </c>
      <c r="BD155" s="90"/>
      <c r="BE155" s="90"/>
      <c r="BF155" s="90"/>
      <c r="BG155" s="90"/>
      <c r="BH155" s="90"/>
      <c r="BI155" s="90"/>
      <c r="BJ155" s="90"/>
      <c r="BK155" s="90"/>
      <c r="BL155" s="90">
        <v>0.81200000000000006</v>
      </c>
      <c r="BM155" s="90">
        <v>0.50900000000000001</v>
      </c>
      <c r="BN155" s="90"/>
      <c r="BO155" s="90"/>
      <c r="BP155" s="90"/>
      <c r="BQ155" s="90"/>
      <c r="BR155" s="90">
        <f t="shared" si="24"/>
        <v>1.3210000000000002</v>
      </c>
      <c r="BS155" s="90">
        <f>ROUND(BR155*IFERROR(VLOOKUP($BC155,'3121% SY'!$A$2:$M$324,13,FALSE),0),3)</f>
        <v>0.35299999999999998</v>
      </c>
      <c r="BT155" s="90">
        <f t="shared" si="25"/>
        <v>0</v>
      </c>
      <c r="BU155" s="90">
        <f>ROUND(BT155*IFERROR(VLOOKUP($BC155,'3121% SY'!$A$2:$M$324,13,FALSE),0),3)</f>
        <v>0</v>
      </c>
    </row>
    <row r="156" spans="1:73" x14ac:dyDescent="0.25">
      <c r="A156" s="88" t="s">
        <v>184</v>
      </c>
      <c r="B156" s="90"/>
      <c r="C156" s="90"/>
      <c r="D156" s="90"/>
      <c r="E156" s="90"/>
      <c r="F156" s="90"/>
      <c r="G156" s="90">
        <v>23.74</v>
      </c>
      <c r="H156" s="90"/>
      <c r="I156" s="90"/>
      <c r="J156" s="90">
        <v>0.2</v>
      </c>
      <c r="K156" s="90"/>
      <c r="L156" s="90">
        <v>9.36</v>
      </c>
      <c r="M156" s="90"/>
      <c r="N156" s="90"/>
      <c r="O156" s="90"/>
      <c r="P156" s="90">
        <f t="shared" si="19"/>
        <v>33.299999999999997</v>
      </c>
      <c r="Q156" s="90">
        <f>SUM($B156:E156)</f>
        <v>0</v>
      </c>
      <c r="R156" s="89"/>
      <c r="AH156" s="90">
        <f t="shared" si="20"/>
        <v>0</v>
      </c>
      <c r="AI156" s="90">
        <f t="shared" si="21"/>
        <v>0</v>
      </c>
      <c r="AJ156" s="89"/>
      <c r="AZ156" s="90">
        <f t="shared" si="22"/>
        <v>0</v>
      </c>
      <c r="BA156" s="90">
        <f t="shared" si="23"/>
        <v>0</v>
      </c>
      <c r="BB156" s="89"/>
      <c r="BC156" s="88" t="s">
        <v>244</v>
      </c>
      <c r="BD156" s="90"/>
      <c r="BE156" s="90"/>
      <c r="BF156" s="90">
        <v>0.60599999999999998</v>
      </c>
      <c r="BG156" s="90"/>
      <c r="BH156" s="90"/>
      <c r="BI156" s="90"/>
      <c r="BJ156" s="90"/>
      <c r="BK156" s="90"/>
      <c r="BL156" s="90">
        <v>2</v>
      </c>
      <c r="BM156" s="90"/>
      <c r="BN156" s="90"/>
      <c r="BO156" s="90">
        <v>0.5</v>
      </c>
      <c r="BP156" s="90"/>
      <c r="BQ156" s="90"/>
      <c r="BR156" s="90">
        <f t="shared" si="24"/>
        <v>2.5</v>
      </c>
      <c r="BS156" s="90">
        <f>ROUND(BR156*IFERROR(VLOOKUP($BC156,'3121% SY'!$A$2:$M$324,13,FALSE),0),3)</f>
        <v>0.55000000000000004</v>
      </c>
      <c r="BT156" s="90">
        <f t="shared" si="25"/>
        <v>0.60599999999999998</v>
      </c>
      <c r="BU156" s="90">
        <f>ROUND(BT156*IFERROR(VLOOKUP($BC156,'3121% SY'!$A$2:$M$324,13,FALSE),0),3)</f>
        <v>0.13300000000000001</v>
      </c>
    </row>
    <row r="157" spans="1:73" x14ac:dyDescent="0.25">
      <c r="A157" s="88" t="s">
        <v>185</v>
      </c>
      <c r="B157" s="90"/>
      <c r="C157" s="90">
        <v>23.221</v>
      </c>
      <c r="D157" s="90">
        <v>16.109000000000002</v>
      </c>
      <c r="E157" s="90"/>
      <c r="F157" s="90"/>
      <c r="G157" s="90">
        <v>47.741999999999997</v>
      </c>
      <c r="H157" s="90"/>
      <c r="I157" s="90">
        <v>0.4</v>
      </c>
      <c r="J157" s="90"/>
      <c r="K157" s="90"/>
      <c r="L157" s="90">
        <v>15.776999999999999</v>
      </c>
      <c r="M157" s="90"/>
      <c r="N157" s="90"/>
      <c r="O157" s="90"/>
      <c r="P157" s="90">
        <f t="shared" si="19"/>
        <v>63.918999999999997</v>
      </c>
      <c r="Q157" s="90">
        <f>SUM($B157:E157)</f>
        <v>39.33</v>
      </c>
      <c r="R157" s="89"/>
      <c r="AH157" s="90">
        <f t="shared" si="20"/>
        <v>0</v>
      </c>
      <c r="AI157" s="90">
        <f t="shared" si="21"/>
        <v>0</v>
      </c>
      <c r="AJ157" s="89"/>
      <c r="AZ157" s="90">
        <f t="shared" si="22"/>
        <v>0</v>
      </c>
      <c r="BA157" s="90">
        <f t="shared" si="23"/>
        <v>0</v>
      </c>
      <c r="BB157" s="89"/>
      <c r="BC157" s="88" t="s">
        <v>250</v>
      </c>
      <c r="BD157" s="90"/>
      <c r="BE157" s="90"/>
      <c r="BF157" s="90">
        <v>0.42399999999999999</v>
      </c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>
        <f t="shared" si="24"/>
        <v>0</v>
      </c>
      <c r="BS157" s="90">
        <f>ROUND(BR157*IFERROR(VLOOKUP($BC157,'3121% SY'!$A$2:$M$324,13,FALSE),0),3)</f>
        <v>0</v>
      </c>
      <c r="BT157" s="90">
        <f t="shared" si="25"/>
        <v>0.42399999999999999</v>
      </c>
      <c r="BU157" s="90">
        <f>ROUND(BT157*IFERROR(VLOOKUP($BC157,'3121% SY'!$A$2:$M$324,13,FALSE),0),3)</f>
        <v>6.7000000000000004E-2</v>
      </c>
    </row>
    <row r="158" spans="1:73" x14ac:dyDescent="0.25">
      <c r="A158" s="88" t="s">
        <v>187</v>
      </c>
      <c r="B158" s="90"/>
      <c r="C158" s="90"/>
      <c r="D158" s="90"/>
      <c r="E158" s="90"/>
      <c r="F158" s="90"/>
      <c r="G158" s="90">
        <v>6.59</v>
      </c>
      <c r="H158" s="90"/>
      <c r="I158" s="90"/>
      <c r="J158" s="90"/>
      <c r="K158" s="90"/>
      <c r="L158" s="90"/>
      <c r="M158" s="90"/>
      <c r="N158" s="90"/>
      <c r="O158" s="90"/>
      <c r="P158" s="90">
        <f t="shared" si="19"/>
        <v>6.59</v>
      </c>
      <c r="Q158" s="90">
        <f>SUM($B158:E158)</f>
        <v>0</v>
      </c>
      <c r="R158" s="89"/>
      <c r="AH158" s="90">
        <f t="shared" si="20"/>
        <v>0</v>
      </c>
      <c r="AI158" s="90">
        <f t="shared" si="21"/>
        <v>0</v>
      </c>
      <c r="AJ158" s="89"/>
      <c r="AZ158" s="90">
        <f t="shared" si="22"/>
        <v>0</v>
      </c>
      <c r="BA158" s="90">
        <f t="shared" si="23"/>
        <v>0</v>
      </c>
      <c r="BB158" s="89"/>
      <c r="BC158" s="88" t="s">
        <v>252</v>
      </c>
      <c r="BD158" s="90"/>
      <c r="BE158" s="90"/>
      <c r="BF158" s="90"/>
      <c r="BG158" s="90"/>
      <c r="BH158" s="90"/>
      <c r="BI158" s="90"/>
      <c r="BJ158" s="90">
        <v>0.66600000000000004</v>
      </c>
      <c r="BK158" s="90"/>
      <c r="BL158" s="90">
        <v>3</v>
      </c>
      <c r="BM158" s="90">
        <v>2.6150000000000002</v>
      </c>
      <c r="BN158" s="90"/>
      <c r="BO158" s="90">
        <v>1</v>
      </c>
      <c r="BP158" s="90"/>
      <c r="BQ158" s="90"/>
      <c r="BR158" s="90">
        <f t="shared" si="24"/>
        <v>7.2810000000000006</v>
      </c>
      <c r="BS158" s="90">
        <f>ROUND(BR158*IFERROR(VLOOKUP($BC158,'3121% SY'!$A$2:$M$324,13,FALSE),0),3)</f>
        <v>1.8029999999999999</v>
      </c>
      <c r="BT158" s="90">
        <f t="shared" si="25"/>
        <v>0</v>
      </c>
      <c r="BU158" s="90">
        <f>ROUND(BT158*IFERROR(VLOOKUP($BC158,'3121% SY'!$A$2:$M$324,13,FALSE),0),3)</f>
        <v>0</v>
      </c>
    </row>
    <row r="159" spans="1:73" x14ac:dyDescent="0.25">
      <c r="A159" s="88" t="s">
        <v>188</v>
      </c>
      <c r="B159" s="90"/>
      <c r="C159" s="90"/>
      <c r="D159" s="90">
        <v>4.0730000000000004</v>
      </c>
      <c r="E159" s="90">
        <v>0.25600000000000001</v>
      </c>
      <c r="F159" s="90"/>
      <c r="G159" s="90">
        <v>12.516</v>
      </c>
      <c r="H159" s="90"/>
      <c r="I159" s="90">
        <v>0.875</v>
      </c>
      <c r="J159" s="90"/>
      <c r="K159" s="90"/>
      <c r="L159" s="90">
        <v>1.548</v>
      </c>
      <c r="M159" s="90"/>
      <c r="N159" s="90"/>
      <c r="O159" s="90"/>
      <c r="P159" s="90">
        <f t="shared" si="19"/>
        <v>14.939</v>
      </c>
      <c r="Q159" s="90">
        <f>SUM($B159:E159)</f>
        <v>4.3290000000000006</v>
      </c>
      <c r="R159" s="89"/>
      <c r="AH159" s="90">
        <f t="shared" si="20"/>
        <v>0</v>
      </c>
      <c r="AI159" s="90">
        <f t="shared" si="21"/>
        <v>0</v>
      </c>
      <c r="AJ159" s="89"/>
      <c r="AZ159" s="90">
        <f t="shared" si="22"/>
        <v>0</v>
      </c>
      <c r="BA159" s="90">
        <f t="shared" si="23"/>
        <v>0</v>
      </c>
      <c r="BB159" s="89"/>
      <c r="BC159" s="88" t="s">
        <v>253</v>
      </c>
      <c r="BD159" s="90"/>
      <c r="BE159" s="90"/>
      <c r="BF159" s="90"/>
      <c r="BG159" s="90"/>
      <c r="BH159" s="90"/>
      <c r="BI159" s="90"/>
      <c r="BJ159" s="90">
        <v>8.2210000000000001</v>
      </c>
      <c r="BK159" s="90"/>
      <c r="BL159" s="90">
        <v>25.202000000000002</v>
      </c>
      <c r="BM159" s="90">
        <v>12.516999999999999</v>
      </c>
      <c r="BN159" s="90"/>
      <c r="BO159" s="90">
        <v>3.2029999999999998</v>
      </c>
      <c r="BP159" s="90"/>
      <c r="BQ159" s="90"/>
      <c r="BR159" s="90">
        <f t="shared" si="24"/>
        <v>49.143000000000001</v>
      </c>
      <c r="BS159" s="90">
        <f>ROUND(BR159*IFERROR(VLOOKUP($BC159,'3121% SY'!$A$2:$M$324,13,FALSE),0),3)</f>
        <v>12.753</v>
      </c>
      <c r="BT159" s="90">
        <f t="shared" si="25"/>
        <v>0</v>
      </c>
      <c r="BU159" s="90">
        <f>ROUND(BT159*IFERROR(VLOOKUP($BC159,'3121% SY'!$A$2:$M$324,13,FALSE),0),3)</f>
        <v>0</v>
      </c>
    </row>
    <row r="160" spans="1:73" x14ac:dyDescent="0.25">
      <c r="A160" s="88" t="s">
        <v>189</v>
      </c>
      <c r="B160" s="90"/>
      <c r="C160" s="90"/>
      <c r="D160" s="90">
        <v>0.89600000000000002</v>
      </c>
      <c r="E160" s="90"/>
      <c r="F160" s="90"/>
      <c r="G160" s="90">
        <v>2.5499999999999998</v>
      </c>
      <c r="H160" s="90"/>
      <c r="I160" s="90"/>
      <c r="J160" s="90"/>
      <c r="K160" s="90"/>
      <c r="L160" s="90">
        <v>0.66600000000000004</v>
      </c>
      <c r="M160" s="90"/>
      <c r="N160" s="90"/>
      <c r="O160" s="90"/>
      <c r="P160" s="90">
        <f t="shared" si="19"/>
        <v>3.2159999999999997</v>
      </c>
      <c r="Q160" s="90">
        <f>SUM($B160:E160)</f>
        <v>0.89600000000000002</v>
      </c>
      <c r="R160" s="89"/>
      <c r="AH160" s="90">
        <f t="shared" si="20"/>
        <v>0</v>
      </c>
      <c r="AI160" s="90">
        <f t="shared" si="21"/>
        <v>0</v>
      </c>
      <c r="AJ160" s="89"/>
      <c r="AZ160" s="90">
        <f t="shared" si="22"/>
        <v>0</v>
      </c>
      <c r="BA160" s="90">
        <f t="shared" si="23"/>
        <v>0</v>
      </c>
      <c r="BB160" s="89"/>
      <c r="BC160" s="88" t="s">
        <v>254</v>
      </c>
      <c r="BD160" s="90"/>
      <c r="BE160" s="90">
        <v>1.3620000000000001</v>
      </c>
      <c r="BF160" s="90">
        <v>6.1379999999999999</v>
      </c>
      <c r="BG160" s="90"/>
      <c r="BH160" s="90"/>
      <c r="BI160" s="90"/>
      <c r="BJ160" s="90">
        <v>2.4300000000000002</v>
      </c>
      <c r="BK160" s="90"/>
      <c r="BL160" s="90">
        <v>4.8540000000000001</v>
      </c>
      <c r="BM160" s="90">
        <v>3.1</v>
      </c>
      <c r="BN160" s="90"/>
      <c r="BO160" s="90"/>
      <c r="BP160" s="90">
        <v>0.54500000000000004</v>
      </c>
      <c r="BQ160" s="90"/>
      <c r="BR160" s="90">
        <f t="shared" si="24"/>
        <v>10.929</v>
      </c>
      <c r="BS160" s="90">
        <f>ROUND(BR160*IFERROR(VLOOKUP($BC160,'3121% SY'!$A$2:$M$324,13,FALSE),0),3)</f>
        <v>2.8860000000000001</v>
      </c>
      <c r="BT160" s="90">
        <f t="shared" si="25"/>
        <v>7.5</v>
      </c>
      <c r="BU160" s="90">
        <f>ROUND(BT160*IFERROR(VLOOKUP($BC160,'3121% SY'!$A$2:$M$324,13,FALSE),0),3)</f>
        <v>1.9810000000000001</v>
      </c>
    </row>
    <row r="161" spans="1:73" x14ac:dyDescent="0.25">
      <c r="A161" s="88" t="s">
        <v>190</v>
      </c>
      <c r="B161" s="90"/>
      <c r="C161" s="90"/>
      <c r="D161" s="90"/>
      <c r="E161" s="90"/>
      <c r="F161" s="90"/>
      <c r="G161" s="90">
        <v>2.6</v>
      </c>
      <c r="H161" s="90"/>
      <c r="I161" s="90"/>
      <c r="J161" s="90"/>
      <c r="K161" s="90"/>
      <c r="L161" s="90">
        <v>0.52</v>
      </c>
      <c r="M161" s="90"/>
      <c r="N161" s="90"/>
      <c r="O161" s="90"/>
      <c r="P161" s="90">
        <f t="shared" si="19"/>
        <v>3.12</v>
      </c>
      <c r="Q161" s="90">
        <f>SUM($B161:E161)</f>
        <v>0</v>
      </c>
      <c r="R161" s="89"/>
      <c r="AH161" s="90">
        <f t="shared" si="20"/>
        <v>0</v>
      </c>
      <c r="AI161" s="90">
        <f t="shared" si="21"/>
        <v>0</v>
      </c>
      <c r="AJ161" s="89"/>
      <c r="AZ161" s="90">
        <f t="shared" si="22"/>
        <v>0</v>
      </c>
      <c r="BA161" s="90">
        <f t="shared" si="23"/>
        <v>0</v>
      </c>
      <c r="BB161" s="89"/>
      <c r="BC161" s="88" t="s">
        <v>255</v>
      </c>
      <c r="BD161" s="90"/>
      <c r="BE161" s="90"/>
      <c r="BF161" s="90">
        <v>0.60099999999999998</v>
      </c>
      <c r="BG161" s="90"/>
      <c r="BH161" s="90"/>
      <c r="BI161" s="90"/>
      <c r="BJ161" s="90">
        <v>4.8</v>
      </c>
      <c r="BK161" s="90"/>
      <c r="BL161" s="90">
        <v>11.978</v>
      </c>
      <c r="BM161" s="90">
        <v>5.2670000000000003</v>
      </c>
      <c r="BN161" s="90"/>
      <c r="BO161" s="90">
        <v>2.2999999999999998</v>
      </c>
      <c r="BP161" s="90"/>
      <c r="BQ161" s="90"/>
      <c r="BR161" s="90">
        <f t="shared" si="24"/>
        <v>24.344999999999999</v>
      </c>
      <c r="BS161" s="90">
        <f>ROUND(BR161*IFERROR(VLOOKUP($BC161,'3121% SY'!$A$2:$M$324,13,FALSE),0),3)</f>
        <v>6.4320000000000004</v>
      </c>
      <c r="BT161" s="90">
        <f t="shared" si="25"/>
        <v>0.60099999999999998</v>
      </c>
      <c r="BU161" s="90">
        <f>ROUND(BT161*IFERROR(VLOOKUP($BC161,'3121% SY'!$A$2:$M$324,13,FALSE),0),3)</f>
        <v>0.159</v>
      </c>
    </row>
    <row r="162" spans="1:73" x14ac:dyDescent="0.25">
      <c r="A162" s="88" t="s">
        <v>191</v>
      </c>
      <c r="B162" s="90"/>
      <c r="C162" s="90"/>
      <c r="D162" s="90"/>
      <c r="E162" s="90"/>
      <c r="F162" s="90"/>
      <c r="G162" s="90">
        <v>18.474</v>
      </c>
      <c r="H162" s="90"/>
      <c r="I162" s="90"/>
      <c r="J162" s="90"/>
      <c r="K162" s="90"/>
      <c r="L162" s="90">
        <v>1.333</v>
      </c>
      <c r="M162" s="90"/>
      <c r="N162" s="90"/>
      <c r="O162" s="90"/>
      <c r="P162" s="90">
        <f t="shared" si="19"/>
        <v>19.806999999999999</v>
      </c>
      <c r="Q162" s="90">
        <f>SUM($B162:E162)</f>
        <v>0</v>
      </c>
      <c r="R162" s="89"/>
      <c r="AH162" s="90">
        <f t="shared" si="20"/>
        <v>0</v>
      </c>
      <c r="AI162" s="90">
        <f t="shared" si="21"/>
        <v>0</v>
      </c>
      <c r="AJ162" s="89"/>
      <c r="AZ162" s="90">
        <f t="shared" si="22"/>
        <v>0</v>
      </c>
      <c r="BA162" s="90">
        <f t="shared" si="23"/>
        <v>0</v>
      </c>
      <c r="BB162" s="89"/>
      <c r="BC162" s="88" t="s">
        <v>256</v>
      </c>
      <c r="BD162" s="90"/>
      <c r="BE162" s="90"/>
      <c r="BF162" s="90">
        <v>0.92700000000000005</v>
      </c>
      <c r="BG162" s="90"/>
      <c r="BH162" s="90"/>
      <c r="BI162" s="90"/>
      <c r="BJ162" s="90">
        <v>0.67</v>
      </c>
      <c r="BK162" s="90"/>
      <c r="BL162" s="90"/>
      <c r="BM162" s="90"/>
      <c r="BN162" s="90"/>
      <c r="BO162" s="90"/>
      <c r="BP162" s="90"/>
      <c r="BQ162" s="90"/>
      <c r="BR162" s="90">
        <f t="shared" si="24"/>
        <v>0.67</v>
      </c>
      <c r="BS162" s="90">
        <f>ROUND(BR162*IFERROR(VLOOKUP($BC162,'3121% SY'!$A$2:$M$324,13,FALSE),0),3)</f>
        <v>0.155</v>
      </c>
      <c r="BT162" s="90">
        <f t="shared" si="25"/>
        <v>0.92700000000000005</v>
      </c>
      <c r="BU162" s="90">
        <f>ROUND(BT162*IFERROR(VLOOKUP($BC162,'3121% SY'!$A$2:$M$324,13,FALSE),0),3)</f>
        <v>0.215</v>
      </c>
    </row>
    <row r="163" spans="1:73" x14ac:dyDescent="0.25">
      <c r="A163" s="88" t="s">
        <v>192</v>
      </c>
      <c r="B163" s="90"/>
      <c r="C163" s="90"/>
      <c r="D163" s="90"/>
      <c r="E163" s="90"/>
      <c r="F163" s="90"/>
      <c r="G163" s="90">
        <v>13.079000000000001</v>
      </c>
      <c r="H163" s="90"/>
      <c r="I163" s="90"/>
      <c r="J163" s="90"/>
      <c r="K163" s="90"/>
      <c r="L163" s="90">
        <v>5.8019999999999996</v>
      </c>
      <c r="M163" s="90"/>
      <c r="N163" s="90"/>
      <c r="O163" s="90"/>
      <c r="P163" s="90">
        <f t="shared" si="19"/>
        <v>18.881</v>
      </c>
      <c r="Q163" s="90">
        <f>SUM($B163:E163)</f>
        <v>0</v>
      </c>
      <c r="R163" s="89"/>
      <c r="AH163" s="90">
        <f t="shared" si="20"/>
        <v>0</v>
      </c>
      <c r="AI163" s="90">
        <f t="shared" si="21"/>
        <v>0</v>
      </c>
      <c r="AJ163" s="89"/>
      <c r="AZ163" s="90">
        <f t="shared" si="22"/>
        <v>0</v>
      </c>
      <c r="BA163" s="90">
        <f t="shared" si="23"/>
        <v>0</v>
      </c>
      <c r="BB163" s="89"/>
      <c r="BC163" s="88" t="s">
        <v>258</v>
      </c>
      <c r="BD163" s="90"/>
      <c r="BE163" s="90"/>
      <c r="BF163" s="90"/>
      <c r="BG163" s="90"/>
      <c r="BH163" s="90"/>
      <c r="BI163" s="90"/>
      <c r="BJ163" s="90"/>
      <c r="BK163" s="90"/>
      <c r="BL163" s="90">
        <v>1.25</v>
      </c>
      <c r="BM163" s="90">
        <v>1.1000000000000001</v>
      </c>
      <c r="BN163" s="90"/>
      <c r="BO163" s="90"/>
      <c r="BP163" s="90"/>
      <c r="BQ163" s="90"/>
      <c r="BR163" s="90">
        <f t="shared" si="24"/>
        <v>2.35</v>
      </c>
      <c r="BS163" s="90">
        <f>ROUND(BR163*IFERROR(VLOOKUP($BC163,'3121% SY'!$A$2:$M$324,13,FALSE),0),3)</f>
        <v>0.55000000000000004</v>
      </c>
      <c r="BT163" s="90">
        <f t="shared" si="25"/>
        <v>0</v>
      </c>
      <c r="BU163" s="90">
        <f>ROUND(BT163*IFERROR(VLOOKUP($BC163,'3121% SY'!$A$2:$M$324,13,FALSE),0),3)</f>
        <v>0</v>
      </c>
    </row>
    <row r="164" spans="1:73" x14ac:dyDescent="0.25">
      <c r="A164" s="88" t="s">
        <v>193</v>
      </c>
      <c r="B164" s="90"/>
      <c r="C164" s="90"/>
      <c r="D164" s="90"/>
      <c r="E164" s="90"/>
      <c r="F164" s="90"/>
      <c r="G164" s="90">
        <v>8.99</v>
      </c>
      <c r="H164" s="90"/>
      <c r="I164" s="90"/>
      <c r="J164" s="90"/>
      <c r="K164" s="90"/>
      <c r="L164" s="90"/>
      <c r="M164" s="90"/>
      <c r="N164" s="90"/>
      <c r="O164" s="90"/>
      <c r="P164" s="90">
        <f t="shared" si="19"/>
        <v>8.99</v>
      </c>
      <c r="Q164" s="90">
        <f>SUM($B164:E164)</f>
        <v>0</v>
      </c>
      <c r="R164" s="89"/>
      <c r="AH164" s="90">
        <f t="shared" si="20"/>
        <v>0</v>
      </c>
      <c r="AI164" s="90">
        <f t="shared" si="21"/>
        <v>0</v>
      </c>
      <c r="AJ164" s="89"/>
      <c r="AZ164" s="90">
        <f t="shared" si="22"/>
        <v>0</v>
      </c>
      <c r="BA164" s="90">
        <f t="shared" si="23"/>
        <v>0</v>
      </c>
      <c r="BB164" s="89"/>
      <c r="BC164" s="88" t="s">
        <v>259</v>
      </c>
      <c r="BD164" s="90"/>
      <c r="BE164" s="90"/>
      <c r="BF164" s="90"/>
      <c r="BG164" s="90"/>
      <c r="BH164" s="90"/>
      <c r="BI164" s="90"/>
      <c r="BJ164" s="90"/>
      <c r="BK164" s="90"/>
      <c r="BL164" s="90">
        <v>1</v>
      </c>
      <c r="BM164" s="90"/>
      <c r="BN164" s="90"/>
      <c r="BO164" s="90"/>
      <c r="BP164" s="90"/>
      <c r="BQ164" s="90"/>
      <c r="BR164" s="90">
        <f t="shared" si="24"/>
        <v>1</v>
      </c>
      <c r="BS164" s="90">
        <f>ROUND(BR164*IFERROR(VLOOKUP($BC164,'3121% SY'!$A$2:$M$324,13,FALSE),0),3)</f>
        <v>0.249</v>
      </c>
      <c r="BT164" s="90">
        <f t="shared" si="25"/>
        <v>0</v>
      </c>
      <c r="BU164" s="90">
        <f>ROUND(BT164*IFERROR(VLOOKUP($BC164,'3121% SY'!$A$2:$M$324,13,FALSE),0),3)</f>
        <v>0</v>
      </c>
    </row>
    <row r="165" spans="1:73" x14ac:dyDescent="0.25">
      <c r="A165" s="88" t="s">
        <v>194</v>
      </c>
      <c r="B165" s="90"/>
      <c r="C165" s="90"/>
      <c r="D165" s="90"/>
      <c r="E165" s="90"/>
      <c r="F165" s="90"/>
      <c r="G165" s="90">
        <v>14.962</v>
      </c>
      <c r="H165" s="90"/>
      <c r="I165" s="90">
        <v>8.8179999999999996</v>
      </c>
      <c r="J165" s="90"/>
      <c r="K165" s="90"/>
      <c r="L165" s="90">
        <v>11.964</v>
      </c>
      <c r="M165" s="90"/>
      <c r="N165" s="90"/>
      <c r="O165" s="90"/>
      <c r="P165" s="90">
        <f t="shared" si="19"/>
        <v>35.744</v>
      </c>
      <c r="Q165" s="90">
        <f>SUM($B165:E165)</f>
        <v>0</v>
      </c>
      <c r="R165" s="89"/>
      <c r="AH165" s="90">
        <f t="shared" si="20"/>
        <v>0</v>
      </c>
      <c r="AI165" s="90">
        <f t="shared" si="21"/>
        <v>0</v>
      </c>
      <c r="AJ165" s="89"/>
      <c r="AZ165" s="90">
        <f t="shared" si="22"/>
        <v>0</v>
      </c>
      <c r="BA165" s="90">
        <f t="shared" si="23"/>
        <v>0</v>
      </c>
      <c r="BB165" s="89"/>
      <c r="BC165" s="88" t="s">
        <v>262</v>
      </c>
      <c r="BD165" s="90"/>
      <c r="BE165" s="90"/>
      <c r="BF165" s="90">
        <v>5.6000000000000001E-2</v>
      </c>
      <c r="BG165" s="90"/>
      <c r="BH165" s="90"/>
      <c r="BI165" s="90">
        <v>0.5</v>
      </c>
      <c r="BJ165" s="90">
        <v>1</v>
      </c>
      <c r="BK165" s="90"/>
      <c r="BL165" s="90">
        <v>5.1159999999999997</v>
      </c>
      <c r="BM165" s="90">
        <v>2.556</v>
      </c>
      <c r="BN165" s="90">
        <v>1.25</v>
      </c>
      <c r="BO165" s="90">
        <v>0.75</v>
      </c>
      <c r="BP165" s="90"/>
      <c r="BQ165" s="90">
        <v>2.0960000000000001</v>
      </c>
      <c r="BR165" s="90">
        <f t="shared" si="24"/>
        <v>13.268000000000001</v>
      </c>
      <c r="BS165" s="90">
        <f>ROUND(BR165*IFERROR(VLOOKUP($BC165,'3121% SY'!$A$2:$M$324,13,FALSE),0),3)</f>
        <v>2.9889999999999999</v>
      </c>
      <c r="BT165" s="90">
        <f t="shared" si="25"/>
        <v>5.6000000000000001E-2</v>
      </c>
      <c r="BU165" s="90">
        <f>ROUND(BT165*IFERROR(VLOOKUP($BC165,'3121% SY'!$A$2:$M$324,13,FALSE),0),3)</f>
        <v>1.2999999999999999E-2</v>
      </c>
    </row>
    <row r="166" spans="1:73" x14ac:dyDescent="0.25">
      <c r="A166" s="88" t="s">
        <v>195</v>
      </c>
      <c r="B166" s="90"/>
      <c r="C166" s="90">
        <v>0.83399999999999996</v>
      </c>
      <c r="D166" s="90">
        <v>0.872</v>
      </c>
      <c r="E166" s="90"/>
      <c r="F166" s="90"/>
      <c r="G166" s="90">
        <v>2.617</v>
      </c>
      <c r="H166" s="90"/>
      <c r="I166" s="90">
        <v>0.2</v>
      </c>
      <c r="J166" s="90"/>
      <c r="K166" s="90">
        <v>0.1</v>
      </c>
      <c r="L166" s="90">
        <v>0.39400000000000002</v>
      </c>
      <c r="M166" s="90"/>
      <c r="N166" s="90"/>
      <c r="O166" s="90"/>
      <c r="P166" s="90">
        <f t="shared" si="19"/>
        <v>3.3110000000000004</v>
      </c>
      <c r="Q166" s="90">
        <f>SUM($B166:E166)</f>
        <v>1.706</v>
      </c>
      <c r="R166" s="89"/>
      <c r="AH166" s="90">
        <f t="shared" si="20"/>
        <v>0</v>
      </c>
      <c r="AI166" s="90">
        <f t="shared" si="21"/>
        <v>0</v>
      </c>
      <c r="AJ166" s="89"/>
      <c r="AZ166" s="90">
        <f t="shared" si="22"/>
        <v>0</v>
      </c>
      <c r="BA166" s="90">
        <f t="shared" si="23"/>
        <v>0</v>
      </c>
      <c r="BB166" s="89"/>
      <c r="BC166" s="88" t="s">
        <v>263</v>
      </c>
      <c r="BD166" s="90"/>
      <c r="BE166" s="90"/>
      <c r="BF166" s="90">
        <v>0.68500000000000005</v>
      </c>
      <c r="BG166" s="90"/>
      <c r="BH166" s="90"/>
      <c r="BI166" s="90"/>
      <c r="BJ166" s="90"/>
      <c r="BK166" s="90"/>
      <c r="BL166" s="90">
        <v>1</v>
      </c>
      <c r="BM166" s="90">
        <v>1</v>
      </c>
      <c r="BN166" s="90"/>
      <c r="BO166" s="90"/>
      <c r="BP166" s="90"/>
      <c r="BQ166" s="90"/>
      <c r="BR166" s="90">
        <f t="shared" si="24"/>
        <v>2</v>
      </c>
      <c r="BS166" s="90">
        <f>ROUND(BR166*IFERROR(VLOOKUP($BC166,'3121% SY'!$A$2:$M$324,13,FALSE),0),3)</f>
        <v>0.54500000000000004</v>
      </c>
      <c r="BT166" s="90">
        <f t="shared" si="25"/>
        <v>0.68500000000000005</v>
      </c>
      <c r="BU166" s="90">
        <f>ROUND(BT166*IFERROR(VLOOKUP($BC166,'3121% SY'!$A$2:$M$324,13,FALSE),0),3)</f>
        <v>0.187</v>
      </c>
    </row>
    <row r="167" spans="1:73" x14ac:dyDescent="0.25">
      <c r="A167" s="88" t="s">
        <v>196</v>
      </c>
      <c r="B167" s="90"/>
      <c r="C167" s="90">
        <v>5.0519999999999996</v>
      </c>
      <c r="D167" s="90">
        <v>3.9969999999999999</v>
      </c>
      <c r="E167" s="90">
        <v>0.66700000000000004</v>
      </c>
      <c r="F167" s="90"/>
      <c r="G167" s="90">
        <v>4.8499999999999996</v>
      </c>
      <c r="H167" s="90"/>
      <c r="I167" s="90"/>
      <c r="J167" s="90"/>
      <c r="K167" s="90"/>
      <c r="L167" s="90"/>
      <c r="M167" s="90"/>
      <c r="N167" s="90"/>
      <c r="O167" s="90"/>
      <c r="P167" s="90">
        <f t="shared" si="19"/>
        <v>4.8499999999999996</v>
      </c>
      <c r="Q167" s="90">
        <f>SUM($B167:E167)</f>
        <v>9.7159999999999993</v>
      </c>
      <c r="R167" s="89"/>
      <c r="AH167" s="90">
        <f t="shared" si="20"/>
        <v>0</v>
      </c>
      <c r="AI167" s="90">
        <f t="shared" si="21"/>
        <v>0</v>
      </c>
      <c r="AJ167" s="89"/>
      <c r="AZ167" s="90">
        <f t="shared" si="22"/>
        <v>0</v>
      </c>
      <c r="BA167" s="90">
        <f t="shared" si="23"/>
        <v>0</v>
      </c>
      <c r="BB167" s="89"/>
      <c r="BC167" s="88" t="s">
        <v>265</v>
      </c>
      <c r="BD167" s="90"/>
      <c r="BE167" s="90"/>
      <c r="BF167" s="90"/>
      <c r="BG167" s="90"/>
      <c r="BH167" s="90"/>
      <c r="BI167" s="90"/>
      <c r="BJ167" s="90"/>
      <c r="BK167" s="90"/>
      <c r="BL167" s="90"/>
      <c r="BM167" s="90">
        <v>0.25</v>
      </c>
      <c r="BN167" s="90"/>
      <c r="BO167" s="90"/>
      <c r="BP167" s="90"/>
      <c r="BQ167" s="90"/>
      <c r="BR167" s="90">
        <f t="shared" si="24"/>
        <v>0.25</v>
      </c>
      <c r="BS167" s="90">
        <f>ROUND(BR167*IFERROR(VLOOKUP($BC167,'3121% SY'!$A$2:$M$324,13,FALSE),0),3)</f>
        <v>6.2E-2</v>
      </c>
      <c r="BT167" s="90">
        <f t="shared" si="25"/>
        <v>0</v>
      </c>
      <c r="BU167" s="90">
        <f>ROUND(BT167*IFERROR(VLOOKUP($BC167,'3121% SY'!$A$2:$M$324,13,FALSE),0),3)</f>
        <v>0</v>
      </c>
    </row>
    <row r="168" spans="1:73" x14ac:dyDescent="0.25">
      <c r="A168" s="88" t="s">
        <v>197</v>
      </c>
      <c r="B168" s="90"/>
      <c r="C168" s="90"/>
      <c r="D168" s="90"/>
      <c r="E168" s="90"/>
      <c r="F168" s="90"/>
      <c r="G168" s="90">
        <v>4</v>
      </c>
      <c r="H168" s="90"/>
      <c r="I168" s="90"/>
      <c r="J168" s="90"/>
      <c r="K168" s="90"/>
      <c r="L168" s="90">
        <v>2</v>
      </c>
      <c r="M168" s="90"/>
      <c r="N168" s="90"/>
      <c r="O168" s="90"/>
      <c r="P168" s="90">
        <f t="shared" si="19"/>
        <v>6</v>
      </c>
      <c r="Q168" s="90">
        <f>SUM($B168:E168)</f>
        <v>0</v>
      </c>
      <c r="R168" s="89"/>
      <c r="AH168" s="90">
        <f t="shared" si="20"/>
        <v>0</v>
      </c>
      <c r="AI168" s="90">
        <f t="shared" si="21"/>
        <v>0</v>
      </c>
      <c r="AJ168" s="89"/>
      <c r="AZ168" s="90">
        <f t="shared" si="22"/>
        <v>0</v>
      </c>
      <c r="BA168" s="90">
        <f t="shared" si="23"/>
        <v>0</v>
      </c>
      <c r="BB168" s="89"/>
      <c r="BC168" s="88" t="s">
        <v>268</v>
      </c>
      <c r="BD168" s="90"/>
      <c r="BE168" s="90"/>
      <c r="BF168" s="90"/>
      <c r="BG168" s="90"/>
      <c r="BH168" s="90"/>
      <c r="BI168" s="90"/>
      <c r="BJ168" s="90">
        <v>6.4160000000000004</v>
      </c>
      <c r="BK168" s="90"/>
      <c r="BL168" s="90">
        <v>13.75</v>
      </c>
      <c r="BM168" s="90">
        <v>8.6999999999999993</v>
      </c>
      <c r="BN168" s="90"/>
      <c r="BO168" s="90">
        <v>1.17</v>
      </c>
      <c r="BP168" s="90"/>
      <c r="BQ168" s="90"/>
      <c r="BR168" s="90">
        <f t="shared" si="24"/>
        <v>30.036000000000001</v>
      </c>
      <c r="BS168" s="90">
        <f>ROUND(BR168*IFERROR(VLOOKUP($BC168,'3121% SY'!$A$2:$M$324,13,FALSE),0),3)</f>
        <v>5.6319999999999997</v>
      </c>
      <c r="BT168" s="90">
        <f t="shared" si="25"/>
        <v>0</v>
      </c>
      <c r="BU168" s="90">
        <f>ROUND(BT168*IFERROR(VLOOKUP($BC168,'3121% SY'!$A$2:$M$324,13,FALSE),0),3)</f>
        <v>0</v>
      </c>
    </row>
    <row r="169" spans="1:73" x14ac:dyDescent="0.25">
      <c r="A169" s="88" t="s">
        <v>666</v>
      </c>
      <c r="B169" s="90">
        <v>1</v>
      </c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>
        <f t="shared" si="19"/>
        <v>0</v>
      </c>
      <c r="Q169" s="90">
        <f>SUM($B169:E169)</f>
        <v>1</v>
      </c>
      <c r="R169" s="89"/>
      <c r="AH169" s="90">
        <f t="shared" si="20"/>
        <v>0</v>
      </c>
      <c r="AI169" s="90">
        <f t="shared" si="21"/>
        <v>0</v>
      </c>
      <c r="AJ169" s="89"/>
      <c r="AZ169" s="90">
        <f t="shared" si="22"/>
        <v>0</v>
      </c>
      <c r="BA169" s="90">
        <f t="shared" si="23"/>
        <v>0</v>
      </c>
      <c r="BB169" s="89"/>
      <c r="BC169" s="88" t="s">
        <v>269</v>
      </c>
      <c r="BD169" s="90"/>
      <c r="BE169" s="90"/>
      <c r="BF169" s="90"/>
      <c r="BG169" s="90"/>
      <c r="BH169" s="90"/>
      <c r="BI169" s="90"/>
      <c r="BJ169" s="90">
        <v>1.891</v>
      </c>
      <c r="BK169" s="90"/>
      <c r="BL169" s="90">
        <v>5.0999999999999996</v>
      </c>
      <c r="BM169" s="90">
        <v>2.5</v>
      </c>
      <c r="BN169" s="90"/>
      <c r="BO169" s="90">
        <v>1</v>
      </c>
      <c r="BP169" s="90"/>
      <c r="BQ169" s="90"/>
      <c r="BR169" s="90">
        <f t="shared" si="24"/>
        <v>10.491</v>
      </c>
      <c r="BS169" s="90">
        <f>ROUND(BR169*IFERROR(VLOOKUP($BC169,'3121% SY'!$A$2:$M$324,13,FALSE),0),3)</f>
        <v>2.4529999999999998</v>
      </c>
      <c r="BT169" s="90">
        <f t="shared" si="25"/>
        <v>0</v>
      </c>
      <c r="BU169" s="90">
        <f>ROUND(BT169*IFERROR(VLOOKUP($BC169,'3121% SY'!$A$2:$M$324,13,FALSE),0),3)</f>
        <v>0</v>
      </c>
    </row>
    <row r="170" spans="1:73" x14ac:dyDescent="0.25">
      <c r="A170" s="88" t="s">
        <v>200</v>
      </c>
      <c r="B170" s="90"/>
      <c r="C170" s="90"/>
      <c r="D170" s="90"/>
      <c r="E170" s="90"/>
      <c r="F170" s="90"/>
      <c r="G170" s="90">
        <v>0.54</v>
      </c>
      <c r="H170" s="90"/>
      <c r="I170" s="90"/>
      <c r="J170" s="90"/>
      <c r="K170" s="90"/>
      <c r="L170" s="90"/>
      <c r="M170" s="90"/>
      <c r="N170" s="90"/>
      <c r="O170" s="90"/>
      <c r="P170" s="90">
        <f t="shared" si="19"/>
        <v>0.54</v>
      </c>
      <c r="Q170" s="90">
        <f>SUM($B170:E170)</f>
        <v>0</v>
      </c>
      <c r="R170" s="89"/>
      <c r="AH170" s="90">
        <f t="shared" si="20"/>
        <v>0</v>
      </c>
      <c r="AI170" s="90">
        <f t="shared" si="21"/>
        <v>0</v>
      </c>
      <c r="AJ170" s="89"/>
      <c r="AZ170" s="90">
        <f t="shared" si="22"/>
        <v>0</v>
      </c>
      <c r="BA170" s="90">
        <f t="shared" si="23"/>
        <v>0</v>
      </c>
      <c r="BB170" s="89"/>
      <c r="BC170" s="88" t="s">
        <v>270</v>
      </c>
      <c r="BD170" s="90"/>
      <c r="BE170" s="90"/>
      <c r="BF170" s="90"/>
      <c r="BG170" s="90"/>
      <c r="BH170" s="90"/>
      <c r="BI170" s="90"/>
      <c r="BJ170" s="90">
        <v>0.4</v>
      </c>
      <c r="BK170" s="90"/>
      <c r="BL170" s="90">
        <v>4.0039999999999996</v>
      </c>
      <c r="BM170" s="90">
        <v>1.2</v>
      </c>
      <c r="BN170" s="90"/>
      <c r="BO170" s="90"/>
      <c r="BP170" s="90"/>
      <c r="BQ170" s="90"/>
      <c r="BR170" s="90">
        <f t="shared" si="24"/>
        <v>5.6040000000000001</v>
      </c>
      <c r="BS170" s="90">
        <f>ROUND(BR170*IFERROR(VLOOKUP($BC170,'3121% SY'!$A$2:$M$324,13,FALSE),0),3)</f>
        <v>0.996</v>
      </c>
      <c r="BT170" s="90">
        <f t="shared" si="25"/>
        <v>0</v>
      </c>
      <c r="BU170" s="90">
        <f>ROUND(BT170*IFERROR(VLOOKUP($BC170,'3121% SY'!$A$2:$M$324,13,FALSE),0),3)</f>
        <v>0</v>
      </c>
    </row>
    <row r="171" spans="1:73" x14ac:dyDescent="0.25">
      <c r="A171" s="88" t="s">
        <v>201</v>
      </c>
      <c r="B171" s="90"/>
      <c r="C171" s="90"/>
      <c r="D171" s="90"/>
      <c r="E171" s="90"/>
      <c r="F171" s="90"/>
      <c r="G171" s="90">
        <v>1</v>
      </c>
      <c r="H171" s="90"/>
      <c r="I171" s="90"/>
      <c r="J171" s="90"/>
      <c r="K171" s="90"/>
      <c r="L171" s="90">
        <v>0.35</v>
      </c>
      <c r="M171" s="90"/>
      <c r="N171" s="90"/>
      <c r="O171" s="90"/>
      <c r="P171" s="90">
        <f t="shared" si="19"/>
        <v>1.35</v>
      </c>
      <c r="Q171" s="90">
        <f>SUM($B171:E171)</f>
        <v>0</v>
      </c>
      <c r="R171" s="89"/>
      <c r="AH171" s="90">
        <f t="shared" si="20"/>
        <v>0</v>
      </c>
      <c r="AI171" s="90">
        <f t="shared" si="21"/>
        <v>0</v>
      </c>
      <c r="AJ171" s="89"/>
      <c r="AZ171" s="90">
        <f t="shared" si="22"/>
        <v>0</v>
      </c>
      <c r="BA171" s="90">
        <f t="shared" si="23"/>
        <v>0</v>
      </c>
      <c r="BB171" s="89"/>
      <c r="BC171" s="88" t="s">
        <v>271</v>
      </c>
      <c r="BD171" s="90"/>
      <c r="BE171" s="90"/>
      <c r="BF171" s="90"/>
      <c r="BG171" s="90"/>
      <c r="BH171" s="90"/>
      <c r="BI171" s="90"/>
      <c r="BJ171" s="90">
        <v>3.4</v>
      </c>
      <c r="BK171" s="90"/>
      <c r="BL171" s="90">
        <v>3.25</v>
      </c>
      <c r="BM171" s="90">
        <v>3.33</v>
      </c>
      <c r="BN171" s="90"/>
      <c r="BO171" s="90"/>
      <c r="BP171" s="90"/>
      <c r="BQ171" s="90"/>
      <c r="BR171" s="90">
        <f t="shared" si="24"/>
        <v>9.98</v>
      </c>
      <c r="BS171" s="90">
        <f>ROUND(BR171*IFERROR(VLOOKUP($BC171,'3121% SY'!$A$2:$M$324,13,FALSE),0),3)</f>
        <v>1.875</v>
      </c>
      <c r="BT171" s="90">
        <f t="shared" si="25"/>
        <v>0</v>
      </c>
      <c r="BU171" s="90">
        <f>ROUND(BT171*IFERROR(VLOOKUP($BC171,'3121% SY'!$A$2:$M$324,13,FALSE),0),3)</f>
        <v>0</v>
      </c>
    </row>
    <row r="172" spans="1:73" x14ac:dyDescent="0.25">
      <c r="A172" s="88" t="s">
        <v>202</v>
      </c>
      <c r="B172" s="90"/>
      <c r="C172" s="90"/>
      <c r="D172" s="90"/>
      <c r="E172" s="90"/>
      <c r="F172" s="90"/>
      <c r="G172" s="90">
        <v>0.8</v>
      </c>
      <c r="H172" s="90"/>
      <c r="I172" s="90"/>
      <c r="J172" s="90"/>
      <c r="K172" s="90"/>
      <c r="L172" s="90"/>
      <c r="M172" s="90"/>
      <c r="N172" s="90"/>
      <c r="O172" s="90"/>
      <c r="P172" s="90">
        <f t="shared" si="19"/>
        <v>0.8</v>
      </c>
      <c r="Q172" s="90">
        <f>SUM($B172:E172)</f>
        <v>0</v>
      </c>
      <c r="R172" s="89"/>
      <c r="AH172" s="90">
        <f t="shared" si="20"/>
        <v>0</v>
      </c>
      <c r="AI172" s="90">
        <f t="shared" si="21"/>
        <v>0</v>
      </c>
      <c r="AJ172" s="89"/>
      <c r="AZ172" s="90">
        <f t="shared" si="22"/>
        <v>0</v>
      </c>
      <c r="BA172" s="90">
        <f t="shared" si="23"/>
        <v>0</v>
      </c>
      <c r="BB172" s="89"/>
      <c r="BC172" s="88" t="s">
        <v>272</v>
      </c>
      <c r="BD172" s="90"/>
      <c r="BE172" s="90"/>
      <c r="BF172" s="90"/>
      <c r="BG172" s="90"/>
      <c r="BH172" s="90"/>
      <c r="BI172" s="90"/>
      <c r="BJ172" s="90">
        <v>0.67500000000000004</v>
      </c>
      <c r="BK172" s="90"/>
      <c r="BL172" s="90">
        <v>0.55000000000000004</v>
      </c>
      <c r="BM172" s="90">
        <v>1.1000000000000001</v>
      </c>
      <c r="BN172" s="90"/>
      <c r="BO172" s="90">
        <v>0.6</v>
      </c>
      <c r="BP172" s="90"/>
      <c r="BQ172" s="90"/>
      <c r="BR172" s="90">
        <f t="shared" si="24"/>
        <v>2.9250000000000003</v>
      </c>
      <c r="BS172" s="90">
        <f>ROUND(BR172*IFERROR(VLOOKUP($BC172,'3121% SY'!$A$2:$M$324,13,FALSE),0),3)</f>
        <v>0.56299999999999994</v>
      </c>
      <c r="BT172" s="90">
        <f t="shared" si="25"/>
        <v>0</v>
      </c>
      <c r="BU172" s="90">
        <f>ROUND(BT172*IFERROR(VLOOKUP($BC172,'3121% SY'!$A$2:$M$324,13,FALSE),0),3)</f>
        <v>0</v>
      </c>
    </row>
    <row r="173" spans="1:73" x14ac:dyDescent="0.25">
      <c r="A173" s="88" t="s">
        <v>203</v>
      </c>
      <c r="B173" s="90"/>
      <c r="C173" s="90"/>
      <c r="D173" s="90">
        <v>0.46200000000000002</v>
      </c>
      <c r="E173" s="90"/>
      <c r="F173" s="90"/>
      <c r="G173" s="90">
        <v>4.2030000000000003</v>
      </c>
      <c r="H173" s="90"/>
      <c r="I173" s="90"/>
      <c r="J173" s="90"/>
      <c r="K173" s="90"/>
      <c r="L173" s="90">
        <v>1.609</v>
      </c>
      <c r="M173" s="90"/>
      <c r="N173" s="90"/>
      <c r="O173" s="90"/>
      <c r="P173" s="90">
        <f t="shared" si="19"/>
        <v>5.8120000000000003</v>
      </c>
      <c r="Q173" s="90">
        <f>SUM($B173:E173)</f>
        <v>0.46200000000000002</v>
      </c>
      <c r="R173" s="89"/>
      <c r="AH173" s="90">
        <f t="shared" si="20"/>
        <v>0</v>
      </c>
      <c r="AI173" s="90">
        <f t="shared" si="21"/>
        <v>0</v>
      </c>
      <c r="AJ173" s="89"/>
      <c r="AZ173" s="90">
        <f t="shared" si="22"/>
        <v>0</v>
      </c>
      <c r="BA173" s="90">
        <f t="shared" si="23"/>
        <v>0</v>
      </c>
      <c r="BB173" s="89"/>
      <c r="BC173" s="88" t="s">
        <v>273</v>
      </c>
      <c r="BD173" s="90"/>
      <c r="BE173" s="90"/>
      <c r="BF173" s="90"/>
      <c r="BG173" s="90"/>
      <c r="BH173" s="90"/>
      <c r="BI173" s="90"/>
      <c r="BJ173" s="90">
        <v>1</v>
      </c>
      <c r="BK173" s="90"/>
      <c r="BL173" s="90">
        <v>3.6</v>
      </c>
      <c r="BM173" s="90">
        <v>0.28799999999999998</v>
      </c>
      <c r="BN173" s="90"/>
      <c r="BO173" s="90"/>
      <c r="BP173" s="90"/>
      <c r="BQ173" s="90"/>
      <c r="BR173" s="90">
        <f t="shared" si="24"/>
        <v>4.8879999999999999</v>
      </c>
      <c r="BS173" s="90">
        <f>ROUND(BR173*IFERROR(VLOOKUP($BC173,'3121% SY'!$A$2:$M$324,13,FALSE),0),3)</f>
        <v>1.246</v>
      </c>
      <c r="BT173" s="90">
        <f t="shared" si="25"/>
        <v>0</v>
      </c>
      <c r="BU173" s="90">
        <f>ROUND(BT173*IFERROR(VLOOKUP($BC173,'3121% SY'!$A$2:$M$324,13,FALSE),0),3)</f>
        <v>0</v>
      </c>
    </row>
    <row r="174" spans="1:73" x14ac:dyDescent="0.25">
      <c r="A174" s="88" t="s">
        <v>204</v>
      </c>
      <c r="B174" s="90"/>
      <c r="C174" s="90">
        <v>7.8840000000000003</v>
      </c>
      <c r="D174" s="90">
        <v>4.4269999999999996</v>
      </c>
      <c r="E174" s="90"/>
      <c r="F174" s="90"/>
      <c r="G174" s="90">
        <v>5.0780000000000003</v>
      </c>
      <c r="H174" s="90"/>
      <c r="I174" s="90"/>
      <c r="J174" s="90"/>
      <c r="K174" s="90"/>
      <c r="L174" s="90">
        <v>0.54300000000000004</v>
      </c>
      <c r="M174" s="90"/>
      <c r="N174" s="90">
        <v>0.73599999999999999</v>
      </c>
      <c r="O174" s="90"/>
      <c r="P174" s="90">
        <f t="shared" si="19"/>
        <v>6.3570000000000002</v>
      </c>
      <c r="Q174" s="90">
        <f>SUM($B174:E174)</f>
        <v>12.311</v>
      </c>
      <c r="R174" s="89"/>
      <c r="AH174" s="90">
        <f t="shared" si="20"/>
        <v>0</v>
      </c>
      <c r="AI174" s="90">
        <f t="shared" si="21"/>
        <v>0</v>
      </c>
      <c r="AJ174" s="89"/>
      <c r="AZ174" s="90">
        <f t="shared" si="22"/>
        <v>0</v>
      </c>
      <c r="BA174" s="90">
        <f t="shared" si="23"/>
        <v>0</v>
      </c>
      <c r="BB174" s="89"/>
      <c r="BC174" s="88" t="s">
        <v>274</v>
      </c>
      <c r="BD174" s="90"/>
      <c r="BE174" s="90"/>
      <c r="BF174" s="90"/>
      <c r="BG174" s="90"/>
      <c r="BH174" s="90"/>
      <c r="BI174" s="90"/>
      <c r="BJ174" s="90"/>
      <c r="BK174" s="90"/>
      <c r="BL174" s="90">
        <v>2.3959999999999999</v>
      </c>
      <c r="BM174" s="90">
        <v>0.73</v>
      </c>
      <c r="BN174" s="90"/>
      <c r="BO174" s="90">
        <v>0.12</v>
      </c>
      <c r="BP174" s="90"/>
      <c r="BQ174" s="90"/>
      <c r="BR174" s="90">
        <f t="shared" si="24"/>
        <v>3.246</v>
      </c>
      <c r="BS174" s="90">
        <f>ROUND(BR174*IFERROR(VLOOKUP($BC174,'3121% SY'!$A$2:$M$324,13,FALSE),0),3)</f>
        <v>0.68</v>
      </c>
      <c r="BT174" s="90">
        <f t="shared" si="25"/>
        <v>0</v>
      </c>
      <c r="BU174" s="90">
        <f>ROUND(BT174*IFERROR(VLOOKUP($BC174,'3121% SY'!$A$2:$M$324,13,FALSE),0),3)</f>
        <v>0</v>
      </c>
    </row>
    <row r="175" spans="1:73" x14ac:dyDescent="0.25">
      <c r="A175" s="88" t="s">
        <v>205</v>
      </c>
      <c r="B175" s="90"/>
      <c r="C175" s="90"/>
      <c r="D175" s="90"/>
      <c r="E175" s="90"/>
      <c r="F175" s="90"/>
      <c r="G175" s="90">
        <v>2.4009999999999998</v>
      </c>
      <c r="H175" s="90"/>
      <c r="I175" s="90"/>
      <c r="J175" s="90"/>
      <c r="K175" s="90"/>
      <c r="L175" s="90">
        <v>0.53900000000000003</v>
      </c>
      <c r="M175" s="90"/>
      <c r="N175" s="90"/>
      <c r="O175" s="90"/>
      <c r="P175" s="90">
        <f t="shared" si="19"/>
        <v>2.94</v>
      </c>
      <c r="Q175" s="90">
        <f>SUM($B175:E175)</f>
        <v>0</v>
      </c>
      <c r="R175" s="89"/>
      <c r="AH175" s="90">
        <f t="shared" si="20"/>
        <v>0</v>
      </c>
      <c r="AI175" s="90">
        <f t="shared" si="21"/>
        <v>0</v>
      </c>
      <c r="AJ175" s="89"/>
      <c r="AZ175" s="90">
        <f t="shared" si="22"/>
        <v>0</v>
      </c>
      <c r="BA175" s="90">
        <f t="shared" si="23"/>
        <v>0</v>
      </c>
      <c r="BB175" s="89"/>
      <c r="BC175" s="88" t="s">
        <v>279</v>
      </c>
      <c r="BD175" s="90"/>
      <c r="BE175" s="90"/>
      <c r="BF175" s="90"/>
      <c r="BG175" s="90"/>
      <c r="BH175" s="90"/>
      <c r="BI175" s="90"/>
      <c r="BJ175" s="90">
        <v>1</v>
      </c>
      <c r="BK175" s="90"/>
      <c r="BL175" s="90">
        <v>2.8</v>
      </c>
      <c r="BM175" s="90">
        <v>1.75</v>
      </c>
      <c r="BN175" s="90"/>
      <c r="BO175" s="90"/>
      <c r="BP175" s="90">
        <v>0.153</v>
      </c>
      <c r="BQ175" s="90"/>
      <c r="BR175" s="90">
        <f t="shared" si="24"/>
        <v>5.7029999999999994</v>
      </c>
      <c r="BS175" s="90">
        <f>ROUND(BR175*IFERROR(VLOOKUP($BC175,'3121% SY'!$A$2:$M$324,13,FALSE),0),3)</f>
        <v>1.1919999999999999</v>
      </c>
      <c r="BT175" s="90">
        <f t="shared" si="25"/>
        <v>0</v>
      </c>
      <c r="BU175" s="90">
        <f>ROUND(BT175*IFERROR(VLOOKUP($BC175,'3121% SY'!$A$2:$M$324,13,FALSE),0),3)</f>
        <v>0</v>
      </c>
    </row>
    <row r="176" spans="1:73" x14ac:dyDescent="0.25">
      <c r="A176" s="88" t="s">
        <v>206</v>
      </c>
      <c r="B176" s="90"/>
      <c r="C176" s="90">
        <v>0.63900000000000001</v>
      </c>
      <c r="D176" s="90"/>
      <c r="E176" s="90"/>
      <c r="F176" s="90"/>
      <c r="G176" s="90"/>
      <c r="H176" s="90"/>
      <c r="I176" s="90"/>
      <c r="J176" s="90"/>
      <c r="K176" s="90"/>
      <c r="L176" s="90">
        <v>0.4</v>
      </c>
      <c r="M176" s="90"/>
      <c r="N176" s="90"/>
      <c r="O176" s="90"/>
      <c r="P176" s="90">
        <f t="shared" si="19"/>
        <v>0.4</v>
      </c>
      <c r="Q176" s="90">
        <f>SUM($B176:E176)</f>
        <v>0.63900000000000001</v>
      </c>
      <c r="R176" s="89"/>
      <c r="AH176" s="90">
        <f t="shared" si="20"/>
        <v>0</v>
      </c>
      <c r="AI176" s="90">
        <f t="shared" si="21"/>
        <v>0</v>
      </c>
      <c r="AJ176" s="89"/>
      <c r="AZ176" s="90">
        <f t="shared" si="22"/>
        <v>0</v>
      </c>
      <c r="BA176" s="90">
        <f t="shared" si="23"/>
        <v>0</v>
      </c>
      <c r="BB176" s="89"/>
      <c r="BC176" s="88" t="s">
        <v>280</v>
      </c>
      <c r="BD176" s="90"/>
      <c r="BE176" s="90"/>
      <c r="BF176" s="90"/>
      <c r="BG176" s="90"/>
      <c r="BH176" s="90"/>
      <c r="BI176" s="90"/>
      <c r="BJ176" s="90"/>
      <c r="BK176" s="90"/>
      <c r="BL176" s="90">
        <v>0.66500000000000004</v>
      </c>
      <c r="BM176" s="90"/>
      <c r="BN176" s="90"/>
      <c r="BO176" s="90"/>
      <c r="BP176" s="90"/>
      <c r="BQ176" s="90"/>
      <c r="BR176" s="90">
        <f t="shared" si="24"/>
        <v>0.66500000000000004</v>
      </c>
      <c r="BS176" s="90">
        <f>ROUND(BR176*IFERROR(VLOOKUP($BC176,'3121% SY'!$A$2:$M$324,13,FALSE),0),3)</f>
        <v>0.122</v>
      </c>
      <c r="BT176" s="90">
        <f t="shared" si="25"/>
        <v>0</v>
      </c>
      <c r="BU176" s="90">
        <f>ROUND(BT176*IFERROR(VLOOKUP($BC176,'3121% SY'!$A$2:$M$324,13,FALSE),0),3)</f>
        <v>0</v>
      </c>
    </row>
    <row r="177" spans="1:73" x14ac:dyDescent="0.25">
      <c r="A177" s="88" t="s">
        <v>207</v>
      </c>
      <c r="B177" s="90"/>
      <c r="C177" s="90"/>
      <c r="D177" s="90"/>
      <c r="E177" s="90"/>
      <c r="F177" s="90"/>
      <c r="G177" s="90">
        <v>0.8</v>
      </c>
      <c r="H177" s="90"/>
      <c r="I177" s="90"/>
      <c r="J177" s="90"/>
      <c r="K177" s="90"/>
      <c r="L177" s="90"/>
      <c r="M177" s="90"/>
      <c r="N177" s="90"/>
      <c r="O177" s="90"/>
      <c r="P177" s="90">
        <f t="shared" si="19"/>
        <v>0.8</v>
      </c>
      <c r="Q177" s="90">
        <f>SUM($B177:E177)</f>
        <v>0</v>
      </c>
      <c r="R177" s="89"/>
      <c r="AH177" s="90">
        <f t="shared" si="20"/>
        <v>0</v>
      </c>
      <c r="AI177" s="90">
        <f t="shared" si="21"/>
        <v>0</v>
      </c>
      <c r="AJ177" s="89"/>
      <c r="AZ177" s="90">
        <f t="shared" si="22"/>
        <v>0</v>
      </c>
      <c r="BA177" s="90">
        <f t="shared" si="23"/>
        <v>0</v>
      </c>
      <c r="BB177" s="89"/>
      <c r="BC177" s="88" t="s">
        <v>289</v>
      </c>
      <c r="BD177" s="90"/>
      <c r="BE177" s="90"/>
      <c r="BF177" s="90"/>
      <c r="BG177" s="90"/>
      <c r="BH177" s="90"/>
      <c r="BI177" s="90"/>
      <c r="BJ177" s="90"/>
      <c r="BK177" s="90"/>
      <c r="BL177" s="90"/>
      <c r="BM177" s="90">
        <v>0.5</v>
      </c>
      <c r="BN177" s="90"/>
      <c r="BO177" s="90"/>
      <c r="BP177" s="90"/>
      <c r="BQ177" s="90"/>
      <c r="BR177" s="90">
        <f t="shared" si="24"/>
        <v>0.5</v>
      </c>
      <c r="BS177" s="90">
        <f>ROUND(BR177*IFERROR(VLOOKUP($BC177,'3121% SY'!$A$2:$M$324,13,FALSE),0),3)</f>
        <v>9.5000000000000001E-2</v>
      </c>
      <c r="BT177" s="90">
        <f t="shared" si="25"/>
        <v>0</v>
      </c>
      <c r="BU177" s="90">
        <f>ROUND(BT177*IFERROR(VLOOKUP($BC177,'3121% SY'!$A$2:$M$324,13,FALSE),0),3)</f>
        <v>0</v>
      </c>
    </row>
    <row r="178" spans="1:73" x14ac:dyDescent="0.25">
      <c r="A178" s="88" t="s">
        <v>208</v>
      </c>
      <c r="B178" s="90"/>
      <c r="C178" s="90">
        <v>7.8520000000000003</v>
      </c>
      <c r="D178" s="90">
        <v>1.8720000000000001</v>
      </c>
      <c r="E178" s="90"/>
      <c r="F178" s="90"/>
      <c r="G178" s="90">
        <v>6</v>
      </c>
      <c r="H178" s="90"/>
      <c r="I178" s="90">
        <v>2.25</v>
      </c>
      <c r="J178" s="90"/>
      <c r="K178" s="90"/>
      <c r="L178" s="90">
        <v>2.347</v>
      </c>
      <c r="M178" s="90"/>
      <c r="N178" s="90"/>
      <c r="O178" s="90"/>
      <c r="P178" s="90">
        <f t="shared" si="19"/>
        <v>10.597</v>
      </c>
      <c r="Q178" s="90">
        <f>SUM($B178:E178)</f>
        <v>9.7240000000000002</v>
      </c>
      <c r="R178" s="89"/>
      <c r="AH178" s="90">
        <f t="shared" si="20"/>
        <v>0</v>
      </c>
      <c r="AI178" s="90">
        <f t="shared" si="21"/>
        <v>0</v>
      </c>
      <c r="AJ178" s="89"/>
      <c r="AZ178" s="90">
        <f t="shared" si="22"/>
        <v>0</v>
      </c>
      <c r="BA178" s="90">
        <f t="shared" si="23"/>
        <v>0</v>
      </c>
      <c r="BB178" s="89"/>
      <c r="BC178" s="88" t="s">
        <v>290</v>
      </c>
      <c r="BD178" s="90"/>
      <c r="BE178" s="90">
        <v>6.9000000000000006E-2</v>
      </c>
      <c r="BF178" s="90">
        <v>0.59399999999999997</v>
      </c>
      <c r="BG178" s="90"/>
      <c r="BH178" s="90"/>
      <c r="BI178" s="90"/>
      <c r="BJ178" s="90"/>
      <c r="BK178" s="90"/>
      <c r="BL178" s="90">
        <v>0.33400000000000002</v>
      </c>
      <c r="BM178" s="90">
        <v>0.33400000000000002</v>
      </c>
      <c r="BN178" s="90"/>
      <c r="BO178" s="90"/>
      <c r="BP178" s="90"/>
      <c r="BQ178" s="90"/>
      <c r="BR178" s="90">
        <f t="shared" si="24"/>
        <v>0.66800000000000004</v>
      </c>
      <c r="BS178" s="90">
        <f>ROUND(BR178*IFERROR(VLOOKUP($BC178,'3121% SY'!$A$2:$M$324,13,FALSE),0),3)</f>
        <v>0.106</v>
      </c>
      <c r="BT178" s="90">
        <f t="shared" si="25"/>
        <v>0.66300000000000003</v>
      </c>
      <c r="BU178" s="90">
        <f>ROUND(BT178*IFERROR(VLOOKUP($BC178,'3121% SY'!$A$2:$M$324,13,FALSE),0),3)</f>
        <v>0.105</v>
      </c>
    </row>
    <row r="179" spans="1:73" x14ac:dyDescent="0.25">
      <c r="A179" s="88" t="s">
        <v>212</v>
      </c>
      <c r="B179" s="90"/>
      <c r="C179" s="90"/>
      <c r="D179" s="90"/>
      <c r="E179" s="90"/>
      <c r="F179" s="90"/>
      <c r="G179" s="90">
        <v>0.8</v>
      </c>
      <c r="H179" s="90"/>
      <c r="I179" s="90"/>
      <c r="J179" s="90"/>
      <c r="K179" s="90"/>
      <c r="L179" s="90"/>
      <c r="M179" s="90"/>
      <c r="N179" s="90"/>
      <c r="O179" s="90"/>
      <c r="P179" s="90">
        <f t="shared" si="19"/>
        <v>0.8</v>
      </c>
      <c r="Q179" s="90">
        <f>SUM($B179:E179)</f>
        <v>0</v>
      </c>
      <c r="R179" s="89"/>
      <c r="AH179" s="90">
        <f t="shared" si="20"/>
        <v>0</v>
      </c>
      <c r="AI179" s="90">
        <f t="shared" si="21"/>
        <v>0</v>
      </c>
      <c r="AJ179" s="89"/>
      <c r="AZ179" s="90">
        <f t="shared" si="22"/>
        <v>0</v>
      </c>
      <c r="BA179" s="90">
        <f t="shared" si="23"/>
        <v>0</v>
      </c>
      <c r="BB179" s="89"/>
      <c r="BC179" s="88" t="s">
        <v>291</v>
      </c>
      <c r="BD179" s="90"/>
      <c r="BE179" s="90"/>
      <c r="BF179" s="90"/>
      <c r="BG179" s="90"/>
      <c r="BH179" s="90"/>
      <c r="BI179" s="90"/>
      <c r="BJ179" s="90">
        <v>1.871</v>
      </c>
      <c r="BK179" s="90"/>
      <c r="BL179" s="90">
        <v>5.8</v>
      </c>
      <c r="BM179" s="90">
        <v>5.4</v>
      </c>
      <c r="BN179" s="90"/>
      <c r="BO179" s="90"/>
      <c r="BP179" s="90"/>
      <c r="BQ179" s="90"/>
      <c r="BR179" s="90">
        <f t="shared" si="24"/>
        <v>13.071</v>
      </c>
      <c r="BS179" s="90">
        <f>ROUND(BR179*IFERROR(VLOOKUP($BC179,'3121% SY'!$A$2:$M$324,13,FALSE),0),3)</f>
        <v>4.1849999999999996</v>
      </c>
      <c r="BT179" s="90">
        <f t="shared" si="25"/>
        <v>0</v>
      </c>
      <c r="BU179" s="90">
        <f>ROUND(BT179*IFERROR(VLOOKUP($BC179,'3121% SY'!$A$2:$M$324,13,FALSE),0),3)</f>
        <v>0</v>
      </c>
    </row>
    <row r="180" spans="1:73" x14ac:dyDescent="0.25">
      <c r="A180" s="88" t="s">
        <v>213</v>
      </c>
      <c r="B180" s="90"/>
      <c r="C180" s="90"/>
      <c r="D180" s="90"/>
      <c r="E180" s="90"/>
      <c r="F180" s="90"/>
      <c r="G180" s="90">
        <v>23.786000000000001</v>
      </c>
      <c r="H180" s="90"/>
      <c r="I180" s="90">
        <v>2.0009999999999999</v>
      </c>
      <c r="J180" s="90">
        <v>0.66600000000000004</v>
      </c>
      <c r="K180" s="90"/>
      <c r="L180" s="90"/>
      <c r="M180" s="90"/>
      <c r="N180" s="90"/>
      <c r="O180" s="90"/>
      <c r="P180" s="90">
        <f t="shared" si="19"/>
        <v>26.453000000000003</v>
      </c>
      <c r="Q180" s="90">
        <f>SUM($B180:E180)</f>
        <v>0</v>
      </c>
      <c r="R180" s="89"/>
      <c r="AH180" s="90">
        <f t="shared" si="20"/>
        <v>0</v>
      </c>
      <c r="AI180" s="90">
        <f t="shared" si="21"/>
        <v>0</v>
      </c>
      <c r="AJ180" s="89"/>
      <c r="AZ180" s="90">
        <f t="shared" si="22"/>
        <v>0</v>
      </c>
      <c r="BA180" s="90">
        <f t="shared" si="23"/>
        <v>0</v>
      </c>
      <c r="BB180" s="89"/>
      <c r="BC180" s="88" t="s">
        <v>292</v>
      </c>
      <c r="BD180" s="90"/>
      <c r="BE180" s="90"/>
      <c r="BF180" s="90"/>
      <c r="BG180" s="90"/>
      <c r="BH180" s="90"/>
      <c r="BI180" s="90"/>
      <c r="BJ180" s="90">
        <v>0.63</v>
      </c>
      <c r="BK180" s="90"/>
      <c r="BL180" s="90"/>
      <c r="BM180" s="90">
        <v>3.77</v>
      </c>
      <c r="BN180" s="90"/>
      <c r="BO180" s="90"/>
      <c r="BP180" s="90"/>
      <c r="BQ180" s="90">
        <v>4.6399999999999997</v>
      </c>
      <c r="BR180" s="90">
        <f t="shared" si="24"/>
        <v>9.0399999999999991</v>
      </c>
      <c r="BS180" s="90">
        <f>ROUND(BR180*IFERROR(VLOOKUP($BC180,'3121% SY'!$A$2:$M$324,13,FALSE),0),3)</f>
        <v>1.98</v>
      </c>
      <c r="BT180" s="90">
        <f t="shared" si="25"/>
        <v>0</v>
      </c>
      <c r="BU180" s="90">
        <f>ROUND(BT180*IFERROR(VLOOKUP($BC180,'3121% SY'!$A$2:$M$324,13,FALSE),0),3)</f>
        <v>0</v>
      </c>
    </row>
    <row r="181" spans="1:73" x14ac:dyDescent="0.25">
      <c r="A181" s="88" t="s">
        <v>214</v>
      </c>
      <c r="B181" s="90"/>
      <c r="C181" s="90"/>
      <c r="D181" s="90"/>
      <c r="E181" s="90"/>
      <c r="F181" s="90"/>
      <c r="G181" s="90">
        <v>8</v>
      </c>
      <c r="H181" s="90"/>
      <c r="I181" s="90"/>
      <c r="J181" s="90"/>
      <c r="K181" s="90"/>
      <c r="L181" s="90"/>
      <c r="M181" s="90"/>
      <c r="N181" s="90"/>
      <c r="O181" s="90"/>
      <c r="P181" s="90">
        <f t="shared" si="19"/>
        <v>8</v>
      </c>
      <c r="Q181" s="90">
        <f>SUM($B181:E181)</f>
        <v>0</v>
      </c>
      <c r="R181" s="89"/>
      <c r="AH181" s="90">
        <f t="shared" si="20"/>
        <v>0</v>
      </c>
      <c r="AI181" s="90">
        <f t="shared" si="21"/>
        <v>0</v>
      </c>
      <c r="AJ181" s="89"/>
      <c r="AZ181" s="90">
        <f t="shared" si="22"/>
        <v>0</v>
      </c>
      <c r="BA181" s="90">
        <f t="shared" si="23"/>
        <v>0</v>
      </c>
      <c r="BB181" s="89"/>
      <c r="BC181" s="88" t="s">
        <v>293</v>
      </c>
      <c r="BD181" s="90"/>
      <c r="BE181" s="90"/>
      <c r="BF181" s="90"/>
      <c r="BG181" s="90"/>
      <c r="BH181" s="90"/>
      <c r="BI181" s="90"/>
      <c r="BJ181" s="90">
        <v>0.93200000000000005</v>
      </c>
      <c r="BK181" s="90"/>
      <c r="BL181" s="90">
        <v>1.833</v>
      </c>
      <c r="BM181" s="90">
        <v>1.871</v>
      </c>
      <c r="BN181" s="90">
        <v>0.14000000000000001</v>
      </c>
      <c r="BO181" s="90"/>
      <c r="BP181" s="90"/>
      <c r="BQ181" s="90"/>
      <c r="BR181" s="90">
        <f t="shared" si="24"/>
        <v>4.7759999999999998</v>
      </c>
      <c r="BS181" s="90">
        <f>ROUND(BR181*IFERROR(VLOOKUP($BC181,'3121% SY'!$A$2:$M$324,13,FALSE),0),3)</f>
        <v>0.95299999999999996</v>
      </c>
      <c r="BT181" s="90">
        <f t="shared" si="25"/>
        <v>0</v>
      </c>
      <c r="BU181" s="90">
        <f>ROUND(BT181*IFERROR(VLOOKUP($BC181,'3121% SY'!$A$2:$M$324,13,FALSE),0),3)</f>
        <v>0</v>
      </c>
    </row>
    <row r="182" spans="1:73" x14ac:dyDescent="0.25">
      <c r="A182" s="88" t="s">
        <v>215</v>
      </c>
      <c r="B182" s="90"/>
      <c r="C182" s="90"/>
      <c r="D182" s="90"/>
      <c r="E182" s="90"/>
      <c r="F182" s="90"/>
      <c r="G182" s="90">
        <v>6.7759999999999998</v>
      </c>
      <c r="H182" s="90"/>
      <c r="I182" s="90">
        <v>7</v>
      </c>
      <c r="J182" s="90"/>
      <c r="K182" s="90">
        <v>3</v>
      </c>
      <c r="L182" s="90">
        <v>8.9589999999999996</v>
      </c>
      <c r="M182" s="90"/>
      <c r="N182" s="90"/>
      <c r="O182" s="90"/>
      <c r="P182" s="90">
        <f t="shared" si="19"/>
        <v>25.734999999999999</v>
      </c>
      <c r="Q182" s="90">
        <f>SUM($B182:E182)</f>
        <v>0</v>
      </c>
      <c r="R182" s="89"/>
      <c r="AH182" s="90">
        <f t="shared" si="20"/>
        <v>0</v>
      </c>
      <c r="AI182" s="90">
        <f t="shared" si="21"/>
        <v>0</v>
      </c>
      <c r="AJ182" s="89"/>
      <c r="AZ182" s="90">
        <f t="shared" si="22"/>
        <v>0</v>
      </c>
      <c r="BA182" s="90">
        <f t="shared" si="23"/>
        <v>0</v>
      </c>
      <c r="BB182" s="89"/>
      <c r="BC182" s="88" t="s">
        <v>295</v>
      </c>
      <c r="BD182" s="90"/>
      <c r="BE182" s="90"/>
      <c r="BF182" s="90">
        <v>2.5179999999999998</v>
      </c>
      <c r="BG182" s="90"/>
      <c r="BH182" s="90"/>
      <c r="BI182" s="90"/>
      <c r="BJ182" s="90"/>
      <c r="BK182" s="90"/>
      <c r="BL182" s="90"/>
      <c r="BM182" s="90">
        <v>2</v>
      </c>
      <c r="BN182" s="90"/>
      <c r="BO182" s="90"/>
      <c r="BP182" s="90"/>
      <c r="BQ182" s="90">
        <v>3.448</v>
      </c>
      <c r="BR182" s="90">
        <f t="shared" si="24"/>
        <v>5.4480000000000004</v>
      </c>
      <c r="BS182" s="90">
        <f>ROUND(BR182*IFERROR(VLOOKUP($BC182,'3121% SY'!$A$2:$M$324,13,FALSE),0),3)</f>
        <v>1.673</v>
      </c>
      <c r="BT182" s="90">
        <f t="shared" si="25"/>
        <v>2.5179999999999998</v>
      </c>
      <c r="BU182" s="90">
        <f>ROUND(BT182*IFERROR(VLOOKUP($BC182,'3121% SY'!$A$2:$M$324,13,FALSE),0),3)</f>
        <v>0.77300000000000002</v>
      </c>
    </row>
    <row r="183" spans="1:73" x14ac:dyDescent="0.25">
      <c r="A183" s="88" t="s">
        <v>216</v>
      </c>
      <c r="B183" s="90"/>
      <c r="C183" s="90"/>
      <c r="D183" s="90"/>
      <c r="E183" s="90"/>
      <c r="F183" s="90"/>
      <c r="G183" s="90">
        <v>25.640999999999998</v>
      </c>
      <c r="H183" s="90"/>
      <c r="I183" s="90"/>
      <c r="J183" s="90">
        <v>0.79200000000000004</v>
      </c>
      <c r="K183" s="90"/>
      <c r="L183" s="90">
        <v>11.59</v>
      </c>
      <c r="M183" s="90"/>
      <c r="N183" s="90">
        <v>4</v>
      </c>
      <c r="O183" s="90"/>
      <c r="P183" s="90">
        <f t="shared" si="19"/>
        <v>42.022999999999996</v>
      </c>
      <c r="Q183" s="90">
        <f>SUM($B183:E183)</f>
        <v>0</v>
      </c>
      <c r="R183" s="89"/>
      <c r="AH183" s="90">
        <f t="shared" si="20"/>
        <v>0</v>
      </c>
      <c r="AI183" s="90">
        <f t="shared" si="21"/>
        <v>0</v>
      </c>
      <c r="AJ183" s="89"/>
      <c r="AZ183" s="90">
        <f t="shared" si="22"/>
        <v>0</v>
      </c>
      <c r="BA183" s="90">
        <f t="shared" si="23"/>
        <v>0</v>
      </c>
      <c r="BB183" s="89"/>
      <c r="BC183" s="88" t="s">
        <v>296</v>
      </c>
      <c r="BD183" s="90"/>
      <c r="BE183" s="90"/>
      <c r="BF183" s="90"/>
      <c r="BG183" s="90"/>
      <c r="BH183" s="90"/>
      <c r="BI183" s="90"/>
      <c r="BJ183" s="90"/>
      <c r="BK183" s="90"/>
      <c r="BL183" s="90">
        <v>3</v>
      </c>
      <c r="BM183" s="90">
        <v>4</v>
      </c>
      <c r="BN183" s="90"/>
      <c r="BO183" s="90"/>
      <c r="BP183" s="90"/>
      <c r="BQ183" s="90"/>
      <c r="BR183" s="90">
        <f t="shared" si="24"/>
        <v>7</v>
      </c>
      <c r="BS183" s="90">
        <f>ROUND(BR183*IFERROR(VLOOKUP($BC183,'3121% SY'!$A$2:$M$324,13,FALSE),0),3)</f>
        <v>2.0049999999999999</v>
      </c>
      <c r="BT183" s="90">
        <f t="shared" si="25"/>
        <v>0</v>
      </c>
      <c r="BU183" s="90">
        <f>ROUND(BT183*IFERROR(VLOOKUP($BC183,'3121% SY'!$A$2:$M$324,13,FALSE),0),3)</f>
        <v>0</v>
      </c>
    </row>
    <row r="184" spans="1:73" x14ac:dyDescent="0.25">
      <c r="A184" s="88" t="s">
        <v>217</v>
      </c>
      <c r="B184" s="90"/>
      <c r="C184" s="90"/>
      <c r="D184" s="90">
        <v>2.7839999999999998</v>
      </c>
      <c r="E184" s="90"/>
      <c r="F184" s="90"/>
      <c r="G184" s="90">
        <v>4</v>
      </c>
      <c r="H184" s="90"/>
      <c r="I184" s="90"/>
      <c r="J184" s="90"/>
      <c r="K184" s="90"/>
      <c r="L184" s="90">
        <v>1</v>
      </c>
      <c r="M184" s="90"/>
      <c r="N184" s="90"/>
      <c r="O184" s="90"/>
      <c r="P184" s="90">
        <f t="shared" si="19"/>
        <v>5</v>
      </c>
      <c r="Q184" s="90">
        <f>SUM($B184:E184)</f>
        <v>2.7839999999999998</v>
      </c>
      <c r="R184" s="89"/>
      <c r="AH184" s="90">
        <f t="shared" si="20"/>
        <v>0</v>
      </c>
      <c r="AI184" s="90">
        <f t="shared" si="21"/>
        <v>0</v>
      </c>
      <c r="AJ184" s="89"/>
      <c r="AZ184" s="90">
        <f t="shared" si="22"/>
        <v>0</v>
      </c>
      <c r="BA184" s="90">
        <f t="shared" si="23"/>
        <v>0</v>
      </c>
      <c r="BB184" s="89"/>
      <c r="BC184" s="88" t="s">
        <v>297</v>
      </c>
      <c r="BD184" s="90"/>
      <c r="BE184" s="90"/>
      <c r="BF184" s="90"/>
      <c r="BG184" s="90"/>
      <c r="BH184" s="90"/>
      <c r="BI184" s="90"/>
      <c r="BJ184" s="90"/>
      <c r="BK184" s="90"/>
      <c r="BL184" s="90">
        <v>1.22</v>
      </c>
      <c r="BM184" s="90">
        <v>2.75</v>
      </c>
      <c r="BN184" s="90"/>
      <c r="BO184" s="90">
        <v>0.5</v>
      </c>
      <c r="BP184" s="90">
        <v>1</v>
      </c>
      <c r="BQ184" s="90"/>
      <c r="BR184" s="90">
        <f t="shared" si="24"/>
        <v>5.47</v>
      </c>
      <c r="BS184" s="90">
        <f>ROUND(BR184*IFERROR(VLOOKUP($BC184,'3121% SY'!$A$2:$M$324,13,FALSE),0),3)</f>
        <v>0.85499999999999998</v>
      </c>
      <c r="BT184" s="90">
        <f t="shared" si="25"/>
        <v>0</v>
      </c>
      <c r="BU184" s="90">
        <f>ROUND(BT184*IFERROR(VLOOKUP($BC184,'3121% SY'!$A$2:$M$324,13,FALSE),0),3)</f>
        <v>0</v>
      </c>
    </row>
    <row r="185" spans="1:73" x14ac:dyDescent="0.25">
      <c r="A185" s="88" t="s">
        <v>218</v>
      </c>
      <c r="B185" s="90"/>
      <c r="C185" s="90"/>
      <c r="D185" s="90"/>
      <c r="E185" s="90"/>
      <c r="F185" s="90"/>
      <c r="G185" s="90">
        <v>10.180999999999999</v>
      </c>
      <c r="H185" s="90"/>
      <c r="I185" s="90"/>
      <c r="J185" s="90">
        <v>0.7</v>
      </c>
      <c r="K185" s="90"/>
      <c r="L185" s="90">
        <v>0.5</v>
      </c>
      <c r="M185" s="90"/>
      <c r="N185" s="90"/>
      <c r="O185" s="90"/>
      <c r="P185" s="90">
        <f t="shared" si="19"/>
        <v>11.380999999999998</v>
      </c>
      <c r="Q185" s="90">
        <f>SUM($B185:E185)</f>
        <v>0</v>
      </c>
      <c r="R185" s="89"/>
      <c r="AH185" s="90">
        <f t="shared" si="20"/>
        <v>0</v>
      </c>
      <c r="AI185" s="90">
        <f t="shared" si="21"/>
        <v>0</v>
      </c>
      <c r="AJ185" s="89"/>
      <c r="AZ185" s="90">
        <f t="shared" si="22"/>
        <v>0</v>
      </c>
      <c r="BA185" s="90">
        <f t="shared" si="23"/>
        <v>0</v>
      </c>
      <c r="BB185" s="89"/>
      <c r="BC185" s="88" t="s">
        <v>298</v>
      </c>
      <c r="BD185" s="90"/>
      <c r="BE185" s="90"/>
      <c r="BF185" s="90"/>
      <c r="BG185" s="90"/>
      <c r="BH185" s="90"/>
      <c r="BI185" s="90"/>
      <c r="BJ185" s="90"/>
      <c r="BK185" s="90"/>
      <c r="BL185" s="90">
        <v>0.5</v>
      </c>
      <c r="BM185" s="90">
        <v>1</v>
      </c>
      <c r="BN185" s="90"/>
      <c r="BO185" s="90"/>
      <c r="BP185" s="90"/>
      <c r="BQ185" s="90"/>
      <c r="BR185" s="90">
        <f t="shared" si="24"/>
        <v>1.5</v>
      </c>
      <c r="BS185" s="90">
        <f>ROUND(BR185*IFERROR(VLOOKUP($BC185,'3121% SY'!$A$2:$M$324,13,FALSE),0),3)</f>
        <v>0.376</v>
      </c>
      <c r="BT185" s="90">
        <f t="shared" si="25"/>
        <v>0</v>
      </c>
      <c r="BU185" s="90">
        <f>ROUND(BT185*IFERROR(VLOOKUP($BC185,'3121% SY'!$A$2:$M$324,13,FALSE),0),3)</f>
        <v>0</v>
      </c>
    </row>
    <row r="186" spans="1:73" x14ac:dyDescent="0.25">
      <c r="A186" s="88" t="s">
        <v>219</v>
      </c>
      <c r="B186" s="90"/>
      <c r="C186" s="90"/>
      <c r="D186" s="90">
        <v>0.127</v>
      </c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>
        <f t="shared" si="19"/>
        <v>0</v>
      </c>
      <c r="Q186" s="90">
        <f>SUM($B186:E186)</f>
        <v>0.127</v>
      </c>
      <c r="R186" s="89"/>
      <c r="AH186" s="90">
        <f t="shared" si="20"/>
        <v>0</v>
      </c>
      <c r="AI186" s="90">
        <f t="shared" si="21"/>
        <v>0</v>
      </c>
      <c r="AJ186" s="89"/>
      <c r="AZ186" s="90">
        <f t="shared" si="22"/>
        <v>0</v>
      </c>
      <c r="BA186" s="90">
        <f t="shared" si="23"/>
        <v>0</v>
      </c>
      <c r="BB186" s="89"/>
      <c r="BC186" s="88" t="s">
        <v>299</v>
      </c>
      <c r="BD186" s="90"/>
      <c r="BE186" s="90"/>
      <c r="BF186" s="90"/>
      <c r="BG186" s="90"/>
      <c r="BH186" s="90"/>
      <c r="BI186" s="90"/>
      <c r="BJ186" s="90"/>
      <c r="BK186" s="90"/>
      <c r="BL186" s="90"/>
      <c r="BM186" s="90">
        <v>0.28399999999999997</v>
      </c>
      <c r="BN186" s="90"/>
      <c r="BO186" s="90"/>
      <c r="BP186" s="90"/>
      <c r="BQ186" s="90"/>
      <c r="BR186" s="90">
        <f t="shared" si="24"/>
        <v>0.28399999999999997</v>
      </c>
      <c r="BS186" s="90">
        <f>ROUND(BR186*IFERROR(VLOOKUP($BC186,'3121% SY'!$A$2:$M$324,13,FALSE),0),3)</f>
        <v>7.8E-2</v>
      </c>
      <c r="BT186" s="90">
        <f t="shared" si="25"/>
        <v>0</v>
      </c>
      <c r="BU186" s="90">
        <f>ROUND(BT186*IFERROR(VLOOKUP($BC186,'3121% SY'!$A$2:$M$324,13,FALSE),0),3)</f>
        <v>0</v>
      </c>
    </row>
    <row r="187" spans="1:73" x14ac:dyDescent="0.25">
      <c r="A187" s="88" t="s">
        <v>220</v>
      </c>
      <c r="B187" s="90">
        <v>0.248</v>
      </c>
      <c r="C187" s="90">
        <v>0.75900000000000001</v>
      </c>
      <c r="D187" s="90">
        <v>2.7149999999999999</v>
      </c>
      <c r="E187" s="90"/>
      <c r="F187" s="90"/>
      <c r="G187" s="90">
        <v>5.9569999999999999</v>
      </c>
      <c r="H187" s="90"/>
      <c r="I187" s="90"/>
      <c r="J187" s="90"/>
      <c r="K187" s="90"/>
      <c r="L187" s="90">
        <v>2.5990000000000002</v>
      </c>
      <c r="M187" s="90"/>
      <c r="N187" s="90"/>
      <c r="O187" s="90"/>
      <c r="P187" s="90">
        <f t="shared" si="19"/>
        <v>8.5560000000000009</v>
      </c>
      <c r="Q187" s="90">
        <f>SUM($B187:E187)</f>
        <v>3.722</v>
      </c>
      <c r="R187" s="89"/>
      <c r="AH187" s="90">
        <f t="shared" si="20"/>
        <v>0</v>
      </c>
      <c r="AI187" s="90">
        <f t="shared" si="21"/>
        <v>0</v>
      </c>
      <c r="AJ187" s="89"/>
      <c r="AZ187" s="90">
        <f t="shared" si="22"/>
        <v>0</v>
      </c>
      <c r="BA187" s="90">
        <f t="shared" si="23"/>
        <v>0</v>
      </c>
      <c r="BB187" s="89"/>
      <c r="BC187" s="88" t="s">
        <v>301</v>
      </c>
      <c r="BD187" s="90"/>
      <c r="BE187" s="90"/>
      <c r="BF187" s="90"/>
      <c r="BG187" s="90"/>
      <c r="BH187" s="90"/>
      <c r="BI187" s="90"/>
      <c r="BJ187" s="90"/>
      <c r="BK187" s="90"/>
      <c r="BL187" s="90">
        <v>1.6879999999999999</v>
      </c>
      <c r="BM187" s="90">
        <v>0.6</v>
      </c>
      <c r="BN187" s="90"/>
      <c r="BO187" s="90"/>
      <c r="BP187" s="90"/>
      <c r="BQ187" s="90"/>
      <c r="BR187" s="90">
        <f t="shared" si="24"/>
        <v>2.2879999999999998</v>
      </c>
      <c r="BS187" s="90">
        <f>ROUND(BR187*IFERROR(VLOOKUP($BC187,'3121% SY'!$A$2:$M$324,13,FALSE),0),3)</f>
        <v>0.51700000000000002</v>
      </c>
      <c r="BT187" s="90">
        <f t="shared" si="25"/>
        <v>0</v>
      </c>
      <c r="BU187" s="90">
        <f>ROUND(BT187*IFERROR(VLOOKUP($BC187,'3121% SY'!$A$2:$M$324,13,FALSE),0),3)</f>
        <v>0</v>
      </c>
    </row>
    <row r="188" spans="1:73" x14ac:dyDescent="0.25">
      <c r="A188" s="88" t="s">
        <v>221</v>
      </c>
      <c r="B188" s="90"/>
      <c r="C188" s="90"/>
      <c r="D188" s="90">
        <v>2.36</v>
      </c>
      <c r="E188" s="90"/>
      <c r="F188" s="90"/>
      <c r="G188" s="90">
        <v>7.1280000000000001</v>
      </c>
      <c r="H188" s="90"/>
      <c r="I188" s="90">
        <v>1</v>
      </c>
      <c r="J188" s="90"/>
      <c r="K188" s="90">
        <v>2</v>
      </c>
      <c r="L188" s="90">
        <v>12.46</v>
      </c>
      <c r="M188" s="90"/>
      <c r="N188" s="90"/>
      <c r="O188" s="90"/>
      <c r="P188" s="90">
        <f t="shared" si="19"/>
        <v>22.588000000000001</v>
      </c>
      <c r="Q188" s="90">
        <f>SUM($B188:E188)</f>
        <v>2.36</v>
      </c>
      <c r="R188" s="89"/>
      <c r="AH188" s="90">
        <f t="shared" si="20"/>
        <v>0</v>
      </c>
      <c r="AI188" s="90">
        <f t="shared" si="21"/>
        <v>0</v>
      </c>
      <c r="AJ188" s="89"/>
      <c r="AZ188" s="90">
        <f t="shared" si="22"/>
        <v>0</v>
      </c>
      <c r="BA188" s="90">
        <f t="shared" si="23"/>
        <v>0</v>
      </c>
      <c r="BB188" s="89"/>
      <c r="BC188" s="88" t="s">
        <v>302</v>
      </c>
      <c r="BD188" s="90"/>
      <c r="BE188" s="90"/>
      <c r="BF188" s="90"/>
      <c r="BG188" s="90"/>
      <c r="BH188" s="90"/>
      <c r="BI188" s="90"/>
      <c r="BJ188" s="90"/>
      <c r="BK188" s="90"/>
      <c r="BL188" s="90">
        <v>3.4</v>
      </c>
      <c r="BM188" s="90">
        <v>3.75</v>
      </c>
      <c r="BN188" s="90"/>
      <c r="BO188" s="90"/>
      <c r="BP188" s="90">
        <v>1</v>
      </c>
      <c r="BQ188" s="90"/>
      <c r="BR188" s="90">
        <f t="shared" si="24"/>
        <v>8.15</v>
      </c>
      <c r="BS188" s="90">
        <f>ROUND(BR188*IFERROR(VLOOKUP($BC188,'3121% SY'!$A$2:$M$324,13,FALSE),0),3)</f>
        <v>1.792</v>
      </c>
      <c r="BT188" s="90">
        <f t="shared" si="25"/>
        <v>0</v>
      </c>
      <c r="BU188" s="90">
        <f>ROUND(BT188*IFERROR(VLOOKUP($BC188,'3121% SY'!$A$2:$M$324,13,FALSE),0),3)</f>
        <v>0</v>
      </c>
    </row>
    <row r="189" spans="1:73" x14ac:dyDescent="0.25">
      <c r="A189" s="88" t="s">
        <v>222</v>
      </c>
      <c r="B189" s="90"/>
      <c r="C189" s="90">
        <v>0.76700000000000002</v>
      </c>
      <c r="D189" s="90">
        <v>0.65600000000000003</v>
      </c>
      <c r="E189" s="90"/>
      <c r="F189" s="90"/>
      <c r="G189" s="90">
        <v>3</v>
      </c>
      <c r="H189" s="90"/>
      <c r="I189" s="90"/>
      <c r="J189" s="90"/>
      <c r="K189" s="90"/>
      <c r="L189" s="90">
        <v>1</v>
      </c>
      <c r="M189" s="90"/>
      <c r="N189" s="90"/>
      <c r="O189" s="90"/>
      <c r="P189" s="90">
        <f t="shared" si="19"/>
        <v>4</v>
      </c>
      <c r="Q189" s="90">
        <f>SUM($B189:E189)</f>
        <v>1.423</v>
      </c>
      <c r="R189" s="89"/>
      <c r="AH189" s="90">
        <f t="shared" si="20"/>
        <v>0</v>
      </c>
      <c r="AI189" s="90">
        <f t="shared" si="21"/>
        <v>0</v>
      </c>
      <c r="AJ189" s="89"/>
      <c r="AZ189" s="90">
        <f t="shared" si="22"/>
        <v>0</v>
      </c>
      <c r="BA189" s="90">
        <f t="shared" si="23"/>
        <v>0</v>
      </c>
      <c r="BB189" s="89"/>
      <c r="BC189" s="88" t="s">
        <v>303</v>
      </c>
      <c r="BD189" s="90"/>
      <c r="BE189" s="90"/>
      <c r="BF189" s="90">
        <v>0.74199999999999999</v>
      </c>
      <c r="BG189" s="90"/>
      <c r="BH189" s="90"/>
      <c r="BI189" s="90"/>
      <c r="BJ189" s="90"/>
      <c r="BK189" s="90"/>
      <c r="BL189" s="90"/>
      <c r="BM189" s="90"/>
      <c r="BN189" s="90"/>
      <c r="BO189" s="90"/>
      <c r="BP189" s="90"/>
      <c r="BQ189" s="90"/>
      <c r="BR189" s="90">
        <f t="shared" si="24"/>
        <v>0</v>
      </c>
      <c r="BS189" s="90">
        <f>ROUND(BR189*IFERROR(VLOOKUP($BC189,'3121% SY'!$A$2:$M$324,13,FALSE),0),3)</f>
        <v>0</v>
      </c>
      <c r="BT189" s="90">
        <f t="shared" si="25"/>
        <v>0.74199999999999999</v>
      </c>
      <c r="BU189" s="90">
        <f>ROUND(BT189*IFERROR(VLOOKUP($BC189,'3121% SY'!$A$2:$M$324,13,FALSE),0),3)</f>
        <v>0.15</v>
      </c>
    </row>
    <row r="190" spans="1:73" x14ac:dyDescent="0.25">
      <c r="A190" s="88" t="s">
        <v>223</v>
      </c>
      <c r="B190" s="90"/>
      <c r="C190" s="90"/>
      <c r="D190" s="90"/>
      <c r="E190" s="90"/>
      <c r="F190" s="90"/>
      <c r="G190" s="90">
        <v>2</v>
      </c>
      <c r="H190" s="90"/>
      <c r="I190" s="90"/>
      <c r="J190" s="90"/>
      <c r="K190" s="90"/>
      <c r="L190" s="90"/>
      <c r="M190" s="90"/>
      <c r="N190" s="90"/>
      <c r="O190" s="90"/>
      <c r="P190" s="90">
        <f t="shared" si="19"/>
        <v>2</v>
      </c>
      <c r="Q190" s="90">
        <f>SUM($B190:E190)</f>
        <v>0</v>
      </c>
      <c r="R190" s="89"/>
      <c r="AH190" s="90">
        <f t="shared" si="20"/>
        <v>0</v>
      </c>
      <c r="AI190" s="90">
        <f t="shared" si="21"/>
        <v>0</v>
      </c>
      <c r="AJ190" s="89"/>
      <c r="AZ190" s="90">
        <f t="shared" si="22"/>
        <v>0</v>
      </c>
      <c r="BA190" s="90">
        <f t="shared" si="23"/>
        <v>0</v>
      </c>
      <c r="BB190" s="89"/>
      <c r="BC190" s="88" t="s">
        <v>753</v>
      </c>
      <c r="BD190" s="90">
        <v>0</v>
      </c>
      <c r="BE190" s="90">
        <v>6.5350000000000001</v>
      </c>
      <c r="BF190" s="90">
        <v>42.279000000000003</v>
      </c>
      <c r="BG190" s="90">
        <v>0</v>
      </c>
      <c r="BH190" s="90">
        <v>13.083999999999998</v>
      </c>
      <c r="BI190" s="90">
        <v>7.4440000000000008</v>
      </c>
      <c r="BJ190" s="90">
        <v>400.18</v>
      </c>
      <c r="BK190" s="90">
        <v>13.920000000000002</v>
      </c>
      <c r="BL190" s="90">
        <v>1020.7279999999995</v>
      </c>
      <c r="BM190" s="90">
        <v>533.82999999999981</v>
      </c>
      <c r="BN190" s="90">
        <v>12.874000000000001</v>
      </c>
      <c r="BO190" s="90">
        <v>137.92099999999996</v>
      </c>
      <c r="BP190" s="90">
        <v>25.277999999999999</v>
      </c>
      <c r="BQ190" s="90">
        <v>91.366</v>
      </c>
      <c r="BR190" s="90">
        <f t="shared" si="24"/>
        <v>2256.6249999999991</v>
      </c>
      <c r="BS190" s="90">
        <f>ROUND(BR190*IFERROR(VLOOKUP($BC190,'3121% SY'!$A$2:$M$324,13,FALSE),0),3)</f>
        <v>0</v>
      </c>
      <c r="BT190" s="90">
        <f t="shared" si="25"/>
        <v>48.814000000000007</v>
      </c>
      <c r="BU190" s="90">
        <f>ROUND(BT190*IFERROR(VLOOKUP($BC190,'3121% SY'!$A$2:$M$324,13,FALSE),0),3)</f>
        <v>0</v>
      </c>
    </row>
    <row r="191" spans="1:73" x14ac:dyDescent="0.25">
      <c r="A191" s="88" t="s">
        <v>225</v>
      </c>
      <c r="B191" s="90"/>
      <c r="C191" s="90"/>
      <c r="D191" s="90"/>
      <c r="E191" s="90"/>
      <c r="F191" s="90"/>
      <c r="G191" s="90">
        <v>2</v>
      </c>
      <c r="H191" s="90"/>
      <c r="I191" s="90"/>
      <c r="J191" s="90"/>
      <c r="K191" s="90"/>
      <c r="L191" s="90">
        <v>0.443</v>
      </c>
      <c r="M191" s="90"/>
      <c r="N191" s="90"/>
      <c r="O191" s="90"/>
      <c r="P191" s="90">
        <f t="shared" si="19"/>
        <v>2.4430000000000001</v>
      </c>
      <c r="Q191" s="90">
        <f>SUM($B191:E191)</f>
        <v>0</v>
      </c>
      <c r="R191" s="89"/>
      <c r="AH191" s="90">
        <f t="shared" si="20"/>
        <v>0</v>
      </c>
      <c r="AI191" s="90">
        <f t="shared" si="21"/>
        <v>0</v>
      </c>
      <c r="AJ191" s="89"/>
      <c r="AZ191" s="90">
        <f t="shared" si="22"/>
        <v>0</v>
      </c>
      <c r="BA191" s="90">
        <f t="shared" si="23"/>
        <v>0</v>
      </c>
      <c r="BB191" s="89"/>
      <c r="BR191" s="90">
        <f t="shared" si="24"/>
        <v>0</v>
      </c>
      <c r="BS191" s="90">
        <f>ROUND(BR191*IFERROR(VLOOKUP($BC191,'3121% SY'!$A$2:$M$324,13,FALSE),0),3)</f>
        <v>0</v>
      </c>
      <c r="BT191" s="90">
        <f t="shared" si="25"/>
        <v>0</v>
      </c>
      <c r="BU191" s="90">
        <f>ROUND(BT191*IFERROR(VLOOKUP($BC191,'3121% SY'!$A$2:$M$324,13,FALSE),0),3)</f>
        <v>0</v>
      </c>
    </row>
    <row r="192" spans="1:73" x14ac:dyDescent="0.25">
      <c r="A192" s="88" t="s">
        <v>226</v>
      </c>
      <c r="B192" s="90"/>
      <c r="C192" s="90">
        <v>9.4570000000000007</v>
      </c>
      <c r="D192" s="90">
        <v>1.712</v>
      </c>
      <c r="E192" s="90"/>
      <c r="F192" s="90"/>
      <c r="G192" s="90">
        <v>4</v>
      </c>
      <c r="H192" s="90"/>
      <c r="I192" s="90">
        <v>1</v>
      </c>
      <c r="J192" s="90"/>
      <c r="K192" s="90"/>
      <c r="L192" s="90">
        <v>4.75</v>
      </c>
      <c r="M192" s="90"/>
      <c r="N192" s="90"/>
      <c r="O192" s="90"/>
      <c r="P192" s="90">
        <f t="shared" si="19"/>
        <v>9.75</v>
      </c>
      <c r="Q192" s="90">
        <f>SUM($B192:E192)</f>
        <v>11.169</v>
      </c>
      <c r="R192" s="89"/>
      <c r="AH192" s="90">
        <f t="shared" si="20"/>
        <v>0</v>
      </c>
      <c r="AI192" s="90">
        <f t="shared" si="21"/>
        <v>0</v>
      </c>
      <c r="AJ192" s="89"/>
      <c r="AZ192" s="90">
        <f t="shared" si="22"/>
        <v>0</v>
      </c>
      <c r="BA192" s="90">
        <f t="shared" si="23"/>
        <v>0</v>
      </c>
      <c r="BB192" s="89"/>
      <c r="BR192" s="90">
        <f t="shared" si="24"/>
        <v>0</v>
      </c>
      <c r="BS192" s="90">
        <f>ROUND(BR192*IFERROR(VLOOKUP($BC192,'3121% SY'!$A$2:$M$324,13,FALSE),0),3)</f>
        <v>0</v>
      </c>
      <c r="BT192" s="90">
        <f t="shared" si="25"/>
        <v>0</v>
      </c>
      <c r="BU192" s="90">
        <f>ROUND(BT192*IFERROR(VLOOKUP($BC192,'3121% SY'!$A$2:$M$324,13,FALSE),0),3)</f>
        <v>0</v>
      </c>
    </row>
    <row r="193" spans="1:73" x14ac:dyDescent="0.25">
      <c r="A193" s="88" t="s">
        <v>1</v>
      </c>
      <c r="B193" s="90"/>
      <c r="C193" s="90"/>
      <c r="D193" s="90">
        <v>11.13</v>
      </c>
      <c r="E193" s="90">
        <v>0.35499999999999998</v>
      </c>
      <c r="F193" s="90"/>
      <c r="G193" s="90">
        <v>33.729999999999997</v>
      </c>
      <c r="H193" s="90">
        <v>0.33900000000000002</v>
      </c>
      <c r="I193" s="90"/>
      <c r="J193" s="90">
        <v>0.214</v>
      </c>
      <c r="K193" s="90"/>
      <c r="L193" s="90">
        <v>5.7309999999999999</v>
      </c>
      <c r="M193" s="90">
        <v>0.20899999999999999</v>
      </c>
      <c r="N193" s="90"/>
      <c r="O193" s="90"/>
      <c r="P193" s="90">
        <f t="shared" si="19"/>
        <v>40.222999999999999</v>
      </c>
      <c r="Q193" s="90">
        <f>SUM($B193:E193)</f>
        <v>11.485000000000001</v>
      </c>
      <c r="R193" s="89"/>
      <c r="AH193" s="90">
        <f t="shared" si="20"/>
        <v>0</v>
      </c>
      <c r="AI193" s="90">
        <f t="shared" si="21"/>
        <v>0</v>
      </c>
      <c r="AJ193" s="89"/>
      <c r="AZ193" s="90">
        <f t="shared" si="22"/>
        <v>0</v>
      </c>
      <c r="BA193" s="90">
        <f t="shared" si="23"/>
        <v>0</v>
      </c>
      <c r="BB193" s="89"/>
      <c r="BR193" s="90">
        <f t="shared" si="24"/>
        <v>0</v>
      </c>
      <c r="BS193" s="90">
        <f>ROUND(BR193*IFERROR(VLOOKUP($BC193,'3121% SY'!$A$2:$M$324,13,FALSE),0),3)</f>
        <v>0</v>
      </c>
      <c r="BT193" s="90">
        <f t="shared" si="25"/>
        <v>0</v>
      </c>
      <c r="BU193" s="90">
        <f>ROUND(BT193*IFERROR(VLOOKUP($BC193,'3121% SY'!$A$2:$M$324,13,FALSE),0),3)</f>
        <v>0</v>
      </c>
    </row>
    <row r="194" spans="1:73" x14ac:dyDescent="0.25">
      <c r="A194" s="88" t="s">
        <v>229</v>
      </c>
      <c r="B194" s="90"/>
      <c r="C194" s="90">
        <v>1.696</v>
      </c>
      <c r="D194" s="90"/>
      <c r="E194" s="90"/>
      <c r="F194" s="90"/>
      <c r="G194" s="90">
        <v>2</v>
      </c>
      <c r="H194" s="90"/>
      <c r="I194" s="90">
        <v>0.33300000000000002</v>
      </c>
      <c r="J194" s="90"/>
      <c r="K194" s="90"/>
      <c r="L194" s="90">
        <v>1.05</v>
      </c>
      <c r="M194" s="90"/>
      <c r="N194" s="90"/>
      <c r="O194" s="90"/>
      <c r="P194" s="90">
        <f t="shared" si="19"/>
        <v>3.383</v>
      </c>
      <c r="Q194" s="90">
        <f>SUM($B194:E194)</f>
        <v>1.696</v>
      </c>
      <c r="R194" s="89"/>
      <c r="AH194" s="90">
        <f t="shared" si="20"/>
        <v>0</v>
      </c>
      <c r="AI194" s="90">
        <f t="shared" si="21"/>
        <v>0</v>
      </c>
      <c r="AJ194" s="89"/>
      <c r="AZ194" s="90">
        <f t="shared" si="22"/>
        <v>0</v>
      </c>
      <c r="BA194" s="90">
        <f t="shared" si="23"/>
        <v>0</v>
      </c>
      <c r="BB194" s="89"/>
      <c r="BR194" s="90">
        <f t="shared" si="24"/>
        <v>0</v>
      </c>
      <c r="BS194" s="90">
        <f>ROUND(BR194*IFERROR(VLOOKUP($BC194,'3121% SY'!$A$2:$M$324,13,FALSE),0),3)</f>
        <v>0</v>
      </c>
      <c r="BT194" s="90">
        <f t="shared" si="25"/>
        <v>0</v>
      </c>
      <c r="BU194" s="90">
        <f>ROUND(BT194*IFERROR(VLOOKUP($BC194,'3121% SY'!$A$2:$M$324,13,FALSE),0),3)</f>
        <v>0</v>
      </c>
    </row>
    <row r="195" spans="1:73" x14ac:dyDescent="0.25">
      <c r="A195" s="88" t="s">
        <v>230</v>
      </c>
      <c r="B195" s="90"/>
      <c r="C195" s="90"/>
      <c r="D195" s="90">
        <v>1.3720000000000001</v>
      </c>
      <c r="E195" s="90"/>
      <c r="F195" s="90"/>
      <c r="G195" s="90">
        <v>2</v>
      </c>
      <c r="H195" s="90"/>
      <c r="I195" s="90"/>
      <c r="J195" s="90"/>
      <c r="K195" s="90"/>
      <c r="L195" s="90">
        <v>1</v>
      </c>
      <c r="M195" s="90"/>
      <c r="N195" s="90"/>
      <c r="O195" s="90"/>
      <c r="P195" s="90">
        <f t="shared" si="19"/>
        <v>3</v>
      </c>
      <c r="Q195" s="90">
        <f>SUM($B195:E195)</f>
        <v>1.3720000000000001</v>
      </c>
      <c r="R195" s="89"/>
      <c r="AH195" s="90">
        <f t="shared" si="20"/>
        <v>0</v>
      </c>
      <c r="AI195" s="90">
        <f t="shared" si="21"/>
        <v>0</v>
      </c>
      <c r="AJ195" s="89"/>
      <c r="AZ195" s="90">
        <f t="shared" si="22"/>
        <v>0</v>
      </c>
      <c r="BA195" s="90">
        <f t="shared" si="23"/>
        <v>0</v>
      </c>
      <c r="BB195" s="89"/>
      <c r="BR195" s="90">
        <f t="shared" si="24"/>
        <v>0</v>
      </c>
      <c r="BS195" s="90">
        <f>ROUND(BR195*IFERROR(VLOOKUP($BC195,'3121% SY'!$A$2:$M$324,13,FALSE),0),3)</f>
        <v>0</v>
      </c>
      <c r="BT195" s="90">
        <f t="shared" si="25"/>
        <v>0</v>
      </c>
      <c r="BU195" s="90">
        <f>ROUND(BT195*IFERROR(VLOOKUP($BC195,'3121% SY'!$A$2:$M$324,13,FALSE),0),3)</f>
        <v>0</v>
      </c>
    </row>
    <row r="196" spans="1:73" x14ac:dyDescent="0.25">
      <c r="A196" s="88" t="s">
        <v>231</v>
      </c>
      <c r="B196" s="90"/>
      <c r="C196" s="90"/>
      <c r="D196" s="90"/>
      <c r="E196" s="90"/>
      <c r="F196" s="90"/>
      <c r="G196" s="90">
        <v>3</v>
      </c>
      <c r="H196" s="90"/>
      <c r="I196" s="90">
        <v>8</v>
      </c>
      <c r="J196" s="90"/>
      <c r="K196" s="90"/>
      <c r="L196" s="90">
        <v>4.1970000000000001</v>
      </c>
      <c r="M196" s="90">
        <v>0.45600000000000002</v>
      </c>
      <c r="N196" s="90"/>
      <c r="O196" s="90"/>
      <c r="P196" s="90">
        <f t="shared" si="19"/>
        <v>15.652999999999999</v>
      </c>
      <c r="Q196" s="90">
        <f>SUM($B196:E196)</f>
        <v>0</v>
      </c>
      <c r="R196" s="89"/>
      <c r="AH196" s="90">
        <f t="shared" si="20"/>
        <v>0</v>
      </c>
      <c r="AI196" s="90">
        <f t="shared" si="21"/>
        <v>0</v>
      </c>
      <c r="AJ196" s="89"/>
      <c r="AZ196" s="90">
        <f t="shared" si="22"/>
        <v>0</v>
      </c>
      <c r="BA196" s="90">
        <f t="shared" si="23"/>
        <v>0</v>
      </c>
      <c r="BB196" s="89"/>
      <c r="BR196" s="90">
        <f t="shared" si="24"/>
        <v>0</v>
      </c>
      <c r="BS196" s="90">
        <f>ROUND(BR196*IFERROR(VLOOKUP($BC196,'3121% SY'!$A$2:$M$324,13,FALSE),0),3)</f>
        <v>0</v>
      </c>
      <c r="BT196" s="90">
        <f t="shared" si="25"/>
        <v>0</v>
      </c>
      <c r="BU196" s="90">
        <f>ROUND(BT196*IFERROR(VLOOKUP($BC196,'3121% SY'!$A$2:$M$324,13,FALSE),0),3)</f>
        <v>0</v>
      </c>
    </row>
    <row r="197" spans="1:73" x14ac:dyDescent="0.25">
      <c r="A197" s="88" t="s">
        <v>232</v>
      </c>
      <c r="B197" s="90"/>
      <c r="C197" s="90"/>
      <c r="D197" s="90"/>
      <c r="E197" s="90"/>
      <c r="F197" s="90"/>
      <c r="G197" s="90">
        <v>16.899999999999999</v>
      </c>
      <c r="H197" s="90"/>
      <c r="I197" s="90"/>
      <c r="J197" s="90"/>
      <c r="K197" s="90"/>
      <c r="L197" s="90">
        <v>5.3440000000000003</v>
      </c>
      <c r="M197" s="90"/>
      <c r="N197" s="90"/>
      <c r="O197" s="90"/>
      <c r="P197" s="90">
        <f t="shared" si="19"/>
        <v>22.244</v>
      </c>
      <c r="Q197" s="90">
        <f>SUM($B197:E197)</f>
        <v>0</v>
      </c>
      <c r="R197" s="89"/>
      <c r="AH197" s="90">
        <f t="shared" si="20"/>
        <v>0</v>
      </c>
      <c r="AI197" s="90">
        <f t="shared" si="21"/>
        <v>0</v>
      </c>
      <c r="AJ197" s="89"/>
      <c r="AZ197" s="90">
        <f t="shared" si="22"/>
        <v>0</v>
      </c>
      <c r="BA197" s="90">
        <f t="shared" si="23"/>
        <v>0</v>
      </c>
      <c r="BB197" s="89"/>
      <c r="BR197" s="90">
        <f t="shared" si="24"/>
        <v>0</v>
      </c>
      <c r="BS197" s="90">
        <f>ROUND(BR197*IFERROR(VLOOKUP($BC197,'3121% SY'!$A$2:$M$324,13,FALSE),0),3)</f>
        <v>0</v>
      </c>
      <c r="BT197" s="90">
        <f t="shared" si="25"/>
        <v>0</v>
      </c>
      <c r="BU197" s="90">
        <f>ROUND(BT197*IFERROR(VLOOKUP($BC197,'3121% SY'!$A$2:$M$324,13,FALSE),0),3)</f>
        <v>0</v>
      </c>
    </row>
    <row r="198" spans="1:73" x14ac:dyDescent="0.25">
      <c r="A198" s="88" t="s">
        <v>233</v>
      </c>
      <c r="B198" s="90"/>
      <c r="C198" s="90"/>
      <c r="D198" s="90"/>
      <c r="E198" s="90"/>
      <c r="F198" s="90"/>
      <c r="G198" s="90">
        <v>0.7</v>
      </c>
      <c r="H198" s="90"/>
      <c r="I198" s="90"/>
      <c r="J198" s="90"/>
      <c r="K198" s="90"/>
      <c r="L198" s="90">
        <v>0.39900000000000002</v>
      </c>
      <c r="M198" s="90"/>
      <c r="N198" s="90"/>
      <c r="O198" s="90"/>
      <c r="P198" s="90">
        <f t="shared" si="19"/>
        <v>1.099</v>
      </c>
      <c r="Q198" s="90">
        <f>SUM($B198:E198)</f>
        <v>0</v>
      </c>
      <c r="R198" s="89"/>
      <c r="AH198" s="90">
        <f t="shared" si="20"/>
        <v>0</v>
      </c>
      <c r="AI198" s="90">
        <f t="shared" si="21"/>
        <v>0</v>
      </c>
      <c r="AJ198" s="89"/>
      <c r="AZ198" s="90">
        <f t="shared" si="22"/>
        <v>0</v>
      </c>
      <c r="BA198" s="90">
        <f t="shared" si="23"/>
        <v>0</v>
      </c>
      <c r="BB198" s="89"/>
      <c r="BR198" s="90">
        <f t="shared" si="24"/>
        <v>0</v>
      </c>
      <c r="BS198" s="90">
        <f>ROUND(BR198*IFERROR(VLOOKUP($BC198,'3121% SY'!$A$2:$M$324,13,FALSE),0),3)</f>
        <v>0</v>
      </c>
      <c r="BT198" s="90">
        <f t="shared" si="25"/>
        <v>0</v>
      </c>
      <c r="BU198" s="90">
        <f>ROUND(BT198*IFERROR(VLOOKUP($BC198,'3121% SY'!$A$2:$M$324,13,FALSE),0),3)</f>
        <v>0</v>
      </c>
    </row>
    <row r="199" spans="1:73" x14ac:dyDescent="0.25">
      <c r="A199" s="88" t="s">
        <v>234</v>
      </c>
      <c r="B199" s="90"/>
      <c r="C199" s="90"/>
      <c r="D199" s="90"/>
      <c r="E199" s="90"/>
      <c r="F199" s="90"/>
      <c r="G199" s="90">
        <v>5</v>
      </c>
      <c r="H199" s="90"/>
      <c r="I199" s="90"/>
      <c r="J199" s="90"/>
      <c r="K199" s="90"/>
      <c r="L199" s="90">
        <v>3.3</v>
      </c>
      <c r="M199" s="90"/>
      <c r="N199" s="90"/>
      <c r="O199" s="90"/>
      <c r="P199" s="90">
        <f t="shared" ref="P199:P255" si="26">SUM(F199:O199)</f>
        <v>8.3000000000000007</v>
      </c>
      <c r="Q199" s="90">
        <f>SUM($B199:E199)</f>
        <v>0</v>
      </c>
      <c r="R199" s="89"/>
      <c r="AH199" s="90">
        <f t="shared" ref="AH199:AH255" si="27">SUM(X199:AG199)</f>
        <v>0</v>
      </c>
      <c r="AI199" s="90">
        <f t="shared" ref="AI199:AI255" si="28">SUM(T199:W199)</f>
        <v>0</v>
      </c>
      <c r="AJ199" s="89"/>
      <c r="AZ199" s="90">
        <f t="shared" ref="AZ199:AZ255" si="29">SUM(AP199:AY199)</f>
        <v>0</v>
      </c>
      <c r="BA199" s="90">
        <f t="shared" ref="BA199:BA255" si="30">SUM(AL199:AO199)</f>
        <v>0</v>
      </c>
      <c r="BB199" s="89"/>
      <c r="BR199" s="90">
        <f t="shared" ref="BR199:BR255" si="31">SUM(BH199:BQ199)</f>
        <v>0</v>
      </c>
      <c r="BS199" s="90">
        <f>ROUND(BR199*IFERROR(VLOOKUP($BC199,'3121% SY'!$A$2:$M$324,13,FALSE),0),3)</f>
        <v>0</v>
      </c>
      <c r="BT199" s="90">
        <f t="shared" ref="BT199:BT255" si="32">SUM(BD199:BG199)</f>
        <v>0</v>
      </c>
      <c r="BU199" s="90">
        <f>ROUND(BT199*IFERROR(VLOOKUP($BC199,'3121% SY'!$A$2:$M$324,13,FALSE),0),3)</f>
        <v>0</v>
      </c>
    </row>
    <row r="200" spans="1:73" x14ac:dyDescent="0.25">
      <c r="A200" s="88" t="s">
        <v>235</v>
      </c>
      <c r="B200" s="90"/>
      <c r="C200" s="90">
        <v>5.7089999999999996</v>
      </c>
      <c r="D200" s="90">
        <v>3.512</v>
      </c>
      <c r="E200" s="90"/>
      <c r="F200" s="90"/>
      <c r="G200" s="90">
        <v>4.5</v>
      </c>
      <c r="H200" s="90"/>
      <c r="I200" s="90"/>
      <c r="J200" s="90"/>
      <c r="K200" s="90"/>
      <c r="L200" s="90"/>
      <c r="M200" s="90"/>
      <c r="N200" s="90"/>
      <c r="O200" s="90"/>
      <c r="P200" s="90">
        <f t="shared" si="26"/>
        <v>4.5</v>
      </c>
      <c r="Q200" s="90">
        <f>SUM($B200:E200)</f>
        <v>9.2210000000000001</v>
      </c>
      <c r="R200" s="89"/>
      <c r="AH200" s="90">
        <f t="shared" si="27"/>
        <v>0</v>
      </c>
      <c r="AI200" s="90">
        <f t="shared" si="28"/>
        <v>0</v>
      </c>
      <c r="AJ200" s="89"/>
      <c r="AZ200" s="90">
        <f t="shared" si="29"/>
        <v>0</v>
      </c>
      <c r="BA200" s="90">
        <f t="shared" si="30"/>
        <v>0</v>
      </c>
      <c r="BB200" s="89"/>
      <c r="BR200" s="90">
        <f t="shared" si="31"/>
        <v>0</v>
      </c>
      <c r="BS200" s="90">
        <f>ROUND(BR200*IFERROR(VLOOKUP($BC200,'3121% SY'!$A$2:$M$324,13,FALSE),0),3)</f>
        <v>0</v>
      </c>
      <c r="BT200" s="90">
        <f t="shared" si="32"/>
        <v>0</v>
      </c>
      <c r="BU200" s="90">
        <f>ROUND(BT200*IFERROR(VLOOKUP($BC200,'3121% SY'!$A$2:$M$324,13,FALSE),0),3)</f>
        <v>0</v>
      </c>
    </row>
    <row r="201" spans="1:73" x14ac:dyDescent="0.25">
      <c r="A201" s="88" t="s">
        <v>236</v>
      </c>
      <c r="B201" s="90"/>
      <c r="C201" s="90">
        <v>0.65600000000000003</v>
      </c>
      <c r="D201" s="90"/>
      <c r="E201" s="90"/>
      <c r="F201" s="90"/>
      <c r="G201" s="90">
        <v>0.9</v>
      </c>
      <c r="H201" s="90"/>
      <c r="I201" s="90"/>
      <c r="J201" s="90"/>
      <c r="K201" s="90"/>
      <c r="L201" s="90">
        <v>0.48099999999999998</v>
      </c>
      <c r="M201" s="90"/>
      <c r="N201" s="90"/>
      <c r="O201" s="90"/>
      <c r="P201" s="90">
        <f t="shared" si="26"/>
        <v>1.381</v>
      </c>
      <c r="Q201" s="90">
        <f>SUM($B201:E201)</f>
        <v>0.65600000000000003</v>
      </c>
      <c r="R201" s="89"/>
      <c r="AH201" s="90">
        <f t="shared" si="27"/>
        <v>0</v>
      </c>
      <c r="AI201" s="90">
        <f t="shared" si="28"/>
        <v>0</v>
      </c>
      <c r="AJ201" s="89"/>
      <c r="AZ201" s="90">
        <f t="shared" si="29"/>
        <v>0</v>
      </c>
      <c r="BA201" s="90">
        <f t="shared" si="30"/>
        <v>0</v>
      </c>
      <c r="BB201" s="89"/>
      <c r="BR201" s="90">
        <f t="shared" si="31"/>
        <v>0</v>
      </c>
      <c r="BS201" s="90">
        <f>ROUND(BR201*IFERROR(VLOOKUP($BC201,'3121% SY'!$A$2:$M$324,13,FALSE),0),3)</f>
        <v>0</v>
      </c>
      <c r="BT201" s="90">
        <f t="shared" si="32"/>
        <v>0</v>
      </c>
      <c r="BU201" s="90">
        <f>ROUND(BT201*IFERROR(VLOOKUP($BC201,'3121% SY'!$A$2:$M$324,13,FALSE),0),3)</f>
        <v>0</v>
      </c>
    </row>
    <row r="202" spans="1:73" x14ac:dyDescent="0.25">
      <c r="A202" s="88" t="s">
        <v>237</v>
      </c>
      <c r="B202" s="90"/>
      <c r="C202" s="90"/>
      <c r="D202" s="90"/>
      <c r="E202" s="90"/>
      <c r="F202" s="90"/>
      <c r="G202" s="90">
        <v>2.68</v>
      </c>
      <c r="H202" s="90"/>
      <c r="I202" s="90"/>
      <c r="J202" s="90"/>
      <c r="K202" s="90"/>
      <c r="L202" s="90">
        <v>1.33</v>
      </c>
      <c r="M202" s="90"/>
      <c r="N202" s="90">
        <v>0.47599999999999998</v>
      </c>
      <c r="O202" s="90"/>
      <c r="P202" s="90">
        <f t="shared" si="26"/>
        <v>4.4859999999999998</v>
      </c>
      <c r="Q202" s="90">
        <f>SUM($B202:E202)</f>
        <v>0</v>
      </c>
      <c r="R202" s="89"/>
      <c r="AH202" s="90">
        <f t="shared" si="27"/>
        <v>0</v>
      </c>
      <c r="AI202" s="90">
        <f t="shared" si="28"/>
        <v>0</v>
      </c>
      <c r="AJ202" s="89"/>
      <c r="AZ202" s="90">
        <f t="shared" si="29"/>
        <v>0</v>
      </c>
      <c r="BA202" s="90">
        <f t="shared" si="30"/>
        <v>0</v>
      </c>
      <c r="BB202" s="89"/>
      <c r="BR202" s="90">
        <f t="shared" si="31"/>
        <v>0</v>
      </c>
      <c r="BS202" s="90">
        <f>ROUND(BR202*IFERROR(VLOOKUP($BC202,'3121% SY'!$A$2:$M$324,13,FALSE),0),3)</f>
        <v>0</v>
      </c>
      <c r="BT202" s="90">
        <f t="shared" si="32"/>
        <v>0</v>
      </c>
      <c r="BU202" s="90">
        <f>ROUND(BT202*IFERROR(VLOOKUP($BC202,'3121% SY'!$A$2:$M$324,13,FALSE),0),3)</f>
        <v>0</v>
      </c>
    </row>
    <row r="203" spans="1:73" x14ac:dyDescent="0.25">
      <c r="A203" s="88" t="s">
        <v>238</v>
      </c>
      <c r="B203" s="90"/>
      <c r="C203" s="90"/>
      <c r="D203" s="90"/>
      <c r="E203" s="90"/>
      <c r="F203" s="90"/>
      <c r="G203" s="90">
        <v>2</v>
      </c>
      <c r="H203" s="90"/>
      <c r="I203" s="90"/>
      <c r="J203" s="90"/>
      <c r="K203" s="90">
        <v>0.2</v>
      </c>
      <c r="L203" s="90">
        <v>0.56000000000000005</v>
      </c>
      <c r="M203" s="90"/>
      <c r="N203" s="90"/>
      <c r="O203" s="90"/>
      <c r="P203" s="90">
        <f t="shared" si="26"/>
        <v>2.7600000000000002</v>
      </c>
      <c r="Q203" s="90">
        <f>SUM($B203:E203)</f>
        <v>0</v>
      </c>
      <c r="R203" s="89"/>
      <c r="AH203" s="90">
        <f t="shared" si="27"/>
        <v>0</v>
      </c>
      <c r="AI203" s="90">
        <f t="shared" si="28"/>
        <v>0</v>
      </c>
      <c r="AJ203" s="89"/>
      <c r="AZ203" s="90">
        <f t="shared" si="29"/>
        <v>0</v>
      </c>
      <c r="BA203" s="90">
        <f t="shared" si="30"/>
        <v>0</v>
      </c>
      <c r="BB203" s="89"/>
      <c r="BR203" s="90">
        <f t="shared" si="31"/>
        <v>0</v>
      </c>
      <c r="BS203" s="90">
        <f>ROUND(BR203*IFERROR(VLOOKUP($BC203,'3121% SY'!$A$2:$M$324,13,FALSE),0),3)</f>
        <v>0</v>
      </c>
      <c r="BT203" s="90">
        <f t="shared" si="32"/>
        <v>0</v>
      </c>
      <c r="BU203" s="90">
        <f>ROUND(BT203*IFERROR(VLOOKUP($BC203,'3121% SY'!$A$2:$M$324,13,FALSE),0),3)</f>
        <v>0</v>
      </c>
    </row>
    <row r="204" spans="1:73" x14ac:dyDescent="0.25">
      <c r="A204" s="88" t="s">
        <v>239</v>
      </c>
      <c r="B204" s="90"/>
      <c r="C204" s="90">
        <v>0.73899999999999999</v>
      </c>
      <c r="D204" s="90"/>
      <c r="E204" s="90"/>
      <c r="F204" s="90"/>
      <c r="G204" s="90">
        <v>1.6</v>
      </c>
      <c r="H204" s="90"/>
      <c r="I204" s="90"/>
      <c r="J204" s="90"/>
      <c r="K204" s="90"/>
      <c r="L204" s="90"/>
      <c r="M204" s="90"/>
      <c r="N204" s="90"/>
      <c r="O204" s="90"/>
      <c r="P204" s="90">
        <f t="shared" si="26"/>
        <v>1.6</v>
      </c>
      <c r="Q204" s="90">
        <f>SUM($B204:E204)</f>
        <v>0.73899999999999999</v>
      </c>
      <c r="R204" s="89"/>
      <c r="AH204" s="90">
        <f t="shared" si="27"/>
        <v>0</v>
      </c>
      <c r="AI204" s="90">
        <f t="shared" si="28"/>
        <v>0</v>
      </c>
      <c r="AJ204" s="89"/>
      <c r="AZ204" s="90">
        <f t="shared" si="29"/>
        <v>0</v>
      </c>
      <c r="BA204" s="90">
        <f t="shared" si="30"/>
        <v>0</v>
      </c>
      <c r="BB204" s="89"/>
      <c r="BR204" s="90">
        <f t="shared" si="31"/>
        <v>0</v>
      </c>
      <c r="BS204" s="90">
        <f>ROUND(BR204*IFERROR(VLOOKUP($BC204,'3121% SY'!$A$2:$M$324,13,FALSE),0),3)</f>
        <v>0</v>
      </c>
      <c r="BT204" s="90">
        <f t="shared" si="32"/>
        <v>0</v>
      </c>
      <c r="BU204" s="90">
        <f>ROUND(BT204*IFERROR(VLOOKUP($BC204,'3121% SY'!$A$2:$M$324,13,FALSE),0),3)</f>
        <v>0</v>
      </c>
    </row>
    <row r="205" spans="1:73" x14ac:dyDescent="0.25">
      <c r="A205" s="88" t="s">
        <v>615</v>
      </c>
      <c r="B205" s="90"/>
      <c r="C205" s="90"/>
      <c r="D205" s="90"/>
      <c r="E205" s="90"/>
      <c r="F205" s="90"/>
      <c r="G205" s="90">
        <v>1.5</v>
      </c>
      <c r="H205" s="90"/>
      <c r="I205" s="90"/>
      <c r="J205" s="90"/>
      <c r="K205" s="90"/>
      <c r="L205" s="90"/>
      <c r="M205" s="90"/>
      <c r="N205" s="90"/>
      <c r="O205" s="90"/>
      <c r="P205" s="90">
        <f t="shared" si="26"/>
        <v>1.5</v>
      </c>
      <c r="Q205" s="90">
        <f>SUM($B205:E205)</f>
        <v>0</v>
      </c>
      <c r="R205" s="89"/>
      <c r="AH205" s="90">
        <f t="shared" si="27"/>
        <v>0</v>
      </c>
      <c r="AI205" s="90">
        <f t="shared" si="28"/>
        <v>0</v>
      </c>
      <c r="AJ205" s="89"/>
      <c r="AZ205" s="90">
        <f t="shared" si="29"/>
        <v>0</v>
      </c>
      <c r="BA205" s="90">
        <f t="shared" si="30"/>
        <v>0</v>
      </c>
      <c r="BB205" s="89"/>
      <c r="BR205" s="90">
        <f t="shared" si="31"/>
        <v>0</v>
      </c>
      <c r="BS205" s="90">
        <f>ROUND(BR205*IFERROR(VLOOKUP($BC205,'3121% SY'!$A$2:$M$324,13,FALSE),0),3)</f>
        <v>0</v>
      </c>
      <c r="BT205" s="90">
        <f t="shared" si="32"/>
        <v>0</v>
      </c>
      <c r="BU205" s="90">
        <f>ROUND(BT205*IFERROR(VLOOKUP($BC205,'3121% SY'!$A$2:$M$324,13,FALSE),0),3)</f>
        <v>0</v>
      </c>
    </row>
    <row r="206" spans="1:73" x14ac:dyDescent="0.25">
      <c r="A206" s="88" t="s">
        <v>241</v>
      </c>
      <c r="B206" s="90"/>
      <c r="C206" s="90"/>
      <c r="D206" s="90"/>
      <c r="E206" s="90"/>
      <c r="F206" s="90"/>
      <c r="G206" s="90">
        <v>0.55000000000000004</v>
      </c>
      <c r="H206" s="90"/>
      <c r="I206" s="90"/>
      <c r="J206" s="90"/>
      <c r="K206" s="90"/>
      <c r="L206" s="90">
        <v>0.54</v>
      </c>
      <c r="M206" s="90"/>
      <c r="N206" s="90"/>
      <c r="O206" s="90"/>
      <c r="P206" s="90">
        <f t="shared" si="26"/>
        <v>1.0900000000000001</v>
      </c>
      <c r="Q206" s="90">
        <f>SUM($B206:E206)</f>
        <v>0</v>
      </c>
      <c r="R206" s="89"/>
      <c r="AH206" s="90">
        <f t="shared" si="27"/>
        <v>0</v>
      </c>
      <c r="AI206" s="90">
        <f t="shared" si="28"/>
        <v>0</v>
      </c>
      <c r="AJ206" s="89"/>
      <c r="AZ206" s="90">
        <f t="shared" si="29"/>
        <v>0</v>
      </c>
      <c r="BA206" s="90">
        <f t="shared" si="30"/>
        <v>0</v>
      </c>
      <c r="BB206" s="89"/>
      <c r="BR206" s="90">
        <f t="shared" si="31"/>
        <v>0</v>
      </c>
      <c r="BS206" s="90">
        <f>ROUND(BR206*IFERROR(VLOOKUP($BC206,'3121% SY'!$A$2:$M$324,13,FALSE),0),3)</f>
        <v>0</v>
      </c>
      <c r="BT206" s="90">
        <f t="shared" si="32"/>
        <v>0</v>
      </c>
      <c r="BU206" s="90">
        <f>ROUND(BT206*IFERROR(VLOOKUP($BC206,'3121% SY'!$A$2:$M$324,13,FALSE),0),3)</f>
        <v>0</v>
      </c>
    </row>
    <row r="207" spans="1:73" x14ac:dyDescent="0.25">
      <c r="A207" s="88" t="s">
        <v>242</v>
      </c>
      <c r="B207" s="90"/>
      <c r="C207" s="90"/>
      <c r="D207" s="90"/>
      <c r="E207" s="90"/>
      <c r="F207" s="90"/>
      <c r="G207" s="90">
        <v>1</v>
      </c>
      <c r="H207" s="90"/>
      <c r="I207" s="90"/>
      <c r="J207" s="90"/>
      <c r="K207" s="90"/>
      <c r="L207" s="90"/>
      <c r="M207" s="90"/>
      <c r="N207" s="90"/>
      <c r="O207" s="90"/>
      <c r="P207" s="90">
        <f t="shared" si="26"/>
        <v>1</v>
      </c>
      <c r="Q207" s="90">
        <f>SUM($B207:E207)</f>
        <v>0</v>
      </c>
      <c r="R207" s="89"/>
      <c r="AH207" s="90">
        <f t="shared" si="27"/>
        <v>0</v>
      </c>
      <c r="AI207" s="90">
        <f t="shared" si="28"/>
        <v>0</v>
      </c>
      <c r="AJ207" s="89"/>
      <c r="AZ207" s="90">
        <f t="shared" si="29"/>
        <v>0</v>
      </c>
      <c r="BA207" s="90">
        <f t="shared" si="30"/>
        <v>0</v>
      </c>
      <c r="BB207" s="89"/>
      <c r="BR207" s="90">
        <f t="shared" si="31"/>
        <v>0</v>
      </c>
      <c r="BS207" s="90">
        <f>ROUND(BR207*IFERROR(VLOOKUP($BC207,'3121% SY'!$A$2:$M$324,13,FALSE),0),3)</f>
        <v>0</v>
      </c>
      <c r="BT207" s="90">
        <f t="shared" si="32"/>
        <v>0</v>
      </c>
      <c r="BU207" s="90">
        <f>ROUND(BT207*IFERROR(VLOOKUP($BC207,'3121% SY'!$A$2:$M$324,13,FALSE),0),3)</f>
        <v>0</v>
      </c>
    </row>
    <row r="208" spans="1:73" x14ac:dyDescent="0.25">
      <c r="A208" s="88" t="s">
        <v>243</v>
      </c>
      <c r="B208" s="90"/>
      <c r="C208" s="90"/>
      <c r="D208" s="90"/>
      <c r="E208" s="90"/>
      <c r="F208" s="90"/>
      <c r="G208" s="90">
        <v>0.39</v>
      </c>
      <c r="H208" s="90"/>
      <c r="I208" s="90"/>
      <c r="J208" s="90"/>
      <c r="K208" s="90"/>
      <c r="L208" s="90"/>
      <c r="M208" s="90"/>
      <c r="N208" s="90"/>
      <c r="O208" s="90"/>
      <c r="P208" s="90">
        <f t="shared" si="26"/>
        <v>0.39</v>
      </c>
      <c r="Q208" s="90">
        <f>SUM($B208:E208)</f>
        <v>0</v>
      </c>
      <c r="R208" s="89"/>
      <c r="AH208" s="90">
        <f t="shared" si="27"/>
        <v>0</v>
      </c>
      <c r="AI208" s="90">
        <f t="shared" si="28"/>
        <v>0</v>
      </c>
      <c r="AJ208" s="89"/>
      <c r="AZ208" s="90">
        <f t="shared" si="29"/>
        <v>0</v>
      </c>
      <c r="BA208" s="90">
        <f t="shared" si="30"/>
        <v>0</v>
      </c>
      <c r="BB208" s="89"/>
      <c r="BR208" s="90">
        <f t="shared" si="31"/>
        <v>0</v>
      </c>
      <c r="BS208" s="90">
        <f>ROUND(BR208*IFERROR(VLOOKUP($BC208,'3121% SY'!$A$2:$M$324,13,FALSE),0),3)</f>
        <v>0</v>
      </c>
      <c r="BT208" s="90">
        <f t="shared" si="32"/>
        <v>0</v>
      </c>
      <c r="BU208" s="90">
        <f>ROUND(BT208*IFERROR(VLOOKUP($BC208,'3121% SY'!$A$2:$M$324,13,FALSE),0),3)</f>
        <v>0</v>
      </c>
    </row>
    <row r="209" spans="1:73" x14ac:dyDescent="0.25">
      <c r="A209" s="88" t="s">
        <v>244</v>
      </c>
      <c r="B209" s="90"/>
      <c r="C209" s="90"/>
      <c r="D209" s="90">
        <v>0.70299999999999996</v>
      </c>
      <c r="E209" s="90"/>
      <c r="F209" s="90"/>
      <c r="G209" s="90">
        <v>2.33</v>
      </c>
      <c r="H209" s="90"/>
      <c r="I209" s="90"/>
      <c r="J209" s="90"/>
      <c r="K209" s="90"/>
      <c r="L209" s="90">
        <v>1</v>
      </c>
      <c r="M209" s="90"/>
      <c r="N209" s="90"/>
      <c r="O209" s="90"/>
      <c r="P209" s="90">
        <f t="shared" si="26"/>
        <v>3.33</v>
      </c>
      <c r="Q209" s="90">
        <f>SUM($B209:E209)</f>
        <v>0.70299999999999996</v>
      </c>
      <c r="R209" s="89"/>
      <c r="AH209" s="90">
        <f t="shared" si="27"/>
        <v>0</v>
      </c>
      <c r="AI209" s="90">
        <f t="shared" si="28"/>
        <v>0</v>
      </c>
      <c r="AJ209" s="89"/>
      <c r="AZ209" s="90">
        <f t="shared" si="29"/>
        <v>0</v>
      </c>
      <c r="BA209" s="90">
        <f t="shared" si="30"/>
        <v>0</v>
      </c>
      <c r="BB209" s="89"/>
      <c r="BR209" s="90">
        <f t="shared" si="31"/>
        <v>0</v>
      </c>
      <c r="BS209" s="90">
        <f>ROUND(BR209*IFERROR(VLOOKUP($BC209,'3121% SY'!$A$2:$M$324,13,FALSE),0),3)</f>
        <v>0</v>
      </c>
      <c r="BT209" s="90">
        <f t="shared" si="32"/>
        <v>0</v>
      </c>
      <c r="BU209" s="90">
        <f>ROUND(BT209*IFERROR(VLOOKUP($BC209,'3121% SY'!$A$2:$M$324,13,FALSE),0),3)</f>
        <v>0</v>
      </c>
    </row>
    <row r="210" spans="1:73" x14ac:dyDescent="0.25">
      <c r="A210" s="88" t="s">
        <v>245</v>
      </c>
      <c r="B210" s="90">
        <v>0.315</v>
      </c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>
        <f t="shared" si="26"/>
        <v>0</v>
      </c>
      <c r="Q210" s="90">
        <f>SUM($B210:E210)</f>
        <v>0.315</v>
      </c>
      <c r="R210" s="89"/>
      <c r="AH210" s="90">
        <f t="shared" si="27"/>
        <v>0</v>
      </c>
      <c r="AI210" s="90">
        <f t="shared" si="28"/>
        <v>0</v>
      </c>
      <c r="AJ210" s="89"/>
      <c r="AZ210" s="90">
        <f t="shared" si="29"/>
        <v>0</v>
      </c>
      <c r="BA210" s="90">
        <f t="shared" si="30"/>
        <v>0</v>
      </c>
      <c r="BB210" s="89"/>
      <c r="BR210" s="90">
        <f t="shared" si="31"/>
        <v>0</v>
      </c>
      <c r="BS210" s="90">
        <f>ROUND(BR210*IFERROR(VLOOKUP($BC210,'3121% SY'!$A$2:$M$324,13,FALSE),0),3)</f>
        <v>0</v>
      </c>
      <c r="BT210" s="90">
        <f t="shared" si="32"/>
        <v>0</v>
      </c>
      <c r="BU210" s="90">
        <f>ROUND(BT210*IFERROR(VLOOKUP($BC210,'3121% SY'!$A$2:$M$324,13,FALSE),0),3)</f>
        <v>0</v>
      </c>
    </row>
    <row r="211" spans="1:73" x14ac:dyDescent="0.25">
      <c r="A211" s="88" t="s">
        <v>246</v>
      </c>
      <c r="B211" s="90"/>
      <c r="C211" s="90"/>
      <c r="D211" s="90"/>
      <c r="E211" s="90"/>
      <c r="F211" s="90"/>
      <c r="G211" s="90">
        <v>0.19600000000000001</v>
      </c>
      <c r="H211" s="90"/>
      <c r="I211" s="90"/>
      <c r="J211" s="90"/>
      <c r="K211" s="90"/>
      <c r="L211" s="90"/>
      <c r="M211" s="90"/>
      <c r="N211" s="90"/>
      <c r="O211" s="90"/>
      <c r="P211" s="90">
        <f t="shared" si="26"/>
        <v>0.19600000000000001</v>
      </c>
      <c r="Q211" s="90">
        <f>SUM($B211:E211)</f>
        <v>0</v>
      </c>
      <c r="R211" s="89"/>
      <c r="AH211" s="90">
        <f t="shared" si="27"/>
        <v>0</v>
      </c>
      <c r="AI211" s="90">
        <f t="shared" si="28"/>
        <v>0</v>
      </c>
      <c r="AJ211" s="89"/>
      <c r="AZ211" s="90">
        <f t="shared" si="29"/>
        <v>0</v>
      </c>
      <c r="BA211" s="90">
        <f t="shared" si="30"/>
        <v>0</v>
      </c>
      <c r="BB211" s="89"/>
      <c r="BR211" s="90">
        <f t="shared" si="31"/>
        <v>0</v>
      </c>
      <c r="BS211" s="90">
        <f>ROUND(BR211*IFERROR(VLOOKUP($BC211,'3121% SY'!$A$2:$M$324,13,FALSE),0),3)</f>
        <v>0</v>
      </c>
      <c r="BT211" s="90">
        <f t="shared" si="32"/>
        <v>0</v>
      </c>
      <c r="BU211" s="90">
        <f>ROUND(BT211*IFERROR(VLOOKUP($BC211,'3121% SY'!$A$2:$M$324,13,FALSE),0),3)</f>
        <v>0</v>
      </c>
    </row>
    <row r="212" spans="1:73" x14ac:dyDescent="0.25">
      <c r="A212" s="88" t="s">
        <v>247</v>
      </c>
      <c r="B212" s="90"/>
      <c r="C212" s="90"/>
      <c r="D212" s="90"/>
      <c r="E212" s="90"/>
      <c r="F212" s="90"/>
      <c r="G212" s="90">
        <v>0.11899999999999999</v>
      </c>
      <c r="H212" s="90"/>
      <c r="I212" s="90"/>
      <c r="J212" s="90"/>
      <c r="K212" s="90"/>
      <c r="L212" s="90"/>
      <c r="M212" s="90"/>
      <c r="N212" s="90"/>
      <c r="O212" s="90"/>
      <c r="P212" s="90">
        <f t="shared" si="26"/>
        <v>0.11899999999999999</v>
      </c>
      <c r="Q212" s="90">
        <f>SUM($B212:E212)</f>
        <v>0</v>
      </c>
      <c r="R212" s="89"/>
      <c r="AH212" s="90">
        <f t="shared" si="27"/>
        <v>0</v>
      </c>
      <c r="AI212" s="90">
        <f t="shared" si="28"/>
        <v>0</v>
      </c>
      <c r="AJ212" s="89"/>
      <c r="AZ212" s="90">
        <f t="shared" si="29"/>
        <v>0</v>
      </c>
      <c r="BA212" s="90">
        <f t="shared" si="30"/>
        <v>0</v>
      </c>
      <c r="BB212" s="89"/>
      <c r="BR212" s="90">
        <f t="shared" si="31"/>
        <v>0</v>
      </c>
      <c r="BS212" s="90">
        <f>ROUND(BR212*IFERROR(VLOOKUP($BC212,'3121% SY'!$A$2:$M$324,13,FALSE),0),3)</f>
        <v>0</v>
      </c>
      <c r="BT212" s="90">
        <f t="shared" si="32"/>
        <v>0</v>
      </c>
      <c r="BU212" s="90">
        <f>ROUND(BT212*IFERROR(VLOOKUP($BC212,'3121% SY'!$A$2:$M$324,13,FALSE),0),3)</f>
        <v>0</v>
      </c>
    </row>
    <row r="213" spans="1:73" x14ac:dyDescent="0.25">
      <c r="A213" s="88" t="s">
        <v>248</v>
      </c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>
        <v>0.127</v>
      </c>
      <c r="M213" s="90"/>
      <c r="N213" s="90"/>
      <c r="O213" s="90"/>
      <c r="P213" s="90">
        <f t="shared" si="26"/>
        <v>0.127</v>
      </c>
      <c r="Q213" s="90">
        <f>SUM($B213:E213)</f>
        <v>0</v>
      </c>
      <c r="R213" s="89"/>
      <c r="AH213" s="90">
        <f t="shared" si="27"/>
        <v>0</v>
      </c>
      <c r="AI213" s="90">
        <f t="shared" si="28"/>
        <v>0</v>
      </c>
      <c r="AJ213" s="89"/>
      <c r="AZ213" s="90">
        <f t="shared" si="29"/>
        <v>0</v>
      </c>
      <c r="BA213" s="90">
        <f t="shared" si="30"/>
        <v>0</v>
      </c>
      <c r="BB213" s="89"/>
      <c r="BR213" s="90">
        <f t="shared" si="31"/>
        <v>0</v>
      </c>
      <c r="BS213" s="90">
        <f>ROUND(BR213*IFERROR(VLOOKUP($BC213,'3121% SY'!$A$2:$M$324,13,FALSE),0),3)</f>
        <v>0</v>
      </c>
      <c r="BT213" s="90">
        <f t="shared" si="32"/>
        <v>0</v>
      </c>
      <c r="BU213" s="90">
        <f>ROUND(BT213*IFERROR(VLOOKUP($BC213,'3121% SY'!$A$2:$M$324,13,FALSE),0),3)</f>
        <v>0</v>
      </c>
    </row>
    <row r="214" spans="1:73" x14ac:dyDescent="0.25">
      <c r="A214" s="88" t="s">
        <v>250</v>
      </c>
      <c r="B214" s="90"/>
      <c r="C214" s="90"/>
      <c r="D214" s="90">
        <v>0.224</v>
      </c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>
        <f t="shared" si="26"/>
        <v>0</v>
      </c>
      <c r="Q214" s="90">
        <f>SUM($B214:E214)</f>
        <v>0.224</v>
      </c>
      <c r="R214" s="89"/>
      <c r="AH214" s="90">
        <f t="shared" si="27"/>
        <v>0</v>
      </c>
      <c r="AI214" s="90">
        <f t="shared" si="28"/>
        <v>0</v>
      </c>
      <c r="AJ214" s="89"/>
      <c r="AZ214" s="90">
        <f t="shared" si="29"/>
        <v>0</v>
      </c>
      <c r="BA214" s="90">
        <f t="shared" si="30"/>
        <v>0</v>
      </c>
      <c r="BB214" s="89"/>
      <c r="BR214" s="90">
        <f t="shared" si="31"/>
        <v>0</v>
      </c>
      <c r="BS214" s="90">
        <f>ROUND(BR214*IFERROR(VLOOKUP($BC214,'3121% SY'!$A$2:$M$324,13,FALSE),0),3)</f>
        <v>0</v>
      </c>
      <c r="BT214" s="90">
        <f t="shared" si="32"/>
        <v>0</v>
      </c>
      <c r="BU214" s="90">
        <f>ROUND(BT214*IFERROR(VLOOKUP($BC214,'3121% SY'!$A$2:$M$324,13,FALSE),0),3)</f>
        <v>0</v>
      </c>
    </row>
    <row r="215" spans="1:73" x14ac:dyDescent="0.25">
      <c r="A215" s="88" t="s">
        <v>251</v>
      </c>
      <c r="B215" s="90"/>
      <c r="C215" s="90"/>
      <c r="D215" s="90"/>
      <c r="E215" s="90"/>
      <c r="F215" s="90"/>
      <c r="G215" s="90">
        <v>1.5</v>
      </c>
      <c r="H215" s="90"/>
      <c r="I215" s="90"/>
      <c r="J215" s="90"/>
      <c r="K215" s="90">
        <v>0.77700000000000002</v>
      </c>
      <c r="L215" s="90"/>
      <c r="M215" s="90"/>
      <c r="N215" s="90"/>
      <c r="O215" s="90"/>
      <c r="P215" s="90">
        <f t="shared" si="26"/>
        <v>2.2770000000000001</v>
      </c>
      <c r="Q215" s="90">
        <f>SUM($B215:E215)</f>
        <v>0</v>
      </c>
      <c r="R215" s="89"/>
      <c r="AH215" s="90">
        <f t="shared" si="27"/>
        <v>0</v>
      </c>
      <c r="AI215" s="90">
        <f t="shared" si="28"/>
        <v>0</v>
      </c>
      <c r="AJ215" s="89"/>
      <c r="AZ215" s="90">
        <f t="shared" si="29"/>
        <v>0</v>
      </c>
      <c r="BA215" s="90">
        <f t="shared" si="30"/>
        <v>0</v>
      </c>
      <c r="BB215" s="89"/>
      <c r="BR215" s="90">
        <f t="shared" si="31"/>
        <v>0</v>
      </c>
      <c r="BS215" s="90">
        <f>ROUND(BR215*IFERROR(VLOOKUP($BC215,'3121% SY'!$A$2:$M$324,13,FALSE),0),3)</f>
        <v>0</v>
      </c>
      <c r="BT215" s="90">
        <f t="shared" si="32"/>
        <v>0</v>
      </c>
      <c r="BU215" s="90">
        <f>ROUND(BT215*IFERROR(VLOOKUP($BC215,'3121% SY'!$A$2:$M$324,13,FALSE),0),3)</f>
        <v>0</v>
      </c>
    </row>
    <row r="216" spans="1:73" x14ac:dyDescent="0.25">
      <c r="A216" s="88" t="s">
        <v>252</v>
      </c>
      <c r="B216" s="90"/>
      <c r="C216" s="90"/>
      <c r="D216" s="90"/>
      <c r="E216" s="90"/>
      <c r="F216" s="90"/>
      <c r="G216" s="90">
        <v>3.29</v>
      </c>
      <c r="H216" s="90"/>
      <c r="I216" s="90"/>
      <c r="J216" s="90"/>
      <c r="K216" s="90"/>
      <c r="L216" s="90">
        <v>1.9379999999999999</v>
      </c>
      <c r="M216" s="90"/>
      <c r="N216" s="90"/>
      <c r="O216" s="90"/>
      <c r="P216" s="90">
        <f t="shared" si="26"/>
        <v>5.2279999999999998</v>
      </c>
      <c r="Q216" s="90">
        <f>SUM($B216:E216)</f>
        <v>0</v>
      </c>
      <c r="R216" s="89"/>
      <c r="AH216" s="90">
        <f t="shared" si="27"/>
        <v>0</v>
      </c>
      <c r="AI216" s="90">
        <f t="shared" si="28"/>
        <v>0</v>
      </c>
      <c r="AJ216" s="89"/>
      <c r="AZ216" s="90">
        <f t="shared" si="29"/>
        <v>0</v>
      </c>
      <c r="BA216" s="90">
        <f t="shared" si="30"/>
        <v>0</v>
      </c>
      <c r="BB216" s="89"/>
      <c r="BR216" s="90">
        <f t="shared" si="31"/>
        <v>0</v>
      </c>
      <c r="BS216" s="90">
        <f>ROUND(BR216*IFERROR(VLOOKUP($BC216,'3121% SY'!$A$2:$M$324,13,FALSE),0),3)</f>
        <v>0</v>
      </c>
      <c r="BT216" s="90">
        <f t="shared" si="32"/>
        <v>0</v>
      </c>
      <c r="BU216" s="90">
        <f>ROUND(BT216*IFERROR(VLOOKUP($BC216,'3121% SY'!$A$2:$M$324,13,FALSE),0),3)</f>
        <v>0</v>
      </c>
    </row>
    <row r="217" spans="1:73" x14ac:dyDescent="0.25">
      <c r="A217" s="88" t="s">
        <v>253</v>
      </c>
      <c r="B217" s="90"/>
      <c r="C217" s="90"/>
      <c r="D217" s="90"/>
      <c r="E217" s="90"/>
      <c r="F217" s="90"/>
      <c r="G217" s="90">
        <v>16.132999999999999</v>
      </c>
      <c r="H217" s="90"/>
      <c r="I217" s="90"/>
      <c r="J217" s="90"/>
      <c r="K217" s="90"/>
      <c r="L217" s="90">
        <v>11.327999999999999</v>
      </c>
      <c r="M217" s="90"/>
      <c r="N217" s="90"/>
      <c r="O217" s="90"/>
      <c r="P217" s="90">
        <f t="shared" si="26"/>
        <v>27.460999999999999</v>
      </c>
      <c r="Q217" s="90">
        <f>SUM($B217:E217)</f>
        <v>0</v>
      </c>
      <c r="R217" s="89"/>
      <c r="AH217" s="90">
        <f t="shared" si="27"/>
        <v>0</v>
      </c>
      <c r="AI217" s="90">
        <f t="shared" si="28"/>
        <v>0</v>
      </c>
      <c r="AJ217" s="89"/>
      <c r="AZ217" s="90">
        <f t="shared" si="29"/>
        <v>0</v>
      </c>
      <c r="BA217" s="90">
        <f t="shared" si="30"/>
        <v>0</v>
      </c>
      <c r="BB217" s="89"/>
      <c r="BR217" s="90">
        <f t="shared" si="31"/>
        <v>0</v>
      </c>
      <c r="BS217" s="90">
        <f>ROUND(BR217*IFERROR(VLOOKUP($BC217,'3121% SY'!$A$2:$M$324,13,FALSE),0),3)</f>
        <v>0</v>
      </c>
      <c r="BT217" s="90">
        <f t="shared" si="32"/>
        <v>0</v>
      </c>
      <c r="BU217" s="90">
        <f>ROUND(BT217*IFERROR(VLOOKUP($BC217,'3121% SY'!$A$2:$M$324,13,FALSE),0),3)</f>
        <v>0</v>
      </c>
    </row>
    <row r="218" spans="1:73" x14ac:dyDescent="0.25">
      <c r="A218" s="88" t="s">
        <v>254</v>
      </c>
      <c r="B218" s="90"/>
      <c r="C218" s="90">
        <v>4.1340000000000003</v>
      </c>
      <c r="D218" s="90">
        <v>3.5550000000000002</v>
      </c>
      <c r="E218" s="90"/>
      <c r="F218" s="90"/>
      <c r="G218" s="90">
        <v>8.1660000000000004</v>
      </c>
      <c r="H218" s="90"/>
      <c r="I218" s="90"/>
      <c r="J218" s="90"/>
      <c r="K218" s="90"/>
      <c r="L218" s="90">
        <v>3.2639999999999998</v>
      </c>
      <c r="M218" s="90"/>
      <c r="N218" s="90"/>
      <c r="O218" s="90"/>
      <c r="P218" s="90">
        <f t="shared" si="26"/>
        <v>11.43</v>
      </c>
      <c r="Q218" s="90">
        <f>SUM($B218:E218)</f>
        <v>7.6890000000000001</v>
      </c>
      <c r="R218" s="89"/>
      <c r="AH218" s="90">
        <f t="shared" si="27"/>
        <v>0</v>
      </c>
      <c r="AI218" s="90">
        <f t="shared" si="28"/>
        <v>0</v>
      </c>
      <c r="AJ218" s="89"/>
      <c r="AZ218" s="90">
        <f t="shared" si="29"/>
        <v>0</v>
      </c>
      <c r="BA218" s="90">
        <f t="shared" si="30"/>
        <v>0</v>
      </c>
      <c r="BB218" s="89"/>
      <c r="BR218" s="90">
        <f t="shared" si="31"/>
        <v>0</v>
      </c>
      <c r="BS218" s="90">
        <f>ROUND(BR218*IFERROR(VLOOKUP($BC218,'3121% SY'!$A$2:$M$324,13,FALSE),0),3)</f>
        <v>0</v>
      </c>
      <c r="BT218" s="90">
        <f t="shared" si="32"/>
        <v>0</v>
      </c>
      <c r="BU218" s="90">
        <f>ROUND(BT218*IFERROR(VLOOKUP($BC218,'3121% SY'!$A$2:$M$324,13,FALSE),0),3)</f>
        <v>0</v>
      </c>
    </row>
    <row r="219" spans="1:73" x14ac:dyDescent="0.25">
      <c r="A219" s="88" t="s">
        <v>255</v>
      </c>
      <c r="B219" s="90"/>
      <c r="C219" s="90">
        <v>0.27100000000000002</v>
      </c>
      <c r="D219" s="90">
        <v>4.2060000000000004</v>
      </c>
      <c r="E219" s="90"/>
      <c r="F219" s="90"/>
      <c r="G219" s="90">
        <v>1.667</v>
      </c>
      <c r="H219" s="90"/>
      <c r="I219" s="90">
        <v>7.8</v>
      </c>
      <c r="J219" s="90"/>
      <c r="K219" s="90">
        <v>0.1</v>
      </c>
      <c r="L219" s="90">
        <v>3.3679999999999999</v>
      </c>
      <c r="M219" s="90"/>
      <c r="N219" s="90"/>
      <c r="O219" s="90"/>
      <c r="P219" s="90">
        <f t="shared" si="26"/>
        <v>12.935</v>
      </c>
      <c r="Q219" s="90">
        <f>SUM($B219:E219)</f>
        <v>4.4770000000000003</v>
      </c>
      <c r="R219" s="89"/>
      <c r="AH219" s="90">
        <f t="shared" si="27"/>
        <v>0</v>
      </c>
      <c r="AI219" s="90">
        <f t="shared" si="28"/>
        <v>0</v>
      </c>
      <c r="AJ219" s="89"/>
      <c r="AZ219" s="90">
        <f t="shared" si="29"/>
        <v>0</v>
      </c>
      <c r="BA219" s="90">
        <f t="shared" si="30"/>
        <v>0</v>
      </c>
      <c r="BB219" s="89"/>
      <c r="BR219" s="90">
        <f t="shared" si="31"/>
        <v>0</v>
      </c>
      <c r="BS219" s="90">
        <f>ROUND(BR219*IFERROR(VLOOKUP($BC219,'3121% SY'!$A$2:$M$324,13,FALSE),0),3)</f>
        <v>0</v>
      </c>
      <c r="BT219" s="90">
        <f t="shared" si="32"/>
        <v>0</v>
      </c>
      <c r="BU219" s="90">
        <f>ROUND(BT219*IFERROR(VLOOKUP($BC219,'3121% SY'!$A$2:$M$324,13,FALSE),0),3)</f>
        <v>0</v>
      </c>
    </row>
    <row r="220" spans="1:73" x14ac:dyDescent="0.25">
      <c r="A220" s="88" t="s">
        <v>256</v>
      </c>
      <c r="B220" s="90"/>
      <c r="C220" s="90">
        <v>1.1020000000000001</v>
      </c>
      <c r="D220" s="90"/>
      <c r="E220" s="90"/>
      <c r="F220" s="90"/>
      <c r="G220" s="90">
        <v>0.5</v>
      </c>
      <c r="H220" s="90"/>
      <c r="I220" s="90"/>
      <c r="J220" s="90"/>
      <c r="K220" s="90"/>
      <c r="L220" s="90"/>
      <c r="M220" s="90"/>
      <c r="N220" s="90">
        <v>1</v>
      </c>
      <c r="O220" s="90"/>
      <c r="P220" s="90">
        <f t="shared" si="26"/>
        <v>1.5</v>
      </c>
      <c r="Q220" s="90">
        <f>SUM($B220:E220)</f>
        <v>1.1020000000000001</v>
      </c>
      <c r="R220" s="89"/>
      <c r="AH220" s="90">
        <f t="shared" si="27"/>
        <v>0</v>
      </c>
      <c r="AI220" s="90">
        <f t="shared" si="28"/>
        <v>0</v>
      </c>
      <c r="AJ220" s="89"/>
      <c r="AZ220" s="90">
        <f t="shared" si="29"/>
        <v>0</v>
      </c>
      <c r="BA220" s="90">
        <f t="shared" si="30"/>
        <v>0</v>
      </c>
      <c r="BB220" s="89"/>
      <c r="BR220" s="90">
        <f t="shared" si="31"/>
        <v>0</v>
      </c>
      <c r="BS220" s="90">
        <f>ROUND(BR220*IFERROR(VLOOKUP($BC220,'3121% SY'!$A$2:$M$324,13,FALSE),0),3)</f>
        <v>0</v>
      </c>
      <c r="BT220" s="90">
        <f t="shared" si="32"/>
        <v>0</v>
      </c>
      <c r="BU220" s="90">
        <f>ROUND(BT220*IFERROR(VLOOKUP($BC220,'3121% SY'!$A$2:$M$324,13,FALSE),0),3)</f>
        <v>0</v>
      </c>
    </row>
    <row r="221" spans="1:73" x14ac:dyDescent="0.25">
      <c r="A221" s="88" t="s">
        <v>257</v>
      </c>
      <c r="B221" s="90"/>
      <c r="C221" s="90"/>
      <c r="D221" s="90">
        <v>0.32400000000000001</v>
      </c>
      <c r="E221" s="90"/>
      <c r="F221" s="90"/>
      <c r="G221" s="90">
        <v>0.8</v>
      </c>
      <c r="H221" s="90"/>
      <c r="I221" s="90"/>
      <c r="J221" s="90"/>
      <c r="K221" s="90"/>
      <c r="L221" s="90"/>
      <c r="M221" s="90"/>
      <c r="N221" s="90"/>
      <c r="O221" s="90"/>
      <c r="P221" s="90">
        <f t="shared" si="26"/>
        <v>0.8</v>
      </c>
      <c r="Q221" s="90">
        <f>SUM($B221:E221)</f>
        <v>0.32400000000000001</v>
      </c>
      <c r="R221" s="89"/>
      <c r="AH221" s="90">
        <f t="shared" si="27"/>
        <v>0</v>
      </c>
      <c r="AI221" s="90">
        <f t="shared" si="28"/>
        <v>0</v>
      </c>
      <c r="AJ221" s="89"/>
      <c r="AZ221" s="90">
        <f t="shared" si="29"/>
        <v>0</v>
      </c>
      <c r="BA221" s="90">
        <f t="shared" si="30"/>
        <v>0</v>
      </c>
      <c r="BB221" s="89"/>
      <c r="BR221" s="90">
        <f t="shared" si="31"/>
        <v>0</v>
      </c>
      <c r="BS221" s="90">
        <f>ROUND(BR221*IFERROR(VLOOKUP($BC221,'3121% SY'!$A$2:$M$324,13,FALSE),0),3)</f>
        <v>0</v>
      </c>
      <c r="BT221" s="90">
        <f t="shared" si="32"/>
        <v>0</v>
      </c>
      <c r="BU221" s="90">
        <f>ROUND(BT221*IFERROR(VLOOKUP($BC221,'3121% SY'!$A$2:$M$324,13,FALSE),0),3)</f>
        <v>0</v>
      </c>
    </row>
    <row r="222" spans="1:73" x14ac:dyDescent="0.25">
      <c r="A222" s="88" t="s">
        <v>258</v>
      </c>
      <c r="B222" s="90"/>
      <c r="C222" s="90"/>
      <c r="D222" s="90"/>
      <c r="E222" s="90"/>
      <c r="F222" s="90"/>
      <c r="G222" s="90">
        <v>2.3330000000000002</v>
      </c>
      <c r="H222" s="90"/>
      <c r="I222" s="90"/>
      <c r="J222" s="90"/>
      <c r="K222" s="90"/>
      <c r="L222" s="90"/>
      <c r="M222" s="90"/>
      <c r="N222" s="90"/>
      <c r="O222" s="90"/>
      <c r="P222" s="90">
        <f t="shared" si="26"/>
        <v>2.3330000000000002</v>
      </c>
      <c r="Q222" s="90">
        <f>SUM($B222:E222)</f>
        <v>0</v>
      </c>
      <c r="R222" s="89"/>
      <c r="AH222" s="90">
        <f t="shared" si="27"/>
        <v>0</v>
      </c>
      <c r="AI222" s="90">
        <f t="shared" si="28"/>
        <v>0</v>
      </c>
      <c r="AJ222" s="89"/>
      <c r="AZ222" s="90">
        <f t="shared" si="29"/>
        <v>0</v>
      </c>
      <c r="BA222" s="90">
        <f t="shared" si="30"/>
        <v>0</v>
      </c>
      <c r="BB222" s="89"/>
      <c r="BR222" s="90">
        <f t="shared" si="31"/>
        <v>0</v>
      </c>
      <c r="BS222" s="90">
        <f>ROUND(BR222*IFERROR(VLOOKUP($BC222,'3121% SY'!$A$2:$M$324,13,FALSE),0),3)</f>
        <v>0</v>
      </c>
      <c r="BT222" s="90">
        <f t="shared" si="32"/>
        <v>0</v>
      </c>
      <c r="BU222" s="90">
        <f>ROUND(BT222*IFERROR(VLOOKUP($BC222,'3121% SY'!$A$2:$M$324,13,FALSE),0),3)</f>
        <v>0</v>
      </c>
    </row>
    <row r="223" spans="1:73" x14ac:dyDescent="0.25">
      <c r="A223" s="88" t="s">
        <v>259</v>
      </c>
      <c r="B223" s="90"/>
      <c r="C223" s="90"/>
      <c r="D223" s="90">
        <v>0.75</v>
      </c>
      <c r="E223" s="90"/>
      <c r="F223" s="90"/>
      <c r="G223" s="90">
        <v>1.8</v>
      </c>
      <c r="H223" s="90"/>
      <c r="I223" s="90"/>
      <c r="J223" s="90"/>
      <c r="K223" s="90"/>
      <c r="L223" s="90"/>
      <c r="M223" s="90"/>
      <c r="N223" s="90"/>
      <c r="O223" s="90"/>
      <c r="P223" s="90">
        <f t="shared" si="26"/>
        <v>1.8</v>
      </c>
      <c r="Q223" s="90">
        <f>SUM($B223:E223)</f>
        <v>0.75</v>
      </c>
      <c r="R223" s="89"/>
      <c r="AH223" s="90">
        <f t="shared" si="27"/>
        <v>0</v>
      </c>
      <c r="AI223" s="90">
        <f t="shared" si="28"/>
        <v>0</v>
      </c>
      <c r="AJ223" s="89"/>
      <c r="AZ223" s="90">
        <f t="shared" si="29"/>
        <v>0</v>
      </c>
      <c r="BA223" s="90">
        <f t="shared" si="30"/>
        <v>0</v>
      </c>
      <c r="BB223" s="89"/>
      <c r="BR223" s="90">
        <f t="shared" si="31"/>
        <v>0</v>
      </c>
      <c r="BS223" s="90">
        <f>ROUND(BR223*IFERROR(VLOOKUP($BC223,'3121% SY'!$A$2:$M$324,13,FALSE),0),3)</f>
        <v>0</v>
      </c>
      <c r="BT223" s="90">
        <f t="shared" si="32"/>
        <v>0</v>
      </c>
      <c r="BU223" s="90">
        <f>ROUND(BT223*IFERROR(VLOOKUP($BC223,'3121% SY'!$A$2:$M$324,13,FALSE),0),3)</f>
        <v>0</v>
      </c>
    </row>
    <row r="224" spans="1:73" x14ac:dyDescent="0.25">
      <c r="A224" s="88" t="s">
        <v>617</v>
      </c>
      <c r="B224" s="90"/>
      <c r="C224" s="90"/>
      <c r="D224" s="90"/>
      <c r="E224" s="90"/>
      <c r="F224" s="90"/>
      <c r="G224" s="90">
        <v>0.67</v>
      </c>
      <c r="H224" s="90"/>
      <c r="I224" s="90"/>
      <c r="J224" s="90"/>
      <c r="K224" s="90"/>
      <c r="L224" s="90"/>
      <c r="M224" s="90"/>
      <c r="N224" s="90"/>
      <c r="O224" s="90"/>
      <c r="P224" s="90">
        <f t="shared" si="26"/>
        <v>0.67</v>
      </c>
      <c r="Q224" s="90">
        <f>SUM($B224:E224)</f>
        <v>0</v>
      </c>
      <c r="R224" s="89"/>
      <c r="AH224" s="90">
        <f t="shared" si="27"/>
        <v>0</v>
      </c>
      <c r="AI224" s="90">
        <f t="shared" si="28"/>
        <v>0</v>
      </c>
      <c r="AJ224" s="89"/>
      <c r="AZ224" s="90">
        <f t="shared" si="29"/>
        <v>0</v>
      </c>
      <c r="BA224" s="90">
        <f t="shared" si="30"/>
        <v>0</v>
      </c>
      <c r="BB224" s="89"/>
      <c r="BR224" s="90">
        <f t="shared" si="31"/>
        <v>0</v>
      </c>
      <c r="BS224" s="90">
        <f>ROUND(BR224*IFERROR(VLOOKUP($BC224,'3121% SY'!$A$2:$M$324,13,FALSE),0),3)</f>
        <v>0</v>
      </c>
      <c r="BT224" s="90">
        <f t="shared" si="32"/>
        <v>0</v>
      </c>
      <c r="BU224" s="90">
        <f>ROUND(BT224*IFERROR(VLOOKUP($BC224,'3121% SY'!$A$2:$M$324,13,FALSE),0),3)</f>
        <v>0</v>
      </c>
    </row>
    <row r="225" spans="1:73" x14ac:dyDescent="0.25">
      <c r="A225" s="88" t="s">
        <v>260</v>
      </c>
      <c r="B225" s="90"/>
      <c r="C225" s="90">
        <v>0.93700000000000006</v>
      </c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>
        <f t="shared" si="26"/>
        <v>0</v>
      </c>
      <c r="Q225" s="90">
        <f>SUM($B225:E225)</f>
        <v>0.93700000000000006</v>
      </c>
      <c r="R225" s="89"/>
      <c r="AH225" s="90">
        <f t="shared" si="27"/>
        <v>0</v>
      </c>
      <c r="AI225" s="90">
        <f t="shared" si="28"/>
        <v>0</v>
      </c>
      <c r="AJ225" s="89"/>
      <c r="AZ225" s="90">
        <f t="shared" si="29"/>
        <v>0</v>
      </c>
      <c r="BA225" s="90">
        <f t="shared" si="30"/>
        <v>0</v>
      </c>
      <c r="BB225" s="89"/>
      <c r="BR225" s="90">
        <f t="shared" si="31"/>
        <v>0</v>
      </c>
      <c r="BS225" s="90">
        <f>ROUND(BR225*IFERROR(VLOOKUP($BC225,'3121% SY'!$A$2:$M$324,13,FALSE),0),3)</f>
        <v>0</v>
      </c>
      <c r="BT225" s="90">
        <f t="shared" si="32"/>
        <v>0</v>
      </c>
      <c r="BU225" s="90">
        <f>ROUND(BT225*IFERROR(VLOOKUP($BC225,'3121% SY'!$A$2:$M$324,13,FALSE),0),3)</f>
        <v>0</v>
      </c>
    </row>
    <row r="226" spans="1:73" x14ac:dyDescent="0.25">
      <c r="A226" s="88" t="s">
        <v>262</v>
      </c>
      <c r="B226" s="90"/>
      <c r="C226" s="90"/>
      <c r="D226" s="90">
        <v>0.13100000000000001</v>
      </c>
      <c r="E226" s="90">
        <v>0.48399999999999999</v>
      </c>
      <c r="F226" s="90"/>
      <c r="G226" s="90">
        <v>5.82</v>
      </c>
      <c r="H226" s="90"/>
      <c r="I226" s="90"/>
      <c r="J226" s="90"/>
      <c r="K226" s="90"/>
      <c r="L226" s="90">
        <v>1.091</v>
      </c>
      <c r="M226" s="90"/>
      <c r="N226" s="90"/>
      <c r="O226" s="90"/>
      <c r="P226" s="90">
        <f t="shared" si="26"/>
        <v>6.9110000000000005</v>
      </c>
      <c r="Q226" s="90">
        <f>SUM($B226:E226)</f>
        <v>0.61499999999999999</v>
      </c>
      <c r="R226" s="89"/>
      <c r="AH226" s="90">
        <f t="shared" si="27"/>
        <v>0</v>
      </c>
      <c r="AI226" s="90">
        <f t="shared" si="28"/>
        <v>0</v>
      </c>
      <c r="AJ226" s="89"/>
      <c r="AZ226" s="90">
        <f t="shared" si="29"/>
        <v>0</v>
      </c>
      <c r="BA226" s="90">
        <f t="shared" si="30"/>
        <v>0</v>
      </c>
      <c r="BB226" s="89"/>
      <c r="BR226" s="90">
        <f t="shared" si="31"/>
        <v>0</v>
      </c>
      <c r="BS226" s="90">
        <f>ROUND(BR226*IFERROR(VLOOKUP($BC226,'3121% SY'!$A$2:$M$324,13,FALSE),0),3)</f>
        <v>0</v>
      </c>
      <c r="BT226" s="90">
        <f t="shared" si="32"/>
        <v>0</v>
      </c>
      <c r="BU226" s="90">
        <f>ROUND(BT226*IFERROR(VLOOKUP($BC226,'3121% SY'!$A$2:$M$324,13,FALSE),0),3)</f>
        <v>0</v>
      </c>
    </row>
    <row r="227" spans="1:73" x14ac:dyDescent="0.25">
      <c r="A227" s="88" t="s">
        <v>263</v>
      </c>
      <c r="B227" s="90"/>
      <c r="C227" s="90">
        <v>0.437</v>
      </c>
      <c r="D227" s="90">
        <v>0.70299999999999996</v>
      </c>
      <c r="E227" s="90"/>
      <c r="F227" s="90"/>
      <c r="G227" s="90">
        <v>3</v>
      </c>
      <c r="H227" s="90"/>
      <c r="I227" s="90">
        <v>0.5</v>
      </c>
      <c r="J227" s="90"/>
      <c r="K227" s="90"/>
      <c r="L227" s="90"/>
      <c r="M227" s="90"/>
      <c r="N227" s="90"/>
      <c r="O227" s="90"/>
      <c r="P227" s="90">
        <f t="shared" si="26"/>
        <v>3.5</v>
      </c>
      <c r="Q227" s="90">
        <f>SUM($B227:E227)</f>
        <v>1.1399999999999999</v>
      </c>
      <c r="R227" s="89"/>
      <c r="AH227" s="90">
        <f t="shared" si="27"/>
        <v>0</v>
      </c>
      <c r="AI227" s="90">
        <f t="shared" si="28"/>
        <v>0</v>
      </c>
      <c r="AJ227" s="89"/>
      <c r="AZ227" s="90">
        <f t="shared" si="29"/>
        <v>0</v>
      </c>
      <c r="BA227" s="90">
        <f t="shared" si="30"/>
        <v>0</v>
      </c>
      <c r="BB227" s="89"/>
      <c r="BR227" s="90">
        <f t="shared" si="31"/>
        <v>0</v>
      </c>
      <c r="BS227" s="90">
        <f>ROUND(BR227*IFERROR(VLOOKUP($BC227,'3121% SY'!$A$2:$M$324,13,FALSE),0),3)</f>
        <v>0</v>
      </c>
      <c r="BT227" s="90">
        <f t="shared" si="32"/>
        <v>0</v>
      </c>
      <c r="BU227" s="90">
        <f>ROUND(BT227*IFERROR(VLOOKUP($BC227,'3121% SY'!$A$2:$M$324,13,FALSE),0),3)</f>
        <v>0</v>
      </c>
    </row>
    <row r="228" spans="1:73" x14ac:dyDescent="0.25">
      <c r="A228" s="88" t="s">
        <v>264</v>
      </c>
      <c r="B228" s="90"/>
      <c r="C228" s="90"/>
      <c r="D228" s="90">
        <v>0.25</v>
      </c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>
        <f t="shared" si="26"/>
        <v>0</v>
      </c>
      <c r="Q228" s="90">
        <f>SUM($B228:E228)</f>
        <v>0.25</v>
      </c>
      <c r="R228" s="89"/>
      <c r="AH228" s="90">
        <f t="shared" si="27"/>
        <v>0</v>
      </c>
      <c r="AI228" s="90">
        <f t="shared" si="28"/>
        <v>0</v>
      </c>
      <c r="AJ228" s="89"/>
      <c r="AZ228" s="90">
        <f t="shared" si="29"/>
        <v>0</v>
      </c>
      <c r="BA228" s="90">
        <f t="shared" si="30"/>
        <v>0</v>
      </c>
      <c r="BB228" s="89"/>
      <c r="BR228" s="90">
        <f t="shared" si="31"/>
        <v>0</v>
      </c>
      <c r="BS228" s="90">
        <f>ROUND(BR228*IFERROR(VLOOKUP($BC228,'3121% SY'!$A$2:$M$324,13,FALSE),0),3)</f>
        <v>0</v>
      </c>
      <c r="BT228" s="90">
        <f t="shared" si="32"/>
        <v>0</v>
      </c>
      <c r="BU228" s="90">
        <f>ROUND(BT228*IFERROR(VLOOKUP($BC228,'3121% SY'!$A$2:$M$324,13,FALSE),0),3)</f>
        <v>0</v>
      </c>
    </row>
    <row r="229" spans="1:73" x14ac:dyDescent="0.25">
      <c r="A229" s="88" t="s">
        <v>265</v>
      </c>
      <c r="B229" s="90"/>
      <c r="C229" s="90"/>
      <c r="D229" s="90"/>
      <c r="E229" s="90"/>
      <c r="F229" s="90"/>
      <c r="G229" s="90"/>
      <c r="H229" s="90"/>
      <c r="I229" s="90"/>
      <c r="J229" s="90"/>
      <c r="K229" s="90">
        <v>0.25</v>
      </c>
      <c r="L229" s="90"/>
      <c r="M229" s="90"/>
      <c r="N229" s="90"/>
      <c r="O229" s="90"/>
      <c r="P229" s="90">
        <f t="shared" si="26"/>
        <v>0.25</v>
      </c>
      <c r="Q229" s="90">
        <f>SUM($B229:E229)</f>
        <v>0</v>
      </c>
      <c r="R229" s="89"/>
      <c r="AH229" s="90">
        <f t="shared" si="27"/>
        <v>0</v>
      </c>
      <c r="AI229" s="90">
        <f t="shared" si="28"/>
        <v>0</v>
      </c>
      <c r="AJ229" s="89"/>
      <c r="AZ229" s="90">
        <f t="shared" si="29"/>
        <v>0</v>
      </c>
      <c r="BA229" s="90">
        <f t="shared" si="30"/>
        <v>0</v>
      </c>
      <c r="BB229" s="89"/>
      <c r="BR229" s="90">
        <f t="shared" si="31"/>
        <v>0</v>
      </c>
      <c r="BS229" s="90">
        <f>ROUND(BR229*IFERROR(VLOOKUP($BC229,'3121% SY'!$A$2:$M$324,13,FALSE),0),3)</f>
        <v>0</v>
      </c>
      <c r="BT229" s="90">
        <f t="shared" si="32"/>
        <v>0</v>
      </c>
      <c r="BU229" s="90">
        <f>ROUND(BT229*IFERROR(VLOOKUP($BC229,'3121% SY'!$A$2:$M$324,13,FALSE),0),3)</f>
        <v>0</v>
      </c>
    </row>
    <row r="230" spans="1:73" x14ac:dyDescent="0.25">
      <c r="A230" s="88" t="s">
        <v>266</v>
      </c>
      <c r="B230" s="90">
        <v>0.23599999999999999</v>
      </c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>
        <f t="shared" si="26"/>
        <v>0</v>
      </c>
      <c r="Q230" s="90">
        <f>SUM($B230:E230)</f>
        <v>0.23599999999999999</v>
      </c>
      <c r="R230" s="89"/>
      <c r="AH230" s="90">
        <f t="shared" si="27"/>
        <v>0</v>
      </c>
      <c r="AI230" s="90">
        <f t="shared" si="28"/>
        <v>0</v>
      </c>
      <c r="AJ230" s="89"/>
      <c r="AZ230" s="90">
        <f t="shared" si="29"/>
        <v>0</v>
      </c>
      <c r="BA230" s="90">
        <f t="shared" si="30"/>
        <v>0</v>
      </c>
      <c r="BB230" s="89"/>
      <c r="BR230" s="90">
        <f t="shared" si="31"/>
        <v>0</v>
      </c>
      <c r="BS230" s="90">
        <f>ROUND(BR230*IFERROR(VLOOKUP($BC230,'3121% SY'!$A$2:$M$324,13,FALSE),0),3)</f>
        <v>0</v>
      </c>
      <c r="BT230" s="90">
        <f t="shared" si="32"/>
        <v>0</v>
      </c>
      <c r="BU230" s="90">
        <f>ROUND(BT230*IFERROR(VLOOKUP($BC230,'3121% SY'!$A$2:$M$324,13,FALSE),0),3)</f>
        <v>0</v>
      </c>
    </row>
    <row r="231" spans="1:73" x14ac:dyDescent="0.25">
      <c r="A231" s="88" t="s">
        <v>267</v>
      </c>
      <c r="B231" s="90"/>
      <c r="C231" s="90"/>
      <c r="D231" s="90">
        <v>1.2999999999999999E-2</v>
      </c>
      <c r="E231" s="90"/>
      <c r="F231" s="90"/>
      <c r="G231" s="90">
        <v>0.05</v>
      </c>
      <c r="H231" s="90"/>
      <c r="I231" s="90"/>
      <c r="J231" s="90"/>
      <c r="K231" s="90"/>
      <c r="L231" s="90"/>
      <c r="M231" s="90"/>
      <c r="N231" s="90"/>
      <c r="O231" s="90"/>
      <c r="P231" s="90">
        <f t="shared" si="26"/>
        <v>0.05</v>
      </c>
      <c r="Q231" s="90">
        <f>SUM($B231:E231)</f>
        <v>1.2999999999999999E-2</v>
      </c>
      <c r="R231" s="89"/>
      <c r="AH231" s="90">
        <f t="shared" si="27"/>
        <v>0</v>
      </c>
      <c r="AI231" s="90">
        <f t="shared" si="28"/>
        <v>0</v>
      </c>
      <c r="AJ231" s="89"/>
      <c r="AZ231" s="90">
        <f t="shared" si="29"/>
        <v>0</v>
      </c>
      <c r="BA231" s="90">
        <f t="shared" si="30"/>
        <v>0</v>
      </c>
      <c r="BB231" s="89"/>
      <c r="BR231" s="90">
        <f t="shared" si="31"/>
        <v>0</v>
      </c>
      <c r="BS231" s="90">
        <f>ROUND(BR231*IFERROR(VLOOKUP($BC231,'3121% SY'!$A$2:$M$324,13,FALSE),0),3)</f>
        <v>0</v>
      </c>
      <c r="BT231" s="90">
        <f t="shared" si="32"/>
        <v>0</v>
      </c>
      <c r="BU231" s="90">
        <f>ROUND(BT231*IFERROR(VLOOKUP($BC231,'3121% SY'!$A$2:$M$324,13,FALSE),0),3)</f>
        <v>0</v>
      </c>
    </row>
    <row r="232" spans="1:73" x14ac:dyDescent="0.25">
      <c r="A232" s="88" t="s">
        <v>268</v>
      </c>
      <c r="B232" s="90"/>
      <c r="C232" s="90"/>
      <c r="D232" s="90"/>
      <c r="E232" s="90"/>
      <c r="F232" s="90"/>
      <c r="G232" s="90">
        <v>5.6</v>
      </c>
      <c r="H232" s="90"/>
      <c r="I232" s="90"/>
      <c r="J232" s="90"/>
      <c r="K232" s="90"/>
      <c r="L232" s="90">
        <v>4.8310000000000004</v>
      </c>
      <c r="M232" s="90"/>
      <c r="N232" s="90"/>
      <c r="O232" s="90"/>
      <c r="P232" s="90">
        <f t="shared" si="26"/>
        <v>10.431000000000001</v>
      </c>
      <c r="Q232" s="90">
        <f>SUM($B232:E232)</f>
        <v>0</v>
      </c>
      <c r="R232" s="89"/>
      <c r="AH232" s="90">
        <f t="shared" si="27"/>
        <v>0</v>
      </c>
      <c r="AI232" s="90">
        <f t="shared" si="28"/>
        <v>0</v>
      </c>
      <c r="AJ232" s="89"/>
      <c r="AZ232" s="90">
        <f t="shared" si="29"/>
        <v>0</v>
      </c>
      <c r="BA232" s="90">
        <f t="shared" si="30"/>
        <v>0</v>
      </c>
      <c r="BB232" s="89"/>
      <c r="BR232" s="90">
        <f t="shared" si="31"/>
        <v>0</v>
      </c>
      <c r="BS232" s="90">
        <f>ROUND(BR232*IFERROR(VLOOKUP($BC232,'3121% SY'!$A$2:$M$324,13,FALSE),0),3)</f>
        <v>0</v>
      </c>
      <c r="BT232" s="90">
        <f t="shared" si="32"/>
        <v>0</v>
      </c>
      <c r="BU232" s="90">
        <f>ROUND(BT232*IFERROR(VLOOKUP($BC232,'3121% SY'!$A$2:$M$324,13,FALSE),0),3)</f>
        <v>0</v>
      </c>
    </row>
    <row r="233" spans="1:73" x14ac:dyDescent="0.25">
      <c r="A233" s="88" t="s">
        <v>269</v>
      </c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>
        <v>1.5</v>
      </c>
      <c r="M233" s="90"/>
      <c r="N233" s="90"/>
      <c r="O233" s="90"/>
      <c r="P233" s="90">
        <f t="shared" si="26"/>
        <v>1.5</v>
      </c>
      <c r="Q233" s="90">
        <f>SUM($B233:E233)</f>
        <v>0</v>
      </c>
      <c r="R233" s="89"/>
      <c r="AH233" s="90">
        <f t="shared" si="27"/>
        <v>0</v>
      </c>
      <c r="AI233" s="90">
        <f t="shared" si="28"/>
        <v>0</v>
      </c>
      <c r="AJ233" s="89"/>
      <c r="AZ233" s="90">
        <f t="shared" si="29"/>
        <v>0</v>
      </c>
      <c r="BA233" s="90">
        <f t="shared" si="30"/>
        <v>0</v>
      </c>
      <c r="BB233" s="89"/>
      <c r="BR233" s="90">
        <f t="shared" si="31"/>
        <v>0</v>
      </c>
      <c r="BS233" s="90">
        <f>ROUND(BR233*IFERROR(VLOOKUP($BC233,'3121% SY'!$A$2:$M$324,13,FALSE),0),3)</f>
        <v>0</v>
      </c>
      <c r="BT233" s="90">
        <f t="shared" si="32"/>
        <v>0</v>
      </c>
      <c r="BU233" s="90">
        <f>ROUND(BT233*IFERROR(VLOOKUP($BC233,'3121% SY'!$A$2:$M$324,13,FALSE),0),3)</f>
        <v>0</v>
      </c>
    </row>
    <row r="234" spans="1:73" x14ac:dyDescent="0.25">
      <c r="A234" s="88" t="s">
        <v>270</v>
      </c>
      <c r="B234" s="90"/>
      <c r="C234" s="90">
        <v>0.23200000000000001</v>
      </c>
      <c r="D234" s="90">
        <v>0.27800000000000002</v>
      </c>
      <c r="E234" s="90"/>
      <c r="F234" s="90"/>
      <c r="G234" s="90">
        <v>2.31</v>
      </c>
      <c r="H234" s="90"/>
      <c r="I234" s="90">
        <v>3.5999999999999997E-2</v>
      </c>
      <c r="J234" s="90"/>
      <c r="K234" s="90"/>
      <c r="L234" s="90">
        <v>0.95</v>
      </c>
      <c r="M234" s="90"/>
      <c r="N234" s="90"/>
      <c r="O234" s="90"/>
      <c r="P234" s="90">
        <f t="shared" si="26"/>
        <v>3.2960000000000003</v>
      </c>
      <c r="Q234" s="90">
        <f>SUM($B234:E234)</f>
        <v>0.51</v>
      </c>
      <c r="R234" s="89"/>
      <c r="AH234" s="90">
        <f t="shared" si="27"/>
        <v>0</v>
      </c>
      <c r="AI234" s="90">
        <f t="shared" si="28"/>
        <v>0</v>
      </c>
      <c r="AJ234" s="89"/>
      <c r="AZ234" s="90">
        <f t="shared" si="29"/>
        <v>0</v>
      </c>
      <c r="BA234" s="90">
        <f t="shared" si="30"/>
        <v>0</v>
      </c>
      <c r="BB234" s="89"/>
      <c r="BR234" s="90">
        <f t="shared" si="31"/>
        <v>0</v>
      </c>
      <c r="BS234" s="90">
        <f>ROUND(BR234*IFERROR(VLOOKUP($BC234,'3121% SY'!$A$2:$M$324,13,FALSE),0),3)</f>
        <v>0</v>
      </c>
      <c r="BT234" s="90">
        <f t="shared" si="32"/>
        <v>0</v>
      </c>
      <c r="BU234" s="90">
        <f>ROUND(BT234*IFERROR(VLOOKUP($BC234,'3121% SY'!$A$2:$M$324,13,FALSE),0),3)</f>
        <v>0</v>
      </c>
    </row>
    <row r="235" spans="1:73" x14ac:dyDescent="0.25">
      <c r="A235" s="88" t="s">
        <v>271</v>
      </c>
      <c r="B235" s="90"/>
      <c r="C235" s="90"/>
      <c r="D235" s="90"/>
      <c r="E235" s="90"/>
      <c r="F235" s="90"/>
      <c r="G235" s="90">
        <v>3.8</v>
      </c>
      <c r="H235" s="90"/>
      <c r="I235" s="90"/>
      <c r="J235" s="90"/>
      <c r="K235" s="90"/>
      <c r="L235" s="90">
        <v>1</v>
      </c>
      <c r="M235" s="90"/>
      <c r="N235" s="90"/>
      <c r="O235" s="90"/>
      <c r="P235" s="90">
        <f t="shared" si="26"/>
        <v>4.8</v>
      </c>
      <c r="Q235" s="90">
        <f>SUM($B235:E235)</f>
        <v>0</v>
      </c>
      <c r="R235" s="89"/>
      <c r="AH235" s="90">
        <f t="shared" si="27"/>
        <v>0</v>
      </c>
      <c r="AI235" s="90">
        <f t="shared" si="28"/>
        <v>0</v>
      </c>
      <c r="AJ235" s="89"/>
      <c r="AZ235" s="90">
        <f t="shared" si="29"/>
        <v>0</v>
      </c>
      <c r="BA235" s="90">
        <f t="shared" si="30"/>
        <v>0</v>
      </c>
      <c r="BB235" s="89"/>
      <c r="BR235" s="90">
        <f t="shared" si="31"/>
        <v>0</v>
      </c>
      <c r="BS235" s="90">
        <f>ROUND(BR235*IFERROR(VLOOKUP($BC235,'3121% SY'!$A$2:$M$324,13,FALSE),0),3)</f>
        <v>0</v>
      </c>
      <c r="BT235" s="90">
        <f t="shared" si="32"/>
        <v>0</v>
      </c>
      <c r="BU235" s="90">
        <f>ROUND(BT235*IFERROR(VLOOKUP($BC235,'3121% SY'!$A$2:$M$324,13,FALSE),0),3)</f>
        <v>0</v>
      </c>
    </row>
    <row r="236" spans="1:73" x14ac:dyDescent="0.25">
      <c r="A236" s="88" t="s">
        <v>272</v>
      </c>
      <c r="B236" s="90">
        <v>0.20599999999999999</v>
      </c>
      <c r="C236" s="90">
        <v>2.9169999999999998</v>
      </c>
      <c r="D236" s="90">
        <v>0.54100000000000004</v>
      </c>
      <c r="E236" s="90"/>
      <c r="F236" s="90"/>
      <c r="G236" s="90">
        <v>2.1869999999999998</v>
      </c>
      <c r="H236" s="90"/>
      <c r="I236" s="90"/>
      <c r="J236" s="90"/>
      <c r="K236" s="90"/>
      <c r="L236" s="90">
        <v>1</v>
      </c>
      <c r="M236" s="90">
        <v>0.4</v>
      </c>
      <c r="N236" s="90"/>
      <c r="O236" s="90"/>
      <c r="P236" s="90">
        <f t="shared" si="26"/>
        <v>3.5869999999999997</v>
      </c>
      <c r="Q236" s="90">
        <f>SUM($B236:E236)</f>
        <v>3.6639999999999997</v>
      </c>
      <c r="R236" s="89"/>
      <c r="AH236" s="90">
        <f t="shared" si="27"/>
        <v>0</v>
      </c>
      <c r="AI236" s="90">
        <f t="shared" si="28"/>
        <v>0</v>
      </c>
      <c r="AJ236" s="89"/>
      <c r="AZ236" s="90">
        <f t="shared" si="29"/>
        <v>0</v>
      </c>
      <c r="BA236" s="90">
        <f t="shared" si="30"/>
        <v>0</v>
      </c>
      <c r="BB236" s="89"/>
      <c r="BR236" s="90">
        <f t="shared" si="31"/>
        <v>0</v>
      </c>
      <c r="BS236" s="90">
        <f>ROUND(BR236*IFERROR(VLOOKUP($BC236,'3121% SY'!$A$2:$M$324,13,FALSE),0),3)</f>
        <v>0</v>
      </c>
      <c r="BT236" s="90">
        <f t="shared" si="32"/>
        <v>0</v>
      </c>
      <c r="BU236" s="90">
        <f>ROUND(BT236*IFERROR(VLOOKUP($BC236,'3121% SY'!$A$2:$M$324,13,FALSE),0),3)</f>
        <v>0</v>
      </c>
    </row>
    <row r="237" spans="1:73" x14ac:dyDescent="0.25">
      <c r="A237" s="88" t="s">
        <v>273</v>
      </c>
      <c r="B237" s="90"/>
      <c r="C237" s="90"/>
      <c r="D237" s="90"/>
      <c r="E237" s="90"/>
      <c r="F237" s="90"/>
      <c r="G237" s="90">
        <v>2.9209999999999998</v>
      </c>
      <c r="H237" s="90"/>
      <c r="I237" s="90"/>
      <c r="J237" s="90"/>
      <c r="K237" s="90"/>
      <c r="L237" s="90"/>
      <c r="M237" s="90"/>
      <c r="N237" s="90"/>
      <c r="O237" s="90"/>
      <c r="P237" s="90">
        <f t="shared" si="26"/>
        <v>2.9209999999999998</v>
      </c>
      <c r="Q237" s="90">
        <f>SUM($B237:E237)</f>
        <v>0</v>
      </c>
      <c r="R237" s="89"/>
      <c r="AH237" s="90">
        <f t="shared" si="27"/>
        <v>0</v>
      </c>
      <c r="AI237" s="90">
        <f t="shared" si="28"/>
        <v>0</v>
      </c>
      <c r="AJ237" s="89"/>
      <c r="AZ237" s="90">
        <f t="shared" si="29"/>
        <v>0</v>
      </c>
      <c r="BA237" s="90">
        <f t="shared" si="30"/>
        <v>0</v>
      </c>
      <c r="BB237" s="89"/>
      <c r="BR237" s="90">
        <f t="shared" si="31"/>
        <v>0</v>
      </c>
      <c r="BS237" s="90">
        <f>ROUND(BR237*IFERROR(VLOOKUP($BC237,'3121% SY'!$A$2:$M$324,13,FALSE),0),3)</f>
        <v>0</v>
      </c>
      <c r="BT237" s="90">
        <f t="shared" si="32"/>
        <v>0</v>
      </c>
      <c r="BU237" s="90">
        <f>ROUND(BT237*IFERROR(VLOOKUP($BC237,'3121% SY'!$A$2:$M$324,13,FALSE),0),3)</f>
        <v>0</v>
      </c>
    </row>
    <row r="238" spans="1:73" x14ac:dyDescent="0.25">
      <c r="A238" s="88" t="s">
        <v>274</v>
      </c>
      <c r="B238" s="90"/>
      <c r="C238" s="90"/>
      <c r="D238" s="90"/>
      <c r="E238" s="90"/>
      <c r="F238" s="90"/>
      <c r="G238" s="90">
        <v>2.3330000000000002</v>
      </c>
      <c r="H238" s="90"/>
      <c r="I238" s="90"/>
      <c r="J238" s="90"/>
      <c r="K238" s="90"/>
      <c r="L238" s="90">
        <v>0.63100000000000001</v>
      </c>
      <c r="M238" s="90"/>
      <c r="N238" s="90"/>
      <c r="O238" s="90"/>
      <c r="P238" s="90">
        <f t="shared" si="26"/>
        <v>2.9640000000000004</v>
      </c>
      <c r="Q238" s="90">
        <f>SUM($B238:E238)</f>
        <v>0</v>
      </c>
      <c r="R238" s="89"/>
      <c r="AH238" s="90">
        <f t="shared" si="27"/>
        <v>0</v>
      </c>
      <c r="AI238" s="90">
        <f t="shared" si="28"/>
        <v>0</v>
      </c>
      <c r="AJ238" s="89"/>
      <c r="AZ238" s="90">
        <f t="shared" si="29"/>
        <v>0</v>
      </c>
      <c r="BA238" s="90">
        <f t="shared" si="30"/>
        <v>0</v>
      </c>
      <c r="BB238" s="89"/>
      <c r="BR238" s="90">
        <f t="shared" si="31"/>
        <v>0</v>
      </c>
      <c r="BS238" s="90">
        <f>ROUND(BR238*IFERROR(VLOOKUP($BC238,'3121% SY'!$A$2:$M$324,13,FALSE),0),3)</f>
        <v>0</v>
      </c>
      <c r="BT238" s="90">
        <f t="shared" si="32"/>
        <v>0</v>
      </c>
      <c r="BU238" s="90">
        <f>ROUND(BT238*IFERROR(VLOOKUP($BC238,'3121% SY'!$A$2:$M$324,13,FALSE),0),3)</f>
        <v>0</v>
      </c>
    </row>
    <row r="239" spans="1:73" x14ac:dyDescent="0.25">
      <c r="A239" s="88" t="s">
        <v>275</v>
      </c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>
        <v>1</v>
      </c>
      <c r="M239" s="90"/>
      <c r="N239" s="90"/>
      <c r="O239" s="90"/>
      <c r="P239" s="90">
        <f t="shared" si="26"/>
        <v>1</v>
      </c>
      <c r="Q239" s="90">
        <f>SUM($B239:E239)</f>
        <v>0</v>
      </c>
      <c r="R239" s="89"/>
      <c r="AH239" s="90">
        <f t="shared" si="27"/>
        <v>0</v>
      </c>
      <c r="AI239" s="90">
        <f t="shared" si="28"/>
        <v>0</v>
      </c>
      <c r="AJ239" s="89"/>
      <c r="AZ239" s="90">
        <f t="shared" si="29"/>
        <v>0</v>
      </c>
      <c r="BA239" s="90">
        <f t="shared" si="30"/>
        <v>0</v>
      </c>
      <c r="BB239" s="89"/>
      <c r="BR239" s="90">
        <f t="shared" si="31"/>
        <v>0</v>
      </c>
      <c r="BS239" s="90">
        <f>ROUND(BR239*IFERROR(VLOOKUP($BC239,'3121% SY'!$A$2:$M$324,13,FALSE),0),3)</f>
        <v>0</v>
      </c>
      <c r="BT239" s="90">
        <f t="shared" si="32"/>
        <v>0</v>
      </c>
      <c r="BU239" s="90">
        <f>ROUND(BT239*IFERROR(VLOOKUP($BC239,'3121% SY'!$A$2:$M$324,13,FALSE),0),3)</f>
        <v>0</v>
      </c>
    </row>
    <row r="240" spans="1:73" x14ac:dyDescent="0.25">
      <c r="A240" s="88" t="s">
        <v>278</v>
      </c>
      <c r="B240" s="90"/>
      <c r="C240" s="90"/>
      <c r="D240" s="90"/>
      <c r="E240" s="90"/>
      <c r="F240" s="90"/>
      <c r="G240" s="90">
        <v>0.5</v>
      </c>
      <c r="H240" s="90"/>
      <c r="I240" s="90"/>
      <c r="J240" s="90"/>
      <c r="K240" s="90"/>
      <c r="L240" s="90"/>
      <c r="M240" s="90"/>
      <c r="N240" s="90"/>
      <c r="O240" s="90"/>
      <c r="P240" s="90">
        <f t="shared" si="26"/>
        <v>0.5</v>
      </c>
      <c r="Q240" s="90">
        <f>SUM($B240:E240)</f>
        <v>0</v>
      </c>
      <c r="R240" s="89"/>
      <c r="AH240" s="90">
        <f t="shared" si="27"/>
        <v>0</v>
      </c>
      <c r="AI240" s="90">
        <f t="shared" si="28"/>
        <v>0</v>
      </c>
      <c r="AJ240" s="89"/>
      <c r="AZ240" s="90">
        <f t="shared" si="29"/>
        <v>0</v>
      </c>
      <c r="BA240" s="90">
        <f t="shared" si="30"/>
        <v>0</v>
      </c>
      <c r="BB240" s="89"/>
      <c r="BR240" s="90">
        <f t="shared" si="31"/>
        <v>0</v>
      </c>
      <c r="BS240" s="90">
        <f>ROUND(BR240*IFERROR(VLOOKUP($BC240,'3121% SY'!$A$2:$M$324,13,FALSE),0),3)</f>
        <v>0</v>
      </c>
      <c r="BT240" s="90">
        <f t="shared" si="32"/>
        <v>0</v>
      </c>
      <c r="BU240" s="90">
        <f>ROUND(BT240*IFERROR(VLOOKUP($BC240,'3121% SY'!$A$2:$M$324,13,FALSE),0),3)</f>
        <v>0</v>
      </c>
    </row>
    <row r="241" spans="1:73" x14ac:dyDescent="0.25">
      <c r="A241" s="88" t="s">
        <v>279</v>
      </c>
      <c r="B241" s="90"/>
      <c r="C241" s="90"/>
      <c r="D241" s="90">
        <v>1.3420000000000001</v>
      </c>
      <c r="E241" s="90"/>
      <c r="F241" s="90"/>
      <c r="G241" s="90">
        <v>3</v>
      </c>
      <c r="H241" s="90"/>
      <c r="I241" s="90"/>
      <c r="J241" s="90"/>
      <c r="K241" s="90"/>
      <c r="L241" s="90"/>
      <c r="M241" s="90"/>
      <c r="N241" s="90">
        <v>0.153</v>
      </c>
      <c r="O241" s="90"/>
      <c r="P241" s="90">
        <f t="shared" si="26"/>
        <v>3.153</v>
      </c>
      <c r="Q241" s="90">
        <f>SUM($B241:E241)</f>
        <v>1.3420000000000001</v>
      </c>
      <c r="R241" s="89"/>
      <c r="AH241" s="90">
        <f t="shared" si="27"/>
        <v>0</v>
      </c>
      <c r="AI241" s="90">
        <f t="shared" si="28"/>
        <v>0</v>
      </c>
      <c r="AJ241" s="89"/>
      <c r="AZ241" s="90">
        <f t="shared" si="29"/>
        <v>0</v>
      </c>
      <c r="BA241" s="90">
        <f t="shared" si="30"/>
        <v>0</v>
      </c>
      <c r="BB241" s="89"/>
      <c r="BR241" s="90">
        <f t="shared" si="31"/>
        <v>0</v>
      </c>
      <c r="BS241" s="90">
        <f>ROUND(BR241*IFERROR(VLOOKUP($BC241,'3121% SY'!$A$2:$M$324,13,FALSE),0),3)</f>
        <v>0</v>
      </c>
      <c r="BT241" s="90">
        <f t="shared" si="32"/>
        <v>0</v>
      </c>
      <c r="BU241" s="90">
        <f>ROUND(BT241*IFERROR(VLOOKUP($BC241,'3121% SY'!$A$2:$M$324,13,FALSE),0),3)</f>
        <v>0</v>
      </c>
    </row>
    <row r="242" spans="1:73" x14ac:dyDescent="0.25">
      <c r="A242" s="88" t="s">
        <v>280</v>
      </c>
      <c r="B242" s="90"/>
      <c r="C242" s="90"/>
      <c r="D242" s="90"/>
      <c r="E242" s="90"/>
      <c r="F242" s="90"/>
      <c r="G242" s="90">
        <v>0.875</v>
      </c>
      <c r="H242" s="90"/>
      <c r="I242" s="90"/>
      <c r="J242" s="90"/>
      <c r="K242" s="90"/>
      <c r="L242" s="90"/>
      <c r="M242" s="90"/>
      <c r="N242" s="90"/>
      <c r="O242" s="90"/>
      <c r="P242" s="90">
        <f t="shared" si="26"/>
        <v>0.875</v>
      </c>
      <c r="Q242" s="90">
        <f>SUM($B242:E242)</f>
        <v>0</v>
      </c>
      <c r="R242" s="89"/>
      <c r="AH242" s="90">
        <f t="shared" si="27"/>
        <v>0</v>
      </c>
      <c r="AI242" s="90">
        <f t="shared" si="28"/>
        <v>0</v>
      </c>
      <c r="AJ242" s="89"/>
      <c r="AZ242" s="90">
        <f t="shared" si="29"/>
        <v>0</v>
      </c>
      <c r="BA242" s="90">
        <f t="shared" si="30"/>
        <v>0</v>
      </c>
      <c r="BB242" s="89"/>
      <c r="BR242" s="90">
        <f t="shared" si="31"/>
        <v>0</v>
      </c>
      <c r="BS242" s="90">
        <f>ROUND(BR242*IFERROR(VLOOKUP($BC242,'3121% SY'!$A$2:$M$324,13,FALSE),0),3)</f>
        <v>0</v>
      </c>
      <c r="BT242" s="90">
        <f t="shared" si="32"/>
        <v>0</v>
      </c>
      <c r="BU242" s="90">
        <f>ROUND(BT242*IFERROR(VLOOKUP($BC242,'3121% SY'!$A$2:$M$324,13,FALSE),0),3)</f>
        <v>0</v>
      </c>
    </row>
    <row r="243" spans="1:73" x14ac:dyDescent="0.25">
      <c r="A243" s="88" t="s">
        <v>281</v>
      </c>
      <c r="B243" s="90"/>
      <c r="C243" s="90"/>
      <c r="D243" s="90"/>
      <c r="E243" s="90"/>
      <c r="F243" s="90"/>
      <c r="G243" s="90">
        <v>0.5</v>
      </c>
      <c r="H243" s="90"/>
      <c r="I243" s="90"/>
      <c r="J243" s="90"/>
      <c r="K243" s="90"/>
      <c r="L243" s="90"/>
      <c r="M243" s="90"/>
      <c r="N243" s="90"/>
      <c r="O243" s="90"/>
      <c r="P243" s="90">
        <f t="shared" si="26"/>
        <v>0.5</v>
      </c>
      <c r="Q243" s="90">
        <f>SUM($B243:E243)</f>
        <v>0</v>
      </c>
      <c r="R243" s="89"/>
      <c r="AH243" s="90">
        <f t="shared" si="27"/>
        <v>0</v>
      </c>
      <c r="AI243" s="90">
        <f t="shared" si="28"/>
        <v>0</v>
      </c>
      <c r="AJ243" s="89"/>
      <c r="AZ243" s="90">
        <f t="shared" si="29"/>
        <v>0</v>
      </c>
      <c r="BA243" s="90">
        <f t="shared" si="30"/>
        <v>0</v>
      </c>
      <c r="BB243" s="89"/>
      <c r="BR243" s="90">
        <f t="shared" si="31"/>
        <v>0</v>
      </c>
      <c r="BS243" s="90">
        <f>ROUND(BR243*IFERROR(VLOOKUP($BC243,'3121% SY'!$A$2:$M$324,13,FALSE),0),3)</f>
        <v>0</v>
      </c>
      <c r="BT243" s="90">
        <f t="shared" si="32"/>
        <v>0</v>
      </c>
      <c r="BU243" s="90">
        <f>ROUND(BT243*IFERROR(VLOOKUP($BC243,'3121% SY'!$A$2:$M$324,13,FALSE),0),3)</f>
        <v>0</v>
      </c>
    </row>
    <row r="244" spans="1:73" x14ac:dyDescent="0.25">
      <c r="A244" s="88" t="s">
        <v>282</v>
      </c>
      <c r="B244" s="90"/>
      <c r="C244" s="90"/>
      <c r="D244" s="90">
        <v>4.2000000000000003E-2</v>
      </c>
      <c r="E244" s="90"/>
      <c r="F244" s="90"/>
      <c r="G244" s="90">
        <v>0.5</v>
      </c>
      <c r="H244" s="90"/>
      <c r="I244" s="90"/>
      <c r="J244" s="90"/>
      <c r="K244" s="90"/>
      <c r="L244" s="90"/>
      <c r="M244" s="90"/>
      <c r="N244" s="90"/>
      <c r="O244" s="90"/>
      <c r="P244" s="90">
        <f t="shared" si="26"/>
        <v>0.5</v>
      </c>
      <c r="Q244" s="90">
        <f>SUM($B244:E244)</f>
        <v>4.2000000000000003E-2</v>
      </c>
      <c r="R244" s="89"/>
      <c r="AH244" s="90">
        <f t="shared" si="27"/>
        <v>0</v>
      </c>
      <c r="AI244" s="90">
        <f t="shared" si="28"/>
        <v>0</v>
      </c>
      <c r="AJ244" s="89"/>
      <c r="AZ244" s="90">
        <f t="shared" si="29"/>
        <v>0</v>
      </c>
      <c r="BA244" s="90">
        <f t="shared" si="30"/>
        <v>0</v>
      </c>
      <c r="BB244" s="89"/>
      <c r="BR244" s="90">
        <f t="shared" si="31"/>
        <v>0</v>
      </c>
      <c r="BS244" s="90">
        <f>ROUND(BR244*IFERROR(VLOOKUP($BC244,'3121% SY'!$A$2:$M$324,13,FALSE),0),3)</f>
        <v>0</v>
      </c>
      <c r="BT244" s="90">
        <f t="shared" si="32"/>
        <v>0</v>
      </c>
      <c r="BU244" s="90">
        <f>ROUND(BT244*IFERROR(VLOOKUP($BC244,'3121% SY'!$A$2:$M$324,13,FALSE),0),3)</f>
        <v>0</v>
      </c>
    </row>
    <row r="245" spans="1:73" x14ac:dyDescent="0.25">
      <c r="A245" s="88" t="s">
        <v>284</v>
      </c>
      <c r="B245" s="90"/>
      <c r="C245" s="90"/>
      <c r="D245" s="90"/>
      <c r="E245" s="90"/>
      <c r="F245" s="90"/>
      <c r="G245" s="90">
        <v>0.128</v>
      </c>
      <c r="H245" s="90"/>
      <c r="I245" s="90"/>
      <c r="J245" s="90"/>
      <c r="K245" s="90"/>
      <c r="L245" s="90"/>
      <c r="M245" s="90"/>
      <c r="N245" s="90"/>
      <c r="O245" s="90"/>
      <c r="P245" s="90">
        <f t="shared" si="26"/>
        <v>0.128</v>
      </c>
      <c r="Q245" s="90">
        <f>SUM($B245:E245)</f>
        <v>0</v>
      </c>
      <c r="R245" s="89"/>
      <c r="AH245" s="90">
        <f t="shared" si="27"/>
        <v>0</v>
      </c>
      <c r="AI245" s="90">
        <f t="shared" si="28"/>
        <v>0</v>
      </c>
      <c r="AJ245" s="89"/>
      <c r="AZ245" s="90">
        <f t="shared" si="29"/>
        <v>0</v>
      </c>
      <c r="BA245" s="90">
        <f t="shared" si="30"/>
        <v>0</v>
      </c>
      <c r="BB245" s="89"/>
      <c r="BR245" s="90">
        <f t="shared" si="31"/>
        <v>0</v>
      </c>
      <c r="BS245" s="90">
        <f>ROUND(BR245*IFERROR(VLOOKUP($BC245,'3121% SY'!$A$2:$M$324,13,FALSE),0),3)</f>
        <v>0</v>
      </c>
      <c r="BT245" s="90">
        <f t="shared" si="32"/>
        <v>0</v>
      </c>
      <c r="BU245" s="90">
        <f>ROUND(BT245*IFERROR(VLOOKUP($BC245,'3121% SY'!$A$2:$M$324,13,FALSE),0),3)</f>
        <v>0</v>
      </c>
    </row>
    <row r="246" spans="1:73" x14ac:dyDescent="0.25">
      <c r="A246" s="88" t="s">
        <v>286</v>
      </c>
      <c r="B246" s="90"/>
      <c r="C246" s="90">
        <v>4.4999999999999998E-2</v>
      </c>
      <c r="D246" s="90">
        <v>9.2999999999999999E-2</v>
      </c>
      <c r="E246" s="90"/>
      <c r="F246" s="90"/>
      <c r="G246" s="90"/>
      <c r="H246" s="90"/>
      <c r="I246" s="90"/>
      <c r="J246" s="90"/>
      <c r="K246" s="90"/>
      <c r="L246" s="90"/>
      <c r="M246" s="90"/>
      <c r="N246" s="90">
        <v>0.20399999999999999</v>
      </c>
      <c r="O246" s="90"/>
      <c r="P246" s="90">
        <f t="shared" si="26"/>
        <v>0.20399999999999999</v>
      </c>
      <c r="Q246" s="90">
        <f>SUM($B246:E246)</f>
        <v>0.13800000000000001</v>
      </c>
      <c r="R246" s="89"/>
      <c r="AH246" s="90">
        <f t="shared" si="27"/>
        <v>0</v>
      </c>
      <c r="AI246" s="90">
        <f t="shared" si="28"/>
        <v>0</v>
      </c>
      <c r="AJ246" s="89"/>
      <c r="AZ246" s="90">
        <f t="shared" si="29"/>
        <v>0</v>
      </c>
      <c r="BA246" s="90">
        <f t="shared" si="30"/>
        <v>0</v>
      </c>
      <c r="BB246" s="89"/>
      <c r="BR246" s="90">
        <f t="shared" si="31"/>
        <v>0</v>
      </c>
      <c r="BS246" s="90">
        <f>ROUND(BR246*IFERROR(VLOOKUP($BC246,'3121% SY'!$A$2:$M$324,13,FALSE),0),3)</f>
        <v>0</v>
      </c>
      <c r="BT246" s="90">
        <f t="shared" si="32"/>
        <v>0</v>
      </c>
      <c r="BU246" s="90">
        <f>ROUND(BT246*IFERROR(VLOOKUP($BC246,'3121% SY'!$A$2:$M$324,13,FALSE),0),3)</f>
        <v>0</v>
      </c>
    </row>
    <row r="247" spans="1:73" x14ac:dyDescent="0.25">
      <c r="A247" s="88" t="s">
        <v>287</v>
      </c>
      <c r="B247" s="90"/>
      <c r="C247" s="90"/>
      <c r="D247" s="90"/>
      <c r="E247" s="90"/>
      <c r="F247" s="90"/>
      <c r="G247" s="90">
        <v>0.13</v>
      </c>
      <c r="H247" s="90"/>
      <c r="I247" s="90"/>
      <c r="J247" s="90"/>
      <c r="K247" s="90"/>
      <c r="L247" s="90"/>
      <c r="M247" s="90"/>
      <c r="N247" s="90"/>
      <c r="O247" s="90"/>
      <c r="P247" s="90">
        <f t="shared" si="26"/>
        <v>0.13</v>
      </c>
      <c r="Q247" s="90">
        <f>SUM($B247:E247)</f>
        <v>0</v>
      </c>
      <c r="R247" s="89"/>
      <c r="AH247" s="90">
        <f t="shared" si="27"/>
        <v>0</v>
      </c>
      <c r="AI247" s="90">
        <f t="shared" si="28"/>
        <v>0</v>
      </c>
      <c r="AJ247" s="89"/>
      <c r="AZ247" s="90">
        <f t="shared" si="29"/>
        <v>0</v>
      </c>
      <c r="BA247" s="90">
        <f t="shared" si="30"/>
        <v>0</v>
      </c>
      <c r="BB247" s="89"/>
      <c r="BR247" s="90">
        <f t="shared" si="31"/>
        <v>0</v>
      </c>
      <c r="BS247" s="90">
        <f>ROUND(BR247*IFERROR(VLOOKUP($BC247,'3121% SY'!$A$2:$M$324,13,FALSE),0),3)</f>
        <v>0</v>
      </c>
      <c r="BT247" s="90">
        <f t="shared" si="32"/>
        <v>0</v>
      </c>
      <c r="BU247" s="90">
        <f>ROUND(BT247*IFERROR(VLOOKUP($BC247,'3121% SY'!$A$2:$M$324,13,FALSE),0),3)</f>
        <v>0</v>
      </c>
    </row>
    <row r="248" spans="1:73" x14ac:dyDescent="0.25">
      <c r="A248" s="88" t="s">
        <v>288</v>
      </c>
      <c r="B248" s="90"/>
      <c r="C248" s="90"/>
      <c r="D248" s="90">
        <v>0.22700000000000001</v>
      </c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>
        <f t="shared" si="26"/>
        <v>0</v>
      </c>
      <c r="Q248" s="90">
        <f>SUM($B248:E248)</f>
        <v>0.22700000000000001</v>
      </c>
      <c r="R248" s="89"/>
      <c r="AH248" s="90">
        <f t="shared" si="27"/>
        <v>0</v>
      </c>
      <c r="AI248" s="90">
        <f t="shared" si="28"/>
        <v>0</v>
      </c>
      <c r="AJ248" s="89"/>
      <c r="AZ248" s="90">
        <f t="shared" si="29"/>
        <v>0</v>
      </c>
      <c r="BA248" s="90">
        <f t="shared" si="30"/>
        <v>0</v>
      </c>
      <c r="BB248" s="89"/>
      <c r="BR248" s="90">
        <f t="shared" si="31"/>
        <v>0</v>
      </c>
      <c r="BS248" s="90">
        <f>ROUND(BR248*IFERROR(VLOOKUP($BC248,'3121% SY'!$A$2:$M$324,13,FALSE),0),3)</f>
        <v>0</v>
      </c>
      <c r="BT248" s="90">
        <f t="shared" si="32"/>
        <v>0</v>
      </c>
      <c r="BU248" s="90">
        <f>ROUND(BT248*IFERROR(VLOOKUP($BC248,'3121% SY'!$A$2:$M$324,13,FALSE),0),3)</f>
        <v>0</v>
      </c>
    </row>
    <row r="249" spans="1:73" x14ac:dyDescent="0.25">
      <c r="A249" s="88" t="s">
        <v>289</v>
      </c>
      <c r="B249" s="90"/>
      <c r="C249" s="90"/>
      <c r="D249" s="90"/>
      <c r="E249" s="90"/>
      <c r="F249" s="90"/>
      <c r="G249" s="90">
        <v>0.5</v>
      </c>
      <c r="H249" s="90"/>
      <c r="I249" s="90"/>
      <c r="J249" s="90"/>
      <c r="K249" s="90"/>
      <c r="L249" s="90"/>
      <c r="M249" s="90"/>
      <c r="N249" s="90"/>
      <c r="O249" s="90"/>
      <c r="P249" s="90">
        <f t="shared" si="26"/>
        <v>0.5</v>
      </c>
      <c r="Q249" s="90">
        <f>SUM($B249:E249)</f>
        <v>0</v>
      </c>
      <c r="R249" s="89"/>
      <c r="AH249" s="90">
        <f t="shared" si="27"/>
        <v>0</v>
      </c>
      <c r="AI249" s="90">
        <f t="shared" si="28"/>
        <v>0</v>
      </c>
      <c r="AJ249" s="89"/>
      <c r="AZ249" s="90">
        <f t="shared" si="29"/>
        <v>0</v>
      </c>
      <c r="BA249" s="90">
        <f t="shared" si="30"/>
        <v>0</v>
      </c>
      <c r="BB249" s="89"/>
      <c r="BR249" s="90">
        <f t="shared" si="31"/>
        <v>0</v>
      </c>
      <c r="BS249" s="90">
        <f>ROUND(BR249*IFERROR(VLOOKUP($BC249,'3121% SY'!$A$2:$M$324,13,FALSE),0),3)</f>
        <v>0</v>
      </c>
      <c r="BT249" s="90">
        <f t="shared" si="32"/>
        <v>0</v>
      </c>
      <c r="BU249" s="90">
        <f>ROUND(BT249*IFERROR(VLOOKUP($BC249,'3121% SY'!$A$2:$M$324,13,FALSE),0),3)</f>
        <v>0</v>
      </c>
    </row>
    <row r="250" spans="1:73" x14ac:dyDescent="0.25">
      <c r="A250" s="88" t="s">
        <v>290</v>
      </c>
      <c r="B250" s="90"/>
      <c r="C250" s="90">
        <v>7.3999999999999996E-2</v>
      </c>
      <c r="D250" s="90">
        <v>0.72499999999999998</v>
      </c>
      <c r="E250" s="90"/>
      <c r="F250" s="90"/>
      <c r="G250" s="90">
        <v>1.5</v>
      </c>
      <c r="H250" s="90"/>
      <c r="I250" s="90"/>
      <c r="J250" s="90"/>
      <c r="K250" s="90"/>
      <c r="L250" s="90">
        <v>0.43</v>
      </c>
      <c r="M250" s="90"/>
      <c r="N250" s="90"/>
      <c r="O250" s="90"/>
      <c r="P250" s="90">
        <f t="shared" si="26"/>
        <v>1.93</v>
      </c>
      <c r="Q250" s="90">
        <f>SUM($B250:E250)</f>
        <v>0.79899999999999993</v>
      </c>
      <c r="R250" s="89"/>
      <c r="AH250" s="90">
        <f t="shared" si="27"/>
        <v>0</v>
      </c>
      <c r="AI250" s="90">
        <f t="shared" si="28"/>
        <v>0</v>
      </c>
      <c r="AJ250" s="89"/>
      <c r="AZ250" s="90">
        <f t="shared" si="29"/>
        <v>0</v>
      </c>
      <c r="BA250" s="90">
        <f t="shared" si="30"/>
        <v>0</v>
      </c>
      <c r="BB250" s="89"/>
      <c r="BR250" s="90">
        <f t="shared" si="31"/>
        <v>0</v>
      </c>
      <c r="BS250" s="90">
        <f>ROUND(BR250*IFERROR(VLOOKUP($BC250,'3121% SY'!$A$2:$M$324,13,FALSE),0),3)</f>
        <v>0</v>
      </c>
      <c r="BT250" s="90">
        <f t="shared" si="32"/>
        <v>0</v>
      </c>
      <c r="BU250" s="90">
        <f>ROUND(BT250*IFERROR(VLOOKUP($BC250,'3121% SY'!$A$2:$M$324,13,FALSE),0),3)</f>
        <v>0</v>
      </c>
    </row>
    <row r="251" spans="1:73" x14ac:dyDescent="0.25">
      <c r="A251" s="88" t="s">
        <v>291</v>
      </c>
      <c r="B251" s="90"/>
      <c r="C251" s="90"/>
      <c r="D251" s="90"/>
      <c r="E251" s="90"/>
      <c r="F251" s="90"/>
      <c r="G251" s="90">
        <v>3.84</v>
      </c>
      <c r="H251" s="90"/>
      <c r="I251" s="90"/>
      <c r="J251" s="90"/>
      <c r="K251" s="90"/>
      <c r="L251" s="90">
        <v>11</v>
      </c>
      <c r="M251" s="90"/>
      <c r="N251" s="90"/>
      <c r="O251" s="90"/>
      <c r="P251" s="90">
        <f t="shared" si="26"/>
        <v>14.84</v>
      </c>
      <c r="Q251" s="90">
        <f>SUM($B251:E251)</f>
        <v>0</v>
      </c>
      <c r="R251" s="89"/>
      <c r="AH251" s="90">
        <f t="shared" si="27"/>
        <v>0</v>
      </c>
      <c r="AI251" s="90">
        <f t="shared" si="28"/>
        <v>0</v>
      </c>
      <c r="AJ251" s="89"/>
      <c r="AZ251" s="90">
        <f t="shared" si="29"/>
        <v>0</v>
      </c>
      <c r="BA251" s="90">
        <f t="shared" si="30"/>
        <v>0</v>
      </c>
      <c r="BB251" s="89"/>
      <c r="BR251" s="90">
        <f t="shared" si="31"/>
        <v>0</v>
      </c>
      <c r="BS251" s="90">
        <f>ROUND(BR251*IFERROR(VLOOKUP($BC251,'3121% SY'!$A$2:$M$324,13,FALSE),0),3)</f>
        <v>0</v>
      </c>
      <c r="BT251" s="90">
        <f t="shared" si="32"/>
        <v>0</v>
      </c>
      <c r="BU251" s="90">
        <f>ROUND(BT251*IFERROR(VLOOKUP($BC251,'3121% SY'!$A$2:$M$324,13,FALSE),0),3)</f>
        <v>0</v>
      </c>
    </row>
    <row r="252" spans="1:73" x14ac:dyDescent="0.25">
      <c r="A252" s="88" t="s">
        <v>292</v>
      </c>
      <c r="B252" s="90"/>
      <c r="C252" s="90"/>
      <c r="D252" s="90"/>
      <c r="E252" s="90"/>
      <c r="F252" s="90"/>
      <c r="G252" s="90">
        <v>3</v>
      </c>
      <c r="H252" s="90"/>
      <c r="I252" s="90"/>
      <c r="J252" s="90"/>
      <c r="K252" s="90"/>
      <c r="L252" s="90"/>
      <c r="M252" s="90"/>
      <c r="N252" s="90"/>
      <c r="O252" s="90"/>
      <c r="P252" s="90">
        <f t="shared" si="26"/>
        <v>3</v>
      </c>
      <c r="Q252" s="90">
        <f>SUM($B252:E252)</f>
        <v>0</v>
      </c>
      <c r="R252" s="89"/>
      <c r="AH252" s="90">
        <f t="shared" si="27"/>
        <v>0</v>
      </c>
      <c r="AI252" s="90">
        <f t="shared" si="28"/>
        <v>0</v>
      </c>
      <c r="AJ252" s="89"/>
      <c r="AZ252" s="90">
        <f t="shared" si="29"/>
        <v>0</v>
      </c>
      <c r="BA252" s="90">
        <f t="shared" si="30"/>
        <v>0</v>
      </c>
      <c r="BB252" s="89"/>
      <c r="BR252" s="90">
        <f t="shared" si="31"/>
        <v>0</v>
      </c>
      <c r="BS252" s="90">
        <f>ROUND(BR252*IFERROR(VLOOKUP($BC252,'3121% SY'!$A$2:$M$324,13,FALSE),0),3)</f>
        <v>0</v>
      </c>
      <c r="BT252" s="90">
        <f t="shared" si="32"/>
        <v>0</v>
      </c>
      <c r="BU252" s="90">
        <f>ROUND(BT252*IFERROR(VLOOKUP($BC252,'3121% SY'!$A$2:$M$324,13,FALSE),0),3)</f>
        <v>0</v>
      </c>
    </row>
    <row r="253" spans="1:73" x14ac:dyDescent="0.25">
      <c r="A253" s="88" t="s">
        <v>293</v>
      </c>
      <c r="B253" s="90"/>
      <c r="C253" s="90"/>
      <c r="D253" s="90"/>
      <c r="E253" s="90"/>
      <c r="F253" s="90"/>
      <c r="G253" s="90">
        <v>4</v>
      </c>
      <c r="H253" s="90"/>
      <c r="I253" s="90">
        <v>1</v>
      </c>
      <c r="J253" s="90"/>
      <c r="K253" s="90"/>
      <c r="L253" s="90">
        <v>0.86</v>
      </c>
      <c r="M253" s="90"/>
      <c r="N253" s="90"/>
      <c r="O253" s="90"/>
      <c r="P253" s="90">
        <f t="shared" si="26"/>
        <v>5.86</v>
      </c>
      <c r="Q253" s="90">
        <f>SUM($B253:E253)</f>
        <v>0</v>
      </c>
      <c r="R253" s="89"/>
      <c r="AH253" s="90">
        <f t="shared" si="27"/>
        <v>0</v>
      </c>
      <c r="AI253" s="90">
        <f t="shared" si="28"/>
        <v>0</v>
      </c>
      <c r="AJ253" s="89"/>
      <c r="AZ253" s="90">
        <f t="shared" si="29"/>
        <v>0</v>
      </c>
      <c r="BA253" s="90">
        <f t="shared" si="30"/>
        <v>0</v>
      </c>
      <c r="BB253" s="89"/>
      <c r="BR253" s="90">
        <f t="shared" si="31"/>
        <v>0</v>
      </c>
      <c r="BS253" s="90">
        <f>ROUND(BR253*IFERROR(VLOOKUP($BC253,'3121% SY'!$A$2:$M$324,13,FALSE),0),3)</f>
        <v>0</v>
      </c>
      <c r="BT253" s="90">
        <f t="shared" si="32"/>
        <v>0</v>
      </c>
      <c r="BU253" s="90">
        <f>ROUND(BT253*IFERROR(VLOOKUP($BC253,'3121% SY'!$A$2:$M$324,13,FALSE),0),3)</f>
        <v>0</v>
      </c>
    </row>
    <row r="254" spans="1:73" x14ac:dyDescent="0.25">
      <c r="A254" s="88" t="s">
        <v>294</v>
      </c>
      <c r="B254" s="90"/>
      <c r="C254" s="90"/>
      <c r="D254" s="90"/>
      <c r="E254" s="90"/>
      <c r="F254" s="90"/>
      <c r="G254" s="90">
        <v>0.5</v>
      </c>
      <c r="H254" s="90"/>
      <c r="I254" s="90"/>
      <c r="J254" s="90"/>
      <c r="K254" s="90"/>
      <c r="L254" s="90"/>
      <c r="M254" s="90"/>
      <c r="N254" s="90"/>
      <c r="O254" s="90"/>
      <c r="P254" s="90">
        <f t="shared" si="26"/>
        <v>0.5</v>
      </c>
      <c r="Q254" s="90">
        <f>SUM($B254:E254)</f>
        <v>0</v>
      </c>
      <c r="R254" s="89"/>
      <c r="AH254" s="90">
        <f t="shared" si="27"/>
        <v>0</v>
      </c>
      <c r="AI254" s="90">
        <f t="shared" si="28"/>
        <v>0</v>
      </c>
      <c r="AJ254" s="89"/>
      <c r="AZ254" s="90">
        <f t="shared" si="29"/>
        <v>0</v>
      </c>
      <c r="BA254" s="90">
        <f t="shared" si="30"/>
        <v>0</v>
      </c>
      <c r="BB254" s="89"/>
      <c r="BR254" s="90">
        <f t="shared" si="31"/>
        <v>0</v>
      </c>
      <c r="BS254" s="90">
        <f>ROUND(BR254*IFERROR(VLOOKUP($BC254,'3121% SY'!$A$2:$M$324,13,FALSE),0),3)</f>
        <v>0</v>
      </c>
      <c r="BT254" s="90">
        <f t="shared" si="32"/>
        <v>0</v>
      </c>
      <c r="BU254" s="90">
        <f>ROUND(BT254*IFERROR(VLOOKUP($BC254,'3121% SY'!$A$2:$M$324,13,FALSE),0),3)</f>
        <v>0</v>
      </c>
    </row>
    <row r="255" spans="1:73" x14ac:dyDescent="0.25">
      <c r="A255" s="88" t="s">
        <v>295</v>
      </c>
      <c r="B255" s="90"/>
      <c r="C255" s="90">
        <v>1.226</v>
      </c>
      <c r="D255" s="90">
        <v>1.9530000000000001</v>
      </c>
      <c r="E255" s="90"/>
      <c r="F255" s="90"/>
      <c r="G255" s="90">
        <v>3</v>
      </c>
      <c r="H255" s="90"/>
      <c r="I255" s="90"/>
      <c r="J255" s="90"/>
      <c r="K255" s="90"/>
      <c r="L255" s="90"/>
      <c r="M255" s="90"/>
      <c r="N255" s="90"/>
      <c r="O255" s="90"/>
      <c r="P255" s="90">
        <f t="shared" si="26"/>
        <v>3</v>
      </c>
      <c r="Q255" s="90">
        <f>SUM($B255:E255)</f>
        <v>3.1790000000000003</v>
      </c>
      <c r="R255" s="89"/>
      <c r="AH255" s="90">
        <f t="shared" si="27"/>
        <v>0</v>
      </c>
      <c r="AI255" s="90">
        <f t="shared" si="28"/>
        <v>0</v>
      </c>
      <c r="AJ255" s="89"/>
      <c r="AZ255" s="90">
        <f t="shared" si="29"/>
        <v>0</v>
      </c>
      <c r="BA255" s="90">
        <f t="shared" si="30"/>
        <v>0</v>
      </c>
      <c r="BB255" s="89"/>
      <c r="BR255" s="90">
        <f t="shared" si="31"/>
        <v>0</v>
      </c>
      <c r="BS255" s="90">
        <f>ROUND(BR255*IFERROR(VLOOKUP($BC255,'3121% SY'!$A$2:$M$324,13,FALSE),0),3)</f>
        <v>0</v>
      </c>
      <c r="BT255" s="90">
        <f t="shared" si="32"/>
        <v>0</v>
      </c>
      <c r="BU255" s="90">
        <f>ROUND(BT255*IFERROR(VLOOKUP($BC255,'3121% SY'!$A$2:$M$324,13,FALSE),0),3)</f>
        <v>0</v>
      </c>
    </row>
    <row r="256" spans="1:73" x14ac:dyDescent="0.25">
      <c r="A256" s="88" t="s">
        <v>296</v>
      </c>
      <c r="B256" s="90"/>
      <c r="C256" s="90"/>
      <c r="D256" s="90"/>
      <c r="E256" s="90"/>
      <c r="F256" s="90"/>
      <c r="G256" s="90">
        <v>8</v>
      </c>
      <c r="H256" s="90"/>
      <c r="I256" s="90"/>
      <c r="J256" s="90"/>
      <c r="K256" s="90"/>
      <c r="L256" s="90">
        <v>3</v>
      </c>
      <c r="M256" s="90"/>
      <c r="N256" s="90"/>
      <c r="O256" s="90"/>
      <c r="P256" s="90">
        <f t="shared" ref="P256:P259" si="33">SUM(F256:O256)</f>
        <v>11</v>
      </c>
      <c r="Q256" s="90">
        <f>SUM($B256:E256)</f>
        <v>0</v>
      </c>
      <c r="R256" s="89"/>
      <c r="AJ256" s="89"/>
      <c r="BB256" s="89"/>
    </row>
    <row r="257" spans="1:54" x14ac:dyDescent="0.25">
      <c r="A257" s="88" t="s">
        <v>297</v>
      </c>
      <c r="B257" s="90"/>
      <c r="C257" s="90"/>
      <c r="D257" s="90">
        <v>1.833</v>
      </c>
      <c r="E257" s="90">
        <v>1.7470000000000001</v>
      </c>
      <c r="F257" s="90"/>
      <c r="G257" s="90">
        <v>4.25</v>
      </c>
      <c r="H257" s="90"/>
      <c r="I257" s="90"/>
      <c r="J257" s="90">
        <v>1</v>
      </c>
      <c r="K257" s="90"/>
      <c r="L257" s="90"/>
      <c r="M257" s="90"/>
      <c r="N257" s="90"/>
      <c r="O257" s="90"/>
      <c r="P257" s="90">
        <f t="shared" si="33"/>
        <v>5.25</v>
      </c>
      <c r="Q257" s="90">
        <f>SUM($B257:E257)</f>
        <v>3.58</v>
      </c>
      <c r="R257" s="89"/>
      <c r="AJ257" s="89"/>
      <c r="BB257" s="89"/>
    </row>
    <row r="258" spans="1:54" x14ac:dyDescent="0.25">
      <c r="A258" s="88" t="s">
        <v>298</v>
      </c>
      <c r="B258" s="90"/>
      <c r="C258" s="90"/>
      <c r="D258" s="90"/>
      <c r="E258" s="90"/>
      <c r="F258" s="90"/>
      <c r="G258" s="90">
        <v>1</v>
      </c>
      <c r="H258" s="90"/>
      <c r="I258" s="90"/>
      <c r="J258" s="90"/>
      <c r="K258" s="90"/>
      <c r="L258" s="90"/>
      <c r="M258" s="90"/>
      <c r="N258" s="90"/>
      <c r="O258" s="90"/>
      <c r="P258" s="90">
        <f t="shared" si="33"/>
        <v>1</v>
      </c>
      <c r="Q258" s="90">
        <f>SUM($B258:E258)</f>
        <v>0</v>
      </c>
      <c r="R258" s="89"/>
      <c r="AJ258" s="89"/>
      <c r="BB258" s="89"/>
    </row>
    <row r="259" spans="1:54" x14ac:dyDescent="0.25">
      <c r="A259" s="88" t="s">
        <v>299</v>
      </c>
      <c r="B259" s="90"/>
      <c r="C259" s="90"/>
      <c r="D259" s="90"/>
      <c r="E259" s="90"/>
      <c r="F259" s="90"/>
      <c r="G259" s="90">
        <v>2</v>
      </c>
      <c r="H259" s="90"/>
      <c r="I259" s="90"/>
      <c r="J259" s="90"/>
      <c r="K259" s="90"/>
      <c r="L259" s="90"/>
      <c r="M259" s="90"/>
      <c r="N259" s="90"/>
      <c r="O259" s="90"/>
      <c r="P259" s="90">
        <f t="shared" si="33"/>
        <v>2</v>
      </c>
      <c r="Q259" s="90">
        <f>SUM($B259:E259)</f>
        <v>0</v>
      </c>
      <c r="R259" s="89"/>
      <c r="AJ259" s="89"/>
      <c r="BB259" s="89"/>
    </row>
    <row r="260" spans="1:54" x14ac:dyDescent="0.25">
      <c r="A260" s="88" t="s">
        <v>300</v>
      </c>
      <c r="B260" s="90"/>
      <c r="C260" s="90"/>
      <c r="D260" s="90">
        <v>0.32200000000000001</v>
      </c>
      <c r="E260" s="90"/>
      <c r="F260" s="90"/>
      <c r="G260" s="90">
        <v>1</v>
      </c>
      <c r="H260" s="90"/>
      <c r="I260" s="90"/>
      <c r="J260" s="90"/>
      <c r="K260" s="90"/>
      <c r="L260" s="90">
        <v>1</v>
      </c>
      <c r="M260" s="90"/>
      <c r="N260" s="90"/>
      <c r="O260" s="90"/>
      <c r="R260" s="89"/>
      <c r="AJ260" s="89"/>
      <c r="BB260" s="89"/>
    </row>
    <row r="261" spans="1:54" x14ac:dyDescent="0.25">
      <c r="A261" s="88" t="s">
        <v>301</v>
      </c>
      <c r="B261" s="90"/>
      <c r="C261" s="90">
        <v>0.34599999999999997</v>
      </c>
      <c r="D261" s="90"/>
      <c r="E261" s="90"/>
      <c r="F261" s="90"/>
      <c r="G261" s="90">
        <v>4.07</v>
      </c>
      <c r="H261" s="90"/>
      <c r="I261" s="90"/>
      <c r="J261" s="90"/>
      <c r="K261" s="90"/>
      <c r="L261" s="90"/>
      <c r="M261" s="90"/>
      <c r="N261" s="90"/>
      <c r="O261" s="90"/>
      <c r="R261" s="89"/>
      <c r="AJ261" s="89"/>
      <c r="BB261" s="89"/>
    </row>
    <row r="262" spans="1:54" x14ac:dyDescent="0.25">
      <c r="A262" s="88" t="s">
        <v>302</v>
      </c>
      <c r="B262" s="90"/>
      <c r="C262" s="90"/>
      <c r="D262" s="90"/>
      <c r="E262" s="90"/>
      <c r="F262" s="90"/>
      <c r="G262" s="90">
        <v>3</v>
      </c>
      <c r="H262" s="90"/>
      <c r="I262" s="90"/>
      <c r="J262" s="90"/>
      <c r="K262" s="90"/>
      <c r="L262" s="90"/>
      <c r="M262" s="90"/>
      <c r="N262" s="90">
        <v>2</v>
      </c>
      <c r="O262" s="90"/>
      <c r="R262" s="89"/>
      <c r="AJ262" s="89"/>
      <c r="BB262" s="89"/>
    </row>
    <row r="263" spans="1:54" x14ac:dyDescent="0.25">
      <c r="A263" s="88" t="s">
        <v>303</v>
      </c>
      <c r="B263" s="90"/>
      <c r="C263" s="90"/>
      <c r="D263" s="90">
        <v>0.63900000000000001</v>
      </c>
      <c r="E263" s="90"/>
      <c r="F263" s="90"/>
      <c r="G263" s="90">
        <v>0.78</v>
      </c>
      <c r="H263" s="90"/>
      <c r="I263" s="90"/>
      <c r="J263" s="90"/>
      <c r="K263" s="90"/>
      <c r="L263" s="90"/>
      <c r="M263" s="90"/>
      <c r="N263" s="90"/>
      <c r="O263" s="90"/>
      <c r="R263" s="89"/>
      <c r="AJ263" s="89"/>
      <c r="BB263" s="89"/>
    </row>
    <row r="264" spans="1:54" x14ac:dyDescent="0.25">
      <c r="A264" s="88" t="s">
        <v>753</v>
      </c>
      <c r="B264" s="90">
        <v>12.494</v>
      </c>
      <c r="C264" s="90">
        <v>168.99900000000005</v>
      </c>
      <c r="D264" s="90">
        <v>155.46200000000005</v>
      </c>
      <c r="E264" s="90">
        <v>4.2629999999999999</v>
      </c>
      <c r="F264" s="90">
        <v>1</v>
      </c>
      <c r="G264" s="90">
        <v>1076.1329999999996</v>
      </c>
      <c r="H264" s="90">
        <v>2.6389999999999998</v>
      </c>
      <c r="I264" s="90">
        <v>107.14800000000001</v>
      </c>
      <c r="J264" s="90">
        <v>7.652000000000001</v>
      </c>
      <c r="K264" s="90">
        <v>33.663000000000004</v>
      </c>
      <c r="L264" s="90">
        <v>365.64899999999989</v>
      </c>
      <c r="M264" s="90">
        <v>1.0649999999999999</v>
      </c>
      <c r="N264" s="90">
        <v>9.3689999999999998</v>
      </c>
      <c r="O264" s="90">
        <v>1.4039999999999999</v>
      </c>
      <c r="R264" s="89"/>
      <c r="AJ264" s="89"/>
      <c r="BB264" s="89"/>
    </row>
    <row r="265" spans="1:54" x14ac:dyDescent="0.25">
      <c r="R265" s="89"/>
      <c r="AJ265" s="89"/>
      <c r="BB265" s="89"/>
    </row>
    <row r="266" spans="1:54" x14ac:dyDescent="0.25">
      <c r="R266" s="89"/>
      <c r="AJ266" s="89"/>
      <c r="BB266" s="89"/>
    </row>
    <row r="267" spans="1:54" x14ac:dyDescent="0.25">
      <c r="R267" s="89"/>
      <c r="AJ267" s="89"/>
      <c r="BB267" s="89"/>
    </row>
    <row r="268" spans="1:54" x14ac:dyDescent="0.25">
      <c r="R268" s="89"/>
      <c r="AJ268" s="89"/>
      <c r="BB268" s="89"/>
    </row>
    <row r="269" spans="1:54" x14ac:dyDescent="0.25">
      <c r="R269" s="89"/>
      <c r="AJ269" s="89"/>
      <c r="BB269" s="89"/>
    </row>
    <row r="270" spans="1:54" x14ac:dyDescent="0.25">
      <c r="R270" s="89"/>
      <c r="AJ270" s="89"/>
      <c r="BB270" s="89"/>
    </row>
    <row r="271" spans="1:54" x14ac:dyDescent="0.25">
      <c r="R271" s="89"/>
      <c r="AJ271" s="89"/>
      <c r="BB271" s="89"/>
    </row>
    <row r="272" spans="1:54" x14ac:dyDescent="0.25">
      <c r="R272" s="89"/>
      <c r="AJ272" s="89"/>
      <c r="BB272" s="89"/>
    </row>
    <row r="273" spans="18:54" x14ac:dyDescent="0.25">
      <c r="R273" s="89"/>
      <c r="AJ273" s="89"/>
      <c r="BB273" s="89"/>
    </row>
    <row r="274" spans="18:54" x14ac:dyDescent="0.25">
      <c r="R274" s="89"/>
      <c r="AJ274" s="89"/>
      <c r="BB274" s="89"/>
    </row>
    <row r="275" spans="18:54" x14ac:dyDescent="0.25">
      <c r="R275" s="89"/>
      <c r="AJ275" s="89"/>
      <c r="BB275" s="89"/>
    </row>
    <row r="276" spans="18:54" x14ac:dyDescent="0.25">
      <c r="R276" s="89"/>
      <c r="AJ276" s="89"/>
      <c r="BB276" s="89"/>
    </row>
    <row r="277" spans="18:54" x14ac:dyDescent="0.25">
      <c r="R277" s="89"/>
      <c r="AJ277" s="89"/>
      <c r="BB277" s="89"/>
    </row>
    <row r="278" spans="18:54" x14ac:dyDescent="0.25">
      <c r="R278" s="89"/>
      <c r="AJ278" s="89"/>
      <c r="BB278" s="89"/>
    </row>
    <row r="279" spans="18:54" x14ac:dyDescent="0.25">
      <c r="R279" s="89"/>
      <c r="AJ279" s="89"/>
      <c r="BB279" s="89"/>
    </row>
    <row r="280" spans="18:54" x14ac:dyDescent="0.25">
      <c r="R280" s="89"/>
      <c r="AJ280" s="89"/>
      <c r="BB280" s="89"/>
    </row>
    <row r="281" spans="18:54" x14ac:dyDescent="0.25">
      <c r="R281" s="89"/>
      <c r="AJ281" s="89"/>
      <c r="BB281" s="89"/>
    </row>
    <row r="282" spans="18:54" x14ac:dyDescent="0.25">
      <c r="R282" s="89"/>
      <c r="AJ282" s="89"/>
      <c r="BB282" s="89"/>
    </row>
    <row r="283" spans="18:54" x14ac:dyDescent="0.25">
      <c r="R283" s="89"/>
      <c r="AJ283" s="89"/>
      <c r="BB283" s="89"/>
    </row>
    <row r="284" spans="18:54" x14ac:dyDescent="0.25">
      <c r="R284" s="89"/>
      <c r="AJ284" s="89"/>
      <c r="BB284" s="89"/>
    </row>
    <row r="285" spans="18:54" x14ac:dyDescent="0.25">
      <c r="R285" s="89"/>
      <c r="AJ285" s="89"/>
      <c r="BB285" s="89"/>
    </row>
    <row r="286" spans="18:54" x14ac:dyDescent="0.25">
      <c r="R286" s="89"/>
      <c r="AJ286" s="89"/>
      <c r="BB286" s="89"/>
    </row>
    <row r="287" spans="18:54" x14ac:dyDescent="0.25">
      <c r="R287" s="89"/>
      <c r="AJ287" s="89"/>
      <c r="BB287" s="89"/>
    </row>
    <row r="288" spans="18:54" x14ac:dyDescent="0.25">
      <c r="R288" s="89"/>
      <c r="AJ288" s="89"/>
      <c r="BB288" s="89"/>
    </row>
    <row r="289" spans="18:54" x14ac:dyDescent="0.25">
      <c r="R289" s="89"/>
      <c r="AJ289" s="89"/>
      <c r="BB289" s="89"/>
    </row>
    <row r="290" spans="18:54" x14ac:dyDescent="0.25">
      <c r="R290" s="89"/>
      <c r="AJ290" s="89"/>
      <c r="BB290" s="89"/>
    </row>
    <row r="291" spans="18:54" x14ac:dyDescent="0.25">
      <c r="R291" s="89"/>
      <c r="AJ291" s="89"/>
      <c r="BB291" s="89"/>
    </row>
    <row r="292" spans="18:54" x14ac:dyDescent="0.25">
      <c r="R292" s="89"/>
      <c r="AJ292" s="89"/>
      <c r="BB292" s="89"/>
    </row>
    <row r="293" spans="18:54" x14ac:dyDescent="0.25">
      <c r="R293" s="89"/>
      <c r="AJ293" s="89"/>
      <c r="BB293" s="89"/>
    </row>
    <row r="294" spans="18:54" x14ac:dyDescent="0.25">
      <c r="R294" s="89"/>
      <c r="AJ294" s="89"/>
      <c r="BB294" s="89"/>
    </row>
    <row r="295" spans="18:54" x14ac:dyDescent="0.25">
      <c r="R295" s="89"/>
      <c r="AJ295" s="89"/>
      <c r="BB295" s="89"/>
    </row>
    <row r="296" spans="18:54" x14ac:dyDescent="0.25">
      <c r="R296" s="89"/>
      <c r="AJ296" s="89"/>
      <c r="BB296" s="89"/>
    </row>
    <row r="297" spans="18:54" x14ac:dyDescent="0.25">
      <c r="R297" s="89"/>
      <c r="AJ297" s="89"/>
      <c r="BB297" s="89"/>
    </row>
    <row r="298" spans="18:54" x14ac:dyDescent="0.25">
      <c r="R298" s="89"/>
      <c r="AJ298" s="89"/>
      <c r="BB298" s="89"/>
    </row>
    <row r="299" spans="18:54" x14ac:dyDescent="0.25">
      <c r="R299" s="89"/>
      <c r="AJ299" s="89"/>
      <c r="BB299" s="89"/>
    </row>
    <row r="300" spans="18:54" x14ac:dyDescent="0.25">
      <c r="R300" s="89"/>
      <c r="AJ300" s="89"/>
      <c r="BB300" s="89"/>
    </row>
    <row r="301" spans="18:54" x14ac:dyDescent="0.25">
      <c r="R301" s="89"/>
      <c r="AJ301" s="89"/>
      <c r="BB301" s="89"/>
    </row>
    <row r="302" spans="18:54" x14ac:dyDescent="0.25">
      <c r="R302" s="89"/>
      <c r="AJ302" s="89"/>
      <c r="BB302" s="89"/>
    </row>
    <row r="303" spans="18:54" x14ac:dyDescent="0.25">
      <c r="R303" s="89"/>
      <c r="AJ303" s="89"/>
      <c r="BB303" s="89"/>
    </row>
    <row r="304" spans="18:54" x14ac:dyDescent="0.25">
      <c r="R304" s="89"/>
      <c r="AJ304" s="89"/>
      <c r="BB304" s="89"/>
    </row>
    <row r="305" spans="18:54" x14ac:dyDescent="0.25">
      <c r="R305" s="89"/>
      <c r="AJ305" s="89"/>
      <c r="BB305" s="89"/>
    </row>
    <row r="306" spans="18:54" x14ac:dyDescent="0.25">
      <c r="R306" s="89"/>
      <c r="AJ306" s="89"/>
      <c r="BB306" s="89"/>
    </row>
    <row r="307" spans="18:54" x14ac:dyDescent="0.25">
      <c r="R307" s="89"/>
      <c r="AJ307" s="89"/>
      <c r="BB307" s="89"/>
    </row>
    <row r="308" spans="18:54" x14ac:dyDescent="0.25">
      <c r="R308" s="89"/>
      <c r="AJ308" s="89"/>
      <c r="BB308" s="89"/>
    </row>
    <row r="309" spans="18:54" x14ac:dyDescent="0.25">
      <c r="R309" s="89"/>
      <c r="AJ309" s="89"/>
      <c r="BB309" s="89"/>
    </row>
    <row r="310" spans="18:54" x14ac:dyDescent="0.25">
      <c r="R310" s="89"/>
      <c r="AJ310" s="89"/>
      <c r="BB310" s="89"/>
    </row>
    <row r="311" spans="18:54" x14ac:dyDescent="0.25">
      <c r="R311" s="89"/>
      <c r="AJ311" s="89"/>
      <c r="BB311" s="89"/>
    </row>
    <row r="312" spans="18:54" x14ac:dyDescent="0.25">
      <c r="R312" s="89"/>
      <c r="AJ312" s="89"/>
      <c r="BB312" s="89"/>
    </row>
    <row r="313" spans="18:54" x14ac:dyDescent="0.25">
      <c r="R313" s="89"/>
      <c r="AJ313" s="89"/>
      <c r="BB313" s="89"/>
    </row>
    <row r="314" spans="18:54" x14ac:dyDescent="0.25">
      <c r="R314" s="89"/>
      <c r="AJ314" s="89"/>
      <c r="BB314" s="89"/>
    </row>
    <row r="315" spans="18:54" x14ac:dyDescent="0.25">
      <c r="R315" s="89"/>
      <c r="AJ315" s="89"/>
      <c r="BB315" s="89"/>
    </row>
    <row r="316" spans="18:54" x14ac:dyDescent="0.25">
      <c r="R316" s="89"/>
      <c r="AJ316" s="89"/>
      <c r="BB316" s="89"/>
    </row>
    <row r="317" spans="18:54" x14ac:dyDescent="0.25">
      <c r="R317" s="89"/>
      <c r="AJ317" s="89"/>
      <c r="BB317" s="89"/>
    </row>
    <row r="318" spans="18:54" x14ac:dyDescent="0.25">
      <c r="R318" s="89"/>
      <c r="AJ318" s="89"/>
      <c r="BB318" s="89"/>
    </row>
    <row r="319" spans="18:54" x14ac:dyDescent="0.25">
      <c r="R319" s="89"/>
      <c r="AJ319" s="89"/>
      <c r="BB319" s="89"/>
    </row>
    <row r="320" spans="18:54" x14ac:dyDescent="0.25">
      <c r="R320" s="89"/>
      <c r="AJ320" s="89"/>
      <c r="BB320" s="89"/>
    </row>
    <row r="321" spans="18:54" x14ac:dyDescent="0.25">
      <c r="R321" s="89"/>
      <c r="AJ321" s="89"/>
      <c r="BB321" s="89"/>
    </row>
    <row r="322" spans="18:54" x14ac:dyDescent="0.25">
      <c r="R322" s="89"/>
      <c r="AJ322" s="89"/>
      <c r="BB322" s="89"/>
    </row>
    <row r="323" spans="18:54" x14ac:dyDescent="0.25">
      <c r="R323" s="89"/>
      <c r="AJ323" s="89"/>
      <c r="BB323" s="89"/>
    </row>
    <row r="324" spans="18:54" x14ac:dyDescent="0.25">
      <c r="R324" s="89"/>
      <c r="AJ324" s="89"/>
      <c r="BB324" s="89"/>
    </row>
    <row r="325" spans="18:54" x14ac:dyDescent="0.25">
      <c r="R325" s="89"/>
      <c r="AJ325" s="89"/>
      <c r="BB325" s="89"/>
    </row>
    <row r="326" spans="18:54" x14ac:dyDescent="0.25">
      <c r="R326" s="89"/>
      <c r="AJ326" s="89"/>
      <c r="BB326" s="89"/>
    </row>
    <row r="327" spans="18:54" x14ac:dyDescent="0.25">
      <c r="R327" s="89"/>
      <c r="AJ327" s="89"/>
      <c r="BB327" s="89"/>
    </row>
    <row r="328" spans="18:54" x14ac:dyDescent="0.25">
      <c r="R328" s="89"/>
      <c r="AJ328" s="89"/>
      <c r="BB328" s="89"/>
    </row>
    <row r="329" spans="18:54" x14ac:dyDescent="0.25">
      <c r="R329" s="89"/>
      <c r="AJ329" s="89"/>
      <c r="BB329" s="89"/>
    </row>
    <row r="330" spans="18:54" x14ac:dyDescent="0.25">
      <c r="R330" s="89"/>
      <c r="AJ330" s="89"/>
      <c r="BB330" s="89"/>
    </row>
    <row r="331" spans="18:54" x14ac:dyDescent="0.25">
      <c r="R331" s="89"/>
      <c r="AJ331" s="89"/>
      <c r="BB331" s="89"/>
    </row>
    <row r="332" spans="18:54" x14ac:dyDescent="0.25">
      <c r="R332" s="89"/>
      <c r="AJ332" s="89"/>
      <c r="BB332" s="89"/>
    </row>
    <row r="333" spans="18:54" x14ac:dyDescent="0.25">
      <c r="R333" s="89"/>
      <c r="AJ333" s="89"/>
      <c r="BB333" s="89"/>
    </row>
    <row r="334" spans="18:54" x14ac:dyDescent="0.25">
      <c r="R334" s="89"/>
      <c r="AJ334" s="89"/>
      <c r="BB334" s="89"/>
    </row>
    <row r="335" spans="18:54" x14ac:dyDescent="0.25">
      <c r="R335" s="89"/>
      <c r="AJ335" s="89"/>
      <c r="BB335" s="89"/>
    </row>
    <row r="336" spans="18:54" x14ac:dyDescent="0.25">
      <c r="R336" s="89"/>
      <c r="AJ336" s="89"/>
      <c r="BB336" s="89"/>
    </row>
    <row r="337" spans="18:54" x14ac:dyDescent="0.25">
      <c r="R337" s="89"/>
      <c r="AJ337" s="89"/>
      <c r="BB337" s="89"/>
    </row>
    <row r="338" spans="18:54" x14ac:dyDescent="0.25">
      <c r="R338" s="89"/>
      <c r="AJ338" s="89"/>
      <c r="BB338" s="89"/>
    </row>
    <row r="339" spans="18:54" x14ac:dyDescent="0.25">
      <c r="R339" s="89"/>
      <c r="AJ339" s="89"/>
      <c r="BB339" s="89"/>
    </row>
    <row r="340" spans="18:54" x14ac:dyDescent="0.25">
      <c r="R340" s="89"/>
      <c r="AJ340" s="89"/>
      <c r="BB340" s="89"/>
    </row>
    <row r="341" spans="18:54" x14ac:dyDescent="0.25">
      <c r="R341" s="89"/>
      <c r="AJ341" s="89"/>
      <c r="BB341" s="89"/>
    </row>
    <row r="342" spans="18:54" x14ac:dyDescent="0.25">
      <c r="R342" s="89"/>
      <c r="AJ342" s="89"/>
      <c r="BB342" s="89"/>
    </row>
    <row r="343" spans="18:54" x14ac:dyDescent="0.25">
      <c r="R343" s="89"/>
      <c r="AJ343" s="89"/>
      <c r="BB343" s="89"/>
    </row>
    <row r="344" spans="18:54" x14ac:dyDescent="0.25">
      <c r="R344" s="89"/>
      <c r="AJ344" s="89"/>
      <c r="BB344" s="89"/>
    </row>
    <row r="345" spans="18:54" x14ac:dyDescent="0.25">
      <c r="R345" s="89"/>
      <c r="AJ345" s="89"/>
      <c r="BB345" s="89"/>
    </row>
    <row r="346" spans="18:54" x14ac:dyDescent="0.25">
      <c r="R346" s="89"/>
      <c r="AJ346" s="89"/>
      <c r="BB346" s="8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45D46-E445-47EE-A344-89B720A3BEC6}">
  <dimension ref="A1:BC346"/>
  <sheetViews>
    <sheetView topLeftCell="AE1" workbookViewId="0">
      <selection activeCell="J3" sqref="J3"/>
    </sheetView>
  </sheetViews>
  <sheetFormatPr defaultRowHeight="15" x14ac:dyDescent="0.25"/>
  <cols>
    <col min="1" max="1" width="16.140625" bestFit="1" customWidth="1"/>
    <col min="2" max="2" width="24.7109375" bestFit="1" customWidth="1"/>
    <col min="3" max="15" width="8" bestFit="1" customWidth="1"/>
    <col min="16" max="16" width="11.28515625" bestFit="1" customWidth="1"/>
    <col min="17" max="17" width="9.140625" bestFit="1" customWidth="1"/>
    <col min="18" max="18" width="4.7109375" customWidth="1"/>
    <col min="19" max="19" width="16.140625" bestFit="1" customWidth="1"/>
    <col min="20" max="20" width="24.7109375" bestFit="1" customWidth="1"/>
    <col min="21" max="33" width="10" bestFit="1" customWidth="1"/>
    <col min="34" max="34" width="11.28515625" bestFit="1" customWidth="1"/>
    <col min="35" max="35" width="9.140625" bestFit="1" customWidth="1"/>
    <col min="36" max="36" width="4.7109375" customWidth="1"/>
    <col min="37" max="37" width="16.140625" bestFit="1" customWidth="1"/>
    <col min="38" max="38" width="24.7109375" bestFit="1" customWidth="1"/>
    <col min="39" max="51" width="10" bestFit="1" customWidth="1"/>
    <col min="52" max="52" width="11.28515625" bestFit="1" customWidth="1"/>
    <col min="53" max="53" width="11.28515625" customWidth="1"/>
    <col min="54" max="55" width="9.140625" bestFit="1" customWidth="1"/>
    <col min="56" max="83" width="21.42578125" bestFit="1" customWidth="1"/>
    <col min="84" max="84" width="26.42578125" bestFit="1" customWidth="1"/>
    <col min="85" max="85" width="11.28515625" bestFit="1" customWidth="1"/>
    <col min="86" max="99" width="22.85546875" bestFit="1" customWidth="1"/>
  </cols>
  <sheetData>
    <row r="1" spans="1:55" x14ac:dyDescent="0.25">
      <c r="A1" s="91" t="s">
        <v>910</v>
      </c>
      <c r="B1" s="88">
        <v>1</v>
      </c>
      <c r="R1" s="89"/>
      <c r="S1" s="91" t="s">
        <v>910</v>
      </c>
      <c r="T1" s="88">
        <v>97</v>
      </c>
      <c r="AJ1" s="89"/>
      <c r="AK1" s="91" t="s">
        <v>910</v>
      </c>
      <c r="AL1" s="88">
        <v>21</v>
      </c>
    </row>
    <row r="2" spans="1:55" x14ac:dyDescent="0.25">
      <c r="A2" s="91" t="s">
        <v>714</v>
      </c>
      <c r="B2" t="s">
        <v>1267</v>
      </c>
      <c r="R2" s="89"/>
      <c r="S2" s="91" t="s">
        <v>714</v>
      </c>
      <c r="T2" t="s">
        <v>1267</v>
      </c>
      <c r="AJ2" s="89"/>
      <c r="AK2" s="91" t="s">
        <v>714</v>
      </c>
      <c r="AL2" t="s">
        <v>1267</v>
      </c>
    </row>
    <row r="3" spans="1:55" x14ac:dyDescent="0.25">
      <c r="B3" t="str">
        <f>MID(B5,3,2)</f>
        <v>24</v>
      </c>
      <c r="C3" t="str">
        <f>MID(C5,3,2)</f>
        <v>25</v>
      </c>
      <c r="D3" t="str">
        <f t="shared" ref="D3:O3" si="0">MID(D5,3,2)</f>
        <v>26</v>
      </c>
      <c r="E3" t="str">
        <f t="shared" si="0"/>
        <v>35</v>
      </c>
      <c r="F3" t="str">
        <f t="shared" si="0"/>
        <v>42</v>
      </c>
      <c r="G3" t="str">
        <f t="shared" si="0"/>
        <v>43</v>
      </c>
      <c r="H3" t="str">
        <f t="shared" si="0"/>
        <v>44</v>
      </c>
      <c r="I3" t="str">
        <f t="shared" si="0"/>
        <v>45</v>
      </c>
      <c r="J3" t="str">
        <f t="shared" si="0"/>
        <v>46</v>
      </c>
      <c r="K3" t="str">
        <f t="shared" si="0"/>
        <v>47</v>
      </c>
      <c r="L3" t="str">
        <f t="shared" si="0"/>
        <v>48</v>
      </c>
      <c r="M3" t="str">
        <f t="shared" si="0"/>
        <v>49</v>
      </c>
      <c r="N3" t="str">
        <f t="shared" si="0"/>
        <v>64</v>
      </c>
      <c r="O3" t="str">
        <f t="shared" si="0"/>
        <v/>
      </c>
      <c r="P3" s="243">
        <v>16</v>
      </c>
      <c r="Q3" s="243">
        <v>17</v>
      </c>
      <c r="R3" s="89"/>
      <c r="T3" t="str">
        <f>MID(T5,3,2)</f>
        <v>24</v>
      </c>
      <c r="U3" t="str">
        <f>MID(U5,3,2)</f>
        <v>25</v>
      </c>
      <c r="V3" t="str">
        <f t="shared" ref="V3:AG3" si="1">MID(V5,3,2)</f>
        <v>26</v>
      </c>
      <c r="W3" t="str">
        <f t="shared" si="1"/>
        <v>35</v>
      </c>
      <c r="X3" t="str">
        <f t="shared" si="1"/>
        <v>39</v>
      </c>
      <c r="Y3" t="str">
        <f t="shared" si="1"/>
        <v>42</v>
      </c>
      <c r="Z3" t="str">
        <f t="shared" si="1"/>
        <v>43</v>
      </c>
      <c r="AA3" t="str">
        <f t="shared" si="1"/>
        <v>44</v>
      </c>
      <c r="AB3" t="str">
        <f t="shared" si="1"/>
        <v>45</v>
      </c>
      <c r="AC3" t="str">
        <f t="shared" si="1"/>
        <v>46</v>
      </c>
      <c r="AD3" t="str">
        <f t="shared" si="1"/>
        <v>47</v>
      </c>
      <c r="AE3" t="str">
        <f t="shared" si="1"/>
        <v>48</v>
      </c>
      <c r="AF3" t="str">
        <f t="shared" si="1"/>
        <v>49</v>
      </c>
      <c r="AG3" t="str">
        <f t="shared" si="1"/>
        <v>64</v>
      </c>
      <c r="AH3" s="243">
        <v>16</v>
      </c>
      <c r="AI3" s="243">
        <v>17</v>
      </c>
      <c r="AJ3" s="89"/>
      <c r="AL3" t="str">
        <f>MID(AL5,3,2)</f>
        <v>24</v>
      </c>
      <c r="AM3" t="str">
        <f>MID(AM5,3,2)</f>
        <v>25</v>
      </c>
      <c r="AN3" t="str">
        <f t="shared" ref="AN3:AY3" si="2">MID(AN5,3,2)</f>
        <v>26</v>
      </c>
      <c r="AO3" t="str">
        <f t="shared" si="2"/>
        <v>35</v>
      </c>
      <c r="AP3" t="str">
        <f t="shared" si="2"/>
        <v>39</v>
      </c>
      <c r="AQ3" t="str">
        <f t="shared" si="2"/>
        <v>42</v>
      </c>
      <c r="AR3" t="str">
        <f t="shared" si="2"/>
        <v>43</v>
      </c>
      <c r="AS3" t="str">
        <f t="shared" si="2"/>
        <v>44</v>
      </c>
      <c r="AT3" t="str">
        <f t="shared" si="2"/>
        <v>45</v>
      </c>
      <c r="AU3" t="str">
        <f t="shared" si="2"/>
        <v>46</v>
      </c>
      <c r="AV3" t="str">
        <f t="shared" si="2"/>
        <v>47</v>
      </c>
      <c r="AW3" t="str">
        <f t="shared" si="2"/>
        <v>48</v>
      </c>
      <c r="AX3" t="str">
        <f t="shared" si="2"/>
        <v>49</v>
      </c>
      <c r="AY3" t="str">
        <f t="shared" si="2"/>
        <v>64</v>
      </c>
      <c r="AZ3" s="243">
        <v>16</v>
      </c>
      <c r="BA3" s="243">
        <v>17</v>
      </c>
      <c r="BB3" s="243">
        <v>18</v>
      </c>
      <c r="BC3" s="243">
        <v>19</v>
      </c>
    </row>
    <row r="4" spans="1:55" x14ac:dyDescent="0.25">
      <c r="A4" s="91" t="s">
        <v>1274</v>
      </c>
      <c r="B4" s="91" t="s">
        <v>751</v>
      </c>
      <c r="R4" s="89"/>
      <c r="S4" s="91" t="s">
        <v>1274</v>
      </c>
      <c r="T4" s="91" t="s">
        <v>751</v>
      </c>
      <c r="AJ4" s="89"/>
      <c r="AK4" s="91" t="s">
        <v>1274</v>
      </c>
      <c r="AL4" s="91" t="s">
        <v>751</v>
      </c>
    </row>
    <row r="5" spans="1:55" x14ac:dyDescent="0.25">
      <c r="A5" s="91" t="s">
        <v>752</v>
      </c>
      <c r="B5" t="s">
        <v>1284</v>
      </c>
      <c r="C5" t="s">
        <v>1363</v>
      </c>
      <c r="D5" t="s">
        <v>1291</v>
      </c>
      <c r="E5" t="s">
        <v>1377</v>
      </c>
      <c r="F5" t="s">
        <v>1263</v>
      </c>
      <c r="G5" t="s">
        <v>1368</v>
      </c>
      <c r="H5" t="s">
        <v>1356</v>
      </c>
      <c r="I5" t="s">
        <v>1370</v>
      </c>
      <c r="J5" t="s">
        <v>1371</v>
      </c>
      <c r="K5" t="s">
        <v>1338</v>
      </c>
      <c r="L5" t="s">
        <v>1373</v>
      </c>
      <c r="M5" t="s">
        <v>1477</v>
      </c>
      <c r="N5" t="s">
        <v>1376</v>
      </c>
      <c r="P5" t="s">
        <v>682</v>
      </c>
      <c r="Q5" t="s">
        <v>683</v>
      </c>
      <c r="R5" s="89"/>
      <c r="S5" s="91" t="s">
        <v>752</v>
      </c>
      <c r="T5" t="s">
        <v>1358</v>
      </c>
      <c r="U5" t="s">
        <v>1362</v>
      </c>
      <c r="V5" t="s">
        <v>1488</v>
      </c>
      <c r="W5" t="s">
        <v>1378</v>
      </c>
      <c r="X5" t="s">
        <v>1478</v>
      </c>
      <c r="Y5" t="s">
        <v>1479</v>
      </c>
      <c r="Z5" t="s">
        <v>1480</v>
      </c>
      <c r="AA5" t="s">
        <v>1481</v>
      </c>
      <c r="AB5" t="s">
        <v>1482</v>
      </c>
      <c r="AC5" t="s">
        <v>1483</v>
      </c>
      <c r="AD5" t="s">
        <v>1484</v>
      </c>
      <c r="AE5" t="s">
        <v>1485</v>
      </c>
      <c r="AF5" t="s">
        <v>1486</v>
      </c>
      <c r="AG5" t="s">
        <v>1487</v>
      </c>
      <c r="AH5" t="s">
        <v>682</v>
      </c>
      <c r="AI5" t="s">
        <v>683</v>
      </c>
      <c r="AJ5" s="89"/>
      <c r="AK5" s="91" t="s">
        <v>752</v>
      </c>
      <c r="AL5" t="s">
        <v>1355</v>
      </c>
      <c r="AM5" t="s">
        <v>1361</v>
      </c>
      <c r="AN5" t="s">
        <v>1322</v>
      </c>
      <c r="AO5" t="s">
        <v>1489</v>
      </c>
      <c r="AP5" t="s">
        <v>1364</v>
      </c>
      <c r="AQ5" t="s">
        <v>1365</v>
      </c>
      <c r="AR5" t="s">
        <v>1303</v>
      </c>
      <c r="AS5" t="s">
        <v>1369</v>
      </c>
      <c r="AT5" t="s">
        <v>1312</v>
      </c>
      <c r="AU5" t="s">
        <v>1345</v>
      </c>
      <c r="AV5" t="s">
        <v>1372</v>
      </c>
      <c r="AW5" t="s">
        <v>1316</v>
      </c>
      <c r="AX5" t="s">
        <v>1374</v>
      </c>
      <c r="AY5" t="s">
        <v>1313</v>
      </c>
      <c r="AZ5" t="s">
        <v>682</v>
      </c>
      <c r="BA5" t="s">
        <v>1503</v>
      </c>
      <c r="BB5" t="s">
        <v>683</v>
      </c>
      <c r="BC5" t="s">
        <v>1504</v>
      </c>
    </row>
    <row r="6" spans="1:55" x14ac:dyDescent="0.25">
      <c r="A6" s="88" t="s">
        <v>9</v>
      </c>
      <c r="B6" s="90">
        <v>0.36299999999999999</v>
      </c>
      <c r="C6" s="90">
        <v>0.495</v>
      </c>
      <c r="D6" s="90">
        <v>0.58099999999999996</v>
      </c>
      <c r="E6" s="90"/>
      <c r="F6" s="90">
        <v>2.25</v>
      </c>
      <c r="G6" s="90"/>
      <c r="H6" s="90"/>
      <c r="I6" s="90"/>
      <c r="J6" s="90"/>
      <c r="K6" s="90"/>
      <c r="L6" s="90"/>
      <c r="M6" s="90"/>
      <c r="N6" s="90"/>
      <c r="P6" s="90">
        <f>SUM(F6:O6)</f>
        <v>2.25</v>
      </c>
      <c r="Q6" s="90">
        <f>SUM($B6:E6)</f>
        <v>1.4390000000000001</v>
      </c>
      <c r="R6" s="89"/>
      <c r="S6" s="88" t="s">
        <v>759</v>
      </c>
      <c r="T6" s="90">
        <v>0</v>
      </c>
      <c r="U6" s="90">
        <v>0</v>
      </c>
      <c r="V6" s="90">
        <v>0</v>
      </c>
      <c r="W6" s="90">
        <v>0</v>
      </c>
      <c r="X6" s="90">
        <v>0</v>
      </c>
      <c r="Y6" s="90">
        <v>0</v>
      </c>
      <c r="Z6" s="90">
        <v>0</v>
      </c>
      <c r="AA6" s="90">
        <v>0</v>
      </c>
      <c r="AB6" s="90">
        <v>0</v>
      </c>
      <c r="AC6" s="90">
        <v>0</v>
      </c>
      <c r="AD6" s="90">
        <v>0</v>
      </c>
      <c r="AE6" s="90">
        <v>0</v>
      </c>
      <c r="AF6" s="90">
        <v>0</v>
      </c>
      <c r="AG6" s="90">
        <v>0</v>
      </c>
      <c r="AH6" s="90">
        <f>SUM(X6:AG6)</f>
        <v>0</v>
      </c>
      <c r="AI6" s="90">
        <f>SUM(T6:W6)</f>
        <v>0</v>
      </c>
      <c r="AJ6" s="89"/>
      <c r="AK6" s="88" t="s">
        <v>759</v>
      </c>
      <c r="AL6" s="90">
        <v>0</v>
      </c>
      <c r="AM6" s="90">
        <v>0</v>
      </c>
      <c r="AN6" s="90">
        <v>0</v>
      </c>
      <c r="AO6" s="90">
        <v>0</v>
      </c>
      <c r="AP6" s="90">
        <v>0</v>
      </c>
      <c r="AQ6" s="90">
        <v>0</v>
      </c>
      <c r="AR6" s="90">
        <v>0</v>
      </c>
      <c r="AS6" s="90">
        <v>0</v>
      </c>
      <c r="AT6" s="90">
        <v>0</v>
      </c>
      <c r="AU6" s="90">
        <v>0</v>
      </c>
      <c r="AV6" s="90">
        <v>0</v>
      </c>
      <c r="AW6" s="90">
        <v>0</v>
      </c>
      <c r="AX6" s="90">
        <v>0</v>
      </c>
      <c r="AY6" s="90">
        <v>0</v>
      </c>
      <c r="AZ6" s="90">
        <f>SUM(AP6:AY6)</f>
        <v>0</v>
      </c>
      <c r="BA6" s="90">
        <f>ROUND(AZ6*IFERROR(VLOOKUP($AK6,'3121% SY'!$A$2:$M$324,13,FALSE),0),3)</f>
        <v>0</v>
      </c>
      <c r="BB6" s="90">
        <f>SUM(AL6:AO6)</f>
        <v>0</v>
      </c>
      <c r="BC6" s="90">
        <f>ROUND(BB6*IFERROR(VLOOKUP($AK6,'3121% SY'!$A$2:$M$324,13,FALSE),0),3)</f>
        <v>0</v>
      </c>
    </row>
    <row r="7" spans="1:55" x14ac:dyDescent="0.25">
      <c r="A7" s="88" t="s">
        <v>10</v>
      </c>
      <c r="B7" s="90"/>
      <c r="C7" s="90">
        <v>5.6000000000000001E-2</v>
      </c>
      <c r="D7" s="90">
        <v>0.16900000000000001</v>
      </c>
      <c r="E7" s="90"/>
      <c r="F7" s="90">
        <v>0.755</v>
      </c>
      <c r="G7" s="90"/>
      <c r="H7" s="90"/>
      <c r="I7" s="90"/>
      <c r="J7" s="90"/>
      <c r="K7" s="90"/>
      <c r="L7" s="90"/>
      <c r="M7" s="90"/>
      <c r="N7" s="90"/>
      <c r="P7" s="90">
        <f t="shared" ref="P7:P70" si="3">SUM(F7:O7)</f>
        <v>0.755</v>
      </c>
      <c r="Q7" s="90">
        <f>SUM($B7:E7)</f>
        <v>0.22500000000000001</v>
      </c>
      <c r="R7" s="89"/>
      <c r="S7" s="88" t="s">
        <v>9</v>
      </c>
      <c r="T7" s="90"/>
      <c r="U7" s="90"/>
      <c r="V7" s="90"/>
      <c r="W7" s="90">
        <v>1.3009999999999999</v>
      </c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>
        <f t="shared" ref="AH7:AH70" si="4">SUM(X7:AG7)</f>
        <v>0</v>
      </c>
      <c r="AI7" s="90">
        <f t="shared" ref="AI7:AI70" si="5">SUM(T7:W7)</f>
        <v>1.3009999999999999</v>
      </c>
      <c r="AJ7" s="89"/>
      <c r="AK7" s="88" t="s">
        <v>9</v>
      </c>
      <c r="AL7" s="90"/>
      <c r="AM7" s="90"/>
      <c r="AN7" s="90">
        <v>0.25</v>
      </c>
      <c r="AO7" s="90"/>
      <c r="AP7" s="90"/>
      <c r="AQ7" s="90"/>
      <c r="AR7" s="90"/>
      <c r="AS7" s="90"/>
      <c r="AT7" s="90"/>
      <c r="AU7" s="90">
        <v>0.6</v>
      </c>
      <c r="AV7" s="90"/>
      <c r="AW7" s="90"/>
      <c r="AX7" s="90"/>
      <c r="AY7" s="90"/>
      <c r="AZ7" s="90">
        <f t="shared" ref="AZ7:AZ70" si="6">SUM(AP7:AY7)</f>
        <v>0.6</v>
      </c>
      <c r="BA7" s="90">
        <f>ROUND(AZ7*IFERROR(VLOOKUP($AK7,'3121% SY'!$A$2:$M$324,13,FALSE),0),3)</f>
        <v>0.14899999999999999</v>
      </c>
      <c r="BB7" s="90">
        <f t="shared" ref="BB7:BB70" si="7">SUM(AL7:AO7)</f>
        <v>0.25</v>
      </c>
      <c r="BC7" s="90">
        <f>ROUND(BB7*IFERROR(VLOOKUP($AK7,'3121% SY'!$A$2:$M$324,13,FALSE),0),3)</f>
        <v>6.2E-2</v>
      </c>
    </row>
    <row r="8" spans="1:55" x14ac:dyDescent="0.25">
      <c r="A8" s="88" t="s">
        <v>12</v>
      </c>
      <c r="B8" s="90"/>
      <c r="C8" s="90"/>
      <c r="D8" s="90"/>
      <c r="E8" s="90"/>
      <c r="F8" s="90">
        <v>0.6</v>
      </c>
      <c r="G8" s="90"/>
      <c r="H8" s="90"/>
      <c r="I8" s="90"/>
      <c r="J8" s="90"/>
      <c r="K8" s="90"/>
      <c r="L8" s="90"/>
      <c r="M8" s="90"/>
      <c r="N8" s="90"/>
      <c r="P8" s="90">
        <f t="shared" si="3"/>
        <v>0.6</v>
      </c>
      <c r="Q8" s="90">
        <f>SUM($B8:E8)</f>
        <v>0</v>
      </c>
      <c r="R8" s="89"/>
      <c r="S8" s="88" t="s">
        <v>14</v>
      </c>
      <c r="T8" s="90"/>
      <c r="U8" s="90"/>
      <c r="V8" s="90"/>
      <c r="W8" s="90">
        <v>2.4350000000000001</v>
      </c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>
        <f t="shared" si="4"/>
        <v>0</v>
      </c>
      <c r="AI8" s="90">
        <f t="shared" si="5"/>
        <v>2.4350000000000001</v>
      </c>
      <c r="AJ8" s="89"/>
      <c r="AK8" s="88" t="s">
        <v>12</v>
      </c>
      <c r="AL8" s="90"/>
      <c r="AM8" s="90"/>
      <c r="AN8" s="90"/>
      <c r="AO8" s="90"/>
      <c r="AP8" s="90"/>
      <c r="AQ8" s="90"/>
      <c r="AR8" s="90"/>
      <c r="AS8" s="90"/>
      <c r="AT8" s="90"/>
      <c r="AU8" s="90">
        <v>0.28699999999999998</v>
      </c>
      <c r="AV8" s="90"/>
      <c r="AW8" s="90"/>
      <c r="AX8" s="90"/>
      <c r="AY8" s="90"/>
      <c r="AZ8" s="90">
        <f t="shared" si="6"/>
        <v>0.28699999999999998</v>
      </c>
      <c r="BA8" s="90">
        <f>ROUND(AZ8*IFERROR(VLOOKUP($AK8,'3121% SY'!$A$2:$M$324,13,FALSE),0),3)</f>
        <v>6.4000000000000001E-2</v>
      </c>
      <c r="BB8" s="90">
        <f t="shared" si="7"/>
        <v>0</v>
      </c>
      <c r="BC8" s="90">
        <f>ROUND(BB8*IFERROR(VLOOKUP($AK8,'3121% SY'!$A$2:$M$324,13,FALSE),0),3)</f>
        <v>0</v>
      </c>
    </row>
    <row r="9" spans="1:55" x14ac:dyDescent="0.25">
      <c r="A9" s="88" t="s">
        <v>13</v>
      </c>
      <c r="B9" s="90"/>
      <c r="C9" s="90">
        <v>2E-3</v>
      </c>
      <c r="D9" s="90"/>
      <c r="E9" s="90"/>
      <c r="F9" s="90">
        <v>0.2</v>
      </c>
      <c r="G9" s="90"/>
      <c r="H9" s="90"/>
      <c r="I9" s="90"/>
      <c r="J9" s="90"/>
      <c r="K9" s="90"/>
      <c r="L9" s="90"/>
      <c r="M9" s="90"/>
      <c r="N9" s="90"/>
      <c r="P9" s="90">
        <f t="shared" si="3"/>
        <v>0.2</v>
      </c>
      <c r="Q9" s="90">
        <f>SUM($B9:E9)</f>
        <v>2E-3</v>
      </c>
      <c r="R9" s="89"/>
      <c r="S9" s="88" t="s">
        <v>667</v>
      </c>
      <c r="T9" s="90">
        <v>0.40200000000000002</v>
      </c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>
        <f t="shared" si="4"/>
        <v>0</v>
      </c>
      <c r="AI9" s="90">
        <f t="shared" si="5"/>
        <v>0.40200000000000002</v>
      </c>
      <c r="AJ9" s="89"/>
      <c r="AK9" s="88" t="s">
        <v>13</v>
      </c>
      <c r="AL9" s="90"/>
      <c r="AM9" s="90"/>
      <c r="AN9" s="90"/>
      <c r="AO9" s="90"/>
      <c r="AP9" s="90"/>
      <c r="AQ9" s="90"/>
      <c r="AR9" s="90"/>
      <c r="AS9" s="90"/>
      <c r="AT9" s="90">
        <v>0.13600000000000001</v>
      </c>
      <c r="AU9" s="90">
        <v>0.16700000000000001</v>
      </c>
      <c r="AV9" s="90"/>
      <c r="AW9" s="90"/>
      <c r="AX9" s="90"/>
      <c r="AY9" s="90"/>
      <c r="AZ9" s="90">
        <f t="shared" si="6"/>
        <v>0.30300000000000005</v>
      </c>
      <c r="BA9" s="90">
        <f>ROUND(AZ9*IFERROR(VLOOKUP($AK9,'3121% SY'!$A$2:$M$324,13,FALSE),0),3)</f>
        <v>6.6000000000000003E-2</v>
      </c>
      <c r="BB9" s="90">
        <f t="shared" si="7"/>
        <v>0</v>
      </c>
      <c r="BC9" s="90">
        <f>ROUND(BB9*IFERROR(VLOOKUP($AK9,'3121% SY'!$A$2:$M$324,13,FALSE),0),3)</f>
        <v>0</v>
      </c>
    </row>
    <row r="10" spans="1:55" x14ac:dyDescent="0.25">
      <c r="A10" s="88" t="s">
        <v>14</v>
      </c>
      <c r="B10" s="90"/>
      <c r="C10" s="90"/>
      <c r="D10" s="90"/>
      <c r="E10" s="90"/>
      <c r="F10" s="90">
        <v>6.8</v>
      </c>
      <c r="G10" s="90"/>
      <c r="H10" s="90"/>
      <c r="I10" s="90"/>
      <c r="J10" s="90"/>
      <c r="K10" s="90">
        <v>7.0140000000000002</v>
      </c>
      <c r="L10" s="90"/>
      <c r="M10" s="90"/>
      <c r="N10" s="90"/>
      <c r="P10" s="90">
        <f t="shared" si="3"/>
        <v>13.814</v>
      </c>
      <c r="Q10" s="90">
        <f>SUM($B10:E10)</f>
        <v>0</v>
      </c>
      <c r="R10" s="89"/>
      <c r="S10" s="88" t="s">
        <v>96</v>
      </c>
      <c r="T10" s="90"/>
      <c r="U10" s="90">
        <v>0.54</v>
      </c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>
        <f t="shared" si="4"/>
        <v>0</v>
      </c>
      <c r="AI10" s="90">
        <f t="shared" si="5"/>
        <v>0.54</v>
      </c>
      <c r="AJ10" s="89"/>
      <c r="AK10" s="88" t="s">
        <v>14</v>
      </c>
      <c r="AL10" s="90"/>
      <c r="AM10" s="90"/>
      <c r="AN10" s="90"/>
      <c r="AO10" s="90"/>
      <c r="AP10" s="90"/>
      <c r="AQ10" s="90"/>
      <c r="AR10" s="90">
        <v>0.126</v>
      </c>
      <c r="AS10" s="90"/>
      <c r="AT10" s="90">
        <v>1.3819999999999999</v>
      </c>
      <c r="AU10" s="90">
        <v>2.4460000000000002</v>
      </c>
      <c r="AV10" s="90">
        <v>0.1</v>
      </c>
      <c r="AW10" s="90">
        <v>0.05</v>
      </c>
      <c r="AX10" s="90"/>
      <c r="AY10" s="90"/>
      <c r="AZ10" s="90">
        <f t="shared" si="6"/>
        <v>4.1040000000000001</v>
      </c>
      <c r="BA10" s="90">
        <f>ROUND(AZ10*IFERROR(VLOOKUP($AK10,'3121% SY'!$A$2:$M$324,13,FALSE),0),3)</f>
        <v>1.234</v>
      </c>
      <c r="BB10" s="90">
        <f t="shared" si="7"/>
        <v>0</v>
      </c>
      <c r="BC10" s="90">
        <f>ROUND(BB10*IFERROR(VLOOKUP($AK10,'3121% SY'!$A$2:$M$324,13,FALSE),0),3)</f>
        <v>0</v>
      </c>
    </row>
    <row r="11" spans="1:55" x14ac:dyDescent="0.25">
      <c r="A11" s="88" t="s">
        <v>17</v>
      </c>
      <c r="B11" s="90"/>
      <c r="C11" s="90">
        <v>0.27500000000000002</v>
      </c>
      <c r="D11" s="90"/>
      <c r="E11" s="90"/>
      <c r="F11" s="90">
        <v>0.4</v>
      </c>
      <c r="G11" s="90"/>
      <c r="H11" s="90"/>
      <c r="I11" s="90"/>
      <c r="J11" s="90"/>
      <c r="K11" s="90"/>
      <c r="L11" s="90"/>
      <c r="M11" s="90"/>
      <c r="N11" s="90"/>
      <c r="P11" s="90">
        <f t="shared" si="3"/>
        <v>0.4</v>
      </c>
      <c r="Q11" s="90">
        <f>SUM($B11:E11)</f>
        <v>0.27500000000000002</v>
      </c>
      <c r="R11" s="89"/>
      <c r="S11" s="88" t="s">
        <v>107</v>
      </c>
      <c r="T11" s="90"/>
      <c r="U11" s="90"/>
      <c r="V11" s="90"/>
      <c r="W11" s="90">
        <v>3.71</v>
      </c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>
        <f t="shared" si="4"/>
        <v>0</v>
      </c>
      <c r="AI11" s="90">
        <f t="shared" si="5"/>
        <v>3.71</v>
      </c>
      <c r="AJ11" s="89"/>
      <c r="AK11" s="88" t="s">
        <v>16</v>
      </c>
      <c r="AL11" s="90"/>
      <c r="AM11" s="90"/>
      <c r="AN11" s="90"/>
      <c r="AO11" s="90"/>
      <c r="AP11" s="90"/>
      <c r="AQ11" s="90"/>
      <c r="AR11" s="90"/>
      <c r="AS11" s="90"/>
      <c r="AT11" s="90"/>
      <c r="AU11" s="90">
        <v>0.32300000000000001</v>
      </c>
      <c r="AV11" s="90"/>
      <c r="AW11" s="90"/>
      <c r="AX11" s="90"/>
      <c r="AY11" s="90"/>
      <c r="AZ11" s="90">
        <f t="shared" si="6"/>
        <v>0.32300000000000001</v>
      </c>
      <c r="BA11" s="90">
        <f>ROUND(AZ11*IFERROR(VLOOKUP($AK11,'3121% SY'!$A$2:$M$324,13,FALSE),0),3)</f>
        <v>6.8000000000000005E-2</v>
      </c>
      <c r="BB11" s="90">
        <f t="shared" si="7"/>
        <v>0</v>
      </c>
      <c r="BC11" s="90">
        <f>ROUND(BB11*IFERROR(VLOOKUP($AK11,'3121% SY'!$A$2:$M$324,13,FALSE),0),3)</f>
        <v>0</v>
      </c>
    </row>
    <row r="12" spans="1:55" x14ac:dyDescent="0.25">
      <c r="A12" s="88" t="s">
        <v>18</v>
      </c>
      <c r="B12" s="90"/>
      <c r="C12" s="90"/>
      <c r="D12" s="90"/>
      <c r="E12" s="90"/>
      <c r="F12" s="90">
        <v>2</v>
      </c>
      <c r="G12" s="90"/>
      <c r="H12" s="90"/>
      <c r="I12" s="90"/>
      <c r="J12" s="90"/>
      <c r="K12" s="90"/>
      <c r="L12" s="90"/>
      <c r="M12" s="90"/>
      <c r="N12" s="90"/>
      <c r="P12" s="90">
        <f t="shared" si="3"/>
        <v>2</v>
      </c>
      <c r="Q12" s="90">
        <f>SUM($B12:E12)</f>
        <v>0</v>
      </c>
      <c r="R12" s="89"/>
      <c r="S12" s="88" t="s">
        <v>295</v>
      </c>
      <c r="T12" s="90"/>
      <c r="U12" s="90"/>
      <c r="V12" s="90"/>
      <c r="W12" s="90">
        <v>0.73099999999999998</v>
      </c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>
        <f t="shared" si="4"/>
        <v>0</v>
      </c>
      <c r="AI12" s="90">
        <f t="shared" si="5"/>
        <v>0.73099999999999998</v>
      </c>
      <c r="AJ12" s="89"/>
      <c r="AK12" s="88" t="s">
        <v>18</v>
      </c>
      <c r="AL12" s="90"/>
      <c r="AM12" s="90"/>
      <c r="AN12" s="90"/>
      <c r="AO12" s="90"/>
      <c r="AP12" s="90"/>
      <c r="AQ12" s="90"/>
      <c r="AR12" s="90"/>
      <c r="AS12" s="90"/>
      <c r="AT12" s="90">
        <v>0.8</v>
      </c>
      <c r="AU12" s="90"/>
      <c r="AV12" s="90"/>
      <c r="AW12" s="90">
        <v>0.20599999999999999</v>
      </c>
      <c r="AX12" s="90"/>
      <c r="AY12" s="90"/>
      <c r="AZ12" s="90">
        <f t="shared" si="6"/>
        <v>1.006</v>
      </c>
      <c r="BA12" s="90">
        <f>ROUND(AZ12*IFERROR(VLOOKUP($AK12,'3121% SY'!$A$2:$M$324,13,FALSE),0),3)</f>
        <v>0.28199999999999997</v>
      </c>
      <c r="BB12" s="90">
        <f t="shared" si="7"/>
        <v>0</v>
      </c>
      <c r="BC12" s="90">
        <f>ROUND(BB12*IFERROR(VLOOKUP($AK12,'3121% SY'!$A$2:$M$324,13,FALSE),0),3)</f>
        <v>0</v>
      </c>
    </row>
    <row r="13" spans="1:55" x14ac:dyDescent="0.25">
      <c r="A13" s="88" t="s">
        <v>19</v>
      </c>
      <c r="B13" s="90"/>
      <c r="C13" s="90"/>
      <c r="D13" s="90"/>
      <c r="E13" s="90"/>
      <c r="F13" s="90">
        <v>9.8000000000000007</v>
      </c>
      <c r="G13" s="90"/>
      <c r="H13" s="90">
        <v>1</v>
      </c>
      <c r="I13" s="90"/>
      <c r="J13" s="90">
        <v>0.5</v>
      </c>
      <c r="K13" s="90">
        <v>3</v>
      </c>
      <c r="L13" s="90"/>
      <c r="M13" s="90"/>
      <c r="N13" s="90"/>
      <c r="P13" s="90">
        <f t="shared" si="3"/>
        <v>14.3</v>
      </c>
      <c r="Q13" s="90">
        <f>SUM($B13:E13)</f>
        <v>0</v>
      </c>
      <c r="R13" s="89"/>
      <c r="S13" s="88" t="s">
        <v>753</v>
      </c>
      <c r="T13" s="90">
        <v>0.40200000000000002</v>
      </c>
      <c r="U13" s="90">
        <v>0.54</v>
      </c>
      <c r="V13" s="90">
        <v>0</v>
      </c>
      <c r="W13" s="90">
        <v>8.1769999999999996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  <c r="AC13" s="90">
        <v>0</v>
      </c>
      <c r="AD13" s="90">
        <v>0</v>
      </c>
      <c r="AE13" s="90">
        <v>0</v>
      </c>
      <c r="AF13" s="90">
        <v>0</v>
      </c>
      <c r="AG13" s="90">
        <v>0</v>
      </c>
      <c r="AH13" s="90">
        <f t="shared" si="4"/>
        <v>0</v>
      </c>
      <c r="AI13" s="90">
        <f t="shared" si="5"/>
        <v>9.1189999999999998</v>
      </c>
      <c r="AJ13" s="89"/>
      <c r="AK13" s="88" t="s">
        <v>19</v>
      </c>
      <c r="AL13" s="90"/>
      <c r="AM13" s="90"/>
      <c r="AN13" s="90"/>
      <c r="AO13" s="90"/>
      <c r="AP13" s="90"/>
      <c r="AQ13" s="90"/>
      <c r="AR13" s="90"/>
      <c r="AS13" s="90">
        <v>1</v>
      </c>
      <c r="AT13" s="90">
        <v>1.8</v>
      </c>
      <c r="AU13" s="90">
        <v>2.5</v>
      </c>
      <c r="AV13" s="90"/>
      <c r="AW13" s="90"/>
      <c r="AX13" s="90">
        <v>1</v>
      </c>
      <c r="AY13" s="90"/>
      <c r="AZ13" s="90">
        <f t="shared" si="6"/>
        <v>6.3</v>
      </c>
      <c r="BA13" s="90">
        <f>ROUND(AZ13*IFERROR(VLOOKUP($AK13,'3121% SY'!$A$2:$M$324,13,FALSE),0),3)</f>
        <v>1.6930000000000001</v>
      </c>
      <c r="BB13" s="90">
        <f t="shared" si="7"/>
        <v>0</v>
      </c>
      <c r="BC13" s="90">
        <f>ROUND(BB13*IFERROR(VLOOKUP($AK13,'3121% SY'!$A$2:$M$324,13,FALSE),0),3)</f>
        <v>0</v>
      </c>
    </row>
    <row r="14" spans="1:55" x14ac:dyDescent="0.25">
      <c r="A14" s="88" t="s">
        <v>20</v>
      </c>
      <c r="B14" s="90"/>
      <c r="C14" s="90"/>
      <c r="D14" s="90"/>
      <c r="E14" s="90"/>
      <c r="F14" s="90">
        <v>0.43</v>
      </c>
      <c r="G14" s="90"/>
      <c r="H14" s="90"/>
      <c r="I14" s="90">
        <v>0.23</v>
      </c>
      <c r="J14" s="90"/>
      <c r="K14" s="90"/>
      <c r="L14" s="90"/>
      <c r="M14" s="90"/>
      <c r="N14" s="90"/>
      <c r="P14" s="90">
        <f t="shared" si="3"/>
        <v>0.66</v>
      </c>
      <c r="Q14" s="90">
        <f>SUM($B14:E14)</f>
        <v>0</v>
      </c>
      <c r="R14" s="89"/>
      <c r="AH14" s="90">
        <f t="shared" si="4"/>
        <v>0</v>
      </c>
      <c r="AI14" s="90">
        <f t="shared" si="5"/>
        <v>0</v>
      </c>
      <c r="AJ14" s="89"/>
      <c r="AK14" s="88" t="s">
        <v>23</v>
      </c>
      <c r="AL14" s="90"/>
      <c r="AM14" s="90"/>
      <c r="AN14" s="90"/>
      <c r="AO14" s="90"/>
      <c r="AP14" s="90"/>
      <c r="AQ14" s="90"/>
      <c r="AR14" s="90">
        <v>0.32</v>
      </c>
      <c r="AS14" s="90"/>
      <c r="AT14" s="90"/>
      <c r="AU14" s="90"/>
      <c r="AV14" s="90"/>
      <c r="AW14" s="90"/>
      <c r="AX14" s="90"/>
      <c r="AY14" s="90"/>
      <c r="AZ14" s="90">
        <f t="shared" si="6"/>
        <v>0.32</v>
      </c>
      <c r="BA14" s="90">
        <f>ROUND(AZ14*IFERROR(VLOOKUP($AK14,'3121% SY'!$A$2:$M$324,13,FALSE),0),3)</f>
        <v>4.9000000000000002E-2</v>
      </c>
      <c r="BB14" s="90">
        <f t="shared" si="7"/>
        <v>0</v>
      </c>
      <c r="BC14" s="90">
        <f>ROUND(BB14*IFERROR(VLOOKUP($AK14,'3121% SY'!$A$2:$M$324,13,FALSE),0),3)</f>
        <v>0</v>
      </c>
    </row>
    <row r="15" spans="1:55" x14ac:dyDescent="0.25">
      <c r="A15" s="88" t="s">
        <v>22</v>
      </c>
      <c r="B15" s="90"/>
      <c r="C15" s="90"/>
      <c r="D15" s="90"/>
      <c r="E15" s="90"/>
      <c r="F15" s="90">
        <v>0.2</v>
      </c>
      <c r="G15" s="90"/>
      <c r="H15" s="90"/>
      <c r="I15" s="90"/>
      <c r="J15" s="90"/>
      <c r="K15" s="90"/>
      <c r="L15" s="90"/>
      <c r="M15" s="90"/>
      <c r="N15" s="90"/>
      <c r="P15" s="90">
        <f t="shared" si="3"/>
        <v>0.2</v>
      </c>
      <c r="Q15" s="90">
        <f>SUM($B15:E15)</f>
        <v>0</v>
      </c>
      <c r="R15" s="89"/>
      <c r="AH15" s="90">
        <f t="shared" si="4"/>
        <v>0</v>
      </c>
      <c r="AI15" s="90">
        <f t="shared" si="5"/>
        <v>0</v>
      </c>
      <c r="AJ15" s="89"/>
      <c r="AK15" s="88" t="s">
        <v>24</v>
      </c>
      <c r="AL15" s="90"/>
      <c r="AM15" s="90"/>
      <c r="AN15" s="90">
        <v>0.26400000000000001</v>
      </c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>
        <f t="shared" si="6"/>
        <v>0</v>
      </c>
      <c r="BA15" s="90">
        <f>ROUND(AZ15*IFERROR(VLOOKUP($AK15,'3121% SY'!$A$2:$M$324,13,FALSE),0),3)</f>
        <v>0</v>
      </c>
      <c r="BB15" s="90">
        <f t="shared" si="7"/>
        <v>0.26400000000000001</v>
      </c>
      <c r="BC15" s="90">
        <f>ROUND(BB15*IFERROR(VLOOKUP($AK15,'3121% SY'!$A$2:$M$324,13,FALSE),0),3)</f>
        <v>0.04</v>
      </c>
    </row>
    <row r="16" spans="1:55" x14ac:dyDescent="0.25">
      <c r="A16" s="88" t="s">
        <v>23</v>
      </c>
      <c r="B16" s="90"/>
      <c r="C16" s="90">
        <v>6.2E-2</v>
      </c>
      <c r="D16" s="90">
        <v>0.10299999999999999</v>
      </c>
      <c r="E16" s="90"/>
      <c r="F16" s="90">
        <v>0.67</v>
      </c>
      <c r="G16" s="90"/>
      <c r="H16" s="90"/>
      <c r="I16" s="90"/>
      <c r="J16" s="90"/>
      <c r="K16" s="90"/>
      <c r="L16" s="90"/>
      <c r="M16" s="90"/>
      <c r="N16" s="90"/>
      <c r="P16" s="90">
        <f t="shared" si="3"/>
        <v>0.67</v>
      </c>
      <c r="Q16" s="90">
        <f>SUM($B16:E16)</f>
        <v>0.16499999999999998</v>
      </c>
      <c r="R16" s="89"/>
      <c r="AH16" s="90">
        <f t="shared" si="4"/>
        <v>0</v>
      </c>
      <c r="AI16" s="90">
        <f t="shared" si="5"/>
        <v>0</v>
      </c>
      <c r="AJ16" s="89"/>
      <c r="AK16" s="88" t="s">
        <v>25</v>
      </c>
      <c r="AL16" s="90"/>
      <c r="AM16" s="90"/>
      <c r="AN16" s="90"/>
      <c r="AO16" s="90"/>
      <c r="AP16" s="90"/>
      <c r="AQ16" s="90"/>
      <c r="AR16" s="90"/>
      <c r="AS16" s="90"/>
      <c r="AT16" s="90"/>
      <c r="AU16" s="90">
        <v>0.22</v>
      </c>
      <c r="AV16" s="90"/>
      <c r="AW16" s="90"/>
      <c r="AX16" s="90"/>
      <c r="AY16" s="90"/>
      <c r="AZ16" s="90">
        <f t="shared" si="6"/>
        <v>0.22</v>
      </c>
      <c r="BA16" s="90">
        <f>ROUND(AZ16*IFERROR(VLOOKUP($AK16,'3121% SY'!$A$2:$M$324,13,FALSE),0),3)</f>
        <v>4.2000000000000003E-2</v>
      </c>
      <c r="BB16" s="90">
        <f t="shared" si="7"/>
        <v>0</v>
      </c>
      <c r="BC16" s="90">
        <f>ROUND(BB16*IFERROR(VLOOKUP($AK16,'3121% SY'!$A$2:$M$324,13,FALSE),0),3)</f>
        <v>0</v>
      </c>
    </row>
    <row r="17" spans="1:55" x14ac:dyDescent="0.25">
      <c r="A17" s="88" t="s">
        <v>24</v>
      </c>
      <c r="B17" s="90"/>
      <c r="C17" s="90"/>
      <c r="D17" s="90"/>
      <c r="E17" s="90"/>
      <c r="F17" s="90">
        <v>0.7</v>
      </c>
      <c r="G17" s="90"/>
      <c r="H17" s="90"/>
      <c r="I17" s="90"/>
      <c r="J17" s="90"/>
      <c r="K17" s="90"/>
      <c r="L17" s="90"/>
      <c r="M17" s="90"/>
      <c r="N17" s="90"/>
      <c r="P17" s="90">
        <f t="shared" si="3"/>
        <v>0.7</v>
      </c>
      <c r="Q17" s="90">
        <f>SUM($B17:E17)</f>
        <v>0</v>
      </c>
      <c r="R17" s="89"/>
      <c r="AH17" s="90">
        <f t="shared" si="4"/>
        <v>0</v>
      </c>
      <c r="AI17" s="90">
        <f t="shared" si="5"/>
        <v>0</v>
      </c>
      <c r="AJ17" s="89"/>
      <c r="AK17" s="88" t="s">
        <v>26</v>
      </c>
      <c r="AL17" s="90"/>
      <c r="AM17" s="90"/>
      <c r="AN17" s="90"/>
      <c r="AO17" s="90"/>
      <c r="AP17" s="90"/>
      <c r="AQ17" s="90"/>
      <c r="AR17" s="90">
        <v>0.5</v>
      </c>
      <c r="AS17" s="90"/>
      <c r="AT17" s="90">
        <v>1</v>
      </c>
      <c r="AU17" s="90">
        <v>0.8</v>
      </c>
      <c r="AV17" s="90"/>
      <c r="AW17" s="90">
        <v>0.5</v>
      </c>
      <c r="AX17" s="90">
        <v>0.75</v>
      </c>
      <c r="AY17" s="90"/>
      <c r="AZ17" s="90">
        <f t="shared" si="6"/>
        <v>3.55</v>
      </c>
      <c r="BA17" s="90">
        <f>ROUND(AZ17*IFERROR(VLOOKUP($AK17,'3121% SY'!$A$2:$M$324,13,FALSE),0),3)</f>
        <v>0.622</v>
      </c>
      <c r="BB17" s="90">
        <f t="shared" si="7"/>
        <v>0</v>
      </c>
      <c r="BC17" s="90">
        <f>ROUND(BB17*IFERROR(VLOOKUP($AK17,'3121% SY'!$A$2:$M$324,13,FALSE),0),3)</f>
        <v>0</v>
      </c>
    </row>
    <row r="18" spans="1:55" x14ac:dyDescent="0.25">
      <c r="A18" s="88" t="s">
        <v>25</v>
      </c>
      <c r="B18" s="90"/>
      <c r="C18" s="90"/>
      <c r="D18" s="90">
        <v>0.18099999999999999</v>
      </c>
      <c r="E18" s="90"/>
      <c r="F18" s="90">
        <v>0.63300000000000001</v>
      </c>
      <c r="G18" s="90"/>
      <c r="H18" s="90"/>
      <c r="I18" s="90"/>
      <c r="J18" s="90"/>
      <c r="K18" s="90"/>
      <c r="L18" s="90"/>
      <c r="M18" s="90"/>
      <c r="N18" s="90"/>
      <c r="P18" s="90">
        <f t="shared" si="3"/>
        <v>0.63300000000000001</v>
      </c>
      <c r="Q18" s="90">
        <f>SUM($B18:E18)</f>
        <v>0.18099999999999999</v>
      </c>
      <c r="R18" s="89"/>
      <c r="AH18" s="90">
        <f t="shared" si="4"/>
        <v>0</v>
      </c>
      <c r="AI18" s="90">
        <f t="shared" si="5"/>
        <v>0</v>
      </c>
      <c r="AJ18" s="89"/>
      <c r="AK18" s="88" t="s">
        <v>27</v>
      </c>
      <c r="AL18" s="90"/>
      <c r="AM18" s="90"/>
      <c r="AN18" s="90"/>
      <c r="AO18" s="90"/>
      <c r="AP18" s="90"/>
      <c r="AQ18" s="90"/>
      <c r="AR18" s="90">
        <v>0.33300000000000002</v>
      </c>
      <c r="AS18" s="90"/>
      <c r="AT18" s="90"/>
      <c r="AU18" s="90"/>
      <c r="AV18" s="90"/>
      <c r="AW18" s="90"/>
      <c r="AX18" s="90"/>
      <c r="AY18" s="90"/>
      <c r="AZ18" s="90">
        <f t="shared" si="6"/>
        <v>0.33300000000000002</v>
      </c>
      <c r="BA18" s="90">
        <f>ROUND(AZ18*IFERROR(VLOOKUP($AK18,'3121% SY'!$A$2:$M$324,13,FALSE),0),3)</f>
        <v>8.5999999999999993E-2</v>
      </c>
      <c r="BB18" s="90">
        <f t="shared" si="7"/>
        <v>0</v>
      </c>
      <c r="BC18" s="90">
        <f>ROUND(BB18*IFERROR(VLOOKUP($AK18,'3121% SY'!$A$2:$M$324,13,FALSE),0),3)</f>
        <v>0</v>
      </c>
    </row>
    <row r="19" spans="1:55" x14ac:dyDescent="0.25">
      <c r="A19" s="88" t="s">
        <v>26</v>
      </c>
      <c r="B19" s="90"/>
      <c r="C19" s="90"/>
      <c r="D19" s="90"/>
      <c r="E19" s="90"/>
      <c r="F19" s="90">
        <v>2.9020000000000001</v>
      </c>
      <c r="G19" s="90"/>
      <c r="H19" s="90"/>
      <c r="I19" s="90"/>
      <c r="J19" s="90"/>
      <c r="K19" s="90">
        <v>1.5</v>
      </c>
      <c r="L19" s="90"/>
      <c r="M19" s="90"/>
      <c r="N19" s="90"/>
      <c r="P19" s="90">
        <f t="shared" si="3"/>
        <v>4.4020000000000001</v>
      </c>
      <c r="Q19" s="90">
        <f>SUM($B19:E19)</f>
        <v>0</v>
      </c>
      <c r="R19" s="89"/>
      <c r="AH19" s="90">
        <f t="shared" si="4"/>
        <v>0</v>
      </c>
      <c r="AI19" s="90">
        <f t="shared" si="5"/>
        <v>0</v>
      </c>
      <c r="AJ19" s="89"/>
      <c r="AK19" s="88" t="s">
        <v>31</v>
      </c>
      <c r="AL19" s="90"/>
      <c r="AM19" s="90"/>
      <c r="AN19" s="90"/>
      <c r="AO19" s="90"/>
      <c r="AP19" s="90"/>
      <c r="AQ19" s="90"/>
      <c r="AR19" s="90">
        <v>0.104</v>
      </c>
      <c r="AS19" s="90"/>
      <c r="AT19" s="90"/>
      <c r="AU19" s="90"/>
      <c r="AV19" s="90"/>
      <c r="AW19" s="90"/>
      <c r="AX19" s="90"/>
      <c r="AY19" s="90">
        <v>0.20899999999999999</v>
      </c>
      <c r="AZ19" s="90">
        <f t="shared" si="6"/>
        <v>0.313</v>
      </c>
      <c r="BA19" s="90">
        <f>ROUND(AZ19*IFERROR(VLOOKUP($AK19,'3121% SY'!$A$2:$M$324,13,FALSE),0),3)</f>
        <v>4.7E-2</v>
      </c>
      <c r="BB19" s="90">
        <f t="shared" si="7"/>
        <v>0</v>
      </c>
      <c r="BC19" s="90">
        <f>ROUND(BB19*IFERROR(VLOOKUP($AK19,'3121% SY'!$A$2:$M$324,13,FALSE),0),3)</f>
        <v>0</v>
      </c>
    </row>
    <row r="20" spans="1:55" x14ac:dyDescent="0.25">
      <c r="A20" s="88" t="s">
        <v>667</v>
      </c>
      <c r="B20" s="90"/>
      <c r="C20" s="90"/>
      <c r="D20" s="90">
        <v>0.32200000000000001</v>
      </c>
      <c r="E20" s="90"/>
      <c r="F20" s="90"/>
      <c r="G20" s="90"/>
      <c r="H20" s="90"/>
      <c r="I20" s="90"/>
      <c r="J20" s="90"/>
      <c r="K20" s="90"/>
      <c r="L20" s="90"/>
      <c r="M20" s="90"/>
      <c r="N20" s="90"/>
      <c r="P20" s="90">
        <f t="shared" si="3"/>
        <v>0</v>
      </c>
      <c r="Q20" s="90">
        <f>SUM($B20:E20)</f>
        <v>0.32200000000000001</v>
      </c>
      <c r="R20" s="89"/>
      <c r="AH20" s="90">
        <f t="shared" si="4"/>
        <v>0</v>
      </c>
      <c r="AI20" s="90">
        <f t="shared" si="5"/>
        <v>0</v>
      </c>
      <c r="AJ20" s="89"/>
      <c r="AK20" s="88" t="s">
        <v>32</v>
      </c>
      <c r="AL20" s="90"/>
      <c r="AM20" s="90"/>
      <c r="AN20" s="90"/>
      <c r="AO20" s="90"/>
      <c r="AP20" s="90"/>
      <c r="AQ20" s="90"/>
      <c r="AR20" s="90">
        <v>1.998</v>
      </c>
      <c r="AS20" s="90"/>
      <c r="AT20" s="90">
        <v>4.9930000000000003</v>
      </c>
      <c r="AU20" s="90">
        <v>3.22</v>
      </c>
      <c r="AV20" s="90">
        <v>2.3E-2</v>
      </c>
      <c r="AW20" s="90">
        <v>0.34</v>
      </c>
      <c r="AX20" s="90"/>
      <c r="AY20" s="90"/>
      <c r="AZ20" s="90">
        <f t="shared" si="6"/>
        <v>10.574</v>
      </c>
      <c r="BA20" s="90">
        <f>ROUND(AZ20*IFERROR(VLOOKUP($AK20,'3121% SY'!$A$2:$M$324,13,FALSE),0),3)</f>
        <v>2.9279999999999999</v>
      </c>
      <c r="BB20" s="90">
        <f t="shared" si="7"/>
        <v>0</v>
      </c>
      <c r="BC20" s="90">
        <f>ROUND(BB20*IFERROR(VLOOKUP($AK20,'3121% SY'!$A$2:$M$324,13,FALSE),0),3)</f>
        <v>0</v>
      </c>
    </row>
    <row r="21" spans="1:55" x14ac:dyDescent="0.25">
      <c r="A21" s="88" t="s">
        <v>29</v>
      </c>
      <c r="B21" s="90"/>
      <c r="C21" s="90"/>
      <c r="D21" s="90"/>
      <c r="E21" s="90"/>
      <c r="F21" s="90">
        <v>1.7000000000000001E-2</v>
      </c>
      <c r="G21" s="90"/>
      <c r="H21" s="90"/>
      <c r="I21" s="90"/>
      <c r="J21" s="90"/>
      <c r="K21" s="90"/>
      <c r="L21" s="90"/>
      <c r="M21" s="90"/>
      <c r="N21" s="90"/>
      <c r="P21" s="90">
        <f t="shared" si="3"/>
        <v>1.7000000000000001E-2</v>
      </c>
      <c r="Q21" s="90">
        <f>SUM($B21:E21)</f>
        <v>0</v>
      </c>
      <c r="R21" s="89"/>
      <c r="AH21" s="90">
        <f t="shared" si="4"/>
        <v>0</v>
      </c>
      <c r="AI21" s="90">
        <f t="shared" si="5"/>
        <v>0</v>
      </c>
      <c r="AJ21" s="89"/>
      <c r="AK21" s="88" t="s">
        <v>33</v>
      </c>
      <c r="AL21" s="90"/>
      <c r="AM21" s="90"/>
      <c r="AN21" s="90"/>
      <c r="AO21" s="90"/>
      <c r="AP21" s="90"/>
      <c r="AQ21" s="90"/>
      <c r="AR21" s="90"/>
      <c r="AS21" s="90"/>
      <c r="AT21" s="90"/>
      <c r="AU21" s="90">
        <v>0.5</v>
      </c>
      <c r="AV21" s="90"/>
      <c r="AW21" s="90"/>
      <c r="AX21" s="90"/>
      <c r="AY21" s="90"/>
      <c r="AZ21" s="90">
        <f t="shared" si="6"/>
        <v>0.5</v>
      </c>
      <c r="BA21" s="90">
        <f>ROUND(AZ21*IFERROR(VLOOKUP($AK21,'3121% SY'!$A$2:$M$324,13,FALSE),0),3)</f>
        <v>0.08</v>
      </c>
      <c r="BB21" s="90">
        <f t="shared" si="7"/>
        <v>0</v>
      </c>
      <c r="BC21" s="90">
        <f>ROUND(BB21*IFERROR(VLOOKUP($AK21,'3121% SY'!$A$2:$M$324,13,FALSE),0),3)</f>
        <v>0</v>
      </c>
    </row>
    <row r="22" spans="1:55" x14ac:dyDescent="0.25">
      <c r="A22" s="88" t="s">
        <v>31</v>
      </c>
      <c r="B22" s="90"/>
      <c r="C22" s="90"/>
      <c r="D22" s="90"/>
      <c r="E22" s="90"/>
      <c r="F22" s="90">
        <v>0.88500000000000001</v>
      </c>
      <c r="G22" s="90"/>
      <c r="H22" s="90"/>
      <c r="I22" s="90"/>
      <c r="J22" s="90"/>
      <c r="K22" s="90"/>
      <c r="L22" s="90"/>
      <c r="M22" s="90"/>
      <c r="N22" s="90"/>
      <c r="P22" s="90">
        <f t="shared" si="3"/>
        <v>0.88500000000000001</v>
      </c>
      <c r="Q22" s="90">
        <f>SUM($B22:E22)</f>
        <v>0</v>
      </c>
      <c r="R22" s="89"/>
      <c r="AH22" s="90">
        <f t="shared" si="4"/>
        <v>0</v>
      </c>
      <c r="AI22" s="90">
        <f t="shared" si="5"/>
        <v>0</v>
      </c>
      <c r="AJ22" s="89"/>
      <c r="AK22" s="88" t="s">
        <v>34</v>
      </c>
      <c r="AL22" s="90"/>
      <c r="AM22" s="90"/>
      <c r="AN22" s="90"/>
      <c r="AO22" s="90"/>
      <c r="AP22" s="90"/>
      <c r="AQ22" s="90"/>
      <c r="AR22" s="90"/>
      <c r="AS22" s="90"/>
      <c r="AT22" s="90">
        <v>0.19</v>
      </c>
      <c r="AU22" s="90"/>
      <c r="AV22" s="90"/>
      <c r="AW22" s="90"/>
      <c r="AX22" s="90"/>
      <c r="AY22" s="90"/>
      <c r="AZ22" s="90">
        <f t="shared" si="6"/>
        <v>0.19</v>
      </c>
      <c r="BA22" s="90">
        <f>ROUND(AZ22*IFERROR(VLOOKUP($AK22,'3121% SY'!$A$2:$M$324,13,FALSE),0),3)</f>
        <v>4.4999999999999998E-2</v>
      </c>
      <c r="BB22" s="90">
        <f t="shared" si="7"/>
        <v>0</v>
      </c>
      <c r="BC22" s="90">
        <f>ROUND(BB22*IFERROR(VLOOKUP($AK22,'3121% SY'!$A$2:$M$324,13,FALSE),0),3)</f>
        <v>0</v>
      </c>
    </row>
    <row r="23" spans="1:55" x14ac:dyDescent="0.25">
      <c r="A23" s="88" t="s">
        <v>613</v>
      </c>
      <c r="B23" s="90"/>
      <c r="C23" s="90"/>
      <c r="D23" s="90"/>
      <c r="E23" s="90"/>
      <c r="F23" s="90"/>
      <c r="G23" s="90"/>
      <c r="H23" s="90">
        <v>0.28100000000000003</v>
      </c>
      <c r="I23" s="90"/>
      <c r="J23" s="90"/>
      <c r="K23" s="90"/>
      <c r="L23" s="90"/>
      <c r="M23" s="90"/>
      <c r="N23" s="90"/>
      <c r="P23" s="90">
        <f t="shared" si="3"/>
        <v>0.28100000000000003</v>
      </c>
      <c r="Q23" s="90">
        <f>SUM($B23:E23)</f>
        <v>0</v>
      </c>
      <c r="R23" s="89"/>
      <c r="AH23" s="90">
        <f t="shared" si="4"/>
        <v>0</v>
      </c>
      <c r="AI23" s="90">
        <f t="shared" si="5"/>
        <v>0</v>
      </c>
      <c r="AJ23" s="89"/>
      <c r="AK23" s="88" t="s">
        <v>36</v>
      </c>
      <c r="AL23" s="90"/>
      <c r="AM23" s="90"/>
      <c r="AN23" s="90"/>
      <c r="AO23" s="90"/>
      <c r="AP23" s="90"/>
      <c r="AQ23" s="90"/>
      <c r="AR23" s="90"/>
      <c r="AS23" s="90"/>
      <c r="AT23" s="90">
        <v>0.67500000000000004</v>
      </c>
      <c r="AU23" s="90"/>
      <c r="AV23" s="90"/>
      <c r="AW23" s="90"/>
      <c r="AX23" s="90"/>
      <c r="AY23" s="90"/>
      <c r="AZ23" s="90">
        <f t="shared" si="6"/>
        <v>0.67500000000000004</v>
      </c>
      <c r="BA23" s="90">
        <f>ROUND(AZ23*IFERROR(VLOOKUP($AK23,'3121% SY'!$A$2:$M$324,13,FALSE),0),3)</f>
        <v>0.159</v>
      </c>
      <c r="BB23" s="90">
        <f t="shared" si="7"/>
        <v>0</v>
      </c>
      <c r="BC23" s="90">
        <f>ROUND(BB23*IFERROR(VLOOKUP($AK23,'3121% SY'!$A$2:$M$324,13,FALSE),0),3)</f>
        <v>0</v>
      </c>
    </row>
    <row r="24" spans="1:55" x14ac:dyDescent="0.25">
      <c r="A24" s="88" t="s">
        <v>32</v>
      </c>
      <c r="B24" s="90"/>
      <c r="C24" s="90"/>
      <c r="D24" s="90"/>
      <c r="E24" s="90"/>
      <c r="F24" s="90">
        <v>12.244</v>
      </c>
      <c r="G24" s="90"/>
      <c r="H24" s="90"/>
      <c r="I24" s="90"/>
      <c r="J24" s="90"/>
      <c r="K24" s="90">
        <v>3.78</v>
      </c>
      <c r="L24" s="90"/>
      <c r="M24" s="90"/>
      <c r="N24" s="90"/>
      <c r="P24" s="90">
        <f t="shared" si="3"/>
        <v>16.024000000000001</v>
      </c>
      <c r="Q24" s="90">
        <f>SUM($B24:E24)</f>
        <v>0</v>
      </c>
      <c r="R24" s="89"/>
      <c r="AH24" s="90">
        <f t="shared" si="4"/>
        <v>0</v>
      </c>
      <c r="AI24" s="90">
        <f t="shared" si="5"/>
        <v>0</v>
      </c>
      <c r="AJ24" s="89"/>
      <c r="AK24" s="88" t="s">
        <v>37</v>
      </c>
      <c r="AL24" s="90"/>
      <c r="AM24" s="90"/>
      <c r="AN24" s="90"/>
      <c r="AO24" s="90"/>
      <c r="AP24" s="90"/>
      <c r="AQ24" s="90"/>
      <c r="AR24" s="90">
        <v>0.46800000000000003</v>
      </c>
      <c r="AS24" s="90"/>
      <c r="AT24" s="90">
        <v>4.6719999999999997</v>
      </c>
      <c r="AU24" s="90">
        <v>3.6</v>
      </c>
      <c r="AV24" s="90"/>
      <c r="AW24" s="90">
        <v>0.53100000000000003</v>
      </c>
      <c r="AX24" s="90"/>
      <c r="AY24" s="90"/>
      <c r="AZ24" s="90">
        <f t="shared" si="6"/>
        <v>9.2710000000000008</v>
      </c>
      <c r="BA24" s="90">
        <f>ROUND(AZ24*IFERROR(VLOOKUP($AK24,'3121% SY'!$A$2:$M$324,13,FALSE),0),3)</f>
        <v>1.9970000000000001</v>
      </c>
      <c r="BB24" s="90">
        <f t="shared" si="7"/>
        <v>0</v>
      </c>
      <c r="BC24" s="90">
        <f>ROUND(BB24*IFERROR(VLOOKUP($AK24,'3121% SY'!$A$2:$M$324,13,FALSE),0),3)</f>
        <v>0</v>
      </c>
    </row>
    <row r="25" spans="1:55" x14ac:dyDescent="0.25">
      <c r="A25" s="88" t="s">
        <v>33</v>
      </c>
      <c r="B25" s="90"/>
      <c r="C25" s="90"/>
      <c r="D25" s="90"/>
      <c r="E25" s="90">
        <v>0.754</v>
      </c>
      <c r="F25" s="90">
        <v>1</v>
      </c>
      <c r="G25" s="90"/>
      <c r="H25" s="90"/>
      <c r="I25" s="90"/>
      <c r="J25" s="90"/>
      <c r="K25" s="90"/>
      <c r="L25" s="90"/>
      <c r="M25" s="90"/>
      <c r="N25" s="90"/>
      <c r="P25" s="90">
        <f t="shared" si="3"/>
        <v>1</v>
      </c>
      <c r="Q25" s="90">
        <f>SUM($B25:E25)</f>
        <v>0.754</v>
      </c>
      <c r="R25" s="89"/>
      <c r="AH25" s="90">
        <f t="shared" si="4"/>
        <v>0</v>
      </c>
      <c r="AI25" s="90">
        <f t="shared" si="5"/>
        <v>0</v>
      </c>
      <c r="AJ25" s="89"/>
      <c r="AK25" s="88" t="s">
        <v>38</v>
      </c>
      <c r="AL25" s="90"/>
      <c r="AM25" s="90"/>
      <c r="AN25" s="90"/>
      <c r="AO25" s="90"/>
      <c r="AP25" s="90"/>
      <c r="AQ25" s="90"/>
      <c r="AR25" s="90"/>
      <c r="AS25" s="90"/>
      <c r="AT25" s="90"/>
      <c r="AU25" s="90">
        <v>0.6</v>
      </c>
      <c r="AV25" s="90"/>
      <c r="AW25" s="90">
        <v>1</v>
      </c>
      <c r="AX25" s="90"/>
      <c r="AY25" s="90"/>
      <c r="AZ25" s="90">
        <f t="shared" si="6"/>
        <v>1.6</v>
      </c>
      <c r="BA25" s="90">
        <f>ROUND(AZ25*IFERROR(VLOOKUP($AK25,'3121% SY'!$A$2:$M$324,13,FALSE),0),3)</f>
        <v>0.32400000000000001</v>
      </c>
      <c r="BB25" s="90">
        <f t="shared" si="7"/>
        <v>0</v>
      </c>
      <c r="BC25" s="90">
        <f>ROUND(BB25*IFERROR(VLOOKUP($AK25,'3121% SY'!$A$2:$M$324,13,FALSE),0),3)</f>
        <v>0</v>
      </c>
    </row>
    <row r="26" spans="1:55" x14ac:dyDescent="0.25">
      <c r="A26" s="88" t="s">
        <v>34</v>
      </c>
      <c r="B26" s="90"/>
      <c r="C26" s="90">
        <v>0.105</v>
      </c>
      <c r="D26" s="90"/>
      <c r="E26" s="90"/>
      <c r="F26" s="90">
        <v>0.56999999999999995</v>
      </c>
      <c r="G26" s="90"/>
      <c r="H26" s="90"/>
      <c r="I26" s="90"/>
      <c r="J26" s="90"/>
      <c r="K26" s="90"/>
      <c r="L26" s="90"/>
      <c r="M26" s="90"/>
      <c r="N26" s="90"/>
      <c r="P26" s="90">
        <f t="shared" si="3"/>
        <v>0.56999999999999995</v>
      </c>
      <c r="Q26" s="90">
        <f>SUM($B26:E26)</f>
        <v>0.105</v>
      </c>
      <c r="R26" s="89"/>
      <c r="AH26" s="90">
        <f t="shared" si="4"/>
        <v>0</v>
      </c>
      <c r="AI26" s="90">
        <f t="shared" si="5"/>
        <v>0</v>
      </c>
      <c r="AJ26" s="89"/>
      <c r="AK26" s="88" t="s">
        <v>39</v>
      </c>
      <c r="AL26" s="90"/>
      <c r="AM26" s="90"/>
      <c r="AN26" s="90">
        <v>0.81499999999999995</v>
      </c>
      <c r="AO26" s="90"/>
      <c r="AP26" s="90"/>
      <c r="AQ26" s="90"/>
      <c r="AR26" s="90">
        <v>0.7</v>
      </c>
      <c r="AS26" s="90"/>
      <c r="AT26" s="90">
        <v>2</v>
      </c>
      <c r="AU26" s="90">
        <v>1</v>
      </c>
      <c r="AV26" s="90"/>
      <c r="AW26" s="90"/>
      <c r="AX26" s="90"/>
      <c r="AY26" s="90"/>
      <c r="AZ26" s="90">
        <f t="shared" si="6"/>
        <v>3.7</v>
      </c>
      <c r="BA26" s="90">
        <f>ROUND(AZ26*IFERROR(VLOOKUP($AK26,'3121% SY'!$A$2:$M$324,13,FALSE),0),3)</f>
        <v>0.82099999999999995</v>
      </c>
      <c r="BB26" s="90">
        <f t="shared" si="7"/>
        <v>0.81499999999999995</v>
      </c>
      <c r="BC26" s="90">
        <f>ROUND(BB26*IFERROR(VLOOKUP($AK26,'3121% SY'!$A$2:$M$324,13,FALSE),0),3)</f>
        <v>0.18099999999999999</v>
      </c>
    </row>
    <row r="27" spans="1:55" x14ac:dyDescent="0.25">
      <c r="A27" s="88" t="s">
        <v>35</v>
      </c>
      <c r="B27" s="90"/>
      <c r="C27" s="90"/>
      <c r="D27" s="90"/>
      <c r="E27" s="90"/>
      <c r="F27" s="90">
        <v>0.34399999999999997</v>
      </c>
      <c r="G27" s="90"/>
      <c r="H27" s="90"/>
      <c r="I27" s="90"/>
      <c r="J27" s="90"/>
      <c r="K27" s="90"/>
      <c r="L27" s="90"/>
      <c r="M27" s="90"/>
      <c r="N27" s="90"/>
      <c r="P27" s="90">
        <f t="shared" si="3"/>
        <v>0.34399999999999997</v>
      </c>
      <c r="Q27" s="90">
        <f>SUM($B27:E27)</f>
        <v>0</v>
      </c>
      <c r="R27" s="89"/>
      <c r="AH27" s="90">
        <f t="shared" si="4"/>
        <v>0</v>
      </c>
      <c r="AI27" s="90">
        <f t="shared" si="5"/>
        <v>0</v>
      </c>
      <c r="AJ27" s="89"/>
      <c r="AK27" s="88" t="s">
        <v>40</v>
      </c>
      <c r="AL27" s="90"/>
      <c r="AM27" s="90"/>
      <c r="AN27" s="90">
        <v>0.28899999999999998</v>
      </c>
      <c r="AO27" s="90"/>
      <c r="AP27" s="90"/>
      <c r="AQ27" s="90"/>
      <c r="AR27" s="90">
        <v>0.18</v>
      </c>
      <c r="AS27" s="90"/>
      <c r="AT27" s="90">
        <v>0.69699999999999995</v>
      </c>
      <c r="AU27" s="90">
        <v>0.53</v>
      </c>
      <c r="AV27" s="90"/>
      <c r="AW27" s="90">
        <v>0.06</v>
      </c>
      <c r="AX27" s="90">
        <v>0.18</v>
      </c>
      <c r="AY27" s="90"/>
      <c r="AZ27" s="90">
        <f t="shared" si="6"/>
        <v>1.647</v>
      </c>
      <c r="BA27" s="90">
        <f>ROUND(AZ27*IFERROR(VLOOKUP($AK27,'3121% SY'!$A$2:$M$324,13,FALSE),0),3)</f>
        <v>0.29499999999999998</v>
      </c>
      <c r="BB27" s="90">
        <f t="shared" si="7"/>
        <v>0.28899999999999998</v>
      </c>
      <c r="BC27" s="90">
        <f>ROUND(BB27*IFERROR(VLOOKUP($AK27,'3121% SY'!$A$2:$M$324,13,FALSE),0),3)</f>
        <v>5.1999999999999998E-2</v>
      </c>
    </row>
    <row r="28" spans="1:55" x14ac:dyDescent="0.25">
      <c r="A28" s="88" t="s">
        <v>36</v>
      </c>
      <c r="B28" s="90">
        <v>0.20799999999999999</v>
      </c>
      <c r="C28" s="90">
        <v>0.215</v>
      </c>
      <c r="D28" s="90"/>
      <c r="E28" s="90"/>
      <c r="F28" s="90">
        <v>1.0369999999999999</v>
      </c>
      <c r="G28" s="90"/>
      <c r="H28" s="90"/>
      <c r="I28" s="90"/>
      <c r="J28" s="90"/>
      <c r="K28" s="90"/>
      <c r="L28" s="90"/>
      <c r="M28" s="90"/>
      <c r="N28" s="90"/>
      <c r="P28" s="90">
        <f t="shared" si="3"/>
        <v>1.0369999999999999</v>
      </c>
      <c r="Q28" s="90">
        <f>SUM($B28:E28)</f>
        <v>0.42299999999999999</v>
      </c>
      <c r="R28" s="89"/>
      <c r="AH28" s="90">
        <f t="shared" si="4"/>
        <v>0</v>
      </c>
      <c r="AI28" s="90">
        <f t="shared" si="5"/>
        <v>0</v>
      </c>
      <c r="AJ28" s="89"/>
      <c r="AK28" s="88" t="s">
        <v>43</v>
      </c>
      <c r="AL28" s="90"/>
      <c r="AM28" s="90"/>
      <c r="AN28" s="90"/>
      <c r="AO28" s="90"/>
      <c r="AP28" s="90"/>
      <c r="AQ28" s="90"/>
      <c r="AR28" s="90">
        <v>0.33200000000000002</v>
      </c>
      <c r="AS28" s="90"/>
      <c r="AT28" s="90">
        <v>0.22700000000000001</v>
      </c>
      <c r="AU28" s="90">
        <v>2.7509999999999999</v>
      </c>
      <c r="AV28" s="90"/>
      <c r="AW28" s="90">
        <v>0.15</v>
      </c>
      <c r="AX28" s="90"/>
      <c r="AY28" s="90"/>
      <c r="AZ28" s="90">
        <f t="shared" si="6"/>
        <v>3.46</v>
      </c>
      <c r="BA28" s="90">
        <f>ROUND(AZ28*IFERROR(VLOOKUP($AK28,'3121% SY'!$A$2:$M$324,13,FALSE),0),3)</f>
        <v>0.85499999999999998</v>
      </c>
      <c r="BB28" s="90">
        <f t="shared" si="7"/>
        <v>0</v>
      </c>
      <c r="BC28" s="90">
        <f>ROUND(BB28*IFERROR(VLOOKUP($AK28,'3121% SY'!$A$2:$M$324,13,FALSE),0),3)</f>
        <v>0</v>
      </c>
    </row>
    <row r="29" spans="1:55" x14ac:dyDescent="0.25">
      <c r="A29" s="88" t="s">
        <v>37</v>
      </c>
      <c r="B29" s="90"/>
      <c r="C29" s="90"/>
      <c r="D29" s="90"/>
      <c r="E29" s="90"/>
      <c r="F29" s="90">
        <v>9.7539999999999996</v>
      </c>
      <c r="G29" s="90"/>
      <c r="H29" s="90">
        <v>1.3340000000000001</v>
      </c>
      <c r="I29" s="90"/>
      <c r="J29" s="90"/>
      <c r="K29" s="90">
        <v>1.9039999999999999</v>
      </c>
      <c r="L29" s="90"/>
      <c r="M29" s="90"/>
      <c r="N29" s="90"/>
      <c r="P29" s="90">
        <f t="shared" si="3"/>
        <v>12.991999999999999</v>
      </c>
      <c r="Q29" s="90">
        <f>SUM($B29:E29)</f>
        <v>0</v>
      </c>
      <c r="R29" s="89"/>
      <c r="AH29" s="90">
        <f t="shared" si="4"/>
        <v>0</v>
      </c>
      <c r="AI29" s="90">
        <f t="shared" si="5"/>
        <v>0</v>
      </c>
      <c r="AJ29" s="89"/>
      <c r="AK29" s="88" t="s">
        <v>47</v>
      </c>
      <c r="AL29" s="90"/>
      <c r="AM29" s="90"/>
      <c r="AN29" s="90"/>
      <c r="AO29" s="90"/>
      <c r="AP29" s="90"/>
      <c r="AQ29" s="90"/>
      <c r="AR29" s="90"/>
      <c r="AS29" s="90"/>
      <c r="AT29" s="90">
        <v>1</v>
      </c>
      <c r="AU29" s="90">
        <v>0.75</v>
      </c>
      <c r="AV29" s="90"/>
      <c r="AW29" s="90"/>
      <c r="AX29" s="90"/>
      <c r="AY29" s="90"/>
      <c r="AZ29" s="90">
        <f t="shared" si="6"/>
        <v>1.75</v>
      </c>
      <c r="BA29" s="90">
        <f>ROUND(AZ29*IFERROR(VLOOKUP($AK29,'3121% SY'!$A$2:$M$324,13,FALSE),0),3)</f>
        <v>0.41299999999999998</v>
      </c>
      <c r="BB29" s="90">
        <f t="shared" si="7"/>
        <v>0</v>
      </c>
      <c r="BC29" s="90">
        <f>ROUND(BB29*IFERROR(VLOOKUP($AK29,'3121% SY'!$A$2:$M$324,13,FALSE),0),3)</f>
        <v>0</v>
      </c>
    </row>
    <row r="30" spans="1:55" x14ac:dyDescent="0.25">
      <c r="A30" s="88" t="s">
        <v>38</v>
      </c>
      <c r="B30" s="90"/>
      <c r="C30" s="90"/>
      <c r="D30" s="90">
        <v>2.2149999999999999</v>
      </c>
      <c r="E30" s="90"/>
      <c r="F30" s="90">
        <v>2.3340000000000001</v>
      </c>
      <c r="G30" s="90"/>
      <c r="H30" s="90"/>
      <c r="I30" s="90"/>
      <c r="J30" s="90"/>
      <c r="K30" s="90"/>
      <c r="L30" s="90"/>
      <c r="M30" s="90"/>
      <c r="N30" s="90"/>
      <c r="P30" s="90">
        <f t="shared" si="3"/>
        <v>2.3340000000000001</v>
      </c>
      <c r="Q30" s="90">
        <f>SUM($B30:E30)</f>
        <v>2.2149999999999999</v>
      </c>
      <c r="R30" s="89"/>
      <c r="AH30" s="90">
        <f t="shared" si="4"/>
        <v>0</v>
      </c>
      <c r="AI30" s="90">
        <f t="shared" si="5"/>
        <v>0</v>
      </c>
      <c r="AJ30" s="89"/>
      <c r="AK30" s="88" t="s">
        <v>48</v>
      </c>
      <c r="AL30" s="90"/>
      <c r="AM30" s="90"/>
      <c r="AN30" s="90"/>
      <c r="AO30" s="90"/>
      <c r="AP30" s="90"/>
      <c r="AQ30" s="90"/>
      <c r="AR30" s="90">
        <v>0.80100000000000005</v>
      </c>
      <c r="AS30" s="90"/>
      <c r="AT30" s="90"/>
      <c r="AU30" s="90"/>
      <c r="AV30" s="90"/>
      <c r="AW30" s="90"/>
      <c r="AX30" s="90"/>
      <c r="AY30" s="90"/>
      <c r="AZ30" s="90">
        <f t="shared" si="6"/>
        <v>0.80100000000000005</v>
      </c>
      <c r="BA30" s="90">
        <f>ROUND(AZ30*IFERROR(VLOOKUP($AK30,'3121% SY'!$A$2:$M$324,13,FALSE),0),3)</f>
        <v>0.20599999999999999</v>
      </c>
      <c r="BB30" s="90">
        <f t="shared" si="7"/>
        <v>0</v>
      </c>
      <c r="BC30" s="90">
        <f>ROUND(BB30*IFERROR(VLOOKUP($AK30,'3121% SY'!$A$2:$M$324,13,FALSE),0),3)</f>
        <v>0</v>
      </c>
    </row>
    <row r="31" spans="1:55" x14ac:dyDescent="0.25">
      <c r="A31" s="88" t="s">
        <v>39</v>
      </c>
      <c r="B31" s="90">
        <v>1.845</v>
      </c>
      <c r="C31" s="90">
        <v>5.407</v>
      </c>
      <c r="D31" s="90">
        <v>2.952</v>
      </c>
      <c r="E31" s="90">
        <v>5.9039999999999999</v>
      </c>
      <c r="F31" s="90">
        <v>3.5</v>
      </c>
      <c r="G31" s="90"/>
      <c r="H31" s="90"/>
      <c r="I31" s="90"/>
      <c r="J31" s="90"/>
      <c r="K31" s="90">
        <v>1.7929999999999999</v>
      </c>
      <c r="L31" s="90"/>
      <c r="M31" s="90"/>
      <c r="N31" s="90"/>
      <c r="P31" s="90">
        <f t="shared" si="3"/>
        <v>5.2930000000000001</v>
      </c>
      <c r="Q31" s="90">
        <f>SUM($B31:E31)</f>
        <v>16.108000000000001</v>
      </c>
      <c r="R31" s="89"/>
      <c r="AH31" s="90">
        <f t="shared" si="4"/>
        <v>0</v>
      </c>
      <c r="AI31" s="90">
        <f t="shared" si="5"/>
        <v>0</v>
      </c>
      <c r="AJ31" s="89"/>
      <c r="AK31" s="88" t="s">
        <v>52</v>
      </c>
      <c r="AL31" s="90"/>
      <c r="AM31" s="90"/>
      <c r="AN31" s="90"/>
      <c r="AO31" s="90"/>
      <c r="AP31" s="90"/>
      <c r="AQ31" s="90"/>
      <c r="AR31" s="90">
        <v>0.52400000000000002</v>
      </c>
      <c r="AS31" s="90"/>
      <c r="AT31" s="90">
        <v>0.66600000000000004</v>
      </c>
      <c r="AU31" s="90">
        <v>0.5</v>
      </c>
      <c r="AV31" s="90">
        <v>0.124</v>
      </c>
      <c r="AW31" s="90">
        <v>0.154</v>
      </c>
      <c r="AX31" s="90">
        <v>0.14000000000000001</v>
      </c>
      <c r="AY31" s="90"/>
      <c r="AZ31" s="90">
        <f t="shared" si="6"/>
        <v>2.1080000000000001</v>
      </c>
      <c r="BA31" s="90">
        <f>ROUND(AZ31*IFERROR(VLOOKUP($AK31,'3121% SY'!$A$2:$M$324,13,FALSE),0),3)</f>
        <v>0.437</v>
      </c>
      <c r="BB31" s="90">
        <f t="shared" si="7"/>
        <v>0</v>
      </c>
      <c r="BC31" s="90">
        <f>ROUND(BB31*IFERROR(VLOOKUP($AK31,'3121% SY'!$A$2:$M$324,13,FALSE),0),3)</f>
        <v>0</v>
      </c>
    </row>
    <row r="32" spans="1:55" x14ac:dyDescent="0.25">
      <c r="A32" s="88" t="s">
        <v>40</v>
      </c>
      <c r="B32" s="90"/>
      <c r="C32" s="90">
        <v>0.32200000000000001</v>
      </c>
      <c r="D32" s="90">
        <v>0.62</v>
      </c>
      <c r="E32" s="90"/>
      <c r="F32" s="90">
        <v>1.4039999999999999</v>
      </c>
      <c r="G32" s="90"/>
      <c r="H32" s="90"/>
      <c r="I32" s="90"/>
      <c r="J32" s="90"/>
      <c r="K32" s="90"/>
      <c r="L32" s="90"/>
      <c r="M32" s="90"/>
      <c r="N32" s="90"/>
      <c r="P32" s="90">
        <f t="shared" si="3"/>
        <v>1.4039999999999999</v>
      </c>
      <c r="Q32" s="90">
        <f>SUM($B32:E32)</f>
        <v>0.94199999999999995</v>
      </c>
      <c r="R32" s="89"/>
      <c r="AH32" s="90">
        <f t="shared" si="4"/>
        <v>0</v>
      </c>
      <c r="AI32" s="90">
        <f t="shared" si="5"/>
        <v>0</v>
      </c>
      <c r="AJ32" s="89"/>
      <c r="AK32" s="88" t="s">
        <v>61</v>
      </c>
      <c r="AL32" s="90"/>
      <c r="AM32" s="90"/>
      <c r="AN32" s="90"/>
      <c r="AO32" s="90"/>
      <c r="AP32" s="90"/>
      <c r="AQ32" s="90"/>
      <c r="AR32" s="90"/>
      <c r="AS32" s="90"/>
      <c r="AT32" s="90">
        <v>0.14299999999999999</v>
      </c>
      <c r="AU32" s="90">
        <v>0.28599999999999998</v>
      </c>
      <c r="AV32" s="90"/>
      <c r="AW32" s="90"/>
      <c r="AX32" s="90"/>
      <c r="AY32" s="90"/>
      <c r="AZ32" s="90">
        <f t="shared" si="6"/>
        <v>0.42899999999999994</v>
      </c>
      <c r="BA32" s="90">
        <f>ROUND(AZ32*IFERROR(VLOOKUP($AK32,'3121% SY'!$A$2:$M$324,13,FALSE),0),3)</f>
        <v>0.106</v>
      </c>
      <c r="BB32" s="90">
        <f t="shared" si="7"/>
        <v>0</v>
      </c>
      <c r="BC32" s="90">
        <f>ROUND(BB32*IFERROR(VLOOKUP($AK32,'3121% SY'!$A$2:$M$324,13,FALSE),0),3)</f>
        <v>0</v>
      </c>
    </row>
    <row r="33" spans="1:55" x14ac:dyDescent="0.25">
      <c r="A33" s="88" t="s">
        <v>41</v>
      </c>
      <c r="B33" s="90"/>
      <c r="C33" s="90">
        <v>0.1</v>
      </c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P33" s="90">
        <f t="shared" si="3"/>
        <v>0</v>
      </c>
      <c r="Q33" s="90">
        <f>SUM($B33:E33)</f>
        <v>0.1</v>
      </c>
      <c r="R33" s="89"/>
      <c r="AH33" s="90">
        <f t="shared" si="4"/>
        <v>0</v>
      </c>
      <c r="AI33" s="90">
        <f t="shared" si="5"/>
        <v>0</v>
      </c>
      <c r="AJ33" s="89"/>
      <c r="AK33" s="88" t="s">
        <v>67</v>
      </c>
      <c r="AL33" s="90"/>
      <c r="AM33" s="90"/>
      <c r="AN33" s="90"/>
      <c r="AO33" s="90"/>
      <c r="AP33" s="90"/>
      <c r="AQ33" s="90"/>
      <c r="AR33" s="90"/>
      <c r="AS33" s="90"/>
      <c r="AT33" s="90">
        <v>0.26</v>
      </c>
      <c r="AU33" s="90">
        <v>0.26</v>
      </c>
      <c r="AV33" s="90"/>
      <c r="AW33" s="90"/>
      <c r="AX33" s="90"/>
      <c r="AY33" s="90"/>
      <c r="AZ33" s="90">
        <f t="shared" si="6"/>
        <v>0.52</v>
      </c>
      <c r="BA33" s="90">
        <f>ROUND(AZ33*IFERROR(VLOOKUP($AK33,'3121% SY'!$A$2:$M$324,13,FALSE),0),3)</f>
        <v>0.17</v>
      </c>
      <c r="BB33" s="90">
        <f t="shared" si="7"/>
        <v>0</v>
      </c>
      <c r="BC33" s="90">
        <f>ROUND(BB33*IFERROR(VLOOKUP($AK33,'3121% SY'!$A$2:$M$324,13,FALSE),0),3)</f>
        <v>0</v>
      </c>
    </row>
    <row r="34" spans="1:55" x14ac:dyDescent="0.25">
      <c r="A34" s="88" t="s">
        <v>43</v>
      </c>
      <c r="B34" s="90"/>
      <c r="C34" s="90">
        <v>1.4870000000000001</v>
      </c>
      <c r="D34" s="90">
        <v>1.2869999999999999</v>
      </c>
      <c r="E34" s="90"/>
      <c r="F34" s="90">
        <v>3</v>
      </c>
      <c r="G34" s="90"/>
      <c r="H34" s="90"/>
      <c r="I34" s="90"/>
      <c r="J34" s="90">
        <v>0.25</v>
      </c>
      <c r="K34" s="90">
        <v>0.15</v>
      </c>
      <c r="L34" s="90"/>
      <c r="M34" s="90"/>
      <c r="N34" s="90"/>
      <c r="P34" s="90">
        <f t="shared" si="3"/>
        <v>3.4</v>
      </c>
      <c r="Q34" s="90">
        <f>SUM($B34:E34)</f>
        <v>2.774</v>
      </c>
      <c r="R34" s="89"/>
      <c r="AH34" s="90">
        <f t="shared" si="4"/>
        <v>0</v>
      </c>
      <c r="AI34" s="90">
        <f t="shared" si="5"/>
        <v>0</v>
      </c>
      <c r="AJ34" s="89"/>
      <c r="AK34" s="88" t="s">
        <v>70</v>
      </c>
      <c r="AL34" s="90"/>
      <c r="AM34" s="90"/>
      <c r="AN34" s="90"/>
      <c r="AO34" s="90"/>
      <c r="AP34" s="90"/>
      <c r="AQ34" s="90"/>
      <c r="AR34" s="90"/>
      <c r="AS34" s="90"/>
      <c r="AT34" s="90"/>
      <c r="AU34" s="90">
        <v>0.308</v>
      </c>
      <c r="AV34" s="90"/>
      <c r="AW34" s="90"/>
      <c r="AX34" s="90"/>
      <c r="AY34" s="90"/>
      <c r="AZ34" s="90">
        <f t="shared" si="6"/>
        <v>0.308</v>
      </c>
      <c r="BA34" s="90">
        <f>ROUND(AZ34*IFERROR(VLOOKUP($AK34,'3121% SY'!$A$2:$M$324,13,FALSE),0),3)</f>
        <v>6.2E-2</v>
      </c>
      <c r="BB34" s="90">
        <f t="shared" si="7"/>
        <v>0</v>
      </c>
      <c r="BC34" s="90">
        <f>ROUND(BB34*IFERROR(VLOOKUP($AK34,'3121% SY'!$A$2:$M$324,13,FALSE),0),3)</f>
        <v>0</v>
      </c>
    </row>
    <row r="35" spans="1:55" x14ac:dyDescent="0.25">
      <c r="A35" s="88" t="s">
        <v>45</v>
      </c>
      <c r="B35" s="90"/>
      <c r="C35" s="90">
        <v>0.54800000000000004</v>
      </c>
      <c r="D35" s="90">
        <v>0.2</v>
      </c>
      <c r="E35" s="90"/>
      <c r="F35" s="90">
        <v>1</v>
      </c>
      <c r="G35" s="90"/>
      <c r="H35" s="90"/>
      <c r="I35" s="90"/>
      <c r="J35" s="90"/>
      <c r="K35" s="90"/>
      <c r="L35" s="90"/>
      <c r="M35" s="90"/>
      <c r="N35" s="90"/>
      <c r="P35" s="90">
        <f t="shared" si="3"/>
        <v>1</v>
      </c>
      <c r="Q35" s="90">
        <f>SUM($B35:E35)</f>
        <v>0.748</v>
      </c>
      <c r="R35" s="89"/>
      <c r="AH35" s="90">
        <f t="shared" si="4"/>
        <v>0</v>
      </c>
      <c r="AI35" s="90">
        <f t="shared" si="5"/>
        <v>0</v>
      </c>
      <c r="AJ35" s="89"/>
      <c r="AK35" s="88" t="s">
        <v>71</v>
      </c>
      <c r="AL35" s="90"/>
      <c r="AM35" s="90"/>
      <c r="AN35" s="90"/>
      <c r="AO35" s="90"/>
      <c r="AP35" s="90"/>
      <c r="AQ35" s="90"/>
      <c r="AR35" s="90"/>
      <c r="AS35" s="90"/>
      <c r="AT35" s="90">
        <v>0.41</v>
      </c>
      <c r="AU35" s="90"/>
      <c r="AV35" s="90"/>
      <c r="AW35" s="90"/>
      <c r="AX35" s="90">
        <v>0.16500000000000001</v>
      </c>
      <c r="AY35" s="90"/>
      <c r="AZ35" s="90">
        <f t="shared" si="6"/>
        <v>0.57499999999999996</v>
      </c>
      <c r="BA35" s="90">
        <f>ROUND(AZ35*IFERROR(VLOOKUP($AK35,'3121% SY'!$A$2:$M$324,13,FALSE),0),3)</f>
        <v>0.14399999999999999</v>
      </c>
      <c r="BB35" s="90">
        <f t="shared" si="7"/>
        <v>0</v>
      </c>
      <c r="BC35" s="90">
        <f>ROUND(BB35*IFERROR(VLOOKUP($AK35,'3121% SY'!$A$2:$M$324,13,FALSE),0),3)</f>
        <v>0</v>
      </c>
    </row>
    <row r="36" spans="1:55" x14ac:dyDescent="0.25">
      <c r="A36" s="88" t="s">
        <v>46</v>
      </c>
      <c r="B36" s="90"/>
      <c r="C36" s="90">
        <v>9.0999999999999998E-2</v>
      </c>
      <c r="D36" s="90">
        <v>0.33500000000000002</v>
      </c>
      <c r="E36" s="90"/>
      <c r="F36" s="90">
        <v>1.0329999999999999</v>
      </c>
      <c r="G36" s="90"/>
      <c r="H36" s="90"/>
      <c r="I36" s="90"/>
      <c r="J36" s="90"/>
      <c r="K36" s="90"/>
      <c r="L36" s="90"/>
      <c r="M36" s="90"/>
      <c r="N36" s="90"/>
      <c r="P36" s="90">
        <f t="shared" si="3"/>
        <v>1.0329999999999999</v>
      </c>
      <c r="Q36" s="90">
        <f>SUM($B36:E36)</f>
        <v>0.42600000000000005</v>
      </c>
      <c r="R36" s="89"/>
      <c r="AH36" s="90">
        <f t="shared" si="4"/>
        <v>0</v>
      </c>
      <c r="AI36" s="90">
        <f t="shared" si="5"/>
        <v>0</v>
      </c>
      <c r="AJ36" s="89"/>
      <c r="AK36" s="88" t="s">
        <v>72</v>
      </c>
      <c r="AL36" s="90"/>
      <c r="AM36" s="90"/>
      <c r="AN36" s="90"/>
      <c r="AO36" s="90"/>
      <c r="AP36" s="90"/>
      <c r="AQ36" s="90"/>
      <c r="AR36" s="90"/>
      <c r="AS36" s="90"/>
      <c r="AT36" s="90">
        <v>0.436</v>
      </c>
      <c r="AU36" s="90">
        <v>0.38</v>
      </c>
      <c r="AV36" s="90"/>
      <c r="AW36" s="90"/>
      <c r="AX36" s="90"/>
      <c r="AY36" s="90"/>
      <c r="AZ36" s="90">
        <f t="shared" si="6"/>
        <v>0.81600000000000006</v>
      </c>
      <c r="BA36" s="90">
        <f>ROUND(AZ36*IFERROR(VLOOKUP($AK36,'3121% SY'!$A$2:$M$324,13,FALSE),0),3)</f>
        <v>0.19400000000000001</v>
      </c>
      <c r="BB36" s="90">
        <f t="shared" si="7"/>
        <v>0</v>
      </c>
      <c r="BC36" s="90">
        <f>ROUND(BB36*IFERROR(VLOOKUP($AK36,'3121% SY'!$A$2:$M$324,13,FALSE),0),3)</f>
        <v>0</v>
      </c>
    </row>
    <row r="37" spans="1:55" x14ac:dyDescent="0.25">
      <c r="A37" s="88" t="s">
        <v>47</v>
      </c>
      <c r="B37" s="90"/>
      <c r="C37" s="90"/>
      <c r="D37" s="90">
        <v>0.158</v>
      </c>
      <c r="E37" s="90"/>
      <c r="F37" s="90">
        <v>1.2</v>
      </c>
      <c r="G37" s="90"/>
      <c r="H37" s="90"/>
      <c r="I37" s="90"/>
      <c r="J37" s="90">
        <v>0.25</v>
      </c>
      <c r="K37" s="90">
        <v>0.25</v>
      </c>
      <c r="L37" s="90"/>
      <c r="M37" s="90"/>
      <c r="N37" s="90"/>
      <c r="P37" s="90">
        <f t="shared" si="3"/>
        <v>1.7</v>
      </c>
      <c r="Q37" s="90">
        <f>SUM($B37:E37)</f>
        <v>0.158</v>
      </c>
      <c r="R37" s="89"/>
      <c r="AH37" s="90">
        <f t="shared" si="4"/>
        <v>0</v>
      </c>
      <c r="AI37" s="90">
        <f t="shared" si="5"/>
        <v>0</v>
      </c>
      <c r="AJ37" s="89"/>
      <c r="AK37" s="88" t="s">
        <v>76</v>
      </c>
      <c r="AL37" s="90"/>
      <c r="AM37" s="90"/>
      <c r="AN37" s="90"/>
      <c r="AO37" s="90"/>
      <c r="AP37" s="90"/>
      <c r="AQ37" s="90"/>
      <c r="AR37" s="90"/>
      <c r="AS37" s="90"/>
      <c r="AT37" s="90"/>
      <c r="AU37" s="90">
        <v>0.6</v>
      </c>
      <c r="AV37" s="90"/>
      <c r="AW37" s="90"/>
      <c r="AX37" s="90"/>
      <c r="AY37" s="90">
        <v>1.44</v>
      </c>
      <c r="AZ37" s="90">
        <f t="shared" si="6"/>
        <v>2.04</v>
      </c>
      <c r="BA37" s="90">
        <f>ROUND(AZ37*IFERROR(VLOOKUP($AK37,'3121% SY'!$A$2:$M$324,13,FALSE),0),3)</f>
        <v>0.40899999999999997</v>
      </c>
      <c r="BB37" s="90">
        <f t="shared" si="7"/>
        <v>0</v>
      </c>
      <c r="BC37" s="90">
        <f>ROUND(BB37*IFERROR(VLOOKUP($AK37,'3121% SY'!$A$2:$M$324,13,FALSE),0),3)</f>
        <v>0</v>
      </c>
    </row>
    <row r="38" spans="1:55" x14ac:dyDescent="0.25">
      <c r="A38" s="88" t="s">
        <v>48</v>
      </c>
      <c r="B38" s="90"/>
      <c r="C38" s="90">
        <v>6.4000000000000001E-2</v>
      </c>
      <c r="D38" s="90">
        <v>0.89400000000000002</v>
      </c>
      <c r="E38" s="90"/>
      <c r="F38" s="90">
        <v>4</v>
      </c>
      <c r="G38" s="90"/>
      <c r="H38" s="90"/>
      <c r="I38" s="90"/>
      <c r="J38" s="90"/>
      <c r="K38" s="90"/>
      <c r="L38" s="90"/>
      <c r="M38" s="90"/>
      <c r="N38" s="90"/>
      <c r="P38" s="90">
        <f t="shared" si="3"/>
        <v>4</v>
      </c>
      <c r="Q38" s="90">
        <f>SUM($B38:E38)</f>
        <v>0.95799999999999996</v>
      </c>
      <c r="R38" s="89"/>
      <c r="AH38" s="90">
        <f t="shared" si="4"/>
        <v>0</v>
      </c>
      <c r="AI38" s="90">
        <f t="shared" si="5"/>
        <v>0</v>
      </c>
      <c r="AJ38" s="89"/>
      <c r="AK38" s="88" t="s">
        <v>77</v>
      </c>
      <c r="AL38" s="90"/>
      <c r="AM38" s="90"/>
      <c r="AN38" s="90"/>
      <c r="AO38" s="90"/>
      <c r="AP38" s="90"/>
      <c r="AQ38" s="90"/>
      <c r="AR38" s="90"/>
      <c r="AS38" s="90"/>
      <c r="AT38" s="90">
        <v>0.25</v>
      </c>
      <c r="AU38" s="90"/>
      <c r="AV38" s="90"/>
      <c r="AW38" s="90"/>
      <c r="AX38" s="90"/>
      <c r="AY38" s="90"/>
      <c r="AZ38" s="90">
        <f t="shared" si="6"/>
        <v>0.25</v>
      </c>
      <c r="BA38" s="90">
        <f>ROUND(AZ38*IFERROR(VLOOKUP($AK38,'3121% SY'!$A$2:$M$324,13,FALSE),0),3)</f>
        <v>5.0999999999999997E-2</v>
      </c>
      <c r="BB38" s="90">
        <f t="shared" si="7"/>
        <v>0</v>
      </c>
      <c r="BC38" s="90">
        <f>ROUND(BB38*IFERROR(VLOOKUP($AK38,'3121% SY'!$A$2:$M$324,13,FALSE),0),3)</f>
        <v>0</v>
      </c>
    </row>
    <row r="39" spans="1:55" x14ac:dyDescent="0.25">
      <c r="A39" s="88" t="s">
        <v>49</v>
      </c>
      <c r="B39" s="90"/>
      <c r="C39" s="90"/>
      <c r="D39" s="90">
        <v>3.2000000000000001E-2</v>
      </c>
      <c r="E39" s="90"/>
      <c r="F39" s="90"/>
      <c r="G39" s="90"/>
      <c r="H39" s="90"/>
      <c r="I39" s="90"/>
      <c r="J39" s="90"/>
      <c r="K39" s="90"/>
      <c r="L39" s="90"/>
      <c r="M39" s="90"/>
      <c r="N39" s="90"/>
      <c r="P39" s="90">
        <f t="shared" si="3"/>
        <v>0</v>
      </c>
      <c r="Q39" s="90">
        <f>SUM($B39:E39)</f>
        <v>3.2000000000000001E-2</v>
      </c>
      <c r="R39" s="89"/>
      <c r="AH39" s="90">
        <f t="shared" si="4"/>
        <v>0</v>
      </c>
      <c r="AI39" s="90">
        <f t="shared" si="5"/>
        <v>0</v>
      </c>
      <c r="AJ39" s="89"/>
      <c r="AK39" s="88" t="s">
        <v>80</v>
      </c>
      <c r="AL39" s="90"/>
      <c r="AM39" s="90"/>
      <c r="AN39" s="90"/>
      <c r="AO39" s="90"/>
      <c r="AP39" s="90"/>
      <c r="AQ39" s="90"/>
      <c r="AR39" s="90"/>
      <c r="AS39" s="90"/>
      <c r="AT39" s="90">
        <v>0.1</v>
      </c>
      <c r="AU39" s="90">
        <v>0.83</v>
      </c>
      <c r="AV39" s="90"/>
      <c r="AW39" s="90"/>
      <c r="AX39" s="90"/>
      <c r="AY39" s="90"/>
      <c r="AZ39" s="90">
        <f t="shared" si="6"/>
        <v>0.92999999999999994</v>
      </c>
      <c r="BA39" s="90">
        <f>ROUND(AZ39*IFERROR(VLOOKUP($AK39,'3121% SY'!$A$2:$M$324,13,FALSE),0),3)</f>
        <v>0.23799999999999999</v>
      </c>
      <c r="BB39" s="90">
        <f t="shared" si="7"/>
        <v>0</v>
      </c>
      <c r="BC39" s="90">
        <f>ROUND(BB39*IFERROR(VLOOKUP($AK39,'3121% SY'!$A$2:$M$324,13,FALSE),0),3)</f>
        <v>0</v>
      </c>
    </row>
    <row r="40" spans="1:55" x14ac:dyDescent="0.25">
      <c r="A40" s="88" t="s">
        <v>50</v>
      </c>
      <c r="B40" s="90"/>
      <c r="C40" s="90"/>
      <c r="D40" s="90"/>
      <c r="E40" s="90"/>
      <c r="F40" s="90">
        <v>1</v>
      </c>
      <c r="G40" s="90"/>
      <c r="H40" s="90"/>
      <c r="I40" s="90"/>
      <c r="J40" s="90"/>
      <c r="K40" s="90"/>
      <c r="L40" s="90"/>
      <c r="M40" s="90"/>
      <c r="N40" s="90"/>
      <c r="P40" s="90">
        <f t="shared" si="3"/>
        <v>1</v>
      </c>
      <c r="Q40" s="90">
        <f>SUM($B40:E40)</f>
        <v>0</v>
      </c>
      <c r="R40" s="89"/>
      <c r="AH40" s="90">
        <f t="shared" si="4"/>
        <v>0</v>
      </c>
      <c r="AI40" s="90">
        <f t="shared" si="5"/>
        <v>0</v>
      </c>
      <c r="AJ40" s="89"/>
      <c r="AK40" s="88" t="s">
        <v>87</v>
      </c>
      <c r="AL40" s="90"/>
      <c r="AM40" s="90"/>
      <c r="AN40" s="90"/>
      <c r="AO40" s="90"/>
      <c r="AP40" s="90"/>
      <c r="AQ40" s="90"/>
      <c r="AR40" s="90">
        <v>0.05</v>
      </c>
      <c r="AS40" s="90"/>
      <c r="AT40" s="90">
        <v>0.04</v>
      </c>
      <c r="AU40" s="90">
        <v>2.5000000000000001E-2</v>
      </c>
      <c r="AV40" s="90"/>
      <c r="AW40" s="90"/>
      <c r="AX40" s="90"/>
      <c r="AY40" s="90"/>
      <c r="AZ40" s="90">
        <f t="shared" si="6"/>
        <v>0.11499999999999999</v>
      </c>
      <c r="BA40" s="90">
        <f>ROUND(AZ40*IFERROR(VLOOKUP($AK40,'3121% SY'!$A$2:$M$324,13,FALSE),0),3)</f>
        <v>2.1000000000000001E-2</v>
      </c>
      <c r="BB40" s="90">
        <f t="shared" si="7"/>
        <v>0</v>
      </c>
      <c r="BC40" s="90">
        <f>ROUND(BB40*IFERROR(VLOOKUP($AK40,'3121% SY'!$A$2:$M$324,13,FALSE),0),3)</f>
        <v>0</v>
      </c>
    </row>
    <row r="41" spans="1:55" x14ac:dyDescent="0.25">
      <c r="A41" s="88" t="s">
        <v>52</v>
      </c>
      <c r="B41" s="90"/>
      <c r="C41" s="90"/>
      <c r="D41" s="90"/>
      <c r="E41" s="90"/>
      <c r="F41" s="90">
        <v>1.333</v>
      </c>
      <c r="G41" s="90"/>
      <c r="H41" s="90"/>
      <c r="I41" s="90"/>
      <c r="J41" s="90">
        <v>0.16700000000000001</v>
      </c>
      <c r="K41" s="90">
        <v>0.81100000000000005</v>
      </c>
      <c r="L41" s="90"/>
      <c r="M41" s="90"/>
      <c r="N41" s="90"/>
      <c r="P41" s="90">
        <f t="shared" si="3"/>
        <v>2.3109999999999999</v>
      </c>
      <c r="Q41" s="90">
        <f>SUM($B41:E41)</f>
        <v>0</v>
      </c>
      <c r="R41" s="89"/>
      <c r="AH41" s="90">
        <f t="shared" si="4"/>
        <v>0</v>
      </c>
      <c r="AI41" s="90">
        <f t="shared" si="5"/>
        <v>0</v>
      </c>
      <c r="AJ41" s="89"/>
      <c r="AK41" s="88" t="s">
        <v>88</v>
      </c>
      <c r="AL41" s="90"/>
      <c r="AM41" s="90"/>
      <c r="AN41" s="90"/>
      <c r="AO41" s="90"/>
      <c r="AP41" s="90"/>
      <c r="AQ41" s="90"/>
      <c r="AR41" s="90"/>
      <c r="AS41" s="90"/>
      <c r="AT41" s="90">
        <v>1</v>
      </c>
      <c r="AU41" s="90">
        <v>1</v>
      </c>
      <c r="AV41" s="90"/>
      <c r="AW41" s="90"/>
      <c r="AX41" s="90"/>
      <c r="AY41" s="90"/>
      <c r="AZ41" s="90">
        <f t="shared" si="6"/>
        <v>2</v>
      </c>
      <c r="BA41" s="90">
        <f>ROUND(AZ41*IFERROR(VLOOKUP($AK41,'3121% SY'!$A$2:$M$324,13,FALSE),0),3)</f>
        <v>0.56999999999999995</v>
      </c>
      <c r="BB41" s="90">
        <f t="shared" si="7"/>
        <v>0</v>
      </c>
      <c r="BC41" s="90">
        <f>ROUND(BB41*IFERROR(VLOOKUP($AK41,'3121% SY'!$A$2:$M$324,13,FALSE),0),3)</f>
        <v>0</v>
      </c>
    </row>
    <row r="42" spans="1:55" x14ac:dyDescent="0.25">
      <c r="A42" s="88" t="s">
        <v>54</v>
      </c>
      <c r="B42" s="90"/>
      <c r="C42" s="90"/>
      <c r="D42" s="90"/>
      <c r="E42" s="90"/>
      <c r="F42" s="90">
        <v>0.49</v>
      </c>
      <c r="G42" s="90"/>
      <c r="H42" s="90"/>
      <c r="I42" s="90"/>
      <c r="J42" s="90"/>
      <c r="K42" s="90"/>
      <c r="L42" s="90"/>
      <c r="M42" s="90"/>
      <c r="N42" s="90"/>
      <c r="P42" s="90">
        <f t="shared" si="3"/>
        <v>0.49</v>
      </c>
      <c r="Q42" s="90">
        <f>SUM($B42:E42)</f>
        <v>0</v>
      </c>
      <c r="R42" s="89"/>
      <c r="AH42" s="90">
        <f t="shared" si="4"/>
        <v>0</v>
      </c>
      <c r="AI42" s="90">
        <f t="shared" si="5"/>
        <v>0</v>
      </c>
      <c r="AJ42" s="89"/>
      <c r="AK42" s="88" t="s">
        <v>89</v>
      </c>
      <c r="AL42" s="90"/>
      <c r="AM42" s="90"/>
      <c r="AN42" s="90"/>
      <c r="AO42" s="90"/>
      <c r="AP42" s="90"/>
      <c r="AQ42" s="90"/>
      <c r="AR42" s="90"/>
      <c r="AS42" s="90"/>
      <c r="AT42" s="90">
        <v>0.16</v>
      </c>
      <c r="AU42" s="90"/>
      <c r="AV42" s="90"/>
      <c r="AW42" s="90"/>
      <c r="AX42" s="90"/>
      <c r="AY42" s="90"/>
      <c r="AZ42" s="90">
        <f t="shared" si="6"/>
        <v>0.16</v>
      </c>
      <c r="BA42" s="90">
        <f>ROUND(AZ42*IFERROR(VLOOKUP($AK42,'3121% SY'!$A$2:$M$324,13,FALSE),0),3)</f>
        <v>3.5000000000000003E-2</v>
      </c>
      <c r="BB42" s="90">
        <f t="shared" si="7"/>
        <v>0</v>
      </c>
      <c r="BC42" s="90">
        <f>ROUND(BB42*IFERROR(VLOOKUP($AK42,'3121% SY'!$A$2:$M$324,13,FALSE),0),3)</f>
        <v>0</v>
      </c>
    </row>
    <row r="43" spans="1:55" x14ac:dyDescent="0.25">
      <c r="A43" s="88" t="s">
        <v>56</v>
      </c>
      <c r="B43" s="90"/>
      <c r="C43" s="90"/>
      <c r="D43" s="90"/>
      <c r="E43" s="90"/>
      <c r="F43" s="90">
        <v>0.5</v>
      </c>
      <c r="G43" s="90"/>
      <c r="H43" s="90"/>
      <c r="I43" s="90"/>
      <c r="J43" s="90"/>
      <c r="K43" s="90"/>
      <c r="L43" s="90"/>
      <c r="M43" s="90"/>
      <c r="N43" s="90"/>
      <c r="P43" s="90">
        <f t="shared" si="3"/>
        <v>0.5</v>
      </c>
      <c r="Q43" s="90">
        <f>SUM($B43:E43)</f>
        <v>0</v>
      </c>
      <c r="R43" s="89"/>
      <c r="AH43" s="90">
        <f t="shared" si="4"/>
        <v>0</v>
      </c>
      <c r="AI43" s="90">
        <f t="shared" si="5"/>
        <v>0</v>
      </c>
      <c r="AJ43" s="89"/>
      <c r="AK43" s="88" t="s">
        <v>90</v>
      </c>
      <c r="AL43" s="90"/>
      <c r="AM43" s="90"/>
      <c r="AN43" s="90"/>
      <c r="AO43" s="90"/>
      <c r="AP43" s="90"/>
      <c r="AQ43" s="90"/>
      <c r="AR43" s="90"/>
      <c r="AS43" s="90"/>
      <c r="AT43" s="90"/>
      <c r="AU43" s="90">
        <v>0.28000000000000003</v>
      </c>
      <c r="AV43" s="90"/>
      <c r="AW43" s="90"/>
      <c r="AX43" s="90"/>
      <c r="AY43" s="90"/>
      <c r="AZ43" s="90">
        <f t="shared" si="6"/>
        <v>0.28000000000000003</v>
      </c>
      <c r="BA43" s="90">
        <f>ROUND(AZ43*IFERROR(VLOOKUP($AK43,'3121% SY'!$A$2:$M$324,13,FALSE),0),3)</f>
        <v>6.3E-2</v>
      </c>
      <c r="BB43" s="90">
        <f t="shared" si="7"/>
        <v>0</v>
      </c>
      <c r="BC43" s="90">
        <f>ROUND(BB43*IFERROR(VLOOKUP($AK43,'3121% SY'!$A$2:$M$324,13,FALSE),0),3)</f>
        <v>0</v>
      </c>
    </row>
    <row r="44" spans="1:55" x14ac:dyDescent="0.25">
      <c r="A44" s="88" t="s">
        <v>58</v>
      </c>
      <c r="B44" s="90"/>
      <c r="C44" s="90"/>
      <c r="D44" s="90"/>
      <c r="E44" s="90"/>
      <c r="F44" s="90">
        <v>0.3</v>
      </c>
      <c r="G44" s="90"/>
      <c r="H44" s="90"/>
      <c r="I44" s="90"/>
      <c r="J44" s="90"/>
      <c r="K44" s="90"/>
      <c r="L44" s="90"/>
      <c r="M44" s="90"/>
      <c r="N44" s="90"/>
      <c r="P44" s="90">
        <f t="shared" si="3"/>
        <v>0.3</v>
      </c>
      <c r="Q44" s="90">
        <f>SUM($B44:E44)</f>
        <v>0</v>
      </c>
      <c r="R44" s="89"/>
      <c r="AH44" s="90">
        <f t="shared" si="4"/>
        <v>0</v>
      </c>
      <c r="AI44" s="90">
        <f t="shared" si="5"/>
        <v>0</v>
      </c>
      <c r="AJ44" s="89"/>
      <c r="AK44" s="88" t="s">
        <v>93</v>
      </c>
      <c r="AL44" s="90"/>
      <c r="AM44" s="90"/>
      <c r="AN44" s="90"/>
      <c r="AO44" s="90"/>
      <c r="AP44" s="90"/>
      <c r="AQ44" s="90"/>
      <c r="AR44" s="90"/>
      <c r="AS44" s="90"/>
      <c r="AT44" s="90"/>
      <c r="AU44" s="90">
        <v>6.7000000000000004E-2</v>
      </c>
      <c r="AV44" s="90"/>
      <c r="AW44" s="90"/>
      <c r="AX44" s="90"/>
      <c r="AY44" s="90"/>
      <c r="AZ44" s="90">
        <f t="shared" si="6"/>
        <v>6.7000000000000004E-2</v>
      </c>
      <c r="BA44" s="90">
        <f>ROUND(AZ44*IFERROR(VLOOKUP($AK44,'3121% SY'!$A$2:$M$324,13,FALSE),0),3)</f>
        <v>7.0000000000000001E-3</v>
      </c>
      <c r="BB44" s="90">
        <f t="shared" si="7"/>
        <v>0</v>
      </c>
      <c r="BC44" s="90">
        <f>ROUND(BB44*IFERROR(VLOOKUP($AK44,'3121% SY'!$A$2:$M$324,13,FALSE),0),3)</f>
        <v>0</v>
      </c>
    </row>
    <row r="45" spans="1:55" x14ac:dyDescent="0.25">
      <c r="A45" s="88" t="s">
        <v>60</v>
      </c>
      <c r="B45" s="90"/>
      <c r="C45" s="90"/>
      <c r="D45" s="90"/>
      <c r="E45" s="90"/>
      <c r="F45" s="90">
        <v>8.02</v>
      </c>
      <c r="G45" s="90"/>
      <c r="H45" s="90"/>
      <c r="I45" s="90"/>
      <c r="J45" s="90"/>
      <c r="K45" s="90"/>
      <c r="L45" s="90"/>
      <c r="M45" s="90"/>
      <c r="N45" s="90"/>
      <c r="P45" s="90">
        <f t="shared" si="3"/>
        <v>8.02</v>
      </c>
      <c r="Q45" s="90">
        <f>SUM($B45:E45)</f>
        <v>0</v>
      </c>
      <c r="R45" s="89"/>
      <c r="AH45" s="90">
        <f t="shared" si="4"/>
        <v>0</v>
      </c>
      <c r="AI45" s="90">
        <f t="shared" si="5"/>
        <v>0</v>
      </c>
      <c r="AJ45" s="89"/>
      <c r="AK45" s="88" t="s">
        <v>94</v>
      </c>
      <c r="AL45" s="90"/>
      <c r="AM45" s="90"/>
      <c r="AN45" s="90"/>
      <c r="AO45" s="90"/>
      <c r="AP45" s="90"/>
      <c r="AQ45" s="90"/>
      <c r="AR45" s="90">
        <v>9.0999999999999998E-2</v>
      </c>
      <c r="AS45" s="90"/>
      <c r="AT45" s="90"/>
      <c r="AU45" s="90"/>
      <c r="AV45" s="90"/>
      <c r="AW45" s="90"/>
      <c r="AX45" s="90"/>
      <c r="AY45" s="90"/>
      <c r="AZ45" s="90">
        <f t="shared" si="6"/>
        <v>9.0999999999999998E-2</v>
      </c>
      <c r="BA45" s="90">
        <f>ROUND(AZ45*IFERROR(VLOOKUP($AK45,'3121% SY'!$A$2:$M$324,13,FALSE),0),3)</f>
        <v>2.5000000000000001E-2</v>
      </c>
      <c r="BB45" s="90">
        <f t="shared" si="7"/>
        <v>0</v>
      </c>
      <c r="BC45" s="90">
        <f>ROUND(BB45*IFERROR(VLOOKUP($AK45,'3121% SY'!$A$2:$M$324,13,FALSE),0),3)</f>
        <v>0</v>
      </c>
    </row>
    <row r="46" spans="1:55" x14ac:dyDescent="0.25">
      <c r="A46" s="88" t="s">
        <v>61</v>
      </c>
      <c r="B46" s="90"/>
      <c r="C46" s="90"/>
      <c r="D46" s="90"/>
      <c r="E46" s="90"/>
      <c r="F46" s="90">
        <v>2.83</v>
      </c>
      <c r="G46" s="90"/>
      <c r="H46" s="90"/>
      <c r="I46" s="90"/>
      <c r="J46" s="90"/>
      <c r="K46" s="90"/>
      <c r="L46" s="90"/>
      <c r="M46" s="90"/>
      <c r="N46" s="90"/>
      <c r="P46" s="90">
        <f t="shared" si="3"/>
        <v>2.83</v>
      </c>
      <c r="Q46" s="90">
        <f>SUM($B46:E46)</f>
        <v>0</v>
      </c>
      <c r="R46" s="89"/>
      <c r="AH46" s="90">
        <f t="shared" si="4"/>
        <v>0</v>
      </c>
      <c r="AI46" s="90">
        <f t="shared" si="5"/>
        <v>0</v>
      </c>
      <c r="AJ46" s="89"/>
      <c r="AK46" s="88" t="s">
        <v>95</v>
      </c>
      <c r="AL46" s="90"/>
      <c r="AM46" s="90"/>
      <c r="AN46" s="90"/>
      <c r="AO46" s="90"/>
      <c r="AP46" s="90"/>
      <c r="AQ46" s="90"/>
      <c r="AR46" s="90">
        <v>0.24</v>
      </c>
      <c r="AS46" s="90"/>
      <c r="AT46" s="90">
        <v>0.5</v>
      </c>
      <c r="AU46" s="90">
        <v>0.3</v>
      </c>
      <c r="AV46" s="90"/>
      <c r="AW46" s="90"/>
      <c r="AX46" s="90"/>
      <c r="AY46" s="90"/>
      <c r="AZ46" s="90">
        <f t="shared" si="6"/>
        <v>1.04</v>
      </c>
      <c r="BA46" s="90">
        <f>ROUND(AZ46*IFERROR(VLOOKUP($AK46,'3121% SY'!$A$2:$M$324,13,FALSE),0),3)</f>
        <v>0.21199999999999999</v>
      </c>
      <c r="BB46" s="90">
        <f t="shared" si="7"/>
        <v>0</v>
      </c>
      <c r="BC46" s="90">
        <f>ROUND(BB46*IFERROR(VLOOKUP($AK46,'3121% SY'!$A$2:$M$324,13,FALSE),0),3)</f>
        <v>0</v>
      </c>
    </row>
    <row r="47" spans="1:55" x14ac:dyDescent="0.25">
      <c r="A47" s="88" t="s">
        <v>64</v>
      </c>
      <c r="B47" s="90"/>
      <c r="C47" s="90"/>
      <c r="D47" s="90"/>
      <c r="E47" s="90"/>
      <c r="F47" s="90">
        <v>0.1</v>
      </c>
      <c r="G47" s="90"/>
      <c r="H47" s="90"/>
      <c r="I47" s="90"/>
      <c r="J47" s="90"/>
      <c r="K47" s="90"/>
      <c r="L47" s="90"/>
      <c r="M47" s="90"/>
      <c r="N47" s="90"/>
      <c r="P47" s="90">
        <f t="shared" si="3"/>
        <v>0.1</v>
      </c>
      <c r="Q47" s="90">
        <f>SUM($B47:E47)</f>
        <v>0</v>
      </c>
      <c r="R47" s="89"/>
      <c r="AH47" s="90">
        <f t="shared" si="4"/>
        <v>0</v>
      </c>
      <c r="AI47" s="90">
        <f t="shared" si="5"/>
        <v>0</v>
      </c>
      <c r="AJ47" s="89"/>
      <c r="AK47" s="88" t="s">
        <v>96</v>
      </c>
      <c r="AL47" s="90"/>
      <c r="AM47" s="90"/>
      <c r="AN47" s="90"/>
      <c r="AO47" s="90"/>
      <c r="AP47" s="90"/>
      <c r="AQ47" s="90"/>
      <c r="AR47" s="90">
        <v>8.1199999999999992</v>
      </c>
      <c r="AS47" s="90"/>
      <c r="AT47" s="90">
        <v>14.462</v>
      </c>
      <c r="AU47" s="90">
        <v>7.07</v>
      </c>
      <c r="AV47" s="90">
        <v>0.54600000000000004</v>
      </c>
      <c r="AW47" s="90">
        <v>1.68</v>
      </c>
      <c r="AX47" s="90"/>
      <c r="AY47" s="90"/>
      <c r="AZ47" s="90">
        <f t="shared" si="6"/>
        <v>31.878</v>
      </c>
      <c r="BA47" s="90">
        <f>ROUND(AZ47*IFERROR(VLOOKUP($AK47,'3121% SY'!$A$2:$M$324,13,FALSE),0),3)</f>
        <v>7.2489999999999997</v>
      </c>
      <c r="BB47" s="90">
        <f t="shared" si="7"/>
        <v>0</v>
      </c>
      <c r="BC47" s="90">
        <f>ROUND(BB47*IFERROR(VLOOKUP($AK47,'3121% SY'!$A$2:$M$324,13,FALSE),0),3)</f>
        <v>0</v>
      </c>
    </row>
    <row r="48" spans="1:55" x14ac:dyDescent="0.25">
      <c r="A48" s="88" t="s">
        <v>65</v>
      </c>
      <c r="B48" s="90"/>
      <c r="C48" s="90"/>
      <c r="D48" s="90"/>
      <c r="E48" s="90"/>
      <c r="F48" s="90">
        <v>1.34</v>
      </c>
      <c r="G48" s="90"/>
      <c r="H48" s="90"/>
      <c r="I48" s="90"/>
      <c r="J48" s="90"/>
      <c r="K48" s="90"/>
      <c r="L48" s="90"/>
      <c r="M48" s="90"/>
      <c r="N48" s="90"/>
      <c r="P48" s="90">
        <f t="shared" si="3"/>
        <v>1.34</v>
      </c>
      <c r="Q48" s="90">
        <f>SUM($B48:E48)</f>
        <v>0</v>
      </c>
      <c r="R48" s="89"/>
      <c r="AH48" s="90">
        <f t="shared" si="4"/>
        <v>0</v>
      </c>
      <c r="AI48" s="90">
        <f t="shared" si="5"/>
        <v>0</v>
      </c>
      <c r="AJ48" s="89"/>
      <c r="AK48" s="88" t="s">
        <v>97</v>
      </c>
      <c r="AL48" s="90"/>
      <c r="AM48" s="90"/>
      <c r="AN48" s="90"/>
      <c r="AO48" s="90"/>
      <c r="AP48" s="90"/>
      <c r="AQ48" s="90"/>
      <c r="AR48" s="90">
        <v>0.92400000000000004</v>
      </c>
      <c r="AS48" s="90"/>
      <c r="AT48" s="90">
        <v>5.8049999999999997</v>
      </c>
      <c r="AU48" s="90">
        <v>4.6189999999999998</v>
      </c>
      <c r="AV48" s="90"/>
      <c r="AW48" s="90">
        <v>0.77</v>
      </c>
      <c r="AX48" s="90"/>
      <c r="AY48" s="90">
        <v>0.92400000000000004</v>
      </c>
      <c r="AZ48" s="90">
        <f t="shared" si="6"/>
        <v>13.041999999999998</v>
      </c>
      <c r="BA48" s="90">
        <f>ROUND(AZ48*IFERROR(VLOOKUP($AK48,'3121% SY'!$A$2:$M$324,13,FALSE),0),3)</f>
        <v>3.875</v>
      </c>
      <c r="BB48" s="90">
        <f t="shared" si="7"/>
        <v>0</v>
      </c>
      <c r="BC48" s="90">
        <f>ROUND(BB48*IFERROR(VLOOKUP($AK48,'3121% SY'!$A$2:$M$324,13,FALSE),0),3)</f>
        <v>0</v>
      </c>
    </row>
    <row r="49" spans="1:55" x14ac:dyDescent="0.25">
      <c r="A49" s="88" t="s">
        <v>66</v>
      </c>
      <c r="B49" s="90"/>
      <c r="C49" s="90">
        <v>4.2999999999999997E-2</v>
      </c>
      <c r="D49" s="90"/>
      <c r="E49" s="90"/>
      <c r="F49" s="90">
        <v>1.67</v>
      </c>
      <c r="G49" s="90"/>
      <c r="H49" s="90">
        <v>0.16700000000000001</v>
      </c>
      <c r="I49" s="90"/>
      <c r="J49" s="90"/>
      <c r="K49" s="90">
        <v>0.308</v>
      </c>
      <c r="L49" s="90"/>
      <c r="M49" s="90"/>
      <c r="N49" s="90"/>
      <c r="P49" s="90">
        <f t="shared" si="3"/>
        <v>2.145</v>
      </c>
      <c r="Q49" s="90">
        <f>SUM($B49:E49)</f>
        <v>4.2999999999999997E-2</v>
      </c>
      <c r="R49" s="89"/>
      <c r="AH49" s="90">
        <f t="shared" si="4"/>
        <v>0</v>
      </c>
      <c r="AI49" s="90">
        <f t="shared" si="5"/>
        <v>0</v>
      </c>
      <c r="AJ49" s="89"/>
      <c r="AK49" s="88" t="s">
        <v>98</v>
      </c>
      <c r="AL49" s="90"/>
      <c r="AM49" s="90"/>
      <c r="AN49" s="90"/>
      <c r="AO49" s="90"/>
      <c r="AP49" s="90"/>
      <c r="AQ49" s="90"/>
      <c r="AR49" s="90"/>
      <c r="AS49" s="90"/>
      <c r="AT49" s="90">
        <v>0.52700000000000002</v>
      </c>
      <c r="AU49" s="90"/>
      <c r="AV49" s="90">
        <v>3.5999999999999997E-2</v>
      </c>
      <c r="AW49" s="90"/>
      <c r="AX49" s="90"/>
      <c r="AY49" s="90">
        <v>0.66700000000000004</v>
      </c>
      <c r="AZ49" s="90">
        <f t="shared" si="6"/>
        <v>1.23</v>
      </c>
      <c r="BA49" s="90">
        <f>ROUND(AZ49*IFERROR(VLOOKUP($AK49,'3121% SY'!$A$2:$M$324,13,FALSE),0),3)</f>
        <v>0.311</v>
      </c>
      <c r="BB49" s="90">
        <f t="shared" si="7"/>
        <v>0</v>
      </c>
      <c r="BC49" s="90">
        <f>ROUND(BB49*IFERROR(VLOOKUP($AK49,'3121% SY'!$A$2:$M$324,13,FALSE),0),3)</f>
        <v>0</v>
      </c>
    </row>
    <row r="50" spans="1:55" x14ac:dyDescent="0.25">
      <c r="A50" s="88" t="s">
        <v>67</v>
      </c>
      <c r="B50" s="90"/>
      <c r="C50" s="90"/>
      <c r="D50" s="90"/>
      <c r="E50" s="90"/>
      <c r="F50" s="90">
        <v>0.86</v>
      </c>
      <c r="G50" s="90"/>
      <c r="H50" s="90"/>
      <c r="I50" s="90"/>
      <c r="J50" s="90"/>
      <c r="K50" s="90"/>
      <c r="L50" s="90"/>
      <c r="M50" s="90"/>
      <c r="N50" s="90"/>
      <c r="P50" s="90">
        <f t="shared" si="3"/>
        <v>0.86</v>
      </c>
      <c r="Q50" s="90">
        <f>SUM($B50:E50)</f>
        <v>0</v>
      </c>
      <c r="R50" s="89"/>
      <c r="AH50" s="90">
        <f t="shared" si="4"/>
        <v>0</v>
      </c>
      <c r="AI50" s="90">
        <f t="shared" si="5"/>
        <v>0</v>
      </c>
      <c r="AJ50" s="89"/>
      <c r="AK50" s="88" t="s">
        <v>99</v>
      </c>
      <c r="AL50" s="90"/>
      <c r="AM50" s="90"/>
      <c r="AN50" s="90"/>
      <c r="AO50" s="90"/>
      <c r="AP50" s="90"/>
      <c r="AQ50" s="90">
        <v>0.3</v>
      </c>
      <c r="AR50" s="90"/>
      <c r="AS50" s="90"/>
      <c r="AT50" s="90">
        <v>0.56999999999999995</v>
      </c>
      <c r="AU50" s="90">
        <v>1</v>
      </c>
      <c r="AV50" s="90"/>
      <c r="AW50" s="90"/>
      <c r="AX50" s="90"/>
      <c r="AY50" s="90"/>
      <c r="AZ50" s="90">
        <f t="shared" si="6"/>
        <v>1.8699999999999999</v>
      </c>
      <c r="BA50" s="90">
        <f>ROUND(AZ50*IFERROR(VLOOKUP($AK50,'3121% SY'!$A$2:$M$324,13,FALSE),0),3)</f>
        <v>0.36399999999999999</v>
      </c>
      <c r="BB50" s="90">
        <f t="shared" si="7"/>
        <v>0</v>
      </c>
      <c r="BC50" s="90">
        <f>ROUND(BB50*IFERROR(VLOOKUP($AK50,'3121% SY'!$A$2:$M$324,13,FALSE),0),3)</f>
        <v>0</v>
      </c>
    </row>
    <row r="51" spans="1:55" x14ac:dyDescent="0.25">
      <c r="A51" s="88" t="s">
        <v>69</v>
      </c>
      <c r="B51" s="90"/>
      <c r="C51" s="90"/>
      <c r="D51" s="90">
        <v>0.152</v>
      </c>
      <c r="E51" s="90"/>
      <c r="F51" s="90">
        <v>0.25</v>
      </c>
      <c r="G51" s="90"/>
      <c r="H51" s="90"/>
      <c r="I51" s="90"/>
      <c r="J51" s="90"/>
      <c r="K51" s="90"/>
      <c r="L51" s="90"/>
      <c r="M51" s="90"/>
      <c r="N51" s="90"/>
      <c r="P51" s="90">
        <f t="shared" si="3"/>
        <v>0.25</v>
      </c>
      <c r="Q51" s="90">
        <f>SUM($B51:E51)</f>
        <v>0.152</v>
      </c>
      <c r="R51" s="89"/>
      <c r="AH51" s="90">
        <f t="shared" si="4"/>
        <v>0</v>
      </c>
      <c r="AI51" s="90">
        <f t="shared" si="5"/>
        <v>0</v>
      </c>
      <c r="AJ51" s="89"/>
      <c r="AK51" s="88" t="s">
        <v>100</v>
      </c>
      <c r="AL51" s="90"/>
      <c r="AM51" s="90"/>
      <c r="AN51" s="90"/>
      <c r="AO51" s="90"/>
      <c r="AP51" s="90"/>
      <c r="AQ51" s="90"/>
      <c r="AR51" s="90">
        <v>1.55</v>
      </c>
      <c r="AS51" s="90">
        <v>0.5</v>
      </c>
      <c r="AT51" s="90">
        <v>4.5810000000000004</v>
      </c>
      <c r="AU51" s="90">
        <v>3.7629999999999999</v>
      </c>
      <c r="AV51" s="90"/>
      <c r="AW51" s="90">
        <v>0.33</v>
      </c>
      <c r="AX51" s="90">
        <v>0.57199999999999995</v>
      </c>
      <c r="AY51" s="90"/>
      <c r="AZ51" s="90">
        <f t="shared" si="6"/>
        <v>11.295999999999999</v>
      </c>
      <c r="BA51" s="90">
        <f>ROUND(AZ51*IFERROR(VLOOKUP($AK51,'3121% SY'!$A$2:$M$324,13,FALSE),0),3)</f>
        <v>2.738</v>
      </c>
      <c r="BB51" s="90">
        <f t="shared" si="7"/>
        <v>0</v>
      </c>
      <c r="BC51" s="90">
        <f>ROUND(BB51*IFERROR(VLOOKUP($AK51,'3121% SY'!$A$2:$M$324,13,FALSE),0),3)</f>
        <v>0</v>
      </c>
    </row>
    <row r="52" spans="1:55" x14ac:dyDescent="0.25">
      <c r="A52" s="88" t="s">
        <v>70</v>
      </c>
      <c r="B52" s="90"/>
      <c r="C52" s="90"/>
      <c r="D52" s="90"/>
      <c r="E52" s="90"/>
      <c r="F52" s="90">
        <v>0.93</v>
      </c>
      <c r="G52" s="90"/>
      <c r="H52" s="90"/>
      <c r="I52" s="90"/>
      <c r="J52" s="90"/>
      <c r="K52" s="90">
        <v>0.14299999999999999</v>
      </c>
      <c r="L52" s="90"/>
      <c r="M52" s="90"/>
      <c r="N52" s="90"/>
      <c r="P52" s="90">
        <f t="shared" si="3"/>
        <v>1.073</v>
      </c>
      <c r="Q52" s="90">
        <f>SUM($B52:E52)</f>
        <v>0</v>
      </c>
      <c r="R52" s="89"/>
      <c r="AH52" s="90">
        <f t="shared" si="4"/>
        <v>0</v>
      </c>
      <c r="AI52" s="90">
        <f t="shared" si="5"/>
        <v>0</v>
      </c>
      <c r="AJ52" s="89"/>
      <c r="AK52" s="88" t="s">
        <v>101</v>
      </c>
      <c r="AL52" s="90"/>
      <c r="AM52" s="90"/>
      <c r="AN52" s="90"/>
      <c r="AO52" s="90"/>
      <c r="AP52" s="90"/>
      <c r="AQ52" s="90"/>
      <c r="AR52" s="90"/>
      <c r="AS52" s="90"/>
      <c r="AT52" s="90"/>
      <c r="AU52" s="90">
        <v>0.5</v>
      </c>
      <c r="AV52" s="90"/>
      <c r="AW52" s="90"/>
      <c r="AX52" s="90"/>
      <c r="AY52" s="90"/>
      <c r="AZ52" s="90">
        <f t="shared" si="6"/>
        <v>0.5</v>
      </c>
      <c r="BA52" s="90">
        <f>ROUND(AZ52*IFERROR(VLOOKUP($AK52,'3121% SY'!$A$2:$M$324,13,FALSE),0),3)</f>
        <v>0.108</v>
      </c>
      <c r="BB52" s="90">
        <f t="shared" si="7"/>
        <v>0</v>
      </c>
      <c r="BC52" s="90">
        <f>ROUND(BB52*IFERROR(VLOOKUP($AK52,'3121% SY'!$A$2:$M$324,13,FALSE),0),3)</f>
        <v>0</v>
      </c>
    </row>
    <row r="53" spans="1:55" x14ac:dyDescent="0.25">
      <c r="A53" s="88" t="s">
        <v>71</v>
      </c>
      <c r="B53" s="90"/>
      <c r="C53" s="90"/>
      <c r="D53" s="90"/>
      <c r="E53" s="90"/>
      <c r="F53" s="90">
        <v>3.9860000000000002</v>
      </c>
      <c r="G53" s="90"/>
      <c r="H53" s="90">
        <v>1</v>
      </c>
      <c r="I53" s="90"/>
      <c r="J53" s="90"/>
      <c r="K53" s="90"/>
      <c r="L53" s="90"/>
      <c r="M53" s="90"/>
      <c r="N53" s="90"/>
      <c r="P53" s="90">
        <f t="shared" si="3"/>
        <v>4.9860000000000007</v>
      </c>
      <c r="Q53" s="90">
        <f>SUM($B53:E53)</f>
        <v>0</v>
      </c>
      <c r="R53" s="89"/>
      <c r="AH53" s="90">
        <f t="shared" si="4"/>
        <v>0</v>
      </c>
      <c r="AI53" s="90">
        <f t="shared" si="5"/>
        <v>0</v>
      </c>
      <c r="AJ53" s="89"/>
      <c r="AK53" s="88" t="s">
        <v>102</v>
      </c>
      <c r="AL53" s="90"/>
      <c r="AM53" s="90"/>
      <c r="AN53" s="90"/>
      <c r="AO53" s="90"/>
      <c r="AP53" s="90"/>
      <c r="AQ53" s="90">
        <v>0.33400000000000002</v>
      </c>
      <c r="AR53" s="90">
        <v>2.343</v>
      </c>
      <c r="AS53" s="90"/>
      <c r="AT53" s="90">
        <v>3.996</v>
      </c>
      <c r="AU53" s="90">
        <v>3.8</v>
      </c>
      <c r="AV53" s="90"/>
      <c r="AW53" s="90">
        <v>0.753</v>
      </c>
      <c r="AX53" s="90"/>
      <c r="AY53" s="90"/>
      <c r="AZ53" s="90">
        <f t="shared" si="6"/>
        <v>11.225999999999999</v>
      </c>
      <c r="BA53" s="90">
        <f>ROUND(AZ53*IFERROR(VLOOKUP($AK53,'3121% SY'!$A$2:$M$324,13,FALSE),0),3)</f>
        <v>3.3180000000000001</v>
      </c>
      <c r="BB53" s="90">
        <f t="shared" si="7"/>
        <v>0</v>
      </c>
      <c r="BC53" s="90">
        <f>ROUND(BB53*IFERROR(VLOOKUP($AK53,'3121% SY'!$A$2:$M$324,13,FALSE),0),3)</f>
        <v>0</v>
      </c>
    </row>
    <row r="54" spans="1:55" x14ac:dyDescent="0.25">
      <c r="A54" s="88" t="s">
        <v>72</v>
      </c>
      <c r="B54" s="90"/>
      <c r="C54" s="90">
        <v>1.4E-2</v>
      </c>
      <c r="D54" s="90"/>
      <c r="E54" s="90"/>
      <c r="F54" s="90">
        <v>1</v>
      </c>
      <c r="G54" s="90"/>
      <c r="H54" s="90"/>
      <c r="I54" s="90"/>
      <c r="J54" s="90">
        <v>4.1000000000000002E-2</v>
      </c>
      <c r="K54" s="90">
        <v>0.5</v>
      </c>
      <c r="L54" s="90"/>
      <c r="M54" s="90"/>
      <c r="N54" s="90"/>
      <c r="P54" s="90">
        <f t="shared" si="3"/>
        <v>1.5409999999999999</v>
      </c>
      <c r="Q54" s="90">
        <f>SUM($B54:E54)</f>
        <v>1.4E-2</v>
      </c>
      <c r="R54" s="89"/>
      <c r="AH54" s="90">
        <f t="shared" si="4"/>
        <v>0</v>
      </c>
      <c r="AI54" s="90">
        <f t="shared" si="5"/>
        <v>0</v>
      </c>
      <c r="AJ54" s="89"/>
      <c r="AK54" s="88" t="s">
        <v>104</v>
      </c>
      <c r="AL54" s="90"/>
      <c r="AM54" s="90"/>
      <c r="AN54" s="90"/>
      <c r="AO54" s="90"/>
      <c r="AP54" s="90"/>
      <c r="AQ54" s="90"/>
      <c r="AR54" s="90">
        <v>2.2400000000000002</v>
      </c>
      <c r="AS54" s="90">
        <v>1.744</v>
      </c>
      <c r="AT54" s="90">
        <v>5.4720000000000004</v>
      </c>
      <c r="AU54" s="90">
        <v>4.16</v>
      </c>
      <c r="AV54" s="90"/>
      <c r="AW54" s="90">
        <v>0.89600000000000002</v>
      </c>
      <c r="AX54" s="90">
        <v>0.8</v>
      </c>
      <c r="AY54" s="90"/>
      <c r="AZ54" s="90">
        <f t="shared" si="6"/>
        <v>15.312000000000001</v>
      </c>
      <c r="BA54" s="90">
        <f>ROUND(AZ54*IFERROR(VLOOKUP($AK54,'3121% SY'!$A$2:$M$324,13,FALSE),0),3)</f>
        <v>3.3580000000000001</v>
      </c>
      <c r="BB54" s="90">
        <f t="shared" si="7"/>
        <v>0</v>
      </c>
      <c r="BC54" s="90">
        <f>ROUND(BB54*IFERROR(VLOOKUP($AK54,'3121% SY'!$A$2:$M$324,13,FALSE),0),3)</f>
        <v>0</v>
      </c>
    </row>
    <row r="55" spans="1:55" x14ac:dyDescent="0.25">
      <c r="A55" s="88" t="s">
        <v>75</v>
      </c>
      <c r="B55" s="90"/>
      <c r="C55" s="90"/>
      <c r="D55" s="90"/>
      <c r="E55" s="90"/>
      <c r="F55" s="90">
        <v>2.2000000000000002</v>
      </c>
      <c r="G55" s="90"/>
      <c r="H55" s="90"/>
      <c r="I55" s="90"/>
      <c r="J55" s="90"/>
      <c r="K55" s="90"/>
      <c r="L55" s="90"/>
      <c r="M55" s="90"/>
      <c r="N55" s="90"/>
      <c r="P55" s="90">
        <f t="shared" si="3"/>
        <v>2.2000000000000002</v>
      </c>
      <c r="Q55" s="90">
        <f>SUM($B55:E55)</f>
        <v>0</v>
      </c>
      <c r="R55" s="89"/>
      <c r="AH55" s="90">
        <f t="shared" si="4"/>
        <v>0</v>
      </c>
      <c r="AI55" s="90">
        <f t="shared" si="5"/>
        <v>0</v>
      </c>
      <c r="AJ55" s="89"/>
      <c r="AK55" s="88" t="s">
        <v>105</v>
      </c>
      <c r="AL55" s="90"/>
      <c r="AM55" s="90"/>
      <c r="AN55" s="90"/>
      <c r="AO55" s="90"/>
      <c r="AP55" s="90"/>
      <c r="AQ55" s="90"/>
      <c r="AR55" s="90">
        <v>0.66600000000000004</v>
      </c>
      <c r="AS55" s="90"/>
      <c r="AT55" s="90">
        <v>0.83299999999999996</v>
      </c>
      <c r="AU55" s="90">
        <v>0.33300000000000002</v>
      </c>
      <c r="AV55" s="90"/>
      <c r="AW55" s="90"/>
      <c r="AX55" s="90"/>
      <c r="AY55" s="90"/>
      <c r="AZ55" s="90">
        <f t="shared" si="6"/>
        <v>1.8320000000000001</v>
      </c>
      <c r="BA55" s="90">
        <f>ROUND(AZ55*IFERROR(VLOOKUP($AK55,'3121% SY'!$A$2:$M$324,13,FALSE),0),3)</f>
        <v>0.48599999999999999</v>
      </c>
      <c r="BB55" s="90">
        <f t="shared" si="7"/>
        <v>0</v>
      </c>
      <c r="BC55" s="90">
        <f>ROUND(BB55*IFERROR(VLOOKUP($AK55,'3121% SY'!$A$2:$M$324,13,FALSE),0),3)</f>
        <v>0</v>
      </c>
    </row>
    <row r="56" spans="1:55" x14ac:dyDescent="0.25">
      <c r="A56" s="88" t="s">
        <v>76</v>
      </c>
      <c r="B56" s="90"/>
      <c r="C56" s="90"/>
      <c r="D56" s="90">
        <v>0.127</v>
      </c>
      <c r="E56" s="90"/>
      <c r="F56" s="90">
        <v>1</v>
      </c>
      <c r="G56" s="90"/>
      <c r="H56" s="90"/>
      <c r="I56" s="90"/>
      <c r="J56" s="90"/>
      <c r="K56" s="90"/>
      <c r="L56" s="90"/>
      <c r="M56" s="90"/>
      <c r="N56" s="90"/>
      <c r="P56" s="90">
        <f t="shared" si="3"/>
        <v>1</v>
      </c>
      <c r="Q56" s="90">
        <f>SUM($B56:E56)</f>
        <v>0.127</v>
      </c>
      <c r="R56" s="89"/>
      <c r="AH56" s="90">
        <f t="shared" si="4"/>
        <v>0</v>
      </c>
      <c r="AI56" s="90">
        <f t="shared" si="5"/>
        <v>0</v>
      </c>
      <c r="AJ56" s="89"/>
      <c r="AK56" s="88" t="s">
        <v>106</v>
      </c>
      <c r="AL56" s="90"/>
      <c r="AM56" s="90"/>
      <c r="AN56" s="90"/>
      <c r="AO56" s="90"/>
      <c r="AP56" s="90"/>
      <c r="AQ56" s="90"/>
      <c r="AR56" s="90"/>
      <c r="AS56" s="90"/>
      <c r="AT56" s="90">
        <v>0.15</v>
      </c>
      <c r="AU56" s="90"/>
      <c r="AV56" s="90"/>
      <c r="AW56" s="90"/>
      <c r="AX56" s="90"/>
      <c r="AY56" s="90"/>
      <c r="AZ56" s="90">
        <f t="shared" si="6"/>
        <v>0.15</v>
      </c>
      <c r="BA56" s="90">
        <f>ROUND(AZ56*IFERROR(VLOOKUP($AK56,'3121% SY'!$A$2:$M$324,13,FALSE),0),3)</f>
        <v>3.1E-2</v>
      </c>
      <c r="BB56" s="90">
        <f t="shared" si="7"/>
        <v>0</v>
      </c>
      <c r="BC56" s="90">
        <f>ROUND(BB56*IFERROR(VLOOKUP($AK56,'3121% SY'!$A$2:$M$324,13,FALSE),0),3)</f>
        <v>0</v>
      </c>
    </row>
    <row r="57" spans="1:55" x14ac:dyDescent="0.25">
      <c r="A57" s="88" t="s">
        <v>78</v>
      </c>
      <c r="B57" s="90"/>
      <c r="C57" s="90">
        <v>6.5000000000000002E-2</v>
      </c>
      <c r="D57" s="90"/>
      <c r="E57" s="90"/>
      <c r="F57" s="90">
        <v>0.15</v>
      </c>
      <c r="G57" s="90"/>
      <c r="H57" s="90"/>
      <c r="I57" s="90"/>
      <c r="J57" s="90"/>
      <c r="K57" s="90"/>
      <c r="L57" s="90"/>
      <c r="M57" s="90"/>
      <c r="N57" s="90"/>
      <c r="P57" s="90">
        <f t="shared" si="3"/>
        <v>0.15</v>
      </c>
      <c r="Q57" s="90">
        <f>SUM($B57:E57)</f>
        <v>6.5000000000000002E-2</v>
      </c>
      <c r="R57" s="89"/>
      <c r="AH57" s="90">
        <f t="shared" si="4"/>
        <v>0</v>
      </c>
      <c r="AI57" s="90">
        <f t="shared" si="5"/>
        <v>0</v>
      </c>
      <c r="AJ57" s="89"/>
      <c r="AK57" s="88" t="s">
        <v>107</v>
      </c>
      <c r="AL57" s="90"/>
      <c r="AM57" s="90"/>
      <c r="AN57" s="90">
        <v>1.369</v>
      </c>
      <c r="AO57" s="90"/>
      <c r="AP57" s="90"/>
      <c r="AQ57" s="90"/>
      <c r="AR57" s="90">
        <v>0.55900000000000005</v>
      </c>
      <c r="AS57" s="90"/>
      <c r="AT57" s="90">
        <v>3.004</v>
      </c>
      <c r="AU57" s="90">
        <v>1.998</v>
      </c>
      <c r="AV57" s="90"/>
      <c r="AW57" s="90">
        <v>0.43</v>
      </c>
      <c r="AX57" s="90">
        <v>0.66</v>
      </c>
      <c r="AY57" s="90"/>
      <c r="AZ57" s="90">
        <f t="shared" si="6"/>
        <v>6.6509999999999998</v>
      </c>
      <c r="BA57" s="90">
        <f>ROUND(AZ57*IFERROR(VLOOKUP($AK57,'3121% SY'!$A$2:$M$324,13,FALSE),0),3)</f>
        <v>1.649</v>
      </c>
      <c r="BB57" s="90">
        <f t="shared" si="7"/>
        <v>1.369</v>
      </c>
      <c r="BC57" s="90">
        <f>ROUND(BB57*IFERROR(VLOOKUP($AK57,'3121% SY'!$A$2:$M$324,13,FALSE),0),3)</f>
        <v>0.33900000000000002</v>
      </c>
    </row>
    <row r="58" spans="1:55" x14ac:dyDescent="0.25">
      <c r="A58" s="88" t="s">
        <v>79</v>
      </c>
      <c r="B58" s="90"/>
      <c r="C58" s="90"/>
      <c r="D58" s="90"/>
      <c r="E58" s="90"/>
      <c r="F58" s="90">
        <v>1.34</v>
      </c>
      <c r="G58" s="90"/>
      <c r="H58" s="90"/>
      <c r="I58" s="90"/>
      <c r="J58" s="90"/>
      <c r="K58" s="90"/>
      <c r="L58" s="90"/>
      <c r="M58" s="90"/>
      <c r="N58" s="90"/>
      <c r="P58" s="90">
        <f t="shared" si="3"/>
        <v>1.34</v>
      </c>
      <c r="Q58" s="90">
        <f>SUM($B58:E58)</f>
        <v>0</v>
      </c>
      <c r="R58" s="89"/>
      <c r="AH58" s="90">
        <f t="shared" si="4"/>
        <v>0</v>
      </c>
      <c r="AI58" s="90">
        <f t="shared" si="5"/>
        <v>0</v>
      </c>
      <c r="AJ58" s="89"/>
      <c r="AK58" s="88" t="s">
        <v>108</v>
      </c>
      <c r="AL58" s="90"/>
      <c r="AM58" s="90"/>
      <c r="AN58" s="90"/>
      <c r="AO58" s="90"/>
      <c r="AP58" s="90"/>
      <c r="AQ58" s="90"/>
      <c r="AR58" s="90">
        <v>0.1</v>
      </c>
      <c r="AS58" s="90"/>
      <c r="AT58" s="90">
        <v>1.1000000000000001</v>
      </c>
      <c r="AU58" s="90">
        <v>0.67</v>
      </c>
      <c r="AV58" s="90"/>
      <c r="AW58" s="90">
        <v>0.08</v>
      </c>
      <c r="AX58" s="90"/>
      <c r="AY58" s="90"/>
      <c r="AZ58" s="90">
        <f t="shared" si="6"/>
        <v>1.9500000000000002</v>
      </c>
      <c r="BA58" s="90">
        <f>ROUND(AZ58*IFERROR(VLOOKUP($AK58,'3121% SY'!$A$2:$M$324,13,FALSE),0),3)</f>
        <v>0.46100000000000002</v>
      </c>
      <c r="BB58" s="90">
        <f t="shared" si="7"/>
        <v>0</v>
      </c>
      <c r="BC58" s="90">
        <f>ROUND(BB58*IFERROR(VLOOKUP($AK58,'3121% SY'!$A$2:$M$324,13,FALSE),0),3)</f>
        <v>0</v>
      </c>
    </row>
    <row r="59" spans="1:55" x14ac:dyDescent="0.25">
      <c r="A59" s="88" t="s">
        <v>80</v>
      </c>
      <c r="B59" s="90"/>
      <c r="C59" s="90"/>
      <c r="D59" s="90">
        <v>0.63900000000000001</v>
      </c>
      <c r="E59" s="90"/>
      <c r="F59" s="90">
        <v>0.79</v>
      </c>
      <c r="G59" s="90"/>
      <c r="H59" s="90"/>
      <c r="I59" s="90"/>
      <c r="J59" s="90"/>
      <c r="K59" s="90"/>
      <c r="L59" s="90"/>
      <c r="M59" s="90"/>
      <c r="N59" s="90"/>
      <c r="P59" s="90">
        <f t="shared" si="3"/>
        <v>0.79</v>
      </c>
      <c r="Q59" s="90">
        <f>SUM($B59:E59)</f>
        <v>0.63900000000000001</v>
      </c>
      <c r="R59" s="89"/>
      <c r="AH59" s="90">
        <f t="shared" si="4"/>
        <v>0</v>
      </c>
      <c r="AI59" s="90">
        <f t="shared" si="5"/>
        <v>0</v>
      </c>
      <c r="AJ59" s="89"/>
      <c r="AK59" s="88" t="s">
        <v>109</v>
      </c>
      <c r="AL59" s="90"/>
      <c r="AM59" s="90"/>
      <c r="AN59" s="90"/>
      <c r="AO59" s="90"/>
      <c r="AP59" s="90"/>
      <c r="AQ59" s="90"/>
      <c r="AR59" s="90">
        <v>0.59899999999999998</v>
      </c>
      <c r="AS59" s="90"/>
      <c r="AT59" s="90"/>
      <c r="AU59" s="90">
        <v>1.7010000000000001</v>
      </c>
      <c r="AV59" s="90"/>
      <c r="AW59" s="90">
        <v>0.16</v>
      </c>
      <c r="AX59" s="90"/>
      <c r="AY59" s="90"/>
      <c r="AZ59" s="90">
        <f t="shared" si="6"/>
        <v>2.46</v>
      </c>
      <c r="BA59" s="90">
        <f>ROUND(AZ59*IFERROR(VLOOKUP($AK59,'3121% SY'!$A$2:$M$324,13,FALSE),0),3)</f>
        <v>0.56999999999999995</v>
      </c>
      <c r="BB59" s="90">
        <f t="shared" si="7"/>
        <v>0</v>
      </c>
      <c r="BC59" s="90">
        <f>ROUND(BB59*IFERROR(VLOOKUP($AK59,'3121% SY'!$A$2:$M$324,13,FALSE),0),3)</f>
        <v>0</v>
      </c>
    </row>
    <row r="60" spans="1:55" x14ac:dyDescent="0.25">
      <c r="A60" s="88" t="s">
        <v>86</v>
      </c>
      <c r="B60" s="90"/>
      <c r="C60" s="90"/>
      <c r="D60" s="90"/>
      <c r="E60" s="90"/>
      <c r="F60" s="90">
        <v>0.5</v>
      </c>
      <c r="G60" s="90"/>
      <c r="H60" s="90"/>
      <c r="I60" s="90"/>
      <c r="J60" s="90"/>
      <c r="K60" s="90"/>
      <c r="L60" s="90"/>
      <c r="M60" s="90"/>
      <c r="N60" s="90"/>
      <c r="P60" s="90">
        <f t="shared" si="3"/>
        <v>0.5</v>
      </c>
      <c r="Q60" s="90">
        <f>SUM($B60:E60)</f>
        <v>0</v>
      </c>
      <c r="R60" s="89"/>
      <c r="AH60" s="90">
        <f t="shared" si="4"/>
        <v>0</v>
      </c>
      <c r="AI60" s="90">
        <f t="shared" si="5"/>
        <v>0</v>
      </c>
      <c r="AJ60" s="89"/>
      <c r="AK60" s="88" t="s">
        <v>110</v>
      </c>
      <c r="AL60" s="90"/>
      <c r="AM60" s="90"/>
      <c r="AN60" s="90"/>
      <c r="AO60" s="90"/>
      <c r="AP60" s="90"/>
      <c r="AQ60" s="90"/>
      <c r="AR60" s="90">
        <v>2.8</v>
      </c>
      <c r="AS60" s="90"/>
      <c r="AT60" s="90">
        <v>3.7</v>
      </c>
      <c r="AU60" s="90"/>
      <c r="AV60" s="90"/>
      <c r="AW60" s="90">
        <v>2.4</v>
      </c>
      <c r="AX60" s="90"/>
      <c r="AY60" s="90"/>
      <c r="AZ60" s="90">
        <f t="shared" si="6"/>
        <v>8.9</v>
      </c>
      <c r="BA60" s="90">
        <f>ROUND(AZ60*IFERROR(VLOOKUP($AK60,'3121% SY'!$A$2:$M$324,13,FALSE),0),3)</f>
        <v>2.0739999999999998</v>
      </c>
      <c r="BB60" s="90">
        <f t="shared" si="7"/>
        <v>0</v>
      </c>
      <c r="BC60" s="90">
        <f>ROUND(BB60*IFERROR(VLOOKUP($AK60,'3121% SY'!$A$2:$M$324,13,FALSE),0),3)</f>
        <v>0</v>
      </c>
    </row>
    <row r="61" spans="1:55" x14ac:dyDescent="0.25">
      <c r="A61" s="88" t="s">
        <v>87</v>
      </c>
      <c r="B61" s="90"/>
      <c r="C61" s="90"/>
      <c r="D61" s="90"/>
      <c r="E61" s="90"/>
      <c r="F61" s="90">
        <v>0.16700000000000001</v>
      </c>
      <c r="G61" s="90"/>
      <c r="H61" s="90"/>
      <c r="I61" s="90"/>
      <c r="J61" s="90"/>
      <c r="K61" s="90"/>
      <c r="L61" s="90"/>
      <c r="M61" s="90"/>
      <c r="N61" s="90"/>
      <c r="P61" s="90">
        <f t="shared" si="3"/>
        <v>0.16700000000000001</v>
      </c>
      <c r="Q61" s="90">
        <f>SUM($B61:E61)</f>
        <v>0</v>
      </c>
      <c r="R61" s="89"/>
      <c r="AH61" s="90">
        <f t="shared" si="4"/>
        <v>0</v>
      </c>
      <c r="AI61" s="90">
        <f t="shared" si="5"/>
        <v>0</v>
      </c>
      <c r="AJ61" s="89"/>
      <c r="AK61" s="88" t="s">
        <v>111</v>
      </c>
      <c r="AL61" s="90"/>
      <c r="AM61" s="90"/>
      <c r="AN61" s="90"/>
      <c r="AO61" s="90"/>
      <c r="AP61" s="90"/>
      <c r="AQ61" s="90"/>
      <c r="AR61" s="90">
        <v>0.92</v>
      </c>
      <c r="AS61" s="90"/>
      <c r="AT61" s="90">
        <v>1.5</v>
      </c>
      <c r="AU61" s="90"/>
      <c r="AV61" s="90"/>
      <c r="AW61" s="90"/>
      <c r="AX61" s="90"/>
      <c r="AY61" s="90"/>
      <c r="AZ61" s="90">
        <f t="shared" si="6"/>
        <v>2.42</v>
      </c>
      <c r="BA61" s="90">
        <f>ROUND(AZ61*IFERROR(VLOOKUP($AK61,'3121% SY'!$A$2:$M$324,13,FALSE),0),3)</f>
        <v>0.56799999999999995</v>
      </c>
      <c r="BB61" s="90">
        <f t="shared" si="7"/>
        <v>0</v>
      </c>
      <c r="BC61" s="90">
        <f>ROUND(BB61*IFERROR(VLOOKUP($AK61,'3121% SY'!$A$2:$M$324,13,FALSE),0),3)</f>
        <v>0</v>
      </c>
    </row>
    <row r="62" spans="1:55" x14ac:dyDescent="0.25">
      <c r="A62" s="88" t="s">
        <v>88</v>
      </c>
      <c r="B62" s="90"/>
      <c r="C62" s="90"/>
      <c r="D62" s="90">
        <v>0.437</v>
      </c>
      <c r="E62" s="90"/>
      <c r="F62" s="90">
        <v>2</v>
      </c>
      <c r="G62" s="90"/>
      <c r="H62" s="90">
        <v>0.98</v>
      </c>
      <c r="I62" s="90"/>
      <c r="J62" s="90"/>
      <c r="K62" s="90">
        <v>0.4</v>
      </c>
      <c r="L62" s="90"/>
      <c r="M62" s="90"/>
      <c r="N62" s="90"/>
      <c r="P62" s="90">
        <f t="shared" si="3"/>
        <v>3.38</v>
      </c>
      <c r="Q62" s="90">
        <f>SUM($B62:E62)</f>
        <v>0.437</v>
      </c>
      <c r="R62" s="89"/>
      <c r="AH62" s="90">
        <f t="shared" si="4"/>
        <v>0</v>
      </c>
      <c r="AI62" s="90">
        <f t="shared" si="5"/>
        <v>0</v>
      </c>
      <c r="AJ62" s="89"/>
      <c r="AK62" s="88" t="s">
        <v>112</v>
      </c>
      <c r="AL62" s="90"/>
      <c r="AM62" s="90"/>
      <c r="AN62" s="90"/>
      <c r="AO62" s="90"/>
      <c r="AP62" s="90"/>
      <c r="AQ62" s="90"/>
      <c r="AR62" s="90">
        <v>3.57</v>
      </c>
      <c r="AS62" s="90"/>
      <c r="AT62" s="90">
        <v>6.2</v>
      </c>
      <c r="AU62" s="90"/>
      <c r="AV62" s="90"/>
      <c r="AW62" s="90">
        <v>0.9</v>
      </c>
      <c r="AX62" s="90"/>
      <c r="AY62" s="90"/>
      <c r="AZ62" s="90">
        <f t="shared" si="6"/>
        <v>10.67</v>
      </c>
      <c r="BA62" s="90">
        <f>ROUND(AZ62*IFERROR(VLOOKUP($AK62,'3121% SY'!$A$2:$M$324,13,FALSE),0),3)</f>
        <v>2.411</v>
      </c>
      <c r="BB62" s="90">
        <f t="shared" si="7"/>
        <v>0</v>
      </c>
      <c r="BC62" s="90">
        <f>ROUND(BB62*IFERROR(VLOOKUP($AK62,'3121% SY'!$A$2:$M$324,13,FALSE),0),3)</f>
        <v>0</v>
      </c>
    </row>
    <row r="63" spans="1:55" x14ac:dyDescent="0.25">
      <c r="A63" s="88" t="s">
        <v>89</v>
      </c>
      <c r="B63" s="90"/>
      <c r="C63" s="90">
        <v>0.13600000000000001</v>
      </c>
      <c r="D63" s="90"/>
      <c r="E63" s="90"/>
      <c r="F63" s="90">
        <v>1</v>
      </c>
      <c r="G63" s="90"/>
      <c r="H63" s="90"/>
      <c r="I63" s="90"/>
      <c r="J63" s="90">
        <v>0.3</v>
      </c>
      <c r="K63" s="90"/>
      <c r="L63" s="90"/>
      <c r="M63" s="90"/>
      <c r="N63" s="90"/>
      <c r="P63" s="90">
        <f t="shared" si="3"/>
        <v>1.3</v>
      </c>
      <c r="Q63" s="90">
        <f>SUM($B63:E63)</f>
        <v>0.13600000000000001</v>
      </c>
      <c r="R63" s="89"/>
      <c r="AH63" s="90">
        <f t="shared" si="4"/>
        <v>0</v>
      </c>
      <c r="AI63" s="90">
        <f t="shared" si="5"/>
        <v>0</v>
      </c>
      <c r="AJ63" s="89"/>
      <c r="AK63" s="88" t="s">
        <v>113</v>
      </c>
      <c r="AL63" s="90"/>
      <c r="AM63" s="90"/>
      <c r="AN63" s="90"/>
      <c r="AO63" s="90"/>
      <c r="AP63" s="90"/>
      <c r="AQ63" s="90"/>
      <c r="AR63" s="90"/>
      <c r="AS63" s="90"/>
      <c r="AT63" s="90">
        <v>1.165</v>
      </c>
      <c r="AU63" s="90"/>
      <c r="AV63" s="90"/>
      <c r="AW63" s="90"/>
      <c r="AX63" s="90"/>
      <c r="AY63" s="90"/>
      <c r="AZ63" s="90">
        <f t="shared" si="6"/>
        <v>1.165</v>
      </c>
      <c r="BA63" s="90">
        <f>ROUND(AZ63*IFERROR(VLOOKUP($AK63,'3121% SY'!$A$2:$M$324,13,FALSE),0),3)</f>
        <v>0.35899999999999999</v>
      </c>
      <c r="BB63" s="90">
        <f t="shared" si="7"/>
        <v>0</v>
      </c>
      <c r="BC63" s="90">
        <f>ROUND(BB63*IFERROR(VLOOKUP($AK63,'3121% SY'!$A$2:$M$324,13,FALSE),0),3)</f>
        <v>0</v>
      </c>
    </row>
    <row r="64" spans="1:55" x14ac:dyDescent="0.25">
      <c r="A64" s="88" t="s">
        <v>90</v>
      </c>
      <c r="B64" s="90"/>
      <c r="C64" s="90"/>
      <c r="D64" s="90"/>
      <c r="E64" s="90"/>
      <c r="F64" s="90">
        <v>1</v>
      </c>
      <c r="G64" s="90"/>
      <c r="H64" s="90"/>
      <c r="I64" s="90"/>
      <c r="J64" s="90"/>
      <c r="K64" s="90">
        <v>0.3</v>
      </c>
      <c r="L64" s="90"/>
      <c r="M64" s="90"/>
      <c r="N64" s="90"/>
      <c r="P64" s="90">
        <f t="shared" si="3"/>
        <v>1.3</v>
      </c>
      <c r="Q64" s="90">
        <f>SUM($B64:E64)</f>
        <v>0</v>
      </c>
      <c r="R64" s="89"/>
      <c r="AH64" s="90">
        <f t="shared" si="4"/>
        <v>0</v>
      </c>
      <c r="AI64" s="90">
        <f t="shared" si="5"/>
        <v>0</v>
      </c>
      <c r="AJ64" s="89"/>
      <c r="AK64" s="88" t="s">
        <v>114</v>
      </c>
      <c r="AL64" s="90"/>
      <c r="AM64" s="90"/>
      <c r="AN64" s="90">
        <v>0.128</v>
      </c>
      <c r="AO64" s="90"/>
      <c r="AP64" s="90"/>
      <c r="AQ64" s="90"/>
      <c r="AR64" s="90">
        <v>1.3160000000000001</v>
      </c>
      <c r="AS64" s="90"/>
      <c r="AT64" s="90">
        <v>3.2210000000000001</v>
      </c>
      <c r="AU64" s="90">
        <v>2.4980000000000002</v>
      </c>
      <c r="AV64" s="90"/>
      <c r="AW64" s="90">
        <v>0.92900000000000005</v>
      </c>
      <c r="AX64" s="90"/>
      <c r="AY64" s="90"/>
      <c r="AZ64" s="90">
        <f t="shared" si="6"/>
        <v>7.9640000000000004</v>
      </c>
      <c r="BA64" s="90">
        <f>ROUND(AZ64*IFERROR(VLOOKUP($AK64,'3121% SY'!$A$2:$M$324,13,FALSE),0),3)</f>
        <v>1.659</v>
      </c>
      <c r="BB64" s="90">
        <f t="shared" si="7"/>
        <v>0.128</v>
      </c>
      <c r="BC64" s="90">
        <f>ROUND(BB64*IFERROR(VLOOKUP($AK64,'3121% SY'!$A$2:$M$324,13,FALSE),0),3)</f>
        <v>2.7E-2</v>
      </c>
    </row>
    <row r="65" spans="1:55" x14ac:dyDescent="0.25">
      <c r="A65" s="88" t="s">
        <v>93</v>
      </c>
      <c r="B65" s="90"/>
      <c r="C65" s="90"/>
      <c r="D65" s="90"/>
      <c r="E65" s="90"/>
      <c r="F65" s="90">
        <v>0.151</v>
      </c>
      <c r="G65" s="90"/>
      <c r="H65" s="90"/>
      <c r="I65" s="90"/>
      <c r="J65" s="90"/>
      <c r="K65" s="90"/>
      <c r="L65" s="90"/>
      <c r="M65" s="90"/>
      <c r="N65" s="90"/>
      <c r="P65" s="90">
        <f t="shared" si="3"/>
        <v>0.151</v>
      </c>
      <c r="Q65" s="90">
        <f>SUM($B65:E65)</f>
        <v>0</v>
      </c>
      <c r="R65" s="89"/>
      <c r="AH65" s="90">
        <f t="shared" si="4"/>
        <v>0</v>
      </c>
      <c r="AI65" s="90">
        <f t="shared" si="5"/>
        <v>0</v>
      </c>
      <c r="AJ65" s="89"/>
      <c r="AK65" s="88" t="s">
        <v>116</v>
      </c>
      <c r="AL65" s="90"/>
      <c r="AM65" s="90"/>
      <c r="AN65" s="90">
        <v>0.13400000000000001</v>
      </c>
      <c r="AO65" s="90"/>
      <c r="AP65" s="90"/>
      <c r="AQ65" s="90"/>
      <c r="AR65" s="90">
        <v>0.2</v>
      </c>
      <c r="AS65" s="90"/>
      <c r="AT65" s="90">
        <v>0.86599999999999999</v>
      </c>
      <c r="AU65" s="90">
        <v>1</v>
      </c>
      <c r="AV65" s="90"/>
      <c r="AW65" s="90">
        <v>0.1</v>
      </c>
      <c r="AX65" s="90"/>
      <c r="AY65" s="90"/>
      <c r="AZ65" s="90">
        <f t="shared" si="6"/>
        <v>2.1659999999999999</v>
      </c>
      <c r="BA65" s="90">
        <f>ROUND(AZ65*IFERROR(VLOOKUP($AK65,'3121% SY'!$A$2:$M$324,13,FALSE),0),3)</f>
        <v>0.58699999999999997</v>
      </c>
      <c r="BB65" s="90">
        <f t="shared" si="7"/>
        <v>0.13400000000000001</v>
      </c>
      <c r="BC65" s="90">
        <f>ROUND(BB65*IFERROR(VLOOKUP($AK65,'3121% SY'!$A$2:$M$324,13,FALSE),0),3)</f>
        <v>3.5999999999999997E-2</v>
      </c>
    </row>
    <row r="66" spans="1:55" x14ac:dyDescent="0.25">
      <c r="A66" s="88" t="s">
        <v>95</v>
      </c>
      <c r="B66" s="90"/>
      <c r="C66" s="90"/>
      <c r="D66" s="90"/>
      <c r="E66" s="90"/>
      <c r="F66" s="90">
        <v>0.75</v>
      </c>
      <c r="G66" s="90"/>
      <c r="H66" s="90"/>
      <c r="I66" s="90"/>
      <c r="J66" s="90"/>
      <c r="K66" s="90"/>
      <c r="L66" s="90"/>
      <c r="M66" s="90"/>
      <c r="N66" s="90"/>
      <c r="P66" s="90">
        <f t="shared" si="3"/>
        <v>0.75</v>
      </c>
      <c r="Q66" s="90">
        <f>SUM($B66:E66)</f>
        <v>0</v>
      </c>
      <c r="R66" s="89"/>
      <c r="AH66" s="90">
        <f t="shared" si="4"/>
        <v>0</v>
      </c>
      <c r="AI66" s="90">
        <f t="shared" si="5"/>
        <v>0</v>
      </c>
      <c r="AJ66" s="89"/>
      <c r="AK66" s="88" t="s">
        <v>117</v>
      </c>
      <c r="AL66" s="90"/>
      <c r="AM66" s="90"/>
      <c r="AN66" s="90"/>
      <c r="AO66" s="90"/>
      <c r="AP66" s="90"/>
      <c r="AQ66" s="90"/>
      <c r="AR66" s="90"/>
      <c r="AS66" s="90"/>
      <c r="AT66" s="90">
        <v>0.32900000000000001</v>
      </c>
      <c r="AU66" s="90">
        <v>0.45500000000000002</v>
      </c>
      <c r="AV66" s="90"/>
      <c r="AW66" s="90"/>
      <c r="AX66" s="90"/>
      <c r="AY66" s="90"/>
      <c r="AZ66" s="90">
        <f t="shared" si="6"/>
        <v>0.78400000000000003</v>
      </c>
      <c r="BA66" s="90">
        <f>ROUND(AZ66*IFERROR(VLOOKUP($AK66,'3121% SY'!$A$2:$M$324,13,FALSE),0),3)</f>
        <v>0.16</v>
      </c>
      <c r="BB66" s="90">
        <f t="shared" si="7"/>
        <v>0</v>
      </c>
      <c r="BC66" s="90">
        <f>ROUND(BB66*IFERROR(VLOOKUP($AK66,'3121% SY'!$A$2:$M$324,13,FALSE),0),3)</f>
        <v>0</v>
      </c>
    </row>
    <row r="67" spans="1:55" x14ac:dyDescent="0.25">
      <c r="A67" s="88" t="s">
        <v>96</v>
      </c>
      <c r="B67" s="90">
        <v>0.14000000000000001</v>
      </c>
      <c r="C67" s="90">
        <v>0.11</v>
      </c>
      <c r="D67" s="90"/>
      <c r="E67" s="90"/>
      <c r="F67" s="90">
        <v>19.341000000000001</v>
      </c>
      <c r="G67" s="90">
        <v>0.28000000000000003</v>
      </c>
      <c r="H67" s="90">
        <v>6.1230000000000002</v>
      </c>
      <c r="I67" s="90">
        <v>0.14000000000000001</v>
      </c>
      <c r="J67" s="90">
        <v>0.14000000000000001</v>
      </c>
      <c r="K67" s="90">
        <v>7.4740000000000002</v>
      </c>
      <c r="L67" s="90"/>
      <c r="M67" s="90"/>
      <c r="N67" s="90"/>
      <c r="P67" s="90">
        <f t="shared" si="3"/>
        <v>33.498000000000005</v>
      </c>
      <c r="Q67" s="90">
        <f>SUM($B67:E67)</f>
        <v>0.25</v>
      </c>
      <c r="R67" s="89"/>
      <c r="AH67" s="90">
        <f t="shared" si="4"/>
        <v>0</v>
      </c>
      <c r="AI67" s="90">
        <f t="shared" si="5"/>
        <v>0</v>
      </c>
      <c r="AJ67" s="89"/>
      <c r="AK67" s="88" t="s">
        <v>118</v>
      </c>
      <c r="AL67" s="90"/>
      <c r="AM67" s="90"/>
      <c r="AN67" s="90"/>
      <c r="AO67" s="90"/>
      <c r="AP67" s="90"/>
      <c r="AQ67" s="90"/>
      <c r="AR67" s="90">
        <v>0.435</v>
      </c>
      <c r="AS67" s="90"/>
      <c r="AT67" s="90">
        <v>1.224</v>
      </c>
      <c r="AU67" s="90">
        <v>1.1060000000000001</v>
      </c>
      <c r="AV67" s="90"/>
      <c r="AW67" s="90">
        <v>0.17199999999999999</v>
      </c>
      <c r="AX67" s="90"/>
      <c r="AY67" s="90"/>
      <c r="AZ67" s="90">
        <f t="shared" si="6"/>
        <v>2.9370000000000003</v>
      </c>
      <c r="BA67" s="90">
        <f>ROUND(AZ67*IFERROR(VLOOKUP($AK67,'3121% SY'!$A$2:$M$324,13,FALSE),0),3)</f>
        <v>0.58799999999999997</v>
      </c>
      <c r="BB67" s="90">
        <f t="shared" si="7"/>
        <v>0</v>
      </c>
      <c r="BC67" s="90">
        <f>ROUND(BB67*IFERROR(VLOOKUP($AK67,'3121% SY'!$A$2:$M$324,13,FALSE),0),3)</f>
        <v>0</v>
      </c>
    </row>
    <row r="68" spans="1:55" x14ac:dyDescent="0.25">
      <c r="A68" s="88" t="s">
        <v>97</v>
      </c>
      <c r="B68" s="90"/>
      <c r="C68" s="90"/>
      <c r="D68" s="90"/>
      <c r="E68" s="90"/>
      <c r="F68" s="90">
        <v>4.9960000000000004</v>
      </c>
      <c r="G68" s="90"/>
      <c r="H68" s="90">
        <v>0.67</v>
      </c>
      <c r="I68" s="90"/>
      <c r="J68" s="90"/>
      <c r="K68" s="90">
        <v>2.6949999999999998</v>
      </c>
      <c r="L68" s="90"/>
      <c r="M68" s="90"/>
      <c r="N68" s="90"/>
      <c r="P68" s="90">
        <f t="shared" si="3"/>
        <v>8.3610000000000007</v>
      </c>
      <c r="Q68" s="90">
        <f>SUM($B68:E68)</f>
        <v>0</v>
      </c>
      <c r="R68" s="89"/>
      <c r="AH68" s="90">
        <f t="shared" si="4"/>
        <v>0</v>
      </c>
      <c r="AI68" s="90">
        <f t="shared" si="5"/>
        <v>0</v>
      </c>
      <c r="AJ68" s="89"/>
      <c r="AK68" s="88" t="s">
        <v>119</v>
      </c>
      <c r="AL68" s="90"/>
      <c r="AM68" s="90"/>
      <c r="AN68" s="90"/>
      <c r="AO68" s="90"/>
      <c r="AP68" s="90"/>
      <c r="AQ68" s="90"/>
      <c r="AR68" s="90">
        <v>0.91500000000000004</v>
      </c>
      <c r="AS68" s="90"/>
      <c r="AT68" s="90">
        <v>1.859</v>
      </c>
      <c r="AU68" s="90">
        <v>1.43</v>
      </c>
      <c r="AV68" s="90"/>
      <c r="AW68" s="90">
        <v>0.17199999999999999</v>
      </c>
      <c r="AX68" s="90"/>
      <c r="AY68" s="90">
        <v>3.5390000000000001</v>
      </c>
      <c r="AZ68" s="90">
        <f t="shared" si="6"/>
        <v>7.9149999999999991</v>
      </c>
      <c r="BA68" s="90">
        <f>ROUND(AZ68*IFERROR(VLOOKUP($AK68,'3121% SY'!$A$2:$M$324,13,FALSE),0),3)</f>
        <v>2.0870000000000002</v>
      </c>
      <c r="BB68" s="90">
        <f t="shared" si="7"/>
        <v>0</v>
      </c>
      <c r="BC68" s="90">
        <f>ROUND(BB68*IFERROR(VLOOKUP($AK68,'3121% SY'!$A$2:$M$324,13,FALSE),0),3)</f>
        <v>0</v>
      </c>
    </row>
    <row r="69" spans="1:55" x14ac:dyDescent="0.25">
      <c r="A69" s="88" t="s">
        <v>98</v>
      </c>
      <c r="B69" s="90"/>
      <c r="C69" s="90"/>
      <c r="D69" s="90"/>
      <c r="E69" s="90"/>
      <c r="F69" s="90">
        <v>1.3180000000000001</v>
      </c>
      <c r="G69" s="90"/>
      <c r="H69" s="90"/>
      <c r="I69" s="90"/>
      <c r="J69" s="90"/>
      <c r="K69" s="90">
        <v>0.20399999999999999</v>
      </c>
      <c r="L69" s="90"/>
      <c r="M69" s="90"/>
      <c r="N69" s="90"/>
      <c r="P69" s="90">
        <f t="shared" si="3"/>
        <v>1.522</v>
      </c>
      <c r="Q69" s="90">
        <f>SUM($B69:E69)</f>
        <v>0</v>
      </c>
      <c r="R69" s="89"/>
      <c r="AH69" s="90">
        <f t="shared" si="4"/>
        <v>0</v>
      </c>
      <c r="AI69" s="90">
        <f t="shared" si="5"/>
        <v>0</v>
      </c>
      <c r="AJ69" s="89"/>
      <c r="AK69" s="88" t="s">
        <v>652</v>
      </c>
      <c r="AL69" s="90"/>
      <c r="AM69" s="90"/>
      <c r="AN69" s="90"/>
      <c r="AO69" s="90"/>
      <c r="AP69" s="90"/>
      <c r="AQ69" s="90"/>
      <c r="AR69" s="90"/>
      <c r="AS69" s="90"/>
      <c r="AT69" s="90"/>
      <c r="AU69" s="90">
        <v>0.153</v>
      </c>
      <c r="AV69" s="90"/>
      <c r="AW69" s="90"/>
      <c r="AX69" s="90"/>
      <c r="AY69" s="90"/>
      <c r="AZ69" s="90">
        <f t="shared" si="6"/>
        <v>0.153</v>
      </c>
      <c r="BA69" s="90">
        <f>ROUND(AZ69*IFERROR(VLOOKUP($AK69,'3121% SY'!$A$2:$M$324,13,FALSE),0),3)</f>
        <v>1.4999999999999999E-2</v>
      </c>
      <c r="BB69" s="90">
        <f t="shared" si="7"/>
        <v>0</v>
      </c>
      <c r="BC69" s="90">
        <f>ROUND(BB69*IFERROR(VLOOKUP($AK69,'3121% SY'!$A$2:$M$324,13,FALSE),0),3)</f>
        <v>0</v>
      </c>
    </row>
    <row r="70" spans="1:55" x14ac:dyDescent="0.25">
      <c r="A70" s="88" t="s">
        <v>99</v>
      </c>
      <c r="B70" s="90"/>
      <c r="C70" s="90"/>
      <c r="D70" s="90"/>
      <c r="E70" s="90"/>
      <c r="F70" s="90">
        <v>3</v>
      </c>
      <c r="G70" s="90"/>
      <c r="H70" s="90"/>
      <c r="I70" s="90"/>
      <c r="J70" s="90"/>
      <c r="K70" s="90">
        <v>0.5</v>
      </c>
      <c r="L70" s="90"/>
      <c r="M70" s="90"/>
      <c r="N70" s="90"/>
      <c r="P70" s="90">
        <f t="shared" si="3"/>
        <v>3.5</v>
      </c>
      <c r="Q70" s="90">
        <f>SUM($B70:E70)</f>
        <v>0</v>
      </c>
      <c r="R70" s="89"/>
      <c r="AH70" s="90">
        <f t="shared" si="4"/>
        <v>0</v>
      </c>
      <c r="AI70" s="90">
        <f t="shared" si="5"/>
        <v>0</v>
      </c>
      <c r="AJ70" s="89"/>
      <c r="AK70" s="88" t="s">
        <v>125</v>
      </c>
      <c r="AL70" s="90"/>
      <c r="AM70" s="90"/>
      <c r="AN70" s="90"/>
      <c r="AO70" s="90"/>
      <c r="AP70" s="90"/>
      <c r="AQ70" s="90"/>
      <c r="AR70" s="90"/>
      <c r="AS70" s="90"/>
      <c r="AT70" s="90">
        <v>0.5</v>
      </c>
      <c r="AU70" s="90">
        <v>1.151</v>
      </c>
      <c r="AV70" s="90"/>
      <c r="AW70" s="90"/>
      <c r="AX70" s="90"/>
      <c r="AY70" s="90"/>
      <c r="AZ70" s="90">
        <f t="shared" si="6"/>
        <v>1.651</v>
      </c>
      <c r="BA70" s="90">
        <f>ROUND(AZ70*IFERROR(VLOOKUP($AK70,'3121% SY'!$A$2:$M$324,13,FALSE),0),3)</f>
        <v>0.376</v>
      </c>
      <c r="BB70" s="90">
        <f t="shared" si="7"/>
        <v>0</v>
      </c>
      <c r="BC70" s="90">
        <f>ROUND(BB70*IFERROR(VLOOKUP($AK70,'3121% SY'!$A$2:$M$324,13,FALSE),0),3)</f>
        <v>0</v>
      </c>
    </row>
    <row r="71" spans="1:55" x14ac:dyDescent="0.25">
      <c r="A71" s="88" t="s">
        <v>100</v>
      </c>
      <c r="B71" s="90"/>
      <c r="C71" s="90"/>
      <c r="D71" s="90"/>
      <c r="E71" s="90"/>
      <c r="F71" s="90">
        <v>12.813000000000001</v>
      </c>
      <c r="G71" s="90"/>
      <c r="H71" s="90">
        <v>1</v>
      </c>
      <c r="I71" s="90"/>
      <c r="J71" s="90">
        <v>0.16300000000000001</v>
      </c>
      <c r="K71" s="90">
        <v>0.90600000000000003</v>
      </c>
      <c r="L71" s="90"/>
      <c r="M71" s="90"/>
      <c r="N71" s="90"/>
      <c r="P71" s="90">
        <f t="shared" ref="P71:P134" si="8">SUM(F71:O71)</f>
        <v>14.882000000000001</v>
      </c>
      <c r="Q71" s="90">
        <f>SUM($B71:E71)</f>
        <v>0</v>
      </c>
      <c r="R71" s="89"/>
      <c r="AH71" s="90">
        <f t="shared" ref="AH71:AH134" si="9">SUM(X71:AG71)</f>
        <v>0</v>
      </c>
      <c r="AI71" s="90">
        <f t="shared" ref="AI71:AI134" si="10">SUM(T71:W71)</f>
        <v>0</v>
      </c>
      <c r="AJ71" s="89"/>
      <c r="AK71" s="88" t="s">
        <v>138</v>
      </c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>
        <v>1.0920000000000001</v>
      </c>
      <c r="AZ71" s="90">
        <f t="shared" ref="AZ71:AZ134" si="11">SUM(AP71:AY71)</f>
        <v>1.0920000000000001</v>
      </c>
      <c r="BA71" s="90">
        <f>ROUND(AZ71*IFERROR(VLOOKUP($AK71,'3121% SY'!$A$2:$M$324,13,FALSE),0),3)</f>
        <v>0.19900000000000001</v>
      </c>
      <c r="BB71" s="90">
        <f t="shared" ref="BB71:BB134" si="12">SUM(AL71:AO71)</f>
        <v>0</v>
      </c>
      <c r="BC71" s="90">
        <f>ROUND(BB71*IFERROR(VLOOKUP($AK71,'3121% SY'!$A$2:$M$324,13,FALSE),0),3)</f>
        <v>0</v>
      </c>
    </row>
    <row r="72" spans="1:55" x14ac:dyDescent="0.25">
      <c r="A72" s="88" t="s">
        <v>101</v>
      </c>
      <c r="B72" s="90"/>
      <c r="C72" s="90"/>
      <c r="D72" s="90"/>
      <c r="E72" s="90"/>
      <c r="F72" s="90">
        <v>1.08</v>
      </c>
      <c r="G72" s="90"/>
      <c r="H72" s="90"/>
      <c r="I72" s="90"/>
      <c r="J72" s="90"/>
      <c r="K72" s="90"/>
      <c r="L72" s="90"/>
      <c r="M72" s="90"/>
      <c r="N72" s="90"/>
      <c r="P72" s="90">
        <f t="shared" si="8"/>
        <v>1.08</v>
      </c>
      <c r="Q72" s="90">
        <f>SUM($B72:E72)</f>
        <v>0</v>
      </c>
      <c r="R72" s="89"/>
      <c r="AH72" s="90">
        <f t="shared" si="9"/>
        <v>0</v>
      </c>
      <c r="AI72" s="90">
        <f t="shared" si="10"/>
        <v>0</v>
      </c>
      <c r="AJ72" s="89"/>
      <c r="AK72" s="88" t="s">
        <v>143</v>
      </c>
      <c r="AL72" s="90"/>
      <c r="AM72" s="90"/>
      <c r="AN72" s="90"/>
      <c r="AO72" s="90"/>
      <c r="AP72" s="90"/>
      <c r="AQ72" s="90"/>
      <c r="AR72" s="90"/>
      <c r="AS72" s="90"/>
      <c r="AT72" s="90">
        <v>0.5</v>
      </c>
      <c r="AU72" s="90"/>
      <c r="AV72" s="90"/>
      <c r="AW72" s="90"/>
      <c r="AX72" s="90"/>
      <c r="AY72" s="90"/>
      <c r="AZ72" s="90">
        <f t="shared" si="11"/>
        <v>0.5</v>
      </c>
      <c r="BA72" s="90">
        <f>ROUND(AZ72*IFERROR(VLOOKUP($AK72,'3121% SY'!$A$2:$M$324,13,FALSE),0),3)</f>
        <v>9.6000000000000002E-2</v>
      </c>
      <c r="BB72" s="90">
        <f t="shared" si="12"/>
        <v>0</v>
      </c>
      <c r="BC72" s="90">
        <f>ROUND(BB72*IFERROR(VLOOKUP($AK72,'3121% SY'!$A$2:$M$324,13,FALSE),0),3)</f>
        <v>0</v>
      </c>
    </row>
    <row r="73" spans="1:55" x14ac:dyDescent="0.25">
      <c r="A73" s="88" t="s">
        <v>102</v>
      </c>
      <c r="B73" s="90"/>
      <c r="C73" s="90"/>
      <c r="D73" s="90"/>
      <c r="E73" s="90"/>
      <c r="F73" s="90">
        <v>5.35</v>
      </c>
      <c r="G73" s="90"/>
      <c r="H73" s="90"/>
      <c r="I73" s="90"/>
      <c r="J73" s="90"/>
      <c r="K73" s="90">
        <v>3.2</v>
      </c>
      <c r="L73" s="90"/>
      <c r="M73" s="90"/>
      <c r="N73" s="90"/>
      <c r="P73" s="90">
        <f t="shared" si="8"/>
        <v>8.5500000000000007</v>
      </c>
      <c r="Q73" s="90">
        <f>SUM($B73:E73)</f>
        <v>0</v>
      </c>
      <c r="R73" s="89"/>
      <c r="AH73" s="90">
        <f t="shared" si="9"/>
        <v>0</v>
      </c>
      <c r="AI73" s="90">
        <f t="shared" si="10"/>
        <v>0</v>
      </c>
      <c r="AJ73" s="89"/>
      <c r="AK73" s="88" t="s">
        <v>145</v>
      </c>
      <c r="AL73" s="90"/>
      <c r="AM73" s="90">
        <v>8.7999999999999995E-2</v>
      </c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>
        <f t="shared" si="11"/>
        <v>0</v>
      </c>
      <c r="BA73" s="90">
        <f>ROUND(AZ73*IFERROR(VLOOKUP($AK73,'3121% SY'!$A$2:$M$324,13,FALSE),0),3)</f>
        <v>0</v>
      </c>
      <c r="BB73" s="90">
        <f t="shared" si="12"/>
        <v>8.7999999999999995E-2</v>
      </c>
      <c r="BC73" s="90">
        <f>ROUND(BB73*IFERROR(VLOOKUP($AK73,'3121% SY'!$A$2:$M$324,13,FALSE),0),3)</f>
        <v>2.5000000000000001E-2</v>
      </c>
    </row>
    <row r="74" spans="1:55" x14ac:dyDescent="0.25">
      <c r="A74" s="88" t="s">
        <v>104</v>
      </c>
      <c r="B74" s="90"/>
      <c r="C74" s="90"/>
      <c r="D74" s="90"/>
      <c r="E74" s="90"/>
      <c r="F74" s="90">
        <v>12.071</v>
      </c>
      <c r="G74" s="90"/>
      <c r="H74" s="90">
        <v>0.16</v>
      </c>
      <c r="I74" s="90"/>
      <c r="J74" s="90"/>
      <c r="K74" s="90">
        <v>3.4780000000000002</v>
      </c>
      <c r="L74" s="90"/>
      <c r="M74" s="90"/>
      <c r="N74" s="90"/>
      <c r="P74" s="90">
        <f t="shared" si="8"/>
        <v>15.709</v>
      </c>
      <c r="Q74" s="90">
        <f>SUM($B74:E74)</f>
        <v>0</v>
      </c>
      <c r="R74" s="89"/>
      <c r="AH74" s="90">
        <f t="shared" si="9"/>
        <v>0</v>
      </c>
      <c r="AI74" s="90">
        <f t="shared" si="10"/>
        <v>0</v>
      </c>
      <c r="AJ74" s="89"/>
      <c r="AK74" s="88" t="s">
        <v>150</v>
      </c>
      <c r="AL74" s="90"/>
      <c r="AM74" s="90"/>
      <c r="AN74" s="90">
        <v>0.36899999999999999</v>
      </c>
      <c r="AO74" s="90"/>
      <c r="AP74" s="90"/>
      <c r="AQ74" s="90"/>
      <c r="AR74" s="90">
        <v>0.154</v>
      </c>
      <c r="AS74" s="90"/>
      <c r="AT74" s="90">
        <v>6.0999999999999999E-2</v>
      </c>
      <c r="AU74" s="90">
        <v>0.25</v>
      </c>
      <c r="AV74" s="90"/>
      <c r="AW74" s="90">
        <v>0.123</v>
      </c>
      <c r="AX74" s="90">
        <v>0.154</v>
      </c>
      <c r="AY74" s="90"/>
      <c r="AZ74" s="90">
        <f t="shared" si="11"/>
        <v>0.74199999999999999</v>
      </c>
      <c r="BA74" s="90">
        <f>ROUND(AZ74*IFERROR(VLOOKUP($AK74,'3121% SY'!$A$2:$M$324,13,FALSE),0),3)</f>
        <v>0.20100000000000001</v>
      </c>
      <c r="BB74" s="90">
        <f t="shared" si="12"/>
        <v>0.36899999999999999</v>
      </c>
      <c r="BC74" s="90">
        <f>ROUND(BB74*IFERROR(VLOOKUP($AK74,'3121% SY'!$A$2:$M$324,13,FALSE),0),3)</f>
        <v>0.1</v>
      </c>
    </row>
    <row r="75" spans="1:55" x14ac:dyDescent="0.25">
      <c r="A75" s="88" t="s">
        <v>105</v>
      </c>
      <c r="B75" s="90"/>
      <c r="C75" s="90"/>
      <c r="D75" s="90"/>
      <c r="E75" s="90"/>
      <c r="F75" s="90">
        <v>0.68200000000000005</v>
      </c>
      <c r="G75" s="90"/>
      <c r="H75" s="90"/>
      <c r="I75" s="90"/>
      <c r="J75" s="90"/>
      <c r="K75" s="90"/>
      <c r="L75" s="90"/>
      <c r="M75" s="90"/>
      <c r="N75" s="90"/>
      <c r="P75" s="90">
        <f t="shared" si="8"/>
        <v>0.68200000000000005</v>
      </c>
      <c r="Q75" s="90">
        <f>SUM($B75:E75)</f>
        <v>0</v>
      </c>
      <c r="R75" s="89"/>
      <c r="AH75" s="90">
        <f t="shared" si="9"/>
        <v>0</v>
      </c>
      <c r="AI75" s="90">
        <f t="shared" si="10"/>
        <v>0</v>
      </c>
      <c r="AJ75" s="89"/>
      <c r="AK75" s="88" t="s">
        <v>161</v>
      </c>
      <c r="AL75" s="90"/>
      <c r="AM75" s="90"/>
      <c r="AN75" s="90"/>
      <c r="AO75" s="90"/>
      <c r="AP75" s="90"/>
      <c r="AQ75" s="90"/>
      <c r="AR75" s="90"/>
      <c r="AS75" s="90"/>
      <c r="AT75" s="90">
        <v>0.02</v>
      </c>
      <c r="AU75" s="90">
        <v>3.5999999999999997E-2</v>
      </c>
      <c r="AV75" s="90"/>
      <c r="AW75" s="90">
        <v>0.22</v>
      </c>
      <c r="AX75" s="90"/>
      <c r="AY75" s="90"/>
      <c r="AZ75" s="90">
        <f t="shared" si="11"/>
        <v>0.27600000000000002</v>
      </c>
      <c r="BA75" s="90">
        <f>ROUND(AZ75*IFERROR(VLOOKUP($AK75,'3121% SY'!$A$2:$M$324,13,FALSE),0),3)</f>
        <v>5.1999999999999998E-2</v>
      </c>
      <c r="BB75" s="90">
        <f t="shared" si="12"/>
        <v>0</v>
      </c>
      <c r="BC75" s="90">
        <f>ROUND(BB75*IFERROR(VLOOKUP($AK75,'3121% SY'!$A$2:$M$324,13,FALSE),0),3)</f>
        <v>0</v>
      </c>
    </row>
    <row r="76" spans="1:55" x14ac:dyDescent="0.25">
      <c r="A76" s="88" t="s">
        <v>106</v>
      </c>
      <c r="B76" s="90"/>
      <c r="C76" s="90"/>
      <c r="D76" s="90"/>
      <c r="E76" s="90"/>
      <c r="F76" s="90">
        <v>1.49</v>
      </c>
      <c r="G76" s="90"/>
      <c r="H76" s="90"/>
      <c r="I76" s="90"/>
      <c r="J76" s="90"/>
      <c r="K76" s="90"/>
      <c r="L76" s="90"/>
      <c r="M76" s="90"/>
      <c r="N76" s="90"/>
      <c r="P76" s="90">
        <f t="shared" si="8"/>
        <v>1.49</v>
      </c>
      <c r="Q76" s="90">
        <f>SUM($B76:E76)</f>
        <v>0</v>
      </c>
      <c r="R76" s="89"/>
      <c r="AH76" s="90">
        <f t="shared" si="9"/>
        <v>0</v>
      </c>
      <c r="AI76" s="90">
        <f t="shared" si="10"/>
        <v>0</v>
      </c>
      <c r="AJ76" s="89"/>
      <c r="AK76" s="88" t="s">
        <v>164</v>
      </c>
      <c r="AL76" s="90"/>
      <c r="AM76" s="90"/>
      <c r="AN76" s="90"/>
      <c r="AO76" s="90"/>
      <c r="AP76" s="90"/>
      <c r="AQ76" s="90"/>
      <c r="AR76" s="90">
        <v>6.2E-2</v>
      </c>
      <c r="AS76" s="90"/>
      <c r="AT76" s="90"/>
      <c r="AU76" s="90"/>
      <c r="AV76" s="90"/>
      <c r="AW76" s="90"/>
      <c r="AX76" s="90"/>
      <c r="AY76" s="90"/>
      <c r="AZ76" s="90">
        <f t="shared" si="11"/>
        <v>6.2E-2</v>
      </c>
      <c r="BA76" s="90">
        <f>ROUND(AZ76*IFERROR(VLOOKUP($AK76,'3121% SY'!$A$2:$M$324,13,FALSE),0),3)</f>
        <v>1.0999999999999999E-2</v>
      </c>
      <c r="BB76" s="90">
        <f t="shared" si="12"/>
        <v>0</v>
      </c>
      <c r="BC76" s="90">
        <f>ROUND(BB76*IFERROR(VLOOKUP($AK76,'3121% SY'!$A$2:$M$324,13,FALSE),0),3)</f>
        <v>0</v>
      </c>
    </row>
    <row r="77" spans="1:55" x14ac:dyDescent="0.25">
      <c r="A77" s="88" t="s">
        <v>107</v>
      </c>
      <c r="B77" s="90"/>
      <c r="C77" s="90">
        <v>2.262</v>
      </c>
      <c r="D77" s="90">
        <v>1.8180000000000001</v>
      </c>
      <c r="E77" s="90"/>
      <c r="F77" s="90">
        <v>8.1039999999999992</v>
      </c>
      <c r="G77" s="90"/>
      <c r="H77" s="90"/>
      <c r="I77" s="90"/>
      <c r="J77" s="90"/>
      <c r="K77" s="90">
        <v>3.4169999999999998</v>
      </c>
      <c r="L77" s="90"/>
      <c r="M77" s="90"/>
      <c r="N77" s="90"/>
      <c r="P77" s="90">
        <f t="shared" si="8"/>
        <v>11.520999999999999</v>
      </c>
      <c r="Q77" s="90">
        <f>SUM($B77:E77)</f>
        <v>4.08</v>
      </c>
      <c r="R77" s="89"/>
      <c r="AH77" s="90">
        <f t="shared" si="9"/>
        <v>0</v>
      </c>
      <c r="AI77" s="90">
        <f t="shared" si="10"/>
        <v>0</v>
      </c>
      <c r="AJ77" s="89"/>
      <c r="AK77" s="88" t="s">
        <v>168</v>
      </c>
      <c r="AL77" s="90"/>
      <c r="AM77" s="90"/>
      <c r="AN77" s="90"/>
      <c r="AO77" s="90"/>
      <c r="AP77" s="90"/>
      <c r="AQ77" s="90"/>
      <c r="AR77" s="90"/>
      <c r="AS77" s="90"/>
      <c r="AT77" s="90"/>
      <c r="AU77" s="90">
        <v>0.25</v>
      </c>
      <c r="AV77" s="90"/>
      <c r="AW77" s="90"/>
      <c r="AX77" s="90"/>
      <c r="AY77" s="90"/>
      <c r="AZ77" s="90">
        <f t="shared" si="11"/>
        <v>0.25</v>
      </c>
      <c r="BA77" s="90">
        <f>ROUND(AZ77*IFERROR(VLOOKUP($AK77,'3121% SY'!$A$2:$M$324,13,FALSE),0),3)</f>
        <v>0.04</v>
      </c>
      <c r="BB77" s="90">
        <f t="shared" si="12"/>
        <v>0</v>
      </c>
      <c r="BC77" s="90">
        <f>ROUND(BB77*IFERROR(VLOOKUP($AK77,'3121% SY'!$A$2:$M$324,13,FALSE),0),3)</f>
        <v>0</v>
      </c>
    </row>
    <row r="78" spans="1:55" x14ac:dyDescent="0.25">
      <c r="A78" s="88" t="s">
        <v>108</v>
      </c>
      <c r="B78" s="90"/>
      <c r="C78" s="90"/>
      <c r="D78" s="90"/>
      <c r="E78" s="90"/>
      <c r="F78" s="90">
        <v>4.7649999999999997</v>
      </c>
      <c r="G78" s="90"/>
      <c r="H78" s="90"/>
      <c r="I78" s="90"/>
      <c r="J78" s="90"/>
      <c r="K78" s="90">
        <v>0.32</v>
      </c>
      <c r="L78" s="90"/>
      <c r="M78" s="90"/>
      <c r="N78" s="90"/>
      <c r="P78" s="90">
        <f t="shared" si="8"/>
        <v>5.085</v>
      </c>
      <c r="Q78" s="90">
        <f>SUM($B78:E78)</f>
        <v>0</v>
      </c>
      <c r="R78" s="89"/>
      <c r="AH78" s="90">
        <f t="shared" si="9"/>
        <v>0</v>
      </c>
      <c r="AI78" s="90">
        <f t="shared" si="10"/>
        <v>0</v>
      </c>
      <c r="AJ78" s="89"/>
      <c r="AK78" s="88" t="s">
        <v>169</v>
      </c>
      <c r="AL78" s="90"/>
      <c r="AM78" s="90"/>
      <c r="AN78" s="90">
        <v>6.9000000000000006E-2</v>
      </c>
      <c r="AO78" s="90"/>
      <c r="AP78" s="90"/>
      <c r="AQ78" s="90"/>
      <c r="AR78" s="90"/>
      <c r="AS78" s="90"/>
      <c r="AT78" s="90"/>
      <c r="AU78" s="90">
        <v>0.15</v>
      </c>
      <c r="AV78" s="90"/>
      <c r="AW78" s="90"/>
      <c r="AX78" s="90"/>
      <c r="AY78" s="90"/>
      <c r="AZ78" s="90">
        <f t="shared" si="11"/>
        <v>0.15</v>
      </c>
      <c r="BA78" s="90">
        <f>ROUND(AZ78*IFERROR(VLOOKUP($AK78,'3121% SY'!$A$2:$M$324,13,FALSE),0),3)</f>
        <v>3.2000000000000001E-2</v>
      </c>
      <c r="BB78" s="90">
        <f t="shared" si="12"/>
        <v>6.9000000000000006E-2</v>
      </c>
      <c r="BC78" s="90">
        <f>ROUND(BB78*IFERROR(VLOOKUP($AK78,'3121% SY'!$A$2:$M$324,13,FALSE),0),3)</f>
        <v>1.4999999999999999E-2</v>
      </c>
    </row>
    <row r="79" spans="1:55" x14ac:dyDescent="0.25">
      <c r="A79" s="88" t="s">
        <v>109</v>
      </c>
      <c r="B79" s="90"/>
      <c r="C79" s="90"/>
      <c r="D79" s="90"/>
      <c r="E79" s="90"/>
      <c r="F79" s="90">
        <v>3.25</v>
      </c>
      <c r="G79" s="90"/>
      <c r="H79" s="90">
        <v>1.3</v>
      </c>
      <c r="I79" s="90"/>
      <c r="J79" s="90"/>
      <c r="K79" s="90">
        <v>0.65</v>
      </c>
      <c r="L79" s="90"/>
      <c r="M79" s="90"/>
      <c r="N79" s="90"/>
      <c r="P79" s="90">
        <f t="shared" si="8"/>
        <v>5.2</v>
      </c>
      <c r="Q79" s="90">
        <f>SUM($B79:E79)</f>
        <v>0</v>
      </c>
      <c r="R79" s="89"/>
      <c r="AH79" s="90">
        <f t="shared" si="9"/>
        <v>0</v>
      </c>
      <c r="AI79" s="90">
        <f t="shared" si="10"/>
        <v>0</v>
      </c>
      <c r="AJ79" s="89"/>
      <c r="AK79" s="88" t="s">
        <v>170</v>
      </c>
      <c r="AL79" s="90"/>
      <c r="AM79" s="90"/>
      <c r="AN79" s="90"/>
      <c r="AO79" s="90"/>
      <c r="AP79" s="90"/>
      <c r="AQ79" s="90"/>
      <c r="AR79" s="90"/>
      <c r="AS79" s="90"/>
      <c r="AT79" s="90"/>
      <c r="AU79" s="90">
        <v>0.22500000000000001</v>
      </c>
      <c r="AV79" s="90"/>
      <c r="AW79" s="90"/>
      <c r="AX79" s="90"/>
      <c r="AY79" s="90"/>
      <c r="AZ79" s="90">
        <f t="shared" si="11"/>
        <v>0.22500000000000001</v>
      </c>
      <c r="BA79" s="90">
        <f>ROUND(AZ79*IFERROR(VLOOKUP($AK79,'3121% SY'!$A$2:$M$324,13,FALSE),0),3)</f>
        <v>5.7000000000000002E-2</v>
      </c>
      <c r="BB79" s="90">
        <f t="shared" si="12"/>
        <v>0</v>
      </c>
      <c r="BC79" s="90">
        <f>ROUND(BB79*IFERROR(VLOOKUP($AK79,'3121% SY'!$A$2:$M$324,13,FALSE),0),3)</f>
        <v>0</v>
      </c>
    </row>
    <row r="80" spans="1:55" x14ac:dyDescent="0.25">
      <c r="A80" s="88" t="s">
        <v>110</v>
      </c>
      <c r="B80" s="90"/>
      <c r="C80" s="90"/>
      <c r="D80" s="90"/>
      <c r="E80" s="90"/>
      <c r="F80" s="90">
        <v>10.467000000000001</v>
      </c>
      <c r="G80" s="90"/>
      <c r="H80" s="90">
        <v>3</v>
      </c>
      <c r="I80" s="90"/>
      <c r="J80" s="90"/>
      <c r="K80" s="90">
        <v>1</v>
      </c>
      <c r="L80" s="90"/>
      <c r="M80" s="90"/>
      <c r="N80" s="90"/>
      <c r="P80" s="90">
        <f t="shared" si="8"/>
        <v>14.467000000000001</v>
      </c>
      <c r="Q80" s="90">
        <f>SUM($B80:E80)</f>
        <v>0</v>
      </c>
      <c r="R80" s="89"/>
      <c r="AH80" s="90">
        <f t="shared" si="9"/>
        <v>0</v>
      </c>
      <c r="AI80" s="90">
        <f t="shared" si="10"/>
        <v>0</v>
      </c>
      <c r="AJ80" s="89"/>
      <c r="AK80" s="88" t="s">
        <v>172</v>
      </c>
      <c r="AL80" s="90"/>
      <c r="AM80" s="90"/>
      <c r="AN80" s="90">
        <v>0.182</v>
      </c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>
        <f t="shared" si="11"/>
        <v>0</v>
      </c>
      <c r="BA80" s="90">
        <f>ROUND(AZ80*IFERROR(VLOOKUP($AK80,'3121% SY'!$A$2:$M$324,13,FALSE),0),3)</f>
        <v>0</v>
      </c>
      <c r="BB80" s="90">
        <f t="shared" si="12"/>
        <v>0.182</v>
      </c>
      <c r="BC80" s="90">
        <f>ROUND(BB80*IFERROR(VLOOKUP($AK80,'3121% SY'!$A$2:$M$324,13,FALSE),0),3)</f>
        <v>2.8000000000000001E-2</v>
      </c>
    </row>
    <row r="81" spans="1:55" x14ac:dyDescent="0.25">
      <c r="A81" s="88" t="s">
        <v>111</v>
      </c>
      <c r="B81" s="90"/>
      <c r="C81" s="90"/>
      <c r="D81" s="90"/>
      <c r="E81" s="90"/>
      <c r="F81" s="90">
        <v>6.94</v>
      </c>
      <c r="G81" s="90"/>
      <c r="H81" s="90"/>
      <c r="I81" s="90"/>
      <c r="J81" s="90"/>
      <c r="K81" s="90"/>
      <c r="L81" s="90"/>
      <c r="M81" s="90"/>
      <c r="N81" s="90"/>
      <c r="P81" s="90">
        <f t="shared" si="8"/>
        <v>6.94</v>
      </c>
      <c r="Q81" s="90">
        <f>SUM($B81:E81)</f>
        <v>0</v>
      </c>
      <c r="R81" s="89"/>
      <c r="AH81" s="90">
        <f t="shared" si="9"/>
        <v>0</v>
      </c>
      <c r="AI81" s="90">
        <f t="shared" si="10"/>
        <v>0</v>
      </c>
      <c r="AJ81" s="89"/>
      <c r="AK81" s="88" t="s">
        <v>173</v>
      </c>
      <c r="AL81" s="90"/>
      <c r="AM81" s="90"/>
      <c r="AN81" s="90"/>
      <c r="AO81" s="90"/>
      <c r="AP81" s="90"/>
      <c r="AQ81" s="90"/>
      <c r="AR81" s="90"/>
      <c r="AS81" s="90"/>
      <c r="AT81" s="90"/>
      <c r="AU81" s="90">
        <v>0.108</v>
      </c>
      <c r="AV81" s="90"/>
      <c r="AW81" s="90"/>
      <c r="AX81" s="90"/>
      <c r="AY81" s="90"/>
      <c r="AZ81" s="90">
        <f t="shared" si="11"/>
        <v>0.108</v>
      </c>
      <c r="BA81" s="90">
        <f>ROUND(AZ81*IFERROR(VLOOKUP($AK81,'3121% SY'!$A$2:$M$324,13,FALSE),0),3)</f>
        <v>2.1999999999999999E-2</v>
      </c>
      <c r="BB81" s="90">
        <f t="shared" si="12"/>
        <v>0</v>
      </c>
      <c r="BC81" s="90">
        <f>ROUND(BB81*IFERROR(VLOOKUP($AK81,'3121% SY'!$A$2:$M$324,13,FALSE),0),3)</f>
        <v>0</v>
      </c>
    </row>
    <row r="82" spans="1:55" x14ac:dyDescent="0.25">
      <c r="A82" s="88" t="s">
        <v>112</v>
      </c>
      <c r="B82" s="90"/>
      <c r="C82" s="90"/>
      <c r="D82" s="90"/>
      <c r="E82" s="90"/>
      <c r="F82" s="90">
        <v>20.983000000000001</v>
      </c>
      <c r="G82" s="90"/>
      <c r="H82" s="90"/>
      <c r="I82" s="90"/>
      <c r="J82" s="90">
        <v>7.05</v>
      </c>
      <c r="K82" s="90"/>
      <c r="L82" s="90"/>
      <c r="M82" s="90"/>
      <c r="N82" s="90"/>
      <c r="P82" s="90">
        <f t="shared" si="8"/>
        <v>28.033000000000001</v>
      </c>
      <c r="Q82" s="90">
        <f>SUM($B82:E82)</f>
        <v>0</v>
      </c>
      <c r="R82" s="89"/>
      <c r="AH82" s="90">
        <f t="shared" si="9"/>
        <v>0</v>
      </c>
      <c r="AI82" s="90">
        <f t="shared" si="10"/>
        <v>0</v>
      </c>
      <c r="AJ82" s="89"/>
      <c r="AK82" s="88" t="s">
        <v>1247</v>
      </c>
      <c r="AL82" s="90"/>
      <c r="AM82" s="90">
        <v>0.69499999999999995</v>
      </c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>
        <f t="shared" si="11"/>
        <v>0</v>
      </c>
      <c r="BA82" s="90">
        <f>ROUND(AZ82*IFERROR(VLOOKUP($AK82,'3121% SY'!$A$2:$M$324,13,FALSE),0),3)</f>
        <v>0</v>
      </c>
      <c r="BB82" s="90">
        <f t="shared" si="12"/>
        <v>0.69499999999999995</v>
      </c>
      <c r="BC82" s="90">
        <f>ROUND(BB82*IFERROR(VLOOKUP($AK82,'3121% SY'!$A$2:$M$324,13,FALSE),0),3)</f>
        <v>0.10299999999999999</v>
      </c>
    </row>
    <row r="83" spans="1:55" x14ac:dyDescent="0.25">
      <c r="A83" s="88" t="s">
        <v>113</v>
      </c>
      <c r="B83" s="90"/>
      <c r="C83" s="90"/>
      <c r="D83" s="90">
        <v>1.714</v>
      </c>
      <c r="E83" s="90"/>
      <c r="F83" s="90">
        <v>20</v>
      </c>
      <c r="G83" s="90"/>
      <c r="H83" s="90"/>
      <c r="I83" s="90"/>
      <c r="J83" s="90"/>
      <c r="K83" s="90"/>
      <c r="L83" s="90"/>
      <c r="M83" s="90"/>
      <c r="N83" s="90"/>
      <c r="P83" s="90">
        <f t="shared" si="8"/>
        <v>20</v>
      </c>
      <c r="Q83" s="90">
        <f>SUM($B83:E83)</f>
        <v>1.714</v>
      </c>
      <c r="R83" s="89"/>
      <c r="AH83" s="90">
        <f t="shared" si="9"/>
        <v>0</v>
      </c>
      <c r="AI83" s="90">
        <f t="shared" si="10"/>
        <v>0</v>
      </c>
      <c r="AJ83" s="89"/>
      <c r="AK83" s="88" t="s">
        <v>180</v>
      </c>
      <c r="AL83" s="90"/>
      <c r="AM83" s="90"/>
      <c r="AN83" s="90"/>
      <c r="AO83" s="90"/>
      <c r="AP83" s="90"/>
      <c r="AQ83" s="90"/>
      <c r="AR83" s="90"/>
      <c r="AS83" s="90"/>
      <c r="AT83" s="90">
        <v>0.66</v>
      </c>
      <c r="AU83" s="90">
        <v>0.33</v>
      </c>
      <c r="AV83" s="90"/>
      <c r="AW83" s="90"/>
      <c r="AX83" s="90"/>
      <c r="AY83" s="90"/>
      <c r="AZ83" s="90">
        <f t="shared" si="11"/>
        <v>0.99</v>
      </c>
      <c r="BA83" s="90">
        <f>ROUND(AZ83*IFERROR(VLOOKUP($AK83,'3121% SY'!$A$2:$M$324,13,FALSE),0),3)</f>
        <v>0.24</v>
      </c>
      <c r="BB83" s="90">
        <f t="shared" si="12"/>
        <v>0</v>
      </c>
      <c r="BC83" s="90">
        <f>ROUND(BB83*IFERROR(VLOOKUP($AK83,'3121% SY'!$A$2:$M$324,13,FALSE),0),3)</f>
        <v>0</v>
      </c>
    </row>
    <row r="84" spans="1:55" x14ac:dyDescent="0.25">
      <c r="A84" s="88" t="s">
        <v>114</v>
      </c>
      <c r="B84" s="90"/>
      <c r="C84" s="90">
        <v>0.443</v>
      </c>
      <c r="D84" s="90">
        <v>4.3730000000000002</v>
      </c>
      <c r="E84" s="90"/>
      <c r="F84" s="90">
        <v>11.702999999999999</v>
      </c>
      <c r="G84" s="90"/>
      <c r="H84" s="90"/>
      <c r="I84" s="90"/>
      <c r="J84" s="90"/>
      <c r="K84" s="90"/>
      <c r="L84" s="90"/>
      <c r="M84" s="90"/>
      <c r="N84" s="90"/>
      <c r="P84" s="90">
        <f t="shared" si="8"/>
        <v>11.702999999999999</v>
      </c>
      <c r="Q84" s="90">
        <f>SUM($B84:E84)</f>
        <v>4.8159999999999998</v>
      </c>
      <c r="R84" s="89"/>
      <c r="AH84" s="90">
        <f t="shared" si="9"/>
        <v>0</v>
      </c>
      <c r="AI84" s="90">
        <f t="shared" si="10"/>
        <v>0</v>
      </c>
      <c r="AJ84" s="89"/>
      <c r="AK84" s="88" t="s">
        <v>181</v>
      </c>
      <c r="AL84" s="90"/>
      <c r="AM84" s="90"/>
      <c r="AN84" s="90"/>
      <c r="AO84" s="90"/>
      <c r="AP84" s="90"/>
      <c r="AQ84" s="90"/>
      <c r="AR84" s="90">
        <v>0.2</v>
      </c>
      <c r="AS84" s="90"/>
      <c r="AT84" s="90"/>
      <c r="AU84" s="90"/>
      <c r="AV84" s="90"/>
      <c r="AW84" s="90"/>
      <c r="AX84" s="90"/>
      <c r="AY84" s="90"/>
      <c r="AZ84" s="90">
        <f t="shared" si="11"/>
        <v>0.2</v>
      </c>
      <c r="BA84" s="90">
        <f>ROUND(AZ84*IFERROR(VLOOKUP($AK84,'3121% SY'!$A$2:$M$324,13,FALSE),0),3)</f>
        <v>3.9E-2</v>
      </c>
      <c r="BB84" s="90">
        <f t="shared" si="12"/>
        <v>0</v>
      </c>
      <c r="BC84" s="90">
        <f>ROUND(BB84*IFERROR(VLOOKUP($AK84,'3121% SY'!$A$2:$M$324,13,FALSE),0),3)</f>
        <v>0</v>
      </c>
    </row>
    <row r="85" spans="1:55" x14ac:dyDescent="0.25">
      <c r="A85" s="88" t="s">
        <v>115</v>
      </c>
      <c r="B85" s="90"/>
      <c r="C85" s="90"/>
      <c r="D85" s="90"/>
      <c r="E85" s="90"/>
      <c r="F85" s="90"/>
      <c r="G85" s="90"/>
      <c r="H85" s="90"/>
      <c r="I85" s="90"/>
      <c r="J85" s="90"/>
      <c r="K85" s="90">
        <v>0.498</v>
      </c>
      <c r="L85" s="90"/>
      <c r="M85" s="90"/>
      <c r="N85" s="90"/>
      <c r="P85" s="90">
        <f t="shared" si="8"/>
        <v>0.498</v>
      </c>
      <c r="Q85" s="90">
        <f>SUM($B85:E85)</f>
        <v>0</v>
      </c>
      <c r="R85" s="89"/>
      <c r="AH85" s="90">
        <f t="shared" si="9"/>
        <v>0</v>
      </c>
      <c r="AI85" s="90">
        <f t="shared" si="10"/>
        <v>0</v>
      </c>
      <c r="AJ85" s="89"/>
      <c r="AK85" s="88" t="s">
        <v>183</v>
      </c>
      <c r="AL85" s="90"/>
      <c r="AM85" s="90"/>
      <c r="AN85" s="90"/>
      <c r="AO85" s="90"/>
      <c r="AP85" s="90"/>
      <c r="AQ85" s="90"/>
      <c r="AR85" s="90">
        <v>0.16</v>
      </c>
      <c r="AS85" s="90"/>
      <c r="AT85" s="90">
        <v>0.4</v>
      </c>
      <c r="AU85" s="90">
        <v>0.245</v>
      </c>
      <c r="AV85" s="90"/>
      <c r="AW85" s="90">
        <v>0.125</v>
      </c>
      <c r="AX85" s="90"/>
      <c r="AY85" s="90"/>
      <c r="AZ85" s="90">
        <f t="shared" si="11"/>
        <v>0.93</v>
      </c>
      <c r="BA85" s="90">
        <f>ROUND(AZ85*IFERROR(VLOOKUP($AK85,'3121% SY'!$A$2:$M$324,13,FALSE),0),3)</f>
        <v>0.2</v>
      </c>
      <c r="BB85" s="90">
        <f t="shared" si="12"/>
        <v>0</v>
      </c>
      <c r="BC85" s="90">
        <f>ROUND(BB85*IFERROR(VLOOKUP($AK85,'3121% SY'!$A$2:$M$324,13,FALSE),0),3)</f>
        <v>0</v>
      </c>
    </row>
    <row r="86" spans="1:55" x14ac:dyDescent="0.25">
      <c r="A86" s="88" t="s">
        <v>621</v>
      </c>
      <c r="B86" s="90"/>
      <c r="C86" s="90"/>
      <c r="D86" s="90"/>
      <c r="E86" s="90"/>
      <c r="F86" s="90"/>
      <c r="G86" s="90"/>
      <c r="H86" s="90"/>
      <c r="I86" s="90"/>
      <c r="J86" s="90"/>
      <c r="K86" s="90">
        <v>0.55000000000000004</v>
      </c>
      <c r="L86" s="90"/>
      <c r="M86" s="90"/>
      <c r="N86" s="90"/>
      <c r="P86" s="90">
        <f t="shared" si="8"/>
        <v>0.55000000000000004</v>
      </c>
      <c r="Q86" s="90">
        <f>SUM($B86:E86)</f>
        <v>0</v>
      </c>
      <c r="R86" s="89"/>
      <c r="AH86" s="90">
        <f t="shared" si="9"/>
        <v>0</v>
      </c>
      <c r="AI86" s="90">
        <f t="shared" si="10"/>
        <v>0</v>
      </c>
      <c r="AJ86" s="89"/>
      <c r="AK86" s="88" t="s">
        <v>184</v>
      </c>
      <c r="AL86" s="90"/>
      <c r="AM86" s="90"/>
      <c r="AN86" s="90"/>
      <c r="AO86" s="90"/>
      <c r="AP86" s="90">
        <v>0.33300000000000002</v>
      </c>
      <c r="AQ86" s="90"/>
      <c r="AR86" s="90">
        <v>1.68</v>
      </c>
      <c r="AS86" s="90">
        <v>0.15</v>
      </c>
      <c r="AT86" s="90">
        <v>4.2750000000000004</v>
      </c>
      <c r="AU86" s="90">
        <v>3.63</v>
      </c>
      <c r="AV86" s="90"/>
      <c r="AW86" s="90">
        <v>0.45</v>
      </c>
      <c r="AX86" s="90">
        <v>0.75</v>
      </c>
      <c r="AY86" s="90"/>
      <c r="AZ86" s="90">
        <f t="shared" si="11"/>
        <v>11.268000000000001</v>
      </c>
      <c r="BA86" s="90">
        <f>ROUND(AZ86*IFERROR(VLOOKUP($AK86,'3121% SY'!$A$2:$M$324,13,FALSE),0),3)</f>
        <v>3.4249999999999998</v>
      </c>
      <c r="BB86" s="90">
        <f t="shared" si="12"/>
        <v>0</v>
      </c>
      <c r="BC86" s="90">
        <f>ROUND(BB86*IFERROR(VLOOKUP($AK86,'3121% SY'!$A$2:$M$324,13,FALSE),0),3)</f>
        <v>0</v>
      </c>
    </row>
    <row r="87" spans="1:55" x14ac:dyDescent="0.25">
      <c r="A87" s="88" t="s">
        <v>116</v>
      </c>
      <c r="B87" s="90"/>
      <c r="C87" s="90"/>
      <c r="D87" s="90">
        <v>0.72799999999999998</v>
      </c>
      <c r="E87" s="90">
        <v>1.591</v>
      </c>
      <c r="F87" s="90">
        <v>1.2</v>
      </c>
      <c r="G87" s="90"/>
      <c r="H87" s="90"/>
      <c r="I87" s="90"/>
      <c r="J87" s="90"/>
      <c r="K87" s="90"/>
      <c r="L87" s="90"/>
      <c r="M87" s="90"/>
      <c r="N87" s="90"/>
      <c r="P87" s="90">
        <f t="shared" si="8"/>
        <v>1.2</v>
      </c>
      <c r="Q87" s="90">
        <f>SUM($B87:E87)</f>
        <v>2.319</v>
      </c>
      <c r="R87" s="89"/>
      <c r="AH87" s="90">
        <f t="shared" si="9"/>
        <v>0</v>
      </c>
      <c r="AI87" s="90">
        <f t="shared" si="10"/>
        <v>0</v>
      </c>
      <c r="AJ87" s="89"/>
      <c r="AK87" s="88" t="s">
        <v>185</v>
      </c>
      <c r="AL87" s="90"/>
      <c r="AM87" s="90"/>
      <c r="AN87" s="90"/>
      <c r="AO87" s="90"/>
      <c r="AP87" s="90"/>
      <c r="AQ87" s="90"/>
      <c r="AR87" s="90">
        <v>3.03</v>
      </c>
      <c r="AS87" s="90"/>
      <c r="AT87" s="90">
        <v>7.3760000000000003</v>
      </c>
      <c r="AU87" s="90">
        <v>4.6429999999999998</v>
      </c>
      <c r="AV87" s="90">
        <v>8.5999999999999993E-2</v>
      </c>
      <c r="AW87" s="90">
        <v>1.4019999999999999</v>
      </c>
      <c r="AX87" s="90">
        <v>0.57199999999999995</v>
      </c>
      <c r="AY87" s="90"/>
      <c r="AZ87" s="90">
        <f t="shared" si="11"/>
        <v>17.108999999999998</v>
      </c>
      <c r="BA87" s="90">
        <f>ROUND(AZ87*IFERROR(VLOOKUP($AK87,'3121% SY'!$A$2:$M$324,13,FALSE),0),3)</f>
        <v>4.7489999999999997</v>
      </c>
      <c r="BB87" s="90">
        <f t="shared" si="12"/>
        <v>0</v>
      </c>
      <c r="BC87" s="90">
        <f>ROUND(BB87*IFERROR(VLOOKUP($AK87,'3121% SY'!$A$2:$M$324,13,FALSE),0),3)</f>
        <v>0</v>
      </c>
    </row>
    <row r="88" spans="1:55" x14ac:dyDescent="0.25">
      <c r="A88" s="88" t="s">
        <v>117</v>
      </c>
      <c r="B88" s="90"/>
      <c r="C88" s="90"/>
      <c r="D88" s="90"/>
      <c r="E88" s="90"/>
      <c r="F88" s="90">
        <v>1.6839999999999999</v>
      </c>
      <c r="G88" s="90"/>
      <c r="H88" s="90">
        <v>0.154</v>
      </c>
      <c r="I88" s="90"/>
      <c r="J88" s="90"/>
      <c r="K88" s="90"/>
      <c r="L88" s="90"/>
      <c r="M88" s="90"/>
      <c r="N88" s="90"/>
      <c r="P88" s="90">
        <f t="shared" si="8"/>
        <v>1.8379999999999999</v>
      </c>
      <c r="Q88" s="90">
        <f>SUM($B88:E88)</f>
        <v>0</v>
      </c>
      <c r="R88" s="89"/>
      <c r="AH88" s="90">
        <f t="shared" si="9"/>
        <v>0</v>
      </c>
      <c r="AI88" s="90">
        <f t="shared" si="10"/>
        <v>0</v>
      </c>
      <c r="AJ88" s="89"/>
      <c r="AK88" s="88" t="s">
        <v>187</v>
      </c>
      <c r="AL88" s="90"/>
      <c r="AM88" s="90"/>
      <c r="AN88" s="90"/>
      <c r="AO88" s="90"/>
      <c r="AP88" s="90"/>
      <c r="AQ88" s="90"/>
      <c r="AR88" s="90">
        <v>0.25</v>
      </c>
      <c r="AS88" s="90"/>
      <c r="AT88" s="90">
        <v>1.4</v>
      </c>
      <c r="AU88" s="90"/>
      <c r="AV88" s="90"/>
      <c r="AW88" s="90">
        <v>0.14299999999999999</v>
      </c>
      <c r="AX88" s="90"/>
      <c r="AY88" s="90"/>
      <c r="AZ88" s="90">
        <f t="shared" si="11"/>
        <v>1.7929999999999999</v>
      </c>
      <c r="BA88" s="90">
        <f>ROUND(AZ88*IFERROR(VLOOKUP($AK88,'3121% SY'!$A$2:$M$324,13,FALSE),0),3)</f>
        <v>0.56399999999999995</v>
      </c>
      <c r="BB88" s="90">
        <f t="shared" si="12"/>
        <v>0</v>
      </c>
      <c r="BC88" s="90">
        <f>ROUND(BB88*IFERROR(VLOOKUP($AK88,'3121% SY'!$A$2:$M$324,13,FALSE),0),3)</f>
        <v>0</v>
      </c>
    </row>
    <row r="89" spans="1:55" x14ac:dyDescent="0.25">
      <c r="A89" s="88" t="s">
        <v>118</v>
      </c>
      <c r="B89" s="90"/>
      <c r="C89" s="90"/>
      <c r="D89" s="90"/>
      <c r="E89" s="90"/>
      <c r="F89" s="90">
        <v>1.98</v>
      </c>
      <c r="G89" s="90"/>
      <c r="H89" s="90"/>
      <c r="I89" s="90"/>
      <c r="J89" s="90"/>
      <c r="K89" s="90"/>
      <c r="L89" s="90"/>
      <c r="M89" s="90"/>
      <c r="N89" s="90"/>
      <c r="P89" s="90">
        <f t="shared" si="8"/>
        <v>1.98</v>
      </c>
      <c r="Q89" s="90">
        <f>SUM($B89:E89)</f>
        <v>0</v>
      </c>
      <c r="R89" s="89"/>
      <c r="AH89" s="90">
        <f t="shared" si="9"/>
        <v>0</v>
      </c>
      <c r="AI89" s="90">
        <f t="shared" si="10"/>
        <v>0</v>
      </c>
      <c r="AJ89" s="89"/>
      <c r="AK89" s="88" t="s">
        <v>188</v>
      </c>
      <c r="AL89" s="90"/>
      <c r="AM89" s="90"/>
      <c r="AN89" s="90">
        <v>0.254</v>
      </c>
      <c r="AO89" s="90"/>
      <c r="AP89" s="90">
        <v>0.14499999999999999</v>
      </c>
      <c r="AQ89" s="90">
        <v>0.45700000000000002</v>
      </c>
      <c r="AR89" s="90">
        <v>0.45500000000000002</v>
      </c>
      <c r="AS89" s="90">
        <v>0.92900000000000005</v>
      </c>
      <c r="AT89" s="90">
        <v>1.4119999999999999</v>
      </c>
      <c r="AU89" s="90">
        <v>1.8049999999999999</v>
      </c>
      <c r="AV89" s="90"/>
      <c r="AW89" s="90">
        <v>8.3000000000000004E-2</v>
      </c>
      <c r="AX89" s="90"/>
      <c r="AY89" s="90"/>
      <c r="AZ89" s="90">
        <f t="shared" si="11"/>
        <v>5.2859999999999996</v>
      </c>
      <c r="BA89" s="90">
        <f>ROUND(AZ89*IFERROR(VLOOKUP($AK89,'3121% SY'!$A$2:$M$324,13,FALSE),0),3)</f>
        <v>1.452</v>
      </c>
      <c r="BB89" s="90">
        <f t="shared" si="12"/>
        <v>0.254</v>
      </c>
      <c r="BC89" s="90">
        <f>ROUND(BB89*IFERROR(VLOOKUP($AK89,'3121% SY'!$A$2:$M$324,13,FALSE),0),3)</f>
        <v>7.0000000000000007E-2</v>
      </c>
    </row>
    <row r="90" spans="1:55" x14ac:dyDescent="0.25">
      <c r="A90" s="88" t="s">
        <v>119</v>
      </c>
      <c r="B90" s="90"/>
      <c r="C90" s="90"/>
      <c r="D90" s="90"/>
      <c r="E90" s="90"/>
      <c r="F90" s="90">
        <v>5.36</v>
      </c>
      <c r="G90" s="90"/>
      <c r="H90" s="90"/>
      <c r="I90" s="90"/>
      <c r="J90" s="90"/>
      <c r="K90" s="90"/>
      <c r="L90" s="90"/>
      <c r="M90" s="90"/>
      <c r="N90" s="90">
        <v>0.249</v>
      </c>
      <c r="P90" s="90">
        <f t="shared" si="8"/>
        <v>5.609</v>
      </c>
      <c r="Q90" s="90">
        <f>SUM($B90:E90)</f>
        <v>0</v>
      </c>
      <c r="R90" s="89"/>
      <c r="AH90" s="90">
        <f t="shared" si="9"/>
        <v>0</v>
      </c>
      <c r="AI90" s="90">
        <f t="shared" si="10"/>
        <v>0</v>
      </c>
      <c r="AJ90" s="89"/>
      <c r="AK90" s="88" t="s">
        <v>189</v>
      </c>
      <c r="AL90" s="90"/>
      <c r="AM90" s="90"/>
      <c r="AN90" s="90"/>
      <c r="AO90" s="90"/>
      <c r="AP90" s="90"/>
      <c r="AQ90" s="90"/>
      <c r="AR90" s="90">
        <v>0.33300000000000002</v>
      </c>
      <c r="AS90" s="90"/>
      <c r="AT90" s="90"/>
      <c r="AU90" s="90">
        <v>0.33300000000000002</v>
      </c>
      <c r="AV90" s="90"/>
      <c r="AW90" s="90"/>
      <c r="AX90" s="90"/>
      <c r="AY90" s="90"/>
      <c r="AZ90" s="90">
        <f t="shared" si="11"/>
        <v>0.66600000000000004</v>
      </c>
      <c r="BA90" s="90">
        <f>ROUND(AZ90*IFERROR(VLOOKUP($AK90,'3121% SY'!$A$2:$M$324,13,FALSE),0),3)</f>
        <v>0.20499999999999999</v>
      </c>
      <c r="BB90" s="90">
        <f t="shared" si="12"/>
        <v>0</v>
      </c>
      <c r="BC90" s="90">
        <f>ROUND(BB90*IFERROR(VLOOKUP($AK90,'3121% SY'!$A$2:$M$324,13,FALSE),0),3)</f>
        <v>0</v>
      </c>
    </row>
    <row r="91" spans="1:55" x14ac:dyDescent="0.25">
      <c r="A91" s="88" t="s">
        <v>120</v>
      </c>
      <c r="B91" s="90"/>
      <c r="C91" s="90"/>
      <c r="D91" s="90"/>
      <c r="E91" s="90"/>
      <c r="F91" s="90">
        <v>3.2959999999999998</v>
      </c>
      <c r="G91" s="90"/>
      <c r="H91" s="90">
        <v>1</v>
      </c>
      <c r="I91" s="90"/>
      <c r="J91" s="90"/>
      <c r="K91" s="90">
        <v>2.25</v>
      </c>
      <c r="L91" s="90"/>
      <c r="M91" s="90"/>
      <c r="N91" s="90"/>
      <c r="P91" s="90">
        <f t="shared" si="8"/>
        <v>6.5459999999999994</v>
      </c>
      <c r="Q91" s="90">
        <f>SUM($B91:E91)</f>
        <v>0</v>
      </c>
      <c r="R91" s="89"/>
      <c r="AH91" s="90">
        <f t="shared" si="9"/>
        <v>0</v>
      </c>
      <c r="AI91" s="90">
        <f t="shared" si="10"/>
        <v>0</v>
      </c>
      <c r="AJ91" s="89"/>
      <c r="AK91" s="88" t="s">
        <v>190</v>
      </c>
      <c r="AL91" s="90"/>
      <c r="AM91" s="90"/>
      <c r="AN91" s="90"/>
      <c r="AO91" s="90"/>
      <c r="AP91" s="90"/>
      <c r="AQ91" s="90"/>
      <c r="AR91" s="90"/>
      <c r="AS91" s="90"/>
      <c r="AT91" s="90">
        <v>0.02</v>
      </c>
      <c r="AU91" s="90"/>
      <c r="AV91" s="90"/>
      <c r="AW91" s="90"/>
      <c r="AX91" s="90"/>
      <c r="AY91" s="90"/>
      <c r="AZ91" s="90">
        <f t="shared" si="11"/>
        <v>0.02</v>
      </c>
      <c r="BA91" s="90">
        <f>ROUND(AZ91*IFERROR(VLOOKUP($AK91,'3121% SY'!$A$2:$M$324,13,FALSE),0),3)</f>
        <v>5.0000000000000001E-3</v>
      </c>
      <c r="BB91" s="90">
        <f t="shared" si="12"/>
        <v>0</v>
      </c>
      <c r="BC91" s="90">
        <f>ROUND(BB91*IFERROR(VLOOKUP($AK91,'3121% SY'!$A$2:$M$324,13,FALSE),0),3)</f>
        <v>0</v>
      </c>
    </row>
    <row r="92" spans="1:55" x14ac:dyDescent="0.25">
      <c r="A92" s="88" t="s">
        <v>652</v>
      </c>
      <c r="B92" s="90"/>
      <c r="C92" s="90"/>
      <c r="D92" s="90"/>
      <c r="E92" s="90"/>
      <c r="F92" s="90"/>
      <c r="G92" s="90"/>
      <c r="H92" s="90"/>
      <c r="I92" s="90"/>
      <c r="J92" s="90"/>
      <c r="K92" s="90">
        <v>0.14000000000000001</v>
      </c>
      <c r="L92" s="90"/>
      <c r="M92" s="90"/>
      <c r="N92" s="90"/>
      <c r="P92" s="90">
        <f t="shared" si="8"/>
        <v>0.14000000000000001</v>
      </c>
      <c r="Q92" s="90">
        <f>SUM($B92:E92)</f>
        <v>0</v>
      </c>
      <c r="R92" s="89"/>
      <c r="AH92" s="90">
        <f t="shared" si="9"/>
        <v>0</v>
      </c>
      <c r="AI92" s="90">
        <f t="shared" si="10"/>
        <v>0</v>
      </c>
      <c r="AJ92" s="89"/>
      <c r="AK92" s="88" t="s">
        <v>192</v>
      </c>
      <c r="AL92" s="90"/>
      <c r="AM92" s="90"/>
      <c r="AN92" s="90"/>
      <c r="AO92" s="90"/>
      <c r="AP92" s="90"/>
      <c r="AQ92" s="90"/>
      <c r="AR92" s="90">
        <v>0.81599999999999995</v>
      </c>
      <c r="AS92" s="90">
        <v>0.222</v>
      </c>
      <c r="AT92" s="90">
        <v>0.82099999999999995</v>
      </c>
      <c r="AU92" s="90">
        <v>1.8879999999999999</v>
      </c>
      <c r="AV92" s="90">
        <v>0.122</v>
      </c>
      <c r="AW92" s="90">
        <v>0.308</v>
      </c>
      <c r="AX92" s="90"/>
      <c r="AY92" s="90"/>
      <c r="AZ92" s="90">
        <f t="shared" si="11"/>
        <v>4.1769999999999996</v>
      </c>
      <c r="BA92" s="90">
        <f>ROUND(AZ92*IFERROR(VLOOKUP($AK92,'3121% SY'!$A$2:$M$324,13,FALSE),0),3)</f>
        <v>0.91700000000000004</v>
      </c>
      <c r="BB92" s="90">
        <f t="shared" si="12"/>
        <v>0</v>
      </c>
      <c r="BC92" s="90">
        <f>ROUND(BB92*IFERROR(VLOOKUP($AK92,'3121% SY'!$A$2:$M$324,13,FALSE),0),3)</f>
        <v>0</v>
      </c>
    </row>
    <row r="93" spans="1:55" x14ac:dyDescent="0.25">
      <c r="A93" s="88" t="s">
        <v>125</v>
      </c>
      <c r="B93" s="90"/>
      <c r="C93" s="90"/>
      <c r="D93" s="90"/>
      <c r="E93" s="90"/>
      <c r="F93" s="90">
        <v>2</v>
      </c>
      <c r="G93" s="90"/>
      <c r="H93" s="90"/>
      <c r="I93" s="90"/>
      <c r="J93" s="90"/>
      <c r="K93" s="90"/>
      <c r="L93" s="90"/>
      <c r="M93" s="90"/>
      <c r="N93" s="90"/>
      <c r="P93" s="90">
        <f t="shared" si="8"/>
        <v>2</v>
      </c>
      <c r="Q93" s="90">
        <f>SUM($B93:E93)</f>
        <v>0</v>
      </c>
      <c r="R93" s="89"/>
      <c r="AH93" s="90">
        <f t="shared" si="9"/>
        <v>0</v>
      </c>
      <c r="AI93" s="90">
        <f t="shared" si="10"/>
        <v>0</v>
      </c>
      <c r="AJ93" s="89"/>
      <c r="AK93" s="88" t="s">
        <v>193</v>
      </c>
      <c r="AL93" s="90"/>
      <c r="AM93" s="90"/>
      <c r="AN93" s="90"/>
      <c r="AO93" s="90"/>
      <c r="AP93" s="90"/>
      <c r="AQ93" s="90">
        <v>0.92</v>
      </c>
      <c r="AR93" s="90">
        <v>6.3E-2</v>
      </c>
      <c r="AS93" s="90"/>
      <c r="AT93" s="90">
        <v>0.45700000000000002</v>
      </c>
      <c r="AU93" s="90"/>
      <c r="AV93" s="90"/>
      <c r="AW93" s="90"/>
      <c r="AX93" s="90"/>
      <c r="AY93" s="90"/>
      <c r="AZ93" s="90">
        <f t="shared" si="11"/>
        <v>1.4400000000000002</v>
      </c>
      <c r="BA93" s="90">
        <f>ROUND(AZ93*IFERROR(VLOOKUP($AK93,'3121% SY'!$A$2:$M$324,13,FALSE),0),3)</f>
        <v>0.44800000000000001</v>
      </c>
      <c r="BB93" s="90">
        <f t="shared" si="12"/>
        <v>0</v>
      </c>
      <c r="BC93" s="90">
        <f>ROUND(BB93*IFERROR(VLOOKUP($AK93,'3121% SY'!$A$2:$M$324,13,FALSE),0),3)</f>
        <v>0</v>
      </c>
    </row>
    <row r="94" spans="1:55" x14ac:dyDescent="0.25">
      <c r="A94" s="88" t="s">
        <v>127</v>
      </c>
      <c r="B94" s="90"/>
      <c r="C94" s="90"/>
      <c r="D94" s="90"/>
      <c r="E94" s="90"/>
      <c r="F94" s="90">
        <v>1</v>
      </c>
      <c r="G94" s="90"/>
      <c r="H94" s="90"/>
      <c r="I94" s="90"/>
      <c r="J94" s="90">
        <v>5.1999999999999998E-2</v>
      </c>
      <c r="K94" s="90"/>
      <c r="L94" s="90"/>
      <c r="M94" s="90"/>
      <c r="N94" s="90"/>
      <c r="P94" s="90">
        <f t="shared" si="8"/>
        <v>1.052</v>
      </c>
      <c r="Q94" s="90">
        <f>SUM($B94:E94)</f>
        <v>0</v>
      </c>
      <c r="R94" s="89"/>
      <c r="AH94" s="90">
        <f t="shared" si="9"/>
        <v>0</v>
      </c>
      <c r="AI94" s="90">
        <f t="shared" si="10"/>
        <v>0</v>
      </c>
      <c r="AJ94" s="89"/>
      <c r="AK94" s="88" t="s">
        <v>194</v>
      </c>
      <c r="AL94" s="90"/>
      <c r="AM94" s="90"/>
      <c r="AN94" s="90"/>
      <c r="AO94" s="90"/>
      <c r="AP94" s="90"/>
      <c r="AQ94" s="90"/>
      <c r="AR94" s="90">
        <v>0.73099999999999998</v>
      </c>
      <c r="AS94" s="90"/>
      <c r="AT94" s="90"/>
      <c r="AU94" s="90">
        <v>1.34</v>
      </c>
      <c r="AV94" s="90"/>
      <c r="AW94" s="90">
        <v>0.45</v>
      </c>
      <c r="AX94" s="90"/>
      <c r="AY94" s="90">
        <v>7.6139999999999999</v>
      </c>
      <c r="AZ94" s="90">
        <f t="shared" si="11"/>
        <v>10.135</v>
      </c>
      <c r="BA94" s="90">
        <f>ROUND(AZ94*IFERROR(VLOOKUP($AK94,'3121% SY'!$A$2:$M$324,13,FALSE),0),3)</f>
        <v>3.2120000000000002</v>
      </c>
      <c r="BB94" s="90">
        <f t="shared" si="12"/>
        <v>0</v>
      </c>
      <c r="BC94" s="90">
        <f>ROUND(BB94*IFERROR(VLOOKUP($AK94,'3121% SY'!$A$2:$M$324,13,FALSE),0),3)</f>
        <v>0</v>
      </c>
    </row>
    <row r="95" spans="1:55" x14ac:dyDescent="0.25">
      <c r="A95" s="88" t="s">
        <v>128</v>
      </c>
      <c r="B95" s="90"/>
      <c r="C95" s="90"/>
      <c r="D95" s="90"/>
      <c r="E95" s="90"/>
      <c r="F95" s="90">
        <v>0.156</v>
      </c>
      <c r="G95" s="90"/>
      <c r="H95" s="90"/>
      <c r="I95" s="90"/>
      <c r="J95" s="90"/>
      <c r="K95" s="90"/>
      <c r="L95" s="90"/>
      <c r="M95" s="90"/>
      <c r="N95" s="90"/>
      <c r="P95" s="90">
        <f t="shared" si="8"/>
        <v>0.156</v>
      </c>
      <c r="Q95" s="90">
        <f>SUM($B95:E95)</f>
        <v>0</v>
      </c>
      <c r="R95" s="89"/>
      <c r="AH95" s="90">
        <f t="shared" si="9"/>
        <v>0</v>
      </c>
      <c r="AI95" s="90">
        <f t="shared" si="10"/>
        <v>0</v>
      </c>
      <c r="AJ95" s="89"/>
      <c r="AK95" s="88" t="s">
        <v>195</v>
      </c>
      <c r="AL95" s="90"/>
      <c r="AM95" s="90"/>
      <c r="AN95" s="90"/>
      <c r="AO95" s="90"/>
      <c r="AP95" s="90"/>
      <c r="AQ95" s="90"/>
      <c r="AR95" s="90"/>
      <c r="AS95" s="90"/>
      <c r="AT95" s="90"/>
      <c r="AU95" s="90">
        <v>0.22</v>
      </c>
      <c r="AV95" s="90"/>
      <c r="AW95" s="90"/>
      <c r="AX95" s="90"/>
      <c r="AY95" s="90"/>
      <c r="AZ95" s="90">
        <f t="shared" si="11"/>
        <v>0.22</v>
      </c>
      <c r="BA95" s="90">
        <f>ROUND(AZ95*IFERROR(VLOOKUP($AK95,'3121% SY'!$A$2:$M$324,13,FALSE),0),3)</f>
        <v>5.8999999999999997E-2</v>
      </c>
      <c r="BB95" s="90">
        <f t="shared" si="12"/>
        <v>0</v>
      </c>
      <c r="BC95" s="90">
        <f>ROUND(BB95*IFERROR(VLOOKUP($AK95,'3121% SY'!$A$2:$M$324,13,FALSE),0),3)</f>
        <v>0</v>
      </c>
    </row>
    <row r="96" spans="1:55" x14ac:dyDescent="0.25">
      <c r="A96" s="88" t="s">
        <v>132</v>
      </c>
      <c r="B96" s="90"/>
      <c r="C96" s="90"/>
      <c r="D96" s="90"/>
      <c r="E96" s="90"/>
      <c r="F96" s="90">
        <v>0.11</v>
      </c>
      <c r="G96" s="90"/>
      <c r="H96" s="90"/>
      <c r="I96" s="90"/>
      <c r="J96" s="90"/>
      <c r="K96" s="90"/>
      <c r="L96" s="90"/>
      <c r="M96" s="90"/>
      <c r="N96" s="90"/>
      <c r="P96" s="90">
        <f t="shared" si="8"/>
        <v>0.11</v>
      </c>
      <c r="Q96" s="90">
        <f>SUM($B96:E96)</f>
        <v>0</v>
      </c>
      <c r="R96" s="89"/>
      <c r="AH96" s="90">
        <f t="shared" si="9"/>
        <v>0</v>
      </c>
      <c r="AI96" s="90">
        <f t="shared" si="10"/>
        <v>0</v>
      </c>
      <c r="AJ96" s="89"/>
      <c r="AK96" s="88" t="s">
        <v>196</v>
      </c>
      <c r="AL96" s="90"/>
      <c r="AM96" s="90"/>
      <c r="AN96" s="90"/>
      <c r="AO96" s="90"/>
      <c r="AP96" s="90"/>
      <c r="AQ96" s="90"/>
      <c r="AR96" s="90"/>
      <c r="AS96" s="90"/>
      <c r="AT96" s="90">
        <v>0.49399999999999999</v>
      </c>
      <c r="AU96" s="90">
        <v>1</v>
      </c>
      <c r="AV96" s="90"/>
      <c r="AW96" s="90"/>
      <c r="AX96" s="90"/>
      <c r="AY96" s="90"/>
      <c r="AZ96" s="90">
        <f t="shared" si="11"/>
        <v>1.494</v>
      </c>
      <c r="BA96" s="90">
        <f>ROUND(AZ96*IFERROR(VLOOKUP($AK96,'3121% SY'!$A$2:$M$324,13,FALSE),0),3)</f>
        <v>0.371</v>
      </c>
      <c r="BB96" s="90">
        <f t="shared" si="12"/>
        <v>0</v>
      </c>
      <c r="BC96" s="90">
        <f>ROUND(BB96*IFERROR(VLOOKUP($AK96,'3121% SY'!$A$2:$M$324,13,FALSE),0),3)</f>
        <v>0</v>
      </c>
    </row>
    <row r="97" spans="1:55" x14ac:dyDescent="0.25">
      <c r="A97" s="88" t="s">
        <v>133</v>
      </c>
      <c r="B97" s="90"/>
      <c r="C97" s="90"/>
      <c r="D97" s="90"/>
      <c r="E97" s="90"/>
      <c r="F97" s="90">
        <v>9.5000000000000001E-2</v>
      </c>
      <c r="G97" s="90"/>
      <c r="H97" s="90"/>
      <c r="I97" s="90"/>
      <c r="J97" s="90"/>
      <c r="K97" s="90"/>
      <c r="L97" s="90"/>
      <c r="M97" s="90"/>
      <c r="N97" s="90"/>
      <c r="P97" s="90">
        <f t="shared" si="8"/>
        <v>9.5000000000000001E-2</v>
      </c>
      <c r="Q97" s="90">
        <f>SUM($B97:E97)</f>
        <v>0</v>
      </c>
      <c r="R97" s="89"/>
      <c r="AH97" s="90">
        <f t="shared" si="9"/>
        <v>0</v>
      </c>
      <c r="AI97" s="90">
        <f t="shared" si="10"/>
        <v>0</v>
      </c>
      <c r="AJ97" s="89"/>
      <c r="AK97" s="88" t="s">
        <v>197</v>
      </c>
      <c r="AL97" s="90"/>
      <c r="AM97" s="90"/>
      <c r="AN97" s="90"/>
      <c r="AO97" s="90"/>
      <c r="AP97" s="90"/>
      <c r="AQ97" s="90"/>
      <c r="AR97" s="90">
        <v>0.15</v>
      </c>
      <c r="AS97" s="90"/>
      <c r="AT97" s="90">
        <v>1.0469999999999999</v>
      </c>
      <c r="AU97" s="90">
        <v>1.766</v>
      </c>
      <c r="AV97" s="90"/>
      <c r="AW97" s="90">
        <v>7.4999999999999997E-2</v>
      </c>
      <c r="AX97" s="90"/>
      <c r="AY97" s="90"/>
      <c r="AZ97" s="90">
        <f t="shared" si="11"/>
        <v>3.0380000000000003</v>
      </c>
      <c r="BA97" s="90">
        <f>ROUND(AZ97*IFERROR(VLOOKUP($AK97,'3121% SY'!$A$2:$M$324,13,FALSE),0),3)</f>
        <v>0.94599999999999995</v>
      </c>
      <c r="BB97" s="90">
        <f t="shared" si="12"/>
        <v>0</v>
      </c>
      <c r="BC97" s="90">
        <f>ROUND(BB97*IFERROR(VLOOKUP($AK97,'3121% SY'!$A$2:$M$324,13,FALSE),0),3)</f>
        <v>0</v>
      </c>
    </row>
    <row r="98" spans="1:55" x14ac:dyDescent="0.25">
      <c r="A98" s="88" t="s">
        <v>135</v>
      </c>
      <c r="B98" s="90"/>
      <c r="C98" s="90"/>
      <c r="D98" s="90"/>
      <c r="E98" s="90"/>
      <c r="F98" s="90">
        <v>1</v>
      </c>
      <c r="G98" s="90"/>
      <c r="H98" s="90"/>
      <c r="I98" s="90"/>
      <c r="J98" s="90"/>
      <c r="K98" s="90">
        <v>0.65</v>
      </c>
      <c r="L98" s="90"/>
      <c r="M98" s="90"/>
      <c r="N98" s="90"/>
      <c r="P98" s="90">
        <f t="shared" si="8"/>
        <v>1.65</v>
      </c>
      <c r="Q98" s="90">
        <f>SUM($B98:E98)</f>
        <v>0</v>
      </c>
      <c r="R98" s="89"/>
      <c r="AH98" s="90">
        <f t="shared" si="9"/>
        <v>0</v>
      </c>
      <c r="AI98" s="90">
        <f t="shared" si="10"/>
        <v>0</v>
      </c>
      <c r="AJ98" s="89"/>
      <c r="AK98" s="88" t="s">
        <v>632</v>
      </c>
      <c r="AL98" s="90"/>
      <c r="AM98" s="90"/>
      <c r="AN98" s="90"/>
      <c r="AO98" s="90"/>
      <c r="AP98" s="90"/>
      <c r="AQ98" s="90"/>
      <c r="AR98" s="90"/>
      <c r="AS98" s="90"/>
      <c r="AT98" s="90">
        <v>0.2</v>
      </c>
      <c r="AU98" s="90"/>
      <c r="AV98" s="90"/>
      <c r="AW98" s="90"/>
      <c r="AX98" s="90"/>
      <c r="AY98" s="90"/>
      <c r="AZ98" s="90">
        <f t="shared" si="11"/>
        <v>0.2</v>
      </c>
      <c r="BA98" s="90">
        <f>ROUND(AZ98*IFERROR(VLOOKUP($AK98,'3121% SY'!$A$2:$M$324,13,FALSE),0),3)</f>
        <v>0.03</v>
      </c>
      <c r="BB98" s="90">
        <f t="shared" si="12"/>
        <v>0</v>
      </c>
      <c r="BC98" s="90">
        <f>ROUND(BB98*IFERROR(VLOOKUP($AK98,'3121% SY'!$A$2:$M$324,13,FALSE),0),3)</f>
        <v>0</v>
      </c>
    </row>
    <row r="99" spans="1:55" x14ac:dyDescent="0.25">
      <c r="A99" s="88" t="s">
        <v>136</v>
      </c>
      <c r="B99" s="90">
        <v>0.29599999999999999</v>
      </c>
      <c r="C99" s="90">
        <v>4.8000000000000001E-2</v>
      </c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P99" s="90">
        <f t="shared" si="8"/>
        <v>0</v>
      </c>
      <c r="Q99" s="90">
        <f>SUM($B99:E99)</f>
        <v>0.34399999999999997</v>
      </c>
      <c r="R99" s="89"/>
      <c r="AH99" s="90">
        <f t="shared" si="9"/>
        <v>0</v>
      </c>
      <c r="AI99" s="90">
        <f t="shared" si="10"/>
        <v>0</v>
      </c>
      <c r="AJ99" s="89"/>
      <c r="AK99" s="88" t="s">
        <v>200</v>
      </c>
      <c r="AL99" s="90"/>
      <c r="AM99" s="90"/>
      <c r="AN99" s="90"/>
      <c r="AO99" s="90"/>
      <c r="AP99" s="90"/>
      <c r="AQ99" s="90"/>
      <c r="AR99" s="90"/>
      <c r="AS99" s="90"/>
      <c r="AT99" s="90">
        <v>0.12</v>
      </c>
      <c r="AU99" s="90"/>
      <c r="AV99" s="90"/>
      <c r="AW99" s="90"/>
      <c r="AX99" s="90"/>
      <c r="AY99" s="90"/>
      <c r="AZ99" s="90">
        <f t="shared" si="11"/>
        <v>0.12</v>
      </c>
      <c r="BA99" s="90">
        <f>ROUND(AZ99*IFERROR(VLOOKUP($AK99,'3121% SY'!$A$2:$M$324,13,FALSE),0),3)</f>
        <v>2.1999999999999999E-2</v>
      </c>
      <c r="BB99" s="90">
        <f t="shared" si="12"/>
        <v>0</v>
      </c>
      <c r="BC99" s="90">
        <f>ROUND(BB99*IFERROR(VLOOKUP($AK99,'3121% SY'!$A$2:$M$324,13,FALSE),0),3)</f>
        <v>0</v>
      </c>
    </row>
    <row r="100" spans="1:55" x14ac:dyDescent="0.25">
      <c r="A100" s="88" t="s">
        <v>138</v>
      </c>
      <c r="B100" s="90"/>
      <c r="C100" s="90"/>
      <c r="D100" s="90">
        <v>5.5E-2</v>
      </c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P100" s="90">
        <f t="shared" si="8"/>
        <v>0</v>
      </c>
      <c r="Q100" s="90">
        <f>SUM($B100:E100)</f>
        <v>5.5E-2</v>
      </c>
      <c r="R100" s="89"/>
      <c r="AH100" s="90">
        <f t="shared" si="9"/>
        <v>0</v>
      </c>
      <c r="AI100" s="90">
        <f t="shared" si="10"/>
        <v>0</v>
      </c>
      <c r="AJ100" s="89"/>
      <c r="AK100" s="88" t="s">
        <v>203</v>
      </c>
      <c r="AL100" s="90"/>
      <c r="AM100" s="90"/>
      <c r="AN100" s="90"/>
      <c r="AO100" s="90"/>
      <c r="AP100" s="90"/>
      <c r="AQ100" s="90"/>
      <c r="AR100" s="90">
        <v>0.28100000000000003</v>
      </c>
      <c r="AS100" s="90"/>
      <c r="AT100" s="90">
        <v>0.52</v>
      </c>
      <c r="AU100" s="90"/>
      <c r="AV100" s="90"/>
      <c r="AW100" s="90">
        <v>8.8999999999999996E-2</v>
      </c>
      <c r="AX100" s="90"/>
      <c r="AY100" s="90"/>
      <c r="AZ100" s="90">
        <f t="shared" si="11"/>
        <v>0.89</v>
      </c>
      <c r="BA100" s="90">
        <f>ROUND(AZ100*IFERROR(VLOOKUP($AK100,'3121% SY'!$A$2:$M$324,13,FALSE),0),3)</f>
        <v>0.189</v>
      </c>
      <c r="BB100" s="90">
        <f t="shared" si="12"/>
        <v>0</v>
      </c>
      <c r="BC100" s="90">
        <f>ROUND(BB100*IFERROR(VLOOKUP($AK100,'3121% SY'!$A$2:$M$324,13,FALSE),0),3)</f>
        <v>0</v>
      </c>
    </row>
    <row r="101" spans="1:55" x14ac:dyDescent="0.25">
      <c r="A101" s="88" t="s">
        <v>140</v>
      </c>
      <c r="B101" s="90"/>
      <c r="C101" s="90"/>
      <c r="D101" s="90"/>
      <c r="E101" s="90"/>
      <c r="F101" s="90">
        <v>0.1</v>
      </c>
      <c r="G101" s="90"/>
      <c r="H101" s="90"/>
      <c r="I101" s="90"/>
      <c r="J101" s="90"/>
      <c r="K101" s="90"/>
      <c r="L101" s="90"/>
      <c r="M101" s="90"/>
      <c r="N101" s="90"/>
      <c r="P101" s="90">
        <f t="shared" si="8"/>
        <v>0.1</v>
      </c>
      <c r="Q101" s="90">
        <f>SUM($B101:E101)</f>
        <v>0</v>
      </c>
      <c r="R101" s="89"/>
      <c r="AH101" s="90">
        <f t="shared" si="9"/>
        <v>0</v>
      </c>
      <c r="AI101" s="90">
        <f t="shared" si="10"/>
        <v>0</v>
      </c>
      <c r="AJ101" s="89"/>
      <c r="AK101" s="88" t="s">
        <v>204</v>
      </c>
      <c r="AL101" s="90"/>
      <c r="AM101" s="90">
        <v>0.45500000000000002</v>
      </c>
      <c r="AN101" s="90">
        <v>0.45800000000000002</v>
      </c>
      <c r="AO101" s="90"/>
      <c r="AP101" s="90">
        <v>0.1</v>
      </c>
      <c r="AQ101" s="90"/>
      <c r="AR101" s="90">
        <v>0.1</v>
      </c>
      <c r="AS101" s="90"/>
      <c r="AT101" s="90">
        <v>0.4</v>
      </c>
      <c r="AU101" s="90">
        <v>0.9</v>
      </c>
      <c r="AV101" s="90"/>
      <c r="AW101" s="90">
        <v>0.13300000000000001</v>
      </c>
      <c r="AX101" s="90">
        <v>8.0000000000000002E-3</v>
      </c>
      <c r="AY101" s="90"/>
      <c r="AZ101" s="90">
        <f t="shared" si="11"/>
        <v>1.641</v>
      </c>
      <c r="BA101" s="90">
        <f>ROUND(AZ101*IFERROR(VLOOKUP($AK101,'3121% SY'!$A$2:$M$324,13,FALSE),0),3)</f>
        <v>0.38</v>
      </c>
      <c r="BB101" s="90">
        <f t="shared" si="12"/>
        <v>0.91300000000000003</v>
      </c>
      <c r="BC101" s="90">
        <f>ROUND(BB101*IFERROR(VLOOKUP($AK101,'3121% SY'!$A$2:$M$324,13,FALSE),0),3)</f>
        <v>0.21099999999999999</v>
      </c>
    </row>
    <row r="102" spans="1:55" x14ac:dyDescent="0.25">
      <c r="A102" s="88" t="s">
        <v>141</v>
      </c>
      <c r="B102" s="90"/>
      <c r="C102" s="90"/>
      <c r="D102" s="90"/>
      <c r="E102" s="90"/>
      <c r="F102" s="90">
        <v>0.5</v>
      </c>
      <c r="G102" s="90"/>
      <c r="H102" s="90"/>
      <c r="I102" s="90"/>
      <c r="J102" s="90"/>
      <c r="K102" s="90">
        <v>2.7E-2</v>
      </c>
      <c r="L102" s="90"/>
      <c r="M102" s="90"/>
      <c r="N102" s="90"/>
      <c r="P102" s="90">
        <f t="shared" si="8"/>
        <v>0.52700000000000002</v>
      </c>
      <c r="Q102" s="90">
        <f>SUM($B102:E102)</f>
        <v>0</v>
      </c>
      <c r="R102" s="89"/>
      <c r="AH102" s="90">
        <f t="shared" si="9"/>
        <v>0</v>
      </c>
      <c r="AI102" s="90">
        <f t="shared" si="10"/>
        <v>0</v>
      </c>
      <c r="AJ102" s="89"/>
      <c r="AK102" s="88" t="s">
        <v>205</v>
      </c>
      <c r="AL102" s="90"/>
      <c r="AM102" s="90"/>
      <c r="AN102" s="90"/>
      <c r="AO102" s="90"/>
      <c r="AP102" s="90"/>
      <c r="AQ102" s="90"/>
      <c r="AR102" s="90">
        <v>0.19800000000000001</v>
      </c>
      <c r="AS102" s="90"/>
      <c r="AT102" s="90">
        <v>0.2</v>
      </c>
      <c r="AU102" s="90">
        <v>0.6</v>
      </c>
      <c r="AV102" s="90"/>
      <c r="AW102" s="90">
        <v>6.4000000000000001E-2</v>
      </c>
      <c r="AX102" s="90"/>
      <c r="AY102" s="90"/>
      <c r="AZ102" s="90">
        <f t="shared" si="11"/>
        <v>1.0620000000000001</v>
      </c>
      <c r="BA102" s="90">
        <f>ROUND(AZ102*IFERROR(VLOOKUP($AK102,'3121% SY'!$A$2:$M$324,13,FALSE),0),3)</f>
        <v>0.21299999999999999</v>
      </c>
      <c r="BB102" s="90">
        <f t="shared" si="12"/>
        <v>0</v>
      </c>
      <c r="BC102" s="90">
        <f>ROUND(BB102*IFERROR(VLOOKUP($AK102,'3121% SY'!$A$2:$M$324,13,FALSE),0),3)</f>
        <v>0</v>
      </c>
    </row>
    <row r="103" spans="1:55" x14ac:dyDescent="0.25">
      <c r="A103" s="88" t="s">
        <v>143</v>
      </c>
      <c r="B103" s="90"/>
      <c r="C103" s="90"/>
      <c r="D103" s="90"/>
      <c r="E103" s="90"/>
      <c r="F103" s="90">
        <v>0.5</v>
      </c>
      <c r="G103" s="90"/>
      <c r="H103" s="90"/>
      <c r="I103" s="90"/>
      <c r="J103" s="90"/>
      <c r="K103" s="90"/>
      <c r="L103" s="90"/>
      <c r="M103" s="90"/>
      <c r="N103" s="90"/>
      <c r="P103" s="90">
        <f t="shared" si="8"/>
        <v>0.5</v>
      </c>
      <c r="Q103" s="90">
        <f>SUM($B103:E103)</f>
        <v>0</v>
      </c>
      <c r="R103" s="89"/>
      <c r="AH103" s="90">
        <f t="shared" si="9"/>
        <v>0</v>
      </c>
      <c r="AI103" s="90">
        <f t="shared" si="10"/>
        <v>0</v>
      </c>
      <c r="AJ103" s="89"/>
      <c r="AK103" s="88" t="s">
        <v>206</v>
      </c>
      <c r="AL103" s="90"/>
      <c r="AM103" s="90"/>
      <c r="AN103" s="90">
        <v>0.67400000000000004</v>
      </c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>
        <f t="shared" si="11"/>
        <v>0</v>
      </c>
      <c r="BA103" s="90">
        <f>ROUND(AZ103*IFERROR(VLOOKUP($AK103,'3121% SY'!$A$2:$M$324,13,FALSE),0),3)</f>
        <v>0</v>
      </c>
      <c r="BB103" s="90">
        <f t="shared" si="12"/>
        <v>0.67400000000000004</v>
      </c>
      <c r="BC103" s="90">
        <f>ROUND(BB103*IFERROR(VLOOKUP($AK103,'3121% SY'!$A$2:$M$324,13,FALSE),0),3)</f>
        <v>0.152</v>
      </c>
    </row>
    <row r="104" spans="1:55" x14ac:dyDescent="0.25">
      <c r="A104" s="88" t="s">
        <v>145</v>
      </c>
      <c r="B104" s="90"/>
      <c r="C104" s="90"/>
      <c r="D104" s="90">
        <v>0.17699999999999999</v>
      </c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P104" s="90">
        <f t="shared" si="8"/>
        <v>0</v>
      </c>
      <c r="Q104" s="90">
        <f>SUM($B104:E104)</f>
        <v>0.17699999999999999</v>
      </c>
      <c r="R104" s="89"/>
      <c r="AH104" s="90">
        <f t="shared" si="9"/>
        <v>0</v>
      </c>
      <c r="AI104" s="90">
        <f t="shared" si="10"/>
        <v>0</v>
      </c>
      <c r="AJ104" s="89"/>
      <c r="AK104" s="88" t="s">
        <v>208</v>
      </c>
      <c r="AL104" s="90"/>
      <c r="AM104" s="90"/>
      <c r="AN104" s="90"/>
      <c r="AO104" s="90"/>
      <c r="AP104" s="90"/>
      <c r="AQ104" s="90"/>
      <c r="AR104" s="90"/>
      <c r="AS104" s="90"/>
      <c r="AT104" s="90">
        <v>1.1719999999999999</v>
      </c>
      <c r="AU104" s="90"/>
      <c r="AV104" s="90"/>
      <c r="AW104" s="90">
        <v>0.18</v>
      </c>
      <c r="AX104" s="90"/>
      <c r="AY104" s="90"/>
      <c r="AZ104" s="90">
        <f t="shared" si="11"/>
        <v>1.3519999999999999</v>
      </c>
      <c r="BA104" s="90">
        <f>ROUND(AZ104*IFERROR(VLOOKUP($AK104,'3121% SY'!$A$2:$M$324,13,FALSE),0),3)</f>
        <v>0.35299999999999998</v>
      </c>
      <c r="BB104" s="90">
        <f t="shared" si="12"/>
        <v>0</v>
      </c>
      <c r="BC104" s="90">
        <f>ROUND(BB104*IFERROR(VLOOKUP($AK104,'3121% SY'!$A$2:$M$324,13,FALSE),0),3)</f>
        <v>0</v>
      </c>
    </row>
    <row r="105" spans="1:55" x14ac:dyDescent="0.25">
      <c r="A105" s="88" t="s">
        <v>146</v>
      </c>
      <c r="B105" s="90"/>
      <c r="C105" s="90"/>
      <c r="D105" s="90">
        <v>0.13200000000000001</v>
      </c>
      <c r="E105" s="90"/>
      <c r="F105" s="90">
        <v>0.151</v>
      </c>
      <c r="G105" s="90"/>
      <c r="H105" s="90"/>
      <c r="I105" s="90"/>
      <c r="J105" s="90"/>
      <c r="K105" s="90"/>
      <c r="L105" s="90"/>
      <c r="M105" s="90"/>
      <c r="N105" s="90"/>
      <c r="P105" s="90">
        <f t="shared" si="8"/>
        <v>0.151</v>
      </c>
      <c r="Q105" s="90">
        <f>SUM($B105:E105)</f>
        <v>0.13200000000000001</v>
      </c>
      <c r="R105" s="89"/>
      <c r="AH105" s="90">
        <f t="shared" si="9"/>
        <v>0</v>
      </c>
      <c r="AI105" s="90">
        <f t="shared" si="10"/>
        <v>0</v>
      </c>
      <c r="AJ105" s="89"/>
      <c r="AK105" s="88" t="s">
        <v>213</v>
      </c>
      <c r="AL105" s="90"/>
      <c r="AM105" s="90"/>
      <c r="AN105" s="90"/>
      <c r="AO105" s="90"/>
      <c r="AP105" s="90"/>
      <c r="AQ105" s="90"/>
      <c r="AR105" s="90">
        <v>0.6</v>
      </c>
      <c r="AS105" s="90"/>
      <c r="AT105" s="90">
        <v>5.3860000000000001</v>
      </c>
      <c r="AU105" s="90">
        <v>2.4</v>
      </c>
      <c r="AV105" s="90"/>
      <c r="AW105" s="90">
        <v>1</v>
      </c>
      <c r="AX105" s="90">
        <v>0.37</v>
      </c>
      <c r="AY105" s="90"/>
      <c r="AZ105" s="90">
        <f t="shared" si="11"/>
        <v>9.7559999999999985</v>
      </c>
      <c r="BA105" s="90">
        <f>ROUND(AZ105*IFERROR(VLOOKUP($AK105,'3121% SY'!$A$2:$M$324,13,FALSE),0),3)</f>
        <v>2.9089999999999998</v>
      </c>
      <c r="BB105" s="90">
        <f t="shared" si="12"/>
        <v>0</v>
      </c>
      <c r="BC105" s="90">
        <f>ROUND(BB105*IFERROR(VLOOKUP($AK105,'3121% SY'!$A$2:$M$324,13,FALSE),0),3)</f>
        <v>0</v>
      </c>
    </row>
    <row r="106" spans="1:55" x14ac:dyDescent="0.25">
      <c r="A106" s="88" t="s">
        <v>147</v>
      </c>
      <c r="B106" s="90"/>
      <c r="C106" s="90"/>
      <c r="D106" s="90"/>
      <c r="E106" s="90"/>
      <c r="F106" s="90">
        <v>0.33</v>
      </c>
      <c r="G106" s="90"/>
      <c r="H106" s="90"/>
      <c r="I106" s="90"/>
      <c r="J106" s="90"/>
      <c r="K106" s="90"/>
      <c r="L106" s="90"/>
      <c r="M106" s="90"/>
      <c r="N106" s="90"/>
      <c r="P106" s="90">
        <f t="shared" si="8"/>
        <v>0.33</v>
      </c>
      <c r="Q106" s="90">
        <f>SUM($B106:E106)</f>
        <v>0</v>
      </c>
      <c r="R106" s="89"/>
      <c r="AH106" s="90">
        <f t="shared" si="9"/>
        <v>0</v>
      </c>
      <c r="AI106" s="90">
        <f t="shared" si="10"/>
        <v>0</v>
      </c>
      <c r="AJ106" s="89"/>
      <c r="AK106" s="88" t="s">
        <v>214</v>
      </c>
      <c r="AL106" s="90"/>
      <c r="AM106" s="90"/>
      <c r="AN106" s="90"/>
      <c r="AO106" s="90"/>
      <c r="AP106" s="90"/>
      <c r="AQ106" s="90"/>
      <c r="AR106" s="90"/>
      <c r="AS106" s="90"/>
      <c r="AT106" s="90">
        <v>2</v>
      </c>
      <c r="AU106" s="90">
        <v>3</v>
      </c>
      <c r="AV106" s="90"/>
      <c r="AW106" s="90"/>
      <c r="AX106" s="90"/>
      <c r="AY106" s="90"/>
      <c r="AZ106" s="90">
        <f t="shared" si="11"/>
        <v>5</v>
      </c>
      <c r="BA106" s="90">
        <f>ROUND(AZ106*IFERROR(VLOOKUP($AK106,'3121% SY'!$A$2:$M$324,13,FALSE),0),3)</f>
        <v>1.3280000000000001</v>
      </c>
      <c r="BB106" s="90">
        <f t="shared" si="12"/>
        <v>0</v>
      </c>
      <c r="BC106" s="90">
        <f>ROUND(BB106*IFERROR(VLOOKUP($AK106,'3121% SY'!$A$2:$M$324,13,FALSE),0),3)</f>
        <v>0</v>
      </c>
    </row>
    <row r="107" spans="1:55" x14ac:dyDescent="0.25">
      <c r="A107" s="88" t="s">
        <v>148</v>
      </c>
      <c r="B107" s="90">
        <v>0.44600000000000001</v>
      </c>
      <c r="C107" s="90"/>
      <c r="D107" s="90"/>
      <c r="E107" s="90"/>
      <c r="F107" s="90">
        <v>1.667</v>
      </c>
      <c r="G107" s="90"/>
      <c r="H107" s="90"/>
      <c r="I107" s="90"/>
      <c r="J107" s="90"/>
      <c r="K107" s="90"/>
      <c r="L107" s="90"/>
      <c r="M107" s="90"/>
      <c r="N107" s="90"/>
      <c r="P107" s="90">
        <f t="shared" si="8"/>
        <v>1.667</v>
      </c>
      <c r="Q107" s="90">
        <f>SUM($B107:E107)</f>
        <v>0.44600000000000001</v>
      </c>
      <c r="R107" s="89"/>
      <c r="AH107" s="90">
        <f t="shared" si="9"/>
        <v>0</v>
      </c>
      <c r="AI107" s="90">
        <f t="shared" si="10"/>
        <v>0</v>
      </c>
      <c r="AJ107" s="89"/>
      <c r="AK107" s="88" t="s">
        <v>215</v>
      </c>
      <c r="AL107" s="90"/>
      <c r="AM107" s="90"/>
      <c r="AN107" s="90"/>
      <c r="AO107" s="90"/>
      <c r="AP107" s="90"/>
      <c r="AQ107" s="90"/>
      <c r="AR107" s="90">
        <v>1.5229999999999999</v>
      </c>
      <c r="AS107" s="90"/>
      <c r="AT107" s="90">
        <v>3.1930000000000001</v>
      </c>
      <c r="AU107" s="90">
        <v>1.5069999999999999</v>
      </c>
      <c r="AV107" s="90"/>
      <c r="AW107" s="90">
        <v>0.32500000000000001</v>
      </c>
      <c r="AX107" s="90"/>
      <c r="AY107" s="90"/>
      <c r="AZ107" s="90">
        <f t="shared" si="11"/>
        <v>6.548</v>
      </c>
      <c r="BA107" s="90">
        <f>ROUND(AZ107*IFERROR(VLOOKUP($AK107,'3121% SY'!$A$2:$M$324,13,FALSE),0),3)</f>
        <v>1.843</v>
      </c>
      <c r="BB107" s="90">
        <f t="shared" si="12"/>
        <v>0</v>
      </c>
      <c r="BC107" s="90">
        <f>ROUND(BB107*IFERROR(VLOOKUP($AK107,'3121% SY'!$A$2:$M$324,13,FALSE),0),3)</f>
        <v>0</v>
      </c>
    </row>
    <row r="108" spans="1:55" x14ac:dyDescent="0.25">
      <c r="A108" s="88" t="s">
        <v>149</v>
      </c>
      <c r="B108" s="90"/>
      <c r="C108" s="90"/>
      <c r="D108" s="90"/>
      <c r="E108" s="90"/>
      <c r="F108" s="90"/>
      <c r="G108" s="90"/>
      <c r="H108" s="90"/>
      <c r="I108" s="90"/>
      <c r="J108" s="90"/>
      <c r="K108" s="90">
        <v>8.1000000000000003E-2</v>
      </c>
      <c r="L108" s="90"/>
      <c r="M108" s="90"/>
      <c r="N108" s="90"/>
      <c r="P108" s="90">
        <f t="shared" si="8"/>
        <v>8.1000000000000003E-2</v>
      </c>
      <c r="Q108" s="90">
        <f>SUM($B108:E108)</f>
        <v>0</v>
      </c>
      <c r="R108" s="89"/>
      <c r="AH108" s="90">
        <f t="shared" si="9"/>
        <v>0</v>
      </c>
      <c r="AI108" s="90">
        <f t="shared" si="10"/>
        <v>0</v>
      </c>
      <c r="AJ108" s="89"/>
      <c r="AK108" s="88" t="s">
        <v>216</v>
      </c>
      <c r="AL108" s="90"/>
      <c r="AM108" s="90"/>
      <c r="AN108" s="90"/>
      <c r="AO108" s="90"/>
      <c r="AP108" s="90"/>
      <c r="AQ108" s="90"/>
      <c r="AR108" s="90"/>
      <c r="AS108" s="90"/>
      <c r="AT108" s="90"/>
      <c r="AU108" s="90">
        <v>1.7</v>
      </c>
      <c r="AV108" s="90"/>
      <c r="AW108" s="90"/>
      <c r="AX108" s="90"/>
      <c r="AY108" s="90"/>
      <c r="AZ108" s="90">
        <f t="shared" si="11"/>
        <v>1.7</v>
      </c>
      <c r="BA108" s="90">
        <f>ROUND(AZ108*IFERROR(VLOOKUP($AK108,'3121% SY'!$A$2:$M$324,13,FALSE),0),3)</f>
        <v>0.501</v>
      </c>
      <c r="BB108" s="90">
        <f t="shared" si="12"/>
        <v>0</v>
      </c>
      <c r="BC108" s="90">
        <f>ROUND(BB108*IFERROR(VLOOKUP($AK108,'3121% SY'!$A$2:$M$324,13,FALSE),0),3)</f>
        <v>0</v>
      </c>
    </row>
    <row r="109" spans="1:55" x14ac:dyDescent="0.25">
      <c r="A109" s="88" t="s">
        <v>150</v>
      </c>
      <c r="B109" s="90"/>
      <c r="C109" s="90"/>
      <c r="D109" s="90">
        <v>0.752</v>
      </c>
      <c r="E109" s="90"/>
      <c r="F109" s="90">
        <v>1.5</v>
      </c>
      <c r="G109" s="90"/>
      <c r="H109" s="90"/>
      <c r="I109" s="90"/>
      <c r="J109" s="90"/>
      <c r="K109" s="90"/>
      <c r="L109" s="90"/>
      <c r="M109" s="90"/>
      <c r="N109" s="90"/>
      <c r="P109" s="90">
        <f t="shared" si="8"/>
        <v>1.5</v>
      </c>
      <c r="Q109" s="90">
        <f>SUM($B109:E109)</f>
        <v>0.752</v>
      </c>
      <c r="R109" s="89"/>
      <c r="AH109" s="90">
        <f t="shared" si="9"/>
        <v>0</v>
      </c>
      <c r="AI109" s="90">
        <f t="shared" si="10"/>
        <v>0</v>
      </c>
      <c r="AJ109" s="89"/>
      <c r="AK109" s="88" t="s">
        <v>217</v>
      </c>
      <c r="AL109" s="90"/>
      <c r="AM109" s="90"/>
      <c r="AN109" s="90">
        <v>0.219</v>
      </c>
      <c r="AO109" s="90"/>
      <c r="AP109" s="90"/>
      <c r="AQ109" s="90"/>
      <c r="AR109" s="90">
        <v>0.77300000000000002</v>
      </c>
      <c r="AS109" s="90"/>
      <c r="AT109" s="90">
        <v>1.006</v>
      </c>
      <c r="AU109" s="90"/>
      <c r="AV109" s="90"/>
      <c r="AW109" s="90">
        <v>9.0999999999999998E-2</v>
      </c>
      <c r="AX109" s="90"/>
      <c r="AY109" s="90"/>
      <c r="AZ109" s="90">
        <f t="shared" si="11"/>
        <v>1.8699999999999999</v>
      </c>
      <c r="BA109" s="90">
        <f>ROUND(AZ109*IFERROR(VLOOKUP($AK109,'3121% SY'!$A$2:$M$324,13,FALSE),0),3)</f>
        <v>0.435</v>
      </c>
      <c r="BB109" s="90">
        <f t="shared" si="12"/>
        <v>0.219</v>
      </c>
      <c r="BC109" s="90">
        <f>ROUND(BB109*IFERROR(VLOOKUP($AK109,'3121% SY'!$A$2:$M$324,13,FALSE),0),3)</f>
        <v>5.0999999999999997E-2</v>
      </c>
    </row>
    <row r="110" spans="1:55" x14ac:dyDescent="0.25">
      <c r="A110" s="88" t="s">
        <v>152</v>
      </c>
      <c r="B110" s="90"/>
      <c r="C110" s="90">
        <v>0.161</v>
      </c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P110" s="90">
        <f t="shared" si="8"/>
        <v>0</v>
      </c>
      <c r="Q110" s="90">
        <f>SUM($B110:E110)</f>
        <v>0.161</v>
      </c>
      <c r="R110" s="89"/>
      <c r="AH110" s="90">
        <f t="shared" si="9"/>
        <v>0</v>
      </c>
      <c r="AI110" s="90">
        <f t="shared" si="10"/>
        <v>0</v>
      </c>
      <c r="AJ110" s="89"/>
      <c r="AK110" s="88" t="s">
        <v>218</v>
      </c>
      <c r="AL110" s="90"/>
      <c r="AM110" s="90"/>
      <c r="AN110" s="90"/>
      <c r="AO110" s="90"/>
      <c r="AP110" s="90"/>
      <c r="AQ110" s="90"/>
      <c r="AR110" s="90"/>
      <c r="AS110" s="90"/>
      <c r="AT110" s="90">
        <v>1</v>
      </c>
      <c r="AU110" s="90">
        <v>4</v>
      </c>
      <c r="AV110" s="90"/>
      <c r="AW110" s="90"/>
      <c r="AX110" s="90"/>
      <c r="AY110" s="90"/>
      <c r="AZ110" s="90">
        <f t="shared" si="11"/>
        <v>5</v>
      </c>
      <c r="BA110" s="90">
        <f>ROUND(AZ110*IFERROR(VLOOKUP($AK110,'3121% SY'!$A$2:$M$324,13,FALSE),0),3)</f>
        <v>1.514</v>
      </c>
      <c r="BB110" s="90">
        <f t="shared" si="12"/>
        <v>0</v>
      </c>
      <c r="BC110" s="90">
        <f>ROUND(BB110*IFERROR(VLOOKUP($AK110,'3121% SY'!$A$2:$M$324,13,FALSE),0),3)</f>
        <v>0</v>
      </c>
    </row>
    <row r="111" spans="1:55" x14ac:dyDescent="0.25">
      <c r="A111" s="88" t="s">
        <v>153</v>
      </c>
      <c r="B111" s="90"/>
      <c r="C111" s="90"/>
      <c r="D111" s="90"/>
      <c r="E111" s="90"/>
      <c r="F111" s="90">
        <v>0.14399999999999999</v>
      </c>
      <c r="G111" s="90"/>
      <c r="H111" s="90"/>
      <c r="I111" s="90"/>
      <c r="J111" s="90"/>
      <c r="K111" s="90"/>
      <c r="L111" s="90"/>
      <c r="M111" s="90"/>
      <c r="N111" s="90"/>
      <c r="P111" s="90">
        <f t="shared" si="8"/>
        <v>0.14399999999999999</v>
      </c>
      <c r="Q111" s="90">
        <f>SUM($B111:E111)</f>
        <v>0</v>
      </c>
      <c r="R111" s="89"/>
      <c r="AH111" s="90">
        <f t="shared" si="9"/>
        <v>0</v>
      </c>
      <c r="AI111" s="90">
        <f t="shared" si="10"/>
        <v>0</v>
      </c>
      <c r="AJ111" s="89"/>
      <c r="AK111" s="88" t="s">
        <v>220</v>
      </c>
      <c r="AL111" s="90"/>
      <c r="AM111" s="90"/>
      <c r="AN111" s="90"/>
      <c r="AO111" s="90"/>
      <c r="AP111" s="90"/>
      <c r="AQ111" s="90"/>
      <c r="AR111" s="90">
        <v>0.505</v>
      </c>
      <c r="AS111" s="90"/>
      <c r="AT111" s="90">
        <v>0.317</v>
      </c>
      <c r="AU111" s="90">
        <v>0.63500000000000001</v>
      </c>
      <c r="AV111" s="90"/>
      <c r="AW111" s="90">
        <v>0.16600000000000001</v>
      </c>
      <c r="AX111" s="90"/>
      <c r="AY111" s="90">
        <v>1.982</v>
      </c>
      <c r="AZ111" s="90">
        <f t="shared" si="11"/>
        <v>3.605</v>
      </c>
      <c r="BA111" s="90">
        <f>ROUND(AZ111*IFERROR(VLOOKUP($AK111,'3121% SY'!$A$2:$M$324,13,FALSE),0),3)</f>
        <v>0.73899999999999999</v>
      </c>
      <c r="BB111" s="90">
        <f t="shared" si="12"/>
        <v>0</v>
      </c>
      <c r="BC111" s="90">
        <f>ROUND(BB111*IFERROR(VLOOKUP($AK111,'3121% SY'!$A$2:$M$324,13,FALSE),0),3)</f>
        <v>0</v>
      </c>
    </row>
    <row r="112" spans="1:55" x14ac:dyDescent="0.25">
      <c r="A112" s="88" t="s">
        <v>155</v>
      </c>
      <c r="B112" s="90"/>
      <c r="C112" s="90"/>
      <c r="D112" s="90"/>
      <c r="E112" s="90"/>
      <c r="F112" s="90">
        <v>0.16500000000000001</v>
      </c>
      <c r="G112" s="90"/>
      <c r="H112" s="90"/>
      <c r="I112" s="90"/>
      <c r="J112" s="90"/>
      <c r="K112" s="90"/>
      <c r="L112" s="90"/>
      <c r="M112" s="90"/>
      <c r="N112" s="90"/>
      <c r="P112" s="90">
        <f t="shared" si="8"/>
        <v>0.16500000000000001</v>
      </c>
      <c r="Q112" s="90">
        <f>SUM($B112:E112)</f>
        <v>0</v>
      </c>
      <c r="R112" s="89"/>
      <c r="AH112" s="90">
        <f t="shared" si="9"/>
        <v>0</v>
      </c>
      <c r="AI112" s="90">
        <f t="shared" si="10"/>
        <v>0</v>
      </c>
      <c r="AJ112" s="89"/>
      <c r="AK112" s="88" t="s">
        <v>221</v>
      </c>
      <c r="AL112" s="90"/>
      <c r="AM112" s="90"/>
      <c r="AN112" s="90">
        <v>0.59399999999999997</v>
      </c>
      <c r="AO112" s="90"/>
      <c r="AP112" s="90"/>
      <c r="AQ112" s="90"/>
      <c r="AR112" s="90">
        <v>0.75</v>
      </c>
      <c r="AS112" s="90"/>
      <c r="AT112" s="90">
        <v>2.4119999999999999</v>
      </c>
      <c r="AU112" s="90">
        <v>1.32</v>
      </c>
      <c r="AV112" s="90"/>
      <c r="AW112" s="90">
        <v>0.3</v>
      </c>
      <c r="AX112" s="90"/>
      <c r="AY112" s="90"/>
      <c r="AZ112" s="90">
        <f t="shared" si="11"/>
        <v>4.782</v>
      </c>
      <c r="BA112" s="90">
        <f>ROUND(AZ112*IFERROR(VLOOKUP($AK112,'3121% SY'!$A$2:$M$324,13,FALSE),0),3)</f>
        <v>1.1060000000000001</v>
      </c>
      <c r="BB112" s="90">
        <f t="shared" si="12"/>
        <v>0.59399999999999997</v>
      </c>
      <c r="BC112" s="90">
        <f>ROUND(BB112*IFERROR(VLOOKUP($AK112,'3121% SY'!$A$2:$M$324,13,FALSE),0),3)</f>
        <v>0.13700000000000001</v>
      </c>
    </row>
    <row r="113" spans="1:55" x14ac:dyDescent="0.25">
      <c r="A113" s="88" t="s">
        <v>160</v>
      </c>
      <c r="B113" s="90"/>
      <c r="C113" s="90"/>
      <c r="D113" s="90"/>
      <c r="E113" s="90"/>
      <c r="F113" s="90">
        <v>0.217</v>
      </c>
      <c r="G113" s="90"/>
      <c r="H113" s="90"/>
      <c r="I113" s="90"/>
      <c r="J113" s="90"/>
      <c r="K113" s="90"/>
      <c r="L113" s="90"/>
      <c r="M113" s="90"/>
      <c r="N113" s="90"/>
      <c r="P113" s="90">
        <f t="shared" si="8"/>
        <v>0.217</v>
      </c>
      <c r="Q113" s="90">
        <f>SUM($B113:E113)</f>
        <v>0</v>
      </c>
      <c r="R113" s="89"/>
      <c r="AH113" s="90">
        <f t="shared" si="9"/>
        <v>0</v>
      </c>
      <c r="AI113" s="90">
        <f t="shared" si="10"/>
        <v>0</v>
      </c>
      <c r="AJ113" s="89"/>
      <c r="AK113" s="88" t="s">
        <v>222</v>
      </c>
      <c r="AL113" s="90"/>
      <c r="AM113" s="90"/>
      <c r="AN113" s="90"/>
      <c r="AO113" s="90"/>
      <c r="AP113" s="90"/>
      <c r="AQ113" s="90"/>
      <c r="AR113" s="90"/>
      <c r="AS113" s="90"/>
      <c r="AT113" s="90">
        <v>0.29499999999999998</v>
      </c>
      <c r="AU113" s="90"/>
      <c r="AV113" s="90"/>
      <c r="AW113" s="90"/>
      <c r="AX113" s="90"/>
      <c r="AY113" s="90"/>
      <c r="AZ113" s="90">
        <f t="shared" si="11"/>
        <v>0.29499999999999998</v>
      </c>
      <c r="BA113" s="90">
        <f>ROUND(AZ113*IFERROR(VLOOKUP($AK113,'3121% SY'!$A$2:$M$324,13,FALSE),0),3)</f>
        <v>8.1000000000000003E-2</v>
      </c>
      <c r="BB113" s="90">
        <f t="shared" si="12"/>
        <v>0</v>
      </c>
      <c r="BC113" s="90">
        <f>ROUND(BB113*IFERROR(VLOOKUP($AK113,'3121% SY'!$A$2:$M$324,13,FALSE),0),3)</f>
        <v>0</v>
      </c>
    </row>
    <row r="114" spans="1:55" x14ac:dyDescent="0.25">
      <c r="A114" s="88" t="s">
        <v>161</v>
      </c>
      <c r="B114" s="90"/>
      <c r="C114" s="90"/>
      <c r="D114" s="90">
        <v>0.63600000000000001</v>
      </c>
      <c r="E114" s="90"/>
      <c r="F114" s="90">
        <v>1.6</v>
      </c>
      <c r="G114" s="90"/>
      <c r="H114" s="90"/>
      <c r="I114" s="90"/>
      <c r="J114" s="90"/>
      <c r="K114" s="90">
        <v>0.5</v>
      </c>
      <c r="L114" s="90"/>
      <c r="M114" s="90"/>
      <c r="N114" s="90"/>
      <c r="P114" s="90">
        <f t="shared" si="8"/>
        <v>2.1</v>
      </c>
      <c r="Q114" s="90">
        <f>SUM($B114:E114)</f>
        <v>0.63600000000000001</v>
      </c>
      <c r="R114" s="89"/>
      <c r="AH114" s="90">
        <f t="shared" si="9"/>
        <v>0</v>
      </c>
      <c r="AI114" s="90">
        <f t="shared" si="10"/>
        <v>0</v>
      </c>
      <c r="AJ114" s="89"/>
      <c r="AK114" s="88" t="s">
        <v>223</v>
      </c>
      <c r="AL114" s="90"/>
      <c r="AM114" s="90"/>
      <c r="AN114" s="90"/>
      <c r="AO114" s="90"/>
      <c r="AP114" s="90"/>
      <c r="AQ114" s="90"/>
      <c r="AR114" s="90"/>
      <c r="AS114" s="90"/>
      <c r="AT114" s="90"/>
      <c r="AU114" s="90">
        <v>8.3000000000000004E-2</v>
      </c>
      <c r="AV114" s="90"/>
      <c r="AW114" s="90"/>
      <c r="AX114" s="90"/>
      <c r="AY114" s="90"/>
      <c r="AZ114" s="90">
        <f t="shared" si="11"/>
        <v>8.3000000000000004E-2</v>
      </c>
      <c r="BA114" s="90">
        <f>ROUND(AZ114*IFERROR(VLOOKUP($AK114,'3121% SY'!$A$2:$M$324,13,FALSE),0),3)</f>
        <v>2.5000000000000001E-2</v>
      </c>
      <c r="BB114" s="90">
        <f t="shared" si="12"/>
        <v>0</v>
      </c>
      <c r="BC114" s="90">
        <f>ROUND(BB114*IFERROR(VLOOKUP($AK114,'3121% SY'!$A$2:$M$324,13,FALSE),0),3)</f>
        <v>0</v>
      </c>
    </row>
    <row r="115" spans="1:55" x14ac:dyDescent="0.25">
      <c r="A115" s="88" t="s">
        <v>163</v>
      </c>
      <c r="B115" s="90"/>
      <c r="C115" s="90"/>
      <c r="D115" s="90"/>
      <c r="E115" s="90"/>
      <c r="F115" s="90">
        <v>0.66</v>
      </c>
      <c r="G115" s="90"/>
      <c r="H115" s="90"/>
      <c r="I115" s="90"/>
      <c r="J115" s="90"/>
      <c r="K115" s="90"/>
      <c r="L115" s="90"/>
      <c r="M115" s="90"/>
      <c r="N115" s="90"/>
      <c r="P115" s="90">
        <f t="shared" si="8"/>
        <v>0.66</v>
      </c>
      <c r="Q115" s="90">
        <f>SUM($B115:E115)</f>
        <v>0</v>
      </c>
      <c r="R115" s="89"/>
      <c r="AH115" s="90">
        <f t="shared" si="9"/>
        <v>0</v>
      </c>
      <c r="AI115" s="90">
        <f t="shared" si="10"/>
        <v>0</v>
      </c>
      <c r="AJ115" s="89"/>
      <c r="AK115" s="88" t="s">
        <v>226</v>
      </c>
      <c r="AL115" s="90"/>
      <c r="AM115" s="90"/>
      <c r="AN115" s="90">
        <v>0.56100000000000005</v>
      </c>
      <c r="AO115" s="90"/>
      <c r="AP115" s="90"/>
      <c r="AQ115" s="90"/>
      <c r="AR115" s="90"/>
      <c r="AS115" s="90"/>
      <c r="AT115" s="90">
        <v>1.56</v>
      </c>
      <c r="AU115" s="90">
        <v>1</v>
      </c>
      <c r="AV115" s="90"/>
      <c r="AW115" s="90"/>
      <c r="AX115" s="90"/>
      <c r="AY115" s="90"/>
      <c r="AZ115" s="90">
        <f t="shared" si="11"/>
        <v>2.56</v>
      </c>
      <c r="BA115" s="90">
        <f>ROUND(AZ115*IFERROR(VLOOKUP($AK115,'3121% SY'!$A$2:$M$324,13,FALSE),0),3)</f>
        <v>0.58799999999999997</v>
      </c>
      <c r="BB115" s="90">
        <f t="shared" si="12"/>
        <v>0.56100000000000005</v>
      </c>
      <c r="BC115" s="90">
        <f>ROUND(BB115*IFERROR(VLOOKUP($AK115,'3121% SY'!$A$2:$M$324,13,FALSE),0),3)</f>
        <v>0.129</v>
      </c>
    </row>
    <row r="116" spans="1:55" x14ac:dyDescent="0.25">
      <c r="A116" s="88" t="s">
        <v>164</v>
      </c>
      <c r="B116" s="90"/>
      <c r="C116" s="90"/>
      <c r="D116" s="90"/>
      <c r="E116" s="90"/>
      <c r="F116" s="90">
        <v>1.3380000000000001</v>
      </c>
      <c r="G116" s="90"/>
      <c r="H116" s="90"/>
      <c r="I116" s="90"/>
      <c r="J116" s="90"/>
      <c r="K116" s="90"/>
      <c r="L116" s="90"/>
      <c r="M116" s="90"/>
      <c r="N116" s="90"/>
      <c r="P116" s="90">
        <f t="shared" si="8"/>
        <v>1.3380000000000001</v>
      </c>
      <c r="Q116" s="90">
        <f>SUM($B116:E116)</f>
        <v>0</v>
      </c>
      <c r="R116" s="89"/>
      <c r="AH116" s="90">
        <f t="shared" si="9"/>
        <v>0</v>
      </c>
      <c r="AI116" s="90">
        <f t="shared" si="10"/>
        <v>0</v>
      </c>
      <c r="AJ116" s="89"/>
      <c r="AK116" s="88" t="s">
        <v>1</v>
      </c>
      <c r="AL116" s="90"/>
      <c r="AM116" s="90"/>
      <c r="AN116" s="90"/>
      <c r="AO116" s="90"/>
      <c r="AP116" s="90">
        <v>0.73799999999999999</v>
      </c>
      <c r="AQ116" s="90"/>
      <c r="AR116" s="90">
        <v>2.0979999999999999</v>
      </c>
      <c r="AS116" s="90"/>
      <c r="AT116" s="90">
        <v>0.82799999999999996</v>
      </c>
      <c r="AU116" s="90">
        <v>6.88</v>
      </c>
      <c r="AV116" s="90">
        <v>0.05</v>
      </c>
      <c r="AW116" s="90">
        <v>1.0780000000000001</v>
      </c>
      <c r="AX116" s="90"/>
      <c r="AY116" s="90"/>
      <c r="AZ116" s="90">
        <f t="shared" si="11"/>
        <v>11.672000000000001</v>
      </c>
      <c r="BA116" s="90">
        <f>ROUND(AZ116*IFERROR(VLOOKUP($AK116,'3121% SY'!$A$2:$M$324,13,FALSE),0),3)</f>
        <v>2.835</v>
      </c>
      <c r="BB116" s="90">
        <f t="shared" si="12"/>
        <v>0</v>
      </c>
      <c r="BC116" s="90">
        <f>ROUND(BB116*IFERROR(VLOOKUP($AK116,'3121% SY'!$A$2:$M$324,13,FALSE),0),3)</f>
        <v>0</v>
      </c>
    </row>
    <row r="117" spans="1:55" x14ac:dyDescent="0.25">
      <c r="A117" s="88" t="s">
        <v>165</v>
      </c>
      <c r="B117" s="90"/>
      <c r="C117" s="90"/>
      <c r="D117" s="90"/>
      <c r="E117" s="90"/>
      <c r="F117" s="90">
        <v>0.222</v>
      </c>
      <c r="G117" s="90"/>
      <c r="H117" s="90"/>
      <c r="I117" s="90"/>
      <c r="J117" s="90"/>
      <c r="K117" s="90">
        <v>8.7999999999999995E-2</v>
      </c>
      <c r="L117" s="90"/>
      <c r="M117" s="90"/>
      <c r="N117" s="90"/>
      <c r="P117" s="90">
        <f t="shared" si="8"/>
        <v>0.31</v>
      </c>
      <c r="Q117" s="90">
        <f>SUM($B117:E117)</f>
        <v>0</v>
      </c>
      <c r="R117" s="89"/>
      <c r="AH117" s="90">
        <f t="shared" si="9"/>
        <v>0</v>
      </c>
      <c r="AI117" s="90">
        <f t="shared" si="10"/>
        <v>0</v>
      </c>
      <c r="AJ117" s="89"/>
      <c r="AK117" s="88" t="s">
        <v>229</v>
      </c>
      <c r="AL117" s="90"/>
      <c r="AM117" s="90"/>
      <c r="AN117" s="90">
        <v>0.185</v>
      </c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>
        <f t="shared" si="11"/>
        <v>0</v>
      </c>
      <c r="BA117" s="90">
        <f>ROUND(AZ117*IFERROR(VLOOKUP($AK117,'3121% SY'!$A$2:$M$324,13,FALSE),0),3)</f>
        <v>0</v>
      </c>
      <c r="BB117" s="90">
        <f t="shared" si="12"/>
        <v>0.185</v>
      </c>
      <c r="BC117" s="90">
        <f>ROUND(BB117*IFERROR(VLOOKUP($AK117,'3121% SY'!$A$2:$M$324,13,FALSE),0),3)</f>
        <v>3.7999999999999999E-2</v>
      </c>
    </row>
    <row r="118" spans="1:55" x14ac:dyDescent="0.25">
      <c r="A118" s="88" t="s">
        <v>166</v>
      </c>
      <c r="B118" s="90"/>
      <c r="C118" s="90"/>
      <c r="D118" s="90"/>
      <c r="E118" s="90"/>
      <c r="F118" s="90">
        <v>7.4999999999999997E-2</v>
      </c>
      <c r="G118" s="90"/>
      <c r="H118" s="90"/>
      <c r="I118" s="90"/>
      <c r="J118" s="90"/>
      <c r="K118" s="90"/>
      <c r="L118" s="90"/>
      <c r="M118" s="90"/>
      <c r="N118" s="90"/>
      <c r="P118" s="90">
        <f t="shared" si="8"/>
        <v>7.4999999999999997E-2</v>
      </c>
      <c r="Q118" s="90">
        <f>SUM($B118:E118)</f>
        <v>0</v>
      </c>
      <c r="R118" s="89"/>
      <c r="AH118" s="90">
        <f t="shared" si="9"/>
        <v>0</v>
      </c>
      <c r="AI118" s="90">
        <f t="shared" si="10"/>
        <v>0</v>
      </c>
      <c r="AJ118" s="89"/>
      <c r="AK118" s="88" t="s">
        <v>230</v>
      </c>
      <c r="AL118" s="90"/>
      <c r="AM118" s="90"/>
      <c r="AN118" s="90"/>
      <c r="AO118" s="90"/>
      <c r="AP118" s="90"/>
      <c r="AQ118" s="90"/>
      <c r="AR118" s="90"/>
      <c r="AS118" s="90"/>
      <c r="AT118" s="90"/>
      <c r="AU118" s="90">
        <v>1</v>
      </c>
      <c r="AV118" s="90"/>
      <c r="AW118" s="90"/>
      <c r="AX118" s="90"/>
      <c r="AY118" s="90"/>
      <c r="AZ118" s="90">
        <f t="shared" si="11"/>
        <v>1</v>
      </c>
      <c r="BA118" s="90">
        <f>ROUND(AZ118*IFERROR(VLOOKUP($AK118,'3121% SY'!$A$2:$M$324,13,FALSE),0),3)</f>
        <v>0.17599999999999999</v>
      </c>
      <c r="BB118" s="90">
        <f t="shared" si="12"/>
        <v>0</v>
      </c>
      <c r="BC118" s="90">
        <f>ROUND(BB118*IFERROR(VLOOKUP($AK118,'3121% SY'!$A$2:$M$324,13,FALSE),0),3)</f>
        <v>0</v>
      </c>
    </row>
    <row r="119" spans="1:55" x14ac:dyDescent="0.25">
      <c r="A119" s="88" t="s">
        <v>167</v>
      </c>
      <c r="B119" s="90"/>
      <c r="C119" s="90"/>
      <c r="D119" s="90"/>
      <c r="E119" s="90"/>
      <c r="F119" s="90">
        <v>0.66700000000000004</v>
      </c>
      <c r="G119" s="90"/>
      <c r="H119" s="90"/>
      <c r="I119" s="90"/>
      <c r="J119" s="90"/>
      <c r="K119" s="90"/>
      <c r="L119" s="90"/>
      <c r="M119" s="90"/>
      <c r="N119" s="90"/>
      <c r="P119" s="90">
        <f t="shared" si="8"/>
        <v>0.66700000000000004</v>
      </c>
      <c r="Q119" s="90">
        <f>SUM($B119:E119)</f>
        <v>0</v>
      </c>
      <c r="R119" s="89"/>
      <c r="AH119" s="90">
        <f t="shared" si="9"/>
        <v>0</v>
      </c>
      <c r="AI119" s="90">
        <f t="shared" si="10"/>
        <v>0</v>
      </c>
      <c r="AJ119" s="89"/>
      <c r="AK119" s="88" t="s">
        <v>231</v>
      </c>
      <c r="AL119" s="90"/>
      <c r="AM119" s="90"/>
      <c r="AN119" s="90"/>
      <c r="AO119" s="90"/>
      <c r="AP119" s="90"/>
      <c r="AQ119" s="90"/>
      <c r="AR119" s="90">
        <v>1.111</v>
      </c>
      <c r="AS119" s="90"/>
      <c r="AT119" s="90">
        <v>1.8340000000000001</v>
      </c>
      <c r="AU119" s="90">
        <v>1.6</v>
      </c>
      <c r="AV119" s="90"/>
      <c r="AW119" s="90">
        <v>0.81699999999999995</v>
      </c>
      <c r="AX119" s="90"/>
      <c r="AY119" s="90"/>
      <c r="AZ119" s="90">
        <f t="shared" si="11"/>
        <v>5.3620000000000001</v>
      </c>
      <c r="BA119" s="90">
        <f>ROUND(AZ119*IFERROR(VLOOKUP($AK119,'3121% SY'!$A$2:$M$324,13,FALSE),0),3)</f>
        <v>1.5349999999999999</v>
      </c>
      <c r="BB119" s="90">
        <f t="shared" si="12"/>
        <v>0</v>
      </c>
      <c r="BC119" s="90">
        <f>ROUND(BB119*IFERROR(VLOOKUP($AK119,'3121% SY'!$A$2:$M$324,13,FALSE),0),3)</f>
        <v>0</v>
      </c>
    </row>
    <row r="120" spans="1:55" x14ac:dyDescent="0.25">
      <c r="A120" s="88" t="s">
        <v>168</v>
      </c>
      <c r="B120" s="90"/>
      <c r="C120" s="90">
        <v>0.45</v>
      </c>
      <c r="D120" s="90"/>
      <c r="E120" s="90"/>
      <c r="F120" s="90">
        <v>0.5</v>
      </c>
      <c r="G120" s="90"/>
      <c r="H120" s="90"/>
      <c r="I120" s="90"/>
      <c r="J120" s="90"/>
      <c r="K120" s="90"/>
      <c r="L120" s="90"/>
      <c r="M120" s="90"/>
      <c r="N120" s="90"/>
      <c r="P120" s="90">
        <f t="shared" si="8"/>
        <v>0.5</v>
      </c>
      <c r="Q120" s="90">
        <f>SUM($B120:E120)</f>
        <v>0.45</v>
      </c>
      <c r="R120" s="89"/>
      <c r="AH120" s="90">
        <f t="shared" si="9"/>
        <v>0</v>
      </c>
      <c r="AI120" s="90">
        <f t="shared" si="10"/>
        <v>0</v>
      </c>
      <c r="AJ120" s="89"/>
      <c r="AK120" s="88" t="s">
        <v>232</v>
      </c>
      <c r="AL120" s="90"/>
      <c r="AM120" s="90"/>
      <c r="AN120" s="90"/>
      <c r="AO120" s="90"/>
      <c r="AP120" s="90">
        <v>0.47</v>
      </c>
      <c r="AQ120" s="90">
        <v>0.5</v>
      </c>
      <c r="AR120" s="90">
        <v>3.15</v>
      </c>
      <c r="AS120" s="90"/>
      <c r="AT120" s="90">
        <v>3.2</v>
      </c>
      <c r="AU120" s="90">
        <v>3.67</v>
      </c>
      <c r="AV120" s="90"/>
      <c r="AW120" s="90">
        <v>1.3</v>
      </c>
      <c r="AX120" s="90"/>
      <c r="AY120" s="90"/>
      <c r="AZ120" s="90">
        <f t="shared" si="11"/>
        <v>12.290000000000001</v>
      </c>
      <c r="BA120" s="90">
        <f>ROUND(AZ120*IFERROR(VLOOKUP($AK120,'3121% SY'!$A$2:$M$324,13,FALSE),0),3)</f>
        <v>4.29</v>
      </c>
      <c r="BB120" s="90">
        <f t="shared" si="12"/>
        <v>0</v>
      </c>
      <c r="BC120" s="90">
        <f>ROUND(BB120*IFERROR(VLOOKUP($AK120,'3121% SY'!$A$2:$M$324,13,FALSE),0),3)</f>
        <v>0</v>
      </c>
    </row>
    <row r="121" spans="1:55" x14ac:dyDescent="0.25">
      <c r="A121" s="88" t="s">
        <v>169</v>
      </c>
      <c r="B121" s="90"/>
      <c r="C121" s="90"/>
      <c r="D121" s="90">
        <v>0.14599999999999999</v>
      </c>
      <c r="E121" s="90"/>
      <c r="F121" s="90">
        <v>0.75</v>
      </c>
      <c r="G121" s="90"/>
      <c r="H121" s="90"/>
      <c r="I121" s="90"/>
      <c r="J121" s="90"/>
      <c r="K121" s="90"/>
      <c r="L121" s="90"/>
      <c r="M121" s="90"/>
      <c r="N121" s="90"/>
      <c r="P121" s="90">
        <f t="shared" si="8"/>
        <v>0.75</v>
      </c>
      <c r="Q121" s="90">
        <f>SUM($B121:E121)</f>
        <v>0.14599999999999999</v>
      </c>
      <c r="R121" s="89"/>
      <c r="AH121" s="90">
        <f t="shared" si="9"/>
        <v>0</v>
      </c>
      <c r="AI121" s="90">
        <f t="shared" si="10"/>
        <v>0</v>
      </c>
      <c r="AJ121" s="89"/>
      <c r="AK121" s="88" t="s">
        <v>233</v>
      </c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>
        <v>0.14299999999999999</v>
      </c>
      <c r="AZ121" s="90">
        <f t="shared" si="11"/>
        <v>0.14299999999999999</v>
      </c>
      <c r="BA121" s="90">
        <f>ROUND(AZ121*IFERROR(VLOOKUP($AK121,'3121% SY'!$A$2:$M$324,13,FALSE),0),3)</f>
        <v>2.9000000000000001E-2</v>
      </c>
      <c r="BB121" s="90">
        <f t="shared" si="12"/>
        <v>0</v>
      </c>
      <c r="BC121" s="90">
        <f>ROUND(BB121*IFERROR(VLOOKUP($AK121,'3121% SY'!$A$2:$M$324,13,FALSE),0),3)</f>
        <v>0</v>
      </c>
    </row>
    <row r="122" spans="1:55" x14ac:dyDescent="0.25">
      <c r="A122" s="88" t="s">
        <v>170</v>
      </c>
      <c r="B122" s="90"/>
      <c r="C122" s="90"/>
      <c r="D122" s="90"/>
      <c r="E122" s="90"/>
      <c r="F122" s="90">
        <v>0.15</v>
      </c>
      <c r="G122" s="90"/>
      <c r="H122" s="90"/>
      <c r="I122" s="90"/>
      <c r="J122" s="90"/>
      <c r="K122" s="90">
        <v>6.4000000000000001E-2</v>
      </c>
      <c r="L122" s="90"/>
      <c r="M122" s="90"/>
      <c r="N122" s="90"/>
      <c r="P122" s="90">
        <f t="shared" si="8"/>
        <v>0.214</v>
      </c>
      <c r="Q122" s="90">
        <f>SUM($B122:E122)</f>
        <v>0</v>
      </c>
      <c r="R122" s="89"/>
      <c r="AH122" s="90">
        <f t="shared" si="9"/>
        <v>0</v>
      </c>
      <c r="AI122" s="90">
        <f t="shared" si="10"/>
        <v>0</v>
      </c>
      <c r="AJ122" s="89"/>
      <c r="AK122" s="88" t="s">
        <v>234</v>
      </c>
      <c r="AL122" s="90"/>
      <c r="AM122" s="90"/>
      <c r="AN122" s="90"/>
      <c r="AO122" s="90"/>
      <c r="AP122" s="90"/>
      <c r="AQ122" s="90">
        <v>1</v>
      </c>
      <c r="AR122" s="90"/>
      <c r="AS122" s="90"/>
      <c r="AT122" s="90">
        <v>1.8</v>
      </c>
      <c r="AU122" s="90">
        <v>1.8</v>
      </c>
      <c r="AV122" s="90"/>
      <c r="AW122" s="90">
        <v>1</v>
      </c>
      <c r="AX122" s="90"/>
      <c r="AY122" s="90"/>
      <c r="AZ122" s="90">
        <f t="shared" si="11"/>
        <v>5.6</v>
      </c>
      <c r="BA122" s="90">
        <f>ROUND(AZ122*IFERROR(VLOOKUP($AK122,'3121% SY'!$A$2:$M$324,13,FALSE),0),3)</f>
        <v>1.1519999999999999</v>
      </c>
      <c r="BB122" s="90">
        <f t="shared" si="12"/>
        <v>0</v>
      </c>
      <c r="BC122" s="90">
        <f>ROUND(BB122*IFERROR(VLOOKUP($AK122,'3121% SY'!$A$2:$M$324,13,FALSE),0),3)</f>
        <v>0</v>
      </c>
    </row>
    <row r="123" spans="1:55" x14ac:dyDescent="0.25">
      <c r="A123" s="88" t="s">
        <v>171</v>
      </c>
      <c r="B123" s="90"/>
      <c r="C123" s="90"/>
      <c r="D123" s="90"/>
      <c r="E123" s="90"/>
      <c r="F123" s="90">
        <v>0.5</v>
      </c>
      <c r="G123" s="90"/>
      <c r="H123" s="90"/>
      <c r="I123" s="90"/>
      <c r="J123" s="90"/>
      <c r="K123" s="90"/>
      <c r="L123" s="90"/>
      <c r="M123" s="90"/>
      <c r="N123" s="90"/>
      <c r="P123" s="90">
        <f t="shared" si="8"/>
        <v>0.5</v>
      </c>
      <c r="Q123" s="90">
        <f>SUM($B123:E123)</f>
        <v>0</v>
      </c>
      <c r="R123" s="89"/>
      <c r="AH123" s="90">
        <f t="shared" si="9"/>
        <v>0</v>
      </c>
      <c r="AI123" s="90">
        <f t="shared" si="10"/>
        <v>0</v>
      </c>
      <c r="AJ123" s="89"/>
      <c r="AK123" s="88" t="s">
        <v>235</v>
      </c>
      <c r="AL123" s="90"/>
      <c r="AM123" s="90"/>
      <c r="AN123" s="90"/>
      <c r="AO123" s="90"/>
      <c r="AP123" s="90"/>
      <c r="AQ123" s="90"/>
      <c r="AR123" s="90"/>
      <c r="AS123" s="90"/>
      <c r="AT123" s="90">
        <v>1.5009999999999999</v>
      </c>
      <c r="AU123" s="90"/>
      <c r="AV123" s="90"/>
      <c r="AW123" s="90"/>
      <c r="AX123" s="90"/>
      <c r="AY123" s="90"/>
      <c r="AZ123" s="90">
        <f t="shared" si="11"/>
        <v>1.5009999999999999</v>
      </c>
      <c r="BA123" s="90">
        <f>ROUND(AZ123*IFERROR(VLOOKUP($AK123,'3121% SY'!$A$2:$M$324,13,FALSE),0),3)</f>
        <v>0.47099999999999997</v>
      </c>
      <c r="BB123" s="90">
        <f t="shared" si="12"/>
        <v>0</v>
      </c>
      <c r="BC123" s="90">
        <f>ROUND(BB123*IFERROR(VLOOKUP($AK123,'3121% SY'!$A$2:$M$324,13,FALSE),0),3)</f>
        <v>0</v>
      </c>
    </row>
    <row r="124" spans="1:55" x14ac:dyDescent="0.25">
      <c r="A124" s="88" t="s">
        <v>172</v>
      </c>
      <c r="B124" s="90"/>
      <c r="C124" s="90"/>
      <c r="D124" s="90">
        <v>0.219</v>
      </c>
      <c r="E124" s="90"/>
      <c r="F124" s="90">
        <v>0.95399999999999996</v>
      </c>
      <c r="G124" s="90"/>
      <c r="H124" s="90"/>
      <c r="I124" s="90"/>
      <c r="J124" s="90"/>
      <c r="K124" s="90"/>
      <c r="L124" s="90"/>
      <c r="M124" s="90"/>
      <c r="N124" s="90"/>
      <c r="P124" s="90">
        <f t="shared" si="8"/>
        <v>0.95399999999999996</v>
      </c>
      <c r="Q124" s="90">
        <f>SUM($B124:E124)</f>
        <v>0.219</v>
      </c>
      <c r="R124" s="89"/>
      <c r="AH124" s="90">
        <f t="shared" si="9"/>
        <v>0</v>
      </c>
      <c r="AI124" s="90">
        <f t="shared" si="10"/>
        <v>0</v>
      </c>
      <c r="AJ124" s="89"/>
      <c r="AK124" s="88" t="s">
        <v>236</v>
      </c>
      <c r="AL124" s="90"/>
      <c r="AM124" s="90"/>
      <c r="AN124" s="90"/>
      <c r="AO124" s="90"/>
      <c r="AP124" s="90"/>
      <c r="AQ124" s="90"/>
      <c r="AR124" s="90"/>
      <c r="AS124" s="90"/>
      <c r="AT124" s="90"/>
      <c r="AU124" s="90">
        <v>0.42499999999999999</v>
      </c>
      <c r="AV124" s="90"/>
      <c r="AW124" s="90"/>
      <c r="AX124" s="90"/>
      <c r="AY124" s="90"/>
      <c r="AZ124" s="90">
        <f t="shared" si="11"/>
        <v>0.42499999999999999</v>
      </c>
      <c r="BA124" s="90">
        <f>ROUND(AZ124*IFERROR(VLOOKUP($AK124,'3121% SY'!$A$2:$M$324,13,FALSE),0),3)</f>
        <v>0.11700000000000001</v>
      </c>
      <c r="BB124" s="90">
        <f t="shared" si="12"/>
        <v>0</v>
      </c>
      <c r="BC124" s="90">
        <f>ROUND(BB124*IFERROR(VLOOKUP($AK124,'3121% SY'!$A$2:$M$324,13,FALSE),0),3)</f>
        <v>0</v>
      </c>
    </row>
    <row r="125" spans="1:55" x14ac:dyDescent="0.25">
      <c r="A125" s="88" t="s">
        <v>173</v>
      </c>
      <c r="B125" s="90"/>
      <c r="C125" s="90"/>
      <c r="D125" s="90"/>
      <c r="E125" s="90"/>
      <c r="F125" s="90">
        <v>0.3</v>
      </c>
      <c r="G125" s="90"/>
      <c r="H125" s="90"/>
      <c r="I125" s="90"/>
      <c r="J125" s="90"/>
      <c r="K125" s="90"/>
      <c r="L125" s="90"/>
      <c r="M125" s="90"/>
      <c r="N125" s="90"/>
      <c r="P125" s="90">
        <f t="shared" si="8"/>
        <v>0.3</v>
      </c>
      <c r="Q125" s="90">
        <f>SUM($B125:E125)</f>
        <v>0</v>
      </c>
      <c r="R125" s="89"/>
      <c r="AH125" s="90">
        <f t="shared" si="9"/>
        <v>0</v>
      </c>
      <c r="AI125" s="90">
        <f t="shared" si="10"/>
        <v>0</v>
      </c>
      <c r="AJ125" s="89"/>
      <c r="AK125" s="88" t="s">
        <v>237</v>
      </c>
      <c r="AL125" s="90"/>
      <c r="AM125" s="90"/>
      <c r="AN125" s="90"/>
      <c r="AO125" s="90"/>
      <c r="AP125" s="90"/>
      <c r="AQ125" s="90"/>
      <c r="AR125" s="90">
        <v>0.14000000000000001</v>
      </c>
      <c r="AS125" s="90"/>
      <c r="AT125" s="90"/>
      <c r="AU125" s="90">
        <v>1</v>
      </c>
      <c r="AV125" s="90"/>
      <c r="AW125" s="90">
        <v>0.15</v>
      </c>
      <c r="AX125" s="90">
        <v>2.1000000000000001E-2</v>
      </c>
      <c r="AY125" s="90"/>
      <c r="AZ125" s="90">
        <f t="shared" si="11"/>
        <v>1.3109999999999999</v>
      </c>
      <c r="BA125" s="90">
        <f>ROUND(AZ125*IFERROR(VLOOKUP($AK125,'3121% SY'!$A$2:$M$324,13,FALSE),0),3)</f>
        <v>0.26500000000000001</v>
      </c>
      <c r="BB125" s="90">
        <f t="shared" si="12"/>
        <v>0</v>
      </c>
      <c r="BC125" s="90">
        <f>ROUND(BB125*IFERROR(VLOOKUP($AK125,'3121% SY'!$A$2:$M$324,13,FALSE),0),3)</f>
        <v>0</v>
      </c>
    </row>
    <row r="126" spans="1:55" x14ac:dyDescent="0.25">
      <c r="A126" s="88" t="s">
        <v>1247</v>
      </c>
      <c r="B126" s="90"/>
      <c r="C126" s="90">
        <v>0.69499999999999995</v>
      </c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P126" s="90">
        <f t="shared" si="8"/>
        <v>0</v>
      </c>
      <c r="Q126" s="90">
        <f>SUM($B126:E126)</f>
        <v>0.69499999999999995</v>
      </c>
      <c r="R126" s="89"/>
      <c r="AH126" s="90">
        <f t="shared" si="9"/>
        <v>0</v>
      </c>
      <c r="AI126" s="90">
        <f t="shared" si="10"/>
        <v>0</v>
      </c>
      <c r="AJ126" s="89"/>
      <c r="AK126" s="88" t="s">
        <v>238</v>
      </c>
      <c r="AL126" s="90"/>
      <c r="AM126" s="90"/>
      <c r="AN126" s="90"/>
      <c r="AO126" s="90"/>
      <c r="AP126" s="90"/>
      <c r="AQ126" s="90"/>
      <c r="AR126" s="90">
        <v>0.05</v>
      </c>
      <c r="AS126" s="90"/>
      <c r="AT126" s="90">
        <v>0.16</v>
      </c>
      <c r="AU126" s="90"/>
      <c r="AV126" s="90"/>
      <c r="AW126" s="90">
        <v>0.09</v>
      </c>
      <c r="AX126" s="90"/>
      <c r="AY126" s="90"/>
      <c r="AZ126" s="90">
        <f t="shared" si="11"/>
        <v>0.30000000000000004</v>
      </c>
      <c r="BA126" s="90">
        <f>ROUND(AZ126*IFERROR(VLOOKUP($AK126,'3121% SY'!$A$2:$M$324,13,FALSE),0),3)</f>
        <v>7.0999999999999994E-2</v>
      </c>
      <c r="BB126" s="90">
        <f t="shared" si="12"/>
        <v>0</v>
      </c>
      <c r="BC126" s="90">
        <f>ROUND(BB126*IFERROR(VLOOKUP($AK126,'3121% SY'!$A$2:$M$324,13,FALSE),0),3)</f>
        <v>0</v>
      </c>
    </row>
    <row r="127" spans="1:55" x14ac:dyDescent="0.25">
      <c r="A127" s="88" t="s">
        <v>176</v>
      </c>
      <c r="B127" s="90"/>
      <c r="C127" s="90">
        <v>3.3000000000000002E-2</v>
      </c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P127" s="90">
        <f t="shared" si="8"/>
        <v>0</v>
      </c>
      <c r="Q127" s="90">
        <f>SUM($B127:E127)</f>
        <v>3.3000000000000002E-2</v>
      </c>
      <c r="R127" s="89"/>
      <c r="AH127" s="90">
        <f t="shared" si="9"/>
        <v>0</v>
      </c>
      <c r="AI127" s="90">
        <f t="shared" si="10"/>
        <v>0</v>
      </c>
      <c r="AJ127" s="89"/>
      <c r="AK127" s="88" t="s">
        <v>239</v>
      </c>
      <c r="AL127" s="90"/>
      <c r="AM127" s="90"/>
      <c r="AN127" s="90"/>
      <c r="AO127" s="90"/>
      <c r="AP127" s="90"/>
      <c r="AQ127" s="90"/>
      <c r="AR127" s="90">
        <v>0.14799999999999999</v>
      </c>
      <c r="AS127" s="90"/>
      <c r="AT127" s="90"/>
      <c r="AU127" s="90">
        <v>0.4</v>
      </c>
      <c r="AV127" s="90"/>
      <c r="AW127" s="90">
        <v>3.5000000000000003E-2</v>
      </c>
      <c r="AX127" s="90"/>
      <c r="AY127" s="90"/>
      <c r="AZ127" s="90">
        <f t="shared" si="11"/>
        <v>0.58300000000000007</v>
      </c>
      <c r="BA127" s="90">
        <f>ROUND(AZ127*IFERROR(VLOOKUP($AK127,'3121% SY'!$A$2:$M$324,13,FALSE),0),3)</f>
        <v>0.17199999999999999</v>
      </c>
      <c r="BB127" s="90">
        <f t="shared" si="12"/>
        <v>0</v>
      </c>
      <c r="BC127" s="90">
        <f>ROUND(BB127*IFERROR(VLOOKUP($AK127,'3121% SY'!$A$2:$M$324,13,FALSE),0),3)</f>
        <v>0</v>
      </c>
    </row>
    <row r="128" spans="1:55" x14ac:dyDescent="0.25">
      <c r="A128" s="88" t="s">
        <v>178</v>
      </c>
      <c r="B128" s="90"/>
      <c r="C128" s="90"/>
      <c r="D128" s="90"/>
      <c r="E128" s="90"/>
      <c r="F128" s="90">
        <v>0.157</v>
      </c>
      <c r="G128" s="90"/>
      <c r="H128" s="90"/>
      <c r="I128" s="90"/>
      <c r="J128" s="90"/>
      <c r="K128" s="90"/>
      <c r="L128" s="90"/>
      <c r="M128" s="90"/>
      <c r="N128" s="90"/>
      <c r="P128" s="90">
        <f t="shared" si="8"/>
        <v>0.157</v>
      </c>
      <c r="Q128" s="90">
        <f>SUM($B128:E128)</f>
        <v>0</v>
      </c>
      <c r="R128" s="89"/>
      <c r="AH128" s="90">
        <f t="shared" si="9"/>
        <v>0</v>
      </c>
      <c r="AI128" s="90">
        <f t="shared" si="10"/>
        <v>0</v>
      </c>
      <c r="AJ128" s="89"/>
      <c r="AK128" s="88" t="s">
        <v>241</v>
      </c>
      <c r="AL128" s="90"/>
      <c r="AM128" s="90"/>
      <c r="AN128" s="90"/>
      <c r="AO128" s="90"/>
      <c r="AP128" s="90"/>
      <c r="AQ128" s="90"/>
      <c r="AR128" s="90"/>
      <c r="AS128" s="90"/>
      <c r="AT128" s="90">
        <v>6.3E-2</v>
      </c>
      <c r="AU128" s="90">
        <v>0.221</v>
      </c>
      <c r="AV128" s="90"/>
      <c r="AW128" s="90"/>
      <c r="AX128" s="90"/>
      <c r="AY128" s="90"/>
      <c r="AZ128" s="90">
        <f t="shared" si="11"/>
        <v>0.28400000000000003</v>
      </c>
      <c r="BA128" s="90">
        <f>ROUND(AZ128*IFERROR(VLOOKUP($AK128,'3121% SY'!$A$2:$M$324,13,FALSE),0),3)</f>
        <v>7.5999999999999998E-2</v>
      </c>
      <c r="BB128" s="90">
        <f t="shared" si="12"/>
        <v>0</v>
      </c>
      <c r="BC128" s="90">
        <f>ROUND(BB128*IFERROR(VLOOKUP($AK128,'3121% SY'!$A$2:$M$324,13,FALSE),0),3)</f>
        <v>0</v>
      </c>
    </row>
    <row r="129" spans="1:55" x14ac:dyDescent="0.25">
      <c r="A129" s="88" t="s">
        <v>180</v>
      </c>
      <c r="B129" s="90"/>
      <c r="C129" s="90"/>
      <c r="D129" s="90"/>
      <c r="E129" s="90"/>
      <c r="F129" s="90">
        <v>1</v>
      </c>
      <c r="G129" s="90"/>
      <c r="H129" s="90"/>
      <c r="I129" s="90"/>
      <c r="J129" s="90"/>
      <c r="K129" s="90"/>
      <c r="L129" s="90"/>
      <c r="M129" s="90"/>
      <c r="N129" s="90"/>
      <c r="P129" s="90">
        <f t="shared" si="8"/>
        <v>1</v>
      </c>
      <c r="Q129" s="90">
        <f>SUM($B129:E129)</f>
        <v>0</v>
      </c>
      <c r="R129" s="89"/>
      <c r="AH129" s="90">
        <f t="shared" si="9"/>
        <v>0</v>
      </c>
      <c r="AI129" s="90">
        <f t="shared" si="10"/>
        <v>0</v>
      </c>
      <c r="AJ129" s="89"/>
      <c r="AK129" s="88" t="s">
        <v>244</v>
      </c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>
        <v>0.14299999999999999</v>
      </c>
      <c r="AX129" s="90"/>
      <c r="AY129" s="90"/>
      <c r="AZ129" s="90">
        <f t="shared" si="11"/>
        <v>0.14299999999999999</v>
      </c>
      <c r="BA129" s="90">
        <f>ROUND(AZ129*IFERROR(VLOOKUP($AK129,'3121% SY'!$A$2:$M$324,13,FALSE),0),3)</f>
        <v>3.1E-2</v>
      </c>
      <c r="BB129" s="90">
        <f t="shared" si="12"/>
        <v>0</v>
      </c>
      <c r="BC129" s="90">
        <f>ROUND(BB129*IFERROR(VLOOKUP($AK129,'3121% SY'!$A$2:$M$324,13,FALSE),0),3)</f>
        <v>0</v>
      </c>
    </row>
    <row r="130" spans="1:55" x14ac:dyDescent="0.25">
      <c r="A130" s="88" t="s">
        <v>181</v>
      </c>
      <c r="B130" s="90"/>
      <c r="C130" s="90"/>
      <c r="D130" s="90"/>
      <c r="E130" s="90"/>
      <c r="F130" s="90">
        <v>7.0999999999999994E-2</v>
      </c>
      <c r="G130" s="90"/>
      <c r="H130" s="90"/>
      <c r="I130" s="90"/>
      <c r="J130" s="90"/>
      <c r="K130" s="90"/>
      <c r="L130" s="90"/>
      <c r="M130" s="90"/>
      <c r="N130" s="90"/>
      <c r="P130" s="90">
        <f t="shared" si="8"/>
        <v>7.0999999999999994E-2</v>
      </c>
      <c r="Q130" s="90">
        <f>SUM($B130:E130)</f>
        <v>0</v>
      </c>
      <c r="R130" s="89"/>
      <c r="AH130" s="90">
        <f t="shared" si="9"/>
        <v>0</v>
      </c>
      <c r="AI130" s="90">
        <f t="shared" si="10"/>
        <v>0</v>
      </c>
      <c r="AJ130" s="89"/>
      <c r="AK130" s="88" t="s">
        <v>251</v>
      </c>
      <c r="AL130" s="90"/>
      <c r="AM130" s="90"/>
      <c r="AN130" s="90"/>
      <c r="AO130" s="90"/>
      <c r="AP130" s="90"/>
      <c r="AQ130" s="90"/>
      <c r="AR130" s="90"/>
      <c r="AS130" s="90"/>
      <c r="AT130" s="90"/>
      <c r="AU130" s="90">
        <v>0.1</v>
      </c>
      <c r="AV130" s="90"/>
      <c r="AW130" s="90"/>
      <c r="AX130" s="90"/>
      <c r="AY130" s="90"/>
      <c r="AZ130" s="90">
        <f t="shared" si="11"/>
        <v>0.1</v>
      </c>
      <c r="BA130" s="90">
        <f>ROUND(AZ130*IFERROR(VLOOKUP($AK130,'3121% SY'!$A$2:$M$324,13,FALSE),0),3)</f>
        <v>2.1999999999999999E-2</v>
      </c>
      <c r="BB130" s="90">
        <f t="shared" si="12"/>
        <v>0</v>
      </c>
      <c r="BC130" s="90">
        <f>ROUND(BB130*IFERROR(VLOOKUP($AK130,'3121% SY'!$A$2:$M$324,13,FALSE),0),3)</f>
        <v>0</v>
      </c>
    </row>
    <row r="131" spans="1:55" x14ac:dyDescent="0.25">
      <c r="A131" s="88" t="s">
        <v>182</v>
      </c>
      <c r="B131" s="90"/>
      <c r="C131" s="90"/>
      <c r="D131" s="90">
        <v>4.3999999999999997E-2</v>
      </c>
      <c r="E131" s="90"/>
      <c r="F131" s="90"/>
      <c r="G131" s="90"/>
      <c r="H131" s="90"/>
      <c r="I131" s="90"/>
      <c r="J131" s="90"/>
      <c r="K131" s="90">
        <v>0.21099999999999999</v>
      </c>
      <c r="L131" s="90"/>
      <c r="M131" s="90"/>
      <c r="N131" s="90"/>
      <c r="P131" s="90">
        <f t="shared" si="8"/>
        <v>0.21099999999999999</v>
      </c>
      <c r="Q131" s="90">
        <f>SUM($B131:E131)</f>
        <v>4.3999999999999997E-2</v>
      </c>
      <c r="R131" s="89"/>
      <c r="AH131" s="90">
        <f t="shared" si="9"/>
        <v>0</v>
      </c>
      <c r="AI131" s="90">
        <f t="shared" si="10"/>
        <v>0</v>
      </c>
      <c r="AJ131" s="89"/>
      <c r="AK131" s="88" t="s">
        <v>252</v>
      </c>
      <c r="AL131" s="90"/>
      <c r="AM131" s="90"/>
      <c r="AN131" s="90"/>
      <c r="AO131" s="90"/>
      <c r="AP131" s="90"/>
      <c r="AQ131" s="90"/>
      <c r="AR131" s="90">
        <v>0.111</v>
      </c>
      <c r="AS131" s="90"/>
      <c r="AT131" s="90"/>
      <c r="AU131" s="90">
        <v>1.1759999999999999</v>
      </c>
      <c r="AV131" s="90"/>
      <c r="AW131" s="90"/>
      <c r="AX131" s="90"/>
      <c r="AY131" s="90"/>
      <c r="AZ131" s="90">
        <f t="shared" si="11"/>
        <v>1.2869999999999999</v>
      </c>
      <c r="BA131" s="90">
        <f>ROUND(AZ131*IFERROR(VLOOKUP($AK131,'3121% SY'!$A$2:$M$324,13,FALSE),0),3)</f>
        <v>0.31900000000000001</v>
      </c>
      <c r="BB131" s="90">
        <f t="shared" si="12"/>
        <v>0</v>
      </c>
      <c r="BC131" s="90">
        <f>ROUND(BB131*IFERROR(VLOOKUP($AK131,'3121% SY'!$A$2:$M$324,13,FALSE),0),3)</f>
        <v>0</v>
      </c>
    </row>
    <row r="132" spans="1:55" x14ac:dyDescent="0.25">
      <c r="A132" s="88" t="s">
        <v>183</v>
      </c>
      <c r="B132" s="90"/>
      <c r="C132" s="90"/>
      <c r="D132" s="90"/>
      <c r="E132" s="90"/>
      <c r="F132" s="90">
        <v>1</v>
      </c>
      <c r="G132" s="90"/>
      <c r="H132" s="90"/>
      <c r="I132" s="90"/>
      <c r="J132" s="90"/>
      <c r="K132" s="90">
        <v>0.2</v>
      </c>
      <c r="L132" s="90"/>
      <c r="M132" s="90"/>
      <c r="N132" s="90"/>
      <c r="P132" s="90">
        <f t="shared" si="8"/>
        <v>1.2</v>
      </c>
      <c r="Q132" s="90">
        <f>SUM($B132:E132)</f>
        <v>0</v>
      </c>
      <c r="R132" s="89"/>
      <c r="AH132" s="90">
        <f t="shared" si="9"/>
        <v>0</v>
      </c>
      <c r="AI132" s="90">
        <f t="shared" si="10"/>
        <v>0</v>
      </c>
      <c r="AJ132" s="89"/>
      <c r="AK132" s="88" t="s">
        <v>253</v>
      </c>
      <c r="AL132" s="90"/>
      <c r="AM132" s="90"/>
      <c r="AN132" s="90"/>
      <c r="AO132" s="90"/>
      <c r="AP132" s="90"/>
      <c r="AQ132" s="90"/>
      <c r="AR132" s="90">
        <v>1.1060000000000001</v>
      </c>
      <c r="AS132" s="90"/>
      <c r="AT132" s="90">
        <v>3.3540000000000001</v>
      </c>
      <c r="AU132" s="90">
        <v>2.2200000000000002</v>
      </c>
      <c r="AV132" s="90"/>
      <c r="AW132" s="90">
        <v>0.79</v>
      </c>
      <c r="AX132" s="90"/>
      <c r="AY132" s="90"/>
      <c r="AZ132" s="90">
        <f t="shared" si="11"/>
        <v>7.47</v>
      </c>
      <c r="BA132" s="90">
        <f>ROUND(AZ132*IFERROR(VLOOKUP($AK132,'3121% SY'!$A$2:$M$324,13,FALSE),0),3)</f>
        <v>1.9379999999999999</v>
      </c>
      <c r="BB132" s="90">
        <f t="shared" si="12"/>
        <v>0</v>
      </c>
      <c r="BC132" s="90">
        <f>ROUND(BB132*IFERROR(VLOOKUP($AK132,'3121% SY'!$A$2:$M$324,13,FALSE),0),3)</f>
        <v>0</v>
      </c>
    </row>
    <row r="133" spans="1:55" x14ac:dyDescent="0.25">
      <c r="A133" s="88" t="s">
        <v>184</v>
      </c>
      <c r="B133" s="90"/>
      <c r="C133" s="90"/>
      <c r="D133" s="90"/>
      <c r="E133" s="90"/>
      <c r="F133" s="90">
        <v>8.4559999999999995</v>
      </c>
      <c r="G133" s="90"/>
      <c r="H133" s="90"/>
      <c r="I133" s="90"/>
      <c r="J133" s="90"/>
      <c r="K133" s="90">
        <v>2.4470000000000001</v>
      </c>
      <c r="L133" s="90"/>
      <c r="M133" s="90"/>
      <c r="N133" s="90"/>
      <c r="P133" s="90">
        <f t="shared" si="8"/>
        <v>10.902999999999999</v>
      </c>
      <c r="Q133" s="90">
        <f>SUM($B133:E133)</f>
        <v>0</v>
      </c>
      <c r="R133" s="89"/>
      <c r="AH133" s="90">
        <f t="shared" si="9"/>
        <v>0</v>
      </c>
      <c r="AI133" s="90">
        <f t="shared" si="10"/>
        <v>0</v>
      </c>
      <c r="AJ133" s="89"/>
      <c r="AK133" s="88" t="s">
        <v>254</v>
      </c>
      <c r="AL133" s="90"/>
      <c r="AM133" s="90">
        <v>0.13600000000000001</v>
      </c>
      <c r="AN133" s="90"/>
      <c r="AO133" s="90"/>
      <c r="AP133" s="90"/>
      <c r="AQ133" s="90"/>
      <c r="AR133" s="90">
        <v>0.22600000000000001</v>
      </c>
      <c r="AS133" s="90"/>
      <c r="AT133" s="90">
        <v>0.82</v>
      </c>
      <c r="AU133" s="90">
        <v>0.5</v>
      </c>
      <c r="AV133" s="90"/>
      <c r="AW133" s="90"/>
      <c r="AX133" s="90">
        <v>0.182</v>
      </c>
      <c r="AY133" s="90"/>
      <c r="AZ133" s="90">
        <f t="shared" si="11"/>
        <v>1.728</v>
      </c>
      <c r="BA133" s="90">
        <f>ROUND(AZ133*IFERROR(VLOOKUP($AK133,'3121% SY'!$A$2:$M$324,13,FALSE),0),3)</f>
        <v>0.45600000000000002</v>
      </c>
      <c r="BB133" s="90">
        <f t="shared" si="12"/>
        <v>0.13600000000000001</v>
      </c>
      <c r="BC133" s="90">
        <f>ROUND(BB133*IFERROR(VLOOKUP($AK133,'3121% SY'!$A$2:$M$324,13,FALSE),0),3)</f>
        <v>3.5999999999999997E-2</v>
      </c>
    </row>
    <row r="134" spans="1:55" x14ac:dyDescent="0.25">
      <c r="A134" s="88" t="s">
        <v>185</v>
      </c>
      <c r="B134" s="90"/>
      <c r="C134" s="90"/>
      <c r="D134" s="90"/>
      <c r="E134" s="90"/>
      <c r="F134" s="90">
        <v>13.438000000000001</v>
      </c>
      <c r="G134" s="90"/>
      <c r="H134" s="90"/>
      <c r="I134" s="90"/>
      <c r="J134" s="90"/>
      <c r="K134" s="90">
        <v>3.758</v>
      </c>
      <c r="L134" s="90"/>
      <c r="M134" s="90"/>
      <c r="N134" s="90"/>
      <c r="P134" s="90">
        <f t="shared" si="8"/>
        <v>17.196000000000002</v>
      </c>
      <c r="Q134" s="90">
        <f>SUM($B134:E134)</f>
        <v>0</v>
      </c>
      <c r="R134" s="89"/>
      <c r="AH134" s="90">
        <f t="shared" si="9"/>
        <v>0</v>
      </c>
      <c r="AI134" s="90">
        <f t="shared" si="10"/>
        <v>0</v>
      </c>
      <c r="AJ134" s="89"/>
      <c r="AK134" s="88" t="s">
        <v>255</v>
      </c>
      <c r="AL134" s="90"/>
      <c r="AM134" s="90"/>
      <c r="AN134" s="90">
        <v>7.6999999999999999E-2</v>
      </c>
      <c r="AO134" s="90"/>
      <c r="AP134" s="90"/>
      <c r="AQ134" s="90"/>
      <c r="AR134" s="90">
        <v>0.4</v>
      </c>
      <c r="AS134" s="90"/>
      <c r="AT134" s="90">
        <v>1.6</v>
      </c>
      <c r="AU134" s="90">
        <v>0.93300000000000005</v>
      </c>
      <c r="AV134" s="90"/>
      <c r="AW134" s="90">
        <v>0.1</v>
      </c>
      <c r="AX134" s="90"/>
      <c r="AY134" s="90"/>
      <c r="AZ134" s="90">
        <f t="shared" si="11"/>
        <v>3.0329999999999999</v>
      </c>
      <c r="BA134" s="90">
        <f>ROUND(AZ134*IFERROR(VLOOKUP($AK134,'3121% SY'!$A$2:$M$324,13,FALSE),0),3)</f>
        <v>0.80100000000000005</v>
      </c>
      <c r="BB134" s="90">
        <f t="shared" si="12"/>
        <v>7.6999999999999999E-2</v>
      </c>
      <c r="BC134" s="90">
        <f>ROUND(BB134*IFERROR(VLOOKUP($AK134,'3121% SY'!$A$2:$M$324,13,FALSE),0),3)</f>
        <v>0.02</v>
      </c>
    </row>
    <row r="135" spans="1:55" x14ac:dyDescent="0.25">
      <c r="A135" s="88" t="s">
        <v>187</v>
      </c>
      <c r="B135" s="90"/>
      <c r="C135" s="90"/>
      <c r="D135" s="90"/>
      <c r="E135" s="90"/>
      <c r="F135" s="90">
        <v>2.88</v>
      </c>
      <c r="G135" s="90"/>
      <c r="H135" s="90"/>
      <c r="I135" s="90"/>
      <c r="J135" s="90"/>
      <c r="K135" s="90"/>
      <c r="L135" s="90"/>
      <c r="M135" s="90"/>
      <c r="N135" s="90"/>
      <c r="P135" s="90">
        <f t="shared" ref="P135:P198" si="13">SUM(F135:O135)</f>
        <v>2.88</v>
      </c>
      <c r="Q135" s="90">
        <f>SUM($B135:E135)</f>
        <v>0</v>
      </c>
      <c r="R135" s="89"/>
      <c r="AH135" s="90">
        <f t="shared" ref="AH135:AH198" si="14">SUM(X135:AG135)</f>
        <v>0</v>
      </c>
      <c r="AI135" s="90">
        <f t="shared" ref="AI135:AI198" si="15">SUM(T135:W135)</f>
        <v>0</v>
      </c>
      <c r="AJ135" s="89"/>
      <c r="AK135" s="88" t="s">
        <v>256</v>
      </c>
      <c r="AL135" s="90"/>
      <c r="AM135" s="90"/>
      <c r="AN135" s="90">
        <v>0.219</v>
      </c>
      <c r="AO135" s="90"/>
      <c r="AP135" s="90"/>
      <c r="AQ135" s="90"/>
      <c r="AR135" s="90">
        <v>0.25</v>
      </c>
      <c r="AS135" s="90"/>
      <c r="AT135" s="90"/>
      <c r="AU135" s="90"/>
      <c r="AV135" s="90"/>
      <c r="AW135" s="90"/>
      <c r="AX135" s="90"/>
      <c r="AY135" s="90"/>
      <c r="AZ135" s="90">
        <f t="shared" ref="AZ135:AZ198" si="16">SUM(AP135:AY135)</f>
        <v>0.25</v>
      </c>
      <c r="BA135" s="90">
        <f>ROUND(AZ135*IFERROR(VLOOKUP($AK135,'3121% SY'!$A$2:$M$324,13,FALSE),0),3)</f>
        <v>5.8000000000000003E-2</v>
      </c>
      <c r="BB135" s="90">
        <f t="shared" ref="BB135:BB198" si="17">SUM(AL135:AO135)</f>
        <v>0.219</v>
      </c>
      <c r="BC135" s="90">
        <f>ROUND(BB135*IFERROR(VLOOKUP($AK135,'3121% SY'!$A$2:$M$324,13,FALSE),0),3)</f>
        <v>5.0999999999999997E-2</v>
      </c>
    </row>
    <row r="136" spans="1:55" x14ac:dyDescent="0.25">
      <c r="A136" s="88" t="s">
        <v>188</v>
      </c>
      <c r="B136" s="90"/>
      <c r="C136" s="90"/>
      <c r="D136" s="90">
        <v>1.3380000000000001</v>
      </c>
      <c r="E136" s="90">
        <v>0.49</v>
      </c>
      <c r="F136" s="90">
        <v>3.8839999999999999</v>
      </c>
      <c r="G136" s="90"/>
      <c r="H136" s="90">
        <v>1.7250000000000001</v>
      </c>
      <c r="I136" s="90"/>
      <c r="J136" s="90"/>
      <c r="K136" s="90">
        <v>0.45600000000000002</v>
      </c>
      <c r="L136" s="90"/>
      <c r="M136" s="90"/>
      <c r="N136" s="90"/>
      <c r="P136" s="90">
        <f t="shared" si="13"/>
        <v>6.0650000000000004</v>
      </c>
      <c r="Q136" s="90">
        <f>SUM($B136:E136)</f>
        <v>1.8280000000000001</v>
      </c>
      <c r="R136" s="89"/>
      <c r="AH136" s="90">
        <f t="shared" si="14"/>
        <v>0</v>
      </c>
      <c r="AI136" s="90">
        <f t="shared" si="15"/>
        <v>0</v>
      </c>
      <c r="AJ136" s="89"/>
      <c r="AK136" s="88" t="s">
        <v>262</v>
      </c>
      <c r="AL136" s="90"/>
      <c r="AM136" s="90"/>
      <c r="AN136" s="90"/>
      <c r="AO136" s="90"/>
      <c r="AP136" s="90"/>
      <c r="AQ136" s="90"/>
      <c r="AR136" s="90"/>
      <c r="AS136" s="90"/>
      <c r="AT136" s="90">
        <v>1.3759999999999999</v>
      </c>
      <c r="AU136" s="90">
        <v>0.89400000000000002</v>
      </c>
      <c r="AV136" s="90"/>
      <c r="AW136" s="90">
        <v>0.5</v>
      </c>
      <c r="AX136" s="90"/>
      <c r="AY136" s="90">
        <v>0.16900000000000001</v>
      </c>
      <c r="AZ136" s="90">
        <f t="shared" si="16"/>
        <v>2.9390000000000001</v>
      </c>
      <c r="BA136" s="90">
        <f>ROUND(AZ136*IFERROR(VLOOKUP($AK136,'3121% SY'!$A$2:$M$324,13,FALSE),0),3)</f>
        <v>0.66200000000000003</v>
      </c>
      <c r="BB136" s="90">
        <f t="shared" si="17"/>
        <v>0</v>
      </c>
      <c r="BC136" s="90">
        <f>ROUND(BB136*IFERROR(VLOOKUP($AK136,'3121% SY'!$A$2:$M$324,13,FALSE),0),3)</f>
        <v>0</v>
      </c>
    </row>
    <row r="137" spans="1:55" x14ac:dyDescent="0.25">
      <c r="A137" s="88" t="s">
        <v>189</v>
      </c>
      <c r="B137" s="90"/>
      <c r="C137" s="90">
        <v>8.8999999999999996E-2</v>
      </c>
      <c r="D137" s="90"/>
      <c r="E137" s="90"/>
      <c r="F137" s="90">
        <v>1.1000000000000001</v>
      </c>
      <c r="G137" s="90"/>
      <c r="H137" s="90"/>
      <c r="I137" s="90"/>
      <c r="J137" s="90"/>
      <c r="K137" s="90">
        <v>0.33400000000000002</v>
      </c>
      <c r="L137" s="90"/>
      <c r="M137" s="90"/>
      <c r="N137" s="90"/>
      <c r="P137" s="90">
        <f t="shared" si="13"/>
        <v>1.4340000000000002</v>
      </c>
      <c r="Q137" s="90">
        <f>SUM($B137:E137)</f>
        <v>8.8999999999999996E-2</v>
      </c>
      <c r="R137" s="89"/>
      <c r="AH137" s="90">
        <f t="shared" si="14"/>
        <v>0</v>
      </c>
      <c r="AI137" s="90">
        <f t="shared" si="15"/>
        <v>0</v>
      </c>
      <c r="AJ137" s="89"/>
      <c r="AK137" s="88" t="s">
        <v>265</v>
      </c>
      <c r="AL137" s="90"/>
      <c r="AM137" s="90"/>
      <c r="AN137" s="90"/>
      <c r="AO137" s="90"/>
      <c r="AP137" s="90"/>
      <c r="AQ137" s="90"/>
      <c r="AR137" s="90"/>
      <c r="AS137" s="90"/>
      <c r="AT137" s="90"/>
      <c r="AU137" s="90">
        <v>0.125</v>
      </c>
      <c r="AV137" s="90"/>
      <c r="AW137" s="90"/>
      <c r="AX137" s="90"/>
      <c r="AY137" s="90"/>
      <c r="AZ137" s="90">
        <f t="shared" si="16"/>
        <v>0.125</v>
      </c>
      <c r="BA137" s="90">
        <f>ROUND(AZ137*IFERROR(VLOOKUP($AK137,'3121% SY'!$A$2:$M$324,13,FALSE),0),3)</f>
        <v>3.1E-2</v>
      </c>
      <c r="BB137" s="90">
        <f t="shared" si="17"/>
        <v>0</v>
      </c>
      <c r="BC137" s="90">
        <f>ROUND(BB137*IFERROR(VLOOKUP($AK137,'3121% SY'!$A$2:$M$324,13,FALSE),0),3)</f>
        <v>0</v>
      </c>
    </row>
    <row r="138" spans="1:55" x14ac:dyDescent="0.25">
      <c r="A138" s="88" t="s">
        <v>190</v>
      </c>
      <c r="B138" s="90"/>
      <c r="C138" s="90"/>
      <c r="D138" s="90"/>
      <c r="E138" s="90"/>
      <c r="F138" s="90">
        <v>1.2</v>
      </c>
      <c r="G138" s="90"/>
      <c r="H138" s="90"/>
      <c r="I138" s="90"/>
      <c r="J138" s="90"/>
      <c r="K138" s="90">
        <v>0.16</v>
      </c>
      <c r="L138" s="90"/>
      <c r="M138" s="90"/>
      <c r="N138" s="90"/>
      <c r="P138" s="90">
        <f t="shared" si="13"/>
        <v>1.3599999999999999</v>
      </c>
      <c r="Q138" s="90">
        <f>SUM($B138:E138)</f>
        <v>0</v>
      </c>
      <c r="R138" s="89"/>
      <c r="AH138" s="90">
        <f t="shared" si="14"/>
        <v>0</v>
      </c>
      <c r="AI138" s="90">
        <f t="shared" si="15"/>
        <v>0</v>
      </c>
      <c r="AJ138" s="89"/>
      <c r="AK138" s="88" t="s">
        <v>268</v>
      </c>
      <c r="AL138" s="90"/>
      <c r="AM138" s="90"/>
      <c r="AN138" s="90"/>
      <c r="AO138" s="90"/>
      <c r="AP138" s="90"/>
      <c r="AQ138" s="90"/>
      <c r="AR138" s="90">
        <v>1.0840000000000001</v>
      </c>
      <c r="AS138" s="90"/>
      <c r="AT138" s="90">
        <v>2.5659999999999998</v>
      </c>
      <c r="AU138" s="90">
        <v>2.133</v>
      </c>
      <c r="AV138" s="90"/>
      <c r="AW138" s="90">
        <v>0.33200000000000002</v>
      </c>
      <c r="AX138" s="90"/>
      <c r="AY138" s="90"/>
      <c r="AZ138" s="90">
        <f t="shared" si="16"/>
        <v>6.1149999999999993</v>
      </c>
      <c r="BA138" s="90">
        <f>ROUND(AZ138*IFERROR(VLOOKUP($AK138,'3121% SY'!$A$2:$M$324,13,FALSE),0),3)</f>
        <v>1.147</v>
      </c>
      <c r="BB138" s="90">
        <f t="shared" si="17"/>
        <v>0</v>
      </c>
      <c r="BC138" s="90">
        <f>ROUND(BB138*IFERROR(VLOOKUP($AK138,'3121% SY'!$A$2:$M$324,13,FALSE),0),3)</f>
        <v>0</v>
      </c>
    </row>
    <row r="139" spans="1:55" x14ac:dyDescent="0.25">
      <c r="A139" s="88" t="s">
        <v>191</v>
      </c>
      <c r="B139" s="90"/>
      <c r="C139" s="90"/>
      <c r="D139" s="90"/>
      <c r="E139" s="90"/>
      <c r="F139" s="90">
        <v>4.9550000000000001</v>
      </c>
      <c r="G139" s="90"/>
      <c r="H139" s="90"/>
      <c r="I139" s="90"/>
      <c r="J139" s="90"/>
      <c r="K139" s="90">
        <v>0.66700000000000004</v>
      </c>
      <c r="L139" s="90"/>
      <c r="M139" s="90"/>
      <c r="N139" s="90"/>
      <c r="P139" s="90">
        <f t="shared" si="13"/>
        <v>5.6219999999999999</v>
      </c>
      <c r="Q139" s="90">
        <f>SUM($B139:E139)</f>
        <v>0</v>
      </c>
      <c r="R139" s="89"/>
      <c r="AH139" s="90">
        <f t="shared" si="14"/>
        <v>0</v>
      </c>
      <c r="AI139" s="90">
        <f t="shared" si="15"/>
        <v>0</v>
      </c>
      <c r="AJ139" s="89"/>
      <c r="AK139" s="88" t="s">
        <v>269</v>
      </c>
      <c r="AL139" s="90"/>
      <c r="AM139" s="90"/>
      <c r="AN139" s="90"/>
      <c r="AO139" s="90"/>
      <c r="AP139" s="90"/>
      <c r="AQ139" s="90"/>
      <c r="AR139" s="90">
        <v>1.069</v>
      </c>
      <c r="AS139" s="90"/>
      <c r="AT139" s="90">
        <v>1.05</v>
      </c>
      <c r="AU139" s="90"/>
      <c r="AV139" s="90"/>
      <c r="AW139" s="90">
        <v>0.2</v>
      </c>
      <c r="AX139" s="90"/>
      <c r="AY139" s="90"/>
      <c r="AZ139" s="90">
        <f t="shared" si="16"/>
        <v>2.319</v>
      </c>
      <c r="BA139" s="90">
        <f>ROUND(AZ139*IFERROR(VLOOKUP($AK139,'3121% SY'!$A$2:$M$324,13,FALSE),0),3)</f>
        <v>0.54200000000000004</v>
      </c>
      <c r="BB139" s="90">
        <f t="shared" si="17"/>
        <v>0</v>
      </c>
      <c r="BC139" s="90">
        <f>ROUND(BB139*IFERROR(VLOOKUP($AK139,'3121% SY'!$A$2:$M$324,13,FALSE),0),3)</f>
        <v>0</v>
      </c>
    </row>
    <row r="140" spans="1:55" x14ac:dyDescent="0.25">
      <c r="A140" s="88" t="s">
        <v>192</v>
      </c>
      <c r="B140" s="90"/>
      <c r="C140" s="90"/>
      <c r="D140" s="90"/>
      <c r="E140" s="90"/>
      <c r="F140" s="90">
        <v>5.4710000000000001</v>
      </c>
      <c r="G140" s="90"/>
      <c r="H140" s="90"/>
      <c r="I140" s="90"/>
      <c r="J140" s="90"/>
      <c r="K140" s="90">
        <v>0.77900000000000003</v>
      </c>
      <c r="L140" s="90"/>
      <c r="M140" s="90"/>
      <c r="N140" s="90"/>
      <c r="P140" s="90">
        <f t="shared" si="13"/>
        <v>6.25</v>
      </c>
      <c r="Q140" s="90">
        <f>SUM($B140:E140)</f>
        <v>0</v>
      </c>
      <c r="R140" s="89"/>
      <c r="AH140" s="90">
        <f t="shared" si="14"/>
        <v>0</v>
      </c>
      <c r="AI140" s="90">
        <f t="shared" si="15"/>
        <v>0</v>
      </c>
      <c r="AJ140" s="89"/>
      <c r="AK140" s="88" t="s">
        <v>270</v>
      </c>
      <c r="AL140" s="90"/>
      <c r="AM140" s="90"/>
      <c r="AN140" s="90"/>
      <c r="AO140" s="90"/>
      <c r="AP140" s="90"/>
      <c r="AQ140" s="90"/>
      <c r="AR140" s="90">
        <v>0.2</v>
      </c>
      <c r="AS140" s="90"/>
      <c r="AT140" s="90">
        <v>0.64</v>
      </c>
      <c r="AU140" s="90">
        <v>0.2</v>
      </c>
      <c r="AV140" s="90"/>
      <c r="AW140" s="90"/>
      <c r="AX140" s="90"/>
      <c r="AY140" s="90"/>
      <c r="AZ140" s="90">
        <f t="shared" si="16"/>
        <v>1.04</v>
      </c>
      <c r="BA140" s="90">
        <f>ROUND(AZ140*IFERROR(VLOOKUP($AK140,'3121% SY'!$A$2:$M$324,13,FALSE),0),3)</f>
        <v>0.185</v>
      </c>
      <c r="BB140" s="90">
        <f t="shared" si="17"/>
        <v>0</v>
      </c>
      <c r="BC140" s="90">
        <f>ROUND(BB140*IFERROR(VLOOKUP($AK140,'3121% SY'!$A$2:$M$324,13,FALSE),0),3)</f>
        <v>0</v>
      </c>
    </row>
    <row r="141" spans="1:55" x14ac:dyDescent="0.25">
      <c r="A141" s="88" t="s">
        <v>193</v>
      </c>
      <c r="B141" s="90"/>
      <c r="C141" s="90"/>
      <c r="D141" s="90"/>
      <c r="E141" s="90"/>
      <c r="F141" s="90">
        <v>5.01</v>
      </c>
      <c r="G141" s="90"/>
      <c r="H141" s="90"/>
      <c r="I141" s="90"/>
      <c r="J141" s="90"/>
      <c r="K141" s="90"/>
      <c r="L141" s="90"/>
      <c r="M141" s="90"/>
      <c r="N141" s="90"/>
      <c r="P141" s="90">
        <f t="shared" si="13"/>
        <v>5.01</v>
      </c>
      <c r="Q141" s="90">
        <f>SUM($B141:E141)</f>
        <v>0</v>
      </c>
      <c r="R141" s="89"/>
      <c r="AH141" s="90">
        <f t="shared" si="14"/>
        <v>0</v>
      </c>
      <c r="AI141" s="90">
        <f t="shared" si="15"/>
        <v>0</v>
      </c>
      <c r="AJ141" s="89"/>
      <c r="AK141" s="88" t="s">
        <v>271</v>
      </c>
      <c r="AL141" s="90"/>
      <c r="AM141" s="90"/>
      <c r="AN141" s="90"/>
      <c r="AO141" s="90"/>
      <c r="AP141" s="90"/>
      <c r="AQ141" s="90"/>
      <c r="AR141" s="90"/>
      <c r="AS141" s="90"/>
      <c r="AT141" s="90">
        <v>1</v>
      </c>
      <c r="AU141" s="90">
        <v>0.67</v>
      </c>
      <c r="AV141" s="90"/>
      <c r="AW141" s="90"/>
      <c r="AX141" s="90"/>
      <c r="AY141" s="90"/>
      <c r="AZ141" s="90">
        <f t="shared" si="16"/>
        <v>1.67</v>
      </c>
      <c r="BA141" s="90">
        <f>ROUND(AZ141*IFERROR(VLOOKUP($AK141,'3121% SY'!$A$2:$M$324,13,FALSE),0),3)</f>
        <v>0.314</v>
      </c>
      <c r="BB141" s="90">
        <f t="shared" si="17"/>
        <v>0</v>
      </c>
      <c r="BC141" s="90">
        <f>ROUND(BB141*IFERROR(VLOOKUP($AK141,'3121% SY'!$A$2:$M$324,13,FALSE),0),3)</f>
        <v>0</v>
      </c>
    </row>
    <row r="142" spans="1:55" x14ac:dyDescent="0.25">
      <c r="A142" s="88" t="s">
        <v>194</v>
      </c>
      <c r="B142" s="90"/>
      <c r="C142" s="90"/>
      <c r="D142" s="90"/>
      <c r="E142" s="90"/>
      <c r="F142" s="90">
        <v>6.6379999999999999</v>
      </c>
      <c r="G142" s="90"/>
      <c r="H142" s="90">
        <v>2.4820000000000002</v>
      </c>
      <c r="I142" s="90"/>
      <c r="J142" s="90"/>
      <c r="K142" s="90">
        <v>1.712</v>
      </c>
      <c r="L142" s="90"/>
      <c r="M142" s="90"/>
      <c r="N142" s="90"/>
      <c r="P142" s="90">
        <f t="shared" si="13"/>
        <v>10.832000000000001</v>
      </c>
      <c r="Q142" s="90">
        <f>SUM($B142:E142)</f>
        <v>0</v>
      </c>
      <c r="R142" s="89"/>
      <c r="AH142" s="90">
        <f t="shared" si="14"/>
        <v>0</v>
      </c>
      <c r="AI142" s="90">
        <f t="shared" si="15"/>
        <v>0</v>
      </c>
      <c r="AJ142" s="89"/>
      <c r="AK142" s="88" t="s">
        <v>272</v>
      </c>
      <c r="AL142" s="90"/>
      <c r="AM142" s="90"/>
      <c r="AN142" s="90"/>
      <c r="AO142" s="90"/>
      <c r="AP142" s="90"/>
      <c r="AQ142" s="90"/>
      <c r="AR142" s="90">
        <v>0.36799999999999999</v>
      </c>
      <c r="AS142" s="90"/>
      <c r="AT142" s="90">
        <v>0.17</v>
      </c>
      <c r="AU142" s="90">
        <v>0.34</v>
      </c>
      <c r="AV142" s="90"/>
      <c r="AW142" s="90"/>
      <c r="AX142" s="90"/>
      <c r="AY142" s="90"/>
      <c r="AZ142" s="90">
        <f t="shared" si="16"/>
        <v>0.87800000000000011</v>
      </c>
      <c r="BA142" s="90">
        <f>ROUND(AZ142*IFERROR(VLOOKUP($AK142,'3121% SY'!$A$2:$M$324,13,FALSE),0),3)</f>
        <v>0.16900000000000001</v>
      </c>
      <c r="BB142" s="90">
        <f t="shared" si="17"/>
        <v>0</v>
      </c>
      <c r="BC142" s="90">
        <f>ROUND(BB142*IFERROR(VLOOKUP($AK142,'3121% SY'!$A$2:$M$324,13,FALSE),0),3)</f>
        <v>0</v>
      </c>
    </row>
    <row r="143" spans="1:55" x14ac:dyDescent="0.25">
      <c r="A143" s="88" t="s">
        <v>195</v>
      </c>
      <c r="B143" s="90"/>
      <c r="C143" s="90"/>
      <c r="D143" s="90">
        <v>0.27500000000000002</v>
      </c>
      <c r="E143" s="90"/>
      <c r="F143" s="90"/>
      <c r="G143" s="90"/>
      <c r="H143" s="90">
        <v>1.55</v>
      </c>
      <c r="I143" s="90"/>
      <c r="J143" s="90">
        <v>0.1</v>
      </c>
      <c r="K143" s="90"/>
      <c r="L143" s="90"/>
      <c r="M143" s="90"/>
      <c r="N143" s="90"/>
      <c r="P143" s="90">
        <f t="shared" si="13"/>
        <v>1.6500000000000001</v>
      </c>
      <c r="Q143" s="90">
        <f>SUM($B143:E143)</f>
        <v>0.27500000000000002</v>
      </c>
      <c r="R143" s="89"/>
      <c r="AH143" s="90">
        <f t="shared" si="14"/>
        <v>0</v>
      </c>
      <c r="AI143" s="90">
        <f t="shared" si="15"/>
        <v>0</v>
      </c>
      <c r="AJ143" s="89"/>
      <c r="AK143" s="88" t="s">
        <v>274</v>
      </c>
      <c r="AL143" s="90"/>
      <c r="AM143" s="90"/>
      <c r="AN143" s="90"/>
      <c r="AO143" s="90"/>
      <c r="AP143" s="90"/>
      <c r="AQ143" s="90"/>
      <c r="AR143" s="90"/>
      <c r="AS143" s="90"/>
      <c r="AT143" s="90">
        <v>0.2</v>
      </c>
      <c r="AU143" s="90">
        <v>0.3</v>
      </c>
      <c r="AV143" s="90"/>
      <c r="AW143" s="90">
        <v>0.114</v>
      </c>
      <c r="AX143" s="90"/>
      <c r="AY143" s="90"/>
      <c r="AZ143" s="90">
        <f t="shared" si="16"/>
        <v>0.61399999999999999</v>
      </c>
      <c r="BA143" s="90">
        <f>ROUND(AZ143*IFERROR(VLOOKUP($AK143,'3121% SY'!$A$2:$M$324,13,FALSE),0),3)</f>
        <v>0.129</v>
      </c>
      <c r="BB143" s="90">
        <f t="shared" si="17"/>
        <v>0</v>
      </c>
      <c r="BC143" s="90">
        <f>ROUND(BB143*IFERROR(VLOOKUP($AK143,'3121% SY'!$A$2:$M$324,13,FALSE),0),3)</f>
        <v>0</v>
      </c>
    </row>
    <row r="144" spans="1:55" x14ac:dyDescent="0.25">
      <c r="A144" s="88" t="s">
        <v>196</v>
      </c>
      <c r="B144" s="90"/>
      <c r="C144" s="90">
        <v>0.45300000000000001</v>
      </c>
      <c r="D144" s="90">
        <v>0.56399999999999995</v>
      </c>
      <c r="E144" s="90">
        <v>0.54400000000000004</v>
      </c>
      <c r="F144" s="90">
        <v>2</v>
      </c>
      <c r="G144" s="90"/>
      <c r="H144" s="90"/>
      <c r="I144" s="90"/>
      <c r="J144" s="90"/>
      <c r="K144" s="90"/>
      <c r="L144" s="90"/>
      <c r="M144" s="90"/>
      <c r="N144" s="90"/>
      <c r="P144" s="90">
        <f t="shared" si="13"/>
        <v>2</v>
      </c>
      <c r="Q144" s="90">
        <f>SUM($B144:E144)</f>
        <v>1.5609999999999999</v>
      </c>
      <c r="R144" s="89"/>
      <c r="AH144" s="90">
        <f t="shared" si="14"/>
        <v>0</v>
      </c>
      <c r="AI144" s="90">
        <f t="shared" si="15"/>
        <v>0</v>
      </c>
      <c r="AJ144" s="89"/>
      <c r="AK144" s="88" t="s">
        <v>279</v>
      </c>
      <c r="AL144" s="90"/>
      <c r="AM144" s="90"/>
      <c r="AN144" s="90"/>
      <c r="AO144" s="90"/>
      <c r="AP144" s="90"/>
      <c r="AQ144" s="90"/>
      <c r="AR144" s="90"/>
      <c r="AS144" s="90"/>
      <c r="AT144" s="90">
        <v>0.56399999999999995</v>
      </c>
      <c r="AU144" s="90">
        <v>0.5</v>
      </c>
      <c r="AV144" s="90"/>
      <c r="AW144" s="90"/>
      <c r="AX144" s="90"/>
      <c r="AY144" s="90"/>
      <c r="AZ144" s="90">
        <f t="shared" si="16"/>
        <v>1.0640000000000001</v>
      </c>
      <c r="BA144" s="90">
        <f>ROUND(AZ144*IFERROR(VLOOKUP($AK144,'3121% SY'!$A$2:$M$324,13,FALSE),0),3)</f>
        <v>0.222</v>
      </c>
      <c r="BB144" s="90">
        <f t="shared" si="17"/>
        <v>0</v>
      </c>
      <c r="BC144" s="90">
        <f>ROUND(BB144*IFERROR(VLOOKUP($AK144,'3121% SY'!$A$2:$M$324,13,FALSE),0),3)</f>
        <v>0</v>
      </c>
    </row>
    <row r="145" spans="1:55" x14ac:dyDescent="0.25">
      <c r="A145" s="88" t="s">
        <v>197</v>
      </c>
      <c r="B145" s="90"/>
      <c r="C145" s="90"/>
      <c r="D145" s="90"/>
      <c r="E145" s="90"/>
      <c r="F145" s="90">
        <v>2.96</v>
      </c>
      <c r="G145" s="90"/>
      <c r="H145" s="90"/>
      <c r="I145" s="90"/>
      <c r="J145" s="90"/>
      <c r="K145" s="90">
        <v>0.5</v>
      </c>
      <c r="L145" s="90"/>
      <c r="M145" s="90"/>
      <c r="N145" s="90"/>
      <c r="P145" s="90">
        <f t="shared" si="13"/>
        <v>3.46</v>
      </c>
      <c r="Q145" s="90">
        <f>SUM($B145:E145)</f>
        <v>0</v>
      </c>
      <c r="R145" s="89"/>
      <c r="AH145" s="90">
        <f t="shared" si="14"/>
        <v>0</v>
      </c>
      <c r="AI145" s="90">
        <f t="shared" si="15"/>
        <v>0</v>
      </c>
      <c r="AJ145" s="89"/>
      <c r="AK145" s="88" t="s">
        <v>280</v>
      </c>
      <c r="AL145" s="90"/>
      <c r="AM145" s="90"/>
      <c r="AN145" s="90"/>
      <c r="AO145" s="90"/>
      <c r="AP145" s="90"/>
      <c r="AQ145" s="90"/>
      <c r="AR145" s="90"/>
      <c r="AS145" s="90"/>
      <c r="AT145" s="90">
        <v>0.16700000000000001</v>
      </c>
      <c r="AU145" s="90"/>
      <c r="AV145" s="90"/>
      <c r="AW145" s="90"/>
      <c r="AX145" s="90"/>
      <c r="AY145" s="90"/>
      <c r="AZ145" s="90">
        <f t="shared" si="16"/>
        <v>0.16700000000000001</v>
      </c>
      <c r="BA145" s="90">
        <f>ROUND(AZ145*IFERROR(VLOOKUP($AK145,'3121% SY'!$A$2:$M$324,13,FALSE),0),3)</f>
        <v>3.1E-2</v>
      </c>
      <c r="BB145" s="90">
        <f t="shared" si="17"/>
        <v>0</v>
      </c>
      <c r="BC145" s="90">
        <f>ROUND(BB145*IFERROR(VLOOKUP($AK145,'3121% SY'!$A$2:$M$324,13,FALSE),0),3)</f>
        <v>0</v>
      </c>
    </row>
    <row r="146" spans="1:55" x14ac:dyDescent="0.25">
      <c r="A146" s="88" t="s">
        <v>632</v>
      </c>
      <c r="B146" s="90"/>
      <c r="C146" s="90"/>
      <c r="D146" s="90"/>
      <c r="E146" s="90"/>
      <c r="F146" s="90">
        <v>2.0270000000000001</v>
      </c>
      <c r="G146" s="90"/>
      <c r="H146" s="90"/>
      <c r="I146" s="90"/>
      <c r="J146" s="90"/>
      <c r="K146" s="90"/>
      <c r="L146" s="90"/>
      <c r="M146" s="90"/>
      <c r="N146" s="90"/>
      <c r="P146" s="90">
        <f t="shared" si="13"/>
        <v>2.0270000000000001</v>
      </c>
      <c r="Q146" s="90">
        <f>SUM($B146:E146)</f>
        <v>0</v>
      </c>
      <c r="R146" s="89"/>
      <c r="AH146" s="90">
        <f t="shared" si="14"/>
        <v>0</v>
      </c>
      <c r="AI146" s="90">
        <f t="shared" si="15"/>
        <v>0</v>
      </c>
      <c r="AJ146" s="89"/>
      <c r="AK146" s="88" t="s">
        <v>289</v>
      </c>
      <c r="AL146" s="90"/>
      <c r="AM146" s="90"/>
      <c r="AN146" s="90"/>
      <c r="AO146" s="90"/>
      <c r="AP146" s="90"/>
      <c r="AQ146" s="90"/>
      <c r="AR146" s="90"/>
      <c r="AS146" s="90"/>
      <c r="AT146" s="90"/>
      <c r="AU146" s="90">
        <v>0.5</v>
      </c>
      <c r="AV146" s="90"/>
      <c r="AW146" s="90"/>
      <c r="AX146" s="90"/>
      <c r="AY146" s="90"/>
      <c r="AZ146" s="90">
        <f t="shared" si="16"/>
        <v>0.5</v>
      </c>
      <c r="BA146" s="90">
        <f>ROUND(AZ146*IFERROR(VLOOKUP($AK146,'3121% SY'!$A$2:$M$324,13,FALSE),0),3)</f>
        <v>9.5000000000000001E-2</v>
      </c>
      <c r="BB146" s="90">
        <f t="shared" si="17"/>
        <v>0</v>
      </c>
      <c r="BC146" s="90">
        <f>ROUND(BB146*IFERROR(VLOOKUP($AK146,'3121% SY'!$A$2:$M$324,13,FALSE),0),3)</f>
        <v>0</v>
      </c>
    </row>
    <row r="147" spans="1:55" x14ac:dyDescent="0.25">
      <c r="A147" s="88" t="s">
        <v>199</v>
      </c>
      <c r="B147" s="90"/>
      <c r="C147" s="90"/>
      <c r="D147" s="90"/>
      <c r="E147" s="90"/>
      <c r="F147" s="90">
        <v>0.2</v>
      </c>
      <c r="G147" s="90"/>
      <c r="H147" s="90"/>
      <c r="I147" s="90"/>
      <c r="J147" s="90"/>
      <c r="K147" s="90"/>
      <c r="L147" s="90"/>
      <c r="M147" s="90"/>
      <c r="N147" s="90"/>
      <c r="P147" s="90">
        <f t="shared" si="13"/>
        <v>0.2</v>
      </c>
      <c r="Q147" s="90">
        <f>SUM($B147:E147)</f>
        <v>0</v>
      </c>
      <c r="R147" s="89"/>
      <c r="AH147" s="90">
        <f t="shared" si="14"/>
        <v>0</v>
      </c>
      <c r="AI147" s="90">
        <f t="shared" si="15"/>
        <v>0</v>
      </c>
      <c r="AJ147" s="89"/>
      <c r="AK147" s="88" t="s">
        <v>290</v>
      </c>
      <c r="AL147" s="90"/>
      <c r="AM147" s="90"/>
      <c r="AN147" s="90"/>
      <c r="AO147" s="90"/>
      <c r="AP147" s="90"/>
      <c r="AQ147" s="90"/>
      <c r="AR147" s="90"/>
      <c r="AS147" s="90"/>
      <c r="AT147" s="90">
        <v>0.33300000000000002</v>
      </c>
      <c r="AU147" s="90">
        <v>0.33300000000000002</v>
      </c>
      <c r="AV147" s="90"/>
      <c r="AW147" s="90"/>
      <c r="AX147" s="90"/>
      <c r="AY147" s="90"/>
      <c r="AZ147" s="90">
        <f t="shared" si="16"/>
        <v>0.66600000000000004</v>
      </c>
      <c r="BA147" s="90">
        <f>ROUND(AZ147*IFERROR(VLOOKUP($AK147,'3121% SY'!$A$2:$M$324,13,FALSE),0),3)</f>
        <v>0.105</v>
      </c>
      <c r="BB147" s="90">
        <f t="shared" si="17"/>
        <v>0</v>
      </c>
      <c r="BC147" s="90">
        <f>ROUND(BB147*IFERROR(VLOOKUP($AK147,'3121% SY'!$A$2:$M$324,13,FALSE),0),3)</f>
        <v>0</v>
      </c>
    </row>
    <row r="148" spans="1:55" x14ac:dyDescent="0.25">
      <c r="A148" s="88" t="s">
        <v>200</v>
      </c>
      <c r="B148" s="90"/>
      <c r="C148" s="90"/>
      <c r="D148" s="90"/>
      <c r="E148" s="90"/>
      <c r="F148" s="90">
        <v>0.15</v>
      </c>
      <c r="G148" s="90"/>
      <c r="H148" s="90"/>
      <c r="I148" s="90"/>
      <c r="J148" s="90"/>
      <c r="K148" s="90"/>
      <c r="L148" s="90"/>
      <c r="M148" s="90"/>
      <c r="N148" s="90"/>
      <c r="P148" s="90">
        <f t="shared" si="13"/>
        <v>0.15</v>
      </c>
      <c r="Q148" s="90">
        <f>SUM($B148:E148)</f>
        <v>0</v>
      </c>
      <c r="R148" s="89"/>
      <c r="AH148" s="90">
        <f t="shared" si="14"/>
        <v>0</v>
      </c>
      <c r="AI148" s="90">
        <f t="shared" si="15"/>
        <v>0</v>
      </c>
      <c r="AJ148" s="89"/>
      <c r="AK148" s="88" t="s">
        <v>291</v>
      </c>
      <c r="AL148" s="90"/>
      <c r="AM148" s="90"/>
      <c r="AN148" s="90"/>
      <c r="AO148" s="90"/>
      <c r="AP148" s="90"/>
      <c r="AQ148" s="90"/>
      <c r="AR148" s="90">
        <v>3.7970000000000002</v>
      </c>
      <c r="AS148" s="90"/>
      <c r="AT148" s="90">
        <v>3</v>
      </c>
      <c r="AU148" s="90">
        <v>5.4</v>
      </c>
      <c r="AV148" s="90"/>
      <c r="AW148" s="90"/>
      <c r="AX148" s="90"/>
      <c r="AY148" s="90"/>
      <c r="AZ148" s="90">
        <f t="shared" si="16"/>
        <v>12.197000000000001</v>
      </c>
      <c r="BA148" s="90">
        <f>ROUND(AZ148*IFERROR(VLOOKUP($AK148,'3121% SY'!$A$2:$M$324,13,FALSE),0),3)</f>
        <v>3.9049999999999998</v>
      </c>
      <c r="BB148" s="90">
        <f t="shared" si="17"/>
        <v>0</v>
      </c>
      <c r="BC148" s="90">
        <f>ROUND(BB148*IFERROR(VLOOKUP($AK148,'3121% SY'!$A$2:$M$324,13,FALSE),0),3)</f>
        <v>0</v>
      </c>
    </row>
    <row r="149" spans="1:55" x14ac:dyDescent="0.25">
      <c r="A149" s="88" t="s">
        <v>201</v>
      </c>
      <c r="B149" s="90"/>
      <c r="C149" s="90"/>
      <c r="D149" s="90"/>
      <c r="E149" s="90"/>
      <c r="F149" s="90">
        <v>1</v>
      </c>
      <c r="G149" s="90"/>
      <c r="H149" s="90"/>
      <c r="I149" s="90"/>
      <c r="J149" s="90"/>
      <c r="K149" s="90">
        <v>0.35</v>
      </c>
      <c r="L149" s="90"/>
      <c r="M149" s="90"/>
      <c r="N149" s="90"/>
      <c r="P149" s="90">
        <f t="shared" si="13"/>
        <v>1.35</v>
      </c>
      <c r="Q149" s="90">
        <f>SUM($B149:E149)</f>
        <v>0</v>
      </c>
      <c r="R149" s="89"/>
      <c r="AH149" s="90">
        <f t="shared" si="14"/>
        <v>0</v>
      </c>
      <c r="AI149" s="90">
        <f t="shared" si="15"/>
        <v>0</v>
      </c>
      <c r="AJ149" s="89"/>
      <c r="AK149" s="88" t="s">
        <v>292</v>
      </c>
      <c r="AL149" s="90"/>
      <c r="AM149" s="90"/>
      <c r="AN149" s="90"/>
      <c r="AO149" s="90"/>
      <c r="AP149" s="90"/>
      <c r="AQ149" s="90"/>
      <c r="AR149" s="90">
        <v>0.2</v>
      </c>
      <c r="AS149" s="90"/>
      <c r="AT149" s="90"/>
      <c r="AU149" s="90"/>
      <c r="AV149" s="90"/>
      <c r="AW149" s="90"/>
      <c r="AX149" s="90"/>
      <c r="AY149" s="90">
        <v>1</v>
      </c>
      <c r="AZ149" s="90">
        <f t="shared" si="16"/>
        <v>1.2</v>
      </c>
      <c r="BA149" s="90">
        <f>ROUND(AZ149*IFERROR(VLOOKUP($AK149,'3121% SY'!$A$2:$M$324,13,FALSE),0),3)</f>
        <v>0.26300000000000001</v>
      </c>
      <c r="BB149" s="90">
        <f t="shared" si="17"/>
        <v>0</v>
      </c>
      <c r="BC149" s="90">
        <f>ROUND(BB149*IFERROR(VLOOKUP($AK149,'3121% SY'!$A$2:$M$324,13,FALSE),0),3)</f>
        <v>0</v>
      </c>
    </row>
    <row r="150" spans="1:55" x14ac:dyDescent="0.25">
      <c r="A150" s="88" t="s">
        <v>202</v>
      </c>
      <c r="B150" s="90"/>
      <c r="C150" s="90"/>
      <c r="D150" s="90"/>
      <c r="E150" s="90"/>
      <c r="F150" s="90">
        <v>0.08</v>
      </c>
      <c r="G150" s="90"/>
      <c r="H150" s="90"/>
      <c r="I150" s="90"/>
      <c r="J150" s="90"/>
      <c r="K150" s="90"/>
      <c r="L150" s="90"/>
      <c r="M150" s="90"/>
      <c r="N150" s="90"/>
      <c r="P150" s="90">
        <f t="shared" si="13"/>
        <v>0.08</v>
      </c>
      <c r="Q150" s="90">
        <f>SUM($B150:E150)</f>
        <v>0</v>
      </c>
      <c r="R150" s="89"/>
      <c r="AH150" s="90">
        <f t="shared" si="14"/>
        <v>0</v>
      </c>
      <c r="AI150" s="90">
        <f t="shared" si="15"/>
        <v>0</v>
      </c>
      <c r="AJ150" s="89"/>
      <c r="AK150" s="88" t="s">
        <v>293</v>
      </c>
      <c r="AL150" s="90"/>
      <c r="AM150" s="90"/>
      <c r="AN150" s="90"/>
      <c r="AO150" s="90"/>
      <c r="AP150" s="90"/>
      <c r="AQ150" s="90"/>
      <c r="AR150" s="90">
        <v>0.26800000000000002</v>
      </c>
      <c r="AS150" s="90"/>
      <c r="AT150" s="90">
        <v>6.7000000000000004E-2</v>
      </c>
      <c r="AU150" s="90">
        <v>1.768</v>
      </c>
      <c r="AV150" s="90"/>
      <c r="AW150" s="90"/>
      <c r="AX150" s="90"/>
      <c r="AY150" s="90"/>
      <c r="AZ150" s="90">
        <f t="shared" si="16"/>
        <v>2.1030000000000002</v>
      </c>
      <c r="BA150" s="90">
        <f>ROUND(AZ150*IFERROR(VLOOKUP($AK150,'3121% SY'!$A$2:$M$324,13,FALSE),0),3)</f>
        <v>0.42</v>
      </c>
      <c r="BB150" s="90">
        <f t="shared" si="17"/>
        <v>0</v>
      </c>
      <c r="BC150" s="90">
        <f>ROUND(BB150*IFERROR(VLOOKUP($AK150,'3121% SY'!$A$2:$M$324,13,FALSE),0),3)</f>
        <v>0</v>
      </c>
    </row>
    <row r="151" spans="1:55" x14ac:dyDescent="0.25">
      <c r="A151" s="88" t="s">
        <v>203</v>
      </c>
      <c r="B151" s="90"/>
      <c r="C151" s="90"/>
      <c r="D151" s="90"/>
      <c r="E151" s="90"/>
      <c r="F151" s="90">
        <v>1.0169999999999999</v>
      </c>
      <c r="G151" s="90"/>
      <c r="H151" s="90">
        <v>0.78</v>
      </c>
      <c r="I151" s="90"/>
      <c r="J151" s="90"/>
      <c r="K151" s="90">
        <v>0.39100000000000001</v>
      </c>
      <c r="L151" s="90"/>
      <c r="M151" s="90"/>
      <c r="N151" s="90"/>
      <c r="P151" s="90">
        <f t="shared" si="13"/>
        <v>2.1879999999999997</v>
      </c>
      <c r="Q151" s="90">
        <f>SUM($B151:E151)</f>
        <v>0</v>
      </c>
      <c r="R151" s="89"/>
      <c r="AH151" s="90">
        <f t="shared" si="14"/>
        <v>0</v>
      </c>
      <c r="AI151" s="90">
        <f t="shared" si="15"/>
        <v>0</v>
      </c>
      <c r="AJ151" s="89"/>
      <c r="AK151" s="88" t="s">
        <v>295</v>
      </c>
      <c r="AL151" s="90"/>
      <c r="AM151" s="90"/>
      <c r="AN151" s="90">
        <v>0.79</v>
      </c>
      <c r="AO151" s="90"/>
      <c r="AP151" s="90"/>
      <c r="AQ151" s="90"/>
      <c r="AR151" s="90"/>
      <c r="AS151" s="90"/>
      <c r="AT151" s="90"/>
      <c r="AU151" s="90">
        <v>0.5</v>
      </c>
      <c r="AV151" s="90"/>
      <c r="AW151" s="90"/>
      <c r="AX151" s="90"/>
      <c r="AY151" s="90">
        <v>0.58499999999999996</v>
      </c>
      <c r="AZ151" s="90">
        <f t="shared" si="16"/>
        <v>1.085</v>
      </c>
      <c r="BA151" s="90">
        <f>ROUND(AZ151*IFERROR(VLOOKUP($AK151,'3121% SY'!$A$2:$M$324,13,FALSE),0),3)</f>
        <v>0.33300000000000002</v>
      </c>
      <c r="BB151" s="90">
        <f t="shared" si="17"/>
        <v>0.79</v>
      </c>
      <c r="BC151" s="90">
        <f>ROUND(BB151*IFERROR(VLOOKUP($AK151,'3121% SY'!$A$2:$M$324,13,FALSE),0),3)</f>
        <v>0.24299999999999999</v>
      </c>
    </row>
    <row r="152" spans="1:55" x14ac:dyDescent="0.25">
      <c r="A152" s="88" t="s">
        <v>204</v>
      </c>
      <c r="B152" s="90"/>
      <c r="C152" s="90">
        <v>0.85899999999999999</v>
      </c>
      <c r="D152" s="90">
        <v>0.68200000000000005</v>
      </c>
      <c r="E152" s="90"/>
      <c r="F152" s="90">
        <v>2</v>
      </c>
      <c r="G152" s="90"/>
      <c r="H152" s="90"/>
      <c r="I152" s="90"/>
      <c r="J152" s="90"/>
      <c r="K152" s="90">
        <v>0.151</v>
      </c>
      <c r="L152" s="90"/>
      <c r="M152" s="90">
        <v>3.2000000000000001E-2</v>
      </c>
      <c r="N152" s="90"/>
      <c r="P152" s="90">
        <f t="shared" si="13"/>
        <v>2.1829999999999998</v>
      </c>
      <c r="Q152" s="90">
        <f>SUM($B152:E152)</f>
        <v>1.5409999999999999</v>
      </c>
      <c r="R152" s="89"/>
      <c r="AH152" s="90">
        <f t="shared" si="14"/>
        <v>0</v>
      </c>
      <c r="AI152" s="90">
        <f t="shared" si="15"/>
        <v>0</v>
      </c>
      <c r="AJ152" s="89"/>
      <c r="AK152" s="88" t="s">
        <v>296</v>
      </c>
      <c r="AL152" s="90"/>
      <c r="AM152" s="90"/>
      <c r="AN152" s="90"/>
      <c r="AO152" s="90"/>
      <c r="AP152" s="90"/>
      <c r="AQ152" s="90"/>
      <c r="AR152" s="90"/>
      <c r="AS152" s="90"/>
      <c r="AT152" s="90">
        <v>0.81699999999999995</v>
      </c>
      <c r="AU152" s="90"/>
      <c r="AV152" s="90"/>
      <c r="AW152" s="90"/>
      <c r="AX152" s="90"/>
      <c r="AY152" s="90"/>
      <c r="AZ152" s="90">
        <f t="shared" si="16"/>
        <v>0.81699999999999995</v>
      </c>
      <c r="BA152" s="90">
        <f>ROUND(AZ152*IFERROR(VLOOKUP($AK152,'3121% SY'!$A$2:$M$324,13,FALSE),0),3)</f>
        <v>0.23400000000000001</v>
      </c>
      <c r="BB152" s="90">
        <f t="shared" si="17"/>
        <v>0</v>
      </c>
      <c r="BC152" s="90">
        <f>ROUND(BB152*IFERROR(VLOOKUP($AK152,'3121% SY'!$A$2:$M$324,13,FALSE),0),3)</f>
        <v>0</v>
      </c>
    </row>
    <row r="153" spans="1:55" x14ac:dyDescent="0.25">
      <c r="A153" s="88" t="s">
        <v>205</v>
      </c>
      <c r="B153" s="90"/>
      <c r="C153" s="90"/>
      <c r="D153" s="90"/>
      <c r="E153" s="90"/>
      <c r="F153" s="90">
        <v>1.9</v>
      </c>
      <c r="G153" s="90"/>
      <c r="H153" s="90">
        <v>1</v>
      </c>
      <c r="I153" s="90"/>
      <c r="J153" s="90"/>
      <c r="K153" s="90">
        <v>0.154</v>
      </c>
      <c r="L153" s="90"/>
      <c r="M153" s="90"/>
      <c r="N153" s="90"/>
      <c r="P153" s="90">
        <f t="shared" si="13"/>
        <v>3.0539999999999998</v>
      </c>
      <c r="Q153" s="90">
        <f>SUM($B153:E153)</f>
        <v>0</v>
      </c>
      <c r="R153" s="89"/>
      <c r="AH153" s="90">
        <f t="shared" si="14"/>
        <v>0</v>
      </c>
      <c r="AI153" s="90">
        <f t="shared" si="15"/>
        <v>0</v>
      </c>
      <c r="AJ153" s="89"/>
      <c r="AK153" s="88" t="s">
        <v>297</v>
      </c>
      <c r="AL153" s="90"/>
      <c r="AM153" s="90"/>
      <c r="AN153" s="90">
        <v>0.59399999999999997</v>
      </c>
      <c r="AO153" s="90"/>
      <c r="AP153" s="90"/>
      <c r="AQ153" s="90"/>
      <c r="AR153" s="90"/>
      <c r="AS153" s="90"/>
      <c r="AT153" s="90">
        <v>0.22</v>
      </c>
      <c r="AU153" s="90">
        <v>0.75</v>
      </c>
      <c r="AV153" s="90"/>
      <c r="AW153" s="90"/>
      <c r="AX153" s="90"/>
      <c r="AY153" s="90"/>
      <c r="AZ153" s="90">
        <f t="shared" si="16"/>
        <v>0.97</v>
      </c>
      <c r="BA153" s="90">
        <f>ROUND(AZ153*IFERROR(VLOOKUP($AK153,'3121% SY'!$A$2:$M$324,13,FALSE),0),3)</f>
        <v>0.152</v>
      </c>
      <c r="BB153" s="90">
        <f t="shared" si="17"/>
        <v>0.59399999999999997</v>
      </c>
      <c r="BC153" s="90">
        <f>ROUND(BB153*IFERROR(VLOOKUP($AK153,'3121% SY'!$A$2:$M$324,13,FALSE),0),3)</f>
        <v>9.2999999999999999E-2</v>
      </c>
    </row>
    <row r="154" spans="1:55" x14ac:dyDescent="0.25">
      <c r="A154" s="88" t="s">
        <v>206</v>
      </c>
      <c r="B154" s="90"/>
      <c r="C154" s="90">
        <v>9.4E-2</v>
      </c>
      <c r="D154" s="90"/>
      <c r="E154" s="90"/>
      <c r="F154" s="90">
        <v>0.5</v>
      </c>
      <c r="G154" s="90"/>
      <c r="H154" s="90"/>
      <c r="I154" s="90"/>
      <c r="J154" s="90"/>
      <c r="K154" s="90"/>
      <c r="L154" s="90"/>
      <c r="M154" s="90"/>
      <c r="N154" s="90"/>
      <c r="P154" s="90">
        <f t="shared" si="13"/>
        <v>0.5</v>
      </c>
      <c r="Q154" s="90">
        <f>SUM($B154:E154)</f>
        <v>9.4E-2</v>
      </c>
      <c r="R154" s="89"/>
      <c r="AH154" s="90">
        <f t="shared" si="14"/>
        <v>0</v>
      </c>
      <c r="AI154" s="90">
        <f t="shared" si="15"/>
        <v>0</v>
      </c>
      <c r="AJ154" s="89"/>
      <c r="AK154" s="88" t="s">
        <v>298</v>
      </c>
      <c r="AL154" s="90"/>
      <c r="AM154" s="90"/>
      <c r="AN154" s="90"/>
      <c r="AO154" s="90"/>
      <c r="AP154" s="90"/>
      <c r="AQ154" s="90"/>
      <c r="AR154" s="90"/>
      <c r="AS154" s="90"/>
      <c r="AT154" s="90">
        <v>0.5</v>
      </c>
      <c r="AU154" s="90"/>
      <c r="AV154" s="90"/>
      <c r="AW154" s="90"/>
      <c r="AX154" s="90"/>
      <c r="AY154" s="90"/>
      <c r="AZ154" s="90">
        <f t="shared" si="16"/>
        <v>0.5</v>
      </c>
      <c r="BA154" s="90">
        <f>ROUND(AZ154*IFERROR(VLOOKUP($AK154,'3121% SY'!$A$2:$M$324,13,FALSE),0),3)</f>
        <v>0.125</v>
      </c>
      <c r="BB154" s="90">
        <f t="shared" si="17"/>
        <v>0</v>
      </c>
      <c r="BC154" s="90">
        <f>ROUND(BB154*IFERROR(VLOOKUP($AK154,'3121% SY'!$A$2:$M$324,13,FALSE),0),3)</f>
        <v>0</v>
      </c>
    </row>
    <row r="155" spans="1:55" x14ac:dyDescent="0.25">
      <c r="A155" s="88" t="s">
        <v>208</v>
      </c>
      <c r="B155" s="90"/>
      <c r="C155" s="90">
        <v>0.65300000000000002</v>
      </c>
      <c r="D155" s="90"/>
      <c r="E155" s="90"/>
      <c r="F155" s="90">
        <v>4</v>
      </c>
      <c r="G155" s="90"/>
      <c r="H155" s="90">
        <v>0.33</v>
      </c>
      <c r="I155" s="90"/>
      <c r="J155" s="90"/>
      <c r="K155" s="90">
        <v>0.79300000000000004</v>
      </c>
      <c r="L155" s="90"/>
      <c r="M155" s="90"/>
      <c r="N155" s="90"/>
      <c r="P155" s="90">
        <f t="shared" si="13"/>
        <v>5.1230000000000002</v>
      </c>
      <c r="Q155" s="90">
        <f>SUM($B155:E155)</f>
        <v>0.65300000000000002</v>
      </c>
      <c r="R155" s="89"/>
      <c r="AH155" s="90">
        <f t="shared" si="14"/>
        <v>0</v>
      </c>
      <c r="AI155" s="90">
        <f t="shared" si="15"/>
        <v>0</v>
      </c>
      <c r="AJ155" s="89"/>
      <c r="AK155" s="88" t="s">
        <v>299</v>
      </c>
      <c r="AL155" s="90"/>
      <c r="AM155" s="90"/>
      <c r="AN155" s="90"/>
      <c r="AO155" s="90"/>
      <c r="AP155" s="90"/>
      <c r="AQ155" s="90"/>
      <c r="AR155" s="90"/>
      <c r="AS155" s="90"/>
      <c r="AT155" s="90"/>
      <c r="AU155" s="90">
        <v>0.27500000000000002</v>
      </c>
      <c r="AV155" s="90"/>
      <c r="AW155" s="90"/>
      <c r="AX155" s="90"/>
      <c r="AY155" s="90"/>
      <c r="AZ155" s="90">
        <f t="shared" si="16"/>
        <v>0.27500000000000002</v>
      </c>
      <c r="BA155" s="90">
        <f>ROUND(AZ155*IFERROR(VLOOKUP($AK155,'3121% SY'!$A$2:$M$324,13,FALSE),0),3)</f>
        <v>7.5999999999999998E-2</v>
      </c>
      <c r="BB155" s="90">
        <f t="shared" si="17"/>
        <v>0</v>
      </c>
      <c r="BC155" s="90">
        <f>ROUND(BB155*IFERROR(VLOOKUP($AK155,'3121% SY'!$A$2:$M$324,13,FALSE),0),3)</f>
        <v>0</v>
      </c>
    </row>
    <row r="156" spans="1:55" x14ac:dyDescent="0.25">
      <c r="A156" s="88" t="s">
        <v>212</v>
      </c>
      <c r="B156" s="90"/>
      <c r="C156" s="90"/>
      <c r="D156" s="90"/>
      <c r="E156" s="90"/>
      <c r="F156" s="90">
        <v>0.8</v>
      </c>
      <c r="G156" s="90"/>
      <c r="H156" s="90"/>
      <c r="I156" s="90"/>
      <c r="J156" s="90"/>
      <c r="K156" s="90"/>
      <c r="L156" s="90"/>
      <c r="M156" s="90"/>
      <c r="N156" s="90"/>
      <c r="P156" s="90">
        <f t="shared" si="13"/>
        <v>0.8</v>
      </c>
      <c r="Q156" s="90">
        <f>SUM($B156:E156)</f>
        <v>0</v>
      </c>
      <c r="R156" s="89"/>
      <c r="AH156" s="90">
        <f t="shared" si="14"/>
        <v>0</v>
      </c>
      <c r="AI156" s="90">
        <f t="shared" si="15"/>
        <v>0</v>
      </c>
      <c r="AJ156" s="89"/>
      <c r="AK156" s="88" t="s">
        <v>302</v>
      </c>
      <c r="AL156" s="90"/>
      <c r="AM156" s="90"/>
      <c r="AN156" s="90"/>
      <c r="AO156" s="90"/>
      <c r="AP156" s="90"/>
      <c r="AQ156" s="90">
        <v>1</v>
      </c>
      <c r="AR156" s="90"/>
      <c r="AS156" s="90"/>
      <c r="AT156" s="90"/>
      <c r="AU156" s="90">
        <v>1</v>
      </c>
      <c r="AV156" s="90"/>
      <c r="AW156" s="90"/>
      <c r="AX156" s="90"/>
      <c r="AY156" s="90"/>
      <c r="AZ156" s="90">
        <f t="shared" si="16"/>
        <v>2</v>
      </c>
      <c r="BA156" s="90">
        <f>ROUND(AZ156*IFERROR(VLOOKUP($AK156,'3121% SY'!$A$2:$M$324,13,FALSE),0),3)</f>
        <v>0.44</v>
      </c>
      <c r="BB156" s="90">
        <f t="shared" si="17"/>
        <v>0</v>
      </c>
      <c r="BC156" s="90">
        <f>ROUND(BB156*IFERROR(VLOOKUP($AK156,'3121% SY'!$A$2:$M$324,13,FALSE),0),3)</f>
        <v>0</v>
      </c>
    </row>
    <row r="157" spans="1:55" x14ac:dyDescent="0.25">
      <c r="A157" s="88" t="s">
        <v>213</v>
      </c>
      <c r="B157" s="90"/>
      <c r="C157" s="90"/>
      <c r="D157" s="90"/>
      <c r="E157" s="90"/>
      <c r="F157" s="90">
        <v>12.88</v>
      </c>
      <c r="G157" s="90"/>
      <c r="H157" s="90">
        <v>0.55500000000000005</v>
      </c>
      <c r="I157" s="90">
        <v>0.186</v>
      </c>
      <c r="J157" s="90"/>
      <c r="K157" s="90"/>
      <c r="L157" s="90"/>
      <c r="M157" s="90"/>
      <c r="N157" s="90"/>
      <c r="P157" s="90">
        <f t="shared" si="13"/>
        <v>13.621</v>
      </c>
      <c r="Q157" s="90">
        <f>SUM($B157:E157)</f>
        <v>0</v>
      </c>
      <c r="R157" s="89"/>
      <c r="AH157" s="90">
        <f t="shared" si="14"/>
        <v>0</v>
      </c>
      <c r="AI157" s="90">
        <f t="shared" si="15"/>
        <v>0</v>
      </c>
      <c r="AJ157" s="89"/>
      <c r="AK157" s="88" t="s">
        <v>303</v>
      </c>
      <c r="AL157" s="90"/>
      <c r="AM157" s="90"/>
      <c r="AN157" s="90">
        <v>0.21099999999999999</v>
      </c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>
        <f t="shared" si="16"/>
        <v>0</v>
      </c>
      <c r="BA157" s="90">
        <f>ROUND(AZ157*IFERROR(VLOOKUP($AK157,'3121% SY'!$A$2:$M$324,13,FALSE),0),3)</f>
        <v>0</v>
      </c>
      <c r="BB157" s="90">
        <f t="shared" si="17"/>
        <v>0.21099999999999999</v>
      </c>
      <c r="BC157" s="90">
        <f>ROUND(BB157*IFERROR(VLOOKUP($AK157,'3121% SY'!$A$2:$M$324,13,FALSE),0),3)</f>
        <v>4.2999999999999997E-2</v>
      </c>
    </row>
    <row r="158" spans="1:55" x14ac:dyDescent="0.25">
      <c r="A158" s="88" t="s">
        <v>214</v>
      </c>
      <c r="B158" s="90"/>
      <c r="C158" s="90"/>
      <c r="D158" s="90"/>
      <c r="E158" s="90"/>
      <c r="F158" s="90">
        <v>4.5940000000000003</v>
      </c>
      <c r="G158" s="90"/>
      <c r="H158" s="90"/>
      <c r="I158" s="90"/>
      <c r="J158" s="90"/>
      <c r="K158" s="90"/>
      <c r="L158" s="90"/>
      <c r="M158" s="90"/>
      <c r="N158" s="90"/>
      <c r="P158" s="90">
        <f t="shared" si="13"/>
        <v>4.5940000000000003</v>
      </c>
      <c r="Q158" s="90">
        <f>SUM($B158:E158)</f>
        <v>0</v>
      </c>
      <c r="R158" s="89"/>
      <c r="AH158" s="90">
        <f t="shared" si="14"/>
        <v>0</v>
      </c>
      <c r="AI158" s="90">
        <f t="shared" si="15"/>
        <v>0</v>
      </c>
      <c r="AJ158" s="89"/>
      <c r="AK158" s="88" t="s">
        <v>753</v>
      </c>
      <c r="AL158" s="90">
        <v>0</v>
      </c>
      <c r="AM158" s="90">
        <v>1.3740000000000001</v>
      </c>
      <c r="AN158" s="90">
        <v>8.7050000000000018</v>
      </c>
      <c r="AO158" s="90">
        <v>0</v>
      </c>
      <c r="AP158" s="90">
        <v>1.7859999999999998</v>
      </c>
      <c r="AQ158" s="90">
        <v>4.5110000000000001</v>
      </c>
      <c r="AR158" s="90">
        <v>62.614000000000033</v>
      </c>
      <c r="AS158" s="90">
        <v>4.5449999999999999</v>
      </c>
      <c r="AT158" s="90">
        <v>151.15500000000003</v>
      </c>
      <c r="AU158" s="90">
        <v>135.51400000000004</v>
      </c>
      <c r="AV158" s="90">
        <v>1.087</v>
      </c>
      <c r="AW158" s="90">
        <v>25.138999999999999</v>
      </c>
      <c r="AX158" s="90">
        <v>6.3240000000000007</v>
      </c>
      <c r="AY158" s="90">
        <v>19.364000000000001</v>
      </c>
      <c r="AZ158" s="90">
        <f t="shared" si="16"/>
        <v>412.0390000000001</v>
      </c>
      <c r="BA158" s="90">
        <f>ROUND(AZ158*IFERROR(VLOOKUP($AK158,'3121% SY'!$A$2:$M$324,13,FALSE),0),3)</f>
        <v>0</v>
      </c>
      <c r="BB158" s="90">
        <f t="shared" si="17"/>
        <v>10.079000000000002</v>
      </c>
      <c r="BC158" s="90">
        <f>ROUND(BB158*IFERROR(VLOOKUP($AK158,'3121% SY'!$A$2:$M$324,13,FALSE),0),3)</f>
        <v>0</v>
      </c>
    </row>
    <row r="159" spans="1:55" x14ac:dyDescent="0.25">
      <c r="A159" s="88" t="s">
        <v>215</v>
      </c>
      <c r="B159" s="90"/>
      <c r="C159" s="90"/>
      <c r="D159" s="90"/>
      <c r="E159" s="90"/>
      <c r="F159" s="90">
        <v>7.556</v>
      </c>
      <c r="G159" s="90"/>
      <c r="H159" s="90"/>
      <c r="I159" s="90"/>
      <c r="J159" s="90"/>
      <c r="K159" s="90">
        <v>2.7509999999999999</v>
      </c>
      <c r="L159" s="90"/>
      <c r="M159" s="90"/>
      <c r="N159" s="90"/>
      <c r="P159" s="90">
        <f t="shared" si="13"/>
        <v>10.307</v>
      </c>
      <c r="Q159" s="90">
        <f>SUM($B159:E159)</f>
        <v>0</v>
      </c>
      <c r="R159" s="89"/>
      <c r="AH159" s="90">
        <f t="shared" si="14"/>
        <v>0</v>
      </c>
      <c r="AI159" s="90">
        <f t="shared" si="15"/>
        <v>0</v>
      </c>
      <c r="AJ159" s="89"/>
      <c r="AZ159" s="90">
        <f t="shared" si="16"/>
        <v>0</v>
      </c>
      <c r="BA159" s="90">
        <f>ROUND(AZ159*IFERROR(VLOOKUP($AK159,'3121% SY'!$A$2:$M$324,13,FALSE),0),3)</f>
        <v>0</v>
      </c>
      <c r="BB159" s="90">
        <f t="shared" si="17"/>
        <v>0</v>
      </c>
      <c r="BC159" s="90">
        <f>ROUND(BB159*IFERROR(VLOOKUP($AK159,'3121% SY'!$A$2:$M$324,13,FALSE),0),3)</f>
        <v>0</v>
      </c>
    </row>
    <row r="160" spans="1:55" x14ac:dyDescent="0.25">
      <c r="A160" s="88" t="s">
        <v>216</v>
      </c>
      <c r="B160" s="90"/>
      <c r="C160" s="90"/>
      <c r="D160" s="90"/>
      <c r="E160" s="90"/>
      <c r="F160" s="90">
        <v>10.6</v>
      </c>
      <c r="G160" s="90"/>
      <c r="H160" s="90"/>
      <c r="I160" s="90"/>
      <c r="J160" s="90"/>
      <c r="K160" s="90">
        <v>1.8</v>
      </c>
      <c r="L160" s="90"/>
      <c r="M160" s="90"/>
      <c r="N160" s="90"/>
      <c r="P160" s="90">
        <f t="shared" si="13"/>
        <v>12.4</v>
      </c>
      <c r="Q160" s="90">
        <f>SUM($B160:E160)</f>
        <v>0</v>
      </c>
      <c r="R160" s="89"/>
      <c r="AH160" s="90">
        <f t="shared" si="14"/>
        <v>0</v>
      </c>
      <c r="AI160" s="90">
        <f t="shared" si="15"/>
        <v>0</v>
      </c>
      <c r="AJ160" s="89"/>
      <c r="AZ160" s="90">
        <f t="shared" si="16"/>
        <v>0</v>
      </c>
      <c r="BA160" s="90">
        <f>ROUND(AZ160*IFERROR(VLOOKUP($AK160,'3121% SY'!$A$2:$M$324,13,FALSE),0),3)</f>
        <v>0</v>
      </c>
      <c r="BB160" s="90">
        <f t="shared" si="17"/>
        <v>0</v>
      </c>
      <c r="BC160" s="90">
        <f>ROUND(BB160*IFERROR(VLOOKUP($AK160,'3121% SY'!$A$2:$M$324,13,FALSE),0),3)</f>
        <v>0</v>
      </c>
    </row>
    <row r="161" spans="1:55" x14ac:dyDescent="0.25">
      <c r="A161" s="88" t="s">
        <v>217</v>
      </c>
      <c r="B161" s="90"/>
      <c r="C161" s="90"/>
      <c r="D161" s="90">
        <v>1.3919999999999999</v>
      </c>
      <c r="E161" s="90"/>
      <c r="F161" s="90">
        <v>1.7</v>
      </c>
      <c r="G161" s="90"/>
      <c r="H161" s="90"/>
      <c r="I161" s="90"/>
      <c r="J161" s="90"/>
      <c r="K161" s="90"/>
      <c r="L161" s="90"/>
      <c r="M161" s="90"/>
      <c r="N161" s="90"/>
      <c r="P161" s="90">
        <f t="shared" si="13"/>
        <v>1.7</v>
      </c>
      <c r="Q161" s="90">
        <f>SUM($B161:E161)</f>
        <v>1.3919999999999999</v>
      </c>
      <c r="R161" s="89"/>
      <c r="AH161" s="90">
        <f t="shared" si="14"/>
        <v>0</v>
      </c>
      <c r="AI161" s="90">
        <f t="shared" si="15"/>
        <v>0</v>
      </c>
      <c r="AJ161" s="89"/>
      <c r="AZ161" s="90">
        <f t="shared" si="16"/>
        <v>0</v>
      </c>
      <c r="BA161" s="90">
        <f>ROUND(AZ161*IFERROR(VLOOKUP($AK161,'3121% SY'!$A$2:$M$324,13,FALSE),0),3)</f>
        <v>0</v>
      </c>
      <c r="BB161" s="90">
        <f t="shared" si="17"/>
        <v>0</v>
      </c>
      <c r="BC161" s="90">
        <f>ROUND(BB161*IFERROR(VLOOKUP($AK161,'3121% SY'!$A$2:$M$324,13,FALSE),0),3)</f>
        <v>0</v>
      </c>
    </row>
    <row r="162" spans="1:55" x14ac:dyDescent="0.25">
      <c r="A162" s="88" t="s">
        <v>218</v>
      </c>
      <c r="B162" s="90"/>
      <c r="C162" s="90"/>
      <c r="D162" s="90"/>
      <c r="E162" s="90"/>
      <c r="F162" s="90">
        <v>2.1259999999999999</v>
      </c>
      <c r="G162" s="90"/>
      <c r="H162" s="90"/>
      <c r="I162" s="90"/>
      <c r="J162" s="90"/>
      <c r="K162" s="90"/>
      <c r="L162" s="90"/>
      <c r="M162" s="90"/>
      <c r="N162" s="90"/>
      <c r="P162" s="90">
        <f t="shared" si="13"/>
        <v>2.1259999999999999</v>
      </c>
      <c r="Q162" s="90">
        <f>SUM($B162:E162)</f>
        <v>0</v>
      </c>
      <c r="R162" s="89"/>
      <c r="AH162" s="90">
        <f t="shared" si="14"/>
        <v>0</v>
      </c>
      <c r="AI162" s="90">
        <f t="shared" si="15"/>
        <v>0</v>
      </c>
      <c r="AJ162" s="89"/>
      <c r="AZ162" s="90">
        <f t="shared" si="16"/>
        <v>0</v>
      </c>
      <c r="BA162" s="90">
        <f>ROUND(AZ162*IFERROR(VLOOKUP($AK162,'3121% SY'!$A$2:$M$324,13,FALSE),0),3)</f>
        <v>0</v>
      </c>
      <c r="BB162" s="90">
        <f t="shared" si="17"/>
        <v>0</v>
      </c>
      <c r="BC162" s="90">
        <f>ROUND(BB162*IFERROR(VLOOKUP($AK162,'3121% SY'!$A$2:$M$324,13,FALSE),0),3)</f>
        <v>0</v>
      </c>
    </row>
    <row r="163" spans="1:55" x14ac:dyDescent="0.25">
      <c r="A163" s="88" t="s">
        <v>219</v>
      </c>
      <c r="B163" s="90"/>
      <c r="C163" s="90"/>
      <c r="D163" s="90">
        <v>1.2999999999999999E-2</v>
      </c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P163" s="90">
        <f t="shared" si="13"/>
        <v>0</v>
      </c>
      <c r="Q163" s="90">
        <f>SUM($B163:E163)</f>
        <v>1.2999999999999999E-2</v>
      </c>
      <c r="R163" s="89"/>
      <c r="AH163" s="90">
        <f t="shared" si="14"/>
        <v>0</v>
      </c>
      <c r="AI163" s="90">
        <f t="shared" si="15"/>
        <v>0</v>
      </c>
      <c r="AJ163" s="89"/>
      <c r="AZ163" s="90">
        <f t="shared" si="16"/>
        <v>0</v>
      </c>
      <c r="BA163" s="90">
        <f>ROUND(AZ163*IFERROR(VLOOKUP($AK163,'3121% SY'!$A$2:$M$324,13,FALSE),0),3)</f>
        <v>0</v>
      </c>
      <c r="BB163" s="90">
        <f t="shared" si="17"/>
        <v>0</v>
      </c>
      <c r="BC163" s="90">
        <f>ROUND(BB163*IFERROR(VLOOKUP($AK163,'3121% SY'!$A$2:$M$324,13,FALSE),0),3)</f>
        <v>0</v>
      </c>
    </row>
    <row r="164" spans="1:55" x14ac:dyDescent="0.25">
      <c r="A164" s="88" t="s">
        <v>220</v>
      </c>
      <c r="B164" s="90">
        <v>0.52900000000000003</v>
      </c>
      <c r="C164" s="90">
        <v>3.2000000000000001E-2</v>
      </c>
      <c r="D164" s="90"/>
      <c r="E164" s="90"/>
      <c r="F164" s="90">
        <v>1.7430000000000001</v>
      </c>
      <c r="G164" s="90"/>
      <c r="H164" s="90"/>
      <c r="I164" s="90"/>
      <c r="J164" s="90"/>
      <c r="K164" s="90">
        <v>0.55500000000000005</v>
      </c>
      <c r="L164" s="90"/>
      <c r="M164" s="90"/>
      <c r="N164" s="90"/>
      <c r="P164" s="90">
        <f t="shared" si="13"/>
        <v>2.298</v>
      </c>
      <c r="Q164" s="90">
        <f>SUM($B164:E164)</f>
        <v>0.56100000000000005</v>
      </c>
      <c r="R164" s="89"/>
      <c r="AH164" s="90">
        <f t="shared" si="14"/>
        <v>0</v>
      </c>
      <c r="AI164" s="90">
        <f t="shared" si="15"/>
        <v>0</v>
      </c>
      <c r="AJ164" s="89"/>
      <c r="AZ164" s="90">
        <f t="shared" si="16"/>
        <v>0</v>
      </c>
      <c r="BA164" s="90">
        <f>ROUND(AZ164*IFERROR(VLOOKUP($AK164,'3121% SY'!$A$2:$M$324,13,FALSE),0),3)</f>
        <v>0</v>
      </c>
      <c r="BB164" s="90">
        <f t="shared" si="17"/>
        <v>0</v>
      </c>
      <c r="BC164" s="90">
        <f>ROUND(BB164*IFERROR(VLOOKUP($AK164,'3121% SY'!$A$2:$M$324,13,FALSE),0),3)</f>
        <v>0</v>
      </c>
    </row>
    <row r="165" spans="1:55" x14ac:dyDescent="0.25">
      <c r="A165" s="88" t="s">
        <v>221</v>
      </c>
      <c r="B165" s="90"/>
      <c r="C165" s="90"/>
      <c r="D165" s="90">
        <v>0.36599999999999999</v>
      </c>
      <c r="E165" s="90"/>
      <c r="F165" s="90">
        <v>4</v>
      </c>
      <c r="G165" s="90"/>
      <c r="H165" s="90"/>
      <c r="I165" s="90"/>
      <c r="J165" s="90">
        <v>0.6</v>
      </c>
      <c r="K165" s="90"/>
      <c r="L165" s="90"/>
      <c r="M165" s="90"/>
      <c r="N165" s="90"/>
      <c r="P165" s="90">
        <f t="shared" si="13"/>
        <v>4.5999999999999996</v>
      </c>
      <c r="Q165" s="90">
        <f>SUM($B165:E165)</f>
        <v>0.36599999999999999</v>
      </c>
      <c r="R165" s="89"/>
      <c r="AH165" s="90">
        <f t="shared" si="14"/>
        <v>0</v>
      </c>
      <c r="AI165" s="90">
        <f t="shared" si="15"/>
        <v>0</v>
      </c>
      <c r="AJ165" s="89"/>
      <c r="AZ165" s="90">
        <f t="shared" si="16"/>
        <v>0</v>
      </c>
      <c r="BA165" s="90">
        <f>ROUND(AZ165*IFERROR(VLOOKUP($AK165,'3121% SY'!$A$2:$M$324,13,FALSE),0),3)</f>
        <v>0</v>
      </c>
      <c r="BB165" s="90">
        <f t="shared" si="17"/>
        <v>0</v>
      </c>
      <c r="BC165" s="90">
        <f>ROUND(BB165*IFERROR(VLOOKUP($AK165,'3121% SY'!$A$2:$M$324,13,FALSE),0),3)</f>
        <v>0</v>
      </c>
    </row>
    <row r="166" spans="1:55" x14ac:dyDescent="0.25">
      <c r="A166" s="88" t="s">
        <v>222</v>
      </c>
      <c r="B166" s="90"/>
      <c r="C166" s="90"/>
      <c r="D166" s="90"/>
      <c r="E166" s="90"/>
      <c r="F166" s="90">
        <v>1.5</v>
      </c>
      <c r="G166" s="90"/>
      <c r="H166" s="90"/>
      <c r="I166" s="90"/>
      <c r="J166" s="90"/>
      <c r="K166" s="90"/>
      <c r="L166" s="90"/>
      <c r="M166" s="90"/>
      <c r="N166" s="90"/>
      <c r="P166" s="90">
        <f t="shared" si="13"/>
        <v>1.5</v>
      </c>
      <c r="Q166" s="90">
        <f>SUM($B166:E166)</f>
        <v>0</v>
      </c>
      <c r="R166" s="89"/>
      <c r="AH166" s="90">
        <f t="shared" si="14"/>
        <v>0</v>
      </c>
      <c r="AI166" s="90">
        <f t="shared" si="15"/>
        <v>0</v>
      </c>
      <c r="AJ166" s="89"/>
      <c r="AZ166" s="90">
        <f t="shared" si="16"/>
        <v>0</v>
      </c>
      <c r="BA166" s="90">
        <f>ROUND(AZ166*IFERROR(VLOOKUP($AK166,'3121% SY'!$A$2:$M$324,13,FALSE),0),3)</f>
        <v>0</v>
      </c>
      <c r="BB166" s="90">
        <f t="shared" si="17"/>
        <v>0</v>
      </c>
      <c r="BC166" s="90">
        <f>ROUND(BB166*IFERROR(VLOOKUP($AK166,'3121% SY'!$A$2:$M$324,13,FALSE),0),3)</f>
        <v>0</v>
      </c>
    </row>
    <row r="167" spans="1:55" x14ac:dyDescent="0.25">
      <c r="A167" s="88" t="s">
        <v>225</v>
      </c>
      <c r="B167" s="90"/>
      <c r="C167" s="90"/>
      <c r="D167" s="90"/>
      <c r="E167" s="90"/>
      <c r="F167" s="90">
        <v>0.75</v>
      </c>
      <c r="G167" s="90"/>
      <c r="H167" s="90"/>
      <c r="I167" s="90"/>
      <c r="J167" s="90"/>
      <c r="K167" s="90"/>
      <c r="L167" s="90"/>
      <c r="M167" s="90"/>
      <c r="N167" s="90"/>
      <c r="P167" s="90">
        <f t="shared" si="13"/>
        <v>0.75</v>
      </c>
      <c r="Q167" s="90">
        <f>SUM($B167:E167)</f>
        <v>0</v>
      </c>
      <c r="R167" s="89"/>
      <c r="AH167" s="90">
        <f t="shared" si="14"/>
        <v>0</v>
      </c>
      <c r="AI167" s="90">
        <f t="shared" si="15"/>
        <v>0</v>
      </c>
      <c r="AJ167" s="89"/>
      <c r="AZ167" s="90">
        <f t="shared" si="16"/>
        <v>0</v>
      </c>
      <c r="BA167" s="90">
        <f>ROUND(AZ167*IFERROR(VLOOKUP($AK167,'3121% SY'!$A$2:$M$324,13,FALSE),0),3)</f>
        <v>0</v>
      </c>
      <c r="BB167" s="90">
        <f t="shared" si="17"/>
        <v>0</v>
      </c>
      <c r="BC167" s="90">
        <f>ROUND(BB167*IFERROR(VLOOKUP($AK167,'3121% SY'!$A$2:$M$324,13,FALSE),0),3)</f>
        <v>0</v>
      </c>
    </row>
    <row r="168" spans="1:55" x14ac:dyDescent="0.25">
      <c r="A168" s="88" t="s">
        <v>226</v>
      </c>
      <c r="B168" s="90"/>
      <c r="C168" s="90">
        <v>0.90700000000000003</v>
      </c>
      <c r="D168" s="90">
        <v>0.86699999999999999</v>
      </c>
      <c r="E168" s="90"/>
      <c r="F168" s="90">
        <v>2.5</v>
      </c>
      <c r="G168" s="90"/>
      <c r="H168" s="90"/>
      <c r="I168" s="90"/>
      <c r="J168" s="90"/>
      <c r="K168" s="90">
        <v>1.6</v>
      </c>
      <c r="L168" s="90"/>
      <c r="M168" s="90"/>
      <c r="N168" s="90"/>
      <c r="P168" s="90">
        <f t="shared" si="13"/>
        <v>4.0999999999999996</v>
      </c>
      <c r="Q168" s="90">
        <f>SUM($B168:E168)</f>
        <v>1.774</v>
      </c>
      <c r="R168" s="89"/>
      <c r="AH168" s="90">
        <f t="shared" si="14"/>
        <v>0</v>
      </c>
      <c r="AI168" s="90">
        <f t="shared" si="15"/>
        <v>0</v>
      </c>
      <c r="AJ168" s="89"/>
      <c r="AZ168" s="90">
        <f t="shared" si="16"/>
        <v>0</v>
      </c>
      <c r="BA168" s="90">
        <f>ROUND(AZ168*IFERROR(VLOOKUP($AK168,'3121% SY'!$A$2:$M$324,13,FALSE),0),3)</f>
        <v>0</v>
      </c>
      <c r="BB168" s="90">
        <f t="shared" si="17"/>
        <v>0</v>
      </c>
      <c r="BC168" s="90">
        <f>ROUND(BB168*IFERROR(VLOOKUP($AK168,'3121% SY'!$A$2:$M$324,13,FALSE),0),3)</f>
        <v>0</v>
      </c>
    </row>
    <row r="169" spans="1:55" x14ac:dyDescent="0.25">
      <c r="A169" s="88" t="s">
        <v>1</v>
      </c>
      <c r="B169" s="90"/>
      <c r="C169" s="90"/>
      <c r="D169" s="90">
        <v>5.4569999999999999</v>
      </c>
      <c r="E169" s="90">
        <v>6.3289999999999997</v>
      </c>
      <c r="F169" s="90">
        <v>18</v>
      </c>
      <c r="G169" s="90">
        <v>9.9000000000000005E-2</v>
      </c>
      <c r="H169" s="90"/>
      <c r="I169" s="90">
        <v>6.2E-2</v>
      </c>
      <c r="J169" s="90"/>
      <c r="K169" s="90">
        <v>1.6339999999999999</v>
      </c>
      <c r="L169" s="90">
        <v>6.3E-2</v>
      </c>
      <c r="M169" s="90"/>
      <c r="N169" s="90"/>
      <c r="P169" s="90">
        <f t="shared" si="13"/>
        <v>19.858000000000001</v>
      </c>
      <c r="Q169" s="90">
        <f>SUM($B169:E169)</f>
        <v>11.786</v>
      </c>
      <c r="R169" s="89"/>
      <c r="AH169" s="90">
        <f t="shared" si="14"/>
        <v>0</v>
      </c>
      <c r="AI169" s="90">
        <f t="shared" si="15"/>
        <v>0</v>
      </c>
      <c r="AJ169" s="89"/>
      <c r="AZ169" s="90">
        <f t="shared" si="16"/>
        <v>0</v>
      </c>
      <c r="BA169" s="90">
        <f>ROUND(AZ169*IFERROR(VLOOKUP($AK169,'3121% SY'!$A$2:$M$324,13,FALSE),0),3)</f>
        <v>0</v>
      </c>
      <c r="BB169" s="90">
        <f t="shared" si="17"/>
        <v>0</v>
      </c>
      <c r="BC169" s="90">
        <f>ROUND(BB169*IFERROR(VLOOKUP($AK169,'3121% SY'!$A$2:$M$324,13,FALSE),0),3)</f>
        <v>0</v>
      </c>
    </row>
    <row r="170" spans="1:55" x14ac:dyDescent="0.25">
      <c r="A170" s="88" t="s">
        <v>229</v>
      </c>
      <c r="B170" s="90"/>
      <c r="C170" s="90">
        <v>0.24199999999999999</v>
      </c>
      <c r="D170" s="90"/>
      <c r="E170" s="90"/>
      <c r="F170" s="90"/>
      <c r="G170" s="90"/>
      <c r="H170" s="90">
        <v>0.66700000000000004</v>
      </c>
      <c r="I170" s="90"/>
      <c r="J170" s="90"/>
      <c r="K170" s="90">
        <v>0.19</v>
      </c>
      <c r="L170" s="90"/>
      <c r="M170" s="90"/>
      <c r="N170" s="90"/>
      <c r="P170" s="90">
        <f t="shared" si="13"/>
        <v>0.85699999999999998</v>
      </c>
      <c r="Q170" s="90">
        <f>SUM($B170:E170)</f>
        <v>0.24199999999999999</v>
      </c>
      <c r="R170" s="89"/>
      <c r="AH170" s="90">
        <f t="shared" si="14"/>
        <v>0</v>
      </c>
      <c r="AI170" s="90">
        <f t="shared" si="15"/>
        <v>0</v>
      </c>
      <c r="AJ170" s="89"/>
      <c r="AZ170" s="90">
        <f t="shared" si="16"/>
        <v>0</v>
      </c>
      <c r="BA170" s="90">
        <f>ROUND(AZ170*IFERROR(VLOOKUP($AK170,'3121% SY'!$A$2:$M$324,13,FALSE),0),3)</f>
        <v>0</v>
      </c>
      <c r="BB170" s="90">
        <f t="shared" si="17"/>
        <v>0</v>
      </c>
      <c r="BC170" s="90">
        <f>ROUND(BB170*IFERROR(VLOOKUP($AK170,'3121% SY'!$A$2:$M$324,13,FALSE),0),3)</f>
        <v>0</v>
      </c>
    </row>
    <row r="171" spans="1:55" x14ac:dyDescent="0.25">
      <c r="A171" s="88" t="s">
        <v>230</v>
      </c>
      <c r="B171" s="90"/>
      <c r="C171" s="90"/>
      <c r="D171" s="90"/>
      <c r="E171" s="90"/>
      <c r="F171" s="90">
        <v>1.5</v>
      </c>
      <c r="G171" s="90"/>
      <c r="H171" s="90"/>
      <c r="I171" s="90"/>
      <c r="J171" s="90"/>
      <c r="K171" s="90"/>
      <c r="L171" s="90"/>
      <c r="M171" s="90"/>
      <c r="N171" s="90"/>
      <c r="P171" s="90">
        <f t="shared" si="13"/>
        <v>1.5</v>
      </c>
      <c r="Q171" s="90">
        <f>SUM($B171:E171)</f>
        <v>0</v>
      </c>
      <c r="R171" s="89"/>
      <c r="AH171" s="90">
        <f t="shared" si="14"/>
        <v>0</v>
      </c>
      <c r="AI171" s="90">
        <f t="shared" si="15"/>
        <v>0</v>
      </c>
      <c r="AJ171" s="89"/>
      <c r="AZ171" s="90">
        <f t="shared" si="16"/>
        <v>0</v>
      </c>
      <c r="BA171" s="90">
        <f>ROUND(AZ171*IFERROR(VLOOKUP($AK171,'3121% SY'!$A$2:$M$324,13,FALSE),0),3)</f>
        <v>0</v>
      </c>
      <c r="BB171" s="90">
        <f t="shared" si="17"/>
        <v>0</v>
      </c>
      <c r="BC171" s="90">
        <f>ROUND(BB171*IFERROR(VLOOKUP($AK171,'3121% SY'!$A$2:$M$324,13,FALSE),0),3)</f>
        <v>0</v>
      </c>
    </row>
    <row r="172" spans="1:55" x14ac:dyDescent="0.25">
      <c r="A172" s="88" t="s">
        <v>231</v>
      </c>
      <c r="B172" s="90"/>
      <c r="C172" s="90"/>
      <c r="D172" s="90"/>
      <c r="E172" s="90"/>
      <c r="F172" s="90">
        <v>2</v>
      </c>
      <c r="G172" s="90"/>
      <c r="H172" s="90"/>
      <c r="I172" s="90"/>
      <c r="J172" s="90"/>
      <c r="K172" s="90">
        <v>0.5</v>
      </c>
      <c r="L172" s="90">
        <v>3.5999999999999997E-2</v>
      </c>
      <c r="M172" s="90"/>
      <c r="N172" s="90"/>
      <c r="P172" s="90">
        <f t="shared" si="13"/>
        <v>2.536</v>
      </c>
      <c r="Q172" s="90">
        <f>SUM($B172:E172)</f>
        <v>0</v>
      </c>
      <c r="R172" s="89"/>
      <c r="AH172" s="90">
        <f t="shared" si="14"/>
        <v>0</v>
      </c>
      <c r="AI172" s="90">
        <f t="shared" si="15"/>
        <v>0</v>
      </c>
      <c r="AJ172" s="89"/>
      <c r="AZ172" s="90">
        <f t="shared" si="16"/>
        <v>0</v>
      </c>
      <c r="BA172" s="90">
        <f>ROUND(AZ172*IFERROR(VLOOKUP($AK172,'3121% SY'!$A$2:$M$324,13,FALSE),0),3)</f>
        <v>0</v>
      </c>
      <c r="BB172" s="90">
        <f t="shared" si="17"/>
        <v>0</v>
      </c>
      <c r="BC172" s="90">
        <f>ROUND(BB172*IFERROR(VLOOKUP($AK172,'3121% SY'!$A$2:$M$324,13,FALSE),0),3)</f>
        <v>0</v>
      </c>
    </row>
    <row r="173" spans="1:55" x14ac:dyDescent="0.25">
      <c r="A173" s="88" t="s">
        <v>232</v>
      </c>
      <c r="B173" s="90"/>
      <c r="C173" s="90"/>
      <c r="D173" s="90"/>
      <c r="E173" s="90"/>
      <c r="F173" s="90">
        <v>5.2439999999999998</v>
      </c>
      <c r="G173" s="90"/>
      <c r="H173" s="90"/>
      <c r="I173" s="90"/>
      <c r="J173" s="90"/>
      <c r="K173" s="90">
        <v>6.6619999999999999</v>
      </c>
      <c r="L173" s="90"/>
      <c r="M173" s="90"/>
      <c r="N173" s="90"/>
      <c r="P173" s="90">
        <f t="shared" si="13"/>
        <v>11.905999999999999</v>
      </c>
      <c r="Q173" s="90">
        <f>SUM($B173:E173)</f>
        <v>0</v>
      </c>
      <c r="R173" s="89"/>
      <c r="AH173" s="90">
        <f t="shared" si="14"/>
        <v>0</v>
      </c>
      <c r="AI173" s="90">
        <f t="shared" si="15"/>
        <v>0</v>
      </c>
      <c r="AJ173" s="89"/>
      <c r="AZ173" s="90">
        <f t="shared" si="16"/>
        <v>0</v>
      </c>
      <c r="BA173" s="90">
        <f>ROUND(AZ173*IFERROR(VLOOKUP($AK173,'3121% SY'!$A$2:$M$324,13,FALSE),0),3)</f>
        <v>0</v>
      </c>
      <c r="BB173" s="90">
        <f t="shared" si="17"/>
        <v>0</v>
      </c>
      <c r="BC173" s="90">
        <f>ROUND(BB173*IFERROR(VLOOKUP($AK173,'3121% SY'!$A$2:$M$324,13,FALSE),0),3)</f>
        <v>0</v>
      </c>
    </row>
    <row r="174" spans="1:55" x14ac:dyDescent="0.25">
      <c r="A174" s="88" t="s">
        <v>233</v>
      </c>
      <c r="B174" s="90"/>
      <c r="C174" s="90"/>
      <c r="D174" s="90"/>
      <c r="E174" s="90"/>
      <c r="F174" s="90">
        <v>0.24</v>
      </c>
      <c r="G174" s="90"/>
      <c r="H174" s="90"/>
      <c r="I174" s="90"/>
      <c r="J174" s="90"/>
      <c r="K174" s="90"/>
      <c r="L174" s="90"/>
      <c r="M174" s="90"/>
      <c r="N174" s="90"/>
      <c r="P174" s="90">
        <f t="shared" si="13"/>
        <v>0.24</v>
      </c>
      <c r="Q174" s="90">
        <f>SUM($B174:E174)</f>
        <v>0</v>
      </c>
      <c r="R174" s="89"/>
      <c r="AH174" s="90">
        <f t="shared" si="14"/>
        <v>0</v>
      </c>
      <c r="AI174" s="90">
        <f t="shared" si="15"/>
        <v>0</v>
      </c>
      <c r="AJ174" s="89"/>
      <c r="AZ174" s="90">
        <f t="shared" si="16"/>
        <v>0</v>
      </c>
      <c r="BA174" s="90">
        <f>ROUND(AZ174*IFERROR(VLOOKUP($AK174,'3121% SY'!$A$2:$M$324,13,FALSE),0),3)</f>
        <v>0</v>
      </c>
      <c r="BB174" s="90">
        <f t="shared" si="17"/>
        <v>0</v>
      </c>
      <c r="BC174" s="90">
        <f>ROUND(BB174*IFERROR(VLOOKUP($AK174,'3121% SY'!$A$2:$M$324,13,FALSE),0),3)</f>
        <v>0</v>
      </c>
    </row>
    <row r="175" spans="1:55" x14ac:dyDescent="0.25">
      <c r="A175" s="88" t="s">
        <v>234</v>
      </c>
      <c r="B175" s="90"/>
      <c r="C175" s="90"/>
      <c r="D175" s="90"/>
      <c r="E175" s="90"/>
      <c r="F175" s="90">
        <v>4</v>
      </c>
      <c r="G175" s="90"/>
      <c r="H175" s="90"/>
      <c r="I175" s="90"/>
      <c r="J175" s="90"/>
      <c r="K175" s="90">
        <v>1.5</v>
      </c>
      <c r="L175" s="90"/>
      <c r="M175" s="90"/>
      <c r="N175" s="90"/>
      <c r="P175" s="90">
        <f t="shared" si="13"/>
        <v>5.5</v>
      </c>
      <c r="Q175" s="90">
        <f>SUM($B175:E175)</f>
        <v>0</v>
      </c>
      <c r="R175" s="89"/>
      <c r="AH175" s="90">
        <f t="shared" si="14"/>
        <v>0</v>
      </c>
      <c r="AI175" s="90">
        <f t="shared" si="15"/>
        <v>0</v>
      </c>
      <c r="AJ175" s="89"/>
      <c r="AZ175" s="90">
        <f t="shared" si="16"/>
        <v>0</v>
      </c>
      <c r="BA175" s="90">
        <f>ROUND(AZ175*IFERROR(VLOOKUP($AK175,'3121% SY'!$A$2:$M$324,13,FALSE),0),3)</f>
        <v>0</v>
      </c>
      <c r="BB175" s="90">
        <f t="shared" si="17"/>
        <v>0</v>
      </c>
      <c r="BC175" s="90">
        <f>ROUND(BB175*IFERROR(VLOOKUP($AK175,'3121% SY'!$A$2:$M$324,13,FALSE),0),3)</f>
        <v>0</v>
      </c>
    </row>
    <row r="176" spans="1:55" x14ac:dyDescent="0.25">
      <c r="A176" s="88" t="s">
        <v>235</v>
      </c>
      <c r="B176" s="90"/>
      <c r="C176" s="90">
        <v>0.70499999999999996</v>
      </c>
      <c r="D176" s="90">
        <v>0.66500000000000004</v>
      </c>
      <c r="E176" s="90">
        <v>0.73499999999999999</v>
      </c>
      <c r="F176" s="90">
        <v>1</v>
      </c>
      <c r="G176" s="90"/>
      <c r="H176" s="90"/>
      <c r="I176" s="90"/>
      <c r="J176" s="90"/>
      <c r="K176" s="90">
        <v>1.7</v>
      </c>
      <c r="L176" s="90"/>
      <c r="M176" s="90"/>
      <c r="N176" s="90"/>
      <c r="P176" s="90">
        <f t="shared" si="13"/>
        <v>2.7</v>
      </c>
      <c r="Q176" s="90">
        <f>SUM($B176:E176)</f>
        <v>2.105</v>
      </c>
      <c r="R176" s="89"/>
      <c r="AH176" s="90">
        <f t="shared" si="14"/>
        <v>0</v>
      </c>
      <c r="AI176" s="90">
        <f t="shared" si="15"/>
        <v>0</v>
      </c>
      <c r="AJ176" s="89"/>
      <c r="AZ176" s="90">
        <f t="shared" si="16"/>
        <v>0</v>
      </c>
      <c r="BA176" s="90">
        <f>ROUND(AZ176*IFERROR(VLOOKUP($AK176,'3121% SY'!$A$2:$M$324,13,FALSE),0),3)</f>
        <v>0</v>
      </c>
      <c r="BB176" s="90">
        <f t="shared" si="17"/>
        <v>0</v>
      </c>
      <c r="BC176" s="90">
        <f>ROUND(BB176*IFERROR(VLOOKUP($AK176,'3121% SY'!$A$2:$M$324,13,FALSE),0),3)</f>
        <v>0</v>
      </c>
    </row>
    <row r="177" spans="1:55" x14ac:dyDescent="0.25">
      <c r="A177" s="88" t="s">
        <v>236</v>
      </c>
      <c r="B177" s="90"/>
      <c r="C177" s="90">
        <v>0.311</v>
      </c>
      <c r="D177" s="90"/>
      <c r="E177" s="90"/>
      <c r="F177" s="90">
        <v>0.1</v>
      </c>
      <c r="G177" s="90"/>
      <c r="H177" s="90"/>
      <c r="I177" s="90"/>
      <c r="J177" s="90"/>
      <c r="K177" s="90">
        <v>0.13700000000000001</v>
      </c>
      <c r="L177" s="90"/>
      <c r="M177" s="90"/>
      <c r="N177" s="90"/>
      <c r="P177" s="90">
        <f t="shared" si="13"/>
        <v>0.23700000000000002</v>
      </c>
      <c r="Q177" s="90">
        <f>SUM($B177:E177)</f>
        <v>0.311</v>
      </c>
      <c r="R177" s="89"/>
      <c r="AH177" s="90">
        <f t="shared" si="14"/>
        <v>0</v>
      </c>
      <c r="AI177" s="90">
        <f t="shared" si="15"/>
        <v>0</v>
      </c>
      <c r="AJ177" s="89"/>
      <c r="AZ177" s="90">
        <f t="shared" si="16"/>
        <v>0</v>
      </c>
      <c r="BA177" s="90">
        <f>ROUND(AZ177*IFERROR(VLOOKUP($AK177,'3121% SY'!$A$2:$M$324,13,FALSE),0),3)</f>
        <v>0</v>
      </c>
      <c r="BB177" s="90">
        <f t="shared" si="17"/>
        <v>0</v>
      </c>
      <c r="BC177" s="90">
        <f>ROUND(BB177*IFERROR(VLOOKUP($AK177,'3121% SY'!$A$2:$M$324,13,FALSE),0),3)</f>
        <v>0</v>
      </c>
    </row>
    <row r="178" spans="1:55" x14ac:dyDescent="0.25">
      <c r="A178" s="88" t="s">
        <v>237</v>
      </c>
      <c r="B178" s="90"/>
      <c r="C178" s="90"/>
      <c r="D178" s="90"/>
      <c r="E178" s="90"/>
      <c r="F178" s="90">
        <v>1.32</v>
      </c>
      <c r="G178" s="90"/>
      <c r="H178" s="90"/>
      <c r="I178" s="90"/>
      <c r="J178" s="90"/>
      <c r="K178" s="90"/>
      <c r="L178" s="90"/>
      <c r="M178" s="90">
        <v>0.20399999999999999</v>
      </c>
      <c r="N178" s="90"/>
      <c r="P178" s="90">
        <f t="shared" si="13"/>
        <v>1.524</v>
      </c>
      <c r="Q178" s="90">
        <f>SUM($B178:E178)</f>
        <v>0</v>
      </c>
      <c r="R178" s="89"/>
      <c r="AH178" s="90">
        <f t="shared" si="14"/>
        <v>0</v>
      </c>
      <c r="AI178" s="90">
        <f t="shared" si="15"/>
        <v>0</v>
      </c>
      <c r="AJ178" s="89"/>
      <c r="AZ178" s="90">
        <f t="shared" si="16"/>
        <v>0</v>
      </c>
      <c r="BA178" s="90">
        <f>ROUND(AZ178*IFERROR(VLOOKUP($AK178,'3121% SY'!$A$2:$M$324,13,FALSE),0),3)</f>
        <v>0</v>
      </c>
      <c r="BB178" s="90">
        <f t="shared" si="17"/>
        <v>0</v>
      </c>
      <c r="BC178" s="90">
        <f>ROUND(BB178*IFERROR(VLOOKUP($AK178,'3121% SY'!$A$2:$M$324,13,FALSE),0),3)</f>
        <v>0</v>
      </c>
    </row>
    <row r="179" spans="1:55" x14ac:dyDescent="0.25">
      <c r="A179" s="88" t="s">
        <v>238</v>
      </c>
      <c r="B179" s="90"/>
      <c r="C179" s="90"/>
      <c r="D179" s="90"/>
      <c r="E179" s="90"/>
      <c r="F179" s="90">
        <v>1</v>
      </c>
      <c r="G179" s="90"/>
      <c r="H179" s="90"/>
      <c r="I179" s="90"/>
      <c r="J179" s="90">
        <v>0.1</v>
      </c>
      <c r="K179" s="90">
        <v>0.14000000000000001</v>
      </c>
      <c r="L179" s="90"/>
      <c r="M179" s="90"/>
      <c r="N179" s="90"/>
      <c r="P179" s="90">
        <f t="shared" si="13"/>
        <v>1.2400000000000002</v>
      </c>
      <c r="Q179" s="90">
        <f>SUM($B179:E179)</f>
        <v>0</v>
      </c>
      <c r="R179" s="89"/>
      <c r="AH179" s="90">
        <f t="shared" si="14"/>
        <v>0</v>
      </c>
      <c r="AI179" s="90">
        <f t="shared" si="15"/>
        <v>0</v>
      </c>
      <c r="AJ179" s="89"/>
      <c r="AZ179" s="90">
        <f t="shared" si="16"/>
        <v>0</v>
      </c>
      <c r="BA179" s="90">
        <f>ROUND(AZ179*IFERROR(VLOOKUP($AK179,'3121% SY'!$A$2:$M$324,13,FALSE),0),3)</f>
        <v>0</v>
      </c>
      <c r="BB179" s="90">
        <f t="shared" si="17"/>
        <v>0</v>
      </c>
      <c r="BC179" s="90">
        <f>ROUND(BB179*IFERROR(VLOOKUP($AK179,'3121% SY'!$A$2:$M$324,13,FALSE),0),3)</f>
        <v>0</v>
      </c>
    </row>
    <row r="180" spans="1:55" x14ac:dyDescent="0.25">
      <c r="A180" s="88" t="s">
        <v>239</v>
      </c>
      <c r="B180" s="90"/>
      <c r="C180" s="90"/>
      <c r="D180" s="90"/>
      <c r="E180" s="90"/>
      <c r="F180" s="90">
        <v>1</v>
      </c>
      <c r="G180" s="90"/>
      <c r="H180" s="90"/>
      <c r="I180" s="90"/>
      <c r="J180" s="90"/>
      <c r="K180" s="90"/>
      <c r="L180" s="90"/>
      <c r="M180" s="90"/>
      <c r="N180" s="90"/>
      <c r="P180" s="90">
        <f t="shared" si="13"/>
        <v>1</v>
      </c>
      <c r="Q180" s="90">
        <f>SUM($B180:E180)</f>
        <v>0</v>
      </c>
      <c r="R180" s="89"/>
      <c r="AH180" s="90">
        <f t="shared" si="14"/>
        <v>0</v>
      </c>
      <c r="AI180" s="90">
        <f t="shared" si="15"/>
        <v>0</v>
      </c>
      <c r="AJ180" s="89"/>
      <c r="AZ180" s="90">
        <f t="shared" si="16"/>
        <v>0</v>
      </c>
      <c r="BA180" s="90">
        <f>ROUND(AZ180*IFERROR(VLOOKUP($AK180,'3121% SY'!$A$2:$M$324,13,FALSE),0),3)</f>
        <v>0</v>
      </c>
      <c r="BB180" s="90">
        <f t="shared" si="17"/>
        <v>0</v>
      </c>
      <c r="BC180" s="90">
        <f>ROUND(BB180*IFERROR(VLOOKUP($AK180,'3121% SY'!$A$2:$M$324,13,FALSE),0),3)</f>
        <v>0</v>
      </c>
    </row>
    <row r="181" spans="1:55" x14ac:dyDescent="0.25">
      <c r="A181" s="88" t="s">
        <v>615</v>
      </c>
      <c r="B181" s="90"/>
      <c r="C181" s="90"/>
      <c r="D181" s="90"/>
      <c r="E181" s="90"/>
      <c r="F181" s="90">
        <v>1</v>
      </c>
      <c r="G181" s="90"/>
      <c r="H181" s="90"/>
      <c r="I181" s="90"/>
      <c r="J181" s="90"/>
      <c r="K181" s="90"/>
      <c r="L181" s="90"/>
      <c r="M181" s="90"/>
      <c r="N181" s="90"/>
      <c r="P181" s="90">
        <f t="shared" si="13"/>
        <v>1</v>
      </c>
      <c r="Q181" s="90">
        <f>SUM($B181:E181)</f>
        <v>0</v>
      </c>
      <c r="R181" s="89"/>
      <c r="AH181" s="90">
        <f t="shared" si="14"/>
        <v>0</v>
      </c>
      <c r="AI181" s="90">
        <f t="shared" si="15"/>
        <v>0</v>
      </c>
      <c r="AJ181" s="89"/>
      <c r="AZ181" s="90">
        <f t="shared" si="16"/>
        <v>0</v>
      </c>
      <c r="BA181" s="90">
        <f>ROUND(AZ181*IFERROR(VLOOKUP($AK181,'3121% SY'!$A$2:$M$324,13,FALSE),0),3)</f>
        <v>0</v>
      </c>
      <c r="BB181" s="90">
        <f t="shared" si="17"/>
        <v>0</v>
      </c>
      <c r="BC181" s="90">
        <f>ROUND(BB181*IFERROR(VLOOKUP($AK181,'3121% SY'!$A$2:$M$324,13,FALSE),0),3)</f>
        <v>0</v>
      </c>
    </row>
    <row r="182" spans="1:55" x14ac:dyDescent="0.25">
      <c r="A182" s="88" t="s">
        <v>241</v>
      </c>
      <c r="B182" s="90"/>
      <c r="C182" s="90"/>
      <c r="D182" s="90"/>
      <c r="E182" s="90"/>
      <c r="F182" s="90"/>
      <c r="G182" s="90"/>
      <c r="H182" s="90"/>
      <c r="I182" s="90"/>
      <c r="J182" s="90"/>
      <c r="K182" s="90">
        <v>0.15</v>
      </c>
      <c r="L182" s="90"/>
      <c r="M182" s="90"/>
      <c r="N182" s="90"/>
      <c r="P182" s="90">
        <f t="shared" si="13"/>
        <v>0.15</v>
      </c>
      <c r="Q182" s="90">
        <f>SUM($B182:E182)</f>
        <v>0</v>
      </c>
      <c r="R182" s="89"/>
      <c r="AH182" s="90">
        <f t="shared" si="14"/>
        <v>0</v>
      </c>
      <c r="AI182" s="90">
        <f t="shared" si="15"/>
        <v>0</v>
      </c>
      <c r="AJ182" s="89"/>
      <c r="AZ182" s="90">
        <f t="shared" si="16"/>
        <v>0</v>
      </c>
      <c r="BA182" s="90">
        <f>ROUND(AZ182*IFERROR(VLOOKUP($AK182,'3121% SY'!$A$2:$M$324,13,FALSE),0),3)</f>
        <v>0</v>
      </c>
      <c r="BB182" s="90">
        <f t="shared" si="17"/>
        <v>0</v>
      </c>
      <c r="BC182" s="90">
        <f>ROUND(BB182*IFERROR(VLOOKUP($AK182,'3121% SY'!$A$2:$M$324,13,FALSE),0),3)</f>
        <v>0</v>
      </c>
    </row>
    <row r="183" spans="1:55" x14ac:dyDescent="0.25">
      <c r="A183" s="88" t="s">
        <v>242</v>
      </c>
      <c r="B183" s="90"/>
      <c r="C183" s="90"/>
      <c r="D183" s="90"/>
      <c r="E183" s="90"/>
      <c r="F183" s="90">
        <v>0.5</v>
      </c>
      <c r="G183" s="90"/>
      <c r="H183" s="90"/>
      <c r="I183" s="90"/>
      <c r="J183" s="90"/>
      <c r="K183" s="90"/>
      <c r="L183" s="90"/>
      <c r="M183" s="90"/>
      <c r="N183" s="90"/>
      <c r="P183" s="90">
        <f t="shared" si="13"/>
        <v>0.5</v>
      </c>
      <c r="Q183" s="90">
        <f>SUM($B183:E183)</f>
        <v>0</v>
      </c>
      <c r="R183" s="89"/>
      <c r="AH183" s="90">
        <f t="shared" si="14"/>
        <v>0</v>
      </c>
      <c r="AI183" s="90">
        <f t="shared" si="15"/>
        <v>0</v>
      </c>
      <c r="AJ183" s="89"/>
      <c r="AZ183" s="90">
        <f t="shared" si="16"/>
        <v>0</v>
      </c>
      <c r="BA183" s="90">
        <f>ROUND(AZ183*IFERROR(VLOOKUP($AK183,'3121% SY'!$A$2:$M$324,13,FALSE),0),3)</f>
        <v>0</v>
      </c>
      <c r="BB183" s="90">
        <f t="shared" si="17"/>
        <v>0</v>
      </c>
      <c r="BC183" s="90">
        <f>ROUND(BB183*IFERROR(VLOOKUP($AK183,'3121% SY'!$A$2:$M$324,13,FALSE),0),3)</f>
        <v>0</v>
      </c>
    </row>
    <row r="184" spans="1:55" x14ac:dyDescent="0.25">
      <c r="A184" s="88" t="s">
        <v>243</v>
      </c>
      <c r="B184" s="90"/>
      <c r="C184" s="90"/>
      <c r="D184" s="90"/>
      <c r="E184" s="90"/>
      <c r="F184" s="90">
        <v>0.21</v>
      </c>
      <c r="G184" s="90"/>
      <c r="H184" s="90"/>
      <c r="I184" s="90"/>
      <c r="J184" s="90"/>
      <c r="K184" s="90"/>
      <c r="L184" s="90"/>
      <c r="M184" s="90"/>
      <c r="N184" s="90"/>
      <c r="P184" s="90">
        <f t="shared" si="13"/>
        <v>0.21</v>
      </c>
      <c r="Q184" s="90">
        <f>SUM($B184:E184)</f>
        <v>0</v>
      </c>
      <c r="R184" s="89"/>
      <c r="AH184" s="90">
        <f t="shared" si="14"/>
        <v>0</v>
      </c>
      <c r="AI184" s="90">
        <f t="shared" si="15"/>
        <v>0</v>
      </c>
      <c r="AJ184" s="89"/>
      <c r="AZ184" s="90">
        <f t="shared" si="16"/>
        <v>0</v>
      </c>
      <c r="BA184" s="90">
        <f>ROUND(AZ184*IFERROR(VLOOKUP($AK184,'3121% SY'!$A$2:$M$324,13,FALSE),0),3)</f>
        <v>0</v>
      </c>
      <c r="BB184" s="90">
        <f t="shared" si="17"/>
        <v>0</v>
      </c>
      <c r="BC184" s="90">
        <f>ROUND(BB184*IFERROR(VLOOKUP($AK184,'3121% SY'!$A$2:$M$324,13,FALSE),0),3)</f>
        <v>0</v>
      </c>
    </row>
    <row r="185" spans="1:55" x14ac:dyDescent="0.25">
      <c r="A185" s="88" t="s">
        <v>244</v>
      </c>
      <c r="B185" s="90"/>
      <c r="C185" s="90"/>
      <c r="D185" s="90"/>
      <c r="E185" s="90"/>
      <c r="F185" s="90">
        <v>0.67</v>
      </c>
      <c r="G185" s="90"/>
      <c r="H185" s="90"/>
      <c r="I185" s="90"/>
      <c r="J185" s="90"/>
      <c r="K185" s="90"/>
      <c r="L185" s="90"/>
      <c r="M185" s="90"/>
      <c r="N185" s="90"/>
      <c r="P185" s="90">
        <f t="shared" si="13"/>
        <v>0.67</v>
      </c>
      <c r="Q185" s="90">
        <f>SUM($B185:E185)</f>
        <v>0</v>
      </c>
      <c r="R185" s="89"/>
      <c r="AH185" s="90">
        <f t="shared" si="14"/>
        <v>0</v>
      </c>
      <c r="AI185" s="90">
        <f t="shared" si="15"/>
        <v>0</v>
      </c>
      <c r="AJ185" s="89"/>
      <c r="AZ185" s="90">
        <f t="shared" si="16"/>
        <v>0</v>
      </c>
      <c r="BA185" s="90">
        <f>ROUND(AZ185*IFERROR(VLOOKUP($AK185,'3121% SY'!$A$2:$M$324,13,FALSE),0),3)</f>
        <v>0</v>
      </c>
      <c r="BB185" s="90">
        <f t="shared" si="17"/>
        <v>0</v>
      </c>
      <c r="BC185" s="90">
        <f>ROUND(BB185*IFERROR(VLOOKUP($AK185,'3121% SY'!$A$2:$M$324,13,FALSE),0),3)</f>
        <v>0</v>
      </c>
    </row>
    <row r="186" spans="1:55" x14ac:dyDescent="0.25">
      <c r="A186" s="88" t="s">
        <v>246</v>
      </c>
      <c r="B186" s="90"/>
      <c r="C186" s="90"/>
      <c r="D186" s="90"/>
      <c r="E186" s="90"/>
      <c r="F186" s="90">
        <v>5.5E-2</v>
      </c>
      <c r="G186" s="90"/>
      <c r="H186" s="90"/>
      <c r="I186" s="90"/>
      <c r="J186" s="90"/>
      <c r="K186" s="90"/>
      <c r="L186" s="90"/>
      <c r="M186" s="90"/>
      <c r="N186" s="90"/>
      <c r="P186" s="90">
        <f t="shared" si="13"/>
        <v>5.5E-2</v>
      </c>
      <c r="Q186" s="90">
        <f>SUM($B186:E186)</f>
        <v>0</v>
      </c>
      <c r="R186" s="89"/>
      <c r="AH186" s="90">
        <f t="shared" si="14"/>
        <v>0</v>
      </c>
      <c r="AI186" s="90">
        <f t="shared" si="15"/>
        <v>0</v>
      </c>
      <c r="AJ186" s="89"/>
      <c r="AZ186" s="90">
        <f t="shared" si="16"/>
        <v>0</v>
      </c>
      <c r="BA186" s="90">
        <f>ROUND(AZ186*IFERROR(VLOOKUP($AK186,'3121% SY'!$A$2:$M$324,13,FALSE),0),3)</f>
        <v>0</v>
      </c>
      <c r="BB186" s="90">
        <f t="shared" si="17"/>
        <v>0</v>
      </c>
      <c r="BC186" s="90">
        <f>ROUND(BB186*IFERROR(VLOOKUP($AK186,'3121% SY'!$A$2:$M$324,13,FALSE),0),3)</f>
        <v>0</v>
      </c>
    </row>
    <row r="187" spans="1:55" x14ac:dyDescent="0.25">
      <c r="A187" s="88" t="s">
        <v>248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>
        <v>3.5000000000000003E-2</v>
      </c>
      <c r="L187" s="90"/>
      <c r="M187" s="90"/>
      <c r="N187" s="90"/>
      <c r="P187" s="90">
        <f t="shared" si="13"/>
        <v>3.5000000000000003E-2</v>
      </c>
      <c r="Q187" s="90">
        <f>SUM($B187:E187)</f>
        <v>0</v>
      </c>
      <c r="R187" s="89"/>
      <c r="AH187" s="90">
        <f t="shared" si="14"/>
        <v>0</v>
      </c>
      <c r="AI187" s="90">
        <f t="shared" si="15"/>
        <v>0</v>
      </c>
      <c r="AJ187" s="89"/>
      <c r="AZ187" s="90">
        <f t="shared" si="16"/>
        <v>0</v>
      </c>
      <c r="BA187" s="90">
        <f>ROUND(AZ187*IFERROR(VLOOKUP($AK187,'3121% SY'!$A$2:$M$324,13,FALSE),0),3)</f>
        <v>0</v>
      </c>
      <c r="BB187" s="90">
        <f t="shared" si="17"/>
        <v>0</v>
      </c>
      <c r="BC187" s="90">
        <f>ROUND(BB187*IFERROR(VLOOKUP($AK187,'3121% SY'!$A$2:$M$324,13,FALSE),0),3)</f>
        <v>0</v>
      </c>
    </row>
    <row r="188" spans="1:55" x14ac:dyDescent="0.25">
      <c r="A188" s="88" t="s">
        <v>250</v>
      </c>
      <c r="B188" s="90"/>
      <c r="C188" s="90"/>
      <c r="D188" s="90">
        <v>3.2000000000000001E-2</v>
      </c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P188" s="90">
        <f t="shared" si="13"/>
        <v>0</v>
      </c>
      <c r="Q188" s="90">
        <f>SUM($B188:E188)</f>
        <v>3.2000000000000001E-2</v>
      </c>
      <c r="R188" s="89"/>
      <c r="AH188" s="90">
        <f t="shared" si="14"/>
        <v>0</v>
      </c>
      <c r="AI188" s="90">
        <f t="shared" si="15"/>
        <v>0</v>
      </c>
      <c r="AJ188" s="89"/>
      <c r="AZ188" s="90">
        <f t="shared" si="16"/>
        <v>0</v>
      </c>
      <c r="BA188" s="90">
        <f>ROUND(AZ188*IFERROR(VLOOKUP($AK188,'3121% SY'!$A$2:$M$324,13,FALSE),0),3)</f>
        <v>0</v>
      </c>
      <c r="BB188" s="90">
        <f t="shared" si="17"/>
        <v>0</v>
      </c>
      <c r="BC188" s="90">
        <f>ROUND(BB188*IFERROR(VLOOKUP($AK188,'3121% SY'!$A$2:$M$324,13,FALSE),0),3)</f>
        <v>0</v>
      </c>
    </row>
    <row r="189" spans="1:55" x14ac:dyDescent="0.25">
      <c r="A189" s="88" t="s">
        <v>251</v>
      </c>
      <c r="B189" s="90"/>
      <c r="C189" s="90"/>
      <c r="D189" s="90"/>
      <c r="E189" s="90"/>
      <c r="F189" s="90">
        <v>0.5</v>
      </c>
      <c r="G189" s="90"/>
      <c r="H189" s="90"/>
      <c r="I189" s="90"/>
      <c r="J189" s="90">
        <v>0.223</v>
      </c>
      <c r="K189" s="90"/>
      <c r="L189" s="90"/>
      <c r="M189" s="90"/>
      <c r="N189" s="90"/>
      <c r="P189" s="90">
        <f t="shared" si="13"/>
        <v>0.72299999999999998</v>
      </c>
      <c r="Q189" s="90">
        <f>SUM($B189:E189)</f>
        <v>0</v>
      </c>
      <c r="R189" s="89"/>
      <c r="AH189" s="90">
        <f t="shared" si="14"/>
        <v>0</v>
      </c>
      <c r="AI189" s="90">
        <f t="shared" si="15"/>
        <v>0</v>
      </c>
      <c r="AJ189" s="89"/>
      <c r="AZ189" s="90">
        <f t="shared" si="16"/>
        <v>0</v>
      </c>
      <c r="BA189" s="90">
        <f>ROUND(AZ189*IFERROR(VLOOKUP($AK189,'3121% SY'!$A$2:$M$324,13,FALSE),0),3)</f>
        <v>0</v>
      </c>
      <c r="BB189" s="90">
        <f t="shared" si="17"/>
        <v>0</v>
      </c>
      <c r="BC189" s="90">
        <f>ROUND(BB189*IFERROR(VLOOKUP($AK189,'3121% SY'!$A$2:$M$324,13,FALSE),0),3)</f>
        <v>0</v>
      </c>
    </row>
    <row r="190" spans="1:55" x14ac:dyDescent="0.25">
      <c r="A190" s="88" t="s">
        <v>252</v>
      </c>
      <c r="B190" s="90"/>
      <c r="C190" s="90"/>
      <c r="D190" s="90"/>
      <c r="E190" s="90"/>
      <c r="F190" s="90">
        <v>3</v>
      </c>
      <c r="G190" s="90"/>
      <c r="H190" s="90"/>
      <c r="I190" s="90"/>
      <c r="J190" s="90"/>
      <c r="K190" s="90">
        <v>0.55400000000000005</v>
      </c>
      <c r="L190" s="90"/>
      <c r="M190" s="90"/>
      <c r="N190" s="90"/>
      <c r="P190" s="90">
        <f t="shared" si="13"/>
        <v>3.5540000000000003</v>
      </c>
      <c r="Q190" s="90">
        <f>SUM($B190:E190)</f>
        <v>0</v>
      </c>
      <c r="R190" s="89"/>
      <c r="AH190" s="90">
        <f t="shared" si="14"/>
        <v>0</v>
      </c>
      <c r="AI190" s="90">
        <f t="shared" si="15"/>
        <v>0</v>
      </c>
      <c r="AJ190" s="89"/>
      <c r="AZ190" s="90">
        <f t="shared" si="16"/>
        <v>0</v>
      </c>
      <c r="BA190" s="90">
        <f>ROUND(AZ190*IFERROR(VLOOKUP($AK190,'3121% SY'!$A$2:$M$324,13,FALSE),0),3)</f>
        <v>0</v>
      </c>
      <c r="BB190" s="90">
        <f t="shared" si="17"/>
        <v>0</v>
      </c>
      <c r="BC190" s="90">
        <f>ROUND(BB190*IFERROR(VLOOKUP($AK190,'3121% SY'!$A$2:$M$324,13,FALSE),0),3)</f>
        <v>0</v>
      </c>
    </row>
    <row r="191" spans="1:55" x14ac:dyDescent="0.25">
      <c r="A191" s="88" t="s">
        <v>253</v>
      </c>
      <c r="B191" s="90"/>
      <c r="C191" s="90"/>
      <c r="D191" s="90"/>
      <c r="E191" s="90"/>
      <c r="F191" s="90">
        <v>5.4020000000000001</v>
      </c>
      <c r="G191" s="90"/>
      <c r="H191" s="90"/>
      <c r="I191" s="90"/>
      <c r="J191" s="90"/>
      <c r="K191" s="90">
        <v>3.472</v>
      </c>
      <c r="L191" s="90"/>
      <c r="M191" s="90"/>
      <c r="N191" s="90"/>
      <c r="P191" s="90">
        <f t="shared" si="13"/>
        <v>8.8740000000000006</v>
      </c>
      <c r="Q191" s="90">
        <f>SUM($B191:E191)</f>
        <v>0</v>
      </c>
      <c r="R191" s="89"/>
      <c r="AH191" s="90">
        <f t="shared" si="14"/>
        <v>0</v>
      </c>
      <c r="AI191" s="90">
        <f t="shared" si="15"/>
        <v>0</v>
      </c>
      <c r="AJ191" s="89"/>
      <c r="AZ191" s="90">
        <f t="shared" si="16"/>
        <v>0</v>
      </c>
      <c r="BA191" s="90">
        <f>ROUND(AZ191*IFERROR(VLOOKUP($AK191,'3121% SY'!$A$2:$M$324,13,FALSE),0),3)</f>
        <v>0</v>
      </c>
      <c r="BB191" s="90">
        <f t="shared" si="17"/>
        <v>0</v>
      </c>
      <c r="BC191" s="90">
        <f>ROUND(BB191*IFERROR(VLOOKUP($AK191,'3121% SY'!$A$2:$M$324,13,FALSE),0),3)</f>
        <v>0</v>
      </c>
    </row>
    <row r="192" spans="1:55" x14ac:dyDescent="0.25">
      <c r="A192" s="88" t="s">
        <v>254</v>
      </c>
      <c r="B192" s="90"/>
      <c r="C192" s="90">
        <v>1.2330000000000001</v>
      </c>
      <c r="D192" s="90">
        <v>1.292</v>
      </c>
      <c r="E192" s="90"/>
      <c r="F192" s="90">
        <v>3.3340000000000001</v>
      </c>
      <c r="G192" s="90"/>
      <c r="H192" s="90"/>
      <c r="I192" s="90"/>
      <c r="J192" s="90"/>
      <c r="K192" s="90">
        <v>0.93600000000000005</v>
      </c>
      <c r="L192" s="90"/>
      <c r="M192" s="90"/>
      <c r="N192" s="90"/>
      <c r="P192" s="90">
        <f t="shared" si="13"/>
        <v>4.2700000000000005</v>
      </c>
      <c r="Q192" s="90">
        <f>SUM($B192:E192)</f>
        <v>2.5250000000000004</v>
      </c>
      <c r="R192" s="89"/>
      <c r="AH192" s="90">
        <f t="shared" si="14"/>
        <v>0</v>
      </c>
      <c r="AI192" s="90">
        <f t="shared" si="15"/>
        <v>0</v>
      </c>
      <c r="AJ192" s="89"/>
      <c r="AZ192" s="90">
        <f t="shared" si="16"/>
        <v>0</v>
      </c>
      <c r="BA192" s="90">
        <f>ROUND(AZ192*IFERROR(VLOOKUP($AK192,'3121% SY'!$A$2:$M$324,13,FALSE),0),3)</f>
        <v>0</v>
      </c>
      <c r="BB192" s="90">
        <f t="shared" si="17"/>
        <v>0</v>
      </c>
      <c r="BC192" s="90">
        <f>ROUND(BB192*IFERROR(VLOOKUP($AK192,'3121% SY'!$A$2:$M$324,13,FALSE),0),3)</f>
        <v>0</v>
      </c>
    </row>
    <row r="193" spans="1:55" x14ac:dyDescent="0.25">
      <c r="A193" s="88" t="s">
        <v>255</v>
      </c>
      <c r="B193" s="90"/>
      <c r="C193" s="90">
        <v>0.55200000000000005</v>
      </c>
      <c r="D193" s="90">
        <v>0.36699999999999999</v>
      </c>
      <c r="E193" s="90"/>
      <c r="F193" s="90">
        <v>3.629</v>
      </c>
      <c r="G193" s="90"/>
      <c r="H193" s="90">
        <v>1.4</v>
      </c>
      <c r="I193" s="90"/>
      <c r="J193" s="90"/>
      <c r="K193" s="90">
        <v>0.93300000000000005</v>
      </c>
      <c r="L193" s="90"/>
      <c r="M193" s="90"/>
      <c r="N193" s="90"/>
      <c r="P193" s="90">
        <f t="shared" si="13"/>
        <v>5.9619999999999997</v>
      </c>
      <c r="Q193" s="90">
        <f>SUM($B193:E193)</f>
        <v>0.91900000000000004</v>
      </c>
      <c r="R193" s="89"/>
      <c r="AH193" s="90">
        <f t="shared" si="14"/>
        <v>0</v>
      </c>
      <c r="AI193" s="90">
        <f t="shared" si="15"/>
        <v>0</v>
      </c>
      <c r="AJ193" s="89"/>
      <c r="AZ193" s="90">
        <f t="shared" si="16"/>
        <v>0</v>
      </c>
      <c r="BA193" s="90">
        <f>ROUND(AZ193*IFERROR(VLOOKUP($AK193,'3121% SY'!$A$2:$M$324,13,FALSE),0),3)</f>
        <v>0</v>
      </c>
      <c r="BB193" s="90">
        <f t="shared" si="17"/>
        <v>0</v>
      </c>
      <c r="BC193" s="90">
        <f>ROUND(BB193*IFERROR(VLOOKUP($AK193,'3121% SY'!$A$2:$M$324,13,FALSE),0),3)</f>
        <v>0</v>
      </c>
    </row>
    <row r="194" spans="1:55" x14ac:dyDescent="0.25">
      <c r="A194" s="88" t="s">
        <v>256</v>
      </c>
      <c r="B194" s="90"/>
      <c r="C194" s="90">
        <v>0.13900000000000001</v>
      </c>
      <c r="D194" s="90"/>
      <c r="E194" s="90"/>
      <c r="F194" s="90">
        <v>0.5</v>
      </c>
      <c r="G194" s="90"/>
      <c r="H194" s="90"/>
      <c r="I194" s="90"/>
      <c r="J194" s="90"/>
      <c r="K194" s="90"/>
      <c r="L194" s="90"/>
      <c r="M194" s="90">
        <v>0.6</v>
      </c>
      <c r="N194" s="90"/>
      <c r="P194" s="90">
        <f t="shared" si="13"/>
        <v>1.1000000000000001</v>
      </c>
      <c r="Q194" s="90">
        <f>SUM($B194:E194)</f>
        <v>0.13900000000000001</v>
      </c>
      <c r="R194" s="89"/>
      <c r="AH194" s="90">
        <f t="shared" si="14"/>
        <v>0</v>
      </c>
      <c r="AI194" s="90">
        <f t="shared" si="15"/>
        <v>0</v>
      </c>
      <c r="AJ194" s="89"/>
      <c r="AZ194" s="90">
        <f t="shared" si="16"/>
        <v>0</v>
      </c>
      <c r="BA194" s="90">
        <f>ROUND(AZ194*IFERROR(VLOOKUP($AK194,'3121% SY'!$A$2:$M$324,13,FALSE),0),3)</f>
        <v>0</v>
      </c>
      <c r="BB194" s="90">
        <f t="shared" si="17"/>
        <v>0</v>
      </c>
      <c r="BC194" s="90">
        <f>ROUND(BB194*IFERROR(VLOOKUP($AK194,'3121% SY'!$A$2:$M$324,13,FALSE),0),3)</f>
        <v>0</v>
      </c>
    </row>
    <row r="195" spans="1:55" x14ac:dyDescent="0.25">
      <c r="A195" s="88" t="s">
        <v>257</v>
      </c>
      <c r="B195" s="90"/>
      <c r="C195" s="90"/>
      <c r="D195" s="90">
        <v>0.182</v>
      </c>
      <c r="E195" s="90"/>
      <c r="F195" s="90">
        <v>1</v>
      </c>
      <c r="G195" s="90"/>
      <c r="H195" s="90"/>
      <c r="I195" s="90"/>
      <c r="J195" s="90"/>
      <c r="K195" s="90"/>
      <c r="L195" s="90"/>
      <c r="M195" s="90"/>
      <c r="N195" s="90"/>
      <c r="P195" s="90">
        <f t="shared" si="13"/>
        <v>1</v>
      </c>
      <c r="Q195" s="90">
        <f>SUM($B195:E195)</f>
        <v>0.182</v>
      </c>
      <c r="R195" s="89"/>
      <c r="AH195" s="90">
        <f t="shared" si="14"/>
        <v>0</v>
      </c>
      <c r="AI195" s="90">
        <f t="shared" si="15"/>
        <v>0</v>
      </c>
      <c r="AJ195" s="89"/>
      <c r="AZ195" s="90">
        <f t="shared" si="16"/>
        <v>0</v>
      </c>
      <c r="BA195" s="90">
        <f>ROUND(AZ195*IFERROR(VLOOKUP($AK195,'3121% SY'!$A$2:$M$324,13,FALSE),0),3)</f>
        <v>0</v>
      </c>
      <c r="BB195" s="90">
        <f t="shared" si="17"/>
        <v>0</v>
      </c>
      <c r="BC195" s="90">
        <f>ROUND(BB195*IFERROR(VLOOKUP($AK195,'3121% SY'!$A$2:$M$324,13,FALSE),0),3)</f>
        <v>0</v>
      </c>
    </row>
    <row r="196" spans="1:55" x14ac:dyDescent="0.25">
      <c r="A196" s="88" t="s">
        <v>258</v>
      </c>
      <c r="B196" s="90"/>
      <c r="C196" s="90"/>
      <c r="D196" s="90"/>
      <c r="E196" s="90"/>
      <c r="F196" s="90">
        <v>0.66700000000000004</v>
      </c>
      <c r="G196" s="90"/>
      <c r="H196" s="90"/>
      <c r="I196" s="90"/>
      <c r="J196" s="90"/>
      <c r="K196" s="90"/>
      <c r="L196" s="90"/>
      <c r="M196" s="90"/>
      <c r="N196" s="90"/>
      <c r="P196" s="90">
        <f t="shared" si="13"/>
        <v>0.66700000000000004</v>
      </c>
      <c r="Q196" s="90">
        <f>SUM($B196:E196)</f>
        <v>0</v>
      </c>
      <c r="R196" s="89"/>
      <c r="AH196" s="90">
        <f t="shared" si="14"/>
        <v>0</v>
      </c>
      <c r="AI196" s="90">
        <f t="shared" si="15"/>
        <v>0</v>
      </c>
      <c r="AJ196" s="89"/>
      <c r="AZ196" s="90">
        <f t="shared" si="16"/>
        <v>0</v>
      </c>
      <c r="BA196" s="90">
        <f>ROUND(AZ196*IFERROR(VLOOKUP($AK196,'3121% SY'!$A$2:$M$324,13,FALSE),0),3)</f>
        <v>0</v>
      </c>
      <c r="BB196" s="90">
        <f t="shared" si="17"/>
        <v>0</v>
      </c>
      <c r="BC196" s="90">
        <f>ROUND(BB196*IFERROR(VLOOKUP($AK196,'3121% SY'!$A$2:$M$324,13,FALSE),0),3)</f>
        <v>0</v>
      </c>
    </row>
    <row r="197" spans="1:55" x14ac:dyDescent="0.25">
      <c r="A197" s="88" t="s">
        <v>259</v>
      </c>
      <c r="B197" s="90"/>
      <c r="C197" s="90"/>
      <c r="D197" s="90">
        <v>0.375</v>
      </c>
      <c r="E197" s="90"/>
      <c r="F197" s="90">
        <v>0.6</v>
      </c>
      <c r="G197" s="90"/>
      <c r="H197" s="90"/>
      <c r="I197" s="90"/>
      <c r="J197" s="90"/>
      <c r="K197" s="90"/>
      <c r="L197" s="90"/>
      <c r="M197" s="90"/>
      <c r="N197" s="90"/>
      <c r="P197" s="90">
        <f t="shared" si="13"/>
        <v>0.6</v>
      </c>
      <c r="Q197" s="90">
        <f>SUM($B197:E197)</f>
        <v>0.375</v>
      </c>
      <c r="R197" s="89"/>
      <c r="AH197" s="90">
        <f t="shared" si="14"/>
        <v>0</v>
      </c>
      <c r="AI197" s="90">
        <f t="shared" si="15"/>
        <v>0</v>
      </c>
      <c r="AJ197" s="89"/>
      <c r="AZ197" s="90">
        <f t="shared" si="16"/>
        <v>0</v>
      </c>
      <c r="BA197" s="90">
        <f>ROUND(AZ197*IFERROR(VLOOKUP($AK197,'3121% SY'!$A$2:$M$324,13,FALSE),0),3)</f>
        <v>0</v>
      </c>
      <c r="BB197" s="90">
        <f t="shared" si="17"/>
        <v>0</v>
      </c>
      <c r="BC197" s="90">
        <f>ROUND(BB197*IFERROR(VLOOKUP($AK197,'3121% SY'!$A$2:$M$324,13,FALSE),0),3)</f>
        <v>0</v>
      </c>
    </row>
    <row r="198" spans="1:55" x14ac:dyDescent="0.25">
      <c r="A198" s="88" t="s">
        <v>617</v>
      </c>
      <c r="B198" s="90"/>
      <c r="C198" s="90"/>
      <c r="D198" s="90"/>
      <c r="E198" s="90"/>
      <c r="F198" s="90">
        <v>0.33</v>
      </c>
      <c r="G198" s="90"/>
      <c r="H198" s="90"/>
      <c r="I198" s="90"/>
      <c r="J198" s="90"/>
      <c r="K198" s="90"/>
      <c r="L198" s="90"/>
      <c r="M198" s="90"/>
      <c r="N198" s="90"/>
      <c r="P198" s="90">
        <f t="shared" si="13"/>
        <v>0.33</v>
      </c>
      <c r="Q198" s="90">
        <f>SUM($B198:E198)</f>
        <v>0</v>
      </c>
      <c r="R198" s="89"/>
      <c r="AH198" s="90">
        <f t="shared" si="14"/>
        <v>0</v>
      </c>
      <c r="AI198" s="90">
        <f t="shared" si="15"/>
        <v>0</v>
      </c>
      <c r="AJ198" s="89"/>
      <c r="AZ198" s="90">
        <f t="shared" si="16"/>
        <v>0</v>
      </c>
      <c r="BA198" s="90">
        <f>ROUND(AZ198*IFERROR(VLOOKUP($AK198,'3121% SY'!$A$2:$M$324,13,FALSE),0),3)</f>
        <v>0</v>
      </c>
      <c r="BB198" s="90">
        <f t="shared" si="17"/>
        <v>0</v>
      </c>
      <c r="BC198" s="90">
        <f>ROUND(BB198*IFERROR(VLOOKUP($AK198,'3121% SY'!$A$2:$M$324,13,FALSE),0),3)</f>
        <v>0</v>
      </c>
    </row>
    <row r="199" spans="1:55" x14ac:dyDescent="0.25">
      <c r="A199" s="88" t="s">
        <v>260</v>
      </c>
      <c r="B199" s="90"/>
      <c r="C199" s="90">
        <v>0.17699999999999999</v>
      </c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P199" s="90">
        <f t="shared" ref="P199:P255" si="18">SUM(F199:O199)</f>
        <v>0</v>
      </c>
      <c r="Q199" s="90">
        <f>SUM($B199:E199)</f>
        <v>0.17699999999999999</v>
      </c>
      <c r="R199" s="89"/>
      <c r="AH199" s="90">
        <f t="shared" ref="AH199:AH255" si="19">SUM(X199:AG199)</f>
        <v>0</v>
      </c>
      <c r="AI199" s="90">
        <f t="shared" ref="AI199:AI255" si="20">SUM(T199:W199)</f>
        <v>0</v>
      </c>
      <c r="AJ199" s="89"/>
      <c r="AZ199" s="90">
        <f t="shared" ref="AZ199:AZ255" si="21">SUM(AP199:AY199)</f>
        <v>0</v>
      </c>
      <c r="BA199" s="90">
        <f>ROUND(AZ199*IFERROR(VLOOKUP($AK199,'3121% SY'!$A$2:$M$324,13,FALSE),0),3)</f>
        <v>0</v>
      </c>
      <c r="BB199" s="90">
        <f t="shared" ref="BB199:BB255" si="22">SUM(AL199:AO199)</f>
        <v>0</v>
      </c>
      <c r="BC199" s="90">
        <f>ROUND(BB199*IFERROR(VLOOKUP($AK199,'3121% SY'!$A$2:$M$324,13,FALSE),0),3)</f>
        <v>0</v>
      </c>
    </row>
    <row r="200" spans="1:55" x14ac:dyDescent="0.25">
      <c r="A200" s="88" t="s">
        <v>262</v>
      </c>
      <c r="B200" s="90"/>
      <c r="C200" s="90"/>
      <c r="D200" s="90">
        <v>0.373</v>
      </c>
      <c r="E200" s="90">
        <v>0.97</v>
      </c>
      <c r="F200" s="90">
        <v>2.68</v>
      </c>
      <c r="G200" s="90"/>
      <c r="H200" s="90"/>
      <c r="I200" s="90"/>
      <c r="J200" s="90"/>
      <c r="K200" s="90">
        <v>0.436</v>
      </c>
      <c r="L200" s="90"/>
      <c r="M200" s="90"/>
      <c r="N200" s="90"/>
      <c r="P200" s="90">
        <f t="shared" si="18"/>
        <v>3.1160000000000001</v>
      </c>
      <c r="Q200" s="90">
        <f>SUM($B200:E200)</f>
        <v>1.343</v>
      </c>
      <c r="R200" s="89"/>
      <c r="AH200" s="90">
        <f t="shared" si="19"/>
        <v>0</v>
      </c>
      <c r="AI200" s="90">
        <f t="shared" si="20"/>
        <v>0</v>
      </c>
      <c r="AJ200" s="89"/>
      <c r="AZ200" s="90">
        <f t="shared" si="21"/>
        <v>0</v>
      </c>
      <c r="BA200" s="90">
        <f>ROUND(AZ200*IFERROR(VLOOKUP($AK200,'3121% SY'!$A$2:$M$324,13,FALSE),0),3)</f>
        <v>0</v>
      </c>
      <c r="BB200" s="90">
        <f t="shared" si="22"/>
        <v>0</v>
      </c>
      <c r="BC200" s="90">
        <f>ROUND(BB200*IFERROR(VLOOKUP($AK200,'3121% SY'!$A$2:$M$324,13,FALSE),0),3)</f>
        <v>0</v>
      </c>
    </row>
    <row r="201" spans="1:55" x14ac:dyDescent="0.25">
      <c r="A201" s="88" t="s">
        <v>263</v>
      </c>
      <c r="B201" s="90"/>
      <c r="C201" s="90">
        <v>0.23</v>
      </c>
      <c r="D201" s="90">
        <v>0.70299999999999996</v>
      </c>
      <c r="E201" s="90"/>
      <c r="F201" s="90"/>
      <c r="G201" s="90"/>
      <c r="H201" s="90">
        <v>0.25</v>
      </c>
      <c r="I201" s="90"/>
      <c r="J201" s="90"/>
      <c r="K201" s="90"/>
      <c r="L201" s="90"/>
      <c r="M201" s="90"/>
      <c r="N201" s="90"/>
      <c r="P201" s="90">
        <f t="shared" si="18"/>
        <v>0.25</v>
      </c>
      <c r="Q201" s="90">
        <f>SUM($B201:E201)</f>
        <v>0.93299999999999994</v>
      </c>
      <c r="R201" s="89"/>
      <c r="AH201" s="90">
        <f t="shared" si="19"/>
        <v>0</v>
      </c>
      <c r="AI201" s="90">
        <f t="shared" si="20"/>
        <v>0</v>
      </c>
      <c r="AJ201" s="89"/>
      <c r="AZ201" s="90">
        <f t="shared" si="21"/>
        <v>0</v>
      </c>
      <c r="BA201" s="90">
        <f>ROUND(AZ201*IFERROR(VLOOKUP($AK201,'3121% SY'!$A$2:$M$324,13,FALSE),0),3)</f>
        <v>0</v>
      </c>
      <c r="BB201" s="90">
        <f t="shared" si="22"/>
        <v>0</v>
      </c>
      <c r="BC201" s="90">
        <f>ROUND(BB201*IFERROR(VLOOKUP($AK201,'3121% SY'!$A$2:$M$324,13,FALSE),0),3)</f>
        <v>0</v>
      </c>
    </row>
    <row r="202" spans="1:55" x14ac:dyDescent="0.25">
      <c r="A202" s="88" t="s">
        <v>265</v>
      </c>
      <c r="B202" s="90"/>
      <c r="C202" s="90"/>
      <c r="D202" s="90">
        <v>0.36499999999999999</v>
      </c>
      <c r="E202" s="90"/>
      <c r="F202" s="90"/>
      <c r="G202" s="90"/>
      <c r="H202" s="90"/>
      <c r="I202" s="90"/>
      <c r="J202" s="90">
        <v>0.125</v>
      </c>
      <c r="K202" s="90"/>
      <c r="L202" s="90"/>
      <c r="M202" s="90"/>
      <c r="N202" s="90"/>
      <c r="P202" s="90">
        <f t="shared" si="18"/>
        <v>0.125</v>
      </c>
      <c r="Q202" s="90">
        <f>SUM($B202:E202)</f>
        <v>0.36499999999999999</v>
      </c>
      <c r="R202" s="89"/>
      <c r="AH202" s="90">
        <f t="shared" si="19"/>
        <v>0</v>
      </c>
      <c r="AI202" s="90">
        <f t="shared" si="20"/>
        <v>0</v>
      </c>
      <c r="AJ202" s="89"/>
      <c r="AZ202" s="90">
        <f t="shared" si="21"/>
        <v>0</v>
      </c>
      <c r="BA202" s="90">
        <f>ROUND(AZ202*IFERROR(VLOOKUP($AK202,'3121% SY'!$A$2:$M$324,13,FALSE),0),3)</f>
        <v>0</v>
      </c>
      <c r="BB202" s="90">
        <f t="shared" si="22"/>
        <v>0</v>
      </c>
      <c r="BC202" s="90">
        <f>ROUND(BB202*IFERROR(VLOOKUP($AK202,'3121% SY'!$A$2:$M$324,13,FALSE),0),3)</f>
        <v>0</v>
      </c>
    </row>
    <row r="203" spans="1:55" x14ac:dyDescent="0.25">
      <c r="A203" s="88" t="s">
        <v>266</v>
      </c>
      <c r="B203" s="90">
        <v>0.23599999999999999</v>
      </c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P203" s="90">
        <f t="shared" si="18"/>
        <v>0</v>
      </c>
      <c r="Q203" s="90">
        <f>SUM($B203:E203)</f>
        <v>0.23599999999999999</v>
      </c>
      <c r="R203" s="89"/>
      <c r="AH203" s="90">
        <f t="shared" si="19"/>
        <v>0</v>
      </c>
      <c r="AI203" s="90">
        <f t="shared" si="20"/>
        <v>0</v>
      </c>
      <c r="AJ203" s="89"/>
      <c r="AZ203" s="90">
        <f t="shared" si="21"/>
        <v>0</v>
      </c>
      <c r="BA203" s="90">
        <f>ROUND(AZ203*IFERROR(VLOOKUP($AK203,'3121% SY'!$A$2:$M$324,13,FALSE),0),3)</f>
        <v>0</v>
      </c>
      <c r="BB203" s="90">
        <f t="shared" si="22"/>
        <v>0</v>
      </c>
      <c r="BC203" s="90">
        <f>ROUND(BB203*IFERROR(VLOOKUP($AK203,'3121% SY'!$A$2:$M$324,13,FALSE),0),3)</f>
        <v>0</v>
      </c>
    </row>
    <row r="204" spans="1:55" x14ac:dyDescent="0.25">
      <c r="A204" s="88" t="s">
        <v>267</v>
      </c>
      <c r="B204" s="90"/>
      <c r="C204" s="90"/>
      <c r="D204" s="90"/>
      <c r="E204" s="90"/>
      <c r="F204" s="90">
        <v>0.17</v>
      </c>
      <c r="G204" s="90"/>
      <c r="H204" s="90"/>
      <c r="I204" s="90"/>
      <c r="J204" s="90"/>
      <c r="K204" s="90"/>
      <c r="L204" s="90"/>
      <c r="M204" s="90"/>
      <c r="N204" s="90"/>
      <c r="P204" s="90">
        <f t="shared" si="18"/>
        <v>0.17</v>
      </c>
      <c r="Q204" s="90">
        <f>SUM($B204:E204)</f>
        <v>0</v>
      </c>
      <c r="R204" s="89"/>
      <c r="AH204" s="90">
        <f t="shared" si="19"/>
        <v>0</v>
      </c>
      <c r="AI204" s="90">
        <f t="shared" si="20"/>
        <v>0</v>
      </c>
      <c r="AJ204" s="89"/>
      <c r="AZ204" s="90">
        <f t="shared" si="21"/>
        <v>0</v>
      </c>
      <c r="BA204" s="90">
        <f>ROUND(AZ204*IFERROR(VLOOKUP($AK204,'3121% SY'!$A$2:$M$324,13,FALSE),0),3)</f>
        <v>0</v>
      </c>
      <c r="BB204" s="90">
        <f t="shared" si="22"/>
        <v>0</v>
      </c>
      <c r="BC204" s="90">
        <f>ROUND(BB204*IFERROR(VLOOKUP($AK204,'3121% SY'!$A$2:$M$324,13,FALSE),0),3)</f>
        <v>0</v>
      </c>
    </row>
    <row r="205" spans="1:55" x14ac:dyDescent="0.25">
      <c r="A205" s="88" t="s">
        <v>268</v>
      </c>
      <c r="B205" s="90"/>
      <c r="C205" s="90"/>
      <c r="D205" s="90"/>
      <c r="E205" s="90"/>
      <c r="F205" s="90">
        <v>5.42</v>
      </c>
      <c r="G205" s="90"/>
      <c r="H205" s="90"/>
      <c r="I205" s="90"/>
      <c r="J205" s="90"/>
      <c r="K205" s="90">
        <v>1.502</v>
      </c>
      <c r="L205" s="90"/>
      <c r="M205" s="90"/>
      <c r="N205" s="90"/>
      <c r="P205" s="90">
        <f t="shared" si="18"/>
        <v>6.9219999999999997</v>
      </c>
      <c r="Q205" s="90">
        <f>SUM($B205:E205)</f>
        <v>0</v>
      </c>
      <c r="R205" s="89"/>
      <c r="AH205" s="90">
        <f t="shared" si="19"/>
        <v>0</v>
      </c>
      <c r="AI205" s="90">
        <f t="shared" si="20"/>
        <v>0</v>
      </c>
      <c r="AJ205" s="89"/>
      <c r="AZ205" s="90">
        <f t="shared" si="21"/>
        <v>0</v>
      </c>
      <c r="BA205" s="90">
        <f>ROUND(AZ205*IFERROR(VLOOKUP($AK205,'3121% SY'!$A$2:$M$324,13,FALSE),0),3)</f>
        <v>0</v>
      </c>
      <c r="BB205" s="90">
        <f t="shared" si="22"/>
        <v>0</v>
      </c>
      <c r="BC205" s="90">
        <f>ROUND(BB205*IFERROR(VLOOKUP($AK205,'3121% SY'!$A$2:$M$324,13,FALSE),0),3)</f>
        <v>0</v>
      </c>
    </row>
    <row r="206" spans="1:55" x14ac:dyDescent="0.25">
      <c r="A206" s="88" t="s">
        <v>269</v>
      </c>
      <c r="B206" s="90"/>
      <c r="C206" s="90"/>
      <c r="D206" s="90"/>
      <c r="E206" s="90"/>
      <c r="F206" s="90">
        <v>2</v>
      </c>
      <c r="G206" s="90"/>
      <c r="H206" s="90"/>
      <c r="I206" s="90">
        <v>0.05</v>
      </c>
      <c r="J206" s="90"/>
      <c r="K206" s="90">
        <v>1.8</v>
      </c>
      <c r="L206" s="90"/>
      <c r="M206" s="90"/>
      <c r="N206" s="90"/>
      <c r="P206" s="90">
        <f t="shared" si="18"/>
        <v>3.8499999999999996</v>
      </c>
      <c r="Q206" s="90">
        <f>SUM($B206:E206)</f>
        <v>0</v>
      </c>
      <c r="R206" s="89"/>
      <c r="AH206" s="90">
        <f t="shared" si="19"/>
        <v>0</v>
      </c>
      <c r="AI206" s="90">
        <f t="shared" si="20"/>
        <v>0</v>
      </c>
      <c r="AJ206" s="89"/>
      <c r="AZ206" s="90">
        <f t="shared" si="21"/>
        <v>0</v>
      </c>
      <c r="BA206" s="90">
        <f>ROUND(AZ206*IFERROR(VLOOKUP($AK206,'3121% SY'!$A$2:$M$324,13,FALSE),0),3)</f>
        <v>0</v>
      </c>
      <c r="BB206" s="90">
        <f t="shared" si="22"/>
        <v>0</v>
      </c>
      <c r="BC206" s="90">
        <f>ROUND(BB206*IFERROR(VLOOKUP($AK206,'3121% SY'!$A$2:$M$324,13,FALSE),0),3)</f>
        <v>0</v>
      </c>
    </row>
    <row r="207" spans="1:55" x14ac:dyDescent="0.25">
      <c r="A207" s="88" t="s">
        <v>270</v>
      </c>
      <c r="B207" s="90"/>
      <c r="C207" s="90"/>
      <c r="D207" s="90">
        <v>0.27800000000000002</v>
      </c>
      <c r="E207" s="90"/>
      <c r="F207" s="90">
        <v>0.69</v>
      </c>
      <c r="G207" s="90"/>
      <c r="H207" s="90">
        <v>1.6E-2</v>
      </c>
      <c r="I207" s="90"/>
      <c r="J207" s="90"/>
      <c r="K207" s="90">
        <v>0.28000000000000003</v>
      </c>
      <c r="L207" s="90"/>
      <c r="M207" s="90"/>
      <c r="N207" s="90"/>
      <c r="P207" s="90">
        <f t="shared" si="18"/>
        <v>0.98599999999999999</v>
      </c>
      <c r="Q207" s="90">
        <f>SUM($B207:E207)</f>
        <v>0.27800000000000002</v>
      </c>
      <c r="R207" s="89"/>
      <c r="AH207" s="90">
        <f t="shared" si="19"/>
        <v>0</v>
      </c>
      <c r="AI207" s="90">
        <f t="shared" si="20"/>
        <v>0</v>
      </c>
      <c r="AJ207" s="89"/>
      <c r="AZ207" s="90">
        <f t="shared" si="21"/>
        <v>0</v>
      </c>
      <c r="BA207" s="90">
        <f>ROUND(AZ207*IFERROR(VLOOKUP($AK207,'3121% SY'!$A$2:$M$324,13,FALSE),0),3)</f>
        <v>0</v>
      </c>
      <c r="BB207" s="90">
        <f t="shared" si="22"/>
        <v>0</v>
      </c>
      <c r="BC207" s="90">
        <f>ROUND(BB207*IFERROR(VLOOKUP($AK207,'3121% SY'!$A$2:$M$324,13,FALSE),0),3)</f>
        <v>0</v>
      </c>
    </row>
    <row r="208" spans="1:55" x14ac:dyDescent="0.25">
      <c r="A208" s="88" t="s">
        <v>271</v>
      </c>
      <c r="B208" s="90"/>
      <c r="C208" s="90"/>
      <c r="D208" s="90"/>
      <c r="E208" s="90"/>
      <c r="F208" s="90">
        <v>1.2</v>
      </c>
      <c r="G208" s="90"/>
      <c r="H208" s="90"/>
      <c r="I208" s="90"/>
      <c r="J208" s="90"/>
      <c r="K208" s="90">
        <v>1</v>
      </c>
      <c r="L208" s="90"/>
      <c r="M208" s="90"/>
      <c r="N208" s="90"/>
      <c r="P208" s="90">
        <f t="shared" si="18"/>
        <v>2.2000000000000002</v>
      </c>
      <c r="Q208" s="90">
        <f>SUM($B208:E208)</f>
        <v>0</v>
      </c>
      <c r="R208" s="89"/>
      <c r="AH208" s="90">
        <f t="shared" si="19"/>
        <v>0</v>
      </c>
      <c r="AI208" s="90">
        <f t="shared" si="20"/>
        <v>0</v>
      </c>
      <c r="AJ208" s="89"/>
      <c r="AZ208" s="90">
        <f t="shared" si="21"/>
        <v>0</v>
      </c>
      <c r="BA208" s="90">
        <f>ROUND(AZ208*IFERROR(VLOOKUP($AK208,'3121% SY'!$A$2:$M$324,13,FALSE),0),3)</f>
        <v>0</v>
      </c>
      <c r="BB208" s="90">
        <f t="shared" si="22"/>
        <v>0</v>
      </c>
      <c r="BC208" s="90">
        <f>ROUND(BB208*IFERROR(VLOOKUP($AK208,'3121% SY'!$A$2:$M$324,13,FALSE),0),3)</f>
        <v>0</v>
      </c>
    </row>
    <row r="209" spans="1:55" x14ac:dyDescent="0.25">
      <c r="A209" s="88" t="s">
        <v>272</v>
      </c>
      <c r="B209" s="90">
        <v>0.10299999999999999</v>
      </c>
      <c r="C209" s="90">
        <v>4.4999999999999998E-2</v>
      </c>
      <c r="D209" s="90">
        <v>0.54100000000000004</v>
      </c>
      <c r="E209" s="90"/>
      <c r="F209" s="90">
        <v>1.387</v>
      </c>
      <c r="G209" s="90"/>
      <c r="H209" s="90"/>
      <c r="I209" s="90"/>
      <c r="J209" s="90"/>
      <c r="K209" s="90">
        <v>0.13900000000000001</v>
      </c>
      <c r="L209" s="90"/>
      <c r="M209" s="90"/>
      <c r="N209" s="90"/>
      <c r="P209" s="90">
        <f t="shared" si="18"/>
        <v>1.526</v>
      </c>
      <c r="Q209" s="90">
        <f>SUM($B209:E209)</f>
        <v>0.68900000000000006</v>
      </c>
      <c r="R209" s="89"/>
      <c r="AH209" s="90">
        <f t="shared" si="19"/>
        <v>0</v>
      </c>
      <c r="AI209" s="90">
        <f t="shared" si="20"/>
        <v>0</v>
      </c>
      <c r="AJ209" s="89"/>
      <c r="AZ209" s="90">
        <f t="shared" si="21"/>
        <v>0</v>
      </c>
      <c r="BA209" s="90">
        <f>ROUND(AZ209*IFERROR(VLOOKUP($AK209,'3121% SY'!$A$2:$M$324,13,FALSE),0),3)</f>
        <v>0</v>
      </c>
      <c r="BB209" s="90">
        <f t="shared" si="22"/>
        <v>0</v>
      </c>
      <c r="BC209" s="90">
        <f>ROUND(BB209*IFERROR(VLOOKUP($AK209,'3121% SY'!$A$2:$M$324,13,FALSE),0),3)</f>
        <v>0</v>
      </c>
    </row>
    <row r="210" spans="1:55" x14ac:dyDescent="0.25">
      <c r="A210" s="88" t="s">
        <v>273</v>
      </c>
      <c r="B210" s="90"/>
      <c r="C210" s="90"/>
      <c r="D210" s="90"/>
      <c r="E210" s="90"/>
      <c r="F210" s="90">
        <v>1.5</v>
      </c>
      <c r="G210" s="90"/>
      <c r="H210" s="90"/>
      <c r="I210" s="90"/>
      <c r="J210" s="90"/>
      <c r="K210" s="90"/>
      <c r="L210" s="90"/>
      <c r="M210" s="90"/>
      <c r="N210" s="90"/>
      <c r="P210" s="90">
        <f t="shared" si="18"/>
        <v>1.5</v>
      </c>
      <c r="Q210" s="90">
        <f>SUM($B210:E210)</f>
        <v>0</v>
      </c>
      <c r="R210" s="89"/>
      <c r="AH210" s="90">
        <f t="shared" si="19"/>
        <v>0</v>
      </c>
      <c r="AI210" s="90">
        <f t="shared" si="20"/>
        <v>0</v>
      </c>
      <c r="AJ210" s="89"/>
      <c r="AZ210" s="90">
        <f t="shared" si="21"/>
        <v>0</v>
      </c>
      <c r="BA210" s="90">
        <f>ROUND(AZ210*IFERROR(VLOOKUP($AK210,'3121% SY'!$A$2:$M$324,13,FALSE),0),3)</f>
        <v>0</v>
      </c>
      <c r="BB210" s="90">
        <f t="shared" si="22"/>
        <v>0</v>
      </c>
      <c r="BC210" s="90">
        <f>ROUND(BB210*IFERROR(VLOOKUP($AK210,'3121% SY'!$A$2:$M$324,13,FALSE),0),3)</f>
        <v>0</v>
      </c>
    </row>
    <row r="211" spans="1:55" x14ac:dyDescent="0.25">
      <c r="A211" s="88" t="s">
        <v>274</v>
      </c>
      <c r="B211" s="90"/>
      <c r="C211" s="90"/>
      <c r="D211" s="90"/>
      <c r="E211" s="90"/>
      <c r="F211" s="90">
        <v>1</v>
      </c>
      <c r="G211" s="90"/>
      <c r="H211" s="90"/>
      <c r="I211" s="90"/>
      <c r="J211" s="90"/>
      <c r="K211" s="90">
        <v>0.253</v>
      </c>
      <c r="L211" s="90"/>
      <c r="M211" s="90"/>
      <c r="N211" s="90"/>
      <c r="P211" s="90">
        <f t="shared" si="18"/>
        <v>1.2530000000000001</v>
      </c>
      <c r="Q211" s="90">
        <f>SUM($B211:E211)</f>
        <v>0</v>
      </c>
      <c r="R211" s="89"/>
      <c r="AH211" s="90">
        <f t="shared" si="19"/>
        <v>0</v>
      </c>
      <c r="AI211" s="90">
        <f t="shared" si="20"/>
        <v>0</v>
      </c>
      <c r="AJ211" s="89"/>
      <c r="AZ211" s="90">
        <f t="shared" si="21"/>
        <v>0</v>
      </c>
      <c r="BA211" s="90">
        <f>ROUND(AZ211*IFERROR(VLOOKUP($AK211,'3121% SY'!$A$2:$M$324,13,FALSE),0),3)</f>
        <v>0</v>
      </c>
      <c r="BB211" s="90">
        <f t="shared" si="22"/>
        <v>0</v>
      </c>
      <c r="BC211" s="90">
        <f>ROUND(BB211*IFERROR(VLOOKUP($AK211,'3121% SY'!$A$2:$M$324,13,FALSE),0),3)</f>
        <v>0</v>
      </c>
    </row>
    <row r="212" spans="1:55" x14ac:dyDescent="0.25">
      <c r="A212" s="88" t="s">
        <v>278</v>
      </c>
      <c r="B212" s="90"/>
      <c r="C212" s="90"/>
      <c r="D212" s="90"/>
      <c r="E212" s="90"/>
      <c r="F212" s="90">
        <v>0.22800000000000001</v>
      </c>
      <c r="G212" s="90"/>
      <c r="H212" s="90"/>
      <c r="I212" s="90"/>
      <c r="J212" s="90"/>
      <c r="K212" s="90"/>
      <c r="L212" s="90"/>
      <c r="M212" s="90"/>
      <c r="N212" s="90"/>
      <c r="P212" s="90">
        <f t="shared" si="18"/>
        <v>0.22800000000000001</v>
      </c>
      <c r="Q212" s="90">
        <f>SUM($B212:E212)</f>
        <v>0</v>
      </c>
      <c r="R212" s="89"/>
      <c r="AH212" s="90">
        <f t="shared" si="19"/>
        <v>0</v>
      </c>
      <c r="AI212" s="90">
        <f t="shared" si="20"/>
        <v>0</v>
      </c>
      <c r="AJ212" s="89"/>
      <c r="AZ212" s="90">
        <f t="shared" si="21"/>
        <v>0</v>
      </c>
      <c r="BA212" s="90">
        <f>ROUND(AZ212*IFERROR(VLOOKUP($AK212,'3121% SY'!$A$2:$M$324,13,FALSE),0),3)</f>
        <v>0</v>
      </c>
      <c r="BB212" s="90">
        <f t="shared" si="22"/>
        <v>0</v>
      </c>
      <c r="BC212" s="90">
        <f>ROUND(BB212*IFERROR(VLOOKUP($AK212,'3121% SY'!$A$2:$M$324,13,FALSE),0),3)</f>
        <v>0</v>
      </c>
    </row>
    <row r="213" spans="1:55" x14ac:dyDescent="0.25">
      <c r="A213" s="88" t="s">
        <v>279</v>
      </c>
      <c r="B213" s="90"/>
      <c r="C213" s="90"/>
      <c r="D213" s="90"/>
      <c r="E213" s="90"/>
      <c r="F213" s="90">
        <v>1.5</v>
      </c>
      <c r="G213" s="90"/>
      <c r="H213" s="90"/>
      <c r="I213" s="90"/>
      <c r="J213" s="90"/>
      <c r="K213" s="90"/>
      <c r="L213" s="90"/>
      <c r="M213" s="90"/>
      <c r="N213" s="90"/>
      <c r="P213" s="90">
        <f t="shared" si="18"/>
        <v>1.5</v>
      </c>
      <c r="Q213" s="90">
        <f>SUM($B213:E213)</f>
        <v>0</v>
      </c>
      <c r="R213" s="89"/>
      <c r="AH213" s="90">
        <f t="shared" si="19"/>
        <v>0</v>
      </c>
      <c r="AI213" s="90">
        <f t="shared" si="20"/>
        <v>0</v>
      </c>
      <c r="AJ213" s="89"/>
      <c r="AZ213" s="90">
        <f t="shared" si="21"/>
        <v>0</v>
      </c>
      <c r="BA213" s="90">
        <f>ROUND(AZ213*IFERROR(VLOOKUP($AK213,'3121% SY'!$A$2:$M$324,13,FALSE),0),3)</f>
        <v>0</v>
      </c>
      <c r="BB213" s="90">
        <f t="shared" si="22"/>
        <v>0</v>
      </c>
      <c r="BC213" s="90">
        <f>ROUND(BB213*IFERROR(VLOOKUP($AK213,'3121% SY'!$A$2:$M$324,13,FALSE),0),3)</f>
        <v>0</v>
      </c>
    </row>
    <row r="214" spans="1:55" x14ac:dyDescent="0.25">
      <c r="A214" s="88" t="s">
        <v>280</v>
      </c>
      <c r="B214" s="90"/>
      <c r="C214" s="90"/>
      <c r="D214" s="90"/>
      <c r="E214" s="90"/>
      <c r="F214" s="90">
        <v>0.33400000000000002</v>
      </c>
      <c r="G214" s="90"/>
      <c r="H214" s="90"/>
      <c r="I214" s="90"/>
      <c r="J214" s="90"/>
      <c r="K214" s="90"/>
      <c r="L214" s="90"/>
      <c r="M214" s="90"/>
      <c r="N214" s="90"/>
      <c r="P214" s="90">
        <f t="shared" si="18"/>
        <v>0.33400000000000002</v>
      </c>
      <c r="Q214" s="90">
        <f>SUM($B214:E214)</f>
        <v>0</v>
      </c>
      <c r="R214" s="89"/>
      <c r="AH214" s="90">
        <f t="shared" si="19"/>
        <v>0</v>
      </c>
      <c r="AI214" s="90">
        <f t="shared" si="20"/>
        <v>0</v>
      </c>
      <c r="AJ214" s="89"/>
      <c r="AZ214" s="90">
        <f t="shared" si="21"/>
        <v>0</v>
      </c>
      <c r="BA214" s="90">
        <f>ROUND(AZ214*IFERROR(VLOOKUP($AK214,'3121% SY'!$A$2:$M$324,13,FALSE),0),3)</f>
        <v>0</v>
      </c>
      <c r="BB214" s="90">
        <f t="shared" si="22"/>
        <v>0</v>
      </c>
      <c r="BC214" s="90">
        <f>ROUND(BB214*IFERROR(VLOOKUP($AK214,'3121% SY'!$A$2:$M$324,13,FALSE),0),3)</f>
        <v>0</v>
      </c>
    </row>
    <row r="215" spans="1:55" x14ac:dyDescent="0.25">
      <c r="A215" s="88" t="s">
        <v>282</v>
      </c>
      <c r="B215" s="90"/>
      <c r="C215" s="90"/>
      <c r="D215" s="90"/>
      <c r="E215" s="90"/>
      <c r="F215" s="90">
        <v>0.5</v>
      </c>
      <c r="G215" s="90"/>
      <c r="H215" s="90"/>
      <c r="I215" s="90"/>
      <c r="J215" s="90"/>
      <c r="K215" s="90"/>
      <c r="L215" s="90"/>
      <c r="M215" s="90"/>
      <c r="N215" s="90"/>
      <c r="P215" s="90">
        <f t="shared" si="18"/>
        <v>0.5</v>
      </c>
      <c r="Q215" s="90">
        <f>SUM($B215:E215)</f>
        <v>0</v>
      </c>
      <c r="R215" s="89"/>
      <c r="AH215" s="90">
        <f t="shared" si="19"/>
        <v>0</v>
      </c>
      <c r="AI215" s="90">
        <f t="shared" si="20"/>
        <v>0</v>
      </c>
      <c r="AJ215" s="89"/>
      <c r="AZ215" s="90">
        <f t="shared" si="21"/>
        <v>0</v>
      </c>
      <c r="BA215" s="90">
        <f>ROUND(AZ215*IFERROR(VLOOKUP($AK215,'3121% SY'!$A$2:$M$324,13,FALSE),0),3)</f>
        <v>0</v>
      </c>
      <c r="BB215" s="90">
        <f t="shared" si="22"/>
        <v>0</v>
      </c>
      <c r="BC215" s="90">
        <f>ROUND(BB215*IFERROR(VLOOKUP($AK215,'3121% SY'!$A$2:$M$324,13,FALSE),0),3)</f>
        <v>0</v>
      </c>
    </row>
    <row r="216" spans="1:55" x14ac:dyDescent="0.25">
      <c r="A216" s="88" t="s">
        <v>284</v>
      </c>
      <c r="B216" s="90"/>
      <c r="C216" s="90"/>
      <c r="D216" s="90"/>
      <c r="E216" s="90"/>
      <c r="F216" s="90">
        <v>0.34699999999999998</v>
      </c>
      <c r="G216" s="90"/>
      <c r="H216" s="90"/>
      <c r="I216" s="90"/>
      <c r="J216" s="90"/>
      <c r="K216" s="90"/>
      <c r="L216" s="90"/>
      <c r="M216" s="90"/>
      <c r="N216" s="90"/>
      <c r="P216" s="90">
        <f t="shared" si="18"/>
        <v>0.34699999999999998</v>
      </c>
      <c r="Q216" s="90">
        <f>SUM($B216:E216)</f>
        <v>0</v>
      </c>
      <c r="R216" s="89"/>
      <c r="AH216" s="90">
        <f t="shared" si="19"/>
        <v>0</v>
      </c>
      <c r="AI216" s="90">
        <f t="shared" si="20"/>
        <v>0</v>
      </c>
      <c r="AJ216" s="89"/>
      <c r="AZ216" s="90">
        <f t="shared" si="21"/>
        <v>0</v>
      </c>
      <c r="BA216" s="90">
        <f>ROUND(AZ216*IFERROR(VLOOKUP($AK216,'3121% SY'!$A$2:$M$324,13,FALSE),0),3)</f>
        <v>0</v>
      </c>
      <c r="BB216" s="90">
        <f t="shared" si="22"/>
        <v>0</v>
      </c>
      <c r="BC216" s="90">
        <f>ROUND(BB216*IFERROR(VLOOKUP($AK216,'3121% SY'!$A$2:$M$324,13,FALSE),0),3)</f>
        <v>0</v>
      </c>
    </row>
    <row r="217" spans="1:55" x14ac:dyDescent="0.25">
      <c r="A217" s="88" t="s">
        <v>286</v>
      </c>
      <c r="B217" s="90"/>
      <c r="C217" s="90">
        <v>0.14399999999999999</v>
      </c>
      <c r="D217" s="90">
        <v>9.2999999999999999E-2</v>
      </c>
      <c r="E217" s="90"/>
      <c r="F217" s="90"/>
      <c r="G217" s="90"/>
      <c r="H217" s="90"/>
      <c r="I217" s="90"/>
      <c r="J217" s="90"/>
      <c r="K217" s="90"/>
      <c r="L217" s="90"/>
      <c r="M217" s="90">
        <v>0.20399999999999999</v>
      </c>
      <c r="N217" s="90"/>
      <c r="P217" s="90">
        <f t="shared" si="18"/>
        <v>0.20399999999999999</v>
      </c>
      <c r="Q217" s="90">
        <f>SUM($B217:E217)</f>
        <v>0.23699999999999999</v>
      </c>
      <c r="R217" s="89"/>
      <c r="AH217" s="90">
        <f t="shared" si="19"/>
        <v>0</v>
      </c>
      <c r="AI217" s="90">
        <f t="shared" si="20"/>
        <v>0</v>
      </c>
      <c r="AJ217" s="89"/>
      <c r="AZ217" s="90">
        <f t="shared" si="21"/>
        <v>0</v>
      </c>
      <c r="BA217" s="90">
        <f>ROUND(AZ217*IFERROR(VLOOKUP($AK217,'3121% SY'!$A$2:$M$324,13,FALSE),0),3)</f>
        <v>0</v>
      </c>
      <c r="BB217" s="90">
        <f t="shared" si="22"/>
        <v>0</v>
      </c>
      <c r="BC217" s="90">
        <f>ROUND(BB217*IFERROR(VLOOKUP($AK217,'3121% SY'!$A$2:$M$324,13,FALSE),0),3)</f>
        <v>0</v>
      </c>
    </row>
    <row r="218" spans="1:55" x14ac:dyDescent="0.25">
      <c r="A218" s="88" t="s">
        <v>288</v>
      </c>
      <c r="B218" s="90"/>
      <c r="C218" s="90"/>
      <c r="D218" s="90">
        <v>0.113</v>
      </c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P218" s="90">
        <f t="shared" si="18"/>
        <v>0</v>
      </c>
      <c r="Q218" s="90">
        <f>SUM($B218:E218)</f>
        <v>0.113</v>
      </c>
      <c r="R218" s="89"/>
      <c r="AH218" s="90">
        <f t="shared" si="19"/>
        <v>0</v>
      </c>
      <c r="AI218" s="90">
        <f t="shared" si="20"/>
        <v>0</v>
      </c>
      <c r="AJ218" s="89"/>
      <c r="AZ218" s="90">
        <f t="shared" si="21"/>
        <v>0</v>
      </c>
      <c r="BA218" s="90">
        <f>ROUND(AZ218*IFERROR(VLOOKUP($AK218,'3121% SY'!$A$2:$M$324,13,FALSE),0),3)</f>
        <v>0</v>
      </c>
      <c r="BB218" s="90">
        <f t="shared" si="22"/>
        <v>0</v>
      </c>
      <c r="BC218" s="90">
        <f>ROUND(BB218*IFERROR(VLOOKUP($AK218,'3121% SY'!$A$2:$M$324,13,FALSE),0),3)</f>
        <v>0</v>
      </c>
    </row>
    <row r="219" spans="1:55" x14ac:dyDescent="0.25">
      <c r="A219" s="88" t="s">
        <v>289</v>
      </c>
      <c r="B219" s="90"/>
      <c r="C219" s="90"/>
      <c r="D219" s="90"/>
      <c r="E219" s="90"/>
      <c r="F219" s="90">
        <v>0.5</v>
      </c>
      <c r="G219" s="90"/>
      <c r="H219" s="90"/>
      <c r="I219" s="90"/>
      <c r="J219" s="90"/>
      <c r="K219" s="90"/>
      <c r="L219" s="90"/>
      <c r="M219" s="90"/>
      <c r="N219" s="90"/>
      <c r="P219" s="90">
        <f t="shared" si="18"/>
        <v>0.5</v>
      </c>
      <c r="Q219" s="90">
        <f>SUM($B219:E219)</f>
        <v>0</v>
      </c>
      <c r="R219" s="89"/>
      <c r="AH219" s="90">
        <f t="shared" si="19"/>
        <v>0</v>
      </c>
      <c r="AI219" s="90">
        <f t="shared" si="20"/>
        <v>0</v>
      </c>
      <c r="AJ219" s="89"/>
      <c r="AZ219" s="90">
        <f t="shared" si="21"/>
        <v>0</v>
      </c>
      <c r="BA219" s="90">
        <f>ROUND(AZ219*IFERROR(VLOOKUP($AK219,'3121% SY'!$A$2:$M$324,13,FALSE),0),3)</f>
        <v>0</v>
      </c>
      <c r="BB219" s="90">
        <f t="shared" si="22"/>
        <v>0</v>
      </c>
      <c r="BC219" s="90">
        <f>ROUND(BB219*IFERROR(VLOOKUP($AK219,'3121% SY'!$A$2:$M$324,13,FALSE),0),3)</f>
        <v>0</v>
      </c>
    </row>
    <row r="220" spans="1:55" x14ac:dyDescent="0.25">
      <c r="A220" s="88" t="s">
        <v>290</v>
      </c>
      <c r="B220" s="90"/>
      <c r="C220" s="90">
        <v>0.56499999999999995</v>
      </c>
      <c r="D220" s="90"/>
      <c r="E220" s="90"/>
      <c r="F220" s="90">
        <v>0.5</v>
      </c>
      <c r="G220" s="90"/>
      <c r="H220" s="90"/>
      <c r="I220" s="90"/>
      <c r="J220" s="90"/>
      <c r="K220" s="90">
        <v>0.43</v>
      </c>
      <c r="L220" s="90"/>
      <c r="M220" s="90"/>
      <c r="N220" s="90"/>
      <c r="P220" s="90">
        <f t="shared" si="18"/>
        <v>0.92999999999999994</v>
      </c>
      <c r="Q220" s="90">
        <f>SUM($B220:E220)</f>
        <v>0.56499999999999995</v>
      </c>
      <c r="R220" s="89"/>
      <c r="AH220" s="90">
        <f t="shared" si="19"/>
        <v>0</v>
      </c>
      <c r="AI220" s="90">
        <f t="shared" si="20"/>
        <v>0</v>
      </c>
      <c r="AJ220" s="89"/>
      <c r="AZ220" s="90">
        <f t="shared" si="21"/>
        <v>0</v>
      </c>
      <c r="BA220" s="90">
        <f>ROUND(AZ220*IFERROR(VLOOKUP($AK220,'3121% SY'!$A$2:$M$324,13,FALSE),0),3)</f>
        <v>0</v>
      </c>
      <c r="BB220" s="90">
        <f t="shared" si="22"/>
        <v>0</v>
      </c>
      <c r="BC220" s="90">
        <f>ROUND(BB220*IFERROR(VLOOKUP($AK220,'3121% SY'!$A$2:$M$324,13,FALSE),0),3)</f>
        <v>0</v>
      </c>
    </row>
    <row r="221" spans="1:55" x14ac:dyDescent="0.25">
      <c r="A221" s="88" t="s">
        <v>291</v>
      </c>
      <c r="B221" s="90"/>
      <c r="C221" s="90"/>
      <c r="D221" s="90"/>
      <c r="E221" s="90"/>
      <c r="F221" s="90">
        <v>3.66</v>
      </c>
      <c r="G221" s="90"/>
      <c r="H221" s="90"/>
      <c r="I221" s="90"/>
      <c r="J221" s="90"/>
      <c r="K221" s="90">
        <v>4</v>
      </c>
      <c r="L221" s="90"/>
      <c r="M221" s="90"/>
      <c r="N221" s="90"/>
      <c r="P221" s="90">
        <f t="shared" si="18"/>
        <v>7.66</v>
      </c>
      <c r="Q221" s="90">
        <f>SUM($B221:E221)</f>
        <v>0</v>
      </c>
      <c r="R221" s="89"/>
      <c r="AH221" s="90">
        <f t="shared" si="19"/>
        <v>0</v>
      </c>
      <c r="AI221" s="90">
        <f t="shared" si="20"/>
        <v>0</v>
      </c>
      <c r="AJ221" s="89"/>
      <c r="AZ221" s="90">
        <f t="shared" si="21"/>
        <v>0</v>
      </c>
      <c r="BA221" s="90">
        <f>ROUND(AZ221*IFERROR(VLOOKUP($AK221,'3121% SY'!$A$2:$M$324,13,FALSE),0),3)</f>
        <v>0</v>
      </c>
      <c r="BB221" s="90">
        <f t="shared" si="22"/>
        <v>0</v>
      </c>
      <c r="BC221" s="90">
        <f>ROUND(BB221*IFERROR(VLOOKUP($AK221,'3121% SY'!$A$2:$M$324,13,FALSE),0),3)</f>
        <v>0</v>
      </c>
    </row>
    <row r="222" spans="1:55" x14ac:dyDescent="0.25">
      <c r="A222" s="88" t="s">
        <v>292</v>
      </c>
      <c r="B222" s="90"/>
      <c r="C222" s="90"/>
      <c r="D222" s="90"/>
      <c r="E222" s="90"/>
      <c r="F222" s="90">
        <v>2.0009999999999999</v>
      </c>
      <c r="G222" s="90"/>
      <c r="H222" s="90"/>
      <c r="I222" s="90"/>
      <c r="J222" s="90"/>
      <c r="K222" s="90"/>
      <c r="L222" s="90"/>
      <c r="M222" s="90"/>
      <c r="N222" s="90"/>
      <c r="P222" s="90">
        <f t="shared" si="18"/>
        <v>2.0009999999999999</v>
      </c>
      <c r="Q222" s="90">
        <f>SUM($B222:E222)</f>
        <v>0</v>
      </c>
      <c r="R222" s="89"/>
      <c r="AH222" s="90">
        <f t="shared" si="19"/>
        <v>0</v>
      </c>
      <c r="AI222" s="90">
        <f t="shared" si="20"/>
        <v>0</v>
      </c>
      <c r="AJ222" s="89"/>
      <c r="AZ222" s="90">
        <f t="shared" si="21"/>
        <v>0</v>
      </c>
      <c r="BA222" s="90">
        <f>ROUND(AZ222*IFERROR(VLOOKUP($AK222,'3121% SY'!$A$2:$M$324,13,FALSE),0),3)</f>
        <v>0</v>
      </c>
      <c r="BB222" s="90">
        <f t="shared" si="22"/>
        <v>0</v>
      </c>
      <c r="BC222" s="90">
        <f>ROUND(BB222*IFERROR(VLOOKUP($AK222,'3121% SY'!$A$2:$M$324,13,FALSE),0),3)</f>
        <v>0</v>
      </c>
    </row>
    <row r="223" spans="1:55" x14ac:dyDescent="0.25">
      <c r="A223" s="88" t="s">
        <v>293</v>
      </c>
      <c r="B223" s="90"/>
      <c r="C223" s="90"/>
      <c r="D223" s="90"/>
      <c r="E223" s="90"/>
      <c r="F223" s="90">
        <v>2.4</v>
      </c>
      <c r="G223" s="90"/>
      <c r="H223" s="90"/>
      <c r="I223" s="90"/>
      <c r="J223" s="90"/>
      <c r="K223" s="90"/>
      <c r="L223" s="90"/>
      <c r="M223" s="90"/>
      <c r="N223" s="90"/>
      <c r="P223" s="90">
        <f t="shared" si="18"/>
        <v>2.4</v>
      </c>
      <c r="Q223" s="90">
        <f>SUM($B223:E223)</f>
        <v>0</v>
      </c>
      <c r="R223" s="89"/>
      <c r="AH223" s="90">
        <f t="shared" si="19"/>
        <v>0</v>
      </c>
      <c r="AI223" s="90">
        <f t="shared" si="20"/>
        <v>0</v>
      </c>
      <c r="AJ223" s="89"/>
      <c r="AZ223" s="90">
        <f t="shared" si="21"/>
        <v>0</v>
      </c>
      <c r="BA223" s="90">
        <f>ROUND(AZ223*IFERROR(VLOOKUP($AK223,'3121% SY'!$A$2:$M$324,13,FALSE),0),3)</f>
        <v>0</v>
      </c>
      <c r="BB223" s="90">
        <f t="shared" si="22"/>
        <v>0</v>
      </c>
      <c r="BC223" s="90">
        <f>ROUND(BB223*IFERROR(VLOOKUP($AK223,'3121% SY'!$A$2:$M$324,13,FALSE),0),3)</f>
        <v>0</v>
      </c>
    </row>
    <row r="224" spans="1:55" x14ac:dyDescent="0.25">
      <c r="A224" s="88" t="s">
        <v>295</v>
      </c>
      <c r="B224" s="90"/>
      <c r="C224" s="90">
        <v>1.3919999999999999</v>
      </c>
      <c r="D224" s="90"/>
      <c r="E224" s="90"/>
      <c r="F224" s="90">
        <v>2.7</v>
      </c>
      <c r="G224" s="90"/>
      <c r="H224" s="90"/>
      <c r="I224" s="90"/>
      <c r="J224" s="90"/>
      <c r="K224" s="90">
        <v>1</v>
      </c>
      <c r="L224" s="90"/>
      <c r="M224" s="90"/>
      <c r="N224" s="90"/>
      <c r="P224" s="90">
        <f t="shared" si="18"/>
        <v>3.7</v>
      </c>
      <c r="Q224" s="90">
        <f>SUM($B224:E224)</f>
        <v>1.3919999999999999</v>
      </c>
      <c r="R224" s="89"/>
      <c r="AH224" s="90">
        <f t="shared" si="19"/>
        <v>0</v>
      </c>
      <c r="AI224" s="90">
        <f t="shared" si="20"/>
        <v>0</v>
      </c>
      <c r="AJ224" s="89"/>
      <c r="AZ224" s="90">
        <f t="shared" si="21"/>
        <v>0</v>
      </c>
      <c r="BA224" s="90">
        <f>ROUND(AZ224*IFERROR(VLOOKUP($AK224,'3121% SY'!$A$2:$M$324,13,FALSE),0),3)</f>
        <v>0</v>
      </c>
      <c r="BB224" s="90">
        <f t="shared" si="22"/>
        <v>0</v>
      </c>
      <c r="BC224" s="90">
        <f>ROUND(BB224*IFERROR(VLOOKUP($AK224,'3121% SY'!$A$2:$M$324,13,FALSE),0),3)</f>
        <v>0</v>
      </c>
    </row>
    <row r="225" spans="1:55" x14ac:dyDescent="0.25">
      <c r="A225" s="88" t="s">
        <v>296</v>
      </c>
      <c r="B225" s="90"/>
      <c r="C225" s="90"/>
      <c r="D225" s="90"/>
      <c r="E225" s="90"/>
      <c r="F225" s="90">
        <v>5</v>
      </c>
      <c r="G225" s="90"/>
      <c r="H225" s="90"/>
      <c r="I225" s="90"/>
      <c r="J225" s="90"/>
      <c r="K225" s="90">
        <v>2</v>
      </c>
      <c r="L225" s="90"/>
      <c r="M225" s="90"/>
      <c r="N225" s="90"/>
      <c r="P225" s="90">
        <f t="shared" si="18"/>
        <v>7</v>
      </c>
      <c r="Q225" s="90">
        <f>SUM($B225:E225)</f>
        <v>0</v>
      </c>
      <c r="R225" s="89"/>
      <c r="AH225" s="90">
        <f t="shared" si="19"/>
        <v>0</v>
      </c>
      <c r="AI225" s="90">
        <f t="shared" si="20"/>
        <v>0</v>
      </c>
      <c r="AJ225" s="89"/>
      <c r="AZ225" s="90">
        <f t="shared" si="21"/>
        <v>0</v>
      </c>
      <c r="BA225" s="90">
        <f>ROUND(AZ225*IFERROR(VLOOKUP($AK225,'3121% SY'!$A$2:$M$324,13,FALSE),0),3)</f>
        <v>0</v>
      </c>
      <c r="BB225" s="90">
        <f t="shared" si="22"/>
        <v>0</v>
      </c>
      <c r="BC225" s="90">
        <f>ROUND(BB225*IFERROR(VLOOKUP($AK225,'3121% SY'!$A$2:$M$324,13,FALSE),0),3)</f>
        <v>0</v>
      </c>
    </row>
    <row r="226" spans="1:55" x14ac:dyDescent="0.25">
      <c r="A226" s="88" t="s">
        <v>297</v>
      </c>
      <c r="B226" s="90"/>
      <c r="C226" s="90"/>
      <c r="D226" s="90">
        <v>0.63900000000000001</v>
      </c>
      <c r="E226" s="90"/>
      <c r="F226" s="90">
        <v>0.75</v>
      </c>
      <c r="G226" s="90"/>
      <c r="H226" s="90"/>
      <c r="I226" s="90"/>
      <c r="J226" s="90"/>
      <c r="K226" s="90"/>
      <c r="L226" s="90"/>
      <c r="M226" s="90"/>
      <c r="N226" s="90"/>
      <c r="P226" s="90">
        <f t="shared" si="18"/>
        <v>0.75</v>
      </c>
      <c r="Q226" s="90">
        <f>SUM($B226:E226)</f>
        <v>0.63900000000000001</v>
      </c>
      <c r="R226" s="89"/>
      <c r="AH226" s="90">
        <f t="shared" si="19"/>
        <v>0</v>
      </c>
      <c r="AI226" s="90">
        <f t="shared" si="20"/>
        <v>0</v>
      </c>
      <c r="AJ226" s="89"/>
      <c r="AZ226" s="90">
        <f t="shared" si="21"/>
        <v>0</v>
      </c>
      <c r="BA226" s="90">
        <f>ROUND(AZ226*IFERROR(VLOOKUP($AK226,'3121% SY'!$A$2:$M$324,13,FALSE),0),3)</f>
        <v>0</v>
      </c>
      <c r="BB226" s="90">
        <f t="shared" si="22"/>
        <v>0</v>
      </c>
      <c r="BC226" s="90">
        <f>ROUND(BB226*IFERROR(VLOOKUP($AK226,'3121% SY'!$A$2:$M$324,13,FALSE),0),3)</f>
        <v>0</v>
      </c>
    </row>
    <row r="227" spans="1:55" x14ac:dyDescent="0.25">
      <c r="A227" s="88" t="s">
        <v>298</v>
      </c>
      <c r="B227" s="90"/>
      <c r="C227" s="90"/>
      <c r="D227" s="90"/>
      <c r="E227" s="90"/>
      <c r="F227" s="90">
        <v>1</v>
      </c>
      <c r="G227" s="90"/>
      <c r="H227" s="90"/>
      <c r="I227" s="90"/>
      <c r="J227" s="90"/>
      <c r="K227" s="90"/>
      <c r="L227" s="90"/>
      <c r="M227" s="90"/>
      <c r="N227" s="90"/>
      <c r="P227" s="90">
        <f t="shared" si="18"/>
        <v>1</v>
      </c>
      <c r="Q227" s="90">
        <f>SUM($B227:E227)</f>
        <v>0</v>
      </c>
      <c r="R227" s="89"/>
      <c r="AH227" s="90">
        <f t="shared" si="19"/>
        <v>0</v>
      </c>
      <c r="AI227" s="90">
        <f t="shared" si="20"/>
        <v>0</v>
      </c>
      <c r="AJ227" s="89"/>
      <c r="AZ227" s="90">
        <f t="shared" si="21"/>
        <v>0</v>
      </c>
      <c r="BA227" s="90">
        <f>ROUND(AZ227*IFERROR(VLOOKUP($AK227,'3121% SY'!$A$2:$M$324,13,FALSE),0),3)</f>
        <v>0</v>
      </c>
      <c r="BB227" s="90">
        <f t="shared" si="22"/>
        <v>0</v>
      </c>
      <c r="BC227" s="90">
        <f>ROUND(BB227*IFERROR(VLOOKUP($AK227,'3121% SY'!$A$2:$M$324,13,FALSE),0),3)</f>
        <v>0</v>
      </c>
    </row>
    <row r="228" spans="1:55" x14ac:dyDescent="0.25">
      <c r="A228" s="88" t="s">
        <v>299</v>
      </c>
      <c r="B228" s="90"/>
      <c r="C228" s="90"/>
      <c r="D228" s="90"/>
      <c r="E228" s="90"/>
      <c r="F228" s="90">
        <v>1</v>
      </c>
      <c r="G228" s="90"/>
      <c r="H228" s="90"/>
      <c r="I228" s="90"/>
      <c r="J228" s="90"/>
      <c r="K228" s="90"/>
      <c r="L228" s="90"/>
      <c r="M228" s="90"/>
      <c r="N228" s="90"/>
      <c r="P228" s="90">
        <f t="shared" si="18"/>
        <v>1</v>
      </c>
      <c r="Q228" s="90">
        <f>SUM($B228:E228)</f>
        <v>0</v>
      </c>
      <c r="R228" s="89"/>
      <c r="AH228" s="90">
        <f t="shared" si="19"/>
        <v>0</v>
      </c>
      <c r="AI228" s="90">
        <f t="shared" si="20"/>
        <v>0</v>
      </c>
      <c r="AJ228" s="89"/>
      <c r="AZ228" s="90">
        <f t="shared" si="21"/>
        <v>0</v>
      </c>
      <c r="BA228" s="90">
        <f>ROUND(AZ228*IFERROR(VLOOKUP($AK228,'3121% SY'!$A$2:$M$324,13,FALSE),0),3)</f>
        <v>0</v>
      </c>
      <c r="BB228" s="90">
        <f t="shared" si="22"/>
        <v>0</v>
      </c>
      <c r="BC228" s="90">
        <f>ROUND(BB228*IFERROR(VLOOKUP($AK228,'3121% SY'!$A$2:$M$324,13,FALSE),0),3)</f>
        <v>0</v>
      </c>
    </row>
    <row r="229" spans="1:55" x14ac:dyDescent="0.25">
      <c r="A229" s="88" t="s">
        <v>300</v>
      </c>
      <c r="B229" s="90"/>
      <c r="C229" s="90"/>
      <c r="D229" s="90">
        <v>0.161</v>
      </c>
      <c r="E229" s="90"/>
      <c r="F229" s="90">
        <v>0.8</v>
      </c>
      <c r="G229" s="90"/>
      <c r="H229" s="90"/>
      <c r="I229" s="90"/>
      <c r="J229" s="90"/>
      <c r="K229" s="90">
        <v>0.5</v>
      </c>
      <c r="L229" s="90"/>
      <c r="M229" s="90"/>
      <c r="N229" s="90"/>
      <c r="P229" s="90">
        <f t="shared" si="18"/>
        <v>1.3</v>
      </c>
      <c r="Q229" s="90">
        <f>SUM($B229:E229)</f>
        <v>0.161</v>
      </c>
      <c r="R229" s="89"/>
      <c r="AH229" s="90">
        <f t="shared" si="19"/>
        <v>0</v>
      </c>
      <c r="AI229" s="90">
        <f t="shared" si="20"/>
        <v>0</v>
      </c>
      <c r="AJ229" s="89"/>
      <c r="AZ229" s="90">
        <f t="shared" si="21"/>
        <v>0</v>
      </c>
      <c r="BA229" s="90">
        <f>ROUND(AZ229*IFERROR(VLOOKUP($AK229,'3121% SY'!$A$2:$M$324,13,FALSE),0),3)</f>
        <v>0</v>
      </c>
      <c r="BB229" s="90">
        <f t="shared" si="22"/>
        <v>0</v>
      </c>
      <c r="BC229" s="90">
        <f>ROUND(BB229*IFERROR(VLOOKUP($AK229,'3121% SY'!$A$2:$M$324,13,FALSE),0),3)</f>
        <v>0</v>
      </c>
    </row>
    <row r="230" spans="1:55" x14ac:dyDescent="0.25">
      <c r="A230" s="88" t="s">
        <v>301</v>
      </c>
      <c r="B230" s="90"/>
      <c r="C230" s="90"/>
      <c r="D230" s="90"/>
      <c r="E230" s="90"/>
      <c r="F230" s="90">
        <v>2.5550000000000002</v>
      </c>
      <c r="G230" s="90"/>
      <c r="H230" s="90"/>
      <c r="I230" s="90"/>
      <c r="J230" s="90"/>
      <c r="K230" s="90"/>
      <c r="L230" s="90"/>
      <c r="M230" s="90"/>
      <c r="N230" s="90"/>
      <c r="P230" s="90">
        <f t="shared" si="18"/>
        <v>2.5550000000000002</v>
      </c>
      <c r="Q230" s="90">
        <f>SUM($B230:E230)</f>
        <v>0</v>
      </c>
      <c r="R230" s="89"/>
      <c r="AH230" s="90">
        <f t="shared" si="19"/>
        <v>0</v>
      </c>
      <c r="AI230" s="90">
        <f t="shared" si="20"/>
        <v>0</v>
      </c>
      <c r="AJ230" s="89"/>
      <c r="AZ230" s="90">
        <f t="shared" si="21"/>
        <v>0</v>
      </c>
      <c r="BA230" s="90">
        <f>ROUND(AZ230*IFERROR(VLOOKUP($AK230,'3121% SY'!$A$2:$M$324,13,FALSE),0),3)</f>
        <v>0</v>
      </c>
      <c r="BB230" s="90">
        <f t="shared" si="22"/>
        <v>0</v>
      </c>
      <c r="BC230" s="90">
        <f>ROUND(BB230*IFERROR(VLOOKUP($AK230,'3121% SY'!$A$2:$M$324,13,FALSE),0),3)</f>
        <v>0</v>
      </c>
    </row>
    <row r="231" spans="1:55" x14ac:dyDescent="0.25">
      <c r="A231" s="88" t="s">
        <v>302</v>
      </c>
      <c r="B231" s="90"/>
      <c r="C231" s="90"/>
      <c r="D231" s="90"/>
      <c r="E231" s="90"/>
      <c r="F231" s="90">
        <v>2.6</v>
      </c>
      <c r="G231" s="90"/>
      <c r="H231" s="90"/>
      <c r="I231" s="90"/>
      <c r="J231" s="90"/>
      <c r="K231" s="90"/>
      <c r="L231" s="90"/>
      <c r="M231" s="90"/>
      <c r="N231" s="90"/>
      <c r="P231" s="90">
        <f t="shared" si="18"/>
        <v>2.6</v>
      </c>
      <c r="Q231" s="90">
        <f>SUM($B231:E231)</f>
        <v>0</v>
      </c>
      <c r="R231" s="89"/>
      <c r="AH231" s="90">
        <f t="shared" si="19"/>
        <v>0</v>
      </c>
      <c r="AI231" s="90">
        <f t="shared" si="20"/>
        <v>0</v>
      </c>
      <c r="AJ231" s="89"/>
      <c r="AZ231" s="90">
        <f t="shared" si="21"/>
        <v>0</v>
      </c>
      <c r="BA231" s="90">
        <f>ROUND(AZ231*IFERROR(VLOOKUP($AK231,'3121% SY'!$A$2:$M$324,13,FALSE),0),3)</f>
        <v>0</v>
      </c>
      <c r="BB231" s="90">
        <f t="shared" si="22"/>
        <v>0</v>
      </c>
      <c r="BC231" s="90">
        <f>ROUND(BB231*IFERROR(VLOOKUP($AK231,'3121% SY'!$A$2:$M$324,13,FALSE),0),3)</f>
        <v>0</v>
      </c>
    </row>
    <row r="232" spans="1:55" x14ac:dyDescent="0.25">
      <c r="A232" s="88" t="s">
        <v>303</v>
      </c>
      <c r="B232" s="90"/>
      <c r="C232" s="90"/>
      <c r="D232" s="90">
        <v>0.63900000000000001</v>
      </c>
      <c r="E232" s="90"/>
      <c r="F232" s="90">
        <v>0.22</v>
      </c>
      <c r="G232" s="90"/>
      <c r="H232" s="90"/>
      <c r="I232" s="90"/>
      <c r="J232" s="90"/>
      <c r="K232" s="90"/>
      <c r="L232" s="90"/>
      <c r="M232" s="90"/>
      <c r="N232" s="90"/>
      <c r="P232" s="90">
        <f t="shared" si="18"/>
        <v>0.22</v>
      </c>
      <c r="Q232" s="90">
        <f>SUM($B232:E232)</f>
        <v>0.63900000000000001</v>
      </c>
      <c r="R232" s="89"/>
      <c r="AH232" s="90">
        <f t="shared" si="19"/>
        <v>0</v>
      </c>
      <c r="AI232" s="90">
        <f t="shared" si="20"/>
        <v>0</v>
      </c>
      <c r="AJ232" s="89"/>
      <c r="AZ232" s="90">
        <f t="shared" si="21"/>
        <v>0</v>
      </c>
      <c r="BA232" s="90">
        <f>ROUND(AZ232*IFERROR(VLOOKUP($AK232,'3121% SY'!$A$2:$M$324,13,FALSE),0),3)</f>
        <v>0</v>
      </c>
      <c r="BB232" s="90">
        <f t="shared" si="22"/>
        <v>0</v>
      </c>
      <c r="BC232" s="90">
        <f>ROUND(BB232*IFERROR(VLOOKUP($AK232,'3121% SY'!$A$2:$M$324,13,FALSE),0),3)</f>
        <v>0</v>
      </c>
    </row>
    <row r="233" spans="1:55" x14ac:dyDescent="0.25">
      <c r="A233" s="88" t="s">
        <v>753</v>
      </c>
      <c r="B233" s="90">
        <v>4.1659999999999995</v>
      </c>
      <c r="C233" s="90">
        <v>22.510999999999996</v>
      </c>
      <c r="D233" s="90">
        <v>39.970000000000006</v>
      </c>
      <c r="E233" s="90">
        <v>17.316999999999997</v>
      </c>
      <c r="F233" s="90">
        <v>511.82900000000006</v>
      </c>
      <c r="G233" s="90">
        <v>0.379</v>
      </c>
      <c r="H233" s="90">
        <v>28.923999999999999</v>
      </c>
      <c r="I233" s="90">
        <v>0.66800000000000015</v>
      </c>
      <c r="J233" s="90">
        <v>10.061</v>
      </c>
      <c r="K233" s="90">
        <v>102.19700000000005</v>
      </c>
      <c r="L233" s="90">
        <v>9.9000000000000005E-2</v>
      </c>
      <c r="M233" s="90">
        <v>1.04</v>
      </c>
      <c r="N233" s="90">
        <v>0.249</v>
      </c>
      <c r="P233" s="90">
        <f t="shared" si="18"/>
        <v>655.44600000000014</v>
      </c>
      <c r="Q233" s="90">
        <f>SUM($B233:E233)</f>
        <v>83.963999999999999</v>
      </c>
      <c r="R233" s="89"/>
      <c r="AH233" s="90">
        <f t="shared" si="19"/>
        <v>0</v>
      </c>
      <c r="AI233" s="90">
        <f t="shared" si="20"/>
        <v>0</v>
      </c>
      <c r="AJ233" s="89"/>
      <c r="AZ233" s="90">
        <f t="shared" si="21"/>
        <v>0</v>
      </c>
      <c r="BA233" s="90">
        <f>ROUND(AZ233*IFERROR(VLOOKUP($AK233,'3121% SY'!$A$2:$M$324,13,FALSE),0),3)</f>
        <v>0</v>
      </c>
      <c r="BB233" s="90">
        <f t="shared" si="22"/>
        <v>0</v>
      </c>
      <c r="BC233" s="90">
        <f>ROUND(BB233*IFERROR(VLOOKUP($AK233,'3121% SY'!$A$2:$M$324,13,FALSE),0),3)</f>
        <v>0</v>
      </c>
    </row>
    <row r="234" spans="1:55" x14ac:dyDescent="0.25">
      <c r="P234" s="90">
        <f t="shared" si="18"/>
        <v>0</v>
      </c>
      <c r="Q234" s="90">
        <f>SUM($B234:E234)</f>
        <v>0</v>
      </c>
      <c r="R234" s="89"/>
      <c r="AH234" s="90">
        <f t="shared" si="19"/>
        <v>0</v>
      </c>
      <c r="AI234" s="90">
        <f t="shared" si="20"/>
        <v>0</v>
      </c>
      <c r="AJ234" s="89"/>
      <c r="AZ234" s="90">
        <f t="shared" si="21"/>
        <v>0</v>
      </c>
      <c r="BA234" s="90">
        <f>ROUND(AZ234*IFERROR(VLOOKUP($AK234,'3121% SY'!$A$2:$M$324,13,FALSE),0),3)</f>
        <v>0</v>
      </c>
      <c r="BB234" s="90">
        <f t="shared" si="22"/>
        <v>0</v>
      </c>
      <c r="BC234" s="90">
        <f>ROUND(BB234*IFERROR(VLOOKUP($AK234,'3121% SY'!$A$2:$M$324,13,FALSE),0),3)</f>
        <v>0</v>
      </c>
    </row>
    <row r="235" spans="1:55" x14ac:dyDescent="0.25">
      <c r="P235" s="90">
        <f t="shared" si="18"/>
        <v>0</v>
      </c>
      <c r="Q235" s="90">
        <f>SUM($B235:E235)</f>
        <v>0</v>
      </c>
      <c r="R235" s="89"/>
      <c r="AH235" s="90">
        <f t="shared" si="19"/>
        <v>0</v>
      </c>
      <c r="AI235" s="90">
        <f t="shared" si="20"/>
        <v>0</v>
      </c>
      <c r="AJ235" s="89"/>
      <c r="AZ235" s="90">
        <f t="shared" si="21"/>
        <v>0</v>
      </c>
      <c r="BA235" s="90">
        <f>ROUND(AZ235*IFERROR(VLOOKUP($AK235,'3121% SY'!$A$2:$M$324,13,FALSE),0),3)</f>
        <v>0</v>
      </c>
      <c r="BB235" s="90">
        <f t="shared" si="22"/>
        <v>0</v>
      </c>
      <c r="BC235" s="90">
        <f>ROUND(BB235*IFERROR(VLOOKUP($AK235,'3121% SY'!$A$2:$M$324,13,FALSE),0),3)</f>
        <v>0</v>
      </c>
    </row>
    <row r="236" spans="1:55" x14ac:dyDescent="0.25">
      <c r="P236" s="90">
        <f t="shared" si="18"/>
        <v>0</v>
      </c>
      <c r="Q236" s="90">
        <f>SUM($B236:E236)</f>
        <v>0</v>
      </c>
      <c r="R236" s="89"/>
      <c r="AH236" s="90">
        <f t="shared" si="19"/>
        <v>0</v>
      </c>
      <c r="AI236" s="90">
        <f t="shared" si="20"/>
        <v>0</v>
      </c>
      <c r="AJ236" s="89"/>
      <c r="AZ236" s="90">
        <f t="shared" si="21"/>
        <v>0</v>
      </c>
      <c r="BA236" s="90">
        <f>ROUND(AZ236*IFERROR(VLOOKUP($AK236,'3121% SY'!$A$2:$M$324,13,FALSE),0),3)</f>
        <v>0</v>
      </c>
      <c r="BB236" s="90">
        <f t="shared" si="22"/>
        <v>0</v>
      </c>
      <c r="BC236" s="90">
        <f>ROUND(BB236*IFERROR(VLOOKUP($AK236,'3121% SY'!$A$2:$M$324,13,FALSE),0),3)</f>
        <v>0</v>
      </c>
    </row>
    <row r="237" spans="1:55" x14ac:dyDescent="0.25">
      <c r="P237" s="90">
        <f t="shared" si="18"/>
        <v>0</v>
      </c>
      <c r="Q237" s="90">
        <f>SUM($B237:E237)</f>
        <v>0</v>
      </c>
      <c r="R237" s="89"/>
      <c r="AH237" s="90">
        <f t="shared" si="19"/>
        <v>0</v>
      </c>
      <c r="AI237" s="90">
        <f t="shared" si="20"/>
        <v>0</v>
      </c>
      <c r="AJ237" s="89"/>
      <c r="AZ237" s="90">
        <f t="shared" si="21"/>
        <v>0</v>
      </c>
      <c r="BA237" s="90">
        <f>ROUND(AZ237*IFERROR(VLOOKUP($AK237,'3121% SY'!$A$2:$M$324,13,FALSE),0),3)</f>
        <v>0</v>
      </c>
      <c r="BB237" s="90">
        <f t="shared" si="22"/>
        <v>0</v>
      </c>
      <c r="BC237" s="90">
        <f>ROUND(BB237*IFERROR(VLOOKUP($AK237,'3121% SY'!$A$2:$M$324,13,FALSE),0),3)</f>
        <v>0</v>
      </c>
    </row>
    <row r="238" spans="1:55" x14ac:dyDescent="0.25">
      <c r="P238" s="90">
        <f t="shared" si="18"/>
        <v>0</v>
      </c>
      <c r="Q238" s="90">
        <f>SUM($B238:E238)</f>
        <v>0</v>
      </c>
      <c r="R238" s="89"/>
      <c r="AH238" s="90">
        <f t="shared" si="19"/>
        <v>0</v>
      </c>
      <c r="AI238" s="90">
        <f t="shared" si="20"/>
        <v>0</v>
      </c>
      <c r="AJ238" s="89"/>
      <c r="AZ238" s="90">
        <f t="shared" si="21"/>
        <v>0</v>
      </c>
      <c r="BA238" s="90">
        <f>ROUND(AZ238*IFERROR(VLOOKUP($AK238,'3121% SY'!$A$2:$M$324,13,FALSE),0),3)</f>
        <v>0</v>
      </c>
      <c r="BB238" s="90">
        <f t="shared" si="22"/>
        <v>0</v>
      </c>
      <c r="BC238" s="90">
        <f>ROUND(BB238*IFERROR(VLOOKUP($AK238,'3121% SY'!$A$2:$M$324,13,FALSE),0),3)</f>
        <v>0</v>
      </c>
    </row>
    <row r="239" spans="1:55" x14ac:dyDescent="0.25">
      <c r="P239" s="90">
        <f t="shared" si="18"/>
        <v>0</v>
      </c>
      <c r="Q239" s="90">
        <f>SUM($B239:E239)</f>
        <v>0</v>
      </c>
      <c r="R239" s="89"/>
      <c r="AH239" s="90">
        <f t="shared" si="19"/>
        <v>0</v>
      </c>
      <c r="AI239" s="90">
        <f t="shared" si="20"/>
        <v>0</v>
      </c>
      <c r="AJ239" s="89"/>
      <c r="AZ239" s="90">
        <f t="shared" si="21"/>
        <v>0</v>
      </c>
      <c r="BA239" s="90">
        <f>ROUND(AZ239*IFERROR(VLOOKUP($AK239,'3121% SY'!$A$2:$M$324,13,FALSE),0),3)</f>
        <v>0</v>
      </c>
      <c r="BB239" s="90">
        <f t="shared" si="22"/>
        <v>0</v>
      </c>
      <c r="BC239" s="90">
        <f>ROUND(BB239*IFERROR(VLOOKUP($AK239,'3121% SY'!$A$2:$M$324,13,FALSE),0),3)</f>
        <v>0</v>
      </c>
    </row>
    <row r="240" spans="1:55" x14ac:dyDescent="0.25">
      <c r="P240" s="90">
        <f t="shared" si="18"/>
        <v>0</v>
      </c>
      <c r="Q240" s="90">
        <f>SUM($B240:E240)</f>
        <v>0</v>
      </c>
      <c r="R240" s="89"/>
      <c r="AH240" s="90">
        <f t="shared" si="19"/>
        <v>0</v>
      </c>
      <c r="AI240" s="90">
        <f t="shared" si="20"/>
        <v>0</v>
      </c>
      <c r="AJ240" s="89"/>
      <c r="AZ240" s="90">
        <f t="shared" si="21"/>
        <v>0</v>
      </c>
      <c r="BA240" s="90">
        <f>ROUND(AZ240*IFERROR(VLOOKUP($AK240,'3121% SY'!$A$2:$M$324,13,FALSE),0),3)</f>
        <v>0</v>
      </c>
      <c r="BB240" s="90">
        <f t="shared" si="22"/>
        <v>0</v>
      </c>
      <c r="BC240" s="90">
        <f>ROUND(BB240*IFERROR(VLOOKUP($AK240,'3121% SY'!$A$2:$M$324,13,FALSE),0),3)</f>
        <v>0</v>
      </c>
    </row>
    <row r="241" spans="16:55" x14ac:dyDescent="0.25">
      <c r="P241" s="90">
        <f t="shared" si="18"/>
        <v>0</v>
      </c>
      <c r="Q241" s="90">
        <f>SUM($B241:E241)</f>
        <v>0</v>
      </c>
      <c r="R241" s="89"/>
      <c r="AH241" s="90">
        <f t="shared" si="19"/>
        <v>0</v>
      </c>
      <c r="AI241" s="90">
        <f t="shared" si="20"/>
        <v>0</v>
      </c>
      <c r="AJ241" s="89"/>
      <c r="AZ241" s="90">
        <f t="shared" si="21"/>
        <v>0</v>
      </c>
      <c r="BA241" s="90">
        <f>ROUND(AZ241*IFERROR(VLOOKUP($AK241,'3121% SY'!$A$2:$M$324,13,FALSE),0),3)</f>
        <v>0</v>
      </c>
      <c r="BB241" s="90">
        <f t="shared" si="22"/>
        <v>0</v>
      </c>
      <c r="BC241" s="90">
        <f>ROUND(BB241*IFERROR(VLOOKUP($AK241,'3121% SY'!$A$2:$M$324,13,FALSE),0),3)</f>
        <v>0</v>
      </c>
    </row>
    <row r="242" spans="16:55" x14ac:dyDescent="0.25">
      <c r="P242" s="90">
        <f t="shared" si="18"/>
        <v>0</v>
      </c>
      <c r="Q242" s="90">
        <f>SUM($B242:E242)</f>
        <v>0</v>
      </c>
      <c r="R242" s="89"/>
      <c r="AH242" s="90">
        <f t="shared" si="19"/>
        <v>0</v>
      </c>
      <c r="AI242" s="90">
        <f t="shared" si="20"/>
        <v>0</v>
      </c>
      <c r="AJ242" s="89"/>
      <c r="AZ242" s="90">
        <f t="shared" si="21"/>
        <v>0</v>
      </c>
      <c r="BA242" s="90">
        <f>ROUND(AZ242*IFERROR(VLOOKUP($AK242,'3121% SY'!$A$2:$M$324,13,FALSE),0),3)</f>
        <v>0</v>
      </c>
      <c r="BB242" s="90">
        <f t="shared" si="22"/>
        <v>0</v>
      </c>
      <c r="BC242" s="90">
        <f>ROUND(BB242*IFERROR(VLOOKUP($AK242,'3121% SY'!$A$2:$M$324,13,FALSE),0),3)</f>
        <v>0</v>
      </c>
    </row>
    <row r="243" spans="16:55" x14ac:dyDescent="0.25">
      <c r="P243" s="90">
        <f t="shared" si="18"/>
        <v>0</v>
      </c>
      <c r="Q243" s="90">
        <f>SUM($B243:E243)</f>
        <v>0</v>
      </c>
      <c r="R243" s="89"/>
      <c r="AH243" s="90">
        <f t="shared" si="19"/>
        <v>0</v>
      </c>
      <c r="AI243" s="90">
        <f t="shared" si="20"/>
        <v>0</v>
      </c>
      <c r="AJ243" s="89"/>
      <c r="AZ243" s="90">
        <f t="shared" si="21"/>
        <v>0</v>
      </c>
      <c r="BA243" s="90">
        <f>ROUND(AZ243*IFERROR(VLOOKUP($AK243,'3121% SY'!$A$2:$M$324,13,FALSE),0),3)</f>
        <v>0</v>
      </c>
      <c r="BB243" s="90">
        <f t="shared" si="22"/>
        <v>0</v>
      </c>
      <c r="BC243" s="90">
        <f>ROUND(BB243*IFERROR(VLOOKUP($AK243,'3121% SY'!$A$2:$M$324,13,FALSE),0),3)</f>
        <v>0</v>
      </c>
    </row>
    <row r="244" spans="16:55" x14ac:dyDescent="0.25">
      <c r="P244" s="90">
        <f t="shared" si="18"/>
        <v>0</v>
      </c>
      <c r="Q244" s="90">
        <f>SUM($B244:E244)</f>
        <v>0</v>
      </c>
      <c r="R244" s="89"/>
      <c r="AH244" s="90">
        <f t="shared" si="19"/>
        <v>0</v>
      </c>
      <c r="AI244" s="90">
        <f t="shared" si="20"/>
        <v>0</v>
      </c>
      <c r="AJ244" s="89"/>
      <c r="AZ244" s="90">
        <f t="shared" si="21"/>
        <v>0</v>
      </c>
      <c r="BA244" s="90">
        <f>ROUND(AZ244*IFERROR(VLOOKUP($AK244,'3121% SY'!$A$2:$M$324,13,FALSE),0),3)</f>
        <v>0</v>
      </c>
      <c r="BB244" s="90">
        <f t="shared" si="22"/>
        <v>0</v>
      </c>
      <c r="BC244" s="90">
        <f>ROUND(BB244*IFERROR(VLOOKUP($AK244,'3121% SY'!$A$2:$M$324,13,FALSE),0),3)</f>
        <v>0</v>
      </c>
    </row>
    <row r="245" spans="16:55" x14ac:dyDescent="0.25">
      <c r="P245" s="90">
        <f t="shared" si="18"/>
        <v>0</v>
      </c>
      <c r="Q245" s="90">
        <f>SUM($B245:E245)</f>
        <v>0</v>
      </c>
      <c r="R245" s="89"/>
      <c r="AH245" s="90">
        <f t="shared" si="19"/>
        <v>0</v>
      </c>
      <c r="AI245" s="90">
        <f t="shared" si="20"/>
        <v>0</v>
      </c>
      <c r="AJ245" s="89"/>
      <c r="AZ245" s="90">
        <f t="shared" si="21"/>
        <v>0</v>
      </c>
      <c r="BA245" s="90">
        <f>ROUND(AZ245*IFERROR(VLOOKUP($AK245,'3121% SY'!$A$2:$M$324,13,FALSE),0),3)</f>
        <v>0</v>
      </c>
      <c r="BB245" s="90">
        <f t="shared" si="22"/>
        <v>0</v>
      </c>
      <c r="BC245" s="90">
        <f>ROUND(BB245*IFERROR(VLOOKUP($AK245,'3121% SY'!$A$2:$M$324,13,FALSE),0),3)</f>
        <v>0</v>
      </c>
    </row>
    <row r="246" spans="16:55" x14ac:dyDescent="0.25">
      <c r="P246" s="90">
        <f t="shared" si="18"/>
        <v>0</v>
      </c>
      <c r="Q246" s="90">
        <f>SUM($B246:E246)</f>
        <v>0</v>
      </c>
      <c r="R246" s="89"/>
      <c r="AH246" s="90">
        <f t="shared" si="19"/>
        <v>0</v>
      </c>
      <c r="AI246" s="90">
        <f t="shared" si="20"/>
        <v>0</v>
      </c>
      <c r="AJ246" s="89"/>
      <c r="AZ246" s="90">
        <f t="shared" si="21"/>
        <v>0</v>
      </c>
      <c r="BA246" s="90">
        <f>ROUND(AZ246*IFERROR(VLOOKUP($AK246,'3121% SY'!$A$2:$M$324,13,FALSE),0),3)</f>
        <v>0</v>
      </c>
      <c r="BB246" s="90">
        <f t="shared" si="22"/>
        <v>0</v>
      </c>
      <c r="BC246" s="90">
        <f>ROUND(BB246*IFERROR(VLOOKUP($AK246,'3121% SY'!$A$2:$M$324,13,FALSE),0),3)</f>
        <v>0</v>
      </c>
    </row>
    <row r="247" spans="16:55" x14ac:dyDescent="0.25">
      <c r="P247" s="90">
        <f t="shared" si="18"/>
        <v>0</v>
      </c>
      <c r="Q247" s="90">
        <f>SUM($B247:E247)</f>
        <v>0</v>
      </c>
      <c r="R247" s="89"/>
      <c r="AH247" s="90">
        <f t="shared" si="19"/>
        <v>0</v>
      </c>
      <c r="AI247" s="90">
        <f t="shared" si="20"/>
        <v>0</v>
      </c>
      <c r="AJ247" s="89"/>
      <c r="AZ247" s="90">
        <f t="shared" si="21"/>
        <v>0</v>
      </c>
      <c r="BA247" s="90">
        <f>ROUND(AZ247*IFERROR(VLOOKUP($AK247,'3121% SY'!$A$2:$M$324,13,FALSE),0),3)</f>
        <v>0</v>
      </c>
      <c r="BB247" s="90">
        <f t="shared" si="22"/>
        <v>0</v>
      </c>
      <c r="BC247" s="90">
        <f>ROUND(BB247*IFERROR(VLOOKUP($AK247,'3121% SY'!$A$2:$M$324,13,FALSE),0),3)</f>
        <v>0</v>
      </c>
    </row>
    <row r="248" spans="16:55" x14ac:dyDescent="0.25">
      <c r="P248" s="90">
        <f t="shared" si="18"/>
        <v>0</v>
      </c>
      <c r="Q248" s="90">
        <f>SUM($B248:E248)</f>
        <v>0</v>
      </c>
      <c r="R248" s="89"/>
      <c r="AH248" s="90">
        <f t="shared" si="19"/>
        <v>0</v>
      </c>
      <c r="AI248" s="90">
        <f t="shared" si="20"/>
        <v>0</v>
      </c>
      <c r="AJ248" s="89"/>
      <c r="AZ248" s="90">
        <f t="shared" si="21"/>
        <v>0</v>
      </c>
      <c r="BA248" s="90">
        <f>ROUND(AZ248*IFERROR(VLOOKUP($AK248,'3121% SY'!$A$2:$M$324,13,FALSE),0),3)</f>
        <v>0</v>
      </c>
      <c r="BB248" s="90">
        <f t="shared" si="22"/>
        <v>0</v>
      </c>
      <c r="BC248" s="90">
        <f>ROUND(BB248*IFERROR(VLOOKUP($AK248,'3121% SY'!$A$2:$M$324,13,FALSE),0),3)</f>
        <v>0</v>
      </c>
    </row>
    <row r="249" spans="16:55" x14ac:dyDescent="0.25">
      <c r="P249" s="90">
        <f t="shared" si="18"/>
        <v>0</v>
      </c>
      <c r="Q249" s="90">
        <f>SUM($B249:E249)</f>
        <v>0</v>
      </c>
      <c r="R249" s="89"/>
      <c r="AH249" s="90">
        <f t="shared" si="19"/>
        <v>0</v>
      </c>
      <c r="AI249" s="90">
        <f t="shared" si="20"/>
        <v>0</v>
      </c>
      <c r="AJ249" s="89"/>
      <c r="AZ249" s="90">
        <f t="shared" si="21"/>
        <v>0</v>
      </c>
      <c r="BA249" s="90">
        <f>ROUND(AZ249*IFERROR(VLOOKUP($AK249,'3121% SY'!$A$2:$M$324,13,FALSE),0),3)</f>
        <v>0</v>
      </c>
      <c r="BB249" s="90">
        <f t="shared" si="22"/>
        <v>0</v>
      </c>
      <c r="BC249" s="90">
        <f>ROUND(BB249*IFERROR(VLOOKUP($AK249,'3121% SY'!$A$2:$M$324,13,FALSE),0),3)</f>
        <v>0</v>
      </c>
    </row>
    <row r="250" spans="16:55" x14ac:dyDescent="0.25">
      <c r="P250" s="90">
        <f t="shared" si="18"/>
        <v>0</v>
      </c>
      <c r="Q250" s="90">
        <f>SUM($B250:E250)</f>
        <v>0</v>
      </c>
      <c r="R250" s="89"/>
      <c r="AH250" s="90">
        <f t="shared" si="19"/>
        <v>0</v>
      </c>
      <c r="AI250" s="90">
        <f t="shared" si="20"/>
        <v>0</v>
      </c>
      <c r="AJ250" s="89"/>
      <c r="AZ250" s="90">
        <f t="shared" si="21"/>
        <v>0</v>
      </c>
      <c r="BA250" s="90">
        <f>ROUND(AZ250*IFERROR(VLOOKUP($AK250,'3121% SY'!$A$2:$M$324,13,FALSE),0),3)</f>
        <v>0</v>
      </c>
      <c r="BB250" s="90">
        <f t="shared" si="22"/>
        <v>0</v>
      </c>
      <c r="BC250" s="90">
        <f>ROUND(BB250*IFERROR(VLOOKUP($AK250,'3121% SY'!$A$2:$M$324,13,FALSE),0),3)</f>
        <v>0</v>
      </c>
    </row>
    <row r="251" spans="16:55" x14ac:dyDescent="0.25">
      <c r="P251" s="90">
        <f t="shared" si="18"/>
        <v>0</v>
      </c>
      <c r="Q251" s="90">
        <f>SUM($B251:E251)</f>
        <v>0</v>
      </c>
      <c r="R251" s="89"/>
      <c r="AH251" s="90">
        <f t="shared" si="19"/>
        <v>0</v>
      </c>
      <c r="AI251" s="90">
        <f t="shared" si="20"/>
        <v>0</v>
      </c>
      <c r="AJ251" s="89"/>
      <c r="AZ251" s="90">
        <f t="shared" si="21"/>
        <v>0</v>
      </c>
      <c r="BA251" s="90">
        <f>ROUND(AZ251*IFERROR(VLOOKUP($AK251,'3121% SY'!$A$2:$M$324,13,FALSE),0),3)</f>
        <v>0</v>
      </c>
      <c r="BB251" s="90">
        <f t="shared" si="22"/>
        <v>0</v>
      </c>
      <c r="BC251" s="90">
        <f>ROUND(BB251*IFERROR(VLOOKUP($AK251,'3121% SY'!$A$2:$M$324,13,FALSE),0),3)</f>
        <v>0</v>
      </c>
    </row>
    <row r="252" spans="16:55" x14ac:dyDescent="0.25">
      <c r="P252" s="90">
        <f t="shared" si="18"/>
        <v>0</v>
      </c>
      <c r="Q252" s="90">
        <f>SUM($B252:E252)</f>
        <v>0</v>
      </c>
      <c r="R252" s="89"/>
      <c r="AH252" s="90">
        <f t="shared" si="19"/>
        <v>0</v>
      </c>
      <c r="AI252" s="90">
        <f t="shared" si="20"/>
        <v>0</v>
      </c>
      <c r="AJ252" s="89"/>
      <c r="AZ252" s="90">
        <f t="shared" si="21"/>
        <v>0</v>
      </c>
      <c r="BA252" s="90">
        <f>ROUND(AZ252*IFERROR(VLOOKUP($AK252,'3121% SY'!$A$2:$M$324,13,FALSE),0),3)</f>
        <v>0</v>
      </c>
      <c r="BB252" s="90">
        <f t="shared" si="22"/>
        <v>0</v>
      </c>
      <c r="BC252" s="90">
        <f>ROUND(BB252*IFERROR(VLOOKUP($AK252,'3121% SY'!$A$2:$M$324,13,FALSE),0),3)</f>
        <v>0</v>
      </c>
    </row>
    <row r="253" spans="16:55" x14ac:dyDescent="0.25">
      <c r="P253" s="90">
        <f t="shared" si="18"/>
        <v>0</v>
      </c>
      <c r="Q253" s="90">
        <f>SUM($B253:E253)</f>
        <v>0</v>
      </c>
      <c r="R253" s="89"/>
      <c r="AH253" s="90">
        <f t="shared" si="19"/>
        <v>0</v>
      </c>
      <c r="AI253" s="90">
        <f t="shared" si="20"/>
        <v>0</v>
      </c>
      <c r="AJ253" s="89"/>
      <c r="AZ253" s="90">
        <f t="shared" si="21"/>
        <v>0</v>
      </c>
      <c r="BA253" s="90">
        <f>ROUND(AZ253*IFERROR(VLOOKUP($AK253,'3121% SY'!$A$2:$M$324,13,FALSE),0),3)</f>
        <v>0</v>
      </c>
      <c r="BB253" s="90">
        <f t="shared" si="22"/>
        <v>0</v>
      </c>
      <c r="BC253" s="90">
        <f>ROUND(BB253*IFERROR(VLOOKUP($AK253,'3121% SY'!$A$2:$M$324,13,FALSE),0),3)</f>
        <v>0</v>
      </c>
    </row>
    <row r="254" spans="16:55" x14ac:dyDescent="0.25">
      <c r="P254" s="90">
        <f t="shared" si="18"/>
        <v>0</v>
      </c>
      <c r="Q254" s="90">
        <f>SUM($B254:E254)</f>
        <v>0</v>
      </c>
      <c r="R254" s="89"/>
      <c r="AH254" s="90">
        <f t="shared" si="19"/>
        <v>0</v>
      </c>
      <c r="AI254" s="90">
        <f t="shared" si="20"/>
        <v>0</v>
      </c>
      <c r="AJ254" s="89"/>
      <c r="AZ254" s="90">
        <f t="shared" si="21"/>
        <v>0</v>
      </c>
      <c r="BA254" s="90">
        <f>ROUND(AZ254*IFERROR(VLOOKUP($AK254,'3121% SY'!$A$2:$M$324,13,FALSE),0),3)</f>
        <v>0</v>
      </c>
      <c r="BB254" s="90">
        <f t="shared" si="22"/>
        <v>0</v>
      </c>
      <c r="BC254" s="90">
        <f>ROUND(BB254*IFERROR(VLOOKUP($AK254,'3121% SY'!$A$2:$M$324,13,FALSE),0),3)</f>
        <v>0</v>
      </c>
    </row>
    <row r="255" spans="16:55" x14ac:dyDescent="0.25">
      <c r="P255" s="90">
        <f t="shared" si="18"/>
        <v>0</v>
      </c>
      <c r="Q255" s="90">
        <f>SUM($B255:E255)</f>
        <v>0</v>
      </c>
      <c r="R255" s="89"/>
      <c r="AH255" s="90">
        <f t="shared" si="19"/>
        <v>0</v>
      </c>
      <c r="AI255" s="90">
        <f t="shared" si="20"/>
        <v>0</v>
      </c>
      <c r="AJ255" s="89"/>
      <c r="AZ255" s="90">
        <f t="shared" si="21"/>
        <v>0</v>
      </c>
      <c r="BA255" s="90">
        <f>ROUND(AZ255*IFERROR(VLOOKUP($AK255,'3121% SY'!$A$2:$M$324,13,FALSE),0),3)</f>
        <v>0</v>
      </c>
      <c r="BB255" s="90">
        <f t="shared" si="22"/>
        <v>0</v>
      </c>
      <c r="BC255" s="90">
        <f>ROUND(BB255*IFERROR(VLOOKUP($AK255,'3121% SY'!$A$2:$M$324,13,FALSE),0),3)</f>
        <v>0</v>
      </c>
    </row>
    <row r="256" spans="16:55" x14ac:dyDescent="0.25">
      <c r="R256" s="89"/>
      <c r="AJ256" s="89"/>
    </row>
    <row r="257" spans="18:36" x14ac:dyDescent="0.25">
      <c r="R257" s="89"/>
      <c r="AJ257" s="89"/>
    </row>
    <row r="258" spans="18:36" x14ac:dyDescent="0.25">
      <c r="R258" s="89"/>
      <c r="AJ258" s="89"/>
    </row>
    <row r="259" spans="18:36" x14ac:dyDescent="0.25">
      <c r="R259" s="89"/>
      <c r="AJ259" s="89"/>
    </row>
    <row r="260" spans="18:36" x14ac:dyDescent="0.25">
      <c r="R260" s="89"/>
      <c r="AJ260" s="89"/>
    </row>
    <row r="261" spans="18:36" x14ac:dyDescent="0.25">
      <c r="R261" s="89"/>
      <c r="AJ261" s="89"/>
    </row>
    <row r="262" spans="18:36" x14ac:dyDescent="0.25">
      <c r="R262" s="89"/>
      <c r="AJ262" s="89"/>
    </row>
    <row r="263" spans="18:36" x14ac:dyDescent="0.25">
      <c r="R263" s="89"/>
      <c r="AJ263" s="89"/>
    </row>
    <row r="264" spans="18:36" x14ac:dyDescent="0.25">
      <c r="R264" s="89"/>
      <c r="AJ264" s="89"/>
    </row>
    <row r="265" spans="18:36" x14ac:dyDescent="0.25">
      <c r="R265" s="89"/>
      <c r="AJ265" s="89"/>
    </row>
    <row r="266" spans="18:36" x14ac:dyDescent="0.25">
      <c r="R266" s="89"/>
      <c r="AJ266" s="89"/>
    </row>
    <row r="267" spans="18:36" x14ac:dyDescent="0.25">
      <c r="R267" s="89"/>
      <c r="AJ267" s="89"/>
    </row>
    <row r="268" spans="18:36" x14ac:dyDescent="0.25">
      <c r="R268" s="89"/>
      <c r="AJ268" s="89"/>
    </row>
    <row r="269" spans="18:36" x14ac:dyDescent="0.25">
      <c r="R269" s="89"/>
      <c r="AJ269" s="89"/>
    </row>
    <row r="270" spans="18:36" x14ac:dyDescent="0.25">
      <c r="R270" s="89"/>
      <c r="AJ270" s="89"/>
    </row>
    <row r="271" spans="18:36" x14ac:dyDescent="0.25">
      <c r="R271" s="89"/>
      <c r="AJ271" s="89"/>
    </row>
    <row r="272" spans="18:36" x14ac:dyDescent="0.25">
      <c r="R272" s="89"/>
      <c r="AJ272" s="89"/>
    </row>
    <row r="273" spans="18:36" x14ac:dyDescent="0.25">
      <c r="R273" s="89"/>
      <c r="AJ273" s="89"/>
    </row>
    <row r="274" spans="18:36" x14ac:dyDescent="0.25">
      <c r="R274" s="89"/>
      <c r="AJ274" s="89"/>
    </row>
    <row r="275" spans="18:36" x14ac:dyDescent="0.25">
      <c r="R275" s="89"/>
      <c r="AJ275" s="89"/>
    </row>
    <row r="276" spans="18:36" x14ac:dyDescent="0.25">
      <c r="R276" s="89"/>
      <c r="AJ276" s="89"/>
    </row>
    <row r="277" spans="18:36" x14ac:dyDescent="0.25">
      <c r="R277" s="89"/>
      <c r="AJ277" s="89"/>
    </row>
    <row r="278" spans="18:36" x14ac:dyDescent="0.25">
      <c r="R278" s="89"/>
      <c r="AJ278" s="89"/>
    </row>
    <row r="279" spans="18:36" x14ac:dyDescent="0.25">
      <c r="R279" s="89"/>
      <c r="AJ279" s="89"/>
    </row>
    <row r="280" spans="18:36" x14ac:dyDescent="0.25">
      <c r="R280" s="89"/>
      <c r="AJ280" s="89"/>
    </row>
    <row r="281" spans="18:36" x14ac:dyDescent="0.25">
      <c r="R281" s="89"/>
      <c r="AJ281" s="89"/>
    </row>
    <row r="282" spans="18:36" x14ac:dyDescent="0.25">
      <c r="R282" s="89"/>
      <c r="AJ282" s="89"/>
    </row>
    <row r="283" spans="18:36" x14ac:dyDescent="0.25">
      <c r="R283" s="89"/>
      <c r="AJ283" s="89"/>
    </row>
    <row r="284" spans="18:36" x14ac:dyDescent="0.25">
      <c r="R284" s="89"/>
      <c r="AJ284" s="89"/>
    </row>
    <row r="285" spans="18:36" x14ac:dyDescent="0.25">
      <c r="R285" s="89"/>
      <c r="AJ285" s="89"/>
    </row>
    <row r="286" spans="18:36" x14ac:dyDescent="0.25">
      <c r="R286" s="89"/>
      <c r="AJ286" s="89"/>
    </row>
    <row r="287" spans="18:36" x14ac:dyDescent="0.25">
      <c r="R287" s="89"/>
      <c r="AJ287" s="89"/>
    </row>
    <row r="288" spans="18:36" x14ac:dyDescent="0.25">
      <c r="R288" s="89"/>
      <c r="AJ288" s="89"/>
    </row>
    <row r="289" spans="18:36" x14ac:dyDescent="0.25">
      <c r="R289" s="89"/>
      <c r="AJ289" s="89"/>
    </row>
    <row r="290" spans="18:36" x14ac:dyDescent="0.25">
      <c r="R290" s="89"/>
      <c r="AJ290" s="89"/>
    </row>
    <row r="291" spans="18:36" x14ac:dyDescent="0.25">
      <c r="R291" s="89"/>
      <c r="AJ291" s="89"/>
    </row>
    <row r="292" spans="18:36" x14ac:dyDescent="0.25">
      <c r="R292" s="89"/>
      <c r="AJ292" s="89"/>
    </row>
    <row r="293" spans="18:36" x14ac:dyDescent="0.25">
      <c r="R293" s="89"/>
      <c r="AJ293" s="89"/>
    </row>
    <row r="294" spans="18:36" x14ac:dyDescent="0.25">
      <c r="R294" s="89"/>
      <c r="AJ294" s="89"/>
    </row>
    <row r="295" spans="18:36" x14ac:dyDescent="0.25">
      <c r="R295" s="89"/>
      <c r="AJ295" s="89"/>
    </row>
    <row r="296" spans="18:36" x14ac:dyDescent="0.25">
      <c r="R296" s="89"/>
      <c r="AJ296" s="89"/>
    </row>
    <row r="297" spans="18:36" x14ac:dyDescent="0.25">
      <c r="R297" s="89"/>
      <c r="AJ297" s="89"/>
    </row>
    <row r="298" spans="18:36" x14ac:dyDescent="0.25">
      <c r="R298" s="89"/>
      <c r="AJ298" s="89"/>
    </row>
    <row r="299" spans="18:36" x14ac:dyDescent="0.25">
      <c r="R299" s="89"/>
      <c r="AJ299" s="89"/>
    </row>
    <row r="300" spans="18:36" x14ac:dyDescent="0.25">
      <c r="R300" s="89"/>
      <c r="AJ300" s="89"/>
    </row>
    <row r="301" spans="18:36" x14ac:dyDescent="0.25">
      <c r="R301" s="89"/>
      <c r="AJ301" s="89"/>
    </row>
    <row r="302" spans="18:36" x14ac:dyDescent="0.25">
      <c r="R302" s="89"/>
      <c r="AJ302" s="89"/>
    </row>
    <row r="303" spans="18:36" x14ac:dyDescent="0.25">
      <c r="R303" s="89"/>
      <c r="AJ303" s="89"/>
    </row>
    <row r="304" spans="18:36" x14ac:dyDescent="0.25">
      <c r="R304" s="89"/>
      <c r="AJ304" s="89"/>
    </row>
    <row r="305" spans="18:36" x14ac:dyDescent="0.25">
      <c r="R305" s="89"/>
      <c r="AJ305" s="89"/>
    </row>
    <row r="306" spans="18:36" x14ac:dyDescent="0.25">
      <c r="R306" s="89"/>
      <c r="AJ306" s="89"/>
    </row>
    <row r="307" spans="18:36" x14ac:dyDescent="0.25">
      <c r="R307" s="89"/>
      <c r="AJ307" s="89"/>
    </row>
    <row r="308" spans="18:36" x14ac:dyDescent="0.25">
      <c r="R308" s="89"/>
      <c r="AJ308" s="89"/>
    </row>
    <row r="309" spans="18:36" x14ac:dyDescent="0.25">
      <c r="R309" s="89"/>
      <c r="AJ309" s="89"/>
    </row>
    <row r="310" spans="18:36" x14ac:dyDescent="0.25">
      <c r="R310" s="89"/>
      <c r="AJ310" s="89"/>
    </row>
    <row r="311" spans="18:36" x14ac:dyDescent="0.25">
      <c r="R311" s="89"/>
      <c r="AJ311" s="89"/>
    </row>
    <row r="312" spans="18:36" x14ac:dyDescent="0.25">
      <c r="R312" s="89"/>
      <c r="AJ312" s="89"/>
    </row>
    <row r="313" spans="18:36" x14ac:dyDescent="0.25">
      <c r="R313" s="89"/>
      <c r="AJ313" s="89"/>
    </row>
    <row r="314" spans="18:36" x14ac:dyDescent="0.25">
      <c r="R314" s="89"/>
      <c r="AJ314" s="89"/>
    </row>
    <row r="315" spans="18:36" x14ac:dyDescent="0.25">
      <c r="R315" s="89"/>
      <c r="AJ315" s="89"/>
    </row>
    <row r="316" spans="18:36" x14ac:dyDescent="0.25">
      <c r="R316" s="89"/>
      <c r="AJ316" s="89"/>
    </row>
    <row r="317" spans="18:36" x14ac:dyDescent="0.25">
      <c r="R317" s="89"/>
      <c r="AJ317" s="89"/>
    </row>
    <row r="318" spans="18:36" x14ac:dyDescent="0.25">
      <c r="R318" s="89"/>
      <c r="AJ318" s="89"/>
    </row>
    <row r="319" spans="18:36" x14ac:dyDescent="0.25">
      <c r="R319" s="89"/>
      <c r="AJ319" s="89"/>
    </row>
    <row r="320" spans="18:36" x14ac:dyDescent="0.25">
      <c r="R320" s="89"/>
      <c r="AJ320" s="89"/>
    </row>
    <row r="321" spans="18:36" x14ac:dyDescent="0.25">
      <c r="R321" s="89"/>
      <c r="AJ321" s="89"/>
    </row>
    <row r="322" spans="18:36" x14ac:dyDescent="0.25">
      <c r="R322" s="89"/>
      <c r="AJ322" s="89"/>
    </row>
    <row r="323" spans="18:36" x14ac:dyDescent="0.25">
      <c r="R323" s="89"/>
      <c r="AJ323" s="89"/>
    </row>
    <row r="324" spans="18:36" x14ac:dyDescent="0.25">
      <c r="R324" s="89"/>
      <c r="AJ324" s="89"/>
    </row>
    <row r="325" spans="18:36" x14ac:dyDescent="0.25">
      <c r="R325" s="89"/>
      <c r="AJ325" s="89"/>
    </row>
    <row r="326" spans="18:36" x14ac:dyDescent="0.25">
      <c r="R326" s="89"/>
      <c r="AJ326" s="89"/>
    </row>
    <row r="327" spans="18:36" x14ac:dyDescent="0.25">
      <c r="R327" s="89"/>
      <c r="AJ327" s="89"/>
    </row>
    <row r="328" spans="18:36" x14ac:dyDescent="0.25">
      <c r="R328" s="89"/>
      <c r="AJ328" s="89"/>
    </row>
    <row r="329" spans="18:36" x14ac:dyDescent="0.25">
      <c r="R329" s="89"/>
      <c r="AJ329" s="89"/>
    </row>
    <row r="330" spans="18:36" x14ac:dyDescent="0.25">
      <c r="R330" s="89"/>
      <c r="AJ330" s="89"/>
    </row>
    <row r="331" spans="18:36" x14ac:dyDescent="0.25">
      <c r="R331" s="89"/>
      <c r="AJ331" s="89"/>
    </row>
    <row r="332" spans="18:36" x14ac:dyDescent="0.25">
      <c r="R332" s="89"/>
      <c r="AJ332" s="89"/>
    </row>
    <row r="333" spans="18:36" x14ac:dyDescent="0.25">
      <c r="R333" s="89"/>
      <c r="AJ333" s="89"/>
    </row>
    <row r="334" spans="18:36" x14ac:dyDescent="0.25">
      <c r="R334" s="89"/>
      <c r="AJ334" s="89"/>
    </row>
    <row r="335" spans="18:36" x14ac:dyDescent="0.25">
      <c r="R335" s="89"/>
      <c r="AJ335" s="89"/>
    </row>
    <row r="336" spans="18:36" x14ac:dyDescent="0.25">
      <c r="R336" s="89"/>
      <c r="AJ336" s="89"/>
    </row>
    <row r="337" spans="18:36" x14ac:dyDescent="0.25">
      <c r="R337" s="89"/>
      <c r="AJ337" s="89"/>
    </row>
    <row r="338" spans="18:36" x14ac:dyDescent="0.25">
      <c r="R338" s="89"/>
      <c r="AJ338" s="89"/>
    </row>
    <row r="339" spans="18:36" x14ac:dyDescent="0.25">
      <c r="R339" s="89"/>
      <c r="AJ339" s="89"/>
    </row>
    <row r="340" spans="18:36" x14ac:dyDescent="0.25">
      <c r="R340" s="89"/>
      <c r="AJ340" s="89"/>
    </row>
    <row r="341" spans="18:36" x14ac:dyDescent="0.25">
      <c r="R341" s="89"/>
      <c r="AJ341" s="89"/>
    </row>
    <row r="342" spans="18:36" x14ac:dyDescent="0.25">
      <c r="R342" s="89"/>
      <c r="AJ342" s="89"/>
    </row>
    <row r="343" spans="18:36" x14ac:dyDescent="0.25">
      <c r="R343" s="89"/>
      <c r="AJ343" s="89"/>
    </row>
    <row r="344" spans="18:36" x14ac:dyDescent="0.25">
      <c r="R344" s="89"/>
      <c r="AJ344" s="89"/>
    </row>
    <row r="345" spans="18:36" x14ac:dyDescent="0.25">
      <c r="R345" s="89"/>
      <c r="AJ345" s="89"/>
    </row>
    <row r="346" spans="18:36" x14ac:dyDescent="0.25">
      <c r="R346" s="89"/>
      <c r="AJ346" s="89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3D416-396A-49D2-A145-FBEE0227AD44}">
  <dimension ref="A1:BH346"/>
  <sheetViews>
    <sheetView topLeftCell="A4" workbookViewId="0">
      <selection activeCell="J3" sqref="J3"/>
    </sheetView>
  </sheetViews>
  <sheetFormatPr defaultRowHeight="15" x14ac:dyDescent="0.25"/>
  <cols>
    <col min="1" max="1" width="16.140625" bestFit="1" customWidth="1"/>
    <col min="2" max="2" width="23.28515625" bestFit="1" customWidth="1"/>
    <col min="3" max="3" width="9.140625" bestFit="1" customWidth="1"/>
    <col min="4" max="6" width="7.5703125" bestFit="1" customWidth="1"/>
    <col min="7" max="10" width="7.42578125" bestFit="1" customWidth="1"/>
    <col min="11" max="11" width="7.5703125" bestFit="1" customWidth="1"/>
    <col min="12" max="15" width="7.42578125" bestFit="1" customWidth="1"/>
    <col min="16" max="16" width="11.28515625" bestFit="1" customWidth="1"/>
    <col min="17" max="17" width="9.85546875" bestFit="1" customWidth="1"/>
    <col min="18" max="18" width="4.7109375" customWidth="1"/>
    <col min="19" max="19" width="16.140625" bestFit="1" customWidth="1"/>
    <col min="20" max="20" width="23.28515625" bestFit="1" customWidth="1"/>
    <col min="21" max="33" width="9.42578125" bestFit="1" customWidth="1"/>
    <col min="34" max="34" width="11.28515625" bestFit="1" customWidth="1"/>
    <col min="35" max="35" width="9.140625" bestFit="1" customWidth="1"/>
    <col min="36" max="36" width="4.7109375" customWidth="1"/>
    <col min="37" max="37" width="16.140625" bestFit="1" customWidth="1"/>
    <col min="38" max="38" width="23.28515625" bestFit="1" customWidth="1"/>
    <col min="39" max="51" width="9.42578125" bestFit="1" customWidth="1"/>
    <col min="52" max="52" width="11.28515625" bestFit="1" customWidth="1"/>
    <col min="53" max="53" width="11.28515625" customWidth="1"/>
    <col min="54" max="60" width="9.140625" bestFit="1" customWidth="1"/>
    <col min="61" max="61" width="7.85546875" bestFit="1" customWidth="1"/>
    <col min="62" max="62" width="11.28515625" bestFit="1" customWidth="1"/>
    <col min="63" max="67" width="22.85546875" bestFit="1" customWidth="1"/>
    <col min="68" max="68" width="27.85546875" bestFit="1" customWidth="1"/>
    <col min="69" max="69" width="23.28515625" bestFit="1" customWidth="1"/>
    <col min="70" max="101" width="21.42578125" bestFit="1" customWidth="1"/>
    <col min="102" max="102" width="26.42578125" bestFit="1" customWidth="1"/>
    <col min="103" max="103" width="11.28515625" bestFit="1" customWidth="1"/>
    <col min="104" max="117" width="22.85546875" bestFit="1" customWidth="1"/>
  </cols>
  <sheetData>
    <row r="1" spans="1:60" x14ac:dyDescent="0.25">
      <c r="A1" s="91" t="s">
        <v>910</v>
      </c>
      <c r="B1" s="88">
        <v>1</v>
      </c>
      <c r="R1" s="89"/>
      <c r="S1" s="91" t="s">
        <v>910</v>
      </c>
      <c r="T1" s="88">
        <v>97</v>
      </c>
      <c r="AJ1" s="89"/>
      <c r="AK1" s="91" t="s">
        <v>910</v>
      </c>
      <c r="AL1" s="88">
        <v>21</v>
      </c>
    </row>
    <row r="2" spans="1:60" x14ac:dyDescent="0.25">
      <c r="A2" s="91" t="s">
        <v>714</v>
      </c>
      <c r="B2" t="s">
        <v>1272</v>
      </c>
      <c r="R2" s="89"/>
      <c r="S2" s="91" t="s">
        <v>714</v>
      </c>
      <c r="T2" t="s">
        <v>1272</v>
      </c>
      <c r="AJ2" s="89"/>
      <c r="AK2" s="91" t="s">
        <v>714</v>
      </c>
      <c r="AL2" t="s">
        <v>1272</v>
      </c>
      <c r="BD2" t="str">
        <f t="shared" ref="BD2:BH2" si="0">MID(BD5,3,2)</f>
        <v/>
      </c>
      <c r="BE2" t="str">
        <f t="shared" si="0"/>
        <v/>
      </c>
      <c r="BF2" t="str">
        <f t="shared" si="0"/>
        <v/>
      </c>
      <c r="BG2" t="str">
        <f t="shared" si="0"/>
        <v/>
      </c>
      <c r="BH2" t="str">
        <f t="shared" si="0"/>
        <v/>
      </c>
    </row>
    <row r="3" spans="1:60" x14ac:dyDescent="0.25">
      <c r="B3" t="str">
        <f>MID(B5,3,2)</f>
        <v>24</v>
      </c>
      <c r="C3" t="str">
        <f>MID(C5,3,2)</f>
        <v>25</v>
      </c>
      <c r="D3" t="str">
        <f t="shared" ref="D3:O3" si="1">MID(D5,3,2)</f>
        <v>26</v>
      </c>
      <c r="E3" t="str">
        <f t="shared" si="1"/>
        <v>35</v>
      </c>
      <c r="F3" t="str">
        <f t="shared" si="1"/>
        <v>42</v>
      </c>
      <c r="G3" t="str">
        <f t="shared" si="1"/>
        <v>43</v>
      </c>
      <c r="H3" t="str">
        <f t="shared" si="1"/>
        <v>44</v>
      </c>
      <c r="I3" t="str">
        <f t="shared" si="1"/>
        <v>45</v>
      </c>
      <c r="J3" t="str">
        <f t="shared" si="1"/>
        <v>46</v>
      </c>
      <c r="K3" t="str">
        <f t="shared" si="1"/>
        <v>47</v>
      </c>
      <c r="L3" t="str">
        <f t="shared" si="1"/>
        <v>48</v>
      </c>
      <c r="M3" t="str">
        <f t="shared" si="1"/>
        <v>49</v>
      </c>
      <c r="N3" t="str">
        <f t="shared" si="1"/>
        <v>64</v>
      </c>
      <c r="O3" t="str">
        <f t="shared" si="1"/>
        <v/>
      </c>
      <c r="P3" s="243">
        <v>16</v>
      </c>
      <c r="Q3" s="243">
        <v>17</v>
      </c>
      <c r="R3" s="89"/>
      <c r="T3" t="str">
        <f>MID(T5,3,2)</f>
        <v>24</v>
      </c>
      <c r="U3" t="str">
        <f>MID(U5,3,2)</f>
        <v>25</v>
      </c>
      <c r="V3" t="str">
        <f t="shared" ref="V3:AG3" si="2">MID(V5,3,2)</f>
        <v>26</v>
      </c>
      <c r="W3" t="str">
        <f t="shared" si="2"/>
        <v>35</v>
      </c>
      <c r="X3" t="str">
        <f t="shared" si="2"/>
        <v>39</v>
      </c>
      <c r="Y3" t="str">
        <f t="shared" si="2"/>
        <v>42</v>
      </c>
      <c r="Z3" t="str">
        <f t="shared" si="2"/>
        <v>43</v>
      </c>
      <c r="AA3" t="str">
        <f t="shared" si="2"/>
        <v>44</v>
      </c>
      <c r="AB3" t="str">
        <f t="shared" si="2"/>
        <v>45</v>
      </c>
      <c r="AC3" t="str">
        <f t="shared" si="2"/>
        <v>46</v>
      </c>
      <c r="AD3" t="str">
        <f t="shared" si="2"/>
        <v>47</v>
      </c>
      <c r="AE3" t="str">
        <f t="shared" si="2"/>
        <v>48</v>
      </c>
      <c r="AF3" t="str">
        <f t="shared" si="2"/>
        <v>49</v>
      </c>
      <c r="AG3" t="str">
        <f t="shared" si="2"/>
        <v>64</v>
      </c>
      <c r="AH3" s="243">
        <v>16</v>
      </c>
      <c r="AI3" s="243">
        <v>17</v>
      </c>
      <c r="AJ3" s="89"/>
      <c r="AL3" t="str">
        <f>MID(AL5,3,2)</f>
        <v>24</v>
      </c>
      <c r="AM3" t="str">
        <f>MID(AM5,3,2)</f>
        <v>25</v>
      </c>
      <c r="AN3" t="str">
        <f t="shared" ref="AN3:AY3" si="3">MID(AN5,3,2)</f>
        <v>26</v>
      </c>
      <c r="AO3" t="str">
        <f t="shared" si="3"/>
        <v>35</v>
      </c>
      <c r="AP3" t="str">
        <f t="shared" si="3"/>
        <v>39</v>
      </c>
      <c r="AQ3" t="str">
        <f t="shared" si="3"/>
        <v>42</v>
      </c>
      <c r="AR3" t="str">
        <f t="shared" si="3"/>
        <v>43</v>
      </c>
      <c r="AS3" t="str">
        <f t="shared" si="3"/>
        <v>44</v>
      </c>
      <c r="AT3" t="str">
        <f t="shared" si="3"/>
        <v>45</v>
      </c>
      <c r="AU3" t="str">
        <f t="shared" si="3"/>
        <v>46</v>
      </c>
      <c r="AV3" t="str">
        <f t="shared" si="3"/>
        <v>47</v>
      </c>
      <c r="AW3" t="str">
        <f t="shared" si="3"/>
        <v>48</v>
      </c>
      <c r="AX3" t="str">
        <f t="shared" si="3"/>
        <v>49</v>
      </c>
      <c r="AY3" t="str">
        <f t="shared" si="3"/>
        <v>64</v>
      </c>
      <c r="AZ3" s="243">
        <v>16</v>
      </c>
      <c r="BA3" s="243">
        <v>17</v>
      </c>
      <c r="BB3" s="243">
        <v>18</v>
      </c>
      <c r="BC3" s="243">
        <v>19</v>
      </c>
    </row>
    <row r="4" spans="1:60" x14ac:dyDescent="0.25">
      <c r="A4" s="91" t="s">
        <v>1274</v>
      </c>
      <c r="B4" s="91" t="s">
        <v>751</v>
      </c>
      <c r="R4" s="89"/>
      <c r="S4" s="91" t="s">
        <v>1274</v>
      </c>
      <c r="T4" s="91" t="s">
        <v>751</v>
      </c>
      <c r="AJ4" s="89"/>
      <c r="AK4" s="91" t="s">
        <v>1274</v>
      </c>
      <c r="AL4" s="91" t="s">
        <v>751</v>
      </c>
    </row>
    <row r="5" spans="1:60" x14ac:dyDescent="0.25">
      <c r="A5" s="91" t="s">
        <v>752</v>
      </c>
      <c r="B5" t="s">
        <v>1286</v>
      </c>
      <c r="C5" t="s">
        <v>1299</v>
      </c>
      <c r="D5" t="s">
        <v>1295</v>
      </c>
      <c r="E5" t="s">
        <v>1401</v>
      </c>
      <c r="F5" t="s">
        <v>1270</v>
      </c>
      <c r="G5" t="s">
        <v>1388</v>
      </c>
      <c r="H5" t="s">
        <v>1359</v>
      </c>
      <c r="I5" t="s">
        <v>1394</v>
      </c>
      <c r="J5" t="s">
        <v>1396</v>
      </c>
      <c r="K5" t="s">
        <v>1341</v>
      </c>
      <c r="L5" t="s">
        <v>1398</v>
      </c>
      <c r="M5" t="s">
        <v>1399</v>
      </c>
      <c r="N5" t="s">
        <v>1400</v>
      </c>
      <c r="P5" t="s">
        <v>682</v>
      </c>
      <c r="Q5" t="s">
        <v>683</v>
      </c>
      <c r="R5" s="89"/>
      <c r="S5" s="91" t="s">
        <v>752</v>
      </c>
      <c r="T5" t="s">
        <v>1382</v>
      </c>
      <c r="U5" t="s">
        <v>1290</v>
      </c>
      <c r="V5" t="s">
        <v>1501</v>
      </c>
      <c r="W5" t="s">
        <v>1402</v>
      </c>
      <c r="X5" t="s">
        <v>1491</v>
      </c>
      <c r="Y5" t="s">
        <v>1492</v>
      </c>
      <c r="Z5" t="s">
        <v>1493</v>
      </c>
      <c r="AA5" t="s">
        <v>1494</v>
      </c>
      <c r="AB5" t="s">
        <v>1495</v>
      </c>
      <c r="AC5" t="s">
        <v>1496</v>
      </c>
      <c r="AD5" t="s">
        <v>1497</v>
      </c>
      <c r="AE5" t="s">
        <v>1498</v>
      </c>
      <c r="AF5" t="s">
        <v>1499</v>
      </c>
      <c r="AG5" t="s">
        <v>1500</v>
      </c>
      <c r="AH5" t="s">
        <v>682</v>
      </c>
      <c r="AI5" t="s">
        <v>683</v>
      </c>
      <c r="AJ5" s="89"/>
      <c r="AK5" s="91" t="s">
        <v>752</v>
      </c>
      <c r="AL5" t="s">
        <v>1379</v>
      </c>
      <c r="AM5" t="s">
        <v>1383</v>
      </c>
      <c r="AN5" t="s">
        <v>1324</v>
      </c>
      <c r="AO5" t="s">
        <v>1404</v>
      </c>
      <c r="AP5" t="s">
        <v>1384</v>
      </c>
      <c r="AQ5" t="s">
        <v>1385</v>
      </c>
      <c r="AR5" t="s">
        <v>1387</v>
      </c>
      <c r="AS5" t="s">
        <v>1390</v>
      </c>
      <c r="AT5" t="s">
        <v>1326</v>
      </c>
      <c r="AU5" t="s">
        <v>1309</v>
      </c>
      <c r="AV5" t="s">
        <v>1397</v>
      </c>
      <c r="AW5" t="s">
        <v>1330</v>
      </c>
      <c r="AX5" t="s">
        <v>1392</v>
      </c>
      <c r="AY5" t="s">
        <v>1317</v>
      </c>
      <c r="AZ5" t="s">
        <v>682</v>
      </c>
      <c r="BA5" t="s">
        <v>1503</v>
      </c>
      <c r="BB5" t="s">
        <v>683</v>
      </c>
      <c r="BC5" t="s">
        <v>1504</v>
      </c>
    </row>
    <row r="6" spans="1:60" x14ac:dyDescent="0.25">
      <c r="A6" s="88" t="s">
        <v>9</v>
      </c>
      <c r="B6" s="90">
        <v>0.35199999999999998</v>
      </c>
      <c r="C6" s="90">
        <v>0.50600000000000001</v>
      </c>
      <c r="D6" s="90">
        <v>0.2</v>
      </c>
      <c r="E6" s="90"/>
      <c r="F6" s="90">
        <v>2.5299999999999998</v>
      </c>
      <c r="G6" s="90"/>
      <c r="H6" s="90"/>
      <c r="I6" s="90"/>
      <c r="J6" s="90"/>
      <c r="K6" s="90">
        <v>1</v>
      </c>
      <c r="L6" s="90"/>
      <c r="M6" s="90"/>
      <c r="N6" s="90"/>
      <c r="P6" s="90">
        <f>SUM(F6:O6)</f>
        <v>3.53</v>
      </c>
      <c r="Q6" s="90">
        <f>SUM($B6:E6)</f>
        <v>1.0580000000000001</v>
      </c>
      <c r="R6" s="89"/>
      <c r="S6" s="88" t="s">
        <v>759</v>
      </c>
      <c r="T6" s="90">
        <v>0</v>
      </c>
      <c r="U6" s="90">
        <v>0</v>
      </c>
      <c r="V6" s="90">
        <v>0</v>
      </c>
      <c r="W6" s="90">
        <v>0</v>
      </c>
      <c r="X6" s="90">
        <v>0</v>
      </c>
      <c r="Y6" s="90">
        <v>0</v>
      </c>
      <c r="Z6" s="90">
        <v>0</v>
      </c>
      <c r="AA6" s="90">
        <v>0</v>
      </c>
      <c r="AB6" s="90">
        <v>0</v>
      </c>
      <c r="AC6" s="90">
        <v>0</v>
      </c>
      <c r="AD6" s="90">
        <v>0</v>
      </c>
      <c r="AE6" s="90">
        <v>0</v>
      </c>
      <c r="AF6" s="90">
        <v>0</v>
      </c>
      <c r="AG6" s="90">
        <v>0</v>
      </c>
      <c r="AH6" s="90">
        <f>SUM(X6:AG6)</f>
        <v>0</v>
      </c>
      <c r="AI6" s="90">
        <f>SUM(T6:W6)</f>
        <v>0</v>
      </c>
      <c r="AJ6" s="89"/>
      <c r="AK6" s="88" t="s">
        <v>759</v>
      </c>
      <c r="AL6" s="90">
        <v>0</v>
      </c>
      <c r="AM6" s="90">
        <v>0</v>
      </c>
      <c r="AN6" s="90">
        <v>0</v>
      </c>
      <c r="AO6" s="90">
        <v>0</v>
      </c>
      <c r="AP6" s="90">
        <v>0</v>
      </c>
      <c r="AQ6" s="90">
        <v>0</v>
      </c>
      <c r="AR6" s="90">
        <v>0</v>
      </c>
      <c r="AS6" s="90">
        <v>0</v>
      </c>
      <c r="AT6" s="90">
        <v>0</v>
      </c>
      <c r="AU6" s="90">
        <v>0</v>
      </c>
      <c r="AV6" s="90">
        <v>0</v>
      </c>
      <c r="AW6" s="90">
        <v>0</v>
      </c>
      <c r="AX6" s="90">
        <v>0</v>
      </c>
      <c r="AY6" s="90">
        <v>0</v>
      </c>
      <c r="AZ6" s="90">
        <f>SUM(AP6:AY6)</f>
        <v>0</v>
      </c>
      <c r="BA6" s="90">
        <f>ROUND(AZ6*IFERROR(VLOOKUP($AK6,'3121% SY'!$A$2:$M$324,13,FALSE),0),3)</f>
        <v>0</v>
      </c>
      <c r="BB6" s="90">
        <f>SUM(AL6:AO6)</f>
        <v>0</v>
      </c>
      <c r="BC6" s="90">
        <f>ROUND(BB6*IFERROR(VLOOKUP($AK6,'3121% SY'!$A$2:$M$324,13,FALSE),0),3)</f>
        <v>0</v>
      </c>
    </row>
    <row r="7" spans="1:60" x14ac:dyDescent="0.25">
      <c r="A7" s="88" t="s">
        <v>10</v>
      </c>
      <c r="B7" s="90"/>
      <c r="C7" s="90"/>
      <c r="D7" s="90">
        <v>0.14599999999999999</v>
      </c>
      <c r="E7" s="90"/>
      <c r="F7" s="90"/>
      <c r="G7" s="90"/>
      <c r="H7" s="90"/>
      <c r="I7" s="90"/>
      <c r="J7" s="90"/>
      <c r="K7" s="90"/>
      <c r="L7" s="90"/>
      <c r="M7" s="90"/>
      <c r="N7" s="90"/>
      <c r="P7" s="90">
        <f t="shared" ref="P7:P70" si="4">SUM(F7:O7)</f>
        <v>0</v>
      </c>
      <c r="Q7" s="90">
        <f>SUM($B7:E7)</f>
        <v>0.14599999999999999</v>
      </c>
      <c r="R7" s="89"/>
      <c r="S7" s="88" t="s">
        <v>9</v>
      </c>
      <c r="T7" s="90"/>
      <c r="U7" s="90"/>
      <c r="V7" s="90"/>
      <c r="W7" s="90">
        <v>1.84</v>
      </c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>
        <f t="shared" ref="AH7:AH70" si="5">SUM(X7:AG7)</f>
        <v>0</v>
      </c>
      <c r="AI7" s="90">
        <f t="shared" ref="AI7:AI70" si="6">SUM(T7:W7)</f>
        <v>1.84</v>
      </c>
      <c r="AJ7" s="89"/>
      <c r="AK7" s="88" t="s">
        <v>9</v>
      </c>
      <c r="AL7" s="90"/>
      <c r="AM7" s="90">
        <v>3.8879999999999999</v>
      </c>
      <c r="AN7" s="90"/>
      <c r="AO7" s="90"/>
      <c r="AP7" s="90"/>
      <c r="AQ7" s="90"/>
      <c r="AR7" s="90">
        <v>0.25</v>
      </c>
      <c r="AS7" s="90"/>
      <c r="AT7" s="90">
        <v>0.46</v>
      </c>
      <c r="AU7" s="90">
        <v>1.4</v>
      </c>
      <c r="AV7" s="90"/>
      <c r="AW7" s="90"/>
      <c r="AX7" s="90"/>
      <c r="AY7" s="90"/>
      <c r="AZ7" s="90">
        <f t="shared" ref="AZ7:AZ70" si="7">SUM(AP7:AY7)</f>
        <v>2.11</v>
      </c>
      <c r="BA7" s="90">
        <f>ROUND(AZ7*IFERROR(VLOOKUP($AK7,'3121% SY'!$A$2:$M$324,13,FALSE),0),3)</f>
        <v>0.52500000000000002</v>
      </c>
      <c r="BB7" s="90">
        <f t="shared" ref="BB7:BB70" si="8">SUM(AL7:AO7)</f>
        <v>3.8879999999999999</v>
      </c>
      <c r="BC7" s="90">
        <f>ROUND(BB7*IFERROR(VLOOKUP($AK7,'3121% SY'!$A$2:$M$324,13,FALSE),0),3)</f>
        <v>0.96699999999999997</v>
      </c>
    </row>
    <row r="8" spans="1:60" x14ac:dyDescent="0.25">
      <c r="A8" s="88" t="s">
        <v>11</v>
      </c>
      <c r="B8" s="90"/>
      <c r="C8" s="90">
        <v>4.2000000000000003E-2</v>
      </c>
      <c r="D8" s="90"/>
      <c r="E8" s="90"/>
      <c r="F8" s="90">
        <v>0.625</v>
      </c>
      <c r="G8" s="90"/>
      <c r="H8" s="90"/>
      <c r="I8" s="90"/>
      <c r="J8" s="90"/>
      <c r="K8" s="90"/>
      <c r="L8" s="90"/>
      <c r="M8" s="90"/>
      <c r="N8" s="90"/>
      <c r="P8" s="90">
        <f t="shared" si="4"/>
        <v>0.625</v>
      </c>
      <c r="Q8" s="90">
        <f>SUM($B8:E8)</f>
        <v>4.2000000000000003E-2</v>
      </c>
      <c r="R8" s="89"/>
      <c r="S8" s="88" t="s">
        <v>14</v>
      </c>
      <c r="T8" s="90"/>
      <c r="U8" s="90"/>
      <c r="V8" s="90"/>
      <c r="W8" s="90">
        <v>10.901</v>
      </c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>
        <f t="shared" si="5"/>
        <v>0</v>
      </c>
      <c r="AI8" s="90">
        <f t="shared" si="6"/>
        <v>10.901</v>
      </c>
      <c r="AJ8" s="89"/>
      <c r="AK8" s="88" t="s">
        <v>12</v>
      </c>
      <c r="AL8" s="90"/>
      <c r="AM8" s="90">
        <v>3.9E-2</v>
      </c>
      <c r="AN8" s="90"/>
      <c r="AO8" s="90"/>
      <c r="AP8" s="90"/>
      <c r="AQ8" s="90"/>
      <c r="AR8" s="90">
        <v>8.3000000000000004E-2</v>
      </c>
      <c r="AS8" s="90"/>
      <c r="AT8" s="90"/>
      <c r="AU8" s="90">
        <v>0.70099999999999996</v>
      </c>
      <c r="AV8" s="90"/>
      <c r="AW8" s="90"/>
      <c r="AX8" s="90"/>
      <c r="AY8" s="90"/>
      <c r="AZ8" s="90">
        <f t="shared" si="7"/>
        <v>0.78399999999999992</v>
      </c>
      <c r="BA8" s="90">
        <f>ROUND(AZ8*IFERROR(VLOOKUP($AK8,'3121% SY'!$A$2:$M$324,13,FALSE),0),3)</f>
        <v>0.17599999999999999</v>
      </c>
      <c r="BB8" s="90">
        <f t="shared" si="8"/>
        <v>3.9E-2</v>
      </c>
      <c r="BC8" s="90">
        <f>ROUND(BB8*IFERROR(VLOOKUP($AK8,'3121% SY'!$A$2:$M$324,13,FALSE),0),3)</f>
        <v>8.9999999999999993E-3</v>
      </c>
    </row>
    <row r="9" spans="1:60" x14ac:dyDescent="0.25">
      <c r="A9" s="88" t="s">
        <v>12</v>
      </c>
      <c r="B9" s="90"/>
      <c r="C9" s="90">
        <v>0.69199999999999995</v>
      </c>
      <c r="D9" s="90">
        <v>3.0310000000000001</v>
      </c>
      <c r="E9" s="90"/>
      <c r="F9" s="90">
        <v>1.5</v>
      </c>
      <c r="G9" s="90"/>
      <c r="H9" s="90"/>
      <c r="I9" s="90"/>
      <c r="J9" s="90"/>
      <c r="K9" s="90"/>
      <c r="L9" s="90"/>
      <c r="M9" s="90"/>
      <c r="N9" s="90"/>
      <c r="P9" s="90">
        <f t="shared" si="4"/>
        <v>1.5</v>
      </c>
      <c r="Q9" s="90">
        <f>SUM($B9:E9)</f>
        <v>3.7229999999999999</v>
      </c>
      <c r="R9" s="89"/>
      <c r="S9" s="88" t="s">
        <v>23</v>
      </c>
      <c r="T9" s="90"/>
      <c r="U9" s="90">
        <v>0.14699999999999999</v>
      </c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>
        <f t="shared" si="5"/>
        <v>0</v>
      </c>
      <c r="AI9" s="90">
        <f t="shared" si="6"/>
        <v>0.14699999999999999</v>
      </c>
      <c r="AJ9" s="89"/>
      <c r="AK9" s="88" t="s">
        <v>13</v>
      </c>
      <c r="AL9" s="90"/>
      <c r="AM9" s="90"/>
      <c r="AN9" s="90"/>
      <c r="AO9" s="90"/>
      <c r="AP9" s="90"/>
      <c r="AQ9" s="90"/>
      <c r="AR9" s="90"/>
      <c r="AS9" s="90"/>
      <c r="AT9" s="90">
        <v>5.6000000000000001E-2</v>
      </c>
      <c r="AU9" s="90">
        <v>0.16700000000000001</v>
      </c>
      <c r="AV9" s="90"/>
      <c r="AW9" s="90"/>
      <c r="AX9" s="90"/>
      <c r="AY9" s="90"/>
      <c r="AZ9" s="90">
        <f t="shared" si="7"/>
        <v>0.223</v>
      </c>
      <c r="BA9" s="90">
        <f>ROUND(AZ9*IFERROR(VLOOKUP($AK9,'3121% SY'!$A$2:$M$324,13,FALSE),0),3)</f>
        <v>4.8000000000000001E-2</v>
      </c>
      <c r="BB9" s="90">
        <f t="shared" si="8"/>
        <v>0</v>
      </c>
      <c r="BC9" s="90">
        <f>ROUND(BB9*IFERROR(VLOOKUP($AK9,'3121% SY'!$A$2:$M$324,13,FALSE),0),3)</f>
        <v>0</v>
      </c>
    </row>
    <row r="10" spans="1:60" x14ac:dyDescent="0.25">
      <c r="A10" s="88" t="s">
        <v>13</v>
      </c>
      <c r="B10" s="90"/>
      <c r="C10" s="90">
        <v>7.5999999999999998E-2</v>
      </c>
      <c r="D10" s="90"/>
      <c r="E10" s="90"/>
      <c r="F10" s="90">
        <v>0.8</v>
      </c>
      <c r="G10" s="90"/>
      <c r="H10" s="90"/>
      <c r="I10" s="90"/>
      <c r="J10" s="90"/>
      <c r="K10" s="90"/>
      <c r="L10" s="90"/>
      <c r="M10" s="90"/>
      <c r="N10" s="90"/>
      <c r="P10" s="90">
        <f t="shared" si="4"/>
        <v>0.8</v>
      </c>
      <c r="Q10" s="90">
        <f>SUM($B10:E10)</f>
        <v>7.5999999999999998E-2</v>
      </c>
      <c r="R10" s="89"/>
      <c r="S10" s="88" t="s">
        <v>667</v>
      </c>
      <c r="T10" s="90">
        <v>0.20499999999999999</v>
      </c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>
        <f t="shared" si="5"/>
        <v>0</v>
      </c>
      <c r="AI10" s="90">
        <f t="shared" si="6"/>
        <v>0.20499999999999999</v>
      </c>
      <c r="AJ10" s="89"/>
      <c r="AK10" s="88" t="s">
        <v>14</v>
      </c>
      <c r="AL10" s="90"/>
      <c r="AM10" s="90">
        <v>6.077</v>
      </c>
      <c r="AN10" s="90">
        <v>5.7409999999999997</v>
      </c>
      <c r="AO10" s="90"/>
      <c r="AP10" s="90"/>
      <c r="AQ10" s="90"/>
      <c r="AR10" s="90">
        <v>0.24</v>
      </c>
      <c r="AS10" s="90"/>
      <c r="AT10" s="90">
        <v>1.7</v>
      </c>
      <c r="AU10" s="90">
        <v>3.75</v>
      </c>
      <c r="AV10" s="90"/>
      <c r="AW10" s="90">
        <v>0.2</v>
      </c>
      <c r="AX10" s="90"/>
      <c r="AY10" s="90"/>
      <c r="AZ10" s="90">
        <f t="shared" si="7"/>
        <v>5.89</v>
      </c>
      <c r="BA10" s="90">
        <f>ROUND(AZ10*IFERROR(VLOOKUP($AK10,'3121% SY'!$A$2:$M$324,13,FALSE),0),3)</f>
        <v>1.772</v>
      </c>
      <c r="BB10" s="90">
        <f t="shared" si="8"/>
        <v>11.818</v>
      </c>
      <c r="BC10" s="90">
        <f>ROUND(BB10*IFERROR(VLOOKUP($AK10,'3121% SY'!$A$2:$M$324,13,FALSE),0),3)</f>
        <v>3.5550000000000002</v>
      </c>
    </row>
    <row r="11" spans="1:60" x14ac:dyDescent="0.25">
      <c r="A11" s="88" t="s">
        <v>14</v>
      </c>
      <c r="B11" s="90">
        <v>2.3610000000000002</v>
      </c>
      <c r="C11" s="90">
        <v>31.879000000000001</v>
      </c>
      <c r="D11" s="90">
        <v>4.2389999999999999</v>
      </c>
      <c r="E11" s="90"/>
      <c r="F11" s="90">
        <v>11.894</v>
      </c>
      <c r="G11" s="90"/>
      <c r="H11" s="90"/>
      <c r="I11" s="90"/>
      <c r="J11" s="90"/>
      <c r="K11" s="90">
        <v>3.35</v>
      </c>
      <c r="L11" s="90"/>
      <c r="M11" s="90"/>
      <c r="N11" s="90"/>
      <c r="P11" s="90">
        <f t="shared" si="4"/>
        <v>15.244</v>
      </c>
      <c r="Q11" s="90">
        <f>SUM($B11:E11)</f>
        <v>38.478999999999999</v>
      </c>
      <c r="R11" s="89"/>
      <c r="S11" s="88" t="s">
        <v>32</v>
      </c>
      <c r="T11" s="90"/>
      <c r="U11" s="90"/>
      <c r="V11" s="90"/>
      <c r="W11" s="90">
        <v>1.8919999999999999</v>
      </c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>
        <f t="shared" si="5"/>
        <v>0</v>
      </c>
      <c r="AI11" s="90">
        <f t="shared" si="6"/>
        <v>1.8919999999999999</v>
      </c>
      <c r="AJ11" s="89"/>
      <c r="AK11" s="88" t="s">
        <v>16</v>
      </c>
      <c r="AL11" s="90"/>
      <c r="AM11" s="90"/>
      <c r="AN11" s="90">
        <v>1.2190000000000001</v>
      </c>
      <c r="AO11" s="90"/>
      <c r="AP11" s="90"/>
      <c r="AQ11" s="90"/>
      <c r="AR11" s="90"/>
      <c r="AS11" s="90"/>
      <c r="AT11" s="90"/>
      <c r="AU11" s="90">
        <v>0.20200000000000001</v>
      </c>
      <c r="AV11" s="90"/>
      <c r="AW11" s="90"/>
      <c r="AX11" s="90"/>
      <c r="AY11" s="90"/>
      <c r="AZ11" s="90">
        <f t="shared" si="7"/>
        <v>0.20200000000000001</v>
      </c>
      <c r="BA11" s="90">
        <f>ROUND(AZ11*IFERROR(VLOOKUP($AK11,'3121% SY'!$A$2:$M$324,13,FALSE),0),3)</f>
        <v>4.2000000000000003E-2</v>
      </c>
      <c r="BB11" s="90">
        <f t="shared" si="8"/>
        <v>1.2190000000000001</v>
      </c>
      <c r="BC11" s="90">
        <f>ROUND(BB11*IFERROR(VLOOKUP($AK11,'3121% SY'!$A$2:$M$324,13,FALSE),0),3)</f>
        <v>0.25600000000000001</v>
      </c>
    </row>
    <row r="12" spans="1:60" x14ac:dyDescent="0.25">
      <c r="A12" s="88" t="s">
        <v>16</v>
      </c>
      <c r="B12" s="90"/>
      <c r="C12" s="90">
        <v>4.1239999999999997</v>
      </c>
      <c r="D12" s="90">
        <v>0.54800000000000004</v>
      </c>
      <c r="E12" s="90"/>
      <c r="F12" s="90">
        <v>1.5069999999999999</v>
      </c>
      <c r="G12" s="90"/>
      <c r="H12" s="90"/>
      <c r="I12" s="90"/>
      <c r="J12" s="90"/>
      <c r="K12" s="90"/>
      <c r="L12" s="90"/>
      <c r="M12" s="90"/>
      <c r="N12" s="90"/>
      <c r="P12" s="90">
        <f t="shared" si="4"/>
        <v>1.5069999999999999</v>
      </c>
      <c r="Q12" s="90">
        <f>SUM($B12:E12)</f>
        <v>4.6719999999999997</v>
      </c>
      <c r="R12" s="89"/>
      <c r="S12" s="88" t="s">
        <v>39</v>
      </c>
      <c r="T12" s="90"/>
      <c r="U12" s="90"/>
      <c r="V12" s="90"/>
      <c r="W12" s="90">
        <v>1.9039999999999999</v>
      </c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>
        <f t="shared" si="5"/>
        <v>0</v>
      </c>
      <c r="AI12" s="90">
        <f t="shared" si="6"/>
        <v>1.9039999999999999</v>
      </c>
      <c r="AJ12" s="89"/>
      <c r="AK12" s="88" t="s">
        <v>18</v>
      </c>
      <c r="AL12" s="90"/>
      <c r="AM12" s="90"/>
      <c r="AN12" s="90">
        <v>1.246</v>
      </c>
      <c r="AO12" s="90"/>
      <c r="AP12" s="90"/>
      <c r="AQ12" s="90"/>
      <c r="AR12" s="90">
        <v>1</v>
      </c>
      <c r="AS12" s="90"/>
      <c r="AT12" s="90">
        <v>1.1599999999999999</v>
      </c>
      <c r="AU12" s="90"/>
      <c r="AV12" s="90"/>
      <c r="AW12" s="90">
        <v>0.31</v>
      </c>
      <c r="AX12" s="90"/>
      <c r="AY12" s="90"/>
      <c r="AZ12" s="90">
        <f t="shared" si="7"/>
        <v>2.4700000000000002</v>
      </c>
      <c r="BA12" s="90">
        <f>ROUND(AZ12*IFERROR(VLOOKUP($AK12,'3121% SY'!$A$2:$M$324,13,FALSE),0),3)</f>
        <v>0.69399999999999995</v>
      </c>
      <c r="BB12" s="90">
        <f t="shared" si="8"/>
        <v>1.246</v>
      </c>
      <c r="BC12" s="90">
        <f>ROUND(BB12*IFERROR(VLOOKUP($AK12,'3121% SY'!$A$2:$M$324,13,FALSE),0),3)</f>
        <v>0.35</v>
      </c>
    </row>
    <row r="13" spans="1:60" x14ac:dyDescent="0.25">
      <c r="A13" s="88" t="s">
        <v>17</v>
      </c>
      <c r="B13" s="90"/>
      <c r="C13" s="90">
        <v>0.36799999999999999</v>
      </c>
      <c r="D13" s="90"/>
      <c r="E13" s="90"/>
      <c r="F13" s="90">
        <v>0.8</v>
      </c>
      <c r="G13" s="90"/>
      <c r="H13" s="90"/>
      <c r="I13" s="90"/>
      <c r="J13" s="90"/>
      <c r="K13" s="90"/>
      <c r="L13" s="90"/>
      <c r="M13" s="90"/>
      <c r="N13" s="90"/>
      <c r="P13" s="90">
        <f t="shared" si="4"/>
        <v>0.8</v>
      </c>
      <c r="Q13" s="90">
        <f>SUM($B13:E13)</f>
        <v>0.36799999999999999</v>
      </c>
      <c r="R13" s="89"/>
      <c r="S13" s="88" t="s">
        <v>65</v>
      </c>
      <c r="T13" s="90"/>
      <c r="U13" s="90">
        <v>0.76900000000000002</v>
      </c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>
        <f t="shared" si="5"/>
        <v>0</v>
      </c>
      <c r="AI13" s="90">
        <f t="shared" si="6"/>
        <v>0.76900000000000002</v>
      </c>
      <c r="AJ13" s="89"/>
      <c r="AK13" s="88" t="s">
        <v>19</v>
      </c>
      <c r="AL13" s="90"/>
      <c r="AM13" s="90">
        <v>6.8129999999999997</v>
      </c>
      <c r="AN13" s="90">
        <v>5.6</v>
      </c>
      <c r="AO13" s="90"/>
      <c r="AP13" s="90"/>
      <c r="AQ13" s="90"/>
      <c r="AR13" s="90"/>
      <c r="AS13" s="90">
        <v>0.5</v>
      </c>
      <c r="AT13" s="90">
        <v>2</v>
      </c>
      <c r="AU13" s="90">
        <v>4</v>
      </c>
      <c r="AV13" s="90"/>
      <c r="AW13" s="90"/>
      <c r="AX13" s="90"/>
      <c r="AY13" s="90"/>
      <c r="AZ13" s="90">
        <f t="shared" si="7"/>
        <v>6.5</v>
      </c>
      <c r="BA13" s="90">
        <f>ROUND(AZ13*IFERROR(VLOOKUP($AK13,'3121% SY'!$A$2:$M$324,13,FALSE),0),3)</f>
        <v>1.7470000000000001</v>
      </c>
      <c r="BB13" s="90">
        <f t="shared" si="8"/>
        <v>12.413</v>
      </c>
      <c r="BC13" s="90">
        <f>ROUND(BB13*IFERROR(VLOOKUP($AK13,'3121% SY'!$A$2:$M$324,13,FALSE),0),3)</f>
        <v>3.335</v>
      </c>
    </row>
    <row r="14" spans="1:60" x14ac:dyDescent="0.25">
      <c r="A14" s="88" t="s">
        <v>18</v>
      </c>
      <c r="B14" s="90"/>
      <c r="C14" s="90">
        <v>7.532</v>
      </c>
      <c r="D14" s="90">
        <v>3.2559999999999998</v>
      </c>
      <c r="E14" s="90"/>
      <c r="F14" s="90">
        <v>1.52</v>
      </c>
      <c r="G14" s="90"/>
      <c r="H14" s="90"/>
      <c r="I14" s="90"/>
      <c r="J14" s="90"/>
      <c r="K14" s="90"/>
      <c r="L14" s="90"/>
      <c r="M14" s="90"/>
      <c r="N14" s="90"/>
      <c r="P14" s="90">
        <f t="shared" si="4"/>
        <v>1.52</v>
      </c>
      <c r="Q14" s="90">
        <f>SUM($B14:E14)</f>
        <v>10.788</v>
      </c>
      <c r="R14" s="89"/>
      <c r="S14" s="88" t="s">
        <v>72</v>
      </c>
      <c r="T14" s="90"/>
      <c r="U14" s="90"/>
      <c r="V14" s="90"/>
      <c r="W14" s="90">
        <v>1.4750000000000001</v>
      </c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>
        <f t="shared" si="5"/>
        <v>0</v>
      </c>
      <c r="AI14" s="90">
        <f t="shared" si="6"/>
        <v>1.4750000000000001</v>
      </c>
      <c r="AJ14" s="89"/>
      <c r="AK14" s="88" t="s">
        <v>23</v>
      </c>
      <c r="AL14" s="90"/>
      <c r="AM14" s="90"/>
      <c r="AN14" s="90"/>
      <c r="AO14" s="90"/>
      <c r="AP14" s="90"/>
      <c r="AQ14" s="90"/>
      <c r="AR14" s="90">
        <v>0.15</v>
      </c>
      <c r="AS14" s="90"/>
      <c r="AT14" s="90"/>
      <c r="AU14" s="90">
        <v>0.6</v>
      </c>
      <c r="AV14" s="90"/>
      <c r="AW14" s="90"/>
      <c r="AX14" s="90"/>
      <c r="AY14" s="90"/>
      <c r="AZ14" s="90">
        <f t="shared" si="7"/>
        <v>0.75</v>
      </c>
      <c r="BA14" s="90">
        <f>ROUND(AZ14*IFERROR(VLOOKUP($AK14,'3121% SY'!$A$2:$M$324,13,FALSE),0),3)</f>
        <v>0.115</v>
      </c>
      <c r="BB14" s="90">
        <f t="shared" si="8"/>
        <v>0</v>
      </c>
      <c r="BC14" s="90">
        <f>ROUND(BB14*IFERROR(VLOOKUP($AK14,'3121% SY'!$A$2:$M$324,13,FALSE),0),3)</f>
        <v>0</v>
      </c>
    </row>
    <row r="15" spans="1:60" x14ac:dyDescent="0.25">
      <c r="A15" s="88" t="s">
        <v>19</v>
      </c>
      <c r="B15" s="90"/>
      <c r="C15" s="90">
        <v>3.645</v>
      </c>
      <c r="D15" s="90">
        <v>8.9109999999999996</v>
      </c>
      <c r="E15" s="90"/>
      <c r="F15" s="90">
        <v>15</v>
      </c>
      <c r="G15" s="90"/>
      <c r="H15" s="90">
        <v>2.5</v>
      </c>
      <c r="I15" s="90"/>
      <c r="J15" s="90"/>
      <c r="K15" s="90">
        <v>3</v>
      </c>
      <c r="L15" s="90"/>
      <c r="M15" s="90"/>
      <c r="N15" s="90"/>
      <c r="P15" s="90">
        <f t="shared" si="4"/>
        <v>20.5</v>
      </c>
      <c r="Q15" s="90">
        <f>SUM($B15:E15)</f>
        <v>12.555999999999999</v>
      </c>
      <c r="R15" s="89"/>
      <c r="S15" s="88" t="s">
        <v>96</v>
      </c>
      <c r="T15" s="90"/>
      <c r="U15" s="90">
        <v>1.1970000000000001</v>
      </c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>
        <f t="shared" si="5"/>
        <v>0</v>
      </c>
      <c r="AI15" s="90">
        <f t="shared" si="6"/>
        <v>1.1970000000000001</v>
      </c>
      <c r="AJ15" s="89"/>
      <c r="AK15" s="88" t="s">
        <v>24</v>
      </c>
      <c r="AL15" s="90"/>
      <c r="AM15" s="90"/>
      <c r="AN15" s="90">
        <v>6.6000000000000003E-2</v>
      </c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>
        <f t="shared" si="7"/>
        <v>0</v>
      </c>
      <c r="BA15" s="90">
        <f>ROUND(AZ15*IFERROR(VLOOKUP($AK15,'3121% SY'!$A$2:$M$324,13,FALSE),0),3)</f>
        <v>0</v>
      </c>
      <c r="BB15" s="90">
        <f t="shared" si="8"/>
        <v>6.6000000000000003E-2</v>
      </c>
      <c r="BC15" s="90">
        <f>ROUND(BB15*IFERROR(VLOOKUP($AK15,'3121% SY'!$A$2:$M$324,13,FALSE),0),3)</f>
        <v>0.01</v>
      </c>
    </row>
    <row r="16" spans="1:60" x14ac:dyDescent="0.25">
      <c r="A16" s="88" t="s">
        <v>20</v>
      </c>
      <c r="B16" s="90"/>
      <c r="C16" s="90">
        <v>0.92700000000000005</v>
      </c>
      <c r="D16" s="90">
        <v>0.67900000000000005</v>
      </c>
      <c r="E16" s="90"/>
      <c r="F16" s="90">
        <v>0.3</v>
      </c>
      <c r="G16" s="90"/>
      <c r="H16" s="90"/>
      <c r="I16" s="90">
        <v>7.0000000000000007E-2</v>
      </c>
      <c r="J16" s="90"/>
      <c r="K16" s="90"/>
      <c r="L16" s="90"/>
      <c r="M16" s="90"/>
      <c r="N16" s="90"/>
      <c r="P16" s="90">
        <f t="shared" si="4"/>
        <v>0.37</v>
      </c>
      <c r="Q16" s="90">
        <f>SUM($B16:E16)</f>
        <v>1.6060000000000001</v>
      </c>
      <c r="R16" s="89"/>
      <c r="S16" s="88" t="s">
        <v>97</v>
      </c>
      <c r="T16" s="90"/>
      <c r="U16" s="90">
        <v>1</v>
      </c>
      <c r="V16" s="90"/>
      <c r="W16" s="90">
        <v>11.407</v>
      </c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>
        <f t="shared" si="5"/>
        <v>0</v>
      </c>
      <c r="AI16" s="90">
        <f t="shared" si="6"/>
        <v>12.407</v>
      </c>
      <c r="AJ16" s="89"/>
      <c r="AK16" s="88" t="s">
        <v>25</v>
      </c>
      <c r="AL16" s="90"/>
      <c r="AM16" s="90"/>
      <c r="AN16" s="90"/>
      <c r="AO16" s="90"/>
      <c r="AP16" s="90"/>
      <c r="AQ16" s="90"/>
      <c r="AR16" s="90"/>
      <c r="AS16" s="90"/>
      <c r="AT16" s="90"/>
      <c r="AU16" s="90">
        <v>0.22</v>
      </c>
      <c r="AV16" s="90"/>
      <c r="AW16" s="90"/>
      <c r="AX16" s="90"/>
      <c r="AY16" s="90"/>
      <c r="AZ16" s="90">
        <f t="shared" si="7"/>
        <v>0.22</v>
      </c>
      <c r="BA16" s="90">
        <f>ROUND(AZ16*IFERROR(VLOOKUP($AK16,'3121% SY'!$A$2:$M$324,13,FALSE),0),3)</f>
        <v>4.2000000000000003E-2</v>
      </c>
      <c r="BB16" s="90">
        <f t="shared" si="8"/>
        <v>0</v>
      </c>
      <c r="BC16" s="90">
        <f>ROUND(BB16*IFERROR(VLOOKUP($AK16,'3121% SY'!$A$2:$M$324,13,FALSE),0),3)</f>
        <v>0</v>
      </c>
    </row>
    <row r="17" spans="1:55" x14ac:dyDescent="0.25">
      <c r="A17" s="88" t="s">
        <v>22</v>
      </c>
      <c r="B17" s="90"/>
      <c r="C17" s="90">
        <v>1.1779999999999999</v>
      </c>
      <c r="D17" s="90"/>
      <c r="E17" s="90"/>
      <c r="F17" s="90">
        <v>0.3</v>
      </c>
      <c r="G17" s="90"/>
      <c r="H17" s="90"/>
      <c r="I17" s="90"/>
      <c r="J17" s="90"/>
      <c r="K17" s="90"/>
      <c r="L17" s="90"/>
      <c r="M17" s="90"/>
      <c r="N17" s="90"/>
      <c r="P17" s="90">
        <f t="shared" si="4"/>
        <v>0.3</v>
      </c>
      <c r="Q17" s="90">
        <f>SUM($B17:E17)</f>
        <v>1.1779999999999999</v>
      </c>
      <c r="R17" s="89"/>
      <c r="S17" s="88" t="s">
        <v>102</v>
      </c>
      <c r="T17" s="90"/>
      <c r="U17" s="90">
        <v>0.16500000000000001</v>
      </c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>
        <f t="shared" si="5"/>
        <v>0</v>
      </c>
      <c r="AI17" s="90">
        <f t="shared" si="6"/>
        <v>0.16500000000000001</v>
      </c>
      <c r="AJ17" s="89"/>
      <c r="AK17" s="88" t="s">
        <v>26</v>
      </c>
      <c r="AL17" s="90"/>
      <c r="AM17" s="90"/>
      <c r="AN17" s="90">
        <v>1.3779999999999999</v>
      </c>
      <c r="AO17" s="90"/>
      <c r="AP17" s="90"/>
      <c r="AQ17" s="90"/>
      <c r="AR17" s="90">
        <v>0.4</v>
      </c>
      <c r="AS17" s="90"/>
      <c r="AT17" s="90">
        <v>1</v>
      </c>
      <c r="AU17" s="90">
        <v>2.4</v>
      </c>
      <c r="AV17" s="90"/>
      <c r="AW17" s="90">
        <v>0.4</v>
      </c>
      <c r="AX17" s="90">
        <v>0.54</v>
      </c>
      <c r="AY17" s="90"/>
      <c r="AZ17" s="90">
        <f t="shared" si="7"/>
        <v>4.74</v>
      </c>
      <c r="BA17" s="90">
        <f>ROUND(AZ17*IFERROR(VLOOKUP($AK17,'3121% SY'!$A$2:$M$324,13,FALSE),0),3)</f>
        <v>0.83</v>
      </c>
      <c r="BB17" s="90">
        <f t="shared" si="8"/>
        <v>1.3779999999999999</v>
      </c>
      <c r="BC17" s="90">
        <f>ROUND(BB17*IFERROR(VLOOKUP($AK17,'3121% SY'!$A$2:$M$324,13,FALSE),0),3)</f>
        <v>0.24099999999999999</v>
      </c>
    </row>
    <row r="18" spans="1:55" x14ac:dyDescent="0.25">
      <c r="A18" s="88" t="s">
        <v>23</v>
      </c>
      <c r="B18" s="90"/>
      <c r="C18" s="90">
        <v>0.84799999999999998</v>
      </c>
      <c r="D18" s="90">
        <v>0.46400000000000002</v>
      </c>
      <c r="E18" s="90"/>
      <c r="F18" s="90">
        <v>0.61</v>
      </c>
      <c r="G18" s="90"/>
      <c r="H18" s="90"/>
      <c r="I18" s="90"/>
      <c r="J18" s="90"/>
      <c r="K18" s="90"/>
      <c r="L18" s="90"/>
      <c r="M18" s="90"/>
      <c r="N18" s="90"/>
      <c r="P18" s="90">
        <f t="shared" si="4"/>
        <v>0.61</v>
      </c>
      <c r="Q18" s="90">
        <f>SUM($B18:E18)</f>
        <v>1.3120000000000001</v>
      </c>
      <c r="R18" s="89"/>
      <c r="S18" s="88" t="s">
        <v>107</v>
      </c>
      <c r="T18" s="90"/>
      <c r="U18" s="90"/>
      <c r="V18" s="90"/>
      <c r="W18" s="90">
        <v>6.742</v>
      </c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>
        <f t="shared" si="5"/>
        <v>0</v>
      </c>
      <c r="AI18" s="90">
        <f t="shared" si="6"/>
        <v>6.742</v>
      </c>
      <c r="AJ18" s="89"/>
      <c r="AK18" s="88" t="s">
        <v>27</v>
      </c>
      <c r="AL18" s="90"/>
      <c r="AM18" s="90"/>
      <c r="AN18" s="90">
        <v>1.2410000000000001</v>
      </c>
      <c r="AO18" s="90"/>
      <c r="AP18" s="90"/>
      <c r="AQ18" s="90"/>
      <c r="AR18" s="90">
        <v>9.5000000000000001E-2</v>
      </c>
      <c r="AS18" s="90"/>
      <c r="AT18" s="90"/>
      <c r="AU18" s="90"/>
      <c r="AV18" s="90"/>
      <c r="AW18" s="90"/>
      <c r="AX18" s="90"/>
      <c r="AY18" s="90"/>
      <c r="AZ18" s="90">
        <f t="shared" si="7"/>
        <v>9.5000000000000001E-2</v>
      </c>
      <c r="BA18" s="90">
        <f>ROUND(AZ18*IFERROR(VLOOKUP($AK18,'3121% SY'!$A$2:$M$324,13,FALSE),0),3)</f>
        <v>2.4E-2</v>
      </c>
      <c r="BB18" s="90">
        <f t="shared" si="8"/>
        <v>1.2410000000000001</v>
      </c>
      <c r="BC18" s="90">
        <f>ROUND(BB18*IFERROR(VLOOKUP($AK18,'3121% SY'!$A$2:$M$324,13,FALSE),0),3)</f>
        <v>0.31900000000000001</v>
      </c>
    </row>
    <row r="19" spans="1:55" x14ac:dyDescent="0.25">
      <c r="A19" s="88" t="s">
        <v>24</v>
      </c>
      <c r="B19" s="90"/>
      <c r="C19" s="90">
        <v>0.17499999999999999</v>
      </c>
      <c r="D19" s="90"/>
      <c r="E19" s="90"/>
      <c r="F19" s="90">
        <v>1.8</v>
      </c>
      <c r="G19" s="90"/>
      <c r="H19" s="90"/>
      <c r="I19" s="90"/>
      <c r="J19" s="90"/>
      <c r="K19" s="90"/>
      <c r="L19" s="90"/>
      <c r="M19" s="90"/>
      <c r="N19" s="90"/>
      <c r="P19" s="90">
        <f t="shared" si="4"/>
        <v>1.8</v>
      </c>
      <c r="Q19" s="90">
        <f>SUM($B19:E19)</f>
        <v>0.17499999999999999</v>
      </c>
      <c r="R19" s="89"/>
      <c r="S19" s="88" t="s">
        <v>108</v>
      </c>
      <c r="T19" s="90"/>
      <c r="U19" s="90"/>
      <c r="V19" s="90"/>
      <c r="W19" s="90">
        <v>2.113</v>
      </c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>
        <f t="shared" si="5"/>
        <v>0</v>
      </c>
      <c r="AI19" s="90">
        <f t="shared" si="6"/>
        <v>2.113</v>
      </c>
      <c r="AJ19" s="89"/>
      <c r="AK19" s="88" t="s">
        <v>29</v>
      </c>
      <c r="AL19" s="90"/>
      <c r="AM19" s="90">
        <v>2.8090000000000002</v>
      </c>
      <c r="AN19" s="90">
        <v>1.4219999999999999</v>
      </c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>
        <f t="shared" si="7"/>
        <v>0</v>
      </c>
      <c r="BA19" s="90">
        <f>ROUND(AZ19*IFERROR(VLOOKUP($AK19,'3121% SY'!$A$2:$M$324,13,FALSE),0),3)</f>
        <v>0</v>
      </c>
      <c r="BB19" s="90">
        <f t="shared" si="8"/>
        <v>4.2309999999999999</v>
      </c>
      <c r="BC19" s="90">
        <f>ROUND(BB19*IFERROR(VLOOKUP($AK19,'3121% SY'!$A$2:$M$324,13,FALSE),0),3)</f>
        <v>0.64700000000000002</v>
      </c>
    </row>
    <row r="20" spans="1:55" x14ac:dyDescent="0.25">
      <c r="A20" s="88" t="s">
        <v>25</v>
      </c>
      <c r="B20" s="90"/>
      <c r="C20" s="90"/>
      <c r="D20" s="90">
        <v>0.20599999999999999</v>
      </c>
      <c r="E20" s="90"/>
      <c r="F20" s="90">
        <v>1</v>
      </c>
      <c r="G20" s="90"/>
      <c r="H20" s="90"/>
      <c r="I20" s="90"/>
      <c r="J20" s="90"/>
      <c r="K20" s="90"/>
      <c r="L20" s="90"/>
      <c r="M20" s="90"/>
      <c r="N20" s="90"/>
      <c r="P20" s="90">
        <f t="shared" si="4"/>
        <v>1</v>
      </c>
      <c r="Q20" s="90">
        <f>SUM($B20:E20)</f>
        <v>0.20599999999999999</v>
      </c>
      <c r="R20" s="89"/>
      <c r="S20" s="88" t="s">
        <v>116</v>
      </c>
      <c r="T20" s="90"/>
      <c r="U20" s="90">
        <v>1.101</v>
      </c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>
        <f t="shared" si="5"/>
        <v>0</v>
      </c>
      <c r="AI20" s="90">
        <f t="shared" si="6"/>
        <v>1.101</v>
      </c>
      <c r="AJ20" s="89"/>
      <c r="AK20" s="88" t="s">
        <v>31</v>
      </c>
      <c r="AL20" s="90"/>
      <c r="AM20" s="90"/>
      <c r="AN20" s="90">
        <v>7.0000000000000007E-2</v>
      </c>
      <c r="AO20" s="90"/>
      <c r="AP20" s="90"/>
      <c r="AQ20" s="90"/>
      <c r="AR20" s="90">
        <v>0.13800000000000001</v>
      </c>
      <c r="AS20" s="90"/>
      <c r="AT20" s="90">
        <v>2E-3</v>
      </c>
      <c r="AU20" s="90"/>
      <c r="AV20" s="90"/>
      <c r="AW20" s="90"/>
      <c r="AX20" s="90"/>
      <c r="AY20" s="90">
        <v>0.72299999999999998</v>
      </c>
      <c r="AZ20" s="90">
        <f t="shared" si="7"/>
        <v>0.86299999999999999</v>
      </c>
      <c r="BA20" s="90">
        <f>ROUND(AZ20*IFERROR(VLOOKUP($AK20,'3121% SY'!$A$2:$M$324,13,FALSE),0),3)</f>
        <v>0.129</v>
      </c>
      <c r="BB20" s="90">
        <f t="shared" si="8"/>
        <v>7.0000000000000007E-2</v>
      </c>
      <c r="BC20" s="90">
        <f>ROUND(BB20*IFERROR(VLOOKUP($AK20,'3121% SY'!$A$2:$M$324,13,FALSE),0),3)</f>
        <v>0.01</v>
      </c>
    </row>
    <row r="21" spans="1:55" x14ac:dyDescent="0.25">
      <c r="A21" s="88" t="s">
        <v>26</v>
      </c>
      <c r="B21" s="90">
        <v>1.0229999999999999</v>
      </c>
      <c r="C21" s="90"/>
      <c r="D21" s="90">
        <v>0.36699999999999999</v>
      </c>
      <c r="E21" s="90">
        <v>1.343</v>
      </c>
      <c r="F21" s="90">
        <v>3.597</v>
      </c>
      <c r="G21" s="90"/>
      <c r="H21" s="90"/>
      <c r="I21" s="90"/>
      <c r="J21" s="90"/>
      <c r="K21" s="90">
        <v>2.2999999999999998</v>
      </c>
      <c r="L21" s="90"/>
      <c r="M21" s="90"/>
      <c r="N21" s="90"/>
      <c r="P21" s="90">
        <f t="shared" si="4"/>
        <v>5.8970000000000002</v>
      </c>
      <c r="Q21" s="90">
        <f>SUM($B21:E21)</f>
        <v>2.7329999999999997</v>
      </c>
      <c r="R21" s="89"/>
      <c r="S21" s="88" t="s">
        <v>148</v>
      </c>
      <c r="T21" s="90"/>
      <c r="U21" s="90"/>
      <c r="V21" s="90"/>
      <c r="W21" s="90">
        <v>1.462</v>
      </c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>
        <f t="shared" si="5"/>
        <v>0</v>
      </c>
      <c r="AI21" s="90">
        <f t="shared" si="6"/>
        <v>1.462</v>
      </c>
      <c r="AJ21" s="89"/>
      <c r="AK21" s="88" t="s">
        <v>32</v>
      </c>
      <c r="AL21" s="90"/>
      <c r="AM21" s="90"/>
      <c r="AN21" s="90">
        <v>2.2959999999999998</v>
      </c>
      <c r="AO21" s="90"/>
      <c r="AP21" s="90"/>
      <c r="AQ21" s="90"/>
      <c r="AR21" s="90">
        <v>1.0489999999999999</v>
      </c>
      <c r="AS21" s="90"/>
      <c r="AT21" s="90">
        <v>7.9340000000000002</v>
      </c>
      <c r="AU21" s="90">
        <v>6.8479999999999999</v>
      </c>
      <c r="AV21" s="90">
        <v>2.7E-2</v>
      </c>
      <c r="AW21" s="90">
        <v>0.23699999999999999</v>
      </c>
      <c r="AX21" s="90"/>
      <c r="AY21" s="90"/>
      <c r="AZ21" s="90">
        <f t="shared" si="7"/>
        <v>16.094999999999999</v>
      </c>
      <c r="BA21" s="90">
        <f>ROUND(AZ21*IFERROR(VLOOKUP($AK21,'3121% SY'!$A$2:$M$324,13,FALSE),0),3)</f>
        <v>4.4569999999999999</v>
      </c>
      <c r="BB21" s="90">
        <f t="shared" si="8"/>
        <v>2.2959999999999998</v>
      </c>
      <c r="BC21" s="90">
        <f>ROUND(BB21*IFERROR(VLOOKUP($AK21,'3121% SY'!$A$2:$M$324,13,FALSE),0),3)</f>
        <v>0.63600000000000001</v>
      </c>
    </row>
    <row r="22" spans="1:55" x14ac:dyDescent="0.25">
      <c r="A22" s="88" t="s">
        <v>667</v>
      </c>
      <c r="B22" s="90"/>
      <c r="C22" s="90"/>
      <c r="D22" s="90">
        <v>0.16300000000000001</v>
      </c>
      <c r="E22" s="90"/>
      <c r="F22" s="90"/>
      <c r="G22" s="90"/>
      <c r="H22" s="90"/>
      <c r="I22" s="90"/>
      <c r="J22" s="90"/>
      <c r="K22" s="90"/>
      <c r="L22" s="90"/>
      <c r="M22" s="90"/>
      <c r="N22" s="90"/>
      <c r="P22" s="90">
        <f t="shared" si="4"/>
        <v>0</v>
      </c>
      <c r="Q22" s="90">
        <f>SUM($B22:E22)</f>
        <v>0.16300000000000001</v>
      </c>
      <c r="R22" s="89"/>
      <c r="S22" s="88" t="s">
        <v>161</v>
      </c>
      <c r="T22" s="90"/>
      <c r="U22" s="90">
        <v>1.681</v>
      </c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>
        <f t="shared" si="5"/>
        <v>0</v>
      </c>
      <c r="AI22" s="90">
        <f t="shared" si="6"/>
        <v>1.681</v>
      </c>
      <c r="AJ22" s="89"/>
      <c r="AK22" s="88" t="s">
        <v>33</v>
      </c>
      <c r="AL22" s="90"/>
      <c r="AM22" s="90"/>
      <c r="AN22" s="90"/>
      <c r="AO22" s="90"/>
      <c r="AP22" s="90"/>
      <c r="AQ22" s="90"/>
      <c r="AR22" s="90"/>
      <c r="AS22" s="90"/>
      <c r="AT22" s="90"/>
      <c r="AU22" s="90">
        <v>0.45</v>
      </c>
      <c r="AV22" s="90"/>
      <c r="AW22" s="90"/>
      <c r="AX22" s="90"/>
      <c r="AY22" s="90"/>
      <c r="AZ22" s="90">
        <f t="shared" si="7"/>
        <v>0.45</v>
      </c>
      <c r="BA22" s="90">
        <f>ROUND(AZ22*IFERROR(VLOOKUP($AK22,'3121% SY'!$A$2:$M$324,13,FALSE),0),3)</f>
        <v>7.1999999999999995E-2</v>
      </c>
      <c r="BB22" s="90">
        <f t="shared" si="8"/>
        <v>0</v>
      </c>
      <c r="BC22" s="90">
        <f>ROUND(BB22*IFERROR(VLOOKUP($AK22,'3121% SY'!$A$2:$M$324,13,FALSE),0),3)</f>
        <v>0</v>
      </c>
    </row>
    <row r="23" spans="1:55" x14ac:dyDescent="0.25">
      <c r="A23" s="88" t="s">
        <v>27</v>
      </c>
      <c r="B23" s="90"/>
      <c r="C23" s="90">
        <v>2.7789999999999999</v>
      </c>
      <c r="D23" s="90">
        <v>1.335</v>
      </c>
      <c r="E23" s="90"/>
      <c r="F23" s="90">
        <v>3.55</v>
      </c>
      <c r="G23" s="90"/>
      <c r="H23" s="90"/>
      <c r="I23" s="90"/>
      <c r="J23" s="90"/>
      <c r="K23" s="90"/>
      <c r="L23" s="90"/>
      <c r="M23" s="90"/>
      <c r="N23" s="90"/>
      <c r="P23" s="90">
        <f t="shared" si="4"/>
        <v>3.55</v>
      </c>
      <c r="Q23" s="90">
        <f>SUM($B23:E23)</f>
        <v>4.1139999999999999</v>
      </c>
      <c r="R23" s="89"/>
      <c r="S23" s="88" t="s">
        <v>182</v>
      </c>
      <c r="T23" s="90"/>
      <c r="U23" s="90"/>
      <c r="V23" s="90"/>
      <c r="W23" s="90">
        <v>0.38500000000000001</v>
      </c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>
        <f t="shared" si="5"/>
        <v>0</v>
      </c>
      <c r="AI23" s="90">
        <f t="shared" si="6"/>
        <v>0.38500000000000001</v>
      </c>
      <c r="AJ23" s="89"/>
      <c r="AK23" s="88" t="s">
        <v>34</v>
      </c>
      <c r="AL23" s="90"/>
      <c r="AM23" s="90"/>
      <c r="AN23" s="90"/>
      <c r="AO23" s="90"/>
      <c r="AP23" s="90"/>
      <c r="AQ23" s="90"/>
      <c r="AR23" s="90"/>
      <c r="AS23" s="90"/>
      <c r="AT23" s="90">
        <v>0.22</v>
      </c>
      <c r="AU23" s="90"/>
      <c r="AV23" s="90"/>
      <c r="AW23" s="90"/>
      <c r="AX23" s="90"/>
      <c r="AY23" s="90"/>
      <c r="AZ23" s="90">
        <f t="shared" si="7"/>
        <v>0.22</v>
      </c>
      <c r="BA23" s="90">
        <f>ROUND(AZ23*IFERROR(VLOOKUP($AK23,'3121% SY'!$A$2:$M$324,13,FALSE),0),3)</f>
        <v>5.1999999999999998E-2</v>
      </c>
      <c r="BB23" s="90">
        <f t="shared" si="8"/>
        <v>0</v>
      </c>
      <c r="BC23" s="90">
        <f>ROUND(BB23*IFERROR(VLOOKUP($AK23,'3121% SY'!$A$2:$M$324,13,FALSE),0),3)</f>
        <v>0</v>
      </c>
    </row>
    <row r="24" spans="1:55" x14ac:dyDescent="0.25">
      <c r="A24" s="88" t="s">
        <v>28</v>
      </c>
      <c r="B24" s="90"/>
      <c r="C24" s="90">
        <v>0.26400000000000001</v>
      </c>
      <c r="D24" s="90"/>
      <c r="E24" s="90"/>
      <c r="F24" s="90">
        <v>1</v>
      </c>
      <c r="G24" s="90"/>
      <c r="H24" s="90"/>
      <c r="I24" s="90"/>
      <c r="J24" s="90"/>
      <c r="K24" s="90"/>
      <c r="L24" s="90"/>
      <c r="M24" s="90"/>
      <c r="N24" s="90"/>
      <c r="P24" s="90">
        <f t="shared" si="4"/>
        <v>1</v>
      </c>
      <c r="Q24" s="90">
        <f>SUM($B24:E24)</f>
        <v>0.26400000000000001</v>
      </c>
      <c r="R24" s="89"/>
      <c r="S24" s="88" t="s">
        <v>183</v>
      </c>
      <c r="T24" s="90"/>
      <c r="U24" s="90">
        <v>0.2</v>
      </c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>
        <f t="shared" si="5"/>
        <v>0</v>
      </c>
      <c r="AI24" s="90">
        <f t="shared" si="6"/>
        <v>0.2</v>
      </c>
      <c r="AJ24" s="89"/>
      <c r="AK24" s="88" t="s">
        <v>36</v>
      </c>
      <c r="AL24" s="90"/>
      <c r="AM24" s="90"/>
      <c r="AN24" s="90"/>
      <c r="AO24" s="90"/>
      <c r="AP24" s="90"/>
      <c r="AQ24" s="90"/>
      <c r="AR24" s="90">
        <v>0.48</v>
      </c>
      <c r="AS24" s="90"/>
      <c r="AT24" s="90">
        <v>1</v>
      </c>
      <c r="AU24" s="90"/>
      <c r="AV24" s="90"/>
      <c r="AW24" s="90"/>
      <c r="AX24" s="90"/>
      <c r="AY24" s="90"/>
      <c r="AZ24" s="90">
        <f t="shared" si="7"/>
        <v>1.48</v>
      </c>
      <c r="BA24" s="90">
        <f>ROUND(AZ24*IFERROR(VLOOKUP($AK24,'3121% SY'!$A$2:$M$324,13,FALSE),0),3)</f>
        <v>0.34899999999999998</v>
      </c>
      <c r="BB24" s="90">
        <f t="shared" si="8"/>
        <v>0</v>
      </c>
      <c r="BC24" s="90">
        <f>ROUND(BB24*IFERROR(VLOOKUP($AK24,'3121% SY'!$A$2:$M$324,13,FALSE),0),3)</f>
        <v>0</v>
      </c>
    </row>
    <row r="25" spans="1:55" x14ac:dyDescent="0.25">
      <c r="A25" s="88" t="s">
        <v>29</v>
      </c>
      <c r="B25" s="90"/>
      <c r="C25" s="90">
        <v>3.149</v>
      </c>
      <c r="D25" s="90">
        <v>2.7690000000000001</v>
      </c>
      <c r="E25" s="90"/>
      <c r="F25" s="90">
        <v>1.52</v>
      </c>
      <c r="G25" s="90"/>
      <c r="H25" s="90"/>
      <c r="I25" s="90"/>
      <c r="J25" s="90"/>
      <c r="K25" s="90"/>
      <c r="L25" s="90"/>
      <c r="M25" s="90"/>
      <c r="N25" s="90"/>
      <c r="P25" s="90">
        <f t="shared" si="4"/>
        <v>1.52</v>
      </c>
      <c r="Q25" s="90">
        <f>SUM($B25:E25)</f>
        <v>5.9180000000000001</v>
      </c>
      <c r="R25" s="89"/>
      <c r="S25" s="88" t="s">
        <v>191</v>
      </c>
      <c r="T25" s="90"/>
      <c r="U25" s="90"/>
      <c r="V25" s="90"/>
      <c r="W25" s="90">
        <v>1</v>
      </c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>
        <f t="shared" si="5"/>
        <v>0</v>
      </c>
      <c r="AI25" s="90">
        <f t="shared" si="6"/>
        <v>1</v>
      </c>
      <c r="AJ25" s="89"/>
      <c r="AK25" s="88" t="s">
        <v>37</v>
      </c>
      <c r="AL25" s="90"/>
      <c r="AM25" s="90">
        <v>0.83199999999999996</v>
      </c>
      <c r="AN25" s="90">
        <v>3.3460000000000001</v>
      </c>
      <c r="AO25" s="90"/>
      <c r="AP25" s="90"/>
      <c r="AQ25" s="90"/>
      <c r="AR25" s="90">
        <v>0.7</v>
      </c>
      <c r="AS25" s="90"/>
      <c r="AT25" s="90">
        <v>9.3390000000000004</v>
      </c>
      <c r="AU25" s="90">
        <v>4.25</v>
      </c>
      <c r="AV25" s="90"/>
      <c r="AW25" s="90">
        <v>0.9</v>
      </c>
      <c r="AX25" s="90">
        <v>3</v>
      </c>
      <c r="AY25" s="90"/>
      <c r="AZ25" s="90">
        <f t="shared" si="7"/>
        <v>18.189</v>
      </c>
      <c r="BA25" s="90">
        <f>ROUND(AZ25*IFERROR(VLOOKUP($AK25,'3121% SY'!$A$2:$M$324,13,FALSE),0),3)</f>
        <v>3.9180000000000001</v>
      </c>
      <c r="BB25" s="90">
        <f t="shared" si="8"/>
        <v>4.1779999999999999</v>
      </c>
      <c r="BC25" s="90">
        <f>ROUND(BB25*IFERROR(VLOOKUP($AK25,'3121% SY'!$A$2:$M$324,13,FALSE),0),3)</f>
        <v>0.9</v>
      </c>
    </row>
    <row r="26" spans="1:55" x14ac:dyDescent="0.25">
      <c r="A26" s="88" t="s">
        <v>30</v>
      </c>
      <c r="B26" s="90"/>
      <c r="C26" s="90"/>
      <c r="D26" s="90"/>
      <c r="E26" s="90"/>
      <c r="F26" s="90">
        <v>1</v>
      </c>
      <c r="G26" s="90"/>
      <c r="H26" s="90"/>
      <c r="I26" s="90"/>
      <c r="J26" s="90"/>
      <c r="K26" s="90"/>
      <c r="L26" s="90"/>
      <c r="M26" s="90"/>
      <c r="N26" s="90"/>
      <c r="P26" s="90">
        <f t="shared" si="4"/>
        <v>1</v>
      </c>
      <c r="Q26" s="90">
        <f>SUM($B26:E26)</f>
        <v>0</v>
      </c>
      <c r="R26" s="89"/>
      <c r="S26" s="88" t="s">
        <v>203</v>
      </c>
      <c r="T26" s="90"/>
      <c r="U26" s="90"/>
      <c r="V26" s="90"/>
      <c r="W26" s="90">
        <v>1.232</v>
      </c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>
        <f t="shared" si="5"/>
        <v>0</v>
      </c>
      <c r="AI26" s="90">
        <f t="shared" si="6"/>
        <v>1.232</v>
      </c>
      <c r="AJ26" s="89"/>
      <c r="AK26" s="88" t="s">
        <v>38</v>
      </c>
      <c r="AL26" s="90"/>
      <c r="AM26" s="90"/>
      <c r="AN26" s="90">
        <v>0.52</v>
      </c>
      <c r="AO26" s="90"/>
      <c r="AP26" s="90"/>
      <c r="AQ26" s="90"/>
      <c r="AR26" s="90"/>
      <c r="AS26" s="90"/>
      <c r="AT26" s="90">
        <v>2</v>
      </c>
      <c r="AU26" s="90">
        <v>0.15</v>
      </c>
      <c r="AV26" s="90"/>
      <c r="AW26" s="90"/>
      <c r="AX26" s="90"/>
      <c r="AY26" s="90"/>
      <c r="AZ26" s="90">
        <f t="shared" si="7"/>
        <v>2.15</v>
      </c>
      <c r="BA26" s="90">
        <f>ROUND(AZ26*IFERROR(VLOOKUP($AK26,'3121% SY'!$A$2:$M$324,13,FALSE),0),3)</f>
        <v>0.435</v>
      </c>
      <c r="BB26" s="90">
        <f t="shared" si="8"/>
        <v>0.52</v>
      </c>
      <c r="BC26" s="90">
        <f>ROUND(BB26*IFERROR(VLOOKUP($AK26,'3121% SY'!$A$2:$M$324,13,FALSE),0),3)</f>
        <v>0.105</v>
      </c>
    </row>
    <row r="27" spans="1:55" x14ac:dyDescent="0.25">
      <c r="A27" s="88" t="s">
        <v>31</v>
      </c>
      <c r="B27" s="90"/>
      <c r="C27" s="90">
        <v>2.2959999999999998</v>
      </c>
      <c r="D27" s="90">
        <v>0.81499999999999995</v>
      </c>
      <c r="E27" s="90"/>
      <c r="F27" s="90">
        <v>0.9</v>
      </c>
      <c r="G27" s="90"/>
      <c r="H27" s="90"/>
      <c r="I27" s="90"/>
      <c r="J27" s="90"/>
      <c r="K27" s="90"/>
      <c r="L27" s="90"/>
      <c r="M27" s="90"/>
      <c r="N27" s="90"/>
      <c r="P27" s="90">
        <f t="shared" si="4"/>
        <v>0.9</v>
      </c>
      <c r="Q27" s="90">
        <f>SUM($B27:E27)</f>
        <v>3.1109999999999998</v>
      </c>
      <c r="R27" s="89"/>
      <c r="S27" s="88" t="s">
        <v>214</v>
      </c>
      <c r="T27" s="90"/>
      <c r="U27" s="90">
        <v>4.32</v>
      </c>
      <c r="V27" s="90"/>
      <c r="W27" s="90">
        <v>1.278</v>
      </c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>
        <f t="shared" si="5"/>
        <v>0</v>
      </c>
      <c r="AI27" s="90">
        <f t="shared" si="6"/>
        <v>5.5980000000000008</v>
      </c>
      <c r="AJ27" s="89"/>
      <c r="AK27" s="88" t="s">
        <v>39</v>
      </c>
      <c r="AL27" s="90"/>
      <c r="AM27" s="90">
        <v>1.796</v>
      </c>
      <c r="AN27" s="90">
        <v>0.81499999999999995</v>
      </c>
      <c r="AO27" s="90"/>
      <c r="AP27" s="90"/>
      <c r="AQ27" s="90"/>
      <c r="AR27" s="90">
        <v>0.2</v>
      </c>
      <c r="AS27" s="90"/>
      <c r="AT27" s="90">
        <v>3.2</v>
      </c>
      <c r="AU27" s="90">
        <v>3</v>
      </c>
      <c r="AV27" s="90"/>
      <c r="AW27" s="90"/>
      <c r="AX27" s="90"/>
      <c r="AY27" s="90"/>
      <c r="AZ27" s="90">
        <f t="shared" si="7"/>
        <v>6.4</v>
      </c>
      <c r="BA27" s="90">
        <f>ROUND(AZ27*IFERROR(VLOOKUP($AK27,'3121% SY'!$A$2:$M$324,13,FALSE),0),3)</f>
        <v>1.42</v>
      </c>
      <c r="BB27" s="90">
        <f t="shared" si="8"/>
        <v>2.6109999999999998</v>
      </c>
      <c r="BC27" s="90">
        <f>ROUND(BB27*IFERROR(VLOOKUP($AK27,'3121% SY'!$A$2:$M$324,13,FALSE),0),3)</f>
        <v>0.57899999999999996</v>
      </c>
    </row>
    <row r="28" spans="1:55" x14ac:dyDescent="0.25">
      <c r="A28" s="88" t="s">
        <v>613</v>
      </c>
      <c r="B28" s="90"/>
      <c r="C28" s="90"/>
      <c r="D28" s="90"/>
      <c r="E28" s="90"/>
      <c r="F28" s="90"/>
      <c r="G28" s="90"/>
      <c r="H28" s="90">
        <v>0.45100000000000001</v>
      </c>
      <c r="I28" s="90"/>
      <c r="J28" s="90"/>
      <c r="K28" s="90"/>
      <c r="L28" s="90"/>
      <c r="M28" s="90"/>
      <c r="N28" s="90"/>
      <c r="P28" s="90">
        <f t="shared" si="4"/>
        <v>0.45100000000000001</v>
      </c>
      <c r="Q28" s="90">
        <f>SUM($B28:E28)</f>
        <v>0</v>
      </c>
      <c r="R28" s="89"/>
      <c r="S28" s="88" t="s">
        <v>628</v>
      </c>
      <c r="T28" s="90">
        <v>1</v>
      </c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>
        <f t="shared" si="5"/>
        <v>0</v>
      </c>
      <c r="AI28" s="90">
        <f t="shared" si="6"/>
        <v>1</v>
      </c>
      <c r="AJ28" s="89"/>
      <c r="AK28" s="88" t="s">
        <v>40</v>
      </c>
      <c r="AL28" s="90"/>
      <c r="AM28" s="90"/>
      <c r="AN28" s="90">
        <v>0.94899999999999995</v>
      </c>
      <c r="AO28" s="90"/>
      <c r="AP28" s="90"/>
      <c r="AQ28" s="90"/>
      <c r="AR28" s="90">
        <v>0.19</v>
      </c>
      <c r="AS28" s="90"/>
      <c r="AT28" s="90">
        <v>0.73</v>
      </c>
      <c r="AU28" s="90">
        <v>1.2</v>
      </c>
      <c r="AV28" s="90"/>
      <c r="AW28" s="90">
        <v>0.09</v>
      </c>
      <c r="AX28" s="90">
        <v>0.09</v>
      </c>
      <c r="AY28" s="90"/>
      <c r="AZ28" s="90">
        <f t="shared" si="7"/>
        <v>2.2999999999999998</v>
      </c>
      <c r="BA28" s="90">
        <f>ROUND(AZ28*IFERROR(VLOOKUP($AK28,'3121% SY'!$A$2:$M$324,13,FALSE),0),3)</f>
        <v>0.41299999999999998</v>
      </c>
      <c r="BB28" s="90">
        <f t="shared" si="8"/>
        <v>0.94899999999999995</v>
      </c>
      <c r="BC28" s="90">
        <f>ROUND(BB28*IFERROR(VLOOKUP($AK28,'3121% SY'!$A$2:$M$324,13,FALSE),0),3)</f>
        <v>0.17</v>
      </c>
    </row>
    <row r="29" spans="1:55" x14ac:dyDescent="0.25">
      <c r="A29" s="88" t="s">
        <v>32</v>
      </c>
      <c r="B29" s="90">
        <v>23.869</v>
      </c>
      <c r="C29" s="90">
        <v>54.585000000000001</v>
      </c>
      <c r="D29" s="90">
        <v>0.42099999999999999</v>
      </c>
      <c r="E29" s="90">
        <v>12.811999999999999</v>
      </c>
      <c r="F29" s="90">
        <v>22.08</v>
      </c>
      <c r="G29" s="90"/>
      <c r="H29" s="90"/>
      <c r="I29" s="90"/>
      <c r="J29" s="90"/>
      <c r="K29" s="90">
        <v>6.3710000000000004</v>
      </c>
      <c r="L29" s="90"/>
      <c r="M29" s="90"/>
      <c r="N29" s="90"/>
      <c r="P29" s="90">
        <f t="shared" si="4"/>
        <v>28.451000000000001</v>
      </c>
      <c r="Q29" s="90">
        <f>SUM($B29:E29)</f>
        <v>91.687000000000012</v>
      </c>
      <c r="R29" s="89"/>
      <c r="S29" s="88" t="s">
        <v>254</v>
      </c>
      <c r="T29" s="90"/>
      <c r="U29" s="90">
        <v>1</v>
      </c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>
        <f t="shared" si="5"/>
        <v>0</v>
      </c>
      <c r="AI29" s="90">
        <f t="shared" si="6"/>
        <v>1</v>
      </c>
      <c r="AJ29" s="89"/>
      <c r="AK29" s="88" t="s">
        <v>43</v>
      </c>
      <c r="AL29" s="90"/>
      <c r="AM29" s="90"/>
      <c r="AN29" s="90">
        <v>5.0519999999999996</v>
      </c>
      <c r="AO29" s="90"/>
      <c r="AP29" s="90"/>
      <c r="AQ29" s="90"/>
      <c r="AR29" s="90">
        <v>0.33400000000000002</v>
      </c>
      <c r="AS29" s="90"/>
      <c r="AT29" s="90">
        <v>0.72</v>
      </c>
      <c r="AU29" s="90">
        <v>0.25</v>
      </c>
      <c r="AV29" s="90"/>
      <c r="AW29" s="90">
        <v>0.33</v>
      </c>
      <c r="AX29" s="90"/>
      <c r="AY29" s="90"/>
      <c r="AZ29" s="90">
        <f t="shared" si="7"/>
        <v>1.6340000000000001</v>
      </c>
      <c r="BA29" s="90">
        <f>ROUND(AZ29*IFERROR(VLOOKUP($AK29,'3121% SY'!$A$2:$M$324,13,FALSE),0),3)</f>
        <v>0.40400000000000003</v>
      </c>
      <c r="BB29" s="90">
        <f t="shared" si="8"/>
        <v>5.0519999999999996</v>
      </c>
      <c r="BC29" s="90">
        <f>ROUND(BB29*IFERROR(VLOOKUP($AK29,'3121% SY'!$A$2:$M$324,13,FALSE),0),3)</f>
        <v>1.248</v>
      </c>
    </row>
    <row r="30" spans="1:55" x14ac:dyDescent="0.25">
      <c r="A30" s="88" t="s">
        <v>33</v>
      </c>
      <c r="B30" s="90"/>
      <c r="C30" s="90"/>
      <c r="D30" s="90"/>
      <c r="E30" s="90">
        <v>0.754</v>
      </c>
      <c r="F30" s="90">
        <v>2</v>
      </c>
      <c r="G30" s="90"/>
      <c r="H30" s="90"/>
      <c r="I30" s="90"/>
      <c r="J30" s="90"/>
      <c r="K30" s="90"/>
      <c r="L30" s="90"/>
      <c r="M30" s="90"/>
      <c r="N30" s="90"/>
      <c r="P30" s="90">
        <f t="shared" si="4"/>
        <v>2</v>
      </c>
      <c r="Q30" s="90">
        <f>SUM($B30:E30)</f>
        <v>0.754</v>
      </c>
      <c r="R30" s="89"/>
      <c r="S30" s="88" t="s">
        <v>268</v>
      </c>
      <c r="T30" s="90"/>
      <c r="U30" s="90"/>
      <c r="V30" s="90"/>
      <c r="W30" s="90">
        <v>1</v>
      </c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>
        <f t="shared" si="5"/>
        <v>0</v>
      </c>
      <c r="AI30" s="90">
        <f t="shared" si="6"/>
        <v>1</v>
      </c>
      <c r="AJ30" s="89"/>
      <c r="AK30" s="88" t="s">
        <v>47</v>
      </c>
      <c r="AL30" s="90"/>
      <c r="AM30" s="90"/>
      <c r="AN30" s="90"/>
      <c r="AO30" s="90"/>
      <c r="AP30" s="90"/>
      <c r="AQ30" s="90"/>
      <c r="AR30" s="90"/>
      <c r="AS30" s="90"/>
      <c r="AT30" s="90">
        <v>1</v>
      </c>
      <c r="AU30" s="90">
        <v>0.75</v>
      </c>
      <c r="AV30" s="90"/>
      <c r="AW30" s="90"/>
      <c r="AX30" s="90"/>
      <c r="AY30" s="90"/>
      <c r="AZ30" s="90">
        <f t="shared" si="7"/>
        <v>1.75</v>
      </c>
      <c r="BA30" s="90">
        <f>ROUND(AZ30*IFERROR(VLOOKUP($AK30,'3121% SY'!$A$2:$M$324,13,FALSE),0),3)</f>
        <v>0.41299999999999998</v>
      </c>
      <c r="BB30" s="90">
        <f t="shared" si="8"/>
        <v>0</v>
      </c>
      <c r="BC30" s="90">
        <f>ROUND(BB30*IFERROR(VLOOKUP($AK30,'3121% SY'!$A$2:$M$324,13,FALSE),0),3)</f>
        <v>0</v>
      </c>
    </row>
    <row r="31" spans="1:55" x14ac:dyDescent="0.25">
      <c r="A31" s="88" t="s">
        <v>34</v>
      </c>
      <c r="B31" s="90"/>
      <c r="C31" s="90">
        <v>1.9E-2</v>
      </c>
      <c r="D31" s="90"/>
      <c r="E31" s="90"/>
      <c r="F31" s="90">
        <v>1.66</v>
      </c>
      <c r="G31" s="90"/>
      <c r="H31" s="90"/>
      <c r="I31" s="90"/>
      <c r="J31" s="90"/>
      <c r="K31" s="90"/>
      <c r="L31" s="90"/>
      <c r="M31" s="90"/>
      <c r="N31" s="90"/>
      <c r="P31" s="90">
        <f t="shared" si="4"/>
        <v>1.66</v>
      </c>
      <c r="Q31" s="90">
        <f>SUM($B31:E31)</f>
        <v>1.9E-2</v>
      </c>
      <c r="R31" s="89"/>
      <c r="S31" s="88" t="s">
        <v>672</v>
      </c>
      <c r="T31" s="90"/>
      <c r="U31" s="90">
        <v>0.255</v>
      </c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>
        <f t="shared" si="5"/>
        <v>0</v>
      </c>
      <c r="AI31" s="90">
        <f t="shared" si="6"/>
        <v>0.255</v>
      </c>
      <c r="AJ31" s="89"/>
      <c r="AK31" s="88" t="s">
        <v>48</v>
      </c>
      <c r="AL31" s="90"/>
      <c r="AM31" s="90">
        <v>2.1999999999999999E-2</v>
      </c>
      <c r="AN31" s="90">
        <v>0.59599999999999997</v>
      </c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>
        <f t="shared" si="7"/>
        <v>0</v>
      </c>
      <c r="BA31" s="90">
        <f>ROUND(AZ31*IFERROR(VLOOKUP($AK31,'3121% SY'!$A$2:$M$324,13,FALSE),0),3)</f>
        <v>0</v>
      </c>
      <c r="BB31" s="90">
        <f t="shared" si="8"/>
        <v>0.61799999999999999</v>
      </c>
      <c r="BC31" s="90">
        <f>ROUND(BB31*IFERROR(VLOOKUP($AK31,'3121% SY'!$A$2:$M$324,13,FALSE),0),3)</f>
        <v>0.159</v>
      </c>
    </row>
    <row r="32" spans="1:55" x14ac:dyDescent="0.25">
      <c r="A32" s="88" t="s">
        <v>35</v>
      </c>
      <c r="B32" s="90"/>
      <c r="C32" s="90">
        <v>0.55200000000000005</v>
      </c>
      <c r="D32" s="90">
        <v>0.25</v>
      </c>
      <c r="E32" s="90"/>
      <c r="F32" s="90"/>
      <c r="G32" s="90"/>
      <c r="H32" s="90"/>
      <c r="I32" s="90"/>
      <c r="J32" s="90"/>
      <c r="K32" s="90"/>
      <c r="L32" s="90"/>
      <c r="M32" s="90"/>
      <c r="N32" s="90"/>
      <c r="P32" s="90">
        <f t="shared" si="4"/>
        <v>0</v>
      </c>
      <c r="Q32" s="90">
        <f>SUM($B32:E32)</f>
        <v>0.80200000000000005</v>
      </c>
      <c r="R32" s="89"/>
      <c r="S32" s="88" t="s">
        <v>295</v>
      </c>
      <c r="T32" s="90"/>
      <c r="U32" s="90"/>
      <c r="V32" s="90"/>
      <c r="W32" s="90">
        <v>3.35</v>
      </c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>
        <f t="shared" si="5"/>
        <v>0</v>
      </c>
      <c r="AI32" s="90">
        <f t="shared" si="6"/>
        <v>3.35</v>
      </c>
      <c r="AJ32" s="89"/>
      <c r="AK32" s="88" t="s">
        <v>52</v>
      </c>
      <c r="AL32" s="90"/>
      <c r="AM32" s="90">
        <v>2.0059999999999998</v>
      </c>
      <c r="AN32" s="90">
        <v>1.754</v>
      </c>
      <c r="AO32" s="90"/>
      <c r="AP32" s="90"/>
      <c r="AQ32" s="90"/>
      <c r="AR32" s="90">
        <v>0.123</v>
      </c>
      <c r="AS32" s="90"/>
      <c r="AT32" s="90">
        <v>0.33400000000000002</v>
      </c>
      <c r="AU32" s="90">
        <v>1.8</v>
      </c>
      <c r="AV32" s="90">
        <v>0.248</v>
      </c>
      <c r="AW32" s="90">
        <v>0.61599999999999999</v>
      </c>
      <c r="AX32" s="90">
        <v>0.154</v>
      </c>
      <c r="AY32" s="90"/>
      <c r="AZ32" s="90">
        <f t="shared" si="7"/>
        <v>3.2749999999999999</v>
      </c>
      <c r="BA32" s="90">
        <f>ROUND(AZ32*IFERROR(VLOOKUP($AK32,'3121% SY'!$A$2:$M$324,13,FALSE),0),3)</f>
        <v>0.67900000000000005</v>
      </c>
      <c r="BB32" s="90">
        <f t="shared" si="8"/>
        <v>3.76</v>
      </c>
      <c r="BC32" s="90">
        <f>ROUND(BB32*IFERROR(VLOOKUP($AK32,'3121% SY'!$A$2:$M$324,13,FALSE),0),3)</f>
        <v>0.77900000000000003</v>
      </c>
    </row>
    <row r="33" spans="1:55" x14ac:dyDescent="0.25">
      <c r="A33" s="88" t="s">
        <v>36</v>
      </c>
      <c r="B33" s="90">
        <v>0.53700000000000003</v>
      </c>
      <c r="C33" s="90">
        <v>0.76700000000000002</v>
      </c>
      <c r="D33" s="90"/>
      <c r="E33" s="90">
        <v>1.3340000000000001</v>
      </c>
      <c r="F33" s="90">
        <v>2.2719999999999998</v>
      </c>
      <c r="G33" s="90"/>
      <c r="H33" s="90"/>
      <c r="I33" s="90"/>
      <c r="J33" s="90"/>
      <c r="K33" s="90"/>
      <c r="L33" s="90"/>
      <c r="M33" s="90"/>
      <c r="N33" s="90"/>
      <c r="P33" s="90">
        <f t="shared" si="4"/>
        <v>2.2719999999999998</v>
      </c>
      <c r="Q33" s="90">
        <f>SUM($B33:E33)</f>
        <v>2.6379999999999999</v>
      </c>
      <c r="R33" s="89"/>
      <c r="S33" s="88" t="s">
        <v>299</v>
      </c>
      <c r="T33" s="90"/>
      <c r="U33" s="90">
        <v>0.76900000000000002</v>
      </c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>
        <f t="shared" si="5"/>
        <v>0</v>
      </c>
      <c r="AI33" s="90">
        <f t="shared" si="6"/>
        <v>0.76900000000000002</v>
      </c>
      <c r="AJ33" s="89"/>
      <c r="AK33" s="88" t="s">
        <v>60</v>
      </c>
      <c r="AL33" s="90"/>
      <c r="AM33" s="90">
        <v>18.649000000000001</v>
      </c>
      <c r="AN33" s="90">
        <v>8.2189999999999994</v>
      </c>
      <c r="AO33" s="90"/>
      <c r="AP33" s="90"/>
      <c r="AQ33" s="90"/>
      <c r="AR33" s="90"/>
      <c r="AS33" s="90"/>
      <c r="AT33" s="90">
        <v>13.222</v>
      </c>
      <c r="AU33" s="90">
        <v>14.933</v>
      </c>
      <c r="AV33" s="90"/>
      <c r="AW33" s="90"/>
      <c r="AX33" s="90"/>
      <c r="AY33" s="90"/>
      <c r="AZ33" s="90">
        <f t="shared" si="7"/>
        <v>28.155000000000001</v>
      </c>
      <c r="BA33" s="90">
        <f>ROUND(AZ33*IFERROR(VLOOKUP($AK33,'3121% SY'!$A$2:$M$324,13,FALSE),0),3)</f>
        <v>7.7510000000000003</v>
      </c>
      <c r="BB33" s="90">
        <f t="shared" si="8"/>
        <v>26.868000000000002</v>
      </c>
      <c r="BC33" s="90">
        <f>ROUND(BB33*IFERROR(VLOOKUP($AK33,'3121% SY'!$A$2:$M$324,13,FALSE),0),3)</f>
        <v>7.3970000000000002</v>
      </c>
    </row>
    <row r="34" spans="1:55" x14ac:dyDescent="0.25">
      <c r="A34" s="88" t="s">
        <v>37</v>
      </c>
      <c r="B34" s="90"/>
      <c r="C34" s="90">
        <v>36.594999999999999</v>
      </c>
      <c r="D34" s="90">
        <v>6.3860000000000001</v>
      </c>
      <c r="E34" s="90">
        <v>15.875999999999999</v>
      </c>
      <c r="F34" s="90">
        <v>20.317</v>
      </c>
      <c r="G34" s="90"/>
      <c r="H34" s="90"/>
      <c r="I34" s="90"/>
      <c r="J34" s="90"/>
      <c r="K34" s="90">
        <v>5.085</v>
      </c>
      <c r="L34" s="90"/>
      <c r="M34" s="90"/>
      <c r="N34" s="90"/>
      <c r="P34" s="90">
        <f t="shared" si="4"/>
        <v>25.402000000000001</v>
      </c>
      <c r="Q34" s="90">
        <f>SUM($B34:E34)</f>
        <v>58.856999999999999</v>
      </c>
      <c r="R34" s="89"/>
      <c r="S34" s="88" t="s">
        <v>633</v>
      </c>
      <c r="T34" s="90"/>
      <c r="U34" s="90">
        <v>6</v>
      </c>
      <c r="V34" s="90"/>
      <c r="W34" s="90">
        <v>1</v>
      </c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>
        <f t="shared" si="5"/>
        <v>0</v>
      </c>
      <c r="AI34" s="90">
        <f t="shared" si="6"/>
        <v>7</v>
      </c>
      <c r="AJ34" s="89"/>
      <c r="AK34" s="88" t="s">
        <v>61</v>
      </c>
      <c r="AL34" s="90"/>
      <c r="AM34" s="90"/>
      <c r="AN34" s="90">
        <v>2.3879999999999999</v>
      </c>
      <c r="AO34" s="90"/>
      <c r="AP34" s="90"/>
      <c r="AQ34" s="90"/>
      <c r="AR34" s="90"/>
      <c r="AS34" s="90"/>
      <c r="AT34" s="90">
        <v>0.28599999999999998</v>
      </c>
      <c r="AU34" s="90">
        <v>0.57199999999999995</v>
      </c>
      <c r="AV34" s="90"/>
      <c r="AW34" s="90"/>
      <c r="AX34" s="90"/>
      <c r="AY34" s="90"/>
      <c r="AZ34" s="90">
        <f t="shared" si="7"/>
        <v>0.85799999999999987</v>
      </c>
      <c r="BA34" s="90">
        <f>ROUND(AZ34*IFERROR(VLOOKUP($AK34,'3121% SY'!$A$2:$M$324,13,FALSE),0),3)</f>
        <v>0.21099999999999999</v>
      </c>
      <c r="BB34" s="90">
        <f t="shared" si="8"/>
        <v>2.3879999999999999</v>
      </c>
      <c r="BC34" s="90">
        <f>ROUND(BB34*IFERROR(VLOOKUP($AK34,'3121% SY'!$A$2:$M$324,13,FALSE),0),3)</f>
        <v>0.58799999999999997</v>
      </c>
    </row>
    <row r="35" spans="1:55" x14ac:dyDescent="0.25">
      <c r="A35" s="88" t="s">
        <v>38</v>
      </c>
      <c r="B35" s="90"/>
      <c r="C35" s="90">
        <v>7.8719999999999999</v>
      </c>
      <c r="D35" s="90">
        <v>3.37</v>
      </c>
      <c r="E35" s="90">
        <v>0.72599999999999998</v>
      </c>
      <c r="F35" s="90">
        <v>9.5280000000000005</v>
      </c>
      <c r="G35" s="90"/>
      <c r="H35" s="90"/>
      <c r="I35" s="90"/>
      <c r="J35" s="90"/>
      <c r="K35" s="90"/>
      <c r="L35" s="90"/>
      <c r="M35" s="90"/>
      <c r="N35" s="90"/>
      <c r="P35" s="90">
        <f t="shared" si="4"/>
        <v>9.5280000000000005</v>
      </c>
      <c r="Q35" s="90">
        <f>SUM($B35:E35)</f>
        <v>11.968</v>
      </c>
      <c r="R35" s="89"/>
      <c r="S35" s="88" t="s">
        <v>753</v>
      </c>
      <c r="T35" s="90">
        <v>1.2050000000000001</v>
      </c>
      <c r="U35" s="90">
        <v>18.603999999999999</v>
      </c>
      <c r="V35" s="90">
        <v>0</v>
      </c>
      <c r="W35" s="90">
        <v>48.981000000000002</v>
      </c>
      <c r="X35" s="90">
        <v>0</v>
      </c>
      <c r="Y35" s="90">
        <v>0</v>
      </c>
      <c r="Z35" s="90">
        <v>0</v>
      </c>
      <c r="AA35" s="90">
        <v>0</v>
      </c>
      <c r="AB35" s="90">
        <v>0</v>
      </c>
      <c r="AC35" s="90">
        <v>0</v>
      </c>
      <c r="AD35" s="90">
        <v>0</v>
      </c>
      <c r="AE35" s="90">
        <v>0</v>
      </c>
      <c r="AF35" s="90">
        <v>0</v>
      </c>
      <c r="AG35" s="90">
        <v>0</v>
      </c>
      <c r="AH35" s="90">
        <f t="shared" si="5"/>
        <v>0</v>
      </c>
      <c r="AI35" s="90">
        <f t="shared" si="6"/>
        <v>68.789999999999992</v>
      </c>
      <c r="AJ35" s="89"/>
      <c r="AK35" s="88" t="s">
        <v>66</v>
      </c>
      <c r="AL35" s="90"/>
      <c r="AM35" s="90">
        <v>1.452</v>
      </c>
      <c r="AN35" s="90">
        <v>0.31</v>
      </c>
      <c r="AO35" s="90"/>
      <c r="AP35" s="90"/>
      <c r="AQ35" s="90"/>
      <c r="AR35" s="90"/>
      <c r="AS35" s="90"/>
      <c r="AT35" s="90"/>
      <c r="AU35" s="90">
        <v>1</v>
      </c>
      <c r="AV35" s="90"/>
      <c r="AW35" s="90"/>
      <c r="AX35" s="90"/>
      <c r="AY35" s="90"/>
      <c r="AZ35" s="90">
        <f t="shared" si="7"/>
        <v>1</v>
      </c>
      <c r="BA35" s="90">
        <f>ROUND(AZ35*IFERROR(VLOOKUP($AK35,'3121% SY'!$A$2:$M$324,13,FALSE),0),3)</f>
        <v>0.22500000000000001</v>
      </c>
      <c r="BB35" s="90">
        <f t="shared" si="8"/>
        <v>1.762</v>
      </c>
      <c r="BC35" s="90">
        <f>ROUND(BB35*IFERROR(VLOOKUP($AK35,'3121% SY'!$A$2:$M$324,13,FALSE),0),3)</f>
        <v>0.39700000000000002</v>
      </c>
    </row>
    <row r="36" spans="1:55" x14ac:dyDescent="0.25">
      <c r="A36" s="88" t="s">
        <v>39</v>
      </c>
      <c r="B36" s="90">
        <v>2.0670000000000002</v>
      </c>
      <c r="C36" s="90">
        <v>11.167</v>
      </c>
      <c r="D36" s="90">
        <v>0.73799999999999999</v>
      </c>
      <c r="E36" s="90">
        <v>3.69</v>
      </c>
      <c r="F36" s="90">
        <v>11</v>
      </c>
      <c r="G36" s="90"/>
      <c r="H36" s="90"/>
      <c r="I36" s="90"/>
      <c r="J36" s="90"/>
      <c r="K36" s="90">
        <v>1</v>
      </c>
      <c r="L36" s="90"/>
      <c r="M36" s="90"/>
      <c r="N36" s="90"/>
      <c r="P36" s="90">
        <f t="shared" si="4"/>
        <v>12</v>
      </c>
      <c r="Q36" s="90">
        <f>SUM($B36:E36)</f>
        <v>17.661999999999999</v>
      </c>
      <c r="R36" s="89"/>
      <c r="AH36" s="90">
        <f t="shared" si="5"/>
        <v>0</v>
      </c>
      <c r="AI36" s="90">
        <f t="shared" si="6"/>
        <v>0</v>
      </c>
      <c r="AJ36" s="89"/>
      <c r="AK36" s="88" t="s">
        <v>67</v>
      </c>
      <c r="AL36" s="90"/>
      <c r="AM36" s="90"/>
      <c r="AN36" s="90"/>
      <c r="AO36" s="90"/>
      <c r="AP36" s="90"/>
      <c r="AQ36" s="90"/>
      <c r="AR36" s="90"/>
      <c r="AS36" s="90"/>
      <c r="AT36" s="90">
        <v>0.3</v>
      </c>
      <c r="AU36" s="90">
        <v>0.3</v>
      </c>
      <c r="AV36" s="90"/>
      <c r="AW36" s="90"/>
      <c r="AX36" s="90"/>
      <c r="AY36" s="90"/>
      <c r="AZ36" s="90">
        <f t="shared" si="7"/>
        <v>0.6</v>
      </c>
      <c r="BA36" s="90">
        <f>ROUND(AZ36*IFERROR(VLOOKUP($AK36,'3121% SY'!$A$2:$M$324,13,FALSE),0),3)</f>
        <v>0.19600000000000001</v>
      </c>
      <c r="BB36" s="90">
        <f t="shared" si="8"/>
        <v>0</v>
      </c>
      <c r="BC36" s="90">
        <f>ROUND(BB36*IFERROR(VLOOKUP($AK36,'3121% SY'!$A$2:$M$324,13,FALSE),0),3)</f>
        <v>0</v>
      </c>
    </row>
    <row r="37" spans="1:55" x14ac:dyDescent="0.25">
      <c r="A37" s="88" t="s">
        <v>40</v>
      </c>
      <c r="B37" s="90"/>
      <c r="C37" s="90"/>
      <c r="D37" s="90">
        <v>3.5409999999999999</v>
      </c>
      <c r="E37" s="90"/>
      <c r="F37" s="90">
        <v>2.532</v>
      </c>
      <c r="G37" s="90"/>
      <c r="H37" s="90"/>
      <c r="I37" s="90"/>
      <c r="J37" s="90"/>
      <c r="K37" s="90"/>
      <c r="L37" s="90"/>
      <c r="M37" s="90"/>
      <c r="N37" s="90"/>
      <c r="P37" s="90">
        <f t="shared" si="4"/>
        <v>2.532</v>
      </c>
      <c r="Q37" s="90">
        <f>SUM($B37:E37)</f>
        <v>3.5409999999999999</v>
      </c>
      <c r="R37" s="89"/>
      <c r="AH37" s="90">
        <f t="shared" si="5"/>
        <v>0</v>
      </c>
      <c r="AI37" s="90">
        <f t="shared" si="6"/>
        <v>0</v>
      </c>
      <c r="AJ37" s="89"/>
      <c r="AK37" s="88" t="s">
        <v>69</v>
      </c>
      <c r="AL37" s="90"/>
      <c r="AM37" s="90"/>
      <c r="AN37" s="90">
        <v>0.63900000000000001</v>
      </c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>
        <f t="shared" si="7"/>
        <v>0</v>
      </c>
      <c r="BA37" s="90">
        <f>ROUND(AZ37*IFERROR(VLOOKUP($AK37,'3121% SY'!$A$2:$M$324,13,FALSE),0),3)</f>
        <v>0</v>
      </c>
      <c r="BB37" s="90">
        <f t="shared" si="8"/>
        <v>0.63900000000000001</v>
      </c>
      <c r="BC37" s="90">
        <f>ROUND(BB37*IFERROR(VLOOKUP($AK37,'3121% SY'!$A$2:$M$324,13,FALSE),0),3)</f>
        <v>0.16600000000000001</v>
      </c>
    </row>
    <row r="38" spans="1:55" x14ac:dyDescent="0.25">
      <c r="A38" s="88" t="s">
        <v>41</v>
      </c>
      <c r="B38" s="90"/>
      <c r="C38" s="90"/>
      <c r="D38" s="90"/>
      <c r="E38" s="90"/>
      <c r="F38" s="90">
        <v>1</v>
      </c>
      <c r="G38" s="90"/>
      <c r="H38" s="90"/>
      <c r="I38" s="90"/>
      <c r="J38" s="90"/>
      <c r="K38" s="90"/>
      <c r="L38" s="90"/>
      <c r="M38" s="90"/>
      <c r="N38" s="90"/>
      <c r="P38" s="90">
        <f t="shared" si="4"/>
        <v>1</v>
      </c>
      <c r="Q38" s="90">
        <f>SUM($B38:E38)</f>
        <v>0</v>
      </c>
      <c r="R38" s="89"/>
      <c r="AH38" s="90">
        <f t="shared" si="5"/>
        <v>0</v>
      </c>
      <c r="AI38" s="90">
        <f t="shared" si="6"/>
        <v>0</v>
      </c>
      <c r="AJ38" s="89"/>
      <c r="AK38" s="88" t="s">
        <v>70</v>
      </c>
      <c r="AL38" s="90"/>
      <c r="AM38" s="90"/>
      <c r="AN38" s="90"/>
      <c r="AO38" s="90"/>
      <c r="AP38" s="90"/>
      <c r="AQ38" s="90"/>
      <c r="AR38" s="90"/>
      <c r="AS38" s="90"/>
      <c r="AT38" s="90"/>
      <c r="AU38" s="90">
        <v>0.61399999999999999</v>
      </c>
      <c r="AV38" s="90"/>
      <c r="AW38" s="90"/>
      <c r="AX38" s="90"/>
      <c r="AY38" s="90"/>
      <c r="AZ38" s="90">
        <f t="shared" si="7"/>
        <v>0.61399999999999999</v>
      </c>
      <c r="BA38" s="90">
        <f>ROUND(AZ38*IFERROR(VLOOKUP($AK38,'3121% SY'!$A$2:$M$324,13,FALSE),0),3)</f>
        <v>0.125</v>
      </c>
      <c r="BB38" s="90">
        <f t="shared" si="8"/>
        <v>0</v>
      </c>
      <c r="BC38" s="90">
        <f>ROUND(BB38*IFERROR(VLOOKUP($AK38,'3121% SY'!$A$2:$M$324,13,FALSE),0),3)</f>
        <v>0</v>
      </c>
    </row>
    <row r="39" spans="1:55" x14ac:dyDescent="0.25">
      <c r="A39" s="88" t="s">
        <v>43</v>
      </c>
      <c r="B39" s="90"/>
      <c r="C39" s="90">
        <v>0.34</v>
      </c>
      <c r="D39" s="90">
        <v>1.8360000000000001</v>
      </c>
      <c r="E39" s="90"/>
      <c r="F39" s="90">
        <v>5</v>
      </c>
      <c r="G39" s="90"/>
      <c r="H39" s="90"/>
      <c r="I39" s="90"/>
      <c r="J39" s="90">
        <v>0.25</v>
      </c>
      <c r="K39" s="90">
        <v>0.33</v>
      </c>
      <c r="L39" s="90"/>
      <c r="M39" s="90"/>
      <c r="N39" s="90"/>
      <c r="P39" s="90">
        <f t="shared" si="4"/>
        <v>5.58</v>
      </c>
      <c r="Q39" s="90">
        <f>SUM($B39:E39)</f>
        <v>2.1760000000000002</v>
      </c>
      <c r="R39" s="89"/>
      <c r="AH39" s="90">
        <f t="shared" si="5"/>
        <v>0</v>
      </c>
      <c r="AI39" s="90">
        <f t="shared" si="6"/>
        <v>0</v>
      </c>
      <c r="AJ39" s="89"/>
      <c r="AK39" s="88" t="s">
        <v>71</v>
      </c>
      <c r="AL39" s="90"/>
      <c r="AM39" s="90">
        <v>6.4669999999999996</v>
      </c>
      <c r="AN39" s="90">
        <v>3.3929999999999998</v>
      </c>
      <c r="AO39" s="90"/>
      <c r="AP39" s="90"/>
      <c r="AQ39" s="90"/>
      <c r="AR39" s="90"/>
      <c r="AS39" s="90"/>
      <c r="AT39" s="90">
        <v>0.91</v>
      </c>
      <c r="AU39" s="90"/>
      <c r="AV39" s="90"/>
      <c r="AW39" s="90"/>
      <c r="AX39" s="90">
        <v>0.29499999999999998</v>
      </c>
      <c r="AY39" s="90"/>
      <c r="AZ39" s="90">
        <f t="shared" si="7"/>
        <v>1.2050000000000001</v>
      </c>
      <c r="BA39" s="90">
        <f>ROUND(AZ39*IFERROR(VLOOKUP($AK39,'3121% SY'!$A$2:$M$324,13,FALSE),0),3)</f>
        <v>0.30199999999999999</v>
      </c>
      <c r="BB39" s="90">
        <f t="shared" si="8"/>
        <v>9.86</v>
      </c>
      <c r="BC39" s="90">
        <f>ROUND(BB39*IFERROR(VLOOKUP($AK39,'3121% SY'!$A$2:$M$324,13,FALSE),0),3)</f>
        <v>2.4710000000000001</v>
      </c>
    </row>
    <row r="40" spans="1:55" x14ac:dyDescent="0.25">
      <c r="A40" s="88" t="s">
        <v>44</v>
      </c>
      <c r="B40" s="90">
        <v>0.75700000000000001</v>
      </c>
      <c r="C40" s="90"/>
      <c r="D40" s="90">
        <v>0.59699999999999998</v>
      </c>
      <c r="E40" s="90"/>
      <c r="F40" s="90">
        <v>1</v>
      </c>
      <c r="G40" s="90"/>
      <c r="H40" s="90"/>
      <c r="I40" s="90"/>
      <c r="J40" s="90"/>
      <c r="K40" s="90"/>
      <c r="L40" s="90"/>
      <c r="M40" s="90"/>
      <c r="N40" s="90"/>
      <c r="P40" s="90">
        <f t="shared" si="4"/>
        <v>1</v>
      </c>
      <c r="Q40" s="90">
        <f>SUM($B40:E40)</f>
        <v>1.3540000000000001</v>
      </c>
      <c r="R40" s="89"/>
      <c r="AH40" s="90">
        <f t="shared" si="5"/>
        <v>0</v>
      </c>
      <c r="AI40" s="90">
        <f t="shared" si="6"/>
        <v>0</v>
      </c>
      <c r="AJ40" s="89"/>
      <c r="AK40" s="88" t="s">
        <v>72</v>
      </c>
      <c r="AL40" s="90"/>
      <c r="AM40" s="90">
        <v>0.83099999999999996</v>
      </c>
      <c r="AN40" s="90">
        <v>0.12</v>
      </c>
      <c r="AO40" s="90"/>
      <c r="AP40" s="90"/>
      <c r="AQ40" s="90"/>
      <c r="AR40" s="90"/>
      <c r="AS40" s="90"/>
      <c r="AT40" s="90">
        <v>0.86899999999999999</v>
      </c>
      <c r="AU40" s="90">
        <v>0.76200000000000001</v>
      </c>
      <c r="AV40" s="90"/>
      <c r="AW40" s="90"/>
      <c r="AX40" s="90"/>
      <c r="AY40" s="90"/>
      <c r="AZ40" s="90">
        <f t="shared" si="7"/>
        <v>1.631</v>
      </c>
      <c r="BA40" s="90">
        <f>ROUND(AZ40*IFERROR(VLOOKUP($AK40,'3121% SY'!$A$2:$M$324,13,FALSE),0),3)</f>
        <v>0.38700000000000001</v>
      </c>
      <c r="BB40" s="90">
        <f t="shared" si="8"/>
        <v>0.95099999999999996</v>
      </c>
      <c r="BC40" s="90">
        <f>ROUND(BB40*IFERROR(VLOOKUP($AK40,'3121% SY'!$A$2:$M$324,13,FALSE),0),3)</f>
        <v>0.22600000000000001</v>
      </c>
    </row>
    <row r="41" spans="1:55" x14ac:dyDescent="0.25">
      <c r="A41" s="88" t="s">
        <v>45</v>
      </c>
      <c r="B41" s="90"/>
      <c r="C41" s="90">
        <v>2.6349999999999998</v>
      </c>
      <c r="D41" s="90">
        <v>0.2</v>
      </c>
      <c r="E41" s="90"/>
      <c r="F41" s="90">
        <v>1</v>
      </c>
      <c r="G41" s="90"/>
      <c r="H41" s="90"/>
      <c r="I41" s="90"/>
      <c r="J41" s="90"/>
      <c r="K41" s="90"/>
      <c r="L41" s="90"/>
      <c r="M41" s="90"/>
      <c r="N41" s="90"/>
      <c r="P41" s="90">
        <f t="shared" si="4"/>
        <v>1</v>
      </c>
      <c r="Q41" s="90">
        <f>SUM($B41:E41)</f>
        <v>2.835</v>
      </c>
      <c r="R41" s="89"/>
      <c r="AH41" s="90">
        <f t="shared" si="5"/>
        <v>0</v>
      </c>
      <c r="AI41" s="90">
        <f t="shared" si="6"/>
        <v>0</v>
      </c>
      <c r="AJ41" s="89"/>
      <c r="AK41" s="88" t="s">
        <v>75</v>
      </c>
      <c r="AL41" s="90"/>
      <c r="AM41" s="90"/>
      <c r="AN41" s="90">
        <v>3.6259999999999999</v>
      </c>
      <c r="AO41" s="90"/>
      <c r="AP41" s="90"/>
      <c r="AQ41" s="90"/>
      <c r="AR41" s="90"/>
      <c r="AS41" s="90"/>
      <c r="AT41" s="90"/>
      <c r="AU41" s="90">
        <v>0.15</v>
      </c>
      <c r="AV41" s="90"/>
      <c r="AW41" s="90"/>
      <c r="AX41" s="90"/>
      <c r="AY41" s="90"/>
      <c r="AZ41" s="90">
        <f t="shared" si="7"/>
        <v>0.15</v>
      </c>
      <c r="BA41" s="90">
        <f>ROUND(AZ41*IFERROR(VLOOKUP($AK41,'3121% SY'!$A$2:$M$324,13,FALSE),0),3)</f>
        <v>0.04</v>
      </c>
      <c r="BB41" s="90">
        <f t="shared" si="8"/>
        <v>3.6259999999999999</v>
      </c>
      <c r="BC41" s="90">
        <f>ROUND(BB41*IFERROR(VLOOKUP($AK41,'3121% SY'!$A$2:$M$324,13,FALSE),0),3)</f>
        <v>0.97399999999999998</v>
      </c>
    </row>
    <row r="42" spans="1:55" x14ac:dyDescent="0.25">
      <c r="A42" s="88" t="s">
        <v>46</v>
      </c>
      <c r="B42" s="90"/>
      <c r="C42" s="90">
        <v>1.24</v>
      </c>
      <c r="D42" s="90">
        <v>0.33500000000000002</v>
      </c>
      <c r="E42" s="90"/>
      <c r="F42" s="90">
        <v>1.081</v>
      </c>
      <c r="G42" s="90"/>
      <c r="H42" s="90"/>
      <c r="I42" s="90"/>
      <c r="J42" s="90"/>
      <c r="K42" s="90"/>
      <c r="L42" s="90"/>
      <c r="M42" s="90"/>
      <c r="N42" s="90"/>
      <c r="P42" s="90">
        <f t="shared" si="4"/>
        <v>1.081</v>
      </c>
      <c r="Q42" s="90">
        <f>SUM($B42:E42)</f>
        <v>1.575</v>
      </c>
      <c r="R42" s="89"/>
      <c r="AH42" s="90">
        <f t="shared" si="5"/>
        <v>0</v>
      </c>
      <c r="AI42" s="90">
        <f t="shared" si="6"/>
        <v>0</v>
      </c>
      <c r="AJ42" s="89"/>
      <c r="AK42" s="88" t="s">
        <v>76</v>
      </c>
      <c r="AL42" s="90"/>
      <c r="AM42" s="90"/>
      <c r="AN42" s="90">
        <v>0.57499999999999996</v>
      </c>
      <c r="AO42" s="90"/>
      <c r="AP42" s="90"/>
      <c r="AQ42" s="90"/>
      <c r="AR42" s="90"/>
      <c r="AS42" s="90"/>
      <c r="AT42" s="90"/>
      <c r="AU42" s="90">
        <v>0.4</v>
      </c>
      <c r="AV42" s="90"/>
      <c r="AW42" s="90"/>
      <c r="AX42" s="90"/>
      <c r="AY42" s="90">
        <v>2.0209999999999999</v>
      </c>
      <c r="AZ42" s="90">
        <f t="shared" si="7"/>
        <v>2.4209999999999998</v>
      </c>
      <c r="BA42" s="90">
        <f>ROUND(AZ42*IFERROR(VLOOKUP($AK42,'3121% SY'!$A$2:$M$324,13,FALSE),0),3)</f>
        <v>0.48499999999999999</v>
      </c>
      <c r="BB42" s="90">
        <f t="shared" si="8"/>
        <v>0.57499999999999996</v>
      </c>
      <c r="BC42" s="90">
        <f>ROUND(BB42*IFERROR(VLOOKUP($AK42,'3121% SY'!$A$2:$M$324,13,FALSE),0),3)</f>
        <v>0.115</v>
      </c>
    </row>
    <row r="43" spans="1:55" x14ac:dyDescent="0.25">
      <c r="A43" s="88" t="s">
        <v>47</v>
      </c>
      <c r="B43" s="90"/>
      <c r="C43" s="90"/>
      <c r="D43" s="90"/>
      <c r="E43" s="90"/>
      <c r="F43" s="90">
        <v>1.75</v>
      </c>
      <c r="G43" s="90"/>
      <c r="H43" s="90"/>
      <c r="I43" s="90"/>
      <c r="J43" s="90">
        <v>0.25</v>
      </c>
      <c r="K43" s="90">
        <v>0.25</v>
      </c>
      <c r="L43" s="90"/>
      <c r="M43" s="90"/>
      <c r="N43" s="90"/>
      <c r="P43" s="90">
        <f t="shared" si="4"/>
        <v>2.25</v>
      </c>
      <c r="Q43" s="90">
        <f>SUM($B43:E43)</f>
        <v>0</v>
      </c>
      <c r="R43" s="89"/>
      <c r="AH43" s="90">
        <f t="shared" si="5"/>
        <v>0</v>
      </c>
      <c r="AI43" s="90">
        <f t="shared" si="6"/>
        <v>0</v>
      </c>
      <c r="AJ43" s="89"/>
      <c r="AK43" s="88" t="s">
        <v>77</v>
      </c>
      <c r="AL43" s="90"/>
      <c r="AM43" s="90"/>
      <c r="AN43" s="90"/>
      <c r="AO43" s="90"/>
      <c r="AP43" s="90"/>
      <c r="AQ43" s="90"/>
      <c r="AR43" s="90"/>
      <c r="AS43" s="90"/>
      <c r="AT43" s="90">
        <v>0.25</v>
      </c>
      <c r="AU43" s="90"/>
      <c r="AV43" s="90"/>
      <c r="AW43" s="90"/>
      <c r="AX43" s="90"/>
      <c r="AY43" s="90"/>
      <c r="AZ43" s="90">
        <f t="shared" si="7"/>
        <v>0.25</v>
      </c>
      <c r="BA43" s="90">
        <f>ROUND(AZ43*IFERROR(VLOOKUP($AK43,'3121% SY'!$A$2:$M$324,13,FALSE),0),3)</f>
        <v>5.0999999999999997E-2</v>
      </c>
      <c r="BB43" s="90">
        <f t="shared" si="8"/>
        <v>0</v>
      </c>
      <c r="BC43" s="90">
        <f>ROUND(BB43*IFERROR(VLOOKUP($AK43,'3121% SY'!$A$2:$M$324,13,FALSE),0),3)</f>
        <v>0</v>
      </c>
    </row>
    <row r="44" spans="1:55" x14ac:dyDescent="0.25">
      <c r="A44" s="88" t="s">
        <v>48</v>
      </c>
      <c r="B44" s="90">
        <v>0.84599999999999997</v>
      </c>
      <c r="C44" s="90"/>
      <c r="D44" s="90">
        <v>0.73399999999999999</v>
      </c>
      <c r="E44" s="90">
        <v>0.70799999999999996</v>
      </c>
      <c r="F44" s="90">
        <v>4</v>
      </c>
      <c r="G44" s="90"/>
      <c r="H44" s="90"/>
      <c r="I44" s="90"/>
      <c r="J44" s="90"/>
      <c r="K44" s="90"/>
      <c r="L44" s="90"/>
      <c r="M44" s="90"/>
      <c r="N44" s="90"/>
      <c r="P44" s="90">
        <f t="shared" si="4"/>
        <v>4</v>
      </c>
      <c r="Q44" s="90">
        <f>SUM($B44:E44)</f>
        <v>2.2880000000000003</v>
      </c>
      <c r="R44" s="89"/>
      <c r="AH44" s="90">
        <f t="shared" si="5"/>
        <v>0</v>
      </c>
      <c r="AI44" s="90">
        <f t="shared" si="6"/>
        <v>0</v>
      </c>
      <c r="AJ44" s="89"/>
      <c r="AK44" s="88" t="s">
        <v>79</v>
      </c>
      <c r="AL44" s="90"/>
      <c r="AM44" s="90">
        <v>1.4419999999999999</v>
      </c>
      <c r="AN44" s="90">
        <v>0.59399999999999997</v>
      </c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>
        <f t="shared" si="7"/>
        <v>0</v>
      </c>
      <c r="BA44" s="90">
        <f>ROUND(AZ44*IFERROR(VLOOKUP($AK44,'3121% SY'!$A$2:$M$324,13,FALSE),0),3)</f>
        <v>0</v>
      </c>
      <c r="BB44" s="90">
        <f t="shared" si="8"/>
        <v>2.036</v>
      </c>
      <c r="BC44" s="90">
        <f>ROUND(BB44*IFERROR(VLOOKUP($AK44,'3121% SY'!$A$2:$M$324,13,FALSE),0),3)</f>
        <v>0.47699999999999998</v>
      </c>
    </row>
    <row r="45" spans="1:55" x14ac:dyDescent="0.25">
      <c r="A45" s="88" t="s">
        <v>50</v>
      </c>
      <c r="B45" s="90"/>
      <c r="C45" s="90"/>
      <c r="D45" s="90">
        <v>1.2290000000000001</v>
      </c>
      <c r="E45" s="90"/>
      <c r="F45" s="90">
        <v>1</v>
      </c>
      <c r="G45" s="90"/>
      <c r="H45" s="90"/>
      <c r="I45" s="90"/>
      <c r="J45" s="90"/>
      <c r="K45" s="90"/>
      <c r="L45" s="90"/>
      <c r="M45" s="90"/>
      <c r="N45" s="90"/>
      <c r="P45" s="90">
        <f t="shared" si="4"/>
        <v>1</v>
      </c>
      <c r="Q45" s="90">
        <f>SUM($B45:E45)</f>
        <v>1.2290000000000001</v>
      </c>
      <c r="R45" s="89"/>
      <c r="AH45" s="90">
        <f t="shared" si="5"/>
        <v>0</v>
      </c>
      <c r="AI45" s="90">
        <f t="shared" si="6"/>
        <v>0</v>
      </c>
      <c r="AJ45" s="89"/>
      <c r="AK45" s="88" t="s">
        <v>80</v>
      </c>
      <c r="AL45" s="90"/>
      <c r="AM45" s="90"/>
      <c r="AN45" s="90"/>
      <c r="AO45" s="90"/>
      <c r="AP45" s="90"/>
      <c r="AQ45" s="90"/>
      <c r="AR45" s="90"/>
      <c r="AS45" s="90"/>
      <c r="AT45" s="90">
        <v>0.15</v>
      </c>
      <c r="AU45" s="90">
        <v>0.5</v>
      </c>
      <c r="AV45" s="90"/>
      <c r="AW45" s="90"/>
      <c r="AX45" s="90"/>
      <c r="AY45" s="90"/>
      <c r="AZ45" s="90">
        <f t="shared" si="7"/>
        <v>0.65</v>
      </c>
      <c r="BA45" s="90">
        <f>ROUND(AZ45*IFERROR(VLOOKUP($AK45,'3121% SY'!$A$2:$M$324,13,FALSE),0),3)</f>
        <v>0.16600000000000001</v>
      </c>
      <c r="BB45" s="90">
        <f t="shared" si="8"/>
        <v>0</v>
      </c>
      <c r="BC45" s="90">
        <f>ROUND(BB45*IFERROR(VLOOKUP($AK45,'3121% SY'!$A$2:$M$324,13,FALSE),0),3)</f>
        <v>0</v>
      </c>
    </row>
    <row r="46" spans="1:55" x14ac:dyDescent="0.25">
      <c r="A46" s="88" t="s">
        <v>51</v>
      </c>
      <c r="B46" s="90"/>
      <c r="C46" s="90">
        <v>9.6000000000000002E-2</v>
      </c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P46" s="90">
        <f t="shared" si="4"/>
        <v>0</v>
      </c>
      <c r="Q46" s="90">
        <f>SUM($B46:E46)</f>
        <v>9.6000000000000002E-2</v>
      </c>
      <c r="R46" s="89"/>
      <c r="AH46" s="90">
        <f t="shared" si="5"/>
        <v>0</v>
      </c>
      <c r="AI46" s="90">
        <f t="shared" si="6"/>
        <v>0</v>
      </c>
      <c r="AJ46" s="89"/>
      <c r="AK46" s="88" t="s">
        <v>87</v>
      </c>
      <c r="AL46" s="90"/>
      <c r="AM46" s="90"/>
      <c r="AN46" s="90">
        <v>0.251</v>
      </c>
      <c r="AO46" s="90"/>
      <c r="AP46" s="90"/>
      <c r="AQ46" s="90"/>
      <c r="AR46" s="90">
        <v>0.2</v>
      </c>
      <c r="AS46" s="90"/>
      <c r="AT46" s="90">
        <v>0.16</v>
      </c>
      <c r="AU46" s="90">
        <v>0.1</v>
      </c>
      <c r="AV46" s="90"/>
      <c r="AW46" s="90"/>
      <c r="AX46" s="90"/>
      <c r="AY46" s="90"/>
      <c r="AZ46" s="90">
        <f t="shared" si="7"/>
        <v>0.45999999999999996</v>
      </c>
      <c r="BA46" s="90">
        <f>ROUND(AZ46*IFERROR(VLOOKUP($AK46,'3121% SY'!$A$2:$M$324,13,FALSE),0),3)</f>
        <v>8.4000000000000005E-2</v>
      </c>
      <c r="BB46" s="90">
        <f t="shared" si="8"/>
        <v>0.251</v>
      </c>
      <c r="BC46" s="90">
        <f>ROUND(BB46*IFERROR(VLOOKUP($AK46,'3121% SY'!$A$2:$M$324,13,FALSE),0),3)</f>
        <v>4.5999999999999999E-2</v>
      </c>
    </row>
    <row r="47" spans="1:55" x14ac:dyDescent="0.25">
      <c r="A47" s="88" t="s">
        <v>52</v>
      </c>
      <c r="B47" s="90"/>
      <c r="C47" s="90">
        <v>15.988</v>
      </c>
      <c r="D47" s="90">
        <v>5.5110000000000001</v>
      </c>
      <c r="E47" s="90"/>
      <c r="F47" s="90">
        <v>3.0169999999999999</v>
      </c>
      <c r="G47" s="90"/>
      <c r="H47" s="90"/>
      <c r="I47" s="90"/>
      <c r="J47" s="90">
        <v>0.33300000000000002</v>
      </c>
      <c r="K47" s="90">
        <v>1.6220000000000001</v>
      </c>
      <c r="L47" s="90"/>
      <c r="M47" s="90">
        <v>0.75</v>
      </c>
      <c r="N47" s="90"/>
      <c r="P47" s="90">
        <f t="shared" si="4"/>
        <v>5.7220000000000004</v>
      </c>
      <c r="Q47" s="90">
        <f>SUM($B47:E47)</f>
        <v>21.498999999999999</v>
      </c>
      <c r="R47" s="89"/>
      <c r="AH47" s="90">
        <f t="shared" si="5"/>
        <v>0</v>
      </c>
      <c r="AI47" s="90">
        <f t="shared" si="6"/>
        <v>0</v>
      </c>
      <c r="AJ47" s="89"/>
      <c r="AK47" s="88" t="s">
        <v>88</v>
      </c>
      <c r="AL47" s="90"/>
      <c r="AM47" s="90"/>
      <c r="AN47" s="90"/>
      <c r="AO47" s="90"/>
      <c r="AP47" s="90"/>
      <c r="AQ47" s="90"/>
      <c r="AR47" s="90">
        <v>0.23</v>
      </c>
      <c r="AS47" s="90"/>
      <c r="AT47" s="90">
        <v>0.08</v>
      </c>
      <c r="AU47" s="90">
        <v>1.5</v>
      </c>
      <c r="AV47" s="90"/>
      <c r="AW47" s="90">
        <v>0.192</v>
      </c>
      <c r="AX47" s="90"/>
      <c r="AY47" s="90"/>
      <c r="AZ47" s="90">
        <f t="shared" si="7"/>
        <v>2.0020000000000002</v>
      </c>
      <c r="BA47" s="90">
        <f>ROUND(AZ47*IFERROR(VLOOKUP($AK47,'3121% SY'!$A$2:$M$324,13,FALSE),0),3)</f>
        <v>0.56999999999999995</v>
      </c>
      <c r="BB47" s="90">
        <f t="shared" si="8"/>
        <v>0</v>
      </c>
      <c r="BC47" s="90">
        <f>ROUND(BB47*IFERROR(VLOOKUP($AK47,'3121% SY'!$A$2:$M$324,13,FALSE),0),3)</f>
        <v>0</v>
      </c>
    </row>
    <row r="48" spans="1:55" x14ac:dyDescent="0.25">
      <c r="A48" s="88" t="s">
        <v>53</v>
      </c>
      <c r="B48" s="90"/>
      <c r="C48" s="90"/>
      <c r="D48" s="90">
        <v>0.503</v>
      </c>
      <c r="E48" s="90"/>
      <c r="F48" s="90"/>
      <c r="G48" s="90"/>
      <c r="H48" s="90"/>
      <c r="I48" s="90"/>
      <c r="J48" s="90"/>
      <c r="K48" s="90"/>
      <c r="L48" s="90"/>
      <c r="M48" s="90"/>
      <c r="N48" s="90"/>
      <c r="P48" s="90">
        <f t="shared" si="4"/>
        <v>0</v>
      </c>
      <c r="Q48" s="90">
        <f>SUM($B48:E48)</f>
        <v>0.503</v>
      </c>
      <c r="R48" s="89"/>
      <c r="AH48" s="90">
        <f t="shared" si="5"/>
        <v>0</v>
      </c>
      <c r="AI48" s="90">
        <f t="shared" si="6"/>
        <v>0</v>
      </c>
      <c r="AJ48" s="89"/>
      <c r="AK48" s="88" t="s">
        <v>89</v>
      </c>
      <c r="AL48" s="90"/>
      <c r="AM48" s="90"/>
      <c r="AN48" s="90"/>
      <c r="AO48" s="90"/>
      <c r="AP48" s="90"/>
      <c r="AQ48" s="90"/>
      <c r="AR48" s="90"/>
      <c r="AS48" s="90"/>
      <c r="AT48" s="90">
        <v>0.32</v>
      </c>
      <c r="AU48" s="90"/>
      <c r="AV48" s="90"/>
      <c r="AW48" s="90"/>
      <c r="AX48" s="90"/>
      <c r="AY48" s="90"/>
      <c r="AZ48" s="90">
        <f t="shared" si="7"/>
        <v>0.32</v>
      </c>
      <c r="BA48" s="90">
        <f>ROUND(AZ48*IFERROR(VLOOKUP($AK48,'3121% SY'!$A$2:$M$324,13,FALSE),0),3)</f>
        <v>7.0999999999999994E-2</v>
      </c>
      <c r="BB48" s="90">
        <f t="shared" si="8"/>
        <v>0</v>
      </c>
      <c r="BC48" s="90">
        <f>ROUND(BB48*IFERROR(VLOOKUP($AK48,'3121% SY'!$A$2:$M$324,13,FALSE),0),3)</f>
        <v>0</v>
      </c>
    </row>
    <row r="49" spans="1:55" x14ac:dyDescent="0.25">
      <c r="A49" s="88" t="s">
        <v>54</v>
      </c>
      <c r="B49" s="90"/>
      <c r="C49" s="90"/>
      <c r="D49" s="90">
        <v>0.64600000000000002</v>
      </c>
      <c r="E49" s="90"/>
      <c r="F49" s="90"/>
      <c r="G49" s="90"/>
      <c r="H49" s="90"/>
      <c r="I49" s="90"/>
      <c r="J49" s="90"/>
      <c r="K49" s="90"/>
      <c r="L49" s="90"/>
      <c r="M49" s="90"/>
      <c r="N49" s="90"/>
      <c r="P49" s="90">
        <f t="shared" si="4"/>
        <v>0</v>
      </c>
      <c r="Q49" s="90">
        <f>SUM($B49:E49)</f>
        <v>0.64600000000000002</v>
      </c>
      <c r="R49" s="89"/>
      <c r="AH49" s="90">
        <f t="shared" si="5"/>
        <v>0</v>
      </c>
      <c r="AI49" s="90">
        <f t="shared" si="6"/>
        <v>0</v>
      </c>
      <c r="AJ49" s="89"/>
      <c r="AK49" s="88" t="s">
        <v>90</v>
      </c>
      <c r="AL49" s="90"/>
      <c r="AM49" s="90"/>
      <c r="AN49" s="90"/>
      <c r="AO49" s="90"/>
      <c r="AP49" s="90"/>
      <c r="AQ49" s="90"/>
      <c r="AR49" s="90"/>
      <c r="AS49" s="90"/>
      <c r="AT49" s="90"/>
      <c r="AU49" s="90">
        <v>0.42</v>
      </c>
      <c r="AV49" s="90"/>
      <c r="AW49" s="90"/>
      <c r="AX49" s="90"/>
      <c r="AY49" s="90"/>
      <c r="AZ49" s="90">
        <f t="shared" si="7"/>
        <v>0.42</v>
      </c>
      <c r="BA49" s="90">
        <f>ROUND(AZ49*IFERROR(VLOOKUP($AK49,'3121% SY'!$A$2:$M$324,13,FALSE),0),3)</f>
        <v>9.5000000000000001E-2</v>
      </c>
      <c r="BB49" s="90">
        <f t="shared" si="8"/>
        <v>0</v>
      </c>
      <c r="BC49" s="90">
        <f>ROUND(BB49*IFERROR(VLOOKUP($AK49,'3121% SY'!$A$2:$M$324,13,FALSE),0),3)</f>
        <v>0</v>
      </c>
    </row>
    <row r="50" spans="1:55" x14ac:dyDescent="0.25">
      <c r="A50" s="88" t="s">
        <v>55</v>
      </c>
      <c r="B50" s="90"/>
      <c r="C50" s="90"/>
      <c r="D50" s="90">
        <v>0.22900000000000001</v>
      </c>
      <c r="E50" s="90"/>
      <c r="F50" s="90"/>
      <c r="G50" s="90"/>
      <c r="H50" s="90"/>
      <c r="I50" s="90"/>
      <c r="J50" s="90"/>
      <c r="K50" s="90"/>
      <c r="L50" s="90"/>
      <c r="M50" s="90"/>
      <c r="N50" s="90"/>
      <c r="P50" s="90">
        <f t="shared" si="4"/>
        <v>0</v>
      </c>
      <c r="Q50" s="90">
        <f>SUM($B50:E50)</f>
        <v>0.22900000000000001</v>
      </c>
      <c r="R50" s="89"/>
      <c r="AH50" s="90">
        <f t="shared" si="5"/>
        <v>0</v>
      </c>
      <c r="AI50" s="90">
        <f t="shared" si="6"/>
        <v>0</v>
      </c>
      <c r="AJ50" s="89"/>
      <c r="AK50" s="88" t="s">
        <v>92</v>
      </c>
      <c r="AL50" s="90"/>
      <c r="AM50" s="90"/>
      <c r="AN50" s="90">
        <v>8.0000000000000002E-3</v>
      </c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>
        <f t="shared" si="7"/>
        <v>0</v>
      </c>
      <c r="BA50" s="90">
        <f>ROUND(AZ50*IFERROR(VLOOKUP($AK50,'3121% SY'!$A$2:$M$324,13,FALSE),0),3)</f>
        <v>0</v>
      </c>
      <c r="BB50" s="90">
        <f t="shared" si="8"/>
        <v>8.0000000000000002E-3</v>
      </c>
      <c r="BC50" s="90">
        <f>ROUND(BB50*IFERROR(VLOOKUP($AK50,'3121% SY'!$A$2:$M$324,13,FALSE),0),3)</f>
        <v>1E-3</v>
      </c>
    </row>
    <row r="51" spans="1:55" x14ac:dyDescent="0.25">
      <c r="A51" s="88" t="s">
        <v>58</v>
      </c>
      <c r="B51" s="90"/>
      <c r="C51" s="90"/>
      <c r="D51" s="90">
        <v>3.7999999999999999E-2</v>
      </c>
      <c r="E51" s="90"/>
      <c r="F51" s="90">
        <v>1.1499999999999999</v>
      </c>
      <c r="G51" s="90"/>
      <c r="H51" s="90"/>
      <c r="I51" s="90"/>
      <c r="J51" s="90"/>
      <c r="K51" s="90"/>
      <c r="L51" s="90"/>
      <c r="M51" s="90"/>
      <c r="N51" s="90"/>
      <c r="P51" s="90">
        <f t="shared" si="4"/>
        <v>1.1499999999999999</v>
      </c>
      <c r="Q51" s="90">
        <f>SUM($B51:E51)</f>
        <v>3.7999999999999999E-2</v>
      </c>
      <c r="R51" s="89"/>
      <c r="AH51" s="90">
        <f t="shared" si="5"/>
        <v>0</v>
      </c>
      <c r="AI51" s="90">
        <f t="shared" si="6"/>
        <v>0</v>
      </c>
      <c r="AJ51" s="89"/>
      <c r="AK51" s="88" t="s">
        <v>94</v>
      </c>
      <c r="AL51" s="90"/>
      <c r="AM51" s="90">
        <v>0.12</v>
      </c>
      <c r="AN51" s="90"/>
      <c r="AO51" s="90"/>
      <c r="AP51" s="90"/>
      <c r="AQ51" s="90"/>
      <c r="AR51" s="90">
        <v>7.0000000000000007E-2</v>
      </c>
      <c r="AS51" s="90"/>
      <c r="AT51" s="90"/>
      <c r="AU51" s="90">
        <v>0.7</v>
      </c>
      <c r="AV51" s="90"/>
      <c r="AW51" s="90"/>
      <c r="AX51" s="90"/>
      <c r="AY51" s="90"/>
      <c r="AZ51" s="90">
        <f t="shared" si="7"/>
        <v>0.77</v>
      </c>
      <c r="BA51" s="90">
        <f>ROUND(AZ51*IFERROR(VLOOKUP($AK51,'3121% SY'!$A$2:$M$324,13,FALSE),0),3)</f>
        <v>0.20799999999999999</v>
      </c>
      <c r="BB51" s="90">
        <f t="shared" si="8"/>
        <v>0.12</v>
      </c>
      <c r="BC51" s="90">
        <f>ROUND(BB51*IFERROR(VLOOKUP($AK51,'3121% SY'!$A$2:$M$324,13,FALSE),0),3)</f>
        <v>3.2000000000000001E-2</v>
      </c>
    </row>
    <row r="52" spans="1:55" x14ac:dyDescent="0.25">
      <c r="A52" s="88" t="s">
        <v>59</v>
      </c>
      <c r="B52" s="90">
        <v>0.63300000000000001</v>
      </c>
      <c r="C52" s="90"/>
      <c r="D52" s="90">
        <v>0.46200000000000002</v>
      </c>
      <c r="E52" s="90"/>
      <c r="F52" s="90"/>
      <c r="G52" s="90"/>
      <c r="H52" s="90"/>
      <c r="I52" s="90"/>
      <c r="J52" s="90"/>
      <c r="K52" s="90"/>
      <c r="L52" s="90"/>
      <c r="M52" s="90"/>
      <c r="N52" s="90"/>
      <c r="P52" s="90">
        <f t="shared" si="4"/>
        <v>0</v>
      </c>
      <c r="Q52" s="90">
        <f>SUM($B52:E52)</f>
        <v>1.095</v>
      </c>
      <c r="R52" s="89"/>
      <c r="AH52" s="90">
        <f t="shared" si="5"/>
        <v>0</v>
      </c>
      <c r="AI52" s="90">
        <f t="shared" si="6"/>
        <v>0</v>
      </c>
      <c r="AJ52" s="89"/>
      <c r="AK52" s="88" t="s">
        <v>95</v>
      </c>
      <c r="AL52" s="90"/>
      <c r="AM52" s="90"/>
      <c r="AN52" s="90"/>
      <c r="AO52" s="90"/>
      <c r="AP52" s="90"/>
      <c r="AQ52" s="90"/>
      <c r="AR52" s="90">
        <v>0.08</v>
      </c>
      <c r="AS52" s="90"/>
      <c r="AT52" s="90">
        <v>0.5</v>
      </c>
      <c r="AU52" s="90">
        <v>0.3</v>
      </c>
      <c r="AV52" s="90"/>
      <c r="AW52" s="90"/>
      <c r="AX52" s="90"/>
      <c r="AY52" s="90"/>
      <c r="AZ52" s="90">
        <f t="shared" si="7"/>
        <v>0.87999999999999989</v>
      </c>
      <c r="BA52" s="90">
        <f>ROUND(AZ52*IFERROR(VLOOKUP($AK52,'3121% SY'!$A$2:$M$324,13,FALSE),0),3)</f>
        <v>0.18</v>
      </c>
      <c r="BB52" s="90">
        <f t="shared" si="8"/>
        <v>0</v>
      </c>
      <c r="BC52" s="90">
        <f>ROUND(BB52*IFERROR(VLOOKUP($AK52,'3121% SY'!$A$2:$M$324,13,FALSE),0),3)</f>
        <v>0</v>
      </c>
    </row>
    <row r="53" spans="1:55" x14ac:dyDescent="0.25">
      <c r="A53" s="88" t="s">
        <v>60</v>
      </c>
      <c r="B53" s="90">
        <v>2.4820000000000002</v>
      </c>
      <c r="C53" s="90">
        <v>42.646000000000001</v>
      </c>
      <c r="D53" s="90">
        <v>1.8160000000000001</v>
      </c>
      <c r="E53" s="90"/>
      <c r="F53" s="90">
        <v>17.654</v>
      </c>
      <c r="G53" s="90"/>
      <c r="H53" s="90">
        <v>1</v>
      </c>
      <c r="I53" s="90"/>
      <c r="J53" s="90"/>
      <c r="K53" s="90">
        <v>2</v>
      </c>
      <c r="L53" s="90"/>
      <c r="M53" s="90"/>
      <c r="N53" s="90"/>
      <c r="P53" s="90">
        <f t="shared" si="4"/>
        <v>20.654</v>
      </c>
      <c r="Q53" s="90">
        <f>SUM($B53:E53)</f>
        <v>46.944000000000003</v>
      </c>
      <c r="R53" s="89"/>
      <c r="AH53" s="90">
        <f t="shared" si="5"/>
        <v>0</v>
      </c>
      <c r="AI53" s="90">
        <f t="shared" si="6"/>
        <v>0</v>
      </c>
      <c r="AJ53" s="89"/>
      <c r="AK53" s="88" t="s">
        <v>96</v>
      </c>
      <c r="AL53" s="90"/>
      <c r="AM53" s="90"/>
      <c r="AN53" s="90">
        <v>10.574</v>
      </c>
      <c r="AO53" s="90"/>
      <c r="AP53" s="90"/>
      <c r="AQ53" s="90"/>
      <c r="AR53" s="90">
        <v>18.88</v>
      </c>
      <c r="AS53" s="90">
        <v>0.5</v>
      </c>
      <c r="AT53" s="90">
        <v>32.023000000000003</v>
      </c>
      <c r="AU53" s="90">
        <v>15.654999999999999</v>
      </c>
      <c r="AV53" s="90">
        <v>1.2090000000000001</v>
      </c>
      <c r="AW53" s="90">
        <v>3.72</v>
      </c>
      <c r="AX53" s="90"/>
      <c r="AY53" s="90"/>
      <c r="AZ53" s="90">
        <f t="shared" si="7"/>
        <v>71.987000000000009</v>
      </c>
      <c r="BA53" s="90">
        <f>ROUND(AZ53*IFERROR(VLOOKUP($AK53,'3121% SY'!$A$2:$M$324,13,FALSE),0),3)</f>
        <v>16.37</v>
      </c>
      <c r="BB53" s="90">
        <f t="shared" si="8"/>
        <v>10.574</v>
      </c>
      <c r="BC53" s="90">
        <f>ROUND(BB53*IFERROR(VLOOKUP($AK53,'3121% SY'!$A$2:$M$324,13,FALSE),0),3)</f>
        <v>2.4049999999999998</v>
      </c>
    </row>
    <row r="54" spans="1:55" x14ac:dyDescent="0.25">
      <c r="A54" s="88" t="s">
        <v>61</v>
      </c>
      <c r="B54" s="90"/>
      <c r="C54" s="90"/>
      <c r="D54" s="90">
        <v>2.97</v>
      </c>
      <c r="E54" s="90"/>
      <c r="F54" s="90">
        <v>2.98</v>
      </c>
      <c r="G54" s="90"/>
      <c r="H54" s="90"/>
      <c r="I54" s="90"/>
      <c r="J54" s="90"/>
      <c r="K54" s="90"/>
      <c r="L54" s="90"/>
      <c r="M54" s="90"/>
      <c r="N54" s="90"/>
      <c r="P54" s="90">
        <f t="shared" si="4"/>
        <v>2.98</v>
      </c>
      <c r="Q54" s="90">
        <f>SUM($B54:E54)</f>
        <v>2.97</v>
      </c>
      <c r="R54" s="89"/>
      <c r="AH54" s="90">
        <f t="shared" si="5"/>
        <v>0</v>
      </c>
      <c r="AI54" s="90">
        <f t="shared" si="6"/>
        <v>0</v>
      </c>
      <c r="AJ54" s="89"/>
      <c r="AK54" s="88" t="s">
        <v>97</v>
      </c>
      <c r="AL54" s="90"/>
      <c r="AM54" s="90"/>
      <c r="AN54" s="90">
        <v>5.3159999999999998</v>
      </c>
      <c r="AO54" s="90"/>
      <c r="AP54" s="90"/>
      <c r="AQ54" s="90"/>
      <c r="AR54" s="90">
        <v>1.8480000000000001</v>
      </c>
      <c r="AS54" s="90"/>
      <c r="AT54" s="90">
        <v>11.61</v>
      </c>
      <c r="AU54" s="90">
        <v>9.24</v>
      </c>
      <c r="AV54" s="90"/>
      <c r="AW54" s="90">
        <v>1.54</v>
      </c>
      <c r="AX54" s="90"/>
      <c r="AY54" s="90">
        <v>1.8480000000000001</v>
      </c>
      <c r="AZ54" s="90">
        <f t="shared" si="7"/>
        <v>26.085999999999999</v>
      </c>
      <c r="BA54" s="90">
        <f>ROUND(AZ54*IFERROR(VLOOKUP($AK54,'3121% SY'!$A$2:$M$324,13,FALSE),0),3)</f>
        <v>7.75</v>
      </c>
      <c r="BB54" s="90">
        <f t="shared" si="8"/>
        <v>5.3159999999999998</v>
      </c>
      <c r="BC54" s="90">
        <f>ROUND(BB54*IFERROR(VLOOKUP($AK54,'3121% SY'!$A$2:$M$324,13,FALSE),0),3)</f>
        <v>1.579</v>
      </c>
    </row>
    <row r="55" spans="1:55" x14ac:dyDescent="0.25">
      <c r="A55" s="88" t="s">
        <v>64</v>
      </c>
      <c r="B55" s="90"/>
      <c r="C55" s="90"/>
      <c r="D55" s="90"/>
      <c r="E55" s="90">
        <v>0.34599999999999997</v>
      </c>
      <c r="F55" s="90">
        <v>0.28599999999999998</v>
      </c>
      <c r="G55" s="90"/>
      <c r="H55" s="90"/>
      <c r="I55" s="90"/>
      <c r="J55" s="90"/>
      <c r="K55" s="90"/>
      <c r="L55" s="90"/>
      <c r="M55" s="90"/>
      <c r="N55" s="90"/>
      <c r="P55" s="90">
        <f t="shared" si="4"/>
        <v>0.28599999999999998</v>
      </c>
      <c r="Q55" s="90">
        <f>SUM($B55:E55)</f>
        <v>0.34599999999999997</v>
      </c>
      <c r="R55" s="89"/>
      <c r="AH55" s="90">
        <f t="shared" si="5"/>
        <v>0</v>
      </c>
      <c r="AI55" s="90">
        <f t="shared" si="6"/>
        <v>0</v>
      </c>
      <c r="AJ55" s="89"/>
      <c r="AK55" s="88" t="s">
        <v>98</v>
      </c>
      <c r="AL55" s="90"/>
      <c r="AM55" s="90"/>
      <c r="AN55" s="90">
        <v>1.214</v>
      </c>
      <c r="AO55" s="90"/>
      <c r="AP55" s="90"/>
      <c r="AQ55" s="90"/>
      <c r="AR55" s="90"/>
      <c r="AS55" s="90"/>
      <c r="AT55" s="90">
        <v>0.224</v>
      </c>
      <c r="AU55" s="90"/>
      <c r="AV55" s="90">
        <v>4.3999999999999997E-2</v>
      </c>
      <c r="AW55" s="90"/>
      <c r="AX55" s="90"/>
      <c r="AY55" s="90">
        <v>3</v>
      </c>
      <c r="AZ55" s="90">
        <f t="shared" si="7"/>
        <v>3.2679999999999998</v>
      </c>
      <c r="BA55" s="90">
        <f>ROUND(AZ55*IFERROR(VLOOKUP($AK55,'3121% SY'!$A$2:$M$324,13,FALSE),0),3)</f>
        <v>0.82599999999999996</v>
      </c>
      <c r="BB55" s="90">
        <f t="shared" si="8"/>
        <v>1.214</v>
      </c>
      <c r="BC55" s="90">
        <f>ROUND(BB55*IFERROR(VLOOKUP($AK55,'3121% SY'!$A$2:$M$324,13,FALSE),0),3)</f>
        <v>0.307</v>
      </c>
    </row>
    <row r="56" spans="1:55" x14ac:dyDescent="0.25">
      <c r="A56" s="88" t="s">
        <v>65</v>
      </c>
      <c r="B56" s="90"/>
      <c r="C56" s="90"/>
      <c r="D56" s="90">
        <v>0.76900000000000002</v>
      </c>
      <c r="E56" s="90"/>
      <c r="F56" s="90">
        <v>4</v>
      </c>
      <c r="G56" s="90"/>
      <c r="H56" s="90"/>
      <c r="I56" s="90"/>
      <c r="J56" s="90"/>
      <c r="K56" s="90"/>
      <c r="L56" s="90"/>
      <c r="M56" s="90"/>
      <c r="N56" s="90"/>
      <c r="P56" s="90">
        <f t="shared" si="4"/>
        <v>4</v>
      </c>
      <c r="Q56" s="90">
        <f>SUM($B56:E56)</f>
        <v>0.76900000000000002</v>
      </c>
      <c r="R56" s="89"/>
      <c r="AH56" s="90">
        <f t="shared" si="5"/>
        <v>0</v>
      </c>
      <c r="AI56" s="90">
        <f t="shared" si="6"/>
        <v>0</v>
      </c>
      <c r="AJ56" s="89"/>
      <c r="AK56" s="88" t="s">
        <v>99</v>
      </c>
      <c r="AL56" s="90"/>
      <c r="AM56" s="90">
        <v>7.0000000000000007E-2</v>
      </c>
      <c r="AN56" s="90">
        <v>1.7</v>
      </c>
      <c r="AO56" s="90"/>
      <c r="AP56" s="90"/>
      <c r="AQ56" s="90"/>
      <c r="AR56" s="90"/>
      <c r="AS56" s="90"/>
      <c r="AT56" s="90"/>
      <c r="AU56" s="90">
        <v>1</v>
      </c>
      <c r="AV56" s="90"/>
      <c r="AW56" s="90"/>
      <c r="AX56" s="90">
        <v>1.476</v>
      </c>
      <c r="AY56" s="90"/>
      <c r="AZ56" s="90">
        <f t="shared" si="7"/>
        <v>2.476</v>
      </c>
      <c r="BA56" s="90">
        <f>ROUND(AZ56*IFERROR(VLOOKUP($AK56,'3121% SY'!$A$2:$M$324,13,FALSE),0),3)</f>
        <v>0.48299999999999998</v>
      </c>
      <c r="BB56" s="90">
        <f t="shared" si="8"/>
        <v>1.77</v>
      </c>
      <c r="BC56" s="90">
        <f>ROUND(BB56*IFERROR(VLOOKUP($AK56,'3121% SY'!$A$2:$M$324,13,FALSE),0),3)</f>
        <v>0.34499999999999997</v>
      </c>
    </row>
    <row r="57" spans="1:55" x14ac:dyDescent="0.25">
      <c r="A57" s="88" t="s">
        <v>66</v>
      </c>
      <c r="B57" s="90"/>
      <c r="C57" s="90">
        <v>3.07</v>
      </c>
      <c r="D57" s="90">
        <v>0.98299999999999998</v>
      </c>
      <c r="E57" s="90"/>
      <c r="F57" s="90">
        <v>3</v>
      </c>
      <c r="G57" s="90"/>
      <c r="H57" s="90">
        <v>2.0329999999999999</v>
      </c>
      <c r="I57" s="90"/>
      <c r="J57" s="90"/>
      <c r="K57" s="90">
        <v>0.61599999999999999</v>
      </c>
      <c r="L57" s="90"/>
      <c r="M57" s="90"/>
      <c r="N57" s="90"/>
      <c r="P57" s="90">
        <f t="shared" si="4"/>
        <v>5.6489999999999991</v>
      </c>
      <c r="Q57" s="90">
        <f>SUM($B57:E57)</f>
        <v>4.0529999999999999</v>
      </c>
      <c r="R57" s="89"/>
      <c r="AH57" s="90">
        <f t="shared" si="5"/>
        <v>0</v>
      </c>
      <c r="AI57" s="90">
        <f t="shared" si="6"/>
        <v>0</v>
      </c>
      <c r="AJ57" s="89"/>
      <c r="AK57" s="88" t="s">
        <v>100</v>
      </c>
      <c r="AL57" s="90"/>
      <c r="AM57" s="90"/>
      <c r="AN57" s="90">
        <v>12.262</v>
      </c>
      <c r="AO57" s="90"/>
      <c r="AP57" s="90"/>
      <c r="AQ57" s="90"/>
      <c r="AR57" s="90">
        <v>4.7</v>
      </c>
      <c r="AS57" s="90">
        <v>0.5</v>
      </c>
      <c r="AT57" s="90">
        <v>5.4969999999999999</v>
      </c>
      <c r="AU57" s="90">
        <v>5.6689999999999996</v>
      </c>
      <c r="AV57" s="90"/>
      <c r="AW57" s="90">
        <v>0.34</v>
      </c>
      <c r="AX57" s="90">
        <v>1.1439999999999999</v>
      </c>
      <c r="AY57" s="90"/>
      <c r="AZ57" s="90">
        <f t="shared" si="7"/>
        <v>17.849999999999998</v>
      </c>
      <c r="BA57" s="90">
        <f>ROUND(AZ57*IFERROR(VLOOKUP($AK57,'3121% SY'!$A$2:$M$324,13,FALSE),0),3)</f>
        <v>4.327</v>
      </c>
      <c r="BB57" s="90">
        <f t="shared" si="8"/>
        <v>12.262</v>
      </c>
      <c r="BC57" s="90">
        <f>ROUND(BB57*IFERROR(VLOOKUP($AK57,'3121% SY'!$A$2:$M$324,13,FALSE),0),3)</f>
        <v>2.972</v>
      </c>
    </row>
    <row r="58" spans="1:55" x14ac:dyDescent="0.25">
      <c r="A58" s="88" t="s">
        <v>67</v>
      </c>
      <c r="B58" s="90"/>
      <c r="C58" s="90"/>
      <c r="D58" s="90"/>
      <c r="E58" s="90"/>
      <c r="F58" s="90">
        <v>0.5</v>
      </c>
      <c r="G58" s="90"/>
      <c r="H58" s="90"/>
      <c r="I58" s="90"/>
      <c r="J58" s="90"/>
      <c r="K58" s="90"/>
      <c r="L58" s="90"/>
      <c r="M58" s="90"/>
      <c r="N58" s="90"/>
      <c r="P58" s="90">
        <f t="shared" si="4"/>
        <v>0.5</v>
      </c>
      <c r="Q58" s="90">
        <f>SUM($B58:E58)</f>
        <v>0</v>
      </c>
      <c r="R58" s="89"/>
      <c r="AH58" s="90">
        <f t="shared" si="5"/>
        <v>0</v>
      </c>
      <c r="AI58" s="90">
        <f t="shared" si="6"/>
        <v>0</v>
      </c>
      <c r="AJ58" s="89"/>
      <c r="AK58" s="88" t="s">
        <v>101</v>
      </c>
      <c r="AL58" s="90"/>
      <c r="AM58" s="90"/>
      <c r="AN58" s="90"/>
      <c r="AO58" s="90"/>
      <c r="AP58" s="90"/>
      <c r="AQ58" s="90"/>
      <c r="AR58" s="90"/>
      <c r="AS58" s="90"/>
      <c r="AT58" s="90"/>
      <c r="AU58" s="90">
        <v>0.5</v>
      </c>
      <c r="AV58" s="90"/>
      <c r="AW58" s="90"/>
      <c r="AX58" s="90"/>
      <c r="AY58" s="90"/>
      <c r="AZ58" s="90">
        <f t="shared" si="7"/>
        <v>0.5</v>
      </c>
      <c r="BA58" s="90">
        <f>ROUND(AZ58*IFERROR(VLOOKUP($AK58,'3121% SY'!$A$2:$M$324,13,FALSE),0),3)</f>
        <v>0.108</v>
      </c>
      <c r="BB58" s="90">
        <f t="shared" si="8"/>
        <v>0</v>
      </c>
      <c r="BC58" s="90">
        <f>ROUND(BB58*IFERROR(VLOOKUP($AK58,'3121% SY'!$A$2:$M$324,13,FALSE),0),3)</f>
        <v>0</v>
      </c>
    </row>
    <row r="59" spans="1:55" x14ac:dyDescent="0.25">
      <c r="A59" s="88" t="s">
        <v>68</v>
      </c>
      <c r="B59" s="90"/>
      <c r="C59" s="90"/>
      <c r="D59" s="90"/>
      <c r="E59" s="90"/>
      <c r="F59" s="90">
        <v>0.57999999999999996</v>
      </c>
      <c r="G59" s="90"/>
      <c r="H59" s="90"/>
      <c r="I59" s="90"/>
      <c r="J59" s="90"/>
      <c r="K59" s="90"/>
      <c r="L59" s="90"/>
      <c r="M59" s="90"/>
      <c r="N59" s="90"/>
      <c r="P59" s="90">
        <f t="shared" si="4"/>
        <v>0.57999999999999996</v>
      </c>
      <c r="Q59" s="90">
        <f>SUM($B59:E59)</f>
        <v>0</v>
      </c>
      <c r="R59" s="89"/>
      <c r="AH59" s="90">
        <f t="shared" si="5"/>
        <v>0</v>
      </c>
      <c r="AI59" s="90">
        <f t="shared" si="6"/>
        <v>0</v>
      </c>
      <c r="AJ59" s="89"/>
      <c r="AK59" s="88" t="s">
        <v>102</v>
      </c>
      <c r="AL59" s="90"/>
      <c r="AM59" s="90">
        <v>7.13</v>
      </c>
      <c r="AN59" s="90">
        <v>7.7279999999999998</v>
      </c>
      <c r="AO59" s="90"/>
      <c r="AP59" s="90"/>
      <c r="AQ59" s="90">
        <v>0.33300000000000002</v>
      </c>
      <c r="AR59" s="90">
        <v>2.33</v>
      </c>
      <c r="AS59" s="90"/>
      <c r="AT59" s="90">
        <v>4</v>
      </c>
      <c r="AU59" s="90">
        <v>3.7</v>
      </c>
      <c r="AV59" s="90"/>
      <c r="AW59" s="90">
        <v>0.9</v>
      </c>
      <c r="AX59" s="90"/>
      <c r="AY59" s="90"/>
      <c r="AZ59" s="90">
        <f t="shared" si="7"/>
        <v>11.263</v>
      </c>
      <c r="BA59" s="90">
        <f>ROUND(AZ59*IFERROR(VLOOKUP($AK59,'3121% SY'!$A$2:$M$324,13,FALSE),0),3)</f>
        <v>3.3290000000000002</v>
      </c>
      <c r="BB59" s="90">
        <f t="shared" si="8"/>
        <v>14.858000000000001</v>
      </c>
      <c r="BC59" s="90">
        <f>ROUND(BB59*IFERROR(VLOOKUP($AK59,'3121% SY'!$A$2:$M$324,13,FALSE),0),3)</f>
        <v>4.3920000000000003</v>
      </c>
    </row>
    <row r="60" spans="1:55" x14ac:dyDescent="0.25">
      <c r="A60" s="88" t="s">
        <v>69</v>
      </c>
      <c r="B60" s="90"/>
      <c r="C60" s="90"/>
      <c r="D60" s="90">
        <v>0.253</v>
      </c>
      <c r="E60" s="90"/>
      <c r="F60" s="90">
        <v>0.75</v>
      </c>
      <c r="G60" s="90"/>
      <c r="H60" s="90"/>
      <c r="I60" s="90"/>
      <c r="J60" s="90"/>
      <c r="K60" s="90"/>
      <c r="L60" s="90"/>
      <c r="M60" s="90"/>
      <c r="N60" s="90"/>
      <c r="P60" s="90">
        <f t="shared" si="4"/>
        <v>0.75</v>
      </c>
      <c r="Q60" s="90">
        <f>SUM($B60:E60)</f>
        <v>0.253</v>
      </c>
      <c r="R60" s="89"/>
      <c r="AH60" s="90">
        <f t="shared" si="5"/>
        <v>0</v>
      </c>
      <c r="AI60" s="90">
        <f t="shared" si="6"/>
        <v>0</v>
      </c>
      <c r="AJ60" s="89"/>
      <c r="AK60" s="88" t="s">
        <v>104</v>
      </c>
      <c r="AL60" s="90"/>
      <c r="AM60" s="90"/>
      <c r="AN60" s="90">
        <v>21.678000000000001</v>
      </c>
      <c r="AO60" s="90"/>
      <c r="AP60" s="90"/>
      <c r="AQ60" s="90"/>
      <c r="AR60" s="90">
        <v>5.04</v>
      </c>
      <c r="AS60" s="90">
        <v>3.9239999999999999</v>
      </c>
      <c r="AT60" s="90">
        <v>12.311999999999999</v>
      </c>
      <c r="AU60" s="90">
        <v>9.36</v>
      </c>
      <c r="AV60" s="90"/>
      <c r="AW60" s="90">
        <v>2.016</v>
      </c>
      <c r="AX60" s="90">
        <v>1.8</v>
      </c>
      <c r="AY60" s="90"/>
      <c r="AZ60" s="90">
        <f t="shared" si="7"/>
        <v>34.451999999999998</v>
      </c>
      <c r="BA60" s="90">
        <f>ROUND(AZ60*IFERROR(VLOOKUP($AK60,'3121% SY'!$A$2:$M$324,13,FALSE),0),3)</f>
        <v>7.5549999999999997</v>
      </c>
      <c r="BB60" s="90">
        <f t="shared" si="8"/>
        <v>21.678000000000001</v>
      </c>
      <c r="BC60" s="90">
        <f>ROUND(BB60*IFERROR(VLOOKUP($AK60,'3121% SY'!$A$2:$M$324,13,FALSE),0),3)</f>
        <v>4.7539999999999996</v>
      </c>
    </row>
    <row r="61" spans="1:55" x14ac:dyDescent="0.25">
      <c r="A61" s="88" t="s">
        <v>70</v>
      </c>
      <c r="B61" s="90"/>
      <c r="C61" s="90"/>
      <c r="D61" s="90">
        <v>0.98699999999999999</v>
      </c>
      <c r="E61" s="90"/>
      <c r="F61" s="90">
        <v>1.2</v>
      </c>
      <c r="G61" s="90"/>
      <c r="H61" s="90"/>
      <c r="I61" s="90"/>
      <c r="J61" s="90"/>
      <c r="K61" s="90">
        <v>0.36</v>
      </c>
      <c r="L61" s="90"/>
      <c r="M61" s="90"/>
      <c r="N61" s="90"/>
      <c r="P61" s="90">
        <f t="shared" si="4"/>
        <v>1.56</v>
      </c>
      <c r="Q61" s="90">
        <f>SUM($B61:E61)</f>
        <v>0.98699999999999999</v>
      </c>
      <c r="R61" s="89"/>
      <c r="AH61" s="90">
        <f t="shared" si="5"/>
        <v>0</v>
      </c>
      <c r="AI61" s="90">
        <f t="shared" si="6"/>
        <v>0</v>
      </c>
      <c r="AJ61" s="89"/>
      <c r="AK61" s="88" t="s">
        <v>105</v>
      </c>
      <c r="AL61" s="90"/>
      <c r="AM61" s="90"/>
      <c r="AN61" s="90"/>
      <c r="AO61" s="90"/>
      <c r="AP61" s="90"/>
      <c r="AQ61" s="90"/>
      <c r="AR61" s="90">
        <v>1</v>
      </c>
      <c r="AS61" s="90"/>
      <c r="AT61" s="90">
        <v>1</v>
      </c>
      <c r="AU61" s="90">
        <v>1.5</v>
      </c>
      <c r="AV61" s="90"/>
      <c r="AW61" s="90"/>
      <c r="AX61" s="90"/>
      <c r="AY61" s="90"/>
      <c r="AZ61" s="90">
        <f t="shared" si="7"/>
        <v>3.5</v>
      </c>
      <c r="BA61" s="90">
        <f>ROUND(AZ61*IFERROR(VLOOKUP($AK61,'3121% SY'!$A$2:$M$324,13,FALSE),0),3)</f>
        <v>0.92900000000000005</v>
      </c>
      <c r="BB61" s="90">
        <f t="shared" si="8"/>
        <v>0</v>
      </c>
      <c r="BC61" s="90">
        <f>ROUND(BB61*IFERROR(VLOOKUP($AK61,'3121% SY'!$A$2:$M$324,13,FALSE),0),3)</f>
        <v>0</v>
      </c>
    </row>
    <row r="62" spans="1:55" x14ac:dyDescent="0.25">
      <c r="A62" s="88" t="s">
        <v>71</v>
      </c>
      <c r="B62" s="90"/>
      <c r="C62" s="90">
        <v>5.3239999999999998</v>
      </c>
      <c r="D62" s="90">
        <v>8.1969999999999992</v>
      </c>
      <c r="E62" s="90"/>
      <c r="F62" s="90">
        <v>7.4089999999999998</v>
      </c>
      <c r="G62" s="90"/>
      <c r="H62" s="90"/>
      <c r="I62" s="90"/>
      <c r="J62" s="90"/>
      <c r="K62" s="90"/>
      <c r="L62" s="90"/>
      <c r="M62" s="90"/>
      <c r="N62" s="90"/>
      <c r="P62" s="90">
        <f t="shared" si="4"/>
        <v>7.4089999999999998</v>
      </c>
      <c r="Q62" s="90">
        <f>SUM($B62:E62)</f>
        <v>13.520999999999999</v>
      </c>
      <c r="R62" s="89"/>
      <c r="AH62" s="90">
        <f t="shared" si="5"/>
        <v>0</v>
      </c>
      <c r="AI62" s="90">
        <f t="shared" si="6"/>
        <v>0</v>
      </c>
      <c r="AJ62" s="89"/>
      <c r="AK62" s="88" t="s">
        <v>106</v>
      </c>
      <c r="AL62" s="90"/>
      <c r="AM62" s="90"/>
      <c r="AN62" s="90">
        <v>2.37</v>
      </c>
      <c r="AO62" s="90"/>
      <c r="AP62" s="90"/>
      <c r="AQ62" s="90"/>
      <c r="AR62" s="90"/>
      <c r="AS62" s="90"/>
      <c r="AT62" s="90">
        <v>0.5</v>
      </c>
      <c r="AU62" s="90">
        <v>1.81</v>
      </c>
      <c r="AV62" s="90"/>
      <c r="AW62" s="90"/>
      <c r="AX62" s="90"/>
      <c r="AY62" s="90"/>
      <c r="AZ62" s="90">
        <f t="shared" si="7"/>
        <v>2.31</v>
      </c>
      <c r="BA62" s="90">
        <f>ROUND(AZ62*IFERROR(VLOOKUP($AK62,'3121% SY'!$A$2:$M$324,13,FALSE),0),3)</f>
        <v>0.47399999999999998</v>
      </c>
      <c r="BB62" s="90">
        <f t="shared" si="8"/>
        <v>2.37</v>
      </c>
      <c r="BC62" s="90">
        <f>ROUND(BB62*IFERROR(VLOOKUP($AK62,'3121% SY'!$A$2:$M$324,13,FALSE),0),3)</f>
        <v>0.48599999999999999</v>
      </c>
    </row>
    <row r="63" spans="1:55" x14ac:dyDescent="0.25">
      <c r="A63" s="88" t="s">
        <v>72</v>
      </c>
      <c r="B63" s="90"/>
      <c r="C63" s="90">
        <v>4.8869999999999996</v>
      </c>
      <c r="D63" s="90">
        <v>1.08</v>
      </c>
      <c r="E63" s="90"/>
      <c r="F63" s="90">
        <v>2</v>
      </c>
      <c r="G63" s="90"/>
      <c r="H63" s="90"/>
      <c r="I63" s="90"/>
      <c r="J63" s="90">
        <v>8.5000000000000006E-2</v>
      </c>
      <c r="K63" s="90">
        <v>0.61899999999999999</v>
      </c>
      <c r="L63" s="90"/>
      <c r="M63" s="90"/>
      <c r="N63" s="90"/>
      <c r="P63" s="90">
        <f t="shared" si="4"/>
        <v>2.7039999999999997</v>
      </c>
      <c r="Q63" s="90">
        <f>SUM($B63:E63)</f>
        <v>5.9669999999999996</v>
      </c>
      <c r="R63" s="89"/>
      <c r="AH63" s="90">
        <f t="shared" si="5"/>
        <v>0</v>
      </c>
      <c r="AI63" s="90">
        <f t="shared" si="6"/>
        <v>0</v>
      </c>
      <c r="AJ63" s="89"/>
      <c r="AK63" s="88" t="s">
        <v>107</v>
      </c>
      <c r="AL63" s="90"/>
      <c r="AM63" s="90">
        <v>5.9790000000000001</v>
      </c>
      <c r="AN63" s="90">
        <v>3.8079999999999998</v>
      </c>
      <c r="AO63" s="90"/>
      <c r="AP63" s="90"/>
      <c r="AQ63" s="90"/>
      <c r="AR63" s="90">
        <v>0.73</v>
      </c>
      <c r="AS63" s="90"/>
      <c r="AT63" s="90">
        <v>4.3</v>
      </c>
      <c r="AU63" s="90">
        <v>4.4409999999999998</v>
      </c>
      <c r="AV63" s="90"/>
      <c r="AW63" s="90">
        <v>0.55000000000000004</v>
      </c>
      <c r="AX63" s="90">
        <v>1.67</v>
      </c>
      <c r="AY63" s="90"/>
      <c r="AZ63" s="90">
        <f t="shared" si="7"/>
        <v>11.691000000000001</v>
      </c>
      <c r="BA63" s="90">
        <f>ROUND(AZ63*IFERROR(VLOOKUP($AK63,'3121% SY'!$A$2:$M$324,13,FALSE),0),3)</f>
        <v>2.8980000000000001</v>
      </c>
      <c r="BB63" s="90">
        <f t="shared" si="8"/>
        <v>9.786999999999999</v>
      </c>
      <c r="BC63" s="90">
        <f>ROUND(BB63*IFERROR(VLOOKUP($AK63,'3121% SY'!$A$2:$M$324,13,FALSE),0),3)</f>
        <v>2.4260000000000002</v>
      </c>
    </row>
    <row r="64" spans="1:55" x14ac:dyDescent="0.25">
      <c r="A64" s="88" t="s">
        <v>73</v>
      </c>
      <c r="B64" s="90"/>
      <c r="C64" s="90"/>
      <c r="D64" s="90">
        <v>0.29199999999999998</v>
      </c>
      <c r="E64" s="90"/>
      <c r="F64" s="90"/>
      <c r="G64" s="90"/>
      <c r="H64" s="90"/>
      <c r="I64" s="90"/>
      <c r="J64" s="90"/>
      <c r="K64" s="90"/>
      <c r="L64" s="90"/>
      <c r="M64" s="90"/>
      <c r="N64" s="90"/>
      <c r="P64" s="90">
        <f t="shared" si="4"/>
        <v>0</v>
      </c>
      <c r="Q64" s="90">
        <f>SUM($B64:E64)</f>
        <v>0.29199999999999998</v>
      </c>
      <c r="R64" s="89"/>
      <c r="AH64" s="90">
        <f t="shared" si="5"/>
        <v>0</v>
      </c>
      <c r="AI64" s="90">
        <f t="shared" si="6"/>
        <v>0</v>
      </c>
      <c r="AJ64" s="89"/>
      <c r="AK64" s="88" t="s">
        <v>108</v>
      </c>
      <c r="AL64" s="90"/>
      <c r="AM64" s="90"/>
      <c r="AN64" s="90">
        <v>2.081</v>
      </c>
      <c r="AO64" s="90"/>
      <c r="AP64" s="90"/>
      <c r="AQ64" s="90"/>
      <c r="AR64" s="90">
        <v>0.73</v>
      </c>
      <c r="AS64" s="90"/>
      <c r="AT64" s="90">
        <v>1.6120000000000001</v>
      </c>
      <c r="AU64" s="90">
        <v>2</v>
      </c>
      <c r="AV64" s="90"/>
      <c r="AW64" s="90">
        <v>0.26</v>
      </c>
      <c r="AX64" s="90"/>
      <c r="AY64" s="90"/>
      <c r="AZ64" s="90">
        <f t="shared" si="7"/>
        <v>4.6020000000000003</v>
      </c>
      <c r="BA64" s="90">
        <f>ROUND(AZ64*IFERROR(VLOOKUP($AK64,'3121% SY'!$A$2:$M$324,13,FALSE),0),3)</f>
        <v>1.089</v>
      </c>
      <c r="BB64" s="90">
        <f t="shared" si="8"/>
        <v>2.081</v>
      </c>
      <c r="BC64" s="90">
        <f>ROUND(BB64*IFERROR(VLOOKUP($AK64,'3121% SY'!$A$2:$M$324,13,FALSE),0),3)</f>
        <v>0.49199999999999999</v>
      </c>
    </row>
    <row r="65" spans="1:55" x14ac:dyDescent="0.25">
      <c r="A65" s="88" t="s">
        <v>74</v>
      </c>
      <c r="B65" s="90"/>
      <c r="C65" s="90">
        <v>0.61599999999999999</v>
      </c>
      <c r="D65" s="90">
        <v>1.5820000000000001</v>
      </c>
      <c r="E65" s="90"/>
      <c r="F65" s="90">
        <v>1</v>
      </c>
      <c r="G65" s="90"/>
      <c r="H65" s="90"/>
      <c r="I65" s="90"/>
      <c r="J65" s="90"/>
      <c r="K65" s="90"/>
      <c r="L65" s="90"/>
      <c r="M65" s="90"/>
      <c r="N65" s="90"/>
      <c r="P65" s="90">
        <f t="shared" si="4"/>
        <v>1</v>
      </c>
      <c r="Q65" s="90">
        <f>SUM($B65:E65)</f>
        <v>2.198</v>
      </c>
      <c r="R65" s="89"/>
      <c r="AH65" s="90">
        <f t="shared" si="5"/>
        <v>0</v>
      </c>
      <c r="AI65" s="90">
        <f t="shared" si="6"/>
        <v>0</v>
      </c>
      <c r="AJ65" s="89"/>
      <c r="AK65" s="88" t="s">
        <v>109</v>
      </c>
      <c r="AL65" s="90"/>
      <c r="AM65" s="90"/>
      <c r="AN65" s="90">
        <v>2.452</v>
      </c>
      <c r="AO65" s="90"/>
      <c r="AP65" s="90"/>
      <c r="AQ65" s="90"/>
      <c r="AR65" s="90">
        <v>0.93500000000000005</v>
      </c>
      <c r="AS65" s="90"/>
      <c r="AT65" s="90">
        <v>3.6</v>
      </c>
      <c r="AU65" s="90"/>
      <c r="AV65" s="90"/>
      <c r="AW65" s="90">
        <v>0.26</v>
      </c>
      <c r="AX65" s="90"/>
      <c r="AY65" s="90"/>
      <c r="AZ65" s="90">
        <f t="shared" si="7"/>
        <v>4.7949999999999999</v>
      </c>
      <c r="BA65" s="90">
        <f>ROUND(AZ65*IFERROR(VLOOKUP($AK65,'3121% SY'!$A$2:$M$324,13,FALSE),0),3)</f>
        <v>1.111</v>
      </c>
      <c r="BB65" s="90">
        <f t="shared" si="8"/>
        <v>2.452</v>
      </c>
      <c r="BC65" s="90">
        <f>ROUND(BB65*IFERROR(VLOOKUP($AK65,'3121% SY'!$A$2:$M$324,13,FALSE),0),3)</f>
        <v>0.56799999999999995</v>
      </c>
    </row>
    <row r="66" spans="1:55" x14ac:dyDescent="0.25">
      <c r="A66" s="88" t="s">
        <v>75</v>
      </c>
      <c r="B66" s="90"/>
      <c r="C66" s="90"/>
      <c r="D66" s="90">
        <v>2.57</v>
      </c>
      <c r="E66" s="90"/>
      <c r="F66" s="90">
        <v>3.294</v>
      </c>
      <c r="G66" s="90"/>
      <c r="H66" s="90"/>
      <c r="I66" s="90"/>
      <c r="J66" s="90"/>
      <c r="K66" s="90"/>
      <c r="L66" s="90"/>
      <c r="M66" s="90"/>
      <c r="N66" s="90"/>
      <c r="P66" s="90">
        <f t="shared" si="4"/>
        <v>3.294</v>
      </c>
      <c r="Q66" s="90">
        <f>SUM($B66:E66)</f>
        <v>2.57</v>
      </c>
      <c r="R66" s="89"/>
      <c r="AH66" s="90">
        <f t="shared" si="5"/>
        <v>0</v>
      </c>
      <c r="AI66" s="90">
        <f t="shared" si="6"/>
        <v>0</v>
      </c>
      <c r="AJ66" s="89"/>
      <c r="AK66" s="88" t="s">
        <v>110</v>
      </c>
      <c r="AL66" s="90"/>
      <c r="AM66" s="90"/>
      <c r="AN66" s="90">
        <v>3.5</v>
      </c>
      <c r="AO66" s="90"/>
      <c r="AP66" s="90"/>
      <c r="AQ66" s="90"/>
      <c r="AR66" s="90">
        <v>2.5</v>
      </c>
      <c r="AS66" s="90"/>
      <c r="AT66" s="90">
        <v>4.9000000000000004</v>
      </c>
      <c r="AU66" s="90"/>
      <c r="AV66" s="90"/>
      <c r="AW66" s="90">
        <v>2.4</v>
      </c>
      <c r="AX66" s="90"/>
      <c r="AY66" s="90"/>
      <c r="AZ66" s="90">
        <f t="shared" si="7"/>
        <v>9.8000000000000007</v>
      </c>
      <c r="BA66" s="90">
        <f>ROUND(AZ66*IFERROR(VLOOKUP($AK66,'3121% SY'!$A$2:$M$324,13,FALSE),0),3)</f>
        <v>2.2829999999999999</v>
      </c>
      <c r="BB66" s="90">
        <f t="shared" si="8"/>
        <v>3.5</v>
      </c>
      <c r="BC66" s="90">
        <f>ROUND(BB66*IFERROR(VLOOKUP($AK66,'3121% SY'!$A$2:$M$324,13,FALSE),0),3)</f>
        <v>0.81599999999999995</v>
      </c>
    </row>
    <row r="67" spans="1:55" x14ac:dyDescent="0.25">
      <c r="A67" s="88" t="s">
        <v>76</v>
      </c>
      <c r="B67" s="90"/>
      <c r="C67" s="90"/>
      <c r="D67" s="90">
        <v>0.19</v>
      </c>
      <c r="E67" s="90"/>
      <c r="F67" s="90">
        <v>1.8</v>
      </c>
      <c r="G67" s="90"/>
      <c r="H67" s="90"/>
      <c r="I67" s="90"/>
      <c r="J67" s="90"/>
      <c r="K67" s="90"/>
      <c r="L67" s="90"/>
      <c r="M67" s="90"/>
      <c r="N67" s="90"/>
      <c r="P67" s="90">
        <f t="shared" si="4"/>
        <v>1.8</v>
      </c>
      <c r="Q67" s="90">
        <f>SUM($B67:E67)</f>
        <v>0.19</v>
      </c>
      <c r="R67" s="89"/>
      <c r="AH67" s="90">
        <f t="shared" si="5"/>
        <v>0</v>
      </c>
      <c r="AI67" s="90">
        <f t="shared" si="6"/>
        <v>0</v>
      </c>
      <c r="AJ67" s="89"/>
      <c r="AK67" s="88" t="s">
        <v>111</v>
      </c>
      <c r="AL67" s="90"/>
      <c r="AM67" s="90">
        <v>4.87</v>
      </c>
      <c r="AN67" s="90">
        <v>0.626</v>
      </c>
      <c r="AO67" s="90"/>
      <c r="AP67" s="90"/>
      <c r="AQ67" s="90"/>
      <c r="AR67" s="90"/>
      <c r="AS67" s="90"/>
      <c r="AT67" s="90">
        <v>2.0979999999999999</v>
      </c>
      <c r="AU67" s="90"/>
      <c r="AV67" s="90"/>
      <c r="AW67" s="90"/>
      <c r="AX67" s="90"/>
      <c r="AY67" s="90"/>
      <c r="AZ67" s="90">
        <f t="shared" si="7"/>
        <v>2.0979999999999999</v>
      </c>
      <c r="BA67" s="90">
        <f>ROUND(AZ67*IFERROR(VLOOKUP($AK67,'3121% SY'!$A$2:$M$324,13,FALSE),0),3)</f>
        <v>0.49199999999999999</v>
      </c>
      <c r="BB67" s="90">
        <f t="shared" si="8"/>
        <v>5.4960000000000004</v>
      </c>
      <c r="BC67" s="90">
        <f>ROUND(BB67*IFERROR(VLOOKUP($AK67,'3121% SY'!$A$2:$M$324,13,FALSE),0),3)</f>
        <v>1.29</v>
      </c>
    </row>
    <row r="68" spans="1:55" x14ac:dyDescent="0.25">
      <c r="A68" s="88" t="s">
        <v>77</v>
      </c>
      <c r="B68" s="90">
        <v>0.80800000000000005</v>
      </c>
      <c r="C68" s="90"/>
      <c r="D68" s="90"/>
      <c r="E68" s="90"/>
      <c r="F68" s="90">
        <v>0.46400000000000002</v>
      </c>
      <c r="G68" s="90"/>
      <c r="H68" s="90"/>
      <c r="I68" s="90"/>
      <c r="J68" s="90"/>
      <c r="K68" s="90"/>
      <c r="L68" s="90"/>
      <c r="M68" s="90"/>
      <c r="N68" s="90"/>
      <c r="P68" s="90">
        <f t="shared" si="4"/>
        <v>0.46400000000000002</v>
      </c>
      <c r="Q68" s="90">
        <f>SUM($B68:E68)</f>
        <v>0.80800000000000005</v>
      </c>
      <c r="R68" s="89"/>
      <c r="AH68" s="90">
        <f t="shared" si="5"/>
        <v>0</v>
      </c>
      <c r="AI68" s="90">
        <f t="shared" si="6"/>
        <v>0</v>
      </c>
      <c r="AJ68" s="89"/>
      <c r="AK68" s="88" t="s">
        <v>112</v>
      </c>
      <c r="AL68" s="90"/>
      <c r="AM68" s="90"/>
      <c r="AN68" s="90">
        <v>4.25</v>
      </c>
      <c r="AO68" s="90"/>
      <c r="AP68" s="90"/>
      <c r="AQ68" s="90"/>
      <c r="AR68" s="90">
        <v>2.5289999999999999</v>
      </c>
      <c r="AS68" s="90"/>
      <c r="AT68" s="90">
        <v>5</v>
      </c>
      <c r="AU68" s="90"/>
      <c r="AV68" s="90"/>
      <c r="AW68" s="90">
        <v>1.1000000000000001</v>
      </c>
      <c r="AX68" s="90"/>
      <c r="AY68" s="90"/>
      <c r="AZ68" s="90">
        <f t="shared" si="7"/>
        <v>8.6289999999999996</v>
      </c>
      <c r="BA68" s="90">
        <f>ROUND(AZ68*IFERROR(VLOOKUP($AK68,'3121% SY'!$A$2:$M$324,13,FALSE),0),3)</f>
        <v>1.95</v>
      </c>
      <c r="BB68" s="90">
        <f t="shared" si="8"/>
        <v>4.25</v>
      </c>
      <c r="BC68" s="90">
        <f>ROUND(BB68*IFERROR(VLOOKUP($AK68,'3121% SY'!$A$2:$M$324,13,FALSE),0),3)</f>
        <v>0.96099999999999997</v>
      </c>
    </row>
    <row r="69" spans="1:55" x14ac:dyDescent="0.25">
      <c r="A69" s="88" t="s">
        <v>78</v>
      </c>
      <c r="B69" s="90"/>
      <c r="C69" s="90">
        <v>0.35299999999999998</v>
      </c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P69" s="90">
        <f t="shared" si="4"/>
        <v>0</v>
      </c>
      <c r="Q69" s="90">
        <f>SUM($B69:E69)</f>
        <v>0.35299999999999998</v>
      </c>
      <c r="R69" s="89"/>
      <c r="AH69" s="90">
        <f t="shared" si="5"/>
        <v>0</v>
      </c>
      <c r="AI69" s="90">
        <f t="shared" si="6"/>
        <v>0</v>
      </c>
      <c r="AJ69" s="89"/>
      <c r="AK69" s="88" t="s">
        <v>113</v>
      </c>
      <c r="AL69" s="90"/>
      <c r="AM69" s="90"/>
      <c r="AN69" s="90">
        <v>2.8130000000000002</v>
      </c>
      <c r="AO69" s="90"/>
      <c r="AP69" s="90"/>
      <c r="AQ69" s="90"/>
      <c r="AR69" s="90"/>
      <c r="AS69" s="90"/>
      <c r="AT69" s="90">
        <v>24.524999999999999</v>
      </c>
      <c r="AU69" s="90">
        <v>1.9770000000000001</v>
      </c>
      <c r="AV69" s="90"/>
      <c r="AW69" s="90"/>
      <c r="AX69" s="90">
        <v>4</v>
      </c>
      <c r="AY69" s="90"/>
      <c r="AZ69" s="90">
        <f t="shared" si="7"/>
        <v>30.501999999999999</v>
      </c>
      <c r="BA69" s="90">
        <f>ROUND(AZ69*IFERROR(VLOOKUP($AK69,'3121% SY'!$A$2:$M$324,13,FALSE),0),3)</f>
        <v>9.407</v>
      </c>
      <c r="BB69" s="90">
        <f t="shared" si="8"/>
        <v>2.8130000000000002</v>
      </c>
      <c r="BC69" s="90">
        <f>ROUND(BB69*IFERROR(VLOOKUP($AK69,'3121% SY'!$A$2:$M$324,13,FALSE),0),3)</f>
        <v>0.86799999999999999</v>
      </c>
    </row>
    <row r="70" spans="1:55" x14ac:dyDescent="0.25">
      <c r="A70" s="88" t="s">
        <v>79</v>
      </c>
      <c r="B70" s="90"/>
      <c r="C70" s="90">
        <v>2.129</v>
      </c>
      <c r="D70" s="90">
        <v>2.665</v>
      </c>
      <c r="E70" s="90"/>
      <c r="F70" s="90"/>
      <c r="G70" s="90"/>
      <c r="H70" s="90"/>
      <c r="I70" s="90"/>
      <c r="J70" s="90"/>
      <c r="K70" s="90"/>
      <c r="L70" s="90"/>
      <c r="M70" s="90"/>
      <c r="N70" s="90"/>
      <c r="P70" s="90">
        <f t="shared" si="4"/>
        <v>0</v>
      </c>
      <c r="Q70" s="90">
        <f>SUM($B70:E70)</f>
        <v>4.7940000000000005</v>
      </c>
      <c r="R70" s="89"/>
      <c r="AH70" s="90">
        <f t="shared" si="5"/>
        <v>0</v>
      </c>
      <c r="AI70" s="90">
        <f t="shared" si="6"/>
        <v>0</v>
      </c>
      <c r="AJ70" s="89"/>
      <c r="AK70" s="88" t="s">
        <v>114</v>
      </c>
      <c r="AL70" s="90"/>
      <c r="AM70" s="90"/>
      <c r="AN70" s="90">
        <v>13.842000000000001</v>
      </c>
      <c r="AO70" s="90"/>
      <c r="AP70" s="90"/>
      <c r="AQ70" s="90"/>
      <c r="AR70" s="90">
        <v>0.16</v>
      </c>
      <c r="AS70" s="90"/>
      <c r="AT70" s="90">
        <v>5.1459999999999999</v>
      </c>
      <c r="AU70" s="90">
        <v>5.19</v>
      </c>
      <c r="AV70" s="90"/>
      <c r="AW70" s="90">
        <v>0.79600000000000004</v>
      </c>
      <c r="AX70" s="90"/>
      <c r="AY70" s="90"/>
      <c r="AZ70" s="90">
        <f t="shared" si="7"/>
        <v>11.292</v>
      </c>
      <c r="BA70" s="90">
        <f>ROUND(AZ70*IFERROR(VLOOKUP($AK70,'3121% SY'!$A$2:$M$324,13,FALSE),0),3)</f>
        <v>2.3519999999999999</v>
      </c>
      <c r="BB70" s="90">
        <f t="shared" si="8"/>
        <v>13.842000000000001</v>
      </c>
      <c r="BC70" s="90">
        <f>ROUND(BB70*IFERROR(VLOOKUP($AK70,'3121% SY'!$A$2:$M$324,13,FALSE),0),3)</f>
        <v>2.883</v>
      </c>
    </row>
    <row r="71" spans="1:55" x14ac:dyDescent="0.25">
      <c r="A71" s="88" t="s">
        <v>80</v>
      </c>
      <c r="B71" s="90"/>
      <c r="C71" s="90"/>
      <c r="D71" s="90">
        <v>0.63900000000000001</v>
      </c>
      <c r="E71" s="90"/>
      <c r="F71" s="90">
        <v>0.78</v>
      </c>
      <c r="G71" s="90"/>
      <c r="H71" s="90"/>
      <c r="I71" s="90"/>
      <c r="J71" s="90"/>
      <c r="K71" s="90"/>
      <c r="L71" s="90"/>
      <c r="M71" s="90"/>
      <c r="N71" s="90"/>
      <c r="P71" s="90">
        <f t="shared" ref="P71:P134" si="9">SUM(F71:O71)</f>
        <v>0.78</v>
      </c>
      <c r="Q71" s="90">
        <f>SUM($B71:E71)</f>
        <v>0.63900000000000001</v>
      </c>
      <c r="R71" s="89"/>
      <c r="AH71" s="90">
        <f t="shared" ref="AH71:AH134" si="10">SUM(X71:AG71)</f>
        <v>0</v>
      </c>
      <c r="AI71" s="90">
        <f t="shared" ref="AI71:AI134" si="11">SUM(T71:W71)</f>
        <v>0</v>
      </c>
      <c r="AJ71" s="89"/>
      <c r="AK71" s="88" t="s">
        <v>619</v>
      </c>
      <c r="AL71" s="90"/>
      <c r="AM71" s="90"/>
      <c r="AN71" s="90">
        <v>0.80800000000000005</v>
      </c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>
        <f t="shared" ref="AZ71:AZ134" si="12">SUM(AP71:AY71)</f>
        <v>0</v>
      </c>
      <c r="BA71" s="90">
        <f>ROUND(AZ71*IFERROR(VLOOKUP($AK71,'3121% SY'!$A$2:$M$324,13,FALSE),0),3)</f>
        <v>0</v>
      </c>
      <c r="BB71" s="90">
        <f t="shared" ref="BB71:BB134" si="13">SUM(AL71:AO71)</f>
        <v>0.80800000000000005</v>
      </c>
      <c r="BC71" s="90">
        <f>ROUND(BB71*IFERROR(VLOOKUP($AK71,'3121% SY'!$A$2:$M$324,13,FALSE),0),3)</f>
        <v>0.105</v>
      </c>
    </row>
    <row r="72" spans="1:55" x14ac:dyDescent="0.25">
      <c r="A72" s="88" t="s">
        <v>81</v>
      </c>
      <c r="B72" s="90"/>
      <c r="C72" s="90"/>
      <c r="D72" s="90">
        <v>1.224</v>
      </c>
      <c r="E72" s="90"/>
      <c r="F72" s="90"/>
      <c r="G72" s="90"/>
      <c r="H72" s="90"/>
      <c r="I72" s="90"/>
      <c r="J72" s="90"/>
      <c r="K72" s="90"/>
      <c r="L72" s="90"/>
      <c r="M72" s="90"/>
      <c r="N72" s="90"/>
      <c r="P72" s="90">
        <f t="shared" si="9"/>
        <v>0</v>
      </c>
      <c r="Q72" s="90">
        <f>SUM($B72:E72)</f>
        <v>1.224</v>
      </c>
      <c r="R72" s="89"/>
      <c r="AH72" s="90">
        <f t="shared" si="10"/>
        <v>0</v>
      </c>
      <c r="AI72" s="90">
        <f t="shared" si="11"/>
        <v>0</v>
      </c>
      <c r="AJ72" s="89"/>
      <c r="AK72" s="88" t="s">
        <v>621</v>
      </c>
      <c r="AL72" s="90"/>
      <c r="AM72" s="90"/>
      <c r="AN72" s="90">
        <v>0.80800000000000005</v>
      </c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>
        <f t="shared" si="12"/>
        <v>0</v>
      </c>
      <c r="BA72" s="90">
        <f>ROUND(AZ72*IFERROR(VLOOKUP($AK72,'3121% SY'!$A$2:$M$324,13,FALSE),0),3)</f>
        <v>0</v>
      </c>
      <c r="BB72" s="90">
        <f t="shared" si="13"/>
        <v>0.80800000000000005</v>
      </c>
      <c r="BC72" s="90">
        <f>ROUND(BB72*IFERROR(VLOOKUP($AK72,'3121% SY'!$A$2:$M$324,13,FALSE),0),3)</f>
        <v>0.106</v>
      </c>
    </row>
    <row r="73" spans="1:55" x14ac:dyDescent="0.25">
      <c r="A73" s="88" t="s">
        <v>82</v>
      </c>
      <c r="B73" s="90"/>
      <c r="C73" s="90">
        <v>0.34300000000000003</v>
      </c>
      <c r="D73" s="90"/>
      <c r="E73" s="90"/>
      <c r="F73" s="90">
        <v>0.3</v>
      </c>
      <c r="G73" s="90"/>
      <c r="H73" s="90"/>
      <c r="I73" s="90"/>
      <c r="J73" s="90"/>
      <c r="K73" s="90"/>
      <c r="L73" s="90"/>
      <c r="M73" s="90"/>
      <c r="N73" s="90"/>
      <c r="P73" s="90">
        <f t="shared" si="9"/>
        <v>0.3</v>
      </c>
      <c r="Q73" s="90">
        <f>SUM($B73:E73)</f>
        <v>0.34300000000000003</v>
      </c>
      <c r="R73" s="89"/>
      <c r="AH73" s="90">
        <f t="shared" si="10"/>
        <v>0</v>
      </c>
      <c r="AI73" s="90">
        <f t="shared" si="11"/>
        <v>0</v>
      </c>
      <c r="AJ73" s="89"/>
      <c r="AK73" s="88" t="s">
        <v>116</v>
      </c>
      <c r="AL73" s="90"/>
      <c r="AM73" s="90">
        <v>2.3130000000000002</v>
      </c>
      <c r="AN73" s="90">
        <v>0.7</v>
      </c>
      <c r="AO73" s="90"/>
      <c r="AP73" s="90"/>
      <c r="AQ73" s="90"/>
      <c r="AR73" s="90"/>
      <c r="AS73" s="90"/>
      <c r="AT73" s="90">
        <v>1</v>
      </c>
      <c r="AU73" s="90">
        <v>1</v>
      </c>
      <c r="AV73" s="90"/>
      <c r="AW73" s="90">
        <v>0.1</v>
      </c>
      <c r="AX73" s="90"/>
      <c r="AY73" s="90"/>
      <c r="AZ73" s="90">
        <f t="shared" si="12"/>
        <v>2.1</v>
      </c>
      <c r="BA73" s="90">
        <f>ROUND(AZ73*IFERROR(VLOOKUP($AK73,'3121% SY'!$A$2:$M$324,13,FALSE),0),3)</f>
        <v>0.56899999999999995</v>
      </c>
      <c r="BB73" s="90">
        <f t="shared" si="13"/>
        <v>3.0129999999999999</v>
      </c>
      <c r="BC73" s="90">
        <f>ROUND(BB73*IFERROR(VLOOKUP($AK73,'3121% SY'!$A$2:$M$324,13,FALSE),0),3)</f>
        <v>0.81599999999999995</v>
      </c>
    </row>
    <row r="74" spans="1:55" x14ac:dyDescent="0.25">
      <c r="A74" s="88" t="s">
        <v>83</v>
      </c>
      <c r="B74" s="90"/>
      <c r="C74" s="90">
        <v>0.88300000000000001</v>
      </c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P74" s="90">
        <f t="shared" si="9"/>
        <v>0</v>
      </c>
      <c r="Q74" s="90">
        <f>SUM($B74:E74)</f>
        <v>0.88300000000000001</v>
      </c>
      <c r="R74" s="89"/>
      <c r="AH74" s="90">
        <f t="shared" si="10"/>
        <v>0</v>
      </c>
      <c r="AI74" s="90">
        <f t="shared" si="11"/>
        <v>0</v>
      </c>
      <c r="AJ74" s="89"/>
      <c r="AK74" s="88" t="s">
        <v>117</v>
      </c>
      <c r="AL74" s="90"/>
      <c r="AM74" s="90">
        <v>0.83499999999999996</v>
      </c>
      <c r="AN74" s="90"/>
      <c r="AO74" s="90"/>
      <c r="AP74" s="90"/>
      <c r="AQ74" s="90"/>
      <c r="AR74" s="90"/>
      <c r="AS74" s="90"/>
      <c r="AT74" s="90">
        <v>1.2170000000000001</v>
      </c>
      <c r="AU74" s="90">
        <v>1.2889999999999999</v>
      </c>
      <c r="AV74" s="90"/>
      <c r="AW74" s="90">
        <v>0.09</v>
      </c>
      <c r="AX74" s="90"/>
      <c r="AY74" s="90"/>
      <c r="AZ74" s="90">
        <f t="shared" si="12"/>
        <v>2.5960000000000001</v>
      </c>
      <c r="BA74" s="90">
        <f>ROUND(AZ74*IFERROR(VLOOKUP($AK74,'3121% SY'!$A$2:$M$324,13,FALSE),0),3)</f>
        <v>0.52800000000000002</v>
      </c>
      <c r="BB74" s="90">
        <f t="shared" si="13"/>
        <v>0.83499999999999996</v>
      </c>
      <c r="BC74" s="90">
        <f>ROUND(BB74*IFERROR(VLOOKUP($AK74,'3121% SY'!$A$2:$M$324,13,FALSE),0),3)</f>
        <v>0.17</v>
      </c>
    </row>
    <row r="75" spans="1:55" x14ac:dyDescent="0.25">
      <c r="A75" s="88" t="s">
        <v>85</v>
      </c>
      <c r="B75" s="90"/>
      <c r="C75" s="90"/>
      <c r="D75" s="90"/>
      <c r="E75" s="90"/>
      <c r="F75" s="90">
        <v>0.53300000000000003</v>
      </c>
      <c r="G75" s="90"/>
      <c r="H75" s="90"/>
      <c r="I75" s="90"/>
      <c r="J75" s="90"/>
      <c r="K75" s="90"/>
      <c r="L75" s="90"/>
      <c r="M75" s="90"/>
      <c r="N75" s="90"/>
      <c r="P75" s="90">
        <f t="shared" si="9"/>
        <v>0.53300000000000003</v>
      </c>
      <c r="Q75" s="90">
        <f>SUM($B75:E75)</f>
        <v>0</v>
      </c>
      <c r="R75" s="89"/>
      <c r="AH75" s="90">
        <f t="shared" si="10"/>
        <v>0</v>
      </c>
      <c r="AI75" s="90">
        <f t="shared" si="11"/>
        <v>0</v>
      </c>
      <c r="AJ75" s="89"/>
      <c r="AK75" s="88" t="s">
        <v>118</v>
      </c>
      <c r="AL75" s="90"/>
      <c r="AM75" s="90">
        <v>9.9220000000000006</v>
      </c>
      <c r="AN75" s="90">
        <v>3.0390000000000001</v>
      </c>
      <c r="AO75" s="90"/>
      <c r="AP75" s="90"/>
      <c r="AQ75" s="90"/>
      <c r="AR75" s="90">
        <v>1.04</v>
      </c>
      <c r="AS75" s="90"/>
      <c r="AT75" s="90">
        <v>1.6</v>
      </c>
      <c r="AU75" s="90">
        <v>2</v>
      </c>
      <c r="AV75" s="90"/>
      <c r="AW75" s="90">
        <v>0.27600000000000002</v>
      </c>
      <c r="AX75" s="90"/>
      <c r="AY75" s="90"/>
      <c r="AZ75" s="90">
        <f t="shared" si="12"/>
        <v>4.9160000000000004</v>
      </c>
      <c r="BA75" s="90">
        <f>ROUND(AZ75*IFERROR(VLOOKUP($AK75,'3121% SY'!$A$2:$M$324,13,FALSE),0),3)</f>
        <v>0.98399999999999999</v>
      </c>
      <c r="BB75" s="90">
        <f t="shared" si="13"/>
        <v>12.961</v>
      </c>
      <c r="BC75" s="90">
        <f>ROUND(BB75*IFERROR(VLOOKUP($AK75,'3121% SY'!$A$2:$M$324,13,FALSE),0),3)</f>
        <v>2.5950000000000002</v>
      </c>
    </row>
    <row r="76" spans="1:55" x14ac:dyDescent="0.25">
      <c r="A76" s="88" t="s">
        <v>86</v>
      </c>
      <c r="B76" s="90"/>
      <c r="C76" s="90">
        <v>0.626</v>
      </c>
      <c r="D76" s="90"/>
      <c r="E76" s="90"/>
      <c r="F76" s="90">
        <v>0.5</v>
      </c>
      <c r="G76" s="90"/>
      <c r="H76" s="90"/>
      <c r="I76" s="90"/>
      <c r="J76" s="90"/>
      <c r="K76" s="90"/>
      <c r="L76" s="90"/>
      <c r="M76" s="90"/>
      <c r="N76" s="90"/>
      <c r="P76" s="90">
        <f t="shared" si="9"/>
        <v>0.5</v>
      </c>
      <c r="Q76" s="90">
        <f>SUM($B76:E76)</f>
        <v>0.626</v>
      </c>
      <c r="R76" s="89"/>
      <c r="AH76" s="90">
        <f t="shared" si="10"/>
        <v>0</v>
      </c>
      <c r="AI76" s="90">
        <f t="shared" si="11"/>
        <v>0</v>
      </c>
      <c r="AJ76" s="89"/>
      <c r="AK76" s="88" t="s">
        <v>119</v>
      </c>
      <c r="AL76" s="90"/>
      <c r="AM76" s="90"/>
      <c r="AN76" s="90">
        <v>3.5640000000000001</v>
      </c>
      <c r="AO76" s="90"/>
      <c r="AP76" s="90"/>
      <c r="AQ76" s="90"/>
      <c r="AR76" s="90">
        <v>2.1160000000000001</v>
      </c>
      <c r="AS76" s="90"/>
      <c r="AT76" s="90">
        <v>3.718</v>
      </c>
      <c r="AU76" s="90">
        <v>2.86</v>
      </c>
      <c r="AV76" s="90"/>
      <c r="AW76" s="90">
        <v>0.34300000000000003</v>
      </c>
      <c r="AX76" s="90"/>
      <c r="AY76" s="90">
        <v>7.0750000000000002</v>
      </c>
      <c r="AZ76" s="90">
        <f t="shared" si="12"/>
        <v>16.111999999999998</v>
      </c>
      <c r="BA76" s="90">
        <f>ROUND(AZ76*IFERROR(VLOOKUP($AK76,'3121% SY'!$A$2:$M$324,13,FALSE),0),3)</f>
        <v>4.2489999999999997</v>
      </c>
      <c r="BB76" s="90">
        <f t="shared" si="13"/>
        <v>3.5640000000000001</v>
      </c>
      <c r="BC76" s="90">
        <f>ROUND(BB76*IFERROR(VLOOKUP($AK76,'3121% SY'!$A$2:$M$324,13,FALSE),0),3)</f>
        <v>0.94</v>
      </c>
    </row>
    <row r="77" spans="1:55" x14ac:dyDescent="0.25">
      <c r="A77" s="88" t="s">
        <v>87</v>
      </c>
      <c r="B77" s="90"/>
      <c r="C77" s="90"/>
      <c r="D77" s="90"/>
      <c r="E77" s="90"/>
      <c r="F77" s="90">
        <v>0.33300000000000002</v>
      </c>
      <c r="G77" s="90"/>
      <c r="H77" s="90"/>
      <c r="I77" s="90"/>
      <c r="J77" s="90"/>
      <c r="K77" s="90"/>
      <c r="L77" s="90"/>
      <c r="M77" s="90"/>
      <c r="N77" s="90"/>
      <c r="P77" s="90">
        <f t="shared" si="9"/>
        <v>0.33300000000000002</v>
      </c>
      <c r="Q77" s="90">
        <f>SUM($B77:E77)</f>
        <v>0</v>
      </c>
      <c r="R77" s="89"/>
      <c r="AH77" s="90">
        <f t="shared" si="10"/>
        <v>0</v>
      </c>
      <c r="AI77" s="90">
        <f t="shared" si="11"/>
        <v>0</v>
      </c>
      <c r="AJ77" s="89"/>
      <c r="AK77" s="88" t="s">
        <v>120</v>
      </c>
      <c r="AL77" s="90"/>
      <c r="AM77" s="90"/>
      <c r="AN77" s="90">
        <v>5.2069999999999999</v>
      </c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>
        <f t="shared" si="12"/>
        <v>0</v>
      </c>
      <c r="BA77" s="90">
        <f>ROUND(AZ77*IFERROR(VLOOKUP($AK77,'3121% SY'!$A$2:$M$324,13,FALSE),0),3)</f>
        <v>0</v>
      </c>
      <c r="BB77" s="90">
        <f t="shared" si="13"/>
        <v>5.2069999999999999</v>
      </c>
      <c r="BC77" s="90">
        <f>ROUND(BB77*IFERROR(VLOOKUP($AK77,'3121% SY'!$A$2:$M$324,13,FALSE),0),3)</f>
        <v>1.4690000000000001</v>
      </c>
    </row>
    <row r="78" spans="1:55" x14ac:dyDescent="0.25">
      <c r="A78" s="88" t="s">
        <v>88</v>
      </c>
      <c r="B78" s="90">
        <v>0.50800000000000001</v>
      </c>
      <c r="C78" s="90"/>
      <c r="D78" s="90">
        <v>0.438</v>
      </c>
      <c r="E78" s="90"/>
      <c r="F78" s="90">
        <v>4.7</v>
      </c>
      <c r="G78" s="90"/>
      <c r="H78" s="90">
        <v>0.99</v>
      </c>
      <c r="I78" s="90"/>
      <c r="J78" s="90"/>
      <c r="K78" s="90">
        <v>0.60099999999999998</v>
      </c>
      <c r="L78" s="90"/>
      <c r="M78" s="90"/>
      <c r="N78" s="90"/>
      <c r="P78" s="90">
        <f t="shared" si="9"/>
        <v>6.2910000000000004</v>
      </c>
      <c r="Q78" s="90">
        <f>SUM($B78:E78)</f>
        <v>0.94599999999999995</v>
      </c>
      <c r="R78" s="89"/>
      <c r="AH78" s="90">
        <f t="shared" si="10"/>
        <v>0</v>
      </c>
      <c r="AI78" s="90">
        <f t="shared" si="11"/>
        <v>0</v>
      </c>
      <c r="AJ78" s="89"/>
      <c r="AK78" s="88" t="s">
        <v>125</v>
      </c>
      <c r="AL78" s="90"/>
      <c r="AM78" s="90"/>
      <c r="AN78" s="90"/>
      <c r="AO78" s="90"/>
      <c r="AP78" s="90"/>
      <c r="AQ78" s="90"/>
      <c r="AR78" s="90"/>
      <c r="AS78" s="90"/>
      <c r="AT78" s="90"/>
      <c r="AU78" s="90">
        <v>1.127</v>
      </c>
      <c r="AV78" s="90"/>
      <c r="AW78" s="90"/>
      <c r="AX78" s="90"/>
      <c r="AY78" s="90"/>
      <c r="AZ78" s="90">
        <f t="shared" si="12"/>
        <v>1.127</v>
      </c>
      <c r="BA78" s="90">
        <f>ROUND(AZ78*IFERROR(VLOOKUP($AK78,'3121% SY'!$A$2:$M$324,13,FALSE),0),3)</f>
        <v>0.25600000000000001</v>
      </c>
      <c r="BB78" s="90">
        <f t="shared" si="13"/>
        <v>0</v>
      </c>
      <c r="BC78" s="90">
        <f>ROUND(BB78*IFERROR(VLOOKUP($AK78,'3121% SY'!$A$2:$M$324,13,FALSE),0),3)</f>
        <v>0</v>
      </c>
    </row>
    <row r="79" spans="1:55" x14ac:dyDescent="0.25">
      <c r="A79" s="88" t="s">
        <v>89</v>
      </c>
      <c r="B79" s="90"/>
      <c r="C79" s="90">
        <v>0.104</v>
      </c>
      <c r="D79" s="90"/>
      <c r="E79" s="90"/>
      <c r="F79" s="90">
        <v>1</v>
      </c>
      <c r="G79" s="90"/>
      <c r="H79" s="90"/>
      <c r="I79" s="90"/>
      <c r="J79" s="90">
        <v>0.1</v>
      </c>
      <c r="K79" s="90"/>
      <c r="L79" s="90"/>
      <c r="M79" s="90"/>
      <c r="N79" s="90"/>
      <c r="P79" s="90">
        <f t="shared" si="9"/>
        <v>1.1000000000000001</v>
      </c>
      <c r="Q79" s="90">
        <f>SUM($B79:E79)</f>
        <v>0.104</v>
      </c>
      <c r="R79" s="89"/>
      <c r="AH79" s="90">
        <f t="shared" si="10"/>
        <v>0</v>
      </c>
      <c r="AI79" s="90">
        <f t="shared" si="11"/>
        <v>0</v>
      </c>
      <c r="AJ79" s="89"/>
      <c r="AK79" s="88" t="s">
        <v>126</v>
      </c>
      <c r="AL79" s="90"/>
      <c r="AM79" s="90">
        <v>0.151</v>
      </c>
      <c r="AN79" s="90">
        <v>0.50900000000000001</v>
      </c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>
        <f t="shared" si="12"/>
        <v>0</v>
      </c>
      <c r="BA79" s="90">
        <f>ROUND(AZ79*IFERROR(VLOOKUP($AK79,'3121% SY'!$A$2:$M$324,13,FALSE),0),3)</f>
        <v>0</v>
      </c>
      <c r="BB79" s="90">
        <f t="shared" si="13"/>
        <v>0.66</v>
      </c>
      <c r="BC79" s="90">
        <f>ROUND(BB79*IFERROR(VLOOKUP($AK79,'3121% SY'!$A$2:$M$324,13,FALSE),0),3)</f>
        <v>0.14399999999999999</v>
      </c>
    </row>
    <row r="80" spans="1:55" x14ac:dyDescent="0.25">
      <c r="A80" s="88" t="s">
        <v>90</v>
      </c>
      <c r="B80" s="90"/>
      <c r="C80" s="90"/>
      <c r="D80" s="90"/>
      <c r="E80" s="90"/>
      <c r="F80" s="90">
        <v>2</v>
      </c>
      <c r="G80" s="90"/>
      <c r="H80" s="90"/>
      <c r="I80" s="90"/>
      <c r="J80" s="90"/>
      <c r="K80" s="90">
        <v>0.7</v>
      </c>
      <c r="L80" s="90"/>
      <c r="M80" s="90"/>
      <c r="N80" s="90"/>
      <c r="P80" s="90">
        <f t="shared" si="9"/>
        <v>2.7</v>
      </c>
      <c r="Q80" s="90">
        <f>SUM($B80:E80)</f>
        <v>0</v>
      </c>
      <c r="R80" s="89"/>
      <c r="AH80" s="90">
        <f t="shared" si="10"/>
        <v>0</v>
      </c>
      <c r="AI80" s="90">
        <f t="shared" si="11"/>
        <v>0</v>
      </c>
      <c r="AJ80" s="89"/>
      <c r="AK80" s="88" t="s">
        <v>127</v>
      </c>
      <c r="AL80" s="90"/>
      <c r="AM80" s="90"/>
      <c r="AN80" s="90"/>
      <c r="AO80" s="90"/>
      <c r="AP80" s="90"/>
      <c r="AQ80" s="90"/>
      <c r="AR80" s="90"/>
      <c r="AS80" s="90"/>
      <c r="AT80" s="90"/>
      <c r="AU80" s="90">
        <v>0.151</v>
      </c>
      <c r="AV80" s="90"/>
      <c r="AW80" s="90"/>
      <c r="AX80" s="90"/>
      <c r="AY80" s="90"/>
      <c r="AZ80" s="90">
        <f t="shared" si="12"/>
        <v>0.151</v>
      </c>
      <c r="BA80" s="90">
        <f>ROUND(AZ80*IFERROR(VLOOKUP($AK80,'3121% SY'!$A$2:$M$324,13,FALSE),0),3)</f>
        <v>2.5999999999999999E-2</v>
      </c>
      <c r="BB80" s="90">
        <f t="shared" si="13"/>
        <v>0</v>
      </c>
      <c r="BC80" s="90">
        <f>ROUND(BB80*IFERROR(VLOOKUP($AK80,'3121% SY'!$A$2:$M$324,13,FALSE),0),3)</f>
        <v>0</v>
      </c>
    </row>
    <row r="81" spans="1:55" x14ac:dyDescent="0.25">
      <c r="A81" s="88" t="s">
        <v>92</v>
      </c>
      <c r="B81" s="90"/>
      <c r="C81" s="90">
        <v>0.30499999999999999</v>
      </c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P81" s="90">
        <f t="shared" si="9"/>
        <v>0</v>
      </c>
      <c r="Q81" s="90">
        <f>SUM($B81:E81)</f>
        <v>0.30499999999999999</v>
      </c>
      <c r="R81" s="89"/>
      <c r="AH81" s="90">
        <f t="shared" si="10"/>
        <v>0</v>
      </c>
      <c r="AI81" s="90">
        <f t="shared" si="11"/>
        <v>0</v>
      </c>
      <c r="AJ81" s="89"/>
      <c r="AK81" s="88" t="s">
        <v>138</v>
      </c>
      <c r="AL81" s="90"/>
      <c r="AM81" s="90">
        <v>0.26500000000000001</v>
      </c>
      <c r="AN81" s="90">
        <v>0.123</v>
      </c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>
        <v>0.33</v>
      </c>
      <c r="AZ81" s="90">
        <f t="shared" si="12"/>
        <v>0.33</v>
      </c>
      <c r="BA81" s="90">
        <f>ROUND(AZ81*IFERROR(VLOOKUP($AK81,'3121% SY'!$A$2:$M$324,13,FALSE),0),3)</f>
        <v>0.06</v>
      </c>
      <c r="BB81" s="90">
        <f t="shared" si="13"/>
        <v>0.38800000000000001</v>
      </c>
      <c r="BC81" s="90">
        <f>ROUND(BB81*IFERROR(VLOOKUP($AK81,'3121% SY'!$A$2:$M$324,13,FALSE),0),3)</f>
        <v>7.0999999999999994E-2</v>
      </c>
    </row>
    <row r="82" spans="1:55" x14ac:dyDescent="0.25">
      <c r="A82" s="88" t="s">
        <v>93</v>
      </c>
      <c r="B82" s="90"/>
      <c r="C82" s="90">
        <v>0.84</v>
      </c>
      <c r="D82" s="90"/>
      <c r="E82" s="90"/>
      <c r="F82" s="90">
        <v>0.4</v>
      </c>
      <c r="G82" s="90"/>
      <c r="H82" s="90"/>
      <c r="I82" s="90"/>
      <c r="J82" s="90"/>
      <c r="K82" s="90"/>
      <c r="L82" s="90"/>
      <c r="M82" s="90"/>
      <c r="N82" s="90"/>
      <c r="P82" s="90">
        <f t="shared" si="9"/>
        <v>0.4</v>
      </c>
      <c r="Q82" s="90">
        <f>SUM($B82:E82)</f>
        <v>0.84</v>
      </c>
      <c r="R82" s="89"/>
      <c r="AH82" s="90">
        <f t="shared" si="10"/>
        <v>0</v>
      </c>
      <c r="AI82" s="90">
        <f t="shared" si="11"/>
        <v>0</v>
      </c>
      <c r="AJ82" s="89"/>
      <c r="AK82" s="88" t="s">
        <v>140</v>
      </c>
      <c r="AL82" s="90"/>
      <c r="AM82" s="90"/>
      <c r="AN82" s="90"/>
      <c r="AO82" s="90"/>
      <c r="AP82" s="90"/>
      <c r="AQ82" s="90"/>
      <c r="AR82" s="90">
        <v>2.2000000000000002</v>
      </c>
      <c r="AS82" s="90"/>
      <c r="AT82" s="90"/>
      <c r="AU82" s="90"/>
      <c r="AV82" s="90"/>
      <c r="AW82" s="90"/>
      <c r="AX82" s="90"/>
      <c r="AY82" s="90">
        <v>1.212</v>
      </c>
      <c r="AZ82" s="90">
        <f t="shared" si="12"/>
        <v>3.4119999999999999</v>
      </c>
      <c r="BA82" s="90">
        <f>ROUND(AZ82*IFERROR(VLOOKUP($AK82,'3121% SY'!$A$2:$M$324,13,FALSE),0),3)</f>
        <v>1.06</v>
      </c>
      <c r="BB82" s="90">
        <f t="shared" si="13"/>
        <v>0</v>
      </c>
      <c r="BC82" s="90">
        <f>ROUND(BB82*IFERROR(VLOOKUP($AK82,'3121% SY'!$A$2:$M$324,13,FALSE),0),3)</f>
        <v>0</v>
      </c>
    </row>
    <row r="83" spans="1:55" x14ac:dyDescent="0.25">
      <c r="A83" s="88" t="s">
        <v>94</v>
      </c>
      <c r="B83" s="90"/>
      <c r="C83" s="90">
        <v>0.68799999999999994</v>
      </c>
      <c r="D83" s="90"/>
      <c r="E83" s="90"/>
      <c r="F83" s="90">
        <v>0.9</v>
      </c>
      <c r="G83" s="90"/>
      <c r="H83" s="90"/>
      <c r="I83" s="90"/>
      <c r="J83" s="90">
        <v>0.3</v>
      </c>
      <c r="K83" s="90"/>
      <c r="L83" s="90"/>
      <c r="M83" s="90"/>
      <c r="N83" s="90"/>
      <c r="P83" s="90">
        <f t="shared" si="9"/>
        <v>1.2</v>
      </c>
      <c r="Q83" s="90">
        <f>SUM($B83:E83)</f>
        <v>0.68799999999999994</v>
      </c>
      <c r="R83" s="89"/>
      <c r="AH83" s="90">
        <f t="shared" si="10"/>
        <v>0</v>
      </c>
      <c r="AI83" s="90">
        <f t="shared" si="11"/>
        <v>0</v>
      </c>
      <c r="AJ83" s="89"/>
      <c r="AK83" s="88" t="s">
        <v>142</v>
      </c>
      <c r="AL83" s="90"/>
      <c r="AM83" s="90"/>
      <c r="AN83" s="90">
        <v>3.395</v>
      </c>
      <c r="AO83" s="90"/>
      <c r="AP83" s="90"/>
      <c r="AQ83" s="90"/>
      <c r="AR83" s="90"/>
      <c r="AS83" s="90"/>
      <c r="AT83" s="90"/>
      <c r="AU83" s="90">
        <v>1</v>
      </c>
      <c r="AV83" s="90"/>
      <c r="AW83" s="90"/>
      <c r="AX83" s="90"/>
      <c r="AY83" s="90">
        <v>1.8879999999999999</v>
      </c>
      <c r="AZ83" s="90">
        <f t="shared" si="12"/>
        <v>2.8879999999999999</v>
      </c>
      <c r="BA83" s="90">
        <f>ROUND(AZ83*IFERROR(VLOOKUP($AK83,'3121% SY'!$A$2:$M$324,13,FALSE),0),3)</f>
        <v>0.58899999999999997</v>
      </c>
      <c r="BB83" s="90">
        <f t="shared" si="13"/>
        <v>3.395</v>
      </c>
      <c r="BC83" s="90">
        <f>ROUND(BB83*IFERROR(VLOOKUP($AK83,'3121% SY'!$A$2:$M$324,13,FALSE),0),3)</f>
        <v>0.69199999999999995</v>
      </c>
    </row>
    <row r="84" spans="1:55" x14ac:dyDescent="0.25">
      <c r="A84" s="88" t="s">
        <v>95</v>
      </c>
      <c r="B84" s="90"/>
      <c r="C84" s="90"/>
      <c r="D84" s="90"/>
      <c r="E84" s="90"/>
      <c r="F84" s="90">
        <v>1.6</v>
      </c>
      <c r="G84" s="90"/>
      <c r="H84" s="90"/>
      <c r="I84" s="90"/>
      <c r="J84" s="90"/>
      <c r="K84" s="90"/>
      <c r="L84" s="90"/>
      <c r="M84" s="90"/>
      <c r="N84" s="90"/>
      <c r="P84" s="90">
        <f t="shared" si="9"/>
        <v>1.6</v>
      </c>
      <c r="Q84" s="90">
        <f>SUM($B84:E84)</f>
        <v>0</v>
      </c>
      <c r="R84" s="89"/>
      <c r="AH84" s="90">
        <f t="shared" si="10"/>
        <v>0</v>
      </c>
      <c r="AI84" s="90">
        <f t="shared" si="11"/>
        <v>0</v>
      </c>
      <c r="AJ84" s="89"/>
      <c r="AK84" s="88" t="s">
        <v>143</v>
      </c>
      <c r="AL84" s="90"/>
      <c r="AM84" s="90"/>
      <c r="AN84" s="90">
        <v>1.288</v>
      </c>
      <c r="AO84" s="90"/>
      <c r="AP84" s="90"/>
      <c r="AQ84" s="90"/>
      <c r="AR84" s="90">
        <v>0.5</v>
      </c>
      <c r="AS84" s="90"/>
      <c r="AT84" s="90">
        <v>1</v>
      </c>
      <c r="AU84" s="90">
        <v>0.5</v>
      </c>
      <c r="AV84" s="90"/>
      <c r="AW84" s="90"/>
      <c r="AX84" s="90"/>
      <c r="AY84" s="90"/>
      <c r="AZ84" s="90">
        <f t="shared" si="12"/>
        <v>2</v>
      </c>
      <c r="BA84" s="90">
        <f>ROUND(AZ84*IFERROR(VLOOKUP($AK84,'3121% SY'!$A$2:$M$324,13,FALSE),0),3)</f>
        <v>0.38200000000000001</v>
      </c>
      <c r="BB84" s="90">
        <f t="shared" si="13"/>
        <v>1.288</v>
      </c>
      <c r="BC84" s="90">
        <f>ROUND(BB84*IFERROR(VLOOKUP($AK84,'3121% SY'!$A$2:$M$324,13,FALSE),0),3)</f>
        <v>0.246</v>
      </c>
    </row>
    <row r="85" spans="1:55" x14ac:dyDescent="0.25">
      <c r="A85" s="88" t="s">
        <v>96</v>
      </c>
      <c r="B85" s="90">
        <v>1.095</v>
      </c>
      <c r="C85" s="90">
        <v>0.24399999999999999</v>
      </c>
      <c r="D85" s="90">
        <v>1.57</v>
      </c>
      <c r="E85" s="90">
        <v>34.188000000000002</v>
      </c>
      <c r="F85" s="90">
        <v>36.127000000000002</v>
      </c>
      <c r="G85" s="90">
        <v>0.62</v>
      </c>
      <c r="H85" s="90">
        <v>6.1</v>
      </c>
      <c r="I85" s="90">
        <v>0.31</v>
      </c>
      <c r="J85" s="90">
        <v>0.31</v>
      </c>
      <c r="K85" s="90">
        <v>16.556000000000001</v>
      </c>
      <c r="L85" s="90"/>
      <c r="M85" s="90"/>
      <c r="N85" s="90"/>
      <c r="P85" s="90">
        <f t="shared" si="9"/>
        <v>60.02300000000001</v>
      </c>
      <c r="Q85" s="90">
        <f>SUM($B85:E85)</f>
        <v>37.097000000000001</v>
      </c>
      <c r="R85" s="89"/>
      <c r="AH85" s="90">
        <f t="shared" si="10"/>
        <v>0</v>
      </c>
      <c r="AI85" s="90">
        <f t="shared" si="11"/>
        <v>0</v>
      </c>
      <c r="AJ85" s="89"/>
      <c r="AK85" s="88" t="s">
        <v>144</v>
      </c>
      <c r="AL85" s="90"/>
      <c r="AM85" s="90">
        <v>0.04</v>
      </c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>
        <f t="shared" si="12"/>
        <v>0</v>
      </c>
      <c r="BA85" s="90">
        <f>ROUND(AZ85*IFERROR(VLOOKUP($AK85,'3121% SY'!$A$2:$M$324,13,FALSE),0),3)</f>
        <v>0</v>
      </c>
      <c r="BB85" s="90">
        <f t="shared" si="13"/>
        <v>0.04</v>
      </c>
      <c r="BC85" s="90">
        <f>ROUND(BB85*IFERROR(VLOOKUP($AK85,'3121% SY'!$A$2:$M$324,13,FALSE),0),3)</f>
        <v>8.0000000000000002E-3</v>
      </c>
    </row>
    <row r="86" spans="1:55" x14ac:dyDescent="0.25">
      <c r="A86" s="88" t="s">
        <v>97</v>
      </c>
      <c r="B86" s="90">
        <v>4</v>
      </c>
      <c r="C86" s="90">
        <v>39.029000000000003</v>
      </c>
      <c r="D86" s="90">
        <v>15.58</v>
      </c>
      <c r="E86" s="90"/>
      <c r="F86" s="90">
        <v>10.34</v>
      </c>
      <c r="G86" s="90"/>
      <c r="H86" s="90">
        <v>0.34</v>
      </c>
      <c r="I86" s="90"/>
      <c r="J86" s="90"/>
      <c r="K86" s="90">
        <v>5.39</v>
      </c>
      <c r="L86" s="90"/>
      <c r="M86" s="90"/>
      <c r="N86" s="90"/>
      <c r="P86" s="90">
        <f t="shared" si="9"/>
        <v>16.07</v>
      </c>
      <c r="Q86" s="90">
        <f>SUM($B86:E86)</f>
        <v>58.609000000000002</v>
      </c>
      <c r="R86" s="89"/>
      <c r="AH86" s="90">
        <f t="shared" si="10"/>
        <v>0</v>
      </c>
      <c r="AI86" s="90">
        <f t="shared" si="11"/>
        <v>0</v>
      </c>
      <c r="AJ86" s="89"/>
      <c r="AK86" s="88" t="s">
        <v>145</v>
      </c>
      <c r="AL86" s="90"/>
      <c r="AM86" s="90">
        <v>0.374</v>
      </c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>
        <f t="shared" si="12"/>
        <v>0</v>
      </c>
      <c r="BA86" s="90">
        <f>ROUND(AZ86*IFERROR(VLOOKUP($AK86,'3121% SY'!$A$2:$M$324,13,FALSE),0),3)</f>
        <v>0</v>
      </c>
      <c r="BB86" s="90">
        <f t="shared" si="13"/>
        <v>0.374</v>
      </c>
      <c r="BC86" s="90">
        <f>ROUND(BB86*IFERROR(VLOOKUP($AK86,'3121% SY'!$A$2:$M$324,13,FALSE),0),3)</f>
        <v>0.107</v>
      </c>
    </row>
    <row r="87" spans="1:55" x14ac:dyDescent="0.25">
      <c r="A87" s="88" t="s">
        <v>98</v>
      </c>
      <c r="B87" s="90"/>
      <c r="C87" s="90">
        <v>4.0000000000000001E-3</v>
      </c>
      <c r="D87" s="90">
        <v>4.8419999999999996</v>
      </c>
      <c r="E87" s="90">
        <v>0.78100000000000003</v>
      </c>
      <c r="F87" s="90">
        <v>3</v>
      </c>
      <c r="G87" s="90"/>
      <c r="H87" s="90"/>
      <c r="I87" s="90"/>
      <c r="J87" s="90"/>
      <c r="K87" s="90">
        <v>0.248</v>
      </c>
      <c r="L87" s="90"/>
      <c r="M87" s="90"/>
      <c r="N87" s="90"/>
      <c r="P87" s="90">
        <f t="shared" si="9"/>
        <v>3.2480000000000002</v>
      </c>
      <c r="Q87" s="90">
        <f>SUM($B87:E87)</f>
        <v>5.6269999999999989</v>
      </c>
      <c r="R87" s="89"/>
      <c r="AH87" s="90">
        <f t="shared" si="10"/>
        <v>0</v>
      </c>
      <c r="AI87" s="90">
        <f t="shared" si="11"/>
        <v>0</v>
      </c>
      <c r="AJ87" s="89"/>
      <c r="AK87" s="88" t="s">
        <v>148</v>
      </c>
      <c r="AL87" s="90"/>
      <c r="AM87" s="90">
        <v>0.66500000000000004</v>
      </c>
      <c r="AN87" s="90">
        <v>1.2809999999999999</v>
      </c>
      <c r="AO87" s="90"/>
      <c r="AP87" s="90">
        <v>0.15</v>
      </c>
      <c r="AQ87" s="90"/>
      <c r="AR87" s="90"/>
      <c r="AS87" s="90"/>
      <c r="AT87" s="90">
        <v>0.1</v>
      </c>
      <c r="AU87" s="90">
        <v>1</v>
      </c>
      <c r="AV87" s="90"/>
      <c r="AW87" s="90">
        <v>0.19</v>
      </c>
      <c r="AX87" s="90"/>
      <c r="AY87" s="90"/>
      <c r="AZ87" s="90">
        <f t="shared" si="12"/>
        <v>1.44</v>
      </c>
      <c r="BA87" s="90">
        <f>ROUND(AZ87*IFERROR(VLOOKUP($AK87,'3121% SY'!$A$2:$M$324,13,FALSE),0),3)</f>
        <v>0.35899999999999999</v>
      </c>
      <c r="BB87" s="90">
        <f t="shared" si="13"/>
        <v>1.946</v>
      </c>
      <c r="BC87" s="90">
        <f>ROUND(BB87*IFERROR(VLOOKUP($AK87,'3121% SY'!$A$2:$M$324,13,FALSE),0),3)</f>
        <v>0.48599999999999999</v>
      </c>
    </row>
    <row r="88" spans="1:55" x14ac:dyDescent="0.25">
      <c r="A88" s="88" t="s">
        <v>99</v>
      </c>
      <c r="B88" s="90"/>
      <c r="C88" s="90">
        <v>8.6649999999999991</v>
      </c>
      <c r="D88" s="90">
        <v>2.9220000000000002</v>
      </c>
      <c r="E88" s="90">
        <v>2.0859999999999999</v>
      </c>
      <c r="F88" s="90">
        <v>4</v>
      </c>
      <c r="G88" s="90"/>
      <c r="H88" s="90"/>
      <c r="I88" s="90"/>
      <c r="J88" s="90"/>
      <c r="K88" s="90">
        <v>1.5</v>
      </c>
      <c r="L88" s="90"/>
      <c r="M88" s="90"/>
      <c r="N88" s="90"/>
      <c r="P88" s="90">
        <f t="shared" si="9"/>
        <v>5.5</v>
      </c>
      <c r="Q88" s="90">
        <f>SUM($B88:E88)</f>
        <v>13.673</v>
      </c>
      <c r="R88" s="89"/>
      <c r="AH88" s="90">
        <f t="shared" si="10"/>
        <v>0</v>
      </c>
      <c r="AI88" s="90">
        <f t="shared" si="11"/>
        <v>0</v>
      </c>
      <c r="AJ88" s="89"/>
      <c r="AK88" s="88" t="s">
        <v>150</v>
      </c>
      <c r="AL88" s="90"/>
      <c r="AM88" s="90">
        <v>3.2080000000000002</v>
      </c>
      <c r="AN88" s="90">
        <v>0.20499999999999999</v>
      </c>
      <c r="AO88" s="90"/>
      <c r="AP88" s="90"/>
      <c r="AQ88" s="90"/>
      <c r="AR88" s="90">
        <v>0.311</v>
      </c>
      <c r="AS88" s="90"/>
      <c r="AT88" s="90">
        <v>0.122</v>
      </c>
      <c r="AU88" s="90">
        <v>0.5</v>
      </c>
      <c r="AV88" s="90"/>
      <c r="AW88" s="90">
        <v>0.249</v>
      </c>
      <c r="AX88" s="90">
        <v>0.311</v>
      </c>
      <c r="AY88" s="90"/>
      <c r="AZ88" s="90">
        <f t="shared" si="12"/>
        <v>1.4929999999999999</v>
      </c>
      <c r="BA88" s="90">
        <f>ROUND(AZ88*IFERROR(VLOOKUP($AK88,'3121% SY'!$A$2:$M$324,13,FALSE),0),3)</f>
        <v>0.40400000000000003</v>
      </c>
      <c r="BB88" s="90">
        <f t="shared" si="13"/>
        <v>3.4130000000000003</v>
      </c>
      <c r="BC88" s="90">
        <f>ROUND(BB88*IFERROR(VLOOKUP($AK88,'3121% SY'!$A$2:$M$324,13,FALSE),0),3)</f>
        <v>0.92400000000000004</v>
      </c>
    </row>
    <row r="89" spans="1:55" x14ac:dyDescent="0.25">
      <c r="A89" s="88" t="s">
        <v>100</v>
      </c>
      <c r="B89" s="90">
        <v>1</v>
      </c>
      <c r="C89" s="90">
        <v>32.567999999999998</v>
      </c>
      <c r="D89" s="90"/>
      <c r="E89" s="90"/>
      <c r="F89" s="90">
        <v>23.736000000000001</v>
      </c>
      <c r="G89" s="90"/>
      <c r="H89" s="90">
        <v>3</v>
      </c>
      <c r="I89" s="90"/>
      <c r="J89" s="90">
        <v>0.161</v>
      </c>
      <c r="K89" s="90">
        <v>8.1059999999999999</v>
      </c>
      <c r="L89" s="90"/>
      <c r="M89" s="90"/>
      <c r="N89" s="90"/>
      <c r="P89" s="90">
        <f t="shared" si="9"/>
        <v>35.003</v>
      </c>
      <c r="Q89" s="90">
        <f>SUM($B89:E89)</f>
        <v>33.567999999999998</v>
      </c>
      <c r="R89" s="89"/>
      <c r="AH89" s="90">
        <f t="shared" si="10"/>
        <v>0</v>
      </c>
      <c r="AI89" s="90">
        <f t="shared" si="11"/>
        <v>0</v>
      </c>
      <c r="AJ89" s="89"/>
      <c r="AK89" s="88" t="s">
        <v>157</v>
      </c>
      <c r="AL89" s="90"/>
      <c r="AM89" s="90"/>
      <c r="AN89" s="90"/>
      <c r="AO89" s="90"/>
      <c r="AP89" s="90"/>
      <c r="AQ89" s="90"/>
      <c r="AR89" s="90"/>
      <c r="AS89" s="90"/>
      <c r="AT89" s="90">
        <v>0.5</v>
      </c>
      <c r="AU89" s="90"/>
      <c r="AV89" s="90"/>
      <c r="AW89" s="90"/>
      <c r="AX89" s="90"/>
      <c r="AY89" s="90"/>
      <c r="AZ89" s="90">
        <f t="shared" si="12"/>
        <v>0.5</v>
      </c>
      <c r="BA89" s="90">
        <f>ROUND(AZ89*IFERROR(VLOOKUP($AK89,'3121% SY'!$A$2:$M$324,13,FALSE),0),3)</f>
        <v>5.6000000000000001E-2</v>
      </c>
      <c r="BB89" s="90">
        <f t="shared" si="13"/>
        <v>0</v>
      </c>
      <c r="BC89" s="90">
        <f>ROUND(BB89*IFERROR(VLOOKUP($AK89,'3121% SY'!$A$2:$M$324,13,FALSE),0),3)</f>
        <v>0</v>
      </c>
    </row>
    <row r="90" spans="1:55" x14ac:dyDescent="0.25">
      <c r="A90" s="88" t="s">
        <v>101</v>
      </c>
      <c r="B90" s="90">
        <v>0.73799999999999999</v>
      </c>
      <c r="C90" s="90">
        <v>1.58</v>
      </c>
      <c r="D90" s="90">
        <v>0.49099999999999999</v>
      </c>
      <c r="E90" s="90"/>
      <c r="F90" s="90">
        <v>2.3679999999999999</v>
      </c>
      <c r="G90" s="90"/>
      <c r="H90" s="90"/>
      <c r="I90" s="90"/>
      <c r="J90" s="90"/>
      <c r="K90" s="90"/>
      <c r="L90" s="90"/>
      <c r="M90" s="90"/>
      <c r="N90" s="90"/>
      <c r="P90" s="90">
        <f t="shared" si="9"/>
        <v>2.3679999999999999</v>
      </c>
      <c r="Q90" s="90">
        <f>SUM($B90:E90)</f>
        <v>2.8090000000000002</v>
      </c>
      <c r="R90" s="89"/>
      <c r="AH90" s="90">
        <f t="shared" si="10"/>
        <v>0</v>
      </c>
      <c r="AI90" s="90">
        <f t="shared" si="11"/>
        <v>0</v>
      </c>
      <c r="AJ90" s="89"/>
      <c r="AK90" s="88" t="s">
        <v>158</v>
      </c>
      <c r="AL90" s="90"/>
      <c r="AM90" s="90"/>
      <c r="AN90" s="90">
        <v>0.224</v>
      </c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>
        <f t="shared" si="12"/>
        <v>0</v>
      </c>
      <c r="BA90" s="90">
        <f>ROUND(AZ90*IFERROR(VLOOKUP($AK90,'3121% SY'!$A$2:$M$324,13,FALSE),0),3)</f>
        <v>0</v>
      </c>
      <c r="BB90" s="90">
        <f t="shared" si="13"/>
        <v>0.224</v>
      </c>
      <c r="BC90" s="90">
        <f>ROUND(BB90*IFERROR(VLOOKUP($AK90,'3121% SY'!$A$2:$M$324,13,FALSE),0),3)</f>
        <v>3.5000000000000003E-2</v>
      </c>
    </row>
    <row r="91" spans="1:55" x14ac:dyDescent="0.25">
      <c r="A91" s="88" t="s">
        <v>102</v>
      </c>
      <c r="B91" s="90"/>
      <c r="C91" s="90">
        <v>22.675999999999998</v>
      </c>
      <c r="D91" s="90">
        <v>19.193999999999999</v>
      </c>
      <c r="E91" s="90">
        <v>8.2059999999999995</v>
      </c>
      <c r="F91" s="90">
        <v>14</v>
      </c>
      <c r="G91" s="90"/>
      <c r="H91" s="90"/>
      <c r="I91" s="90"/>
      <c r="J91" s="90"/>
      <c r="K91" s="90">
        <v>3.8780000000000001</v>
      </c>
      <c r="L91" s="90"/>
      <c r="M91" s="90"/>
      <c r="N91" s="90"/>
      <c r="P91" s="90">
        <f t="shared" si="9"/>
        <v>17.878</v>
      </c>
      <c r="Q91" s="90">
        <f>SUM($B91:E91)</f>
        <v>50.075999999999993</v>
      </c>
      <c r="R91" s="89"/>
      <c r="AH91" s="90">
        <f t="shared" si="10"/>
        <v>0</v>
      </c>
      <c r="AI91" s="90">
        <f t="shared" si="11"/>
        <v>0</v>
      </c>
      <c r="AJ91" s="89"/>
      <c r="AK91" s="88" t="s">
        <v>161</v>
      </c>
      <c r="AL91" s="90"/>
      <c r="AM91" s="90"/>
      <c r="AN91" s="90">
        <v>0.93300000000000005</v>
      </c>
      <c r="AO91" s="90"/>
      <c r="AP91" s="90"/>
      <c r="AQ91" s="90"/>
      <c r="AR91" s="90"/>
      <c r="AS91" s="90"/>
      <c r="AT91" s="90">
        <v>0.75</v>
      </c>
      <c r="AU91" s="90">
        <v>0.94799999999999995</v>
      </c>
      <c r="AV91" s="90"/>
      <c r="AW91" s="90">
        <v>0.08</v>
      </c>
      <c r="AX91" s="90"/>
      <c r="AY91" s="90"/>
      <c r="AZ91" s="90">
        <f t="shared" si="12"/>
        <v>1.778</v>
      </c>
      <c r="BA91" s="90">
        <f>ROUND(AZ91*IFERROR(VLOOKUP($AK91,'3121% SY'!$A$2:$M$324,13,FALSE),0),3)</f>
        <v>0.33300000000000002</v>
      </c>
      <c r="BB91" s="90">
        <f t="shared" si="13"/>
        <v>0.93300000000000005</v>
      </c>
      <c r="BC91" s="90">
        <f>ROUND(BB91*IFERROR(VLOOKUP($AK91,'3121% SY'!$A$2:$M$324,13,FALSE),0),3)</f>
        <v>0.17499999999999999</v>
      </c>
    </row>
    <row r="92" spans="1:55" x14ac:dyDescent="0.25">
      <c r="A92" s="88" t="s">
        <v>103</v>
      </c>
      <c r="B92" s="90"/>
      <c r="C92" s="90">
        <v>1</v>
      </c>
      <c r="D92" s="90">
        <v>0.435</v>
      </c>
      <c r="E92" s="90"/>
      <c r="F92" s="90">
        <v>1</v>
      </c>
      <c r="G92" s="90"/>
      <c r="H92" s="90"/>
      <c r="I92" s="90"/>
      <c r="J92" s="90"/>
      <c r="K92" s="90"/>
      <c r="L92" s="90"/>
      <c r="M92" s="90"/>
      <c r="N92" s="90"/>
      <c r="P92" s="90">
        <f t="shared" si="9"/>
        <v>1</v>
      </c>
      <c r="Q92" s="90">
        <f>SUM($B92:E92)</f>
        <v>1.4350000000000001</v>
      </c>
      <c r="R92" s="89"/>
      <c r="AH92" s="90">
        <f t="shared" si="10"/>
        <v>0</v>
      </c>
      <c r="AI92" s="90">
        <f t="shared" si="11"/>
        <v>0</v>
      </c>
      <c r="AJ92" s="89"/>
      <c r="AK92" s="88" t="s">
        <v>164</v>
      </c>
      <c r="AL92" s="90"/>
      <c r="AM92" s="90"/>
      <c r="AN92" s="90"/>
      <c r="AO92" s="90"/>
      <c r="AP92" s="90"/>
      <c r="AQ92" s="90"/>
      <c r="AR92" s="90">
        <v>0.27800000000000002</v>
      </c>
      <c r="AS92" s="90"/>
      <c r="AT92" s="90"/>
      <c r="AU92" s="90"/>
      <c r="AV92" s="90"/>
      <c r="AW92" s="90"/>
      <c r="AX92" s="90"/>
      <c r="AY92" s="90"/>
      <c r="AZ92" s="90">
        <f t="shared" si="12"/>
        <v>0.27800000000000002</v>
      </c>
      <c r="BA92" s="90">
        <f>ROUND(AZ92*IFERROR(VLOOKUP($AK92,'3121% SY'!$A$2:$M$324,13,FALSE),0),3)</f>
        <v>0.05</v>
      </c>
      <c r="BB92" s="90">
        <f t="shared" si="13"/>
        <v>0</v>
      </c>
      <c r="BC92" s="90">
        <f>ROUND(BB92*IFERROR(VLOOKUP($AK92,'3121% SY'!$A$2:$M$324,13,FALSE),0),3)</f>
        <v>0</v>
      </c>
    </row>
    <row r="93" spans="1:55" x14ac:dyDescent="0.25">
      <c r="A93" s="88" t="s">
        <v>104</v>
      </c>
      <c r="B93" s="90">
        <v>9.3469999999999995</v>
      </c>
      <c r="C93" s="90">
        <v>33.963000000000001</v>
      </c>
      <c r="D93" s="90">
        <v>3.5089999999999999</v>
      </c>
      <c r="E93" s="90"/>
      <c r="F93" s="90">
        <v>29.756</v>
      </c>
      <c r="G93" s="90"/>
      <c r="H93" s="90">
        <v>0.36</v>
      </c>
      <c r="I93" s="90"/>
      <c r="J93" s="90"/>
      <c r="K93" s="90">
        <v>5.5179999999999998</v>
      </c>
      <c r="L93" s="90"/>
      <c r="M93" s="90"/>
      <c r="N93" s="90"/>
      <c r="P93" s="90">
        <f t="shared" si="9"/>
        <v>35.634</v>
      </c>
      <c r="Q93" s="90">
        <f>SUM($B93:E93)</f>
        <v>46.819000000000003</v>
      </c>
      <c r="R93" s="89"/>
      <c r="AH93" s="90">
        <f t="shared" si="10"/>
        <v>0</v>
      </c>
      <c r="AI93" s="90">
        <f t="shared" si="11"/>
        <v>0</v>
      </c>
      <c r="AJ93" s="89"/>
      <c r="AK93" s="88" t="s">
        <v>167</v>
      </c>
      <c r="AL93" s="90"/>
      <c r="AM93" s="90"/>
      <c r="AN93" s="90"/>
      <c r="AO93" s="90"/>
      <c r="AP93" s="90"/>
      <c r="AQ93" s="90">
        <v>1</v>
      </c>
      <c r="AR93" s="90"/>
      <c r="AS93" s="90"/>
      <c r="AT93" s="90"/>
      <c r="AU93" s="90"/>
      <c r="AV93" s="90"/>
      <c r="AW93" s="90"/>
      <c r="AX93" s="90"/>
      <c r="AY93" s="90"/>
      <c r="AZ93" s="90">
        <f t="shared" si="12"/>
        <v>1</v>
      </c>
      <c r="BA93" s="90">
        <f>ROUND(AZ93*IFERROR(VLOOKUP($AK93,'3121% SY'!$A$2:$M$324,13,FALSE),0),3)</f>
        <v>0.188</v>
      </c>
      <c r="BB93" s="90">
        <f t="shared" si="13"/>
        <v>0</v>
      </c>
      <c r="BC93" s="90">
        <f>ROUND(BB93*IFERROR(VLOOKUP($AK93,'3121% SY'!$A$2:$M$324,13,FALSE),0),3)</f>
        <v>0</v>
      </c>
    </row>
    <row r="94" spans="1:55" x14ac:dyDescent="0.25">
      <c r="A94" s="88" t="s">
        <v>105</v>
      </c>
      <c r="B94" s="90"/>
      <c r="C94" s="90"/>
      <c r="D94" s="90">
        <v>1.929</v>
      </c>
      <c r="E94" s="90">
        <v>2.2050000000000001</v>
      </c>
      <c r="F94" s="90">
        <v>3.5</v>
      </c>
      <c r="G94" s="90"/>
      <c r="H94" s="90"/>
      <c r="I94" s="90"/>
      <c r="J94" s="90"/>
      <c r="K94" s="90">
        <v>1</v>
      </c>
      <c r="L94" s="90"/>
      <c r="M94" s="90"/>
      <c r="N94" s="90"/>
      <c r="P94" s="90">
        <f t="shared" si="9"/>
        <v>4.5</v>
      </c>
      <c r="Q94" s="90">
        <f>SUM($B94:E94)</f>
        <v>4.1340000000000003</v>
      </c>
      <c r="R94" s="89"/>
      <c r="AH94" s="90">
        <f t="shared" si="10"/>
        <v>0</v>
      </c>
      <c r="AI94" s="90">
        <f t="shared" si="11"/>
        <v>0</v>
      </c>
      <c r="AJ94" s="89"/>
      <c r="AK94" s="88" t="s">
        <v>168</v>
      </c>
      <c r="AL94" s="90"/>
      <c r="AM94" s="90"/>
      <c r="AN94" s="90"/>
      <c r="AO94" s="90"/>
      <c r="AP94" s="90"/>
      <c r="AQ94" s="90"/>
      <c r="AR94" s="90"/>
      <c r="AS94" s="90"/>
      <c r="AT94" s="90"/>
      <c r="AU94" s="90">
        <v>0.25</v>
      </c>
      <c r="AV94" s="90"/>
      <c r="AW94" s="90"/>
      <c r="AX94" s="90"/>
      <c r="AY94" s="90"/>
      <c r="AZ94" s="90">
        <f t="shared" si="12"/>
        <v>0.25</v>
      </c>
      <c r="BA94" s="90">
        <f>ROUND(AZ94*IFERROR(VLOOKUP($AK94,'3121% SY'!$A$2:$M$324,13,FALSE),0),3)</f>
        <v>0.04</v>
      </c>
      <c r="BB94" s="90">
        <f t="shared" si="13"/>
        <v>0</v>
      </c>
      <c r="BC94" s="90">
        <f>ROUND(BB94*IFERROR(VLOOKUP($AK94,'3121% SY'!$A$2:$M$324,13,FALSE),0),3)</f>
        <v>0</v>
      </c>
    </row>
    <row r="95" spans="1:55" x14ac:dyDescent="0.25">
      <c r="A95" s="88" t="s">
        <v>106</v>
      </c>
      <c r="B95" s="90"/>
      <c r="C95" s="90">
        <v>3.653</v>
      </c>
      <c r="D95" s="90">
        <v>1.6639999999999999</v>
      </c>
      <c r="E95" s="90">
        <v>1.5549999999999999</v>
      </c>
      <c r="F95" s="90">
        <v>3.02</v>
      </c>
      <c r="G95" s="90"/>
      <c r="H95" s="90"/>
      <c r="I95" s="90"/>
      <c r="J95" s="90"/>
      <c r="K95" s="90"/>
      <c r="L95" s="90"/>
      <c r="M95" s="90"/>
      <c r="N95" s="90"/>
      <c r="P95" s="90">
        <f t="shared" si="9"/>
        <v>3.02</v>
      </c>
      <c r="Q95" s="90">
        <f>SUM($B95:E95)</f>
        <v>6.8719999999999999</v>
      </c>
      <c r="R95" s="89"/>
      <c r="AH95" s="90">
        <f t="shared" si="10"/>
        <v>0</v>
      </c>
      <c r="AI95" s="90">
        <f t="shared" si="11"/>
        <v>0</v>
      </c>
      <c r="AJ95" s="89"/>
      <c r="AK95" s="88" t="s">
        <v>169</v>
      </c>
      <c r="AL95" s="90"/>
      <c r="AM95" s="90"/>
      <c r="AN95" s="90">
        <v>6.9000000000000006E-2</v>
      </c>
      <c r="AO95" s="90"/>
      <c r="AP95" s="90"/>
      <c r="AQ95" s="90"/>
      <c r="AR95" s="90"/>
      <c r="AS95" s="90"/>
      <c r="AT95" s="90"/>
      <c r="AU95" s="90">
        <v>0.3</v>
      </c>
      <c r="AV95" s="90"/>
      <c r="AW95" s="90"/>
      <c r="AX95" s="90"/>
      <c r="AY95" s="90"/>
      <c r="AZ95" s="90">
        <f t="shared" si="12"/>
        <v>0.3</v>
      </c>
      <c r="BA95" s="90">
        <f>ROUND(AZ95*IFERROR(VLOOKUP($AK95,'3121% SY'!$A$2:$M$324,13,FALSE),0),3)</f>
        <v>6.4000000000000001E-2</v>
      </c>
      <c r="BB95" s="90">
        <f t="shared" si="13"/>
        <v>6.9000000000000006E-2</v>
      </c>
      <c r="BC95" s="90">
        <f>ROUND(BB95*IFERROR(VLOOKUP($AK95,'3121% SY'!$A$2:$M$324,13,FALSE),0),3)</f>
        <v>1.4999999999999999E-2</v>
      </c>
    </row>
    <row r="96" spans="1:55" x14ac:dyDescent="0.25">
      <c r="A96" s="88" t="s">
        <v>107</v>
      </c>
      <c r="B96" s="90"/>
      <c r="C96" s="90">
        <v>6.2060000000000004</v>
      </c>
      <c r="D96" s="90">
        <v>1.9590000000000001</v>
      </c>
      <c r="E96" s="90"/>
      <c r="F96" s="90">
        <v>17</v>
      </c>
      <c r="G96" s="90"/>
      <c r="H96" s="90">
        <v>1</v>
      </c>
      <c r="I96" s="90"/>
      <c r="J96" s="90"/>
      <c r="K96" s="90">
        <v>2.2669999999999999</v>
      </c>
      <c r="L96" s="90"/>
      <c r="M96" s="90"/>
      <c r="N96" s="90"/>
      <c r="P96" s="90">
        <f t="shared" si="9"/>
        <v>20.266999999999999</v>
      </c>
      <c r="Q96" s="90">
        <f>SUM($B96:E96)</f>
        <v>8.1650000000000009</v>
      </c>
      <c r="R96" s="89"/>
      <c r="AH96" s="90">
        <f t="shared" si="10"/>
        <v>0</v>
      </c>
      <c r="AI96" s="90">
        <f t="shared" si="11"/>
        <v>0</v>
      </c>
      <c r="AJ96" s="89"/>
      <c r="AK96" s="88" t="s">
        <v>170</v>
      </c>
      <c r="AL96" s="90"/>
      <c r="AM96" s="90"/>
      <c r="AN96" s="90"/>
      <c r="AO96" s="90"/>
      <c r="AP96" s="90"/>
      <c r="AQ96" s="90"/>
      <c r="AR96" s="90"/>
      <c r="AS96" s="90"/>
      <c r="AT96" s="90"/>
      <c r="AU96" s="90">
        <v>0.22500000000000001</v>
      </c>
      <c r="AV96" s="90"/>
      <c r="AW96" s="90"/>
      <c r="AX96" s="90"/>
      <c r="AY96" s="90"/>
      <c r="AZ96" s="90">
        <f t="shared" si="12"/>
        <v>0.22500000000000001</v>
      </c>
      <c r="BA96" s="90">
        <f>ROUND(AZ96*IFERROR(VLOOKUP($AK96,'3121% SY'!$A$2:$M$324,13,FALSE),0),3)</f>
        <v>5.7000000000000002E-2</v>
      </c>
      <c r="BB96" s="90">
        <f t="shared" si="13"/>
        <v>0</v>
      </c>
      <c r="BC96" s="90">
        <f>ROUND(BB96*IFERROR(VLOOKUP($AK96,'3121% SY'!$A$2:$M$324,13,FALSE),0),3)</f>
        <v>0</v>
      </c>
    </row>
    <row r="97" spans="1:55" x14ac:dyDescent="0.25">
      <c r="A97" s="88" t="s">
        <v>108</v>
      </c>
      <c r="B97" s="90"/>
      <c r="C97" s="90">
        <v>2.5619999999999998</v>
      </c>
      <c r="D97" s="90">
        <v>14.076000000000001</v>
      </c>
      <c r="E97" s="90"/>
      <c r="F97" s="90">
        <v>6.2</v>
      </c>
      <c r="G97" s="90"/>
      <c r="H97" s="90"/>
      <c r="I97" s="90"/>
      <c r="J97" s="90"/>
      <c r="K97" s="90">
        <v>0.52</v>
      </c>
      <c r="L97" s="90"/>
      <c r="M97" s="90"/>
      <c r="N97" s="90"/>
      <c r="P97" s="90">
        <f t="shared" si="9"/>
        <v>6.7200000000000006</v>
      </c>
      <c r="Q97" s="90">
        <f>SUM($B97:E97)</f>
        <v>16.638000000000002</v>
      </c>
      <c r="R97" s="89"/>
      <c r="AH97" s="90">
        <f t="shared" si="10"/>
        <v>0</v>
      </c>
      <c r="AI97" s="90">
        <f t="shared" si="11"/>
        <v>0</v>
      </c>
      <c r="AJ97" s="89"/>
      <c r="AK97" s="88" t="s">
        <v>172</v>
      </c>
      <c r="AL97" s="90"/>
      <c r="AM97" s="90"/>
      <c r="AN97" s="90">
        <v>0.35799999999999998</v>
      </c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>
        <f t="shared" si="12"/>
        <v>0</v>
      </c>
      <c r="BA97" s="90">
        <f>ROUND(AZ97*IFERROR(VLOOKUP($AK97,'3121% SY'!$A$2:$M$324,13,FALSE),0),3)</f>
        <v>0</v>
      </c>
      <c r="BB97" s="90">
        <f t="shared" si="13"/>
        <v>0.35799999999999998</v>
      </c>
      <c r="BC97" s="90">
        <f>ROUND(BB97*IFERROR(VLOOKUP($AK97,'3121% SY'!$A$2:$M$324,13,FALSE),0),3)</f>
        <v>5.5E-2</v>
      </c>
    </row>
    <row r="98" spans="1:55" x14ac:dyDescent="0.25">
      <c r="A98" s="88" t="s">
        <v>109</v>
      </c>
      <c r="B98" s="90">
        <v>0.70799999999999996</v>
      </c>
      <c r="C98" s="90">
        <v>6.1740000000000004</v>
      </c>
      <c r="D98" s="90">
        <v>1.4430000000000001</v>
      </c>
      <c r="E98" s="90"/>
      <c r="F98" s="90">
        <v>4.12</v>
      </c>
      <c r="G98" s="90"/>
      <c r="H98" s="90">
        <v>1</v>
      </c>
      <c r="I98" s="90"/>
      <c r="J98" s="90"/>
      <c r="K98" s="90">
        <v>1</v>
      </c>
      <c r="L98" s="90"/>
      <c r="M98" s="90"/>
      <c r="N98" s="90"/>
      <c r="P98" s="90">
        <f t="shared" si="9"/>
        <v>6.12</v>
      </c>
      <c r="Q98" s="90">
        <f>SUM($B98:E98)</f>
        <v>8.3250000000000011</v>
      </c>
      <c r="R98" s="89"/>
      <c r="AH98" s="90">
        <f t="shared" si="10"/>
        <v>0</v>
      </c>
      <c r="AI98" s="90">
        <f t="shared" si="11"/>
        <v>0</v>
      </c>
      <c r="AJ98" s="89"/>
      <c r="AK98" s="88" t="s">
        <v>173</v>
      </c>
      <c r="AL98" s="90"/>
      <c r="AM98" s="90"/>
      <c r="AN98" s="90">
        <v>0.438</v>
      </c>
      <c r="AO98" s="90"/>
      <c r="AP98" s="90"/>
      <c r="AQ98" s="90"/>
      <c r="AR98" s="90"/>
      <c r="AS98" s="90"/>
      <c r="AT98" s="90"/>
      <c r="AU98" s="90">
        <v>0.16200000000000001</v>
      </c>
      <c r="AV98" s="90"/>
      <c r="AW98" s="90"/>
      <c r="AX98" s="90"/>
      <c r="AY98" s="90"/>
      <c r="AZ98" s="90">
        <f t="shared" si="12"/>
        <v>0.16200000000000001</v>
      </c>
      <c r="BA98" s="90">
        <f>ROUND(AZ98*IFERROR(VLOOKUP($AK98,'3121% SY'!$A$2:$M$324,13,FALSE),0),3)</f>
        <v>3.3000000000000002E-2</v>
      </c>
      <c r="BB98" s="90">
        <f t="shared" si="13"/>
        <v>0.438</v>
      </c>
      <c r="BC98" s="90">
        <f>ROUND(BB98*IFERROR(VLOOKUP($AK98,'3121% SY'!$A$2:$M$324,13,FALSE),0),3)</f>
        <v>9.0999999999999998E-2</v>
      </c>
    </row>
    <row r="99" spans="1:55" x14ac:dyDescent="0.25">
      <c r="A99" s="88" t="s">
        <v>110</v>
      </c>
      <c r="B99" s="90"/>
      <c r="C99" s="90">
        <v>19.483000000000001</v>
      </c>
      <c r="D99" s="90">
        <v>40.247999999999998</v>
      </c>
      <c r="E99" s="90">
        <v>7.0609999999999999</v>
      </c>
      <c r="F99" s="90">
        <v>14.6</v>
      </c>
      <c r="G99" s="90"/>
      <c r="H99" s="90">
        <v>2</v>
      </c>
      <c r="I99" s="90"/>
      <c r="J99" s="90"/>
      <c r="K99" s="90">
        <v>1</v>
      </c>
      <c r="L99" s="90"/>
      <c r="M99" s="90"/>
      <c r="N99" s="90"/>
      <c r="P99" s="90">
        <f t="shared" si="9"/>
        <v>17.600000000000001</v>
      </c>
      <c r="Q99" s="90">
        <f>SUM($B99:E99)</f>
        <v>66.792000000000002</v>
      </c>
      <c r="R99" s="89"/>
      <c r="AH99" s="90">
        <f t="shared" si="10"/>
        <v>0</v>
      </c>
      <c r="AI99" s="90">
        <f t="shared" si="11"/>
        <v>0</v>
      </c>
      <c r="AJ99" s="89"/>
      <c r="AK99" s="88" t="s">
        <v>180</v>
      </c>
      <c r="AL99" s="90"/>
      <c r="AM99" s="90"/>
      <c r="AN99" s="90"/>
      <c r="AO99" s="90"/>
      <c r="AP99" s="90"/>
      <c r="AQ99" s="90"/>
      <c r="AR99" s="90"/>
      <c r="AS99" s="90"/>
      <c r="AT99" s="90">
        <v>0.66</v>
      </c>
      <c r="AU99" s="90">
        <v>0.33</v>
      </c>
      <c r="AV99" s="90"/>
      <c r="AW99" s="90"/>
      <c r="AX99" s="90"/>
      <c r="AY99" s="90"/>
      <c r="AZ99" s="90">
        <f t="shared" si="12"/>
        <v>0.99</v>
      </c>
      <c r="BA99" s="90">
        <f>ROUND(AZ99*IFERROR(VLOOKUP($AK99,'3121% SY'!$A$2:$M$324,13,FALSE),0),3)</f>
        <v>0.24</v>
      </c>
      <c r="BB99" s="90">
        <f t="shared" si="13"/>
        <v>0</v>
      </c>
      <c r="BC99" s="90">
        <f>ROUND(BB99*IFERROR(VLOOKUP($AK99,'3121% SY'!$A$2:$M$324,13,FALSE),0),3)</f>
        <v>0</v>
      </c>
    </row>
    <row r="100" spans="1:55" x14ac:dyDescent="0.25">
      <c r="A100" s="88" t="s">
        <v>111</v>
      </c>
      <c r="B100" s="90">
        <v>6.6310000000000002</v>
      </c>
      <c r="C100" s="90">
        <v>12.327999999999999</v>
      </c>
      <c r="D100" s="90">
        <v>9.3759999999999994</v>
      </c>
      <c r="E100" s="90">
        <v>3</v>
      </c>
      <c r="F100" s="90">
        <v>9.9979999999999993</v>
      </c>
      <c r="G100" s="90"/>
      <c r="H100" s="90"/>
      <c r="I100" s="90"/>
      <c r="J100" s="90"/>
      <c r="K100" s="90"/>
      <c r="L100" s="90"/>
      <c r="M100" s="90"/>
      <c r="N100" s="90"/>
      <c r="P100" s="90">
        <f t="shared" si="9"/>
        <v>9.9979999999999993</v>
      </c>
      <c r="Q100" s="90">
        <f>SUM($B100:E100)</f>
        <v>31.335000000000001</v>
      </c>
      <c r="R100" s="89"/>
      <c r="AH100" s="90">
        <f t="shared" si="10"/>
        <v>0</v>
      </c>
      <c r="AI100" s="90">
        <f t="shared" si="11"/>
        <v>0</v>
      </c>
      <c r="AJ100" s="89"/>
      <c r="AK100" s="88" t="s">
        <v>181</v>
      </c>
      <c r="AL100" s="90"/>
      <c r="AM100" s="90"/>
      <c r="AN100" s="90"/>
      <c r="AO100" s="90"/>
      <c r="AP100" s="90"/>
      <c r="AQ100" s="90"/>
      <c r="AR100" s="90"/>
      <c r="AS100" s="90"/>
      <c r="AT100" s="90">
        <v>0.158</v>
      </c>
      <c r="AU100" s="90"/>
      <c r="AV100" s="90"/>
      <c r="AW100" s="90"/>
      <c r="AX100" s="90"/>
      <c r="AY100" s="90"/>
      <c r="AZ100" s="90">
        <f t="shared" si="12"/>
        <v>0.158</v>
      </c>
      <c r="BA100" s="90">
        <f>ROUND(AZ100*IFERROR(VLOOKUP($AK100,'3121% SY'!$A$2:$M$324,13,FALSE),0),3)</f>
        <v>3.1E-2</v>
      </c>
      <c r="BB100" s="90">
        <f t="shared" si="13"/>
        <v>0</v>
      </c>
      <c r="BC100" s="90">
        <f>ROUND(BB100*IFERROR(VLOOKUP($AK100,'3121% SY'!$A$2:$M$324,13,FALSE),0),3)</f>
        <v>0</v>
      </c>
    </row>
    <row r="101" spans="1:55" x14ac:dyDescent="0.25">
      <c r="A101" s="88" t="s">
        <v>112</v>
      </c>
      <c r="B101" s="90">
        <v>4.1109999999999998</v>
      </c>
      <c r="C101" s="90">
        <v>66.320999999999998</v>
      </c>
      <c r="D101" s="90">
        <v>46.55</v>
      </c>
      <c r="E101" s="90"/>
      <c r="F101" s="90">
        <v>30.521999999999998</v>
      </c>
      <c r="G101" s="90"/>
      <c r="H101" s="90"/>
      <c r="I101" s="90"/>
      <c r="J101" s="90">
        <v>9.718</v>
      </c>
      <c r="K101" s="90"/>
      <c r="L101" s="90"/>
      <c r="M101" s="90"/>
      <c r="N101" s="90"/>
      <c r="P101" s="90">
        <f t="shared" si="9"/>
        <v>40.239999999999995</v>
      </c>
      <c r="Q101" s="90">
        <f>SUM($B101:E101)</f>
        <v>116.982</v>
      </c>
      <c r="R101" s="89"/>
      <c r="AH101" s="90">
        <f t="shared" si="10"/>
        <v>0</v>
      </c>
      <c r="AI101" s="90">
        <f t="shared" si="11"/>
        <v>0</v>
      </c>
      <c r="AJ101" s="89"/>
      <c r="AK101" s="88" t="s">
        <v>183</v>
      </c>
      <c r="AL101" s="90"/>
      <c r="AM101" s="90"/>
      <c r="AN101" s="90"/>
      <c r="AO101" s="90"/>
      <c r="AP101" s="90"/>
      <c r="AQ101" s="90"/>
      <c r="AR101" s="90">
        <v>0.25</v>
      </c>
      <c r="AS101" s="90"/>
      <c r="AT101" s="90">
        <v>0.5</v>
      </c>
      <c r="AU101" s="90">
        <v>0.5</v>
      </c>
      <c r="AV101" s="90"/>
      <c r="AW101" s="90">
        <v>0.125</v>
      </c>
      <c r="AX101" s="90"/>
      <c r="AY101" s="90"/>
      <c r="AZ101" s="90">
        <f t="shared" si="12"/>
        <v>1.375</v>
      </c>
      <c r="BA101" s="90">
        <f>ROUND(AZ101*IFERROR(VLOOKUP($AK101,'3121% SY'!$A$2:$M$324,13,FALSE),0),3)</f>
        <v>0.29499999999999998</v>
      </c>
      <c r="BB101" s="90">
        <f t="shared" si="13"/>
        <v>0</v>
      </c>
      <c r="BC101" s="90">
        <f>ROUND(BB101*IFERROR(VLOOKUP($AK101,'3121% SY'!$A$2:$M$324,13,FALSE),0),3)</f>
        <v>0</v>
      </c>
    </row>
    <row r="102" spans="1:55" x14ac:dyDescent="0.25">
      <c r="A102" s="88" t="s">
        <v>113</v>
      </c>
      <c r="B102" s="90"/>
      <c r="C102" s="90">
        <v>49.628999999999998</v>
      </c>
      <c r="D102" s="90">
        <v>22.332999999999998</v>
      </c>
      <c r="E102" s="90">
        <v>15.925000000000001</v>
      </c>
      <c r="F102" s="90">
        <v>19.899999999999999</v>
      </c>
      <c r="G102" s="90"/>
      <c r="H102" s="90"/>
      <c r="I102" s="90"/>
      <c r="J102" s="90"/>
      <c r="K102" s="90">
        <v>8.74</v>
      </c>
      <c r="L102" s="90"/>
      <c r="M102" s="90"/>
      <c r="N102" s="90"/>
      <c r="P102" s="90">
        <f t="shared" si="9"/>
        <v>28.64</v>
      </c>
      <c r="Q102" s="90">
        <f>SUM($B102:E102)</f>
        <v>87.886999999999986</v>
      </c>
      <c r="R102" s="89"/>
      <c r="AH102" s="90">
        <f t="shared" si="10"/>
        <v>0</v>
      </c>
      <c r="AI102" s="90">
        <f t="shared" si="11"/>
        <v>0</v>
      </c>
      <c r="AJ102" s="89"/>
      <c r="AK102" s="88" t="s">
        <v>184</v>
      </c>
      <c r="AL102" s="90">
        <v>3.1949999999999998</v>
      </c>
      <c r="AM102" s="90">
        <v>1.51</v>
      </c>
      <c r="AN102" s="90">
        <v>5.883</v>
      </c>
      <c r="AO102" s="90">
        <v>0.188</v>
      </c>
      <c r="AP102" s="90">
        <v>0.33600000000000002</v>
      </c>
      <c r="AQ102" s="90"/>
      <c r="AR102" s="90">
        <v>3.6219999999999999</v>
      </c>
      <c r="AS102" s="90">
        <v>0.31</v>
      </c>
      <c r="AT102" s="90">
        <v>8.8350000000000009</v>
      </c>
      <c r="AU102" s="90">
        <v>7.5019999999999998</v>
      </c>
      <c r="AV102" s="90"/>
      <c r="AW102" s="90">
        <v>0.93</v>
      </c>
      <c r="AX102" s="90">
        <v>1.55</v>
      </c>
      <c r="AY102" s="90"/>
      <c r="AZ102" s="90">
        <f t="shared" si="12"/>
        <v>23.085000000000001</v>
      </c>
      <c r="BA102" s="90">
        <f>ROUND(AZ102*IFERROR(VLOOKUP($AK102,'3121% SY'!$A$2:$M$324,13,FALSE),0),3)</f>
        <v>7.0179999999999998</v>
      </c>
      <c r="BB102" s="90">
        <f t="shared" si="13"/>
        <v>10.776000000000002</v>
      </c>
      <c r="BC102" s="90">
        <f>ROUND(BB102*IFERROR(VLOOKUP($AK102,'3121% SY'!$A$2:$M$324,13,FALSE),0),3)</f>
        <v>3.2759999999999998</v>
      </c>
    </row>
    <row r="103" spans="1:55" x14ac:dyDescent="0.25">
      <c r="A103" s="88" t="s">
        <v>114</v>
      </c>
      <c r="B103" s="90"/>
      <c r="C103" s="90">
        <v>13.73</v>
      </c>
      <c r="D103" s="90">
        <v>6.7229999999999999</v>
      </c>
      <c r="E103" s="90">
        <v>5.1660000000000004</v>
      </c>
      <c r="F103" s="90">
        <v>22.1</v>
      </c>
      <c r="G103" s="90"/>
      <c r="H103" s="90"/>
      <c r="I103" s="90"/>
      <c r="J103" s="90"/>
      <c r="K103" s="90"/>
      <c r="L103" s="90"/>
      <c r="M103" s="90"/>
      <c r="N103" s="90"/>
      <c r="P103" s="90">
        <f t="shared" si="9"/>
        <v>22.1</v>
      </c>
      <c r="Q103" s="90">
        <f>SUM($B103:E103)</f>
        <v>25.619</v>
      </c>
      <c r="R103" s="89"/>
      <c r="AH103" s="90">
        <f t="shared" si="10"/>
        <v>0</v>
      </c>
      <c r="AI103" s="90">
        <f t="shared" si="11"/>
        <v>0</v>
      </c>
      <c r="AJ103" s="89"/>
      <c r="AK103" s="88" t="s">
        <v>185</v>
      </c>
      <c r="AL103" s="90"/>
      <c r="AM103" s="90">
        <v>6.72</v>
      </c>
      <c r="AN103" s="90">
        <v>5.944</v>
      </c>
      <c r="AO103" s="90"/>
      <c r="AP103" s="90"/>
      <c r="AQ103" s="90"/>
      <c r="AR103" s="90">
        <v>7.27</v>
      </c>
      <c r="AS103" s="90"/>
      <c r="AT103" s="90">
        <v>17.693000000000001</v>
      </c>
      <c r="AU103" s="90">
        <v>11.137</v>
      </c>
      <c r="AV103" s="90">
        <v>0.20599999999999999</v>
      </c>
      <c r="AW103" s="90">
        <v>3.3620000000000001</v>
      </c>
      <c r="AX103" s="90">
        <v>1.3720000000000001</v>
      </c>
      <c r="AY103" s="90"/>
      <c r="AZ103" s="90">
        <f t="shared" si="12"/>
        <v>41.040000000000006</v>
      </c>
      <c r="BA103" s="90">
        <f>ROUND(AZ103*IFERROR(VLOOKUP($AK103,'3121% SY'!$A$2:$M$324,13,FALSE),0),3)</f>
        <v>11.393000000000001</v>
      </c>
      <c r="BB103" s="90">
        <f t="shared" si="13"/>
        <v>12.664</v>
      </c>
      <c r="BC103" s="90">
        <f>ROUND(BB103*IFERROR(VLOOKUP($AK103,'3121% SY'!$A$2:$M$324,13,FALSE),0),3)</f>
        <v>3.516</v>
      </c>
    </row>
    <row r="104" spans="1:55" x14ac:dyDescent="0.25">
      <c r="A104" s="88" t="s">
        <v>619</v>
      </c>
      <c r="B104" s="90"/>
      <c r="C104" s="90"/>
      <c r="D104" s="90"/>
      <c r="E104" s="90"/>
      <c r="F104" s="90"/>
      <c r="G104" s="90"/>
      <c r="H104" s="90"/>
      <c r="I104" s="90"/>
      <c r="J104" s="90"/>
      <c r="K104" s="90">
        <v>1</v>
      </c>
      <c r="L104" s="90"/>
      <c r="M104" s="90"/>
      <c r="N104" s="90"/>
      <c r="P104" s="90">
        <f t="shared" si="9"/>
        <v>1</v>
      </c>
      <c r="Q104" s="90">
        <f>SUM($B104:E104)</f>
        <v>0</v>
      </c>
      <c r="R104" s="89"/>
      <c r="AH104" s="90">
        <f t="shared" si="10"/>
        <v>0</v>
      </c>
      <c r="AI104" s="90">
        <f t="shared" si="11"/>
        <v>0</v>
      </c>
      <c r="AJ104" s="89"/>
      <c r="AK104" s="88" t="s">
        <v>187</v>
      </c>
      <c r="AL104" s="90"/>
      <c r="AM104" s="90"/>
      <c r="AN104" s="90">
        <v>2.3879999999999999</v>
      </c>
      <c r="AO104" s="90"/>
      <c r="AP104" s="90"/>
      <c r="AQ104" s="90"/>
      <c r="AR104" s="90">
        <v>0.25</v>
      </c>
      <c r="AS104" s="90"/>
      <c r="AT104" s="90">
        <v>0.2</v>
      </c>
      <c r="AU104" s="90"/>
      <c r="AV104" s="90"/>
      <c r="AW104" s="90">
        <v>0.56999999999999995</v>
      </c>
      <c r="AX104" s="90"/>
      <c r="AY104" s="90"/>
      <c r="AZ104" s="90">
        <f t="shared" si="12"/>
        <v>1.02</v>
      </c>
      <c r="BA104" s="90">
        <f>ROUND(AZ104*IFERROR(VLOOKUP($AK104,'3121% SY'!$A$2:$M$324,13,FALSE),0),3)</f>
        <v>0.32100000000000001</v>
      </c>
      <c r="BB104" s="90">
        <f t="shared" si="13"/>
        <v>2.3879999999999999</v>
      </c>
      <c r="BC104" s="90">
        <f>ROUND(BB104*IFERROR(VLOOKUP($AK104,'3121% SY'!$A$2:$M$324,13,FALSE),0),3)</f>
        <v>0.751</v>
      </c>
    </row>
    <row r="105" spans="1:55" x14ac:dyDescent="0.25">
      <c r="A105" s="88" t="s">
        <v>115</v>
      </c>
      <c r="B105" s="90"/>
      <c r="C105" s="90"/>
      <c r="D105" s="90"/>
      <c r="E105" s="90"/>
      <c r="F105" s="90">
        <v>2</v>
      </c>
      <c r="G105" s="90"/>
      <c r="H105" s="90"/>
      <c r="I105" s="90"/>
      <c r="J105" s="90"/>
      <c r="K105" s="90">
        <v>0.498</v>
      </c>
      <c r="L105" s="90"/>
      <c r="M105" s="90"/>
      <c r="N105" s="90"/>
      <c r="P105" s="90">
        <f t="shared" si="9"/>
        <v>2.4980000000000002</v>
      </c>
      <c r="Q105" s="90">
        <f>SUM($B105:E105)</f>
        <v>0</v>
      </c>
      <c r="R105" s="89"/>
      <c r="AH105" s="90">
        <f t="shared" si="10"/>
        <v>0</v>
      </c>
      <c r="AI105" s="90">
        <f t="shared" si="11"/>
        <v>0</v>
      </c>
      <c r="AJ105" s="89"/>
      <c r="AK105" s="88" t="s">
        <v>188</v>
      </c>
      <c r="AL105" s="90"/>
      <c r="AM105" s="90"/>
      <c r="AN105" s="90">
        <v>0.52600000000000002</v>
      </c>
      <c r="AO105" s="90"/>
      <c r="AP105" s="90">
        <v>0.33200000000000002</v>
      </c>
      <c r="AQ105" s="90"/>
      <c r="AR105" s="90">
        <v>0.63200000000000001</v>
      </c>
      <c r="AS105" s="90">
        <v>1.4</v>
      </c>
      <c r="AT105" s="90">
        <v>2.762</v>
      </c>
      <c r="AU105" s="90">
        <v>3.9990000000000001</v>
      </c>
      <c r="AV105" s="90"/>
      <c r="AW105" s="90">
        <v>0.23300000000000001</v>
      </c>
      <c r="AX105" s="90"/>
      <c r="AY105" s="90"/>
      <c r="AZ105" s="90">
        <f t="shared" si="12"/>
        <v>9.3580000000000005</v>
      </c>
      <c r="BA105" s="90">
        <f>ROUND(AZ105*IFERROR(VLOOKUP($AK105,'3121% SY'!$A$2:$M$324,13,FALSE),0),3)</f>
        <v>2.5710000000000002</v>
      </c>
      <c r="BB105" s="90">
        <f t="shared" si="13"/>
        <v>0.52600000000000002</v>
      </c>
      <c r="BC105" s="90">
        <f>ROUND(BB105*IFERROR(VLOOKUP($AK105,'3121% SY'!$A$2:$M$324,13,FALSE),0),3)</f>
        <v>0.14399999999999999</v>
      </c>
    </row>
    <row r="106" spans="1:55" x14ac:dyDescent="0.25">
      <c r="A106" s="88" t="s">
        <v>621</v>
      </c>
      <c r="B106" s="90"/>
      <c r="C106" s="90"/>
      <c r="D106" s="90"/>
      <c r="E106" s="90"/>
      <c r="F106" s="90"/>
      <c r="G106" s="90"/>
      <c r="H106" s="90"/>
      <c r="I106" s="90"/>
      <c r="J106" s="90"/>
      <c r="K106" s="90">
        <v>0.45</v>
      </c>
      <c r="L106" s="90"/>
      <c r="M106" s="90"/>
      <c r="N106" s="90"/>
      <c r="P106" s="90">
        <f t="shared" si="9"/>
        <v>0.45</v>
      </c>
      <c r="Q106" s="90">
        <f>SUM($B106:E106)</f>
        <v>0</v>
      </c>
      <c r="R106" s="89"/>
      <c r="AH106" s="90">
        <f t="shared" si="10"/>
        <v>0</v>
      </c>
      <c r="AI106" s="90">
        <f t="shared" si="11"/>
        <v>0</v>
      </c>
      <c r="AJ106" s="89"/>
      <c r="AK106" s="88" t="s">
        <v>189</v>
      </c>
      <c r="AL106" s="90"/>
      <c r="AM106" s="90">
        <v>1.36</v>
      </c>
      <c r="AN106" s="90">
        <v>1.52</v>
      </c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>
        <f t="shared" si="12"/>
        <v>0</v>
      </c>
      <c r="BA106" s="90">
        <f>ROUND(AZ106*IFERROR(VLOOKUP($AK106,'3121% SY'!$A$2:$M$324,13,FALSE),0),3)</f>
        <v>0</v>
      </c>
      <c r="BB106" s="90">
        <f t="shared" si="13"/>
        <v>2.88</v>
      </c>
      <c r="BC106" s="90">
        <f>ROUND(BB106*IFERROR(VLOOKUP($AK106,'3121% SY'!$A$2:$M$324,13,FALSE),0),3)</f>
        <v>0.88700000000000001</v>
      </c>
    </row>
    <row r="107" spans="1:55" x14ac:dyDescent="0.25">
      <c r="A107" s="88" t="s">
        <v>674</v>
      </c>
      <c r="B107" s="90"/>
      <c r="C107" s="90"/>
      <c r="D107" s="90">
        <v>6.9000000000000006E-2</v>
      </c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P107" s="90">
        <f t="shared" si="9"/>
        <v>0</v>
      </c>
      <c r="Q107" s="90">
        <f>SUM($B107:E107)</f>
        <v>6.9000000000000006E-2</v>
      </c>
      <c r="R107" s="89"/>
      <c r="AH107" s="90">
        <f t="shared" si="10"/>
        <v>0</v>
      </c>
      <c r="AI107" s="90">
        <f t="shared" si="11"/>
        <v>0</v>
      </c>
      <c r="AJ107" s="89"/>
      <c r="AK107" s="88" t="s">
        <v>190</v>
      </c>
      <c r="AL107" s="90"/>
      <c r="AM107" s="90"/>
      <c r="AN107" s="90">
        <v>2.2719999999999998</v>
      </c>
      <c r="AO107" s="90"/>
      <c r="AP107" s="90"/>
      <c r="AQ107" s="90"/>
      <c r="AR107" s="90"/>
      <c r="AS107" s="90"/>
      <c r="AT107" s="90">
        <v>0.24</v>
      </c>
      <c r="AU107" s="90"/>
      <c r="AV107" s="90"/>
      <c r="AW107" s="90"/>
      <c r="AX107" s="90"/>
      <c r="AY107" s="90"/>
      <c r="AZ107" s="90">
        <f t="shared" si="12"/>
        <v>0.24</v>
      </c>
      <c r="BA107" s="90">
        <f>ROUND(AZ107*IFERROR(VLOOKUP($AK107,'3121% SY'!$A$2:$M$324,13,FALSE),0),3)</f>
        <v>6.3E-2</v>
      </c>
      <c r="BB107" s="90">
        <f t="shared" si="13"/>
        <v>2.2719999999999998</v>
      </c>
      <c r="BC107" s="90">
        <f>ROUND(BB107*IFERROR(VLOOKUP($AK107,'3121% SY'!$A$2:$M$324,13,FALSE),0),3)</f>
        <v>0.59199999999999997</v>
      </c>
    </row>
    <row r="108" spans="1:55" x14ac:dyDescent="0.25">
      <c r="A108" s="88" t="s">
        <v>116</v>
      </c>
      <c r="B108" s="90"/>
      <c r="C108" s="90"/>
      <c r="D108" s="90">
        <v>1.91</v>
      </c>
      <c r="E108" s="90">
        <v>3.9460000000000002</v>
      </c>
      <c r="F108" s="90">
        <v>3.984</v>
      </c>
      <c r="G108" s="90"/>
      <c r="H108" s="90"/>
      <c r="I108" s="90"/>
      <c r="J108" s="90"/>
      <c r="K108" s="90"/>
      <c r="L108" s="90"/>
      <c r="M108" s="90"/>
      <c r="N108" s="90"/>
      <c r="P108" s="90">
        <f t="shared" si="9"/>
        <v>3.984</v>
      </c>
      <c r="Q108" s="90">
        <f>SUM($B108:E108)</f>
        <v>5.8559999999999999</v>
      </c>
      <c r="R108" s="89"/>
      <c r="AH108" s="90">
        <f t="shared" si="10"/>
        <v>0</v>
      </c>
      <c r="AI108" s="90">
        <f t="shared" si="11"/>
        <v>0</v>
      </c>
      <c r="AJ108" s="89"/>
      <c r="AK108" s="88" t="s">
        <v>191</v>
      </c>
      <c r="AL108" s="90"/>
      <c r="AM108" s="90"/>
      <c r="AN108" s="90">
        <v>11.523999999999999</v>
      </c>
      <c r="AO108" s="90"/>
      <c r="AP108" s="90"/>
      <c r="AQ108" s="90">
        <v>1</v>
      </c>
      <c r="AR108" s="90">
        <v>9</v>
      </c>
      <c r="AS108" s="90">
        <v>1</v>
      </c>
      <c r="AT108" s="90">
        <v>8</v>
      </c>
      <c r="AU108" s="90">
        <v>3</v>
      </c>
      <c r="AV108" s="90"/>
      <c r="AW108" s="90">
        <v>4.5</v>
      </c>
      <c r="AX108" s="90"/>
      <c r="AY108" s="90"/>
      <c r="AZ108" s="90">
        <f t="shared" si="12"/>
        <v>26.5</v>
      </c>
      <c r="BA108" s="90">
        <f>ROUND(AZ108*IFERROR(VLOOKUP($AK108,'3121% SY'!$A$2:$M$324,13,FALSE),0),3)</f>
        <v>9.01</v>
      </c>
      <c r="BB108" s="90">
        <f t="shared" si="13"/>
        <v>11.523999999999999</v>
      </c>
      <c r="BC108" s="90">
        <f>ROUND(BB108*IFERROR(VLOOKUP($AK108,'3121% SY'!$A$2:$M$324,13,FALSE),0),3)</f>
        <v>3.9180000000000001</v>
      </c>
    </row>
    <row r="109" spans="1:55" x14ac:dyDescent="0.25">
      <c r="A109" s="88" t="s">
        <v>117</v>
      </c>
      <c r="B109" s="90"/>
      <c r="C109" s="90">
        <v>4.3940000000000001</v>
      </c>
      <c r="D109" s="90">
        <v>3.7679999999999998</v>
      </c>
      <c r="E109" s="90"/>
      <c r="F109" s="90">
        <v>4.8499999999999996</v>
      </c>
      <c r="G109" s="90"/>
      <c r="H109" s="90">
        <v>0.31</v>
      </c>
      <c r="I109" s="90"/>
      <c r="J109" s="90"/>
      <c r="K109" s="90">
        <v>0.96</v>
      </c>
      <c r="L109" s="90"/>
      <c r="M109" s="90"/>
      <c r="N109" s="90"/>
      <c r="P109" s="90">
        <f t="shared" si="9"/>
        <v>6.1199999999999992</v>
      </c>
      <c r="Q109" s="90">
        <f>SUM($B109:E109)</f>
        <v>8.161999999999999</v>
      </c>
      <c r="R109" s="89"/>
      <c r="AH109" s="90">
        <f t="shared" si="10"/>
        <v>0</v>
      </c>
      <c r="AI109" s="90">
        <f t="shared" si="11"/>
        <v>0</v>
      </c>
      <c r="AJ109" s="89"/>
      <c r="AK109" s="88" t="s">
        <v>192</v>
      </c>
      <c r="AL109" s="90"/>
      <c r="AM109" s="90"/>
      <c r="AN109" s="90">
        <v>2.4990000000000001</v>
      </c>
      <c r="AO109" s="90"/>
      <c r="AP109" s="90"/>
      <c r="AQ109" s="90"/>
      <c r="AR109" s="90">
        <v>0.93100000000000005</v>
      </c>
      <c r="AS109" s="90">
        <v>0.33300000000000002</v>
      </c>
      <c r="AT109" s="90">
        <v>1.208</v>
      </c>
      <c r="AU109" s="90">
        <v>3.3079999999999998</v>
      </c>
      <c r="AV109" s="90">
        <v>0.14000000000000001</v>
      </c>
      <c r="AW109" s="90">
        <v>0.61599999999999999</v>
      </c>
      <c r="AX109" s="90"/>
      <c r="AY109" s="90"/>
      <c r="AZ109" s="90">
        <f t="shared" si="12"/>
        <v>6.5359999999999987</v>
      </c>
      <c r="BA109" s="90">
        <f>ROUND(AZ109*IFERROR(VLOOKUP($AK109,'3121% SY'!$A$2:$M$324,13,FALSE),0),3)</f>
        <v>1.4350000000000001</v>
      </c>
      <c r="BB109" s="90">
        <f t="shared" si="13"/>
        <v>2.4990000000000001</v>
      </c>
      <c r="BC109" s="90">
        <f>ROUND(BB109*IFERROR(VLOOKUP($AK109,'3121% SY'!$A$2:$M$324,13,FALSE),0),3)</f>
        <v>0.54900000000000004</v>
      </c>
    </row>
    <row r="110" spans="1:55" x14ac:dyDescent="0.25">
      <c r="A110" s="88" t="s">
        <v>118</v>
      </c>
      <c r="B110" s="90"/>
      <c r="C110" s="90">
        <v>5.992</v>
      </c>
      <c r="D110" s="90">
        <v>0.40799999999999997</v>
      </c>
      <c r="E110" s="90">
        <v>3.6709999999999998</v>
      </c>
      <c r="F110" s="90">
        <v>4.5</v>
      </c>
      <c r="G110" s="90"/>
      <c r="H110" s="90"/>
      <c r="I110" s="90"/>
      <c r="J110" s="90"/>
      <c r="K110" s="90"/>
      <c r="L110" s="90"/>
      <c r="M110" s="90"/>
      <c r="N110" s="90"/>
      <c r="P110" s="90">
        <f t="shared" si="9"/>
        <v>4.5</v>
      </c>
      <c r="Q110" s="90">
        <f>SUM($B110:E110)</f>
        <v>10.071</v>
      </c>
      <c r="R110" s="89"/>
      <c r="AH110" s="90">
        <f t="shared" si="10"/>
        <v>0</v>
      </c>
      <c r="AI110" s="90">
        <f t="shared" si="11"/>
        <v>0</v>
      </c>
      <c r="AJ110" s="89"/>
      <c r="AK110" s="88" t="s">
        <v>193</v>
      </c>
      <c r="AL110" s="90"/>
      <c r="AM110" s="90"/>
      <c r="AN110" s="90">
        <v>0.76900000000000002</v>
      </c>
      <c r="AO110" s="90"/>
      <c r="AP110" s="90"/>
      <c r="AQ110" s="90">
        <v>1.25</v>
      </c>
      <c r="AR110" s="90">
        <v>0.17699999999999999</v>
      </c>
      <c r="AS110" s="90"/>
      <c r="AT110" s="90">
        <v>1.5940000000000001</v>
      </c>
      <c r="AU110" s="90">
        <v>3</v>
      </c>
      <c r="AV110" s="90"/>
      <c r="AW110" s="90">
        <v>0.23499999999999999</v>
      </c>
      <c r="AX110" s="90"/>
      <c r="AY110" s="90"/>
      <c r="AZ110" s="90">
        <f t="shared" si="12"/>
        <v>6.2560000000000002</v>
      </c>
      <c r="BA110" s="90">
        <f>ROUND(AZ110*IFERROR(VLOOKUP($AK110,'3121% SY'!$A$2:$M$324,13,FALSE),0),3)</f>
        <v>1.9470000000000001</v>
      </c>
      <c r="BB110" s="90">
        <f t="shared" si="13"/>
        <v>0.76900000000000002</v>
      </c>
      <c r="BC110" s="90">
        <f>ROUND(BB110*IFERROR(VLOOKUP($AK110,'3121% SY'!$A$2:$M$324,13,FALSE),0),3)</f>
        <v>0.23899999999999999</v>
      </c>
    </row>
    <row r="111" spans="1:55" x14ac:dyDescent="0.25">
      <c r="A111" s="88" t="s">
        <v>119</v>
      </c>
      <c r="B111" s="90"/>
      <c r="C111" s="90">
        <v>15.273999999999999</v>
      </c>
      <c r="D111" s="90">
        <v>0.82299999999999995</v>
      </c>
      <c r="E111" s="90"/>
      <c r="F111" s="90">
        <v>11.712999999999999</v>
      </c>
      <c r="G111" s="90"/>
      <c r="H111" s="90"/>
      <c r="I111" s="90"/>
      <c r="J111" s="90"/>
      <c r="K111" s="90"/>
      <c r="L111" s="90"/>
      <c r="M111" s="90"/>
      <c r="N111" s="90">
        <v>0.497</v>
      </c>
      <c r="P111" s="90">
        <f t="shared" si="9"/>
        <v>12.209999999999999</v>
      </c>
      <c r="Q111" s="90">
        <f>SUM($B111:E111)</f>
        <v>16.096999999999998</v>
      </c>
      <c r="R111" s="89"/>
      <c r="AH111" s="90">
        <f t="shared" si="10"/>
        <v>0</v>
      </c>
      <c r="AI111" s="90">
        <f t="shared" si="11"/>
        <v>0</v>
      </c>
      <c r="AJ111" s="89"/>
      <c r="AK111" s="88" t="s">
        <v>194</v>
      </c>
      <c r="AL111" s="90">
        <v>1</v>
      </c>
      <c r="AM111" s="90">
        <v>18.294</v>
      </c>
      <c r="AN111" s="90">
        <v>11.35</v>
      </c>
      <c r="AO111" s="90"/>
      <c r="AP111" s="90"/>
      <c r="AQ111" s="90">
        <v>1</v>
      </c>
      <c r="AR111" s="90">
        <v>0.307</v>
      </c>
      <c r="AS111" s="90"/>
      <c r="AT111" s="90"/>
      <c r="AU111" s="90">
        <v>1</v>
      </c>
      <c r="AV111" s="90"/>
      <c r="AW111" s="90">
        <v>0.93</v>
      </c>
      <c r="AX111" s="90"/>
      <c r="AY111" s="90">
        <v>1.9610000000000001</v>
      </c>
      <c r="AZ111" s="90">
        <f t="shared" si="12"/>
        <v>5.1980000000000004</v>
      </c>
      <c r="BA111" s="90">
        <f>ROUND(AZ111*IFERROR(VLOOKUP($AK111,'3121% SY'!$A$2:$M$324,13,FALSE),0),3)</f>
        <v>1.647</v>
      </c>
      <c r="BB111" s="90">
        <f t="shared" si="13"/>
        <v>30.643999999999998</v>
      </c>
      <c r="BC111" s="90">
        <f>ROUND(BB111*IFERROR(VLOOKUP($AK111,'3121% SY'!$A$2:$M$324,13,FALSE),0),3)</f>
        <v>9.7110000000000003</v>
      </c>
    </row>
    <row r="112" spans="1:55" x14ac:dyDescent="0.25">
      <c r="A112" s="88" t="s">
        <v>120</v>
      </c>
      <c r="B112" s="90"/>
      <c r="C112" s="90">
        <v>14.869</v>
      </c>
      <c r="D112" s="90">
        <v>2.8290000000000002</v>
      </c>
      <c r="E112" s="90">
        <v>6.0469999999999997</v>
      </c>
      <c r="F112" s="90">
        <v>8</v>
      </c>
      <c r="G112" s="90"/>
      <c r="H112" s="90">
        <v>1</v>
      </c>
      <c r="I112" s="90"/>
      <c r="J112" s="90"/>
      <c r="K112" s="90">
        <v>1.3180000000000001</v>
      </c>
      <c r="L112" s="90"/>
      <c r="M112" s="90"/>
      <c r="N112" s="90"/>
      <c r="P112" s="90">
        <f t="shared" si="9"/>
        <v>10.318</v>
      </c>
      <c r="Q112" s="90">
        <f>SUM($B112:E112)</f>
        <v>23.745000000000001</v>
      </c>
      <c r="R112" s="89"/>
      <c r="AH112" s="90">
        <f t="shared" si="10"/>
        <v>0</v>
      </c>
      <c r="AI112" s="90">
        <f t="shared" si="11"/>
        <v>0</v>
      </c>
      <c r="AJ112" s="89"/>
      <c r="AK112" s="88" t="s">
        <v>195</v>
      </c>
      <c r="AL112" s="90"/>
      <c r="AM112" s="90">
        <v>1.0720000000000001</v>
      </c>
      <c r="AN112" s="90">
        <v>0.56599999999999995</v>
      </c>
      <c r="AO112" s="90"/>
      <c r="AP112" s="90"/>
      <c r="AQ112" s="90"/>
      <c r="AR112" s="90"/>
      <c r="AS112" s="90"/>
      <c r="AT112" s="90"/>
      <c r="AU112" s="90">
        <v>0.23</v>
      </c>
      <c r="AV112" s="90"/>
      <c r="AW112" s="90"/>
      <c r="AX112" s="90"/>
      <c r="AY112" s="90"/>
      <c r="AZ112" s="90">
        <f t="shared" si="12"/>
        <v>0.23</v>
      </c>
      <c r="BA112" s="90">
        <f>ROUND(AZ112*IFERROR(VLOOKUP($AK112,'3121% SY'!$A$2:$M$324,13,FALSE),0),3)</f>
        <v>6.2E-2</v>
      </c>
      <c r="BB112" s="90">
        <f t="shared" si="13"/>
        <v>1.6379999999999999</v>
      </c>
      <c r="BC112" s="90">
        <f>ROUND(BB112*IFERROR(VLOOKUP($AK112,'3121% SY'!$A$2:$M$324,13,FALSE),0),3)</f>
        <v>0.439</v>
      </c>
    </row>
    <row r="113" spans="1:55" x14ac:dyDescent="0.25">
      <c r="A113" s="88" t="s">
        <v>652</v>
      </c>
      <c r="B113" s="90"/>
      <c r="C113" s="90">
        <v>0.748</v>
      </c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P113" s="90">
        <f t="shared" si="9"/>
        <v>0</v>
      </c>
      <c r="Q113" s="90">
        <f>SUM($B113:E113)</f>
        <v>0.748</v>
      </c>
      <c r="R113" s="89"/>
      <c r="AH113" s="90">
        <f t="shared" si="10"/>
        <v>0</v>
      </c>
      <c r="AI113" s="90">
        <f t="shared" si="11"/>
        <v>0</v>
      </c>
      <c r="AJ113" s="89"/>
      <c r="AK113" s="88" t="s">
        <v>196</v>
      </c>
      <c r="AL113" s="90"/>
      <c r="AM113" s="90">
        <v>3.0870000000000002</v>
      </c>
      <c r="AN113" s="90"/>
      <c r="AO113" s="90"/>
      <c r="AP113" s="90"/>
      <c r="AQ113" s="90"/>
      <c r="AR113" s="90"/>
      <c r="AS113" s="90"/>
      <c r="AT113" s="90">
        <v>0.313</v>
      </c>
      <c r="AU113" s="90">
        <v>1</v>
      </c>
      <c r="AV113" s="90"/>
      <c r="AW113" s="90"/>
      <c r="AX113" s="90"/>
      <c r="AY113" s="90"/>
      <c r="AZ113" s="90">
        <f t="shared" si="12"/>
        <v>1.3129999999999999</v>
      </c>
      <c r="BA113" s="90">
        <f>ROUND(AZ113*IFERROR(VLOOKUP($AK113,'3121% SY'!$A$2:$M$324,13,FALSE),0),3)</f>
        <v>0.32600000000000001</v>
      </c>
      <c r="BB113" s="90">
        <f t="shared" si="13"/>
        <v>3.0870000000000002</v>
      </c>
      <c r="BC113" s="90">
        <f>ROUND(BB113*IFERROR(VLOOKUP($AK113,'3121% SY'!$A$2:$M$324,13,FALSE),0),3)</f>
        <v>0.76700000000000002</v>
      </c>
    </row>
    <row r="114" spans="1:55" x14ac:dyDescent="0.25">
      <c r="A114" s="88" t="s">
        <v>121</v>
      </c>
      <c r="B114" s="90"/>
      <c r="C114" s="90"/>
      <c r="D114" s="90"/>
      <c r="E114" s="90"/>
      <c r="F114" s="90">
        <v>1</v>
      </c>
      <c r="G114" s="90"/>
      <c r="H114" s="90"/>
      <c r="I114" s="90"/>
      <c r="J114" s="90"/>
      <c r="K114" s="90"/>
      <c r="L114" s="90"/>
      <c r="M114" s="90"/>
      <c r="N114" s="90"/>
      <c r="P114" s="90">
        <f t="shared" si="9"/>
        <v>1</v>
      </c>
      <c r="Q114" s="90">
        <f>SUM($B114:E114)</f>
        <v>0</v>
      </c>
      <c r="R114" s="89"/>
      <c r="AH114" s="90">
        <f t="shared" si="10"/>
        <v>0</v>
      </c>
      <c r="AI114" s="90">
        <f t="shared" si="11"/>
        <v>0</v>
      </c>
      <c r="AJ114" s="89"/>
      <c r="AK114" s="88" t="s">
        <v>197</v>
      </c>
      <c r="AL114" s="90"/>
      <c r="AM114" s="90">
        <v>2.589</v>
      </c>
      <c r="AN114" s="90">
        <v>0.68500000000000005</v>
      </c>
      <c r="AO114" s="90"/>
      <c r="AP114" s="90"/>
      <c r="AQ114" s="90"/>
      <c r="AR114" s="90">
        <v>0.31</v>
      </c>
      <c r="AS114" s="90"/>
      <c r="AT114" s="90">
        <v>0.5</v>
      </c>
      <c r="AU114" s="90">
        <v>0.5</v>
      </c>
      <c r="AV114" s="90"/>
      <c r="AW114" s="90">
        <v>0.155</v>
      </c>
      <c r="AX114" s="90"/>
      <c r="AY114" s="90"/>
      <c r="AZ114" s="90">
        <f t="shared" si="12"/>
        <v>1.4650000000000001</v>
      </c>
      <c r="BA114" s="90">
        <f>ROUND(AZ114*IFERROR(VLOOKUP($AK114,'3121% SY'!$A$2:$M$324,13,FALSE),0),3)</f>
        <v>0.45600000000000002</v>
      </c>
      <c r="BB114" s="90">
        <f t="shared" si="13"/>
        <v>3.274</v>
      </c>
      <c r="BC114" s="90">
        <f>ROUND(BB114*IFERROR(VLOOKUP($AK114,'3121% SY'!$A$2:$M$324,13,FALSE),0),3)</f>
        <v>1.02</v>
      </c>
    </row>
    <row r="115" spans="1:55" x14ac:dyDescent="0.25">
      <c r="A115" s="88" t="s">
        <v>122</v>
      </c>
      <c r="B115" s="90"/>
      <c r="C115" s="90"/>
      <c r="D115" s="90"/>
      <c r="E115" s="90"/>
      <c r="F115" s="90"/>
      <c r="G115" s="90"/>
      <c r="H115" s="90"/>
      <c r="I115" s="90"/>
      <c r="J115" s="90"/>
      <c r="K115" s="90">
        <v>6.9000000000000006E-2</v>
      </c>
      <c r="L115" s="90"/>
      <c r="M115" s="90"/>
      <c r="N115" s="90"/>
      <c r="P115" s="90">
        <f t="shared" si="9"/>
        <v>6.9000000000000006E-2</v>
      </c>
      <c r="Q115" s="90">
        <f>SUM($B115:E115)</f>
        <v>0</v>
      </c>
      <c r="R115" s="89"/>
      <c r="AH115" s="90">
        <f t="shared" si="10"/>
        <v>0</v>
      </c>
      <c r="AI115" s="90">
        <f t="shared" si="11"/>
        <v>0</v>
      </c>
      <c r="AJ115" s="89"/>
      <c r="AK115" s="88" t="s">
        <v>632</v>
      </c>
      <c r="AL115" s="90"/>
      <c r="AM115" s="90"/>
      <c r="AN115" s="90">
        <v>1.462</v>
      </c>
      <c r="AO115" s="90"/>
      <c r="AP115" s="90"/>
      <c r="AQ115" s="90"/>
      <c r="AR115" s="90"/>
      <c r="AS115" s="90"/>
      <c r="AT115" s="90">
        <v>0.2</v>
      </c>
      <c r="AU115" s="90"/>
      <c r="AV115" s="90"/>
      <c r="AW115" s="90"/>
      <c r="AX115" s="90"/>
      <c r="AY115" s="90"/>
      <c r="AZ115" s="90">
        <f t="shared" si="12"/>
        <v>0.2</v>
      </c>
      <c r="BA115" s="90">
        <f>ROUND(AZ115*IFERROR(VLOOKUP($AK115,'3121% SY'!$A$2:$M$324,13,FALSE),0),3)</f>
        <v>0.03</v>
      </c>
      <c r="BB115" s="90">
        <f t="shared" si="13"/>
        <v>1.462</v>
      </c>
      <c r="BC115" s="90">
        <f>ROUND(BB115*IFERROR(VLOOKUP($AK115,'3121% SY'!$A$2:$M$324,13,FALSE),0),3)</f>
        <v>0.217</v>
      </c>
    </row>
    <row r="116" spans="1:55" x14ac:dyDescent="0.25">
      <c r="A116" s="88" t="s">
        <v>123</v>
      </c>
      <c r="B116" s="90"/>
      <c r="C116" s="90"/>
      <c r="D116" s="90">
        <v>1.7000000000000001E-2</v>
      </c>
      <c r="E116" s="90"/>
      <c r="F116" s="90">
        <v>0.33</v>
      </c>
      <c r="G116" s="90"/>
      <c r="H116" s="90"/>
      <c r="I116" s="90"/>
      <c r="J116" s="90"/>
      <c r="K116" s="90"/>
      <c r="L116" s="90"/>
      <c r="M116" s="90"/>
      <c r="N116" s="90"/>
      <c r="P116" s="90">
        <f t="shared" si="9"/>
        <v>0.33</v>
      </c>
      <c r="Q116" s="90">
        <f>SUM($B116:E116)</f>
        <v>1.7000000000000001E-2</v>
      </c>
      <c r="R116" s="89"/>
      <c r="AH116" s="90">
        <f t="shared" si="10"/>
        <v>0</v>
      </c>
      <c r="AI116" s="90">
        <f t="shared" si="11"/>
        <v>0</v>
      </c>
      <c r="AJ116" s="89"/>
      <c r="AK116" s="88" t="s">
        <v>199</v>
      </c>
      <c r="AL116" s="90"/>
      <c r="AM116" s="90"/>
      <c r="AN116" s="90">
        <v>0.19800000000000001</v>
      </c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>
        <f t="shared" si="12"/>
        <v>0</v>
      </c>
      <c r="BA116" s="90">
        <f>ROUND(AZ116*IFERROR(VLOOKUP($AK116,'3121% SY'!$A$2:$M$324,13,FALSE),0),3)</f>
        <v>0</v>
      </c>
      <c r="BB116" s="90">
        <f t="shared" si="13"/>
        <v>0.19800000000000001</v>
      </c>
      <c r="BC116" s="90">
        <f>ROUND(BB116*IFERROR(VLOOKUP($AK116,'3121% SY'!$A$2:$M$324,13,FALSE),0),3)</f>
        <v>2.4E-2</v>
      </c>
    </row>
    <row r="117" spans="1:55" x14ac:dyDescent="0.25">
      <c r="A117" s="88" t="s">
        <v>124</v>
      </c>
      <c r="B117" s="90"/>
      <c r="C117" s="90"/>
      <c r="D117" s="90">
        <v>0.109</v>
      </c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P117" s="90">
        <f t="shared" si="9"/>
        <v>0</v>
      </c>
      <c r="Q117" s="90">
        <f>SUM($B117:E117)</f>
        <v>0.109</v>
      </c>
      <c r="R117" s="89"/>
      <c r="AH117" s="90">
        <f t="shared" si="10"/>
        <v>0</v>
      </c>
      <c r="AI117" s="90">
        <f t="shared" si="11"/>
        <v>0</v>
      </c>
      <c r="AJ117" s="89"/>
      <c r="AK117" s="88" t="s">
        <v>200</v>
      </c>
      <c r="AL117" s="90"/>
      <c r="AM117" s="90"/>
      <c r="AN117" s="90"/>
      <c r="AO117" s="90"/>
      <c r="AP117" s="90"/>
      <c r="AQ117" s="90"/>
      <c r="AR117" s="90"/>
      <c r="AS117" s="90"/>
      <c r="AT117" s="90">
        <v>0.18</v>
      </c>
      <c r="AU117" s="90"/>
      <c r="AV117" s="90"/>
      <c r="AW117" s="90"/>
      <c r="AX117" s="90"/>
      <c r="AY117" s="90"/>
      <c r="AZ117" s="90">
        <f t="shared" si="12"/>
        <v>0.18</v>
      </c>
      <c r="BA117" s="90">
        <f>ROUND(AZ117*IFERROR(VLOOKUP($AK117,'3121% SY'!$A$2:$M$324,13,FALSE),0),3)</f>
        <v>3.3000000000000002E-2</v>
      </c>
      <c r="BB117" s="90">
        <f t="shared" si="13"/>
        <v>0</v>
      </c>
      <c r="BC117" s="90">
        <f>ROUND(BB117*IFERROR(VLOOKUP($AK117,'3121% SY'!$A$2:$M$324,13,FALSE),0),3)</f>
        <v>0</v>
      </c>
    </row>
    <row r="118" spans="1:55" x14ac:dyDescent="0.25">
      <c r="A118" s="88" t="s">
        <v>125</v>
      </c>
      <c r="B118" s="90"/>
      <c r="C118" s="90">
        <v>5.5490000000000004</v>
      </c>
      <c r="D118" s="90">
        <v>3.79</v>
      </c>
      <c r="E118" s="90"/>
      <c r="F118" s="90">
        <v>2</v>
      </c>
      <c r="G118" s="90"/>
      <c r="H118" s="90"/>
      <c r="I118" s="90"/>
      <c r="J118" s="90"/>
      <c r="K118" s="90"/>
      <c r="L118" s="90"/>
      <c r="M118" s="90"/>
      <c r="N118" s="90"/>
      <c r="P118" s="90">
        <f t="shared" si="9"/>
        <v>2</v>
      </c>
      <c r="Q118" s="90">
        <f>SUM($B118:E118)</f>
        <v>9.3390000000000004</v>
      </c>
      <c r="R118" s="89"/>
      <c r="AH118" s="90">
        <f t="shared" si="10"/>
        <v>0</v>
      </c>
      <c r="AI118" s="90">
        <f t="shared" si="11"/>
        <v>0</v>
      </c>
      <c r="AJ118" s="89"/>
      <c r="AK118" s="88" t="s">
        <v>201</v>
      </c>
      <c r="AL118" s="90"/>
      <c r="AM118" s="90"/>
      <c r="AN118" s="90"/>
      <c r="AO118" s="90"/>
      <c r="AP118" s="90"/>
      <c r="AQ118" s="90"/>
      <c r="AR118" s="90">
        <v>0.5</v>
      </c>
      <c r="AS118" s="90"/>
      <c r="AT118" s="90"/>
      <c r="AU118" s="90"/>
      <c r="AV118" s="90"/>
      <c r="AW118" s="90"/>
      <c r="AX118" s="90"/>
      <c r="AY118" s="90"/>
      <c r="AZ118" s="90">
        <f t="shared" si="12"/>
        <v>0.5</v>
      </c>
      <c r="BA118" s="90">
        <f>ROUND(AZ118*IFERROR(VLOOKUP($AK118,'3121% SY'!$A$2:$M$324,13,FALSE),0),3)</f>
        <v>7.8E-2</v>
      </c>
      <c r="BB118" s="90">
        <f t="shared" si="13"/>
        <v>0</v>
      </c>
      <c r="BC118" s="90">
        <f>ROUND(BB118*IFERROR(VLOOKUP($AK118,'3121% SY'!$A$2:$M$324,13,FALSE),0),3)</f>
        <v>0</v>
      </c>
    </row>
    <row r="119" spans="1:55" x14ac:dyDescent="0.25">
      <c r="A119" s="88" t="s">
        <v>126</v>
      </c>
      <c r="B119" s="90"/>
      <c r="C119" s="90">
        <v>0.58399999999999996</v>
      </c>
      <c r="D119" s="90"/>
      <c r="E119" s="90"/>
      <c r="F119" s="90">
        <v>1</v>
      </c>
      <c r="G119" s="90"/>
      <c r="H119" s="90"/>
      <c r="I119" s="90"/>
      <c r="J119" s="90"/>
      <c r="K119" s="90"/>
      <c r="L119" s="90"/>
      <c r="M119" s="90"/>
      <c r="N119" s="90"/>
      <c r="P119" s="90">
        <f t="shared" si="9"/>
        <v>1</v>
      </c>
      <c r="Q119" s="90">
        <f>SUM($B119:E119)</f>
        <v>0.58399999999999996</v>
      </c>
      <c r="R119" s="89"/>
      <c r="AH119" s="90">
        <f t="shared" si="10"/>
        <v>0</v>
      </c>
      <c r="AI119" s="90">
        <f t="shared" si="11"/>
        <v>0</v>
      </c>
      <c r="AJ119" s="89"/>
      <c r="AK119" s="88" t="s">
        <v>202</v>
      </c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>
        <v>0.15</v>
      </c>
      <c r="AY119" s="90"/>
      <c r="AZ119" s="90">
        <f t="shared" si="12"/>
        <v>0.15</v>
      </c>
      <c r="BA119" s="90">
        <f>ROUND(AZ119*IFERROR(VLOOKUP($AK119,'3121% SY'!$A$2:$M$324,13,FALSE),0),3)</f>
        <v>2.5999999999999999E-2</v>
      </c>
      <c r="BB119" s="90">
        <f t="shared" si="13"/>
        <v>0</v>
      </c>
      <c r="BC119" s="90">
        <f>ROUND(BB119*IFERROR(VLOOKUP($AK119,'3121% SY'!$A$2:$M$324,13,FALSE),0),3)</f>
        <v>0</v>
      </c>
    </row>
    <row r="120" spans="1:55" x14ac:dyDescent="0.25">
      <c r="A120" s="88" t="s">
        <v>127</v>
      </c>
      <c r="B120" s="90"/>
      <c r="C120" s="90"/>
      <c r="D120" s="90"/>
      <c r="E120" s="90"/>
      <c r="F120" s="90"/>
      <c r="G120" s="90"/>
      <c r="H120" s="90">
        <v>0.95</v>
      </c>
      <c r="I120" s="90"/>
      <c r="J120" s="90">
        <v>5.1999999999999998E-2</v>
      </c>
      <c r="K120" s="90"/>
      <c r="L120" s="90"/>
      <c r="M120" s="90"/>
      <c r="N120" s="90"/>
      <c r="P120" s="90">
        <f t="shared" si="9"/>
        <v>1.002</v>
      </c>
      <c r="Q120" s="90">
        <f>SUM($B120:E120)</f>
        <v>0</v>
      </c>
      <c r="R120" s="89"/>
      <c r="AH120" s="90">
        <f t="shared" si="10"/>
        <v>0</v>
      </c>
      <c r="AI120" s="90">
        <f t="shared" si="11"/>
        <v>0</v>
      </c>
      <c r="AJ120" s="89"/>
      <c r="AK120" s="88" t="s">
        <v>203</v>
      </c>
      <c r="AL120" s="90"/>
      <c r="AM120" s="90"/>
      <c r="AN120" s="90">
        <v>0.57399999999999995</v>
      </c>
      <c r="AO120" s="90"/>
      <c r="AP120" s="90"/>
      <c r="AQ120" s="90"/>
      <c r="AR120" s="90">
        <v>0.16</v>
      </c>
      <c r="AS120" s="90"/>
      <c r="AT120" s="90">
        <v>1</v>
      </c>
      <c r="AU120" s="90"/>
      <c r="AV120" s="90"/>
      <c r="AW120" s="90">
        <v>8.8999999999999996E-2</v>
      </c>
      <c r="AX120" s="90"/>
      <c r="AY120" s="90"/>
      <c r="AZ120" s="90">
        <f t="shared" si="12"/>
        <v>1.2489999999999999</v>
      </c>
      <c r="BA120" s="90">
        <f>ROUND(AZ120*IFERROR(VLOOKUP($AK120,'3121% SY'!$A$2:$M$324,13,FALSE),0),3)</f>
        <v>0.26500000000000001</v>
      </c>
      <c r="BB120" s="90">
        <f t="shared" si="13"/>
        <v>0.57399999999999995</v>
      </c>
      <c r="BC120" s="90">
        <f>ROUND(BB120*IFERROR(VLOOKUP($AK120,'3121% SY'!$A$2:$M$324,13,FALSE),0),3)</f>
        <v>0.122</v>
      </c>
    </row>
    <row r="121" spans="1:55" x14ac:dyDescent="0.25">
      <c r="A121" s="88" t="s">
        <v>128</v>
      </c>
      <c r="B121" s="90"/>
      <c r="C121" s="90"/>
      <c r="D121" s="90"/>
      <c r="E121" s="90"/>
      <c r="F121" s="90">
        <v>0.156</v>
      </c>
      <c r="G121" s="90"/>
      <c r="H121" s="90"/>
      <c r="I121" s="90"/>
      <c r="J121" s="90"/>
      <c r="K121" s="90"/>
      <c r="L121" s="90"/>
      <c r="M121" s="90"/>
      <c r="N121" s="90"/>
      <c r="P121" s="90">
        <f t="shared" si="9"/>
        <v>0.156</v>
      </c>
      <c r="Q121" s="90">
        <f>SUM($B121:E121)</f>
        <v>0</v>
      </c>
      <c r="R121" s="89"/>
      <c r="AH121" s="90">
        <f t="shared" si="10"/>
        <v>0</v>
      </c>
      <c r="AI121" s="90">
        <f t="shared" si="11"/>
        <v>0</v>
      </c>
      <c r="AJ121" s="89"/>
      <c r="AK121" s="88" t="s">
        <v>204</v>
      </c>
      <c r="AL121" s="90"/>
      <c r="AM121" s="90">
        <v>1.319</v>
      </c>
      <c r="AN121" s="90">
        <v>0.93500000000000005</v>
      </c>
      <c r="AO121" s="90"/>
      <c r="AP121" s="90"/>
      <c r="AQ121" s="90"/>
      <c r="AR121" s="90">
        <v>0.22</v>
      </c>
      <c r="AS121" s="90"/>
      <c r="AT121" s="90">
        <v>0.55000000000000004</v>
      </c>
      <c r="AU121" s="90">
        <v>1.3</v>
      </c>
      <c r="AV121" s="90"/>
      <c r="AW121" s="90">
        <v>0.161</v>
      </c>
      <c r="AX121" s="90">
        <v>8.0000000000000002E-3</v>
      </c>
      <c r="AY121" s="90"/>
      <c r="AZ121" s="90">
        <f t="shared" si="12"/>
        <v>2.2390000000000003</v>
      </c>
      <c r="BA121" s="90">
        <f>ROUND(AZ121*IFERROR(VLOOKUP($AK121,'3121% SY'!$A$2:$M$324,13,FALSE),0),3)</f>
        <v>0.51800000000000002</v>
      </c>
      <c r="BB121" s="90">
        <f t="shared" si="13"/>
        <v>2.254</v>
      </c>
      <c r="BC121" s="90">
        <f>ROUND(BB121*IFERROR(VLOOKUP($AK121,'3121% SY'!$A$2:$M$324,13,FALSE),0),3)</f>
        <v>0.52200000000000002</v>
      </c>
    </row>
    <row r="122" spans="1:55" x14ac:dyDescent="0.25">
      <c r="A122" s="88" t="s">
        <v>130</v>
      </c>
      <c r="B122" s="90"/>
      <c r="C122" s="90"/>
      <c r="D122" s="90">
        <v>0.56000000000000005</v>
      </c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P122" s="90">
        <f t="shared" si="9"/>
        <v>0</v>
      </c>
      <c r="Q122" s="90">
        <f>SUM($B122:E122)</f>
        <v>0.56000000000000005</v>
      </c>
      <c r="R122" s="89"/>
      <c r="AH122" s="90">
        <f t="shared" si="10"/>
        <v>0</v>
      </c>
      <c r="AI122" s="90">
        <f t="shared" si="11"/>
        <v>0</v>
      </c>
      <c r="AJ122" s="89"/>
      <c r="AK122" s="88" t="s">
        <v>205</v>
      </c>
      <c r="AL122" s="90"/>
      <c r="AM122" s="90"/>
      <c r="AN122" s="90"/>
      <c r="AO122" s="90"/>
      <c r="AP122" s="90"/>
      <c r="AQ122" s="90"/>
      <c r="AR122" s="90"/>
      <c r="AS122" s="90"/>
      <c r="AT122" s="90"/>
      <c r="AU122" s="90">
        <v>0.7</v>
      </c>
      <c r="AV122" s="90"/>
      <c r="AW122" s="90">
        <v>2.4E-2</v>
      </c>
      <c r="AX122" s="90"/>
      <c r="AY122" s="90"/>
      <c r="AZ122" s="90">
        <f t="shared" si="12"/>
        <v>0.72399999999999998</v>
      </c>
      <c r="BA122" s="90">
        <f>ROUND(AZ122*IFERROR(VLOOKUP($AK122,'3121% SY'!$A$2:$M$324,13,FALSE),0),3)</f>
        <v>0.14499999999999999</v>
      </c>
      <c r="BB122" s="90">
        <f t="shared" si="13"/>
        <v>0</v>
      </c>
      <c r="BC122" s="90">
        <f>ROUND(BB122*IFERROR(VLOOKUP($AK122,'3121% SY'!$A$2:$M$324,13,FALSE),0),3)</f>
        <v>0</v>
      </c>
    </row>
    <row r="123" spans="1:55" x14ac:dyDescent="0.25">
      <c r="A123" s="88" t="s">
        <v>131</v>
      </c>
      <c r="B123" s="90"/>
      <c r="C123" s="90"/>
      <c r="D123" s="90"/>
      <c r="E123" s="90"/>
      <c r="F123" s="90">
        <v>0.5</v>
      </c>
      <c r="G123" s="90"/>
      <c r="H123" s="90"/>
      <c r="I123" s="90"/>
      <c r="J123" s="90"/>
      <c r="K123" s="90"/>
      <c r="L123" s="90"/>
      <c r="M123" s="90"/>
      <c r="N123" s="90"/>
      <c r="P123" s="90">
        <f t="shared" si="9"/>
        <v>0.5</v>
      </c>
      <c r="Q123" s="90">
        <f>SUM($B123:E123)</f>
        <v>0</v>
      </c>
      <c r="R123" s="89"/>
      <c r="AH123" s="90">
        <f t="shared" si="10"/>
        <v>0</v>
      </c>
      <c r="AI123" s="90">
        <f t="shared" si="11"/>
        <v>0</v>
      </c>
      <c r="AJ123" s="89"/>
      <c r="AK123" s="88" t="s">
        <v>208</v>
      </c>
      <c r="AL123" s="90"/>
      <c r="AM123" s="90"/>
      <c r="AN123" s="90">
        <v>1.9379999999999999</v>
      </c>
      <c r="AO123" s="90"/>
      <c r="AP123" s="90"/>
      <c r="AQ123" s="90"/>
      <c r="AR123" s="90">
        <v>0.2</v>
      </c>
      <c r="AS123" s="90"/>
      <c r="AT123" s="90">
        <v>1.7</v>
      </c>
      <c r="AU123" s="90"/>
      <c r="AV123" s="90"/>
      <c r="AW123" s="90">
        <v>0.09</v>
      </c>
      <c r="AX123" s="90"/>
      <c r="AY123" s="90"/>
      <c r="AZ123" s="90">
        <f t="shared" si="12"/>
        <v>1.99</v>
      </c>
      <c r="BA123" s="90">
        <f>ROUND(AZ123*IFERROR(VLOOKUP($AK123,'3121% SY'!$A$2:$M$324,13,FALSE),0),3)</f>
        <v>0.52</v>
      </c>
      <c r="BB123" s="90">
        <f t="shared" si="13"/>
        <v>1.9379999999999999</v>
      </c>
      <c r="BC123" s="90">
        <f>ROUND(BB123*IFERROR(VLOOKUP($AK123,'3121% SY'!$A$2:$M$324,13,FALSE),0),3)</f>
        <v>0.50600000000000001</v>
      </c>
    </row>
    <row r="124" spans="1:55" x14ac:dyDescent="0.25">
      <c r="A124" s="88" t="s">
        <v>132</v>
      </c>
      <c r="B124" s="90"/>
      <c r="C124" s="90"/>
      <c r="D124" s="90"/>
      <c r="E124" s="90"/>
      <c r="F124" s="90">
        <v>0.14000000000000001</v>
      </c>
      <c r="G124" s="90"/>
      <c r="H124" s="90"/>
      <c r="I124" s="90"/>
      <c r="J124" s="90"/>
      <c r="K124" s="90"/>
      <c r="L124" s="90"/>
      <c r="M124" s="90"/>
      <c r="N124" s="90"/>
      <c r="P124" s="90">
        <f t="shared" si="9"/>
        <v>0.14000000000000001</v>
      </c>
      <c r="Q124" s="90">
        <f>SUM($B124:E124)</f>
        <v>0</v>
      </c>
      <c r="R124" s="89"/>
      <c r="AH124" s="90">
        <f t="shared" si="10"/>
        <v>0</v>
      </c>
      <c r="AI124" s="90">
        <f t="shared" si="11"/>
        <v>0</v>
      </c>
      <c r="AJ124" s="89"/>
      <c r="AK124" s="88" t="s">
        <v>213</v>
      </c>
      <c r="AL124" s="90"/>
      <c r="AM124" s="90">
        <v>1.294</v>
      </c>
      <c r="AN124" s="90">
        <v>5.3150000000000004</v>
      </c>
      <c r="AO124" s="90"/>
      <c r="AP124" s="90"/>
      <c r="AQ124" s="90"/>
      <c r="AR124" s="90">
        <v>1.6</v>
      </c>
      <c r="AS124" s="90"/>
      <c r="AT124" s="90">
        <v>6.1479999999999997</v>
      </c>
      <c r="AU124" s="90">
        <v>1.4</v>
      </c>
      <c r="AV124" s="90"/>
      <c r="AW124" s="90">
        <v>0.9</v>
      </c>
      <c r="AX124" s="90">
        <v>0.29599999999999999</v>
      </c>
      <c r="AY124" s="90"/>
      <c r="AZ124" s="90">
        <f t="shared" si="12"/>
        <v>10.343999999999999</v>
      </c>
      <c r="BA124" s="90">
        <f>ROUND(AZ124*IFERROR(VLOOKUP($AK124,'3121% SY'!$A$2:$M$324,13,FALSE),0),3)</f>
        <v>3.085</v>
      </c>
      <c r="BB124" s="90">
        <f t="shared" si="13"/>
        <v>6.609</v>
      </c>
      <c r="BC124" s="90">
        <f>ROUND(BB124*IFERROR(VLOOKUP($AK124,'3121% SY'!$A$2:$M$324,13,FALSE),0),3)</f>
        <v>1.9710000000000001</v>
      </c>
    </row>
    <row r="125" spans="1:55" x14ac:dyDescent="0.25">
      <c r="A125" s="88" t="s">
        <v>133</v>
      </c>
      <c r="B125" s="90"/>
      <c r="C125" s="90"/>
      <c r="D125" s="90"/>
      <c r="E125" s="90"/>
      <c r="F125" s="90">
        <v>0.14899999999999999</v>
      </c>
      <c r="G125" s="90"/>
      <c r="H125" s="90"/>
      <c r="I125" s="90"/>
      <c r="J125" s="90"/>
      <c r="K125" s="90"/>
      <c r="L125" s="90"/>
      <c r="M125" s="90"/>
      <c r="N125" s="90"/>
      <c r="P125" s="90">
        <f t="shared" si="9"/>
        <v>0.14899999999999999</v>
      </c>
      <c r="Q125" s="90">
        <f>SUM($B125:E125)</f>
        <v>0</v>
      </c>
      <c r="R125" s="89"/>
      <c r="AH125" s="90">
        <f t="shared" si="10"/>
        <v>0</v>
      </c>
      <c r="AI125" s="90">
        <f t="shared" si="11"/>
        <v>0</v>
      </c>
      <c r="AJ125" s="89"/>
      <c r="AK125" s="88" t="s">
        <v>214</v>
      </c>
      <c r="AL125" s="90"/>
      <c r="AM125" s="90"/>
      <c r="AN125" s="90">
        <v>3.63</v>
      </c>
      <c r="AO125" s="90"/>
      <c r="AP125" s="90"/>
      <c r="AQ125" s="90"/>
      <c r="AR125" s="90"/>
      <c r="AS125" s="90"/>
      <c r="AT125" s="90">
        <v>2</v>
      </c>
      <c r="AU125" s="90">
        <v>1</v>
      </c>
      <c r="AV125" s="90"/>
      <c r="AW125" s="90"/>
      <c r="AX125" s="90"/>
      <c r="AY125" s="90"/>
      <c r="AZ125" s="90">
        <f t="shared" si="12"/>
        <v>3</v>
      </c>
      <c r="BA125" s="90">
        <f>ROUND(AZ125*IFERROR(VLOOKUP($AK125,'3121% SY'!$A$2:$M$324,13,FALSE),0),3)</f>
        <v>0.79700000000000004</v>
      </c>
      <c r="BB125" s="90">
        <f t="shared" si="13"/>
        <v>3.63</v>
      </c>
      <c r="BC125" s="90">
        <f>ROUND(BB125*IFERROR(VLOOKUP($AK125,'3121% SY'!$A$2:$M$324,13,FALSE),0),3)</f>
        <v>0.96399999999999997</v>
      </c>
    </row>
    <row r="126" spans="1:55" x14ac:dyDescent="0.25">
      <c r="A126" s="88" t="s">
        <v>134</v>
      </c>
      <c r="B126" s="90"/>
      <c r="C126" s="90"/>
      <c r="D126" s="90">
        <v>7.3999999999999996E-2</v>
      </c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P126" s="90">
        <f t="shared" si="9"/>
        <v>0</v>
      </c>
      <c r="Q126" s="90">
        <f>SUM($B126:E126)</f>
        <v>7.3999999999999996E-2</v>
      </c>
      <c r="R126" s="89"/>
      <c r="AH126" s="90">
        <f t="shared" si="10"/>
        <v>0</v>
      </c>
      <c r="AI126" s="90">
        <f t="shared" si="11"/>
        <v>0</v>
      </c>
      <c r="AJ126" s="89"/>
      <c r="AK126" s="88" t="s">
        <v>215</v>
      </c>
      <c r="AL126" s="90"/>
      <c r="AM126" s="90"/>
      <c r="AN126" s="90">
        <v>1.2330000000000001</v>
      </c>
      <c r="AO126" s="90"/>
      <c r="AP126" s="90"/>
      <c r="AQ126" s="90"/>
      <c r="AR126" s="90">
        <v>1.905</v>
      </c>
      <c r="AS126" s="90"/>
      <c r="AT126" s="90">
        <v>4.7539999999999996</v>
      </c>
      <c r="AU126" s="90">
        <v>3</v>
      </c>
      <c r="AV126" s="90"/>
      <c r="AW126" s="90">
        <v>0.55000000000000004</v>
      </c>
      <c r="AX126" s="90"/>
      <c r="AY126" s="90"/>
      <c r="AZ126" s="90">
        <f t="shared" si="12"/>
        <v>10.209</v>
      </c>
      <c r="BA126" s="90">
        <f>ROUND(AZ126*IFERROR(VLOOKUP($AK126,'3121% SY'!$A$2:$M$324,13,FALSE),0),3)</f>
        <v>2.8740000000000001</v>
      </c>
      <c r="BB126" s="90">
        <f t="shared" si="13"/>
        <v>1.2330000000000001</v>
      </c>
      <c r="BC126" s="90">
        <f>ROUND(BB126*IFERROR(VLOOKUP($AK126,'3121% SY'!$A$2:$M$324,13,FALSE),0),3)</f>
        <v>0.34699999999999998</v>
      </c>
    </row>
    <row r="127" spans="1:55" x14ac:dyDescent="0.25">
      <c r="A127" s="88" t="s">
        <v>135</v>
      </c>
      <c r="B127" s="90"/>
      <c r="C127" s="90"/>
      <c r="D127" s="90"/>
      <c r="E127" s="90"/>
      <c r="F127" s="90">
        <v>0.55000000000000004</v>
      </c>
      <c r="G127" s="90"/>
      <c r="H127" s="90"/>
      <c r="I127" s="90"/>
      <c r="J127" s="90"/>
      <c r="K127" s="90"/>
      <c r="L127" s="90"/>
      <c r="M127" s="90"/>
      <c r="N127" s="90"/>
      <c r="P127" s="90">
        <f t="shared" si="9"/>
        <v>0.55000000000000004</v>
      </c>
      <c r="Q127" s="90">
        <f>SUM($B127:E127)</f>
        <v>0</v>
      </c>
      <c r="R127" s="89"/>
      <c r="AH127" s="90">
        <f t="shared" si="10"/>
        <v>0</v>
      </c>
      <c r="AI127" s="90">
        <f t="shared" si="11"/>
        <v>0</v>
      </c>
      <c r="AJ127" s="89"/>
      <c r="AK127" s="88" t="s">
        <v>216</v>
      </c>
      <c r="AL127" s="90"/>
      <c r="AM127" s="90">
        <v>3.42</v>
      </c>
      <c r="AN127" s="90">
        <v>2.895</v>
      </c>
      <c r="AO127" s="90"/>
      <c r="AP127" s="90"/>
      <c r="AQ127" s="90"/>
      <c r="AR127" s="90"/>
      <c r="AS127" s="90"/>
      <c r="AT127" s="90">
        <v>0.2</v>
      </c>
      <c r="AU127" s="90">
        <v>5.9</v>
      </c>
      <c r="AV127" s="90">
        <v>0.2</v>
      </c>
      <c r="AW127" s="90"/>
      <c r="AX127" s="90"/>
      <c r="AY127" s="90"/>
      <c r="AZ127" s="90">
        <f t="shared" si="12"/>
        <v>6.3000000000000007</v>
      </c>
      <c r="BA127" s="90">
        <f>ROUND(AZ127*IFERROR(VLOOKUP($AK127,'3121% SY'!$A$2:$M$324,13,FALSE),0),3)</f>
        <v>1.8560000000000001</v>
      </c>
      <c r="BB127" s="90">
        <f t="shared" si="13"/>
        <v>6.3149999999999995</v>
      </c>
      <c r="BC127" s="90">
        <f>ROUND(BB127*IFERROR(VLOOKUP($AK127,'3121% SY'!$A$2:$M$324,13,FALSE),0),3)</f>
        <v>1.86</v>
      </c>
    </row>
    <row r="128" spans="1:55" x14ac:dyDescent="0.25">
      <c r="A128" s="88" t="s">
        <v>136</v>
      </c>
      <c r="B128" s="90"/>
      <c r="C128" s="90"/>
      <c r="D128" s="90"/>
      <c r="E128" s="90"/>
      <c r="F128" s="90">
        <v>1</v>
      </c>
      <c r="G128" s="90"/>
      <c r="H128" s="90"/>
      <c r="I128" s="90"/>
      <c r="J128" s="90"/>
      <c r="K128" s="90"/>
      <c r="L128" s="90"/>
      <c r="M128" s="90"/>
      <c r="N128" s="90"/>
      <c r="P128" s="90">
        <f t="shared" si="9"/>
        <v>1</v>
      </c>
      <c r="Q128" s="90">
        <f>SUM($B128:E128)</f>
        <v>0</v>
      </c>
      <c r="R128" s="89"/>
      <c r="AH128" s="90">
        <f t="shared" si="10"/>
        <v>0</v>
      </c>
      <c r="AI128" s="90">
        <f t="shared" si="11"/>
        <v>0</v>
      </c>
      <c r="AJ128" s="89"/>
      <c r="AK128" s="88" t="s">
        <v>217</v>
      </c>
      <c r="AL128" s="90"/>
      <c r="AM128" s="90"/>
      <c r="AN128" s="90">
        <v>0.501</v>
      </c>
      <c r="AO128" s="90"/>
      <c r="AP128" s="90"/>
      <c r="AQ128" s="90"/>
      <c r="AR128" s="90">
        <v>0.47499999999999998</v>
      </c>
      <c r="AS128" s="90"/>
      <c r="AT128" s="90"/>
      <c r="AU128" s="90"/>
      <c r="AV128" s="90"/>
      <c r="AW128" s="90">
        <v>0.14799999999999999</v>
      </c>
      <c r="AX128" s="90"/>
      <c r="AY128" s="90"/>
      <c r="AZ128" s="90">
        <f t="shared" si="12"/>
        <v>0.623</v>
      </c>
      <c r="BA128" s="90">
        <f>ROUND(AZ128*IFERROR(VLOOKUP($AK128,'3121% SY'!$A$2:$M$324,13,FALSE),0),3)</f>
        <v>0.14499999999999999</v>
      </c>
      <c r="BB128" s="90">
        <f t="shared" si="13"/>
        <v>0.501</v>
      </c>
      <c r="BC128" s="90">
        <f>ROUND(BB128*IFERROR(VLOOKUP($AK128,'3121% SY'!$A$2:$M$324,13,FALSE),0),3)</f>
        <v>0.11700000000000001</v>
      </c>
    </row>
    <row r="129" spans="1:55" x14ac:dyDescent="0.25">
      <c r="A129" s="88" t="s">
        <v>138</v>
      </c>
      <c r="B129" s="90"/>
      <c r="C129" s="90">
        <v>0.17100000000000001</v>
      </c>
      <c r="D129" s="90">
        <v>5.5E-2</v>
      </c>
      <c r="E129" s="90"/>
      <c r="F129" s="90">
        <v>1.4</v>
      </c>
      <c r="G129" s="90"/>
      <c r="H129" s="90"/>
      <c r="I129" s="90"/>
      <c r="J129" s="90"/>
      <c r="K129" s="90"/>
      <c r="L129" s="90"/>
      <c r="M129" s="90"/>
      <c r="N129" s="90"/>
      <c r="P129" s="90">
        <f t="shared" si="9"/>
        <v>1.4</v>
      </c>
      <c r="Q129" s="90">
        <f>SUM($B129:E129)</f>
        <v>0.22600000000000001</v>
      </c>
      <c r="R129" s="89"/>
      <c r="AH129" s="90">
        <f t="shared" si="10"/>
        <v>0</v>
      </c>
      <c r="AI129" s="90">
        <f t="shared" si="11"/>
        <v>0</v>
      </c>
      <c r="AJ129" s="89"/>
      <c r="AK129" s="88" t="s">
        <v>218</v>
      </c>
      <c r="AL129" s="90"/>
      <c r="AM129" s="90">
        <v>1.117</v>
      </c>
      <c r="AN129" s="90">
        <v>0.624</v>
      </c>
      <c r="AO129" s="90"/>
      <c r="AP129" s="90"/>
      <c r="AQ129" s="90"/>
      <c r="AR129" s="90"/>
      <c r="AS129" s="90"/>
      <c r="AT129" s="90">
        <v>1</v>
      </c>
      <c r="AU129" s="90"/>
      <c r="AV129" s="90"/>
      <c r="AW129" s="90"/>
      <c r="AX129" s="90"/>
      <c r="AY129" s="90"/>
      <c r="AZ129" s="90">
        <f t="shared" si="12"/>
        <v>1</v>
      </c>
      <c r="BA129" s="90">
        <f>ROUND(AZ129*IFERROR(VLOOKUP($AK129,'3121% SY'!$A$2:$M$324,13,FALSE),0),3)</f>
        <v>0.30299999999999999</v>
      </c>
      <c r="BB129" s="90">
        <f t="shared" si="13"/>
        <v>1.7410000000000001</v>
      </c>
      <c r="BC129" s="90">
        <f>ROUND(BB129*IFERROR(VLOOKUP($AK129,'3121% SY'!$A$2:$M$324,13,FALSE),0),3)</f>
        <v>0.52700000000000002</v>
      </c>
    </row>
    <row r="130" spans="1:55" x14ac:dyDescent="0.25">
      <c r="A130" s="88" t="s">
        <v>140</v>
      </c>
      <c r="B130" s="90"/>
      <c r="C130" s="90"/>
      <c r="D130" s="90">
        <v>0.121</v>
      </c>
      <c r="E130" s="90"/>
      <c r="F130" s="90">
        <v>1.06</v>
      </c>
      <c r="G130" s="90"/>
      <c r="H130" s="90"/>
      <c r="I130" s="90"/>
      <c r="J130" s="90"/>
      <c r="K130" s="90"/>
      <c r="L130" s="90"/>
      <c r="M130" s="90"/>
      <c r="N130" s="90"/>
      <c r="P130" s="90">
        <f t="shared" si="9"/>
        <v>1.06</v>
      </c>
      <c r="Q130" s="90">
        <f>SUM($B130:E130)</f>
        <v>0.121</v>
      </c>
      <c r="R130" s="89"/>
      <c r="AH130" s="90">
        <f t="shared" si="10"/>
        <v>0</v>
      </c>
      <c r="AI130" s="90">
        <f t="shared" si="11"/>
        <v>0</v>
      </c>
      <c r="AJ130" s="89"/>
      <c r="AK130" s="88" t="s">
        <v>220</v>
      </c>
      <c r="AL130" s="90"/>
      <c r="AM130" s="90"/>
      <c r="AN130" s="90">
        <v>3.0009999999999999</v>
      </c>
      <c r="AO130" s="90"/>
      <c r="AP130" s="90"/>
      <c r="AQ130" s="90"/>
      <c r="AR130" s="90">
        <v>0.251</v>
      </c>
      <c r="AS130" s="90"/>
      <c r="AT130" s="90">
        <v>1.3009999999999999</v>
      </c>
      <c r="AU130" s="90"/>
      <c r="AV130" s="90"/>
      <c r="AW130" s="90">
        <v>0.111</v>
      </c>
      <c r="AX130" s="90"/>
      <c r="AY130" s="90">
        <v>1.673</v>
      </c>
      <c r="AZ130" s="90">
        <f t="shared" si="12"/>
        <v>3.3360000000000003</v>
      </c>
      <c r="BA130" s="90">
        <f>ROUND(AZ130*IFERROR(VLOOKUP($AK130,'3121% SY'!$A$2:$M$324,13,FALSE),0),3)</f>
        <v>0.68400000000000005</v>
      </c>
      <c r="BB130" s="90">
        <f t="shared" si="13"/>
        <v>3.0009999999999999</v>
      </c>
      <c r="BC130" s="90">
        <f>ROUND(BB130*IFERROR(VLOOKUP($AK130,'3121% SY'!$A$2:$M$324,13,FALSE),0),3)</f>
        <v>0.61599999999999999</v>
      </c>
    </row>
    <row r="131" spans="1:55" x14ac:dyDescent="0.25">
      <c r="A131" s="88" t="s">
        <v>141</v>
      </c>
      <c r="B131" s="90"/>
      <c r="C131" s="90"/>
      <c r="D131" s="90"/>
      <c r="E131" s="90"/>
      <c r="F131" s="90">
        <v>0.5</v>
      </c>
      <c r="G131" s="90"/>
      <c r="H131" s="90"/>
      <c r="I131" s="90"/>
      <c r="J131" s="90"/>
      <c r="K131" s="90">
        <v>6.8000000000000005E-2</v>
      </c>
      <c r="L131" s="90"/>
      <c r="M131" s="90"/>
      <c r="N131" s="90"/>
      <c r="P131" s="90">
        <f t="shared" si="9"/>
        <v>0.56800000000000006</v>
      </c>
      <c r="Q131" s="90">
        <f>SUM($B131:E131)</f>
        <v>0</v>
      </c>
      <c r="R131" s="89"/>
      <c r="AH131" s="90">
        <f t="shared" si="10"/>
        <v>0</v>
      </c>
      <c r="AI131" s="90">
        <f t="shared" si="11"/>
        <v>0</v>
      </c>
      <c r="AJ131" s="89"/>
      <c r="AK131" s="88" t="s">
        <v>221</v>
      </c>
      <c r="AL131" s="90"/>
      <c r="AM131" s="90"/>
      <c r="AN131" s="90">
        <v>0.63900000000000001</v>
      </c>
      <c r="AO131" s="90"/>
      <c r="AP131" s="90"/>
      <c r="AQ131" s="90"/>
      <c r="AR131" s="90">
        <v>1.75</v>
      </c>
      <c r="AS131" s="90"/>
      <c r="AT131" s="90">
        <v>5.6289999999999996</v>
      </c>
      <c r="AU131" s="90">
        <v>3.08</v>
      </c>
      <c r="AV131" s="90"/>
      <c r="AW131" s="90">
        <v>0.7</v>
      </c>
      <c r="AX131" s="90"/>
      <c r="AY131" s="90"/>
      <c r="AZ131" s="90">
        <f t="shared" si="12"/>
        <v>11.158999999999999</v>
      </c>
      <c r="BA131" s="90">
        <f>ROUND(AZ131*IFERROR(VLOOKUP($AK131,'3121% SY'!$A$2:$M$324,13,FALSE),0),3)</f>
        <v>2.58</v>
      </c>
      <c r="BB131" s="90">
        <f t="shared" si="13"/>
        <v>0.63900000000000001</v>
      </c>
      <c r="BC131" s="90">
        <f>ROUND(BB131*IFERROR(VLOOKUP($AK131,'3121% SY'!$A$2:$M$324,13,FALSE),0),3)</f>
        <v>0.14799999999999999</v>
      </c>
    </row>
    <row r="132" spans="1:55" x14ac:dyDescent="0.25">
      <c r="A132" s="88" t="s">
        <v>142</v>
      </c>
      <c r="B132" s="90"/>
      <c r="C132" s="90">
        <v>0.73199999999999998</v>
      </c>
      <c r="D132" s="90">
        <v>0.46500000000000002</v>
      </c>
      <c r="E132" s="90"/>
      <c r="F132" s="90">
        <v>1</v>
      </c>
      <c r="G132" s="90"/>
      <c r="H132" s="90"/>
      <c r="I132" s="90"/>
      <c r="J132" s="90"/>
      <c r="K132" s="90"/>
      <c r="L132" s="90"/>
      <c r="M132" s="90"/>
      <c r="N132" s="90"/>
      <c r="P132" s="90">
        <f t="shared" si="9"/>
        <v>1</v>
      </c>
      <c r="Q132" s="90">
        <f>SUM($B132:E132)</f>
        <v>1.1970000000000001</v>
      </c>
      <c r="R132" s="89"/>
      <c r="AH132" s="90">
        <f t="shared" si="10"/>
        <v>0</v>
      </c>
      <c r="AI132" s="90">
        <f t="shared" si="11"/>
        <v>0</v>
      </c>
      <c r="AJ132" s="89"/>
      <c r="AK132" s="88" t="s">
        <v>222</v>
      </c>
      <c r="AL132" s="90"/>
      <c r="AM132" s="90">
        <v>0.114</v>
      </c>
      <c r="AN132" s="90">
        <v>1.1659999999999999</v>
      </c>
      <c r="AO132" s="90"/>
      <c r="AP132" s="90"/>
      <c r="AQ132" s="90"/>
      <c r="AR132" s="90"/>
      <c r="AS132" s="90"/>
      <c r="AT132" s="90">
        <v>0.20499999999999999</v>
      </c>
      <c r="AU132" s="90"/>
      <c r="AV132" s="90"/>
      <c r="AW132" s="90"/>
      <c r="AX132" s="90"/>
      <c r="AY132" s="90"/>
      <c r="AZ132" s="90">
        <f t="shared" si="12"/>
        <v>0.20499999999999999</v>
      </c>
      <c r="BA132" s="90">
        <f>ROUND(AZ132*IFERROR(VLOOKUP($AK132,'3121% SY'!$A$2:$M$324,13,FALSE),0),3)</f>
        <v>5.6000000000000001E-2</v>
      </c>
      <c r="BB132" s="90">
        <f t="shared" si="13"/>
        <v>1.28</v>
      </c>
      <c r="BC132" s="90">
        <f>ROUND(BB132*IFERROR(VLOOKUP($AK132,'3121% SY'!$A$2:$M$324,13,FALSE),0),3)</f>
        <v>0.34899999999999998</v>
      </c>
    </row>
    <row r="133" spans="1:55" x14ac:dyDescent="0.25">
      <c r="A133" s="88" t="s">
        <v>143</v>
      </c>
      <c r="B133" s="90"/>
      <c r="C133" s="90"/>
      <c r="D133" s="90"/>
      <c r="E133" s="90"/>
      <c r="F133" s="90">
        <v>1.05</v>
      </c>
      <c r="G133" s="90"/>
      <c r="H133" s="90"/>
      <c r="I133" s="90"/>
      <c r="J133" s="90"/>
      <c r="K133" s="90"/>
      <c r="L133" s="90"/>
      <c r="M133" s="90"/>
      <c r="N133" s="90"/>
      <c r="P133" s="90">
        <f t="shared" si="9"/>
        <v>1.05</v>
      </c>
      <c r="Q133" s="90">
        <f>SUM($B133:E133)</f>
        <v>0</v>
      </c>
      <c r="R133" s="89"/>
      <c r="AH133" s="90">
        <f t="shared" si="10"/>
        <v>0</v>
      </c>
      <c r="AI133" s="90">
        <f t="shared" si="11"/>
        <v>0</v>
      </c>
      <c r="AJ133" s="89"/>
      <c r="AK133" s="88" t="s">
        <v>223</v>
      </c>
      <c r="AL133" s="90"/>
      <c r="AM133" s="90"/>
      <c r="AN133" s="90"/>
      <c r="AO133" s="90"/>
      <c r="AP133" s="90"/>
      <c r="AQ133" s="90"/>
      <c r="AR133" s="90"/>
      <c r="AS133" s="90"/>
      <c r="AT133" s="90">
        <v>1</v>
      </c>
      <c r="AU133" s="90">
        <v>0.156</v>
      </c>
      <c r="AV133" s="90"/>
      <c r="AW133" s="90"/>
      <c r="AX133" s="90"/>
      <c r="AY133" s="90"/>
      <c r="AZ133" s="90">
        <f t="shared" si="12"/>
        <v>1.1559999999999999</v>
      </c>
      <c r="BA133" s="90">
        <f>ROUND(AZ133*IFERROR(VLOOKUP($AK133,'3121% SY'!$A$2:$M$324,13,FALSE),0),3)</f>
        <v>0.34899999999999998</v>
      </c>
      <c r="BB133" s="90">
        <f t="shared" si="13"/>
        <v>0</v>
      </c>
      <c r="BC133" s="90">
        <f>ROUND(BB133*IFERROR(VLOOKUP($AK133,'3121% SY'!$A$2:$M$324,13,FALSE),0),3)</f>
        <v>0</v>
      </c>
    </row>
    <row r="134" spans="1:55" x14ac:dyDescent="0.25">
      <c r="A134" s="88" t="s">
        <v>144</v>
      </c>
      <c r="B134" s="90"/>
      <c r="C134" s="90"/>
      <c r="D134" s="90">
        <v>6.2E-2</v>
      </c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P134" s="90">
        <f t="shared" si="9"/>
        <v>0</v>
      </c>
      <c r="Q134" s="90">
        <f>SUM($B134:E134)</f>
        <v>6.2E-2</v>
      </c>
      <c r="R134" s="89"/>
      <c r="AH134" s="90">
        <f t="shared" si="10"/>
        <v>0</v>
      </c>
      <c r="AI134" s="90">
        <f t="shared" si="11"/>
        <v>0</v>
      </c>
      <c r="AJ134" s="89"/>
      <c r="AK134" s="88" t="s">
        <v>224</v>
      </c>
      <c r="AL134" s="90"/>
      <c r="AM134" s="90"/>
      <c r="AN134" s="90">
        <v>0.74</v>
      </c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>
        <f t="shared" si="12"/>
        <v>0</v>
      </c>
      <c r="BA134" s="90">
        <f>ROUND(AZ134*IFERROR(VLOOKUP($AK134,'3121% SY'!$A$2:$M$324,13,FALSE),0),3)</f>
        <v>0</v>
      </c>
      <c r="BB134" s="90">
        <f t="shared" si="13"/>
        <v>0.74</v>
      </c>
      <c r="BC134" s="90">
        <f>ROUND(BB134*IFERROR(VLOOKUP($AK134,'3121% SY'!$A$2:$M$324,13,FALSE),0),3)</f>
        <v>0.121</v>
      </c>
    </row>
    <row r="135" spans="1:55" x14ac:dyDescent="0.25">
      <c r="A135" s="88" t="s">
        <v>145</v>
      </c>
      <c r="B135" s="90"/>
      <c r="C135" s="90">
        <v>1.0069999999999999</v>
      </c>
      <c r="D135" s="90"/>
      <c r="E135" s="90"/>
      <c r="F135" s="90">
        <v>0.81399999999999995</v>
      </c>
      <c r="G135" s="90"/>
      <c r="H135" s="90"/>
      <c r="I135" s="90"/>
      <c r="J135" s="90"/>
      <c r="K135" s="90"/>
      <c r="L135" s="90"/>
      <c r="M135" s="90"/>
      <c r="N135" s="90"/>
      <c r="P135" s="90">
        <f t="shared" ref="P135:P198" si="14">SUM(F135:O135)</f>
        <v>0.81399999999999995</v>
      </c>
      <c r="Q135" s="90">
        <f>SUM($B135:E135)</f>
        <v>1.0069999999999999</v>
      </c>
      <c r="R135" s="89"/>
      <c r="AH135" s="90">
        <f t="shared" ref="AH135:AH198" si="15">SUM(X135:AG135)</f>
        <v>0</v>
      </c>
      <c r="AI135" s="90">
        <f t="shared" ref="AI135:AI198" si="16">SUM(T135:W135)</f>
        <v>0</v>
      </c>
      <c r="AJ135" s="89"/>
      <c r="AK135" s="88" t="s">
        <v>225</v>
      </c>
      <c r="AL135" s="90"/>
      <c r="AM135" s="90">
        <v>0.80900000000000005</v>
      </c>
      <c r="AN135" s="90">
        <v>2.278</v>
      </c>
      <c r="AO135" s="90"/>
      <c r="AP135" s="90"/>
      <c r="AQ135" s="90"/>
      <c r="AR135" s="90"/>
      <c r="AS135" s="90"/>
      <c r="AT135" s="90"/>
      <c r="AU135" s="90">
        <v>1</v>
      </c>
      <c r="AV135" s="90">
        <v>2.2240000000000002</v>
      </c>
      <c r="AW135" s="90"/>
      <c r="AX135" s="90"/>
      <c r="AY135" s="90"/>
      <c r="AZ135" s="90">
        <f t="shared" ref="AZ135:AZ198" si="17">SUM(AP135:AY135)</f>
        <v>3.2240000000000002</v>
      </c>
      <c r="BA135" s="90">
        <f>ROUND(AZ135*IFERROR(VLOOKUP($AK135,'3121% SY'!$A$2:$M$324,13,FALSE),0),3)</f>
        <v>0.88</v>
      </c>
      <c r="BB135" s="90">
        <f t="shared" ref="BB135:BB198" si="18">SUM(AL135:AO135)</f>
        <v>3.0870000000000002</v>
      </c>
      <c r="BC135" s="90">
        <f>ROUND(BB135*IFERROR(VLOOKUP($AK135,'3121% SY'!$A$2:$M$324,13,FALSE),0),3)</f>
        <v>0.84299999999999997</v>
      </c>
    </row>
    <row r="136" spans="1:55" x14ac:dyDescent="0.25">
      <c r="A136" s="88" t="s">
        <v>146</v>
      </c>
      <c r="B136" s="90"/>
      <c r="C136" s="90"/>
      <c r="D136" s="90">
        <v>0.13200000000000001</v>
      </c>
      <c r="E136" s="90"/>
      <c r="F136" s="90">
        <v>1.151</v>
      </c>
      <c r="G136" s="90"/>
      <c r="H136" s="90"/>
      <c r="I136" s="90"/>
      <c r="J136" s="90"/>
      <c r="K136" s="90"/>
      <c r="L136" s="90"/>
      <c r="M136" s="90"/>
      <c r="N136" s="90"/>
      <c r="P136" s="90">
        <f t="shared" si="14"/>
        <v>1.151</v>
      </c>
      <c r="Q136" s="90">
        <f>SUM($B136:E136)</f>
        <v>0.13200000000000001</v>
      </c>
      <c r="R136" s="89"/>
      <c r="AH136" s="90">
        <f t="shared" si="15"/>
        <v>0</v>
      </c>
      <c r="AI136" s="90">
        <f t="shared" si="16"/>
        <v>0</v>
      </c>
      <c r="AJ136" s="89"/>
      <c r="AK136" s="88" t="s">
        <v>226</v>
      </c>
      <c r="AL136" s="90"/>
      <c r="AM136" s="90"/>
      <c r="AN136" s="90">
        <v>1.714</v>
      </c>
      <c r="AO136" s="90"/>
      <c r="AP136" s="90"/>
      <c r="AQ136" s="90"/>
      <c r="AR136" s="90"/>
      <c r="AS136" s="90"/>
      <c r="AT136" s="90"/>
      <c r="AU136" s="90">
        <v>2</v>
      </c>
      <c r="AV136" s="90"/>
      <c r="AW136" s="90"/>
      <c r="AX136" s="90"/>
      <c r="AY136" s="90"/>
      <c r="AZ136" s="90">
        <f t="shared" si="17"/>
        <v>2</v>
      </c>
      <c r="BA136" s="90">
        <f>ROUND(AZ136*IFERROR(VLOOKUP($AK136,'3121% SY'!$A$2:$M$324,13,FALSE),0),3)</f>
        <v>0.46</v>
      </c>
      <c r="BB136" s="90">
        <f t="shared" si="18"/>
        <v>1.714</v>
      </c>
      <c r="BC136" s="90">
        <f>ROUND(BB136*IFERROR(VLOOKUP($AK136,'3121% SY'!$A$2:$M$324,13,FALSE),0),3)</f>
        <v>0.39400000000000002</v>
      </c>
    </row>
    <row r="137" spans="1:55" x14ac:dyDescent="0.25">
      <c r="A137" s="88" t="s">
        <v>147</v>
      </c>
      <c r="B137" s="90"/>
      <c r="C137" s="90"/>
      <c r="D137" s="90"/>
      <c r="E137" s="90"/>
      <c r="F137" s="90">
        <v>0.67</v>
      </c>
      <c r="G137" s="90"/>
      <c r="H137" s="90"/>
      <c r="I137" s="90"/>
      <c r="J137" s="90"/>
      <c r="K137" s="90"/>
      <c r="L137" s="90"/>
      <c r="M137" s="90"/>
      <c r="N137" s="90"/>
      <c r="P137" s="90">
        <f t="shared" si="14"/>
        <v>0.67</v>
      </c>
      <c r="Q137" s="90">
        <f>SUM($B137:E137)</f>
        <v>0</v>
      </c>
      <c r="R137" s="89"/>
      <c r="AH137" s="90">
        <f t="shared" si="15"/>
        <v>0</v>
      </c>
      <c r="AI137" s="90">
        <f t="shared" si="16"/>
        <v>0</v>
      </c>
      <c r="AJ137" s="89"/>
      <c r="AK137" s="88" t="s">
        <v>1</v>
      </c>
      <c r="AL137" s="90"/>
      <c r="AM137" s="90"/>
      <c r="AN137" s="90">
        <v>8.7789999999999999</v>
      </c>
      <c r="AO137" s="90"/>
      <c r="AP137" s="90">
        <v>1.4750000000000001</v>
      </c>
      <c r="AQ137" s="90"/>
      <c r="AR137" s="90">
        <v>4.1859999999999999</v>
      </c>
      <c r="AS137" s="90"/>
      <c r="AT137" s="90">
        <v>0.45800000000000002</v>
      </c>
      <c r="AU137" s="90">
        <v>6.383</v>
      </c>
      <c r="AV137" s="90">
        <v>0.10299999999999999</v>
      </c>
      <c r="AW137" s="90">
        <v>2.149</v>
      </c>
      <c r="AX137" s="90"/>
      <c r="AY137" s="90"/>
      <c r="AZ137" s="90">
        <f t="shared" si="17"/>
        <v>14.753999999999998</v>
      </c>
      <c r="BA137" s="90">
        <f>ROUND(AZ137*IFERROR(VLOOKUP($AK137,'3121% SY'!$A$2:$M$324,13,FALSE),0),3)</f>
        <v>3.5840000000000001</v>
      </c>
      <c r="BB137" s="90">
        <f t="shared" si="18"/>
        <v>8.7789999999999999</v>
      </c>
      <c r="BC137" s="90">
        <f>ROUND(BB137*IFERROR(VLOOKUP($AK137,'3121% SY'!$A$2:$M$324,13,FALSE),0),3)</f>
        <v>2.1320000000000001</v>
      </c>
    </row>
    <row r="138" spans="1:55" x14ac:dyDescent="0.25">
      <c r="A138" s="88" t="s">
        <v>148</v>
      </c>
      <c r="B138" s="90">
        <v>1.242</v>
      </c>
      <c r="C138" s="90">
        <v>3.9470000000000001</v>
      </c>
      <c r="D138" s="90">
        <v>2.113</v>
      </c>
      <c r="E138" s="90"/>
      <c r="F138" s="90">
        <v>2.25</v>
      </c>
      <c r="G138" s="90"/>
      <c r="H138" s="90"/>
      <c r="I138" s="90"/>
      <c r="J138" s="90"/>
      <c r="K138" s="90">
        <v>0.75</v>
      </c>
      <c r="L138" s="90"/>
      <c r="M138" s="90"/>
      <c r="N138" s="90"/>
      <c r="P138" s="90">
        <f t="shared" si="14"/>
        <v>3</v>
      </c>
      <c r="Q138" s="90">
        <f>SUM($B138:E138)</f>
        <v>7.3019999999999996</v>
      </c>
      <c r="R138" s="89"/>
      <c r="AH138" s="90">
        <f t="shared" si="15"/>
        <v>0</v>
      </c>
      <c r="AI138" s="90">
        <f t="shared" si="16"/>
        <v>0</v>
      </c>
      <c r="AJ138" s="89"/>
      <c r="AK138" s="88" t="s">
        <v>230</v>
      </c>
      <c r="AL138" s="90"/>
      <c r="AM138" s="90"/>
      <c r="AN138" s="90">
        <v>0.68500000000000005</v>
      </c>
      <c r="AO138" s="90"/>
      <c r="AP138" s="90"/>
      <c r="AQ138" s="90"/>
      <c r="AR138" s="90"/>
      <c r="AS138" s="90"/>
      <c r="AT138" s="90"/>
      <c r="AU138" s="90">
        <v>0.92</v>
      </c>
      <c r="AV138" s="90"/>
      <c r="AW138" s="90"/>
      <c r="AX138" s="90"/>
      <c r="AY138" s="90"/>
      <c r="AZ138" s="90">
        <f t="shared" si="17"/>
        <v>0.92</v>
      </c>
      <c r="BA138" s="90">
        <f>ROUND(AZ138*IFERROR(VLOOKUP($AK138,'3121% SY'!$A$2:$M$324,13,FALSE),0),3)</f>
        <v>0.16200000000000001</v>
      </c>
      <c r="BB138" s="90">
        <f t="shared" si="18"/>
        <v>0.68500000000000005</v>
      </c>
      <c r="BC138" s="90">
        <f>ROUND(BB138*IFERROR(VLOOKUP($AK138,'3121% SY'!$A$2:$M$324,13,FALSE),0),3)</f>
        <v>0.121</v>
      </c>
    </row>
    <row r="139" spans="1:55" x14ac:dyDescent="0.25">
      <c r="A139" s="88" t="s">
        <v>149</v>
      </c>
      <c r="B139" s="90"/>
      <c r="C139" s="90">
        <v>0.372</v>
      </c>
      <c r="D139" s="90"/>
      <c r="E139" s="90"/>
      <c r="F139" s="90">
        <v>0.38700000000000001</v>
      </c>
      <c r="G139" s="90"/>
      <c r="H139" s="90"/>
      <c r="I139" s="90"/>
      <c r="J139" s="90"/>
      <c r="K139" s="90">
        <v>8.1000000000000003E-2</v>
      </c>
      <c r="L139" s="90"/>
      <c r="M139" s="90"/>
      <c r="N139" s="90"/>
      <c r="P139" s="90">
        <f t="shared" si="14"/>
        <v>0.46800000000000003</v>
      </c>
      <c r="Q139" s="90">
        <f>SUM($B139:E139)</f>
        <v>0.372</v>
      </c>
      <c r="R139" s="89"/>
      <c r="AH139" s="90">
        <f t="shared" si="15"/>
        <v>0</v>
      </c>
      <c r="AI139" s="90">
        <f t="shared" si="16"/>
        <v>0</v>
      </c>
      <c r="AJ139" s="89"/>
      <c r="AK139" s="88" t="s">
        <v>231</v>
      </c>
      <c r="AL139" s="90"/>
      <c r="AM139" s="90"/>
      <c r="AN139" s="90">
        <v>4.085</v>
      </c>
      <c r="AO139" s="90"/>
      <c r="AP139" s="90"/>
      <c r="AQ139" s="90"/>
      <c r="AR139" s="90">
        <v>0.91100000000000003</v>
      </c>
      <c r="AS139" s="90"/>
      <c r="AT139" s="90">
        <v>2.2000000000000002</v>
      </c>
      <c r="AU139" s="90">
        <v>3.8849999999999998</v>
      </c>
      <c r="AV139" s="90"/>
      <c r="AW139" s="90">
        <v>0.41599999999999998</v>
      </c>
      <c r="AX139" s="90"/>
      <c r="AY139" s="90"/>
      <c r="AZ139" s="90">
        <f t="shared" si="17"/>
        <v>7.4120000000000008</v>
      </c>
      <c r="BA139" s="90">
        <f>ROUND(AZ139*IFERROR(VLOOKUP($AK139,'3121% SY'!$A$2:$M$324,13,FALSE),0),3)</f>
        <v>2.1219999999999999</v>
      </c>
      <c r="BB139" s="90">
        <f t="shared" si="18"/>
        <v>4.085</v>
      </c>
      <c r="BC139" s="90">
        <f>ROUND(BB139*IFERROR(VLOOKUP($AK139,'3121% SY'!$A$2:$M$324,13,FALSE),0),3)</f>
        <v>1.17</v>
      </c>
    </row>
    <row r="140" spans="1:55" x14ac:dyDescent="0.25">
      <c r="A140" s="88" t="s">
        <v>150</v>
      </c>
      <c r="B140" s="90"/>
      <c r="C140" s="90">
        <v>0.75800000000000001</v>
      </c>
      <c r="D140" s="90">
        <v>3.718</v>
      </c>
      <c r="E140" s="90"/>
      <c r="F140" s="90">
        <v>3</v>
      </c>
      <c r="G140" s="90"/>
      <c r="H140" s="90"/>
      <c r="I140" s="90"/>
      <c r="J140" s="90"/>
      <c r="K140" s="90"/>
      <c r="L140" s="90"/>
      <c r="M140" s="90"/>
      <c r="N140" s="90"/>
      <c r="P140" s="90">
        <f t="shared" si="14"/>
        <v>3</v>
      </c>
      <c r="Q140" s="90">
        <f>SUM($B140:E140)</f>
        <v>4.476</v>
      </c>
      <c r="R140" s="89"/>
      <c r="AH140" s="90">
        <f t="shared" si="15"/>
        <v>0</v>
      </c>
      <c r="AI140" s="90">
        <f t="shared" si="16"/>
        <v>0</v>
      </c>
      <c r="AJ140" s="89"/>
      <c r="AK140" s="88" t="s">
        <v>232</v>
      </c>
      <c r="AL140" s="90"/>
      <c r="AM140" s="90"/>
      <c r="AN140" s="90">
        <v>1.304</v>
      </c>
      <c r="AO140" s="90"/>
      <c r="AP140" s="90">
        <v>0.5</v>
      </c>
      <c r="AQ140" s="90"/>
      <c r="AR140" s="90">
        <v>3.15</v>
      </c>
      <c r="AS140" s="90"/>
      <c r="AT140" s="90">
        <v>1.5</v>
      </c>
      <c r="AU140" s="90">
        <v>3.33</v>
      </c>
      <c r="AV140" s="90"/>
      <c r="AW140" s="90">
        <v>1.3</v>
      </c>
      <c r="AX140" s="90"/>
      <c r="AY140" s="90"/>
      <c r="AZ140" s="90">
        <f t="shared" si="17"/>
        <v>9.7800000000000011</v>
      </c>
      <c r="BA140" s="90">
        <f>ROUND(AZ140*IFERROR(VLOOKUP($AK140,'3121% SY'!$A$2:$M$324,13,FALSE),0),3)</f>
        <v>3.4140000000000001</v>
      </c>
      <c r="BB140" s="90">
        <f t="shared" si="18"/>
        <v>1.304</v>
      </c>
      <c r="BC140" s="90">
        <f>ROUND(BB140*IFERROR(VLOOKUP($AK140,'3121% SY'!$A$2:$M$324,13,FALSE),0),3)</f>
        <v>0.45500000000000002</v>
      </c>
    </row>
    <row r="141" spans="1:55" x14ac:dyDescent="0.25">
      <c r="A141" s="88" t="s">
        <v>151</v>
      </c>
      <c r="B141" s="90"/>
      <c r="C141" s="90"/>
      <c r="D141" s="90"/>
      <c r="E141" s="90"/>
      <c r="F141" s="90">
        <v>0.5</v>
      </c>
      <c r="G141" s="90"/>
      <c r="H141" s="90"/>
      <c r="I141" s="90"/>
      <c r="J141" s="90"/>
      <c r="K141" s="90"/>
      <c r="L141" s="90"/>
      <c r="M141" s="90"/>
      <c r="N141" s="90"/>
      <c r="P141" s="90">
        <f t="shared" si="14"/>
        <v>0.5</v>
      </c>
      <c r="Q141" s="90">
        <f>SUM($B141:E141)</f>
        <v>0</v>
      </c>
      <c r="R141" s="89"/>
      <c r="AH141" s="90">
        <f t="shared" si="15"/>
        <v>0</v>
      </c>
      <c r="AI141" s="90">
        <f t="shared" si="16"/>
        <v>0</v>
      </c>
      <c r="AJ141" s="89"/>
      <c r="AK141" s="88" t="s">
        <v>233</v>
      </c>
      <c r="AL141" s="90"/>
      <c r="AM141" s="90"/>
      <c r="AN141" s="90"/>
      <c r="AO141" s="90"/>
      <c r="AP141" s="90"/>
      <c r="AQ141" s="90"/>
      <c r="AR141" s="90"/>
      <c r="AS141" s="90"/>
      <c r="AT141" s="90"/>
      <c r="AU141" s="90">
        <v>0.70599999999999996</v>
      </c>
      <c r="AV141" s="90"/>
      <c r="AW141" s="90"/>
      <c r="AX141" s="90"/>
      <c r="AY141" s="90">
        <v>0.14299999999999999</v>
      </c>
      <c r="AZ141" s="90">
        <f t="shared" si="17"/>
        <v>0.84899999999999998</v>
      </c>
      <c r="BA141" s="90">
        <f>ROUND(AZ141*IFERROR(VLOOKUP($AK141,'3121% SY'!$A$2:$M$324,13,FALSE),0),3)</f>
        <v>0.17</v>
      </c>
      <c r="BB141" s="90">
        <f t="shared" si="18"/>
        <v>0</v>
      </c>
      <c r="BC141" s="90">
        <f>ROUND(BB141*IFERROR(VLOOKUP($AK141,'3121% SY'!$A$2:$M$324,13,FALSE),0),3)</f>
        <v>0</v>
      </c>
    </row>
    <row r="142" spans="1:55" x14ac:dyDescent="0.25">
      <c r="A142" s="88" t="s">
        <v>152</v>
      </c>
      <c r="B142" s="90"/>
      <c r="C142" s="90">
        <v>0.40400000000000003</v>
      </c>
      <c r="D142" s="90">
        <v>0.39800000000000002</v>
      </c>
      <c r="E142" s="90"/>
      <c r="F142" s="90">
        <v>0.75</v>
      </c>
      <c r="G142" s="90"/>
      <c r="H142" s="90"/>
      <c r="I142" s="90"/>
      <c r="J142" s="90"/>
      <c r="K142" s="90"/>
      <c r="L142" s="90"/>
      <c r="M142" s="90"/>
      <c r="N142" s="90"/>
      <c r="P142" s="90">
        <f t="shared" si="14"/>
        <v>0.75</v>
      </c>
      <c r="Q142" s="90">
        <f>SUM($B142:E142)</f>
        <v>0.80200000000000005</v>
      </c>
      <c r="R142" s="89"/>
      <c r="AH142" s="90">
        <f t="shared" si="15"/>
        <v>0</v>
      </c>
      <c r="AI142" s="90">
        <f t="shared" si="16"/>
        <v>0</v>
      </c>
      <c r="AJ142" s="89"/>
      <c r="AK142" s="88" t="s">
        <v>234</v>
      </c>
      <c r="AL142" s="90"/>
      <c r="AM142" s="90">
        <v>2.42</v>
      </c>
      <c r="AN142" s="90"/>
      <c r="AO142" s="90"/>
      <c r="AP142" s="90"/>
      <c r="AQ142" s="90"/>
      <c r="AR142" s="90"/>
      <c r="AS142" s="90"/>
      <c r="AT142" s="90">
        <v>0.7</v>
      </c>
      <c r="AU142" s="90">
        <v>0.4</v>
      </c>
      <c r="AV142" s="90"/>
      <c r="AW142" s="90"/>
      <c r="AX142" s="90"/>
      <c r="AY142" s="90"/>
      <c r="AZ142" s="90">
        <f t="shared" si="17"/>
        <v>1.1000000000000001</v>
      </c>
      <c r="BA142" s="90">
        <f>ROUND(AZ142*IFERROR(VLOOKUP($AK142,'3121% SY'!$A$2:$M$324,13,FALSE),0),3)</f>
        <v>0.22600000000000001</v>
      </c>
      <c r="BB142" s="90">
        <f t="shared" si="18"/>
        <v>2.42</v>
      </c>
      <c r="BC142" s="90">
        <f>ROUND(BB142*IFERROR(VLOOKUP($AK142,'3121% SY'!$A$2:$M$324,13,FALSE),0),3)</f>
        <v>0.498</v>
      </c>
    </row>
    <row r="143" spans="1:55" x14ac:dyDescent="0.25">
      <c r="A143" s="88" t="s">
        <v>153</v>
      </c>
      <c r="B143" s="90"/>
      <c r="C143" s="90">
        <v>0.14399999999999999</v>
      </c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P143" s="90">
        <f t="shared" si="14"/>
        <v>0</v>
      </c>
      <c r="Q143" s="90">
        <f>SUM($B143:E143)</f>
        <v>0.14399999999999999</v>
      </c>
      <c r="R143" s="89"/>
      <c r="AH143" s="90">
        <f t="shared" si="15"/>
        <v>0</v>
      </c>
      <c r="AI143" s="90">
        <f t="shared" si="16"/>
        <v>0</v>
      </c>
      <c r="AJ143" s="89"/>
      <c r="AK143" s="88" t="s">
        <v>235</v>
      </c>
      <c r="AL143" s="90"/>
      <c r="AM143" s="90">
        <v>3.45</v>
      </c>
      <c r="AN143" s="90">
        <v>0.64300000000000002</v>
      </c>
      <c r="AO143" s="90"/>
      <c r="AP143" s="90"/>
      <c r="AQ143" s="90"/>
      <c r="AR143" s="90"/>
      <c r="AS143" s="90"/>
      <c r="AT143" s="90">
        <v>0.499</v>
      </c>
      <c r="AU143" s="90">
        <v>1</v>
      </c>
      <c r="AV143" s="90"/>
      <c r="AW143" s="90"/>
      <c r="AX143" s="90"/>
      <c r="AY143" s="90"/>
      <c r="AZ143" s="90">
        <f t="shared" si="17"/>
        <v>1.4990000000000001</v>
      </c>
      <c r="BA143" s="90">
        <f>ROUND(AZ143*IFERROR(VLOOKUP($AK143,'3121% SY'!$A$2:$M$324,13,FALSE),0),3)</f>
        <v>0.47</v>
      </c>
      <c r="BB143" s="90">
        <f t="shared" si="18"/>
        <v>4.093</v>
      </c>
      <c r="BC143" s="90">
        <f>ROUND(BB143*IFERROR(VLOOKUP($AK143,'3121% SY'!$A$2:$M$324,13,FALSE),0),3)</f>
        <v>1.284</v>
      </c>
    </row>
    <row r="144" spans="1:55" x14ac:dyDescent="0.25">
      <c r="A144" s="88" t="s">
        <v>155</v>
      </c>
      <c r="B144" s="90"/>
      <c r="C144" s="90">
        <v>0.61099999999999999</v>
      </c>
      <c r="D144" s="90"/>
      <c r="E144" s="90"/>
      <c r="F144" s="90">
        <v>0.33100000000000002</v>
      </c>
      <c r="G144" s="90"/>
      <c r="H144" s="90"/>
      <c r="I144" s="90"/>
      <c r="J144" s="90"/>
      <c r="K144" s="90"/>
      <c r="L144" s="90"/>
      <c r="M144" s="90"/>
      <c r="N144" s="90"/>
      <c r="P144" s="90">
        <f t="shared" si="14"/>
        <v>0.33100000000000002</v>
      </c>
      <c r="Q144" s="90">
        <f>SUM($B144:E144)</f>
        <v>0.61099999999999999</v>
      </c>
      <c r="R144" s="89"/>
      <c r="AH144" s="90">
        <f t="shared" si="15"/>
        <v>0</v>
      </c>
      <c r="AI144" s="90">
        <f t="shared" si="16"/>
        <v>0</v>
      </c>
      <c r="AJ144" s="89"/>
      <c r="AK144" s="88" t="s">
        <v>236</v>
      </c>
      <c r="AL144" s="90"/>
      <c r="AM144" s="90"/>
      <c r="AN144" s="90"/>
      <c r="AO144" s="90"/>
      <c r="AP144" s="90"/>
      <c r="AQ144" s="90"/>
      <c r="AR144" s="90"/>
      <c r="AS144" s="90"/>
      <c r="AT144" s="90"/>
      <c r="AU144" s="90">
        <v>0.6</v>
      </c>
      <c r="AV144" s="90"/>
      <c r="AW144" s="90"/>
      <c r="AX144" s="90"/>
      <c r="AY144" s="90"/>
      <c r="AZ144" s="90">
        <f t="shared" si="17"/>
        <v>0.6</v>
      </c>
      <c r="BA144" s="90">
        <f>ROUND(AZ144*IFERROR(VLOOKUP($AK144,'3121% SY'!$A$2:$M$324,13,FALSE),0),3)</f>
        <v>0.16600000000000001</v>
      </c>
      <c r="BB144" s="90">
        <f t="shared" si="18"/>
        <v>0</v>
      </c>
      <c r="BC144" s="90">
        <f>ROUND(BB144*IFERROR(VLOOKUP($AK144,'3121% SY'!$A$2:$M$324,13,FALSE),0),3)</f>
        <v>0</v>
      </c>
    </row>
    <row r="145" spans="1:55" x14ac:dyDescent="0.25">
      <c r="A145" s="88" t="s">
        <v>156</v>
      </c>
      <c r="B145" s="90"/>
      <c r="C145" s="90"/>
      <c r="D145" s="90">
        <v>0.33900000000000002</v>
      </c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P145" s="90">
        <f t="shared" si="14"/>
        <v>0</v>
      </c>
      <c r="Q145" s="90">
        <f>SUM($B145:E145)</f>
        <v>0.33900000000000002</v>
      </c>
      <c r="R145" s="89"/>
      <c r="AH145" s="90">
        <f t="shared" si="15"/>
        <v>0</v>
      </c>
      <c r="AI145" s="90">
        <f t="shared" si="16"/>
        <v>0</v>
      </c>
      <c r="AJ145" s="89"/>
      <c r="AK145" s="88" t="s">
        <v>237</v>
      </c>
      <c r="AL145" s="90"/>
      <c r="AM145" s="90"/>
      <c r="AN145" s="90">
        <v>0.78900000000000003</v>
      </c>
      <c r="AO145" s="90"/>
      <c r="AP145" s="90"/>
      <c r="AQ145" s="90"/>
      <c r="AR145" s="90">
        <v>0.1</v>
      </c>
      <c r="AS145" s="90"/>
      <c r="AT145" s="90">
        <v>0.1</v>
      </c>
      <c r="AU145" s="90">
        <v>1.8</v>
      </c>
      <c r="AV145" s="90">
        <v>0.3</v>
      </c>
      <c r="AW145" s="90">
        <v>0.01</v>
      </c>
      <c r="AX145" s="90">
        <v>1.4999999999999999E-2</v>
      </c>
      <c r="AY145" s="90"/>
      <c r="AZ145" s="90">
        <f t="shared" si="17"/>
        <v>2.3249999999999997</v>
      </c>
      <c r="BA145" s="90">
        <f>ROUND(AZ145*IFERROR(VLOOKUP($AK145,'3121% SY'!$A$2:$M$324,13,FALSE),0),3)</f>
        <v>0.46899999999999997</v>
      </c>
      <c r="BB145" s="90">
        <f t="shared" si="18"/>
        <v>0.78900000000000003</v>
      </c>
      <c r="BC145" s="90">
        <f>ROUND(BB145*IFERROR(VLOOKUP($AK145,'3121% SY'!$A$2:$M$324,13,FALSE),0),3)</f>
        <v>0.159</v>
      </c>
    </row>
    <row r="146" spans="1:55" x14ac:dyDescent="0.25">
      <c r="A146" s="88" t="s">
        <v>157</v>
      </c>
      <c r="B146" s="90"/>
      <c r="C146" s="90"/>
      <c r="D146" s="90"/>
      <c r="E146" s="90"/>
      <c r="F146" s="90">
        <v>0.5</v>
      </c>
      <c r="G146" s="90"/>
      <c r="H146" s="90"/>
      <c r="I146" s="90"/>
      <c r="J146" s="90"/>
      <c r="K146" s="90"/>
      <c r="L146" s="90"/>
      <c r="M146" s="90"/>
      <c r="N146" s="90"/>
      <c r="P146" s="90">
        <f t="shared" si="14"/>
        <v>0.5</v>
      </c>
      <c r="Q146" s="90">
        <f>SUM($B146:E146)</f>
        <v>0</v>
      </c>
      <c r="R146" s="89"/>
      <c r="AH146" s="90">
        <f t="shared" si="15"/>
        <v>0</v>
      </c>
      <c r="AI146" s="90">
        <f t="shared" si="16"/>
        <v>0</v>
      </c>
      <c r="AJ146" s="89"/>
      <c r="AK146" s="88" t="s">
        <v>238</v>
      </c>
      <c r="AL146" s="90"/>
      <c r="AM146" s="90">
        <v>1.1240000000000001</v>
      </c>
      <c r="AN146" s="90"/>
      <c r="AO146" s="90"/>
      <c r="AP146" s="90"/>
      <c r="AQ146" s="90"/>
      <c r="AR146" s="90"/>
      <c r="AS146" s="90"/>
      <c r="AT146" s="90">
        <v>0.08</v>
      </c>
      <c r="AU146" s="90">
        <v>0.9</v>
      </c>
      <c r="AV146" s="90"/>
      <c r="AW146" s="90"/>
      <c r="AX146" s="90"/>
      <c r="AY146" s="90"/>
      <c r="AZ146" s="90">
        <f t="shared" si="17"/>
        <v>0.98</v>
      </c>
      <c r="BA146" s="90">
        <f>ROUND(AZ146*IFERROR(VLOOKUP($AK146,'3121% SY'!$A$2:$M$324,13,FALSE),0),3)</f>
        <v>0.23400000000000001</v>
      </c>
      <c r="BB146" s="90">
        <f t="shared" si="18"/>
        <v>1.1240000000000001</v>
      </c>
      <c r="BC146" s="90">
        <f>ROUND(BB146*IFERROR(VLOOKUP($AK146,'3121% SY'!$A$2:$M$324,13,FALSE),0),3)</f>
        <v>0.26800000000000002</v>
      </c>
    </row>
    <row r="147" spans="1:55" x14ac:dyDescent="0.25">
      <c r="A147" s="88" t="s">
        <v>158</v>
      </c>
      <c r="B147" s="90"/>
      <c r="C147" s="90">
        <v>0.72699999999999998</v>
      </c>
      <c r="D147" s="90"/>
      <c r="E147" s="90"/>
      <c r="F147" s="90">
        <v>0.74</v>
      </c>
      <c r="G147" s="90"/>
      <c r="H147" s="90"/>
      <c r="I147" s="90"/>
      <c r="J147" s="90"/>
      <c r="K147" s="90"/>
      <c r="L147" s="90"/>
      <c r="M147" s="90"/>
      <c r="N147" s="90"/>
      <c r="P147" s="90">
        <f t="shared" si="14"/>
        <v>0.74</v>
      </c>
      <c r="Q147" s="90">
        <f>SUM($B147:E147)</f>
        <v>0.72699999999999998</v>
      </c>
      <c r="R147" s="89"/>
      <c r="AH147" s="90">
        <f t="shared" si="15"/>
        <v>0</v>
      </c>
      <c r="AI147" s="90">
        <f t="shared" si="16"/>
        <v>0</v>
      </c>
      <c r="AJ147" s="89"/>
      <c r="AK147" s="88" t="s">
        <v>239</v>
      </c>
      <c r="AL147" s="90"/>
      <c r="AM147" s="90">
        <v>3.6999999999999998E-2</v>
      </c>
      <c r="AN147" s="90">
        <v>0.28899999999999998</v>
      </c>
      <c r="AO147" s="90"/>
      <c r="AP147" s="90"/>
      <c r="AQ147" s="90"/>
      <c r="AR147" s="90">
        <v>0.111</v>
      </c>
      <c r="AS147" s="90"/>
      <c r="AT147" s="90"/>
      <c r="AU147" s="90">
        <v>0.6</v>
      </c>
      <c r="AV147" s="90"/>
      <c r="AW147" s="90">
        <v>0.05</v>
      </c>
      <c r="AX147" s="90"/>
      <c r="AY147" s="90"/>
      <c r="AZ147" s="90">
        <f t="shared" si="17"/>
        <v>0.76100000000000001</v>
      </c>
      <c r="BA147" s="90">
        <f>ROUND(AZ147*IFERROR(VLOOKUP($AK147,'3121% SY'!$A$2:$M$324,13,FALSE),0),3)</f>
        <v>0.224</v>
      </c>
      <c r="BB147" s="90">
        <f t="shared" si="18"/>
        <v>0.32599999999999996</v>
      </c>
      <c r="BC147" s="90">
        <f>ROUND(BB147*IFERROR(VLOOKUP($AK147,'3121% SY'!$A$2:$M$324,13,FALSE),0),3)</f>
        <v>9.6000000000000002E-2</v>
      </c>
    </row>
    <row r="148" spans="1:55" x14ac:dyDescent="0.25">
      <c r="A148" s="88" t="s">
        <v>159</v>
      </c>
      <c r="B148" s="90"/>
      <c r="C148" s="90"/>
      <c r="D148" s="90">
        <v>0.17599999999999999</v>
      </c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P148" s="90">
        <f t="shared" si="14"/>
        <v>0</v>
      </c>
      <c r="Q148" s="90">
        <f>SUM($B148:E148)</f>
        <v>0.17599999999999999</v>
      </c>
      <c r="R148" s="89"/>
      <c r="AH148" s="90">
        <f t="shared" si="15"/>
        <v>0</v>
      </c>
      <c r="AI148" s="90">
        <f t="shared" si="16"/>
        <v>0</v>
      </c>
      <c r="AJ148" s="89"/>
      <c r="AK148" s="88" t="s">
        <v>628</v>
      </c>
      <c r="AL148" s="90"/>
      <c r="AM148" s="90"/>
      <c r="AN148" s="90"/>
      <c r="AO148" s="90"/>
      <c r="AP148" s="90"/>
      <c r="AQ148" s="90">
        <v>0.8</v>
      </c>
      <c r="AR148" s="90"/>
      <c r="AS148" s="90"/>
      <c r="AT148" s="90"/>
      <c r="AU148" s="90"/>
      <c r="AV148" s="90"/>
      <c r="AW148" s="90"/>
      <c r="AX148" s="90"/>
      <c r="AY148" s="90"/>
      <c r="AZ148" s="90">
        <f t="shared" si="17"/>
        <v>0.8</v>
      </c>
      <c r="BA148" s="90">
        <f>ROUND(AZ148*IFERROR(VLOOKUP($AK148,'3121% SY'!$A$2:$M$324,13,FALSE),0),3)</f>
        <v>9.9000000000000005E-2</v>
      </c>
      <c r="BB148" s="90">
        <f t="shared" si="18"/>
        <v>0</v>
      </c>
      <c r="BC148" s="90">
        <f>ROUND(BB148*IFERROR(VLOOKUP($AK148,'3121% SY'!$A$2:$M$324,13,FALSE),0),3)</f>
        <v>0</v>
      </c>
    </row>
    <row r="149" spans="1:55" x14ac:dyDescent="0.25">
      <c r="A149" s="88" t="s">
        <v>160</v>
      </c>
      <c r="B149" s="90"/>
      <c r="C149" s="90">
        <v>0.52800000000000002</v>
      </c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P149" s="90">
        <f t="shared" si="14"/>
        <v>0</v>
      </c>
      <c r="Q149" s="90">
        <f>SUM($B149:E149)</f>
        <v>0.52800000000000002</v>
      </c>
      <c r="R149" s="89"/>
      <c r="AH149" s="90">
        <f t="shared" si="15"/>
        <v>0</v>
      </c>
      <c r="AI149" s="90">
        <f t="shared" si="16"/>
        <v>0</v>
      </c>
      <c r="AJ149" s="89"/>
      <c r="AK149" s="88" t="s">
        <v>241</v>
      </c>
      <c r="AL149" s="90"/>
      <c r="AM149" s="90"/>
      <c r="AN149" s="90"/>
      <c r="AO149" s="90"/>
      <c r="AP149" s="90"/>
      <c r="AQ149" s="90"/>
      <c r="AR149" s="90"/>
      <c r="AS149" s="90"/>
      <c r="AT149" s="90">
        <v>8.3000000000000004E-2</v>
      </c>
      <c r="AU149" s="90">
        <v>0.254</v>
      </c>
      <c r="AV149" s="90"/>
      <c r="AW149" s="90"/>
      <c r="AX149" s="90"/>
      <c r="AY149" s="90"/>
      <c r="AZ149" s="90">
        <f t="shared" si="17"/>
        <v>0.33700000000000002</v>
      </c>
      <c r="BA149" s="90">
        <f>ROUND(AZ149*IFERROR(VLOOKUP($AK149,'3121% SY'!$A$2:$M$324,13,FALSE),0),3)</f>
        <v>0.09</v>
      </c>
      <c r="BB149" s="90">
        <f t="shared" si="18"/>
        <v>0</v>
      </c>
      <c r="BC149" s="90">
        <f>ROUND(BB149*IFERROR(VLOOKUP($AK149,'3121% SY'!$A$2:$M$324,13,FALSE),0),3)</f>
        <v>0</v>
      </c>
    </row>
    <row r="150" spans="1:55" x14ac:dyDescent="0.25">
      <c r="A150" s="88" t="s">
        <v>161</v>
      </c>
      <c r="B150" s="90"/>
      <c r="C150" s="90">
        <v>6.0590000000000002</v>
      </c>
      <c r="D150" s="90">
        <v>2.7709999999999999</v>
      </c>
      <c r="E150" s="90"/>
      <c r="F150" s="90">
        <v>4.55</v>
      </c>
      <c r="G150" s="90"/>
      <c r="H150" s="90">
        <v>1</v>
      </c>
      <c r="I150" s="90"/>
      <c r="J150" s="90"/>
      <c r="K150" s="90">
        <v>2.5</v>
      </c>
      <c r="L150" s="90"/>
      <c r="M150" s="90"/>
      <c r="N150" s="90"/>
      <c r="P150" s="90">
        <f t="shared" si="14"/>
        <v>8.0500000000000007</v>
      </c>
      <c r="Q150" s="90">
        <f>SUM($B150:E150)</f>
        <v>8.83</v>
      </c>
      <c r="R150" s="89"/>
      <c r="AH150" s="90">
        <f t="shared" si="15"/>
        <v>0</v>
      </c>
      <c r="AI150" s="90">
        <f t="shared" si="16"/>
        <v>0</v>
      </c>
      <c r="AJ150" s="89"/>
      <c r="AK150" s="88" t="s">
        <v>244</v>
      </c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>
        <v>0.28599999999999998</v>
      </c>
      <c r="AX150" s="90"/>
      <c r="AY150" s="90"/>
      <c r="AZ150" s="90">
        <f t="shared" si="17"/>
        <v>0.28599999999999998</v>
      </c>
      <c r="BA150" s="90">
        <f>ROUND(AZ150*IFERROR(VLOOKUP($AK150,'3121% SY'!$A$2:$M$324,13,FALSE),0),3)</f>
        <v>6.3E-2</v>
      </c>
      <c r="BB150" s="90">
        <f t="shared" si="18"/>
        <v>0</v>
      </c>
      <c r="BC150" s="90">
        <f>ROUND(BB150*IFERROR(VLOOKUP($AK150,'3121% SY'!$A$2:$M$324,13,FALSE),0),3)</f>
        <v>0</v>
      </c>
    </row>
    <row r="151" spans="1:55" x14ac:dyDescent="0.25">
      <c r="A151" s="88" t="s">
        <v>162</v>
      </c>
      <c r="B151" s="90"/>
      <c r="C151" s="90">
        <v>0.58699999999999997</v>
      </c>
      <c r="D151" s="90">
        <v>0.16400000000000001</v>
      </c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P151" s="90">
        <f t="shared" si="14"/>
        <v>0</v>
      </c>
      <c r="Q151" s="90">
        <f>SUM($B151:E151)</f>
        <v>0.751</v>
      </c>
      <c r="R151" s="89"/>
      <c r="AH151" s="90">
        <f t="shared" si="15"/>
        <v>0</v>
      </c>
      <c r="AI151" s="90">
        <f t="shared" si="16"/>
        <v>0</v>
      </c>
      <c r="AJ151" s="89"/>
      <c r="AK151" s="88" t="s">
        <v>251</v>
      </c>
      <c r="AL151" s="90"/>
      <c r="AM151" s="90"/>
      <c r="AN151" s="90">
        <v>0.39</v>
      </c>
      <c r="AO151" s="90"/>
      <c r="AP151" s="90"/>
      <c r="AQ151" s="90"/>
      <c r="AR151" s="90"/>
      <c r="AS151" s="90"/>
      <c r="AT151" s="90"/>
      <c r="AU151" s="90">
        <v>0.2</v>
      </c>
      <c r="AV151" s="90"/>
      <c r="AW151" s="90"/>
      <c r="AX151" s="90"/>
      <c r="AY151" s="90"/>
      <c r="AZ151" s="90">
        <f t="shared" si="17"/>
        <v>0.2</v>
      </c>
      <c r="BA151" s="90">
        <f>ROUND(AZ151*IFERROR(VLOOKUP($AK151,'3121% SY'!$A$2:$M$324,13,FALSE),0),3)</f>
        <v>4.2999999999999997E-2</v>
      </c>
      <c r="BB151" s="90">
        <f t="shared" si="18"/>
        <v>0.39</v>
      </c>
      <c r="BC151" s="90">
        <f>ROUND(BB151*IFERROR(VLOOKUP($AK151,'3121% SY'!$A$2:$M$324,13,FALSE),0),3)</f>
        <v>8.4000000000000005E-2</v>
      </c>
    </row>
    <row r="152" spans="1:55" x14ac:dyDescent="0.25">
      <c r="A152" s="88" t="s">
        <v>163</v>
      </c>
      <c r="B152" s="90"/>
      <c r="C152" s="90">
        <v>5.8999999999999997E-2</v>
      </c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P152" s="90">
        <f t="shared" si="14"/>
        <v>0</v>
      </c>
      <c r="Q152" s="90">
        <f>SUM($B152:E152)</f>
        <v>5.8999999999999997E-2</v>
      </c>
      <c r="R152" s="89"/>
      <c r="AH152" s="90">
        <f t="shared" si="15"/>
        <v>0</v>
      </c>
      <c r="AI152" s="90">
        <f t="shared" si="16"/>
        <v>0</v>
      </c>
      <c r="AJ152" s="89"/>
      <c r="AK152" s="88" t="s">
        <v>252</v>
      </c>
      <c r="AL152" s="90"/>
      <c r="AM152" s="90">
        <v>4.4329999999999998</v>
      </c>
      <c r="AN152" s="90">
        <v>0.95899999999999996</v>
      </c>
      <c r="AO152" s="90"/>
      <c r="AP152" s="90"/>
      <c r="AQ152" s="90"/>
      <c r="AR152" s="90">
        <v>0.112</v>
      </c>
      <c r="AS152" s="90"/>
      <c r="AT152" s="90"/>
      <c r="AU152" s="90">
        <v>3.0880000000000001</v>
      </c>
      <c r="AV152" s="90"/>
      <c r="AW152" s="90"/>
      <c r="AX152" s="90"/>
      <c r="AY152" s="90"/>
      <c r="AZ152" s="90">
        <f t="shared" si="17"/>
        <v>3.2</v>
      </c>
      <c r="BA152" s="90">
        <f>ROUND(AZ152*IFERROR(VLOOKUP($AK152,'3121% SY'!$A$2:$M$324,13,FALSE),0),3)</f>
        <v>0.79200000000000004</v>
      </c>
      <c r="BB152" s="90">
        <f t="shared" si="18"/>
        <v>5.3919999999999995</v>
      </c>
      <c r="BC152" s="90">
        <f>ROUND(BB152*IFERROR(VLOOKUP($AK152,'3121% SY'!$A$2:$M$324,13,FALSE),0),3)</f>
        <v>1.335</v>
      </c>
    </row>
    <row r="153" spans="1:55" x14ac:dyDescent="0.25">
      <c r="A153" s="88" t="s">
        <v>164</v>
      </c>
      <c r="B153" s="90"/>
      <c r="C153" s="90">
        <v>2.0139999999999998</v>
      </c>
      <c r="D153" s="90"/>
      <c r="E153" s="90">
        <v>2.0939999999999999</v>
      </c>
      <c r="F153" s="90">
        <v>2</v>
      </c>
      <c r="G153" s="90"/>
      <c r="H153" s="90"/>
      <c r="I153" s="90"/>
      <c r="J153" s="90"/>
      <c r="K153" s="90"/>
      <c r="L153" s="90"/>
      <c r="M153" s="90"/>
      <c r="N153" s="90"/>
      <c r="P153" s="90">
        <f t="shared" si="14"/>
        <v>2</v>
      </c>
      <c r="Q153" s="90">
        <f>SUM($B153:E153)</f>
        <v>4.1079999999999997</v>
      </c>
      <c r="R153" s="89"/>
      <c r="AH153" s="90">
        <f t="shared" si="15"/>
        <v>0</v>
      </c>
      <c r="AI153" s="90">
        <f t="shared" si="16"/>
        <v>0</v>
      </c>
      <c r="AJ153" s="89"/>
      <c r="AK153" s="88" t="s">
        <v>253</v>
      </c>
      <c r="AL153" s="90"/>
      <c r="AM153" s="90">
        <v>5.8140000000000001</v>
      </c>
      <c r="AN153" s="90">
        <v>2.8159999999999998</v>
      </c>
      <c r="AO153" s="90"/>
      <c r="AP153" s="90"/>
      <c r="AQ153" s="90"/>
      <c r="AR153" s="90">
        <v>1.673</v>
      </c>
      <c r="AS153" s="90"/>
      <c r="AT153" s="90">
        <v>4.5110000000000001</v>
      </c>
      <c r="AU153" s="90">
        <v>4.9669999999999996</v>
      </c>
      <c r="AV153" s="90"/>
      <c r="AW153" s="90">
        <v>0.70699999999999996</v>
      </c>
      <c r="AX153" s="90"/>
      <c r="AY153" s="90"/>
      <c r="AZ153" s="90">
        <f t="shared" si="17"/>
        <v>11.858000000000001</v>
      </c>
      <c r="BA153" s="90">
        <f>ROUND(AZ153*IFERROR(VLOOKUP($AK153,'3121% SY'!$A$2:$M$324,13,FALSE),0),3)</f>
        <v>3.077</v>
      </c>
      <c r="BB153" s="90">
        <f t="shared" si="18"/>
        <v>8.629999999999999</v>
      </c>
      <c r="BC153" s="90">
        <f>ROUND(BB153*IFERROR(VLOOKUP($AK153,'3121% SY'!$A$2:$M$324,13,FALSE),0),3)</f>
        <v>2.2389999999999999</v>
      </c>
    </row>
    <row r="154" spans="1:55" x14ac:dyDescent="0.25">
      <c r="A154" s="88" t="s">
        <v>165</v>
      </c>
      <c r="B154" s="90"/>
      <c r="C154" s="90">
        <v>0.51</v>
      </c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P154" s="90">
        <f t="shared" si="14"/>
        <v>0</v>
      </c>
      <c r="Q154" s="90">
        <f>SUM($B154:E154)</f>
        <v>0.51</v>
      </c>
      <c r="R154" s="89"/>
      <c r="AH154" s="90">
        <f t="shared" si="15"/>
        <v>0</v>
      </c>
      <c r="AI154" s="90">
        <f t="shared" si="16"/>
        <v>0</v>
      </c>
      <c r="AJ154" s="89"/>
      <c r="AK154" s="88" t="s">
        <v>254</v>
      </c>
      <c r="AL154" s="90"/>
      <c r="AM154" s="90">
        <v>9.1999999999999998E-2</v>
      </c>
      <c r="AN154" s="90">
        <v>5.2140000000000004</v>
      </c>
      <c r="AO154" s="90"/>
      <c r="AP154" s="90"/>
      <c r="AQ154" s="90"/>
      <c r="AR154" s="90">
        <v>0.30399999999999999</v>
      </c>
      <c r="AS154" s="90"/>
      <c r="AT154" s="90">
        <v>3</v>
      </c>
      <c r="AU154" s="90">
        <v>3.1</v>
      </c>
      <c r="AV154" s="90"/>
      <c r="AW154" s="90"/>
      <c r="AX154" s="90">
        <v>0.27300000000000002</v>
      </c>
      <c r="AY154" s="90"/>
      <c r="AZ154" s="90">
        <f t="shared" si="17"/>
        <v>6.6769999999999996</v>
      </c>
      <c r="BA154" s="90">
        <f>ROUND(AZ154*IFERROR(VLOOKUP($AK154,'3121% SY'!$A$2:$M$324,13,FALSE),0),3)</f>
        <v>1.7629999999999999</v>
      </c>
      <c r="BB154" s="90">
        <f t="shared" si="18"/>
        <v>5.306</v>
      </c>
      <c r="BC154" s="90">
        <f>ROUND(BB154*IFERROR(VLOOKUP($AK154,'3121% SY'!$A$2:$M$324,13,FALSE),0),3)</f>
        <v>1.401</v>
      </c>
    </row>
    <row r="155" spans="1:55" x14ac:dyDescent="0.25">
      <c r="A155" s="88" t="s">
        <v>166</v>
      </c>
      <c r="B155" s="90"/>
      <c r="C155" s="90">
        <v>0.20200000000000001</v>
      </c>
      <c r="D155" s="90">
        <v>0.74</v>
      </c>
      <c r="E155" s="90"/>
      <c r="F155" s="90">
        <v>0.03</v>
      </c>
      <c r="G155" s="90"/>
      <c r="H155" s="90"/>
      <c r="I155" s="90"/>
      <c r="J155" s="90"/>
      <c r="K155" s="90"/>
      <c r="L155" s="90"/>
      <c r="M155" s="90"/>
      <c r="N155" s="90"/>
      <c r="P155" s="90">
        <f t="shared" si="14"/>
        <v>0.03</v>
      </c>
      <c r="Q155" s="90">
        <f>SUM($B155:E155)</f>
        <v>0.94199999999999995</v>
      </c>
      <c r="R155" s="89"/>
      <c r="AH155" s="90">
        <f t="shared" si="15"/>
        <v>0</v>
      </c>
      <c r="AI155" s="90">
        <f t="shared" si="16"/>
        <v>0</v>
      </c>
      <c r="AJ155" s="89"/>
      <c r="AK155" s="88" t="s">
        <v>255</v>
      </c>
      <c r="AL155" s="90"/>
      <c r="AM155" s="90"/>
      <c r="AN155" s="90">
        <v>1.3140000000000001</v>
      </c>
      <c r="AO155" s="90"/>
      <c r="AP155" s="90"/>
      <c r="AQ155" s="90"/>
      <c r="AR155" s="90">
        <v>0.6</v>
      </c>
      <c r="AS155" s="90"/>
      <c r="AT155" s="90">
        <v>2.8</v>
      </c>
      <c r="AU155" s="90">
        <v>3.2</v>
      </c>
      <c r="AV155" s="90"/>
      <c r="AW155" s="90">
        <v>0.2</v>
      </c>
      <c r="AX155" s="90"/>
      <c r="AY155" s="90"/>
      <c r="AZ155" s="90">
        <f t="shared" si="17"/>
        <v>6.8</v>
      </c>
      <c r="BA155" s="90">
        <f>ROUND(AZ155*IFERROR(VLOOKUP($AK155,'3121% SY'!$A$2:$M$324,13,FALSE),0),3)</f>
        <v>1.7969999999999999</v>
      </c>
      <c r="BB155" s="90">
        <f t="shared" si="18"/>
        <v>1.3140000000000001</v>
      </c>
      <c r="BC155" s="90">
        <f>ROUND(BB155*IFERROR(VLOOKUP($AK155,'3121% SY'!$A$2:$M$324,13,FALSE),0),3)</f>
        <v>0.34699999999999998</v>
      </c>
    </row>
    <row r="156" spans="1:55" x14ac:dyDescent="0.25">
      <c r="A156" s="88" t="s">
        <v>167</v>
      </c>
      <c r="B156" s="90"/>
      <c r="C156" s="90">
        <v>0.71599999999999997</v>
      </c>
      <c r="D156" s="90">
        <v>0.71499999999999997</v>
      </c>
      <c r="E156" s="90"/>
      <c r="F156" s="90">
        <v>1.5</v>
      </c>
      <c r="G156" s="90"/>
      <c r="H156" s="90"/>
      <c r="I156" s="90"/>
      <c r="J156" s="90"/>
      <c r="K156" s="90"/>
      <c r="L156" s="90"/>
      <c r="M156" s="90"/>
      <c r="N156" s="90"/>
      <c r="P156" s="90">
        <f t="shared" si="14"/>
        <v>1.5</v>
      </c>
      <c r="Q156" s="90">
        <f>SUM($B156:E156)</f>
        <v>1.431</v>
      </c>
      <c r="R156" s="89"/>
      <c r="AH156" s="90">
        <f t="shared" si="15"/>
        <v>0</v>
      </c>
      <c r="AI156" s="90">
        <f t="shared" si="16"/>
        <v>0</v>
      </c>
      <c r="AJ156" s="89"/>
      <c r="AK156" s="88" t="s">
        <v>256</v>
      </c>
      <c r="AL156" s="90"/>
      <c r="AM156" s="90"/>
      <c r="AN156" s="90">
        <v>3.5999999999999997E-2</v>
      </c>
      <c r="AO156" s="90"/>
      <c r="AP156" s="90"/>
      <c r="AQ156" s="90"/>
      <c r="AR156" s="90">
        <v>0.08</v>
      </c>
      <c r="AS156" s="90"/>
      <c r="AT156" s="90"/>
      <c r="AU156" s="90"/>
      <c r="AV156" s="90"/>
      <c r="AW156" s="90"/>
      <c r="AX156" s="90"/>
      <c r="AY156" s="90"/>
      <c r="AZ156" s="90">
        <f t="shared" si="17"/>
        <v>0.08</v>
      </c>
      <c r="BA156" s="90">
        <f>ROUND(AZ156*IFERROR(VLOOKUP($AK156,'3121% SY'!$A$2:$M$324,13,FALSE),0),3)</f>
        <v>1.9E-2</v>
      </c>
      <c r="BB156" s="90">
        <f t="shared" si="18"/>
        <v>3.5999999999999997E-2</v>
      </c>
      <c r="BC156" s="90">
        <f>ROUND(BB156*IFERROR(VLOOKUP($AK156,'3121% SY'!$A$2:$M$324,13,FALSE),0),3)</f>
        <v>8.0000000000000002E-3</v>
      </c>
    </row>
    <row r="157" spans="1:55" x14ac:dyDescent="0.25">
      <c r="A157" s="88" t="s">
        <v>168</v>
      </c>
      <c r="B157" s="90"/>
      <c r="C157" s="90">
        <v>1.571</v>
      </c>
      <c r="D157" s="90">
        <v>0.67600000000000005</v>
      </c>
      <c r="E157" s="90"/>
      <c r="F157" s="90">
        <v>2</v>
      </c>
      <c r="G157" s="90"/>
      <c r="H157" s="90"/>
      <c r="I157" s="90"/>
      <c r="J157" s="90"/>
      <c r="K157" s="90"/>
      <c r="L157" s="90"/>
      <c r="M157" s="90"/>
      <c r="N157" s="90"/>
      <c r="P157" s="90">
        <f t="shared" si="14"/>
        <v>2</v>
      </c>
      <c r="Q157" s="90">
        <f>SUM($B157:E157)</f>
        <v>2.2469999999999999</v>
      </c>
      <c r="R157" s="89"/>
      <c r="AH157" s="90">
        <f t="shared" si="15"/>
        <v>0</v>
      </c>
      <c r="AI157" s="90">
        <f t="shared" si="16"/>
        <v>0</v>
      </c>
      <c r="AJ157" s="89"/>
      <c r="AK157" s="88" t="s">
        <v>258</v>
      </c>
      <c r="AL157" s="90"/>
      <c r="AM157" s="90"/>
      <c r="AN157" s="90">
        <v>0.88100000000000001</v>
      </c>
      <c r="AO157" s="90"/>
      <c r="AP157" s="90"/>
      <c r="AQ157" s="90"/>
      <c r="AR157" s="90"/>
      <c r="AS157" s="90"/>
      <c r="AT157" s="90"/>
      <c r="AU157" s="90">
        <v>0.4</v>
      </c>
      <c r="AV157" s="90"/>
      <c r="AW157" s="90"/>
      <c r="AX157" s="90"/>
      <c r="AY157" s="90"/>
      <c r="AZ157" s="90">
        <f t="shared" si="17"/>
        <v>0.4</v>
      </c>
      <c r="BA157" s="90">
        <f>ROUND(AZ157*IFERROR(VLOOKUP($AK157,'3121% SY'!$A$2:$M$324,13,FALSE),0),3)</f>
        <v>9.4E-2</v>
      </c>
      <c r="BB157" s="90">
        <f t="shared" si="18"/>
        <v>0.88100000000000001</v>
      </c>
      <c r="BC157" s="90">
        <f>ROUND(BB157*IFERROR(VLOOKUP($AK157,'3121% SY'!$A$2:$M$324,13,FALSE),0),3)</f>
        <v>0.20599999999999999</v>
      </c>
    </row>
    <row r="158" spans="1:55" x14ac:dyDescent="0.25">
      <c r="A158" s="88" t="s">
        <v>169</v>
      </c>
      <c r="B158" s="90"/>
      <c r="C158" s="90"/>
      <c r="D158" s="90">
        <v>5.8999999999999997E-2</v>
      </c>
      <c r="E158" s="90"/>
      <c r="F158" s="90">
        <v>1</v>
      </c>
      <c r="G158" s="90"/>
      <c r="H158" s="90">
        <v>0.16</v>
      </c>
      <c r="I158" s="90"/>
      <c r="J158" s="90"/>
      <c r="K158" s="90"/>
      <c r="L158" s="90"/>
      <c r="M158" s="90"/>
      <c r="N158" s="90"/>
      <c r="P158" s="90">
        <f t="shared" si="14"/>
        <v>1.1599999999999999</v>
      </c>
      <c r="Q158" s="90">
        <f>SUM($B158:E158)</f>
        <v>5.8999999999999997E-2</v>
      </c>
      <c r="R158" s="89"/>
      <c r="AH158" s="90">
        <f t="shared" si="15"/>
        <v>0</v>
      </c>
      <c r="AI158" s="90">
        <f t="shared" si="16"/>
        <v>0</v>
      </c>
      <c r="AJ158" s="89"/>
      <c r="AK158" s="88" t="s">
        <v>262</v>
      </c>
      <c r="AL158" s="90"/>
      <c r="AM158" s="90">
        <v>3.7909999999999999</v>
      </c>
      <c r="AN158" s="90">
        <v>0.54800000000000004</v>
      </c>
      <c r="AO158" s="90"/>
      <c r="AP158" s="90"/>
      <c r="AQ158" s="90"/>
      <c r="AR158" s="90"/>
      <c r="AS158" s="90"/>
      <c r="AT158" s="90">
        <v>1.3080000000000001</v>
      </c>
      <c r="AU158" s="90">
        <v>2.15</v>
      </c>
      <c r="AV158" s="90">
        <v>9.2999999999999999E-2</v>
      </c>
      <c r="AW158" s="90">
        <v>0.5</v>
      </c>
      <c r="AX158" s="90"/>
      <c r="AY158" s="90">
        <v>0.33800000000000002</v>
      </c>
      <c r="AZ158" s="90">
        <f t="shared" si="17"/>
        <v>4.3890000000000002</v>
      </c>
      <c r="BA158" s="90">
        <f>ROUND(AZ158*IFERROR(VLOOKUP($AK158,'3121% SY'!$A$2:$M$324,13,FALSE),0),3)</f>
        <v>0.98899999999999999</v>
      </c>
      <c r="BB158" s="90">
        <f t="shared" si="18"/>
        <v>4.3390000000000004</v>
      </c>
      <c r="BC158" s="90">
        <f>ROUND(BB158*IFERROR(VLOOKUP($AK158,'3121% SY'!$A$2:$M$324,13,FALSE),0),3)</f>
        <v>0.97799999999999998</v>
      </c>
    </row>
    <row r="159" spans="1:55" x14ac:dyDescent="0.25">
      <c r="A159" s="88" t="s">
        <v>170</v>
      </c>
      <c r="B159" s="90"/>
      <c r="C159" s="90"/>
      <c r="D159" s="90"/>
      <c r="E159" s="90"/>
      <c r="F159" s="90">
        <v>0.3</v>
      </c>
      <c r="G159" s="90"/>
      <c r="H159" s="90"/>
      <c r="I159" s="90"/>
      <c r="J159" s="90"/>
      <c r="K159" s="90">
        <v>0.128</v>
      </c>
      <c r="L159" s="90"/>
      <c r="M159" s="90"/>
      <c r="N159" s="90"/>
      <c r="P159" s="90">
        <f t="shared" si="14"/>
        <v>0.42799999999999999</v>
      </c>
      <c r="Q159" s="90">
        <f>SUM($B159:E159)</f>
        <v>0</v>
      </c>
      <c r="R159" s="89"/>
      <c r="AH159" s="90">
        <f t="shared" si="15"/>
        <v>0</v>
      </c>
      <c r="AI159" s="90">
        <f t="shared" si="16"/>
        <v>0</v>
      </c>
      <c r="AJ159" s="89"/>
      <c r="AK159" s="88" t="s">
        <v>263</v>
      </c>
      <c r="AL159" s="90"/>
      <c r="AM159" s="90">
        <v>0.91500000000000004</v>
      </c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>
        <f t="shared" si="17"/>
        <v>0</v>
      </c>
      <c r="BA159" s="90">
        <f>ROUND(AZ159*IFERROR(VLOOKUP($AK159,'3121% SY'!$A$2:$M$324,13,FALSE),0),3)</f>
        <v>0</v>
      </c>
      <c r="BB159" s="90">
        <f t="shared" si="18"/>
        <v>0.91500000000000004</v>
      </c>
      <c r="BC159" s="90">
        <f>ROUND(BB159*IFERROR(VLOOKUP($AK159,'3121% SY'!$A$2:$M$324,13,FALSE),0),3)</f>
        <v>0.249</v>
      </c>
    </row>
    <row r="160" spans="1:55" x14ac:dyDescent="0.25">
      <c r="A160" s="88" t="s">
        <v>171</v>
      </c>
      <c r="B160" s="90">
        <v>1.2490000000000001</v>
      </c>
      <c r="C160" s="90"/>
      <c r="D160" s="90">
        <v>0.57199999999999995</v>
      </c>
      <c r="E160" s="90"/>
      <c r="F160" s="90">
        <v>0.5</v>
      </c>
      <c r="G160" s="90"/>
      <c r="H160" s="90"/>
      <c r="I160" s="90"/>
      <c r="J160" s="90"/>
      <c r="K160" s="90"/>
      <c r="L160" s="90"/>
      <c r="M160" s="90"/>
      <c r="N160" s="90"/>
      <c r="P160" s="90">
        <f t="shared" si="14"/>
        <v>0.5</v>
      </c>
      <c r="Q160" s="90">
        <f>SUM($B160:E160)</f>
        <v>1.8210000000000002</v>
      </c>
      <c r="R160" s="89"/>
      <c r="AH160" s="90">
        <f t="shared" si="15"/>
        <v>0</v>
      </c>
      <c r="AI160" s="90">
        <f t="shared" si="16"/>
        <v>0</v>
      </c>
      <c r="AJ160" s="89"/>
      <c r="AK160" s="88" t="s">
        <v>265</v>
      </c>
      <c r="AL160" s="90"/>
      <c r="AM160" s="90"/>
      <c r="AN160" s="90"/>
      <c r="AO160" s="90"/>
      <c r="AP160" s="90"/>
      <c r="AQ160" s="90"/>
      <c r="AR160" s="90"/>
      <c r="AS160" s="90"/>
      <c r="AT160" s="90"/>
      <c r="AU160" s="90">
        <v>0.125</v>
      </c>
      <c r="AV160" s="90"/>
      <c r="AW160" s="90"/>
      <c r="AX160" s="90"/>
      <c r="AY160" s="90"/>
      <c r="AZ160" s="90">
        <f t="shared" si="17"/>
        <v>0.125</v>
      </c>
      <c r="BA160" s="90">
        <f>ROUND(AZ160*IFERROR(VLOOKUP($AK160,'3121% SY'!$A$2:$M$324,13,FALSE),0),3)</f>
        <v>3.1E-2</v>
      </c>
      <c r="BB160" s="90">
        <f t="shared" si="18"/>
        <v>0</v>
      </c>
      <c r="BC160" s="90">
        <f>ROUND(BB160*IFERROR(VLOOKUP($AK160,'3121% SY'!$A$2:$M$324,13,FALSE),0),3)</f>
        <v>0</v>
      </c>
    </row>
    <row r="161" spans="1:55" x14ac:dyDescent="0.25">
      <c r="A161" s="88" t="s">
        <v>172</v>
      </c>
      <c r="B161" s="90"/>
      <c r="C161" s="90"/>
      <c r="D161" s="90">
        <v>0.29899999999999999</v>
      </c>
      <c r="E161" s="90"/>
      <c r="F161" s="90">
        <v>0.95399999999999996</v>
      </c>
      <c r="G161" s="90"/>
      <c r="H161" s="90"/>
      <c r="I161" s="90"/>
      <c r="J161" s="90"/>
      <c r="K161" s="90"/>
      <c r="L161" s="90"/>
      <c r="M161" s="90"/>
      <c r="N161" s="90"/>
      <c r="P161" s="90">
        <f t="shared" si="14"/>
        <v>0.95399999999999996</v>
      </c>
      <c r="Q161" s="90">
        <f>SUM($B161:E161)</f>
        <v>0.29899999999999999</v>
      </c>
      <c r="R161" s="89"/>
      <c r="AH161" s="90">
        <f t="shared" si="15"/>
        <v>0</v>
      </c>
      <c r="AI161" s="90">
        <f t="shared" si="16"/>
        <v>0</v>
      </c>
      <c r="AJ161" s="89"/>
      <c r="AK161" s="88" t="s">
        <v>266</v>
      </c>
      <c r="AL161" s="90"/>
      <c r="AM161" s="90">
        <v>0.16400000000000001</v>
      </c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>
        <f t="shared" si="17"/>
        <v>0</v>
      </c>
      <c r="BA161" s="90">
        <f>ROUND(AZ161*IFERROR(VLOOKUP($AK161,'3121% SY'!$A$2:$M$324,13,FALSE),0),3)</f>
        <v>0</v>
      </c>
      <c r="BB161" s="90">
        <f t="shared" si="18"/>
        <v>0.16400000000000001</v>
      </c>
      <c r="BC161" s="90">
        <f>ROUND(BB161*IFERROR(VLOOKUP($AK161,'3121% SY'!$A$2:$M$324,13,FALSE),0),3)</f>
        <v>3.1E-2</v>
      </c>
    </row>
    <row r="162" spans="1:55" x14ac:dyDescent="0.25">
      <c r="A162" s="88" t="s">
        <v>173</v>
      </c>
      <c r="B162" s="90"/>
      <c r="C162" s="90"/>
      <c r="D162" s="90">
        <v>0.68600000000000005</v>
      </c>
      <c r="E162" s="90"/>
      <c r="F162" s="90">
        <v>0.7</v>
      </c>
      <c r="G162" s="90"/>
      <c r="H162" s="90"/>
      <c r="I162" s="90"/>
      <c r="J162" s="90"/>
      <c r="K162" s="90"/>
      <c r="L162" s="90"/>
      <c r="M162" s="90"/>
      <c r="N162" s="90"/>
      <c r="P162" s="90">
        <f t="shared" si="14"/>
        <v>0.7</v>
      </c>
      <c r="Q162" s="90">
        <f>SUM($B162:E162)</f>
        <v>0.68600000000000005</v>
      </c>
      <c r="R162" s="89"/>
      <c r="AH162" s="90">
        <f t="shared" si="15"/>
        <v>0</v>
      </c>
      <c r="AI162" s="90">
        <f t="shared" si="16"/>
        <v>0</v>
      </c>
      <c r="AJ162" s="89"/>
      <c r="AK162" s="88" t="s">
        <v>268</v>
      </c>
      <c r="AL162" s="90"/>
      <c r="AM162" s="90"/>
      <c r="AN162" s="90">
        <v>1.716</v>
      </c>
      <c r="AO162" s="90"/>
      <c r="AP162" s="90"/>
      <c r="AQ162" s="90"/>
      <c r="AR162" s="90">
        <v>0.6</v>
      </c>
      <c r="AS162" s="90"/>
      <c r="AT162" s="90">
        <v>2.5840000000000001</v>
      </c>
      <c r="AU162" s="90">
        <v>3.1669999999999998</v>
      </c>
      <c r="AV162" s="90"/>
      <c r="AW162" s="90">
        <v>0.41499999999999998</v>
      </c>
      <c r="AX162" s="90"/>
      <c r="AY162" s="90"/>
      <c r="AZ162" s="90">
        <f t="shared" si="17"/>
        <v>6.766</v>
      </c>
      <c r="BA162" s="90">
        <f>ROUND(AZ162*IFERROR(VLOOKUP($AK162,'3121% SY'!$A$2:$M$324,13,FALSE),0),3)</f>
        <v>1.2689999999999999</v>
      </c>
      <c r="BB162" s="90">
        <f t="shared" si="18"/>
        <v>1.716</v>
      </c>
      <c r="BC162" s="90">
        <f>ROUND(BB162*IFERROR(VLOOKUP($AK162,'3121% SY'!$A$2:$M$324,13,FALSE),0),3)</f>
        <v>0.32200000000000001</v>
      </c>
    </row>
    <row r="163" spans="1:55" x14ac:dyDescent="0.25">
      <c r="A163" s="88" t="s">
        <v>174</v>
      </c>
      <c r="B163" s="90"/>
      <c r="C163" s="90"/>
      <c r="D163" s="90">
        <v>0.80400000000000005</v>
      </c>
      <c r="E163" s="90"/>
      <c r="F163" s="90">
        <v>1.5</v>
      </c>
      <c r="G163" s="90"/>
      <c r="H163" s="90"/>
      <c r="I163" s="90"/>
      <c r="J163" s="90"/>
      <c r="K163" s="90"/>
      <c r="L163" s="90"/>
      <c r="M163" s="90"/>
      <c r="N163" s="90"/>
      <c r="P163" s="90">
        <f t="shared" si="14"/>
        <v>1.5</v>
      </c>
      <c r="Q163" s="90">
        <f>SUM($B163:E163)</f>
        <v>0.80400000000000005</v>
      </c>
      <c r="R163" s="89"/>
      <c r="AH163" s="90">
        <f t="shared" si="15"/>
        <v>0</v>
      </c>
      <c r="AI163" s="90">
        <f t="shared" si="16"/>
        <v>0</v>
      </c>
      <c r="AJ163" s="89"/>
      <c r="AK163" s="88" t="s">
        <v>269</v>
      </c>
      <c r="AL163" s="90"/>
      <c r="AM163" s="90">
        <v>0.14000000000000001</v>
      </c>
      <c r="AN163" s="90">
        <v>1.401</v>
      </c>
      <c r="AO163" s="90"/>
      <c r="AP163" s="90"/>
      <c r="AQ163" s="90"/>
      <c r="AR163" s="90">
        <v>0.51500000000000001</v>
      </c>
      <c r="AS163" s="90"/>
      <c r="AT163" s="90">
        <v>0.5</v>
      </c>
      <c r="AU163" s="90">
        <v>2.5</v>
      </c>
      <c r="AV163" s="90"/>
      <c r="AW163" s="90">
        <v>0.20100000000000001</v>
      </c>
      <c r="AX163" s="90"/>
      <c r="AY163" s="90"/>
      <c r="AZ163" s="90">
        <f t="shared" si="17"/>
        <v>3.7160000000000002</v>
      </c>
      <c r="BA163" s="90">
        <f>ROUND(AZ163*IFERROR(VLOOKUP($AK163,'3121% SY'!$A$2:$M$324,13,FALSE),0),3)</f>
        <v>0.86899999999999999</v>
      </c>
      <c r="BB163" s="90">
        <f t="shared" si="18"/>
        <v>1.5409999999999999</v>
      </c>
      <c r="BC163" s="90">
        <f>ROUND(BB163*IFERROR(VLOOKUP($AK163,'3121% SY'!$A$2:$M$324,13,FALSE),0),3)</f>
        <v>0.36</v>
      </c>
    </row>
    <row r="164" spans="1:55" x14ac:dyDescent="0.25">
      <c r="A164" s="88" t="s">
        <v>175</v>
      </c>
      <c r="B164" s="90"/>
      <c r="C164" s="90"/>
      <c r="D164" s="90">
        <v>0.64600000000000002</v>
      </c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P164" s="90">
        <f t="shared" si="14"/>
        <v>0</v>
      </c>
      <c r="Q164" s="90">
        <f>SUM($B164:E164)</f>
        <v>0.64600000000000002</v>
      </c>
      <c r="R164" s="89"/>
      <c r="AH164" s="90">
        <f t="shared" si="15"/>
        <v>0</v>
      </c>
      <c r="AI164" s="90">
        <f t="shared" si="16"/>
        <v>0</v>
      </c>
      <c r="AJ164" s="89"/>
      <c r="AK164" s="88" t="s">
        <v>270</v>
      </c>
      <c r="AL164" s="90"/>
      <c r="AM164" s="90">
        <v>0.03</v>
      </c>
      <c r="AN164" s="90">
        <v>1.286</v>
      </c>
      <c r="AO164" s="90"/>
      <c r="AP164" s="90"/>
      <c r="AQ164" s="90"/>
      <c r="AR164" s="90">
        <v>0.4</v>
      </c>
      <c r="AS164" s="90"/>
      <c r="AT164" s="90">
        <v>0.55000000000000004</v>
      </c>
      <c r="AU164" s="90">
        <v>0.4</v>
      </c>
      <c r="AV164" s="90"/>
      <c r="AW164" s="90"/>
      <c r="AX164" s="90"/>
      <c r="AY164" s="90"/>
      <c r="AZ164" s="90">
        <f t="shared" si="17"/>
        <v>1.35</v>
      </c>
      <c r="BA164" s="90">
        <f>ROUND(AZ164*IFERROR(VLOOKUP($AK164,'3121% SY'!$A$2:$M$324,13,FALSE),0),3)</f>
        <v>0.24</v>
      </c>
      <c r="BB164" s="90">
        <f t="shared" si="18"/>
        <v>1.3160000000000001</v>
      </c>
      <c r="BC164" s="90">
        <f>ROUND(BB164*IFERROR(VLOOKUP($AK164,'3121% SY'!$A$2:$M$324,13,FALSE),0),3)</f>
        <v>0.23400000000000001</v>
      </c>
    </row>
    <row r="165" spans="1:55" x14ac:dyDescent="0.25">
      <c r="A165" s="88" t="s">
        <v>176</v>
      </c>
      <c r="B165" s="90"/>
      <c r="C165" s="90">
        <v>0.16900000000000001</v>
      </c>
      <c r="D165" s="90">
        <v>0.53200000000000003</v>
      </c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P165" s="90">
        <f t="shared" si="14"/>
        <v>0</v>
      </c>
      <c r="Q165" s="90">
        <f>SUM($B165:E165)</f>
        <v>0.70100000000000007</v>
      </c>
      <c r="R165" s="89"/>
      <c r="AH165" s="90">
        <f t="shared" si="15"/>
        <v>0</v>
      </c>
      <c r="AI165" s="90">
        <f t="shared" si="16"/>
        <v>0</v>
      </c>
      <c r="AJ165" s="89"/>
      <c r="AK165" s="88" t="s">
        <v>271</v>
      </c>
      <c r="AL165" s="90"/>
      <c r="AM165" s="90"/>
      <c r="AN165" s="90">
        <v>0.77500000000000002</v>
      </c>
      <c r="AO165" s="90"/>
      <c r="AP165" s="90"/>
      <c r="AQ165" s="90"/>
      <c r="AR165" s="90"/>
      <c r="AS165" s="90"/>
      <c r="AT165" s="90">
        <v>1.6</v>
      </c>
      <c r="AU165" s="90">
        <v>1</v>
      </c>
      <c r="AV165" s="90"/>
      <c r="AW165" s="90"/>
      <c r="AX165" s="90"/>
      <c r="AY165" s="90"/>
      <c r="AZ165" s="90">
        <f t="shared" si="17"/>
        <v>2.6</v>
      </c>
      <c r="BA165" s="90">
        <f>ROUND(AZ165*IFERROR(VLOOKUP($AK165,'3121% SY'!$A$2:$M$324,13,FALSE),0),3)</f>
        <v>0.48899999999999999</v>
      </c>
      <c r="BB165" s="90">
        <f t="shared" si="18"/>
        <v>0.77500000000000002</v>
      </c>
      <c r="BC165" s="90">
        <f>ROUND(BB165*IFERROR(VLOOKUP($AK165,'3121% SY'!$A$2:$M$324,13,FALSE),0),3)</f>
        <v>0.14599999999999999</v>
      </c>
    </row>
    <row r="166" spans="1:55" x14ac:dyDescent="0.25">
      <c r="A166" s="88" t="s">
        <v>177</v>
      </c>
      <c r="B166" s="90"/>
      <c r="C166" s="90"/>
      <c r="D166" s="90"/>
      <c r="E166" s="90"/>
      <c r="F166" s="90">
        <v>1</v>
      </c>
      <c r="G166" s="90"/>
      <c r="H166" s="90"/>
      <c r="I166" s="90"/>
      <c r="J166" s="90"/>
      <c r="K166" s="90"/>
      <c r="L166" s="90"/>
      <c r="M166" s="90"/>
      <c r="N166" s="90"/>
      <c r="P166" s="90">
        <f t="shared" si="14"/>
        <v>1</v>
      </c>
      <c r="Q166" s="90">
        <f>SUM($B166:E166)</f>
        <v>0</v>
      </c>
      <c r="R166" s="89"/>
      <c r="AH166" s="90">
        <f t="shared" si="15"/>
        <v>0</v>
      </c>
      <c r="AI166" s="90">
        <f t="shared" si="16"/>
        <v>0</v>
      </c>
      <c r="AJ166" s="89"/>
      <c r="AK166" s="88" t="s">
        <v>272</v>
      </c>
      <c r="AL166" s="90"/>
      <c r="AM166" s="90">
        <v>0.84299999999999997</v>
      </c>
      <c r="AN166" s="90"/>
      <c r="AO166" s="90"/>
      <c r="AP166" s="90"/>
      <c r="AQ166" s="90"/>
      <c r="AR166" s="90">
        <v>0.432</v>
      </c>
      <c r="AS166" s="90"/>
      <c r="AT166" s="90">
        <v>0.28000000000000003</v>
      </c>
      <c r="AU166" s="90">
        <v>0.56000000000000005</v>
      </c>
      <c r="AV166" s="90"/>
      <c r="AW166" s="90"/>
      <c r="AX166" s="90"/>
      <c r="AY166" s="90"/>
      <c r="AZ166" s="90">
        <f t="shared" si="17"/>
        <v>1.272</v>
      </c>
      <c r="BA166" s="90">
        <f>ROUND(AZ166*IFERROR(VLOOKUP($AK166,'3121% SY'!$A$2:$M$324,13,FALSE),0),3)</f>
        <v>0.245</v>
      </c>
      <c r="BB166" s="90">
        <f t="shared" si="18"/>
        <v>0.84299999999999997</v>
      </c>
      <c r="BC166" s="90">
        <f>ROUND(BB166*IFERROR(VLOOKUP($AK166,'3121% SY'!$A$2:$M$324,13,FALSE),0),3)</f>
        <v>0.16200000000000001</v>
      </c>
    </row>
    <row r="167" spans="1:55" x14ac:dyDescent="0.25">
      <c r="A167" s="88" t="s">
        <v>178</v>
      </c>
      <c r="B167" s="90"/>
      <c r="C167" s="90">
        <v>0.999</v>
      </c>
      <c r="D167" s="90"/>
      <c r="E167" s="90"/>
      <c r="F167" s="90">
        <v>0.33500000000000002</v>
      </c>
      <c r="G167" s="90"/>
      <c r="H167" s="90"/>
      <c r="I167" s="90"/>
      <c r="J167" s="90"/>
      <c r="K167" s="90"/>
      <c r="L167" s="90"/>
      <c r="M167" s="90"/>
      <c r="N167" s="90"/>
      <c r="P167" s="90">
        <f t="shared" si="14"/>
        <v>0.33500000000000002</v>
      </c>
      <c r="Q167" s="90">
        <f>SUM($B167:E167)</f>
        <v>0.999</v>
      </c>
      <c r="R167" s="89"/>
      <c r="AH167" s="90">
        <f t="shared" si="15"/>
        <v>0</v>
      </c>
      <c r="AI167" s="90">
        <f t="shared" si="16"/>
        <v>0</v>
      </c>
      <c r="AJ167" s="89"/>
      <c r="AK167" s="88" t="s">
        <v>273</v>
      </c>
      <c r="AL167" s="90"/>
      <c r="AM167" s="90"/>
      <c r="AN167" s="90">
        <v>0.98199999999999998</v>
      </c>
      <c r="AO167" s="90"/>
      <c r="AP167" s="90"/>
      <c r="AQ167" s="90"/>
      <c r="AR167" s="90"/>
      <c r="AS167" s="90"/>
      <c r="AT167" s="90"/>
      <c r="AU167" s="90">
        <v>2</v>
      </c>
      <c r="AV167" s="90"/>
      <c r="AW167" s="90"/>
      <c r="AX167" s="90"/>
      <c r="AY167" s="90"/>
      <c r="AZ167" s="90">
        <f t="shared" si="17"/>
        <v>2</v>
      </c>
      <c r="BA167" s="90">
        <f>ROUND(AZ167*IFERROR(VLOOKUP($AK167,'3121% SY'!$A$2:$M$324,13,FALSE),0),3)</f>
        <v>0.51</v>
      </c>
      <c r="BB167" s="90">
        <f t="shared" si="18"/>
        <v>0.98199999999999998</v>
      </c>
      <c r="BC167" s="90">
        <f>ROUND(BB167*IFERROR(VLOOKUP($AK167,'3121% SY'!$A$2:$M$324,13,FALSE),0),3)</f>
        <v>0.25</v>
      </c>
    </row>
    <row r="168" spans="1:55" x14ac:dyDescent="0.25">
      <c r="A168" s="88" t="s">
        <v>180</v>
      </c>
      <c r="B168" s="90"/>
      <c r="C168" s="90"/>
      <c r="D168" s="90">
        <v>1.22</v>
      </c>
      <c r="E168" s="90"/>
      <c r="F168" s="90"/>
      <c r="G168" s="90"/>
      <c r="H168" s="90">
        <v>1.5</v>
      </c>
      <c r="I168" s="90"/>
      <c r="J168" s="90"/>
      <c r="K168" s="90"/>
      <c r="L168" s="90"/>
      <c r="M168" s="90"/>
      <c r="N168" s="90"/>
      <c r="P168" s="90">
        <f t="shared" si="14"/>
        <v>1.5</v>
      </c>
      <c r="Q168" s="90">
        <f>SUM($B168:E168)</f>
        <v>1.22</v>
      </c>
      <c r="R168" s="89"/>
      <c r="AH168" s="90">
        <f t="shared" si="15"/>
        <v>0</v>
      </c>
      <c r="AI168" s="90">
        <f t="shared" si="16"/>
        <v>0</v>
      </c>
      <c r="AJ168" s="89"/>
      <c r="AK168" s="88" t="s">
        <v>274</v>
      </c>
      <c r="AL168" s="90"/>
      <c r="AM168" s="90">
        <v>0.253</v>
      </c>
      <c r="AN168" s="90"/>
      <c r="AO168" s="90"/>
      <c r="AP168" s="90"/>
      <c r="AQ168" s="90"/>
      <c r="AR168" s="90"/>
      <c r="AS168" s="90"/>
      <c r="AT168" s="90">
        <v>0.40699999999999997</v>
      </c>
      <c r="AU168" s="90">
        <v>0.5</v>
      </c>
      <c r="AV168" s="90"/>
      <c r="AW168" s="90">
        <v>0.114</v>
      </c>
      <c r="AX168" s="90"/>
      <c r="AY168" s="90"/>
      <c r="AZ168" s="90">
        <f t="shared" si="17"/>
        <v>1.0210000000000001</v>
      </c>
      <c r="BA168" s="90">
        <f>ROUND(AZ168*IFERROR(VLOOKUP($AK168,'3121% SY'!$A$2:$M$324,13,FALSE),0),3)</f>
        <v>0.214</v>
      </c>
      <c r="BB168" s="90">
        <f t="shared" si="18"/>
        <v>0.253</v>
      </c>
      <c r="BC168" s="90">
        <f>ROUND(BB168*IFERROR(VLOOKUP($AK168,'3121% SY'!$A$2:$M$324,13,FALSE),0),3)</f>
        <v>5.2999999999999999E-2</v>
      </c>
    </row>
    <row r="169" spans="1:55" x14ac:dyDescent="0.25">
      <c r="A169" s="88" t="s">
        <v>181</v>
      </c>
      <c r="B169" s="90"/>
      <c r="C169" s="90">
        <v>1.9410000000000001</v>
      </c>
      <c r="D169" s="90"/>
      <c r="E169" s="90"/>
      <c r="F169" s="90">
        <v>0.14299999999999999</v>
      </c>
      <c r="G169" s="90"/>
      <c r="H169" s="90"/>
      <c r="I169" s="90"/>
      <c r="J169" s="90"/>
      <c r="K169" s="90"/>
      <c r="L169" s="90"/>
      <c r="M169" s="90"/>
      <c r="N169" s="90"/>
      <c r="P169" s="90">
        <f t="shared" si="14"/>
        <v>0.14299999999999999</v>
      </c>
      <c r="Q169" s="90">
        <f>SUM($B169:E169)</f>
        <v>1.9410000000000001</v>
      </c>
      <c r="R169" s="89"/>
      <c r="AH169" s="90">
        <f t="shared" si="15"/>
        <v>0</v>
      </c>
      <c r="AI169" s="90">
        <f t="shared" si="16"/>
        <v>0</v>
      </c>
      <c r="AJ169" s="89"/>
      <c r="AK169" s="88" t="s">
        <v>279</v>
      </c>
      <c r="AL169" s="90"/>
      <c r="AM169" s="90">
        <v>1.2729999999999999</v>
      </c>
      <c r="AN169" s="90"/>
      <c r="AO169" s="90"/>
      <c r="AP169" s="90"/>
      <c r="AQ169" s="90"/>
      <c r="AR169" s="90"/>
      <c r="AS169" s="90"/>
      <c r="AT169" s="90">
        <v>0.68100000000000005</v>
      </c>
      <c r="AU169" s="90">
        <v>0.5</v>
      </c>
      <c r="AV169" s="90"/>
      <c r="AW169" s="90"/>
      <c r="AX169" s="90"/>
      <c r="AY169" s="90"/>
      <c r="AZ169" s="90">
        <f t="shared" si="17"/>
        <v>1.181</v>
      </c>
      <c r="BA169" s="90">
        <f>ROUND(AZ169*IFERROR(VLOOKUP($AK169,'3121% SY'!$A$2:$M$324,13,FALSE),0),3)</f>
        <v>0.247</v>
      </c>
      <c r="BB169" s="90">
        <f t="shared" si="18"/>
        <v>1.2729999999999999</v>
      </c>
      <c r="BC169" s="90">
        <f>ROUND(BB169*IFERROR(VLOOKUP($AK169,'3121% SY'!$A$2:$M$324,13,FALSE),0),3)</f>
        <v>0.26600000000000001</v>
      </c>
    </row>
    <row r="170" spans="1:55" x14ac:dyDescent="0.25">
      <c r="A170" s="88" t="s">
        <v>182</v>
      </c>
      <c r="B170" s="90"/>
      <c r="C170" s="90"/>
      <c r="D170" s="90">
        <v>0.14699999999999999</v>
      </c>
      <c r="E170" s="90"/>
      <c r="F170" s="90"/>
      <c r="G170" s="90"/>
      <c r="H170" s="90"/>
      <c r="I170" s="90"/>
      <c r="J170" s="90"/>
      <c r="K170" s="90">
        <v>0.28999999999999998</v>
      </c>
      <c r="L170" s="90"/>
      <c r="M170" s="90"/>
      <c r="N170" s="90"/>
      <c r="P170" s="90">
        <f t="shared" si="14"/>
        <v>0.28999999999999998</v>
      </c>
      <c r="Q170" s="90">
        <f>SUM($B170:E170)</f>
        <v>0.14699999999999999</v>
      </c>
      <c r="R170" s="89"/>
      <c r="AH170" s="90">
        <f t="shared" si="15"/>
        <v>0</v>
      </c>
      <c r="AI170" s="90">
        <f t="shared" si="16"/>
        <v>0</v>
      </c>
      <c r="AJ170" s="89"/>
      <c r="AK170" s="88" t="s">
        <v>280</v>
      </c>
      <c r="AL170" s="90"/>
      <c r="AM170" s="90"/>
      <c r="AN170" s="90"/>
      <c r="AO170" s="90"/>
      <c r="AP170" s="90"/>
      <c r="AQ170" s="90"/>
      <c r="AR170" s="90"/>
      <c r="AS170" s="90"/>
      <c r="AT170" s="90">
        <v>0.16800000000000001</v>
      </c>
      <c r="AU170" s="90"/>
      <c r="AV170" s="90"/>
      <c r="AW170" s="90"/>
      <c r="AX170" s="90"/>
      <c r="AY170" s="90"/>
      <c r="AZ170" s="90">
        <f t="shared" si="17"/>
        <v>0.16800000000000001</v>
      </c>
      <c r="BA170" s="90">
        <f>ROUND(AZ170*IFERROR(VLOOKUP($AK170,'3121% SY'!$A$2:$M$324,13,FALSE),0),3)</f>
        <v>3.1E-2</v>
      </c>
      <c r="BB170" s="90">
        <f t="shared" si="18"/>
        <v>0</v>
      </c>
      <c r="BC170" s="90">
        <f>ROUND(BB170*IFERROR(VLOOKUP($AK170,'3121% SY'!$A$2:$M$324,13,FALSE),0),3)</f>
        <v>0</v>
      </c>
    </row>
    <row r="171" spans="1:55" x14ac:dyDescent="0.25">
      <c r="A171" s="88" t="s">
        <v>183</v>
      </c>
      <c r="B171" s="90"/>
      <c r="C171" s="90"/>
      <c r="D171" s="90">
        <v>4.4909999999999997</v>
      </c>
      <c r="E171" s="90">
        <v>1.462</v>
      </c>
      <c r="F171" s="90">
        <v>3</v>
      </c>
      <c r="G171" s="90"/>
      <c r="H171" s="90"/>
      <c r="I171" s="90"/>
      <c r="J171" s="90"/>
      <c r="K171" s="90">
        <v>0.2</v>
      </c>
      <c r="L171" s="90"/>
      <c r="M171" s="90"/>
      <c r="N171" s="90"/>
      <c r="P171" s="90">
        <f t="shared" si="14"/>
        <v>3.2</v>
      </c>
      <c r="Q171" s="90">
        <f>SUM($B171:E171)</f>
        <v>5.9529999999999994</v>
      </c>
      <c r="R171" s="89"/>
      <c r="AH171" s="90">
        <f t="shared" si="15"/>
        <v>0</v>
      </c>
      <c r="AI171" s="90">
        <f t="shared" si="16"/>
        <v>0</v>
      </c>
      <c r="AJ171" s="89"/>
      <c r="AK171" s="88" t="s">
        <v>289</v>
      </c>
      <c r="AL171" s="90"/>
      <c r="AM171" s="90"/>
      <c r="AN171" s="90">
        <v>0.64600000000000002</v>
      </c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>
        <f t="shared" si="17"/>
        <v>0</v>
      </c>
      <c r="BA171" s="90">
        <f>ROUND(AZ171*IFERROR(VLOOKUP($AK171,'3121% SY'!$A$2:$M$324,13,FALSE),0),3)</f>
        <v>0</v>
      </c>
      <c r="BB171" s="90">
        <f t="shared" si="18"/>
        <v>0.64600000000000002</v>
      </c>
      <c r="BC171" s="90">
        <f>ROUND(BB171*IFERROR(VLOOKUP($AK171,'3121% SY'!$A$2:$M$324,13,FALSE),0),3)</f>
        <v>0.123</v>
      </c>
    </row>
    <row r="172" spans="1:55" x14ac:dyDescent="0.25">
      <c r="A172" s="88" t="s">
        <v>184</v>
      </c>
      <c r="B172" s="90"/>
      <c r="C172" s="90">
        <v>48.835999999999999</v>
      </c>
      <c r="D172" s="90">
        <v>10.586</v>
      </c>
      <c r="E172" s="90">
        <v>10.781000000000001</v>
      </c>
      <c r="F172" s="90">
        <v>19.404</v>
      </c>
      <c r="G172" s="90"/>
      <c r="H172" s="90"/>
      <c r="I172" s="90"/>
      <c r="J172" s="90"/>
      <c r="K172" s="90">
        <v>4.6929999999999996</v>
      </c>
      <c r="L172" s="90"/>
      <c r="M172" s="90"/>
      <c r="N172" s="90"/>
      <c r="P172" s="90">
        <f t="shared" si="14"/>
        <v>24.097000000000001</v>
      </c>
      <c r="Q172" s="90">
        <f>SUM($B172:E172)</f>
        <v>70.203000000000003</v>
      </c>
      <c r="R172" s="89"/>
      <c r="AH172" s="90">
        <f t="shared" si="15"/>
        <v>0</v>
      </c>
      <c r="AI172" s="90">
        <f t="shared" si="16"/>
        <v>0</v>
      </c>
      <c r="AJ172" s="89"/>
      <c r="AK172" s="88" t="s">
        <v>290</v>
      </c>
      <c r="AL172" s="90"/>
      <c r="AM172" s="90"/>
      <c r="AN172" s="90"/>
      <c r="AO172" s="90"/>
      <c r="AP172" s="90"/>
      <c r="AQ172" s="90"/>
      <c r="AR172" s="90"/>
      <c r="AS172" s="90"/>
      <c r="AT172" s="90">
        <v>1.333</v>
      </c>
      <c r="AU172" s="90">
        <v>0.33300000000000002</v>
      </c>
      <c r="AV172" s="90"/>
      <c r="AW172" s="90"/>
      <c r="AX172" s="90"/>
      <c r="AY172" s="90"/>
      <c r="AZ172" s="90">
        <f t="shared" si="17"/>
        <v>1.6659999999999999</v>
      </c>
      <c r="BA172" s="90">
        <f>ROUND(AZ172*IFERROR(VLOOKUP($AK172,'3121% SY'!$A$2:$M$324,13,FALSE),0),3)</f>
        <v>0.26400000000000001</v>
      </c>
      <c r="BB172" s="90">
        <f t="shared" si="18"/>
        <v>0</v>
      </c>
      <c r="BC172" s="90">
        <f>ROUND(BB172*IFERROR(VLOOKUP($AK172,'3121% SY'!$A$2:$M$324,13,FALSE),0),3)</f>
        <v>0</v>
      </c>
    </row>
    <row r="173" spans="1:55" x14ac:dyDescent="0.25">
      <c r="A173" s="88" t="s">
        <v>185</v>
      </c>
      <c r="B173" s="90"/>
      <c r="C173" s="90"/>
      <c r="D173" s="90"/>
      <c r="E173" s="90"/>
      <c r="F173" s="90">
        <v>21</v>
      </c>
      <c r="G173" s="90"/>
      <c r="H173" s="90">
        <v>3</v>
      </c>
      <c r="I173" s="90"/>
      <c r="J173" s="90"/>
      <c r="K173" s="90">
        <v>6.7450000000000001</v>
      </c>
      <c r="L173" s="90"/>
      <c r="M173" s="90">
        <v>1</v>
      </c>
      <c r="N173" s="90"/>
      <c r="P173" s="90">
        <f t="shared" si="14"/>
        <v>31.745000000000001</v>
      </c>
      <c r="Q173" s="90">
        <f>SUM($B173:E173)</f>
        <v>0</v>
      </c>
      <c r="R173" s="89"/>
      <c r="AH173" s="90">
        <f t="shared" si="15"/>
        <v>0</v>
      </c>
      <c r="AI173" s="90">
        <f t="shared" si="16"/>
        <v>0</v>
      </c>
      <c r="AJ173" s="89"/>
      <c r="AK173" s="88" t="s">
        <v>291</v>
      </c>
      <c r="AL173" s="90"/>
      <c r="AM173" s="90">
        <v>1</v>
      </c>
      <c r="AN173" s="90">
        <v>19.736999999999998</v>
      </c>
      <c r="AO173" s="90"/>
      <c r="AP173" s="90"/>
      <c r="AQ173" s="90"/>
      <c r="AR173" s="90">
        <v>0.31</v>
      </c>
      <c r="AS173" s="90"/>
      <c r="AT173" s="90"/>
      <c r="AU173" s="90">
        <v>6.8</v>
      </c>
      <c r="AV173" s="90"/>
      <c r="AW173" s="90"/>
      <c r="AX173" s="90"/>
      <c r="AY173" s="90"/>
      <c r="AZ173" s="90">
        <f t="shared" si="17"/>
        <v>7.1099999999999994</v>
      </c>
      <c r="BA173" s="90">
        <f>ROUND(AZ173*IFERROR(VLOOKUP($AK173,'3121% SY'!$A$2:$M$324,13,FALSE),0),3)</f>
        <v>2.2770000000000001</v>
      </c>
      <c r="BB173" s="90">
        <f t="shared" si="18"/>
        <v>20.736999999999998</v>
      </c>
      <c r="BC173" s="90">
        <f>ROUND(BB173*IFERROR(VLOOKUP($AK173,'3121% SY'!$A$2:$M$324,13,FALSE),0),3)</f>
        <v>6.64</v>
      </c>
    </row>
    <row r="174" spans="1:55" x14ac:dyDescent="0.25">
      <c r="A174" s="88" t="s">
        <v>187</v>
      </c>
      <c r="B174" s="90">
        <v>0.36199999999999999</v>
      </c>
      <c r="C174" s="90">
        <v>9.3239999999999998</v>
      </c>
      <c r="D174" s="90">
        <v>6.0990000000000002</v>
      </c>
      <c r="E174" s="90">
        <v>0.74299999999999999</v>
      </c>
      <c r="F174" s="90">
        <v>4.53</v>
      </c>
      <c r="G174" s="90"/>
      <c r="H174" s="90"/>
      <c r="I174" s="90"/>
      <c r="J174" s="90"/>
      <c r="K174" s="90"/>
      <c r="L174" s="90"/>
      <c r="M174" s="90"/>
      <c r="N174" s="90"/>
      <c r="P174" s="90">
        <f t="shared" si="14"/>
        <v>4.53</v>
      </c>
      <c r="Q174" s="90">
        <f>SUM($B174:E174)</f>
        <v>16.527999999999999</v>
      </c>
      <c r="R174" s="89"/>
      <c r="AH174" s="90">
        <f t="shared" si="15"/>
        <v>0</v>
      </c>
      <c r="AI174" s="90">
        <f t="shared" si="16"/>
        <v>0</v>
      </c>
      <c r="AJ174" s="89"/>
      <c r="AK174" s="88" t="s">
        <v>292</v>
      </c>
      <c r="AL174" s="90"/>
      <c r="AM174" s="90"/>
      <c r="AN174" s="90">
        <v>1.873</v>
      </c>
      <c r="AO174" s="90"/>
      <c r="AP174" s="90"/>
      <c r="AQ174" s="90"/>
      <c r="AR174" s="90">
        <v>0.17</v>
      </c>
      <c r="AS174" s="90"/>
      <c r="AT174" s="90"/>
      <c r="AU174" s="90">
        <v>1</v>
      </c>
      <c r="AV174" s="90"/>
      <c r="AW174" s="90"/>
      <c r="AX174" s="90"/>
      <c r="AY174" s="90">
        <v>1</v>
      </c>
      <c r="AZ174" s="90">
        <f t="shared" si="17"/>
        <v>2.17</v>
      </c>
      <c r="BA174" s="90">
        <f>ROUND(AZ174*IFERROR(VLOOKUP($AK174,'3121% SY'!$A$2:$M$324,13,FALSE),0),3)</f>
        <v>0.47499999999999998</v>
      </c>
      <c r="BB174" s="90">
        <f t="shared" si="18"/>
        <v>1.873</v>
      </c>
      <c r="BC174" s="90">
        <f>ROUND(BB174*IFERROR(VLOOKUP($AK174,'3121% SY'!$A$2:$M$324,13,FALSE),0),3)</f>
        <v>0.41</v>
      </c>
    </row>
    <row r="175" spans="1:55" x14ac:dyDescent="0.25">
      <c r="A175" s="88" t="s">
        <v>188</v>
      </c>
      <c r="B175" s="90"/>
      <c r="C175" s="90">
        <v>3.73</v>
      </c>
      <c r="D175" s="90">
        <v>6.0780000000000003</v>
      </c>
      <c r="E175" s="90">
        <v>2.238</v>
      </c>
      <c r="F175" s="90">
        <v>9.5</v>
      </c>
      <c r="G175" s="90"/>
      <c r="H175" s="90">
        <v>0.6</v>
      </c>
      <c r="I175" s="90"/>
      <c r="J175" s="90"/>
      <c r="K175" s="90">
        <v>0.996</v>
      </c>
      <c r="L175" s="90"/>
      <c r="M175" s="90"/>
      <c r="N175" s="90"/>
      <c r="P175" s="90">
        <f t="shared" si="14"/>
        <v>11.096</v>
      </c>
      <c r="Q175" s="90">
        <f>SUM($B175:E175)</f>
        <v>12.045999999999999</v>
      </c>
      <c r="R175" s="89"/>
      <c r="AH175" s="90">
        <f t="shared" si="15"/>
        <v>0</v>
      </c>
      <c r="AI175" s="90">
        <f t="shared" si="16"/>
        <v>0</v>
      </c>
      <c r="AJ175" s="89"/>
      <c r="AK175" s="88" t="s">
        <v>293</v>
      </c>
      <c r="AL175" s="90"/>
      <c r="AM175" s="90"/>
      <c r="AN175" s="90">
        <v>1.9610000000000001</v>
      </c>
      <c r="AO175" s="90"/>
      <c r="AP175" s="90"/>
      <c r="AQ175" s="90"/>
      <c r="AR175" s="90">
        <v>0.4</v>
      </c>
      <c r="AS175" s="90"/>
      <c r="AT175" s="90">
        <v>0.05</v>
      </c>
      <c r="AU175" s="90">
        <v>1</v>
      </c>
      <c r="AV175" s="90">
        <v>0.28599999999999998</v>
      </c>
      <c r="AW175" s="90"/>
      <c r="AX175" s="90"/>
      <c r="AY175" s="90"/>
      <c r="AZ175" s="90">
        <f t="shared" si="17"/>
        <v>1.736</v>
      </c>
      <c r="BA175" s="90">
        <f>ROUND(AZ175*IFERROR(VLOOKUP($AK175,'3121% SY'!$A$2:$M$324,13,FALSE),0),3)</f>
        <v>0.34699999999999998</v>
      </c>
      <c r="BB175" s="90">
        <f t="shared" si="18"/>
        <v>1.9610000000000001</v>
      </c>
      <c r="BC175" s="90">
        <f>ROUND(BB175*IFERROR(VLOOKUP($AK175,'3121% SY'!$A$2:$M$324,13,FALSE),0),3)</f>
        <v>0.39100000000000001</v>
      </c>
    </row>
    <row r="176" spans="1:55" x14ac:dyDescent="0.25">
      <c r="A176" s="88" t="s">
        <v>189</v>
      </c>
      <c r="B176" s="90"/>
      <c r="C176" s="90">
        <v>1.593</v>
      </c>
      <c r="D176" s="90">
        <v>0.75900000000000001</v>
      </c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P176" s="90">
        <f t="shared" si="14"/>
        <v>0</v>
      </c>
      <c r="Q176" s="90">
        <f>SUM($B176:E176)</f>
        <v>2.3519999999999999</v>
      </c>
      <c r="R176" s="89"/>
      <c r="AH176" s="90">
        <f t="shared" si="15"/>
        <v>0</v>
      </c>
      <c r="AI176" s="90">
        <f t="shared" si="16"/>
        <v>0</v>
      </c>
      <c r="AJ176" s="89"/>
      <c r="AK176" s="88" t="s">
        <v>295</v>
      </c>
      <c r="AL176" s="90"/>
      <c r="AM176" s="90"/>
      <c r="AN176" s="90">
        <v>1.544</v>
      </c>
      <c r="AO176" s="90"/>
      <c r="AP176" s="90"/>
      <c r="AQ176" s="90"/>
      <c r="AR176" s="90"/>
      <c r="AS176" s="90"/>
      <c r="AT176" s="90"/>
      <c r="AU176" s="90">
        <v>0.5</v>
      </c>
      <c r="AV176" s="90"/>
      <c r="AW176" s="90"/>
      <c r="AX176" s="90"/>
      <c r="AY176" s="90">
        <v>0.189</v>
      </c>
      <c r="AZ176" s="90">
        <f t="shared" si="17"/>
        <v>0.68900000000000006</v>
      </c>
      <c r="BA176" s="90">
        <f>ROUND(AZ176*IFERROR(VLOOKUP($AK176,'3121% SY'!$A$2:$M$324,13,FALSE),0),3)</f>
        <v>0.21199999999999999</v>
      </c>
      <c r="BB176" s="90">
        <f t="shared" si="18"/>
        <v>1.544</v>
      </c>
      <c r="BC176" s="90">
        <f>ROUND(BB176*IFERROR(VLOOKUP($AK176,'3121% SY'!$A$2:$M$324,13,FALSE),0),3)</f>
        <v>0.47399999999999998</v>
      </c>
    </row>
    <row r="177" spans="1:55" x14ac:dyDescent="0.25">
      <c r="A177" s="88" t="s">
        <v>190</v>
      </c>
      <c r="B177" s="90"/>
      <c r="C177" s="90">
        <v>5.3789999999999996</v>
      </c>
      <c r="D177" s="90">
        <v>2.5950000000000002</v>
      </c>
      <c r="E177" s="90"/>
      <c r="F177" s="90">
        <v>2.4</v>
      </c>
      <c r="G177" s="90"/>
      <c r="H177" s="90"/>
      <c r="I177" s="90"/>
      <c r="J177" s="90"/>
      <c r="K177" s="90">
        <v>0.32</v>
      </c>
      <c r="L177" s="90"/>
      <c r="M177" s="90"/>
      <c r="N177" s="90"/>
      <c r="P177" s="90">
        <f t="shared" si="14"/>
        <v>2.7199999999999998</v>
      </c>
      <c r="Q177" s="90">
        <f>SUM($B177:E177)</f>
        <v>7.9740000000000002</v>
      </c>
      <c r="R177" s="89"/>
      <c r="AH177" s="90">
        <f t="shared" si="15"/>
        <v>0</v>
      </c>
      <c r="AI177" s="90">
        <f t="shared" si="16"/>
        <v>0</v>
      </c>
      <c r="AJ177" s="89"/>
      <c r="AK177" s="88" t="s">
        <v>296</v>
      </c>
      <c r="AL177" s="90"/>
      <c r="AM177" s="90">
        <v>4.2699999999999996</v>
      </c>
      <c r="AN177" s="90">
        <v>6.3710000000000004</v>
      </c>
      <c r="AO177" s="90"/>
      <c r="AP177" s="90"/>
      <c r="AQ177" s="90"/>
      <c r="AR177" s="90"/>
      <c r="AS177" s="90"/>
      <c r="AT177" s="90"/>
      <c r="AU177" s="90">
        <v>2</v>
      </c>
      <c r="AV177" s="90"/>
      <c r="AW177" s="90"/>
      <c r="AX177" s="90"/>
      <c r="AY177" s="90"/>
      <c r="AZ177" s="90">
        <f t="shared" si="17"/>
        <v>2</v>
      </c>
      <c r="BA177" s="90">
        <f>ROUND(AZ177*IFERROR(VLOOKUP($AK177,'3121% SY'!$A$2:$M$324,13,FALSE),0),3)</f>
        <v>0.57299999999999995</v>
      </c>
      <c r="BB177" s="90">
        <f t="shared" si="18"/>
        <v>10.641</v>
      </c>
      <c r="BC177" s="90">
        <f>ROUND(BB177*IFERROR(VLOOKUP($AK177,'3121% SY'!$A$2:$M$324,13,FALSE),0),3)</f>
        <v>3.048</v>
      </c>
    </row>
    <row r="178" spans="1:55" x14ac:dyDescent="0.25">
      <c r="A178" s="88" t="s">
        <v>191</v>
      </c>
      <c r="B178" s="90"/>
      <c r="C178" s="90">
        <v>19.68</v>
      </c>
      <c r="D178" s="90">
        <v>15.032</v>
      </c>
      <c r="E178" s="90">
        <v>10.936</v>
      </c>
      <c r="F178" s="90">
        <v>6.5709999999999997</v>
      </c>
      <c r="G178" s="90"/>
      <c r="H178" s="90"/>
      <c r="I178" s="90"/>
      <c r="J178" s="90"/>
      <c r="K178" s="90">
        <v>9.5</v>
      </c>
      <c r="L178" s="90"/>
      <c r="M178" s="90"/>
      <c r="N178" s="90"/>
      <c r="P178" s="90">
        <f t="shared" si="14"/>
        <v>16.070999999999998</v>
      </c>
      <c r="Q178" s="90">
        <f>SUM($B178:E178)</f>
        <v>45.648000000000003</v>
      </c>
      <c r="R178" s="89"/>
      <c r="AH178" s="90">
        <f t="shared" si="15"/>
        <v>0</v>
      </c>
      <c r="AI178" s="90">
        <f t="shared" si="16"/>
        <v>0</v>
      </c>
      <c r="AJ178" s="89"/>
      <c r="AK178" s="88" t="s">
        <v>297</v>
      </c>
      <c r="AL178" s="90"/>
      <c r="AM178" s="90"/>
      <c r="AN178" s="90">
        <v>0.63900000000000001</v>
      </c>
      <c r="AO178" s="90">
        <v>0.59399999999999997</v>
      </c>
      <c r="AP178" s="90"/>
      <c r="AQ178" s="90"/>
      <c r="AR178" s="90"/>
      <c r="AS178" s="90"/>
      <c r="AT178" s="90">
        <v>1.4390000000000001</v>
      </c>
      <c r="AU178" s="90">
        <v>1</v>
      </c>
      <c r="AV178" s="90"/>
      <c r="AW178" s="90">
        <v>0.5</v>
      </c>
      <c r="AX178" s="90">
        <v>1</v>
      </c>
      <c r="AY178" s="90"/>
      <c r="AZ178" s="90">
        <f t="shared" si="17"/>
        <v>3.9390000000000001</v>
      </c>
      <c r="BA178" s="90">
        <f>ROUND(AZ178*IFERROR(VLOOKUP($AK178,'3121% SY'!$A$2:$M$324,13,FALSE),0),3)</f>
        <v>0.61599999999999999</v>
      </c>
      <c r="BB178" s="90">
        <f t="shared" si="18"/>
        <v>1.2330000000000001</v>
      </c>
      <c r="BC178" s="90">
        <f>ROUND(BB178*IFERROR(VLOOKUP($AK178,'3121% SY'!$A$2:$M$324,13,FALSE),0),3)</f>
        <v>0.193</v>
      </c>
    </row>
    <row r="179" spans="1:55" x14ac:dyDescent="0.25">
      <c r="A179" s="88" t="s">
        <v>192</v>
      </c>
      <c r="B179" s="90"/>
      <c r="C179" s="90">
        <v>17.452000000000002</v>
      </c>
      <c r="D179" s="90">
        <v>10.635999999999999</v>
      </c>
      <c r="E179" s="90"/>
      <c r="F179" s="90">
        <v>11.25</v>
      </c>
      <c r="G179" s="90"/>
      <c r="H179" s="90"/>
      <c r="I179" s="90"/>
      <c r="J179" s="90"/>
      <c r="K179" s="90">
        <v>1.512</v>
      </c>
      <c r="L179" s="90"/>
      <c r="M179" s="90"/>
      <c r="N179" s="90"/>
      <c r="P179" s="90">
        <f t="shared" si="14"/>
        <v>12.762</v>
      </c>
      <c r="Q179" s="90">
        <f>SUM($B179:E179)</f>
        <v>28.088000000000001</v>
      </c>
      <c r="R179" s="89"/>
      <c r="AH179" s="90">
        <f t="shared" si="15"/>
        <v>0</v>
      </c>
      <c r="AI179" s="90">
        <f t="shared" si="16"/>
        <v>0</v>
      </c>
      <c r="AJ179" s="89"/>
      <c r="AK179" s="88" t="s">
        <v>299</v>
      </c>
      <c r="AL179" s="90"/>
      <c r="AM179" s="90"/>
      <c r="AN179" s="90">
        <v>1.837</v>
      </c>
      <c r="AO179" s="90"/>
      <c r="AP179" s="90"/>
      <c r="AQ179" s="90"/>
      <c r="AR179" s="90"/>
      <c r="AS179" s="90"/>
      <c r="AT179" s="90"/>
      <c r="AU179" s="90">
        <v>0.27500000000000002</v>
      </c>
      <c r="AV179" s="90"/>
      <c r="AW179" s="90"/>
      <c r="AX179" s="90"/>
      <c r="AY179" s="90"/>
      <c r="AZ179" s="90">
        <f t="shared" si="17"/>
        <v>0.27500000000000002</v>
      </c>
      <c r="BA179" s="90">
        <f>ROUND(AZ179*IFERROR(VLOOKUP($AK179,'3121% SY'!$A$2:$M$324,13,FALSE),0),3)</f>
        <v>7.5999999999999998E-2</v>
      </c>
      <c r="BB179" s="90">
        <f t="shared" si="18"/>
        <v>1.837</v>
      </c>
      <c r="BC179" s="90">
        <f>ROUND(BB179*IFERROR(VLOOKUP($AK179,'3121% SY'!$A$2:$M$324,13,FALSE),0),3)</f>
        <v>0.50700000000000001</v>
      </c>
    </row>
    <row r="180" spans="1:55" x14ac:dyDescent="0.25">
      <c r="A180" s="88" t="s">
        <v>193</v>
      </c>
      <c r="B180" s="90">
        <v>0.59099999999999997</v>
      </c>
      <c r="C180" s="90">
        <v>11.215</v>
      </c>
      <c r="D180" s="90">
        <v>9.8420000000000005</v>
      </c>
      <c r="E180" s="90"/>
      <c r="F180" s="90">
        <v>9</v>
      </c>
      <c r="G180" s="90"/>
      <c r="H180" s="90"/>
      <c r="I180" s="90"/>
      <c r="J180" s="90"/>
      <c r="K180" s="90"/>
      <c r="L180" s="90"/>
      <c r="M180" s="90"/>
      <c r="N180" s="90"/>
      <c r="P180" s="90">
        <f t="shared" si="14"/>
        <v>9</v>
      </c>
      <c r="Q180" s="90">
        <f>SUM($B180:E180)</f>
        <v>21.648</v>
      </c>
      <c r="R180" s="89"/>
      <c r="AH180" s="90">
        <f t="shared" si="15"/>
        <v>0</v>
      </c>
      <c r="AI180" s="90">
        <f t="shared" si="16"/>
        <v>0</v>
      </c>
      <c r="AJ180" s="89"/>
      <c r="AK180" s="88" t="s">
        <v>301</v>
      </c>
      <c r="AL180" s="90"/>
      <c r="AM180" s="90">
        <v>1.075</v>
      </c>
      <c r="AN180" s="90">
        <v>1.925</v>
      </c>
      <c r="AO180" s="90"/>
      <c r="AP180" s="90"/>
      <c r="AQ180" s="90"/>
      <c r="AR180" s="90"/>
      <c r="AS180" s="90"/>
      <c r="AT180" s="90">
        <v>0.03</v>
      </c>
      <c r="AU180" s="90"/>
      <c r="AV180" s="90"/>
      <c r="AW180" s="90"/>
      <c r="AX180" s="90"/>
      <c r="AY180" s="90"/>
      <c r="AZ180" s="90">
        <f t="shared" si="17"/>
        <v>0.03</v>
      </c>
      <c r="BA180" s="90">
        <f>ROUND(AZ180*IFERROR(VLOOKUP($AK180,'3121% SY'!$A$2:$M$324,13,FALSE),0),3)</f>
        <v>7.0000000000000001E-3</v>
      </c>
      <c r="BB180" s="90">
        <f t="shared" si="18"/>
        <v>3</v>
      </c>
      <c r="BC180" s="90">
        <f>ROUND(BB180*IFERROR(VLOOKUP($AK180,'3121% SY'!$A$2:$M$324,13,FALSE),0),3)</f>
        <v>0.67700000000000005</v>
      </c>
    </row>
    <row r="181" spans="1:55" x14ac:dyDescent="0.25">
      <c r="A181" s="88" t="s">
        <v>194</v>
      </c>
      <c r="B181" s="90"/>
      <c r="C181" s="90">
        <v>20.783999999999999</v>
      </c>
      <c r="D181" s="90">
        <v>19.962</v>
      </c>
      <c r="E181" s="90">
        <v>12.162000000000001</v>
      </c>
      <c r="F181" s="90">
        <v>12.2</v>
      </c>
      <c r="G181" s="90"/>
      <c r="H181" s="90">
        <v>3.4</v>
      </c>
      <c r="I181" s="90"/>
      <c r="J181" s="90"/>
      <c r="K181" s="90">
        <v>3.1240000000000001</v>
      </c>
      <c r="L181" s="90"/>
      <c r="M181" s="90"/>
      <c r="N181" s="90"/>
      <c r="P181" s="90">
        <f t="shared" si="14"/>
        <v>18.724</v>
      </c>
      <c r="Q181" s="90">
        <f>SUM($B181:E181)</f>
        <v>52.907999999999994</v>
      </c>
      <c r="R181" s="89"/>
      <c r="AH181" s="90">
        <f t="shared" si="15"/>
        <v>0</v>
      </c>
      <c r="AI181" s="90">
        <f t="shared" si="16"/>
        <v>0</v>
      </c>
      <c r="AJ181" s="89"/>
      <c r="AK181" s="88" t="s">
        <v>302</v>
      </c>
      <c r="AL181" s="90"/>
      <c r="AM181" s="90"/>
      <c r="AN181" s="90">
        <v>9.798</v>
      </c>
      <c r="AO181" s="90"/>
      <c r="AP181" s="90"/>
      <c r="AQ181" s="90"/>
      <c r="AR181" s="90"/>
      <c r="AS181" s="90"/>
      <c r="AT181" s="90"/>
      <c r="AU181" s="90">
        <v>1.25</v>
      </c>
      <c r="AV181" s="90"/>
      <c r="AW181" s="90"/>
      <c r="AX181" s="90"/>
      <c r="AY181" s="90"/>
      <c r="AZ181" s="90">
        <f t="shared" si="17"/>
        <v>1.25</v>
      </c>
      <c r="BA181" s="90">
        <f>ROUND(AZ181*IFERROR(VLOOKUP($AK181,'3121% SY'!$A$2:$M$324,13,FALSE),0),3)</f>
        <v>0.27500000000000002</v>
      </c>
      <c r="BB181" s="90">
        <f t="shared" si="18"/>
        <v>9.798</v>
      </c>
      <c r="BC181" s="90">
        <f>ROUND(BB181*IFERROR(VLOOKUP($AK181,'3121% SY'!$A$2:$M$324,13,FALSE),0),3)</f>
        <v>2.1549999999999998</v>
      </c>
    </row>
    <row r="182" spans="1:55" x14ac:dyDescent="0.25">
      <c r="A182" s="88" t="s">
        <v>195</v>
      </c>
      <c r="B182" s="90"/>
      <c r="C182" s="90">
        <v>2.028</v>
      </c>
      <c r="D182" s="90">
        <v>0.878</v>
      </c>
      <c r="E182" s="90"/>
      <c r="F182" s="90">
        <v>1.3</v>
      </c>
      <c r="G182" s="90"/>
      <c r="H182" s="90"/>
      <c r="I182" s="90"/>
      <c r="J182" s="90">
        <v>0.1</v>
      </c>
      <c r="K182" s="90"/>
      <c r="L182" s="90"/>
      <c r="M182" s="90"/>
      <c r="N182" s="90"/>
      <c r="P182" s="90">
        <f t="shared" si="14"/>
        <v>1.4000000000000001</v>
      </c>
      <c r="Q182" s="90">
        <f>SUM($B182:E182)</f>
        <v>2.9060000000000001</v>
      </c>
      <c r="R182" s="89"/>
      <c r="AH182" s="90">
        <f t="shared" si="15"/>
        <v>0</v>
      </c>
      <c r="AI182" s="90">
        <f t="shared" si="16"/>
        <v>0</v>
      </c>
      <c r="AJ182" s="89"/>
      <c r="AK182" s="88" t="s">
        <v>303</v>
      </c>
      <c r="AL182" s="90"/>
      <c r="AM182" s="90"/>
      <c r="AN182" s="90">
        <v>1.4890000000000001</v>
      </c>
      <c r="AO182" s="90"/>
      <c r="AP182" s="90"/>
      <c r="AQ182" s="90"/>
      <c r="AR182" s="90"/>
      <c r="AS182" s="90"/>
      <c r="AT182" s="90"/>
      <c r="AU182" s="90"/>
      <c r="AV182" s="90"/>
      <c r="AW182" s="90"/>
      <c r="AX182" s="90"/>
      <c r="AY182" s="90"/>
      <c r="AZ182" s="90">
        <f t="shared" si="17"/>
        <v>0</v>
      </c>
      <c r="BA182" s="90">
        <f>ROUND(AZ182*IFERROR(VLOOKUP($AK182,'3121% SY'!$A$2:$M$324,13,FALSE),0),3)</f>
        <v>0</v>
      </c>
      <c r="BB182" s="90">
        <f t="shared" si="18"/>
        <v>1.4890000000000001</v>
      </c>
      <c r="BC182" s="90">
        <f>ROUND(BB182*IFERROR(VLOOKUP($AK182,'3121% SY'!$A$2:$M$324,13,FALSE),0),3)</f>
        <v>0.30099999999999999</v>
      </c>
    </row>
    <row r="183" spans="1:55" x14ac:dyDescent="0.25">
      <c r="A183" s="88" t="s">
        <v>196</v>
      </c>
      <c r="B183" s="90">
        <v>9.2999999999999999E-2</v>
      </c>
      <c r="C183" s="90"/>
      <c r="D183" s="90">
        <v>0.93300000000000005</v>
      </c>
      <c r="E183" s="90">
        <v>1.5529999999999999</v>
      </c>
      <c r="F183" s="90">
        <v>3.25</v>
      </c>
      <c r="G183" s="90"/>
      <c r="H183" s="90">
        <v>1</v>
      </c>
      <c r="I183" s="90"/>
      <c r="J183" s="90"/>
      <c r="K183" s="90"/>
      <c r="L183" s="90"/>
      <c r="M183" s="90"/>
      <c r="N183" s="90"/>
      <c r="P183" s="90">
        <f t="shared" si="14"/>
        <v>4.25</v>
      </c>
      <c r="Q183" s="90">
        <f>SUM($B183:E183)</f>
        <v>2.5789999999999997</v>
      </c>
      <c r="R183" s="89"/>
      <c r="AH183" s="90">
        <f t="shared" si="15"/>
        <v>0</v>
      </c>
      <c r="AI183" s="90">
        <f t="shared" si="16"/>
        <v>0</v>
      </c>
      <c r="AJ183" s="89"/>
      <c r="AK183" s="88" t="s">
        <v>753</v>
      </c>
      <c r="AL183" s="90">
        <v>4.1950000000000003</v>
      </c>
      <c r="AM183" s="90">
        <v>162.89399999999989</v>
      </c>
      <c r="AN183" s="90">
        <v>330.07799999999986</v>
      </c>
      <c r="AO183" s="90">
        <v>0.78200000000000003</v>
      </c>
      <c r="AP183" s="90">
        <v>2.7930000000000001</v>
      </c>
      <c r="AQ183" s="90">
        <v>5.383</v>
      </c>
      <c r="AR183" s="90">
        <v>97.703000000000017</v>
      </c>
      <c r="AS183" s="90">
        <v>8.4669999999999987</v>
      </c>
      <c r="AT183" s="90">
        <v>273.64699999999993</v>
      </c>
      <c r="AU183" s="90">
        <v>247.57800000000003</v>
      </c>
      <c r="AV183" s="90">
        <v>5.0799999999999992</v>
      </c>
      <c r="AW183" s="90">
        <v>39.761999999999993</v>
      </c>
      <c r="AX183" s="90">
        <v>19.143999999999998</v>
      </c>
      <c r="AY183" s="90">
        <v>23.401000000000003</v>
      </c>
      <c r="AZ183" s="90">
        <f t="shared" si="17"/>
        <v>722.95799999999986</v>
      </c>
      <c r="BA183" s="90">
        <f>ROUND(AZ183*IFERROR(VLOOKUP($AK183,'3121% SY'!$A$2:$M$324,13,FALSE),0),3)</f>
        <v>0</v>
      </c>
      <c r="BB183" s="90">
        <f t="shared" si="18"/>
        <v>497.94899999999973</v>
      </c>
      <c r="BC183" s="90">
        <f>ROUND(BB183*IFERROR(VLOOKUP($AK183,'3121% SY'!$A$2:$M$324,13,FALSE),0),3)</f>
        <v>0</v>
      </c>
    </row>
    <row r="184" spans="1:55" x14ac:dyDescent="0.25">
      <c r="A184" s="88" t="s">
        <v>197</v>
      </c>
      <c r="B184" s="90"/>
      <c r="C184" s="90">
        <v>2.2919999999999998</v>
      </c>
      <c r="D184" s="90">
        <v>1.278</v>
      </c>
      <c r="E184" s="90">
        <v>2.2770000000000001</v>
      </c>
      <c r="F184" s="90">
        <v>3.54</v>
      </c>
      <c r="G184" s="90"/>
      <c r="H184" s="90"/>
      <c r="I184" s="90"/>
      <c r="J184" s="90"/>
      <c r="K184" s="90">
        <v>0.5</v>
      </c>
      <c r="L184" s="90"/>
      <c r="M184" s="90"/>
      <c r="N184" s="90"/>
      <c r="P184" s="90">
        <f t="shared" si="14"/>
        <v>4.04</v>
      </c>
      <c r="Q184" s="90">
        <f>SUM($B184:E184)</f>
        <v>5.8469999999999995</v>
      </c>
      <c r="R184" s="89"/>
      <c r="AH184" s="90">
        <f t="shared" si="15"/>
        <v>0</v>
      </c>
      <c r="AI184" s="90">
        <f t="shared" si="16"/>
        <v>0</v>
      </c>
      <c r="AJ184" s="89"/>
      <c r="AZ184" s="90">
        <f t="shared" si="17"/>
        <v>0</v>
      </c>
      <c r="BA184" s="90">
        <f>ROUND(AZ184*IFERROR(VLOOKUP($AK184,'3121% SY'!$A$2:$M$324,13,FALSE),0),3)</f>
        <v>0</v>
      </c>
      <c r="BB184" s="90">
        <f t="shared" si="18"/>
        <v>0</v>
      </c>
      <c r="BC184" s="90">
        <f>ROUND(BB184*IFERROR(VLOOKUP($AK184,'3121% SY'!$A$2:$M$324,13,FALSE),0),3)</f>
        <v>0</v>
      </c>
    </row>
    <row r="185" spans="1:55" x14ac:dyDescent="0.25">
      <c r="A185" s="88" t="s">
        <v>632</v>
      </c>
      <c r="B185" s="90"/>
      <c r="C185" s="90"/>
      <c r="D185" s="90"/>
      <c r="E185" s="90">
        <v>2</v>
      </c>
      <c r="F185" s="90">
        <v>2.0270000000000001</v>
      </c>
      <c r="G185" s="90"/>
      <c r="H185" s="90"/>
      <c r="I185" s="90"/>
      <c r="J185" s="90"/>
      <c r="K185" s="90"/>
      <c r="L185" s="90"/>
      <c r="M185" s="90"/>
      <c r="N185" s="90"/>
      <c r="P185" s="90">
        <f t="shared" si="14"/>
        <v>2.0270000000000001</v>
      </c>
      <c r="Q185" s="90">
        <f>SUM($B185:E185)</f>
        <v>2</v>
      </c>
      <c r="R185" s="89"/>
      <c r="AH185" s="90">
        <f t="shared" si="15"/>
        <v>0</v>
      </c>
      <c r="AI185" s="90">
        <f t="shared" si="16"/>
        <v>0</v>
      </c>
      <c r="AJ185" s="89"/>
      <c r="AZ185" s="90">
        <f t="shared" si="17"/>
        <v>0</v>
      </c>
      <c r="BA185" s="90">
        <f>ROUND(AZ185*IFERROR(VLOOKUP($AK185,'3121% SY'!$A$2:$M$324,13,FALSE),0),3)</f>
        <v>0</v>
      </c>
      <c r="BB185" s="90">
        <f t="shared" si="18"/>
        <v>0</v>
      </c>
      <c r="BC185" s="90">
        <f>ROUND(BB185*IFERROR(VLOOKUP($AK185,'3121% SY'!$A$2:$M$324,13,FALSE),0),3)</f>
        <v>0</v>
      </c>
    </row>
    <row r="186" spans="1:55" x14ac:dyDescent="0.25">
      <c r="A186" s="88" t="s">
        <v>626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>
        <v>1</v>
      </c>
      <c r="L186" s="90"/>
      <c r="M186" s="90"/>
      <c r="N186" s="90"/>
      <c r="P186" s="90">
        <f t="shared" si="14"/>
        <v>1</v>
      </c>
      <c r="Q186" s="90">
        <f>SUM($B186:E186)</f>
        <v>0</v>
      </c>
      <c r="R186" s="89"/>
      <c r="AH186" s="90">
        <f t="shared" si="15"/>
        <v>0</v>
      </c>
      <c r="AI186" s="90">
        <f t="shared" si="16"/>
        <v>0</v>
      </c>
      <c r="AJ186" s="89"/>
      <c r="AZ186" s="90">
        <f t="shared" si="17"/>
        <v>0</v>
      </c>
      <c r="BA186" s="90">
        <f>ROUND(AZ186*IFERROR(VLOOKUP($AK186,'3121% SY'!$A$2:$M$324,13,FALSE),0),3)</f>
        <v>0</v>
      </c>
      <c r="BB186" s="90">
        <f t="shared" si="18"/>
        <v>0</v>
      </c>
      <c r="BC186" s="90">
        <f>ROUND(BB186*IFERROR(VLOOKUP($AK186,'3121% SY'!$A$2:$M$324,13,FALSE),0),3)</f>
        <v>0</v>
      </c>
    </row>
    <row r="187" spans="1:55" x14ac:dyDescent="0.25">
      <c r="A187" s="88" t="s">
        <v>199</v>
      </c>
      <c r="B187" s="90"/>
      <c r="C187" s="90"/>
      <c r="D187" s="90">
        <v>0.60899999999999999</v>
      </c>
      <c r="E187" s="90"/>
      <c r="F187" s="90">
        <v>0.8</v>
      </c>
      <c r="G187" s="90"/>
      <c r="H187" s="90"/>
      <c r="I187" s="90"/>
      <c r="J187" s="90"/>
      <c r="K187" s="90"/>
      <c r="L187" s="90"/>
      <c r="M187" s="90"/>
      <c r="N187" s="90"/>
      <c r="P187" s="90">
        <f t="shared" si="14"/>
        <v>0.8</v>
      </c>
      <c r="Q187" s="90">
        <f>SUM($B187:E187)</f>
        <v>0.60899999999999999</v>
      </c>
      <c r="R187" s="89"/>
      <c r="AH187" s="90">
        <f t="shared" si="15"/>
        <v>0</v>
      </c>
      <c r="AI187" s="90">
        <f t="shared" si="16"/>
        <v>0</v>
      </c>
      <c r="AJ187" s="89"/>
      <c r="AZ187" s="90">
        <f t="shared" si="17"/>
        <v>0</v>
      </c>
      <c r="BA187" s="90">
        <f>ROUND(AZ187*IFERROR(VLOOKUP($AK187,'3121% SY'!$A$2:$M$324,13,FALSE),0),3)</f>
        <v>0</v>
      </c>
      <c r="BB187" s="90">
        <f t="shared" si="18"/>
        <v>0</v>
      </c>
      <c r="BC187" s="90">
        <f>ROUND(BB187*IFERROR(VLOOKUP($AK187,'3121% SY'!$A$2:$M$324,13,FALSE),0),3)</f>
        <v>0</v>
      </c>
    </row>
    <row r="188" spans="1:55" x14ac:dyDescent="0.25">
      <c r="A188" s="88" t="s">
        <v>200</v>
      </c>
      <c r="B188" s="90"/>
      <c r="C188" s="90"/>
      <c r="D188" s="90">
        <v>0.72299999999999998</v>
      </c>
      <c r="E188" s="90"/>
      <c r="F188" s="90">
        <v>0.31</v>
      </c>
      <c r="G188" s="90"/>
      <c r="H188" s="90"/>
      <c r="I188" s="90"/>
      <c r="J188" s="90"/>
      <c r="K188" s="90"/>
      <c r="L188" s="90"/>
      <c r="M188" s="90"/>
      <c r="N188" s="90"/>
      <c r="P188" s="90">
        <f t="shared" si="14"/>
        <v>0.31</v>
      </c>
      <c r="Q188" s="90">
        <f>SUM($B188:E188)</f>
        <v>0.72299999999999998</v>
      </c>
      <c r="R188" s="89"/>
      <c r="AH188" s="90">
        <f t="shared" si="15"/>
        <v>0</v>
      </c>
      <c r="AI188" s="90">
        <f t="shared" si="16"/>
        <v>0</v>
      </c>
      <c r="AJ188" s="89"/>
      <c r="AZ188" s="90">
        <f t="shared" si="17"/>
        <v>0</v>
      </c>
      <c r="BA188" s="90">
        <f>ROUND(AZ188*IFERROR(VLOOKUP($AK188,'3121% SY'!$A$2:$M$324,13,FALSE),0),3)</f>
        <v>0</v>
      </c>
      <c r="BB188" s="90">
        <f t="shared" si="18"/>
        <v>0</v>
      </c>
      <c r="BC188" s="90">
        <f>ROUND(BB188*IFERROR(VLOOKUP($AK188,'3121% SY'!$A$2:$M$324,13,FALSE),0),3)</f>
        <v>0</v>
      </c>
    </row>
    <row r="189" spans="1:55" x14ac:dyDescent="0.25">
      <c r="A189" s="88" t="s">
        <v>201</v>
      </c>
      <c r="B189" s="90"/>
      <c r="C189" s="90">
        <v>9.1999999999999998E-2</v>
      </c>
      <c r="D189" s="90"/>
      <c r="E189" s="90"/>
      <c r="F189" s="90">
        <v>1</v>
      </c>
      <c r="G189" s="90"/>
      <c r="H189" s="90"/>
      <c r="I189" s="90"/>
      <c r="J189" s="90"/>
      <c r="K189" s="90">
        <v>0.3</v>
      </c>
      <c r="L189" s="90"/>
      <c r="M189" s="90"/>
      <c r="N189" s="90"/>
      <c r="P189" s="90">
        <f t="shared" si="14"/>
        <v>1.3</v>
      </c>
      <c r="Q189" s="90">
        <f>SUM($B189:E189)</f>
        <v>9.1999999999999998E-2</v>
      </c>
      <c r="R189" s="89"/>
      <c r="AH189" s="90">
        <f t="shared" si="15"/>
        <v>0</v>
      </c>
      <c r="AI189" s="90">
        <f t="shared" si="16"/>
        <v>0</v>
      </c>
      <c r="AJ189" s="89"/>
      <c r="AZ189" s="90">
        <f t="shared" si="17"/>
        <v>0</v>
      </c>
      <c r="BA189" s="90">
        <f>ROUND(AZ189*IFERROR(VLOOKUP($AK189,'3121% SY'!$A$2:$M$324,13,FALSE),0),3)</f>
        <v>0</v>
      </c>
      <c r="BB189" s="90">
        <f t="shared" si="18"/>
        <v>0</v>
      </c>
      <c r="BC189" s="90">
        <f>ROUND(BB189*IFERROR(VLOOKUP($AK189,'3121% SY'!$A$2:$M$324,13,FALSE),0),3)</f>
        <v>0</v>
      </c>
    </row>
    <row r="190" spans="1:55" x14ac:dyDescent="0.25">
      <c r="A190" s="88" t="s">
        <v>202</v>
      </c>
      <c r="B190" s="90"/>
      <c r="C190" s="90">
        <v>0.64200000000000002</v>
      </c>
      <c r="D190" s="90">
        <v>1.1299999999999999</v>
      </c>
      <c r="E190" s="90"/>
      <c r="F190" s="90">
        <v>0.12</v>
      </c>
      <c r="G190" s="90"/>
      <c r="H190" s="90"/>
      <c r="I190" s="90"/>
      <c r="J190" s="90"/>
      <c r="K190" s="90"/>
      <c r="L190" s="90"/>
      <c r="M190" s="90"/>
      <c r="N190" s="90"/>
      <c r="P190" s="90">
        <f t="shared" si="14"/>
        <v>0.12</v>
      </c>
      <c r="Q190" s="90">
        <f>SUM($B190:E190)</f>
        <v>1.7719999999999998</v>
      </c>
      <c r="R190" s="89"/>
      <c r="AH190" s="90">
        <f t="shared" si="15"/>
        <v>0</v>
      </c>
      <c r="AI190" s="90">
        <f t="shared" si="16"/>
        <v>0</v>
      </c>
      <c r="AJ190" s="89"/>
      <c r="AZ190" s="90">
        <f t="shared" si="17"/>
        <v>0</v>
      </c>
      <c r="BA190" s="90">
        <f>ROUND(AZ190*IFERROR(VLOOKUP($AK190,'3121% SY'!$A$2:$M$324,13,FALSE),0),3)</f>
        <v>0</v>
      </c>
      <c r="BB190" s="90">
        <f t="shared" si="18"/>
        <v>0</v>
      </c>
      <c r="BC190" s="90">
        <f>ROUND(BB190*IFERROR(VLOOKUP($AK190,'3121% SY'!$A$2:$M$324,13,FALSE),0),3)</f>
        <v>0</v>
      </c>
    </row>
    <row r="191" spans="1:55" x14ac:dyDescent="0.25">
      <c r="A191" s="88" t="s">
        <v>203</v>
      </c>
      <c r="B191" s="90">
        <v>2.6629999999999998</v>
      </c>
      <c r="C191" s="90"/>
      <c r="D191" s="90">
        <v>2.42</v>
      </c>
      <c r="E191" s="90">
        <v>4.3999999999999997E-2</v>
      </c>
      <c r="F191" s="90">
        <v>3.5</v>
      </c>
      <c r="G191" s="90"/>
      <c r="H191" s="90"/>
      <c r="I191" s="90"/>
      <c r="J191" s="90"/>
      <c r="K191" s="90">
        <v>1</v>
      </c>
      <c r="L191" s="90"/>
      <c r="M191" s="90"/>
      <c r="N191" s="90"/>
      <c r="P191" s="90">
        <f t="shared" si="14"/>
        <v>4.5</v>
      </c>
      <c r="Q191" s="90">
        <f>SUM($B191:E191)</f>
        <v>5.1269999999999998</v>
      </c>
      <c r="R191" s="89"/>
      <c r="AH191" s="90">
        <f t="shared" si="15"/>
        <v>0</v>
      </c>
      <c r="AI191" s="90">
        <f t="shared" si="16"/>
        <v>0</v>
      </c>
      <c r="AJ191" s="89"/>
      <c r="AZ191" s="90">
        <f t="shared" si="17"/>
        <v>0</v>
      </c>
      <c r="BA191" s="90">
        <f>ROUND(AZ191*IFERROR(VLOOKUP($AK191,'3121% SY'!$A$2:$M$324,13,FALSE),0),3)</f>
        <v>0</v>
      </c>
      <c r="BB191" s="90">
        <f t="shared" si="18"/>
        <v>0</v>
      </c>
      <c r="BC191" s="90">
        <f>ROUND(BB191*IFERROR(VLOOKUP($AK191,'3121% SY'!$A$2:$M$324,13,FALSE),0),3)</f>
        <v>0</v>
      </c>
    </row>
    <row r="192" spans="1:55" x14ac:dyDescent="0.25">
      <c r="A192" s="88" t="s">
        <v>204</v>
      </c>
      <c r="B192" s="90">
        <v>0.69199999999999995</v>
      </c>
      <c r="C192" s="90">
        <v>0.78400000000000003</v>
      </c>
      <c r="D192" s="90">
        <v>0.878</v>
      </c>
      <c r="E192" s="90"/>
      <c r="F192" s="90">
        <v>3.3690000000000002</v>
      </c>
      <c r="G192" s="90"/>
      <c r="H192" s="90"/>
      <c r="I192" s="90"/>
      <c r="J192" s="90"/>
      <c r="K192" s="90">
        <v>0.30599999999999999</v>
      </c>
      <c r="L192" s="90"/>
      <c r="M192" s="90">
        <v>3.2000000000000001E-2</v>
      </c>
      <c r="N192" s="90"/>
      <c r="P192" s="90">
        <f t="shared" si="14"/>
        <v>3.7070000000000003</v>
      </c>
      <c r="Q192" s="90">
        <f>SUM($B192:E192)</f>
        <v>2.3540000000000001</v>
      </c>
      <c r="R192" s="89"/>
      <c r="AH192" s="90">
        <f t="shared" si="15"/>
        <v>0</v>
      </c>
      <c r="AI192" s="90">
        <f t="shared" si="16"/>
        <v>0</v>
      </c>
      <c r="AJ192" s="89"/>
      <c r="AZ192" s="90">
        <f t="shared" si="17"/>
        <v>0</v>
      </c>
      <c r="BA192" s="90">
        <f>ROUND(AZ192*IFERROR(VLOOKUP($AK192,'3121% SY'!$A$2:$M$324,13,FALSE),0),3)</f>
        <v>0</v>
      </c>
      <c r="BB192" s="90">
        <f t="shared" si="18"/>
        <v>0</v>
      </c>
      <c r="BC192" s="90">
        <f>ROUND(BB192*IFERROR(VLOOKUP($AK192,'3121% SY'!$A$2:$M$324,13,FALSE),0),3)</f>
        <v>0</v>
      </c>
    </row>
    <row r="193" spans="1:55" x14ac:dyDescent="0.25">
      <c r="A193" s="88" t="s">
        <v>205</v>
      </c>
      <c r="B193" s="90"/>
      <c r="C193" s="90">
        <v>5.4260000000000002</v>
      </c>
      <c r="D193" s="90">
        <v>3.32</v>
      </c>
      <c r="E193" s="90"/>
      <c r="F193" s="90">
        <v>2.5499999999999998</v>
      </c>
      <c r="G193" s="90"/>
      <c r="H193" s="90">
        <v>1</v>
      </c>
      <c r="I193" s="90"/>
      <c r="J193" s="90"/>
      <c r="K193" s="90">
        <v>0.307</v>
      </c>
      <c r="L193" s="90"/>
      <c r="M193" s="90"/>
      <c r="N193" s="90"/>
      <c r="P193" s="90">
        <f t="shared" si="14"/>
        <v>3.8569999999999998</v>
      </c>
      <c r="Q193" s="90">
        <f>SUM($B193:E193)</f>
        <v>8.7460000000000004</v>
      </c>
      <c r="R193" s="89"/>
      <c r="AH193" s="90">
        <f t="shared" si="15"/>
        <v>0</v>
      </c>
      <c r="AI193" s="90">
        <f t="shared" si="16"/>
        <v>0</v>
      </c>
      <c r="AJ193" s="89"/>
      <c r="AZ193" s="90">
        <f t="shared" si="17"/>
        <v>0</v>
      </c>
      <c r="BA193" s="90">
        <f>ROUND(AZ193*IFERROR(VLOOKUP($AK193,'3121% SY'!$A$2:$M$324,13,FALSE),0),3)</f>
        <v>0</v>
      </c>
      <c r="BB193" s="90">
        <f t="shared" si="18"/>
        <v>0</v>
      </c>
      <c r="BC193" s="90">
        <f>ROUND(BB193*IFERROR(VLOOKUP($AK193,'3121% SY'!$A$2:$M$324,13,FALSE),0),3)</f>
        <v>0</v>
      </c>
    </row>
    <row r="194" spans="1:55" x14ac:dyDescent="0.25">
      <c r="A194" s="88" t="s">
        <v>206</v>
      </c>
      <c r="B194" s="90"/>
      <c r="C194" s="90">
        <v>0.14000000000000001</v>
      </c>
      <c r="D194" s="90"/>
      <c r="E194" s="90"/>
      <c r="F194" s="90">
        <v>0.5</v>
      </c>
      <c r="G194" s="90"/>
      <c r="H194" s="90"/>
      <c r="I194" s="90"/>
      <c r="J194" s="90"/>
      <c r="K194" s="90"/>
      <c r="L194" s="90"/>
      <c r="M194" s="90"/>
      <c r="N194" s="90"/>
      <c r="P194" s="90">
        <f t="shared" si="14"/>
        <v>0.5</v>
      </c>
      <c r="Q194" s="90">
        <f>SUM($B194:E194)</f>
        <v>0.14000000000000001</v>
      </c>
      <c r="R194" s="89"/>
      <c r="AH194" s="90">
        <f t="shared" si="15"/>
        <v>0</v>
      </c>
      <c r="AI194" s="90">
        <f t="shared" si="16"/>
        <v>0</v>
      </c>
      <c r="AJ194" s="89"/>
      <c r="AZ194" s="90">
        <f t="shared" si="17"/>
        <v>0</v>
      </c>
      <c r="BA194" s="90">
        <f>ROUND(AZ194*IFERROR(VLOOKUP($AK194,'3121% SY'!$A$2:$M$324,13,FALSE),0),3)</f>
        <v>0</v>
      </c>
      <c r="BB194" s="90">
        <f t="shared" si="18"/>
        <v>0</v>
      </c>
      <c r="BC194" s="90">
        <f>ROUND(BB194*IFERROR(VLOOKUP($AK194,'3121% SY'!$A$2:$M$324,13,FALSE),0),3)</f>
        <v>0</v>
      </c>
    </row>
    <row r="195" spans="1:55" x14ac:dyDescent="0.25">
      <c r="A195" s="88" t="s">
        <v>207</v>
      </c>
      <c r="B195" s="90"/>
      <c r="C195" s="90">
        <v>0.874</v>
      </c>
      <c r="D195" s="90">
        <v>5.0999999999999997E-2</v>
      </c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P195" s="90">
        <f t="shared" si="14"/>
        <v>0</v>
      </c>
      <c r="Q195" s="90">
        <f>SUM($B195:E195)</f>
        <v>0.92500000000000004</v>
      </c>
      <c r="R195" s="89"/>
      <c r="AH195" s="90">
        <f t="shared" si="15"/>
        <v>0</v>
      </c>
      <c r="AI195" s="90">
        <f t="shared" si="16"/>
        <v>0</v>
      </c>
      <c r="AJ195" s="89"/>
      <c r="AZ195" s="90">
        <f t="shared" si="17"/>
        <v>0</v>
      </c>
      <c r="BA195" s="90">
        <f>ROUND(AZ195*IFERROR(VLOOKUP($AK195,'3121% SY'!$A$2:$M$324,13,FALSE),0),3)</f>
        <v>0</v>
      </c>
      <c r="BB195" s="90">
        <f t="shared" si="18"/>
        <v>0</v>
      </c>
      <c r="BC195" s="90">
        <f>ROUND(BB195*IFERROR(VLOOKUP($AK195,'3121% SY'!$A$2:$M$324,13,FALSE),0),3)</f>
        <v>0</v>
      </c>
    </row>
    <row r="196" spans="1:55" x14ac:dyDescent="0.25">
      <c r="A196" s="88" t="s">
        <v>208</v>
      </c>
      <c r="B196" s="90"/>
      <c r="C196" s="90">
        <v>0.73599999999999999</v>
      </c>
      <c r="D196" s="90">
        <v>3.3370000000000002</v>
      </c>
      <c r="E196" s="90">
        <v>4.4279999999999999</v>
      </c>
      <c r="F196" s="90">
        <v>4.5</v>
      </c>
      <c r="G196" s="90"/>
      <c r="H196" s="90">
        <v>0.8</v>
      </c>
      <c r="I196" s="90"/>
      <c r="J196" s="90"/>
      <c r="K196" s="90">
        <v>1.06</v>
      </c>
      <c r="L196" s="90"/>
      <c r="M196" s="90"/>
      <c r="N196" s="90"/>
      <c r="P196" s="90">
        <f t="shared" si="14"/>
        <v>6.3599999999999994</v>
      </c>
      <c r="Q196" s="90">
        <f>SUM($B196:E196)</f>
        <v>8.5010000000000012</v>
      </c>
      <c r="R196" s="89"/>
      <c r="AH196" s="90">
        <f t="shared" si="15"/>
        <v>0</v>
      </c>
      <c r="AI196" s="90">
        <f t="shared" si="16"/>
        <v>0</v>
      </c>
      <c r="AJ196" s="89"/>
      <c r="AZ196" s="90">
        <f t="shared" si="17"/>
        <v>0</v>
      </c>
      <c r="BA196" s="90">
        <f>ROUND(AZ196*IFERROR(VLOOKUP($AK196,'3121% SY'!$A$2:$M$324,13,FALSE),0),3)</f>
        <v>0</v>
      </c>
      <c r="BB196" s="90">
        <f t="shared" si="18"/>
        <v>0</v>
      </c>
      <c r="BC196" s="90">
        <f>ROUND(BB196*IFERROR(VLOOKUP($AK196,'3121% SY'!$A$2:$M$324,13,FALSE),0),3)</f>
        <v>0</v>
      </c>
    </row>
    <row r="197" spans="1:55" x14ac:dyDescent="0.25">
      <c r="A197" s="88" t="s">
        <v>209</v>
      </c>
      <c r="B197" s="90"/>
      <c r="C197" s="90"/>
      <c r="D197" s="90">
        <v>0.20100000000000001</v>
      </c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P197" s="90">
        <f t="shared" si="14"/>
        <v>0</v>
      </c>
      <c r="Q197" s="90">
        <f>SUM($B197:E197)</f>
        <v>0.20100000000000001</v>
      </c>
      <c r="R197" s="89"/>
      <c r="AH197" s="90">
        <f t="shared" si="15"/>
        <v>0</v>
      </c>
      <c r="AI197" s="90">
        <f t="shared" si="16"/>
        <v>0</v>
      </c>
      <c r="AJ197" s="89"/>
      <c r="AZ197" s="90">
        <f t="shared" si="17"/>
        <v>0</v>
      </c>
      <c r="BA197" s="90">
        <f>ROUND(AZ197*IFERROR(VLOOKUP($AK197,'3121% SY'!$A$2:$M$324,13,FALSE),0),3)</f>
        <v>0</v>
      </c>
      <c r="BB197" s="90">
        <f t="shared" si="18"/>
        <v>0</v>
      </c>
      <c r="BC197" s="90">
        <f>ROUND(BB197*IFERROR(VLOOKUP($AK197,'3121% SY'!$A$2:$M$324,13,FALSE),0),3)</f>
        <v>0</v>
      </c>
    </row>
    <row r="198" spans="1:55" x14ac:dyDescent="0.25">
      <c r="A198" s="88" t="s">
        <v>210</v>
      </c>
      <c r="B198" s="90"/>
      <c r="C198" s="90"/>
      <c r="D198" s="90">
        <v>0.28000000000000003</v>
      </c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P198" s="90">
        <f t="shared" si="14"/>
        <v>0</v>
      </c>
      <c r="Q198" s="90">
        <f>SUM($B198:E198)</f>
        <v>0.28000000000000003</v>
      </c>
      <c r="R198" s="89"/>
      <c r="AH198" s="90">
        <f t="shared" si="15"/>
        <v>0</v>
      </c>
      <c r="AI198" s="90">
        <f t="shared" si="16"/>
        <v>0</v>
      </c>
      <c r="AJ198" s="89"/>
      <c r="AZ198" s="90">
        <f t="shared" si="17"/>
        <v>0</v>
      </c>
      <c r="BA198" s="90">
        <f>ROUND(AZ198*IFERROR(VLOOKUP($AK198,'3121% SY'!$A$2:$M$324,13,FALSE),0),3)</f>
        <v>0</v>
      </c>
      <c r="BB198" s="90">
        <f t="shared" si="18"/>
        <v>0</v>
      </c>
      <c r="BC198" s="90">
        <f>ROUND(BB198*IFERROR(VLOOKUP($AK198,'3121% SY'!$A$2:$M$324,13,FALSE),0),3)</f>
        <v>0</v>
      </c>
    </row>
    <row r="199" spans="1:55" x14ac:dyDescent="0.25">
      <c r="A199" s="88" t="s">
        <v>211</v>
      </c>
      <c r="B199" s="90"/>
      <c r="C199" s="90"/>
      <c r="D199" s="90"/>
      <c r="E199" s="90"/>
      <c r="F199" s="90">
        <v>0.75</v>
      </c>
      <c r="G199" s="90"/>
      <c r="H199" s="90"/>
      <c r="I199" s="90"/>
      <c r="J199" s="90"/>
      <c r="K199" s="90"/>
      <c r="L199" s="90"/>
      <c r="M199" s="90"/>
      <c r="N199" s="90"/>
      <c r="P199" s="90">
        <f t="shared" ref="P199:P255" si="19">SUM(F199:O199)</f>
        <v>0.75</v>
      </c>
      <c r="Q199" s="90">
        <f>SUM($B199:E199)</f>
        <v>0</v>
      </c>
      <c r="R199" s="89"/>
      <c r="AH199" s="90">
        <f t="shared" ref="AH199:AH255" si="20">SUM(X199:AG199)</f>
        <v>0</v>
      </c>
      <c r="AI199" s="90">
        <f t="shared" ref="AI199:AI255" si="21">SUM(T199:W199)</f>
        <v>0</v>
      </c>
      <c r="AJ199" s="89"/>
      <c r="AZ199" s="90">
        <f t="shared" ref="AZ199:AZ255" si="22">SUM(AP199:AY199)</f>
        <v>0</v>
      </c>
      <c r="BA199" s="90">
        <f>ROUND(AZ199*IFERROR(VLOOKUP($AK199,'3121% SY'!$A$2:$M$324,13,FALSE),0),3)</f>
        <v>0</v>
      </c>
      <c r="BB199" s="90">
        <f t="shared" ref="BB199:BB255" si="23">SUM(AL199:AO199)</f>
        <v>0</v>
      </c>
      <c r="BC199" s="90">
        <f>ROUND(BB199*IFERROR(VLOOKUP($AK199,'3121% SY'!$A$2:$M$324,13,FALSE),0),3)</f>
        <v>0</v>
      </c>
    </row>
    <row r="200" spans="1:55" x14ac:dyDescent="0.25">
      <c r="A200" s="88" t="s">
        <v>212</v>
      </c>
      <c r="B200" s="90"/>
      <c r="C200" s="90">
        <v>0.88200000000000001</v>
      </c>
      <c r="D200" s="90"/>
      <c r="E200" s="90">
        <v>0.54500000000000004</v>
      </c>
      <c r="F200" s="90">
        <v>1.2</v>
      </c>
      <c r="G200" s="90"/>
      <c r="H200" s="90"/>
      <c r="I200" s="90"/>
      <c r="J200" s="90"/>
      <c r="K200" s="90"/>
      <c r="L200" s="90"/>
      <c r="M200" s="90"/>
      <c r="N200" s="90"/>
      <c r="P200" s="90">
        <f t="shared" si="19"/>
        <v>1.2</v>
      </c>
      <c r="Q200" s="90">
        <f>SUM($B200:E200)</f>
        <v>1.427</v>
      </c>
      <c r="R200" s="89"/>
      <c r="AH200" s="90">
        <f t="shared" si="20"/>
        <v>0</v>
      </c>
      <c r="AI200" s="90">
        <f t="shared" si="21"/>
        <v>0</v>
      </c>
      <c r="AJ200" s="89"/>
      <c r="AZ200" s="90">
        <f t="shared" si="22"/>
        <v>0</v>
      </c>
      <c r="BA200" s="90">
        <f>ROUND(AZ200*IFERROR(VLOOKUP($AK200,'3121% SY'!$A$2:$M$324,13,FALSE),0),3)</f>
        <v>0</v>
      </c>
      <c r="BB200" s="90">
        <f t="shared" si="23"/>
        <v>0</v>
      </c>
      <c r="BC200" s="90">
        <f>ROUND(BB200*IFERROR(VLOOKUP($AK200,'3121% SY'!$A$2:$M$324,13,FALSE),0),3)</f>
        <v>0</v>
      </c>
    </row>
    <row r="201" spans="1:55" x14ac:dyDescent="0.25">
      <c r="A201" s="88" t="s">
        <v>213</v>
      </c>
      <c r="B201" s="90">
        <v>0.64300000000000002</v>
      </c>
      <c r="C201" s="90">
        <v>33.484000000000002</v>
      </c>
      <c r="D201" s="90">
        <v>25.937999999999999</v>
      </c>
      <c r="E201" s="90">
        <v>9.19</v>
      </c>
      <c r="F201" s="90">
        <v>11.76</v>
      </c>
      <c r="G201" s="90"/>
      <c r="H201" s="90">
        <v>0.44400000000000001</v>
      </c>
      <c r="I201" s="90">
        <v>0.14799999999999999</v>
      </c>
      <c r="J201" s="90"/>
      <c r="K201" s="90"/>
      <c r="L201" s="90"/>
      <c r="M201" s="90"/>
      <c r="N201" s="90"/>
      <c r="P201" s="90">
        <f t="shared" si="19"/>
        <v>12.352</v>
      </c>
      <c r="Q201" s="90">
        <f>SUM($B201:E201)</f>
        <v>69.254999999999995</v>
      </c>
      <c r="R201" s="89"/>
      <c r="AH201" s="90">
        <f t="shared" si="20"/>
        <v>0</v>
      </c>
      <c r="AI201" s="90">
        <f t="shared" si="21"/>
        <v>0</v>
      </c>
      <c r="AJ201" s="89"/>
      <c r="AZ201" s="90">
        <f t="shared" si="22"/>
        <v>0</v>
      </c>
      <c r="BA201" s="90">
        <f>ROUND(AZ201*IFERROR(VLOOKUP($AK201,'3121% SY'!$A$2:$M$324,13,FALSE),0),3)</f>
        <v>0</v>
      </c>
      <c r="BB201" s="90">
        <f t="shared" si="23"/>
        <v>0</v>
      </c>
      <c r="BC201" s="90">
        <f>ROUND(BB201*IFERROR(VLOOKUP($AK201,'3121% SY'!$A$2:$M$324,13,FALSE),0),3)</f>
        <v>0</v>
      </c>
    </row>
    <row r="202" spans="1:55" x14ac:dyDescent="0.25">
      <c r="A202" s="88" t="s">
        <v>214</v>
      </c>
      <c r="B202" s="90">
        <v>4.6349999999999998</v>
      </c>
      <c r="C202" s="90"/>
      <c r="D202" s="90">
        <v>15.202999999999999</v>
      </c>
      <c r="E202" s="90"/>
      <c r="F202" s="90">
        <v>10.1</v>
      </c>
      <c r="G202" s="90"/>
      <c r="H202" s="90"/>
      <c r="I202" s="90"/>
      <c r="J202" s="90"/>
      <c r="K202" s="90"/>
      <c r="L202" s="90"/>
      <c r="M202" s="90"/>
      <c r="N202" s="90"/>
      <c r="P202" s="90">
        <f t="shared" si="19"/>
        <v>10.1</v>
      </c>
      <c r="Q202" s="90">
        <f>SUM($B202:E202)</f>
        <v>19.838000000000001</v>
      </c>
      <c r="R202" s="89"/>
      <c r="AH202" s="90">
        <f t="shared" si="20"/>
        <v>0</v>
      </c>
      <c r="AI202" s="90">
        <f t="shared" si="21"/>
        <v>0</v>
      </c>
      <c r="AJ202" s="89"/>
      <c r="AZ202" s="90">
        <f t="shared" si="22"/>
        <v>0</v>
      </c>
      <c r="BA202" s="90">
        <f>ROUND(AZ202*IFERROR(VLOOKUP($AK202,'3121% SY'!$A$2:$M$324,13,FALSE),0),3)</f>
        <v>0</v>
      </c>
      <c r="BB202" s="90">
        <f t="shared" si="23"/>
        <v>0</v>
      </c>
      <c r="BC202" s="90">
        <f>ROUND(BB202*IFERROR(VLOOKUP($AK202,'3121% SY'!$A$2:$M$324,13,FALSE),0),3)</f>
        <v>0</v>
      </c>
    </row>
    <row r="203" spans="1:55" x14ac:dyDescent="0.25">
      <c r="A203" s="88" t="s">
        <v>215</v>
      </c>
      <c r="B203" s="90"/>
      <c r="C203" s="90"/>
      <c r="D203" s="90">
        <v>2.4220000000000002</v>
      </c>
      <c r="E203" s="90">
        <v>5.5359999999999996</v>
      </c>
      <c r="F203" s="90">
        <v>11.65</v>
      </c>
      <c r="G203" s="90"/>
      <c r="H203" s="90"/>
      <c r="I203" s="90"/>
      <c r="J203" s="90"/>
      <c r="K203" s="90">
        <v>2.956</v>
      </c>
      <c r="L203" s="90"/>
      <c r="M203" s="90"/>
      <c r="N203" s="90"/>
      <c r="P203" s="90">
        <f t="shared" si="19"/>
        <v>14.606</v>
      </c>
      <c r="Q203" s="90">
        <f>SUM($B203:E203)</f>
        <v>7.9580000000000002</v>
      </c>
      <c r="R203" s="89"/>
      <c r="AH203" s="90">
        <f t="shared" si="20"/>
        <v>0</v>
      </c>
      <c r="AI203" s="90">
        <f t="shared" si="21"/>
        <v>0</v>
      </c>
      <c r="AJ203" s="89"/>
      <c r="AZ203" s="90">
        <f t="shared" si="22"/>
        <v>0</v>
      </c>
      <c r="BA203" s="90">
        <f>ROUND(AZ203*IFERROR(VLOOKUP($AK203,'3121% SY'!$A$2:$M$324,13,FALSE),0),3)</f>
        <v>0</v>
      </c>
      <c r="BB203" s="90">
        <f t="shared" si="23"/>
        <v>0</v>
      </c>
      <c r="BC203" s="90">
        <f>ROUND(BB203*IFERROR(VLOOKUP($AK203,'3121% SY'!$A$2:$M$324,13,FALSE),0),3)</f>
        <v>0</v>
      </c>
    </row>
    <row r="204" spans="1:55" x14ac:dyDescent="0.25">
      <c r="A204" s="88" t="s">
        <v>216</v>
      </c>
      <c r="B204" s="90">
        <v>3.3180000000000001</v>
      </c>
      <c r="C204" s="90">
        <v>9.0180000000000007</v>
      </c>
      <c r="D204" s="90">
        <v>4.5069999999999997</v>
      </c>
      <c r="E204" s="90">
        <v>3.5489999999999999</v>
      </c>
      <c r="F204" s="90">
        <v>19.292000000000002</v>
      </c>
      <c r="G204" s="90"/>
      <c r="H204" s="90"/>
      <c r="I204" s="90"/>
      <c r="J204" s="90"/>
      <c r="K204" s="90">
        <v>4.4000000000000004</v>
      </c>
      <c r="L204" s="90"/>
      <c r="M204" s="90"/>
      <c r="N204" s="90"/>
      <c r="P204" s="90">
        <f t="shared" si="19"/>
        <v>23.692</v>
      </c>
      <c r="Q204" s="90">
        <f>SUM($B204:E204)</f>
        <v>20.391999999999999</v>
      </c>
      <c r="R204" s="89"/>
      <c r="AH204" s="90">
        <f t="shared" si="20"/>
        <v>0</v>
      </c>
      <c r="AI204" s="90">
        <f t="shared" si="21"/>
        <v>0</v>
      </c>
      <c r="AJ204" s="89"/>
      <c r="AZ204" s="90">
        <f t="shared" si="22"/>
        <v>0</v>
      </c>
      <c r="BA204" s="90">
        <f>ROUND(AZ204*IFERROR(VLOOKUP($AK204,'3121% SY'!$A$2:$M$324,13,FALSE),0),3)</f>
        <v>0</v>
      </c>
      <c r="BB204" s="90">
        <f t="shared" si="23"/>
        <v>0</v>
      </c>
      <c r="BC204" s="90">
        <f>ROUND(BB204*IFERROR(VLOOKUP($AK204,'3121% SY'!$A$2:$M$324,13,FALSE),0),3)</f>
        <v>0</v>
      </c>
    </row>
    <row r="205" spans="1:55" x14ac:dyDescent="0.25">
      <c r="A205" s="88" t="s">
        <v>217</v>
      </c>
      <c r="B205" s="90"/>
      <c r="C205" s="90">
        <v>1.349</v>
      </c>
      <c r="D205" s="90">
        <v>1.5720000000000001</v>
      </c>
      <c r="E205" s="90"/>
      <c r="F205" s="90">
        <v>5.5</v>
      </c>
      <c r="G205" s="90"/>
      <c r="H205" s="90"/>
      <c r="I205" s="90"/>
      <c r="J205" s="90"/>
      <c r="K205" s="90"/>
      <c r="L205" s="90"/>
      <c r="M205" s="90"/>
      <c r="N205" s="90"/>
      <c r="P205" s="90">
        <f t="shared" si="19"/>
        <v>5.5</v>
      </c>
      <c r="Q205" s="90">
        <f>SUM($B205:E205)</f>
        <v>2.9210000000000003</v>
      </c>
      <c r="R205" s="89"/>
      <c r="AH205" s="90">
        <f t="shared" si="20"/>
        <v>0</v>
      </c>
      <c r="AI205" s="90">
        <f t="shared" si="21"/>
        <v>0</v>
      </c>
      <c r="AJ205" s="89"/>
      <c r="AZ205" s="90">
        <f t="shared" si="22"/>
        <v>0</v>
      </c>
      <c r="BA205" s="90">
        <f>ROUND(AZ205*IFERROR(VLOOKUP($AK205,'3121% SY'!$A$2:$M$324,13,FALSE),0),3)</f>
        <v>0</v>
      </c>
      <c r="BB205" s="90">
        <f t="shared" si="23"/>
        <v>0</v>
      </c>
      <c r="BC205" s="90">
        <f>ROUND(BB205*IFERROR(VLOOKUP($AK205,'3121% SY'!$A$2:$M$324,13,FALSE),0),3)</f>
        <v>0</v>
      </c>
    </row>
    <row r="206" spans="1:55" x14ac:dyDescent="0.25">
      <c r="A206" s="88" t="s">
        <v>218</v>
      </c>
      <c r="B206" s="90">
        <v>1.8260000000000001</v>
      </c>
      <c r="C206" s="90">
        <v>13.766999999999999</v>
      </c>
      <c r="D206" s="90">
        <v>13.131</v>
      </c>
      <c r="E206" s="90"/>
      <c r="F206" s="90">
        <v>6.4340000000000002</v>
      </c>
      <c r="G206" s="90"/>
      <c r="H206" s="90"/>
      <c r="I206" s="90"/>
      <c r="J206" s="90"/>
      <c r="K206" s="90"/>
      <c r="L206" s="90"/>
      <c r="M206" s="90"/>
      <c r="N206" s="90"/>
      <c r="P206" s="90">
        <f t="shared" si="19"/>
        <v>6.4340000000000002</v>
      </c>
      <c r="Q206" s="90">
        <f>SUM($B206:E206)</f>
        <v>28.724</v>
      </c>
      <c r="R206" s="89"/>
      <c r="AH206" s="90">
        <f t="shared" si="20"/>
        <v>0</v>
      </c>
      <c r="AI206" s="90">
        <f t="shared" si="21"/>
        <v>0</v>
      </c>
      <c r="AJ206" s="89"/>
      <c r="AZ206" s="90">
        <f t="shared" si="22"/>
        <v>0</v>
      </c>
      <c r="BA206" s="90">
        <f>ROUND(AZ206*IFERROR(VLOOKUP($AK206,'3121% SY'!$A$2:$M$324,13,FALSE),0),3)</f>
        <v>0</v>
      </c>
      <c r="BB206" s="90">
        <f t="shared" si="23"/>
        <v>0</v>
      </c>
      <c r="BC206" s="90">
        <f>ROUND(BB206*IFERROR(VLOOKUP($AK206,'3121% SY'!$A$2:$M$324,13,FALSE),0),3)</f>
        <v>0</v>
      </c>
    </row>
    <row r="207" spans="1:55" x14ac:dyDescent="0.25">
      <c r="A207" s="88" t="s">
        <v>220</v>
      </c>
      <c r="B207" s="90">
        <v>0.78</v>
      </c>
      <c r="C207" s="90">
        <v>4.3739999999999997</v>
      </c>
      <c r="D207" s="90">
        <v>2.2850000000000001</v>
      </c>
      <c r="E207" s="90">
        <v>2.226</v>
      </c>
      <c r="F207" s="90">
        <v>3.5169999999999999</v>
      </c>
      <c r="G207" s="90"/>
      <c r="H207" s="90"/>
      <c r="I207" s="90"/>
      <c r="J207" s="90"/>
      <c r="K207" s="90">
        <v>1.0580000000000001</v>
      </c>
      <c r="L207" s="90"/>
      <c r="M207" s="90"/>
      <c r="N207" s="90"/>
      <c r="P207" s="90">
        <f t="shared" si="19"/>
        <v>4.5750000000000002</v>
      </c>
      <c r="Q207" s="90">
        <f>SUM($B207:E207)</f>
        <v>9.6649999999999991</v>
      </c>
      <c r="R207" s="89"/>
      <c r="AH207" s="90">
        <f t="shared" si="20"/>
        <v>0</v>
      </c>
      <c r="AI207" s="90">
        <f t="shared" si="21"/>
        <v>0</v>
      </c>
      <c r="AJ207" s="89"/>
      <c r="AZ207" s="90">
        <f t="shared" si="22"/>
        <v>0</v>
      </c>
      <c r="BA207" s="90">
        <f>ROUND(AZ207*IFERROR(VLOOKUP($AK207,'3121% SY'!$A$2:$M$324,13,FALSE),0),3)</f>
        <v>0</v>
      </c>
      <c r="BB207" s="90">
        <f t="shared" si="23"/>
        <v>0</v>
      </c>
      <c r="BC207" s="90">
        <f>ROUND(BB207*IFERROR(VLOOKUP($AK207,'3121% SY'!$A$2:$M$324,13,FALSE),0),3)</f>
        <v>0</v>
      </c>
    </row>
    <row r="208" spans="1:55" x14ac:dyDescent="0.25">
      <c r="A208" s="88" t="s">
        <v>221</v>
      </c>
      <c r="B208" s="90"/>
      <c r="C208" s="90"/>
      <c r="D208" s="90">
        <v>0.54800000000000004</v>
      </c>
      <c r="E208" s="90">
        <v>1.37</v>
      </c>
      <c r="F208" s="90">
        <v>9</v>
      </c>
      <c r="G208" s="90"/>
      <c r="H208" s="90"/>
      <c r="I208" s="90"/>
      <c r="J208" s="90">
        <v>1.4</v>
      </c>
      <c r="K208" s="90"/>
      <c r="L208" s="90"/>
      <c r="M208" s="90"/>
      <c r="N208" s="90"/>
      <c r="P208" s="90">
        <f t="shared" si="19"/>
        <v>10.4</v>
      </c>
      <c r="Q208" s="90">
        <f>SUM($B208:E208)</f>
        <v>1.9180000000000001</v>
      </c>
      <c r="R208" s="89"/>
      <c r="AH208" s="90">
        <f t="shared" si="20"/>
        <v>0</v>
      </c>
      <c r="AI208" s="90">
        <f t="shared" si="21"/>
        <v>0</v>
      </c>
      <c r="AJ208" s="89"/>
      <c r="AZ208" s="90">
        <f t="shared" si="22"/>
        <v>0</v>
      </c>
      <c r="BA208" s="90">
        <f>ROUND(AZ208*IFERROR(VLOOKUP($AK208,'3121% SY'!$A$2:$M$324,13,FALSE),0),3)</f>
        <v>0</v>
      </c>
      <c r="BB208" s="90">
        <f t="shared" si="23"/>
        <v>0</v>
      </c>
      <c r="BC208" s="90">
        <f>ROUND(BB208*IFERROR(VLOOKUP($AK208,'3121% SY'!$A$2:$M$324,13,FALSE),0),3)</f>
        <v>0</v>
      </c>
    </row>
    <row r="209" spans="1:55" x14ac:dyDescent="0.25">
      <c r="A209" s="88" t="s">
        <v>222</v>
      </c>
      <c r="B209" s="90"/>
      <c r="C209" s="90">
        <v>2.871</v>
      </c>
      <c r="D209" s="90">
        <v>2.6240000000000001</v>
      </c>
      <c r="E209" s="90"/>
      <c r="F209" s="90">
        <v>2</v>
      </c>
      <c r="G209" s="90"/>
      <c r="H209" s="90"/>
      <c r="I209" s="90"/>
      <c r="J209" s="90"/>
      <c r="K209" s="90"/>
      <c r="L209" s="90"/>
      <c r="M209" s="90"/>
      <c r="N209" s="90"/>
      <c r="P209" s="90">
        <f t="shared" si="19"/>
        <v>2</v>
      </c>
      <c r="Q209" s="90">
        <f>SUM($B209:E209)</f>
        <v>5.4950000000000001</v>
      </c>
      <c r="R209" s="89"/>
      <c r="AH209" s="90">
        <f t="shared" si="20"/>
        <v>0</v>
      </c>
      <c r="AI209" s="90">
        <f t="shared" si="21"/>
        <v>0</v>
      </c>
      <c r="AJ209" s="89"/>
      <c r="AZ209" s="90">
        <f t="shared" si="22"/>
        <v>0</v>
      </c>
      <c r="BA209" s="90">
        <f>ROUND(AZ209*IFERROR(VLOOKUP($AK209,'3121% SY'!$A$2:$M$324,13,FALSE),0),3)</f>
        <v>0</v>
      </c>
      <c r="BB209" s="90">
        <f t="shared" si="23"/>
        <v>0</v>
      </c>
      <c r="BC209" s="90">
        <f>ROUND(BB209*IFERROR(VLOOKUP($AK209,'3121% SY'!$A$2:$M$324,13,FALSE),0),3)</f>
        <v>0</v>
      </c>
    </row>
    <row r="210" spans="1:55" x14ac:dyDescent="0.25">
      <c r="A210" s="88" t="s">
        <v>223</v>
      </c>
      <c r="B210" s="90">
        <v>1.63</v>
      </c>
      <c r="C210" s="90">
        <v>5.8000000000000003E-2</v>
      </c>
      <c r="D210" s="90">
        <v>1.081</v>
      </c>
      <c r="E210" s="90"/>
      <c r="F210" s="90">
        <v>1.9</v>
      </c>
      <c r="G210" s="90"/>
      <c r="H210" s="90"/>
      <c r="I210" s="90"/>
      <c r="J210" s="90"/>
      <c r="K210" s="90"/>
      <c r="L210" s="90"/>
      <c r="M210" s="90"/>
      <c r="N210" s="90"/>
      <c r="P210" s="90">
        <f t="shared" si="19"/>
        <v>1.9</v>
      </c>
      <c r="Q210" s="90">
        <f>SUM($B210:E210)</f>
        <v>2.7690000000000001</v>
      </c>
      <c r="R210" s="89"/>
      <c r="AH210" s="90">
        <f t="shared" si="20"/>
        <v>0</v>
      </c>
      <c r="AI210" s="90">
        <f t="shared" si="21"/>
        <v>0</v>
      </c>
      <c r="AJ210" s="89"/>
      <c r="AZ210" s="90">
        <f t="shared" si="22"/>
        <v>0</v>
      </c>
      <c r="BA210" s="90">
        <f>ROUND(AZ210*IFERROR(VLOOKUP($AK210,'3121% SY'!$A$2:$M$324,13,FALSE),0),3)</f>
        <v>0</v>
      </c>
      <c r="BB210" s="90">
        <f t="shared" si="23"/>
        <v>0</v>
      </c>
      <c r="BC210" s="90">
        <f>ROUND(BB210*IFERROR(VLOOKUP($AK210,'3121% SY'!$A$2:$M$324,13,FALSE),0),3)</f>
        <v>0</v>
      </c>
    </row>
    <row r="211" spans="1:55" x14ac:dyDescent="0.25">
      <c r="A211" s="88" t="s">
        <v>224</v>
      </c>
      <c r="B211" s="90"/>
      <c r="C211" s="90">
        <v>1.0840000000000001</v>
      </c>
      <c r="D211" s="90">
        <v>0.23799999999999999</v>
      </c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P211" s="90">
        <f t="shared" si="19"/>
        <v>0</v>
      </c>
      <c r="Q211" s="90">
        <f>SUM($B211:E211)</f>
        <v>1.3220000000000001</v>
      </c>
      <c r="R211" s="89"/>
      <c r="AH211" s="90">
        <f t="shared" si="20"/>
        <v>0</v>
      </c>
      <c r="AI211" s="90">
        <f t="shared" si="21"/>
        <v>0</v>
      </c>
      <c r="AJ211" s="89"/>
      <c r="AZ211" s="90">
        <f t="shared" si="22"/>
        <v>0</v>
      </c>
      <c r="BA211" s="90">
        <f>ROUND(AZ211*IFERROR(VLOOKUP($AK211,'3121% SY'!$A$2:$M$324,13,FALSE),0),3)</f>
        <v>0</v>
      </c>
      <c r="BB211" s="90">
        <f t="shared" si="23"/>
        <v>0</v>
      </c>
      <c r="BC211" s="90">
        <f>ROUND(BB211*IFERROR(VLOOKUP($AK211,'3121% SY'!$A$2:$M$324,13,FALSE),0),3)</f>
        <v>0</v>
      </c>
    </row>
    <row r="212" spans="1:55" x14ac:dyDescent="0.25">
      <c r="A212" s="88" t="s">
        <v>225</v>
      </c>
      <c r="B212" s="90"/>
      <c r="C212" s="90">
        <v>7.0229999999999997</v>
      </c>
      <c r="D212" s="90">
        <v>2.5710000000000002</v>
      </c>
      <c r="E212" s="90"/>
      <c r="F212" s="90">
        <v>1.5</v>
      </c>
      <c r="G212" s="90"/>
      <c r="H212" s="90"/>
      <c r="I212" s="90"/>
      <c r="J212" s="90"/>
      <c r="K212" s="90"/>
      <c r="L212" s="90"/>
      <c r="M212" s="90"/>
      <c r="N212" s="90"/>
      <c r="P212" s="90">
        <f t="shared" si="19"/>
        <v>1.5</v>
      </c>
      <c r="Q212" s="90">
        <f>SUM($B212:E212)</f>
        <v>9.5939999999999994</v>
      </c>
      <c r="R212" s="89"/>
      <c r="AH212" s="90">
        <f t="shared" si="20"/>
        <v>0</v>
      </c>
      <c r="AI212" s="90">
        <f t="shared" si="21"/>
        <v>0</v>
      </c>
      <c r="AJ212" s="89"/>
      <c r="AZ212" s="90">
        <f t="shared" si="22"/>
        <v>0</v>
      </c>
      <c r="BA212" s="90">
        <f>ROUND(AZ212*IFERROR(VLOOKUP($AK212,'3121% SY'!$A$2:$M$324,13,FALSE),0),3)</f>
        <v>0</v>
      </c>
      <c r="BB212" s="90">
        <f t="shared" si="23"/>
        <v>0</v>
      </c>
      <c r="BC212" s="90">
        <f>ROUND(BB212*IFERROR(VLOOKUP($AK212,'3121% SY'!$A$2:$M$324,13,FALSE),0),3)</f>
        <v>0</v>
      </c>
    </row>
    <row r="213" spans="1:55" x14ac:dyDescent="0.25">
      <c r="A213" s="88" t="s">
        <v>226</v>
      </c>
      <c r="B213" s="90"/>
      <c r="C213" s="90">
        <v>2.4E-2</v>
      </c>
      <c r="D213" s="90">
        <v>0.55400000000000005</v>
      </c>
      <c r="E213" s="90">
        <v>0.64300000000000002</v>
      </c>
      <c r="F213" s="90">
        <v>3.1</v>
      </c>
      <c r="G213" s="90"/>
      <c r="H213" s="90"/>
      <c r="I213" s="90"/>
      <c r="J213" s="90"/>
      <c r="K213" s="90"/>
      <c r="L213" s="90"/>
      <c r="M213" s="90"/>
      <c r="N213" s="90"/>
      <c r="P213" s="90">
        <f t="shared" si="19"/>
        <v>3.1</v>
      </c>
      <c r="Q213" s="90">
        <f>SUM($B213:E213)</f>
        <v>1.2210000000000001</v>
      </c>
      <c r="R213" s="89"/>
      <c r="AH213" s="90">
        <f t="shared" si="20"/>
        <v>0</v>
      </c>
      <c r="AI213" s="90">
        <f t="shared" si="21"/>
        <v>0</v>
      </c>
      <c r="AJ213" s="89"/>
      <c r="AZ213" s="90">
        <f t="shared" si="22"/>
        <v>0</v>
      </c>
      <c r="BA213" s="90">
        <f>ROUND(AZ213*IFERROR(VLOOKUP($AK213,'3121% SY'!$A$2:$M$324,13,FALSE),0),3)</f>
        <v>0</v>
      </c>
      <c r="BB213" s="90">
        <f t="shared" si="23"/>
        <v>0</v>
      </c>
      <c r="BC213" s="90">
        <f>ROUND(BB213*IFERROR(VLOOKUP($AK213,'3121% SY'!$A$2:$M$324,13,FALSE),0),3)</f>
        <v>0</v>
      </c>
    </row>
    <row r="214" spans="1:55" x14ac:dyDescent="0.25">
      <c r="A214" s="88" t="s">
        <v>1</v>
      </c>
      <c r="B214" s="90">
        <v>0.73099999999999998</v>
      </c>
      <c r="C214" s="90">
        <v>24.501999999999999</v>
      </c>
      <c r="D214" s="90">
        <v>3.7629999999999999</v>
      </c>
      <c r="E214" s="90">
        <v>6.3890000000000002</v>
      </c>
      <c r="F214" s="90">
        <v>30</v>
      </c>
      <c r="G214" s="90">
        <v>0.188</v>
      </c>
      <c r="H214" s="90"/>
      <c r="I214" s="90">
        <v>0.124</v>
      </c>
      <c r="J214" s="90"/>
      <c r="K214" s="90">
        <v>3.2789999999999999</v>
      </c>
      <c r="L214" s="90">
        <v>0.11700000000000001</v>
      </c>
      <c r="M214" s="90"/>
      <c r="N214" s="90"/>
      <c r="P214" s="90">
        <f t="shared" si="19"/>
        <v>33.707999999999991</v>
      </c>
      <c r="Q214" s="90">
        <f>SUM($B214:E214)</f>
        <v>35.385000000000005</v>
      </c>
      <c r="R214" s="89"/>
      <c r="AH214" s="90">
        <f t="shared" si="20"/>
        <v>0</v>
      </c>
      <c r="AI214" s="90">
        <f t="shared" si="21"/>
        <v>0</v>
      </c>
      <c r="AJ214" s="89"/>
      <c r="AZ214" s="90">
        <f t="shared" si="22"/>
        <v>0</v>
      </c>
      <c r="BA214" s="90">
        <f>ROUND(AZ214*IFERROR(VLOOKUP($AK214,'3121% SY'!$A$2:$M$324,13,FALSE),0),3)</f>
        <v>0</v>
      </c>
      <c r="BB214" s="90">
        <f t="shared" si="23"/>
        <v>0</v>
      </c>
      <c r="BC214" s="90">
        <f>ROUND(BB214*IFERROR(VLOOKUP($AK214,'3121% SY'!$A$2:$M$324,13,FALSE),0),3)</f>
        <v>0</v>
      </c>
    </row>
    <row r="215" spans="1:55" x14ac:dyDescent="0.25">
      <c r="A215" s="88" t="s">
        <v>227</v>
      </c>
      <c r="B215" s="90">
        <v>0.13700000000000001</v>
      </c>
      <c r="C215" s="90"/>
      <c r="D215" s="90">
        <v>7.6999999999999999E-2</v>
      </c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P215" s="90">
        <f t="shared" si="19"/>
        <v>0</v>
      </c>
      <c r="Q215" s="90">
        <f>SUM($B215:E215)</f>
        <v>0.21400000000000002</v>
      </c>
      <c r="R215" s="89"/>
      <c r="AH215" s="90">
        <f t="shared" si="20"/>
        <v>0</v>
      </c>
      <c r="AI215" s="90">
        <f t="shared" si="21"/>
        <v>0</v>
      </c>
      <c r="AJ215" s="89"/>
      <c r="AZ215" s="90">
        <f t="shared" si="22"/>
        <v>0</v>
      </c>
      <c r="BA215" s="90">
        <f>ROUND(AZ215*IFERROR(VLOOKUP($AK215,'3121% SY'!$A$2:$M$324,13,FALSE),0),3)</f>
        <v>0</v>
      </c>
      <c r="BB215" s="90">
        <f t="shared" si="23"/>
        <v>0</v>
      </c>
      <c r="BC215" s="90">
        <f>ROUND(BB215*IFERROR(VLOOKUP($AK215,'3121% SY'!$A$2:$M$324,13,FALSE),0),3)</f>
        <v>0</v>
      </c>
    </row>
    <row r="216" spans="1:55" x14ac:dyDescent="0.25">
      <c r="A216" s="88" t="s">
        <v>228</v>
      </c>
      <c r="B216" s="90"/>
      <c r="C216" s="90"/>
      <c r="D216" s="90">
        <v>0.28799999999999998</v>
      </c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P216" s="90">
        <f t="shared" si="19"/>
        <v>0</v>
      </c>
      <c r="Q216" s="90">
        <f>SUM($B216:E216)</f>
        <v>0.28799999999999998</v>
      </c>
      <c r="R216" s="89"/>
      <c r="AH216" s="90">
        <f t="shared" si="20"/>
        <v>0</v>
      </c>
      <c r="AI216" s="90">
        <f t="shared" si="21"/>
        <v>0</v>
      </c>
      <c r="AJ216" s="89"/>
      <c r="AZ216" s="90">
        <f t="shared" si="22"/>
        <v>0</v>
      </c>
      <c r="BA216" s="90">
        <f>ROUND(AZ216*IFERROR(VLOOKUP($AK216,'3121% SY'!$A$2:$M$324,13,FALSE),0),3)</f>
        <v>0</v>
      </c>
      <c r="BB216" s="90">
        <f t="shared" si="23"/>
        <v>0</v>
      </c>
      <c r="BC216" s="90">
        <f>ROUND(BB216*IFERROR(VLOOKUP($AK216,'3121% SY'!$A$2:$M$324,13,FALSE),0),3)</f>
        <v>0</v>
      </c>
    </row>
    <row r="217" spans="1:55" x14ac:dyDescent="0.25">
      <c r="A217" s="88" t="s">
        <v>229</v>
      </c>
      <c r="B217" s="90"/>
      <c r="C217" s="90"/>
      <c r="D217" s="90">
        <v>0.59099999999999997</v>
      </c>
      <c r="E217" s="90"/>
      <c r="F217" s="90">
        <v>1.4</v>
      </c>
      <c r="G217" s="90"/>
      <c r="H217" s="90"/>
      <c r="I217" s="90"/>
      <c r="J217" s="90"/>
      <c r="K217" s="90">
        <v>0.76</v>
      </c>
      <c r="L217" s="90"/>
      <c r="M217" s="90"/>
      <c r="N217" s="90"/>
      <c r="P217" s="90">
        <f t="shared" si="19"/>
        <v>2.16</v>
      </c>
      <c r="Q217" s="90">
        <f>SUM($B217:E217)</f>
        <v>0.59099999999999997</v>
      </c>
      <c r="R217" s="89"/>
      <c r="AH217" s="90">
        <f t="shared" si="20"/>
        <v>0</v>
      </c>
      <c r="AI217" s="90">
        <f t="shared" si="21"/>
        <v>0</v>
      </c>
      <c r="AJ217" s="89"/>
      <c r="AZ217" s="90">
        <f t="shared" si="22"/>
        <v>0</v>
      </c>
      <c r="BA217" s="90">
        <f>ROUND(AZ217*IFERROR(VLOOKUP($AK217,'3121% SY'!$A$2:$M$324,13,FALSE),0),3)</f>
        <v>0</v>
      </c>
      <c r="BB217" s="90">
        <f t="shared" si="23"/>
        <v>0</v>
      </c>
      <c r="BC217" s="90">
        <f>ROUND(BB217*IFERROR(VLOOKUP($AK217,'3121% SY'!$A$2:$M$324,13,FALSE),0),3)</f>
        <v>0</v>
      </c>
    </row>
    <row r="218" spans="1:55" x14ac:dyDescent="0.25">
      <c r="A218" s="88" t="s">
        <v>230</v>
      </c>
      <c r="B218" s="90"/>
      <c r="C218" s="90">
        <v>0.63900000000000001</v>
      </c>
      <c r="D218" s="90">
        <v>1.7310000000000001</v>
      </c>
      <c r="E218" s="90"/>
      <c r="F218" s="90">
        <v>1.5</v>
      </c>
      <c r="G218" s="90"/>
      <c r="H218" s="90"/>
      <c r="I218" s="90"/>
      <c r="J218" s="90"/>
      <c r="K218" s="90"/>
      <c r="L218" s="90"/>
      <c r="M218" s="90"/>
      <c r="N218" s="90"/>
      <c r="P218" s="90">
        <f t="shared" si="19"/>
        <v>1.5</v>
      </c>
      <c r="Q218" s="90">
        <f>SUM($B218:E218)</f>
        <v>2.37</v>
      </c>
      <c r="R218" s="89"/>
      <c r="AH218" s="90">
        <f t="shared" si="20"/>
        <v>0</v>
      </c>
      <c r="AI218" s="90">
        <f t="shared" si="21"/>
        <v>0</v>
      </c>
      <c r="AJ218" s="89"/>
      <c r="AZ218" s="90">
        <f t="shared" si="22"/>
        <v>0</v>
      </c>
      <c r="BA218" s="90">
        <f>ROUND(AZ218*IFERROR(VLOOKUP($AK218,'3121% SY'!$A$2:$M$324,13,FALSE),0),3)</f>
        <v>0</v>
      </c>
      <c r="BB218" s="90">
        <f t="shared" si="23"/>
        <v>0</v>
      </c>
      <c r="BC218" s="90">
        <f>ROUND(BB218*IFERROR(VLOOKUP($AK218,'3121% SY'!$A$2:$M$324,13,FALSE),0),3)</f>
        <v>0</v>
      </c>
    </row>
    <row r="219" spans="1:55" x14ac:dyDescent="0.25">
      <c r="A219" s="88" t="s">
        <v>231</v>
      </c>
      <c r="B219" s="90"/>
      <c r="C219" s="90">
        <v>0.123</v>
      </c>
      <c r="D219" s="90">
        <v>8.9</v>
      </c>
      <c r="E219" s="90"/>
      <c r="F219" s="90">
        <v>8</v>
      </c>
      <c r="G219" s="90"/>
      <c r="H219" s="90"/>
      <c r="I219" s="90"/>
      <c r="J219" s="90"/>
      <c r="K219" s="90">
        <v>1.595</v>
      </c>
      <c r="L219" s="90">
        <v>3.5999999999999997E-2</v>
      </c>
      <c r="M219" s="90"/>
      <c r="N219" s="90"/>
      <c r="P219" s="90">
        <f t="shared" si="19"/>
        <v>9.6310000000000002</v>
      </c>
      <c r="Q219" s="90">
        <f>SUM($B219:E219)</f>
        <v>9.0229999999999997</v>
      </c>
      <c r="R219" s="89"/>
      <c r="AH219" s="90">
        <f t="shared" si="20"/>
        <v>0</v>
      </c>
      <c r="AI219" s="90">
        <f t="shared" si="21"/>
        <v>0</v>
      </c>
      <c r="AJ219" s="89"/>
      <c r="AZ219" s="90">
        <f t="shared" si="22"/>
        <v>0</v>
      </c>
      <c r="BA219" s="90">
        <f>ROUND(AZ219*IFERROR(VLOOKUP($AK219,'3121% SY'!$A$2:$M$324,13,FALSE),0),3)</f>
        <v>0</v>
      </c>
      <c r="BB219" s="90">
        <f t="shared" si="23"/>
        <v>0</v>
      </c>
      <c r="BC219" s="90">
        <f>ROUND(BB219*IFERROR(VLOOKUP($AK219,'3121% SY'!$A$2:$M$324,13,FALSE),0),3)</f>
        <v>0</v>
      </c>
    </row>
    <row r="220" spans="1:55" x14ac:dyDescent="0.25">
      <c r="A220" s="88" t="s">
        <v>232</v>
      </c>
      <c r="B220" s="90"/>
      <c r="C220" s="90">
        <v>35.451000000000001</v>
      </c>
      <c r="D220" s="90">
        <v>5.8220000000000001</v>
      </c>
      <c r="E220" s="90">
        <v>2.9239999999999999</v>
      </c>
      <c r="F220" s="90">
        <v>13.334</v>
      </c>
      <c r="G220" s="90"/>
      <c r="H220" s="90"/>
      <c r="I220" s="90"/>
      <c r="J220" s="90"/>
      <c r="K220" s="90">
        <v>5.484</v>
      </c>
      <c r="L220" s="90"/>
      <c r="M220" s="90"/>
      <c r="N220" s="90"/>
      <c r="P220" s="90">
        <f t="shared" si="19"/>
        <v>18.817999999999998</v>
      </c>
      <c r="Q220" s="90">
        <f>SUM($B220:E220)</f>
        <v>44.197000000000003</v>
      </c>
      <c r="R220" s="89"/>
      <c r="AH220" s="90">
        <f t="shared" si="20"/>
        <v>0</v>
      </c>
      <c r="AI220" s="90">
        <f t="shared" si="21"/>
        <v>0</v>
      </c>
      <c r="AJ220" s="89"/>
      <c r="AZ220" s="90">
        <f t="shared" si="22"/>
        <v>0</v>
      </c>
      <c r="BA220" s="90">
        <f>ROUND(AZ220*IFERROR(VLOOKUP($AK220,'3121% SY'!$A$2:$M$324,13,FALSE),0),3)</f>
        <v>0</v>
      </c>
      <c r="BB220" s="90">
        <f t="shared" si="23"/>
        <v>0</v>
      </c>
      <c r="BC220" s="90">
        <f>ROUND(BB220*IFERROR(VLOOKUP($AK220,'3121% SY'!$A$2:$M$324,13,FALSE),0),3)</f>
        <v>0</v>
      </c>
    </row>
    <row r="221" spans="1:55" x14ac:dyDescent="0.25">
      <c r="A221" s="88" t="s">
        <v>233</v>
      </c>
      <c r="B221" s="90"/>
      <c r="C221" s="90"/>
      <c r="D221" s="90"/>
      <c r="E221" s="90"/>
      <c r="F221" s="90">
        <v>1</v>
      </c>
      <c r="G221" s="90"/>
      <c r="H221" s="90"/>
      <c r="I221" s="90"/>
      <c r="J221" s="90"/>
      <c r="K221" s="90">
        <v>0.39900000000000002</v>
      </c>
      <c r="L221" s="90"/>
      <c r="M221" s="90"/>
      <c r="N221" s="90"/>
      <c r="P221" s="90">
        <f t="shared" si="19"/>
        <v>1.399</v>
      </c>
      <c r="Q221" s="90">
        <f>SUM($B221:E221)</f>
        <v>0</v>
      </c>
      <c r="R221" s="89"/>
      <c r="AH221" s="90">
        <f t="shared" si="20"/>
        <v>0</v>
      </c>
      <c r="AI221" s="90">
        <f t="shared" si="21"/>
        <v>0</v>
      </c>
      <c r="AJ221" s="89"/>
      <c r="AZ221" s="90">
        <f t="shared" si="22"/>
        <v>0</v>
      </c>
      <c r="BA221" s="90">
        <f>ROUND(AZ221*IFERROR(VLOOKUP($AK221,'3121% SY'!$A$2:$M$324,13,FALSE),0),3)</f>
        <v>0</v>
      </c>
      <c r="BB221" s="90">
        <f t="shared" si="23"/>
        <v>0</v>
      </c>
      <c r="BC221" s="90">
        <f>ROUND(BB221*IFERROR(VLOOKUP($AK221,'3121% SY'!$A$2:$M$324,13,FALSE),0),3)</f>
        <v>0</v>
      </c>
    </row>
    <row r="222" spans="1:55" x14ac:dyDescent="0.25">
      <c r="A222" s="88" t="s">
        <v>234</v>
      </c>
      <c r="B222" s="90"/>
      <c r="C222" s="90">
        <v>6.9169999999999998</v>
      </c>
      <c r="D222" s="90">
        <v>5.9690000000000003</v>
      </c>
      <c r="E222" s="90"/>
      <c r="F222" s="90">
        <v>3.391</v>
      </c>
      <c r="G222" s="90"/>
      <c r="H222" s="90"/>
      <c r="I222" s="90"/>
      <c r="J222" s="90"/>
      <c r="K222" s="90">
        <v>2.2000000000000002</v>
      </c>
      <c r="L222" s="90"/>
      <c r="M222" s="90"/>
      <c r="N222" s="90"/>
      <c r="P222" s="90">
        <f t="shared" si="19"/>
        <v>5.5910000000000002</v>
      </c>
      <c r="Q222" s="90">
        <f>SUM($B222:E222)</f>
        <v>12.885999999999999</v>
      </c>
      <c r="R222" s="89"/>
      <c r="AH222" s="90">
        <f t="shared" si="20"/>
        <v>0</v>
      </c>
      <c r="AI222" s="90">
        <f t="shared" si="21"/>
        <v>0</v>
      </c>
      <c r="AJ222" s="89"/>
      <c r="AZ222" s="90">
        <f t="shared" si="22"/>
        <v>0</v>
      </c>
      <c r="BA222" s="90">
        <f>ROUND(AZ222*IFERROR(VLOOKUP($AK222,'3121% SY'!$A$2:$M$324,13,FALSE),0),3)</f>
        <v>0</v>
      </c>
      <c r="BB222" s="90">
        <f t="shared" si="23"/>
        <v>0</v>
      </c>
      <c r="BC222" s="90">
        <f>ROUND(BB222*IFERROR(VLOOKUP($AK222,'3121% SY'!$A$2:$M$324,13,FALSE),0),3)</f>
        <v>0</v>
      </c>
    </row>
    <row r="223" spans="1:55" x14ac:dyDescent="0.25">
      <c r="A223" s="88" t="s">
        <v>235</v>
      </c>
      <c r="B223" s="90"/>
      <c r="C223" s="90">
        <v>0.50900000000000001</v>
      </c>
      <c r="D223" s="90">
        <v>1.4339999999999999</v>
      </c>
      <c r="E223" s="90">
        <v>0.73499999999999999</v>
      </c>
      <c r="F223" s="90">
        <v>2</v>
      </c>
      <c r="G223" s="90"/>
      <c r="H223" s="90"/>
      <c r="I223" s="90"/>
      <c r="J223" s="90"/>
      <c r="K223" s="90">
        <v>1</v>
      </c>
      <c r="L223" s="90"/>
      <c r="M223" s="90"/>
      <c r="N223" s="90"/>
      <c r="P223" s="90">
        <f t="shared" si="19"/>
        <v>3</v>
      </c>
      <c r="Q223" s="90">
        <f>SUM($B223:E223)</f>
        <v>2.6779999999999999</v>
      </c>
      <c r="R223" s="89"/>
      <c r="AH223" s="90">
        <f t="shared" si="20"/>
        <v>0</v>
      </c>
      <c r="AI223" s="90">
        <f t="shared" si="21"/>
        <v>0</v>
      </c>
      <c r="AJ223" s="89"/>
      <c r="AZ223" s="90">
        <f t="shared" si="22"/>
        <v>0</v>
      </c>
      <c r="BA223" s="90">
        <f>ROUND(AZ223*IFERROR(VLOOKUP($AK223,'3121% SY'!$A$2:$M$324,13,FALSE),0),3)</f>
        <v>0</v>
      </c>
      <c r="BB223" s="90">
        <f t="shared" si="23"/>
        <v>0</v>
      </c>
      <c r="BC223" s="90">
        <f>ROUND(BB223*IFERROR(VLOOKUP($AK223,'3121% SY'!$A$2:$M$324,13,FALSE),0),3)</f>
        <v>0</v>
      </c>
    </row>
    <row r="224" spans="1:55" x14ac:dyDescent="0.25">
      <c r="A224" s="88" t="s">
        <v>236</v>
      </c>
      <c r="B224" s="90"/>
      <c r="C224" s="90">
        <v>0.19900000000000001</v>
      </c>
      <c r="D224" s="90"/>
      <c r="E224" s="90"/>
      <c r="F224" s="90">
        <v>1.167</v>
      </c>
      <c r="G224" s="90"/>
      <c r="H224" s="90"/>
      <c r="I224" s="90"/>
      <c r="J224" s="90"/>
      <c r="K224" s="90">
        <v>0.31</v>
      </c>
      <c r="L224" s="90"/>
      <c r="M224" s="90"/>
      <c r="N224" s="90"/>
      <c r="P224" s="90">
        <f t="shared" si="19"/>
        <v>1.4770000000000001</v>
      </c>
      <c r="Q224" s="90">
        <f>SUM($B224:E224)</f>
        <v>0.19900000000000001</v>
      </c>
      <c r="R224" s="89"/>
      <c r="AH224" s="90">
        <f t="shared" si="20"/>
        <v>0</v>
      </c>
      <c r="AI224" s="90">
        <f t="shared" si="21"/>
        <v>0</v>
      </c>
      <c r="AJ224" s="89"/>
      <c r="AZ224" s="90">
        <f t="shared" si="22"/>
        <v>0</v>
      </c>
      <c r="BA224" s="90">
        <f>ROUND(AZ224*IFERROR(VLOOKUP($AK224,'3121% SY'!$A$2:$M$324,13,FALSE),0),3)</f>
        <v>0</v>
      </c>
      <c r="BB224" s="90">
        <f t="shared" si="23"/>
        <v>0</v>
      </c>
      <c r="BC224" s="90">
        <f>ROUND(BB224*IFERROR(VLOOKUP($AK224,'3121% SY'!$A$2:$M$324,13,FALSE),0),3)</f>
        <v>0</v>
      </c>
    </row>
    <row r="225" spans="1:55" x14ac:dyDescent="0.25">
      <c r="A225" s="88" t="s">
        <v>237</v>
      </c>
      <c r="B225" s="90"/>
      <c r="C225" s="90">
        <v>9.4E-2</v>
      </c>
      <c r="D225" s="90">
        <v>1.6319999999999999</v>
      </c>
      <c r="E225" s="90">
        <v>1.538</v>
      </c>
      <c r="F225" s="90">
        <v>3.1</v>
      </c>
      <c r="G225" s="90"/>
      <c r="H225" s="90">
        <v>0.5</v>
      </c>
      <c r="I225" s="90"/>
      <c r="J225" s="90"/>
      <c r="K225" s="90">
        <v>1.7</v>
      </c>
      <c r="L225" s="90"/>
      <c r="M225" s="90">
        <v>0.17</v>
      </c>
      <c r="N225" s="90"/>
      <c r="P225" s="90">
        <f t="shared" si="19"/>
        <v>5.47</v>
      </c>
      <c r="Q225" s="90">
        <f>SUM($B225:E225)</f>
        <v>3.2640000000000002</v>
      </c>
      <c r="R225" s="89"/>
      <c r="AH225" s="90">
        <f t="shared" si="20"/>
        <v>0</v>
      </c>
      <c r="AI225" s="90">
        <f t="shared" si="21"/>
        <v>0</v>
      </c>
      <c r="AJ225" s="89"/>
      <c r="AZ225" s="90">
        <f t="shared" si="22"/>
        <v>0</v>
      </c>
      <c r="BA225" s="90">
        <f>ROUND(AZ225*IFERROR(VLOOKUP($AK225,'3121% SY'!$A$2:$M$324,13,FALSE),0),3)</f>
        <v>0</v>
      </c>
      <c r="BB225" s="90">
        <f t="shared" si="23"/>
        <v>0</v>
      </c>
      <c r="BC225" s="90">
        <f>ROUND(BB225*IFERROR(VLOOKUP($AK225,'3121% SY'!$A$2:$M$324,13,FALSE),0),3)</f>
        <v>0</v>
      </c>
    </row>
    <row r="226" spans="1:55" x14ac:dyDescent="0.25">
      <c r="A226" s="88" t="s">
        <v>238</v>
      </c>
      <c r="B226" s="90"/>
      <c r="C226" s="90">
        <v>0.68100000000000005</v>
      </c>
      <c r="D226" s="90">
        <v>1.782</v>
      </c>
      <c r="E226" s="90"/>
      <c r="F226" s="90">
        <v>2</v>
      </c>
      <c r="G226" s="90"/>
      <c r="H226" s="90"/>
      <c r="I226" s="90"/>
      <c r="J226" s="90"/>
      <c r="K226" s="90">
        <v>0.3</v>
      </c>
      <c r="L226" s="90"/>
      <c r="M226" s="90"/>
      <c r="N226" s="90"/>
      <c r="P226" s="90">
        <f t="shared" si="19"/>
        <v>2.2999999999999998</v>
      </c>
      <c r="Q226" s="90">
        <f>SUM($B226:E226)</f>
        <v>2.4630000000000001</v>
      </c>
      <c r="R226" s="89"/>
      <c r="AH226" s="90">
        <f t="shared" si="20"/>
        <v>0</v>
      </c>
      <c r="AI226" s="90">
        <f t="shared" si="21"/>
        <v>0</v>
      </c>
      <c r="AJ226" s="89"/>
      <c r="AZ226" s="90">
        <f t="shared" si="22"/>
        <v>0</v>
      </c>
      <c r="BA226" s="90">
        <f>ROUND(AZ226*IFERROR(VLOOKUP($AK226,'3121% SY'!$A$2:$M$324,13,FALSE),0),3)</f>
        <v>0</v>
      </c>
      <c r="BB226" s="90">
        <f t="shared" si="23"/>
        <v>0</v>
      </c>
      <c r="BC226" s="90">
        <f>ROUND(BB226*IFERROR(VLOOKUP($AK226,'3121% SY'!$A$2:$M$324,13,FALSE),0),3)</f>
        <v>0</v>
      </c>
    </row>
    <row r="227" spans="1:55" x14ac:dyDescent="0.25">
      <c r="A227" s="88" t="s">
        <v>239</v>
      </c>
      <c r="B227" s="90"/>
      <c r="C227" s="90">
        <v>1.9870000000000001</v>
      </c>
      <c r="D227" s="90">
        <v>3.6240000000000001</v>
      </c>
      <c r="E227" s="90"/>
      <c r="F227" s="90">
        <v>2.2000000000000002</v>
      </c>
      <c r="G227" s="90"/>
      <c r="H227" s="90"/>
      <c r="I227" s="90"/>
      <c r="J227" s="90"/>
      <c r="K227" s="90"/>
      <c r="L227" s="90"/>
      <c r="M227" s="90"/>
      <c r="N227" s="90"/>
      <c r="P227" s="90">
        <f t="shared" si="19"/>
        <v>2.2000000000000002</v>
      </c>
      <c r="Q227" s="90">
        <f>SUM($B227:E227)</f>
        <v>5.6110000000000007</v>
      </c>
      <c r="R227" s="89"/>
      <c r="AH227" s="90">
        <f t="shared" si="20"/>
        <v>0</v>
      </c>
      <c r="AI227" s="90">
        <f t="shared" si="21"/>
        <v>0</v>
      </c>
      <c r="AJ227" s="89"/>
      <c r="AZ227" s="90">
        <f t="shared" si="22"/>
        <v>0</v>
      </c>
      <c r="BA227" s="90">
        <f>ROUND(AZ227*IFERROR(VLOOKUP($AK227,'3121% SY'!$A$2:$M$324,13,FALSE),0),3)</f>
        <v>0</v>
      </c>
      <c r="BB227" s="90">
        <f t="shared" si="23"/>
        <v>0</v>
      </c>
      <c r="BC227" s="90">
        <f>ROUND(BB227*IFERROR(VLOOKUP($AK227,'3121% SY'!$A$2:$M$324,13,FALSE),0),3)</f>
        <v>0</v>
      </c>
    </row>
    <row r="228" spans="1:55" x14ac:dyDescent="0.25">
      <c r="A228" s="88" t="s">
        <v>615</v>
      </c>
      <c r="B228" s="90"/>
      <c r="C228" s="90"/>
      <c r="D228" s="90">
        <v>0.76200000000000001</v>
      </c>
      <c r="E228" s="90"/>
      <c r="F228" s="90">
        <v>0.5</v>
      </c>
      <c r="G228" s="90"/>
      <c r="H228" s="90"/>
      <c r="I228" s="90"/>
      <c r="J228" s="90"/>
      <c r="K228" s="90"/>
      <c r="L228" s="90"/>
      <c r="M228" s="90"/>
      <c r="N228" s="90"/>
      <c r="P228" s="90">
        <f t="shared" si="19"/>
        <v>0.5</v>
      </c>
      <c r="Q228" s="90">
        <f>SUM($B228:E228)</f>
        <v>0.76200000000000001</v>
      </c>
      <c r="R228" s="89"/>
      <c r="AH228" s="90">
        <f t="shared" si="20"/>
        <v>0</v>
      </c>
      <c r="AI228" s="90">
        <f t="shared" si="21"/>
        <v>0</v>
      </c>
      <c r="AJ228" s="89"/>
      <c r="AZ228" s="90">
        <f t="shared" si="22"/>
        <v>0</v>
      </c>
      <c r="BA228" s="90">
        <f>ROUND(AZ228*IFERROR(VLOOKUP($AK228,'3121% SY'!$A$2:$M$324,13,FALSE),0),3)</f>
        <v>0</v>
      </c>
      <c r="BB228" s="90">
        <f t="shared" si="23"/>
        <v>0</v>
      </c>
      <c r="BC228" s="90">
        <f>ROUND(BB228*IFERROR(VLOOKUP($AK228,'3121% SY'!$A$2:$M$324,13,FALSE),0),3)</f>
        <v>0</v>
      </c>
    </row>
    <row r="229" spans="1:55" x14ac:dyDescent="0.25">
      <c r="A229" s="88" t="s">
        <v>655</v>
      </c>
      <c r="B229" s="90"/>
      <c r="C229" s="90"/>
      <c r="D229" s="90"/>
      <c r="E229" s="90"/>
      <c r="F229" s="90">
        <v>0.86</v>
      </c>
      <c r="G229" s="90"/>
      <c r="H229" s="90"/>
      <c r="I229" s="90"/>
      <c r="J229" s="90"/>
      <c r="K229" s="90"/>
      <c r="L229" s="90"/>
      <c r="M229" s="90"/>
      <c r="N229" s="90"/>
      <c r="P229" s="90">
        <f t="shared" si="19"/>
        <v>0.86</v>
      </c>
      <c r="Q229" s="90">
        <f>SUM($B229:E229)</f>
        <v>0</v>
      </c>
      <c r="R229" s="89"/>
      <c r="AH229" s="90">
        <f t="shared" si="20"/>
        <v>0</v>
      </c>
      <c r="AI229" s="90">
        <f t="shared" si="21"/>
        <v>0</v>
      </c>
      <c r="AJ229" s="89"/>
      <c r="AZ229" s="90">
        <f t="shared" si="22"/>
        <v>0</v>
      </c>
      <c r="BA229" s="90">
        <f>ROUND(AZ229*IFERROR(VLOOKUP($AK229,'3121% SY'!$A$2:$M$324,13,FALSE),0),3)</f>
        <v>0</v>
      </c>
      <c r="BB229" s="90">
        <f t="shared" si="23"/>
        <v>0</v>
      </c>
      <c r="BC229" s="90">
        <f>ROUND(BB229*IFERROR(VLOOKUP($AK229,'3121% SY'!$A$2:$M$324,13,FALSE),0),3)</f>
        <v>0</v>
      </c>
    </row>
    <row r="230" spans="1:55" x14ac:dyDescent="0.25">
      <c r="A230" s="88" t="s">
        <v>628</v>
      </c>
      <c r="B230" s="90"/>
      <c r="C230" s="90"/>
      <c r="D230" s="90"/>
      <c r="E230" s="90"/>
      <c r="F230" s="90">
        <v>1</v>
      </c>
      <c r="G230" s="90"/>
      <c r="H230" s="90"/>
      <c r="I230" s="90"/>
      <c r="J230" s="90"/>
      <c r="K230" s="90"/>
      <c r="L230" s="90"/>
      <c r="M230" s="90"/>
      <c r="N230" s="90"/>
      <c r="P230" s="90">
        <f t="shared" si="19"/>
        <v>1</v>
      </c>
      <c r="Q230" s="90">
        <f>SUM($B230:E230)</f>
        <v>0</v>
      </c>
      <c r="R230" s="89"/>
      <c r="AH230" s="90">
        <f t="shared" si="20"/>
        <v>0</v>
      </c>
      <c r="AI230" s="90">
        <f t="shared" si="21"/>
        <v>0</v>
      </c>
      <c r="AJ230" s="89"/>
      <c r="AZ230" s="90">
        <f t="shared" si="22"/>
        <v>0</v>
      </c>
      <c r="BA230" s="90">
        <f>ROUND(AZ230*IFERROR(VLOOKUP($AK230,'3121% SY'!$A$2:$M$324,13,FALSE),0),3)</f>
        <v>0</v>
      </c>
      <c r="BB230" s="90">
        <f t="shared" si="23"/>
        <v>0</v>
      </c>
      <c r="BC230" s="90">
        <f>ROUND(BB230*IFERROR(VLOOKUP($AK230,'3121% SY'!$A$2:$M$324,13,FALSE),0),3)</f>
        <v>0</v>
      </c>
    </row>
    <row r="231" spans="1:55" x14ac:dyDescent="0.25">
      <c r="A231" s="88" t="s">
        <v>240</v>
      </c>
      <c r="B231" s="90"/>
      <c r="C231" s="90"/>
      <c r="D231" s="90">
        <v>0.1</v>
      </c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P231" s="90">
        <f t="shared" si="19"/>
        <v>0</v>
      </c>
      <c r="Q231" s="90">
        <f>SUM($B231:E231)</f>
        <v>0.1</v>
      </c>
      <c r="R231" s="89"/>
      <c r="AH231" s="90">
        <f t="shared" si="20"/>
        <v>0</v>
      </c>
      <c r="AI231" s="90">
        <f t="shared" si="21"/>
        <v>0</v>
      </c>
      <c r="AJ231" s="89"/>
      <c r="AZ231" s="90">
        <f t="shared" si="22"/>
        <v>0</v>
      </c>
      <c r="BA231" s="90">
        <f>ROUND(AZ231*IFERROR(VLOOKUP($AK231,'3121% SY'!$A$2:$M$324,13,FALSE),0),3)</f>
        <v>0</v>
      </c>
      <c r="BB231" s="90">
        <f t="shared" si="23"/>
        <v>0</v>
      </c>
      <c r="BC231" s="90">
        <f>ROUND(BB231*IFERROR(VLOOKUP($AK231,'3121% SY'!$A$2:$M$324,13,FALSE),0),3)</f>
        <v>0</v>
      </c>
    </row>
    <row r="232" spans="1:55" x14ac:dyDescent="0.25">
      <c r="A232" s="88" t="s">
        <v>241</v>
      </c>
      <c r="B232" s="90"/>
      <c r="C232" s="90">
        <v>0.1</v>
      </c>
      <c r="D232" s="90">
        <v>0.65900000000000003</v>
      </c>
      <c r="E232" s="90"/>
      <c r="F232" s="90">
        <v>0.78</v>
      </c>
      <c r="G232" s="90"/>
      <c r="H232" s="90"/>
      <c r="I232" s="90"/>
      <c r="J232" s="90"/>
      <c r="K232" s="90">
        <v>0.31</v>
      </c>
      <c r="L232" s="90"/>
      <c r="M232" s="90"/>
      <c r="N232" s="90"/>
      <c r="P232" s="90">
        <f t="shared" si="19"/>
        <v>1.0900000000000001</v>
      </c>
      <c r="Q232" s="90">
        <f>SUM($B232:E232)</f>
        <v>0.75900000000000001</v>
      </c>
      <c r="R232" s="89"/>
      <c r="AH232" s="90">
        <f t="shared" si="20"/>
        <v>0</v>
      </c>
      <c r="AI232" s="90">
        <f t="shared" si="21"/>
        <v>0</v>
      </c>
      <c r="AJ232" s="89"/>
      <c r="AZ232" s="90">
        <f t="shared" si="22"/>
        <v>0</v>
      </c>
      <c r="BA232" s="90">
        <f>ROUND(AZ232*IFERROR(VLOOKUP($AK232,'3121% SY'!$A$2:$M$324,13,FALSE),0),3)</f>
        <v>0</v>
      </c>
      <c r="BB232" s="90">
        <f t="shared" si="23"/>
        <v>0</v>
      </c>
      <c r="BC232" s="90">
        <f>ROUND(BB232*IFERROR(VLOOKUP($AK232,'3121% SY'!$A$2:$M$324,13,FALSE),0),3)</f>
        <v>0</v>
      </c>
    </row>
    <row r="233" spans="1:55" x14ac:dyDescent="0.25">
      <c r="A233" s="88" t="s">
        <v>242</v>
      </c>
      <c r="B233" s="90"/>
      <c r="C233" s="90"/>
      <c r="D233" s="90"/>
      <c r="E233" s="90"/>
      <c r="F233" s="90">
        <v>0.5</v>
      </c>
      <c r="G233" s="90"/>
      <c r="H233" s="90"/>
      <c r="I233" s="90"/>
      <c r="J233" s="90"/>
      <c r="K233" s="90"/>
      <c r="L233" s="90"/>
      <c r="M233" s="90"/>
      <c r="N233" s="90"/>
      <c r="P233" s="90">
        <f t="shared" si="19"/>
        <v>0.5</v>
      </c>
      <c r="Q233" s="90">
        <f>SUM($B233:E233)</f>
        <v>0</v>
      </c>
      <c r="R233" s="89"/>
      <c r="AH233" s="90">
        <f t="shared" si="20"/>
        <v>0</v>
      </c>
      <c r="AI233" s="90">
        <f t="shared" si="21"/>
        <v>0</v>
      </c>
      <c r="AJ233" s="89"/>
      <c r="AZ233" s="90">
        <f t="shared" si="22"/>
        <v>0</v>
      </c>
      <c r="BA233" s="90">
        <f>ROUND(AZ233*IFERROR(VLOOKUP($AK233,'3121% SY'!$A$2:$M$324,13,FALSE),0),3)</f>
        <v>0</v>
      </c>
      <c r="BB233" s="90">
        <f t="shared" si="23"/>
        <v>0</v>
      </c>
      <c r="BC233" s="90">
        <f>ROUND(BB233*IFERROR(VLOOKUP($AK233,'3121% SY'!$A$2:$M$324,13,FALSE),0),3)</f>
        <v>0</v>
      </c>
    </row>
    <row r="234" spans="1:55" x14ac:dyDescent="0.25">
      <c r="A234" s="88" t="s">
        <v>243</v>
      </c>
      <c r="B234" s="90"/>
      <c r="C234" s="90">
        <v>1.365</v>
      </c>
      <c r="D234" s="90"/>
      <c r="E234" s="90"/>
      <c r="F234" s="90">
        <v>0.4</v>
      </c>
      <c r="G234" s="90"/>
      <c r="H234" s="90"/>
      <c r="I234" s="90"/>
      <c r="J234" s="90"/>
      <c r="K234" s="90"/>
      <c r="L234" s="90"/>
      <c r="M234" s="90"/>
      <c r="N234" s="90"/>
      <c r="P234" s="90">
        <f t="shared" si="19"/>
        <v>0.4</v>
      </c>
      <c r="Q234" s="90">
        <f>SUM($B234:E234)</f>
        <v>1.365</v>
      </c>
      <c r="R234" s="89"/>
      <c r="AH234" s="90">
        <f t="shared" si="20"/>
        <v>0</v>
      </c>
      <c r="AI234" s="90">
        <f t="shared" si="21"/>
        <v>0</v>
      </c>
      <c r="AJ234" s="89"/>
      <c r="AZ234" s="90">
        <f t="shared" si="22"/>
        <v>0</v>
      </c>
      <c r="BA234" s="90">
        <f>ROUND(AZ234*IFERROR(VLOOKUP($AK234,'3121% SY'!$A$2:$M$324,13,FALSE),0),3)</f>
        <v>0</v>
      </c>
      <c r="BB234" s="90">
        <f t="shared" si="23"/>
        <v>0</v>
      </c>
      <c r="BC234" s="90">
        <f>ROUND(BB234*IFERROR(VLOOKUP($AK234,'3121% SY'!$A$2:$M$324,13,FALSE),0),3)</f>
        <v>0</v>
      </c>
    </row>
    <row r="235" spans="1:55" x14ac:dyDescent="0.25">
      <c r="A235" s="88" t="s">
        <v>244</v>
      </c>
      <c r="B235" s="90"/>
      <c r="C235" s="90"/>
      <c r="D235" s="90"/>
      <c r="E235" s="90">
        <v>0.5</v>
      </c>
      <c r="F235" s="90">
        <v>2</v>
      </c>
      <c r="G235" s="90"/>
      <c r="H235" s="90"/>
      <c r="I235" s="90"/>
      <c r="J235" s="90"/>
      <c r="K235" s="90">
        <v>1</v>
      </c>
      <c r="L235" s="90"/>
      <c r="M235" s="90"/>
      <c r="N235" s="90"/>
      <c r="P235" s="90">
        <f t="shared" si="19"/>
        <v>3</v>
      </c>
      <c r="Q235" s="90">
        <f>SUM($B235:E235)</f>
        <v>0.5</v>
      </c>
      <c r="R235" s="89"/>
      <c r="AH235" s="90">
        <f t="shared" si="20"/>
        <v>0</v>
      </c>
      <c r="AI235" s="90">
        <f t="shared" si="21"/>
        <v>0</v>
      </c>
      <c r="AJ235" s="89"/>
      <c r="AZ235" s="90">
        <f t="shared" si="22"/>
        <v>0</v>
      </c>
      <c r="BA235" s="90">
        <f>ROUND(AZ235*IFERROR(VLOOKUP($AK235,'3121% SY'!$A$2:$M$324,13,FALSE),0),3)</f>
        <v>0</v>
      </c>
      <c r="BB235" s="90">
        <f t="shared" si="23"/>
        <v>0</v>
      </c>
      <c r="BC235" s="90">
        <f>ROUND(BB235*IFERROR(VLOOKUP($AK235,'3121% SY'!$A$2:$M$324,13,FALSE),0),3)</f>
        <v>0</v>
      </c>
    </row>
    <row r="236" spans="1:55" x14ac:dyDescent="0.25">
      <c r="A236" s="88" t="s">
        <v>248</v>
      </c>
      <c r="B236" s="90"/>
      <c r="C236" s="90"/>
      <c r="D236" s="90"/>
      <c r="E236" s="90"/>
      <c r="F236" s="90">
        <v>0.15</v>
      </c>
      <c r="G236" s="90"/>
      <c r="H236" s="90"/>
      <c r="I236" s="90"/>
      <c r="J236" s="90"/>
      <c r="K236" s="90">
        <v>7.2999999999999995E-2</v>
      </c>
      <c r="L236" s="90"/>
      <c r="M236" s="90"/>
      <c r="N236" s="90"/>
      <c r="P236" s="90">
        <f t="shared" si="19"/>
        <v>0.22299999999999998</v>
      </c>
      <c r="Q236" s="90">
        <f>SUM($B236:E236)</f>
        <v>0</v>
      </c>
      <c r="R236" s="89"/>
      <c r="AH236" s="90">
        <f t="shared" si="20"/>
        <v>0</v>
      </c>
      <c r="AI236" s="90">
        <f t="shared" si="21"/>
        <v>0</v>
      </c>
      <c r="AJ236" s="89"/>
      <c r="AZ236" s="90">
        <f t="shared" si="22"/>
        <v>0</v>
      </c>
      <c r="BA236" s="90">
        <f>ROUND(AZ236*IFERROR(VLOOKUP($AK236,'3121% SY'!$A$2:$M$324,13,FALSE),0),3)</f>
        <v>0</v>
      </c>
      <c r="BB236" s="90">
        <f t="shared" si="23"/>
        <v>0</v>
      </c>
      <c r="BC236" s="90">
        <f>ROUND(BB236*IFERROR(VLOOKUP($AK236,'3121% SY'!$A$2:$M$324,13,FALSE),0),3)</f>
        <v>0</v>
      </c>
    </row>
    <row r="237" spans="1:55" x14ac:dyDescent="0.25">
      <c r="A237" s="88" t="s">
        <v>249</v>
      </c>
      <c r="B237" s="90"/>
      <c r="C237" s="90"/>
      <c r="D237" s="90">
        <v>0.38700000000000001</v>
      </c>
      <c r="E237" s="90"/>
      <c r="F237" s="90">
        <v>0.42299999999999999</v>
      </c>
      <c r="G237" s="90"/>
      <c r="H237" s="90"/>
      <c r="I237" s="90"/>
      <c r="J237" s="90"/>
      <c r="K237" s="90"/>
      <c r="L237" s="90"/>
      <c r="M237" s="90"/>
      <c r="N237" s="90"/>
      <c r="P237" s="90">
        <f t="shared" si="19"/>
        <v>0.42299999999999999</v>
      </c>
      <c r="Q237" s="90">
        <f>SUM($B237:E237)</f>
        <v>0.38700000000000001</v>
      </c>
      <c r="R237" s="89"/>
      <c r="AH237" s="90">
        <f t="shared" si="20"/>
        <v>0</v>
      </c>
      <c r="AI237" s="90">
        <f t="shared" si="21"/>
        <v>0</v>
      </c>
      <c r="AJ237" s="89"/>
      <c r="AZ237" s="90">
        <f t="shared" si="22"/>
        <v>0</v>
      </c>
      <c r="BA237" s="90">
        <f>ROUND(AZ237*IFERROR(VLOOKUP($AK237,'3121% SY'!$A$2:$M$324,13,FALSE),0),3)</f>
        <v>0</v>
      </c>
      <c r="BB237" s="90">
        <f t="shared" si="23"/>
        <v>0</v>
      </c>
      <c r="BC237" s="90">
        <f>ROUND(BB237*IFERROR(VLOOKUP($AK237,'3121% SY'!$A$2:$M$324,13,FALSE),0),3)</f>
        <v>0</v>
      </c>
    </row>
    <row r="238" spans="1:55" x14ac:dyDescent="0.25">
      <c r="A238" s="88" t="s">
        <v>250</v>
      </c>
      <c r="B238" s="90"/>
      <c r="C238" s="90"/>
      <c r="D238" s="90">
        <v>3.2000000000000001E-2</v>
      </c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P238" s="90">
        <f t="shared" si="19"/>
        <v>0</v>
      </c>
      <c r="Q238" s="90">
        <f>SUM($B238:E238)</f>
        <v>3.2000000000000001E-2</v>
      </c>
      <c r="R238" s="89"/>
      <c r="AH238" s="90">
        <f t="shared" si="20"/>
        <v>0</v>
      </c>
      <c r="AI238" s="90">
        <f t="shared" si="21"/>
        <v>0</v>
      </c>
      <c r="AJ238" s="89"/>
      <c r="AZ238" s="90">
        <f t="shared" si="22"/>
        <v>0</v>
      </c>
      <c r="BA238" s="90">
        <f>ROUND(AZ238*IFERROR(VLOOKUP($AK238,'3121% SY'!$A$2:$M$324,13,FALSE),0),3)</f>
        <v>0</v>
      </c>
      <c r="BB238" s="90">
        <f t="shared" si="23"/>
        <v>0</v>
      </c>
      <c r="BC238" s="90">
        <f>ROUND(BB238*IFERROR(VLOOKUP($AK238,'3121% SY'!$A$2:$M$324,13,FALSE),0),3)</f>
        <v>0</v>
      </c>
    </row>
    <row r="239" spans="1:55" x14ac:dyDescent="0.25">
      <c r="A239" s="88" t="s">
        <v>251</v>
      </c>
      <c r="B239" s="90"/>
      <c r="C239" s="90"/>
      <c r="D239" s="90">
        <v>0.72099999999999997</v>
      </c>
      <c r="E239" s="90">
        <v>1.538</v>
      </c>
      <c r="F239" s="90">
        <v>1</v>
      </c>
      <c r="G239" s="90"/>
      <c r="H239" s="90"/>
      <c r="I239" s="90"/>
      <c r="J239" s="90"/>
      <c r="K239" s="90"/>
      <c r="L239" s="90"/>
      <c r="M239" s="90"/>
      <c r="N239" s="90"/>
      <c r="P239" s="90">
        <f t="shared" si="19"/>
        <v>1</v>
      </c>
      <c r="Q239" s="90">
        <f>SUM($B239:E239)</f>
        <v>2.2589999999999999</v>
      </c>
      <c r="R239" s="89"/>
      <c r="AH239" s="90">
        <f t="shared" si="20"/>
        <v>0</v>
      </c>
      <c r="AI239" s="90">
        <f t="shared" si="21"/>
        <v>0</v>
      </c>
      <c r="AJ239" s="89"/>
      <c r="AZ239" s="90">
        <f t="shared" si="22"/>
        <v>0</v>
      </c>
      <c r="BA239" s="90">
        <f>ROUND(AZ239*IFERROR(VLOOKUP($AK239,'3121% SY'!$A$2:$M$324,13,FALSE),0),3)</f>
        <v>0</v>
      </c>
      <c r="BB239" s="90">
        <f t="shared" si="23"/>
        <v>0</v>
      </c>
      <c r="BC239" s="90">
        <f>ROUND(BB239*IFERROR(VLOOKUP($AK239,'3121% SY'!$A$2:$M$324,13,FALSE),0),3)</f>
        <v>0</v>
      </c>
    </row>
    <row r="240" spans="1:55" x14ac:dyDescent="0.25">
      <c r="A240" s="88" t="s">
        <v>252</v>
      </c>
      <c r="B240" s="90"/>
      <c r="C240" s="90">
        <v>5.9569999999999999</v>
      </c>
      <c r="D240" s="90">
        <v>4.758</v>
      </c>
      <c r="E240" s="90">
        <v>2.1930000000000001</v>
      </c>
      <c r="F240" s="90">
        <v>4</v>
      </c>
      <c r="G240" s="90"/>
      <c r="H240" s="90"/>
      <c r="I240" s="90"/>
      <c r="J240" s="90"/>
      <c r="K240" s="90">
        <v>1.508</v>
      </c>
      <c r="L240" s="90"/>
      <c r="M240" s="90"/>
      <c r="N240" s="90"/>
      <c r="P240" s="90">
        <f t="shared" si="19"/>
        <v>5.508</v>
      </c>
      <c r="Q240" s="90">
        <f>SUM($B240:E240)</f>
        <v>12.907999999999999</v>
      </c>
      <c r="R240" s="89"/>
      <c r="AH240" s="90">
        <f t="shared" si="20"/>
        <v>0</v>
      </c>
      <c r="AI240" s="90">
        <f t="shared" si="21"/>
        <v>0</v>
      </c>
      <c r="AJ240" s="89"/>
      <c r="AZ240" s="90">
        <f t="shared" si="22"/>
        <v>0</v>
      </c>
      <c r="BA240" s="90">
        <f>ROUND(AZ240*IFERROR(VLOOKUP($AK240,'3121% SY'!$A$2:$M$324,13,FALSE),0),3)</f>
        <v>0</v>
      </c>
      <c r="BB240" s="90">
        <f t="shared" si="23"/>
        <v>0</v>
      </c>
      <c r="BC240" s="90">
        <f>ROUND(BB240*IFERROR(VLOOKUP($AK240,'3121% SY'!$A$2:$M$324,13,FALSE),0),3)</f>
        <v>0</v>
      </c>
    </row>
    <row r="241" spans="1:55" x14ac:dyDescent="0.25">
      <c r="A241" s="88" t="s">
        <v>253</v>
      </c>
      <c r="B241" s="90"/>
      <c r="C241" s="90">
        <v>24.23</v>
      </c>
      <c r="D241" s="90">
        <v>14.686999999999999</v>
      </c>
      <c r="E241" s="90">
        <v>2.5449999999999999</v>
      </c>
      <c r="F241" s="90">
        <v>12</v>
      </c>
      <c r="G241" s="90"/>
      <c r="H241" s="90"/>
      <c r="I241" s="90"/>
      <c r="J241" s="90"/>
      <c r="K241" s="90">
        <v>6.2</v>
      </c>
      <c r="L241" s="90"/>
      <c r="M241" s="90"/>
      <c r="N241" s="90"/>
      <c r="P241" s="90">
        <f t="shared" si="19"/>
        <v>18.2</v>
      </c>
      <c r="Q241" s="90">
        <f>SUM($B241:E241)</f>
        <v>41.462000000000003</v>
      </c>
      <c r="R241" s="89"/>
      <c r="AH241" s="90">
        <f t="shared" si="20"/>
        <v>0</v>
      </c>
      <c r="AI241" s="90">
        <f t="shared" si="21"/>
        <v>0</v>
      </c>
      <c r="AJ241" s="89"/>
      <c r="AZ241" s="90">
        <f t="shared" si="22"/>
        <v>0</v>
      </c>
      <c r="BA241" s="90">
        <f>ROUND(AZ241*IFERROR(VLOOKUP($AK241,'3121% SY'!$A$2:$M$324,13,FALSE),0),3)</f>
        <v>0</v>
      </c>
      <c r="BB241" s="90">
        <f t="shared" si="23"/>
        <v>0</v>
      </c>
      <c r="BC241" s="90">
        <f>ROUND(BB241*IFERROR(VLOOKUP($AK241,'3121% SY'!$A$2:$M$324,13,FALSE),0),3)</f>
        <v>0</v>
      </c>
    </row>
    <row r="242" spans="1:55" x14ac:dyDescent="0.25">
      <c r="A242" s="88" t="s">
        <v>254</v>
      </c>
      <c r="B242" s="90"/>
      <c r="C242" s="90">
        <v>5.39</v>
      </c>
      <c r="D242" s="90">
        <v>1.476</v>
      </c>
      <c r="E242" s="90"/>
      <c r="F242" s="90">
        <v>6.2</v>
      </c>
      <c r="G242" s="90"/>
      <c r="H242" s="90"/>
      <c r="I242" s="90"/>
      <c r="J242" s="90"/>
      <c r="K242" s="90">
        <v>0.8</v>
      </c>
      <c r="L242" s="90"/>
      <c r="M242" s="90"/>
      <c r="N242" s="90"/>
      <c r="P242" s="90">
        <f t="shared" si="19"/>
        <v>7</v>
      </c>
      <c r="Q242" s="90">
        <f>SUM($B242:E242)</f>
        <v>6.8659999999999997</v>
      </c>
      <c r="R242" s="89"/>
      <c r="AH242" s="90">
        <f t="shared" si="20"/>
        <v>0</v>
      </c>
      <c r="AI242" s="90">
        <f t="shared" si="21"/>
        <v>0</v>
      </c>
      <c r="AJ242" s="89"/>
      <c r="AZ242" s="90">
        <f t="shared" si="22"/>
        <v>0</v>
      </c>
      <c r="BA242" s="90">
        <f>ROUND(AZ242*IFERROR(VLOOKUP($AK242,'3121% SY'!$A$2:$M$324,13,FALSE),0),3)</f>
        <v>0</v>
      </c>
      <c r="BB242" s="90">
        <f t="shared" si="23"/>
        <v>0</v>
      </c>
      <c r="BC242" s="90">
        <f>ROUND(BB242*IFERROR(VLOOKUP($AK242,'3121% SY'!$A$2:$M$324,13,FALSE),0),3)</f>
        <v>0</v>
      </c>
    </row>
    <row r="243" spans="1:55" x14ac:dyDescent="0.25">
      <c r="A243" s="88" t="s">
        <v>255</v>
      </c>
      <c r="B243" s="90">
        <v>2.37</v>
      </c>
      <c r="C243" s="90">
        <v>1.8720000000000001</v>
      </c>
      <c r="D243" s="90">
        <v>2.4159999999999999</v>
      </c>
      <c r="E243" s="90">
        <v>1.0389999999999999</v>
      </c>
      <c r="F243" s="90">
        <v>6.9</v>
      </c>
      <c r="G243" s="90"/>
      <c r="H243" s="90">
        <v>2.4</v>
      </c>
      <c r="I243" s="90"/>
      <c r="J243" s="90"/>
      <c r="K243" s="90">
        <v>1.9</v>
      </c>
      <c r="L243" s="90"/>
      <c r="M243" s="90"/>
      <c r="N243" s="90"/>
      <c r="P243" s="90">
        <f t="shared" si="19"/>
        <v>11.200000000000001</v>
      </c>
      <c r="Q243" s="90">
        <f>SUM($B243:E243)</f>
        <v>7.6969999999999992</v>
      </c>
      <c r="R243" s="89"/>
      <c r="AH243" s="90">
        <f t="shared" si="20"/>
        <v>0</v>
      </c>
      <c r="AI243" s="90">
        <f t="shared" si="21"/>
        <v>0</v>
      </c>
      <c r="AJ243" s="89"/>
      <c r="AZ243" s="90">
        <f t="shared" si="22"/>
        <v>0</v>
      </c>
      <c r="BA243" s="90">
        <f>ROUND(AZ243*IFERROR(VLOOKUP($AK243,'3121% SY'!$A$2:$M$324,13,FALSE),0),3)</f>
        <v>0</v>
      </c>
      <c r="BB243" s="90">
        <f t="shared" si="23"/>
        <v>0</v>
      </c>
      <c r="BC243" s="90">
        <f>ROUND(BB243*IFERROR(VLOOKUP($AK243,'3121% SY'!$A$2:$M$324,13,FALSE),0),3)</f>
        <v>0</v>
      </c>
    </row>
    <row r="244" spans="1:55" x14ac:dyDescent="0.25">
      <c r="A244" s="88" t="s">
        <v>256</v>
      </c>
      <c r="B244" s="90"/>
      <c r="C244" s="90">
        <v>4.4999999999999998E-2</v>
      </c>
      <c r="D244" s="90"/>
      <c r="E244" s="90"/>
      <c r="F244" s="90">
        <v>1</v>
      </c>
      <c r="G244" s="90"/>
      <c r="H244" s="90"/>
      <c r="I244" s="90"/>
      <c r="J244" s="90"/>
      <c r="K244" s="90"/>
      <c r="L244" s="90"/>
      <c r="M244" s="90"/>
      <c r="N244" s="90"/>
      <c r="P244" s="90">
        <f t="shared" si="19"/>
        <v>1</v>
      </c>
      <c r="Q244" s="90">
        <f>SUM($B244:E244)</f>
        <v>4.4999999999999998E-2</v>
      </c>
      <c r="R244" s="89"/>
      <c r="AH244" s="90">
        <f t="shared" si="20"/>
        <v>0</v>
      </c>
      <c r="AI244" s="90">
        <f t="shared" si="21"/>
        <v>0</v>
      </c>
      <c r="AJ244" s="89"/>
      <c r="AZ244" s="90">
        <f t="shared" si="22"/>
        <v>0</v>
      </c>
      <c r="BA244" s="90">
        <f>ROUND(AZ244*IFERROR(VLOOKUP($AK244,'3121% SY'!$A$2:$M$324,13,FALSE),0),3)</f>
        <v>0</v>
      </c>
      <c r="BB244" s="90">
        <f t="shared" si="23"/>
        <v>0</v>
      </c>
      <c r="BC244" s="90">
        <f>ROUND(BB244*IFERROR(VLOOKUP($AK244,'3121% SY'!$A$2:$M$324,13,FALSE),0),3)</f>
        <v>0</v>
      </c>
    </row>
    <row r="245" spans="1:55" x14ac:dyDescent="0.25">
      <c r="A245" s="88" t="s">
        <v>257</v>
      </c>
      <c r="B245" s="90"/>
      <c r="C245" s="90">
        <v>1.7230000000000001</v>
      </c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P245" s="90">
        <f t="shared" si="19"/>
        <v>0</v>
      </c>
      <c r="Q245" s="90">
        <f>SUM($B245:E245)</f>
        <v>1.7230000000000001</v>
      </c>
      <c r="R245" s="89"/>
      <c r="AH245" s="90">
        <f t="shared" si="20"/>
        <v>0</v>
      </c>
      <c r="AI245" s="90">
        <f t="shared" si="21"/>
        <v>0</v>
      </c>
      <c r="AJ245" s="89"/>
      <c r="AZ245" s="90">
        <f t="shared" si="22"/>
        <v>0</v>
      </c>
      <c r="BA245" s="90">
        <f>ROUND(AZ245*IFERROR(VLOOKUP($AK245,'3121% SY'!$A$2:$M$324,13,FALSE),0),3)</f>
        <v>0</v>
      </c>
      <c r="BB245" s="90">
        <f t="shared" si="23"/>
        <v>0</v>
      </c>
      <c r="BC245" s="90">
        <f>ROUND(BB245*IFERROR(VLOOKUP($AK245,'3121% SY'!$A$2:$M$324,13,FALSE),0),3)</f>
        <v>0</v>
      </c>
    </row>
    <row r="246" spans="1:55" x14ac:dyDescent="0.25">
      <c r="A246" s="88" t="s">
        <v>258</v>
      </c>
      <c r="B246" s="90"/>
      <c r="C246" s="90"/>
      <c r="D246" s="90"/>
      <c r="E246" s="90"/>
      <c r="F246" s="90">
        <v>2</v>
      </c>
      <c r="G246" s="90"/>
      <c r="H246" s="90"/>
      <c r="I246" s="90"/>
      <c r="J246" s="90"/>
      <c r="K246" s="90"/>
      <c r="L246" s="90"/>
      <c r="M246" s="90"/>
      <c r="N246" s="90"/>
      <c r="P246" s="90">
        <f t="shared" si="19"/>
        <v>2</v>
      </c>
      <c r="Q246" s="90">
        <f>SUM($B246:E246)</f>
        <v>0</v>
      </c>
      <c r="R246" s="89"/>
      <c r="AH246" s="90">
        <f t="shared" si="20"/>
        <v>0</v>
      </c>
      <c r="AI246" s="90">
        <f t="shared" si="21"/>
        <v>0</v>
      </c>
      <c r="AJ246" s="89"/>
      <c r="AZ246" s="90">
        <f t="shared" si="22"/>
        <v>0</v>
      </c>
      <c r="BA246" s="90">
        <f>ROUND(AZ246*IFERROR(VLOOKUP($AK246,'3121% SY'!$A$2:$M$324,13,FALSE),0),3)</f>
        <v>0</v>
      </c>
      <c r="BB246" s="90">
        <f t="shared" si="23"/>
        <v>0</v>
      </c>
      <c r="BC246" s="90">
        <f>ROUND(BB246*IFERROR(VLOOKUP($AK246,'3121% SY'!$A$2:$M$324,13,FALSE),0),3)</f>
        <v>0</v>
      </c>
    </row>
    <row r="247" spans="1:55" x14ac:dyDescent="0.25">
      <c r="A247" s="88" t="s">
        <v>259</v>
      </c>
      <c r="B247" s="90"/>
      <c r="C247" s="90"/>
      <c r="D247" s="90">
        <v>0.375</v>
      </c>
      <c r="E247" s="90"/>
      <c r="F247" s="90">
        <v>0.75</v>
      </c>
      <c r="G247" s="90"/>
      <c r="H247" s="90"/>
      <c r="I247" s="90"/>
      <c r="J247" s="90"/>
      <c r="K247" s="90"/>
      <c r="L247" s="90"/>
      <c r="M247" s="90"/>
      <c r="N247" s="90"/>
      <c r="P247" s="90">
        <f t="shared" si="19"/>
        <v>0.75</v>
      </c>
      <c r="Q247" s="90">
        <f>SUM($B247:E247)</f>
        <v>0.375</v>
      </c>
      <c r="R247" s="89"/>
      <c r="AH247" s="90">
        <f t="shared" si="20"/>
        <v>0</v>
      </c>
      <c r="AI247" s="90">
        <f t="shared" si="21"/>
        <v>0</v>
      </c>
      <c r="AJ247" s="89"/>
      <c r="AZ247" s="90">
        <f t="shared" si="22"/>
        <v>0</v>
      </c>
      <c r="BA247" s="90">
        <f>ROUND(AZ247*IFERROR(VLOOKUP($AK247,'3121% SY'!$A$2:$M$324,13,FALSE),0),3)</f>
        <v>0</v>
      </c>
      <c r="BB247" s="90">
        <f t="shared" si="23"/>
        <v>0</v>
      </c>
      <c r="BC247" s="90">
        <f>ROUND(BB247*IFERROR(VLOOKUP($AK247,'3121% SY'!$A$2:$M$324,13,FALSE),0),3)</f>
        <v>0</v>
      </c>
    </row>
    <row r="248" spans="1:55" x14ac:dyDescent="0.25">
      <c r="A248" s="88" t="s">
        <v>262</v>
      </c>
      <c r="B248" s="90"/>
      <c r="C248" s="90"/>
      <c r="D248" s="90">
        <v>3.8679999999999999</v>
      </c>
      <c r="E248" s="90">
        <v>2.181</v>
      </c>
      <c r="F248" s="90">
        <v>5</v>
      </c>
      <c r="G248" s="90"/>
      <c r="H248" s="90"/>
      <c r="I248" s="90"/>
      <c r="J248" s="90"/>
      <c r="K248" s="90">
        <v>0.84099999999999997</v>
      </c>
      <c r="L248" s="90"/>
      <c r="M248" s="90"/>
      <c r="N248" s="90"/>
      <c r="P248" s="90">
        <f t="shared" si="19"/>
        <v>5.8410000000000002</v>
      </c>
      <c r="Q248" s="90">
        <f>SUM($B248:E248)</f>
        <v>6.0489999999999995</v>
      </c>
      <c r="R248" s="89"/>
      <c r="AH248" s="90">
        <f t="shared" si="20"/>
        <v>0</v>
      </c>
      <c r="AI248" s="90">
        <f t="shared" si="21"/>
        <v>0</v>
      </c>
      <c r="AJ248" s="89"/>
      <c r="AZ248" s="90">
        <f t="shared" si="22"/>
        <v>0</v>
      </c>
      <c r="BA248" s="90">
        <f>ROUND(AZ248*IFERROR(VLOOKUP($AK248,'3121% SY'!$A$2:$M$324,13,FALSE),0),3)</f>
        <v>0</v>
      </c>
      <c r="BB248" s="90">
        <f t="shared" si="23"/>
        <v>0</v>
      </c>
      <c r="BC248" s="90">
        <f>ROUND(BB248*IFERROR(VLOOKUP($AK248,'3121% SY'!$A$2:$M$324,13,FALSE),0),3)</f>
        <v>0</v>
      </c>
    </row>
    <row r="249" spans="1:55" x14ac:dyDescent="0.25">
      <c r="A249" s="88" t="s">
        <v>263</v>
      </c>
      <c r="B249" s="90"/>
      <c r="C249" s="90"/>
      <c r="D249" s="90">
        <v>1.7030000000000001</v>
      </c>
      <c r="E249" s="90"/>
      <c r="F249" s="90">
        <v>0.86</v>
      </c>
      <c r="G249" s="90"/>
      <c r="H249" s="90">
        <v>0.25</v>
      </c>
      <c r="I249" s="90"/>
      <c r="J249" s="90"/>
      <c r="K249" s="90"/>
      <c r="L249" s="90"/>
      <c r="M249" s="90"/>
      <c r="N249" s="90"/>
      <c r="P249" s="90">
        <f t="shared" si="19"/>
        <v>1.1099999999999999</v>
      </c>
      <c r="Q249" s="90">
        <f>SUM($B249:E249)</f>
        <v>1.7030000000000001</v>
      </c>
      <c r="R249" s="89"/>
      <c r="AH249" s="90">
        <f t="shared" si="20"/>
        <v>0</v>
      </c>
      <c r="AI249" s="90">
        <f t="shared" si="21"/>
        <v>0</v>
      </c>
      <c r="AJ249" s="89"/>
      <c r="AZ249" s="90">
        <f t="shared" si="22"/>
        <v>0</v>
      </c>
      <c r="BA249" s="90">
        <f>ROUND(AZ249*IFERROR(VLOOKUP($AK249,'3121% SY'!$A$2:$M$324,13,FALSE),0),3)</f>
        <v>0</v>
      </c>
      <c r="BB249" s="90">
        <f t="shared" si="23"/>
        <v>0</v>
      </c>
      <c r="BC249" s="90">
        <f>ROUND(BB249*IFERROR(VLOOKUP($AK249,'3121% SY'!$A$2:$M$324,13,FALSE),0),3)</f>
        <v>0</v>
      </c>
    </row>
    <row r="250" spans="1:55" x14ac:dyDescent="0.25">
      <c r="A250" s="88" t="s">
        <v>264</v>
      </c>
      <c r="B250" s="90"/>
      <c r="C250" s="90"/>
      <c r="D250" s="90"/>
      <c r="E250" s="90"/>
      <c r="F250" s="90">
        <v>0.6</v>
      </c>
      <c r="G250" s="90"/>
      <c r="H250" s="90"/>
      <c r="I250" s="90"/>
      <c r="J250" s="90"/>
      <c r="K250" s="90"/>
      <c r="L250" s="90"/>
      <c r="M250" s="90"/>
      <c r="N250" s="90"/>
      <c r="P250" s="90">
        <f t="shared" si="19"/>
        <v>0.6</v>
      </c>
      <c r="Q250" s="90">
        <f>SUM($B250:E250)</f>
        <v>0</v>
      </c>
      <c r="R250" s="89"/>
      <c r="AH250" s="90">
        <f t="shared" si="20"/>
        <v>0</v>
      </c>
      <c r="AI250" s="90">
        <f t="shared" si="21"/>
        <v>0</v>
      </c>
      <c r="AJ250" s="89"/>
      <c r="AZ250" s="90">
        <f t="shared" si="22"/>
        <v>0</v>
      </c>
      <c r="BA250" s="90">
        <f>ROUND(AZ250*IFERROR(VLOOKUP($AK250,'3121% SY'!$A$2:$M$324,13,FALSE),0),3)</f>
        <v>0</v>
      </c>
      <c r="BB250" s="90">
        <f t="shared" si="23"/>
        <v>0</v>
      </c>
      <c r="BC250" s="90">
        <f>ROUND(BB250*IFERROR(VLOOKUP($AK250,'3121% SY'!$A$2:$M$324,13,FALSE),0),3)</f>
        <v>0</v>
      </c>
    </row>
    <row r="251" spans="1:55" x14ac:dyDescent="0.25">
      <c r="A251" s="88" t="s">
        <v>265</v>
      </c>
      <c r="B251" s="90"/>
      <c r="C251" s="90"/>
      <c r="D251" s="90">
        <v>0.36499999999999999</v>
      </c>
      <c r="E251" s="90"/>
      <c r="F251" s="90">
        <v>1</v>
      </c>
      <c r="G251" s="90"/>
      <c r="H251" s="90"/>
      <c r="I251" s="90"/>
      <c r="J251" s="90">
        <v>0.125</v>
      </c>
      <c r="K251" s="90"/>
      <c r="L251" s="90"/>
      <c r="M251" s="90"/>
      <c r="N251" s="90"/>
      <c r="P251" s="90">
        <f t="shared" si="19"/>
        <v>1.125</v>
      </c>
      <c r="Q251" s="90">
        <f>SUM($B251:E251)</f>
        <v>0.36499999999999999</v>
      </c>
      <c r="R251" s="89"/>
      <c r="AH251" s="90">
        <f t="shared" si="20"/>
        <v>0</v>
      </c>
      <c r="AI251" s="90">
        <f t="shared" si="21"/>
        <v>0</v>
      </c>
      <c r="AJ251" s="89"/>
      <c r="AZ251" s="90">
        <f t="shared" si="22"/>
        <v>0</v>
      </c>
      <c r="BA251" s="90">
        <f>ROUND(AZ251*IFERROR(VLOOKUP($AK251,'3121% SY'!$A$2:$M$324,13,FALSE),0),3)</f>
        <v>0</v>
      </c>
      <c r="BB251" s="90">
        <f t="shared" si="23"/>
        <v>0</v>
      </c>
      <c r="BC251" s="90">
        <f>ROUND(BB251*IFERROR(VLOOKUP($AK251,'3121% SY'!$A$2:$M$324,13,FALSE),0),3)</f>
        <v>0</v>
      </c>
    </row>
    <row r="252" spans="1:55" x14ac:dyDescent="0.25">
      <c r="A252" s="88" t="s">
        <v>266</v>
      </c>
      <c r="B252" s="90">
        <v>0.23599999999999999</v>
      </c>
      <c r="C252" s="90">
        <v>0.40799999999999997</v>
      </c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P252" s="90">
        <f t="shared" si="19"/>
        <v>0</v>
      </c>
      <c r="Q252" s="90">
        <f>SUM($B252:E252)</f>
        <v>0.64399999999999991</v>
      </c>
      <c r="R252" s="89"/>
      <c r="AH252" s="90">
        <f t="shared" si="20"/>
        <v>0</v>
      </c>
      <c r="AI252" s="90">
        <f t="shared" si="21"/>
        <v>0</v>
      </c>
      <c r="AJ252" s="89"/>
      <c r="AZ252" s="90">
        <f t="shared" si="22"/>
        <v>0</v>
      </c>
      <c r="BA252" s="90">
        <f>ROUND(AZ252*IFERROR(VLOOKUP($AK252,'3121% SY'!$A$2:$M$324,13,FALSE),0),3)</f>
        <v>0</v>
      </c>
      <c r="BB252" s="90">
        <f t="shared" si="23"/>
        <v>0</v>
      </c>
      <c r="BC252" s="90">
        <f>ROUND(BB252*IFERROR(VLOOKUP($AK252,'3121% SY'!$A$2:$M$324,13,FALSE),0),3)</f>
        <v>0</v>
      </c>
    </row>
    <row r="253" spans="1:55" x14ac:dyDescent="0.25">
      <c r="A253" s="88" t="s">
        <v>267</v>
      </c>
      <c r="B253" s="90"/>
      <c r="C253" s="90"/>
      <c r="D253" s="90"/>
      <c r="E253" s="90"/>
      <c r="F253" s="90">
        <v>0.18</v>
      </c>
      <c r="G253" s="90"/>
      <c r="H253" s="90"/>
      <c r="I253" s="90"/>
      <c r="J253" s="90"/>
      <c r="K253" s="90"/>
      <c r="L253" s="90"/>
      <c r="M253" s="90"/>
      <c r="N253" s="90"/>
      <c r="P253" s="90">
        <f t="shared" si="19"/>
        <v>0.18</v>
      </c>
      <c r="Q253" s="90">
        <f>SUM($B253:E253)</f>
        <v>0</v>
      </c>
      <c r="R253" s="89"/>
      <c r="AH253" s="90">
        <f t="shared" si="20"/>
        <v>0</v>
      </c>
      <c r="AI253" s="90">
        <f t="shared" si="21"/>
        <v>0</v>
      </c>
      <c r="AJ253" s="89"/>
      <c r="AZ253" s="90">
        <f t="shared" si="22"/>
        <v>0</v>
      </c>
      <c r="BA253" s="90">
        <f>ROUND(AZ253*IFERROR(VLOOKUP($AK253,'3121% SY'!$A$2:$M$324,13,FALSE),0),3)</f>
        <v>0</v>
      </c>
      <c r="BB253" s="90">
        <f t="shared" si="23"/>
        <v>0</v>
      </c>
      <c r="BC253" s="90">
        <f>ROUND(BB253*IFERROR(VLOOKUP($AK253,'3121% SY'!$A$2:$M$324,13,FALSE),0),3)</f>
        <v>0</v>
      </c>
    </row>
    <row r="254" spans="1:55" x14ac:dyDescent="0.25">
      <c r="A254" s="88" t="s">
        <v>268</v>
      </c>
      <c r="B254" s="90">
        <v>3.06</v>
      </c>
      <c r="C254" s="90">
        <v>18.640999999999998</v>
      </c>
      <c r="D254" s="90">
        <v>5.1449999999999996</v>
      </c>
      <c r="E254" s="90"/>
      <c r="F254" s="90">
        <v>8.94</v>
      </c>
      <c r="G254" s="90"/>
      <c r="H254" s="90"/>
      <c r="I254" s="90"/>
      <c r="J254" s="90"/>
      <c r="K254" s="90">
        <v>1.667</v>
      </c>
      <c r="L254" s="90"/>
      <c r="M254" s="90"/>
      <c r="N254" s="90"/>
      <c r="P254" s="90">
        <f t="shared" si="19"/>
        <v>10.606999999999999</v>
      </c>
      <c r="Q254" s="90">
        <f>SUM($B254:E254)</f>
        <v>26.845999999999997</v>
      </c>
      <c r="R254" s="89"/>
      <c r="AH254" s="90">
        <f t="shared" si="20"/>
        <v>0</v>
      </c>
      <c r="AI254" s="90">
        <f t="shared" si="21"/>
        <v>0</v>
      </c>
      <c r="AJ254" s="89"/>
      <c r="AZ254" s="90">
        <f t="shared" si="22"/>
        <v>0</v>
      </c>
      <c r="BA254" s="90">
        <f>ROUND(AZ254*IFERROR(VLOOKUP($AK254,'3121% SY'!$A$2:$M$324,13,FALSE),0),3)</f>
        <v>0</v>
      </c>
      <c r="BB254" s="90">
        <f t="shared" si="23"/>
        <v>0</v>
      </c>
      <c r="BC254" s="90">
        <f>ROUND(BB254*IFERROR(VLOOKUP($AK254,'3121% SY'!$A$2:$M$324,13,FALSE),0),3)</f>
        <v>0</v>
      </c>
    </row>
    <row r="255" spans="1:55" x14ac:dyDescent="0.25">
      <c r="A255" s="88" t="s">
        <v>269</v>
      </c>
      <c r="B255" s="90">
        <v>3.42</v>
      </c>
      <c r="C255" s="90">
        <v>6.0730000000000004</v>
      </c>
      <c r="D255" s="90">
        <v>2.2370000000000001</v>
      </c>
      <c r="E255" s="90"/>
      <c r="F255" s="90">
        <v>3</v>
      </c>
      <c r="G255" s="90"/>
      <c r="H255" s="90"/>
      <c r="I255" s="90"/>
      <c r="J255" s="90"/>
      <c r="K255" s="90"/>
      <c r="L255" s="90"/>
      <c r="M255" s="90"/>
      <c r="N255" s="90"/>
      <c r="P255" s="90">
        <f t="shared" si="19"/>
        <v>3</v>
      </c>
      <c r="Q255" s="90">
        <f>SUM($B255:E255)</f>
        <v>11.73</v>
      </c>
      <c r="R255" s="89"/>
      <c r="AH255" s="90">
        <f t="shared" si="20"/>
        <v>0</v>
      </c>
      <c r="AI255" s="90">
        <f t="shared" si="21"/>
        <v>0</v>
      </c>
      <c r="AJ255" s="89"/>
      <c r="AZ255" s="90">
        <f t="shared" si="22"/>
        <v>0</v>
      </c>
      <c r="BA255" s="90">
        <f>ROUND(AZ255*IFERROR(VLOOKUP($AK255,'3121% SY'!$A$2:$M$324,13,FALSE),0),3)</f>
        <v>0</v>
      </c>
      <c r="BB255" s="90">
        <f t="shared" si="23"/>
        <v>0</v>
      </c>
      <c r="BC255" s="90">
        <f>ROUND(BB255*IFERROR(VLOOKUP($AK255,'3121% SY'!$A$2:$M$324,13,FALSE),0),3)</f>
        <v>0</v>
      </c>
    </row>
    <row r="256" spans="1:55" x14ac:dyDescent="0.25">
      <c r="A256" s="88" t="s">
        <v>270</v>
      </c>
      <c r="B256" s="90"/>
      <c r="C256" s="90">
        <v>1.6240000000000001</v>
      </c>
      <c r="D256" s="90">
        <v>0.55700000000000005</v>
      </c>
      <c r="E256" s="90"/>
      <c r="F256" s="90">
        <v>1.94</v>
      </c>
      <c r="G256" s="90"/>
      <c r="H256" s="90">
        <v>4.7E-2</v>
      </c>
      <c r="I256" s="90"/>
      <c r="J256" s="90"/>
      <c r="K256" s="90">
        <v>0.56999999999999995</v>
      </c>
      <c r="L256" s="90"/>
      <c r="M256" s="90"/>
      <c r="N256" s="90"/>
      <c r="P256" s="90">
        <f t="shared" ref="P256:P319" si="24">SUM(F256:O256)</f>
        <v>2.5569999999999999</v>
      </c>
      <c r="Q256" s="90">
        <f>SUM($B256:E256)</f>
        <v>2.181</v>
      </c>
      <c r="R256" s="89"/>
      <c r="AJ256" s="89"/>
    </row>
    <row r="257" spans="1:36" x14ac:dyDescent="0.25">
      <c r="A257" s="88" t="s">
        <v>271</v>
      </c>
      <c r="B257" s="90"/>
      <c r="C257" s="90">
        <v>4.6319999999999997</v>
      </c>
      <c r="D257" s="90">
        <v>2.2480000000000002</v>
      </c>
      <c r="E257" s="90"/>
      <c r="F257" s="90">
        <v>3</v>
      </c>
      <c r="G257" s="90"/>
      <c r="H257" s="90"/>
      <c r="I257" s="90"/>
      <c r="J257" s="90"/>
      <c r="K257" s="90"/>
      <c r="L257" s="90"/>
      <c r="M257" s="90"/>
      <c r="N257" s="90"/>
      <c r="P257" s="90">
        <f t="shared" si="24"/>
        <v>3</v>
      </c>
      <c r="Q257" s="90">
        <f>SUM($B257:E257)</f>
        <v>6.88</v>
      </c>
      <c r="R257" s="89"/>
      <c r="AJ257" s="89"/>
    </row>
    <row r="258" spans="1:36" x14ac:dyDescent="0.25">
      <c r="A258" s="88" t="s">
        <v>272</v>
      </c>
      <c r="B258" s="90">
        <v>0.90100000000000002</v>
      </c>
      <c r="C258" s="90"/>
      <c r="D258" s="90"/>
      <c r="E258" s="90"/>
      <c r="F258" s="90">
        <v>1.976</v>
      </c>
      <c r="G258" s="90"/>
      <c r="H258" s="90"/>
      <c r="I258" s="90"/>
      <c r="J258" s="90"/>
      <c r="K258" s="90">
        <v>0.161</v>
      </c>
      <c r="L258" s="90"/>
      <c r="M258" s="90"/>
      <c r="N258" s="90"/>
      <c r="P258" s="90">
        <f t="shared" si="24"/>
        <v>2.137</v>
      </c>
      <c r="Q258" s="90">
        <f>SUM($B258:E258)</f>
        <v>0.90100000000000002</v>
      </c>
      <c r="R258" s="89"/>
      <c r="AJ258" s="89"/>
    </row>
    <row r="259" spans="1:36" x14ac:dyDescent="0.25">
      <c r="A259" s="88" t="s">
        <v>273</v>
      </c>
      <c r="B259" s="90">
        <v>0.127</v>
      </c>
      <c r="C259" s="90"/>
      <c r="D259" s="90">
        <v>1.5669999999999999</v>
      </c>
      <c r="E259" s="90"/>
      <c r="F259" s="90">
        <v>0.79300000000000004</v>
      </c>
      <c r="G259" s="90"/>
      <c r="H259" s="90"/>
      <c r="I259" s="90"/>
      <c r="J259" s="90"/>
      <c r="K259" s="90"/>
      <c r="L259" s="90"/>
      <c r="M259" s="90"/>
      <c r="N259" s="90"/>
      <c r="P259" s="90">
        <f t="shared" si="24"/>
        <v>0.79300000000000004</v>
      </c>
      <c r="Q259" s="90">
        <f>SUM($B259:E259)</f>
        <v>1.694</v>
      </c>
      <c r="R259" s="89"/>
      <c r="AJ259" s="89"/>
    </row>
    <row r="260" spans="1:36" x14ac:dyDescent="0.25">
      <c r="A260" s="88" t="s">
        <v>274</v>
      </c>
      <c r="B260" s="90">
        <v>0.68799999999999994</v>
      </c>
      <c r="C260" s="90"/>
      <c r="D260" s="90">
        <v>1.1299999999999999</v>
      </c>
      <c r="E260" s="90"/>
      <c r="F260" s="90">
        <v>1.75</v>
      </c>
      <c r="G260" s="90"/>
      <c r="H260" s="90"/>
      <c r="I260" s="90"/>
      <c r="J260" s="90"/>
      <c r="K260" s="90">
        <v>0.378</v>
      </c>
      <c r="L260" s="90"/>
      <c r="M260" s="90"/>
      <c r="N260" s="90"/>
      <c r="P260" s="90">
        <f t="shared" si="24"/>
        <v>2.1280000000000001</v>
      </c>
      <c r="Q260" s="90">
        <f>SUM($B260:E260)</f>
        <v>1.8179999999999998</v>
      </c>
      <c r="R260" s="89"/>
      <c r="AJ260" s="89"/>
    </row>
    <row r="261" spans="1:36" x14ac:dyDescent="0.25">
      <c r="A261" s="88" t="s">
        <v>276</v>
      </c>
      <c r="B261" s="90"/>
      <c r="C261" s="90"/>
      <c r="D261" s="90">
        <v>7.4999999999999997E-2</v>
      </c>
      <c r="E261" s="90"/>
      <c r="F261" s="90">
        <v>0.45</v>
      </c>
      <c r="G261" s="90"/>
      <c r="H261" s="90"/>
      <c r="I261" s="90"/>
      <c r="J261" s="90"/>
      <c r="K261" s="90"/>
      <c r="L261" s="90"/>
      <c r="M261" s="90"/>
      <c r="N261" s="90"/>
      <c r="P261" s="90">
        <f t="shared" si="24"/>
        <v>0.45</v>
      </c>
      <c r="Q261" s="90">
        <f>SUM($B261:E261)</f>
        <v>7.4999999999999997E-2</v>
      </c>
      <c r="R261" s="89"/>
      <c r="AJ261" s="89"/>
    </row>
    <row r="262" spans="1:36" x14ac:dyDescent="0.25">
      <c r="A262" s="88" t="s">
        <v>278</v>
      </c>
      <c r="B262" s="90"/>
      <c r="C262" s="90"/>
      <c r="D262" s="90"/>
      <c r="E262" s="90"/>
      <c r="F262" s="90">
        <v>0.66</v>
      </c>
      <c r="G262" s="90"/>
      <c r="H262" s="90"/>
      <c r="I262" s="90"/>
      <c r="J262" s="90"/>
      <c r="K262" s="90"/>
      <c r="L262" s="90"/>
      <c r="M262" s="90"/>
      <c r="N262" s="90"/>
      <c r="P262" s="90">
        <f t="shared" si="24"/>
        <v>0.66</v>
      </c>
      <c r="Q262" s="90">
        <f>SUM($B262:E262)</f>
        <v>0</v>
      </c>
      <c r="R262" s="89"/>
      <c r="AJ262" s="89"/>
    </row>
    <row r="263" spans="1:36" x14ac:dyDescent="0.25">
      <c r="A263" s="88" t="s">
        <v>279</v>
      </c>
      <c r="B263" s="90"/>
      <c r="C263" s="90">
        <v>2.3519999999999999</v>
      </c>
      <c r="D263" s="90">
        <v>1.6379999999999999</v>
      </c>
      <c r="E263" s="90"/>
      <c r="F263" s="90">
        <v>2.5</v>
      </c>
      <c r="G263" s="90"/>
      <c r="H263" s="90"/>
      <c r="I263" s="90"/>
      <c r="J263" s="90"/>
      <c r="K263" s="90"/>
      <c r="L263" s="90"/>
      <c r="M263" s="90"/>
      <c r="N263" s="90"/>
      <c r="P263" s="90">
        <f t="shared" si="24"/>
        <v>2.5</v>
      </c>
      <c r="Q263" s="90">
        <f>SUM($B263:E263)</f>
        <v>3.9899999999999998</v>
      </c>
      <c r="R263" s="89"/>
      <c r="AJ263" s="89"/>
    </row>
    <row r="264" spans="1:36" x14ac:dyDescent="0.25">
      <c r="A264" s="88" t="s">
        <v>280</v>
      </c>
      <c r="B264" s="90"/>
      <c r="C264" s="90">
        <v>0.54100000000000004</v>
      </c>
      <c r="D264" s="90"/>
      <c r="E264" s="90"/>
      <c r="F264" s="90">
        <v>0.56599999999999995</v>
      </c>
      <c r="G264" s="90"/>
      <c r="H264" s="90"/>
      <c r="I264" s="90"/>
      <c r="J264" s="90"/>
      <c r="K264" s="90"/>
      <c r="L264" s="90"/>
      <c r="M264" s="90"/>
      <c r="N264" s="90"/>
      <c r="P264" s="90">
        <f t="shared" si="24"/>
        <v>0.56599999999999995</v>
      </c>
      <c r="Q264" s="90">
        <f>SUM($B264:E264)</f>
        <v>0.54100000000000004</v>
      </c>
      <c r="R264" s="89"/>
      <c r="AJ264" s="89"/>
    </row>
    <row r="265" spans="1:36" x14ac:dyDescent="0.25">
      <c r="A265" s="88" t="s">
        <v>281</v>
      </c>
      <c r="B265" s="90"/>
      <c r="C265" s="90"/>
      <c r="D265" s="90"/>
      <c r="E265" s="90"/>
      <c r="F265" s="90">
        <v>0.5</v>
      </c>
      <c r="G265" s="90"/>
      <c r="H265" s="90"/>
      <c r="I265" s="90"/>
      <c r="J265" s="90"/>
      <c r="K265" s="90"/>
      <c r="L265" s="90"/>
      <c r="M265" s="90"/>
      <c r="N265" s="90"/>
      <c r="P265" s="90">
        <f t="shared" si="24"/>
        <v>0.5</v>
      </c>
      <c r="Q265" s="90">
        <f>SUM($B265:E265)</f>
        <v>0</v>
      </c>
      <c r="R265" s="89"/>
      <c r="AJ265" s="89"/>
    </row>
    <row r="266" spans="1:36" x14ac:dyDescent="0.25">
      <c r="A266" s="88" t="s">
        <v>282</v>
      </c>
      <c r="B266" s="90"/>
      <c r="C266" s="90"/>
      <c r="D266" s="90">
        <v>0.06</v>
      </c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P266" s="90">
        <f t="shared" si="24"/>
        <v>0</v>
      </c>
      <c r="Q266" s="90">
        <f>SUM($B266:E266)</f>
        <v>0.06</v>
      </c>
      <c r="R266" s="89"/>
      <c r="AJ266" s="89"/>
    </row>
    <row r="267" spans="1:36" x14ac:dyDescent="0.25">
      <c r="A267" s="88" t="s">
        <v>283</v>
      </c>
      <c r="B267" s="90"/>
      <c r="C267" s="90"/>
      <c r="D267" s="90">
        <v>3.5000000000000003E-2</v>
      </c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P267" s="90">
        <f t="shared" si="24"/>
        <v>0</v>
      </c>
      <c r="Q267" s="90">
        <f>SUM($B267:E267)</f>
        <v>3.5000000000000003E-2</v>
      </c>
      <c r="R267" s="89"/>
      <c r="AJ267" s="89"/>
    </row>
    <row r="268" spans="1:36" x14ac:dyDescent="0.25">
      <c r="A268" s="88" t="s">
        <v>284</v>
      </c>
      <c r="B268" s="90"/>
      <c r="C268" s="90"/>
      <c r="D268" s="90"/>
      <c r="E268" s="90"/>
      <c r="F268" s="90">
        <v>0.16900000000000001</v>
      </c>
      <c r="G268" s="90"/>
      <c r="H268" s="90"/>
      <c r="I268" s="90"/>
      <c r="J268" s="90"/>
      <c r="K268" s="90"/>
      <c r="L268" s="90"/>
      <c r="M268" s="90"/>
      <c r="N268" s="90"/>
      <c r="P268" s="90">
        <f t="shared" si="24"/>
        <v>0.16900000000000001</v>
      </c>
      <c r="Q268" s="90">
        <f>SUM($B268:E268)</f>
        <v>0</v>
      </c>
      <c r="R268" s="89"/>
      <c r="AJ268" s="89"/>
    </row>
    <row r="269" spans="1:36" x14ac:dyDescent="0.25">
      <c r="A269" s="88" t="s">
        <v>285</v>
      </c>
      <c r="B269" s="90">
        <v>0.67100000000000004</v>
      </c>
      <c r="C269" s="90">
        <v>0.24199999999999999</v>
      </c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P269" s="90">
        <f t="shared" si="24"/>
        <v>0</v>
      </c>
      <c r="Q269" s="90">
        <f>SUM($B269:E269)</f>
        <v>0.91300000000000003</v>
      </c>
      <c r="R269" s="89"/>
      <c r="AJ269" s="89"/>
    </row>
    <row r="270" spans="1:36" x14ac:dyDescent="0.25">
      <c r="A270" s="88" t="s">
        <v>286</v>
      </c>
      <c r="B270" s="90"/>
      <c r="C270" s="90">
        <v>8.8999999999999996E-2</v>
      </c>
      <c r="D270" s="90">
        <v>9.2999999999999999E-2</v>
      </c>
      <c r="E270" s="90"/>
      <c r="F270" s="90"/>
      <c r="G270" s="90"/>
      <c r="H270" s="90"/>
      <c r="I270" s="90"/>
      <c r="J270" s="90"/>
      <c r="K270" s="90"/>
      <c r="L270" s="90"/>
      <c r="M270" s="90">
        <v>0.20399999999999999</v>
      </c>
      <c r="N270" s="90"/>
      <c r="P270" s="90">
        <f t="shared" si="24"/>
        <v>0.20399999999999999</v>
      </c>
      <c r="Q270" s="90">
        <f>SUM($B270:E270)</f>
        <v>0.182</v>
      </c>
      <c r="R270" s="89"/>
      <c r="AJ270" s="89"/>
    </row>
    <row r="271" spans="1:36" x14ac:dyDescent="0.25">
      <c r="A271" s="88" t="s">
        <v>287</v>
      </c>
      <c r="B271" s="90"/>
      <c r="C271" s="90"/>
      <c r="D271" s="90"/>
      <c r="E271" s="90"/>
      <c r="F271" s="90">
        <v>0.30299999999999999</v>
      </c>
      <c r="G271" s="90"/>
      <c r="H271" s="90"/>
      <c r="I271" s="90"/>
      <c r="J271" s="90"/>
      <c r="K271" s="90"/>
      <c r="L271" s="90"/>
      <c r="M271" s="90"/>
      <c r="N271" s="90"/>
      <c r="P271" s="90">
        <f t="shared" si="24"/>
        <v>0.30299999999999999</v>
      </c>
      <c r="Q271" s="90">
        <f>SUM($B271:E271)</f>
        <v>0</v>
      </c>
      <c r="R271" s="89"/>
      <c r="AJ271" s="89"/>
    </row>
    <row r="272" spans="1:36" x14ac:dyDescent="0.25">
      <c r="A272" s="88" t="s">
        <v>288</v>
      </c>
      <c r="B272" s="90"/>
      <c r="C272" s="90"/>
      <c r="D272" s="90">
        <v>0.113</v>
      </c>
      <c r="E272" s="90"/>
      <c r="F272" s="90">
        <v>0.6</v>
      </c>
      <c r="G272" s="90"/>
      <c r="H272" s="90"/>
      <c r="I272" s="90"/>
      <c r="J272" s="90"/>
      <c r="K272" s="90"/>
      <c r="L272" s="90"/>
      <c r="M272" s="90"/>
      <c r="N272" s="90"/>
      <c r="P272" s="90">
        <f t="shared" si="24"/>
        <v>0.6</v>
      </c>
      <c r="Q272" s="90">
        <f>SUM($B272:E272)</f>
        <v>0.113</v>
      </c>
      <c r="R272" s="89"/>
      <c r="AJ272" s="89"/>
    </row>
    <row r="273" spans="1:36" x14ac:dyDescent="0.25">
      <c r="A273" s="88" t="s">
        <v>289</v>
      </c>
      <c r="B273" s="90"/>
      <c r="C273" s="90">
        <v>3.0939999999999999</v>
      </c>
      <c r="D273" s="90">
        <v>0.91100000000000003</v>
      </c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P273" s="90">
        <f t="shared" si="24"/>
        <v>0</v>
      </c>
      <c r="Q273" s="90">
        <f>SUM($B273:E273)</f>
        <v>4.0049999999999999</v>
      </c>
      <c r="R273" s="89"/>
      <c r="AJ273" s="89"/>
    </row>
    <row r="274" spans="1:36" x14ac:dyDescent="0.25">
      <c r="A274" s="88" t="s">
        <v>290</v>
      </c>
      <c r="B274" s="90"/>
      <c r="C274" s="90">
        <v>0.14000000000000001</v>
      </c>
      <c r="D274" s="90"/>
      <c r="E274" s="90"/>
      <c r="F274" s="90">
        <v>1.25</v>
      </c>
      <c r="G274" s="90"/>
      <c r="H274" s="90"/>
      <c r="I274" s="90"/>
      <c r="J274" s="90"/>
      <c r="K274" s="90">
        <v>0.43099999999999999</v>
      </c>
      <c r="L274" s="90"/>
      <c r="M274" s="90"/>
      <c r="N274" s="90"/>
      <c r="P274" s="90">
        <f t="shared" si="24"/>
        <v>1.681</v>
      </c>
      <c r="Q274" s="90">
        <f>SUM($B274:E274)</f>
        <v>0.14000000000000001</v>
      </c>
      <c r="R274" s="89"/>
      <c r="AJ274" s="89"/>
    </row>
    <row r="275" spans="1:36" x14ac:dyDescent="0.25">
      <c r="A275" s="88" t="s">
        <v>291</v>
      </c>
      <c r="B275" s="90"/>
      <c r="C275" s="90">
        <v>19.241</v>
      </c>
      <c r="D275" s="90">
        <v>5.2519999999999998</v>
      </c>
      <c r="E275" s="90">
        <v>13.362</v>
      </c>
      <c r="F275" s="90">
        <v>9</v>
      </c>
      <c r="G275" s="90"/>
      <c r="H275" s="90"/>
      <c r="I275" s="90"/>
      <c r="J275" s="90"/>
      <c r="K275" s="90">
        <v>4</v>
      </c>
      <c r="L275" s="90"/>
      <c r="M275" s="90"/>
      <c r="N275" s="90"/>
      <c r="P275" s="90">
        <f t="shared" si="24"/>
        <v>13</v>
      </c>
      <c r="Q275" s="90">
        <f>SUM($B275:E275)</f>
        <v>37.854999999999997</v>
      </c>
      <c r="R275" s="89"/>
      <c r="AJ275" s="89"/>
    </row>
    <row r="276" spans="1:36" x14ac:dyDescent="0.25">
      <c r="A276" s="88" t="s">
        <v>292</v>
      </c>
      <c r="B276" s="90"/>
      <c r="C276" s="90">
        <v>3.407</v>
      </c>
      <c r="D276" s="90">
        <v>3.09</v>
      </c>
      <c r="E276" s="90">
        <v>1.202</v>
      </c>
      <c r="F276" s="90">
        <v>2.5499999999999998</v>
      </c>
      <c r="G276" s="90"/>
      <c r="H276" s="90"/>
      <c r="I276" s="90"/>
      <c r="J276" s="90"/>
      <c r="K276" s="90"/>
      <c r="L276" s="90"/>
      <c r="M276" s="90"/>
      <c r="N276" s="90"/>
      <c r="P276" s="90">
        <f t="shared" si="24"/>
        <v>2.5499999999999998</v>
      </c>
      <c r="Q276" s="90">
        <f>SUM($B276:E276)</f>
        <v>7.6989999999999998</v>
      </c>
      <c r="R276" s="89"/>
      <c r="AJ276" s="89"/>
    </row>
    <row r="277" spans="1:36" x14ac:dyDescent="0.25">
      <c r="A277" s="88" t="s">
        <v>293</v>
      </c>
      <c r="B277" s="90">
        <v>1.577</v>
      </c>
      <c r="C277" s="90">
        <v>0.36699999999999999</v>
      </c>
      <c r="D277" s="90">
        <v>1.6060000000000001</v>
      </c>
      <c r="E277" s="90"/>
      <c r="F277" s="90">
        <v>2.4</v>
      </c>
      <c r="G277" s="90"/>
      <c r="H277" s="90"/>
      <c r="I277" s="90"/>
      <c r="J277" s="90"/>
      <c r="K277" s="90">
        <v>1.714</v>
      </c>
      <c r="L277" s="90"/>
      <c r="M277" s="90"/>
      <c r="N277" s="90"/>
      <c r="P277" s="90">
        <f t="shared" si="24"/>
        <v>4.1139999999999999</v>
      </c>
      <c r="Q277" s="90">
        <f>SUM($B277:E277)</f>
        <v>3.55</v>
      </c>
      <c r="R277" s="89"/>
      <c r="AJ277" s="89"/>
    </row>
    <row r="278" spans="1:36" x14ac:dyDescent="0.25">
      <c r="A278" s="88" t="s">
        <v>294</v>
      </c>
      <c r="B278" s="90"/>
      <c r="C278" s="90"/>
      <c r="D278" s="90">
        <v>0.60599999999999998</v>
      </c>
      <c r="E278" s="90"/>
      <c r="F278" s="90">
        <v>0.5</v>
      </c>
      <c r="G278" s="90"/>
      <c r="H278" s="90"/>
      <c r="I278" s="90"/>
      <c r="J278" s="90"/>
      <c r="K278" s="90"/>
      <c r="L278" s="90"/>
      <c r="M278" s="90"/>
      <c r="N278" s="90"/>
      <c r="P278" s="90">
        <f t="shared" si="24"/>
        <v>0.5</v>
      </c>
      <c r="Q278" s="90">
        <f>SUM($B278:E278)</f>
        <v>0.60599999999999998</v>
      </c>
      <c r="R278" s="89"/>
      <c r="AJ278" s="89"/>
    </row>
    <row r="279" spans="1:36" x14ac:dyDescent="0.25">
      <c r="A279" s="88" t="s">
        <v>295</v>
      </c>
      <c r="B279" s="90"/>
      <c r="C279" s="90">
        <v>0.78500000000000003</v>
      </c>
      <c r="D279" s="90">
        <v>1.3029999999999999</v>
      </c>
      <c r="E279" s="90"/>
      <c r="F279" s="90">
        <v>2.8</v>
      </c>
      <c r="G279" s="90"/>
      <c r="H279" s="90"/>
      <c r="I279" s="90"/>
      <c r="J279" s="90"/>
      <c r="K279" s="90"/>
      <c r="L279" s="90"/>
      <c r="M279" s="90"/>
      <c r="N279" s="90"/>
      <c r="P279" s="90">
        <f t="shared" si="24"/>
        <v>2.8</v>
      </c>
      <c r="Q279" s="90">
        <f>SUM($B279:E279)</f>
        <v>2.0880000000000001</v>
      </c>
      <c r="R279" s="89"/>
      <c r="AJ279" s="89"/>
    </row>
    <row r="280" spans="1:36" x14ac:dyDescent="0.25">
      <c r="A280" s="88" t="s">
        <v>296</v>
      </c>
      <c r="B280" s="90"/>
      <c r="C280" s="90">
        <v>7.9580000000000002</v>
      </c>
      <c r="D280" s="90">
        <v>1.278</v>
      </c>
      <c r="E280" s="90"/>
      <c r="F280" s="90">
        <v>6</v>
      </c>
      <c r="G280" s="90"/>
      <c r="H280" s="90"/>
      <c r="I280" s="90"/>
      <c r="J280" s="90"/>
      <c r="K280" s="90">
        <v>1.2</v>
      </c>
      <c r="L280" s="90"/>
      <c r="M280" s="90"/>
      <c r="N280" s="90"/>
      <c r="P280" s="90">
        <f t="shared" si="24"/>
        <v>7.2</v>
      </c>
      <c r="Q280" s="90">
        <f>SUM($B280:E280)</f>
        <v>9.2360000000000007</v>
      </c>
      <c r="R280" s="89"/>
      <c r="AJ280" s="89"/>
    </row>
    <row r="281" spans="1:36" x14ac:dyDescent="0.25">
      <c r="A281" s="88" t="s">
        <v>297</v>
      </c>
      <c r="B281" s="90">
        <v>0.65</v>
      </c>
      <c r="C281" s="90"/>
      <c r="D281" s="90">
        <v>1.7</v>
      </c>
      <c r="E281" s="90"/>
      <c r="F281" s="90">
        <v>1.75</v>
      </c>
      <c r="G281" s="90"/>
      <c r="H281" s="90"/>
      <c r="I281" s="90"/>
      <c r="J281" s="90"/>
      <c r="K281" s="90"/>
      <c r="L281" s="90"/>
      <c r="M281" s="90"/>
      <c r="N281" s="90"/>
      <c r="P281" s="90">
        <f t="shared" si="24"/>
        <v>1.75</v>
      </c>
      <c r="Q281" s="90">
        <f>SUM($B281:E281)</f>
        <v>2.35</v>
      </c>
      <c r="R281" s="89"/>
      <c r="AJ281" s="89"/>
    </row>
    <row r="282" spans="1:36" x14ac:dyDescent="0.25">
      <c r="A282" s="88" t="s">
        <v>298</v>
      </c>
      <c r="B282" s="90"/>
      <c r="C282" s="90"/>
      <c r="D282" s="90">
        <v>1.01</v>
      </c>
      <c r="E282" s="90"/>
      <c r="F282" s="90">
        <v>1</v>
      </c>
      <c r="G282" s="90"/>
      <c r="H282" s="90"/>
      <c r="I282" s="90"/>
      <c r="J282" s="90"/>
      <c r="K282" s="90"/>
      <c r="L282" s="90"/>
      <c r="M282" s="90"/>
      <c r="N282" s="90"/>
      <c r="P282" s="90">
        <f t="shared" si="24"/>
        <v>1</v>
      </c>
      <c r="Q282" s="90">
        <f>SUM($B282:E282)</f>
        <v>1.01</v>
      </c>
      <c r="R282" s="89"/>
      <c r="AJ282" s="89"/>
    </row>
    <row r="283" spans="1:36" x14ac:dyDescent="0.25">
      <c r="A283" s="88" t="s">
        <v>299</v>
      </c>
      <c r="B283" s="90"/>
      <c r="C283" s="90"/>
      <c r="D283" s="90">
        <v>1.2669999999999999</v>
      </c>
      <c r="E283" s="90"/>
      <c r="F283" s="90">
        <v>1.38</v>
      </c>
      <c r="G283" s="90"/>
      <c r="H283" s="90"/>
      <c r="I283" s="90"/>
      <c r="J283" s="90"/>
      <c r="K283" s="90"/>
      <c r="L283" s="90"/>
      <c r="M283" s="90"/>
      <c r="N283" s="90"/>
      <c r="P283" s="90">
        <f t="shared" si="24"/>
        <v>1.38</v>
      </c>
      <c r="Q283" s="90">
        <f>SUM($B283:E283)</f>
        <v>1.2669999999999999</v>
      </c>
      <c r="R283" s="89"/>
      <c r="AJ283" s="89"/>
    </row>
    <row r="284" spans="1:36" x14ac:dyDescent="0.25">
      <c r="A284" s="88" t="s">
        <v>300</v>
      </c>
      <c r="B284" s="90"/>
      <c r="C284" s="90"/>
      <c r="D284" s="90">
        <v>0.161</v>
      </c>
      <c r="E284" s="90"/>
      <c r="F284" s="90">
        <v>1.4</v>
      </c>
      <c r="G284" s="90"/>
      <c r="H284" s="90"/>
      <c r="I284" s="90">
        <v>1.6E-2</v>
      </c>
      <c r="J284" s="90"/>
      <c r="K284" s="90">
        <v>0.5</v>
      </c>
      <c r="L284" s="90"/>
      <c r="M284" s="90"/>
      <c r="N284" s="90"/>
      <c r="P284" s="90">
        <f t="shared" si="24"/>
        <v>1.9159999999999999</v>
      </c>
      <c r="Q284" s="90">
        <f>SUM($B284:E284)</f>
        <v>0.161</v>
      </c>
      <c r="R284" s="89"/>
      <c r="AJ284" s="89"/>
    </row>
    <row r="285" spans="1:36" x14ac:dyDescent="0.25">
      <c r="A285" s="88" t="s">
        <v>301</v>
      </c>
      <c r="B285" s="90">
        <v>3.1749999999999998</v>
      </c>
      <c r="C285" s="90">
        <v>3.593</v>
      </c>
      <c r="D285" s="90">
        <v>3.141</v>
      </c>
      <c r="E285" s="90"/>
      <c r="F285" s="90">
        <v>2.875</v>
      </c>
      <c r="G285" s="90"/>
      <c r="H285" s="90"/>
      <c r="I285" s="90"/>
      <c r="J285" s="90"/>
      <c r="K285" s="90">
        <v>1</v>
      </c>
      <c r="L285" s="90"/>
      <c r="M285" s="90"/>
      <c r="N285" s="90"/>
      <c r="P285" s="90">
        <f t="shared" si="24"/>
        <v>3.875</v>
      </c>
      <c r="Q285" s="90">
        <f>SUM($B285:E285)</f>
        <v>9.9089999999999989</v>
      </c>
      <c r="R285" s="89"/>
      <c r="AJ285" s="89"/>
    </row>
    <row r="286" spans="1:36" x14ac:dyDescent="0.25">
      <c r="A286" s="88" t="s">
        <v>302</v>
      </c>
      <c r="B286" s="90"/>
      <c r="C286" s="90">
        <v>0.624</v>
      </c>
      <c r="D286" s="90">
        <v>4.3929999999999998</v>
      </c>
      <c r="E286" s="90"/>
      <c r="F286" s="90">
        <v>3.2</v>
      </c>
      <c r="G286" s="90"/>
      <c r="H286" s="90"/>
      <c r="I286" s="90"/>
      <c r="J286" s="90"/>
      <c r="K286" s="90"/>
      <c r="L286" s="90"/>
      <c r="M286" s="90"/>
      <c r="N286" s="90"/>
      <c r="P286" s="90">
        <f t="shared" si="24"/>
        <v>3.2</v>
      </c>
      <c r="Q286" s="90">
        <f>SUM($B286:E286)</f>
        <v>5.0169999999999995</v>
      </c>
      <c r="R286" s="89"/>
      <c r="AJ286" s="89"/>
    </row>
    <row r="287" spans="1:36" x14ac:dyDescent="0.25">
      <c r="A287" s="88" t="s">
        <v>303</v>
      </c>
      <c r="B287" s="90"/>
      <c r="C287" s="90"/>
      <c r="D287" s="90">
        <v>0.63900000000000001</v>
      </c>
      <c r="E287" s="90"/>
      <c r="F287" s="90"/>
      <c r="G287" s="90"/>
      <c r="H287" s="90">
        <v>0.3</v>
      </c>
      <c r="I287" s="90"/>
      <c r="J287" s="90"/>
      <c r="K287" s="90"/>
      <c r="L287" s="90"/>
      <c r="M287" s="90"/>
      <c r="N287" s="90"/>
      <c r="P287" s="90">
        <f t="shared" si="24"/>
        <v>0.3</v>
      </c>
      <c r="Q287" s="90">
        <f>SUM($B287:E287)</f>
        <v>0.63900000000000001</v>
      </c>
      <c r="R287" s="89"/>
      <c r="AJ287" s="89"/>
    </row>
    <row r="288" spans="1:36" x14ac:dyDescent="0.25">
      <c r="A288" s="88" t="s">
        <v>753</v>
      </c>
      <c r="B288" s="90">
        <v>101.33999999999997</v>
      </c>
      <c r="C288" s="90">
        <v>1057.1390000000004</v>
      </c>
      <c r="D288" s="90">
        <v>591.59</v>
      </c>
      <c r="E288" s="90">
        <v>241.34900000000002</v>
      </c>
      <c r="F288" s="90">
        <v>926.64799999999991</v>
      </c>
      <c r="G288" s="90">
        <v>0.80800000000000005</v>
      </c>
      <c r="H288" s="90">
        <v>39.434999999999995</v>
      </c>
      <c r="I288" s="90">
        <v>0.66800000000000004</v>
      </c>
      <c r="J288" s="90">
        <v>13.183999999999999</v>
      </c>
      <c r="K288" s="90">
        <v>174.29599999999999</v>
      </c>
      <c r="L288" s="90">
        <v>0.153</v>
      </c>
      <c r="M288" s="90">
        <v>2.1560000000000001</v>
      </c>
      <c r="N288" s="90">
        <v>0.497</v>
      </c>
      <c r="P288" s="90">
        <f t="shared" si="24"/>
        <v>1157.8449999999998</v>
      </c>
      <c r="Q288" s="90">
        <f>SUM($B288:E288)</f>
        <v>1991.4180000000003</v>
      </c>
      <c r="R288" s="89"/>
      <c r="AJ288" s="89"/>
    </row>
    <row r="289" spans="16:36" x14ac:dyDescent="0.25">
      <c r="P289" s="90">
        <f t="shared" si="24"/>
        <v>0</v>
      </c>
      <c r="Q289" s="90">
        <f>SUM($B289:E289)</f>
        <v>0</v>
      </c>
      <c r="R289" s="89"/>
      <c r="AJ289" s="89"/>
    </row>
    <row r="290" spans="16:36" x14ac:dyDescent="0.25">
      <c r="P290" s="90">
        <f t="shared" si="24"/>
        <v>0</v>
      </c>
      <c r="Q290" s="90">
        <f>SUM($B290:E290)</f>
        <v>0</v>
      </c>
      <c r="R290" s="89"/>
      <c r="AJ290" s="89"/>
    </row>
    <row r="291" spans="16:36" x14ac:dyDescent="0.25">
      <c r="P291" s="90">
        <f t="shared" si="24"/>
        <v>0</v>
      </c>
      <c r="Q291" s="90">
        <f>SUM($B291:E291)</f>
        <v>0</v>
      </c>
      <c r="R291" s="89"/>
      <c r="AJ291" s="89"/>
    </row>
    <row r="292" spans="16:36" x14ac:dyDescent="0.25">
      <c r="P292" s="90">
        <f t="shared" si="24"/>
        <v>0</v>
      </c>
      <c r="Q292" s="90">
        <f>SUM($B292:E292)</f>
        <v>0</v>
      </c>
      <c r="R292" s="89"/>
      <c r="AJ292" s="89"/>
    </row>
    <row r="293" spans="16:36" x14ac:dyDescent="0.25">
      <c r="P293" s="90">
        <f t="shared" si="24"/>
        <v>0</v>
      </c>
      <c r="Q293" s="90">
        <f>SUM($B293:E293)</f>
        <v>0</v>
      </c>
      <c r="R293" s="89"/>
      <c r="AJ293" s="89"/>
    </row>
    <row r="294" spans="16:36" x14ac:dyDescent="0.25">
      <c r="P294" s="90">
        <f t="shared" si="24"/>
        <v>0</v>
      </c>
      <c r="Q294" s="90">
        <f>SUM($B294:E294)</f>
        <v>0</v>
      </c>
      <c r="R294" s="89"/>
      <c r="AJ294" s="89"/>
    </row>
    <row r="295" spans="16:36" x14ac:dyDescent="0.25">
      <c r="P295" s="90">
        <f t="shared" si="24"/>
        <v>0</v>
      </c>
      <c r="Q295" s="90">
        <f>SUM($B295:E295)</f>
        <v>0</v>
      </c>
      <c r="R295" s="89"/>
      <c r="AJ295" s="89"/>
    </row>
    <row r="296" spans="16:36" x14ac:dyDescent="0.25">
      <c r="P296" s="90">
        <f t="shared" si="24"/>
        <v>0</v>
      </c>
      <c r="Q296" s="90">
        <f>SUM($B296:E296)</f>
        <v>0</v>
      </c>
      <c r="R296" s="89"/>
      <c r="AJ296" s="89"/>
    </row>
    <row r="297" spans="16:36" x14ac:dyDescent="0.25">
      <c r="P297" s="90">
        <f t="shared" si="24"/>
        <v>0</v>
      </c>
      <c r="Q297" s="90">
        <f>SUM($B297:E297)</f>
        <v>0</v>
      </c>
      <c r="R297" s="89"/>
      <c r="AJ297" s="89"/>
    </row>
    <row r="298" spans="16:36" x14ac:dyDescent="0.25">
      <c r="P298" s="90">
        <f t="shared" si="24"/>
        <v>0</v>
      </c>
      <c r="Q298" s="90">
        <f>SUM($B298:E298)</f>
        <v>0</v>
      </c>
      <c r="R298" s="89"/>
      <c r="AJ298" s="89"/>
    </row>
    <row r="299" spans="16:36" x14ac:dyDescent="0.25">
      <c r="P299" s="90">
        <f t="shared" si="24"/>
        <v>0</v>
      </c>
      <c r="Q299" s="90">
        <f>SUM($B299:E299)</f>
        <v>0</v>
      </c>
      <c r="R299" s="89"/>
      <c r="AJ299" s="89"/>
    </row>
    <row r="300" spans="16:36" x14ac:dyDescent="0.25">
      <c r="P300" s="90">
        <f t="shared" si="24"/>
        <v>0</v>
      </c>
      <c r="Q300" s="90">
        <f>SUM($B300:E300)</f>
        <v>0</v>
      </c>
      <c r="R300" s="89"/>
      <c r="AJ300" s="89"/>
    </row>
    <row r="301" spans="16:36" x14ac:dyDescent="0.25">
      <c r="P301" s="90">
        <f t="shared" si="24"/>
        <v>0</v>
      </c>
      <c r="Q301" s="90">
        <f>SUM($B301:E301)</f>
        <v>0</v>
      </c>
      <c r="R301" s="89"/>
      <c r="AJ301" s="89"/>
    </row>
    <row r="302" spans="16:36" x14ac:dyDescent="0.25">
      <c r="P302" s="90">
        <f t="shared" si="24"/>
        <v>0</v>
      </c>
      <c r="Q302" s="90">
        <f>SUM($B302:E302)</f>
        <v>0</v>
      </c>
      <c r="R302" s="89"/>
      <c r="AJ302" s="89"/>
    </row>
    <row r="303" spans="16:36" x14ac:dyDescent="0.25">
      <c r="P303" s="90">
        <f t="shared" si="24"/>
        <v>0</v>
      </c>
      <c r="Q303" s="90">
        <f>SUM($B303:E303)</f>
        <v>0</v>
      </c>
      <c r="R303" s="89"/>
      <c r="AJ303" s="89"/>
    </row>
    <row r="304" spans="16:36" x14ac:dyDescent="0.25">
      <c r="P304" s="90">
        <f t="shared" si="24"/>
        <v>0</v>
      </c>
      <c r="Q304" s="90">
        <f>SUM($B304:E304)</f>
        <v>0</v>
      </c>
      <c r="R304" s="89"/>
      <c r="AJ304" s="89"/>
    </row>
    <row r="305" spans="16:36" x14ac:dyDescent="0.25">
      <c r="P305" s="90">
        <f t="shared" si="24"/>
        <v>0</v>
      </c>
      <c r="Q305" s="90">
        <f>SUM($B305:E305)</f>
        <v>0</v>
      </c>
      <c r="R305" s="89"/>
      <c r="AJ305" s="89"/>
    </row>
    <row r="306" spans="16:36" x14ac:dyDescent="0.25">
      <c r="P306" s="90">
        <f t="shared" si="24"/>
        <v>0</v>
      </c>
      <c r="Q306" s="90">
        <f>SUM($B306:E306)</f>
        <v>0</v>
      </c>
      <c r="R306" s="89"/>
      <c r="AJ306" s="89"/>
    </row>
    <row r="307" spans="16:36" x14ac:dyDescent="0.25">
      <c r="P307" s="90">
        <f t="shared" si="24"/>
        <v>0</v>
      </c>
      <c r="Q307" s="90">
        <f>SUM($B307:E307)</f>
        <v>0</v>
      </c>
      <c r="R307" s="89"/>
      <c r="AJ307" s="89"/>
    </row>
    <row r="308" spans="16:36" x14ac:dyDescent="0.25">
      <c r="P308" s="90">
        <f t="shared" si="24"/>
        <v>0</v>
      </c>
      <c r="Q308" s="90">
        <f>SUM($B308:E308)</f>
        <v>0</v>
      </c>
      <c r="R308" s="89"/>
      <c r="AJ308" s="89"/>
    </row>
    <row r="309" spans="16:36" x14ac:dyDescent="0.25">
      <c r="P309" s="90">
        <f t="shared" si="24"/>
        <v>0</v>
      </c>
      <c r="Q309" s="90">
        <f>SUM($B309:E309)</f>
        <v>0</v>
      </c>
      <c r="R309" s="89"/>
      <c r="AJ309" s="89"/>
    </row>
    <row r="310" spans="16:36" x14ac:dyDescent="0.25">
      <c r="P310" s="90">
        <f t="shared" si="24"/>
        <v>0</v>
      </c>
      <c r="Q310" s="90">
        <f>SUM($B310:E310)</f>
        <v>0</v>
      </c>
      <c r="R310" s="89"/>
      <c r="AJ310" s="89"/>
    </row>
    <row r="311" spans="16:36" x14ac:dyDescent="0.25">
      <c r="P311" s="90">
        <f t="shared" si="24"/>
        <v>0</v>
      </c>
      <c r="Q311" s="90">
        <f>SUM($B311:E311)</f>
        <v>0</v>
      </c>
      <c r="R311" s="89"/>
      <c r="AJ311" s="89"/>
    </row>
    <row r="312" spans="16:36" x14ac:dyDescent="0.25">
      <c r="P312" s="90">
        <f t="shared" si="24"/>
        <v>0</v>
      </c>
      <c r="Q312" s="90">
        <f>SUM($B312:E312)</f>
        <v>0</v>
      </c>
      <c r="R312" s="89"/>
      <c r="AJ312" s="89"/>
    </row>
    <row r="313" spans="16:36" x14ac:dyDescent="0.25">
      <c r="P313" s="90">
        <f t="shared" si="24"/>
        <v>0</v>
      </c>
      <c r="Q313" s="90">
        <f>SUM($B313:E313)</f>
        <v>0</v>
      </c>
      <c r="R313" s="89"/>
      <c r="AJ313" s="89"/>
    </row>
    <row r="314" spans="16:36" x14ac:dyDescent="0.25">
      <c r="P314" s="90">
        <f t="shared" si="24"/>
        <v>0</v>
      </c>
      <c r="Q314" s="90">
        <f>SUM($B314:E314)</f>
        <v>0</v>
      </c>
      <c r="R314" s="89"/>
      <c r="AJ314" s="89"/>
    </row>
    <row r="315" spans="16:36" x14ac:dyDescent="0.25">
      <c r="P315" s="90">
        <f t="shared" si="24"/>
        <v>0</v>
      </c>
      <c r="Q315" s="90">
        <f>SUM($B315:E315)</f>
        <v>0</v>
      </c>
      <c r="R315" s="89"/>
      <c r="AJ315" s="89"/>
    </row>
    <row r="316" spans="16:36" x14ac:dyDescent="0.25">
      <c r="P316" s="90">
        <f t="shared" si="24"/>
        <v>0</v>
      </c>
      <c r="Q316" s="90">
        <f>SUM($B316:E316)</f>
        <v>0</v>
      </c>
      <c r="R316" s="89"/>
      <c r="AJ316" s="89"/>
    </row>
    <row r="317" spans="16:36" x14ac:dyDescent="0.25">
      <c r="P317" s="90">
        <f t="shared" si="24"/>
        <v>0</v>
      </c>
      <c r="Q317" s="90">
        <f>SUM($B317:E317)</f>
        <v>0</v>
      </c>
      <c r="R317" s="89"/>
      <c r="AJ317" s="89"/>
    </row>
    <row r="318" spans="16:36" x14ac:dyDescent="0.25">
      <c r="P318" s="90">
        <f t="shared" si="24"/>
        <v>0</v>
      </c>
      <c r="Q318" s="90">
        <f>SUM($B318:E318)</f>
        <v>0</v>
      </c>
      <c r="R318" s="89"/>
      <c r="AJ318" s="89"/>
    </row>
    <row r="319" spans="16:36" x14ac:dyDescent="0.25">
      <c r="P319" s="90">
        <f t="shared" si="24"/>
        <v>0</v>
      </c>
      <c r="Q319" s="90">
        <f>SUM($B319:E319)</f>
        <v>0</v>
      </c>
      <c r="R319" s="89"/>
      <c r="AJ319" s="89"/>
    </row>
    <row r="320" spans="16:36" x14ac:dyDescent="0.25">
      <c r="P320" s="90">
        <f t="shared" ref="P320:P342" si="25">SUM(F320:O320)</f>
        <v>0</v>
      </c>
      <c r="Q320" s="90">
        <f>SUM($B320:E320)</f>
        <v>0</v>
      </c>
      <c r="R320" s="89"/>
      <c r="AJ320" s="89"/>
    </row>
    <row r="321" spans="16:36" x14ac:dyDescent="0.25">
      <c r="P321" s="90">
        <f t="shared" si="25"/>
        <v>0</v>
      </c>
      <c r="Q321" s="90">
        <f>SUM($B321:E321)</f>
        <v>0</v>
      </c>
      <c r="R321" s="89"/>
      <c r="AJ321" s="89"/>
    </row>
    <row r="322" spans="16:36" x14ac:dyDescent="0.25">
      <c r="P322" s="90">
        <f t="shared" si="25"/>
        <v>0</v>
      </c>
      <c r="Q322" s="90">
        <f>SUM($B322:E322)</f>
        <v>0</v>
      </c>
      <c r="R322" s="89"/>
      <c r="AJ322" s="89"/>
    </row>
    <row r="323" spans="16:36" x14ac:dyDescent="0.25">
      <c r="P323" s="90">
        <f t="shared" si="25"/>
        <v>0</v>
      </c>
      <c r="Q323" s="90">
        <f>SUM($B323:E323)</f>
        <v>0</v>
      </c>
      <c r="R323" s="89"/>
      <c r="AJ323" s="89"/>
    </row>
    <row r="324" spans="16:36" x14ac:dyDescent="0.25">
      <c r="P324" s="90">
        <f t="shared" si="25"/>
        <v>0</v>
      </c>
      <c r="Q324" s="90">
        <f>SUM($B324:E324)</f>
        <v>0</v>
      </c>
      <c r="R324" s="89"/>
      <c r="AJ324" s="89"/>
    </row>
    <row r="325" spans="16:36" x14ac:dyDescent="0.25">
      <c r="P325" s="90">
        <f t="shared" si="25"/>
        <v>0</v>
      </c>
      <c r="Q325" s="90">
        <f>SUM($B325:E325)</f>
        <v>0</v>
      </c>
      <c r="R325" s="89"/>
      <c r="AJ325" s="89"/>
    </row>
    <row r="326" spans="16:36" x14ac:dyDescent="0.25">
      <c r="P326" s="90">
        <f t="shared" si="25"/>
        <v>0</v>
      </c>
      <c r="Q326" s="90">
        <f>SUM($B326:E326)</f>
        <v>0</v>
      </c>
      <c r="R326" s="89"/>
      <c r="AJ326" s="89"/>
    </row>
    <row r="327" spans="16:36" x14ac:dyDescent="0.25">
      <c r="P327" s="90">
        <f t="shared" si="25"/>
        <v>0</v>
      </c>
      <c r="Q327" s="90">
        <f>SUM($B327:E327)</f>
        <v>0</v>
      </c>
      <c r="R327" s="89"/>
      <c r="AJ327" s="89"/>
    </row>
    <row r="328" spans="16:36" x14ac:dyDescent="0.25">
      <c r="P328" s="90">
        <f t="shared" si="25"/>
        <v>0</v>
      </c>
      <c r="Q328" s="90">
        <f>SUM($B328:E328)</f>
        <v>0</v>
      </c>
      <c r="R328" s="89"/>
      <c r="AJ328" s="89"/>
    </row>
    <row r="329" spans="16:36" x14ac:dyDescent="0.25">
      <c r="P329" s="90">
        <f t="shared" si="25"/>
        <v>0</v>
      </c>
      <c r="Q329" s="90">
        <f>SUM($B329:E329)</f>
        <v>0</v>
      </c>
      <c r="R329" s="89"/>
      <c r="AJ329" s="89"/>
    </row>
    <row r="330" spans="16:36" x14ac:dyDescent="0.25">
      <c r="P330" s="90">
        <f t="shared" si="25"/>
        <v>0</v>
      </c>
      <c r="Q330" s="90">
        <f>SUM($B330:E330)</f>
        <v>0</v>
      </c>
      <c r="R330" s="89"/>
      <c r="AJ330" s="89"/>
    </row>
    <row r="331" spans="16:36" x14ac:dyDescent="0.25">
      <c r="P331" s="90">
        <f t="shared" si="25"/>
        <v>0</v>
      </c>
      <c r="Q331" s="90">
        <f>SUM($B331:E331)</f>
        <v>0</v>
      </c>
      <c r="R331" s="89"/>
      <c r="AJ331" s="89"/>
    </row>
    <row r="332" spans="16:36" x14ac:dyDescent="0.25">
      <c r="P332" s="90">
        <f t="shared" si="25"/>
        <v>0</v>
      </c>
      <c r="Q332" s="90">
        <f>SUM($B332:E332)</f>
        <v>0</v>
      </c>
      <c r="R332" s="89"/>
      <c r="AJ332" s="89"/>
    </row>
    <row r="333" spans="16:36" x14ac:dyDescent="0.25">
      <c r="P333" s="90">
        <f t="shared" si="25"/>
        <v>0</v>
      </c>
      <c r="Q333" s="90">
        <f>SUM($B333:E333)</f>
        <v>0</v>
      </c>
      <c r="R333" s="89"/>
      <c r="AJ333" s="89"/>
    </row>
    <row r="334" spans="16:36" x14ac:dyDescent="0.25">
      <c r="P334" s="90">
        <f t="shared" si="25"/>
        <v>0</v>
      </c>
      <c r="Q334" s="90">
        <f>SUM($B334:E334)</f>
        <v>0</v>
      </c>
      <c r="R334" s="89"/>
      <c r="AJ334" s="89"/>
    </row>
    <row r="335" spans="16:36" x14ac:dyDescent="0.25">
      <c r="P335" s="90">
        <f t="shared" si="25"/>
        <v>0</v>
      </c>
      <c r="Q335" s="90">
        <f>SUM($B335:E335)</f>
        <v>0</v>
      </c>
      <c r="R335" s="89"/>
      <c r="AJ335" s="89"/>
    </row>
    <row r="336" spans="16:36" x14ac:dyDescent="0.25">
      <c r="P336" s="90">
        <f t="shared" si="25"/>
        <v>0</v>
      </c>
      <c r="Q336" s="90">
        <f>SUM($B336:E336)</f>
        <v>0</v>
      </c>
      <c r="R336" s="89"/>
      <c r="AJ336" s="89"/>
    </row>
    <row r="337" spans="16:36" x14ac:dyDescent="0.25">
      <c r="P337" s="90">
        <f t="shared" si="25"/>
        <v>0</v>
      </c>
      <c r="Q337" s="90">
        <f>SUM($B337:E337)</f>
        <v>0</v>
      </c>
      <c r="R337" s="89"/>
      <c r="AJ337" s="89"/>
    </row>
    <row r="338" spans="16:36" x14ac:dyDescent="0.25">
      <c r="P338" s="90">
        <f t="shared" si="25"/>
        <v>0</v>
      </c>
      <c r="Q338" s="90">
        <f>SUM($B338:E338)</f>
        <v>0</v>
      </c>
      <c r="R338" s="89"/>
      <c r="AJ338" s="89"/>
    </row>
    <row r="339" spans="16:36" x14ac:dyDescent="0.25">
      <c r="P339" s="90">
        <f t="shared" si="25"/>
        <v>0</v>
      </c>
      <c r="Q339" s="90">
        <f>SUM($B339:E339)</f>
        <v>0</v>
      </c>
      <c r="R339" s="89"/>
      <c r="AJ339" s="89"/>
    </row>
    <row r="340" spans="16:36" x14ac:dyDescent="0.25">
      <c r="P340" s="90">
        <f t="shared" si="25"/>
        <v>0</v>
      </c>
      <c r="Q340" s="90">
        <f>SUM($B340:E340)</f>
        <v>0</v>
      </c>
      <c r="R340" s="89"/>
      <c r="AJ340" s="89"/>
    </row>
    <row r="341" spans="16:36" x14ac:dyDescent="0.25">
      <c r="P341" s="90">
        <f t="shared" si="25"/>
        <v>0</v>
      </c>
      <c r="Q341" s="90">
        <f>SUM($B341:E341)</f>
        <v>0</v>
      </c>
      <c r="R341" s="89"/>
      <c r="AJ341" s="89"/>
    </row>
    <row r="342" spans="16:36" x14ac:dyDescent="0.25">
      <c r="P342" s="90">
        <f t="shared" si="25"/>
        <v>0</v>
      </c>
      <c r="Q342" s="90">
        <f>SUM($B342:E342)</f>
        <v>0</v>
      </c>
      <c r="R342" s="89"/>
      <c r="AJ342" s="89"/>
    </row>
    <row r="343" spans="16:36" x14ac:dyDescent="0.25">
      <c r="R343" s="89"/>
      <c r="AJ343" s="89"/>
    </row>
    <row r="344" spans="16:36" x14ac:dyDescent="0.25">
      <c r="R344" s="89"/>
      <c r="AJ344" s="89"/>
    </row>
    <row r="345" spans="16:36" x14ac:dyDescent="0.25">
      <c r="R345" s="89"/>
      <c r="AJ345" s="89"/>
    </row>
    <row r="346" spans="16:36" x14ac:dyDescent="0.25">
      <c r="R346" s="89"/>
      <c r="AJ346" s="8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24649-58A9-451B-9908-5FAF0D96427D}">
  <dimension ref="A1:FA346"/>
  <sheetViews>
    <sheetView workbookViewId="0">
      <selection activeCell="J3" sqref="J3"/>
    </sheetView>
  </sheetViews>
  <sheetFormatPr defaultRowHeight="15" x14ac:dyDescent="0.25"/>
  <cols>
    <col min="1" max="1" width="16.140625" bestFit="1" customWidth="1"/>
    <col min="2" max="2" width="16.28515625" bestFit="1" customWidth="1"/>
    <col min="3" max="3" width="7.5703125" bestFit="1" customWidth="1"/>
    <col min="4" max="4" width="8" bestFit="1" customWidth="1"/>
    <col min="5" max="5" width="7.5703125" bestFit="1" customWidth="1"/>
    <col min="6" max="6" width="9.140625" bestFit="1" customWidth="1"/>
    <col min="7" max="7" width="8" bestFit="1" customWidth="1"/>
    <col min="8" max="9" width="7.5703125" bestFit="1" customWidth="1"/>
    <col min="10" max="10" width="8" bestFit="1" customWidth="1"/>
    <col min="11" max="11" width="7.140625" bestFit="1" customWidth="1"/>
    <col min="12" max="12" width="7.5703125" bestFit="1" customWidth="1"/>
    <col min="13" max="13" width="8" bestFit="1" customWidth="1"/>
    <col min="14" max="14" width="7.140625" bestFit="1" customWidth="1"/>
    <col min="15" max="15" width="9.140625" bestFit="1" customWidth="1"/>
    <col min="16" max="16" width="7.5703125" bestFit="1" customWidth="1"/>
    <col min="17" max="17" width="8" bestFit="1" customWidth="1"/>
    <col min="18" max="18" width="7.140625" bestFit="1" customWidth="1"/>
    <col min="19" max="19" width="7.42578125" bestFit="1" customWidth="1"/>
    <col min="20" max="20" width="8" bestFit="1" customWidth="1"/>
    <col min="21" max="21" width="7.5703125" bestFit="1" customWidth="1"/>
    <col min="22" max="22" width="7.42578125" bestFit="1" customWidth="1"/>
    <col min="23" max="23" width="8" bestFit="1" customWidth="1"/>
    <col min="24" max="24" width="7.140625" bestFit="1" customWidth="1"/>
    <col min="25" max="25" width="7.42578125" bestFit="1" customWidth="1"/>
    <col min="26" max="26" width="8" bestFit="1" customWidth="1"/>
    <col min="27" max="27" width="7.140625" bestFit="1" customWidth="1"/>
    <col min="28" max="28" width="7.42578125" bestFit="1" customWidth="1"/>
    <col min="29" max="29" width="8" bestFit="1" customWidth="1"/>
    <col min="30" max="31" width="7.5703125" bestFit="1" customWidth="1"/>
    <col min="32" max="32" width="8" bestFit="1" customWidth="1"/>
    <col min="33" max="33" width="7.140625" bestFit="1" customWidth="1"/>
    <col min="34" max="34" width="7.42578125" bestFit="1" customWidth="1"/>
    <col min="35" max="35" width="8" bestFit="1" customWidth="1"/>
    <col min="36" max="36" width="7.140625" bestFit="1" customWidth="1"/>
    <col min="37" max="37" width="7.42578125" bestFit="1" customWidth="1"/>
    <col min="38" max="38" width="8" bestFit="1" customWidth="1"/>
    <col min="39" max="39" width="7.140625" bestFit="1" customWidth="1"/>
    <col min="40" max="40" width="7.42578125" bestFit="1" customWidth="1"/>
    <col min="41" max="41" width="8" bestFit="1" customWidth="1"/>
    <col min="42" max="42" width="7.42578125" bestFit="1" customWidth="1"/>
    <col min="43" max="43" width="8" bestFit="1" customWidth="1"/>
    <col min="44" max="44" width="11.28515625" bestFit="1" customWidth="1"/>
    <col min="45" max="45" width="9.140625" bestFit="1" customWidth="1"/>
    <col min="46" max="46" width="4.7109375" customWidth="1"/>
    <col min="47" max="47" width="16.140625" bestFit="1" customWidth="1"/>
    <col min="48" max="48" width="16.28515625" bestFit="1" customWidth="1"/>
    <col min="49" max="49" width="9.42578125" bestFit="1" customWidth="1"/>
    <col min="50" max="50" width="10" bestFit="1" customWidth="1"/>
    <col min="51" max="51" width="9.140625" bestFit="1" customWidth="1"/>
    <col min="52" max="52" width="9.42578125" bestFit="1" customWidth="1"/>
    <col min="53" max="53" width="10" bestFit="1" customWidth="1"/>
    <col min="54" max="54" width="9.140625" bestFit="1" customWidth="1"/>
    <col min="55" max="55" width="9.42578125" bestFit="1" customWidth="1"/>
    <col min="56" max="56" width="10" bestFit="1" customWidth="1"/>
    <col min="57" max="57" width="9.140625" bestFit="1" customWidth="1"/>
    <col min="58" max="58" width="9.42578125" bestFit="1" customWidth="1"/>
    <col min="59" max="59" width="10" bestFit="1" customWidth="1"/>
    <col min="60" max="60" width="9.140625" bestFit="1" customWidth="1"/>
    <col min="61" max="61" width="9.42578125" bestFit="1" customWidth="1"/>
    <col min="62" max="62" width="10" bestFit="1" customWidth="1"/>
    <col min="63" max="63" width="9.140625" bestFit="1" customWidth="1"/>
    <col min="64" max="64" width="9.42578125" bestFit="1" customWidth="1"/>
    <col min="65" max="65" width="10" bestFit="1" customWidth="1"/>
    <col min="66" max="66" width="9.140625" bestFit="1" customWidth="1"/>
    <col min="67" max="67" width="9.42578125" bestFit="1" customWidth="1"/>
    <col min="68" max="68" width="10" bestFit="1" customWidth="1"/>
    <col min="69" max="69" width="9.140625" bestFit="1" customWidth="1"/>
    <col min="70" max="70" width="9.42578125" bestFit="1" customWidth="1"/>
    <col min="71" max="71" width="10" bestFit="1" customWidth="1"/>
    <col min="72" max="72" width="9.140625" bestFit="1" customWidth="1"/>
    <col min="73" max="73" width="9.42578125" bestFit="1" customWidth="1"/>
    <col min="74" max="74" width="10" bestFit="1" customWidth="1"/>
    <col min="75" max="75" width="9.140625" bestFit="1" customWidth="1"/>
    <col min="76" max="76" width="9.42578125" bestFit="1" customWidth="1"/>
    <col min="77" max="77" width="10" bestFit="1" customWidth="1"/>
    <col min="78" max="78" width="9.140625" bestFit="1" customWidth="1"/>
    <col min="79" max="79" width="9.42578125" bestFit="1" customWidth="1"/>
    <col min="80" max="80" width="10" bestFit="1" customWidth="1"/>
    <col min="81" max="81" width="9.140625" bestFit="1" customWidth="1"/>
    <col min="82" max="82" width="9.42578125" bestFit="1" customWidth="1"/>
    <col min="83" max="83" width="10" bestFit="1" customWidth="1"/>
    <col min="84" max="84" width="9.140625" bestFit="1" customWidth="1"/>
    <col min="85" max="85" width="9.42578125" bestFit="1" customWidth="1"/>
    <col min="86" max="86" width="10" bestFit="1" customWidth="1"/>
    <col min="87" max="87" width="9.140625" bestFit="1" customWidth="1"/>
    <col min="88" max="88" width="9.42578125" bestFit="1" customWidth="1"/>
    <col min="89" max="89" width="10" bestFit="1" customWidth="1"/>
    <col min="90" max="90" width="11.28515625" bestFit="1" customWidth="1"/>
    <col min="91" max="91" width="9.140625" bestFit="1" customWidth="1"/>
    <col min="92" max="92" width="4.7109375" customWidth="1"/>
    <col min="93" max="93" width="16.140625" bestFit="1" customWidth="1"/>
    <col min="94" max="94" width="16.28515625" bestFit="1" customWidth="1"/>
    <col min="95" max="107" width="9.140625" bestFit="1" customWidth="1"/>
    <col min="108" max="108" width="11.28515625" bestFit="1" customWidth="1"/>
    <col min="109" max="109" width="9.140625" bestFit="1" customWidth="1"/>
    <col min="110" max="110" width="4.7109375" customWidth="1"/>
    <col min="111" max="111" width="16.140625" bestFit="1" customWidth="1"/>
    <col min="112" max="112" width="16.28515625" bestFit="1" customWidth="1"/>
    <col min="113" max="113" width="9.42578125" bestFit="1" customWidth="1"/>
    <col min="114" max="114" width="10" bestFit="1" customWidth="1"/>
    <col min="115" max="115" width="9.140625" bestFit="1" customWidth="1"/>
    <col min="116" max="116" width="9.42578125" bestFit="1" customWidth="1"/>
    <col min="117" max="117" width="10" bestFit="1" customWidth="1"/>
    <col min="118" max="118" width="9.140625" bestFit="1" customWidth="1"/>
    <col min="119" max="119" width="9.42578125" bestFit="1" customWidth="1"/>
    <col min="120" max="120" width="10" bestFit="1" customWidth="1"/>
    <col min="121" max="121" width="9.140625" bestFit="1" customWidth="1"/>
    <col min="122" max="122" width="9.42578125" bestFit="1" customWidth="1"/>
    <col min="123" max="123" width="10" bestFit="1" customWidth="1"/>
    <col min="124" max="124" width="9.140625" bestFit="1" customWidth="1"/>
    <col min="125" max="125" width="9.42578125" bestFit="1" customWidth="1"/>
    <col min="126" max="126" width="10" bestFit="1" customWidth="1"/>
    <col min="127" max="127" width="9.140625" bestFit="1" customWidth="1"/>
    <col min="128" max="128" width="9.42578125" bestFit="1" customWidth="1"/>
    <col min="129" max="129" width="10" bestFit="1" customWidth="1"/>
    <col min="130" max="130" width="9.140625" bestFit="1" customWidth="1"/>
    <col min="131" max="131" width="9.42578125" bestFit="1" customWidth="1"/>
    <col min="132" max="132" width="10" bestFit="1" customWidth="1"/>
    <col min="133" max="133" width="9.140625" bestFit="1" customWidth="1"/>
    <col min="134" max="134" width="9.42578125" bestFit="1" customWidth="1"/>
    <col min="135" max="135" width="10" bestFit="1" customWidth="1"/>
    <col min="136" max="136" width="9.140625" bestFit="1" customWidth="1"/>
    <col min="137" max="137" width="9.42578125" bestFit="1" customWidth="1"/>
    <col min="138" max="138" width="10" bestFit="1" customWidth="1"/>
    <col min="139" max="139" width="9.140625" bestFit="1" customWidth="1"/>
    <col min="140" max="140" width="9.42578125" bestFit="1" customWidth="1"/>
    <col min="141" max="141" width="10" bestFit="1" customWidth="1"/>
    <col min="142" max="142" width="9.140625" bestFit="1" customWidth="1"/>
    <col min="143" max="143" width="9.42578125" bestFit="1" customWidth="1"/>
    <col min="144" max="144" width="10" bestFit="1" customWidth="1"/>
    <col min="145" max="145" width="9.140625" bestFit="1" customWidth="1"/>
    <col min="146" max="146" width="9.42578125" bestFit="1" customWidth="1"/>
    <col min="147" max="147" width="10" bestFit="1" customWidth="1"/>
    <col min="148" max="148" width="9.140625" bestFit="1" customWidth="1"/>
    <col min="149" max="149" width="9.42578125" bestFit="1" customWidth="1"/>
    <col min="150" max="150" width="10" bestFit="1" customWidth="1"/>
    <col min="151" max="151" width="9.140625" bestFit="1" customWidth="1"/>
    <col min="152" max="152" width="9.42578125" bestFit="1" customWidth="1"/>
    <col min="153" max="153" width="10" bestFit="1" customWidth="1"/>
    <col min="154" max="154" width="11.28515625" bestFit="1" customWidth="1"/>
    <col min="155" max="155" width="11.28515625" customWidth="1"/>
    <col min="157" max="157" width="11.28515625" customWidth="1"/>
  </cols>
  <sheetData>
    <row r="1" spans="1:157" x14ac:dyDescent="0.25">
      <c r="A1" s="27">
        <f>COLUMN(A1)</f>
        <v>1</v>
      </c>
      <c r="B1" s="27">
        <f t="shared" ref="B1:AS1" si="0">COLUMN(B1)</f>
        <v>2</v>
      </c>
      <c r="C1" s="27">
        <f t="shared" si="0"/>
        <v>3</v>
      </c>
      <c r="D1" s="27">
        <f t="shared" si="0"/>
        <v>4</v>
      </c>
      <c r="E1" s="27">
        <f t="shared" si="0"/>
        <v>5</v>
      </c>
      <c r="F1" s="27">
        <f t="shared" si="0"/>
        <v>6</v>
      </c>
      <c r="G1" s="27">
        <f t="shared" si="0"/>
        <v>7</v>
      </c>
      <c r="H1" s="27">
        <f t="shared" si="0"/>
        <v>8</v>
      </c>
      <c r="I1" s="27">
        <f t="shared" si="0"/>
        <v>9</v>
      </c>
      <c r="J1" s="27">
        <f t="shared" si="0"/>
        <v>10</v>
      </c>
      <c r="K1" s="27">
        <f t="shared" si="0"/>
        <v>11</v>
      </c>
      <c r="L1" s="27">
        <f t="shared" si="0"/>
        <v>12</v>
      </c>
      <c r="M1" s="27">
        <f t="shared" si="0"/>
        <v>13</v>
      </c>
      <c r="N1" s="27">
        <f t="shared" si="0"/>
        <v>14</v>
      </c>
      <c r="O1" s="27">
        <f t="shared" si="0"/>
        <v>15</v>
      </c>
      <c r="P1" s="27">
        <f t="shared" si="0"/>
        <v>16</v>
      </c>
      <c r="Q1" s="27">
        <f t="shared" si="0"/>
        <v>17</v>
      </c>
      <c r="R1" s="27">
        <f t="shared" si="0"/>
        <v>18</v>
      </c>
      <c r="S1" s="27">
        <f t="shared" si="0"/>
        <v>19</v>
      </c>
      <c r="T1" s="27">
        <f t="shared" si="0"/>
        <v>20</v>
      </c>
      <c r="U1" s="27">
        <f t="shared" si="0"/>
        <v>21</v>
      </c>
      <c r="V1" s="27">
        <f t="shared" si="0"/>
        <v>22</v>
      </c>
      <c r="W1" s="27">
        <f t="shared" si="0"/>
        <v>23</v>
      </c>
      <c r="X1" s="27">
        <f t="shared" si="0"/>
        <v>24</v>
      </c>
      <c r="Y1" s="27">
        <f t="shared" si="0"/>
        <v>25</v>
      </c>
      <c r="Z1" s="27">
        <f t="shared" si="0"/>
        <v>26</v>
      </c>
      <c r="AA1" s="27">
        <f t="shared" si="0"/>
        <v>27</v>
      </c>
      <c r="AB1" s="27">
        <f t="shared" si="0"/>
        <v>28</v>
      </c>
      <c r="AC1" s="27">
        <f t="shared" si="0"/>
        <v>29</v>
      </c>
      <c r="AD1" s="27">
        <f t="shared" si="0"/>
        <v>30</v>
      </c>
      <c r="AE1" s="27">
        <f t="shared" si="0"/>
        <v>31</v>
      </c>
      <c r="AF1" s="27">
        <f t="shared" si="0"/>
        <v>32</v>
      </c>
      <c r="AG1" s="27">
        <f t="shared" si="0"/>
        <v>33</v>
      </c>
      <c r="AH1" s="27">
        <f t="shared" si="0"/>
        <v>34</v>
      </c>
      <c r="AI1" s="27">
        <f t="shared" si="0"/>
        <v>35</v>
      </c>
      <c r="AJ1" s="27">
        <f t="shared" si="0"/>
        <v>36</v>
      </c>
      <c r="AK1" s="27">
        <f t="shared" si="0"/>
        <v>37</v>
      </c>
      <c r="AL1" s="27">
        <f t="shared" si="0"/>
        <v>38</v>
      </c>
      <c r="AM1" s="27">
        <f t="shared" si="0"/>
        <v>39</v>
      </c>
      <c r="AN1" s="27">
        <f t="shared" si="0"/>
        <v>40</v>
      </c>
      <c r="AO1" s="27">
        <f t="shared" si="0"/>
        <v>41</v>
      </c>
      <c r="AP1" s="27">
        <f t="shared" si="0"/>
        <v>42</v>
      </c>
      <c r="AQ1" s="27">
        <f t="shared" si="0"/>
        <v>43</v>
      </c>
      <c r="AR1" s="27">
        <f t="shared" si="0"/>
        <v>44</v>
      </c>
      <c r="AS1" s="27">
        <f t="shared" si="0"/>
        <v>45</v>
      </c>
      <c r="AT1" s="89"/>
      <c r="AU1" s="27">
        <f>COLUMN(A1)</f>
        <v>1</v>
      </c>
      <c r="AV1" s="27">
        <f t="shared" ref="AV1:BI1" si="1">COLUMN(B1)</f>
        <v>2</v>
      </c>
      <c r="AW1" s="27">
        <f t="shared" si="1"/>
        <v>3</v>
      </c>
      <c r="AX1" s="27">
        <f t="shared" si="1"/>
        <v>4</v>
      </c>
      <c r="AY1" s="27">
        <f t="shared" si="1"/>
        <v>5</v>
      </c>
      <c r="AZ1" s="27">
        <f t="shared" si="1"/>
        <v>6</v>
      </c>
      <c r="BA1" s="27">
        <f t="shared" si="1"/>
        <v>7</v>
      </c>
      <c r="BB1" s="27">
        <f t="shared" si="1"/>
        <v>8</v>
      </c>
      <c r="BC1" s="27">
        <f t="shared" si="1"/>
        <v>9</v>
      </c>
      <c r="BD1" s="27">
        <f t="shared" si="1"/>
        <v>10</v>
      </c>
      <c r="BE1" s="27">
        <f t="shared" si="1"/>
        <v>11</v>
      </c>
      <c r="BF1" s="27">
        <f t="shared" si="1"/>
        <v>12</v>
      </c>
      <c r="BG1" s="27">
        <f t="shared" si="1"/>
        <v>13</v>
      </c>
      <c r="BH1" s="27">
        <f t="shared" si="1"/>
        <v>14</v>
      </c>
      <c r="BI1" s="27">
        <f t="shared" si="1"/>
        <v>15</v>
      </c>
      <c r="BJ1" s="27">
        <f t="shared" ref="BJ1" si="2">COLUMN(P1)</f>
        <v>16</v>
      </c>
      <c r="BK1" s="27">
        <f t="shared" ref="BK1" si="3">COLUMN(Q1)</f>
        <v>17</v>
      </c>
      <c r="BL1" s="27">
        <f t="shared" ref="BL1" si="4">COLUMN(R1)</f>
        <v>18</v>
      </c>
      <c r="BM1" s="27">
        <f t="shared" ref="BM1" si="5">COLUMN(S1)</f>
        <v>19</v>
      </c>
      <c r="BN1" s="27">
        <f t="shared" ref="BN1" si="6">COLUMN(T1)</f>
        <v>20</v>
      </c>
      <c r="BO1" s="27">
        <f t="shared" ref="BO1" si="7">COLUMN(U1)</f>
        <v>21</v>
      </c>
      <c r="BP1" s="27">
        <f t="shared" ref="BP1" si="8">COLUMN(V1)</f>
        <v>22</v>
      </c>
      <c r="BQ1" s="27">
        <f t="shared" ref="BQ1" si="9">COLUMN(W1)</f>
        <v>23</v>
      </c>
      <c r="BR1" s="27">
        <f t="shared" ref="BR1" si="10">COLUMN(X1)</f>
        <v>24</v>
      </c>
      <c r="BS1" s="27">
        <f t="shared" ref="BS1" si="11">COLUMN(Y1)</f>
        <v>25</v>
      </c>
      <c r="BT1" s="27">
        <f t="shared" ref="BT1" si="12">COLUMN(Z1)</f>
        <v>26</v>
      </c>
      <c r="BU1" s="27">
        <f t="shared" ref="BU1" si="13">COLUMN(AA1)</f>
        <v>27</v>
      </c>
      <c r="BV1" s="27">
        <f t="shared" ref="BV1" si="14">COLUMN(AB1)</f>
        <v>28</v>
      </c>
      <c r="BW1" s="27">
        <f t="shared" ref="BW1" si="15">COLUMN(AC1)</f>
        <v>29</v>
      </c>
      <c r="BX1" s="27">
        <f t="shared" ref="BX1" si="16">COLUMN(AD1)</f>
        <v>30</v>
      </c>
      <c r="BY1" s="27">
        <f t="shared" ref="BY1" si="17">COLUMN(AE1)</f>
        <v>31</v>
      </c>
      <c r="BZ1" s="27">
        <f t="shared" ref="BZ1" si="18">COLUMN(AF1)</f>
        <v>32</v>
      </c>
      <c r="CA1" s="27">
        <f t="shared" ref="CA1" si="19">COLUMN(AG1)</f>
        <v>33</v>
      </c>
      <c r="CB1" s="27">
        <f t="shared" ref="CB1" si="20">COLUMN(AH1)</f>
        <v>34</v>
      </c>
      <c r="CC1" s="27">
        <f t="shared" ref="CC1" si="21">COLUMN(AI1)</f>
        <v>35</v>
      </c>
      <c r="CD1" s="27">
        <f t="shared" ref="CD1" si="22">COLUMN(AJ1)</f>
        <v>36</v>
      </c>
      <c r="CE1" s="27">
        <f t="shared" ref="CE1" si="23">COLUMN(AK1)</f>
        <v>37</v>
      </c>
      <c r="CF1" s="27">
        <f t="shared" ref="CF1" si="24">COLUMN(AL1)</f>
        <v>38</v>
      </c>
      <c r="CG1" s="27">
        <f t="shared" ref="CG1" si="25">COLUMN(AM1)</f>
        <v>39</v>
      </c>
      <c r="CH1" s="27">
        <f t="shared" ref="CH1" si="26">COLUMN(AN1)</f>
        <v>40</v>
      </c>
      <c r="CI1" s="27">
        <f t="shared" ref="CI1" si="27">COLUMN(AO1)</f>
        <v>41</v>
      </c>
      <c r="CJ1" s="27">
        <f t="shared" ref="CJ1" si="28">COLUMN(AP1)</f>
        <v>42</v>
      </c>
      <c r="CK1" s="27">
        <f t="shared" ref="CK1" si="29">COLUMN(AQ1)</f>
        <v>43</v>
      </c>
      <c r="CL1" s="27">
        <f t="shared" ref="CL1" si="30">COLUMN(AR1)</f>
        <v>44</v>
      </c>
      <c r="CM1" s="27">
        <f t="shared" ref="CM1" si="31">COLUMN(AS1)</f>
        <v>45</v>
      </c>
      <c r="CN1" s="89"/>
      <c r="CO1" s="27">
        <f>COLUMN(A1)</f>
        <v>1</v>
      </c>
      <c r="CP1" s="27">
        <f t="shared" ref="CP1:DC1" si="32">COLUMN(B1)</f>
        <v>2</v>
      </c>
      <c r="CQ1" s="27">
        <f t="shared" si="32"/>
        <v>3</v>
      </c>
      <c r="CR1" s="27">
        <f t="shared" si="32"/>
        <v>4</v>
      </c>
      <c r="CS1" s="27">
        <f t="shared" si="32"/>
        <v>5</v>
      </c>
      <c r="CT1" s="27">
        <f t="shared" si="32"/>
        <v>6</v>
      </c>
      <c r="CU1" s="27">
        <f t="shared" si="32"/>
        <v>7</v>
      </c>
      <c r="CV1" s="27">
        <f t="shared" si="32"/>
        <v>8</v>
      </c>
      <c r="CW1" s="27">
        <f t="shared" si="32"/>
        <v>9</v>
      </c>
      <c r="CX1" s="27">
        <f t="shared" si="32"/>
        <v>10</v>
      </c>
      <c r="CY1" s="27">
        <f t="shared" si="32"/>
        <v>11</v>
      </c>
      <c r="CZ1" s="27">
        <f t="shared" si="32"/>
        <v>12</v>
      </c>
      <c r="DA1" s="27">
        <f t="shared" si="32"/>
        <v>13</v>
      </c>
      <c r="DB1" s="27">
        <f t="shared" si="32"/>
        <v>14</v>
      </c>
      <c r="DC1" s="27">
        <f t="shared" si="32"/>
        <v>15</v>
      </c>
      <c r="DD1" s="27">
        <f t="shared" ref="DD1" si="33">COLUMN(P1)</f>
        <v>16</v>
      </c>
      <c r="DE1" s="27">
        <f t="shared" ref="DE1" si="34">COLUMN(Q1)</f>
        <v>17</v>
      </c>
      <c r="DF1" s="89"/>
      <c r="DG1" s="27">
        <f>COLUMN(A1)</f>
        <v>1</v>
      </c>
      <c r="DH1" s="27">
        <f t="shared" ref="DH1:EX1" si="35">COLUMN(B1)</f>
        <v>2</v>
      </c>
      <c r="DI1" s="27">
        <f t="shared" si="35"/>
        <v>3</v>
      </c>
      <c r="DJ1" s="27">
        <f t="shared" si="35"/>
        <v>4</v>
      </c>
      <c r="DK1" s="27">
        <f t="shared" si="35"/>
        <v>5</v>
      </c>
      <c r="DL1" s="27">
        <f t="shared" si="35"/>
        <v>6</v>
      </c>
      <c r="DM1" s="27">
        <f t="shared" si="35"/>
        <v>7</v>
      </c>
      <c r="DN1" s="27">
        <f t="shared" si="35"/>
        <v>8</v>
      </c>
      <c r="DO1" s="27">
        <f t="shared" si="35"/>
        <v>9</v>
      </c>
      <c r="DP1" s="27">
        <f t="shared" si="35"/>
        <v>10</v>
      </c>
      <c r="DQ1" s="27">
        <f t="shared" si="35"/>
        <v>11</v>
      </c>
      <c r="DR1" s="27">
        <f t="shared" si="35"/>
        <v>12</v>
      </c>
      <c r="DS1" s="27">
        <f t="shared" si="35"/>
        <v>13</v>
      </c>
      <c r="DT1" s="27">
        <f t="shared" si="35"/>
        <v>14</v>
      </c>
      <c r="DU1" s="27">
        <f t="shared" si="35"/>
        <v>15</v>
      </c>
      <c r="DV1" s="27">
        <f t="shared" si="35"/>
        <v>16</v>
      </c>
      <c r="DW1" s="27">
        <f t="shared" si="35"/>
        <v>17</v>
      </c>
      <c r="DX1" s="27">
        <f t="shared" si="35"/>
        <v>18</v>
      </c>
      <c r="DY1" s="27">
        <f t="shared" si="35"/>
        <v>19</v>
      </c>
      <c r="DZ1" s="27">
        <f t="shared" si="35"/>
        <v>20</v>
      </c>
      <c r="EA1" s="27">
        <f t="shared" si="35"/>
        <v>21</v>
      </c>
      <c r="EB1" s="27">
        <f t="shared" si="35"/>
        <v>22</v>
      </c>
      <c r="EC1" s="27">
        <f t="shared" si="35"/>
        <v>23</v>
      </c>
      <c r="ED1" s="27">
        <f t="shared" si="35"/>
        <v>24</v>
      </c>
      <c r="EE1" s="27">
        <f t="shared" si="35"/>
        <v>25</v>
      </c>
      <c r="EF1" s="27">
        <f t="shared" si="35"/>
        <v>26</v>
      </c>
      <c r="EG1" s="27">
        <f t="shared" si="35"/>
        <v>27</v>
      </c>
      <c r="EH1" s="27">
        <f t="shared" si="35"/>
        <v>28</v>
      </c>
      <c r="EI1" s="27">
        <f t="shared" si="35"/>
        <v>29</v>
      </c>
      <c r="EJ1" s="27">
        <f t="shared" si="35"/>
        <v>30</v>
      </c>
      <c r="EK1" s="27">
        <f t="shared" si="35"/>
        <v>31</v>
      </c>
      <c r="EL1" s="27">
        <f t="shared" si="35"/>
        <v>32</v>
      </c>
      <c r="EM1" s="27">
        <f t="shared" si="35"/>
        <v>33</v>
      </c>
      <c r="EN1" s="27">
        <f t="shared" si="35"/>
        <v>34</v>
      </c>
      <c r="EO1" s="27">
        <f t="shared" si="35"/>
        <v>35</v>
      </c>
      <c r="EP1" s="27">
        <f t="shared" si="35"/>
        <v>36</v>
      </c>
      <c r="EQ1" s="27">
        <f t="shared" si="35"/>
        <v>37</v>
      </c>
      <c r="ER1" s="27">
        <f t="shared" si="35"/>
        <v>38</v>
      </c>
      <c r="ES1" s="27">
        <f t="shared" si="35"/>
        <v>39</v>
      </c>
      <c r="ET1" s="27">
        <f t="shared" si="35"/>
        <v>40</v>
      </c>
      <c r="EU1" s="27">
        <f t="shared" si="35"/>
        <v>41</v>
      </c>
      <c r="EV1" s="27">
        <f t="shared" si="35"/>
        <v>42</v>
      </c>
      <c r="EW1" s="27">
        <f t="shared" si="35"/>
        <v>43</v>
      </c>
      <c r="EX1" s="27">
        <f t="shared" si="35"/>
        <v>44</v>
      </c>
      <c r="EY1" s="27">
        <f t="shared" ref="EY1:FA1" si="36">COLUMN(AS1)</f>
        <v>45</v>
      </c>
      <c r="EZ1" s="27">
        <f t="shared" ref="EZ1" si="37">COLUMN(AT1)</f>
        <v>46</v>
      </c>
      <c r="FA1" s="27">
        <f t="shared" si="36"/>
        <v>47</v>
      </c>
    </row>
    <row r="2" spans="1:157" x14ac:dyDescent="0.25">
      <c r="A2" s="91" t="s">
        <v>910</v>
      </c>
      <c r="B2" s="88">
        <v>1</v>
      </c>
      <c r="AT2" s="89"/>
      <c r="AU2" s="91" t="s">
        <v>910</v>
      </c>
      <c r="AV2" s="88">
        <v>97</v>
      </c>
      <c r="CN2" s="89"/>
      <c r="CO2" s="91" t="s">
        <v>910</v>
      </c>
      <c r="CP2" s="88">
        <v>9</v>
      </c>
      <c r="DF2" s="89"/>
      <c r="DG2" s="91" t="s">
        <v>910</v>
      </c>
      <c r="DH2" s="88">
        <v>21</v>
      </c>
      <c r="EI2" s="90"/>
    </row>
    <row r="3" spans="1:157" x14ac:dyDescent="0.25">
      <c r="B3" t="str">
        <f>MID(B5,3,2)</f>
        <v>24</v>
      </c>
      <c r="C3" t="str">
        <f>MID(C5,3,2)</f>
        <v>24</v>
      </c>
      <c r="D3" t="str">
        <f t="shared" ref="D3:AQ3" si="38">MID(D5,3,2)</f>
        <v>24</v>
      </c>
      <c r="E3" t="str">
        <f t="shared" si="38"/>
        <v>25</v>
      </c>
      <c r="F3" t="str">
        <f t="shared" si="38"/>
        <v>25</v>
      </c>
      <c r="G3" t="str">
        <f t="shared" si="38"/>
        <v>25</v>
      </c>
      <c r="H3" t="str">
        <f t="shared" si="38"/>
        <v>26</v>
      </c>
      <c r="I3" t="str">
        <f t="shared" si="38"/>
        <v>26</v>
      </c>
      <c r="J3" t="str">
        <f t="shared" si="38"/>
        <v>26</v>
      </c>
      <c r="K3" t="str">
        <f t="shared" si="38"/>
        <v>35</v>
      </c>
      <c r="L3" t="str">
        <f t="shared" si="38"/>
        <v>35</v>
      </c>
      <c r="M3" t="str">
        <f t="shared" si="38"/>
        <v>35</v>
      </c>
      <c r="N3" t="str">
        <f t="shared" si="38"/>
        <v>39</v>
      </c>
      <c r="O3" t="str">
        <f t="shared" si="38"/>
        <v>42</v>
      </c>
      <c r="P3" t="str">
        <f t="shared" si="38"/>
        <v>42</v>
      </c>
      <c r="Q3" t="str">
        <f t="shared" si="38"/>
        <v>42</v>
      </c>
      <c r="R3" t="str">
        <f t="shared" si="38"/>
        <v>43</v>
      </c>
      <c r="S3" t="str">
        <f t="shared" si="38"/>
        <v>43</v>
      </c>
      <c r="T3" t="str">
        <f t="shared" si="38"/>
        <v>43</v>
      </c>
      <c r="U3" t="str">
        <f t="shared" si="38"/>
        <v>44</v>
      </c>
      <c r="V3" t="str">
        <f t="shared" si="38"/>
        <v>44</v>
      </c>
      <c r="W3" t="str">
        <f t="shared" si="38"/>
        <v>44</v>
      </c>
      <c r="X3" t="str">
        <f t="shared" si="38"/>
        <v>45</v>
      </c>
      <c r="Y3" t="str">
        <f t="shared" si="38"/>
        <v>45</v>
      </c>
      <c r="Z3" t="str">
        <f t="shared" si="38"/>
        <v>45</v>
      </c>
      <c r="AA3" t="str">
        <f t="shared" si="38"/>
        <v>46</v>
      </c>
      <c r="AB3" t="str">
        <f t="shared" si="38"/>
        <v>46</v>
      </c>
      <c r="AC3" t="str">
        <f t="shared" si="38"/>
        <v>46</v>
      </c>
      <c r="AD3" t="str">
        <f t="shared" si="38"/>
        <v>47</v>
      </c>
      <c r="AE3" t="str">
        <f t="shared" si="38"/>
        <v>47</v>
      </c>
      <c r="AF3" t="str">
        <f t="shared" si="38"/>
        <v>47</v>
      </c>
      <c r="AG3" t="str">
        <f t="shared" si="38"/>
        <v>48</v>
      </c>
      <c r="AH3" t="str">
        <f t="shared" si="38"/>
        <v>48</v>
      </c>
      <c r="AI3" t="str">
        <f t="shared" si="38"/>
        <v>48</v>
      </c>
      <c r="AJ3" t="str">
        <f t="shared" si="38"/>
        <v>49</v>
      </c>
      <c r="AK3" t="str">
        <f t="shared" si="38"/>
        <v>49</v>
      </c>
      <c r="AL3" t="str">
        <f t="shared" si="38"/>
        <v>49</v>
      </c>
      <c r="AM3" t="str">
        <f t="shared" si="38"/>
        <v>64</v>
      </c>
      <c r="AN3" t="str">
        <f t="shared" si="38"/>
        <v>64</v>
      </c>
      <c r="AO3" t="str">
        <f t="shared" si="38"/>
        <v>64</v>
      </c>
      <c r="AP3" t="str">
        <f t="shared" si="38"/>
        <v/>
      </c>
      <c r="AQ3" t="str">
        <f t="shared" si="38"/>
        <v/>
      </c>
      <c r="AR3" s="243"/>
      <c r="AS3" s="243"/>
      <c r="AT3" s="89"/>
      <c r="AV3" t="str">
        <f>MID(AV5,3,2)</f>
        <v>24</v>
      </c>
      <c r="AW3" t="str">
        <f>MID(AW5,3,2)</f>
        <v>24</v>
      </c>
      <c r="AX3" t="str">
        <f t="shared" ref="AX3:CK3" si="39">MID(AX5,3,2)</f>
        <v>24</v>
      </c>
      <c r="AY3" t="str">
        <f t="shared" si="39"/>
        <v>25</v>
      </c>
      <c r="AZ3" t="str">
        <f t="shared" si="39"/>
        <v>25</v>
      </c>
      <c r="BA3" t="str">
        <f t="shared" si="39"/>
        <v>25</v>
      </c>
      <c r="BB3" t="str">
        <f t="shared" si="39"/>
        <v>26</v>
      </c>
      <c r="BC3" t="str">
        <f t="shared" si="39"/>
        <v>26</v>
      </c>
      <c r="BD3" t="str">
        <f t="shared" si="39"/>
        <v>26</v>
      </c>
      <c r="BE3" t="str">
        <f t="shared" si="39"/>
        <v>35</v>
      </c>
      <c r="BF3" t="str">
        <f t="shared" si="39"/>
        <v>35</v>
      </c>
      <c r="BG3" t="str">
        <f t="shared" si="39"/>
        <v>35</v>
      </c>
      <c r="BH3" t="str">
        <f t="shared" si="39"/>
        <v>39</v>
      </c>
      <c r="BI3" t="str">
        <f t="shared" si="39"/>
        <v>39</v>
      </c>
      <c r="BJ3" t="str">
        <f t="shared" si="39"/>
        <v>39</v>
      </c>
      <c r="BK3" t="str">
        <f t="shared" si="39"/>
        <v>42</v>
      </c>
      <c r="BL3" t="str">
        <f t="shared" si="39"/>
        <v>42</v>
      </c>
      <c r="BM3" t="str">
        <f t="shared" si="39"/>
        <v>42</v>
      </c>
      <c r="BN3" t="str">
        <f t="shared" si="39"/>
        <v>43</v>
      </c>
      <c r="BO3" t="str">
        <f t="shared" si="39"/>
        <v>43</v>
      </c>
      <c r="BP3" t="str">
        <f t="shared" si="39"/>
        <v>43</v>
      </c>
      <c r="BQ3" t="str">
        <f t="shared" si="39"/>
        <v>44</v>
      </c>
      <c r="BR3" t="str">
        <f t="shared" si="39"/>
        <v>44</v>
      </c>
      <c r="BS3" t="str">
        <f t="shared" si="39"/>
        <v>44</v>
      </c>
      <c r="BT3" t="str">
        <f t="shared" si="39"/>
        <v>45</v>
      </c>
      <c r="BU3" t="str">
        <f t="shared" si="39"/>
        <v>45</v>
      </c>
      <c r="BV3" t="str">
        <f t="shared" si="39"/>
        <v>45</v>
      </c>
      <c r="BW3" t="str">
        <f t="shared" si="39"/>
        <v>46</v>
      </c>
      <c r="BX3" t="str">
        <f t="shared" si="39"/>
        <v>46</v>
      </c>
      <c r="BY3" t="str">
        <f t="shared" si="39"/>
        <v>46</v>
      </c>
      <c r="BZ3" t="str">
        <f t="shared" si="39"/>
        <v>47</v>
      </c>
      <c r="CA3" t="str">
        <f t="shared" si="39"/>
        <v>47</v>
      </c>
      <c r="CB3" t="str">
        <f t="shared" si="39"/>
        <v>47</v>
      </c>
      <c r="CC3" t="str">
        <f t="shared" si="39"/>
        <v>48</v>
      </c>
      <c r="CD3" t="str">
        <f t="shared" si="39"/>
        <v>48</v>
      </c>
      <c r="CE3" t="str">
        <f t="shared" si="39"/>
        <v>48</v>
      </c>
      <c r="CF3" t="str">
        <f t="shared" si="39"/>
        <v>49</v>
      </c>
      <c r="CG3" t="str">
        <f t="shared" si="39"/>
        <v>49</v>
      </c>
      <c r="CH3" t="str">
        <f t="shared" si="39"/>
        <v>49</v>
      </c>
      <c r="CI3" t="str">
        <f t="shared" si="39"/>
        <v>64</v>
      </c>
      <c r="CJ3" t="str">
        <f t="shared" si="39"/>
        <v>64</v>
      </c>
      <c r="CK3" t="str">
        <f t="shared" si="39"/>
        <v>64</v>
      </c>
      <c r="CL3" s="243"/>
      <c r="CM3" s="243"/>
      <c r="CN3" s="89"/>
      <c r="CP3" t="str">
        <f>MID(CP5,3,2)</f>
        <v>25</v>
      </c>
      <c r="CQ3" t="str">
        <f>MID(CQ5,3,2)</f>
        <v>26</v>
      </c>
      <c r="CR3" t="str">
        <f t="shared" ref="CR3:DC3" si="40">MID(CR5,3,2)</f>
        <v>35</v>
      </c>
      <c r="CS3" t="str">
        <f t="shared" si="40"/>
        <v>42</v>
      </c>
      <c r="CT3" t="str">
        <f t="shared" si="40"/>
        <v>44</v>
      </c>
      <c r="CU3" t="str">
        <f t="shared" si="40"/>
        <v>45</v>
      </c>
      <c r="CV3" t="str">
        <f t="shared" si="40"/>
        <v>47</v>
      </c>
      <c r="CW3" t="str">
        <f t="shared" si="40"/>
        <v>64</v>
      </c>
      <c r="CX3" t="str">
        <f t="shared" si="40"/>
        <v/>
      </c>
      <c r="CY3" t="str">
        <f t="shared" si="40"/>
        <v/>
      </c>
      <c r="CZ3" t="str">
        <f t="shared" si="40"/>
        <v/>
      </c>
      <c r="DA3" t="str">
        <f t="shared" si="40"/>
        <v/>
      </c>
      <c r="DB3" t="str">
        <f t="shared" si="40"/>
        <v/>
      </c>
      <c r="DC3" t="str">
        <f t="shared" si="40"/>
        <v/>
      </c>
      <c r="DD3" s="243"/>
      <c r="DE3" s="243"/>
      <c r="DF3" s="89"/>
      <c r="DH3" t="str">
        <f>MID(DH5,3,2)</f>
        <v>24</v>
      </c>
      <c r="DI3" t="str">
        <f>MID(DI5,3,2)</f>
        <v>24</v>
      </c>
      <c r="DJ3" t="str">
        <f t="shared" ref="DJ3:EW3" si="41">MID(DJ5,3,2)</f>
        <v>24</v>
      </c>
      <c r="DK3" t="str">
        <f t="shared" si="41"/>
        <v>25</v>
      </c>
      <c r="DL3" t="str">
        <f t="shared" si="41"/>
        <v>25</v>
      </c>
      <c r="DM3" t="str">
        <f t="shared" si="41"/>
        <v>25</v>
      </c>
      <c r="DN3" t="str">
        <f t="shared" si="41"/>
        <v>26</v>
      </c>
      <c r="DO3" t="str">
        <f t="shared" si="41"/>
        <v>26</v>
      </c>
      <c r="DP3" t="str">
        <f t="shared" si="41"/>
        <v>26</v>
      </c>
      <c r="DQ3" t="str">
        <f t="shared" si="41"/>
        <v>35</v>
      </c>
      <c r="DR3" t="str">
        <f t="shared" si="41"/>
        <v>35</v>
      </c>
      <c r="DS3" t="str">
        <f t="shared" si="41"/>
        <v>35</v>
      </c>
      <c r="DT3" t="str">
        <f t="shared" si="41"/>
        <v>39</v>
      </c>
      <c r="DU3" t="str">
        <f t="shared" si="41"/>
        <v>39</v>
      </c>
      <c r="DV3" t="str">
        <f t="shared" si="41"/>
        <v>39</v>
      </c>
      <c r="DW3" t="str">
        <f t="shared" si="41"/>
        <v>42</v>
      </c>
      <c r="DX3" t="str">
        <f t="shared" si="41"/>
        <v>42</v>
      </c>
      <c r="DY3" t="str">
        <f t="shared" si="41"/>
        <v>42</v>
      </c>
      <c r="DZ3" t="str">
        <f t="shared" si="41"/>
        <v>43</v>
      </c>
      <c r="EA3" t="str">
        <f t="shared" si="41"/>
        <v>43</v>
      </c>
      <c r="EB3" t="str">
        <f t="shared" si="41"/>
        <v>43</v>
      </c>
      <c r="EC3" t="str">
        <f t="shared" si="41"/>
        <v>44</v>
      </c>
      <c r="ED3" t="str">
        <f t="shared" si="41"/>
        <v>44</v>
      </c>
      <c r="EE3" t="str">
        <f t="shared" si="41"/>
        <v>44</v>
      </c>
      <c r="EF3" t="str">
        <f t="shared" si="41"/>
        <v>45</v>
      </c>
      <c r="EG3" t="str">
        <f t="shared" si="41"/>
        <v>45</v>
      </c>
      <c r="EH3" t="str">
        <f t="shared" si="41"/>
        <v>45</v>
      </c>
      <c r="EI3" t="str">
        <f t="shared" si="41"/>
        <v>46</v>
      </c>
      <c r="EJ3" t="str">
        <f t="shared" si="41"/>
        <v>46</v>
      </c>
      <c r="EK3" t="str">
        <f t="shared" si="41"/>
        <v>46</v>
      </c>
      <c r="EL3" t="str">
        <f t="shared" si="41"/>
        <v>47</v>
      </c>
      <c r="EM3" t="str">
        <f t="shared" si="41"/>
        <v>47</v>
      </c>
      <c r="EN3" t="str">
        <f t="shared" si="41"/>
        <v>47</v>
      </c>
      <c r="EO3" t="str">
        <f t="shared" si="41"/>
        <v>48</v>
      </c>
      <c r="EP3" t="str">
        <f t="shared" si="41"/>
        <v>48</v>
      </c>
      <c r="EQ3" t="str">
        <f t="shared" si="41"/>
        <v>48</v>
      </c>
      <c r="ER3" t="str">
        <f t="shared" si="41"/>
        <v>49</v>
      </c>
      <c r="ES3" t="str">
        <f t="shared" si="41"/>
        <v>49</v>
      </c>
      <c r="ET3" t="str">
        <f t="shared" si="41"/>
        <v>49</v>
      </c>
      <c r="EU3" t="str">
        <f t="shared" si="41"/>
        <v>64</v>
      </c>
      <c r="EV3" t="str">
        <f t="shared" si="41"/>
        <v>64</v>
      </c>
      <c r="EW3" t="str">
        <f t="shared" si="41"/>
        <v>64</v>
      </c>
      <c r="EX3" s="243"/>
      <c r="EY3" s="243"/>
      <c r="EZ3" s="243"/>
      <c r="FA3" s="243"/>
    </row>
    <row r="4" spans="1:157" x14ac:dyDescent="0.25">
      <c r="A4" s="91" t="s">
        <v>1274</v>
      </c>
      <c r="B4" s="91" t="s">
        <v>751</v>
      </c>
      <c r="AT4" s="89"/>
      <c r="AU4" s="91" t="s">
        <v>1274</v>
      </c>
      <c r="AV4" s="91" t="s">
        <v>751</v>
      </c>
      <c r="CN4" s="89"/>
      <c r="CO4" s="91" t="s">
        <v>1274</v>
      </c>
      <c r="CP4" s="91" t="s">
        <v>751</v>
      </c>
      <c r="DF4" s="89"/>
      <c r="DG4" s="91" t="s">
        <v>1274</v>
      </c>
      <c r="DH4" s="91" t="s">
        <v>751</v>
      </c>
    </row>
    <row r="5" spans="1:157" x14ac:dyDescent="0.25">
      <c r="A5" s="91" t="s">
        <v>752</v>
      </c>
      <c r="B5" s="236" t="s">
        <v>1297</v>
      </c>
      <c r="C5" s="236" t="s">
        <v>1286</v>
      </c>
      <c r="D5" s="236" t="s">
        <v>1284</v>
      </c>
      <c r="E5" s="236" t="s">
        <v>1308</v>
      </c>
      <c r="F5" s="236" t="s">
        <v>1299</v>
      </c>
      <c r="G5" s="236" t="s">
        <v>1363</v>
      </c>
      <c r="H5" s="236" t="s">
        <v>1315</v>
      </c>
      <c r="I5" s="236" t="s">
        <v>1295</v>
      </c>
      <c r="J5" s="236" t="s">
        <v>1291</v>
      </c>
      <c r="K5" s="236" t="s">
        <v>1350</v>
      </c>
      <c r="L5" s="236" t="s">
        <v>1401</v>
      </c>
      <c r="M5" s="236" t="s">
        <v>1377</v>
      </c>
      <c r="N5" t="s">
        <v>1450</v>
      </c>
      <c r="O5" t="s">
        <v>1275</v>
      </c>
      <c r="P5" t="s">
        <v>1270</v>
      </c>
      <c r="Q5" t="s">
        <v>1263</v>
      </c>
      <c r="R5" t="s">
        <v>1328</v>
      </c>
      <c r="S5" t="s">
        <v>1388</v>
      </c>
      <c r="T5" t="s">
        <v>1368</v>
      </c>
      <c r="U5" t="s">
        <v>1331</v>
      </c>
      <c r="V5" t="s">
        <v>1359</v>
      </c>
      <c r="W5" t="s">
        <v>1356</v>
      </c>
      <c r="X5" t="s">
        <v>1332</v>
      </c>
      <c r="Y5" t="s">
        <v>1394</v>
      </c>
      <c r="Z5" t="s">
        <v>1370</v>
      </c>
      <c r="AA5" t="s">
        <v>1333</v>
      </c>
      <c r="AB5" t="s">
        <v>1396</v>
      </c>
      <c r="AC5" t="s">
        <v>1371</v>
      </c>
      <c r="AD5" t="s">
        <v>1335</v>
      </c>
      <c r="AE5" t="s">
        <v>1341</v>
      </c>
      <c r="AF5" t="s">
        <v>1338</v>
      </c>
      <c r="AG5" t="s">
        <v>1337</v>
      </c>
      <c r="AH5" t="s">
        <v>1398</v>
      </c>
      <c r="AI5" t="s">
        <v>1373</v>
      </c>
      <c r="AJ5" t="s">
        <v>1343</v>
      </c>
      <c r="AK5" t="s">
        <v>1399</v>
      </c>
      <c r="AL5" t="s">
        <v>1477</v>
      </c>
      <c r="AM5" t="s">
        <v>1347</v>
      </c>
      <c r="AN5" t="s">
        <v>1400</v>
      </c>
      <c r="AO5" t="s">
        <v>1376</v>
      </c>
      <c r="AR5" t="s">
        <v>682</v>
      </c>
      <c r="AS5" t="s">
        <v>683</v>
      </c>
      <c r="AT5" s="89"/>
      <c r="AU5" s="91" t="s">
        <v>752</v>
      </c>
      <c r="AV5" s="236" t="s">
        <v>1293</v>
      </c>
      <c r="AW5" s="236" t="s">
        <v>1382</v>
      </c>
      <c r="AX5" s="236" t="s">
        <v>1358</v>
      </c>
      <c r="AY5" s="236" t="s">
        <v>1305</v>
      </c>
      <c r="AZ5" s="236" t="s">
        <v>1290</v>
      </c>
      <c r="BA5" s="236" t="s">
        <v>1362</v>
      </c>
      <c r="BB5" s="236" t="s">
        <v>1461</v>
      </c>
      <c r="BC5" s="236" t="s">
        <v>1501</v>
      </c>
      <c r="BD5" s="236" t="s">
        <v>1488</v>
      </c>
      <c r="BE5" s="236" t="s">
        <v>1462</v>
      </c>
      <c r="BF5" s="236" t="s">
        <v>1402</v>
      </c>
      <c r="BG5" s="236" t="s">
        <v>1378</v>
      </c>
      <c r="BH5" t="s">
        <v>1451</v>
      </c>
      <c r="BI5" t="s">
        <v>1491</v>
      </c>
      <c r="BJ5" t="s">
        <v>1478</v>
      </c>
      <c r="BK5" t="s">
        <v>1452</v>
      </c>
      <c r="BL5" t="s">
        <v>1492</v>
      </c>
      <c r="BM5" t="s">
        <v>1479</v>
      </c>
      <c r="BN5" t="s">
        <v>1453</v>
      </c>
      <c r="BO5" t="s">
        <v>1493</v>
      </c>
      <c r="BP5" t="s">
        <v>1480</v>
      </c>
      <c r="BQ5" t="s">
        <v>1454</v>
      </c>
      <c r="BR5" t="s">
        <v>1494</v>
      </c>
      <c r="BS5" t="s">
        <v>1481</v>
      </c>
      <c r="BT5" t="s">
        <v>1455</v>
      </c>
      <c r="BU5" t="s">
        <v>1495</v>
      </c>
      <c r="BV5" t="s">
        <v>1482</v>
      </c>
      <c r="BW5" t="s">
        <v>1456</v>
      </c>
      <c r="BX5" t="s">
        <v>1496</v>
      </c>
      <c r="BY5" t="s">
        <v>1483</v>
      </c>
      <c r="BZ5" t="s">
        <v>1457</v>
      </c>
      <c r="CA5" t="s">
        <v>1497</v>
      </c>
      <c r="CB5" t="s">
        <v>1484</v>
      </c>
      <c r="CC5" t="s">
        <v>1458</v>
      </c>
      <c r="CD5" t="s">
        <v>1498</v>
      </c>
      <c r="CE5" t="s">
        <v>1485</v>
      </c>
      <c r="CF5" t="s">
        <v>1459</v>
      </c>
      <c r="CG5" t="s">
        <v>1499</v>
      </c>
      <c r="CH5" t="s">
        <v>1486</v>
      </c>
      <c r="CI5" t="s">
        <v>1460</v>
      </c>
      <c r="CJ5" t="s">
        <v>1500</v>
      </c>
      <c r="CK5" t="s">
        <v>1487</v>
      </c>
      <c r="CL5" t="s">
        <v>682</v>
      </c>
      <c r="CM5" t="s">
        <v>683</v>
      </c>
      <c r="CN5" s="89"/>
      <c r="CO5" s="91" t="s">
        <v>752</v>
      </c>
      <c r="CP5" s="236" t="s">
        <v>1474</v>
      </c>
      <c r="CQ5" s="236" t="s">
        <v>1352</v>
      </c>
      <c r="CR5" s="236" t="s">
        <v>1475</v>
      </c>
      <c r="CS5" t="s">
        <v>1348</v>
      </c>
      <c r="CT5" t="s">
        <v>1466</v>
      </c>
      <c r="CU5" t="s">
        <v>1467</v>
      </c>
      <c r="CV5" t="s">
        <v>1469</v>
      </c>
      <c r="CW5" t="s">
        <v>1472</v>
      </c>
      <c r="DD5" t="s">
        <v>682</v>
      </c>
      <c r="DE5" t="s">
        <v>683</v>
      </c>
      <c r="DF5" s="89"/>
      <c r="DG5" s="91" t="s">
        <v>752</v>
      </c>
      <c r="DH5" s="236" t="s">
        <v>1288</v>
      </c>
      <c r="DI5" s="236" t="s">
        <v>1379</v>
      </c>
      <c r="DJ5" s="236" t="s">
        <v>1355</v>
      </c>
      <c r="DK5" s="236" t="s">
        <v>1301</v>
      </c>
      <c r="DL5" s="236" t="s">
        <v>1383</v>
      </c>
      <c r="DM5" s="236" t="s">
        <v>1361</v>
      </c>
      <c r="DN5" s="236" t="s">
        <v>1311</v>
      </c>
      <c r="DO5" s="236" t="s">
        <v>1324</v>
      </c>
      <c r="DP5" s="236" t="s">
        <v>1322</v>
      </c>
      <c r="DQ5" s="236" t="s">
        <v>1463</v>
      </c>
      <c r="DR5" s="236" t="s">
        <v>1404</v>
      </c>
      <c r="DS5" s="236" t="s">
        <v>1489</v>
      </c>
      <c r="DT5" t="s">
        <v>1319</v>
      </c>
      <c r="DU5" t="s">
        <v>1384</v>
      </c>
      <c r="DV5" t="s">
        <v>1364</v>
      </c>
      <c r="DW5" t="s">
        <v>1321</v>
      </c>
      <c r="DX5" t="s">
        <v>1385</v>
      </c>
      <c r="DY5" t="s">
        <v>1365</v>
      </c>
      <c r="DZ5" t="s">
        <v>1289</v>
      </c>
      <c r="EA5" t="s">
        <v>1387</v>
      </c>
      <c r="EB5" t="s">
        <v>1303</v>
      </c>
      <c r="EC5" t="s">
        <v>1329</v>
      </c>
      <c r="ED5" t="s">
        <v>1390</v>
      </c>
      <c r="EE5" t="s">
        <v>1369</v>
      </c>
      <c r="EF5" t="s">
        <v>1294</v>
      </c>
      <c r="EG5" t="s">
        <v>1326</v>
      </c>
      <c r="EH5" t="s">
        <v>1312</v>
      </c>
      <c r="EI5" t="s">
        <v>1298</v>
      </c>
      <c r="EJ5" t="s">
        <v>1309</v>
      </c>
      <c r="EK5" t="s">
        <v>1345</v>
      </c>
      <c r="EL5" t="s">
        <v>1334</v>
      </c>
      <c r="EM5" t="s">
        <v>1397</v>
      </c>
      <c r="EN5" t="s">
        <v>1372</v>
      </c>
      <c r="EO5" t="s">
        <v>1302</v>
      </c>
      <c r="EP5" t="s">
        <v>1330</v>
      </c>
      <c r="EQ5" t="s">
        <v>1316</v>
      </c>
      <c r="ER5" t="s">
        <v>1340</v>
      </c>
      <c r="ES5" t="s">
        <v>1392</v>
      </c>
      <c r="ET5" t="s">
        <v>1374</v>
      </c>
      <c r="EU5" t="s">
        <v>1306</v>
      </c>
      <c r="EV5" t="s">
        <v>1317</v>
      </c>
      <c r="EW5" t="s">
        <v>1313</v>
      </c>
      <c r="EX5" s="89" t="s">
        <v>682</v>
      </c>
      <c r="EY5" t="s">
        <v>1503</v>
      </c>
      <c r="EZ5" s="89" t="s">
        <v>683</v>
      </c>
      <c r="FA5" t="s">
        <v>1504</v>
      </c>
    </row>
    <row r="6" spans="1:157" x14ac:dyDescent="0.25">
      <c r="A6" s="88" t="s">
        <v>9</v>
      </c>
      <c r="B6" s="90">
        <v>1.387</v>
      </c>
      <c r="C6" s="90">
        <v>0.35199999999999998</v>
      </c>
      <c r="D6" s="90">
        <v>0.36299999999999999</v>
      </c>
      <c r="E6" s="90">
        <v>7.2370000000000001</v>
      </c>
      <c r="F6" s="90">
        <v>0.50600000000000001</v>
      </c>
      <c r="G6" s="90">
        <v>0.495</v>
      </c>
      <c r="H6" s="90">
        <v>2.3239999999999998</v>
      </c>
      <c r="I6" s="90">
        <v>0.2</v>
      </c>
      <c r="J6" s="90">
        <v>0.58099999999999996</v>
      </c>
      <c r="K6" s="90"/>
      <c r="L6" s="90"/>
      <c r="M6" s="90"/>
      <c r="N6" s="90"/>
      <c r="O6" s="90">
        <v>1.8</v>
      </c>
      <c r="P6" s="90">
        <v>2.5299999999999998</v>
      </c>
      <c r="Q6" s="90">
        <v>2.25</v>
      </c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>
        <v>1</v>
      </c>
      <c r="AF6" s="90"/>
      <c r="AG6" s="90"/>
      <c r="AH6" s="90"/>
      <c r="AI6" s="90"/>
      <c r="AJ6" s="90"/>
      <c r="AK6" s="90"/>
      <c r="AL6" s="90"/>
      <c r="AM6" s="90"/>
      <c r="AN6" s="90"/>
      <c r="AO6" s="90"/>
      <c r="AR6" s="90">
        <f>SUM(N6:AQ6)</f>
        <v>7.58</v>
      </c>
      <c r="AS6" s="90">
        <f>SUM($B6:M6)</f>
        <v>13.444999999999999</v>
      </c>
      <c r="AT6" s="89"/>
      <c r="AU6" s="88" t="s">
        <v>759</v>
      </c>
      <c r="AV6" s="90">
        <v>0</v>
      </c>
      <c r="AW6" s="90">
        <v>0</v>
      </c>
      <c r="AX6" s="90">
        <v>0</v>
      </c>
      <c r="AY6" s="90">
        <v>0</v>
      </c>
      <c r="AZ6" s="90">
        <v>0</v>
      </c>
      <c r="BA6" s="90">
        <v>0</v>
      </c>
      <c r="BB6" s="90">
        <v>0</v>
      </c>
      <c r="BC6" s="90">
        <v>0</v>
      </c>
      <c r="BD6" s="90">
        <v>0</v>
      </c>
      <c r="BE6" s="90">
        <v>0</v>
      </c>
      <c r="BF6" s="90">
        <v>0</v>
      </c>
      <c r="BG6" s="90">
        <v>0</v>
      </c>
      <c r="BH6" s="90">
        <v>0</v>
      </c>
      <c r="BI6" s="90">
        <v>0</v>
      </c>
      <c r="BJ6" s="90">
        <v>0</v>
      </c>
      <c r="BK6" s="90">
        <v>0</v>
      </c>
      <c r="BL6" s="90">
        <v>0</v>
      </c>
      <c r="BM6" s="90">
        <v>0</v>
      </c>
      <c r="BN6" s="90">
        <v>0</v>
      </c>
      <c r="BO6" s="90">
        <v>0</v>
      </c>
      <c r="BP6" s="90">
        <v>0</v>
      </c>
      <c r="BQ6" s="90">
        <v>0</v>
      </c>
      <c r="BR6" s="90">
        <v>0</v>
      </c>
      <c r="BS6" s="90">
        <v>0</v>
      </c>
      <c r="BT6" s="90">
        <v>0</v>
      </c>
      <c r="BU6" s="90">
        <v>0</v>
      </c>
      <c r="BV6" s="90">
        <v>0</v>
      </c>
      <c r="BW6" s="90">
        <v>0</v>
      </c>
      <c r="BX6" s="90">
        <v>0</v>
      </c>
      <c r="BY6" s="90">
        <v>0</v>
      </c>
      <c r="BZ6" s="90">
        <v>0</v>
      </c>
      <c r="CA6" s="90">
        <v>0</v>
      </c>
      <c r="CB6" s="90">
        <v>0</v>
      </c>
      <c r="CC6" s="90">
        <v>0</v>
      </c>
      <c r="CD6" s="90">
        <v>0</v>
      </c>
      <c r="CE6" s="90">
        <v>0</v>
      </c>
      <c r="CF6" s="90">
        <v>0</v>
      </c>
      <c r="CG6" s="90">
        <v>0</v>
      </c>
      <c r="CH6" s="90">
        <v>0</v>
      </c>
      <c r="CI6" s="90">
        <v>0</v>
      </c>
      <c r="CJ6" s="90">
        <v>0</v>
      </c>
      <c r="CK6" s="90">
        <v>0</v>
      </c>
      <c r="CL6" s="90">
        <f>SUM(BH6:CK6)</f>
        <v>0</v>
      </c>
      <c r="CM6" s="90">
        <f>SUM(AV6:BG6)</f>
        <v>0</v>
      </c>
      <c r="CN6" s="89"/>
      <c r="CO6" s="88" t="s">
        <v>33</v>
      </c>
      <c r="CP6" s="90"/>
      <c r="CQ6" s="90"/>
      <c r="CR6" s="90"/>
      <c r="CS6" s="90"/>
      <c r="CT6" s="90">
        <v>0.5</v>
      </c>
      <c r="CU6" s="90"/>
      <c r="CV6" s="90"/>
      <c r="CW6" s="90"/>
      <c r="DD6" s="90">
        <f>SUM(CT6:DC6)</f>
        <v>0.5</v>
      </c>
      <c r="DE6" s="90">
        <f>SUM(CP6:CS6)</f>
        <v>0</v>
      </c>
      <c r="DF6" s="89"/>
      <c r="DG6" s="88" t="s">
        <v>759</v>
      </c>
      <c r="DH6" s="90">
        <v>0</v>
      </c>
      <c r="DI6" s="90">
        <v>0</v>
      </c>
      <c r="DJ6" s="90">
        <v>0</v>
      </c>
      <c r="DK6" s="90">
        <v>0</v>
      </c>
      <c r="DL6" s="90">
        <v>0</v>
      </c>
      <c r="DM6" s="90">
        <v>0</v>
      </c>
      <c r="DN6" s="90">
        <v>0</v>
      </c>
      <c r="DO6" s="90">
        <v>0</v>
      </c>
      <c r="DP6" s="90">
        <v>0</v>
      </c>
      <c r="DQ6" s="90">
        <v>0</v>
      </c>
      <c r="DR6" s="90">
        <v>0</v>
      </c>
      <c r="DS6" s="90">
        <v>0</v>
      </c>
      <c r="DT6" s="90">
        <v>0</v>
      </c>
      <c r="DU6" s="90">
        <v>0</v>
      </c>
      <c r="DV6" s="90">
        <v>0</v>
      </c>
      <c r="DW6" s="90">
        <v>0</v>
      </c>
      <c r="DX6" s="90">
        <v>0</v>
      </c>
      <c r="DY6" s="90">
        <v>0</v>
      </c>
      <c r="DZ6" s="90">
        <v>0</v>
      </c>
      <c r="EA6" s="90">
        <v>0</v>
      </c>
      <c r="EB6" s="90">
        <v>0</v>
      </c>
      <c r="EC6" s="90">
        <v>0</v>
      </c>
      <c r="ED6" s="90">
        <v>0</v>
      </c>
      <c r="EE6" s="90">
        <v>0</v>
      </c>
      <c r="EF6" s="90">
        <v>0</v>
      </c>
      <c r="EG6" s="90">
        <v>0</v>
      </c>
      <c r="EH6" s="90">
        <v>0</v>
      </c>
      <c r="EI6" s="90">
        <v>0</v>
      </c>
      <c r="EJ6" s="90">
        <v>0</v>
      </c>
      <c r="EK6" s="90">
        <v>0</v>
      </c>
      <c r="EL6" s="90">
        <v>0</v>
      </c>
      <c r="EM6" s="90">
        <v>0</v>
      </c>
      <c r="EN6" s="90">
        <v>0</v>
      </c>
      <c r="EO6" s="90">
        <v>0</v>
      </c>
      <c r="EP6" s="90">
        <v>0</v>
      </c>
      <c r="EQ6" s="90">
        <v>0</v>
      </c>
      <c r="ER6" s="90">
        <v>0</v>
      </c>
      <c r="ES6" s="90">
        <v>0</v>
      </c>
      <c r="ET6" s="90">
        <v>0</v>
      </c>
      <c r="EU6" s="90">
        <v>0</v>
      </c>
      <c r="EV6" s="90">
        <v>0</v>
      </c>
      <c r="EW6" s="90">
        <v>0</v>
      </c>
      <c r="EX6" s="90">
        <f>SUM(DT6:EW6)</f>
        <v>0</v>
      </c>
      <c r="EY6" s="90">
        <f>ROUND(EX6*IFERROR(VLOOKUP($DG6,'3121% SY'!$A$2:$M$324,13,FALSE),0),3)</f>
        <v>0</v>
      </c>
      <c r="EZ6" s="90">
        <f>SUM(DH6:DS6)</f>
        <v>0</v>
      </c>
      <c r="FA6" s="90">
        <f>ROUND(EZ6*IFERROR(VLOOKUP($DG6,'3121% SY'!$A$2:$M$324,13,FALSE),0),3)</f>
        <v>0</v>
      </c>
    </row>
    <row r="7" spans="1:157" x14ac:dyDescent="0.25">
      <c r="A7" s="88" t="s">
        <v>10</v>
      </c>
      <c r="B7" s="90"/>
      <c r="C7" s="90"/>
      <c r="D7" s="90"/>
      <c r="E7" s="90">
        <v>0.17799999999999999</v>
      </c>
      <c r="F7" s="90"/>
      <c r="G7" s="90">
        <v>5.6000000000000001E-2</v>
      </c>
      <c r="H7" s="90">
        <v>0.27700000000000002</v>
      </c>
      <c r="I7" s="90">
        <v>0.14599999999999999</v>
      </c>
      <c r="J7" s="90">
        <v>0.16900000000000001</v>
      </c>
      <c r="K7" s="90"/>
      <c r="L7" s="90"/>
      <c r="M7" s="90"/>
      <c r="N7" s="90"/>
      <c r="O7" s="90">
        <v>0.96199999999999997</v>
      </c>
      <c r="P7" s="90"/>
      <c r="Q7" s="90">
        <v>0.755</v>
      </c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R7" s="90">
        <f t="shared" ref="AR7:AR70" si="42">SUM(N7:AQ7)</f>
        <v>1.7170000000000001</v>
      </c>
      <c r="AS7" s="90">
        <f>SUM($B7:M7)</f>
        <v>0.82600000000000007</v>
      </c>
      <c r="AT7" s="89"/>
      <c r="AU7" s="88" t="s">
        <v>9</v>
      </c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>
        <v>1.84</v>
      </c>
      <c r="BG7" s="90">
        <v>1.3009999999999999</v>
      </c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>
        <f t="shared" ref="CL7:CL70" si="43">SUM(BH7:CK7)</f>
        <v>0</v>
      </c>
      <c r="CM7" s="90">
        <f t="shared" ref="CM7:CM70" si="44">SUM(AV7:BG7)</f>
        <v>3.141</v>
      </c>
      <c r="CN7" s="89"/>
      <c r="CO7" s="88" t="s">
        <v>46</v>
      </c>
      <c r="CP7" s="90">
        <v>1.282</v>
      </c>
      <c r="CQ7" s="90"/>
      <c r="CR7" s="90"/>
      <c r="CS7" s="90"/>
      <c r="CT7" s="90"/>
      <c r="CU7" s="90"/>
      <c r="CV7" s="90"/>
      <c r="CW7" s="90"/>
      <c r="DD7" s="90">
        <f t="shared" ref="DD7:DD70" si="45">SUM(CT7:DC7)</f>
        <v>0</v>
      </c>
      <c r="DE7" s="90">
        <f t="shared" ref="DE7:DE70" si="46">SUM(CP7:CS7)</f>
        <v>1.282</v>
      </c>
      <c r="DF7" s="89"/>
      <c r="DG7" s="88" t="s">
        <v>9</v>
      </c>
      <c r="DH7" s="90"/>
      <c r="DI7" s="90"/>
      <c r="DJ7" s="90"/>
      <c r="DK7" s="90"/>
      <c r="DL7" s="90">
        <v>3.8879999999999999</v>
      </c>
      <c r="DM7" s="90"/>
      <c r="DN7" s="90">
        <v>1.3140000000000001</v>
      </c>
      <c r="DO7" s="90"/>
      <c r="DP7" s="90">
        <v>0.25</v>
      </c>
      <c r="DQ7" s="90"/>
      <c r="DR7" s="90"/>
      <c r="DS7" s="90"/>
      <c r="DT7" s="90">
        <v>1</v>
      </c>
      <c r="DU7" s="90"/>
      <c r="DV7" s="90"/>
      <c r="DW7" s="90"/>
      <c r="DX7" s="90"/>
      <c r="DY7" s="90"/>
      <c r="DZ7" s="90">
        <v>0.75</v>
      </c>
      <c r="EA7" s="90">
        <v>0.25</v>
      </c>
      <c r="EB7" s="90"/>
      <c r="EC7" s="90"/>
      <c r="ED7" s="90"/>
      <c r="EE7" s="90"/>
      <c r="EF7" s="90">
        <v>2.782</v>
      </c>
      <c r="EG7" s="90">
        <v>0.46</v>
      </c>
      <c r="EH7" s="90"/>
      <c r="EI7" s="90">
        <v>2</v>
      </c>
      <c r="EJ7" s="90">
        <v>1.4</v>
      </c>
      <c r="EK7" s="90">
        <v>0.6</v>
      </c>
      <c r="EL7" s="90"/>
      <c r="EM7" s="90"/>
      <c r="EN7" s="90"/>
      <c r="EO7" s="90"/>
      <c r="EP7" s="90"/>
      <c r="EQ7" s="90"/>
      <c r="ER7" s="90">
        <v>1</v>
      </c>
      <c r="ES7" s="90"/>
      <c r="ET7" s="90"/>
      <c r="EU7" s="90"/>
      <c r="EV7" s="90"/>
      <c r="EW7" s="90"/>
      <c r="EX7" s="90">
        <f t="shared" ref="EX7:EX70" si="47">SUM(DT7:EW7)</f>
        <v>10.241999999999999</v>
      </c>
      <c r="EY7" s="90">
        <f>ROUND(EX7*IFERROR(VLOOKUP($DG7,'3121% SY'!$A$2:$M$324,13,FALSE),0),3)</f>
        <v>2.548</v>
      </c>
      <c r="EZ7" s="90">
        <f t="shared" ref="EZ7:EZ70" si="48">SUM(DH7:DS7)</f>
        <v>5.452</v>
      </c>
      <c r="FA7" s="90">
        <f>ROUND(EZ7*IFERROR(VLOOKUP($DG7,'3121% SY'!$A$2:$M$324,13,FALSE),0),3)</f>
        <v>1.3560000000000001</v>
      </c>
    </row>
    <row r="8" spans="1:157" x14ac:dyDescent="0.25">
      <c r="A8" s="88" t="s">
        <v>11</v>
      </c>
      <c r="B8" s="90"/>
      <c r="C8" s="90"/>
      <c r="D8" s="90"/>
      <c r="E8" s="90">
        <v>0.86599999999999999</v>
      </c>
      <c r="F8" s="90">
        <v>4.2000000000000003E-2</v>
      </c>
      <c r="G8" s="90"/>
      <c r="H8" s="90">
        <v>0.59899999999999998</v>
      </c>
      <c r="I8" s="90"/>
      <c r="J8" s="90"/>
      <c r="K8" s="90"/>
      <c r="L8" s="90"/>
      <c r="M8" s="90"/>
      <c r="N8" s="90"/>
      <c r="O8" s="90"/>
      <c r="P8" s="90">
        <v>0.625</v>
      </c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R8" s="90">
        <f t="shared" si="42"/>
        <v>0.625</v>
      </c>
      <c r="AS8" s="90">
        <f>SUM($B8:M8)</f>
        <v>1.5070000000000001</v>
      </c>
      <c r="AT8" s="89"/>
      <c r="AU8" s="88" t="s">
        <v>14</v>
      </c>
      <c r="AV8" s="90"/>
      <c r="AW8" s="90"/>
      <c r="AX8" s="90"/>
      <c r="AY8" s="90"/>
      <c r="AZ8" s="90"/>
      <c r="BA8" s="90"/>
      <c r="BB8" s="90"/>
      <c r="BC8" s="90"/>
      <c r="BD8" s="90"/>
      <c r="BE8" s="90">
        <v>1.2</v>
      </c>
      <c r="BF8" s="90">
        <v>10.901</v>
      </c>
      <c r="BG8" s="90">
        <v>2.4350000000000001</v>
      </c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>
        <f t="shared" si="43"/>
        <v>0</v>
      </c>
      <c r="CM8" s="90">
        <f t="shared" si="44"/>
        <v>14.536</v>
      </c>
      <c r="CN8" s="89"/>
      <c r="CO8" s="88" t="s">
        <v>70</v>
      </c>
      <c r="CP8" s="90"/>
      <c r="CQ8" s="90"/>
      <c r="CR8" s="90"/>
      <c r="CS8" s="90">
        <v>0.1</v>
      </c>
      <c r="CT8" s="90"/>
      <c r="CU8" s="90"/>
      <c r="CV8" s="90"/>
      <c r="CW8" s="90"/>
      <c r="DD8" s="90">
        <f t="shared" si="45"/>
        <v>0</v>
      </c>
      <c r="DE8" s="90">
        <f t="shared" si="46"/>
        <v>0.1</v>
      </c>
      <c r="DF8" s="89"/>
      <c r="DG8" s="88" t="s">
        <v>12</v>
      </c>
      <c r="DH8" s="90"/>
      <c r="DI8" s="90"/>
      <c r="DJ8" s="90"/>
      <c r="DK8" s="90"/>
      <c r="DL8" s="90">
        <v>3.9E-2</v>
      </c>
      <c r="DM8" s="90"/>
      <c r="DN8" s="90">
        <v>0.496</v>
      </c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>
        <v>1.857</v>
      </c>
      <c r="EA8" s="90">
        <v>8.3000000000000004E-2</v>
      </c>
      <c r="EB8" s="90"/>
      <c r="EC8" s="90"/>
      <c r="ED8" s="90"/>
      <c r="EE8" s="90"/>
      <c r="EF8" s="90">
        <v>3.581</v>
      </c>
      <c r="EG8" s="90"/>
      <c r="EH8" s="90"/>
      <c r="EI8" s="90">
        <v>2.012</v>
      </c>
      <c r="EJ8" s="90">
        <v>0.70099999999999996</v>
      </c>
      <c r="EK8" s="90">
        <v>0.28699999999999998</v>
      </c>
      <c r="EL8" s="90"/>
      <c r="EM8" s="90"/>
      <c r="EN8" s="90"/>
      <c r="EO8" s="90"/>
      <c r="EP8" s="90"/>
      <c r="EQ8" s="90"/>
      <c r="ER8" s="90"/>
      <c r="ES8" s="90"/>
      <c r="ET8" s="90"/>
      <c r="EU8" s="90"/>
      <c r="EV8" s="90"/>
      <c r="EW8" s="90"/>
      <c r="EX8" s="90">
        <f t="shared" si="47"/>
        <v>8.5210000000000008</v>
      </c>
      <c r="EY8" s="90">
        <f>ROUND(EX8*IFERROR(VLOOKUP($DG8,'3121% SY'!$A$2:$M$324,13,FALSE),0),3)</f>
        <v>1.9139999999999999</v>
      </c>
      <c r="EZ8" s="90">
        <f t="shared" si="48"/>
        <v>0.53500000000000003</v>
      </c>
      <c r="FA8" s="90">
        <f>ROUND(EZ8*IFERROR(VLOOKUP($DG8,'3121% SY'!$A$2:$M$324,13,FALSE),0),3)</f>
        <v>0.12</v>
      </c>
    </row>
    <row r="9" spans="1:157" x14ac:dyDescent="0.25">
      <c r="A9" s="88" t="s">
        <v>12</v>
      </c>
      <c r="B9" s="90"/>
      <c r="C9" s="90"/>
      <c r="D9" s="90"/>
      <c r="E9" s="90">
        <v>0.14000000000000001</v>
      </c>
      <c r="F9" s="90">
        <v>0.69199999999999995</v>
      </c>
      <c r="G9" s="90"/>
      <c r="H9" s="90"/>
      <c r="I9" s="90">
        <v>3.0310000000000001</v>
      </c>
      <c r="J9" s="90"/>
      <c r="K9" s="90"/>
      <c r="L9" s="90"/>
      <c r="M9" s="90"/>
      <c r="N9" s="90"/>
      <c r="O9" s="90"/>
      <c r="P9" s="90">
        <v>1.5</v>
      </c>
      <c r="Q9" s="90">
        <v>0.6</v>
      </c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>
        <v>1</v>
      </c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R9" s="90">
        <f t="shared" si="42"/>
        <v>3.1</v>
      </c>
      <c r="AS9" s="90">
        <f>SUM($B9:M9)</f>
        <v>3.863</v>
      </c>
      <c r="AT9" s="89"/>
      <c r="AU9" s="88" t="s">
        <v>23</v>
      </c>
      <c r="AV9" s="90"/>
      <c r="AW9" s="90"/>
      <c r="AX9" s="90"/>
      <c r="AY9" s="90"/>
      <c r="AZ9" s="90">
        <v>0.14699999999999999</v>
      </c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>
        <f t="shared" si="43"/>
        <v>0</v>
      </c>
      <c r="CM9" s="90">
        <f t="shared" si="44"/>
        <v>0.14699999999999999</v>
      </c>
      <c r="CN9" s="89"/>
      <c r="CO9" s="88" t="s">
        <v>79</v>
      </c>
      <c r="CP9" s="90">
        <v>0.66400000000000003</v>
      </c>
      <c r="CQ9" s="90"/>
      <c r="CR9" s="90"/>
      <c r="CS9" s="90"/>
      <c r="CT9" s="90"/>
      <c r="CU9" s="90"/>
      <c r="CV9" s="90"/>
      <c r="CW9" s="90"/>
      <c r="DD9" s="90">
        <f t="shared" si="45"/>
        <v>0</v>
      </c>
      <c r="DE9" s="90">
        <f t="shared" si="46"/>
        <v>0.66400000000000003</v>
      </c>
      <c r="DF9" s="89"/>
      <c r="DG9" s="88" t="s">
        <v>13</v>
      </c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>
        <v>0.60799999999999998</v>
      </c>
      <c r="EG9" s="90">
        <v>5.6000000000000001E-2</v>
      </c>
      <c r="EH9" s="90">
        <v>0.13600000000000001</v>
      </c>
      <c r="EI9" s="90">
        <v>0.16700000000000001</v>
      </c>
      <c r="EJ9" s="90">
        <v>0.16700000000000001</v>
      </c>
      <c r="EK9" s="90">
        <v>0.16700000000000001</v>
      </c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>
        <f t="shared" si="47"/>
        <v>1.3010000000000002</v>
      </c>
      <c r="EY9" s="90">
        <f>ROUND(EX9*IFERROR(VLOOKUP($DG9,'3121% SY'!$A$2:$M$324,13,FALSE),0),3)</f>
        <v>0.28199999999999997</v>
      </c>
      <c r="EZ9" s="90">
        <f t="shared" si="48"/>
        <v>0</v>
      </c>
      <c r="FA9" s="90">
        <f>ROUND(EZ9*IFERROR(VLOOKUP($DG9,'3121% SY'!$A$2:$M$324,13,FALSE),0),3)</f>
        <v>0</v>
      </c>
    </row>
    <row r="10" spans="1:157" x14ac:dyDescent="0.25">
      <c r="A10" s="88" t="s">
        <v>13</v>
      </c>
      <c r="B10" s="90"/>
      <c r="C10" s="90"/>
      <c r="D10" s="90"/>
      <c r="E10" s="90">
        <v>1.319</v>
      </c>
      <c r="F10" s="90">
        <v>7.5999999999999998E-2</v>
      </c>
      <c r="G10" s="90">
        <v>2E-3</v>
      </c>
      <c r="H10" s="90"/>
      <c r="I10" s="90"/>
      <c r="J10" s="90"/>
      <c r="K10" s="90"/>
      <c r="L10" s="90"/>
      <c r="M10" s="90"/>
      <c r="N10" s="90"/>
      <c r="O10" s="90">
        <v>0.499</v>
      </c>
      <c r="P10" s="90">
        <v>0.8</v>
      </c>
      <c r="Q10" s="90">
        <v>0.2</v>
      </c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R10" s="90">
        <f t="shared" si="42"/>
        <v>1.4989999999999999</v>
      </c>
      <c r="AS10" s="90">
        <f>SUM($B10:M10)</f>
        <v>1.397</v>
      </c>
      <c r="AT10" s="89"/>
      <c r="AU10" s="88" t="s">
        <v>667</v>
      </c>
      <c r="AV10" s="90">
        <v>0.124</v>
      </c>
      <c r="AW10" s="90">
        <v>0.20499999999999999</v>
      </c>
      <c r="AX10" s="90">
        <v>0.40200000000000002</v>
      </c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>
        <f t="shared" si="43"/>
        <v>0</v>
      </c>
      <c r="CM10" s="90">
        <f t="shared" si="44"/>
        <v>0.73099999999999998</v>
      </c>
      <c r="CN10" s="89"/>
      <c r="CO10" s="88" t="s">
        <v>102</v>
      </c>
      <c r="CP10" s="90"/>
      <c r="CQ10" s="90"/>
      <c r="CR10" s="90">
        <v>0.67700000000000005</v>
      </c>
      <c r="CS10" s="90"/>
      <c r="CT10" s="90"/>
      <c r="CU10" s="90"/>
      <c r="CV10" s="90"/>
      <c r="CW10" s="90"/>
      <c r="DD10" s="90">
        <f t="shared" si="45"/>
        <v>0</v>
      </c>
      <c r="DE10" s="90">
        <f t="shared" si="46"/>
        <v>0.67700000000000005</v>
      </c>
      <c r="DF10" s="89"/>
      <c r="DG10" s="88" t="s">
        <v>14</v>
      </c>
      <c r="DH10" s="90"/>
      <c r="DI10" s="90"/>
      <c r="DJ10" s="90"/>
      <c r="DK10" s="90"/>
      <c r="DL10" s="90">
        <v>6.077</v>
      </c>
      <c r="DM10" s="90"/>
      <c r="DN10" s="90"/>
      <c r="DO10" s="90">
        <v>5.7409999999999997</v>
      </c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>
        <v>2.754</v>
      </c>
      <c r="EA10" s="90">
        <v>0.24</v>
      </c>
      <c r="EB10" s="90">
        <v>0.126</v>
      </c>
      <c r="EC10" s="90"/>
      <c r="ED10" s="90"/>
      <c r="EE10" s="90"/>
      <c r="EF10" s="90">
        <v>16.623999999999999</v>
      </c>
      <c r="EG10" s="90">
        <v>1.7</v>
      </c>
      <c r="EH10" s="90">
        <v>1.3819999999999999</v>
      </c>
      <c r="EI10" s="90">
        <v>6.8739999999999997</v>
      </c>
      <c r="EJ10" s="90">
        <v>3.75</v>
      </c>
      <c r="EK10" s="90">
        <v>2.4460000000000002</v>
      </c>
      <c r="EL10" s="90">
        <v>0.05</v>
      </c>
      <c r="EM10" s="90"/>
      <c r="EN10" s="90">
        <v>0.1</v>
      </c>
      <c r="EO10" s="90">
        <v>2.4700000000000002</v>
      </c>
      <c r="EP10" s="90">
        <v>0.2</v>
      </c>
      <c r="EQ10" s="90">
        <v>0.05</v>
      </c>
      <c r="ER10" s="90"/>
      <c r="ES10" s="90"/>
      <c r="ET10" s="90"/>
      <c r="EU10" s="90"/>
      <c r="EV10" s="90"/>
      <c r="EW10" s="90"/>
      <c r="EX10" s="90">
        <f t="shared" si="47"/>
        <v>38.765999999999998</v>
      </c>
      <c r="EY10" s="90">
        <f>ROUND(EX10*IFERROR(VLOOKUP($DG10,'3121% SY'!$A$2:$M$324,13,FALSE),0),3)</f>
        <v>11.661</v>
      </c>
      <c r="EZ10" s="90">
        <f t="shared" si="48"/>
        <v>11.818</v>
      </c>
      <c r="FA10" s="90">
        <f>ROUND(EZ10*IFERROR(VLOOKUP($DG10,'3121% SY'!$A$2:$M$324,13,FALSE),0),3)</f>
        <v>3.5550000000000002</v>
      </c>
    </row>
    <row r="11" spans="1:157" x14ac:dyDescent="0.25">
      <c r="A11" s="88" t="s">
        <v>14</v>
      </c>
      <c r="B11" s="90"/>
      <c r="C11" s="90">
        <v>2.3610000000000002</v>
      </c>
      <c r="D11" s="90"/>
      <c r="E11" s="90"/>
      <c r="F11" s="90">
        <v>31.879000000000001</v>
      </c>
      <c r="G11" s="90"/>
      <c r="H11" s="90"/>
      <c r="I11" s="90">
        <v>4.2389999999999999</v>
      </c>
      <c r="J11" s="90"/>
      <c r="K11" s="90"/>
      <c r="L11" s="90"/>
      <c r="M11" s="90"/>
      <c r="N11" s="90"/>
      <c r="O11" s="90">
        <v>20.2</v>
      </c>
      <c r="P11" s="90">
        <v>11.894</v>
      </c>
      <c r="Q11" s="90">
        <v>6.8</v>
      </c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>
        <v>8.0860000000000003</v>
      </c>
      <c r="AE11" s="90">
        <v>3.35</v>
      </c>
      <c r="AF11" s="90">
        <v>7.0140000000000002</v>
      </c>
      <c r="AG11" s="90"/>
      <c r="AH11" s="90"/>
      <c r="AI11" s="90"/>
      <c r="AJ11" s="90"/>
      <c r="AK11" s="90"/>
      <c r="AL11" s="90"/>
      <c r="AM11" s="90"/>
      <c r="AN11" s="90"/>
      <c r="AO11" s="90"/>
      <c r="AR11" s="90">
        <f t="shared" si="42"/>
        <v>57.344000000000001</v>
      </c>
      <c r="AS11" s="90">
        <f>SUM($B11:M11)</f>
        <v>38.478999999999999</v>
      </c>
      <c r="AT11" s="89"/>
      <c r="AU11" s="88" t="s">
        <v>32</v>
      </c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>
        <v>1.8919999999999999</v>
      </c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>
        <f t="shared" si="43"/>
        <v>0</v>
      </c>
      <c r="CM11" s="90">
        <f t="shared" si="44"/>
        <v>1.8919999999999999</v>
      </c>
      <c r="CN11" s="89"/>
      <c r="CO11" s="88" t="s">
        <v>126</v>
      </c>
      <c r="CP11" s="90">
        <v>0.151</v>
      </c>
      <c r="CQ11" s="90"/>
      <c r="CR11" s="90"/>
      <c r="CS11" s="90">
        <v>7.0000000000000007E-2</v>
      </c>
      <c r="CT11" s="90"/>
      <c r="CU11" s="90"/>
      <c r="CV11" s="90"/>
      <c r="CW11" s="90"/>
      <c r="DD11" s="90">
        <f t="shared" si="45"/>
        <v>0</v>
      </c>
      <c r="DE11" s="90">
        <f t="shared" si="46"/>
        <v>0.221</v>
      </c>
      <c r="DF11" s="89"/>
      <c r="DG11" s="88" t="s">
        <v>15</v>
      </c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  <c r="EM11" s="90"/>
      <c r="EN11" s="90"/>
      <c r="EO11" s="90"/>
      <c r="EP11" s="90"/>
      <c r="EQ11" s="90"/>
      <c r="ER11" s="90"/>
      <c r="ES11" s="90"/>
      <c r="ET11" s="90"/>
      <c r="EU11" s="90">
        <v>0.5</v>
      </c>
      <c r="EV11" s="90"/>
      <c r="EW11" s="90"/>
      <c r="EX11" s="90">
        <f t="shared" si="47"/>
        <v>0.5</v>
      </c>
      <c r="EY11" s="90">
        <f>ROUND(EX11*IFERROR(VLOOKUP($DG11,'3121% SY'!$A$2:$M$324,13,FALSE),0),3)</f>
        <v>4.2000000000000003E-2</v>
      </c>
      <c r="EZ11" s="90">
        <f t="shared" si="48"/>
        <v>0</v>
      </c>
      <c r="FA11" s="90">
        <f>ROUND(EZ11*IFERROR(VLOOKUP($DG11,'3121% SY'!$A$2:$M$324,13,FALSE),0),3)</f>
        <v>0</v>
      </c>
    </row>
    <row r="12" spans="1:157" x14ac:dyDescent="0.25">
      <c r="A12" s="88" t="s">
        <v>15</v>
      </c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>
        <v>0.5</v>
      </c>
      <c r="AN12" s="90"/>
      <c r="AO12" s="90"/>
      <c r="AR12" s="90">
        <f t="shared" si="42"/>
        <v>0.5</v>
      </c>
      <c r="AS12" s="90">
        <f>SUM($B12:M12)</f>
        <v>0</v>
      </c>
      <c r="AT12" s="89"/>
      <c r="AU12" s="88" t="s">
        <v>39</v>
      </c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>
        <v>1.9039999999999999</v>
      </c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>
        <f t="shared" si="43"/>
        <v>0</v>
      </c>
      <c r="CM12" s="90">
        <f t="shared" si="44"/>
        <v>1.9039999999999999</v>
      </c>
      <c r="CN12" s="89"/>
      <c r="CO12" s="88" t="s">
        <v>139</v>
      </c>
      <c r="CP12" s="90">
        <v>3.4000000000000002E-2</v>
      </c>
      <c r="CQ12" s="90"/>
      <c r="CR12" s="90"/>
      <c r="CS12" s="90"/>
      <c r="CT12" s="90"/>
      <c r="CU12" s="90"/>
      <c r="CV12" s="90"/>
      <c r="CW12" s="90"/>
      <c r="DD12" s="90">
        <f t="shared" si="45"/>
        <v>0</v>
      </c>
      <c r="DE12" s="90">
        <f t="shared" si="46"/>
        <v>3.4000000000000002E-2</v>
      </c>
      <c r="DF12" s="89"/>
      <c r="DG12" s="88" t="s">
        <v>16</v>
      </c>
      <c r="DH12" s="90"/>
      <c r="DI12" s="90"/>
      <c r="DJ12" s="90"/>
      <c r="DK12" s="90"/>
      <c r="DL12" s="90"/>
      <c r="DM12" s="90"/>
      <c r="DN12" s="90"/>
      <c r="DO12" s="90">
        <v>1.2190000000000001</v>
      </c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>
        <v>0.4</v>
      </c>
      <c r="EA12" s="90"/>
      <c r="EB12" s="90"/>
      <c r="EC12" s="90"/>
      <c r="ED12" s="90"/>
      <c r="EE12" s="90"/>
      <c r="EF12" s="90"/>
      <c r="EG12" s="90"/>
      <c r="EH12" s="90"/>
      <c r="EI12" s="90">
        <v>0.47499999999999998</v>
      </c>
      <c r="EJ12" s="90">
        <v>0.20200000000000001</v>
      </c>
      <c r="EK12" s="90">
        <v>0.32300000000000001</v>
      </c>
      <c r="EL12" s="90"/>
      <c r="EM12" s="90"/>
      <c r="EN12" s="90"/>
      <c r="EO12" s="90"/>
      <c r="EP12" s="90"/>
      <c r="EQ12" s="90"/>
      <c r="ER12" s="90"/>
      <c r="ES12" s="90"/>
      <c r="ET12" s="90"/>
      <c r="EU12" s="90"/>
      <c r="EV12" s="90"/>
      <c r="EW12" s="90"/>
      <c r="EX12" s="90">
        <f t="shared" si="47"/>
        <v>1.4</v>
      </c>
      <c r="EY12" s="90">
        <f>ROUND(EX12*IFERROR(VLOOKUP($DG12,'3121% SY'!$A$2:$M$324,13,FALSE),0),3)</f>
        <v>0.29399999999999998</v>
      </c>
      <c r="EZ12" s="90">
        <f t="shared" si="48"/>
        <v>1.2190000000000001</v>
      </c>
      <c r="FA12" s="90">
        <f>ROUND(EZ12*IFERROR(VLOOKUP($DG12,'3121% SY'!$A$2:$M$324,13,FALSE),0),3)</f>
        <v>0.25600000000000001</v>
      </c>
    </row>
    <row r="13" spans="1:157" x14ac:dyDescent="0.25">
      <c r="A13" s="88" t="s">
        <v>16</v>
      </c>
      <c r="B13" s="90"/>
      <c r="C13" s="90"/>
      <c r="D13" s="90"/>
      <c r="E13" s="90"/>
      <c r="F13" s="90">
        <v>4.1239999999999997</v>
      </c>
      <c r="G13" s="90"/>
      <c r="H13" s="90"/>
      <c r="I13" s="90">
        <v>0.54800000000000004</v>
      </c>
      <c r="J13" s="90"/>
      <c r="K13" s="90"/>
      <c r="L13" s="90"/>
      <c r="M13" s="90"/>
      <c r="N13" s="90"/>
      <c r="O13" s="90">
        <v>1</v>
      </c>
      <c r="P13" s="90">
        <v>1.5069999999999999</v>
      </c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R13" s="90">
        <f t="shared" si="42"/>
        <v>2.5069999999999997</v>
      </c>
      <c r="AS13" s="90">
        <f>SUM($B13:M13)</f>
        <v>4.6719999999999997</v>
      </c>
      <c r="AT13" s="89"/>
      <c r="AU13" s="88" t="s">
        <v>65</v>
      </c>
      <c r="AV13" s="90"/>
      <c r="AW13" s="90"/>
      <c r="AX13" s="90"/>
      <c r="AY13" s="90"/>
      <c r="AZ13" s="90">
        <v>0.76900000000000002</v>
      </c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>
        <f t="shared" si="43"/>
        <v>0</v>
      </c>
      <c r="CM13" s="90">
        <f t="shared" si="44"/>
        <v>0.76900000000000002</v>
      </c>
      <c r="CN13" s="89"/>
      <c r="CO13" s="88" t="s">
        <v>156</v>
      </c>
      <c r="CP13" s="90"/>
      <c r="CQ13" s="90">
        <v>1.4E-2</v>
      </c>
      <c r="CR13" s="90"/>
      <c r="CS13" s="90"/>
      <c r="CT13" s="90"/>
      <c r="CU13" s="90"/>
      <c r="CV13" s="90"/>
      <c r="CW13" s="90"/>
      <c r="DD13" s="90">
        <f t="shared" si="45"/>
        <v>0</v>
      </c>
      <c r="DE13" s="90">
        <f t="shared" si="46"/>
        <v>1.4E-2</v>
      </c>
      <c r="DF13" s="89"/>
      <c r="DG13" s="88" t="s">
        <v>17</v>
      </c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>
        <v>1</v>
      </c>
      <c r="EG13" s="90"/>
      <c r="EH13" s="90"/>
      <c r="EI13" s="90">
        <v>1</v>
      </c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0">
        <f t="shared" si="47"/>
        <v>2</v>
      </c>
      <c r="EY13" s="90">
        <f>ROUND(EX13*IFERROR(VLOOKUP($DG13,'3121% SY'!$A$2:$M$324,13,FALSE),0),3)</f>
        <v>0.54100000000000004</v>
      </c>
      <c r="EZ13" s="90">
        <f t="shared" si="48"/>
        <v>0</v>
      </c>
      <c r="FA13" s="90">
        <f>ROUND(EZ13*IFERROR(VLOOKUP($DG13,'3121% SY'!$A$2:$M$324,13,FALSE),0),3)</f>
        <v>0</v>
      </c>
    </row>
    <row r="14" spans="1:157" x14ac:dyDescent="0.25">
      <c r="A14" s="88" t="s">
        <v>17</v>
      </c>
      <c r="B14" s="90"/>
      <c r="C14" s="90"/>
      <c r="D14" s="90"/>
      <c r="E14" s="90">
        <v>0.94099999999999995</v>
      </c>
      <c r="F14" s="90">
        <v>0.36799999999999999</v>
      </c>
      <c r="G14" s="90">
        <v>0.27500000000000002</v>
      </c>
      <c r="H14" s="90">
        <v>0.41299999999999998</v>
      </c>
      <c r="I14" s="90"/>
      <c r="J14" s="90"/>
      <c r="K14" s="90"/>
      <c r="L14" s="90"/>
      <c r="M14" s="90"/>
      <c r="N14" s="90"/>
      <c r="O14" s="90">
        <v>0.4</v>
      </c>
      <c r="P14" s="90">
        <v>0.8</v>
      </c>
      <c r="Q14" s="90">
        <v>0.4</v>
      </c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R14" s="90">
        <f t="shared" si="42"/>
        <v>1.6</v>
      </c>
      <c r="AS14" s="90">
        <f>SUM($B14:M14)</f>
        <v>1.9970000000000001</v>
      </c>
      <c r="AT14" s="89"/>
      <c r="AU14" s="88" t="s">
        <v>72</v>
      </c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>
        <v>1.4750000000000001</v>
      </c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>
        <f t="shared" si="43"/>
        <v>0</v>
      </c>
      <c r="CM14" s="90">
        <f t="shared" si="44"/>
        <v>1.4750000000000001</v>
      </c>
      <c r="CN14" s="89"/>
      <c r="CO14" s="88" t="s">
        <v>160</v>
      </c>
      <c r="CP14" s="90">
        <v>0.187</v>
      </c>
      <c r="CQ14" s="90"/>
      <c r="CR14" s="90"/>
      <c r="CS14" s="90"/>
      <c r="CT14" s="90"/>
      <c r="CU14" s="90"/>
      <c r="CV14" s="90"/>
      <c r="CW14" s="90"/>
      <c r="DD14" s="90">
        <f t="shared" si="45"/>
        <v>0</v>
      </c>
      <c r="DE14" s="90">
        <f t="shared" si="46"/>
        <v>0.187</v>
      </c>
      <c r="DF14" s="89"/>
      <c r="DG14" s="88" t="s">
        <v>18</v>
      </c>
      <c r="DH14" s="90"/>
      <c r="DI14" s="90"/>
      <c r="DJ14" s="90"/>
      <c r="DK14" s="90"/>
      <c r="DL14" s="90"/>
      <c r="DM14" s="90"/>
      <c r="DN14" s="90">
        <v>0.60599999999999998</v>
      </c>
      <c r="DO14" s="90">
        <v>1.246</v>
      </c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>
        <v>1</v>
      </c>
      <c r="EB14" s="90"/>
      <c r="EC14" s="90"/>
      <c r="ED14" s="90"/>
      <c r="EE14" s="90"/>
      <c r="EF14" s="90">
        <v>1.04</v>
      </c>
      <c r="EG14" s="90">
        <v>1.1599999999999999</v>
      </c>
      <c r="EH14" s="90">
        <v>0.8</v>
      </c>
      <c r="EI14" s="90"/>
      <c r="EJ14" s="90"/>
      <c r="EK14" s="90"/>
      <c r="EL14" s="90"/>
      <c r="EM14" s="90"/>
      <c r="EN14" s="90"/>
      <c r="EO14" s="90">
        <v>0.34399999999999997</v>
      </c>
      <c r="EP14" s="90">
        <v>0.31</v>
      </c>
      <c r="EQ14" s="90">
        <v>0.20599999999999999</v>
      </c>
      <c r="ER14" s="90"/>
      <c r="ES14" s="90"/>
      <c r="ET14" s="90"/>
      <c r="EU14" s="90"/>
      <c r="EV14" s="90"/>
      <c r="EW14" s="90"/>
      <c r="EX14" s="90">
        <f t="shared" si="47"/>
        <v>4.8600000000000003</v>
      </c>
      <c r="EY14" s="90">
        <f>ROUND(EX14*IFERROR(VLOOKUP($DG14,'3121% SY'!$A$2:$M$324,13,FALSE),0),3)</f>
        <v>1.365</v>
      </c>
      <c r="EZ14" s="90">
        <f t="shared" si="48"/>
        <v>1.8519999999999999</v>
      </c>
      <c r="FA14" s="90">
        <f>ROUND(EZ14*IFERROR(VLOOKUP($DG14,'3121% SY'!$A$2:$M$324,13,FALSE),0),3)</f>
        <v>0.52</v>
      </c>
    </row>
    <row r="15" spans="1:157" x14ac:dyDescent="0.25">
      <c r="A15" s="88" t="s">
        <v>18</v>
      </c>
      <c r="B15" s="90"/>
      <c r="C15" s="90"/>
      <c r="D15" s="90"/>
      <c r="E15" s="90">
        <v>7.3999999999999996E-2</v>
      </c>
      <c r="F15" s="90">
        <v>7.532</v>
      </c>
      <c r="G15" s="90"/>
      <c r="H15" s="90">
        <v>0.63900000000000001</v>
      </c>
      <c r="I15" s="90">
        <v>3.2559999999999998</v>
      </c>
      <c r="J15" s="90"/>
      <c r="K15" s="90"/>
      <c r="L15" s="90"/>
      <c r="M15" s="90"/>
      <c r="N15" s="90"/>
      <c r="O15" s="90">
        <v>3</v>
      </c>
      <c r="P15" s="90">
        <v>1.52</v>
      </c>
      <c r="Q15" s="90">
        <v>2</v>
      </c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R15" s="90">
        <f t="shared" si="42"/>
        <v>6.52</v>
      </c>
      <c r="AS15" s="90">
        <f>SUM($B15:M15)</f>
        <v>11.500999999999999</v>
      </c>
      <c r="AT15" s="89"/>
      <c r="AU15" s="88" t="s">
        <v>96</v>
      </c>
      <c r="AV15" s="90"/>
      <c r="AW15" s="90"/>
      <c r="AX15" s="90"/>
      <c r="AY15" s="90">
        <v>2.1219999999999999</v>
      </c>
      <c r="AZ15" s="90">
        <v>1.1970000000000001</v>
      </c>
      <c r="BA15" s="90">
        <v>0.54</v>
      </c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>
        <f t="shared" si="43"/>
        <v>0</v>
      </c>
      <c r="CM15" s="90">
        <f t="shared" si="44"/>
        <v>3.859</v>
      </c>
      <c r="CN15" s="89"/>
      <c r="CO15" s="88" t="s">
        <v>170</v>
      </c>
      <c r="CP15" s="90"/>
      <c r="CQ15" s="90"/>
      <c r="CR15" s="90"/>
      <c r="CS15" s="90"/>
      <c r="CT15" s="90"/>
      <c r="CU15" s="90"/>
      <c r="CV15" s="90">
        <v>2.5999999999999999E-2</v>
      </c>
      <c r="CW15" s="90"/>
      <c r="DD15" s="90">
        <f t="shared" si="45"/>
        <v>2.5999999999999999E-2</v>
      </c>
      <c r="DE15" s="90">
        <f t="shared" si="46"/>
        <v>0</v>
      </c>
      <c r="DF15" s="89"/>
      <c r="DG15" s="88" t="s">
        <v>19</v>
      </c>
      <c r="DH15" s="90"/>
      <c r="DI15" s="90"/>
      <c r="DJ15" s="90"/>
      <c r="DK15" s="90"/>
      <c r="DL15" s="90">
        <v>6.8129999999999997</v>
      </c>
      <c r="DM15" s="90"/>
      <c r="DN15" s="90"/>
      <c r="DO15" s="90">
        <v>5.6</v>
      </c>
      <c r="DP15" s="90"/>
      <c r="DQ15" s="90"/>
      <c r="DR15" s="90"/>
      <c r="DS15" s="90"/>
      <c r="DT15" s="90">
        <v>1</v>
      </c>
      <c r="DU15" s="90"/>
      <c r="DV15" s="90"/>
      <c r="DW15" s="90"/>
      <c r="DX15" s="90"/>
      <c r="DY15" s="90"/>
      <c r="DZ15" s="90">
        <v>8.2129999999999992</v>
      </c>
      <c r="EA15" s="90"/>
      <c r="EB15" s="90"/>
      <c r="EC15" s="90">
        <v>0.5</v>
      </c>
      <c r="ED15" s="90">
        <v>0.5</v>
      </c>
      <c r="EE15" s="90">
        <v>1</v>
      </c>
      <c r="EF15" s="90">
        <v>16.8</v>
      </c>
      <c r="EG15" s="90">
        <v>2</v>
      </c>
      <c r="EH15" s="90">
        <v>1.8</v>
      </c>
      <c r="EI15" s="90">
        <v>7.9</v>
      </c>
      <c r="EJ15" s="90">
        <v>4</v>
      </c>
      <c r="EK15" s="90">
        <v>2.5</v>
      </c>
      <c r="EL15" s="90"/>
      <c r="EM15" s="90"/>
      <c r="EN15" s="90"/>
      <c r="EO15" s="90">
        <v>4</v>
      </c>
      <c r="EP15" s="90"/>
      <c r="EQ15" s="90"/>
      <c r="ER15" s="90"/>
      <c r="ES15" s="90"/>
      <c r="ET15" s="90">
        <v>1</v>
      </c>
      <c r="EU15" s="90"/>
      <c r="EV15" s="90"/>
      <c r="EW15" s="90"/>
      <c r="EX15" s="90">
        <f t="shared" si="47"/>
        <v>51.213000000000001</v>
      </c>
      <c r="EY15" s="90">
        <f>ROUND(EX15*IFERROR(VLOOKUP($DG15,'3121% SY'!$A$2:$M$324,13,FALSE),0),3)</f>
        <v>13.760999999999999</v>
      </c>
      <c r="EZ15" s="90">
        <f t="shared" si="48"/>
        <v>12.413</v>
      </c>
      <c r="FA15" s="90">
        <f>ROUND(EZ15*IFERROR(VLOOKUP($DG15,'3121% SY'!$A$2:$M$324,13,FALSE),0),3)</f>
        <v>3.335</v>
      </c>
    </row>
    <row r="16" spans="1:157" x14ac:dyDescent="0.25">
      <c r="A16" s="88" t="s">
        <v>19</v>
      </c>
      <c r="B16" s="90"/>
      <c r="C16" s="90"/>
      <c r="D16" s="90"/>
      <c r="E16" s="90"/>
      <c r="F16" s="90">
        <v>3.645</v>
      </c>
      <c r="G16" s="90"/>
      <c r="H16" s="90"/>
      <c r="I16" s="90">
        <v>8.9109999999999996</v>
      </c>
      <c r="J16" s="90"/>
      <c r="K16" s="90"/>
      <c r="L16" s="90"/>
      <c r="M16" s="90"/>
      <c r="N16" s="90">
        <v>1</v>
      </c>
      <c r="O16" s="90">
        <v>11.445</v>
      </c>
      <c r="P16" s="90">
        <v>15</v>
      </c>
      <c r="Q16" s="90">
        <v>9.8000000000000007</v>
      </c>
      <c r="R16" s="90"/>
      <c r="S16" s="90"/>
      <c r="T16" s="90"/>
      <c r="U16" s="90">
        <v>0.5</v>
      </c>
      <c r="V16" s="90">
        <v>2.5</v>
      </c>
      <c r="W16" s="90">
        <v>1</v>
      </c>
      <c r="X16" s="90">
        <v>1</v>
      </c>
      <c r="Y16" s="90"/>
      <c r="Z16" s="90"/>
      <c r="AA16" s="90">
        <v>4.9000000000000004</v>
      </c>
      <c r="AB16" s="90"/>
      <c r="AC16" s="90">
        <v>0.5</v>
      </c>
      <c r="AD16" s="90">
        <v>9.6</v>
      </c>
      <c r="AE16" s="90">
        <v>3</v>
      </c>
      <c r="AF16" s="90">
        <v>3</v>
      </c>
      <c r="AG16" s="90"/>
      <c r="AH16" s="90"/>
      <c r="AI16" s="90"/>
      <c r="AJ16" s="90"/>
      <c r="AK16" s="90"/>
      <c r="AL16" s="90"/>
      <c r="AM16" s="90"/>
      <c r="AN16" s="90"/>
      <c r="AO16" s="90"/>
      <c r="AR16" s="90">
        <f t="shared" si="42"/>
        <v>63.245000000000005</v>
      </c>
      <c r="AS16" s="90">
        <f>SUM($B16:M16)</f>
        <v>12.555999999999999</v>
      </c>
      <c r="AT16" s="89"/>
      <c r="AU16" s="88" t="s">
        <v>97</v>
      </c>
      <c r="AV16" s="90"/>
      <c r="AW16" s="90"/>
      <c r="AX16" s="90"/>
      <c r="AY16" s="90"/>
      <c r="AZ16" s="90">
        <v>1</v>
      </c>
      <c r="BA16" s="90"/>
      <c r="BB16" s="90"/>
      <c r="BC16" s="90"/>
      <c r="BD16" s="90"/>
      <c r="BE16" s="90"/>
      <c r="BF16" s="90">
        <v>11.407</v>
      </c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>
        <f t="shared" si="43"/>
        <v>0</v>
      </c>
      <c r="CM16" s="90">
        <f t="shared" si="44"/>
        <v>12.407</v>
      </c>
      <c r="CN16" s="89"/>
      <c r="CO16" s="88" t="s">
        <v>194</v>
      </c>
      <c r="CP16" s="90"/>
      <c r="CQ16" s="90">
        <v>0.72399999999999998</v>
      </c>
      <c r="CR16" s="90"/>
      <c r="CS16" s="90"/>
      <c r="CT16" s="90"/>
      <c r="CU16" s="90"/>
      <c r="CV16" s="90"/>
      <c r="CW16" s="90"/>
      <c r="DD16" s="90">
        <f t="shared" si="45"/>
        <v>0</v>
      </c>
      <c r="DE16" s="90">
        <f t="shared" si="46"/>
        <v>0.72399999999999998</v>
      </c>
      <c r="DF16" s="89"/>
      <c r="DG16" s="88" t="s">
        <v>23</v>
      </c>
      <c r="DH16" s="90"/>
      <c r="DI16" s="90"/>
      <c r="DJ16" s="90"/>
      <c r="DK16" s="90"/>
      <c r="DL16" s="90"/>
      <c r="DM16" s="90"/>
      <c r="DN16" s="90"/>
      <c r="DO16" s="90"/>
      <c r="DP16" s="90"/>
      <c r="DQ16" s="90"/>
      <c r="DR16" s="90"/>
      <c r="DS16" s="90"/>
      <c r="DT16" s="90"/>
      <c r="DU16" s="90"/>
      <c r="DV16" s="90"/>
      <c r="DW16" s="90"/>
      <c r="DX16" s="90"/>
      <c r="DY16" s="90"/>
      <c r="DZ16" s="90">
        <v>0.25</v>
      </c>
      <c r="EA16" s="90">
        <v>0.15</v>
      </c>
      <c r="EB16" s="90">
        <v>0.32</v>
      </c>
      <c r="EC16" s="90"/>
      <c r="ED16" s="90"/>
      <c r="EE16" s="90"/>
      <c r="EF16" s="90">
        <v>0.63300000000000001</v>
      </c>
      <c r="EG16" s="90"/>
      <c r="EH16" s="90"/>
      <c r="EI16" s="90">
        <v>0.4</v>
      </c>
      <c r="EJ16" s="90">
        <v>0.6</v>
      </c>
      <c r="EK16" s="90"/>
      <c r="EL16" s="90"/>
      <c r="EM16" s="90"/>
      <c r="EN16" s="90"/>
      <c r="EO16" s="90"/>
      <c r="EP16" s="90"/>
      <c r="EQ16" s="90"/>
      <c r="ER16" s="90"/>
      <c r="ES16" s="90"/>
      <c r="ET16" s="90"/>
      <c r="EU16" s="90"/>
      <c r="EV16" s="90"/>
      <c r="EW16" s="90"/>
      <c r="EX16" s="90">
        <f t="shared" si="47"/>
        <v>2.3530000000000002</v>
      </c>
      <c r="EY16" s="90">
        <f>ROUND(EX16*IFERROR(VLOOKUP($DG16,'3121% SY'!$A$2:$M$324,13,FALSE),0),3)</f>
        <v>0.36099999999999999</v>
      </c>
      <c r="EZ16" s="90">
        <f t="shared" si="48"/>
        <v>0</v>
      </c>
      <c r="FA16" s="90">
        <f>ROUND(EZ16*IFERROR(VLOOKUP($DG16,'3121% SY'!$A$2:$M$324,13,FALSE),0),3)</f>
        <v>0</v>
      </c>
    </row>
    <row r="17" spans="1:157" x14ac:dyDescent="0.25">
      <c r="A17" s="88" t="s">
        <v>20</v>
      </c>
      <c r="B17" s="90"/>
      <c r="C17" s="90"/>
      <c r="D17" s="90"/>
      <c r="E17" s="90"/>
      <c r="F17" s="90">
        <v>0.92700000000000005</v>
      </c>
      <c r="G17" s="90"/>
      <c r="H17" s="90"/>
      <c r="I17" s="90">
        <v>0.67900000000000005</v>
      </c>
      <c r="J17" s="90"/>
      <c r="K17" s="90"/>
      <c r="L17" s="90"/>
      <c r="M17" s="90"/>
      <c r="N17" s="90"/>
      <c r="O17" s="90">
        <v>0.8</v>
      </c>
      <c r="P17" s="90">
        <v>0.3</v>
      </c>
      <c r="Q17" s="90">
        <v>0.43</v>
      </c>
      <c r="R17" s="90"/>
      <c r="S17" s="90"/>
      <c r="T17" s="90"/>
      <c r="U17" s="90"/>
      <c r="V17" s="90"/>
      <c r="W17" s="90"/>
      <c r="X17" s="90">
        <v>0.7</v>
      </c>
      <c r="Y17" s="90">
        <v>7.0000000000000007E-2</v>
      </c>
      <c r="Z17" s="90">
        <v>0.23</v>
      </c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R17" s="90">
        <f t="shared" si="42"/>
        <v>2.5299999999999998</v>
      </c>
      <c r="AS17" s="90">
        <f>SUM($B17:M17)</f>
        <v>1.6060000000000001</v>
      </c>
      <c r="AT17" s="89"/>
      <c r="AU17" s="88" t="s">
        <v>102</v>
      </c>
      <c r="AV17" s="90"/>
      <c r="AW17" s="90"/>
      <c r="AX17" s="90"/>
      <c r="AY17" s="90"/>
      <c r="AZ17" s="90">
        <v>0.16500000000000001</v>
      </c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>
        <f t="shared" si="43"/>
        <v>0</v>
      </c>
      <c r="CM17" s="90">
        <f t="shared" si="44"/>
        <v>0.16500000000000001</v>
      </c>
      <c r="CN17" s="89"/>
      <c r="CO17" s="88" t="s">
        <v>196</v>
      </c>
      <c r="CP17" s="90"/>
      <c r="CQ17" s="90"/>
      <c r="CR17" s="90"/>
      <c r="CS17" s="90">
        <v>0.15</v>
      </c>
      <c r="CT17" s="90"/>
      <c r="CU17" s="90"/>
      <c r="CV17" s="90"/>
      <c r="CW17" s="90"/>
      <c r="DD17" s="90">
        <f t="shared" si="45"/>
        <v>0</v>
      </c>
      <c r="DE17" s="90">
        <f t="shared" si="46"/>
        <v>0.15</v>
      </c>
      <c r="DF17" s="89"/>
      <c r="DG17" s="88" t="s">
        <v>24</v>
      </c>
      <c r="DH17" s="90"/>
      <c r="DI17" s="90"/>
      <c r="DJ17" s="90"/>
      <c r="DK17" s="90"/>
      <c r="DL17" s="90"/>
      <c r="DM17" s="90"/>
      <c r="DN17" s="90">
        <v>0.33</v>
      </c>
      <c r="DO17" s="90">
        <v>6.6000000000000003E-2</v>
      </c>
      <c r="DP17" s="90">
        <v>0.26400000000000001</v>
      </c>
      <c r="DQ17" s="90"/>
      <c r="DR17" s="90"/>
      <c r="DS17" s="90"/>
      <c r="DT17" s="90"/>
      <c r="DU17" s="90"/>
      <c r="DV17" s="90"/>
      <c r="DW17" s="90"/>
      <c r="DX17" s="90"/>
      <c r="DY17" s="90"/>
      <c r="DZ17" s="90">
        <v>0.80600000000000005</v>
      </c>
      <c r="EA17" s="90"/>
      <c r="EB17" s="90"/>
      <c r="EC17" s="90"/>
      <c r="ED17" s="90"/>
      <c r="EE17" s="90"/>
      <c r="EF17" s="90">
        <v>1.6220000000000001</v>
      </c>
      <c r="EG17" s="90"/>
      <c r="EH17" s="90"/>
      <c r="EI17" s="90">
        <v>1</v>
      </c>
      <c r="EJ17" s="90"/>
      <c r="EK17" s="90"/>
      <c r="EL17" s="90"/>
      <c r="EM17" s="90"/>
      <c r="EN17" s="90"/>
      <c r="EO17" s="90">
        <v>0.8</v>
      </c>
      <c r="EP17" s="90"/>
      <c r="EQ17" s="90"/>
      <c r="ER17" s="90"/>
      <c r="ES17" s="90"/>
      <c r="ET17" s="90"/>
      <c r="EU17" s="90"/>
      <c r="EV17" s="90"/>
      <c r="EW17" s="90"/>
      <c r="EX17" s="90">
        <f t="shared" si="47"/>
        <v>4.2279999999999998</v>
      </c>
      <c r="EY17" s="90">
        <f>ROUND(EX17*IFERROR(VLOOKUP($DG17,'3121% SY'!$A$2:$M$324,13,FALSE),0),3)</f>
        <v>0.64</v>
      </c>
      <c r="EZ17" s="90">
        <f t="shared" si="48"/>
        <v>0.66</v>
      </c>
      <c r="FA17" s="90">
        <f>ROUND(EZ17*IFERROR(VLOOKUP($DG17,'3121% SY'!$A$2:$M$324,13,FALSE),0),3)</f>
        <v>0.1</v>
      </c>
    </row>
    <row r="18" spans="1:157" x14ac:dyDescent="0.25">
      <c r="A18" s="88" t="s">
        <v>22</v>
      </c>
      <c r="B18" s="90"/>
      <c r="C18" s="90"/>
      <c r="D18" s="90"/>
      <c r="E18" s="90">
        <v>0.17199999999999999</v>
      </c>
      <c r="F18" s="90">
        <v>1.1779999999999999</v>
      </c>
      <c r="G18" s="90"/>
      <c r="H18" s="90"/>
      <c r="I18" s="90"/>
      <c r="J18" s="90"/>
      <c r="K18" s="90"/>
      <c r="L18" s="90"/>
      <c r="M18" s="90"/>
      <c r="N18" s="90"/>
      <c r="O18" s="90">
        <v>0.5</v>
      </c>
      <c r="P18" s="90">
        <v>0.3</v>
      </c>
      <c r="Q18" s="90">
        <v>0.2</v>
      </c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R18" s="90">
        <f t="shared" si="42"/>
        <v>1</v>
      </c>
      <c r="AS18" s="90">
        <f>SUM($B18:M18)</f>
        <v>1.3499999999999999</v>
      </c>
      <c r="AT18" s="89"/>
      <c r="AU18" s="88" t="s">
        <v>107</v>
      </c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>
        <v>6.742</v>
      </c>
      <c r="BG18" s="90">
        <v>3.71</v>
      </c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>
        <f t="shared" si="43"/>
        <v>0</v>
      </c>
      <c r="CM18" s="90">
        <f t="shared" si="44"/>
        <v>10.452</v>
      </c>
      <c r="CN18" s="89"/>
      <c r="CO18" s="88" t="s">
        <v>236</v>
      </c>
      <c r="CP18" s="90"/>
      <c r="CQ18" s="90"/>
      <c r="CR18" s="90"/>
      <c r="CS18" s="90"/>
      <c r="CT18" s="90"/>
      <c r="CU18" s="90"/>
      <c r="CV18" s="90">
        <v>7.1999999999999995E-2</v>
      </c>
      <c r="CW18" s="90"/>
      <c r="DD18" s="90">
        <f t="shared" si="45"/>
        <v>7.1999999999999995E-2</v>
      </c>
      <c r="DE18" s="90">
        <f t="shared" si="46"/>
        <v>0</v>
      </c>
      <c r="DF18" s="89"/>
      <c r="DG18" s="88" t="s">
        <v>25</v>
      </c>
      <c r="DH18" s="90"/>
      <c r="DI18" s="90"/>
      <c r="DJ18" s="90"/>
      <c r="DK18" s="90"/>
      <c r="DL18" s="90"/>
      <c r="DM18" s="90"/>
      <c r="DN18" s="90">
        <v>0.128</v>
      </c>
      <c r="DO18" s="90"/>
      <c r="DP18" s="90"/>
      <c r="DQ18" s="90"/>
      <c r="DR18" s="90"/>
      <c r="DS18" s="90"/>
      <c r="DT18" s="90"/>
      <c r="DU18" s="90"/>
      <c r="DV18" s="90"/>
      <c r="DW18" s="90"/>
      <c r="DX18" s="90"/>
      <c r="DY18" s="90"/>
      <c r="DZ18" s="90"/>
      <c r="EA18" s="90"/>
      <c r="EB18" s="90"/>
      <c r="EC18" s="90"/>
      <c r="ED18" s="90"/>
      <c r="EE18" s="90"/>
      <c r="EF18" s="90"/>
      <c r="EG18" s="90"/>
      <c r="EH18" s="90"/>
      <c r="EI18" s="90">
        <v>0.49</v>
      </c>
      <c r="EJ18" s="90">
        <v>0.22</v>
      </c>
      <c r="EK18" s="90">
        <v>0.22</v>
      </c>
      <c r="EL18" s="90"/>
      <c r="EM18" s="90"/>
      <c r="EN18" s="90"/>
      <c r="EO18" s="90">
        <v>0.8</v>
      </c>
      <c r="EP18" s="90"/>
      <c r="EQ18" s="90"/>
      <c r="ER18" s="90"/>
      <c r="ES18" s="90"/>
      <c r="ET18" s="90"/>
      <c r="EU18" s="90"/>
      <c r="EV18" s="90"/>
      <c r="EW18" s="90"/>
      <c r="EX18" s="90">
        <f t="shared" si="47"/>
        <v>1.73</v>
      </c>
      <c r="EY18" s="90">
        <f>ROUND(EX18*IFERROR(VLOOKUP($DG18,'3121% SY'!$A$2:$M$324,13,FALSE),0),3)</f>
        <v>0.33100000000000002</v>
      </c>
      <c r="EZ18" s="90">
        <f t="shared" si="48"/>
        <v>0.128</v>
      </c>
      <c r="FA18" s="90">
        <f>ROUND(EZ18*IFERROR(VLOOKUP($DG18,'3121% SY'!$A$2:$M$324,13,FALSE),0),3)</f>
        <v>2.4E-2</v>
      </c>
    </row>
    <row r="19" spans="1:157" x14ac:dyDescent="0.25">
      <c r="A19" s="88" t="s">
        <v>23</v>
      </c>
      <c r="B19" s="90"/>
      <c r="C19" s="90"/>
      <c r="D19" s="90"/>
      <c r="E19" s="90">
        <v>0.82799999999999996</v>
      </c>
      <c r="F19" s="90">
        <v>0.84799999999999998</v>
      </c>
      <c r="G19" s="90">
        <v>6.2E-2</v>
      </c>
      <c r="H19" s="90">
        <v>0.72699999999999998</v>
      </c>
      <c r="I19" s="90">
        <v>0.46400000000000002</v>
      </c>
      <c r="J19" s="90">
        <v>0.10299999999999999</v>
      </c>
      <c r="K19" s="90"/>
      <c r="L19" s="90"/>
      <c r="M19" s="90"/>
      <c r="N19" s="90"/>
      <c r="O19" s="90">
        <v>1.33</v>
      </c>
      <c r="P19" s="90">
        <v>0.61</v>
      </c>
      <c r="Q19" s="90">
        <v>0.67</v>
      </c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R19" s="90">
        <f t="shared" si="42"/>
        <v>2.61</v>
      </c>
      <c r="AS19" s="90">
        <f>SUM($B19:M19)</f>
        <v>3.032</v>
      </c>
      <c r="AT19" s="89"/>
      <c r="AU19" s="88" t="s">
        <v>108</v>
      </c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>
        <v>2.113</v>
      </c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>
        <f t="shared" si="43"/>
        <v>0</v>
      </c>
      <c r="CM19" s="90">
        <f t="shared" si="44"/>
        <v>2.113</v>
      </c>
      <c r="CN19" s="89"/>
      <c r="CO19" s="88" t="s">
        <v>252</v>
      </c>
      <c r="CP19" s="90">
        <v>0.11</v>
      </c>
      <c r="CQ19" s="90"/>
      <c r="CR19" s="90"/>
      <c r="CS19" s="90"/>
      <c r="CT19" s="90"/>
      <c r="CU19" s="90"/>
      <c r="CV19" s="90"/>
      <c r="CW19" s="90"/>
      <c r="DD19" s="90">
        <f t="shared" si="45"/>
        <v>0</v>
      </c>
      <c r="DE19" s="90">
        <f t="shared" si="46"/>
        <v>0.11</v>
      </c>
      <c r="DF19" s="89"/>
      <c r="DG19" s="88" t="s">
        <v>26</v>
      </c>
      <c r="DH19" s="90"/>
      <c r="DI19" s="90"/>
      <c r="DJ19" s="90"/>
      <c r="DK19" s="90"/>
      <c r="DL19" s="90"/>
      <c r="DM19" s="90"/>
      <c r="DN19" s="90"/>
      <c r="DO19" s="90">
        <v>1.3779999999999999</v>
      </c>
      <c r="DP19" s="90"/>
      <c r="DQ19" s="90"/>
      <c r="DR19" s="90"/>
      <c r="DS19" s="90"/>
      <c r="DT19" s="90"/>
      <c r="DU19" s="90"/>
      <c r="DV19" s="90"/>
      <c r="DW19" s="90"/>
      <c r="DX19" s="90"/>
      <c r="DY19" s="90"/>
      <c r="DZ19" s="90">
        <v>3.1</v>
      </c>
      <c r="EA19" s="90">
        <v>0.4</v>
      </c>
      <c r="EB19" s="90">
        <v>0.5</v>
      </c>
      <c r="EC19" s="90"/>
      <c r="ED19" s="90"/>
      <c r="EE19" s="90"/>
      <c r="EF19" s="90">
        <v>6.2930000000000001</v>
      </c>
      <c r="EG19" s="90">
        <v>1</v>
      </c>
      <c r="EH19" s="90">
        <v>1</v>
      </c>
      <c r="EI19" s="90">
        <v>5.2</v>
      </c>
      <c r="EJ19" s="90">
        <v>2.4</v>
      </c>
      <c r="EK19" s="90">
        <v>0.8</v>
      </c>
      <c r="EL19" s="90">
        <v>1.3</v>
      </c>
      <c r="EM19" s="90"/>
      <c r="EN19" s="90"/>
      <c r="EO19" s="90">
        <v>2.1</v>
      </c>
      <c r="EP19" s="90">
        <v>0.4</v>
      </c>
      <c r="EQ19" s="90">
        <v>0.5</v>
      </c>
      <c r="ER19" s="90">
        <v>1.71</v>
      </c>
      <c r="ES19" s="90">
        <v>0.54</v>
      </c>
      <c r="ET19" s="90">
        <v>0.75</v>
      </c>
      <c r="EU19" s="90"/>
      <c r="EV19" s="90"/>
      <c r="EW19" s="90"/>
      <c r="EX19" s="90">
        <f t="shared" si="47"/>
        <v>27.992999999999999</v>
      </c>
      <c r="EY19" s="90">
        <f>ROUND(EX19*IFERROR(VLOOKUP($DG19,'3121% SY'!$A$2:$M$324,13,FALSE),0),3)</f>
        <v>4.9039999999999999</v>
      </c>
      <c r="EZ19" s="90">
        <f t="shared" si="48"/>
        <v>1.3779999999999999</v>
      </c>
      <c r="FA19" s="90">
        <f>ROUND(EZ19*IFERROR(VLOOKUP($DG19,'3121% SY'!$A$2:$M$324,13,FALSE),0),3)</f>
        <v>0.24099999999999999</v>
      </c>
    </row>
    <row r="20" spans="1:157" x14ac:dyDescent="0.25">
      <c r="A20" s="88" t="s">
        <v>24</v>
      </c>
      <c r="B20" s="90"/>
      <c r="C20" s="90"/>
      <c r="D20" s="90"/>
      <c r="E20" s="90"/>
      <c r="F20" s="90">
        <v>0.17499999999999999</v>
      </c>
      <c r="G20" s="90"/>
      <c r="H20" s="90">
        <v>0.754</v>
      </c>
      <c r="I20" s="90"/>
      <c r="J20" s="90"/>
      <c r="K20" s="90"/>
      <c r="L20" s="90"/>
      <c r="M20" s="90"/>
      <c r="N20" s="90"/>
      <c r="O20" s="90">
        <v>1.6379999999999999</v>
      </c>
      <c r="P20" s="90">
        <v>1.8</v>
      </c>
      <c r="Q20" s="90">
        <v>0.7</v>
      </c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R20" s="90">
        <f t="shared" si="42"/>
        <v>4.1379999999999999</v>
      </c>
      <c r="AS20" s="90">
        <f>SUM($B20:M20)</f>
        <v>0.92900000000000005</v>
      </c>
      <c r="AT20" s="89"/>
      <c r="AU20" s="88" t="s">
        <v>116</v>
      </c>
      <c r="AV20" s="90"/>
      <c r="AW20" s="90"/>
      <c r="AX20" s="90"/>
      <c r="AY20" s="90"/>
      <c r="AZ20" s="90">
        <v>1.101</v>
      </c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>
        <f t="shared" si="43"/>
        <v>0</v>
      </c>
      <c r="CM20" s="90">
        <f t="shared" si="44"/>
        <v>1.101</v>
      </c>
      <c r="CN20" s="89"/>
      <c r="CO20" s="88" t="s">
        <v>262</v>
      </c>
      <c r="CP20" s="90">
        <v>0.58300000000000007</v>
      </c>
      <c r="CQ20" s="90">
        <v>0.504</v>
      </c>
      <c r="CR20" s="90"/>
      <c r="CS20" s="90"/>
      <c r="CT20" s="90"/>
      <c r="CU20" s="90"/>
      <c r="CV20" s="90">
        <v>0.223</v>
      </c>
      <c r="CW20" s="90"/>
      <c r="DD20" s="90">
        <f t="shared" si="45"/>
        <v>0.223</v>
      </c>
      <c r="DE20" s="90">
        <f t="shared" si="46"/>
        <v>1.0870000000000002</v>
      </c>
      <c r="DF20" s="89"/>
      <c r="DG20" s="88" t="s">
        <v>27</v>
      </c>
      <c r="DH20" s="90"/>
      <c r="DI20" s="90"/>
      <c r="DJ20" s="90"/>
      <c r="DK20" s="90"/>
      <c r="DL20" s="90"/>
      <c r="DM20" s="90"/>
      <c r="DN20" s="90"/>
      <c r="DO20" s="90">
        <v>1.2410000000000001</v>
      </c>
      <c r="DP20" s="90"/>
      <c r="DQ20" s="90"/>
      <c r="DR20" s="90"/>
      <c r="DS20" s="90"/>
      <c r="DT20" s="90"/>
      <c r="DU20" s="90"/>
      <c r="DV20" s="90"/>
      <c r="DW20" s="90"/>
      <c r="DX20" s="90"/>
      <c r="DY20" s="90"/>
      <c r="DZ20" s="90">
        <v>0.57199999999999995</v>
      </c>
      <c r="EA20" s="90">
        <v>9.5000000000000001E-2</v>
      </c>
      <c r="EB20" s="90">
        <v>0.33300000000000002</v>
      </c>
      <c r="EC20" s="90"/>
      <c r="ED20" s="90"/>
      <c r="EE20" s="90"/>
      <c r="EF20" s="90">
        <v>5</v>
      </c>
      <c r="EG20" s="90"/>
      <c r="EH20" s="90"/>
      <c r="EI20" s="90">
        <v>5</v>
      </c>
      <c r="EJ20" s="90"/>
      <c r="EK20" s="90"/>
      <c r="EL20" s="90"/>
      <c r="EM20" s="90"/>
      <c r="EN20" s="90"/>
      <c r="EO20" s="90"/>
      <c r="EP20" s="90"/>
      <c r="EQ20" s="90"/>
      <c r="ER20" s="90"/>
      <c r="ES20" s="90"/>
      <c r="ET20" s="90"/>
      <c r="EU20" s="90"/>
      <c r="EV20" s="90"/>
      <c r="EW20" s="90"/>
      <c r="EX20" s="90">
        <f t="shared" si="47"/>
        <v>11</v>
      </c>
      <c r="EY20" s="90">
        <f>ROUND(EX20*IFERROR(VLOOKUP($DG20,'3121% SY'!$A$2:$M$324,13,FALSE),0),3)</f>
        <v>2.8260000000000001</v>
      </c>
      <c r="EZ20" s="90">
        <f t="shared" si="48"/>
        <v>1.2410000000000001</v>
      </c>
      <c r="FA20" s="90">
        <f>ROUND(EZ20*IFERROR(VLOOKUP($DG20,'3121% SY'!$A$2:$M$324,13,FALSE),0),3)</f>
        <v>0.31900000000000001</v>
      </c>
    </row>
    <row r="21" spans="1:157" x14ac:dyDescent="0.25">
      <c r="A21" s="88" t="s">
        <v>25</v>
      </c>
      <c r="B21" s="90"/>
      <c r="C21" s="90"/>
      <c r="D21" s="90"/>
      <c r="E21" s="90"/>
      <c r="F21" s="90"/>
      <c r="G21" s="90"/>
      <c r="H21" s="90">
        <v>0.39200000000000002</v>
      </c>
      <c r="I21" s="90">
        <v>0.20599999999999999</v>
      </c>
      <c r="J21" s="90">
        <v>0.18099999999999999</v>
      </c>
      <c r="K21" s="90"/>
      <c r="L21" s="90"/>
      <c r="M21" s="90"/>
      <c r="N21" s="90"/>
      <c r="O21" s="90">
        <v>1.3169999999999999</v>
      </c>
      <c r="P21" s="90">
        <v>1</v>
      </c>
      <c r="Q21" s="90">
        <v>0.63300000000000001</v>
      </c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R21" s="90">
        <f t="shared" si="42"/>
        <v>2.95</v>
      </c>
      <c r="AS21" s="90">
        <f>SUM($B21:M21)</f>
        <v>0.77899999999999991</v>
      </c>
      <c r="AT21" s="89"/>
      <c r="AU21" s="88" t="s">
        <v>148</v>
      </c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>
        <v>1.462</v>
      </c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>
        <f t="shared" si="43"/>
        <v>0</v>
      </c>
      <c r="CM21" s="90">
        <f t="shared" si="44"/>
        <v>1.462</v>
      </c>
      <c r="CN21" s="89"/>
      <c r="CO21" s="88" t="s">
        <v>270</v>
      </c>
      <c r="CP21" s="90">
        <v>4.5999999999999999E-2</v>
      </c>
      <c r="CQ21" s="90"/>
      <c r="CR21" s="90"/>
      <c r="CS21" s="90"/>
      <c r="CT21" s="90"/>
      <c r="CU21" s="90"/>
      <c r="CV21" s="90"/>
      <c r="CW21" s="90"/>
      <c r="DD21" s="90">
        <f t="shared" si="45"/>
        <v>0</v>
      </c>
      <c r="DE21" s="90">
        <f t="shared" si="46"/>
        <v>4.5999999999999999E-2</v>
      </c>
      <c r="DF21" s="89"/>
      <c r="DG21" s="88" t="s">
        <v>29</v>
      </c>
      <c r="DH21" s="90"/>
      <c r="DI21" s="90"/>
      <c r="DJ21" s="90"/>
      <c r="DK21" s="90"/>
      <c r="DL21" s="90">
        <v>2.8090000000000002</v>
      </c>
      <c r="DM21" s="90"/>
      <c r="DN21" s="90"/>
      <c r="DO21" s="90">
        <v>1.4219999999999999</v>
      </c>
      <c r="DP21" s="90"/>
      <c r="DQ21" s="90"/>
      <c r="DR21" s="90"/>
      <c r="DS21" s="90"/>
      <c r="DT21" s="90"/>
      <c r="DU21" s="90"/>
      <c r="DV21" s="90"/>
      <c r="DW21" s="90"/>
      <c r="DX21" s="90"/>
      <c r="DY21" s="90"/>
      <c r="DZ21" s="90"/>
      <c r="EA21" s="90"/>
      <c r="EB21" s="90"/>
      <c r="EC21" s="90"/>
      <c r="ED21" s="90"/>
      <c r="EE21" s="90"/>
      <c r="EF21" s="90">
        <v>2.6259999999999999</v>
      </c>
      <c r="EG21" s="90"/>
      <c r="EH21" s="90"/>
      <c r="EI21" s="90">
        <v>2.9950000000000001</v>
      </c>
      <c r="EJ21" s="90"/>
      <c r="EK21" s="90"/>
      <c r="EL21" s="90">
        <v>0.12</v>
      </c>
      <c r="EM21" s="90"/>
      <c r="EN21" s="90"/>
      <c r="EO21" s="90">
        <v>1</v>
      </c>
      <c r="EP21" s="90"/>
      <c r="EQ21" s="90"/>
      <c r="ER21" s="90"/>
      <c r="ES21" s="90"/>
      <c r="ET21" s="90"/>
      <c r="EU21" s="90"/>
      <c r="EV21" s="90"/>
      <c r="EW21" s="90"/>
      <c r="EX21" s="90">
        <f t="shared" si="47"/>
        <v>6.7410000000000005</v>
      </c>
      <c r="EY21" s="90">
        <f>ROUND(EX21*IFERROR(VLOOKUP($DG21,'3121% SY'!$A$2:$M$324,13,FALSE),0),3)</f>
        <v>1.0309999999999999</v>
      </c>
      <c r="EZ21" s="90">
        <f t="shared" si="48"/>
        <v>4.2309999999999999</v>
      </c>
      <c r="FA21" s="90">
        <f>ROUND(EZ21*IFERROR(VLOOKUP($DG21,'3121% SY'!$A$2:$M$324,13,FALSE),0),3)</f>
        <v>0.64700000000000002</v>
      </c>
    </row>
    <row r="22" spans="1:157" x14ac:dyDescent="0.25">
      <c r="A22" s="88" t="s">
        <v>26</v>
      </c>
      <c r="B22" s="90"/>
      <c r="C22" s="90">
        <v>1.0229999999999999</v>
      </c>
      <c r="D22" s="90"/>
      <c r="E22" s="90"/>
      <c r="F22" s="90"/>
      <c r="G22" s="90"/>
      <c r="H22" s="90"/>
      <c r="I22" s="90">
        <v>0.36699999999999999</v>
      </c>
      <c r="J22" s="90"/>
      <c r="K22" s="90"/>
      <c r="L22" s="90">
        <v>1.343</v>
      </c>
      <c r="M22" s="90"/>
      <c r="N22" s="90"/>
      <c r="O22" s="90">
        <v>6.6210000000000004</v>
      </c>
      <c r="P22" s="90">
        <v>3.597</v>
      </c>
      <c r="Q22" s="90">
        <v>2.9020000000000001</v>
      </c>
      <c r="R22" s="90"/>
      <c r="S22" s="90"/>
      <c r="T22" s="90"/>
      <c r="U22" s="90"/>
      <c r="V22" s="90"/>
      <c r="W22" s="90"/>
      <c r="X22" s="90">
        <v>1</v>
      </c>
      <c r="Y22" s="90"/>
      <c r="Z22" s="90"/>
      <c r="AA22" s="90"/>
      <c r="AB22" s="90"/>
      <c r="AC22" s="90"/>
      <c r="AD22" s="90">
        <v>2.5</v>
      </c>
      <c r="AE22" s="90">
        <v>2.2999999999999998</v>
      </c>
      <c r="AF22" s="90">
        <v>1.5</v>
      </c>
      <c r="AG22" s="90"/>
      <c r="AH22" s="90"/>
      <c r="AI22" s="90"/>
      <c r="AJ22" s="90"/>
      <c r="AK22" s="90"/>
      <c r="AL22" s="90"/>
      <c r="AM22" s="90"/>
      <c r="AN22" s="90"/>
      <c r="AO22" s="90"/>
      <c r="AR22" s="90">
        <f t="shared" si="42"/>
        <v>20.420000000000002</v>
      </c>
      <c r="AS22" s="90">
        <f>SUM($B22:M22)</f>
        <v>2.7329999999999997</v>
      </c>
      <c r="AT22" s="89"/>
      <c r="AU22" s="88" t="s">
        <v>161</v>
      </c>
      <c r="AV22" s="90"/>
      <c r="AW22" s="90"/>
      <c r="AX22" s="90"/>
      <c r="AY22" s="90"/>
      <c r="AZ22" s="90">
        <v>1.681</v>
      </c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>
        <f t="shared" si="43"/>
        <v>0</v>
      </c>
      <c r="CM22" s="90">
        <f t="shared" si="44"/>
        <v>1.681</v>
      </c>
      <c r="CN22" s="89"/>
      <c r="CO22" s="88" t="s">
        <v>272</v>
      </c>
      <c r="CP22" s="90"/>
      <c r="CQ22" s="90"/>
      <c r="CR22" s="90"/>
      <c r="CS22" s="90"/>
      <c r="CT22" s="90"/>
      <c r="CU22" s="90">
        <v>0.5</v>
      </c>
      <c r="CV22" s="90"/>
      <c r="CW22" s="90"/>
      <c r="DD22" s="90">
        <f t="shared" si="45"/>
        <v>0.5</v>
      </c>
      <c r="DE22" s="90">
        <f t="shared" si="46"/>
        <v>0</v>
      </c>
      <c r="DF22" s="89"/>
      <c r="DG22" s="88" t="s">
        <v>31</v>
      </c>
      <c r="DH22" s="90"/>
      <c r="DI22" s="90"/>
      <c r="DJ22" s="90"/>
      <c r="DK22" s="90"/>
      <c r="DL22" s="90"/>
      <c r="DM22" s="90"/>
      <c r="DN22" s="90"/>
      <c r="DO22" s="90">
        <v>7.0000000000000007E-2</v>
      </c>
      <c r="DP22" s="90"/>
      <c r="DQ22" s="90"/>
      <c r="DR22" s="90"/>
      <c r="DS22" s="90"/>
      <c r="DT22" s="90"/>
      <c r="DU22" s="90"/>
      <c r="DV22" s="90"/>
      <c r="DW22" s="90"/>
      <c r="DX22" s="90"/>
      <c r="DY22" s="90"/>
      <c r="DZ22" s="90">
        <v>0.65400000000000003</v>
      </c>
      <c r="EA22" s="90">
        <v>0.13800000000000001</v>
      </c>
      <c r="EB22" s="90">
        <v>0.104</v>
      </c>
      <c r="EC22" s="90"/>
      <c r="ED22" s="90"/>
      <c r="EE22" s="90"/>
      <c r="EF22" s="90">
        <v>0.01</v>
      </c>
      <c r="EG22" s="90">
        <v>2E-3</v>
      </c>
      <c r="EH22" s="90"/>
      <c r="EI22" s="90"/>
      <c r="EJ22" s="90"/>
      <c r="EK22" s="90"/>
      <c r="EL22" s="90"/>
      <c r="EM22" s="90"/>
      <c r="EN22" s="90"/>
      <c r="EO22" s="90"/>
      <c r="EP22" s="90"/>
      <c r="EQ22" s="90"/>
      <c r="ER22" s="90"/>
      <c r="ES22" s="90"/>
      <c r="ET22" s="90"/>
      <c r="EU22" s="90">
        <v>0.33</v>
      </c>
      <c r="EV22" s="90">
        <v>0.72299999999999998</v>
      </c>
      <c r="EW22" s="90">
        <v>0.20899999999999999</v>
      </c>
      <c r="EX22" s="90">
        <f t="shared" si="47"/>
        <v>2.17</v>
      </c>
      <c r="EY22" s="90">
        <f>ROUND(EX22*IFERROR(VLOOKUP($DG22,'3121% SY'!$A$2:$M$324,13,FALSE),0),3)</f>
        <v>0.32500000000000001</v>
      </c>
      <c r="EZ22" s="90">
        <f t="shared" si="48"/>
        <v>7.0000000000000007E-2</v>
      </c>
      <c r="FA22" s="90">
        <f>ROUND(EZ22*IFERROR(VLOOKUP($DG22,'3121% SY'!$A$2:$M$324,13,FALSE),0),3)</f>
        <v>0.01</v>
      </c>
    </row>
    <row r="23" spans="1:157" x14ac:dyDescent="0.25">
      <c r="A23" s="88" t="s">
        <v>667</v>
      </c>
      <c r="B23" s="90"/>
      <c r="C23" s="90"/>
      <c r="D23" s="90"/>
      <c r="E23" s="90"/>
      <c r="F23" s="90"/>
      <c r="G23" s="90"/>
      <c r="H23" s="90">
        <v>0.1</v>
      </c>
      <c r="I23" s="90">
        <v>0.16300000000000001</v>
      </c>
      <c r="J23" s="90">
        <v>0.32200000000000001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R23" s="90">
        <f t="shared" si="42"/>
        <v>0</v>
      </c>
      <c r="AS23" s="90">
        <f>SUM($B23:M23)</f>
        <v>0.58499999999999996</v>
      </c>
      <c r="AT23" s="89"/>
      <c r="AU23" s="88" t="s">
        <v>182</v>
      </c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>
        <v>0.38500000000000001</v>
      </c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>
        <f t="shared" si="43"/>
        <v>0</v>
      </c>
      <c r="CM23" s="90">
        <f t="shared" si="44"/>
        <v>0.38500000000000001</v>
      </c>
      <c r="CN23" s="89"/>
      <c r="CO23" s="88" t="s">
        <v>280</v>
      </c>
      <c r="CP23" s="90"/>
      <c r="CQ23" s="90"/>
      <c r="CR23" s="90"/>
      <c r="CS23" s="90">
        <v>0.125</v>
      </c>
      <c r="CT23" s="90"/>
      <c r="CU23" s="90"/>
      <c r="CV23" s="90"/>
      <c r="CW23" s="90"/>
      <c r="DD23" s="90">
        <f t="shared" si="45"/>
        <v>0</v>
      </c>
      <c r="DE23" s="90">
        <f t="shared" si="46"/>
        <v>0.125</v>
      </c>
      <c r="DF23" s="89"/>
      <c r="DG23" s="88" t="s">
        <v>32</v>
      </c>
      <c r="DH23" s="90"/>
      <c r="DI23" s="90"/>
      <c r="DJ23" s="90"/>
      <c r="DK23" s="90"/>
      <c r="DL23" s="90"/>
      <c r="DM23" s="90"/>
      <c r="DN23" s="90"/>
      <c r="DO23" s="90">
        <v>2.2959999999999998</v>
      </c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>
        <v>16.585999999999999</v>
      </c>
      <c r="EA23" s="90">
        <v>1.0489999999999999</v>
      </c>
      <c r="EB23" s="90">
        <v>1.998</v>
      </c>
      <c r="EC23" s="90"/>
      <c r="ED23" s="90"/>
      <c r="EE23" s="90"/>
      <c r="EF23" s="90">
        <v>34.188000000000002</v>
      </c>
      <c r="EG23" s="90">
        <v>7.9340000000000002</v>
      </c>
      <c r="EH23" s="90">
        <v>4.9930000000000003</v>
      </c>
      <c r="EI23" s="90">
        <v>12.129</v>
      </c>
      <c r="EJ23" s="90">
        <v>6.8479999999999999</v>
      </c>
      <c r="EK23" s="90">
        <v>3.22</v>
      </c>
      <c r="EL23" s="90">
        <v>0.05</v>
      </c>
      <c r="EM23" s="90">
        <v>2.7E-2</v>
      </c>
      <c r="EN23" s="90">
        <v>2.3E-2</v>
      </c>
      <c r="EO23" s="90">
        <v>2.823</v>
      </c>
      <c r="EP23" s="90">
        <v>0.23699999999999999</v>
      </c>
      <c r="EQ23" s="90">
        <v>0.34</v>
      </c>
      <c r="ER23" s="90"/>
      <c r="ES23" s="90"/>
      <c r="ET23" s="90"/>
      <c r="EU23" s="90"/>
      <c r="EV23" s="90"/>
      <c r="EW23" s="90"/>
      <c r="EX23" s="90">
        <f t="shared" si="47"/>
        <v>92.444999999999979</v>
      </c>
      <c r="EY23" s="90">
        <f>ROUND(EX23*IFERROR(VLOOKUP($DG23,'3121% SY'!$A$2:$M$324,13,FALSE),0),3)</f>
        <v>25.597999999999999</v>
      </c>
      <c r="EZ23" s="90">
        <f t="shared" si="48"/>
        <v>2.2959999999999998</v>
      </c>
      <c r="FA23" s="90">
        <f>ROUND(EZ23*IFERROR(VLOOKUP($DG23,'3121% SY'!$A$2:$M$324,13,FALSE),0),3)</f>
        <v>0.63600000000000001</v>
      </c>
    </row>
    <row r="24" spans="1:157" x14ac:dyDescent="0.25">
      <c r="A24" s="88" t="s">
        <v>27</v>
      </c>
      <c r="B24" s="90"/>
      <c r="C24" s="90"/>
      <c r="D24" s="90"/>
      <c r="E24" s="90">
        <v>0.88800000000000001</v>
      </c>
      <c r="F24" s="90">
        <v>2.7789999999999999</v>
      </c>
      <c r="G24" s="90"/>
      <c r="H24" s="90"/>
      <c r="I24" s="90">
        <v>1.335</v>
      </c>
      <c r="J24" s="90"/>
      <c r="K24" s="90"/>
      <c r="L24" s="90"/>
      <c r="M24" s="90"/>
      <c r="N24" s="90"/>
      <c r="O24" s="90">
        <v>3</v>
      </c>
      <c r="P24" s="90">
        <v>3.55</v>
      </c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>
        <v>3</v>
      </c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R24" s="90">
        <f t="shared" si="42"/>
        <v>9.5500000000000007</v>
      </c>
      <c r="AS24" s="90">
        <f>SUM($B24:M24)</f>
        <v>5.0019999999999998</v>
      </c>
      <c r="AT24" s="89"/>
      <c r="AU24" s="88" t="s">
        <v>183</v>
      </c>
      <c r="AV24" s="90"/>
      <c r="AW24" s="90"/>
      <c r="AX24" s="90"/>
      <c r="AY24" s="90"/>
      <c r="AZ24" s="90">
        <v>0.2</v>
      </c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>
        <f t="shared" si="43"/>
        <v>0</v>
      </c>
      <c r="CM24" s="90">
        <f t="shared" si="44"/>
        <v>0.2</v>
      </c>
      <c r="CN24" s="89"/>
      <c r="CO24" s="88" t="s">
        <v>290</v>
      </c>
      <c r="CP24" s="90">
        <v>6.9000000000000006E-2</v>
      </c>
      <c r="CQ24" s="90"/>
      <c r="CR24" s="90"/>
      <c r="CS24" s="90"/>
      <c r="CT24" s="90"/>
      <c r="CU24" s="90"/>
      <c r="CV24" s="90"/>
      <c r="CW24" s="90"/>
      <c r="DD24" s="90">
        <f t="shared" si="45"/>
        <v>0</v>
      </c>
      <c r="DE24" s="90">
        <f t="shared" si="46"/>
        <v>6.9000000000000006E-2</v>
      </c>
      <c r="DF24" s="89"/>
      <c r="DG24" s="88" t="s">
        <v>33</v>
      </c>
      <c r="DH24" s="90"/>
      <c r="DI24" s="90"/>
      <c r="DJ24" s="90"/>
      <c r="DK24" s="90"/>
      <c r="DL24" s="90"/>
      <c r="DM24" s="90"/>
      <c r="DN24" s="90"/>
      <c r="DO24" s="90"/>
      <c r="DP24" s="90"/>
      <c r="DQ24" s="90"/>
      <c r="DR24" s="90"/>
      <c r="DS24" s="90"/>
      <c r="DT24" s="90"/>
      <c r="DU24" s="90"/>
      <c r="DV24" s="90"/>
      <c r="DW24" s="90"/>
      <c r="DX24" s="90"/>
      <c r="DY24" s="90"/>
      <c r="DZ24" s="90">
        <v>3</v>
      </c>
      <c r="EA24" s="90"/>
      <c r="EB24" s="90"/>
      <c r="EC24" s="90">
        <v>0.6</v>
      </c>
      <c r="ED24" s="90"/>
      <c r="EE24" s="90"/>
      <c r="EF24" s="90"/>
      <c r="EG24" s="90"/>
      <c r="EH24" s="90"/>
      <c r="EI24" s="90">
        <v>0.95</v>
      </c>
      <c r="EJ24" s="90">
        <v>0.45</v>
      </c>
      <c r="EK24" s="90">
        <v>0.5</v>
      </c>
      <c r="EL24" s="90"/>
      <c r="EM24" s="90"/>
      <c r="EN24" s="90"/>
      <c r="EO24" s="90">
        <v>0.4</v>
      </c>
      <c r="EP24" s="90"/>
      <c r="EQ24" s="90"/>
      <c r="ER24" s="90"/>
      <c r="ES24" s="90"/>
      <c r="ET24" s="90"/>
      <c r="EU24" s="90"/>
      <c r="EV24" s="90"/>
      <c r="EW24" s="90"/>
      <c r="EX24" s="90">
        <f t="shared" si="47"/>
        <v>5.9</v>
      </c>
      <c r="EY24" s="90">
        <f>ROUND(EX24*IFERROR(VLOOKUP($DG24,'3121% SY'!$A$2:$M$324,13,FALSE),0),3)</f>
        <v>0.94899999999999995</v>
      </c>
      <c r="EZ24" s="90">
        <f t="shared" si="48"/>
        <v>0</v>
      </c>
      <c r="FA24" s="90">
        <f>ROUND(EZ24*IFERROR(VLOOKUP($DG24,'3121% SY'!$A$2:$M$324,13,FALSE),0),3)</f>
        <v>0</v>
      </c>
    </row>
    <row r="25" spans="1:157" x14ac:dyDescent="0.25">
      <c r="A25" s="88" t="s">
        <v>28</v>
      </c>
      <c r="B25" s="90"/>
      <c r="C25" s="90"/>
      <c r="D25" s="90"/>
      <c r="E25" s="90"/>
      <c r="F25" s="90">
        <v>0.26400000000000001</v>
      </c>
      <c r="G25" s="90"/>
      <c r="H25" s="90"/>
      <c r="I25" s="90"/>
      <c r="J25" s="90"/>
      <c r="K25" s="90"/>
      <c r="L25" s="90"/>
      <c r="M25" s="90"/>
      <c r="N25" s="90"/>
      <c r="O25" s="90"/>
      <c r="P25" s="90">
        <v>1</v>
      </c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>
        <v>1.1259999999999999</v>
      </c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R25" s="90">
        <f t="shared" si="42"/>
        <v>2.1259999999999999</v>
      </c>
      <c r="AS25" s="90">
        <f>SUM($B25:M25)</f>
        <v>0.26400000000000001</v>
      </c>
      <c r="AT25" s="89"/>
      <c r="AU25" s="88" t="s">
        <v>185</v>
      </c>
      <c r="AV25" s="90"/>
      <c r="AW25" s="90"/>
      <c r="AX25" s="90"/>
      <c r="AY25" s="90">
        <v>1.3</v>
      </c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>
        <f t="shared" si="43"/>
        <v>0</v>
      </c>
      <c r="CM25" s="90">
        <f t="shared" si="44"/>
        <v>1.3</v>
      </c>
      <c r="CN25" s="89"/>
      <c r="CO25" s="88" t="s">
        <v>292</v>
      </c>
      <c r="CP25" s="90"/>
      <c r="CQ25" s="90"/>
      <c r="CR25" s="90"/>
      <c r="CS25" s="90"/>
      <c r="CT25" s="90"/>
      <c r="CU25" s="90"/>
      <c r="CV25" s="90"/>
      <c r="CW25" s="90">
        <v>0.36</v>
      </c>
      <c r="DD25" s="90">
        <f t="shared" si="45"/>
        <v>0.36</v>
      </c>
      <c r="DE25" s="90">
        <f t="shared" si="46"/>
        <v>0</v>
      </c>
      <c r="DF25" s="89"/>
      <c r="DG25" s="88" t="s">
        <v>34</v>
      </c>
      <c r="DH25" s="90"/>
      <c r="DI25" s="90"/>
      <c r="DJ25" s="90"/>
      <c r="DK25" s="90"/>
      <c r="DL25" s="90"/>
      <c r="DM25" s="90"/>
      <c r="DN25" s="90"/>
      <c r="DO25" s="90"/>
      <c r="DP25" s="90"/>
      <c r="DQ25" s="90"/>
      <c r="DR25" s="90"/>
      <c r="DS25" s="90"/>
      <c r="DT25" s="90"/>
      <c r="DU25" s="90"/>
      <c r="DV25" s="90"/>
      <c r="DW25" s="90"/>
      <c r="DX25" s="90"/>
      <c r="DY25" s="90"/>
      <c r="DZ25" s="90"/>
      <c r="EA25" s="90"/>
      <c r="EB25" s="90"/>
      <c r="EC25" s="90"/>
      <c r="ED25" s="90"/>
      <c r="EE25" s="90"/>
      <c r="EF25" s="90">
        <v>2.59</v>
      </c>
      <c r="EG25" s="90">
        <v>0.22</v>
      </c>
      <c r="EH25" s="90">
        <v>0.19</v>
      </c>
      <c r="EI25" s="90"/>
      <c r="EJ25" s="90"/>
      <c r="EK25" s="90"/>
      <c r="EL25" s="90"/>
      <c r="EM25" s="90"/>
      <c r="EN25" s="90"/>
      <c r="EO25" s="90"/>
      <c r="EP25" s="90"/>
      <c r="EQ25" s="90"/>
      <c r="ER25" s="90"/>
      <c r="ES25" s="90"/>
      <c r="ET25" s="90"/>
      <c r="EU25" s="90">
        <v>0.57099999999999995</v>
      </c>
      <c r="EV25" s="90"/>
      <c r="EW25" s="90"/>
      <c r="EX25" s="90">
        <f t="shared" si="47"/>
        <v>3.5709999999999997</v>
      </c>
      <c r="EY25" s="90">
        <f>ROUND(EX25*IFERROR(VLOOKUP($DG25,'3121% SY'!$A$2:$M$324,13,FALSE),0),3)</f>
        <v>0.84199999999999997</v>
      </c>
      <c r="EZ25" s="90">
        <f t="shared" si="48"/>
        <v>0</v>
      </c>
      <c r="FA25" s="90">
        <f>ROUND(EZ25*IFERROR(VLOOKUP($DG25,'3121% SY'!$A$2:$M$324,13,FALSE),0),3)</f>
        <v>0</v>
      </c>
    </row>
    <row r="26" spans="1:157" x14ac:dyDescent="0.25">
      <c r="A26" s="88" t="s">
        <v>29</v>
      </c>
      <c r="B26" s="90"/>
      <c r="C26" s="90"/>
      <c r="D26" s="90"/>
      <c r="E26" s="90"/>
      <c r="F26" s="90">
        <v>3.149</v>
      </c>
      <c r="G26" s="90"/>
      <c r="H26" s="90"/>
      <c r="I26" s="90">
        <v>2.7690000000000001</v>
      </c>
      <c r="J26" s="90"/>
      <c r="K26" s="90"/>
      <c r="L26" s="90"/>
      <c r="M26" s="90"/>
      <c r="N26" s="90"/>
      <c r="O26" s="90">
        <v>4.7430000000000003</v>
      </c>
      <c r="P26" s="90">
        <v>1.52</v>
      </c>
      <c r="Q26" s="90">
        <v>1.7000000000000001E-2</v>
      </c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>
        <v>0.875</v>
      </c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R26" s="90">
        <f t="shared" si="42"/>
        <v>7.1550000000000002</v>
      </c>
      <c r="AS26" s="90">
        <f>SUM($B26:M26)</f>
        <v>5.9180000000000001</v>
      </c>
      <c r="AT26" s="89"/>
      <c r="AU26" s="88" t="s">
        <v>191</v>
      </c>
      <c r="AV26" s="90"/>
      <c r="AW26" s="90"/>
      <c r="AX26" s="90"/>
      <c r="AY26" s="90"/>
      <c r="AZ26" s="90"/>
      <c r="BA26" s="90"/>
      <c r="BB26" s="90"/>
      <c r="BC26" s="90"/>
      <c r="BD26" s="90"/>
      <c r="BE26" s="90"/>
      <c r="BF26" s="90">
        <v>1</v>
      </c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>
        <f t="shared" si="43"/>
        <v>0</v>
      </c>
      <c r="CM26" s="90">
        <f t="shared" si="44"/>
        <v>1</v>
      </c>
      <c r="CN26" s="89"/>
      <c r="CO26" s="88" t="s">
        <v>296</v>
      </c>
      <c r="CP26" s="90">
        <v>0.26500000000000001</v>
      </c>
      <c r="CQ26" s="90"/>
      <c r="CR26" s="90"/>
      <c r="CS26" s="90"/>
      <c r="CT26" s="90"/>
      <c r="CU26" s="90"/>
      <c r="CV26" s="90"/>
      <c r="CW26" s="90"/>
      <c r="DD26" s="90">
        <f t="shared" si="45"/>
        <v>0</v>
      </c>
      <c r="DE26" s="90">
        <f t="shared" si="46"/>
        <v>0.26500000000000001</v>
      </c>
      <c r="DF26" s="89"/>
      <c r="DG26" s="88" t="s">
        <v>36</v>
      </c>
      <c r="DH26" s="90"/>
      <c r="DI26" s="90"/>
      <c r="DJ26" s="90"/>
      <c r="DK26" s="90"/>
      <c r="DL26" s="90"/>
      <c r="DM26" s="90"/>
      <c r="DN26" s="90"/>
      <c r="DO26" s="90"/>
      <c r="DP26" s="90"/>
      <c r="DQ26" s="90"/>
      <c r="DR26" s="90"/>
      <c r="DS26" s="90"/>
      <c r="DT26" s="90"/>
      <c r="DU26" s="90"/>
      <c r="DV26" s="90"/>
      <c r="DW26" s="90"/>
      <c r="DX26" s="90"/>
      <c r="DY26" s="90"/>
      <c r="DZ26" s="90">
        <v>0.92</v>
      </c>
      <c r="EA26" s="90">
        <v>0.48</v>
      </c>
      <c r="EB26" s="90"/>
      <c r="EC26" s="90"/>
      <c r="ED26" s="90"/>
      <c r="EE26" s="90"/>
      <c r="EF26" s="90">
        <v>3.9140000000000001</v>
      </c>
      <c r="EG26" s="90">
        <v>1</v>
      </c>
      <c r="EH26" s="90">
        <v>0.67500000000000004</v>
      </c>
      <c r="EI26" s="90"/>
      <c r="EJ26" s="90"/>
      <c r="EK26" s="90"/>
      <c r="EL26" s="90"/>
      <c r="EM26" s="90"/>
      <c r="EN26" s="90"/>
      <c r="EO26" s="90">
        <v>0.2</v>
      </c>
      <c r="EP26" s="90"/>
      <c r="EQ26" s="90"/>
      <c r="ER26" s="90"/>
      <c r="ES26" s="90"/>
      <c r="ET26" s="90"/>
      <c r="EU26" s="90"/>
      <c r="EV26" s="90"/>
      <c r="EW26" s="90"/>
      <c r="EX26" s="90">
        <f t="shared" si="47"/>
        <v>7.1890000000000001</v>
      </c>
      <c r="EY26" s="90">
        <f>ROUND(EX26*IFERROR(VLOOKUP($DG26,'3121% SY'!$A$2:$M$324,13,FALSE),0),3)</f>
        <v>1.6970000000000001</v>
      </c>
      <c r="EZ26" s="90">
        <f t="shared" si="48"/>
        <v>0</v>
      </c>
      <c r="FA26" s="90">
        <f>ROUND(EZ26*IFERROR(VLOOKUP($DG26,'3121% SY'!$A$2:$M$324,13,FALSE),0),3)</f>
        <v>0</v>
      </c>
    </row>
    <row r="27" spans="1:157" x14ac:dyDescent="0.25">
      <c r="A27" s="88" t="s">
        <v>30</v>
      </c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>
        <v>0.63800000000000001</v>
      </c>
      <c r="P27" s="90">
        <v>1</v>
      </c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R27" s="90">
        <f t="shared" si="42"/>
        <v>1.6379999999999999</v>
      </c>
      <c r="AS27" s="90">
        <f>SUM($B27:M27)</f>
        <v>0</v>
      </c>
      <c r="AT27" s="89"/>
      <c r="AU27" s="88" t="s">
        <v>203</v>
      </c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>
        <v>1.232</v>
      </c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>
        <f t="shared" si="43"/>
        <v>0</v>
      </c>
      <c r="CM27" s="90">
        <f t="shared" si="44"/>
        <v>1.232</v>
      </c>
      <c r="CN27" s="89"/>
      <c r="CO27" s="88" t="s">
        <v>753</v>
      </c>
      <c r="CP27" s="90">
        <v>3.3909999999999996</v>
      </c>
      <c r="CQ27" s="90">
        <v>1.242</v>
      </c>
      <c r="CR27" s="90">
        <v>0.67700000000000005</v>
      </c>
      <c r="CS27" s="90">
        <v>0.44500000000000001</v>
      </c>
      <c r="CT27" s="90">
        <v>0.5</v>
      </c>
      <c r="CU27" s="90">
        <v>0.5</v>
      </c>
      <c r="CV27" s="90">
        <v>0.32100000000000001</v>
      </c>
      <c r="CW27" s="90">
        <v>0.36</v>
      </c>
      <c r="DD27" s="90">
        <f t="shared" si="45"/>
        <v>1.681</v>
      </c>
      <c r="DE27" s="90">
        <f t="shared" si="46"/>
        <v>5.754999999999999</v>
      </c>
      <c r="DF27" s="89"/>
      <c r="DG27" s="88" t="s">
        <v>37</v>
      </c>
      <c r="DH27" s="90"/>
      <c r="DI27" s="90"/>
      <c r="DJ27" s="90"/>
      <c r="DK27" s="90"/>
      <c r="DL27" s="90">
        <v>0.83199999999999996</v>
      </c>
      <c r="DM27" s="90"/>
      <c r="DN27" s="90"/>
      <c r="DO27" s="90">
        <v>3.3460000000000001</v>
      </c>
      <c r="DP27" s="90"/>
      <c r="DQ27" s="90"/>
      <c r="DR27" s="90"/>
      <c r="DS27" s="90"/>
      <c r="DT27" s="90">
        <v>1</v>
      </c>
      <c r="DU27" s="90"/>
      <c r="DV27" s="90"/>
      <c r="DW27" s="90"/>
      <c r="DX27" s="90"/>
      <c r="DY27" s="90"/>
      <c r="DZ27" s="90">
        <v>9.4320000000000004</v>
      </c>
      <c r="EA27" s="90">
        <v>0.7</v>
      </c>
      <c r="EB27" s="90">
        <v>0.46800000000000003</v>
      </c>
      <c r="EC27" s="90"/>
      <c r="ED27" s="90"/>
      <c r="EE27" s="90"/>
      <c r="EF27" s="90">
        <v>28.527999999999999</v>
      </c>
      <c r="EG27" s="90">
        <v>9.3390000000000004</v>
      </c>
      <c r="EH27" s="90">
        <v>4.6719999999999997</v>
      </c>
      <c r="EI27" s="90">
        <v>13.45</v>
      </c>
      <c r="EJ27" s="90">
        <v>4.25</v>
      </c>
      <c r="EK27" s="90">
        <v>3.6</v>
      </c>
      <c r="EL27" s="90"/>
      <c r="EM27" s="90"/>
      <c r="EN27" s="90"/>
      <c r="EO27" s="90">
        <v>3.8730000000000002</v>
      </c>
      <c r="EP27" s="90">
        <v>0.9</v>
      </c>
      <c r="EQ27" s="90">
        <v>0.53100000000000003</v>
      </c>
      <c r="ER27" s="90"/>
      <c r="ES27" s="90">
        <v>3</v>
      </c>
      <c r="ET27" s="90"/>
      <c r="EU27" s="90"/>
      <c r="EV27" s="90"/>
      <c r="EW27" s="90"/>
      <c r="EX27" s="90">
        <f t="shared" si="47"/>
        <v>83.743000000000009</v>
      </c>
      <c r="EY27" s="90">
        <f>ROUND(EX27*IFERROR(VLOOKUP($DG27,'3121% SY'!$A$2:$M$324,13,FALSE),0),3)</f>
        <v>18.038</v>
      </c>
      <c r="EZ27" s="90">
        <f t="shared" si="48"/>
        <v>4.1779999999999999</v>
      </c>
      <c r="FA27" s="90">
        <f>ROUND(EZ27*IFERROR(VLOOKUP($DG27,'3121% SY'!$A$2:$M$324,13,FALSE),0),3)</f>
        <v>0.9</v>
      </c>
    </row>
    <row r="28" spans="1:157" x14ac:dyDescent="0.25">
      <c r="A28" s="88" t="s">
        <v>31</v>
      </c>
      <c r="B28" s="90"/>
      <c r="C28" s="90"/>
      <c r="D28" s="90"/>
      <c r="E28" s="90"/>
      <c r="F28" s="90">
        <v>2.2959999999999998</v>
      </c>
      <c r="G28" s="90"/>
      <c r="H28" s="90"/>
      <c r="I28" s="90">
        <v>0.81499999999999995</v>
      </c>
      <c r="J28" s="90"/>
      <c r="K28" s="90"/>
      <c r="L28" s="90"/>
      <c r="M28" s="90"/>
      <c r="N28" s="90"/>
      <c r="O28" s="90">
        <v>1.4999999999999999E-2</v>
      </c>
      <c r="P28" s="90">
        <v>0.9</v>
      </c>
      <c r="Q28" s="90">
        <v>0.88500000000000001</v>
      </c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R28" s="90">
        <f t="shared" si="42"/>
        <v>1.8</v>
      </c>
      <c r="AS28" s="90">
        <f>SUM($B28:M28)</f>
        <v>3.1109999999999998</v>
      </c>
      <c r="AT28" s="89"/>
      <c r="AU28" s="88" t="s">
        <v>214</v>
      </c>
      <c r="AV28" s="90"/>
      <c r="AW28" s="90"/>
      <c r="AX28" s="90"/>
      <c r="AY28" s="90"/>
      <c r="AZ28" s="90">
        <v>4.32</v>
      </c>
      <c r="BA28" s="90"/>
      <c r="BB28" s="90"/>
      <c r="BC28" s="90"/>
      <c r="BD28" s="90"/>
      <c r="BE28" s="90"/>
      <c r="BF28" s="90">
        <v>1.278</v>
      </c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>
        <f t="shared" si="43"/>
        <v>0</v>
      </c>
      <c r="CM28" s="90">
        <f t="shared" si="44"/>
        <v>5.5980000000000008</v>
      </c>
      <c r="CN28" s="89"/>
      <c r="DD28" s="90">
        <f t="shared" si="45"/>
        <v>0</v>
      </c>
      <c r="DE28" s="90">
        <f t="shared" si="46"/>
        <v>0</v>
      </c>
      <c r="DF28" s="89"/>
      <c r="DG28" s="88" t="s">
        <v>38</v>
      </c>
      <c r="DH28" s="90"/>
      <c r="DI28" s="90"/>
      <c r="DJ28" s="90"/>
      <c r="DK28" s="90"/>
      <c r="DL28" s="90"/>
      <c r="DM28" s="90"/>
      <c r="DN28" s="90">
        <v>5.5E-2</v>
      </c>
      <c r="DO28" s="90">
        <v>0.52</v>
      </c>
      <c r="DP28" s="90"/>
      <c r="DQ28" s="90"/>
      <c r="DR28" s="90"/>
      <c r="DS28" s="90"/>
      <c r="DT28" s="90"/>
      <c r="DU28" s="90"/>
      <c r="DV28" s="90"/>
      <c r="DW28" s="90"/>
      <c r="DX28" s="90"/>
      <c r="DY28" s="90"/>
      <c r="DZ28" s="90">
        <v>2.8</v>
      </c>
      <c r="EA28" s="90"/>
      <c r="EB28" s="90"/>
      <c r="EC28" s="90"/>
      <c r="ED28" s="90"/>
      <c r="EE28" s="90"/>
      <c r="EF28" s="90">
        <v>7.6</v>
      </c>
      <c r="EG28" s="90">
        <v>2</v>
      </c>
      <c r="EH28" s="90"/>
      <c r="EI28" s="90">
        <v>7</v>
      </c>
      <c r="EJ28" s="90">
        <v>0.15</v>
      </c>
      <c r="EK28" s="90">
        <v>0.6</v>
      </c>
      <c r="EL28" s="90"/>
      <c r="EM28" s="90"/>
      <c r="EN28" s="90"/>
      <c r="EO28" s="90">
        <v>0.5</v>
      </c>
      <c r="EP28" s="90"/>
      <c r="EQ28" s="90">
        <v>1</v>
      </c>
      <c r="ER28" s="90"/>
      <c r="ES28" s="90"/>
      <c r="ET28" s="90"/>
      <c r="EU28" s="90"/>
      <c r="EV28" s="90"/>
      <c r="EW28" s="90"/>
      <c r="EX28" s="90">
        <f t="shared" si="47"/>
        <v>21.65</v>
      </c>
      <c r="EY28" s="90">
        <f>ROUND(EX28*IFERROR(VLOOKUP($DG28,'3121% SY'!$A$2:$M$324,13,FALSE),0),3)</f>
        <v>4.38</v>
      </c>
      <c r="EZ28" s="90">
        <f t="shared" si="48"/>
        <v>0.57500000000000007</v>
      </c>
      <c r="FA28" s="90">
        <f>ROUND(EZ28*IFERROR(VLOOKUP($DG28,'3121% SY'!$A$2:$M$324,13,FALSE),0),3)</f>
        <v>0.11600000000000001</v>
      </c>
    </row>
    <row r="29" spans="1:157" x14ac:dyDescent="0.25">
      <c r="A29" s="88" t="s">
        <v>613</v>
      </c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>
        <v>1.268</v>
      </c>
      <c r="V29" s="90">
        <v>0.45100000000000001</v>
      </c>
      <c r="W29" s="90">
        <v>0.28100000000000003</v>
      </c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R29" s="90">
        <f t="shared" si="42"/>
        <v>2</v>
      </c>
      <c r="AS29" s="90">
        <f>SUM($B29:M29)</f>
        <v>0</v>
      </c>
      <c r="AT29" s="89"/>
      <c r="AU29" s="88" t="s">
        <v>628</v>
      </c>
      <c r="AV29" s="90"/>
      <c r="AW29" s="90">
        <v>1</v>
      </c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>
        <f t="shared" si="43"/>
        <v>0</v>
      </c>
      <c r="CM29" s="90">
        <f t="shared" si="44"/>
        <v>1</v>
      </c>
      <c r="CN29" s="89"/>
      <c r="DD29" s="90">
        <f t="shared" si="45"/>
        <v>0</v>
      </c>
      <c r="DE29" s="90">
        <f t="shared" si="46"/>
        <v>0</v>
      </c>
      <c r="DF29" s="89"/>
      <c r="DG29" s="88" t="s">
        <v>39</v>
      </c>
      <c r="DH29" s="90"/>
      <c r="DI29" s="90"/>
      <c r="DJ29" s="90"/>
      <c r="DK29" s="90"/>
      <c r="DL29" s="90">
        <v>1.796</v>
      </c>
      <c r="DM29" s="90"/>
      <c r="DN29" s="90">
        <v>0.95299999999999996</v>
      </c>
      <c r="DO29" s="90">
        <v>0.81499999999999995</v>
      </c>
      <c r="DP29" s="90">
        <v>0.81499999999999995</v>
      </c>
      <c r="DQ29" s="90"/>
      <c r="DR29" s="90"/>
      <c r="DS29" s="90"/>
      <c r="DT29" s="90"/>
      <c r="DU29" s="90"/>
      <c r="DV29" s="90"/>
      <c r="DW29" s="90"/>
      <c r="DX29" s="90"/>
      <c r="DY29" s="90"/>
      <c r="DZ29" s="90">
        <v>6</v>
      </c>
      <c r="EA29" s="90">
        <v>0.2</v>
      </c>
      <c r="EB29" s="90">
        <v>0.7</v>
      </c>
      <c r="EC29" s="90"/>
      <c r="ED29" s="90"/>
      <c r="EE29" s="90"/>
      <c r="EF29" s="90">
        <v>16.399999999999999</v>
      </c>
      <c r="EG29" s="90">
        <v>3.2</v>
      </c>
      <c r="EH29" s="90">
        <v>2</v>
      </c>
      <c r="EI29" s="90">
        <v>12</v>
      </c>
      <c r="EJ29" s="90">
        <v>3</v>
      </c>
      <c r="EK29" s="90">
        <v>1</v>
      </c>
      <c r="EL29" s="90"/>
      <c r="EM29" s="90"/>
      <c r="EN29" s="90"/>
      <c r="EO29" s="90">
        <v>1</v>
      </c>
      <c r="EP29" s="90"/>
      <c r="EQ29" s="90"/>
      <c r="ER29" s="90"/>
      <c r="ES29" s="90"/>
      <c r="ET29" s="90"/>
      <c r="EU29" s="90"/>
      <c r="EV29" s="90"/>
      <c r="EW29" s="90"/>
      <c r="EX29" s="90">
        <f t="shared" si="47"/>
        <v>45.5</v>
      </c>
      <c r="EY29" s="90">
        <f>ROUND(EX29*IFERROR(VLOOKUP($DG29,'3121% SY'!$A$2:$M$324,13,FALSE),0),3)</f>
        <v>10.096</v>
      </c>
      <c r="EZ29" s="90">
        <f t="shared" si="48"/>
        <v>4.3789999999999996</v>
      </c>
      <c r="FA29" s="90">
        <f>ROUND(EZ29*IFERROR(VLOOKUP($DG29,'3121% SY'!$A$2:$M$324,13,FALSE),0),3)</f>
        <v>0.97199999999999998</v>
      </c>
    </row>
    <row r="30" spans="1:157" x14ac:dyDescent="0.25">
      <c r="A30" s="88" t="s">
        <v>32</v>
      </c>
      <c r="B30" s="90"/>
      <c r="C30" s="90">
        <v>23.869</v>
      </c>
      <c r="D30" s="90"/>
      <c r="E30" s="90"/>
      <c r="F30" s="90">
        <v>54.585000000000001</v>
      </c>
      <c r="G30" s="90"/>
      <c r="H30" s="90"/>
      <c r="I30" s="90">
        <v>0.42099999999999999</v>
      </c>
      <c r="J30" s="90"/>
      <c r="K30" s="90"/>
      <c r="L30" s="90">
        <v>12.811999999999999</v>
      </c>
      <c r="M30" s="90"/>
      <c r="N30" s="90"/>
      <c r="O30" s="90">
        <v>31.245000000000001</v>
      </c>
      <c r="P30" s="90">
        <v>22.08</v>
      </c>
      <c r="Q30" s="90">
        <v>12.244</v>
      </c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>
        <v>8.76</v>
      </c>
      <c r="AE30" s="90">
        <v>6.3710000000000004</v>
      </c>
      <c r="AF30" s="90">
        <v>3.78</v>
      </c>
      <c r="AG30" s="90"/>
      <c r="AH30" s="90"/>
      <c r="AI30" s="90"/>
      <c r="AJ30" s="90"/>
      <c r="AK30" s="90"/>
      <c r="AL30" s="90"/>
      <c r="AM30" s="90"/>
      <c r="AN30" s="90"/>
      <c r="AO30" s="90"/>
      <c r="AR30" s="90">
        <f t="shared" si="42"/>
        <v>84.48</v>
      </c>
      <c r="AS30" s="90">
        <f>SUM($B30:M30)</f>
        <v>91.687000000000012</v>
      </c>
      <c r="AT30" s="89"/>
      <c r="AU30" s="88" t="s">
        <v>254</v>
      </c>
      <c r="AV30" s="90"/>
      <c r="AW30" s="90"/>
      <c r="AX30" s="90"/>
      <c r="AY30" s="90"/>
      <c r="AZ30" s="90">
        <v>1</v>
      </c>
      <c r="BA30" s="90"/>
      <c r="BB30" s="90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>
        <f t="shared" si="43"/>
        <v>0</v>
      </c>
      <c r="CM30" s="90">
        <f t="shared" si="44"/>
        <v>1</v>
      </c>
      <c r="CN30" s="89"/>
      <c r="DD30" s="90">
        <f t="shared" si="45"/>
        <v>0</v>
      </c>
      <c r="DE30" s="90">
        <f t="shared" si="46"/>
        <v>0</v>
      </c>
      <c r="DF30" s="89"/>
      <c r="DG30" s="88" t="s">
        <v>40</v>
      </c>
      <c r="DH30" s="90"/>
      <c r="DI30" s="90"/>
      <c r="DJ30" s="90"/>
      <c r="DK30" s="90"/>
      <c r="DL30" s="90"/>
      <c r="DM30" s="90"/>
      <c r="DN30" s="90">
        <v>0.20699999999999999</v>
      </c>
      <c r="DO30" s="90">
        <v>0.94899999999999995</v>
      </c>
      <c r="DP30" s="90">
        <v>0.28899999999999998</v>
      </c>
      <c r="DQ30" s="90"/>
      <c r="DR30" s="90"/>
      <c r="DS30" s="90"/>
      <c r="DT30" s="90"/>
      <c r="DU30" s="90"/>
      <c r="DV30" s="90"/>
      <c r="DW30" s="90"/>
      <c r="DX30" s="90"/>
      <c r="DY30" s="90"/>
      <c r="DZ30" s="90">
        <v>0.99199999999999999</v>
      </c>
      <c r="EA30" s="90">
        <v>0.19</v>
      </c>
      <c r="EB30" s="90">
        <v>0.18</v>
      </c>
      <c r="EC30" s="90"/>
      <c r="ED30" s="90"/>
      <c r="EE30" s="90"/>
      <c r="EF30" s="90">
        <v>4.1020000000000003</v>
      </c>
      <c r="EG30" s="90">
        <v>0.73</v>
      </c>
      <c r="EH30" s="90">
        <v>0.69699999999999995</v>
      </c>
      <c r="EI30" s="90">
        <v>2.65</v>
      </c>
      <c r="EJ30" s="90">
        <v>1.2</v>
      </c>
      <c r="EK30" s="90">
        <v>0.53</v>
      </c>
      <c r="EL30" s="90"/>
      <c r="EM30" s="90"/>
      <c r="EN30" s="90"/>
      <c r="EO30" s="90">
        <v>0.56000000000000005</v>
      </c>
      <c r="EP30" s="90">
        <v>0.09</v>
      </c>
      <c r="EQ30" s="90">
        <v>0.06</v>
      </c>
      <c r="ER30" s="90">
        <v>0.73</v>
      </c>
      <c r="ES30" s="90">
        <v>0.09</v>
      </c>
      <c r="ET30" s="90">
        <v>0.18</v>
      </c>
      <c r="EU30" s="90"/>
      <c r="EV30" s="90"/>
      <c r="EW30" s="90"/>
      <c r="EX30" s="90">
        <f t="shared" si="47"/>
        <v>12.981</v>
      </c>
      <c r="EY30" s="90">
        <f>ROUND(EX30*IFERROR(VLOOKUP($DG30,'3121% SY'!$A$2:$M$324,13,FALSE),0),3)</f>
        <v>2.3290000000000002</v>
      </c>
      <c r="EZ30" s="90">
        <f t="shared" si="48"/>
        <v>1.4449999999999998</v>
      </c>
      <c r="FA30" s="90">
        <f>ROUND(EZ30*IFERROR(VLOOKUP($DG30,'3121% SY'!$A$2:$M$324,13,FALSE),0),3)</f>
        <v>0.25900000000000001</v>
      </c>
    </row>
    <row r="31" spans="1:157" x14ac:dyDescent="0.25">
      <c r="A31" s="88" t="s">
        <v>33</v>
      </c>
      <c r="B31" s="90"/>
      <c r="C31" s="90"/>
      <c r="D31" s="90"/>
      <c r="E31" s="90"/>
      <c r="F31" s="90"/>
      <c r="G31" s="90"/>
      <c r="H31" s="90"/>
      <c r="I31" s="90"/>
      <c r="J31" s="90"/>
      <c r="K31" s="90">
        <v>0.754</v>
      </c>
      <c r="L31" s="90">
        <v>0.754</v>
      </c>
      <c r="M31" s="90">
        <v>0.754</v>
      </c>
      <c r="N31" s="90"/>
      <c r="O31" s="90">
        <v>1</v>
      </c>
      <c r="P31" s="90">
        <v>2</v>
      </c>
      <c r="Q31" s="90">
        <v>1</v>
      </c>
      <c r="R31" s="90"/>
      <c r="S31" s="90"/>
      <c r="T31" s="90"/>
      <c r="U31" s="90">
        <v>0.4</v>
      </c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R31" s="90">
        <f t="shared" si="42"/>
        <v>4.4000000000000004</v>
      </c>
      <c r="AS31" s="90">
        <f>SUM($B31:M31)</f>
        <v>2.262</v>
      </c>
      <c r="AT31" s="89"/>
      <c r="AU31" s="88" t="s">
        <v>268</v>
      </c>
      <c r="AV31" s="90"/>
      <c r="AW31" s="90"/>
      <c r="AX31" s="90"/>
      <c r="AY31" s="90"/>
      <c r="AZ31" s="90"/>
      <c r="BA31" s="90"/>
      <c r="BB31" s="90"/>
      <c r="BC31" s="90"/>
      <c r="BD31" s="90"/>
      <c r="BE31" s="90"/>
      <c r="BF31" s="90">
        <v>1</v>
      </c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>
        <f t="shared" si="43"/>
        <v>0</v>
      </c>
      <c r="CM31" s="90">
        <f t="shared" si="44"/>
        <v>1</v>
      </c>
      <c r="CN31" s="89"/>
      <c r="DD31" s="90">
        <f t="shared" si="45"/>
        <v>0</v>
      </c>
      <c r="DE31" s="90">
        <f t="shared" si="46"/>
        <v>0</v>
      </c>
      <c r="DF31" s="89"/>
      <c r="DG31" s="88" t="s">
        <v>43</v>
      </c>
      <c r="DH31" s="90"/>
      <c r="DI31" s="90"/>
      <c r="DJ31" s="90"/>
      <c r="DK31" s="90"/>
      <c r="DL31" s="90"/>
      <c r="DM31" s="90"/>
      <c r="DN31" s="90"/>
      <c r="DO31" s="90">
        <v>5.0519999999999996</v>
      </c>
      <c r="DP31" s="90"/>
      <c r="DQ31" s="90"/>
      <c r="DR31" s="90"/>
      <c r="DS31" s="90"/>
      <c r="DT31" s="90"/>
      <c r="DU31" s="90"/>
      <c r="DV31" s="90"/>
      <c r="DW31" s="90"/>
      <c r="DX31" s="90"/>
      <c r="DY31" s="90"/>
      <c r="DZ31" s="90">
        <v>2.3340000000000001</v>
      </c>
      <c r="EA31" s="90">
        <v>0.33400000000000002</v>
      </c>
      <c r="EB31" s="90">
        <v>0.33200000000000002</v>
      </c>
      <c r="EC31" s="90"/>
      <c r="ED31" s="90"/>
      <c r="EE31" s="90"/>
      <c r="EF31" s="90">
        <v>4.8529999999999998</v>
      </c>
      <c r="EG31" s="90">
        <v>0.72</v>
      </c>
      <c r="EH31" s="90">
        <v>0.22700000000000001</v>
      </c>
      <c r="EI31" s="90">
        <v>1.4990000000000001</v>
      </c>
      <c r="EJ31" s="90">
        <v>0.25</v>
      </c>
      <c r="EK31" s="90">
        <v>2.7509999999999999</v>
      </c>
      <c r="EL31" s="90"/>
      <c r="EM31" s="90"/>
      <c r="EN31" s="90"/>
      <c r="EO31" s="90">
        <v>0.52</v>
      </c>
      <c r="EP31" s="90">
        <v>0.33</v>
      </c>
      <c r="EQ31" s="90">
        <v>0.15</v>
      </c>
      <c r="ER31" s="90"/>
      <c r="ES31" s="90"/>
      <c r="ET31" s="90"/>
      <c r="EU31" s="90"/>
      <c r="EV31" s="90"/>
      <c r="EW31" s="90"/>
      <c r="EX31" s="90">
        <f t="shared" si="47"/>
        <v>14.3</v>
      </c>
      <c r="EY31" s="90">
        <f>ROUND(EX31*IFERROR(VLOOKUP($DG31,'3121% SY'!$A$2:$M$324,13,FALSE),0),3)</f>
        <v>3.532</v>
      </c>
      <c r="EZ31" s="90">
        <f t="shared" si="48"/>
        <v>5.0519999999999996</v>
      </c>
      <c r="FA31" s="90">
        <f>ROUND(EZ31*IFERROR(VLOOKUP($DG31,'3121% SY'!$A$2:$M$324,13,FALSE),0),3)</f>
        <v>1.248</v>
      </c>
    </row>
    <row r="32" spans="1:157" x14ac:dyDescent="0.25">
      <c r="A32" s="88" t="s">
        <v>34</v>
      </c>
      <c r="B32" s="90"/>
      <c r="C32" s="90"/>
      <c r="D32" s="90"/>
      <c r="E32" s="90">
        <v>1.7949999999999999</v>
      </c>
      <c r="F32" s="90">
        <v>1.9E-2</v>
      </c>
      <c r="G32" s="90">
        <v>0.105</v>
      </c>
      <c r="H32" s="90">
        <v>0.69899999999999995</v>
      </c>
      <c r="I32" s="90"/>
      <c r="J32" s="90"/>
      <c r="K32" s="90"/>
      <c r="L32" s="90"/>
      <c r="M32" s="90"/>
      <c r="N32" s="90"/>
      <c r="O32" s="90">
        <v>2.33</v>
      </c>
      <c r="P32" s="90">
        <v>1.66</v>
      </c>
      <c r="Q32" s="90">
        <v>0.56999999999999995</v>
      </c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R32" s="90">
        <f t="shared" si="42"/>
        <v>4.5600000000000005</v>
      </c>
      <c r="AS32" s="90">
        <f>SUM($B32:M32)</f>
        <v>2.6179999999999999</v>
      </c>
      <c r="AT32" s="89"/>
      <c r="AU32" s="88" t="s">
        <v>672</v>
      </c>
      <c r="AV32" s="90"/>
      <c r="AW32" s="90"/>
      <c r="AX32" s="90"/>
      <c r="AY32" s="90"/>
      <c r="AZ32" s="90">
        <v>0.255</v>
      </c>
      <c r="BA32" s="90"/>
      <c r="BB32" s="90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>
        <f t="shared" si="43"/>
        <v>0</v>
      </c>
      <c r="CM32" s="90">
        <f t="shared" si="44"/>
        <v>0.255</v>
      </c>
      <c r="CN32" s="89"/>
      <c r="DD32" s="90">
        <f t="shared" si="45"/>
        <v>0</v>
      </c>
      <c r="DE32" s="90">
        <f t="shared" si="46"/>
        <v>0</v>
      </c>
      <c r="DF32" s="89"/>
      <c r="DG32" s="88" t="s">
        <v>45</v>
      </c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0"/>
      <c r="DY32" s="90"/>
      <c r="DZ32" s="90"/>
      <c r="EA32" s="90"/>
      <c r="EB32" s="90"/>
      <c r="EC32" s="90"/>
      <c r="ED32" s="90"/>
      <c r="EE32" s="90"/>
      <c r="EF32" s="90">
        <v>1.82</v>
      </c>
      <c r="EG32" s="90"/>
      <c r="EH32" s="90"/>
      <c r="EI32" s="90">
        <v>1</v>
      </c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>
        <f t="shared" si="47"/>
        <v>2.8200000000000003</v>
      </c>
      <c r="EY32" s="90">
        <f>ROUND(EX32*IFERROR(VLOOKUP($DG32,'3121% SY'!$A$2:$M$324,13,FALSE),0),3)</f>
        <v>0.50900000000000001</v>
      </c>
      <c r="EZ32" s="90">
        <f t="shared" si="48"/>
        <v>0</v>
      </c>
      <c r="FA32" s="90">
        <f>ROUND(EZ32*IFERROR(VLOOKUP($DG32,'3121% SY'!$A$2:$M$324,13,FALSE),0),3)</f>
        <v>0</v>
      </c>
    </row>
    <row r="33" spans="1:157" x14ac:dyDescent="0.25">
      <c r="A33" s="88" t="s">
        <v>35</v>
      </c>
      <c r="B33" s="90"/>
      <c r="C33" s="90"/>
      <c r="D33" s="90"/>
      <c r="E33" s="90"/>
      <c r="F33" s="90">
        <v>0.55200000000000005</v>
      </c>
      <c r="G33" s="90"/>
      <c r="H33" s="90"/>
      <c r="I33" s="90">
        <v>0.25</v>
      </c>
      <c r="J33" s="90"/>
      <c r="K33" s="90"/>
      <c r="L33" s="90"/>
      <c r="M33" s="90"/>
      <c r="N33" s="90"/>
      <c r="O33" s="90"/>
      <c r="P33" s="90"/>
      <c r="Q33" s="90">
        <v>0.34399999999999997</v>
      </c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R33" s="90">
        <f t="shared" si="42"/>
        <v>0.34399999999999997</v>
      </c>
      <c r="AS33" s="90">
        <f>SUM($B33:M33)</f>
        <v>0.80200000000000005</v>
      </c>
      <c r="AT33" s="89"/>
      <c r="AU33" s="88" t="s">
        <v>295</v>
      </c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>
        <v>3.35</v>
      </c>
      <c r="BG33" s="90">
        <v>0.73099999999999998</v>
      </c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>
        <f t="shared" si="43"/>
        <v>0</v>
      </c>
      <c r="CM33" s="90">
        <f t="shared" si="44"/>
        <v>4.0810000000000004</v>
      </c>
      <c r="CN33" s="89"/>
      <c r="DD33" s="90">
        <f t="shared" si="45"/>
        <v>0</v>
      </c>
      <c r="DE33" s="90">
        <f t="shared" si="46"/>
        <v>0</v>
      </c>
      <c r="DF33" s="89"/>
      <c r="DG33" s="88" t="s">
        <v>47</v>
      </c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>
        <v>3</v>
      </c>
      <c r="EG33" s="90">
        <v>1</v>
      </c>
      <c r="EH33" s="90">
        <v>1</v>
      </c>
      <c r="EI33" s="90">
        <v>1.5</v>
      </c>
      <c r="EJ33" s="90">
        <v>0.75</v>
      </c>
      <c r="EK33" s="90">
        <v>0.75</v>
      </c>
      <c r="EL33" s="90"/>
      <c r="EM33" s="90"/>
      <c r="EN33" s="90"/>
      <c r="EO33" s="90"/>
      <c r="EP33" s="90"/>
      <c r="EQ33" s="90"/>
      <c r="ER33" s="90"/>
      <c r="ES33" s="90"/>
      <c r="ET33" s="90"/>
      <c r="EU33" s="90"/>
      <c r="EV33" s="90"/>
      <c r="EW33" s="90"/>
      <c r="EX33" s="90">
        <f t="shared" si="47"/>
        <v>8</v>
      </c>
      <c r="EY33" s="90">
        <f>ROUND(EX33*IFERROR(VLOOKUP($DG33,'3121% SY'!$A$2:$M$324,13,FALSE),0),3)</f>
        <v>1.8859999999999999</v>
      </c>
      <c r="EZ33" s="90">
        <f t="shared" si="48"/>
        <v>0</v>
      </c>
      <c r="FA33" s="90">
        <f>ROUND(EZ33*IFERROR(VLOOKUP($DG33,'3121% SY'!$A$2:$M$324,13,FALSE),0),3)</f>
        <v>0</v>
      </c>
    </row>
    <row r="34" spans="1:157" x14ac:dyDescent="0.25">
      <c r="A34" s="88" t="s">
        <v>36</v>
      </c>
      <c r="B34" s="90">
        <v>0.61399999999999999</v>
      </c>
      <c r="C34" s="90">
        <v>0.53700000000000003</v>
      </c>
      <c r="D34" s="90">
        <v>0.20799999999999999</v>
      </c>
      <c r="E34" s="90">
        <v>2.9620000000000002</v>
      </c>
      <c r="F34" s="90">
        <v>0.76700000000000002</v>
      </c>
      <c r="G34" s="90">
        <v>0.215</v>
      </c>
      <c r="H34" s="90"/>
      <c r="I34" s="90"/>
      <c r="J34" s="90"/>
      <c r="K34" s="90"/>
      <c r="L34" s="90">
        <v>1.3340000000000001</v>
      </c>
      <c r="M34" s="90"/>
      <c r="N34" s="90"/>
      <c r="O34" s="90">
        <v>3.9409999999999998</v>
      </c>
      <c r="P34" s="90">
        <v>2.2719999999999998</v>
      </c>
      <c r="Q34" s="90">
        <v>1.0369999999999999</v>
      </c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R34" s="90">
        <f t="shared" si="42"/>
        <v>7.2499999999999991</v>
      </c>
      <c r="AS34" s="90">
        <f>SUM($B34:M34)</f>
        <v>6.6370000000000005</v>
      </c>
      <c r="AT34" s="89"/>
      <c r="AU34" s="88" t="s">
        <v>299</v>
      </c>
      <c r="AV34" s="90"/>
      <c r="AW34" s="90"/>
      <c r="AX34" s="90"/>
      <c r="AY34" s="90"/>
      <c r="AZ34" s="90">
        <v>0.76900000000000002</v>
      </c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>
        <f t="shared" si="43"/>
        <v>0</v>
      </c>
      <c r="CM34" s="90">
        <f t="shared" si="44"/>
        <v>0.76900000000000002</v>
      </c>
      <c r="CN34" s="89"/>
      <c r="DD34" s="90">
        <f t="shared" si="45"/>
        <v>0</v>
      </c>
      <c r="DE34" s="90">
        <f t="shared" si="46"/>
        <v>0</v>
      </c>
      <c r="DF34" s="89"/>
      <c r="DG34" s="88" t="s">
        <v>48</v>
      </c>
      <c r="DH34" s="90"/>
      <c r="DI34" s="90"/>
      <c r="DJ34" s="90"/>
      <c r="DK34" s="90">
        <v>0.29599999999999999</v>
      </c>
      <c r="DL34" s="90">
        <v>2.1999999999999999E-2</v>
      </c>
      <c r="DM34" s="90"/>
      <c r="DN34" s="90">
        <v>1.9</v>
      </c>
      <c r="DO34" s="90">
        <v>0.59599999999999997</v>
      </c>
      <c r="DP34" s="90"/>
      <c r="DQ34" s="90"/>
      <c r="DR34" s="90"/>
      <c r="DS34" s="90"/>
      <c r="DT34" s="90"/>
      <c r="DU34" s="90"/>
      <c r="DV34" s="90"/>
      <c r="DW34" s="90"/>
      <c r="DX34" s="90"/>
      <c r="DY34" s="90"/>
      <c r="DZ34" s="90">
        <v>1</v>
      </c>
      <c r="EA34" s="90"/>
      <c r="EB34" s="90">
        <v>0.80100000000000005</v>
      </c>
      <c r="EC34" s="90"/>
      <c r="ED34" s="90"/>
      <c r="EE34" s="90"/>
      <c r="EF34" s="90">
        <v>5</v>
      </c>
      <c r="EG34" s="90"/>
      <c r="EH34" s="90"/>
      <c r="EI34" s="90">
        <v>3</v>
      </c>
      <c r="EJ34" s="90"/>
      <c r="EK34" s="90"/>
      <c r="EL34" s="90"/>
      <c r="EM34" s="90"/>
      <c r="EN34" s="90"/>
      <c r="EO34" s="90">
        <v>0.58599999999999997</v>
      </c>
      <c r="EP34" s="90"/>
      <c r="EQ34" s="90"/>
      <c r="ER34" s="90"/>
      <c r="ES34" s="90"/>
      <c r="ET34" s="90"/>
      <c r="EU34" s="90"/>
      <c r="EV34" s="90"/>
      <c r="EW34" s="90"/>
      <c r="EX34" s="90">
        <f t="shared" si="47"/>
        <v>10.387</v>
      </c>
      <c r="EY34" s="90">
        <f>ROUND(EX34*IFERROR(VLOOKUP($DG34,'3121% SY'!$A$2:$M$324,13,FALSE),0),3)</f>
        <v>2.6760000000000002</v>
      </c>
      <c r="EZ34" s="90">
        <f t="shared" si="48"/>
        <v>2.8140000000000001</v>
      </c>
      <c r="FA34" s="90">
        <f>ROUND(EZ34*IFERROR(VLOOKUP($DG34,'3121% SY'!$A$2:$M$324,13,FALSE),0),3)</f>
        <v>0.72499999999999998</v>
      </c>
    </row>
    <row r="35" spans="1:157" x14ac:dyDescent="0.25">
      <c r="A35" s="88" t="s">
        <v>37</v>
      </c>
      <c r="B35" s="90"/>
      <c r="C35" s="90"/>
      <c r="D35" s="90"/>
      <c r="E35" s="90"/>
      <c r="F35" s="90">
        <v>36.594999999999999</v>
      </c>
      <c r="G35" s="90"/>
      <c r="H35" s="90"/>
      <c r="I35" s="90">
        <v>6.3860000000000001</v>
      </c>
      <c r="J35" s="90"/>
      <c r="K35" s="90"/>
      <c r="L35" s="90">
        <v>15.875999999999999</v>
      </c>
      <c r="M35" s="90"/>
      <c r="N35" s="90"/>
      <c r="O35" s="90">
        <v>20.745999999999999</v>
      </c>
      <c r="P35" s="90">
        <v>20.317</v>
      </c>
      <c r="Q35" s="90">
        <v>9.7539999999999996</v>
      </c>
      <c r="R35" s="90"/>
      <c r="S35" s="90"/>
      <c r="T35" s="90"/>
      <c r="U35" s="90">
        <v>5.6660000000000004</v>
      </c>
      <c r="V35" s="90"/>
      <c r="W35" s="90">
        <v>1.3340000000000001</v>
      </c>
      <c r="X35" s="90"/>
      <c r="Y35" s="90"/>
      <c r="Z35" s="90"/>
      <c r="AA35" s="90"/>
      <c r="AB35" s="90"/>
      <c r="AC35" s="90"/>
      <c r="AD35" s="90">
        <v>7.47</v>
      </c>
      <c r="AE35" s="90">
        <v>5.085</v>
      </c>
      <c r="AF35" s="90">
        <v>1.9039999999999999</v>
      </c>
      <c r="AG35" s="90"/>
      <c r="AH35" s="90"/>
      <c r="AI35" s="90"/>
      <c r="AJ35" s="90"/>
      <c r="AK35" s="90"/>
      <c r="AL35" s="90"/>
      <c r="AM35" s="90"/>
      <c r="AN35" s="90"/>
      <c r="AO35" s="90"/>
      <c r="AR35" s="90">
        <f t="shared" si="42"/>
        <v>72.275999999999996</v>
      </c>
      <c r="AS35" s="90">
        <f>SUM($B35:M35)</f>
        <v>58.856999999999999</v>
      </c>
      <c r="AT35" s="89"/>
      <c r="AU35" s="88" t="s">
        <v>633</v>
      </c>
      <c r="AV35" s="90"/>
      <c r="AW35" s="90"/>
      <c r="AX35" s="90"/>
      <c r="AY35" s="90"/>
      <c r="AZ35" s="90">
        <v>6</v>
      </c>
      <c r="BA35" s="90"/>
      <c r="BB35" s="90"/>
      <c r="BC35" s="90"/>
      <c r="BD35" s="90"/>
      <c r="BE35" s="90"/>
      <c r="BF35" s="90">
        <v>1</v>
      </c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>
        <f t="shared" si="43"/>
        <v>0</v>
      </c>
      <c r="CM35" s="90">
        <f t="shared" si="44"/>
        <v>7</v>
      </c>
      <c r="CN35" s="89"/>
      <c r="DD35" s="90">
        <f t="shared" si="45"/>
        <v>0</v>
      </c>
      <c r="DE35" s="90">
        <f t="shared" si="46"/>
        <v>0</v>
      </c>
      <c r="DF35" s="89"/>
      <c r="DG35" s="88" t="s">
        <v>52</v>
      </c>
      <c r="DH35" s="90"/>
      <c r="DI35" s="90"/>
      <c r="DJ35" s="90"/>
      <c r="DK35" s="90"/>
      <c r="DL35" s="90">
        <v>2.0059999999999998</v>
      </c>
      <c r="DM35" s="90"/>
      <c r="DN35" s="90"/>
      <c r="DO35" s="90">
        <v>1.754</v>
      </c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>
        <v>1.7529999999999999</v>
      </c>
      <c r="EA35" s="90">
        <v>0.123</v>
      </c>
      <c r="EB35" s="90">
        <v>0.52400000000000002</v>
      </c>
      <c r="EC35" s="90"/>
      <c r="ED35" s="90"/>
      <c r="EE35" s="90"/>
      <c r="EF35" s="90">
        <v>5</v>
      </c>
      <c r="EG35" s="90">
        <v>0.33400000000000002</v>
      </c>
      <c r="EH35" s="90">
        <v>0.66600000000000004</v>
      </c>
      <c r="EI35" s="90">
        <v>4.75</v>
      </c>
      <c r="EJ35" s="90">
        <v>1.8</v>
      </c>
      <c r="EK35" s="90">
        <v>0.5</v>
      </c>
      <c r="EL35" s="90">
        <v>0.42799999999999999</v>
      </c>
      <c r="EM35" s="90">
        <v>0.248</v>
      </c>
      <c r="EN35" s="90">
        <v>0.124</v>
      </c>
      <c r="EO35" s="90">
        <v>1.23</v>
      </c>
      <c r="EP35" s="90">
        <v>0.61599999999999999</v>
      </c>
      <c r="EQ35" s="90">
        <v>0.154</v>
      </c>
      <c r="ER35" s="90">
        <v>0.70799999999999996</v>
      </c>
      <c r="ES35" s="90">
        <v>0.154</v>
      </c>
      <c r="ET35" s="90">
        <v>0.14000000000000001</v>
      </c>
      <c r="EU35" s="90"/>
      <c r="EV35" s="90"/>
      <c r="EW35" s="90"/>
      <c r="EX35" s="90">
        <f t="shared" si="47"/>
        <v>19.251999999999999</v>
      </c>
      <c r="EY35" s="90">
        <f>ROUND(EX35*IFERROR(VLOOKUP($DG35,'3121% SY'!$A$2:$M$324,13,FALSE),0),3)</f>
        <v>3.9889999999999999</v>
      </c>
      <c r="EZ35" s="90">
        <f t="shared" si="48"/>
        <v>3.76</v>
      </c>
      <c r="FA35" s="90">
        <f>ROUND(EZ35*IFERROR(VLOOKUP($DG35,'3121% SY'!$A$2:$M$324,13,FALSE),0),3)</f>
        <v>0.77900000000000003</v>
      </c>
    </row>
    <row r="36" spans="1:157" x14ac:dyDescent="0.25">
      <c r="A36" s="88" t="s">
        <v>38</v>
      </c>
      <c r="B36" s="90"/>
      <c r="C36" s="90"/>
      <c r="D36" s="90"/>
      <c r="E36" s="90">
        <v>3.4119999999999999</v>
      </c>
      <c r="F36" s="90">
        <v>7.8719999999999999</v>
      </c>
      <c r="G36" s="90"/>
      <c r="H36" s="90">
        <v>4.8049999999999997</v>
      </c>
      <c r="I36" s="90">
        <v>3.37</v>
      </c>
      <c r="J36" s="90">
        <v>2.2149999999999999</v>
      </c>
      <c r="K36" s="90"/>
      <c r="L36" s="90">
        <v>0.72599999999999998</v>
      </c>
      <c r="M36" s="90"/>
      <c r="N36" s="90"/>
      <c r="O36" s="90">
        <v>8.266</v>
      </c>
      <c r="P36" s="90">
        <v>9.5280000000000005</v>
      </c>
      <c r="Q36" s="90">
        <v>2.3340000000000001</v>
      </c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R36" s="90">
        <f t="shared" si="42"/>
        <v>20.128</v>
      </c>
      <c r="AS36" s="90">
        <f>SUM($B36:M36)</f>
        <v>22.4</v>
      </c>
      <c r="AT36" s="89"/>
      <c r="AU36" s="88" t="s">
        <v>753</v>
      </c>
      <c r="AV36" s="90">
        <v>0.124</v>
      </c>
      <c r="AW36" s="90">
        <v>1.2050000000000001</v>
      </c>
      <c r="AX36" s="90">
        <v>0.40200000000000002</v>
      </c>
      <c r="AY36" s="90">
        <v>3.4219999999999997</v>
      </c>
      <c r="AZ36" s="90">
        <v>18.603999999999999</v>
      </c>
      <c r="BA36" s="90">
        <v>0.54</v>
      </c>
      <c r="BB36" s="90">
        <v>0</v>
      </c>
      <c r="BC36" s="90">
        <v>0</v>
      </c>
      <c r="BD36" s="90">
        <v>0</v>
      </c>
      <c r="BE36" s="90">
        <v>1.2</v>
      </c>
      <c r="BF36" s="90">
        <v>48.981000000000002</v>
      </c>
      <c r="BG36" s="90">
        <v>8.1769999999999996</v>
      </c>
      <c r="BH36" s="90">
        <v>0</v>
      </c>
      <c r="BI36" s="90">
        <v>0</v>
      </c>
      <c r="BJ36" s="90">
        <v>0</v>
      </c>
      <c r="BK36" s="90">
        <v>0</v>
      </c>
      <c r="BL36" s="90">
        <v>0</v>
      </c>
      <c r="BM36" s="90">
        <v>0</v>
      </c>
      <c r="BN36" s="90">
        <v>0</v>
      </c>
      <c r="BO36" s="90">
        <v>0</v>
      </c>
      <c r="BP36" s="90">
        <v>0</v>
      </c>
      <c r="BQ36" s="90">
        <v>0</v>
      </c>
      <c r="BR36" s="90">
        <v>0</v>
      </c>
      <c r="BS36" s="90">
        <v>0</v>
      </c>
      <c r="BT36" s="90">
        <v>0</v>
      </c>
      <c r="BU36" s="90">
        <v>0</v>
      </c>
      <c r="BV36" s="90">
        <v>0</v>
      </c>
      <c r="BW36" s="90">
        <v>0</v>
      </c>
      <c r="BX36" s="90">
        <v>0</v>
      </c>
      <c r="BY36" s="90">
        <v>0</v>
      </c>
      <c r="BZ36" s="90">
        <v>0</v>
      </c>
      <c r="CA36" s="90">
        <v>0</v>
      </c>
      <c r="CB36" s="90">
        <v>0</v>
      </c>
      <c r="CC36" s="90">
        <v>0</v>
      </c>
      <c r="CD36" s="90">
        <v>0</v>
      </c>
      <c r="CE36" s="90">
        <v>0</v>
      </c>
      <c r="CF36" s="90">
        <v>0</v>
      </c>
      <c r="CG36" s="90">
        <v>0</v>
      </c>
      <c r="CH36" s="90">
        <v>0</v>
      </c>
      <c r="CI36" s="90">
        <v>0</v>
      </c>
      <c r="CJ36" s="90">
        <v>0</v>
      </c>
      <c r="CK36" s="90">
        <v>0</v>
      </c>
      <c r="CL36" s="90">
        <f t="shared" si="43"/>
        <v>0</v>
      </c>
      <c r="CM36" s="90">
        <f t="shared" si="44"/>
        <v>82.655000000000001</v>
      </c>
      <c r="CN36" s="89"/>
      <c r="DD36" s="90">
        <f t="shared" si="45"/>
        <v>0</v>
      </c>
      <c r="DE36" s="90">
        <f t="shared" si="46"/>
        <v>0</v>
      </c>
      <c r="DF36" s="89"/>
      <c r="DG36" s="88" t="s">
        <v>60</v>
      </c>
      <c r="DH36" s="90"/>
      <c r="DI36" s="90"/>
      <c r="DJ36" s="90"/>
      <c r="DK36" s="90"/>
      <c r="DL36" s="90">
        <v>18.649000000000001</v>
      </c>
      <c r="DM36" s="90"/>
      <c r="DN36" s="90"/>
      <c r="DO36" s="90">
        <v>8.2189999999999994</v>
      </c>
      <c r="DP36" s="90"/>
      <c r="DQ36" s="90"/>
      <c r="DR36" s="90"/>
      <c r="DS36" s="90"/>
      <c r="DT36" s="90"/>
      <c r="DU36" s="90"/>
      <c r="DV36" s="90"/>
      <c r="DW36" s="90"/>
      <c r="DX36" s="90"/>
      <c r="DY36" s="90"/>
      <c r="DZ36" s="90">
        <v>3</v>
      </c>
      <c r="EA36" s="90"/>
      <c r="EB36" s="90"/>
      <c r="EC36" s="90"/>
      <c r="ED36" s="90"/>
      <c r="EE36" s="90"/>
      <c r="EF36" s="90">
        <v>0.79600000000000004</v>
      </c>
      <c r="EG36" s="90">
        <v>13.222</v>
      </c>
      <c r="EH36" s="90"/>
      <c r="EI36" s="90"/>
      <c r="EJ36" s="90">
        <v>14.933</v>
      </c>
      <c r="EK36" s="90"/>
      <c r="EL36" s="90">
        <v>0.75</v>
      </c>
      <c r="EM36" s="90"/>
      <c r="EN36" s="90"/>
      <c r="EO36" s="90">
        <v>1</v>
      </c>
      <c r="EP36" s="90"/>
      <c r="EQ36" s="90"/>
      <c r="ER36" s="90"/>
      <c r="ES36" s="90"/>
      <c r="ET36" s="90"/>
      <c r="EU36" s="90"/>
      <c r="EV36" s="90"/>
      <c r="EW36" s="90"/>
      <c r="EX36" s="90">
        <f t="shared" si="47"/>
        <v>33.701000000000001</v>
      </c>
      <c r="EY36" s="90">
        <f>ROUND(EX36*IFERROR(VLOOKUP($DG36,'3121% SY'!$A$2:$M$324,13,FALSE),0),3)</f>
        <v>9.2780000000000005</v>
      </c>
      <c r="EZ36" s="90">
        <f t="shared" si="48"/>
        <v>26.868000000000002</v>
      </c>
      <c r="FA36" s="90">
        <f>ROUND(EZ36*IFERROR(VLOOKUP($DG36,'3121% SY'!$A$2:$M$324,13,FALSE),0),3)</f>
        <v>7.3970000000000002</v>
      </c>
    </row>
    <row r="37" spans="1:157" x14ac:dyDescent="0.25">
      <c r="A37" s="88" t="s">
        <v>39</v>
      </c>
      <c r="B37" s="90"/>
      <c r="C37" s="90">
        <v>2.0670000000000002</v>
      </c>
      <c r="D37" s="90">
        <v>1.845</v>
      </c>
      <c r="E37" s="90">
        <v>12.385999999999999</v>
      </c>
      <c r="F37" s="90">
        <v>11.167</v>
      </c>
      <c r="G37" s="90">
        <v>5.407</v>
      </c>
      <c r="H37" s="90">
        <v>5.1669999999999998</v>
      </c>
      <c r="I37" s="90">
        <v>0.73799999999999999</v>
      </c>
      <c r="J37" s="90">
        <v>2.952</v>
      </c>
      <c r="K37" s="90"/>
      <c r="L37" s="90">
        <v>3.69</v>
      </c>
      <c r="M37" s="90">
        <v>5.9039999999999999</v>
      </c>
      <c r="N37" s="90"/>
      <c r="O37" s="90">
        <v>10.5</v>
      </c>
      <c r="P37" s="90">
        <v>11</v>
      </c>
      <c r="Q37" s="90">
        <v>3.5</v>
      </c>
      <c r="R37" s="90"/>
      <c r="S37" s="90"/>
      <c r="T37" s="90"/>
      <c r="U37" s="90"/>
      <c r="V37" s="90"/>
      <c r="W37" s="90"/>
      <c r="X37" s="90"/>
      <c r="Y37" s="90"/>
      <c r="Z37" s="90"/>
      <c r="AA37" s="90">
        <v>1</v>
      </c>
      <c r="AB37" s="90"/>
      <c r="AC37" s="90"/>
      <c r="AD37" s="90">
        <v>2.54</v>
      </c>
      <c r="AE37" s="90">
        <v>1</v>
      </c>
      <c r="AF37" s="90">
        <v>1.7929999999999999</v>
      </c>
      <c r="AG37" s="90"/>
      <c r="AH37" s="90"/>
      <c r="AI37" s="90"/>
      <c r="AJ37" s="90"/>
      <c r="AK37" s="90"/>
      <c r="AL37" s="90"/>
      <c r="AM37" s="90"/>
      <c r="AN37" s="90"/>
      <c r="AO37" s="90"/>
      <c r="AR37" s="90">
        <f t="shared" si="42"/>
        <v>31.332999999999998</v>
      </c>
      <c r="AS37" s="90">
        <f>SUM($B37:M37)</f>
        <v>51.322999999999993</v>
      </c>
      <c r="AT37" s="89"/>
      <c r="CL37" s="90">
        <f t="shared" si="43"/>
        <v>0</v>
      </c>
      <c r="CM37" s="90">
        <f t="shared" si="44"/>
        <v>0</v>
      </c>
      <c r="CN37" s="89"/>
      <c r="DD37" s="90">
        <f t="shared" si="45"/>
        <v>0</v>
      </c>
      <c r="DE37" s="90">
        <f t="shared" si="46"/>
        <v>0</v>
      </c>
      <c r="DF37" s="89"/>
      <c r="DG37" s="88" t="s">
        <v>61</v>
      </c>
      <c r="DH37" s="90"/>
      <c r="DI37" s="90"/>
      <c r="DJ37" s="90"/>
      <c r="DK37" s="90"/>
      <c r="DL37" s="90"/>
      <c r="DM37" s="90"/>
      <c r="DN37" s="90"/>
      <c r="DO37" s="90">
        <v>2.3879999999999999</v>
      </c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>
        <v>1.1950000000000001</v>
      </c>
      <c r="EG37" s="90">
        <v>0.28599999999999998</v>
      </c>
      <c r="EH37" s="90">
        <v>0.14299999999999999</v>
      </c>
      <c r="EI37" s="90">
        <v>1</v>
      </c>
      <c r="EJ37" s="90">
        <v>0.57199999999999995</v>
      </c>
      <c r="EK37" s="90">
        <v>0.28599999999999998</v>
      </c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>
        <f t="shared" si="47"/>
        <v>3.4820000000000002</v>
      </c>
      <c r="EY37" s="90">
        <f>ROUND(EX37*IFERROR(VLOOKUP($DG37,'3121% SY'!$A$2:$M$324,13,FALSE),0),3)</f>
        <v>0.85799999999999998</v>
      </c>
      <c r="EZ37" s="90">
        <f t="shared" si="48"/>
        <v>2.3879999999999999</v>
      </c>
      <c r="FA37" s="90">
        <f>ROUND(EZ37*IFERROR(VLOOKUP($DG37,'3121% SY'!$A$2:$M$324,13,FALSE),0),3)</f>
        <v>0.58799999999999997</v>
      </c>
    </row>
    <row r="38" spans="1:157" x14ac:dyDescent="0.25">
      <c r="A38" s="88" t="s">
        <v>40</v>
      </c>
      <c r="B38" s="90"/>
      <c r="C38" s="90"/>
      <c r="D38" s="90"/>
      <c r="E38" s="90">
        <v>1.7589999999999999</v>
      </c>
      <c r="F38" s="90"/>
      <c r="G38" s="90">
        <v>0.32200000000000001</v>
      </c>
      <c r="H38" s="90">
        <v>2.4569999999999999</v>
      </c>
      <c r="I38" s="90">
        <v>3.5409999999999999</v>
      </c>
      <c r="J38" s="90">
        <v>0.62</v>
      </c>
      <c r="K38" s="90"/>
      <c r="L38" s="90"/>
      <c r="M38" s="90"/>
      <c r="N38" s="90"/>
      <c r="O38" s="90">
        <v>5.6219999999999999</v>
      </c>
      <c r="P38" s="90">
        <v>2.532</v>
      </c>
      <c r="Q38" s="90">
        <v>1.4039999999999999</v>
      </c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R38" s="90">
        <f t="shared" si="42"/>
        <v>9.5579999999999998</v>
      </c>
      <c r="AS38" s="90">
        <f>SUM($B38:M38)</f>
        <v>8.6989999999999998</v>
      </c>
      <c r="AT38" s="89"/>
      <c r="CL38" s="90">
        <f t="shared" si="43"/>
        <v>0</v>
      </c>
      <c r="CM38" s="90">
        <f t="shared" si="44"/>
        <v>0</v>
      </c>
      <c r="CN38" s="89"/>
      <c r="DD38" s="90">
        <f t="shared" si="45"/>
        <v>0</v>
      </c>
      <c r="DE38" s="90">
        <f t="shared" si="46"/>
        <v>0</v>
      </c>
      <c r="DF38" s="89"/>
      <c r="DG38" s="88" t="s">
        <v>65</v>
      </c>
      <c r="DH38" s="90"/>
      <c r="DI38" s="90"/>
      <c r="DJ38" s="90"/>
      <c r="DK38" s="90"/>
      <c r="DL38" s="90"/>
      <c r="DM38" s="90"/>
      <c r="DN38" s="90"/>
      <c r="DO38" s="90"/>
      <c r="DP38" s="90"/>
      <c r="DQ38" s="90"/>
      <c r="DR38" s="90"/>
      <c r="DS38" s="90"/>
      <c r="DT38" s="90"/>
      <c r="DU38" s="90"/>
      <c r="DV38" s="90"/>
      <c r="DW38" s="90"/>
      <c r="DX38" s="90"/>
      <c r="DY38" s="90"/>
      <c r="DZ38" s="90"/>
      <c r="EA38" s="90"/>
      <c r="EB38" s="90"/>
      <c r="EC38" s="90"/>
      <c r="ED38" s="90"/>
      <c r="EE38" s="90"/>
      <c r="EF38" s="90"/>
      <c r="EG38" s="90"/>
      <c r="EH38" s="90"/>
      <c r="EI38" s="90">
        <v>2</v>
      </c>
      <c r="EJ38" s="90"/>
      <c r="EK38" s="90"/>
      <c r="EL38" s="90"/>
      <c r="EM38" s="90"/>
      <c r="EN38" s="90"/>
      <c r="EO38" s="90"/>
      <c r="EP38" s="90"/>
      <c r="EQ38" s="90"/>
      <c r="ER38" s="90"/>
      <c r="ES38" s="90"/>
      <c r="ET38" s="90"/>
      <c r="EU38" s="90"/>
      <c r="EV38" s="90"/>
      <c r="EW38" s="90"/>
      <c r="EX38" s="90">
        <f t="shared" si="47"/>
        <v>2</v>
      </c>
      <c r="EY38" s="90">
        <f>ROUND(EX38*IFERROR(VLOOKUP($DG38,'3121% SY'!$A$2:$M$324,13,FALSE),0),3)</f>
        <v>0.49399999999999999</v>
      </c>
      <c r="EZ38" s="90">
        <f t="shared" si="48"/>
        <v>0</v>
      </c>
      <c r="FA38" s="90">
        <f>ROUND(EZ38*IFERROR(VLOOKUP($DG38,'3121% SY'!$A$2:$M$324,13,FALSE),0),3)</f>
        <v>0</v>
      </c>
    </row>
    <row r="39" spans="1:157" x14ac:dyDescent="0.25">
      <c r="A39" s="88" t="s">
        <v>41</v>
      </c>
      <c r="B39" s="90"/>
      <c r="C39" s="90"/>
      <c r="D39" s="90"/>
      <c r="E39" s="90">
        <v>0.442</v>
      </c>
      <c r="F39" s="90"/>
      <c r="G39" s="90">
        <v>0.1</v>
      </c>
      <c r="H39" s="90"/>
      <c r="I39" s="90"/>
      <c r="J39" s="90"/>
      <c r="K39" s="90"/>
      <c r="L39" s="90"/>
      <c r="M39" s="90"/>
      <c r="N39" s="90"/>
      <c r="O39" s="90"/>
      <c r="P39" s="90">
        <v>1</v>
      </c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R39" s="90">
        <f t="shared" si="42"/>
        <v>1</v>
      </c>
      <c r="AS39" s="90">
        <f>SUM($B39:M39)</f>
        <v>0.54200000000000004</v>
      </c>
      <c r="AT39" s="89"/>
      <c r="CL39" s="90">
        <f t="shared" si="43"/>
        <v>0</v>
      </c>
      <c r="CM39" s="90">
        <f t="shared" si="44"/>
        <v>0</v>
      </c>
      <c r="CN39" s="89"/>
      <c r="DD39" s="90">
        <f t="shared" si="45"/>
        <v>0</v>
      </c>
      <c r="DE39" s="90">
        <f t="shared" si="46"/>
        <v>0</v>
      </c>
      <c r="DF39" s="89"/>
      <c r="DG39" s="88" t="s">
        <v>66</v>
      </c>
      <c r="DH39" s="90"/>
      <c r="DI39" s="90"/>
      <c r="DJ39" s="90"/>
      <c r="DK39" s="90"/>
      <c r="DL39" s="90">
        <v>1.452</v>
      </c>
      <c r="DM39" s="90"/>
      <c r="DN39" s="90"/>
      <c r="DO39" s="90">
        <v>0.31</v>
      </c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>
        <v>1</v>
      </c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>
        <f t="shared" si="47"/>
        <v>1</v>
      </c>
      <c r="EY39" s="90">
        <f>ROUND(EX39*IFERROR(VLOOKUP($DG39,'3121% SY'!$A$2:$M$324,13,FALSE),0),3)</f>
        <v>0.22500000000000001</v>
      </c>
      <c r="EZ39" s="90">
        <f t="shared" si="48"/>
        <v>1.762</v>
      </c>
      <c r="FA39" s="90">
        <f>ROUND(EZ39*IFERROR(VLOOKUP($DG39,'3121% SY'!$A$2:$M$324,13,FALSE),0),3)</f>
        <v>0.39700000000000002</v>
      </c>
    </row>
    <row r="40" spans="1:157" x14ac:dyDescent="0.25">
      <c r="A40" s="88" t="s">
        <v>43</v>
      </c>
      <c r="B40" s="90"/>
      <c r="C40" s="90"/>
      <c r="D40" s="90"/>
      <c r="E40" s="90">
        <v>8.61</v>
      </c>
      <c r="F40" s="90">
        <v>0.34</v>
      </c>
      <c r="G40" s="90">
        <v>1.4870000000000001</v>
      </c>
      <c r="H40" s="90">
        <v>5.0659999999999998</v>
      </c>
      <c r="I40" s="90">
        <v>1.8360000000000001</v>
      </c>
      <c r="J40" s="90">
        <v>1.2869999999999999</v>
      </c>
      <c r="K40" s="90"/>
      <c r="L40" s="90"/>
      <c r="M40" s="90"/>
      <c r="N40" s="90"/>
      <c r="O40" s="90">
        <v>11</v>
      </c>
      <c r="P40" s="90">
        <v>5</v>
      </c>
      <c r="Q40" s="90">
        <v>3</v>
      </c>
      <c r="R40" s="90"/>
      <c r="S40" s="90"/>
      <c r="T40" s="90"/>
      <c r="U40" s="90"/>
      <c r="V40" s="90"/>
      <c r="W40" s="90"/>
      <c r="X40" s="90"/>
      <c r="Y40" s="90"/>
      <c r="Z40" s="90"/>
      <c r="AA40" s="90">
        <v>3</v>
      </c>
      <c r="AB40" s="90">
        <v>0.25</v>
      </c>
      <c r="AC40" s="90">
        <v>0.25</v>
      </c>
      <c r="AD40" s="90">
        <v>1.52</v>
      </c>
      <c r="AE40" s="90">
        <v>0.33</v>
      </c>
      <c r="AF40" s="90">
        <v>0.15</v>
      </c>
      <c r="AG40" s="90"/>
      <c r="AH40" s="90"/>
      <c r="AI40" s="90"/>
      <c r="AJ40" s="90"/>
      <c r="AK40" s="90"/>
      <c r="AL40" s="90"/>
      <c r="AM40" s="90"/>
      <c r="AN40" s="90"/>
      <c r="AO40" s="90"/>
      <c r="AR40" s="90">
        <f t="shared" si="42"/>
        <v>24.499999999999996</v>
      </c>
      <c r="AS40" s="90">
        <f>SUM($B40:M40)</f>
        <v>18.625999999999998</v>
      </c>
      <c r="AT40" s="89"/>
      <c r="CL40" s="90">
        <f t="shared" si="43"/>
        <v>0</v>
      </c>
      <c r="CM40" s="90">
        <f t="shared" si="44"/>
        <v>0</v>
      </c>
      <c r="CN40" s="89"/>
      <c r="DD40" s="90">
        <f t="shared" si="45"/>
        <v>0</v>
      </c>
      <c r="DE40" s="90">
        <f t="shared" si="46"/>
        <v>0</v>
      </c>
      <c r="DF40" s="89"/>
      <c r="DG40" s="88" t="s">
        <v>67</v>
      </c>
      <c r="DH40" s="90"/>
      <c r="DI40" s="90"/>
      <c r="DJ40" s="90"/>
      <c r="DK40" s="90"/>
      <c r="DL40" s="90"/>
      <c r="DM40" s="90"/>
      <c r="DN40" s="90">
        <v>0.318</v>
      </c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>
        <v>0.44</v>
      </c>
      <c r="EG40" s="90">
        <v>0.3</v>
      </c>
      <c r="EH40" s="90">
        <v>0.26</v>
      </c>
      <c r="EI40" s="90">
        <v>0.44</v>
      </c>
      <c r="EJ40" s="90">
        <v>0.3</v>
      </c>
      <c r="EK40" s="90">
        <v>0.26</v>
      </c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>
        <f t="shared" si="47"/>
        <v>2</v>
      </c>
      <c r="EY40" s="90">
        <f>ROUND(EX40*IFERROR(VLOOKUP($DG40,'3121% SY'!$A$2:$M$324,13,FALSE),0),3)</f>
        <v>0.65300000000000002</v>
      </c>
      <c r="EZ40" s="90">
        <f t="shared" si="48"/>
        <v>0.318</v>
      </c>
      <c r="FA40" s="90">
        <f>ROUND(EZ40*IFERROR(VLOOKUP($DG40,'3121% SY'!$A$2:$M$324,13,FALSE),0),3)</f>
        <v>0.104</v>
      </c>
    </row>
    <row r="41" spans="1:157" x14ac:dyDescent="0.25">
      <c r="A41" s="88" t="s">
        <v>44</v>
      </c>
      <c r="B41" s="90"/>
      <c r="C41" s="90">
        <v>0.75700000000000001</v>
      </c>
      <c r="D41" s="90"/>
      <c r="E41" s="90"/>
      <c r="F41" s="90"/>
      <c r="G41" s="90"/>
      <c r="H41" s="90"/>
      <c r="I41" s="90">
        <v>0.59699999999999998</v>
      </c>
      <c r="J41" s="90"/>
      <c r="K41" s="90"/>
      <c r="L41" s="90"/>
      <c r="M41" s="90"/>
      <c r="N41" s="90"/>
      <c r="O41" s="90">
        <v>1</v>
      </c>
      <c r="P41" s="90">
        <v>1</v>
      </c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R41" s="90">
        <f t="shared" si="42"/>
        <v>2</v>
      </c>
      <c r="AS41" s="90">
        <f>SUM($B41:M41)</f>
        <v>1.3540000000000001</v>
      </c>
      <c r="AT41" s="89"/>
      <c r="CL41" s="90">
        <f t="shared" si="43"/>
        <v>0</v>
      </c>
      <c r="CM41" s="90">
        <f t="shared" si="44"/>
        <v>0</v>
      </c>
      <c r="CN41" s="89"/>
      <c r="DD41" s="90">
        <f t="shared" si="45"/>
        <v>0</v>
      </c>
      <c r="DE41" s="90">
        <f t="shared" si="46"/>
        <v>0</v>
      </c>
      <c r="DF41" s="89"/>
      <c r="DG41" s="88" t="s">
        <v>69</v>
      </c>
      <c r="DH41" s="90"/>
      <c r="DI41" s="90"/>
      <c r="DJ41" s="90"/>
      <c r="DK41" s="90"/>
      <c r="DL41" s="90"/>
      <c r="DM41" s="90"/>
      <c r="DN41" s="90"/>
      <c r="DO41" s="90">
        <v>0.63900000000000001</v>
      </c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90"/>
      <c r="EI41" s="90"/>
      <c r="EJ41" s="90"/>
      <c r="EK41" s="90"/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0"/>
      <c r="EW41" s="90"/>
      <c r="EX41" s="90">
        <f t="shared" si="47"/>
        <v>0</v>
      </c>
      <c r="EY41" s="90">
        <f>ROUND(EX41*IFERROR(VLOOKUP($DG41,'3121% SY'!$A$2:$M$324,13,FALSE),0),3)</f>
        <v>0</v>
      </c>
      <c r="EZ41" s="90">
        <f t="shared" si="48"/>
        <v>0.63900000000000001</v>
      </c>
      <c r="FA41" s="90">
        <f>ROUND(EZ41*IFERROR(VLOOKUP($DG41,'3121% SY'!$A$2:$M$324,13,FALSE),0),3)</f>
        <v>0.16600000000000001</v>
      </c>
    </row>
    <row r="42" spans="1:157" x14ac:dyDescent="0.25">
      <c r="A42" s="88" t="s">
        <v>45</v>
      </c>
      <c r="B42" s="90"/>
      <c r="C42" s="90"/>
      <c r="D42" s="90"/>
      <c r="E42" s="90"/>
      <c r="F42" s="90">
        <v>2.6349999999999998</v>
      </c>
      <c r="G42" s="90">
        <v>0.54800000000000004</v>
      </c>
      <c r="H42" s="90">
        <v>0.95299999999999996</v>
      </c>
      <c r="I42" s="90">
        <v>0.2</v>
      </c>
      <c r="J42" s="90">
        <v>0.2</v>
      </c>
      <c r="K42" s="90"/>
      <c r="L42" s="90"/>
      <c r="M42" s="90"/>
      <c r="N42" s="90"/>
      <c r="O42" s="90">
        <v>1</v>
      </c>
      <c r="P42" s="90">
        <v>1</v>
      </c>
      <c r="Q42" s="90">
        <v>1</v>
      </c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R42" s="90">
        <f t="shared" si="42"/>
        <v>3</v>
      </c>
      <c r="AS42" s="90">
        <f>SUM($B42:M42)</f>
        <v>4.5360000000000005</v>
      </c>
      <c r="AT42" s="89"/>
      <c r="CL42" s="90">
        <f t="shared" si="43"/>
        <v>0</v>
      </c>
      <c r="CM42" s="90">
        <f t="shared" si="44"/>
        <v>0</v>
      </c>
      <c r="CN42" s="89"/>
      <c r="DD42" s="90">
        <f t="shared" si="45"/>
        <v>0</v>
      </c>
      <c r="DE42" s="90">
        <f t="shared" si="46"/>
        <v>0</v>
      </c>
      <c r="DF42" s="89"/>
      <c r="DG42" s="88" t="s">
        <v>70</v>
      </c>
      <c r="DH42" s="90"/>
      <c r="DI42" s="90"/>
      <c r="DJ42" s="90"/>
      <c r="DK42" s="90"/>
      <c r="DL42" s="90"/>
      <c r="DM42" s="90"/>
      <c r="DN42" s="90"/>
      <c r="DO42" s="90"/>
      <c r="DP42" s="90"/>
      <c r="DQ42" s="90"/>
      <c r="DR42" s="90"/>
      <c r="DS42" s="90"/>
      <c r="DT42" s="90"/>
      <c r="DU42" s="90"/>
      <c r="DV42" s="90"/>
      <c r="DW42" s="90"/>
      <c r="DX42" s="90"/>
      <c r="DY42" s="90"/>
      <c r="DZ42" s="90"/>
      <c r="EA42" s="90"/>
      <c r="EB42" s="90"/>
      <c r="EC42" s="90"/>
      <c r="ED42" s="90"/>
      <c r="EE42" s="90"/>
      <c r="EF42" s="90"/>
      <c r="EG42" s="90"/>
      <c r="EH42" s="90"/>
      <c r="EI42" s="90">
        <v>1.0780000000000001</v>
      </c>
      <c r="EJ42" s="90">
        <v>0.61399999999999999</v>
      </c>
      <c r="EK42" s="90">
        <v>0.308</v>
      </c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0"/>
      <c r="EW42" s="90"/>
      <c r="EX42" s="90">
        <f t="shared" si="47"/>
        <v>2</v>
      </c>
      <c r="EY42" s="90">
        <f>ROUND(EX42*IFERROR(VLOOKUP($DG42,'3121% SY'!$A$2:$M$324,13,FALSE),0),3)</f>
        <v>0.40600000000000003</v>
      </c>
      <c r="EZ42" s="90">
        <f t="shared" si="48"/>
        <v>0</v>
      </c>
      <c r="FA42" s="90">
        <f>ROUND(EZ42*IFERROR(VLOOKUP($DG42,'3121% SY'!$A$2:$M$324,13,FALSE),0),3)</f>
        <v>0</v>
      </c>
    </row>
    <row r="43" spans="1:157" x14ac:dyDescent="0.25">
      <c r="A43" s="88" t="s">
        <v>46</v>
      </c>
      <c r="B43" s="90"/>
      <c r="C43" s="90"/>
      <c r="D43" s="90"/>
      <c r="E43" s="90">
        <v>1.294</v>
      </c>
      <c r="F43" s="90">
        <v>1.24</v>
      </c>
      <c r="G43" s="90">
        <v>9.0999999999999998E-2</v>
      </c>
      <c r="H43" s="90">
        <v>0.67</v>
      </c>
      <c r="I43" s="90">
        <v>0.33500000000000002</v>
      </c>
      <c r="J43" s="90">
        <v>0.33500000000000002</v>
      </c>
      <c r="K43" s="90"/>
      <c r="L43" s="90"/>
      <c r="M43" s="90"/>
      <c r="N43" s="90"/>
      <c r="O43" s="90">
        <v>1.081</v>
      </c>
      <c r="P43" s="90">
        <v>1.081</v>
      </c>
      <c r="Q43" s="90">
        <v>1.0329999999999999</v>
      </c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R43" s="90">
        <f t="shared" si="42"/>
        <v>3.1949999999999998</v>
      </c>
      <c r="AS43" s="90">
        <f>SUM($B43:M43)</f>
        <v>3.9649999999999999</v>
      </c>
      <c r="AT43" s="89"/>
      <c r="CL43" s="90">
        <f t="shared" si="43"/>
        <v>0</v>
      </c>
      <c r="CM43" s="90">
        <f t="shared" si="44"/>
        <v>0</v>
      </c>
      <c r="CN43" s="89"/>
      <c r="DD43" s="90">
        <f t="shared" si="45"/>
        <v>0</v>
      </c>
      <c r="DE43" s="90">
        <f t="shared" si="46"/>
        <v>0</v>
      </c>
      <c r="DF43" s="89"/>
      <c r="DG43" s="88" t="s">
        <v>71</v>
      </c>
      <c r="DH43" s="90"/>
      <c r="DI43" s="90"/>
      <c r="DJ43" s="90"/>
      <c r="DK43" s="90"/>
      <c r="DL43" s="90">
        <v>6.4669999999999996</v>
      </c>
      <c r="DM43" s="90"/>
      <c r="DN43" s="90"/>
      <c r="DO43" s="90">
        <v>3.3929999999999998</v>
      </c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>
        <v>4</v>
      </c>
      <c r="EA43" s="90"/>
      <c r="EB43" s="90"/>
      <c r="EC43" s="90"/>
      <c r="ED43" s="90"/>
      <c r="EE43" s="90"/>
      <c r="EF43" s="90">
        <v>11.5</v>
      </c>
      <c r="EG43" s="90">
        <v>0.91</v>
      </c>
      <c r="EH43" s="90">
        <v>0.41</v>
      </c>
      <c r="EI43" s="90">
        <v>6.4180000000000001</v>
      </c>
      <c r="EJ43" s="90"/>
      <c r="EK43" s="90"/>
      <c r="EL43" s="90">
        <v>3.5</v>
      </c>
      <c r="EM43" s="90"/>
      <c r="EN43" s="90"/>
      <c r="EO43" s="90">
        <v>2</v>
      </c>
      <c r="EP43" s="90"/>
      <c r="EQ43" s="90"/>
      <c r="ER43" s="90">
        <v>0.46</v>
      </c>
      <c r="ES43" s="90">
        <v>0.29499999999999998</v>
      </c>
      <c r="ET43" s="90">
        <v>0.16500000000000001</v>
      </c>
      <c r="EU43" s="90"/>
      <c r="EV43" s="90"/>
      <c r="EW43" s="90"/>
      <c r="EX43" s="90">
        <f t="shared" si="47"/>
        <v>29.658000000000001</v>
      </c>
      <c r="EY43" s="90">
        <f>ROUND(EX43*IFERROR(VLOOKUP($DG43,'3121% SY'!$A$2:$M$324,13,FALSE),0),3)</f>
        <v>7.4320000000000004</v>
      </c>
      <c r="EZ43" s="90">
        <f t="shared" si="48"/>
        <v>9.86</v>
      </c>
      <c r="FA43" s="90">
        <f>ROUND(EZ43*IFERROR(VLOOKUP($DG43,'3121% SY'!$A$2:$M$324,13,FALSE),0),3)</f>
        <v>2.4710000000000001</v>
      </c>
    </row>
    <row r="44" spans="1:157" x14ac:dyDescent="0.25">
      <c r="A44" s="88" t="s">
        <v>47</v>
      </c>
      <c r="B44" s="90">
        <v>0.78500000000000003</v>
      </c>
      <c r="C44" s="90"/>
      <c r="D44" s="90"/>
      <c r="E44" s="90"/>
      <c r="F44" s="90"/>
      <c r="G44" s="90"/>
      <c r="H44" s="90">
        <v>0.45600000000000002</v>
      </c>
      <c r="I44" s="90"/>
      <c r="J44" s="90">
        <v>0.158</v>
      </c>
      <c r="K44" s="90"/>
      <c r="L44" s="90"/>
      <c r="M44" s="90"/>
      <c r="N44" s="90"/>
      <c r="O44" s="90">
        <v>1.5</v>
      </c>
      <c r="P44" s="90">
        <v>1.75</v>
      </c>
      <c r="Q44" s="90">
        <v>1.2</v>
      </c>
      <c r="R44" s="90"/>
      <c r="S44" s="90"/>
      <c r="T44" s="90"/>
      <c r="U44" s="90"/>
      <c r="V44" s="90"/>
      <c r="W44" s="90"/>
      <c r="X44" s="90"/>
      <c r="Y44" s="90"/>
      <c r="Z44" s="90"/>
      <c r="AA44" s="90">
        <v>0.5</v>
      </c>
      <c r="AB44" s="90">
        <v>0.25</v>
      </c>
      <c r="AC44" s="90">
        <v>0.25</v>
      </c>
      <c r="AD44" s="90">
        <v>0.5</v>
      </c>
      <c r="AE44" s="90">
        <v>0.25</v>
      </c>
      <c r="AF44" s="90">
        <v>0.25</v>
      </c>
      <c r="AG44" s="90"/>
      <c r="AH44" s="90"/>
      <c r="AI44" s="90"/>
      <c r="AJ44" s="90"/>
      <c r="AK44" s="90"/>
      <c r="AL44" s="90"/>
      <c r="AM44" s="90"/>
      <c r="AN44" s="90"/>
      <c r="AO44" s="90"/>
      <c r="AR44" s="90">
        <f t="shared" si="42"/>
        <v>6.45</v>
      </c>
      <c r="AS44" s="90">
        <f>SUM($B44:M44)</f>
        <v>1.399</v>
      </c>
      <c r="AT44" s="89"/>
      <c r="CL44" s="90">
        <f t="shared" si="43"/>
        <v>0</v>
      </c>
      <c r="CM44" s="90">
        <f t="shared" si="44"/>
        <v>0</v>
      </c>
      <c r="CN44" s="89"/>
      <c r="DD44" s="90">
        <f t="shared" si="45"/>
        <v>0</v>
      </c>
      <c r="DE44" s="90">
        <f t="shared" si="46"/>
        <v>0</v>
      </c>
      <c r="DF44" s="89"/>
      <c r="DG44" s="88" t="s">
        <v>72</v>
      </c>
      <c r="DH44" s="90"/>
      <c r="DI44" s="90"/>
      <c r="DJ44" s="90"/>
      <c r="DK44" s="90"/>
      <c r="DL44" s="90">
        <v>0.83099999999999996</v>
      </c>
      <c r="DM44" s="90"/>
      <c r="DN44" s="90"/>
      <c r="DO44" s="90">
        <v>0.12</v>
      </c>
      <c r="DP44" s="90"/>
      <c r="DQ44" s="90"/>
      <c r="DR44" s="90"/>
      <c r="DS44" s="90"/>
      <c r="DT44" s="90"/>
      <c r="DU44" s="90"/>
      <c r="DV44" s="90"/>
      <c r="DW44" s="90"/>
      <c r="DX44" s="90"/>
      <c r="DY44" s="90"/>
      <c r="DZ44" s="90"/>
      <c r="EA44" s="90"/>
      <c r="EB44" s="90"/>
      <c r="EC44" s="90"/>
      <c r="ED44" s="90"/>
      <c r="EE44" s="90"/>
      <c r="EF44" s="90">
        <v>1.5249999999999999</v>
      </c>
      <c r="EG44" s="90">
        <v>0.86899999999999999</v>
      </c>
      <c r="EH44" s="90">
        <v>0.436</v>
      </c>
      <c r="EI44" s="90">
        <v>1.3340000000000001</v>
      </c>
      <c r="EJ44" s="90">
        <v>0.76200000000000001</v>
      </c>
      <c r="EK44" s="90">
        <v>0.38</v>
      </c>
      <c r="EL44" s="90"/>
      <c r="EM44" s="90"/>
      <c r="EN44" s="90"/>
      <c r="EO44" s="90"/>
      <c r="EP44" s="90"/>
      <c r="EQ44" s="90"/>
      <c r="ER44" s="90"/>
      <c r="ES44" s="90"/>
      <c r="ET44" s="90"/>
      <c r="EU44" s="90"/>
      <c r="EV44" s="90"/>
      <c r="EW44" s="90"/>
      <c r="EX44" s="90">
        <f t="shared" si="47"/>
        <v>5.306</v>
      </c>
      <c r="EY44" s="90">
        <f>ROUND(EX44*IFERROR(VLOOKUP($DG44,'3121% SY'!$A$2:$M$324,13,FALSE),0),3)</f>
        <v>1.26</v>
      </c>
      <c r="EZ44" s="90">
        <f t="shared" si="48"/>
        <v>0.95099999999999996</v>
      </c>
      <c r="FA44" s="90">
        <f>ROUND(EZ44*IFERROR(VLOOKUP($DG44,'3121% SY'!$A$2:$M$324,13,FALSE),0),3)</f>
        <v>0.22600000000000001</v>
      </c>
    </row>
    <row r="45" spans="1:157" x14ac:dyDescent="0.25">
      <c r="A45" s="88" t="s">
        <v>48</v>
      </c>
      <c r="B45" s="90"/>
      <c r="C45" s="90">
        <v>0.84599999999999997</v>
      </c>
      <c r="D45" s="90"/>
      <c r="E45" s="90">
        <v>3.9239999999999999</v>
      </c>
      <c r="F45" s="90"/>
      <c r="G45" s="90">
        <v>6.4000000000000001E-2</v>
      </c>
      <c r="H45" s="90">
        <v>4.6740000000000004</v>
      </c>
      <c r="I45" s="90">
        <v>0.73399999999999999</v>
      </c>
      <c r="J45" s="90">
        <v>0.89400000000000002</v>
      </c>
      <c r="K45" s="90"/>
      <c r="L45" s="90">
        <v>0.70799999999999996</v>
      </c>
      <c r="M45" s="90"/>
      <c r="N45" s="90"/>
      <c r="O45" s="90">
        <v>5.9029999999999996</v>
      </c>
      <c r="P45" s="90">
        <v>4</v>
      </c>
      <c r="Q45" s="90">
        <v>4</v>
      </c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>
        <v>2</v>
      </c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R45" s="90">
        <f t="shared" si="42"/>
        <v>15.902999999999999</v>
      </c>
      <c r="AS45" s="90">
        <f>SUM($B45:M45)</f>
        <v>11.843999999999999</v>
      </c>
      <c r="AT45" s="89"/>
      <c r="CL45" s="90">
        <f t="shared" si="43"/>
        <v>0</v>
      </c>
      <c r="CM45" s="90">
        <f t="shared" si="44"/>
        <v>0</v>
      </c>
      <c r="CN45" s="89"/>
      <c r="DD45" s="90">
        <f t="shared" si="45"/>
        <v>0</v>
      </c>
      <c r="DE45" s="90">
        <f t="shared" si="46"/>
        <v>0</v>
      </c>
      <c r="DF45" s="89"/>
      <c r="DG45" s="88" t="s">
        <v>75</v>
      </c>
      <c r="DH45" s="90"/>
      <c r="DI45" s="90"/>
      <c r="DJ45" s="90"/>
      <c r="DK45" s="90"/>
      <c r="DL45" s="90"/>
      <c r="DM45" s="90"/>
      <c r="DN45" s="90"/>
      <c r="DO45" s="90">
        <v>3.6259999999999999</v>
      </c>
      <c r="DP45" s="90"/>
      <c r="DQ45" s="90"/>
      <c r="DR45" s="90"/>
      <c r="DS45" s="90"/>
      <c r="DT45" s="90"/>
      <c r="DU45" s="90"/>
      <c r="DV45" s="90"/>
      <c r="DW45" s="90"/>
      <c r="DX45" s="90"/>
      <c r="DY45" s="90"/>
      <c r="DZ45" s="90"/>
      <c r="EA45" s="90"/>
      <c r="EB45" s="90"/>
      <c r="EC45" s="90"/>
      <c r="ED45" s="90"/>
      <c r="EE45" s="90"/>
      <c r="EF45" s="90">
        <v>0.436</v>
      </c>
      <c r="EG45" s="90"/>
      <c r="EH45" s="90"/>
      <c r="EI45" s="90"/>
      <c r="EJ45" s="90">
        <v>0.15</v>
      </c>
      <c r="EK45" s="90"/>
      <c r="EL45" s="90"/>
      <c r="EM45" s="90"/>
      <c r="EN45" s="90"/>
      <c r="EO45" s="90"/>
      <c r="EP45" s="90"/>
      <c r="EQ45" s="90"/>
      <c r="ER45" s="90"/>
      <c r="ES45" s="90"/>
      <c r="ET45" s="90"/>
      <c r="EU45" s="90">
        <v>12</v>
      </c>
      <c r="EV45" s="90"/>
      <c r="EW45" s="90"/>
      <c r="EX45" s="90">
        <f t="shared" si="47"/>
        <v>12.586</v>
      </c>
      <c r="EY45" s="90">
        <f>ROUND(EX45*IFERROR(VLOOKUP($DG45,'3121% SY'!$A$2:$M$324,13,FALSE),0),3)</f>
        <v>3.3820000000000001</v>
      </c>
      <c r="EZ45" s="90">
        <f t="shared" si="48"/>
        <v>3.6259999999999999</v>
      </c>
      <c r="FA45" s="90">
        <f>ROUND(EZ45*IFERROR(VLOOKUP($DG45,'3121% SY'!$A$2:$M$324,13,FALSE),0),3)</f>
        <v>0.97399999999999998</v>
      </c>
    </row>
    <row r="46" spans="1:157" x14ac:dyDescent="0.25">
      <c r="A46" s="88" t="s">
        <v>49</v>
      </c>
      <c r="B46" s="90"/>
      <c r="C46" s="90"/>
      <c r="D46" s="90"/>
      <c r="E46" s="90"/>
      <c r="F46" s="90"/>
      <c r="G46" s="90"/>
      <c r="H46" s="90">
        <v>0.107</v>
      </c>
      <c r="I46" s="90"/>
      <c r="J46" s="90">
        <v>3.2000000000000001E-2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R46" s="90">
        <f t="shared" si="42"/>
        <v>0</v>
      </c>
      <c r="AS46" s="90">
        <f>SUM($B46:M46)</f>
        <v>0.13900000000000001</v>
      </c>
      <c r="AT46" s="89"/>
      <c r="CL46" s="90">
        <f t="shared" si="43"/>
        <v>0</v>
      </c>
      <c r="CM46" s="90">
        <f t="shared" si="44"/>
        <v>0</v>
      </c>
      <c r="CN46" s="89"/>
      <c r="DD46" s="90">
        <f t="shared" si="45"/>
        <v>0</v>
      </c>
      <c r="DE46" s="90">
        <f t="shared" si="46"/>
        <v>0</v>
      </c>
      <c r="DF46" s="89"/>
      <c r="DG46" s="88" t="s">
        <v>76</v>
      </c>
      <c r="DH46" s="90"/>
      <c r="DI46" s="90"/>
      <c r="DJ46" s="90"/>
      <c r="DK46" s="90"/>
      <c r="DL46" s="90"/>
      <c r="DM46" s="90"/>
      <c r="DN46" s="90"/>
      <c r="DO46" s="90">
        <v>0.57499999999999996</v>
      </c>
      <c r="DP46" s="90"/>
      <c r="DQ46" s="90"/>
      <c r="DR46" s="90"/>
      <c r="DS46" s="90"/>
      <c r="DT46" s="90"/>
      <c r="DU46" s="90"/>
      <c r="DV46" s="90"/>
      <c r="DW46" s="90"/>
      <c r="DX46" s="90"/>
      <c r="DY46" s="90"/>
      <c r="DZ46" s="90"/>
      <c r="EA46" s="90"/>
      <c r="EB46" s="90"/>
      <c r="EC46" s="90"/>
      <c r="ED46" s="90"/>
      <c r="EE46" s="90"/>
      <c r="EF46" s="90"/>
      <c r="EG46" s="90"/>
      <c r="EH46" s="90"/>
      <c r="EI46" s="90">
        <v>1</v>
      </c>
      <c r="EJ46" s="90">
        <v>0.4</v>
      </c>
      <c r="EK46" s="90">
        <v>0.6</v>
      </c>
      <c r="EL46" s="90"/>
      <c r="EM46" s="90"/>
      <c r="EN46" s="90"/>
      <c r="EO46" s="90"/>
      <c r="EP46" s="90"/>
      <c r="EQ46" s="90"/>
      <c r="ER46" s="90"/>
      <c r="ES46" s="90"/>
      <c r="ET46" s="90"/>
      <c r="EU46" s="90">
        <v>5.5389999999999997</v>
      </c>
      <c r="EV46" s="90">
        <v>2.0209999999999999</v>
      </c>
      <c r="EW46" s="90">
        <v>1.44</v>
      </c>
      <c r="EX46" s="90">
        <f t="shared" si="47"/>
        <v>10.999999999999998</v>
      </c>
      <c r="EY46" s="90">
        <f>ROUND(EX46*IFERROR(VLOOKUP($DG46,'3121% SY'!$A$2:$M$324,13,FALSE),0),3)</f>
        <v>2.2040000000000002</v>
      </c>
      <c r="EZ46" s="90">
        <f t="shared" si="48"/>
        <v>0.57499999999999996</v>
      </c>
      <c r="FA46" s="90">
        <f>ROUND(EZ46*IFERROR(VLOOKUP($DG46,'3121% SY'!$A$2:$M$324,13,FALSE),0),3)</f>
        <v>0.115</v>
      </c>
    </row>
    <row r="47" spans="1:157" x14ac:dyDescent="0.25">
      <c r="A47" s="88" t="s">
        <v>50</v>
      </c>
      <c r="B47" s="90"/>
      <c r="C47" s="90"/>
      <c r="D47" s="90"/>
      <c r="E47" s="90"/>
      <c r="F47" s="90"/>
      <c r="G47" s="90"/>
      <c r="H47" s="90"/>
      <c r="I47" s="90">
        <v>1.2290000000000001</v>
      </c>
      <c r="J47" s="90"/>
      <c r="K47" s="90"/>
      <c r="L47" s="90"/>
      <c r="M47" s="90"/>
      <c r="N47" s="90"/>
      <c r="O47" s="90"/>
      <c r="P47" s="90">
        <v>1</v>
      </c>
      <c r="Q47" s="90">
        <v>1</v>
      </c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R47" s="90">
        <f t="shared" si="42"/>
        <v>2</v>
      </c>
      <c r="AS47" s="90">
        <f>SUM($B47:M47)</f>
        <v>1.2290000000000001</v>
      </c>
      <c r="AT47" s="89"/>
      <c r="CL47" s="90">
        <f t="shared" si="43"/>
        <v>0</v>
      </c>
      <c r="CM47" s="90">
        <f t="shared" si="44"/>
        <v>0</v>
      </c>
      <c r="CN47" s="89"/>
      <c r="DD47" s="90">
        <f t="shared" si="45"/>
        <v>0</v>
      </c>
      <c r="DE47" s="90">
        <f t="shared" si="46"/>
        <v>0</v>
      </c>
      <c r="DF47" s="89"/>
      <c r="DG47" s="88" t="s">
        <v>77</v>
      </c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>
        <v>0.5</v>
      </c>
      <c r="EG47" s="90">
        <v>0.25</v>
      </c>
      <c r="EH47" s="90">
        <v>0.25</v>
      </c>
      <c r="EI47" s="90"/>
      <c r="EJ47" s="90"/>
      <c r="EK47" s="90"/>
      <c r="EL47" s="90"/>
      <c r="EM47" s="90"/>
      <c r="EN47" s="90"/>
      <c r="EO47" s="90"/>
      <c r="EP47" s="90"/>
      <c r="EQ47" s="90"/>
      <c r="ER47" s="90"/>
      <c r="ES47" s="90"/>
      <c r="ET47" s="90"/>
      <c r="EU47" s="90"/>
      <c r="EV47" s="90"/>
      <c r="EW47" s="90"/>
      <c r="EX47" s="90">
        <f t="shared" si="47"/>
        <v>1</v>
      </c>
      <c r="EY47" s="90">
        <f>ROUND(EX47*IFERROR(VLOOKUP($DG47,'3121% SY'!$A$2:$M$324,13,FALSE),0),3)</f>
        <v>0.20499999999999999</v>
      </c>
      <c r="EZ47" s="90">
        <f t="shared" si="48"/>
        <v>0</v>
      </c>
      <c r="FA47" s="90">
        <f>ROUND(EZ47*IFERROR(VLOOKUP($DG47,'3121% SY'!$A$2:$M$324,13,FALSE),0),3)</f>
        <v>0</v>
      </c>
    </row>
    <row r="48" spans="1:157" x14ac:dyDescent="0.25">
      <c r="A48" s="88" t="s">
        <v>51</v>
      </c>
      <c r="B48" s="90"/>
      <c r="C48" s="90"/>
      <c r="D48" s="90"/>
      <c r="E48" s="90"/>
      <c r="F48" s="90">
        <v>9.6000000000000002E-2</v>
      </c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R48" s="90">
        <f t="shared" si="42"/>
        <v>0</v>
      </c>
      <c r="AS48" s="90">
        <f>SUM($B48:M48)</f>
        <v>9.6000000000000002E-2</v>
      </c>
      <c r="AT48" s="89"/>
      <c r="CL48" s="90">
        <f t="shared" si="43"/>
        <v>0</v>
      </c>
      <c r="CM48" s="90">
        <f t="shared" si="44"/>
        <v>0</v>
      </c>
      <c r="CN48" s="89"/>
      <c r="DD48" s="90">
        <f t="shared" si="45"/>
        <v>0</v>
      </c>
      <c r="DE48" s="90">
        <f t="shared" si="46"/>
        <v>0</v>
      </c>
      <c r="DF48" s="89"/>
      <c r="DG48" s="88" t="s">
        <v>79</v>
      </c>
      <c r="DH48" s="90"/>
      <c r="DI48" s="90"/>
      <c r="DJ48" s="90"/>
      <c r="DK48" s="90"/>
      <c r="DL48" s="90">
        <v>1.4419999999999999</v>
      </c>
      <c r="DM48" s="90"/>
      <c r="DN48" s="90"/>
      <c r="DO48" s="90">
        <v>0.59399999999999997</v>
      </c>
      <c r="DP48" s="90"/>
      <c r="DQ48" s="90"/>
      <c r="DR48" s="90"/>
      <c r="DS48" s="90"/>
      <c r="DT48" s="90"/>
      <c r="DU48" s="90"/>
      <c r="DV48" s="90"/>
      <c r="DW48" s="90"/>
      <c r="DX48" s="90"/>
      <c r="DY48" s="90"/>
      <c r="DZ48" s="90"/>
      <c r="EA48" s="90"/>
      <c r="EB48" s="90"/>
      <c r="EC48" s="90"/>
      <c r="ED48" s="90"/>
      <c r="EE48" s="90"/>
      <c r="EF48" s="90">
        <v>1</v>
      </c>
      <c r="EG48" s="90"/>
      <c r="EH48" s="90"/>
      <c r="EI48" s="90">
        <v>1</v>
      </c>
      <c r="EJ48" s="90"/>
      <c r="EK48" s="90"/>
      <c r="EL48" s="90"/>
      <c r="EM48" s="90"/>
      <c r="EN48" s="90"/>
      <c r="EO48" s="90">
        <v>1</v>
      </c>
      <c r="EP48" s="90"/>
      <c r="EQ48" s="90"/>
      <c r="ER48" s="90"/>
      <c r="ES48" s="90"/>
      <c r="ET48" s="90"/>
      <c r="EU48" s="90"/>
      <c r="EV48" s="90"/>
      <c r="EW48" s="90"/>
      <c r="EX48" s="90">
        <f t="shared" si="47"/>
        <v>3</v>
      </c>
      <c r="EY48" s="90">
        <f>ROUND(EX48*IFERROR(VLOOKUP($DG48,'3121% SY'!$A$2:$M$324,13,FALSE),0),3)</f>
        <v>0.70199999999999996</v>
      </c>
      <c r="EZ48" s="90">
        <f t="shared" si="48"/>
        <v>2.036</v>
      </c>
      <c r="FA48" s="90">
        <f>ROUND(EZ48*IFERROR(VLOOKUP($DG48,'3121% SY'!$A$2:$M$324,13,FALSE),0),3)</f>
        <v>0.47699999999999998</v>
      </c>
    </row>
    <row r="49" spans="1:157" x14ac:dyDescent="0.25">
      <c r="A49" s="88" t="s">
        <v>52</v>
      </c>
      <c r="B49" s="90"/>
      <c r="C49" s="90"/>
      <c r="D49" s="90"/>
      <c r="E49" s="90"/>
      <c r="F49" s="90">
        <v>15.988</v>
      </c>
      <c r="G49" s="90"/>
      <c r="H49" s="90"/>
      <c r="I49" s="90">
        <v>5.5110000000000001</v>
      </c>
      <c r="J49" s="90"/>
      <c r="K49" s="90"/>
      <c r="L49" s="90"/>
      <c r="M49" s="90"/>
      <c r="N49" s="90"/>
      <c r="O49" s="90">
        <v>6</v>
      </c>
      <c r="P49" s="90">
        <v>3.0169999999999999</v>
      </c>
      <c r="Q49" s="90">
        <v>1.333</v>
      </c>
      <c r="R49" s="90"/>
      <c r="S49" s="90"/>
      <c r="T49" s="90"/>
      <c r="U49" s="90"/>
      <c r="V49" s="90"/>
      <c r="W49" s="90"/>
      <c r="X49" s="90"/>
      <c r="Y49" s="90"/>
      <c r="Z49" s="90"/>
      <c r="AA49" s="90">
        <v>1.25</v>
      </c>
      <c r="AB49" s="90">
        <v>0.33300000000000002</v>
      </c>
      <c r="AC49" s="90">
        <v>0.16700000000000001</v>
      </c>
      <c r="AD49" s="90">
        <v>2.84</v>
      </c>
      <c r="AE49" s="90">
        <v>1.6220000000000001</v>
      </c>
      <c r="AF49" s="90">
        <v>0.81100000000000005</v>
      </c>
      <c r="AG49" s="90"/>
      <c r="AH49" s="90"/>
      <c r="AI49" s="90"/>
      <c r="AJ49" s="90"/>
      <c r="AK49" s="90">
        <v>0.75</v>
      </c>
      <c r="AL49" s="90"/>
      <c r="AM49" s="90"/>
      <c r="AN49" s="90"/>
      <c r="AO49" s="90"/>
      <c r="AR49" s="90">
        <f t="shared" si="42"/>
        <v>18.123000000000001</v>
      </c>
      <c r="AS49" s="90">
        <f>SUM($B49:M49)</f>
        <v>21.498999999999999</v>
      </c>
      <c r="AT49" s="89"/>
      <c r="CL49" s="90">
        <f t="shared" si="43"/>
        <v>0</v>
      </c>
      <c r="CM49" s="90">
        <f t="shared" si="44"/>
        <v>0</v>
      </c>
      <c r="CN49" s="89"/>
      <c r="DD49" s="90">
        <f t="shared" si="45"/>
        <v>0</v>
      </c>
      <c r="DE49" s="90">
        <f t="shared" si="46"/>
        <v>0</v>
      </c>
      <c r="DF49" s="89"/>
      <c r="DG49" s="88" t="s">
        <v>80</v>
      </c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>
        <v>0.75</v>
      </c>
      <c r="EG49" s="90">
        <v>0.15</v>
      </c>
      <c r="EH49" s="90">
        <v>0.1</v>
      </c>
      <c r="EI49" s="90">
        <v>0.33</v>
      </c>
      <c r="EJ49" s="90">
        <v>0.5</v>
      </c>
      <c r="EK49" s="90">
        <v>0.83</v>
      </c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>
        <f t="shared" si="47"/>
        <v>2.66</v>
      </c>
      <c r="EY49" s="90">
        <f>ROUND(EX49*IFERROR(VLOOKUP($DG49,'3121% SY'!$A$2:$M$324,13,FALSE),0),3)</f>
        <v>0.68100000000000005</v>
      </c>
      <c r="EZ49" s="90">
        <f t="shared" si="48"/>
        <v>0</v>
      </c>
      <c r="FA49" s="90">
        <f>ROUND(EZ49*IFERROR(VLOOKUP($DG49,'3121% SY'!$A$2:$M$324,13,FALSE),0),3)</f>
        <v>0</v>
      </c>
    </row>
    <row r="50" spans="1:157" x14ac:dyDescent="0.25">
      <c r="A50" s="88" t="s">
        <v>53</v>
      </c>
      <c r="B50" s="90"/>
      <c r="C50" s="90"/>
      <c r="D50" s="90"/>
      <c r="E50" s="90">
        <v>0.13300000000000001</v>
      </c>
      <c r="F50" s="90"/>
      <c r="G50" s="90"/>
      <c r="H50" s="90"/>
      <c r="I50" s="90">
        <v>0.503</v>
      </c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R50" s="90">
        <f t="shared" si="42"/>
        <v>0</v>
      </c>
      <c r="AS50" s="90">
        <f>SUM($B50:M50)</f>
        <v>0.63600000000000001</v>
      </c>
      <c r="AT50" s="89"/>
      <c r="CL50" s="90">
        <f t="shared" si="43"/>
        <v>0</v>
      </c>
      <c r="CM50" s="90">
        <f t="shared" si="44"/>
        <v>0</v>
      </c>
      <c r="CN50" s="89"/>
      <c r="DD50" s="90">
        <f t="shared" si="45"/>
        <v>0</v>
      </c>
      <c r="DE50" s="90">
        <f t="shared" si="46"/>
        <v>0</v>
      </c>
      <c r="DF50" s="89"/>
      <c r="DG50" s="88" t="s">
        <v>81</v>
      </c>
      <c r="DH50" s="90"/>
      <c r="DI50" s="90"/>
      <c r="DJ50" s="90"/>
      <c r="DK50" s="90"/>
      <c r="DL50" s="90"/>
      <c r="DM50" s="90"/>
      <c r="DN50" s="90">
        <v>0.222</v>
      </c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0"/>
      <c r="EF50" s="90"/>
      <c r="EG50" s="90"/>
      <c r="EH50" s="90"/>
      <c r="EI50" s="90"/>
      <c r="EJ50" s="90"/>
      <c r="EK50" s="90"/>
      <c r="EL50" s="90"/>
      <c r="EM50" s="90"/>
      <c r="EN50" s="90"/>
      <c r="EO50" s="90"/>
      <c r="EP50" s="90"/>
      <c r="EQ50" s="90"/>
      <c r="ER50" s="90"/>
      <c r="ES50" s="90"/>
      <c r="ET50" s="90"/>
      <c r="EU50" s="90"/>
      <c r="EV50" s="90"/>
      <c r="EW50" s="90"/>
      <c r="EX50" s="90">
        <f t="shared" si="47"/>
        <v>0</v>
      </c>
      <c r="EY50" s="90">
        <f>ROUND(EX50*IFERROR(VLOOKUP($DG50,'3121% SY'!$A$2:$M$324,13,FALSE),0),3)</f>
        <v>0</v>
      </c>
      <c r="EZ50" s="90">
        <f t="shared" si="48"/>
        <v>0.222</v>
      </c>
      <c r="FA50" s="90">
        <f>ROUND(EZ50*IFERROR(VLOOKUP($DG50,'3121% SY'!$A$2:$M$324,13,FALSE),0),3)</f>
        <v>2.5000000000000001E-2</v>
      </c>
    </row>
    <row r="51" spans="1:157" x14ac:dyDescent="0.25">
      <c r="A51" s="88" t="s">
        <v>54</v>
      </c>
      <c r="B51" s="90"/>
      <c r="C51" s="90"/>
      <c r="D51" s="90"/>
      <c r="E51" s="90"/>
      <c r="F51" s="90"/>
      <c r="G51" s="90"/>
      <c r="H51" s="90"/>
      <c r="I51" s="90">
        <v>0.64600000000000002</v>
      </c>
      <c r="J51" s="90"/>
      <c r="K51" s="90"/>
      <c r="L51" s="90"/>
      <c r="M51" s="90"/>
      <c r="N51" s="90"/>
      <c r="O51" s="90"/>
      <c r="P51" s="90"/>
      <c r="Q51" s="90">
        <v>0.49</v>
      </c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R51" s="90">
        <f t="shared" si="42"/>
        <v>0.49</v>
      </c>
      <c r="AS51" s="90">
        <f>SUM($B51:M51)</f>
        <v>0.64600000000000002</v>
      </c>
      <c r="AT51" s="89"/>
      <c r="CL51" s="90">
        <f t="shared" si="43"/>
        <v>0</v>
      </c>
      <c r="CM51" s="90">
        <f t="shared" si="44"/>
        <v>0</v>
      </c>
      <c r="CN51" s="89"/>
      <c r="DD51" s="90">
        <f t="shared" si="45"/>
        <v>0</v>
      </c>
      <c r="DE51" s="90">
        <f t="shared" si="46"/>
        <v>0</v>
      </c>
      <c r="DF51" s="89"/>
      <c r="DG51" s="88" t="s">
        <v>83</v>
      </c>
      <c r="DH51" s="90"/>
      <c r="DI51" s="90"/>
      <c r="DJ51" s="90"/>
      <c r="DK51" s="90"/>
      <c r="DL51" s="90"/>
      <c r="DM51" s="90"/>
      <c r="DN51" s="90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0"/>
      <c r="EF51" s="90"/>
      <c r="EG51" s="90"/>
      <c r="EH51" s="90"/>
      <c r="EI51" s="90"/>
      <c r="EJ51" s="90"/>
      <c r="EK51" s="90"/>
      <c r="EL51" s="90"/>
      <c r="EM51" s="90"/>
      <c r="EN51" s="90"/>
      <c r="EO51" s="90"/>
      <c r="EP51" s="90"/>
      <c r="EQ51" s="90"/>
      <c r="ER51" s="90"/>
      <c r="ES51" s="90"/>
      <c r="ET51" s="90"/>
      <c r="EU51" s="90">
        <v>0.20599999999999999</v>
      </c>
      <c r="EV51" s="90"/>
      <c r="EW51" s="90"/>
      <c r="EX51" s="90">
        <f t="shared" si="47"/>
        <v>0.20599999999999999</v>
      </c>
      <c r="EY51" s="90">
        <f>ROUND(EX51*IFERROR(VLOOKUP($DG51,'3121% SY'!$A$2:$M$324,13,FALSE),0),3)</f>
        <v>5.5E-2</v>
      </c>
      <c r="EZ51" s="90">
        <f t="shared" si="48"/>
        <v>0</v>
      </c>
      <c r="FA51" s="90">
        <f>ROUND(EZ51*IFERROR(VLOOKUP($DG51,'3121% SY'!$A$2:$M$324,13,FALSE),0),3)</f>
        <v>0</v>
      </c>
    </row>
    <row r="52" spans="1:157" x14ac:dyDescent="0.25">
      <c r="A52" s="88" t="s">
        <v>55</v>
      </c>
      <c r="B52" s="90"/>
      <c r="C52" s="90"/>
      <c r="D52" s="90"/>
      <c r="E52" s="90"/>
      <c r="F52" s="90"/>
      <c r="G52" s="90"/>
      <c r="H52" s="90"/>
      <c r="I52" s="90">
        <v>0.22900000000000001</v>
      </c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R52" s="90">
        <f t="shared" si="42"/>
        <v>0</v>
      </c>
      <c r="AS52" s="90">
        <f>SUM($B52:M52)</f>
        <v>0.22900000000000001</v>
      </c>
      <c r="AT52" s="89"/>
      <c r="CL52" s="90">
        <f t="shared" si="43"/>
        <v>0</v>
      </c>
      <c r="CM52" s="90">
        <f t="shared" si="44"/>
        <v>0</v>
      </c>
      <c r="CN52" s="89"/>
      <c r="DD52" s="90">
        <f t="shared" si="45"/>
        <v>0</v>
      </c>
      <c r="DE52" s="90">
        <f t="shared" si="46"/>
        <v>0</v>
      </c>
      <c r="DF52" s="89"/>
      <c r="DG52" s="88" t="s">
        <v>87</v>
      </c>
      <c r="DH52" s="90"/>
      <c r="DI52" s="90"/>
      <c r="DJ52" s="90"/>
      <c r="DK52" s="90"/>
      <c r="DL52" s="90"/>
      <c r="DM52" s="90"/>
      <c r="DN52" s="90"/>
      <c r="DO52" s="90">
        <v>0.251</v>
      </c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>
        <v>0.65</v>
      </c>
      <c r="EA52" s="90">
        <v>0.2</v>
      </c>
      <c r="EB52" s="90">
        <v>0.05</v>
      </c>
      <c r="EC52" s="90"/>
      <c r="ED52" s="90"/>
      <c r="EE52" s="90"/>
      <c r="EF52" s="90">
        <v>0.52</v>
      </c>
      <c r="EG52" s="90">
        <v>0.16</v>
      </c>
      <c r="EH52" s="90">
        <v>0.04</v>
      </c>
      <c r="EI52" s="90">
        <v>0.32500000000000001</v>
      </c>
      <c r="EJ52" s="90">
        <v>0.1</v>
      </c>
      <c r="EK52" s="90">
        <v>2.5000000000000001E-2</v>
      </c>
      <c r="EL52" s="90"/>
      <c r="EM52" s="90"/>
      <c r="EN52" s="90"/>
      <c r="EO52" s="90"/>
      <c r="EP52" s="90"/>
      <c r="EQ52" s="90"/>
      <c r="ER52" s="90"/>
      <c r="ES52" s="90"/>
      <c r="ET52" s="90"/>
      <c r="EU52" s="90"/>
      <c r="EV52" s="90"/>
      <c r="EW52" s="90"/>
      <c r="EX52" s="90">
        <f t="shared" si="47"/>
        <v>2.0699999999999998</v>
      </c>
      <c r="EY52" s="90">
        <f>ROUND(EX52*IFERROR(VLOOKUP($DG52,'3121% SY'!$A$2:$M$324,13,FALSE),0),3)</f>
        <v>0.38</v>
      </c>
      <c r="EZ52" s="90">
        <f t="shared" si="48"/>
        <v>0.251</v>
      </c>
      <c r="FA52" s="90">
        <f>ROUND(EZ52*IFERROR(VLOOKUP($DG52,'3121% SY'!$A$2:$M$324,13,FALSE),0),3)</f>
        <v>4.5999999999999999E-2</v>
      </c>
    </row>
    <row r="53" spans="1:157" x14ac:dyDescent="0.25">
      <c r="A53" s="88" t="s">
        <v>56</v>
      </c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>
        <v>0.5</v>
      </c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R53" s="90">
        <f t="shared" si="42"/>
        <v>0.5</v>
      </c>
      <c r="AS53" s="90">
        <f>SUM($B53:M53)</f>
        <v>0</v>
      </c>
      <c r="AT53" s="89"/>
      <c r="CL53" s="90">
        <f t="shared" si="43"/>
        <v>0</v>
      </c>
      <c r="CM53" s="90">
        <f t="shared" si="44"/>
        <v>0</v>
      </c>
      <c r="CN53" s="89"/>
      <c r="DD53" s="90">
        <f t="shared" si="45"/>
        <v>0</v>
      </c>
      <c r="DE53" s="90">
        <f t="shared" si="46"/>
        <v>0</v>
      </c>
      <c r="DF53" s="89"/>
      <c r="DG53" s="88" t="s">
        <v>88</v>
      </c>
      <c r="DH53" s="90"/>
      <c r="DI53" s="90"/>
      <c r="DJ53" s="90"/>
      <c r="DK53" s="90"/>
      <c r="DL53" s="90"/>
      <c r="DM53" s="90"/>
      <c r="DN53" s="90">
        <v>0.72899999999999998</v>
      </c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>
        <v>1.6619999999999999</v>
      </c>
      <c r="EA53" s="90">
        <v>0.23</v>
      </c>
      <c r="EB53" s="90"/>
      <c r="EC53" s="90"/>
      <c r="ED53" s="90"/>
      <c r="EE53" s="90"/>
      <c r="EF53" s="90">
        <v>7.7640000000000002</v>
      </c>
      <c r="EG53" s="90">
        <v>0.08</v>
      </c>
      <c r="EH53" s="90">
        <v>1</v>
      </c>
      <c r="EI53" s="90">
        <v>2.2080000000000002</v>
      </c>
      <c r="EJ53" s="90">
        <v>1.5</v>
      </c>
      <c r="EK53" s="90">
        <v>1</v>
      </c>
      <c r="EL53" s="90"/>
      <c r="EM53" s="90"/>
      <c r="EN53" s="90"/>
      <c r="EO53" s="90">
        <v>0.80800000000000005</v>
      </c>
      <c r="EP53" s="90">
        <v>0.192</v>
      </c>
      <c r="EQ53" s="90"/>
      <c r="ER53" s="90"/>
      <c r="ES53" s="90"/>
      <c r="ET53" s="90"/>
      <c r="EU53" s="90"/>
      <c r="EV53" s="90"/>
      <c r="EW53" s="90"/>
      <c r="EX53" s="90">
        <f t="shared" si="47"/>
        <v>16.444000000000003</v>
      </c>
      <c r="EY53" s="90">
        <f>ROUND(EX53*IFERROR(VLOOKUP($DG53,'3121% SY'!$A$2:$M$324,13,FALSE),0),3)</f>
        <v>4.6829999999999998</v>
      </c>
      <c r="EZ53" s="90">
        <f t="shared" si="48"/>
        <v>0.72899999999999998</v>
      </c>
      <c r="FA53" s="90">
        <f>ROUND(EZ53*IFERROR(VLOOKUP($DG53,'3121% SY'!$A$2:$M$324,13,FALSE),0),3)</f>
        <v>0.20799999999999999</v>
      </c>
    </row>
    <row r="54" spans="1:157" x14ac:dyDescent="0.25">
      <c r="A54" s="88" t="s">
        <v>57</v>
      </c>
      <c r="B54" s="90"/>
      <c r="C54" s="90"/>
      <c r="D54" s="90"/>
      <c r="E54" s="90"/>
      <c r="F54" s="90"/>
      <c r="G54" s="90"/>
      <c r="H54" s="90">
        <v>0.11899999999999999</v>
      </c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R54" s="90">
        <f t="shared" si="42"/>
        <v>0</v>
      </c>
      <c r="AS54" s="90">
        <f>SUM($B54:M54)</f>
        <v>0.11899999999999999</v>
      </c>
      <c r="AT54" s="89"/>
      <c r="CL54" s="90">
        <f t="shared" si="43"/>
        <v>0</v>
      </c>
      <c r="CM54" s="90">
        <f t="shared" si="44"/>
        <v>0</v>
      </c>
      <c r="CN54" s="89"/>
      <c r="DD54" s="90">
        <f t="shared" si="45"/>
        <v>0</v>
      </c>
      <c r="DE54" s="90">
        <f t="shared" si="46"/>
        <v>0</v>
      </c>
      <c r="DF54" s="89"/>
      <c r="DG54" s="88" t="s">
        <v>89</v>
      </c>
      <c r="DH54" s="90"/>
      <c r="DI54" s="90"/>
      <c r="DJ54" s="90"/>
      <c r="DK54" s="90"/>
      <c r="DL54" s="90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0"/>
      <c r="EF54" s="90">
        <v>0.52</v>
      </c>
      <c r="EG54" s="90">
        <v>0.32</v>
      </c>
      <c r="EH54" s="90">
        <v>0.16</v>
      </c>
      <c r="EI54" s="90"/>
      <c r="EJ54" s="90"/>
      <c r="EK54" s="90"/>
      <c r="EL54" s="90"/>
      <c r="EM54" s="90"/>
      <c r="EN54" s="90"/>
      <c r="EO54" s="90"/>
      <c r="EP54" s="90"/>
      <c r="EQ54" s="90"/>
      <c r="ER54" s="90"/>
      <c r="ES54" s="90"/>
      <c r="ET54" s="90"/>
      <c r="EU54" s="90"/>
      <c r="EV54" s="90"/>
      <c r="EW54" s="90"/>
      <c r="EX54" s="90">
        <f t="shared" si="47"/>
        <v>1</v>
      </c>
      <c r="EY54" s="90">
        <f>ROUND(EX54*IFERROR(VLOOKUP($DG54,'3121% SY'!$A$2:$M$324,13,FALSE),0),3)</f>
        <v>0.222</v>
      </c>
      <c r="EZ54" s="90">
        <f t="shared" si="48"/>
        <v>0</v>
      </c>
      <c r="FA54" s="90">
        <f>ROUND(EZ54*IFERROR(VLOOKUP($DG54,'3121% SY'!$A$2:$M$324,13,FALSE),0),3)</f>
        <v>0</v>
      </c>
    </row>
    <row r="55" spans="1:157" x14ac:dyDescent="0.25">
      <c r="A55" s="88" t="s">
        <v>58</v>
      </c>
      <c r="B55" s="90"/>
      <c r="C55" s="90"/>
      <c r="D55" s="90"/>
      <c r="E55" s="90"/>
      <c r="F55" s="90"/>
      <c r="G55" s="90"/>
      <c r="H55" s="90"/>
      <c r="I55" s="90">
        <v>3.7999999999999999E-2</v>
      </c>
      <c r="J55" s="90"/>
      <c r="K55" s="90"/>
      <c r="L55" s="90"/>
      <c r="M55" s="90"/>
      <c r="N55" s="90"/>
      <c r="O55" s="90">
        <v>0.3</v>
      </c>
      <c r="P55" s="90">
        <v>1.1499999999999999</v>
      </c>
      <c r="Q55" s="90">
        <v>0.3</v>
      </c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R55" s="90">
        <f t="shared" si="42"/>
        <v>1.75</v>
      </c>
      <c r="AS55" s="90">
        <f>SUM($B55:M55)</f>
        <v>3.7999999999999999E-2</v>
      </c>
      <c r="AT55" s="89"/>
      <c r="CL55" s="90">
        <f t="shared" si="43"/>
        <v>0</v>
      </c>
      <c r="CM55" s="90">
        <f t="shared" si="44"/>
        <v>0</v>
      </c>
      <c r="CN55" s="89"/>
      <c r="DD55" s="90">
        <f t="shared" si="45"/>
        <v>0</v>
      </c>
      <c r="DE55" s="90">
        <f t="shared" si="46"/>
        <v>0</v>
      </c>
      <c r="DF55" s="89"/>
      <c r="DG55" s="88" t="s">
        <v>90</v>
      </c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>
        <v>0.8</v>
      </c>
      <c r="EA55" s="90"/>
      <c r="EB55" s="90"/>
      <c r="EC55" s="90"/>
      <c r="ED55" s="90"/>
      <c r="EE55" s="90"/>
      <c r="EF55" s="90">
        <v>0.46800000000000003</v>
      </c>
      <c r="EG55" s="90"/>
      <c r="EH55" s="90"/>
      <c r="EI55" s="90">
        <v>1</v>
      </c>
      <c r="EJ55" s="90">
        <v>0.42</v>
      </c>
      <c r="EK55" s="90">
        <v>0.28000000000000003</v>
      </c>
      <c r="EL55" s="90"/>
      <c r="EM55" s="90"/>
      <c r="EN55" s="90"/>
      <c r="EO55" s="90"/>
      <c r="EP55" s="90"/>
      <c r="EQ55" s="90"/>
      <c r="ER55" s="90"/>
      <c r="ES55" s="90"/>
      <c r="ET55" s="90"/>
      <c r="EU55" s="90"/>
      <c r="EV55" s="90"/>
      <c r="EW55" s="90"/>
      <c r="EX55" s="90">
        <f t="shared" si="47"/>
        <v>2.968</v>
      </c>
      <c r="EY55" s="90">
        <f>ROUND(EX55*IFERROR(VLOOKUP($DG55,'3121% SY'!$A$2:$M$324,13,FALSE),0),3)</f>
        <v>0.67100000000000004</v>
      </c>
      <c r="EZ55" s="90">
        <f t="shared" si="48"/>
        <v>0</v>
      </c>
      <c r="FA55" s="90">
        <f>ROUND(EZ55*IFERROR(VLOOKUP($DG55,'3121% SY'!$A$2:$M$324,13,FALSE),0),3)</f>
        <v>0</v>
      </c>
    </row>
    <row r="56" spans="1:157" x14ac:dyDescent="0.25">
      <c r="A56" s="88" t="s">
        <v>59</v>
      </c>
      <c r="B56" s="90"/>
      <c r="C56" s="90">
        <v>0.63300000000000001</v>
      </c>
      <c r="D56" s="90"/>
      <c r="E56" s="90"/>
      <c r="F56" s="90"/>
      <c r="G56" s="90"/>
      <c r="H56" s="90"/>
      <c r="I56" s="90">
        <v>0.46200000000000002</v>
      </c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R56" s="90">
        <f t="shared" si="42"/>
        <v>0</v>
      </c>
      <c r="AS56" s="90">
        <f>SUM($B56:M56)</f>
        <v>1.095</v>
      </c>
      <c r="AT56" s="89"/>
      <c r="CL56" s="90">
        <f t="shared" si="43"/>
        <v>0</v>
      </c>
      <c r="CM56" s="90">
        <f t="shared" si="44"/>
        <v>0</v>
      </c>
      <c r="CN56" s="89"/>
      <c r="DD56" s="90">
        <f t="shared" si="45"/>
        <v>0</v>
      </c>
      <c r="DE56" s="90">
        <f t="shared" si="46"/>
        <v>0</v>
      </c>
      <c r="DF56" s="89"/>
      <c r="DG56" s="88" t="s">
        <v>92</v>
      </c>
      <c r="DH56" s="90"/>
      <c r="DI56" s="90"/>
      <c r="DJ56" s="90"/>
      <c r="DK56" s="90"/>
      <c r="DL56" s="90"/>
      <c r="DM56" s="90"/>
      <c r="DN56" s="90"/>
      <c r="DO56" s="90">
        <v>8.0000000000000002E-3</v>
      </c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0"/>
      <c r="EF56" s="90"/>
      <c r="EG56" s="90"/>
      <c r="EH56" s="90"/>
      <c r="EI56" s="90"/>
      <c r="EJ56" s="90"/>
      <c r="EK56" s="90"/>
      <c r="EL56" s="90"/>
      <c r="EM56" s="90"/>
      <c r="EN56" s="90"/>
      <c r="EO56" s="90"/>
      <c r="EP56" s="90"/>
      <c r="EQ56" s="90"/>
      <c r="ER56" s="90"/>
      <c r="ES56" s="90"/>
      <c r="ET56" s="90"/>
      <c r="EU56" s="90"/>
      <c r="EV56" s="90"/>
      <c r="EW56" s="90"/>
      <c r="EX56" s="90">
        <f t="shared" si="47"/>
        <v>0</v>
      </c>
      <c r="EY56" s="90">
        <f>ROUND(EX56*IFERROR(VLOOKUP($DG56,'3121% SY'!$A$2:$M$324,13,FALSE),0),3)</f>
        <v>0</v>
      </c>
      <c r="EZ56" s="90">
        <f t="shared" si="48"/>
        <v>8.0000000000000002E-3</v>
      </c>
      <c r="FA56" s="90">
        <f>ROUND(EZ56*IFERROR(VLOOKUP($DG56,'3121% SY'!$A$2:$M$324,13,FALSE),0),3)</f>
        <v>1E-3</v>
      </c>
    </row>
    <row r="57" spans="1:157" x14ac:dyDescent="0.25">
      <c r="A57" s="88" t="s">
        <v>60</v>
      </c>
      <c r="B57" s="90"/>
      <c r="C57" s="90">
        <v>2.4820000000000002</v>
      </c>
      <c r="D57" s="90"/>
      <c r="E57" s="90"/>
      <c r="F57" s="90">
        <v>42.646000000000001</v>
      </c>
      <c r="G57" s="90"/>
      <c r="H57" s="90"/>
      <c r="I57" s="90">
        <v>1.8160000000000001</v>
      </c>
      <c r="J57" s="90"/>
      <c r="K57" s="90"/>
      <c r="L57" s="90"/>
      <c r="M57" s="90"/>
      <c r="N57" s="90"/>
      <c r="O57" s="90">
        <v>16</v>
      </c>
      <c r="P57" s="90">
        <v>17.654</v>
      </c>
      <c r="Q57" s="90">
        <v>8.02</v>
      </c>
      <c r="R57" s="90">
        <v>1.2</v>
      </c>
      <c r="S57" s="90"/>
      <c r="T57" s="90"/>
      <c r="U57" s="90"/>
      <c r="V57" s="90">
        <v>1</v>
      </c>
      <c r="W57" s="90"/>
      <c r="X57" s="90"/>
      <c r="Y57" s="90"/>
      <c r="Z57" s="90"/>
      <c r="AA57" s="90"/>
      <c r="AB57" s="90"/>
      <c r="AC57" s="90"/>
      <c r="AD57" s="90">
        <v>19.305</v>
      </c>
      <c r="AE57" s="90">
        <v>2</v>
      </c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R57" s="90">
        <f t="shared" si="42"/>
        <v>65.179000000000002</v>
      </c>
      <c r="AS57" s="90">
        <f>SUM($B57:M57)</f>
        <v>46.944000000000003</v>
      </c>
      <c r="AT57" s="89"/>
      <c r="CL57" s="90">
        <f t="shared" si="43"/>
        <v>0</v>
      </c>
      <c r="CM57" s="90">
        <f t="shared" si="44"/>
        <v>0</v>
      </c>
      <c r="CN57" s="89"/>
      <c r="DD57" s="90">
        <f t="shared" si="45"/>
        <v>0</v>
      </c>
      <c r="DE57" s="90">
        <f t="shared" si="46"/>
        <v>0</v>
      </c>
      <c r="DF57" s="89"/>
      <c r="DG57" s="88" t="s">
        <v>93</v>
      </c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>
        <v>0.60699999999999998</v>
      </c>
      <c r="EG57" s="90"/>
      <c r="EH57" s="90"/>
      <c r="EI57" s="90">
        <v>0.20100000000000001</v>
      </c>
      <c r="EJ57" s="90"/>
      <c r="EK57" s="90">
        <v>6.7000000000000004E-2</v>
      </c>
      <c r="EL57" s="90"/>
      <c r="EM57" s="90"/>
      <c r="EN57" s="90"/>
      <c r="EO57" s="90"/>
      <c r="EP57" s="90"/>
      <c r="EQ57" s="90"/>
      <c r="ER57" s="90"/>
      <c r="ES57" s="90"/>
      <c r="ET57" s="90"/>
      <c r="EU57" s="90"/>
      <c r="EV57" s="90"/>
      <c r="EW57" s="90"/>
      <c r="EX57" s="90">
        <f t="shared" si="47"/>
        <v>0.875</v>
      </c>
      <c r="EY57" s="90">
        <f>ROUND(EX57*IFERROR(VLOOKUP($DG57,'3121% SY'!$A$2:$M$324,13,FALSE),0),3)</f>
        <v>9.0999999999999998E-2</v>
      </c>
      <c r="EZ57" s="90">
        <f t="shared" si="48"/>
        <v>0</v>
      </c>
      <c r="FA57" s="90">
        <f>ROUND(EZ57*IFERROR(VLOOKUP($DG57,'3121% SY'!$A$2:$M$324,13,FALSE),0),3)</f>
        <v>0</v>
      </c>
    </row>
    <row r="58" spans="1:157" x14ac:dyDescent="0.25">
      <c r="A58" s="88" t="s">
        <v>61</v>
      </c>
      <c r="B58" s="90"/>
      <c r="C58" s="90"/>
      <c r="D58" s="90"/>
      <c r="E58" s="90"/>
      <c r="F58" s="90"/>
      <c r="G58" s="90"/>
      <c r="H58" s="90"/>
      <c r="I58" s="90">
        <v>2.97</v>
      </c>
      <c r="J58" s="90"/>
      <c r="K58" s="90"/>
      <c r="L58" s="90"/>
      <c r="M58" s="90"/>
      <c r="N58" s="90"/>
      <c r="O58" s="90">
        <v>2</v>
      </c>
      <c r="P58" s="90">
        <v>2.98</v>
      </c>
      <c r="Q58" s="90">
        <v>2.83</v>
      </c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R58" s="90">
        <f t="shared" si="42"/>
        <v>7.8100000000000005</v>
      </c>
      <c r="AS58" s="90">
        <f>SUM($B58:M58)</f>
        <v>2.97</v>
      </c>
      <c r="AT58" s="89"/>
      <c r="CL58" s="90">
        <f t="shared" si="43"/>
        <v>0</v>
      </c>
      <c r="CM58" s="90">
        <f t="shared" si="44"/>
        <v>0</v>
      </c>
      <c r="CN58" s="89"/>
      <c r="DD58" s="90">
        <f t="shared" si="45"/>
        <v>0</v>
      </c>
      <c r="DE58" s="90">
        <f t="shared" si="46"/>
        <v>0</v>
      </c>
      <c r="DF58" s="89"/>
      <c r="DG58" s="88" t="s">
        <v>94</v>
      </c>
      <c r="DH58" s="90"/>
      <c r="DI58" s="90"/>
      <c r="DJ58" s="90"/>
      <c r="DK58" s="90"/>
      <c r="DL58" s="90">
        <v>0.12</v>
      </c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>
        <v>0.46899999999999997</v>
      </c>
      <c r="EA58" s="90">
        <v>7.0000000000000007E-2</v>
      </c>
      <c r="EB58" s="90">
        <v>9.0999999999999998E-2</v>
      </c>
      <c r="EC58" s="90"/>
      <c r="ED58" s="90"/>
      <c r="EE58" s="90"/>
      <c r="EF58" s="90"/>
      <c r="EG58" s="90"/>
      <c r="EH58" s="90"/>
      <c r="EI58" s="90"/>
      <c r="EJ58" s="90">
        <v>0.7</v>
      </c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  <c r="EV58" s="90"/>
      <c r="EW58" s="90"/>
      <c r="EX58" s="90">
        <f t="shared" si="47"/>
        <v>1.3299999999999998</v>
      </c>
      <c r="EY58" s="90">
        <f>ROUND(EX58*IFERROR(VLOOKUP($DG58,'3121% SY'!$A$2:$M$324,13,FALSE),0),3)</f>
        <v>0.35899999999999999</v>
      </c>
      <c r="EZ58" s="90">
        <f t="shared" si="48"/>
        <v>0.12</v>
      </c>
      <c r="FA58" s="90">
        <f>ROUND(EZ58*IFERROR(VLOOKUP($DG58,'3121% SY'!$A$2:$M$324,13,FALSE),0),3)</f>
        <v>3.2000000000000001E-2</v>
      </c>
    </row>
    <row r="59" spans="1:157" x14ac:dyDescent="0.25">
      <c r="A59" s="88" t="s">
        <v>63</v>
      </c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>
        <v>1</v>
      </c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R59" s="90">
        <f t="shared" si="42"/>
        <v>1</v>
      </c>
      <c r="AS59" s="90">
        <f>SUM($B59:M59)</f>
        <v>0</v>
      </c>
      <c r="AT59" s="89"/>
      <c r="CL59" s="90">
        <f t="shared" si="43"/>
        <v>0</v>
      </c>
      <c r="CM59" s="90">
        <f t="shared" si="44"/>
        <v>0</v>
      </c>
      <c r="CN59" s="89"/>
      <c r="DD59" s="90">
        <f t="shared" si="45"/>
        <v>0</v>
      </c>
      <c r="DE59" s="90">
        <f t="shared" si="46"/>
        <v>0</v>
      </c>
      <c r="DF59" s="89"/>
      <c r="DG59" s="88" t="s">
        <v>95</v>
      </c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>
        <v>0.48</v>
      </c>
      <c r="EA59" s="90">
        <v>0.08</v>
      </c>
      <c r="EB59" s="90">
        <v>0.24</v>
      </c>
      <c r="EC59" s="90"/>
      <c r="ED59" s="90"/>
      <c r="EE59" s="90"/>
      <c r="EF59" s="90">
        <v>1</v>
      </c>
      <c r="EG59" s="90">
        <v>0.5</v>
      </c>
      <c r="EH59" s="90">
        <v>0.5</v>
      </c>
      <c r="EI59" s="90">
        <v>0.8</v>
      </c>
      <c r="EJ59" s="90">
        <v>0.3</v>
      </c>
      <c r="EK59" s="90">
        <v>0.3</v>
      </c>
      <c r="EL59" s="90"/>
      <c r="EM59" s="90"/>
      <c r="EN59" s="90"/>
      <c r="EO59" s="90"/>
      <c r="EP59" s="90"/>
      <c r="EQ59" s="90"/>
      <c r="ER59" s="90"/>
      <c r="ES59" s="90"/>
      <c r="ET59" s="90"/>
      <c r="EU59" s="90"/>
      <c r="EV59" s="90"/>
      <c r="EW59" s="90"/>
      <c r="EX59" s="90">
        <f t="shared" si="47"/>
        <v>4.1999999999999993</v>
      </c>
      <c r="EY59" s="90">
        <f>ROUND(EX59*IFERROR(VLOOKUP($DG59,'3121% SY'!$A$2:$M$324,13,FALSE),0),3)</f>
        <v>0.85799999999999998</v>
      </c>
      <c r="EZ59" s="90">
        <f t="shared" si="48"/>
        <v>0</v>
      </c>
      <c r="FA59" s="90">
        <f>ROUND(EZ59*IFERROR(VLOOKUP($DG59,'3121% SY'!$A$2:$M$324,13,FALSE),0),3)</f>
        <v>0</v>
      </c>
    </row>
    <row r="60" spans="1:157" x14ac:dyDescent="0.25">
      <c r="A60" s="88" t="s">
        <v>64</v>
      </c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>
        <v>0.34599999999999997</v>
      </c>
      <c r="M60" s="90"/>
      <c r="N60" s="90"/>
      <c r="O60" s="90">
        <v>0.61699999999999999</v>
      </c>
      <c r="P60" s="90">
        <v>0.28599999999999998</v>
      </c>
      <c r="Q60" s="90">
        <v>0.1</v>
      </c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R60" s="90">
        <f t="shared" si="42"/>
        <v>1.0030000000000001</v>
      </c>
      <c r="AS60" s="90">
        <f>SUM($B60:M60)</f>
        <v>0.34599999999999997</v>
      </c>
      <c r="AT60" s="89"/>
      <c r="CL60" s="90">
        <f t="shared" si="43"/>
        <v>0</v>
      </c>
      <c r="CM60" s="90">
        <f t="shared" si="44"/>
        <v>0</v>
      </c>
      <c r="CN60" s="89"/>
      <c r="DD60" s="90">
        <f t="shared" si="45"/>
        <v>0</v>
      </c>
      <c r="DE60" s="90">
        <f t="shared" si="46"/>
        <v>0</v>
      </c>
      <c r="DF60" s="89"/>
      <c r="DG60" s="88" t="s">
        <v>96</v>
      </c>
      <c r="DH60" s="90"/>
      <c r="DI60" s="90"/>
      <c r="DJ60" s="90"/>
      <c r="DK60" s="90"/>
      <c r="DL60" s="90"/>
      <c r="DM60" s="90"/>
      <c r="DN60" s="90"/>
      <c r="DO60" s="90">
        <v>10.574</v>
      </c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>
        <v>32.9</v>
      </c>
      <c r="EA60" s="90">
        <v>18.88</v>
      </c>
      <c r="EB60" s="90">
        <v>8.1199999999999992</v>
      </c>
      <c r="EC60" s="90"/>
      <c r="ED60" s="90">
        <v>0.5</v>
      </c>
      <c r="EE60" s="90"/>
      <c r="EF60" s="90">
        <v>58.284999999999997</v>
      </c>
      <c r="EG60" s="90">
        <v>32.023000000000003</v>
      </c>
      <c r="EH60" s="90">
        <v>14.462</v>
      </c>
      <c r="EI60" s="90">
        <v>28.774999999999999</v>
      </c>
      <c r="EJ60" s="90">
        <v>15.654999999999999</v>
      </c>
      <c r="EK60" s="90">
        <v>7.07</v>
      </c>
      <c r="EL60" s="90">
        <v>1.9570000000000001</v>
      </c>
      <c r="EM60" s="90">
        <v>1.2090000000000001</v>
      </c>
      <c r="EN60" s="90">
        <v>0.54600000000000004</v>
      </c>
      <c r="EO60" s="90">
        <v>6.6</v>
      </c>
      <c r="EP60" s="90">
        <v>3.72</v>
      </c>
      <c r="EQ60" s="90">
        <v>1.68</v>
      </c>
      <c r="ER60" s="90"/>
      <c r="ES60" s="90"/>
      <c r="ET60" s="90"/>
      <c r="EU60" s="90"/>
      <c r="EV60" s="90"/>
      <c r="EW60" s="90"/>
      <c r="EX60" s="90">
        <f t="shared" si="47"/>
        <v>232.38199999999998</v>
      </c>
      <c r="EY60" s="90">
        <f>ROUND(EX60*IFERROR(VLOOKUP($DG60,'3121% SY'!$A$2:$M$324,13,FALSE),0),3)</f>
        <v>52.844000000000001</v>
      </c>
      <c r="EZ60" s="90">
        <f t="shared" si="48"/>
        <v>10.574</v>
      </c>
      <c r="FA60" s="90">
        <f>ROUND(EZ60*IFERROR(VLOOKUP($DG60,'3121% SY'!$A$2:$M$324,13,FALSE),0),3)</f>
        <v>2.4049999999999998</v>
      </c>
    </row>
    <row r="61" spans="1:157" x14ac:dyDescent="0.25">
      <c r="A61" s="88" t="s">
        <v>65</v>
      </c>
      <c r="B61" s="90"/>
      <c r="C61" s="90"/>
      <c r="D61" s="90"/>
      <c r="E61" s="90"/>
      <c r="F61" s="90"/>
      <c r="G61" s="90"/>
      <c r="H61" s="90"/>
      <c r="I61" s="90">
        <v>0.76900000000000002</v>
      </c>
      <c r="J61" s="90"/>
      <c r="K61" s="90"/>
      <c r="L61" s="90"/>
      <c r="M61" s="90"/>
      <c r="N61" s="90"/>
      <c r="O61" s="90">
        <v>5.36</v>
      </c>
      <c r="P61" s="90">
        <v>4</v>
      </c>
      <c r="Q61" s="90">
        <v>1.34</v>
      </c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R61" s="90">
        <f t="shared" si="42"/>
        <v>10.7</v>
      </c>
      <c r="AS61" s="90">
        <f>SUM($B61:M61)</f>
        <v>0.76900000000000002</v>
      </c>
      <c r="AT61" s="89"/>
      <c r="CL61" s="90">
        <f t="shared" si="43"/>
        <v>0</v>
      </c>
      <c r="CM61" s="90">
        <f t="shared" si="44"/>
        <v>0</v>
      </c>
      <c r="CN61" s="89"/>
      <c r="DD61" s="90">
        <f t="shared" si="45"/>
        <v>0</v>
      </c>
      <c r="DE61" s="90">
        <f t="shared" si="46"/>
        <v>0</v>
      </c>
      <c r="DF61" s="89"/>
      <c r="DG61" s="88" t="s">
        <v>97</v>
      </c>
      <c r="DH61" s="90"/>
      <c r="DI61" s="90"/>
      <c r="DJ61" s="90"/>
      <c r="DK61" s="90"/>
      <c r="DL61" s="90"/>
      <c r="DM61" s="90"/>
      <c r="DN61" s="90"/>
      <c r="DO61" s="90">
        <v>5.3159999999999998</v>
      </c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>
        <v>3.2280000000000002</v>
      </c>
      <c r="EA61" s="90">
        <v>1.8480000000000001</v>
      </c>
      <c r="EB61" s="90">
        <v>0.92400000000000004</v>
      </c>
      <c r="EC61" s="90"/>
      <c r="ED61" s="90"/>
      <c r="EE61" s="90"/>
      <c r="EF61" s="90">
        <v>20.288</v>
      </c>
      <c r="EG61" s="90">
        <v>11.61</v>
      </c>
      <c r="EH61" s="90">
        <v>5.8049999999999997</v>
      </c>
      <c r="EI61" s="90">
        <v>16.140999999999998</v>
      </c>
      <c r="EJ61" s="90">
        <v>9.24</v>
      </c>
      <c r="EK61" s="90">
        <v>4.6189999999999998</v>
      </c>
      <c r="EL61" s="90"/>
      <c r="EM61" s="90"/>
      <c r="EN61" s="90"/>
      <c r="EO61" s="90">
        <v>2.69</v>
      </c>
      <c r="EP61" s="90">
        <v>1.54</v>
      </c>
      <c r="EQ61" s="90">
        <v>0.77</v>
      </c>
      <c r="ER61" s="90"/>
      <c r="ES61" s="90"/>
      <c r="ET61" s="90"/>
      <c r="EU61" s="90">
        <v>3.2280000000000002</v>
      </c>
      <c r="EV61" s="90">
        <v>1.8480000000000001</v>
      </c>
      <c r="EW61" s="90">
        <v>0.92400000000000004</v>
      </c>
      <c r="EX61" s="90">
        <f t="shared" si="47"/>
        <v>84.702999999999989</v>
      </c>
      <c r="EY61" s="90">
        <f>ROUND(EX61*IFERROR(VLOOKUP($DG61,'3121% SY'!$A$2:$M$324,13,FALSE),0),3)</f>
        <v>25.164999999999999</v>
      </c>
      <c r="EZ61" s="90">
        <f t="shared" si="48"/>
        <v>5.3159999999999998</v>
      </c>
      <c r="FA61" s="90">
        <f>ROUND(EZ61*IFERROR(VLOOKUP($DG61,'3121% SY'!$A$2:$M$324,13,FALSE),0),3)</f>
        <v>1.579</v>
      </c>
    </row>
    <row r="62" spans="1:157" x14ac:dyDescent="0.25">
      <c r="A62" s="88" t="s">
        <v>66</v>
      </c>
      <c r="B62" s="90"/>
      <c r="C62" s="90"/>
      <c r="D62" s="90"/>
      <c r="E62" s="90">
        <v>0.42399999999999999</v>
      </c>
      <c r="F62" s="90">
        <v>3.07</v>
      </c>
      <c r="G62" s="90">
        <v>4.2999999999999997E-2</v>
      </c>
      <c r="H62" s="90"/>
      <c r="I62" s="90">
        <v>0.98299999999999998</v>
      </c>
      <c r="J62" s="90"/>
      <c r="K62" s="90"/>
      <c r="L62" s="90"/>
      <c r="M62" s="90"/>
      <c r="N62" s="90"/>
      <c r="O62" s="90">
        <v>4.33</v>
      </c>
      <c r="P62" s="90">
        <v>3</v>
      </c>
      <c r="Q62" s="90">
        <v>1.67</v>
      </c>
      <c r="R62" s="90"/>
      <c r="S62" s="90"/>
      <c r="T62" s="90"/>
      <c r="U62" s="90">
        <v>1.5</v>
      </c>
      <c r="V62" s="90">
        <v>2.0329999999999999</v>
      </c>
      <c r="W62" s="90">
        <v>0.16700000000000001</v>
      </c>
      <c r="X62" s="90"/>
      <c r="Y62" s="90"/>
      <c r="Z62" s="90"/>
      <c r="AA62" s="90"/>
      <c r="AB62" s="90"/>
      <c r="AC62" s="90"/>
      <c r="AD62" s="90">
        <v>1.0760000000000001</v>
      </c>
      <c r="AE62" s="90">
        <v>0.61599999999999999</v>
      </c>
      <c r="AF62" s="90">
        <v>0.308</v>
      </c>
      <c r="AG62" s="90"/>
      <c r="AH62" s="90"/>
      <c r="AI62" s="90"/>
      <c r="AJ62" s="90"/>
      <c r="AK62" s="90"/>
      <c r="AL62" s="90"/>
      <c r="AM62" s="90"/>
      <c r="AN62" s="90"/>
      <c r="AO62" s="90"/>
      <c r="AR62" s="90">
        <f t="shared" si="42"/>
        <v>14.7</v>
      </c>
      <c r="AS62" s="90">
        <f>SUM($B62:M62)</f>
        <v>4.5199999999999996</v>
      </c>
      <c r="AT62" s="89"/>
      <c r="CL62" s="90">
        <f t="shared" si="43"/>
        <v>0</v>
      </c>
      <c r="CM62" s="90">
        <f t="shared" si="44"/>
        <v>0</v>
      </c>
      <c r="CN62" s="89"/>
      <c r="DD62" s="90">
        <f t="shared" si="45"/>
        <v>0</v>
      </c>
      <c r="DE62" s="90">
        <f t="shared" si="46"/>
        <v>0</v>
      </c>
      <c r="DF62" s="89"/>
      <c r="DG62" s="88" t="s">
        <v>98</v>
      </c>
      <c r="DH62" s="90"/>
      <c r="DI62" s="90"/>
      <c r="DJ62" s="90"/>
      <c r="DK62" s="90"/>
      <c r="DL62" s="90"/>
      <c r="DM62" s="90"/>
      <c r="DN62" s="90"/>
      <c r="DO62" s="90">
        <v>1.214</v>
      </c>
      <c r="DP62" s="90"/>
      <c r="DQ62" s="90"/>
      <c r="DR62" s="90"/>
      <c r="DS62" s="90"/>
      <c r="DT62" s="90"/>
      <c r="DU62" s="90"/>
      <c r="DV62" s="90"/>
      <c r="DW62" s="90"/>
      <c r="DX62" s="90"/>
      <c r="DY62" s="90"/>
      <c r="DZ62" s="90">
        <v>1</v>
      </c>
      <c r="EA62" s="90"/>
      <c r="EB62" s="90"/>
      <c r="EC62" s="90"/>
      <c r="ED62" s="90"/>
      <c r="EE62" s="90"/>
      <c r="EF62" s="90">
        <v>5.26</v>
      </c>
      <c r="EG62" s="90">
        <v>0.224</v>
      </c>
      <c r="EH62" s="90">
        <v>0.52700000000000002</v>
      </c>
      <c r="EI62" s="90">
        <v>2</v>
      </c>
      <c r="EJ62" s="90"/>
      <c r="EK62" s="90"/>
      <c r="EL62" s="90">
        <v>7.0000000000000007E-2</v>
      </c>
      <c r="EM62" s="90">
        <v>4.3999999999999997E-2</v>
      </c>
      <c r="EN62" s="90">
        <v>3.5999999999999997E-2</v>
      </c>
      <c r="EO62" s="90"/>
      <c r="EP62" s="90"/>
      <c r="EQ62" s="90"/>
      <c r="ER62" s="90"/>
      <c r="ES62" s="90"/>
      <c r="ET62" s="90"/>
      <c r="EU62" s="90">
        <v>1.5329999999999999</v>
      </c>
      <c r="EV62" s="90">
        <v>3</v>
      </c>
      <c r="EW62" s="90">
        <v>0.66700000000000004</v>
      </c>
      <c r="EX62" s="90">
        <f t="shared" si="47"/>
        <v>14.360999999999999</v>
      </c>
      <c r="EY62" s="90">
        <f>ROUND(EX62*IFERROR(VLOOKUP($DG62,'3121% SY'!$A$2:$M$324,13,FALSE),0),3)</f>
        <v>3.6320000000000001</v>
      </c>
      <c r="EZ62" s="90">
        <f t="shared" si="48"/>
        <v>1.214</v>
      </c>
      <c r="FA62" s="90">
        <f>ROUND(EZ62*IFERROR(VLOOKUP($DG62,'3121% SY'!$A$2:$M$324,13,FALSE),0),3)</f>
        <v>0.307</v>
      </c>
    </row>
    <row r="63" spans="1:157" x14ac:dyDescent="0.25">
      <c r="A63" s="88" t="s">
        <v>67</v>
      </c>
      <c r="B63" s="90">
        <v>0.318</v>
      </c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>
        <v>0.65</v>
      </c>
      <c r="P63" s="90">
        <v>0.5</v>
      </c>
      <c r="Q63" s="90">
        <v>0.86</v>
      </c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R63" s="90">
        <f t="shared" si="42"/>
        <v>2.0099999999999998</v>
      </c>
      <c r="AS63" s="90">
        <f>SUM($B63:M63)</f>
        <v>0.318</v>
      </c>
      <c r="AT63" s="89"/>
      <c r="CL63" s="90">
        <f t="shared" si="43"/>
        <v>0</v>
      </c>
      <c r="CM63" s="90">
        <f t="shared" si="44"/>
        <v>0</v>
      </c>
      <c r="CN63" s="89"/>
      <c r="DD63" s="90">
        <f t="shared" si="45"/>
        <v>0</v>
      </c>
      <c r="DE63" s="90">
        <f t="shared" si="46"/>
        <v>0</v>
      </c>
      <c r="DF63" s="89"/>
      <c r="DG63" s="88" t="s">
        <v>99</v>
      </c>
      <c r="DH63" s="90"/>
      <c r="DI63" s="90"/>
      <c r="DJ63" s="90"/>
      <c r="DK63" s="90"/>
      <c r="DL63" s="90">
        <v>7.0000000000000007E-2</v>
      </c>
      <c r="DM63" s="90"/>
      <c r="DN63" s="90"/>
      <c r="DO63" s="90">
        <v>1.7</v>
      </c>
      <c r="DP63" s="90"/>
      <c r="DQ63" s="90"/>
      <c r="DR63" s="90"/>
      <c r="DS63" s="90"/>
      <c r="DT63" s="90"/>
      <c r="DU63" s="90"/>
      <c r="DV63" s="90"/>
      <c r="DW63" s="90"/>
      <c r="DX63" s="90"/>
      <c r="DY63" s="90">
        <v>0.3</v>
      </c>
      <c r="DZ63" s="90">
        <v>1</v>
      </c>
      <c r="EA63" s="90"/>
      <c r="EB63" s="90"/>
      <c r="EC63" s="90"/>
      <c r="ED63" s="90"/>
      <c r="EE63" s="90"/>
      <c r="EF63" s="90">
        <v>2.4300000000000002</v>
      </c>
      <c r="EG63" s="90"/>
      <c r="EH63" s="90">
        <v>0.56999999999999995</v>
      </c>
      <c r="EI63" s="90">
        <v>1.8</v>
      </c>
      <c r="EJ63" s="90">
        <v>1</v>
      </c>
      <c r="EK63" s="90">
        <v>1</v>
      </c>
      <c r="EL63" s="90"/>
      <c r="EM63" s="90"/>
      <c r="EN63" s="90"/>
      <c r="EO63" s="90">
        <v>1.4</v>
      </c>
      <c r="EP63" s="90"/>
      <c r="EQ63" s="90"/>
      <c r="ER63" s="90">
        <v>1.3240000000000001</v>
      </c>
      <c r="ES63" s="90">
        <v>1.476</v>
      </c>
      <c r="ET63" s="90"/>
      <c r="EU63" s="90"/>
      <c r="EV63" s="90"/>
      <c r="EW63" s="90"/>
      <c r="EX63" s="90">
        <f t="shared" si="47"/>
        <v>12.3</v>
      </c>
      <c r="EY63" s="90">
        <f>ROUND(EX63*IFERROR(VLOOKUP($DG63,'3121% SY'!$A$2:$M$324,13,FALSE),0),3)</f>
        <v>2.3969999999999998</v>
      </c>
      <c r="EZ63" s="90">
        <f t="shared" si="48"/>
        <v>1.77</v>
      </c>
      <c r="FA63" s="90">
        <f>ROUND(EZ63*IFERROR(VLOOKUP($DG63,'3121% SY'!$A$2:$M$324,13,FALSE),0),3)</f>
        <v>0.34499999999999997</v>
      </c>
    </row>
    <row r="64" spans="1:157" x14ac:dyDescent="0.25">
      <c r="A64" s="88" t="s">
        <v>68</v>
      </c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>
        <v>0.14000000000000001</v>
      </c>
      <c r="P64" s="90">
        <v>0.57999999999999996</v>
      </c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R64" s="90">
        <f t="shared" si="42"/>
        <v>0.72</v>
      </c>
      <c r="AS64" s="90">
        <f>SUM($B64:M64)</f>
        <v>0</v>
      </c>
      <c r="AT64" s="89"/>
      <c r="CL64" s="90">
        <f t="shared" si="43"/>
        <v>0</v>
      </c>
      <c r="CM64" s="90">
        <f t="shared" si="44"/>
        <v>0</v>
      </c>
      <c r="CN64" s="89"/>
      <c r="DD64" s="90">
        <f t="shared" si="45"/>
        <v>0</v>
      </c>
      <c r="DE64" s="90">
        <f t="shared" si="46"/>
        <v>0</v>
      </c>
      <c r="DF64" s="89"/>
      <c r="DG64" s="88" t="s">
        <v>100</v>
      </c>
      <c r="DH64" s="90"/>
      <c r="DI64" s="90"/>
      <c r="DJ64" s="90"/>
      <c r="DK64" s="90"/>
      <c r="DL64" s="90"/>
      <c r="DM64" s="90"/>
      <c r="DN64" s="90"/>
      <c r="DO64" s="90">
        <v>12.262</v>
      </c>
      <c r="DP64" s="90"/>
      <c r="DQ64" s="90"/>
      <c r="DR64" s="90"/>
      <c r="DS64" s="90"/>
      <c r="DT64" s="90"/>
      <c r="DU64" s="90"/>
      <c r="DV64" s="90"/>
      <c r="DW64" s="90"/>
      <c r="DX64" s="90"/>
      <c r="DY64" s="90"/>
      <c r="DZ64" s="90">
        <v>16.210999999999999</v>
      </c>
      <c r="EA64" s="90">
        <v>4.7</v>
      </c>
      <c r="EB64" s="90">
        <v>1.55</v>
      </c>
      <c r="EC64" s="90">
        <v>1</v>
      </c>
      <c r="ED64" s="90">
        <v>0.5</v>
      </c>
      <c r="EE64" s="90">
        <v>0.5</v>
      </c>
      <c r="EF64" s="90">
        <v>34.770000000000003</v>
      </c>
      <c r="EG64" s="90">
        <v>5.4969999999999999</v>
      </c>
      <c r="EH64" s="90">
        <v>4.5810000000000004</v>
      </c>
      <c r="EI64" s="90">
        <v>12.369</v>
      </c>
      <c r="EJ64" s="90">
        <v>5.6689999999999996</v>
      </c>
      <c r="EK64" s="90">
        <v>3.7629999999999999</v>
      </c>
      <c r="EL64" s="90"/>
      <c r="EM64" s="90"/>
      <c r="EN64" s="90"/>
      <c r="EO64" s="90">
        <v>1.83</v>
      </c>
      <c r="EP64" s="90">
        <v>0.34</v>
      </c>
      <c r="EQ64" s="90">
        <v>0.33</v>
      </c>
      <c r="ER64" s="90">
        <v>2</v>
      </c>
      <c r="ES64" s="90">
        <v>1.1439999999999999</v>
      </c>
      <c r="ET64" s="90">
        <v>0.57199999999999995</v>
      </c>
      <c r="EU64" s="90"/>
      <c r="EV64" s="90"/>
      <c r="EW64" s="90"/>
      <c r="EX64" s="90">
        <f t="shared" si="47"/>
        <v>97.326000000000022</v>
      </c>
      <c r="EY64" s="90">
        <f>ROUND(EX64*IFERROR(VLOOKUP($DG64,'3121% SY'!$A$2:$M$324,13,FALSE),0),3)</f>
        <v>23.591999999999999</v>
      </c>
      <c r="EZ64" s="90">
        <f t="shared" si="48"/>
        <v>12.262</v>
      </c>
      <c r="FA64" s="90">
        <f>ROUND(EZ64*IFERROR(VLOOKUP($DG64,'3121% SY'!$A$2:$M$324,13,FALSE),0),3)</f>
        <v>2.972</v>
      </c>
    </row>
    <row r="65" spans="1:157" x14ac:dyDescent="0.25">
      <c r="A65" s="88" t="s">
        <v>69</v>
      </c>
      <c r="B65" s="90"/>
      <c r="C65" s="90"/>
      <c r="D65" s="90"/>
      <c r="E65" s="90"/>
      <c r="F65" s="90"/>
      <c r="G65" s="90"/>
      <c r="H65" s="90">
        <v>0.20200000000000001</v>
      </c>
      <c r="I65" s="90">
        <v>0.253</v>
      </c>
      <c r="J65" s="90">
        <v>0.152</v>
      </c>
      <c r="K65" s="90"/>
      <c r="L65" s="90"/>
      <c r="M65" s="90"/>
      <c r="N65" s="90"/>
      <c r="O65" s="90"/>
      <c r="P65" s="90">
        <v>0.75</v>
      </c>
      <c r="Q65" s="90">
        <v>0.25</v>
      </c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R65" s="90">
        <f t="shared" si="42"/>
        <v>1</v>
      </c>
      <c r="AS65" s="90">
        <f>SUM($B65:M65)</f>
        <v>0.60699999999999998</v>
      </c>
      <c r="AT65" s="89"/>
      <c r="CL65" s="90">
        <f t="shared" si="43"/>
        <v>0</v>
      </c>
      <c r="CM65" s="90">
        <f t="shared" si="44"/>
        <v>0</v>
      </c>
      <c r="CN65" s="89"/>
      <c r="DD65" s="90">
        <f t="shared" si="45"/>
        <v>0</v>
      </c>
      <c r="DE65" s="90">
        <f t="shared" si="46"/>
        <v>0</v>
      </c>
      <c r="DF65" s="89"/>
      <c r="DG65" s="88" t="s">
        <v>101</v>
      </c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>
        <v>0.5</v>
      </c>
      <c r="EK65" s="90">
        <v>0.5</v>
      </c>
      <c r="EL65" s="90"/>
      <c r="EM65" s="90"/>
      <c r="EN65" s="90"/>
      <c r="EO65" s="90"/>
      <c r="EP65" s="90"/>
      <c r="EQ65" s="90"/>
      <c r="ER65" s="90"/>
      <c r="ES65" s="90"/>
      <c r="ET65" s="90"/>
      <c r="EU65" s="90"/>
      <c r="EV65" s="90"/>
      <c r="EW65" s="90"/>
      <c r="EX65" s="90">
        <f t="shared" si="47"/>
        <v>1</v>
      </c>
      <c r="EY65" s="90">
        <f>ROUND(EX65*IFERROR(VLOOKUP($DG65,'3121% SY'!$A$2:$M$324,13,FALSE),0),3)</f>
        <v>0.216</v>
      </c>
      <c r="EZ65" s="90">
        <f t="shared" si="48"/>
        <v>0</v>
      </c>
      <c r="FA65" s="90">
        <f>ROUND(EZ65*IFERROR(VLOOKUP($DG65,'3121% SY'!$A$2:$M$324,13,FALSE),0),3)</f>
        <v>0</v>
      </c>
    </row>
    <row r="66" spans="1:157" x14ac:dyDescent="0.25">
      <c r="A66" s="88" t="s">
        <v>70</v>
      </c>
      <c r="B66" s="90"/>
      <c r="C66" s="90"/>
      <c r="D66" s="90"/>
      <c r="E66" s="90"/>
      <c r="F66" s="90"/>
      <c r="G66" s="90"/>
      <c r="H66" s="90"/>
      <c r="I66" s="90">
        <v>0.98699999999999999</v>
      </c>
      <c r="J66" s="90"/>
      <c r="K66" s="90"/>
      <c r="L66" s="90"/>
      <c r="M66" s="90"/>
      <c r="N66" s="90"/>
      <c r="O66" s="90">
        <v>0.9</v>
      </c>
      <c r="P66" s="90">
        <v>1.2</v>
      </c>
      <c r="Q66" s="90">
        <v>0.93</v>
      </c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>
        <v>0.497</v>
      </c>
      <c r="AE66" s="90">
        <v>0.36</v>
      </c>
      <c r="AF66" s="90">
        <v>0.14299999999999999</v>
      </c>
      <c r="AG66" s="90"/>
      <c r="AH66" s="90"/>
      <c r="AI66" s="90"/>
      <c r="AJ66" s="90"/>
      <c r="AK66" s="90"/>
      <c r="AL66" s="90"/>
      <c r="AM66" s="90"/>
      <c r="AN66" s="90"/>
      <c r="AO66" s="90"/>
      <c r="AR66" s="90">
        <f t="shared" si="42"/>
        <v>4.03</v>
      </c>
      <c r="AS66" s="90">
        <f>SUM($B66:M66)</f>
        <v>0.98699999999999999</v>
      </c>
      <c r="AT66" s="89"/>
      <c r="CL66" s="90">
        <f t="shared" si="43"/>
        <v>0</v>
      </c>
      <c r="CM66" s="90">
        <f t="shared" si="44"/>
        <v>0</v>
      </c>
      <c r="CN66" s="89"/>
      <c r="DD66" s="90">
        <f t="shared" si="45"/>
        <v>0</v>
      </c>
      <c r="DE66" s="90">
        <f t="shared" si="46"/>
        <v>0</v>
      </c>
      <c r="DF66" s="89"/>
      <c r="DG66" s="88" t="s">
        <v>102</v>
      </c>
      <c r="DH66" s="90"/>
      <c r="DI66" s="90"/>
      <c r="DJ66" s="90"/>
      <c r="DK66" s="90"/>
      <c r="DL66" s="90">
        <v>7.13</v>
      </c>
      <c r="DM66" s="90"/>
      <c r="DN66" s="90"/>
      <c r="DO66" s="90">
        <v>7.7279999999999998</v>
      </c>
      <c r="DP66" s="90"/>
      <c r="DQ66" s="90"/>
      <c r="DR66" s="90"/>
      <c r="DS66" s="90"/>
      <c r="DT66" s="90"/>
      <c r="DU66" s="90"/>
      <c r="DV66" s="90"/>
      <c r="DW66" s="90">
        <v>0.33300000000000002</v>
      </c>
      <c r="DX66" s="90">
        <v>0.33300000000000002</v>
      </c>
      <c r="DY66" s="90">
        <v>0.33400000000000002</v>
      </c>
      <c r="DZ66" s="90">
        <v>13.087</v>
      </c>
      <c r="EA66" s="90">
        <v>2.33</v>
      </c>
      <c r="EB66" s="90">
        <v>2.343</v>
      </c>
      <c r="EC66" s="90"/>
      <c r="ED66" s="90"/>
      <c r="EE66" s="90"/>
      <c r="EF66" s="90">
        <v>16.856999999999999</v>
      </c>
      <c r="EG66" s="90">
        <v>4</v>
      </c>
      <c r="EH66" s="90">
        <v>3.996</v>
      </c>
      <c r="EI66" s="90">
        <v>7.8</v>
      </c>
      <c r="EJ66" s="90">
        <v>3.7</v>
      </c>
      <c r="EK66" s="90">
        <v>3.8</v>
      </c>
      <c r="EL66" s="90"/>
      <c r="EM66" s="90"/>
      <c r="EN66" s="90"/>
      <c r="EO66" s="90">
        <v>3.548</v>
      </c>
      <c r="EP66" s="90">
        <v>0.9</v>
      </c>
      <c r="EQ66" s="90">
        <v>0.753</v>
      </c>
      <c r="ER66" s="90"/>
      <c r="ES66" s="90"/>
      <c r="ET66" s="90"/>
      <c r="EU66" s="90"/>
      <c r="EV66" s="90"/>
      <c r="EW66" s="90"/>
      <c r="EX66" s="90">
        <f t="shared" si="47"/>
        <v>64.114000000000004</v>
      </c>
      <c r="EY66" s="90">
        <f>ROUND(EX66*IFERROR(VLOOKUP($DG66,'3121% SY'!$A$2:$M$324,13,FALSE),0),3)</f>
        <v>18.952000000000002</v>
      </c>
      <c r="EZ66" s="90">
        <f t="shared" si="48"/>
        <v>14.858000000000001</v>
      </c>
      <c r="FA66" s="90">
        <f>ROUND(EZ66*IFERROR(VLOOKUP($DG66,'3121% SY'!$A$2:$M$324,13,FALSE),0),3)</f>
        <v>4.3920000000000003</v>
      </c>
    </row>
    <row r="67" spans="1:157" x14ac:dyDescent="0.25">
      <c r="A67" s="88" t="s">
        <v>71</v>
      </c>
      <c r="B67" s="90"/>
      <c r="C67" s="90"/>
      <c r="D67" s="90"/>
      <c r="E67" s="90"/>
      <c r="F67" s="90">
        <v>5.3239999999999998</v>
      </c>
      <c r="G67" s="90"/>
      <c r="H67" s="90"/>
      <c r="I67" s="90">
        <v>8.1969999999999992</v>
      </c>
      <c r="J67" s="90"/>
      <c r="K67" s="90"/>
      <c r="L67" s="90"/>
      <c r="M67" s="90"/>
      <c r="N67" s="90"/>
      <c r="O67" s="90">
        <v>6.4889999999999999</v>
      </c>
      <c r="P67" s="90">
        <v>7.4089999999999998</v>
      </c>
      <c r="Q67" s="90">
        <v>3.9860000000000002</v>
      </c>
      <c r="R67" s="90"/>
      <c r="S67" s="90"/>
      <c r="T67" s="90"/>
      <c r="U67" s="90">
        <v>4.8</v>
      </c>
      <c r="V67" s="90"/>
      <c r="W67" s="90">
        <v>1</v>
      </c>
      <c r="X67" s="90"/>
      <c r="Y67" s="90"/>
      <c r="Z67" s="90"/>
      <c r="AA67" s="90"/>
      <c r="AB67" s="90"/>
      <c r="AC67" s="90"/>
      <c r="AD67" s="90">
        <v>3.5</v>
      </c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R67" s="90">
        <f t="shared" si="42"/>
        <v>27.184000000000001</v>
      </c>
      <c r="AS67" s="90">
        <f>SUM($B67:M67)</f>
        <v>13.520999999999999</v>
      </c>
      <c r="AT67" s="89"/>
      <c r="CL67" s="90">
        <f t="shared" si="43"/>
        <v>0</v>
      </c>
      <c r="CM67" s="90">
        <f t="shared" si="44"/>
        <v>0</v>
      </c>
      <c r="CN67" s="89"/>
      <c r="DD67" s="90">
        <f t="shared" si="45"/>
        <v>0</v>
      </c>
      <c r="DE67" s="90">
        <f t="shared" si="46"/>
        <v>0</v>
      </c>
      <c r="DF67" s="89"/>
      <c r="DG67" s="88" t="s">
        <v>104</v>
      </c>
      <c r="DH67" s="90"/>
      <c r="DI67" s="90"/>
      <c r="DJ67" s="90"/>
      <c r="DK67" s="90"/>
      <c r="DL67" s="90"/>
      <c r="DM67" s="90"/>
      <c r="DN67" s="90"/>
      <c r="DO67" s="90">
        <v>21.678000000000001</v>
      </c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>
        <v>6.72</v>
      </c>
      <c r="EA67" s="90">
        <v>5.04</v>
      </c>
      <c r="EB67" s="90">
        <v>2.2400000000000002</v>
      </c>
      <c r="EC67" s="90">
        <v>5.2320000000000002</v>
      </c>
      <c r="ED67" s="90">
        <v>3.9239999999999999</v>
      </c>
      <c r="EE67" s="90">
        <v>1.744</v>
      </c>
      <c r="EF67" s="90">
        <v>16.416</v>
      </c>
      <c r="EG67" s="90">
        <v>12.311999999999999</v>
      </c>
      <c r="EH67" s="90">
        <v>5.4720000000000004</v>
      </c>
      <c r="EI67" s="90">
        <v>12.48</v>
      </c>
      <c r="EJ67" s="90">
        <v>9.36</v>
      </c>
      <c r="EK67" s="90">
        <v>4.16</v>
      </c>
      <c r="EL67" s="90">
        <v>0.3</v>
      </c>
      <c r="EM67" s="90"/>
      <c r="EN67" s="90"/>
      <c r="EO67" s="90">
        <v>2.6880000000000002</v>
      </c>
      <c r="EP67" s="90">
        <v>2.016</v>
      </c>
      <c r="EQ67" s="90">
        <v>0.89600000000000002</v>
      </c>
      <c r="ER67" s="90">
        <v>2.4</v>
      </c>
      <c r="ES67" s="90">
        <v>1.8</v>
      </c>
      <c r="ET67" s="90">
        <v>0.8</v>
      </c>
      <c r="EU67" s="90"/>
      <c r="EV67" s="90"/>
      <c r="EW67" s="90"/>
      <c r="EX67" s="90">
        <f t="shared" si="47"/>
        <v>96</v>
      </c>
      <c r="EY67" s="90">
        <f>ROUND(EX67*IFERROR(VLOOKUP($DG67,'3121% SY'!$A$2:$M$324,13,FALSE),0),3)</f>
        <v>21.053000000000001</v>
      </c>
      <c r="EZ67" s="90">
        <f t="shared" si="48"/>
        <v>21.678000000000001</v>
      </c>
      <c r="FA67" s="90">
        <f>ROUND(EZ67*IFERROR(VLOOKUP($DG67,'3121% SY'!$A$2:$M$324,13,FALSE),0),3)</f>
        <v>4.7539999999999996</v>
      </c>
    </row>
    <row r="68" spans="1:157" x14ac:dyDescent="0.25">
      <c r="A68" s="88" t="s">
        <v>72</v>
      </c>
      <c r="B68" s="90"/>
      <c r="C68" s="90"/>
      <c r="D68" s="90"/>
      <c r="E68" s="90"/>
      <c r="F68" s="90">
        <v>4.8869999999999996</v>
      </c>
      <c r="G68" s="90">
        <v>1.4E-2</v>
      </c>
      <c r="H68" s="90"/>
      <c r="I68" s="90">
        <v>1.08</v>
      </c>
      <c r="J68" s="90"/>
      <c r="K68" s="90"/>
      <c r="L68" s="90"/>
      <c r="M68" s="90"/>
      <c r="N68" s="90"/>
      <c r="O68" s="90">
        <v>3</v>
      </c>
      <c r="P68" s="90">
        <v>2</v>
      </c>
      <c r="Q68" s="90">
        <v>1</v>
      </c>
      <c r="R68" s="90"/>
      <c r="S68" s="90"/>
      <c r="T68" s="90"/>
      <c r="U68" s="90"/>
      <c r="V68" s="90"/>
      <c r="W68" s="90"/>
      <c r="X68" s="90"/>
      <c r="Y68" s="90"/>
      <c r="Z68" s="90"/>
      <c r="AA68" s="90">
        <v>0.14899999999999999</v>
      </c>
      <c r="AB68" s="90">
        <v>8.5000000000000006E-2</v>
      </c>
      <c r="AC68" s="90">
        <v>4.1000000000000002E-2</v>
      </c>
      <c r="AD68" s="90">
        <v>1.5</v>
      </c>
      <c r="AE68" s="90">
        <v>0.61899999999999999</v>
      </c>
      <c r="AF68" s="90">
        <v>0.5</v>
      </c>
      <c r="AG68" s="90"/>
      <c r="AH68" s="90"/>
      <c r="AI68" s="90"/>
      <c r="AJ68" s="90"/>
      <c r="AK68" s="90"/>
      <c r="AL68" s="90"/>
      <c r="AM68" s="90"/>
      <c r="AN68" s="90"/>
      <c r="AO68" s="90"/>
      <c r="AR68" s="90">
        <f t="shared" si="42"/>
        <v>8.8940000000000001</v>
      </c>
      <c r="AS68" s="90">
        <f>SUM($B68:M68)</f>
        <v>5.9809999999999999</v>
      </c>
      <c r="AT68" s="89"/>
      <c r="CL68" s="90">
        <f t="shared" si="43"/>
        <v>0</v>
      </c>
      <c r="CM68" s="90">
        <f t="shared" si="44"/>
        <v>0</v>
      </c>
      <c r="CN68" s="89"/>
      <c r="DD68" s="90">
        <f t="shared" si="45"/>
        <v>0</v>
      </c>
      <c r="DE68" s="90">
        <f t="shared" si="46"/>
        <v>0</v>
      </c>
      <c r="DF68" s="89"/>
      <c r="DG68" s="88" t="s">
        <v>105</v>
      </c>
      <c r="DH68" s="90"/>
      <c r="DI68" s="90"/>
      <c r="DJ68" s="90"/>
      <c r="DK68" s="90"/>
      <c r="DL68" s="90"/>
      <c r="DM68" s="90"/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>
        <v>0.33400000000000002</v>
      </c>
      <c r="EA68" s="90">
        <v>1</v>
      </c>
      <c r="EB68" s="90">
        <v>0.66600000000000004</v>
      </c>
      <c r="EC68" s="90"/>
      <c r="ED68" s="90"/>
      <c r="EE68" s="90"/>
      <c r="EF68" s="90">
        <v>3.1669999999999998</v>
      </c>
      <c r="EG68" s="90">
        <v>1</v>
      </c>
      <c r="EH68" s="90">
        <v>0.83299999999999996</v>
      </c>
      <c r="EI68" s="90">
        <v>2.1669999999999998</v>
      </c>
      <c r="EJ68" s="90">
        <v>1.5</v>
      </c>
      <c r="EK68" s="90">
        <v>0.33300000000000002</v>
      </c>
      <c r="EL68" s="90"/>
      <c r="EM68" s="90"/>
      <c r="EN68" s="90"/>
      <c r="EO68" s="90">
        <v>1</v>
      </c>
      <c r="EP68" s="90"/>
      <c r="EQ68" s="90"/>
      <c r="ER68" s="90"/>
      <c r="ES68" s="90"/>
      <c r="ET68" s="90"/>
      <c r="EU68" s="90"/>
      <c r="EV68" s="90"/>
      <c r="EW68" s="90"/>
      <c r="EX68" s="90">
        <f t="shared" si="47"/>
        <v>12</v>
      </c>
      <c r="EY68" s="90">
        <f>ROUND(EX68*IFERROR(VLOOKUP($DG68,'3121% SY'!$A$2:$M$324,13,FALSE),0),3)</f>
        <v>3.1850000000000001</v>
      </c>
      <c r="EZ68" s="90">
        <f t="shared" si="48"/>
        <v>0</v>
      </c>
      <c r="FA68" s="90">
        <f>ROUND(EZ68*IFERROR(VLOOKUP($DG68,'3121% SY'!$A$2:$M$324,13,FALSE),0),3)</f>
        <v>0</v>
      </c>
    </row>
    <row r="69" spans="1:157" x14ac:dyDescent="0.25">
      <c r="A69" s="88" t="s">
        <v>73</v>
      </c>
      <c r="B69" s="90"/>
      <c r="C69" s="90"/>
      <c r="D69" s="90"/>
      <c r="E69" s="90"/>
      <c r="F69" s="90"/>
      <c r="G69" s="90"/>
      <c r="H69" s="90">
        <v>0.29199999999999998</v>
      </c>
      <c r="I69" s="90">
        <v>0.29199999999999998</v>
      </c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R69" s="90">
        <f t="shared" si="42"/>
        <v>0</v>
      </c>
      <c r="AS69" s="90">
        <f>SUM($B69:M69)</f>
        <v>0.58399999999999996</v>
      </c>
      <c r="AT69" s="89"/>
      <c r="CL69" s="90">
        <f t="shared" si="43"/>
        <v>0</v>
      </c>
      <c r="CM69" s="90">
        <f t="shared" si="44"/>
        <v>0</v>
      </c>
      <c r="CN69" s="89"/>
      <c r="DD69" s="90">
        <f t="shared" si="45"/>
        <v>0</v>
      </c>
      <c r="DE69" s="90">
        <f t="shared" si="46"/>
        <v>0</v>
      </c>
      <c r="DF69" s="89"/>
      <c r="DG69" s="88" t="s">
        <v>106</v>
      </c>
      <c r="DH69" s="90"/>
      <c r="DI69" s="90"/>
      <c r="DJ69" s="90"/>
      <c r="DK69" s="90"/>
      <c r="DL69" s="90"/>
      <c r="DM69" s="90"/>
      <c r="DN69" s="90"/>
      <c r="DO69" s="90">
        <v>2.37</v>
      </c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>
        <v>3.35</v>
      </c>
      <c r="EG69" s="90">
        <v>0.5</v>
      </c>
      <c r="EH69" s="90">
        <v>0.15</v>
      </c>
      <c r="EI69" s="90">
        <v>3.29</v>
      </c>
      <c r="EJ69" s="90">
        <v>1.81</v>
      </c>
      <c r="EK69" s="90"/>
      <c r="EL69" s="90"/>
      <c r="EM69" s="90"/>
      <c r="EN69" s="90"/>
      <c r="EO69" s="90"/>
      <c r="EP69" s="90"/>
      <c r="EQ69" s="90"/>
      <c r="ER69" s="90"/>
      <c r="ES69" s="90"/>
      <c r="ET69" s="90"/>
      <c r="EU69" s="90"/>
      <c r="EV69" s="90"/>
      <c r="EW69" s="90"/>
      <c r="EX69" s="90">
        <f t="shared" si="47"/>
        <v>9.1</v>
      </c>
      <c r="EY69" s="90">
        <f>ROUND(EX69*IFERROR(VLOOKUP($DG69,'3121% SY'!$A$2:$M$324,13,FALSE),0),3)</f>
        <v>1.867</v>
      </c>
      <c r="EZ69" s="90">
        <f t="shared" si="48"/>
        <v>2.37</v>
      </c>
      <c r="FA69" s="90">
        <f>ROUND(EZ69*IFERROR(VLOOKUP($DG69,'3121% SY'!$A$2:$M$324,13,FALSE),0),3)</f>
        <v>0.48599999999999999</v>
      </c>
    </row>
    <row r="70" spans="1:157" x14ac:dyDescent="0.25">
      <c r="A70" s="88" t="s">
        <v>74</v>
      </c>
      <c r="B70" s="90"/>
      <c r="C70" s="90"/>
      <c r="D70" s="90"/>
      <c r="E70" s="90"/>
      <c r="F70" s="90">
        <v>0.61599999999999999</v>
      </c>
      <c r="G70" s="90"/>
      <c r="H70" s="90"/>
      <c r="I70" s="90">
        <v>1.5820000000000001</v>
      </c>
      <c r="J70" s="90"/>
      <c r="K70" s="90"/>
      <c r="L70" s="90"/>
      <c r="M70" s="90"/>
      <c r="N70" s="90"/>
      <c r="O70" s="90"/>
      <c r="P70" s="90">
        <v>1</v>
      </c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R70" s="90">
        <f t="shared" si="42"/>
        <v>1</v>
      </c>
      <c r="AS70" s="90">
        <f>SUM($B70:M70)</f>
        <v>2.198</v>
      </c>
      <c r="AT70" s="89"/>
      <c r="CL70" s="90">
        <f t="shared" si="43"/>
        <v>0</v>
      </c>
      <c r="CM70" s="90">
        <f t="shared" si="44"/>
        <v>0</v>
      </c>
      <c r="CN70" s="89"/>
      <c r="DD70" s="90">
        <f t="shared" si="45"/>
        <v>0</v>
      </c>
      <c r="DE70" s="90">
        <f t="shared" si="46"/>
        <v>0</v>
      </c>
      <c r="DF70" s="89"/>
      <c r="DG70" s="88" t="s">
        <v>107</v>
      </c>
      <c r="DH70" s="90"/>
      <c r="DI70" s="90"/>
      <c r="DJ70" s="90"/>
      <c r="DK70" s="90"/>
      <c r="DL70" s="90">
        <v>5.9790000000000001</v>
      </c>
      <c r="DM70" s="90"/>
      <c r="DN70" s="90">
        <v>4.5940000000000003</v>
      </c>
      <c r="DO70" s="90">
        <v>3.8079999999999998</v>
      </c>
      <c r="DP70" s="90">
        <v>1.369</v>
      </c>
      <c r="DQ70" s="90"/>
      <c r="DR70" s="90"/>
      <c r="DS70" s="90"/>
      <c r="DT70" s="90"/>
      <c r="DU70" s="90"/>
      <c r="DV70" s="90"/>
      <c r="DW70" s="90"/>
      <c r="DX70" s="90"/>
      <c r="DY70" s="90"/>
      <c r="DZ70" s="90">
        <v>10.911</v>
      </c>
      <c r="EA70" s="90">
        <v>0.73</v>
      </c>
      <c r="EB70" s="90">
        <v>0.55900000000000005</v>
      </c>
      <c r="EC70" s="90"/>
      <c r="ED70" s="90"/>
      <c r="EE70" s="90"/>
      <c r="EF70" s="90">
        <v>25.995999999999999</v>
      </c>
      <c r="EG70" s="90">
        <v>4.3</v>
      </c>
      <c r="EH70" s="90">
        <v>3.004</v>
      </c>
      <c r="EI70" s="90">
        <v>13.272</v>
      </c>
      <c r="EJ70" s="90">
        <v>4.4409999999999998</v>
      </c>
      <c r="EK70" s="90">
        <v>1.998</v>
      </c>
      <c r="EL70" s="90"/>
      <c r="EM70" s="90"/>
      <c r="EN70" s="90"/>
      <c r="EO70" s="90">
        <v>2.02</v>
      </c>
      <c r="EP70" s="90">
        <v>0.55000000000000004</v>
      </c>
      <c r="EQ70" s="90">
        <v>0.43</v>
      </c>
      <c r="ER70" s="90">
        <v>1.67</v>
      </c>
      <c r="ES70" s="90">
        <v>1.67</v>
      </c>
      <c r="ET70" s="90">
        <v>0.66</v>
      </c>
      <c r="EU70" s="90"/>
      <c r="EV70" s="90"/>
      <c r="EW70" s="90"/>
      <c r="EX70" s="90">
        <f t="shared" si="47"/>
        <v>72.210999999999999</v>
      </c>
      <c r="EY70" s="90">
        <f>ROUND(EX70*IFERROR(VLOOKUP($DG70,'3121% SY'!$A$2:$M$324,13,FALSE),0),3)</f>
        <v>17.901</v>
      </c>
      <c r="EZ70" s="90">
        <f t="shared" si="48"/>
        <v>15.75</v>
      </c>
      <c r="FA70" s="90">
        <f>ROUND(EZ70*IFERROR(VLOOKUP($DG70,'3121% SY'!$A$2:$M$324,13,FALSE),0),3)</f>
        <v>3.9039999999999999</v>
      </c>
    </row>
    <row r="71" spans="1:157" x14ac:dyDescent="0.25">
      <c r="A71" s="88" t="s">
        <v>75</v>
      </c>
      <c r="B71" s="90">
        <v>0.499</v>
      </c>
      <c r="C71" s="90"/>
      <c r="D71" s="90"/>
      <c r="E71" s="90"/>
      <c r="F71" s="90"/>
      <c r="G71" s="90"/>
      <c r="H71" s="90"/>
      <c r="I71" s="90">
        <v>2.57</v>
      </c>
      <c r="J71" s="90"/>
      <c r="K71" s="90"/>
      <c r="L71" s="90"/>
      <c r="M71" s="90"/>
      <c r="N71" s="90"/>
      <c r="O71" s="90">
        <v>3.25</v>
      </c>
      <c r="P71" s="90">
        <v>3.294</v>
      </c>
      <c r="Q71" s="90">
        <v>2.2000000000000002</v>
      </c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R71" s="90">
        <f t="shared" ref="AR71:AR134" si="49">SUM(N71:AQ71)</f>
        <v>8.7439999999999998</v>
      </c>
      <c r="AS71" s="90">
        <f>SUM($B71:M71)</f>
        <v>3.069</v>
      </c>
      <c r="AT71" s="89"/>
      <c r="CL71" s="90">
        <f t="shared" ref="CL71:CL134" si="50">SUM(BH71:CK71)</f>
        <v>0</v>
      </c>
      <c r="CM71" s="90">
        <f t="shared" ref="CM71:CM134" si="51">SUM(AV71:BG71)</f>
        <v>0</v>
      </c>
      <c r="CN71" s="89"/>
      <c r="DD71" s="90">
        <f t="shared" ref="DD71:DD134" si="52">SUM(CT71:DC71)</f>
        <v>0</v>
      </c>
      <c r="DE71" s="90">
        <f t="shared" ref="DE71:DE134" si="53">SUM(CP71:CS71)</f>
        <v>0</v>
      </c>
      <c r="DF71" s="89"/>
      <c r="DG71" s="88" t="s">
        <v>108</v>
      </c>
      <c r="DH71" s="90"/>
      <c r="DI71" s="90"/>
      <c r="DJ71" s="90"/>
      <c r="DK71" s="90"/>
      <c r="DL71" s="90"/>
      <c r="DM71" s="90"/>
      <c r="DN71" s="90"/>
      <c r="DO71" s="90">
        <v>2.081</v>
      </c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>
        <v>2.1930000000000001</v>
      </c>
      <c r="EA71" s="90">
        <v>0.73</v>
      </c>
      <c r="EB71" s="90">
        <v>0.1</v>
      </c>
      <c r="EC71" s="90"/>
      <c r="ED71" s="90"/>
      <c r="EE71" s="90"/>
      <c r="EF71" s="90">
        <v>10.795</v>
      </c>
      <c r="EG71" s="90">
        <v>1.6120000000000001</v>
      </c>
      <c r="EH71" s="90">
        <v>1.1000000000000001</v>
      </c>
      <c r="EI71" s="90">
        <v>5.3029999999999999</v>
      </c>
      <c r="EJ71" s="90">
        <v>2</v>
      </c>
      <c r="EK71" s="90">
        <v>0.67</v>
      </c>
      <c r="EL71" s="90"/>
      <c r="EM71" s="90"/>
      <c r="EN71" s="90"/>
      <c r="EO71" s="90">
        <v>0.66</v>
      </c>
      <c r="EP71" s="90">
        <v>0.26</v>
      </c>
      <c r="EQ71" s="90">
        <v>0.08</v>
      </c>
      <c r="ER71" s="90"/>
      <c r="ES71" s="90"/>
      <c r="ET71" s="90"/>
      <c r="EU71" s="90"/>
      <c r="EV71" s="90"/>
      <c r="EW71" s="90"/>
      <c r="EX71" s="90">
        <f t="shared" ref="EX71:EX134" si="54">SUM(DT71:EW71)</f>
        <v>25.503000000000004</v>
      </c>
      <c r="EY71" s="90">
        <f>ROUND(EX71*IFERROR(VLOOKUP($DG71,'3121% SY'!$A$2:$M$324,13,FALSE),0),3)</f>
        <v>6.0339999999999998</v>
      </c>
      <c r="EZ71" s="90">
        <f t="shared" ref="EZ71:EZ134" si="55">SUM(DH71:DS71)</f>
        <v>2.081</v>
      </c>
      <c r="FA71" s="90">
        <f>ROUND(EZ71*IFERROR(VLOOKUP($DG71,'3121% SY'!$A$2:$M$324,13,FALSE),0),3)</f>
        <v>0.49199999999999999</v>
      </c>
    </row>
    <row r="72" spans="1:157" x14ac:dyDescent="0.25">
      <c r="A72" s="88" t="s">
        <v>76</v>
      </c>
      <c r="B72" s="90"/>
      <c r="C72" s="90"/>
      <c r="D72" s="90"/>
      <c r="E72" s="90"/>
      <c r="F72" s="90"/>
      <c r="G72" s="90"/>
      <c r="H72" s="90">
        <v>1.2769999999999999</v>
      </c>
      <c r="I72" s="90">
        <v>0.19</v>
      </c>
      <c r="J72" s="90">
        <v>0.127</v>
      </c>
      <c r="K72" s="90"/>
      <c r="L72" s="90"/>
      <c r="M72" s="90"/>
      <c r="N72" s="90"/>
      <c r="O72" s="90">
        <v>1.7989999999999999</v>
      </c>
      <c r="P72" s="90">
        <v>1.8</v>
      </c>
      <c r="Q72" s="90">
        <v>1</v>
      </c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>
        <v>1</v>
      </c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R72" s="90">
        <f t="shared" si="49"/>
        <v>5.5990000000000002</v>
      </c>
      <c r="AS72" s="90">
        <f>SUM($B72:M72)</f>
        <v>1.5939999999999999</v>
      </c>
      <c r="AT72" s="89"/>
      <c r="CL72" s="90">
        <f t="shared" si="50"/>
        <v>0</v>
      </c>
      <c r="CM72" s="90">
        <f t="shared" si="51"/>
        <v>0</v>
      </c>
      <c r="CN72" s="89"/>
      <c r="DD72" s="90">
        <f t="shared" si="52"/>
        <v>0</v>
      </c>
      <c r="DE72" s="90">
        <f t="shared" si="53"/>
        <v>0</v>
      </c>
      <c r="DF72" s="89"/>
      <c r="DG72" s="88" t="s">
        <v>109</v>
      </c>
      <c r="DH72" s="90"/>
      <c r="DI72" s="90"/>
      <c r="DJ72" s="90"/>
      <c r="DK72" s="90"/>
      <c r="DL72" s="90"/>
      <c r="DM72" s="90"/>
      <c r="DN72" s="90"/>
      <c r="DO72" s="90">
        <v>2.452</v>
      </c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>
        <v>2.206</v>
      </c>
      <c r="EA72" s="90">
        <v>0.93500000000000005</v>
      </c>
      <c r="EB72" s="90">
        <v>0.59899999999999998</v>
      </c>
      <c r="EC72" s="90"/>
      <c r="ED72" s="90"/>
      <c r="EE72" s="90"/>
      <c r="EF72" s="90">
        <v>5.5030000000000001</v>
      </c>
      <c r="EG72" s="90">
        <v>3.6</v>
      </c>
      <c r="EH72" s="90"/>
      <c r="EI72" s="90">
        <v>8.1720000000000006</v>
      </c>
      <c r="EJ72" s="90"/>
      <c r="EK72" s="90">
        <v>1.7010000000000001</v>
      </c>
      <c r="EL72" s="90"/>
      <c r="EM72" s="90"/>
      <c r="EN72" s="90"/>
      <c r="EO72" s="90">
        <v>0.57999999999999996</v>
      </c>
      <c r="EP72" s="90">
        <v>0.26</v>
      </c>
      <c r="EQ72" s="90">
        <v>0.16</v>
      </c>
      <c r="ER72" s="90"/>
      <c r="ES72" s="90"/>
      <c r="ET72" s="90"/>
      <c r="EU72" s="90"/>
      <c r="EV72" s="90"/>
      <c r="EW72" s="90"/>
      <c r="EX72" s="90">
        <f t="shared" si="54"/>
        <v>23.716000000000001</v>
      </c>
      <c r="EY72" s="90">
        <f>ROUND(EX72*IFERROR(VLOOKUP($DG72,'3121% SY'!$A$2:$M$324,13,FALSE),0),3)</f>
        <v>5.4950000000000001</v>
      </c>
      <c r="EZ72" s="90">
        <f t="shared" si="55"/>
        <v>2.452</v>
      </c>
      <c r="FA72" s="90">
        <f>ROUND(EZ72*IFERROR(VLOOKUP($DG72,'3121% SY'!$A$2:$M$324,13,FALSE),0),3)</f>
        <v>0.56799999999999995</v>
      </c>
    </row>
    <row r="73" spans="1:157" x14ac:dyDescent="0.25">
      <c r="A73" s="88" t="s">
        <v>77</v>
      </c>
      <c r="B73" s="90"/>
      <c r="C73" s="90">
        <v>0.80800000000000005</v>
      </c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>
        <v>1.1599999999999999</v>
      </c>
      <c r="P73" s="90">
        <v>0.46400000000000002</v>
      </c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R73" s="90">
        <f t="shared" si="49"/>
        <v>1.6239999999999999</v>
      </c>
      <c r="AS73" s="90">
        <f>SUM($B73:M73)</f>
        <v>0.80800000000000005</v>
      </c>
      <c r="AT73" s="89"/>
      <c r="CL73" s="90">
        <f t="shared" si="50"/>
        <v>0</v>
      </c>
      <c r="CM73" s="90">
        <f t="shared" si="51"/>
        <v>0</v>
      </c>
      <c r="CN73" s="89"/>
      <c r="DD73" s="90">
        <f t="shared" si="52"/>
        <v>0</v>
      </c>
      <c r="DE73" s="90">
        <f t="shared" si="53"/>
        <v>0</v>
      </c>
      <c r="DF73" s="89"/>
      <c r="DG73" s="88" t="s">
        <v>110</v>
      </c>
      <c r="DH73" s="90"/>
      <c r="DI73" s="90"/>
      <c r="DJ73" s="90"/>
      <c r="DK73" s="90"/>
      <c r="DL73" s="90"/>
      <c r="DM73" s="90"/>
      <c r="DN73" s="90"/>
      <c r="DO73" s="90">
        <v>3.5</v>
      </c>
      <c r="DP73" s="90"/>
      <c r="DQ73" s="90"/>
      <c r="DR73" s="90"/>
      <c r="DS73" s="90"/>
      <c r="DT73" s="90">
        <v>0.6</v>
      </c>
      <c r="DU73" s="90"/>
      <c r="DV73" s="90"/>
      <c r="DW73" s="90"/>
      <c r="DX73" s="90"/>
      <c r="DY73" s="90"/>
      <c r="DZ73" s="90">
        <v>4.5</v>
      </c>
      <c r="EA73" s="90">
        <v>2.5</v>
      </c>
      <c r="EB73" s="90">
        <v>2.8</v>
      </c>
      <c r="EC73" s="90"/>
      <c r="ED73" s="90"/>
      <c r="EE73" s="90"/>
      <c r="EF73" s="90">
        <v>16.600000000000001</v>
      </c>
      <c r="EG73" s="90">
        <v>4.9000000000000004</v>
      </c>
      <c r="EH73" s="90">
        <v>3.7</v>
      </c>
      <c r="EI73" s="90"/>
      <c r="EJ73" s="90"/>
      <c r="EK73" s="90"/>
      <c r="EL73" s="90"/>
      <c r="EM73" s="90"/>
      <c r="EN73" s="90"/>
      <c r="EO73" s="90"/>
      <c r="EP73" s="90">
        <v>2.4</v>
      </c>
      <c r="EQ73" s="90">
        <v>2.4</v>
      </c>
      <c r="ER73" s="90"/>
      <c r="ES73" s="90"/>
      <c r="ET73" s="90"/>
      <c r="EU73" s="90"/>
      <c r="EV73" s="90"/>
      <c r="EW73" s="90"/>
      <c r="EX73" s="90">
        <f t="shared" si="54"/>
        <v>40.4</v>
      </c>
      <c r="EY73" s="90">
        <f>ROUND(EX73*IFERROR(VLOOKUP($DG73,'3121% SY'!$A$2:$M$324,13,FALSE),0),3)</f>
        <v>9.4130000000000003</v>
      </c>
      <c r="EZ73" s="90">
        <f t="shared" si="55"/>
        <v>3.5</v>
      </c>
      <c r="FA73" s="90">
        <f>ROUND(EZ73*IFERROR(VLOOKUP($DG73,'3121% SY'!$A$2:$M$324,13,FALSE),0),3)</f>
        <v>0.81599999999999995</v>
      </c>
    </row>
    <row r="74" spans="1:157" x14ac:dyDescent="0.25">
      <c r="A74" s="88" t="s">
        <v>78</v>
      </c>
      <c r="B74" s="90"/>
      <c r="C74" s="90"/>
      <c r="D74" s="90"/>
      <c r="E74" s="90">
        <v>0.40699999999999997</v>
      </c>
      <c r="F74" s="90">
        <v>0.35299999999999998</v>
      </c>
      <c r="G74" s="90">
        <v>6.5000000000000002E-2</v>
      </c>
      <c r="H74" s="90"/>
      <c r="I74" s="90"/>
      <c r="J74" s="90"/>
      <c r="K74" s="90"/>
      <c r="L74" s="90"/>
      <c r="M74" s="90"/>
      <c r="N74" s="90"/>
      <c r="O74" s="90">
        <v>0.45</v>
      </c>
      <c r="P74" s="90"/>
      <c r="Q74" s="90">
        <v>0.15</v>
      </c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R74" s="90">
        <f t="shared" si="49"/>
        <v>0.6</v>
      </c>
      <c r="AS74" s="90">
        <f>SUM($B74:M74)</f>
        <v>0.82499999999999996</v>
      </c>
      <c r="AT74" s="89"/>
      <c r="CL74" s="90">
        <f t="shared" si="50"/>
        <v>0</v>
      </c>
      <c r="CM74" s="90">
        <f t="shared" si="51"/>
        <v>0</v>
      </c>
      <c r="CN74" s="89"/>
      <c r="DD74" s="90">
        <f t="shared" si="52"/>
        <v>0</v>
      </c>
      <c r="DE74" s="90">
        <f t="shared" si="53"/>
        <v>0</v>
      </c>
      <c r="DF74" s="89"/>
      <c r="DG74" s="88" t="s">
        <v>111</v>
      </c>
      <c r="DH74" s="90"/>
      <c r="DI74" s="90"/>
      <c r="DJ74" s="90"/>
      <c r="DK74" s="90"/>
      <c r="DL74" s="90">
        <v>4.87</v>
      </c>
      <c r="DM74" s="90"/>
      <c r="DN74" s="90"/>
      <c r="DO74" s="90">
        <v>0.626</v>
      </c>
      <c r="DP74" s="90"/>
      <c r="DQ74" s="90"/>
      <c r="DR74" s="90"/>
      <c r="DS74" s="90"/>
      <c r="DT74" s="90"/>
      <c r="DU74" s="90"/>
      <c r="DV74" s="90"/>
      <c r="DW74" s="90"/>
      <c r="DX74" s="90"/>
      <c r="DY74" s="90"/>
      <c r="DZ74" s="90">
        <v>5.18</v>
      </c>
      <c r="EA74" s="90"/>
      <c r="EB74" s="90">
        <v>0.92</v>
      </c>
      <c r="EC74" s="90"/>
      <c r="ED74" s="90"/>
      <c r="EE74" s="90"/>
      <c r="EF74" s="90">
        <v>10.302</v>
      </c>
      <c r="EG74" s="90">
        <v>2.0979999999999999</v>
      </c>
      <c r="EH74" s="90">
        <v>1.5</v>
      </c>
      <c r="EI74" s="90">
        <v>0.8</v>
      </c>
      <c r="EJ74" s="90"/>
      <c r="EK74" s="90"/>
      <c r="EL74" s="90"/>
      <c r="EM74" s="90"/>
      <c r="EN74" s="90"/>
      <c r="EO74" s="90">
        <v>2.87</v>
      </c>
      <c r="EP74" s="90"/>
      <c r="EQ74" s="90"/>
      <c r="ER74" s="90"/>
      <c r="ES74" s="90"/>
      <c r="ET74" s="90"/>
      <c r="EU74" s="90"/>
      <c r="EV74" s="90"/>
      <c r="EW74" s="90"/>
      <c r="EX74" s="90">
        <f t="shared" si="54"/>
        <v>23.67</v>
      </c>
      <c r="EY74" s="90">
        <f>ROUND(EX74*IFERROR(VLOOKUP($DG74,'3121% SY'!$A$2:$M$324,13,FALSE),0),3)</f>
        <v>5.5549999999999997</v>
      </c>
      <c r="EZ74" s="90">
        <f t="shared" si="55"/>
        <v>5.4960000000000004</v>
      </c>
      <c r="FA74" s="90">
        <f>ROUND(EZ74*IFERROR(VLOOKUP($DG74,'3121% SY'!$A$2:$M$324,13,FALSE),0),3)</f>
        <v>1.29</v>
      </c>
    </row>
    <row r="75" spans="1:157" x14ac:dyDescent="0.25">
      <c r="A75" s="88" t="s">
        <v>79</v>
      </c>
      <c r="B75" s="90"/>
      <c r="C75" s="90"/>
      <c r="D75" s="90"/>
      <c r="E75" s="90">
        <v>9.4E-2</v>
      </c>
      <c r="F75" s="90">
        <v>2.129</v>
      </c>
      <c r="G75" s="90"/>
      <c r="H75" s="90"/>
      <c r="I75" s="90">
        <v>2.665</v>
      </c>
      <c r="J75" s="90"/>
      <c r="K75" s="90"/>
      <c r="L75" s="90"/>
      <c r="M75" s="90"/>
      <c r="N75" s="90"/>
      <c r="O75" s="90">
        <v>2</v>
      </c>
      <c r="P75" s="90"/>
      <c r="Q75" s="90">
        <v>1.34</v>
      </c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R75" s="90">
        <f t="shared" si="49"/>
        <v>3.34</v>
      </c>
      <c r="AS75" s="90">
        <f>SUM($B75:M75)</f>
        <v>4.8879999999999999</v>
      </c>
      <c r="AT75" s="89"/>
      <c r="CL75" s="90">
        <f t="shared" si="50"/>
        <v>0</v>
      </c>
      <c r="CM75" s="90">
        <f t="shared" si="51"/>
        <v>0</v>
      </c>
      <c r="CN75" s="89"/>
      <c r="DD75" s="90">
        <f t="shared" si="52"/>
        <v>0</v>
      </c>
      <c r="DE75" s="90">
        <f t="shared" si="53"/>
        <v>0</v>
      </c>
      <c r="DF75" s="89"/>
      <c r="DG75" s="88" t="s">
        <v>112</v>
      </c>
      <c r="DH75" s="90"/>
      <c r="DI75" s="90"/>
      <c r="DJ75" s="90"/>
      <c r="DK75" s="90"/>
      <c r="DL75" s="90"/>
      <c r="DM75" s="90"/>
      <c r="DN75" s="90"/>
      <c r="DO75" s="90">
        <v>4.25</v>
      </c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>
        <v>16.672000000000001</v>
      </c>
      <c r="EA75" s="90">
        <v>2.5289999999999999</v>
      </c>
      <c r="EB75" s="90">
        <v>3.57</v>
      </c>
      <c r="EC75" s="90"/>
      <c r="ED75" s="90"/>
      <c r="EE75" s="90"/>
      <c r="EF75" s="90">
        <v>17.399999999999999</v>
      </c>
      <c r="EG75" s="90">
        <v>5</v>
      </c>
      <c r="EH75" s="90">
        <v>6.2</v>
      </c>
      <c r="EI75" s="90"/>
      <c r="EJ75" s="90"/>
      <c r="EK75" s="90"/>
      <c r="EL75" s="90"/>
      <c r="EM75" s="90"/>
      <c r="EN75" s="90"/>
      <c r="EO75" s="90">
        <v>2.7</v>
      </c>
      <c r="EP75" s="90">
        <v>1.1000000000000001</v>
      </c>
      <c r="EQ75" s="90">
        <v>0.9</v>
      </c>
      <c r="ER75" s="90"/>
      <c r="ES75" s="90"/>
      <c r="ET75" s="90"/>
      <c r="EU75" s="90"/>
      <c r="EV75" s="90"/>
      <c r="EW75" s="90"/>
      <c r="EX75" s="90">
        <f t="shared" si="54"/>
        <v>56.071000000000005</v>
      </c>
      <c r="EY75" s="90">
        <f>ROUND(EX75*IFERROR(VLOOKUP($DG75,'3121% SY'!$A$2:$M$324,13,FALSE),0),3)</f>
        <v>12.672000000000001</v>
      </c>
      <c r="EZ75" s="90">
        <f t="shared" si="55"/>
        <v>4.25</v>
      </c>
      <c r="FA75" s="90">
        <f>ROUND(EZ75*IFERROR(VLOOKUP($DG75,'3121% SY'!$A$2:$M$324,13,FALSE),0),3)</f>
        <v>0.96099999999999997</v>
      </c>
    </row>
    <row r="76" spans="1:157" x14ac:dyDescent="0.25">
      <c r="A76" s="88" t="s">
        <v>80</v>
      </c>
      <c r="B76" s="90"/>
      <c r="C76" s="90"/>
      <c r="D76" s="90"/>
      <c r="E76" s="90"/>
      <c r="F76" s="90"/>
      <c r="G76" s="90"/>
      <c r="H76" s="90"/>
      <c r="I76" s="90">
        <v>0.63900000000000001</v>
      </c>
      <c r="J76" s="90">
        <v>0.63900000000000001</v>
      </c>
      <c r="K76" s="90"/>
      <c r="L76" s="90"/>
      <c r="M76" s="90"/>
      <c r="N76" s="90"/>
      <c r="O76" s="90">
        <v>1</v>
      </c>
      <c r="P76" s="90">
        <v>0.78</v>
      </c>
      <c r="Q76" s="90">
        <v>0.79</v>
      </c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R76" s="90">
        <f t="shared" si="49"/>
        <v>2.5700000000000003</v>
      </c>
      <c r="AS76" s="90">
        <f>SUM($B76:M76)</f>
        <v>1.278</v>
      </c>
      <c r="AT76" s="89"/>
      <c r="CL76" s="90">
        <f t="shared" si="50"/>
        <v>0</v>
      </c>
      <c r="CM76" s="90">
        <f t="shared" si="51"/>
        <v>0</v>
      </c>
      <c r="CN76" s="89"/>
      <c r="DD76" s="90">
        <f t="shared" si="52"/>
        <v>0</v>
      </c>
      <c r="DE76" s="90">
        <f t="shared" si="53"/>
        <v>0</v>
      </c>
      <c r="DF76" s="89"/>
      <c r="DG76" s="88" t="s">
        <v>113</v>
      </c>
      <c r="DH76" s="90"/>
      <c r="DI76" s="90"/>
      <c r="DJ76" s="90"/>
      <c r="DK76" s="90"/>
      <c r="DL76" s="90"/>
      <c r="DM76" s="90"/>
      <c r="DN76" s="90"/>
      <c r="DO76" s="90">
        <v>2.8130000000000002</v>
      </c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0"/>
      <c r="EF76" s="90">
        <v>19.722999999999999</v>
      </c>
      <c r="EG76" s="90">
        <v>24.524999999999999</v>
      </c>
      <c r="EH76" s="90">
        <v>1.165</v>
      </c>
      <c r="EI76" s="90">
        <v>30.556999999999999</v>
      </c>
      <c r="EJ76" s="90">
        <v>1.9770000000000001</v>
      </c>
      <c r="EK76" s="90"/>
      <c r="EL76" s="90"/>
      <c r="EM76" s="90"/>
      <c r="EN76" s="90"/>
      <c r="EO76" s="90">
        <v>4.7699999999999996</v>
      </c>
      <c r="EP76" s="90"/>
      <c r="EQ76" s="90"/>
      <c r="ER76" s="90"/>
      <c r="ES76" s="90">
        <v>4</v>
      </c>
      <c r="ET76" s="90"/>
      <c r="EU76" s="90"/>
      <c r="EV76" s="90"/>
      <c r="EW76" s="90"/>
      <c r="EX76" s="90">
        <f t="shared" si="54"/>
        <v>86.716999999999999</v>
      </c>
      <c r="EY76" s="90">
        <f>ROUND(EX76*IFERROR(VLOOKUP($DG76,'3121% SY'!$A$2:$M$324,13,FALSE),0),3)</f>
        <v>26.744</v>
      </c>
      <c r="EZ76" s="90">
        <f t="shared" si="55"/>
        <v>2.8130000000000002</v>
      </c>
      <c r="FA76" s="90">
        <f>ROUND(EZ76*IFERROR(VLOOKUP($DG76,'3121% SY'!$A$2:$M$324,13,FALSE),0),3)</f>
        <v>0.86799999999999999</v>
      </c>
    </row>
    <row r="77" spans="1:157" x14ac:dyDescent="0.25">
      <c r="A77" s="88" t="s">
        <v>81</v>
      </c>
      <c r="B77" s="90"/>
      <c r="C77" s="90"/>
      <c r="D77" s="90"/>
      <c r="E77" s="90"/>
      <c r="F77" s="90"/>
      <c r="G77" s="90"/>
      <c r="H77" s="90"/>
      <c r="I77" s="90">
        <v>1.224</v>
      </c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R77" s="90">
        <f t="shared" si="49"/>
        <v>0</v>
      </c>
      <c r="AS77" s="90">
        <f>SUM($B77:M77)</f>
        <v>1.224</v>
      </c>
      <c r="AT77" s="89"/>
      <c r="CL77" s="90">
        <f t="shared" si="50"/>
        <v>0</v>
      </c>
      <c r="CM77" s="90">
        <f t="shared" si="51"/>
        <v>0</v>
      </c>
      <c r="CN77" s="89"/>
      <c r="DD77" s="90">
        <f t="shared" si="52"/>
        <v>0</v>
      </c>
      <c r="DE77" s="90">
        <f t="shared" si="53"/>
        <v>0</v>
      </c>
      <c r="DF77" s="89"/>
      <c r="DG77" s="88" t="s">
        <v>114</v>
      </c>
      <c r="DH77" s="90"/>
      <c r="DI77" s="90"/>
      <c r="DJ77" s="90"/>
      <c r="DK77" s="90"/>
      <c r="DL77" s="90"/>
      <c r="DM77" s="90"/>
      <c r="DN77" s="90">
        <v>1.653</v>
      </c>
      <c r="DO77" s="90">
        <v>13.842000000000001</v>
      </c>
      <c r="DP77" s="90">
        <v>0.128</v>
      </c>
      <c r="DQ77" s="90"/>
      <c r="DR77" s="90"/>
      <c r="DS77" s="90"/>
      <c r="DT77" s="90"/>
      <c r="DU77" s="90"/>
      <c r="DV77" s="90"/>
      <c r="DW77" s="90"/>
      <c r="DX77" s="90"/>
      <c r="DY77" s="90"/>
      <c r="DZ77" s="90">
        <v>10.882</v>
      </c>
      <c r="EA77" s="90">
        <v>0.16</v>
      </c>
      <c r="EB77" s="90">
        <v>1.3160000000000001</v>
      </c>
      <c r="EC77" s="90"/>
      <c r="ED77" s="90"/>
      <c r="EE77" s="90"/>
      <c r="EF77" s="90">
        <v>24.763999999999999</v>
      </c>
      <c r="EG77" s="90">
        <v>5.1459999999999999</v>
      </c>
      <c r="EH77" s="90">
        <v>3.2210000000000001</v>
      </c>
      <c r="EI77" s="90">
        <v>11.108000000000001</v>
      </c>
      <c r="EJ77" s="90">
        <v>5.19</v>
      </c>
      <c r="EK77" s="90">
        <v>2.4980000000000002</v>
      </c>
      <c r="EL77" s="90">
        <v>0.25</v>
      </c>
      <c r="EM77" s="90"/>
      <c r="EN77" s="90"/>
      <c r="EO77" s="90">
        <v>7.2569999999999997</v>
      </c>
      <c r="EP77" s="90">
        <v>0.79600000000000004</v>
      </c>
      <c r="EQ77" s="90">
        <v>0.92900000000000005</v>
      </c>
      <c r="ER77" s="90"/>
      <c r="ES77" s="90"/>
      <c r="ET77" s="90"/>
      <c r="EU77" s="90"/>
      <c r="EV77" s="90"/>
      <c r="EW77" s="90"/>
      <c r="EX77" s="90">
        <f t="shared" si="54"/>
        <v>73.517000000000024</v>
      </c>
      <c r="EY77" s="90">
        <f>ROUND(EX77*IFERROR(VLOOKUP($DG77,'3121% SY'!$A$2:$M$324,13,FALSE),0),3)</f>
        <v>15.314</v>
      </c>
      <c r="EZ77" s="90">
        <f t="shared" si="55"/>
        <v>15.623000000000001</v>
      </c>
      <c r="FA77" s="90">
        <f>ROUND(EZ77*IFERROR(VLOOKUP($DG77,'3121% SY'!$A$2:$M$324,13,FALSE),0),3)</f>
        <v>3.254</v>
      </c>
    </row>
    <row r="78" spans="1:157" x14ac:dyDescent="0.25">
      <c r="A78" s="88" t="s">
        <v>82</v>
      </c>
      <c r="B78" s="90"/>
      <c r="C78" s="90"/>
      <c r="D78" s="90"/>
      <c r="E78" s="90">
        <v>0.16800000000000001</v>
      </c>
      <c r="F78" s="90">
        <v>0.34300000000000003</v>
      </c>
      <c r="G78" s="90"/>
      <c r="H78" s="90"/>
      <c r="I78" s="90"/>
      <c r="J78" s="90"/>
      <c r="K78" s="90"/>
      <c r="L78" s="90"/>
      <c r="M78" s="90"/>
      <c r="N78" s="90"/>
      <c r="O78" s="90"/>
      <c r="P78" s="90">
        <v>0.3</v>
      </c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R78" s="90">
        <f t="shared" si="49"/>
        <v>0.3</v>
      </c>
      <c r="AS78" s="90">
        <f>SUM($B78:M78)</f>
        <v>0.51100000000000001</v>
      </c>
      <c r="AT78" s="89"/>
      <c r="CL78" s="90">
        <f t="shared" si="50"/>
        <v>0</v>
      </c>
      <c r="CM78" s="90">
        <f t="shared" si="51"/>
        <v>0</v>
      </c>
      <c r="CN78" s="89"/>
      <c r="DD78" s="90">
        <f t="shared" si="52"/>
        <v>0</v>
      </c>
      <c r="DE78" s="90">
        <f t="shared" si="53"/>
        <v>0</v>
      </c>
      <c r="DF78" s="89"/>
      <c r="DG78" s="88" t="s">
        <v>619</v>
      </c>
      <c r="DH78" s="90"/>
      <c r="DI78" s="90"/>
      <c r="DJ78" s="90"/>
      <c r="DK78" s="90"/>
      <c r="DL78" s="90"/>
      <c r="DM78" s="90"/>
      <c r="DN78" s="90"/>
      <c r="DO78" s="90">
        <v>0.80800000000000005</v>
      </c>
      <c r="DP78" s="90"/>
      <c r="DQ78" s="90"/>
      <c r="DR78" s="90"/>
      <c r="DS78" s="90"/>
      <c r="DT78" s="90"/>
      <c r="DU78" s="90"/>
      <c r="DV78" s="90"/>
      <c r="DW78" s="90"/>
      <c r="DX78" s="90"/>
      <c r="DY78" s="90"/>
      <c r="DZ78" s="90"/>
      <c r="EA78" s="90"/>
      <c r="EB78" s="90"/>
      <c r="EC78" s="90"/>
      <c r="ED78" s="90"/>
      <c r="EE78" s="90"/>
      <c r="EF78" s="90"/>
      <c r="EG78" s="90"/>
      <c r="EH78" s="90"/>
      <c r="EI78" s="90"/>
      <c r="EJ78" s="90"/>
      <c r="EK78" s="90"/>
      <c r="EL78" s="90"/>
      <c r="EM78" s="90"/>
      <c r="EN78" s="90"/>
      <c r="EO78" s="90"/>
      <c r="EP78" s="90"/>
      <c r="EQ78" s="90"/>
      <c r="ER78" s="90"/>
      <c r="ES78" s="90"/>
      <c r="ET78" s="90"/>
      <c r="EU78" s="90"/>
      <c r="EV78" s="90"/>
      <c r="EW78" s="90"/>
      <c r="EX78" s="90">
        <f t="shared" si="54"/>
        <v>0</v>
      </c>
      <c r="EY78" s="90">
        <f>ROUND(EX78*IFERROR(VLOOKUP($DG78,'3121% SY'!$A$2:$M$324,13,FALSE),0),3)</f>
        <v>0</v>
      </c>
      <c r="EZ78" s="90">
        <f t="shared" si="55"/>
        <v>0.80800000000000005</v>
      </c>
      <c r="FA78" s="90">
        <f>ROUND(EZ78*IFERROR(VLOOKUP($DG78,'3121% SY'!$A$2:$M$324,13,FALSE),0),3)</f>
        <v>0.105</v>
      </c>
    </row>
    <row r="79" spans="1:157" x14ac:dyDescent="0.25">
      <c r="A79" s="88" t="s">
        <v>83</v>
      </c>
      <c r="B79" s="90">
        <v>0.36299999999999999</v>
      </c>
      <c r="C79" s="90"/>
      <c r="D79" s="90"/>
      <c r="E79" s="90"/>
      <c r="F79" s="90">
        <v>0.88300000000000001</v>
      </c>
      <c r="G79" s="90"/>
      <c r="H79" s="90"/>
      <c r="I79" s="90"/>
      <c r="J79" s="90"/>
      <c r="K79" s="90"/>
      <c r="L79" s="90"/>
      <c r="M79" s="90"/>
      <c r="N79" s="90"/>
      <c r="O79" s="90">
        <v>0.57199999999999995</v>
      </c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R79" s="90">
        <f t="shared" si="49"/>
        <v>0.57199999999999995</v>
      </c>
      <c r="AS79" s="90">
        <f>SUM($B79:M79)</f>
        <v>1.246</v>
      </c>
      <c r="AT79" s="89"/>
      <c r="CL79" s="90">
        <f t="shared" si="50"/>
        <v>0</v>
      </c>
      <c r="CM79" s="90">
        <f t="shared" si="51"/>
        <v>0</v>
      </c>
      <c r="CN79" s="89"/>
      <c r="DD79" s="90">
        <f t="shared" si="52"/>
        <v>0</v>
      </c>
      <c r="DE79" s="90">
        <f t="shared" si="53"/>
        <v>0</v>
      </c>
      <c r="DF79" s="89"/>
      <c r="DG79" s="88" t="s">
        <v>621</v>
      </c>
      <c r="DH79" s="90"/>
      <c r="DI79" s="90"/>
      <c r="DJ79" s="90"/>
      <c r="DK79" s="90"/>
      <c r="DL79" s="90"/>
      <c r="DM79" s="90"/>
      <c r="DN79" s="90"/>
      <c r="DO79" s="90">
        <v>0.80800000000000005</v>
      </c>
      <c r="DP79" s="90"/>
      <c r="DQ79" s="90"/>
      <c r="DR79" s="90"/>
      <c r="DS79" s="90"/>
      <c r="DT79" s="90"/>
      <c r="DU79" s="90"/>
      <c r="DV79" s="90"/>
      <c r="DW79" s="90"/>
      <c r="DX79" s="90"/>
      <c r="DY79" s="90"/>
      <c r="DZ79" s="90"/>
      <c r="EA79" s="90"/>
      <c r="EB79" s="90"/>
      <c r="EC79" s="90"/>
      <c r="ED79" s="90"/>
      <c r="EE79" s="90"/>
      <c r="EF79" s="90"/>
      <c r="EG79" s="90"/>
      <c r="EH79" s="90"/>
      <c r="EI79" s="90"/>
      <c r="EJ79" s="90"/>
      <c r="EK79" s="90"/>
      <c r="EL79" s="90"/>
      <c r="EM79" s="90"/>
      <c r="EN79" s="90"/>
      <c r="EO79" s="90"/>
      <c r="EP79" s="90"/>
      <c r="EQ79" s="90"/>
      <c r="ER79" s="90"/>
      <c r="ES79" s="90"/>
      <c r="ET79" s="90"/>
      <c r="EU79" s="90"/>
      <c r="EV79" s="90"/>
      <c r="EW79" s="90"/>
      <c r="EX79" s="90">
        <f t="shared" si="54"/>
        <v>0</v>
      </c>
      <c r="EY79" s="90">
        <f>ROUND(EX79*IFERROR(VLOOKUP($DG79,'3121% SY'!$A$2:$M$324,13,FALSE),0),3)</f>
        <v>0</v>
      </c>
      <c r="EZ79" s="90">
        <f t="shared" si="55"/>
        <v>0.80800000000000005</v>
      </c>
      <c r="FA79" s="90">
        <f>ROUND(EZ79*IFERROR(VLOOKUP($DG79,'3121% SY'!$A$2:$M$324,13,FALSE),0),3)</f>
        <v>0.106</v>
      </c>
    </row>
    <row r="80" spans="1:157" x14ac:dyDescent="0.25">
      <c r="A80" s="88" t="s">
        <v>85</v>
      </c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>
        <v>0.53300000000000003</v>
      </c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R80" s="90">
        <f t="shared" si="49"/>
        <v>0.53300000000000003</v>
      </c>
      <c r="AS80" s="90">
        <f>SUM($B80:M80)</f>
        <v>0</v>
      </c>
      <c r="AT80" s="89"/>
      <c r="CL80" s="90">
        <f t="shared" si="50"/>
        <v>0</v>
      </c>
      <c r="CM80" s="90">
        <f t="shared" si="51"/>
        <v>0</v>
      </c>
      <c r="CN80" s="89"/>
      <c r="DD80" s="90">
        <f t="shared" si="52"/>
        <v>0</v>
      </c>
      <c r="DE80" s="90">
        <f t="shared" si="53"/>
        <v>0</v>
      </c>
      <c r="DF80" s="89"/>
      <c r="DG80" s="88" t="s">
        <v>631</v>
      </c>
      <c r="DH80" s="90"/>
      <c r="DI80" s="90"/>
      <c r="DJ80" s="90"/>
      <c r="DK80" s="90"/>
      <c r="DL80" s="90"/>
      <c r="DM80" s="90"/>
      <c r="DN80" s="90"/>
      <c r="DO80" s="90"/>
      <c r="DP80" s="90"/>
      <c r="DQ80" s="90"/>
      <c r="DR80" s="90"/>
      <c r="DS80" s="90"/>
      <c r="DT80" s="90"/>
      <c r="DU80" s="90"/>
      <c r="DV80" s="90"/>
      <c r="DW80" s="90"/>
      <c r="DX80" s="90"/>
      <c r="DY80" s="90"/>
      <c r="DZ80" s="90"/>
      <c r="EA80" s="90"/>
      <c r="EB80" s="90"/>
      <c r="EC80" s="90"/>
      <c r="ED80" s="90"/>
      <c r="EE80" s="90"/>
      <c r="EF80" s="90"/>
      <c r="EG80" s="90"/>
      <c r="EH80" s="90"/>
      <c r="EI80" s="90"/>
      <c r="EJ80" s="90"/>
      <c r="EK80" s="90"/>
      <c r="EL80" s="90"/>
      <c r="EM80" s="90"/>
      <c r="EN80" s="90"/>
      <c r="EO80" s="90"/>
      <c r="EP80" s="90"/>
      <c r="EQ80" s="90"/>
      <c r="ER80" s="90"/>
      <c r="ES80" s="90"/>
      <c r="ET80" s="90"/>
      <c r="EU80" s="90">
        <v>3.1</v>
      </c>
      <c r="EV80" s="90"/>
      <c r="EW80" s="90"/>
      <c r="EX80" s="90">
        <f t="shared" si="54"/>
        <v>3.1</v>
      </c>
      <c r="EY80" s="90">
        <f>ROUND(EX80*IFERROR(VLOOKUP($DG80,'3121% SY'!$A$2:$M$324,13,FALSE),0),3)</f>
        <v>0.40799999999999997</v>
      </c>
      <c r="EZ80" s="90">
        <f t="shared" si="55"/>
        <v>0</v>
      </c>
      <c r="FA80" s="90">
        <f>ROUND(EZ80*IFERROR(VLOOKUP($DG80,'3121% SY'!$A$2:$M$324,13,FALSE),0),3)</f>
        <v>0</v>
      </c>
    </row>
    <row r="81" spans="1:157" x14ac:dyDescent="0.25">
      <c r="A81" s="88" t="s">
        <v>86</v>
      </c>
      <c r="B81" s="90"/>
      <c r="C81" s="90"/>
      <c r="D81" s="90"/>
      <c r="E81" s="90"/>
      <c r="F81" s="90">
        <v>0.626</v>
      </c>
      <c r="G81" s="90"/>
      <c r="H81" s="90"/>
      <c r="I81" s="90"/>
      <c r="J81" s="90"/>
      <c r="K81" s="90"/>
      <c r="L81" s="90"/>
      <c r="M81" s="90"/>
      <c r="N81" s="90"/>
      <c r="O81" s="90">
        <v>1</v>
      </c>
      <c r="P81" s="90">
        <v>0.5</v>
      </c>
      <c r="Q81" s="90">
        <v>0.5</v>
      </c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R81" s="90">
        <f t="shared" si="49"/>
        <v>2</v>
      </c>
      <c r="AS81" s="90">
        <f>SUM($B81:M81)</f>
        <v>0.626</v>
      </c>
      <c r="AT81" s="89"/>
      <c r="CL81" s="90">
        <f t="shared" si="50"/>
        <v>0</v>
      </c>
      <c r="CM81" s="90">
        <f t="shared" si="51"/>
        <v>0</v>
      </c>
      <c r="CN81" s="89"/>
      <c r="DD81" s="90">
        <f t="shared" si="52"/>
        <v>0</v>
      </c>
      <c r="DE81" s="90">
        <f t="shared" si="53"/>
        <v>0</v>
      </c>
      <c r="DF81" s="89"/>
      <c r="DG81" s="88" t="s">
        <v>654</v>
      </c>
      <c r="DH81" s="90"/>
      <c r="DI81" s="90"/>
      <c r="DJ81" s="90"/>
      <c r="DK81" s="90"/>
      <c r="DL81" s="90"/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0"/>
      <c r="EB81" s="90"/>
      <c r="EC81" s="90"/>
      <c r="ED81" s="90"/>
      <c r="EE81" s="90"/>
      <c r="EF81" s="90"/>
      <c r="EG81" s="90"/>
      <c r="EH81" s="90"/>
      <c r="EI81" s="90"/>
      <c r="EJ81" s="90"/>
      <c r="EK81" s="90"/>
      <c r="EL81" s="90"/>
      <c r="EM81" s="90"/>
      <c r="EN81" s="90"/>
      <c r="EO81" s="90"/>
      <c r="EP81" s="90"/>
      <c r="EQ81" s="90"/>
      <c r="ER81" s="90"/>
      <c r="ES81" s="90"/>
      <c r="ET81" s="90"/>
      <c r="EU81" s="90">
        <v>1.5</v>
      </c>
      <c r="EV81" s="90"/>
      <c r="EW81" s="90"/>
      <c r="EX81" s="90">
        <f t="shared" si="54"/>
        <v>1.5</v>
      </c>
      <c r="EY81" s="90">
        <f>ROUND(EX81*IFERROR(VLOOKUP($DG81,'3121% SY'!$A$2:$M$324,13,FALSE),0),3)</f>
        <v>0.15</v>
      </c>
      <c r="EZ81" s="90">
        <f t="shared" si="55"/>
        <v>0</v>
      </c>
      <c r="FA81" s="90">
        <f>ROUND(EZ81*IFERROR(VLOOKUP($DG81,'3121% SY'!$A$2:$M$324,13,FALSE),0),3)</f>
        <v>0</v>
      </c>
    </row>
    <row r="82" spans="1:157" x14ac:dyDescent="0.25">
      <c r="A82" s="88" t="s">
        <v>87</v>
      </c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>
        <v>0.5</v>
      </c>
      <c r="P82" s="90">
        <v>0.33300000000000002</v>
      </c>
      <c r="Q82" s="90">
        <v>0.16700000000000001</v>
      </c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R82" s="90">
        <f t="shared" si="49"/>
        <v>1</v>
      </c>
      <c r="AS82" s="90">
        <f>SUM($B82:M82)</f>
        <v>0</v>
      </c>
      <c r="AT82" s="89"/>
      <c r="CL82" s="90">
        <f t="shared" si="50"/>
        <v>0</v>
      </c>
      <c r="CM82" s="90">
        <f t="shared" si="51"/>
        <v>0</v>
      </c>
      <c r="CN82" s="89"/>
      <c r="DD82" s="90">
        <f t="shared" si="52"/>
        <v>0</v>
      </c>
      <c r="DE82" s="90">
        <f t="shared" si="53"/>
        <v>0</v>
      </c>
      <c r="DF82" s="89"/>
      <c r="DG82" s="88" t="s">
        <v>1111</v>
      </c>
      <c r="DH82" s="90"/>
      <c r="DI82" s="90"/>
      <c r="DJ82" s="90"/>
      <c r="DK82" s="90"/>
      <c r="DL82" s="90"/>
      <c r="DM82" s="90"/>
      <c r="DN82" s="90"/>
      <c r="DO82" s="90"/>
      <c r="DP82" s="90"/>
      <c r="DQ82" s="90"/>
      <c r="DR82" s="90"/>
      <c r="DS82" s="90"/>
      <c r="DT82" s="90"/>
      <c r="DU82" s="90"/>
      <c r="DV82" s="90"/>
      <c r="DW82" s="90"/>
      <c r="DX82" s="90"/>
      <c r="DY82" s="90"/>
      <c r="DZ82" s="90"/>
      <c r="EA82" s="90"/>
      <c r="EB82" s="90"/>
      <c r="EC82" s="90"/>
      <c r="ED82" s="90"/>
      <c r="EE82" s="90"/>
      <c r="EF82" s="90"/>
      <c r="EG82" s="90"/>
      <c r="EH82" s="90"/>
      <c r="EI82" s="90"/>
      <c r="EJ82" s="90"/>
      <c r="EK82" s="90"/>
      <c r="EL82" s="90"/>
      <c r="EM82" s="90"/>
      <c r="EN82" s="90"/>
      <c r="EO82" s="90"/>
      <c r="EP82" s="90"/>
      <c r="EQ82" s="90"/>
      <c r="ER82" s="90"/>
      <c r="ES82" s="90"/>
      <c r="ET82" s="90"/>
      <c r="EU82" s="90">
        <v>1.7</v>
      </c>
      <c r="EV82" s="90"/>
      <c r="EW82" s="90"/>
      <c r="EX82" s="90">
        <f t="shared" si="54"/>
        <v>1.7</v>
      </c>
      <c r="EY82" s="90">
        <f>ROUND(EX82*IFERROR(VLOOKUP($DG82,'3121% SY'!$A$2:$M$324,13,FALSE),0),3)</f>
        <v>0.13600000000000001</v>
      </c>
      <c r="EZ82" s="90">
        <f t="shared" si="55"/>
        <v>0</v>
      </c>
      <c r="FA82" s="90">
        <f>ROUND(EZ82*IFERROR(VLOOKUP($DG82,'3121% SY'!$A$2:$M$324,13,FALSE),0),3)</f>
        <v>0</v>
      </c>
    </row>
    <row r="83" spans="1:157" x14ac:dyDescent="0.25">
      <c r="A83" s="88" t="s">
        <v>88</v>
      </c>
      <c r="B83" s="90"/>
      <c r="C83" s="90">
        <v>0.50800000000000001</v>
      </c>
      <c r="D83" s="90"/>
      <c r="E83" s="90"/>
      <c r="F83" s="90"/>
      <c r="G83" s="90"/>
      <c r="H83" s="90">
        <v>2.7690000000000001</v>
      </c>
      <c r="I83" s="90">
        <v>0.438</v>
      </c>
      <c r="J83" s="90">
        <v>0.437</v>
      </c>
      <c r="K83" s="90"/>
      <c r="L83" s="90"/>
      <c r="M83" s="90"/>
      <c r="N83" s="90"/>
      <c r="O83" s="90">
        <v>7</v>
      </c>
      <c r="P83" s="90">
        <v>4.7</v>
      </c>
      <c r="Q83" s="90">
        <v>2</v>
      </c>
      <c r="R83" s="90"/>
      <c r="S83" s="90"/>
      <c r="T83" s="90"/>
      <c r="U83" s="90">
        <v>0.03</v>
      </c>
      <c r="V83" s="90">
        <v>0.99</v>
      </c>
      <c r="W83" s="90">
        <v>0.98</v>
      </c>
      <c r="X83" s="90"/>
      <c r="Y83" s="90"/>
      <c r="Z83" s="90"/>
      <c r="AA83" s="90"/>
      <c r="AB83" s="90"/>
      <c r="AC83" s="90"/>
      <c r="AD83" s="90">
        <v>2.9990000000000001</v>
      </c>
      <c r="AE83" s="90">
        <v>0.60099999999999998</v>
      </c>
      <c r="AF83" s="90">
        <v>0.4</v>
      </c>
      <c r="AG83" s="90"/>
      <c r="AH83" s="90"/>
      <c r="AI83" s="90"/>
      <c r="AJ83" s="90"/>
      <c r="AK83" s="90"/>
      <c r="AL83" s="90"/>
      <c r="AM83" s="90"/>
      <c r="AN83" s="90"/>
      <c r="AO83" s="90"/>
      <c r="AR83" s="90">
        <f t="shared" si="49"/>
        <v>19.699999999999996</v>
      </c>
      <c r="AS83" s="90">
        <f>SUM($B83:M83)</f>
        <v>4.1520000000000001</v>
      </c>
      <c r="AT83" s="89"/>
      <c r="CL83" s="90">
        <f t="shared" si="50"/>
        <v>0</v>
      </c>
      <c r="CM83" s="90">
        <f t="shared" si="51"/>
        <v>0</v>
      </c>
      <c r="CN83" s="89"/>
      <c r="DD83" s="90">
        <f t="shared" si="52"/>
        <v>0</v>
      </c>
      <c r="DE83" s="90">
        <f t="shared" si="53"/>
        <v>0</v>
      </c>
      <c r="DF83" s="89"/>
      <c r="DG83" s="88" t="s">
        <v>116</v>
      </c>
      <c r="DH83" s="90"/>
      <c r="DI83" s="90"/>
      <c r="DJ83" s="90"/>
      <c r="DK83" s="90"/>
      <c r="DL83" s="90">
        <v>2.3130000000000002</v>
      </c>
      <c r="DM83" s="90"/>
      <c r="DN83" s="90">
        <v>1.603</v>
      </c>
      <c r="DO83" s="90">
        <v>0.7</v>
      </c>
      <c r="DP83" s="90">
        <v>0.13400000000000001</v>
      </c>
      <c r="DQ83" s="90"/>
      <c r="DR83" s="90"/>
      <c r="DS83" s="90"/>
      <c r="DT83" s="90"/>
      <c r="DU83" s="90"/>
      <c r="DV83" s="90"/>
      <c r="DW83" s="90"/>
      <c r="DX83" s="90"/>
      <c r="DY83" s="90"/>
      <c r="DZ83" s="90">
        <v>2.2000000000000002</v>
      </c>
      <c r="EA83" s="90"/>
      <c r="EB83" s="90">
        <v>0.2</v>
      </c>
      <c r="EC83" s="90"/>
      <c r="ED83" s="90"/>
      <c r="EE83" s="90"/>
      <c r="EF83" s="90">
        <v>6.1289999999999996</v>
      </c>
      <c r="EG83" s="90">
        <v>1</v>
      </c>
      <c r="EH83" s="90">
        <v>0.86599999999999999</v>
      </c>
      <c r="EI83" s="90">
        <v>2.694</v>
      </c>
      <c r="EJ83" s="90">
        <v>1</v>
      </c>
      <c r="EK83" s="90">
        <v>1</v>
      </c>
      <c r="EL83" s="90"/>
      <c r="EM83" s="90"/>
      <c r="EN83" s="90"/>
      <c r="EO83" s="90">
        <v>0.6</v>
      </c>
      <c r="EP83" s="90">
        <v>0.1</v>
      </c>
      <c r="EQ83" s="90">
        <v>0.1</v>
      </c>
      <c r="ER83" s="90"/>
      <c r="ES83" s="90"/>
      <c r="ET83" s="90"/>
      <c r="EU83" s="90"/>
      <c r="EV83" s="90"/>
      <c r="EW83" s="90"/>
      <c r="EX83" s="90">
        <f t="shared" si="54"/>
        <v>15.888999999999998</v>
      </c>
      <c r="EY83" s="90">
        <f>ROUND(EX83*IFERROR(VLOOKUP($DG83,'3121% SY'!$A$2:$M$324,13,FALSE),0),3)</f>
        <v>4.3040000000000003</v>
      </c>
      <c r="EZ83" s="90">
        <f t="shared" si="55"/>
        <v>4.7500000000000009</v>
      </c>
      <c r="FA83" s="90">
        <f>ROUND(EZ83*IFERROR(VLOOKUP($DG83,'3121% SY'!$A$2:$M$324,13,FALSE),0),3)</f>
        <v>1.2869999999999999</v>
      </c>
    </row>
    <row r="84" spans="1:157" x14ac:dyDescent="0.25">
      <c r="A84" s="88" t="s">
        <v>89</v>
      </c>
      <c r="B84" s="90"/>
      <c r="C84" s="90"/>
      <c r="D84" s="90"/>
      <c r="E84" s="90">
        <v>0.20399999999999999</v>
      </c>
      <c r="F84" s="90">
        <v>0.104</v>
      </c>
      <c r="G84" s="90">
        <v>0.13600000000000001</v>
      </c>
      <c r="H84" s="90"/>
      <c r="I84" s="90"/>
      <c r="J84" s="90"/>
      <c r="K84" s="90"/>
      <c r="L84" s="90"/>
      <c r="M84" s="90"/>
      <c r="N84" s="90"/>
      <c r="O84" s="90">
        <v>0.05</v>
      </c>
      <c r="P84" s="90">
        <v>1</v>
      </c>
      <c r="Q84" s="90">
        <v>1</v>
      </c>
      <c r="R84" s="90"/>
      <c r="S84" s="90"/>
      <c r="T84" s="90"/>
      <c r="U84" s="90"/>
      <c r="V84" s="90"/>
      <c r="W84" s="90"/>
      <c r="X84" s="90"/>
      <c r="Y84" s="90"/>
      <c r="Z84" s="90"/>
      <c r="AA84" s="90">
        <v>0.4</v>
      </c>
      <c r="AB84" s="90">
        <v>0.1</v>
      </c>
      <c r="AC84" s="90">
        <v>0.3</v>
      </c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R84" s="90">
        <f t="shared" si="49"/>
        <v>2.8499999999999996</v>
      </c>
      <c r="AS84" s="90">
        <f>SUM($B84:M84)</f>
        <v>0.44400000000000001</v>
      </c>
      <c r="AT84" s="89"/>
      <c r="CL84" s="90">
        <f t="shared" si="50"/>
        <v>0</v>
      </c>
      <c r="CM84" s="90">
        <f t="shared" si="51"/>
        <v>0</v>
      </c>
      <c r="CN84" s="89"/>
      <c r="DD84" s="90">
        <f t="shared" si="52"/>
        <v>0</v>
      </c>
      <c r="DE84" s="90">
        <f t="shared" si="53"/>
        <v>0</v>
      </c>
      <c r="DF84" s="89"/>
      <c r="DG84" s="88" t="s">
        <v>117</v>
      </c>
      <c r="DH84" s="90"/>
      <c r="DI84" s="90"/>
      <c r="DJ84" s="90"/>
      <c r="DK84" s="90"/>
      <c r="DL84" s="90">
        <v>0.83499999999999996</v>
      </c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0"/>
      <c r="DY84" s="90"/>
      <c r="DZ84" s="90">
        <v>0.8</v>
      </c>
      <c r="EA84" s="90"/>
      <c r="EB84" s="90"/>
      <c r="EC84" s="90"/>
      <c r="ED84" s="90"/>
      <c r="EE84" s="90"/>
      <c r="EF84" s="90">
        <v>3.3039999999999998</v>
      </c>
      <c r="EG84" s="90">
        <v>1.2170000000000001</v>
      </c>
      <c r="EH84" s="90">
        <v>0.32900000000000001</v>
      </c>
      <c r="EI84" s="90">
        <v>1.31</v>
      </c>
      <c r="EJ84" s="90">
        <v>1.2889999999999999</v>
      </c>
      <c r="EK84" s="90">
        <v>0.45500000000000002</v>
      </c>
      <c r="EL84" s="90"/>
      <c r="EM84" s="90"/>
      <c r="EN84" s="90"/>
      <c r="EO84" s="90">
        <v>0.53</v>
      </c>
      <c r="EP84" s="90">
        <v>0.09</v>
      </c>
      <c r="EQ84" s="90"/>
      <c r="ER84" s="90"/>
      <c r="ES84" s="90"/>
      <c r="ET84" s="90"/>
      <c r="EU84" s="90"/>
      <c r="EV84" s="90"/>
      <c r="EW84" s="90"/>
      <c r="EX84" s="90">
        <f t="shared" si="54"/>
        <v>9.3239999999999981</v>
      </c>
      <c r="EY84" s="90">
        <f>ROUND(EX84*IFERROR(VLOOKUP($DG84,'3121% SY'!$A$2:$M$324,13,FALSE),0),3)</f>
        <v>1.897</v>
      </c>
      <c r="EZ84" s="90">
        <f t="shared" si="55"/>
        <v>0.83499999999999996</v>
      </c>
      <c r="FA84" s="90">
        <f>ROUND(EZ84*IFERROR(VLOOKUP($DG84,'3121% SY'!$A$2:$M$324,13,FALSE),0),3)</f>
        <v>0.17</v>
      </c>
    </row>
    <row r="85" spans="1:157" x14ac:dyDescent="0.25">
      <c r="A85" s="88" t="s">
        <v>90</v>
      </c>
      <c r="B85" s="90"/>
      <c r="C85" s="90"/>
      <c r="D85" s="90"/>
      <c r="E85" s="90"/>
      <c r="F85" s="90"/>
      <c r="G85" s="90"/>
      <c r="H85" s="90">
        <v>0.66400000000000003</v>
      </c>
      <c r="I85" s="90"/>
      <c r="J85" s="90"/>
      <c r="K85" s="90"/>
      <c r="L85" s="90"/>
      <c r="M85" s="90"/>
      <c r="N85" s="90"/>
      <c r="O85" s="90"/>
      <c r="P85" s="90">
        <v>2</v>
      </c>
      <c r="Q85" s="90">
        <v>1</v>
      </c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>
        <v>0.7</v>
      </c>
      <c r="AF85" s="90">
        <v>0.3</v>
      </c>
      <c r="AG85" s="90"/>
      <c r="AH85" s="90"/>
      <c r="AI85" s="90"/>
      <c r="AJ85" s="90"/>
      <c r="AK85" s="90"/>
      <c r="AL85" s="90"/>
      <c r="AM85" s="90"/>
      <c r="AN85" s="90"/>
      <c r="AO85" s="90"/>
      <c r="AR85" s="90">
        <f t="shared" si="49"/>
        <v>4</v>
      </c>
      <c r="AS85" s="90">
        <f>SUM($B85:M85)</f>
        <v>0.66400000000000003</v>
      </c>
      <c r="AT85" s="89"/>
      <c r="CL85" s="90">
        <f t="shared" si="50"/>
        <v>0</v>
      </c>
      <c r="CM85" s="90">
        <f t="shared" si="51"/>
        <v>0</v>
      </c>
      <c r="CN85" s="89"/>
      <c r="DD85" s="90">
        <f t="shared" si="52"/>
        <v>0</v>
      </c>
      <c r="DE85" s="90">
        <f t="shared" si="53"/>
        <v>0</v>
      </c>
      <c r="DF85" s="89"/>
      <c r="DG85" s="88" t="s">
        <v>118</v>
      </c>
      <c r="DH85" s="90"/>
      <c r="DI85" s="90"/>
      <c r="DJ85" s="90"/>
      <c r="DK85" s="90"/>
      <c r="DL85" s="90">
        <v>9.9220000000000006</v>
      </c>
      <c r="DM85" s="90"/>
      <c r="DN85" s="90"/>
      <c r="DO85" s="90">
        <v>3.0390000000000001</v>
      </c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>
        <v>2.895</v>
      </c>
      <c r="EA85" s="90">
        <v>1.04</v>
      </c>
      <c r="EB85" s="90">
        <v>0.435</v>
      </c>
      <c r="EC85" s="90"/>
      <c r="ED85" s="90"/>
      <c r="EE85" s="90"/>
      <c r="EF85" s="90">
        <v>6.907</v>
      </c>
      <c r="EG85" s="90">
        <v>1.6</v>
      </c>
      <c r="EH85" s="90">
        <v>1.224</v>
      </c>
      <c r="EI85" s="90">
        <v>3.6179999999999999</v>
      </c>
      <c r="EJ85" s="90">
        <v>2</v>
      </c>
      <c r="EK85" s="90">
        <v>1.1060000000000001</v>
      </c>
      <c r="EL85" s="90"/>
      <c r="EM85" s="90"/>
      <c r="EN85" s="90"/>
      <c r="EO85" s="90">
        <v>0.53900000000000003</v>
      </c>
      <c r="EP85" s="90">
        <v>0.27600000000000002</v>
      </c>
      <c r="EQ85" s="90">
        <v>0.17199999999999999</v>
      </c>
      <c r="ER85" s="90"/>
      <c r="ES85" s="90"/>
      <c r="ET85" s="90"/>
      <c r="EU85" s="90"/>
      <c r="EV85" s="90"/>
      <c r="EW85" s="90"/>
      <c r="EX85" s="90">
        <f t="shared" si="54"/>
        <v>21.812000000000005</v>
      </c>
      <c r="EY85" s="90">
        <f>ROUND(EX85*IFERROR(VLOOKUP($DG85,'3121% SY'!$A$2:$M$324,13,FALSE),0),3)</f>
        <v>4.367</v>
      </c>
      <c r="EZ85" s="90">
        <f t="shared" si="55"/>
        <v>12.961</v>
      </c>
      <c r="FA85" s="90">
        <f>ROUND(EZ85*IFERROR(VLOOKUP($DG85,'3121% SY'!$A$2:$M$324,13,FALSE),0),3)</f>
        <v>2.5950000000000002</v>
      </c>
    </row>
    <row r="86" spans="1:157" x14ac:dyDescent="0.25">
      <c r="A86" s="88" t="s">
        <v>91</v>
      </c>
      <c r="B86" s="90"/>
      <c r="C86" s="90"/>
      <c r="D86" s="90"/>
      <c r="E86" s="90">
        <v>4.5999999999999999E-2</v>
      </c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R86" s="90">
        <f t="shared" si="49"/>
        <v>0</v>
      </c>
      <c r="AS86" s="90">
        <f>SUM($B86:M86)</f>
        <v>4.5999999999999999E-2</v>
      </c>
      <c r="AT86" s="89"/>
      <c r="CL86" s="90">
        <f t="shared" si="50"/>
        <v>0</v>
      </c>
      <c r="CM86" s="90">
        <f t="shared" si="51"/>
        <v>0</v>
      </c>
      <c r="CN86" s="89"/>
      <c r="DD86" s="90">
        <f t="shared" si="52"/>
        <v>0</v>
      </c>
      <c r="DE86" s="90">
        <f t="shared" si="53"/>
        <v>0</v>
      </c>
      <c r="DF86" s="89"/>
      <c r="DG86" s="88" t="s">
        <v>119</v>
      </c>
      <c r="DH86" s="90"/>
      <c r="DI86" s="90"/>
      <c r="DJ86" s="90"/>
      <c r="DK86" s="90"/>
      <c r="DL86" s="90"/>
      <c r="DM86" s="90"/>
      <c r="DN86" s="90"/>
      <c r="DO86" s="90">
        <v>3.5640000000000001</v>
      </c>
      <c r="DP86" s="90"/>
      <c r="DQ86" s="90"/>
      <c r="DR86" s="90"/>
      <c r="DS86" s="90"/>
      <c r="DT86" s="90"/>
      <c r="DU86" s="90"/>
      <c r="DV86" s="90"/>
      <c r="DW86" s="90"/>
      <c r="DX86" s="90"/>
      <c r="DY86" s="90"/>
      <c r="DZ86" s="90">
        <v>2.9140000000000001</v>
      </c>
      <c r="EA86" s="90">
        <v>2.1160000000000001</v>
      </c>
      <c r="EB86" s="90">
        <v>0.91500000000000004</v>
      </c>
      <c r="EC86" s="90"/>
      <c r="ED86" s="90"/>
      <c r="EE86" s="90"/>
      <c r="EF86" s="90">
        <v>6.5</v>
      </c>
      <c r="EG86" s="90">
        <v>3.718</v>
      </c>
      <c r="EH86" s="90">
        <v>1.859</v>
      </c>
      <c r="EI86" s="90">
        <v>5</v>
      </c>
      <c r="EJ86" s="90">
        <v>2.86</v>
      </c>
      <c r="EK86" s="90">
        <v>1.43</v>
      </c>
      <c r="EL86" s="90"/>
      <c r="EM86" s="90"/>
      <c r="EN86" s="90"/>
      <c r="EO86" s="90">
        <v>0.6</v>
      </c>
      <c r="EP86" s="90">
        <v>0.34300000000000003</v>
      </c>
      <c r="EQ86" s="90">
        <v>0.17199999999999999</v>
      </c>
      <c r="ER86" s="90"/>
      <c r="ES86" s="90"/>
      <c r="ET86" s="90"/>
      <c r="EU86" s="90">
        <v>12.374000000000001</v>
      </c>
      <c r="EV86" s="90">
        <v>7.0750000000000002</v>
      </c>
      <c r="EW86" s="90">
        <v>3.5390000000000001</v>
      </c>
      <c r="EX86" s="90">
        <f t="shared" si="54"/>
        <v>51.415000000000006</v>
      </c>
      <c r="EY86" s="90">
        <f>ROUND(EX86*IFERROR(VLOOKUP($DG86,'3121% SY'!$A$2:$M$324,13,FALSE),0),3)</f>
        <v>13.558</v>
      </c>
      <c r="EZ86" s="90">
        <f t="shared" si="55"/>
        <v>3.5640000000000001</v>
      </c>
      <c r="FA86" s="90">
        <f>ROUND(EZ86*IFERROR(VLOOKUP($DG86,'3121% SY'!$A$2:$M$324,13,FALSE),0),3)</f>
        <v>0.94</v>
      </c>
    </row>
    <row r="87" spans="1:157" x14ac:dyDescent="0.25">
      <c r="A87" s="88" t="s">
        <v>92</v>
      </c>
      <c r="B87" s="90"/>
      <c r="C87" s="90"/>
      <c r="D87" s="90"/>
      <c r="E87" s="90"/>
      <c r="F87" s="90">
        <v>0.30499999999999999</v>
      </c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R87" s="90">
        <f t="shared" si="49"/>
        <v>0</v>
      </c>
      <c r="AS87" s="90">
        <f>SUM($B87:M87)</f>
        <v>0.30499999999999999</v>
      </c>
      <c r="AT87" s="89"/>
      <c r="CL87" s="90">
        <f t="shared" si="50"/>
        <v>0</v>
      </c>
      <c r="CM87" s="90">
        <f t="shared" si="51"/>
        <v>0</v>
      </c>
      <c r="CN87" s="89"/>
      <c r="DD87" s="90">
        <f t="shared" si="52"/>
        <v>0</v>
      </c>
      <c r="DE87" s="90">
        <f t="shared" si="53"/>
        <v>0</v>
      </c>
      <c r="DF87" s="89"/>
      <c r="DG87" s="88" t="s">
        <v>120</v>
      </c>
      <c r="DH87" s="90"/>
      <c r="DI87" s="90"/>
      <c r="DJ87" s="90"/>
      <c r="DK87" s="90"/>
      <c r="DL87" s="90"/>
      <c r="DM87" s="90"/>
      <c r="DN87" s="90"/>
      <c r="DO87" s="90">
        <v>5.2069999999999999</v>
      </c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90"/>
      <c r="EI87" s="90"/>
      <c r="EJ87" s="90"/>
      <c r="EK87" s="90"/>
      <c r="EL87" s="90"/>
      <c r="EM87" s="90"/>
      <c r="EN87" s="90"/>
      <c r="EO87" s="90"/>
      <c r="EP87" s="90"/>
      <c r="EQ87" s="90"/>
      <c r="ER87" s="90"/>
      <c r="ES87" s="90"/>
      <c r="ET87" s="90"/>
      <c r="EU87" s="90"/>
      <c r="EV87" s="90"/>
      <c r="EW87" s="90"/>
      <c r="EX87" s="90">
        <f t="shared" si="54"/>
        <v>0</v>
      </c>
      <c r="EY87" s="90">
        <f>ROUND(EX87*IFERROR(VLOOKUP($DG87,'3121% SY'!$A$2:$M$324,13,FALSE),0),3)</f>
        <v>0</v>
      </c>
      <c r="EZ87" s="90">
        <f t="shared" si="55"/>
        <v>5.2069999999999999</v>
      </c>
      <c r="FA87" s="90">
        <f>ROUND(EZ87*IFERROR(VLOOKUP($DG87,'3121% SY'!$A$2:$M$324,13,FALSE),0),3)</f>
        <v>1.4690000000000001</v>
      </c>
    </row>
    <row r="88" spans="1:157" x14ac:dyDescent="0.25">
      <c r="A88" s="88" t="s">
        <v>93</v>
      </c>
      <c r="B88" s="90"/>
      <c r="C88" s="90"/>
      <c r="D88" s="90"/>
      <c r="E88" s="90"/>
      <c r="F88" s="90">
        <v>0.84</v>
      </c>
      <c r="G88" s="90"/>
      <c r="H88" s="90"/>
      <c r="I88" s="90"/>
      <c r="J88" s="90"/>
      <c r="K88" s="90"/>
      <c r="L88" s="90"/>
      <c r="M88" s="90"/>
      <c r="N88" s="90"/>
      <c r="O88" s="90">
        <v>0.44900000000000001</v>
      </c>
      <c r="P88" s="90">
        <v>0.4</v>
      </c>
      <c r="Q88" s="90">
        <v>0.151</v>
      </c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R88" s="90">
        <f t="shared" si="49"/>
        <v>1</v>
      </c>
      <c r="AS88" s="90">
        <f>SUM($B88:M88)</f>
        <v>0.84</v>
      </c>
      <c r="AT88" s="89"/>
      <c r="CL88" s="90">
        <f t="shared" si="50"/>
        <v>0</v>
      </c>
      <c r="CM88" s="90">
        <f t="shared" si="51"/>
        <v>0</v>
      </c>
      <c r="CN88" s="89"/>
      <c r="DD88" s="90">
        <f t="shared" si="52"/>
        <v>0</v>
      </c>
      <c r="DE88" s="90">
        <f t="shared" si="53"/>
        <v>0</v>
      </c>
      <c r="DF88" s="89"/>
      <c r="DG88" s="88" t="s">
        <v>652</v>
      </c>
      <c r="DH88" s="90"/>
      <c r="DI88" s="90"/>
      <c r="DJ88" s="90"/>
      <c r="DK88" s="90"/>
      <c r="DL88" s="90"/>
      <c r="DM88" s="90"/>
      <c r="DN88" s="90"/>
      <c r="DO88" s="90"/>
      <c r="DP88" s="90"/>
      <c r="DQ88" s="90"/>
      <c r="DR88" s="90"/>
      <c r="DS88" s="90"/>
      <c r="DT88" s="90"/>
      <c r="DU88" s="90"/>
      <c r="DV88" s="90"/>
      <c r="DW88" s="90"/>
      <c r="DX88" s="90"/>
      <c r="DY88" s="90"/>
      <c r="DZ88" s="90"/>
      <c r="EA88" s="90"/>
      <c r="EB88" s="90"/>
      <c r="EC88" s="90"/>
      <c r="ED88" s="90"/>
      <c r="EE88" s="90"/>
      <c r="EF88" s="90"/>
      <c r="EG88" s="90"/>
      <c r="EH88" s="90"/>
      <c r="EI88" s="90">
        <v>0.34699999999999998</v>
      </c>
      <c r="EJ88" s="90"/>
      <c r="EK88" s="90">
        <v>0.153</v>
      </c>
      <c r="EL88" s="90"/>
      <c r="EM88" s="90"/>
      <c r="EN88" s="90"/>
      <c r="EO88" s="90"/>
      <c r="EP88" s="90"/>
      <c r="EQ88" s="90"/>
      <c r="ER88" s="90"/>
      <c r="ES88" s="90"/>
      <c r="ET88" s="90"/>
      <c r="EU88" s="90"/>
      <c r="EV88" s="90"/>
      <c r="EW88" s="90"/>
      <c r="EX88" s="90">
        <f t="shared" si="54"/>
        <v>0.5</v>
      </c>
      <c r="EY88" s="90">
        <f>ROUND(EX88*IFERROR(VLOOKUP($DG88,'3121% SY'!$A$2:$M$324,13,FALSE),0),3)</f>
        <v>0.05</v>
      </c>
      <c r="EZ88" s="90">
        <f t="shared" si="55"/>
        <v>0</v>
      </c>
      <c r="FA88" s="90">
        <f>ROUND(EZ88*IFERROR(VLOOKUP($DG88,'3121% SY'!$A$2:$M$324,13,FALSE),0),3)</f>
        <v>0</v>
      </c>
    </row>
    <row r="89" spans="1:157" x14ac:dyDescent="0.25">
      <c r="A89" s="88" t="s">
        <v>94</v>
      </c>
      <c r="B89" s="90"/>
      <c r="C89" s="90"/>
      <c r="D89" s="90"/>
      <c r="E89" s="90"/>
      <c r="F89" s="90">
        <v>0.68799999999999994</v>
      </c>
      <c r="G89" s="90"/>
      <c r="H89" s="90"/>
      <c r="I89" s="90"/>
      <c r="J89" s="90"/>
      <c r="K89" s="90"/>
      <c r="L89" s="90"/>
      <c r="M89" s="90"/>
      <c r="N89" s="90"/>
      <c r="O89" s="90">
        <v>1</v>
      </c>
      <c r="P89" s="90">
        <v>0.9</v>
      </c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>
        <v>0.3</v>
      </c>
      <c r="AC89" s="90"/>
      <c r="AD89" s="90">
        <v>1</v>
      </c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R89" s="90">
        <f t="shared" si="49"/>
        <v>3.1999999999999997</v>
      </c>
      <c r="AS89" s="90">
        <f>SUM($B89:M89)</f>
        <v>0.68799999999999994</v>
      </c>
      <c r="AT89" s="89"/>
      <c r="CL89" s="90">
        <f t="shared" si="50"/>
        <v>0</v>
      </c>
      <c r="CM89" s="90">
        <f t="shared" si="51"/>
        <v>0</v>
      </c>
      <c r="CN89" s="89"/>
      <c r="DD89" s="90">
        <f t="shared" si="52"/>
        <v>0</v>
      </c>
      <c r="DE89" s="90">
        <f t="shared" si="53"/>
        <v>0</v>
      </c>
      <c r="DF89" s="89"/>
      <c r="DG89" s="88" t="s">
        <v>125</v>
      </c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>
        <v>0.5</v>
      </c>
      <c r="EG89" s="90"/>
      <c r="EH89" s="90">
        <v>0.5</v>
      </c>
      <c r="EI89" s="90">
        <v>2.5710000000000002</v>
      </c>
      <c r="EJ89" s="90">
        <v>1.127</v>
      </c>
      <c r="EK89" s="90">
        <v>1.151</v>
      </c>
      <c r="EL89" s="90"/>
      <c r="EM89" s="90"/>
      <c r="EN89" s="90"/>
      <c r="EO89" s="90"/>
      <c r="EP89" s="90"/>
      <c r="EQ89" s="90"/>
      <c r="ER89" s="90"/>
      <c r="ES89" s="90"/>
      <c r="ET89" s="90"/>
      <c r="EU89" s="90">
        <v>3.7130000000000001</v>
      </c>
      <c r="EV89" s="90"/>
      <c r="EW89" s="90"/>
      <c r="EX89" s="90">
        <f t="shared" si="54"/>
        <v>9.5620000000000012</v>
      </c>
      <c r="EY89" s="90">
        <f>ROUND(EX89*IFERROR(VLOOKUP($DG89,'3121% SY'!$A$2:$M$324,13,FALSE),0),3)</f>
        <v>2.1749999999999998</v>
      </c>
      <c r="EZ89" s="90">
        <f t="shared" si="55"/>
        <v>0</v>
      </c>
      <c r="FA89" s="90">
        <f>ROUND(EZ89*IFERROR(VLOOKUP($DG89,'3121% SY'!$A$2:$M$324,13,FALSE),0),3)</f>
        <v>0</v>
      </c>
    </row>
    <row r="90" spans="1:157" x14ac:dyDescent="0.25">
      <c r="A90" s="88" t="s">
        <v>95</v>
      </c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>
        <v>1</v>
      </c>
      <c r="P90" s="90">
        <v>1.6</v>
      </c>
      <c r="Q90" s="90">
        <v>0.75</v>
      </c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R90" s="90">
        <f t="shared" si="49"/>
        <v>3.35</v>
      </c>
      <c r="AS90" s="90">
        <f>SUM($B90:M90)</f>
        <v>0</v>
      </c>
      <c r="AT90" s="89"/>
      <c r="CL90" s="90">
        <f t="shared" si="50"/>
        <v>0</v>
      </c>
      <c r="CM90" s="90">
        <f t="shared" si="51"/>
        <v>0</v>
      </c>
      <c r="CN90" s="89"/>
      <c r="DD90" s="90">
        <f t="shared" si="52"/>
        <v>0</v>
      </c>
      <c r="DE90" s="90">
        <f t="shared" si="53"/>
        <v>0</v>
      </c>
      <c r="DF90" s="89"/>
      <c r="DG90" s="88" t="s">
        <v>126</v>
      </c>
      <c r="DH90" s="90"/>
      <c r="DI90" s="90"/>
      <c r="DJ90" s="90"/>
      <c r="DK90" s="90">
        <v>0.24199999999999999</v>
      </c>
      <c r="DL90" s="90">
        <v>0.151</v>
      </c>
      <c r="DM90" s="90"/>
      <c r="DN90" s="90"/>
      <c r="DO90" s="90">
        <v>0.50900000000000001</v>
      </c>
      <c r="DP90" s="90"/>
      <c r="DQ90" s="90"/>
      <c r="DR90" s="90"/>
      <c r="DS90" s="90"/>
      <c r="DT90" s="90"/>
      <c r="DU90" s="90"/>
      <c r="DV90" s="90"/>
      <c r="DW90" s="90"/>
      <c r="DX90" s="90"/>
      <c r="DY90" s="90"/>
      <c r="DZ90" s="90"/>
      <c r="EA90" s="90"/>
      <c r="EB90" s="90"/>
      <c r="EC90" s="90"/>
      <c r="ED90" s="90"/>
      <c r="EE90" s="90"/>
      <c r="EF90" s="90"/>
      <c r="EG90" s="90"/>
      <c r="EH90" s="90"/>
      <c r="EI90" s="90"/>
      <c r="EJ90" s="90"/>
      <c r="EK90" s="90"/>
      <c r="EL90" s="90"/>
      <c r="EM90" s="90"/>
      <c r="EN90" s="90"/>
      <c r="EO90" s="90"/>
      <c r="EP90" s="90"/>
      <c r="EQ90" s="90"/>
      <c r="ER90" s="90"/>
      <c r="ES90" s="90"/>
      <c r="ET90" s="90"/>
      <c r="EU90" s="90"/>
      <c r="EV90" s="90"/>
      <c r="EW90" s="90"/>
      <c r="EX90" s="90">
        <f t="shared" si="54"/>
        <v>0</v>
      </c>
      <c r="EY90" s="90">
        <f>ROUND(EX90*IFERROR(VLOOKUP($DG90,'3121% SY'!$A$2:$M$324,13,FALSE),0),3)</f>
        <v>0</v>
      </c>
      <c r="EZ90" s="90">
        <f t="shared" si="55"/>
        <v>0.90200000000000002</v>
      </c>
      <c r="FA90" s="90">
        <f>ROUND(EZ90*IFERROR(VLOOKUP($DG90,'3121% SY'!$A$2:$M$324,13,FALSE),0),3)</f>
        <v>0.19700000000000001</v>
      </c>
    </row>
    <row r="91" spans="1:157" x14ac:dyDescent="0.25">
      <c r="A91" s="88" t="s">
        <v>96</v>
      </c>
      <c r="B91" s="90">
        <v>0.55000000000000004</v>
      </c>
      <c r="C91" s="90">
        <v>1.095</v>
      </c>
      <c r="D91" s="90">
        <v>0.14000000000000001</v>
      </c>
      <c r="E91" s="90">
        <v>0.43</v>
      </c>
      <c r="F91" s="90">
        <v>0.24399999999999999</v>
      </c>
      <c r="G91" s="90">
        <v>0.11</v>
      </c>
      <c r="H91" s="90"/>
      <c r="I91" s="90">
        <v>1.57</v>
      </c>
      <c r="J91" s="90"/>
      <c r="K91" s="90"/>
      <c r="L91" s="90">
        <v>34.188000000000002</v>
      </c>
      <c r="M91" s="90"/>
      <c r="N91" s="90"/>
      <c r="O91" s="90">
        <v>36.036999999999999</v>
      </c>
      <c r="P91" s="90">
        <v>36.127000000000002</v>
      </c>
      <c r="Q91" s="90">
        <v>19.341000000000001</v>
      </c>
      <c r="R91" s="90">
        <v>1.1000000000000001</v>
      </c>
      <c r="S91" s="90">
        <v>0.62</v>
      </c>
      <c r="T91" s="90">
        <v>0.28000000000000003</v>
      </c>
      <c r="U91" s="90">
        <v>25.425000000000001</v>
      </c>
      <c r="V91" s="90">
        <v>6.1</v>
      </c>
      <c r="W91" s="90">
        <v>6.1230000000000002</v>
      </c>
      <c r="X91" s="90">
        <v>0.08</v>
      </c>
      <c r="Y91" s="90">
        <v>0.31</v>
      </c>
      <c r="Z91" s="90">
        <v>0.14000000000000001</v>
      </c>
      <c r="AA91" s="90">
        <v>0.55000000000000004</v>
      </c>
      <c r="AB91" s="90">
        <v>0.31</v>
      </c>
      <c r="AC91" s="90">
        <v>0.14000000000000001</v>
      </c>
      <c r="AD91" s="90">
        <v>30.026</v>
      </c>
      <c r="AE91" s="90">
        <v>16.556000000000001</v>
      </c>
      <c r="AF91" s="90">
        <v>7.4740000000000002</v>
      </c>
      <c r="AG91" s="90"/>
      <c r="AH91" s="90"/>
      <c r="AI91" s="90"/>
      <c r="AJ91" s="90"/>
      <c r="AK91" s="90"/>
      <c r="AL91" s="90"/>
      <c r="AM91" s="90"/>
      <c r="AN91" s="90"/>
      <c r="AO91" s="90"/>
      <c r="AR91" s="90">
        <f t="shared" si="49"/>
        <v>186.739</v>
      </c>
      <c r="AS91" s="90">
        <f>SUM($B91:M91)</f>
        <v>38.327000000000005</v>
      </c>
      <c r="AT91" s="89"/>
      <c r="CL91" s="90">
        <f t="shared" si="50"/>
        <v>0</v>
      </c>
      <c r="CM91" s="90">
        <f t="shared" si="51"/>
        <v>0</v>
      </c>
      <c r="CN91" s="89"/>
      <c r="DD91" s="90">
        <f t="shared" si="52"/>
        <v>0</v>
      </c>
      <c r="DE91" s="90">
        <f t="shared" si="53"/>
        <v>0</v>
      </c>
      <c r="DF91" s="89"/>
      <c r="DG91" s="88" t="s">
        <v>127</v>
      </c>
      <c r="DH91" s="90"/>
      <c r="DI91" s="90"/>
      <c r="DJ91" s="90"/>
      <c r="DK91" s="90"/>
      <c r="DL91" s="90"/>
      <c r="DM91" s="90"/>
      <c r="DN91" s="90">
        <v>1.3</v>
      </c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>
        <v>0.46500000000000002</v>
      </c>
      <c r="EJ91" s="90">
        <v>0.151</v>
      </c>
      <c r="EK91" s="90"/>
      <c r="EL91" s="90"/>
      <c r="EM91" s="90"/>
      <c r="EN91" s="90"/>
      <c r="EO91" s="90"/>
      <c r="EP91" s="90"/>
      <c r="EQ91" s="90"/>
      <c r="ER91" s="90"/>
      <c r="ES91" s="90"/>
      <c r="ET91" s="90"/>
      <c r="EU91" s="90"/>
      <c r="EV91" s="90"/>
      <c r="EW91" s="90"/>
      <c r="EX91" s="90">
        <f t="shared" si="54"/>
        <v>0.61599999999999999</v>
      </c>
      <c r="EY91" s="90">
        <f>ROUND(EX91*IFERROR(VLOOKUP($DG91,'3121% SY'!$A$2:$M$324,13,FALSE),0),3)</f>
        <v>0.108</v>
      </c>
      <c r="EZ91" s="90">
        <f t="shared" si="55"/>
        <v>1.3</v>
      </c>
      <c r="FA91" s="90">
        <f>ROUND(EZ91*IFERROR(VLOOKUP($DG91,'3121% SY'!$A$2:$M$324,13,FALSE),0),3)</f>
        <v>0.22800000000000001</v>
      </c>
    </row>
    <row r="92" spans="1:157" x14ac:dyDescent="0.25">
      <c r="A92" s="88" t="s">
        <v>97</v>
      </c>
      <c r="B92" s="90"/>
      <c r="C92" s="90">
        <v>4</v>
      </c>
      <c r="D92" s="90"/>
      <c r="E92" s="90"/>
      <c r="F92" s="90">
        <v>39.029000000000003</v>
      </c>
      <c r="G92" s="90"/>
      <c r="H92" s="90"/>
      <c r="I92" s="90">
        <v>15.58</v>
      </c>
      <c r="J92" s="90"/>
      <c r="K92" s="90"/>
      <c r="L92" s="90"/>
      <c r="M92" s="90"/>
      <c r="N92" s="90"/>
      <c r="O92" s="90">
        <v>20.803999999999998</v>
      </c>
      <c r="P92" s="90">
        <v>10.34</v>
      </c>
      <c r="Q92" s="90">
        <v>4.9960000000000004</v>
      </c>
      <c r="R92" s="90"/>
      <c r="S92" s="90"/>
      <c r="T92" s="90"/>
      <c r="U92" s="90">
        <v>4.33</v>
      </c>
      <c r="V92" s="90">
        <v>0.34</v>
      </c>
      <c r="W92" s="90">
        <v>0.67</v>
      </c>
      <c r="X92" s="90"/>
      <c r="Y92" s="90"/>
      <c r="Z92" s="90"/>
      <c r="AA92" s="90"/>
      <c r="AB92" s="90"/>
      <c r="AC92" s="90"/>
      <c r="AD92" s="90">
        <v>9.42</v>
      </c>
      <c r="AE92" s="90">
        <v>5.39</v>
      </c>
      <c r="AF92" s="90">
        <v>2.6949999999999998</v>
      </c>
      <c r="AG92" s="90"/>
      <c r="AH92" s="90"/>
      <c r="AI92" s="90"/>
      <c r="AJ92" s="90"/>
      <c r="AK92" s="90"/>
      <c r="AL92" s="90"/>
      <c r="AM92" s="90"/>
      <c r="AN92" s="90"/>
      <c r="AO92" s="90"/>
      <c r="AR92" s="90">
        <f t="shared" si="49"/>
        <v>58.985000000000007</v>
      </c>
      <c r="AS92" s="90">
        <f>SUM($B92:M92)</f>
        <v>58.609000000000002</v>
      </c>
      <c r="AT92" s="89"/>
      <c r="CL92" s="90">
        <f t="shared" si="50"/>
        <v>0</v>
      </c>
      <c r="CM92" s="90">
        <f t="shared" si="51"/>
        <v>0</v>
      </c>
      <c r="CN92" s="89"/>
      <c r="DD92" s="90">
        <f t="shared" si="52"/>
        <v>0</v>
      </c>
      <c r="DE92" s="90">
        <f t="shared" si="53"/>
        <v>0</v>
      </c>
      <c r="DF92" s="89"/>
      <c r="DG92" s="88" t="s">
        <v>138</v>
      </c>
      <c r="DH92" s="90"/>
      <c r="DI92" s="90"/>
      <c r="DJ92" s="90"/>
      <c r="DK92" s="90">
        <v>0.36299999999999999</v>
      </c>
      <c r="DL92" s="90">
        <v>0.26500000000000001</v>
      </c>
      <c r="DM92" s="90"/>
      <c r="DN92" s="90">
        <v>0.51200000000000001</v>
      </c>
      <c r="DO92" s="90">
        <v>0.123</v>
      </c>
      <c r="DP92" s="90"/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0"/>
      <c r="EK92" s="90"/>
      <c r="EL92" s="90"/>
      <c r="EM92" s="90"/>
      <c r="EN92" s="90"/>
      <c r="EO92" s="90"/>
      <c r="EP92" s="90"/>
      <c r="EQ92" s="90"/>
      <c r="ER92" s="90"/>
      <c r="ES92" s="90"/>
      <c r="ET92" s="90"/>
      <c r="EU92" s="90">
        <v>1.875</v>
      </c>
      <c r="EV92" s="90">
        <v>0.33</v>
      </c>
      <c r="EW92" s="90">
        <v>1.0920000000000001</v>
      </c>
      <c r="EX92" s="90">
        <f t="shared" si="54"/>
        <v>3.2970000000000002</v>
      </c>
      <c r="EY92" s="90">
        <f>ROUND(EX92*IFERROR(VLOOKUP($DG92,'3121% SY'!$A$2:$M$324,13,FALSE),0),3)</f>
        <v>0.60099999999999998</v>
      </c>
      <c r="EZ92" s="90">
        <f t="shared" si="55"/>
        <v>1.2630000000000001</v>
      </c>
      <c r="FA92" s="90">
        <f>ROUND(EZ92*IFERROR(VLOOKUP($DG92,'3121% SY'!$A$2:$M$324,13,FALSE),0),3)</f>
        <v>0.23</v>
      </c>
    </row>
    <row r="93" spans="1:157" x14ac:dyDescent="0.25">
      <c r="A93" s="88" t="s">
        <v>98</v>
      </c>
      <c r="B93" s="90"/>
      <c r="C93" s="90"/>
      <c r="D93" s="90"/>
      <c r="E93" s="90">
        <v>1.6759999999999999</v>
      </c>
      <c r="F93" s="90">
        <v>4.0000000000000001E-3</v>
      </c>
      <c r="G93" s="90"/>
      <c r="H93" s="90"/>
      <c r="I93" s="90">
        <v>4.8419999999999996</v>
      </c>
      <c r="J93" s="90"/>
      <c r="K93" s="90"/>
      <c r="L93" s="90">
        <v>0.78100000000000003</v>
      </c>
      <c r="M93" s="90"/>
      <c r="N93" s="90"/>
      <c r="O93" s="90">
        <v>5.6820000000000004</v>
      </c>
      <c r="P93" s="90">
        <v>3</v>
      </c>
      <c r="Q93" s="90">
        <v>1.3180000000000001</v>
      </c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>
        <v>0.39800000000000002</v>
      </c>
      <c r="AE93" s="90">
        <v>0.248</v>
      </c>
      <c r="AF93" s="90">
        <v>0.20399999999999999</v>
      </c>
      <c r="AG93" s="90"/>
      <c r="AH93" s="90"/>
      <c r="AI93" s="90"/>
      <c r="AJ93" s="90"/>
      <c r="AK93" s="90"/>
      <c r="AL93" s="90"/>
      <c r="AM93" s="90"/>
      <c r="AN93" s="90"/>
      <c r="AO93" s="90"/>
      <c r="AR93" s="90">
        <f t="shared" si="49"/>
        <v>10.85</v>
      </c>
      <c r="AS93" s="90">
        <f>SUM($B93:M93)</f>
        <v>7.302999999999999</v>
      </c>
      <c r="AT93" s="89"/>
      <c r="CL93" s="90">
        <f t="shared" si="50"/>
        <v>0</v>
      </c>
      <c r="CM93" s="90">
        <f t="shared" si="51"/>
        <v>0</v>
      </c>
      <c r="CN93" s="89"/>
      <c r="DD93" s="90">
        <f t="shared" si="52"/>
        <v>0</v>
      </c>
      <c r="DE93" s="90">
        <f t="shared" si="53"/>
        <v>0</v>
      </c>
      <c r="DF93" s="89"/>
      <c r="DG93" s="88" t="s">
        <v>140</v>
      </c>
      <c r="DH93" s="90"/>
      <c r="DI93" s="90"/>
      <c r="DJ93" s="90"/>
      <c r="DK93" s="90"/>
      <c r="DL93" s="90"/>
      <c r="DM93" s="90"/>
      <c r="DN93" s="90"/>
      <c r="DO93" s="90"/>
      <c r="DP93" s="90"/>
      <c r="DQ93" s="90"/>
      <c r="DR93" s="90"/>
      <c r="DS93" s="90"/>
      <c r="DT93" s="90"/>
      <c r="DU93" s="90"/>
      <c r="DV93" s="90"/>
      <c r="DW93" s="90"/>
      <c r="DX93" s="90"/>
      <c r="DY93" s="90"/>
      <c r="DZ93" s="90">
        <v>1.2</v>
      </c>
      <c r="EA93" s="90">
        <v>2.2000000000000002</v>
      </c>
      <c r="EB93" s="90"/>
      <c r="EC93" s="90"/>
      <c r="ED93" s="90"/>
      <c r="EE93" s="90"/>
      <c r="EF93" s="90"/>
      <c r="EG93" s="90"/>
      <c r="EH93" s="90"/>
      <c r="EI93" s="90"/>
      <c r="EJ93" s="90"/>
      <c r="EK93" s="90"/>
      <c r="EL93" s="90"/>
      <c r="EM93" s="90"/>
      <c r="EN93" s="90"/>
      <c r="EO93" s="90"/>
      <c r="EP93" s="90"/>
      <c r="EQ93" s="90"/>
      <c r="ER93" s="90"/>
      <c r="ES93" s="90"/>
      <c r="ET93" s="90"/>
      <c r="EU93" s="90"/>
      <c r="EV93" s="90">
        <v>1.212</v>
      </c>
      <c r="EW93" s="90"/>
      <c r="EX93" s="90">
        <f t="shared" si="54"/>
        <v>4.6120000000000001</v>
      </c>
      <c r="EY93" s="90">
        <f>ROUND(EX93*IFERROR(VLOOKUP($DG93,'3121% SY'!$A$2:$M$324,13,FALSE),0),3)</f>
        <v>1.4330000000000001</v>
      </c>
      <c r="EZ93" s="90">
        <f t="shared" si="55"/>
        <v>0</v>
      </c>
      <c r="FA93" s="90">
        <f>ROUND(EZ93*IFERROR(VLOOKUP($DG93,'3121% SY'!$A$2:$M$324,13,FALSE),0),3)</f>
        <v>0</v>
      </c>
    </row>
    <row r="94" spans="1:157" x14ac:dyDescent="0.25">
      <c r="A94" s="88" t="s">
        <v>99</v>
      </c>
      <c r="B94" s="90"/>
      <c r="C94" s="90"/>
      <c r="D94" s="90"/>
      <c r="E94" s="90"/>
      <c r="F94" s="90">
        <v>8.6649999999999991</v>
      </c>
      <c r="G94" s="90"/>
      <c r="H94" s="90"/>
      <c r="I94" s="90">
        <v>2.9220000000000002</v>
      </c>
      <c r="J94" s="90"/>
      <c r="K94" s="90"/>
      <c r="L94" s="90">
        <v>2.0859999999999999</v>
      </c>
      <c r="M94" s="90"/>
      <c r="N94" s="90"/>
      <c r="O94" s="90"/>
      <c r="P94" s="90">
        <v>4</v>
      </c>
      <c r="Q94" s="90">
        <v>3</v>
      </c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>
        <v>1.5</v>
      </c>
      <c r="AF94" s="90">
        <v>0.5</v>
      </c>
      <c r="AG94" s="90"/>
      <c r="AH94" s="90"/>
      <c r="AI94" s="90"/>
      <c r="AJ94" s="90"/>
      <c r="AK94" s="90"/>
      <c r="AL94" s="90"/>
      <c r="AM94" s="90"/>
      <c r="AN94" s="90"/>
      <c r="AO94" s="90"/>
      <c r="AR94" s="90">
        <f t="shared" si="49"/>
        <v>9</v>
      </c>
      <c r="AS94" s="90">
        <f>SUM($B94:M94)</f>
        <v>13.673</v>
      </c>
      <c r="AT94" s="89"/>
      <c r="CL94" s="90">
        <f t="shared" si="50"/>
        <v>0</v>
      </c>
      <c r="CM94" s="90">
        <f t="shared" si="51"/>
        <v>0</v>
      </c>
      <c r="CN94" s="89"/>
      <c r="DD94" s="90">
        <f t="shared" si="52"/>
        <v>0</v>
      </c>
      <c r="DE94" s="90">
        <f t="shared" si="53"/>
        <v>0</v>
      </c>
      <c r="DF94" s="89"/>
      <c r="DG94" s="88" t="s">
        <v>142</v>
      </c>
      <c r="DH94" s="90"/>
      <c r="DI94" s="90"/>
      <c r="DJ94" s="90"/>
      <c r="DK94" s="90"/>
      <c r="DL94" s="90"/>
      <c r="DM94" s="90"/>
      <c r="DN94" s="90"/>
      <c r="DO94" s="90">
        <v>3.395</v>
      </c>
      <c r="DP94" s="90"/>
      <c r="DQ94" s="90"/>
      <c r="DR94" s="90"/>
      <c r="DS94" s="90"/>
      <c r="DT94" s="90"/>
      <c r="DU94" s="90"/>
      <c r="DV94" s="90"/>
      <c r="DW94" s="90"/>
      <c r="DX94" s="90"/>
      <c r="DY94" s="90"/>
      <c r="DZ94" s="90"/>
      <c r="EA94" s="90"/>
      <c r="EB94" s="90"/>
      <c r="EC94" s="90"/>
      <c r="ED94" s="90"/>
      <c r="EE94" s="90"/>
      <c r="EF94" s="90"/>
      <c r="EG94" s="90"/>
      <c r="EH94" s="90"/>
      <c r="EI94" s="90"/>
      <c r="EJ94" s="90">
        <v>1</v>
      </c>
      <c r="EK94" s="90"/>
      <c r="EL94" s="90"/>
      <c r="EM94" s="90"/>
      <c r="EN94" s="90"/>
      <c r="EO94" s="90"/>
      <c r="EP94" s="90"/>
      <c r="EQ94" s="90"/>
      <c r="ER94" s="90"/>
      <c r="ES94" s="90"/>
      <c r="ET94" s="90"/>
      <c r="EU94" s="90"/>
      <c r="EV94" s="90">
        <v>1.8879999999999999</v>
      </c>
      <c r="EW94" s="90"/>
      <c r="EX94" s="90">
        <f t="shared" si="54"/>
        <v>2.8879999999999999</v>
      </c>
      <c r="EY94" s="90">
        <f>ROUND(EX94*IFERROR(VLOOKUP($DG94,'3121% SY'!$A$2:$M$324,13,FALSE),0),3)</f>
        <v>0.58899999999999997</v>
      </c>
      <c r="EZ94" s="90">
        <f t="shared" si="55"/>
        <v>3.395</v>
      </c>
      <c r="FA94" s="90">
        <f>ROUND(EZ94*IFERROR(VLOOKUP($DG94,'3121% SY'!$A$2:$M$324,13,FALSE),0),3)</f>
        <v>0.69199999999999995</v>
      </c>
    </row>
    <row r="95" spans="1:157" x14ac:dyDescent="0.25">
      <c r="A95" s="88" t="s">
        <v>100</v>
      </c>
      <c r="B95" s="90"/>
      <c r="C95" s="90">
        <v>1</v>
      </c>
      <c r="D95" s="90"/>
      <c r="E95" s="90"/>
      <c r="F95" s="90">
        <v>32.567999999999998</v>
      </c>
      <c r="G95" s="90"/>
      <c r="H95" s="90"/>
      <c r="I95" s="90"/>
      <c r="J95" s="90"/>
      <c r="K95" s="90"/>
      <c r="L95" s="90"/>
      <c r="M95" s="90"/>
      <c r="N95" s="90"/>
      <c r="O95" s="90">
        <v>26.212</v>
      </c>
      <c r="P95" s="90">
        <v>23.736000000000001</v>
      </c>
      <c r="Q95" s="90">
        <v>12.813000000000001</v>
      </c>
      <c r="R95" s="90"/>
      <c r="S95" s="90"/>
      <c r="T95" s="90"/>
      <c r="U95" s="90">
        <v>2.8</v>
      </c>
      <c r="V95" s="90">
        <v>3</v>
      </c>
      <c r="W95" s="90">
        <v>1</v>
      </c>
      <c r="X95" s="90"/>
      <c r="Y95" s="90"/>
      <c r="Z95" s="90"/>
      <c r="AA95" s="90">
        <v>0.16300000000000001</v>
      </c>
      <c r="AB95" s="90">
        <v>0.161</v>
      </c>
      <c r="AC95" s="90">
        <v>0.16300000000000001</v>
      </c>
      <c r="AD95" s="90">
        <v>9.1999999999999993</v>
      </c>
      <c r="AE95" s="90">
        <v>8.1059999999999999</v>
      </c>
      <c r="AF95" s="90">
        <v>0.90600000000000003</v>
      </c>
      <c r="AG95" s="90"/>
      <c r="AH95" s="90"/>
      <c r="AI95" s="90"/>
      <c r="AJ95" s="90"/>
      <c r="AK95" s="90"/>
      <c r="AL95" s="90"/>
      <c r="AM95" s="90"/>
      <c r="AN95" s="90"/>
      <c r="AO95" s="90"/>
      <c r="AR95" s="90">
        <f t="shared" si="49"/>
        <v>88.26</v>
      </c>
      <c r="AS95" s="90">
        <f>SUM($B95:M95)</f>
        <v>33.567999999999998</v>
      </c>
      <c r="AT95" s="89"/>
      <c r="CL95" s="90">
        <f t="shared" si="50"/>
        <v>0</v>
      </c>
      <c r="CM95" s="90">
        <f t="shared" si="51"/>
        <v>0</v>
      </c>
      <c r="CN95" s="89"/>
      <c r="DD95" s="90">
        <f t="shared" si="52"/>
        <v>0</v>
      </c>
      <c r="DE95" s="90">
        <f t="shared" si="53"/>
        <v>0</v>
      </c>
      <c r="DF95" s="89"/>
      <c r="DG95" s="88" t="s">
        <v>143</v>
      </c>
      <c r="DH95" s="90"/>
      <c r="DI95" s="90"/>
      <c r="DJ95" s="90"/>
      <c r="DK95" s="90">
        <v>0.36899999999999999</v>
      </c>
      <c r="DL95" s="90"/>
      <c r="DM95" s="90"/>
      <c r="DN95" s="90">
        <v>0.73599999999999999</v>
      </c>
      <c r="DO95" s="90">
        <v>1.288</v>
      </c>
      <c r="DP95" s="90"/>
      <c r="DQ95" s="90"/>
      <c r="DR95" s="90"/>
      <c r="DS95" s="90"/>
      <c r="DT95" s="90"/>
      <c r="DU95" s="90"/>
      <c r="DV95" s="90"/>
      <c r="DW95" s="90"/>
      <c r="DX95" s="90"/>
      <c r="DY95" s="90"/>
      <c r="DZ95" s="90">
        <v>0.5</v>
      </c>
      <c r="EA95" s="90">
        <v>0.5</v>
      </c>
      <c r="EB95" s="90"/>
      <c r="EC95" s="90"/>
      <c r="ED95" s="90"/>
      <c r="EE95" s="90"/>
      <c r="EF95" s="90">
        <v>1.5</v>
      </c>
      <c r="EG95" s="90">
        <v>1</v>
      </c>
      <c r="EH95" s="90">
        <v>0.5</v>
      </c>
      <c r="EI95" s="90">
        <v>0.5</v>
      </c>
      <c r="EJ95" s="90">
        <v>0.5</v>
      </c>
      <c r="EK95" s="90"/>
      <c r="EL95" s="90"/>
      <c r="EM95" s="90"/>
      <c r="EN95" s="90"/>
      <c r="EO95" s="90"/>
      <c r="EP95" s="90"/>
      <c r="EQ95" s="90"/>
      <c r="ER95" s="90"/>
      <c r="ES95" s="90"/>
      <c r="ET95" s="90"/>
      <c r="EU95" s="90"/>
      <c r="EV95" s="90"/>
      <c r="EW95" s="90"/>
      <c r="EX95" s="90">
        <f t="shared" si="54"/>
        <v>5</v>
      </c>
      <c r="EY95" s="90">
        <f>ROUND(EX95*IFERROR(VLOOKUP($DG95,'3121% SY'!$A$2:$M$324,13,FALSE),0),3)</f>
        <v>0.95599999999999996</v>
      </c>
      <c r="EZ95" s="90">
        <f t="shared" si="55"/>
        <v>2.3929999999999998</v>
      </c>
      <c r="FA95" s="90">
        <f>ROUND(EZ95*IFERROR(VLOOKUP($DG95,'3121% SY'!$A$2:$M$324,13,FALSE),0),3)</f>
        <v>0.45800000000000002</v>
      </c>
    </row>
    <row r="96" spans="1:157" x14ac:dyDescent="0.25">
      <c r="A96" s="88" t="s">
        <v>101</v>
      </c>
      <c r="B96" s="90"/>
      <c r="C96" s="90">
        <v>0.73799999999999999</v>
      </c>
      <c r="D96" s="90"/>
      <c r="E96" s="90"/>
      <c r="F96" s="90">
        <v>1.58</v>
      </c>
      <c r="G96" s="90"/>
      <c r="H96" s="90"/>
      <c r="I96" s="90">
        <v>0.49099999999999999</v>
      </c>
      <c r="J96" s="90"/>
      <c r="K96" s="90"/>
      <c r="L96" s="90"/>
      <c r="M96" s="90"/>
      <c r="N96" s="90"/>
      <c r="O96" s="90"/>
      <c r="P96" s="90">
        <v>2.3679999999999999</v>
      </c>
      <c r="Q96" s="90">
        <v>1.08</v>
      </c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>
        <v>0.69</v>
      </c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R96" s="90">
        <f t="shared" si="49"/>
        <v>4.1379999999999999</v>
      </c>
      <c r="AS96" s="90">
        <f>SUM($B96:M96)</f>
        <v>2.8090000000000002</v>
      </c>
      <c r="AT96" s="89"/>
      <c r="CL96" s="90">
        <f t="shared" si="50"/>
        <v>0</v>
      </c>
      <c r="CM96" s="90">
        <f t="shared" si="51"/>
        <v>0</v>
      </c>
      <c r="CN96" s="89"/>
      <c r="DD96" s="90">
        <f t="shared" si="52"/>
        <v>0</v>
      </c>
      <c r="DE96" s="90">
        <f t="shared" si="53"/>
        <v>0</v>
      </c>
      <c r="DF96" s="89"/>
      <c r="DG96" s="88" t="s">
        <v>144</v>
      </c>
      <c r="DH96" s="90"/>
      <c r="DI96" s="90"/>
      <c r="DJ96" s="90"/>
      <c r="DK96" s="90"/>
      <c r="DL96" s="90">
        <v>0.04</v>
      </c>
      <c r="DM96" s="90"/>
      <c r="DN96" s="90"/>
      <c r="DO96" s="90"/>
      <c r="DP96" s="90"/>
      <c r="DQ96" s="90"/>
      <c r="DR96" s="90"/>
      <c r="DS96" s="90"/>
      <c r="DT96" s="90"/>
      <c r="DU96" s="90"/>
      <c r="DV96" s="90"/>
      <c r="DW96" s="90"/>
      <c r="DX96" s="90"/>
      <c r="DY96" s="90"/>
      <c r="DZ96" s="90"/>
      <c r="EA96" s="90"/>
      <c r="EB96" s="90"/>
      <c r="EC96" s="90"/>
      <c r="ED96" s="90"/>
      <c r="EE96" s="90"/>
      <c r="EF96" s="90"/>
      <c r="EG96" s="90"/>
      <c r="EH96" s="90"/>
      <c r="EI96" s="90"/>
      <c r="EJ96" s="90"/>
      <c r="EK96" s="90"/>
      <c r="EL96" s="90"/>
      <c r="EM96" s="90"/>
      <c r="EN96" s="90"/>
      <c r="EO96" s="90"/>
      <c r="EP96" s="90"/>
      <c r="EQ96" s="90"/>
      <c r="ER96" s="90"/>
      <c r="ES96" s="90"/>
      <c r="ET96" s="90"/>
      <c r="EU96" s="90"/>
      <c r="EV96" s="90"/>
      <c r="EW96" s="90"/>
      <c r="EX96" s="90">
        <f t="shared" si="54"/>
        <v>0</v>
      </c>
      <c r="EY96" s="90">
        <f>ROUND(EX96*IFERROR(VLOOKUP($DG96,'3121% SY'!$A$2:$M$324,13,FALSE),0),3)</f>
        <v>0</v>
      </c>
      <c r="EZ96" s="90">
        <f t="shared" si="55"/>
        <v>0.04</v>
      </c>
      <c r="FA96" s="90">
        <f>ROUND(EZ96*IFERROR(VLOOKUP($DG96,'3121% SY'!$A$2:$M$324,13,FALSE),0),3)</f>
        <v>8.0000000000000002E-3</v>
      </c>
    </row>
    <row r="97" spans="1:157" x14ac:dyDescent="0.25">
      <c r="A97" s="88" t="s">
        <v>102</v>
      </c>
      <c r="B97" s="90"/>
      <c r="C97" s="90"/>
      <c r="D97" s="90"/>
      <c r="E97" s="90"/>
      <c r="F97" s="90">
        <v>22.675999999999998</v>
      </c>
      <c r="G97" s="90"/>
      <c r="H97" s="90"/>
      <c r="I97" s="90">
        <v>19.193999999999999</v>
      </c>
      <c r="J97" s="90"/>
      <c r="K97" s="90"/>
      <c r="L97" s="90">
        <v>8.2059999999999995</v>
      </c>
      <c r="M97" s="90"/>
      <c r="N97" s="90"/>
      <c r="O97" s="90">
        <v>17.649999999999999</v>
      </c>
      <c r="P97" s="90">
        <v>14</v>
      </c>
      <c r="Q97" s="90">
        <v>5.35</v>
      </c>
      <c r="R97" s="90"/>
      <c r="S97" s="90"/>
      <c r="T97" s="90"/>
      <c r="U97" s="90"/>
      <c r="V97" s="90"/>
      <c r="W97" s="90"/>
      <c r="X97" s="90">
        <v>0.4</v>
      </c>
      <c r="Y97" s="90"/>
      <c r="Z97" s="90"/>
      <c r="AA97" s="90"/>
      <c r="AB97" s="90"/>
      <c r="AC97" s="90"/>
      <c r="AD97" s="90">
        <v>6.7389999999999999</v>
      </c>
      <c r="AE97" s="90">
        <v>3.8780000000000001</v>
      </c>
      <c r="AF97" s="90">
        <v>3.2</v>
      </c>
      <c r="AG97" s="90"/>
      <c r="AH97" s="90"/>
      <c r="AI97" s="90"/>
      <c r="AJ97" s="90"/>
      <c r="AK97" s="90"/>
      <c r="AL97" s="90"/>
      <c r="AM97" s="90"/>
      <c r="AN97" s="90"/>
      <c r="AO97" s="90"/>
      <c r="AR97" s="90">
        <f t="shared" si="49"/>
        <v>51.216999999999999</v>
      </c>
      <c r="AS97" s="90">
        <f>SUM($B97:M97)</f>
        <v>50.075999999999993</v>
      </c>
      <c r="AT97" s="89"/>
      <c r="CL97" s="90">
        <f t="shared" si="50"/>
        <v>0</v>
      </c>
      <c r="CM97" s="90">
        <f t="shared" si="51"/>
        <v>0</v>
      </c>
      <c r="CN97" s="89"/>
      <c r="DD97" s="90">
        <f t="shared" si="52"/>
        <v>0</v>
      </c>
      <c r="DE97" s="90">
        <f t="shared" si="53"/>
        <v>0</v>
      </c>
      <c r="DF97" s="89"/>
      <c r="DG97" s="88" t="s">
        <v>145</v>
      </c>
      <c r="DH97" s="90"/>
      <c r="DI97" s="90"/>
      <c r="DJ97" s="90"/>
      <c r="DK97" s="90"/>
      <c r="DL97" s="90">
        <v>0.374</v>
      </c>
      <c r="DM97" s="90">
        <v>8.7999999999999995E-2</v>
      </c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90"/>
      <c r="EI97" s="90"/>
      <c r="EJ97" s="90"/>
      <c r="EK97" s="90"/>
      <c r="EL97" s="90"/>
      <c r="EM97" s="90"/>
      <c r="EN97" s="90"/>
      <c r="EO97" s="90"/>
      <c r="EP97" s="90"/>
      <c r="EQ97" s="90"/>
      <c r="ER97" s="90"/>
      <c r="ES97" s="90"/>
      <c r="ET97" s="90"/>
      <c r="EU97" s="90"/>
      <c r="EV97" s="90"/>
      <c r="EW97" s="90"/>
      <c r="EX97" s="90">
        <f t="shared" si="54"/>
        <v>0</v>
      </c>
      <c r="EY97" s="90">
        <f>ROUND(EX97*IFERROR(VLOOKUP($DG97,'3121% SY'!$A$2:$M$324,13,FALSE),0),3)</f>
        <v>0</v>
      </c>
      <c r="EZ97" s="90">
        <f t="shared" si="55"/>
        <v>0.46199999999999997</v>
      </c>
      <c r="FA97" s="90">
        <f>ROUND(EZ97*IFERROR(VLOOKUP($DG97,'3121% SY'!$A$2:$M$324,13,FALSE),0),3)</f>
        <v>0.13200000000000001</v>
      </c>
    </row>
    <row r="98" spans="1:157" x14ac:dyDescent="0.25">
      <c r="A98" s="88" t="s">
        <v>103</v>
      </c>
      <c r="B98" s="90"/>
      <c r="C98" s="90"/>
      <c r="D98" s="90"/>
      <c r="E98" s="90"/>
      <c r="F98" s="90">
        <v>1</v>
      </c>
      <c r="G98" s="90"/>
      <c r="H98" s="90"/>
      <c r="I98" s="90">
        <v>0.435</v>
      </c>
      <c r="J98" s="90"/>
      <c r="K98" s="90"/>
      <c r="L98" s="90"/>
      <c r="M98" s="90"/>
      <c r="N98" s="90"/>
      <c r="O98" s="90"/>
      <c r="P98" s="90">
        <v>1</v>
      </c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R98" s="90">
        <f t="shared" si="49"/>
        <v>1</v>
      </c>
      <c r="AS98" s="90">
        <f>SUM($B98:M98)</f>
        <v>1.4350000000000001</v>
      </c>
      <c r="AT98" s="89"/>
      <c r="CL98" s="90">
        <f t="shared" si="50"/>
        <v>0</v>
      </c>
      <c r="CM98" s="90">
        <f t="shared" si="51"/>
        <v>0</v>
      </c>
      <c r="CN98" s="89"/>
      <c r="DD98" s="90">
        <f t="shared" si="52"/>
        <v>0</v>
      </c>
      <c r="DE98" s="90">
        <f t="shared" si="53"/>
        <v>0</v>
      </c>
      <c r="DF98" s="89"/>
      <c r="DG98" s="88" t="s">
        <v>148</v>
      </c>
      <c r="DH98" s="90"/>
      <c r="DI98" s="90"/>
      <c r="DJ98" s="90"/>
      <c r="DK98" s="90">
        <v>0.505</v>
      </c>
      <c r="DL98" s="90">
        <v>0.66500000000000004</v>
      </c>
      <c r="DM98" s="90"/>
      <c r="DN98" s="90"/>
      <c r="DO98" s="90">
        <v>1.2809999999999999</v>
      </c>
      <c r="DP98" s="90"/>
      <c r="DQ98" s="90"/>
      <c r="DR98" s="90"/>
      <c r="DS98" s="90"/>
      <c r="DT98" s="90">
        <v>0.15</v>
      </c>
      <c r="DU98" s="90">
        <v>0.15</v>
      </c>
      <c r="DV98" s="90"/>
      <c r="DW98" s="90"/>
      <c r="DX98" s="90"/>
      <c r="DY98" s="90"/>
      <c r="DZ98" s="90"/>
      <c r="EA98" s="90"/>
      <c r="EB98" s="90"/>
      <c r="EC98" s="90"/>
      <c r="ED98" s="90"/>
      <c r="EE98" s="90"/>
      <c r="EF98" s="90">
        <v>1.9</v>
      </c>
      <c r="EG98" s="90">
        <v>0.1</v>
      </c>
      <c r="EH98" s="90"/>
      <c r="EI98" s="90"/>
      <c r="EJ98" s="90">
        <v>1</v>
      </c>
      <c r="EK98" s="90"/>
      <c r="EL98" s="90"/>
      <c r="EM98" s="90"/>
      <c r="EN98" s="90"/>
      <c r="EO98" s="90">
        <v>0.66</v>
      </c>
      <c r="EP98" s="90">
        <v>0.19</v>
      </c>
      <c r="EQ98" s="90"/>
      <c r="ER98" s="90"/>
      <c r="ES98" s="90"/>
      <c r="ET98" s="90"/>
      <c r="EU98" s="90"/>
      <c r="EV98" s="90"/>
      <c r="EW98" s="90"/>
      <c r="EX98" s="90">
        <f t="shared" si="54"/>
        <v>4.1500000000000004</v>
      </c>
      <c r="EY98" s="90">
        <f>ROUND(EX98*IFERROR(VLOOKUP($DG98,'3121% SY'!$A$2:$M$324,13,FALSE),0),3)</f>
        <v>1.036</v>
      </c>
      <c r="EZ98" s="90">
        <f t="shared" si="55"/>
        <v>2.4509999999999996</v>
      </c>
      <c r="FA98" s="90">
        <f>ROUND(EZ98*IFERROR(VLOOKUP($DG98,'3121% SY'!$A$2:$M$324,13,FALSE),0),3)</f>
        <v>0.61199999999999999</v>
      </c>
    </row>
    <row r="99" spans="1:157" x14ac:dyDescent="0.25">
      <c r="A99" s="88" t="s">
        <v>104</v>
      </c>
      <c r="B99" s="90"/>
      <c r="C99" s="90">
        <v>9.3469999999999995</v>
      </c>
      <c r="D99" s="90"/>
      <c r="E99" s="90"/>
      <c r="F99" s="90">
        <v>33.963000000000001</v>
      </c>
      <c r="G99" s="90"/>
      <c r="H99" s="90"/>
      <c r="I99" s="90">
        <v>3.5089999999999999</v>
      </c>
      <c r="J99" s="90"/>
      <c r="K99" s="90"/>
      <c r="L99" s="90"/>
      <c r="M99" s="90"/>
      <c r="N99" s="90"/>
      <c r="O99" s="90">
        <v>29.792999999999999</v>
      </c>
      <c r="P99" s="90">
        <v>29.756</v>
      </c>
      <c r="Q99" s="90">
        <v>12.071</v>
      </c>
      <c r="R99" s="90"/>
      <c r="S99" s="90"/>
      <c r="T99" s="90"/>
      <c r="U99" s="90">
        <v>0.48</v>
      </c>
      <c r="V99" s="90">
        <v>0.36</v>
      </c>
      <c r="W99" s="90">
        <v>0.16</v>
      </c>
      <c r="X99" s="90"/>
      <c r="Y99" s="90"/>
      <c r="Z99" s="90"/>
      <c r="AA99" s="90"/>
      <c r="AB99" s="90"/>
      <c r="AC99" s="90"/>
      <c r="AD99" s="90">
        <v>8.7040000000000006</v>
      </c>
      <c r="AE99" s="90">
        <v>5.5179999999999998</v>
      </c>
      <c r="AF99" s="90">
        <v>3.4780000000000002</v>
      </c>
      <c r="AG99" s="90"/>
      <c r="AH99" s="90"/>
      <c r="AI99" s="90"/>
      <c r="AJ99" s="90"/>
      <c r="AK99" s="90"/>
      <c r="AL99" s="90"/>
      <c r="AM99" s="90"/>
      <c r="AN99" s="90"/>
      <c r="AO99" s="90"/>
      <c r="AR99" s="90">
        <f t="shared" si="49"/>
        <v>90.320000000000007</v>
      </c>
      <c r="AS99" s="90">
        <f>SUM($B99:M99)</f>
        <v>46.819000000000003</v>
      </c>
      <c r="AT99" s="89"/>
      <c r="CL99" s="90">
        <f t="shared" si="50"/>
        <v>0</v>
      </c>
      <c r="CM99" s="90">
        <f t="shared" si="51"/>
        <v>0</v>
      </c>
      <c r="CN99" s="89"/>
      <c r="DD99" s="90">
        <f t="shared" si="52"/>
        <v>0</v>
      </c>
      <c r="DE99" s="90">
        <f t="shared" si="53"/>
        <v>0</v>
      </c>
      <c r="DF99" s="89"/>
      <c r="DG99" s="88" t="s">
        <v>150</v>
      </c>
      <c r="DH99" s="90"/>
      <c r="DI99" s="90"/>
      <c r="DJ99" s="90"/>
      <c r="DK99" s="90"/>
      <c r="DL99" s="90">
        <v>3.2080000000000002</v>
      </c>
      <c r="DM99" s="90"/>
      <c r="DN99" s="90"/>
      <c r="DO99" s="90">
        <v>0.20499999999999999</v>
      </c>
      <c r="DP99" s="90">
        <v>0.36899999999999999</v>
      </c>
      <c r="DQ99" s="90"/>
      <c r="DR99" s="90"/>
      <c r="DS99" s="90"/>
      <c r="DT99" s="90"/>
      <c r="DU99" s="90"/>
      <c r="DV99" s="90"/>
      <c r="DW99" s="90"/>
      <c r="DX99" s="90"/>
      <c r="DY99" s="90"/>
      <c r="DZ99" s="90">
        <v>1.5349999999999999</v>
      </c>
      <c r="EA99" s="90">
        <v>0.311</v>
      </c>
      <c r="EB99" s="90">
        <v>0.154</v>
      </c>
      <c r="EC99" s="90"/>
      <c r="ED99" s="90"/>
      <c r="EE99" s="90"/>
      <c r="EF99" s="90">
        <v>1.21</v>
      </c>
      <c r="EG99" s="90">
        <v>0.122</v>
      </c>
      <c r="EH99" s="90">
        <v>6.0999999999999999E-2</v>
      </c>
      <c r="EI99" s="90">
        <v>0.25</v>
      </c>
      <c r="EJ99" s="90">
        <v>0.5</v>
      </c>
      <c r="EK99" s="90">
        <v>0.25</v>
      </c>
      <c r="EL99" s="90"/>
      <c r="EM99" s="90"/>
      <c r="EN99" s="90"/>
      <c r="EO99" s="90">
        <v>0.43</v>
      </c>
      <c r="EP99" s="90">
        <v>0.249</v>
      </c>
      <c r="EQ99" s="90">
        <v>0.123</v>
      </c>
      <c r="ER99" s="90">
        <v>0.53500000000000003</v>
      </c>
      <c r="ES99" s="90">
        <v>0.311</v>
      </c>
      <c r="ET99" s="90">
        <v>0.154</v>
      </c>
      <c r="EU99" s="90"/>
      <c r="EV99" s="90"/>
      <c r="EW99" s="90"/>
      <c r="EX99" s="90">
        <f t="shared" si="54"/>
        <v>6.1949999999999994</v>
      </c>
      <c r="EY99" s="90">
        <f>ROUND(EX99*IFERROR(VLOOKUP($DG99,'3121% SY'!$A$2:$M$324,13,FALSE),0),3)</f>
        <v>1.677</v>
      </c>
      <c r="EZ99" s="90">
        <f t="shared" si="55"/>
        <v>3.782</v>
      </c>
      <c r="FA99" s="90">
        <f>ROUND(EZ99*IFERROR(VLOOKUP($DG99,'3121% SY'!$A$2:$M$324,13,FALSE),0),3)</f>
        <v>1.024</v>
      </c>
    </row>
    <row r="100" spans="1:157" x14ac:dyDescent="0.25">
      <c r="A100" s="88" t="s">
        <v>105</v>
      </c>
      <c r="B100" s="90"/>
      <c r="C100" s="90"/>
      <c r="D100" s="90"/>
      <c r="E100" s="90"/>
      <c r="F100" s="90"/>
      <c r="G100" s="90"/>
      <c r="H100" s="90"/>
      <c r="I100" s="90">
        <v>1.929</v>
      </c>
      <c r="J100" s="90"/>
      <c r="K100" s="90"/>
      <c r="L100" s="90">
        <v>2.2050000000000001</v>
      </c>
      <c r="M100" s="90"/>
      <c r="N100" s="90"/>
      <c r="O100" s="90">
        <v>0.34</v>
      </c>
      <c r="P100" s="90">
        <v>3.5</v>
      </c>
      <c r="Q100" s="90">
        <v>0.68200000000000005</v>
      </c>
      <c r="R100" s="90"/>
      <c r="S100" s="90"/>
      <c r="T100" s="90"/>
      <c r="U100" s="90">
        <v>3</v>
      </c>
      <c r="V100" s="90"/>
      <c r="W100" s="90"/>
      <c r="X100" s="90"/>
      <c r="Y100" s="90"/>
      <c r="Z100" s="90"/>
      <c r="AA100" s="90"/>
      <c r="AB100" s="90"/>
      <c r="AC100" s="90"/>
      <c r="AD100" s="90"/>
      <c r="AE100" s="90">
        <v>1</v>
      </c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R100" s="90">
        <f t="shared" si="49"/>
        <v>8.5220000000000002</v>
      </c>
      <c r="AS100" s="90">
        <f>SUM($B100:M100)</f>
        <v>4.1340000000000003</v>
      </c>
      <c r="AT100" s="89"/>
      <c r="CL100" s="90">
        <f t="shared" si="50"/>
        <v>0</v>
      </c>
      <c r="CM100" s="90">
        <f t="shared" si="51"/>
        <v>0</v>
      </c>
      <c r="CN100" s="89"/>
      <c r="DD100" s="90">
        <f t="shared" si="52"/>
        <v>0</v>
      </c>
      <c r="DE100" s="90">
        <f t="shared" si="53"/>
        <v>0</v>
      </c>
      <c r="DF100" s="89"/>
      <c r="DG100" s="88" t="s">
        <v>157</v>
      </c>
      <c r="DH100" s="90"/>
      <c r="DI100" s="90"/>
      <c r="DJ100" s="90"/>
      <c r="DK100" s="90"/>
      <c r="DL100" s="90"/>
      <c r="DM100" s="90"/>
      <c r="DN100" s="90"/>
      <c r="DO100" s="90"/>
      <c r="DP100" s="90"/>
      <c r="DQ100" s="90"/>
      <c r="DR100" s="90"/>
      <c r="DS100" s="90"/>
      <c r="DT100" s="90"/>
      <c r="DU100" s="90"/>
      <c r="DV100" s="90"/>
      <c r="DW100" s="90"/>
      <c r="DX100" s="90"/>
      <c r="DY100" s="90"/>
      <c r="DZ100" s="90"/>
      <c r="EA100" s="90"/>
      <c r="EB100" s="90"/>
      <c r="EC100" s="90"/>
      <c r="ED100" s="90"/>
      <c r="EE100" s="90"/>
      <c r="EF100" s="90">
        <v>0.5</v>
      </c>
      <c r="EG100" s="90">
        <v>0.5</v>
      </c>
      <c r="EH100" s="90"/>
      <c r="EI100" s="90"/>
      <c r="EJ100" s="90"/>
      <c r="EK100" s="90"/>
      <c r="EL100" s="90"/>
      <c r="EM100" s="90"/>
      <c r="EN100" s="90"/>
      <c r="EO100" s="90"/>
      <c r="EP100" s="90"/>
      <c r="EQ100" s="90"/>
      <c r="ER100" s="90"/>
      <c r="ES100" s="90"/>
      <c r="ET100" s="90"/>
      <c r="EU100" s="90"/>
      <c r="EV100" s="90"/>
      <c r="EW100" s="90"/>
      <c r="EX100" s="90">
        <f t="shared" si="54"/>
        <v>1</v>
      </c>
      <c r="EY100" s="90">
        <f>ROUND(EX100*IFERROR(VLOOKUP($DG100,'3121% SY'!$A$2:$M$324,13,FALSE),0),3)</f>
        <v>0.111</v>
      </c>
      <c r="EZ100" s="90">
        <f t="shared" si="55"/>
        <v>0</v>
      </c>
      <c r="FA100" s="90">
        <f>ROUND(EZ100*IFERROR(VLOOKUP($DG100,'3121% SY'!$A$2:$M$324,13,FALSE),0),3)</f>
        <v>0</v>
      </c>
    </row>
    <row r="101" spans="1:157" x14ac:dyDescent="0.25">
      <c r="A101" s="88" t="s">
        <v>106</v>
      </c>
      <c r="B101" s="90"/>
      <c r="C101" s="90"/>
      <c r="D101" s="90"/>
      <c r="E101" s="90"/>
      <c r="F101" s="90">
        <v>3.653</v>
      </c>
      <c r="G101" s="90"/>
      <c r="H101" s="90"/>
      <c r="I101" s="90">
        <v>1.6639999999999999</v>
      </c>
      <c r="J101" s="90"/>
      <c r="K101" s="90"/>
      <c r="L101" s="90">
        <v>1.5549999999999999</v>
      </c>
      <c r="M101" s="90"/>
      <c r="N101" s="90"/>
      <c r="O101" s="90">
        <v>3.99</v>
      </c>
      <c r="P101" s="90">
        <v>3.02</v>
      </c>
      <c r="Q101" s="90">
        <v>1.49</v>
      </c>
      <c r="R101" s="90"/>
      <c r="S101" s="90"/>
      <c r="T101" s="90"/>
      <c r="U101" s="90"/>
      <c r="V101" s="90"/>
      <c r="W101" s="90"/>
      <c r="X101" s="90"/>
      <c r="Y101" s="90"/>
      <c r="Z101" s="90"/>
      <c r="AA101" s="90">
        <v>0.02</v>
      </c>
      <c r="AB101" s="90"/>
      <c r="AC101" s="90"/>
      <c r="AD101" s="90">
        <v>2</v>
      </c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R101" s="90">
        <f t="shared" si="49"/>
        <v>10.52</v>
      </c>
      <c r="AS101" s="90">
        <f>SUM($B101:M101)</f>
        <v>6.8719999999999999</v>
      </c>
      <c r="AT101" s="89"/>
      <c r="CL101" s="90">
        <f t="shared" si="50"/>
        <v>0</v>
      </c>
      <c r="CM101" s="90">
        <f t="shared" si="51"/>
        <v>0</v>
      </c>
      <c r="CN101" s="89"/>
      <c r="DD101" s="90">
        <f t="shared" si="52"/>
        <v>0</v>
      </c>
      <c r="DE101" s="90">
        <f t="shared" si="53"/>
        <v>0</v>
      </c>
      <c r="DF101" s="89"/>
      <c r="DG101" s="88" t="s">
        <v>158</v>
      </c>
      <c r="DH101" s="90"/>
      <c r="DI101" s="90"/>
      <c r="DJ101" s="90"/>
      <c r="DK101" s="90"/>
      <c r="DL101" s="90"/>
      <c r="DM101" s="90"/>
      <c r="DN101" s="90">
        <v>1.411</v>
      </c>
      <c r="DO101" s="90">
        <v>0.224</v>
      </c>
      <c r="DP101" s="90"/>
      <c r="DQ101" s="90"/>
      <c r="DR101" s="90"/>
      <c r="DS101" s="90"/>
      <c r="DT101" s="90"/>
      <c r="DU101" s="90"/>
      <c r="DV101" s="90"/>
      <c r="DW101" s="90"/>
      <c r="DX101" s="90"/>
      <c r="DY101" s="90"/>
      <c r="DZ101" s="90">
        <v>1</v>
      </c>
      <c r="EA101" s="90"/>
      <c r="EB101" s="90"/>
      <c r="EC101" s="90"/>
      <c r="ED101" s="90"/>
      <c r="EE101" s="90"/>
      <c r="EF101" s="90">
        <v>0.4</v>
      </c>
      <c r="EG101" s="90"/>
      <c r="EH101" s="90"/>
      <c r="EI101" s="90"/>
      <c r="EJ101" s="90"/>
      <c r="EK101" s="90"/>
      <c r="EL101" s="90"/>
      <c r="EM101" s="90"/>
      <c r="EN101" s="90"/>
      <c r="EO101" s="90"/>
      <c r="EP101" s="90"/>
      <c r="EQ101" s="90"/>
      <c r="ER101" s="90"/>
      <c r="ES101" s="90"/>
      <c r="ET101" s="90"/>
      <c r="EU101" s="90"/>
      <c r="EV101" s="90"/>
      <c r="EW101" s="90"/>
      <c r="EX101" s="90">
        <f t="shared" si="54"/>
        <v>1.4</v>
      </c>
      <c r="EY101" s="90">
        <f>ROUND(EX101*IFERROR(VLOOKUP($DG101,'3121% SY'!$A$2:$M$324,13,FALSE),0),3)</f>
        <v>0.222</v>
      </c>
      <c r="EZ101" s="90">
        <f t="shared" si="55"/>
        <v>1.635</v>
      </c>
      <c r="FA101" s="90">
        <f>ROUND(EZ101*IFERROR(VLOOKUP($DG101,'3121% SY'!$A$2:$M$324,13,FALSE),0),3)</f>
        <v>0.25900000000000001</v>
      </c>
    </row>
    <row r="102" spans="1:157" x14ac:dyDescent="0.25">
      <c r="A102" s="88" t="s">
        <v>107</v>
      </c>
      <c r="B102" s="90"/>
      <c r="C102" s="90"/>
      <c r="D102" s="90"/>
      <c r="E102" s="90">
        <v>6.56</v>
      </c>
      <c r="F102" s="90">
        <v>6.2060000000000004</v>
      </c>
      <c r="G102" s="90">
        <v>2.262</v>
      </c>
      <c r="H102" s="90">
        <v>10.7</v>
      </c>
      <c r="I102" s="90">
        <v>1.9590000000000001</v>
      </c>
      <c r="J102" s="90">
        <v>1.8180000000000001</v>
      </c>
      <c r="K102" s="90"/>
      <c r="L102" s="90"/>
      <c r="M102" s="90"/>
      <c r="N102" s="90"/>
      <c r="O102" s="90">
        <v>23.728999999999999</v>
      </c>
      <c r="P102" s="90">
        <v>17</v>
      </c>
      <c r="Q102" s="90">
        <v>8.1039999999999992</v>
      </c>
      <c r="R102" s="90"/>
      <c r="S102" s="90"/>
      <c r="T102" s="90"/>
      <c r="U102" s="90">
        <v>2</v>
      </c>
      <c r="V102" s="90">
        <v>1</v>
      </c>
      <c r="W102" s="90"/>
      <c r="X102" s="90">
        <v>0.5</v>
      </c>
      <c r="Y102" s="90"/>
      <c r="Z102" s="90"/>
      <c r="AA102" s="90"/>
      <c r="AB102" s="90"/>
      <c r="AC102" s="90"/>
      <c r="AD102" s="90">
        <v>9.7940000000000005</v>
      </c>
      <c r="AE102" s="90">
        <v>2.2669999999999999</v>
      </c>
      <c r="AF102" s="90">
        <v>3.4169999999999998</v>
      </c>
      <c r="AG102" s="90"/>
      <c r="AH102" s="90"/>
      <c r="AI102" s="90"/>
      <c r="AJ102" s="90"/>
      <c r="AK102" s="90"/>
      <c r="AL102" s="90"/>
      <c r="AM102" s="90"/>
      <c r="AN102" s="90"/>
      <c r="AO102" s="90"/>
      <c r="AR102" s="90">
        <f t="shared" si="49"/>
        <v>67.810999999999993</v>
      </c>
      <c r="AS102" s="90">
        <f>SUM($B102:M102)</f>
        <v>29.505000000000003</v>
      </c>
      <c r="AT102" s="89"/>
      <c r="CL102" s="90">
        <f t="shared" si="50"/>
        <v>0</v>
      </c>
      <c r="CM102" s="90">
        <f t="shared" si="51"/>
        <v>0</v>
      </c>
      <c r="CN102" s="89"/>
      <c r="DD102" s="90">
        <f t="shared" si="52"/>
        <v>0</v>
      </c>
      <c r="DE102" s="90">
        <f t="shared" si="53"/>
        <v>0</v>
      </c>
      <c r="DF102" s="89"/>
      <c r="DG102" s="88" t="s">
        <v>161</v>
      </c>
      <c r="DH102" s="90"/>
      <c r="DI102" s="90"/>
      <c r="DJ102" s="90"/>
      <c r="DK102" s="90"/>
      <c r="DL102" s="90"/>
      <c r="DM102" s="90"/>
      <c r="DN102" s="90"/>
      <c r="DO102" s="90">
        <v>0.93300000000000005</v>
      </c>
      <c r="DP102" s="90"/>
      <c r="DQ102" s="90"/>
      <c r="DR102" s="90"/>
      <c r="DS102" s="90"/>
      <c r="DT102" s="90"/>
      <c r="DU102" s="90"/>
      <c r="DV102" s="90"/>
      <c r="DW102" s="90"/>
      <c r="DX102" s="90"/>
      <c r="DY102" s="90"/>
      <c r="DZ102" s="90">
        <v>0.51</v>
      </c>
      <c r="EA102" s="90"/>
      <c r="EB102" s="90"/>
      <c r="EC102" s="90"/>
      <c r="ED102" s="90"/>
      <c r="EE102" s="90"/>
      <c r="EF102" s="90">
        <v>2.65</v>
      </c>
      <c r="EG102" s="90">
        <v>0.75</v>
      </c>
      <c r="EH102" s="90">
        <v>0.02</v>
      </c>
      <c r="EI102" s="90">
        <v>1.1259999999999999</v>
      </c>
      <c r="EJ102" s="90">
        <v>0.94799999999999995</v>
      </c>
      <c r="EK102" s="90">
        <v>3.5999999999999997E-2</v>
      </c>
      <c r="EL102" s="90"/>
      <c r="EM102" s="90"/>
      <c r="EN102" s="90"/>
      <c r="EO102" s="90">
        <v>0.42</v>
      </c>
      <c r="EP102" s="90">
        <v>0.08</v>
      </c>
      <c r="EQ102" s="90">
        <v>0.22</v>
      </c>
      <c r="ER102" s="90"/>
      <c r="ES102" s="90"/>
      <c r="ET102" s="90"/>
      <c r="EU102" s="90"/>
      <c r="EV102" s="90"/>
      <c r="EW102" s="90"/>
      <c r="EX102" s="90">
        <f t="shared" si="54"/>
        <v>6.7599999999999989</v>
      </c>
      <c r="EY102" s="90">
        <f>ROUND(EX102*IFERROR(VLOOKUP($DG102,'3121% SY'!$A$2:$M$324,13,FALSE),0),3)</f>
        <v>1.266</v>
      </c>
      <c r="EZ102" s="90">
        <f t="shared" si="55"/>
        <v>0.93300000000000005</v>
      </c>
      <c r="FA102" s="90">
        <f>ROUND(EZ102*IFERROR(VLOOKUP($DG102,'3121% SY'!$A$2:$M$324,13,FALSE),0),3)</f>
        <v>0.17499999999999999</v>
      </c>
    </row>
    <row r="103" spans="1:157" x14ac:dyDescent="0.25">
      <c r="A103" s="88" t="s">
        <v>108</v>
      </c>
      <c r="B103" s="90"/>
      <c r="C103" s="90"/>
      <c r="D103" s="90"/>
      <c r="E103" s="90"/>
      <c r="F103" s="90">
        <v>2.5619999999999998</v>
      </c>
      <c r="G103" s="90"/>
      <c r="H103" s="90"/>
      <c r="I103" s="90">
        <v>14.076000000000001</v>
      </c>
      <c r="J103" s="90"/>
      <c r="K103" s="90"/>
      <c r="L103" s="90"/>
      <c r="M103" s="90"/>
      <c r="N103" s="90"/>
      <c r="O103" s="90">
        <v>8.2349999999999994</v>
      </c>
      <c r="P103" s="90">
        <v>6.2</v>
      </c>
      <c r="Q103" s="90">
        <v>4.7649999999999997</v>
      </c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>
        <v>1.06</v>
      </c>
      <c r="AE103" s="90">
        <v>0.52</v>
      </c>
      <c r="AF103" s="90">
        <v>0.32</v>
      </c>
      <c r="AG103" s="90"/>
      <c r="AH103" s="90"/>
      <c r="AI103" s="90"/>
      <c r="AJ103" s="90"/>
      <c r="AK103" s="90"/>
      <c r="AL103" s="90"/>
      <c r="AM103" s="90"/>
      <c r="AN103" s="90"/>
      <c r="AO103" s="90"/>
      <c r="AR103" s="90">
        <f t="shared" si="49"/>
        <v>21.099999999999998</v>
      </c>
      <c r="AS103" s="90">
        <f>SUM($B103:M103)</f>
        <v>16.638000000000002</v>
      </c>
      <c r="AT103" s="89"/>
      <c r="CL103" s="90">
        <f t="shared" si="50"/>
        <v>0</v>
      </c>
      <c r="CM103" s="90">
        <f t="shared" si="51"/>
        <v>0</v>
      </c>
      <c r="CN103" s="89"/>
      <c r="DD103" s="90">
        <f t="shared" si="52"/>
        <v>0</v>
      </c>
      <c r="DE103" s="90">
        <f t="shared" si="53"/>
        <v>0</v>
      </c>
      <c r="DF103" s="89"/>
      <c r="DG103" s="88" t="s">
        <v>163</v>
      </c>
      <c r="DH103" s="90"/>
      <c r="DI103" s="90"/>
      <c r="DJ103" s="90"/>
      <c r="DK103" s="90">
        <v>0.58499999999999996</v>
      </c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90"/>
      <c r="EI103" s="90"/>
      <c r="EJ103" s="90"/>
      <c r="EK103" s="90"/>
      <c r="EL103" s="90"/>
      <c r="EM103" s="90"/>
      <c r="EN103" s="90"/>
      <c r="EO103" s="90"/>
      <c r="EP103" s="90"/>
      <c r="EQ103" s="90"/>
      <c r="ER103" s="90"/>
      <c r="ES103" s="90"/>
      <c r="ET103" s="90"/>
      <c r="EU103" s="90"/>
      <c r="EV103" s="90"/>
      <c r="EW103" s="90"/>
      <c r="EX103" s="90">
        <f t="shared" si="54"/>
        <v>0</v>
      </c>
      <c r="EY103" s="90">
        <f>ROUND(EX103*IFERROR(VLOOKUP($DG103,'3121% SY'!$A$2:$M$324,13,FALSE),0),3)</f>
        <v>0</v>
      </c>
      <c r="EZ103" s="90">
        <f t="shared" si="55"/>
        <v>0.58499999999999996</v>
      </c>
      <c r="FA103" s="90">
        <f>ROUND(EZ103*IFERROR(VLOOKUP($DG103,'3121% SY'!$A$2:$M$324,13,FALSE),0),3)</f>
        <v>0.123</v>
      </c>
    </row>
    <row r="104" spans="1:157" x14ac:dyDescent="0.25">
      <c r="A104" s="88" t="s">
        <v>109</v>
      </c>
      <c r="B104" s="90"/>
      <c r="C104" s="90">
        <v>0.70799999999999996</v>
      </c>
      <c r="D104" s="90"/>
      <c r="E104" s="90"/>
      <c r="F104" s="90">
        <v>6.1740000000000004</v>
      </c>
      <c r="G104" s="90"/>
      <c r="H104" s="90"/>
      <c r="I104" s="90">
        <v>1.4430000000000001</v>
      </c>
      <c r="J104" s="90"/>
      <c r="K104" s="90"/>
      <c r="L104" s="90"/>
      <c r="M104" s="90"/>
      <c r="N104" s="90"/>
      <c r="O104" s="90">
        <v>8.75</v>
      </c>
      <c r="P104" s="90">
        <v>4.12</v>
      </c>
      <c r="Q104" s="90">
        <v>3.25</v>
      </c>
      <c r="R104" s="90"/>
      <c r="S104" s="90"/>
      <c r="T104" s="90"/>
      <c r="U104" s="90">
        <v>1.7</v>
      </c>
      <c r="V104" s="90">
        <v>1</v>
      </c>
      <c r="W104" s="90">
        <v>1.3</v>
      </c>
      <c r="X104" s="90"/>
      <c r="Y104" s="90"/>
      <c r="Z104" s="90"/>
      <c r="AA104" s="90"/>
      <c r="AB104" s="90"/>
      <c r="AC104" s="90"/>
      <c r="AD104" s="90">
        <v>8.9559999999999995</v>
      </c>
      <c r="AE104" s="90">
        <v>1</v>
      </c>
      <c r="AF104" s="90">
        <v>0.65</v>
      </c>
      <c r="AG104" s="90"/>
      <c r="AH104" s="90"/>
      <c r="AI104" s="90"/>
      <c r="AJ104" s="90">
        <v>0.8</v>
      </c>
      <c r="AK104" s="90"/>
      <c r="AL104" s="90"/>
      <c r="AM104" s="90"/>
      <c r="AN104" s="90"/>
      <c r="AO104" s="90"/>
      <c r="AR104" s="90">
        <f t="shared" si="49"/>
        <v>31.526</v>
      </c>
      <c r="AS104" s="90">
        <f>SUM($B104:M104)</f>
        <v>8.3250000000000011</v>
      </c>
      <c r="AT104" s="89"/>
      <c r="CL104" s="90">
        <f t="shared" si="50"/>
        <v>0</v>
      </c>
      <c r="CM104" s="90">
        <f t="shared" si="51"/>
        <v>0</v>
      </c>
      <c r="CN104" s="89"/>
      <c r="DD104" s="90">
        <f t="shared" si="52"/>
        <v>0</v>
      </c>
      <c r="DE104" s="90">
        <f t="shared" si="53"/>
        <v>0</v>
      </c>
      <c r="DF104" s="89"/>
      <c r="DG104" s="88" t="s">
        <v>164</v>
      </c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0"/>
      <c r="DS104" s="90"/>
      <c r="DT104" s="90"/>
      <c r="DU104" s="90"/>
      <c r="DV104" s="90"/>
      <c r="DW104" s="90"/>
      <c r="DX104" s="90"/>
      <c r="DY104" s="90"/>
      <c r="DZ104" s="90">
        <v>0.59599999999999997</v>
      </c>
      <c r="EA104" s="90">
        <v>0.27800000000000002</v>
      </c>
      <c r="EB104" s="90">
        <v>6.2E-2</v>
      </c>
      <c r="EC104" s="90"/>
      <c r="ED104" s="90"/>
      <c r="EE104" s="90"/>
      <c r="EF104" s="90">
        <v>1.6E-2</v>
      </c>
      <c r="EG104" s="90"/>
      <c r="EH104" s="90"/>
      <c r="EI104" s="90"/>
      <c r="EJ104" s="90"/>
      <c r="EK104" s="90"/>
      <c r="EL104" s="90"/>
      <c r="EM104" s="90"/>
      <c r="EN104" s="90"/>
      <c r="EO104" s="90"/>
      <c r="EP104" s="90"/>
      <c r="EQ104" s="90"/>
      <c r="ER104" s="90"/>
      <c r="ES104" s="90"/>
      <c r="ET104" s="90"/>
      <c r="EU104" s="90"/>
      <c r="EV104" s="90"/>
      <c r="EW104" s="90"/>
      <c r="EX104" s="90">
        <f t="shared" si="54"/>
        <v>0.95199999999999996</v>
      </c>
      <c r="EY104" s="90">
        <f>ROUND(EX104*IFERROR(VLOOKUP($DG104,'3121% SY'!$A$2:$M$324,13,FALSE),0),3)</f>
        <v>0.17299999999999999</v>
      </c>
      <c r="EZ104" s="90">
        <f t="shared" si="55"/>
        <v>0</v>
      </c>
      <c r="FA104" s="90">
        <f>ROUND(EZ104*IFERROR(VLOOKUP($DG104,'3121% SY'!$A$2:$M$324,13,FALSE),0),3)</f>
        <v>0</v>
      </c>
    </row>
    <row r="105" spans="1:157" x14ac:dyDescent="0.25">
      <c r="A105" s="88" t="s">
        <v>110</v>
      </c>
      <c r="B105" s="90"/>
      <c r="C105" s="90"/>
      <c r="D105" s="90"/>
      <c r="E105" s="90"/>
      <c r="F105" s="90">
        <v>19.483000000000001</v>
      </c>
      <c r="G105" s="90"/>
      <c r="H105" s="90"/>
      <c r="I105" s="90">
        <v>40.247999999999998</v>
      </c>
      <c r="J105" s="90"/>
      <c r="K105" s="90"/>
      <c r="L105" s="90">
        <v>7.0609999999999999</v>
      </c>
      <c r="M105" s="90"/>
      <c r="N105" s="90"/>
      <c r="O105" s="90">
        <v>16.632999999999999</v>
      </c>
      <c r="P105" s="90">
        <v>14.6</v>
      </c>
      <c r="Q105" s="90">
        <v>10.467000000000001</v>
      </c>
      <c r="R105" s="90"/>
      <c r="S105" s="90"/>
      <c r="T105" s="90"/>
      <c r="U105" s="90">
        <v>3</v>
      </c>
      <c r="V105" s="90">
        <v>2</v>
      </c>
      <c r="W105" s="90">
        <v>3</v>
      </c>
      <c r="X105" s="90">
        <v>0.4</v>
      </c>
      <c r="Y105" s="90"/>
      <c r="Z105" s="90"/>
      <c r="AA105" s="90"/>
      <c r="AB105" s="90"/>
      <c r="AC105" s="90"/>
      <c r="AD105" s="90">
        <v>1</v>
      </c>
      <c r="AE105" s="90">
        <v>1</v>
      </c>
      <c r="AF105" s="90">
        <v>1</v>
      </c>
      <c r="AG105" s="90"/>
      <c r="AH105" s="90"/>
      <c r="AI105" s="90"/>
      <c r="AJ105" s="90"/>
      <c r="AK105" s="90"/>
      <c r="AL105" s="90"/>
      <c r="AM105" s="90"/>
      <c r="AN105" s="90"/>
      <c r="AO105" s="90"/>
      <c r="AR105" s="90">
        <f t="shared" si="49"/>
        <v>53.099999999999994</v>
      </c>
      <c r="AS105" s="90">
        <f>SUM($B105:M105)</f>
        <v>66.792000000000002</v>
      </c>
      <c r="AT105" s="89"/>
      <c r="CL105" s="90">
        <f t="shared" si="50"/>
        <v>0</v>
      </c>
      <c r="CM105" s="90">
        <f t="shared" si="51"/>
        <v>0</v>
      </c>
      <c r="CN105" s="89"/>
      <c r="DD105" s="90">
        <f t="shared" si="52"/>
        <v>0</v>
      </c>
      <c r="DE105" s="90">
        <f t="shared" si="53"/>
        <v>0</v>
      </c>
      <c r="DF105" s="89"/>
      <c r="DG105" s="88" t="s">
        <v>167</v>
      </c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90">
        <v>1</v>
      </c>
      <c r="DY105" s="90"/>
      <c r="DZ105" s="90"/>
      <c r="EA105" s="90"/>
      <c r="EB105" s="90"/>
      <c r="EC105" s="90"/>
      <c r="ED105" s="90"/>
      <c r="EE105" s="90"/>
      <c r="EF105" s="90">
        <v>2.8</v>
      </c>
      <c r="EG105" s="90"/>
      <c r="EH105" s="90"/>
      <c r="EI105" s="90">
        <v>1</v>
      </c>
      <c r="EJ105" s="90"/>
      <c r="EK105" s="90"/>
      <c r="EL105" s="90"/>
      <c r="EM105" s="90"/>
      <c r="EN105" s="90"/>
      <c r="EO105" s="90"/>
      <c r="EP105" s="90"/>
      <c r="EQ105" s="90"/>
      <c r="ER105" s="90"/>
      <c r="ES105" s="90"/>
      <c r="ET105" s="90"/>
      <c r="EU105" s="90"/>
      <c r="EV105" s="90"/>
      <c r="EW105" s="90"/>
      <c r="EX105" s="90">
        <f t="shared" si="54"/>
        <v>4.8</v>
      </c>
      <c r="EY105" s="90">
        <f>ROUND(EX105*IFERROR(VLOOKUP($DG105,'3121% SY'!$A$2:$M$324,13,FALSE),0),3)</f>
        <v>0.9</v>
      </c>
      <c r="EZ105" s="90">
        <f t="shared" si="55"/>
        <v>0</v>
      </c>
      <c r="FA105" s="90">
        <f>ROUND(EZ105*IFERROR(VLOOKUP($DG105,'3121% SY'!$A$2:$M$324,13,FALSE),0),3)</f>
        <v>0</v>
      </c>
    </row>
    <row r="106" spans="1:157" x14ac:dyDescent="0.25">
      <c r="A106" s="88" t="s">
        <v>111</v>
      </c>
      <c r="B106" s="90"/>
      <c r="C106" s="90">
        <v>6.6310000000000002</v>
      </c>
      <c r="D106" s="90"/>
      <c r="E106" s="90"/>
      <c r="F106" s="90">
        <v>12.327999999999999</v>
      </c>
      <c r="G106" s="90"/>
      <c r="H106" s="90"/>
      <c r="I106" s="90">
        <v>9.3759999999999994</v>
      </c>
      <c r="J106" s="90"/>
      <c r="K106" s="90"/>
      <c r="L106" s="90">
        <v>3</v>
      </c>
      <c r="M106" s="90"/>
      <c r="N106" s="90"/>
      <c r="O106" s="90">
        <v>9.76</v>
      </c>
      <c r="P106" s="90">
        <v>9.9979999999999993</v>
      </c>
      <c r="Q106" s="90">
        <v>6.94</v>
      </c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R106" s="90">
        <f t="shared" si="49"/>
        <v>26.698</v>
      </c>
      <c r="AS106" s="90">
        <f>SUM($B106:M106)</f>
        <v>31.335000000000001</v>
      </c>
      <c r="AT106" s="89"/>
      <c r="CL106" s="90">
        <f t="shared" si="50"/>
        <v>0</v>
      </c>
      <c r="CM106" s="90">
        <f t="shared" si="51"/>
        <v>0</v>
      </c>
      <c r="CN106" s="89"/>
      <c r="DD106" s="90">
        <f t="shared" si="52"/>
        <v>0</v>
      </c>
      <c r="DE106" s="90">
        <f t="shared" si="53"/>
        <v>0</v>
      </c>
      <c r="DF106" s="89"/>
      <c r="DG106" s="88" t="s">
        <v>168</v>
      </c>
      <c r="DH106" s="90"/>
      <c r="DI106" s="90"/>
      <c r="DJ106" s="90"/>
      <c r="DK106" s="90"/>
      <c r="DL106" s="90"/>
      <c r="DM106" s="90"/>
      <c r="DN106" s="90"/>
      <c r="DO106" s="90"/>
      <c r="DP106" s="90"/>
      <c r="DQ106" s="90"/>
      <c r="DR106" s="90"/>
      <c r="DS106" s="90"/>
      <c r="DT106" s="90"/>
      <c r="DU106" s="90"/>
      <c r="DV106" s="90"/>
      <c r="DW106" s="90"/>
      <c r="DX106" s="90"/>
      <c r="DY106" s="90"/>
      <c r="DZ106" s="90"/>
      <c r="EA106" s="90"/>
      <c r="EB106" s="90"/>
      <c r="EC106" s="90"/>
      <c r="ED106" s="90"/>
      <c r="EE106" s="90"/>
      <c r="EF106" s="90"/>
      <c r="EG106" s="90"/>
      <c r="EH106" s="90"/>
      <c r="EI106" s="90">
        <v>0.5</v>
      </c>
      <c r="EJ106" s="90">
        <v>0.25</v>
      </c>
      <c r="EK106" s="90">
        <v>0.25</v>
      </c>
      <c r="EL106" s="90"/>
      <c r="EM106" s="90"/>
      <c r="EN106" s="90"/>
      <c r="EO106" s="90"/>
      <c r="EP106" s="90"/>
      <c r="EQ106" s="90"/>
      <c r="ER106" s="90"/>
      <c r="ES106" s="90"/>
      <c r="ET106" s="90"/>
      <c r="EU106" s="90"/>
      <c r="EV106" s="90"/>
      <c r="EW106" s="90"/>
      <c r="EX106" s="90">
        <f t="shared" si="54"/>
        <v>1</v>
      </c>
      <c r="EY106" s="90">
        <f>ROUND(EX106*IFERROR(VLOOKUP($DG106,'3121% SY'!$A$2:$M$324,13,FALSE),0),3)</f>
        <v>0.16</v>
      </c>
      <c r="EZ106" s="90">
        <f t="shared" si="55"/>
        <v>0</v>
      </c>
      <c r="FA106" s="90">
        <f>ROUND(EZ106*IFERROR(VLOOKUP($DG106,'3121% SY'!$A$2:$M$324,13,FALSE),0),3)</f>
        <v>0</v>
      </c>
    </row>
    <row r="107" spans="1:157" x14ac:dyDescent="0.25">
      <c r="A107" s="88" t="s">
        <v>112</v>
      </c>
      <c r="B107" s="90"/>
      <c r="C107" s="90">
        <v>4.1109999999999998</v>
      </c>
      <c r="D107" s="90"/>
      <c r="E107" s="90"/>
      <c r="F107" s="90">
        <v>66.320999999999998</v>
      </c>
      <c r="G107" s="90"/>
      <c r="H107" s="90"/>
      <c r="I107" s="90">
        <v>46.55</v>
      </c>
      <c r="J107" s="90"/>
      <c r="K107" s="90"/>
      <c r="L107" s="90"/>
      <c r="M107" s="90"/>
      <c r="N107" s="90"/>
      <c r="O107" s="90">
        <v>28.943999999999999</v>
      </c>
      <c r="P107" s="90">
        <v>30.521999999999998</v>
      </c>
      <c r="Q107" s="90">
        <v>20.983000000000001</v>
      </c>
      <c r="R107" s="90"/>
      <c r="S107" s="90"/>
      <c r="T107" s="90"/>
      <c r="U107" s="90"/>
      <c r="V107" s="90"/>
      <c r="W107" s="90"/>
      <c r="X107" s="90"/>
      <c r="Y107" s="90"/>
      <c r="Z107" s="90"/>
      <c r="AA107" s="90">
        <v>15.2</v>
      </c>
      <c r="AB107" s="90">
        <v>9.718</v>
      </c>
      <c r="AC107" s="90">
        <v>7.05</v>
      </c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R107" s="90">
        <f t="shared" si="49"/>
        <v>112.417</v>
      </c>
      <c r="AS107" s="90">
        <f>SUM($B107:M107)</f>
        <v>116.982</v>
      </c>
      <c r="AT107" s="89"/>
      <c r="CL107" s="90">
        <f t="shared" si="50"/>
        <v>0</v>
      </c>
      <c r="CM107" s="90">
        <f t="shared" si="51"/>
        <v>0</v>
      </c>
      <c r="CN107" s="89"/>
      <c r="DD107" s="90">
        <f t="shared" si="52"/>
        <v>0</v>
      </c>
      <c r="DE107" s="90">
        <f t="shared" si="53"/>
        <v>0</v>
      </c>
      <c r="DF107" s="89"/>
      <c r="DG107" s="88" t="s">
        <v>169</v>
      </c>
      <c r="DH107" s="90"/>
      <c r="DI107" s="90"/>
      <c r="DJ107" s="90"/>
      <c r="DK107" s="90"/>
      <c r="DL107" s="90"/>
      <c r="DM107" s="90"/>
      <c r="DN107" s="90">
        <v>0.54800000000000004</v>
      </c>
      <c r="DO107" s="90">
        <v>6.9000000000000006E-2</v>
      </c>
      <c r="DP107" s="90">
        <v>6.9000000000000006E-2</v>
      </c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0"/>
      <c r="EI107" s="90">
        <v>0.55000000000000004</v>
      </c>
      <c r="EJ107" s="90">
        <v>0.3</v>
      </c>
      <c r="EK107" s="90">
        <v>0.15</v>
      </c>
      <c r="EL107" s="90"/>
      <c r="EM107" s="90"/>
      <c r="EN107" s="90"/>
      <c r="EO107" s="90"/>
      <c r="EP107" s="90"/>
      <c r="EQ107" s="90"/>
      <c r="ER107" s="90"/>
      <c r="ES107" s="90"/>
      <c r="ET107" s="90"/>
      <c r="EU107" s="90"/>
      <c r="EV107" s="90"/>
      <c r="EW107" s="90"/>
      <c r="EX107" s="90">
        <f t="shared" si="54"/>
        <v>1</v>
      </c>
      <c r="EY107" s="90">
        <f>ROUND(EX107*IFERROR(VLOOKUP($DG107,'3121% SY'!$A$2:$M$324,13,FALSE),0),3)</f>
        <v>0.214</v>
      </c>
      <c r="EZ107" s="90">
        <f t="shared" si="55"/>
        <v>0.68599999999999994</v>
      </c>
      <c r="FA107" s="90">
        <f>ROUND(EZ107*IFERROR(VLOOKUP($DG107,'3121% SY'!$A$2:$M$324,13,FALSE),0),3)</f>
        <v>0.14699999999999999</v>
      </c>
    </row>
    <row r="108" spans="1:157" x14ac:dyDescent="0.25">
      <c r="A108" s="88" t="s">
        <v>113</v>
      </c>
      <c r="B108" s="90"/>
      <c r="C108" s="90"/>
      <c r="D108" s="90"/>
      <c r="E108" s="90">
        <v>5.0410000000000004</v>
      </c>
      <c r="F108" s="90">
        <v>49.628999999999998</v>
      </c>
      <c r="G108" s="90"/>
      <c r="H108" s="90">
        <v>2.9</v>
      </c>
      <c r="I108" s="90">
        <v>22.332999999999998</v>
      </c>
      <c r="J108" s="90">
        <v>1.714</v>
      </c>
      <c r="K108" s="90"/>
      <c r="L108" s="90">
        <v>15.925000000000001</v>
      </c>
      <c r="M108" s="90"/>
      <c r="N108" s="90"/>
      <c r="O108" s="90">
        <v>12.494999999999999</v>
      </c>
      <c r="P108" s="90">
        <v>19.899999999999999</v>
      </c>
      <c r="Q108" s="90">
        <v>20</v>
      </c>
      <c r="R108" s="90"/>
      <c r="S108" s="90"/>
      <c r="T108" s="90"/>
      <c r="U108" s="90">
        <v>5</v>
      </c>
      <c r="V108" s="90"/>
      <c r="W108" s="90"/>
      <c r="X108" s="90"/>
      <c r="Y108" s="90"/>
      <c r="Z108" s="90"/>
      <c r="AA108" s="90"/>
      <c r="AB108" s="90"/>
      <c r="AC108" s="90"/>
      <c r="AD108" s="90">
        <v>10.714</v>
      </c>
      <c r="AE108" s="90">
        <v>8.74</v>
      </c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R108" s="90">
        <f t="shared" si="49"/>
        <v>76.84899999999999</v>
      </c>
      <c r="AS108" s="90">
        <f>SUM($B108:M108)</f>
        <v>97.541999999999987</v>
      </c>
      <c r="AT108" s="89"/>
      <c r="CL108" s="90">
        <f t="shared" si="50"/>
        <v>0</v>
      </c>
      <c r="CM108" s="90">
        <f t="shared" si="51"/>
        <v>0</v>
      </c>
      <c r="CN108" s="89"/>
      <c r="DD108" s="90">
        <f t="shared" si="52"/>
        <v>0</v>
      </c>
      <c r="DE108" s="90">
        <f t="shared" si="53"/>
        <v>0</v>
      </c>
      <c r="DF108" s="89"/>
      <c r="DG108" s="88" t="s">
        <v>170</v>
      </c>
      <c r="DH108" s="90"/>
      <c r="DI108" s="90"/>
      <c r="DJ108" s="90"/>
      <c r="DK108" s="90"/>
      <c r="DL108" s="90"/>
      <c r="DM108" s="90"/>
      <c r="DN108" s="90"/>
      <c r="DO108" s="90"/>
      <c r="DP108" s="90"/>
      <c r="DQ108" s="90"/>
      <c r="DR108" s="90"/>
      <c r="DS108" s="90"/>
      <c r="DT108" s="90"/>
      <c r="DU108" s="90"/>
      <c r="DV108" s="90"/>
      <c r="DW108" s="90"/>
      <c r="DX108" s="90"/>
      <c r="DY108" s="90"/>
      <c r="DZ108" s="90"/>
      <c r="EA108" s="90"/>
      <c r="EB108" s="90"/>
      <c r="EC108" s="90"/>
      <c r="ED108" s="90"/>
      <c r="EE108" s="90"/>
      <c r="EF108" s="90"/>
      <c r="EG108" s="90"/>
      <c r="EH108" s="90"/>
      <c r="EI108" s="90">
        <v>0.45</v>
      </c>
      <c r="EJ108" s="90">
        <v>0.22500000000000001</v>
      </c>
      <c r="EK108" s="90">
        <v>0.22500000000000001</v>
      </c>
      <c r="EL108" s="90"/>
      <c r="EM108" s="90"/>
      <c r="EN108" s="90"/>
      <c r="EO108" s="90"/>
      <c r="EP108" s="90"/>
      <c r="EQ108" s="90"/>
      <c r="ER108" s="90"/>
      <c r="ES108" s="90"/>
      <c r="ET108" s="90"/>
      <c r="EU108" s="90"/>
      <c r="EV108" s="90"/>
      <c r="EW108" s="90"/>
      <c r="EX108" s="90">
        <f t="shared" si="54"/>
        <v>0.9</v>
      </c>
      <c r="EY108" s="90">
        <f>ROUND(EX108*IFERROR(VLOOKUP($DG108,'3121% SY'!$A$2:$M$324,13,FALSE),0),3)</f>
        <v>0.22900000000000001</v>
      </c>
      <c r="EZ108" s="90">
        <f t="shared" si="55"/>
        <v>0</v>
      </c>
      <c r="FA108" s="90">
        <f>ROUND(EZ108*IFERROR(VLOOKUP($DG108,'3121% SY'!$A$2:$M$324,13,FALSE),0),3)</f>
        <v>0</v>
      </c>
    </row>
    <row r="109" spans="1:157" x14ac:dyDescent="0.25">
      <c r="A109" s="88" t="s">
        <v>114</v>
      </c>
      <c r="B109" s="90"/>
      <c r="C109" s="90"/>
      <c r="D109" s="90"/>
      <c r="E109" s="90">
        <v>5.8109999999999999</v>
      </c>
      <c r="F109" s="90">
        <v>13.73</v>
      </c>
      <c r="G109" s="90">
        <v>0.443</v>
      </c>
      <c r="H109" s="90">
        <v>14.01</v>
      </c>
      <c r="I109" s="90">
        <v>6.7229999999999999</v>
      </c>
      <c r="J109" s="90">
        <v>4.3730000000000002</v>
      </c>
      <c r="K109" s="90"/>
      <c r="L109" s="90">
        <v>5.1660000000000004</v>
      </c>
      <c r="M109" s="90"/>
      <c r="N109" s="90"/>
      <c r="O109" s="90">
        <v>28.28</v>
      </c>
      <c r="P109" s="90">
        <v>22.1</v>
      </c>
      <c r="Q109" s="90">
        <v>11.702999999999999</v>
      </c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>
        <v>0.75</v>
      </c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R109" s="90">
        <f t="shared" si="49"/>
        <v>62.832999999999998</v>
      </c>
      <c r="AS109" s="90">
        <f>SUM($B109:M109)</f>
        <v>50.256</v>
      </c>
      <c r="AT109" s="89"/>
      <c r="CL109" s="90">
        <f t="shared" si="50"/>
        <v>0</v>
      </c>
      <c r="CM109" s="90">
        <f t="shared" si="51"/>
        <v>0</v>
      </c>
      <c r="CN109" s="89"/>
      <c r="DD109" s="90">
        <f t="shared" si="52"/>
        <v>0</v>
      </c>
      <c r="DE109" s="90">
        <f t="shared" si="53"/>
        <v>0</v>
      </c>
      <c r="DF109" s="89"/>
      <c r="DG109" s="88" t="s">
        <v>172</v>
      </c>
      <c r="DH109" s="90"/>
      <c r="DI109" s="90"/>
      <c r="DJ109" s="90"/>
      <c r="DK109" s="90"/>
      <c r="DL109" s="90"/>
      <c r="DM109" s="90"/>
      <c r="DN109" s="90">
        <v>0.59599999999999997</v>
      </c>
      <c r="DO109" s="90">
        <v>0.35799999999999998</v>
      </c>
      <c r="DP109" s="90">
        <v>0.182</v>
      </c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90"/>
      <c r="EI109" s="90"/>
      <c r="EJ109" s="90"/>
      <c r="EK109" s="90"/>
      <c r="EL109" s="90"/>
      <c r="EM109" s="90"/>
      <c r="EN109" s="90"/>
      <c r="EO109" s="90"/>
      <c r="EP109" s="90"/>
      <c r="EQ109" s="90"/>
      <c r="ER109" s="90"/>
      <c r="ES109" s="90"/>
      <c r="ET109" s="90"/>
      <c r="EU109" s="90"/>
      <c r="EV109" s="90"/>
      <c r="EW109" s="90"/>
      <c r="EX109" s="90">
        <f t="shared" si="54"/>
        <v>0</v>
      </c>
      <c r="EY109" s="90">
        <f>ROUND(EX109*IFERROR(VLOOKUP($DG109,'3121% SY'!$A$2:$M$324,13,FALSE),0),3)</f>
        <v>0</v>
      </c>
      <c r="EZ109" s="90">
        <f t="shared" si="55"/>
        <v>1.1359999999999999</v>
      </c>
      <c r="FA109" s="90">
        <f>ROUND(EZ109*IFERROR(VLOOKUP($DG109,'3121% SY'!$A$2:$M$324,13,FALSE),0),3)</f>
        <v>0.17599999999999999</v>
      </c>
    </row>
    <row r="110" spans="1:157" x14ac:dyDescent="0.25">
      <c r="A110" s="88" t="s">
        <v>619</v>
      </c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>
        <v>1</v>
      </c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R110" s="90">
        <f t="shared" si="49"/>
        <v>1</v>
      </c>
      <c r="AS110" s="90">
        <f>SUM($B110:M110)</f>
        <v>0</v>
      </c>
      <c r="AT110" s="89"/>
      <c r="CL110" s="90">
        <f t="shared" si="50"/>
        <v>0</v>
      </c>
      <c r="CM110" s="90">
        <f t="shared" si="51"/>
        <v>0</v>
      </c>
      <c r="CN110" s="89"/>
      <c r="DD110" s="90">
        <f t="shared" si="52"/>
        <v>0</v>
      </c>
      <c r="DE110" s="90">
        <f t="shared" si="53"/>
        <v>0</v>
      </c>
      <c r="DF110" s="89"/>
      <c r="DG110" s="88" t="s">
        <v>173</v>
      </c>
      <c r="DH110" s="90"/>
      <c r="DI110" s="90"/>
      <c r="DJ110" s="90"/>
      <c r="DK110" s="90"/>
      <c r="DL110" s="90"/>
      <c r="DM110" s="90"/>
      <c r="DN110" s="90"/>
      <c r="DO110" s="90">
        <v>0.438</v>
      </c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>
        <v>0.27</v>
      </c>
      <c r="EJ110" s="90">
        <v>0.16200000000000001</v>
      </c>
      <c r="EK110" s="90">
        <v>0.108</v>
      </c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>
        <f t="shared" si="54"/>
        <v>0.54</v>
      </c>
      <c r="EY110" s="90">
        <f>ROUND(EX110*IFERROR(VLOOKUP($DG110,'3121% SY'!$A$2:$M$324,13,FALSE),0),3)</f>
        <v>0.112</v>
      </c>
      <c r="EZ110" s="90">
        <f t="shared" si="55"/>
        <v>0.438</v>
      </c>
      <c r="FA110" s="90">
        <f>ROUND(EZ110*IFERROR(VLOOKUP($DG110,'3121% SY'!$A$2:$M$324,13,FALSE),0),3)</f>
        <v>9.0999999999999998E-2</v>
      </c>
    </row>
    <row r="111" spans="1:157" x14ac:dyDescent="0.25">
      <c r="A111" s="88" t="s">
        <v>115</v>
      </c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>
        <v>1</v>
      </c>
      <c r="P111" s="90">
        <v>2</v>
      </c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>
        <v>0.498</v>
      </c>
      <c r="AF111" s="90">
        <v>0.498</v>
      </c>
      <c r="AG111" s="90"/>
      <c r="AH111" s="90"/>
      <c r="AI111" s="90"/>
      <c r="AJ111" s="90"/>
      <c r="AK111" s="90"/>
      <c r="AL111" s="90"/>
      <c r="AM111" s="90"/>
      <c r="AN111" s="90"/>
      <c r="AO111" s="90"/>
      <c r="AR111" s="90">
        <f t="shared" si="49"/>
        <v>3.9960000000000004</v>
      </c>
      <c r="AS111" s="90">
        <f>SUM($B111:M111)</f>
        <v>0</v>
      </c>
      <c r="AT111" s="89"/>
      <c r="CL111" s="90">
        <f t="shared" si="50"/>
        <v>0</v>
      </c>
      <c r="CM111" s="90">
        <f t="shared" si="51"/>
        <v>0</v>
      </c>
      <c r="CN111" s="89"/>
      <c r="DD111" s="90">
        <f t="shared" si="52"/>
        <v>0</v>
      </c>
      <c r="DE111" s="90">
        <f t="shared" si="53"/>
        <v>0</v>
      </c>
      <c r="DF111" s="89"/>
      <c r="DG111" s="88" t="s">
        <v>1247</v>
      </c>
      <c r="DH111" s="90"/>
      <c r="DI111" s="90"/>
      <c r="DJ111" s="90"/>
      <c r="DK111" s="90">
        <v>1.39</v>
      </c>
      <c r="DL111" s="90"/>
      <c r="DM111" s="90">
        <v>0.69499999999999995</v>
      </c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>
        <f t="shared" si="54"/>
        <v>0</v>
      </c>
      <c r="EY111" s="90">
        <f>ROUND(EX111*IFERROR(VLOOKUP($DG111,'3121% SY'!$A$2:$M$324,13,FALSE),0),3)</f>
        <v>0</v>
      </c>
      <c r="EZ111" s="90">
        <f t="shared" si="55"/>
        <v>2.085</v>
      </c>
      <c r="FA111" s="90">
        <f>ROUND(EZ111*IFERROR(VLOOKUP($DG111,'3121% SY'!$A$2:$M$324,13,FALSE),0),3)</f>
        <v>0.31</v>
      </c>
    </row>
    <row r="112" spans="1:157" x14ac:dyDescent="0.25">
      <c r="A112" s="88" t="s">
        <v>621</v>
      </c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>
        <v>0.45</v>
      </c>
      <c r="AF112" s="90">
        <v>0.55000000000000004</v>
      </c>
      <c r="AG112" s="90"/>
      <c r="AH112" s="90"/>
      <c r="AI112" s="90"/>
      <c r="AJ112" s="90"/>
      <c r="AK112" s="90"/>
      <c r="AL112" s="90"/>
      <c r="AM112" s="90"/>
      <c r="AN112" s="90"/>
      <c r="AO112" s="90"/>
      <c r="AR112" s="90">
        <f t="shared" si="49"/>
        <v>1</v>
      </c>
      <c r="AS112" s="90">
        <f>SUM($B112:M112)</f>
        <v>0</v>
      </c>
      <c r="AT112" s="89"/>
      <c r="CL112" s="90">
        <f t="shared" si="50"/>
        <v>0</v>
      </c>
      <c r="CM112" s="90">
        <f t="shared" si="51"/>
        <v>0</v>
      </c>
      <c r="CN112" s="89"/>
      <c r="DD112" s="90">
        <f t="shared" si="52"/>
        <v>0</v>
      </c>
      <c r="DE112" s="90">
        <f t="shared" si="53"/>
        <v>0</v>
      </c>
      <c r="DF112" s="89"/>
      <c r="DG112" s="88" t="s">
        <v>180</v>
      </c>
      <c r="DH112" s="90"/>
      <c r="DI112" s="90"/>
      <c r="DJ112" s="90"/>
      <c r="DK112" s="90"/>
      <c r="DL112" s="90"/>
      <c r="DM112" s="90"/>
      <c r="DN112" s="90">
        <v>0.32900000000000001</v>
      </c>
      <c r="DO112" s="90"/>
      <c r="DP112" s="90"/>
      <c r="DQ112" s="90"/>
      <c r="DR112" s="90"/>
      <c r="DS112" s="90"/>
      <c r="DT112" s="90"/>
      <c r="DU112" s="90"/>
      <c r="DV112" s="90"/>
      <c r="DW112" s="90"/>
      <c r="DX112" s="90"/>
      <c r="DY112" s="90"/>
      <c r="DZ112" s="90"/>
      <c r="EA112" s="90"/>
      <c r="EB112" s="90"/>
      <c r="EC112" s="90"/>
      <c r="ED112" s="90"/>
      <c r="EE112" s="90"/>
      <c r="EF112" s="90">
        <v>0.68</v>
      </c>
      <c r="EG112" s="90">
        <v>0.66</v>
      </c>
      <c r="EH112" s="90">
        <v>0.66</v>
      </c>
      <c r="EI112" s="90">
        <v>0.34</v>
      </c>
      <c r="EJ112" s="90">
        <v>0.33</v>
      </c>
      <c r="EK112" s="90">
        <v>0.33</v>
      </c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>
        <f t="shared" si="54"/>
        <v>3</v>
      </c>
      <c r="EY112" s="90">
        <f>ROUND(EX112*IFERROR(VLOOKUP($DG112,'3121% SY'!$A$2:$M$324,13,FALSE),0),3)</f>
        <v>0.72599999999999998</v>
      </c>
      <c r="EZ112" s="90">
        <f t="shared" si="55"/>
        <v>0.32900000000000001</v>
      </c>
      <c r="FA112" s="90">
        <f>ROUND(EZ112*IFERROR(VLOOKUP($DG112,'3121% SY'!$A$2:$M$324,13,FALSE),0),3)</f>
        <v>0.08</v>
      </c>
    </row>
    <row r="113" spans="1:157" x14ac:dyDescent="0.25">
      <c r="A113" s="88" t="s">
        <v>631</v>
      </c>
      <c r="B113" s="90">
        <v>2</v>
      </c>
      <c r="C113" s="90"/>
      <c r="D113" s="90"/>
      <c r="E113" s="90">
        <v>1</v>
      </c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R113" s="90">
        <f t="shared" si="49"/>
        <v>0</v>
      </c>
      <c r="AS113" s="90">
        <f>SUM($B113:M113)</f>
        <v>3</v>
      </c>
      <c r="AT113" s="89"/>
      <c r="CL113" s="90">
        <f t="shared" si="50"/>
        <v>0</v>
      </c>
      <c r="CM113" s="90">
        <f t="shared" si="51"/>
        <v>0</v>
      </c>
      <c r="CN113" s="89"/>
      <c r="DD113" s="90">
        <f t="shared" si="52"/>
        <v>0</v>
      </c>
      <c r="DE113" s="90">
        <f t="shared" si="53"/>
        <v>0</v>
      </c>
      <c r="DF113" s="89"/>
      <c r="DG113" s="88" t="s">
        <v>181</v>
      </c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>
        <v>0.8</v>
      </c>
      <c r="EA113" s="90"/>
      <c r="EB113" s="90">
        <v>0.2</v>
      </c>
      <c r="EC113" s="90"/>
      <c r="ED113" s="90"/>
      <c r="EE113" s="90"/>
      <c r="EF113" s="90">
        <v>0.158</v>
      </c>
      <c r="EG113" s="90">
        <v>0.158</v>
      </c>
      <c r="EH113" s="90"/>
      <c r="EI113" s="90"/>
      <c r="EJ113" s="90"/>
      <c r="EK113" s="90"/>
      <c r="EL113" s="90"/>
      <c r="EM113" s="90"/>
      <c r="EN113" s="90"/>
      <c r="EO113" s="90"/>
      <c r="EP113" s="90"/>
      <c r="EQ113" s="90"/>
      <c r="ER113" s="90"/>
      <c r="ES113" s="90"/>
      <c r="ET113" s="90"/>
      <c r="EU113" s="90"/>
      <c r="EV113" s="90"/>
      <c r="EW113" s="90"/>
      <c r="EX113" s="90">
        <f t="shared" si="54"/>
        <v>1.3159999999999998</v>
      </c>
      <c r="EY113" s="90">
        <f>ROUND(EX113*IFERROR(VLOOKUP($DG113,'3121% SY'!$A$2:$M$324,13,FALSE),0),3)</f>
        <v>0.25700000000000001</v>
      </c>
      <c r="EZ113" s="90">
        <f t="shared" si="55"/>
        <v>0</v>
      </c>
      <c r="FA113" s="90">
        <f>ROUND(EZ113*IFERROR(VLOOKUP($DG113,'3121% SY'!$A$2:$M$324,13,FALSE),0),3)</f>
        <v>0</v>
      </c>
    </row>
    <row r="114" spans="1:157" x14ac:dyDescent="0.25">
      <c r="A114" s="88" t="s">
        <v>654</v>
      </c>
      <c r="B114" s="90">
        <v>2</v>
      </c>
      <c r="C114" s="90"/>
      <c r="D114" s="90"/>
      <c r="E114" s="90">
        <v>1</v>
      </c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R114" s="90">
        <f t="shared" si="49"/>
        <v>0</v>
      </c>
      <c r="AS114" s="90">
        <f>SUM($B114:M114)</f>
        <v>3</v>
      </c>
      <c r="AT114" s="89"/>
      <c r="CL114" s="90">
        <f t="shared" si="50"/>
        <v>0</v>
      </c>
      <c r="CM114" s="90">
        <f t="shared" si="51"/>
        <v>0</v>
      </c>
      <c r="CN114" s="89"/>
      <c r="DD114" s="90">
        <f t="shared" si="52"/>
        <v>0</v>
      </c>
      <c r="DE114" s="90">
        <f t="shared" si="53"/>
        <v>0</v>
      </c>
      <c r="DF114" s="89"/>
      <c r="DG114" s="88" t="s">
        <v>182</v>
      </c>
      <c r="DH114" s="90"/>
      <c r="DI114" s="90"/>
      <c r="DJ114" s="90"/>
      <c r="DK114" s="90"/>
      <c r="DL114" s="90"/>
      <c r="DM114" s="90"/>
      <c r="DN114" s="90"/>
      <c r="DO114" s="90"/>
      <c r="DP114" s="90"/>
      <c r="DQ114" s="90"/>
      <c r="DR114" s="90"/>
      <c r="DS114" s="90"/>
      <c r="DT114" s="90"/>
      <c r="DU114" s="90"/>
      <c r="DV114" s="90"/>
      <c r="DW114" s="90"/>
      <c r="DX114" s="90"/>
      <c r="DY114" s="90"/>
      <c r="DZ114" s="90"/>
      <c r="EA114" s="90"/>
      <c r="EB114" s="90"/>
      <c r="EC114" s="90"/>
      <c r="ED114" s="90"/>
      <c r="EE114" s="90"/>
      <c r="EF114" s="90">
        <v>0.92</v>
      </c>
      <c r="EG114" s="90"/>
      <c r="EH114" s="90"/>
      <c r="EI114" s="90">
        <v>0.34200000000000003</v>
      </c>
      <c r="EJ114" s="90"/>
      <c r="EK114" s="90"/>
      <c r="EL114" s="90"/>
      <c r="EM114" s="90"/>
      <c r="EN114" s="90"/>
      <c r="EO114" s="90"/>
      <c r="EP114" s="90"/>
      <c r="EQ114" s="90"/>
      <c r="ER114" s="90"/>
      <c r="ES114" s="90"/>
      <c r="ET114" s="90"/>
      <c r="EU114" s="90"/>
      <c r="EV114" s="90"/>
      <c r="EW114" s="90"/>
      <c r="EX114" s="90">
        <f t="shared" si="54"/>
        <v>1.262</v>
      </c>
      <c r="EY114" s="90">
        <f>ROUND(EX114*IFERROR(VLOOKUP($DG114,'3121% SY'!$A$2:$M$324,13,FALSE),0),3)</f>
        <v>0.23</v>
      </c>
      <c r="EZ114" s="90">
        <f t="shared" si="55"/>
        <v>0</v>
      </c>
      <c r="FA114" s="90">
        <f>ROUND(EZ114*IFERROR(VLOOKUP($DG114,'3121% SY'!$A$2:$M$324,13,FALSE),0),3)</f>
        <v>0</v>
      </c>
    </row>
    <row r="115" spans="1:157" x14ac:dyDescent="0.25">
      <c r="A115" s="88" t="s">
        <v>674</v>
      </c>
      <c r="B115" s="90"/>
      <c r="C115" s="90"/>
      <c r="D115" s="90"/>
      <c r="E115" s="90"/>
      <c r="F115" s="90"/>
      <c r="G115" s="90"/>
      <c r="H115" s="90"/>
      <c r="I115" s="90">
        <v>6.9000000000000006E-2</v>
      </c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R115" s="90">
        <f t="shared" si="49"/>
        <v>0</v>
      </c>
      <c r="AS115" s="90">
        <f>SUM($B115:M115)</f>
        <v>6.9000000000000006E-2</v>
      </c>
      <c r="AT115" s="89"/>
      <c r="CL115" s="90">
        <f t="shared" si="50"/>
        <v>0</v>
      </c>
      <c r="CM115" s="90">
        <f t="shared" si="51"/>
        <v>0</v>
      </c>
      <c r="CN115" s="89"/>
      <c r="DD115" s="90">
        <f t="shared" si="52"/>
        <v>0</v>
      </c>
      <c r="DE115" s="90">
        <f t="shared" si="53"/>
        <v>0</v>
      </c>
      <c r="DF115" s="89"/>
      <c r="DG115" s="88" t="s">
        <v>183</v>
      </c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>
        <v>1.59</v>
      </c>
      <c r="EA115" s="90">
        <v>0.25</v>
      </c>
      <c r="EB115" s="90">
        <v>0.16</v>
      </c>
      <c r="EC115" s="90"/>
      <c r="ED115" s="90"/>
      <c r="EE115" s="90"/>
      <c r="EF115" s="90">
        <v>3.7</v>
      </c>
      <c r="EG115" s="90">
        <v>0.5</v>
      </c>
      <c r="EH115" s="90">
        <v>0.4</v>
      </c>
      <c r="EI115" s="90">
        <v>2.855</v>
      </c>
      <c r="EJ115" s="90">
        <v>0.5</v>
      </c>
      <c r="EK115" s="90">
        <v>0.245</v>
      </c>
      <c r="EL115" s="90"/>
      <c r="EM115" s="90"/>
      <c r="EN115" s="90"/>
      <c r="EO115" s="90">
        <v>0.25</v>
      </c>
      <c r="EP115" s="90">
        <v>0.125</v>
      </c>
      <c r="EQ115" s="90">
        <v>0.125</v>
      </c>
      <c r="ER115" s="90"/>
      <c r="ES115" s="90"/>
      <c r="ET115" s="90"/>
      <c r="EU115" s="90"/>
      <c r="EV115" s="90"/>
      <c r="EW115" s="90"/>
      <c r="EX115" s="90">
        <f t="shared" si="54"/>
        <v>10.7</v>
      </c>
      <c r="EY115" s="90">
        <f>ROUND(EX115*IFERROR(VLOOKUP($DG115,'3121% SY'!$A$2:$M$324,13,FALSE),0),3)</f>
        <v>2.2970000000000002</v>
      </c>
      <c r="EZ115" s="90">
        <f t="shared" si="55"/>
        <v>0</v>
      </c>
      <c r="FA115" s="90">
        <f>ROUND(EZ115*IFERROR(VLOOKUP($DG115,'3121% SY'!$A$2:$M$324,13,FALSE),0),3)</f>
        <v>0</v>
      </c>
    </row>
    <row r="116" spans="1:157" x14ac:dyDescent="0.25">
      <c r="A116" s="88" t="s">
        <v>1111</v>
      </c>
      <c r="B116" s="90">
        <v>1.175</v>
      </c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R116" s="90">
        <f t="shared" si="49"/>
        <v>0</v>
      </c>
      <c r="AS116" s="90">
        <f>SUM($B116:M116)</f>
        <v>1.175</v>
      </c>
      <c r="AT116" s="89"/>
      <c r="CL116" s="90">
        <f t="shared" si="50"/>
        <v>0</v>
      </c>
      <c r="CM116" s="90">
        <f t="shared" si="51"/>
        <v>0</v>
      </c>
      <c r="CN116" s="89"/>
      <c r="DD116" s="90">
        <f t="shared" si="52"/>
        <v>0</v>
      </c>
      <c r="DE116" s="90">
        <f t="shared" si="53"/>
        <v>0</v>
      </c>
      <c r="DF116" s="89"/>
      <c r="DG116" s="88" t="s">
        <v>184</v>
      </c>
      <c r="DH116" s="90"/>
      <c r="DI116" s="90">
        <v>3.1949999999999998</v>
      </c>
      <c r="DJ116" s="90"/>
      <c r="DK116" s="90"/>
      <c r="DL116" s="90">
        <v>1.51</v>
      </c>
      <c r="DM116" s="90"/>
      <c r="DN116" s="90"/>
      <c r="DO116" s="90">
        <v>5.883</v>
      </c>
      <c r="DP116" s="90"/>
      <c r="DQ116" s="90"/>
      <c r="DR116" s="90">
        <v>0.188</v>
      </c>
      <c r="DS116" s="90"/>
      <c r="DT116" s="90">
        <v>2.331</v>
      </c>
      <c r="DU116" s="90">
        <v>0.33600000000000002</v>
      </c>
      <c r="DV116" s="90">
        <v>0.33300000000000002</v>
      </c>
      <c r="DW116" s="90"/>
      <c r="DX116" s="90"/>
      <c r="DY116" s="90"/>
      <c r="DZ116" s="90">
        <v>5.8979999999999997</v>
      </c>
      <c r="EA116" s="90">
        <v>3.6219999999999999</v>
      </c>
      <c r="EB116" s="90">
        <v>1.68</v>
      </c>
      <c r="EC116" s="90">
        <v>0.54</v>
      </c>
      <c r="ED116" s="90">
        <v>0.31</v>
      </c>
      <c r="EE116" s="90">
        <v>0.15</v>
      </c>
      <c r="EF116" s="90">
        <v>15.39</v>
      </c>
      <c r="EG116" s="90">
        <v>8.8350000000000009</v>
      </c>
      <c r="EH116" s="90">
        <v>4.2750000000000004</v>
      </c>
      <c r="EI116" s="90">
        <v>13.068</v>
      </c>
      <c r="EJ116" s="90">
        <v>7.5019999999999998</v>
      </c>
      <c r="EK116" s="90">
        <v>3.63</v>
      </c>
      <c r="EL116" s="90"/>
      <c r="EM116" s="90"/>
      <c r="EN116" s="90"/>
      <c r="EO116" s="90">
        <v>1.62</v>
      </c>
      <c r="EP116" s="90">
        <v>0.93</v>
      </c>
      <c r="EQ116" s="90">
        <v>0.45</v>
      </c>
      <c r="ER116" s="90">
        <v>2.7</v>
      </c>
      <c r="ES116" s="90">
        <v>1.55</v>
      </c>
      <c r="ET116" s="90">
        <v>0.75</v>
      </c>
      <c r="EU116" s="90"/>
      <c r="EV116" s="90"/>
      <c r="EW116" s="90"/>
      <c r="EX116" s="90">
        <f t="shared" si="54"/>
        <v>75.900000000000006</v>
      </c>
      <c r="EY116" s="90">
        <f>ROUND(EX116*IFERROR(VLOOKUP($DG116,'3121% SY'!$A$2:$M$324,13,FALSE),0),3)</f>
        <v>23.074000000000002</v>
      </c>
      <c r="EZ116" s="90">
        <f t="shared" si="55"/>
        <v>10.776000000000002</v>
      </c>
      <c r="FA116" s="90">
        <f>ROUND(EZ116*IFERROR(VLOOKUP($DG116,'3121% SY'!$A$2:$M$324,13,FALSE),0),3)</f>
        <v>3.2759999999999998</v>
      </c>
    </row>
    <row r="117" spans="1:157" x14ac:dyDescent="0.25">
      <c r="A117" s="88" t="s">
        <v>116</v>
      </c>
      <c r="B117" s="90"/>
      <c r="C117" s="90"/>
      <c r="D117" s="90"/>
      <c r="E117" s="90"/>
      <c r="F117" s="90"/>
      <c r="G117" s="90"/>
      <c r="H117" s="90">
        <v>3.2530000000000001</v>
      </c>
      <c r="I117" s="90">
        <v>1.91</v>
      </c>
      <c r="J117" s="90">
        <v>0.72799999999999998</v>
      </c>
      <c r="K117" s="90"/>
      <c r="L117" s="90">
        <v>3.9460000000000002</v>
      </c>
      <c r="M117" s="90">
        <v>1.591</v>
      </c>
      <c r="N117" s="90"/>
      <c r="O117" s="90">
        <v>6.2</v>
      </c>
      <c r="P117" s="90">
        <v>3.984</v>
      </c>
      <c r="Q117" s="90">
        <v>1.2</v>
      </c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R117" s="90">
        <f t="shared" si="49"/>
        <v>11.384</v>
      </c>
      <c r="AS117" s="90">
        <f>SUM($B117:M117)</f>
        <v>11.427999999999999</v>
      </c>
      <c r="AT117" s="89"/>
      <c r="CL117" s="90">
        <f t="shared" si="50"/>
        <v>0</v>
      </c>
      <c r="CM117" s="90">
        <f t="shared" si="51"/>
        <v>0</v>
      </c>
      <c r="CN117" s="89"/>
      <c r="DD117" s="90">
        <f t="shared" si="52"/>
        <v>0</v>
      </c>
      <c r="DE117" s="90">
        <f t="shared" si="53"/>
        <v>0</v>
      </c>
      <c r="DF117" s="89"/>
      <c r="DG117" s="88" t="s">
        <v>185</v>
      </c>
      <c r="DH117" s="90"/>
      <c r="DI117" s="90"/>
      <c r="DJ117" s="90"/>
      <c r="DK117" s="90"/>
      <c r="DL117" s="90">
        <v>6.72</v>
      </c>
      <c r="DM117" s="90"/>
      <c r="DN117" s="90"/>
      <c r="DO117" s="90">
        <v>5.944</v>
      </c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>
        <v>10.9</v>
      </c>
      <c r="EA117" s="90">
        <v>7.27</v>
      </c>
      <c r="EB117" s="90">
        <v>3.03</v>
      </c>
      <c r="EC117" s="90"/>
      <c r="ED117" s="90"/>
      <c r="EE117" s="90"/>
      <c r="EF117" s="90">
        <v>26.516999999999999</v>
      </c>
      <c r="EG117" s="90">
        <v>17.693000000000001</v>
      </c>
      <c r="EH117" s="90">
        <v>7.3760000000000003</v>
      </c>
      <c r="EI117" s="90">
        <v>16.690999999999999</v>
      </c>
      <c r="EJ117" s="90">
        <v>11.137</v>
      </c>
      <c r="EK117" s="90">
        <v>4.6429999999999998</v>
      </c>
      <c r="EL117" s="90">
        <v>0.308</v>
      </c>
      <c r="EM117" s="90">
        <v>0.20599999999999999</v>
      </c>
      <c r="EN117" s="90">
        <v>8.5999999999999993E-2</v>
      </c>
      <c r="EO117" s="90">
        <v>5.0359999999999996</v>
      </c>
      <c r="EP117" s="90">
        <v>3.3620000000000001</v>
      </c>
      <c r="EQ117" s="90">
        <v>1.4019999999999999</v>
      </c>
      <c r="ER117" s="90">
        <v>2.056</v>
      </c>
      <c r="ES117" s="90">
        <v>1.3720000000000001</v>
      </c>
      <c r="ET117" s="90">
        <v>0.57199999999999995</v>
      </c>
      <c r="EU117" s="90"/>
      <c r="EV117" s="90"/>
      <c r="EW117" s="90"/>
      <c r="EX117" s="90">
        <f t="shared" si="54"/>
        <v>119.65700000000001</v>
      </c>
      <c r="EY117" s="90">
        <f>ROUND(EX117*IFERROR(VLOOKUP($DG117,'3121% SY'!$A$2:$M$324,13,FALSE),0),3)</f>
        <v>33.216999999999999</v>
      </c>
      <c r="EZ117" s="90">
        <f t="shared" si="55"/>
        <v>12.664</v>
      </c>
      <c r="FA117" s="90">
        <f>ROUND(EZ117*IFERROR(VLOOKUP($DG117,'3121% SY'!$A$2:$M$324,13,FALSE),0),3)</f>
        <v>3.516</v>
      </c>
    </row>
    <row r="118" spans="1:157" x14ac:dyDescent="0.25">
      <c r="A118" s="88" t="s">
        <v>117</v>
      </c>
      <c r="B118" s="90"/>
      <c r="C118" s="90"/>
      <c r="D118" s="90"/>
      <c r="E118" s="90">
        <v>0.48899999999999999</v>
      </c>
      <c r="F118" s="90">
        <v>4.3940000000000001</v>
      </c>
      <c r="G118" s="90"/>
      <c r="H118" s="90"/>
      <c r="I118" s="90">
        <v>3.7679999999999998</v>
      </c>
      <c r="J118" s="90"/>
      <c r="K118" s="90"/>
      <c r="L118" s="90"/>
      <c r="M118" s="90"/>
      <c r="N118" s="90"/>
      <c r="O118" s="90">
        <v>4.5659999999999998</v>
      </c>
      <c r="P118" s="90">
        <v>4.8499999999999996</v>
      </c>
      <c r="Q118" s="90">
        <v>1.6839999999999999</v>
      </c>
      <c r="R118" s="90"/>
      <c r="S118" s="90"/>
      <c r="T118" s="90"/>
      <c r="U118" s="90">
        <v>0.53600000000000003</v>
      </c>
      <c r="V118" s="90">
        <v>0.31</v>
      </c>
      <c r="W118" s="90">
        <v>0.154</v>
      </c>
      <c r="X118" s="90"/>
      <c r="Y118" s="90"/>
      <c r="Z118" s="90"/>
      <c r="AA118" s="90"/>
      <c r="AB118" s="90"/>
      <c r="AC118" s="90"/>
      <c r="AD118" s="90">
        <v>0.48</v>
      </c>
      <c r="AE118" s="90">
        <v>0.96</v>
      </c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R118" s="90">
        <f t="shared" si="49"/>
        <v>13.54</v>
      </c>
      <c r="AS118" s="90">
        <f>SUM($B118:M118)</f>
        <v>8.6509999999999998</v>
      </c>
      <c r="AT118" s="89"/>
      <c r="CL118" s="90">
        <f t="shared" si="50"/>
        <v>0</v>
      </c>
      <c r="CM118" s="90">
        <f t="shared" si="51"/>
        <v>0</v>
      </c>
      <c r="CN118" s="89"/>
      <c r="DD118" s="90">
        <f t="shared" si="52"/>
        <v>0</v>
      </c>
      <c r="DE118" s="90">
        <f t="shared" si="53"/>
        <v>0</v>
      </c>
      <c r="DF118" s="89"/>
      <c r="DG118" s="88" t="s">
        <v>187</v>
      </c>
      <c r="DH118" s="90"/>
      <c r="DI118" s="90"/>
      <c r="DJ118" s="90"/>
      <c r="DK118" s="90"/>
      <c r="DL118" s="90"/>
      <c r="DM118" s="90"/>
      <c r="DN118" s="90"/>
      <c r="DO118" s="90">
        <v>2.3879999999999999</v>
      </c>
      <c r="DP118" s="90"/>
      <c r="DQ118" s="90"/>
      <c r="DR118" s="90"/>
      <c r="DS118" s="90"/>
      <c r="DT118" s="90"/>
      <c r="DU118" s="90"/>
      <c r="DV118" s="90"/>
      <c r="DW118" s="90"/>
      <c r="DX118" s="90"/>
      <c r="DY118" s="90"/>
      <c r="DZ118" s="90">
        <v>1.17</v>
      </c>
      <c r="EA118" s="90">
        <v>0.25</v>
      </c>
      <c r="EB118" s="90">
        <v>0.25</v>
      </c>
      <c r="EC118" s="90"/>
      <c r="ED118" s="90"/>
      <c r="EE118" s="90"/>
      <c r="EF118" s="90">
        <v>7.2</v>
      </c>
      <c r="EG118" s="90">
        <v>0.2</v>
      </c>
      <c r="EH118" s="90">
        <v>1.4</v>
      </c>
      <c r="EI118" s="90"/>
      <c r="EJ118" s="90"/>
      <c r="EK118" s="90"/>
      <c r="EL118" s="90"/>
      <c r="EM118" s="90"/>
      <c r="EN118" s="90"/>
      <c r="EO118" s="90">
        <v>0.64500000000000002</v>
      </c>
      <c r="EP118" s="90">
        <v>0.56999999999999995</v>
      </c>
      <c r="EQ118" s="90">
        <v>0.14299999999999999</v>
      </c>
      <c r="ER118" s="90"/>
      <c r="ES118" s="90"/>
      <c r="ET118" s="90"/>
      <c r="EU118" s="90"/>
      <c r="EV118" s="90"/>
      <c r="EW118" s="90"/>
      <c r="EX118" s="90">
        <f t="shared" si="54"/>
        <v>11.828000000000001</v>
      </c>
      <c r="EY118" s="90">
        <f>ROUND(EX118*IFERROR(VLOOKUP($DG118,'3121% SY'!$A$2:$M$324,13,FALSE),0),3)</f>
        <v>3.72</v>
      </c>
      <c r="EZ118" s="90">
        <f t="shared" si="55"/>
        <v>2.3879999999999999</v>
      </c>
      <c r="FA118" s="90">
        <f>ROUND(EZ118*IFERROR(VLOOKUP($DG118,'3121% SY'!$A$2:$M$324,13,FALSE),0),3)</f>
        <v>0.751</v>
      </c>
    </row>
    <row r="119" spans="1:157" x14ac:dyDescent="0.25">
      <c r="A119" s="88" t="s">
        <v>118</v>
      </c>
      <c r="B119" s="90"/>
      <c r="C119" s="90"/>
      <c r="D119" s="90"/>
      <c r="E119" s="90">
        <v>0.53300000000000003</v>
      </c>
      <c r="F119" s="90">
        <v>5.992</v>
      </c>
      <c r="G119" s="90"/>
      <c r="H119" s="90"/>
      <c r="I119" s="90">
        <v>0.40799999999999997</v>
      </c>
      <c r="J119" s="90"/>
      <c r="K119" s="90"/>
      <c r="L119" s="90">
        <v>3.6709999999999998</v>
      </c>
      <c r="M119" s="90"/>
      <c r="N119" s="90"/>
      <c r="O119" s="90">
        <v>7.22</v>
      </c>
      <c r="P119" s="90">
        <v>4.5</v>
      </c>
      <c r="Q119" s="90">
        <v>1.98</v>
      </c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R119" s="90">
        <f t="shared" si="49"/>
        <v>13.7</v>
      </c>
      <c r="AS119" s="90">
        <f>SUM($B119:M119)</f>
        <v>10.604000000000001</v>
      </c>
      <c r="AT119" s="89"/>
      <c r="CL119" s="90">
        <f t="shared" si="50"/>
        <v>0</v>
      </c>
      <c r="CM119" s="90">
        <f t="shared" si="51"/>
        <v>0</v>
      </c>
      <c r="CN119" s="89"/>
      <c r="DD119" s="90">
        <f t="shared" si="52"/>
        <v>0</v>
      </c>
      <c r="DE119" s="90">
        <f t="shared" si="53"/>
        <v>0</v>
      </c>
      <c r="DF119" s="89"/>
      <c r="DG119" s="88" t="s">
        <v>188</v>
      </c>
      <c r="DH119" s="90"/>
      <c r="DI119" s="90"/>
      <c r="DJ119" s="90"/>
      <c r="DK119" s="90"/>
      <c r="DL119" s="90"/>
      <c r="DM119" s="90"/>
      <c r="DN119" s="90">
        <v>0.85</v>
      </c>
      <c r="DO119" s="90">
        <v>0.52600000000000002</v>
      </c>
      <c r="DP119" s="90">
        <v>0.254</v>
      </c>
      <c r="DQ119" s="90"/>
      <c r="DR119" s="90"/>
      <c r="DS119" s="90"/>
      <c r="DT119" s="90">
        <v>0.52300000000000002</v>
      </c>
      <c r="DU119" s="90">
        <v>0.33200000000000002</v>
      </c>
      <c r="DV119" s="90">
        <v>0.14499999999999999</v>
      </c>
      <c r="DW119" s="90">
        <v>1.7430000000000001</v>
      </c>
      <c r="DX119" s="90"/>
      <c r="DY119" s="90">
        <v>0.45700000000000002</v>
      </c>
      <c r="DZ119" s="90">
        <v>5.9130000000000003</v>
      </c>
      <c r="EA119" s="90">
        <v>0.63200000000000001</v>
      </c>
      <c r="EB119" s="90">
        <v>0.45500000000000002</v>
      </c>
      <c r="EC119" s="90">
        <v>4.97</v>
      </c>
      <c r="ED119" s="90">
        <v>1.4</v>
      </c>
      <c r="EE119" s="90">
        <v>0.92900000000000005</v>
      </c>
      <c r="EF119" s="90">
        <v>12.727</v>
      </c>
      <c r="EG119" s="90">
        <v>2.762</v>
      </c>
      <c r="EH119" s="90">
        <v>1.4119999999999999</v>
      </c>
      <c r="EI119" s="90">
        <v>7.1980000000000004</v>
      </c>
      <c r="EJ119" s="90">
        <v>3.9990000000000001</v>
      </c>
      <c r="EK119" s="90">
        <v>1.8049999999999999</v>
      </c>
      <c r="EL119" s="90"/>
      <c r="EM119" s="90"/>
      <c r="EN119" s="90"/>
      <c r="EO119" s="90">
        <v>1.6839999999999999</v>
      </c>
      <c r="EP119" s="90">
        <v>0.23300000000000001</v>
      </c>
      <c r="EQ119" s="90">
        <v>8.3000000000000004E-2</v>
      </c>
      <c r="ER119" s="90">
        <v>1</v>
      </c>
      <c r="ES119" s="90"/>
      <c r="ET119" s="90"/>
      <c r="EU119" s="90"/>
      <c r="EV119" s="90"/>
      <c r="EW119" s="90"/>
      <c r="EX119" s="90">
        <f t="shared" si="54"/>
        <v>50.401999999999987</v>
      </c>
      <c r="EY119" s="90">
        <f>ROUND(EX119*IFERROR(VLOOKUP($DG119,'3121% SY'!$A$2:$M$324,13,FALSE),0),3)</f>
        <v>13.845000000000001</v>
      </c>
      <c r="EZ119" s="90">
        <f t="shared" si="55"/>
        <v>1.63</v>
      </c>
      <c r="FA119" s="90">
        <f>ROUND(EZ119*IFERROR(VLOOKUP($DG119,'3121% SY'!$A$2:$M$324,13,FALSE),0),3)</f>
        <v>0.44800000000000001</v>
      </c>
    </row>
    <row r="120" spans="1:157" x14ac:dyDescent="0.25">
      <c r="A120" s="88" t="s">
        <v>119</v>
      </c>
      <c r="B120" s="90"/>
      <c r="C120" s="90"/>
      <c r="D120" s="90"/>
      <c r="E120" s="90"/>
      <c r="F120" s="90">
        <v>15.273999999999999</v>
      </c>
      <c r="G120" s="90"/>
      <c r="H120" s="90"/>
      <c r="I120" s="90">
        <v>0.82299999999999995</v>
      </c>
      <c r="J120" s="90"/>
      <c r="K120" s="90"/>
      <c r="L120" s="90"/>
      <c r="M120" s="90"/>
      <c r="N120" s="90"/>
      <c r="O120" s="90">
        <v>12.627000000000001</v>
      </c>
      <c r="P120" s="90">
        <v>11.712999999999999</v>
      </c>
      <c r="Q120" s="90">
        <v>5.36</v>
      </c>
      <c r="R120" s="90"/>
      <c r="S120" s="90"/>
      <c r="T120" s="90"/>
      <c r="U120" s="90">
        <v>1</v>
      </c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>
        <v>0.90400000000000003</v>
      </c>
      <c r="AN120" s="90">
        <v>0.497</v>
      </c>
      <c r="AO120" s="90">
        <v>0.249</v>
      </c>
      <c r="AR120" s="90">
        <f t="shared" si="49"/>
        <v>32.35</v>
      </c>
      <c r="AS120" s="90">
        <f>SUM($B120:M120)</f>
        <v>16.096999999999998</v>
      </c>
      <c r="AT120" s="89"/>
      <c r="CL120" s="90">
        <f t="shared" si="50"/>
        <v>0</v>
      </c>
      <c r="CM120" s="90">
        <f t="shared" si="51"/>
        <v>0</v>
      </c>
      <c r="CN120" s="89"/>
      <c r="DD120" s="90">
        <f t="shared" si="52"/>
        <v>0</v>
      </c>
      <c r="DE120" s="90">
        <f t="shared" si="53"/>
        <v>0</v>
      </c>
      <c r="DF120" s="89"/>
      <c r="DG120" s="88" t="s">
        <v>189</v>
      </c>
      <c r="DH120" s="90"/>
      <c r="DI120" s="90"/>
      <c r="DJ120" s="90"/>
      <c r="DK120" s="90"/>
      <c r="DL120" s="90">
        <v>1.36</v>
      </c>
      <c r="DM120" s="90"/>
      <c r="DN120" s="90"/>
      <c r="DO120" s="90">
        <v>1.52</v>
      </c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>
        <v>0.66700000000000004</v>
      </c>
      <c r="EA120" s="90"/>
      <c r="EB120" s="90">
        <v>0.33300000000000002</v>
      </c>
      <c r="EC120" s="90"/>
      <c r="ED120" s="90"/>
      <c r="EE120" s="90"/>
      <c r="EF120" s="90">
        <v>1.3</v>
      </c>
      <c r="EG120" s="90"/>
      <c r="EH120" s="90"/>
      <c r="EI120" s="90">
        <v>1.667</v>
      </c>
      <c r="EJ120" s="90"/>
      <c r="EK120" s="90">
        <v>0.33300000000000002</v>
      </c>
      <c r="EL120" s="90"/>
      <c r="EM120" s="90"/>
      <c r="EN120" s="90"/>
      <c r="EO120" s="90"/>
      <c r="EP120" s="90"/>
      <c r="EQ120" s="90"/>
      <c r="ER120" s="90"/>
      <c r="ES120" s="90"/>
      <c r="ET120" s="90"/>
      <c r="EU120" s="90"/>
      <c r="EV120" s="90"/>
      <c r="EW120" s="90"/>
      <c r="EX120" s="90">
        <f t="shared" si="54"/>
        <v>4.3</v>
      </c>
      <c r="EY120" s="90">
        <f>ROUND(EX120*IFERROR(VLOOKUP($DG120,'3121% SY'!$A$2:$M$324,13,FALSE),0),3)</f>
        <v>1.3240000000000001</v>
      </c>
      <c r="EZ120" s="90">
        <f t="shared" si="55"/>
        <v>2.88</v>
      </c>
      <c r="FA120" s="90">
        <f>ROUND(EZ120*IFERROR(VLOOKUP($DG120,'3121% SY'!$A$2:$M$324,13,FALSE),0),3)</f>
        <v>0.88700000000000001</v>
      </c>
    </row>
    <row r="121" spans="1:157" x14ac:dyDescent="0.25">
      <c r="A121" s="88" t="s">
        <v>120</v>
      </c>
      <c r="B121" s="90"/>
      <c r="C121" s="90"/>
      <c r="D121" s="90"/>
      <c r="E121" s="90"/>
      <c r="F121" s="90">
        <v>14.869</v>
      </c>
      <c r="G121" s="90"/>
      <c r="H121" s="90">
        <v>3.4319999999999999</v>
      </c>
      <c r="I121" s="90">
        <v>2.8290000000000002</v>
      </c>
      <c r="J121" s="90"/>
      <c r="K121" s="90"/>
      <c r="L121" s="90">
        <v>6.0469999999999997</v>
      </c>
      <c r="M121" s="90"/>
      <c r="N121" s="90"/>
      <c r="O121" s="90">
        <v>12.706</v>
      </c>
      <c r="P121" s="90">
        <v>8</v>
      </c>
      <c r="Q121" s="90">
        <v>3.2959999999999998</v>
      </c>
      <c r="R121" s="90"/>
      <c r="S121" s="90"/>
      <c r="T121" s="90"/>
      <c r="U121" s="90">
        <v>1</v>
      </c>
      <c r="V121" s="90">
        <v>1</v>
      </c>
      <c r="W121" s="90">
        <v>1</v>
      </c>
      <c r="X121" s="90"/>
      <c r="Y121" s="90"/>
      <c r="Z121" s="90"/>
      <c r="AA121" s="90"/>
      <c r="AB121" s="90"/>
      <c r="AC121" s="90"/>
      <c r="AD121" s="90">
        <v>5.4320000000000004</v>
      </c>
      <c r="AE121" s="90">
        <v>1.3180000000000001</v>
      </c>
      <c r="AF121" s="90">
        <v>2.25</v>
      </c>
      <c r="AG121" s="90"/>
      <c r="AH121" s="90"/>
      <c r="AI121" s="90"/>
      <c r="AJ121" s="90"/>
      <c r="AK121" s="90"/>
      <c r="AL121" s="90"/>
      <c r="AM121" s="90"/>
      <c r="AN121" s="90"/>
      <c r="AO121" s="90"/>
      <c r="AR121" s="90">
        <f t="shared" si="49"/>
        <v>36.001999999999995</v>
      </c>
      <c r="AS121" s="90">
        <f>SUM($B121:M121)</f>
        <v>27.177</v>
      </c>
      <c r="AT121" s="89"/>
      <c r="CL121" s="90">
        <f t="shared" si="50"/>
        <v>0</v>
      </c>
      <c r="CM121" s="90">
        <f t="shared" si="51"/>
        <v>0</v>
      </c>
      <c r="CN121" s="89"/>
      <c r="DD121" s="90">
        <f t="shared" si="52"/>
        <v>0</v>
      </c>
      <c r="DE121" s="90">
        <f t="shared" si="53"/>
        <v>0</v>
      </c>
      <c r="DF121" s="89"/>
      <c r="DG121" s="88" t="s">
        <v>190</v>
      </c>
      <c r="DH121" s="90"/>
      <c r="DI121" s="90"/>
      <c r="DJ121" s="90"/>
      <c r="DK121" s="90"/>
      <c r="DL121" s="90"/>
      <c r="DM121" s="90"/>
      <c r="DN121" s="90"/>
      <c r="DO121" s="90">
        <v>2.2719999999999998</v>
      </c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  <c r="EC121" s="90"/>
      <c r="ED121" s="90"/>
      <c r="EE121" s="90"/>
      <c r="EF121" s="90">
        <v>1.75</v>
      </c>
      <c r="EG121" s="90">
        <v>0.24</v>
      </c>
      <c r="EH121" s="90">
        <v>0.02</v>
      </c>
      <c r="EI121" s="90"/>
      <c r="EJ121" s="90"/>
      <c r="EK121" s="90"/>
      <c r="EL121" s="90"/>
      <c r="EM121" s="90"/>
      <c r="EN121" s="90"/>
      <c r="EO121" s="90"/>
      <c r="EP121" s="90"/>
      <c r="EQ121" s="90"/>
      <c r="ER121" s="90"/>
      <c r="ES121" s="90"/>
      <c r="ET121" s="90"/>
      <c r="EU121" s="90"/>
      <c r="EV121" s="90"/>
      <c r="EW121" s="90"/>
      <c r="EX121" s="90">
        <f t="shared" si="54"/>
        <v>2.0099999999999998</v>
      </c>
      <c r="EY121" s="90">
        <f>ROUND(EX121*IFERROR(VLOOKUP($DG121,'3121% SY'!$A$2:$M$324,13,FALSE),0),3)</f>
        <v>0.52400000000000002</v>
      </c>
      <c r="EZ121" s="90">
        <f t="shared" si="55"/>
        <v>2.2719999999999998</v>
      </c>
      <c r="FA121" s="90">
        <f>ROUND(EZ121*IFERROR(VLOOKUP($DG121,'3121% SY'!$A$2:$M$324,13,FALSE),0),3)</f>
        <v>0.59199999999999997</v>
      </c>
    </row>
    <row r="122" spans="1:157" x14ac:dyDescent="0.25">
      <c r="A122" s="88" t="s">
        <v>652</v>
      </c>
      <c r="B122" s="90"/>
      <c r="C122" s="90"/>
      <c r="D122" s="90"/>
      <c r="E122" s="90"/>
      <c r="F122" s="90">
        <v>0.748</v>
      </c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>
        <v>0.45400000000000001</v>
      </c>
      <c r="AE122" s="90"/>
      <c r="AF122" s="90">
        <v>0.14000000000000001</v>
      </c>
      <c r="AG122" s="90"/>
      <c r="AH122" s="90"/>
      <c r="AI122" s="90"/>
      <c r="AJ122" s="90"/>
      <c r="AK122" s="90"/>
      <c r="AL122" s="90"/>
      <c r="AM122" s="90"/>
      <c r="AN122" s="90"/>
      <c r="AO122" s="90"/>
      <c r="AR122" s="90">
        <f t="shared" si="49"/>
        <v>0.59400000000000008</v>
      </c>
      <c r="AS122" s="90">
        <f>SUM($B122:M122)</f>
        <v>0.748</v>
      </c>
      <c r="AT122" s="89"/>
      <c r="CL122" s="90">
        <f t="shared" si="50"/>
        <v>0</v>
      </c>
      <c r="CM122" s="90">
        <f t="shared" si="51"/>
        <v>0</v>
      </c>
      <c r="CN122" s="89"/>
      <c r="DD122" s="90">
        <f t="shared" si="52"/>
        <v>0</v>
      </c>
      <c r="DE122" s="90">
        <f t="shared" si="53"/>
        <v>0</v>
      </c>
      <c r="DF122" s="89"/>
      <c r="DG122" s="88" t="s">
        <v>191</v>
      </c>
      <c r="DH122" s="90"/>
      <c r="DI122" s="90"/>
      <c r="DJ122" s="90"/>
      <c r="DK122" s="90"/>
      <c r="DL122" s="90"/>
      <c r="DM122" s="90"/>
      <c r="DN122" s="90"/>
      <c r="DO122" s="90">
        <v>11.523999999999999</v>
      </c>
      <c r="DP122" s="90"/>
      <c r="DQ122" s="90"/>
      <c r="DR122" s="90"/>
      <c r="DS122" s="90"/>
      <c r="DT122" s="90"/>
      <c r="DU122" s="90"/>
      <c r="DV122" s="90"/>
      <c r="DW122" s="90"/>
      <c r="DX122" s="90">
        <v>1</v>
      </c>
      <c r="DY122" s="90"/>
      <c r="DZ122" s="90"/>
      <c r="EA122" s="90">
        <v>9</v>
      </c>
      <c r="EB122" s="90"/>
      <c r="EC122" s="90"/>
      <c r="ED122" s="90">
        <v>1</v>
      </c>
      <c r="EE122" s="90"/>
      <c r="EF122" s="90"/>
      <c r="EG122" s="90">
        <v>8</v>
      </c>
      <c r="EH122" s="90"/>
      <c r="EI122" s="90"/>
      <c r="EJ122" s="90">
        <v>3</v>
      </c>
      <c r="EK122" s="90"/>
      <c r="EL122" s="90">
        <v>0.2</v>
      </c>
      <c r="EM122" s="90"/>
      <c r="EN122" s="90"/>
      <c r="EO122" s="90"/>
      <c r="EP122" s="90">
        <v>4.5</v>
      </c>
      <c r="EQ122" s="90"/>
      <c r="ER122" s="90"/>
      <c r="ES122" s="90"/>
      <c r="ET122" s="90"/>
      <c r="EU122" s="90"/>
      <c r="EV122" s="90"/>
      <c r="EW122" s="90"/>
      <c r="EX122" s="90">
        <f t="shared" si="54"/>
        <v>26.7</v>
      </c>
      <c r="EY122" s="90">
        <f>ROUND(EX122*IFERROR(VLOOKUP($DG122,'3121% SY'!$A$2:$M$324,13,FALSE),0),3)</f>
        <v>9.0779999999999994</v>
      </c>
      <c r="EZ122" s="90">
        <f t="shared" si="55"/>
        <v>11.523999999999999</v>
      </c>
      <c r="FA122" s="90">
        <f>ROUND(EZ122*IFERROR(VLOOKUP($DG122,'3121% SY'!$A$2:$M$324,13,FALSE),0),3)</f>
        <v>3.9180000000000001</v>
      </c>
    </row>
    <row r="123" spans="1:157" x14ac:dyDescent="0.25">
      <c r="A123" s="88" t="s">
        <v>121</v>
      </c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>
        <v>1</v>
      </c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R123" s="90">
        <f t="shared" si="49"/>
        <v>1</v>
      </c>
      <c r="AS123" s="90">
        <f>SUM($B123:M123)</f>
        <v>0</v>
      </c>
      <c r="AT123" s="89"/>
      <c r="CL123" s="90">
        <f t="shared" si="50"/>
        <v>0</v>
      </c>
      <c r="CM123" s="90">
        <f t="shared" si="51"/>
        <v>0</v>
      </c>
      <c r="CN123" s="89"/>
      <c r="DD123" s="90">
        <f t="shared" si="52"/>
        <v>0</v>
      </c>
      <c r="DE123" s="90">
        <f t="shared" si="53"/>
        <v>0</v>
      </c>
      <c r="DF123" s="89"/>
      <c r="DG123" s="88" t="s">
        <v>192</v>
      </c>
      <c r="DH123" s="90"/>
      <c r="DI123" s="90"/>
      <c r="DJ123" s="90"/>
      <c r="DK123" s="90"/>
      <c r="DL123" s="90"/>
      <c r="DM123" s="90"/>
      <c r="DN123" s="90"/>
      <c r="DO123" s="90">
        <v>2.4990000000000001</v>
      </c>
      <c r="DP123" s="90"/>
      <c r="DQ123" s="90"/>
      <c r="DR123" s="90"/>
      <c r="DS123" s="90"/>
      <c r="DT123" s="90"/>
      <c r="DU123" s="90"/>
      <c r="DV123" s="90"/>
      <c r="DW123" s="90"/>
      <c r="DX123" s="90"/>
      <c r="DY123" s="90"/>
      <c r="DZ123" s="90">
        <v>6.6520000000000001</v>
      </c>
      <c r="EA123" s="90">
        <v>0.93100000000000005</v>
      </c>
      <c r="EB123" s="90">
        <v>0.81599999999999995</v>
      </c>
      <c r="EC123" s="90">
        <v>0.44500000000000001</v>
      </c>
      <c r="ED123" s="90">
        <v>0.33300000000000002</v>
      </c>
      <c r="EE123" s="90">
        <v>0.222</v>
      </c>
      <c r="EF123" s="90">
        <v>14.04</v>
      </c>
      <c r="EG123" s="90">
        <v>1.208</v>
      </c>
      <c r="EH123" s="90">
        <v>0.82099999999999995</v>
      </c>
      <c r="EI123" s="90">
        <v>6.0620000000000003</v>
      </c>
      <c r="EJ123" s="90">
        <v>3.3079999999999998</v>
      </c>
      <c r="EK123" s="90">
        <v>1.8879999999999999</v>
      </c>
      <c r="EL123" s="90">
        <v>0.64500000000000002</v>
      </c>
      <c r="EM123" s="90">
        <v>0.14000000000000001</v>
      </c>
      <c r="EN123" s="90">
        <v>0.122</v>
      </c>
      <c r="EO123" s="90">
        <v>1.0760000000000001</v>
      </c>
      <c r="EP123" s="90">
        <v>0.61599999999999999</v>
      </c>
      <c r="EQ123" s="90">
        <v>0.308</v>
      </c>
      <c r="ER123" s="90"/>
      <c r="ES123" s="90"/>
      <c r="ET123" s="90"/>
      <c r="EU123" s="90"/>
      <c r="EV123" s="90"/>
      <c r="EW123" s="90"/>
      <c r="EX123" s="90">
        <f t="shared" si="54"/>
        <v>39.633000000000003</v>
      </c>
      <c r="EY123" s="90">
        <f>ROUND(EX123*IFERROR(VLOOKUP($DG123,'3121% SY'!$A$2:$M$324,13,FALSE),0),3)</f>
        <v>8.6989999999999998</v>
      </c>
      <c r="EZ123" s="90">
        <f t="shared" si="55"/>
        <v>2.4990000000000001</v>
      </c>
      <c r="FA123" s="90">
        <f>ROUND(EZ123*IFERROR(VLOOKUP($DG123,'3121% SY'!$A$2:$M$324,13,FALSE),0),3)</f>
        <v>0.54900000000000004</v>
      </c>
    </row>
    <row r="124" spans="1:157" x14ac:dyDescent="0.25">
      <c r="A124" s="88" t="s">
        <v>122</v>
      </c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>
        <v>6.9000000000000006E-2</v>
      </c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R124" s="90">
        <f t="shared" si="49"/>
        <v>6.9000000000000006E-2</v>
      </c>
      <c r="AS124" s="90">
        <f>SUM($B124:M124)</f>
        <v>0</v>
      </c>
      <c r="AT124" s="89"/>
      <c r="CL124" s="90">
        <f t="shared" si="50"/>
        <v>0</v>
      </c>
      <c r="CM124" s="90">
        <f t="shared" si="51"/>
        <v>0</v>
      </c>
      <c r="CN124" s="89"/>
      <c r="DD124" s="90">
        <f t="shared" si="52"/>
        <v>0</v>
      </c>
      <c r="DE124" s="90">
        <f t="shared" si="53"/>
        <v>0</v>
      </c>
      <c r="DF124" s="89"/>
      <c r="DG124" s="88" t="s">
        <v>193</v>
      </c>
      <c r="DH124" s="90"/>
      <c r="DI124" s="90"/>
      <c r="DJ124" s="90"/>
      <c r="DK124" s="90"/>
      <c r="DL124" s="90"/>
      <c r="DM124" s="90"/>
      <c r="DN124" s="90"/>
      <c r="DO124" s="90">
        <v>0.76900000000000002</v>
      </c>
      <c r="DP124" s="90"/>
      <c r="DQ124" s="90"/>
      <c r="DR124" s="90"/>
      <c r="DS124" s="90"/>
      <c r="DT124" s="90"/>
      <c r="DU124" s="90"/>
      <c r="DV124" s="90"/>
      <c r="DW124" s="90">
        <v>2.83</v>
      </c>
      <c r="DX124" s="90">
        <v>1.25</v>
      </c>
      <c r="DY124" s="90">
        <v>0.92</v>
      </c>
      <c r="DZ124" s="90">
        <v>4.2300000000000004</v>
      </c>
      <c r="EA124" s="90">
        <v>0.17699999999999999</v>
      </c>
      <c r="EB124" s="90">
        <v>6.3E-2</v>
      </c>
      <c r="EC124" s="90"/>
      <c r="ED124" s="90"/>
      <c r="EE124" s="90"/>
      <c r="EF124" s="90">
        <v>7.3490000000000002</v>
      </c>
      <c r="EG124" s="90">
        <v>1.5940000000000001</v>
      </c>
      <c r="EH124" s="90">
        <v>0.45700000000000002</v>
      </c>
      <c r="EI124" s="90">
        <v>6.4</v>
      </c>
      <c r="EJ124" s="90">
        <v>3</v>
      </c>
      <c r="EK124" s="90"/>
      <c r="EL124" s="90"/>
      <c r="EM124" s="90"/>
      <c r="EN124" s="90"/>
      <c r="EO124" s="90">
        <v>1.877</v>
      </c>
      <c r="EP124" s="90">
        <v>0.23499999999999999</v>
      </c>
      <c r="EQ124" s="90"/>
      <c r="ER124" s="90"/>
      <c r="ES124" s="90"/>
      <c r="ET124" s="90"/>
      <c r="EU124" s="90"/>
      <c r="EV124" s="90"/>
      <c r="EW124" s="90"/>
      <c r="EX124" s="90">
        <f t="shared" si="54"/>
        <v>30.382000000000001</v>
      </c>
      <c r="EY124" s="90">
        <f>ROUND(EX124*IFERROR(VLOOKUP($DG124,'3121% SY'!$A$2:$M$324,13,FALSE),0),3)</f>
        <v>9.4580000000000002</v>
      </c>
      <c r="EZ124" s="90">
        <f t="shared" si="55"/>
        <v>0.76900000000000002</v>
      </c>
      <c r="FA124" s="90">
        <f>ROUND(EZ124*IFERROR(VLOOKUP($DG124,'3121% SY'!$A$2:$M$324,13,FALSE),0),3)</f>
        <v>0.23899999999999999</v>
      </c>
    </row>
    <row r="125" spans="1:157" x14ac:dyDescent="0.25">
      <c r="A125" s="88" t="s">
        <v>123</v>
      </c>
      <c r="B125" s="90"/>
      <c r="C125" s="90"/>
      <c r="D125" s="90"/>
      <c r="E125" s="90"/>
      <c r="F125" s="90"/>
      <c r="G125" s="90"/>
      <c r="H125" s="90"/>
      <c r="I125" s="90">
        <v>1.7000000000000001E-2</v>
      </c>
      <c r="J125" s="90"/>
      <c r="K125" s="90"/>
      <c r="L125" s="90"/>
      <c r="M125" s="90"/>
      <c r="N125" s="90"/>
      <c r="O125" s="90">
        <v>0.46</v>
      </c>
      <c r="P125" s="90">
        <v>0.33</v>
      </c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R125" s="90">
        <f t="shared" si="49"/>
        <v>0.79</v>
      </c>
      <c r="AS125" s="90">
        <f>SUM($B125:M125)</f>
        <v>1.7000000000000001E-2</v>
      </c>
      <c r="AT125" s="89"/>
      <c r="CL125" s="90">
        <f t="shared" si="50"/>
        <v>0</v>
      </c>
      <c r="CM125" s="90">
        <f t="shared" si="51"/>
        <v>0</v>
      </c>
      <c r="CN125" s="89"/>
      <c r="DD125" s="90">
        <f t="shared" si="52"/>
        <v>0</v>
      </c>
      <c r="DE125" s="90">
        <f t="shared" si="53"/>
        <v>0</v>
      </c>
      <c r="DF125" s="89"/>
      <c r="DG125" s="88" t="s">
        <v>194</v>
      </c>
      <c r="DH125" s="90"/>
      <c r="DI125" s="90">
        <v>1</v>
      </c>
      <c r="DJ125" s="90"/>
      <c r="DK125" s="90"/>
      <c r="DL125" s="90">
        <v>18.294</v>
      </c>
      <c r="DM125" s="90"/>
      <c r="DN125" s="90"/>
      <c r="DO125" s="90">
        <v>11.35</v>
      </c>
      <c r="DP125" s="90"/>
      <c r="DQ125" s="90"/>
      <c r="DR125" s="90"/>
      <c r="DS125" s="90"/>
      <c r="DT125" s="90"/>
      <c r="DU125" s="90"/>
      <c r="DV125" s="90"/>
      <c r="DW125" s="90"/>
      <c r="DX125" s="90">
        <v>1</v>
      </c>
      <c r="DY125" s="90"/>
      <c r="DZ125" s="90">
        <v>7.3410000000000002</v>
      </c>
      <c r="EA125" s="90">
        <v>0.307</v>
      </c>
      <c r="EB125" s="90">
        <v>0.73099999999999998</v>
      </c>
      <c r="EC125" s="90"/>
      <c r="ED125" s="90"/>
      <c r="EE125" s="90"/>
      <c r="EF125" s="90">
        <v>7.6</v>
      </c>
      <c r="EG125" s="90"/>
      <c r="EH125" s="90"/>
      <c r="EI125" s="90">
        <v>5.66</v>
      </c>
      <c r="EJ125" s="90">
        <v>1</v>
      </c>
      <c r="EK125" s="90">
        <v>1.34</v>
      </c>
      <c r="EL125" s="90"/>
      <c r="EM125" s="90"/>
      <c r="EN125" s="90"/>
      <c r="EO125" s="90">
        <v>1.62</v>
      </c>
      <c r="EP125" s="90">
        <v>0.93</v>
      </c>
      <c r="EQ125" s="90">
        <v>0.45</v>
      </c>
      <c r="ER125" s="90"/>
      <c r="ES125" s="90"/>
      <c r="ET125" s="90"/>
      <c r="EU125" s="90">
        <v>23.225000000000001</v>
      </c>
      <c r="EV125" s="90">
        <v>1.9610000000000001</v>
      </c>
      <c r="EW125" s="90">
        <v>7.6139999999999999</v>
      </c>
      <c r="EX125" s="90">
        <f t="shared" si="54"/>
        <v>60.778999999999996</v>
      </c>
      <c r="EY125" s="90">
        <f>ROUND(EX125*IFERROR(VLOOKUP($DG125,'3121% SY'!$A$2:$M$324,13,FALSE),0),3)</f>
        <v>19.260999999999999</v>
      </c>
      <c r="EZ125" s="90">
        <f t="shared" si="55"/>
        <v>30.643999999999998</v>
      </c>
      <c r="FA125" s="90">
        <f>ROUND(EZ125*IFERROR(VLOOKUP($DG125,'3121% SY'!$A$2:$M$324,13,FALSE),0),3)</f>
        <v>9.7110000000000003</v>
      </c>
    </row>
    <row r="126" spans="1:157" x14ac:dyDescent="0.25">
      <c r="A126" s="88" t="s">
        <v>124</v>
      </c>
      <c r="B126" s="90"/>
      <c r="C126" s="90"/>
      <c r="D126" s="90"/>
      <c r="E126" s="90"/>
      <c r="F126" s="90"/>
      <c r="G126" s="90"/>
      <c r="H126" s="90"/>
      <c r="I126" s="90">
        <v>0.109</v>
      </c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R126" s="90">
        <f t="shared" si="49"/>
        <v>0</v>
      </c>
      <c r="AS126" s="90">
        <f>SUM($B126:M126)</f>
        <v>0.109</v>
      </c>
      <c r="AT126" s="89"/>
      <c r="CL126" s="90">
        <f t="shared" si="50"/>
        <v>0</v>
      </c>
      <c r="CM126" s="90">
        <f t="shared" si="51"/>
        <v>0</v>
      </c>
      <c r="CN126" s="89"/>
      <c r="DD126" s="90">
        <f t="shared" si="52"/>
        <v>0</v>
      </c>
      <c r="DE126" s="90">
        <f t="shared" si="53"/>
        <v>0</v>
      </c>
      <c r="DF126" s="89"/>
      <c r="DG126" s="88" t="s">
        <v>195</v>
      </c>
      <c r="DH126" s="90"/>
      <c r="DI126" s="90"/>
      <c r="DJ126" s="90"/>
      <c r="DK126" s="90"/>
      <c r="DL126" s="90">
        <v>1.0720000000000001</v>
      </c>
      <c r="DM126" s="90"/>
      <c r="DN126" s="90"/>
      <c r="DO126" s="90">
        <v>0.56599999999999995</v>
      </c>
      <c r="DP126" s="90"/>
      <c r="DQ126" s="90"/>
      <c r="DR126" s="90"/>
      <c r="DS126" s="90"/>
      <c r="DT126" s="90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>
        <v>1</v>
      </c>
      <c r="EG126" s="90"/>
      <c r="EH126" s="90"/>
      <c r="EI126" s="90">
        <v>0.25</v>
      </c>
      <c r="EJ126" s="90">
        <v>0.23</v>
      </c>
      <c r="EK126" s="90">
        <v>0.22</v>
      </c>
      <c r="EL126" s="90"/>
      <c r="EM126" s="90"/>
      <c r="EN126" s="90"/>
      <c r="EO126" s="90"/>
      <c r="EP126" s="90"/>
      <c r="EQ126" s="90"/>
      <c r="ER126" s="90"/>
      <c r="ES126" s="90"/>
      <c r="ET126" s="90"/>
      <c r="EU126" s="90">
        <v>0.5</v>
      </c>
      <c r="EV126" s="90"/>
      <c r="EW126" s="90"/>
      <c r="EX126" s="90">
        <f t="shared" si="54"/>
        <v>2.2000000000000002</v>
      </c>
      <c r="EY126" s="90">
        <f>ROUND(EX126*IFERROR(VLOOKUP($DG126,'3121% SY'!$A$2:$M$324,13,FALSE),0),3)</f>
        <v>0.59</v>
      </c>
      <c r="EZ126" s="90">
        <f t="shared" si="55"/>
        <v>1.6379999999999999</v>
      </c>
      <c r="FA126" s="90">
        <f>ROUND(EZ126*IFERROR(VLOOKUP($DG126,'3121% SY'!$A$2:$M$324,13,FALSE),0),3)</f>
        <v>0.439</v>
      </c>
    </row>
    <row r="127" spans="1:157" x14ac:dyDescent="0.25">
      <c r="A127" s="88" t="s">
        <v>125</v>
      </c>
      <c r="B127" s="90"/>
      <c r="C127" s="90"/>
      <c r="D127" s="90"/>
      <c r="E127" s="90"/>
      <c r="F127" s="90">
        <v>5.5490000000000004</v>
      </c>
      <c r="G127" s="90"/>
      <c r="H127" s="90">
        <v>0.59399999999999997</v>
      </c>
      <c r="I127" s="90">
        <v>3.79</v>
      </c>
      <c r="J127" s="90"/>
      <c r="K127" s="90"/>
      <c r="L127" s="90"/>
      <c r="M127" s="90"/>
      <c r="N127" s="90"/>
      <c r="O127" s="90">
        <v>4</v>
      </c>
      <c r="P127" s="90">
        <v>2</v>
      </c>
      <c r="Q127" s="90">
        <v>2</v>
      </c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R127" s="90">
        <f t="shared" si="49"/>
        <v>8</v>
      </c>
      <c r="AS127" s="90">
        <f>SUM($B127:M127)</f>
        <v>9.9329999999999998</v>
      </c>
      <c r="AT127" s="89"/>
      <c r="CL127" s="90">
        <f t="shared" si="50"/>
        <v>0</v>
      </c>
      <c r="CM127" s="90">
        <f t="shared" si="51"/>
        <v>0</v>
      </c>
      <c r="CN127" s="89"/>
      <c r="DD127" s="90">
        <f t="shared" si="52"/>
        <v>0</v>
      </c>
      <c r="DE127" s="90">
        <f t="shared" si="53"/>
        <v>0</v>
      </c>
      <c r="DF127" s="89"/>
      <c r="DG127" s="88" t="s">
        <v>196</v>
      </c>
      <c r="DH127" s="90"/>
      <c r="DI127" s="90"/>
      <c r="DJ127" s="90"/>
      <c r="DK127" s="90"/>
      <c r="DL127" s="90">
        <v>3.0870000000000002</v>
      </c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0"/>
      <c r="DY127" s="90"/>
      <c r="DZ127" s="90">
        <v>1</v>
      </c>
      <c r="EA127" s="90"/>
      <c r="EB127" s="90"/>
      <c r="EC127" s="90">
        <v>0.63</v>
      </c>
      <c r="ED127" s="90"/>
      <c r="EE127" s="90"/>
      <c r="EF127" s="90">
        <v>5.4630000000000001</v>
      </c>
      <c r="EG127" s="90">
        <v>0.313</v>
      </c>
      <c r="EH127" s="90">
        <v>0.49399999999999999</v>
      </c>
      <c r="EI127" s="90">
        <v>4.3</v>
      </c>
      <c r="EJ127" s="90">
        <v>1</v>
      </c>
      <c r="EK127" s="90">
        <v>1</v>
      </c>
      <c r="EL127" s="90"/>
      <c r="EM127" s="90"/>
      <c r="EN127" s="90"/>
      <c r="EO127" s="90"/>
      <c r="EP127" s="90"/>
      <c r="EQ127" s="90"/>
      <c r="ER127" s="90"/>
      <c r="ES127" s="90"/>
      <c r="ET127" s="90"/>
      <c r="EU127" s="90"/>
      <c r="EV127" s="90"/>
      <c r="EW127" s="90"/>
      <c r="EX127" s="90">
        <f t="shared" si="54"/>
        <v>14.2</v>
      </c>
      <c r="EY127" s="90">
        <f>ROUND(EX127*IFERROR(VLOOKUP($DG127,'3121% SY'!$A$2:$M$324,13,FALSE),0),3)</f>
        <v>3.5270000000000001</v>
      </c>
      <c r="EZ127" s="90">
        <f t="shared" si="55"/>
        <v>3.0870000000000002</v>
      </c>
      <c r="FA127" s="90">
        <f>ROUND(EZ127*IFERROR(VLOOKUP($DG127,'3121% SY'!$A$2:$M$324,13,FALSE),0),3)</f>
        <v>0.76700000000000002</v>
      </c>
    </row>
    <row r="128" spans="1:157" x14ac:dyDescent="0.25">
      <c r="A128" s="88" t="s">
        <v>126</v>
      </c>
      <c r="B128" s="90"/>
      <c r="C128" s="90"/>
      <c r="D128" s="90"/>
      <c r="E128" s="90">
        <v>0.12</v>
      </c>
      <c r="F128" s="90">
        <v>0.58399999999999996</v>
      </c>
      <c r="G128" s="90"/>
      <c r="H128" s="90"/>
      <c r="I128" s="90"/>
      <c r="J128" s="90"/>
      <c r="K128" s="90"/>
      <c r="L128" s="90"/>
      <c r="M128" s="90"/>
      <c r="N128" s="90"/>
      <c r="O128" s="90">
        <v>0.57999999999999996</v>
      </c>
      <c r="P128" s="90">
        <v>1</v>
      </c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R128" s="90">
        <f t="shared" si="49"/>
        <v>1.58</v>
      </c>
      <c r="AS128" s="90">
        <f>SUM($B128:M128)</f>
        <v>0.70399999999999996</v>
      </c>
      <c r="AT128" s="89"/>
      <c r="CL128" s="90">
        <f t="shared" si="50"/>
        <v>0</v>
      </c>
      <c r="CM128" s="90">
        <f t="shared" si="51"/>
        <v>0</v>
      </c>
      <c r="CN128" s="89"/>
      <c r="DD128" s="90">
        <f t="shared" si="52"/>
        <v>0</v>
      </c>
      <c r="DE128" s="90">
        <f t="shared" si="53"/>
        <v>0</v>
      </c>
      <c r="DF128" s="89"/>
      <c r="DG128" s="88" t="s">
        <v>197</v>
      </c>
      <c r="DH128" s="90"/>
      <c r="DI128" s="90"/>
      <c r="DJ128" s="90"/>
      <c r="DK128" s="90"/>
      <c r="DL128" s="90">
        <v>2.589</v>
      </c>
      <c r="DM128" s="90"/>
      <c r="DN128" s="90"/>
      <c r="DO128" s="90">
        <v>0.68500000000000005</v>
      </c>
      <c r="DP128" s="90"/>
      <c r="DQ128" s="90"/>
      <c r="DR128" s="90"/>
      <c r="DS128" s="90"/>
      <c r="DT128" s="90"/>
      <c r="DU128" s="90"/>
      <c r="DV128" s="90"/>
      <c r="DW128" s="90"/>
      <c r="DX128" s="90"/>
      <c r="DY128" s="90"/>
      <c r="DZ128" s="90">
        <v>0.54</v>
      </c>
      <c r="EA128" s="90">
        <v>0.31</v>
      </c>
      <c r="EB128" s="90">
        <v>0.15</v>
      </c>
      <c r="EC128" s="90"/>
      <c r="ED128" s="90"/>
      <c r="EE128" s="90"/>
      <c r="EF128" s="90">
        <v>3.7469999999999999</v>
      </c>
      <c r="EG128" s="90">
        <v>0.5</v>
      </c>
      <c r="EH128" s="90">
        <v>1.0469999999999999</v>
      </c>
      <c r="EI128" s="90">
        <v>1.75</v>
      </c>
      <c r="EJ128" s="90">
        <v>0.5</v>
      </c>
      <c r="EK128" s="90">
        <v>1.766</v>
      </c>
      <c r="EL128" s="90"/>
      <c r="EM128" s="90"/>
      <c r="EN128" s="90"/>
      <c r="EO128" s="90">
        <v>0.27</v>
      </c>
      <c r="EP128" s="90">
        <v>0.155</v>
      </c>
      <c r="EQ128" s="90">
        <v>7.4999999999999997E-2</v>
      </c>
      <c r="ER128" s="90"/>
      <c r="ES128" s="90"/>
      <c r="ET128" s="90"/>
      <c r="EU128" s="90"/>
      <c r="EV128" s="90"/>
      <c r="EW128" s="90"/>
      <c r="EX128" s="90">
        <f t="shared" si="54"/>
        <v>10.809999999999999</v>
      </c>
      <c r="EY128" s="90">
        <f>ROUND(EX128*IFERROR(VLOOKUP($DG128,'3121% SY'!$A$2:$M$324,13,FALSE),0),3)</f>
        <v>3.3660000000000001</v>
      </c>
      <c r="EZ128" s="90">
        <f t="shared" si="55"/>
        <v>3.274</v>
      </c>
      <c r="FA128" s="90">
        <f>ROUND(EZ128*IFERROR(VLOOKUP($DG128,'3121% SY'!$A$2:$M$324,13,FALSE),0),3)</f>
        <v>1.02</v>
      </c>
    </row>
    <row r="129" spans="1:157" x14ac:dyDescent="0.25">
      <c r="A129" s="88" t="s">
        <v>127</v>
      </c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>
        <v>1</v>
      </c>
      <c r="P129" s="90"/>
      <c r="Q129" s="90">
        <v>1</v>
      </c>
      <c r="R129" s="90"/>
      <c r="S129" s="90"/>
      <c r="T129" s="90"/>
      <c r="U129" s="90"/>
      <c r="V129" s="90">
        <v>0.95</v>
      </c>
      <c r="W129" s="90"/>
      <c r="X129" s="90"/>
      <c r="Y129" s="90"/>
      <c r="Z129" s="90"/>
      <c r="AA129" s="90">
        <v>0.104</v>
      </c>
      <c r="AB129" s="90">
        <v>5.1999999999999998E-2</v>
      </c>
      <c r="AC129" s="90">
        <v>5.1999999999999998E-2</v>
      </c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R129" s="90">
        <f t="shared" si="49"/>
        <v>3.1580000000000004</v>
      </c>
      <c r="AS129" s="90">
        <f>SUM($B129:M129)</f>
        <v>0</v>
      </c>
      <c r="AT129" s="89"/>
      <c r="CL129" s="90">
        <f t="shared" si="50"/>
        <v>0</v>
      </c>
      <c r="CM129" s="90">
        <f t="shared" si="51"/>
        <v>0</v>
      </c>
      <c r="CN129" s="89"/>
      <c r="DD129" s="90">
        <f t="shared" si="52"/>
        <v>0</v>
      </c>
      <c r="DE129" s="90">
        <f t="shared" si="53"/>
        <v>0</v>
      </c>
      <c r="DF129" s="89"/>
      <c r="DG129" s="88" t="s">
        <v>632</v>
      </c>
      <c r="DH129" s="90"/>
      <c r="DI129" s="90"/>
      <c r="DJ129" s="90"/>
      <c r="DK129" s="90"/>
      <c r="DL129" s="90"/>
      <c r="DM129" s="90"/>
      <c r="DN129" s="90"/>
      <c r="DO129" s="90">
        <v>1.462</v>
      </c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>
        <v>0.4</v>
      </c>
      <c r="EG129" s="90">
        <v>0.2</v>
      </c>
      <c r="EH129" s="90">
        <v>0.2</v>
      </c>
      <c r="EI129" s="90"/>
      <c r="EJ129" s="90"/>
      <c r="EK129" s="90"/>
      <c r="EL129" s="90"/>
      <c r="EM129" s="90"/>
      <c r="EN129" s="90"/>
      <c r="EO129" s="90"/>
      <c r="EP129" s="90"/>
      <c r="EQ129" s="90"/>
      <c r="ER129" s="90"/>
      <c r="ES129" s="90"/>
      <c r="ET129" s="90"/>
      <c r="EU129" s="90"/>
      <c r="EV129" s="90"/>
      <c r="EW129" s="90"/>
      <c r="EX129" s="90">
        <f t="shared" si="54"/>
        <v>0.8</v>
      </c>
      <c r="EY129" s="90">
        <f>ROUND(EX129*IFERROR(VLOOKUP($DG129,'3121% SY'!$A$2:$M$324,13,FALSE),0),3)</f>
        <v>0.11899999999999999</v>
      </c>
      <c r="EZ129" s="90">
        <f t="shared" si="55"/>
        <v>1.462</v>
      </c>
      <c r="FA129" s="90">
        <f>ROUND(EZ129*IFERROR(VLOOKUP($DG129,'3121% SY'!$A$2:$M$324,13,FALSE),0),3)</f>
        <v>0.217</v>
      </c>
    </row>
    <row r="130" spans="1:157" x14ac:dyDescent="0.25">
      <c r="A130" s="88" t="s">
        <v>128</v>
      </c>
      <c r="B130" s="90"/>
      <c r="C130" s="90"/>
      <c r="D130" s="90"/>
      <c r="E130" s="90">
        <v>1.7969999999999999</v>
      </c>
      <c r="F130" s="90"/>
      <c r="G130" s="90"/>
      <c r="H130" s="90"/>
      <c r="I130" s="90"/>
      <c r="J130" s="90"/>
      <c r="K130" s="90"/>
      <c r="L130" s="90"/>
      <c r="M130" s="90"/>
      <c r="N130" s="90"/>
      <c r="O130" s="90">
        <v>0.312</v>
      </c>
      <c r="P130" s="90">
        <v>0.156</v>
      </c>
      <c r="Q130" s="90">
        <v>0.156</v>
      </c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R130" s="90">
        <f t="shared" si="49"/>
        <v>0.624</v>
      </c>
      <c r="AS130" s="90">
        <f>SUM($B130:M130)</f>
        <v>1.7969999999999999</v>
      </c>
      <c r="AT130" s="89"/>
      <c r="CL130" s="90">
        <f t="shared" si="50"/>
        <v>0</v>
      </c>
      <c r="CM130" s="90">
        <f t="shared" si="51"/>
        <v>0</v>
      </c>
      <c r="CN130" s="89"/>
      <c r="DD130" s="90">
        <f t="shared" si="52"/>
        <v>0</v>
      </c>
      <c r="DE130" s="90">
        <f t="shared" si="53"/>
        <v>0</v>
      </c>
      <c r="DF130" s="89"/>
      <c r="DG130" s="88" t="s">
        <v>666</v>
      </c>
      <c r="DH130" s="90"/>
      <c r="DI130" s="90"/>
      <c r="DJ130" s="90"/>
      <c r="DK130" s="90"/>
      <c r="DL130" s="90"/>
      <c r="DM130" s="90"/>
      <c r="DN130" s="90"/>
      <c r="DO130" s="90"/>
      <c r="DP130" s="90"/>
      <c r="DQ130" s="90"/>
      <c r="DR130" s="90"/>
      <c r="DS130" s="90"/>
      <c r="DT130" s="90"/>
      <c r="DU130" s="90"/>
      <c r="DV130" s="90"/>
      <c r="DW130" s="90"/>
      <c r="DX130" s="90"/>
      <c r="DY130" s="90"/>
      <c r="DZ130" s="90"/>
      <c r="EA130" s="90"/>
      <c r="EB130" s="90"/>
      <c r="EC130" s="90"/>
      <c r="ED130" s="90"/>
      <c r="EE130" s="90"/>
      <c r="EF130" s="90"/>
      <c r="EG130" s="90"/>
      <c r="EH130" s="90"/>
      <c r="EI130" s="90"/>
      <c r="EJ130" s="90"/>
      <c r="EK130" s="90"/>
      <c r="EL130" s="90"/>
      <c r="EM130" s="90"/>
      <c r="EN130" s="90"/>
      <c r="EO130" s="90"/>
      <c r="EP130" s="90"/>
      <c r="EQ130" s="90"/>
      <c r="ER130" s="90"/>
      <c r="ES130" s="90"/>
      <c r="ET130" s="90"/>
      <c r="EU130" s="90">
        <v>2.6</v>
      </c>
      <c r="EV130" s="90"/>
      <c r="EW130" s="90"/>
      <c r="EX130" s="90">
        <f t="shared" si="54"/>
        <v>2.6</v>
      </c>
      <c r="EY130" s="90">
        <f>ROUND(EX130*IFERROR(VLOOKUP($DG130,'3121% SY'!$A$2:$M$324,13,FALSE),0),3)</f>
        <v>0.39</v>
      </c>
      <c r="EZ130" s="90">
        <f t="shared" si="55"/>
        <v>0</v>
      </c>
      <c r="FA130" s="90">
        <f>ROUND(EZ130*IFERROR(VLOOKUP($DG130,'3121% SY'!$A$2:$M$324,13,FALSE),0),3)</f>
        <v>0</v>
      </c>
    </row>
    <row r="131" spans="1:157" x14ac:dyDescent="0.25">
      <c r="A131" s="88" t="s">
        <v>130</v>
      </c>
      <c r="B131" s="90"/>
      <c r="C131" s="90"/>
      <c r="D131" s="90"/>
      <c r="E131" s="90"/>
      <c r="F131" s="90"/>
      <c r="G131" s="90"/>
      <c r="H131" s="90"/>
      <c r="I131" s="90">
        <v>0.56000000000000005</v>
      </c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R131" s="90">
        <f t="shared" si="49"/>
        <v>0</v>
      </c>
      <c r="AS131" s="90">
        <f>SUM($B131:M131)</f>
        <v>0.56000000000000005</v>
      </c>
      <c r="AT131" s="89"/>
      <c r="CL131" s="90">
        <f t="shared" si="50"/>
        <v>0</v>
      </c>
      <c r="CM131" s="90">
        <f t="shared" si="51"/>
        <v>0</v>
      </c>
      <c r="CN131" s="89"/>
      <c r="DD131" s="90">
        <f t="shared" si="52"/>
        <v>0</v>
      </c>
      <c r="DE131" s="90">
        <f t="shared" si="53"/>
        <v>0</v>
      </c>
      <c r="DF131" s="89"/>
      <c r="DG131" s="88" t="s">
        <v>199</v>
      </c>
      <c r="DH131" s="90"/>
      <c r="DI131" s="90"/>
      <c r="DJ131" s="90"/>
      <c r="DK131" s="90"/>
      <c r="DL131" s="90"/>
      <c r="DM131" s="90"/>
      <c r="DN131" s="90"/>
      <c r="DO131" s="90">
        <v>0.19800000000000001</v>
      </c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>
        <v>1</v>
      </c>
      <c r="EA131" s="90"/>
      <c r="EB131" s="90"/>
      <c r="EC131" s="90"/>
      <c r="ED131" s="90"/>
      <c r="EE131" s="90"/>
      <c r="EF131" s="90"/>
      <c r="EG131" s="90"/>
      <c r="EH131" s="90"/>
      <c r="EI131" s="90"/>
      <c r="EJ131" s="90"/>
      <c r="EK131" s="90"/>
      <c r="EL131" s="90"/>
      <c r="EM131" s="90"/>
      <c r="EN131" s="90"/>
      <c r="EO131" s="90"/>
      <c r="EP131" s="90"/>
      <c r="EQ131" s="90"/>
      <c r="ER131" s="90"/>
      <c r="ES131" s="90"/>
      <c r="ET131" s="90"/>
      <c r="EU131" s="90"/>
      <c r="EV131" s="90"/>
      <c r="EW131" s="90"/>
      <c r="EX131" s="90">
        <f t="shared" si="54"/>
        <v>1</v>
      </c>
      <c r="EY131" s="90">
        <f>ROUND(EX131*IFERROR(VLOOKUP($DG131,'3121% SY'!$A$2:$M$324,13,FALSE),0),3)</f>
        <v>0.123</v>
      </c>
      <c r="EZ131" s="90">
        <f t="shared" si="55"/>
        <v>0.19800000000000001</v>
      </c>
      <c r="FA131" s="90">
        <f>ROUND(EZ131*IFERROR(VLOOKUP($DG131,'3121% SY'!$A$2:$M$324,13,FALSE),0),3)</f>
        <v>2.4E-2</v>
      </c>
    </row>
    <row r="132" spans="1:157" x14ac:dyDescent="0.25">
      <c r="A132" s="88" t="s">
        <v>131</v>
      </c>
      <c r="B132" s="90"/>
      <c r="C132" s="90"/>
      <c r="D132" s="90"/>
      <c r="E132" s="90">
        <v>0.26500000000000001</v>
      </c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>
        <v>0.5</v>
      </c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R132" s="90">
        <f t="shared" si="49"/>
        <v>0.5</v>
      </c>
      <c r="AS132" s="90">
        <f>SUM($B132:M132)</f>
        <v>0.26500000000000001</v>
      </c>
      <c r="AT132" s="89"/>
      <c r="CL132" s="90">
        <f t="shared" si="50"/>
        <v>0</v>
      </c>
      <c r="CM132" s="90">
        <f t="shared" si="51"/>
        <v>0</v>
      </c>
      <c r="CN132" s="89"/>
      <c r="DD132" s="90">
        <f t="shared" si="52"/>
        <v>0</v>
      </c>
      <c r="DE132" s="90">
        <f t="shared" si="53"/>
        <v>0</v>
      </c>
      <c r="DF132" s="89"/>
      <c r="DG132" s="88" t="s">
        <v>200</v>
      </c>
      <c r="DH132" s="90"/>
      <c r="DI132" s="90"/>
      <c r="DJ132" s="90"/>
      <c r="DK132" s="90"/>
      <c r="DL132" s="90"/>
      <c r="DM132" s="90"/>
      <c r="DN132" s="90"/>
      <c r="DO132" s="90"/>
      <c r="DP132" s="90"/>
      <c r="DQ132" s="90"/>
      <c r="DR132" s="90"/>
      <c r="DS132" s="90"/>
      <c r="DT132" s="90"/>
      <c r="DU132" s="90"/>
      <c r="DV132" s="90"/>
      <c r="DW132" s="90"/>
      <c r="DX132" s="90"/>
      <c r="DY132" s="90"/>
      <c r="DZ132" s="90"/>
      <c r="EA132" s="90"/>
      <c r="EB132" s="90"/>
      <c r="EC132" s="90"/>
      <c r="ED132" s="90"/>
      <c r="EE132" s="90"/>
      <c r="EF132" s="90">
        <v>0.3</v>
      </c>
      <c r="EG132" s="90">
        <v>0.18</v>
      </c>
      <c r="EH132" s="90">
        <v>0.12</v>
      </c>
      <c r="EI132" s="90"/>
      <c r="EJ132" s="90"/>
      <c r="EK132" s="90"/>
      <c r="EL132" s="90"/>
      <c r="EM132" s="90"/>
      <c r="EN132" s="90"/>
      <c r="EO132" s="90"/>
      <c r="EP132" s="90"/>
      <c r="EQ132" s="90"/>
      <c r="ER132" s="90"/>
      <c r="ES132" s="90"/>
      <c r="ET132" s="90"/>
      <c r="EU132" s="90"/>
      <c r="EV132" s="90"/>
      <c r="EW132" s="90"/>
      <c r="EX132" s="90">
        <f t="shared" si="54"/>
        <v>0.6</v>
      </c>
      <c r="EY132" s="90">
        <f>ROUND(EX132*IFERROR(VLOOKUP($DG132,'3121% SY'!$A$2:$M$324,13,FALSE),0),3)</f>
        <v>0.11</v>
      </c>
      <c r="EZ132" s="90">
        <f t="shared" si="55"/>
        <v>0</v>
      </c>
      <c r="FA132" s="90">
        <f>ROUND(EZ132*IFERROR(VLOOKUP($DG132,'3121% SY'!$A$2:$M$324,13,FALSE),0),3)</f>
        <v>0</v>
      </c>
    </row>
    <row r="133" spans="1:157" x14ac:dyDescent="0.25">
      <c r="A133" s="88" t="s">
        <v>132</v>
      </c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>
        <v>0.46899999999999997</v>
      </c>
      <c r="P133" s="90">
        <v>0.14000000000000001</v>
      </c>
      <c r="Q133" s="90">
        <v>0.11</v>
      </c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R133" s="90">
        <f t="shared" si="49"/>
        <v>0.71899999999999997</v>
      </c>
      <c r="AS133" s="90">
        <f>SUM($B133:M133)</f>
        <v>0</v>
      </c>
      <c r="AT133" s="89"/>
      <c r="CL133" s="90">
        <f t="shared" si="50"/>
        <v>0</v>
      </c>
      <c r="CM133" s="90">
        <f t="shared" si="51"/>
        <v>0</v>
      </c>
      <c r="CN133" s="89"/>
      <c r="DD133" s="90">
        <f t="shared" si="52"/>
        <v>0</v>
      </c>
      <c r="DE133" s="90">
        <f t="shared" si="53"/>
        <v>0</v>
      </c>
      <c r="DF133" s="89"/>
      <c r="DG133" s="88" t="s">
        <v>201</v>
      </c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90"/>
      <c r="DZ133" s="90">
        <v>0.5</v>
      </c>
      <c r="EA133" s="90">
        <v>0.5</v>
      </c>
      <c r="EB133" s="90"/>
      <c r="EC133" s="90"/>
      <c r="ED133" s="90"/>
      <c r="EE133" s="90"/>
      <c r="EF133" s="90">
        <v>1</v>
      </c>
      <c r="EG133" s="90"/>
      <c r="EH133" s="90"/>
      <c r="EI133" s="90"/>
      <c r="EJ133" s="90"/>
      <c r="EK133" s="90"/>
      <c r="EL133" s="90"/>
      <c r="EM133" s="90"/>
      <c r="EN133" s="90"/>
      <c r="EO133" s="90"/>
      <c r="EP133" s="90"/>
      <c r="EQ133" s="90"/>
      <c r="ER133" s="90"/>
      <c r="ES133" s="90"/>
      <c r="ET133" s="90"/>
      <c r="EU133" s="90"/>
      <c r="EV133" s="90"/>
      <c r="EW133" s="90"/>
      <c r="EX133" s="90">
        <f t="shared" si="54"/>
        <v>2</v>
      </c>
      <c r="EY133" s="90">
        <f>ROUND(EX133*IFERROR(VLOOKUP($DG133,'3121% SY'!$A$2:$M$324,13,FALSE),0),3)</f>
        <v>0.311</v>
      </c>
      <c r="EZ133" s="90">
        <f t="shared" si="55"/>
        <v>0</v>
      </c>
      <c r="FA133" s="90">
        <f>ROUND(EZ133*IFERROR(VLOOKUP($DG133,'3121% SY'!$A$2:$M$324,13,FALSE),0),3)</f>
        <v>0</v>
      </c>
    </row>
    <row r="134" spans="1:157" x14ac:dyDescent="0.25">
      <c r="A134" s="88" t="s">
        <v>133</v>
      </c>
      <c r="B134" s="90"/>
      <c r="C134" s="90"/>
      <c r="D134" s="90"/>
      <c r="E134" s="90">
        <v>0.183</v>
      </c>
      <c r="F134" s="90"/>
      <c r="G134" s="90"/>
      <c r="H134" s="90"/>
      <c r="I134" s="90"/>
      <c r="J134" s="90"/>
      <c r="K134" s="90"/>
      <c r="L134" s="90"/>
      <c r="M134" s="90"/>
      <c r="N134" s="90"/>
      <c r="O134" s="90">
        <v>0.25700000000000001</v>
      </c>
      <c r="P134" s="90">
        <v>0.14899999999999999</v>
      </c>
      <c r="Q134" s="90">
        <v>9.5000000000000001E-2</v>
      </c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R134" s="90">
        <f t="shared" si="49"/>
        <v>0.501</v>
      </c>
      <c r="AS134" s="90">
        <f>SUM($B134:M134)</f>
        <v>0.183</v>
      </c>
      <c r="AT134" s="89"/>
      <c r="CL134" s="90">
        <f t="shared" si="50"/>
        <v>0</v>
      </c>
      <c r="CM134" s="90">
        <f t="shared" si="51"/>
        <v>0</v>
      </c>
      <c r="CN134" s="89"/>
      <c r="DD134" s="90">
        <f t="shared" si="52"/>
        <v>0</v>
      </c>
      <c r="DE134" s="90">
        <f t="shared" si="53"/>
        <v>0</v>
      </c>
      <c r="DF134" s="89"/>
      <c r="DG134" s="88" t="s">
        <v>202</v>
      </c>
      <c r="DH134" s="90"/>
      <c r="DI134" s="90"/>
      <c r="DJ134" s="90"/>
      <c r="DK134" s="90"/>
      <c r="DL134" s="90"/>
      <c r="DM134" s="90"/>
      <c r="DN134" s="90"/>
      <c r="DO134" s="90"/>
      <c r="DP134" s="90"/>
      <c r="DQ134" s="90"/>
      <c r="DR134" s="90"/>
      <c r="DS134" s="90"/>
      <c r="DT134" s="90"/>
      <c r="DU134" s="90"/>
      <c r="DV134" s="90"/>
      <c r="DW134" s="90"/>
      <c r="DX134" s="90"/>
      <c r="DY134" s="90"/>
      <c r="DZ134" s="90"/>
      <c r="EA134" s="90"/>
      <c r="EB134" s="90"/>
      <c r="EC134" s="90"/>
      <c r="ED134" s="90"/>
      <c r="EE134" s="90"/>
      <c r="EF134" s="90"/>
      <c r="EG134" s="90"/>
      <c r="EH134" s="90"/>
      <c r="EI134" s="90"/>
      <c r="EJ134" s="90"/>
      <c r="EK134" s="90"/>
      <c r="EL134" s="90"/>
      <c r="EM134" s="90"/>
      <c r="EN134" s="90"/>
      <c r="EO134" s="90"/>
      <c r="EP134" s="90"/>
      <c r="EQ134" s="90"/>
      <c r="ER134" s="90">
        <v>0.25</v>
      </c>
      <c r="ES134" s="90">
        <v>0.15</v>
      </c>
      <c r="ET134" s="90"/>
      <c r="EU134" s="90"/>
      <c r="EV134" s="90"/>
      <c r="EW134" s="90"/>
      <c r="EX134" s="90">
        <f t="shared" si="54"/>
        <v>0.4</v>
      </c>
      <c r="EY134" s="90">
        <f>ROUND(EX134*IFERROR(VLOOKUP($DG134,'3121% SY'!$A$2:$M$324,13,FALSE),0),3)</f>
        <v>7.0000000000000007E-2</v>
      </c>
      <c r="EZ134" s="90">
        <f t="shared" si="55"/>
        <v>0</v>
      </c>
      <c r="FA134" s="90">
        <f>ROUND(EZ134*IFERROR(VLOOKUP($DG134,'3121% SY'!$A$2:$M$324,13,FALSE),0),3)</f>
        <v>0</v>
      </c>
    </row>
    <row r="135" spans="1:157" x14ac:dyDescent="0.25">
      <c r="A135" s="88" t="s">
        <v>134</v>
      </c>
      <c r="B135" s="90"/>
      <c r="C135" s="90"/>
      <c r="D135" s="90"/>
      <c r="E135" s="90"/>
      <c r="F135" s="90"/>
      <c r="G135" s="90"/>
      <c r="H135" s="90"/>
      <c r="I135" s="90">
        <v>7.3999999999999996E-2</v>
      </c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R135" s="90">
        <f t="shared" ref="AR135:AR198" si="56">SUM(N135:AQ135)</f>
        <v>0</v>
      </c>
      <c r="AS135" s="90">
        <f>SUM($B135:M135)</f>
        <v>7.3999999999999996E-2</v>
      </c>
      <c r="AT135" s="89"/>
      <c r="CL135" s="90">
        <f t="shared" ref="CL135:CL198" si="57">SUM(BH135:CK135)</f>
        <v>0</v>
      </c>
      <c r="CM135" s="90">
        <f t="shared" ref="CM135:CM198" si="58">SUM(AV135:BG135)</f>
        <v>0</v>
      </c>
      <c r="CN135" s="89"/>
      <c r="DD135" s="90">
        <f t="shared" ref="DD135:DD198" si="59">SUM(CT135:DC135)</f>
        <v>0</v>
      </c>
      <c r="DE135" s="90">
        <f t="shared" ref="DE135:DE198" si="60">SUM(CP135:CS135)</f>
        <v>0</v>
      </c>
      <c r="DF135" s="89"/>
      <c r="DG135" s="88" t="s">
        <v>203</v>
      </c>
      <c r="DH135" s="90"/>
      <c r="DI135" s="90"/>
      <c r="DJ135" s="90"/>
      <c r="DK135" s="90"/>
      <c r="DL135" s="90"/>
      <c r="DM135" s="90"/>
      <c r="DN135" s="90"/>
      <c r="DO135" s="90">
        <v>0.57399999999999995</v>
      </c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>
        <v>1.9590000000000001</v>
      </c>
      <c r="EA135" s="90">
        <v>0.16</v>
      </c>
      <c r="EB135" s="90">
        <v>0.28100000000000003</v>
      </c>
      <c r="EC135" s="90"/>
      <c r="ED135" s="90"/>
      <c r="EE135" s="90"/>
      <c r="EF135" s="90">
        <v>4.47</v>
      </c>
      <c r="EG135" s="90">
        <v>1</v>
      </c>
      <c r="EH135" s="90">
        <v>0.52</v>
      </c>
      <c r="EI135" s="90"/>
      <c r="EJ135" s="90"/>
      <c r="EK135" s="90"/>
      <c r="EL135" s="90"/>
      <c r="EM135" s="90"/>
      <c r="EN135" s="90"/>
      <c r="EO135" s="90">
        <v>0.21</v>
      </c>
      <c r="EP135" s="90">
        <v>8.8999999999999996E-2</v>
      </c>
      <c r="EQ135" s="90">
        <v>8.8999999999999996E-2</v>
      </c>
      <c r="ER135" s="90"/>
      <c r="ES135" s="90"/>
      <c r="ET135" s="90"/>
      <c r="EU135" s="90"/>
      <c r="EV135" s="90"/>
      <c r="EW135" s="90"/>
      <c r="EX135" s="90">
        <f t="shared" ref="EX135:EX198" si="61">SUM(DT135:EW135)</f>
        <v>8.7780000000000022</v>
      </c>
      <c r="EY135" s="90">
        <f>ROUND(EX135*IFERROR(VLOOKUP($DG135,'3121% SY'!$A$2:$M$324,13,FALSE),0),3)</f>
        <v>1.861</v>
      </c>
      <c r="EZ135" s="90">
        <f t="shared" ref="EZ135:EZ198" si="62">SUM(DH135:DS135)</f>
        <v>0.57399999999999995</v>
      </c>
      <c r="FA135" s="90">
        <f>ROUND(EZ135*IFERROR(VLOOKUP($DG135,'3121% SY'!$A$2:$M$324,13,FALSE),0),3)</f>
        <v>0.122</v>
      </c>
    </row>
    <row r="136" spans="1:157" x14ac:dyDescent="0.25">
      <c r="A136" s="88" t="s">
        <v>135</v>
      </c>
      <c r="B136" s="90"/>
      <c r="C136" s="90"/>
      <c r="D136" s="90"/>
      <c r="E136" s="90"/>
      <c r="F136" s="90"/>
      <c r="G136" s="90"/>
      <c r="H136" s="90">
        <v>0.64300000000000002</v>
      </c>
      <c r="I136" s="90"/>
      <c r="J136" s="90"/>
      <c r="K136" s="90"/>
      <c r="L136" s="90"/>
      <c r="M136" s="90"/>
      <c r="N136" s="90"/>
      <c r="O136" s="90">
        <v>0.75</v>
      </c>
      <c r="P136" s="90">
        <v>0.55000000000000004</v>
      </c>
      <c r="Q136" s="90">
        <v>1</v>
      </c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>
        <v>0.65</v>
      </c>
      <c r="AG136" s="90"/>
      <c r="AH136" s="90"/>
      <c r="AI136" s="90"/>
      <c r="AJ136" s="90"/>
      <c r="AK136" s="90"/>
      <c r="AL136" s="90"/>
      <c r="AM136" s="90"/>
      <c r="AN136" s="90"/>
      <c r="AO136" s="90"/>
      <c r="AR136" s="90">
        <f t="shared" si="56"/>
        <v>2.9499999999999997</v>
      </c>
      <c r="AS136" s="90">
        <f>SUM($B136:M136)</f>
        <v>0.64300000000000002</v>
      </c>
      <c r="AT136" s="89"/>
      <c r="CL136" s="90">
        <f t="shared" si="57"/>
        <v>0</v>
      </c>
      <c r="CM136" s="90">
        <f t="shared" si="58"/>
        <v>0</v>
      </c>
      <c r="CN136" s="89"/>
      <c r="DD136" s="90">
        <f t="shared" si="59"/>
        <v>0</v>
      </c>
      <c r="DE136" s="90">
        <f t="shared" si="60"/>
        <v>0</v>
      </c>
      <c r="DF136" s="89"/>
      <c r="DG136" s="88" t="s">
        <v>204</v>
      </c>
      <c r="DH136" s="90"/>
      <c r="DI136" s="90"/>
      <c r="DJ136" s="90"/>
      <c r="DK136" s="90">
        <v>1.3540000000000001</v>
      </c>
      <c r="DL136" s="90">
        <v>1.319</v>
      </c>
      <c r="DM136" s="90">
        <v>0.45500000000000002</v>
      </c>
      <c r="DN136" s="90">
        <v>1.6519999999999999</v>
      </c>
      <c r="DO136" s="90">
        <v>0.93500000000000005</v>
      </c>
      <c r="DP136" s="90">
        <v>0.45800000000000002</v>
      </c>
      <c r="DQ136" s="90"/>
      <c r="DR136" s="90"/>
      <c r="DS136" s="90"/>
      <c r="DT136" s="90">
        <v>0.86</v>
      </c>
      <c r="DU136" s="90"/>
      <c r="DV136" s="90">
        <v>0.1</v>
      </c>
      <c r="DW136" s="90"/>
      <c r="DX136" s="90"/>
      <c r="DY136" s="90"/>
      <c r="DZ136" s="90">
        <v>3.06</v>
      </c>
      <c r="EA136" s="90">
        <v>0.22</v>
      </c>
      <c r="EB136" s="90">
        <v>0.1</v>
      </c>
      <c r="EC136" s="90"/>
      <c r="ED136" s="90"/>
      <c r="EE136" s="90"/>
      <c r="EF136" s="90">
        <v>7.03</v>
      </c>
      <c r="EG136" s="90">
        <v>0.55000000000000004</v>
      </c>
      <c r="EH136" s="90">
        <v>0.4</v>
      </c>
      <c r="EI136" s="90">
        <v>2.95</v>
      </c>
      <c r="EJ136" s="90">
        <v>1.3</v>
      </c>
      <c r="EK136" s="90">
        <v>0.9</v>
      </c>
      <c r="EL136" s="90"/>
      <c r="EM136" s="90"/>
      <c r="EN136" s="90"/>
      <c r="EO136" s="90">
        <v>1.0149999999999999</v>
      </c>
      <c r="EP136" s="90">
        <v>0.161</v>
      </c>
      <c r="EQ136" s="90">
        <v>0.13300000000000001</v>
      </c>
      <c r="ER136" s="90">
        <v>0.184</v>
      </c>
      <c r="ES136" s="90">
        <v>8.0000000000000002E-3</v>
      </c>
      <c r="ET136" s="90">
        <v>8.0000000000000002E-3</v>
      </c>
      <c r="EU136" s="90"/>
      <c r="EV136" s="90"/>
      <c r="EW136" s="90"/>
      <c r="EX136" s="90">
        <f t="shared" si="61"/>
        <v>18.978999999999999</v>
      </c>
      <c r="EY136" s="90">
        <f>ROUND(EX136*IFERROR(VLOOKUP($DG136,'3121% SY'!$A$2:$M$324,13,FALSE),0),3)</f>
        <v>4.3920000000000003</v>
      </c>
      <c r="EZ136" s="90">
        <f t="shared" si="62"/>
        <v>6.173</v>
      </c>
      <c r="FA136" s="90">
        <f>ROUND(EZ136*IFERROR(VLOOKUP($DG136,'3121% SY'!$A$2:$M$324,13,FALSE),0),3)</f>
        <v>1.4279999999999999</v>
      </c>
    </row>
    <row r="137" spans="1:157" x14ac:dyDescent="0.25">
      <c r="A137" s="88" t="s">
        <v>136</v>
      </c>
      <c r="B137" s="90">
        <v>0.79800000000000004</v>
      </c>
      <c r="C137" s="90"/>
      <c r="D137" s="90">
        <v>0.29599999999999999</v>
      </c>
      <c r="E137" s="90">
        <v>0.98199999999999998</v>
      </c>
      <c r="F137" s="90"/>
      <c r="G137" s="90">
        <v>4.8000000000000001E-2</v>
      </c>
      <c r="H137" s="90"/>
      <c r="I137" s="90"/>
      <c r="J137" s="90"/>
      <c r="K137" s="90"/>
      <c r="L137" s="90"/>
      <c r="M137" s="90"/>
      <c r="N137" s="90"/>
      <c r="O137" s="90"/>
      <c r="P137" s="90">
        <v>1</v>
      </c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R137" s="90">
        <f t="shared" si="56"/>
        <v>1</v>
      </c>
      <c r="AS137" s="90">
        <f>SUM($B137:M137)</f>
        <v>2.1240000000000001</v>
      </c>
      <c r="AT137" s="89"/>
      <c r="CL137" s="90">
        <f t="shared" si="57"/>
        <v>0</v>
      </c>
      <c r="CM137" s="90">
        <f t="shared" si="58"/>
        <v>0</v>
      </c>
      <c r="CN137" s="89"/>
      <c r="DD137" s="90">
        <f t="shared" si="59"/>
        <v>0</v>
      </c>
      <c r="DE137" s="90">
        <f t="shared" si="60"/>
        <v>0</v>
      </c>
      <c r="DF137" s="89"/>
      <c r="DG137" s="88" t="s">
        <v>205</v>
      </c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>
        <v>1.4019999999999999</v>
      </c>
      <c r="EA137" s="90"/>
      <c r="EB137" s="90">
        <v>0.19800000000000001</v>
      </c>
      <c r="EC137" s="90"/>
      <c r="ED137" s="90"/>
      <c r="EE137" s="90"/>
      <c r="EF137" s="90">
        <v>4.5</v>
      </c>
      <c r="EG137" s="90"/>
      <c r="EH137" s="90">
        <v>0.2</v>
      </c>
      <c r="EI137" s="90">
        <v>1.3</v>
      </c>
      <c r="EJ137" s="90">
        <v>0.7</v>
      </c>
      <c r="EK137" s="90">
        <v>0.6</v>
      </c>
      <c r="EL137" s="90"/>
      <c r="EM137" s="90"/>
      <c r="EN137" s="90"/>
      <c r="EO137" s="90">
        <v>0.91200000000000003</v>
      </c>
      <c r="EP137" s="90">
        <v>2.4E-2</v>
      </c>
      <c r="EQ137" s="90">
        <v>6.4000000000000001E-2</v>
      </c>
      <c r="ER137" s="90"/>
      <c r="ES137" s="90"/>
      <c r="ET137" s="90"/>
      <c r="EU137" s="90"/>
      <c r="EV137" s="90"/>
      <c r="EW137" s="90"/>
      <c r="EX137" s="90">
        <f t="shared" si="61"/>
        <v>9.8999999999999986</v>
      </c>
      <c r="EY137" s="90">
        <f>ROUND(EX137*IFERROR(VLOOKUP($DG137,'3121% SY'!$A$2:$M$324,13,FALSE),0),3)</f>
        <v>1.9830000000000001</v>
      </c>
      <c r="EZ137" s="90">
        <f t="shared" si="62"/>
        <v>0</v>
      </c>
      <c r="FA137" s="90">
        <f>ROUND(EZ137*IFERROR(VLOOKUP($DG137,'3121% SY'!$A$2:$M$324,13,FALSE),0),3)</f>
        <v>0</v>
      </c>
    </row>
    <row r="138" spans="1:157" x14ac:dyDescent="0.25">
      <c r="A138" s="88" t="s">
        <v>138</v>
      </c>
      <c r="B138" s="90"/>
      <c r="C138" s="90"/>
      <c r="D138" s="90"/>
      <c r="E138" s="90">
        <v>0.86799999999999999</v>
      </c>
      <c r="F138" s="90">
        <v>0.17100000000000001</v>
      </c>
      <c r="G138" s="90"/>
      <c r="H138" s="90">
        <v>0.38500000000000001</v>
      </c>
      <c r="I138" s="90">
        <v>5.5E-2</v>
      </c>
      <c r="J138" s="90">
        <v>5.5E-2</v>
      </c>
      <c r="K138" s="90"/>
      <c r="L138" s="90"/>
      <c r="M138" s="90"/>
      <c r="N138" s="90"/>
      <c r="O138" s="90">
        <v>0.4</v>
      </c>
      <c r="P138" s="90">
        <v>1.4</v>
      </c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R138" s="90">
        <f t="shared" si="56"/>
        <v>1.7999999999999998</v>
      </c>
      <c r="AS138" s="90">
        <f>SUM($B138:M138)</f>
        <v>1.5339999999999998</v>
      </c>
      <c r="AT138" s="89"/>
      <c r="CL138" s="90">
        <f t="shared" si="57"/>
        <v>0</v>
      </c>
      <c r="CM138" s="90">
        <f t="shared" si="58"/>
        <v>0</v>
      </c>
      <c r="CN138" s="89"/>
      <c r="DD138" s="90">
        <f t="shared" si="59"/>
        <v>0</v>
      </c>
      <c r="DE138" s="90">
        <f t="shared" si="60"/>
        <v>0</v>
      </c>
      <c r="DF138" s="89"/>
      <c r="DG138" s="88" t="s">
        <v>206</v>
      </c>
      <c r="DH138" s="90"/>
      <c r="DI138" s="90"/>
      <c r="DJ138" s="90"/>
      <c r="DK138" s="90"/>
      <c r="DL138" s="90"/>
      <c r="DM138" s="90"/>
      <c r="DN138" s="90"/>
      <c r="DO138" s="90"/>
      <c r="DP138" s="90">
        <v>0.67400000000000004</v>
      </c>
      <c r="DQ138" s="90"/>
      <c r="DR138" s="90"/>
      <c r="DS138" s="90"/>
      <c r="DT138" s="90"/>
      <c r="DU138" s="90"/>
      <c r="DV138" s="90"/>
      <c r="DW138" s="90"/>
      <c r="DX138" s="90"/>
      <c r="DY138" s="90"/>
      <c r="DZ138" s="90"/>
      <c r="EA138" s="90"/>
      <c r="EB138" s="90"/>
      <c r="EC138" s="90"/>
      <c r="ED138" s="90"/>
      <c r="EE138" s="90"/>
      <c r="EF138" s="90">
        <v>1</v>
      </c>
      <c r="EG138" s="90"/>
      <c r="EH138" s="90"/>
      <c r="EI138" s="90"/>
      <c r="EJ138" s="90"/>
      <c r="EK138" s="90"/>
      <c r="EL138" s="90"/>
      <c r="EM138" s="90"/>
      <c r="EN138" s="90"/>
      <c r="EO138" s="90"/>
      <c r="EP138" s="90"/>
      <c r="EQ138" s="90"/>
      <c r="ER138" s="90"/>
      <c r="ES138" s="90"/>
      <c r="ET138" s="90"/>
      <c r="EU138" s="90"/>
      <c r="EV138" s="90"/>
      <c r="EW138" s="90"/>
      <c r="EX138" s="90">
        <f t="shared" si="61"/>
        <v>1</v>
      </c>
      <c r="EY138" s="90">
        <f>ROUND(EX138*IFERROR(VLOOKUP($DG138,'3121% SY'!$A$2:$M$324,13,FALSE),0),3)</f>
        <v>0.22500000000000001</v>
      </c>
      <c r="EZ138" s="90">
        <f t="shared" si="62"/>
        <v>0.67400000000000004</v>
      </c>
      <c r="FA138" s="90">
        <f>ROUND(EZ138*IFERROR(VLOOKUP($DG138,'3121% SY'!$A$2:$M$324,13,FALSE),0),3)</f>
        <v>0.152</v>
      </c>
    </row>
    <row r="139" spans="1:157" x14ac:dyDescent="0.25">
      <c r="A139" s="88" t="s">
        <v>139</v>
      </c>
      <c r="B139" s="90"/>
      <c r="C139" s="90"/>
      <c r="D139" s="90"/>
      <c r="E139" s="90">
        <v>0.54600000000000004</v>
      </c>
      <c r="F139" s="90"/>
      <c r="G139" s="90"/>
      <c r="H139" s="90"/>
      <c r="I139" s="90"/>
      <c r="J139" s="90"/>
      <c r="K139" s="90"/>
      <c r="L139" s="90"/>
      <c r="M139" s="90"/>
      <c r="N139" s="90"/>
      <c r="O139" s="90">
        <v>0.128</v>
      </c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R139" s="90">
        <f t="shared" si="56"/>
        <v>0.128</v>
      </c>
      <c r="AS139" s="90">
        <f>SUM($B139:M139)</f>
        <v>0.54600000000000004</v>
      </c>
      <c r="AT139" s="89"/>
      <c r="CL139" s="90">
        <f t="shared" si="57"/>
        <v>0</v>
      </c>
      <c r="CM139" s="90">
        <f t="shared" si="58"/>
        <v>0</v>
      </c>
      <c r="CN139" s="89"/>
      <c r="DD139" s="90">
        <f t="shared" si="59"/>
        <v>0</v>
      </c>
      <c r="DE139" s="90">
        <f t="shared" si="60"/>
        <v>0</v>
      </c>
      <c r="DF139" s="89"/>
      <c r="DG139" s="88" t="s">
        <v>207</v>
      </c>
      <c r="DH139" s="90"/>
      <c r="DI139" s="90"/>
      <c r="DJ139" s="90"/>
      <c r="DK139" s="90"/>
      <c r="DL139" s="90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0"/>
      <c r="DY139" s="90"/>
      <c r="DZ139" s="90"/>
      <c r="EA139" s="90"/>
      <c r="EB139" s="90"/>
      <c r="EC139" s="90"/>
      <c r="ED139" s="90"/>
      <c r="EE139" s="90"/>
      <c r="EF139" s="90">
        <v>0.51600000000000001</v>
      </c>
      <c r="EG139" s="90"/>
      <c r="EH139" s="90"/>
      <c r="EI139" s="90">
        <v>0.4</v>
      </c>
      <c r="EJ139" s="90"/>
      <c r="EK139" s="90"/>
      <c r="EL139" s="90"/>
      <c r="EM139" s="90"/>
      <c r="EN139" s="90"/>
      <c r="EO139" s="90"/>
      <c r="EP139" s="90"/>
      <c r="EQ139" s="90"/>
      <c r="ER139" s="90"/>
      <c r="ES139" s="90"/>
      <c r="ET139" s="90"/>
      <c r="EU139" s="90"/>
      <c r="EV139" s="90"/>
      <c r="EW139" s="90"/>
      <c r="EX139" s="90">
        <f t="shared" si="61"/>
        <v>0.91600000000000004</v>
      </c>
      <c r="EY139" s="90">
        <f>ROUND(EX139*IFERROR(VLOOKUP($DG139,'3121% SY'!$A$2:$M$324,13,FALSE),0),3)</f>
        <v>0.11600000000000001</v>
      </c>
      <c r="EZ139" s="90">
        <f t="shared" si="62"/>
        <v>0</v>
      </c>
      <c r="FA139" s="90">
        <f>ROUND(EZ139*IFERROR(VLOOKUP($DG139,'3121% SY'!$A$2:$M$324,13,FALSE),0),3)</f>
        <v>0</v>
      </c>
    </row>
    <row r="140" spans="1:157" x14ac:dyDescent="0.25">
      <c r="A140" s="88" t="s">
        <v>140</v>
      </c>
      <c r="B140" s="90"/>
      <c r="C140" s="90"/>
      <c r="D140" s="90"/>
      <c r="E140" s="90">
        <v>1.145</v>
      </c>
      <c r="F140" s="90"/>
      <c r="G140" s="90"/>
      <c r="H140" s="90">
        <v>0.48499999999999999</v>
      </c>
      <c r="I140" s="90">
        <v>0.121</v>
      </c>
      <c r="J140" s="90"/>
      <c r="K140" s="90"/>
      <c r="L140" s="90"/>
      <c r="M140" s="90"/>
      <c r="N140" s="90"/>
      <c r="O140" s="90"/>
      <c r="P140" s="90">
        <v>1.06</v>
      </c>
      <c r="Q140" s="90">
        <v>0.1</v>
      </c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R140" s="90">
        <f t="shared" si="56"/>
        <v>1.1600000000000001</v>
      </c>
      <c r="AS140" s="90">
        <f>SUM($B140:M140)</f>
        <v>1.7509999999999999</v>
      </c>
      <c r="AT140" s="89"/>
      <c r="CL140" s="90">
        <f t="shared" si="57"/>
        <v>0</v>
      </c>
      <c r="CM140" s="90">
        <f t="shared" si="58"/>
        <v>0</v>
      </c>
      <c r="CN140" s="89"/>
      <c r="DD140" s="90">
        <f t="shared" si="59"/>
        <v>0</v>
      </c>
      <c r="DE140" s="90">
        <f t="shared" si="60"/>
        <v>0</v>
      </c>
      <c r="DF140" s="89"/>
      <c r="DG140" s="88" t="s">
        <v>208</v>
      </c>
      <c r="DH140" s="90"/>
      <c r="DI140" s="90"/>
      <c r="DJ140" s="90"/>
      <c r="DK140" s="90"/>
      <c r="DL140" s="90"/>
      <c r="DM140" s="90"/>
      <c r="DN140" s="90"/>
      <c r="DO140" s="90">
        <v>1.9379999999999999</v>
      </c>
      <c r="DP140" s="90"/>
      <c r="DQ140" s="90"/>
      <c r="DR140" s="90"/>
      <c r="DS140" s="90"/>
      <c r="DT140" s="90"/>
      <c r="DU140" s="90"/>
      <c r="DV140" s="90"/>
      <c r="DW140" s="90"/>
      <c r="DX140" s="90"/>
      <c r="DY140" s="90"/>
      <c r="DZ140" s="90">
        <v>1.8</v>
      </c>
      <c r="EA140" s="90">
        <v>0.2</v>
      </c>
      <c r="EB140" s="90"/>
      <c r="EC140" s="90"/>
      <c r="ED140" s="90"/>
      <c r="EE140" s="90"/>
      <c r="EF140" s="90">
        <v>7.2960000000000003</v>
      </c>
      <c r="EG140" s="90">
        <v>1.7</v>
      </c>
      <c r="EH140" s="90">
        <v>1.1719999999999999</v>
      </c>
      <c r="EI140" s="90"/>
      <c r="EJ140" s="90"/>
      <c r="EK140" s="90"/>
      <c r="EL140" s="90"/>
      <c r="EM140" s="90"/>
      <c r="EN140" s="90"/>
      <c r="EO140" s="90">
        <v>0.33</v>
      </c>
      <c r="EP140" s="90">
        <v>0.09</v>
      </c>
      <c r="EQ140" s="90">
        <v>0.18</v>
      </c>
      <c r="ER140" s="90"/>
      <c r="ES140" s="90"/>
      <c r="ET140" s="90"/>
      <c r="EU140" s="90"/>
      <c r="EV140" s="90"/>
      <c r="EW140" s="90"/>
      <c r="EX140" s="90">
        <f t="shared" si="61"/>
        <v>12.767999999999999</v>
      </c>
      <c r="EY140" s="90">
        <f>ROUND(EX140*IFERROR(VLOOKUP($DG140,'3121% SY'!$A$2:$M$324,13,FALSE),0),3)</f>
        <v>3.3359999999999999</v>
      </c>
      <c r="EZ140" s="90">
        <f t="shared" si="62"/>
        <v>1.9379999999999999</v>
      </c>
      <c r="FA140" s="90">
        <f>ROUND(EZ140*IFERROR(VLOOKUP($DG140,'3121% SY'!$A$2:$M$324,13,FALSE),0),3)</f>
        <v>0.50600000000000001</v>
      </c>
    </row>
    <row r="141" spans="1:157" x14ac:dyDescent="0.25">
      <c r="A141" s="88" t="s">
        <v>141</v>
      </c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>
        <v>0.62</v>
      </c>
      <c r="P141" s="90">
        <v>0.5</v>
      </c>
      <c r="Q141" s="90">
        <v>0.5</v>
      </c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>
        <v>1.026</v>
      </c>
      <c r="AE141" s="90">
        <v>6.8000000000000005E-2</v>
      </c>
      <c r="AF141" s="90">
        <v>2.7E-2</v>
      </c>
      <c r="AG141" s="90"/>
      <c r="AH141" s="90"/>
      <c r="AI141" s="90"/>
      <c r="AJ141" s="90"/>
      <c r="AK141" s="90"/>
      <c r="AL141" s="90"/>
      <c r="AM141" s="90"/>
      <c r="AN141" s="90"/>
      <c r="AO141" s="90"/>
      <c r="AR141" s="90">
        <f t="shared" si="56"/>
        <v>2.7410000000000001</v>
      </c>
      <c r="AS141" s="90">
        <f>SUM($B141:M141)</f>
        <v>0</v>
      </c>
      <c r="AT141" s="89"/>
      <c r="CL141" s="90">
        <f t="shared" si="57"/>
        <v>0</v>
      </c>
      <c r="CM141" s="90">
        <f t="shared" si="58"/>
        <v>0</v>
      </c>
      <c r="CN141" s="89"/>
      <c r="DD141" s="90">
        <f t="shared" si="59"/>
        <v>0</v>
      </c>
      <c r="DE141" s="90">
        <f t="shared" si="60"/>
        <v>0</v>
      </c>
      <c r="DF141" s="89"/>
      <c r="DG141" s="88" t="s">
        <v>213</v>
      </c>
      <c r="DH141" s="90"/>
      <c r="DI141" s="90"/>
      <c r="DJ141" s="90"/>
      <c r="DK141" s="90"/>
      <c r="DL141" s="90">
        <v>1.294</v>
      </c>
      <c r="DM141" s="90"/>
      <c r="DN141" s="90"/>
      <c r="DO141" s="90">
        <v>5.3150000000000004</v>
      </c>
      <c r="DP141" s="90"/>
      <c r="DQ141" s="90"/>
      <c r="DR141" s="90"/>
      <c r="DS141" s="90"/>
      <c r="DT141" s="90"/>
      <c r="DU141" s="90"/>
      <c r="DV141" s="90"/>
      <c r="DW141" s="90"/>
      <c r="DX141" s="90"/>
      <c r="DY141" s="90"/>
      <c r="DZ141" s="90">
        <v>6.4009999999999998</v>
      </c>
      <c r="EA141" s="90">
        <v>1.6</v>
      </c>
      <c r="EB141" s="90">
        <v>0.6</v>
      </c>
      <c r="EC141" s="90"/>
      <c r="ED141" s="90"/>
      <c r="EE141" s="90"/>
      <c r="EF141" s="90">
        <v>20.882000000000001</v>
      </c>
      <c r="EG141" s="90">
        <v>6.1479999999999997</v>
      </c>
      <c r="EH141" s="90">
        <v>5.3860000000000001</v>
      </c>
      <c r="EI141" s="90">
        <v>8.4</v>
      </c>
      <c r="EJ141" s="90">
        <v>1.4</v>
      </c>
      <c r="EK141" s="90">
        <v>2.4</v>
      </c>
      <c r="EL141" s="90"/>
      <c r="EM141" s="90"/>
      <c r="EN141" s="90"/>
      <c r="EO141" s="90">
        <v>5.5010000000000003</v>
      </c>
      <c r="EP141" s="90">
        <v>0.9</v>
      </c>
      <c r="EQ141" s="90">
        <v>1</v>
      </c>
      <c r="ER141" s="90">
        <v>1.3340000000000001</v>
      </c>
      <c r="ES141" s="90">
        <v>0.29599999999999999</v>
      </c>
      <c r="ET141" s="90">
        <v>0.37</v>
      </c>
      <c r="EU141" s="90"/>
      <c r="EV141" s="90"/>
      <c r="EW141" s="90"/>
      <c r="EX141" s="90">
        <f t="shared" si="61"/>
        <v>62.617999999999995</v>
      </c>
      <c r="EY141" s="90">
        <f>ROUND(EX141*IFERROR(VLOOKUP($DG141,'3121% SY'!$A$2:$M$324,13,FALSE),0),3)</f>
        <v>18.672999999999998</v>
      </c>
      <c r="EZ141" s="90">
        <f t="shared" si="62"/>
        <v>6.609</v>
      </c>
      <c r="FA141" s="90">
        <f>ROUND(EZ141*IFERROR(VLOOKUP($DG141,'3121% SY'!$A$2:$M$324,13,FALSE),0),3)</f>
        <v>1.9710000000000001</v>
      </c>
    </row>
    <row r="142" spans="1:157" x14ac:dyDescent="0.25">
      <c r="A142" s="88" t="s">
        <v>142</v>
      </c>
      <c r="B142" s="90"/>
      <c r="C142" s="90"/>
      <c r="D142" s="90"/>
      <c r="E142" s="90"/>
      <c r="F142" s="90">
        <v>0.73199999999999998</v>
      </c>
      <c r="G142" s="90"/>
      <c r="H142" s="90"/>
      <c r="I142" s="90">
        <v>0.46500000000000002</v>
      </c>
      <c r="J142" s="90"/>
      <c r="K142" s="90"/>
      <c r="L142" s="90"/>
      <c r="M142" s="90"/>
      <c r="N142" s="90"/>
      <c r="O142" s="90"/>
      <c r="P142" s="90">
        <v>1</v>
      </c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R142" s="90">
        <f t="shared" si="56"/>
        <v>1</v>
      </c>
      <c r="AS142" s="90">
        <f>SUM($B142:M142)</f>
        <v>1.1970000000000001</v>
      </c>
      <c r="AT142" s="89"/>
      <c r="CL142" s="90">
        <f t="shared" si="57"/>
        <v>0</v>
      </c>
      <c r="CM142" s="90">
        <f t="shared" si="58"/>
        <v>0</v>
      </c>
      <c r="CN142" s="89"/>
      <c r="DD142" s="90">
        <f t="shared" si="59"/>
        <v>0</v>
      </c>
      <c r="DE142" s="90">
        <f t="shared" si="60"/>
        <v>0</v>
      </c>
      <c r="DF142" s="89"/>
      <c r="DG142" s="88" t="s">
        <v>214</v>
      </c>
      <c r="DH142" s="90"/>
      <c r="DI142" s="90"/>
      <c r="DJ142" s="90"/>
      <c r="DK142" s="90"/>
      <c r="DL142" s="90"/>
      <c r="DM142" s="90"/>
      <c r="DN142" s="90">
        <v>0.48499999999999999</v>
      </c>
      <c r="DO142" s="90">
        <v>3.63</v>
      </c>
      <c r="DP142" s="90"/>
      <c r="DQ142" s="90"/>
      <c r="DR142" s="90"/>
      <c r="DS142" s="90"/>
      <c r="DT142" s="90"/>
      <c r="DU142" s="90"/>
      <c r="DV142" s="90"/>
      <c r="DW142" s="90"/>
      <c r="DX142" s="90"/>
      <c r="DY142" s="90"/>
      <c r="DZ142" s="90">
        <v>6.5</v>
      </c>
      <c r="EA142" s="90"/>
      <c r="EB142" s="90"/>
      <c r="EC142" s="90"/>
      <c r="ED142" s="90"/>
      <c r="EE142" s="90"/>
      <c r="EF142" s="90">
        <v>11</v>
      </c>
      <c r="EG142" s="90">
        <v>2</v>
      </c>
      <c r="EH142" s="90">
        <v>2</v>
      </c>
      <c r="EI142" s="90">
        <v>5</v>
      </c>
      <c r="EJ142" s="90">
        <v>1</v>
      </c>
      <c r="EK142" s="90">
        <v>3</v>
      </c>
      <c r="EL142" s="90"/>
      <c r="EM142" s="90"/>
      <c r="EN142" s="90"/>
      <c r="EO142" s="90"/>
      <c r="EP142" s="90"/>
      <c r="EQ142" s="90"/>
      <c r="ER142" s="90"/>
      <c r="ES142" s="90"/>
      <c r="ET142" s="90"/>
      <c r="EU142" s="90"/>
      <c r="EV142" s="90"/>
      <c r="EW142" s="90"/>
      <c r="EX142" s="90">
        <f t="shared" si="61"/>
        <v>30.5</v>
      </c>
      <c r="EY142" s="90">
        <f>ROUND(EX142*IFERROR(VLOOKUP($DG142,'3121% SY'!$A$2:$M$324,13,FALSE),0),3)</f>
        <v>8.1010000000000009</v>
      </c>
      <c r="EZ142" s="90">
        <f t="shared" si="62"/>
        <v>4.1150000000000002</v>
      </c>
      <c r="FA142" s="90">
        <f>ROUND(EZ142*IFERROR(VLOOKUP($DG142,'3121% SY'!$A$2:$M$324,13,FALSE),0),3)</f>
        <v>1.093</v>
      </c>
    </row>
    <row r="143" spans="1:157" x14ac:dyDescent="0.25">
      <c r="A143" s="88" t="s">
        <v>143</v>
      </c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>
        <v>0.45</v>
      </c>
      <c r="P143" s="90">
        <v>1.05</v>
      </c>
      <c r="Q143" s="90">
        <v>0.5</v>
      </c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R143" s="90">
        <f t="shared" si="56"/>
        <v>2</v>
      </c>
      <c r="AS143" s="90">
        <f>SUM($B143:M143)</f>
        <v>0</v>
      </c>
      <c r="AT143" s="89"/>
      <c r="CL143" s="90">
        <f t="shared" si="57"/>
        <v>0</v>
      </c>
      <c r="CM143" s="90">
        <f t="shared" si="58"/>
        <v>0</v>
      </c>
      <c r="CN143" s="89"/>
      <c r="DD143" s="90">
        <f t="shared" si="59"/>
        <v>0</v>
      </c>
      <c r="DE143" s="90">
        <f t="shared" si="60"/>
        <v>0</v>
      </c>
      <c r="DF143" s="89"/>
      <c r="DG143" s="88" t="s">
        <v>215</v>
      </c>
      <c r="DH143" s="90"/>
      <c r="DI143" s="90"/>
      <c r="DJ143" s="90"/>
      <c r="DK143" s="90"/>
      <c r="DL143" s="90"/>
      <c r="DM143" s="90"/>
      <c r="DN143" s="90"/>
      <c r="DO143" s="90">
        <v>1.2330000000000001</v>
      </c>
      <c r="DP143" s="90"/>
      <c r="DQ143" s="90"/>
      <c r="DR143" s="90"/>
      <c r="DS143" s="90"/>
      <c r="DT143" s="90"/>
      <c r="DU143" s="90"/>
      <c r="DV143" s="90"/>
      <c r="DW143" s="90"/>
      <c r="DX143" s="90"/>
      <c r="DY143" s="90"/>
      <c r="DZ143" s="90">
        <v>13.214</v>
      </c>
      <c r="EA143" s="90">
        <v>1.905</v>
      </c>
      <c r="EB143" s="90">
        <v>1.5229999999999999</v>
      </c>
      <c r="EC143" s="90"/>
      <c r="ED143" s="90"/>
      <c r="EE143" s="90"/>
      <c r="EF143" s="90">
        <v>21.795999999999999</v>
      </c>
      <c r="EG143" s="90">
        <v>4.7539999999999996</v>
      </c>
      <c r="EH143" s="90">
        <v>3.1930000000000001</v>
      </c>
      <c r="EI143" s="90">
        <v>8.4930000000000003</v>
      </c>
      <c r="EJ143" s="90">
        <v>3</v>
      </c>
      <c r="EK143" s="90">
        <v>1.5069999999999999</v>
      </c>
      <c r="EL143" s="90"/>
      <c r="EM143" s="90"/>
      <c r="EN143" s="90"/>
      <c r="EO143" s="90">
        <v>3.6269999999999998</v>
      </c>
      <c r="EP143" s="90">
        <v>0.55000000000000004</v>
      </c>
      <c r="EQ143" s="90">
        <v>0.32500000000000001</v>
      </c>
      <c r="ER143" s="90"/>
      <c r="ES143" s="90"/>
      <c r="ET143" s="90"/>
      <c r="EU143" s="90"/>
      <c r="EV143" s="90"/>
      <c r="EW143" s="90"/>
      <c r="EX143" s="90">
        <f t="shared" si="61"/>
        <v>63.887</v>
      </c>
      <c r="EY143" s="90">
        <f>ROUND(EX143*IFERROR(VLOOKUP($DG143,'3121% SY'!$A$2:$M$324,13,FALSE),0),3)</f>
        <v>17.984000000000002</v>
      </c>
      <c r="EZ143" s="90">
        <f t="shared" si="62"/>
        <v>1.2330000000000001</v>
      </c>
      <c r="FA143" s="90">
        <f>ROUND(EZ143*IFERROR(VLOOKUP($DG143,'3121% SY'!$A$2:$M$324,13,FALSE),0),3)</f>
        <v>0.34699999999999998</v>
      </c>
    </row>
    <row r="144" spans="1:157" x14ac:dyDescent="0.25">
      <c r="A144" s="88" t="s">
        <v>144</v>
      </c>
      <c r="B144" s="90"/>
      <c r="C144" s="90"/>
      <c r="D144" s="90"/>
      <c r="E144" s="90"/>
      <c r="F144" s="90"/>
      <c r="G144" s="90"/>
      <c r="H144" s="90"/>
      <c r="I144" s="90">
        <v>6.2E-2</v>
      </c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R144" s="90">
        <f t="shared" si="56"/>
        <v>0</v>
      </c>
      <c r="AS144" s="90">
        <f>SUM($B144:M144)</f>
        <v>6.2E-2</v>
      </c>
      <c r="AT144" s="89"/>
      <c r="CL144" s="90">
        <f t="shared" si="57"/>
        <v>0</v>
      </c>
      <c r="CM144" s="90">
        <f t="shared" si="58"/>
        <v>0</v>
      </c>
      <c r="CN144" s="89"/>
      <c r="DD144" s="90">
        <f t="shared" si="59"/>
        <v>0</v>
      </c>
      <c r="DE144" s="90">
        <f t="shared" si="60"/>
        <v>0</v>
      </c>
      <c r="DF144" s="89"/>
      <c r="DG144" s="88" t="s">
        <v>216</v>
      </c>
      <c r="DH144" s="90"/>
      <c r="DI144" s="90"/>
      <c r="DJ144" s="90"/>
      <c r="DK144" s="90"/>
      <c r="DL144" s="90">
        <v>3.42</v>
      </c>
      <c r="DM144" s="90"/>
      <c r="DN144" s="90"/>
      <c r="DO144" s="90">
        <v>2.895</v>
      </c>
      <c r="DP144" s="90"/>
      <c r="DQ144" s="90"/>
      <c r="DR144" s="90"/>
      <c r="DS144" s="90"/>
      <c r="DT144" s="90">
        <v>1</v>
      </c>
      <c r="DU144" s="90"/>
      <c r="DV144" s="90"/>
      <c r="DW144" s="90"/>
      <c r="DX144" s="90"/>
      <c r="DY144" s="90"/>
      <c r="DZ144" s="90">
        <v>15.907999999999999</v>
      </c>
      <c r="EA144" s="90"/>
      <c r="EB144" s="90"/>
      <c r="EC144" s="90"/>
      <c r="ED144" s="90"/>
      <c r="EE144" s="90"/>
      <c r="EF144" s="90">
        <v>39.203000000000003</v>
      </c>
      <c r="EG144" s="90">
        <v>0.2</v>
      </c>
      <c r="EH144" s="90"/>
      <c r="EI144" s="90">
        <v>14.395</v>
      </c>
      <c r="EJ144" s="90">
        <v>5.9</v>
      </c>
      <c r="EK144" s="90">
        <v>1.7</v>
      </c>
      <c r="EL144" s="90">
        <v>0.7</v>
      </c>
      <c r="EM144" s="90">
        <v>0.2</v>
      </c>
      <c r="EN144" s="90"/>
      <c r="EO144" s="90">
        <v>6.8</v>
      </c>
      <c r="EP144" s="90"/>
      <c r="EQ144" s="90"/>
      <c r="ER144" s="90">
        <v>0.46500000000000002</v>
      </c>
      <c r="ES144" s="90"/>
      <c r="ET144" s="90"/>
      <c r="EU144" s="90"/>
      <c r="EV144" s="90"/>
      <c r="EW144" s="90"/>
      <c r="EX144" s="90">
        <f t="shared" si="61"/>
        <v>86.471000000000018</v>
      </c>
      <c r="EY144" s="90">
        <f>ROUND(EX144*IFERROR(VLOOKUP($DG144,'3121% SY'!$A$2:$M$324,13,FALSE),0),3)</f>
        <v>25.474</v>
      </c>
      <c r="EZ144" s="90">
        <f t="shared" si="62"/>
        <v>6.3149999999999995</v>
      </c>
      <c r="FA144" s="90">
        <f>ROUND(EZ144*IFERROR(VLOOKUP($DG144,'3121% SY'!$A$2:$M$324,13,FALSE),0),3)</f>
        <v>1.86</v>
      </c>
    </row>
    <row r="145" spans="1:157" x14ac:dyDescent="0.25">
      <c r="A145" s="88" t="s">
        <v>145</v>
      </c>
      <c r="B145" s="90"/>
      <c r="C145" s="90"/>
      <c r="D145" s="90"/>
      <c r="E145" s="90">
        <v>0.254</v>
      </c>
      <c r="F145" s="90">
        <v>1.0069999999999999</v>
      </c>
      <c r="G145" s="90"/>
      <c r="H145" s="90">
        <v>0.51800000000000002</v>
      </c>
      <c r="I145" s="90"/>
      <c r="J145" s="90">
        <v>0.17699999999999999</v>
      </c>
      <c r="K145" s="90"/>
      <c r="L145" s="90"/>
      <c r="M145" s="90"/>
      <c r="N145" s="90"/>
      <c r="O145" s="90"/>
      <c r="P145" s="90">
        <v>0.81399999999999995</v>
      </c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R145" s="90">
        <f t="shared" si="56"/>
        <v>0.81399999999999995</v>
      </c>
      <c r="AS145" s="90">
        <f>SUM($B145:M145)</f>
        <v>1.956</v>
      </c>
      <c r="AT145" s="89"/>
      <c r="CL145" s="90">
        <f t="shared" si="57"/>
        <v>0</v>
      </c>
      <c r="CM145" s="90">
        <f t="shared" si="58"/>
        <v>0</v>
      </c>
      <c r="CN145" s="89"/>
      <c r="DD145" s="90">
        <f t="shared" si="59"/>
        <v>0</v>
      </c>
      <c r="DE145" s="90">
        <f t="shared" si="60"/>
        <v>0</v>
      </c>
      <c r="DF145" s="89"/>
      <c r="DG145" s="88" t="s">
        <v>217</v>
      </c>
      <c r="DH145" s="90"/>
      <c r="DI145" s="90"/>
      <c r="DJ145" s="90"/>
      <c r="DK145" s="90"/>
      <c r="DL145" s="90"/>
      <c r="DM145" s="90"/>
      <c r="DN145" s="90">
        <v>1.454</v>
      </c>
      <c r="DO145" s="90">
        <v>0.501</v>
      </c>
      <c r="DP145" s="90">
        <v>0.219</v>
      </c>
      <c r="DQ145" s="90"/>
      <c r="DR145" s="90"/>
      <c r="DS145" s="90"/>
      <c r="DT145" s="90"/>
      <c r="DU145" s="90"/>
      <c r="DV145" s="90"/>
      <c r="DW145" s="90"/>
      <c r="DX145" s="90"/>
      <c r="DY145" s="90"/>
      <c r="DZ145" s="90">
        <v>3.371</v>
      </c>
      <c r="EA145" s="90">
        <v>0.47499999999999998</v>
      </c>
      <c r="EB145" s="90">
        <v>0.77300000000000002</v>
      </c>
      <c r="EC145" s="90"/>
      <c r="ED145" s="90"/>
      <c r="EE145" s="90"/>
      <c r="EF145" s="90">
        <v>8.6940000000000008</v>
      </c>
      <c r="EG145" s="90"/>
      <c r="EH145" s="90">
        <v>1.006</v>
      </c>
      <c r="EI145" s="90">
        <v>0.3</v>
      </c>
      <c r="EJ145" s="90"/>
      <c r="EK145" s="90"/>
      <c r="EL145" s="90"/>
      <c r="EM145" s="90"/>
      <c r="EN145" s="90"/>
      <c r="EO145" s="90">
        <v>0.76100000000000001</v>
      </c>
      <c r="EP145" s="90">
        <v>0.14799999999999999</v>
      </c>
      <c r="EQ145" s="90">
        <v>9.0999999999999998E-2</v>
      </c>
      <c r="ER145" s="90"/>
      <c r="ES145" s="90"/>
      <c r="ET145" s="90"/>
      <c r="EU145" s="90"/>
      <c r="EV145" s="90"/>
      <c r="EW145" s="90"/>
      <c r="EX145" s="90">
        <f t="shared" si="61"/>
        <v>15.619</v>
      </c>
      <c r="EY145" s="90">
        <f>ROUND(EX145*IFERROR(VLOOKUP($DG145,'3121% SY'!$A$2:$M$324,13,FALSE),0),3)</f>
        <v>3.633</v>
      </c>
      <c r="EZ145" s="90">
        <f t="shared" si="62"/>
        <v>2.1739999999999999</v>
      </c>
      <c r="FA145" s="90">
        <f>ROUND(EZ145*IFERROR(VLOOKUP($DG145,'3121% SY'!$A$2:$M$324,13,FALSE),0),3)</f>
        <v>0.50600000000000001</v>
      </c>
    </row>
    <row r="146" spans="1:157" x14ac:dyDescent="0.25">
      <c r="A146" s="88" t="s">
        <v>146</v>
      </c>
      <c r="B146" s="90"/>
      <c r="C146" s="90"/>
      <c r="D146" s="90"/>
      <c r="E146" s="90">
        <v>0.39600000000000002</v>
      </c>
      <c r="F146" s="90"/>
      <c r="G146" s="90"/>
      <c r="H146" s="90">
        <v>0.13200000000000001</v>
      </c>
      <c r="I146" s="90">
        <v>0.13200000000000001</v>
      </c>
      <c r="J146" s="90">
        <v>0.13200000000000001</v>
      </c>
      <c r="K146" s="90"/>
      <c r="L146" s="90"/>
      <c r="M146" s="90"/>
      <c r="N146" s="90"/>
      <c r="O146" s="90">
        <v>0.45200000000000001</v>
      </c>
      <c r="P146" s="90">
        <v>1.151</v>
      </c>
      <c r="Q146" s="90">
        <v>0.151</v>
      </c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R146" s="90">
        <f t="shared" si="56"/>
        <v>1.754</v>
      </c>
      <c r="AS146" s="90">
        <f>SUM($B146:M146)</f>
        <v>0.79200000000000004</v>
      </c>
      <c r="AT146" s="89"/>
      <c r="CL146" s="90">
        <f t="shared" si="57"/>
        <v>0</v>
      </c>
      <c r="CM146" s="90">
        <f t="shared" si="58"/>
        <v>0</v>
      </c>
      <c r="CN146" s="89"/>
      <c r="DD146" s="90">
        <f t="shared" si="59"/>
        <v>0</v>
      </c>
      <c r="DE146" s="90">
        <f t="shared" si="60"/>
        <v>0</v>
      </c>
      <c r="DF146" s="89"/>
      <c r="DG146" s="88" t="s">
        <v>218</v>
      </c>
      <c r="DH146" s="90"/>
      <c r="DI146" s="90"/>
      <c r="DJ146" s="90"/>
      <c r="DK146" s="90"/>
      <c r="DL146" s="90">
        <v>1.117</v>
      </c>
      <c r="DM146" s="90"/>
      <c r="DN146" s="90"/>
      <c r="DO146" s="90">
        <v>0.624</v>
      </c>
      <c r="DP146" s="90"/>
      <c r="DQ146" s="90"/>
      <c r="DR146" s="90"/>
      <c r="DS146" s="90"/>
      <c r="DT146" s="90"/>
      <c r="DU146" s="90"/>
      <c r="DV146" s="90"/>
      <c r="DW146" s="90"/>
      <c r="DX146" s="90"/>
      <c r="DY146" s="90"/>
      <c r="DZ146" s="90">
        <v>4.8</v>
      </c>
      <c r="EA146" s="90"/>
      <c r="EB146" s="90"/>
      <c r="EC146" s="90"/>
      <c r="ED146" s="90"/>
      <c r="EE146" s="90"/>
      <c r="EF146" s="90">
        <v>11.1</v>
      </c>
      <c r="EG146" s="90">
        <v>1</v>
      </c>
      <c r="EH146" s="90">
        <v>1</v>
      </c>
      <c r="EI146" s="90">
        <v>3.8</v>
      </c>
      <c r="EJ146" s="90"/>
      <c r="EK146" s="90">
        <v>4</v>
      </c>
      <c r="EL146" s="90"/>
      <c r="EM146" s="90"/>
      <c r="EN146" s="90"/>
      <c r="EO146" s="90">
        <v>3</v>
      </c>
      <c r="EP146" s="90"/>
      <c r="EQ146" s="90"/>
      <c r="ER146" s="90"/>
      <c r="ES146" s="90"/>
      <c r="ET146" s="90"/>
      <c r="EU146" s="90"/>
      <c r="EV146" s="90"/>
      <c r="EW146" s="90"/>
      <c r="EX146" s="90">
        <f t="shared" si="61"/>
        <v>28.7</v>
      </c>
      <c r="EY146" s="90">
        <f>ROUND(EX146*IFERROR(VLOOKUP($DG146,'3121% SY'!$A$2:$M$324,13,FALSE),0),3)</f>
        <v>8.6869999999999994</v>
      </c>
      <c r="EZ146" s="90">
        <f t="shared" si="62"/>
        <v>1.7410000000000001</v>
      </c>
      <c r="FA146" s="90">
        <f>ROUND(EZ146*IFERROR(VLOOKUP($DG146,'3121% SY'!$A$2:$M$324,13,FALSE),0),3)</f>
        <v>0.52700000000000002</v>
      </c>
    </row>
    <row r="147" spans="1:157" x14ac:dyDescent="0.25">
      <c r="A147" s="88" t="s">
        <v>147</v>
      </c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>
        <v>0.67</v>
      </c>
      <c r="Q147" s="90">
        <v>0.33</v>
      </c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R147" s="90">
        <f t="shared" si="56"/>
        <v>1</v>
      </c>
      <c r="AS147" s="90">
        <f>SUM($B147:M147)</f>
        <v>0</v>
      </c>
      <c r="AT147" s="89"/>
      <c r="CL147" s="90">
        <f t="shared" si="57"/>
        <v>0</v>
      </c>
      <c r="CM147" s="90">
        <f t="shared" si="58"/>
        <v>0</v>
      </c>
      <c r="CN147" s="89"/>
      <c r="DD147" s="90">
        <f t="shared" si="59"/>
        <v>0</v>
      </c>
      <c r="DE147" s="90">
        <f t="shared" si="60"/>
        <v>0</v>
      </c>
      <c r="DF147" s="89"/>
      <c r="DG147" s="88" t="s">
        <v>220</v>
      </c>
      <c r="DH147" s="90"/>
      <c r="DI147" s="90"/>
      <c r="DJ147" s="90"/>
      <c r="DK147" s="90"/>
      <c r="DL147" s="90"/>
      <c r="DM147" s="90"/>
      <c r="DN147" s="90"/>
      <c r="DO147" s="90">
        <v>3.0009999999999999</v>
      </c>
      <c r="DP147" s="90"/>
      <c r="DQ147" s="90"/>
      <c r="DR147" s="90"/>
      <c r="DS147" s="90"/>
      <c r="DT147" s="90"/>
      <c r="DU147" s="90"/>
      <c r="DV147" s="90"/>
      <c r="DW147" s="90"/>
      <c r="DX147" s="90"/>
      <c r="DY147" s="90"/>
      <c r="DZ147" s="90">
        <v>2.6019999999999999</v>
      </c>
      <c r="EA147" s="90">
        <v>0.251</v>
      </c>
      <c r="EB147" s="90">
        <v>0.505</v>
      </c>
      <c r="EC147" s="90">
        <v>3.0000000000000001E-3</v>
      </c>
      <c r="ED147" s="90"/>
      <c r="EE147" s="90"/>
      <c r="EF147" s="90">
        <v>3.6720000000000002</v>
      </c>
      <c r="EG147" s="90">
        <v>1.3009999999999999</v>
      </c>
      <c r="EH147" s="90">
        <v>0.317</v>
      </c>
      <c r="EI147" s="90">
        <v>2.359</v>
      </c>
      <c r="EJ147" s="90"/>
      <c r="EK147" s="90">
        <v>0.63500000000000001</v>
      </c>
      <c r="EL147" s="90"/>
      <c r="EM147" s="90"/>
      <c r="EN147" s="90"/>
      <c r="EO147" s="90">
        <v>0.93500000000000005</v>
      </c>
      <c r="EP147" s="90">
        <v>0.111</v>
      </c>
      <c r="EQ147" s="90">
        <v>0.16600000000000001</v>
      </c>
      <c r="ER147" s="90"/>
      <c r="ES147" s="90"/>
      <c r="ET147" s="90"/>
      <c r="EU147" s="90">
        <v>5.5439999999999996</v>
      </c>
      <c r="EV147" s="90">
        <v>1.673</v>
      </c>
      <c r="EW147" s="90">
        <v>1.982</v>
      </c>
      <c r="EX147" s="90">
        <f t="shared" si="61"/>
        <v>22.055999999999997</v>
      </c>
      <c r="EY147" s="90">
        <f>ROUND(EX147*IFERROR(VLOOKUP($DG147,'3121% SY'!$A$2:$M$324,13,FALSE),0),3)</f>
        <v>4.524</v>
      </c>
      <c r="EZ147" s="90">
        <f t="shared" si="62"/>
        <v>3.0009999999999999</v>
      </c>
      <c r="FA147" s="90">
        <f>ROUND(EZ147*IFERROR(VLOOKUP($DG147,'3121% SY'!$A$2:$M$324,13,FALSE),0),3)</f>
        <v>0.61599999999999999</v>
      </c>
    </row>
    <row r="148" spans="1:157" x14ac:dyDescent="0.25">
      <c r="A148" s="88" t="s">
        <v>148</v>
      </c>
      <c r="B148" s="90"/>
      <c r="C148" s="90">
        <v>1.242</v>
      </c>
      <c r="D148" s="90">
        <v>0.44600000000000001</v>
      </c>
      <c r="E148" s="90"/>
      <c r="F148" s="90">
        <v>3.9470000000000001</v>
      </c>
      <c r="G148" s="90"/>
      <c r="H148" s="90"/>
      <c r="I148" s="90">
        <v>2.113</v>
      </c>
      <c r="J148" s="90"/>
      <c r="K148" s="90"/>
      <c r="L148" s="90"/>
      <c r="M148" s="90"/>
      <c r="N148" s="90"/>
      <c r="O148" s="90">
        <v>0.33300000000000002</v>
      </c>
      <c r="P148" s="90">
        <v>2.25</v>
      </c>
      <c r="Q148" s="90">
        <v>1.667</v>
      </c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>
        <v>0.57799999999999996</v>
      </c>
      <c r="AE148" s="90">
        <v>0.75</v>
      </c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R148" s="90">
        <f t="shared" si="56"/>
        <v>5.5780000000000003</v>
      </c>
      <c r="AS148" s="90">
        <f>SUM($B148:M148)</f>
        <v>7.7479999999999993</v>
      </c>
      <c r="AT148" s="89"/>
      <c r="CL148" s="90">
        <f t="shared" si="57"/>
        <v>0</v>
      </c>
      <c r="CM148" s="90">
        <f t="shared" si="58"/>
        <v>0</v>
      </c>
      <c r="CN148" s="89"/>
      <c r="DD148" s="90">
        <f t="shared" si="59"/>
        <v>0</v>
      </c>
      <c r="DE148" s="90">
        <f t="shared" si="60"/>
        <v>0</v>
      </c>
      <c r="DF148" s="89"/>
      <c r="DG148" s="88" t="s">
        <v>221</v>
      </c>
      <c r="DH148" s="90"/>
      <c r="DI148" s="90"/>
      <c r="DJ148" s="90"/>
      <c r="DK148" s="90"/>
      <c r="DL148" s="90"/>
      <c r="DM148" s="90"/>
      <c r="DN148" s="90">
        <v>0.94099999999999995</v>
      </c>
      <c r="DO148" s="90">
        <v>0.63900000000000001</v>
      </c>
      <c r="DP148" s="90">
        <v>0.59399999999999997</v>
      </c>
      <c r="DQ148" s="90"/>
      <c r="DR148" s="90"/>
      <c r="DS148" s="90"/>
      <c r="DT148" s="90">
        <v>1</v>
      </c>
      <c r="DU148" s="90"/>
      <c r="DV148" s="90"/>
      <c r="DW148" s="90"/>
      <c r="DX148" s="90"/>
      <c r="DY148" s="90"/>
      <c r="DZ148" s="90">
        <v>2.5</v>
      </c>
      <c r="EA148" s="90">
        <v>1.75</v>
      </c>
      <c r="EB148" s="90">
        <v>0.75</v>
      </c>
      <c r="EC148" s="90"/>
      <c r="ED148" s="90"/>
      <c r="EE148" s="90"/>
      <c r="EF148" s="90">
        <v>8.0419999999999998</v>
      </c>
      <c r="EG148" s="90">
        <v>5.6289999999999996</v>
      </c>
      <c r="EH148" s="90">
        <v>2.4119999999999999</v>
      </c>
      <c r="EI148" s="90">
        <v>4.4000000000000004</v>
      </c>
      <c r="EJ148" s="90">
        <v>3.08</v>
      </c>
      <c r="EK148" s="90">
        <v>1.32</v>
      </c>
      <c r="EL148" s="90"/>
      <c r="EM148" s="90"/>
      <c r="EN148" s="90"/>
      <c r="EO148" s="90">
        <v>1</v>
      </c>
      <c r="EP148" s="90">
        <v>0.7</v>
      </c>
      <c r="EQ148" s="90">
        <v>0.3</v>
      </c>
      <c r="ER148" s="90"/>
      <c r="ES148" s="90"/>
      <c r="ET148" s="90"/>
      <c r="EU148" s="90"/>
      <c r="EV148" s="90"/>
      <c r="EW148" s="90"/>
      <c r="EX148" s="90">
        <f t="shared" si="61"/>
        <v>32.882999999999996</v>
      </c>
      <c r="EY148" s="90">
        <f>ROUND(EX148*IFERROR(VLOOKUP($DG148,'3121% SY'!$A$2:$M$324,13,FALSE),0),3)</f>
        <v>7.6029999999999998</v>
      </c>
      <c r="EZ148" s="90">
        <f t="shared" si="62"/>
        <v>2.1739999999999999</v>
      </c>
      <c r="FA148" s="90">
        <f>ROUND(EZ148*IFERROR(VLOOKUP($DG148,'3121% SY'!$A$2:$M$324,13,FALSE),0),3)</f>
        <v>0.503</v>
      </c>
    </row>
    <row r="149" spans="1:157" x14ac:dyDescent="0.25">
      <c r="A149" s="88" t="s">
        <v>149</v>
      </c>
      <c r="B149" s="90"/>
      <c r="C149" s="90"/>
      <c r="D149" s="90"/>
      <c r="E149" s="90">
        <v>3.2370000000000001</v>
      </c>
      <c r="F149" s="90">
        <v>0.372</v>
      </c>
      <c r="G149" s="90"/>
      <c r="H149" s="90"/>
      <c r="I149" s="90"/>
      <c r="J149" s="90"/>
      <c r="K149" s="90"/>
      <c r="L149" s="90"/>
      <c r="M149" s="90"/>
      <c r="N149" s="90"/>
      <c r="O149" s="90">
        <v>0.313</v>
      </c>
      <c r="P149" s="90">
        <v>0.38700000000000001</v>
      </c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>
        <v>0.23799999999999999</v>
      </c>
      <c r="AE149" s="90">
        <v>8.1000000000000003E-2</v>
      </c>
      <c r="AF149" s="90">
        <v>8.1000000000000003E-2</v>
      </c>
      <c r="AG149" s="90"/>
      <c r="AH149" s="90"/>
      <c r="AI149" s="90"/>
      <c r="AJ149" s="90"/>
      <c r="AK149" s="90"/>
      <c r="AL149" s="90"/>
      <c r="AM149" s="90"/>
      <c r="AN149" s="90"/>
      <c r="AO149" s="90"/>
      <c r="AR149" s="90">
        <f t="shared" si="56"/>
        <v>1.0999999999999999</v>
      </c>
      <c r="AS149" s="90">
        <f>SUM($B149:M149)</f>
        <v>3.609</v>
      </c>
      <c r="AT149" s="89"/>
      <c r="CL149" s="90">
        <f t="shared" si="57"/>
        <v>0</v>
      </c>
      <c r="CM149" s="90">
        <f t="shared" si="58"/>
        <v>0</v>
      </c>
      <c r="CN149" s="89"/>
      <c r="DD149" s="90">
        <f t="shared" si="59"/>
        <v>0</v>
      </c>
      <c r="DE149" s="90">
        <f t="shared" si="60"/>
        <v>0</v>
      </c>
      <c r="DF149" s="89"/>
      <c r="DG149" s="88" t="s">
        <v>222</v>
      </c>
      <c r="DH149" s="90"/>
      <c r="DI149" s="90"/>
      <c r="DJ149" s="90"/>
      <c r="DK149" s="90"/>
      <c r="DL149" s="90">
        <v>0.114</v>
      </c>
      <c r="DM149" s="90"/>
      <c r="DN149" s="90"/>
      <c r="DO149" s="90">
        <v>1.1659999999999999</v>
      </c>
      <c r="DP149" s="90"/>
      <c r="DQ149" s="90"/>
      <c r="DR149" s="90"/>
      <c r="DS149" s="90"/>
      <c r="DT149" s="90"/>
      <c r="DU149" s="90"/>
      <c r="DV149" s="90"/>
      <c r="DW149" s="90"/>
      <c r="DX149" s="90"/>
      <c r="DY149" s="90"/>
      <c r="DZ149" s="90">
        <v>0.9</v>
      </c>
      <c r="EA149" s="90"/>
      <c r="EB149" s="90"/>
      <c r="EC149" s="90"/>
      <c r="ED149" s="90"/>
      <c r="EE149" s="90"/>
      <c r="EF149" s="90">
        <v>1</v>
      </c>
      <c r="EG149" s="90">
        <v>0.20499999999999999</v>
      </c>
      <c r="EH149" s="90">
        <v>0.29499999999999998</v>
      </c>
      <c r="EI149" s="90"/>
      <c r="EJ149" s="90"/>
      <c r="EK149" s="90"/>
      <c r="EL149" s="90"/>
      <c r="EM149" s="90"/>
      <c r="EN149" s="90"/>
      <c r="EO149" s="90">
        <v>0.4</v>
      </c>
      <c r="EP149" s="90"/>
      <c r="EQ149" s="90"/>
      <c r="ER149" s="90"/>
      <c r="ES149" s="90"/>
      <c r="ET149" s="90"/>
      <c r="EU149" s="90"/>
      <c r="EV149" s="90"/>
      <c r="EW149" s="90"/>
      <c r="EX149" s="90">
        <f t="shared" si="61"/>
        <v>2.8</v>
      </c>
      <c r="EY149" s="90">
        <f>ROUND(EX149*IFERROR(VLOOKUP($DG149,'3121% SY'!$A$2:$M$324,13,FALSE),0),3)</f>
        <v>0.76400000000000001</v>
      </c>
      <c r="EZ149" s="90">
        <f t="shared" si="62"/>
        <v>1.28</v>
      </c>
      <c r="FA149" s="90">
        <f>ROUND(EZ149*IFERROR(VLOOKUP($DG149,'3121% SY'!$A$2:$M$324,13,FALSE),0),3)</f>
        <v>0.34899999999999998</v>
      </c>
    </row>
    <row r="150" spans="1:157" x14ac:dyDescent="0.25">
      <c r="A150" s="88" t="s">
        <v>150</v>
      </c>
      <c r="B150" s="90"/>
      <c r="C150" s="90"/>
      <c r="D150" s="90"/>
      <c r="E150" s="90"/>
      <c r="F150" s="90">
        <v>0.75800000000000001</v>
      </c>
      <c r="G150" s="90"/>
      <c r="H150" s="90">
        <v>1.389</v>
      </c>
      <c r="I150" s="90">
        <v>3.718</v>
      </c>
      <c r="J150" s="90">
        <v>0.752</v>
      </c>
      <c r="K150" s="90"/>
      <c r="L150" s="90"/>
      <c r="M150" s="90"/>
      <c r="N150" s="90"/>
      <c r="O150" s="90">
        <v>5</v>
      </c>
      <c r="P150" s="90">
        <v>3</v>
      </c>
      <c r="Q150" s="90">
        <v>1.5</v>
      </c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R150" s="90">
        <f t="shared" si="56"/>
        <v>9.5</v>
      </c>
      <c r="AS150" s="90">
        <f>SUM($B150:M150)</f>
        <v>6.617</v>
      </c>
      <c r="AT150" s="89"/>
      <c r="CL150" s="90">
        <f t="shared" si="57"/>
        <v>0</v>
      </c>
      <c r="CM150" s="90">
        <f t="shared" si="58"/>
        <v>0</v>
      </c>
      <c r="CN150" s="89"/>
      <c r="DD150" s="90">
        <f t="shared" si="59"/>
        <v>0</v>
      </c>
      <c r="DE150" s="90">
        <f t="shared" si="60"/>
        <v>0</v>
      </c>
      <c r="DF150" s="89"/>
      <c r="DG150" s="88" t="s">
        <v>223</v>
      </c>
      <c r="DH150" s="90"/>
      <c r="DI150" s="90"/>
      <c r="DJ150" s="90"/>
      <c r="DK150" s="90"/>
      <c r="DL150" s="90"/>
      <c r="DM150" s="90"/>
      <c r="DN150" s="90"/>
      <c r="DO150" s="90"/>
      <c r="DP150" s="90"/>
      <c r="DQ150" s="90"/>
      <c r="DR150" s="90"/>
      <c r="DS150" s="90"/>
      <c r="DT150" s="90"/>
      <c r="DU150" s="90"/>
      <c r="DV150" s="90"/>
      <c r="DW150" s="90"/>
      <c r="DX150" s="90"/>
      <c r="DY150" s="90"/>
      <c r="DZ150" s="90">
        <v>1</v>
      </c>
      <c r="EA150" s="90"/>
      <c r="EB150" s="90"/>
      <c r="EC150" s="90"/>
      <c r="ED150" s="90"/>
      <c r="EE150" s="90"/>
      <c r="EF150" s="90">
        <v>2.4</v>
      </c>
      <c r="EG150" s="90">
        <v>1</v>
      </c>
      <c r="EH150" s="90"/>
      <c r="EI150" s="90">
        <v>1.012</v>
      </c>
      <c r="EJ150" s="90">
        <v>0.156</v>
      </c>
      <c r="EK150" s="90">
        <v>8.3000000000000004E-2</v>
      </c>
      <c r="EL150" s="90"/>
      <c r="EM150" s="90"/>
      <c r="EN150" s="90"/>
      <c r="EO150" s="90"/>
      <c r="EP150" s="90"/>
      <c r="EQ150" s="90"/>
      <c r="ER150" s="90"/>
      <c r="ES150" s="90"/>
      <c r="ET150" s="90"/>
      <c r="EU150" s="90"/>
      <c r="EV150" s="90"/>
      <c r="EW150" s="90"/>
      <c r="EX150" s="90">
        <f t="shared" si="61"/>
        <v>5.6510000000000007</v>
      </c>
      <c r="EY150" s="90">
        <f>ROUND(EX150*IFERROR(VLOOKUP($DG150,'3121% SY'!$A$2:$M$324,13,FALSE),0),3)</f>
        <v>1.708</v>
      </c>
      <c r="EZ150" s="90">
        <f t="shared" si="62"/>
        <v>0</v>
      </c>
      <c r="FA150" s="90">
        <f>ROUND(EZ150*IFERROR(VLOOKUP($DG150,'3121% SY'!$A$2:$M$324,13,FALSE),0),3)</f>
        <v>0</v>
      </c>
    </row>
    <row r="151" spans="1:157" x14ac:dyDescent="0.25">
      <c r="A151" s="88" t="s">
        <v>151</v>
      </c>
      <c r="B151" s="90"/>
      <c r="C151" s="90"/>
      <c r="D151" s="90"/>
      <c r="E151" s="90">
        <v>0.33500000000000002</v>
      </c>
      <c r="F151" s="90"/>
      <c r="G151" s="90"/>
      <c r="H151" s="90"/>
      <c r="I151" s="90"/>
      <c r="J151" s="90"/>
      <c r="K151" s="90"/>
      <c r="L151" s="90"/>
      <c r="M151" s="90"/>
      <c r="N151" s="90"/>
      <c r="O151" s="90">
        <v>0.5</v>
      </c>
      <c r="P151" s="90">
        <v>0.5</v>
      </c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R151" s="90">
        <f t="shared" si="56"/>
        <v>1</v>
      </c>
      <c r="AS151" s="90">
        <f>SUM($B151:M151)</f>
        <v>0.33500000000000002</v>
      </c>
      <c r="AT151" s="89"/>
      <c r="CL151" s="90">
        <f t="shared" si="57"/>
        <v>0</v>
      </c>
      <c r="CM151" s="90">
        <f t="shared" si="58"/>
        <v>0</v>
      </c>
      <c r="CN151" s="89"/>
      <c r="DD151" s="90">
        <f t="shared" si="59"/>
        <v>0</v>
      </c>
      <c r="DE151" s="90">
        <f t="shared" si="60"/>
        <v>0</v>
      </c>
      <c r="DF151" s="89"/>
      <c r="DG151" s="88" t="s">
        <v>224</v>
      </c>
      <c r="DH151" s="90"/>
      <c r="DI151" s="90"/>
      <c r="DJ151" s="90"/>
      <c r="DK151" s="90"/>
      <c r="DL151" s="90"/>
      <c r="DM151" s="90"/>
      <c r="DN151" s="90"/>
      <c r="DO151" s="90">
        <v>0.74</v>
      </c>
      <c r="DP151" s="90"/>
      <c r="DQ151" s="90"/>
      <c r="DR151" s="90"/>
      <c r="DS151" s="90"/>
      <c r="DT151" s="90"/>
      <c r="DU151" s="90"/>
      <c r="DV151" s="90"/>
      <c r="DW151" s="90"/>
      <c r="DX151" s="90"/>
      <c r="DY151" s="90"/>
      <c r="DZ151" s="90"/>
      <c r="EA151" s="90"/>
      <c r="EB151" s="90"/>
      <c r="EC151" s="90"/>
      <c r="ED151" s="90"/>
      <c r="EE151" s="90"/>
      <c r="EF151" s="90"/>
      <c r="EG151" s="90"/>
      <c r="EH151" s="90"/>
      <c r="EI151" s="90"/>
      <c r="EJ151" s="90"/>
      <c r="EK151" s="90"/>
      <c r="EL151" s="90"/>
      <c r="EM151" s="90"/>
      <c r="EN151" s="90"/>
      <c r="EO151" s="90"/>
      <c r="EP151" s="90"/>
      <c r="EQ151" s="90"/>
      <c r="ER151" s="90"/>
      <c r="ES151" s="90"/>
      <c r="ET151" s="90"/>
      <c r="EU151" s="90"/>
      <c r="EV151" s="90"/>
      <c r="EW151" s="90"/>
      <c r="EX151" s="90">
        <f t="shared" si="61"/>
        <v>0</v>
      </c>
      <c r="EY151" s="90">
        <f>ROUND(EX151*IFERROR(VLOOKUP($DG151,'3121% SY'!$A$2:$M$324,13,FALSE),0),3)</f>
        <v>0</v>
      </c>
      <c r="EZ151" s="90">
        <f t="shared" si="62"/>
        <v>0.74</v>
      </c>
      <c r="FA151" s="90">
        <f>ROUND(EZ151*IFERROR(VLOOKUP($DG151,'3121% SY'!$A$2:$M$324,13,FALSE),0),3)</f>
        <v>0.121</v>
      </c>
    </row>
    <row r="152" spans="1:157" x14ac:dyDescent="0.25">
      <c r="A152" s="88" t="s">
        <v>152</v>
      </c>
      <c r="B152" s="90"/>
      <c r="C152" s="90"/>
      <c r="D152" s="90"/>
      <c r="E152" s="90">
        <v>0.24299999999999999</v>
      </c>
      <c r="F152" s="90">
        <v>0.40400000000000003</v>
      </c>
      <c r="G152" s="90">
        <v>0.161</v>
      </c>
      <c r="H152" s="90"/>
      <c r="I152" s="90">
        <v>0.39800000000000002</v>
      </c>
      <c r="J152" s="90"/>
      <c r="K152" s="90"/>
      <c r="L152" s="90"/>
      <c r="M152" s="90"/>
      <c r="N152" s="90"/>
      <c r="O152" s="90">
        <v>0.8</v>
      </c>
      <c r="P152" s="90">
        <v>0.75</v>
      </c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R152" s="90">
        <f t="shared" si="56"/>
        <v>1.55</v>
      </c>
      <c r="AS152" s="90">
        <f>SUM($B152:M152)</f>
        <v>1.206</v>
      </c>
      <c r="AT152" s="89"/>
      <c r="CL152" s="90">
        <f t="shared" si="57"/>
        <v>0</v>
      </c>
      <c r="CM152" s="90">
        <f t="shared" si="58"/>
        <v>0</v>
      </c>
      <c r="CN152" s="89"/>
      <c r="DD152" s="90">
        <f t="shared" si="59"/>
        <v>0</v>
      </c>
      <c r="DE152" s="90">
        <f t="shared" si="60"/>
        <v>0</v>
      </c>
      <c r="DF152" s="89"/>
      <c r="DG152" s="88" t="s">
        <v>225</v>
      </c>
      <c r="DH152" s="90"/>
      <c r="DI152" s="90"/>
      <c r="DJ152" s="90"/>
      <c r="DK152" s="90"/>
      <c r="DL152" s="90">
        <v>0.80900000000000005</v>
      </c>
      <c r="DM152" s="90"/>
      <c r="DN152" s="90"/>
      <c r="DO152" s="90">
        <v>2.278</v>
      </c>
      <c r="DP152" s="90"/>
      <c r="DQ152" s="90"/>
      <c r="DR152" s="90"/>
      <c r="DS152" s="90"/>
      <c r="DT152" s="90"/>
      <c r="DU152" s="90"/>
      <c r="DV152" s="90"/>
      <c r="DW152" s="90"/>
      <c r="DX152" s="90"/>
      <c r="DY152" s="90"/>
      <c r="DZ152" s="90"/>
      <c r="EA152" s="90"/>
      <c r="EB152" s="90"/>
      <c r="EC152" s="90"/>
      <c r="ED152" s="90"/>
      <c r="EE152" s="90"/>
      <c r="EF152" s="90"/>
      <c r="EG152" s="90"/>
      <c r="EH152" s="90"/>
      <c r="EI152" s="90"/>
      <c r="EJ152" s="90">
        <v>1</v>
      </c>
      <c r="EK152" s="90"/>
      <c r="EL152" s="90">
        <v>0.443</v>
      </c>
      <c r="EM152" s="90">
        <v>2.2240000000000002</v>
      </c>
      <c r="EN152" s="90"/>
      <c r="EO152" s="90"/>
      <c r="EP152" s="90"/>
      <c r="EQ152" s="90"/>
      <c r="ER152" s="90"/>
      <c r="ES152" s="90"/>
      <c r="ET152" s="90"/>
      <c r="EU152" s="90"/>
      <c r="EV152" s="90"/>
      <c r="EW152" s="90"/>
      <c r="EX152" s="90">
        <f t="shared" si="61"/>
        <v>3.6670000000000003</v>
      </c>
      <c r="EY152" s="90">
        <f>ROUND(EX152*IFERROR(VLOOKUP($DG152,'3121% SY'!$A$2:$M$324,13,FALSE),0),3)</f>
        <v>1.0009999999999999</v>
      </c>
      <c r="EZ152" s="90">
        <f t="shared" si="62"/>
        <v>3.0870000000000002</v>
      </c>
      <c r="FA152" s="90">
        <f>ROUND(EZ152*IFERROR(VLOOKUP($DG152,'3121% SY'!$A$2:$M$324,13,FALSE),0),3)</f>
        <v>0.84299999999999997</v>
      </c>
    </row>
    <row r="153" spans="1:157" x14ac:dyDescent="0.25">
      <c r="A153" s="88" t="s">
        <v>153</v>
      </c>
      <c r="B153" s="90"/>
      <c r="C153" s="90"/>
      <c r="D153" s="90"/>
      <c r="E153" s="90"/>
      <c r="F153" s="90">
        <v>0.14399999999999999</v>
      </c>
      <c r="G153" s="90"/>
      <c r="H153" s="90"/>
      <c r="I153" s="90"/>
      <c r="J153" s="90"/>
      <c r="K153" s="90"/>
      <c r="L153" s="90"/>
      <c r="M153" s="90"/>
      <c r="N153" s="90"/>
      <c r="O153" s="90">
        <v>0.48299999999999998</v>
      </c>
      <c r="P153" s="90"/>
      <c r="Q153" s="90">
        <v>0.14399999999999999</v>
      </c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R153" s="90">
        <f t="shared" si="56"/>
        <v>0.627</v>
      </c>
      <c r="AS153" s="90">
        <f>SUM($B153:M153)</f>
        <v>0.14399999999999999</v>
      </c>
      <c r="AT153" s="89"/>
      <c r="CL153" s="90">
        <f t="shared" si="57"/>
        <v>0</v>
      </c>
      <c r="CM153" s="90">
        <f t="shared" si="58"/>
        <v>0</v>
      </c>
      <c r="CN153" s="89"/>
      <c r="DD153" s="90">
        <f t="shared" si="59"/>
        <v>0</v>
      </c>
      <c r="DE153" s="90">
        <f t="shared" si="60"/>
        <v>0</v>
      </c>
      <c r="DF153" s="89"/>
      <c r="DG153" s="88" t="s">
        <v>226</v>
      </c>
      <c r="DH153" s="90"/>
      <c r="DI153" s="90"/>
      <c r="DJ153" s="90"/>
      <c r="DK153" s="90"/>
      <c r="DL153" s="90"/>
      <c r="DM153" s="90"/>
      <c r="DN153" s="90">
        <v>1.0529999999999999</v>
      </c>
      <c r="DO153" s="90">
        <v>1.714</v>
      </c>
      <c r="DP153" s="90">
        <v>0.56100000000000005</v>
      </c>
      <c r="DQ153" s="90"/>
      <c r="DR153" s="90"/>
      <c r="DS153" s="90"/>
      <c r="DT153" s="90"/>
      <c r="DU153" s="90"/>
      <c r="DV153" s="90"/>
      <c r="DW153" s="90"/>
      <c r="DX153" s="90"/>
      <c r="DY153" s="90"/>
      <c r="DZ153" s="90">
        <v>0.78300000000000003</v>
      </c>
      <c r="EA153" s="90"/>
      <c r="EB153" s="90"/>
      <c r="EC153" s="90"/>
      <c r="ED153" s="90"/>
      <c r="EE153" s="90"/>
      <c r="EF153" s="90">
        <v>3.44</v>
      </c>
      <c r="EG153" s="90"/>
      <c r="EH153" s="90">
        <v>1.56</v>
      </c>
      <c r="EI153" s="90">
        <v>3.4</v>
      </c>
      <c r="EJ153" s="90">
        <v>2</v>
      </c>
      <c r="EK153" s="90">
        <v>1</v>
      </c>
      <c r="EL153" s="90"/>
      <c r="EM153" s="90"/>
      <c r="EN153" s="90"/>
      <c r="EO153" s="90"/>
      <c r="EP153" s="90"/>
      <c r="EQ153" s="90"/>
      <c r="ER153" s="90">
        <v>2</v>
      </c>
      <c r="ES153" s="90"/>
      <c r="ET153" s="90"/>
      <c r="EU153" s="90"/>
      <c r="EV153" s="90"/>
      <c r="EW153" s="90"/>
      <c r="EX153" s="90">
        <f t="shared" si="61"/>
        <v>14.183</v>
      </c>
      <c r="EY153" s="90">
        <f>ROUND(EX153*IFERROR(VLOOKUP($DG153,'3121% SY'!$A$2:$M$324,13,FALSE),0),3)</f>
        <v>3.2589999999999999</v>
      </c>
      <c r="EZ153" s="90">
        <f t="shared" si="62"/>
        <v>3.3279999999999998</v>
      </c>
      <c r="FA153" s="90">
        <f>ROUND(EZ153*IFERROR(VLOOKUP($DG153,'3121% SY'!$A$2:$M$324,13,FALSE),0),3)</f>
        <v>0.76500000000000001</v>
      </c>
    </row>
    <row r="154" spans="1:157" x14ac:dyDescent="0.25">
      <c r="A154" s="88" t="s">
        <v>155</v>
      </c>
      <c r="B154" s="90"/>
      <c r="C154" s="90"/>
      <c r="D154" s="90"/>
      <c r="E154" s="90">
        <v>0.22</v>
      </c>
      <c r="F154" s="90">
        <v>0.61099999999999999</v>
      </c>
      <c r="G154" s="90"/>
      <c r="H154" s="90"/>
      <c r="I154" s="90"/>
      <c r="J154" s="90"/>
      <c r="K154" s="90"/>
      <c r="L154" s="90"/>
      <c r="M154" s="90"/>
      <c r="N154" s="90"/>
      <c r="O154" s="90">
        <v>0.497</v>
      </c>
      <c r="P154" s="90">
        <v>0.33100000000000002</v>
      </c>
      <c r="Q154" s="90">
        <v>0.16500000000000001</v>
      </c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R154" s="90">
        <f t="shared" si="56"/>
        <v>0.9930000000000001</v>
      </c>
      <c r="AS154" s="90">
        <f>SUM($B154:M154)</f>
        <v>0.83099999999999996</v>
      </c>
      <c r="AT154" s="89"/>
      <c r="CL154" s="90">
        <f t="shared" si="57"/>
        <v>0</v>
      </c>
      <c r="CM154" s="90">
        <f t="shared" si="58"/>
        <v>0</v>
      </c>
      <c r="CN154" s="89"/>
      <c r="DD154" s="90">
        <f t="shared" si="59"/>
        <v>0</v>
      </c>
      <c r="DE154" s="90">
        <f t="shared" si="60"/>
        <v>0</v>
      </c>
      <c r="DF154" s="89"/>
      <c r="DG154" s="88" t="s">
        <v>1</v>
      </c>
      <c r="DH154" s="90"/>
      <c r="DI154" s="90"/>
      <c r="DJ154" s="90"/>
      <c r="DK154" s="90"/>
      <c r="DL154" s="90"/>
      <c r="DM154" s="90"/>
      <c r="DN154" s="90"/>
      <c r="DO154" s="90">
        <v>8.7789999999999999</v>
      </c>
      <c r="DP154" s="90"/>
      <c r="DQ154" s="90"/>
      <c r="DR154" s="90"/>
      <c r="DS154" s="90"/>
      <c r="DT154" s="90">
        <v>2.59</v>
      </c>
      <c r="DU154" s="90">
        <v>1.4750000000000001</v>
      </c>
      <c r="DV154" s="90">
        <v>0.73799999999999999</v>
      </c>
      <c r="DW154" s="90"/>
      <c r="DX154" s="90"/>
      <c r="DY154" s="90"/>
      <c r="DZ154" s="90">
        <v>7.335</v>
      </c>
      <c r="EA154" s="90">
        <v>4.1859999999999999</v>
      </c>
      <c r="EB154" s="90">
        <v>2.0979999999999999</v>
      </c>
      <c r="EC154" s="90"/>
      <c r="ED154" s="90"/>
      <c r="EE154" s="90"/>
      <c r="EF154" s="90">
        <v>49.045000000000002</v>
      </c>
      <c r="EG154" s="90">
        <v>0.45800000000000002</v>
      </c>
      <c r="EH154" s="90">
        <v>0.82799999999999996</v>
      </c>
      <c r="EI154" s="90">
        <v>16.672000000000001</v>
      </c>
      <c r="EJ154" s="90">
        <v>6.383</v>
      </c>
      <c r="EK154" s="90">
        <v>6.88</v>
      </c>
      <c r="EL154" s="90">
        <v>0.17799999999999999</v>
      </c>
      <c r="EM154" s="90">
        <v>0.10299999999999999</v>
      </c>
      <c r="EN154" s="90">
        <v>0.05</v>
      </c>
      <c r="EO154" s="90">
        <v>3.7669999999999999</v>
      </c>
      <c r="EP154" s="90">
        <v>2.149</v>
      </c>
      <c r="EQ154" s="90">
        <v>1.0780000000000001</v>
      </c>
      <c r="ER154" s="90"/>
      <c r="ES154" s="90"/>
      <c r="ET154" s="90"/>
      <c r="EU154" s="90"/>
      <c r="EV154" s="90"/>
      <c r="EW154" s="90"/>
      <c r="EX154" s="90">
        <f t="shared" si="61"/>
        <v>106.01299999999998</v>
      </c>
      <c r="EY154" s="90">
        <f>ROUND(EX154*IFERROR(VLOOKUP($DG154,'3121% SY'!$A$2:$M$324,13,FALSE),0),3)</f>
        <v>25.751000000000001</v>
      </c>
      <c r="EZ154" s="90">
        <f t="shared" si="62"/>
        <v>8.7789999999999999</v>
      </c>
      <c r="FA154" s="90">
        <f>ROUND(EZ154*IFERROR(VLOOKUP($DG154,'3121% SY'!$A$2:$M$324,13,FALSE),0),3)</f>
        <v>2.1320000000000001</v>
      </c>
    </row>
    <row r="155" spans="1:157" x14ac:dyDescent="0.25">
      <c r="A155" s="88" t="s">
        <v>156</v>
      </c>
      <c r="B155" s="90"/>
      <c r="C155" s="90"/>
      <c r="D155" s="90"/>
      <c r="E155" s="90"/>
      <c r="F155" s="90"/>
      <c r="G155" s="90"/>
      <c r="H155" s="90">
        <v>0.33900000000000002</v>
      </c>
      <c r="I155" s="90">
        <v>0.33900000000000002</v>
      </c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R155" s="90">
        <f t="shared" si="56"/>
        <v>0</v>
      </c>
      <c r="AS155" s="90">
        <f>SUM($B155:M155)</f>
        <v>0.67800000000000005</v>
      </c>
      <c r="AT155" s="89"/>
      <c r="CL155" s="90">
        <f t="shared" si="57"/>
        <v>0</v>
      </c>
      <c r="CM155" s="90">
        <f t="shared" si="58"/>
        <v>0</v>
      </c>
      <c r="CN155" s="89"/>
      <c r="DD155" s="90">
        <f t="shared" si="59"/>
        <v>0</v>
      </c>
      <c r="DE155" s="90">
        <f t="shared" si="60"/>
        <v>0</v>
      </c>
      <c r="DF155" s="89"/>
      <c r="DG155" s="88" t="s">
        <v>229</v>
      </c>
      <c r="DH155" s="90"/>
      <c r="DI155" s="90"/>
      <c r="DJ155" s="90"/>
      <c r="DK155" s="90"/>
      <c r="DL155" s="90"/>
      <c r="DM155" s="90"/>
      <c r="DN155" s="90">
        <v>0.77700000000000002</v>
      </c>
      <c r="DO155" s="90"/>
      <c r="DP155" s="90">
        <v>0.185</v>
      </c>
      <c r="DQ155" s="90"/>
      <c r="DR155" s="90"/>
      <c r="DS155" s="90"/>
      <c r="DT155" s="90"/>
      <c r="DU155" s="90"/>
      <c r="DV155" s="90"/>
      <c r="DW155" s="90"/>
      <c r="DX155" s="90"/>
      <c r="DY155" s="90"/>
      <c r="DZ155" s="90"/>
      <c r="EA155" s="90"/>
      <c r="EB155" s="90"/>
      <c r="EC155" s="90"/>
      <c r="ED155" s="90"/>
      <c r="EE155" s="90"/>
      <c r="EF155" s="90">
        <v>0.8</v>
      </c>
      <c r="EG155" s="90"/>
      <c r="EH155" s="90"/>
      <c r="EI155" s="90">
        <v>1</v>
      </c>
      <c r="EJ155" s="90"/>
      <c r="EK155" s="90"/>
      <c r="EL155" s="90"/>
      <c r="EM155" s="90"/>
      <c r="EN155" s="90"/>
      <c r="EO155" s="90"/>
      <c r="EP155" s="90"/>
      <c r="EQ155" s="90"/>
      <c r="ER155" s="90"/>
      <c r="ES155" s="90"/>
      <c r="ET155" s="90"/>
      <c r="EU155" s="90"/>
      <c r="EV155" s="90"/>
      <c r="EW155" s="90"/>
      <c r="EX155" s="90">
        <f t="shared" si="61"/>
        <v>1.8</v>
      </c>
      <c r="EY155" s="90">
        <f>ROUND(EX155*IFERROR(VLOOKUP($DG155,'3121% SY'!$A$2:$M$324,13,FALSE),0),3)</f>
        <v>0.371</v>
      </c>
      <c r="EZ155" s="90">
        <f t="shared" si="62"/>
        <v>0.96199999999999997</v>
      </c>
      <c r="FA155" s="90">
        <f>ROUND(EZ155*IFERROR(VLOOKUP($DG155,'3121% SY'!$A$2:$M$324,13,FALSE),0),3)</f>
        <v>0.19800000000000001</v>
      </c>
    </row>
    <row r="156" spans="1:157" x14ac:dyDescent="0.25">
      <c r="A156" s="88" t="s">
        <v>157</v>
      </c>
      <c r="B156" s="90"/>
      <c r="C156" s="90"/>
      <c r="D156" s="90"/>
      <c r="E156" s="90">
        <v>4.2000000000000003E-2</v>
      </c>
      <c r="F156" s="90"/>
      <c r="G156" s="90"/>
      <c r="H156" s="90"/>
      <c r="I156" s="90"/>
      <c r="J156" s="90"/>
      <c r="K156" s="90"/>
      <c r="L156" s="90"/>
      <c r="M156" s="90"/>
      <c r="N156" s="90"/>
      <c r="O156" s="90">
        <v>0.5</v>
      </c>
      <c r="P156" s="90">
        <v>0.5</v>
      </c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R156" s="90">
        <f t="shared" si="56"/>
        <v>1</v>
      </c>
      <c r="AS156" s="90">
        <f>SUM($B156:M156)</f>
        <v>4.2000000000000003E-2</v>
      </c>
      <c r="AT156" s="89"/>
      <c r="CL156" s="90">
        <f t="shared" si="57"/>
        <v>0</v>
      </c>
      <c r="CM156" s="90">
        <f t="shared" si="58"/>
        <v>0</v>
      </c>
      <c r="CN156" s="89"/>
      <c r="DD156" s="90">
        <f t="shared" si="59"/>
        <v>0</v>
      </c>
      <c r="DE156" s="90">
        <f t="shared" si="60"/>
        <v>0</v>
      </c>
      <c r="DF156" s="89"/>
      <c r="DG156" s="88" t="s">
        <v>230</v>
      </c>
      <c r="DH156" s="90"/>
      <c r="DI156" s="90"/>
      <c r="DJ156" s="90"/>
      <c r="DK156" s="90"/>
      <c r="DL156" s="90"/>
      <c r="DM156" s="90"/>
      <c r="DN156" s="90"/>
      <c r="DO156" s="90">
        <v>0.68500000000000005</v>
      </c>
      <c r="DP156" s="90"/>
      <c r="DQ156" s="90"/>
      <c r="DR156" s="90"/>
      <c r="DS156" s="90"/>
      <c r="DT156" s="90"/>
      <c r="DU156" s="90"/>
      <c r="DV156" s="90"/>
      <c r="DW156" s="90"/>
      <c r="DX156" s="90"/>
      <c r="DY156" s="90"/>
      <c r="DZ156" s="90">
        <v>0.92</v>
      </c>
      <c r="EA156" s="90"/>
      <c r="EB156" s="90"/>
      <c r="EC156" s="90"/>
      <c r="ED156" s="90"/>
      <c r="EE156" s="90"/>
      <c r="EF156" s="90">
        <v>2.6859999999999999</v>
      </c>
      <c r="EG156" s="90"/>
      <c r="EH156" s="90"/>
      <c r="EI156" s="90"/>
      <c r="EJ156" s="90">
        <v>0.92</v>
      </c>
      <c r="EK156" s="90">
        <v>1</v>
      </c>
      <c r="EL156" s="90"/>
      <c r="EM156" s="90"/>
      <c r="EN156" s="90"/>
      <c r="EO156" s="90"/>
      <c r="EP156" s="90"/>
      <c r="EQ156" s="90"/>
      <c r="ER156" s="90"/>
      <c r="ES156" s="90"/>
      <c r="ET156" s="90"/>
      <c r="EU156" s="90"/>
      <c r="EV156" s="90"/>
      <c r="EW156" s="90"/>
      <c r="EX156" s="90">
        <f t="shared" si="61"/>
        <v>5.5259999999999998</v>
      </c>
      <c r="EY156" s="90">
        <f>ROUND(EX156*IFERROR(VLOOKUP($DG156,'3121% SY'!$A$2:$M$324,13,FALSE),0),3)</f>
        <v>0.97499999999999998</v>
      </c>
      <c r="EZ156" s="90">
        <f t="shared" si="62"/>
        <v>0.68500000000000005</v>
      </c>
      <c r="FA156" s="90">
        <f>ROUND(EZ156*IFERROR(VLOOKUP($DG156,'3121% SY'!$A$2:$M$324,13,FALSE),0),3)</f>
        <v>0.121</v>
      </c>
    </row>
    <row r="157" spans="1:157" x14ac:dyDescent="0.25">
      <c r="A157" s="88" t="s">
        <v>158</v>
      </c>
      <c r="B157" s="90"/>
      <c r="C157" s="90"/>
      <c r="D157" s="90"/>
      <c r="E157" s="90"/>
      <c r="F157" s="90">
        <v>0.72699999999999998</v>
      </c>
      <c r="G157" s="90"/>
      <c r="H157" s="90"/>
      <c r="I157" s="90"/>
      <c r="J157" s="90"/>
      <c r="K157" s="90"/>
      <c r="L157" s="90"/>
      <c r="M157" s="90"/>
      <c r="N157" s="90"/>
      <c r="O157" s="90"/>
      <c r="P157" s="90">
        <v>0.74</v>
      </c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>
        <v>1</v>
      </c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R157" s="90">
        <f t="shared" si="56"/>
        <v>1.74</v>
      </c>
      <c r="AS157" s="90">
        <f>SUM($B157:M157)</f>
        <v>0.72699999999999998</v>
      </c>
      <c r="AT157" s="89"/>
      <c r="CL157" s="90">
        <f t="shared" si="57"/>
        <v>0</v>
      </c>
      <c r="CM157" s="90">
        <f t="shared" si="58"/>
        <v>0</v>
      </c>
      <c r="CN157" s="89"/>
      <c r="DD157" s="90">
        <f t="shared" si="59"/>
        <v>0</v>
      </c>
      <c r="DE157" s="90">
        <f t="shared" si="60"/>
        <v>0</v>
      </c>
      <c r="DF157" s="89"/>
      <c r="DG157" s="88" t="s">
        <v>231</v>
      </c>
      <c r="DH157" s="90"/>
      <c r="DI157" s="90"/>
      <c r="DJ157" s="90"/>
      <c r="DK157" s="90"/>
      <c r="DL157" s="90"/>
      <c r="DM157" s="90"/>
      <c r="DN157" s="90"/>
      <c r="DO157" s="90">
        <v>4.085</v>
      </c>
      <c r="DP157" s="90"/>
      <c r="DQ157" s="90"/>
      <c r="DR157" s="90"/>
      <c r="DS157" s="90"/>
      <c r="DT157" s="90"/>
      <c r="DU157" s="90"/>
      <c r="DV157" s="90"/>
      <c r="DW157" s="90">
        <v>0.53800000000000003</v>
      </c>
      <c r="DX157" s="90"/>
      <c r="DY157" s="90"/>
      <c r="DZ157" s="90">
        <v>7.7779999999999996</v>
      </c>
      <c r="EA157" s="90">
        <v>0.91100000000000003</v>
      </c>
      <c r="EB157" s="90">
        <v>1.111</v>
      </c>
      <c r="EC157" s="90"/>
      <c r="ED157" s="90"/>
      <c r="EE157" s="90"/>
      <c r="EF157" s="90">
        <v>15.456</v>
      </c>
      <c r="EG157" s="90">
        <v>2.2000000000000002</v>
      </c>
      <c r="EH157" s="90">
        <v>1.8340000000000001</v>
      </c>
      <c r="EI157" s="90">
        <v>6.7549999999999999</v>
      </c>
      <c r="EJ157" s="90">
        <v>3.8849999999999998</v>
      </c>
      <c r="EK157" s="90">
        <v>1.6</v>
      </c>
      <c r="EL157" s="90"/>
      <c r="EM157" s="90"/>
      <c r="EN157" s="90"/>
      <c r="EO157" s="90">
        <v>4.7809999999999997</v>
      </c>
      <c r="EP157" s="90">
        <v>0.41599999999999998</v>
      </c>
      <c r="EQ157" s="90">
        <v>0.81699999999999995</v>
      </c>
      <c r="ER157" s="90"/>
      <c r="ES157" s="90"/>
      <c r="ET157" s="90"/>
      <c r="EU157" s="90"/>
      <c r="EV157" s="90"/>
      <c r="EW157" s="90"/>
      <c r="EX157" s="90">
        <f t="shared" si="61"/>
        <v>48.081999999999994</v>
      </c>
      <c r="EY157" s="90">
        <f>ROUND(EX157*IFERROR(VLOOKUP($DG157,'3121% SY'!$A$2:$M$324,13,FALSE),0),3)</f>
        <v>13.766</v>
      </c>
      <c r="EZ157" s="90">
        <f t="shared" si="62"/>
        <v>4.085</v>
      </c>
      <c r="FA157" s="90">
        <f>ROUND(EZ157*IFERROR(VLOOKUP($DG157,'3121% SY'!$A$2:$M$324,13,FALSE),0),3)</f>
        <v>1.17</v>
      </c>
    </row>
    <row r="158" spans="1:157" x14ac:dyDescent="0.25">
      <c r="A158" s="88" t="s">
        <v>159</v>
      </c>
      <c r="B158" s="90"/>
      <c r="C158" s="90"/>
      <c r="D158" s="90"/>
      <c r="E158" s="90"/>
      <c r="F158" s="90"/>
      <c r="G158" s="90"/>
      <c r="H158" s="90"/>
      <c r="I158" s="90">
        <v>0.17599999999999999</v>
      </c>
      <c r="J158" s="90"/>
      <c r="K158" s="90"/>
      <c r="L158" s="90"/>
      <c r="M158" s="90"/>
      <c r="N158" s="90"/>
      <c r="O158" s="90">
        <v>0.26600000000000001</v>
      </c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R158" s="90">
        <f t="shared" si="56"/>
        <v>0.26600000000000001</v>
      </c>
      <c r="AS158" s="90">
        <f>SUM($B158:M158)</f>
        <v>0.17599999999999999</v>
      </c>
      <c r="AT158" s="89"/>
      <c r="CL158" s="90">
        <f t="shared" si="57"/>
        <v>0</v>
      </c>
      <c r="CM158" s="90">
        <f t="shared" si="58"/>
        <v>0</v>
      </c>
      <c r="CN158" s="89"/>
      <c r="DD158" s="90">
        <f t="shared" si="59"/>
        <v>0</v>
      </c>
      <c r="DE158" s="90">
        <f t="shared" si="60"/>
        <v>0</v>
      </c>
      <c r="DF158" s="89"/>
      <c r="DG158" s="88" t="s">
        <v>232</v>
      </c>
      <c r="DH158" s="90"/>
      <c r="DI158" s="90"/>
      <c r="DJ158" s="90"/>
      <c r="DK158" s="90"/>
      <c r="DL158" s="90"/>
      <c r="DM158" s="90"/>
      <c r="DN158" s="90"/>
      <c r="DO158" s="90">
        <v>1.304</v>
      </c>
      <c r="DP158" s="90"/>
      <c r="DQ158" s="90"/>
      <c r="DR158" s="90"/>
      <c r="DS158" s="90"/>
      <c r="DT158" s="90">
        <v>1.03</v>
      </c>
      <c r="DU158" s="90">
        <v>0.5</v>
      </c>
      <c r="DV158" s="90">
        <v>0.47</v>
      </c>
      <c r="DW158" s="90">
        <v>0.5</v>
      </c>
      <c r="DX158" s="90"/>
      <c r="DY158" s="90">
        <v>0.5</v>
      </c>
      <c r="DZ158" s="90">
        <v>6.3</v>
      </c>
      <c r="EA158" s="90">
        <v>3.15</v>
      </c>
      <c r="EB158" s="90">
        <v>3.15</v>
      </c>
      <c r="EC158" s="90"/>
      <c r="ED158" s="90"/>
      <c r="EE158" s="90"/>
      <c r="EF158" s="90">
        <v>18.5</v>
      </c>
      <c r="EG158" s="90">
        <v>1.5</v>
      </c>
      <c r="EH158" s="90">
        <v>3.2</v>
      </c>
      <c r="EI158" s="90">
        <v>7</v>
      </c>
      <c r="EJ158" s="90">
        <v>3.33</v>
      </c>
      <c r="EK158" s="90">
        <v>3.67</v>
      </c>
      <c r="EL158" s="90"/>
      <c r="EM158" s="90"/>
      <c r="EN158" s="90"/>
      <c r="EO158" s="90">
        <v>2.6</v>
      </c>
      <c r="EP158" s="90">
        <v>1.3</v>
      </c>
      <c r="EQ158" s="90">
        <v>1.3</v>
      </c>
      <c r="ER158" s="90"/>
      <c r="ES158" s="90"/>
      <c r="ET158" s="90"/>
      <c r="EU158" s="90"/>
      <c r="EV158" s="90"/>
      <c r="EW158" s="90"/>
      <c r="EX158" s="90">
        <f t="shared" si="61"/>
        <v>58</v>
      </c>
      <c r="EY158" s="90">
        <f>ROUND(EX158*IFERROR(VLOOKUP($DG158,'3121% SY'!$A$2:$M$324,13,FALSE),0),3)</f>
        <v>20.248000000000001</v>
      </c>
      <c r="EZ158" s="90">
        <f t="shared" si="62"/>
        <v>1.304</v>
      </c>
      <c r="FA158" s="90">
        <f>ROUND(EZ158*IFERROR(VLOOKUP($DG158,'3121% SY'!$A$2:$M$324,13,FALSE),0),3)</f>
        <v>0.45500000000000002</v>
      </c>
    </row>
    <row r="159" spans="1:157" x14ac:dyDescent="0.25">
      <c r="A159" s="88" t="s">
        <v>160</v>
      </c>
      <c r="B159" s="90"/>
      <c r="C159" s="90"/>
      <c r="D159" s="90"/>
      <c r="E159" s="90"/>
      <c r="F159" s="90">
        <v>0.52800000000000002</v>
      </c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>
        <v>0.217</v>
      </c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R159" s="90">
        <f t="shared" si="56"/>
        <v>0.217</v>
      </c>
      <c r="AS159" s="90">
        <f>SUM($B159:M159)</f>
        <v>0.52800000000000002</v>
      </c>
      <c r="AT159" s="89"/>
      <c r="CL159" s="90">
        <f t="shared" si="57"/>
        <v>0</v>
      </c>
      <c r="CM159" s="90">
        <f t="shared" si="58"/>
        <v>0</v>
      </c>
      <c r="CN159" s="89"/>
      <c r="DD159" s="90">
        <f t="shared" si="59"/>
        <v>0</v>
      </c>
      <c r="DE159" s="90">
        <f t="shared" si="60"/>
        <v>0</v>
      </c>
      <c r="DF159" s="89"/>
      <c r="DG159" s="88" t="s">
        <v>233</v>
      </c>
      <c r="DH159" s="90"/>
      <c r="DI159" s="90"/>
      <c r="DJ159" s="90"/>
      <c r="DK159" s="90"/>
      <c r="DL159" s="90"/>
      <c r="DM159" s="90"/>
      <c r="DN159" s="90"/>
      <c r="DO159" s="90"/>
      <c r="DP159" s="90"/>
      <c r="DQ159" s="90"/>
      <c r="DR159" s="90"/>
      <c r="DS159" s="90"/>
      <c r="DT159" s="90"/>
      <c r="DU159" s="90"/>
      <c r="DV159" s="90"/>
      <c r="DW159" s="90"/>
      <c r="DX159" s="90"/>
      <c r="DY159" s="90"/>
      <c r="DZ159" s="90"/>
      <c r="EA159" s="90"/>
      <c r="EB159" s="90"/>
      <c r="EC159" s="90"/>
      <c r="ED159" s="90"/>
      <c r="EE159" s="90"/>
      <c r="EF159" s="90">
        <v>1</v>
      </c>
      <c r="EG159" s="90"/>
      <c r="EH159" s="90"/>
      <c r="EI159" s="90">
        <v>0.5</v>
      </c>
      <c r="EJ159" s="90">
        <v>0.70599999999999996</v>
      </c>
      <c r="EK159" s="90"/>
      <c r="EL159" s="90"/>
      <c r="EM159" s="90"/>
      <c r="EN159" s="90"/>
      <c r="EO159" s="90"/>
      <c r="EP159" s="90"/>
      <c r="EQ159" s="90"/>
      <c r="ER159" s="90"/>
      <c r="ES159" s="90"/>
      <c r="ET159" s="90"/>
      <c r="EU159" s="90">
        <v>1.1439999999999999</v>
      </c>
      <c r="EV159" s="90">
        <v>0.14299999999999999</v>
      </c>
      <c r="EW159" s="90">
        <v>0.14299999999999999</v>
      </c>
      <c r="EX159" s="90">
        <f t="shared" si="61"/>
        <v>3.6359999999999992</v>
      </c>
      <c r="EY159" s="90">
        <f>ROUND(EX159*IFERROR(VLOOKUP($DG159,'3121% SY'!$A$2:$M$324,13,FALSE),0),3)</f>
        <v>0.72799999999999998</v>
      </c>
      <c r="EZ159" s="90">
        <f t="shared" si="62"/>
        <v>0</v>
      </c>
      <c r="FA159" s="90">
        <f>ROUND(EZ159*IFERROR(VLOOKUP($DG159,'3121% SY'!$A$2:$M$324,13,FALSE),0),3)</f>
        <v>0</v>
      </c>
    </row>
    <row r="160" spans="1:157" x14ac:dyDescent="0.25">
      <c r="A160" s="88" t="s">
        <v>161</v>
      </c>
      <c r="B160" s="90"/>
      <c r="C160" s="90"/>
      <c r="D160" s="90"/>
      <c r="E160" s="90"/>
      <c r="F160" s="90">
        <v>6.0590000000000002</v>
      </c>
      <c r="G160" s="90"/>
      <c r="H160" s="90">
        <v>0.63600000000000001</v>
      </c>
      <c r="I160" s="90">
        <v>2.7709999999999999</v>
      </c>
      <c r="J160" s="90">
        <v>0.63600000000000001</v>
      </c>
      <c r="K160" s="90"/>
      <c r="L160" s="90"/>
      <c r="M160" s="90"/>
      <c r="N160" s="90"/>
      <c r="O160" s="90">
        <v>4.5</v>
      </c>
      <c r="P160" s="90">
        <v>4.55</v>
      </c>
      <c r="Q160" s="90">
        <v>1.6</v>
      </c>
      <c r="R160" s="90"/>
      <c r="S160" s="90"/>
      <c r="T160" s="90"/>
      <c r="U160" s="90"/>
      <c r="V160" s="90">
        <v>1</v>
      </c>
      <c r="W160" s="90"/>
      <c r="X160" s="90"/>
      <c r="Y160" s="90"/>
      <c r="Z160" s="90"/>
      <c r="AA160" s="90"/>
      <c r="AB160" s="90"/>
      <c r="AC160" s="90"/>
      <c r="AD160" s="90">
        <v>1</v>
      </c>
      <c r="AE160" s="90">
        <v>2.5</v>
      </c>
      <c r="AF160" s="90">
        <v>0.5</v>
      </c>
      <c r="AG160" s="90"/>
      <c r="AH160" s="90"/>
      <c r="AI160" s="90"/>
      <c r="AJ160" s="90"/>
      <c r="AK160" s="90"/>
      <c r="AL160" s="90"/>
      <c r="AM160" s="90"/>
      <c r="AN160" s="90"/>
      <c r="AO160" s="90"/>
      <c r="AR160" s="90">
        <f t="shared" si="56"/>
        <v>15.65</v>
      </c>
      <c r="AS160" s="90">
        <f>SUM($B160:M160)</f>
        <v>10.102</v>
      </c>
      <c r="AT160" s="89"/>
      <c r="CL160" s="90">
        <f t="shared" si="57"/>
        <v>0</v>
      </c>
      <c r="CM160" s="90">
        <f t="shared" si="58"/>
        <v>0</v>
      </c>
      <c r="CN160" s="89"/>
      <c r="DD160" s="90">
        <f t="shared" si="59"/>
        <v>0</v>
      </c>
      <c r="DE160" s="90">
        <f t="shared" si="60"/>
        <v>0</v>
      </c>
      <c r="DF160" s="89"/>
      <c r="DG160" s="88" t="s">
        <v>234</v>
      </c>
      <c r="DH160" s="90"/>
      <c r="DI160" s="90"/>
      <c r="DJ160" s="90"/>
      <c r="DK160" s="90"/>
      <c r="DL160" s="90">
        <v>2.42</v>
      </c>
      <c r="DM160" s="90"/>
      <c r="DN160" s="90"/>
      <c r="DO160" s="90"/>
      <c r="DP160" s="90"/>
      <c r="DQ160" s="90"/>
      <c r="DR160" s="90"/>
      <c r="DS160" s="90"/>
      <c r="DT160" s="90"/>
      <c r="DU160" s="90"/>
      <c r="DV160" s="90"/>
      <c r="DW160" s="90">
        <v>1</v>
      </c>
      <c r="DX160" s="90"/>
      <c r="DY160" s="90">
        <v>1</v>
      </c>
      <c r="DZ160" s="90">
        <v>4.83</v>
      </c>
      <c r="EA160" s="90"/>
      <c r="EB160" s="90"/>
      <c r="EC160" s="90"/>
      <c r="ED160" s="90"/>
      <c r="EE160" s="90"/>
      <c r="EF160" s="90">
        <v>10.5</v>
      </c>
      <c r="EG160" s="90">
        <v>0.7</v>
      </c>
      <c r="EH160" s="90">
        <v>1.8</v>
      </c>
      <c r="EI160" s="90">
        <v>3.8</v>
      </c>
      <c r="EJ160" s="90">
        <v>0.4</v>
      </c>
      <c r="EK160" s="90">
        <v>1.8</v>
      </c>
      <c r="EL160" s="90"/>
      <c r="EM160" s="90"/>
      <c r="EN160" s="90"/>
      <c r="EO160" s="90">
        <v>2</v>
      </c>
      <c r="EP160" s="90"/>
      <c r="EQ160" s="90">
        <v>1</v>
      </c>
      <c r="ER160" s="90"/>
      <c r="ES160" s="90"/>
      <c r="ET160" s="90"/>
      <c r="EU160" s="90"/>
      <c r="EV160" s="90"/>
      <c r="EW160" s="90"/>
      <c r="EX160" s="90">
        <f t="shared" si="61"/>
        <v>28.83</v>
      </c>
      <c r="EY160" s="90">
        <f>ROUND(EX160*IFERROR(VLOOKUP($DG160,'3121% SY'!$A$2:$M$324,13,FALSE),0),3)</f>
        <v>5.9329999999999998</v>
      </c>
      <c r="EZ160" s="90">
        <f t="shared" si="62"/>
        <v>2.42</v>
      </c>
      <c r="FA160" s="90">
        <f>ROUND(EZ160*IFERROR(VLOOKUP($DG160,'3121% SY'!$A$2:$M$324,13,FALSE),0),3)</f>
        <v>0.498</v>
      </c>
    </row>
    <row r="161" spans="1:157" x14ac:dyDescent="0.25">
      <c r="A161" s="88" t="s">
        <v>162</v>
      </c>
      <c r="B161" s="90"/>
      <c r="C161" s="90"/>
      <c r="D161" s="90"/>
      <c r="E161" s="90"/>
      <c r="F161" s="90">
        <v>0.58699999999999997</v>
      </c>
      <c r="G161" s="90"/>
      <c r="H161" s="90"/>
      <c r="I161" s="90">
        <v>0.16400000000000001</v>
      </c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R161" s="90">
        <f t="shared" si="56"/>
        <v>0</v>
      </c>
      <c r="AS161" s="90">
        <f>SUM($B161:M161)</f>
        <v>0.751</v>
      </c>
      <c r="AT161" s="89"/>
      <c r="CL161" s="90">
        <f t="shared" si="57"/>
        <v>0</v>
      </c>
      <c r="CM161" s="90">
        <f t="shared" si="58"/>
        <v>0</v>
      </c>
      <c r="CN161" s="89"/>
      <c r="DD161" s="90">
        <f t="shared" si="59"/>
        <v>0</v>
      </c>
      <c r="DE161" s="90">
        <f t="shared" si="60"/>
        <v>0</v>
      </c>
      <c r="DF161" s="89"/>
      <c r="DG161" s="88" t="s">
        <v>235</v>
      </c>
      <c r="DH161" s="90"/>
      <c r="DI161" s="90"/>
      <c r="DJ161" s="90"/>
      <c r="DK161" s="90"/>
      <c r="DL161" s="90">
        <v>3.45</v>
      </c>
      <c r="DM161" s="90"/>
      <c r="DN161" s="90">
        <v>1.236</v>
      </c>
      <c r="DO161" s="90">
        <v>0.64300000000000002</v>
      </c>
      <c r="DP161" s="90"/>
      <c r="DQ161" s="90"/>
      <c r="DR161" s="90"/>
      <c r="DS161" s="90"/>
      <c r="DT161" s="90"/>
      <c r="DU161" s="90"/>
      <c r="DV161" s="90"/>
      <c r="DW161" s="90"/>
      <c r="DX161" s="90"/>
      <c r="DY161" s="90"/>
      <c r="DZ161" s="90">
        <v>4</v>
      </c>
      <c r="EA161" s="90"/>
      <c r="EB161" s="90"/>
      <c r="EC161" s="90"/>
      <c r="ED161" s="90"/>
      <c r="EE161" s="90"/>
      <c r="EF161" s="90">
        <v>7</v>
      </c>
      <c r="EG161" s="90">
        <v>0.499</v>
      </c>
      <c r="EH161" s="90">
        <v>1.5009999999999999</v>
      </c>
      <c r="EI161" s="90">
        <v>5</v>
      </c>
      <c r="EJ161" s="90">
        <v>1</v>
      </c>
      <c r="EK161" s="90"/>
      <c r="EL161" s="90"/>
      <c r="EM161" s="90"/>
      <c r="EN161" s="90"/>
      <c r="EO161" s="90">
        <v>1</v>
      </c>
      <c r="EP161" s="90"/>
      <c r="EQ161" s="90"/>
      <c r="ER161" s="90"/>
      <c r="ES161" s="90"/>
      <c r="ET161" s="90"/>
      <c r="EU161" s="90"/>
      <c r="EV161" s="90"/>
      <c r="EW161" s="90"/>
      <c r="EX161" s="90">
        <f t="shared" si="61"/>
        <v>20</v>
      </c>
      <c r="EY161" s="90">
        <f>ROUND(EX161*IFERROR(VLOOKUP($DG161,'3121% SY'!$A$2:$M$324,13,FALSE),0),3)</f>
        <v>6.2759999999999998</v>
      </c>
      <c r="EZ161" s="90">
        <f t="shared" si="62"/>
        <v>5.3289999999999997</v>
      </c>
      <c r="FA161" s="90">
        <f>ROUND(EZ161*IFERROR(VLOOKUP($DG161,'3121% SY'!$A$2:$M$324,13,FALSE),0),3)</f>
        <v>1.6719999999999999</v>
      </c>
    </row>
    <row r="162" spans="1:157" x14ac:dyDescent="0.25">
      <c r="A162" s="88" t="s">
        <v>163</v>
      </c>
      <c r="B162" s="90"/>
      <c r="C162" s="90"/>
      <c r="D162" s="90"/>
      <c r="E162" s="90">
        <v>0.112</v>
      </c>
      <c r="F162" s="90">
        <v>5.8999999999999997E-2</v>
      </c>
      <c r="G162" s="90"/>
      <c r="H162" s="90"/>
      <c r="I162" s="90"/>
      <c r="J162" s="90"/>
      <c r="K162" s="90"/>
      <c r="L162" s="90"/>
      <c r="M162" s="90"/>
      <c r="N162" s="90"/>
      <c r="O162" s="90">
        <v>1.34</v>
      </c>
      <c r="P162" s="90"/>
      <c r="Q162" s="90">
        <v>0.66</v>
      </c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R162" s="90">
        <f t="shared" si="56"/>
        <v>2</v>
      </c>
      <c r="AS162" s="90">
        <f>SUM($B162:M162)</f>
        <v>0.17099999999999999</v>
      </c>
      <c r="AT162" s="89"/>
      <c r="CL162" s="90">
        <f t="shared" si="57"/>
        <v>0</v>
      </c>
      <c r="CM162" s="90">
        <f t="shared" si="58"/>
        <v>0</v>
      </c>
      <c r="CN162" s="89"/>
      <c r="DD162" s="90">
        <f t="shared" si="59"/>
        <v>0</v>
      </c>
      <c r="DE162" s="90">
        <f t="shared" si="60"/>
        <v>0</v>
      </c>
      <c r="DF162" s="89"/>
      <c r="DG162" s="88" t="s">
        <v>236</v>
      </c>
      <c r="DH162" s="90"/>
      <c r="DI162" s="90"/>
      <c r="DJ162" s="90"/>
      <c r="DK162" s="90"/>
      <c r="DL162" s="90"/>
      <c r="DM162" s="90"/>
      <c r="DN162" s="90"/>
      <c r="DO162" s="90"/>
      <c r="DP162" s="90"/>
      <c r="DQ162" s="90"/>
      <c r="DR162" s="90"/>
      <c r="DS162" s="90"/>
      <c r="DT162" s="90"/>
      <c r="DU162" s="90"/>
      <c r="DV162" s="90"/>
      <c r="DW162" s="90"/>
      <c r="DX162" s="90"/>
      <c r="DY162" s="90"/>
      <c r="DZ162" s="90"/>
      <c r="EA162" s="90"/>
      <c r="EB162" s="90"/>
      <c r="EC162" s="90"/>
      <c r="ED162" s="90"/>
      <c r="EE162" s="90"/>
      <c r="EF162" s="90"/>
      <c r="EG162" s="90"/>
      <c r="EH162" s="90"/>
      <c r="EI162" s="90"/>
      <c r="EJ162" s="90">
        <v>0.6</v>
      </c>
      <c r="EK162" s="90">
        <v>0.42499999999999999</v>
      </c>
      <c r="EL162" s="90"/>
      <c r="EM162" s="90"/>
      <c r="EN162" s="90"/>
      <c r="EO162" s="90"/>
      <c r="EP162" s="90"/>
      <c r="EQ162" s="90"/>
      <c r="ER162" s="90"/>
      <c r="ES162" s="90"/>
      <c r="ET162" s="90"/>
      <c r="EU162" s="90"/>
      <c r="EV162" s="90"/>
      <c r="EW162" s="90"/>
      <c r="EX162" s="90">
        <f t="shared" si="61"/>
        <v>1.0249999999999999</v>
      </c>
      <c r="EY162" s="90">
        <f>ROUND(EX162*IFERROR(VLOOKUP($DG162,'3121% SY'!$A$2:$M$324,13,FALSE),0),3)</f>
        <v>0.28299999999999997</v>
      </c>
      <c r="EZ162" s="90">
        <f t="shared" si="62"/>
        <v>0</v>
      </c>
      <c r="FA162" s="90">
        <f>ROUND(EZ162*IFERROR(VLOOKUP($DG162,'3121% SY'!$A$2:$M$324,13,FALSE),0),3)</f>
        <v>0</v>
      </c>
    </row>
    <row r="163" spans="1:157" x14ac:dyDescent="0.25">
      <c r="A163" s="88" t="s">
        <v>164</v>
      </c>
      <c r="B163" s="90"/>
      <c r="C163" s="90"/>
      <c r="D163" s="90"/>
      <c r="E163" s="90"/>
      <c r="F163" s="90">
        <v>2.0139999999999998</v>
      </c>
      <c r="G163" s="90"/>
      <c r="H163" s="90"/>
      <c r="I163" s="90"/>
      <c r="J163" s="90"/>
      <c r="K163" s="90"/>
      <c r="L163" s="90">
        <v>2.0939999999999999</v>
      </c>
      <c r="M163" s="90"/>
      <c r="N163" s="90"/>
      <c r="O163" s="90">
        <v>3.6619999999999999</v>
      </c>
      <c r="P163" s="90">
        <v>2</v>
      </c>
      <c r="Q163" s="90">
        <v>1.3380000000000001</v>
      </c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R163" s="90">
        <f t="shared" si="56"/>
        <v>7</v>
      </c>
      <c r="AS163" s="90">
        <f>SUM($B163:M163)</f>
        <v>4.1079999999999997</v>
      </c>
      <c r="AT163" s="89"/>
      <c r="CL163" s="90">
        <f t="shared" si="57"/>
        <v>0</v>
      </c>
      <c r="CM163" s="90">
        <f t="shared" si="58"/>
        <v>0</v>
      </c>
      <c r="CN163" s="89"/>
      <c r="DD163" s="90">
        <f t="shared" si="59"/>
        <v>0</v>
      </c>
      <c r="DE163" s="90">
        <f t="shared" si="60"/>
        <v>0</v>
      </c>
      <c r="DF163" s="89"/>
      <c r="DG163" s="88" t="s">
        <v>237</v>
      </c>
      <c r="DH163" s="90"/>
      <c r="DI163" s="90"/>
      <c r="DJ163" s="90"/>
      <c r="DK163" s="90"/>
      <c r="DL163" s="90"/>
      <c r="DM163" s="90"/>
      <c r="DN163" s="90"/>
      <c r="DO163" s="90">
        <v>0.78900000000000003</v>
      </c>
      <c r="DP163" s="90"/>
      <c r="DQ163" s="90"/>
      <c r="DR163" s="90"/>
      <c r="DS163" s="90"/>
      <c r="DT163" s="90"/>
      <c r="DU163" s="90"/>
      <c r="DV163" s="90"/>
      <c r="DW163" s="90"/>
      <c r="DX163" s="90"/>
      <c r="DY163" s="90"/>
      <c r="DZ163" s="90">
        <v>1.2210000000000001</v>
      </c>
      <c r="EA163" s="90">
        <v>0.1</v>
      </c>
      <c r="EB163" s="90">
        <v>0.14000000000000001</v>
      </c>
      <c r="EC163" s="90"/>
      <c r="ED163" s="90"/>
      <c r="EE163" s="90"/>
      <c r="EF163" s="90">
        <v>2.5</v>
      </c>
      <c r="EG163" s="90">
        <v>0.1</v>
      </c>
      <c r="EH163" s="90"/>
      <c r="EI163" s="90">
        <v>1.48</v>
      </c>
      <c r="EJ163" s="90">
        <v>1.8</v>
      </c>
      <c r="EK163" s="90">
        <v>1</v>
      </c>
      <c r="EL163" s="90">
        <v>0.23499999999999999</v>
      </c>
      <c r="EM163" s="90">
        <v>0.3</v>
      </c>
      <c r="EN163" s="90"/>
      <c r="EO163" s="90">
        <v>0.39</v>
      </c>
      <c r="EP163" s="90">
        <v>0.01</v>
      </c>
      <c r="EQ163" s="90">
        <v>0.15</v>
      </c>
      <c r="ER163" s="90">
        <v>5.3999999999999999E-2</v>
      </c>
      <c r="ES163" s="90">
        <v>1.4999999999999999E-2</v>
      </c>
      <c r="ET163" s="90">
        <v>2.1000000000000001E-2</v>
      </c>
      <c r="EU163" s="90"/>
      <c r="EV163" s="90"/>
      <c r="EW163" s="90"/>
      <c r="EX163" s="90">
        <f t="shared" si="61"/>
        <v>9.5160000000000036</v>
      </c>
      <c r="EY163" s="90">
        <f>ROUND(EX163*IFERROR(VLOOKUP($DG163,'3121% SY'!$A$2:$M$324,13,FALSE),0),3)</f>
        <v>1.921</v>
      </c>
      <c r="EZ163" s="90">
        <f t="shared" si="62"/>
        <v>0.78900000000000003</v>
      </c>
      <c r="FA163" s="90">
        <f>ROUND(EZ163*IFERROR(VLOOKUP($DG163,'3121% SY'!$A$2:$M$324,13,FALSE),0),3)</f>
        <v>0.159</v>
      </c>
    </row>
    <row r="164" spans="1:157" x14ac:dyDescent="0.25">
      <c r="A164" s="88" t="s">
        <v>165</v>
      </c>
      <c r="B164" s="90"/>
      <c r="C164" s="90"/>
      <c r="D164" s="90"/>
      <c r="E164" s="90"/>
      <c r="F164" s="90">
        <v>0.51</v>
      </c>
      <c r="G164" s="90"/>
      <c r="H164" s="90"/>
      <c r="I164" s="90"/>
      <c r="J164" s="90"/>
      <c r="K164" s="90"/>
      <c r="L164" s="90"/>
      <c r="M164" s="90"/>
      <c r="N164" s="90"/>
      <c r="O164" s="90">
        <v>0.77800000000000002</v>
      </c>
      <c r="P164" s="90"/>
      <c r="Q164" s="90">
        <v>0.222</v>
      </c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>
        <v>0.312</v>
      </c>
      <c r="AE164" s="90"/>
      <c r="AF164" s="90">
        <v>8.7999999999999995E-2</v>
      </c>
      <c r="AG164" s="90"/>
      <c r="AH164" s="90"/>
      <c r="AI164" s="90"/>
      <c r="AJ164" s="90"/>
      <c r="AK164" s="90"/>
      <c r="AL164" s="90"/>
      <c r="AM164" s="90"/>
      <c r="AN164" s="90"/>
      <c r="AO164" s="90"/>
      <c r="AR164" s="90">
        <f t="shared" si="56"/>
        <v>1.4000000000000001</v>
      </c>
      <c r="AS164" s="90">
        <f>SUM($B164:M164)</f>
        <v>0.51</v>
      </c>
      <c r="AT164" s="89"/>
      <c r="CL164" s="90">
        <f t="shared" si="57"/>
        <v>0</v>
      </c>
      <c r="CM164" s="90">
        <f t="shared" si="58"/>
        <v>0</v>
      </c>
      <c r="CN164" s="89"/>
      <c r="DD164" s="90">
        <f t="shared" si="59"/>
        <v>0</v>
      </c>
      <c r="DE164" s="90">
        <f t="shared" si="60"/>
        <v>0</v>
      </c>
      <c r="DF164" s="89"/>
      <c r="DG164" s="88" t="s">
        <v>238</v>
      </c>
      <c r="DH164" s="90"/>
      <c r="DI164" s="90"/>
      <c r="DJ164" s="90"/>
      <c r="DK164" s="90"/>
      <c r="DL164" s="90">
        <v>1.1240000000000001</v>
      </c>
      <c r="DM164" s="90"/>
      <c r="DN164" s="90"/>
      <c r="DO164" s="90"/>
      <c r="DP164" s="90"/>
      <c r="DQ164" s="90"/>
      <c r="DR164" s="90"/>
      <c r="DS164" s="90"/>
      <c r="DT164" s="90"/>
      <c r="DU164" s="90"/>
      <c r="DV164" s="90"/>
      <c r="DW164" s="90"/>
      <c r="DX164" s="90"/>
      <c r="DY164" s="90"/>
      <c r="DZ164" s="90">
        <v>0.8</v>
      </c>
      <c r="EA164" s="90"/>
      <c r="EB164" s="90">
        <v>0.05</v>
      </c>
      <c r="EC164" s="90"/>
      <c r="ED164" s="90"/>
      <c r="EE164" s="90"/>
      <c r="EF164" s="90">
        <v>2</v>
      </c>
      <c r="EG164" s="90">
        <v>0.08</v>
      </c>
      <c r="EH164" s="90">
        <v>0.16</v>
      </c>
      <c r="EI164" s="90">
        <v>1.8</v>
      </c>
      <c r="EJ164" s="90">
        <v>0.9</v>
      </c>
      <c r="EK164" s="90"/>
      <c r="EL164" s="90"/>
      <c r="EM164" s="90"/>
      <c r="EN164" s="90"/>
      <c r="EO164" s="90">
        <v>0.6</v>
      </c>
      <c r="EP164" s="90"/>
      <c r="EQ164" s="90">
        <v>0.09</v>
      </c>
      <c r="ER164" s="90"/>
      <c r="ES164" s="90"/>
      <c r="ET164" s="90"/>
      <c r="EU164" s="90"/>
      <c r="EV164" s="90"/>
      <c r="EW164" s="90"/>
      <c r="EX164" s="90">
        <f t="shared" si="61"/>
        <v>6.48</v>
      </c>
      <c r="EY164" s="90">
        <f>ROUND(EX164*IFERROR(VLOOKUP($DG164,'3121% SY'!$A$2:$M$324,13,FALSE),0),3)</f>
        <v>1.544</v>
      </c>
      <c r="EZ164" s="90">
        <f t="shared" si="62"/>
        <v>1.1240000000000001</v>
      </c>
      <c r="FA164" s="90">
        <f>ROUND(EZ164*IFERROR(VLOOKUP($DG164,'3121% SY'!$A$2:$M$324,13,FALSE),0),3)</f>
        <v>0.26800000000000002</v>
      </c>
    </row>
    <row r="165" spans="1:157" x14ac:dyDescent="0.25">
      <c r="A165" s="88" t="s">
        <v>166</v>
      </c>
      <c r="B165" s="90"/>
      <c r="C165" s="90"/>
      <c r="D165" s="90"/>
      <c r="E165" s="90"/>
      <c r="F165" s="90">
        <v>0.20200000000000001</v>
      </c>
      <c r="G165" s="90"/>
      <c r="H165" s="90"/>
      <c r="I165" s="90">
        <v>0.74</v>
      </c>
      <c r="J165" s="90"/>
      <c r="K165" s="90"/>
      <c r="L165" s="90"/>
      <c r="M165" s="90"/>
      <c r="N165" s="90"/>
      <c r="O165" s="90">
        <v>0.39500000000000002</v>
      </c>
      <c r="P165" s="90">
        <v>0.03</v>
      </c>
      <c r="Q165" s="90">
        <v>7.4999999999999997E-2</v>
      </c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R165" s="90">
        <f t="shared" si="56"/>
        <v>0.5</v>
      </c>
      <c r="AS165" s="90">
        <f>SUM($B165:M165)</f>
        <v>0.94199999999999995</v>
      </c>
      <c r="AT165" s="89"/>
      <c r="CL165" s="90">
        <f t="shared" si="57"/>
        <v>0</v>
      </c>
      <c r="CM165" s="90">
        <f t="shared" si="58"/>
        <v>0</v>
      </c>
      <c r="CN165" s="89"/>
      <c r="DD165" s="90">
        <f t="shared" si="59"/>
        <v>0</v>
      </c>
      <c r="DE165" s="90">
        <f t="shared" si="60"/>
        <v>0</v>
      </c>
      <c r="DF165" s="89"/>
      <c r="DG165" s="88" t="s">
        <v>239</v>
      </c>
      <c r="DH165" s="90"/>
      <c r="DI165" s="90"/>
      <c r="DJ165" s="90"/>
      <c r="DK165" s="90"/>
      <c r="DL165" s="90">
        <v>3.6999999999999998E-2</v>
      </c>
      <c r="DM165" s="90"/>
      <c r="DN165" s="90"/>
      <c r="DO165" s="90">
        <v>0.28899999999999998</v>
      </c>
      <c r="DP165" s="90"/>
      <c r="DQ165" s="90"/>
      <c r="DR165" s="90"/>
      <c r="DS165" s="90"/>
      <c r="DT165" s="90"/>
      <c r="DU165" s="90"/>
      <c r="DV165" s="90"/>
      <c r="DW165" s="90"/>
      <c r="DX165" s="90"/>
      <c r="DY165" s="90"/>
      <c r="DZ165" s="90">
        <v>0.185</v>
      </c>
      <c r="EA165" s="90">
        <v>0.111</v>
      </c>
      <c r="EB165" s="90">
        <v>0.14799999999999999</v>
      </c>
      <c r="EC165" s="90"/>
      <c r="ED165" s="90"/>
      <c r="EE165" s="90"/>
      <c r="EF165" s="90">
        <v>2</v>
      </c>
      <c r="EG165" s="90"/>
      <c r="EH165" s="90"/>
      <c r="EI165" s="90">
        <v>1</v>
      </c>
      <c r="EJ165" s="90">
        <v>0.6</v>
      </c>
      <c r="EK165" s="90">
        <v>0.4</v>
      </c>
      <c r="EL165" s="90"/>
      <c r="EM165" s="90"/>
      <c r="EN165" s="90"/>
      <c r="EO165" s="90">
        <v>0.66500000000000004</v>
      </c>
      <c r="EP165" s="90">
        <v>0.05</v>
      </c>
      <c r="EQ165" s="90">
        <v>3.5000000000000003E-2</v>
      </c>
      <c r="ER165" s="90"/>
      <c r="ES165" s="90"/>
      <c r="ET165" s="90"/>
      <c r="EU165" s="90"/>
      <c r="EV165" s="90"/>
      <c r="EW165" s="90"/>
      <c r="EX165" s="90">
        <f t="shared" si="61"/>
        <v>5.194</v>
      </c>
      <c r="EY165" s="90">
        <f>ROUND(EX165*IFERROR(VLOOKUP($DG165,'3121% SY'!$A$2:$M$324,13,FALSE),0),3)</f>
        <v>1.5289999999999999</v>
      </c>
      <c r="EZ165" s="90">
        <f t="shared" si="62"/>
        <v>0.32599999999999996</v>
      </c>
      <c r="FA165" s="90">
        <f>ROUND(EZ165*IFERROR(VLOOKUP($DG165,'3121% SY'!$A$2:$M$324,13,FALSE),0),3)</f>
        <v>9.6000000000000002E-2</v>
      </c>
    </row>
    <row r="166" spans="1:157" x14ac:dyDescent="0.25">
      <c r="A166" s="88" t="s">
        <v>167</v>
      </c>
      <c r="B166" s="90"/>
      <c r="C166" s="90"/>
      <c r="D166" s="90"/>
      <c r="E166" s="90"/>
      <c r="F166" s="90">
        <v>0.71599999999999997</v>
      </c>
      <c r="G166" s="90"/>
      <c r="H166" s="90"/>
      <c r="I166" s="90">
        <v>0.71499999999999997</v>
      </c>
      <c r="J166" s="90"/>
      <c r="K166" s="90"/>
      <c r="L166" s="90"/>
      <c r="M166" s="90"/>
      <c r="N166" s="90"/>
      <c r="O166" s="90">
        <v>2.3330000000000002</v>
      </c>
      <c r="P166" s="90">
        <v>1.5</v>
      </c>
      <c r="Q166" s="90">
        <v>0.66700000000000004</v>
      </c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R166" s="90">
        <f t="shared" si="56"/>
        <v>4.5</v>
      </c>
      <c r="AS166" s="90">
        <f>SUM($B166:M166)</f>
        <v>1.431</v>
      </c>
      <c r="AT166" s="89"/>
      <c r="CL166" s="90">
        <f t="shared" si="57"/>
        <v>0</v>
      </c>
      <c r="CM166" s="90">
        <f t="shared" si="58"/>
        <v>0</v>
      </c>
      <c r="CN166" s="89"/>
      <c r="DD166" s="90">
        <f t="shared" si="59"/>
        <v>0</v>
      </c>
      <c r="DE166" s="90">
        <f t="shared" si="60"/>
        <v>0</v>
      </c>
      <c r="DF166" s="89"/>
      <c r="DG166" s="88" t="s">
        <v>615</v>
      </c>
      <c r="DH166" s="90"/>
      <c r="DI166" s="90"/>
      <c r="DJ166" s="90"/>
      <c r="DK166" s="90"/>
      <c r="DL166" s="90"/>
      <c r="DM166" s="90"/>
      <c r="DN166" s="90"/>
      <c r="DO166" s="90"/>
      <c r="DP166" s="90"/>
      <c r="DQ166" s="90"/>
      <c r="DR166" s="90"/>
      <c r="DS166" s="90"/>
      <c r="DT166" s="90"/>
      <c r="DU166" s="90"/>
      <c r="DV166" s="90"/>
      <c r="DW166" s="90"/>
      <c r="DX166" s="90"/>
      <c r="DY166" s="90"/>
      <c r="DZ166" s="90"/>
      <c r="EA166" s="90"/>
      <c r="EB166" s="90"/>
      <c r="EC166" s="90"/>
      <c r="ED166" s="90"/>
      <c r="EE166" s="90"/>
      <c r="EF166" s="90">
        <v>1</v>
      </c>
      <c r="EG166" s="90"/>
      <c r="EH166" s="90"/>
      <c r="EI166" s="90"/>
      <c r="EJ166" s="90"/>
      <c r="EK166" s="90"/>
      <c r="EL166" s="90"/>
      <c r="EM166" s="90"/>
      <c r="EN166" s="90"/>
      <c r="EO166" s="90"/>
      <c r="EP166" s="90"/>
      <c r="EQ166" s="90"/>
      <c r="ER166" s="90"/>
      <c r="ES166" s="90"/>
      <c r="ET166" s="90"/>
      <c r="EU166" s="90"/>
      <c r="EV166" s="90"/>
      <c r="EW166" s="90"/>
      <c r="EX166" s="90">
        <f t="shared" si="61"/>
        <v>1</v>
      </c>
      <c r="EY166" s="90">
        <f>ROUND(EX166*IFERROR(VLOOKUP($DG166,'3121% SY'!$A$2:$M$324,13,FALSE),0),3)</f>
        <v>9.5000000000000001E-2</v>
      </c>
      <c r="EZ166" s="90">
        <f t="shared" si="62"/>
        <v>0</v>
      </c>
      <c r="FA166" s="90">
        <f>ROUND(EZ166*IFERROR(VLOOKUP($DG166,'3121% SY'!$A$2:$M$324,13,FALSE),0),3)</f>
        <v>0</v>
      </c>
    </row>
    <row r="167" spans="1:157" x14ac:dyDescent="0.25">
      <c r="A167" s="88" t="s">
        <v>168</v>
      </c>
      <c r="B167" s="90"/>
      <c r="C167" s="90"/>
      <c r="D167" s="90"/>
      <c r="E167" s="90">
        <v>1.0620000000000001</v>
      </c>
      <c r="F167" s="90">
        <v>1.571</v>
      </c>
      <c r="G167" s="90">
        <v>0.45</v>
      </c>
      <c r="H167" s="90"/>
      <c r="I167" s="90">
        <v>0.67600000000000005</v>
      </c>
      <c r="J167" s="90"/>
      <c r="K167" s="90"/>
      <c r="L167" s="90"/>
      <c r="M167" s="90"/>
      <c r="N167" s="90"/>
      <c r="O167" s="90">
        <v>1</v>
      </c>
      <c r="P167" s="90">
        <v>2</v>
      </c>
      <c r="Q167" s="90">
        <v>0.5</v>
      </c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R167" s="90">
        <f t="shared" si="56"/>
        <v>3.5</v>
      </c>
      <c r="AS167" s="90">
        <f>SUM($B167:M167)</f>
        <v>3.7590000000000003</v>
      </c>
      <c r="AT167" s="89"/>
      <c r="CL167" s="90">
        <f t="shared" si="57"/>
        <v>0</v>
      </c>
      <c r="CM167" s="90">
        <f t="shared" si="58"/>
        <v>0</v>
      </c>
      <c r="CN167" s="89"/>
      <c r="DD167" s="90">
        <f t="shared" si="59"/>
        <v>0</v>
      </c>
      <c r="DE167" s="90">
        <f t="shared" si="60"/>
        <v>0</v>
      </c>
      <c r="DF167" s="89"/>
      <c r="DG167" s="88" t="s">
        <v>628</v>
      </c>
      <c r="DH167" s="90"/>
      <c r="DI167" s="90"/>
      <c r="DJ167" s="90"/>
      <c r="DK167" s="90"/>
      <c r="DL167" s="90"/>
      <c r="DM167" s="90"/>
      <c r="DN167" s="90"/>
      <c r="DO167" s="90"/>
      <c r="DP167" s="90"/>
      <c r="DQ167" s="90"/>
      <c r="DR167" s="90"/>
      <c r="DS167" s="90"/>
      <c r="DT167" s="90"/>
      <c r="DU167" s="90"/>
      <c r="DV167" s="90"/>
      <c r="DW167" s="90"/>
      <c r="DX167" s="90">
        <v>0.8</v>
      </c>
      <c r="DY167" s="90"/>
      <c r="DZ167" s="90"/>
      <c r="EA167" s="90"/>
      <c r="EB167" s="90"/>
      <c r="EC167" s="90"/>
      <c r="ED167" s="90"/>
      <c r="EE167" s="90"/>
      <c r="EF167" s="90"/>
      <c r="EG167" s="90"/>
      <c r="EH167" s="90"/>
      <c r="EI167" s="90"/>
      <c r="EJ167" s="90"/>
      <c r="EK167" s="90"/>
      <c r="EL167" s="90"/>
      <c r="EM167" s="90"/>
      <c r="EN167" s="90"/>
      <c r="EO167" s="90"/>
      <c r="EP167" s="90"/>
      <c r="EQ167" s="90"/>
      <c r="ER167" s="90"/>
      <c r="ES167" s="90"/>
      <c r="ET167" s="90"/>
      <c r="EU167" s="90"/>
      <c r="EV167" s="90"/>
      <c r="EW167" s="90"/>
      <c r="EX167" s="90">
        <f t="shared" si="61"/>
        <v>0.8</v>
      </c>
      <c r="EY167" s="90">
        <f>ROUND(EX167*IFERROR(VLOOKUP($DG167,'3121% SY'!$A$2:$M$324,13,FALSE),0),3)</f>
        <v>9.9000000000000005E-2</v>
      </c>
      <c r="EZ167" s="90">
        <f t="shared" si="62"/>
        <v>0</v>
      </c>
      <c r="FA167" s="90">
        <f>ROUND(EZ167*IFERROR(VLOOKUP($DG167,'3121% SY'!$A$2:$M$324,13,FALSE),0),3)</f>
        <v>0</v>
      </c>
    </row>
    <row r="168" spans="1:157" x14ac:dyDescent="0.25">
      <c r="A168" s="88" t="s">
        <v>169</v>
      </c>
      <c r="B168" s="90"/>
      <c r="C168" s="90"/>
      <c r="D168" s="90"/>
      <c r="E168" s="90"/>
      <c r="F168" s="90"/>
      <c r="G168" s="90"/>
      <c r="H168" s="90">
        <v>0.83799999999999997</v>
      </c>
      <c r="I168" s="90">
        <v>5.8999999999999997E-2</v>
      </c>
      <c r="J168" s="90">
        <v>0.14599999999999999</v>
      </c>
      <c r="K168" s="90"/>
      <c r="L168" s="90"/>
      <c r="M168" s="90"/>
      <c r="N168" s="90"/>
      <c r="O168" s="90">
        <v>1</v>
      </c>
      <c r="P168" s="90">
        <v>1</v>
      </c>
      <c r="Q168" s="90">
        <v>0.75</v>
      </c>
      <c r="R168" s="90"/>
      <c r="S168" s="90"/>
      <c r="T168" s="90"/>
      <c r="U168" s="90"/>
      <c r="V168" s="90">
        <v>0.16</v>
      </c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R168" s="90">
        <f t="shared" si="56"/>
        <v>2.91</v>
      </c>
      <c r="AS168" s="90">
        <f>SUM($B168:M168)</f>
        <v>1.0429999999999999</v>
      </c>
      <c r="AT168" s="89"/>
      <c r="CL168" s="90">
        <f t="shared" si="57"/>
        <v>0</v>
      </c>
      <c r="CM168" s="90">
        <f t="shared" si="58"/>
        <v>0</v>
      </c>
      <c r="CN168" s="89"/>
      <c r="DD168" s="90">
        <f t="shared" si="59"/>
        <v>0</v>
      </c>
      <c r="DE168" s="90">
        <f t="shared" si="60"/>
        <v>0</v>
      </c>
      <c r="DF168" s="89"/>
      <c r="DG168" s="88" t="s">
        <v>241</v>
      </c>
      <c r="DH168" s="90"/>
      <c r="DI168" s="90"/>
      <c r="DJ168" s="90"/>
      <c r="DK168" s="90"/>
      <c r="DL168" s="90"/>
      <c r="DM168" s="90"/>
      <c r="DN168" s="90"/>
      <c r="DO168" s="90"/>
      <c r="DP168" s="90"/>
      <c r="DQ168" s="90"/>
      <c r="DR168" s="90"/>
      <c r="DS168" s="90"/>
      <c r="DT168" s="90"/>
      <c r="DU168" s="90"/>
      <c r="DV168" s="90"/>
      <c r="DW168" s="90"/>
      <c r="DX168" s="90"/>
      <c r="DY168" s="90"/>
      <c r="DZ168" s="90"/>
      <c r="EA168" s="90"/>
      <c r="EB168" s="90"/>
      <c r="EC168" s="90"/>
      <c r="ED168" s="90"/>
      <c r="EE168" s="90"/>
      <c r="EF168" s="90">
        <v>0.81200000000000006</v>
      </c>
      <c r="EG168" s="90">
        <v>8.3000000000000004E-2</v>
      </c>
      <c r="EH168" s="90">
        <v>6.3E-2</v>
      </c>
      <c r="EI168" s="90">
        <v>0.50900000000000001</v>
      </c>
      <c r="EJ168" s="90">
        <v>0.254</v>
      </c>
      <c r="EK168" s="90">
        <v>0.221</v>
      </c>
      <c r="EL168" s="90"/>
      <c r="EM168" s="90"/>
      <c r="EN168" s="90"/>
      <c r="EO168" s="90"/>
      <c r="EP168" s="90"/>
      <c r="EQ168" s="90"/>
      <c r="ER168" s="90"/>
      <c r="ES168" s="90"/>
      <c r="ET168" s="90"/>
      <c r="EU168" s="90"/>
      <c r="EV168" s="90"/>
      <c r="EW168" s="90"/>
      <c r="EX168" s="90">
        <f t="shared" si="61"/>
        <v>1.9420000000000002</v>
      </c>
      <c r="EY168" s="90">
        <f>ROUND(EX168*IFERROR(VLOOKUP($DG168,'3121% SY'!$A$2:$M$324,13,FALSE),0),3)</f>
        <v>0.51900000000000002</v>
      </c>
      <c r="EZ168" s="90">
        <f t="shared" si="62"/>
        <v>0</v>
      </c>
      <c r="FA168" s="90">
        <f>ROUND(EZ168*IFERROR(VLOOKUP($DG168,'3121% SY'!$A$2:$M$324,13,FALSE),0),3)</f>
        <v>0</v>
      </c>
    </row>
    <row r="169" spans="1:157" x14ac:dyDescent="0.25">
      <c r="A169" s="88" t="s">
        <v>170</v>
      </c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>
        <v>0.3</v>
      </c>
      <c r="Q169" s="90">
        <v>0.15</v>
      </c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>
        <v>0.182</v>
      </c>
      <c r="AE169" s="90">
        <v>0.128</v>
      </c>
      <c r="AF169" s="90">
        <v>6.4000000000000001E-2</v>
      </c>
      <c r="AG169" s="90"/>
      <c r="AH169" s="90"/>
      <c r="AI169" s="90"/>
      <c r="AJ169" s="90"/>
      <c r="AK169" s="90"/>
      <c r="AL169" s="90"/>
      <c r="AM169" s="90"/>
      <c r="AN169" s="90"/>
      <c r="AO169" s="90"/>
      <c r="AR169" s="90">
        <f t="shared" si="56"/>
        <v>0.82399999999999984</v>
      </c>
      <c r="AS169" s="90">
        <f>SUM($B169:M169)</f>
        <v>0</v>
      </c>
      <c r="AT169" s="89"/>
      <c r="CL169" s="90">
        <f t="shared" si="57"/>
        <v>0</v>
      </c>
      <c r="CM169" s="90">
        <f t="shared" si="58"/>
        <v>0</v>
      </c>
      <c r="CN169" s="89"/>
      <c r="DD169" s="90">
        <f t="shared" si="59"/>
        <v>0</v>
      </c>
      <c r="DE169" s="90">
        <f t="shared" si="60"/>
        <v>0</v>
      </c>
      <c r="DF169" s="89"/>
      <c r="DG169" s="88" t="s">
        <v>244</v>
      </c>
      <c r="DH169" s="90"/>
      <c r="DI169" s="90"/>
      <c r="DJ169" s="90"/>
      <c r="DK169" s="90"/>
      <c r="DL169" s="90"/>
      <c r="DM169" s="90"/>
      <c r="DN169" s="90">
        <v>0.60599999999999998</v>
      </c>
      <c r="DO169" s="90"/>
      <c r="DP169" s="90"/>
      <c r="DQ169" s="90"/>
      <c r="DR169" s="90"/>
      <c r="DS169" s="90"/>
      <c r="DT169" s="90"/>
      <c r="DU169" s="90"/>
      <c r="DV169" s="90"/>
      <c r="DW169" s="90"/>
      <c r="DX169" s="90"/>
      <c r="DY169" s="90"/>
      <c r="DZ169" s="90"/>
      <c r="EA169" s="90"/>
      <c r="EB169" s="90"/>
      <c r="EC169" s="90"/>
      <c r="ED169" s="90"/>
      <c r="EE169" s="90"/>
      <c r="EF169" s="90">
        <v>2</v>
      </c>
      <c r="EG169" s="90"/>
      <c r="EH169" s="90"/>
      <c r="EI169" s="90"/>
      <c r="EJ169" s="90"/>
      <c r="EK169" s="90"/>
      <c r="EL169" s="90"/>
      <c r="EM169" s="90"/>
      <c r="EN169" s="90"/>
      <c r="EO169" s="90">
        <v>0.5</v>
      </c>
      <c r="EP169" s="90">
        <v>0.28599999999999998</v>
      </c>
      <c r="EQ169" s="90">
        <v>0.14299999999999999</v>
      </c>
      <c r="ER169" s="90"/>
      <c r="ES169" s="90"/>
      <c r="ET169" s="90"/>
      <c r="EU169" s="90"/>
      <c r="EV169" s="90"/>
      <c r="EW169" s="90"/>
      <c r="EX169" s="90">
        <f t="shared" si="61"/>
        <v>2.9289999999999998</v>
      </c>
      <c r="EY169" s="90">
        <f>ROUND(EX169*IFERROR(VLOOKUP($DG169,'3121% SY'!$A$2:$M$324,13,FALSE),0),3)</f>
        <v>0.64400000000000002</v>
      </c>
      <c r="EZ169" s="90">
        <f t="shared" si="62"/>
        <v>0.60599999999999998</v>
      </c>
      <c r="FA169" s="90">
        <f>ROUND(EZ169*IFERROR(VLOOKUP($DG169,'3121% SY'!$A$2:$M$324,13,FALSE),0),3)</f>
        <v>0.13300000000000001</v>
      </c>
    </row>
    <row r="170" spans="1:157" x14ac:dyDescent="0.25">
      <c r="A170" s="88" t="s">
        <v>171</v>
      </c>
      <c r="B170" s="90"/>
      <c r="C170" s="90">
        <v>1.2490000000000001</v>
      </c>
      <c r="D170" s="90"/>
      <c r="E170" s="90"/>
      <c r="F170" s="90"/>
      <c r="G170" s="90"/>
      <c r="H170" s="90"/>
      <c r="I170" s="90">
        <v>0.57199999999999995</v>
      </c>
      <c r="J170" s="90"/>
      <c r="K170" s="90"/>
      <c r="L170" s="90"/>
      <c r="M170" s="90"/>
      <c r="N170" s="90"/>
      <c r="O170" s="90">
        <v>0.9</v>
      </c>
      <c r="P170" s="90">
        <v>0.5</v>
      </c>
      <c r="Q170" s="90">
        <v>0.5</v>
      </c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R170" s="90">
        <f t="shared" si="56"/>
        <v>1.9</v>
      </c>
      <c r="AS170" s="90">
        <f>SUM($B170:M170)</f>
        <v>1.8210000000000002</v>
      </c>
      <c r="AT170" s="89"/>
      <c r="CL170" s="90">
        <f t="shared" si="57"/>
        <v>0</v>
      </c>
      <c r="CM170" s="90">
        <f t="shared" si="58"/>
        <v>0</v>
      </c>
      <c r="CN170" s="89"/>
      <c r="DD170" s="90">
        <f t="shared" si="59"/>
        <v>0</v>
      </c>
      <c r="DE170" s="90">
        <f t="shared" si="60"/>
        <v>0</v>
      </c>
      <c r="DF170" s="89"/>
      <c r="DG170" s="88" t="s">
        <v>250</v>
      </c>
      <c r="DH170" s="90"/>
      <c r="DI170" s="90"/>
      <c r="DJ170" s="90"/>
      <c r="DK170" s="90"/>
      <c r="DL170" s="90"/>
      <c r="DM170" s="90"/>
      <c r="DN170" s="90">
        <v>0.42399999999999999</v>
      </c>
      <c r="DO170" s="90"/>
      <c r="DP170" s="90"/>
      <c r="DQ170" s="90"/>
      <c r="DR170" s="90"/>
      <c r="DS170" s="90"/>
      <c r="DT170" s="90"/>
      <c r="DU170" s="90"/>
      <c r="DV170" s="90"/>
      <c r="DW170" s="90"/>
      <c r="DX170" s="90"/>
      <c r="DY170" s="90"/>
      <c r="DZ170" s="90"/>
      <c r="EA170" s="90"/>
      <c r="EB170" s="90"/>
      <c r="EC170" s="90"/>
      <c r="ED170" s="90"/>
      <c r="EE170" s="90"/>
      <c r="EF170" s="90"/>
      <c r="EG170" s="90"/>
      <c r="EH170" s="90"/>
      <c r="EI170" s="90"/>
      <c r="EJ170" s="90"/>
      <c r="EK170" s="90"/>
      <c r="EL170" s="90"/>
      <c r="EM170" s="90"/>
      <c r="EN170" s="90"/>
      <c r="EO170" s="90"/>
      <c r="EP170" s="90"/>
      <c r="EQ170" s="90"/>
      <c r="ER170" s="90"/>
      <c r="ES170" s="90"/>
      <c r="ET170" s="90"/>
      <c r="EU170" s="90"/>
      <c r="EV170" s="90"/>
      <c r="EW170" s="90"/>
      <c r="EX170" s="90">
        <f t="shared" si="61"/>
        <v>0</v>
      </c>
      <c r="EY170" s="90">
        <f>ROUND(EX170*IFERROR(VLOOKUP($DG170,'3121% SY'!$A$2:$M$324,13,FALSE),0),3)</f>
        <v>0</v>
      </c>
      <c r="EZ170" s="90">
        <f t="shared" si="62"/>
        <v>0.42399999999999999</v>
      </c>
      <c r="FA170" s="90">
        <f>ROUND(EZ170*IFERROR(VLOOKUP($DG170,'3121% SY'!$A$2:$M$324,13,FALSE),0),3)</f>
        <v>6.7000000000000004E-2</v>
      </c>
    </row>
    <row r="171" spans="1:157" x14ac:dyDescent="0.25">
      <c r="A171" s="88" t="s">
        <v>172</v>
      </c>
      <c r="B171" s="90"/>
      <c r="C171" s="90"/>
      <c r="D171" s="90"/>
      <c r="E171" s="90"/>
      <c r="F171" s="90"/>
      <c r="G171" s="90"/>
      <c r="H171" s="90">
        <v>0.40899999999999997</v>
      </c>
      <c r="I171" s="90">
        <v>0.29899999999999999</v>
      </c>
      <c r="J171" s="90">
        <v>0.219</v>
      </c>
      <c r="K171" s="90"/>
      <c r="L171" s="90"/>
      <c r="M171" s="90"/>
      <c r="N171" s="90"/>
      <c r="O171" s="90">
        <v>0.96399999999999997</v>
      </c>
      <c r="P171" s="90">
        <v>0.95399999999999996</v>
      </c>
      <c r="Q171" s="90">
        <v>0.95399999999999996</v>
      </c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R171" s="90">
        <f t="shared" si="56"/>
        <v>2.8719999999999999</v>
      </c>
      <c r="AS171" s="90">
        <f>SUM($B171:M171)</f>
        <v>0.92699999999999994</v>
      </c>
      <c r="AT171" s="89"/>
      <c r="CL171" s="90">
        <f t="shared" si="57"/>
        <v>0</v>
      </c>
      <c r="CM171" s="90">
        <f t="shared" si="58"/>
        <v>0</v>
      </c>
      <c r="CN171" s="89"/>
      <c r="DD171" s="90">
        <f t="shared" si="59"/>
        <v>0</v>
      </c>
      <c r="DE171" s="90">
        <f t="shared" si="60"/>
        <v>0</v>
      </c>
      <c r="DF171" s="89"/>
      <c r="DG171" s="88" t="s">
        <v>251</v>
      </c>
      <c r="DH171" s="90"/>
      <c r="DI171" s="90"/>
      <c r="DJ171" s="90"/>
      <c r="DK171" s="90"/>
      <c r="DL171" s="90"/>
      <c r="DM171" s="90"/>
      <c r="DN171" s="90"/>
      <c r="DO171" s="90">
        <v>0.39</v>
      </c>
      <c r="DP171" s="90"/>
      <c r="DQ171" s="90"/>
      <c r="DR171" s="90"/>
      <c r="DS171" s="90"/>
      <c r="DT171" s="90"/>
      <c r="DU171" s="90"/>
      <c r="DV171" s="90"/>
      <c r="DW171" s="90"/>
      <c r="DX171" s="90"/>
      <c r="DY171" s="90"/>
      <c r="DZ171" s="90"/>
      <c r="EA171" s="90"/>
      <c r="EB171" s="90"/>
      <c r="EC171" s="90"/>
      <c r="ED171" s="90"/>
      <c r="EE171" s="90"/>
      <c r="EF171" s="90"/>
      <c r="EG171" s="90"/>
      <c r="EH171" s="90"/>
      <c r="EI171" s="90"/>
      <c r="EJ171" s="90">
        <v>0.2</v>
      </c>
      <c r="EK171" s="90">
        <v>0.1</v>
      </c>
      <c r="EL171" s="90"/>
      <c r="EM171" s="90"/>
      <c r="EN171" s="90"/>
      <c r="EO171" s="90"/>
      <c r="EP171" s="90"/>
      <c r="EQ171" s="90"/>
      <c r="ER171" s="90"/>
      <c r="ES171" s="90"/>
      <c r="ET171" s="90"/>
      <c r="EU171" s="90"/>
      <c r="EV171" s="90"/>
      <c r="EW171" s="90"/>
      <c r="EX171" s="90">
        <f t="shared" si="61"/>
        <v>0.30000000000000004</v>
      </c>
      <c r="EY171" s="90">
        <f>ROUND(EX171*IFERROR(VLOOKUP($DG171,'3121% SY'!$A$2:$M$324,13,FALSE),0),3)</f>
        <v>6.5000000000000002E-2</v>
      </c>
      <c r="EZ171" s="90">
        <f t="shared" si="62"/>
        <v>0.39</v>
      </c>
      <c r="FA171" s="90">
        <f>ROUND(EZ171*IFERROR(VLOOKUP($DG171,'3121% SY'!$A$2:$M$324,13,FALSE),0),3)</f>
        <v>8.4000000000000005E-2</v>
      </c>
    </row>
    <row r="172" spans="1:157" x14ac:dyDescent="0.25">
      <c r="A172" s="88" t="s">
        <v>173</v>
      </c>
      <c r="B172" s="90"/>
      <c r="C172" s="90"/>
      <c r="D172" s="90"/>
      <c r="E172" s="90"/>
      <c r="F172" s="90"/>
      <c r="G172" s="90"/>
      <c r="H172" s="90"/>
      <c r="I172" s="90">
        <v>0.68600000000000005</v>
      </c>
      <c r="J172" s="90"/>
      <c r="K172" s="90"/>
      <c r="L172" s="90"/>
      <c r="M172" s="90"/>
      <c r="N172" s="90"/>
      <c r="O172" s="90">
        <v>0.85</v>
      </c>
      <c r="P172" s="90">
        <v>0.7</v>
      </c>
      <c r="Q172" s="90">
        <v>0.3</v>
      </c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R172" s="90">
        <f t="shared" si="56"/>
        <v>1.8499999999999999</v>
      </c>
      <c r="AS172" s="90">
        <f>SUM($B172:M172)</f>
        <v>0.68600000000000005</v>
      </c>
      <c r="AT172" s="89"/>
      <c r="CL172" s="90">
        <f t="shared" si="57"/>
        <v>0</v>
      </c>
      <c r="CM172" s="90">
        <f t="shared" si="58"/>
        <v>0</v>
      </c>
      <c r="CN172" s="89"/>
      <c r="DD172" s="90">
        <f t="shared" si="59"/>
        <v>0</v>
      </c>
      <c r="DE172" s="90">
        <f t="shared" si="60"/>
        <v>0</v>
      </c>
      <c r="DF172" s="89"/>
      <c r="DG172" s="88" t="s">
        <v>252</v>
      </c>
      <c r="DH172" s="90"/>
      <c r="DI172" s="90"/>
      <c r="DJ172" s="90"/>
      <c r="DK172" s="90"/>
      <c r="DL172" s="90">
        <v>4.4329999999999998</v>
      </c>
      <c r="DM172" s="90"/>
      <c r="DN172" s="90"/>
      <c r="DO172" s="90">
        <v>0.95899999999999996</v>
      </c>
      <c r="DP172" s="90"/>
      <c r="DQ172" s="90"/>
      <c r="DR172" s="90"/>
      <c r="DS172" s="90"/>
      <c r="DT172" s="90"/>
      <c r="DU172" s="90"/>
      <c r="DV172" s="90"/>
      <c r="DW172" s="90"/>
      <c r="DX172" s="90"/>
      <c r="DY172" s="90"/>
      <c r="DZ172" s="90">
        <v>0.66600000000000004</v>
      </c>
      <c r="EA172" s="90">
        <v>0.112</v>
      </c>
      <c r="EB172" s="90">
        <v>0.111</v>
      </c>
      <c r="EC172" s="90"/>
      <c r="ED172" s="90"/>
      <c r="EE172" s="90"/>
      <c r="EF172" s="90">
        <v>3</v>
      </c>
      <c r="EG172" s="90"/>
      <c r="EH172" s="90"/>
      <c r="EI172" s="90">
        <v>2.6150000000000002</v>
      </c>
      <c r="EJ172" s="90">
        <v>3.0880000000000001</v>
      </c>
      <c r="EK172" s="90">
        <v>1.1759999999999999</v>
      </c>
      <c r="EL172" s="90"/>
      <c r="EM172" s="90"/>
      <c r="EN172" s="90"/>
      <c r="EO172" s="90">
        <v>1</v>
      </c>
      <c r="EP172" s="90"/>
      <c r="EQ172" s="90"/>
      <c r="ER172" s="90"/>
      <c r="ES172" s="90"/>
      <c r="ET172" s="90"/>
      <c r="EU172" s="90"/>
      <c r="EV172" s="90"/>
      <c r="EW172" s="90"/>
      <c r="EX172" s="90">
        <f t="shared" si="61"/>
        <v>11.768000000000001</v>
      </c>
      <c r="EY172" s="90">
        <f>ROUND(EX172*IFERROR(VLOOKUP($DG172,'3121% SY'!$A$2:$M$324,13,FALSE),0),3)</f>
        <v>2.9140000000000001</v>
      </c>
      <c r="EZ172" s="90">
        <f t="shared" si="62"/>
        <v>5.3919999999999995</v>
      </c>
      <c r="FA172" s="90">
        <f>ROUND(EZ172*IFERROR(VLOOKUP($DG172,'3121% SY'!$A$2:$M$324,13,FALSE),0),3)</f>
        <v>1.335</v>
      </c>
    </row>
    <row r="173" spans="1:157" x14ac:dyDescent="0.25">
      <c r="A173" s="88" t="s">
        <v>1247</v>
      </c>
      <c r="B173" s="90"/>
      <c r="C173" s="90"/>
      <c r="D173" s="90"/>
      <c r="E173" s="90">
        <v>5.56</v>
      </c>
      <c r="F173" s="90"/>
      <c r="G173" s="90">
        <v>0.69499999999999995</v>
      </c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R173" s="90">
        <f t="shared" si="56"/>
        <v>0</v>
      </c>
      <c r="AS173" s="90">
        <f>SUM($B173:M173)</f>
        <v>6.2549999999999999</v>
      </c>
      <c r="AT173" s="89"/>
      <c r="CL173" s="90">
        <f t="shared" si="57"/>
        <v>0</v>
      </c>
      <c r="CM173" s="90">
        <f t="shared" si="58"/>
        <v>0</v>
      </c>
      <c r="CN173" s="89"/>
      <c r="DD173" s="90">
        <f t="shared" si="59"/>
        <v>0</v>
      </c>
      <c r="DE173" s="90">
        <f t="shared" si="60"/>
        <v>0</v>
      </c>
      <c r="DF173" s="89"/>
      <c r="DG173" s="88" t="s">
        <v>253</v>
      </c>
      <c r="DH173" s="90"/>
      <c r="DI173" s="90"/>
      <c r="DJ173" s="90"/>
      <c r="DK173" s="90"/>
      <c r="DL173" s="90">
        <v>5.8140000000000001</v>
      </c>
      <c r="DM173" s="90"/>
      <c r="DN173" s="90"/>
      <c r="DO173" s="90">
        <v>2.8159999999999998</v>
      </c>
      <c r="DP173" s="90"/>
      <c r="DQ173" s="90"/>
      <c r="DR173" s="90"/>
      <c r="DS173" s="90"/>
      <c r="DT173" s="90"/>
      <c r="DU173" s="90"/>
      <c r="DV173" s="90"/>
      <c r="DW173" s="90"/>
      <c r="DX173" s="90"/>
      <c r="DY173" s="90"/>
      <c r="DZ173" s="90">
        <v>8.2210000000000001</v>
      </c>
      <c r="EA173" s="90">
        <v>1.673</v>
      </c>
      <c r="EB173" s="90">
        <v>1.1060000000000001</v>
      </c>
      <c r="EC173" s="90"/>
      <c r="ED173" s="90"/>
      <c r="EE173" s="90"/>
      <c r="EF173" s="90">
        <v>25.202000000000002</v>
      </c>
      <c r="EG173" s="90">
        <v>4.5110000000000001</v>
      </c>
      <c r="EH173" s="90">
        <v>3.3540000000000001</v>
      </c>
      <c r="EI173" s="90">
        <v>12.516999999999999</v>
      </c>
      <c r="EJ173" s="90">
        <v>4.9669999999999996</v>
      </c>
      <c r="EK173" s="90">
        <v>2.2200000000000002</v>
      </c>
      <c r="EL173" s="90"/>
      <c r="EM173" s="90"/>
      <c r="EN173" s="90"/>
      <c r="EO173" s="90">
        <v>3.2029999999999998</v>
      </c>
      <c r="EP173" s="90">
        <v>0.70699999999999996</v>
      </c>
      <c r="EQ173" s="90">
        <v>0.79</v>
      </c>
      <c r="ER173" s="90"/>
      <c r="ES173" s="90"/>
      <c r="ET173" s="90"/>
      <c r="EU173" s="90"/>
      <c r="EV173" s="90"/>
      <c r="EW173" s="90"/>
      <c r="EX173" s="90">
        <f t="shared" si="61"/>
        <v>68.471000000000004</v>
      </c>
      <c r="EY173" s="90">
        <f>ROUND(EX173*IFERROR(VLOOKUP($DG173,'3121% SY'!$A$2:$M$324,13,FALSE),0),3)</f>
        <v>17.768000000000001</v>
      </c>
      <c r="EZ173" s="90">
        <f t="shared" si="62"/>
        <v>8.629999999999999</v>
      </c>
      <c r="FA173" s="90">
        <f>ROUND(EZ173*IFERROR(VLOOKUP($DG173,'3121% SY'!$A$2:$M$324,13,FALSE),0),3)</f>
        <v>2.2389999999999999</v>
      </c>
    </row>
    <row r="174" spans="1:157" x14ac:dyDescent="0.25">
      <c r="A174" s="88" t="s">
        <v>174</v>
      </c>
      <c r="B174" s="90"/>
      <c r="C174" s="90"/>
      <c r="D174" s="90"/>
      <c r="E174" s="90">
        <v>1.0329999999999999</v>
      </c>
      <c r="F174" s="90"/>
      <c r="G174" s="90"/>
      <c r="H174" s="90"/>
      <c r="I174" s="90">
        <v>0.80400000000000005</v>
      </c>
      <c r="J174" s="90"/>
      <c r="K174" s="90"/>
      <c r="L174" s="90"/>
      <c r="M174" s="90"/>
      <c r="N174" s="90"/>
      <c r="O174" s="90"/>
      <c r="P174" s="90">
        <v>1.5</v>
      </c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R174" s="90">
        <f t="shared" si="56"/>
        <v>1.5</v>
      </c>
      <c r="AS174" s="90">
        <f>SUM($B174:M174)</f>
        <v>1.837</v>
      </c>
      <c r="AT174" s="89"/>
      <c r="CL174" s="90">
        <f t="shared" si="57"/>
        <v>0</v>
      </c>
      <c r="CM174" s="90">
        <f t="shared" si="58"/>
        <v>0</v>
      </c>
      <c r="CN174" s="89"/>
      <c r="DD174" s="90">
        <f t="shared" si="59"/>
        <v>0</v>
      </c>
      <c r="DE174" s="90">
        <f t="shared" si="60"/>
        <v>0</v>
      </c>
      <c r="DF174" s="89"/>
      <c r="DG174" s="88" t="s">
        <v>254</v>
      </c>
      <c r="DH174" s="90"/>
      <c r="DI174" s="90"/>
      <c r="DJ174" s="90"/>
      <c r="DK174" s="90">
        <v>1.3620000000000001</v>
      </c>
      <c r="DL174" s="90">
        <v>9.1999999999999998E-2</v>
      </c>
      <c r="DM174" s="90">
        <v>0.13600000000000001</v>
      </c>
      <c r="DN174" s="90">
        <v>6.1379999999999999</v>
      </c>
      <c r="DO174" s="90">
        <v>5.2140000000000004</v>
      </c>
      <c r="DP174" s="90"/>
      <c r="DQ174" s="90"/>
      <c r="DR174" s="90"/>
      <c r="DS174" s="90"/>
      <c r="DT174" s="90"/>
      <c r="DU174" s="90"/>
      <c r="DV174" s="90"/>
      <c r="DW174" s="90"/>
      <c r="DX174" s="90"/>
      <c r="DY174" s="90"/>
      <c r="DZ174" s="90">
        <v>2.4300000000000002</v>
      </c>
      <c r="EA174" s="90">
        <v>0.30399999999999999</v>
      </c>
      <c r="EB174" s="90">
        <v>0.22600000000000001</v>
      </c>
      <c r="EC174" s="90"/>
      <c r="ED174" s="90"/>
      <c r="EE174" s="90"/>
      <c r="EF174" s="90">
        <v>4.8540000000000001</v>
      </c>
      <c r="EG174" s="90">
        <v>3</v>
      </c>
      <c r="EH174" s="90">
        <v>0.82</v>
      </c>
      <c r="EI174" s="90">
        <v>3.1</v>
      </c>
      <c r="EJ174" s="90">
        <v>3.1</v>
      </c>
      <c r="EK174" s="90">
        <v>0.5</v>
      </c>
      <c r="EL174" s="90"/>
      <c r="EM174" s="90"/>
      <c r="EN174" s="90"/>
      <c r="EO174" s="90"/>
      <c r="EP174" s="90"/>
      <c r="EQ174" s="90"/>
      <c r="ER174" s="90">
        <v>0.54500000000000004</v>
      </c>
      <c r="ES174" s="90">
        <v>0.27300000000000002</v>
      </c>
      <c r="ET174" s="90">
        <v>0.182</v>
      </c>
      <c r="EU174" s="90"/>
      <c r="EV174" s="90"/>
      <c r="EW174" s="90"/>
      <c r="EX174" s="90">
        <f t="shared" si="61"/>
        <v>19.334</v>
      </c>
      <c r="EY174" s="90">
        <f>ROUND(EX174*IFERROR(VLOOKUP($DG174,'3121% SY'!$A$2:$M$324,13,FALSE),0),3)</f>
        <v>5.1059999999999999</v>
      </c>
      <c r="EZ174" s="90">
        <f t="shared" si="62"/>
        <v>12.942</v>
      </c>
      <c r="FA174" s="90">
        <f>ROUND(EZ174*IFERROR(VLOOKUP($DG174,'3121% SY'!$A$2:$M$324,13,FALSE),0),3)</f>
        <v>3.4180000000000001</v>
      </c>
    </row>
    <row r="175" spans="1:157" x14ac:dyDescent="0.25">
      <c r="A175" s="88" t="s">
        <v>175</v>
      </c>
      <c r="B175" s="90"/>
      <c r="C175" s="90"/>
      <c r="D175" s="90"/>
      <c r="E175" s="90"/>
      <c r="F175" s="90"/>
      <c r="G175" s="90"/>
      <c r="H175" s="90"/>
      <c r="I175" s="90">
        <v>0.64600000000000002</v>
      </c>
      <c r="J175" s="90"/>
      <c r="K175" s="90"/>
      <c r="L175" s="90"/>
      <c r="M175" s="90"/>
      <c r="N175" s="90"/>
      <c r="O175" s="90">
        <v>1.5</v>
      </c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R175" s="90">
        <f t="shared" si="56"/>
        <v>1.5</v>
      </c>
      <c r="AS175" s="90">
        <f>SUM($B175:M175)</f>
        <v>0.64600000000000002</v>
      </c>
      <c r="AT175" s="89"/>
      <c r="CL175" s="90">
        <f t="shared" si="57"/>
        <v>0</v>
      </c>
      <c r="CM175" s="90">
        <f t="shared" si="58"/>
        <v>0</v>
      </c>
      <c r="CN175" s="89"/>
      <c r="DD175" s="90">
        <f t="shared" si="59"/>
        <v>0</v>
      </c>
      <c r="DE175" s="90">
        <f t="shared" si="60"/>
        <v>0</v>
      </c>
      <c r="DF175" s="89"/>
      <c r="DG175" s="88" t="s">
        <v>255</v>
      </c>
      <c r="DH175" s="90"/>
      <c r="DI175" s="90"/>
      <c r="DJ175" s="90"/>
      <c r="DK175" s="90"/>
      <c r="DL175" s="90"/>
      <c r="DM175" s="90"/>
      <c r="DN175" s="90">
        <v>0.60099999999999998</v>
      </c>
      <c r="DO175" s="90">
        <v>1.3140000000000001</v>
      </c>
      <c r="DP175" s="90">
        <v>7.6999999999999999E-2</v>
      </c>
      <c r="DQ175" s="90"/>
      <c r="DR175" s="90"/>
      <c r="DS175" s="90"/>
      <c r="DT175" s="90"/>
      <c r="DU175" s="90"/>
      <c r="DV175" s="90"/>
      <c r="DW175" s="90"/>
      <c r="DX175" s="90"/>
      <c r="DY175" s="90"/>
      <c r="DZ175" s="90">
        <v>4.8</v>
      </c>
      <c r="EA175" s="90">
        <v>0.6</v>
      </c>
      <c r="EB175" s="90">
        <v>0.4</v>
      </c>
      <c r="EC175" s="90"/>
      <c r="ED175" s="90"/>
      <c r="EE175" s="90"/>
      <c r="EF175" s="90">
        <v>11.978</v>
      </c>
      <c r="EG175" s="90">
        <v>2.8</v>
      </c>
      <c r="EH175" s="90">
        <v>1.6</v>
      </c>
      <c r="EI175" s="90">
        <v>5.2670000000000003</v>
      </c>
      <c r="EJ175" s="90">
        <v>3.2</v>
      </c>
      <c r="EK175" s="90">
        <v>0.93300000000000005</v>
      </c>
      <c r="EL175" s="90"/>
      <c r="EM175" s="90"/>
      <c r="EN175" s="90"/>
      <c r="EO175" s="90">
        <v>2.2999999999999998</v>
      </c>
      <c r="EP175" s="90">
        <v>0.2</v>
      </c>
      <c r="EQ175" s="90">
        <v>0.1</v>
      </c>
      <c r="ER175" s="90"/>
      <c r="ES175" s="90"/>
      <c r="ET175" s="90"/>
      <c r="EU175" s="90"/>
      <c r="EV175" s="90"/>
      <c r="EW175" s="90"/>
      <c r="EX175" s="90">
        <f t="shared" si="61"/>
        <v>34.178000000000004</v>
      </c>
      <c r="EY175" s="90">
        <f>ROUND(EX175*IFERROR(VLOOKUP($DG175,'3121% SY'!$A$2:$M$324,13,FALSE),0),3)</f>
        <v>9.0299999999999994</v>
      </c>
      <c r="EZ175" s="90">
        <f t="shared" si="62"/>
        <v>1.992</v>
      </c>
      <c r="FA175" s="90">
        <f>ROUND(EZ175*IFERROR(VLOOKUP($DG175,'3121% SY'!$A$2:$M$324,13,FALSE),0),3)</f>
        <v>0.52600000000000002</v>
      </c>
    </row>
    <row r="176" spans="1:157" x14ac:dyDescent="0.25">
      <c r="A176" s="88" t="s">
        <v>176</v>
      </c>
      <c r="B176" s="90"/>
      <c r="C176" s="90"/>
      <c r="D176" s="90"/>
      <c r="E176" s="90">
        <v>0.10100000000000001</v>
      </c>
      <c r="F176" s="90">
        <v>0.16900000000000001</v>
      </c>
      <c r="G176" s="90">
        <v>3.3000000000000002E-2</v>
      </c>
      <c r="H176" s="90">
        <v>0.26700000000000002</v>
      </c>
      <c r="I176" s="90">
        <v>0.53200000000000003</v>
      </c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K176" s="90"/>
      <c r="AL176" s="90"/>
      <c r="AM176" s="90"/>
      <c r="AN176" s="90"/>
      <c r="AO176" s="90"/>
      <c r="AR176" s="90">
        <f t="shared" si="56"/>
        <v>0</v>
      </c>
      <c r="AS176" s="90">
        <f>SUM($B176:M176)</f>
        <v>1.1020000000000001</v>
      </c>
      <c r="AT176" s="89"/>
      <c r="CL176" s="90">
        <f t="shared" si="57"/>
        <v>0</v>
      </c>
      <c r="CM176" s="90">
        <f t="shared" si="58"/>
        <v>0</v>
      </c>
      <c r="CN176" s="89"/>
      <c r="DD176" s="90">
        <f t="shared" si="59"/>
        <v>0</v>
      </c>
      <c r="DE176" s="90">
        <f t="shared" si="60"/>
        <v>0</v>
      </c>
      <c r="DF176" s="89"/>
      <c r="DG176" s="88" t="s">
        <v>256</v>
      </c>
      <c r="DH176" s="90"/>
      <c r="DI176" s="90"/>
      <c r="DJ176" s="90"/>
      <c r="DK176" s="90"/>
      <c r="DL176" s="90"/>
      <c r="DM176" s="90"/>
      <c r="DN176" s="90">
        <v>0.92700000000000005</v>
      </c>
      <c r="DO176" s="90">
        <v>3.5999999999999997E-2</v>
      </c>
      <c r="DP176" s="90">
        <v>0.219</v>
      </c>
      <c r="DQ176" s="90"/>
      <c r="DR176" s="90"/>
      <c r="DS176" s="90"/>
      <c r="DT176" s="90"/>
      <c r="DU176" s="90"/>
      <c r="DV176" s="90"/>
      <c r="DW176" s="90"/>
      <c r="DX176" s="90"/>
      <c r="DY176" s="90"/>
      <c r="DZ176" s="90">
        <v>0.67</v>
      </c>
      <c r="EA176" s="90">
        <v>0.08</v>
      </c>
      <c r="EB176" s="90">
        <v>0.25</v>
      </c>
      <c r="EC176" s="90"/>
      <c r="ED176" s="90"/>
      <c r="EE176" s="90"/>
      <c r="EF176" s="90"/>
      <c r="EG176" s="90"/>
      <c r="EH176" s="90"/>
      <c r="EI176" s="90"/>
      <c r="EJ176" s="90"/>
      <c r="EK176" s="90"/>
      <c r="EL176" s="90"/>
      <c r="EM176" s="90"/>
      <c r="EN176" s="90"/>
      <c r="EO176" s="90"/>
      <c r="EP176" s="90"/>
      <c r="EQ176" s="90"/>
      <c r="ER176" s="90"/>
      <c r="ES176" s="90"/>
      <c r="ET176" s="90"/>
      <c r="EU176" s="90"/>
      <c r="EV176" s="90"/>
      <c r="EW176" s="90"/>
      <c r="EX176" s="90">
        <f t="shared" si="61"/>
        <v>1</v>
      </c>
      <c r="EY176" s="90">
        <f>ROUND(EX176*IFERROR(VLOOKUP($DG176,'3121% SY'!$A$2:$M$324,13,FALSE),0),3)</f>
        <v>0.23100000000000001</v>
      </c>
      <c r="EZ176" s="90">
        <f t="shared" si="62"/>
        <v>1.1820000000000002</v>
      </c>
      <c r="FA176" s="90">
        <f>ROUND(EZ176*IFERROR(VLOOKUP($DG176,'3121% SY'!$A$2:$M$324,13,FALSE),0),3)</f>
        <v>0.27400000000000002</v>
      </c>
    </row>
    <row r="177" spans="1:157" x14ac:dyDescent="0.25">
      <c r="A177" s="88" t="s">
        <v>177</v>
      </c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>
        <v>1</v>
      </c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R177" s="90">
        <f t="shared" si="56"/>
        <v>1</v>
      </c>
      <c r="AS177" s="90">
        <f>SUM($B177:M177)</f>
        <v>0</v>
      </c>
      <c r="AT177" s="89"/>
      <c r="CL177" s="90">
        <f t="shared" si="57"/>
        <v>0</v>
      </c>
      <c r="CM177" s="90">
        <f t="shared" si="58"/>
        <v>0</v>
      </c>
      <c r="CN177" s="89"/>
      <c r="DD177" s="90">
        <f t="shared" si="59"/>
        <v>0</v>
      </c>
      <c r="DE177" s="90">
        <f t="shared" si="60"/>
        <v>0</v>
      </c>
      <c r="DF177" s="89"/>
      <c r="DG177" s="88" t="s">
        <v>258</v>
      </c>
      <c r="DH177" s="90"/>
      <c r="DI177" s="90"/>
      <c r="DJ177" s="90"/>
      <c r="DK177" s="90"/>
      <c r="DL177" s="90"/>
      <c r="DM177" s="90"/>
      <c r="DN177" s="90"/>
      <c r="DO177" s="90">
        <v>0.88100000000000001</v>
      </c>
      <c r="DP177" s="90"/>
      <c r="DQ177" s="90"/>
      <c r="DR177" s="90"/>
      <c r="DS177" s="90"/>
      <c r="DT177" s="90"/>
      <c r="DU177" s="90"/>
      <c r="DV177" s="90"/>
      <c r="DW177" s="90"/>
      <c r="DX177" s="90"/>
      <c r="DY177" s="90"/>
      <c r="DZ177" s="90"/>
      <c r="EA177" s="90"/>
      <c r="EB177" s="90"/>
      <c r="EC177" s="90"/>
      <c r="ED177" s="90"/>
      <c r="EE177" s="90"/>
      <c r="EF177" s="90">
        <v>1.25</v>
      </c>
      <c r="EG177" s="90"/>
      <c r="EH177" s="90"/>
      <c r="EI177" s="90">
        <v>1.1000000000000001</v>
      </c>
      <c r="EJ177" s="90">
        <v>0.4</v>
      </c>
      <c r="EK177" s="90"/>
      <c r="EL177" s="90"/>
      <c r="EM177" s="90"/>
      <c r="EN177" s="90"/>
      <c r="EO177" s="90"/>
      <c r="EP177" s="90"/>
      <c r="EQ177" s="90"/>
      <c r="ER177" s="90"/>
      <c r="ES177" s="90"/>
      <c r="ET177" s="90"/>
      <c r="EU177" s="90"/>
      <c r="EV177" s="90"/>
      <c r="EW177" s="90"/>
      <c r="EX177" s="90">
        <f t="shared" si="61"/>
        <v>2.75</v>
      </c>
      <c r="EY177" s="90">
        <f>ROUND(EX177*IFERROR(VLOOKUP($DG177,'3121% SY'!$A$2:$M$324,13,FALSE),0),3)</f>
        <v>0.64400000000000002</v>
      </c>
      <c r="EZ177" s="90">
        <f t="shared" si="62"/>
        <v>0.88100000000000001</v>
      </c>
      <c r="FA177" s="90">
        <f>ROUND(EZ177*IFERROR(VLOOKUP($DG177,'3121% SY'!$A$2:$M$324,13,FALSE),0),3)</f>
        <v>0.20599999999999999</v>
      </c>
    </row>
    <row r="178" spans="1:157" x14ac:dyDescent="0.25">
      <c r="A178" s="88" t="s">
        <v>178</v>
      </c>
      <c r="B178" s="90"/>
      <c r="C178" s="90"/>
      <c r="D178" s="90"/>
      <c r="E178" s="90">
        <v>0.11799999999999999</v>
      </c>
      <c r="F178" s="90">
        <v>0.999</v>
      </c>
      <c r="G178" s="90"/>
      <c r="H178" s="90"/>
      <c r="I178" s="90"/>
      <c r="J178" s="90"/>
      <c r="K178" s="90"/>
      <c r="L178" s="90"/>
      <c r="M178" s="90"/>
      <c r="N178" s="90"/>
      <c r="O178" s="90">
        <v>0.49299999999999999</v>
      </c>
      <c r="P178" s="90">
        <v>0.33500000000000002</v>
      </c>
      <c r="Q178" s="90">
        <v>0.157</v>
      </c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R178" s="90">
        <f t="shared" si="56"/>
        <v>0.9850000000000001</v>
      </c>
      <c r="AS178" s="90">
        <f>SUM($B178:M178)</f>
        <v>1.117</v>
      </c>
      <c r="AT178" s="89"/>
      <c r="CL178" s="90">
        <f t="shared" si="57"/>
        <v>0</v>
      </c>
      <c r="CM178" s="90">
        <f t="shared" si="58"/>
        <v>0</v>
      </c>
      <c r="CN178" s="89"/>
      <c r="DD178" s="90">
        <f t="shared" si="59"/>
        <v>0</v>
      </c>
      <c r="DE178" s="90">
        <f t="shared" si="60"/>
        <v>0</v>
      </c>
      <c r="DF178" s="89"/>
      <c r="DG178" s="88" t="s">
        <v>259</v>
      </c>
      <c r="DH178" s="90"/>
      <c r="DI178" s="90"/>
      <c r="DJ178" s="90"/>
      <c r="DK178" s="90"/>
      <c r="DL178" s="90"/>
      <c r="DM178" s="90"/>
      <c r="DN178" s="90"/>
      <c r="DO178" s="90"/>
      <c r="DP178" s="90"/>
      <c r="DQ178" s="90"/>
      <c r="DR178" s="90"/>
      <c r="DS178" s="90"/>
      <c r="DT178" s="90"/>
      <c r="DU178" s="90"/>
      <c r="DV178" s="90"/>
      <c r="DW178" s="90"/>
      <c r="DX178" s="90"/>
      <c r="DY178" s="90"/>
      <c r="DZ178" s="90"/>
      <c r="EA178" s="90"/>
      <c r="EB178" s="90"/>
      <c r="EC178" s="90"/>
      <c r="ED178" s="90"/>
      <c r="EE178" s="90"/>
      <c r="EF178" s="90">
        <v>1</v>
      </c>
      <c r="EG178" s="90"/>
      <c r="EH178" s="90"/>
      <c r="EI178" s="90"/>
      <c r="EJ178" s="90"/>
      <c r="EK178" s="90"/>
      <c r="EL178" s="90"/>
      <c r="EM178" s="90"/>
      <c r="EN178" s="90"/>
      <c r="EO178" s="90"/>
      <c r="EP178" s="90"/>
      <c r="EQ178" s="90"/>
      <c r="ER178" s="90"/>
      <c r="ES178" s="90"/>
      <c r="ET178" s="90"/>
      <c r="EU178" s="90"/>
      <c r="EV178" s="90"/>
      <c r="EW178" s="90"/>
      <c r="EX178" s="90">
        <f t="shared" si="61"/>
        <v>1</v>
      </c>
      <c r="EY178" s="90">
        <f>ROUND(EX178*IFERROR(VLOOKUP($DG178,'3121% SY'!$A$2:$M$324,13,FALSE),0),3)</f>
        <v>0.249</v>
      </c>
      <c r="EZ178" s="90">
        <f t="shared" si="62"/>
        <v>0</v>
      </c>
      <c r="FA178" s="90">
        <f>ROUND(EZ178*IFERROR(VLOOKUP($DG178,'3121% SY'!$A$2:$M$324,13,FALSE),0),3)</f>
        <v>0</v>
      </c>
    </row>
    <row r="179" spans="1:157" x14ac:dyDescent="0.25">
      <c r="A179" s="88" t="s">
        <v>180</v>
      </c>
      <c r="B179" s="90"/>
      <c r="C179" s="90"/>
      <c r="D179" s="90"/>
      <c r="E179" s="90"/>
      <c r="F179" s="90"/>
      <c r="G179" s="90"/>
      <c r="H179" s="90"/>
      <c r="I179" s="90">
        <v>1.22</v>
      </c>
      <c r="J179" s="90"/>
      <c r="K179" s="90"/>
      <c r="L179" s="90"/>
      <c r="M179" s="90"/>
      <c r="N179" s="90"/>
      <c r="O179" s="90">
        <v>1</v>
      </c>
      <c r="P179" s="90"/>
      <c r="Q179" s="90">
        <v>1</v>
      </c>
      <c r="R179" s="90"/>
      <c r="S179" s="90"/>
      <c r="T179" s="90"/>
      <c r="U179" s="90">
        <v>0.5</v>
      </c>
      <c r="V179" s="90">
        <v>1.5</v>
      </c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R179" s="90">
        <f t="shared" si="56"/>
        <v>4</v>
      </c>
      <c r="AS179" s="90">
        <f>SUM($B179:M179)</f>
        <v>1.22</v>
      </c>
      <c r="AT179" s="89"/>
      <c r="CL179" s="90">
        <f t="shared" si="57"/>
        <v>0</v>
      </c>
      <c r="CM179" s="90">
        <f t="shared" si="58"/>
        <v>0</v>
      </c>
      <c r="CN179" s="89"/>
      <c r="DD179" s="90">
        <f t="shared" si="59"/>
        <v>0</v>
      </c>
      <c r="DE179" s="90">
        <f t="shared" si="60"/>
        <v>0</v>
      </c>
      <c r="DF179" s="89"/>
      <c r="DG179" s="88" t="s">
        <v>262</v>
      </c>
      <c r="DH179" s="90"/>
      <c r="DI179" s="90"/>
      <c r="DJ179" s="90"/>
      <c r="DK179" s="90"/>
      <c r="DL179" s="90">
        <v>3.7909999999999999</v>
      </c>
      <c r="DM179" s="90"/>
      <c r="DN179" s="90">
        <v>5.6000000000000001E-2</v>
      </c>
      <c r="DO179" s="90">
        <v>0.54800000000000004</v>
      </c>
      <c r="DP179" s="90"/>
      <c r="DQ179" s="90"/>
      <c r="DR179" s="90"/>
      <c r="DS179" s="90"/>
      <c r="DT179" s="90"/>
      <c r="DU179" s="90"/>
      <c r="DV179" s="90"/>
      <c r="DW179" s="90">
        <v>0.5</v>
      </c>
      <c r="DX179" s="90"/>
      <c r="DY179" s="90"/>
      <c r="DZ179" s="90">
        <v>1</v>
      </c>
      <c r="EA179" s="90"/>
      <c r="EB179" s="90"/>
      <c r="EC179" s="90"/>
      <c r="ED179" s="90"/>
      <c r="EE179" s="90"/>
      <c r="EF179" s="90">
        <v>5.1159999999999997</v>
      </c>
      <c r="EG179" s="90">
        <v>1.3080000000000001</v>
      </c>
      <c r="EH179" s="90">
        <v>1.3759999999999999</v>
      </c>
      <c r="EI179" s="90">
        <v>2.556</v>
      </c>
      <c r="EJ179" s="90">
        <v>2.15</v>
      </c>
      <c r="EK179" s="90">
        <v>0.89400000000000002</v>
      </c>
      <c r="EL179" s="90">
        <v>1.25</v>
      </c>
      <c r="EM179" s="90">
        <v>9.2999999999999999E-2</v>
      </c>
      <c r="EN179" s="90"/>
      <c r="EO179" s="90">
        <v>0.75</v>
      </c>
      <c r="EP179" s="90">
        <v>0.5</v>
      </c>
      <c r="EQ179" s="90">
        <v>0.5</v>
      </c>
      <c r="ER179" s="90"/>
      <c r="ES179" s="90"/>
      <c r="ET179" s="90"/>
      <c r="EU179" s="90">
        <v>2.0960000000000001</v>
      </c>
      <c r="EV179" s="90">
        <v>0.33800000000000002</v>
      </c>
      <c r="EW179" s="90">
        <v>0.16900000000000001</v>
      </c>
      <c r="EX179" s="90">
        <f t="shared" si="61"/>
        <v>20.596</v>
      </c>
      <c r="EY179" s="90">
        <f>ROUND(EX179*IFERROR(VLOOKUP($DG179,'3121% SY'!$A$2:$M$324,13,FALSE),0),3)</f>
        <v>4.6399999999999997</v>
      </c>
      <c r="EZ179" s="90">
        <f t="shared" si="62"/>
        <v>4.3949999999999996</v>
      </c>
      <c r="FA179" s="90">
        <f>ROUND(EZ179*IFERROR(VLOOKUP($DG179,'3121% SY'!$A$2:$M$324,13,FALSE),0),3)</f>
        <v>0.99</v>
      </c>
    </row>
    <row r="180" spans="1:157" x14ac:dyDescent="0.25">
      <c r="A180" s="88" t="s">
        <v>181</v>
      </c>
      <c r="B180" s="90"/>
      <c r="C180" s="90"/>
      <c r="D180" s="90"/>
      <c r="E180" s="90">
        <v>0.151</v>
      </c>
      <c r="F180" s="90">
        <v>1.9410000000000001</v>
      </c>
      <c r="G180" s="90"/>
      <c r="H180" s="90"/>
      <c r="I180" s="90"/>
      <c r="J180" s="90"/>
      <c r="K180" s="90"/>
      <c r="L180" s="90"/>
      <c r="M180" s="90"/>
      <c r="N180" s="90"/>
      <c r="O180" s="90">
        <v>0.28799999999999998</v>
      </c>
      <c r="P180" s="90">
        <v>0.14299999999999999</v>
      </c>
      <c r="Q180" s="90">
        <v>7.0999999999999994E-2</v>
      </c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K180" s="90"/>
      <c r="AL180" s="90"/>
      <c r="AM180" s="90"/>
      <c r="AN180" s="90"/>
      <c r="AO180" s="90"/>
      <c r="AR180" s="90">
        <f t="shared" si="56"/>
        <v>0.50199999999999989</v>
      </c>
      <c r="AS180" s="90">
        <f>SUM($B180:M180)</f>
        <v>2.0920000000000001</v>
      </c>
      <c r="AT180" s="89"/>
      <c r="CL180" s="90">
        <f t="shared" si="57"/>
        <v>0</v>
      </c>
      <c r="CM180" s="90">
        <f t="shared" si="58"/>
        <v>0</v>
      </c>
      <c r="CN180" s="89"/>
      <c r="DD180" s="90">
        <f t="shared" si="59"/>
        <v>0</v>
      </c>
      <c r="DE180" s="90">
        <f t="shared" si="60"/>
        <v>0</v>
      </c>
      <c r="DF180" s="89"/>
      <c r="DG180" s="88" t="s">
        <v>263</v>
      </c>
      <c r="DH180" s="90"/>
      <c r="DI180" s="90"/>
      <c r="DJ180" s="90"/>
      <c r="DK180" s="90"/>
      <c r="DL180" s="90">
        <v>0.91500000000000004</v>
      </c>
      <c r="DM180" s="90"/>
      <c r="DN180" s="90">
        <v>0.68500000000000005</v>
      </c>
      <c r="DO180" s="90"/>
      <c r="DP180" s="90"/>
      <c r="DQ180" s="90"/>
      <c r="DR180" s="90"/>
      <c r="DS180" s="90"/>
      <c r="DT180" s="90"/>
      <c r="DU180" s="90"/>
      <c r="DV180" s="90"/>
      <c r="DW180" s="90"/>
      <c r="DX180" s="90"/>
      <c r="DY180" s="90"/>
      <c r="DZ180" s="90"/>
      <c r="EA180" s="90"/>
      <c r="EB180" s="90"/>
      <c r="EC180" s="90"/>
      <c r="ED180" s="90"/>
      <c r="EE180" s="90"/>
      <c r="EF180" s="90">
        <v>1</v>
      </c>
      <c r="EG180" s="90"/>
      <c r="EH180" s="90"/>
      <c r="EI180" s="90">
        <v>1</v>
      </c>
      <c r="EJ180" s="90"/>
      <c r="EK180" s="90"/>
      <c r="EL180" s="90"/>
      <c r="EM180" s="90"/>
      <c r="EN180" s="90"/>
      <c r="EO180" s="90"/>
      <c r="EP180" s="90"/>
      <c r="EQ180" s="90"/>
      <c r="ER180" s="90"/>
      <c r="ES180" s="90"/>
      <c r="ET180" s="90"/>
      <c r="EU180" s="90"/>
      <c r="EV180" s="90"/>
      <c r="EW180" s="90"/>
      <c r="EX180" s="90">
        <f t="shared" si="61"/>
        <v>2</v>
      </c>
      <c r="EY180" s="90">
        <f>ROUND(EX180*IFERROR(VLOOKUP($DG180,'3121% SY'!$A$2:$M$324,13,FALSE),0),3)</f>
        <v>0.54500000000000004</v>
      </c>
      <c r="EZ180" s="90">
        <f t="shared" si="62"/>
        <v>1.6</v>
      </c>
      <c r="FA180" s="90">
        <f>ROUND(EZ180*IFERROR(VLOOKUP($DG180,'3121% SY'!$A$2:$M$324,13,FALSE),0),3)</f>
        <v>0.436</v>
      </c>
    </row>
    <row r="181" spans="1:157" x14ac:dyDescent="0.25">
      <c r="A181" s="88" t="s">
        <v>182</v>
      </c>
      <c r="B181" s="90"/>
      <c r="C181" s="90"/>
      <c r="D181" s="90"/>
      <c r="E181" s="90"/>
      <c r="F181" s="90"/>
      <c r="G181" s="90"/>
      <c r="H181" s="90"/>
      <c r="I181" s="90">
        <v>0.14699999999999999</v>
      </c>
      <c r="J181" s="90">
        <v>4.3999999999999997E-2</v>
      </c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>
        <v>0.499</v>
      </c>
      <c r="AE181" s="90">
        <v>0.28999999999999998</v>
      </c>
      <c r="AF181" s="90">
        <v>0.21099999999999999</v>
      </c>
      <c r="AG181" s="90"/>
      <c r="AH181" s="90"/>
      <c r="AI181" s="90"/>
      <c r="AJ181" s="90"/>
      <c r="AK181" s="90"/>
      <c r="AL181" s="90"/>
      <c r="AM181" s="90"/>
      <c r="AN181" s="90"/>
      <c r="AO181" s="90"/>
      <c r="AR181" s="90">
        <f t="shared" si="56"/>
        <v>0.99999999999999989</v>
      </c>
      <c r="AS181" s="90">
        <f>SUM($B181:M181)</f>
        <v>0.191</v>
      </c>
      <c r="AT181" s="89"/>
      <c r="CL181" s="90">
        <f t="shared" si="57"/>
        <v>0</v>
      </c>
      <c r="CM181" s="90">
        <f t="shared" si="58"/>
        <v>0</v>
      </c>
      <c r="CN181" s="89"/>
      <c r="DD181" s="90">
        <f t="shared" si="59"/>
        <v>0</v>
      </c>
      <c r="DE181" s="90">
        <f t="shared" si="60"/>
        <v>0</v>
      </c>
      <c r="DF181" s="89"/>
      <c r="DG181" s="88" t="s">
        <v>265</v>
      </c>
      <c r="DH181" s="90"/>
      <c r="DI181" s="90"/>
      <c r="DJ181" s="90"/>
      <c r="DK181" s="90"/>
      <c r="DL181" s="90"/>
      <c r="DM181" s="90"/>
      <c r="DN181" s="90"/>
      <c r="DO181" s="90"/>
      <c r="DP181" s="90"/>
      <c r="DQ181" s="90"/>
      <c r="DR181" s="90"/>
      <c r="DS181" s="90"/>
      <c r="DT181" s="90"/>
      <c r="DU181" s="90"/>
      <c r="DV181" s="90"/>
      <c r="DW181" s="90"/>
      <c r="DX181" s="90"/>
      <c r="DY181" s="90"/>
      <c r="DZ181" s="90"/>
      <c r="EA181" s="90"/>
      <c r="EB181" s="90"/>
      <c r="EC181" s="90"/>
      <c r="ED181" s="90"/>
      <c r="EE181" s="90"/>
      <c r="EF181" s="90"/>
      <c r="EG181" s="90"/>
      <c r="EH181" s="90"/>
      <c r="EI181" s="90">
        <v>0.25</v>
      </c>
      <c r="EJ181" s="90">
        <v>0.125</v>
      </c>
      <c r="EK181" s="90">
        <v>0.125</v>
      </c>
      <c r="EL181" s="90"/>
      <c r="EM181" s="90"/>
      <c r="EN181" s="90"/>
      <c r="EO181" s="90"/>
      <c r="EP181" s="90"/>
      <c r="EQ181" s="90"/>
      <c r="ER181" s="90"/>
      <c r="ES181" s="90"/>
      <c r="ET181" s="90"/>
      <c r="EU181" s="90"/>
      <c r="EV181" s="90"/>
      <c r="EW181" s="90"/>
      <c r="EX181" s="90">
        <f t="shared" si="61"/>
        <v>0.5</v>
      </c>
      <c r="EY181" s="90">
        <f>ROUND(EX181*IFERROR(VLOOKUP($DG181,'3121% SY'!$A$2:$M$324,13,FALSE),0),3)</f>
        <v>0.123</v>
      </c>
      <c r="EZ181" s="90">
        <f t="shared" si="62"/>
        <v>0</v>
      </c>
      <c r="FA181" s="90">
        <f>ROUND(EZ181*IFERROR(VLOOKUP($DG181,'3121% SY'!$A$2:$M$324,13,FALSE),0),3)</f>
        <v>0</v>
      </c>
    </row>
    <row r="182" spans="1:157" x14ac:dyDescent="0.25">
      <c r="A182" s="88" t="s">
        <v>183</v>
      </c>
      <c r="B182" s="90"/>
      <c r="C182" s="90"/>
      <c r="D182" s="90"/>
      <c r="E182" s="90"/>
      <c r="F182" s="90"/>
      <c r="G182" s="90"/>
      <c r="H182" s="90"/>
      <c r="I182" s="90">
        <v>4.4909999999999997</v>
      </c>
      <c r="J182" s="90"/>
      <c r="K182" s="90"/>
      <c r="L182" s="90">
        <v>1.462</v>
      </c>
      <c r="M182" s="90"/>
      <c r="N182" s="90"/>
      <c r="O182" s="90">
        <v>3</v>
      </c>
      <c r="P182" s="90">
        <v>3</v>
      </c>
      <c r="Q182" s="90">
        <v>1</v>
      </c>
      <c r="R182" s="90"/>
      <c r="S182" s="90"/>
      <c r="T182" s="90"/>
      <c r="U182" s="90">
        <v>1</v>
      </c>
      <c r="V182" s="90"/>
      <c r="W182" s="90"/>
      <c r="X182" s="90"/>
      <c r="Y182" s="90"/>
      <c r="Z182" s="90"/>
      <c r="AA182" s="90"/>
      <c r="AB182" s="90"/>
      <c r="AC182" s="90"/>
      <c r="AD182" s="90">
        <v>0.6</v>
      </c>
      <c r="AE182" s="90">
        <v>0.2</v>
      </c>
      <c r="AF182" s="90">
        <v>0.2</v>
      </c>
      <c r="AG182" s="90"/>
      <c r="AH182" s="90"/>
      <c r="AI182" s="90"/>
      <c r="AJ182" s="90"/>
      <c r="AK182" s="90"/>
      <c r="AL182" s="90"/>
      <c r="AM182" s="90"/>
      <c r="AN182" s="90"/>
      <c r="AO182" s="90"/>
      <c r="AR182" s="90">
        <f t="shared" si="56"/>
        <v>8.9999999999999982</v>
      </c>
      <c r="AS182" s="90">
        <f>SUM($B182:M182)</f>
        <v>5.9529999999999994</v>
      </c>
      <c r="AT182" s="89"/>
      <c r="CL182" s="90">
        <f t="shared" si="57"/>
        <v>0</v>
      </c>
      <c r="CM182" s="90">
        <f t="shared" si="58"/>
        <v>0</v>
      </c>
      <c r="CN182" s="89"/>
      <c r="DD182" s="90">
        <f t="shared" si="59"/>
        <v>0</v>
      </c>
      <c r="DE182" s="90">
        <f t="shared" si="60"/>
        <v>0</v>
      </c>
      <c r="DF182" s="89"/>
      <c r="DG182" s="88" t="s">
        <v>266</v>
      </c>
      <c r="DH182" s="90"/>
      <c r="DI182" s="90"/>
      <c r="DJ182" s="90"/>
      <c r="DK182" s="90"/>
      <c r="DL182" s="90">
        <v>0.16400000000000001</v>
      </c>
      <c r="DM182" s="90"/>
      <c r="DN182" s="90"/>
      <c r="DO182" s="90"/>
      <c r="DP182" s="90"/>
      <c r="DQ182" s="90"/>
      <c r="DR182" s="90"/>
      <c r="DS182" s="90"/>
      <c r="DT182" s="90"/>
      <c r="DU182" s="90"/>
      <c r="DV182" s="90"/>
      <c r="DW182" s="90"/>
      <c r="DX182" s="90"/>
      <c r="DY182" s="90"/>
      <c r="DZ182" s="90"/>
      <c r="EA182" s="90"/>
      <c r="EB182" s="90"/>
      <c r="EC182" s="90"/>
      <c r="ED182" s="90"/>
      <c r="EE182" s="90"/>
      <c r="EF182" s="90"/>
      <c r="EG182" s="90"/>
      <c r="EH182" s="90"/>
      <c r="EI182" s="90"/>
      <c r="EJ182" s="90"/>
      <c r="EK182" s="90"/>
      <c r="EL182" s="90"/>
      <c r="EM182" s="90"/>
      <c r="EN182" s="90"/>
      <c r="EO182" s="90"/>
      <c r="EP182" s="90"/>
      <c r="EQ182" s="90"/>
      <c r="ER182" s="90"/>
      <c r="ES182" s="90"/>
      <c r="ET182" s="90"/>
      <c r="EU182" s="90"/>
      <c r="EV182" s="90"/>
      <c r="EW182" s="90"/>
      <c r="EX182" s="90">
        <f t="shared" si="61"/>
        <v>0</v>
      </c>
      <c r="EY182" s="90">
        <f>ROUND(EX182*IFERROR(VLOOKUP($DG182,'3121% SY'!$A$2:$M$324,13,FALSE),0),3)</f>
        <v>0</v>
      </c>
      <c r="EZ182" s="90">
        <f t="shared" si="62"/>
        <v>0.16400000000000001</v>
      </c>
      <c r="FA182" s="90">
        <f>ROUND(EZ182*IFERROR(VLOOKUP($DG182,'3121% SY'!$A$2:$M$324,13,FALSE),0),3)</f>
        <v>3.1E-2</v>
      </c>
    </row>
    <row r="183" spans="1:157" x14ac:dyDescent="0.25">
      <c r="A183" s="88" t="s">
        <v>184</v>
      </c>
      <c r="B183" s="90"/>
      <c r="C183" s="90"/>
      <c r="D183" s="90"/>
      <c r="E183" s="90"/>
      <c r="F183" s="90">
        <v>48.835999999999999</v>
      </c>
      <c r="G183" s="90"/>
      <c r="H183" s="90"/>
      <c r="I183" s="90">
        <v>10.586</v>
      </c>
      <c r="J183" s="90"/>
      <c r="K183" s="90"/>
      <c r="L183" s="90">
        <v>10.781000000000001</v>
      </c>
      <c r="M183" s="90"/>
      <c r="N183" s="90"/>
      <c r="O183" s="90">
        <v>23.74</v>
      </c>
      <c r="P183" s="90">
        <v>19.404</v>
      </c>
      <c r="Q183" s="90">
        <v>8.4559999999999995</v>
      </c>
      <c r="R183" s="90"/>
      <c r="S183" s="90"/>
      <c r="T183" s="90"/>
      <c r="U183" s="90"/>
      <c r="V183" s="90"/>
      <c r="W183" s="90"/>
      <c r="X183" s="90">
        <v>0.2</v>
      </c>
      <c r="Y183" s="90"/>
      <c r="Z183" s="90"/>
      <c r="AA183" s="90"/>
      <c r="AB183" s="90"/>
      <c r="AC183" s="90"/>
      <c r="AD183" s="90">
        <v>9.36</v>
      </c>
      <c r="AE183" s="90">
        <v>4.6929999999999996</v>
      </c>
      <c r="AF183" s="90">
        <v>2.4470000000000001</v>
      </c>
      <c r="AG183" s="90"/>
      <c r="AH183" s="90"/>
      <c r="AI183" s="90"/>
      <c r="AJ183" s="90"/>
      <c r="AK183" s="90"/>
      <c r="AL183" s="90"/>
      <c r="AM183" s="90"/>
      <c r="AN183" s="90"/>
      <c r="AO183" s="90"/>
      <c r="AR183" s="90">
        <f t="shared" si="56"/>
        <v>68.3</v>
      </c>
      <c r="AS183" s="90">
        <f>SUM($B183:M183)</f>
        <v>70.203000000000003</v>
      </c>
      <c r="AT183" s="89"/>
      <c r="CL183" s="90">
        <f t="shared" si="57"/>
        <v>0</v>
      </c>
      <c r="CM183" s="90">
        <f t="shared" si="58"/>
        <v>0</v>
      </c>
      <c r="CN183" s="89"/>
      <c r="DD183" s="90">
        <f t="shared" si="59"/>
        <v>0</v>
      </c>
      <c r="DE183" s="90">
        <f t="shared" si="60"/>
        <v>0</v>
      </c>
      <c r="DF183" s="89"/>
      <c r="DG183" s="88" t="s">
        <v>268</v>
      </c>
      <c r="DH183" s="90"/>
      <c r="DI183" s="90"/>
      <c r="DJ183" s="90"/>
      <c r="DK183" s="90"/>
      <c r="DL183" s="90"/>
      <c r="DM183" s="90"/>
      <c r="DN183" s="90"/>
      <c r="DO183" s="90">
        <v>1.716</v>
      </c>
      <c r="DP183" s="90"/>
      <c r="DQ183" s="90"/>
      <c r="DR183" s="90"/>
      <c r="DS183" s="90"/>
      <c r="DT183" s="90"/>
      <c r="DU183" s="90"/>
      <c r="DV183" s="90"/>
      <c r="DW183" s="90"/>
      <c r="DX183" s="90"/>
      <c r="DY183" s="90"/>
      <c r="DZ183" s="90">
        <v>6.4160000000000004</v>
      </c>
      <c r="EA183" s="90">
        <v>0.6</v>
      </c>
      <c r="EB183" s="90">
        <v>1.0840000000000001</v>
      </c>
      <c r="EC183" s="90"/>
      <c r="ED183" s="90"/>
      <c r="EE183" s="90"/>
      <c r="EF183" s="90">
        <v>13.75</v>
      </c>
      <c r="EG183" s="90">
        <v>2.5840000000000001</v>
      </c>
      <c r="EH183" s="90">
        <v>2.5659999999999998</v>
      </c>
      <c r="EI183" s="90">
        <v>8.6999999999999993</v>
      </c>
      <c r="EJ183" s="90">
        <v>3.1669999999999998</v>
      </c>
      <c r="EK183" s="90">
        <v>2.133</v>
      </c>
      <c r="EL183" s="90"/>
      <c r="EM183" s="90"/>
      <c r="EN183" s="90"/>
      <c r="EO183" s="90">
        <v>1.17</v>
      </c>
      <c r="EP183" s="90">
        <v>0.41499999999999998</v>
      </c>
      <c r="EQ183" s="90">
        <v>0.33200000000000002</v>
      </c>
      <c r="ER183" s="90"/>
      <c r="ES183" s="90"/>
      <c r="ET183" s="90"/>
      <c r="EU183" s="90"/>
      <c r="EV183" s="90"/>
      <c r="EW183" s="90"/>
      <c r="EX183" s="90">
        <f t="shared" si="61"/>
        <v>42.917000000000009</v>
      </c>
      <c r="EY183" s="90">
        <f>ROUND(EX183*IFERROR(VLOOKUP($DG183,'3121% SY'!$A$2:$M$324,13,FALSE),0),3)</f>
        <v>8.0470000000000006</v>
      </c>
      <c r="EZ183" s="90">
        <f t="shared" si="62"/>
        <v>1.716</v>
      </c>
      <c r="FA183" s="90">
        <f>ROUND(EZ183*IFERROR(VLOOKUP($DG183,'3121% SY'!$A$2:$M$324,13,FALSE),0),3)</f>
        <v>0.32200000000000001</v>
      </c>
    </row>
    <row r="184" spans="1:157" x14ac:dyDescent="0.25">
      <c r="A184" s="88" t="s">
        <v>185</v>
      </c>
      <c r="B184" s="90"/>
      <c r="C184" s="90"/>
      <c r="D184" s="90"/>
      <c r="E184" s="90">
        <v>23.221</v>
      </c>
      <c r="F184" s="90"/>
      <c r="G184" s="90"/>
      <c r="H184" s="90">
        <v>16.109000000000002</v>
      </c>
      <c r="I184" s="90"/>
      <c r="J184" s="90"/>
      <c r="K184" s="90"/>
      <c r="L184" s="90"/>
      <c r="M184" s="90"/>
      <c r="N184" s="90"/>
      <c r="O184" s="90">
        <v>47.741999999999997</v>
      </c>
      <c r="P184" s="90">
        <v>21</v>
      </c>
      <c r="Q184" s="90">
        <v>13.438000000000001</v>
      </c>
      <c r="R184" s="90"/>
      <c r="S184" s="90"/>
      <c r="T184" s="90"/>
      <c r="U184" s="90">
        <v>0.4</v>
      </c>
      <c r="V184" s="90">
        <v>3</v>
      </c>
      <c r="W184" s="90"/>
      <c r="X184" s="90"/>
      <c r="Y184" s="90"/>
      <c r="Z184" s="90"/>
      <c r="AA184" s="90"/>
      <c r="AB184" s="90"/>
      <c r="AC184" s="90"/>
      <c r="AD184" s="90">
        <v>15.776999999999999</v>
      </c>
      <c r="AE184" s="90">
        <v>6.7450000000000001</v>
      </c>
      <c r="AF184" s="90">
        <v>3.758</v>
      </c>
      <c r="AG184" s="90"/>
      <c r="AH184" s="90"/>
      <c r="AI184" s="90"/>
      <c r="AJ184" s="90"/>
      <c r="AK184" s="90">
        <v>1</v>
      </c>
      <c r="AL184" s="90"/>
      <c r="AM184" s="90"/>
      <c r="AN184" s="90"/>
      <c r="AO184" s="90"/>
      <c r="AR184" s="90">
        <f t="shared" si="56"/>
        <v>112.86</v>
      </c>
      <c r="AS184" s="90">
        <f>SUM($B184:M184)</f>
        <v>39.33</v>
      </c>
      <c r="AT184" s="89"/>
      <c r="CL184" s="90">
        <f t="shared" si="57"/>
        <v>0</v>
      </c>
      <c r="CM184" s="90">
        <f t="shared" si="58"/>
        <v>0</v>
      </c>
      <c r="CN184" s="89"/>
      <c r="DD184" s="90">
        <f t="shared" si="59"/>
        <v>0</v>
      </c>
      <c r="DE184" s="90">
        <f t="shared" si="60"/>
        <v>0</v>
      </c>
      <c r="DF184" s="89"/>
      <c r="DG184" s="88" t="s">
        <v>269</v>
      </c>
      <c r="DH184" s="90"/>
      <c r="DI184" s="90"/>
      <c r="DJ184" s="90"/>
      <c r="DK184" s="90"/>
      <c r="DL184" s="90">
        <v>0.14000000000000001</v>
      </c>
      <c r="DM184" s="90"/>
      <c r="DN184" s="90"/>
      <c r="DO184" s="90">
        <v>1.401</v>
      </c>
      <c r="DP184" s="90"/>
      <c r="DQ184" s="90"/>
      <c r="DR184" s="90"/>
      <c r="DS184" s="90"/>
      <c r="DT184" s="90"/>
      <c r="DU184" s="90"/>
      <c r="DV184" s="90"/>
      <c r="DW184" s="90"/>
      <c r="DX184" s="90"/>
      <c r="DY184" s="90"/>
      <c r="DZ184" s="90">
        <v>1.891</v>
      </c>
      <c r="EA184" s="90">
        <v>0.51500000000000001</v>
      </c>
      <c r="EB184" s="90">
        <v>1.069</v>
      </c>
      <c r="EC184" s="90"/>
      <c r="ED184" s="90"/>
      <c r="EE184" s="90"/>
      <c r="EF184" s="90">
        <v>5.0999999999999996</v>
      </c>
      <c r="EG184" s="90">
        <v>0.5</v>
      </c>
      <c r="EH184" s="90">
        <v>1.05</v>
      </c>
      <c r="EI184" s="90">
        <v>2.5</v>
      </c>
      <c r="EJ184" s="90">
        <v>2.5</v>
      </c>
      <c r="EK184" s="90"/>
      <c r="EL184" s="90"/>
      <c r="EM184" s="90"/>
      <c r="EN184" s="90"/>
      <c r="EO184" s="90">
        <v>1</v>
      </c>
      <c r="EP184" s="90">
        <v>0.20100000000000001</v>
      </c>
      <c r="EQ184" s="90">
        <v>0.2</v>
      </c>
      <c r="ER184" s="90"/>
      <c r="ES184" s="90"/>
      <c r="ET184" s="90"/>
      <c r="EU184" s="90"/>
      <c r="EV184" s="90"/>
      <c r="EW184" s="90"/>
      <c r="EX184" s="90">
        <f t="shared" si="61"/>
        <v>16.526</v>
      </c>
      <c r="EY184" s="90">
        <f>ROUND(EX184*IFERROR(VLOOKUP($DG184,'3121% SY'!$A$2:$M$324,13,FALSE),0),3)</f>
        <v>3.8639999999999999</v>
      </c>
      <c r="EZ184" s="90">
        <f t="shared" si="62"/>
        <v>1.5409999999999999</v>
      </c>
      <c r="FA184" s="90">
        <f>ROUND(EZ184*IFERROR(VLOOKUP($DG184,'3121% SY'!$A$2:$M$324,13,FALSE),0),3)</f>
        <v>0.36</v>
      </c>
    </row>
    <row r="185" spans="1:157" x14ac:dyDescent="0.25">
      <c r="A185" s="88" t="s">
        <v>187</v>
      </c>
      <c r="B185" s="90"/>
      <c r="C185" s="90">
        <v>0.36199999999999999</v>
      </c>
      <c r="D185" s="90"/>
      <c r="E185" s="90"/>
      <c r="F185" s="90">
        <v>9.3239999999999998</v>
      </c>
      <c r="G185" s="90"/>
      <c r="H185" s="90"/>
      <c r="I185" s="90">
        <v>6.0990000000000002</v>
      </c>
      <c r="J185" s="90"/>
      <c r="K185" s="90"/>
      <c r="L185" s="90">
        <v>0.74299999999999999</v>
      </c>
      <c r="M185" s="90"/>
      <c r="N185" s="90"/>
      <c r="O185" s="90">
        <v>6.59</v>
      </c>
      <c r="P185" s="90">
        <v>4.53</v>
      </c>
      <c r="Q185" s="90">
        <v>2.88</v>
      </c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R185" s="90">
        <f t="shared" si="56"/>
        <v>14</v>
      </c>
      <c r="AS185" s="90">
        <f>SUM($B185:M185)</f>
        <v>16.527999999999999</v>
      </c>
      <c r="AT185" s="89"/>
      <c r="CL185" s="90">
        <f t="shared" si="57"/>
        <v>0</v>
      </c>
      <c r="CM185" s="90">
        <f t="shared" si="58"/>
        <v>0</v>
      </c>
      <c r="CN185" s="89"/>
      <c r="DD185" s="90">
        <f t="shared" si="59"/>
        <v>0</v>
      </c>
      <c r="DE185" s="90">
        <f t="shared" si="60"/>
        <v>0</v>
      </c>
      <c r="DF185" s="89"/>
      <c r="DG185" s="88" t="s">
        <v>270</v>
      </c>
      <c r="DH185" s="90"/>
      <c r="DI185" s="90"/>
      <c r="DJ185" s="90"/>
      <c r="DK185" s="90"/>
      <c r="DL185" s="90">
        <v>0.03</v>
      </c>
      <c r="DM185" s="90"/>
      <c r="DN185" s="90"/>
      <c r="DO185" s="90">
        <v>1.286</v>
      </c>
      <c r="DP185" s="90"/>
      <c r="DQ185" s="90"/>
      <c r="DR185" s="90"/>
      <c r="DS185" s="90"/>
      <c r="DT185" s="90"/>
      <c r="DU185" s="90"/>
      <c r="DV185" s="90"/>
      <c r="DW185" s="90"/>
      <c r="DX185" s="90"/>
      <c r="DY185" s="90"/>
      <c r="DZ185" s="90">
        <v>0.4</v>
      </c>
      <c r="EA185" s="90">
        <v>0.4</v>
      </c>
      <c r="EB185" s="90">
        <v>0.2</v>
      </c>
      <c r="EC185" s="90"/>
      <c r="ED185" s="90"/>
      <c r="EE185" s="90"/>
      <c r="EF185" s="90">
        <v>4.0039999999999996</v>
      </c>
      <c r="EG185" s="90">
        <v>0.55000000000000004</v>
      </c>
      <c r="EH185" s="90">
        <v>0.64</v>
      </c>
      <c r="EI185" s="90">
        <v>1.2</v>
      </c>
      <c r="EJ185" s="90">
        <v>0.4</v>
      </c>
      <c r="EK185" s="90">
        <v>0.2</v>
      </c>
      <c r="EL185" s="90"/>
      <c r="EM185" s="90"/>
      <c r="EN185" s="90"/>
      <c r="EO185" s="90"/>
      <c r="EP185" s="90"/>
      <c r="EQ185" s="90"/>
      <c r="ER185" s="90"/>
      <c r="ES185" s="90"/>
      <c r="ET185" s="90"/>
      <c r="EU185" s="90"/>
      <c r="EV185" s="90"/>
      <c r="EW185" s="90"/>
      <c r="EX185" s="90">
        <f t="shared" si="61"/>
        <v>7.9939999999999998</v>
      </c>
      <c r="EY185" s="90">
        <f>ROUND(EX185*IFERROR(VLOOKUP($DG185,'3121% SY'!$A$2:$M$324,13,FALSE),0),3)</f>
        <v>1.421</v>
      </c>
      <c r="EZ185" s="90">
        <f t="shared" si="62"/>
        <v>1.3160000000000001</v>
      </c>
      <c r="FA185" s="90">
        <f>ROUND(EZ185*IFERROR(VLOOKUP($DG185,'3121% SY'!$A$2:$M$324,13,FALSE),0),3)</f>
        <v>0.23400000000000001</v>
      </c>
    </row>
    <row r="186" spans="1:157" x14ac:dyDescent="0.25">
      <c r="A186" s="88" t="s">
        <v>188</v>
      </c>
      <c r="B186" s="90"/>
      <c r="C186" s="90"/>
      <c r="D186" s="90"/>
      <c r="E186" s="90"/>
      <c r="F186" s="90">
        <v>3.73</v>
      </c>
      <c r="G186" s="90"/>
      <c r="H186" s="90">
        <v>4.0730000000000004</v>
      </c>
      <c r="I186" s="90">
        <v>6.0780000000000003</v>
      </c>
      <c r="J186" s="90">
        <v>1.3380000000000001</v>
      </c>
      <c r="K186" s="90">
        <v>0.25600000000000001</v>
      </c>
      <c r="L186" s="90">
        <v>2.238</v>
      </c>
      <c r="M186" s="90">
        <v>0.49</v>
      </c>
      <c r="N186" s="90"/>
      <c r="O186" s="90">
        <v>12.516</v>
      </c>
      <c r="P186" s="90">
        <v>9.5</v>
      </c>
      <c r="Q186" s="90">
        <v>3.8839999999999999</v>
      </c>
      <c r="R186" s="90"/>
      <c r="S186" s="90"/>
      <c r="T186" s="90"/>
      <c r="U186" s="90">
        <v>0.875</v>
      </c>
      <c r="V186" s="90">
        <v>0.6</v>
      </c>
      <c r="W186" s="90">
        <v>1.7250000000000001</v>
      </c>
      <c r="X186" s="90"/>
      <c r="Y186" s="90"/>
      <c r="Z186" s="90"/>
      <c r="AA186" s="90"/>
      <c r="AB186" s="90"/>
      <c r="AC186" s="90"/>
      <c r="AD186" s="90">
        <v>1.548</v>
      </c>
      <c r="AE186" s="90">
        <v>0.996</v>
      </c>
      <c r="AF186" s="90">
        <v>0.45600000000000002</v>
      </c>
      <c r="AG186" s="90"/>
      <c r="AH186" s="90"/>
      <c r="AI186" s="90"/>
      <c r="AJ186" s="90"/>
      <c r="AK186" s="90"/>
      <c r="AL186" s="90"/>
      <c r="AM186" s="90"/>
      <c r="AN186" s="90"/>
      <c r="AO186" s="90"/>
      <c r="AR186" s="90">
        <f t="shared" si="56"/>
        <v>32.1</v>
      </c>
      <c r="AS186" s="90">
        <f>SUM($B186:M186)</f>
        <v>18.202999999999999</v>
      </c>
      <c r="AT186" s="89"/>
      <c r="CL186" s="90">
        <f t="shared" si="57"/>
        <v>0</v>
      </c>
      <c r="CM186" s="90">
        <f t="shared" si="58"/>
        <v>0</v>
      </c>
      <c r="CN186" s="89"/>
      <c r="DD186" s="90">
        <f t="shared" si="59"/>
        <v>0</v>
      </c>
      <c r="DE186" s="90">
        <f t="shared" si="60"/>
        <v>0</v>
      </c>
      <c r="DF186" s="89"/>
      <c r="DG186" s="88" t="s">
        <v>271</v>
      </c>
      <c r="DH186" s="90"/>
      <c r="DI186" s="90"/>
      <c r="DJ186" s="90"/>
      <c r="DK186" s="90"/>
      <c r="DL186" s="90"/>
      <c r="DM186" s="90"/>
      <c r="DN186" s="90"/>
      <c r="DO186" s="90">
        <v>0.77500000000000002</v>
      </c>
      <c r="DP186" s="90"/>
      <c r="DQ186" s="90"/>
      <c r="DR186" s="90"/>
      <c r="DS186" s="90"/>
      <c r="DT186" s="90"/>
      <c r="DU186" s="90"/>
      <c r="DV186" s="90"/>
      <c r="DW186" s="90"/>
      <c r="DX186" s="90"/>
      <c r="DY186" s="90"/>
      <c r="DZ186" s="90">
        <v>3.4</v>
      </c>
      <c r="EA186" s="90"/>
      <c r="EB186" s="90"/>
      <c r="EC186" s="90"/>
      <c r="ED186" s="90"/>
      <c r="EE186" s="90"/>
      <c r="EF186" s="90">
        <v>3.25</v>
      </c>
      <c r="EG186" s="90">
        <v>1.6</v>
      </c>
      <c r="EH186" s="90">
        <v>1</v>
      </c>
      <c r="EI186" s="90">
        <v>3.33</v>
      </c>
      <c r="EJ186" s="90">
        <v>1</v>
      </c>
      <c r="EK186" s="90">
        <v>0.67</v>
      </c>
      <c r="EL186" s="90"/>
      <c r="EM186" s="90"/>
      <c r="EN186" s="90"/>
      <c r="EO186" s="90"/>
      <c r="EP186" s="90"/>
      <c r="EQ186" s="90"/>
      <c r="ER186" s="90"/>
      <c r="ES186" s="90"/>
      <c r="ET186" s="90"/>
      <c r="EU186" s="90"/>
      <c r="EV186" s="90"/>
      <c r="EW186" s="90"/>
      <c r="EX186" s="90">
        <f t="shared" si="61"/>
        <v>14.25</v>
      </c>
      <c r="EY186" s="90">
        <f>ROUND(EX186*IFERROR(VLOOKUP($DG186,'3121% SY'!$A$2:$M$324,13,FALSE),0),3)</f>
        <v>2.6779999999999999</v>
      </c>
      <c r="EZ186" s="90">
        <f t="shared" si="62"/>
        <v>0.77500000000000002</v>
      </c>
      <c r="FA186" s="90">
        <f>ROUND(EZ186*IFERROR(VLOOKUP($DG186,'3121% SY'!$A$2:$M$324,13,FALSE),0),3)</f>
        <v>0.14599999999999999</v>
      </c>
    </row>
    <row r="187" spans="1:157" x14ac:dyDescent="0.25">
      <c r="A187" s="88" t="s">
        <v>189</v>
      </c>
      <c r="B187" s="90"/>
      <c r="C187" s="90"/>
      <c r="D187" s="90"/>
      <c r="E187" s="90"/>
      <c r="F187" s="90">
        <v>1.593</v>
      </c>
      <c r="G187" s="90">
        <v>8.8999999999999996E-2</v>
      </c>
      <c r="H187" s="90">
        <v>0.89600000000000002</v>
      </c>
      <c r="I187" s="90">
        <v>0.75900000000000001</v>
      </c>
      <c r="J187" s="90"/>
      <c r="K187" s="90"/>
      <c r="L187" s="90"/>
      <c r="M187" s="90"/>
      <c r="N187" s="90"/>
      <c r="O187" s="90">
        <v>2.5499999999999998</v>
      </c>
      <c r="P187" s="90"/>
      <c r="Q187" s="90">
        <v>1.1000000000000001</v>
      </c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>
        <v>0.66600000000000004</v>
      </c>
      <c r="AE187" s="90"/>
      <c r="AF187" s="90">
        <v>0.33400000000000002</v>
      </c>
      <c r="AG187" s="90"/>
      <c r="AH187" s="90"/>
      <c r="AI187" s="90"/>
      <c r="AJ187" s="90"/>
      <c r="AK187" s="90"/>
      <c r="AL187" s="90"/>
      <c r="AM187" s="90"/>
      <c r="AN187" s="90"/>
      <c r="AO187" s="90"/>
      <c r="AR187" s="90">
        <f t="shared" si="56"/>
        <v>4.6499999999999995</v>
      </c>
      <c r="AS187" s="90">
        <f>SUM($B187:M187)</f>
        <v>3.3369999999999997</v>
      </c>
      <c r="AT187" s="89"/>
      <c r="CL187" s="90">
        <f t="shared" si="57"/>
        <v>0</v>
      </c>
      <c r="CM187" s="90">
        <f t="shared" si="58"/>
        <v>0</v>
      </c>
      <c r="CN187" s="89"/>
      <c r="DD187" s="90">
        <f t="shared" si="59"/>
        <v>0</v>
      </c>
      <c r="DE187" s="90">
        <f t="shared" si="60"/>
        <v>0</v>
      </c>
      <c r="DF187" s="89"/>
      <c r="DG187" s="88" t="s">
        <v>272</v>
      </c>
      <c r="DH187" s="90"/>
      <c r="DI187" s="90"/>
      <c r="DJ187" s="90"/>
      <c r="DK187" s="90"/>
      <c r="DL187" s="90">
        <v>0.84299999999999997</v>
      </c>
      <c r="DM187" s="90"/>
      <c r="DN187" s="90"/>
      <c r="DO187" s="90"/>
      <c r="DP187" s="90"/>
      <c r="DQ187" s="90"/>
      <c r="DR187" s="90"/>
      <c r="DS187" s="90"/>
      <c r="DT187" s="90"/>
      <c r="DU187" s="90"/>
      <c r="DV187" s="90"/>
      <c r="DW187" s="90"/>
      <c r="DX187" s="90"/>
      <c r="DY187" s="90"/>
      <c r="DZ187" s="90">
        <v>0.67500000000000004</v>
      </c>
      <c r="EA187" s="90">
        <v>0.432</v>
      </c>
      <c r="EB187" s="90">
        <v>0.36799999999999999</v>
      </c>
      <c r="EC187" s="90"/>
      <c r="ED187" s="90"/>
      <c r="EE187" s="90"/>
      <c r="EF187" s="90">
        <v>0.55000000000000004</v>
      </c>
      <c r="EG187" s="90">
        <v>0.28000000000000003</v>
      </c>
      <c r="EH187" s="90">
        <v>0.17</v>
      </c>
      <c r="EI187" s="90">
        <v>1.1000000000000001</v>
      </c>
      <c r="EJ187" s="90">
        <v>0.56000000000000005</v>
      </c>
      <c r="EK187" s="90">
        <v>0.34</v>
      </c>
      <c r="EL187" s="90"/>
      <c r="EM187" s="90"/>
      <c r="EN187" s="90"/>
      <c r="EO187" s="90">
        <v>0.6</v>
      </c>
      <c r="EP187" s="90"/>
      <c r="EQ187" s="90"/>
      <c r="ER187" s="90"/>
      <c r="ES187" s="90"/>
      <c r="ET187" s="90"/>
      <c r="EU187" s="90"/>
      <c r="EV187" s="90"/>
      <c r="EW187" s="90"/>
      <c r="EX187" s="90">
        <f t="shared" si="61"/>
        <v>5.0750000000000002</v>
      </c>
      <c r="EY187" s="90">
        <f>ROUND(EX187*IFERROR(VLOOKUP($DG187,'3121% SY'!$A$2:$M$324,13,FALSE),0),3)</f>
        <v>0.97699999999999998</v>
      </c>
      <c r="EZ187" s="90">
        <f t="shared" si="62"/>
        <v>0.84299999999999997</v>
      </c>
      <c r="FA187" s="90">
        <f>ROUND(EZ187*IFERROR(VLOOKUP($DG187,'3121% SY'!$A$2:$M$324,13,FALSE),0),3)</f>
        <v>0.16200000000000001</v>
      </c>
    </row>
    <row r="188" spans="1:157" x14ac:dyDescent="0.25">
      <c r="A188" s="88" t="s">
        <v>190</v>
      </c>
      <c r="B188" s="90"/>
      <c r="C188" s="90"/>
      <c r="D188" s="90"/>
      <c r="E188" s="90"/>
      <c r="F188" s="90">
        <v>5.3789999999999996</v>
      </c>
      <c r="G188" s="90"/>
      <c r="H188" s="90"/>
      <c r="I188" s="90">
        <v>2.5950000000000002</v>
      </c>
      <c r="J188" s="90"/>
      <c r="K188" s="90"/>
      <c r="L188" s="90"/>
      <c r="M188" s="90"/>
      <c r="N188" s="90"/>
      <c r="O188" s="90">
        <v>2.6</v>
      </c>
      <c r="P188" s="90">
        <v>2.4</v>
      </c>
      <c r="Q188" s="90">
        <v>1.2</v>
      </c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>
        <v>0.52</v>
      </c>
      <c r="AE188" s="90">
        <v>0.32</v>
      </c>
      <c r="AF188" s="90">
        <v>0.16</v>
      </c>
      <c r="AG188" s="90"/>
      <c r="AH188" s="90"/>
      <c r="AI188" s="90"/>
      <c r="AJ188" s="90"/>
      <c r="AK188" s="90"/>
      <c r="AL188" s="90"/>
      <c r="AM188" s="90"/>
      <c r="AN188" s="90"/>
      <c r="AO188" s="90"/>
      <c r="AR188" s="90">
        <f t="shared" si="56"/>
        <v>7.2000000000000011</v>
      </c>
      <c r="AS188" s="90">
        <f>SUM($B188:M188)</f>
        <v>7.9740000000000002</v>
      </c>
      <c r="AT188" s="89"/>
      <c r="CL188" s="90">
        <f t="shared" si="57"/>
        <v>0</v>
      </c>
      <c r="CM188" s="90">
        <f t="shared" si="58"/>
        <v>0</v>
      </c>
      <c r="CN188" s="89"/>
      <c r="DD188" s="90">
        <f t="shared" si="59"/>
        <v>0</v>
      </c>
      <c r="DE188" s="90">
        <f t="shared" si="60"/>
        <v>0</v>
      </c>
      <c r="DF188" s="89"/>
      <c r="DG188" s="88" t="s">
        <v>273</v>
      </c>
      <c r="DH188" s="90"/>
      <c r="DI188" s="90"/>
      <c r="DJ188" s="90"/>
      <c r="DK188" s="90"/>
      <c r="DL188" s="90"/>
      <c r="DM188" s="90"/>
      <c r="DN188" s="90"/>
      <c r="DO188" s="90">
        <v>0.98199999999999998</v>
      </c>
      <c r="DP188" s="90"/>
      <c r="DQ188" s="90"/>
      <c r="DR188" s="90"/>
      <c r="DS188" s="90"/>
      <c r="DT188" s="90"/>
      <c r="DU188" s="90"/>
      <c r="DV188" s="90"/>
      <c r="DW188" s="90"/>
      <c r="DX188" s="90"/>
      <c r="DY188" s="90"/>
      <c r="DZ188" s="90">
        <v>1</v>
      </c>
      <c r="EA188" s="90"/>
      <c r="EB188" s="90"/>
      <c r="EC188" s="90"/>
      <c r="ED188" s="90"/>
      <c r="EE188" s="90"/>
      <c r="EF188" s="90">
        <v>3.6</v>
      </c>
      <c r="EG188" s="90"/>
      <c r="EH188" s="90"/>
      <c r="EI188" s="90">
        <v>0.28799999999999998</v>
      </c>
      <c r="EJ188" s="90">
        <v>2</v>
      </c>
      <c r="EK188" s="90"/>
      <c r="EL188" s="90"/>
      <c r="EM188" s="90"/>
      <c r="EN188" s="90"/>
      <c r="EO188" s="90"/>
      <c r="EP188" s="90"/>
      <c r="EQ188" s="90"/>
      <c r="ER188" s="90"/>
      <c r="ES188" s="90"/>
      <c r="ET188" s="90"/>
      <c r="EU188" s="90"/>
      <c r="EV188" s="90"/>
      <c r="EW188" s="90"/>
      <c r="EX188" s="90">
        <f t="shared" si="61"/>
        <v>6.8879999999999999</v>
      </c>
      <c r="EY188" s="90">
        <f>ROUND(EX188*IFERROR(VLOOKUP($DG188,'3121% SY'!$A$2:$M$324,13,FALSE),0),3)</f>
        <v>1.756</v>
      </c>
      <c r="EZ188" s="90">
        <f t="shared" si="62"/>
        <v>0.98199999999999998</v>
      </c>
      <c r="FA188" s="90">
        <f>ROUND(EZ188*IFERROR(VLOOKUP($DG188,'3121% SY'!$A$2:$M$324,13,FALSE),0),3)</f>
        <v>0.25</v>
      </c>
    </row>
    <row r="189" spans="1:157" x14ac:dyDescent="0.25">
      <c r="A189" s="88" t="s">
        <v>191</v>
      </c>
      <c r="B189" s="90"/>
      <c r="C189" s="90"/>
      <c r="D189" s="90"/>
      <c r="E189" s="90"/>
      <c r="F189" s="90">
        <v>19.68</v>
      </c>
      <c r="G189" s="90"/>
      <c r="H189" s="90"/>
      <c r="I189" s="90">
        <v>15.032</v>
      </c>
      <c r="J189" s="90"/>
      <c r="K189" s="90"/>
      <c r="L189" s="90">
        <v>10.936</v>
      </c>
      <c r="M189" s="90"/>
      <c r="N189" s="90"/>
      <c r="O189" s="90">
        <v>18.474</v>
      </c>
      <c r="P189" s="90">
        <v>6.5709999999999997</v>
      </c>
      <c r="Q189" s="90">
        <v>4.9550000000000001</v>
      </c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>
        <v>1.333</v>
      </c>
      <c r="AE189" s="90">
        <v>9.5</v>
      </c>
      <c r="AF189" s="90">
        <v>0.66700000000000004</v>
      </c>
      <c r="AG189" s="90"/>
      <c r="AH189" s="90"/>
      <c r="AI189" s="90"/>
      <c r="AJ189" s="90"/>
      <c r="AK189" s="90"/>
      <c r="AL189" s="90"/>
      <c r="AM189" s="90"/>
      <c r="AN189" s="90"/>
      <c r="AO189" s="90"/>
      <c r="AR189" s="90">
        <f t="shared" si="56"/>
        <v>41.5</v>
      </c>
      <c r="AS189" s="90">
        <f>SUM($B189:M189)</f>
        <v>45.648000000000003</v>
      </c>
      <c r="AT189" s="89"/>
      <c r="CL189" s="90">
        <f t="shared" si="57"/>
        <v>0</v>
      </c>
      <c r="CM189" s="90">
        <f t="shared" si="58"/>
        <v>0</v>
      </c>
      <c r="CN189" s="89"/>
      <c r="DD189" s="90">
        <f t="shared" si="59"/>
        <v>0</v>
      </c>
      <c r="DE189" s="90">
        <f t="shared" si="60"/>
        <v>0</v>
      </c>
      <c r="DF189" s="89"/>
      <c r="DG189" s="88" t="s">
        <v>274</v>
      </c>
      <c r="DH189" s="90"/>
      <c r="DI189" s="90"/>
      <c r="DJ189" s="90"/>
      <c r="DK189" s="90"/>
      <c r="DL189" s="90">
        <v>0.253</v>
      </c>
      <c r="DM189" s="90"/>
      <c r="DN189" s="90"/>
      <c r="DO189" s="90"/>
      <c r="DP189" s="90"/>
      <c r="DQ189" s="90"/>
      <c r="DR189" s="90"/>
      <c r="DS189" s="90"/>
      <c r="DT189" s="90"/>
      <c r="DU189" s="90"/>
      <c r="DV189" s="90"/>
      <c r="DW189" s="90"/>
      <c r="DX189" s="90"/>
      <c r="DY189" s="90"/>
      <c r="DZ189" s="90"/>
      <c r="EA189" s="90"/>
      <c r="EB189" s="90"/>
      <c r="EC189" s="90"/>
      <c r="ED189" s="90"/>
      <c r="EE189" s="90"/>
      <c r="EF189" s="90">
        <v>2.3959999999999999</v>
      </c>
      <c r="EG189" s="90">
        <v>0.40699999999999997</v>
      </c>
      <c r="EH189" s="90">
        <v>0.2</v>
      </c>
      <c r="EI189" s="90">
        <v>0.73</v>
      </c>
      <c r="EJ189" s="90">
        <v>0.5</v>
      </c>
      <c r="EK189" s="90">
        <v>0.3</v>
      </c>
      <c r="EL189" s="90"/>
      <c r="EM189" s="90"/>
      <c r="EN189" s="90"/>
      <c r="EO189" s="90">
        <v>0.12</v>
      </c>
      <c r="EP189" s="90">
        <v>0.114</v>
      </c>
      <c r="EQ189" s="90">
        <v>0.114</v>
      </c>
      <c r="ER189" s="90"/>
      <c r="ES189" s="90"/>
      <c r="ET189" s="90"/>
      <c r="EU189" s="90"/>
      <c r="EV189" s="90"/>
      <c r="EW189" s="90"/>
      <c r="EX189" s="90">
        <f t="shared" si="61"/>
        <v>4.8810000000000002</v>
      </c>
      <c r="EY189" s="90">
        <f>ROUND(EX189*IFERROR(VLOOKUP($DG189,'3121% SY'!$A$2:$M$324,13,FALSE),0),3)</f>
        <v>1.0229999999999999</v>
      </c>
      <c r="EZ189" s="90">
        <f t="shared" si="62"/>
        <v>0.253</v>
      </c>
      <c r="FA189" s="90">
        <f>ROUND(EZ189*IFERROR(VLOOKUP($DG189,'3121% SY'!$A$2:$M$324,13,FALSE),0),3)</f>
        <v>5.2999999999999999E-2</v>
      </c>
    </row>
    <row r="190" spans="1:157" x14ac:dyDescent="0.25">
      <c r="A190" s="88" t="s">
        <v>192</v>
      </c>
      <c r="B190" s="90"/>
      <c r="C190" s="90"/>
      <c r="D190" s="90"/>
      <c r="E190" s="90"/>
      <c r="F190" s="90">
        <v>17.452000000000002</v>
      </c>
      <c r="G190" s="90"/>
      <c r="H190" s="90"/>
      <c r="I190" s="90">
        <v>10.635999999999999</v>
      </c>
      <c r="J190" s="90"/>
      <c r="K190" s="90"/>
      <c r="L190" s="90"/>
      <c r="M190" s="90"/>
      <c r="N190" s="90"/>
      <c r="O190" s="90">
        <v>13.079000000000001</v>
      </c>
      <c r="P190" s="90">
        <v>11.25</v>
      </c>
      <c r="Q190" s="90">
        <v>5.4710000000000001</v>
      </c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>
        <v>5.8019999999999996</v>
      </c>
      <c r="AE190" s="90">
        <v>1.512</v>
      </c>
      <c r="AF190" s="90">
        <v>0.77900000000000003</v>
      </c>
      <c r="AG190" s="90"/>
      <c r="AH190" s="90"/>
      <c r="AI190" s="90"/>
      <c r="AJ190" s="90"/>
      <c r="AK190" s="90"/>
      <c r="AL190" s="90"/>
      <c r="AM190" s="90"/>
      <c r="AN190" s="90"/>
      <c r="AO190" s="90"/>
      <c r="AR190" s="90">
        <f t="shared" si="56"/>
        <v>37.893000000000008</v>
      </c>
      <c r="AS190" s="90">
        <f>SUM($B190:M190)</f>
        <v>28.088000000000001</v>
      </c>
      <c r="AT190" s="89"/>
      <c r="CL190" s="90">
        <f t="shared" si="57"/>
        <v>0</v>
      </c>
      <c r="CM190" s="90">
        <f t="shared" si="58"/>
        <v>0</v>
      </c>
      <c r="CN190" s="89"/>
      <c r="DD190" s="90">
        <f t="shared" si="59"/>
        <v>0</v>
      </c>
      <c r="DE190" s="90">
        <f t="shared" si="60"/>
        <v>0</v>
      </c>
      <c r="DF190" s="89"/>
      <c r="DG190" s="88" t="s">
        <v>279</v>
      </c>
      <c r="DH190" s="90"/>
      <c r="DI190" s="90"/>
      <c r="DJ190" s="90"/>
      <c r="DK190" s="90"/>
      <c r="DL190" s="90">
        <v>1.2729999999999999</v>
      </c>
      <c r="DM190" s="90"/>
      <c r="DN190" s="90"/>
      <c r="DO190" s="90"/>
      <c r="DP190" s="90"/>
      <c r="DQ190" s="90"/>
      <c r="DR190" s="90"/>
      <c r="DS190" s="90"/>
      <c r="DT190" s="90"/>
      <c r="DU190" s="90"/>
      <c r="DV190" s="90"/>
      <c r="DW190" s="90"/>
      <c r="DX190" s="90"/>
      <c r="DY190" s="90"/>
      <c r="DZ190" s="90">
        <v>1</v>
      </c>
      <c r="EA190" s="90"/>
      <c r="EB190" s="90"/>
      <c r="EC190" s="90"/>
      <c r="ED190" s="90"/>
      <c r="EE190" s="90"/>
      <c r="EF190" s="90">
        <v>2.8</v>
      </c>
      <c r="EG190" s="90">
        <v>0.68100000000000005</v>
      </c>
      <c r="EH190" s="90">
        <v>0.56399999999999995</v>
      </c>
      <c r="EI190" s="90">
        <v>1.75</v>
      </c>
      <c r="EJ190" s="90">
        <v>0.5</v>
      </c>
      <c r="EK190" s="90">
        <v>0.5</v>
      </c>
      <c r="EL190" s="90"/>
      <c r="EM190" s="90"/>
      <c r="EN190" s="90"/>
      <c r="EO190" s="90"/>
      <c r="EP190" s="90"/>
      <c r="EQ190" s="90"/>
      <c r="ER190" s="90">
        <v>0.153</v>
      </c>
      <c r="ES190" s="90"/>
      <c r="ET190" s="90"/>
      <c r="EU190" s="90"/>
      <c r="EV190" s="90"/>
      <c r="EW190" s="90"/>
      <c r="EX190" s="90">
        <f t="shared" si="61"/>
        <v>7.9479999999999995</v>
      </c>
      <c r="EY190" s="90">
        <f>ROUND(EX190*IFERROR(VLOOKUP($DG190,'3121% SY'!$A$2:$M$324,13,FALSE),0),3)</f>
        <v>1.6619999999999999</v>
      </c>
      <c r="EZ190" s="90">
        <f t="shared" si="62"/>
        <v>1.2729999999999999</v>
      </c>
      <c r="FA190" s="90">
        <f>ROUND(EZ190*IFERROR(VLOOKUP($DG190,'3121% SY'!$A$2:$M$324,13,FALSE),0),3)</f>
        <v>0.26600000000000001</v>
      </c>
    </row>
    <row r="191" spans="1:157" x14ac:dyDescent="0.25">
      <c r="A191" s="88" t="s">
        <v>193</v>
      </c>
      <c r="B191" s="90"/>
      <c r="C191" s="90">
        <v>0.59099999999999997</v>
      </c>
      <c r="D191" s="90"/>
      <c r="E191" s="90"/>
      <c r="F191" s="90">
        <v>11.215</v>
      </c>
      <c r="G191" s="90"/>
      <c r="H191" s="90"/>
      <c r="I191" s="90">
        <v>9.8420000000000005</v>
      </c>
      <c r="J191" s="90"/>
      <c r="K191" s="90"/>
      <c r="L191" s="90"/>
      <c r="M191" s="90"/>
      <c r="N191" s="90"/>
      <c r="O191" s="90">
        <v>8.99</v>
      </c>
      <c r="P191" s="90">
        <v>9</v>
      </c>
      <c r="Q191" s="90">
        <v>5.01</v>
      </c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R191" s="90">
        <f t="shared" si="56"/>
        <v>23</v>
      </c>
      <c r="AS191" s="90">
        <f>SUM($B191:M191)</f>
        <v>21.648</v>
      </c>
      <c r="AT191" s="89"/>
      <c r="CL191" s="90">
        <f t="shared" si="57"/>
        <v>0</v>
      </c>
      <c r="CM191" s="90">
        <f t="shared" si="58"/>
        <v>0</v>
      </c>
      <c r="CN191" s="89"/>
      <c r="DD191" s="90">
        <f t="shared" si="59"/>
        <v>0</v>
      </c>
      <c r="DE191" s="90">
        <f t="shared" si="60"/>
        <v>0</v>
      </c>
      <c r="DF191" s="89"/>
      <c r="DG191" s="88" t="s">
        <v>280</v>
      </c>
      <c r="DH191" s="90"/>
      <c r="DI191" s="90"/>
      <c r="DJ191" s="90"/>
      <c r="DK191" s="90"/>
      <c r="DL191" s="90"/>
      <c r="DM191" s="90"/>
      <c r="DN191" s="90"/>
      <c r="DO191" s="90"/>
      <c r="DP191" s="90"/>
      <c r="DQ191" s="90"/>
      <c r="DR191" s="90"/>
      <c r="DS191" s="90"/>
      <c r="DT191" s="90"/>
      <c r="DU191" s="90"/>
      <c r="DV191" s="90"/>
      <c r="DW191" s="90"/>
      <c r="DX191" s="90"/>
      <c r="DY191" s="90"/>
      <c r="DZ191" s="90"/>
      <c r="EA191" s="90"/>
      <c r="EB191" s="90"/>
      <c r="EC191" s="90"/>
      <c r="ED191" s="90"/>
      <c r="EE191" s="90"/>
      <c r="EF191" s="90">
        <v>0.66500000000000004</v>
      </c>
      <c r="EG191" s="90">
        <v>0.16800000000000001</v>
      </c>
      <c r="EH191" s="90">
        <v>0.16700000000000001</v>
      </c>
      <c r="EI191" s="90"/>
      <c r="EJ191" s="90"/>
      <c r="EK191" s="90"/>
      <c r="EL191" s="90"/>
      <c r="EM191" s="90"/>
      <c r="EN191" s="90"/>
      <c r="EO191" s="90"/>
      <c r="EP191" s="90"/>
      <c r="EQ191" s="90"/>
      <c r="ER191" s="90"/>
      <c r="ES191" s="90"/>
      <c r="ET191" s="90"/>
      <c r="EU191" s="90"/>
      <c r="EV191" s="90"/>
      <c r="EW191" s="90"/>
      <c r="EX191" s="90">
        <f t="shared" si="61"/>
        <v>1</v>
      </c>
      <c r="EY191" s="90">
        <f>ROUND(EX191*IFERROR(VLOOKUP($DG191,'3121% SY'!$A$2:$M$324,13,FALSE),0),3)</f>
        <v>0.183</v>
      </c>
      <c r="EZ191" s="90">
        <f t="shared" si="62"/>
        <v>0</v>
      </c>
      <c r="FA191" s="90">
        <f>ROUND(EZ191*IFERROR(VLOOKUP($DG191,'3121% SY'!$A$2:$M$324,13,FALSE),0),3)</f>
        <v>0</v>
      </c>
    </row>
    <row r="192" spans="1:157" x14ac:dyDescent="0.25">
      <c r="A192" s="88" t="s">
        <v>194</v>
      </c>
      <c r="B192" s="90"/>
      <c r="C192" s="90"/>
      <c r="D192" s="90"/>
      <c r="E192" s="90"/>
      <c r="F192" s="90">
        <v>20.783999999999999</v>
      </c>
      <c r="G192" s="90"/>
      <c r="H192" s="90"/>
      <c r="I192" s="90">
        <v>19.962</v>
      </c>
      <c r="J192" s="90"/>
      <c r="K192" s="90"/>
      <c r="L192" s="90">
        <v>12.162000000000001</v>
      </c>
      <c r="M192" s="90"/>
      <c r="N192" s="90"/>
      <c r="O192" s="90">
        <v>14.962</v>
      </c>
      <c r="P192" s="90">
        <v>12.2</v>
      </c>
      <c r="Q192" s="90">
        <v>6.6379999999999999</v>
      </c>
      <c r="R192" s="90"/>
      <c r="S192" s="90"/>
      <c r="T192" s="90"/>
      <c r="U192" s="90">
        <v>8.8179999999999996</v>
      </c>
      <c r="V192" s="90">
        <v>3.4</v>
      </c>
      <c r="W192" s="90">
        <v>2.4820000000000002</v>
      </c>
      <c r="X192" s="90"/>
      <c r="Y192" s="90"/>
      <c r="Z192" s="90"/>
      <c r="AA192" s="90"/>
      <c r="AB192" s="90"/>
      <c r="AC192" s="90"/>
      <c r="AD192" s="90">
        <v>11.964</v>
      </c>
      <c r="AE192" s="90">
        <v>3.1240000000000001</v>
      </c>
      <c r="AF192" s="90">
        <v>1.712</v>
      </c>
      <c r="AG192" s="90"/>
      <c r="AH192" s="90"/>
      <c r="AI192" s="90"/>
      <c r="AJ192" s="90"/>
      <c r="AK192" s="90"/>
      <c r="AL192" s="90"/>
      <c r="AM192" s="90"/>
      <c r="AN192" s="90"/>
      <c r="AO192" s="90"/>
      <c r="AR192" s="90">
        <f t="shared" si="56"/>
        <v>65.3</v>
      </c>
      <c r="AS192" s="90">
        <f>SUM($B192:M192)</f>
        <v>52.907999999999994</v>
      </c>
      <c r="AT192" s="89"/>
      <c r="CL192" s="90">
        <f t="shared" si="57"/>
        <v>0</v>
      </c>
      <c r="CM192" s="90">
        <f t="shared" si="58"/>
        <v>0</v>
      </c>
      <c r="CN192" s="89"/>
      <c r="DD192" s="90">
        <f t="shared" si="59"/>
        <v>0</v>
      </c>
      <c r="DE192" s="90">
        <f t="shared" si="60"/>
        <v>0</v>
      </c>
      <c r="DF192" s="89"/>
      <c r="DG192" s="88" t="s">
        <v>289</v>
      </c>
      <c r="DH192" s="90"/>
      <c r="DI192" s="90"/>
      <c r="DJ192" s="90"/>
      <c r="DK192" s="90"/>
      <c r="DL192" s="90"/>
      <c r="DM192" s="90"/>
      <c r="DN192" s="90"/>
      <c r="DO192" s="90">
        <v>0.64600000000000002</v>
      </c>
      <c r="DP192" s="90"/>
      <c r="DQ192" s="90"/>
      <c r="DR192" s="90"/>
      <c r="DS192" s="90"/>
      <c r="DT192" s="90"/>
      <c r="DU192" s="90"/>
      <c r="DV192" s="90"/>
      <c r="DW192" s="90"/>
      <c r="DX192" s="90"/>
      <c r="DY192" s="90"/>
      <c r="DZ192" s="90"/>
      <c r="EA192" s="90"/>
      <c r="EB192" s="90"/>
      <c r="EC192" s="90"/>
      <c r="ED192" s="90"/>
      <c r="EE192" s="90"/>
      <c r="EF192" s="90"/>
      <c r="EG192" s="90"/>
      <c r="EH192" s="90"/>
      <c r="EI192" s="90">
        <v>0.5</v>
      </c>
      <c r="EJ192" s="90"/>
      <c r="EK192" s="90">
        <v>0.5</v>
      </c>
      <c r="EL192" s="90"/>
      <c r="EM192" s="90"/>
      <c r="EN192" s="90"/>
      <c r="EO192" s="90"/>
      <c r="EP192" s="90"/>
      <c r="EQ192" s="90"/>
      <c r="ER192" s="90"/>
      <c r="ES192" s="90"/>
      <c r="ET192" s="90"/>
      <c r="EU192" s="90"/>
      <c r="EV192" s="90"/>
      <c r="EW192" s="90"/>
      <c r="EX192" s="90">
        <f t="shared" si="61"/>
        <v>1</v>
      </c>
      <c r="EY192" s="90">
        <f>ROUND(EX192*IFERROR(VLOOKUP($DG192,'3121% SY'!$A$2:$M$324,13,FALSE),0),3)</f>
        <v>0.19</v>
      </c>
      <c r="EZ192" s="90">
        <f t="shared" si="62"/>
        <v>0.64600000000000002</v>
      </c>
      <c r="FA192" s="90">
        <f>ROUND(EZ192*IFERROR(VLOOKUP($DG192,'3121% SY'!$A$2:$M$324,13,FALSE),0),3)</f>
        <v>0.123</v>
      </c>
    </row>
    <row r="193" spans="1:157" x14ac:dyDescent="0.25">
      <c r="A193" s="88" t="s">
        <v>195</v>
      </c>
      <c r="B193" s="90"/>
      <c r="C193" s="90"/>
      <c r="D193" s="90"/>
      <c r="E193" s="90">
        <v>0.83399999999999996</v>
      </c>
      <c r="F193" s="90">
        <v>2.028</v>
      </c>
      <c r="G193" s="90"/>
      <c r="H193" s="90">
        <v>0.872</v>
      </c>
      <c r="I193" s="90">
        <v>0.878</v>
      </c>
      <c r="J193" s="90">
        <v>0.27500000000000002</v>
      </c>
      <c r="K193" s="90"/>
      <c r="L193" s="90"/>
      <c r="M193" s="90"/>
      <c r="N193" s="90"/>
      <c r="O193" s="90">
        <v>2.617</v>
      </c>
      <c r="P193" s="90">
        <v>1.3</v>
      </c>
      <c r="Q193" s="90"/>
      <c r="R193" s="90"/>
      <c r="S193" s="90"/>
      <c r="T193" s="90"/>
      <c r="U193" s="90">
        <v>0.2</v>
      </c>
      <c r="V193" s="90"/>
      <c r="W193" s="90">
        <v>1.55</v>
      </c>
      <c r="X193" s="90"/>
      <c r="Y193" s="90"/>
      <c r="Z193" s="90"/>
      <c r="AA193" s="90">
        <v>0.1</v>
      </c>
      <c r="AB193" s="90">
        <v>0.1</v>
      </c>
      <c r="AC193" s="90">
        <v>0.1</v>
      </c>
      <c r="AD193" s="90">
        <v>0.39400000000000002</v>
      </c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R193" s="90">
        <f t="shared" si="56"/>
        <v>6.3609999999999989</v>
      </c>
      <c r="AS193" s="90">
        <f>SUM($B193:M193)</f>
        <v>4.8870000000000005</v>
      </c>
      <c r="AT193" s="89"/>
      <c r="CL193" s="90">
        <f t="shared" si="57"/>
        <v>0</v>
      </c>
      <c r="CM193" s="90">
        <f t="shared" si="58"/>
        <v>0</v>
      </c>
      <c r="CN193" s="89"/>
      <c r="DD193" s="90">
        <f t="shared" si="59"/>
        <v>0</v>
      </c>
      <c r="DE193" s="90">
        <f t="shared" si="60"/>
        <v>0</v>
      </c>
      <c r="DF193" s="89"/>
      <c r="DG193" s="88" t="s">
        <v>290</v>
      </c>
      <c r="DH193" s="90"/>
      <c r="DI193" s="90"/>
      <c r="DJ193" s="90"/>
      <c r="DK193" s="90">
        <v>6.9000000000000006E-2</v>
      </c>
      <c r="DL193" s="90"/>
      <c r="DM193" s="90"/>
      <c r="DN193" s="90">
        <v>0.59399999999999997</v>
      </c>
      <c r="DO193" s="90"/>
      <c r="DP193" s="90"/>
      <c r="DQ193" s="90"/>
      <c r="DR193" s="90"/>
      <c r="DS193" s="90"/>
      <c r="DT193" s="90"/>
      <c r="DU193" s="90"/>
      <c r="DV193" s="90"/>
      <c r="DW193" s="90"/>
      <c r="DX193" s="90"/>
      <c r="DY193" s="90"/>
      <c r="DZ193" s="90"/>
      <c r="EA193" s="90"/>
      <c r="EB193" s="90"/>
      <c r="EC193" s="90"/>
      <c r="ED193" s="90"/>
      <c r="EE193" s="90"/>
      <c r="EF193" s="90">
        <v>0.33400000000000002</v>
      </c>
      <c r="EG193" s="90">
        <v>1.333</v>
      </c>
      <c r="EH193" s="90">
        <v>0.33300000000000002</v>
      </c>
      <c r="EI193" s="90">
        <v>0.33400000000000002</v>
      </c>
      <c r="EJ193" s="90">
        <v>0.33300000000000002</v>
      </c>
      <c r="EK193" s="90">
        <v>0.33300000000000002</v>
      </c>
      <c r="EL193" s="90"/>
      <c r="EM193" s="90"/>
      <c r="EN193" s="90"/>
      <c r="EO193" s="90"/>
      <c r="EP193" s="90"/>
      <c r="EQ193" s="90"/>
      <c r="ER193" s="90"/>
      <c r="ES193" s="90"/>
      <c r="ET193" s="90"/>
      <c r="EU193" s="90"/>
      <c r="EV193" s="90"/>
      <c r="EW193" s="90"/>
      <c r="EX193" s="90">
        <f t="shared" si="61"/>
        <v>3.0000000000000004</v>
      </c>
      <c r="EY193" s="90">
        <f>ROUND(EX193*IFERROR(VLOOKUP($DG193,'3121% SY'!$A$2:$M$324,13,FALSE),0),3)</f>
        <v>0.47499999999999998</v>
      </c>
      <c r="EZ193" s="90">
        <f t="shared" si="62"/>
        <v>0.66300000000000003</v>
      </c>
      <c r="FA193" s="90">
        <f>ROUND(EZ193*IFERROR(VLOOKUP($DG193,'3121% SY'!$A$2:$M$324,13,FALSE),0),3)</f>
        <v>0.105</v>
      </c>
    </row>
    <row r="194" spans="1:157" x14ac:dyDescent="0.25">
      <c r="A194" s="88" t="s">
        <v>196</v>
      </c>
      <c r="B194" s="90"/>
      <c r="C194" s="90">
        <v>9.2999999999999999E-2</v>
      </c>
      <c r="D194" s="90"/>
      <c r="E194" s="90">
        <v>5.0519999999999996</v>
      </c>
      <c r="F194" s="90"/>
      <c r="G194" s="90">
        <v>0.45300000000000001</v>
      </c>
      <c r="H194" s="90">
        <v>3.9969999999999999</v>
      </c>
      <c r="I194" s="90">
        <v>0.93300000000000005</v>
      </c>
      <c r="J194" s="90">
        <v>0.56399999999999995</v>
      </c>
      <c r="K194" s="90">
        <v>0.66700000000000004</v>
      </c>
      <c r="L194" s="90">
        <v>1.5529999999999999</v>
      </c>
      <c r="M194" s="90">
        <v>0.54400000000000004</v>
      </c>
      <c r="N194" s="90"/>
      <c r="O194" s="90">
        <v>4.8499999999999996</v>
      </c>
      <c r="P194" s="90">
        <v>3.25</v>
      </c>
      <c r="Q194" s="90">
        <v>2</v>
      </c>
      <c r="R194" s="90"/>
      <c r="S194" s="90"/>
      <c r="T194" s="90"/>
      <c r="U194" s="90"/>
      <c r="V194" s="90">
        <v>1</v>
      </c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R194" s="90">
        <f t="shared" si="56"/>
        <v>11.1</v>
      </c>
      <c r="AS194" s="90">
        <f>SUM($B194:M194)</f>
        <v>13.855999999999998</v>
      </c>
      <c r="AT194" s="89"/>
      <c r="CL194" s="90">
        <f t="shared" si="57"/>
        <v>0</v>
      </c>
      <c r="CM194" s="90">
        <f t="shared" si="58"/>
        <v>0</v>
      </c>
      <c r="CN194" s="89"/>
      <c r="DD194" s="90">
        <f t="shared" si="59"/>
        <v>0</v>
      </c>
      <c r="DE194" s="90">
        <f t="shared" si="60"/>
        <v>0</v>
      </c>
      <c r="DF194" s="89"/>
      <c r="DG194" s="88" t="s">
        <v>291</v>
      </c>
      <c r="DH194" s="90"/>
      <c r="DI194" s="90"/>
      <c r="DJ194" s="90"/>
      <c r="DK194" s="90"/>
      <c r="DL194" s="90">
        <v>1</v>
      </c>
      <c r="DM194" s="90"/>
      <c r="DN194" s="90"/>
      <c r="DO194" s="90">
        <v>19.736999999999998</v>
      </c>
      <c r="DP194" s="90"/>
      <c r="DQ194" s="90"/>
      <c r="DR194" s="90"/>
      <c r="DS194" s="90"/>
      <c r="DT194" s="90"/>
      <c r="DU194" s="90"/>
      <c r="DV194" s="90"/>
      <c r="DW194" s="90"/>
      <c r="DX194" s="90"/>
      <c r="DY194" s="90"/>
      <c r="DZ194" s="90">
        <v>1.871</v>
      </c>
      <c r="EA194" s="90">
        <v>0.31</v>
      </c>
      <c r="EB194" s="90">
        <v>3.7970000000000002</v>
      </c>
      <c r="EC194" s="90"/>
      <c r="ED194" s="90"/>
      <c r="EE194" s="90"/>
      <c r="EF194" s="90">
        <v>5.8</v>
      </c>
      <c r="EG194" s="90"/>
      <c r="EH194" s="90">
        <v>3</v>
      </c>
      <c r="EI194" s="90">
        <v>5.4</v>
      </c>
      <c r="EJ194" s="90">
        <v>6.8</v>
      </c>
      <c r="EK194" s="90">
        <v>5.4</v>
      </c>
      <c r="EL194" s="90"/>
      <c r="EM194" s="90"/>
      <c r="EN194" s="90"/>
      <c r="EO194" s="90"/>
      <c r="EP194" s="90"/>
      <c r="EQ194" s="90"/>
      <c r="ER194" s="90"/>
      <c r="ES194" s="90"/>
      <c r="ET194" s="90"/>
      <c r="EU194" s="90"/>
      <c r="EV194" s="90"/>
      <c r="EW194" s="90"/>
      <c r="EX194" s="90">
        <f t="shared" si="61"/>
        <v>32.378</v>
      </c>
      <c r="EY194" s="90">
        <f>ROUND(EX194*IFERROR(VLOOKUP($DG194,'3121% SY'!$A$2:$M$324,13,FALSE),0),3)</f>
        <v>10.367000000000001</v>
      </c>
      <c r="EZ194" s="90">
        <f t="shared" si="62"/>
        <v>20.736999999999998</v>
      </c>
      <c r="FA194" s="90">
        <f>ROUND(EZ194*IFERROR(VLOOKUP($DG194,'3121% SY'!$A$2:$M$324,13,FALSE),0),3)</f>
        <v>6.64</v>
      </c>
    </row>
    <row r="195" spans="1:157" x14ac:dyDescent="0.25">
      <c r="A195" s="88" t="s">
        <v>197</v>
      </c>
      <c r="B195" s="90"/>
      <c r="C195" s="90"/>
      <c r="D195" s="90"/>
      <c r="E195" s="90"/>
      <c r="F195" s="90">
        <v>2.2919999999999998</v>
      </c>
      <c r="G195" s="90"/>
      <c r="H195" s="90"/>
      <c r="I195" s="90">
        <v>1.278</v>
      </c>
      <c r="J195" s="90"/>
      <c r="K195" s="90"/>
      <c r="L195" s="90">
        <v>2.2770000000000001</v>
      </c>
      <c r="M195" s="90"/>
      <c r="N195" s="90"/>
      <c r="O195" s="90">
        <v>4</v>
      </c>
      <c r="P195" s="90">
        <v>3.54</v>
      </c>
      <c r="Q195" s="90">
        <v>2.96</v>
      </c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>
        <v>2</v>
      </c>
      <c r="AE195" s="90">
        <v>0.5</v>
      </c>
      <c r="AF195" s="90">
        <v>0.5</v>
      </c>
      <c r="AG195" s="90"/>
      <c r="AH195" s="90"/>
      <c r="AI195" s="90"/>
      <c r="AJ195" s="90"/>
      <c r="AK195" s="90"/>
      <c r="AL195" s="90"/>
      <c r="AM195" s="90"/>
      <c r="AN195" s="90"/>
      <c r="AO195" s="90"/>
      <c r="AR195" s="90">
        <f t="shared" si="56"/>
        <v>13.5</v>
      </c>
      <c r="AS195" s="90">
        <f>SUM($B195:M195)</f>
        <v>5.8469999999999995</v>
      </c>
      <c r="AT195" s="89"/>
      <c r="CL195" s="90">
        <f t="shared" si="57"/>
        <v>0</v>
      </c>
      <c r="CM195" s="90">
        <f t="shared" si="58"/>
        <v>0</v>
      </c>
      <c r="CN195" s="89"/>
      <c r="DD195" s="90">
        <f t="shared" si="59"/>
        <v>0</v>
      </c>
      <c r="DE195" s="90">
        <f t="shared" si="60"/>
        <v>0</v>
      </c>
      <c r="DF195" s="89"/>
      <c r="DG195" s="88" t="s">
        <v>292</v>
      </c>
      <c r="DH195" s="90"/>
      <c r="DI195" s="90"/>
      <c r="DJ195" s="90"/>
      <c r="DK195" s="90"/>
      <c r="DL195" s="90"/>
      <c r="DM195" s="90"/>
      <c r="DN195" s="90"/>
      <c r="DO195" s="90">
        <v>1.873</v>
      </c>
      <c r="DP195" s="90"/>
      <c r="DQ195" s="90"/>
      <c r="DR195" s="90"/>
      <c r="DS195" s="90"/>
      <c r="DT195" s="90"/>
      <c r="DU195" s="90"/>
      <c r="DV195" s="90"/>
      <c r="DW195" s="90"/>
      <c r="DX195" s="90"/>
      <c r="DY195" s="90"/>
      <c r="DZ195" s="90">
        <v>0.63</v>
      </c>
      <c r="EA195" s="90">
        <v>0.17</v>
      </c>
      <c r="EB195" s="90">
        <v>0.2</v>
      </c>
      <c r="EC195" s="90"/>
      <c r="ED195" s="90"/>
      <c r="EE195" s="90"/>
      <c r="EF195" s="90"/>
      <c r="EG195" s="90"/>
      <c r="EH195" s="90"/>
      <c r="EI195" s="90">
        <v>3.77</v>
      </c>
      <c r="EJ195" s="90">
        <v>1</v>
      </c>
      <c r="EK195" s="90"/>
      <c r="EL195" s="90"/>
      <c r="EM195" s="90"/>
      <c r="EN195" s="90"/>
      <c r="EO195" s="90"/>
      <c r="EP195" s="90"/>
      <c r="EQ195" s="90"/>
      <c r="ER195" s="90"/>
      <c r="ES195" s="90"/>
      <c r="ET195" s="90"/>
      <c r="EU195" s="90">
        <v>4.6399999999999997</v>
      </c>
      <c r="EV195" s="90">
        <v>1</v>
      </c>
      <c r="EW195" s="90">
        <v>1</v>
      </c>
      <c r="EX195" s="90">
        <f t="shared" si="61"/>
        <v>12.41</v>
      </c>
      <c r="EY195" s="90">
        <f>ROUND(EX195*IFERROR(VLOOKUP($DG195,'3121% SY'!$A$2:$M$324,13,FALSE),0),3)</f>
        <v>2.718</v>
      </c>
      <c r="EZ195" s="90">
        <f t="shared" si="62"/>
        <v>1.873</v>
      </c>
      <c r="FA195" s="90">
        <f>ROUND(EZ195*IFERROR(VLOOKUP($DG195,'3121% SY'!$A$2:$M$324,13,FALSE),0),3)</f>
        <v>0.41</v>
      </c>
    </row>
    <row r="196" spans="1:157" x14ac:dyDescent="0.25">
      <c r="A196" s="88" t="s">
        <v>632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>
        <v>2</v>
      </c>
      <c r="M196" s="90"/>
      <c r="N196" s="90"/>
      <c r="O196" s="90"/>
      <c r="P196" s="90">
        <v>2.0270000000000001</v>
      </c>
      <c r="Q196" s="90">
        <v>2.0270000000000001</v>
      </c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R196" s="90">
        <f t="shared" si="56"/>
        <v>4.0540000000000003</v>
      </c>
      <c r="AS196" s="90">
        <f>SUM($B196:M196)</f>
        <v>2</v>
      </c>
      <c r="AT196" s="89"/>
      <c r="CL196" s="90">
        <f t="shared" si="57"/>
        <v>0</v>
      </c>
      <c r="CM196" s="90">
        <f t="shared" si="58"/>
        <v>0</v>
      </c>
      <c r="CN196" s="89"/>
      <c r="DD196" s="90">
        <f t="shared" si="59"/>
        <v>0</v>
      </c>
      <c r="DE196" s="90">
        <f t="shared" si="60"/>
        <v>0</v>
      </c>
      <c r="DF196" s="89"/>
      <c r="DG196" s="88" t="s">
        <v>293</v>
      </c>
      <c r="DH196" s="90"/>
      <c r="DI196" s="90"/>
      <c r="DJ196" s="90"/>
      <c r="DK196" s="90"/>
      <c r="DL196" s="90"/>
      <c r="DM196" s="90"/>
      <c r="DN196" s="90"/>
      <c r="DO196" s="90">
        <v>1.9610000000000001</v>
      </c>
      <c r="DP196" s="90"/>
      <c r="DQ196" s="90"/>
      <c r="DR196" s="90"/>
      <c r="DS196" s="90"/>
      <c r="DT196" s="90"/>
      <c r="DU196" s="90"/>
      <c r="DV196" s="90"/>
      <c r="DW196" s="90"/>
      <c r="DX196" s="90"/>
      <c r="DY196" s="90"/>
      <c r="DZ196" s="90">
        <v>0.93200000000000005</v>
      </c>
      <c r="EA196" s="90">
        <v>0.4</v>
      </c>
      <c r="EB196" s="90">
        <v>0.26800000000000002</v>
      </c>
      <c r="EC196" s="90"/>
      <c r="ED196" s="90"/>
      <c r="EE196" s="90"/>
      <c r="EF196" s="90">
        <v>1.833</v>
      </c>
      <c r="EG196" s="90">
        <v>0.05</v>
      </c>
      <c r="EH196" s="90">
        <v>6.7000000000000004E-2</v>
      </c>
      <c r="EI196" s="90">
        <v>1.871</v>
      </c>
      <c r="EJ196" s="90">
        <v>1</v>
      </c>
      <c r="EK196" s="90">
        <v>1.768</v>
      </c>
      <c r="EL196" s="90">
        <v>0.14000000000000001</v>
      </c>
      <c r="EM196" s="90">
        <v>0.28599999999999998</v>
      </c>
      <c r="EN196" s="90"/>
      <c r="EO196" s="90"/>
      <c r="EP196" s="90"/>
      <c r="EQ196" s="90"/>
      <c r="ER196" s="90"/>
      <c r="ES196" s="90"/>
      <c r="ET196" s="90"/>
      <c r="EU196" s="90"/>
      <c r="EV196" s="90"/>
      <c r="EW196" s="90"/>
      <c r="EX196" s="90">
        <f t="shared" si="61"/>
        <v>8.6150000000000002</v>
      </c>
      <c r="EY196" s="90">
        <f>ROUND(EX196*IFERROR(VLOOKUP($DG196,'3121% SY'!$A$2:$M$324,13,FALSE),0),3)</f>
        <v>1.72</v>
      </c>
      <c r="EZ196" s="90">
        <f t="shared" si="62"/>
        <v>1.9610000000000001</v>
      </c>
      <c r="FA196" s="90">
        <f>ROUND(EZ196*IFERROR(VLOOKUP($DG196,'3121% SY'!$A$2:$M$324,13,FALSE),0),3)</f>
        <v>0.39100000000000001</v>
      </c>
    </row>
    <row r="197" spans="1:157" x14ac:dyDescent="0.25">
      <c r="A197" s="88" t="s">
        <v>666</v>
      </c>
      <c r="B197" s="90">
        <v>1</v>
      </c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R197" s="90">
        <f t="shared" si="56"/>
        <v>0</v>
      </c>
      <c r="AS197" s="90">
        <f>SUM($B197:M197)</f>
        <v>1</v>
      </c>
      <c r="AT197" s="89"/>
      <c r="CL197" s="90">
        <f t="shared" si="57"/>
        <v>0</v>
      </c>
      <c r="CM197" s="90">
        <f t="shared" si="58"/>
        <v>0</v>
      </c>
      <c r="CN197" s="89"/>
      <c r="DD197" s="90">
        <f t="shared" si="59"/>
        <v>0</v>
      </c>
      <c r="DE197" s="90">
        <f t="shared" si="60"/>
        <v>0</v>
      </c>
      <c r="DF197" s="89"/>
      <c r="DG197" s="88" t="s">
        <v>295</v>
      </c>
      <c r="DH197" s="90"/>
      <c r="DI197" s="90"/>
      <c r="DJ197" s="90"/>
      <c r="DK197" s="90"/>
      <c r="DL197" s="90"/>
      <c r="DM197" s="90"/>
      <c r="DN197" s="90">
        <v>2.5179999999999998</v>
      </c>
      <c r="DO197" s="90">
        <v>1.544</v>
      </c>
      <c r="DP197" s="90">
        <v>0.79</v>
      </c>
      <c r="DQ197" s="90"/>
      <c r="DR197" s="90"/>
      <c r="DS197" s="90"/>
      <c r="DT197" s="90"/>
      <c r="DU197" s="90"/>
      <c r="DV197" s="90"/>
      <c r="DW197" s="90"/>
      <c r="DX197" s="90"/>
      <c r="DY197" s="90"/>
      <c r="DZ197" s="90"/>
      <c r="EA197" s="90"/>
      <c r="EB197" s="90"/>
      <c r="EC197" s="90"/>
      <c r="ED197" s="90"/>
      <c r="EE197" s="90"/>
      <c r="EF197" s="90"/>
      <c r="EG197" s="90"/>
      <c r="EH197" s="90"/>
      <c r="EI197" s="90">
        <v>2</v>
      </c>
      <c r="EJ197" s="90">
        <v>0.5</v>
      </c>
      <c r="EK197" s="90">
        <v>0.5</v>
      </c>
      <c r="EL197" s="90"/>
      <c r="EM197" s="90"/>
      <c r="EN197" s="90"/>
      <c r="EO197" s="90"/>
      <c r="EP197" s="90"/>
      <c r="EQ197" s="90"/>
      <c r="ER197" s="90"/>
      <c r="ES197" s="90"/>
      <c r="ET197" s="90"/>
      <c r="EU197" s="90">
        <v>3.448</v>
      </c>
      <c r="EV197" s="90">
        <v>0.189</v>
      </c>
      <c r="EW197" s="90">
        <v>0.58499999999999996</v>
      </c>
      <c r="EX197" s="90">
        <f t="shared" si="61"/>
        <v>7.2220000000000004</v>
      </c>
      <c r="EY197" s="90">
        <f>ROUND(EX197*IFERROR(VLOOKUP($DG197,'3121% SY'!$A$2:$M$324,13,FALSE),0),3)</f>
        <v>2.218</v>
      </c>
      <c r="EZ197" s="90">
        <f t="shared" si="62"/>
        <v>4.8519999999999994</v>
      </c>
      <c r="FA197" s="90">
        <f>ROUND(EZ197*IFERROR(VLOOKUP($DG197,'3121% SY'!$A$2:$M$324,13,FALSE),0),3)</f>
        <v>1.49</v>
      </c>
    </row>
    <row r="198" spans="1:157" x14ac:dyDescent="0.25">
      <c r="A198" s="88" t="s">
        <v>626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>
        <v>1</v>
      </c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R198" s="90">
        <f t="shared" si="56"/>
        <v>1</v>
      </c>
      <c r="AS198" s="90">
        <f>SUM($B198:M198)</f>
        <v>0</v>
      </c>
      <c r="AT198" s="89"/>
      <c r="CL198" s="90">
        <f t="shared" si="57"/>
        <v>0</v>
      </c>
      <c r="CM198" s="90">
        <f t="shared" si="58"/>
        <v>0</v>
      </c>
      <c r="CN198" s="89"/>
      <c r="DD198" s="90">
        <f t="shared" si="59"/>
        <v>0</v>
      </c>
      <c r="DE198" s="90">
        <f t="shared" si="60"/>
        <v>0</v>
      </c>
      <c r="DF198" s="89"/>
      <c r="DG198" s="88" t="s">
        <v>296</v>
      </c>
      <c r="DH198" s="90"/>
      <c r="DI198" s="90"/>
      <c r="DJ198" s="90"/>
      <c r="DK198" s="90"/>
      <c r="DL198" s="90">
        <v>4.2699999999999996</v>
      </c>
      <c r="DM198" s="90"/>
      <c r="DN198" s="90"/>
      <c r="DO198" s="90">
        <v>6.3710000000000004</v>
      </c>
      <c r="DP198" s="90"/>
      <c r="DQ198" s="90"/>
      <c r="DR198" s="90"/>
      <c r="DS198" s="90"/>
      <c r="DT198" s="90"/>
      <c r="DU198" s="90"/>
      <c r="DV198" s="90"/>
      <c r="DW198" s="90"/>
      <c r="DX198" s="90"/>
      <c r="DY198" s="90"/>
      <c r="DZ198" s="90"/>
      <c r="EA198" s="90"/>
      <c r="EB198" s="90"/>
      <c r="EC198" s="90"/>
      <c r="ED198" s="90"/>
      <c r="EE198" s="90"/>
      <c r="EF198" s="90">
        <v>3</v>
      </c>
      <c r="EG198" s="90"/>
      <c r="EH198" s="90">
        <v>0.81699999999999995</v>
      </c>
      <c r="EI198" s="90">
        <v>4</v>
      </c>
      <c r="EJ198" s="90">
        <v>2</v>
      </c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>
        <f t="shared" si="61"/>
        <v>9.8170000000000002</v>
      </c>
      <c r="EY198" s="90">
        <f>ROUND(EX198*IFERROR(VLOOKUP($DG198,'3121% SY'!$A$2:$M$324,13,FALSE),0),3)</f>
        <v>2.8119999999999998</v>
      </c>
      <c r="EZ198" s="90">
        <f t="shared" si="62"/>
        <v>10.641</v>
      </c>
      <c r="FA198" s="90">
        <f>ROUND(EZ198*IFERROR(VLOOKUP($DG198,'3121% SY'!$A$2:$M$324,13,FALSE),0),3)</f>
        <v>3.048</v>
      </c>
    </row>
    <row r="199" spans="1:157" x14ac:dyDescent="0.25">
      <c r="A199" s="88" t="s">
        <v>199</v>
      </c>
      <c r="B199" s="90"/>
      <c r="C199" s="90"/>
      <c r="D199" s="90"/>
      <c r="E199" s="90"/>
      <c r="F199" s="90"/>
      <c r="G199" s="90"/>
      <c r="H199" s="90"/>
      <c r="I199" s="90">
        <v>0.60899999999999999</v>
      </c>
      <c r="J199" s="90"/>
      <c r="K199" s="90"/>
      <c r="L199" s="90"/>
      <c r="M199" s="90"/>
      <c r="N199" s="90"/>
      <c r="O199" s="90"/>
      <c r="P199" s="90">
        <v>0.8</v>
      </c>
      <c r="Q199" s="90">
        <v>0.2</v>
      </c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R199" s="90">
        <f t="shared" ref="AR199:AR255" si="63">SUM(N199:AQ199)</f>
        <v>1</v>
      </c>
      <c r="AS199" s="90">
        <f>SUM($B199:M199)</f>
        <v>0.60899999999999999</v>
      </c>
      <c r="AT199" s="89"/>
      <c r="CL199" s="90">
        <f t="shared" ref="CL199:CL255" si="64">SUM(BH199:CK199)</f>
        <v>0</v>
      </c>
      <c r="CM199" s="90">
        <f t="shared" ref="CM199:CM255" si="65">SUM(AV199:BG199)</f>
        <v>0</v>
      </c>
      <c r="CN199" s="89"/>
      <c r="DD199" s="90">
        <f t="shared" ref="DD199:DD255" si="66">SUM(CT199:DC199)</f>
        <v>0</v>
      </c>
      <c r="DE199" s="90">
        <f t="shared" ref="DE199:DE255" si="67">SUM(CP199:CS199)</f>
        <v>0</v>
      </c>
      <c r="DF199" s="89"/>
      <c r="DG199" s="88" t="s">
        <v>297</v>
      </c>
      <c r="DH199" s="90"/>
      <c r="DI199" s="90"/>
      <c r="DJ199" s="90"/>
      <c r="DK199" s="90"/>
      <c r="DL199" s="90"/>
      <c r="DM199" s="90"/>
      <c r="DN199" s="90"/>
      <c r="DO199" s="90">
        <v>0.63900000000000001</v>
      </c>
      <c r="DP199" s="90">
        <v>0.59399999999999997</v>
      </c>
      <c r="DQ199" s="90"/>
      <c r="DR199" s="90">
        <v>0.59399999999999997</v>
      </c>
      <c r="DS199" s="90"/>
      <c r="DT199" s="90"/>
      <c r="DU199" s="90"/>
      <c r="DV199" s="90"/>
      <c r="DW199" s="90"/>
      <c r="DX199" s="90"/>
      <c r="DY199" s="90"/>
      <c r="DZ199" s="90"/>
      <c r="EA199" s="90"/>
      <c r="EB199" s="90"/>
      <c r="EC199" s="90"/>
      <c r="ED199" s="90"/>
      <c r="EE199" s="90"/>
      <c r="EF199" s="90">
        <v>1.22</v>
      </c>
      <c r="EG199" s="90">
        <v>1.4390000000000001</v>
      </c>
      <c r="EH199" s="90">
        <v>0.22</v>
      </c>
      <c r="EI199" s="90">
        <v>2.75</v>
      </c>
      <c r="EJ199" s="90">
        <v>1</v>
      </c>
      <c r="EK199" s="90">
        <v>0.75</v>
      </c>
      <c r="EL199" s="90"/>
      <c r="EM199" s="90"/>
      <c r="EN199" s="90"/>
      <c r="EO199" s="90">
        <v>0.5</v>
      </c>
      <c r="EP199" s="90">
        <v>0.5</v>
      </c>
      <c r="EQ199" s="90"/>
      <c r="ER199" s="90">
        <v>1</v>
      </c>
      <c r="ES199" s="90">
        <v>1</v>
      </c>
      <c r="ET199" s="90"/>
      <c r="EU199" s="90"/>
      <c r="EV199" s="90"/>
      <c r="EW199" s="90"/>
      <c r="EX199" s="90">
        <f t="shared" ref="EX199:EX255" si="68">SUM(DT199:EW199)</f>
        <v>10.379</v>
      </c>
      <c r="EY199" s="90">
        <f>ROUND(EX199*IFERROR(VLOOKUP($DG199,'3121% SY'!$A$2:$M$324,13,FALSE),0),3)</f>
        <v>1.6220000000000001</v>
      </c>
      <c r="EZ199" s="90">
        <f t="shared" ref="EZ199:EZ255" si="69">SUM(DH199:DS199)</f>
        <v>1.827</v>
      </c>
      <c r="FA199" s="90">
        <f>ROUND(EZ199*IFERROR(VLOOKUP($DG199,'3121% SY'!$A$2:$M$324,13,FALSE),0),3)</f>
        <v>0.28599999999999998</v>
      </c>
    </row>
    <row r="200" spans="1:157" x14ac:dyDescent="0.25">
      <c r="A200" s="88" t="s">
        <v>200</v>
      </c>
      <c r="B200" s="90"/>
      <c r="C200" s="90"/>
      <c r="D200" s="90"/>
      <c r="E200" s="90"/>
      <c r="F200" s="90"/>
      <c r="G200" s="90"/>
      <c r="H200" s="90"/>
      <c r="I200" s="90">
        <v>0.72299999999999998</v>
      </c>
      <c r="J200" s="90"/>
      <c r="K200" s="90"/>
      <c r="L200" s="90"/>
      <c r="M200" s="90"/>
      <c r="N200" s="90"/>
      <c r="O200" s="90">
        <v>0.54</v>
      </c>
      <c r="P200" s="90">
        <v>0.31</v>
      </c>
      <c r="Q200" s="90">
        <v>0.15</v>
      </c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K200" s="90"/>
      <c r="AL200" s="90"/>
      <c r="AM200" s="90"/>
      <c r="AN200" s="90"/>
      <c r="AO200" s="90"/>
      <c r="AR200" s="90">
        <f t="shared" si="63"/>
        <v>1</v>
      </c>
      <c r="AS200" s="90">
        <f>SUM($B200:M200)</f>
        <v>0.72299999999999998</v>
      </c>
      <c r="AT200" s="89"/>
      <c r="CL200" s="90">
        <f t="shared" si="64"/>
        <v>0</v>
      </c>
      <c r="CM200" s="90">
        <f t="shared" si="65"/>
        <v>0</v>
      </c>
      <c r="CN200" s="89"/>
      <c r="DD200" s="90">
        <f t="shared" si="66"/>
        <v>0</v>
      </c>
      <c r="DE200" s="90">
        <f t="shared" si="67"/>
        <v>0</v>
      </c>
      <c r="DF200" s="89"/>
      <c r="DG200" s="88" t="s">
        <v>298</v>
      </c>
      <c r="DH200" s="90"/>
      <c r="DI200" s="90"/>
      <c r="DJ200" s="90"/>
      <c r="DK200" s="90"/>
      <c r="DL200" s="90"/>
      <c r="DM200" s="90"/>
      <c r="DN200" s="90"/>
      <c r="DO200" s="90"/>
      <c r="DP200" s="90"/>
      <c r="DQ200" s="90"/>
      <c r="DR200" s="90"/>
      <c r="DS200" s="90"/>
      <c r="DT200" s="90"/>
      <c r="DU200" s="90"/>
      <c r="DV200" s="90"/>
      <c r="DW200" s="90"/>
      <c r="DX200" s="90"/>
      <c r="DY200" s="90"/>
      <c r="DZ200" s="90"/>
      <c r="EA200" s="90"/>
      <c r="EB200" s="90"/>
      <c r="EC200" s="90"/>
      <c r="ED200" s="90"/>
      <c r="EE200" s="90"/>
      <c r="EF200" s="90">
        <v>0.5</v>
      </c>
      <c r="EG200" s="90"/>
      <c r="EH200" s="90">
        <v>0.5</v>
      </c>
      <c r="EI200" s="90">
        <v>1</v>
      </c>
      <c r="EJ200" s="90"/>
      <c r="EK200" s="90"/>
      <c r="EL200" s="90"/>
      <c r="EM200" s="90"/>
      <c r="EN200" s="90"/>
      <c r="EO200" s="90"/>
      <c r="EP200" s="90"/>
      <c r="EQ200" s="90"/>
      <c r="ER200" s="90"/>
      <c r="ES200" s="90"/>
      <c r="ET200" s="90"/>
      <c r="EU200" s="90"/>
      <c r="EV200" s="90"/>
      <c r="EW200" s="90"/>
      <c r="EX200" s="90">
        <f t="shared" si="68"/>
        <v>2</v>
      </c>
      <c r="EY200" s="90">
        <f>ROUND(EX200*IFERROR(VLOOKUP($DG200,'3121% SY'!$A$2:$M$324,13,FALSE),0),3)</f>
        <v>0.502</v>
      </c>
      <c r="EZ200" s="90">
        <f t="shared" si="69"/>
        <v>0</v>
      </c>
      <c r="FA200" s="90">
        <f>ROUND(EZ200*IFERROR(VLOOKUP($DG200,'3121% SY'!$A$2:$M$324,13,FALSE),0),3)</f>
        <v>0</v>
      </c>
    </row>
    <row r="201" spans="1:157" x14ac:dyDescent="0.25">
      <c r="A201" s="88" t="s">
        <v>201</v>
      </c>
      <c r="B201" s="90"/>
      <c r="C201" s="90"/>
      <c r="D201" s="90"/>
      <c r="E201" s="90"/>
      <c r="F201" s="90">
        <v>9.1999999999999998E-2</v>
      </c>
      <c r="G201" s="90"/>
      <c r="H201" s="90"/>
      <c r="I201" s="90"/>
      <c r="J201" s="90"/>
      <c r="K201" s="90"/>
      <c r="L201" s="90"/>
      <c r="M201" s="90"/>
      <c r="N201" s="90"/>
      <c r="O201" s="90">
        <v>1</v>
      </c>
      <c r="P201" s="90">
        <v>1</v>
      </c>
      <c r="Q201" s="90">
        <v>1</v>
      </c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>
        <v>0.35</v>
      </c>
      <c r="AE201" s="90">
        <v>0.3</v>
      </c>
      <c r="AF201" s="90">
        <v>0.35</v>
      </c>
      <c r="AG201" s="90"/>
      <c r="AH201" s="90"/>
      <c r="AI201" s="90"/>
      <c r="AJ201" s="90"/>
      <c r="AK201" s="90"/>
      <c r="AL201" s="90"/>
      <c r="AM201" s="90"/>
      <c r="AN201" s="90"/>
      <c r="AO201" s="90"/>
      <c r="AR201" s="90">
        <f t="shared" si="63"/>
        <v>4</v>
      </c>
      <c r="AS201" s="90">
        <f>SUM($B201:M201)</f>
        <v>9.1999999999999998E-2</v>
      </c>
      <c r="AT201" s="89"/>
      <c r="CL201" s="90">
        <f t="shared" si="64"/>
        <v>0</v>
      </c>
      <c r="CM201" s="90">
        <f t="shared" si="65"/>
        <v>0</v>
      </c>
      <c r="CN201" s="89"/>
      <c r="DD201" s="90">
        <f t="shared" si="66"/>
        <v>0</v>
      </c>
      <c r="DE201" s="90">
        <f t="shared" si="67"/>
        <v>0</v>
      </c>
      <c r="DF201" s="89"/>
      <c r="DG201" s="88" t="s">
        <v>299</v>
      </c>
      <c r="DH201" s="90"/>
      <c r="DI201" s="90"/>
      <c r="DJ201" s="90"/>
      <c r="DK201" s="90"/>
      <c r="DL201" s="90"/>
      <c r="DM201" s="90"/>
      <c r="DN201" s="90"/>
      <c r="DO201" s="90">
        <v>1.837</v>
      </c>
      <c r="DP201" s="90"/>
      <c r="DQ201" s="90"/>
      <c r="DR201" s="90"/>
      <c r="DS201" s="90"/>
      <c r="DT201" s="90"/>
      <c r="DU201" s="90"/>
      <c r="DV201" s="90"/>
      <c r="DW201" s="90"/>
      <c r="DX201" s="90"/>
      <c r="DY201" s="90"/>
      <c r="DZ201" s="90"/>
      <c r="EA201" s="90"/>
      <c r="EB201" s="90"/>
      <c r="EC201" s="90"/>
      <c r="ED201" s="90"/>
      <c r="EE201" s="90"/>
      <c r="EF201" s="90"/>
      <c r="EG201" s="90"/>
      <c r="EH201" s="90"/>
      <c r="EI201" s="90">
        <v>0.28399999999999997</v>
      </c>
      <c r="EJ201" s="90">
        <v>0.27500000000000002</v>
      </c>
      <c r="EK201" s="90">
        <v>0.27500000000000002</v>
      </c>
      <c r="EL201" s="90"/>
      <c r="EM201" s="90"/>
      <c r="EN201" s="90"/>
      <c r="EO201" s="90"/>
      <c r="EP201" s="90"/>
      <c r="EQ201" s="90"/>
      <c r="ER201" s="90"/>
      <c r="ES201" s="90"/>
      <c r="ET201" s="90"/>
      <c r="EU201" s="90"/>
      <c r="EV201" s="90"/>
      <c r="EW201" s="90"/>
      <c r="EX201" s="90">
        <f t="shared" si="68"/>
        <v>0.83399999999999996</v>
      </c>
      <c r="EY201" s="90">
        <f>ROUND(EX201*IFERROR(VLOOKUP($DG201,'3121% SY'!$A$2:$M$324,13,FALSE),0),3)</f>
        <v>0.23</v>
      </c>
      <c r="EZ201" s="90">
        <f t="shared" si="69"/>
        <v>1.837</v>
      </c>
      <c r="FA201" s="90">
        <f>ROUND(EZ201*IFERROR(VLOOKUP($DG201,'3121% SY'!$A$2:$M$324,13,FALSE),0),3)</f>
        <v>0.50700000000000001</v>
      </c>
    </row>
    <row r="202" spans="1:157" x14ac:dyDescent="0.25">
      <c r="A202" s="88" t="s">
        <v>202</v>
      </c>
      <c r="B202" s="90"/>
      <c r="C202" s="90"/>
      <c r="D202" s="90"/>
      <c r="E202" s="90"/>
      <c r="F202" s="90">
        <v>0.64200000000000002</v>
      </c>
      <c r="G202" s="90"/>
      <c r="H202" s="90"/>
      <c r="I202" s="90">
        <v>1.1299999999999999</v>
      </c>
      <c r="J202" s="90"/>
      <c r="K202" s="90"/>
      <c r="L202" s="90"/>
      <c r="M202" s="90"/>
      <c r="N202" s="90"/>
      <c r="O202" s="90">
        <v>0.8</v>
      </c>
      <c r="P202" s="90">
        <v>0.12</v>
      </c>
      <c r="Q202" s="90">
        <v>0.08</v>
      </c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K202" s="90"/>
      <c r="AL202" s="90"/>
      <c r="AM202" s="90"/>
      <c r="AN202" s="90"/>
      <c r="AO202" s="90"/>
      <c r="AR202" s="90">
        <f t="shared" si="63"/>
        <v>1</v>
      </c>
      <c r="AS202" s="90">
        <f>SUM($B202:M202)</f>
        <v>1.7719999999999998</v>
      </c>
      <c r="AT202" s="89"/>
      <c r="CL202" s="90">
        <f t="shared" si="64"/>
        <v>0</v>
      </c>
      <c r="CM202" s="90">
        <f t="shared" si="65"/>
        <v>0</v>
      </c>
      <c r="CN202" s="89"/>
      <c r="DD202" s="90">
        <f t="shared" si="66"/>
        <v>0</v>
      </c>
      <c r="DE202" s="90">
        <f t="shared" si="67"/>
        <v>0</v>
      </c>
      <c r="DF202" s="89"/>
      <c r="DG202" s="88" t="s">
        <v>301</v>
      </c>
      <c r="DH202" s="90"/>
      <c r="DI202" s="90"/>
      <c r="DJ202" s="90"/>
      <c r="DK202" s="90"/>
      <c r="DL202" s="90">
        <v>1.075</v>
      </c>
      <c r="DM202" s="90"/>
      <c r="DN202" s="90"/>
      <c r="DO202" s="90">
        <v>1.925</v>
      </c>
      <c r="DP202" s="90"/>
      <c r="DQ202" s="90"/>
      <c r="DR202" s="90"/>
      <c r="DS202" s="90"/>
      <c r="DT202" s="90"/>
      <c r="DU202" s="90"/>
      <c r="DV202" s="90"/>
      <c r="DW202" s="90"/>
      <c r="DX202" s="90"/>
      <c r="DY202" s="90"/>
      <c r="DZ202" s="90"/>
      <c r="EA202" s="90"/>
      <c r="EB202" s="90"/>
      <c r="EC202" s="90"/>
      <c r="ED202" s="90"/>
      <c r="EE202" s="90"/>
      <c r="EF202" s="90">
        <v>1.6879999999999999</v>
      </c>
      <c r="EG202" s="90">
        <v>0.03</v>
      </c>
      <c r="EH202" s="90"/>
      <c r="EI202" s="90">
        <v>0.6</v>
      </c>
      <c r="EJ202" s="90"/>
      <c r="EK202" s="90"/>
      <c r="EL202" s="90"/>
      <c r="EM202" s="90"/>
      <c r="EN202" s="90"/>
      <c r="EO202" s="90"/>
      <c r="EP202" s="90"/>
      <c r="EQ202" s="90"/>
      <c r="ER202" s="90"/>
      <c r="ES202" s="90"/>
      <c r="ET202" s="90"/>
      <c r="EU202" s="90"/>
      <c r="EV202" s="90"/>
      <c r="EW202" s="90"/>
      <c r="EX202" s="90">
        <f t="shared" si="68"/>
        <v>2.3180000000000001</v>
      </c>
      <c r="EY202" s="90">
        <f>ROUND(EX202*IFERROR(VLOOKUP($DG202,'3121% SY'!$A$2:$M$324,13,FALSE),0),3)</f>
        <v>0.52300000000000002</v>
      </c>
      <c r="EZ202" s="90">
        <f t="shared" si="69"/>
        <v>3</v>
      </c>
      <c r="FA202" s="90">
        <f>ROUND(EZ202*IFERROR(VLOOKUP($DG202,'3121% SY'!$A$2:$M$324,13,FALSE),0),3)</f>
        <v>0.67700000000000005</v>
      </c>
    </row>
    <row r="203" spans="1:157" x14ac:dyDescent="0.25">
      <c r="A203" s="88" t="s">
        <v>203</v>
      </c>
      <c r="B203" s="90"/>
      <c r="C203" s="90">
        <v>2.6629999999999998</v>
      </c>
      <c r="D203" s="90"/>
      <c r="E203" s="90"/>
      <c r="F203" s="90"/>
      <c r="G203" s="90"/>
      <c r="H203" s="90">
        <v>0.46200000000000002</v>
      </c>
      <c r="I203" s="90">
        <v>2.42</v>
      </c>
      <c r="J203" s="90"/>
      <c r="K203" s="90"/>
      <c r="L203" s="90">
        <v>4.3999999999999997E-2</v>
      </c>
      <c r="M203" s="90"/>
      <c r="N203" s="90"/>
      <c r="O203" s="90">
        <v>4.2030000000000003</v>
      </c>
      <c r="P203" s="90">
        <v>3.5</v>
      </c>
      <c r="Q203" s="90">
        <v>1.0169999999999999</v>
      </c>
      <c r="R203" s="90"/>
      <c r="S203" s="90"/>
      <c r="T203" s="90"/>
      <c r="U203" s="90"/>
      <c r="V203" s="90"/>
      <c r="W203" s="90">
        <v>0.78</v>
      </c>
      <c r="X203" s="90"/>
      <c r="Y203" s="90"/>
      <c r="Z203" s="90"/>
      <c r="AA203" s="90"/>
      <c r="AB203" s="90"/>
      <c r="AC203" s="90"/>
      <c r="AD203" s="90">
        <v>1.609</v>
      </c>
      <c r="AE203" s="90">
        <v>1</v>
      </c>
      <c r="AF203" s="90">
        <v>0.39100000000000001</v>
      </c>
      <c r="AG203" s="90"/>
      <c r="AH203" s="90"/>
      <c r="AI203" s="90"/>
      <c r="AJ203" s="90"/>
      <c r="AK203" s="90"/>
      <c r="AL203" s="90"/>
      <c r="AM203" s="90"/>
      <c r="AN203" s="90"/>
      <c r="AO203" s="90"/>
      <c r="AR203" s="90">
        <f t="shared" si="63"/>
        <v>12.5</v>
      </c>
      <c r="AS203" s="90">
        <f>SUM($B203:M203)</f>
        <v>5.5889999999999995</v>
      </c>
      <c r="AT203" s="89"/>
      <c r="CL203" s="90">
        <f t="shared" si="64"/>
        <v>0</v>
      </c>
      <c r="CM203" s="90">
        <f t="shared" si="65"/>
        <v>0</v>
      </c>
      <c r="CN203" s="89"/>
      <c r="DD203" s="90">
        <f t="shared" si="66"/>
        <v>0</v>
      </c>
      <c r="DE203" s="90">
        <f t="shared" si="67"/>
        <v>0</v>
      </c>
      <c r="DF203" s="89"/>
      <c r="DG203" s="88" t="s">
        <v>302</v>
      </c>
      <c r="DH203" s="90"/>
      <c r="DI203" s="90"/>
      <c r="DJ203" s="90"/>
      <c r="DK203" s="90"/>
      <c r="DL203" s="90"/>
      <c r="DM203" s="90"/>
      <c r="DN203" s="90"/>
      <c r="DO203" s="90">
        <v>9.798</v>
      </c>
      <c r="DP203" s="90"/>
      <c r="DQ203" s="90"/>
      <c r="DR203" s="90"/>
      <c r="DS203" s="90"/>
      <c r="DT203" s="90"/>
      <c r="DU203" s="90"/>
      <c r="DV203" s="90"/>
      <c r="DW203" s="90"/>
      <c r="DX203" s="90"/>
      <c r="DY203" s="90">
        <v>1</v>
      </c>
      <c r="DZ203" s="90"/>
      <c r="EA203" s="90"/>
      <c r="EB203" s="90"/>
      <c r="EC203" s="90"/>
      <c r="ED203" s="90"/>
      <c r="EE203" s="90"/>
      <c r="EF203" s="90">
        <v>3.4</v>
      </c>
      <c r="EG203" s="90"/>
      <c r="EH203" s="90"/>
      <c r="EI203" s="90">
        <v>3.75</v>
      </c>
      <c r="EJ203" s="90">
        <v>1.25</v>
      </c>
      <c r="EK203" s="90">
        <v>1</v>
      </c>
      <c r="EL203" s="90"/>
      <c r="EM203" s="90"/>
      <c r="EN203" s="90"/>
      <c r="EO203" s="90"/>
      <c r="EP203" s="90"/>
      <c r="EQ203" s="90"/>
      <c r="ER203" s="90">
        <v>1</v>
      </c>
      <c r="ES203" s="90"/>
      <c r="ET203" s="90"/>
      <c r="EU203" s="90"/>
      <c r="EV203" s="90"/>
      <c r="EW203" s="90"/>
      <c r="EX203" s="90">
        <f t="shared" si="68"/>
        <v>11.4</v>
      </c>
      <c r="EY203" s="90">
        <f>ROUND(EX203*IFERROR(VLOOKUP($DG203,'3121% SY'!$A$2:$M$324,13,FALSE),0),3)</f>
        <v>2.5070000000000001</v>
      </c>
      <c r="EZ203" s="90">
        <f t="shared" si="69"/>
        <v>9.798</v>
      </c>
      <c r="FA203" s="90">
        <f>ROUND(EZ203*IFERROR(VLOOKUP($DG203,'3121% SY'!$A$2:$M$324,13,FALSE),0),3)</f>
        <v>2.1549999999999998</v>
      </c>
    </row>
    <row r="204" spans="1:157" x14ac:dyDescent="0.25">
      <c r="A204" s="88" t="s">
        <v>204</v>
      </c>
      <c r="B204" s="90"/>
      <c r="C204" s="90">
        <v>0.69199999999999995</v>
      </c>
      <c r="D204" s="90"/>
      <c r="E204" s="90">
        <v>7.8840000000000003</v>
      </c>
      <c r="F204" s="90">
        <v>0.78400000000000003</v>
      </c>
      <c r="G204" s="90">
        <v>0.85899999999999999</v>
      </c>
      <c r="H204" s="90">
        <v>4.4269999999999996</v>
      </c>
      <c r="I204" s="90">
        <v>0.878</v>
      </c>
      <c r="J204" s="90">
        <v>0.68200000000000005</v>
      </c>
      <c r="K204" s="90"/>
      <c r="L204" s="90"/>
      <c r="M204" s="90"/>
      <c r="N204" s="90"/>
      <c r="O204" s="90">
        <v>5.0780000000000003</v>
      </c>
      <c r="P204" s="90">
        <v>3.3690000000000002</v>
      </c>
      <c r="Q204" s="90">
        <v>2</v>
      </c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>
        <v>0.54300000000000004</v>
      </c>
      <c r="AE204" s="90">
        <v>0.30599999999999999</v>
      </c>
      <c r="AF204" s="90">
        <v>0.151</v>
      </c>
      <c r="AG204" s="90"/>
      <c r="AH204" s="90"/>
      <c r="AI204" s="90"/>
      <c r="AJ204" s="90">
        <v>0.73599999999999999</v>
      </c>
      <c r="AK204" s="90">
        <v>3.2000000000000001E-2</v>
      </c>
      <c r="AL204" s="90">
        <v>3.2000000000000001E-2</v>
      </c>
      <c r="AM204" s="90"/>
      <c r="AN204" s="90"/>
      <c r="AO204" s="90"/>
      <c r="AR204" s="90">
        <f t="shared" si="63"/>
        <v>12.247</v>
      </c>
      <c r="AS204" s="90">
        <f>SUM($B204:M204)</f>
        <v>16.206</v>
      </c>
      <c r="AT204" s="89"/>
      <c r="CL204" s="90">
        <f t="shared" si="64"/>
        <v>0</v>
      </c>
      <c r="CM204" s="90">
        <f t="shared" si="65"/>
        <v>0</v>
      </c>
      <c r="CN204" s="89"/>
      <c r="DD204" s="90">
        <f t="shared" si="66"/>
        <v>0</v>
      </c>
      <c r="DE204" s="90">
        <f t="shared" si="67"/>
        <v>0</v>
      </c>
      <c r="DF204" s="89"/>
      <c r="DG204" s="88" t="s">
        <v>303</v>
      </c>
      <c r="DH204" s="90"/>
      <c r="DI204" s="90"/>
      <c r="DJ204" s="90"/>
      <c r="DK204" s="90"/>
      <c r="DL204" s="90"/>
      <c r="DM204" s="90"/>
      <c r="DN204" s="90">
        <v>0.74199999999999999</v>
      </c>
      <c r="DO204" s="90">
        <v>1.4890000000000001</v>
      </c>
      <c r="DP204" s="90">
        <v>0.21099999999999999</v>
      </c>
      <c r="DQ204" s="90"/>
      <c r="DR204" s="90"/>
      <c r="DS204" s="90"/>
      <c r="DT204" s="90"/>
      <c r="DU204" s="90"/>
      <c r="DV204" s="90"/>
      <c r="DW204" s="90"/>
      <c r="DX204" s="90"/>
      <c r="DY204" s="90"/>
      <c r="DZ204" s="90"/>
      <c r="EA204" s="90"/>
      <c r="EB204" s="90"/>
      <c r="EC204" s="90"/>
      <c r="ED204" s="90"/>
      <c r="EE204" s="90"/>
      <c r="EF204" s="90"/>
      <c r="EG204" s="90"/>
      <c r="EH204" s="90"/>
      <c r="EI204" s="90"/>
      <c r="EJ204" s="90"/>
      <c r="EK204" s="90"/>
      <c r="EL204" s="90"/>
      <c r="EM204" s="90"/>
      <c r="EN204" s="90"/>
      <c r="EO204" s="90"/>
      <c r="EP204" s="90"/>
      <c r="EQ204" s="90"/>
      <c r="ER204" s="90"/>
      <c r="ES204" s="90"/>
      <c r="ET204" s="90"/>
      <c r="EU204" s="90"/>
      <c r="EV204" s="90"/>
      <c r="EW204" s="90"/>
      <c r="EX204" s="90">
        <f t="shared" si="68"/>
        <v>0</v>
      </c>
      <c r="EY204" s="90">
        <f>ROUND(EX204*IFERROR(VLOOKUP($DG204,'3121% SY'!$A$2:$M$324,13,FALSE),0),3)</f>
        <v>0</v>
      </c>
      <c r="EZ204" s="90">
        <f t="shared" si="69"/>
        <v>2.4419999999999997</v>
      </c>
      <c r="FA204" s="90">
        <f>ROUND(EZ204*IFERROR(VLOOKUP($DG204,'3121% SY'!$A$2:$M$324,13,FALSE),0),3)</f>
        <v>0.49399999999999999</v>
      </c>
    </row>
    <row r="205" spans="1:157" x14ac:dyDescent="0.25">
      <c r="A205" s="88" t="s">
        <v>205</v>
      </c>
      <c r="B205" s="90"/>
      <c r="C205" s="90"/>
      <c r="D205" s="90"/>
      <c r="E205" s="90"/>
      <c r="F205" s="90">
        <v>5.4260000000000002</v>
      </c>
      <c r="G205" s="90"/>
      <c r="H205" s="90"/>
      <c r="I205" s="90">
        <v>3.32</v>
      </c>
      <c r="J205" s="90"/>
      <c r="K205" s="90"/>
      <c r="L205" s="90"/>
      <c r="M205" s="90"/>
      <c r="N205" s="90"/>
      <c r="O205" s="90">
        <v>2.4009999999999998</v>
      </c>
      <c r="P205" s="90">
        <v>2.5499999999999998</v>
      </c>
      <c r="Q205" s="90">
        <v>1.9</v>
      </c>
      <c r="R205" s="90"/>
      <c r="S205" s="90"/>
      <c r="T205" s="90"/>
      <c r="U205" s="90"/>
      <c r="V205" s="90">
        <v>1</v>
      </c>
      <c r="W205" s="90">
        <v>1</v>
      </c>
      <c r="X205" s="90"/>
      <c r="Y205" s="90"/>
      <c r="Z205" s="90"/>
      <c r="AA205" s="90"/>
      <c r="AB205" s="90"/>
      <c r="AC205" s="90"/>
      <c r="AD205" s="90">
        <v>0.53900000000000003</v>
      </c>
      <c r="AE205" s="90">
        <v>0.307</v>
      </c>
      <c r="AF205" s="90">
        <v>0.154</v>
      </c>
      <c r="AG205" s="90"/>
      <c r="AH205" s="90"/>
      <c r="AI205" s="90"/>
      <c r="AJ205" s="90"/>
      <c r="AK205" s="90"/>
      <c r="AL205" s="90"/>
      <c r="AM205" s="90"/>
      <c r="AN205" s="90"/>
      <c r="AO205" s="90"/>
      <c r="AR205" s="90">
        <f t="shared" si="63"/>
        <v>9.8509999999999991</v>
      </c>
      <c r="AS205" s="90">
        <f>SUM($B205:M205)</f>
        <v>8.7460000000000004</v>
      </c>
      <c r="AT205" s="89"/>
      <c r="CL205" s="90">
        <f t="shared" si="64"/>
        <v>0</v>
      </c>
      <c r="CM205" s="90">
        <f t="shared" si="65"/>
        <v>0</v>
      </c>
      <c r="CN205" s="89"/>
      <c r="DD205" s="90">
        <f t="shared" si="66"/>
        <v>0</v>
      </c>
      <c r="DE205" s="90">
        <f t="shared" si="67"/>
        <v>0</v>
      </c>
      <c r="DF205" s="89"/>
      <c r="DG205" s="88" t="s">
        <v>753</v>
      </c>
      <c r="DH205" s="90">
        <v>0</v>
      </c>
      <c r="DI205" s="90">
        <v>4.1950000000000003</v>
      </c>
      <c r="DJ205" s="90">
        <v>0</v>
      </c>
      <c r="DK205" s="90">
        <v>6.5350000000000001</v>
      </c>
      <c r="DL205" s="90">
        <v>162.89399999999989</v>
      </c>
      <c r="DM205" s="90">
        <v>1.3740000000000001</v>
      </c>
      <c r="DN205" s="90">
        <v>42.279000000000003</v>
      </c>
      <c r="DO205" s="90">
        <v>330.07799999999986</v>
      </c>
      <c r="DP205" s="90">
        <v>8.7050000000000018</v>
      </c>
      <c r="DQ205" s="90">
        <v>0</v>
      </c>
      <c r="DR205" s="90">
        <v>0.78200000000000003</v>
      </c>
      <c r="DS205" s="90">
        <v>0</v>
      </c>
      <c r="DT205" s="90">
        <v>13.083999999999998</v>
      </c>
      <c r="DU205" s="90">
        <v>2.7930000000000001</v>
      </c>
      <c r="DV205" s="90">
        <v>1.7859999999999998</v>
      </c>
      <c r="DW205" s="90">
        <v>7.4440000000000008</v>
      </c>
      <c r="DX205" s="90">
        <v>5.383</v>
      </c>
      <c r="DY205" s="90">
        <v>4.5110000000000001</v>
      </c>
      <c r="DZ205" s="90">
        <v>400.18</v>
      </c>
      <c r="EA205" s="90">
        <v>97.703000000000017</v>
      </c>
      <c r="EB205" s="90">
        <v>62.614000000000033</v>
      </c>
      <c r="EC205" s="90">
        <v>13.920000000000002</v>
      </c>
      <c r="ED205" s="90">
        <v>8.4669999999999987</v>
      </c>
      <c r="EE205" s="90">
        <v>4.5449999999999999</v>
      </c>
      <c r="EF205" s="90">
        <v>1020.7279999999995</v>
      </c>
      <c r="EG205" s="90">
        <v>273.64699999999993</v>
      </c>
      <c r="EH205" s="90">
        <v>151.15500000000003</v>
      </c>
      <c r="EI205" s="90">
        <v>533.82999999999981</v>
      </c>
      <c r="EJ205" s="90">
        <v>247.57800000000003</v>
      </c>
      <c r="EK205" s="90">
        <v>135.51400000000004</v>
      </c>
      <c r="EL205" s="90">
        <v>12.874000000000001</v>
      </c>
      <c r="EM205" s="90">
        <v>5.0799999999999992</v>
      </c>
      <c r="EN205" s="90">
        <v>1.087</v>
      </c>
      <c r="EO205" s="90">
        <v>137.92099999999996</v>
      </c>
      <c r="EP205" s="90">
        <v>39.761999999999993</v>
      </c>
      <c r="EQ205" s="90">
        <v>25.138999999999999</v>
      </c>
      <c r="ER205" s="90">
        <v>25.277999999999999</v>
      </c>
      <c r="ES205" s="90">
        <v>19.143999999999998</v>
      </c>
      <c r="ET205" s="90">
        <v>6.3240000000000007</v>
      </c>
      <c r="EU205" s="90">
        <v>91.366</v>
      </c>
      <c r="EV205" s="90">
        <v>23.401000000000003</v>
      </c>
      <c r="EW205" s="90">
        <v>19.364000000000001</v>
      </c>
      <c r="EX205" s="90">
        <f t="shared" si="68"/>
        <v>3391.6219999999989</v>
      </c>
      <c r="EY205" s="90">
        <f>ROUND(EX205*IFERROR(VLOOKUP($DG205,'3121% SY'!$A$2:$M$324,13,FALSE),0),3)</f>
        <v>0</v>
      </c>
      <c r="EZ205" s="90">
        <f t="shared" si="69"/>
        <v>556.84199999999987</v>
      </c>
      <c r="FA205" s="90">
        <f>ROUND(EZ205*IFERROR(VLOOKUP($DG205,'3121% SY'!$A$2:$M$324,13,FALSE),0),3)</f>
        <v>0</v>
      </c>
    </row>
    <row r="206" spans="1:157" x14ac:dyDescent="0.25">
      <c r="A206" s="88" t="s">
        <v>206</v>
      </c>
      <c r="B206" s="90"/>
      <c r="C206" s="90"/>
      <c r="D206" s="90"/>
      <c r="E206" s="90">
        <v>0.63900000000000001</v>
      </c>
      <c r="F206" s="90">
        <v>0.14000000000000001</v>
      </c>
      <c r="G206" s="90">
        <v>9.4E-2</v>
      </c>
      <c r="H206" s="90"/>
      <c r="I206" s="90"/>
      <c r="J206" s="90"/>
      <c r="K206" s="90"/>
      <c r="L206" s="90"/>
      <c r="M206" s="90"/>
      <c r="N206" s="90"/>
      <c r="O206" s="90"/>
      <c r="P206" s="90">
        <v>0.5</v>
      </c>
      <c r="Q206" s="90">
        <v>0.5</v>
      </c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>
        <v>0.4</v>
      </c>
      <c r="AE206" s="90"/>
      <c r="AF206" s="90"/>
      <c r="AG206" s="90"/>
      <c r="AH206" s="90"/>
      <c r="AI206" s="90"/>
      <c r="AJ206" s="90"/>
      <c r="AK206" s="90"/>
      <c r="AL206" s="90"/>
      <c r="AM206" s="90"/>
      <c r="AN206" s="90"/>
      <c r="AO206" s="90"/>
      <c r="AR206" s="90">
        <f t="shared" si="63"/>
        <v>1.4</v>
      </c>
      <c r="AS206" s="90">
        <f>SUM($B206:M206)</f>
        <v>0.873</v>
      </c>
      <c r="AT206" s="89"/>
      <c r="CL206" s="90">
        <f t="shared" si="64"/>
        <v>0</v>
      </c>
      <c r="CM206" s="90">
        <f t="shared" si="65"/>
        <v>0</v>
      </c>
      <c r="CN206" s="89"/>
      <c r="DD206" s="90">
        <f t="shared" si="66"/>
        <v>0</v>
      </c>
      <c r="DE206" s="90">
        <f t="shared" si="67"/>
        <v>0</v>
      </c>
      <c r="DF206" s="89"/>
      <c r="EX206" s="90">
        <f t="shared" si="68"/>
        <v>0</v>
      </c>
      <c r="EY206" s="90">
        <f>ROUND(EX206*IFERROR(VLOOKUP($DG206,'3121% SY'!$A$2:$M$324,13,FALSE),0),3)</f>
        <v>0</v>
      </c>
      <c r="EZ206" s="90">
        <f t="shared" si="69"/>
        <v>0</v>
      </c>
      <c r="FA206" s="90">
        <f>ROUND(EZ206*IFERROR(VLOOKUP($DG206,'3121% SY'!$A$2:$M$324,13,FALSE),0),3)</f>
        <v>0</v>
      </c>
    </row>
    <row r="207" spans="1:157" x14ac:dyDescent="0.25">
      <c r="A207" s="88" t="s">
        <v>207</v>
      </c>
      <c r="B207" s="90"/>
      <c r="C207" s="90"/>
      <c r="D207" s="90"/>
      <c r="E207" s="90"/>
      <c r="F207" s="90">
        <v>0.874</v>
      </c>
      <c r="G207" s="90"/>
      <c r="H207" s="90"/>
      <c r="I207" s="90">
        <v>5.0999999999999997E-2</v>
      </c>
      <c r="J207" s="90"/>
      <c r="K207" s="90"/>
      <c r="L207" s="90"/>
      <c r="M207" s="90"/>
      <c r="N207" s="90"/>
      <c r="O207" s="90">
        <v>0.8</v>
      </c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R207" s="90">
        <f t="shared" si="63"/>
        <v>0.8</v>
      </c>
      <c r="AS207" s="90">
        <f>SUM($B207:M207)</f>
        <v>0.92500000000000004</v>
      </c>
      <c r="AT207" s="89"/>
      <c r="CL207" s="90">
        <f t="shared" si="64"/>
        <v>0</v>
      </c>
      <c r="CM207" s="90">
        <f t="shared" si="65"/>
        <v>0</v>
      </c>
      <c r="CN207" s="89"/>
      <c r="DD207" s="90">
        <f t="shared" si="66"/>
        <v>0</v>
      </c>
      <c r="DE207" s="90">
        <f t="shared" si="67"/>
        <v>0</v>
      </c>
      <c r="DF207" s="89"/>
      <c r="EX207" s="90">
        <f t="shared" si="68"/>
        <v>0</v>
      </c>
      <c r="EY207" s="90">
        <f>ROUND(EX207*IFERROR(VLOOKUP($DG207,'3121% SY'!$A$2:$M$324,13,FALSE),0),3)</f>
        <v>0</v>
      </c>
      <c r="EZ207" s="90">
        <f t="shared" si="69"/>
        <v>0</v>
      </c>
      <c r="FA207" s="90">
        <f>ROUND(EZ207*IFERROR(VLOOKUP($DG207,'3121% SY'!$A$2:$M$324,13,FALSE),0),3)</f>
        <v>0</v>
      </c>
    </row>
    <row r="208" spans="1:157" x14ac:dyDescent="0.25">
      <c r="A208" s="88" t="s">
        <v>208</v>
      </c>
      <c r="B208" s="90"/>
      <c r="C208" s="90"/>
      <c r="D208" s="90"/>
      <c r="E208" s="90">
        <v>7.8520000000000003</v>
      </c>
      <c r="F208" s="90">
        <v>0.73599999999999999</v>
      </c>
      <c r="G208" s="90">
        <v>0.65300000000000002</v>
      </c>
      <c r="H208" s="90">
        <v>1.8720000000000001</v>
      </c>
      <c r="I208" s="90">
        <v>3.3370000000000002</v>
      </c>
      <c r="J208" s="90"/>
      <c r="K208" s="90"/>
      <c r="L208" s="90">
        <v>4.4279999999999999</v>
      </c>
      <c r="M208" s="90"/>
      <c r="N208" s="90"/>
      <c r="O208" s="90">
        <v>6</v>
      </c>
      <c r="P208" s="90">
        <v>4.5</v>
      </c>
      <c r="Q208" s="90">
        <v>4</v>
      </c>
      <c r="R208" s="90"/>
      <c r="S208" s="90"/>
      <c r="T208" s="90"/>
      <c r="U208" s="90">
        <v>2.25</v>
      </c>
      <c r="V208" s="90">
        <v>0.8</v>
      </c>
      <c r="W208" s="90">
        <v>0.33</v>
      </c>
      <c r="X208" s="90"/>
      <c r="Y208" s="90"/>
      <c r="Z208" s="90"/>
      <c r="AA208" s="90"/>
      <c r="AB208" s="90"/>
      <c r="AC208" s="90"/>
      <c r="AD208" s="90">
        <v>2.347</v>
      </c>
      <c r="AE208" s="90">
        <v>1.06</v>
      </c>
      <c r="AF208" s="90">
        <v>0.79300000000000004</v>
      </c>
      <c r="AG208" s="90"/>
      <c r="AH208" s="90"/>
      <c r="AI208" s="90"/>
      <c r="AJ208" s="90"/>
      <c r="AK208" s="90"/>
      <c r="AL208" s="90"/>
      <c r="AM208" s="90"/>
      <c r="AN208" s="90"/>
      <c r="AO208" s="90"/>
      <c r="AR208" s="90">
        <f t="shared" si="63"/>
        <v>22.08</v>
      </c>
      <c r="AS208" s="90">
        <f>SUM($B208:M208)</f>
        <v>18.878</v>
      </c>
      <c r="AT208" s="89"/>
      <c r="CL208" s="90">
        <f t="shared" si="64"/>
        <v>0</v>
      </c>
      <c r="CM208" s="90">
        <f t="shared" si="65"/>
        <v>0</v>
      </c>
      <c r="CN208" s="89"/>
      <c r="DD208" s="90">
        <f t="shared" si="66"/>
        <v>0</v>
      </c>
      <c r="DE208" s="90">
        <f t="shared" si="67"/>
        <v>0</v>
      </c>
      <c r="DF208" s="89"/>
      <c r="EX208" s="90">
        <f t="shared" si="68"/>
        <v>0</v>
      </c>
      <c r="EY208" s="90">
        <f>ROUND(EX208*IFERROR(VLOOKUP($DG208,'3121% SY'!$A$2:$M$324,13,FALSE),0),3)</f>
        <v>0</v>
      </c>
      <c r="EZ208" s="90">
        <f t="shared" si="69"/>
        <v>0</v>
      </c>
      <c r="FA208" s="90">
        <f>ROUND(EZ208*IFERROR(VLOOKUP($DG208,'3121% SY'!$A$2:$M$324,13,FALSE),0),3)</f>
        <v>0</v>
      </c>
    </row>
    <row r="209" spans="1:157" x14ac:dyDescent="0.25">
      <c r="A209" s="88" t="s">
        <v>209</v>
      </c>
      <c r="B209" s="90"/>
      <c r="C209" s="90"/>
      <c r="D209" s="90"/>
      <c r="E209" s="90"/>
      <c r="F209" s="90"/>
      <c r="G209" s="90"/>
      <c r="H209" s="90"/>
      <c r="I209" s="90">
        <v>0.20100000000000001</v>
      </c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R209" s="90">
        <f t="shared" si="63"/>
        <v>0</v>
      </c>
      <c r="AS209" s="90">
        <f>SUM($B209:M209)</f>
        <v>0.20100000000000001</v>
      </c>
      <c r="AT209" s="89"/>
      <c r="CL209" s="90">
        <f t="shared" si="64"/>
        <v>0</v>
      </c>
      <c r="CM209" s="90">
        <f t="shared" si="65"/>
        <v>0</v>
      </c>
      <c r="CN209" s="89"/>
      <c r="DD209" s="90">
        <f t="shared" si="66"/>
        <v>0</v>
      </c>
      <c r="DE209" s="90">
        <f t="shared" si="67"/>
        <v>0</v>
      </c>
      <c r="DF209" s="89"/>
      <c r="EX209" s="90">
        <f t="shared" si="68"/>
        <v>0</v>
      </c>
      <c r="EY209" s="90">
        <f>ROUND(EX209*IFERROR(VLOOKUP($DG209,'3121% SY'!$A$2:$M$324,13,FALSE),0),3)</f>
        <v>0</v>
      </c>
      <c r="EZ209" s="90">
        <f t="shared" si="69"/>
        <v>0</v>
      </c>
      <c r="FA209" s="90">
        <f>ROUND(EZ209*IFERROR(VLOOKUP($DG209,'3121% SY'!$A$2:$M$324,13,FALSE),0),3)</f>
        <v>0</v>
      </c>
    </row>
    <row r="210" spans="1:157" x14ac:dyDescent="0.25">
      <c r="A210" s="88" t="s">
        <v>210</v>
      </c>
      <c r="B210" s="90"/>
      <c r="C210" s="90"/>
      <c r="D210" s="90"/>
      <c r="E210" s="90"/>
      <c r="F210" s="90"/>
      <c r="G210" s="90"/>
      <c r="H210" s="90"/>
      <c r="I210" s="90">
        <v>0.28000000000000003</v>
      </c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R210" s="90">
        <f t="shared" si="63"/>
        <v>0</v>
      </c>
      <c r="AS210" s="90">
        <f>SUM($B210:M210)</f>
        <v>0.28000000000000003</v>
      </c>
      <c r="AT210" s="89"/>
      <c r="CL210" s="90">
        <f t="shared" si="64"/>
        <v>0</v>
      </c>
      <c r="CM210" s="90">
        <f t="shared" si="65"/>
        <v>0</v>
      </c>
      <c r="CN210" s="89"/>
      <c r="DD210" s="90">
        <f t="shared" si="66"/>
        <v>0</v>
      </c>
      <c r="DE210" s="90">
        <f t="shared" si="67"/>
        <v>0</v>
      </c>
      <c r="DF210" s="89"/>
      <c r="EX210" s="90">
        <f t="shared" si="68"/>
        <v>0</v>
      </c>
      <c r="EY210" s="90">
        <f>ROUND(EX210*IFERROR(VLOOKUP($DG210,'3121% SY'!$A$2:$M$324,13,FALSE),0),3)</f>
        <v>0</v>
      </c>
      <c r="EZ210" s="90">
        <f t="shared" si="69"/>
        <v>0</v>
      </c>
      <c r="FA210" s="90">
        <f>ROUND(EZ210*IFERROR(VLOOKUP($DG210,'3121% SY'!$A$2:$M$324,13,FALSE),0),3)</f>
        <v>0</v>
      </c>
    </row>
    <row r="211" spans="1:157" x14ac:dyDescent="0.25">
      <c r="A211" s="88" t="s">
        <v>211</v>
      </c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>
        <v>0.75</v>
      </c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R211" s="90">
        <f t="shared" si="63"/>
        <v>0.75</v>
      </c>
      <c r="AS211" s="90">
        <f>SUM($B211:M211)</f>
        <v>0</v>
      </c>
      <c r="AT211" s="89"/>
      <c r="CL211" s="90">
        <f t="shared" si="64"/>
        <v>0</v>
      </c>
      <c r="CM211" s="90">
        <f t="shared" si="65"/>
        <v>0</v>
      </c>
      <c r="CN211" s="89"/>
      <c r="DD211" s="90">
        <f t="shared" si="66"/>
        <v>0</v>
      </c>
      <c r="DE211" s="90">
        <f t="shared" si="67"/>
        <v>0</v>
      </c>
      <c r="DF211" s="89"/>
      <c r="EX211" s="90">
        <f t="shared" si="68"/>
        <v>0</v>
      </c>
      <c r="EY211" s="90">
        <f>ROUND(EX211*IFERROR(VLOOKUP($DG211,'3121% SY'!$A$2:$M$324,13,FALSE),0),3)</f>
        <v>0</v>
      </c>
      <c r="EZ211" s="90">
        <f t="shared" si="69"/>
        <v>0</v>
      </c>
      <c r="FA211" s="90">
        <f>ROUND(EZ211*IFERROR(VLOOKUP($DG211,'3121% SY'!$A$2:$M$324,13,FALSE),0),3)</f>
        <v>0</v>
      </c>
    </row>
    <row r="212" spans="1:157" x14ac:dyDescent="0.25">
      <c r="A212" s="88" t="s">
        <v>212</v>
      </c>
      <c r="B212" s="90"/>
      <c r="C212" s="90"/>
      <c r="D212" s="90"/>
      <c r="E212" s="90"/>
      <c r="F212" s="90">
        <v>0.88200000000000001</v>
      </c>
      <c r="G212" s="90"/>
      <c r="H212" s="90"/>
      <c r="I212" s="90"/>
      <c r="J212" s="90"/>
      <c r="K212" s="90"/>
      <c r="L212" s="90">
        <v>0.54500000000000004</v>
      </c>
      <c r="M212" s="90"/>
      <c r="N212" s="90"/>
      <c r="O212" s="90">
        <v>0.8</v>
      </c>
      <c r="P212" s="90">
        <v>1.2</v>
      </c>
      <c r="Q212" s="90">
        <v>0.8</v>
      </c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90"/>
      <c r="AM212" s="90"/>
      <c r="AN212" s="90"/>
      <c r="AO212" s="90"/>
      <c r="AR212" s="90">
        <f t="shared" si="63"/>
        <v>2.8</v>
      </c>
      <c r="AS212" s="90">
        <f>SUM($B212:M212)</f>
        <v>1.427</v>
      </c>
      <c r="AT212" s="89"/>
      <c r="CL212" s="90">
        <f t="shared" si="64"/>
        <v>0</v>
      </c>
      <c r="CM212" s="90">
        <f t="shared" si="65"/>
        <v>0</v>
      </c>
      <c r="CN212" s="89"/>
      <c r="DD212" s="90">
        <f t="shared" si="66"/>
        <v>0</v>
      </c>
      <c r="DE212" s="90">
        <f t="shared" si="67"/>
        <v>0</v>
      </c>
      <c r="DF212" s="89"/>
      <c r="EX212" s="90">
        <f t="shared" si="68"/>
        <v>0</v>
      </c>
      <c r="EY212" s="90">
        <f>ROUND(EX212*IFERROR(VLOOKUP($DG212,'3121% SY'!$A$2:$M$324,13,FALSE),0),3)</f>
        <v>0</v>
      </c>
      <c r="EZ212" s="90">
        <f t="shared" si="69"/>
        <v>0</v>
      </c>
      <c r="FA212" s="90">
        <f>ROUND(EZ212*IFERROR(VLOOKUP($DG212,'3121% SY'!$A$2:$M$324,13,FALSE),0),3)</f>
        <v>0</v>
      </c>
    </row>
    <row r="213" spans="1:157" x14ac:dyDescent="0.25">
      <c r="A213" s="88" t="s">
        <v>213</v>
      </c>
      <c r="B213" s="90"/>
      <c r="C213" s="90">
        <v>0.64300000000000002</v>
      </c>
      <c r="D213" s="90"/>
      <c r="E213" s="90"/>
      <c r="F213" s="90">
        <v>33.484000000000002</v>
      </c>
      <c r="G213" s="90"/>
      <c r="H213" s="90"/>
      <c r="I213" s="90">
        <v>25.937999999999999</v>
      </c>
      <c r="J213" s="90"/>
      <c r="K213" s="90"/>
      <c r="L213" s="90">
        <v>9.19</v>
      </c>
      <c r="M213" s="90"/>
      <c r="N213" s="90"/>
      <c r="O213" s="90">
        <v>23.786000000000001</v>
      </c>
      <c r="P213" s="90">
        <v>11.76</v>
      </c>
      <c r="Q213" s="90">
        <v>12.88</v>
      </c>
      <c r="R213" s="90"/>
      <c r="S213" s="90"/>
      <c r="T213" s="90"/>
      <c r="U213" s="90">
        <v>2.0009999999999999</v>
      </c>
      <c r="V213" s="90">
        <v>0.44400000000000001</v>
      </c>
      <c r="W213" s="90">
        <v>0.55500000000000005</v>
      </c>
      <c r="X213" s="90">
        <v>0.66600000000000004</v>
      </c>
      <c r="Y213" s="90">
        <v>0.14799999999999999</v>
      </c>
      <c r="Z213" s="90">
        <v>0.186</v>
      </c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R213" s="90">
        <f t="shared" si="63"/>
        <v>52.426000000000002</v>
      </c>
      <c r="AS213" s="90">
        <f>SUM($B213:M213)</f>
        <v>69.254999999999995</v>
      </c>
      <c r="AT213" s="89"/>
      <c r="CL213" s="90">
        <f t="shared" si="64"/>
        <v>0</v>
      </c>
      <c r="CM213" s="90">
        <f t="shared" si="65"/>
        <v>0</v>
      </c>
      <c r="CN213" s="89"/>
      <c r="DD213" s="90">
        <f t="shared" si="66"/>
        <v>0</v>
      </c>
      <c r="DE213" s="90">
        <f t="shared" si="67"/>
        <v>0</v>
      </c>
      <c r="DF213" s="89"/>
      <c r="EX213" s="90">
        <f t="shared" si="68"/>
        <v>0</v>
      </c>
      <c r="EY213" s="90">
        <f>ROUND(EX213*IFERROR(VLOOKUP($DG213,'3121% SY'!$A$2:$M$324,13,FALSE),0),3)</f>
        <v>0</v>
      </c>
      <c r="EZ213" s="90">
        <f t="shared" si="69"/>
        <v>0</v>
      </c>
      <c r="FA213" s="90">
        <f>ROUND(EZ213*IFERROR(VLOOKUP($DG213,'3121% SY'!$A$2:$M$324,13,FALSE),0),3)</f>
        <v>0</v>
      </c>
    </row>
    <row r="214" spans="1:157" x14ac:dyDescent="0.25">
      <c r="A214" s="88" t="s">
        <v>214</v>
      </c>
      <c r="B214" s="90"/>
      <c r="C214" s="90">
        <v>4.6349999999999998</v>
      </c>
      <c r="D214" s="90"/>
      <c r="E214" s="90"/>
      <c r="F214" s="90"/>
      <c r="G214" s="90"/>
      <c r="H214" s="90"/>
      <c r="I214" s="90">
        <v>15.202999999999999</v>
      </c>
      <c r="J214" s="90"/>
      <c r="K214" s="90"/>
      <c r="L214" s="90"/>
      <c r="M214" s="90"/>
      <c r="N214" s="90"/>
      <c r="O214" s="90">
        <v>8</v>
      </c>
      <c r="P214" s="90">
        <v>10.1</v>
      </c>
      <c r="Q214" s="90">
        <v>4.5940000000000003</v>
      </c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R214" s="90">
        <f t="shared" si="63"/>
        <v>22.694000000000003</v>
      </c>
      <c r="AS214" s="90">
        <f>SUM($B214:M214)</f>
        <v>19.838000000000001</v>
      </c>
      <c r="AT214" s="89"/>
      <c r="CL214" s="90">
        <f t="shared" si="64"/>
        <v>0</v>
      </c>
      <c r="CM214" s="90">
        <f t="shared" si="65"/>
        <v>0</v>
      </c>
      <c r="CN214" s="89"/>
      <c r="DD214" s="90">
        <f t="shared" si="66"/>
        <v>0</v>
      </c>
      <c r="DE214" s="90">
        <f t="shared" si="67"/>
        <v>0</v>
      </c>
      <c r="DF214" s="89"/>
      <c r="EX214" s="90">
        <f t="shared" si="68"/>
        <v>0</v>
      </c>
      <c r="EY214" s="90">
        <f>ROUND(EX214*IFERROR(VLOOKUP($DG214,'3121% SY'!$A$2:$M$324,13,FALSE),0),3)</f>
        <v>0</v>
      </c>
      <c r="EZ214" s="90">
        <f t="shared" si="69"/>
        <v>0</v>
      </c>
      <c r="FA214" s="90">
        <f>ROUND(EZ214*IFERROR(VLOOKUP($DG214,'3121% SY'!$A$2:$M$324,13,FALSE),0),3)</f>
        <v>0</v>
      </c>
    </row>
    <row r="215" spans="1:157" x14ac:dyDescent="0.25">
      <c r="A215" s="88" t="s">
        <v>215</v>
      </c>
      <c r="B215" s="90"/>
      <c r="C215" s="90"/>
      <c r="D215" s="90"/>
      <c r="E215" s="90"/>
      <c r="F215" s="90"/>
      <c r="G215" s="90"/>
      <c r="H215" s="90"/>
      <c r="I215" s="90">
        <v>2.4220000000000002</v>
      </c>
      <c r="J215" s="90"/>
      <c r="K215" s="90"/>
      <c r="L215" s="90">
        <v>5.5359999999999996</v>
      </c>
      <c r="M215" s="90"/>
      <c r="N215" s="90"/>
      <c r="O215" s="90">
        <v>6.7759999999999998</v>
      </c>
      <c r="P215" s="90">
        <v>11.65</v>
      </c>
      <c r="Q215" s="90">
        <v>7.556</v>
      </c>
      <c r="R215" s="90"/>
      <c r="S215" s="90"/>
      <c r="T215" s="90"/>
      <c r="U215" s="90">
        <v>7</v>
      </c>
      <c r="V215" s="90"/>
      <c r="W215" s="90"/>
      <c r="X215" s="90"/>
      <c r="Y215" s="90"/>
      <c r="Z215" s="90"/>
      <c r="AA215" s="90">
        <v>3</v>
      </c>
      <c r="AB215" s="90"/>
      <c r="AC215" s="90"/>
      <c r="AD215" s="90">
        <v>8.9589999999999996</v>
      </c>
      <c r="AE215" s="90">
        <v>2.956</v>
      </c>
      <c r="AF215" s="90">
        <v>2.7509999999999999</v>
      </c>
      <c r="AG215" s="90"/>
      <c r="AH215" s="90"/>
      <c r="AI215" s="90"/>
      <c r="AJ215" s="90"/>
      <c r="AK215" s="90"/>
      <c r="AL215" s="90"/>
      <c r="AM215" s="90"/>
      <c r="AN215" s="90"/>
      <c r="AO215" s="90"/>
      <c r="AR215" s="90">
        <f t="shared" si="63"/>
        <v>50.648000000000003</v>
      </c>
      <c r="AS215" s="90">
        <f>SUM($B215:M215)</f>
        <v>7.9580000000000002</v>
      </c>
      <c r="AT215" s="89"/>
      <c r="CL215" s="90">
        <f t="shared" si="64"/>
        <v>0</v>
      </c>
      <c r="CM215" s="90">
        <f t="shared" si="65"/>
        <v>0</v>
      </c>
      <c r="CN215" s="89"/>
      <c r="DD215" s="90">
        <f t="shared" si="66"/>
        <v>0</v>
      </c>
      <c r="DE215" s="90">
        <f t="shared" si="67"/>
        <v>0</v>
      </c>
      <c r="DF215" s="89"/>
      <c r="EX215" s="90">
        <f t="shared" si="68"/>
        <v>0</v>
      </c>
      <c r="EY215" s="90">
        <f>ROUND(EX215*IFERROR(VLOOKUP($DG215,'3121% SY'!$A$2:$M$324,13,FALSE),0),3)</f>
        <v>0</v>
      </c>
      <c r="EZ215" s="90">
        <f t="shared" si="69"/>
        <v>0</v>
      </c>
      <c r="FA215" s="90">
        <f>ROUND(EZ215*IFERROR(VLOOKUP($DG215,'3121% SY'!$A$2:$M$324,13,FALSE),0),3)</f>
        <v>0</v>
      </c>
    </row>
    <row r="216" spans="1:157" x14ac:dyDescent="0.25">
      <c r="A216" s="88" t="s">
        <v>216</v>
      </c>
      <c r="B216" s="90"/>
      <c r="C216" s="90">
        <v>3.3180000000000001</v>
      </c>
      <c r="D216" s="90"/>
      <c r="E216" s="90"/>
      <c r="F216" s="90">
        <v>9.0180000000000007</v>
      </c>
      <c r="G216" s="90"/>
      <c r="H216" s="90"/>
      <c r="I216" s="90">
        <v>4.5069999999999997</v>
      </c>
      <c r="J216" s="90"/>
      <c r="K216" s="90"/>
      <c r="L216" s="90">
        <v>3.5489999999999999</v>
      </c>
      <c r="M216" s="90"/>
      <c r="N216" s="90"/>
      <c r="O216" s="90">
        <v>25.640999999999998</v>
      </c>
      <c r="P216" s="90">
        <v>19.292000000000002</v>
      </c>
      <c r="Q216" s="90">
        <v>10.6</v>
      </c>
      <c r="R216" s="90"/>
      <c r="S216" s="90"/>
      <c r="T216" s="90"/>
      <c r="U216" s="90"/>
      <c r="V216" s="90"/>
      <c r="W216" s="90"/>
      <c r="X216" s="90">
        <v>0.79200000000000004</v>
      </c>
      <c r="Y216" s="90"/>
      <c r="Z216" s="90"/>
      <c r="AA216" s="90"/>
      <c r="AB216" s="90"/>
      <c r="AC216" s="90"/>
      <c r="AD216" s="90">
        <v>11.59</v>
      </c>
      <c r="AE216" s="90">
        <v>4.4000000000000004</v>
      </c>
      <c r="AF216" s="90">
        <v>1.8</v>
      </c>
      <c r="AG216" s="90"/>
      <c r="AH216" s="90"/>
      <c r="AI216" s="90"/>
      <c r="AJ216" s="90">
        <v>4</v>
      </c>
      <c r="AK216" s="90"/>
      <c r="AL216" s="90"/>
      <c r="AM216" s="90"/>
      <c r="AN216" s="90"/>
      <c r="AO216" s="90"/>
      <c r="AR216" s="90">
        <f t="shared" si="63"/>
        <v>78.115000000000009</v>
      </c>
      <c r="AS216" s="90">
        <f>SUM($B216:M216)</f>
        <v>20.391999999999999</v>
      </c>
      <c r="AT216" s="89"/>
      <c r="CL216" s="90">
        <f t="shared" si="64"/>
        <v>0</v>
      </c>
      <c r="CM216" s="90">
        <f t="shared" si="65"/>
        <v>0</v>
      </c>
      <c r="CN216" s="89"/>
      <c r="DD216" s="90">
        <f t="shared" si="66"/>
        <v>0</v>
      </c>
      <c r="DE216" s="90">
        <f t="shared" si="67"/>
        <v>0</v>
      </c>
      <c r="DF216" s="89"/>
      <c r="EX216" s="90">
        <f t="shared" si="68"/>
        <v>0</v>
      </c>
      <c r="EY216" s="90">
        <f>ROUND(EX216*IFERROR(VLOOKUP($DG216,'3121% SY'!$A$2:$M$324,13,FALSE),0),3)</f>
        <v>0</v>
      </c>
      <c r="EZ216" s="90">
        <f t="shared" si="69"/>
        <v>0</v>
      </c>
      <c r="FA216" s="90">
        <f>ROUND(EZ216*IFERROR(VLOOKUP($DG216,'3121% SY'!$A$2:$M$324,13,FALSE),0),3)</f>
        <v>0</v>
      </c>
    </row>
    <row r="217" spans="1:157" x14ac:dyDescent="0.25">
      <c r="A217" s="88" t="s">
        <v>217</v>
      </c>
      <c r="B217" s="90"/>
      <c r="C217" s="90"/>
      <c r="D217" s="90"/>
      <c r="E217" s="90"/>
      <c r="F217" s="90">
        <v>1.349</v>
      </c>
      <c r="G217" s="90"/>
      <c r="H217" s="90">
        <v>2.7839999999999998</v>
      </c>
      <c r="I217" s="90">
        <v>1.5720000000000001</v>
      </c>
      <c r="J217" s="90">
        <v>1.3919999999999999</v>
      </c>
      <c r="K217" s="90"/>
      <c r="L217" s="90"/>
      <c r="M217" s="90"/>
      <c r="N217" s="90"/>
      <c r="O217" s="90">
        <v>4</v>
      </c>
      <c r="P217" s="90">
        <v>5.5</v>
      </c>
      <c r="Q217" s="90">
        <v>1.7</v>
      </c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>
        <v>1</v>
      </c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R217" s="90">
        <f t="shared" si="63"/>
        <v>12.2</v>
      </c>
      <c r="AS217" s="90">
        <f>SUM($B217:M217)</f>
        <v>7.0969999999999995</v>
      </c>
      <c r="AT217" s="89"/>
      <c r="CL217" s="90">
        <f t="shared" si="64"/>
        <v>0</v>
      </c>
      <c r="CM217" s="90">
        <f t="shared" si="65"/>
        <v>0</v>
      </c>
      <c r="CN217" s="89"/>
      <c r="DD217" s="90">
        <f t="shared" si="66"/>
        <v>0</v>
      </c>
      <c r="DE217" s="90">
        <f t="shared" si="67"/>
        <v>0</v>
      </c>
      <c r="DF217" s="89"/>
      <c r="EX217" s="90">
        <f t="shared" si="68"/>
        <v>0</v>
      </c>
      <c r="EY217" s="90">
        <f>ROUND(EX217*IFERROR(VLOOKUP($DG217,'3121% SY'!$A$2:$M$324,13,FALSE),0),3)</f>
        <v>0</v>
      </c>
      <c r="EZ217" s="90">
        <f t="shared" si="69"/>
        <v>0</v>
      </c>
      <c r="FA217" s="90">
        <f>ROUND(EZ217*IFERROR(VLOOKUP($DG217,'3121% SY'!$A$2:$M$324,13,FALSE),0),3)</f>
        <v>0</v>
      </c>
    </row>
    <row r="218" spans="1:157" x14ac:dyDescent="0.25">
      <c r="A218" s="88" t="s">
        <v>218</v>
      </c>
      <c r="B218" s="90"/>
      <c r="C218" s="90">
        <v>1.8260000000000001</v>
      </c>
      <c r="D218" s="90"/>
      <c r="E218" s="90"/>
      <c r="F218" s="90">
        <v>13.766999999999999</v>
      </c>
      <c r="G218" s="90"/>
      <c r="H218" s="90"/>
      <c r="I218" s="90">
        <v>13.131</v>
      </c>
      <c r="J218" s="90"/>
      <c r="K218" s="90"/>
      <c r="L218" s="90"/>
      <c r="M218" s="90"/>
      <c r="N218" s="90"/>
      <c r="O218" s="90">
        <v>10.180999999999999</v>
      </c>
      <c r="P218" s="90">
        <v>6.4340000000000002</v>
      </c>
      <c r="Q218" s="90">
        <v>2.1259999999999999</v>
      </c>
      <c r="R218" s="90"/>
      <c r="S218" s="90"/>
      <c r="T218" s="90"/>
      <c r="U218" s="90"/>
      <c r="V218" s="90"/>
      <c r="W218" s="90"/>
      <c r="X218" s="90">
        <v>0.7</v>
      </c>
      <c r="Y218" s="90"/>
      <c r="Z218" s="90"/>
      <c r="AA218" s="90"/>
      <c r="AB218" s="90"/>
      <c r="AC218" s="90"/>
      <c r="AD218" s="90">
        <v>0.5</v>
      </c>
      <c r="AE218" s="90"/>
      <c r="AF218" s="90"/>
      <c r="AG218" s="90"/>
      <c r="AH218" s="90"/>
      <c r="AI218" s="90"/>
      <c r="AJ218" s="90"/>
      <c r="AK218" s="90"/>
      <c r="AL218" s="90"/>
      <c r="AM218" s="90"/>
      <c r="AN218" s="90"/>
      <c r="AO218" s="90"/>
      <c r="AR218" s="90">
        <f t="shared" si="63"/>
        <v>19.940999999999999</v>
      </c>
      <c r="AS218" s="90">
        <f>SUM($B218:M218)</f>
        <v>28.724</v>
      </c>
      <c r="AT218" s="89"/>
      <c r="CL218" s="90">
        <f t="shared" si="64"/>
        <v>0</v>
      </c>
      <c r="CM218" s="90">
        <f t="shared" si="65"/>
        <v>0</v>
      </c>
      <c r="CN218" s="89"/>
      <c r="DD218" s="90">
        <f t="shared" si="66"/>
        <v>0</v>
      </c>
      <c r="DE218" s="90">
        <f t="shared" si="67"/>
        <v>0</v>
      </c>
      <c r="DF218" s="89"/>
      <c r="EX218" s="90">
        <f t="shared" si="68"/>
        <v>0</v>
      </c>
      <c r="EY218" s="90">
        <f>ROUND(EX218*IFERROR(VLOOKUP($DG218,'3121% SY'!$A$2:$M$324,13,FALSE),0),3)</f>
        <v>0</v>
      </c>
      <c r="EZ218" s="90">
        <f t="shared" si="69"/>
        <v>0</v>
      </c>
      <c r="FA218" s="90">
        <f>ROUND(EZ218*IFERROR(VLOOKUP($DG218,'3121% SY'!$A$2:$M$324,13,FALSE),0),3)</f>
        <v>0</v>
      </c>
    </row>
    <row r="219" spans="1:157" x14ac:dyDescent="0.25">
      <c r="A219" s="88" t="s">
        <v>219</v>
      </c>
      <c r="B219" s="90"/>
      <c r="C219" s="90"/>
      <c r="D219" s="90"/>
      <c r="E219" s="90"/>
      <c r="F219" s="90"/>
      <c r="G219" s="90"/>
      <c r="H219" s="90">
        <v>0.127</v>
      </c>
      <c r="I219" s="90"/>
      <c r="J219" s="90">
        <v>1.2999999999999999E-2</v>
      </c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R219" s="90">
        <f t="shared" si="63"/>
        <v>0</v>
      </c>
      <c r="AS219" s="90">
        <f>SUM($B219:M219)</f>
        <v>0.14000000000000001</v>
      </c>
      <c r="AT219" s="89"/>
      <c r="CL219" s="90">
        <f t="shared" si="64"/>
        <v>0</v>
      </c>
      <c r="CM219" s="90">
        <f t="shared" si="65"/>
        <v>0</v>
      </c>
      <c r="CN219" s="89"/>
      <c r="DD219" s="90">
        <f t="shared" si="66"/>
        <v>0</v>
      </c>
      <c r="DE219" s="90">
        <f t="shared" si="67"/>
        <v>0</v>
      </c>
      <c r="DF219" s="89"/>
      <c r="EX219" s="90">
        <f t="shared" si="68"/>
        <v>0</v>
      </c>
      <c r="EY219" s="90">
        <f>ROUND(EX219*IFERROR(VLOOKUP($DG219,'3121% SY'!$A$2:$M$324,13,FALSE),0),3)</f>
        <v>0</v>
      </c>
      <c r="EZ219" s="90">
        <f t="shared" si="69"/>
        <v>0</v>
      </c>
      <c r="FA219" s="90">
        <f>ROUND(EZ219*IFERROR(VLOOKUP($DG219,'3121% SY'!$A$2:$M$324,13,FALSE),0),3)</f>
        <v>0</v>
      </c>
    </row>
    <row r="220" spans="1:157" x14ac:dyDescent="0.25">
      <c r="A220" s="88" t="s">
        <v>220</v>
      </c>
      <c r="B220" s="90">
        <v>0.248</v>
      </c>
      <c r="C220" s="90">
        <v>0.78</v>
      </c>
      <c r="D220" s="90">
        <v>0.52900000000000003</v>
      </c>
      <c r="E220" s="90">
        <v>0.75900000000000001</v>
      </c>
      <c r="F220" s="90">
        <v>4.3739999999999997</v>
      </c>
      <c r="G220" s="90">
        <v>3.2000000000000001E-2</v>
      </c>
      <c r="H220" s="90">
        <v>2.7149999999999999</v>
      </c>
      <c r="I220" s="90">
        <v>2.2850000000000001</v>
      </c>
      <c r="J220" s="90"/>
      <c r="K220" s="90"/>
      <c r="L220" s="90">
        <v>2.226</v>
      </c>
      <c r="M220" s="90"/>
      <c r="N220" s="90"/>
      <c r="O220" s="90">
        <v>5.9569999999999999</v>
      </c>
      <c r="P220" s="90">
        <v>3.5169999999999999</v>
      </c>
      <c r="Q220" s="90">
        <v>1.7430000000000001</v>
      </c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>
        <v>2.5990000000000002</v>
      </c>
      <c r="AE220" s="90">
        <v>1.0580000000000001</v>
      </c>
      <c r="AF220" s="90">
        <v>0.55500000000000005</v>
      </c>
      <c r="AG220" s="90"/>
      <c r="AH220" s="90"/>
      <c r="AI220" s="90"/>
      <c r="AJ220" s="90"/>
      <c r="AK220" s="90"/>
      <c r="AL220" s="90"/>
      <c r="AM220" s="90"/>
      <c r="AN220" s="90"/>
      <c r="AO220" s="90"/>
      <c r="AR220" s="90">
        <f t="shared" si="63"/>
        <v>15.429</v>
      </c>
      <c r="AS220" s="90">
        <f>SUM($B220:M220)</f>
        <v>13.948</v>
      </c>
      <c r="AT220" s="89"/>
      <c r="CL220" s="90">
        <f t="shared" si="64"/>
        <v>0</v>
      </c>
      <c r="CM220" s="90">
        <f t="shared" si="65"/>
        <v>0</v>
      </c>
      <c r="CN220" s="89"/>
      <c r="DD220" s="90">
        <f t="shared" si="66"/>
        <v>0</v>
      </c>
      <c r="DE220" s="90">
        <f t="shared" si="67"/>
        <v>0</v>
      </c>
      <c r="DF220" s="89"/>
      <c r="EX220" s="90">
        <f t="shared" si="68"/>
        <v>0</v>
      </c>
      <c r="EY220" s="90">
        <f>ROUND(EX220*IFERROR(VLOOKUP($DG220,'3121% SY'!$A$2:$M$324,13,FALSE),0),3)</f>
        <v>0</v>
      </c>
      <c r="EZ220" s="90">
        <f t="shared" si="69"/>
        <v>0</v>
      </c>
      <c r="FA220" s="90">
        <f>ROUND(EZ220*IFERROR(VLOOKUP($DG220,'3121% SY'!$A$2:$M$324,13,FALSE),0),3)</f>
        <v>0</v>
      </c>
    </row>
    <row r="221" spans="1:157" x14ac:dyDescent="0.25">
      <c r="A221" s="88" t="s">
        <v>221</v>
      </c>
      <c r="B221" s="90"/>
      <c r="C221" s="90"/>
      <c r="D221" s="90"/>
      <c r="E221" s="90"/>
      <c r="F221" s="90"/>
      <c r="G221" s="90"/>
      <c r="H221" s="90">
        <v>2.36</v>
      </c>
      <c r="I221" s="90">
        <v>0.54800000000000004</v>
      </c>
      <c r="J221" s="90">
        <v>0.36599999999999999</v>
      </c>
      <c r="K221" s="90"/>
      <c r="L221" s="90">
        <v>1.37</v>
      </c>
      <c r="M221" s="90"/>
      <c r="N221" s="90"/>
      <c r="O221" s="90">
        <v>7.1280000000000001</v>
      </c>
      <c r="P221" s="90">
        <v>9</v>
      </c>
      <c r="Q221" s="90">
        <v>4</v>
      </c>
      <c r="R221" s="90"/>
      <c r="S221" s="90"/>
      <c r="T221" s="90"/>
      <c r="U221" s="90">
        <v>1</v>
      </c>
      <c r="V221" s="90"/>
      <c r="W221" s="90"/>
      <c r="X221" s="90"/>
      <c r="Y221" s="90"/>
      <c r="Z221" s="90"/>
      <c r="AA221" s="90">
        <v>2</v>
      </c>
      <c r="AB221" s="90">
        <v>1.4</v>
      </c>
      <c r="AC221" s="90">
        <v>0.6</v>
      </c>
      <c r="AD221" s="90">
        <v>12.46</v>
      </c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R221" s="90">
        <f t="shared" si="63"/>
        <v>37.588000000000001</v>
      </c>
      <c r="AS221" s="90">
        <f>SUM($B221:M221)</f>
        <v>4.6440000000000001</v>
      </c>
      <c r="AT221" s="89"/>
      <c r="CL221" s="90">
        <f t="shared" si="64"/>
        <v>0</v>
      </c>
      <c r="CM221" s="90">
        <f t="shared" si="65"/>
        <v>0</v>
      </c>
      <c r="CN221" s="89"/>
      <c r="DD221" s="90">
        <f t="shared" si="66"/>
        <v>0</v>
      </c>
      <c r="DE221" s="90">
        <f t="shared" si="67"/>
        <v>0</v>
      </c>
      <c r="DF221" s="89"/>
      <c r="EX221" s="90">
        <f t="shared" si="68"/>
        <v>0</v>
      </c>
      <c r="EY221" s="90">
        <f>ROUND(EX221*IFERROR(VLOOKUP($DG221,'3121% SY'!$A$2:$M$324,13,FALSE),0),3)</f>
        <v>0</v>
      </c>
      <c r="EZ221" s="90">
        <f t="shared" si="69"/>
        <v>0</v>
      </c>
      <c r="FA221" s="90">
        <f>ROUND(EZ221*IFERROR(VLOOKUP($DG221,'3121% SY'!$A$2:$M$324,13,FALSE),0),3)</f>
        <v>0</v>
      </c>
    </row>
    <row r="222" spans="1:157" x14ac:dyDescent="0.25">
      <c r="A222" s="88" t="s">
        <v>222</v>
      </c>
      <c r="B222" s="90"/>
      <c r="C222" s="90"/>
      <c r="D222" s="90"/>
      <c r="E222" s="90">
        <v>0.76700000000000002</v>
      </c>
      <c r="F222" s="90">
        <v>2.871</v>
      </c>
      <c r="G222" s="90"/>
      <c r="H222" s="90">
        <v>0.65600000000000003</v>
      </c>
      <c r="I222" s="90">
        <v>2.6240000000000001</v>
      </c>
      <c r="J222" s="90"/>
      <c r="K222" s="90"/>
      <c r="L222" s="90"/>
      <c r="M222" s="90"/>
      <c r="N222" s="90"/>
      <c r="O222" s="90">
        <v>3</v>
      </c>
      <c r="P222" s="90">
        <v>2</v>
      </c>
      <c r="Q222" s="90">
        <v>1.5</v>
      </c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>
        <v>1</v>
      </c>
      <c r="AE222" s="90"/>
      <c r="AF222" s="90"/>
      <c r="AG222" s="90"/>
      <c r="AH222" s="90"/>
      <c r="AI222" s="90"/>
      <c r="AJ222" s="90"/>
      <c r="AK222" s="90"/>
      <c r="AL222" s="90"/>
      <c r="AM222" s="90"/>
      <c r="AN222" s="90"/>
      <c r="AO222" s="90"/>
      <c r="AR222" s="90">
        <f t="shared" si="63"/>
        <v>7.5</v>
      </c>
      <c r="AS222" s="90">
        <f>SUM($B222:M222)</f>
        <v>6.9179999999999993</v>
      </c>
      <c r="AT222" s="89"/>
      <c r="CL222" s="90">
        <f t="shared" si="64"/>
        <v>0</v>
      </c>
      <c r="CM222" s="90">
        <f t="shared" si="65"/>
        <v>0</v>
      </c>
      <c r="CN222" s="89"/>
      <c r="DD222" s="90">
        <f t="shared" si="66"/>
        <v>0</v>
      </c>
      <c r="DE222" s="90">
        <f t="shared" si="67"/>
        <v>0</v>
      </c>
      <c r="DF222" s="89"/>
      <c r="EX222" s="90">
        <f t="shared" si="68"/>
        <v>0</v>
      </c>
      <c r="EY222" s="90">
        <f>ROUND(EX222*IFERROR(VLOOKUP($DG222,'3121% SY'!$A$2:$M$324,13,FALSE),0),3)</f>
        <v>0</v>
      </c>
      <c r="EZ222" s="90">
        <f t="shared" si="69"/>
        <v>0</v>
      </c>
      <c r="FA222" s="90">
        <f>ROUND(EZ222*IFERROR(VLOOKUP($DG222,'3121% SY'!$A$2:$M$324,13,FALSE),0),3)</f>
        <v>0</v>
      </c>
    </row>
    <row r="223" spans="1:157" x14ac:dyDescent="0.25">
      <c r="A223" s="88" t="s">
        <v>223</v>
      </c>
      <c r="B223" s="90"/>
      <c r="C223" s="90">
        <v>1.63</v>
      </c>
      <c r="D223" s="90"/>
      <c r="E223" s="90"/>
      <c r="F223" s="90">
        <v>5.8000000000000003E-2</v>
      </c>
      <c r="G223" s="90"/>
      <c r="H223" s="90"/>
      <c r="I223" s="90">
        <v>1.081</v>
      </c>
      <c r="J223" s="90"/>
      <c r="K223" s="90"/>
      <c r="L223" s="90"/>
      <c r="M223" s="90"/>
      <c r="N223" s="90"/>
      <c r="O223" s="90">
        <v>2</v>
      </c>
      <c r="P223" s="90">
        <v>1.9</v>
      </c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R223" s="90">
        <f t="shared" si="63"/>
        <v>3.9</v>
      </c>
      <c r="AS223" s="90">
        <f>SUM($B223:M223)</f>
        <v>2.7690000000000001</v>
      </c>
      <c r="AT223" s="89"/>
      <c r="CL223" s="90">
        <f t="shared" si="64"/>
        <v>0</v>
      </c>
      <c r="CM223" s="90">
        <f t="shared" si="65"/>
        <v>0</v>
      </c>
      <c r="CN223" s="89"/>
      <c r="DD223" s="90">
        <f t="shared" si="66"/>
        <v>0</v>
      </c>
      <c r="DE223" s="90">
        <f t="shared" si="67"/>
        <v>0</v>
      </c>
      <c r="DF223" s="89"/>
      <c r="EX223" s="90">
        <f t="shared" si="68"/>
        <v>0</v>
      </c>
      <c r="EY223" s="90">
        <f>ROUND(EX223*IFERROR(VLOOKUP($DG223,'3121% SY'!$A$2:$M$324,13,FALSE),0),3)</f>
        <v>0</v>
      </c>
      <c r="EZ223" s="90">
        <f t="shared" si="69"/>
        <v>0</v>
      </c>
      <c r="FA223" s="90">
        <f>ROUND(EZ223*IFERROR(VLOOKUP($DG223,'3121% SY'!$A$2:$M$324,13,FALSE),0),3)</f>
        <v>0</v>
      </c>
    </row>
    <row r="224" spans="1:157" x14ac:dyDescent="0.25">
      <c r="A224" s="88" t="s">
        <v>224</v>
      </c>
      <c r="B224" s="90"/>
      <c r="C224" s="90"/>
      <c r="D224" s="90"/>
      <c r="E224" s="90"/>
      <c r="F224" s="90">
        <v>1.0840000000000001</v>
      </c>
      <c r="G224" s="90"/>
      <c r="H224" s="90"/>
      <c r="I224" s="90">
        <v>0.23799999999999999</v>
      </c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90"/>
      <c r="AM224" s="90"/>
      <c r="AN224" s="90"/>
      <c r="AO224" s="90"/>
      <c r="AR224" s="90">
        <f t="shared" si="63"/>
        <v>0</v>
      </c>
      <c r="AS224" s="90">
        <f>SUM($B224:M224)</f>
        <v>1.3220000000000001</v>
      </c>
      <c r="AT224" s="89"/>
      <c r="CL224" s="90">
        <f t="shared" si="64"/>
        <v>0</v>
      </c>
      <c r="CM224" s="90">
        <f t="shared" si="65"/>
        <v>0</v>
      </c>
      <c r="CN224" s="89"/>
      <c r="DD224" s="90">
        <f t="shared" si="66"/>
        <v>0</v>
      </c>
      <c r="DE224" s="90">
        <f t="shared" si="67"/>
        <v>0</v>
      </c>
      <c r="DF224" s="89"/>
      <c r="EX224" s="90">
        <f t="shared" si="68"/>
        <v>0</v>
      </c>
      <c r="EY224" s="90">
        <f>ROUND(EX224*IFERROR(VLOOKUP($DG224,'3121% SY'!$A$2:$M$324,13,FALSE),0),3)</f>
        <v>0</v>
      </c>
      <c r="EZ224" s="90">
        <f t="shared" si="69"/>
        <v>0</v>
      </c>
      <c r="FA224" s="90">
        <f>ROUND(EZ224*IFERROR(VLOOKUP($DG224,'3121% SY'!$A$2:$M$324,13,FALSE),0),3)</f>
        <v>0</v>
      </c>
    </row>
    <row r="225" spans="1:157" x14ac:dyDescent="0.25">
      <c r="A225" s="88" t="s">
        <v>225</v>
      </c>
      <c r="B225" s="90"/>
      <c r="C225" s="90"/>
      <c r="D225" s="90"/>
      <c r="E225" s="90"/>
      <c r="F225" s="90">
        <v>7.0229999999999997</v>
      </c>
      <c r="G225" s="90"/>
      <c r="H225" s="90"/>
      <c r="I225" s="90">
        <v>2.5710000000000002</v>
      </c>
      <c r="J225" s="90"/>
      <c r="K225" s="90"/>
      <c r="L225" s="90"/>
      <c r="M225" s="90"/>
      <c r="N225" s="90"/>
      <c r="O225" s="90">
        <v>2</v>
      </c>
      <c r="P225" s="90">
        <v>1.5</v>
      </c>
      <c r="Q225" s="90">
        <v>0.75</v>
      </c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>
        <v>0.443</v>
      </c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R225" s="90">
        <f t="shared" si="63"/>
        <v>4.6929999999999996</v>
      </c>
      <c r="AS225" s="90">
        <f>SUM($B225:M225)</f>
        <v>9.5939999999999994</v>
      </c>
      <c r="AT225" s="89"/>
      <c r="CL225" s="90">
        <f t="shared" si="64"/>
        <v>0</v>
      </c>
      <c r="CM225" s="90">
        <f t="shared" si="65"/>
        <v>0</v>
      </c>
      <c r="CN225" s="89"/>
      <c r="DD225" s="90">
        <f t="shared" si="66"/>
        <v>0</v>
      </c>
      <c r="DE225" s="90">
        <f t="shared" si="67"/>
        <v>0</v>
      </c>
      <c r="DF225" s="89"/>
      <c r="EX225" s="90">
        <f t="shared" si="68"/>
        <v>0</v>
      </c>
      <c r="EY225" s="90">
        <f>ROUND(EX225*IFERROR(VLOOKUP($DG225,'3121% SY'!$A$2:$M$324,13,FALSE),0),3)</f>
        <v>0</v>
      </c>
      <c r="EZ225" s="90">
        <f t="shared" si="69"/>
        <v>0</v>
      </c>
      <c r="FA225" s="90">
        <f>ROUND(EZ225*IFERROR(VLOOKUP($DG225,'3121% SY'!$A$2:$M$324,13,FALSE),0),3)</f>
        <v>0</v>
      </c>
    </row>
    <row r="226" spans="1:157" x14ac:dyDescent="0.25">
      <c r="A226" s="88" t="s">
        <v>226</v>
      </c>
      <c r="B226" s="90"/>
      <c r="C226" s="90"/>
      <c r="D226" s="90"/>
      <c r="E226" s="90">
        <v>9.4570000000000007</v>
      </c>
      <c r="F226" s="90">
        <v>2.4E-2</v>
      </c>
      <c r="G226" s="90">
        <v>0.90700000000000003</v>
      </c>
      <c r="H226" s="90">
        <v>1.712</v>
      </c>
      <c r="I226" s="90">
        <v>0.55400000000000005</v>
      </c>
      <c r="J226" s="90">
        <v>0.86699999999999999</v>
      </c>
      <c r="K226" s="90"/>
      <c r="L226" s="90">
        <v>0.64300000000000002</v>
      </c>
      <c r="M226" s="90"/>
      <c r="N226" s="90"/>
      <c r="O226" s="90">
        <v>4</v>
      </c>
      <c r="P226" s="90">
        <v>3.1</v>
      </c>
      <c r="Q226" s="90">
        <v>2.5</v>
      </c>
      <c r="R226" s="90"/>
      <c r="S226" s="90"/>
      <c r="T226" s="90"/>
      <c r="U226" s="90">
        <v>1</v>
      </c>
      <c r="V226" s="90"/>
      <c r="W226" s="90"/>
      <c r="X226" s="90"/>
      <c r="Y226" s="90"/>
      <c r="Z226" s="90"/>
      <c r="AA226" s="90"/>
      <c r="AB226" s="90"/>
      <c r="AC226" s="90"/>
      <c r="AD226" s="90">
        <v>4.75</v>
      </c>
      <c r="AE226" s="90"/>
      <c r="AF226" s="90">
        <v>1.6</v>
      </c>
      <c r="AG226" s="90"/>
      <c r="AH226" s="90"/>
      <c r="AI226" s="90"/>
      <c r="AJ226" s="90"/>
      <c r="AK226" s="90"/>
      <c r="AL226" s="90"/>
      <c r="AM226" s="90"/>
      <c r="AN226" s="90"/>
      <c r="AO226" s="90"/>
      <c r="AR226" s="90">
        <f t="shared" si="63"/>
        <v>16.95</v>
      </c>
      <c r="AS226" s="90">
        <f>SUM($B226:M226)</f>
        <v>14.164000000000001</v>
      </c>
      <c r="AT226" s="89"/>
      <c r="CL226" s="90">
        <f t="shared" si="64"/>
        <v>0</v>
      </c>
      <c r="CM226" s="90">
        <f t="shared" si="65"/>
        <v>0</v>
      </c>
      <c r="CN226" s="89"/>
      <c r="DD226" s="90">
        <f t="shared" si="66"/>
        <v>0</v>
      </c>
      <c r="DE226" s="90">
        <f t="shared" si="67"/>
        <v>0</v>
      </c>
      <c r="DF226" s="89"/>
      <c r="EX226" s="90">
        <f t="shared" si="68"/>
        <v>0</v>
      </c>
      <c r="EY226" s="90">
        <f>ROUND(EX226*IFERROR(VLOOKUP($DG226,'3121% SY'!$A$2:$M$324,13,FALSE),0),3)</f>
        <v>0</v>
      </c>
      <c r="EZ226" s="90">
        <f t="shared" si="69"/>
        <v>0</v>
      </c>
      <c r="FA226" s="90">
        <f>ROUND(EZ226*IFERROR(VLOOKUP($DG226,'3121% SY'!$A$2:$M$324,13,FALSE),0),3)</f>
        <v>0</v>
      </c>
    </row>
    <row r="227" spans="1:157" x14ac:dyDescent="0.25">
      <c r="A227" s="88" t="s">
        <v>1</v>
      </c>
      <c r="B227" s="90"/>
      <c r="C227" s="90">
        <v>0.73099999999999998</v>
      </c>
      <c r="D227" s="90"/>
      <c r="E227" s="90"/>
      <c r="F227" s="90">
        <v>24.501999999999999</v>
      </c>
      <c r="G227" s="90"/>
      <c r="H227" s="90">
        <v>11.13</v>
      </c>
      <c r="I227" s="90">
        <v>3.7629999999999999</v>
      </c>
      <c r="J227" s="90">
        <v>5.4569999999999999</v>
      </c>
      <c r="K227" s="90">
        <v>0.35499999999999998</v>
      </c>
      <c r="L227" s="90">
        <v>6.3890000000000002</v>
      </c>
      <c r="M227" s="90">
        <v>6.3289999999999997</v>
      </c>
      <c r="N227" s="90"/>
      <c r="O227" s="90">
        <v>33.729999999999997</v>
      </c>
      <c r="P227" s="90">
        <v>30</v>
      </c>
      <c r="Q227" s="90">
        <v>18</v>
      </c>
      <c r="R227" s="90">
        <v>0.33900000000000002</v>
      </c>
      <c r="S227" s="90">
        <v>0.188</v>
      </c>
      <c r="T227" s="90">
        <v>9.9000000000000005E-2</v>
      </c>
      <c r="U227" s="90"/>
      <c r="V227" s="90"/>
      <c r="W227" s="90"/>
      <c r="X227" s="90">
        <v>0.214</v>
      </c>
      <c r="Y227" s="90">
        <v>0.124</v>
      </c>
      <c r="Z227" s="90">
        <v>6.2E-2</v>
      </c>
      <c r="AA227" s="90"/>
      <c r="AB227" s="90"/>
      <c r="AC227" s="90"/>
      <c r="AD227" s="90">
        <v>5.7309999999999999</v>
      </c>
      <c r="AE227" s="90">
        <v>3.2789999999999999</v>
      </c>
      <c r="AF227" s="90">
        <v>1.6339999999999999</v>
      </c>
      <c r="AG227" s="90">
        <v>0.20899999999999999</v>
      </c>
      <c r="AH227" s="90">
        <v>0.11700000000000001</v>
      </c>
      <c r="AI227" s="90">
        <v>6.3E-2</v>
      </c>
      <c r="AJ227" s="90"/>
      <c r="AK227" s="90"/>
      <c r="AL227" s="90"/>
      <c r="AM227" s="90"/>
      <c r="AN227" s="90"/>
      <c r="AO227" s="90"/>
      <c r="AR227" s="90">
        <f t="shared" si="63"/>
        <v>93.788999999999987</v>
      </c>
      <c r="AS227" s="90">
        <f>SUM($B227:M227)</f>
        <v>58.655999999999999</v>
      </c>
      <c r="AT227" s="89"/>
      <c r="CL227" s="90">
        <f t="shared" si="64"/>
        <v>0</v>
      </c>
      <c r="CM227" s="90">
        <f t="shared" si="65"/>
        <v>0</v>
      </c>
      <c r="CN227" s="89"/>
      <c r="DD227" s="90">
        <f t="shared" si="66"/>
        <v>0</v>
      </c>
      <c r="DE227" s="90">
        <f t="shared" si="67"/>
        <v>0</v>
      </c>
      <c r="DF227" s="89"/>
      <c r="EX227" s="90">
        <f t="shared" si="68"/>
        <v>0</v>
      </c>
      <c r="EY227" s="90">
        <f>ROUND(EX227*IFERROR(VLOOKUP($DG227,'3121% SY'!$A$2:$M$324,13,FALSE),0),3)</f>
        <v>0</v>
      </c>
      <c r="EZ227" s="90">
        <f t="shared" si="69"/>
        <v>0</v>
      </c>
      <c r="FA227" s="90">
        <f>ROUND(EZ227*IFERROR(VLOOKUP($DG227,'3121% SY'!$A$2:$M$324,13,FALSE),0),3)</f>
        <v>0</v>
      </c>
    </row>
    <row r="228" spans="1:157" x14ac:dyDescent="0.25">
      <c r="A228" s="88" t="s">
        <v>227</v>
      </c>
      <c r="B228" s="90"/>
      <c r="C228" s="90">
        <v>0.13700000000000001</v>
      </c>
      <c r="D228" s="90"/>
      <c r="E228" s="90"/>
      <c r="F228" s="90"/>
      <c r="G228" s="90"/>
      <c r="H228" s="90"/>
      <c r="I228" s="90">
        <v>7.6999999999999999E-2</v>
      </c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90"/>
      <c r="AM228" s="90"/>
      <c r="AN228" s="90"/>
      <c r="AO228" s="90"/>
      <c r="AR228" s="90">
        <f t="shared" si="63"/>
        <v>0</v>
      </c>
      <c r="AS228" s="90">
        <f>SUM($B228:M228)</f>
        <v>0.21400000000000002</v>
      </c>
      <c r="AT228" s="89"/>
      <c r="CL228" s="90">
        <f t="shared" si="64"/>
        <v>0</v>
      </c>
      <c r="CM228" s="90">
        <f t="shared" si="65"/>
        <v>0</v>
      </c>
      <c r="CN228" s="89"/>
      <c r="DD228" s="90">
        <f t="shared" si="66"/>
        <v>0</v>
      </c>
      <c r="DE228" s="90">
        <f t="shared" si="67"/>
        <v>0</v>
      </c>
      <c r="DF228" s="89"/>
      <c r="EX228" s="90">
        <f t="shared" si="68"/>
        <v>0</v>
      </c>
      <c r="EY228" s="90">
        <f>ROUND(EX228*IFERROR(VLOOKUP($DG228,'3121% SY'!$A$2:$M$324,13,FALSE),0),3)</f>
        <v>0</v>
      </c>
      <c r="EZ228" s="90">
        <f t="shared" si="69"/>
        <v>0</v>
      </c>
      <c r="FA228" s="90">
        <f>ROUND(EZ228*IFERROR(VLOOKUP($DG228,'3121% SY'!$A$2:$M$324,13,FALSE),0),3)</f>
        <v>0</v>
      </c>
    </row>
    <row r="229" spans="1:157" x14ac:dyDescent="0.25">
      <c r="A229" s="88" t="s">
        <v>228</v>
      </c>
      <c r="B229" s="90"/>
      <c r="C229" s="90"/>
      <c r="D229" s="90"/>
      <c r="E229" s="90"/>
      <c r="F229" s="90"/>
      <c r="G229" s="90"/>
      <c r="H229" s="90"/>
      <c r="I229" s="90">
        <v>0.28799999999999998</v>
      </c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R229" s="90">
        <f t="shared" si="63"/>
        <v>0</v>
      </c>
      <c r="AS229" s="90">
        <f>SUM($B229:M229)</f>
        <v>0.28799999999999998</v>
      </c>
      <c r="AT229" s="89"/>
      <c r="CL229" s="90">
        <f t="shared" si="64"/>
        <v>0</v>
      </c>
      <c r="CM229" s="90">
        <f t="shared" si="65"/>
        <v>0</v>
      </c>
      <c r="CN229" s="89"/>
      <c r="DD229" s="90">
        <f t="shared" si="66"/>
        <v>0</v>
      </c>
      <c r="DE229" s="90">
        <f t="shared" si="67"/>
        <v>0</v>
      </c>
      <c r="DF229" s="89"/>
      <c r="EX229" s="90">
        <f t="shared" si="68"/>
        <v>0</v>
      </c>
      <c r="EY229" s="90">
        <f>ROUND(EX229*IFERROR(VLOOKUP($DG229,'3121% SY'!$A$2:$M$324,13,FALSE),0),3)</f>
        <v>0</v>
      </c>
      <c r="EZ229" s="90">
        <f t="shared" si="69"/>
        <v>0</v>
      </c>
      <c r="FA229" s="90">
        <f>ROUND(EZ229*IFERROR(VLOOKUP($DG229,'3121% SY'!$A$2:$M$324,13,FALSE),0),3)</f>
        <v>0</v>
      </c>
    </row>
    <row r="230" spans="1:157" x14ac:dyDescent="0.25">
      <c r="A230" s="88" t="s">
        <v>229</v>
      </c>
      <c r="B230" s="90"/>
      <c r="C230" s="90"/>
      <c r="D230" s="90"/>
      <c r="E230" s="90">
        <v>1.696</v>
      </c>
      <c r="F230" s="90"/>
      <c r="G230" s="90">
        <v>0.24199999999999999</v>
      </c>
      <c r="H230" s="90"/>
      <c r="I230" s="90">
        <v>0.59099999999999997</v>
      </c>
      <c r="J230" s="90"/>
      <c r="K230" s="90"/>
      <c r="L230" s="90"/>
      <c r="M230" s="90"/>
      <c r="N230" s="90"/>
      <c r="O230" s="90">
        <v>2</v>
      </c>
      <c r="P230" s="90">
        <v>1.4</v>
      </c>
      <c r="Q230" s="90"/>
      <c r="R230" s="90"/>
      <c r="S230" s="90"/>
      <c r="T230" s="90"/>
      <c r="U230" s="90">
        <v>0.33300000000000002</v>
      </c>
      <c r="V230" s="90"/>
      <c r="W230" s="90">
        <v>0.66700000000000004</v>
      </c>
      <c r="X230" s="90"/>
      <c r="Y230" s="90"/>
      <c r="Z230" s="90"/>
      <c r="AA230" s="90"/>
      <c r="AB230" s="90"/>
      <c r="AC230" s="90"/>
      <c r="AD230" s="90">
        <v>1.05</v>
      </c>
      <c r="AE230" s="90">
        <v>0.76</v>
      </c>
      <c r="AF230" s="90">
        <v>0.19</v>
      </c>
      <c r="AG230" s="90"/>
      <c r="AH230" s="90"/>
      <c r="AI230" s="90"/>
      <c r="AJ230" s="90"/>
      <c r="AK230" s="90"/>
      <c r="AL230" s="90"/>
      <c r="AM230" s="90"/>
      <c r="AN230" s="90"/>
      <c r="AO230" s="90"/>
      <c r="AR230" s="90">
        <f t="shared" si="63"/>
        <v>6.4</v>
      </c>
      <c r="AS230" s="90">
        <f>SUM($B230:M230)</f>
        <v>2.5289999999999999</v>
      </c>
      <c r="AT230" s="89"/>
      <c r="CL230" s="90">
        <f t="shared" si="64"/>
        <v>0</v>
      </c>
      <c r="CM230" s="90">
        <f t="shared" si="65"/>
        <v>0</v>
      </c>
      <c r="CN230" s="89"/>
      <c r="DD230" s="90">
        <f t="shared" si="66"/>
        <v>0</v>
      </c>
      <c r="DE230" s="90">
        <f t="shared" si="67"/>
        <v>0</v>
      </c>
      <c r="DF230" s="89"/>
      <c r="EX230" s="90">
        <f t="shared" si="68"/>
        <v>0</v>
      </c>
      <c r="EY230" s="90">
        <f>ROUND(EX230*IFERROR(VLOOKUP($DG230,'3121% SY'!$A$2:$M$324,13,FALSE),0),3)</f>
        <v>0</v>
      </c>
      <c r="EZ230" s="90">
        <f t="shared" si="69"/>
        <v>0</v>
      </c>
      <c r="FA230" s="90">
        <f>ROUND(EZ230*IFERROR(VLOOKUP($DG230,'3121% SY'!$A$2:$M$324,13,FALSE),0),3)</f>
        <v>0</v>
      </c>
    </row>
    <row r="231" spans="1:157" x14ac:dyDescent="0.25">
      <c r="A231" s="88" t="s">
        <v>230</v>
      </c>
      <c r="B231" s="90"/>
      <c r="C231" s="90"/>
      <c r="D231" s="90"/>
      <c r="E231" s="90"/>
      <c r="F231" s="90">
        <v>0.63900000000000001</v>
      </c>
      <c r="G231" s="90"/>
      <c r="H231" s="90">
        <v>1.3720000000000001</v>
      </c>
      <c r="I231" s="90">
        <v>1.7310000000000001</v>
      </c>
      <c r="J231" s="90"/>
      <c r="K231" s="90"/>
      <c r="L231" s="90"/>
      <c r="M231" s="90"/>
      <c r="N231" s="90"/>
      <c r="O231" s="90">
        <v>2</v>
      </c>
      <c r="P231" s="90">
        <v>1.5</v>
      </c>
      <c r="Q231" s="90">
        <v>1.5</v>
      </c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>
        <v>1</v>
      </c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R231" s="90">
        <f t="shared" si="63"/>
        <v>6</v>
      </c>
      <c r="AS231" s="90">
        <f>SUM($B231:M231)</f>
        <v>3.742</v>
      </c>
      <c r="AT231" s="89"/>
      <c r="CL231" s="90">
        <f t="shared" si="64"/>
        <v>0</v>
      </c>
      <c r="CM231" s="90">
        <f t="shared" si="65"/>
        <v>0</v>
      </c>
      <c r="CN231" s="89"/>
      <c r="DD231" s="90">
        <f t="shared" si="66"/>
        <v>0</v>
      </c>
      <c r="DE231" s="90">
        <f t="shared" si="67"/>
        <v>0</v>
      </c>
      <c r="DF231" s="89"/>
      <c r="EX231" s="90">
        <f t="shared" si="68"/>
        <v>0</v>
      </c>
      <c r="EY231" s="90">
        <f>ROUND(EX231*IFERROR(VLOOKUP($DG231,'3121% SY'!$A$2:$M$324,13,FALSE),0),3)</f>
        <v>0</v>
      </c>
      <c r="EZ231" s="90">
        <f t="shared" si="69"/>
        <v>0</v>
      </c>
      <c r="FA231" s="90">
        <f>ROUND(EZ231*IFERROR(VLOOKUP($DG231,'3121% SY'!$A$2:$M$324,13,FALSE),0),3)</f>
        <v>0</v>
      </c>
    </row>
    <row r="232" spans="1:157" x14ac:dyDescent="0.25">
      <c r="A232" s="88" t="s">
        <v>231</v>
      </c>
      <c r="B232" s="90"/>
      <c r="C232" s="90"/>
      <c r="D232" s="90"/>
      <c r="E232" s="90"/>
      <c r="F232" s="90">
        <v>0.123</v>
      </c>
      <c r="G232" s="90"/>
      <c r="H232" s="90"/>
      <c r="I232" s="90">
        <v>8.9</v>
      </c>
      <c r="J232" s="90"/>
      <c r="K232" s="90"/>
      <c r="L232" s="90"/>
      <c r="M232" s="90"/>
      <c r="N232" s="90"/>
      <c r="O232" s="90">
        <v>3</v>
      </c>
      <c r="P232" s="90">
        <v>8</v>
      </c>
      <c r="Q232" s="90">
        <v>2</v>
      </c>
      <c r="R232" s="90"/>
      <c r="S232" s="90"/>
      <c r="T232" s="90"/>
      <c r="U232" s="90">
        <v>8</v>
      </c>
      <c r="V232" s="90"/>
      <c r="W232" s="90"/>
      <c r="X232" s="90"/>
      <c r="Y232" s="90"/>
      <c r="Z232" s="90"/>
      <c r="AA232" s="90"/>
      <c r="AB232" s="90"/>
      <c r="AC232" s="90"/>
      <c r="AD232" s="90">
        <v>4.1970000000000001</v>
      </c>
      <c r="AE232" s="90">
        <v>1.595</v>
      </c>
      <c r="AF232" s="90">
        <v>0.5</v>
      </c>
      <c r="AG232" s="90">
        <v>0.45600000000000002</v>
      </c>
      <c r="AH232" s="90">
        <v>3.5999999999999997E-2</v>
      </c>
      <c r="AI232" s="90">
        <v>3.5999999999999997E-2</v>
      </c>
      <c r="AJ232" s="90"/>
      <c r="AK232" s="90"/>
      <c r="AL232" s="90"/>
      <c r="AM232" s="90"/>
      <c r="AN232" s="90"/>
      <c r="AO232" s="90"/>
      <c r="AR232" s="90">
        <f t="shared" si="63"/>
        <v>27.82</v>
      </c>
      <c r="AS232" s="90">
        <f>SUM($B232:M232)</f>
        <v>9.0229999999999997</v>
      </c>
      <c r="AT232" s="89"/>
      <c r="CL232" s="90">
        <f t="shared" si="64"/>
        <v>0</v>
      </c>
      <c r="CM232" s="90">
        <f t="shared" si="65"/>
        <v>0</v>
      </c>
      <c r="CN232" s="89"/>
      <c r="DD232" s="90">
        <f t="shared" si="66"/>
        <v>0</v>
      </c>
      <c r="DE232" s="90">
        <f t="shared" si="67"/>
        <v>0</v>
      </c>
      <c r="DF232" s="89"/>
      <c r="EX232" s="90">
        <f t="shared" si="68"/>
        <v>0</v>
      </c>
      <c r="EY232" s="90">
        <f>ROUND(EX232*IFERROR(VLOOKUP($DG232,'3121% SY'!$A$2:$M$324,13,FALSE),0),3)</f>
        <v>0</v>
      </c>
      <c r="EZ232" s="90">
        <f t="shared" si="69"/>
        <v>0</v>
      </c>
      <c r="FA232" s="90">
        <f>ROUND(EZ232*IFERROR(VLOOKUP($DG232,'3121% SY'!$A$2:$M$324,13,FALSE),0),3)</f>
        <v>0</v>
      </c>
    </row>
    <row r="233" spans="1:157" x14ac:dyDescent="0.25">
      <c r="A233" s="88" t="s">
        <v>232</v>
      </c>
      <c r="B233" s="90"/>
      <c r="C233" s="90"/>
      <c r="D233" s="90"/>
      <c r="E233" s="90"/>
      <c r="F233" s="90">
        <v>35.451000000000001</v>
      </c>
      <c r="G233" s="90"/>
      <c r="H233" s="90"/>
      <c r="I233" s="90">
        <v>5.8220000000000001</v>
      </c>
      <c r="J233" s="90"/>
      <c r="K233" s="90"/>
      <c r="L233" s="90">
        <v>2.9239999999999999</v>
      </c>
      <c r="M233" s="90"/>
      <c r="N233" s="90"/>
      <c r="O233" s="90">
        <v>16.899999999999999</v>
      </c>
      <c r="P233" s="90">
        <v>13.334</v>
      </c>
      <c r="Q233" s="90">
        <v>5.2439999999999998</v>
      </c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>
        <v>5.3440000000000003</v>
      </c>
      <c r="AE233" s="90">
        <v>5.484</v>
      </c>
      <c r="AF233" s="90">
        <v>6.6619999999999999</v>
      </c>
      <c r="AG233" s="90"/>
      <c r="AH233" s="90"/>
      <c r="AI233" s="90"/>
      <c r="AJ233" s="90"/>
      <c r="AK233" s="90"/>
      <c r="AL233" s="90"/>
      <c r="AM233" s="90"/>
      <c r="AN233" s="90"/>
      <c r="AO233" s="90"/>
      <c r="AR233" s="90">
        <f t="shared" si="63"/>
        <v>52.967999999999996</v>
      </c>
      <c r="AS233" s="90">
        <f>SUM($B233:M233)</f>
        <v>44.197000000000003</v>
      </c>
      <c r="AT233" s="89"/>
      <c r="CL233" s="90">
        <f t="shared" si="64"/>
        <v>0</v>
      </c>
      <c r="CM233" s="90">
        <f t="shared" si="65"/>
        <v>0</v>
      </c>
      <c r="CN233" s="89"/>
      <c r="DD233" s="90">
        <f t="shared" si="66"/>
        <v>0</v>
      </c>
      <c r="DE233" s="90">
        <f t="shared" si="67"/>
        <v>0</v>
      </c>
      <c r="DF233" s="89"/>
      <c r="EX233" s="90">
        <f t="shared" si="68"/>
        <v>0</v>
      </c>
      <c r="EY233" s="90">
        <f>ROUND(EX233*IFERROR(VLOOKUP($DG233,'3121% SY'!$A$2:$M$324,13,FALSE),0),3)</f>
        <v>0</v>
      </c>
      <c r="EZ233" s="90">
        <f t="shared" si="69"/>
        <v>0</v>
      </c>
      <c r="FA233" s="90">
        <f>ROUND(EZ233*IFERROR(VLOOKUP($DG233,'3121% SY'!$A$2:$M$324,13,FALSE),0),3)</f>
        <v>0</v>
      </c>
    </row>
    <row r="234" spans="1:157" x14ac:dyDescent="0.25">
      <c r="A234" s="88" t="s">
        <v>233</v>
      </c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>
        <v>0.7</v>
      </c>
      <c r="P234" s="90">
        <v>1</v>
      </c>
      <c r="Q234" s="90">
        <v>0.24</v>
      </c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>
        <v>0.39900000000000002</v>
      </c>
      <c r="AE234" s="90">
        <v>0.39900000000000002</v>
      </c>
      <c r="AF234" s="90"/>
      <c r="AG234" s="90"/>
      <c r="AH234" s="90"/>
      <c r="AI234" s="90"/>
      <c r="AJ234" s="90"/>
      <c r="AK234" s="90"/>
      <c r="AL234" s="90"/>
      <c r="AM234" s="90"/>
      <c r="AN234" s="90"/>
      <c r="AO234" s="90"/>
      <c r="AR234" s="90">
        <f t="shared" si="63"/>
        <v>2.738</v>
      </c>
      <c r="AS234" s="90">
        <f>SUM($B234:M234)</f>
        <v>0</v>
      </c>
      <c r="AT234" s="89"/>
      <c r="CL234" s="90">
        <f t="shared" si="64"/>
        <v>0</v>
      </c>
      <c r="CM234" s="90">
        <f t="shared" si="65"/>
        <v>0</v>
      </c>
      <c r="CN234" s="89"/>
      <c r="DD234" s="90">
        <f t="shared" si="66"/>
        <v>0</v>
      </c>
      <c r="DE234" s="90">
        <f t="shared" si="67"/>
        <v>0</v>
      </c>
      <c r="DF234" s="89"/>
      <c r="EX234" s="90">
        <f t="shared" si="68"/>
        <v>0</v>
      </c>
      <c r="EY234" s="90">
        <f>ROUND(EX234*IFERROR(VLOOKUP($DG234,'3121% SY'!$A$2:$M$324,13,FALSE),0),3)</f>
        <v>0</v>
      </c>
      <c r="EZ234" s="90">
        <f t="shared" si="69"/>
        <v>0</v>
      </c>
      <c r="FA234" s="90">
        <f>ROUND(EZ234*IFERROR(VLOOKUP($DG234,'3121% SY'!$A$2:$M$324,13,FALSE),0),3)</f>
        <v>0</v>
      </c>
    </row>
    <row r="235" spans="1:157" x14ac:dyDescent="0.25">
      <c r="A235" s="88" t="s">
        <v>234</v>
      </c>
      <c r="B235" s="90"/>
      <c r="C235" s="90"/>
      <c r="D235" s="90"/>
      <c r="E235" s="90"/>
      <c r="F235" s="90">
        <v>6.9169999999999998</v>
      </c>
      <c r="G235" s="90"/>
      <c r="H235" s="90"/>
      <c r="I235" s="90">
        <v>5.9690000000000003</v>
      </c>
      <c r="J235" s="90"/>
      <c r="K235" s="90"/>
      <c r="L235" s="90"/>
      <c r="M235" s="90"/>
      <c r="N235" s="90"/>
      <c r="O235" s="90">
        <v>5</v>
      </c>
      <c r="P235" s="90">
        <v>3.391</v>
      </c>
      <c r="Q235" s="90">
        <v>4</v>
      </c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>
        <v>3.3</v>
      </c>
      <c r="AE235" s="90">
        <v>2.2000000000000002</v>
      </c>
      <c r="AF235" s="90">
        <v>1.5</v>
      </c>
      <c r="AG235" s="90"/>
      <c r="AH235" s="90"/>
      <c r="AI235" s="90"/>
      <c r="AJ235" s="90"/>
      <c r="AK235" s="90"/>
      <c r="AL235" s="90"/>
      <c r="AM235" s="90"/>
      <c r="AN235" s="90"/>
      <c r="AO235" s="90"/>
      <c r="AR235" s="90">
        <f t="shared" si="63"/>
        <v>19.390999999999998</v>
      </c>
      <c r="AS235" s="90">
        <f>SUM($B235:M235)</f>
        <v>12.885999999999999</v>
      </c>
      <c r="AT235" s="89"/>
      <c r="CL235" s="90">
        <f t="shared" si="64"/>
        <v>0</v>
      </c>
      <c r="CM235" s="90">
        <f t="shared" si="65"/>
        <v>0</v>
      </c>
      <c r="CN235" s="89"/>
      <c r="DD235" s="90">
        <f t="shared" si="66"/>
        <v>0</v>
      </c>
      <c r="DE235" s="90">
        <f t="shared" si="67"/>
        <v>0</v>
      </c>
      <c r="DF235" s="89"/>
      <c r="EX235" s="90">
        <f t="shared" si="68"/>
        <v>0</v>
      </c>
      <c r="EY235" s="90">
        <f>ROUND(EX235*IFERROR(VLOOKUP($DG235,'3121% SY'!$A$2:$M$324,13,FALSE),0),3)</f>
        <v>0</v>
      </c>
      <c r="EZ235" s="90">
        <f t="shared" si="69"/>
        <v>0</v>
      </c>
      <c r="FA235" s="90">
        <f>ROUND(EZ235*IFERROR(VLOOKUP($DG235,'3121% SY'!$A$2:$M$324,13,FALSE),0),3)</f>
        <v>0</v>
      </c>
    </row>
    <row r="236" spans="1:157" x14ac:dyDescent="0.25">
      <c r="A236" s="88" t="s">
        <v>235</v>
      </c>
      <c r="B236" s="90"/>
      <c r="C236" s="90"/>
      <c r="D236" s="90"/>
      <c r="E236" s="90">
        <v>5.7089999999999996</v>
      </c>
      <c r="F236" s="90">
        <v>0.50900000000000001</v>
      </c>
      <c r="G236" s="90">
        <v>0.70499999999999996</v>
      </c>
      <c r="H236" s="90">
        <v>3.512</v>
      </c>
      <c r="I236" s="90">
        <v>1.4339999999999999</v>
      </c>
      <c r="J236" s="90">
        <v>0.66500000000000004</v>
      </c>
      <c r="K236" s="90"/>
      <c r="L236" s="90">
        <v>0.73499999999999999</v>
      </c>
      <c r="M236" s="90">
        <v>0.73499999999999999</v>
      </c>
      <c r="N236" s="90"/>
      <c r="O236" s="90">
        <v>4.5</v>
      </c>
      <c r="P236" s="90">
        <v>2</v>
      </c>
      <c r="Q236" s="90">
        <v>1</v>
      </c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>
        <v>1</v>
      </c>
      <c r="AF236" s="90">
        <v>1.7</v>
      </c>
      <c r="AG236" s="90"/>
      <c r="AH236" s="90"/>
      <c r="AI236" s="90"/>
      <c r="AJ236" s="90"/>
      <c r="AK236" s="90"/>
      <c r="AL236" s="90"/>
      <c r="AM236" s="90"/>
      <c r="AN236" s="90"/>
      <c r="AO236" s="90"/>
      <c r="AR236" s="90">
        <f t="shared" si="63"/>
        <v>10.199999999999999</v>
      </c>
      <c r="AS236" s="90">
        <f>SUM($B236:M236)</f>
        <v>14.003999999999998</v>
      </c>
      <c r="AT236" s="89"/>
      <c r="CL236" s="90">
        <f t="shared" si="64"/>
        <v>0</v>
      </c>
      <c r="CM236" s="90">
        <f t="shared" si="65"/>
        <v>0</v>
      </c>
      <c r="CN236" s="89"/>
      <c r="DD236" s="90">
        <f t="shared" si="66"/>
        <v>0</v>
      </c>
      <c r="DE236" s="90">
        <f t="shared" si="67"/>
        <v>0</v>
      </c>
      <c r="DF236" s="89"/>
      <c r="EX236" s="90">
        <f t="shared" si="68"/>
        <v>0</v>
      </c>
      <c r="EY236" s="90">
        <f>ROUND(EX236*IFERROR(VLOOKUP($DG236,'3121% SY'!$A$2:$M$324,13,FALSE),0),3)</f>
        <v>0</v>
      </c>
      <c r="EZ236" s="90">
        <f t="shared" si="69"/>
        <v>0</v>
      </c>
      <c r="FA236" s="90">
        <f>ROUND(EZ236*IFERROR(VLOOKUP($DG236,'3121% SY'!$A$2:$M$324,13,FALSE),0),3)</f>
        <v>0</v>
      </c>
    </row>
    <row r="237" spans="1:157" x14ac:dyDescent="0.25">
      <c r="A237" s="88" t="s">
        <v>236</v>
      </c>
      <c r="B237" s="90"/>
      <c r="C237" s="90"/>
      <c r="D237" s="90"/>
      <c r="E237" s="90">
        <v>0.65600000000000003</v>
      </c>
      <c r="F237" s="90">
        <v>0.19900000000000001</v>
      </c>
      <c r="G237" s="90">
        <v>0.311</v>
      </c>
      <c r="H237" s="90"/>
      <c r="I237" s="90"/>
      <c r="J237" s="90"/>
      <c r="K237" s="90"/>
      <c r="L237" s="90"/>
      <c r="M237" s="90"/>
      <c r="N237" s="90"/>
      <c r="O237" s="90">
        <v>0.9</v>
      </c>
      <c r="P237" s="90">
        <v>1.167</v>
      </c>
      <c r="Q237" s="90">
        <v>0.1</v>
      </c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>
        <v>0.48099999999999998</v>
      </c>
      <c r="AE237" s="90">
        <v>0.31</v>
      </c>
      <c r="AF237" s="90">
        <v>0.13700000000000001</v>
      </c>
      <c r="AG237" s="90"/>
      <c r="AH237" s="90"/>
      <c r="AI237" s="90"/>
      <c r="AJ237" s="90"/>
      <c r="AK237" s="90"/>
      <c r="AL237" s="90"/>
      <c r="AM237" s="90"/>
      <c r="AN237" s="90"/>
      <c r="AO237" s="90"/>
      <c r="AR237" s="90">
        <f t="shared" si="63"/>
        <v>3.0950000000000002</v>
      </c>
      <c r="AS237" s="90">
        <f>SUM($B237:M237)</f>
        <v>1.1659999999999999</v>
      </c>
      <c r="AT237" s="89"/>
      <c r="CL237" s="90">
        <f t="shared" si="64"/>
        <v>0</v>
      </c>
      <c r="CM237" s="90">
        <f t="shared" si="65"/>
        <v>0</v>
      </c>
      <c r="CN237" s="89"/>
      <c r="DD237" s="90">
        <f t="shared" si="66"/>
        <v>0</v>
      </c>
      <c r="DE237" s="90">
        <f t="shared" si="67"/>
        <v>0</v>
      </c>
      <c r="DF237" s="89"/>
      <c r="EX237" s="90">
        <f t="shared" si="68"/>
        <v>0</v>
      </c>
      <c r="EY237" s="90">
        <f>ROUND(EX237*IFERROR(VLOOKUP($DG237,'3121% SY'!$A$2:$M$324,13,FALSE),0),3)</f>
        <v>0</v>
      </c>
      <c r="EZ237" s="90">
        <f t="shared" si="69"/>
        <v>0</v>
      </c>
      <c r="FA237" s="90">
        <f>ROUND(EZ237*IFERROR(VLOOKUP($DG237,'3121% SY'!$A$2:$M$324,13,FALSE),0),3)</f>
        <v>0</v>
      </c>
    </row>
    <row r="238" spans="1:157" x14ac:dyDescent="0.25">
      <c r="A238" s="88" t="s">
        <v>237</v>
      </c>
      <c r="B238" s="90"/>
      <c r="C238" s="90"/>
      <c r="D238" s="90"/>
      <c r="E238" s="90"/>
      <c r="F238" s="90">
        <v>9.4E-2</v>
      </c>
      <c r="G238" s="90"/>
      <c r="H238" s="90"/>
      <c r="I238" s="90">
        <v>1.6319999999999999</v>
      </c>
      <c r="J238" s="90"/>
      <c r="K238" s="90"/>
      <c r="L238" s="90">
        <v>1.538</v>
      </c>
      <c r="M238" s="90"/>
      <c r="N238" s="90"/>
      <c r="O238" s="90">
        <v>2.68</v>
      </c>
      <c r="P238" s="90">
        <v>3.1</v>
      </c>
      <c r="Q238" s="90">
        <v>1.32</v>
      </c>
      <c r="R238" s="90"/>
      <c r="S238" s="90"/>
      <c r="T238" s="90"/>
      <c r="U238" s="90"/>
      <c r="V238" s="90">
        <v>0.5</v>
      </c>
      <c r="W238" s="90"/>
      <c r="X238" s="90"/>
      <c r="Y238" s="90"/>
      <c r="Z238" s="90"/>
      <c r="AA238" s="90"/>
      <c r="AB238" s="90"/>
      <c r="AC238" s="90"/>
      <c r="AD238" s="90">
        <v>1.33</v>
      </c>
      <c r="AE238" s="90">
        <v>1.7</v>
      </c>
      <c r="AF238" s="90"/>
      <c r="AG238" s="90"/>
      <c r="AH238" s="90"/>
      <c r="AI238" s="90"/>
      <c r="AJ238" s="90">
        <v>0.47599999999999998</v>
      </c>
      <c r="AK238" s="90">
        <v>0.17</v>
      </c>
      <c r="AL238" s="90">
        <v>0.20399999999999999</v>
      </c>
      <c r="AM238" s="90"/>
      <c r="AN238" s="90"/>
      <c r="AO238" s="90"/>
      <c r="AR238" s="90">
        <f t="shared" si="63"/>
        <v>11.479999999999999</v>
      </c>
      <c r="AS238" s="90">
        <f>SUM($B238:M238)</f>
        <v>3.2640000000000002</v>
      </c>
      <c r="AT238" s="89"/>
      <c r="CL238" s="90">
        <f t="shared" si="64"/>
        <v>0</v>
      </c>
      <c r="CM238" s="90">
        <f t="shared" si="65"/>
        <v>0</v>
      </c>
      <c r="CN238" s="89"/>
      <c r="DD238" s="90">
        <f t="shared" si="66"/>
        <v>0</v>
      </c>
      <c r="DE238" s="90">
        <f t="shared" si="67"/>
        <v>0</v>
      </c>
      <c r="DF238" s="89"/>
      <c r="EX238" s="90">
        <f t="shared" si="68"/>
        <v>0</v>
      </c>
      <c r="EY238" s="90">
        <f>ROUND(EX238*IFERROR(VLOOKUP($DG238,'3121% SY'!$A$2:$M$324,13,FALSE),0),3)</f>
        <v>0</v>
      </c>
      <c r="EZ238" s="90">
        <f t="shared" si="69"/>
        <v>0</v>
      </c>
      <c r="FA238" s="90">
        <f>ROUND(EZ238*IFERROR(VLOOKUP($DG238,'3121% SY'!$A$2:$M$324,13,FALSE),0),3)</f>
        <v>0</v>
      </c>
    </row>
    <row r="239" spans="1:157" x14ac:dyDescent="0.25">
      <c r="A239" s="88" t="s">
        <v>238</v>
      </c>
      <c r="B239" s="90"/>
      <c r="C239" s="90"/>
      <c r="D239" s="90"/>
      <c r="E239" s="90"/>
      <c r="F239" s="90">
        <v>0.68100000000000005</v>
      </c>
      <c r="G239" s="90"/>
      <c r="H239" s="90"/>
      <c r="I239" s="90">
        <v>1.782</v>
      </c>
      <c r="J239" s="90"/>
      <c r="K239" s="90"/>
      <c r="L239" s="90"/>
      <c r="M239" s="90"/>
      <c r="N239" s="90"/>
      <c r="O239" s="90">
        <v>2</v>
      </c>
      <c r="P239" s="90">
        <v>2</v>
      </c>
      <c r="Q239" s="90">
        <v>1</v>
      </c>
      <c r="R239" s="90"/>
      <c r="S239" s="90"/>
      <c r="T239" s="90"/>
      <c r="U239" s="90"/>
      <c r="V239" s="90"/>
      <c r="W239" s="90"/>
      <c r="X239" s="90"/>
      <c r="Y239" s="90"/>
      <c r="Z239" s="90"/>
      <c r="AA239" s="90">
        <v>0.2</v>
      </c>
      <c r="AB239" s="90"/>
      <c r="AC239" s="90">
        <v>0.1</v>
      </c>
      <c r="AD239" s="90">
        <v>0.56000000000000005</v>
      </c>
      <c r="AE239" s="90">
        <v>0.3</v>
      </c>
      <c r="AF239" s="90">
        <v>0.14000000000000001</v>
      </c>
      <c r="AG239" s="90"/>
      <c r="AH239" s="90"/>
      <c r="AI239" s="90"/>
      <c r="AJ239" s="90"/>
      <c r="AK239" s="90"/>
      <c r="AL239" s="90"/>
      <c r="AM239" s="90"/>
      <c r="AN239" s="90"/>
      <c r="AO239" s="90"/>
      <c r="AR239" s="90">
        <f t="shared" si="63"/>
        <v>6.2999999999999989</v>
      </c>
      <c r="AS239" s="90">
        <f>SUM($B239:M239)</f>
        <v>2.4630000000000001</v>
      </c>
      <c r="AT239" s="89"/>
      <c r="CL239" s="90">
        <f t="shared" si="64"/>
        <v>0</v>
      </c>
      <c r="CM239" s="90">
        <f t="shared" si="65"/>
        <v>0</v>
      </c>
      <c r="CN239" s="89"/>
      <c r="DD239" s="90">
        <f t="shared" si="66"/>
        <v>0</v>
      </c>
      <c r="DE239" s="90">
        <f t="shared" si="67"/>
        <v>0</v>
      </c>
      <c r="DF239" s="89"/>
      <c r="EX239" s="90">
        <f t="shared" si="68"/>
        <v>0</v>
      </c>
      <c r="EY239" s="90">
        <f>ROUND(EX239*IFERROR(VLOOKUP($DG239,'3121% SY'!$A$2:$M$324,13,FALSE),0),3)</f>
        <v>0</v>
      </c>
      <c r="EZ239" s="90">
        <f t="shared" si="69"/>
        <v>0</v>
      </c>
      <c r="FA239" s="90">
        <f>ROUND(EZ239*IFERROR(VLOOKUP($DG239,'3121% SY'!$A$2:$M$324,13,FALSE),0),3)</f>
        <v>0</v>
      </c>
    </row>
    <row r="240" spans="1:157" x14ac:dyDescent="0.25">
      <c r="A240" s="88" t="s">
        <v>239</v>
      </c>
      <c r="B240" s="90"/>
      <c r="C240" s="90"/>
      <c r="D240" s="90"/>
      <c r="E240" s="90">
        <v>0.73899999999999999</v>
      </c>
      <c r="F240" s="90">
        <v>1.9870000000000001</v>
      </c>
      <c r="G240" s="90"/>
      <c r="H240" s="90"/>
      <c r="I240" s="90">
        <v>3.6240000000000001</v>
      </c>
      <c r="J240" s="90"/>
      <c r="K240" s="90"/>
      <c r="L240" s="90"/>
      <c r="M240" s="90"/>
      <c r="N240" s="90"/>
      <c r="O240" s="90">
        <v>1.6</v>
      </c>
      <c r="P240" s="90">
        <v>2.2000000000000002</v>
      </c>
      <c r="Q240" s="90">
        <v>1</v>
      </c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R240" s="90">
        <f t="shared" si="63"/>
        <v>4.8000000000000007</v>
      </c>
      <c r="AS240" s="90">
        <f>SUM($B240:M240)</f>
        <v>6.35</v>
      </c>
      <c r="AT240" s="89"/>
      <c r="CL240" s="90">
        <f t="shared" si="64"/>
        <v>0</v>
      </c>
      <c r="CM240" s="90">
        <f t="shared" si="65"/>
        <v>0</v>
      </c>
      <c r="CN240" s="89"/>
      <c r="DD240" s="90">
        <f t="shared" si="66"/>
        <v>0</v>
      </c>
      <c r="DE240" s="90">
        <f t="shared" si="67"/>
        <v>0</v>
      </c>
      <c r="DF240" s="89"/>
      <c r="EX240" s="90">
        <f t="shared" si="68"/>
        <v>0</v>
      </c>
      <c r="EY240" s="90">
        <f>ROUND(EX240*IFERROR(VLOOKUP($DG240,'3121% SY'!$A$2:$M$324,13,FALSE),0),3)</f>
        <v>0</v>
      </c>
      <c r="EZ240" s="90">
        <f t="shared" si="69"/>
        <v>0</v>
      </c>
      <c r="FA240" s="90">
        <f>ROUND(EZ240*IFERROR(VLOOKUP($DG240,'3121% SY'!$A$2:$M$324,13,FALSE),0),3)</f>
        <v>0</v>
      </c>
    </row>
    <row r="241" spans="1:157" x14ac:dyDescent="0.25">
      <c r="A241" s="88" t="s">
        <v>615</v>
      </c>
      <c r="B241" s="90"/>
      <c r="C241" s="90"/>
      <c r="D241" s="90"/>
      <c r="E241" s="90"/>
      <c r="F241" s="90"/>
      <c r="G241" s="90"/>
      <c r="H241" s="90"/>
      <c r="I241" s="90">
        <v>0.76200000000000001</v>
      </c>
      <c r="J241" s="90"/>
      <c r="K241" s="90"/>
      <c r="L241" s="90"/>
      <c r="M241" s="90"/>
      <c r="N241" s="90"/>
      <c r="O241" s="90">
        <v>1.5</v>
      </c>
      <c r="P241" s="90">
        <v>0.5</v>
      </c>
      <c r="Q241" s="90">
        <v>1</v>
      </c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R241" s="90">
        <f t="shared" si="63"/>
        <v>3</v>
      </c>
      <c r="AS241" s="90">
        <f>SUM($B241:M241)</f>
        <v>0.76200000000000001</v>
      </c>
      <c r="AT241" s="89"/>
      <c r="CL241" s="90">
        <f t="shared" si="64"/>
        <v>0</v>
      </c>
      <c r="CM241" s="90">
        <f t="shared" si="65"/>
        <v>0</v>
      </c>
      <c r="CN241" s="89"/>
      <c r="DD241" s="90">
        <f t="shared" si="66"/>
        <v>0</v>
      </c>
      <c r="DE241" s="90">
        <f t="shared" si="67"/>
        <v>0</v>
      </c>
      <c r="DF241" s="89"/>
      <c r="EX241" s="90">
        <f t="shared" si="68"/>
        <v>0</v>
      </c>
      <c r="EY241" s="90">
        <f>ROUND(EX241*IFERROR(VLOOKUP($DG241,'3121% SY'!$A$2:$M$324,13,FALSE),0),3)</f>
        <v>0</v>
      </c>
      <c r="EZ241" s="90">
        <f t="shared" si="69"/>
        <v>0</v>
      </c>
      <c r="FA241" s="90">
        <f>ROUND(EZ241*IFERROR(VLOOKUP($DG241,'3121% SY'!$A$2:$M$324,13,FALSE),0),3)</f>
        <v>0</v>
      </c>
    </row>
    <row r="242" spans="1:157" x14ac:dyDescent="0.25">
      <c r="A242" s="88" t="s">
        <v>655</v>
      </c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>
        <v>0.86</v>
      </c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R242" s="90">
        <f t="shared" si="63"/>
        <v>0.86</v>
      </c>
      <c r="AS242" s="90">
        <f>SUM($B242:M242)</f>
        <v>0</v>
      </c>
      <c r="AT242" s="89"/>
      <c r="CL242" s="90">
        <f t="shared" si="64"/>
        <v>0</v>
      </c>
      <c r="CM242" s="90">
        <f t="shared" si="65"/>
        <v>0</v>
      </c>
      <c r="CN242" s="89"/>
      <c r="DD242" s="90">
        <f t="shared" si="66"/>
        <v>0</v>
      </c>
      <c r="DE242" s="90">
        <f t="shared" si="67"/>
        <v>0</v>
      </c>
      <c r="DF242" s="89"/>
      <c r="EX242" s="90">
        <f t="shared" si="68"/>
        <v>0</v>
      </c>
      <c r="EY242" s="90">
        <f>ROUND(EX242*IFERROR(VLOOKUP($DG242,'3121% SY'!$A$2:$M$324,13,FALSE),0),3)</f>
        <v>0</v>
      </c>
      <c r="EZ242" s="90">
        <f t="shared" si="69"/>
        <v>0</v>
      </c>
      <c r="FA242" s="90">
        <f>ROUND(EZ242*IFERROR(VLOOKUP($DG242,'3121% SY'!$A$2:$M$324,13,FALSE),0),3)</f>
        <v>0</v>
      </c>
    </row>
    <row r="243" spans="1:157" x14ac:dyDescent="0.25">
      <c r="A243" s="88" t="s">
        <v>628</v>
      </c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>
        <v>1</v>
      </c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R243" s="90">
        <f t="shared" si="63"/>
        <v>1</v>
      </c>
      <c r="AS243" s="90">
        <f>SUM($B243:M243)</f>
        <v>0</v>
      </c>
      <c r="AT243" s="89"/>
      <c r="CL243" s="90">
        <f t="shared" si="64"/>
        <v>0</v>
      </c>
      <c r="CM243" s="90">
        <f t="shared" si="65"/>
        <v>0</v>
      </c>
      <c r="CN243" s="89"/>
      <c r="DD243" s="90">
        <f t="shared" si="66"/>
        <v>0</v>
      </c>
      <c r="DE243" s="90">
        <f t="shared" si="67"/>
        <v>0</v>
      </c>
      <c r="DF243" s="89"/>
      <c r="EX243" s="90">
        <f t="shared" si="68"/>
        <v>0</v>
      </c>
      <c r="EY243" s="90">
        <f>ROUND(EX243*IFERROR(VLOOKUP($DG243,'3121% SY'!$A$2:$M$324,13,FALSE),0),3)</f>
        <v>0</v>
      </c>
      <c r="EZ243" s="90">
        <f t="shared" si="69"/>
        <v>0</v>
      </c>
      <c r="FA243" s="90">
        <f>ROUND(EZ243*IFERROR(VLOOKUP($DG243,'3121% SY'!$A$2:$M$324,13,FALSE),0),3)</f>
        <v>0</v>
      </c>
    </row>
    <row r="244" spans="1:157" x14ac:dyDescent="0.25">
      <c r="A244" s="88" t="s">
        <v>240</v>
      </c>
      <c r="B244" s="90"/>
      <c r="C244" s="90"/>
      <c r="D244" s="90"/>
      <c r="E244" s="90"/>
      <c r="F244" s="90"/>
      <c r="G244" s="90"/>
      <c r="H244" s="90"/>
      <c r="I244" s="90">
        <v>0.1</v>
      </c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R244" s="90">
        <f t="shared" si="63"/>
        <v>0</v>
      </c>
      <c r="AS244" s="90">
        <f>SUM($B244:M244)</f>
        <v>0.1</v>
      </c>
      <c r="AT244" s="89"/>
      <c r="CL244" s="90">
        <f t="shared" si="64"/>
        <v>0</v>
      </c>
      <c r="CM244" s="90">
        <f t="shared" si="65"/>
        <v>0</v>
      </c>
      <c r="CN244" s="89"/>
      <c r="DD244" s="90">
        <f t="shared" si="66"/>
        <v>0</v>
      </c>
      <c r="DE244" s="90">
        <f t="shared" si="67"/>
        <v>0</v>
      </c>
      <c r="DF244" s="89"/>
      <c r="EX244" s="90">
        <f t="shared" si="68"/>
        <v>0</v>
      </c>
      <c r="EY244" s="90">
        <f>ROUND(EX244*IFERROR(VLOOKUP($DG244,'3121% SY'!$A$2:$M$324,13,FALSE),0),3)</f>
        <v>0</v>
      </c>
      <c r="EZ244" s="90">
        <f t="shared" si="69"/>
        <v>0</v>
      </c>
      <c r="FA244" s="90">
        <f>ROUND(EZ244*IFERROR(VLOOKUP($DG244,'3121% SY'!$A$2:$M$324,13,FALSE),0),3)</f>
        <v>0</v>
      </c>
    </row>
    <row r="245" spans="1:157" x14ac:dyDescent="0.25">
      <c r="A245" s="88" t="s">
        <v>241</v>
      </c>
      <c r="B245" s="90"/>
      <c r="C245" s="90"/>
      <c r="D245" s="90"/>
      <c r="E245" s="90"/>
      <c r="F245" s="90">
        <v>0.1</v>
      </c>
      <c r="G245" s="90"/>
      <c r="H245" s="90"/>
      <c r="I245" s="90">
        <v>0.65900000000000003</v>
      </c>
      <c r="J245" s="90"/>
      <c r="K245" s="90"/>
      <c r="L245" s="90"/>
      <c r="M245" s="90"/>
      <c r="N245" s="90"/>
      <c r="O245" s="90">
        <v>0.55000000000000004</v>
      </c>
      <c r="P245" s="90">
        <v>0.78</v>
      </c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>
        <v>0.54</v>
      </c>
      <c r="AE245" s="90">
        <v>0.31</v>
      </c>
      <c r="AF245" s="90">
        <v>0.15</v>
      </c>
      <c r="AG245" s="90"/>
      <c r="AH245" s="90"/>
      <c r="AI245" s="90"/>
      <c r="AJ245" s="90"/>
      <c r="AK245" s="90"/>
      <c r="AL245" s="90"/>
      <c r="AM245" s="90"/>
      <c r="AN245" s="90"/>
      <c r="AO245" s="90"/>
      <c r="AR245" s="90">
        <f t="shared" si="63"/>
        <v>2.33</v>
      </c>
      <c r="AS245" s="90">
        <f>SUM($B245:M245)</f>
        <v>0.75900000000000001</v>
      </c>
      <c r="AT245" s="89"/>
      <c r="CL245" s="90">
        <f t="shared" si="64"/>
        <v>0</v>
      </c>
      <c r="CM245" s="90">
        <f t="shared" si="65"/>
        <v>0</v>
      </c>
      <c r="CN245" s="89"/>
      <c r="DD245" s="90">
        <f t="shared" si="66"/>
        <v>0</v>
      </c>
      <c r="DE245" s="90">
        <f t="shared" si="67"/>
        <v>0</v>
      </c>
      <c r="DF245" s="89"/>
      <c r="EX245" s="90">
        <f t="shared" si="68"/>
        <v>0</v>
      </c>
      <c r="EY245" s="90">
        <f>ROUND(EX245*IFERROR(VLOOKUP($DG245,'3121% SY'!$A$2:$M$324,13,FALSE),0),3)</f>
        <v>0</v>
      </c>
      <c r="EZ245" s="90">
        <f t="shared" si="69"/>
        <v>0</v>
      </c>
      <c r="FA245" s="90">
        <f>ROUND(EZ245*IFERROR(VLOOKUP($DG245,'3121% SY'!$A$2:$M$324,13,FALSE),0),3)</f>
        <v>0</v>
      </c>
    </row>
    <row r="246" spans="1:157" x14ac:dyDescent="0.25">
      <c r="A246" s="88" t="s">
        <v>242</v>
      </c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>
        <v>1</v>
      </c>
      <c r="P246" s="90">
        <v>0.5</v>
      </c>
      <c r="Q246" s="90">
        <v>0.5</v>
      </c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R246" s="90">
        <f t="shared" si="63"/>
        <v>2</v>
      </c>
      <c r="AS246" s="90">
        <f>SUM($B246:M246)</f>
        <v>0</v>
      </c>
      <c r="AT246" s="89"/>
      <c r="CL246" s="90">
        <f t="shared" si="64"/>
        <v>0</v>
      </c>
      <c r="CM246" s="90">
        <f t="shared" si="65"/>
        <v>0</v>
      </c>
      <c r="CN246" s="89"/>
      <c r="DD246" s="90">
        <f t="shared" si="66"/>
        <v>0</v>
      </c>
      <c r="DE246" s="90">
        <f t="shared" si="67"/>
        <v>0</v>
      </c>
      <c r="DF246" s="89"/>
      <c r="EX246" s="90">
        <f t="shared" si="68"/>
        <v>0</v>
      </c>
      <c r="EY246" s="90">
        <f>ROUND(EX246*IFERROR(VLOOKUP($DG246,'3121% SY'!$A$2:$M$324,13,FALSE),0),3)</f>
        <v>0</v>
      </c>
      <c r="EZ246" s="90">
        <f t="shared" si="69"/>
        <v>0</v>
      </c>
      <c r="FA246" s="90">
        <f>ROUND(EZ246*IFERROR(VLOOKUP($DG246,'3121% SY'!$A$2:$M$324,13,FALSE),0),3)</f>
        <v>0</v>
      </c>
    </row>
    <row r="247" spans="1:157" x14ac:dyDescent="0.25">
      <c r="A247" s="88" t="s">
        <v>243</v>
      </c>
      <c r="B247" s="90"/>
      <c r="C247" s="90"/>
      <c r="D247" s="90"/>
      <c r="E247" s="90"/>
      <c r="F247" s="90">
        <v>1.365</v>
      </c>
      <c r="G247" s="90"/>
      <c r="H247" s="90"/>
      <c r="I247" s="90"/>
      <c r="J247" s="90"/>
      <c r="K247" s="90"/>
      <c r="L247" s="90"/>
      <c r="M247" s="90"/>
      <c r="N247" s="90"/>
      <c r="O247" s="90">
        <v>0.39</v>
      </c>
      <c r="P247" s="90">
        <v>0.4</v>
      </c>
      <c r="Q247" s="90">
        <v>0.21</v>
      </c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R247" s="90">
        <f t="shared" si="63"/>
        <v>1</v>
      </c>
      <c r="AS247" s="90">
        <f>SUM($B247:M247)</f>
        <v>1.365</v>
      </c>
      <c r="AT247" s="89"/>
      <c r="CL247" s="90">
        <f t="shared" si="64"/>
        <v>0</v>
      </c>
      <c r="CM247" s="90">
        <f t="shared" si="65"/>
        <v>0</v>
      </c>
      <c r="CN247" s="89"/>
      <c r="DD247" s="90">
        <f t="shared" si="66"/>
        <v>0</v>
      </c>
      <c r="DE247" s="90">
        <f t="shared" si="67"/>
        <v>0</v>
      </c>
      <c r="DF247" s="89"/>
      <c r="EX247" s="90">
        <f t="shared" si="68"/>
        <v>0</v>
      </c>
      <c r="EY247" s="90">
        <f>ROUND(EX247*IFERROR(VLOOKUP($DG247,'3121% SY'!$A$2:$M$324,13,FALSE),0),3)</f>
        <v>0</v>
      </c>
      <c r="EZ247" s="90">
        <f t="shared" si="69"/>
        <v>0</v>
      </c>
      <c r="FA247" s="90">
        <f>ROUND(EZ247*IFERROR(VLOOKUP($DG247,'3121% SY'!$A$2:$M$324,13,FALSE),0),3)</f>
        <v>0</v>
      </c>
    </row>
    <row r="248" spans="1:157" x14ac:dyDescent="0.25">
      <c r="A248" s="88" t="s">
        <v>244</v>
      </c>
      <c r="B248" s="90"/>
      <c r="C248" s="90"/>
      <c r="D248" s="90"/>
      <c r="E248" s="90"/>
      <c r="F248" s="90"/>
      <c r="G248" s="90"/>
      <c r="H248" s="90">
        <v>0.70299999999999996</v>
      </c>
      <c r="I248" s="90"/>
      <c r="J248" s="90"/>
      <c r="K248" s="90"/>
      <c r="L248" s="90">
        <v>0.5</v>
      </c>
      <c r="M248" s="90"/>
      <c r="N248" s="90"/>
      <c r="O248" s="90">
        <v>2.33</v>
      </c>
      <c r="P248" s="90">
        <v>2</v>
      </c>
      <c r="Q248" s="90">
        <v>0.67</v>
      </c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>
        <v>1</v>
      </c>
      <c r="AE248" s="90">
        <v>1</v>
      </c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R248" s="90">
        <f t="shared" si="63"/>
        <v>7</v>
      </c>
      <c r="AS248" s="90">
        <f>SUM($B248:M248)</f>
        <v>1.2029999999999998</v>
      </c>
      <c r="AT248" s="89"/>
      <c r="CL248" s="90">
        <f t="shared" si="64"/>
        <v>0</v>
      </c>
      <c r="CM248" s="90">
        <f t="shared" si="65"/>
        <v>0</v>
      </c>
      <c r="CN248" s="89"/>
      <c r="DD248" s="90">
        <f t="shared" si="66"/>
        <v>0</v>
      </c>
      <c r="DE248" s="90">
        <f t="shared" si="67"/>
        <v>0</v>
      </c>
      <c r="DF248" s="89"/>
      <c r="EX248" s="90">
        <f t="shared" si="68"/>
        <v>0</v>
      </c>
      <c r="EY248" s="90">
        <f>ROUND(EX248*IFERROR(VLOOKUP($DG248,'3121% SY'!$A$2:$M$324,13,FALSE),0),3)</f>
        <v>0</v>
      </c>
      <c r="EZ248" s="90">
        <f t="shared" si="69"/>
        <v>0</v>
      </c>
      <c r="FA248" s="90">
        <f>ROUND(EZ248*IFERROR(VLOOKUP($DG248,'3121% SY'!$A$2:$M$324,13,FALSE),0),3)</f>
        <v>0</v>
      </c>
    </row>
    <row r="249" spans="1:157" x14ac:dyDescent="0.25">
      <c r="A249" s="88" t="s">
        <v>245</v>
      </c>
      <c r="B249" s="90">
        <v>0.315</v>
      </c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R249" s="90">
        <f t="shared" si="63"/>
        <v>0</v>
      </c>
      <c r="AS249" s="90">
        <f>SUM($B249:M249)</f>
        <v>0.315</v>
      </c>
      <c r="AT249" s="89"/>
      <c r="CL249" s="90">
        <f t="shared" si="64"/>
        <v>0</v>
      </c>
      <c r="CM249" s="90">
        <f t="shared" si="65"/>
        <v>0</v>
      </c>
      <c r="CN249" s="89"/>
      <c r="DD249" s="90">
        <f t="shared" si="66"/>
        <v>0</v>
      </c>
      <c r="DE249" s="90">
        <f t="shared" si="67"/>
        <v>0</v>
      </c>
      <c r="DF249" s="89"/>
      <c r="EX249" s="90">
        <f t="shared" si="68"/>
        <v>0</v>
      </c>
      <c r="EY249" s="90">
        <f>ROUND(EX249*IFERROR(VLOOKUP($DG249,'3121% SY'!$A$2:$M$324,13,FALSE),0),3)</f>
        <v>0</v>
      </c>
      <c r="EZ249" s="90">
        <f t="shared" si="69"/>
        <v>0</v>
      </c>
      <c r="FA249" s="90">
        <f>ROUND(EZ249*IFERROR(VLOOKUP($DG249,'3121% SY'!$A$2:$M$324,13,FALSE),0),3)</f>
        <v>0</v>
      </c>
    </row>
    <row r="250" spans="1:157" x14ac:dyDescent="0.25">
      <c r="A250" s="88" t="s">
        <v>246</v>
      </c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>
        <v>0.19600000000000001</v>
      </c>
      <c r="P250" s="90"/>
      <c r="Q250" s="90">
        <v>5.5E-2</v>
      </c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90"/>
      <c r="AM250" s="90"/>
      <c r="AN250" s="90"/>
      <c r="AO250" s="90"/>
      <c r="AR250" s="90">
        <f t="shared" si="63"/>
        <v>0.251</v>
      </c>
      <c r="AS250" s="90">
        <f>SUM($B250:M250)</f>
        <v>0</v>
      </c>
      <c r="AT250" s="89"/>
      <c r="CL250" s="90">
        <f t="shared" si="64"/>
        <v>0</v>
      </c>
      <c r="CM250" s="90">
        <f t="shared" si="65"/>
        <v>0</v>
      </c>
      <c r="CN250" s="89"/>
      <c r="DD250" s="90">
        <f t="shared" si="66"/>
        <v>0</v>
      </c>
      <c r="DE250" s="90">
        <f t="shared" si="67"/>
        <v>0</v>
      </c>
      <c r="DF250" s="89"/>
      <c r="EX250" s="90">
        <f t="shared" si="68"/>
        <v>0</v>
      </c>
      <c r="EY250" s="90">
        <f>ROUND(EX250*IFERROR(VLOOKUP($DG250,'3121% SY'!$A$2:$M$324,13,FALSE),0),3)</f>
        <v>0</v>
      </c>
      <c r="EZ250" s="90">
        <f t="shared" si="69"/>
        <v>0</v>
      </c>
      <c r="FA250" s="90">
        <f>ROUND(EZ250*IFERROR(VLOOKUP($DG250,'3121% SY'!$A$2:$M$324,13,FALSE),0),3)</f>
        <v>0</v>
      </c>
    </row>
    <row r="251" spans="1:157" x14ac:dyDescent="0.25">
      <c r="A251" s="88" t="s">
        <v>247</v>
      </c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>
        <v>0.11899999999999999</v>
      </c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R251" s="90">
        <f t="shared" si="63"/>
        <v>0.11899999999999999</v>
      </c>
      <c r="AS251" s="90">
        <f>SUM($B251:M251)</f>
        <v>0</v>
      </c>
      <c r="AT251" s="89"/>
      <c r="CL251" s="90">
        <f t="shared" si="64"/>
        <v>0</v>
      </c>
      <c r="CM251" s="90">
        <f t="shared" si="65"/>
        <v>0</v>
      </c>
      <c r="CN251" s="89"/>
      <c r="DD251" s="90">
        <f t="shared" si="66"/>
        <v>0</v>
      </c>
      <c r="DE251" s="90">
        <f t="shared" si="67"/>
        <v>0</v>
      </c>
      <c r="DF251" s="89"/>
      <c r="EX251" s="90">
        <f t="shared" si="68"/>
        <v>0</v>
      </c>
      <c r="EY251" s="90">
        <f>ROUND(EX251*IFERROR(VLOOKUP($DG251,'3121% SY'!$A$2:$M$324,13,FALSE),0),3)</f>
        <v>0</v>
      </c>
      <c r="EZ251" s="90">
        <f t="shared" si="69"/>
        <v>0</v>
      </c>
      <c r="FA251" s="90">
        <f>ROUND(EZ251*IFERROR(VLOOKUP($DG251,'3121% SY'!$A$2:$M$324,13,FALSE),0),3)</f>
        <v>0</v>
      </c>
    </row>
    <row r="252" spans="1:157" x14ac:dyDescent="0.25">
      <c r="A252" s="88" t="s">
        <v>248</v>
      </c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>
        <v>0.15</v>
      </c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>
        <v>0.127</v>
      </c>
      <c r="AE252" s="90">
        <v>7.2999999999999995E-2</v>
      </c>
      <c r="AF252" s="90">
        <v>3.5000000000000003E-2</v>
      </c>
      <c r="AG252" s="90"/>
      <c r="AH252" s="90"/>
      <c r="AI252" s="90"/>
      <c r="AJ252" s="90"/>
      <c r="AK252" s="90"/>
      <c r="AL252" s="90"/>
      <c r="AM252" s="90"/>
      <c r="AN252" s="90"/>
      <c r="AO252" s="90"/>
      <c r="AR252" s="90">
        <f t="shared" si="63"/>
        <v>0.38500000000000001</v>
      </c>
      <c r="AS252" s="90">
        <f>SUM($B252:M252)</f>
        <v>0</v>
      </c>
      <c r="AT252" s="89"/>
      <c r="CL252" s="90">
        <f t="shared" si="64"/>
        <v>0</v>
      </c>
      <c r="CM252" s="90">
        <f t="shared" si="65"/>
        <v>0</v>
      </c>
      <c r="CN252" s="89"/>
      <c r="DD252" s="90">
        <f t="shared" si="66"/>
        <v>0</v>
      </c>
      <c r="DE252" s="90">
        <f t="shared" si="67"/>
        <v>0</v>
      </c>
      <c r="DF252" s="89"/>
      <c r="EX252" s="90">
        <f t="shared" si="68"/>
        <v>0</v>
      </c>
      <c r="EY252" s="90">
        <f>ROUND(EX252*IFERROR(VLOOKUP($DG252,'3121% SY'!$A$2:$M$324,13,FALSE),0),3)</f>
        <v>0</v>
      </c>
      <c r="EZ252" s="90">
        <f t="shared" si="69"/>
        <v>0</v>
      </c>
      <c r="FA252" s="90">
        <f>ROUND(EZ252*IFERROR(VLOOKUP($DG252,'3121% SY'!$A$2:$M$324,13,FALSE),0),3)</f>
        <v>0</v>
      </c>
    </row>
    <row r="253" spans="1:157" x14ac:dyDescent="0.25">
      <c r="A253" s="88" t="s">
        <v>249</v>
      </c>
      <c r="B253" s="90"/>
      <c r="C253" s="90"/>
      <c r="D253" s="90"/>
      <c r="E253" s="90"/>
      <c r="F253" s="90"/>
      <c r="G253" s="90"/>
      <c r="H253" s="90"/>
      <c r="I253" s="90">
        <v>0.38700000000000001</v>
      </c>
      <c r="J253" s="90"/>
      <c r="K253" s="90"/>
      <c r="L253" s="90"/>
      <c r="M253" s="90"/>
      <c r="N253" s="90"/>
      <c r="O253" s="90"/>
      <c r="P253" s="90">
        <v>0.42299999999999999</v>
      </c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R253" s="90">
        <f t="shared" si="63"/>
        <v>0.42299999999999999</v>
      </c>
      <c r="AS253" s="90">
        <f>SUM($B253:M253)</f>
        <v>0.38700000000000001</v>
      </c>
      <c r="AT253" s="89"/>
      <c r="CL253" s="90">
        <f t="shared" si="64"/>
        <v>0</v>
      </c>
      <c r="CM253" s="90">
        <f t="shared" si="65"/>
        <v>0</v>
      </c>
      <c r="CN253" s="89"/>
      <c r="DD253" s="90">
        <f t="shared" si="66"/>
        <v>0</v>
      </c>
      <c r="DE253" s="90">
        <f t="shared" si="67"/>
        <v>0</v>
      </c>
      <c r="DF253" s="89"/>
      <c r="EX253" s="90">
        <f t="shared" si="68"/>
        <v>0</v>
      </c>
      <c r="EY253" s="90">
        <f>ROUND(EX253*IFERROR(VLOOKUP($DG253,'3121% SY'!$A$2:$M$324,13,FALSE),0),3)</f>
        <v>0</v>
      </c>
      <c r="EZ253" s="90">
        <f t="shared" si="69"/>
        <v>0</v>
      </c>
      <c r="FA253" s="90">
        <f>ROUND(EZ253*IFERROR(VLOOKUP($DG253,'3121% SY'!$A$2:$M$324,13,FALSE),0),3)</f>
        <v>0</v>
      </c>
    </row>
    <row r="254" spans="1:157" x14ac:dyDescent="0.25">
      <c r="A254" s="88" t="s">
        <v>250</v>
      </c>
      <c r="B254" s="90"/>
      <c r="C254" s="90"/>
      <c r="D254" s="90"/>
      <c r="E254" s="90"/>
      <c r="F254" s="90"/>
      <c r="G254" s="90"/>
      <c r="H254" s="90">
        <v>0.224</v>
      </c>
      <c r="I254" s="90">
        <v>3.2000000000000001E-2</v>
      </c>
      <c r="J254" s="90">
        <v>3.2000000000000001E-2</v>
      </c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R254" s="90">
        <f t="shared" si="63"/>
        <v>0</v>
      </c>
      <c r="AS254" s="90">
        <f>SUM($B254:M254)</f>
        <v>0.28800000000000003</v>
      </c>
      <c r="AT254" s="89"/>
      <c r="CL254" s="90">
        <f t="shared" si="64"/>
        <v>0</v>
      </c>
      <c r="CM254" s="90">
        <f t="shared" si="65"/>
        <v>0</v>
      </c>
      <c r="CN254" s="89"/>
      <c r="DD254" s="90">
        <f t="shared" si="66"/>
        <v>0</v>
      </c>
      <c r="DE254" s="90">
        <f t="shared" si="67"/>
        <v>0</v>
      </c>
      <c r="DF254" s="89"/>
      <c r="EX254" s="90">
        <f t="shared" si="68"/>
        <v>0</v>
      </c>
      <c r="EY254" s="90">
        <f>ROUND(EX254*IFERROR(VLOOKUP($DG254,'3121% SY'!$A$2:$M$324,13,FALSE),0),3)</f>
        <v>0</v>
      </c>
      <c r="EZ254" s="90">
        <f t="shared" si="69"/>
        <v>0</v>
      </c>
      <c r="FA254" s="90">
        <f>ROUND(EZ254*IFERROR(VLOOKUP($DG254,'3121% SY'!$A$2:$M$324,13,FALSE),0),3)</f>
        <v>0</v>
      </c>
    </row>
    <row r="255" spans="1:157" x14ac:dyDescent="0.25">
      <c r="A255" s="88" t="s">
        <v>251</v>
      </c>
      <c r="B255" s="90"/>
      <c r="C255" s="90"/>
      <c r="D255" s="90"/>
      <c r="E255" s="90"/>
      <c r="F255" s="90"/>
      <c r="G255" s="90"/>
      <c r="H255" s="90"/>
      <c r="I255" s="90">
        <v>0.72099999999999997</v>
      </c>
      <c r="J255" s="90"/>
      <c r="K255" s="90"/>
      <c r="L255" s="90">
        <v>1.538</v>
      </c>
      <c r="M255" s="90"/>
      <c r="N255" s="90"/>
      <c r="O255" s="90">
        <v>1.5</v>
      </c>
      <c r="P255" s="90">
        <v>1</v>
      </c>
      <c r="Q255" s="90">
        <v>0.5</v>
      </c>
      <c r="R255" s="90"/>
      <c r="S255" s="90"/>
      <c r="T255" s="90"/>
      <c r="U255" s="90"/>
      <c r="V255" s="90"/>
      <c r="W255" s="90"/>
      <c r="X255" s="90"/>
      <c r="Y255" s="90"/>
      <c r="Z255" s="90"/>
      <c r="AA255" s="90">
        <v>0.77700000000000002</v>
      </c>
      <c r="AB255" s="90"/>
      <c r="AC255" s="90">
        <v>0.223</v>
      </c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R255" s="90">
        <f t="shared" si="63"/>
        <v>4</v>
      </c>
      <c r="AS255" s="90">
        <f>SUM($B255:M255)</f>
        <v>2.2589999999999999</v>
      </c>
      <c r="AT255" s="89"/>
      <c r="CL255" s="90">
        <f t="shared" si="64"/>
        <v>0</v>
      </c>
      <c r="CM255" s="90">
        <f t="shared" si="65"/>
        <v>0</v>
      </c>
      <c r="CN255" s="89"/>
      <c r="DD255" s="90">
        <f t="shared" si="66"/>
        <v>0</v>
      </c>
      <c r="DE255" s="90">
        <f t="shared" si="67"/>
        <v>0</v>
      </c>
      <c r="DF255" s="89"/>
      <c r="EX255" s="90">
        <f t="shared" si="68"/>
        <v>0</v>
      </c>
      <c r="EY255" s="90">
        <f>ROUND(EX255*IFERROR(VLOOKUP($DG255,'3121% SY'!$A$2:$M$324,13,FALSE),0),3)</f>
        <v>0</v>
      </c>
      <c r="EZ255" s="90">
        <f t="shared" si="69"/>
        <v>0</v>
      </c>
      <c r="FA255" s="90">
        <f>ROUND(EZ255*IFERROR(VLOOKUP($DG255,'3121% SY'!$A$2:$M$324,13,FALSE),0),3)</f>
        <v>0</v>
      </c>
    </row>
    <row r="256" spans="1:157" x14ac:dyDescent="0.25">
      <c r="A256" s="88" t="s">
        <v>252</v>
      </c>
      <c r="B256" s="90"/>
      <c r="C256" s="90"/>
      <c r="D256" s="90"/>
      <c r="E256" s="90"/>
      <c r="F256" s="90">
        <v>5.9569999999999999</v>
      </c>
      <c r="G256" s="90"/>
      <c r="H256" s="90"/>
      <c r="I256" s="90">
        <v>4.758</v>
      </c>
      <c r="J256" s="90"/>
      <c r="K256" s="90"/>
      <c r="L256" s="90">
        <v>2.1930000000000001</v>
      </c>
      <c r="M256" s="90"/>
      <c r="N256" s="90"/>
      <c r="O256" s="90">
        <v>3.29</v>
      </c>
      <c r="P256" s="90">
        <v>4</v>
      </c>
      <c r="Q256" s="90">
        <v>3</v>
      </c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>
        <v>1.9379999999999999</v>
      </c>
      <c r="AE256" s="90">
        <v>1.508</v>
      </c>
      <c r="AF256" s="90">
        <v>0.55400000000000005</v>
      </c>
      <c r="AG256" s="90"/>
      <c r="AH256" s="90"/>
      <c r="AI256" s="90"/>
      <c r="AJ256" s="90"/>
      <c r="AK256" s="90"/>
      <c r="AL256" s="90"/>
      <c r="AM256" s="90"/>
      <c r="AN256" s="90"/>
      <c r="AO256" s="90"/>
      <c r="AR256" s="90">
        <f t="shared" ref="AR256:AR319" si="70">SUM(N256:AQ256)</f>
        <v>14.290000000000001</v>
      </c>
      <c r="AS256" s="90">
        <f>SUM($B256:M256)</f>
        <v>12.907999999999999</v>
      </c>
      <c r="AT256" s="89"/>
      <c r="CN256" s="89"/>
      <c r="DF256" s="89"/>
    </row>
    <row r="257" spans="1:110" x14ac:dyDescent="0.25">
      <c r="A257" s="88" t="s">
        <v>253</v>
      </c>
      <c r="B257" s="90"/>
      <c r="C257" s="90"/>
      <c r="D257" s="90"/>
      <c r="E257" s="90"/>
      <c r="F257" s="90">
        <v>24.23</v>
      </c>
      <c r="G257" s="90"/>
      <c r="H257" s="90"/>
      <c r="I257" s="90">
        <v>14.686999999999999</v>
      </c>
      <c r="J257" s="90"/>
      <c r="K257" s="90"/>
      <c r="L257" s="90">
        <v>2.5449999999999999</v>
      </c>
      <c r="M257" s="90"/>
      <c r="N257" s="90"/>
      <c r="O257" s="90">
        <v>16.132999999999999</v>
      </c>
      <c r="P257" s="90">
        <v>12</v>
      </c>
      <c r="Q257" s="90">
        <v>5.4020000000000001</v>
      </c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>
        <v>11.327999999999999</v>
      </c>
      <c r="AE257" s="90">
        <v>6.2</v>
      </c>
      <c r="AF257" s="90">
        <v>3.472</v>
      </c>
      <c r="AG257" s="90"/>
      <c r="AH257" s="90"/>
      <c r="AI257" s="90"/>
      <c r="AJ257" s="90"/>
      <c r="AK257" s="90"/>
      <c r="AL257" s="90"/>
      <c r="AM257" s="90"/>
      <c r="AN257" s="90"/>
      <c r="AO257" s="90"/>
      <c r="AR257" s="90">
        <f t="shared" si="70"/>
        <v>54.535000000000004</v>
      </c>
      <c r="AS257" s="90">
        <f>SUM($B257:M257)</f>
        <v>41.462000000000003</v>
      </c>
      <c r="AT257" s="89"/>
      <c r="CN257" s="89"/>
      <c r="DF257" s="89"/>
    </row>
    <row r="258" spans="1:110" x14ac:dyDescent="0.25">
      <c r="A258" s="88" t="s">
        <v>254</v>
      </c>
      <c r="B258" s="90"/>
      <c r="C258" s="90"/>
      <c r="D258" s="90"/>
      <c r="E258" s="90">
        <v>4.1340000000000003</v>
      </c>
      <c r="F258" s="90">
        <v>5.39</v>
      </c>
      <c r="G258" s="90">
        <v>1.2330000000000001</v>
      </c>
      <c r="H258" s="90">
        <v>3.5550000000000002</v>
      </c>
      <c r="I258" s="90">
        <v>1.476</v>
      </c>
      <c r="J258" s="90">
        <v>1.292</v>
      </c>
      <c r="K258" s="90"/>
      <c r="L258" s="90"/>
      <c r="M258" s="90"/>
      <c r="N258" s="90"/>
      <c r="O258" s="90">
        <v>8.1660000000000004</v>
      </c>
      <c r="P258" s="90">
        <v>6.2</v>
      </c>
      <c r="Q258" s="90">
        <v>3.3340000000000001</v>
      </c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>
        <v>3.2639999999999998</v>
      </c>
      <c r="AE258" s="90">
        <v>0.8</v>
      </c>
      <c r="AF258" s="90">
        <v>0.93600000000000005</v>
      </c>
      <c r="AG258" s="90"/>
      <c r="AH258" s="90"/>
      <c r="AI258" s="90"/>
      <c r="AJ258" s="90"/>
      <c r="AK258" s="90"/>
      <c r="AL258" s="90"/>
      <c r="AM258" s="90"/>
      <c r="AN258" s="90"/>
      <c r="AO258" s="90"/>
      <c r="AR258" s="90">
        <f t="shared" si="70"/>
        <v>22.7</v>
      </c>
      <c r="AS258" s="90">
        <f>SUM($B258:M258)</f>
        <v>17.080000000000002</v>
      </c>
      <c r="AT258" s="89"/>
      <c r="CN258" s="89"/>
      <c r="DF258" s="89"/>
    </row>
    <row r="259" spans="1:110" x14ac:dyDescent="0.25">
      <c r="A259" s="88" t="s">
        <v>255</v>
      </c>
      <c r="B259" s="90"/>
      <c r="C259" s="90">
        <v>2.37</v>
      </c>
      <c r="D259" s="90"/>
      <c r="E259" s="90">
        <v>0.27100000000000002</v>
      </c>
      <c r="F259" s="90">
        <v>1.8720000000000001</v>
      </c>
      <c r="G259" s="90">
        <v>0.55200000000000005</v>
      </c>
      <c r="H259" s="90">
        <v>4.2060000000000004</v>
      </c>
      <c r="I259" s="90">
        <v>2.4159999999999999</v>
      </c>
      <c r="J259" s="90">
        <v>0.36699999999999999</v>
      </c>
      <c r="K259" s="90"/>
      <c r="L259" s="90">
        <v>1.0389999999999999</v>
      </c>
      <c r="M259" s="90"/>
      <c r="N259" s="90"/>
      <c r="O259" s="90">
        <v>1.667</v>
      </c>
      <c r="P259" s="90">
        <v>6.9</v>
      </c>
      <c r="Q259" s="90">
        <v>3.629</v>
      </c>
      <c r="R259" s="90"/>
      <c r="S259" s="90"/>
      <c r="T259" s="90"/>
      <c r="U259" s="90">
        <v>7.8</v>
      </c>
      <c r="V259" s="90">
        <v>2.4</v>
      </c>
      <c r="W259" s="90">
        <v>1.4</v>
      </c>
      <c r="X259" s="90"/>
      <c r="Y259" s="90"/>
      <c r="Z259" s="90"/>
      <c r="AA259" s="90">
        <v>0.1</v>
      </c>
      <c r="AB259" s="90"/>
      <c r="AC259" s="90"/>
      <c r="AD259" s="90">
        <v>3.3679999999999999</v>
      </c>
      <c r="AE259" s="90">
        <v>1.9</v>
      </c>
      <c r="AF259" s="90">
        <v>0.93300000000000005</v>
      </c>
      <c r="AG259" s="90"/>
      <c r="AH259" s="90"/>
      <c r="AI259" s="90"/>
      <c r="AJ259" s="90"/>
      <c r="AK259" s="90"/>
      <c r="AL259" s="90"/>
      <c r="AM259" s="90"/>
      <c r="AN259" s="90"/>
      <c r="AO259" s="90"/>
      <c r="AR259" s="90">
        <f t="shared" si="70"/>
        <v>30.096999999999994</v>
      </c>
      <c r="AS259" s="90">
        <f>SUM($B259:M259)</f>
        <v>13.093000000000002</v>
      </c>
      <c r="AT259" s="89"/>
      <c r="CN259" s="89"/>
      <c r="DF259" s="89"/>
    </row>
    <row r="260" spans="1:110" x14ac:dyDescent="0.25">
      <c r="A260" s="88" t="s">
        <v>256</v>
      </c>
      <c r="B260" s="90"/>
      <c r="C260" s="90"/>
      <c r="D260" s="90"/>
      <c r="E260" s="90">
        <v>1.1020000000000001</v>
      </c>
      <c r="F260" s="90">
        <v>4.4999999999999998E-2</v>
      </c>
      <c r="G260" s="90">
        <v>0.13900000000000001</v>
      </c>
      <c r="H260" s="90"/>
      <c r="I260" s="90"/>
      <c r="J260" s="90"/>
      <c r="K260" s="90"/>
      <c r="L260" s="90"/>
      <c r="M260" s="90"/>
      <c r="N260" s="90"/>
      <c r="O260" s="90">
        <v>0.5</v>
      </c>
      <c r="P260" s="90">
        <v>1</v>
      </c>
      <c r="Q260" s="90">
        <v>0.5</v>
      </c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>
        <v>1</v>
      </c>
      <c r="AK260" s="90"/>
      <c r="AL260" s="90">
        <v>0.6</v>
      </c>
      <c r="AM260" s="90"/>
      <c r="AN260" s="90"/>
      <c r="AO260" s="90"/>
      <c r="AR260" s="90">
        <f t="shared" si="70"/>
        <v>3.6</v>
      </c>
      <c r="AS260" s="90">
        <f>SUM($B260:M260)</f>
        <v>1.286</v>
      </c>
      <c r="AT260" s="89"/>
      <c r="CN260" s="89"/>
      <c r="DF260" s="89"/>
    </row>
    <row r="261" spans="1:110" x14ac:dyDescent="0.25">
      <c r="A261" s="88" t="s">
        <v>257</v>
      </c>
      <c r="B261" s="90"/>
      <c r="C261" s="90"/>
      <c r="D261" s="90"/>
      <c r="E261" s="90"/>
      <c r="F261" s="90">
        <v>1.7230000000000001</v>
      </c>
      <c r="G261" s="90"/>
      <c r="H261" s="90">
        <v>0.32400000000000001</v>
      </c>
      <c r="I261" s="90"/>
      <c r="J261" s="90">
        <v>0.182</v>
      </c>
      <c r="K261" s="90"/>
      <c r="L261" s="90"/>
      <c r="M261" s="90"/>
      <c r="N261" s="90"/>
      <c r="O261" s="90">
        <v>0.8</v>
      </c>
      <c r="P261" s="90"/>
      <c r="Q261" s="90">
        <v>1</v>
      </c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R261" s="90">
        <f t="shared" si="70"/>
        <v>1.8</v>
      </c>
      <c r="AS261" s="90">
        <f>SUM($B261:M261)</f>
        <v>2.2290000000000001</v>
      </c>
      <c r="AT261" s="89"/>
      <c r="CN261" s="89"/>
      <c r="DF261" s="89"/>
    </row>
    <row r="262" spans="1:110" x14ac:dyDescent="0.25">
      <c r="A262" s="88" t="s">
        <v>258</v>
      </c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>
        <v>2.3330000000000002</v>
      </c>
      <c r="P262" s="90">
        <v>2</v>
      </c>
      <c r="Q262" s="90">
        <v>0.66700000000000004</v>
      </c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90"/>
      <c r="AM262" s="90"/>
      <c r="AN262" s="90"/>
      <c r="AO262" s="90"/>
      <c r="AR262" s="90">
        <f t="shared" si="70"/>
        <v>5</v>
      </c>
      <c r="AS262" s="90">
        <f>SUM($B262:M262)</f>
        <v>0</v>
      </c>
      <c r="AT262" s="89"/>
      <c r="CN262" s="89"/>
      <c r="DF262" s="89"/>
    </row>
    <row r="263" spans="1:110" x14ac:dyDescent="0.25">
      <c r="A263" s="88" t="s">
        <v>259</v>
      </c>
      <c r="B263" s="90"/>
      <c r="C263" s="90"/>
      <c r="D263" s="90"/>
      <c r="E263" s="90"/>
      <c r="F263" s="90"/>
      <c r="G263" s="90"/>
      <c r="H263" s="90">
        <v>0.75</v>
      </c>
      <c r="I263" s="90">
        <v>0.375</v>
      </c>
      <c r="J263" s="90">
        <v>0.375</v>
      </c>
      <c r="K263" s="90"/>
      <c r="L263" s="90"/>
      <c r="M263" s="90"/>
      <c r="N263" s="90"/>
      <c r="O263" s="90">
        <v>1.8</v>
      </c>
      <c r="P263" s="90">
        <v>0.75</v>
      </c>
      <c r="Q263" s="90">
        <v>0.6</v>
      </c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R263" s="90">
        <f t="shared" si="70"/>
        <v>3.15</v>
      </c>
      <c r="AS263" s="90">
        <f>SUM($B263:M263)</f>
        <v>1.5</v>
      </c>
      <c r="AT263" s="89"/>
      <c r="CN263" s="89"/>
      <c r="DF263" s="89"/>
    </row>
    <row r="264" spans="1:110" x14ac:dyDescent="0.25">
      <c r="A264" s="88" t="s">
        <v>617</v>
      </c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>
        <v>0.67</v>
      </c>
      <c r="P264" s="90"/>
      <c r="Q264" s="90">
        <v>0.33</v>
      </c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R264" s="90">
        <f t="shared" si="70"/>
        <v>1</v>
      </c>
      <c r="AS264" s="90">
        <f>SUM($B264:M264)</f>
        <v>0</v>
      </c>
      <c r="AT264" s="89"/>
      <c r="CN264" s="89"/>
      <c r="DF264" s="89"/>
    </row>
    <row r="265" spans="1:110" x14ac:dyDescent="0.25">
      <c r="A265" s="88" t="s">
        <v>260</v>
      </c>
      <c r="B265" s="90"/>
      <c r="C265" s="90"/>
      <c r="D265" s="90"/>
      <c r="E265" s="90">
        <v>0.93700000000000006</v>
      </c>
      <c r="F265" s="90"/>
      <c r="G265" s="90">
        <v>0.17699999999999999</v>
      </c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R265" s="90">
        <f t="shared" si="70"/>
        <v>0</v>
      </c>
      <c r="AS265" s="90">
        <f>SUM($B265:M265)</f>
        <v>1.1140000000000001</v>
      </c>
      <c r="AT265" s="89"/>
      <c r="CN265" s="89"/>
      <c r="DF265" s="89"/>
    </row>
    <row r="266" spans="1:110" x14ac:dyDescent="0.25">
      <c r="A266" s="88" t="s">
        <v>262</v>
      </c>
      <c r="B266" s="90"/>
      <c r="C266" s="90"/>
      <c r="D266" s="90"/>
      <c r="E266" s="90"/>
      <c r="F266" s="90"/>
      <c r="G266" s="90"/>
      <c r="H266" s="90">
        <v>0.13100000000000001</v>
      </c>
      <c r="I266" s="90">
        <v>3.8679999999999999</v>
      </c>
      <c r="J266" s="90">
        <v>0.373</v>
      </c>
      <c r="K266" s="90">
        <v>0.48399999999999999</v>
      </c>
      <c r="L266" s="90">
        <v>2.181</v>
      </c>
      <c r="M266" s="90">
        <v>0.97</v>
      </c>
      <c r="N266" s="90"/>
      <c r="O266" s="90">
        <v>5.82</v>
      </c>
      <c r="P266" s="90">
        <v>5</v>
      </c>
      <c r="Q266" s="90">
        <v>2.68</v>
      </c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>
        <v>1.091</v>
      </c>
      <c r="AE266" s="90">
        <v>0.84099999999999997</v>
      </c>
      <c r="AF266" s="90">
        <v>0.436</v>
      </c>
      <c r="AG266" s="90"/>
      <c r="AH266" s="90"/>
      <c r="AI266" s="90"/>
      <c r="AJ266" s="90"/>
      <c r="AK266" s="90"/>
      <c r="AL266" s="90"/>
      <c r="AM266" s="90"/>
      <c r="AN266" s="90"/>
      <c r="AO266" s="90"/>
      <c r="AR266" s="90">
        <f t="shared" si="70"/>
        <v>15.867999999999999</v>
      </c>
      <c r="AS266" s="90">
        <f>SUM($B266:M266)</f>
        <v>8.0069999999999997</v>
      </c>
      <c r="AT266" s="89"/>
      <c r="CN266" s="89"/>
      <c r="DF266" s="89"/>
    </row>
    <row r="267" spans="1:110" x14ac:dyDescent="0.25">
      <c r="A267" s="88" t="s">
        <v>263</v>
      </c>
      <c r="B267" s="90"/>
      <c r="C267" s="90"/>
      <c r="D267" s="90"/>
      <c r="E267" s="90">
        <v>0.437</v>
      </c>
      <c r="F267" s="90"/>
      <c r="G267" s="90">
        <v>0.23</v>
      </c>
      <c r="H267" s="90">
        <v>0.70299999999999996</v>
      </c>
      <c r="I267" s="90">
        <v>1.7030000000000001</v>
      </c>
      <c r="J267" s="90">
        <v>0.70299999999999996</v>
      </c>
      <c r="K267" s="90"/>
      <c r="L267" s="90"/>
      <c r="M267" s="90"/>
      <c r="N267" s="90"/>
      <c r="O267" s="90">
        <v>3</v>
      </c>
      <c r="P267" s="90">
        <v>0.86</v>
      </c>
      <c r="Q267" s="90"/>
      <c r="R267" s="90"/>
      <c r="S267" s="90"/>
      <c r="T267" s="90"/>
      <c r="U267" s="90">
        <v>0.5</v>
      </c>
      <c r="V267" s="90">
        <v>0.25</v>
      </c>
      <c r="W267" s="90">
        <v>0.25</v>
      </c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R267" s="90">
        <f t="shared" si="70"/>
        <v>4.8599999999999994</v>
      </c>
      <c r="AS267" s="90">
        <f>SUM($B267:M267)</f>
        <v>3.7760000000000002</v>
      </c>
      <c r="AT267" s="89"/>
      <c r="CN267" s="89"/>
      <c r="DF267" s="89"/>
    </row>
    <row r="268" spans="1:110" x14ac:dyDescent="0.25">
      <c r="A268" s="88" t="s">
        <v>264</v>
      </c>
      <c r="B268" s="90"/>
      <c r="C268" s="90"/>
      <c r="D268" s="90"/>
      <c r="E268" s="90"/>
      <c r="F268" s="90"/>
      <c r="G268" s="90"/>
      <c r="H268" s="90">
        <v>0.25</v>
      </c>
      <c r="I268" s="90"/>
      <c r="J268" s="90"/>
      <c r="K268" s="90"/>
      <c r="L268" s="90"/>
      <c r="M268" s="90"/>
      <c r="N268" s="90"/>
      <c r="O268" s="90"/>
      <c r="P268" s="90">
        <v>0.6</v>
      </c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90"/>
      <c r="AM268" s="90"/>
      <c r="AN268" s="90"/>
      <c r="AO268" s="90"/>
      <c r="AR268" s="90">
        <f t="shared" si="70"/>
        <v>0.6</v>
      </c>
      <c r="AS268" s="90">
        <f>SUM($B268:M268)</f>
        <v>0.25</v>
      </c>
      <c r="AT268" s="89"/>
      <c r="CN268" s="89"/>
      <c r="DF268" s="89"/>
    </row>
    <row r="269" spans="1:110" x14ac:dyDescent="0.25">
      <c r="A269" s="88" t="s">
        <v>265</v>
      </c>
      <c r="B269" s="90"/>
      <c r="C269" s="90"/>
      <c r="D269" s="90"/>
      <c r="E269" s="90"/>
      <c r="F269" s="90"/>
      <c r="G269" s="90"/>
      <c r="H269" s="90"/>
      <c r="I269" s="90">
        <v>0.36499999999999999</v>
      </c>
      <c r="J269" s="90">
        <v>0.36499999999999999</v>
      </c>
      <c r="K269" s="90"/>
      <c r="L269" s="90"/>
      <c r="M269" s="90"/>
      <c r="N269" s="90"/>
      <c r="O269" s="90"/>
      <c r="P269" s="90">
        <v>1</v>
      </c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>
        <v>0.25</v>
      </c>
      <c r="AB269" s="90">
        <v>0.125</v>
      </c>
      <c r="AC269" s="90">
        <v>0.125</v>
      </c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R269" s="90">
        <f t="shared" si="70"/>
        <v>1.5</v>
      </c>
      <c r="AS269" s="90">
        <f>SUM($B269:M269)</f>
        <v>0.73</v>
      </c>
      <c r="AT269" s="89"/>
      <c r="CN269" s="89"/>
      <c r="DF269" s="89"/>
    </row>
    <row r="270" spans="1:110" x14ac:dyDescent="0.25">
      <c r="A270" s="88" t="s">
        <v>266</v>
      </c>
      <c r="B270" s="90">
        <v>0.23599999999999999</v>
      </c>
      <c r="C270" s="90">
        <v>0.23599999999999999</v>
      </c>
      <c r="D270" s="90">
        <v>0.23599999999999999</v>
      </c>
      <c r="E270" s="90"/>
      <c r="F270" s="90">
        <v>0.40799999999999997</v>
      </c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R270" s="90">
        <f t="shared" si="70"/>
        <v>0</v>
      </c>
      <c r="AS270" s="90">
        <f>SUM($B270:M270)</f>
        <v>1.1159999999999999</v>
      </c>
      <c r="AT270" s="89"/>
      <c r="CN270" s="89"/>
      <c r="DF270" s="89"/>
    </row>
    <row r="271" spans="1:110" x14ac:dyDescent="0.25">
      <c r="A271" s="88" t="s">
        <v>267</v>
      </c>
      <c r="B271" s="90"/>
      <c r="C271" s="90"/>
      <c r="D271" s="90"/>
      <c r="E271" s="90"/>
      <c r="F271" s="90"/>
      <c r="G271" s="90"/>
      <c r="H271" s="90">
        <v>1.2999999999999999E-2</v>
      </c>
      <c r="I271" s="90"/>
      <c r="J271" s="90"/>
      <c r="K271" s="90"/>
      <c r="L271" s="90"/>
      <c r="M271" s="90"/>
      <c r="N271" s="90"/>
      <c r="O271" s="90">
        <v>0.05</v>
      </c>
      <c r="P271" s="90">
        <v>0.18</v>
      </c>
      <c r="Q271" s="90">
        <v>0.17</v>
      </c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R271" s="90">
        <f t="shared" si="70"/>
        <v>0.4</v>
      </c>
      <c r="AS271" s="90">
        <f>SUM($B271:M271)</f>
        <v>1.2999999999999999E-2</v>
      </c>
      <c r="AT271" s="89"/>
      <c r="CN271" s="89"/>
      <c r="DF271" s="89"/>
    </row>
    <row r="272" spans="1:110" x14ac:dyDescent="0.25">
      <c r="A272" s="88" t="s">
        <v>268</v>
      </c>
      <c r="B272" s="90"/>
      <c r="C272" s="90">
        <v>3.06</v>
      </c>
      <c r="D272" s="90"/>
      <c r="E272" s="90"/>
      <c r="F272" s="90">
        <v>18.640999999999998</v>
      </c>
      <c r="G272" s="90"/>
      <c r="H272" s="90"/>
      <c r="I272" s="90">
        <v>5.1449999999999996</v>
      </c>
      <c r="J272" s="90"/>
      <c r="K272" s="90"/>
      <c r="L272" s="90"/>
      <c r="M272" s="90"/>
      <c r="N272" s="90"/>
      <c r="O272" s="90">
        <v>5.6</v>
      </c>
      <c r="P272" s="90">
        <v>8.94</v>
      </c>
      <c r="Q272" s="90">
        <v>5.42</v>
      </c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>
        <v>4.8310000000000004</v>
      </c>
      <c r="AE272" s="90">
        <v>1.667</v>
      </c>
      <c r="AF272" s="90">
        <v>1.502</v>
      </c>
      <c r="AG272" s="90"/>
      <c r="AH272" s="90"/>
      <c r="AI272" s="90"/>
      <c r="AJ272" s="90"/>
      <c r="AK272" s="90"/>
      <c r="AL272" s="90"/>
      <c r="AM272" s="90"/>
      <c r="AN272" s="90"/>
      <c r="AO272" s="90"/>
      <c r="AR272" s="90">
        <f t="shared" si="70"/>
        <v>27.96</v>
      </c>
      <c r="AS272" s="90">
        <f>SUM($B272:M272)</f>
        <v>26.845999999999997</v>
      </c>
      <c r="AT272" s="89"/>
      <c r="CN272" s="89"/>
      <c r="DF272" s="89"/>
    </row>
    <row r="273" spans="1:110" x14ac:dyDescent="0.25">
      <c r="A273" s="88" t="s">
        <v>269</v>
      </c>
      <c r="B273" s="90"/>
      <c r="C273" s="90">
        <v>3.42</v>
      </c>
      <c r="D273" s="90"/>
      <c r="E273" s="90"/>
      <c r="F273" s="90">
        <v>6.0730000000000004</v>
      </c>
      <c r="G273" s="90"/>
      <c r="H273" s="90"/>
      <c r="I273" s="90">
        <v>2.2370000000000001</v>
      </c>
      <c r="J273" s="90"/>
      <c r="K273" s="90"/>
      <c r="L273" s="90"/>
      <c r="M273" s="90"/>
      <c r="N273" s="90"/>
      <c r="O273" s="90"/>
      <c r="P273" s="90">
        <v>3</v>
      </c>
      <c r="Q273" s="90">
        <v>2</v>
      </c>
      <c r="R273" s="90"/>
      <c r="S273" s="90"/>
      <c r="T273" s="90"/>
      <c r="U273" s="90"/>
      <c r="V273" s="90"/>
      <c r="W273" s="90"/>
      <c r="X273" s="90"/>
      <c r="Y273" s="90"/>
      <c r="Z273" s="90">
        <v>0.05</v>
      </c>
      <c r="AA273" s="90"/>
      <c r="AB273" s="90"/>
      <c r="AC273" s="90"/>
      <c r="AD273" s="90">
        <v>1.5</v>
      </c>
      <c r="AE273" s="90"/>
      <c r="AF273" s="90">
        <v>1.8</v>
      </c>
      <c r="AG273" s="90"/>
      <c r="AH273" s="90"/>
      <c r="AI273" s="90"/>
      <c r="AJ273" s="90"/>
      <c r="AK273" s="90"/>
      <c r="AL273" s="90"/>
      <c r="AM273" s="90"/>
      <c r="AN273" s="90"/>
      <c r="AO273" s="90"/>
      <c r="AR273" s="90">
        <f t="shared" si="70"/>
        <v>8.35</v>
      </c>
      <c r="AS273" s="90">
        <f>SUM($B273:M273)</f>
        <v>11.73</v>
      </c>
      <c r="AT273" s="89"/>
      <c r="CN273" s="89"/>
      <c r="DF273" s="89"/>
    </row>
    <row r="274" spans="1:110" x14ac:dyDescent="0.25">
      <c r="A274" s="88" t="s">
        <v>270</v>
      </c>
      <c r="B274" s="90"/>
      <c r="C274" s="90"/>
      <c r="D274" s="90"/>
      <c r="E274" s="90">
        <v>0.23200000000000001</v>
      </c>
      <c r="F274" s="90">
        <v>1.6240000000000001</v>
      </c>
      <c r="G274" s="90"/>
      <c r="H274" s="90">
        <v>0.27800000000000002</v>
      </c>
      <c r="I274" s="90">
        <v>0.55700000000000005</v>
      </c>
      <c r="J274" s="90">
        <v>0.27800000000000002</v>
      </c>
      <c r="K274" s="90"/>
      <c r="L274" s="90"/>
      <c r="M274" s="90"/>
      <c r="N274" s="90"/>
      <c r="O274" s="90">
        <v>2.31</v>
      </c>
      <c r="P274" s="90">
        <v>1.94</v>
      </c>
      <c r="Q274" s="90">
        <v>0.69</v>
      </c>
      <c r="R274" s="90"/>
      <c r="S274" s="90"/>
      <c r="T274" s="90"/>
      <c r="U274" s="90">
        <v>3.5999999999999997E-2</v>
      </c>
      <c r="V274" s="90">
        <v>4.7E-2</v>
      </c>
      <c r="W274" s="90">
        <v>1.6E-2</v>
      </c>
      <c r="X274" s="90"/>
      <c r="Y274" s="90"/>
      <c r="Z274" s="90"/>
      <c r="AA274" s="90"/>
      <c r="AB274" s="90"/>
      <c r="AC274" s="90"/>
      <c r="AD274" s="90">
        <v>0.95</v>
      </c>
      <c r="AE274" s="90">
        <v>0.56999999999999995</v>
      </c>
      <c r="AF274" s="90">
        <v>0.28000000000000003</v>
      </c>
      <c r="AG274" s="90"/>
      <c r="AH274" s="90"/>
      <c r="AI274" s="90"/>
      <c r="AJ274" s="90"/>
      <c r="AK274" s="90"/>
      <c r="AL274" s="90"/>
      <c r="AM274" s="90"/>
      <c r="AN274" s="90"/>
      <c r="AO274" s="90"/>
      <c r="AR274" s="90">
        <f t="shared" si="70"/>
        <v>6.8389999999999995</v>
      </c>
      <c r="AS274" s="90">
        <f>SUM($B274:M274)</f>
        <v>2.9690000000000003</v>
      </c>
      <c r="AT274" s="89"/>
      <c r="CN274" s="89"/>
      <c r="DF274" s="89"/>
    </row>
    <row r="275" spans="1:110" x14ac:dyDescent="0.25">
      <c r="A275" s="88" t="s">
        <v>271</v>
      </c>
      <c r="B275" s="90"/>
      <c r="C275" s="90"/>
      <c r="D275" s="90"/>
      <c r="E275" s="90"/>
      <c r="F275" s="90">
        <v>4.6319999999999997</v>
      </c>
      <c r="G275" s="90"/>
      <c r="H275" s="90"/>
      <c r="I275" s="90">
        <v>2.2480000000000002</v>
      </c>
      <c r="J275" s="90"/>
      <c r="K275" s="90"/>
      <c r="L275" s="90"/>
      <c r="M275" s="90"/>
      <c r="N275" s="90"/>
      <c r="O275" s="90">
        <v>3.8</v>
      </c>
      <c r="P275" s="90">
        <v>3</v>
      </c>
      <c r="Q275" s="90">
        <v>1.2</v>
      </c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>
        <v>1</v>
      </c>
      <c r="AE275" s="90"/>
      <c r="AF275" s="90">
        <v>1</v>
      </c>
      <c r="AG275" s="90"/>
      <c r="AH275" s="90"/>
      <c r="AI275" s="90"/>
      <c r="AJ275" s="90"/>
      <c r="AK275" s="90"/>
      <c r="AL275" s="90"/>
      <c r="AM275" s="90"/>
      <c r="AN275" s="90"/>
      <c r="AO275" s="90"/>
      <c r="AR275" s="90">
        <f t="shared" si="70"/>
        <v>10</v>
      </c>
      <c r="AS275" s="90">
        <f>SUM($B275:M275)</f>
        <v>6.88</v>
      </c>
      <c r="AT275" s="89"/>
      <c r="CN275" s="89"/>
      <c r="DF275" s="89"/>
    </row>
    <row r="276" spans="1:110" x14ac:dyDescent="0.25">
      <c r="A276" s="88" t="s">
        <v>272</v>
      </c>
      <c r="B276" s="90">
        <v>0.20599999999999999</v>
      </c>
      <c r="C276" s="90">
        <v>0.90100000000000002</v>
      </c>
      <c r="D276" s="90">
        <v>0.10299999999999999</v>
      </c>
      <c r="E276" s="90">
        <v>2.9169999999999998</v>
      </c>
      <c r="F276" s="90"/>
      <c r="G276" s="90">
        <v>4.4999999999999998E-2</v>
      </c>
      <c r="H276" s="90">
        <v>0.54100000000000004</v>
      </c>
      <c r="I276" s="90"/>
      <c r="J276" s="90">
        <v>0.54100000000000004</v>
      </c>
      <c r="K276" s="90"/>
      <c r="L276" s="90"/>
      <c r="M276" s="90"/>
      <c r="N276" s="90"/>
      <c r="O276" s="90">
        <v>2.1869999999999998</v>
      </c>
      <c r="P276" s="90">
        <v>1.976</v>
      </c>
      <c r="Q276" s="90">
        <v>1.387</v>
      </c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>
        <v>1</v>
      </c>
      <c r="AE276" s="90">
        <v>0.161</v>
      </c>
      <c r="AF276" s="90">
        <v>0.13900000000000001</v>
      </c>
      <c r="AG276" s="90">
        <v>0.4</v>
      </c>
      <c r="AH276" s="90"/>
      <c r="AI276" s="90"/>
      <c r="AJ276" s="90"/>
      <c r="AK276" s="90"/>
      <c r="AL276" s="90"/>
      <c r="AM276" s="90"/>
      <c r="AN276" s="90"/>
      <c r="AO276" s="90"/>
      <c r="AR276" s="90">
        <f t="shared" si="70"/>
        <v>7.2500000000000009</v>
      </c>
      <c r="AS276" s="90">
        <f>SUM($B276:M276)</f>
        <v>5.2540000000000004</v>
      </c>
      <c r="AT276" s="89"/>
      <c r="CN276" s="89"/>
      <c r="DF276" s="89"/>
    </row>
    <row r="277" spans="1:110" x14ac:dyDescent="0.25">
      <c r="A277" s="88" t="s">
        <v>273</v>
      </c>
      <c r="B277" s="90"/>
      <c r="C277" s="90">
        <v>0.127</v>
      </c>
      <c r="D277" s="90"/>
      <c r="E277" s="90"/>
      <c r="F277" s="90"/>
      <c r="G277" s="90"/>
      <c r="H277" s="90"/>
      <c r="I277" s="90">
        <v>1.5669999999999999</v>
      </c>
      <c r="J277" s="90"/>
      <c r="K277" s="90"/>
      <c r="L277" s="90"/>
      <c r="M277" s="90"/>
      <c r="N277" s="90"/>
      <c r="O277" s="90">
        <v>2.9209999999999998</v>
      </c>
      <c r="P277" s="90">
        <v>0.79300000000000004</v>
      </c>
      <c r="Q277" s="90">
        <v>1.5</v>
      </c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R277" s="90">
        <f t="shared" si="70"/>
        <v>5.2140000000000004</v>
      </c>
      <c r="AS277" s="90">
        <f>SUM($B277:M277)</f>
        <v>1.694</v>
      </c>
      <c r="AT277" s="89"/>
      <c r="CN277" s="89"/>
      <c r="DF277" s="89"/>
    </row>
    <row r="278" spans="1:110" x14ac:dyDescent="0.25">
      <c r="A278" s="88" t="s">
        <v>274</v>
      </c>
      <c r="B278" s="90"/>
      <c r="C278" s="90">
        <v>0.68799999999999994</v>
      </c>
      <c r="D278" s="90"/>
      <c r="E278" s="90"/>
      <c r="F278" s="90"/>
      <c r="G278" s="90"/>
      <c r="H278" s="90"/>
      <c r="I278" s="90">
        <v>1.1299999999999999</v>
      </c>
      <c r="J278" s="90"/>
      <c r="K278" s="90"/>
      <c r="L278" s="90"/>
      <c r="M278" s="90"/>
      <c r="N278" s="90"/>
      <c r="O278" s="90">
        <v>2.3330000000000002</v>
      </c>
      <c r="P278" s="90">
        <v>1.75</v>
      </c>
      <c r="Q278" s="90">
        <v>1</v>
      </c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>
        <v>0.63100000000000001</v>
      </c>
      <c r="AE278" s="90">
        <v>0.378</v>
      </c>
      <c r="AF278" s="90">
        <v>0.253</v>
      </c>
      <c r="AG278" s="90"/>
      <c r="AH278" s="90"/>
      <c r="AI278" s="90"/>
      <c r="AJ278" s="90"/>
      <c r="AK278" s="90"/>
      <c r="AL278" s="90"/>
      <c r="AM278" s="90"/>
      <c r="AN278" s="90"/>
      <c r="AO278" s="90"/>
      <c r="AR278" s="90">
        <f t="shared" si="70"/>
        <v>6.3450000000000006</v>
      </c>
      <c r="AS278" s="90">
        <f>SUM($B278:M278)</f>
        <v>1.8179999999999998</v>
      </c>
      <c r="AT278" s="89"/>
      <c r="CN278" s="89"/>
      <c r="DF278" s="89"/>
    </row>
    <row r="279" spans="1:110" x14ac:dyDescent="0.25">
      <c r="A279" s="88" t="s">
        <v>275</v>
      </c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>
        <v>1</v>
      </c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R279" s="90">
        <f t="shared" si="70"/>
        <v>1</v>
      </c>
      <c r="AS279" s="90">
        <f>SUM($B279:M279)</f>
        <v>0</v>
      </c>
      <c r="AT279" s="89"/>
      <c r="CN279" s="89"/>
      <c r="DF279" s="89"/>
    </row>
    <row r="280" spans="1:110" x14ac:dyDescent="0.25">
      <c r="A280" s="88" t="s">
        <v>276</v>
      </c>
      <c r="B280" s="90"/>
      <c r="C280" s="90"/>
      <c r="D280" s="90"/>
      <c r="E280" s="90"/>
      <c r="F280" s="90"/>
      <c r="G280" s="90"/>
      <c r="H280" s="90"/>
      <c r="I280" s="90">
        <v>7.4999999999999997E-2</v>
      </c>
      <c r="J280" s="90"/>
      <c r="K280" s="90"/>
      <c r="L280" s="90"/>
      <c r="M280" s="90"/>
      <c r="N280" s="90"/>
      <c r="O280" s="90"/>
      <c r="P280" s="90">
        <v>0.45</v>
      </c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90"/>
      <c r="AM280" s="90"/>
      <c r="AN280" s="90"/>
      <c r="AO280" s="90"/>
      <c r="AR280" s="90">
        <f t="shared" si="70"/>
        <v>0.45</v>
      </c>
      <c r="AS280" s="90">
        <f>SUM($B280:M280)</f>
        <v>7.4999999999999997E-2</v>
      </c>
      <c r="AT280" s="89"/>
      <c r="CN280" s="89"/>
      <c r="DF280" s="89"/>
    </row>
    <row r="281" spans="1:110" x14ac:dyDescent="0.25">
      <c r="A281" s="88" t="s">
        <v>278</v>
      </c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>
        <v>0.5</v>
      </c>
      <c r="P281" s="90">
        <v>0.66</v>
      </c>
      <c r="Q281" s="90">
        <v>0.22800000000000001</v>
      </c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R281" s="90">
        <f t="shared" si="70"/>
        <v>1.3880000000000001</v>
      </c>
      <c r="AS281" s="90">
        <f>SUM($B281:M281)</f>
        <v>0</v>
      </c>
      <c r="AT281" s="89"/>
      <c r="CN281" s="89"/>
      <c r="DF281" s="89"/>
    </row>
    <row r="282" spans="1:110" x14ac:dyDescent="0.25">
      <c r="A282" s="88" t="s">
        <v>279</v>
      </c>
      <c r="B282" s="90"/>
      <c r="C282" s="90"/>
      <c r="D282" s="90"/>
      <c r="E282" s="90"/>
      <c r="F282" s="90">
        <v>2.3519999999999999</v>
      </c>
      <c r="G282" s="90"/>
      <c r="H282" s="90">
        <v>1.3420000000000001</v>
      </c>
      <c r="I282" s="90">
        <v>1.6379999999999999</v>
      </c>
      <c r="J282" s="90"/>
      <c r="K282" s="90"/>
      <c r="L282" s="90"/>
      <c r="M282" s="90"/>
      <c r="N282" s="90"/>
      <c r="O282" s="90">
        <v>3</v>
      </c>
      <c r="P282" s="90">
        <v>2.5</v>
      </c>
      <c r="Q282" s="90">
        <v>1.5</v>
      </c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>
        <v>0.153</v>
      </c>
      <c r="AK282" s="90"/>
      <c r="AL282" s="90"/>
      <c r="AM282" s="90"/>
      <c r="AN282" s="90"/>
      <c r="AO282" s="90"/>
      <c r="AR282" s="90">
        <f t="shared" si="70"/>
        <v>7.1529999999999996</v>
      </c>
      <c r="AS282" s="90">
        <f>SUM($B282:M282)</f>
        <v>5.3319999999999999</v>
      </c>
      <c r="AT282" s="89"/>
      <c r="CN282" s="89"/>
      <c r="DF282" s="89"/>
    </row>
    <row r="283" spans="1:110" x14ac:dyDescent="0.25">
      <c r="A283" s="88" t="s">
        <v>280</v>
      </c>
      <c r="B283" s="90"/>
      <c r="C283" s="90"/>
      <c r="D283" s="90"/>
      <c r="E283" s="90"/>
      <c r="F283" s="90">
        <v>0.54100000000000004</v>
      </c>
      <c r="G283" s="90"/>
      <c r="H283" s="90"/>
      <c r="I283" s="90"/>
      <c r="J283" s="90"/>
      <c r="K283" s="90"/>
      <c r="L283" s="90"/>
      <c r="M283" s="90"/>
      <c r="N283" s="90"/>
      <c r="O283" s="90">
        <v>0.875</v>
      </c>
      <c r="P283" s="90">
        <v>0.56599999999999995</v>
      </c>
      <c r="Q283" s="90">
        <v>0.33400000000000002</v>
      </c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R283" s="90">
        <f t="shared" si="70"/>
        <v>1.7749999999999999</v>
      </c>
      <c r="AS283" s="90">
        <f>SUM($B283:M283)</f>
        <v>0.54100000000000004</v>
      </c>
      <c r="AT283" s="89"/>
      <c r="CN283" s="89"/>
      <c r="DF283" s="89"/>
    </row>
    <row r="284" spans="1:110" x14ac:dyDescent="0.25">
      <c r="A284" s="88" t="s">
        <v>281</v>
      </c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>
        <v>0.5</v>
      </c>
      <c r="P284" s="90">
        <v>0.5</v>
      </c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90"/>
      <c r="AM284" s="90"/>
      <c r="AN284" s="90"/>
      <c r="AO284" s="90"/>
      <c r="AR284" s="90">
        <f t="shared" si="70"/>
        <v>1</v>
      </c>
      <c r="AS284" s="90">
        <f>SUM($B284:M284)</f>
        <v>0</v>
      </c>
      <c r="AT284" s="89"/>
      <c r="CN284" s="89"/>
      <c r="DF284" s="89"/>
    </row>
    <row r="285" spans="1:110" x14ac:dyDescent="0.25">
      <c r="A285" s="88" t="s">
        <v>282</v>
      </c>
      <c r="B285" s="90"/>
      <c r="C285" s="90"/>
      <c r="D285" s="90"/>
      <c r="E285" s="90"/>
      <c r="F285" s="90"/>
      <c r="G285" s="90"/>
      <c r="H285" s="90">
        <v>4.2000000000000003E-2</v>
      </c>
      <c r="I285" s="90">
        <v>0.06</v>
      </c>
      <c r="J285" s="90"/>
      <c r="K285" s="90"/>
      <c r="L285" s="90"/>
      <c r="M285" s="90"/>
      <c r="N285" s="90"/>
      <c r="O285" s="90">
        <v>0.5</v>
      </c>
      <c r="P285" s="90"/>
      <c r="Q285" s="90">
        <v>0.5</v>
      </c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R285" s="90">
        <f t="shared" si="70"/>
        <v>1</v>
      </c>
      <c r="AS285" s="90">
        <f>SUM($B285:M285)</f>
        <v>0.10200000000000001</v>
      </c>
      <c r="AT285" s="89"/>
      <c r="CN285" s="89"/>
      <c r="DF285" s="89"/>
    </row>
    <row r="286" spans="1:110" x14ac:dyDescent="0.25">
      <c r="A286" s="88" t="s">
        <v>283</v>
      </c>
      <c r="B286" s="90"/>
      <c r="C286" s="90"/>
      <c r="D286" s="90"/>
      <c r="E286" s="90"/>
      <c r="F286" s="90"/>
      <c r="G286" s="90"/>
      <c r="H286" s="90"/>
      <c r="I286" s="90">
        <v>3.5000000000000003E-2</v>
      </c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90"/>
      <c r="AM286" s="90"/>
      <c r="AN286" s="90"/>
      <c r="AO286" s="90"/>
      <c r="AR286" s="90">
        <f t="shared" si="70"/>
        <v>0</v>
      </c>
      <c r="AS286" s="90">
        <f>SUM($B286:M286)</f>
        <v>3.5000000000000003E-2</v>
      </c>
      <c r="AT286" s="89"/>
      <c r="CN286" s="89"/>
      <c r="DF286" s="89"/>
    </row>
    <row r="287" spans="1:110" x14ac:dyDescent="0.25">
      <c r="A287" s="88" t="s">
        <v>284</v>
      </c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>
        <v>0.128</v>
      </c>
      <c r="P287" s="90">
        <v>0.16900000000000001</v>
      </c>
      <c r="Q287" s="90">
        <v>0.34699999999999998</v>
      </c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R287" s="90">
        <f t="shared" si="70"/>
        <v>0.64400000000000002</v>
      </c>
      <c r="AS287" s="90">
        <f>SUM($B287:M287)</f>
        <v>0</v>
      </c>
      <c r="AT287" s="89"/>
      <c r="CN287" s="89"/>
      <c r="DF287" s="89"/>
    </row>
    <row r="288" spans="1:110" x14ac:dyDescent="0.25">
      <c r="A288" s="88" t="s">
        <v>285</v>
      </c>
      <c r="B288" s="90"/>
      <c r="C288" s="90">
        <v>0.67100000000000004</v>
      </c>
      <c r="D288" s="90"/>
      <c r="E288" s="90"/>
      <c r="F288" s="90">
        <v>0.24199999999999999</v>
      </c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90"/>
      <c r="AM288" s="90"/>
      <c r="AN288" s="90"/>
      <c r="AO288" s="90"/>
      <c r="AR288" s="90">
        <f t="shared" si="70"/>
        <v>0</v>
      </c>
      <c r="AS288" s="90">
        <f>SUM($B288:M288)</f>
        <v>0.91300000000000003</v>
      </c>
      <c r="AT288" s="89"/>
      <c r="CN288" s="89"/>
      <c r="DF288" s="89"/>
    </row>
    <row r="289" spans="1:144" x14ac:dyDescent="0.25">
      <c r="A289" s="88" t="s">
        <v>286</v>
      </c>
      <c r="B289" s="90"/>
      <c r="C289" s="90"/>
      <c r="D289" s="90"/>
      <c r="E289" s="90">
        <v>4.4999999999999998E-2</v>
      </c>
      <c r="F289" s="90">
        <v>8.8999999999999996E-2</v>
      </c>
      <c r="G289" s="90">
        <v>0.14399999999999999</v>
      </c>
      <c r="H289" s="90">
        <v>9.2999999999999999E-2</v>
      </c>
      <c r="I289" s="90">
        <v>9.2999999999999999E-2</v>
      </c>
      <c r="J289" s="90">
        <v>9.2999999999999999E-2</v>
      </c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>
        <v>0.20399999999999999</v>
      </c>
      <c r="AK289" s="90">
        <v>0.20399999999999999</v>
      </c>
      <c r="AL289" s="90">
        <v>0.20399999999999999</v>
      </c>
      <c r="AM289" s="90"/>
      <c r="AN289" s="90"/>
      <c r="AO289" s="90"/>
      <c r="AR289" s="90">
        <f t="shared" si="70"/>
        <v>0.61199999999999999</v>
      </c>
      <c r="AS289" s="90">
        <f>SUM($B289:M289)</f>
        <v>0.55699999999999994</v>
      </c>
      <c r="AT289" s="89"/>
      <c r="CN289" s="89"/>
      <c r="DF289" s="89"/>
    </row>
    <row r="290" spans="1:144" x14ac:dyDescent="0.25">
      <c r="A290" s="88" t="s">
        <v>287</v>
      </c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>
        <v>0.13</v>
      </c>
      <c r="P290" s="90">
        <v>0.30299999999999999</v>
      </c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R290" s="90">
        <f t="shared" si="70"/>
        <v>0.433</v>
      </c>
      <c r="AS290" s="90">
        <f>SUM($B290:M290)</f>
        <v>0</v>
      </c>
      <c r="AT290" s="89"/>
      <c r="CN290" s="89"/>
      <c r="DF290" s="89"/>
    </row>
    <row r="291" spans="1:144" x14ac:dyDescent="0.25">
      <c r="A291" s="88" t="s">
        <v>288</v>
      </c>
      <c r="B291" s="90"/>
      <c r="C291" s="90"/>
      <c r="D291" s="90"/>
      <c r="E291" s="90"/>
      <c r="F291" s="90"/>
      <c r="G291" s="90"/>
      <c r="H291" s="90">
        <v>0.22700000000000001</v>
      </c>
      <c r="I291" s="90">
        <v>0.113</v>
      </c>
      <c r="J291" s="90">
        <v>0.113</v>
      </c>
      <c r="K291" s="90"/>
      <c r="L291" s="90"/>
      <c r="M291" s="90"/>
      <c r="N291" s="90"/>
      <c r="O291" s="90"/>
      <c r="P291" s="90">
        <v>0.6</v>
      </c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R291" s="90">
        <f t="shared" si="70"/>
        <v>0.6</v>
      </c>
      <c r="AS291" s="90">
        <f>SUM($B291:M291)</f>
        <v>0.45300000000000001</v>
      </c>
      <c r="AT291" s="89"/>
      <c r="CN291" s="89"/>
      <c r="DF291" s="89"/>
    </row>
    <row r="292" spans="1:144" x14ac:dyDescent="0.25">
      <c r="A292" s="88" t="s">
        <v>289</v>
      </c>
      <c r="B292" s="90"/>
      <c r="C292" s="90"/>
      <c r="D292" s="90"/>
      <c r="E292" s="90"/>
      <c r="F292" s="90">
        <v>3.0939999999999999</v>
      </c>
      <c r="G292" s="90"/>
      <c r="H292" s="90"/>
      <c r="I292" s="90">
        <v>0.91100000000000003</v>
      </c>
      <c r="J292" s="90"/>
      <c r="K292" s="90"/>
      <c r="L292" s="90"/>
      <c r="M292" s="90"/>
      <c r="N292" s="90"/>
      <c r="O292" s="90">
        <v>0.5</v>
      </c>
      <c r="P292" s="90"/>
      <c r="Q292" s="90">
        <v>0.5</v>
      </c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R292" s="90">
        <f t="shared" si="70"/>
        <v>1</v>
      </c>
      <c r="AS292" s="90">
        <f>SUM($B292:M292)</f>
        <v>4.0049999999999999</v>
      </c>
      <c r="AT292" s="89"/>
      <c r="CN292" s="89"/>
      <c r="DF292" s="89"/>
    </row>
    <row r="293" spans="1:144" x14ac:dyDescent="0.25">
      <c r="A293" s="88" t="s">
        <v>290</v>
      </c>
      <c r="B293" s="90"/>
      <c r="C293" s="90"/>
      <c r="D293" s="90"/>
      <c r="E293" s="90">
        <v>7.3999999999999996E-2</v>
      </c>
      <c r="F293" s="90">
        <v>0.14000000000000001</v>
      </c>
      <c r="G293" s="90">
        <v>0.56499999999999995</v>
      </c>
      <c r="H293" s="90">
        <v>0.72499999999999998</v>
      </c>
      <c r="I293" s="90"/>
      <c r="J293" s="90"/>
      <c r="K293" s="90"/>
      <c r="L293" s="90"/>
      <c r="M293" s="90"/>
      <c r="N293" s="90"/>
      <c r="O293" s="90">
        <v>1.5</v>
      </c>
      <c r="P293" s="90">
        <v>1.25</v>
      </c>
      <c r="Q293" s="90">
        <v>0.5</v>
      </c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>
        <v>0.43</v>
      </c>
      <c r="AE293" s="90">
        <v>0.43099999999999999</v>
      </c>
      <c r="AF293" s="90">
        <v>0.43</v>
      </c>
      <c r="AG293" s="90"/>
      <c r="AH293" s="90"/>
      <c r="AI293" s="90"/>
      <c r="AJ293" s="90"/>
      <c r="AK293" s="90"/>
      <c r="AL293" s="90"/>
      <c r="AM293" s="90"/>
      <c r="AN293" s="90"/>
      <c r="AO293" s="90"/>
      <c r="AR293" s="90">
        <f t="shared" si="70"/>
        <v>4.5409999999999995</v>
      </c>
      <c r="AS293" s="90">
        <f>SUM($B293:M293)</f>
        <v>1.504</v>
      </c>
      <c r="AT293" s="89"/>
      <c r="CN293" s="89"/>
      <c r="DF293" s="89"/>
    </row>
    <row r="294" spans="1:144" x14ac:dyDescent="0.25">
      <c r="A294" s="88" t="s">
        <v>291</v>
      </c>
      <c r="B294" s="90"/>
      <c r="C294" s="90"/>
      <c r="D294" s="90"/>
      <c r="E294" s="90"/>
      <c r="F294" s="90">
        <v>19.241</v>
      </c>
      <c r="G294" s="90"/>
      <c r="H294" s="90"/>
      <c r="I294" s="90">
        <v>5.2519999999999998</v>
      </c>
      <c r="J294" s="90"/>
      <c r="K294" s="90"/>
      <c r="L294" s="90">
        <v>13.362</v>
      </c>
      <c r="M294" s="90"/>
      <c r="N294" s="90"/>
      <c r="O294" s="90">
        <v>3.84</v>
      </c>
      <c r="P294" s="90">
        <v>9</v>
      </c>
      <c r="Q294" s="90">
        <v>3.66</v>
      </c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>
        <v>11</v>
      </c>
      <c r="AE294" s="90">
        <v>4</v>
      </c>
      <c r="AF294" s="90">
        <v>4</v>
      </c>
      <c r="AG294" s="90"/>
      <c r="AH294" s="90"/>
      <c r="AI294" s="90"/>
      <c r="AJ294" s="90"/>
      <c r="AK294" s="90"/>
      <c r="AL294" s="90"/>
      <c r="AM294" s="90"/>
      <c r="AN294" s="90"/>
      <c r="AO294" s="90"/>
      <c r="AR294" s="90">
        <f t="shared" si="70"/>
        <v>35.5</v>
      </c>
      <c r="AS294" s="90">
        <f>SUM($B294:M294)</f>
        <v>37.854999999999997</v>
      </c>
      <c r="AT294" s="89"/>
      <c r="CN294" s="89"/>
      <c r="DF294" s="89"/>
    </row>
    <row r="295" spans="1:144" x14ac:dyDescent="0.25">
      <c r="A295" s="88" t="s">
        <v>292</v>
      </c>
      <c r="B295" s="90"/>
      <c r="C295" s="90"/>
      <c r="D295" s="90"/>
      <c r="E295" s="90"/>
      <c r="F295" s="90">
        <v>3.407</v>
      </c>
      <c r="G295" s="90"/>
      <c r="H295" s="90"/>
      <c r="I295" s="90">
        <v>3.09</v>
      </c>
      <c r="J295" s="90"/>
      <c r="K295" s="90"/>
      <c r="L295" s="90">
        <v>1.202</v>
      </c>
      <c r="M295" s="90"/>
      <c r="N295" s="90"/>
      <c r="O295" s="90">
        <v>3</v>
      </c>
      <c r="P295" s="90">
        <v>2.5499999999999998</v>
      </c>
      <c r="Q295" s="90">
        <v>2.0009999999999999</v>
      </c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R295" s="90">
        <f t="shared" si="70"/>
        <v>7.5510000000000002</v>
      </c>
      <c r="AS295" s="90">
        <f>SUM($B295:M295)</f>
        <v>7.6989999999999998</v>
      </c>
      <c r="AT295" s="89"/>
      <c r="CN295" s="89"/>
      <c r="DF295" s="89"/>
    </row>
    <row r="296" spans="1:144" x14ac:dyDescent="0.25">
      <c r="A296" s="88" t="s">
        <v>293</v>
      </c>
      <c r="B296" s="90"/>
      <c r="C296" s="90">
        <v>1.577</v>
      </c>
      <c r="D296" s="90"/>
      <c r="E296" s="90"/>
      <c r="F296" s="90">
        <v>0.36699999999999999</v>
      </c>
      <c r="G296" s="90"/>
      <c r="H296" s="90"/>
      <c r="I296" s="90">
        <v>1.6060000000000001</v>
      </c>
      <c r="J296" s="90"/>
      <c r="K296" s="90"/>
      <c r="L296" s="90"/>
      <c r="M296" s="90"/>
      <c r="N296" s="90"/>
      <c r="O296" s="90">
        <v>4</v>
      </c>
      <c r="P296" s="90">
        <v>2.4</v>
      </c>
      <c r="Q296" s="90">
        <v>2.4</v>
      </c>
      <c r="R296" s="90"/>
      <c r="S296" s="90"/>
      <c r="T296" s="90"/>
      <c r="U296" s="90">
        <v>1</v>
      </c>
      <c r="V296" s="90"/>
      <c r="W296" s="90"/>
      <c r="X296" s="90"/>
      <c r="Y296" s="90"/>
      <c r="Z296" s="90"/>
      <c r="AA296" s="90"/>
      <c r="AB296" s="90"/>
      <c r="AC296" s="90"/>
      <c r="AD296" s="90">
        <v>0.86</v>
      </c>
      <c r="AE296" s="90">
        <v>1.714</v>
      </c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R296" s="90">
        <f t="shared" si="70"/>
        <v>12.374000000000001</v>
      </c>
      <c r="AS296" s="90">
        <f>SUM($B296:M296)</f>
        <v>3.55</v>
      </c>
      <c r="AT296" s="89"/>
      <c r="CN296" s="89"/>
      <c r="DF296" s="89"/>
    </row>
    <row r="297" spans="1:144" x14ac:dyDescent="0.25">
      <c r="A297" s="88" t="s">
        <v>294</v>
      </c>
      <c r="B297" s="90"/>
      <c r="C297" s="90"/>
      <c r="D297" s="90"/>
      <c r="E297" s="90"/>
      <c r="F297" s="90"/>
      <c r="G297" s="90"/>
      <c r="H297" s="90"/>
      <c r="I297" s="90">
        <v>0.60599999999999998</v>
      </c>
      <c r="J297" s="90"/>
      <c r="K297" s="90"/>
      <c r="L297" s="90"/>
      <c r="M297" s="90"/>
      <c r="N297" s="90"/>
      <c r="O297" s="90">
        <v>0.5</v>
      </c>
      <c r="P297" s="90">
        <v>0.5</v>
      </c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R297" s="90">
        <f t="shared" si="70"/>
        <v>1</v>
      </c>
      <c r="AS297" s="90">
        <f>SUM($B297:M297)</f>
        <v>0.60599999999999998</v>
      </c>
      <c r="AT297" s="89"/>
      <c r="CN297" s="89"/>
      <c r="DF297" s="89"/>
    </row>
    <row r="298" spans="1:144" x14ac:dyDescent="0.25">
      <c r="A298" s="88" t="s">
        <v>295</v>
      </c>
      <c r="B298" s="90"/>
      <c r="C298" s="90"/>
      <c r="D298" s="90"/>
      <c r="E298" s="90">
        <v>1.226</v>
      </c>
      <c r="F298" s="90">
        <v>0.78500000000000003</v>
      </c>
      <c r="G298" s="90">
        <v>1.3919999999999999</v>
      </c>
      <c r="H298" s="90">
        <v>1.9530000000000001</v>
      </c>
      <c r="I298" s="90">
        <v>1.3029999999999999</v>
      </c>
      <c r="J298" s="90"/>
      <c r="K298" s="90"/>
      <c r="L298" s="90"/>
      <c r="M298" s="90"/>
      <c r="N298" s="90"/>
      <c r="O298" s="90">
        <v>3</v>
      </c>
      <c r="P298" s="90">
        <v>2.8</v>
      </c>
      <c r="Q298" s="90">
        <v>2.7</v>
      </c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>
        <v>1</v>
      </c>
      <c r="AG298" s="90"/>
      <c r="AH298" s="90"/>
      <c r="AI298" s="90"/>
      <c r="AJ298" s="90"/>
      <c r="AK298" s="90"/>
      <c r="AL298" s="90"/>
      <c r="AM298" s="90"/>
      <c r="AN298" s="90"/>
      <c r="AO298" s="90"/>
      <c r="AR298" s="90">
        <f t="shared" si="70"/>
        <v>9.5</v>
      </c>
      <c r="AS298" s="90">
        <f>SUM($B298:M298)</f>
        <v>6.6589999999999998</v>
      </c>
      <c r="AT298" s="89"/>
      <c r="CN298" s="89"/>
      <c r="DF298" s="89"/>
    </row>
    <row r="299" spans="1:144" x14ac:dyDescent="0.25">
      <c r="A299" s="88" t="s">
        <v>296</v>
      </c>
      <c r="B299" s="90"/>
      <c r="C299" s="90"/>
      <c r="D299" s="90"/>
      <c r="E299" s="90"/>
      <c r="F299" s="90">
        <v>7.9580000000000002</v>
      </c>
      <c r="G299" s="90"/>
      <c r="H299" s="90"/>
      <c r="I299" s="90">
        <v>1.278</v>
      </c>
      <c r="J299" s="90"/>
      <c r="K299" s="90"/>
      <c r="L299" s="90"/>
      <c r="M299" s="90"/>
      <c r="N299" s="90"/>
      <c r="O299" s="90">
        <v>8</v>
      </c>
      <c r="P299" s="90">
        <v>6</v>
      </c>
      <c r="Q299" s="90">
        <v>5</v>
      </c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>
        <v>3</v>
      </c>
      <c r="AE299" s="90">
        <v>1.2</v>
      </c>
      <c r="AF299" s="90">
        <v>2</v>
      </c>
      <c r="AG299" s="90"/>
      <c r="AH299" s="90"/>
      <c r="AI299" s="90"/>
      <c r="AJ299" s="90"/>
      <c r="AK299" s="90"/>
      <c r="AL299" s="90"/>
      <c r="AM299" s="90"/>
      <c r="AN299" s="90"/>
      <c r="AO299" s="90"/>
      <c r="AR299" s="90">
        <f t="shared" si="70"/>
        <v>25.2</v>
      </c>
      <c r="AS299" s="90">
        <f>SUM($B299:M299)</f>
        <v>9.2360000000000007</v>
      </c>
      <c r="AT299" s="89"/>
      <c r="CB299" s="89"/>
      <c r="CN299" s="89"/>
      <c r="DF299" s="89"/>
      <c r="EN299" s="89"/>
    </row>
    <row r="300" spans="1:144" x14ac:dyDescent="0.25">
      <c r="A300" s="88" t="s">
        <v>297</v>
      </c>
      <c r="B300" s="90"/>
      <c r="C300" s="90">
        <v>0.65</v>
      </c>
      <c r="D300" s="90"/>
      <c r="E300" s="90"/>
      <c r="F300" s="90"/>
      <c r="G300" s="90"/>
      <c r="H300" s="90">
        <v>1.833</v>
      </c>
      <c r="I300" s="90">
        <v>1.7</v>
      </c>
      <c r="J300" s="90">
        <v>0.63900000000000001</v>
      </c>
      <c r="K300" s="90">
        <v>1.7470000000000001</v>
      </c>
      <c r="L300" s="90"/>
      <c r="M300" s="90"/>
      <c r="N300" s="90"/>
      <c r="O300" s="90">
        <v>4.25</v>
      </c>
      <c r="P300" s="90">
        <v>1.75</v>
      </c>
      <c r="Q300" s="90">
        <v>0.75</v>
      </c>
      <c r="R300" s="90"/>
      <c r="S300" s="90"/>
      <c r="T300" s="90"/>
      <c r="U300" s="90"/>
      <c r="V300" s="90"/>
      <c r="W300" s="90"/>
      <c r="X300" s="90">
        <v>1</v>
      </c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90"/>
      <c r="AM300" s="90"/>
      <c r="AN300" s="90"/>
      <c r="AO300" s="90"/>
      <c r="AR300" s="90">
        <f t="shared" si="70"/>
        <v>7.75</v>
      </c>
      <c r="AS300" s="90">
        <f>SUM($B300:M300)</f>
        <v>6.569</v>
      </c>
      <c r="AT300" s="89"/>
      <c r="CB300" s="89"/>
      <c r="CN300" s="89"/>
      <c r="DF300" s="89"/>
      <c r="EN300" s="89"/>
    </row>
    <row r="301" spans="1:144" x14ac:dyDescent="0.25">
      <c r="A301" s="88" t="s">
        <v>298</v>
      </c>
      <c r="B301" s="90"/>
      <c r="C301" s="90"/>
      <c r="D301" s="90"/>
      <c r="E301" s="90"/>
      <c r="F301" s="90"/>
      <c r="G301" s="90"/>
      <c r="H301" s="90"/>
      <c r="I301" s="90">
        <v>1.01</v>
      </c>
      <c r="J301" s="90"/>
      <c r="K301" s="90"/>
      <c r="L301" s="90"/>
      <c r="M301" s="90"/>
      <c r="N301" s="90"/>
      <c r="O301" s="90">
        <v>1</v>
      </c>
      <c r="P301" s="90">
        <v>1</v>
      </c>
      <c r="Q301" s="90">
        <v>1</v>
      </c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R301" s="90">
        <f t="shared" si="70"/>
        <v>3</v>
      </c>
      <c r="AS301" s="90">
        <f>SUM($B301:M301)</f>
        <v>1.01</v>
      </c>
      <c r="AT301" s="89"/>
      <c r="CB301" s="89"/>
      <c r="CN301" s="89"/>
      <c r="DF301" s="89"/>
      <c r="EN301" s="89"/>
    </row>
    <row r="302" spans="1:144" x14ac:dyDescent="0.25">
      <c r="A302" s="88" t="s">
        <v>299</v>
      </c>
      <c r="B302" s="90"/>
      <c r="C302" s="90"/>
      <c r="D302" s="90"/>
      <c r="E302" s="90"/>
      <c r="F302" s="90"/>
      <c r="G302" s="90"/>
      <c r="H302" s="90"/>
      <c r="I302" s="90">
        <v>1.2669999999999999</v>
      </c>
      <c r="J302" s="90"/>
      <c r="K302" s="90"/>
      <c r="L302" s="90"/>
      <c r="M302" s="90"/>
      <c r="N302" s="90"/>
      <c r="O302" s="90">
        <v>2</v>
      </c>
      <c r="P302" s="90">
        <v>1.38</v>
      </c>
      <c r="Q302" s="90">
        <v>1</v>
      </c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90"/>
      <c r="AM302" s="90"/>
      <c r="AN302" s="90"/>
      <c r="AO302" s="90"/>
      <c r="AR302" s="90">
        <f t="shared" si="70"/>
        <v>4.38</v>
      </c>
      <c r="AS302" s="90">
        <f>SUM($B302:M302)</f>
        <v>1.2669999999999999</v>
      </c>
      <c r="AT302" s="89"/>
      <c r="CB302" s="89"/>
      <c r="CN302" s="89"/>
      <c r="DF302" s="89"/>
      <c r="EN302" s="89"/>
    </row>
    <row r="303" spans="1:144" x14ac:dyDescent="0.25">
      <c r="A303" s="88" t="s">
        <v>300</v>
      </c>
      <c r="B303" s="90"/>
      <c r="C303" s="90"/>
      <c r="D303" s="90"/>
      <c r="E303" s="90"/>
      <c r="F303" s="90"/>
      <c r="G303" s="90"/>
      <c r="H303" s="90">
        <v>0.32200000000000001</v>
      </c>
      <c r="I303" s="90">
        <v>0.161</v>
      </c>
      <c r="J303" s="90">
        <v>0.161</v>
      </c>
      <c r="K303" s="90"/>
      <c r="L303" s="90"/>
      <c r="M303" s="90"/>
      <c r="N303" s="90"/>
      <c r="O303" s="90">
        <v>1</v>
      </c>
      <c r="P303" s="90">
        <v>1.4</v>
      </c>
      <c r="Q303" s="90">
        <v>0.8</v>
      </c>
      <c r="R303" s="90"/>
      <c r="S303" s="90"/>
      <c r="T303" s="90"/>
      <c r="U303" s="90"/>
      <c r="V303" s="90"/>
      <c r="W303" s="90"/>
      <c r="X303" s="90"/>
      <c r="Y303" s="90">
        <v>1.6E-2</v>
      </c>
      <c r="Z303" s="90"/>
      <c r="AA303" s="90"/>
      <c r="AB303" s="90"/>
      <c r="AC303" s="90"/>
      <c r="AD303" s="90">
        <v>1</v>
      </c>
      <c r="AE303" s="90">
        <v>0.5</v>
      </c>
      <c r="AF303" s="90">
        <v>0.5</v>
      </c>
      <c r="AG303" s="90"/>
      <c r="AH303" s="90"/>
      <c r="AI303" s="90"/>
      <c r="AJ303" s="90"/>
      <c r="AK303" s="90"/>
      <c r="AL303" s="90"/>
      <c r="AM303" s="90"/>
      <c r="AN303" s="90"/>
      <c r="AO303" s="90"/>
      <c r="AR303" s="90">
        <f t="shared" si="70"/>
        <v>5.2160000000000002</v>
      </c>
      <c r="AS303" s="90">
        <f>SUM($B303:M303)</f>
        <v>0.64400000000000002</v>
      </c>
      <c r="AT303" s="89"/>
      <c r="CB303" s="89"/>
      <c r="CN303" s="89"/>
      <c r="DF303" s="89"/>
      <c r="EN303" s="89"/>
    </row>
    <row r="304" spans="1:144" x14ac:dyDescent="0.25">
      <c r="A304" s="88" t="s">
        <v>301</v>
      </c>
      <c r="B304" s="90"/>
      <c r="C304" s="90">
        <v>3.1749999999999998</v>
      </c>
      <c r="D304" s="90"/>
      <c r="E304" s="90">
        <v>0.34599999999999997</v>
      </c>
      <c r="F304" s="90">
        <v>3.593</v>
      </c>
      <c r="G304" s="90"/>
      <c r="H304" s="90"/>
      <c r="I304" s="90">
        <v>3.141</v>
      </c>
      <c r="J304" s="90"/>
      <c r="K304" s="90"/>
      <c r="L304" s="90"/>
      <c r="M304" s="90"/>
      <c r="N304" s="90"/>
      <c r="O304" s="90">
        <v>4.07</v>
      </c>
      <c r="P304" s="90">
        <v>2.875</v>
      </c>
      <c r="Q304" s="90">
        <v>2.5550000000000002</v>
      </c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>
        <v>1</v>
      </c>
      <c r="AF304" s="90"/>
      <c r="AG304" s="90"/>
      <c r="AH304" s="90"/>
      <c r="AI304" s="90"/>
      <c r="AJ304" s="90"/>
      <c r="AK304" s="90"/>
      <c r="AL304" s="90"/>
      <c r="AM304" s="90"/>
      <c r="AN304" s="90"/>
      <c r="AO304" s="90"/>
      <c r="AR304" s="90">
        <f t="shared" si="70"/>
        <v>10.5</v>
      </c>
      <c r="AS304" s="90">
        <f>SUM($B304:M304)</f>
        <v>10.254999999999999</v>
      </c>
      <c r="AT304" s="89"/>
      <c r="CB304" s="89"/>
      <c r="CN304" s="89"/>
      <c r="DF304" s="89"/>
      <c r="EN304" s="89"/>
    </row>
    <row r="305" spans="1:144" x14ac:dyDescent="0.25">
      <c r="A305" s="88" t="s">
        <v>302</v>
      </c>
      <c r="B305" s="90"/>
      <c r="C305" s="90"/>
      <c r="D305" s="90"/>
      <c r="E305" s="90"/>
      <c r="F305" s="90">
        <v>0.624</v>
      </c>
      <c r="G305" s="90"/>
      <c r="H305" s="90"/>
      <c r="I305" s="90">
        <v>4.3929999999999998</v>
      </c>
      <c r="J305" s="90"/>
      <c r="K305" s="90"/>
      <c r="L305" s="90"/>
      <c r="M305" s="90"/>
      <c r="N305" s="90"/>
      <c r="O305" s="90">
        <v>3</v>
      </c>
      <c r="P305" s="90">
        <v>3.2</v>
      </c>
      <c r="Q305" s="90">
        <v>2.6</v>
      </c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>
        <v>2</v>
      </c>
      <c r="AK305" s="90"/>
      <c r="AL305" s="90"/>
      <c r="AM305" s="90"/>
      <c r="AN305" s="90"/>
      <c r="AO305" s="90"/>
      <c r="AR305" s="90">
        <f t="shared" si="70"/>
        <v>10.8</v>
      </c>
      <c r="AS305" s="90">
        <f>SUM($B305:M305)</f>
        <v>5.0169999999999995</v>
      </c>
      <c r="AT305" s="89"/>
      <c r="CB305" s="89"/>
      <c r="CN305" s="89"/>
      <c r="DF305" s="89"/>
      <c r="EN305" s="89"/>
    </row>
    <row r="306" spans="1:144" x14ac:dyDescent="0.25">
      <c r="A306" s="88" t="s">
        <v>303</v>
      </c>
      <c r="B306" s="90"/>
      <c r="C306" s="90"/>
      <c r="D306" s="90"/>
      <c r="E306" s="90"/>
      <c r="F306" s="90"/>
      <c r="G306" s="90"/>
      <c r="H306" s="90">
        <v>0.63900000000000001</v>
      </c>
      <c r="I306" s="90">
        <v>0.63900000000000001</v>
      </c>
      <c r="J306" s="90">
        <v>0.63900000000000001</v>
      </c>
      <c r="K306" s="90"/>
      <c r="L306" s="90"/>
      <c r="M306" s="90"/>
      <c r="N306" s="90"/>
      <c r="O306" s="90">
        <v>0.78</v>
      </c>
      <c r="P306" s="90"/>
      <c r="Q306" s="90">
        <v>0.22</v>
      </c>
      <c r="R306" s="90"/>
      <c r="S306" s="90"/>
      <c r="T306" s="90"/>
      <c r="U306" s="90"/>
      <c r="V306" s="90">
        <v>0.3</v>
      </c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R306" s="90">
        <f t="shared" si="70"/>
        <v>1.3</v>
      </c>
      <c r="AS306" s="90">
        <f>SUM($B306:M306)</f>
        <v>1.917</v>
      </c>
      <c r="AT306" s="89"/>
      <c r="CB306" s="89"/>
      <c r="CN306" s="89"/>
      <c r="DF306" s="89"/>
      <c r="EN306" s="89"/>
    </row>
    <row r="307" spans="1:144" x14ac:dyDescent="0.25">
      <c r="A307" s="88" t="s">
        <v>753</v>
      </c>
      <c r="B307" s="90">
        <v>12.494</v>
      </c>
      <c r="C307" s="90">
        <v>101.33999999999997</v>
      </c>
      <c r="D307" s="90">
        <v>4.1659999999999995</v>
      </c>
      <c r="E307" s="90">
        <v>168.99900000000005</v>
      </c>
      <c r="F307" s="90">
        <v>1057.1390000000004</v>
      </c>
      <c r="G307" s="90">
        <v>22.510999999999996</v>
      </c>
      <c r="H307" s="90">
        <v>155.46200000000005</v>
      </c>
      <c r="I307" s="90">
        <v>591.59</v>
      </c>
      <c r="J307" s="90">
        <v>39.970000000000006</v>
      </c>
      <c r="K307" s="90">
        <v>4.2629999999999999</v>
      </c>
      <c r="L307" s="90">
        <v>241.34900000000002</v>
      </c>
      <c r="M307" s="90">
        <v>17.316999999999997</v>
      </c>
      <c r="N307" s="90">
        <v>1</v>
      </c>
      <c r="O307" s="90">
        <v>1076.1329999999996</v>
      </c>
      <c r="P307" s="90">
        <v>926.64799999999991</v>
      </c>
      <c r="Q307" s="90">
        <v>511.82900000000006</v>
      </c>
      <c r="R307" s="90">
        <v>2.6389999999999998</v>
      </c>
      <c r="S307" s="90">
        <v>0.80800000000000005</v>
      </c>
      <c r="T307" s="90">
        <v>0.379</v>
      </c>
      <c r="U307" s="90">
        <v>107.14800000000001</v>
      </c>
      <c r="V307" s="90">
        <v>39.434999999999995</v>
      </c>
      <c r="W307" s="90">
        <v>28.923999999999999</v>
      </c>
      <c r="X307" s="90">
        <v>7.652000000000001</v>
      </c>
      <c r="Y307" s="90">
        <v>0.66800000000000004</v>
      </c>
      <c r="Z307" s="90">
        <v>0.66800000000000015</v>
      </c>
      <c r="AA307" s="90">
        <v>33.663000000000004</v>
      </c>
      <c r="AB307" s="90">
        <v>13.183999999999999</v>
      </c>
      <c r="AC307" s="90">
        <v>10.061</v>
      </c>
      <c r="AD307" s="90">
        <v>365.64899999999989</v>
      </c>
      <c r="AE307" s="90">
        <v>174.29599999999999</v>
      </c>
      <c r="AF307" s="90">
        <v>102.19700000000005</v>
      </c>
      <c r="AG307" s="90">
        <v>1.0649999999999999</v>
      </c>
      <c r="AH307" s="90">
        <v>0.153</v>
      </c>
      <c r="AI307" s="90">
        <v>9.9000000000000005E-2</v>
      </c>
      <c r="AJ307" s="90">
        <v>9.3689999999999998</v>
      </c>
      <c r="AK307" s="90">
        <v>2.1560000000000001</v>
      </c>
      <c r="AL307" s="90">
        <v>1.04</v>
      </c>
      <c r="AM307" s="90">
        <v>1.4039999999999999</v>
      </c>
      <c r="AN307" s="90">
        <v>0.497</v>
      </c>
      <c r="AO307" s="90">
        <v>0.249</v>
      </c>
      <c r="AR307" s="90">
        <f t="shared" si="70"/>
        <v>3419.0129999999999</v>
      </c>
      <c r="AS307" s="90">
        <f>SUM($B307:M307)</f>
        <v>2416.6000000000004</v>
      </c>
      <c r="AT307" s="89"/>
      <c r="CB307" s="89"/>
      <c r="CN307" s="89"/>
      <c r="DF307" s="89"/>
      <c r="EN307" s="89"/>
    </row>
    <row r="308" spans="1:144" x14ac:dyDescent="0.25">
      <c r="AH308" s="89"/>
      <c r="AR308" s="90">
        <f t="shared" si="70"/>
        <v>0</v>
      </c>
      <c r="AS308" s="90">
        <f>SUM($B308:M308)</f>
        <v>0</v>
      </c>
      <c r="AT308" s="89"/>
      <c r="CB308" s="89"/>
      <c r="CN308" s="89"/>
      <c r="DF308" s="89"/>
      <c r="EN308" s="89"/>
    </row>
    <row r="309" spans="1:144" x14ac:dyDescent="0.25">
      <c r="AH309" s="89"/>
      <c r="AR309" s="90">
        <f t="shared" si="70"/>
        <v>0</v>
      </c>
      <c r="AS309" s="90">
        <f>SUM($B309:M309)</f>
        <v>0</v>
      </c>
      <c r="AT309" s="89"/>
      <c r="CB309" s="89"/>
      <c r="CN309" s="89"/>
      <c r="DF309" s="89"/>
      <c r="EN309" s="89"/>
    </row>
    <row r="310" spans="1:144" x14ac:dyDescent="0.25">
      <c r="AH310" s="89"/>
      <c r="AR310" s="90">
        <f t="shared" si="70"/>
        <v>0</v>
      </c>
      <c r="AS310" s="90">
        <f>SUM($B310:M310)</f>
        <v>0</v>
      </c>
      <c r="AT310" s="89"/>
      <c r="CB310" s="89"/>
      <c r="CN310" s="89"/>
      <c r="DF310" s="89"/>
      <c r="EN310" s="89"/>
    </row>
    <row r="311" spans="1:144" x14ac:dyDescent="0.25">
      <c r="AH311" s="89"/>
      <c r="AR311" s="90">
        <f t="shared" si="70"/>
        <v>0</v>
      </c>
      <c r="AS311" s="90">
        <f>SUM($B311:M311)</f>
        <v>0</v>
      </c>
      <c r="AT311" s="89"/>
      <c r="CB311" s="89"/>
      <c r="CN311" s="89"/>
      <c r="DF311" s="89"/>
      <c r="EN311" s="89"/>
    </row>
    <row r="312" spans="1:144" x14ac:dyDescent="0.25">
      <c r="AH312" s="89"/>
      <c r="AR312" s="90">
        <f t="shared" si="70"/>
        <v>0</v>
      </c>
      <c r="AS312" s="90">
        <f>SUM($B312:M312)</f>
        <v>0</v>
      </c>
      <c r="AT312" s="89"/>
      <c r="CB312" s="89"/>
      <c r="CN312" s="89"/>
      <c r="DF312" s="89"/>
      <c r="EN312" s="89"/>
    </row>
    <row r="313" spans="1:144" x14ac:dyDescent="0.25">
      <c r="AH313" s="89"/>
      <c r="AR313" s="90">
        <f t="shared" si="70"/>
        <v>0</v>
      </c>
      <c r="AS313" s="90">
        <f>SUM($B313:M313)</f>
        <v>0</v>
      </c>
      <c r="AT313" s="89"/>
      <c r="CB313" s="89"/>
      <c r="CN313" s="89"/>
      <c r="DF313" s="89"/>
      <c r="EN313" s="89"/>
    </row>
    <row r="314" spans="1:144" x14ac:dyDescent="0.25">
      <c r="AH314" s="89"/>
      <c r="AR314" s="90">
        <f t="shared" si="70"/>
        <v>0</v>
      </c>
      <c r="AS314" s="90">
        <f>SUM($B314:M314)</f>
        <v>0</v>
      </c>
      <c r="AT314" s="89"/>
      <c r="CB314" s="89"/>
      <c r="CN314" s="89"/>
      <c r="DF314" s="89"/>
      <c r="EN314" s="89"/>
    </row>
    <row r="315" spans="1:144" x14ac:dyDescent="0.25">
      <c r="AH315" s="89"/>
      <c r="AR315" s="90">
        <f t="shared" si="70"/>
        <v>0</v>
      </c>
      <c r="AS315" s="90">
        <f>SUM($B315:M315)</f>
        <v>0</v>
      </c>
      <c r="AT315" s="89"/>
      <c r="CB315" s="89"/>
      <c r="CN315" s="89"/>
      <c r="DF315" s="89"/>
      <c r="EN315" s="89"/>
    </row>
    <row r="316" spans="1:144" x14ac:dyDescent="0.25">
      <c r="AH316" s="89"/>
      <c r="AR316" s="90">
        <f t="shared" si="70"/>
        <v>0</v>
      </c>
      <c r="AS316" s="90">
        <f>SUM($B316:M316)</f>
        <v>0</v>
      </c>
      <c r="AT316" s="89"/>
      <c r="CB316" s="89"/>
      <c r="CN316" s="89"/>
      <c r="DF316" s="89"/>
      <c r="EN316" s="89"/>
    </row>
    <row r="317" spans="1:144" x14ac:dyDescent="0.25">
      <c r="AH317" s="89"/>
      <c r="AR317" s="90">
        <f t="shared" si="70"/>
        <v>0</v>
      </c>
      <c r="AS317" s="90">
        <f>SUM($B317:M317)</f>
        <v>0</v>
      </c>
      <c r="AT317" s="89"/>
      <c r="CB317" s="89"/>
      <c r="CN317" s="89"/>
      <c r="DF317" s="89"/>
      <c r="EN317" s="89"/>
    </row>
    <row r="318" spans="1:144" x14ac:dyDescent="0.25">
      <c r="AH318" s="89"/>
      <c r="AR318" s="90">
        <f t="shared" si="70"/>
        <v>0</v>
      </c>
      <c r="AS318" s="90">
        <f>SUM($B318:M318)</f>
        <v>0</v>
      </c>
      <c r="AT318" s="89"/>
      <c r="CB318" s="89"/>
      <c r="CN318" s="89"/>
      <c r="DF318" s="89"/>
      <c r="EN318" s="89"/>
    </row>
    <row r="319" spans="1:144" x14ac:dyDescent="0.25">
      <c r="AH319" s="89"/>
      <c r="AR319" s="90">
        <f t="shared" si="70"/>
        <v>0</v>
      </c>
      <c r="AS319" s="90">
        <f>SUM($B319:M319)</f>
        <v>0</v>
      </c>
      <c r="AT319" s="89"/>
      <c r="CB319" s="89"/>
      <c r="CN319" s="89"/>
      <c r="DF319" s="89"/>
      <c r="EN319" s="89"/>
    </row>
    <row r="320" spans="1:144" x14ac:dyDescent="0.25">
      <c r="AH320" s="89"/>
      <c r="AR320" s="90">
        <f t="shared" ref="AR320:AR344" si="71">SUM(N320:AQ320)</f>
        <v>0</v>
      </c>
      <c r="AS320" s="90">
        <f>SUM($B320:M320)</f>
        <v>0</v>
      </c>
      <c r="AT320" s="89"/>
      <c r="CB320" s="89"/>
      <c r="CN320" s="89"/>
      <c r="DF320" s="89"/>
      <c r="EN320" s="89"/>
    </row>
    <row r="321" spans="34:144" x14ac:dyDescent="0.25">
      <c r="AH321" s="89"/>
      <c r="AR321" s="90">
        <f t="shared" si="71"/>
        <v>0</v>
      </c>
      <c r="AS321" s="90">
        <f>SUM($B321:M321)</f>
        <v>0</v>
      </c>
      <c r="AT321" s="89"/>
      <c r="CB321" s="89"/>
      <c r="CN321" s="89"/>
      <c r="DF321" s="89"/>
      <c r="EN321" s="89"/>
    </row>
    <row r="322" spans="34:144" x14ac:dyDescent="0.25">
      <c r="AH322" s="89"/>
      <c r="AR322" s="90">
        <f t="shared" si="71"/>
        <v>0</v>
      </c>
      <c r="AS322" s="90">
        <f>SUM($B322:M322)</f>
        <v>0</v>
      </c>
      <c r="AT322" s="89"/>
      <c r="CB322" s="89"/>
      <c r="CN322" s="89"/>
      <c r="DF322" s="89"/>
      <c r="EN322" s="89"/>
    </row>
    <row r="323" spans="34:144" x14ac:dyDescent="0.25">
      <c r="AH323" s="89"/>
      <c r="AR323" s="90">
        <f t="shared" si="71"/>
        <v>0</v>
      </c>
      <c r="AS323" s="90">
        <f>SUM($B323:M323)</f>
        <v>0</v>
      </c>
      <c r="AT323" s="89"/>
      <c r="CB323" s="89"/>
      <c r="CN323" s="89"/>
      <c r="DF323" s="89"/>
      <c r="EN323" s="89"/>
    </row>
    <row r="324" spans="34:144" x14ac:dyDescent="0.25">
      <c r="AH324" s="89"/>
      <c r="AR324" s="90">
        <f t="shared" si="71"/>
        <v>0</v>
      </c>
      <c r="AS324" s="90">
        <f>SUM($B324:M324)</f>
        <v>0</v>
      </c>
      <c r="AT324" s="89"/>
      <c r="CB324" s="89"/>
      <c r="CN324" s="89"/>
      <c r="DF324" s="89"/>
      <c r="EN324" s="89"/>
    </row>
    <row r="325" spans="34:144" x14ac:dyDescent="0.25">
      <c r="AH325" s="89"/>
      <c r="AR325" s="90">
        <f t="shared" si="71"/>
        <v>0</v>
      </c>
      <c r="AS325" s="90">
        <f>SUM($B325:M325)</f>
        <v>0</v>
      </c>
      <c r="AT325" s="89"/>
      <c r="CB325" s="89"/>
      <c r="CN325" s="89"/>
      <c r="DF325" s="89"/>
      <c r="EN325" s="89"/>
    </row>
    <row r="326" spans="34:144" x14ac:dyDescent="0.25">
      <c r="AH326" s="89"/>
      <c r="AR326" s="90">
        <f t="shared" si="71"/>
        <v>0</v>
      </c>
      <c r="AS326" s="90">
        <f>SUM($B326:M326)</f>
        <v>0</v>
      </c>
      <c r="AT326" s="89"/>
      <c r="CB326" s="89"/>
      <c r="CN326" s="89"/>
      <c r="DF326" s="89"/>
      <c r="EN326" s="89"/>
    </row>
    <row r="327" spans="34:144" x14ac:dyDescent="0.25">
      <c r="AH327" s="89"/>
      <c r="AR327" s="90">
        <f t="shared" si="71"/>
        <v>0</v>
      </c>
      <c r="AS327" s="90">
        <f>SUM($B327:M327)</f>
        <v>0</v>
      </c>
      <c r="AT327" s="89"/>
      <c r="CB327" s="89"/>
      <c r="CN327" s="89"/>
      <c r="DF327" s="89"/>
      <c r="EN327" s="89"/>
    </row>
    <row r="328" spans="34:144" x14ac:dyDescent="0.25">
      <c r="AH328" s="89"/>
      <c r="AR328" s="90">
        <f t="shared" si="71"/>
        <v>0</v>
      </c>
      <c r="AS328" s="90">
        <f>SUM($B328:M328)</f>
        <v>0</v>
      </c>
      <c r="AT328" s="89"/>
      <c r="CB328" s="89"/>
      <c r="CN328" s="89"/>
      <c r="DF328" s="89"/>
      <c r="EN328" s="89"/>
    </row>
    <row r="329" spans="34:144" x14ac:dyDescent="0.25">
      <c r="AH329" s="89"/>
      <c r="AR329" s="90">
        <f t="shared" si="71"/>
        <v>0</v>
      </c>
      <c r="AS329" s="90">
        <f>SUM($B329:M329)</f>
        <v>0</v>
      </c>
      <c r="AT329" s="89"/>
      <c r="CB329" s="89"/>
      <c r="CN329" s="89"/>
      <c r="DF329" s="89"/>
      <c r="EN329" s="89"/>
    </row>
    <row r="330" spans="34:144" x14ac:dyDescent="0.25">
      <c r="AH330" s="89"/>
      <c r="AR330" s="90">
        <f t="shared" si="71"/>
        <v>0</v>
      </c>
      <c r="AS330" s="90">
        <f>SUM($B330:M330)</f>
        <v>0</v>
      </c>
      <c r="AT330" s="89"/>
      <c r="CB330" s="89"/>
      <c r="CN330" s="89"/>
      <c r="DF330" s="89"/>
      <c r="EN330" s="89"/>
    </row>
    <row r="331" spans="34:144" x14ac:dyDescent="0.25">
      <c r="AH331" s="89"/>
      <c r="AR331" s="90">
        <f t="shared" si="71"/>
        <v>0</v>
      </c>
      <c r="AS331" s="90">
        <f>SUM($B331:M331)</f>
        <v>0</v>
      </c>
      <c r="AT331" s="89"/>
      <c r="CB331" s="89"/>
      <c r="CN331" s="89"/>
      <c r="DF331" s="89"/>
      <c r="EN331" s="89"/>
    </row>
    <row r="332" spans="34:144" x14ac:dyDescent="0.25">
      <c r="AH332" s="89"/>
      <c r="AR332" s="90">
        <f t="shared" si="71"/>
        <v>0</v>
      </c>
      <c r="AS332" s="90">
        <f>SUM($B332:M332)</f>
        <v>0</v>
      </c>
      <c r="AT332" s="89"/>
      <c r="CB332" s="89"/>
      <c r="CN332" s="89"/>
      <c r="DF332" s="89"/>
      <c r="EN332" s="89"/>
    </row>
    <row r="333" spans="34:144" x14ac:dyDescent="0.25">
      <c r="AH333" s="89"/>
      <c r="AR333" s="90">
        <f t="shared" si="71"/>
        <v>0</v>
      </c>
      <c r="AS333" s="90">
        <f>SUM($B333:M333)</f>
        <v>0</v>
      </c>
      <c r="AT333" s="89"/>
      <c r="CB333" s="89"/>
      <c r="CN333" s="89"/>
      <c r="DF333" s="89"/>
      <c r="EN333" s="89"/>
    </row>
    <row r="334" spans="34:144" x14ac:dyDescent="0.25">
      <c r="AH334" s="89"/>
      <c r="AR334" s="90">
        <f t="shared" si="71"/>
        <v>0</v>
      </c>
      <c r="AS334" s="90">
        <f>SUM($B334:M334)</f>
        <v>0</v>
      </c>
      <c r="AT334" s="89"/>
      <c r="CB334" s="89"/>
      <c r="CN334" s="89"/>
      <c r="DF334" s="89"/>
      <c r="EN334" s="89"/>
    </row>
    <row r="335" spans="34:144" x14ac:dyDescent="0.25">
      <c r="AH335" s="89"/>
      <c r="AR335" s="90">
        <f t="shared" si="71"/>
        <v>0</v>
      </c>
      <c r="AS335" s="90">
        <f>SUM($B335:M335)</f>
        <v>0</v>
      </c>
      <c r="AT335" s="89"/>
      <c r="CB335" s="89"/>
      <c r="CN335" s="89"/>
      <c r="DF335" s="89"/>
      <c r="EN335" s="89"/>
    </row>
    <row r="336" spans="34:144" x14ac:dyDescent="0.25">
      <c r="AH336" s="89"/>
      <c r="AR336" s="90">
        <f t="shared" si="71"/>
        <v>0</v>
      </c>
      <c r="AS336" s="90">
        <f>SUM($B336:M336)</f>
        <v>0</v>
      </c>
      <c r="AT336" s="89"/>
      <c r="CB336" s="89"/>
      <c r="CN336" s="89"/>
      <c r="DF336" s="89"/>
      <c r="EN336" s="89"/>
    </row>
    <row r="337" spans="34:144" x14ac:dyDescent="0.25">
      <c r="AH337" s="89"/>
      <c r="AR337" s="90">
        <f t="shared" si="71"/>
        <v>0</v>
      </c>
      <c r="AS337" s="90">
        <f>SUM($B337:M337)</f>
        <v>0</v>
      </c>
      <c r="AT337" s="89"/>
      <c r="CB337" s="89"/>
      <c r="CN337" s="89"/>
      <c r="DF337" s="89"/>
      <c r="EN337" s="89"/>
    </row>
    <row r="338" spans="34:144" x14ac:dyDescent="0.25">
      <c r="AH338" s="89"/>
      <c r="AR338" s="90">
        <f t="shared" si="71"/>
        <v>0</v>
      </c>
      <c r="AS338" s="90">
        <f>SUM($B338:M338)</f>
        <v>0</v>
      </c>
      <c r="AT338" s="89"/>
      <c r="CB338" s="89"/>
      <c r="CN338" s="89"/>
      <c r="DF338" s="89"/>
      <c r="EN338" s="89"/>
    </row>
    <row r="339" spans="34:144" x14ac:dyDescent="0.25">
      <c r="AH339" s="89"/>
      <c r="AR339" s="90">
        <f t="shared" si="71"/>
        <v>0</v>
      </c>
      <c r="AS339" s="90">
        <f>SUM($B339:M339)</f>
        <v>0</v>
      </c>
      <c r="AT339" s="89"/>
      <c r="CB339" s="89"/>
      <c r="CN339" s="89"/>
      <c r="DF339" s="89"/>
      <c r="EN339" s="89"/>
    </row>
    <row r="340" spans="34:144" x14ac:dyDescent="0.25">
      <c r="AH340" s="89"/>
      <c r="AR340" s="90">
        <f t="shared" si="71"/>
        <v>0</v>
      </c>
      <c r="AS340" s="90">
        <f>SUM($B340:M340)</f>
        <v>0</v>
      </c>
      <c r="AT340" s="89"/>
      <c r="CB340" s="89"/>
      <c r="CN340" s="89"/>
      <c r="DF340" s="89"/>
      <c r="EN340" s="89"/>
    </row>
    <row r="341" spans="34:144" x14ac:dyDescent="0.25">
      <c r="AH341" s="89"/>
      <c r="AR341" s="90">
        <f t="shared" si="71"/>
        <v>0</v>
      </c>
      <c r="AS341" s="90">
        <f>SUM($B341:M341)</f>
        <v>0</v>
      </c>
      <c r="AT341" s="89"/>
      <c r="CB341" s="89"/>
      <c r="CN341" s="89"/>
      <c r="DF341" s="89"/>
      <c r="EN341" s="89"/>
    </row>
    <row r="342" spans="34:144" x14ac:dyDescent="0.25">
      <c r="AH342" s="89"/>
      <c r="AR342" s="90">
        <f t="shared" si="71"/>
        <v>0</v>
      </c>
      <c r="AS342" s="90">
        <f>SUM($B342:M342)</f>
        <v>0</v>
      </c>
      <c r="AT342" s="89"/>
      <c r="CB342" s="89"/>
      <c r="CN342" s="89"/>
      <c r="DF342" s="89"/>
      <c r="EN342" s="89"/>
    </row>
    <row r="343" spans="34:144" x14ac:dyDescent="0.25">
      <c r="AH343" s="89"/>
      <c r="AR343" s="90">
        <f t="shared" si="71"/>
        <v>0</v>
      </c>
      <c r="AS343" s="90">
        <f>SUM($B343:M343)</f>
        <v>0</v>
      </c>
      <c r="AT343" s="89"/>
      <c r="CB343" s="89"/>
      <c r="CN343" s="89"/>
      <c r="DF343" s="89"/>
      <c r="EN343" s="89"/>
    </row>
    <row r="344" spans="34:144" x14ac:dyDescent="0.25">
      <c r="AH344" s="89"/>
      <c r="AR344" s="90">
        <f t="shared" si="71"/>
        <v>0</v>
      </c>
      <c r="AS344" s="90">
        <f>SUM($B344:M344)</f>
        <v>0</v>
      </c>
      <c r="AT344" s="89"/>
      <c r="CB344" s="89"/>
      <c r="CN344" s="89"/>
      <c r="DF344" s="89"/>
      <c r="EN344" s="89"/>
    </row>
    <row r="345" spans="34:144" x14ac:dyDescent="0.25">
      <c r="AH345" s="89"/>
      <c r="AT345" s="89"/>
      <c r="CB345" s="89"/>
      <c r="CN345" s="89"/>
      <c r="DF345" s="89"/>
      <c r="EN345" s="89"/>
    </row>
    <row r="346" spans="34:144" x14ac:dyDescent="0.25">
      <c r="AH346" s="89"/>
      <c r="AT346" s="89"/>
      <c r="CB346" s="89"/>
      <c r="CN346" s="89"/>
      <c r="DF346" s="89"/>
      <c r="EN346" s="89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567D8-B72D-4F32-8BEE-F96DDF2C6551}">
  <sheetPr codeName="Sheet20"/>
  <dimension ref="A1:BS346"/>
  <sheetViews>
    <sheetView workbookViewId="0">
      <selection activeCell="L4" sqref="L4:L151"/>
    </sheetView>
  </sheetViews>
  <sheetFormatPr defaultRowHeight="15" x14ac:dyDescent="0.25"/>
  <cols>
    <col min="1" max="1" width="13.140625" bestFit="1" customWidth="1"/>
    <col min="2" max="15" width="12.7109375" bestFit="1" customWidth="1"/>
    <col min="18" max="18" width="4.7109375" customWidth="1"/>
    <col min="19" max="19" width="13.140625" bestFit="1" customWidth="1"/>
    <col min="20" max="33" width="14.85546875" bestFit="1" customWidth="1"/>
    <col min="36" max="36" width="4.7109375" customWidth="1"/>
    <col min="37" max="37" width="13.140625" bestFit="1" customWidth="1"/>
    <col min="38" max="51" width="14.85546875" bestFit="1" customWidth="1"/>
    <col min="54" max="54" width="13.140625" bestFit="1" customWidth="1"/>
    <col min="55" max="68" width="14.85546875" bestFit="1" customWidth="1"/>
    <col min="71" max="71" width="4.7109375" customWidth="1"/>
  </cols>
  <sheetData>
    <row r="1" spans="1:71" x14ac:dyDescent="0.25">
      <c r="A1" s="86" t="s">
        <v>748</v>
      </c>
      <c r="B1" s="87">
        <f>COLUMN(B1)</f>
        <v>2</v>
      </c>
      <c r="C1" s="87">
        <f t="shared" ref="C1:Q1" si="0">COLUMN(C1)</f>
        <v>3</v>
      </c>
      <c r="D1" s="87">
        <f t="shared" si="0"/>
        <v>4</v>
      </c>
      <c r="E1" s="87">
        <f t="shared" si="0"/>
        <v>5</v>
      </c>
      <c r="F1" s="87">
        <f t="shared" si="0"/>
        <v>6</v>
      </c>
      <c r="G1" s="87">
        <f t="shared" si="0"/>
        <v>7</v>
      </c>
      <c r="H1" s="87">
        <f t="shared" si="0"/>
        <v>8</v>
      </c>
      <c r="I1" s="87">
        <f t="shared" si="0"/>
        <v>9</v>
      </c>
      <c r="J1" s="87">
        <f t="shared" si="0"/>
        <v>10</v>
      </c>
      <c r="K1" s="87">
        <f t="shared" si="0"/>
        <v>11</v>
      </c>
      <c r="L1" s="87">
        <f t="shared" si="0"/>
        <v>12</v>
      </c>
      <c r="M1" s="87">
        <f t="shared" si="0"/>
        <v>13</v>
      </c>
      <c r="N1" s="87">
        <f t="shared" si="0"/>
        <v>14</v>
      </c>
      <c r="O1" s="87">
        <f t="shared" si="0"/>
        <v>15</v>
      </c>
      <c r="P1" s="87">
        <f t="shared" si="0"/>
        <v>16</v>
      </c>
      <c r="Q1" s="87">
        <f t="shared" si="0"/>
        <v>17</v>
      </c>
      <c r="R1" s="89"/>
      <c r="S1" s="86" t="s">
        <v>749</v>
      </c>
      <c r="T1" s="87">
        <f t="shared" ref="T1:AF1" si="1">COLUMN(B1)</f>
        <v>2</v>
      </c>
      <c r="U1" s="87">
        <f t="shared" si="1"/>
        <v>3</v>
      </c>
      <c r="V1" s="87">
        <f t="shared" si="1"/>
        <v>4</v>
      </c>
      <c r="W1" s="87">
        <f t="shared" si="1"/>
        <v>5</v>
      </c>
      <c r="X1" s="87">
        <f t="shared" si="1"/>
        <v>6</v>
      </c>
      <c r="Y1" s="87">
        <f t="shared" si="1"/>
        <v>7</v>
      </c>
      <c r="Z1" s="87">
        <f t="shared" si="1"/>
        <v>8</v>
      </c>
      <c r="AA1" s="87">
        <f t="shared" si="1"/>
        <v>9</v>
      </c>
      <c r="AB1" s="87">
        <f t="shared" si="1"/>
        <v>10</v>
      </c>
      <c r="AC1" s="87">
        <f t="shared" si="1"/>
        <v>11</v>
      </c>
      <c r="AD1" s="87">
        <f t="shared" si="1"/>
        <v>12</v>
      </c>
      <c r="AE1" s="87">
        <f t="shared" si="1"/>
        <v>13</v>
      </c>
      <c r="AF1" s="87">
        <f t="shared" si="1"/>
        <v>14</v>
      </c>
      <c r="AG1" s="87">
        <f t="shared" ref="AG1:AI1" si="2">COLUMN(O1)</f>
        <v>15</v>
      </c>
      <c r="AH1" s="87">
        <f t="shared" si="2"/>
        <v>16</v>
      </c>
      <c r="AI1" s="87">
        <f t="shared" si="2"/>
        <v>17</v>
      </c>
      <c r="AJ1" s="89"/>
      <c r="AK1" s="86" t="s">
        <v>750</v>
      </c>
      <c r="AL1" s="87">
        <f t="shared" ref="AL1:AY1" si="3">COLUMN(B1)</f>
        <v>2</v>
      </c>
      <c r="AM1" s="87">
        <f t="shared" si="3"/>
        <v>3</v>
      </c>
      <c r="AN1" s="87">
        <f t="shared" si="3"/>
        <v>4</v>
      </c>
      <c r="AO1" s="87">
        <f t="shared" si="3"/>
        <v>5</v>
      </c>
      <c r="AP1" s="87">
        <f t="shared" si="3"/>
        <v>6</v>
      </c>
      <c r="AQ1" s="87">
        <f t="shared" si="3"/>
        <v>7</v>
      </c>
      <c r="AR1" s="87">
        <f t="shared" si="3"/>
        <v>8</v>
      </c>
      <c r="AS1" s="87">
        <f t="shared" si="3"/>
        <v>9</v>
      </c>
      <c r="AT1" s="87">
        <f t="shared" si="3"/>
        <v>10</v>
      </c>
      <c r="AU1" s="87">
        <f t="shared" si="3"/>
        <v>11</v>
      </c>
      <c r="AV1" s="87">
        <f t="shared" si="3"/>
        <v>12</v>
      </c>
      <c r="AW1" s="87">
        <f t="shared" si="3"/>
        <v>13</v>
      </c>
      <c r="AX1" s="87">
        <f t="shared" si="3"/>
        <v>14</v>
      </c>
      <c r="AY1" s="87">
        <f t="shared" si="3"/>
        <v>15</v>
      </c>
      <c r="AZ1" s="87">
        <f t="shared" ref="AZ1:BA1" si="4">COLUMN(P1)</f>
        <v>16</v>
      </c>
      <c r="BA1" s="87">
        <f t="shared" si="4"/>
        <v>17</v>
      </c>
      <c r="BB1" s="86" t="s">
        <v>1131</v>
      </c>
      <c r="BC1" s="87">
        <f t="shared" ref="BC1:BP1" si="5">COLUMN(B1)</f>
        <v>2</v>
      </c>
      <c r="BD1" s="87">
        <f t="shared" si="5"/>
        <v>3</v>
      </c>
      <c r="BE1" s="87">
        <f t="shared" si="5"/>
        <v>4</v>
      </c>
      <c r="BF1" s="87">
        <f t="shared" si="5"/>
        <v>5</v>
      </c>
      <c r="BG1" s="87">
        <f t="shared" si="5"/>
        <v>6</v>
      </c>
      <c r="BH1" s="87">
        <f t="shared" si="5"/>
        <v>7</v>
      </c>
      <c r="BI1" s="87">
        <f t="shared" si="5"/>
        <v>8</v>
      </c>
      <c r="BJ1" s="87">
        <f t="shared" si="5"/>
        <v>9</v>
      </c>
      <c r="BK1" s="87">
        <f t="shared" si="5"/>
        <v>10</v>
      </c>
      <c r="BL1" s="87">
        <f t="shared" si="5"/>
        <v>11</v>
      </c>
      <c r="BM1" s="87">
        <f t="shared" si="5"/>
        <v>12</v>
      </c>
      <c r="BN1" s="87">
        <f t="shared" si="5"/>
        <v>13</v>
      </c>
      <c r="BO1" s="87">
        <f t="shared" si="5"/>
        <v>14</v>
      </c>
      <c r="BP1" s="87">
        <f t="shared" si="5"/>
        <v>15</v>
      </c>
      <c r="BQ1" s="87">
        <f t="shared" ref="BQ1:BR1" si="6">COLUMN(P1)</f>
        <v>16</v>
      </c>
      <c r="BR1" s="87">
        <f t="shared" si="6"/>
        <v>17</v>
      </c>
      <c r="BS1" s="89"/>
    </row>
    <row r="2" spans="1:71" x14ac:dyDescent="0.25">
      <c r="B2" t="str">
        <f>RIGHT(B3,3)</f>
        <v>39E</v>
      </c>
      <c r="C2" t="str">
        <f t="shared" ref="C2:K2" si="7">RIGHT(C3,3)</f>
        <v>42E</v>
      </c>
      <c r="D2" t="str">
        <f t="shared" si="7"/>
        <v>43E</v>
      </c>
      <c r="E2" t="str">
        <f t="shared" si="7"/>
        <v>44E</v>
      </c>
      <c r="F2" t="str">
        <f t="shared" si="7"/>
        <v>45E</v>
      </c>
      <c r="G2" t="str">
        <f t="shared" si="7"/>
        <v>46E</v>
      </c>
      <c r="H2" t="str">
        <f t="shared" si="7"/>
        <v>47E</v>
      </c>
      <c r="I2" t="str">
        <f t="shared" si="7"/>
        <v>48E</v>
      </c>
      <c r="J2" t="str">
        <f t="shared" si="7"/>
        <v>49E</v>
      </c>
      <c r="K2" t="str">
        <f t="shared" si="7"/>
        <v>64E</v>
      </c>
      <c r="L2" t="str">
        <f t="shared" ref="L2" si="8">RIGHT(L3,3)</f>
        <v>24E</v>
      </c>
      <c r="M2" t="str">
        <f t="shared" ref="M2" si="9">RIGHT(M3,3)</f>
        <v>25E</v>
      </c>
      <c r="N2" t="str">
        <f t="shared" ref="N2" si="10">RIGHT(N3,3)</f>
        <v>26E</v>
      </c>
      <c r="O2" t="str">
        <f>RIGHT(O3,3)</f>
        <v>35E</v>
      </c>
      <c r="P2" t="s">
        <v>682</v>
      </c>
      <c r="Q2" t="s">
        <v>683</v>
      </c>
      <c r="R2" s="89"/>
      <c r="T2" t="str">
        <f>RIGHT(T3,5)</f>
        <v>39E97</v>
      </c>
      <c r="U2" t="str">
        <f t="shared" ref="U2:AG2" si="11">RIGHT(U3,5)</f>
        <v>42E97</v>
      </c>
      <c r="V2" t="str">
        <f t="shared" si="11"/>
        <v>43E97</v>
      </c>
      <c r="W2" t="str">
        <f t="shared" si="11"/>
        <v>44E97</v>
      </c>
      <c r="X2" t="str">
        <f t="shared" si="11"/>
        <v>45E97</v>
      </c>
      <c r="Y2" t="str">
        <f t="shared" si="11"/>
        <v>46E97</v>
      </c>
      <c r="Z2" t="str">
        <f t="shared" si="11"/>
        <v>48E97</v>
      </c>
      <c r="AA2" t="str">
        <f t="shared" si="11"/>
        <v>47E97</v>
      </c>
      <c r="AB2" t="str">
        <f t="shared" si="11"/>
        <v>49E97</v>
      </c>
      <c r="AC2" t="str">
        <f t="shared" si="11"/>
        <v>64E97</v>
      </c>
      <c r="AD2" t="str">
        <f t="shared" si="11"/>
        <v>24E97</v>
      </c>
      <c r="AE2" t="str">
        <f t="shared" si="11"/>
        <v>25E97</v>
      </c>
      <c r="AF2" t="str">
        <f t="shared" si="11"/>
        <v>26E97</v>
      </c>
      <c r="AG2" t="str">
        <f t="shared" si="11"/>
        <v>35E97</v>
      </c>
      <c r="AH2" t="s">
        <v>682</v>
      </c>
      <c r="AI2" t="s">
        <v>683</v>
      </c>
      <c r="AJ2" s="89"/>
      <c r="AL2" t="str">
        <f>RIGHT(AL3,5)</f>
        <v>39E21</v>
      </c>
      <c r="AM2" t="str">
        <f t="shared" ref="AM2" si="12">RIGHT(AM3,5)</f>
        <v>42E21</v>
      </c>
      <c r="AN2" t="str">
        <f t="shared" ref="AN2" si="13">RIGHT(AN3,5)</f>
        <v>43E21</v>
      </c>
      <c r="AO2" t="str">
        <f t="shared" ref="AO2" si="14">RIGHT(AO3,5)</f>
        <v>44E21</v>
      </c>
      <c r="AP2" t="str">
        <f t="shared" ref="AP2" si="15">RIGHT(AP3,5)</f>
        <v>45E21</v>
      </c>
      <c r="AQ2" t="str">
        <f t="shared" ref="AQ2" si="16">RIGHT(AQ3,5)</f>
        <v>46E21</v>
      </c>
      <c r="AR2" t="str">
        <f t="shared" ref="AR2" si="17">RIGHT(AR3,5)</f>
        <v>47E21</v>
      </c>
      <c r="AS2" t="str">
        <f t="shared" ref="AS2" si="18">RIGHT(AS3,5)</f>
        <v>48E21</v>
      </c>
      <c r="AT2" t="str">
        <f t="shared" ref="AT2" si="19">RIGHT(AT3,5)</f>
        <v>49E21</v>
      </c>
      <c r="AU2" t="str">
        <f t="shared" ref="AU2" si="20">RIGHT(AU3,5)</f>
        <v>64E21</v>
      </c>
      <c r="AV2" t="str">
        <f t="shared" ref="AV2" si="21">RIGHT(AV3,5)</f>
        <v>24E21</v>
      </c>
      <c r="AW2" t="str">
        <f t="shared" ref="AW2" si="22">RIGHT(AW3,5)</f>
        <v>25E21</v>
      </c>
      <c r="AX2" t="str">
        <f t="shared" ref="AX2:AY2" si="23">RIGHT(AX3,5)</f>
        <v>26E21</v>
      </c>
      <c r="AY2" t="str">
        <f t="shared" si="23"/>
        <v>35E21</v>
      </c>
      <c r="AZ2" t="s">
        <v>682</v>
      </c>
      <c r="BA2" t="s">
        <v>683</v>
      </c>
      <c r="BC2" t="str">
        <f>RIGHT(BC3,5)</f>
        <v>39E09</v>
      </c>
      <c r="BD2" t="str">
        <f t="shared" ref="BD2:BP2" si="24">RIGHT(BD3,5)</f>
        <v>42E09</v>
      </c>
      <c r="BE2" t="str">
        <f t="shared" si="24"/>
        <v>43E09</v>
      </c>
      <c r="BF2" t="str">
        <f t="shared" si="24"/>
        <v>45E09</v>
      </c>
      <c r="BG2" t="str">
        <f t="shared" si="24"/>
        <v>44E09</v>
      </c>
      <c r="BH2" t="str">
        <f t="shared" si="24"/>
        <v>46E09</v>
      </c>
      <c r="BI2" t="str">
        <f t="shared" si="24"/>
        <v>47E09</v>
      </c>
      <c r="BJ2" t="str">
        <f t="shared" si="24"/>
        <v>48E09</v>
      </c>
      <c r="BK2" t="str">
        <f t="shared" si="24"/>
        <v>49E09</v>
      </c>
      <c r="BL2" t="str">
        <f t="shared" si="24"/>
        <v>64E09</v>
      </c>
      <c r="BM2" t="str">
        <f t="shared" si="24"/>
        <v>24E09</v>
      </c>
      <c r="BN2" t="str">
        <f t="shared" si="24"/>
        <v>25E09</v>
      </c>
      <c r="BO2" t="str">
        <f t="shared" si="24"/>
        <v>26E09</v>
      </c>
      <c r="BP2" t="str">
        <f t="shared" si="24"/>
        <v>35E09</v>
      </c>
      <c r="BQ2" t="s">
        <v>682</v>
      </c>
      <c r="BR2" t="s">
        <v>683</v>
      </c>
      <c r="BS2" s="89"/>
    </row>
    <row r="3" spans="1:71" x14ac:dyDescent="0.25">
      <c r="A3" s="91" t="s">
        <v>752</v>
      </c>
      <c r="B3" t="s">
        <v>785</v>
      </c>
      <c r="C3" t="s">
        <v>786</v>
      </c>
      <c r="D3" t="s">
        <v>787</v>
      </c>
      <c r="E3" t="s">
        <v>788</v>
      </c>
      <c r="F3" t="s">
        <v>789</v>
      </c>
      <c r="G3" t="s">
        <v>790</v>
      </c>
      <c r="H3" t="s">
        <v>791</v>
      </c>
      <c r="I3" t="s">
        <v>792</v>
      </c>
      <c r="J3" t="s">
        <v>793</v>
      </c>
      <c r="K3" t="s">
        <v>794</v>
      </c>
      <c r="L3" t="s">
        <v>795</v>
      </c>
      <c r="M3" t="s">
        <v>796</v>
      </c>
      <c r="N3" t="s">
        <v>797</v>
      </c>
      <c r="O3" t="s">
        <v>1165</v>
      </c>
      <c r="R3" s="89"/>
      <c r="S3" s="91" t="s">
        <v>752</v>
      </c>
      <c r="T3" t="s">
        <v>798</v>
      </c>
      <c r="U3" t="s">
        <v>799</v>
      </c>
      <c r="V3" t="s">
        <v>800</v>
      </c>
      <c r="W3" t="s">
        <v>801</v>
      </c>
      <c r="X3" t="s">
        <v>802</v>
      </c>
      <c r="Y3" t="s">
        <v>803</v>
      </c>
      <c r="Z3" t="s">
        <v>804</v>
      </c>
      <c r="AA3" t="s">
        <v>805</v>
      </c>
      <c r="AB3" t="s">
        <v>806</v>
      </c>
      <c r="AC3" t="s">
        <v>807</v>
      </c>
      <c r="AD3" t="s">
        <v>808</v>
      </c>
      <c r="AE3" t="s">
        <v>809</v>
      </c>
      <c r="AF3" t="s">
        <v>810</v>
      </c>
      <c r="AG3" t="s">
        <v>1171</v>
      </c>
      <c r="AJ3" s="89"/>
      <c r="AK3" s="91" t="s">
        <v>752</v>
      </c>
      <c r="AL3" t="s">
        <v>811</v>
      </c>
      <c r="AM3" t="s">
        <v>812</v>
      </c>
      <c r="AN3" t="s">
        <v>813</v>
      </c>
      <c r="AO3" t="s">
        <v>814</v>
      </c>
      <c r="AP3" t="s">
        <v>815</v>
      </c>
      <c r="AQ3" t="s">
        <v>816</v>
      </c>
      <c r="AR3" t="s">
        <v>817</v>
      </c>
      <c r="AS3" t="s">
        <v>818</v>
      </c>
      <c r="AT3" t="s">
        <v>819</v>
      </c>
      <c r="AU3" t="s">
        <v>820</v>
      </c>
      <c r="AV3" t="s">
        <v>821</v>
      </c>
      <c r="AW3" t="s">
        <v>822</v>
      </c>
      <c r="AX3" t="s">
        <v>823</v>
      </c>
      <c r="AY3" t="s">
        <v>1172</v>
      </c>
      <c r="BB3" s="91" t="s">
        <v>752</v>
      </c>
      <c r="BC3" t="s">
        <v>1132</v>
      </c>
      <c r="BD3" t="s">
        <v>1133</v>
      </c>
      <c r="BE3" t="s">
        <v>1134</v>
      </c>
      <c r="BF3" t="s">
        <v>1135</v>
      </c>
      <c r="BG3" t="s">
        <v>1136</v>
      </c>
      <c r="BH3" t="s">
        <v>1137</v>
      </c>
      <c r="BI3" t="s">
        <v>1138</v>
      </c>
      <c r="BJ3" t="s">
        <v>1139</v>
      </c>
      <c r="BK3" t="s">
        <v>1140</v>
      </c>
      <c r="BL3" t="s">
        <v>1141</v>
      </c>
      <c r="BM3" t="s">
        <v>1142</v>
      </c>
      <c r="BN3" t="s">
        <v>1143</v>
      </c>
      <c r="BO3" t="s">
        <v>1144</v>
      </c>
      <c r="BP3" t="s">
        <v>1173</v>
      </c>
      <c r="BS3" s="89"/>
    </row>
    <row r="4" spans="1:71" x14ac:dyDescent="0.25">
      <c r="A4" s="88" t="s">
        <v>759</v>
      </c>
      <c r="B4">
        <v>0</v>
      </c>
      <c r="C4">
        <v>0.40500000000000003</v>
      </c>
      <c r="D4">
        <v>0</v>
      </c>
      <c r="E4">
        <v>0</v>
      </c>
      <c r="F4">
        <v>0</v>
      </c>
      <c r="G4">
        <v>0</v>
      </c>
      <c r="H4">
        <v>3.1740000000000004</v>
      </c>
      <c r="I4">
        <v>0</v>
      </c>
      <c r="J4">
        <v>0</v>
      </c>
      <c r="K4">
        <v>2</v>
      </c>
      <c r="L4">
        <v>0</v>
      </c>
      <c r="M4">
        <v>0.32</v>
      </c>
      <c r="N4">
        <v>0.75</v>
      </c>
      <c r="O4">
        <v>0</v>
      </c>
      <c r="P4" s="90">
        <f>SUM(B4:K4)</f>
        <v>5.5790000000000006</v>
      </c>
      <c r="Q4" s="90">
        <f>SUM($L4:O4)</f>
        <v>1.07</v>
      </c>
      <c r="R4" s="89"/>
      <c r="S4" s="88" t="s">
        <v>759</v>
      </c>
      <c r="T4">
        <v>0</v>
      </c>
      <c r="U4">
        <v>0</v>
      </c>
      <c r="V4">
        <v>3.5000000000000003E-2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0.7</v>
      </c>
      <c r="AH4" s="90">
        <f>SUM(T4:AC4)</f>
        <v>3.5000000000000003E-2</v>
      </c>
      <c r="AI4" s="90">
        <f>SUM($AD4:AG4)</f>
        <v>0.7</v>
      </c>
      <c r="AJ4" s="89"/>
      <c r="AK4" s="88" t="s">
        <v>759</v>
      </c>
      <c r="AL4">
        <v>0</v>
      </c>
      <c r="AM4">
        <v>0.08</v>
      </c>
      <c r="AN4">
        <v>5.2540000000000004</v>
      </c>
      <c r="AO4">
        <v>0</v>
      </c>
      <c r="AP4">
        <v>9.6769999999999978</v>
      </c>
      <c r="AQ4">
        <v>4.7250000000000005</v>
      </c>
      <c r="AR4">
        <v>0.97099999999999997</v>
      </c>
      <c r="AS4">
        <v>1.8540000000000001</v>
      </c>
      <c r="AT4">
        <v>0.11</v>
      </c>
      <c r="AU4">
        <v>3.7050000000000001</v>
      </c>
      <c r="AV4">
        <v>0</v>
      </c>
      <c r="AW4">
        <v>0.62</v>
      </c>
      <c r="AX4">
        <v>1</v>
      </c>
      <c r="AY4">
        <v>0</v>
      </c>
      <c r="AZ4" s="90">
        <f>SUM(AL4:AU4)</f>
        <v>26.375999999999998</v>
      </c>
      <c r="BA4" s="90">
        <f>SUM($AV4:AY4)</f>
        <v>1.62</v>
      </c>
      <c r="BB4" s="88" t="s">
        <v>759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 s="90">
        <f>SUM(BC4:BL4)</f>
        <v>0</v>
      </c>
      <c r="BR4" s="90">
        <f>SUM($BM4:BP4)</f>
        <v>0</v>
      </c>
      <c r="BS4" s="89"/>
    </row>
    <row r="5" spans="1:71" x14ac:dyDescent="0.25">
      <c r="A5" s="88" t="s">
        <v>7</v>
      </c>
      <c r="B5">
        <v>0</v>
      </c>
      <c r="C5">
        <v>6.0999999999999999E-2</v>
      </c>
      <c r="D5">
        <v>0</v>
      </c>
      <c r="E5">
        <v>0</v>
      </c>
      <c r="F5">
        <v>0</v>
      </c>
      <c r="G5">
        <v>0</v>
      </c>
      <c r="H5">
        <v>4.9000000000000002E-2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 s="90">
        <f t="shared" ref="P5:P68" si="25">SUM(B5:K5)</f>
        <v>0.11</v>
      </c>
      <c r="Q5" s="90">
        <f>SUM($L5:O5)</f>
        <v>0</v>
      </c>
      <c r="R5" s="89"/>
      <c r="S5" s="88" t="s">
        <v>7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 s="90">
        <f t="shared" ref="AH5:AH68" si="26">SUM(T5:AC5)</f>
        <v>0</v>
      </c>
      <c r="AI5" s="90">
        <f t="shared" ref="AI5:AI68" si="27">SUM(AD5:AF5)</f>
        <v>0</v>
      </c>
      <c r="AJ5" s="89"/>
      <c r="AK5" s="88" t="s">
        <v>7</v>
      </c>
      <c r="AL5">
        <v>0</v>
      </c>
      <c r="AM5">
        <v>0</v>
      </c>
      <c r="AN5">
        <v>5.6000000000000001E-2</v>
      </c>
      <c r="AO5">
        <v>0</v>
      </c>
      <c r="AP5">
        <v>3.2000000000000001E-2</v>
      </c>
      <c r="AQ5">
        <v>0.01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 s="90">
        <f t="shared" ref="AZ5:AZ68" si="28">SUM(AL5:AU5)</f>
        <v>9.799999999999999E-2</v>
      </c>
      <c r="BA5" s="90">
        <f>SUM($AV5:AY5)</f>
        <v>0</v>
      </c>
      <c r="BB5" s="88" t="s">
        <v>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 s="90">
        <f t="shared" ref="BQ5:BQ68" si="29">SUM(BC5:BL5)</f>
        <v>0</v>
      </c>
      <c r="BR5" s="90">
        <f>SUM($BM5:BP5)</f>
        <v>0</v>
      </c>
      <c r="BS5" s="89"/>
    </row>
    <row r="6" spans="1:71" x14ac:dyDescent="0.25">
      <c r="A6" s="88" t="s">
        <v>40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 s="90">
        <f t="shared" si="25"/>
        <v>0</v>
      </c>
      <c r="Q6" s="90">
        <f>SUM($L6:O6)</f>
        <v>0</v>
      </c>
      <c r="R6" s="89"/>
      <c r="S6" s="88" t="s">
        <v>40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0.5</v>
      </c>
      <c r="AH6" s="90">
        <f t="shared" si="26"/>
        <v>0</v>
      </c>
      <c r="AI6" s="90">
        <f t="shared" si="27"/>
        <v>0</v>
      </c>
      <c r="AJ6" s="89"/>
      <c r="AK6" s="88" t="s">
        <v>40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 s="90">
        <f t="shared" si="28"/>
        <v>0</v>
      </c>
      <c r="BA6" s="90">
        <f>SUM($AV6:AY6)</f>
        <v>0</v>
      </c>
      <c r="BB6" s="88" t="s">
        <v>40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 s="90">
        <f t="shared" si="29"/>
        <v>0</v>
      </c>
      <c r="BR6" s="90">
        <f>SUM($BM6:BP6)</f>
        <v>0</v>
      </c>
      <c r="BS6" s="89"/>
    </row>
    <row r="7" spans="1:71" x14ac:dyDescent="0.25">
      <c r="A7" s="88" t="s">
        <v>61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 s="90">
        <f t="shared" si="25"/>
        <v>0</v>
      </c>
      <c r="Q7" s="90">
        <f>SUM($L7:O7)</f>
        <v>0</v>
      </c>
      <c r="R7" s="89"/>
      <c r="S7" s="88" t="s">
        <v>61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 s="90">
        <f t="shared" si="26"/>
        <v>0</v>
      </c>
      <c r="AI7" s="90">
        <f t="shared" si="27"/>
        <v>0</v>
      </c>
      <c r="AJ7" s="89"/>
      <c r="AK7" s="88" t="s">
        <v>61</v>
      </c>
      <c r="AL7">
        <v>0</v>
      </c>
      <c r="AM7">
        <v>0</v>
      </c>
      <c r="AN7">
        <v>0.57099999999999995</v>
      </c>
      <c r="AO7">
        <v>0</v>
      </c>
      <c r="AP7">
        <v>1.667</v>
      </c>
      <c r="AQ7">
        <v>0.57099999999999995</v>
      </c>
      <c r="AR7">
        <v>0.57099999999999995</v>
      </c>
      <c r="AS7">
        <v>0.57099999999999995</v>
      </c>
      <c r="AT7">
        <v>0</v>
      </c>
      <c r="AU7">
        <v>0</v>
      </c>
      <c r="AV7">
        <v>0</v>
      </c>
      <c r="AW7">
        <v>0</v>
      </c>
      <c r="AX7">
        <v>1</v>
      </c>
      <c r="AY7">
        <v>0</v>
      </c>
      <c r="AZ7" s="90">
        <f t="shared" si="28"/>
        <v>3.9509999999999996</v>
      </c>
      <c r="BA7" s="90">
        <f>SUM($AV7:AY7)</f>
        <v>1</v>
      </c>
      <c r="BB7" s="88" t="s">
        <v>61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 s="90">
        <f t="shared" si="29"/>
        <v>0</v>
      </c>
      <c r="BR7" s="90">
        <f>SUM($BM7:BP7)</f>
        <v>0</v>
      </c>
      <c r="BS7" s="89"/>
    </row>
    <row r="8" spans="1:71" x14ac:dyDescent="0.25">
      <c r="A8" s="88" t="s">
        <v>78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 s="90">
        <f t="shared" si="25"/>
        <v>0</v>
      </c>
      <c r="Q8" s="90">
        <f>SUM($L8:O8)</f>
        <v>0</v>
      </c>
      <c r="R8" s="89"/>
      <c r="S8" s="88" t="s">
        <v>78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 s="90">
        <f t="shared" si="26"/>
        <v>0</v>
      </c>
      <c r="AI8" s="90">
        <f t="shared" si="27"/>
        <v>0</v>
      </c>
      <c r="AJ8" s="89"/>
      <c r="AK8" s="88" t="s">
        <v>78</v>
      </c>
      <c r="AL8">
        <v>0</v>
      </c>
      <c r="AM8">
        <v>0</v>
      </c>
      <c r="AN8">
        <v>0.26700000000000002</v>
      </c>
      <c r="AO8">
        <v>0</v>
      </c>
      <c r="AP8">
        <v>0.35399999999999998</v>
      </c>
      <c r="AQ8">
        <v>0.35399999999999998</v>
      </c>
      <c r="AR8">
        <v>0.11</v>
      </c>
      <c r="AS8">
        <v>0.17299999999999999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 s="90">
        <f t="shared" si="28"/>
        <v>1.258</v>
      </c>
      <c r="BA8" s="90">
        <f>SUM($AV8:AY8)</f>
        <v>0</v>
      </c>
      <c r="BB8" s="88" t="s">
        <v>78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 s="90">
        <f t="shared" si="29"/>
        <v>0</v>
      </c>
      <c r="BR8" s="90">
        <f>SUM($BM8:BP8)</f>
        <v>0</v>
      </c>
      <c r="BS8" s="89"/>
    </row>
    <row r="9" spans="1:71" x14ac:dyDescent="0.25">
      <c r="A9" s="88" t="s">
        <v>84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0.2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 s="90">
        <f t="shared" si="25"/>
        <v>0.2</v>
      </c>
      <c r="Q9" s="90">
        <f>SUM($L9:O9)</f>
        <v>0</v>
      </c>
      <c r="R9" s="89"/>
      <c r="S9" s="88" t="s">
        <v>84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 s="90">
        <f t="shared" si="26"/>
        <v>0</v>
      </c>
      <c r="AI9" s="90">
        <f t="shared" si="27"/>
        <v>0</v>
      </c>
      <c r="AJ9" s="89"/>
      <c r="AK9" s="88" t="s">
        <v>84</v>
      </c>
      <c r="AL9">
        <v>0</v>
      </c>
      <c r="AM9">
        <v>0</v>
      </c>
      <c r="AN9">
        <v>0.11</v>
      </c>
      <c r="AO9">
        <v>0</v>
      </c>
      <c r="AP9">
        <v>0.20599999999999999</v>
      </c>
      <c r="AQ9">
        <v>0.12</v>
      </c>
      <c r="AR9">
        <v>0</v>
      </c>
      <c r="AS9">
        <v>0</v>
      </c>
      <c r="AT9">
        <v>0</v>
      </c>
      <c r="AU9">
        <v>1.21</v>
      </c>
      <c r="AV9">
        <v>0</v>
      </c>
      <c r="AW9">
        <v>0</v>
      </c>
      <c r="AX9">
        <v>0</v>
      </c>
      <c r="AY9">
        <v>0</v>
      </c>
      <c r="AZ9" s="90">
        <f t="shared" si="28"/>
        <v>1.6459999999999999</v>
      </c>
      <c r="BA9" s="90">
        <f>SUM($AV9:AY9)</f>
        <v>0</v>
      </c>
      <c r="BB9" s="88" t="s">
        <v>84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 s="90">
        <f t="shared" si="29"/>
        <v>0</v>
      </c>
      <c r="BR9" s="90">
        <f>SUM($BM9:BP9)</f>
        <v>0</v>
      </c>
      <c r="BS9" s="89"/>
    </row>
    <row r="10" spans="1:71" x14ac:dyDescent="0.25">
      <c r="A10" s="88" t="s">
        <v>87</v>
      </c>
      <c r="B10">
        <v>0</v>
      </c>
      <c r="C10">
        <v>0.33</v>
      </c>
      <c r="D10">
        <v>0</v>
      </c>
      <c r="E10">
        <v>0</v>
      </c>
      <c r="F10">
        <v>0</v>
      </c>
      <c r="G10">
        <v>0</v>
      </c>
      <c r="H10">
        <v>0.108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 s="90">
        <f t="shared" si="25"/>
        <v>0.438</v>
      </c>
      <c r="Q10" s="90">
        <f>SUM($L10:O10)</f>
        <v>0</v>
      </c>
      <c r="R10" s="89"/>
      <c r="S10" s="88" t="s">
        <v>87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 s="90">
        <f t="shared" si="26"/>
        <v>0</v>
      </c>
      <c r="AI10" s="90">
        <f t="shared" si="27"/>
        <v>0</v>
      </c>
      <c r="AJ10" s="89"/>
      <c r="AK10" s="88" t="s">
        <v>87</v>
      </c>
      <c r="AL10">
        <v>0</v>
      </c>
      <c r="AM10">
        <v>0</v>
      </c>
      <c r="AN10">
        <v>0</v>
      </c>
      <c r="AO10">
        <v>0</v>
      </c>
      <c r="AP10">
        <v>0.4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 s="90">
        <f t="shared" si="28"/>
        <v>0.4</v>
      </c>
      <c r="BA10" s="90">
        <f>SUM($AV10:AY10)</f>
        <v>0</v>
      </c>
      <c r="BB10" s="88" t="s">
        <v>87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 s="90">
        <f t="shared" si="29"/>
        <v>0</v>
      </c>
      <c r="BR10" s="90">
        <f>SUM($BM10:BP10)</f>
        <v>0</v>
      </c>
      <c r="BS10" s="89"/>
    </row>
    <row r="11" spans="1:71" x14ac:dyDescent="0.25">
      <c r="A11" s="88" t="s">
        <v>89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0.5</v>
      </c>
      <c r="O11">
        <v>0</v>
      </c>
      <c r="P11" s="90">
        <f t="shared" si="25"/>
        <v>0</v>
      </c>
      <c r="Q11" s="90">
        <f>SUM($L11:O11)</f>
        <v>0.5</v>
      </c>
      <c r="R11" s="89"/>
      <c r="S11" s="88" t="s">
        <v>89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 s="90">
        <f t="shared" si="26"/>
        <v>0</v>
      </c>
      <c r="AI11" s="90">
        <f t="shared" si="27"/>
        <v>0</v>
      </c>
      <c r="AJ11" s="89"/>
      <c r="AK11" s="88" t="s">
        <v>89</v>
      </c>
      <c r="AL11">
        <v>0</v>
      </c>
      <c r="AM11">
        <v>0</v>
      </c>
      <c r="AN11">
        <v>1</v>
      </c>
      <c r="AO11">
        <v>0</v>
      </c>
      <c r="AP11">
        <v>0.6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 s="90">
        <f t="shared" si="28"/>
        <v>1.6</v>
      </c>
      <c r="BA11" s="90">
        <f>SUM($AV11:AY11)</f>
        <v>0</v>
      </c>
      <c r="BB11" s="88" t="s">
        <v>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 s="90">
        <f t="shared" si="29"/>
        <v>0</v>
      </c>
      <c r="BR11" s="90">
        <f>SUM($BM11:BP11)</f>
        <v>0</v>
      </c>
      <c r="BS11" s="89"/>
    </row>
    <row r="12" spans="1:71" x14ac:dyDescent="0.25">
      <c r="A12" s="88" t="s">
        <v>141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 s="90">
        <f t="shared" si="25"/>
        <v>0</v>
      </c>
      <c r="Q12" s="90">
        <f>SUM($L12:O12)</f>
        <v>0</v>
      </c>
      <c r="R12" s="89"/>
      <c r="S12" s="88" t="s">
        <v>141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 s="90">
        <f t="shared" si="26"/>
        <v>0</v>
      </c>
      <c r="AI12" s="90">
        <f t="shared" si="27"/>
        <v>0</v>
      </c>
      <c r="AJ12" s="89"/>
      <c r="AK12" s="88" t="s">
        <v>141</v>
      </c>
      <c r="AL12">
        <v>0</v>
      </c>
      <c r="AM12">
        <v>0</v>
      </c>
      <c r="AN12">
        <v>0.46</v>
      </c>
      <c r="AO12">
        <v>0</v>
      </c>
      <c r="AP12">
        <v>0.6</v>
      </c>
      <c r="AQ12">
        <v>0</v>
      </c>
      <c r="AR12">
        <v>0</v>
      </c>
      <c r="AS12">
        <v>0.2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 s="90">
        <f t="shared" si="28"/>
        <v>1.26</v>
      </c>
      <c r="BA12" s="90">
        <f>SUM($AV12:AY12)</f>
        <v>0</v>
      </c>
      <c r="BB12" s="88" t="s">
        <v>141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 s="90">
        <f t="shared" si="29"/>
        <v>0</v>
      </c>
      <c r="BR12" s="90">
        <f>SUM($BM12:BP12)</f>
        <v>0</v>
      </c>
      <c r="BS12" s="89"/>
    </row>
    <row r="13" spans="1:71" x14ac:dyDescent="0.25">
      <c r="A13" s="88" t="s">
        <v>145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0.27</v>
      </c>
      <c r="I13">
        <v>0</v>
      </c>
      <c r="J13">
        <v>0</v>
      </c>
      <c r="K13">
        <v>0</v>
      </c>
      <c r="L13">
        <v>0</v>
      </c>
      <c r="M13">
        <v>0.32</v>
      </c>
      <c r="N13">
        <v>0</v>
      </c>
      <c r="O13">
        <v>0</v>
      </c>
      <c r="P13" s="90">
        <f t="shared" si="25"/>
        <v>0.27</v>
      </c>
      <c r="Q13" s="90">
        <f>SUM($L13:O13)</f>
        <v>0.32</v>
      </c>
      <c r="R13" s="89"/>
      <c r="S13" s="88" t="s">
        <v>145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 s="90">
        <f t="shared" si="26"/>
        <v>0</v>
      </c>
      <c r="AI13" s="90">
        <f t="shared" si="27"/>
        <v>0</v>
      </c>
      <c r="AJ13" s="89"/>
      <c r="AK13" s="88" t="s">
        <v>145</v>
      </c>
      <c r="AL13">
        <v>0</v>
      </c>
      <c r="AM13">
        <v>0</v>
      </c>
      <c r="AN13">
        <v>0.6</v>
      </c>
      <c r="AO13">
        <v>0</v>
      </c>
      <c r="AP13">
        <v>0.7</v>
      </c>
      <c r="AQ13">
        <v>0.6</v>
      </c>
      <c r="AR13">
        <v>0</v>
      </c>
      <c r="AS13">
        <v>0.25</v>
      </c>
      <c r="AT13">
        <v>0</v>
      </c>
      <c r="AU13">
        <v>0</v>
      </c>
      <c r="AV13">
        <v>0</v>
      </c>
      <c r="AW13">
        <v>0.16</v>
      </c>
      <c r="AX13">
        <v>0</v>
      </c>
      <c r="AY13">
        <v>0</v>
      </c>
      <c r="AZ13" s="90">
        <f t="shared" si="28"/>
        <v>2.15</v>
      </c>
      <c r="BA13" s="90">
        <f>SUM($AV13:AY13)</f>
        <v>0.16</v>
      </c>
      <c r="BB13" s="88" t="s">
        <v>145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 s="90">
        <f t="shared" si="29"/>
        <v>0</v>
      </c>
      <c r="BR13" s="90">
        <f>SUM($BM13:BP13)</f>
        <v>0</v>
      </c>
      <c r="BS13" s="89"/>
    </row>
    <row r="14" spans="1:71" x14ac:dyDescent="0.25">
      <c r="A14" s="88" t="s">
        <v>146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1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 s="90">
        <f t="shared" si="25"/>
        <v>1</v>
      </c>
      <c r="Q14" s="90">
        <f>SUM($L14:O14)</f>
        <v>0</v>
      </c>
      <c r="R14" s="89"/>
      <c r="S14" s="88" t="s">
        <v>146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 s="90">
        <f t="shared" si="26"/>
        <v>0</v>
      </c>
      <c r="AI14" s="90">
        <f t="shared" si="27"/>
        <v>0</v>
      </c>
      <c r="AJ14" s="89"/>
      <c r="AK14" s="88" t="s">
        <v>146</v>
      </c>
      <c r="AL14">
        <v>0</v>
      </c>
      <c r="AM14">
        <v>0</v>
      </c>
      <c r="AN14">
        <v>0.5</v>
      </c>
      <c r="AO14">
        <v>0</v>
      </c>
      <c r="AP14">
        <v>1</v>
      </c>
      <c r="AQ14">
        <v>0.5</v>
      </c>
      <c r="AR14">
        <v>0</v>
      </c>
      <c r="AS14">
        <v>0.125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 s="90">
        <f t="shared" si="28"/>
        <v>2.125</v>
      </c>
      <c r="BA14" s="90">
        <f>SUM($AV14:AY14)</f>
        <v>0</v>
      </c>
      <c r="BB14" s="88" t="s">
        <v>146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 s="90">
        <f t="shared" si="29"/>
        <v>0</v>
      </c>
      <c r="BR14" s="90">
        <f>SUM($BM14:BP14)</f>
        <v>0</v>
      </c>
      <c r="BS14" s="89"/>
    </row>
    <row r="15" spans="1:71" x14ac:dyDescent="0.25">
      <c r="A15" s="88" t="s">
        <v>162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0.25</v>
      </c>
      <c r="O15">
        <v>0</v>
      </c>
      <c r="P15" s="90">
        <f t="shared" si="25"/>
        <v>0</v>
      </c>
      <c r="Q15" s="90">
        <f>SUM($L15:O15)</f>
        <v>0.25</v>
      </c>
      <c r="R15" s="89"/>
      <c r="S15" s="88" t="s">
        <v>162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 s="90">
        <f t="shared" si="26"/>
        <v>0</v>
      </c>
      <c r="AI15" s="90">
        <f t="shared" si="27"/>
        <v>0</v>
      </c>
      <c r="AJ15" s="89"/>
      <c r="AK15" s="88" t="s">
        <v>162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 s="90">
        <f t="shared" si="28"/>
        <v>0</v>
      </c>
      <c r="BA15" s="90">
        <f>SUM($AV15:AY15)</f>
        <v>0</v>
      </c>
      <c r="BB15" s="88" t="s">
        <v>162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 s="90">
        <f t="shared" si="29"/>
        <v>0</v>
      </c>
      <c r="BR15" s="90">
        <f>SUM($BM15:BP15)</f>
        <v>0</v>
      </c>
      <c r="BS15" s="89"/>
    </row>
    <row r="16" spans="1:71" x14ac:dyDescent="0.25">
      <c r="A16" s="88" t="s">
        <v>163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0.46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 s="90">
        <f t="shared" si="25"/>
        <v>0.46</v>
      </c>
      <c r="Q16" s="90">
        <f>SUM($L16:O16)</f>
        <v>0</v>
      </c>
      <c r="R16" s="89"/>
      <c r="S16" s="88" t="s">
        <v>163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 s="90">
        <f t="shared" si="26"/>
        <v>0</v>
      </c>
      <c r="AI16" s="90">
        <f t="shared" si="27"/>
        <v>0</v>
      </c>
      <c r="AJ16" s="89"/>
      <c r="AK16" s="88" t="s">
        <v>163</v>
      </c>
      <c r="AL16">
        <v>0</v>
      </c>
      <c r="AM16">
        <v>0</v>
      </c>
      <c r="AN16">
        <v>0.66</v>
      </c>
      <c r="AO16">
        <v>0</v>
      </c>
      <c r="AP16">
        <v>1</v>
      </c>
      <c r="AQ16">
        <v>0.66</v>
      </c>
      <c r="AR16">
        <v>0</v>
      </c>
      <c r="AS16">
        <v>0.125</v>
      </c>
      <c r="AT16">
        <v>0</v>
      </c>
      <c r="AU16">
        <v>0</v>
      </c>
      <c r="AV16">
        <v>0</v>
      </c>
      <c r="AW16">
        <v>0.46</v>
      </c>
      <c r="AX16">
        <v>0</v>
      </c>
      <c r="AY16">
        <v>0</v>
      </c>
      <c r="AZ16" s="90">
        <f t="shared" si="28"/>
        <v>2.4450000000000003</v>
      </c>
      <c r="BA16" s="90">
        <f>SUM($AV16:AY16)</f>
        <v>0.46</v>
      </c>
      <c r="BB16" s="88" t="s">
        <v>163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 s="90">
        <f t="shared" si="29"/>
        <v>0</v>
      </c>
      <c r="BR16" s="90">
        <f>SUM($BM16:BP16)</f>
        <v>0</v>
      </c>
      <c r="BS16" s="89"/>
    </row>
    <row r="17" spans="1:71" x14ac:dyDescent="0.25">
      <c r="A17" s="88" t="s">
        <v>176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0.26700000000000002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 s="90">
        <f t="shared" si="25"/>
        <v>0.26700000000000002</v>
      </c>
      <c r="Q17" s="90">
        <f>SUM($L17:O17)</f>
        <v>0</v>
      </c>
      <c r="R17" s="89"/>
      <c r="S17" s="88" t="s">
        <v>176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 s="90">
        <f t="shared" si="26"/>
        <v>0</v>
      </c>
      <c r="AI17" s="90">
        <f t="shared" si="27"/>
        <v>0</v>
      </c>
      <c r="AJ17" s="89"/>
      <c r="AK17" s="88" t="s">
        <v>176</v>
      </c>
      <c r="AL17">
        <v>0</v>
      </c>
      <c r="AM17">
        <v>0</v>
      </c>
      <c r="AN17">
        <v>0</v>
      </c>
      <c r="AO17">
        <v>0</v>
      </c>
      <c r="AP17">
        <v>0.57499999999999996</v>
      </c>
      <c r="AQ17">
        <v>0.2</v>
      </c>
      <c r="AR17">
        <v>0</v>
      </c>
      <c r="AS17">
        <v>0.25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 s="90">
        <f t="shared" si="28"/>
        <v>1.0249999999999999</v>
      </c>
      <c r="BA17" s="90">
        <f>SUM($AV17:AY17)</f>
        <v>0</v>
      </c>
      <c r="BB17" s="88" t="s">
        <v>176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 s="90">
        <f t="shared" si="29"/>
        <v>0</v>
      </c>
      <c r="BR17" s="90">
        <f>SUM($BM17:BP17)</f>
        <v>0</v>
      </c>
      <c r="BS17" s="89"/>
    </row>
    <row r="18" spans="1:71" x14ac:dyDescent="0.25">
      <c r="A18" s="88" t="s">
        <v>233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 s="90">
        <f t="shared" si="25"/>
        <v>0</v>
      </c>
      <c r="Q18" s="90">
        <f>SUM($L18:O18)</f>
        <v>0</v>
      </c>
      <c r="R18" s="89"/>
      <c r="S18" s="88" t="s">
        <v>233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0.2</v>
      </c>
      <c r="AH18" s="90">
        <f t="shared" si="26"/>
        <v>0</v>
      </c>
      <c r="AI18" s="90">
        <f t="shared" si="27"/>
        <v>0</v>
      </c>
      <c r="AJ18" s="89"/>
      <c r="AK18" s="88" t="s">
        <v>233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 s="90">
        <f t="shared" si="28"/>
        <v>0</v>
      </c>
      <c r="BA18" s="90">
        <f>SUM($AV18:AY18)</f>
        <v>0</v>
      </c>
      <c r="BB18" s="88" t="s">
        <v>233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 s="90">
        <f t="shared" si="29"/>
        <v>0</v>
      </c>
      <c r="BR18" s="90">
        <f>SUM($BM18:BP18)</f>
        <v>0</v>
      </c>
      <c r="BS18" s="89"/>
    </row>
    <row r="19" spans="1:71" x14ac:dyDescent="0.25">
      <c r="A19" s="88" t="s">
        <v>250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 s="90">
        <f t="shared" si="25"/>
        <v>0</v>
      </c>
      <c r="Q19" s="90">
        <f>SUM($L19:O19)</f>
        <v>0</v>
      </c>
      <c r="R19" s="89"/>
      <c r="S19" s="88" t="s">
        <v>250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 s="90">
        <f t="shared" si="26"/>
        <v>0</v>
      </c>
      <c r="AI19" s="90">
        <f t="shared" si="27"/>
        <v>0</v>
      </c>
      <c r="AJ19" s="89"/>
      <c r="AK19" s="88" t="s">
        <v>250</v>
      </c>
      <c r="AL19">
        <v>0</v>
      </c>
      <c r="AM19">
        <v>0.08</v>
      </c>
      <c r="AN19">
        <v>0.02</v>
      </c>
      <c r="AO19">
        <v>0</v>
      </c>
      <c r="AP19">
        <v>0.08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 s="90">
        <f t="shared" si="28"/>
        <v>0.18</v>
      </c>
      <c r="BA19" s="90">
        <f>SUM($AV19:AY19)</f>
        <v>0</v>
      </c>
      <c r="BB19" s="88" t="s">
        <v>250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 s="90">
        <f t="shared" si="29"/>
        <v>0</v>
      </c>
      <c r="BR19" s="90">
        <f>SUM($BM19:BP19)</f>
        <v>0</v>
      </c>
      <c r="BS19" s="89"/>
    </row>
    <row r="20" spans="1:71" x14ac:dyDescent="0.25">
      <c r="A20" s="88" t="s">
        <v>256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0.17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 s="90">
        <f t="shared" si="25"/>
        <v>0.17</v>
      </c>
      <c r="Q20" s="90">
        <f>SUM($L20:O20)</f>
        <v>0</v>
      </c>
      <c r="R20" s="89"/>
      <c r="S20" s="88" t="s">
        <v>256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 s="90">
        <f t="shared" si="26"/>
        <v>0</v>
      </c>
      <c r="AI20" s="90">
        <f t="shared" si="27"/>
        <v>0</v>
      </c>
      <c r="AJ20" s="89"/>
      <c r="AK20" s="88" t="s">
        <v>256</v>
      </c>
      <c r="AL20">
        <v>0</v>
      </c>
      <c r="AM20">
        <v>0</v>
      </c>
      <c r="AN20">
        <v>0.25</v>
      </c>
      <c r="AO20">
        <v>0</v>
      </c>
      <c r="AP20">
        <v>0.5</v>
      </c>
      <c r="AQ20">
        <v>0.33</v>
      </c>
      <c r="AR20">
        <v>0</v>
      </c>
      <c r="AS20">
        <v>0.1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 s="90">
        <f t="shared" si="28"/>
        <v>1.1800000000000002</v>
      </c>
      <c r="BA20" s="90">
        <f>SUM($AV20:AY20)</f>
        <v>0</v>
      </c>
      <c r="BB20" s="88" t="s">
        <v>256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 s="90">
        <f t="shared" si="29"/>
        <v>0</v>
      </c>
      <c r="BR20" s="90">
        <f>SUM($BM20:BP20)</f>
        <v>0</v>
      </c>
      <c r="BS20" s="89"/>
    </row>
    <row r="21" spans="1:71" x14ac:dyDescent="0.25">
      <c r="A21" s="88" t="s">
        <v>259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 s="90">
        <f t="shared" si="25"/>
        <v>0</v>
      </c>
      <c r="Q21" s="90">
        <f>SUM($L21:O21)</f>
        <v>0</v>
      </c>
      <c r="R21" s="89"/>
      <c r="S21" s="88" t="s">
        <v>259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 s="90">
        <f t="shared" si="26"/>
        <v>0</v>
      </c>
      <c r="AI21" s="90">
        <f t="shared" si="27"/>
        <v>0</v>
      </c>
      <c r="AJ21" s="89"/>
      <c r="AK21" s="88" t="s">
        <v>259</v>
      </c>
      <c r="AL21">
        <v>0</v>
      </c>
      <c r="AM21">
        <v>0</v>
      </c>
      <c r="AN21">
        <v>0.6</v>
      </c>
      <c r="AO21">
        <v>0</v>
      </c>
      <c r="AP21">
        <v>1.35</v>
      </c>
      <c r="AQ21">
        <v>1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 s="90">
        <f t="shared" si="28"/>
        <v>2.95</v>
      </c>
      <c r="BA21" s="90">
        <f>SUM($AV21:AY21)</f>
        <v>0</v>
      </c>
      <c r="BB21" s="88" t="s">
        <v>259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 s="90">
        <f t="shared" si="29"/>
        <v>0</v>
      </c>
      <c r="BR21" s="90">
        <f>SUM($BM21:BP21)</f>
        <v>0</v>
      </c>
      <c r="BS21" s="89"/>
    </row>
    <row r="22" spans="1:71" x14ac:dyDescent="0.25">
      <c r="A22" s="88" t="s">
        <v>280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0.65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 s="90">
        <f t="shared" si="25"/>
        <v>0.65</v>
      </c>
      <c r="Q22" s="90">
        <f>SUM($L22:O22)</f>
        <v>0</v>
      </c>
      <c r="R22" s="89"/>
      <c r="S22" s="88" t="s">
        <v>280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 s="90">
        <f t="shared" si="26"/>
        <v>0</v>
      </c>
      <c r="AI22" s="90">
        <f t="shared" si="27"/>
        <v>0</v>
      </c>
      <c r="AJ22" s="89"/>
      <c r="AK22" s="88" t="s">
        <v>280</v>
      </c>
      <c r="AL22">
        <v>0</v>
      </c>
      <c r="AM22">
        <v>0</v>
      </c>
      <c r="AN22">
        <v>0.14000000000000001</v>
      </c>
      <c r="AO22">
        <v>0</v>
      </c>
      <c r="AP22">
        <v>0</v>
      </c>
      <c r="AQ22">
        <v>0.24</v>
      </c>
      <c r="AR22">
        <v>0</v>
      </c>
      <c r="AS22">
        <v>0.06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 s="90">
        <f t="shared" si="28"/>
        <v>0.44</v>
      </c>
      <c r="BA22" s="90">
        <f>SUM($AV22:AY22)</f>
        <v>0</v>
      </c>
      <c r="BB22" s="88" t="s">
        <v>280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 s="90">
        <f t="shared" si="29"/>
        <v>0</v>
      </c>
      <c r="BR22" s="90">
        <f>SUM($BM22:BP22)</f>
        <v>0</v>
      </c>
      <c r="BS22" s="89"/>
    </row>
    <row r="23" spans="1:71" x14ac:dyDescent="0.25">
      <c r="A23" s="88" t="s">
        <v>284</v>
      </c>
      <c r="B23">
        <v>0</v>
      </c>
      <c r="C23">
        <v>1.4E-2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 s="90">
        <f t="shared" si="25"/>
        <v>1.4E-2</v>
      </c>
      <c r="Q23" s="90">
        <f>SUM($L23:O23)</f>
        <v>0</v>
      </c>
      <c r="R23" s="89"/>
      <c r="S23" s="88" t="s">
        <v>284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 s="90">
        <f t="shared" si="26"/>
        <v>0</v>
      </c>
      <c r="AI23" s="90">
        <f t="shared" si="27"/>
        <v>0</v>
      </c>
      <c r="AJ23" s="89"/>
      <c r="AK23" s="88" t="s">
        <v>284</v>
      </c>
      <c r="AL23">
        <v>0</v>
      </c>
      <c r="AM23">
        <v>0</v>
      </c>
      <c r="AN23">
        <v>0.02</v>
      </c>
      <c r="AO23">
        <v>0</v>
      </c>
      <c r="AP23">
        <v>0.47</v>
      </c>
      <c r="AQ23">
        <v>0.14000000000000001</v>
      </c>
      <c r="AR23">
        <v>0.28999999999999998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 s="90">
        <f t="shared" si="28"/>
        <v>0.91999999999999993</v>
      </c>
      <c r="BA23" s="90">
        <f>SUM($AV23:AY23)</f>
        <v>0</v>
      </c>
      <c r="BB23" s="88" t="s">
        <v>284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 s="90">
        <f t="shared" si="29"/>
        <v>0</v>
      </c>
      <c r="BR23" s="90">
        <f>SUM($BM23:BP23)</f>
        <v>0</v>
      </c>
      <c r="BS23" s="89"/>
    </row>
    <row r="24" spans="1:71" x14ac:dyDescent="0.25">
      <c r="A24" s="88" t="s">
        <v>289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 s="90">
        <f t="shared" si="25"/>
        <v>0</v>
      </c>
      <c r="Q24" s="90">
        <f>SUM($L24:O24)</f>
        <v>0</v>
      </c>
      <c r="R24" s="89"/>
      <c r="S24" s="88" t="s">
        <v>289</v>
      </c>
      <c r="T24">
        <v>0</v>
      </c>
      <c r="U24">
        <v>0</v>
      </c>
      <c r="V24">
        <v>3.5000000000000003E-2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 s="90">
        <f t="shared" si="26"/>
        <v>3.5000000000000003E-2</v>
      </c>
      <c r="AI24" s="90">
        <f t="shared" si="27"/>
        <v>0</v>
      </c>
      <c r="AJ24" s="89"/>
      <c r="AK24" s="88" t="s">
        <v>289</v>
      </c>
      <c r="AL24">
        <v>0</v>
      </c>
      <c r="AM24">
        <v>0</v>
      </c>
      <c r="AN24">
        <v>0</v>
      </c>
      <c r="AO24">
        <v>0</v>
      </c>
      <c r="AP24">
        <v>0.14299999999999999</v>
      </c>
      <c r="AQ24">
        <v>0</v>
      </c>
      <c r="AR24">
        <v>0</v>
      </c>
      <c r="AS24">
        <v>0</v>
      </c>
      <c r="AT24">
        <v>0.11</v>
      </c>
      <c r="AU24">
        <v>0</v>
      </c>
      <c r="AV24">
        <v>0</v>
      </c>
      <c r="AW24">
        <v>0</v>
      </c>
      <c r="AX24">
        <v>0</v>
      </c>
      <c r="AY24">
        <v>0</v>
      </c>
      <c r="AZ24" s="90">
        <f t="shared" si="28"/>
        <v>0.253</v>
      </c>
      <c r="BA24" s="90">
        <f>SUM($AV24:AY24)</f>
        <v>0</v>
      </c>
      <c r="BB24" s="88" t="s">
        <v>289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 s="90">
        <f t="shared" si="29"/>
        <v>0</v>
      </c>
      <c r="BR24" s="90">
        <f>SUM($BM24:BP24)</f>
        <v>0</v>
      </c>
      <c r="BS24" s="89"/>
    </row>
    <row r="25" spans="1:71" x14ac:dyDescent="0.25">
      <c r="A25" s="88" t="s">
        <v>290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 s="90">
        <f t="shared" si="25"/>
        <v>0</v>
      </c>
      <c r="Q25" s="90">
        <f>SUM($L25:O25)</f>
        <v>0</v>
      </c>
      <c r="R25" s="89"/>
      <c r="S25" s="88" t="s">
        <v>290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 s="90">
        <f t="shared" si="26"/>
        <v>0</v>
      </c>
      <c r="AI25" s="90">
        <f t="shared" si="27"/>
        <v>0</v>
      </c>
      <c r="AJ25" s="89"/>
      <c r="AK25" s="88" t="s">
        <v>290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 s="90">
        <f t="shared" si="28"/>
        <v>0</v>
      </c>
      <c r="BA25" s="90">
        <f>SUM($AV25:AY25)</f>
        <v>0</v>
      </c>
      <c r="BB25" s="88" t="s">
        <v>290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 s="90">
        <f t="shared" si="29"/>
        <v>0</v>
      </c>
      <c r="BR25" s="90">
        <f>SUM($BM25:BP25)</f>
        <v>0</v>
      </c>
      <c r="BS25" s="89"/>
    </row>
    <row r="26" spans="1:71" x14ac:dyDescent="0.25">
      <c r="A26" s="88" t="s">
        <v>302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</v>
      </c>
      <c r="L26">
        <v>0</v>
      </c>
      <c r="M26">
        <v>0</v>
      </c>
      <c r="N26">
        <v>0</v>
      </c>
      <c r="O26">
        <v>0</v>
      </c>
      <c r="P26" s="90">
        <f t="shared" si="25"/>
        <v>2</v>
      </c>
      <c r="Q26" s="90">
        <f>SUM($L26:O26)</f>
        <v>0</v>
      </c>
      <c r="R26" s="89"/>
      <c r="S26" s="88" t="s">
        <v>302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 s="90">
        <f t="shared" si="26"/>
        <v>0</v>
      </c>
      <c r="AI26" s="90">
        <f t="shared" si="27"/>
        <v>0</v>
      </c>
      <c r="AJ26" s="89"/>
      <c r="AK26" s="88" t="s">
        <v>302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2.4950000000000001</v>
      </c>
      <c r="AV26">
        <v>0</v>
      </c>
      <c r="AW26">
        <v>0</v>
      </c>
      <c r="AX26">
        <v>0</v>
      </c>
      <c r="AY26">
        <v>0</v>
      </c>
      <c r="AZ26" s="90">
        <f t="shared" si="28"/>
        <v>2.4950000000000001</v>
      </c>
      <c r="BA26" s="90">
        <f>SUM($AV26:AY26)</f>
        <v>0</v>
      </c>
      <c r="BB26" s="88" t="s">
        <v>302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 s="90">
        <f t="shared" si="29"/>
        <v>0</v>
      </c>
      <c r="BR26" s="90">
        <f>SUM($BM26:BP26)</f>
        <v>0</v>
      </c>
      <c r="BS26" s="89"/>
    </row>
    <row r="27" spans="1:71" x14ac:dyDescent="0.25">
      <c r="A27" s="88" t="s">
        <v>1098</v>
      </c>
      <c r="P27" s="90">
        <f t="shared" si="25"/>
        <v>0</v>
      </c>
      <c r="Q27" s="90">
        <f>SUM($L27:O27)</f>
        <v>0</v>
      </c>
      <c r="R27" s="89"/>
      <c r="S27" s="88" t="s">
        <v>1098</v>
      </c>
      <c r="AH27" s="90">
        <f t="shared" si="26"/>
        <v>0</v>
      </c>
      <c r="AI27" s="90">
        <f t="shared" si="27"/>
        <v>0</v>
      </c>
      <c r="AJ27" s="89"/>
      <c r="AK27" s="88" t="s">
        <v>1098</v>
      </c>
      <c r="AZ27" s="90">
        <f t="shared" si="28"/>
        <v>0</v>
      </c>
      <c r="BA27" s="90">
        <f>SUM($AV27:AY27)</f>
        <v>0</v>
      </c>
      <c r="BB27" s="88" t="s">
        <v>1098</v>
      </c>
      <c r="BQ27" s="90">
        <f t="shared" si="29"/>
        <v>0</v>
      </c>
      <c r="BR27" s="90">
        <f>SUM($BM27:BP27)</f>
        <v>0</v>
      </c>
      <c r="BS27" s="89"/>
    </row>
    <row r="28" spans="1:71" x14ac:dyDescent="0.25">
      <c r="A28" s="88" t="s">
        <v>753</v>
      </c>
      <c r="B28">
        <v>0</v>
      </c>
      <c r="C28">
        <v>0.81</v>
      </c>
      <c r="D28">
        <v>0</v>
      </c>
      <c r="E28">
        <v>0</v>
      </c>
      <c r="F28">
        <v>0</v>
      </c>
      <c r="G28">
        <v>0</v>
      </c>
      <c r="H28">
        <v>6.3480000000000008</v>
      </c>
      <c r="I28">
        <v>0</v>
      </c>
      <c r="J28">
        <v>0</v>
      </c>
      <c r="K28">
        <v>4</v>
      </c>
      <c r="L28">
        <v>0</v>
      </c>
      <c r="M28">
        <v>0.64</v>
      </c>
      <c r="N28">
        <v>1.5</v>
      </c>
      <c r="O28">
        <v>0</v>
      </c>
      <c r="P28" s="90">
        <f t="shared" si="25"/>
        <v>11.158000000000001</v>
      </c>
      <c r="Q28" s="90">
        <f>SUM($L28:O28)</f>
        <v>2.14</v>
      </c>
      <c r="R28" s="89"/>
      <c r="S28" s="88" t="s">
        <v>753</v>
      </c>
      <c r="T28">
        <v>0</v>
      </c>
      <c r="U28">
        <v>0</v>
      </c>
      <c r="V28">
        <v>7.0000000000000007E-2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1.4</v>
      </c>
      <c r="AH28" s="90">
        <f t="shared" si="26"/>
        <v>7.0000000000000007E-2</v>
      </c>
      <c r="AI28" s="90">
        <f t="shared" si="27"/>
        <v>0</v>
      </c>
      <c r="AJ28" s="89"/>
      <c r="AK28" s="88" t="s">
        <v>753</v>
      </c>
      <c r="AL28">
        <v>0</v>
      </c>
      <c r="AM28">
        <v>0.16</v>
      </c>
      <c r="AN28">
        <v>10.508000000000001</v>
      </c>
      <c r="AO28">
        <v>0</v>
      </c>
      <c r="AP28">
        <v>19.353999999999996</v>
      </c>
      <c r="AQ28">
        <v>9.4500000000000011</v>
      </c>
      <c r="AR28">
        <v>1.9419999999999999</v>
      </c>
      <c r="AS28">
        <v>3.7080000000000002</v>
      </c>
      <c r="AT28">
        <v>0.22</v>
      </c>
      <c r="AU28">
        <v>7.41</v>
      </c>
      <c r="AV28">
        <v>0</v>
      </c>
      <c r="AW28">
        <v>1.24</v>
      </c>
      <c r="AX28">
        <v>2</v>
      </c>
      <c r="AY28">
        <v>0</v>
      </c>
      <c r="AZ28" s="90">
        <f t="shared" si="28"/>
        <v>52.751999999999995</v>
      </c>
      <c r="BA28" s="90">
        <f>SUM($AV28:AY28)</f>
        <v>3.24</v>
      </c>
      <c r="BB28" s="88" t="s">
        <v>753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 s="90">
        <f t="shared" si="29"/>
        <v>0</v>
      </c>
      <c r="BR28" s="90">
        <f>SUM($BM28:BP28)</f>
        <v>0</v>
      </c>
      <c r="BS28" s="89"/>
    </row>
    <row r="29" spans="1:71" x14ac:dyDescent="0.25">
      <c r="P29" s="90">
        <f t="shared" si="25"/>
        <v>0</v>
      </c>
      <c r="Q29" s="90">
        <f>SUM($L29:O29)</f>
        <v>0</v>
      </c>
      <c r="R29" s="89"/>
      <c r="AH29" s="90">
        <f t="shared" si="26"/>
        <v>0</v>
      </c>
      <c r="AI29" s="90">
        <f t="shared" si="27"/>
        <v>0</v>
      </c>
      <c r="AJ29" s="89"/>
      <c r="AZ29" s="90">
        <f t="shared" si="28"/>
        <v>0</v>
      </c>
      <c r="BA29" s="90">
        <f>SUM($AV29:AY29)</f>
        <v>0</v>
      </c>
      <c r="BQ29" s="90">
        <f t="shared" si="29"/>
        <v>0</v>
      </c>
      <c r="BR29" s="90">
        <f>SUM($BM29:BP29)</f>
        <v>0</v>
      </c>
      <c r="BS29" s="89"/>
    </row>
    <row r="30" spans="1:71" x14ac:dyDescent="0.25">
      <c r="P30" s="90">
        <f t="shared" si="25"/>
        <v>0</v>
      </c>
      <c r="Q30" s="90">
        <f>SUM($L30:O30)</f>
        <v>0</v>
      </c>
      <c r="R30" s="89"/>
      <c r="AH30" s="90">
        <f t="shared" si="26"/>
        <v>0</v>
      </c>
      <c r="AI30" s="90">
        <f t="shared" si="27"/>
        <v>0</v>
      </c>
      <c r="AJ30" s="89"/>
      <c r="AZ30" s="90">
        <f t="shared" si="28"/>
        <v>0</v>
      </c>
      <c r="BA30" s="90">
        <f>SUM($AV30:AY30)</f>
        <v>0</v>
      </c>
      <c r="BQ30" s="90">
        <f t="shared" si="29"/>
        <v>0</v>
      </c>
      <c r="BR30" s="90">
        <f>SUM($BM30:BP30)</f>
        <v>0</v>
      </c>
      <c r="BS30" s="89"/>
    </row>
    <row r="31" spans="1:71" x14ac:dyDescent="0.25">
      <c r="P31" s="90">
        <f t="shared" si="25"/>
        <v>0</v>
      </c>
      <c r="Q31" s="90">
        <f>SUM($L31:O31)</f>
        <v>0</v>
      </c>
      <c r="R31" s="89"/>
      <c r="AH31" s="90">
        <f t="shared" si="26"/>
        <v>0</v>
      </c>
      <c r="AI31" s="90">
        <f t="shared" si="27"/>
        <v>0</v>
      </c>
      <c r="AJ31" s="89"/>
      <c r="AZ31" s="90">
        <f t="shared" si="28"/>
        <v>0</v>
      </c>
      <c r="BA31" s="90">
        <f>SUM($AV31:AY31)</f>
        <v>0</v>
      </c>
      <c r="BQ31" s="90">
        <f t="shared" si="29"/>
        <v>0</v>
      </c>
      <c r="BR31" s="90">
        <f>SUM($BM31:BP31)</f>
        <v>0</v>
      </c>
      <c r="BS31" s="89"/>
    </row>
    <row r="32" spans="1:71" x14ac:dyDescent="0.25">
      <c r="P32" s="90">
        <f t="shared" si="25"/>
        <v>0</v>
      </c>
      <c r="Q32" s="90">
        <f>SUM($L32:O32)</f>
        <v>0</v>
      </c>
      <c r="R32" s="89"/>
      <c r="AH32" s="90">
        <f t="shared" si="26"/>
        <v>0</v>
      </c>
      <c r="AI32" s="90">
        <f t="shared" si="27"/>
        <v>0</v>
      </c>
      <c r="AJ32" s="89"/>
      <c r="AZ32" s="90">
        <f t="shared" si="28"/>
        <v>0</v>
      </c>
      <c r="BA32" s="90">
        <f>SUM($AV32:AY32)</f>
        <v>0</v>
      </c>
      <c r="BQ32" s="90">
        <f t="shared" si="29"/>
        <v>0</v>
      </c>
      <c r="BR32" s="90">
        <f>SUM($BM32:BP32)</f>
        <v>0</v>
      </c>
      <c r="BS32" s="89"/>
    </row>
    <row r="33" spans="16:71" x14ac:dyDescent="0.25">
      <c r="P33" s="90">
        <f t="shared" si="25"/>
        <v>0</v>
      </c>
      <c r="Q33" s="90">
        <f>SUM($L33:O33)</f>
        <v>0</v>
      </c>
      <c r="R33" s="89"/>
      <c r="AH33" s="90">
        <f t="shared" si="26"/>
        <v>0</v>
      </c>
      <c r="AI33" s="90">
        <f t="shared" si="27"/>
        <v>0</v>
      </c>
      <c r="AJ33" s="89"/>
      <c r="AZ33" s="90">
        <f t="shared" si="28"/>
        <v>0</v>
      </c>
      <c r="BA33" s="90">
        <f>SUM($AV33:AY33)</f>
        <v>0</v>
      </c>
      <c r="BQ33" s="90">
        <f t="shared" si="29"/>
        <v>0</v>
      </c>
      <c r="BR33" s="90">
        <f>SUM($BM33:BP33)</f>
        <v>0</v>
      </c>
      <c r="BS33" s="89"/>
    </row>
    <row r="34" spans="16:71" x14ac:dyDescent="0.25">
      <c r="P34" s="90">
        <f t="shared" si="25"/>
        <v>0</v>
      </c>
      <c r="Q34" s="90">
        <f>SUM($L34:O34)</f>
        <v>0</v>
      </c>
      <c r="R34" s="89"/>
      <c r="AH34" s="90">
        <f t="shared" si="26"/>
        <v>0</v>
      </c>
      <c r="AI34" s="90">
        <f t="shared" si="27"/>
        <v>0</v>
      </c>
      <c r="AJ34" s="89"/>
      <c r="AZ34" s="90">
        <f t="shared" si="28"/>
        <v>0</v>
      </c>
      <c r="BA34" s="90">
        <f>SUM($AV34:AY34)</f>
        <v>0</v>
      </c>
      <c r="BQ34" s="90">
        <f t="shared" si="29"/>
        <v>0</v>
      </c>
      <c r="BR34" s="90">
        <f>SUM($BM34:BP34)</f>
        <v>0</v>
      </c>
      <c r="BS34" s="89"/>
    </row>
    <row r="35" spans="16:71" x14ac:dyDescent="0.25">
      <c r="P35" s="90">
        <f t="shared" si="25"/>
        <v>0</v>
      </c>
      <c r="Q35" s="90">
        <f>SUM($L35:O35)</f>
        <v>0</v>
      </c>
      <c r="R35" s="89"/>
      <c r="AH35" s="90">
        <f t="shared" si="26"/>
        <v>0</v>
      </c>
      <c r="AI35" s="90">
        <f t="shared" si="27"/>
        <v>0</v>
      </c>
      <c r="AJ35" s="89"/>
      <c r="AZ35" s="90">
        <f t="shared" si="28"/>
        <v>0</v>
      </c>
      <c r="BA35" s="90">
        <f>SUM($AV35:AY35)</f>
        <v>0</v>
      </c>
      <c r="BQ35" s="90">
        <f t="shared" si="29"/>
        <v>0</v>
      </c>
      <c r="BR35" s="90">
        <f>SUM($BM35:BP35)</f>
        <v>0</v>
      </c>
      <c r="BS35" s="89"/>
    </row>
    <row r="36" spans="16:71" x14ac:dyDescent="0.25">
      <c r="P36" s="90">
        <f t="shared" si="25"/>
        <v>0</v>
      </c>
      <c r="Q36" s="90">
        <f>SUM($L36:O36)</f>
        <v>0</v>
      </c>
      <c r="R36" s="89"/>
      <c r="AH36" s="90">
        <f t="shared" si="26"/>
        <v>0</v>
      </c>
      <c r="AI36" s="90">
        <f t="shared" si="27"/>
        <v>0</v>
      </c>
      <c r="AJ36" s="89"/>
      <c r="AZ36" s="90">
        <f t="shared" si="28"/>
        <v>0</v>
      </c>
      <c r="BA36" s="90">
        <f>SUM($AV36:AY36)</f>
        <v>0</v>
      </c>
      <c r="BQ36" s="90">
        <f t="shared" si="29"/>
        <v>0</v>
      </c>
      <c r="BR36" s="90">
        <f>SUM($BM36:BP36)</f>
        <v>0</v>
      </c>
      <c r="BS36" s="89"/>
    </row>
    <row r="37" spans="16:71" x14ac:dyDescent="0.25">
      <c r="P37" s="90">
        <f t="shared" si="25"/>
        <v>0</v>
      </c>
      <c r="Q37" s="90">
        <f>SUM($L37:O37)</f>
        <v>0</v>
      </c>
      <c r="R37" s="89"/>
      <c r="AH37" s="90">
        <f t="shared" si="26"/>
        <v>0</v>
      </c>
      <c r="AI37" s="90">
        <f t="shared" si="27"/>
        <v>0</v>
      </c>
      <c r="AJ37" s="89"/>
      <c r="AZ37" s="90">
        <f t="shared" si="28"/>
        <v>0</v>
      </c>
      <c r="BA37" s="90">
        <f>SUM($AV37:AY37)</f>
        <v>0</v>
      </c>
      <c r="BQ37" s="90">
        <f t="shared" si="29"/>
        <v>0</v>
      </c>
      <c r="BR37" s="90">
        <f>SUM($BM37:BP37)</f>
        <v>0</v>
      </c>
      <c r="BS37" s="89"/>
    </row>
    <row r="38" spans="16:71" x14ac:dyDescent="0.25">
      <c r="P38" s="90">
        <f t="shared" si="25"/>
        <v>0</v>
      </c>
      <c r="Q38" s="90">
        <f>SUM($L38:O38)</f>
        <v>0</v>
      </c>
      <c r="R38" s="89"/>
      <c r="AH38" s="90">
        <f t="shared" si="26"/>
        <v>0</v>
      </c>
      <c r="AI38" s="90">
        <f t="shared" si="27"/>
        <v>0</v>
      </c>
      <c r="AJ38" s="89"/>
      <c r="AZ38" s="90">
        <f t="shared" si="28"/>
        <v>0</v>
      </c>
      <c r="BA38" s="90">
        <f>SUM($AV38:AY38)</f>
        <v>0</v>
      </c>
      <c r="BQ38" s="90">
        <f t="shared" si="29"/>
        <v>0</v>
      </c>
      <c r="BR38" s="90">
        <f>SUM($BM38:BP38)</f>
        <v>0</v>
      </c>
      <c r="BS38" s="89"/>
    </row>
    <row r="39" spans="16:71" x14ac:dyDescent="0.25">
      <c r="P39" s="90">
        <f t="shared" si="25"/>
        <v>0</v>
      </c>
      <c r="Q39" s="90">
        <f>SUM($L39:O39)</f>
        <v>0</v>
      </c>
      <c r="R39" s="89"/>
      <c r="AH39" s="90">
        <f t="shared" si="26"/>
        <v>0</v>
      </c>
      <c r="AI39" s="90">
        <f t="shared" si="27"/>
        <v>0</v>
      </c>
      <c r="AJ39" s="89"/>
      <c r="AZ39" s="90">
        <f t="shared" si="28"/>
        <v>0</v>
      </c>
      <c r="BA39" s="90">
        <f>SUM($AV39:AY39)</f>
        <v>0</v>
      </c>
      <c r="BQ39" s="90">
        <f t="shared" si="29"/>
        <v>0</v>
      </c>
      <c r="BR39" s="90">
        <f>SUM($BM39:BP39)</f>
        <v>0</v>
      </c>
      <c r="BS39" s="89"/>
    </row>
    <row r="40" spans="16:71" x14ac:dyDescent="0.25">
      <c r="P40" s="90">
        <f t="shared" si="25"/>
        <v>0</v>
      </c>
      <c r="Q40" s="90">
        <f>SUM($L40:O40)</f>
        <v>0</v>
      </c>
      <c r="R40" s="89"/>
      <c r="AH40" s="90">
        <f t="shared" si="26"/>
        <v>0</v>
      </c>
      <c r="AI40" s="90">
        <f t="shared" si="27"/>
        <v>0</v>
      </c>
      <c r="AJ40" s="89"/>
      <c r="AZ40" s="90">
        <f t="shared" si="28"/>
        <v>0</v>
      </c>
      <c r="BA40" s="90">
        <f>SUM($AV40:AY40)</f>
        <v>0</v>
      </c>
      <c r="BQ40" s="90">
        <f t="shared" si="29"/>
        <v>0</v>
      </c>
      <c r="BR40" s="90">
        <f>SUM($BM40:BP40)</f>
        <v>0</v>
      </c>
      <c r="BS40" s="89"/>
    </row>
    <row r="41" spans="16:71" x14ac:dyDescent="0.25">
      <c r="P41" s="90">
        <f t="shared" si="25"/>
        <v>0</v>
      </c>
      <c r="Q41" s="90">
        <f>SUM($L41:O41)</f>
        <v>0</v>
      </c>
      <c r="R41" s="89"/>
      <c r="AH41" s="90">
        <f t="shared" si="26"/>
        <v>0</v>
      </c>
      <c r="AI41" s="90">
        <f t="shared" si="27"/>
        <v>0</v>
      </c>
      <c r="AJ41" s="89"/>
      <c r="AZ41" s="90">
        <f t="shared" si="28"/>
        <v>0</v>
      </c>
      <c r="BA41" s="90">
        <f>SUM($AV41:AY41)</f>
        <v>0</v>
      </c>
      <c r="BQ41" s="90">
        <f t="shared" si="29"/>
        <v>0</v>
      </c>
      <c r="BR41" s="90">
        <f>SUM($BM41:BP41)</f>
        <v>0</v>
      </c>
      <c r="BS41" s="89"/>
    </row>
    <row r="42" spans="16:71" x14ac:dyDescent="0.25">
      <c r="P42" s="90">
        <f t="shared" si="25"/>
        <v>0</v>
      </c>
      <c r="Q42" s="90">
        <f>SUM($L42:O42)</f>
        <v>0</v>
      </c>
      <c r="R42" s="89"/>
      <c r="AH42" s="90">
        <f t="shared" si="26"/>
        <v>0</v>
      </c>
      <c r="AI42" s="90">
        <f t="shared" si="27"/>
        <v>0</v>
      </c>
      <c r="AJ42" s="89"/>
      <c r="AZ42" s="90">
        <f t="shared" si="28"/>
        <v>0</v>
      </c>
      <c r="BA42" s="90">
        <f>SUM($AV42:AY42)</f>
        <v>0</v>
      </c>
      <c r="BQ42" s="90">
        <f t="shared" si="29"/>
        <v>0</v>
      </c>
      <c r="BR42" s="90">
        <f>SUM($BM42:BP42)</f>
        <v>0</v>
      </c>
      <c r="BS42" s="89"/>
    </row>
    <row r="43" spans="16:71" x14ac:dyDescent="0.25">
      <c r="P43" s="90">
        <f t="shared" si="25"/>
        <v>0</v>
      </c>
      <c r="Q43" s="90">
        <f>SUM($L43:O43)</f>
        <v>0</v>
      </c>
      <c r="R43" s="89"/>
      <c r="AH43" s="90">
        <f t="shared" si="26"/>
        <v>0</v>
      </c>
      <c r="AI43" s="90">
        <f t="shared" si="27"/>
        <v>0</v>
      </c>
      <c r="AJ43" s="89"/>
      <c r="AZ43" s="90">
        <f t="shared" si="28"/>
        <v>0</v>
      </c>
      <c r="BA43" s="90">
        <f>SUM($AV43:AY43)</f>
        <v>0</v>
      </c>
      <c r="BQ43" s="90">
        <f t="shared" si="29"/>
        <v>0</v>
      </c>
      <c r="BR43" s="90">
        <f>SUM($BM43:BP43)</f>
        <v>0</v>
      </c>
      <c r="BS43" s="89"/>
    </row>
    <row r="44" spans="16:71" x14ac:dyDescent="0.25">
      <c r="P44" s="90">
        <f t="shared" si="25"/>
        <v>0</v>
      </c>
      <c r="Q44" s="90">
        <f>SUM($L44:O44)</f>
        <v>0</v>
      </c>
      <c r="R44" s="89"/>
      <c r="AH44" s="90">
        <f t="shared" si="26"/>
        <v>0</v>
      </c>
      <c r="AI44" s="90">
        <f t="shared" si="27"/>
        <v>0</v>
      </c>
      <c r="AJ44" s="89"/>
      <c r="AZ44" s="90">
        <f t="shared" si="28"/>
        <v>0</v>
      </c>
      <c r="BA44" s="90">
        <f>SUM($AV44:AY44)</f>
        <v>0</v>
      </c>
      <c r="BQ44" s="90">
        <f t="shared" si="29"/>
        <v>0</v>
      </c>
      <c r="BR44" s="90">
        <f>SUM($BM44:BP44)</f>
        <v>0</v>
      </c>
      <c r="BS44" s="89"/>
    </row>
    <row r="45" spans="16:71" x14ac:dyDescent="0.25">
      <c r="P45" s="90">
        <f t="shared" si="25"/>
        <v>0</v>
      </c>
      <c r="Q45" s="90">
        <f>SUM($L45:O45)</f>
        <v>0</v>
      </c>
      <c r="R45" s="89"/>
      <c r="AH45" s="90">
        <f t="shared" si="26"/>
        <v>0</v>
      </c>
      <c r="AI45" s="90">
        <f t="shared" si="27"/>
        <v>0</v>
      </c>
      <c r="AJ45" s="89"/>
      <c r="AZ45" s="90">
        <f t="shared" si="28"/>
        <v>0</v>
      </c>
      <c r="BA45" s="90">
        <f>SUM($AV45:AY45)</f>
        <v>0</v>
      </c>
      <c r="BQ45" s="90">
        <f t="shared" si="29"/>
        <v>0</v>
      </c>
      <c r="BR45" s="90">
        <f>SUM($BM45:BP45)</f>
        <v>0</v>
      </c>
      <c r="BS45" s="89"/>
    </row>
    <row r="46" spans="16:71" x14ac:dyDescent="0.25">
      <c r="P46" s="90">
        <f t="shared" si="25"/>
        <v>0</v>
      </c>
      <c r="Q46" s="90">
        <f>SUM($L46:O46)</f>
        <v>0</v>
      </c>
      <c r="R46" s="89"/>
      <c r="AH46" s="90">
        <f t="shared" si="26"/>
        <v>0</v>
      </c>
      <c r="AI46" s="90">
        <f t="shared" si="27"/>
        <v>0</v>
      </c>
      <c r="AJ46" s="89"/>
      <c r="AZ46" s="90">
        <f t="shared" si="28"/>
        <v>0</v>
      </c>
      <c r="BA46" s="90">
        <f>SUM($AV46:AY46)</f>
        <v>0</v>
      </c>
      <c r="BQ46" s="90">
        <f t="shared" si="29"/>
        <v>0</v>
      </c>
      <c r="BR46" s="90">
        <f>SUM($BM46:BP46)</f>
        <v>0</v>
      </c>
      <c r="BS46" s="89"/>
    </row>
    <row r="47" spans="16:71" x14ac:dyDescent="0.25">
      <c r="P47" s="90">
        <f t="shared" si="25"/>
        <v>0</v>
      </c>
      <c r="Q47" s="90">
        <f>SUM($L47:O47)</f>
        <v>0</v>
      </c>
      <c r="R47" s="89"/>
      <c r="AH47" s="90">
        <f t="shared" si="26"/>
        <v>0</v>
      </c>
      <c r="AI47" s="90">
        <f t="shared" si="27"/>
        <v>0</v>
      </c>
      <c r="AJ47" s="89"/>
      <c r="AZ47" s="90">
        <f t="shared" si="28"/>
        <v>0</v>
      </c>
      <c r="BA47" s="90">
        <f>SUM($AV47:AY47)</f>
        <v>0</v>
      </c>
      <c r="BQ47" s="90">
        <f t="shared" si="29"/>
        <v>0</v>
      </c>
      <c r="BR47" s="90">
        <f>SUM($BM47:BP47)</f>
        <v>0</v>
      </c>
      <c r="BS47" s="89"/>
    </row>
    <row r="48" spans="16:71" x14ac:dyDescent="0.25">
      <c r="P48" s="90">
        <f t="shared" si="25"/>
        <v>0</v>
      </c>
      <c r="Q48" s="90">
        <f>SUM($L48:O48)</f>
        <v>0</v>
      </c>
      <c r="R48" s="89"/>
      <c r="AH48" s="90">
        <f t="shared" si="26"/>
        <v>0</v>
      </c>
      <c r="AI48" s="90">
        <f t="shared" si="27"/>
        <v>0</v>
      </c>
      <c r="AJ48" s="89"/>
      <c r="AZ48" s="90">
        <f t="shared" si="28"/>
        <v>0</v>
      </c>
      <c r="BA48" s="90">
        <f>SUM($AV48:AY48)</f>
        <v>0</v>
      </c>
      <c r="BQ48" s="90">
        <f t="shared" si="29"/>
        <v>0</v>
      </c>
      <c r="BR48" s="90">
        <f>SUM($BM48:BP48)</f>
        <v>0</v>
      </c>
      <c r="BS48" s="89"/>
    </row>
    <row r="49" spans="16:71" x14ac:dyDescent="0.25">
      <c r="P49" s="90">
        <f t="shared" si="25"/>
        <v>0</v>
      </c>
      <c r="Q49" s="90">
        <f>SUM($L49:O49)</f>
        <v>0</v>
      </c>
      <c r="R49" s="89"/>
      <c r="AH49" s="90">
        <f t="shared" si="26"/>
        <v>0</v>
      </c>
      <c r="AI49" s="90">
        <f t="shared" si="27"/>
        <v>0</v>
      </c>
      <c r="AJ49" s="89"/>
      <c r="AZ49" s="90">
        <f t="shared" si="28"/>
        <v>0</v>
      </c>
      <c r="BA49" s="90">
        <f>SUM($AV49:AY49)</f>
        <v>0</v>
      </c>
      <c r="BQ49" s="90">
        <f t="shared" si="29"/>
        <v>0</v>
      </c>
      <c r="BR49" s="90">
        <f>SUM($BM49:BP49)</f>
        <v>0</v>
      </c>
      <c r="BS49" s="89"/>
    </row>
    <row r="50" spans="16:71" x14ac:dyDescent="0.25">
      <c r="P50" s="90">
        <f t="shared" si="25"/>
        <v>0</v>
      </c>
      <c r="Q50" s="90">
        <f>SUM($L50:O50)</f>
        <v>0</v>
      </c>
      <c r="R50" s="89"/>
      <c r="AH50" s="90">
        <f t="shared" si="26"/>
        <v>0</v>
      </c>
      <c r="AI50" s="90">
        <f t="shared" si="27"/>
        <v>0</v>
      </c>
      <c r="AJ50" s="89"/>
      <c r="AZ50" s="90">
        <f t="shared" si="28"/>
        <v>0</v>
      </c>
      <c r="BA50" s="90">
        <f>SUM($AV50:AY50)</f>
        <v>0</v>
      </c>
      <c r="BQ50" s="90">
        <f t="shared" si="29"/>
        <v>0</v>
      </c>
      <c r="BR50" s="90">
        <f>SUM($BM50:BP50)</f>
        <v>0</v>
      </c>
      <c r="BS50" s="89"/>
    </row>
    <row r="51" spans="16:71" x14ac:dyDescent="0.25">
      <c r="P51" s="90">
        <f t="shared" si="25"/>
        <v>0</v>
      </c>
      <c r="Q51" s="90">
        <f>SUM($L51:O51)</f>
        <v>0</v>
      </c>
      <c r="R51" s="89"/>
      <c r="AH51" s="90">
        <f t="shared" si="26"/>
        <v>0</v>
      </c>
      <c r="AI51" s="90">
        <f t="shared" si="27"/>
        <v>0</v>
      </c>
      <c r="AJ51" s="89"/>
      <c r="AZ51" s="90">
        <f t="shared" si="28"/>
        <v>0</v>
      </c>
      <c r="BA51" s="90">
        <f>SUM($AV51:AY51)</f>
        <v>0</v>
      </c>
      <c r="BQ51" s="90">
        <f t="shared" si="29"/>
        <v>0</v>
      </c>
      <c r="BR51" s="90">
        <f>SUM($BM51:BP51)</f>
        <v>0</v>
      </c>
      <c r="BS51" s="89"/>
    </row>
    <row r="52" spans="16:71" x14ac:dyDescent="0.25">
      <c r="P52" s="90">
        <f t="shared" si="25"/>
        <v>0</v>
      </c>
      <c r="Q52" s="90">
        <f>SUM($L52:O52)</f>
        <v>0</v>
      </c>
      <c r="R52" s="89"/>
      <c r="AH52" s="90">
        <f t="shared" si="26"/>
        <v>0</v>
      </c>
      <c r="AI52" s="90">
        <f t="shared" si="27"/>
        <v>0</v>
      </c>
      <c r="AJ52" s="89"/>
      <c r="AZ52" s="90">
        <f t="shared" si="28"/>
        <v>0</v>
      </c>
      <c r="BA52" s="90">
        <f>SUM($AV52:AY52)</f>
        <v>0</v>
      </c>
      <c r="BQ52" s="90">
        <f t="shared" si="29"/>
        <v>0</v>
      </c>
      <c r="BR52" s="90">
        <f>SUM($BM52:BP52)</f>
        <v>0</v>
      </c>
      <c r="BS52" s="89"/>
    </row>
    <row r="53" spans="16:71" x14ac:dyDescent="0.25">
      <c r="P53" s="90">
        <f t="shared" si="25"/>
        <v>0</v>
      </c>
      <c r="Q53" s="90">
        <f>SUM($L53:O53)</f>
        <v>0</v>
      </c>
      <c r="R53" s="89"/>
      <c r="AH53" s="90">
        <f t="shared" si="26"/>
        <v>0</v>
      </c>
      <c r="AI53" s="90">
        <f t="shared" si="27"/>
        <v>0</v>
      </c>
      <c r="AJ53" s="89"/>
      <c r="AZ53" s="90">
        <f t="shared" si="28"/>
        <v>0</v>
      </c>
      <c r="BA53" s="90">
        <f>SUM($AV53:AY53)</f>
        <v>0</v>
      </c>
      <c r="BQ53" s="90">
        <f t="shared" si="29"/>
        <v>0</v>
      </c>
      <c r="BR53" s="90">
        <f>SUM($BM53:BP53)</f>
        <v>0</v>
      </c>
      <c r="BS53" s="89"/>
    </row>
    <row r="54" spans="16:71" x14ac:dyDescent="0.25">
      <c r="P54" s="90">
        <f t="shared" si="25"/>
        <v>0</v>
      </c>
      <c r="Q54" s="90">
        <f>SUM($L54:O54)</f>
        <v>0</v>
      </c>
      <c r="R54" s="89"/>
      <c r="AH54" s="90">
        <f t="shared" si="26"/>
        <v>0</v>
      </c>
      <c r="AI54" s="90">
        <f t="shared" si="27"/>
        <v>0</v>
      </c>
      <c r="AJ54" s="89"/>
      <c r="AZ54" s="90">
        <f t="shared" si="28"/>
        <v>0</v>
      </c>
      <c r="BA54" s="90">
        <f>SUM($AV54:AY54)</f>
        <v>0</v>
      </c>
      <c r="BQ54" s="90">
        <f t="shared" si="29"/>
        <v>0</v>
      </c>
      <c r="BR54" s="90">
        <f>SUM($BM54:BP54)</f>
        <v>0</v>
      </c>
      <c r="BS54" s="89"/>
    </row>
    <row r="55" spans="16:71" x14ac:dyDescent="0.25">
      <c r="P55" s="90">
        <f t="shared" si="25"/>
        <v>0</v>
      </c>
      <c r="Q55" s="90">
        <f>SUM($L55:O55)</f>
        <v>0</v>
      </c>
      <c r="R55" s="89"/>
      <c r="AH55" s="90">
        <f t="shared" si="26"/>
        <v>0</v>
      </c>
      <c r="AI55" s="90">
        <f t="shared" si="27"/>
        <v>0</v>
      </c>
      <c r="AJ55" s="89"/>
      <c r="AZ55" s="90">
        <f t="shared" si="28"/>
        <v>0</v>
      </c>
      <c r="BA55" s="90">
        <f>SUM($AV55:AY55)</f>
        <v>0</v>
      </c>
      <c r="BQ55" s="90">
        <f t="shared" si="29"/>
        <v>0</v>
      </c>
      <c r="BR55" s="90">
        <f>SUM($BM55:BP55)</f>
        <v>0</v>
      </c>
      <c r="BS55" s="89"/>
    </row>
    <row r="56" spans="16:71" x14ac:dyDescent="0.25">
      <c r="P56" s="90">
        <f t="shared" si="25"/>
        <v>0</v>
      </c>
      <c r="Q56" s="90">
        <f>SUM($L56:O56)</f>
        <v>0</v>
      </c>
      <c r="R56" s="89"/>
      <c r="AH56" s="90">
        <f t="shared" si="26"/>
        <v>0</v>
      </c>
      <c r="AI56" s="90">
        <f t="shared" si="27"/>
        <v>0</v>
      </c>
      <c r="AJ56" s="89"/>
      <c r="AZ56" s="90">
        <f t="shared" si="28"/>
        <v>0</v>
      </c>
      <c r="BA56" s="90">
        <f>SUM($AV56:AY56)</f>
        <v>0</v>
      </c>
      <c r="BQ56" s="90">
        <f t="shared" si="29"/>
        <v>0</v>
      </c>
      <c r="BR56" s="90">
        <f>SUM($BM56:BP56)</f>
        <v>0</v>
      </c>
      <c r="BS56" s="89"/>
    </row>
    <row r="57" spans="16:71" x14ac:dyDescent="0.25">
      <c r="P57" s="90">
        <f t="shared" si="25"/>
        <v>0</v>
      </c>
      <c r="Q57" s="90">
        <f>SUM($L57:O57)</f>
        <v>0</v>
      </c>
      <c r="R57" s="89"/>
      <c r="AH57" s="90">
        <f t="shared" si="26"/>
        <v>0</v>
      </c>
      <c r="AI57" s="90">
        <f t="shared" si="27"/>
        <v>0</v>
      </c>
      <c r="AJ57" s="89"/>
      <c r="AZ57" s="90">
        <f t="shared" si="28"/>
        <v>0</v>
      </c>
      <c r="BA57" s="90">
        <f>SUM($AV57:AY57)</f>
        <v>0</v>
      </c>
      <c r="BQ57" s="90">
        <f t="shared" si="29"/>
        <v>0</v>
      </c>
      <c r="BR57" s="90">
        <f>SUM($BM57:BP57)</f>
        <v>0</v>
      </c>
      <c r="BS57" s="89"/>
    </row>
    <row r="58" spans="16:71" x14ac:dyDescent="0.25">
      <c r="P58" s="90">
        <f t="shared" si="25"/>
        <v>0</v>
      </c>
      <c r="Q58" s="90">
        <f>SUM($L58:O58)</f>
        <v>0</v>
      </c>
      <c r="R58" s="89"/>
      <c r="AH58" s="90">
        <f t="shared" si="26"/>
        <v>0</v>
      </c>
      <c r="AI58" s="90">
        <f t="shared" si="27"/>
        <v>0</v>
      </c>
      <c r="AJ58" s="89"/>
      <c r="AZ58" s="90">
        <f t="shared" si="28"/>
        <v>0</v>
      </c>
      <c r="BA58" s="90">
        <f>SUM($AV58:AY58)</f>
        <v>0</v>
      </c>
      <c r="BQ58" s="90">
        <f t="shared" si="29"/>
        <v>0</v>
      </c>
      <c r="BR58" s="90">
        <f>SUM($BM58:BP58)</f>
        <v>0</v>
      </c>
      <c r="BS58" s="89"/>
    </row>
    <row r="59" spans="16:71" x14ac:dyDescent="0.25">
      <c r="P59" s="90">
        <f t="shared" si="25"/>
        <v>0</v>
      </c>
      <c r="Q59" s="90">
        <f>SUM($L59:O59)</f>
        <v>0</v>
      </c>
      <c r="R59" s="89"/>
      <c r="AH59" s="90">
        <f t="shared" si="26"/>
        <v>0</v>
      </c>
      <c r="AI59" s="90">
        <f t="shared" si="27"/>
        <v>0</v>
      </c>
      <c r="AJ59" s="89"/>
      <c r="AZ59" s="90">
        <f t="shared" si="28"/>
        <v>0</v>
      </c>
      <c r="BA59" s="90">
        <f>SUM($AV59:AY59)</f>
        <v>0</v>
      </c>
      <c r="BQ59" s="90">
        <f t="shared" si="29"/>
        <v>0</v>
      </c>
      <c r="BR59" s="90">
        <f>SUM($BM59:BP59)</f>
        <v>0</v>
      </c>
      <c r="BS59" s="89"/>
    </row>
    <row r="60" spans="16:71" x14ac:dyDescent="0.25">
      <c r="P60" s="90">
        <f t="shared" si="25"/>
        <v>0</v>
      </c>
      <c r="Q60" s="90">
        <f>SUM($L60:O60)</f>
        <v>0</v>
      </c>
      <c r="R60" s="89"/>
      <c r="AH60" s="90">
        <f t="shared" si="26"/>
        <v>0</v>
      </c>
      <c r="AI60" s="90">
        <f t="shared" si="27"/>
        <v>0</v>
      </c>
      <c r="AJ60" s="89"/>
      <c r="AZ60" s="90">
        <f t="shared" si="28"/>
        <v>0</v>
      </c>
      <c r="BA60" s="90">
        <f>SUM($AV60:AY60)</f>
        <v>0</v>
      </c>
      <c r="BQ60" s="90">
        <f t="shared" si="29"/>
        <v>0</v>
      </c>
      <c r="BR60" s="90">
        <f>SUM($BM60:BP60)</f>
        <v>0</v>
      </c>
      <c r="BS60" s="89"/>
    </row>
    <row r="61" spans="16:71" x14ac:dyDescent="0.25">
      <c r="P61" s="90">
        <f t="shared" si="25"/>
        <v>0</v>
      </c>
      <c r="Q61" s="90">
        <f>SUM($L61:O61)</f>
        <v>0</v>
      </c>
      <c r="R61" s="89"/>
      <c r="AH61" s="90">
        <f t="shared" si="26"/>
        <v>0</v>
      </c>
      <c r="AI61" s="90">
        <f t="shared" si="27"/>
        <v>0</v>
      </c>
      <c r="AJ61" s="89"/>
      <c r="AZ61" s="90">
        <f t="shared" si="28"/>
        <v>0</v>
      </c>
      <c r="BA61" s="90">
        <f>SUM($AV61:AY61)</f>
        <v>0</v>
      </c>
      <c r="BQ61" s="90">
        <f t="shared" si="29"/>
        <v>0</v>
      </c>
      <c r="BR61" s="90">
        <f>SUM($BM61:BP61)</f>
        <v>0</v>
      </c>
      <c r="BS61" s="89"/>
    </row>
    <row r="62" spans="16:71" x14ac:dyDescent="0.25">
      <c r="P62" s="90">
        <f t="shared" si="25"/>
        <v>0</v>
      </c>
      <c r="Q62" s="90">
        <f>SUM($L62:O62)</f>
        <v>0</v>
      </c>
      <c r="R62" s="89"/>
      <c r="AH62" s="90">
        <f t="shared" si="26"/>
        <v>0</v>
      </c>
      <c r="AI62" s="90">
        <f t="shared" si="27"/>
        <v>0</v>
      </c>
      <c r="AJ62" s="89"/>
      <c r="AZ62" s="90">
        <f t="shared" si="28"/>
        <v>0</v>
      </c>
      <c r="BA62" s="90">
        <f>SUM($AV62:AY62)</f>
        <v>0</v>
      </c>
      <c r="BQ62" s="90">
        <f t="shared" si="29"/>
        <v>0</v>
      </c>
      <c r="BR62" s="90">
        <f>SUM($BM62:BP62)</f>
        <v>0</v>
      </c>
      <c r="BS62" s="89"/>
    </row>
    <row r="63" spans="16:71" x14ac:dyDescent="0.25">
      <c r="P63" s="90">
        <f t="shared" si="25"/>
        <v>0</v>
      </c>
      <c r="Q63" s="90">
        <f>SUM($L63:O63)</f>
        <v>0</v>
      </c>
      <c r="R63" s="89"/>
      <c r="AH63" s="90">
        <f t="shared" si="26"/>
        <v>0</v>
      </c>
      <c r="AI63" s="90">
        <f t="shared" si="27"/>
        <v>0</v>
      </c>
      <c r="AJ63" s="89"/>
      <c r="AZ63" s="90">
        <f t="shared" si="28"/>
        <v>0</v>
      </c>
      <c r="BA63" s="90">
        <f>SUM($AV63:AY63)</f>
        <v>0</v>
      </c>
      <c r="BQ63" s="90">
        <f t="shared" si="29"/>
        <v>0</v>
      </c>
      <c r="BR63" s="90">
        <f>SUM($BM63:BP63)</f>
        <v>0</v>
      </c>
      <c r="BS63" s="89"/>
    </row>
    <row r="64" spans="16:71" x14ac:dyDescent="0.25">
      <c r="P64" s="90">
        <f t="shared" si="25"/>
        <v>0</v>
      </c>
      <c r="Q64" s="90">
        <f>SUM($L64:O64)</f>
        <v>0</v>
      </c>
      <c r="R64" s="89"/>
      <c r="AH64" s="90">
        <f t="shared" si="26"/>
        <v>0</v>
      </c>
      <c r="AI64" s="90">
        <f t="shared" si="27"/>
        <v>0</v>
      </c>
      <c r="AJ64" s="89"/>
      <c r="AZ64" s="90">
        <f t="shared" si="28"/>
        <v>0</v>
      </c>
      <c r="BA64" s="90">
        <f>SUM($AV64:AY64)</f>
        <v>0</v>
      </c>
      <c r="BQ64" s="90">
        <f t="shared" si="29"/>
        <v>0</v>
      </c>
      <c r="BR64" s="90">
        <f>SUM($BM64:BP64)</f>
        <v>0</v>
      </c>
      <c r="BS64" s="89"/>
    </row>
    <row r="65" spans="16:71" x14ac:dyDescent="0.25">
      <c r="P65" s="90">
        <f t="shared" si="25"/>
        <v>0</v>
      </c>
      <c r="Q65" s="90">
        <f>SUM($L65:O65)</f>
        <v>0</v>
      </c>
      <c r="R65" s="89"/>
      <c r="AH65" s="90">
        <f t="shared" si="26"/>
        <v>0</v>
      </c>
      <c r="AI65" s="90">
        <f t="shared" si="27"/>
        <v>0</v>
      </c>
      <c r="AJ65" s="89"/>
      <c r="AZ65" s="90">
        <f t="shared" si="28"/>
        <v>0</v>
      </c>
      <c r="BA65" s="90">
        <f>SUM($AV65:AY65)</f>
        <v>0</v>
      </c>
      <c r="BQ65" s="90">
        <f t="shared" si="29"/>
        <v>0</v>
      </c>
      <c r="BR65" s="90">
        <f>SUM($BM65:BP65)</f>
        <v>0</v>
      </c>
      <c r="BS65" s="89"/>
    </row>
    <row r="66" spans="16:71" x14ac:dyDescent="0.25">
      <c r="P66" s="90">
        <f t="shared" si="25"/>
        <v>0</v>
      </c>
      <c r="Q66" s="90">
        <f>SUM($L66:O66)</f>
        <v>0</v>
      </c>
      <c r="R66" s="89"/>
      <c r="AH66" s="90">
        <f t="shared" si="26"/>
        <v>0</v>
      </c>
      <c r="AI66" s="90">
        <f t="shared" si="27"/>
        <v>0</v>
      </c>
      <c r="AJ66" s="89"/>
      <c r="AZ66" s="90">
        <f t="shared" si="28"/>
        <v>0</v>
      </c>
      <c r="BA66" s="90">
        <f>SUM($AV66:AY66)</f>
        <v>0</v>
      </c>
      <c r="BQ66" s="90">
        <f t="shared" si="29"/>
        <v>0</v>
      </c>
      <c r="BR66" s="90">
        <f>SUM($BM66:BP66)</f>
        <v>0</v>
      </c>
      <c r="BS66" s="89"/>
    </row>
    <row r="67" spans="16:71" x14ac:dyDescent="0.25">
      <c r="P67" s="90">
        <f t="shared" si="25"/>
        <v>0</v>
      </c>
      <c r="Q67" s="90">
        <f>SUM($L67:O67)</f>
        <v>0</v>
      </c>
      <c r="R67" s="89"/>
      <c r="AH67" s="90">
        <f t="shared" si="26"/>
        <v>0</v>
      </c>
      <c r="AI67" s="90">
        <f t="shared" si="27"/>
        <v>0</v>
      </c>
      <c r="AJ67" s="89"/>
      <c r="AZ67" s="90">
        <f t="shared" si="28"/>
        <v>0</v>
      </c>
      <c r="BA67" s="90">
        <f>SUM($AV67:AY67)</f>
        <v>0</v>
      </c>
      <c r="BQ67" s="90">
        <f t="shared" si="29"/>
        <v>0</v>
      </c>
      <c r="BR67" s="90">
        <f>SUM($BM67:BP67)</f>
        <v>0</v>
      </c>
      <c r="BS67" s="89"/>
    </row>
    <row r="68" spans="16:71" x14ac:dyDescent="0.25">
      <c r="P68" s="90">
        <f t="shared" si="25"/>
        <v>0</v>
      </c>
      <c r="Q68" s="90">
        <f>SUM($L68:O68)</f>
        <v>0</v>
      </c>
      <c r="R68" s="89"/>
      <c r="AH68" s="90">
        <f t="shared" si="26"/>
        <v>0</v>
      </c>
      <c r="AI68" s="90">
        <f t="shared" si="27"/>
        <v>0</v>
      </c>
      <c r="AJ68" s="89"/>
      <c r="AZ68" s="90">
        <f t="shared" si="28"/>
        <v>0</v>
      </c>
      <c r="BA68" s="90">
        <f>SUM($AV68:AY68)</f>
        <v>0</v>
      </c>
      <c r="BQ68" s="90">
        <f t="shared" si="29"/>
        <v>0</v>
      </c>
      <c r="BR68" s="90">
        <f>SUM($BM68:BP68)</f>
        <v>0</v>
      </c>
      <c r="BS68" s="89"/>
    </row>
    <row r="69" spans="16:71" x14ac:dyDescent="0.25">
      <c r="P69" s="90">
        <f t="shared" ref="P69:P132" si="30">SUM(B69:K69)</f>
        <v>0</v>
      </c>
      <c r="Q69" s="90">
        <f>SUM($L69:O69)</f>
        <v>0</v>
      </c>
      <c r="R69" s="89"/>
      <c r="AH69" s="90">
        <f t="shared" ref="AH69:AH132" si="31">SUM(T69:AC69)</f>
        <v>0</v>
      </c>
      <c r="AI69" s="90">
        <f t="shared" ref="AI69:AI132" si="32">SUM(AD69:AF69)</f>
        <v>0</v>
      </c>
      <c r="AJ69" s="89"/>
      <c r="AZ69" s="90">
        <f t="shared" ref="AZ69:AZ132" si="33">SUM(AL69:AU69)</f>
        <v>0</v>
      </c>
      <c r="BA69" s="90">
        <f>SUM($AV69:AY69)</f>
        <v>0</v>
      </c>
      <c r="BQ69" s="90">
        <f t="shared" ref="BQ69:BQ132" si="34">SUM(BC69:BL69)</f>
        <v>0</v>
      </c>
      <c r="BR69" s="90">
        <f>SUM($BM69:BP69)</f>
        <v>0</v>
      </c>
      <c r="BS69" s="89"/>
    </row>
    <row r="70" spans="16:71" x14ac:dyDescent="0.25">
      <c r="P70" s="90">
        <f t="shared" si="30"/>
        <v>0</v>
      </c>
      <c r="Q70" s="90">
        <f>SUM($L70:O70)</f>
        <v>0</v>
      </c>
      <c r="R70" s="89"/>
      <c r="AH70" s="90">
        <f t="shared" si="31"/>
        <v>0</v>
      </c>
      <c r="AI70" s="90">
        <f t="shared" si="32"/>
        <v>0</v>
      </c>
      <c r="AJ70" s="89"/>
      <c r="AZ70" s="90">
        <f t="shared" si="33"/>
        <v>0</v>
      </c>
      <c r="BA70" s="90">
        <f>SUM($AV70:AY70)</f>
        <v>0</v>
      </c>
      <c r="BQ70" s="90">
        <f t="shared" si="34"/>
        <v>0</v>
      </c>
      <c r="BR70" s="90">
        <f>SUM($BM70:BP70)</f>
        <v>0</v>
      </c>
      <c r="BS70" s="89"/>
    </row>
    <row r="71" spans="16:71" x14ac:dyDescent="0.25">
      <c r="P71" s="90">
        <f t="shared" si="30"/>
        <v>0</v>
      </c>
      <c r="Q71" s="90">
        <f>SUM($L71:O71)</f>
        <v>0</v>
      </c>
      <c r="R71" s="89"/>
      <c r="AH71" s="90">
        <f t="shared" si="31"/>
        <v>0</v>
      </c>
      <c r="AI71" s="90">
        <f t="shared" si="32"/>
        <v>0</v>
      </c>
      <c r="AJ71" s="89"/>
      <c r="AZ71" s="90">
        <f t="shared" si="33"/>
        <v>0</v>
      </c>
      <c r="BA71" s="90">
        <f>SUM($AV71:AY71)</f>
        <v>0</v>
      </c>
      <c r="BQ71" s="90">
        <f t="shared" si="34"/>
        <v>0</v>
      </c>
      <c r="BR71" s="90">
        <f>SUM($BM71:BP71)</f>
        <v>0</v>
      </c>
      <c r="BS71" s="89"/>
    </row>
    <row r="72" spans="16:71" x14ac:dyDescent="0.25">
      <c r="P72" s="90">
        <f t="shared" si="30"/>
        <v>0</v>
      </c>
      <c r="Q72" s="90">
        <f>SUM($L72:O72)</f>
        <v>0</v>
      </c>
      <c r="R72" s="89"/>
      <c r="AH72" s="90">
        <f t="shared" si="31"/>
        <v>0</v>
      </c>
      <c r="AI72" s="90">
        <f t="shared" si="32"/>
        <v>0</v>
      </c>
      <c r="AJ72" s="89"/>
      <c r="AZ72" s="90">
        <f t="shared" si="33"/>
        <v>0</v>
      </c>
      <c r="BA72" s="90">
        <f>SUM($AV72:AY72)</f>
        <v>0</v>
      </c>
      <c r="BQ72" s="90">
        <f t="shared" si="34"/>
        <v>0</v>
      </c>
      <c r="BR72" s="90">
        <f>SUM($BM72:BP72)</f>
        <v>0</v>
      </c>
      <c r="BS72" s="89"/>
    </row>
    <row r="73" spans="16:71" x14ac:dyDescent="0.25">
      <c r="P73" s="90">
        <f t="shared" si="30"/>
        <v>0</v>
      </c>
      <c r="Q73" s="90">
        <f>SUM($L73:O73)</f>
        <v>0</v>
      </c>
      <c r="R73" s="89"/>
      <c r="AH73" s="90">
        <f t="shared" si="31"/>
        <v>0</v>
      </c>
      <c r="AI73" s="90">
        <f t="shared" si="32"/>
        <v>0</v>
      </c>
      <c r="AJ73" s="89"/>
      <c r="AZ73" s="90">
        <f t="shared" si="33"/>
        <v>0</v>
      </c>
      <c r="BA73" s="90">
        <f>SUM($AV73:AY73)</f>
        <v>0</v>
      </c>
      <c r="BQ73" s="90">
        <f t="shared" si="34"/>
        <v>0</v>
      </c>
      <c r="BR73" s="90">
        <f>SUM($BM73:BP73)</f>
        <v>0</v>
      </c>
      <c r="BS73" s="89"/>
    </row>
    <row r="74" spans="16:71" x14ac:dyDescent="0.25">
      <c r="P74" s="90">
        <f t="shared" si="30"/>
        <v>0</v>
      </c>
      <c r="Q74" s="90">
        <f>SUM($L74:O74)</f>
        <v>0</v>
      </c>
      <c r="R74" s="89"/>
      <c r="AH74" s="90">
        <f t="shared" si="31"/>
        <v>0</v>
      </c>
      <c r="AI74" s="90">
        <f t="shared" si="32"/>
        <v>0</v>
      </c>
      <c r="AJ74" s="89"/>
      <c r="AZ74" s="90">
        <f t="shared" si="33"/>
        <v>0</v>
      </c>
      <c r="BA74" s="90">
        <f>SUM($AV74:AY74)</f>
        <v>0</v>
      </c>
      <c r="BQ74" s="90">
        <f t="shared" si="34"/>
        <v>0</v>
      </c>
      <c r="BR74" s="90">
        <f>SUM($BM74:BP74)</f>
        <v>0</v>
      </c>
      <c r="BS74" s="89"/>
    </row>
    <row r="75" spans="16:71" x14ac:dyDescent="0.25">
      <c r="P75" s="90">
        <f t="shared" si="30"/>
        <v>0</v>
      </c>
      <c r="Q75" s="90">
        <f>SUM($L75:O75)</f>
        <v>0</v>
      </c>
      <c r="R75" s="89"/>
      <c r="AH75" s="90">
        <f t="shared" si="31"/>
        <v>0</v>
      </c>
      <c r="AI75" s="90">
        <f t="shared" si="32"/>
        <v>0</v>
      </c>
      <c r="AJ75" s="89"/>
      <c r="AZ75" s="90">
        <f t="shared" si="33"/>
        <v>0</v>
      </c>
      <c r="BA75" s="90">
        <f>SUM($AV75:AY75)</f>
        <v>0</v>
      </c>
      <c r="BQ75" s="90">
        <f t="shared" si="34"/>
        <v>0</v>
      </c>
      <c r="BR75" s="90">
        <f>SUM($BM75:BP75)</f>
        <v>0</v>
      </c>
      <c r="BS75" s="89"/>
    </row>
    <row r="76" spans="16:71" x14ac:dyDescent="0.25">
      <c r="P76" s="90">
        <f t="shared" si="30"/>
        <v>0</v>
      </c>
      <c r="Q76" s="90">
        <f>SUM($L76:O76)</f>
        <v>0</v>
      </c>
      <c r="R76" s="89"/>
      <c r="AH76" s="90">
        <f t="shared" si="31"/>
        <v>0</v>
      </c>
      <c r="AI76" s="90">
        <f t="shared" si="32"/>
        <v>0</v>
      </c>
      <c r="AJ76" s="89"/>
      <c r="AZ76" s="90">
        <f t="shared" si="33"/>
        <v>0</v>
      </c>
      <c r="BA76" s="90">
        <f>SUM($AV76:AY76)</f>
        <v>0</v>
      </c>
      <c r="BQ76" s="90">
        <f t="shared" si="34"/>
        <v>0</v>
      </c>
      <c r="BR76" s="90">
        <f>SUM($BM76:BP76)</f>
        <v>0</v>
      </c>
      <c r="BS76" s="89"/>
    </row>
    <row r="77" spans="16:71" x14ac:dyDescent="0.25">
      <c r="P77" s="90">
        <f t="shared" si="30"/>
        <v>0</v>
      </c>
      <c r="Q77" s="90">
        <f>SUM($L77:O77)</f>
        <v>0</v>
      </c>
      <c r="R77" s="89"/>
      <c r="AH77" s="90">
        <f t="shared" si="31"/>
        <v>0</v>
      </c>
      <c r="AI77" s="90">
        <f t="shared" si="32"/>
        <v>0</v>
      </c>
      <c r="AJ77" s="89"/>
      <c r="AZ77" s="90">
        <f t="shared" si="33"/>
        <v>0</v>
      </c>
      <c r="BA77" s="90">
        <f>SUM($AV77:AY77)</f>
        <v>0</v>
      </c>
      <c r="BQ77" s="90">
        <f t="shared" si="34"/>
        <v>0</v>
      </c>
      <c r="BR77" s="90">
        <f>SUM($BM77:BP77)</f>
        <v>0</v>
      </c>
      <c r="BS77" s="89"/>
    </row>
    <row r="78" spans="16:71" x14ac:dyDescent="0.25">
      <c r="P78" s="90">
        <f t="shared" si="30"/>
        <v>0</v>
      </c>
      <c r="Q78" s="90">
        <f>SUM($L78:O78)</f>
        <v>0</v>
      </c>
      <c r="R78" s="89"/>
      <c r="AH78" s="90">
        <f t="shared" si="31"/>
        <v>0</v>
      </c>
      <c r="AI78" s="90">
        <f t="shared" si="32"/>
        <v>0</v>
      </c>
      <c r="AJ78" s="89"/>
      <c r="AZ78" s="90">
        <f t="shared" si="33"/>
        <v>0</v>
      </c>
      <c r="BA78" s="90">
        <f>SUM($AV78:AY78)</f>
        <v>0</v>
      </c>
      <c r="BQ78" s="90">
        <f t="shared" si="34"/>
        <v>0</v>
      </c>
      <c r="BR78" s="90">
        <f>SUM($BM78:BP78)</f>
        <v>0</v>
      </c>
      <c r="BS78" s="89"/>
    </row>
    <row r="79" spans="16:71" x14ac:dyDescent="0.25">
      <c r="P79" s="90">
        <f t="shared" si="30"/>
        <v>0</v>
      </c>
      <c r="Q79" s="90">
        <f>SUM($L79:O79)</f>
        <v>0</v>
      </c>
      <c r="R79" s="89"/>
      <c r="AH79" s="90">
        <f t="shared" si="31"/>
        <v>0</v>
      </c>
      <c r="AI79" s="90">
        <f t="shared" si="32"/>
        <v>0</v>
      </c>
      <c r="AJ79" s="89"/>
      <c r="AZ79" s="90">
        <f t="shared" si="33"/>
        <v>0</v>
      </c>
      <c r="BA79" s="90">
        <f>SUM($AV79:AY79)</f>
        <v>0</v>
      </c>
      <c r="BQ79" s="90">
        <f t="shared" si="34"/>
        <v>0</v>
      </c>
      <c r="BR79" s="90">
        <f>SUM($BM79:BP79)</f>
        <v>0</v>
      </c>
      <c r="BS79" s="89"/>
    </row>
    <row r="80" spans="16:71" x14ac:dyDescent="0.25">
      <c r="P80" s="90">
        <f t="shared" si="30"/>
        <v>0</v>
      </c>
      <c r="Q80" s="90">
        <f>SUM($L80:O80)</f>
        <v>0</v>
      </c>
      <c r="R80" s="89"/>
      <c r="AH80" s="90">
        <f t="shared" si="31"/>
        <v>0</v>
      </c>
      <c r="AI80" s="90">
        <f t="shared" si="32"/>
        <v>0</v>
      </c>
      <c r="AJ80" s="89"/>
      <c r="AZ80" s="90">
        <f t="shared" si="33"/>
        <v>0</v>
      </c>
      <c r="BA80" s="90">
        <f>SUM($AV80:AY80)</f>
        <v>0</v>
      </c>
      <c r="BQ80" s="90">
        <f t="shared" si="34"/>
        <v>0</v>
      </c>
      <c r="BR80" s="90">
        <f>SUM($BM80:BP80)</f>
        <v>0</v>
      </c>
      <c r="BS80" s="89"/>
    </row>
    <row r="81" spans="16:71" x14ac:dyDescent="0.25">
      <c r="P81" s="90">
        <f t="shared" si="30"/>
        <v>0</v>
      </c>
      <c r="Q81" s="90">
        <f>SUM($L81:O81)</f>
        <v>0</v>
      </c>
      <c r="R81" s="89"/>
      <c r="AH81" s="90">
        <f t="shared" si="31"/>
        <v>0</v>
      </c>
      <c r="AI81" s="90">
        <f t="shared" si="32"/>
        <v>0</v>
      </c>
      <c r="AJ81" s="89"/>
      <c r="AZ81" s="90">
        <f t="shared" si="33"/>
        <v>0</v>
      </c>
      <c r="BA81" s="90">
        <f>SUM($AV81:AY81)</f>
        <v>0</v>
      </c>
      <c r="BQ81" s="90">
        <f t="shared" si="34"/>
        <v>0</v>
      </c>
      <c r="BR81" s="90">
        <f>SUM($BM81:BP81)</f>
        <v>0</v>
      </c>
      <c r="BS81" s="89"/>
    </row>
    <row r="82" spans="16:71" x14ac:dyDescent="0.25">
      <c r="P82" s="90">
        <f t="shared" si="30"/>
        <v>0</v>
      </c>
      <c r="Q82" s="90">
        <f>SUM($L82:O82)</f>
        <v>0</v>
      </c>
      <c r="R82" s="89"/>
      <c r="AH82" s="90">
        <f t="shared" si="31"/>
        <v>0</v>
      </c>
      <c r="AI82" s="90">
        <f t="shared" si="32"/>
        <v>0</v>
      </c>
      <c r="AJ82" s="89"/>
      <c r="AZ82" s="90">
        <f t="shared" si="33"/>
        <v>0</v>
      </c>
      <c r="BA82" s="90">
        <f>SUM($AV82:AY82)</f>
        <v>0</v>
      </c>
      <c r="BQ82" s="90">
        <f t="shared" si="34"/>
        <v>0</v>
      </c>
      <c r="BR82" s="90">
        <f>SUM($BM82:BP82)</f>
        <v>0</v>
      </c>
      <c r="BS82" s="89"/>
    </row>
    <row r="83" spans="16:71" x14ac:dyDescent="0.25">
      <c r="P83" s="90">
        <f t="shared" si="30"/>
        <v>0</v>
      </c>
      <c r="Q83" s="90">
        <f>SUM($L83:O83)</f>
        <v>0</v>
      </c>
      <c r="R83" s="89"/>
      <c r="AH83" s="90">
        <f t="shared" si="31"/>
        <v>0</v>
      </c>
      <c r="AI83" s="90">
        <f t="shared" si="32"/>
        <v>0</v>
      </c>
      <c r="AJ83" s="89"/>
      <c r="AZ83" s="90">
        <f t="shared" si="33"/>
        <v>0</v>
      </c>
      <c r="BA83" s="90">
        <f>SUM($AV83:AY83)</f>
        <v>0</v>
      </c>
      <c r="BQ83" s="90">
        <f t="shared" si="34"/>
        <v>0</v>
      </c>
      <c r="BR83" s="90">
        <f>SUM($BM83:BP83)</f>
        <v>0</v>
      </c>
      <c r="BS83" s="89"/>
    </row>
    <row r="84" spans="16:71" x14ac:dyDescent="0.25">
      <c r="P84" s="90">
        <f t="shared" si="30"/>
        <v>0</v>
      </c>
      <c r="Q84" s="90">
        <f>SUM($L84:O84)</f>
        <v>0</v>
      </c>
      <c r="R84" s="89"/>
      <c r="AH84" s="90">
        <f t="shared" si="31"/>
        <v>0</v>
      </c>
      <c r="AI84" s="90">
        <f t="shared" si="32"/>
        <v>0</v>
      </c>
      <c r="AJ84" s="89"/>
      <c r="AZ84" s="90">
        <f t="shared" si="33"/>
        <v>0</v>
      </c>
      <c r="BA84" s="90">
        <f>SUM($AV84:AY84)</f>
        <v>0</v>
      </c>
      <c r="BQ84" s="90">
        <f t="shared" si="34"/>
        <v>0</v>
      </c>
      <c r="BR84" s="90">
        <f>SUM($BM84:BP84)</f>
        <v>0</v>
      </c>
      <c r="BS84" s="89"/>
    </row>
    <row r="85" spans="16:71" x14ac:dyDescent="0.25">
      <c r="P85" s="90">
        <f t="shared" si="30"/>
        <v>0</v>
      </c>
      <c r="Q85" s="90">
        <f>SUM($L85:O85)</f>
        <v>0</v>
      </c>
      <c r="R85" s="89"/>
      <c r="AH85" s="90">
        <f t="shared" si="31"/>
        <v>0</v>
      </c>
      <c r="AI85" s="90">
        <f t="shared" si="32"/>
        <v>0</v>
      </c>
      <c r="AJ85" s="89"/>
      <c r="AZ85" s="90">
        <f t="shared" si="33"/>
        <v>0</v>
      </c>
      <c r="BA85" s="90">
        <f>SUM($AV85:AY85)</f>
        <v>0</v>
      </c>
      <c r="BQ85" s="90">
        <f t="shared" si="34"/>
        <v>0</v>
      </c>
      <c r="BR85" s="90">
        <f>SUM($BM85:BP85)</f>
        <v>0</v>
      </c>
      <c r="BS85" s="89"/>
    </row>
    <row r="86" spans="16:71" x14ac:dyDescent="0.25">
      <c r="P86" s="90">
        <f t="shared" si="30"/>
        <v>0</v>
      </c>
      <c r="Q86" s="90">
        <f>SUM($L86:O86)</f>
        <v>0</v>
      </c>
      <c r="R86" s="89"/>
      <c r="AH86" s="90">
        <f t="shared" si="31"/>
        <v>0</v>
      </c>
      <c r="AI86" s="90">
        <f t="shared" si="32"/>
        <v>0</v>
      </c>
      <c r="AJ86" s="89"/>
      <c r="AZ86" s="90">
        <f t="shared" si="33"/>
        <v>0</v>
      </c>
      <c r="BA86" s="90">
        <f>SUM($AV86:AY86)</f>
        <v>0</v>
      </c>
      <c r="BQ86" s="90">
        <f t="shared" si="34"/>
        <v>0</v>
      </c>
      <c r="BR86" s="90">
        <f>SUM($BM86:BP86)</f>
        <v>0</v>
      </c>
      <c r="BS86" s="89"/>
    </row>
    <row r="87" spans="16:71" x14ac:dyDescent="0.25">
      <c r="P87" s="90">
        <f t="shared" si="30"/>
        <v>0</v>
      </c>
      <c r="Q87" s="90">
        <f>SUM($L87:O87)</f>
        <v>0</v>
      </c>
      <c r="R87" s="89"/>
      <c r="AH87" s="90">
        <f t="shared" si="31"/>
        <v>0</v>
      </c>
      <c r="AI87" s="90">
        <f t="shared" si="32"/>
        <v>0</v>
      </c>
      <c r="AJ87" s="89"/>
      <c r="AZ87" s="90">
        <f t="shared" si="33"/>
        <v>0</v>
      </c>
      <c r="BA87" s="90">
        <f>SUM($AV87:AY87)</f>
        <v>0</v>
      </c>
      <c r="BQ87" s="90">
        <f t="shared" si="34"/>
        <v>0</v>
      </c>
      <c r="BR87" s="90">
        <f>SUM($BM87:BP87)</f>
        <v>0</v>
      </c>
      <c r="BS87" s="89"/>
    </row>
    <row r="88" spans="16:71" x14ac:dyDescent="0.25">
      <c r="P88" s="90">
        <f t="shared" si="30"/>
        <v>0</v>
      </c>
      <c r="Q88" s="90">
        <f>SUM($L88:O88)</f>
        <v>0</v>
      </c>
      <c r="R88" s="89"/>
      <c r="AH88" s="90">
        <f t="shared" si="31"/>
        <v>0</v>
      </c>
      <c r="AI88" s="90">
        <f t="shared" si="32"/>
        <v>0</v>
      </c>
      <c r="AJ88" s="89"/>
      <c r="AZ88" s="90">
        <f t="shared" si="33"/>
        <v>0</v>
      </c>
      <c r="BA88" s="90">
        <f>SUM($AV88:AY88)</f>
        <v>0</v>
      </c>
      <c r="BQ88" s="90">
        <f t="shared" si="34"/>
        <v>0</v>
      </c>
      <c r="BR88" s="90">
        <f>SUM($BM88:BP88)</f>
        <v>0</v>
      </c>
      <c r="BS88" s="89"/>
    </row>
    <row r="89" spans="16:71" x14ac:dyDescent="0.25">
      <c r="P89" s="90">
        <f t="shared" si="30"/>
        <v>0</v>
      </c>
      <c r="Q89" s="90">
        <f>SUM($L89:O89)</f>
        <v>0</v>
      </c>
      <c r="R89" s="89"/>
      <c r="AH89" s="90">
        <f t="shared" si="31"/>
        <v>0</v>
      </c>
      <c r="AI89" s="90">
        <f t="shared" si="32"/>
        <v>0</v>
      </c>
      <c r="AJ89" s="89"/>
      <c r="AZ89" s="90">
        <f t="shared" si="33"/>
        <v>0</v>
      </c>
      <c r="BA89" s="90">
        <f>SUM($AV89:AY89)</f>
        <v>0</v>
      </c>
      <c r="BQ89" s="90">
        <f t="shared" si="34"/>
        <v>0</v>
      </c>
      <c r="BR89" s="90">
        <f>SUM($BM89:BP89)</f>
        <v>0</v>
      </c>
      <c r="BS89" s="89"/>
    </row>
    <row r="90" spans="16:71" x14ac:dyDescent="0.25">
      <c r="P90" s="90">
        <f t="shared" si="30"/>
        <v>0</v>
      </c>
      <c r="Q90" s="90">
        <f>SUM($L90:O90)</f>
        <v>0</v>
      </c>
      <c r="R90" s="89"/>
      <c r="AH90" s="90">
        <f t="shared" si="31"/>
        <v>0</v>
      </c>
      <c r="AI90" s="90">
        <f t="shared" si="32"/>
        <v>0</v>
      </c>
      <c r="AJ90" s="89"/>
      <c r="AZ90" s="90">
        <f t="shared" si="33"/>
        <v>0</v>
      </c>
      <c r="BA90" s="90">
        <f>SUM($AV90:AY90)</f>
        <v>0</v>
      </c>
      <c r="BQ90" s="90">
        <f t="shared" si="34"/>
        <v>0</v>
      </c>
      <c r="BR90" s="90">
        <f>SUM($BM90:BP90)</f>
        <v>0</v>
      </c>
      <c r="BS90" s="89"/>
    </row>
    <row r="91" spans="16:71" x14ac:dyDescent="0.25">
      <c r="P91" s="90">
        <f t="shared" si="30"/>
        <v>0</v>
      </c>
      <c r="Q91" s="90">
        <f>SUM($L91:O91)</f>
        <v>0</v>
      </c>
      <c r="R91" s="89"/>
      <c r="AH91" s="90">
        <f t="shared" si="31"/>
        <v>0</v>
      </c>
      <c r="AI91" s="90">
        <f t="shared" si="32"/>
        <v>0</v>
      </c>
      <c r="AJ91" s="89"/>
      <c r="AZ91" s="90">
        <f t="shared" si="33"/>
        <v>0</v>
      </c>
      <c r="BA91" s="90">
        <f>SUM($AV91:AY91)</f>
        <v>0</v>
      </c>
      <c r="BQ91" s="90">
        <f t="shared" si="34"/>
        <v>0</v>
      </c>
      <c r="BR91" s="90">
        <f>SUM($BM91:BP91)</f>
        <v>0</v>
      </c>
      <c r="BS91" s="89"/>
    </row>
    <row r="92" spans="16:71" x14ac:dyDescent="0.25">
      <c r="P92" s="90">
        <f t="shared" si="30"/>
        <v>0</v>
      </c>
      <c r="Q92" s="90">
        <f>SUM($L92:O92)</f>
        <v>0</v>
      </c>
      <c r="R92" s="89"/>
      <c r="AH92" s="90">
        <f t="shared" si="31"/>
        <v>0</v>
      </c>
      <c r="AI92" s="90">
        <f t="shared" si="32"/>
        <v>0</v>
      </c>
      <c r="AJ92" s="89"/>
      <c r="AZ92" s="90">
        <f t="shared" si="33"/>
        <v>0</v>
      </c>
      <c r="BA92" s="90">
        <f>SUM($AV92:AY92)</f>
        <v>0</v>
      </c>
      <c r="BQ92" s="90">
        <f t="shared" si="34"/>
        <v>0</v>
      </c>
      <c r="BR92" s="90">
        <f>SUM($BM92:BP92)</f>
        <v>0</v>
      </c>
      <c r="BS92" s="89"/>
    </row>
    <row r="93" spans="16:71" x14ac:dyDescent="0.25">
      <c r="P93" s="90">
        <f t="shared" si="30"/>
        <v>0</v>
      </c>
      <c r="Q93" s="90">
        <f>SUM($L93:O93)</f>
        <v>0</v>
      </c>
      <c r="R93" s="89"/>
      <c r="AH93" s="90">
        <f t="shared" si="31"/>
        <v>0</v>
      </c>
      <c r="AI93" s="90">
        <f t="shared" si="32"/>
        <v>0</v>
      </c>
      <c r="AJ93" s="89"/>
      <c r="AZ93" s="90">
        <f t="shared" si="33"/>
        <v>0</v>
      </c>
      <c r="BA93" s="90">
        <f>SUM($AV93:AY93)</f>
        <v>0</v>
      </c>
      <c r="BQ93" s="90">
        <f t="shared" si="34"/>
        <v>0</v>
      </c>
      <c r="BR93" s="90">
        <f>SUM($BM93:BP93)</f>
        <v>0</v>
      </c>
      <c r="BS93" s="89"/>
    </row>
    <row r="94" spans="16:71" x14ac:dyDescent="0.25">
      <c r="P94" s="90">
        <f t="shared" si="30"/>
        <v>0</v>
      </c>
      <c r="Q94" s="90">
        <f>SUM($L94:O94)</f>
        <v>0</v>
      </c>
      <c r="R94" s="89"/>
      <c r="AH94" s="90">
        <f t="shared" si="31"/>
        <v>0</v>
      </c>
      <c r="AI94" s="90">
        <f t="shared" si="32"/>
        <v>0</v>
      </c>
      <c r="AJ94" s="89"/>
      <c r="AZ94" s="90">
        <f t="shared" si="33"/>
        <v>0</v>
      </c>
      <c r="BA94" s="90">
        <f>SUM($AV94:AY94)</f>
        <v>0</v>
      </c>
      <c r="BQ94" s="90">
        <f t="shared" si="34"/>
        <v>0</v>
      </c>
      <c r="BR94" s="90">
        <f>SUM($BM94:BP94)</f>
        <v>0</v>
      </c>
      <c r="BS94" s="89"/>
    </row>
    <row r="95" spans="16:71" x14ac:dyDescent="0.25">
      <c r="P95" s="90">
        <f t="shared" si="30"/>
        <v>0</v>
      </c>
      <c r="Q95" s="90">
        <f>SUM($L95:O95)</f>
        <v>0</v>
      </c>
      <c r="R95" s="89"/>
      <c r="AH95" s="90">
        <f t="shared" si="31"/>
        <v>0</v>
      </c>
      <c r="AI95" s="90">
        <f t="shared" si="32"/>
        <v>0</v>
      </c>
      <c r="AJ95" s="89"/>
      <c r="AZ95" s="90">
        <f t="shared" si="33"/>
        <v>0</v>
      </c>
      <c r="BA95" s="90">
        <f>SUM($AV95:AY95)</f>
        <v>0</v>
      </c>
      <c r="BQ95" s="90">
        <f t="shared" si="34"/>
        <v>0</v>
      </c>
      <c r="BR95" s="90">
        <f>SUM($BM95:BP95)</f>
        <v>0</v>
      </c>
      <c r="BS95" s="89"/>
    </row>
    <row r="96" spans="16:71" x14ac:dyDescent="0.25">
      <c r="P96" s="90">
        <f t="shared" si="30"/>
        <v>0</v>
      </c>
      <c r="Q96" s="90">
        <f>SUM($L96:O96)</f>
        <v>0</v>
      </c>
      <c r="R96" s="89"/>
      <c r="AH96" s="90">
        <f t="shared" si="31"/>
        <v>0</v>
      </c>
      <c r="AI96" s="90">
        <f t="shared" si="32"/>
        <v>0</v>
      </c>
      <c r="AJ96" s="89"/>
      <c r="AZ96" s="90">
        <f t="shared" si="33"/>
        <v>0</v>
      </c>
      <c r="BA96" s="90">
        <f>SUM($AV96:AY96)</f>
        <v>0</v>
      </c>
      <c r="BQ96" s="90">
        <f t="shared" si="34"/>
        <v>0</v>
      </c>
      <c r="BR96" s="90">
        <f>SUM($BM96:BP96)</f>
        <v>0</v>
      </c>
      <c r="BS96" s="89"/>
    </row>
    <row r="97" spans="16:71" x14ac:dyDescent="0.25">
      <c r="P97" s="90">
        <f t="shared" si="30"/>
        <v>0</v>
      </c>
      <c r="Q97" s="90">
        <f>SUM($L97:O97)</f>
        <v>0</v>
      </c>
      <c r="R97" s="89"/>
      <c r="AH97" s="90">
        <f t="shared" si="31"/>
        <v>0</v>
      </c>
      <c r="AI97" s="90">
        <f t="shared" si="32"/>
        <v>0</v>
      </c>
      <c r="AJ97" s="89"/>
      <c r="AZ97" s="90">
        <f t="shared" si="33"/>
        <v>0</v>
      </c>
      <c r="BA97" s="90">
        <f>SUM($AV97:AY97)</f>
        <v>0</v>
      </c>
      <c r="BQ97" s="90">
        <f t="shared" si="34"/>
        <v>0</v>
      </c>
      <c r="BR97" s="90">
        <f>SUM($BM97:BP97)</f>
        <v>0</v>
      </c>
      <c r="BS97" s="89"/>
    </row>
    <row r="98" spans="16:71" x14ac:dyDescent="0.25">
      <c r="P98" s="90">
        <f t="shared" si="30"/>
        <v>0</v>
      </c>
      <c r="Q98" s="90">
        <f>SUM($L98:O98)</f>
        <v>0</v>
      </c>
      <c r="R98" s="89"/>
      <c r="AH98" s="90">
        <f t="shared" si="31"/>
        <v>0</v>
      </c>
      <c r="AI98" s="90">
        <f t="shared" si="32"/>
        <v>0</v>
      </c>
      <c r="AJ98" s="89"/>
      <c r="AZ98" s="90">
        <f t="shared" si="33"/>
        <v>0</v>
      </c>
      <c r="BA98" s="90">
        <f>SUM($AV98:AY98)</f>
        <v>0</v>
      </c>
      <c r="BQ98" s="90">
        <f t="shared" si="34"/>
        <v>0</v>
      </c>
      <c r="BR98" s="90">
        <f>SUM($BM98:BP98)</f>
        <v>0</v>
      </c>
      <c r="BS98" s="89"/>
    </row>
    <row r="99" spans="16:71" x14ac:dyDescent="0.25">
      <c r="P99" s="90">
        <f t="shared" si="30"/>
        <v>0</v>
      </c>
      <c r="Q99" s="90">
        <f>SUM($L99:O99)</f>
        <v>0</v>
      </c>
      <c r="R99" s="89"/>
      <c r="AH99" s="90">
        <f t="shared" si="31"/>
        <v>0</v>
      </c>
      <c r="AI99" s="90">
        <f t="shared" si="32"/>
        <v>0</v>
      </c>
      <c r="AJ99" s="89"/>
      <c r="AZ99" s="90">
        <f t="shared" si="33"/>
        <v>0</v>
      </c>
      <c r="BA99" s="90">
        <f>SUM($AV99:AY99)</f>
        <v>0</v>
      </c>
      <c r="BQ99" s="90">
        <f t="shared" si="34"/>
        <v>0</v>
      </c>
      <c r="BR99" s="90">
        <f>SUM($BM99:BP99)</f>
        <v>0</v>
      </c>
      <c r="BS99" s="89"/>
    </row>
    <row r="100" spans="16:71" x14ac:dyDescent="0.25">
      <c r="P100" s="90">
        <f t="shared" si="30"/>
        <v>0</v>
      </c>
      <c r="Q100" s="90">
        <f>SUM($L100:O100)</f>
        <v>0</v>
      </c>
      <c r="R100" s="89"/>
      <c r="AH100" s="90">
        <f t="shared" si="31"/>
        <v>0</v>
      </c>
      <c r="AI100" s="90">
        <f t="shared" si="32"/>
        <v>0</v>
      </c>
      <c r="AJ100" s="89"/>
      <c r="AZ100" s="90">
        <f t="shared" si="33"/>
        <v>0</v>
      </c>
      <c r="BA100" s="90">
        <f>SUM($AV100:AY100)</f>
        <v>0</v>
      </c>
      <c r="BQ100" s="90">
        <f t="shared" si="34"/>
        <v>0</v>
      </c>
      <c r="BR100" s="90">
        <f>SUM($BM100:BP100)</f>
        <v>0</v>
      </c>
      <c r="BS100" s="89"/>
    </row>
    <row r="101" spans="16:71" x14ac:dyDescent="0.25">
      <c r="P101" s="90">
        <f t="shared" si="30"/>
        <v>0</v>
      </c>
      <c r="Q101" s="90">
        <f>SUM($L101:O101)</f>
        <v>0</v>
      </c>
      <c r="R101" s="89"/>
      <c r="AH101" s="90">
        <f t="shared" si="31"/>
        <v>0</v>
      </c>
      <c r="AI101" s="90">
        <f t="shared" si="32"/>
        <v>0</v>
      </c>
      <c r="AJ101" s="89"/>
      <c r="AZ101" s="90">
        <f t="shared" si="33"/>
        <v>0</v>
      </c>
      <c r="BA101" s="90">
        <f>SUM($AV101:AY101)</f>
        <v>0</v>
      </c>
      <c r="BQ101" s="90">
        <f t="shared" si="34"/>
        <v>0</v>
      </c>
      <c r="BR101" s="90">
        <f>SUM($BM101:BP101)</f>
        <v>0</v>
      </c>
      <c r="BS101" s="89"/>
    </row>
    <row r="102" spans="16:71" x14ac:dyDescent="0.25">
      <c r="P102" s="90">
        <f t="shared" si="30"/>
        <v>0</v>
      </c>
      <c r="Q102" s="90">
        <f>SUM($L102:O102)</f>
        <v>0</v>
      </c>
      <c r="R102" s="89"/>
      <c r="AH102" s="90">
        <f t="shared" si="31"/>
        <v>0</v>
      </c>
      <c r="AI102" s="90">
        <f t="shared" si="32"/>
        <v>0</v>
      </c>
      <c r="AJ102" s="89"/>
      <c r="AZ102" s="90">
        <f t="shared" si="33"/>
        <v>0</v>
      </c>
      <c r="BA102" s="90">
        <f>SUM($AV102:AY102)</f>
        <v>0</v>
      </c>
      <c r="BQ102" s="90">
        <f t="shared" si="34"/>
        <v>0</v>
      </c>
      <c r="BR102" s="90">
        <f>SUM($BM102:BP102)</f>
        <v>0</v>
      </c>
      <c r="BS102" s="89"/>
    </row>
    <row r="103" spans="16:71" x14ac:dyDescent="0.25">
      <c r="P103" s="90">
        <f t="shared" si="30"/>
        <v>0</v>
      </c>
      <c r="Q103" s="90">
        <f>SUM($L103:O103)</f>
        <v>0</v>
      </c>
      <c r="R103" s="89"/>
      <c r="AH103" s="90">
        <f t="shared" si="31"/>
        <v>0</v>
      </c>
      <c r="AI103" s="90">
        <f t="shared" si="32"/>
        <v>0</v>
      </c>
      <c r="AJ103" s="89"/>
      <c r="AZ103" s="90">
        <f t="shared" si="33"/>
        <v>0</v>
      </c>
      <c r="BA103" s="90">
        <f>SUM($AV103:AY103)</f>
        <v>0</v>
      </c>
      <c r="BQ103" s="90">
        <f t="shared" si="34"/>
        <v>0</v>
      </c>
      <c r="BR103" s="90">
        <f>SUM($BM103:BP103)</f>
        <v>0</v>
      </c>
      <c r="BS103" s="89"/>
    </row>
    <row r="104" spans="16:71" x14ac:dyDescent="0.25">
      <c r="P104" s="90">
        <f t="shared" si="30"/>
        <v>0</v>
      </c>
      <c r="Q104" s="90">
        <f>SUM($L104:O104)</f>
        <v>0</v>
      </c>
      <c r="R104" s="89"/>
      <c r="AH104" s="90">
        <f t="shared" si="31"/>
        <v>0</v>
      </c>
      <c r="AI104" s="90">
        <f t="shared" si="32"/>
        <v>0</v>
      </c>
      <c r="AJ104" s="89"/>
      <c r="AZ104" s="90">
        <f t="shared" si="33"/>
        <v>0</v>
      </c>
      <c r="BA104" s="90">
        <f>SUM($AV104:AY104)</f>
        <v>0</v>
      </c>
      <c r="BQ104" s="90">
        <f t="shared" si="34"/>
        <v>0</v>
      </c>
      <c r="BR104" s="90">
        <f>SUM($BM104:BP104)</f>
        <v>0</v>
      </c>
      <c r="BS104" s="89"/>
    </row>
    <row r="105" spans="16:71" x14ac:dyDescent="0.25">
      <c r="P105" s="90">
        <f t="shared" si="30"/>
        <v>0</v>
      </c>
      <c r="Q105" s="90">
        <f>SUM($L105:O105)</f>
        <v>0</v>
      </c>
      <c r="R105" s="89"/>
      <c r="AH105" s="90">
        <f t="shared" si="31"/>
        <v>0</v>
      </c>
      <c r="AI105" s="90">
        <f t="shared" si="32"/>
        <v>0</v>
      </c>
      <c r="AJ105" s="89"/>
      <c r="AZ105" s="90">
        <f t="shared" si="33"/>
        <v>0</v>
      </c>
      <c r="BA105" s="90">
        <f>SUM($AV105:AY105)</f>
        <v>0</v>
      </c>
      <c r="BQ105" s="90">
        <f t="shared" si="34"/>
        <v>0</v>
      </c>
      <c r="BR105" s="90">
        <f>SUM($BM105:BP105)</f>
        <v>0</v>
      </c>
      <c r="BS105" s="89"/>
    </row>
    <row r="106" spans="16:71" x14ac:dyDescent="0.25">
      <c r="P106" s="90">
        <f t="shared" si="30"/>
        <v>0</v>
      </c>
      <c r="Q106" s="90">
        <f>SUM($L106:O106)</f>
        <v>0</v>
      </c>
      <c r="R106" s="89"/>
      <c r="AH106" s="90">
        <f t="shared" si="31"/>
        <v>0</v>
      </c>
      <c r="AI106" s="90">
        <f t="shared" si="32"/>
        <v>0</v>
      </c>
      <c r="AJ106" s="89"/>
      <c r="AZ106" s="90">
        <f t="shared" si="33"/>
        <v>0</v>
      </c>
      <c r="BA106" s="90">
        <f>SUM($AV106:AY106)</f>
        <v>0</v>
      </c>
      <c r="BQ106" s="90">
        <f t="shared" si="34"/>
        <v>0</v>
      </c>
      <c r="BR106" s="90">
        <f>SUM($BM106:BP106)</f>
        <v>0</v>
      </c>
      <c r="BS106" s="89"/>
    </row>
    <row r="107" spans="16:71" x14ac:dyDescent="0.25">
      <c r="P107" s="90">
        <f t="shared" si="30"/>
        <v>0</v>
      </c>
      <c r="Q107" s="90">
        <f>SUM($L107:O107)</f>
        <v>0</v>
      </c>
      <c r="R107" s="89"/>
      <c r="AH107" s="90">
        <f t="shared" si="31"/>
        <v>0</v>
      </c>
      <c r="AI107" s="90">
        <f t="shared" si="32"/>
        <v>0</v>
      </c>
      <c r="AJ107" s="89"/>
      <c r="AZ107" s="90">
        <f t="shared" si="33"/>
        <v>0</v>
      </c>
      <c r="BA107" s="90">
        <f>SUM($AV107:AY107)</f>
        <v>0</v>
      </c>
      <c r="BQ107" s="90">
        <f t="shared" si="34"/>
        <v>0</v>
      </c>
      <c r="BR107" s="90">
        <f>SUM($BM107:BP107)</f>
        <v>0</v>
      </c>
      <c r="BS107" s="89"/>
    </row>
    <row r="108" spans="16:71" x14ac:dyDescent="0.25">
      <c r="P108" s="90">
        <f t="shared" si="30"/>
        <v>0</v>
      </c>
      <c r="Q108" s="90">
        <f>SUM($L108:O108)</f>
        <v>0</v>
      </c>
      <c r="R108" s="89"/>
      <c r="AH108" s="90">
        <f t="shared" si="31"/>
        <v>0</v>
      </c>
      <c r="AI108" s="90">
        <f t="shared" si="32"/>
        <v>0</v>
      </c>
      <c r="AJ108" s="89"/>
      <c r="AZ108" s="90">
        <f t="shared" si="33"/>
        <v>0</v>
      </c>
      <c r="BA108" s="90">
        <f>SUM($AV108:AY108)</f>
        <v>0</v>
      </c>
      <c r="BQ108" s="90">
        <f t="shared" si="34"/>
        <v>0</v>
      </c>
      <c r="BR108" s="90">
        <f>SUM($BM108:BP108)</f>
        <v>0</v>
      </c>
      <c r="BS108" s="89"/>
    </row>
    <row r="109" spans="16:71" x14ac:dyDescent="0.25">
      <c r="P109" s="90">
        <f t="shared" si="30"/>
        <v>0</v>
      </c>
      <c r="Q109" s="90">
        <f>SUM($L109:O109)</f>
        <v>0</v>
      </c>
      <c r="R109" s="89"/>
      <c r="AH109" s="90">
        <f t="shared" si="31"/>
        <v>0</v>
      </c>
      <c r="AI109" s="90">
        <f t="shared" si="32"/>
        <v>0</v>
      </c>
      <c r="AJ109" s="89"/>
      <c r="AZ109" s="90">
        <f t="shared" si="33"/>
        <v>0</v>
      </c>
      <c r="BA109" s="90">
        <f>SUM($AV109:AY109)</f>
        <v>0</v>
      </c>
      <c r="BQ109" s="90">
        <f t="shared" si="34"/>
        <v>0</v>
      </c>
      <c r="BR109" s="90">
        <f>SUM($BM109:BP109)</f>
        <v>0</v>
      </c>
      <c r="BS109" s="89"/>
    </row>
    <row r="110" spans="16:71" x14ac:dyDescent="0.25">
      <c r="P110" s="90">
        <f t="shared" si="30"/>
        <v>0</v>
      </c>
      <c r="Q110" s="90">
        <f>SUM($L110:O110)</f>
        <v>0</v>
      </c>
      <c r="R110" s="89"/>
      <c r="AH110" s="90">
        <f t="shared" si="31"/>
        <v>0</v>
      </c>
      <c r="AI110" s="90">
        <f t="shared" si="32"/>
        <v>0</v>
      </c>
      <c r="AJ110" s="89"/>
      <c r="AZ110" s="90">
        <f t="shared" si="33"/>
        <v>0</v>
      </c>
      <c r="BA110" s="90">
        <f>SUM($AV110:AY110)</f>
        <v>0</v>
      </c>
      <c r="BQ110" s="90">
        <f t="shared" si="34"/>
        <v>0</v>
      </c>
      <c r="BR110" s="90">
        <f>SUM($BM110:BP110)</f>
        <v>0</v>
      </c>
      <c r="BS110" s="89"/>
    </row>
    <row r="111" spans="16:71" x14ac:dyDescent="0.25">
      <c r="P111" s="90">
        <f t="shared" si="30"/>
        <v>0</v>
      </c>
      <c r="Q111" s="90">
        <f>SUM($L111:O111)</f>
        <v>0</v>
      </c>
      <c r="R111" s="89"/>
      <c r="AH111" s="90">
        <f t="shared" si="31"/>
        <v>0</v>
      </c>
      <c r="AI111" s="90">
        <f t="shared" si="32"/>
        <v>0</v>
      </c>
      <c r="AJ111" s="89"/>
      <c r="AZ111" s="90">
        <f t="shared" si="33"/>
        <v>0</v>
      </c>
      <c r="BA111" s="90">
        <f>SUM($AV111:AY111)</f>
        <v>0</v>
      </c>
      <c r="BQ111" s="90">
        <f t="shared" si="34"/>
        <v>0</v>
      </c>
      <c r="BR111" s="90">
        <f>SUM($BM111:BP111)</f>
        <v>0</v>
      </c>
      <c r="BS111" s="89"/>
    </row>
    <row r="112" spans="16:71" x14ac:dyDescent="0.25">
      <c r="P112" s="90">
        <f t="shared" si="30"/>
        <v>0</v>
      </c>
      <c r="Q112" s="90">
        <f>SUM($L112:O112)</f>
        <v>0</v>
      </c>
      <c r="R112" s="89"/>
      <c r="AH112" s="90">
        <f t="shared" si="31"/>
        <v>0</v>
      </c>
      <c r="AI112" s="90">
        <f t="shared" si="32"/>
        <v>0</v>
      </c>
      <c r="AJ112" s="89"/>
      <c r="AZ112" s="90">
        <f t="shared" si="33"/>
        <v>0</v>
      </c>
      <c r="BA112" s="90">
        <f>SUM($AV112:AY112)</f>
        <v>0</v>
      </c>
      <c r="BQ112" s="90">
        <f t="shared" si="34"/>
        <v>0</v>
      </c>
      <c r="BR112" s="90">
        <f>SUM($BM112:BP112)</f>
        <v>0</v>
      </c>
      <c r="BS112" s="89"/>
    </row>
    <row r="113" spans="16:71" x14ac:dyDescent="0.25">
      <c r="P113" s="90">
        <f t="shared" si="30"/>
        <v>0</v>
      </c>
      <c r="Q113" s="90">
        <f>SUM($L113:O113)</f>
        <v>0</v>
      </c>
      <c r="R113" s="89"/>
      <c r="AH113" s="90">
        <f t="shared" si="31"/>
        <v>0</v>
      </c>
      <c r="AI113" s="90">
        <f t="shared" si="32"/>
        <v>0</v>
      </c>
      <c r="AJ113" s="89"/>
      <c r="AZ113" s="90">
        <f t="shared" si="33"/>
        <v>0</v>
      </c>
      <c r="BA113" s="90">
        <f>SUM($AV113:AY113)</f>
        <v>0</v>
      </c>
      <c r="BQ113" s="90">
        <f t="shared" si="34"/>
        <v>0</v>
      </c>
      <c r="BR113" s="90">
        <f>SUM($BM113:BP113)</f>
        <v>0</v>
      </c>
      <c r="BS113" s="89"/>
    </row>
    <row r="114" spans="16:71" x14ac:dyDescent="0.25">
      <c r="P114" s="90">
        <f t="shared" si="30"/>
        <v>0</v>
      </c>
      <c r="Q114" s="90">
        <f>SUM($L114:O114)</f>
        <v>0</v>
      </c>
      <c r="R114" s="89"/>
      <c r="AH114" s="90">
        <f t="shared" si="31"/>
        <v>0</v>
      </c>
      <c r="AI114" s="90">
        <f t="shared" si="32"/>
        <v>0</v>
      </c>
      <c r="AJ114" s="89"/>
      <c r="AZ114" s="90">
        <f t="shared" si="33"/>
        <v>0</v>
      </c>
      <c r="BA114" s="90">
        <f>SUM($AV114:AY114)</f>
        <v>0</v>
      </c>
      <c r="BQ114" s="90">
        <f t="shared" si="34"/>
        <v>0</v>
      </c>
      <c r="BR114" s="90">
        <f>SUM($BM114:BP114)</f>
        <v>0</v>
      </c>
      <c r="BS114" s="89"/>
    </row>
    <row r="115" spans="16:71" x14ac:dyDescent="0.25">
      <c r="P115" s="90">
        <f t="shared" si="30"/>
        <v>0</v>
      </c>
      <c r="Q115" s="90">
        <f>SUM($L115:O115)</f>
        <v>0</v>
      </c>
      <c r="R115" s="89"/>
      <c r="AH115" s="90">
        <f t="shared" si="31"/>
        <v>0</v>
      </c>
      <c r="AI115" s="90">
        <f t="shared" si="32"/>
        <v>0</v>
      </c>
      <c r="AJ115" s="89"/>
      <c r="AZ115" s="90">
        <f t="shared" si="33"/>
        <v>0</v>
      </c>
      <c r="BA115" s="90">
        <f>SUM($AV115:AY115)</f>
        <v>0</v>
      </c>
      <c r="BQ115" s="90">
        <f t="shared" si="34"/>
        <v>0</v>
      </c>
      <c r="BR115" s="90">
        <f>SUM($BM115:BP115)</f>
        <v>0</v>
      </c>
      <c r="BS115" s="89"/>
    </row>
    <row r="116" spans="16:71" x14ac:dyDescent="0.25">
      <c r="P116" s="90">
        <f t="shared" si="30"/>
        <v>0</v>
      </c>
      <c r="Q116" s="90">
        <f>SUM($L116:O116)</f>
        <v>0</v>
      </c>
      <c r="R116" s="89"/>
      <c r="AH116" s="90">
        <f t="shared" si="31"/>
        <v>0</v>
      </c>
      <c r="AI116" s="90">
        <f t="shared" si="32"/>
        <v>0</v>
      </c>
      <c r="AJ116" s="89"/>
      <c r="AZ116" s="90">
        <f t="shared" si="33"/>
        <v>0</v>
      </c>
      <c r="BA116" s="90">
        <f>SUM($AV116:AY116)</f>
        <v>0</v>
      </c>
      <c r="BQ116" s="90">
        <f t="shared" si="34"/>
        <v>0</v>
      </c>
      <c r="BR116" s="90">
        <f>SUM($BM116:BP116)</f>
        <v>0</v>
      </c>
      <c r="BS116" s="89"/>
    </row>
    <row r="117" spans="16:71" x14ac:dyDescent="0.25">
      <c r="P117" s="90">
        <f t="shared" si="30"/>
        <v>0</v>
      </c>
      <c r="Q117" s="90">
        <f>SUM($L117:O117)</f>
        <v>0</v>
      </c>
      <c r="R117" s="89"/>
      <c r="AH117" s="90">
        <f t="shared" si="31"/>
        <v>0</v>
      </c>
      <c r="AI117" s="90">
        <f t="shared" si="32"/>
        <v>0</v>
      </c>
      <c r="AJ117" s="89"/>
      <c r="AZ117" s="90">
        <f t="shared" si="33"/>
        <v>0</v>
      </c>
      <c r="BA117" s="90">
        <f>SUM($AV117:AY117)</f>
        <v>0</v>
      </c>
      <c r="BQ117" s="90">
        <f t="shared" si="34"/>
        <v>0</v>
      </c>
      <c r="BR117" s="90">
        <f>SUM($BM117:BP117)</f>
        <v>0</v>
      </c>
      <c r="BS117" s="89"/>
    </row>
    <row r="118" spans="16:71" x14ac:dyDescent="0.25">
      <c r="P118" s="90">
        <f t="shared" si="30"/>
        <v>0</v>
      </c>
      <c r="Q118" s="90">
        <f>SUM($L118:O118)</f>
        <v>0</v>
      </c>
      <c r="R118" s="89"/>
      <c r="AH118" s="90">
        <f t="shared" si="31"/>
        <v>0</v>
      </c>
      <c r="AI118" s="90">
        <f t="shared" si="32"/>
        <v>0</v>
      </c>
      <c r="AJ118" s="89"/>
      <c r="AZ118" s="90">
        <f t="shared" si="33"/>
        <v>0</v>
      </c>
      <c r="BA118" s="90">
        <f>SUM($AV118:AY118)</f>
        <v>0</v>
      </c>
      <c r="BQ118" s="90">
        <f t="shared" si="34"/>
        <v>0</v>
      </c>
      <c r="BR118" s="90">
        <f>SUM($BM118:BP118)</f>
        <v>0</v>
      </c>
      <c r="BS118" s="89"/>
    </row>
    <row r="119" spans="16:71" x14ac:dyDescent="0.25">
      <c r="P119" s="90">
        <f t="shared" si="30"/>
        <v>0</v>
      </c>
      <c r="Q119" s="90">
        <f>SUM($L119:O119)</f>
        <v>0</v>
      </c>
      <c r="R119" s="89"/>
      <c r="AH119" s="90">
        <f t="shared" si="31"/>
        <v>0</v>
      </c>
      <c r="AI119" s="90">
        <f t="shared" si="32"/>
        <v>0</v>
      </c>
      <c r="AJ119" s="89"/>
      <c r="AZ119" s="90">
        <f t="shared" si="33"/>
        <v>0</v>
      </c>
      <c r="BA119" s="90">
        <f>SUM($AV119:AY119)</f>
        <v>0</v>
      </c>
      <c r="BQ119" s="90">
        <f t="shared" si="34"/>
        <v>0</v>
      </c>
      <c r="BR119" s="90">
        <f>SUM($BM119:BP119)</f>
        <v>0</v>
      </c>
      <c r="BS119" s="89"/>
    </row>
    <row r="120" spans="16:71" x14ac:dyDescent="0.25">
      <c r="P120" s="90">
        <f t="shared" si="30"/>
        <v>0</v>
      </c>
      <c r="Q120" s="90">
        <f>SUM($L120:O120)</f>
        <v>0</v>
      </c>
      <c r="R120" s="89"/>
      <c r="AH120" s="90">
        <f t="shared" si="31"/>
        <v>0</v>
      </c>
      <c r="AI120" s="90">
        <f t="shared" si="32"/>
        <v>0</v>
      </c>
      <c r="AJ120" s="89"/>
      <c r="AZ120" s="90">
        <f t="shared" si="33"/>
        <v>0</v>
      </c>
      <c r="BA120" s="90">
        <f>SUM($AV120:AY120)</f>
        <v>0</v>
      </c>
      <c r="BQ120" s="90">
        <f t="shared" si="34"/>
        <v>0</v>
      </c>
      <c r="BR120" s="90">
        <f>SUM($BM120:BP120)</f>
        <v>0</v>
      </c>
      <c r="BS120" s="89"/>
    </row>
    <row r="121" spans="16:71" x14ac:dyDescent="0.25">
      <c r="P121" s="90">
        <f t="shared" si="30"/>
        <v>0</v>
      </c>
      <c r="Q121" s="90">
        <f>SUM($L121:O121)</f>
        <v>0</v>
      </c>
      <c r="R121" s="89"/>
      <c r="AH121" s="90">
        <f t="shared" si="31"/>
        <v>0</v>
      </c>
      <c r="AI121" s="90">
        <f t="shared" si="32"/>
        <v>0</v>
      </c>
      <c r="AJ121" s="89"/>
      <c r="AZ121" s="90">
        <f t="shared" si="33"/>
        <v>0</v>
      </c>
      <c r="BA121" s="90">
        <f>SUM($AV121:AY121)</f>
        <v>0</v>
      </c>
      <c r="BQ121" s="90">
        <f t="shared" si="34"/>
        <v>0</v>
      </c>
      <c r="BR121" s="90">
        <f>SUM($BM121:BP121)</f>
        <v>0</v>
      </c>
      <c r="BS121" s="89"/>
    </row>
    <row r="122" spans="16:71" x14ac:dyDescent="0.25">
      <c r="P122" s="90">
        <f t="shared" si="30"/>
        <v>0</v>
      </c>
      <c r="Q122" s="90">
        <f>SUM($L122:O122)</f>
        <v>0</v>
      </c>
      <c r="R122" s="89"/>
      <c r="AH122" s="90">
        <f t="shared" si="31"/>
        <v>0</v>
      </c>
      <c r="AI122" s="90">
        <f t="shared" si="32"/>
        <v>0</v>
      </c>
      <c r="AJ122" s="89"/>
      <c r="AZ122" s="90">
        <f t="shared" si="33"/>
        <v>0</v>
      </c>
      <c r="BA122" s="90">
        <f>SUM($AV122:AY122)</f>
        <v>0</v>
      </c>
      <c r="BQ122" s="90">
        <f t="shared" si="34"/>
        <v>0</v>
      </c>
      <c r="BR122" s="90">
        <f>SUM($BM122:BP122)</f>
        <v>0</v>
      </c>
      <c r="BS122" s="89"/>
    </row>
    <row r="123" spans="16:71" x14ac:dyDescent="0.25">
      <c r="P123" s="90">
        <f t="shared" si="30"/>
        <v>0</v>
      </c>
      <c r="Q123" s="90">
        <f>SUM($L123:O123)</f>
        <v>0</v>
      </c>
      <c r="R123" s="89"/>
      <c r="AH123" s="90">
        <f t="shared" si="31"/>
        <v>0</v>
      </c>
      <c r="AI123" s="90">
        <f t="shared" si="32"/>
        <v>0</v>
      </c>
      <c r="AJ123" s="89"/>
      <c r="AZ123" s="90">
        <f t="shared" si="33"/>
        <v>0</v>
      </c>
      <c r="BA123" s="90">
        <f>SUM($AV123:AY123)</f>
        <v>0</v>
      </c>
      <c r="BQ123" s="90">
        <f t="shared" si="34"/>
        <v>0</v>
      </c>
      <c r="BR123" s="90">
        <f>SUM($BM123:BP123)</f>
        <v>0</v>
      </c>
      <c r="BS123" s="89"/>
    </row>
    <row r="124" spans="16:71" x14ac:dyDescent="0.25">
      <c r="P124" s="90">
        <f t="shared" si="30"/>
        <v>0</v>
      </c>
      <c r="Q124" s="90">
        <f>SUM($L124:O124)</f>
        <v>0</v>
      </c>
      <c r="R124" s="89"/>
      <c r="AH124" s="90">
        <f t="shared" si="31"/>
        <v>0</v>
      </c>
      <c r="AI124" s="90">
        <f t="shared" si="32"/>
        <v>0</v>
      </c>
      <c r="AJ124" s="89"/>
      <c r="AZ124" s="90">
        <f t="shared" si="33"/>
        <v>0</v>
      </c>
      <c r="BA124" s="90">
        <f>SUM($AV124:AY124)</f>
        <v>0</v>
      </c>
      <c r="BQ124" s="90">
        <f t="shared" si="34"/>
        <v>0</v>
      </c>
      <c r="BR124" s="90">
        <f>SUM($BM124:BP124)</f>
        <v>0</v>
      </c>
      <c r="BS124" s="89"/>
    </row>
    <row r="125" spans="16:71" x14ac:dyDescent="0.25">
      <c r="P125" s="90">
        <f t="shared" si="30"/>
        <v>0</v>
      </c>
      <c r="Q125" s="90">
        <f>SUM($L125:O125)</f>
        <v>0</v>
      </c>
      <c r="R125" s="89"/>
      <c r="AH125" s="90">
        <f t="shared" si="31"/>
        <v>0</v>
      </c>
      <c r="AI125" s="90">
        <f t="shared" si="32"/>
        <v>0</v>
      </c>
      <c r="AJ125" s="89"/>
      <c r="AZ125" s="90">
        <f t="shared" si="33"/>
        <v>0</v>
      </c>
      <c r="BA125" s="90">
        <f>SUM($AV125:AY125)</f>
        <v>0</v>
      </c>
      <c r="BQ125" s="90">
        <f t="shared" si="34"/>
        <v>0</v>
      </c>
      <c r="BR125" s="90">
        <f>SUM($BM125:BP125)</f>
        <v>0</v>
      </c>
      <c r="BS125" s="89"/>
    </row>
    <row r="126" spans="16:71" x14ac:dyDescent="0.25">
      <c r="P126" s="90">
        <f t="shared" si="30"/>
        <v>0</v>
      </c>
      <c r="Q126" s="90">
        <f>SUM($L126:O126)</f>
        <v>0</v>
      </c>
      <c r="R126" s="89"/>
      <c r="AH126" s="90">
        <f t="shared" si="31"/>
        <v>0</v>
      </c>
      <c r="AI126" s="90">
        <f t="shared" si="32"/>
        <v>0</v>
      </c>
      <c r="AJ126" s="89"/>
      <c r="AZ126" s="90">
        <f t="shared" si="33"/>
        <v>0</v>
      </c>
      <c r="BA126" s="90">
        <f>SUM($AV126:AY126)</f>
        <v>0</v>
      </c>
      <c r="BQ126" s="90">
        <f t="shared" si="34"/>
        <v>0</v>
      </c>
      <c r="BR126" s="90">
        <f>SUM($BM126:BP126)</f>
        <v>0</v>
      </c>
      <c r="BS126" s="89"/>
    </row>
    <row r="127" spans="16:71" x14ac:dyDescent="0.25">
      <c r="P127" s="90">
        <f t="shared" si="30"/>
        <v>0</v>
      </c>
      <c r="Q127" s="90">
        <f>SUM($L127:O127)</f>
        <v>0</v>
      </c>
      <c r="R127" s="89"/>
      <c r="AH127" s="90">
        <f t="shared" si="31"/>
        <v>0</v>
      </c>
      <c r="AI127" s="90">
        <f t="shared" si="32"/>
        <v>0</v>
      </c>
      <c r="AJ127" s="89"/>
      <c r="AZ127" s="90">
        <f t="shared" si="33"/>
        <v>0</v>
      </c>
      <c r="BA127" s="90">
        <f>SUM($AV127:AY127)</f>
        <v>0</v>
      </c>
      <c r="BQ127" s="90">
        <f t="shared" si="34"/>
        <v>0</v>
      </c>
      <c r="BR127" s="90">
        <f>SUM($BM127:BP127)</f>
        <v>0</v>
      </c>
      <c r="BS127" s="89"/>
    </row>
    <row r="128" spans="16:71" x14ac:dyDescent="0.25">
      <c r="P128" s="90">
        <f t="shared" si="30"/>
        <v>0</v>
      </c>
      <c r="Q128" s="90">
        <f>SUM($L128:O128)</f>
        <v>0</v>
      </c>
      <c r="R128" s="89"/>
      <c r="AH128" s="90">
        <f t="shared" si="31"/>
        <v>0</v>
      </c>
      <c r="AI128" s="90">
        <f t="shared" si="32"/>
        <v>0</v>
      </c>
      <c r="AJ128" s="89"/>
      <c r="AZ128" s="90">
        <f t="shared" si="33"/>
        <v>0</v>
      </c>
      <c r="BA128" s="90">
        <f>SUM($AV128:AY128)</f>
        <v>0</v>
      </c>
      <c r="BQ128" s="90">
        <f t="shared" si="34"/>
        <v>0</v>
      </c>
      <c r="BR128" s="90">
        <f>SUM($BM128:BP128)</f>
        <v>0</v>
      </c>
      <c r="BS128" s="89"/>
    </row>
    <row r="129" spans="16:71" x14ac:dyDescent="0.25">
      <c r="P129" s="90">
        <f t="shared" si="30"/>
        <v>0</v>
      </c>
      <c r="Q129" s="90">
        <f>SUM($L129:O129)</f>
        <v>0</v>
      </c>
      <c r="R129" s="89"/>
      <c r="AH129" s="90">
        <f t="shared" si="31"/>
        <v>0</v>
      </c>
      <c r="AI129" s="90">
        <f t="shared" si="32"/>
        <v>0</v>
      </c>
      <c r="AJ129" s="89"/>
      <c r="AZ129" s="90">
        <f t="shared" si="33"/>
        <v>0</v>
      </c>
      <c r="BA129" s="90">
        <f>SUM($AV129:AY129)</f>
        <v>0</v>
      </c>
      <c r="BQ129" s="90">
        <f t="shared" si="34"/>
        <v>0</v>
      </c>
      <c r="BR129" s="90">
        <f>SUM($BM129:BP129)</f>
        <v>0</v>
      </c>
      <c r="BS129" s="89"/>
    </row>
    <row r="130" spans="16:71" x14ac:dyDescent="0.25">
      <c r="P130" s="90">
        <f t="shared" si="30"/>
        <v>0</v>
      </c>
      <c r="Q130" s="90">
        <f>SUM($L130:O130)</f>
        <v>0</v>
      </c>
      <c r="R130" s="89"/>
      <c r="AH130" s="90">
        <f t="shared" si="31"/>
        <v>0</v>
      </c>
      <c r="AI130" s="90">
        <f t="shared" si="32"/>
        <v>0</v>
      </c>
      <c r="AJ130" s="89"/>
      <c r="AZ130" s="90">
        <f t="shared" si="33"/>
        <v>0</v>
      </c>
      <c r="BA130" s="90">
        <f>SUM($AV130:AY130)</f>
        <v>0</v>
      </c>
      <c r="BQ130" s="90">
        <f t="shared" si="34"/>
        <v>0</v>
      </c>
      <c r="BR130" s="90">
        <f>SUM($BM130:BP130)</f>
        <v>0</v>
      </c>
      <c r="BS130" s="89"/>
    </row>
    <row r="131" spans="16:71" x14ac:dyDescent="0.25">
      <c r="P131" s="90">
        <f t="shared" si="30"/>
        <v>0</v>
      </c>
      <c r="Q131" s="90">
        <f>SUM($L131:O131)</f>
        <v>0</v>
      </c>
      <c r="R131" s="89"/>
      <c r="AH131" s="90">
        <f t="shared" si="31"/>
        <v>0</v>
      </c>
      <c r="AI131" s="90">
        <f t="shared" si="32"/>
        <v>0</v>
      </c>
      <c r="AJ131" s="89"/>
      <c r="AZ131" s="90">
        <f t="shared" si="33"/>
        <v>0</v>
      </c>
      <c r="BA131" s="90">
        <f>SUM($AV131:AY131)</f>
        <v>0</v>
      </c>
      <c r="BQ131" s="90">
        <f t="shared" si="34"/>
        <v>0</v>
      </c>
      <c r="BR131" s="90">
        <f>SUM($BM131:BP131)</f>
        <v>0</v>
      </c>
      <c r="BS131" s="89"/>
    </row>
    <row r="132" spans="16:71" x14ac:dyDescent="0.25">
      <c r="P132" s="90">
        <f t="shared" si="30"/>
        <v>0</v>
      </c>
      <c r="Q132" s="90">
        <f>SUM($L132:O132)</f>
        <v>0</v>
      </c>
      <c r="R132" s="89"/>
      <c r="AH132" s="90">
        <f t="shared" si="31"/>
        <v>0</v>
      </c>
      <c r="AI132" s="90">
        <f t="shared" si="32"/>
        <v>0</v>
      </c>
      <c r="AJ132" s="89"/>
      <c r="AZ132" s="90">
        <f t="shared" si="33"/>
        <v>0</v>
      </c>
      <c r="BA132" s="90">
        <f>SUM($AV132:AY132)</f>
        <v>0</v>
      </c>
      <c r="BQ132" s="90">
        <f t="shared" si="34"/>
        <v>0</v>
      </c>
      <c r="BR132" s="90">
        <f>SUM($BM132:BP132)</f>
        <v>0</v>
      </c>
      <c r="BS132" s="89"/>
    </row>
    <row r="133" spans="16:71" x14ac:dyDescent="0.25">
      <c r="P133" s="90">
        <f t="shared" ref="P133:P196" si="35">SUM(B133:K133)</f>
        <v>0</v>
      </c>
      <c r="Q133" s="90">
        <f>SUM($L133:O133)</f>
        <v>0</v>
      </c>
      <c r="R133" s="89"/>
      <c r="AH133" s="90">
        <f t="shared" ref="AH133:AH196" si="36">SUM(T133:AC133)</f>
        <v>0</v>
      </c>
      <c r="AI133" s="90">
        <f t="shared" ref="AI133:AI196" si="37">SUM(AD133:AF133)</f>
        <v>0</v>
      </c>
      <c r="AJ133" s="89"/>
      <c r="AZ133" s="90">
        <f t="shared" ref="AZ133:AZ196" si="38">SUM(AL133:AU133)</f>
        <v>0</v>
      </c>
      <c r="BA133" s="90">
        <f>SUM($AV133:AY133)</f>
        <v>0</v>
      </c>
      <c r="BQ133" s="90">
        <f t="shared" ref="BQ133:BQ196" si="39">SUM(BC133:BL133)</f>
        <v>0</v>
      </c>
      <c r="BR133" s="90">
        <f>SUM($BM133:BP133)</f>
        <v>0</v>
      </c>
      <c r="BS133" s="89"/>
    </row>
    <row r="134" spans="16:71" x14ac:dyDescent="0.25">
      <c r="P134" s="90">
        <f t="shared" si="35"/>
        <v>0</v>
      </c>
      <c r="Q134" s="90">
        <f>SUM($L134:O134)</f>
        <v>0</v>
      </c>
      <c r="R134" s="89"/>
      <c r="AH134" s="90">
        <f t="shared" si="36"/>
        <v>0</v>
      </c>
      <c r="AI134" s="90">
        <f t="shared" si="37"/>
        <v>0</v>
      </c>
      <c r="AJ134" s="89"/>
      <c r="AZ134" s="90">
        <f t="shared" si="38"/>
        <v>0</v>
      </c>
      <c r="BA134" s="90">
        <f>SUM($AV134:AY134)</f>
        <v>0</v>
      </c>
      <c r="BQ134" s="90">
        <f t="shared" si="39"/>
        <v>0</v>
      </c>
      <c r="BR134" s="90">
        <f>SUM($BM134:BP134)</f>
        <v>0</v>
      </c>
      <c r="BS134" s="89"/>
    </row>
    <row r="135" spans="16:71" x14ac:dyDescent="0.25">
      <c r="P135" s="90">
        <f t="shared" si="35"/>
        <v>0</v>
      </c>
      <c r="Q135" s="90">
        <f>SUM($L135:O135)</f>
        <v>0</v>
      </c>
      <c r="R135" s="89"/>
      <c r="AH135" s="90">
        <f t="shared" si="36"/>
        <v>0</v>
      </c>
      <c r="AI135" s="90">
        <f t="shared" si="37"/>
        <v>0</v>
      </c>
      <c r="AJ135" s="89"/>
      <c r="AZ135" s="90">
        <f t="shared" si="38"/>
        <v>0</v>
      </c>
      <c r="BA135" s="90">
        <f>SUM($AV135:AY135)</f>
        <v>0</v>
      </c>
      <c r="BQ135" s="90">
        <f t="shared" si="39"/>
        <v>0</v>
      </c>
      <c r="BR135" s="90">
        <f>SUM($BM135:BP135)</f>
        <v>0</v>
      </c>
      <c r="BS135" s="89"/>
    </row>
    <row r="136" spans="16:71" x14ac:dyDescent="0.25">
      <c r="P136" s="90">
        <f t="shared" si="35"/>
        <v>0</v>
      </c>
      <c r="Q136" s="90">
        <f>SUM($L136:O136)</f>
        <v>0</v>
      </c>
      <c r="R136" s="89"/>
      <c r="AH136" s="90">
        <f t="shared" si="36"/>
        <v>0</v>
      </c>
      <c r="AI136" s="90">
        <f t="shared" si="37"/>
        <v>0</v>
      </c>
      <c r="AJ136" s="89"/>
      <c r="AZ136" s="90">
        <f t="shared" si="38"/>
        <v>0</v>
      </c>
      <c r="BA136" s="90">
        <f>SUM($AV136:AY136)</f>
        <v>0</v>
      </c>
      <c r="BQ136" s="90">
        <f t="shared" si="39"/>
        <v>0</v>
      </c>
      <c r="BR136" s="90">
        <f>SUM($BM136:BP136)</f>
        <v>0</v>
      </c>
      <c r="BS136" s="89"/>
    </row>
    <row r="137" spans="16:71" x14ac:dyDescent="0.25">
      <c r="P137" s="90">
        <f t="shared" si="35"/>
        <v>0</v>
      </c>
      <c r="Q137" s="90">
        <f>SUM($L137:O137)</f>
        <v>0</v>
      </c>
      <c r="R137" s="89"/>
      <c r="AH137" s="90">
        <f t="shared" si="36"/>
        <v>0</v>
      </c>
      <c r="AI137" s="90">
        <f t="shared" si="37"/>
        <v>0</v>
      </c>
      <c r="AJ137" s="89"/>
      <c r="AZ137" s="90">
        <f t="shared" si="38"/>
        <v>0</v>
      </c>
      <c r="BA137" s="90">
        <f>SUM($AV137:AY137)</f>
        <v>0</v>
      </c>
      <c r="BQ137" s="90">
        <f t="shared" si="39"/>
        <v>0</v>
      </c>
      <c r="BR137" s="90">
        <f>SUM($BM137:BP137)</f>
        <v>0</v>
      </c>
      <c r="BS137" s="89"/>
    </row>
    <row r="138" spans="16:71" x14ac:dyDescent="0.25">
      <c r="P138" s="90">
        <f t="shared" si="35"/>
        <v>0</v>
      </c>
      <c r="Q138" s="90">
        <f>SUM($L138:O138)</f>
        <v>0</v>
      </c>
      <c r="R138" s="89"/>
      <c r="AH138" s="90">
        <f t="shared" si="36"/>
        <v>0</v>
      </c>
      <c r="AI138" s="90">
        <f t="shared" si="37"/>
        <v>0</v>
      </c>
      <c r="AJ138" s="89"/>
      <c r="AZ138" s="90">
        <f t="shared" si="38"/>
        <v>0</v>
      </c>
      <c r="BA138" s="90">
        <f>SUM($AV138:AY138)</f>
        <v>0</v>
      </c>
      <c r="BQ138" s="90">
        <f t="shared" si="39"/>
        <v>0</v>
      </c>
      <c r="BR138" s="90">
        <f>SUM($BM138:BP138)</f>
        <v>0</v>
      </c>
      <c r="BS138" s="89"/>
    </row>
    <row r="139" spans="16:71" x14ac:dyDescent="0.25">
      <c r="P139" s="90">
        <f t="shared" si="35"/>
        <v>0</v>
      </c>
      <c r="Q139" s="90">
        <f>SUM($L139:O139)</f>
        <v>0</v>
      </c>
      <c r="R139" s="89"/>
      <c r="AH139" s="90">
        <f t="shared" si="36"/>
        <v>0</v>
      </c>
      <c r="AI139" s="90">
        <f t="shared" si="37"/>
        <v>0</v>
      </c>
      <c r="AJ139" s="89"/>
      <c r="AZ139" s="90">
        <f t="shared" si="38"/>
        <v>0</v>
      </c>
      <c r="BA139" s="90">
        <f>SUM($AV139:AY139)</f>
        <v>0</v>
      </c>
      <c r="BQ139" s="90">
        <f t="shared" si="39"/>
        <v>0</v>
      </c>
      <c r="BR139" s="90">
        <f>SUM($BM139:BP139)</f>
        <v>0</v>
      </c>
      <c r="BS139" s="89"/>
    </row>
    <row r="140" spans="16:71" x14ac:dyDescent="0.25">
      <c r="P140" s="90">
        <f t="shared" si="35"/>
        <v>0</v>
      </c>
      <c r="Q140" s="90">
        <f>SUM($L140:O140)</f>
        <v>0</v>
      </c>
      <c r="R140" s="89"/>
      <c r="AH140" s="90">
        <f t="shared" si="36"/>
        <v>0</v>
      </c>
      <c r="AI140" s="90">
        <f t="shared" si="37"/>
        <v>0</v>
      </c>
      <c r="AJ140" s="89"/>
      <c r="AZ140" s="90">
        <f t="shared" si="38"/>
        <v>0</v>
      </c>
      <c r="BA140" s="90">
        <f>SUM($AV140:AY140)</f>
        <v>0</v>
      </c>
      <c r="BQ140" s="90">
        <f t="shared" si="39"/>
        <v>0</v>
      </c>
      <c r="BR140" s="90">
        <f>SUM($BM140:BP140)</f>
        <v>0</v>
      </c>
      <c r="BS140" s="89"/>
    </row>
    <row r="141" spans="16:71" x14ac:dyDescent="0.25">
      <c r="P141" s="90">
        <f t="shared" si="35"/>
        <v>0</v>
      </c>
      <c r="Q141" s="90">
        <f>SUM($L141:O141)</f>
        <v>0</v>
      </c>
      <c r="R141" s="89"/>
      <c r="AH141" s="90">
        <f t="shared" si="36"/>
        <v>0</v>
      </c>
      <c r="AI141" s="90">
        <f t="shared" si="37"/>
        <v>0</v>
      </c>
      <c r="AJ141" s="89"/>
      <c r="AZ141" s="90">
        <f t="shared" si="38"/>
        <v>0</v>
      </c>
      <c r="BA141" s="90">
        <f>SUM($AV141:AY141)</f>
        <v>0</v>
      </c>
      <c r="BQ141" s="90">
        <f t="shared" si="39"/>
        <v>0</v>
      </c>
      <c r="BR141" s="90">
        <f>SUM($BM141:BP141)</f>
        <v>0</v>
      </c>
      <c r="BS141" s="89"/>
    </row>
    <row r="142" spans="16:71" x14ac:dyDescent="0.25">
      <c r="P142" s="90">
        <f t="shared" si="35"/>
        <v>0</v>
      </c>
      <c r="Q142" s="90">
        <f>SUM($L142:O142)</f>
        <v>0</v>
      </c>
      <c r="R142" s="89"/>
      <c r="AH142" s="90">
        <f t="shared" si="36"/>
        <v>0</v>
      </c>
      <c r="AI142" s="90">
        <f t="shared" si="37"/>
        <v>0</v>
      </c>
      <c r="AJ142" s="89"/>
      <c r="AZ142" s="90">
        <f t="shared" si="38"/>
        <v>0</v>
      </c>
      <c r="BA142" s="90">
        <f>SUM($AV142:AY142)</f>
        <v>0</v>
      </c>
      <c r="BQ142" s="90">
        <f t="shared" si="39"/>
        <v>0</v>
      </c>
      <c r="BR142" s="90">
        <f>SUM($BM142:BP142)</f>
        <v>0</v>
      </c>
      <c r="BS142" s="89"/>
    </row>
    <row r="143" spans="16:71" x14ac:dyDescent="0.25">
      <c r="P143" s="90">
        <f t="shared" si="35"/>
        <v>0</v>
      </c>
      <c r="Q143" s="90">
        <f>SUM($L143:O143)</f>
        <v>0</v>
      </c>
      <c r="R143" s="89"/>
      <c r="AH143" s="90">
        <f t="shared" si="36"/>
        <v>0</v>
      </c>
      <c r="AI143" s="90">
        <f t="shared" si="37"/>
        <v>0</v>
      </c>
      <c r="AJ143" s="89"/>
      <c r="AZ143" s="90">
        <f t="shared" si="38"/>
        <v>0</v>
      </c>
      <c r="BA143" s="90">
        <f>SUM($AV143:AY143)</f>
        <v>0</v>
      </c>
      <c r="BQ143" s="90">
        <f t="shared" si="39"/>
        <v>0</v>
      </c>
      <c r="BR143" s="90">
        <f>SUM($BM143:BP143)</f>
        <v>0</v>
      </c>
      <c r="BS143" s="89"/>
    </row>
    <row r="144" spans="16:71" x14ac:dyDescent="0.25">
      <c r="P144" s="90">
        <f t="shared" si="35"/>
        <v>0</v>
      </c>
      <c r="Q144" s="90">
        <f>SUM($L144:O144)</f>
        <v>0</v>
      </c>
      <c r="R144" s="89"/>
      <c r="AH144" s="90">
        <f t="shared" si="36"/>
        <v>0</v>
      </c>
      <c r="AI144" s="90">
        <f t="shared" si="37"/>
        <v>0</v>
      </c>
      <c r="AJ144" s="89"/>
      <c r="AZ144" s="90">
        <f t="shared" si="38"/>
        <v>0</v>
      </c>
      <c r="BA144" s="90">
        <f>SUM($AV144:AY144)</f>
        <v>0</v>
      </c>
      <c r="BQ144" s="90">
        <f t="shared" si="39"/>
        <v>0</v>
      </c>
      <c r="BR144" s="90">
        <f>SUM($BM144:BP144)</f>
        <v>0</v>
      </c>
      <c r="BS144" s="89"/>
    </row>
    <row r="145" spans="16:71" x14ac:dyDescent="0.25">
      <c r="P145" s="90">
        <f t="shared" si="35"/>
        <v>0</v>
      </c>
      <c r="Q145" s="90">
        <f>SUM($L145:O145)</f>
        <v>0</v>
      </c>
      <c r="R145" s="89"/>
      <c r="AH145" s="90">
        <f t="shared" si="36"/>
        <v>0</v>
      </c>
      <c r="AI145" s="90">
        <f t="shared" si="37"/>
        <v>0</v>
      </c>
      <c r="AJ145" s="89"/>
      <c r="AZ145" s="90">
        <f t="shared" si="38"/>
        <v>0</v>
      </c>
      <c r="BA145" s="90">
        <f>SUM($AV145:AY145)</f>
        <v>0</v>
      </c>
      <c r="BQ145" s="90">
        <f t="shared" si="39"/>
        <v>0</v>
      </c>
      <c r="BR145" s="90">
        <f>SUM($BM145:BP145)</f>
        <v>0</v>
      </c>
      <c r="BS145" s="89"/>
    </row>
    <row r="146" spans="16:71" x14ac:dyDescent="0.25">
      <c r="P146" s="90">
        <f t="shared" si="35"/>
        <v>0</v>
      </c>
      <c r="Q146" s="90">
        <f>SUM($L146:O146)</f>
        <v>0</v>
      </c>
      <c r="R146" s="89"/>
      <c r="AH146" s="90">
        <f t="shared" si="36"/>
        <v>0</v>
      </c>
      <c r="AI146" s="90">
        <f t="shared" si="37"/>
        <v>0</v>
      </c>
      <c r="AJ146" s="89"/>
      <c r="AZ146" s="90">
        <f t="shared" si="38"/>
        <v>0</v>
      </c>
      <c r="BA146" s="90">
        <f>SUM($AV146:AY146)</f>
        <v>0</v>
      </c>
      <c r="BQ146" s="90">
        <f t="shared" si="39"/>
        <v>0</v>
      </c>
      <c r="BR146" s="90">
        <f>SUM($BM146:BP146)</f>
        <v>0</v>
      </c>
      <c r="BS146" s="89"/>
    </row>
    <row r="147" spans="16:71" x14ac:dyDescent="0.25">
      <c r="P147" s="90">
        <f t="shared" si="35"/>
        <v>0</v>
      </c>
      <c r="Q147" s="90">
        <f>SUM($L147:O147)</f>
        <v>0</v>
      </c>
      <c r="R147" s="89"/>
      <c r="AH147" s="90">
        <f t="shared" si="36"/>
        <v>0</v>
      </c>
      <c r="AI147" s="90">
        <f t="shared" si="37"/>
        <v>0</v>
      </c>
      <c r="AJ147" s="89"/>
      <c r="AZ147" s="90">
        <f t="shared" si="38"/>
        <v>0</v>
      </c>
      <c r="BA147" s="90">
        <f>SUM($AV147:AY147)</f>
        <v>0</v>
      </c>
      <c r="BQ147" s="90">
        <f t="shared" si="39"/>
        <v>0</v>
      </c>
      <c r="BR147" s="90">
        <f>SUM($BM147:BP147)</f>
        <v>0</v>
      </c>
      <c r="BS147" s="89"/>
    </row>
    <row r="148" spans="16:71" x14ac:dyDescent="0.25">
      <c r="P148" s="90">
        <f t="shared" si="35"/>
        <v>0</v>
      </c>
      <c r="Q148" s="90">
        <f>SUM($L148:O148)</f>
        <v>0</v>
      </c>
      <c r="R148" s="89"/>
      <c r="AH148" s="90">
        <f t="shared" si="36"/>
        <v>0</v>
      </c>
      <c r="AI148" s="90">
        <f t="shared" si="37"/>
        <v>0</v>
      </c>
      <c r="AJ148" s="89"/>
      <c r="AZ148" s="90">
        <f t="shared" si="38"/>
        <v>0</v>
      </c>
      <c r="BA148" s="90">
        <f>SUM($AV148:AY148)</f>
        <v>0</v>
      </c>
      <c r="BQ148" s="90">
        <f t="shared" si="39"/>
        <v>0</v>
      </c>
      <c r="BR148" s="90">
        <f>SUM($BM148:BP148)</f>
        <v>0</v>
      </c>
      <c r="BS148" s="89"/>
    </row>
    <row r="149" spans="16:71" x14ac:dyDescent="0.25">
      <c r="P149" s="90">
        <f t="shared" si="35"/>
        <v>0</v>
      </c>
      <c r="Q149" s="90">
        <f>SUM($L149:O149)</f>
        <v>0</v>
      </c>
      <c r="R149" s="89"/>
      <c r="AH149" s="90">
        <f t="shared" si="36"/>
        <v>0</v>
      </c>
      <c r="AI149" s="90">
        <f t="shared" si="37"/>
        <v>0</v>
      </c>
      <c r="AJ149" s="89"/>
      <c r="AZ149" s="90">
        <f t="shared" si="38"/>
        <v>0</v>
      </c>
      <c r="BA149" s="90">
        <f>SUM($AV149:AY149)</f>
        <v>0</v>
      </c>
      <c r="BQ149" s="90">
        <f t="shared" si="39"/>
        <v>0</v>
      </c>
      <c r="BR149" s="90">
        <f>SUM($BM149:BP149)</f>
        <v>0</v>
      </c>
      <c r="BS149" s="89"/>
    </row>
    <row r="150" spans="16:71" x14ac:dyDescent="0.25">
      <c r="P150" s="90">
        <f t="shared" si="35"/>
        <v>0</v>
      </c>
      <c r="Q150" s="90">
        <f>SUM($L150:O150)</f>
        <v>0</v>
      </c>
      <c r="R150" s="89"/>
      <c r="AH150" s="90">
        <f t="shared" si="36"/>
        <v>0</v>
      </c>
      <c r="AI150" s="90">
        <f t="shared" si="37"/>
        <v>0</v>
      </c>
      <c r="AJ150" s="89"/>
      <c r="AZ150" s="90">
        <f t="shared" si="38"/>
        <v>0</v>
      </c>
      <c r="BA150" s="90">
        <f>SUM($AV150:AY150)</f>
        <v>0</v>
      </c>
      <c r="BQ150" s="90">
        <f t="shared" si="39"/>
        <v>0</v>
      </c>
      <c r="BR150" s="90">
        <f>SUM($BM150:BP150)</f>
        <v>0</v>
      </c>
      <c r="BS150" s="89"/>
    </row>
    <row r="151" spans="16:71" x14ac:dyDescent="0.25">
      <c r="P151" s="90">
        <f t="shared" si="35"/>
        <v>0</v>
      </c>
      <c r="Q151" s="90">
        <f>SUM($L151:O151)</f>
        <v>0</v>
      </c>
      <c r="R151" s="89"/>
      <c r="AH151" s="90">
        <f t="shared" si="36"/>
        <v>0</v>
      </c>
      <c r="AI151" s="90">
        <f t="shared" si="37"/>
        <v>0</v>
      </c>
      <c r="AJ151" s="89"/>
      <c r="AZ151" s="90">
        <f t="shared" si="38"/>
        <v>0</v>
      </c>
      <c r="BA151" s="90">
        <f>SUM($AV151:AY151)</f>
        <v>0</v>
      </c>
      <c r="BQ151" s="90">
        <f t="shared" si="39"/>
        <v>0</v>
      </c>
      <c r="BR151" s="90">
        <f>SUM($BM151:BP151)</f>
        <v>0</v>
      </c>
      <c r="BS151" s="89"/>
    </row>
    <row r="152" spans="16:71" x14ac:dyDescent="0.25">
      <c r="P152" s="90">
        <f t="shared" si="35"/>
        <v>0</v>
      </c>
      <c r="Q152" s="90">
        <f>SUM($L152:O152)</f>
        <v>0</v>
      </c>
      <c r="R152" s="89"/>
      <c r="AH152" s="90">
        <f t="shared" si="36"/>
        <v>0</v>
      </c>
      <c r="AI152" s="90">
        <f t="shared" si="37"/>
        <v>0</v>
      </c>
      <c r="AJ152" s="89"/>
      <c r="AZ152" s="90">
        <f t="shared" si="38"/>
        <v>0</v>
      </c>
      <c r="BA152" s="90">
        <f>SUM($AV152:AY152)</f>
        <v>0</v>
      </c>
      <c r="BQ152" s="90">
        <f t="shared" si="39"/>
        <v>0</v>
      </c>
      <c r="BR152" s="90">
        <f>SUM($BM152:BP152)</f>
        <v>0</v>
      </c>
      <c r="BS152" s="89"/>
    </row>
    <row r="153" spans="16:71" x14ac:dyDescent="0.25">
      <c r="P153" s="90">
        <f t="shared" si="35"/>
        <v>0</v>
      </c>
      <c r="Q153" s="90">
        <f>SUM($L153:O153)</f>
        <v>0</v>
      </c>
      <c r="R153" s="89"/>
      <c r="AH153" s="90">
        <f t="shared" si="36"/>
        <v>0</v>
      </c>
      <c r="AI153" s="90">
        <f t="shared" si="37"/>
        <v>0</v>
      </c>
      <c r="AJ153" s="89"/>
      <c r="AZ153" s="90">
        <f t="shared" si="38"/>
        <v>0</v>
      </c>
      <c r="BA153" s="90">
        <f>SUM($AV153:AY153)</f>
        <v>0</v>
      </c>
      <c r="BQ153" s="90">
        <f t="shared" si="39"/>
        <v>0</v>
      </c>
      <c r="BR153" s="90">
        <f>SUM($BM153:BP153)</f>
        <v>0</v>
      </c>
      <c r="BS153" s="89"/>
    </row>
    <row r="154" spans="16:71" x14ac:dyDescent="0.25">
      <c r="P154" s="90">
        <f t="shared" si="35"/>
        <v>0</v>
      </c>
      <c r="Q154" s="90">
        <f>SUM($L154:O154)</f>
        <v>0</v>
      </c>
      <c r="R154" s="89"/>
      <c r="AH154" s="90">
        <f t="shared" si="36"/>
        <v>0</v>
      </c>
      <c r="AI154" s="90">
        <f t="shared" si="37"/>
        <v>0</v>
      </c>
      <c r="AJ154" s="89"/>
      <c r="AZ154" s="90">
        <f t="shared" si="38"/>
        <v>0</v>
      </c>
      <c r="BA154" s="90">
        <f>SUM($AV154:AY154)</f>
        <v>0</v>
      </c>
      <c r="BQ154" s="90">
        <f t="shared" si="39"/>
        <v>0</v>
      </c>
      <c r="BR154" s="90">
        <f>SUM($BM154:BP154)</f>
        <v>0</v>
      </c>
      <c r="BS154" s="89"/>
    </row>
    <row r="155" spans="16:71" x14ac:dyDescent="0.25">
      <c r="P155" s="90">
        <f t="shared" si="35"/>
        <v>0</v>
      </c>
      <c r="Q155" s="90">
        <f>SUM($L155:O155)</f>
        <v>0</v>
      </c>
      <c r="R155" s="89"/>
      <c r="AH155" s="90">
        <f t="shared" si="36"/>
        <v>0</v>
      </c>
      <c r="AI155" s="90">
        <f t="shared" si="37"/>
        <v>0</v>
      </c>
      <c r="AJ155" s="89"/>
      <c r="AZ155" s="90">
        <f t="shared" si="38"/>
        <v>0</v>
      </c>
      <c r="BA155" s="90">
        <f>SUM($AV155:AY155)</f>
        <v>0</v>
      </c>
      <c r="BQ155" s="90">
        <f>SUM(BC155:BO155)</f>
        <v>0</v>
      </c>
      <c r="BR155" s="90">
        <f>SUM($BM155:BP155)</f>
        <v>0</v>
      </c>
      <c r="BS155" s="89"/>
    </row>
    <row r="156" spans="16:71" x14ac:dyDescent="0.25">
      <c r="P156" s="90">
        <f t="shared" si="35"/>
        <v>0</v>
      </c>
      <c r="Q156" s="90">
        <f>SUM($L156:O156)</f>
        <v>0</v>
      </c>
      <c r="R156" s="89"/>
      <c r="AH156" s="90">
        <f t="shared" si="36"/>
        <v>0</v>
      </c>
      <c r="AI156" s="90">
        <f t="shared" si="37"/>
        <v>0</v>
      </c>
      <c r="AJ156" s="89"/>
      <c r="AZ156" s="90">
        <f t="shared" si="38"/>
        <v>0</v>
      </c>
      <c r="BA156" s="90">
        <f>SUM($AV156:AY156)</f>
        <v>0</v>
      </c>
      <c r="BQ156" s="90">
        <f t="shared" si="39"/>
        <v>0</v>
      </c>
      <c r="BR156" s="90">
        <f>SUM($BM156:BP156)</f>
        <v>0</v>
      </c>
      <c r="BS156" s="89"/>
    </row>
    <row r="157" spans="16:71" x14ac:dyDescent="0.25">
      <c r="P157" s="90">
        <f t="shared" si="35"/>
        <v>0</v>
      </c>
      <c r="Q157" s="90">
        <f>SUM($L157:O157)</f>
        <v>0</v>
      </c>
      <c r="R157" s="89"/>
      <c r="AH157" s="90">
        <f t="shared" si="36"/>
        <v>0</v>
      </c>
      <c r="AI157" s="90">
        <f t="shared" si="37"/>
        <v>0</v>
      </c>
      <c r="AJ157" s="89"/>
      <c r="AZ157" s="90">
        <f t="shared" si="38"/>
        <v>0</v>
      </c>
      <c r="BA157" s="90">
        <f>SUM($AV157:AY157)</f>
        <v>0</v>
      </c>
      <c r="BQ157" s="90">
        <f t="shared" si="39"/>
        <v>0</v>
      </c>
      <c r="BR157" s="90">
        <f>SUM($BM157:BP157)</f>
        <v>0</v>
      </c>
      <c r="BS157" s="89"/>
    </row>
    <row r="158" spans="16:71" x14ac:dyDescent="0.25">
      <c r="P158" s="90">
        <f t="shared" si="35"/>
        <v>0</v>
      </c>
      <c r="Q158" s="90">
        <f>SUM($L158:O158)</f>
        <v>0</v>
      </c>
      <c r="R158" s="89"/>
      <c r="AH158" s="90">
        <f t="shared" si="36"/>
        <v>0</v>
      </c>
      <c r="AI158" s="90">
        <f t="shared" si="37"/>
        <v>0</v>
      </c>
      <c r="AJ158" s="89"/>
      <c r="AZ158" s="90">
        <f t="shared" si="38"/>
        <v>0</v>
      </c>
      <c r="BA158" s="90">
        <f>SUM($AV158:AY158)</f>
        <v>0</v>
      </c>
      <c r="BQ158" s="90">
        <f t="shared" si="39"/>
        <v>0</v>
      </c>
      <c r="BR158" s="90">
        <f>SUM($BM158:BP158)</f>
        <v>0</v>
      </c>
      <c r="BS158" s="89"/>
    </row>
    <row r="159" spans="16:71" x14ac:dyDescent="0.25">
      <c r="P159" s="90">
        <f t="shared" si="35"/>
        <v>0</v>
      </c>
      <c r="Q159" s="90">
        <f>SUM($L159:O159)</f>
        <v>0</v>
      </c>
      <c r="R159" s="89"/>
      <c r="AH159" s="90">
        <f t="shared" si="36"/>
        <v>0</v>
      </c>
      <c r="AI159" s="90">
        <f t="shared" si="37"/>
        <v>0</v>
      </c>
      <c r="AJ159" s="89"/>
      <c r="AZ159" s="90">
        <f t="shared" si="38"/>
        <v>0</v>
      </c>
      <c r="BA159" s="90">
        <f>SUM($AV159:AY159)</f>
        <v>0</v>
      </c>
      <c r="BQ159" s="90">
        <f t="shared" si="39"/>
        <v>0</v>
      </c>
      <c r="BR159" s="90">
        <f>SUM($BM159:BP159)</f>
        <v>0</v>
      </c>
      <c r="BS159" s="89"/>
    </row>
    <row r="160" spans="16:71" x14ac:dyDescent="0.25">
      <c r="P160" s="90">
        <f t="shared" si="35"/>
        <v>0</v>
      </c>
      <c r="Q160" s="90">
        <f>SUM($L160:O160)</f>
        <v>0</v>
      </c>
      <c r="R160" s="89"/>
      <c r="AH160" s="90">
        <f t="shared" si="36"/>
        <v>0</v>
      </c>
      <c r="AI160" s="90">
        <f t="shared" si="37"/>
        <v>0</v>
      </c>
      <c r="AJ160" s="89"/>
      <c r="AZ160" s="90">
        <f t="shared" si="38"/>
        <v>0</v>
      </c>
      <c r="BA160" s="90">
        <f>SUM($AV160:AY160)</f>
        <v>0</v>
      </c>
      <c r="BQ160" s="90">
        <f t="shared" si="39"/>
        <v>0</v>
      </c>
      <c r="BR160" s="90">
        <f>SUM($BM160:BP160)</f>
        <v>0</v>
      </c>
      <c r="BS160" s="89"/>
    </row>
    <row r="161" spans="16:71" x14ac:dyDescent="0.25">
      <c r="P161" s="90">
        <f t="shared" si="35"/>
        <v>0</v>
      </c>
      <c r="Q161" s="90">
        <f>SUM($L161:O161)</f>
        <v>0</v>
      </c>
      <c r="R161" s="89"/>
      <c r="AH161" s="90">
        <f t="shared" si="36"/>
        <v>0</v>
      </c>
      <c r="AI161" s="90">
        <f t="shared" si="37"/>
        <v>0</v>
      </c>
      <c r="AJ161" s="89"/>
      <c r="AZ161" s="90">
        <f t="shared" si="38"/>
        <v>0</v>
      </c>
      <c r="BA161" s="90">
        <f>SUM($AV161:AY161)</f>
        <v>0</v>
      </c>
      <c r="BQ161" s="90">
        <f t="shared" si="39"/>
        <v>0</v>
      </c>
      <c r="BR161" s="90">
        <f>SUM($BM161:BP161)</f>
        <v>0</v>
      </c>
      <c r="BS161" s="89"/>
    </row>
    <row r="162" spans="16:71" x14ac:dyDescent="0.25">
      <c r="P162" s="90">
        <f t="shared" si="35"/>
        <v>0</v>
      </c>
      <c r="Q162" s="90">
        <f>SUM($L162:O162)</f>
        <v>0</v>
      </c>
      <c r="R162" s="89"/>
      <c r="AH162" s="90">
        <f t="shared" si="36"/>
        <v>0</v>
      </c>
      <c r="AI162" s="90">
        <f t="shared" si="37"/>
        <v>0</v>
      </c>
      <c r="AJ162" s="89"/>
      <c r="AZ162" s="90">
        <f t="shared" si="38"/>
        <v>0</v>
      </c>
      <c r="BA162" s="90">
        <f>SUM($AV162:AY162)</f>
        <v>0</v>
      </c>
      <c r="BQ162" s="90">
        <f t="shared" si="39"/>
        <v>0</v>
      </c>
      <c r="BR162" s="90">
        <f>SUM($BM162:BP162)</f>
        <v>0</v>
      </c>
      <c r="BS162" s="89"/>
    </row>
    <row r="163" spans="16:71" x14ac:dyDescent="0.25">
      <c r="P163" s="90">
        <f t="shared" si="35"/>
        <v>0</v>
      </c>
      <c r="Q163" s="90">
        <f>SUM($L163:O163)</f>
        <v>0</v>
      </c>
      <c r="R163" s="89"/>
      <c r="AH163" s="90">
        <f t="shared" si="36"/>
        <v>0</v>
      </c>
      <c r="AI163" s="90">
        <f t="shared" si="37"/>
        <v>0</v>
      </c>
      <c r="AJ163" s="89"/>
      <c r="AZ163" s="90">
        <f t="shared" si="38"/>
        <v>0</v>
      </c>
      <c r="BA163" s="90">
        <f>SUM($AV163:AY163)</f>
        <v>0</v>
      </c>
      <c r="BQ163" s="90">
        <f t="shared" si="39"/>
        <v>0</v>
      </c>
      <c r="BR163" s="90">
        <f>SUM($BM163:BP163)</f>
        <v>0</v>
      </c>
      <c r="BS163" s="89"/>
    </row>
    <row r="164" spans="16:71" x14ac:dyDescent="0.25">
      <c r="P164" s="90">
        <f t="shared" si="35"/>
        <v>0</v>
      </c>
      <c r="Q164" s="90">
        <f>SUM($L164:O164)</f>
        <v>0</v>
      </c>
      <c r="R164" s="89"/>
      <c r="AH164" s="90">
        <f t="shared" si="36"/>
        <v>0</v>
      </c>
      <c r="AI164" s="90">
        <f t="shared" si="37"/>
        <v>0</v>
      </c>
      <c r="AJ164" s="89"/>
      <c r="AZ164" s="90">
        <f t="shared" si="38"/>
        <v>0</v>
      </c>
      <c r="BA164" s="90">
        <f>SUM($AV164:AY164)</f>
        <v>0</v>
      </c>
      <c r="BQ164" s="90">
        <f t="shared" si="39"/>
        <v>0</v>
      </c>
      <c r="BR164" s="90">
        <f>SUM($BM164:BP164)</f>
        <v>0</v>
      </c>
      <c r="BS164" s="89"/>
    </row>
    <row r="165" spans="16:71" x14ac:dyDescent="0.25">
      <c r="P165" s="90">
        <f t="shared" si="35"/>
        <v>0</v>
      </c>
      <c r="Q165" s="90">
        <f>SUM($L165:O165)</f>
        <v>0</v>
      </c>
      <c r="R165" s="89"/>
      <c r="AH165" s="90">
        <f t="shared" si="36"/>
        <v>0</v>
      </c>
      <c r="AI165" s="90">
        <f t="shared" si="37"/>
        <v>0</v>
      </c>
      <c r="AJ165" s="89"/>
      <c r="AZ165" s="90">
        <f t="shared" si="38"/>
        <v>0</v>
      </c>
      <c r="BA165" s="90">
        <f>SUM($AV165:AY165)</f>
        <v>0</v>
      </c>
      <c r="BQ165" s="90">
        <f t="shared" si="39"/>
        <v>0</v>
      </c>
      <c r="BR165" s="90">
        <f>SUM($BM165:BP165)</f>
        <v>0</v>
      </c>
      <c r="BS165" s="89"/>
    </row>
    <row r="166" spans="16:71" x14ac:dyDescent="0.25">
      <c r="P166" s="90">
        <f t="shared" si="35"/>
        <v>0</v>
      </c>
      <c r="Q166" s="90">
        <f>SUM($L166:O166)</f>
        <v>0</v>
      </c>
      <c r="R166" s="89"/>
      <c r="AH166" s="90">
        <f t="shared" si="36"/>
        <v>0</v>
      </c>
      <c r="AI166" s="90">
        <f t="shared" si="37"/>
        <v>0</v>
      </c>
      <c r="AJ166" s="89"/>
      <c r="AZ166" s="90">
        <f t="shared" si="38"/>
        <v>0</v>
      </c>
      <c r="BA166" s="90">
        <f>SUM($AV166:AY166)</f>
        <v>0</v>
      </c>
      <c r="BQ166" s="90">
        <f t="shared" si="39"/>
        <v>0</v>
      </c>
      <c r="BR166" s="90">
        <f>SUM($BM166:BP166)</f>
        <v>0</v>
      </c>
      <c r="BS166" s="89"/>
    </row>
    <row r="167" spans="16:71" x14ac:dyDescent="0.25">
      <c r="P167" s="90">
        <f t="shared" si="35"/>
        <v>0</v>
      </c>
      <c r="Q167" s="90">
        <f>SUM($L167:O167)</f>
        <v>0</v>
      </c>
      <c r="R167" s="89"/>
      <c r="AH167" s="90">
        <f t="shared" si="36"/>
        <v>0</v>
      </c>
      <c r="AI167" s="90">
        <f t="shared" si="37"/>
        <v>0</v>
      </c>
      <c r="AJ167" s="89"/>
      <c r="AZ167" s="90">
        <f t="shared" si="38"/>
        <v>0</v>
      </c>
      <c r="BA167" s="90">
        <f>SUM($AV167:AY167)</f>
        <v>0</v>
      </c>
      <c r="BQ167" s="90">
        <f t="shared" si="39"/>
        <v>0</v>
      </c>
      <c r="BR167" s="90">
        <f>SUM($BM167:BP167)</f>
        <v>0</v>
      </c>
      <c r="BS167" s="89"/>
    </row>
    <row r="168" spans="16:71" x14ac:dyDescent="0.25">
      <c r="P168" s="90">
        <f t="shared" si="35"/>
        <v>0</v>
      </c>
      <c r="Q168" s="90">
        <f>SUM($L168:O168)</f>
        <v>0</v>
      </c>
      <c r="R168" s="89"/>
      <c r="AH168" s="90">
        <f t="shared" si="36"/>
        <v>0</v>
      </c>
      <c r="AI168" s="90">
        <f t="shared" si="37"/>
        <v>0</v>
      </c>
      <c r="AJ168" s="89"/>
      <c r="AZ168" s="90">
        <f t="shared" si="38"/>
        <v>0</v>
      </c>
      <c r="BA168" s="90">
        <f>SUM($AV168:AY168)</f>
        <v>0</v>
      </c>
      <c r="BQ168" s="90">
        <f t="shared" si="39"/>
        <v>0</v>
      </c>
      <c r="BR168" s="90">
        <f>SUM($BM168:BP168)</f>
        <v>0</v>
      </c>
      <c r="BS168" s="89"/>
    </row>
    <row r="169" spans="16:71" x14ac:dyDescent="0.25">
      <c r="P169" s="90">
        <f t="shared" si="35"/>
        <v>0</v>
      </c>
      <c r="Q169" s="90">
        <f>SUM($L169:O169)</f>
        <v>0</v>
      </c>
      <c r="R169" s="89"/>
      <c r="AH169" s="90">
        <f t="shared" si="36"/>
        <v>0</v>
      </c>
      <c r="AI169" s="90">
        <f t="shared" si="37"/>
        <v>0</v>
      </c>
      <c r="AJ169" s="89"/>
      <c r="AZ169" s="90">
        <f t="shared" si="38"/>
        <v>0</v>
      </c>
      <c r="BA169" s="90">
        <f>SUM($AV169:AY169)</f>
        <v>0</v>
      </c>
      <c r="BQ169" s="90">
        <f t="shared" si="39"/>
        <v>0</v>
      </c>
      <c r="BR169" s="90">
        <f>SUM($BM169:BP169)</f>
        <v>0</v>
      </c>
      <c r="BS169" s="89"/>
    </row>
    <row r="170" spans="16:71" x14ac:dyDescent="0.25">
      <c r="P170" s="90">
        <f t="shared" si="35"/>
        <v>0</v>
      </c>
      <c r="Q170" s="90">
        <f>SUM($L170:O170)</f>
        <v>0</v>
      </c>
      <c r="R170" s="89"/>
      <c r="AH170" s="90">
        <f t="shared" si="36"/>
        <v>0</v>
      </c>
      <c r="AI170" s="90">
        <f t="shared" si="37"/>
        <v>0</v>
      </c>
      <c r="AJ170" s="89"/>
      <c r="AZ170" s="90">
        <f t="shared" si="38"/>
        <v>0</v>
      </c>
      <c r="BA170" s="90">
        <f>SUM($AV170:AY170)</f>
        <v>0</v>
      </c>
      <c r="BQ170" s="90">
        <f t="shared" si="39"/>
        <v>0</v>
      </c>
      <c r="BR170" s="90">
        <f>SUM($BM170:BP170)</f>
        <v>0</v>
      </c>
      <c r="BS170" s="89"/>
    </row>
    <row r="171" spans="16:71" x14ac:dyDescent="0.25">
      <c r="P171" s="90">
        <f t="shared" si="35"/>
        <v>0</v>
      </c>
      <c r="Q171" s="90">
        <f>SUM($L171:O171)</f>
        <v>0</v>
      </c>
      <c r="R171" s="89"/>
      <c r="AH171" s="90">
        <f t="shared" si="36"/>
        <v>0</v>
      </c>
      <c r="AI171" s="90">
        <f t="shared" si="37"/>
        <v>0</v>
      </c>
      <c r="AJ171" s="89"/>
      <c r="AZ171" s="90">
        <f t="shared" si="38"/>
        <v>0</v>
      </c>
      <c r="BA171" s="90">
        <f>SUM($AV171:AY171)</f>
        <v>0</v>
      </c>
      <c r="BQ171" s="90">
        <f t="shared" si="39"/>
        <v>0</v>
      </c>
      <c r="BR171" s="90">
        <f>SUM($BM171:BP171)</f>
        <v>0</v>
      </c>
      <c r="BS171" s="89"/>
    </row>
    <row r="172" spans="16:71" x14ac:dyDescent="0.25">
      <c r="P172" s="90">
        <f t="shared" si="35"/>
        <v>0</v>
      </c>
      <c r="Q172" s="90">
        <f>SUM($L172:O172)</f>
        <v>0</v>
      </c>
      <c r="R172" s="89"/>
      <c r="AH172" s="90">
        <f t="shared" si="36"/>
        <v>0</v>
      </c>
      <c r="AI172" s="90">
        <f t="shared" si="37"/>
        <v>0</v>
      </c>
      <c r="AJ172" s="89"/>
      <c r="AZ172" s="90">
        <f t="shared" si="38"/>
        <v>0</v>
      </c>
      <c r="BA172" s="90">
        <f>SUM($AV172:AY172)</f>
        <v>0</v>
      </c>
      <c r="BQ172" s="90">
        <f t="shared" si="39"/>
        <v>0</v>
      </c>
      <c r="BR172" s="90">
        <f>SUM($BM172:BP172)</f>
        <v>0</v>
      </c>
      <c r="BS172" s="89"/>
    </row>
    <row r="173" spans="16:71" x14ac:dyDescent="0.25">
      <c r="P173" s="90">
        <f t="shared" si="35"/>
        <v>0</v>
      </c>
      <c r="Q173" s="90">
        <f>SUM($L173:O173)</f>
        <v>0</v>
      </c>
      <c r="R173" s="89"/>
      <c r="AH173" s="90">
        <f t="shared" si="36"/>
        <v>0</v>
      </c>
      <c r="AI173" s="90">
        <f t="shared" si="37"/>
        <v>0</v>
      </c>
      <c r="AJ173" s="89"/>
      <c r="AZ173" s="90">
        <f t="shared" si="38"/>
        <v>0</v>
      </c>
      <c r="BA173" s="90">
        <f>SUM($AV173:AY173)</f>
        <v>0</v>
      </c>
      <c r="BQ173" s="90">
        <f t="shared" si="39"/>
        <v>0</v>
      </c>
      <c r="BR173" s="90">
        <f>SUM($BM173:BP173)</f>
        <v>0</v>
      </c>
      <c r="BS173" s="89"/>
    </row>
    <row r="174" spans="16:71" x14ac:dyDescent="0.25">
      <c r="P174" s="90">
        <f t="shared" si="35"/>
        <v>0</v>
      </c>
      <c r="Q174" s="90">
        <f>SUM($L174:O174)</f>
        <v>0</v>
      </c>
      <c r="R174" s="89"/>
      <c r="AH174" s="90">
        <f t="shared" si="36"/>
        <v>0</v>
      </c>
      <c r="AI174" s="90">
        <f t="shared" si="37"/>
        <v>0</v>
      </c>
      <c r="AJ174" s="89"/>
      <c r="AZ174" s="90">
        <f t="shared" si="38"/>
        <v>0</v>
      </c>
      <c r="BA174" s="90">
        <f>SUM($AV174:AY174)</f>
        <v>0</v>
      </c>
      <c r="BQ174" s="90">
        <f t="shared" si="39"/>
        <v>0</v>
      </c>
      <c r="BR174" s="90">
        <f>SUM($BM174:BP174)</f>
        <v>0</v>
      </c>
      <c r="BS174" s="89"/>
    </row>
    <row r="175" spans="16:71" x14ac:dyDescent="0.25">
      <c r="P175" s="90">
        <f t="shared" si="35"/>
        <v>0</v>
      </c>
      <c r="Q175" s="90">
        <f>SUM($L175:O175)</f>
        <v>0</v>
      </c>
      <c r="R175" s="89"/>
      <c r="AH175" s="90">
        <f t="shared" si="36"/>
        <v>0</v>
      </c>
      <c r="AI175" s="90">
        <f t="shared" si="37"/>
        <v>0</v>
      </c>
      <c r="AJ175" s="89"/>
      <c r="AZ175" s="90">
        <f t="shared" si="38"/>
        <v>0</v>
      </c>
      <c r="BA175" s="90">
        <f>SUM($AV175:AY175)</f>
        <v>0</v>
      </c>
      <c r="BQ175" s="90">
        <f t="shared" si="39"/>
        <v>0</v>
      </c>
      <c r="BR175" s="90">
        <f>SUM($BM175:BP175)</f>
        <v>0</v>
      </c>
      <c r="BS175" s="89"/>
    </row>
    <row r="176" spans="16:71" x14ac:dyDescent="0.25">
      <c r="P176" s="90">
        <f t="shared" si="35"/>
        <v>0</v>
      </c>
      <c r="Q176" s="90">
        <f>SUM($L176:O176)</f>
        <v>0</v>
      </c>
      <c r="R176" s="89"/>
      <c r="AH176" s="90">
        <f t="shared" si="36"/>
        <v>0</v>
      </c>
      <c r="AI176" s="90">
        <f t="shared" si="37"/>
        <v>0</v>
      </c>
      <c r="AJ176" s="89"/>
      <c r="AZ176" s="90">
        <f t="shared" si="38"/>
        <v>0</v>
      </c>
      <c r="BA176" s="90">
        <f>SUM($AV176:AY176)</f>
        <v>0</v>
      </c>
      <c r="BQ176" s="90">
        <f t="shared" si="39"/>
        <v>0</v>
      </c>
      <c r="BR176" s="90">
        <f>SUM($BM176:BP176)</f>
        <v>0</v>
      </c>
      <c r="BS176" s="89"/>
    </row>
    <row r="177" spans="16:71" x14ac:dyDescent="0.25">
      <c r="P177" s="90">
        <f t="shared" si="35"/>
        <v>0</v>
      </c>
      <c r="Q177" s="90">
        <f>SUM($L177:O177)</f>
        <v>0</v>
      </c>
      <c r="R177" s="89"/>
      <c r="AH177" s="90">
        <f t="shared" si="36"/>
        <v>0</v>
      </c>
      <c r="AI177" s="90">
        <f t="shared" si="37"/>
        <v>0</v>
      </c>
      <c r="AJ177" s="89"/>
      <c r="AZ177" s="90">
        <f t="shared" si="38"/>
        <v>0</v>
      </c>
      <c r="BA177" s="90">
        <f>SUM($AV177:AY177)</f>
        <v>0</v>
      </c>
      <c r="BQ177" s="90">
        <f t="shared" si="39"/>
        <v>0</v>
      </c>
      <c r="BR177" s="90">
        <f>SUM($BM177:BP177)</f>
        <v>0</v>
      </c>
      <c r="BS177" s="89"/>
    </row>
    <row r="178" spans="16:71" x14ac:dyDescent="0.25">
      <c r="P178" s="90">
        <f t="shared" si="35"/>
        <v>0</v>
      </c>
      <c r="Q178" s="90">
        <f>SUM($L178:O178)</f>
        <v>0</v>
      </c>
      <c r="R178" s="89"/>
      <c r="AH178" s="90">
        <f t="shared" si="36"/>
        <v>0</v>
      </c>
      <c r="AI178" s="90">
        <f t="shared" si="37"/>
        <v>0</v>
      </c>
      <c r="AJ178" s="89"/>
      <c r="AZ178" s="90">
        <f t="shared" si="38"/>
        <v>0</v>
      </c>
      <c r="BA178" s="90">
        <f>SUM($AV178:AY178)</f>
        <v>0</v>
      </c>
      <c r="BQ178" s="90">
        <f t="shared" si="39"/>
        <v>0</v>
      </c>
      <c r="BR178" s="90">
        <f>SUM($BM178:BP178)</f>
        <v>0</v>
      </c>
      <c r="BS178" s="89"/>
    </row>
    <row r="179" spans="16:71" x14ac:dyDescent="0.25">
      <c r="P179" s="90">
        <f t="shared" si="35"/>
        <v>0</v>
      </c>
      <c r="Q179" s="90">
        <f>SUM($L179:O179)</f>
        <v>0</v>
      </c>
      <c r="R179" s="89"/>
      <c r="AH179" s="90">
        <f t="shared" si="36"/>
        <v>0</v>
      </c>
      <c r="AI179" s="90">
        <f t="shared" si="37"/>
        <v>0</v>
      </c>
      <c r="AJ179" s="89"/>
      <c r="AZ179" s="90">
        <f t="shared" si="38"/>
        <v>0</v>
      </c>
      <c r="BA179" s="90">
        <f>SUM($AV179:AY179)</f>
        <v>0</v>
      </c>
      <c r="BQ179" s="90">
        <f t="shared" si="39"/>
        <v>0</v>
      </c>
      <c r="BR179" s="90">
        <f>SUM($BM179:BP179)</f>
        <v>0</v>
      </c>
      <c r="BS179" s="89"/>
    </row>
    <row r="180" spans="16:71" x14ac:dyDescent="0.25">
      <c r="P180" s="90">
        <f t="shared" si="35"/>
        <v>0</v>
      </c>
      <c r="Q180" s="90">
        <f>SUM($L180:O180)</f>
        <v>0</v>
      </c>
      <c r="R180" s="89"/>
      <c r="AH180" s="90">
        <f t="shared" si="36"/>
        <v>0</v>
      </c>
      <c r="AI180" s="90">
        <f t="shared" si="37"/>
        <v>0</v>
      </c>
      <c r="AJ180" s="89"/>
      <c r="AZ180" s="90">
        <f t="shared" si="38"/>
        <v>0</v>
      </c>
      <c r="BA180" s="90">
        <f>SUM($AV180:AY180)</f>
        <v>0</v>
      </c>
      <c r="BQ180" s="90">
        <f t="shared" si="39"/>
        <v>0</v>
      </c>
      <c r="BR180" s="90">
        <f>SUM($BM180:BP180)</f>
        <v>0</v>
      </c>
      <c r="BS180" s="89"/>
    </row>
    <row r="181" spans="16:71" x14ac:dyDescent="0.25">
      <c r="P181" s="90">
        <f t="shared" si="35"/>
        <v>0</v>
      </c>
      <c r="Q181" s="90">
        <f>SUM($L181:O181)</f>
        <v>0</v>
      </c>
      <c r="R181" s="89"/>
      <c r="AH181" s="90">
        <f t="shared" si="36"/>
        <v>0</v>
      </c>
      <c r="AI181" s="90">
        <f t="shared" si="37"/>
        <v>0</v>
      </c>
      <c r="AJ181" s="89"/>
      <c r="AZ181" s="90">
        <f t="shared" si="38"/>
        <v>0</v>
      </c>
      <c r="BA181" s="90">
        <f>SUM($AV181:AY181)</f>
        <v>0</v>
      </c>
      <c r="BQ181" s="90">
        <f t="shared" si="39"/>
        <v>0</v>
      </c>
      <c r="BR181" s="90">
        <f>SUM($BM181:BP181)</f>
        <v>0</v>
      </c>
      <c r="BS181" s="89"/>
    </row>
    <row r="182" spans="16:71" x14ac:dyDescent="0.25">
      <c r="P182" s="90">
        <f t="shared" si="35"/>
        <v>0</v>
      </c>
      <c r="Q182" s="90">
        <f>SUM($L182:O182)</f>
        <v>0</v>
      </c>
      <c r="R182" s="89"/>
      <c r="AH182" s="90">
        <f t="shared" si="36"/>
        <v>0</v>
      </c>
      <c r="AI182" s="90">
        <f t="shared" si="37"/>
        <v>0</v>
      </c>
      <c r="AJ182" s="89"/>
      <c r="AZ182" s="90">
        <f t="shared" si="38"/>
        <v>0</v>
      </c>
      <c r="BA182" s="90">
        <f>SUM($AV182:AY182)</f>
        <v>0</v>
      </c>
      <c r="BQ182" s="90">
        <f t="shared" si="39"/>
        <v>0</v>
      </c>
      <c r="BR182" s="90">
        <f>SUM($BM182:BP182)</f>
        <v>0</v>
      </c>
      <c r="BS182" s="89"/>
    </row>
    <row r="183" spans="16:71" x14ac:dyDescent="0.25">
      <c r="P183" s="90">
        <f t="shared" si="35"/>
        <v>0</v>
      </c>
      <c r="Q183" s="90">
        <f>SUM($L183:O183)</f>
        <v>0</v>
      </c>
      <c r="R183" s="89"/>
      <c r="AH183" s="90">
        <f t="shared" si="36"/>
        <v>0</v>
      </c>
      <c r="AI183" s="90">
        <f t="shared" si="37"/>
        <v>0</v>
      </c>
      <c r="AJ183" s="89"/>
      <c r="AZ183" s="90">
        <f t="shared" si="38"/>
        <v>0</v>
      </c>
      <c r="BA183" s="90">
        <f>SUM($AV183:AY183)</f>
        <v>0</v>
      </c>
      <c r="BQ183" s="90">
        <f t="shared" si="39"/>
        <v>0</v>
      </c>
      <c r="BR183" s="90">
        <f>SUM($BM183:BP183)</f>
        <v>0</v>
      </c>
      <c r="BS183" s="89"/>
    </row>
    <row r="184" spans="16:71" x14ac:dyDescent="0.25">
      <c r="P184" s="90">
        <f t="shared" si="35"/>
        <v>0</v>
      </c>
      <c r="Q184" s="90">
        <f>SUM($L184:O184)</f>
        <v>0</v>
      </c>
      <c r="R184" s="89"/>
      <c r="AH184" s="90">
        <f t="shared" si="36"/>
        <v>0</v>
      </c>
      <c r="AI184" s="90">
        <f t="shared" si="37"/>
        <v>0</v>
      </c>
      <c r="AJ184" s="89"/>
      <c r="AZ184" s="90">
        <f t="shared" si="38"/>
        <v>0</v>
      </c>
      <c r="BA184" s="90">
        <f>SUM($AV184:AY184)</f>
        <v>0</v>
      </c>
      <c r="BQ184" s="90">
        <f t="shared" si="39"/>
        <v>0</v>
      </c>
      <c r="BR184" s="90">
        <f>SUM($BM184:BP184)</f>
        <v>0</v>
      </c>
      <c r="BS184" s="89"/>
    </row>
    <row r="185" spans="16:71" x14ac:dyDescent="0.25">
      <c r="P185" s="90">
        <f t="shared" si="35"/>
        <v>0</v>
      </c>
      <c r="Q185" s="90">
        <f>SUM($L185:O185)</f>
        <v>0</v>
      </c>
      <c r="R185" s="89"/>
      <c r="AH185" s="90">
        <f t="shared" si="36"/>
        <v>0</v>
      </c>
      <c r="AI185" s="90">
        <f t="shared" si="37"/>
        <v>0</v>
      </c>
      <c r="AJ185" s="89"/>
      <c r="AZ185" s="90">
        <f t="shared" si="38"/>
        <v>0</v>
      </c>
      <c r="BA185" s="90">
        <f>SUM($AV185:AY185)</f>
        <v>0</v>
      </c>
      <c r="BQ185" s="90">
        <f t="shared" si="39"/>
        <v>0</v>
      </c>
      <c r="BR185" s="90">
        <f>SUM($BM185:BP185)</f>
        <v>0</v>
      </c>
      <c r="BS185" s="89"/>
    </row>
    <row r="186" spans="16:71" x14ac:dyDescent="0.25">
      <c r="P186" s="90">
        <f t="shared" si="35"/>
        <v>0</v>
      </c>
      <c r="Q186" s="90">
        <f>SUM($L186:O186)</f>
        <v>0</v>
      </c>
      <c r="R186" s="89"/>
      <c r="AH186" s="90">
        <f t="shared" si="36"/>
        <v>0</v>
      </c>
      <c r="AI186" s="90">
        <f t="shared" si="37"/>
        <v>0</v>
      </c>
      <c r="AJ186" s="89"/>
      <c r="AZ186" s="90">
        <f t="shared" si="38"/>
        <v>0</v>
      </c>
      <c r="BA186" s="90">
        <f>SUM($AV186:AY186)</f>
        <v>0</v>
      </c>
      <c r="BQ186" s="90">
        <f t="shared" si="39"/>
        <v>0</v>
      </c>
      <c r="BR186" s="90">
        <f>SUM($BM186:BP186)</f>
        <v>0</v>
      </c>
      <c r="BS186" s="89"/>
    </row>
    <row r="187" spans="16:71" x14ac:dyDescent="0.25">
      <c r="P187" s="90">
        <f t="shared" si="35"/>
        <v>0</v>
      </c>
      <c r="Q187" s="90">
        <f>SUM($L187:O187)</f>
        <v>0</v>
      </c>
      <c r="R187" s="89"/>
      <c r="AH187" s="90">
        <f t="shared" si="36"/>
        <v>0</v>
      </c>
      <c r="AI187" s="90">
        <f t="shared" si="37"/>
        <v>0</v>
      </c>
      <c r="AJ187" s="89"/>
      <c r="AZ187" s="90">
        <f t="shared" si="38"/>
        <v>0</v>
      </c>
      <c r="BA187" s="90">
        <f>SUM($AV187:AY187)</f>
        <v>0</v>
      </c>
      <c r="BQ187" s="90">
        <f t="shared" si="39"/>
        <v>0</v>
      </c>
      <c r="BR187" s="90">
        <f>SUM($BM187:BP187)</f>
        <v>0</v>
      </c>
      <c r="BS187" s="89"/>
    </row>
    <row r="188" spans="16:71" x14ac:dyDescent="0.25">
      <c r="P188" s="90">
        <f t="shared" si="35"/>
        <v>0</v>
      </c>
      <c r="Q188" s="90">
        <f>SUM($L188:O188)</f>
        <v>0</v>
      </c>
      <c r="R188" s="89"/>
      <c r="AH188" s="90">
        <f t="shared" si="36"/>
        <v>0</v>
      </c>
      <c r="AI188" s="90">
        <f t="shared" si="37"/>
        <v>0</v>
      </c>
      <c r="AJ188" s="89"/>
      <c r="AZ188" s="90">
        <f t="shared" si="38"/>
        <v>0</v>
      </c>
      <c r="BA188" s="90">
        <f>SUM($AV188:AY188)</f>
        <v>0</v>
      </c>
      <c r="BQ188" s="90">
        <f t="shared" si="39"/>
        <v>0</v>
      </c>
      <c r="BR188" s="90">
        <f>SUM($BM188:BP188)</f>
        <v>0</v>
      </c>
      <c r="BS188" s="89"/>
    </row>
    <row r="189" spans="16:71" x14ac:dyDescent="0.25">
      <c r="P189" s="90">
        <f t="shared" si="35"/>
        <v>0</v>
      </c>
      <c r="Q189" s="90">
        <f>SUM($L189:O189)</f>
        <v>0</v>
      </c>
      <c r="R189" s="89"/>
      <c r="AH189" s="90">
        <f t="shared" si="36"/>
        <v>0</v>
      </c>
      <c r="AI189" s="90">
        <f t="shared" si="37"/>
        <v>0</v>
      </c>
      <c r="AJ189" s="89"/>
      <c r="AZ189" s="90">
        <f t="shared" si="38"/>
        <v>0</v>
      </c>
      <c r="BA189" s="90">
        <f>SUM($AV189:AY189)</f>
        <v>0</v>
      </c>
      <c r="BQ189" s="90">
        <f t="shared" si="39"/>
        <v>0</v>
      </c>
      <c r="BR189" s="90">
        <f>SUM($BM189:BP189)</f>
        <v>0</v>
      </c>
      <c r="BS189" s="89"/>
    </row>
    <row r="190" spans="16:71" x14ac:dyDescent="0.25">
      <c r="P190" s="90">
        <f t="shared" si="35"/>
        <v>0</v>
      </c>
      <c r="Q190" s="90">
        <f>SUM($L190:O190)</f>
        <v>0</v>
      </c>
      <c r="R190" s="89"/>
      <c r="AH190" s="90">
        <f t="shared" si="36"/>
        <v>0</v>
      </c>
      <c r="AI190" s="90">
        <f t="shared" si="37"/>
        <v>0</v>
      </c>
      <c r="AJ190" s="89"/>
      <c r="AZ190" s="90">
        <f t="shared" si="38"/>
        <v>0</v>
      </c>
      <c r="BA190" s="90">
        <f>SUM($AV190:AY190)</f>
        <v>0</v>
      </c>
      <c r="BQ190" s="90">
        <f t="shared" si="39"/>
        <v>0</v>
      </c>
      <c r="BR190" s="90">
        <f>SUM($BM190:BP190)</f>
        <v>0</v>
      </c>
      <c r="BS190" s="89"/>
    </row>
    <row r="191" spans="16:71" x14ac:dyDescent="0.25">
      <c r="P191" s="90">
        <f t="shared" si="35"/>
        <v>0</v>
      </c>
      <c r="Q191" s="90">
        <f>SUM($L191:O191)</f>
        <v>0</v>
      </c>
      <c r="R191" s="89"/>
      <c r="AH191" s="90">
        <f t="shared" si="36"/>
        <v>0</v>
      </c>
      <c r="AI191" s="90">
        <f t="shared" si="37"/>
        <v>0</v>
      </c>
      <c r="AJ191" s="89"/>
      <c r="AZ191" s="90">
        <f t="shared" si="38"/>
        <v>0</v>
      </c>
      <c r="BA191" s="90">
        <f>SUM($AV191:AY191)</f>
        <v>0</v>
      </c>
      <c r="BQ191" s="90">
        <f t="shared" si="39"/>
        <v>0</v>
      </c>
      <c r="BR191" s="90">
        <f>SUM($BM191:BP191)</f>
        <v>0</v>
      </c>
      <c r="BS191" s="89"/>
    </row>
    <row r="192" spans="16:71" x14ac:dyDescent="0.25">
      <c r="P192" s="90">
        <f t="shared" si="35"/>
        <v>0</v>
      </c>
      <c r="Q192" s="90">
        <f>SUM($L192:O192)</f>
        <v>0</v>
      </c>
      <c r="R192" s="89"/>
      <c r="AH192" s="90">
        <f t="shared" si="36"/>
        <v>0</v>
      </c>
      <c r="AI192" s="90">
        <f t="shared" si="37"/>
        <v>0</v>
      </c>
      <c r="AJ192" s="89"/>
      <c r="AZ192" s="90">
        <f t="shared" si="38"/>
        <v>0</v>
      </c>
      <c r="BA192" s="90">
        <f>SUM($AV192:AY192)</f>
        <v>0</v>
      </c>
      <c r="BQ192" s="90">
        <f t="shared" si="39"/>
        <v>0</v>
      </c>
      <c r="BR192" s="90">
        <f>SUM($BM192:BP192)</f>
        <v>0</v>
      </c>
      <c r="BS192" s="89"/>
    </row>
    <row r="193" spans="16:71" x14ac:dyDescent="0.25">
      <c r="P193" s="90">
        <f t="shared" si="35"/>
        <v>0</v>
      </c>
      <c r="Q193" s="90">
        <f>SUM($L193:O193)</f>
        <v>0</v>
      </c>
      <c r="R193" s="89"/>
      <c r="AH193" s="90">
        <f t="shared" si="36"/>
        <v>0</v>
      </c>
      <c r="AI193" s="90">
        <f t="shared" si="37"/>
        <v>0</v>
      </c>
      <c r="AJ193" s="89"/>
      <c r="AZ193" s="90">
        <f t="shared" si="38"/>
        <v>0</v>
      </c>
      <c r="BA193" s="90">
        <f>SUM($AV193:AY193)</f>
        <v>0</v>
      </c>
      <c r="BQ193" s="90">
        <f t="shared" si="39"/>
        <v>0</v>
      </c>
      <c r="BR193" s="90">
        <f>SUM($BM193:BP193)</f>
        <v>0</v>
      </c>
      <c r="BS193" s="89"/>
    </row>
    <row r="194" spans="16:71" x14ac:dyDescent="0.25">
      <c r="P194" s="90">
        <f t="shared" si="35"/>
        <v>0</v>
      </c>
      <c r="Q194" s="90">
        <f>SUM($L194:O194)</f>
        <v>0</v>
      </c>
      <c r="R194" s="89"/>
      <c r="AH194" s="90">
        <f t="shared" si="36"/>
        <v>0</v>
      </c>
      <c r="AI194" s="90">
        <f t="shared" si="37"/>
        <v>0</v>
      </c>
      <c r="AJ194" s="89"/>
      <c r="AZ194" s="90">
        <f t="shared" si="38"/>
        <v>0</v>
      </c>
      <c r="BA194" s="90">
        <f>SUM($AV194:AY194)</f>
        <v>0</v>
      </c>
      <c r="BQ194" s="90">
        <f t="shared" si="39"/>
        <v>0</v>
      </c>
      <c r="BR194" s="90">
        <f>SUM($BM194:BP194)</f>
        <v>0</v>
      </c>
      <c r="BS194" s="89"/>
    </row>
    <row r="195" spans="16:71" x14ac:dyDescent="0.25">
      <c r="P195" s="90">
        <f t="shared" si="35"/>
        <v>0</v>
      </c>
      <c r="Q195" s="90">
        <f>SUM($L195:O195)</f>
        <v>0</v>
      </c>
      <c r="R195" s="89"/>
      <c r="AH195" s="90">
        <f t="shared" si="36"/>
        <v>0</v>
      </c>
      <c r="AI195" s="90">
        <f t="shared" si="37"/>
        <v>0</v>
      </c>
      <c r="AJ195" s="89"/>
      <c r="AZ195" s="90">
        <f t="shared" si="38"/>
        <v>0</v>
      </c>
      <c r="BA195" s="90">
        <f>SUM($AV195:AY195)</f>
        <v>0</v>
      </c>
      <c r="BQ195" s="90">
        <f t="shared" si="39"/>
        <v>0</v>
      </c>
      <c r="BR195" s="90">
        <f>SUM($BM195:BP195)</f>
        <v>0</v>
      </c>
      <c r="BS195" s="89"/>
    </row>
    <row r="196" spans="16:71" x14ac:dyDescent="0.25">
      <c r="P196" s="90">
        <f t="shared" si="35"/>
        <v>0</v>
      </c>
      <c r="Q196" s="90">
        <f>SUM($L196:O196)</f>
        <v>0</v>
      </c>
      <c r="R196" s="89"/>
      <c r="AH196" s="90">
        <f t="shared" si="36"/>
        <v>0</v>
      </c>
      <c r="AI196" s="90">
        <f t="shared" si="37"/>
        <v>0</v>
      </c>
      <c r="AJ196" s="89"/>
      <c r="AZ196" s="90">
        <f t="shared" si="38"/>
        <v>0</v>
      </c>
      <c r="BA196" s="90">
        <f>SUM($AV196:AY196)</f>
        <v>0</v>
      </c>
      <c r="BQ196" s="90">
        <f t="shared" si="39"/>
        <v>0</v>
      </c>
      <c r="BR196" s="90">
        <f>SUM($BM196:BP196)</f>
        <v>0</v>
      </c>
      <c r="BS196" s="89"/>
    </row>
    <row r="197" spans="16:71" x14ac:dyDescent="0.25">
      <c r="P197" s="90">
        <f t="shared" ref="P197:P260" si="40">SUM(B197:K197)</f>
        <v>0</v>
      </c>
      <c r="Q197" s="90">
        <f>SUM($L197:O197)</f>
        <v>0</v>
      </c>
      <c r="R197" s="89"/>
      <c r="AH197" s="90">
        <f t="shared" ref="AH197:AH260" si="41">SUM(T197:AC197)</f>
        <v>0</v>
      </c>
      <c r="AI197" s="90">
        <f t="shared" ref="AI197:AI260" si="42">SUM(AD197:AF197)</f>
        <v>0</v>
      </c>
      <c r="AJ197" s="89"/>
      <c r="AZ197" s="90">
        <f t="shared" ref="AZ197:AZ260" si="43">SUM(AL197:AU197)</f>
        <v>0</v>
      </c>
      <c r="BA197" s="90">
        <f>SUM($AV197:AY197)</f>
        <v>0</v>
      </c>
      <c r="BQ197" s="90">
        <f t="shared" ref="BQ197:BQ260" si="44">SUM(BC197:BL197)</f>
        <v>0</v>
      </c>
      <c r="BR197" s="90">
        <f>SUM($BM197:BP197)</f>
        <v>0</v>
      </c>
      <c r="BS197" s="89"/>
    </row>
    <row r="198" spans="16:71" x14ac:dyDescent="0.25">
      <c r="P198" s="90">
        <f t="shared" si="40"/>
        <v>0</v>
      </c>
      <c r="Q198" s="90">
        <f>SUM($L198:O198)</f>
        <v>0</v>
      </c>
      <c r="R198" s="89"/>
      <c r="AH198" s="90">
        <f t="shared" si="41"/>
        <v>0</v>
      </c>
      <c r="AI198" s="90">
        <f t="shared" si="42"/>
        <v>0</v>
      </c>
      <c r="AJ198" s="89"/>
      <c r="AZ198" s="90">
        <f t="shared" si="43"/>
        <v>0</v>
      </c>
      <c r="BA198" s="90">
        <f>SUM($AV198:AY198)</f>
        <v>0</v>
      </c>
      <c r="BQ198" s="90">
        <f t="shared" si="44"/>
        <v>0</v>
      </c>
      <c r="BR198" s="90">
        <f>SUM($BM198:BP198)</f>
        <v>0</v>
      </c>
      <c r="BS198" s="89"/>
    </row>
    <row r="199" spans="16:71" x14ac:dyDescent="0.25">
      <c r="P199" s="90">
        <f t="shared" si="40"/>
        <v>0</v>
      </c>
      <c r="Q199" s="90">
        <f>SUM($L199:O199)</f>
        <v>0</v>
      </c>
      <c r="R199" s="89"/>
      <c r="AH199" s="90">
        <f t="shared" si="41"/>
        <v>0</v>
      </c>
      <c r="AI199" s="90">
        <f t="shared" si="42"/>
        <v>0</v>
      </c>
      <c r="AJ199" s="89"/>
      <c r="AZ199" s="90">
        <f t="shared" si="43"/>
        <v>0</v>
      </c>
      <c r="BA199" s="90">
        <f>SUM($AV199:AY199)</f>
        <v>0</v>
      </c>
      <c r="BQ199" s="90">
        <f t="shared" si="44"/>
        <v>0</v>
      </c>
      <c r="BR199" s="90">
        <f>SUM($BM199:BP199)</f>
        <v>0</v>
      </c>
      <c r="BS199" s="89"/>
    </row>
    <row r="200" spans="16:71" x14ac:dyDescent="0.25">
      <c r="P200" s="90">
        <f t="shared" si="40"/>
        <v>0</v>
      </c>
      <c r="Q200" s="90">
        <f>SUM($L200:O200)</f>
        <v>0</v>
      </c>
      <c r="R200" s="89"/>
      <c r="AH200" s="90">
        <f t="shared" si="41"/>
        <v>0</v>
      </c>
      <c r="AI200" s="90">
        <f t="shared" si="42"/>
        <v>0</v>
      </c>
      <c r="AJ200" s="89"/>
      <c r="AZ200" s="90">
        <f t="shared" si="43"/>
        <v>0</v>
      </c>
      <c r="BA200" s="90">
        <f>SUM($AV200:AY200)</f>
        <v>0</v>
      </c>
      <c r="BQ200" s="90">
        <f t="shared" si="44"/>
        <v>0</v>
      </c>
      <c r="BR200" s="90">
        <f>SUM($BM200:BP200)</f>
        <v>0</v>
      </c>
      <c r="BS200" s="89"/>
    </row>
    <row r="201" spans="16:71" x14ac:dyDescent="0.25">
      <c r="P201" s="90">
        <f t="shared" si="40"/>
        <v>0</v>
      </c>
      <c r="Q201" s="90">
        <f>SUM($L201:O201)</f>
        <v>0</v>
      </c>
      <c r="R201" s="89"/>
      <c r="AH201" s="90">
        <f t="shared" si="41"/>
        <v>0</v>
      </c>
      <c r="AI201" s="90">
        <f t="shared" si="42"/>
        <v>0</v>
      </c>
      <c r="AJ201" s="89"/>
      <c r="AZ201" s="90">
        <f t="shared" si="43"/>
        <v>0</v>
      </c>
      <c r="BA201" s="90">
        <f>SUM($AV201:AY201)</f>
        <v>0</v>
      </c>
      <c r="BQ201" s="90">
        <f t="shared" si="44"/>
        <v>0</v>
      </c>
      <c r="BR201" s="90">
        <f>SUM($BM201:BP201)</f>
        <v>0</v>
      </c>
      <c r="BS201" s="89"/>
    </row>
    <row r="202" spans="16:71" x14ac:dyDescent="0.25">
      <c r="P202" s="90">
        <f t="shared" si="40"/>
        <v>0</v>
      </c>
      <c r="Q202" s="90">
        <f>SUM($L202:O202)</f>
        <v>0</v>
      </c>
      <c r="R202" s="89"/>
      <c r="AH202" s="90">
        <f t="shared" si="41"/>
        <v>0</v>
      </c>
      <c r="AI202" s="90">
        <f t="shared" si="42"/>
        <v>0</v>
      </c>
      <c r="AJ202" s="89"/>
      <c r="AZ202" s="90">
        <f t="shared" si="43"/>
        <v>0</v>
      </c>
      <c r="BA202" s="90">
        <f>SUM($AV202:AY202)</f>
        <v>0</v>
      </c>
      <c r="BQ202" s="90">
        <f t="shared" si="44"/>
        <v>0</v>
      </c>
      <c r="BR202" s="90">
        <f>SUM($BM202:BP202)</f>
        <v>0</v>
      </c>
      <c r="BS202" s="89"/>
    </row>
    <row r="203" spans="16:71" x14ac:dyDescent="0.25">
      <c r="P203" s="90">
        <f t="shared" si="40"/>
        <v>0</v>
      </c>
      <c r="Q203" s="90">
        <f>SUM($L203:O203)</f>
        <v>0</v>
      </c>
      <c r="R203" s="89"/>
      <c r="AH203" s="90">
        <f t="shared" si="41"/>
        <v>0</v>
      </c>
      <c r="AI203" s="90">
        <f t="shared" si="42"/>
        <v>0</v>
      </c>
      <c r="AJ203" s="89"/>
      <c r="AZ203" s="90">
        <f t="shared" si="43"/>
        <v>0</v>
      </c>
      <c r="BA203" s="90">
        <f>SUM($AV203:AY203)</f>
        <v>0</v>
      </c>
      <c r="BQ203" s="90">
        <f t="shared" si="44"/>
        <v>0</v>
      </c>
      <c r="BR203" s="90">
        <f>SUM($BM203:BP203)</f>
        <v>0</v>
      </c>
      <c r="BS203" s="89"/>
    </row>
    <row r="204" spans="16:71" x14ac:dyDescent="0.25">
      <c r="P204" s="90">
        <f t="shared" si="40"/>
        <v>0</v>
      </c>
      <c r="Q204" s="90">
        <f>SUM($L204:O204)</f>
        <v>0</v>
      </c>
      <c r="R204" s="89"/>
      <c r="AH204" s="90">
        <f t="shared" si="41"/>
        <v>0</v>
      </c>
      <c r="AI204" s="90">
        <f t="shared" si="42"/>
        <v>0</v>
      </c>
      <c r="AJ204" s="89"/>
      <c r="AZ204" s="90">
        <f t="shared" si="43"/>
        <v>0</v>
      </c>
      <c r="BA204" s="90">
        <f>SUM($AV204:AY204)</f>
        <v>0</v>
      </c>
      <c r="BQ204" s="90">
        <f t="shared" si="44"/>
        <v>0</v>
      </c>
      <c r="BR204" s="90">
        <f>SUM($BM204:BP204)</f>
        <v>0</v>
      </c>
      <c r="BS204" s="89"/>
    </row>
    <row r="205" spans="16:71" x14ac:dyDescent="0.25">
      <c r="P205" s="90">
        <f t="shared" si="40"/>
        <v>0</v>
      </c>
      <c r="Q205" s="90">
        <f>SUM($L205:O205)</f>
        <v>0</v>
      </c>
      <c r="R205" s="89"/>
      <c r="AH205" s="90">
        <f t="shared" si="41"/>
        <v>0</v>
      </c>
      <c r="AI205" s="90">
        <f t="shared" si="42"/>
        <v>0</v>
      </c>
      <c r="AJ205" s="89"/>
      <c r="AZ205" s="90">
        <f t="shared" si="43"/>
        <v>0</v>
      </c>
      <c r="BA205" s="90">
        <f>SUM($AV205:AY205)</f>
        <v>0</v>
      </c>
      <c r="BQ205" s="90">
        <f t="shared" si="44"/>
        <v>0</v>
      </c>
      <c r="BR205" s="90">
        <f>SUM($BM205:BP205)</f>
        <v>0</v>
      </c>
      <c r="BS205" s="89"/>
    </row>
    <row r="206" spans="16:71" x14ac:dyDescent="0.25">
      <c r="P206" s="90">
        <f t="shared" si="40"/>
        <v>0</v>
      </c>
      <c r="Q206" s="90">
        <f>SUM($L206:O206)</f>
        <v>0</v>
      </c>
      <c r="R206" s="89"/>
      <c r="AH206" s="90">
        <f t="shared" si="41"/>
        <v>0</v>
      </c>
      <c r="AI206" s="90">
        <f t="shared" si="42"/>
        <v>0</v>
      </c>
      <c r="AJ206" s="89"/>
      <c r="AZ206" s="90">
        <f t="shared" si="43"/>
        <v>0</v>
      </c>
      <c r="BA206" s="90">
        <f>SUM($AV206:AY206)</f>
        <v>0</v>
      </c>
      <c r="BQ206" s="90">
        <f t="shared" si="44"/>
        <v>0</v>
      </c>
      <c r="BR206" s="90">
        <f>SUM($BM206:BP206)</f>
        <v>0</v>
      </c>
      <c r="BS206" s="89"/>
    </row>
    <row r="207" spans="16:71" x14ac:dyDescent="0.25">
      <c r="P207" s="90">
        <f t="shared" si="40"/>
        <v>0</v>
      </c>
      <c r="Q207" s="90">
        <f>SUM($L207:O207)</f>
        <v>0</v>
      </c>
      <c r="R207" s="89"/>
      <c r="AH207" s="90">
        <f t="shared" si="41"/>
        <v>0</v>
      </c>
      <c r="AI207" s="90">
        <f t="shared" si="42"/>
        <v>0</v>
      </c>
      <c r="AJ207" s="89"/>
      <c r="AZ207" s="90">
        <f t="shared" si="43"/>
        <v>0</v>
      </c>
      <c r="BA207" s="90">
        <f>SUM($AV207:AY207)</f>
        <v>0</v>
      </c>
      <c r="BQ207" s="90">
        <f t="shared" si="44"/>
        <v>0</v>
      </c>
      <c r="BR207" s="90">
        <f>SUM($BM207:BP207)</f>
        <v>0</v>
      </c>
      <c r="BS207" s="89"/>
    </row>
    <row r="208" spans="16:71" x14ac:dyDescent="0.25">
      <c r="P208" s="90">
        <f t="shared" si="40"/>
        <v>0</v>
      </c>
      <c r="Q208" s="90">
        <f>SUM($L208:O208)</f>
        <v>0</v>
      </c>
      <c r="R208" s="89"/>
      <c r="AH208" s="90">
        <f t="shared" si="41"/>
        <v>0</v>
      </c>
      <c r="AI208" s="90">
        <f t="shared" si="42"/>
        <v>0</v>
      </c>
      <c r="AJ208" s="89"/>
      <c r="AZ208" s="90">
        <f t="shared" si="43"/>
        <v>0</v>
      </c>
      <c r="BA208" s="90">
        <f>SUM($AV208:AY208)</f>
        <v>0</v>
      </c>
      <c r="BQ208" s="90">
        <f t="shared" si="44"/>
        <v>0</v>
      </c>
      <c r="BR208" s="90">
        <f>SUM($BM208:BP208)</f>
        <v>0</v>
      </c>
      <c r="BS208" s="89"/>
    </row>
    <row r="209" spans="16:71" x14ac:dyDescent="0.25">
      <c r="P209" s="90">
        <f t="shared" si="40"/>
        <v>0</v>
      </c>
      <c r="Q209" s="90">
        <f>SUM($L209:O209)</f>
        <v>0</v>
      </c>
      <c r="R209" s="89"/>
      <c r="AH209" s="90">
        <f t="shared" si="41"/>
        <v>0</v>
      </c>
      <c r="AI209" s="90">
        <f t="shared" si="42"/>
        <v>0</v>
      </c>
      <c r="AJ209" s="89"/>
      <c r="AZ209" s="90">
        <f t="shared" si="43"/>
        <v>0</v>
      </c>
      <c r="BA209" s="90">
        <f>SUM($AV209:AY209)</f>
        <v>0</v>
      </c>
      <c r="BQ209" s="90">
        <f t="shared" si="44"/>
        <v>0</v>
      </c>
      <c r="BR209" s="90">
        <f>SUM($BM209:BP209)</f>
        <v>0</v>
      </c>
      <c r="BS209" s="89"/>
    </row>
    <row r="210" spans="16:71" x14ac:dyDescent="0.25">
      <c r="P210" s="90">
        <f t="shared" si="40"/>
        <v>0</v>
      </c>
      <c r="Q210" s="90">
        <f>SUM($L210:O210)</f>
        <v>0</v>
      </c>
      <c r="R210" s="89"/>
      <c r="AH210" s="90">
        <f t="shared" si="41"/>
        <v>0</v>
      </c>
      <c r="AI210" s="90">
        <f t="shared" si="42"/>
        <v>0</v>
      </c>
      <c r="AJ210" s="89"/>
      <c r="AZ210" s="90">
        <f t="shared" si="43"/>
        <v>0</v>
      </c>
      <c r="BA210" s="90">
        <f>SUM($AV210:AY210)</f>
        <v>0</v>
      </c>
      <c r="BQ210" s="90">
        <f t="shared" si="44"/>
        <v>0</v>
      </c>
      <c r="BR210" s="90">
        <f>SUM($BM210:BP210)</f>
        <v>0</v>
      </c>
      <c r="BS210" s="89"/>
    </row>
    <row r="211" spans="16:71" x14ac:dyDescent="0.25">
      <c r="P211" s="90">
        <f t="shared" si="40"/>
        <v>0</v>
      </c>
      <c r="Q211" s="90">
        <f>SUM($L211:O211)</f>
        <v>0</v>
      </c>
      <c r="R211" s="89"/>
      <c r="AH211" s="90">
        <f t="shared" si="41"/>
        <v>0</v>
      </c>
      <c r="AI211" s="90">
        <f t="shared" si="42"/>
        <v>0</v>
      </c>
      <c r="AJ211" s="89"/>
      <c r="AZ211" s="90">
        <f t="shared" si="43"/>
        <v>0</v>
      </c>
      <c r="BA211" s="90">
        <f>SUM($AV211:AY211)</f>
        <v>0</v>
      </c>
      <c r="BQ211" s="90">
        <f t="shared" si="44"/>
        <v>0</v>
      </c>
      <c r="BR211" s="90">
        <f>SUM($BM211:BP211)</f>
        <v>0</v>
      </c>
      <c r="BS211" s="89"/>
    </row>
    <row r="212" spans="16:71" x14ac:dyDescent="0.25">
      <c r="P212" s="90">
        <f t="shared" si="40"/>
        <v>0</v>
      </c>
      <c r="Q212" s="90">
        <f>SUM($L212:O212)</f>
        <v>0</v>
      </c>
      <c r="R212" s="89"/>
      <c r="AH212" s="90">
        <f t="shared" si="41"/>
        <v>0</v>
      </c>
      <c r="AI212" s="90">
        <f t="shared" si="42"/>
        <v>0</v>
      </c>
      <c r="AJ212" s="89"/>
      <c r="AZ212" s="90">
        <f t="shared" si="43"/>
        <v>0</v>
      </c>
      <c r="BA212" s="90">
        <f>SUM($AV212:AY212)</f>
        <v>0</v>
      </c>
      <c r="BQ212" s="90">
        <f t="shared" si="44"/>
        <v>0</v>
      </c>
      <c r="BR212" s="90">
        <f>SUM($BM212:BP212)</f>
        <v>0</v>
      </c>
      <c r="BS212" s="89"/>
    </row>
    <row r="213" spans="16:71" x14ac:dyDescent="0.25">
      <c r="P213" s="90">
        <f t="shared" si="40"/>
        <v>0</v>
      </c>
      <c r="Q213" s="90">
        <f>SUM($L213:O213)</f>
        <v>0</v>
      </c>
      <c r="R213" s="89"/>
      <c r="AH213" s="90">
        <f t="shared" si="41"/>
        <v>0</v>
      </c>
      <c r="AI213" s="90">
        <f t="shared" si="42"/>
        <v>0</v>
      </c>
      <c r="AJ213" s="89"/>
      <c r="AZ213" s="90">
        <f t="shared" si="43"/>
        <v>0</v>
      </c>
      <c r="BA213" s="90">
        <f>SUM($AV213:AY213)</f>
        <v>0</v>
      </c>
      <c r="BQ213" s="90">
        <f t="shared" si="44"/>
        <v>0</v>
      </c>
      <c r="BR213" s="90">
        <f>SUM($BM213:BP213)</f>
        <v>0</v>
      </c>
      <c r="BS213" s="89"/>
    </row>
    <row r="214" spans="16:71" x14ac:dyDescent="0.25">
      <c r="P214" s="90">
        <f t="shared" si="40"/>
        <v>0</v>
      </c>
      <c r="Q214" s="90">
        <f>SUM($L214:O214)</f>
        <v>0</v>
      </c>
      <c r="R214" s="89"/>
      <c r="AH214" s="90">
        <f t="shared" si="41"/>
        <v>0</v>
      </c>
      <c r="AI214" s="90">
        <f t="shared" si="42"/>
        <v>0</v>
      </c>
      <c r="AJ214" s="89"/>
      <c r="AZ214" s="90">
        <f t="shared" si="43"/>
        <v>0</v>
      </c>
      <c r="BA214" s="90">
        <f>SUM($AV214:AY214)</f>
        <v>0</v>
      </c>
      <c r="BQ214" s="90">
        <f t="shared" si="44"/>
        <v>0</v>
      </c>
      <c r="BR214" s="90">
        <f>SUM($BM214:BP214)</f>
        <v>0</v>
      </c>
      <c r="BS214" s="89"/>
    </row>
    <row r="215" spans="16:71" x14ac:dyDescent="0.25">
      <c r="P215" s="90">
        <f t="shared" si="40"/>
        <v>0</v>
      </c>
      <c r="Q215" s="90">
        <f>SUM($L215:O215)</f>
        <v>0</v>
      </c>
      <c r="R215" s="89"/>
      <c r="AH215" s="90">
        <f t="shared" si="41"/>
        <v>0</v>
      </c>
      <c r="AI215" s="90">
        <f t="shared" si="42"/>
        <v>0</v>
      </c>
      <c r="AJ215" s="89"/>
      <c r="AZ215" s="90">
        <f t="shared" si="43"/>
        <v>0</v>
      </c>
      <c r="BA215" s="90">
        <f>SUM($AV215:AY215)</f>
        <v>0</v>
      </c>
      <c r="BQ215" s="90">
        <f t="shared" si="44"/>
        <v>0</v>
      </c>
      <c r="BR215" s="90">
        <f>SUM($BM215:BP215)</f>
        <v>0</v>
      </c>
      <c r="BS215" s="89"/>
    </row>
    <row r="216" spans="16:71" x14ac:dyDescent="0.25">
      <c r="P216" s="90">
        <f t="shared" si="40"/>
        <v>0</v>
      </c>
      <c r="Q216" s="90">
        <f>SUM($L216:O216)</f>
        <v>0</v>
      </c>
      <c r="R216" s="89"/>
      <c r="AH216" s="90">
        <f t="shared" si="41"/>
        <v>0</v>
      </c>
      <c r="AI216" s="90">
        <f t="shared" si="42"/>
        <v>0</v>
      </c>
      <c r="AJ216" s="89"/>
      <c r="AZ216" s="90">
        <f t="shared" si="43"/>
        <v>0</v>
      </c>
      <c r="BA216" s="90">
        <f>SUM($AV216:AY216)</f>
        <v>0</v>
      </c>
      <c r="BQ216" s="90">
        <f t="shared" si="44"/>
        <v>0</v>
      </c>
      <c r="BR216" s="90">
        <f>SUM($BM216:BP216)</f>
        <v>0</v>
      </c>
      <c r="BS216" s="89"/>
    </row>
    <row r="217" spans="16:71" x14ac:dyDescent="0.25">
      <c r="P217" s="90">
        <f t="shared" si="40"/>
        <v>0</v>
      </c>
      <c r="Q217" s="90">
        <f>SUM($L217:O217)</f>
        <v>0</v>
      </c>
      <c r="R217" s="89"/>
      <c r="AH217" s="90">
        <f t="shared" si="41"/>
        <v>0</v>
      </c>
      <c r="AI217" s="90">
        <f t="shared" si="42"/>
        <v>0</v>
      </c>
      <c r="AJ217" s="89"/>
      <c r="AZ217" s="90">
        <f t="shared" si="43"/>
        <v>0</v>
      </c>
      <c r="BA217" s="90">
        <f>SUM($AV217:AY217)</f>
        <v>0</v>
      </c>
      <c r="BQ217" s="90">
        <f t="shared" si="44"/>
        <v>0</v>
      </c>
      <c r="BR217" s="90">
        <f>SUM($BM217:BP217)</f>
        <v>0</v>
      </c>
      <c r="BS217" s="89"/>
    </row>
    <row r="218" spans="16:71" x14ac:dyDescent="0.25">
      <c r="P218" s="90">
        <f t="shared" si="40"/>
        <v>0</v>
      </c>
      <c r="Q218" s="90">
        <f>SUM($L218:O218)</f>
        <v>0</v>
      </c>
      <c r="R218" s="89"/>
      <c r="AH218" s="90">
        <f t="shared" si="41"/>
        <v>0</v>
      </c>
      <c r="AI218" s="90">
        <f t="shared" si="42"/>
        <v>0</v>
      </c>
      <c r="AJ218" s="89"/>
      <c r="AZ218" s="90">
        <f t="shared" si="43"/>
        <v>0</v>
      </c>
      <c r="BA218" s="90">
        <f>SUM($AV218:AY218)</f>
        <v>0</v>
      </c>
      <c r="BQ218" s="90">
        <f t="shared" si="44"/>
        <v>0</v>
      </c>
      <c r="BR218" s="90">
        <f>SUM($BM218:BP218)</f>
        <v>0</v>
      </c>
      <c r="BS218" s="89"/>
    </row>
    <row r="219" spans="16:71" x14ac:dyDescent="0.25">
      <c r="P219" s="90">
        <f t="shared" si="40"/>
        <v>0</v>
      </c>
      <c r="Q219" s="90">
        <f>SUM($L219:O219)</f>
        <v>0</v>
      </c>
      <c r="R219" s="89"/>
      <c r="AH219" s="90">
        <f t="shared" si="41"/>
        <v>0</v>
      </c>
      <c r="AI219" s="90">
        <f t="shared" si="42"/>
        <v>0</v>
      </c>
      <c r="AJ219" s="89"/>
      <c r="AZ219" s="90">
        <f t="shared" si="43"/>
        <v>0</v>
      </c>
      <c r="BA219" s="90">
        <f>SUM($AV219:AY219)</f>
        <v>0</v>
      </c>
      <c r="BQ219" s="90">
        <f t="shared" si="44"/>
        <v>0</v>
      </c>
      <c r="BR219" s="90">
        <f>SUM($BM219:BP219)</f>
        <v>0</v>
      </c>
      <c r="BS219" s="89"/>
    </row>
    <row r="220" spans="16:71" x14ac:dyDescent="0.25">
      <c r="P220" s="90">
        <f t="shared" si="40"/>
        <v>0</v>
      </c>
      <c r="Q220" s="90">
        <f>SUM($L220:O220)</f>
        <v>0</v>
      </c>
      <c r="R220" s="89"/>
      <c r="AH220" s="90">
        <f t="shared" si="41"/>
        <v>0</v>
      </c>
      <c r="AI220" s="90">
        <f t="shared" si="42"/>
        <v>0</v>
      </c>
      <c r="AJ220" s="89"/>
      <c r="AZ220" s="90">
        <f t="shared" si="43"/>
        <v>0</v>
      </c>
      <c r="BA220" s="90">
        <f>SUM($AV220:AY220)</f>
        <v>0</v>
      </c>
      <c r="BQ220" s="90">
        <f t="shared" si="44"/>
        <v>0</v>
      </c>
      <c r="BR220" s="90">
        <f>SUM($BM220:BP220)</f>
        <v>0</v>
      </c>
      <c r="BS220" s="89"/>
    </row>
    <row r="221" spans="16:71" x14ac:dyDescent="0.25">
      <c r="P221" s="90">
        <f t="shared" si="40"/>
        <v>0</v>
      </c>
      <c r="Q221" s="90">
        <f>SUM($L221:O221)</f>
        <v>0</v>
      </c>
      <c r="R221" s="89"/>
      <c r="AH221" s="90">
        <f t="shared" si="41"/>
        <v>0</v>
      </c>
      <c r="AI221" s="90">
        <f t="shared" si="42"/>
        <v>0</v>
      </c>
      <c r="AJ221" s="89"/>
      <c r="AZ221" s="90">
        <f t="shared" si="43"/>
        <v>0</v>
      </c>
      <c r="BA221" s="90">
        <f>SUM($AV221:AY221)</f>
        <v>0</v>
      </c>
      <c r="BQ221" s="90">
        <f t="shared" si="44"/>
        <v>0</v>
      </c>
      <c r="BR221" s="90">
        <f>SUM($BM221:BP221)</f>
        <v>0</v>
      </c>
      <c r="BS221" s="89"/>
    </row>
    <row r="222" spans="16:71" x14ac:dyDescent="0.25">
      <c r="P222" s="90">
        <f t="shared" si="40"/>
        <v>0</v>
      </c>
      <c r="Q222" s="90">
        <f>SUM($L222:O222)</f>
        <v>0</v>
      </c>
      <c r="R222" s="89"/>
      <c r="AH222" s="90">
        <f t="shared" si="41"/>
        <v>0</v>
      </c>
      <c r="AI222" s="90">
        <f t="shared" si="42"/>
        <v>0</v>
      </c>
      <c r="AJ222" s="89"/>
      <c r="AZ222" s="90">
        <f t="shared" si="43"/>
        <v>0</v>
      </c>
      <c r="BA222" s="90">
        <f>SUM($AV222:AY222)</f>
        <v>0</v>
      </c>
      <c r="BQ222" s="90">
        <f t="shared" si="44"/>
        <v>0</v>
      </c>
      <c r="BR222" s="90">
        <f>SUM($BM222:BP222)</f>
        <v>0</v>
      </c>
      <c r="BS222" s="89"/>
    </row>
    <row r="223" spans="16:71" x14ac:dyDescent="0.25">
      <c r="P223" s="90">
        <f t="shared" si="40"/>
        <v>0</v>
      </c>
      <c r="Q223" s="90">
        <f>SUM($L223:O223)</f>
        <v>0</v>
      </c>
      <c r="R223" s="89"/>
      <c r="AH223" s="90">
        <f t="shared" si="41"/>
        <v>0</v>
      </c>
      <c r="AI223" s="90">
        <f t="shared" si="42"/>
        <v>0</v>
      </c>
      <c r="AJ223" s="89"/>
      <c r="AZ223" s="90">
        <f t="shared" si="43"/>
        <v>0</v>
      </c>
      <c r="BA223" s="90">
        <f>SUM($AV223:AY223)</f>
        <v>0</v>
      </c>
      <c r="BQ223" s="90">
        <f t="shared" si="44"/>
        <v>0</v>
      </c>
      <c r="BR223" s="90">
        <f>SUM($BM223:BP223)</f>
        <v>0</v>
      </c>
      <c r="BS223" s="89"/>
    </row>
    <row r="224" spans="16:71" x14ac:dyDescent="0.25">
      <c r="P224" s="90">
        <f t="shared" si="40"/>
        <v>0</v>
      </c>
      <c r="Q224" s="90">
        <f>SUM($L224:O224)</f>
        <v>0</v>
      </c>
      <c r="R224" s="89"/>
      <c r="AH224" s="90">
        <f t="shared" si="41"/>
        <v>0</v>
      </c>
      <c r="AI224" s="90">
        <f t="shared" si="42"/>
        <v>0</v>
      </c>
      <c r="AJ224" s="89"/>
      <c r="AZ224" s="90">
        <f t="shared" si="43"/>
        <v>0</v>
      </c>
      <c r="BA224" s="90">
        <f>SUM($AV224:AY224)</f>
        <v>0</v>
      </c>
      <c r="BQ224" s="90">
        <f t="shared" si="44"/>
        <v>0</v>
      </c>
      <c r="BR224" s="90">
        <f>SUM($BM224:BP224)</f>
        <v>0</v>
      </c>
      <c r="BS224" s="89"/>
    </row>
    <row r="225" spans="16:71" x14ac:dyDescent="0.25">
      <c r="P225" s="90">
        <f t="shared" si="40"/>
        <v>0</v>
      </c>
      <c r="Q225" s="90">
        <f>SUM($L225:O225)</f>
        <v>0</v>
      </c>
      <c r="R225" s="89"/>
      <c r="AH225" s="90">
        <f t="shared" si="41"/>
        <v>0</v>
      </c>
      <c r="AI225" s="90">
        <f t="shared" si="42"/>
        <v>0</v>
      </c>
      <c r="AJ225" s="89"/>
      <c r="AZ225" s="90">
        <f t="shared" si="43"/>
        <v>0</v>
      </c>
      <c r="BA225" s="90">
        <f>SUM($AV225:AY225)</f>
        <v>0</v>
      </c>
      <c r="BQ225" s="90">
        <f t="shared" si="44"/>
        <v>0</v>
      </c>
      <c r="BR225" s="90">
        <f>SUM($BM225:BP225)</f>
        <v>0</v>
      </c>
      <c r="BS225" s="89"/>
    </row>
    <row r="226" spans="16:71" x14ac:dyDescent="0.25">
      <c r="P226" s="90">
        <f t="shared" si="40"/>
        <v>0</v>
      </c>
      <c r="Q226" s="90">
        <f>SUM($L226:O226)</f>
        <v>0</v>
      </c>
      <c r="R226" s="89"/>
      <c r="AH226" s="90">
        <f t="shared" si="41"/>
        <v>0</v>
      </c>
      <c r="AI226" s="90">
        <f t="shared" si="42"/>
        <v>0</v>
      </c>
      <c r="AJ226" s="89"/>
      <c r="AZ226" s="90">
        <f t="shared" si="43"/>
        <v>0</v>
      </c>
      <c r="BA226" s="90">
        <f>SUM($AV226:AY226)</f>
        <v>0</v>
      </c>
      <c r="BQ226" s="90">
        <f t="shared" si="44"/>
        <v>0</v>
      </c>
      <c r="BR226" s="90">
        <f>SUM($BM226:BP226)</f>
        <v>0</v>
      </c>
      <c r="BS226" s="89"/>
    </row>
    <row r="227" spans="16:71" x14ac:dyDescent="0.25">
      <c r="P227" s="90">
        <f t="shared" si="40"/>
        <v>0</v>
      </c>
      <c r="Q227" s="90">
        <f>SUM($L227:O227)</f>
        <v>0</v>
      </c>
      <c r="R227" s="89"/>
      <c r="AH227" s="90">
        <f t="shared" si="41"/>
        <v>0</v>
      </c>
      <c r="AI227" s="90">
        <f t="shared" si="42"/>
        <v>0</v>
      </c>
      <c r="AJ227" s="89"/>
      <c r="AZ227" s="90">
        <f t="shared" si="43"/>
        <v>0</v>
      </c>
      <c r="BA227" s="90">
        <f>SUM($AV227:AY227)</f>
        <v>0</v>
      </c>
      <c r="BQ227" s="90">
        <f t="shared" si="44"/>
        <v>0</v>
      </c>
      <c r="BR227" s="90">
        <f>SUM($BM227:BP227)</f>
        <v>0</v>
      </c>
      <c r="BS227" s="89"/>
    </row>
    <row r="228" spans="16:71" x14ac:dyDescent="0.25">
      <c r="P228" s="90">
        <f t="shared" si="40"/>
        <v>0</v>
      </c>
      <c r="Q228" s="90">
        <f>SUM($L228:O228)</f>
        <v>0</v>
      </c>
      <c r="R228" s="89"/>
      <c r="AH228" s="90">
        <f t="shared" si="41"/>
        <v>0</v>
      </c>
      <c r="AI228" s="90">
        <f t="shared" si="42"/>
        <v>0</v>
      </c>
      <c r="AJ228" s="89"/>
      <c r="AZ228" s="90">
        <f t="shared" si="43"/>
        <v>0</v>
      </c>
      <c r="BA228" s="90">
        <f>SUM($AV228:AY228)</f>
        <v>0</v>
      </c>
      <c r="BQ228" s="90">
        <f t="shared" si="44"/>
        <v>0</v>
      </c>
      <c r="BR228" s="90">
        <f>SUM($BM228:BP228)</f>
        <v>0</v>
      </c>
      <c r="BS228" s="89"/>
    </row>
    <row r="229" spans="16:71" x14ac:dyDescent="0.25">
      <c r="P229" s="90">
        <f t="shared" si="40"/>
        <v>0</v>
      </c>
      <c r="Q229" s="90">
        <f>SUM($L229:O229)</f>
        <v>0</v>
      </c>
      <c r="R229" s="89"/>
      <c r="AH229" s="90">
        <f t="shared" si="41"/>
        <v>0</v>
      </c>
      <c r="AI229" s="90">
        <f t="shared" si="42"/>
        <v>0</v>
      </c>
      <c r="AJ229" s="89"/>
      <c r="AZ229" s="90">
        <f t="shared" si="43"/>
        <v>0</v>
      </c>
      <c r="BA229" s="90">
        <f>SUM($AV229:AY229)</f>
        <v>0</v>
      </c>
      <c r="BQ229" s="90">
        <f t="shared" si="44"/>
        <v>0</v>
      </c>
      <c r="BR229" s="90">
        <f>SUM($BM229:BP229)</f>
        <v>0</v>
      </c>
      <c r="BS229" s="89"/>
    </row>
    <row r="230" spans="16:71" x14ac:dyDescent="0.25">
      <c r="P230" s="90">
        <f t="shared" si="40"/>
        <v>0</v>
      </c>
      <c r="Q230" s="90">
        <f>SUM($L230:O230)</f>
        <v>0</v>
      </c>
      <c r="R230" s="89"/>
      <c r="AH230" s="90">
        <f t="shared" si="41"/>
        <v>0</v>
      </c>
      <c r="AI230" s="90">
        <f t="shared" si="42"/>
        <v>0</v>
      </c>
      <c r="AJ230" s="89"/>
      <c r="AZ230" s="90">
        <f t="shared" si="43"/>
        <v>0</v>
      </c>
      <c r="BA230" s="90">
        <f>SUM($AV230:AY230)</f>
        <v>0</v>
      </c>
      <c r="BQ230" s="90">
        <f t="shared" si="44"/>
        <v>0</v>
      </c>
      <c r="BR230" s="90">
        <f>SUM($BM230:BP230)</f>
        <v>0</v>
      </c>
      <c r="BS230" s="89"/>
    </row>
    <row r="231" spans="16:71" x14ac:dyDescent="0.25">
      <c r="P231" s="90">
        <f t="shared" si="40"/>
        <v>0</v>
      </c>
      <c r="Q231" s="90">
        <f>SUM($L231:O231)</f>
        <v>0</v>
      </c>
      <c r="R231" s="89"/>
      <c r="AH231" s="90">
        <f t="shared" si="41"/>
        <v>0</v>
      </c>
      <c r="AI231" s="90">
        <f t="shared" si="42"/>
        <v>0</v>
      </c>
      <c r="AJ231" s="89"/>
      <c r="AZ231" s="90">
        <f t="shared" si="43"/>
        <v>0</v>
      </c>
      <c r="BA231" s="90">
        <f>SUM($AV231:AY231)</f>
        <v>0</v>
      </c>
      <c r="BQ231" s="90">
        <f t="shared" si="44"/>
        <v>0</v>
      </c>
      <c r="BR231" s="90">
        <f>SUM($BM231:BP231)</f>
        <v>0</v>
      </c>
      <c r="BS231" s="89"/>
    </row>
    <row r="232" spans="16:71" x14ac:dyDescent="0.25">
      <c r="P232" s="90">
        <f t="shared" si="40"/>
        <v>0</v>
      </c>
      <c r="Q232" s="90">
        <f>SUM($L232:O232)</f>
        <v>0</v>
      </c>
      <c r="R232" s="89"/>
      <c r="AH232" s="90">
        <f t="shared" si="41"/>
        <v>0</v>
      </c>
      <c r="AI232" s="90">
        <f t="shared" si="42"/>
        <v>0</v>
      </c>
      <c r="AJ232" s="89"/>
      <c r="AZ232" s="90">
        <f t="shared" si="43"/>
        <v>0</v>
      </c>
      <c r="BA232" s="90">
        <f>SUM($AV232:AY232)</f>
        <v>0</v>
      </c>
      <c r="BQ232" s="90">
        <f t="shared" si="44"/>
        <v>0</v>
      </c>
      <c r="BR232" s="90">
        <f>SUM($BM232:BP232)</f>
        <v>0</v>
      </c>
      <c r="BS232" s="89"/>
    </row>
    <row r="233" spans="16:71" x14ac:dyDescent="0.25">
      <c r="P233" s="90">
        <f t="shared" si="40"/>
        <v>0</v>
      </c>
      <c r="Q233" s="90">
        <f>SUM($L233:O233)</f>
        <v>0</v>
      </c>
      <c r="R233" s="89"/>
      <c r="AH233" s="90">
        <f t="shared" si="41"/>
        <v>0</v>
      </c>
      <c r="AI233" s="90">
        <f t="shared" si="42"/>
        <v>0</v>
      </c>
      <c r="AJ233" s="89"/>
      <c r="AZ233" s="90">
        <f t="shared" si="43"/>
        <v>0</v>
      </c>
      <c r="BA233" s="90">
        <f>SUM($AV233:AY233)</f>
        <v>0</v>
      </c>
      <c r="BQ233" s="90">
        <f t="shared" si="44"/>
        <v>0</v>
      </c>
      <c r="BR233" s="90">
        <f>SUM($BM233:BP233)</f>
        <v>0</v>
      </c>
      <c r="BS233" s="89"/>
    </row>
    <row r="234" spans="16:71" x14ac:dyDescent="0.25">
      <c r="P234" s="90">
        <f t="shared" si="40"/>
        <v>0</v>
      </c>
      <c r="Q234" s="90">
        <f>SUM($L234:O234)</f>
        <v>0</v>
      </c>
      <c r="R234" s="89"/>
      <c r="AH234" s="90">
        <f t="shared" si="41"/>
        <v>0</v>
      </c>
      <c r="AI234" s="90">
        <f t="shared" si="42"/>
        <v>0</v>
      </c>
      <c r="AJ234" s="89"/>
      <c r="AZ234" s="90">
        <f t="shared" si="43"/>
        <v>0</v>
      </c>
      <c r="BA234" s="90">
        <f>SUM($AV234:AY234)</f>
        <v>0</v>
      </c>
      <c r="BQ234" s="90">
        <f t="shared" si="44"/>
        <v>0</v>
      </c>
      <c r="BR234" s="90">
        <f>SUM($BM234:BP234)</f>
        <v>0</v>
      </c>
      <c r="BS234" s="89"/>
    </row>
    <row r="235" spans="16:71" x14ac:dyDescent="0.25">
      <c r="P235" s="90">
        <f t="shared" si="40"/>
        <v>0</v>
      </c>
      <c r="Q235" s="90">
        <f>SUM($L235:O235)</f>
        <v>0</v>
      </c>
      <c r="R235" s="89"/>
      <c r="AH235" s="90">
        <f t="shared" si="41"/>
        <v>0</v>
      </c>
      <c r="AI235" s="90">
        <f t="shared" si="42"/>
        <v>0</v>
      </c>
      <c r="AJ235" s="89"/>
      <c r="AZ235" s="90">
        <f t="shared" si="43"/>
        <v>0</v>
      </c>
      <c r="BA235" s="90">
        <f>SUM($AV235:AY235)</f>
        <v>0</v>
      </c>
      <c r="BQ235" s="90">
        <f t="shared" si="44"/>
        <v>0</v>
      </c>
      <c r="BR235" s="90">
        <f>SUM($BM235:BP235)</f>
        <v>0</v>
      </c>
      <c r="BS235" s="89"/>
    </row>
    <row r="236" spans="16:71" x14ac:dyDescent="0.25">
      <c r="P236" s="90">
        <f t="shared" si="40"/>
        <v>0</v>
      </c>
      <c r="Q236" s="90">
        <f>SUM($L236:O236)</f>
        <v>0</v>
      </c>
      <c r="R236" s="89"/>
      <c r="AH236" s="90">
        <f t="shared" si="41"/>
        <v>0</v>
      </c>
      <c r="AI236" s="90">
        <f t="shared" si="42"/>
        <v>0</v>
      </c>
      <c r="AJ236" s="89"/>
      <c r="AZ236" s="90">
        <f t="shared" si="43"/>
        <v>0</v>
      </c>
      <c r="BA236" s="90">
        <f>SUM($AV236:AY236)</f>
        <v>0</v>
      </c>
      <c r="BQ236" s="90">
        <f t="shared" si="44"/>
        <v>0</v>
      </c>
      <c r="BR236" s="90">
        <f>SUM($BM236:BP236)</f>
        <v>0</v>
      </c>
      <c r="BS236" s="89"/>
    </row>
    <row r="237" spans="16:71" x14ac:dyDescent="0.25">
      <c r="P237" s="90">
        <f t="shared" si="40"/>
        <v>0</v>
      </c>
      <c r="Q237" s="90">
        <f>SUM($L237:O237)</f>
        <v>0</v>
      </c>
      <c r="R237" s="89"/>
      <c r="AH237" s="90">
        <f t="shared" si="41"/>
        <v>0</v>
      </c>
      <c r="AI237" s="90">
        <f t="shared" si="42"/>
        <v>0</v>
      </c>
      <c r="AJ237" s="89"/>
      <c r="AZ237" s="90">
        <f t="shared" si="43"/>
        <v>0</v>
      </c>
      <c r="BA237" s="90">
        <f>SUM($AV237:AY237)</f>
        <v>0</v>
      </c>
      <c r="BQ237" s="90">
        <f t="shared" si="44"/>
        <v>0</v>
      </c>
      <c r="BR237" s="90">
        <f>SUM($BM237:BP237)</f>
        <v>0</v>
      </c>
      <c r="BS237" s="89"/>
    </row>
    <row r="238" spans="16:71" x14ac:dyDescent="0.25">
      <c r="P238" s="90">
        <f t="shared" si="40"/>
        <v>0</v>
      </c>
      <c r="Q238" s="90">
        <f>SUM($L238:O238)</f>
        <v>0</v>
      </c>
      <c r="R238" s="89"/>
      <c r="AH238" s="90">
        <f t="shared" si="41"/>
        <v>0</v>
      </c>
      <c r="AI238" s="90">
        <f t="shared" si="42"/>
        <v>0</v>
      </c>
      <c r="AJ238" s="89"/>
      <c r="AZ238" s="90">
        <f t="shared" si="43"/>
        <v>0</v>
      </c>
      <c r="BA238" s="90">
        <f>SUM($AV238:AY238)</f>
        <v>0</v>
      </c>
      <c r="BQ238" s="90">
        <f t="shared" si="44"/>
        <v>0</v>
      </c>
      <c r="BR238" s="90">
        <f>SUM($BM238:BP238)</f>
        <v>0</v>
      </c>
      <c r="BS238" s="89"/>
    </row>
    <row r="239" spans="16:71" x14ac:dyDescent="0.25">
      <c r="P239" s="90">
        <f t="shared" si="40"/>
        <v>0</v>
      </c>
      <c r="Q239" s="90">
        <f>SUM($L239:O239)</f>
        <v>0</v>
      </c>
      <c r="R239" s="89"/>
      <c r="AH239" s="90">
        <f t="shared" si="41"/>
        <v>0</v>
      </c>
      <c r="AI239" s="90">
        <f t="shared" si="42"/>
        <v>0</v>
      </c>
      <c r="AJ239" s="89"/>
      <c r="AZ239" s="90">
        <f t="shared" si="43"/>
        <v>0</v>
      </c>
      <c r="BA239" s="90">
        <f>SUM($AV239:AY239)</f>
        <v>0</v>
      </c>
      <c r="BQ239" s="90">
        <f t="shared" si="44"/>
        <v>0</v>
      </c>
      <c r="BR239" s="90">
        <f>SUM($BM239:BP239)</f>
        <v>0</v>
      </c>
      <c r="BS239" s="89"/>
    </row>
    <row r="240" spans="16:71" x14ac:dyDescent="0.25">
      <c r="P240" s="90">
        <f t="shared" si="40"/>
        <v>0</v>
      </c>
      <c r="Q240" s="90">
        <f>SUM($L240:O240)</f>
        <v>0</v>
      </c>
      <c r="R240" s="89"/>
      <c r="AH240" s="90">
        <f t="shared" si="41"/>
        <v>0</v>
      </c>
      <c r="AI240" s="90">
        <f t="shared" si="42"/>
        <v>0</v>
      </c>
      <c r="AJ240" s="89"/>
      <c r="AZ240" s="90">
        <f t="shared" si="43"/>
        <v>0</v>
      </c>
      <c r="BA240" s="90">
        <f>SUM($AV240:AY240)</f>
        <v>0</v>
      </c>
      <c r="BQ240" s="90">
        <f t="shared" si="44"/>
        <v>0</v>
      </c>
      <c r="BR240" s="90">
        <f>SUM($BM240:BP240)</f>
        <v>0</v>
      </c>
      <c r="BS240" s="89"/>
    </row>
    <row r="241" spans="16:71" x14ac:dyDescent="0.25">
      <c r="P241" s="90">
        <f t="shared" si="40"/>
        <v>0</v>
      </c>
      <c r="Q241" s="90">
        <f>SUM($L241:O241)</f>
        <v>0</v>
      </c>
      <c r="R241" s="89"/>
      <c r="AH241" s="90">
        <f t="shared" si="41"/>
        <v>0</v>
      </c>
      <c r="AI241" s="90">
        <f t="shared" si="42"/>
        <v>0</v>
      </c>
      <c r="AJ241" s="89"/>
      <c r="AZ241" s="90">
        <f t="shared" si="43"/>
        <v>0</v>
      </c>
      <c r="BA241" s="90">
        <f>SUM($AV241:AY241)</f>
        <v>0</v>
      </c>
      <c r="BQ241" s="90">
        <f t="shared" si="44"/>
        <v>0</v>
      </c>
      <c r="BR241" s="90">
        <f>SUM($BM241:BP241)</f>
        <v>0</v>
      </c>
      <c r="BS241" s="89"/>
    </row>
    <row r="242" spans="16:71" x14ac:dyDescent="0.25">
      <c r="P242" s="90">
        <f t="shared" si="40"/>
        <v>0</v>
      </c>
      <c r="Q242" s="90">
        <f>SUM($L242:O242)</f>
        <v>0</v>
      </c>
      <c r="R242" s="89"/>
      <c r="AH242" s="90">
        <f t="shared" si="41"/>
        <v>0</v>
      </c>
      <c r="AI242" s="90">
        <f t="shared" si="42"/>
        <v>0</v>
      </c>
      <c r="AJ242" s="89"/>
      <c r="AZ242" s="90">
        <f t="shared" si="43"/>
        <v>0</v>
      </c>
      <c r="BA242" s="90">
        <f>SUM($AV242:AY242)</f>
        <v>0</v>
      </c>
      <c r="BQ242" s="90">
        <f t="shared" si="44"/>
        <v>0</v>
      </c>
      <c r="BR242" s="90">
        <f>SUM($BM242:BP242)</f>
        <v>0</v>
      </c>
      <c r="BS242" s="89"/>
    </row>
    <row r="243" spans="16:71" x14ac:dyDescent="0.25">
      <c r="P243" s="90">
        <f t="shared" si="40"/>
        <v>0</v>
      </c>
      <c r="Q243" s="90">
        <f>SUM($L243:O243)</f>
        <v>0</v>
      </c>
      <c r="R243" s="89"/>
      <c r="AH243" s="90">
        <f t="shared" si="41"/>
        <v>0</v>
      </c>
      <c r="AI243" s="90">
        <f t="shared" si="42"/>
        <v>0</v>
      </c>
      <c r="AJ243" s="89"/>
      <c r="AZ243" s="90">
        <f t="shared" si="43"/>
        <v>0</v>
      </c>
      <c r="BA243" s="90">
        <f>SUM($AV243:AY243)</f>
        <v>0</v>
      </c>
      <c r="BQ243" s="90">
        <f t="shared" si="44"/>
        <v>0</v>
      </c>
      <c r="BR243" s="90">
        <f>SUM($BM243:BP243)</f>
        <v>0</v>
      </c>
      <c r="BS243" s="89"/>
    </row>
    <row r="244" spans="16:71" x14ac:dyDescent="0.25">
      <c r="P244" s="90">
        <f t="shared" si="40"/>
        <v>0</v>
      </c>
      <c r="Q244" s="90">
        <f>SUM($L244:O244)</f>
        <v>0</v>
      </c>
      <c r="R244" s="89"/>
      <c r="AH244" s="90">
        <f t="shared" si="41"/>
        <v>0</v>
      </c>
      <c r="AI244" s="90">
        <f t="shared" si="42"/>
        <v>0</v>
      </c>
      <c r="AJ244" s="89"/>
      <c r="AZ244" s="90">
        <f t="shared" si="43"/>
        <v>0</v>
      </c>
      <c r="BA244" s="90">
        <f>SUM($AV244:AY244)</f>
        <v>0</v>
      </c>
      <c r="BQ244" s="90">
        <f t="shared" si="44"/>
        <v>0</v>
      </c>
      <c r="BR244" s="90">
        <f>SUM($BM244:BP244)</f>
        <v>0</v>
      </c>
      <c r="BS244" s="89"/>
    </row>
    <row r="245" spans="16:71" x14ac:dyDescent="0.25">
      <c r="P245" s="90">
        <f t="shared" si="40"/>
        <v>0</v>
      </c>
      <c r="Q245" s="90">
        <f>SUM($L245:O245)</f>
        <v>0</v>
      </c>
      <c r="R245" s="89"/>
      <c r="AH245" s="90">
        <f t="shared" si="41"/>
        <v>0</v>
      </c>
      <c r="AI245" s="90">
        <f t="shared" si="42"/>
        <v>0</v>
      </c>
      <c r="AJ245" s="89"/>
      <c r="AZ245" s="90">
        <f t="shared" si="43"/>
        <v>0</v>
      </c>
      <c r="BA245" s="90">
        <f>SUM($AV245:AY245)</f>
        <v>0</v>
      </c>
      <c r="BQ245" s="90">
        <f t="shared" si="44"/>
        <v>0</v>
      </c>
      <c r="BR245" s="90">
        <f>SUM($BM245:BP245)</f>
        <v>0</v>
      </c>
      <c r="BS245" s="89"/>
    </row>
    <row r="246" spans="16:71" x14ac:dyDescent="0.25">
      <c r="P246" s="90">
        <f t="shared" si="40"/>
        <v>0</v>
      </c>
      <c r="Q246" s="90">
        <f>SUM($L246:O246)</f>
        <v>0</v>
      </c>
      <c r="R246" s="89"/>
      <c r="AH246" s="90">
        <f t="shared" si="41"/>
        <v>0</v>
      </c>
      <c r="AI246" s="90">
        <f t="shared" si="42"/>
        <v>0</v>
      </c>
      <c r="AJ246" s="89"/>
      <c r="AZ246" s="90">
        <f t="shared" si="43"/>
        <v>0</v>
      </c>
      <c r="BA246" s="90">
        <f>SUM($AV246:AY246)</f>
        <v>0</v>
      </c>
      <c r="BQ246" s="90">
        <f t="shared" si="44"/>
        <v>0</v>
      </c>
      <c r="BR246" s="90">
        <f>SUM($BM246:BP246)</f>
        <v>0</v>
      </c>
      <c r="BS246" s="89"/>
    </row>
    <row r="247" spans="16:71" x14ac:dyDescent="0.25">
      <c r="P247" s="90">
        <f t="shared" si="40"/>
        <v>0</v>
      </c>
      <c r="Q247" s="90">
        <f>SUM($L247:O247)</f>
        <v>0</v>
      </c>
      <c r="R247" s="89"/>
      <c r="AH247" s="90">
        <f t="shared" si="41"/>
        <v>0</v>
      </c>
      <c r="AI247" s="90">
        <f t="shared" si="42"/>
        <v>0</v>
      </c>
      <c r="AJ247" s="89"/>
      <c r="AZ247" s="90">
        <f t="shared" si="43"/>
        <v>0</v>
      </c>
      <c r="BA247" s="90">
        <f>SUM($AV247:AY247)</f>
        <v>0</v>
      </c>
      <c r="BQ247" s="90">
        <f t="shared" si="44"/>
        <v>0</v>
      </c>
      <c r="BR247" s="90">
        <f>SUM($BM247:BP247)</f>
        <v>0</v>
      </c>
      <c r="BS247" s="89"/>
    </row>
    <row r="248" spans="16:71" x14ac:dyDescent="0.25">
      <c r="P248" s="90">
        <f t="shared" si="40"/>
        <v>0</v>
      </c>
      <c r="Q248" s="90">
        <f>SUM($L248:O248)</f>
        <v>0</v>
      </c>
      <c r="R248" s="89"/>
      <c r="AH248" s="90">
        <f t="shared" si="41"/>
        <v>0</v>
      </c>
      <c r="AI248" s="90">
        <f t="shared" si="42"/>
        <v>0</v>
      </c>
      <c r="AJ248" s="89"/>
      <c r="AZ248" s="90">
        <f t="shared" si="43"/>
        <v>0</v>
      </c>
      <c r="BA248" s="90">
        <f>SUM($AV248:AY248)</f>
        <v>0</v>
      </c>
      <c r="BQ248" s="90">
        <f t="shared" si="44"/>
        <v>0</v>
      </c>
      <c r="BR248" s="90">
        <f>SUM($BM248:BP248)</f>
        <v>0</v>
      </c>
      <c r="BS248" s="89"/>
    </row>
    <row r="249" spans="16:71" x14ac:dyDescent="0.25">
      <c r="P249" s="90">
        <f t="shared" si="40"/>
        <v>0</v>
      </c>
      <c r="Q249" s="90">
        <f>SUM($L249:O249)</f>
        <v>0</v>
      </c>
      <c r="R249" s="89"/>
      <c r="AH249" s="90">
        <f t="shared" si="41"/>
        <v>0</v>
      </c>
      <c r="AI249" s="90">
        <f t="shared" si="42"/>
        <v>0</v>
      </c>
      <c r="AJ249" s="89"/>
      <c r="AZ249" s="90">
        <f t="shared" si="43"/>
        <v>0</v>
      </c>
      <c r="BA249" s="90">
        <f>SUM($AV249:AY249)</f>
        <v>0</v>
      </c>
      <c r="BQ249" s="90">
        <f t="shared" si="44"/>
        <v>0</v>
      </c>
      <c r="BR249" s="90">
        <f>SUM($BM249:BP249)</f>
        <v>0</v>
      </c>
      <c r="BS249" s="89"/>
    </row>
    <row r="250" spans="16:71" x14ac:dyDescent="0.25">
      <c r="P250" s="90">
        <f t="shared" si="40"/>
        <v>0</v>
      </c>
      <c r="Q250" s="90">
        <f>SUM($L250:O250)</f>
        <v>0</v>
      </c>
      <c r="R250" s="89"/>
      <c r="AH250" s="90">
        <f t="shared" si="41"/>
        <v>0</v>
      </c>
      <c r="AI250" s="90">
        <f t="shared" si="42"/>
        <v>0</v>
      </c>
      <c r="AJ250" s="89"/>
      <c r="AZ250" s="90">
        <f t="shared" si="43"/>
        <v>0</v>
      </c>
      <c r="BA250" s="90">
        <f>SUM($AV250:AY250)</f>
        <v>0</v>
      </c>
      <c r="BQ250" s="90">
        <f t="shared" si="44"/>
        <v>0</v>
      </c>
      <c r="BR250" s="90">
        <f>SUM($BM250:BP250)</f>
        <v>0</v>
      </c>
      <c r="BS250" s="89"/>
    </row>
    <row r="251" spans="16:71" x14ac:dyDescent="0.25">
      <c r="P251" s="90">
        <f t="shared" si="40"/>
        <v>0</v>
      </c>
      <c r="Q251" s="90">
        <f>SUM($L251:O251)</f>
        <v>0</v>
      </c>
      <c r="R251" s="89"/>
      <c r="AH251" s="90">
        <f t="shared" si="41"/>
        <v>0</v>
      </c>
      <c r="AI251" s="90">
        <f t="shared" si="42"/>
        <v>0</v>
      </c>
      <c r="AJ251" s="89"/>
      <c r="AZ251" s="90">
        <f t="shared" si="43"/>
        <v>0</v>
      </c>
      <c r="BA251" s="90">
        <f>SUM($AV251:AY251)</f>
        <v>0</v>
      </c>
      <c r="BQ251" s="90">
        <f t="shared" si="44"/>
        <v>0</v>
      </c>
      <c r="BR251" s="90">
        <f>SUM($BM251:BP251)</f>
        <v>0</v>
      </c>
      <c r="BS251" s="89"/>
    </row>
    <row r="252" spans="16:71" x14ac:dyDescent="0.25">
      <c r="P252" s="90">
        <f t="shared" si="40"/>
        <v>0</v>
      </c>
      <c r="Q252" s="90">
        <f>SUM($L252:O252)</f>
        <v>0</v>
      </c>
      <c r="R252" s="89"/>
      <c r="AH252" s="90">
        <f t="shared" si="41"/>
        <v>0</v>
      </c>
      <c r="AI252" s="90">
        <f t="shared" si="42"/>
        <v>0</v>
      </c>
      <c r="AJ252" s="89"/>
      <c r="AZ252" s="90">
        <f t="shared" si="43"/>
        <v>0</v>
      </c>
      <c r="BA252" s="90">
        <f>SUM($AV252:AY252)</f>
        <v>0</v>
      </c>
      <c r="BQ252" s="90">
        <f t="shared" si="44"/>
        <v>0</v>
      </c>
      <c r="BR252" s="90">
        <f>SUM($BM252:BP252)</f>
        <v>0</v>
      </c>
      <c r="BS252" s="89"/>
    </row>
    <row r="253" spans="16:71" x14ac:dyDescent="0.25">
      <c r="P253" s="90">
        <f t="shared" si="40"/>
        <v>0</v>
      </c>
      <c r="Q253" s="90">
        <f>SUM($L253:O253)</f>
        <v>0</v>
      </c>
      <c r="R253" s="89"/>
      <c r="AH253" s="90">
        <f t="shared" si="41"/>
        <v>0</v>
      </c>
      <c r="AI253" s="90">
        <f t="shared" si="42"/>
        <v>0</v>
      </c>
      <c r="AJ253" s="89"/>
      <c r="AZ253" s="90">
        <f t="shared" si="43"/>
        <v>0</v>
      </c>
      <c r="BA253" s="90">
        <f>SUM($AV253:AY253)</f>
        <v>0</v>
      </c>
      <c r="BQ253" s="90">
        <f t="shared" si="44"/>
        <v>0</v>
      </c>
      <c r="BR253" s="90">
        <f>SUM($BM253:BP253)</f>
        <v>0</v>
      </c>
      <c r="BS253" s="89"/>
    </row>
    <row r="254" spans="16:71" x14ac:dyDescent="0.25">
      <c r="P254" s="90">
        <f t="shared" si="40"/>
        <v>0</v>
      </c>
      <c r="Q254" s="90">
        <f>SUM($L254:O254)</f>
        <v>0</v>
      </c>
      <c r="R254" s="89"/>
      <c r="AH254" s="90">
        <f t="shared" si="41"/>
        <v>0</v>
      </c>
      <c r="AI254" s="90">
        <f t="shared" si="42"/>
        <v>0</v>
      </c>
      <c r="AJ254" s="89"/>
      <c r="AZ254" s="90">
        <f t="shared" si="43"/>
        <v>0</v>
      </c>
      <c r="BA254" s="90">
        <f>SUM($AV254:AY254)</f>
        <v>0</v>
      </c>
      <c r="BQ254" s="90">
        <f t="shared" si="44"/>
        <v>0</v>
      </c>
      <c r="BR254" s="90">
        <f>SUM($BM254:BP254)</f>
        <v>0</v>
      </c>
      <c r="BS254" s="89"/>
    </row>
    <row r="255" spans="16:71" x14ac:dyDescent="0.25">
      <c r="P255" s="90">
        <f t="shared" si="40"/>
        <v>0</v>
      </c>
      <c r="Q255" s="90">
        <f>SUM($L255:O255)</f>
        <v>0</v>
      </c>
      <c r="R255" s="89"/>
      <c r="AH255" s="90">
        <f t="shared" si="41"/>
        <v>0</v>
      </c>
      <c r="AI255" s="90">
        <f t="shared" si="42"/>
        <v>0</v>
      </c>
      <c r="AJ255" s="89"/>
      <c r="AZ255" s="90">
        <f t="shared" si="43"/>
        <v>0</v>
      </c>
      <c r="BA255" s="90">
        <f>SUM($AV255:AY255)</f>
        <v>0</v>
      </c>
      <c r="BQ255" s="90">
        <f t="shared" si="44"/>
        <v>0</v>
      </c>
      <c r="BR255" s="90">
        <f>SUM($BM255:BP255)</f>
        <v>0</v>
      </c>
      <c r="BS255" s="89"/>
    </row>
    <row r="256" spans="16:71" x14ac:dyDescent="0.25">
      <c r="P256" s="90">
        <f t="shared" si="40"/>
        <v>0</v>
      </c>
      <c r="Q256" s="90">
        <f>SUM($L256:O256)</f>
        <v>0</v>
      </c>
      <c r="R256" s="89"/>
      <c r="AH256" s="90">
        <f t="shared" si="41"/>
        <v>0</v>
      </c>
      <c r="AI256" s="90">
        <f t="shared" si="42"/>
        <v>0</v>
      </c>
      <c r="AJ256" s="89"/>
      <c r="AZ256" s="90">
        <f t="shared" si="43"/>
        <v>0</v>
      </c>
      <c r="BA256" s="90">
        <f>SUM($AV256:AY256)</f>
        <v>0</v>
      </c>
      <c r="BQ256" s="90">
        <f t="shared" si="44"/>
        <v>0</v>
      </c>
      <c r="BR256" s="90">
        <f>SUM($BM256:BP256)</f>
        <v>0</v>
      </c>
      <c r="BS256" s="89"/>
    </row>
    <row r="257" spans="16:71" x14ac:dyDescent="0.25">
      <c r="P257" s="90">
        <f t="shared" si="40"/>
        <v>0</v>
      </c>
      <c r="Q257" s="90">
        <f>SUM($L257:O257)</f>
        <v>0</v>
      </c>
      <c r="R257" s="89"/>
      <c r="AH257" s="90">
        <f t="shared" si="41"/>
        <v>0</v>
      </c>
      <c r="AI257" s="90">
        <f t="shared" si="42"/>
        <v>0</v>
      </c>
      <c r="AJ257" s="89"/>
      <c r="AZ257" s="90">
        <f t="shared" si="43"/>
        <v>0</v>
      </c>
      <c r="BA257" s="90">
        <f>SUM($AV257:AY257)</f>
        <v>0</v>
      </c>
      <c r="BQ257" s="90">
        <f t="shared" si="44"/>
        <v>0</v>
      </c>
      <c r="BR257" s="90">
        <f>SUM($BM257:BP257)</f>
        <v>0</v>
      </c>
      <c r="BS257" s="89"/>
    </row>
    <row r="258" spans="16:71" x14ac:dyDescent="0.25">
      <c r="P258" s="90">
        <f t="shared" si="40"/>
        <v>0</v>
      </c>
      <c r="Q258" s="90">
        <f>SUM($L258:O258)</f>
        <v>0</v>
      </c>
      <c r="R258" s="89"/>
      <c r="AH258" s="90">
        <f t="shared" si="41"/>
        <v>0</v>
      </c>
      <c r="AI258" s="90">
        <f t="shared" si="42"/>
        <v>0</v>
      </c>
      <c r="AJ258" s="89"/>
      <c r="AZ258" s="90">
        <f t="shared" si="43"/>
        <v>0</v>
      </c>
      <c r="BA258" s="90">
        <f>SUM($AV258:AY258)</f>
        <v>0</v>
      </c>
      <c r="BQ258" s="90">
        <f t="shared" si="44"/>
        <v>0</v>
      </c>
      <c r="BR258" s="90">
        <f>SUM($BM258:BP258)</f>
        <v>0</v>
      </c>
      <c r="BS258" s="89"/>
    </row>
    <row r="259" spans="16:71" x14ac:dyDescent="0.25">
      <c r="P259" s="90">
        <f t="shared" si="40"/>
        <v>0</v>
      </c>
      <c r="Q259" s="90">
        <f>SUM($L259:O259)</f>
        <v>0</v>
      </c>
      <c r="R259" s="89"/>
      <c r="AH259" s="90">
        <f t="shared" si="41"/>
        <v>0</v>
      </c>
      <c r="AI259" s="90">
        <f t="shared" si="42"/>
        <v>0</v>
      </c>
      <c r="AJ259" s="89"/>
      <c r="AZ259" s="90">
        <f t="shared" si="43"/>
        <v>0</v>
      </c>
      <c r="BA259" s="90">
        <f>SUM($AV259:AY259)</f>
        <v>0</v>
      </c>
      <c r="BQ259" s="90">
        <f t="shared" si="44"/>
        <v>0</v>
      </c>
      <c r="BR259" s="90">
        <f>SUM($BM259:BP259)</f>
        <v>0</v>
      </c>
      <c r="BS259" s="89"/>
    </row>
    <row r="260" spans="16:71" x14ac:dyDescent="0.25">
      <c r="P260" s="90">
        <f t="shared" si="40"/>
        <v>0</v>
      </c>
      <c r="Q260" s="90">
        <f>SUM($L260:O260)</f>
        <v>0</v>
      </c>
      <c r="R260" s="89"/>
      <c r="AH260" s="90">
        <f t="shared" si="41"/>
        <v>0</v>
      </c>
      <c r="AI260" s="90">
        <f t="shared" si="42"/>
        <v>0</v>
      </c>
      <c r="AJ260" s="89"/>
      <c r="AZ260" s="90">
        <f t="shared" si="43"/>
        <v>0</v>
      </c>
      <c r="BA260" s="90">
        <f>SUM($AV260:AY260)</f>
        <v>0</v>
      </c>
      <c r="BQ260" s="90">
        <f t="shared" si="44"/>
        <v>0</v>
      </c>
      <c r="BR260" s="90">
        <f>SUM($BM260:BP260)</f>
        <v>0</v>
      </c>
      <c r="BS260" s="89"/>
    </row>
    <row r="261" spans="16:71" x14ac:dyDescent="0.25">
      <c r="P261" s="90">
        <f t="shared" ref="P261:P324" si="45">SUM(B261:K261)</f>
        <v>0</v>
      </c>
      <c r="Q261" s="90">
        <f>SUM($L261:O261)</f>
        <v>0</v>
      </c>
      <c r="R261" s="89"/>
      <c r="AH261" s="90">
        <f t="shared" ref="AH261:AH324" si="46">SUM(T261:AC261)</f>
        <v>0</v>
      </c>
      <c r="AI261" s="90">
        <f t="shared" ref="AI261:AI324" si="47">SUM(AD261:AF261)</f>
        <v>0</v>
      </c>
      <c r="AJ261" s="89"/>
      <c r="AZ261" s="90">
        <f t="shared" ref="AZ261:AZ324" si="48">SUM(AL261:AU261)</f>
        <v>0</v>
      </c>
      <c r="BA261" s="90">
        <f>SUM($AV261:AY261)</f>
        <v>0</v>
      </c>
      <c r="BQ261" s="90">
        <f t="shared" ref="BQ261:BQ324" si="49">SUM(BC261:BL261)</f>
        <v>0</v>
      </c>
      <c r="BR261" s="90">
        <f>SUM($BM261:BP261)</f>
        <v>0</v>
      </c>
      <c r="BS261" s="89"/>
    </row>
    <row r="262" spans="16:71" x14ac:dyDescent="0.25">
      <c r="P262" s="90">
        <f t="shared" si="45"/>
        <v>0</v>
      </c>
      <c r="Q262" s="90">
        <f>SUM($L262:O262)</f>
        <v>0</v>
      </c>
      <c r="R262" s="89"/>
      <c r="AH262" s="90">
        <f t="shared" si="46"/>
        <v>0</v>
      </c>
      <c r="AI262" s="90">
        <f t="shared" si="47"/>
        <v>0</v>
      </c>
      <c r="AJ262" s="89"/>
      <c r="AZ262" s="90">
        <f t="shared" si="48"/>
        <v>0</v>
      </c>
      <c r="BA262" s="90">
        <f>SUM($AV262:AY262)</f>
        <v>0</v>
      </c>
      <c r="BQ262" s="90">
        <f t="shared" si="49"/>
        <v>0</v>
      </c>
      <c r="BR262" s="90">
        <f>SUM($BM262:BP262)</f>
        <v>0</v>
      </c>
      <c r="BS262" s="89"/>
    </row>
    <row r="263" spans="16:71" x14ac:dyDescent="0.25">
      <c r="P263" s="90">
        <f t="shared" si="45"/>
        <v>0</v>
      </c>
      <c r="Q263" s="90">
        <f>SUM($L263:O263)</f>
        <v>0</v>
      </c>
      <c r="R263" s="89"/>
      <c r="AH263" s="90">
        <f t="shared" si="46"/>
        <v>0</v>
      </c>
      <c r="AI263" s="90">
        <f t="shared" si="47"/>
        <v>0</v>
      </c>
      <c r="AJ263" s="89"/>
      <c r="AZ263" s="90">
        <f t="shared" si="48"/>
        <v>0</v>
      </c>
      <c r="BA263" s="90">
        <f>SUM($AV263:AY263)</f>
        <v>0</v>
      </c>
      <c r="BQ263" s="90">
        <f t="shared" si="49"/>
        <v>0</v>
      </c>
      <c r="BR263" s="90">
        <f>SUM($BM263:BP263)</f>
        <v>0</v>
      </c>
      <c r="BS263" s="89"/>
    </row>
    <row r="264" spans="16:71" x14ac:dyDescent="0.25">
      <c r="P264" s="90">
        <f t="shared" si="45"/>
        <v>0</v>
      </c>
      <c r="Q264" s="90">
        <f>SUM($L264:O264)</f>
        <v>0</v>
      </c>
      <c r="R264" s="89"/>
      <c r="AH264" s="90">
        <f t="shared" si="46"/>
        <v>0</v>
      </c>
      <c r="AI264" s="90">
        <f t="shared" si="47"/>
        <v>0</v>
      </c>
      <c r="AJ264" s="89"/>
      <c r="AZ264" s="90">
        <f t="shared" si="48"/>
        <v>0</v>
      </c>
      <c r="BA264" s="90">
        <f>SUM($AV264:AY264)</f>
        <v>0</v>
      </c>
      <c r="BQ264" s="90">
        <f t="shared" si="49"/>
        <v>0</v>
      </c>
      <c r="BR264" s="90">
        <f>SUM($BM264:BP264)</f>
        <v>0</v>
      </c>
      <c r="BS264" s="89"/>
    </row>
    <row r="265" spans="16:71" x14ac:dyDescent="0.25">
      <c r="P265" s="90">
        <f t="shared" si="45"/>
        <v>0</v>
      </c>
      <c r="Q265" s="90">
        <f>SUM($L265:O265)</f>
        <v>0</v>
      </c>
      <c r="R265" s="89"/>
      <c r="AH265" s="90">
        <f t="shared" si="46"/>
        <v>0</v>
      </c>
      <c r="AI265" s="90">
        <f t="shared" si="47"/>
        <v>0</v>
      </c>
      <c r="AJ265" s="89"/>
      <c r="AZ265" s="90">
        <f t="shared" si="48"/>
        <v>0</v>
      </c>
      <c r="BA265" s="90">
        <f>SUM($AV265:AY265)</f>
        <v>0</v>
      </c>
      <c r="BQ265" s="90">
        <f t="shared" si="49"/>
        <v>0</v>
      </c>
      <c r="BR265" s="90">
        <f>SUM($BM265:BP265)</f>
        <v>0</v>
      </c>
      <c r="BS265" s="89"/>
    </row>
    <row r="266" spans="16:71" x14ac:dyDescent="0.25">
      <c r="P266" s="90">
        <f t="shared" si="45"/>
        <v>0</v>
      </c>
      <c r="Q266" s="90">
        <f>SUM($L266:O266)</f>
        <v>0</v>
      </c>
      <c r="R266" s="89"/>
      <c r="AH266" s="90">
        <f t="shared" si="46"/>
        <v>0</v>
      </c>
      <c r="AI266" s="90">
        <f t="shared" si="47"/>
        <v>0</v>
      </c>
      <c r="AJ266" s="89"/>
      <c r="AZ266" s="90">
        <f t="shared" si="48"/>
        <v>0</v>
      </c>
      <c r="BA266" s="90">
        <f>SUM($AV266:AY266)</f>
        <v>0</v>
      </c>
      <c r="BQ266" s="90">
        <f t="shared" si="49"/>
        <v>0</v>
      </c>
      <c r="BR266" s="90">
        <f>SUM($BM266:BP266)</f>
        <v>0</v>
      </c>
      <c r="BS266" s="89"/>
    </row>
    <row r="267" spans="16:71" x14ac:dyDescent="0.25">
      <c r="P267" s="90">
        <f t="shared" si="45"/>
        <v>0</v>
      </c>
      <c r="Q267" s="90">
        <f>SUM($L267:O267)</f>
        <v>0</v>
      </c>
      <c r="R267" s="89"/>
      <c r="AH267" s="90">
        <f t="shared" si="46"/>
        <v>0</v>
      </c>
      <c r="AI267" s="90">
        <f t="shared" si="47"/>
        <v>0</v>
      </c>
      <c r="AJ267" s="89"/>
      <c r="AZ267" s="90">
        <f t="shared" si="48"/>
        <v>0</v>
      </c>
      <c r="BA267" s="90">
        <f>SUM($AV267:AY267)</f>
        <v>0</v>
      </c>
      <c r="BQ267" s="90">
        <f t="shared" si="49"/>
        <v>0</v>
      </c>
      <c r="BR267" s="90">
        <f>SUM($BM267:BP267)</f>
        <v>0</v>
      </c>
      <c r="BS267" s="89"/>
    </row>
    <row r="268" spans="16:71" x14ac:dyDescent="0.25">
      <c r="P268" s="90">
        <f t="shared" si="45"/>
        <v>0</v>
      </c>
      <c r="Q268" s="90">
        <f>SUM($L268:O268)</f>
        <v>0</v>
      </c>
      <c r="R268" s="89"/>
      <c r="AH268" s="90">
        <f t="shared" si="46"/>
        <v>0</v>
      </c>
      <c r="AI268" s="90">
        <f t="shared" si="47"/>
        <v>0</v>
      </c>
      <c r="AJ268" s="89"/>
      <c r="AZ268" s="90">
        <f t="shared" si="48"/>
        <v>0</v>
      </c>
      <c r="BA268" s="90">
        <f>SUM($AV268:AY268)</f>
        <v>0</v>
      </c>
      <c r="BQ268" s="90">
        <f t="shared" si="49"/>
        <v>0</v>
      </c>
      <c r="BR268" s="90">
        <f>SUM($BM268:BP268)</f>
        <v>0</v>
      </c>
      <c r="BS268" s="89"/>
    </row>
    <row r="269" spans="16:71" x14ac:dyDescent="0.25">
      <c r="P269" s="90">
        <f t="shared" si="45"/>
        <v>0</v>
      </c>
      <c r="Q269" s="90">
        <f>SUM($L269:O269)</f>
        <v>0</v>
      </c>
      <c r="R269" s="89"/>
      <c r="AH269" s="90">
        <f t="shared" si="46"/>
        <v>0</v>
      </c>
      <c r="AI269" s="90">
        <f t="shared" si="47"/>
        <v>0</v>
      </c>
      <c r="AJ269" s="89"/>
      <c r="AZ269" s="90">
        <f t="shared" si="48"/>
        <v>0</v>
      </c>
      <c r="BA269" s="90">
        <f>SUM($AV269:AY269)</f>
        <v>0</v>
      </c>
      <c r="BQ269" s="90">
        <f t="shared" si="49"/>
        <v>0</v>
      </c>
      <c r="BR269" s="90">
        <f>SUM($BM269:BP269)</f>
        <v>0</v>
      </c>
      <c r="BS269" s="89"/>
    </row>
    <row r="270" spans="16:71" x14ac:dyDescent="0.25">
      <c r="P270" s="90">
        <f t="shared" si="45"/>
        <v>0</v>
      </c>
      <c r="Q270" s="90">
        <f>SUM($L270:O270)</f>
        <v>0</v>
      </c>
      <c r="R270" s="89"/>
      <c r="AH270" s="90">
        <f t="shared" si="46"/>
        <v>0</v>
      </c>
      <c r="AI270" s="90">
        <f t="shared" si="47"/>
        <v>0</v>
      </c>
      <c r="AJ270" s="89"/>
      <c r="AZ270" s="90">
        <f t="shared" si="48"/>
        <v>0</v>
      </c>
      <c r="BA270" s="90">
        <f>SUM($AV270:AY270)</f>
        <v>0</v>
      </c>
      <c r="BQ270" s="90">
        <f t="shared" si="49"/>
        <v>0</v>
      </c>
      <c r="BR270" s="90">
        <f>SUM($BM270:BP270)</f>
        <v>0</v>
      </c>
      <c r="BS270" s="89"/>
    </row>
    <row r="271" spans="16:71" x14ac:dyDescent="0.25">
      <c r="P271" s="90">
        <f t="shared" si="45"/>
        <v>0</v>
      </c>
      <c r="Q271" s="90">
        <f>SUM($L271:O271)</f>
        <v>0</v>
      </c>
      <c r="R271" s="89"/>
      <c r="AH271" s="90">
        <f t="shared" si="46"/>
        <v>0</v>
      </c>
      <c r="AI271" s="90">
        <f t="shared" si="47"/>
        <v>0</v>
      </c>
      <c r="AJ271" s="89"/>
      <c r="AZ271" s="90">
        <f t="shared" si="48"/>
        <v>0</v>
      </c>
      <c r="BA271" s="90">
        <f>SUM($AV271:AY271)</f>
        <v>0</v>
      </c>
      <c r="BQ271" s="90">
        <f t="shared" si="49"/>
        <v>0</v>
      </c>
      <c r="BR271" s="90">
        <f>SUM($BM271:BP271)</f>
        <v>0</v>
      </c>
      <c r="BS271" s="89"/>
    </row>
    <row r="272" spans="16:71" x14ac:dyDescent="0.25">
      <c r="P272" s="90">
        <f t="shared" si="45"/>
        <v>0</v>
      </c>
      <c r="Q272" s="90">
        <f>SUM($L272:O272)</f>
        <v>0</v>
      </c>
      <c r="R272" s="89"/>
      <c r="AH272" s="90">
        <f t="shared" si="46"/>
        <v>0</v>
      </c>
      <c r="AI272" s="90">
        <f t="shared" si="47"/>
        <v>0</v>
      </c>
      <c r="AJ272" s="89"/>
      <c r="AZ272" s="90">
        <f t="shared" si="48"/>
        <v>0</v>
      </c>
      <c r="BA272" s="90">
        <f>SUM($AV272:AY272)</f>
        <v>0</v>
      </c>
      <c r="BQ272" s="90">
        <f t="shared" si="49"/>
        <v>0</v>
      </c>
      <c r="BR272" s="90">
        <f>SUM($BM272:BP272)</f>
        <v>0</v>
      </c>
      <c r="BS272" s="89"/>
    </row>
    <row r="273" spans="16:71" x14ac:dyDescent="0.25">
      <c r="P273" s="90">
        <f t="shared" si="45"/>
        <v>0</v>
      </c>
      <c r="Q273" s="90">
        <f>SUM($L273:O273)</f>
        <v>0</v>
      </c>
      <c r="R273" s="89"/>
      <c r="AH273" s="90">
        <f t="shared" si="46"/>
        <v>0</v>
      </c>
      <c r="AI273" s="90">
        <f t="shared" si="47"/>
        <v>0</v>
      </c>
      <c r="AJ273" s="89"/>
      <c r="AZ273" s="90">
        <f t="shared" si="48"/>
        <v>0</v>
      </c>
      <c r="BA273" s="90">
        <f>SUM($AV273:AY273)</f>
        <v>0</v>
      </c>
      <c r="BQ273" s="90">
        <f t="shared" si="49"/>
        <v>0</v>
      </c>
      <c r="BR273" s="90">
        <f>SUM($BM273:BP273)</f>
        <v>0</v>
      </c>
      <c r="BS273" s="89"/>
    </row>
    <row r="274" spans="16:71" x14ac:dyDescent="0.25">
      <c r="P274" s="90">
        <f t="shared" si="45"/>
        <v>0</v>
      </c>
      <c r="Q274" s="90">
        <f>SUM($L274:O274)</f>
        <v>0</v>
      </c>
      <c r="R274" s="89"/>
      <c r="AH274" s="90">
        <f t="shared" si="46"/>
        <v>0</v>
      </c>
      <c r="AI274" s="90">
        <f t="shared" si="47"/>
        <v>0</v>
      </c>
      <c r="AJ274" s="89"/>
      <c r="AZ274" s="90">
        <f t="shared" si="48"/>
        <v>0</v>
      </c>
      <c r="BA274" s="90">
        <f>SUM($AV274:AY274)</f>
        <v>0</v>
      </c>
      <c r="BQ274" s="90">
        <f t="shared" si="49"/>
        <v>0</v>
      </c>
      <c r="BR274" s="90">
        <f>SUM($BM274:BP274)</f>
        <v>0</v>
      </c>
      <c r="BS274" s="89"/>
    </row>
    <row r="275" spans="16:71" x14ac:dyDescent="0.25">
      <c r="P275" s="90">
        <f t="shared" si="45"/>
        <v>0</v>
      </c>
      <c r="Q275" s="90">
        <f>SUM($L275:O275)</f>
        <v>0</v>
      </c>
      <c r="R275" s="89"/>
      <c r="AH275" s="90">
        <f t="shared" si="46"/>
        <v>0</v>
      </c>
      <c r="AI275" s="90">
        <f t="shared" si="47"/>
        <v>0</v>
      </c>
      <c r="AJ275" s="89"/>
      <c r="AZ275" s="90">
        <f t="shared" si="48"/>
        <v>0</v>
      </c>
      <c r="BA275" s="90">
        <f>SUM($AV275:AY275)</f>
        <v>0</v>
      </c>
      <c r="BQ275" s="90">
        <f t="shared" si="49"/>
        <v>0</v>
      </c>
      <c r="BR275" s="90">
        <f>SUM($BM275:BP275)</f>
        <v>0</v>
      </c>
      <c r="BS275" s="89"/>
    </row>
    <row r="276" spans="16:71" x14ac:dyDescent="0.25">
      <c r="P276" s="90">
        <f t="shared" si="45"/>
        <v>0</v>
      </c>
      <c r="Q276" s="90">
        <f>SUM($L276:O276)</f>
        <v>0</v>
      </c>
      <c r="R276" s="89"/>
      <c r="AH276" s="90">
        <f t="shared" si="46"/>
        <v>0</v>
      </c>
      <c r="AI276" s="90">
        <f t="shared" si="47"/>
        <v>0</v>
      </c>
      <c r="AJ276" s="89"/>
      <c r="AZ276" s="90">
        <f t="shared" si="48"/>
        <v>0</v>
      </c>
      <c r="BA276" s="90">
        <f>SUM($AV276:AY276)</f>
        <v>0</v>
      </c>
      <c r="BQ276" s="90">
        <f t="shared" si="49"/>
        <v>0</v>
      </c>
      <c r="BR276" s="90">
        <f>SUM($BM276:BP276)</f>
        <v>0</v>
      </c>
      <c r="BS276" s="89"/>
    </row>
    <row r="277" spans="16:71" x14ac:dyDescent="0.25">
      <c r="P277" s="90">
        <f t="shared" si="45"/>
        <v>0</v>
      </c>
      <c r="Q277" s="90">
        <f>SUM($L277:O277)</f>
        <v>0</v>
      </c>
      <c r="R277" s="89"/>
      <c r="AH277" s="90">
        <f t="shared" si="46"/>
        <v>0</v>
      </c>
      <c r="AI277" s="90">
        <f t="shared" si="47"/>
        <v>0</v>
      </c>
      <c r="AJ277" s="89"/>
      <c r="AZ277" s="90">
        <f t="shared" si="48"/>
        <v>0</v>
      </c>
      <c r="BA277" s="90">
        <f>SUM($AV277:AY277)</f>
        <v>0</v>
      </c>
      <c r="BQ277" s="90">
        <f t="shared" si="49"/>
        <v>0</v>
      </c>
      <c r="BR277" s="90">
        <f>SUM($BM277:BP277)</f>
        <v>0</v>
      </c>
      <c r="BS277" s="89"/>
    </row>
    <row r="278" spans="16:71" x14ac:dyDescent="0.25">
      <c r="P278" s="90">
        <f t="shared" si="45"/>
        <v>0</v>
      </c>
      <c r="Q278" s="90">
        <f>SUM($L278:O278)</f>
        <v>0</v>
      </c>
      <c r="R278" s="89"/>
      <c r="AH278" s="90">
        <f t="shared" si="46"/>
        <v>0</v>
      </c>
      <c r="AI278" s="90">
        <f t="shared" si="47"/>
        <v>0</v>
      </c>
      <c r="AJ278" s="89"/>
      <c r="AZ278" s="90">
        <f t="shared" si="48"/>
        <v>0</v>
      </c>
      <c r="BA278" s="90">
        <f>SUM($AV278:AY278)</f>
        <v>0</v>
      </c>
      <c r="BQ278" s="90">
        <f t="shared" si="49"/>
        <v>0</v>
      </c>
      <c r="BR278" s="90">
        <f>SUM($BM278:BP278)</f>
        <v>0</v>
      </c>
      <c r="BS278" s="89"/>
    </row>
    <row r="279" spans="16:71" x14ac:dyDescent="0.25">
      <c r="P279" s="90">
        <f t="shared" si="45"/>
        <v>0</v>
      </c>
      <c r="Q279" s="90">
        <f>SUM($L279:O279)</f>
        <v>0</v>
      </c>
      <c r="R279" s="89"/>
      <c r="AH279" s="90">
        <f t="shared" si="46"/>
        <v>0</v>
      </c>
      <c r="AI279" s="90">
        <f t="shared" si="47"/>
        <v>0</v>
      </c>
      <c r="AJ279" s="89"/>
      <c r="AZ279" s="90">
        <f t="shared" si="48"/>
        <v>0</v>
      </c>
      <c r="BA279" s="90">
        <f>SUM($AV279:AY279)</f>
        <v>0</v>
      </c>
      <c r="BQ279" s="90">
        <f t="shared" si="49"/>
        <v>0</v>
      </c>
      <c r="BR279" s="90">
        <f>SUM($BM279:BP279)</f>
        <v>0</v>
      </c>
      <c r="BS279" s="89"/>
    </row>
    <row r="280" spans="16:71" x14ac:dyDescent="0.25">
      <c r="P280" s="90">
        <f t="shared" si="45"/>
        <v>0</v>
      </c>
      <c r="Q280" s="90">
        <f>SUM($L280:O280)</f>
        <v>0</v>
      </c>
      <c r="R280" s="89"/>
      <c r="AH280" s="90">
        <f t="shared" si="46"/>
        <v>0</v>
      </c>
      <c r="AI280" s="90">
        <f t="shared" si="47"/>
        <v>0</v>
      </c>
      <c r="AJ280" s="89"/>
      <c r="AZ280" s="90">
        <f t="shared" si="48"/>
        <v>0</v>
      </c>
      <c r="BA280" s="90">
        <f>SUM($AV280:AY280)</f>
        <v>0</v>
      </c>
      <c r="BQ280" s="90">
        <f t="shared" si="49"/>
        <v>0</v>
      </c>
      <c r="BR280" s="90">
        <f>SUM($BM280:BP280)</f>
        <v>0</v>
      </c>
      <c r="BS280" s="89"/>
    </row>
    <row r="281" spans="16:71" x14ac:dyDescent="0.25">
      <c r="P281" s="90">
        <f t="shared" si="45"/>
        <v>0</v>
      </c>
      <c r="Q281" s="90">
        <f>SUM($L281:O281)</f>
        <v>0</v>
      </c>
      <c r="R281" s="89"/>
      <c r="AH281" s="90">
        <f t="shared" si="46"/>
        <v>0</v>
      </c>
      <c r="AI281" s="90">
        <f t="shared" si="47"/>
        <v>0</v>
      </c>
      <c r="AJ281" s="89"/>
      <c r="AZ281" s="90">
        <f t="shared" si="48"/>
        <v>0</v>
      </c>
      <c r="BA281" s="90">
        <f>SUM($AV281:AY281)</f>
        <v>0</v>
      </c>
      <c r="BQ281" s="90">
        <f t="shared" si="49"/>
        <v>0</v>
      </c>
      <c r="BR281" s="90">
        <f>SUM($BM281:BP281)</f>
        <v>0</v>
      </c>
      <c r="BS281" s="89"/>
    </row>
    <row r="282" spans="16:71" x14ac:dyDescent="0.25">
      <c r="P282" s="90">
        <f t="shared" si="45"/>
        <v>0</v>
      </c>
      <c r="Q282" s="90">
        <f>SUM($L282:O282)</f>
        <v>0</v>
      </c>
      <c r="R282" s="89"/>
      <c r="AH282" s="90">
        <f t="shared" si="46"/>
        <v>0</v>
      </c>
      <c r="AI282" s="90">
        <f t="shared" si="47"/>
        <v>0</v>
      </c>
      <c r="AJ282" s="89"/>
      <c r="AZ282" s="90">
        <f t="shared" si="48"/>
        <v>0</v>
      </c>
      <c r="BA282" s="90">
        <f>SUM($AV282:AY282)</f>
        <v>0</v>
      </c>
      <c r="BQ282" s="90">
        <f t="shared" si="49"/>
        <v>0</v>
      </c>
      <c r="BR282" s="90">
        <f>SUM($BM282:BP282)</f>
        <v>0</v>
      </c>
      <c r="BS282" s="89"/>
    </row>
    <row r="283" spans="16:71" x14ac:dyDescent="0.25">
      <c r="P283" s="90">
        <f t="shared" si="45"/>
        <v>0</v>
      </c>
      <c r="Q283" s="90">
        <f>SUM($L283:O283)</f>
        <v>0</v>
      </c>
      <c r="R283" s="89"/>
      <c r="AH283" s="90">
        <f t="shared" si="46"/>
        <v>0</v>
      </c>
      <c r="AI283" s="90">
        <f t="shared" si="47"/>
        <v>0</v>
      </c>
      <c r="AJ283" s="89"/>
      <c r="AZ283" s="90">
        <f t="shared" si="48"/>
        <v>0</v>
      </c>
      <c r="BA283" s="90">
        <f>SUM($AV283:AY283)</f>
        <v>0</v>
      </c>
      <c r="BQ283" s="90">
        <f t="shared" si="49"/>
        <v>0</v>
      </c>
      <c r="BR283" s="90">
        <f>SUM($BM283:BP283)</f>
        <v>0</v>
      </c>
      <c r="BS283" s="89"/>
    </row>
    <row r="284" spans="16:71" x14ac:dyDescent="0.25">
      <c r="P284" s="90">
        <f t="shared" si="45"/>
        <v>0</v>
      </c>
      <c r="Q284" s="90">
        <f>SUM($L284:O284)</f>
        <v>0</v>
      </c>
      <c r="R284" s="89"/>
      <c r="AH284" s="90">
        <f t="shared" si="46"/>
        <v>0</v>
      </c>
      <c r="AI284" s="90">
        <f t="shared" si="47"/>
        <v>0</v>
      </c>
      <c r="AJ284" s="89"/>
      <c r="AZ284" s="90">
        <f t="shared" si="48"/>
        <v>0</v>
      </c>
      <c r="BA284" s="90">
        <f>SUM($AV284:AY284)</f>
        <v>0</v>
      </c>
      <c r="BQ284" s="90">
        <f t="shared" si="49"/>
        <v>0</v>
      </c>
      <c r="BR284" s="90">
        <f>SUM($BM284:BP284)</f>
        <v>0</v>
      </c>
      <c r="BS284" s="89"/>
    </row>
    <row r="285" spans="16:71" x14ac:dyDescent="0.25">
      <c r="P285" s="90">
        <f t="shared" si="45"/>
        <v>0</v>
      </c>
      <c r="Q285" s="90">
        <f>SUM($L285:O285)</f>
        <v>0</v>
      </c>
      <c r="R285" s="89"/>
      <c r="AH285" s="90">
        <f t="shared" si="46"/>
        <v>0</v>
      </c>
      <c r="AI285" s="90">
        <f t="shared" si="47"/>
        <v>0</v>
      </c>
      <c r="AJ285" s="89"/>
      <c r="AZ285" s="90">
        <f t="shared" si="48"/>
        <v>0</v>
      </c>
      <c r="BA285" s="90">
        <f>SUM($AV285:AY285)</f>
        <v>0</v>
      </c>
      <c r="BQ285" s="90">
        <f t="shared" si="49"/>
        <v>0</v>
      </c>
      <c r="BR285" s="90">
        <f>SUM($BM285:BP285)</f>
        <v>0</v>
      </c>
      <c r="BS285" s="89"/>
    </row>
    <row r="286" spans="16:71" x14ac:dyDescent="0.25">
      <c r="P286" s="90">
        <f t="shared" si="45"/>
        <v>0</v>
      </c>
      <c r="Q286" s="90">
        <f>SUM($L286:O286)</f>
        <v>0</v>
      </c>
      <c r="R286" s="89"/>
      <c r="AH286" s="90">
        <f t="shared" si="46"/>
        <v>0</v>
      </c>
      <c r="AI286" s="90">
        <f t="shared" si="47"/>
        <v>0</v>
      </c>
      <c r="AJ286" s="89"/>
      <c r="AZ286" s="90">
        <f t="shared" si="48"/>
        <v>0</v>
      </c>
      <c r="BA286" s="90">
        <f>SUM($AV286:AY286)</f>
        <v>0</v>
      </c>
      <c r="BQ286" s="90">
        <f t="shared" si="49"/>
        <v>0</v>
      </c>
      <c r="BR286" s="90">
        <f>SUM($BM286:BP286)</f>
        <v>0</v>
      </c>
      <c r="BS286" s="89"/>
    </row>
    <row r="287" spans="16:71" x14ac:dyDescent="0.25">
      <c r="P287" s="90">
        <f t="shared" si="45"/>
        <v>0</v>
      </c>
      <c r="Q287" s="90">
        <f>SUM($L287:O287)</f>
        <v>0</v>
      </c>
      <c r="R287" s="89"/>
      <c r="AH287" s="90">
        <f t="shared" si="46"/>
        <v>0</v>
      </c>
      <c r="AI287" s="90">
        <f t="shared" si="47"/>
        <v>0</v>
      </c>
      <c r="AJ287" s="89"/>
      <c r="AZ287" s="90">
        <f t="shared" si="48"/>
        <v>0</v>
      </c>
      <c r="BA287" s="90">
        <f>SUM($AV287:AY287)</f>
        <v>0</v>
      </c>
      <c r="BQ287" s="90">
        <f t="shared" si="49"/>
        <v>0</v>
      </c>
      <c r="BR287" s="90">
        <f>SUM($BM287:BP287)</f>
        <v>0</v>
      </c>
      <c r="BS287" s="89"/>
    </row>
    <row r="288" spans="16:71" x14ac:dyDescent="0.25">
      <c r="P288" s="90">
        <f t="shared" si="45"/>
        <v>0</v>
      </c>
      <c r="Q288" s="90">
        <f>SUM($L288:O288)</f>
        <v>0</v>
      </c>
      <c r="R288" s="89"/>
      <c r="AH288" s="90">
        <f t="shared" si="46"/>
        <v>0</v>
      </c>
      <c r="AI288" s="90">
        <f t="shared" si="47"/>
        <v>0</v>
      </c>
      <c r="AJ288" s="89"/>
      <c r="AZ288" s="90">
        <f t="shared" si="48"/>
        <v>0</v>
      </c>
      <c r="BA288" s="90">
        <f>SUM($AV288:AY288)</f>
        <v>0</v>
      </c>
      <c r="BQ288" s="90">
        <f t="shared" si="49"/>
        <v>0</v>
      </c>
      <c r="BR288" s="90">
        <f>SUM($BM288:BP288)</f>
        <v>0</v>
      </c>
      <c r="BS288" s="89"/>
    </row>
    <row r="289" spans="16:71" x14ac:dyDescent="0.25">
      <c r="P289" s="90">
        <f t="shared" si="45"/>
        <v>0</v>
      </c>
      <c r="Q289" s="90">
        <f>SUM($L289:O289)</f>
        <v>0</v>
      </c>
      <c r="R289" s="89"/>
      <c r="AH289" s="90">
        <f t="shared" si="46"/>
        <v>0</v>
      </c>
      <c r="AI289" s="90">
        <f t="shared" si="47"/>
        <v>0</v>
      </c>
      <c r="AJ289" s="89"/>
      <c r="AZ289" s="90">
        <f t="shared" si="48"/>
        <v>0</v>
      </c>
      <c r="BA289" s="90">
        <f>SUM($AV289:AY289)</f>
        <v>0</v>
      </c>
      <c r="BQ289" s="90">
        <f t="shared" si="49"/>
        <v>0</v>
      </c>
      <c r="BR289" s="90">
        <f>SUM($BM289:BP289)</f>
        <v>0</v>
      </c>
      <c r="BS289" s="89"/>
    </row>
    <row r="290" spans="16:71" x14ac:dyDescent="0.25">
      <c r="P290" s="90">
        <f t="shared" si="45"/>
        <v>0</v>
      </c>
      <c r="Q290" s="90">
        <f>SUM($L290:O290)</f>
        <v>0</v>
      </c>
      <c r="R290" s="89"/>
      <c r="AH290" s="90">
        <f t="shared" si="46"/>
        <v>0</v>
      </c>
      <c r="AI290" s="90">
        <f t="shared" si="47"/>
        <v>0</v>
      </c>
      <c r="AJ290" s="89"/>
      <c r="AZ290" s="90">
        <f t="shared" si="48"/>
        <v>0</v>
      </c>
      <c r="BA290" s="90">
        <f>SUM($AV290:AY290)</f>
        <v>0</v>
      </c>
      <c r="BQ290" s="90">
        <f t="shared" si="49"/>
        <v>0</v>
      </c>
      <c r="BR290" s="90">
        <f>SUM($BM290:BP290)</f>
        <v>0</v>
      </c>
      <c r="BS290" s="89"/>
    </row>
    <row r="291" spans="16:71" x14ac:dyDescent="0.25">
      <c r="P291" s="90">
        <f t="shared" si="45"/>
        <v>0</v>
      </c>
      <c r="Q291" s="90">
        <f>SUM($L291:O291)</f>
        <v>0</v>
      </c>
      <c r="R291" s="89"/>
      <c r="AH291" s="90">
        <f t="shared" si="46"/>
        <v>0</v>
      </c>
      <c r="AI291" s="90">
        <f t="shared" si="47"/>
        <v>0</v>
      </c>
      <c r="AJ291" s="89"/>
      <c r="AZ291" s="90">
        <f t="shared" si="48"/>
        <v>0</v>
      </c>
      <c r="BA291" s="90">
        <f>SUM($AV291:AY291)</f>
        <v>0</v>
      </c>
      <c r="BQ291" s="90">
        <f t="shared" si="49"/>
        <v>0</v>
      </c>
      <c r="BR291" s="90">
        <f>SUM($BM291:BP291)</f>
        <v>0</v>
      </c>
      <c r="BS291" s="89"/>
    </row>
    <row r="292" spans="16:71" x14ac:dyDescent="0.25">
      <c r="P292" s="90">
        <f t="shared" si="45"/>
        <v>0</v>
      </c>
      <c r="Q292" s="90">
        <f>SUM($L292:O292)</f>
        <v>0</v>
      </c>
      <c r="R292" s="89"/>
      <c r="AH292" s="90">
        <f t="shared" si="46"/>
        <v>0</v>
      </c>
      <c r="AI292" s="90">
        <f t="shared" si="47"/>
        <v>0</v>
      </c>
      <c r="AJ292" s="89"/>
      <c r="AZ292" s="90">
        <f t="shared" si="48"/>
        <v>0</v>
      </c>
      <c r="BA292" s="90">
        <f>SUM($AV292:AY292)</f>
        <v>0</v>
      </c>
      <c r="BQ292" s="90">
        <f t="shared" si="49"/>
        <v>0</v>
      </c>
      <c r="BR292" s="90">
        <f>SUM($BM292:BP292)</f>
        <v>0</v>
      </c>
      <c r="BS292" s="89"/>
    </row>
    <row r="293" spans="16:71" x14ac:dyDescent="0.25">
      <c r="P293" s="90">
        <f t="shared" si="45"/>
        <v>0</v>
      </c>
      <c r="Q293" s="90">
        <f>SUM($L293:O293)</f>
        <v>0</v>
      </c>
      <c r="R293" s="89"/>
      <c r="AH293" s="90">
        <f t="shared" si="46"/>
        <v>0</v>
      </c>
      <c r="AI293" s="90">
        <f t="shared" si="47"/>
        <v>0</v>
      </c>
      <c r="AJ293" s="89"/>
      <c r="AZ293" s="90">
        <f t="shared" si="48"/>
        <v>0</v>
      </c>
      <c r="BA293" s="90">
        <f>SUM($AV293:AY293)</f>
        <v>0</v>
      </c>
      <c r="BQ293" s="90">
        <f t="shared" si="49"/>
        <v>0</v>
      </c>
      <c r="BR293" s="90">
        <f>SUM($BM293:BP293)</f>
        <v>0</v>
      </c>
      <c r="BS293" s="89"/>
    </row>
    <row r="294" spans="16:71" x14ac:dyDescent="0.25">
      <c r="P294" s="90">
        <f t="shared" si="45"/>
        <v>0</v>
      </c>
      <c r="Q294" s="90">
        <f>SUM($L294:O294)</f>
        <v>0</v>
      </c>
      <c r="R294" s="89"/>
      <c r="AH294" s="90">
        <f t="shared" si="46"/>
        <v>0</v>
      </c>
      <c r="AI294" s="90">
        <f t="shared" si="47"/>
        <v>0</v>
      </c>
      <c r="AJ294" s="89"/>
      <c r="AZ294" s="90">
        <f t="shared" si="48"/>
        <v>0</v>
      </c>
      <c r="BA294" s="90">
        <f>SUM($AV294:AY294)</f>
        <v>0</v>
      </c>
      <c r="BQ294" s="90">
        <f t="shared" si="49"/>
        <v>0</v>
      </c>
      <c r="BR294" s="90">
        <f>SUM($BM294:BP294)</f>
        <v>0</v>
      </c>
      <c r="BS294" s="89"/>
    </row>
    <row r="295" spans="16:71" x14ac:dyDescent="0.25">
      <c r="P295" s="90">
        <f t="shared" si="45"/>
        <v>0</v>
      </c>
      <c r="Q295" s="90">
        <f>SUM($L295:O295)</f>
        <v>0</v>
      </c>
      <c r="R295" s="89"/>
      <c r="AH295" s="90">
        <f t="shared" si="46"/>
        <v>0</v>
      </c>
      <c r="AI295" s="90">
        <f t="shared" si="47"/>
        <v>0</v>
      </c>
      <c r="AJ295" s="89"/>
      <c r="AZ295" s="90">
        <f t="shared" si="48"/>
        <v>0</v>
      </c>
      <c r="BA295" s="90">
        <f>SUM($AV295:AY295)</f>
        <v>0</v>
      </c>
      <c r="BQ295" s="90">
        <f t="shared" si="49"/>
        <v>0</v>
      </c>
      <c r="BR295" s="90">
        <f>SUM($BM295:BP295)</f>
        <v>0</v>
      </c>
      <c r="BS295" s="89"/>
    </row>
    <row r="296" spans="16:71" x14ac:dyDescent="0.25">
      <c r="P296" s="90">
        <f t="shared" si="45"/>
        <v>0</v>
      </c>
      <c r="Q296" s="90">
        <f>SUM($L296:O296)</f>
        <v>0</v>
      </c>
      <c r="R296" s="89"/>
      <c r="AH296" s="90">
        <f t="shared" si="46"/>
        <v>0</v>
      </c>
      <c r="AI296" s="90">
        <f t="shared" si="47"/>
        <v>0</v>
      </c>
      <c r="AJ296" s="89"/>
      <c r="AZ296" s="90">
        <f t="shared" si="48"/>
        <v>0</v>
      </c>
      <c r="BA296" s="90">
        <f>SUM($AV296:AY296)</f>
        <v>0</v>
      </c>
      <c r="BQ296" s="90">
        <f t="shared" si="49"/>
        <v>0</v>
      </c>
      <c r="BR296" s="90">
        <f>SUM($BM296:BP296)</f>
        <v>0</v>
      </c>
      <c r="BS296" s="89"/>
    </row>
    <row r="297" spans="16:71" x14ac:dyDescent="0.25">
      <c r="P297" s="90">
        <f t="shared" si="45"/>
        <v>0</v>
      </c>
      <c r="Q297" s="90">
        <f>SUM($L297:O297)</f>
        <v>0</v>
      </c>
      <c r="R297" s="89"/>
      <c r="AH297" s="90">
        <f t="shared" si="46"/>
        <v>0</v>
      </c>
      <c r="AI297" s="90">
        <f t="shared" si="47"/>
        <v>0</v>
      </c>
      <c r="AJ297" s="89"/>
      <c r="AZ297" s="90">
        <f t="shared" si="48"/>
        <v>0</v>
      </c>
      <c r="BA297" s="90">
        <f>SUM($AV297:AY297)</f>
        <v>0</v>
      </c>
      <c r="BQ297" s="90">
        <f t="shared" si="49"/>
        <v>0</v>
      </c>
      <c r="BR297" s="90">
        <f>SUM($BM297:BP297)</f>
        <v>0</v>
      </c>
      <c r="BS297" s="89"/>
    </row>
    <row r="298" spans="16:71" x14ac:dyDescent="0.25">
      <c r="P298" s="90">
        <f t="shared" si="45"/>
        <v>0</v>
      </c>
      <c r="Q298" s="90">
        <f>SUM($L298:O298)</f>
        <v>0</v>
      </c>
      <c r="R298" s="89"/>
      <c r="AH298" s="90">
        <f t="shared" si="46"/>
        <v>0</v>
      </c>
      <c r="AI298" s="90">
        <f t="shared" si="47"/>
        <v>0</v>
      </c>
      <c r="AJ298" s="89"/>
      <c r="AZ298" s="90">
        <f t="shared" si="48"/>
        <v>0</v>
      </c>
      <c r="BA298" s="90">
        <f>SUM($AV298:AY298)</f>
        <v>0</v>
      </c>
      <c r="BQ298" s="90">
        <f t="shared" si="49"/>
        <v>0</v>
      </c>
      <c r="BR298" s="90">
        <f>SUM($BM298:BP298)</f>
        <v>0</v>
      </c>
      <c r="BS298" s="89"/>
    </row>
    <row r="299" spans="16:71" x14ac:dyDescent="0.25">
      <c r="P299" s="90">
        <f t="shared" si="45"/>
        <v>0</v>
      </c>
      <c r="Q299" s="90">
        <f>SUM($L299:O299)</f>
        <v>0</v>
      </c>
      <c r="R299" s="89"/>
      <c r="AH299" s="90">
        <f t="shared" si="46"/>
        <v>0</v>
      </c>
      <c r="AI299" s="90">
        <f t="shared" si="47"/>
        <v>0</v>
      </c>
      <c r="AJ299" s="89"/>
      <c r="AZ299" s="90">
        <f t="shared" si="48"/>
        <v>0</v>
      </c>
      <c r="BA299" s="90">
        <f>SUM($AV299:AY299)</f>
        <v>0</v>
      </c>
      <c r="BQ299" s="90">
        <f t="shared" si="49"/>
        <v>0</v>
      </c>
      <c r="BR299" s="90">
        <f>SUM($BM299:BP299)</f>
        <v>0</v>
      </c>
      <c r="BS299" s="89"/>
    </row>
    <row r="300" spans="16:71" x14ac:dyDescent="0.25">
      <c r="P300" s="90">
        <f t="shared" si="45"/>
        <v>0</v>
      </c>
      <c r="Q300" s="90">
        <f>SUM($L300:O300)</f>
        <v>0</v>
      </c>
      <c r="R300" s="89"/>
      <c r="AH300" s="90">
        <f t="shared" si="46"/>
        <v>0</v>
      </c>
      <c r="AI300" s="90">
        <f t="shared" si="47"/>
        <v>0</v>
      </c>
      <c r="AJ300" s="89"/>
      <c r="AZ300" s="90">
        <f t="shared" si="48"/>
        <v>0</v>
      </c>
      <c r="BA300" s="90">
        <f>SUM($AV300:AY300)</f>
        <v>0</v>
      </c>
      <c r="BQ300" s="90">
        <f t="shared" si="49"/>
        <v>0</v>
      </c>
      <c r="BR300" s="90">
        <f>SUM($BM300:BP300)</f>
        <v>0</v>
      </c>
      <c r="BS300" s="89"/>
    </row>
    <row r="301" spans="16:71" x14ac:dyDescent="0.25">
      <c r="P301" s="90">
        <f t="shared" si="45"/>
        <v>0</v>
      </c>
      <c r="Q301" s="90">
        <f>SUM($L301:O301)</f>
        <v>0</v>
      </c>
      <c r="R301" s="89"/>
      <c r="AH301" s="90">
        <f t="shared" si="46"/>
        <v>0</v>
      </c>
      <c r="AI301" s="90">
        <f t="shared" si="47"/>
        <v>0</v>
      </c>
      <c r="AJ301" s="89"/>
      <c r="AZ301" s="90">
        <f t="shared" si="48"/>
        <v>0</v>
      </c>
      <c r="BA301" s="90">
        <f>SUM($AV301:AY301)</f>
        <v>0</v>
      </c>
      <c r="BQ301" s="90">
        <f t="shared" si="49"/>
        <v>0</v>
      </c>
      <c r="BR301" s="90">
        <f>SUM($BM301:BP301)</f>
        <v>0</v>
      </c>
      <c r="BS301" s="89"/>
    </row>
    <row r="302" spans="16:71" x14ac:dyDescent="0.25">
      <c r="P302" s="90">
        <f t="shared" si="45"/>
        <v>0</v>
      </c>
      <c r="Q302" s="90">
        <f>SUM($L302:O302)</f>
        <v>0</v>
      </c>
      <c r="R302" s="89"/>
      <c r="AH302" s="90">
        <f t="shared" si="46"/>
        <v>0</v>
      </c>
      <c r="AI302" s="90">
        <f t="shared" si="47"/>
        <v>0</v>
      </c>
      <c r="AJ302" s="89"/>
      <c r="AZ302" s="90">
        <f t="shared" si="48"/>
        <v>0</v>
      </c>
      <c r="BA302" s="90">
        <f>SUM($AV302:AY302)</f>
        <v>0</v>
      </c>
      <c r="BQ302" s="90">
        <f t="shared" si="49"/>
        <v>0</v>
      </c>
      <c r="BR302" s="90">
        <f>SUM($BM302:BP302)</f>
        <v>0</v>
      </c>
      <c r="BS302" s="89"/>
    </row>
    <row r="303" spans="16:71" x14ac:dyDescent="0.25">
      <c r="P303" s="90">
        <f t="shared" si="45"/>
        <v>0</v>
      </c>
      <c r="Q303" s="90">
        <f>SUM($L303:O303)</f>
        <v>0</v>
      </c>
      <c r="R303" s="89"/>
      <c r="AH303" s="90">
        <f t="shared" si="46"/>
        <v>0</v>
      </c>
      <c r="AI303" s="90">
        <f t="shared" si="47"/>
        <v>0</v>
      </c>
      <c r="AJ303" s="89"/>
      <c r="AZ303" s="90">
        <f t="shared" si="48"/>
        <v>0</v>
      </c>
      <c r="BA303" s="90">
        <f>SUM($AV303:AY303)</f>
        <v>0</v>
      </c>
      <c r="BQ303" s="90">
        <f t="shared" si="49"/>
        <v>0</v>
      </c>
      <c r="BR303" s="90">
        <f>SUM($BM303:BP303)</f>
        <v>0</v>
      </c>
      <c r="BS303" s="89"/>
    </row>
    <row r="304" spans="16:71" x14ac:dyDescent="0.25">
      <c r="P304" s="90">
        <f t="shared" si="45"/>
        <v>0</v>
      </c>
      <c r="Q304" s="90">
        <f>SUM($L304:O304)</f>
        <v>0</v>
      </c>
      <c r="R304" s="89"/>
      <c r="AH304" s="90">
        <f t="shared" si="46"/>
        <v>0</v>
      </c>
      <c r="AI304" s="90">
        <f t="shared" si="47"/>
        <v>0</v>
      </c>
      <c r="AJ304" s="89"/>
      <c r="AZ304" s="90">
        <f t="shared" si="48"/>
        <v>0</v>
      </c>
      <c r="BA304" s="90">
        <f>SUM($AV304:AY304)</f>
        <v>0</v>
      </c>
      <c r="BQ304" s="90">
        <f t="shared" si="49"/>
        <v>0</v>
      </c>
      <c r="BR304" s="90">
        <f>SUM($BM304:BP304)</f>
        <v>0</v>
      </c>
      <c r="BS304" s="89"/>
    </row>
    <row r="305" spans="16:71" x14ac:dyDescent="0.25">
      <c r="P305" s="90">
        <f t="shared" si="45"/>
        <v>0</v>
      </c>
      <c r="Q305" s="90">
        <f>SUM($L305:O305)</f>
        <v>0</v>
      </c>
      <c r="R305" s="89"/>
      <c r="AH305" s="90">
        <f t="shared" si="46"/>
        <v>0</v>
      </c>
      <c r="AI305" s="90">
        <f t="shared" si="47"/>
        <v>0</v>
      </c>
      <c r="AJ305" s="89"/>
      <c r="AZ305" s="90">
        <f t="shared" si="48"/>
        <v>0</v>
      </c>
      <c r="BA305" s="90">
        <f>SUM($AV305:AY305)</f>
        <v>0</v>
      </c>
      <c r="BQ305" s="90">
        <f t="shared" si="49"/>
        <v>0</v>
      </c>
      <c r="BR305" s="90">
        <f>SUM($BM305:BP305)</f>
        <v>0</v>
      </c>
      <c r="BS305" s="89"/>
    </row>
    <row r="306" spans="16:71" x14ac:dyDescent="0.25">
      <c r="P306" s="90">
        <f t="shared" si="45"/>
        <v>0</v>
      </c>
      <c r="Q306" s="90">
        <f>SUM($L306:O306)</f>
        <v>0</v>
      </c>
      <c r="R306" s="89"/>
      <c r="AH306" s="90">
        <f t="shared" si="46"/>
        <v>0</v>
      </c>
      <c r="AI306" s="90">
        <f t="shared" si="47"/>
        <v>0</v>
      </c>
      <c r="AJ306" s="89"/>
      <c r="AZ306" s="90">
        <f t="shared" si="48"/>
        <v>0</v>
      </c>
      <c r="BA306" s="90">
        <f>SUM($AV306:AY306)</f>
        <v>0</v>
      </c>
      <c r="BQ306" s="90">
        <f t="shared" si="49"/>
        <v>0</v>
      </c>
      <c r="BR306" s="90">
        <f>SUM($BM306:BP306)</f>
        <v>0</v>
      </c>
      <c r="BS306" s="89"/>
    </row>
    <row r="307" spans="16:71" x14ac:dyDescent="0.25">
      <c r="P307" s="90">
        <f t="shared" si="45"/>
        <v>0</v>
      </c>
      <c r="Q307" s="90">
        <f>SUM($L307:O307)</f>
        <v>0</v>
      </c>
      <c r="R307" s="89"/>
      <c r="AH307" s="90">
        <f t="shared" si="46"/>
        <v>0</v>
      </c>
      <c r="AI307" s="90">
        <f t="shared" si="47"/>
        <v>0</v>
      </c>
      <c r="AJ307" s="89"/>
      <c r="AZ307" s="90">
        <f t="shared" si="48"/>
        <v>0</v>
      </c>
      <c r="BA307" s="90">
        <f>SUM($AV307:AY307)</f>
        <v>0</v>
      </c>
      <c r="BQ307" s="90">
        <f t="shared" si="49"/>
        <v>0</v>
      </c>
      <c r="BR307" s="90">
        <f>SUM($BM307:BP307)</f>
        <v>0</v>
      </c>
      <c r="BS307" s="89"/>
    </row>
    <row r="308" spans="16:71" x14ac:dyDescent="0.25">
      <c r="P308" s="90">
        <f t="shared" si="45"/>
        <v>0</v>
      </c>
      <c r="Q308" s="90">
        <f>SUM($L308:O308)</f>
        <v>0</v>
      </c>
      <c r="R308" s="89"/>
      <c r="AH308" s="90">
        <f t="shared" si="46"/>
        <v>0</v>
      </c>
      <c r="AI308" s="90">
        <f t="shared" si="47"/>
        <v>0</v>
      </c>
      <c r="AJ308" s="89"/>
      <c r="AZ308" s="90">
        <f t="shared" si="48"/>
        <v>0</v>
      </c>
      <c r="BA308" s="90">
        <f>SUM($AV308:AY308)</f>
        <v>0</v>
      </c>
      <c r="BQ308" s="90">
        <f t="shared" si="49"/>
        <v>0</v>
      </c>
      <c r="BR308" s="90">
        <f>SUM($BM308:BP308)</f>
        <v>0</v>
      </c>
      <c r="BS308" s="89"/>
    </row>
    <row r="309" spans="16:71" x14ac:dyDescent="0.25">
      <c r="P309" s="90">
        <f t="shared" si="45"/>
        <v>0</v>
      </c>
      <c r="Q309" s="90">
        <f>SUM($L309:O309)</f>
        <v>0</v>
      </c>
      <c r="R309" s="89"/>
      <c r="AH309" s="90">
        <f t="shared" si="46"/>
        <v>0</v>
      </c>
      <c r="AI309" s="90">
        <f t="shared" si="47"/>
        <v>0</v>
      </c>
      <c r="AJ309" s="89"/>
      <c r="AZ309" s="90">
        <f t="shared" si="48"/>
        <v>0</v>
      </c>
      <c r="BA309" s="90">
        <f>SUM($AV309:AY309)</f>
        <v>0</v>
      </c>
      <c r="BQ309" s="90">
        <f t="shared" si="49"/>
        <v>0</v>
      </c>
      <c r="BR309" s="90">
        <f>SUM($BM309:BP309)</f>
        <v>0</v>
      </c>
      <c r="BS309" s="89"/>
    </row>
    <row r="310" spans="16:71" x14ac:dyDescent="0.25">
      <c r="P310" s="90">
        <f t="shared" si="45"/>
        <v>0</v>
      </c>
      <c r="Q310" s="90">
        <f>SUM($L310:O310)</f>
        <v>0</v>
      </c>
      <c r="R310" s="89"/>
      <c r="AH310" s="90">
        <f t="shared" si="46"/>
        <v>0</v>
      </c>
      <c r="AI310" s="90">
        <f t="shared" si="47"/>
        <v>0</v>
      </c>
      <c r="AJ310" s="89"/>
      <c r="AZ310" s="90">
        <f t="shared" si="48"/>
        <v>0</v>
      </c>
      <c r="BA310" s="90">
        <f>SUM($AV310:AY310)</f>
        <v>0</v>
      </c>
      <c r="BQ310" s="90">
        <f t="shared" si="49"/>
        <v>0</v>
      </c>
      <c r="BR310" s="90">
        <f>SUM($BM310:BP310)</f>
        <v>0</v>
      </c>
      <c r="BS310" s="89"/>
    </row>
    <row r="311" spans="16:71" x14ac:dyDescent="0.25">
      <c r="P311" s="90">
        <f t="shared" si="45"/>
        <v>0</v>
      </c>
      <c r="Q311" s="90">
        <f>SUM($L311:O311)</f>
        <v>0</v>
      </c>
      <c r="R311" s="89"/>
      <c r="AH311" s="90">
        <f t="shared" si="46"/>
        <v>0</v>
      </c>
      <c r="AI311" s="90">
        <f t="shared" si="47"/>
        <v>0</v>
      </c>
      <c r="AJ311" s="89"/>
      <c r="AZ311" s="90">
        <f t="shared" si="48"/>
        <v>0</v>
      </c>
      <c r="BA311" s="90">
        <f>SUM($AV311:AY311)</f>
        <v>0</v>
      </c>
      <c r="BQ311" s="90">
        <f t="shared" si="49"/>
        <v>0</v>
      </c>
      <c r="BR311" s="90">
        <f>SUM($BM311:BP311)</f>
        <v>0</v>
      </c>
      <c r="BS311" s="89"/>
    </row>
    <row r="312" spans="16:71" x14ac:dyDescent="0.25">
      <c r="P312" s="90">
        <f t="shared" si="45"/>
        <v>0</v>
      </c>
      <c r="Q312" s="90">
        <f>SUM($L312:O312)</f>
        <v>0</v>
      </c>
      <c r="R312" s="89"/>
      <c r="AH312" s="90">
        <f t="shared" si="46"/>
        <v>0</v>
      </c>
      <c r="AI312" s="90">
        <f t="shared" si="47"/>
        <v>0</v>
      </c>
      <c r="AJ312" s="89"/>
      <c r="AZ312" s="90">
        <f t="shared" si="48"/>
        <v>0</v>
      </c>
      <c r="BA312" s="90">
        <f>SUM($AV312:AY312)</f>
        <v>0</v>
      </c>
      <c r="BQ312" s="90">
        <f t="shared" si="49"/>
        <v>0</v>
      </c>
      <c r="BR312" s="90">
        <f>SUM($BM312:BP312)</f>
        <v>0</v>
      </c>
      <c r="BS312" s="89"/>
    </row>
    <row r="313" spans="16:71" x14ac:dyDescent="0.25">
      <c r="P313" s="90">
        <f t="shared" si="45"/>
        <v>0</v>
      </c>
      <c r="Q313" s="90">
        <f>SUM($L313:O313)</f>
        <v>0</v>
      </c>
      <c r="R313" s="89"/>
      <c r="AH313" s="90">
        <f t="shared" si="46"/>
        <v>0</v>
      </c>
      <c r="AI313" s="90">
        <f t="shared" si="47"/>
        <v>0</v>
      </c>
      <c r="AJ313" s="89"/>
      <c r="AZ313" s="90">
        <f t="shared" si="48"/>
        <v>0</v>
      </c>
      <c r="BA313" s="90">
        <f>SUM($AV313:AY313)</f>
        <v>0</v>
      </c>
      <c r="BQ313" s="90">
        <f t="shared" si="49"/>
        <v>0</v>
      </c>
      <c r="BR313" s="90">
        <f>SUM($BM313:BP313)</f>
        <v>0</v>
      </c>
      <c r="BS313" s="89"/>
    </row>
    <row r="314" spans="16:71" x14ac:dyDescent="0.25">
      <c r="P314" s="90">
        <f t="shared" si="45"/>
        <v>0</v>
      </c>
      <c r="Q314" s="90">
        <f>SUM($L314:O314)</f>
        <v>0</v>
      </c>
      <c r="R314" s="89"/>
      <c r="AH314" s="90">
        <f t="shared" si="46"/>
        <v>0</v>
      </c>
      <c r="AI314" s="90">
        <f t="shared" si="47"/>
        <v>0</v>
      </c>
      <c r="AJ314" s="89"/>
      <c r="AZ314" s="90">
        <f t="shared" si="48"/>
        <v>0</v>
      </c>
      <c r="BA314" s="90">
        <f>SUM($AV314:AY314)</f>
        <v>0</v>
      </c>
      <c r="BQ314" s="90">
        <f t="shared" si="49"/>
        <v>0</v>
      </c>
      <c r="BR314" s="90">
        <f>SUM($BM314:BP314)</f>
        <v>0</v>
      </c>
      <c r="BS314" s="89"/>
    </row>
    <row r="315" spans="16:71" x14ac:dyDescent="0.25">
      <c r="P315" s="90">
        <f t="shared" si="45"/>
        <v>0</v>
      </c>
      <c r="Q315" s="90">
        <f>SUM($L315:O315)</f>
        <v>0</v>
      </c>
      <c r="R315" s="89"/>
      <c r="AH315" s="90">
        <f t="shared" si="46"/>
        <v>0</v>
      </c>
      <c r="AI315" s="90">
        <f t="shared" si="47"/>
        <v>0</v>
      </c>
      <c r="AJ315" s="89"/>
      <c r="AZ315" s="90">
        <f t="shared" si="48"/>
        <v>0</v>
      </c>
      <c r="BA315" s="90">
        <f>SUM($AV315:AY315)</f>
        <v>0</v>
      </c>
      <c r="BQ315" s="90">
        <f t="shared" si="49"/>
        <v>0</v>
      </c>
      <c r="BR315" s="90">
        <f>SUM($BM315:BP315)</f>
        <v>0</v>
      </c>
      <c r="BS315" s="89"/>
    </row>
    <row r="316" spans="16:71" x14ac:dyDescent="0.25">
      <c r="P316" s="90">
        <f t="shared" si="45"/>
        <v>0</v>
      </c>
      <c r="Q316" s="90">
        <f>SUM($L316:O316)</f>
        <v>0</v>
      </c>
      <c r="R316" s="89"/>
      <c r="AH316" s="90">
        <f t="shared" si="46"/>
        <v>0</v>
      </c>
      <c r="AI316" s="90">
        <f t="shared" si="47"/>
        <v>0</v>
      </c>
      <c r="AJ316" s="89"/>
      <c r="AZ316" s="90">
        <f t="shared" si="48"/>
        <v>0</v>
      </c>
      <c r="BA316" s="90">
        <f>SUM($AV316:AY316)</f>
        <v>0</v>
      </c>
      <c r="BQ316" s="90">
        <f t="shared" si="49"/>
        <v>0</v>
      </c>
      <c r="BR316" s="90">
        <f>SUM($BM316:BP316)</f>
        <v>0</v>
      </c>
      <c r="BS316" s="89"/>
    </row>
    <row r="317" spans="16:71" x14ac:dyDescent="0.25">
      <c r="P317" s="90">
        <f t="shared" si="45"/>
        <v>0</v>
      </c>
      <c r="Q317" s="90">
        <f>SUM($L317:O317)</f>
        <v>0</v>
      </c>
      <c r="R317" s="89"/>
      <c r="AH317" s="90">
        <f t="shared" si="46"/>
        <v>0</v>
      </c>
      <c r="AI317" s="90">
        <f t="shared" si="47"/>
        <v>0</v>
      </c>
      <c r="AJ317" s="89"/>
      <c r="AZ317" s="90">
        <f t="shared" si="48"/>
        <v>0</v>
      </c>
      <c r="BA317" s="90">
        <f>SUM($AV317:AY317)</f>
        <v>0</v>
      </c>
      <c r="BQ317" s="90">
        <f t="shared" si="49"/>
        <v>0</v>
      </c>
      <c r="BR317" s="90">
        <f>SUM($BM317:BP317)</f>
        <v>0</v>
      </c>
      <c r="BS317" s="89"/>
    </row>
    <row r="318" spans="16:71" x14ac:dyDescent="0.25">
      <c r="P318" s="90">
        <f t="shared" si="45"/>
        <v>0</v>
      </c>
      <c r="Q318" s="90">
        <f>SUM($L318:O318)</f>
        <v>0</v>
      </c>
      <c r="R318" s="89"/>
      <c r="AH318" s="90">
        <f t="shared" si="46"/>
        <v>0</v>
      </c>
      <c r="AI318" s="90">
        <f t="shared" si="47"/>
        <v>0</v>
      </c>
      <c r="AJ318" s="89"/>
      <c r="AZ318" s="90">
        <f t="shared" si="48"/>
        <v>0</v>
      </c>
      <c r="BA318" s="90">
        <f>SUM($AV318:AY318)</f>
        <v>0</v>
      </c>
      <c r="BQ318" s="90">
        <f t="shared" si="49"/>
        <v>0</v>
      </c>
      <c r="BR318" s="90">
        <f>SUM($BM318:BP318)</f>
        <v>0</v>
      </c>
      <c r="BS318" s="89"/>
    </row>
    <row r="319" spans="16:71" x14ac:dyDescent="0.25">
      <c r="P319" s="90">
        <f t="shared" si="45"/>
        <v>0</v>
      </c>
      <c r="Q319" s="90">
        <f>SUM($L319:O319)</f>
        <v>0</v>
      </c>
      <c r="R319" s="89"/>
      <c r="AH319" s="90">
        <f t="shared" si="46"/>
        <v>0</v>
      </c>
      <c r="AI319" s="90">
        <f t="shared" si="47"/>
        <v>0</v>
      </c>
      <c r="AJ319" s="89"/>
      <c r="AZ319" s="90">
        <f t="shared" si="48"/>
        <v>0</v>
      </c>
      <c r="BA319" s="90">
        <f>SUM($AV319:AY319)</f>
        <v>0</v>
      </c>
      <c r="BQ319" s="90">
        <f t="shared" si="49"/>
        <v>0</v>
      </c>
      <c r="BR319" s="90">
        <f>SUM($BM319:BP319)</f>
        <v>0</v>
      </c>
      <c r="BS319" s="89"/>
    </row>
    <row r="320" spans="16:71" x14ac:dyDescent="0.25">
      <c r="P320" s="90">
        <f t="shared" si="45"/>
        <v>0</v>
      </c>
      <c r="Q320" s="90">
        <f>SUM($L320:O320)</f>
        <v>0</v>
      </c>
      <c r="R320" s="89"/>
      <c r="AH320" s="90">
        <f t="shared" si="46"/>
        <v>0</v>
      </c>
      <c r="AI320" s="90">
        <f t="shared" si="47"/>
        <v>0</v>
      </c>
      <c r="AJ320" s="89"/>
      <c r="AZ320" s="90">
        <f t="shared" si="48"/>
        <v>0</v>
      </c>
      <c r="BA320" s="90">
        <f>SUM($AV320:AY320)</f>
        <v>0</v>
      </c>
      <c r="BQ320" s="90">
        <f t="shared" si="49"/>
        <v>0</v>
      </c>
      <c r="BR320" s="90">
        <f>SUM($BM320:BP320)</f>
        <v>0</v>
      </c>
      <c r="BS320" s="89"/>
    </row>
    <row r="321" spans="16:71" x14ac:dyDescent="0.25">
      <c r="P321" s="90">
        <f t="shared" si="45"/>
        <v>0</v>
      </c>
      <c r="Q321" s="90">
        <f>SUM($L321:O321)</f>
        <v>0</v>
      </c>
      <c r="R321" s="89"/>
      <c r="AH321" s="90">
        <f t="shared" si="46"/>
        <v>0</v>
      </c>
      <c r="AI321" s="90">
        <f t="shared" si="47"/>
        <v>0</v>
      </c>
      <c r="AJ321" s="89"/>
      <c r="AZ321" s="90">
        <f t="shared" si="48"/>
        <v>0</v>
      </c>
      <c r="BA321" s="90">
        <f>SUM($AV321:AY321)</f>
        <v>0</v>
      </c>
      <c r="BQ321" s="90">
        <f t="shared" si="49"/>
        <v>0</v>
      </c>
      <c r="BR321" s="90">
        <f>SUM($BM321:BP321)</f>
        <v>0</v>
      </c>
      <c r="BS321" s="89"/>
    </row>
    <row r="322" spans="16:71" x14ac:dyDescent="0.25">
      <c r="P322" s="90">
        <f t="shared" si="45"/>
        <v>0</v>
      </c>
      <c r="Q322" s="90">
        <f>SUM($L322:O322)</f>
        <v>0</v>
      </c>
      <c r="R322" s="89"/>
      <c r="AH322" s="90">
        <f t="shared" si="46"/>
        <v>0</v>
      </c>
      <c r="AI322" s="90">
        <f t="shared" si="47"/>
        <v>0</v>
      </c>
      <c r="AJ322" s="89"/>
      <c r="AZ322" s="90">
        <f t="shared" si="48"/>
        <v>0</v>
      </c>
      <c r="BA322" s="90">
        <f>SUM($AV322:AY322)</f>
        <v>0</v>
      </c>
      <c r="BQ322" s="90">
        <f t="shared" si="49"/>
        <v>0</v>
      </c>
      <c r="BR322" s="90">
        <f>SUM($BM322:BP322)</f>
        <v>0</v>
      </c>
      <c r="BS322" s="89"/>
    </row>
    <row r="323" spans="16:71" x14ac:dyDescent="0.25">
      <c r="P323" s="90">
        <f t="shared" si="45"/>
        <v>0</v>
      </c>
      <c r="Q323" s="90">
        <f>SUM($L323:O323)</f>
        <v>0</v>
      </c>
      <c r="R323" s="89"/>
      <c r="AH323" s="90">
        <f t="shared" si="46"/>
        <v>0</v>
      </c>
      <c r="AI323" s="90">
        <f t="shared" si="47"/>
        <v>0</v>
      </c>
      <c r="AJ323" s="89"/>
      <c r="AZ323" s="90">
        <f t="shared" si="48"/>
        <v>0</v>
      </c>
      <c r="BA323" s="90">
        <f>SUM($AV323:AY323)</f>
        <v>0</v>
      </c>
      <c r="BQ323" s="90">
        <f t="shared" si="49"/>
        <v>0</v>
      </c>
      <c r="BR323" s="90">
        <f>SUM($BM323:BP323)</f>
        <v>0</v>
      </c>
      <c r="BS323" s="89"/>
    </row>
    <row r="324" spans="16:71" x14ac:dyDescent="0.25">
      <c r="P324" s="90">
        <f t="shared" si="45"/>
        <v>0</v>
      </c>
      <c r="Q324" s="90">
        <f>SUM($L324:O324)</f>
        <v>0</v>
      </c>
      <c r="R324" s="89"/>
      <c r="AH324" s="90">
        <f t="shared" si="46"/>
        <v>0</v>
      </c>
      <c r="AI324" s="90">
        <f t="shared" si="47"/>
        <v>0</v>
      </c>
      <c r="AJ324" s="89"/>
      <c r="AZ324" s="90">
        <f t="shared" si="48"/>
        <v>0</v>
      </c>
      <c r="BA324" s="90">
        <f>SUM($AV324:AY324)</f>
        <v>0</v>
      </c>
      <c r="BQ324" s="90">
        <f t="shared" si="49"/>
        <v>0</v>
      </c>
      <c r="BR324" s="90">
        <f>SUM($BM324:BP324)</f>
        <v>0</v>
      </c>
      <c r="BS324" s="89"/>
    </row>
    <row r="325" spans="16:71" x14ac:dyDescent="0.25">
      <c r="P325" s="90">
        <f t="shared" ref="P325:P346" si="50">SUM(B325:K325)</f>
        <v>0</v>
      </c>
      <c r="Q325" s="90">
        <f>SUM($L325:O325)</f>
        <v>0</v>
      </c>
      <c r="R325" s="89"/>
      <c r="AH325" s="90">
        <f t="shared" ref="AH325:AH346" si="51">SUM(T325:AC325)</f>
        <v>0</v>
      </c>
      <c r="AI325" s="90">
        <f t="shared" ref="AI325:AI346" si="52">SUM(AD325:AF325)</f>
        <v>0</v>
      </c>
      <c r="AJ325" s="89"/>
      <c r="AZ325" s="90">
        <f t="shared" ref="AZ325:AZ346" si="53">SUM(AL325:AU325)</f>
        <v>0</v>
      </c>
      <c r="BA325" s="90">
        <f>SUM($AV325:AY325)</f>
        <v>0</v>
      </c>
      <c r="BQ325" s="90">
        <f t="shared" ref="BQ325:BQ346" si="54">SUM(BC325:BL325)</f>
        <v>0</v>
      </c>
      <c r="BR325" s="90">
        <f>SUM($BM325:BP325)</f>
        <v>0</v>
      </c>
      <c r="BS325" s="89"/>
    </row>
    <row r="326" spans="16:71" x14ac:dyDescent="0.25">
      <c r="P326" s="90">
        <f t="shared" si="50"/>
        <v>0</v>
      </c>
      <c r="Q326" s="90">
        <f>SUM($L326:O326)</f>
        <v>0</v>
      </c>
      <c r="R326" s="89"/>
      <c r="AH326" s="90">
        <f t="shared" si="51"/>
        <v>0</v>
      </c>
      <c r="AI326" s="90">
        <f t="shared" si="52"/>
        <v>0</v>
      </c>
      <c r="AJ326" s="89"/>
      <c r="AZ326" s="90">
        <f t="shared" si="53"/>
        <v>0</v>
      </c>
      <c r="BA326" s="90">
        <f>SUM($AV326:AY326)</f>
        <v>0</v>
      </c>
      <c r="BQ326" s="90">
        <f t="shared" si="54"/>
        <v>0</v>
      </c>
      <c r="BR326" s="90">
        <f>SUM($BM326:BP326)</f>
        <v>0</v>
      </c>
      <c r="BS326" s="89"/>
    </row>
    <row r="327" spans="16:71" x14ac:dyDescent="0.25">
      <c r="P327" s="90">
        <f t="shared" si="50"/>
        <v>0</v>
      </c>
      <c r="Q327" s="90">
        <f>SUM($L327:O327)</f>
        <v>0</v>
      </c>
      <c r="R327" s="89"/>
      <c r="AH327" s="90">
        <f t="shared" si="51"/>
        <v>0</v>
      </c>
      <c r="AI327" s="90">
        <f t="shared" si="52"/>
        <v>0</v>
      </c>
      <c r="AJ327" s="89"/>
      <c r="AZ327" s="90">
        <f t="shared" si="53"/>
        <v>0</v>
      </c>
      <c r="BA327" s="90">
        <f>SUM($AV327:AY327)</f>
        <v>0</v>
      </c>
      <c r="BQ327" s="90">
        <f t="shared" si="54"/>
        <v>0</v>
      </c>
      <c r="BR327" s="90">
        <f>SUM($BM327:BP327)</f>
        <v>0</v>
      </c>
      <c r="BS327" s="89"/>
    </row>
    <row r="328" spans="16:71" x14ac:dyDescent="0.25">
      <c r="P328" s="90">
        <f t="shared" si="50"/>
        <v>0</v>
      </c>
      <c r="Q328" s="90">
        <f>SUM($L328:O328)</f>
        <v>0</v>
      </c>
      <c r="R328" s="89"/>
      <c r="AH328" s="90">
        <f t="shared" si="51"/>
        <v>0</v>
      </c>
      <c r="AI328" s="90">
        <f t="shared" si="52"/>
        <v>0</v>
      </c>
      <c r="AJ328" s="89"/>
      <c r="AZ328" s="90">
        <f t="shared" si="53"/>
        <v>0</v>
      </c>
      <c r="BA328" s="90">
        <f>SUM($AV328:AY328)</f>
        <v>0</v>
      </c>
      <c r="BQ328" s="90">
        <f t="shared" si="54"/>
        <v>0</v>
      </c>
      <c r="BR328" s="90">
        <f>SUM($BM328:BP328)</f>
        <v>0</v>
      </c>
      <c r="BS328" s="89"/>
    </row>
    <row r="329" spans="16:71" x14ac:dyDescent="0.25">
      <c r="P329" s="90">
        <f t="shared" si="50"/>
        <v>0</v>
      </c>
      <c r="Q329" s="90">
        <f>SUM($L329:O329)</f>
        <v>0</v>
      </c>
      <c r="R329" s="89"/>
      <c r="AH329" s="90">
        <f t="shared" si="51"/>
        <v>0</v>
      </c>
      <c r="AI329" s="90">
        <f t="shared" si="52"/>
        <v>0</v>
      </c>
      <c r="AJ329" s="89"/>
      <c r="AZ329" s="90">
        <f t="shared" si="53"/>
        <v>0</v>
      </c>
      <c r="BA329" s="90">
        <f>SUM($AV329:AY329)</f>
        <v>0</v>
      </c>
      <c r="BQ329" s="90">
        <f t="shared" si="54"/>
        <v>0</v>
      </c>
      <c r="BR329" s="90">
        <f>SUM($BM329:BP329)</f>
        <v>0</v>
      </c>
      <c r="BS329" s="89"/>
    </row>
    <row r="330" spans="16:71" x14ac:dyDescent="0.25">
      <c r="P330" s="90">
        <f t="shared" si="50"/>
        <v>0</v>
      </c>
      <c r="Q330" s="90">
        <f>SUM($L330:O330)</f>
        <v>0</v>
      </c>
      <c r="R330" s="89"/>
      <c r="AH330" s="90">
        <f t="shared" si="51"/>
        <v>0</v>
      </c>
      <c r="AI330" s="90">
        <f t="shared" si="52"/>
        <v>0</v>
      </c>
      <c r="AJ330" s="89"/>
      <c r="AZ330" s="90">
        <f t="shared" si="53"/>
        <v>0</v>
      </c>
      <c r="BA330" s="90">
        <f>SUM($AV330:AY330)</f>
        <v>0</v>
      </c>
      <c r="BQ330" s="90">
        <f t="shared" si="54"/>
        <v>0</v>
      </c>
      <c r="BR330" s="90">
        <f>SUM($BM330:BP330)</f>
        <v>0</v>
      </c>
      <c r="BS330" s="89"/>
    </row>
    <row r="331" spans="16:71" x14ac:dyDescent="0.25">
      <c r="P331" s="90">
        <f t="shared" si="50"/>
        <v>0</v>
      </c>
      <c r="Q331" s="90">
        <f>SUM($L331:O331)</f>
        <v>0</v>
      </c>
      <c r="R331" s="89"/>
      <c r="AH331" s="90">
        <f t="shared" si="51"/>
        <v>0</v>
      </c>
      <c r="AI331" s="90">
        <f t="shared" si="52"/>
        <v>0</v>
      </c>
      <c r="AJ331" s="89"/>
      <c r="AZ331" s="90">
        <f t="shared" si="53"/>
        <v>0</v>
      </c>
      <c r="BA331" s="90">
        <f>SUM($AV331:AY331)</f>
        <v>0</v>
      </c>
      <c r="BQ331" s="90">
        <f t="shared" si="54"/>
        <v>0</v>
      </c>
      <c r="BR331" s="90">
        <f>SUM($BM331:BP331)</f>
        <v>0</v>
      </c>
      <c r="BS331" s="89"/>
    </row>
    <row r="332" spans="16:71" x14ac:dyDescent="0.25">
      <c r="P332" s="90">
        <f t="shared" si="50"/>
        <v>0</v>
      </c>
      <c r="Q332" s="90">
        <f>SUM($L332:O332)</f>
        <v>0</v>
      </c>
      <c r="R332" s="89"/>
      <c r="AH332" s="90">
        <f t="shared" si="51"/>
        <v>0</v>
      </c>
      <c r="AI332" s="90">
        <f t="shared" si="52"/>
        <v>0</v>
      </c>
      <c r="AJ332" s="89"/>
      <c r="AZ332" s="90">
        <f t="shared" si="53"/>
        <v>0</v>
      </c>
      <c r="BA332" s="90">
        <f>SUM($AV332:AY332)</f>
        <v>0</v>
      </c>
      <c r="BQ332" s="90">
        <f t="shared" si="54"/>
        <v>0</v>
      </c>
      <c r="BR332" s="90">
        <f>SUM($BM332:BP332)</f>
        <v>0</v>
      </c>
      <c r="BS332" s="89"/>
    </row>
    <row r="333" spans="16:71" x14ac:dyDescent="0.25">
      <c r="P333" s="90">
        <f t="shared" si="50"/>
        <v>0</v>
      </c>
      <c r="Q333" s="90">
        <f>SUM($L333:O333)</f>
        <v>0</v>
      </c>
      <c r="R333" s="89"/>
      <c r="AH333" s="90">
        <f t="shared" si="51"/>
        <v>0</v>
      </c>
      <c r="AI333" s="90">
        <f t="shared" si="52"/>
        <v>0</v>
      </c>
      <c r="AJ333" s="89"/>
      <c r="AZ333" s="90">
        <f t="shared" si="53"/>
        <v>0</v>
      </c>
      <c r="BA333" s="90">
        <f>SUM($AV333:AY333)</f>
        <v>0</v>
      </c>
      <c r="BQ333" s="90">
        <f t="shared" si="54"/>
        <v>0</v>
      </c>
      <c r="BR333" s="90">
        <f>SUM($BM333:BP333)</f>
        <v>0</v>
      </c>
      <c r="BS333" s="89"/>
    </row>
    <row r="334" spans="16:71" x14ac:dyDescent="0.25">
      <c r="P334" s="90">
        <f t="shared" si="50"/>
        <v>0</v>
      </c>
      <c r="Q334" s="90">
        <f>SUM($L334:O334)</f>
        <v>0</v>
      </c>
      <c r="R334" s="89"/>
      <c r="AH334" s="90">
        <f t="shared" si="51"/>
        <v>0</v>
      </c>
      <c r="AI334" s="90">
        <f t="shared" si="52"/>
        <v>0</v>
      </c>
      <c r="AJ334" s="89"/>
      <c r="AZ334" s="90">
        <f t="shared" si="53"/>
        <v>0</v>
      </c>
      <c r="BA334" s="90">
        <f>SUM($AV334:AY334)</f>
        <v>0</v>
      </c>
      <c r="BQ334" s="90">
        <f t="shared" si="54"/>
        <v>0</v>
      </c>
      <c r="BR334" s="90">
        <f>SUM($BM334:BP334)</f>
        <v>0</v>
      </c>
      <c r="BS334" s="89"/>
    </row>
    <row r="335" spans="16:71" x14ac:dyDescent="0.25">
      <c r="P335" s="90">
        <f t="shared" si="50"/>
        <v>0</v>
      </c>
      <c r="Q335" s="90">
        <f>SUM($L335:O335)</f>
        <v>0</v>
      </c>
      <c r="R335" s="89"/>
      <c r="AH335" s="90">
        <f t="shared" si="51"/>
        <v>0</v>
      </c>
      <c r="AI335" s="90">
        <f t="shared" si="52"/>
        <v>0</v>
      </c>
      <c r="AJ335" s="89"/>
      <c r="AZ335" s="90">
        <f t="shared" si="53"/>
        <v>0</v>
      </c>
      <c r="BA335" s="90">
        <f>SUM($AV335:AY335)</f>
        <v>0</v>
      </c>
      <c r="BQ335" s="90">
        <f t="shared" si="54"/>
        <v>0</v>
      </c>
      <c r="BR335" s="90">
        <f>SUM($BM335:BP335)</f>
        <v>0</v>
      </c>
      <c r="BS335" s="89"/>
    </row>
    <row r="336" spans="16:71" x14ac:dyDescent="0.25">
      <c r="P336" s="90">
        <f t="shared" si="50"/>
        <v>0</v>
      </c>
      <c r="Q336" s="90">
        <f>SUM($L336:O336)</f>
        <v>0</v>
      </c>
      <c r="R336" s="89"/>
      <c r="AH336" s="90">
        <f t="shared" si="51"/>
        <v>0</v>
      </c>
      <c r="AI336" s="90">
        <f t="shared" si="52"/>
        <v>0</v>
      </c>
      <c r="AJ336" s="89"/>
      <c r="AZ336" s="90">
        <f t="shared" si="53"/>
        <v>0</v>
      </c>
      <c r="BA336" s="90">
        <f>SUM($AV336:AY336)</f>
        <v>0</v>
      </c>
      <c r="BQ336" s="90">
        <f t="shared" si="54"/>
        <v>0</v>
      </c>
      <c r="BR336" s="90">
        <f>SUM($BM336:BP336)</f>
        <v>0</v>
      </c>
      <c r="BS336" s="89"/>
    </row>
    <row r="337" spans="16:71" x14ac:dyDescent="0.25">
      <c r="P337" s="90">
        <f t="shared" si="50"/>
        <v>0</v>
      </c>
      <c r="Q337" s="90">
        <f>SUM($L337:O337)</f>
        <v>0</v>
      </c>
      <c r="R337" s="89"/>
      <c r="AH337" s="90">
        <f t="shared" si="51"/>
        <v>0</v>
      </c>
      <c r="AI337" s="90">
        <f t="shared" si="52"/>
        <v>0</v>
      </c>
      <c r="AJ337" s="89"/>
      <c r="AZ337" s="90">
        <f t="shared" si="53"/>
        <v>0</v>
      </c>
      <c r="BA337" s="90">
        <f>SUM($AV337:AY337)</f>
        <v>0</v>
      </c>
      <c r="BQ337" s="90">
        <f t="shared" si="54"/>
        <v>0</v>
      </c>
      <c r="BR337" s="90">
        <f>SUM($BM337:BP337)</f>
        <v>0</v>
      </c>
      <c r="BS337" s="89"/>
    </row>
    <row r="338" spans="16:71" x14ac:dyDescent="0.25">
      <c r="P338" s="90">
        <f t="shared" si="50"/>
        <v>0</v>
      </c>
      <c r="Q338" s="90">
        <f>SUM($L338:O338)</f>
        <v>0</v>
      </c>
      <c r="R338" s="89"/>
      <c r="AH338" s="90">
        <f t="shared" si="51"/>
        <v>0</v>
      </c>
      <c r="AI338" s="90">
        <f t="shared" si="52"/>
        <v>0</v>
      </c>
      <c r="AJ338" s="89"/>
      <c r="AZ338" s="90">
        <f t="shared" si="53"/>
        <v>0</v>
      </c>
      <c r="BA338" s="90">
        <f>SUM($AV338:AY338)</f>
        <v>0</v>
      </c>
      <c r="BQ338" s="90">
        <f t="shared" si="54"/>
        <v>0</v>
      </c>
      <c r="BR338" s="90">
        <f>SUM($BM338:BP338)</f>
        <v>0</v>
      </c>
      <c r="BS338" s="89"/>
    </row>
    <row r="339" spans="16:71" x14ac:dyDescent="0.25">
      <c r="P339" s="90">
        <f t="shared" si="50"/>
        <v>0</v>
      </c>
      <c r="Q339" s="90">
        <f>SUM($L339:O339)</f>
        <v>0</v>
      </c>
      <c r="R339" s="89"/>
      <c r="AH339" s="90">
        <f t="shared" si="51"/>
        <v>0</v>
      </c>
      <c r="AI339" s="90">
        <f t="shared" si="52"/>
        <v>0</v>
      </c>
      <c r="AJ339" s="89"/>
      <c r="AZ339" s="90">
        <f t="shared" si="53"/>
        <v>0</v>
      </c>
      <c r="BA339" s="90">
        <f>SUM($AV339:AY339)</f>
        <v>0</v>
      </c>
      <c r="BQ339" s="90">
        <f t="shared" si="54"/>
        <v>0</v>
      </c>
      <c r="BR339" s="90">
        <f>SUM($BM339:BP339)</f>
        <v>0</v>
      </c>
      <c r="BS339" s="89"/>
    </row>
    <row r="340" spans="16:71" x14ac:dyDescent="0.25">
      <c r="P340" s="90">
        <f t="shared" si="50"/>
        <v>0</v>
      </c>
      <c r="Q340" s="90">
        <f>SUM($L340:O340)</f>
        <v>0</v>
      </c>
      <c r="R340" s="89"/>
      <c r="AH340" s="90">
        <f t="shared" si="51"/>
        <v>0</v>
      </c>
      <c r="AI340" s="90">
        <f t="shared" si="52"/>
        <v>0</v>
      </c>
      <c r="AJ340" s="89"/>
      <c r="AZ340" s="90">
        <f t="shared" si="53"/>
        <v>0</v>
      </c>
      <c r="BA340" s="90">
        <f>SUM($AV340:AY340)</f>
        <v>0</v>
      </c>
      <c r="BQ340" s="90">
        <f t="shared" si="54"/>
        <v>0</v>
      </c>
      <c r="BR340" s="90">
        <f>SUM($BM340:BP340)</f>
        <v>0</v>
      </c>
      <c r="BS340" s="89"/>
    </row>
    <row r="341" spans="16:71" x14ac:dyDescent="0.25">
      <c r="P341" s="90">
        <f t="shared" si="50"/>
        <v>0</v>
      </c>
      <c r="Q341" s="90">
        <f>SUM($L341:O341)</f>
        <v>0</v>
      </c>
      <c r="R341" s="89"/>
      <c r="AH341" s="90">
        <f t="shared" si="51"/>
        <v>0</v>
      </c>
      <c r="AI341" s="90">
        <f t="shared" si="52"/>
        <v>0</v>
      </c>
      <c r="AJ341" s="89"/>
      <c r="AZ341" s="90">
        <f t="shared" si="53"/>
        <v>0</v>
      </c>
      <c r="BA341" s="90">
        <f>SUM($AV341:AY341)</f>
        <v>0</v>
      </c>
      <c r="BQ341" s="90">
        <f t="shared" si="54"/>
        <v>0</v>
      </c>
      <c r="BR341" s="90">
        <f>SUM($BM341:BP341)</f>
        <v>0</v>
      </c>
      <c r="BS341" s="89"/>
    </row>
    <row r="342" spans="16:71" x14ac:dyDescent="0.25">
      <c r="P342" s="90">
        <f t="shared" si="50"/>
        <v>0</v>
      </c>
      <c r="Q342" s="90">
        <f>SUM($L342:O342)</f>
        <v>0</v>
      </c>
      <c r="R342" s="89"/>
      <c r="AH342" s="90">
        <f t="shared" si="51"/>
        <v>0</v>
      </c>
      <c r="AI342" s="90">
        <f t="shared" si="52"/>
        <v>0</v>
      </c>
      <c r="AJ342" s="89"/>
      <c r="AZ342" s="90">
        <f t="shared" si="53"/>
        <v>0</v>
      </c>
      <c r="BA342" s="90">
        <f>SUM($AV342:AY342)</f>
        <v>0</v>
      </c>
      <c r="BQ342" s="90">
        <f t="shared" si="54"/>
        <v>0</v>
      </c>
      <c r="BR342" s="90">
        <f>SUM($BM342:BP342)</f>
        <v>0</v>
      </c>
      <c r="BS342" s="89"/>
    </row>
    <row r="343" spans="16:71" x14ac:dyDescent="0.25">
      <c r="P343" s="90">
        <f t="shared" si="50"/>
        <v>0</v>
      </c>
      <c r="Q343" s="90">
        <f>SUM($L343:O343)</f>
        <v>0</v>
      </c>
      <c r="R343" s="89"/>
      <c r="AH343" s="90">
        <f t="shared" si="51"/>
        <v>0</v>
      </c>
      <c r="AI343" s="90">
        <f t="shared" si="52"/>
        <v>0</v>
      </c>
      <c r="AJ343" s="89"/>
      <c r="AZ343" s="90">
        <f t="shared" si="53"/>
        <v>0</v>
      </c>
      <c r="BA343" s="90">
        <f>SUM($AV343:AY343)</f>
        <v>0</v>
      </c>
      <c r="BQ343" s="90">
        <f t="shared" si="54"/>
        <v>0</v>
      </c>
      <c r="BR343" s="90">
        <f>SUM($BM343:BP343)</f>
        <v>0</v>
      </c>
      <c r="BS343" s="89"/>
    </row>
    <row r="344" spans="16:71" x14ac:dyDescent="0.25">
      <c r="P344" s="90">
        <f t="shared" si="50"/>
        <v>0</v>
      </c>
      <c r="Q344" s="90">
        <f>SUM($L344:O344)</f>
        <v>0</v>
      </c>
      <c r="R344" s="89"/>
      <c r="AH344" s="90">
        <f t="shared" si="51"/>
        <v>0</v>
      </c>
      <c r="AI344" s="90">
        <f t="shared" si="52"/>
        <v>0</v>
      </c>
      <c r="AJ344" s="89"/>
      <c r="AZ344" s="90">
        <f t="shared" si="53"/>
        <v>0</v>
      </c>
      <c r="BA344" s="90">
        <f>SUM($AV344:AY344)</f>
        <v>0</v>
      </c>
      <c r="BQ344" s="90">
        <f t="shared" si="54"/>
        <v>0</v>
      </c>
      <c r="BR344" s="90">
        <f>SUM($BM344:BP344)</f>
        <v>0</v>
      </c>
      <c r="BS344" s="89"/>
    </row>
    <row r="345" spans="16:71" x14ac:dyDescent="0.25">
      <c r="P345" s="90">
        <f t="shared" si="50"/>
        <v>0</v>
      </c>
      <c r="Q345" s="90">
        <f>SUM($L345:O345)</f>
        <v>0</v>
      </c>
      <c r="R345" s="89"/>
      <c r="AH345" s="90">
        <f t="shared" si="51"/>
        <v>0</v>
      </c>
      <c r="AI345" s="90">
        <f t="shared" si="52"/>
        <v>0</v>
      </c>
      <c r="AJ345" s="89"/>
      <c r="AZ345" s="90">
        <f t="shared" si="53"/>
        <v>0</v>
      </c>
      <c r="BA345" s="90">
        <f>SUM($AV345:AY345)</f>
        <v>0</v>
      </c>
      <c r="BQ345" s="90">
        <f t="shared" si="54"/>
        <v>0</v>
      </c>
      <c r="BR345" s="90">
        <f>SUM($BM345:BP345)</f>
        <v>0</v>
      </c>
      <c r="BS345" s="89"/>
    </row>
    <row r="346" spans="16:71" x14ac:dyDescent="0.25">
      <c r="P346" s="90">
        <f t="shared" si="50"/>
        <v>0</v>
      </c>
      <c r="Q346" s="90">
        <f>SUM($L346:O346)</f>
        <v>0</v>
      </c>
      <c r="R346" s="89"/>
      <c r="AH346" s="90">
        <f t="shared" si="51"/>
        <v>0</v>
      </c>
      <c r="AI346" s="90">
        <f t="shared" si="52"/>
        <v>0</v>
      </c>
      <c r="AJ346" s="89"/>
      <c r="AZ346" s="90">
        <f t="shared" si="53"/>
        <v>0</v>
      </c>
      <c r="BA346" s="90">
        <f>SUM($AV346:AY346)</f>
        <v>0</v>
      </c>
      <c r="BQ346" s="90">
        <f t="shared" si="54"/>
        <v>0</v>
      </c>
      <c r="BR346" s="90">
        <f>SUM($BM346:BP346)</f>
        <v>0</v>
      </c>
      <c r="BS346" s="89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8FDB1-F966-4C3F-A9A0-E08FCF600B77}">
  <sheetPr codeName="Sheet21"/>
  <dimension ref="A1:BB346"/>
  <sheetViews>
    <sheetView workbookViewId="0">
      <selection activeCell="L4" sqref="L4:L151"/>
    </sheetView>
  </sheetViews>
  <sheetFormatPr defaultRowHeight="15" x14ac:dyDescent="0.25"/>
  <cols>
    <col min="1" max="1" width="13.140625" bestFit="1" customWidth="1"/>
    <col min="2" max="15" width="13.7109375" bestFit="1" customWidth="1"/>
    <col min="19" max="19" width="13.140625" bestFit="1" customWidth="1"/>
    <col min="20" max="33" width="15.7109375" bestFit="1" customWidth="1"/>
    <col min="37" max="37" width="13.140625" bestFit="1" customWidth="1"/>
    <col min="38" max="51" width="15.7109375" bestFit="1" customWidth="1"/>
    <col min="54" max="55" width="9.28515625"/>
  </cols>
  <sheetData>
    <row r="1" spans="1:54" x14ac:dyDescent="0.25">
      <c r="A1" s="86" t="s">
        <v>824</v>
      </c>
      <c r="B1" s="87">
        <f>COLUMN(B1)</f>
        <v>2</v>
      </c>
      <c r="C1" s="87">
        <f t="shared" ref="C1:Q1" si="0">COLUMN(C1)</f>
        <v>3</v>
      </c>
      <c r="D1" s="87">
        <f t="shared" si="0"/>
        <v>4</v>
      </c>
      <c r="E1" s="87">
        <f t="shared" si="0"/>
        <v>5</v>
      </c>
      <c r="F1" s="87">
        <f t="shared" si="0"/>
        <v>6</v>
      </c>
      <c r="G1" s="87">
        <f t="shared" si="0"/>
        <v>7</v>
      </c>
      <c r="H1" s="87">
        <f t="shared" si="0"/>
        <v>8</v>
      </c>
      <c r="I1" s="87">
        <f t="shared" si="0"/>
        <v>9</v>
      </c>
      <c r="J1" s="87">
        <f t="shared" si="0"/>
        <v>10</v>
      </c>
      <c r="K1" s="87">
        <f t="shared" si="0"/>
        <v>11</v>
      </c>
      <c r="L1" s="87">
        <f t="shared" si="0"/>
        <v>12</v>
      </c>
      <c r="M1" s="87">
        <f t="shared" si="0"/>
        <v>13</v>
      </c>
      <c r="N1" s="87">
        <f t="shared" si="0"/>
        <v>14</v>
      </c>
      <c r="O1" s="87">
        <f t="shared" si="0"/>
        <v>15</v>
      </c>
      <c r="P1" s="87">
        <f t="shared" si="0"/>
        <v>16</v>
      </c>
      <c r="Q1" s="87">
        <f t="shared" si="0"/>
        <v>17</v>
      </c>
      <c r="R1" s="89"/>
      <c r="S1" s="86" t="s">
        <v>837</v>
      </c>
      <c r="T1" s="87">
        <f t="shared" ref="T1:AE1" si="1">COLUMN(B1)</f>
        <v>2</v>
      </c>
      <c r="U1" s="87">
        <f t="shared" si="1"/>
        <v>3</v>
      </c>
      <c r="V1" s="87">
        <f t="shared" si="1"/>
        <v>4</v>
      </c>
      <c r="W1" s="87">
        <f t="shared" si="1"/>
        <v>5</v>
      </c>
      <c r="X1" s="87">
        <f t="shared" si="1"/>
        <v>6</v>
      </c>
      <c r="Y1" s="87">
        <f t="shared" si="1"/>
        <v>7</v>
      </c>
      <c r="Z1" s="87">
        <f t="shared" si="1"/>
        <v>8</v>
      </c>
      <c r="AA1" s="87">
        <f t="shared" si="1"/>
        <v>9</v>
      </c>
      <c r="AB1" s="87">
        <f t="shared" si="1"/>
        <v>10</v>
      </c>
      <c r="AC1" s="87">
        <f t="shared" si="1"/>
        <v>11</v>
      </c>
      <c r="AD1" s="87">
        <f t="shared" si="1"/>
        <v>12</v>
      </c>
      <c r="AE1" s="87">
        <f t="shared" si="1"/>
        <v>13</v>
      </c>
      <c r="AF1" s="87">
        <f t="shared" ref="AF1:AI1" si="2">COLUMN(N1)</f>
        <v>14</v>
      </c>
      <c r="AG1" s="87">
        <f t="shared" si="2"/>
        <v>15</v>
      </c>
      <c r="AH1" s="87">
        <f t="shared" si="2"/>
        <v>16</v>
      </c>
      <c r="AI1" s="87">
        <f t="shared" si="2"/>
        <v>17</v>
      </c>
      <c r="AJ1" s="89"/>
      <c r="AK1" s="86" t="s">
        <v>851</v>
      </c>
      <c r="AL1" s="87">
        <f t="shared" ref="AL1:AW1" si="3">COLUMN(B1)</f>
        <v>2</v>
      </c>
      <c r="AM1" s="87">
        <f t="shared" si="3"/>
        <v>3</v>
      </c>
      <c r="AN1" s="87">
        <f t="shared" si="3"/>
        <v>4</v>
      </c>
      <c r="AO1" s="87">
        <f t="shared" si="3"/>
        <v>5</v>
      </c>
      <c r="AP1" s="87">
        <f t="shared" si="3"/>
        <v>6</v>
      </c>
      <c r="AQ1" s="87">
        <f t="shared" si="3"/>
        <v>7</v>
      </c>
      <c r="AR1" s="87">
        <f t="shared" si="3"/>
        <v>8</v>
      </c>
      <c r="AS1" s="87">
        <f t="shared" si="3"/>
        <v>9</v>
      </c>
      <c r="AT1" s="87">
        <f t="shared" si="3"/>
        <v>10</v>
      </c>
      <c r="AU1" s="87">
        <f t="shared" si="3"/>
        <v>11</v>
      </c>
      <c r="AV1" s="87">
        <f t="shared" si="3"/>
        <v>12</v>
      </c>
      <c r="AW1" s="87">
        <f t="shared" si="3"/>
        <v>13</v>
      </c>
      <c r="AX1" s="87">
        <f t="shared" ref="AX1:BA1" si="4">COLUMN(N1)</f>
        <v>14</v>
      </c>
      <c r="AY1" s="87">
        <f t="shared" si="4"/>
        <v>15</v>
      </c>
      <c r="AZ1" s="87">
        <f t="shared" si="4"/>
        <v>16</v>
      </c>
      <c r="BA1" s="87">
        <f t="shared" si="4"/>
        <v>17</v>
      </c>
    </row>
    <row r="2" spans="1:54" x14ac:dyDescent="0.25">
      <c r="B2" t="str">
        <f>RIGHT(B3,3)</f>
        <v>39M</v>
      </c>
      <c r="C2" t="str">
        <f t="shared" ref="C2:O2" si="5">RIGHT(C3,3)</f>
        <v>42M</v>
      </c>
      <c r="D2" t="str">
        <f t="shared" si="5"/>
        <v>43M</v>
      </c>
      <c r="E2" t="str">
        <f t="shared" si="5"/>
        <v>44M</v>
      </c>
      <c r="F2" t="str">
        <f t="shared" si="5"/>
        <v>45M</v>
      </c>
      <c r="G2" t="str">
        <f t="shared" si="5"/>
        <v>46M</v>
      </c>
      <c r="H2" t="str">
        <f t="shared" si="5"/>
        <v>47M</v>
      </c>
      <c r="I2" t="str">
        <f t="shared" si="5"/>
        <v>48M</v>
      </c>
      <c r="J2" t="str">
        <f t="shared" si="5"/>
        <v>49M</v>
      </c>
      <c r="K2" t="str">
        <f t="shared" si="5"/>
        <v>64M</v>
      </c>
      <c r="L2" t="str">
        <f t="shared" si="5"/>
        <v>24M</v>
      </c>
      <c r="M2" t="str">
        <f t="shared" si="5"/>
        <v>25M</v>
      </c>
      <c r="N2" t="str">
        <f t="shared" si="5"/>
        <v>26M</v>
      </c>
      <c r="O2" t="str">
        <f t="shared" si="5"/>
        <v>35M</v>
      </c>
      <c r="P2" t="s">
        <v>682</v>
      </c>
      <c r="Q2" t="s">
        <v>683</v>
      </c>
      <c r="R2" s="89"/>
      <c r="T2" t="str">
        <f>RIGHT(T3,5)</f>
        <v>39M97</v>
      </c>
      <c r="U2" t="str">
        <f t="shared" ref="U2:AG2" si="6">RIGHT(U3,5)</f>
        <v>42M97</v>
      </c>
      <c r="V2" t="str">
        <f t="shared" si="6"/>
        <v>43M97</v>
      </c>
      <c r="W2" t="str">
        <f t="shared" si="6"/>
        <v>44M97</v>
      </c>
      <c r="X2" t="str">
        <f t="shared" si="6"/>
        <v>45M97</v>
      </c>
      <c r="Y2" t="str">
        <f t="shared" si="6"/>
        <v>46M97</v>
      </c>
      <c r="Z2" t="str">
        <f t="shared" si="6"/>
        <v>47M97</v>
      </c>
      <c r="AA2" t="str">
        <f t="shared" si="6"/>
        <v>48M97</v>
      </c>
      <c r="AB2" t="str">
        <f t="shared" si="6"/>
        <v>49M97</v>
      </c>
      <c r="AC2" t="str">
        <f t="shared" si="6"/>
        <v>64M97</v>
      </c>
      <c r="AD2" t="str">
        <f t="shared" si="6"/>
        <v>24M97</v>
      </c>
      <c r="AE2" t="str">
        <f t="shared" si="6"/>
        <v>25M97</v>
      </c>
      <c r="AF2" t="str">
        <f t="shared" si="6"/>
        <v>26M97</v>
      </c>
      <c r="AG2" t="str">
        <f t="shared" si="6"/>
        <v>35M97</v>
      </c>
      <c r="AH2" t="s">
        <v>682</v>
      </c>
      <c r="AI2" t="s">
        <v>683</v>
      </c>
      <c r="AJ2" s="89"/>
      <c r="AL2" t="str">
        <f>RIGHT(AL3,5)</f>
        <v>39M21</v>
      </c>
      <c r="AM2" t="str">
        <f t="shared" ref="AM2:AY2" si="7">RIGHT(AM3,5)</f>
        <v>42M21</v>
      </c>
      <c r="AN2" t="str">
        <f t="shared" si="7"/>
        <v>43M21</v>
      </c>
      <c r="AO2" t="str">
        <f t="shared" si="7"/>
        <v>44M21</v>
      </c>
      <c r="AP2" t="str">
        <f t="shared" si="7"/>
        <v>45M21</v>
      </c>
      <c r="AQ2" t="str">
        <f t="shared" si="7"/>
        <v>46M21</v>
      </c>
      <c r="AR2" t="str">
        <f t="shared" si="7"/>
        <v>47M21</v>
      </c>
      <c r="AS2" t="str">
        <f t="shared" si="7"/>
        <v>48M21</v>
      </c>
      <c r="AT2" t="str">
        <f t="shared" si="7"/>
        <v>49M21</v>
      </c>
      <c r="AU2" t="str">
        <f t="shared" si="7"/>
        <v>64M21</v>
      </c>
      <c r="AV2" t="str">
        <f t="shared" si="7"/>
        <v>24M21</v>
      </c>
      <c r="AW2" t="str">
        <f t="shared" si="7"/>
        <v>25M21</v>
      </c>
      <c r="AX2" t="str">
        <f t="shared" si="7"/>
        <v>26M21</v>
      </c>
      <c r="AY2" t="str">
        <f t="shared" si="7"/>
        <v>35M21</v>
      </c>
      <c r="AZ2" t="s">
        <v>682</v>
      </c>
      <c r="BA2" t="s">
        <v>683</v>
      </c>
    </row>
    <row r="3" spans="1:54" x14ac:dyDescent="0.25">
      <c r="A3" s="91" t="s">
        <v>752</v>
      </c>
      <c r="B3" t="s">
        <v>825</v>
      </c>
      <c r="C3" t="s">
        <v>826</v>
      </c>
      <c r="D3" t="s">
        <v>827</v>
      </c>
      <c r="E3" t="s">
        <v>828</v>
      </c>
      <c r="F3" t="s">
        <v>829</v>
      </c>
      <c r="G3" t="s">
        <v>830</v>
      </c>
      <c r="H3" t="s">
        <v>831</v>
      </c>
      <c r="I3" t="s">
        <v>832</v>
      </c>
      <c r="J3" t="s">
        <v>833</v>
      </c>
      <c r="K3" t="s">
        <v>834</v>
      </c>
      <c r="L3" t="s">
        <v>835</v>
      </c>
      <c r="M3" t="s">
        <v>836</v>
      </c>
      <c r="N3" t="s">
        <v>1060</v>
      </c>
      <c r="O3" t="s">
        <v>1174</v>
      </c>
      <c r="R3" s="89"/>
      <c r="S3" s="91" t="s">
        <v>752</v>
      </c>
      <c r="T3" t="s">
        <v>838</v>
      </c>
      <c r="U3" t="s">
        <v>839</v>
      </c>
      <c r="V3" t="s">
        <v>840</v>
      </c>
      <c r="W3" t="s">
        <v>841</v>
      </c>
      <c r="X3" t="s">
        <v>842</v>
      </c>
      <c r="Y3" t="s">
        <v>843</v>
      </c>
      <c r="Z3" t="s">
        <v>844</v>
      </c>
      <c r="AA3" t="s">
        <v>845</v>
      </c>
      <c r="AB3" t="s">
        <v>846</v>
      </c>
      <c r="AC3" t="s">
        <v>847</v>
      </c>
      <c r="AD3" t="s">
        <v>848</v>
      </c>
      <c r="AE3" t="s">
        <v>849</v>
      </c>
      <c r="AF3" t="s">
        <v>850</v>
      </c>
      <c r="AG3" t="s">
        <v>1175</v>
      </c>
      <c r="AJ3" s="89"/>
      <c r="AK3" s="91" t="s">
        <v>752</v>
      </c>
      <c r="AL3" t="s">
        <v>852</v>
      </c>
      <c r="AM3" t="s">
        <v>853</v>
      </c>
      <c r="AN3" t="s">
        <v>854</v>
      </c>
      <c r="AO3" t="s">
        <v>855</v>
      </c>
      <c r="AP3" t="s">
        <v>856</v>
      </c>
      <c r="AQ3" t="s">
        <v>857</v>
      </c>
      <c r="AR3" t="s">
        <v>858</v>
      </c>
      <c r="AS3" t="s">
        <v>859</v>
      </c>
      <c r="AT3" t="s">
        <v>860</v>
      </c>
      <c r="AU3" t="s">
        <v>865</v>
      </c>
      <c r="AV3" t="s">
        <v>864</v>
      </c>
      <c r="AW3" t="s">
        <v>861</v>
      </c>
      <c r="AX3" t="s">
        <v>862</v>
      </c>
      <c r="AY3" t="s">
        <v>1176</v>
      </c>
      <c r="BB3" s="6"/>
    </row>
    <row r="4" spans="1:54" x14ac:dyDescent="0.25">
      <c r="A4" s="88" t="s">
        <v>759</v>
      </c>
      <c r="B4">
        <v>0</v>
      </c>
      <c r="C4">
        <v>1.651</v>
      </c>
      <c r="D4">
        <v>0</v>
      </c>
      <c r="E4">
        <v>0</v>
      </c>
      <c r="F4">
        <v>0</v>
      </c>
      <c r="G4">
        <v>0</v>
      </c>
      <c r="H4">
        <v>1.1919999999999999</v>
      </c>
      <c r="I4">
        <v>0</v>
      </c>
      <c r="J4">
        <v>0</v>
      </c>
      <c r="K4">
        <v>3</v>
      </c>
      <c r="L4">
        <v>1</v>
      </c>
      <c r="M4">
        <v>0.32</v>
      </c>
      <c r="N4">
        <v>0.14200000000000002</v>
      </c>
      <c r="O4">
        <v>0</v>
      </c>
      <c r="P4" s="90">
        <f>SUM(B4:K4)</f>
        <v>5.843</v>
      </c>
      <c r="Q4" s="90">
        <f>SUM($L4:O4)</f>
        <v>1.4620000000000002</v>
      </c>
      <c r="R4" s="89"/>
      <c r="S4" s="88" t="s">
        <v>759</v>
      </c>
      <c r="T4">
        <v>0</v>
      </c>
      <c r="U4">
        <v>0</v>
      </c>
      <c r="V4">
        <v>3.5999999999999997E-2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0.7</v>
      </c>
      <c r="AH4" s="90">
        <f>SUM(T4:AC4)</f>
        <v>3.5999999999999997E-2</v>
      </c>
      <c r="AI4" s="90">
        <f>SUM($AD4:AG4)</f>
        <v>0.7</v>
      </c>
      <c r="AJ4" s="89"/>
      <c r="AK4" s="88" t="s">
        <v>759</v>
      </c>
      <c r="AL4">
        <v>0</v>
      </c>
      <c r="AM4">
        <v>0.08</v>
      </c>
      <c r="AN4">
        <v>1.4159999999999999</v>
      </c>
      <c r="AO4">
        <v>0</v>
      </c>
      <c r="AP4">
        <v>3.2140000000000004</v>
      </c>
      <c r="AQ4">
        <v>1.4930000000000001</v>
      </c>
      <c r="AR4">
        <v>0.21299999999999999</v>
      </c>
      <c r="AS4">
        <v>0.44600000000000006</v>
      </c>
      <c r="AT4">
        <v>0.111</v>
      </c>
      <c r="AU4">
        <v>1.4950000000000001</v>
      </c>
      <c r="AV4">
        <v>0</v>
      </c>
      <c r="AW4">
        <v>0.16</v>
      </c>
      <c r="AX4">
        <v>0</v>
      </c>
      <c r="AY4">
        <v>0</v>
      </c>
      <c r="AZ4" s="90">
        <f>SUM(AL4:AU4)</f>
        <v>8.468</v>
      </c>
      <c r="BA4" s="90">
        <f>SUM($AV4:AY4)</f>
        <v>0.16</v>
      </c>
    </row>
    <row r="5" spans="1:54" x14ac:dyDescent="0.25">
      <c r="A5" s="88" t="s">
        <v>7</v>
      </c>
      <c r="B5">
        <v>0</v>
      </c>
      <c r="C5">
        <v>6.0999999999999999E-2</v>
      </c>
      <c r="D5">
        <v>0</v>
      </c>
      <c r="E5">
        <v>0</v>
      </c>
      <c r="F5">
        <v>0</v>
      </c>
      <c r="G5">
        <v>0</v>
      </c>
      <c r="H5">
        <v>4.9000000000000002E-2</v>
      </c>
      <c r="I5">
        <v>0</v>
      </c>
      <c r="J5">
        <v>0</v>
      </c>
      <c r="K5">
        <v>0</v>
      </c>
      <c r="L5">
        <v>0</v>
      </c>
      <c r="M5">
        <v>0</v>
      </c>
      <c r="N5">
        <v>4.9000000000000002E-2</v>
      </c>
      <c r="O5">
        <v>0</v>
      </c>
      <c r="P5" s="90">
        <f t="shared" ref="P5:P68" si="8">SUM(B5:K5)</f>
        <v>0.11</v>
      </c>
      <c r="Q5" s="90">
        <f>SUM($L5:O5)</f>
        <v>4.9000000000000002E-2</v>
      </c>
      <c r="R5" s="89"/>
      <c r="S5" s="88" t="s">
        <v>7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 s="90">
        <f t="shared" ref="AH5:AH68" si="9">SUM(T5:AC5)</f>
        <v>0</v>
      </c>
      <c r="AI5" s="90">
        <f>SUM($AD5:AG5)</f>
        <v>0</v>
      </c>
      <c r="AJ5" s="89"/>
      <c r="AK5" s="88" t="s">
        <v>7</v>
      </c>
      <c r="AL5">
        <v>0</v>
      </c>
      <c r="AM5">
        <v>0</v>
      </c>
      <c r="AN5">
        <v>0</v>
      </c>
      <c r="AO5">
        <v>0</v>
      </c>
      <c r="AP5">
        <v>3.1E-2</v>
      </c>
      <c r="AQ5">
        <v>8.9999999999999993E-3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 s="90">
        <f t="shared" ref="AZ5:AZ68" si="10">SUM(AL5:AU5)</f>
        <v>0.04</v>
      </c>
      <c r="BA5" s="90">
        <f>SUM($AV5:AY5)</f>
        <v>0</v>
      </c>
    </row>
    <row r="6" spans="1:54" x14ac:dyDescent="0.25">
      <c r="A6" s="88" t="s">
        <v>40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 s="90">
        <f t="shared" si="8"/>
        <v>0</v>
      </c>
      <c r="Q6" s="90">
        <f>SUM($L6:O6)</f>
        <v>0</v>
      </c>
      <c r="R6" s="89"/>
      <c r="S6" s="88" t="s">
        <v>40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0.5</v>
      </c>
      <c r="AH6" s="90">
        <f t="shared" si="9"/>
        <v>0</v>
      </c>
      <c r="AI6" s="90">
        <f>SUM($AD6:AG6)</f>
        <v>0.5</v>
      </c>
      <c r="AJ6" s="89"/>
      <c r="AK6" s="88" t="s">
        <v>40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 s="90">
        <f t="shared" si="10"/>
        <v>0</v>
      </c>
      <c r="BA6" s="90">
        <f>SUM($AV6:AY6)</f>
        <v>0</v>
      </c>
    </row>
    <row r="7" spans="1:54" x14ac:dyDescent="0.25">
      <c r="A7" s="88" t="s">
        <v>61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 s="90">
        <f t="shared" si="8"/>
        <v>0</v>
      </c>
      <c r="Q7" s="90">
        <f>SUM($L7:O7)</f>
        <v>0</v>
      </c>
      <c r="R7" s="89"/>
      <c r="S7" s="88" t="s">
        <v>61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 s="90">
        <f t="shared" si="9"/>
        <v>0</v>
      </c>
      <c r="AI7" s="90">
        <f>SUM($AD7:AG7)</f>
        <v>0</v>
      </c>
      <c r="AJ7" s="89"/>
      <c r="AK7" s="88" t="s">
        <v>61</v>
      </c>
      <c r="AL7">
        <v>0</v>
      </c>
      <c r="AM7">
        <v>0</v>
      </c>
      <c r="AN7">
        <v>0.14299999999999999</v>
      </c>
      <c r="AO7">
        <v>0</v>
      </c>
      <c r="AP7">
        <v>0</v>
      </c>
      <c r="AQ7">
        <v>0.14299999999999999</v>
      </c>
      <c r="AR7">
        <v>0.14299999999999999</v>
      </c>
      <c r="AS7">
        <v>0.14299999999999999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 s="90">
        <f t="shared" si="10"/>
        <v>0.57199999999999995</v>
      </c>
      <c r="BA7" s="90">
        <f>SUM($AV7:AY7)</f>
        <v>0</v>
      </c>
    </row>
    <row r="8" spans="1:54" x14ac:dyDescent="0.25">
      <c r="A8" s="88" t="s">
        <v>78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 s="90">
        <f t="shared" si="8"/>
        <v>0</v>
      </c>
      <c r="Q8" s="90">
        <f>SUM($L8:O8)</f>
        <v>0</v>
      </c>
      <c r="R8" s="89"/>
      <c r="S8" s="88" t="s">
        <v>78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 s="90">
        <f t="shared" si="9"/>
        <v>0</v>
      </c>
      <c r="AI8" s="90">
        <f>SUM($AD8:AG8)</f>
        <v>0</v>
      </c>
      <c r="AJ8" s="89"/>
      <c r="AK8" s="88" t="s">
        <v>78</v>
      </c>
      <c r="AL8">
        <v>0</v>
      </c>
      <c r="AM8">
        <v>0</v>
      </c>
      <c r="AN8">
        <v>7.2999999999999995E-2</v>
      </c>
      <c r="AO8">
        <v>0</v>
      </c>
      <c r="AP8">
        <v>9.6000000000000002E-2</v>
      </c>
      <c r="AQ8">
        <v>9.6000000000000002E-2</v>
      </c>
      <c r="AR8">
        <v>0.03</v>
      </c>
      <c r="AS8">
        <v>4.7E-2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 s="90">
        <f t="shared" si="10"/>
        <v>0.34200000000000003</v>
      </c>
      <c r="BA8" s="90">
        <f>SUM($AV8:AY8)</f>
        <v>0</v>
      </c>
    </row>
    <row r="9" spans="1:54" x14ac:dyDescent="0.25">
      <c r="A9" s="88" t="s">
        <v>84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 s="90">
        <f t="shared" si="8"/>
        <v>0</v>
      </c>
      <c r="Q9" s="90">
        <f>SUM($L9:O9)</f>
        <v>0</v>
      </c>
      <c r="R9" s="89"/>
      <c r="S9" s="88" t="s">
        <v>84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 s="90">
        <f t="shared" si="9"/>
        <v>0</v>
      </c>
      <c r="AI9" s="90">
        <f>SUM($AD9:AG9)</f>
        <v>0</v>
      </c>
      <c r="AJ9" s="89"/>
      <c r="AK9" s="88" t="s">
        <v>84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 s="90">
        <f t="shared" si="10"/>
        <v>0</v>
      </c>
      <c r="BA9" s="90">
        <f>SUM($AV9:AY9)</f>
        <v>0</v>
      </c>
    </row>
    <row r="10" spans="1:54" x14ac:dyDescent="0.25">
      <c r="A10" s="88" t="s">
        <v>87</v>
      </c>
      <c r="B10">
        <v>0</v>
      </c>
      <c r="C10">
        <v>0.33</v>
      </c>
      <c r="D10">
        <v>0</v>
      </c>
      <c r="E10">
        <v>0</v>
      </c>
      <c r="F10">
        <v>0</v>
      </c>
      <c r="G10">
        <v>0</v>
      </c>
      <c r="H10">
        <v>0.03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 s="90">
        <f t="shared" si="8"/>
        <v>0.36</v>
      </c>
      <c r="Q10" s="90">
        <f>SUM($L10:O10)</f>
        <v>0</v>
      </c>
      <c r="R10" s="89"/>
      <c r="S10" s="88" t="s">
        <v>87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 s="90">
        <f t="shared" si="9"/>
        <v>0</v>
      </c>
      <c r="AI10" s="90">
        <f>SUM($AD10:AG10)</f>
        <v>0</v>
      </c>
      <c r="AJ10" s="89"/>
      <c r="AK10" s="88" t="s">
        <v>87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 s="90">
        <f t="shared" si="10"/>
        <v>0</v>
      </c>
      <c r="BA10" s="90">
        <f>SUM($AV10:AY10)</f>
        <v>0</v>
      </c>
    </row>
    <row r="11" spans="1:54" x14ac:dyDescent="0.25">
      <c r="A11" s="88" t="s">
        <v>89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</v>
      </c>
      <c r="M11">
        <v>0</v>
      </c>
      <c r="N11">
        <v>0</v>
      </c>
      <c r="O11">
        <v>0</v>
      </c>
      <c r="P11" s="90">
        <f t="shared" si="8"/>
        <v>0</v>
      </c>
      <c r="Q11" s="90">
        <f>SUM($L11:O11)</f>
        <v>1</v>
      </c>
      <c r="R11" s="89"/>
      <c r="S11" s="88" t="s">
        <v>89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 s="90">
        <f t="shared" si="9"/>
        <v>0</v>
      </c>
      <c r="AI11" s="90">
        <f>SUM($AD11:AG11)</f>
        <v>0</v>
      </c>
      <c r="AJ11" s="89"/>
      <c r="AK11" s="88" t="s">
        <v>89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 s="90">
        <f t="shared" si="10"/>
        <v>0</v>
      </c>
      <c r="BA11" s="90">
        <f>SUM($AV11:AY11)</f>
        <v>0</v>
      </c>
    </row>
    <row r="12" spans="1:54" x14ac:dyDescent="0.25">
      <c r="A12" s="88" t="s">
        <v>141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 s="90">
        <f t="shared" si="8"/>
        <v>0</v>
      </c>
      <c r="Q12" s="90">
        <f>SUM($L12:O12)</f>
        <v>0</v>
      </c>
      <c r="R12" s="89"/>
      <c r="S12" s="88" t="s">
        <v>141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 s="90">
        <f t="shared" si="9"/>
        <v>0</v>
      </c>
      <c r="AI12" s="90">
        <f>SUM($AD12:AG12)</f>
        <v>0</v>
      </c>
      <c r="AJ12" s="89"/>
      <c r="AK12" s="88" t="s">
        <v>141</v>
      </c>
      <c r="AL12">
        <v>0</v>
      </c>
      <c r="AM12">
        <v>0</v>
      </c>
      <c r="AN12">
        <v>0</v>
      </c>
      <c r="AO12">
        <v>0</v>
      </c>
      <c r="AP12">
        <v>0.2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 s="90">
        <f t="shared" si="10"/>
        <v>0.2</v>
      </c>
      <c r="BA12" s="90">
        <f>SUM($AV12:AY12)</f>
        <v>0</v>
      </c>
    </row>
    <row r="13" spans="1:54" x14ac:dyDescent="0.25">
      <c r="A13" s="88" t="s">
        <v>145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0.27</v>
      </c>
      <c r="I13">
        <v>0</v>
      </c>
      <c r="J13">
        <v>0</v>
      </c>
      <c r="K13">
        <v>0</v>
      </c>
      <c r="L13">
        <v>0</v>
      </c>
      <c r="M13">
        <v>0.32</v>
      </c>
      <c r="N13">
        <v>0</v>
      </c>
      <c r="O13">
        <v>0</v>
      </c>
      <c r="P13" s="90">
        <f t="shared" si="8"/>
        <v>0.27</v>
      </c>
      <c r="Q13" s="90">
        <f>SUM($L13:O13)</f>
        <v>0.32</v>
      </c>
      <c r="R13" s="89"/>
      <c r="S13" s="88" t="s">
        <v>145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 s="90">
        <f t="shared" si="9"/>
        <v>0</v>
      </c>
      <c r="AI13" s="90">
        <f>SUM($AD13:AG13)</f>
        <v>0</v>
      </c>
      <c r="AJ13" s="89"/>
      <c r="AK13" s="88" t="s">
        <v>145</v>
      </c>
      <c r="AL13">
        <v>0</v>
      </c>
      <c r="AM13">
        <v>0</v>
      </c>
      <c r="AN13">
        <v>0.3</v>
      </c>
      <c r="AO13">
        <v>0</v>
      </c>
      <c r="AP13">
        <v>0.35</v>
      </c>
      <c r="AQ13">
        <v>0.15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0.16</v>
      </c>
      <c r="AX13">
        <v>0</v>
      </c>
      <c r="AY13">
        <v>0</v>
      </c>
      <c r="AZ13" s="90">
        <f t="shared" si="10"/>
        <v>0.79999999999999993</v>
      </c>
      <c r="BA13" s="90">
        <f>SUM($AV13:AY13)</f>
        <v>0.16</v>
      </c>
    </row>
    <row r="14" spans="1:54" x14ac:dyDescent="0.25">
      <c r="A14" s="88" t="s">
        <v>146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 s="90">
        <f t="shared" si="8"/>
        <v>0</v>
      </c>
      <c r="Q14" s="90">
        <f>SUM($L14:O14)</f>
        <v>0</v>
      </c>
      <c r="R14" s="89"/>
      <c r="S14" s="88" t="s">
        <v>146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 s="90">
        <f t="shared" si="9"/>
        <v>0</v>
      </c>
      <c r="AI14" s="90">
        <f>SUM($AD14:AG14)</f>
        <v>0</v>
      </c>
      <c r="AJ14" s="89"/>
      <c r="AK14" s="88" t="s">
        <v>146</v>
      </c>
      <c r="AL14">
        <v>0</v>
      </c>
      <c r="AM14">
        <v>0</v>
      </c>
      <c r="AN14">
        <v>0.3</v>
      </c>
      <c r="AO14">
        <v>0</v>
      </c>
      <c r="AP14">
        <v>0.6</v>
      </c>
      <c r="AQ14">
        <v>0.3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 s="90">
        <f t="shared" si="10"/>
        <v>1.2</v>
      </c>
      <c r="BA14" s="90">
        <f>SUM($AV14:AY14)</f>
        <v>0</v>
      </c>
    </row>
    <row r="15" spans="1:54" x14ac:dyDescent="0.25">
      <c r="A15" s="88" t="s">
        <v>162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9.2999999999999999E-2</v>
      </c>
      <c r="O15">
        <v>0</v>
      </c>
      <c r="P15" s="90">
        <f t="shared" si="8"/>
        <v>0</v>
      </c>
      <c r="Q15" s="90">
        <f>SUM($L15:O15)</f>
        <v>9.2999999999999999E-2</v>
      </c>
      <c r="R15" s="89"/>
      <c r="S15" s="88" t="s">
        <v>162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 s="90">
        <f t="shared" si="9"/>
        <v>0</v>
      </c>
      <c r="AI15" s="90">
        <f>SUM($AD15:AG15)</f>
        <v>0</v>
      </c>
      <c r="AJ15" s="89"/>
      <c r="AK15" s="88" t="s">
        <v>162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 s="90">
        <f t="shared" si="10"/>
        <v>0</v>
      </c>
      <c r="BA15" s="90">
        <f>SUM($AV15:AY15)</f>
        <v>0</v>
      </c>
    </row>
    <row r="16" spans="1:54" x14ac:dyDescent="0.25">
      <c r="A16" s="88" t="s">
        <v>163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0.46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 s="90">
        <f t="shared" si="8"/>
        <v>0.46</v>
      </c>
      <c r="Q16" s="90">
        <f>SUM($L16:O16)</f>
        <v>0</v>
      </c>
      <c r="R16" s="89"/>
      <c r="S16" s="88" t="s">
        <v>163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 s="90">
        <f t="shared" si="9"/>
        <v>0</v>
      </c>
      <c r="AI16" s="90">
        <f>SUM($AD16:AG16)</f>
        <v>0</v>
      </c>
      <c r="AJ16" s="89"/>
      <c r="AK16" s="88" t="s">
        <v>163</v>
      </c>
      <c r="AL16">
        <v>0</v>
      </c>
      <c r="AM16">
        <v>0</v>
      </c>
      <c r="AN16">
        <v>0.34</v>
      </c>
      <c r="AO16">
        <v>0</v>
      </c>
      <c r="AP16">
        <v>0.7</v>
      </c>
      <c r="AQ16">
        <v>0.34</v>
      </c>
      <c r="AR16">
        <v>0</v>
      </c>
      <c r="AS16">
        <v>0.125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 s="90">
        <f t="shared" si="10"/>
        <v>1.5050000000000001</v>
      </c>
      <c r="BA16" s="90">
        <f>SUM($AV16:AY16)</f>
        <v>0</v>
      </c>
    </row>
    <row r="17" spans="1:53" x14ac:dyDescent="0.25">
      <c r="A17" s="88" t="s">
        <v>176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3.3000000000000002E-2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 s="90">
        <f t="shared" si="8"/>
        <v>3.3000000000000002E-2</v>
      </c>
      <c r="Q17" s="90">
        <f>SUM($L17:O17)</f>
        <v>0</v>
      </c>
      <c r="R17" s="89"/>
      <c r="S17" s="88" t="s">
        <v>176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 s="90">
        <f t="shared" si="9"/>
        <v>0</v>
      </c>
      <c r="AI17" s="90">
        <f>SUM($AD17:AG17)</f>
        <v>0</v>
      </c>
      <c r="AJ17" s="89"/>
      <c r="AK17" s="88" t="s">
        <v>176</v>
      </c>
      <c r="AL17">
        <v>0</v>
      </c>
      <c r="AM17">
        <v>0</v>
      </c>
      <c r="AN17">
        <v>0</v>
      </c>
      <c r="AO17">
        <v>0</v>
      </c>
      <c r="AP17">
        <v>7.1999999999999995E-2</v>
      </c>
      <c r="AQ17">
        <v>2.5000000000000001E-2</v>
      </c>
      <c r="AR17">
        <v>0</v>
      </c>
      <c r="AS17">
        <v>3.1E-2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 s="90">
        <f t="shared" si="10"/>
        <v>0.128</v>
      </c>
      <c r="BA17" s="90">
        <f>SUM($AV17:AY17)</f>
        <v>0</v>
      </c>
    </row>
    <row r="18" spans="1:53" x14ac:dyDescent="0.25">
      <c r="A18" s="88" t="s">
        <v>233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 s="90">
        <f t="shared" si="8"/>
        <v>0</v>
      </c>
      <c r="Q18" s="90">
        <f>SUM($L18:O18)</f>
        <v>0</v>
      </c>
      <c r="R18" s="89"/>
      <c r="S18" s="88" t="s">
        <v>233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0.2</v>
      </c>
      <c r="AH18" s="90">
        <f t="shared" si="9"/>
        <v>0</v>
      </c>
      <c r="AI18" s="90">
        <f>SUM($AD18:AG18)</f>
        <v>0.2</v>
      </c>
      <c r="AJ18" s="89"/>
      <c r="AK18" s="88" t="s">
        <v>233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 s="90">
        <f t="shared" si="10"/>
        <v>0</v>
      </c>
      <c r="BA18" s="90">
        <f>SUM($AV18:AY18)</f>
        <v>0</v>
      </c>
    </row>
    <row r="19" spans="1:53" x14ac:dyDescent="0.25">
      <c r="A19" s="88" t="s">
        <v>250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 s="90">
        <f t="shared" si="8"/>
        <v>0</v>
      </c>
      <c r="Q19" s="90">
        <f>SUM($L19:O19)</f>
        <v>0</v>
      </c>
      <c r="R19" s="89"/>
      <c r="S19" s="88" t="s">
        <v>250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 s="90">
        <f t="shared" si="9"/>
        <v>0</v>
      </c>
      <c r="AI19" s="90">
        <f>SUM($AD19:AG19)</f>
        <v>0</v>
      </c>
      <c r="AJ19" s="89"/>
      <c r="AK19" s="88" t="s">
        <v>250</v>
      </c>
      <c r="AL19">
        <v>0</v>
      </c>
      <c r="AM19">
        <v>0.08</v>
      </c>
      <c r="AN19">
        <v>0.02</v>
      </c>
      <c r="AO19">
        <v>0</v>
      </c>
      <c r="AP19">
        <v>0.08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 s="90">
        <f t="shared" si="10"/>
        <v>0.18</v>
      </c>
      <c r="BA19" s="90">
        <f>SUM($AV19:AY19)</f>
        <v>0</v>
      </c>
    </row>
    <row r="20" spans="1:53" x14ac:dyDescent="0.25">
      <c r="A20" s="88" t="s">
        <v>256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0.17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 s="90">
        <f t="shared" si="8"/>
        <v>0.17</v>
      </c>
      <c r="Q20" s="90">
        <f>SUM($L20:O20)</f>
        <v>0</v>
      </c>
      <c r="R20" s="89"/>
      <c r="S20" s="88" t="s">
        <v>256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 s="90">
        <f t="shared" si="9"/>
        <v>0</v>
      </c>
      <c r="AI20" s="90">
        <f>SUM($AD20:AG20)</f>
        <v>0</v>
      </c>
      <c r="AJ20" s="89"/>
      <c r="AK20" s="88" t="s">
        <v>256</v>
      </c>
      <c r="AL20">
        <v>0</v>
      </c>
      <c r="AM20">
        <v>0</v>
      </c>
      <c r="AN20">
        <v>0</v>
      </c>
      <c r="AO20">
        <v>0</v>
      </c>
      <c r="AP20">
        <v>0.25</v>
      </c>
      <c r="AQ20">
        <v>0.33</v>
      </c>
      <c r="AR20">
        <v>0</v>
      </c>
      <c r="AS20">
        <v>0.1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 s="90">
        <f t="shared" si="10"/>
        <v>0.68</v>
      </c>
      <c r="BA20" s="90">
        <f>SUM($AV20:AY20)</f>
        <v>0</v>
      </c>
    </row>
    <row r="21" spans="1:53" x14ac:dyDescent="0.25">
      <c r="A21" s="88" t="s">
        <v>259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 s="90">
        <f t="shared" si="8"/>
        <v>0</v>
      </c>
      <c r="Q21" s="90">
        <f>SUM($L21:O21)</f>
        <v>0</v>
      </c>
      <c r="R21" s="89"/>
      <c r="S21" s="88" t="s">
        <v>259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 s="90">
        <f t="shared" si="9"/>
        <v>0</v>
      </c>
      <c r="AI21" s="90">
        <f>SUM($AD21:AG21)</f>
        <v>0</v>
      </c>
      <c r="AJ21" s="89"/>
      <c r="AK21" s="88" t="s">
        <v>259</v>
      </c>
      <c r="AL21">
        <v>0</v>
      </c>
      <c r="AM21">
        <v>0</v>
      </c>
      <c r="AN21">
        <v>0.2</v>
      </c>
      <c r="AO21">
        <v>0</v>
      </c>
      <c r="AP21">
        <v>0.69199999999999995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 s="90">
        <f t="shared" si="10"/>
        <v>0.8919999999999999</v>
      </c>
      <c r="BA21" s="90">
        <f>SUM($AV21:AY21)</f>
        <v>0</v>
      </c>
    </row>
    <row r="22" spans="1:53" x14ac:dyDescent="0.25">
      <c r="A22" s="88" t="s">
        <v>280</v>
      </c>
      <c r="B22">
        <v>0</v>
      </c>
      <c r="C22">
        <v>0.33</v>
      </c>
      <c r="D22">
        <v>0</v>
      </c>
      <c r="E22">
        <v>0</v>
      </c>
      <c r="F22">
        <v>0</v>
      </c>
      <c r="G22">
        <v>0</v>
      </c>
      <c r="H22">
        <v>0.18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 s="90">
        <f t="shared" si="8"/>
        <v>0.51</v>
      </c>
      <c r="Q22" s="90">
        <f>SUM($L22:O22)</f>
        <v>0</v>
      </c>
      <c r="R22" s="89"/>
      <c r="S22" s="88" t="s">
        <v>280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 s="90">
        <f t="shared" si="9"/>
        <v>0</v>
      </c>
      <c r="AI22" s="90">
        <f>SUM($AD22:AG22)</f>
        <v>0</v>
      </c>
      <c r="AJ22" s="89"/>
      <c r="AK22" s="88" t="s">
        <v>280</v>
      </c>
      <c r="AL22">
        <v>0</v>
      </c>
      <c r="AM22">
        <v>0</v>
      </c>
      <c r="AN22">
        <v>0.02</v>
      </c>
      <c r="AO22">
        <v>0</v>
      </c>
      <c r="AP22">
        <v>0</v>
      </c>
      <c r="AQ22">
        <v>0.08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 s="90">
        <f t="shared" si="10"/>
        <v>0.1</v>
      </c>
      <c r="BA22" s="90">
        <f>SUM($AV22:AY22)</f>
        <v>0</v>
      </c>
    </row>
    <row r="23" spans="1:53" x14ac:dyDescent="0.25">
      <c r="A23" s="88" t="s">
        <v>284</v>
      </c>
      <c r="B23">
        <v>0</v>
      </c>
      <c r="C23">
        <v>0.43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 s="90">
        <f t="shared" si="8"/>
        <v>0.43</v>
      </c>
      <c r="Q23" s="90">
        <f>SUM($L23:O23)</f>
        <v>0</v>
      </c>
      <c r="R23" s="89"/>
      <c r="S23" s="88" t="s">
        <v>284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 s="90">
        <f t="shared" si="9"/>
        <v>0</v>
      </c>
      <c r="AI23" s="90">
        <f>SUM($AD23:AG23)</f>
        <v>0</v>
      </c>
      <c r="AJ23" s="89"/>
      <c r="AK23" s="88" t="s">
        <v>284</v>
      </c>
      <c r="AL23">
        <v>0</v>
      </c>
      <c r="AM23">
        <v>0</v>
      </c>
      <c r="AN23">
        <v>0.02</v>
      </c>
      <c r="AO23">
        <v>0</v>
      </c>
      <c r="AP23">
        <v>0</v>
      </c>
      <c r="AQ23">
        <v>0.02</v>
      </c>
      <c r="AR23">
        <v>0.04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 s="90">
        <f t="shared" si="10"/>
        <v>0.08</v>
      </c>
      <c r="BA23" s="90">
        <f>SUM($AV23:AY23)</f>
        <v>0</v>
      </c>
    </row>
    <row r="24" spans="1:53" x14ac:dyDescent="0.25">
      <c r="A24" s="88" t="s">
        <v>289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 s="90">
        <f t="shared" si="8"/>
        <v>0</v>
      </c>
      <c r="Q24" s="90">
        <f>SUM($L24:O24)</f>
        <v>0</v>
      </c>
      <c r="R24" s="89"/>
      <c r="S24" s="88" t="s">
        <v>289</v>
      </c>
      <c r="T24">
        <v>0</v>
      </c>
      <c r="U24">
        <v>0</v>
      </c>
      <c r="V24">
        <v>3.5999999999999997E-2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 s="90">
        <f t="shared" si="9"/>
        <v>3.5999999999999997E-2</v>
      </c>
      <c r="AI24" s="90">
        <f>SUM($AD24:AG24)</f>
        <v>0</v>
      </c>
      <c r="AJ24" s="89"/>
      <c r="AK24" s="88" t="s">
        <v>289</v>
      </c>
      <c r="AL24">
        <v>0</v>
      </c>
      <c r="AM24">
        <v>0</v>
      </c>
      <c r="AN24">
        <v>0</v>
      </c>
      <c r="AO24">
        <v>0</v>
      </c>
      <c r="AP24">
        <v>0.14299999999999999</v>
      </c>
      <c r="AQ24">
        <v>0</v>
      </c>
      <c r="AR24">
        <v>0</v>
      </c>
      <c r="AS24">
        <v>0</v>
      </c>
      <c r="AT24">
        <v>0.111</v>
      </c>
      <c r="AU24">
        <v>0</v>
      </c>
      <c r="AV24">
        <v>0</v>
      </c>
      <c r="AW24">
        <v>0</v>
      </c>
      <c r="AX24">
        <v>0</v>
      </c>
      <c r="AY24">
        <v>0</v>
      </c>
      <c r="AZ24" s="90">
        <f t="shared" si="10"/>
        <v>0.254</v>
      </c>
      <c r="BA24" s="90">
        <f>SUM($AV24:AY24)</f>
        <v>0</v>
      </c>
    </row>
    <row r="25" spans="1:53" x14ac:dyDescent="0.25">
      <c r="A25" s="88" t="s">
        <v>290</v>
      </c>
      <c r="B25">
        <v>0</v>
      </c>
      <c r="C25">
        <v>0.5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 s="90">
        <f t="shared" si="8"/>
        <v>0.5</v>
      </c>
      <c r="Q25" s="90">
        <f>SUM($L25:O25)</f>
        <v>0</v>
      </c>
      <c r="R25" s="89"/>
      <c r="S25" s="88" t="s">
        <v>290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 s="90">
        <f t="shared" si="9"/>
        <v>0</v>
      </c>
      <c r="AI25" s="90">
        <f>SUM($AD25:AG25)</f>
        <v>0</v>
      </c>
      <c r="AJ25" s="89"/>
      <c r="AK25" s="88" t="s">
        <v>290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 s="90">
        <f t="shared" si="10"/>
        <v>0</v>
      </c>
      <c r="BA25" s="90">
        <f>SUM($AV25:AY25)</f>
        <v>0</v>
      </c>
    </row>
    <row r="26" spans="1:53" x14ac:dyDescent="0.25">
      <c r="A26" s="88" t="s">
        <v>302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</v>
      </c>
      <c r="L26">
        <v>0</v>
      </c>
      <c r="M26">
        <v>0</v>
      </c>
      <c r="N26">
        <v>0</v>
      </c>
      <c r="O26">
        <v>0</v>
      </c>
      <c r="P26" s="90">
        <f t="shared" si="8"/>
        <v>3</v>
      </c>
      <c r="Q26" s="90">
        <f>SUM($L26:O26)</f>
        <v>0</v>
      </c>
      <c r="R26" s="89"/>
      <c r="S26" s="88" t="s">
        <v>302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 s="90">
        <f t="shared" si="9"/>
        <v>0</v>
      </c>
      <c r="AI26" s="90">
        <f>SUM($AD26:AG26)</f>
        <v>0</v>
      </c>
      <c r="AJ26" s="89"/>
      <c r="AK26" s="88" t="s">
        <v>302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1.4950000000000001</v>
      </c>
      <c r="AV26">
        <v>0</v>
      </c>
      <c r="AW26">
        <v>0</v>
      </c>
      <c r="AX26">
        <v>0</v>
      </c>
      <c r="AY26">
        <v>0</v>
      </c>
      <c r="AZ26" s="90">
        <f t="shared" si="10"/>
        <v>1.4950000000000001</v>
      </c>
      <c r="BA26" s="90">
        <f>SUM($AV26:AY26)</f>
        <v>0</v>
      </c>
    </row>
    <row r="27" spans="1:53" x14ac:dyDescent="0.25">
      <c r="A27" s="88" t="s">
        <v>1098</v>
      </c>
      <c r="P27" s="90">
        <f t="shared" si="8"/>
        <v>0</v>
      </c>
      <c r="Q27" s="90">
        <f>SUM($L27:O27)</f>
        <v>0</v>
      </c>
      <c r="R27" s="89"/>
      <c r="S27" s="88" t="s">
        <v>1098</v>
      </c>
      <c r="AH27" s="90">
        <f t="shared" si="9"/>
        <v>0</v>
      </c>
      <c r="AI27" s="90">
        <f>SUM($AD27:AG27)</f>
        <v>0</v>
      </c>
      <c r="AJ27" s="89"/>
      <c r="AK27" s="88" t="s">
        <v>1098</v>
      </c>
      <c r="AZ27" s="90">
        <f t="shared" si="10"/>
        <v>0</v>
      </c>
      <c r="BA27" s="90">
        <f>SUM($AV27:AY27)</f>
        <v>0</v>
      </c>
    </row>
    <row r="28" spans="1:53" x14ac:dyDescent="0.25">
      <c r="A28" s="88" t="s">
        <v>753</v>
      </c>
      <c r="B28">
        <v>0</v>
      </c>
      <c r="C28">
        <v>3.302</v>
      </c>
      <c r="D28">
        <v>0</v>
      </c>
      <c r="E28">
        <v>0</v>
      </c>
      <c r="F28">
        <v>0</v>
      </c>
      <c r="G28">
        <v>0</v>
      </c>
      <c r="H28">
        <v>2.3839999999999999</v>
      </c>
      <c r="I28">
        <v>0</v>
      </c>
      <c r="J28">
        <v>0</v>
      </c>
      <c r="K28">
        <v>6</v>
      </c>
      <c r="L28">
        <v>2</v>
      </c>
      <c r="M28">
        <v>0.64</v>
      </c>
      <c r="N28">
        <v>0.28400000000000003</v>
      </c>
      <c r="O28">
        <v>0</v>
      </c>
      <c r="P28" s="90">
        <f t="shared" si="8"/>
        <v>11.686</v>
      </c>
      <c r="Q28" s="90">
        <f>SUM($L28:O28)</f>
        <v>2.9240000000000004</v>
      </c>
      <c r="R28" s="89"/>
      <c r="S28" s="88" t="s">
        <v>753</v>
      </c>
      <c r="T28">
        <v>0</v>
      </c>
      <c r="U28">
        <v>0</v>
      </c>
      <c r="V28">
        <v>7.1999999999999995E-2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1.4</v>
      </c>
      <c r="AH28" s="90">
        <f t="shared" si="9"/>
        <v>7.1999999999999995E-2</v>
      </c>
      <c r="AI28" s="90">
        <f>SUM($AD28:AG28)</f>
        <v>1.4</v>
      </c>
      <c r="AJ28" s="89"/>
      <c r="AK28" s="88" t="s">
        <v>753</v>
      </c>
      <c r="AL28">
        <v>0</v>
      </c>
      <c r="AM28">
        <v>0.16</v>
      </c>
      <c r="AN28">
        <v>2.8319999999999999</v>
      </c>
      <c r="AO28">
        <v>0</v>
      </c>
      <c r="AP28">
        <v>6.4280000000000008</v>
      </c>
      <c r="AQ28">
        <v>2.9859999999999998</v>
      </c>
      <c r="AR28">
        <v>0.42599999999999999</v>
      </c>
      <c r="AS28">
        <v>0.89200000000000013</v>
      </c>
      <c r="AT28">
        <v>0.222</v>
      </c>
      <c r="AU28">
        <v>2.99</v>
      </c>
      <c r="AV28">
        <v>0</v>
      </c>
      <c r="AW28">
        <v>0.32</v>
      </c>
      <c r="AX28">
        <v>0</v>
      </c>
      <c r="AY28">
        <v>0</v>
      </c>
      <c r="AZ28" s="90">
        <f t="shared" si="10"/>
        <v>16.936</v>
      </c>
      <c r="BA28" s="90">
        <f>SUM($AV28:AY28)</f>
        <v>0.32</v>
      </c>
    </row>
    <row r="29" spans="1:53" x14ac:dyDescent="0.25">
      <c r="P29" s="90">
        <f t="shared" si="8"/>
        <v>0</v>
      </c>
      <c r="Q29" s="90">
        <f>SUM($L29:O29)</f>
        <v>0</v>
      </c>
      <c r="R29" s="89"/>
      <c r="AH29" s="90">
        <f t="shared" si="9"/>
        <v>0</v>
      </c>
      <c r="AI29" s="90">
        <f>SUM($AD29:AG29)</f>
        <v>0</v>
      </c>
      <c r="AJ29" s="89"/>
      <c r="AZ29" s="90">
        <f t="shared" si="10"/>
        <v>0</v>
      </c>
      <c r="BA29" s="90">
        <f>SUM($AV29:AY29)</f>
        <v>0</v>
      </c>
    </row>
    <row r="30" spans="1:53" x14ac:dyDescent="0.25">
      <c r="P30" s="90">
        <f t="shared" si="8"/>
        <v>0</v>
      </c>
      <c r="Q30" s="90">
        <f>SUM($L30:O30)</f>
        <v>0</v>
      </c>
      <c r="R30" s="89"/>
      <c r="AH30" s="90">
        <f t="shared" si="9"/>
        <v>0</v>
      </c>
      <c r="AI30" s="90">
        <f>SUM($AD30:AG30)</f>
        <v>0</v>
      </c>
      <c r="AJ30" s="89"/>
      <c r="AZ30" s="90">
        <f t="shared" si="10"/>
        <v>0</v>
      </c>
      <c r="BA30" s="90">
        <f>SUM($AV30:AY30)</f>
        <v>0</v>
      </c>
    </row>
    <row r="31" spans="1:53" x14ac:dyDescent="0.25">
      <c r="P31" s="90">
        <f t="shared" si="8"/>
        <v>0</v>
      </c>
      <c r="Q31" s="90">
        <f>SUM($L31:O31)</f>
        <v>0</v>
      </c>
      <c r="R31" s="89"/>
      <c r="AH31" s="90">
        <f t="shared" si="9"/>
        <v>0</v>
      </c>
      <c r="AI31" s="90">
        <f>SUM($AD31:AG31)</f>
        <v>0</v>
      </c>
      <c r="AJ31" s="89"/>
      <c r="AZ31" s="90">
        <f t="shared" si="10"/>
        <v>0</v>
      </c>
      <c r="BA31" s="90">
        <f>SUM($AV31:AY31)</f>
        <v>0</v>
      </c>
    </row>
    <row r="32" spans="1:53" x14ac:dyDescent="0.25">
      <c r="P32" s="90">
        <f t="shared" si="8"/>
        <v>0</v>
      </c>
      <c r="Q32" s="90">
        <f>SUM($L32:O32)</f>
        <v>0</v>
      </c>
      <c r="R32" s="89"/>
      <c r="AH32" s="90">
        <f t="shared" si="9"/>
        <v>0</v>
      </c>
      <c r="AI32" s="90">
        <f>SUM($AD32:AG32)</f>
        <v>0</v>
      </c>
      <c r="AJ32" s="89"/>
      <c r="AZ32" s="90">
        <f t="shared" si="10"/>
        <v>0</v>
      </c>
      <c r="BA32" s="90">
        <f>SUM($AV32:AY32)</f>
        <v>0</v>
      </c>
    </row>
    <row r="33" spans="16:53" x14ac:dyDescent="0.25">
      <c r="P33" s="90">
        <f t="shared" si="8"/>
        <v>0</v>
      </c>
      <c r="Q33" s="90">
        <f>SUM($L33:O33)</f>
        <v>0</v>
      </c>
      <c r="R33" s="89"/>
      <c r="AH33" s="90">
        <f t="shared" si="9"/>
        <v>0</v>
      </c>
      <c r="AI33" s="90">
        <f>SUM($AD33:AG33)</f>
        <v>0</v>
      </c>
      <c r="AJ33" s="89"/>
      <c r="AZ33" s="90">
        <f t="shared" si="10"/>
        <v>0</v>
      </c>
      <c r="BA33" s="90">
        <f>SUM($AV33:AY33)</f>
        <v>0</v>
      </c>
    </row>
    <row r="34" spans="16:53" x14ac:dyDescent="0.25">
      <c r="P34" s="90">
        <f t="shared" si="8"/>
        <v>0</v>
      </c>
      <c r="Q34" s="90">
        <f>SUM($L34:O34)</f>
        <v>0</v>
      </c>
      <c r="R34" s="89"/>
      <c r="AH34" s="90">
        <f t="shared" si="9"/>
        <v>0</v>
      </c>
      <c r="AI34" s="90">
        <f>SUM($AD34:AG34)</f>
        <v>0</v>
      </c>
      <c r="AJ34" s="89"/>
      <c r="AZ34" s="90">
        <f t="shared" si="10"/>
        <v>0</v>
      </c>
      <c r="BA34" s="90">
        <f>SUM($AV34:AY34)</f>
        <v>0</v>
      </c>
    </row>
    <row r="35" spans="16:53" x14ac:dyDescent="0.25">
      <c r="P35" s="90">
        <f t="shared" si="8"/>
        <v>0</v>
      </c>
      <c r="Q35" s="90">
        <f>SUM($L35:O35)</f>
        <v>0</v>
      </c>
      <c r="R35" s="89"/>
      <c r="AH35" s="90">
        <f t="shared" si="9"/>
        <v>0</v>
      </c>
      <c r="AI35" s="90">
        <f>SUM($AD35:AG35)</f>
        <v>0</v>
      </c>
      <c r="AJ35" s="89"/>
      <c r="AZ35" s="90">
        <f t="shared" si="10"/>
        <v>0</v>
      </c>
      <c r="BA35" s="90">
        <f>SUM($AV35:AY35)</f>
        <v>0</v>
      </c>
    </row>
    <row r="36" spans="16:53" x14ac:dyDescent="0.25">
      <c r="P36" s="90">
        <f t="shared" si="8"/>
        <v>0</v>
      </c>
      <c r="Q36" s="90">
        <f>SUM($L36:O36)</f>
        <v>0</v>
      </c>
      <c r="R36" s="89"/>
      <c r="AH36" s="90">
        <f t="shared" si="9"/>
        <v>0</v>
      </c>
      <c r="AI36" s="90">
        <f>SUM($AD36:AG36)</f>
        <v>0</v>
      </c>
      <c r="AJ36" s="89"/>
      <c r="AZ36" s="90">
        <f t="shared" si="10"/>
        <v>0</v>
      </c>
      <c r="BA36" s="90">
        <f>SUM($AV36:AY36)</f>
        <v>0</v>
      </c>
    </row>
    <row r="37" spans="16:53" x14ac:dyDescent="0.25">
      <c r="P37" s="90">
        <f t="shared" si="8"/>
        <v>0</v>
      </c>
      <c r="Q37" s="90">
        <f>SUM($L37:O37)</f>
        <v>0</v>
      </c>
      <c r="R37" s="89"/>
      <c r="AH37" s="90">
        <f t="shared" si="9"/>
        <v>0</v>
      </c>
      <c r="AI37" s="90">
        <f>SUM($AD37:AG37)</f>
        <v>0</v>
      </c>
      <c r="AJ37" s="89"/>
      <c r="AZ37" s="90">
        <f t="shared" si="10"/>
        <v>0</v>
      </c>
      <c r="BA37" s="90">
        <f>SUM($AV37:AY37)</f>
        <v>0</v>
      </c>
    </row>
    <row r="38" spans="16:53" x14ac:dyDescent="0.25">
      <c r="P38" s="90">
        <f t="shared" si="8"/>
        <v>0</v>
      </c>
      <c r="Q38" s="90">
        <f>SUM($L38:O38)</f>
        <v>0</v>
      </c>
      <c r="R38" s="89"/>
      <c r="AH38" s="90">
        <f t="shared" si="9"/>
        <v>0</v>
      </c>
      <c r="AI38" s="90">
        <f>SUM($AD38:AG38)</f>
        <v>0</v>
      </c>
      <c r="AJ38" s="89"/>
      <c r="AZ38" s="90">
        <f t="shared" si="10"/>
        <v>0</v>
      </c>
      <c r="BA38" s="90">
        <f>SUM($AV38:AY38)</f>
        <v>0</v>
      </c>
    </row>
    <row r="39" spans="16:53" x14ac:dyDescent="0.25">
      <c r="P39" s="90">
        <f t="shared" si="8"/>
        <v>0</v>
      </c>
      <c r="Q39" s="90">
        <f>SUM($L39:O39)</f>
        <v>0</v>
      </c>
      <c r="R39" s="89"/>
      <c r="AH39" s="90">
        <f t="shared" si="9"/>
        <v>0</v>
      </c>
      <c r="AI39" s="90">
        <f>SUM($AD39:AG39)</f>
        <v>0</v>
      </c>
      <c r="AJ39" s="89"/>
      <c r="AZ39" s="90">
        <f t="shared" si="10"/>
        <v>0</v>
      </c>
      <c r="BA39" s="90">
        <f>SUM($AV39:AY39)</f>
        <v>0</v>
      </c>
    </row>
    <row r="40" spans="16:53" x14ac:dyDescent="0.25">
      <c r="P40" s="90">
        <f t="shared" si="8"/>
        <v>0</v>
      </c>
      <c r="Q40" s="90">
        <f>SUM($L40:O40)</f>
        <v>0</v>
      </c>
      <c r="R40" s="89"/>
      <c r="AH40" s="90">
        <f t="shared" si="9"/>
        <v>0</v>
      </c>
      <c r="AI40" s="90">
        <f>SUM($AD40:AG40)</f>
        <v>0</v>
      </c>
      <c r="AJ40" s="89"/>
      <c r="AZ40" s="90">
        <f t="shared" si="10"/>
        <v>0</v>
      </c>
      <c r="BA40" s="90">
        <f>SUM($AV40:AY40)</f>
        <v>0</v>
      </c>
    </row>
    <row r="41" spans="16:53" x14ac:dyDescent="0.25">
      <c r="P41" s="90">
        <f t="shared" si="8"/>
        <v>0</v>
      </c>
      <c r="Q41" s="90">
        <f>SUM($L41:O41)</f>
        <v>0</v>
      </c>
      <c r="R41" s="89"/>
      <c r="AH41" s="90">
        <f t="shared" si="9"/>
        <v>0</v>
      </c>
      <c r="AI41" s="90">
        <f>SUM($AD41:AG41)</f>
        <v>0</v>
      </c>
      <c r="AJ41" s="89"/>
      <c r="AZ41" s="90">
        <f t="shared" si="10"/>
        <v>0</v>
      </c>
      <c r="BA41" s="90">
        <f>SUM($AV41:AY41)</f>
        <v>0</v>
      </c>
    </row>
    <row r="42" spans="16:53" x14ac:dyDescent="0.25">
      <c r="P42" s="90">
        <f t="shared" si="8"/>
        <v>0</v>
      </c>
      <c r="Q42" s="90">
        <f>SUM($L42:O42)</f>
        <v>0</v>
      </c>
      <c r="R42" s="89"/>
      <c r="AH42" s="90">
        <f t="shared" si="9"/>
        <v>0</v>
      </c>
      <c r="AI42" s="90">
        <f>SUM($AD42:AG42)</f>
        <v>0</v>
      </c>
      <c r="AJ42" s="89"/>
      <c r="AZ42" s="90">
        <f t="shared" si="10"/>
        <v>0</v>
      </c>
      <c r="BA42" s="90">
        <f>SUM($AV42:AY42)</f>
        <v>0</v>
      </c>
    </row>
    <row r="43" spans="16:53" x14ac:dyDescent="0.25">
      <c r="P43" s="90">
        <f t="shared" si="8"/>
        <v>0</v>
      </c>
      <c r="Q43" s="90">
        <f>SUM($L43:O43)</f>
        <v>0</v>
      </c>
      <c r="R43" s="89"/>
      <c r="AH43" s="90">
        <f t="shared" si="9"/>
        <v>0</v>
      </c>
      <c r="AI43" s="90">
        <f>SUM($AD43:AG43)</f>
        <v>0</v>
      </c>
      <c r="AJ43" s="89"/>
      <c r="AZ43" s="90">
        <f t="shared" si="10"/>
        <v>0</v>
      </c>
      <c r="BA43" s="90">
        <f>SUM($AV43:AY43)</f>
        <v>0</v>
      </c>
    </row>
    <row r="44" spans="16:53" x14ac:dyDescent="0.25">
      <c r="P44" s="90">
        <f t="shared" si="8"/>
        <v>0</v>
      </c>
      <c r="Q44" s="90">
        <f>SUM($L44:O44)</f>
        <v>0</v>
      </c>
      <c r="R44" s="89"/>
      <c r="AH44" s="90">
        <f t="shared" si="9"/>
        <v>0</v>
      </c>
      <c r="AI44" s="90">
        <f>SUM($AD44:AG44)</f>
        <v>0</v>
      </c>
      <c r="AJ44" s="89"/>
      <c r="AZ44" s="90">
        <f t="shared" si="10"/>
        <v>0</v>
      </c>
      <c r="BA44" s="90">
        <f>SUM($AV44:AY44)</f>
        <v>0</v>
      </c>
    </row>
    <row r="45" spans="16:53" x14ac:dyDescent="0.25">
      <c r="P45" s="90">
        <f t="shared" si="8"/>
        <v>0</v>
      </c>
      <c r="Q45" s="90">
        <f>SUM($L45:O45)</f>
        <v>0</v>
      </c>
      <c r="R45" s="89"/>
      <c r="AH45" s="90">
        <f t="shared" si="9"/>
        <v>0</v>
      </c>
      <c r="AI45" s="90">
        <f>SUM($AD45:AG45)</f>
        <v>0</v>
      </c>
      <c r="AJ45" s="89"/>
      <c r="AZ45" s="90">
        <f t="shared" si="10"/>
        <v>0</v>
      </c>
      <c r="BA45" s="90">
        <f>SUM($AV45:AY45)</f>
        <v>0</v>
      </c>
    </row>
    <row r="46" spans="16:53" x14ac:dyDescent="0.25">
      <c r="P46" s="90">
        <f t="shared" si="8"/>
        <v>0</v>
      </c>
      <c r="Q46" s="90">
        <f>SUM($L46:O46)</f>
        <v>0</v>
      </c>
      <c r="R46" s="89"/>
      <c r="AH46" s="90">
        <f t="shared" si="9"/>
        <v>0</v>
      </c>
      <c r="AI46" s="90">
        <f>SUM($AD46:AG46)</f>
        <v>0</v>
      </c>
      <c r="AJ46" s="89"/>
      <c r="AZ46" s="90">
        <f t="shared" si="10"/>
        <v>0</v>
      </c>
      <c r="BA46" s="90">
        <f>SUM($AV46:AY46)</f>
        <v>0</v>
      </c>
    </row>
    <row r="47" spans="16:53" x14ac:dyDescent="0.25">
      <c r="P47" s="90">
        <f t="shared" si="8"/>
        <v>0</v>
      </c>
      <c r="Q47" s="90">
        <f>SUM($L47:O47)</f>
        <v>0</v>
      </c>
      <c r="R47" s="89"/>
      <c r="AH47" s="90">
        <f t="shared" si="9"/>
        <v>0</v>
      </c>
      <c r="AI47" s="90">
        <f>SUM($AD47:AG47)</f>
        <v>0</v>
      </c>
      <c r="AJ47" s="89"/>
      <c r="AZ47" s="90">
        <f t="shared" si="10"/>
        <v>0</v>
      </c>
      <c r="BA47" s="90">
        <f>SUM($AV47:AY47)</f>
        <v>0</v>
      </c>
    </row>
    <row r="48" spans="16:53" x14ac:dyDescent="0.25">
      <c r="P48" s="90">
        <f t="shared" si="8"/>
        <v>0</v>
      </c>
      <c r="Q48" s="90">
        <f>SUM($L48:O48)</f>
        <v>0</v>
      </c>
      <c r="R48" s="89"/>
      <c r="AH48" s="90">
        <f t="shared" si="9"/>
        <v>0</v>
      </c>
      <c r="AI48" s="90">
        <f>SUM($AD48:AG48)</f>
        <v>0</v>
      </c>
      <c r="AJ48" s="89"/>
      <c r="AZ48" s="90">
        <f t="shared" si="10"/>
        <v>0</v>
      </c>
      <c r="BA48" s="90">
        <f>SUM($AV48:AY48)</f>
        <v>0</v>
      </c>
    </row>
    <row r="49" spans="16:53" x14ac:dyDescent="0.25">
      <c r="P49" s="90">
        <f t="shared" si="8"/>
        <v>0</v>
      </c>
      <c r="Q49" s="90">
        <f>SUM($L49:O49)</f>
        <v>0</v>
      </c>
      <c r="R49" s="89"/>
      <c r="AH49" s="90">
        <f t="shared" si="9"/>
        <v>0</v>
      </c>
      <c r="AI49" s="90">
        <f>SUM($AD49:AG49)</f>
        <v>0</v>
      </c>
      <c r="AJ49" s="89"/>
      <c r="AZ49" s="90">
        <f t="shared" si="10"/>
        <v>0</v>
      </c>
      <c r="BA49" s="90">
        <f>SUM($AV49:AY49)</f>
        <v>0</v>
      </c>
    </row>
    <row r="50" spans="16:53" x14ac:dyDescent="0.25">
      <c r="P50" s="90">
        <f t="shared" si="8"/>
        <v>0</v>
      </c>
      <c r="Q50" s="90">
        <f>SUM($L50:O50)</f>
        <v>0</v>
      </c>
      <c r="R50" s="89"/>
      <c r="AH50" s="90">
        <f t="shared" si="9"/>
        <v>0</v>
      </c>
      <c r="AI50" s="90">
        <f>SUM($AD50:AG50)</f>
        <v>0</v>
      </c>
      <c r="AJ50" s="89"/>
      <c r="AZ50" s="90">
        <f t="shared" si="10"/>
        <v>0</v>
      </c>
      <c r="BA50" s="90">
        <f>SUM($AV50:AY50)</f>
        <v>0</v>
      </c>
    </row>
    <row r="51" spans="16:53" x14ac:dyDescent="0.25">
      <c r="P51" s="90">
        <f t="shared" si="8"/>
        <v>0</v>
      </c>
      <c r="Q51" s="90">
        <f>SUM($L51:O51)</f>
        <v>0</v>
      </c>
      <c r="R51" s="89"/>
      <c r="AH51" s="90">
        <f t="shared" si="9"/>
        <v>0</v>
      </c>
      <c r="AI51" s="90">
        <f>SUM($AD51:AG51)</f>
        <v>0</v>
      </c>
      <c r="AJ51" s="89"/>
      <c r="AZ51" s="90">
        <f t="shared" si="10"/>
        <v>0</v>
      </c>
      <c r="BA51" s="90">
        <f>SUM($AV51:AY51)</f>
        <v>0</v>
      </c>
    </row>
    <row r="52" spans="16:53" x14ac:dyDescent="0.25">
      <c r="P52" s="90">
        <f t="shared" si="8"/>
        <v>0</v>
      </c>
      <c r="Q52" s="90">
        <f>SUM($L52:O52)</f>
        <v>0</v>
      </c>
      <c r="R52" s="89"/>
      <c r="AH52" s="90">
        <f t="shared" si="9"/>
        <v>0</v>
      </c>
      <c r="AI52" s="90">
        <f>SUM($AD52:AG52)</f>
        <v>0</v>
      </c>
      <c r="AJ52" s="89"/>
      <c r="AZ52" s="90">
        <f t="shared" si="10"/>
        <v>0</v>
      </c>
      <c r="BA52" s="90">
        <f>SUM($AV52:AY52)</f>
        <v>0</v>
      </c>
    </row>
    <row r="53" spans="16:53" x14ac:dyDescent="0.25">
      <c r="P53" s="90">
        <f t="shared" si="8"/>
        <v>0</v>
      </c>
      <c r="Q53" s="90">
        <f>SUM($L53:O53)</f>
        <v>0</v>
      </c>
      <c r="R53" s="89"/>
      <c r="AH53" s="90">
        <f t="shared" si="9"/>
        <v>0</v>
      </c>
      <c r="AI53" s="90">
        <f>SUM($AD53:AG53)</f>
        <v>0</v>
      </c>
      <c r="AJ53" s="89"/>
      <c r="AZ53" s="90">
        <f t="shared" si="10"/>
        <v>0</v>
      </c>
      <c r="BA53" s="90">
        <f>SUM($AV53:AY53)</f>
        <v>0</v>
      </c>
    </row>
    <row r="54" spans="16:53" x14ac:dyDescent="0.25">
      <c r="P54" s="90">
        <f t="shared" si="8"/>
        <v>0</v>
      </c>
      <c r="Q54" s="90">
        <f>SUM($L54:O54)</f>
        <v>0</v>
      </c>
      <c r="R54" s="89"/>
      <c r="AH54" s="90">
        <f t="shared" si="9"/>
        <v>0</v>
      </c>
      <c r="AI54" s="90">
        <f>SUM($AD54:AG54)</f>
        <v>0</v>
      </c>
      <c r="AJ54" s="89"/>
      <c r="AZ54" s="90">
        <f t="shared" si="10"/>
        <v>0</v>
      </c>
      <c r="BA54" s="90">
        <f>SUM($AV54:AY54)</f>
        <v>0</v>
      </c>
    </row>
    <row r="55" spans="16:53" x14ac:dyDescent="0.25">
      <c r="P55" s="90">
        <f t="shared" si="8"/>
        <v>0</v>
      </c>
      <c r="Q55" s="90">
        <f>SUM($L55:O55)</f>
        <v>0</v>
      </c>
      <c r="R55" s="89"/>
      <c r="AH55" s="90">
        <f t="shared" si="9"/>
        <v>0</v>
      </c>
      <c r="AI55" s="90">
        <f>SUM($AD55:AG55)</f>
        <v>0</v>
      </c>
      <c r="AJ55" s="89"/>
      <c r="AZ55" s="90">
        <f t="shared" si="10"/>
        <v>0</v>
      </c>
      <c r="BA55" s="90">
        <f>SUM($AV55:AY55)</f>
        <v>0</v>
      </c>
    </row>
    <row r="56" spans="16:53" x14ac:dyDescent="0.25">
      <c r="P56" s="90">
        <f t="shared" si="8"/>
        <v>0</v>
      </c>
      <c r="Q56" s="90">
        <f>SUM($L56:O56)</f>
        <v>0</v>
      </c>
      <c r="R56" s="89"/>
      <c r="AH56" s="90">
        <f t="shared" si="9"/>
        <v>0</v>
      </c>
      <c r="AI56" s="90">
        <f>SUM($AD56:AG56)</f>
        <v>0</v>
      </c>
      <c r="AJ56" s="89"/>
      <c r="AZ56" s="90">
        <f t="shared" si="10"/>
        <v>0</v>
      </c>
      <c r="BA56" s="90">
        <f>SUM($AV56:AY56)</f>
        <v>0</v>
      </c>
    </row>
    <row r="57" spans="16:53" x14ac:dyDescent="0.25">
      <c r="P57" s="90">
        <f t="shared" si="8"/>
        <v>0</v>
      </c>
      <c r="Q57" s="90">
        <f>SUM($L57:O57)</f>
        <v>0</v>
      </c>
      <c r="R57" s="89"/>
      <c r="AH57" s="90">
        <f t="shared" si="9"/>
        <v>0</v>
      </c>
      <c r="AI57" s="90">
        <f>SUM($AD57:AG57)</f>
        <v>0</v>
      </c>
      <c r="AJ57" s="89"/>
      <c r="AZ57" s="90">
        <f t="shared" si="10"/>
        <v>0</v>
      </c>
      <c r="BA57" s="90">
        <f>SUM($AV57:AY57)</f>
        <v>0</v>
      </c>
    </row>
    <row r="58" spans="16:53" x14ac:dyDescent="0.25">
      <c r="P58" s="90">
        <f t="shared" si="8"/>
        <v>0</v>
      </c>
      <c r="Q58" s="90">
        <f>SUM($L58:O58)</f>
        <v>0</v>
      </c>
      <c r="R58" s="89"/>
      <c r="AH58" s="90">
        <f t="shared" si="9"/>
        <v>0</v>
      </c>
      <c r="AI58" s="90">
        <f>SUM($AD58:AG58)</f>
        <v>0</v>
      </c>
      <c r="AJ58" s="89"/>
      <c r="AZ58" s="90">
        <f t="shared" si="10"/>
        <v>0</v>
      </c>
      <c r="BA58" s="90">
        <f>SUM($AV58:AY58)</f>
        <v>0</v>
      </c>
    </row>
    <row r="59" spans="16:53" x14ac:dyDescent="0.25">
      <c r="P59" s="90">
        <f t="shared" si="8"/>
        <v>0</v>
      </c>
      <c r="Q59" s="90">
        <f>SUM($L59:O59)</f>
        <v>0</v>
      </c>
      <c r="R59" s="89"/>
      <c r="AH59" s="90">
        <f t="shared" si="9"/>
        <v>0</v>
      </c>
      <c r="AI59" s="90">
        <f>SUM($AD59:AG59)</f>
        <v>0</v>
      </c>
      <c r="AJ59" s="89"/>
      <c r="AZ59" s="90">
        <f t="shared" si="10"/>
        <v>0</v>
      </c>
      <c r="BA59" s="90">
        <f>SUM($AV59:AY59)</f>
        <v>0</v>
      </c>
    </row>
    <row r="60" spans="16:53" x14ac:dyDescent="0.25">
      <c r="P60" s="90">
        <f t="shared" si="8"/>
        <v>0</v>
      </c>
      <c r="Q60" s="90">
        <f>SUM($L60:O60)</f>
        <v>0</v>
      </c>
      <c r="R60" s="89"/>
      <c r="AH60" s="90">
        <f t="shared" si="9"/>
        <v>0</v>
      </c>
      <c r="AI60" s="90">
        <f>SUM($AD60:AG60)</f>
        <v>0</v>
      </c>
      <c r="AJ60" s="89"/>
      <c r="AZ60" s="90">
        <f t="shared" si="10"/>
        <v>0</v>
      </c>
      <c r="BA60" s="90">
        <f>SUM($AV60:AY60)</f>
        <v>0</v>
      </c>
    </row>
    <row r="61" spans="16:53" x14ac:dyDescent="0.25">
      <c r="P61" s="90">
        <f t="shared" si="8"/>
        <v>0</v>
      </c>
      <c r="Q61" s="90">
        <f>SUM($L61:O61)</f>
        <v>0</v>
      </c>
      <c r="R61" s="89"/>
      <c r="AH61" s="90">
        <f t="shared" si="9"/>
        <v>0</v>
      </c>
      <c r="AI61" s="90">
        <f>SUM($AD61:AG61)</f>
        <v>0</v>
      </c>
      <c r="AJ61" s="89"/>
      <c r="AZ61" s="90">
        <f t="shared" si="10"/>
        <v>0</v>
      </c>
      <c r="BA61" s="90">
        <f>SUM($AV61:AY61)</f>
        <v>0</v>
      </c>
    </row>
    <row r="62" spans="16:53" x14ac:dyDescent="0.25">
      <c r="P62" s="90">
        <f t="shared" si="8"/>
        <v>0</v>
      </c>
      <c r="Q62" s="90">
        <f>SUM($L62:O62)</f>
        <v>0</v>
      </c>
      <c r="R62" s="89"/>
      <c r="AH62" s="90">
        <f t="shared" si="9"/>
        <v>0</v>
      </c>
      <c r="AI62" s="90">
        <f>SUM($AD62:AG62)</f>
        <v>0</v>
      </c>
      <c r="AJ62" s="89"/>
      <c r="AZ62" s="90">
        <f t="shared" si="10"/>
        <v>0</v>
      </c>
      <c r="BA62" s="90">
        <f>SUM($AV62:AY62)</f>
        <v>0</v>
      </c>
    </row>
    <row r="63" spans="16:53" x14ac:dyDescent="0.25">
      <c r="P63" s="90">
        <f t="shared" si="8"/>
        <v>0</v>
      </c>
      <c r="Q63" s="90">
        <f>SUM($L63:O63)</f>
        <v>0</v>
      </c>
      <c r="R63" s="89"/>
      <c r="AH63" s="90">
        <f t="shared" si="9"/>
        <v>0</v>
      </c>
      <c r="AI63" s="90">
        <f>SUM($AD63:AG63)</f>
        <v>0</v>
      </c>
      <c r="AJ63" s="89"/>
      <c r="AZ63" s="90">
        <f t="shared" si="10"/>
        <v>0</v>
      </c>
      <c r="BA63" s="90">
        <f>SUM($AV63:AY63)</f>
        <v>0</v>
      </c>
    </row>
    <row r="64" spans="16:53" x14ac:dyDescent="0.25">
      <c r="P64" s="90">
        <f t="shared" si="8"/>
        <v>0</v>
      </c>
      <c r="Q64" s="90">
        <f>SUM($L64:O64)</f>
        <v>0</v>
      </c>
      <c r="R64" s="89"/>
      <c r="AH64" s="90">
        <f t="shared" si="9"/>
        <v>0</v>
      </c>
      <c r="AI64" s="90">
        <f>SUM($AD64:AG64)</f>
        <v>0</v>
      </c>
      <c r="AJ64" s="89"/>
      <c r="AZ64" s="90">
        <f t="shared" si="10"/>
        <v>0</v>
      </c>
      <c r="BA64" s="90">
        <f>SUM($AV64:AY64)</f>
        <v>0</v>
      </c>
    </row>
    <row r="65" spans="16:53" x14ac:dyDescent="0.25">
      <c r="P65" s="90">
        <f t="shared" si="8"/>
        <v>0</v>
      </c>
      <c r="Q65" s="90">
        <f>SUM($L65:O65)</f>
        <v>0</v>
      </c>
      <c r="R65" s="89"/>
      <c r="AH65" s="90">
        <f t="shared" si="9"/>
        <v>0</v>
      </c>
      <c r="AI65" s="90">
        <f>SUM($AD65:AG65)</f>
        <v>0</v>
      </c>
      <c r="AJ65" s="89"/>
      <c r="AZ65" s="90">
        <f t="shared" si="10"/>
        <v>0</v>
      </c>
      <c r="BA65" s="90">
        <f>SUM($AV65:AY65)</f>
        <v>0</v>
      </c>
    </row>
    <row r="66" spans="16:53" x14ac:dyDescent="0.25">
      <c r="P66" s="90">
        <f t="shared" si="8"/>
        <v>0</v>
      </c>
      <c r="Q66" s="90">
        <f>SUM($L66:O66)</f>
        <v>0</v>
      </c>
      <c r="R66" s="89"/>
      <c r="AH66" s="90">
        <f t="shared" si="9"/>
        <v>0</v>
      </c>
      <c r="AI66" s="90">
        <f>SUM($AD66:AG66)</f>
        <v>0</v>
      </c>
      <c r="AJ66" s="89"/>
      <c r="AZ66" s="90">
        <f t="shared" si="10"/>
        <v>0</v>
      </c>
      <c r="BA66" s="90">
        <f>SUM($AV66:AY66)</f>
        <v>0</v>
      </c>
    </row>
    <row r="67" spans="16:53" x14ac:dyDescent="0.25">
      <c r="P67" s="90">
        <f t="shared" si="8"/>
        <v>0</v>
      </c>
      <c r="Q67" s="90">
        <f>SUM($L67:O67)</f>
        <v>0</v>
      </c>
      <c r="R67" s="89"/>
      <c r="AH67" s="90">
        <f t="shared" si="9"/>
        <v>0</v>
      </c>
      <c r="AI67" s="90">
        <f>SUM($AD67:AG67)</f>
        <v>0</v>
      </c>
      <c r="AJ67" s="89"/>
      <c r="AZ67" s="90">
        <f t="shared" si="10"/>
        <v>0</v>
      </c>
      <c r="BA67" s="90">
        <f>SUM($AV67:AY67)</f>
        <v>0</v>
      </c>
    </row>
    <row r="68" spans="16:53" x14ac:dyDescent="0.25">
      <c r="P68" s="90">
        <f t="shared" si="8"/>
        <v>0</v>
      </c>
      <c r="Q68" s="90">
        <f>SUM($L68:O68)</f>
        <v>0</v>
      </c>
      <c r="R68" s="89"/>
      <c r="AH68" s="90">
        <f t="shared" si="9"/>
        <v>0</v>
      </c>
      <c r="AI68" s="90">
        <f>SUM($AD68:AG68)</f>
        <v>0</v>
      </c>
      <c r="AJ68" s="89"/>
      <c r="AZ68" s="90">
        <f t="shared" si="10"/>
        <v>0</v>
      </c>
      <c r="BA68" s="90">
        <f>SUM($AV68:AY68)</f>
        <v>0</v>
      </c>
    </row>
    <row r="69" spans="16:53" x14ac:dyDescent="0.25">
      <c r="P69" s="90">
        <f t="shared" ref="P69:P132" si="11">SUM(B69:K69)</f>
        <v>0</v>
      </c>
      <c r="Q69" s="90">
        <f>SUM($L69:O69)</f>
        <v>0</v>
      </c>
      <c r="R69" s="89"/>
      <c r="AH69" s="90">
        <f t="shared" ref="AH69:AH132" si="12">SUM(T69:AC69)</f>
        <v>0</v>
      </c>
      <c r="AI69" s="90">
        <f>SUM($AD69:AG69)</f>
        <v>0</v>
      </c>
      <c r="AJ69" s="89"/>
      <c r="AZ69" s="90">
        <f t="shared" ref="AZ69:AZ132" si="13">SUM(AL69:AU69)</f>
        <v>0</v>
      </c>
      <c r="BA69" s="90">
        <f>SUM($AV69:AY69)</f>
        <v>0</v>
      </c>
    </row>
    <row r="70" spans="16:53" x14ac:dyDescent="0.25">
      <c r="P70" s="90">
        <f t="shared" si="11"/>
        <v>0</v>
      </c>
      <c r="Q70" s="90">
        <f>SUM($L70:O70)</f>
        <v>0</v>
      </c>
      <c r="R70" s="89"/>
      <c r="AH70" s="90">
        <f t="shared" si="12"/>
        <v>0</v>
      </c>
      <c r="AI70" s="90">
        <f>SUM($AD70:AG70)</f>
        <v>0</v>
      </c>
      <c r="AJ70" s="89"/>
      <c r="AZ70" s="90">
        <f t="shared" si="13"/>
        <v>0</v>
      </c>
      <c r="BA70" s="90">
        <f>SUM($AV70:AY70)</f>
        <v>0</v>
      </c>
    </row>
    <row r="71" spans="16:53" x14ac:dyDescent="0.25">
      <c r="P71" s="90">
        <f t="shared" si="11"/>
        <v>0</v>
      </c>
      <c r="Q71" s="90">
        <f>SUM($L71:O71)</f>
        <v>0</v>
      </c>
      <c r="R71" s="89"/>
      <c r="AH71" s="90">
        <f t="shared" si="12"/>
        <v>0</v>
      </c>
      <c r="AI71" s="90">
        <f>SUM($AD71:AG71)</f>
        <v>0</v>
      </c>
      <c r="AJ71" s="89"/>
      <c r="AZ71" s="90">
        <f t="shared" si="13"/>
        <v>0</v>
      </c>
      <c r="BA71" s="90">
        <f>SUM($AV71:AY71)</f>
        <v>0</v>
      </c>
    </row>
    <row r="72" spans="16:53" x14ac:dyDescent="0.25">
      <c r="P72" s="90">
        <f t="shared" si="11"/>
        <v>0</v>
      </c>
      <c r="Q72" s="90">
        <f>SUM($L72:O72)</f>
        <v>0</v>
      </c>
      <c r="R72" s="89"/>
      <c r="AH72" s="90">
        <f t="shared" si="12"/>
        <v>0</v>
      </c>
      <c r="AI72" s="90">
        <f>SUM($AD72:AG72)</f>
        <v>0</v>
      </c>
      <c r="AJ72" s="89"/>
      <c r="AZ72" s="90">
        <f t="shared" si="13"/>
        <v>0</v>
      </c>
      <c r="BA72" s="90">
        <f>SUM($AV72:AY72)</f>
        <v>0</v>
      </c>
    </row>
    <row r="73" spans="16:53" x14ac:dyDescent="0.25">
      <c r="P73" s="90">
        <f t="shared" si="11"/>
        <v>0</v>
      </c>
      <c r="Q73" s="90">
        <f>SUM($L73:O73)</f>
        <v>0</v>
      </c>
      <c r="R73" s="89"/>
      <c r="AH73" s="90">
        <f t="shared" si="12"/>
        <v>0</v>
      </c>
      <c r="AI73" s="90">
        <f>SUM($AD73:AG73)</f>
        <v>0</v>
      </c>
      <c r="AJ73" s="89"/>
      <c r="AZ73" s="90">
        <f t="shared" si="13"/>
        <v>0</v>
      </c>
      <c r="BA73" s="90">
        <f>SUM($AV73:AY73)</f>
        <v>0</v>
      </c>
    </row>
    <row r="74" spans="16:53" x14ac:dyDescent="0.25">
      <c r="P74" s="90">
        <f t="shared" si="11"/>
        <v>0</v>
      </c>
      <c r="Q74" s="90">
        <f>SUM($L74:O74)</f>
        <v>0</v>
      </c>
      <c r="R74" s="89"/>
      <c r="AH74" s="90">
        <f t="shared" si="12"/>
        <v>0</v>
      </c>
      <c r="AI74" s="90">
        <f>SUM($AD74:AG74)</f>
        <v>0</v>
      </c>
      <c r="AJ74" s="89"/>
      <c r="AZ74" s="90">
        <f t="shared" si="13"/>
        <v>0</v>
      </c>
      <c r="BA74" s="90">
        <f>SUM($AV74:AY74)</f>
        <v>0</v>
      </c>
    </row>
    <row r="75" spans="16:53" x14ac:dyDescent="0.25">
      <c r="P75" s="90">
        <f t="shared" si="11"/>
        <v>0</v>
      </c>
      <c r="Q75" s="90">
        <f>SUM($L75:O75)</f>
        <v>0</v>
      </c>
      <c r="R75" s="89"/>
      <c r="AH75" s="90">
        <f t="shared" si="12"/>
        <v>0</v>
      </c>
      <c r="AI75" s="90">
        <f>SUM($AD75:AG75)</f>
        <v>0</v>
      </c>
      <c r="AJ75" s="89"/>
      <c r="AZ75" s="90">
        <f t="shared" si="13"/>
        <v>0</v>
      </c>
      <c r="BA75" s="90">
        <f>SUM($AV75:AY75)</f>
        <v>0</v>
      </c>
    </row>
    <row r="76" spans="16:53" x14ac:dyDescent="0.25">
      <c r="P76" s="90">
        <f t="shared" si="11"/>
        <v>0</v>
      </c>
      <c r="Q76" s="90">
        <f>SUM($L76:O76)</f>
        <v>0</v>
      </c>
      <c r="R76" s="89"/>
      <c r="AH76" s="90">
        <f t="shared" si="12"/>
        <v>0</v>
      </c>
      <c r="AI76" s="90">
        <f>SUM($AD76:AG76)</f>
        <v>0</v>
      </c>
      <c r="AJ76" s="89"/>
      <c r="AZ76" s="90">
        <f t="shared" si="13"/>
        <v>0</v>
      </c>
      <c r="BA76" s="90">
        <f>SUM($AV76:AY76)</f>
        <v>0</v>
      </c>
    </row>
    <row r="77" spans="16:53" x14ac:dyDescent="0.25">
      <c r="P77" s="90">
        <f t="shared" si="11"/>
        <v>0</v>
      </c>
      <c r="Q77" s="90">
        <f>SUM($L77:O77)</f>
        <v>0</v>
      </c>
      <c r="R77" s="89"/>
      <c r="AH77" s="90">
        <f t="shared" si="12"/>
        <v>0</v>
      </c>
      <c r="AI77" s="90">
        <f>SUM($AD77:AG77)</f>
        <v>0</v>
      </c>
      <c r="AJ77" s="89"/>
      <c r="AZ77" s="90">
        <f t="shared" si="13"/>
        <v>0</v>
      </c>
      <c r="BA77" s="90">
        <f>SUM($AV77:AY77)</f>
        <v>0</v>
      </c>
    </row>
    <row r="78" spans="16:53" x14ac:dyDescent="0.25">
      <c r="P78" s="90">
        <f t="shared" si="11"/>
        <v>0</v>
      </c>
      <c r="Q78" s="90">
        <f>SUM($L78:O78)</f>
        <v>0</v>
      </c>
      <c r="R78" s="89"/>
      <c r="AH78" s="90">
        <f t="shared" si="12"/>
        <v>0</v>
      </c>
      <c r="AI78" s="90">
        <f>SUM($AD78:AG78)</f>
        <v>0</v>
      </c>
      <c r="AJ78" s="89"/>
      <c r="AZ78" s="90">
        <f t="shared" si="13"/>
        <v>0</v>
      </c>
      <c r="BA78" s="90">
        <f>SUM($AV78:AY78)</f>
        <v>0</v>
      </c>
    </row>
    <row r="79" spans="16:53" x14ac:dyDescent="0.25">
      <c r="P79" s="90">
        <f t="shared" si="11"/>
        <v>0</v>
      </c>
      <c r="Q79" s="90">
        <f>SUM($L79:O79)</f>
        <v>0</v>
      </c>
      <c r="R79" s="89"/>
      <c r="AH79" s="90">
        <f t="shared" si="12"/>
        <v>0</v>
      </c>
      <c r="AI79" s="90">
        <f>SUM($AD79:AG79)</f>
        <v>0</v>
      </c>
      <c r="AJ79" s="89"/>
      <c r="AZ79" s="90">
        <f t="shared" si="13"/>
        <v>0</v>
      </c>
      <c r="BA79" s="90">
        <f>SUM($AV79:AY79)</f>
        <v>0</v>
      </c>
    </row>
    <row r="80" spans="16:53" x14ac:dyDescent="0.25">
      <c r="P80" s="90">
        <f t="shared" si="11"/>
        <v>0</v>
      </c>
      <c r="Q80" s="90">
        <f>SUM($L80:O80)</f>
        <v>0</v>
      </c>
      <c r="R80" s="89"/>
      <c r="AH80" s="90">
        <f t="shared" si="12"/>
        <v>0</v>
      </c>
      <c r="AI80" s="90">
        <f>SUM($AD80:AG80)</f>
        <v>0</v>
      </c>
      <c r="AJ80" s="89"/>
      <c r="AZ80" s="90">
        <f t="shared" si="13"/>
        <v>0</v>
      </c>
      <c r="BA80" s="90">
        <f>SUM($AV80:AY80)</f>
        <v>0</v>
      </c>
    </row>
    <row r="81" spans="16:53" x14ac:dyDescent="0.25">
      <c r="P81" s="90">
        <f t="shared" si="11"/>
        <v>0</v>
      </c>
      <c r="Q81" s="90">
        <f>SUM($L81:O81)</f>
        <v>0</v>
      </c>
      <c r="R81" s="89"/>
      <c r="AH81" s="90">
        <f t="shared" si="12"/>
        <v>0</v>
      </c>
      <c r="AI81" s="90">
        <f>SUM($AD81:AG81)</f>
        <v>0</v>
      </c>
      <c r="AJ81" s="89"/>
      <c r="AZ81" s="90">
        <f t="shared" si="13"/>
        <v>0</v>
      </c>
      <c r="BA81" s="90">
        <f>SUM($AV81:AY81)</f>
        <v>0</v>
      </c>
    </row>
    <row r="82" spans="16:53" x14ac:dyDescent="0.25">
      <c r="P82" s="90">
        <f t="shared" si="11"/>
        <v>0</v>
      </c>
      <c r="Q82" s="90">
        <f>SUM($L82:O82)</f>
        <v>0</v>
      </c>
      <c r="R82" s="89"/>
      <c r="AH82" s="90">
        <f t="shared" si="12"/>
        <v>0</v>
      </c>
      <c r="AI82" s="90">
        <f>SUM($AD82:AG82)</f>
        <v>0</v>
      </c>
      <c r="AJ82" s="89"/>
      <c r="AZ82" s="90">
        <f t="shared" si="13"/>
        <v>0</v>
      </c>
      <c r="BA82" s="90">
        <f>SUM($AV82:AY82)</f>
        <v>0</v>
      </c>
    </row>
    <row r="83" spans="16:53" x14ac:dyDescent="0.25">
      <c r="P83" s="90">
        <f t="shared" si="11"/>
        <v>0</v>
      </c>
      <c r="Q83" s="90">
        <f>SUM($L83:O83)</f>
        <v>0</v>
      </c>
      <c r="R83" s="89"/>
      <c r="AH83" s="90">
        <f t="shared" si="12"/>
        <v>0</v>
      </c>
      <c r="AI83" s="90">
        <f>SUM($AD83:AG83)</f>
        <v>0</v>
      </c>
      <c r="AJ83" s="89"/>
      <c r="AZ83" s="90">
        <f t="shared" si="13"/>
        <v>0</v>
      </c>
      <c r="BA83" s="90">
        <f>SUM($AV83:AY83)</f>
        <v>0</v>
      </c>
    </row>
    <row r="84" spans="16:53" x14ac:dyDescent="0.25">
      <c r="P84" s="90">
        <f t="shared" si="11"/>
        <v>0</v>
      </c>
      <c r="Q84" s="90">
        <f>SUM($L84:O84)</f>
        <v>0</v>
      </c>
      <c r="R84" s="89"/>
      <c r="AH84" s="90">
        <f t="shared" si="12"/>
        <v>0</v>
      </c>
      <c r="AI84" s="90">
        <f>SUM($AD84:AG84)</f>
        <v>0</v>
      </c>
      <c r="AJ84" s="89"/>
      <c r="AZ84" s="90">
        <f t="shared" si="13"/>
        <v>0</v>
      </c>
      <c r="BA84" s="90">
        <f>SUM($AV84:AY84)</f>
        <v>0</v>
      </c>
    </row>
    <row r="85" spans="16:53" x14ac:dyDescent="0.25">
      <c r="P85" s="90">
        <f t="shared" si="11"/>
        <v>0</v>
      </c>
      <c r="Q85" s="90">
        <f>SUM($L85:O85)</f>
        <v>0</v>
      </c>
      <c r="R85" s="89"/>
      <c r="AH85" s="90">
        <f t="shared" si="12"/>
        <v>0</v>
      </c>
      <c r="AI85" s="90">
        <f>SUM($AD85:AG85)</f>
        <v>0</v>
      </c>
      <c r="AJ85" s="89"/>
      <c r="AZ85" s="90">
        <f t="shared" si="13"/>
        <v>0</v>
      </c>
      <c r="BA85" s="90">
        <f>SUM($AV85:AY85)</f>
        <v>0</v>
      </c>
    </row>
    <row r="86" spans="16:53" x14ac:dyDescent="0.25">
      <c r="P86" s="90">
        <f t="shared" si="11"/>
        <v>0</v>
      </c>
      <c r="Q86" s="90">
        <f>SUM($L86:O86)</f>
        <v>0</v>
      </c>
      <c r="R86" s="89"/>
      <c r="AH86" s="90">
        <f t="shared" si="12"/>
        <v>0</v>
      </c>
      <c r="AI86" s="90">
        <f>SUM($AD86:AG86)</f>
        <v>0</v>
      </c>
      <c r="AJ86" s="89"/>
      <c r="AZ86" s="90">
        <f t="shared" si="13"/>
        <v>0</v>
      </c>
      <c r="BA86" s="90">
        <f>SUM($AV86:AY86)</f>
        <v>0</v>
      </c>
    </row>
    <row r="87" spans="16:53" x14ac:dyDescent="0.25">
      <c r="P87" s="90">
        <f t="shared" si="11"/>
        <v>0</v>
      </c>
      <c r="Q87" s="90">
        <f>SUM($L87:O87)</f>
        <v>0</v>
      </c>
      <c r="R87" s="89"/>
      <c r="AH87" s="90">
        <f t="shared" si="12"/>
        <v>0</v>
      </c>
      <c r="AI87" s="90">
        <f>SUM($AD87:AG87)</f>
        <v>0</v>
      </c>
      <c r="AJ87" s="89"/>
      <c r="AZ87" s="90">
        <f t="shared" si="13"/>
        <v>0</v>
      </c>
      <c r="BA87" s="90">
        <f>SUM($AV87:AY87)</f>
        <v>0</v>
      </c>
    </row>
    <row r="88" spans="16:53" x14ac:dyDescent="0.25">
      <c r="P88" s="90">
        <f t="shared" si="11"/>
        <v>0</v>
      </c>
      <c r="Q88" s="90">
        <f>SUM($L88:O88)</f>
        <v>0</v>
      </c>
      <c r="R88" s="89"/>
      <c r="AH88" s="90">
        <f t="shared" si="12"/>
        <v>0</v>
      </c>
      <c r="AI88" s="90">
        <f>SUM($AD88:AG88)</f>
        <v>0</v>
      </c>
      <c r="AJ88" s="89"/>
      <c r="AZ88" s="90">
        <f t="shared" si="13"/>
        <v>0</v>
      </c>
      <c r="BA88" s="90">
        <f>SUM($AV88:AY88)</f>
        <v>0</v>
      </c>
    </row>
    <row r="89" spans="16:53" x14ac:dyDescent="0.25">
      <c r="P89" s="90">
        <f t="shared" si="11"/>
        <v>0</v>
      </c>
      <c r="Q89" s="90">
        <f>SUM($L89:O89)</f>
        <v>0</v>
      </c>
      <c r="R89" s="89"/>
      <c r="AH89" s="90">
        <f t="shared" si="12"/>
        <v>0</v>
      </c>
      <c r="AI89" s="90">
        <f>SUM($AD89:AG89)</f>
        <v>0</v>
      </c>
      <c r="AJ89" s="89"/>
      <c r="AZ89" s="90">
        <f t="shared" si="13"/>
        <v>0</v>
      </c>
      <c r="BA89" s="90">
        <f>SUM($AV89:AY89)</f>
        <v>0</v>
      </c>
    </row>
    <row r="90" spans="16:53" x14ac:dyDescent="0.25">
      <c r="P90" s="90">
        <f t="shared" si="11"/>
        <v>0</v>
      </c>
      <c r="Q90" s="90">
        <f>SUM($L90:O90)</f>
        <v>0</v>
      </c>
      <c r="R90" s="89"/>
      <c r="AH90" s="90">
        <f t="shared" si="12"/>
        <v>0</v>
      </c>
      <c r="AI90" s="90">
        <f>SUM($AD90:AG90)</f>
        <v>0</v>
      </c>
      <c r="AJ90" s="89"/>
      <c r="AZ90" s="90">
        <f t="shared" si="13"/>
        <v>0</v>
      </c>
      <c r="BA90" s="90">
        <f>SUM($AV90:AY90)</f>
        <v>0</v>
      </c>
    </row>
    <row r="91" spans="16:53" x14ac:dyDescent="0.25">
      <c r="P91" s="90">
        <f t="shared" si="11"/>
        <v>0</v>
      </c>
      <c r="Q91" s="90">
        <f>SUM($L91:O91)</f>
        <v>0</v>
      </c>
      <c r="R91" s="89"/>
      <c r="AH91" s="90">
        <f t="shared" si="12"/>
        <v>0</v>
      </c>
      <c r="AI91" s="90">
        <f>SUM($AD91:AG91)</f>
        <v>0</v>
      </c>
      <c r="AJ91" s="89"/>
      <c r="AZ91" s="90">
        <f t="shared" si="13"/>
        <v>0</v>
      </c>
      <c r="BA91" s="90">
        <f>SUM($AV91:AY91)</f>
        <v>0</v>
      </c>
    </row>
    <row r="92" spans="16:53" x14ac:dyDescent="0.25">
      <c r="P92" s="90">
        <f t="shared" si="11"/>
        <v>0</v>
      </c>
      <c r="Q92" s="90">
        <f>SUM($L92:O92)</f>
        <v>0</v>
      </c>
      <c r="R92" s="89"/>
      <c r="AH92" s="90">
        <f t="shared" si="12"/>
        <v>0</v>
      </c>
      <c r="AI92" s="90">
        <f>SUM($AD92:AG92)</f>
        <v>0</v>
      </c>
      <c r="AJ92" s="89"/>
      <c r="AZ92" s="90">
        <f t="shared" si="13"/>
        <v>0</v>
      </c>
      <c r="BA92" s="90">
        <f>SUM($AV92:AY92)</f>
        <v>0</v>
      </c>
    </row>
    <row r="93" spans="16:53" x14ac:dyDescent="0.25">
      <c r="P93" s="90">
        <f t="shared" si="11"/>
        <v>0</v>
      </c>
      <c r="Q93" s="90">
        <f>SUM($L93:O93)</f>
        <v>0</v>
      </c>
      <c r="R93" s="89"/>
      <c r="AH93" s="90">
        <f t="shared" si="12"/>
        <v>0</v>
      </c>
      <c r="AI93" s="90">
        <f>SUM($AD93:AG93)</f>
        <v>0</v>
      </c>
      <c r="AJ93" s="89"/>
      <c r="AZ93" s="90">
        <f t="shared" si="13"/>
        <v>0</v>
      </c>
      <c r="BA93" s="90">
        <f>SUM($AV93:AY93)</f>
        <v>0</v>
      </c>
    </row>
    <row r="94" spans="16:53" x14ac:dyDescent="0.25">
      <c r="P94" s="90">
        <f t="shared" si="11"/>
        <v>0</v>
      </c>
      <c r="Q94" s="90">
        <f>SUM($L94:O94)</f>
        <v>0</v>
      </c>
      <c r="R94" s="89"/>
      <c r="AH94" s="90">
        <f t="shared" si="12"/>
        <v>0</v>
      </c>
      <c r="AI94" s="90">
        <f>SUM($AD94:AG94)</f>
        <v>0</v>
      </c>
      <c r="AJ94" s="89"/>
      <c r="AZ94" s="90">
        <f t="shared" si="13"/>
        <v>0</v>
      </c>
      <c r="BA94" s="90">
        <f>SUM($AV94:AY94)</f>
        <v>0</v>
      </c>
    </row>
    <row r="95" spans="16:53" x14ac:dyDescent="0.25">
      <c r="P95" s="90">
        <f t="shared" si="11"/>
        <v>0</v>
      </c>
      <c r="Q95" s="90">
        <f>SUM($L95:O95)</f>
        <v>0</v>
      </c>
      <c r="R95" s="89"/>
      <c r="AH95" s="90">
        <f t="shared" si="12"/>
        <v>0</v>
      </c>
      <c r="AI95" s="90">
        <f>SUM($AD95:AG95)</f>
        <v>0</v>
      </c>
      <c r="AJ95" s="89"/>
      <c r="AZ95" s="90">
        <f t="shared" si="13"/>
        <v>0</v>
      </c>
      <c r="BA95" s="90">
        <f>SUM($AV95:AY95)</f>
        <v>0</v>
      </c>
    </row>
    <row r="96" spans="16:53" x14ac:dyDescent="0.25">
      <c r="P96" s="90">
        <f t="shared" si="11"/>
        <v>0</v>
      </c>
      <c r="Q96" s="90">
        <f>SUM($L96:O96)</f>
        <v>0</v>
      </c>
      <c r="R96" s="89"/>
      <c r="AH96" s="90">
        <f t="shared" si="12"/>
        <v>0</v>
      </c>
      <c r="AI96" s="90">
        <f>SUM($AD96:AG96)</f>
        <v>0</v>
      </c>
      <c r="AJ96" s="89"/>
      <c r="AZ96" s="90">
        <f t="shared" si="13"/>
        <v>0</v>
      </c>
      <c r="BA96" s="90">
        <f>SUM($AV96:AY96)</f>
        <v>0</v>
      </c>
    </row>
    <row r="97" spans="16:53" x14ac:dyDescent="0.25">
      <c r="P97" s="90">
        <f t="shared" si="11"/>
        <v>0</v>
      </c>
      <c r="Q97" s="90">
        <f>SUM($L97:O97)</f>
        <v>0</v>
      </c>
      <c r="R97" s="89"/>
      <c r="AH97" s="90">
        <f t="shared" si="12"/>
        <v>0</v>
      </c>
      <c r="AI97" s="90">
        <f>SUM($AD97:AG97)</f>
        <v>0</v>
      </c>
      <c r="AJ97" s="89"/>
      <c r="AZ97" s="90">
        <f t="shared" si="13"/>
        <v>0</v>
      </c>
      <c r="BA97" s="90">
        <f>SUM($AV97:AY97)</f>
        <v>0</v>
      </c>
    </row>
    <row r="98" spans="16:53" x14ac:dyDescent="0.25">
      <c r="P98" s="90">
        <f t="shared" si="11"/>
        <v>0</v>
      </c>
      <c r="Q98" s="90">
        <f>SUM($L98:O98)</f>
        <v>0</v>
      </c>
      <c r="R98" s="89"/>
      <c r="AH98" s="90">
        <f t="shared" si="12"/>
        <v>0</v>
      </c>
      <c r="AI98" s="90">
        <f>SUM($AD98:AG98)</f>
        <v>0</v>
      </c>
      <c r="AJ98" s="89"/>
      <c r="AZ98" s="90">
        <f t="shared" si="13"/>
        <v>0</v>
      </c>
      <c r="BA98" s="90">
        <f>SUM($AV98:AY98)</f>
        <v>0</v>
      </c>
    </row>
    <row r="99" spans="16:53" x14ac:dyDescent="0.25">
      <c r="P99" s="90">
        <f t="shared" si="11"/>
        <v>0</v>
      </c>
      <c r="Q99" s="90">
        <f>SUM($L99:O99)</f>
        <v>0</v>
      </c>
      <c r="R99" s="89"/>
      <c r="AH99" s="90">
        <f t="shared" si="12"/>
        <v>0</v>
      </c>
      <c r="AI99" s="90">
        <f>SUM($AD99:AG99)</f>
        <v>0</v>
      </c>
      <c r="AJ99" s="89"/>
      <c r="AZ99" s="90">
        <f t="shared" si="13"/>
        <v>0</v>
      </c>
      <c r="BA99" s="90">
        <f>SUM($AV99:AY99)</f>
        <v>0</v>
      </c>
    </row>
    <row r="100" spans="16:53" x14ac:dyDescent="0.25">
      <c r="P100" s="90">
        <f t="shared" si="11"/>
        <v>0</v>
      </c>
      <c r="Q100" s="90">
        <f>SUM($L100:O100)</f>
        <v>0</v>
      </c>
      <c r="R100" s="89"/>
      <c r="AH100" s="90">
        <f t="shared" si="12"/>
        <v>0</v>
      </c>
      <c r="AI100" s="90">
        <f>SUM($AD100:AG100)</f>
        <v>0</v>
      </c>
      <c r="AJ100" s="89"/>
      <c r="AZ100" s="90">
        <f t="shared" si="13"/>
        <v>0</v>
      </c>
      <c r="BA100" s="90">
        <f>SUM($AV100:AY100)</f>
        <v>0</v>
      </c>
    </row>
    <row r="101" spans="16:53" x14ac:dyDescent="0.25">
      <c r="P101" s="90">
        <f t="shared" si="11"/>
        <v>0</v>
      </c>
      <c r="Q101" s="90">
        <f>SUM($L101:O101)</f>
        <v>0</v>
      </c>
      <c r="R101" s="89"/>
      <c r="AH101" s="90">
        <f t="shared" si="12"/>
        <v>0</v>
      </c>
      <c r="AI101" s="90">
        <f>SUM($AD101:AG101)</f>
        <v>0</v>
      </c>
      <c r="AJ101" s="89"/>
      <c r="AZ101" s="90">
        <f t="shared" si="13"/>
        <v>0</v>
      </c>
      <c r="BA101" s="90">
        <f>SUM($AV101:AY101)</f>
        <v>0</v>
      </c>
    </row>
    <row r="102" spans="16:53" x14ac:dyDescent="0.25">
      <c r="P102" s="90">
        <f t="shared" si="11"/>
        <v>0</v>
      </c>
      <c r="Q102" s="90">
        <f>SUM($L102:O102)</f>
        <v>0</v>
      </c>
      <c r="R102" s="89"/>
      <c r="AH102" s="90">
        <f t="shared" si="12"/>
        <v>0</v>
      </c>
      <c r="AI102" s="90">
        <f>SUM($AD102:AG102)</f>
        <v>0</v>
      </c>
      <c r="AJ102" s="89"/>
      <c r="AZ102" s="90">
        <f t="shared" si="13"/>
        <v>0</v>
      </c>
      <c r="BA102" s="90">
        <f>SUM($AV102:AY102)</f>
        <v>0</v>
      </c>
    </row>
    <row r="103" spans="16:53" x14ac:dyDescent="0.25">
      <c r="P103" s="90">
        <f t="shared" si="11"/>
        <v>0</v>
      </c>
      <c r="Q103" s="90">
        <f>SUM($L103:O103)</f>
        <v>0</v>
      </c>
      <c r="R103" s="89"/>
      <c r="AH103" s="90">
        <f t="shared" si="12"/>
        <v>0</v>
      </c>
      <c r="AI103" s="90">
        <f>SUM($AD103:AG103)</f>
        <v>0</v>
      </c>
      <c r="AJ103" s="89"/>
      <c r="AZ103" s="90">
        <f t="shared" si="13"/>
        <v>0</v>
      </c>
      <c r="BA103" s="90">
        <f>SUM($AV103:AY103)</f>
        <v>0</v>
      </c>
    </row>
    <row r="104" spans="16:53" x14ac:dyDescent="0.25">
      <c r="P104" s="90">
        <f t="shared" si="11"/>
        <v>0</v>
      </c>
      <c r="Q104" s="90">
        <f>SUM($L104:O104)</f>
        <v>0</v>
      </c>
      <c r="R104" s="89"/>
      <c r="AH104" s="90">
        <f t="shared" si="12"/>
        <v>0</v>
      </c>
      <c r="AI104" s="90">
        <f>SUM($AD104:AG104)</f>
        <v>0</v>
      </c>
      <c r="AJ104" s="89"/>
      <c r="AZ104" s="90">
        <f t="shared" si="13"/>
        <v>0</v>
      </c>
      <c r="BA104" s="90">
        <f>SUM($AV104:AY104)</f>
        <v>0</v>
      </c>
    </row>
    <row r="105" spans="16:53" x14ac:dyDescent="0.25">
      <c r="P105" s="90">
        <f t="shared" si="11"/>
        <v>0</v>
      </c>
      <c r="Q105" s="90">
        <f>SUM($L105:O105)</f>
        <v>0</v>
      </c>
      <c r="R105" s="89"/>
      <c r="AH105" s="90">
        <f t="shared" si="12"/>
        <v>0</v>
      </c>
      <c r="AI105" s="90">
        <f>SUM($AD105:AG105)</f>
        <v>0</v>
      </c>
      <c r="AJ105" s="89"/>
      <c r="AZ105" s="90">
        <f t="shared" si="13"/>
        <v>0</v>
      </c>
      <c r="BA105" s="90">
        <f>SUM($AV105:AY105)</f>
        <v>0</v>
      </c>
    </row>
    <row r="106" spans="16:53" x14ac:dyDescent="0.25">
      <c r="P106" s="90">
        <f t="shared" si="11"/>
        <v>0</v>
      </c>
      <c r="Q106" s="90">
        <f>SUM($L106:O106)</f>
        <v>0</v>
      </c>
      <c r="R106" s="89"/>
      <c r="AH106" s="90">
        <f t="shared" si="12"/>
        <v>0</v>
      </c>
      <c r="AI106" s="90">
        <f>SUM($AD106:AG106)</f>
        <v>0</v>
      </c>
      <c r="AJ106" s="89"/>
      <c r="AZ106" s="90">
        <f t="shared" si="13"/>
        <v>0</v>
      </c>
      <c r="BA106" s="90">
        <f>SUM($AV106:AY106)</f>
        <v>0</v>
      </c>
    </row>
    <row r="107" spans="16:53" x14ac:dyDescent="0.25">
      <c r="P107" s="90">
        <f t="shared" si="11"/>
        <v>0</v>
      </c>
      <c r="Q107" s="90">
        <f>SUM($L107:O107)</f>
        <v>0</v>
      </c>
      <c r="R107" s="89"/>
      <c r="AH107" s="90">
        <f t="shared" si="12"/>
        <v>0</v>
      </c>
      <c r="AI107" s="90">
        <f>SUM($AD107:AG107)</f>
        <v>0</v>
      </c>
      <c r="AJ107" s="89"/>
      <c r="AZ107" s="90">
        <f t="shared" si="13"/>
        <v>0</v>
      </c>
      <c r="BA107" s="90">
        <f>SUM($AV107:AY107)</f>
        <v>0</v>
      </c>
    </row>
    <row r="108" spans="16:53" x14ac:dyDescent="0.25">
      <c r="P108" s="90">
        <f t="shared" si="11"/>
        <v>0</v>
      </c>
      <c r="Q108" s="90">
        <f>SUM($L108:O108)</f>
        <v>0</v>
      </c>
      <c r="R108" s="89"/>
      <c r="AH108" s="90">
        <f t="shared" si="12"/>
        <v>0</v>
      </c>
      <c r="AI108" s="90">
        <f>SUM($AD108:AG108)</f>
        <v>0</v>
      </c>
      <c r="AJ108" s="89"/>
      <c r="AZ108" s="90">
        <f t="shared" si="13"/>
        <v>0</v>
      </c>
      <c r="BA108" s="90">
        <f>SUM($AV108:AY108)</f>
        <v>0</v>
      </c>
    </row>
    <row r="109" spans="16:53" x14ac:dyDescent="0.25">
      <c r="P109" s="90">
        <f t="shared" si="11"/>
        <v>0</v>
      </c>
      <c r="Q109" s="90">
        <f>SUM($L109:O109)</f>
        <v>0</v>
      </c>
      <c r="R109" s="89"/>
      <c r="AH109" s="90">
        <f t="shared" si="12"/>
        <v>0</v>
      </c>
      <c r="AI109" s="90">
        <f>SUM($AD109:AG109)</f>
        <v>0</v>
      </c>
      <c r="AJ109" s="89"/>
      <c r="AZ109" s="90">
        <f t="shared" si="13"/>
        <v>0</v>
      </c>
      <c r="BA109" s="90">
        <f>SUM($AV109:AY109)</f>
        <v>0</v>
      </c>
    </row>
    <row r="110" spans="16:53" x14ac:dyDescent="0.25">
      <c r="P110" s="90">
        <f t="shared" si="11"/>
        <v>0</v>
      </c>
      <c r="Q110" s="90">
        <f>SUM($L110:O110)</f>
        <v>0</v>
      </c>
      <c r="R110" s="89"/>
      <c r="AH110" s="90">
        <f t="shared" si="12"/>
        <v>0</v>
      </c>
      <c r="AI110" s="90">
        <f>SUM($AD110:AG110)</f>
        <v>0</v>
      </c>
      <c r="AJ110" s="89"/>
      <c r="AZ110" s="90">
        <f t="shared" si="13"/>
        <v>0</v>
      </c>
      <c r="BA110" s="90">
        <f>SUM($AV110:AY110)</f>
        <v>0</v>
      </c>
    </row>
    <row r="111" spans="16:53" x14ac:dyDescent="0.25">
      <c r="P111" s="90">
        <f t="shared" si="11"/>
        <v>0</v>
      </c>
      <c r="Q111" s="90">
        <f>SUM($L111:O111)</f>
        <v>0</v>
      </c>
      <c r="R111" s="89"/>
      <c r="AH111" s="90">
        <f t="shared" si="12"/>
        <v>0</v>
      </c>
      <c r="AI111" s="90">
        <f>SUM($AD111:AG111)</f>
        <v>0</v>
      </c>
      <c r="AJ111" s="89"/>
      <c r="AZ111" s="90">
        <f t="shared" si="13"/>
        <v>0</v>
      </c>
      <c r="BA111" s="90">
        <f>SUM($AV111:AY111)</f>
        <v>0</v>
      </c>
    </row>
    <row r="112" spans="16:53" x14ac:dyDescent="0.25">
      <c r="P112" s="90">
        <f t="shared" si="11"/>
        <v>0</v>
      </c>
      <c r="Q112" s="90">
        <f>SUM($L112:O112)</f>
        <v>0</v>
      </c>
      <c r="R112" s="89"/>
      <c r="AH112" s="90">
        <f t="shared" si="12"/>
        <v>0</v>
      </c>
      <c r="AI112" s="90">
        <f>SUM($AD112:AG112)</f>
        <v>0</v>
      </c>
      <c r="AJ112" s="89"/>
      <c r="AZ112" s="90">
        <f t="shared" si="13"/>
        <v>0</v>
      </c>
      <c r="BA112" s="90">
        <f>SUM($AV112:AY112)</f>
        <v>0</v>
      </c>
    </row>
    <row r="113" spans="16:53" x14ac:dyDescent="0.25">
      <c r="P113" s="90">
        <f t="shared" si="11"/>
        <v>0</v>
      </c>
      <c r="Q113" s="90">
        <f>SUM($L113:O113)</f>
        <v>0</v>
      </c>
      <c r="R113" s="89"/>
      <c r="AH113" s="90">
        <f t="shared" si="12"/>
        <v>0</v>
      </c>
      <c r="AI113" s="90">
        <f>SUM($AD113:AG113)</f>
        <v>0</v>
      </c>
      <c r="AJ113" s="89"/>
      <c r="AZ113" s="90">
        <f t="shared" si="13"/>
        <v>0</v>
      </c>
      <c r="BA113" s="90">
        <f>SUM($AV113:AY113)</f>
        <v>0</v>
      </c>
    </row>
    <row r="114" spans="16:53" x14ac:dyDescent="0.25">
      <c r="P114" s="90">
        <f t="shared" si="11"/>
        <v>0</v>
      </c>
      <c r="Q114" s="90">
        <f>SUM($L114:O114)</f>
        <v>0</v>
      </c>
      <c r="R114" s="89"/>
      <c r="AH114" s="90">
        <f t="shared" si="12"/>
        <v>0</v>
      </c>
      <c r="AI114" s="90">
        <f>SUM($AD114:AG114)</f>
        <v>0</v>
      </c>
      <c r="AJ114" s="89"/>
      <c r="AZ114" s="90">
        <f t="shared" si="13"/>
        <v>0</v>
      </c>
      <c r="BA114" s="90">
        <f>SUM($AV114:AY114)</f>
        <v>0</v>
      </c>
    </row>
    <row r="115" spans="16:53" x14ac:dyDescent="0.25">
      <c r="P115" s="90">
        <f t="shared" si="11"/>
        <v>0</v>
      </c>
      <c r="Q115" s="90">
        <f>SUM($L115:O115)</f>
        <v>0</v>
      </c>
      <c r="R115" s="89"/>
      <c r="AH115" s="90">
        <f t="shared" si="12"/>
        <v>0</v>
      </c>
      <c r="AI115" s="90">
        <f>SUM($AD115:AG115)</f>
        <v>0</v>
      </c>
      <c r="AJ115" s="89"/>
      <c r="AZ115" s="90">
        <f t="shared" si="13"/>
        <v>0</v>
      </c>
      <c r="BA115" s="90">
        <f>SUM($AV115:AY115)</f>
        <v>0</v>
      </c>
    </row>
    <row r="116" spans="16:53" x14ac:dyDescent="0.25">
      <c r="P116" s="90">
        <f t="shared" si="11"/>
        <v>0</v>
      </c>
      <c r="Q116" s="90">
        <f>SUM($L116:O116)</f>
        <v>0</v>
      </c>
      <c r="R116" s="89"/>
      <c r="AH116" s="90">
        <f t="shared" si="12"/>
        <v>0</v>
      </c>
      <c r="AI116" s="90">
        <f>SUM($AD116:AG116)</f>
        <v>0</v>
      </c>
      <c r="AJ116" s="89"/>
      <c r="AZ116" s="90">
        <f t="shared" si="13"/>
        <v>0</v>
      </c>
      <c r="BA116" s="90">
        <f>SUM($AV116:AY116)</f>
        <v>0</v>
      </c>
    </row>
    <row r="117" spans="16:53" x14ac:dyDescent="0.25">
      <c r="P117" s="90">
        <f t="shared" si="11"/>
        <v>0</v>
      </c>
      <c r="Q117" s="90">
        <f>SUM($L117:O117)</f>
        <v>0</v>
      </c>
      <c r="R117" s="89"/>
      <c r="AH117" s="90">
        <f t="shared" si="12"/>
        <v>0</v>
      </c>
      <c r="AI117" s="90">
        <f>SUM($AD117:AG117)</f>
        <v>0</v>
      </c>
      <c r="AJ117" s="89"/>
      <c r="AZ117" s="90">
        <f t="shared" si="13"/>
        <v>0</v>
      </c>
      <c r="BA117" s="90">
        <f>SUM($AV117:AY117)</f>
        <v>0</v>
      </c>
    </row>
    <row r="118" spans="16:53" x14ac:dyDescent="0.25">
      <c r="P118" s="90">
        <f t="shared" si="11"/>
        <v>0</v>
      </c>
      <c r="Q118" s="90">
        <f>SUM($L118:O118)</f>
        <v>0</v>
      </c>
      <c r="R118" s="89"/>
      <c r="AH118" s="90">
        <f t="shared" si="12"/>
        <v>0</v>
      </c>
      <c r="AI118" s="90">
        <f>SUM($AD118:AG118)</f>
        <v>0</v>
      </c>
      <c r="AJ118" s="89"/>
      <c r="AZ118" s="90">
        <f t="shared" si="13"/>
        <v>0</v>
      </c>
      <c r="BA118" s="90">
        <f>SUM($AV118:AY118)</f>
        <v>0</v>
      </c>
    </row>
    <row r="119" spans="16:53" x14ac:dyDescent="0.25">
      <c r="P119" s="90">
        <f t="shared" si="11"/>
        <v>0</v>
      </c>
      <c r="Q119" s="90">
        <f>SUM($L119:O119)</f>
        <v>0</v>
      </c>
      <c r="R119" s="89"/>
      <c r="AH119" s="90">
        <f t="shared" si="12"/>
        <v>0</v>
      </c>
      <c r="AI119" s="90">
        <f>SUM($AD119:AG119)</f>
        <v>0</v>
      </c>
      <c r="AJ119" s="89"/>
      <c r="AZ119" s="90">
        <f t="shared" si="13"/>
        <v>0</v>
      </c>
      <c r="BA119" s="90">
        <f>SUM($AV119:AY119)</f>
        <v>0</v>
      </c>
    </row>
    <row r="120" spans="16:53" x14ac:dyDescent="0.25">
      <c r="P120" s="90">
        <f t="shared" si="11"/>
        <v>0</v>
      </c>
      <c r="Q120" s="90">
        <f>SUM($L120:O120)</f>
        <v>0</v>
      </c>
      <c r="R120" s="89"/>
      <c r="AH120" s="90">
        <f t="shared" si="12"/>
        <v>0</v>
      </c>
      <c r="AI120" s="90">
        <f>SUM($AD120:AG120)</f>
        <v>0</v>
      </c>
      <c r="AJ120" s="89"/>
      <c r="AZ120" s="90">
        <f t="shared" si="13"/>
        <v>0</v>
      </c>
      <c r="BA120" s="90">
        <f>SUM($AV120:AY120)</f>
        <v>0</v>
      </c>
    </row>
    <row r="121" spans="16:53" x14ac:dyDescent="0.25">
      <c r="P121" s="90">
        <f t="shared" si="11"/>
        <v>0</v>
      </c>
      <c r="Q121" s="90">
        <f>SUM($L121:O121)</f>
        <v>0</v>
      </c>
      <c r="R121" s="89"/>
      <c r="AH121" s="90">
        <f t="shared" si="12"/>
        <v>0</v>
      </c>
      <c r="AI121" s="90">
        <f>SUM($AD121:AG121)</f>
        <v>0</v>
      </c>
      <c r="AJ121" s="89"/>
      <c r="AZ121" s="90">
        <f t="shared" si="13"/>
        <v>0</v>
      </c>
      <c r="BA121" s="90">
        <f>SUM($AV121:AY121)</f>
        <v>0</v>
      </c>
    </row>
    <row r="122" spans="16:53" x14ac:dyDescent="0.25">
      <c r="P122" s="90">
        <f t="shared" si="11"/>
        <v>0</v>
      </c>
      <c r="Q122" s="90">
        <f>SUM($L122:O122)</f>
        <v>0</v>
      </c>
      <c r="R122" s="89"/>
      <c r="AH122" s="90">
        <f t="shared" si="12"/>
        <v>0</v>
      </c>
      <c r="AI122" s="90">
        <f>SUM($AD122:AG122)</f>
        <v>0</v>
      </c>
      <c r="AJ122" s="89"/>
      <c r="AZ122" s="90">
        <f t="shared" si="13"/>
        <v>0</v>
      </c>
      <c r="BA122" s="90">
        <f>SUM($AV122:AY122)</f>
        <v>0</v>
      </c>
    </row>
    <row r="123" spans="16:53" x14ac:dyDescent="0.25">
      <c r="P123" s="90">
        <f t="shared" si="11"/>
        <v>0</v>
      </c>
      <c r="Q123" s="90">
        <f>SUM($L123:O123)</f>
        <v>0</v>
      </c>
      <c r="R123" s="89"/>
      <c r="AH123" s="90">
        <f t="shared" si="12"/>
        <v>0</v>
      </c>
      <c r="AI123" s="90">
        <f>SUM($AD123:AG123)</f>
        <v>0</v>
      </c>
      <c r="AJ123" s="89"/>
      <c r="AZ123" s="90">
        <f t="shared" si="13"/>
        <v>0</v>
      </c>
      <c r="BA123" s="90">
        <f>SUM($AV123:AY123)</f>
        <v>0</v>
      </c>
    </row>
    <row r="124" spans="16:53" x14ac:dyDescent="0.25">
      <c r="P124" s="90">
        <f t="shared" si="11"/>
        <v>0</v>
      </c>
      <c r="Q124" s="90">
        <f>SUM($L124:O124)</f>
        <v>0</v>
      </c>
      <c r="R124" s="89"/>
      <c r="AH124" s="90">
        <f t="shared" si="12"/>
        <v>0</v>
      </c>
      <c r="AI124" s="90">
        <f>SUM($AD124:AG124)</f>
        <v>0</v>
      </c>
      <c r="AJ124" s="89"/>
      <c r="AZ124" s="90">
        <f t="shared" si="13"/>
        <v>0</v>
      </c>
      <c r="BA124" s="90">
        <f>SUM($AV124:AY124)</f>
        <v>0</v>
      </c>
    </row>
    <row r="125" spans="16:53" x14ac:dyDescent="0.25">
      <c r="P125" s="90">
        <f t="shared" si="11"/>
        <v>0</v>
      </c>
      <c r="Q125" s="90">
        <f>SUM($L125:O125)</f>
        <v>0</v>
      </c>
      <c r="R125" s="89"/>
      <c r="AH125" s="90">
        <f t="shared" si="12"/>
        <v>0</v>
      </c>
      <c r="AI125" s="90">
        <f>SUM($AD125:AG125)</f>
        <v>0</v>
      </c>
      <c r="AJ125" s="89"/>
      <c r="AZ125" s="90">
        <f t="shared" si="13"/>
        <v>0</v>
      </c>
      <c r="BA125" s="90">
        <f>SUM($AV125:AY125)</f>
        <v>0</v>
      </c>
    </row>
    <row r="126" spans="16:53" x14ac:dyDescent="0.25">
      <c r="P126" s="90">
        <f t="shared" si="11"/>
        <v>0</v>
      </c>
      <c r="Q126" s="90">
        <f>SUM($L126:O126)</f>
        <v>0</v>
      </c>
      <c r="R126" s="89"/>
      <c r="AH126" s="90">
        <f t="shared" si="12"/>
        <v>0</v>
      </c>
      <c r="AI126" s="90">
        <f>SUM($AD126:AG126)</f>
        <v>0</v>
      </c>
      <c r="AJ126" s="89"/>
      <c r="AZ126" s="90">
        <f t="shared" si="13"/>
        <v>0</v>
      </c>
      <c r="BA126" s="90">
        <f>SUM($AV126:AY126)</f>
        <v>0</v>
      </c>
    </row>
    <row r="127" spans="16:53" x14ac:dyDescent="0.25">
      <c r="P127" s="90">
        <f t="shared" si="11"/>
        <v>0</v>
      </c>
      <c r="Q127" s="90">
        <f>SUM($L127:O127)</f>
        <v>0</v>
      </c>
      <c r="R127" s="89"/>
      <c r="AH127" s="90">
        <f t="shared" si="12"/>
        <v>0</v>
      </c>
      <c r="AI127" s="90">
        <f>SUM($AD127:AG127)</f>
        <v>0</v>
      </c>
      <c r="AJ127" s="89"/>
      <c r="AZ127" s="90">
        <f t="shared" si="13"/>
        <v>0</v>
      </c>
      <c r="BA127" s="90">
        <f>SUM($AV127:AY127)</f>
        <v>0</v>
      </c>
    </row>
    <row r="128" spans="16:53" x14ac:dyDescent="0.25">
      <c r="P128" s="90">
        <f t="shared" si="11"/>
        <v>0</v>
      </c>
      <c r="Q128" s="90">
        <f>SUM($L128:O128)</f>
        <v>0</v>
      </c>
      <c r="R128" s="89"/>
      <c r="AH128" s="90">
        <f t="shared" si="12"/>
        <v>0</v>
      </c>
      <c r="AI128" s="90">
        <f>SUM($AD128:AG128)</f>
        <v>0</v>
      </c>
      <c r="AJ128" s="89"/>
      <c r="AZ128" s="90">
        <f t="shared" si="13"/>
        <v>0</v>
      </c>
      <c r="BA128" s="90">
        <f>SUM($AV128:AY128)</f>
        <v>0</v>
      </c>
    </row>
    <row r="129" spans="16:53" x14ac:dyDescent="0.25">
      <c r="P129" s="90">
        <f t="shared" si="11"/>
        <v>0</v>
      </c>
      <c r="Q129" s="90">
        <f>SUM($L129:O129)</f>
        <v>0</v>
      </c>
      <c r="R129" s="89"/>
      <c r="AH129" s="90">
        <f t="shared" si="12"/>
        <v>0</v>
      </c>
      <c r="AI129" s="90">
        <f>SUM($AD129:AG129)</f>
        <v>0</v>
      </c>
      <c r="AJ129" s="89"/>
      <c r="AZ129" s="90">
        <f t="shared" si="13"/>
        <v>0</v>
      </c>
      <c r="BA129" s="90">
        <f>SUM($AV129:AY129)</f>
        <v>0</v>
      </c>
    </row>
    <row r="130" spans="16:53" x14ac:dyDescent="0.25">
      <c r="P130" s="90">
        <f t="shared" si="11"/>
        <v>0</v>
      </c>
      <c r="Q130" s="90">
        <f>SUM($L130:O130)</f>
        <v>0</v>
      </c>
      <c r="R130" s="89"/>
      <c r="AH130" s="90">
        <f t="shared" si="12"/>
        <v>0</v>
      </c>
      <c r="AI130" s="90">
        <f>SUM($AD130:AG130)</f>
        <v>0</v>
      </c>
      <c r="AJ130" s="89"/>
      <c r="AZ130" s="90">
        <f t="shared" si="13"/>
        <v>0</v>
      </c>
      <c r="BA130" s="90">
        <f>SUM($AV130:AY130)</f>
        <v>0</v>
      </c>
    </row>
    <row r="131" spans="16:53" x14ac:dyDescent="0.25">
      <c r="P131" s="90">
        <f t="shared" si="11"/>
        <v>0</v>
      </c>
      <c r="Q131" s="90">
        <f>SUM($L131:O131)</f>
        <v>0</v>
      </c>
      <c r="R131" s="89"/>
      <c r="AH131" s="90">
        <f t="shared" si="12"/>
        <v>0</v>
      </c>
      <c r="AI131" s="90">
        <f>SUM($AD131:AG131)</f>
        <v>0</v>
      </c>
      <c r="AJ131" s="89"/>
      <c r="AZ131" s="90">
        <f t="shared" si="13"/>
        <v>0</v>
      </c>
      <c r="BA131" s="90">
        <f>SUM($AV131:AY131)</f>
        <v>0</v>
      </c>
    </row>
    <row r="132" spans="16:53" x14ac:dyDescent="0.25">
      <c r="P132" s="90">
        <f t="shared" si="11"/>
        <v>0</v>
      </c>
      <c r="Q132" s="90">
        <f>SUM($L132:O132)</f>
        <v>0</v>
      </c>
      <c r="R132" s="89"/>
      <c r="AH132" s="90">
        <f t="shared" si="12"/>
        <v>0</v>
      </c>
      <c r="AI132" s="90">
        <f>SUM($AD132:AG132)</f>
        <v>0</v>
      </c>
      <c r="AJ132" s="89"/>
      <c r="AZ132" s="90">
        <f t="shared" si="13"/>
        <v>0</v>
      </c>
      <c r="BA132" s="90">
        <f>SUM($AV132:AY132)</f>
        <v>0</v>
      </c>
    </row>
    <row r="133" spans="16:53" x14ac:dyDescent="0.25">
      <c r="P133" s="90">
        <f t="shared" ref="P133:P196" si="14">SUM(B133:K133)</f>
        <v>0</v>
      </c>
      <c r="Q133" s="90">
        <f>SUM($L133:O133)</f>
        <v>0</v>
      </c>
      <c r="R133" s="89"/>
      <c r="AH133" s="90">
        <f t="shared" ref="AH133:AH196" si="15">SUM(T133:AC133)</f>
        <v>0</v>
      </c>
      <c r="AI133" s="90">
        <f>SUM($AD133:AG133)</f>
        <v>0</v>
      </c>
      <c r="AJ133" s="89"/>
      <c r="AZ133" s="90">
        <f t="shared" ref="AZ133:AZ196" si="16">SUM(AL133:AU133)</f>
        <v>0</v>
      </c>
      <c r="BA133" s="90">
        <f>SUM($AV133:AY133)</f>
        <v>0</v>
      </c>
    </row>
    <row r="134" spans="16:53" x14ac:dyDescent="0.25">
      <c r="P134" s="90">
        <f t="shared" si="14"/>
        <v>0</v>
      </c>
      <c r="Q134" s="90">
        <f>SUM($L134:O134)</f>
        <v>0</v>
      </c>
      <c r="R134" s="89"/>
      <c r="AH134" s="90">
        <f t="shared" si="15"/>
        <v>0</v>
      </c>
      <c r="AI134" s="90">
        <f>SUM($AD134:AG134)</f>
        <v>0</v>
      </c>
      <c r="AJ134" s="89"/>
      <c r="AZ134" s="90">
        <f t="shared" si="16"/>
        <v>0</v>
      </c>
      <c r="BA134" s="90">
        <f>SUM($AV134:AY134)</f>
        <v>0</v>
      </c>
    </row>
    <row r="135" spans="16:53" x14ac:dyDescent="0.25">
      <c r="P135" s="90">
        <f t="shared" si="14"/>
        <v>0</v>
      </c>
      <c r="Q135" s="90">
        <f>SUM($L135:O135)</f>
        <v>0</v>
      </c>
      <c r="R135" s="89"/>
      <c r="AH135" s="90">
        <f t="shared" si="15"/>
        <v>0</v>
      </c>
      <c r="AI135" s="90">
        <f>SUM($AD135:AG135)</f>
        <v>0</v>
      </c>
      <c r="AJ135" s="89"/>
      <c r="AZ135" s="90">
        <f t="shared" si="16"/>
        <v>0</v>
      </c>
      <c r="BA135" s="90">
        <f>SUM($AV135:AY135)</f>
        <v>0</v>
      </c>
    </row>
    <row r="136" spans="16:53" x14ac:dyDescent="0.25">
      <c r="P136" s="90">
        <f t="shared" si="14"/>
        <v>0</v>
      </c>
      <c r="Q136" s="90">
        <f>SUM($L136:O136)</f>
        <v>0</v>
      </c>
      <c r="R136" s="89"/>
      <c r="AH136" s="90">
        <f t="shared" si="15"/>
        <v>0</v>
      </c>
      <c r="AI136" s="90">
        <f>SUM($AD136:AG136)</f>
        <v>0</v>
      </c>
      <c r="AJ136" s="89"/>
      <c r="AZ136" s="90">
        <f t="shared" si="16"/>
        <v>0</v>
      </c>
      <c r="BA136" s="90">
        <f>SUM($AV136:AY136)</f>
        <v>0</v>
      </c>
    </row>
    <row r="137" spans="16:53" x14ac:dyDescent="0.25">
      <c r="P137" s="90">
        <f t="shared" si="14"/>
        <v>0</v>
      </c>
      <c r="Q137" s="90">
        <f>SUM($L137:O137)</f>
        <v>0</v>
      </c>
      <c r="R137" s="89"/>
      <c r="AH137" s="90">
        <f t="shared" si="15"/>
        <v>0</v>
      </c>
      <c r="AI137" s="90">
        <f>SUM($AD137:AG137)</f>
        <v>0</v>
      </c>
      <c r="AJ137" s="89"/>
      <c r="AZ137" s="90">
        <f t="shared" si="16"/>
        <v>0</v>
      </c>
      <c r="BA137" s="90">
        <f>SUM($AV137:AY137)</f>
        <v>0</v>
      </c>
    </row>
    <row r="138" spans="16:53" x14ac:dyDescent="0.25">
      <c r="P138" s="90">
        <f t="shared" si="14"/>
        <v>0</v>
      </c>
      <c r="Q138" s="90">
        <f>SUM($L138:O138)</f>
        <v>0</v>
      </c>
      <c r="R138" s="89"/>
      <c r="AH138" s="90">
        <f t="shared" si="15"/>
        <v>0</v>
      </c>
      <c r="AI138" s="90">
        <f>SUM($AD138:AG138)</f>
        <v>0</v>
      </c>
      <c r="AJ138" s="89"/>
      <c r="AZ138" s="90">
        <f t="shared" si="16"/>
        <v>0</v>
      </c>
      <c r="BA138" s="90">
        <f>SUM($AV138:AY138)</f>
        <v>0</v>
      </c>
    </row>
    <row r="139" spans="16:53" x14ac:dyDescent="0.25">
      <c r="P139" s="90">
        <f t="shared" si="14"/>
        <v>0</v>
      </c>
      <c r="Q139" s="90">
        <f>SUM($L139:O139)</f>
        <v>0</v>
      </c>
      <c r="R139" s="89"/>
      <c r="AH139" s="90">
        <f t="shared" si="15"/>
        <v>0</v>
      </c>
      <c r="AI139" s="90">
        <f>SUM($AD139:AG139)</f>
        <v>0</v>
      </c>
      <c r="AJ139" s="89"/>
      <c r="AZ139" s="90">
        <f t="shared" si="16"/>
        <v>0</v>
      </c>
      <c r="BA139" s="90">
        <f>SUM($AV139:AY139)</f>
        <v>0</v>
      </c>
    </row>
    <row r="140" spans="16:53" x14ac:dyDescent="0.25">
      <c r="P140" s="90">
        <f t="shared" si="14"/>
        <v>0</v>
      </c>
      <c r="Q140" s="90">
        <f>SUM($L140:O140)</f>
        <v>0</v>
      </c>
      <c r="R140" s="89"/>
      <c r="AH140" s="90">
        <f t="shared" si="15"/>
        <v>0</v>
      </c>
      <c r="AI140" s="90">
        <f>SUM($AD140:AG140)</f>
        <v>0</v>
      </c>
      <c r="AJ140" s="89"/>
      <c r="AZ140" s="90">
        <f t="shared" si="16"/>
        <v>0</v>
      </c>
      <c r="BA140" s="90">
        <f>SUM($AV140:AY140)</f>
        <v>0</v>
      </c>
    </row>
    <row r="141" spans="16:53" x14ac:dyDescent="0.25">
      <c r="P141" s="90">
        <f t="shared" si="14"/>
        <v>0</v>
      </c>
      <c r="Q141" s="90">
        <f>SUM($L141:O141)</f>
        <v>0</v>
      </c>
      <c r="R141" s="89"/>
      <c r="AH141" s="90">
        <f t="shared" si="15"/>
        <v>0</v>
      </c>
      <c r="AI141" s="90">
        <f>SUM($AD141:AG141)</f>
        <v>0</v>
      </c>
      <c r="AJ141" s="89"/>
      <c r="AZ141" s="90">
        <f t="shared" si="16"/>
        <v>0</v>
      </c>
      <c r="BA141" s="90">
        <f>SUM($AV141:AY141)</f>
        <v>0</v>
      </c>
    </row>
    <row r="142" spans="16:53" x14ac:dyDescent="0.25">
      <c r="P142" s="90">
        <f t="shared" si="14"/>
        <v>0</v>
      </c>
      <c r="Q142" s="90">
        <f>SUM($L142:O142)</f>
        <v>0</v>
      </c>
      <c r="R142" s="89"/>
      <c r="AH142" s="90">
        <f t="shared" si="15"/>
        <v>0</v>
      </c>
      <c r="AI142" s="90">
        <f>SUM($AD142:AG142)</f>
        <v>0</v>
      </c>
      <c r="AJ142" s="89"/>
      <c r="AZ142" s="90">
        <f t="shared" si="16"/>
        <v>0</v>
      </c>
      <c r="BA142" s="90">
        <f>SUM($AV142:AY142)</f>
        <v>0</v>
      </c>
    </row>
    <row r="143" spans="16:53" x14ac:dyDescent="0.25">
      <c r="P143" s="90">
        <f t="shared" si="14"/>
        <v>0</v>
      </c>
      <c r="Q143" s="90">
        <f>SUM($L143:O143)</f>
        <v>0</v>
      </c>
      <c r="R143" s="89"/>
      <c r="AH143" s="90">
        <f t="shared" si="15"/>
        <v>0</v>
      </c>
      <c r="AI143" s="90">
        <f>SUM($AD143:AG143)</f>
        <v>0</v>
      </c>
      <c r="AJ143" s="89"/>
      <c r="AZ143" s="90">
        <f t="shared" si="16"/>
        <v>0</v>
      </c>
      <c r="BA143" s="90">
        <f>SUM($AV143:AY143)</f>
        <v>0</v>
      </c>
    </row>
    <row r="144" spans="16:53" x14ac:dyDescent="0.25">
      <c r="P144" s="90">
        <f t="shared" si="14"/>
        <v>0</v>
      </c>
      <c r="Q144" s="90">
        <f>SUM($L144:O144)</f>
        <v>0</v>
      </c>
      <c r="R144" s="89"/>
      <c r="AH144" s="90">
        <f t="shared" si="15"/>
        <v>0</v>
      </c>
      <c r="AI144" s="90">
        <f>SUM($AD144:AG144)</f>
        <v>0</v>
      </c>
      <c r="AJ144" s="89"/>
      <c r="AZ144" s="90">
        <f t="shared" si="16"/>
        <v>0</v>
      </c>
      <c r="BA144" s="90">
        <f>SUM($AV144:AY144)</f>
        <v>0</v>
      </c>
    </row>
    <row r="145" spans="16:53" x14ac:dyDescent="0.25">
      <c r="P145" s="90">
        <f t="shared" si="14"/>
        <v>0</v>
      </c>
      <c r="Q145" s="90">
        <f>SUM($L145:O145)</f>
        <v>0</v>
      </c>
      <c r="R145" s="89"/>
      <c r="AH145" s="90">
        <f t="shared" si="15"/>
        <v>0</v>
      </c>
      <c r="AI145" s="90">
        <f>SUM($AD145:AG145)</f>
        <v>0</v>
      </c>
      <c r="AJ145" s="89"/>
      <c r="AZ145" s="90">
        <f t="shared" si="16"/>
        <v>0</v>
      </c>
      <c r="BA145" s="90">
        <f>SUM($AV145:AY145)</f>
        <v>0</v>
      </c>
    </row>
    <row r="146" spans="16:53" x14ac:dyDescent="0.25">
      <c r="P146" s="90">
        <f t="shared" si="14"/>
        <v>0</v>
      </c>
      <c r="Q146" s="90">
        <f>SUM($L146:O146)</f>
        <v>0</v>
      </c>
      <c r="R146" s="89"/>
      <c r="AH146" s="90">
        <f t="shared" si="15"/>
        <v>0</v>
      </c>
      <c r="AI146" s="90">
        <f>SUM($AD146:AG146)</f>
        <v>0</v>
      </c>
      <c r="AJ146" s="89"/>
      <c r="AZ146" s="90">
        <f t="shared" si="16"/>
        <v>0</v>
      </c>
      <c r="BA146" s="90">
        <f>SUM($AV146:AY146)</f>
        <v>0</v>
      </c>
    </row>
    <row r="147" spans="16:53" x14ac:dyDescent="0.25">
      <c r="P147" s="90">
        <f t="shared" si="14"/>
        <v>0</v>
      </c>
      <c r="Q147" s="90">
        <f>SUM($L147:O147)</f>
        <v>0</v>
      </c>
      <c r="R147" s="89"/>
      <c r="AH147" s="90">
        <f t="shared" si="15"/>
        <v>0</v>
      </c>
      <c r="AI147" s="90">
        <f>SUM($AD147:AG147)</f>
        <v>0</v>
      </c>
      <c r="AJ147" s="89"/>
      <c r="AZ147" s="90">
        <f t="shared" si="16"/>
        <v>0</v>
      </c>
      <c r="BA147" s="90">
        <f>SUM($AV147:AY147)</f>
        <v>0</v>
      </c>
    </row>
    <row r="148" spans="16:53" x14ac:dyDescent="0.25">
      <c r="P148" s="90">
        <f t="shared" si="14"/>
        <v>0</v>
      </c>
      <c r="Q148" s="90">
        <f>SUM($L148:O148)</f>
        <v>0</v>
      </c>
      <c r="R148" s="89"/>
      <c r="AH148" s="90">
        <f t="shared" si="15"/>
        <v>0</v>
      </c>
      <c r="AI148" s="90">
        <f>SUM($AD148:AG148)</f>
        <v>0</v>
      </c>
      <c r="AJ148" s="89"/>
      <c r="AZ148" s="90">
        <f t="shared" si="16"/>
        <v>0</v>
      </c>
      <c r="BA148" s="90">
        <f>SUM($AV148:AY148)</f>
        <v>0</v>
      </c>
    </row>
    <row r="149" spans="16:53" x14ac:dyDescent="0.25">
      <c r="P149" s="90">
        <f t="shared" si="14"/>
        <v>0</v>
      </c>
      <c r="Q149" s="90">
        <f>SUM($L149:O149)</f>
        <v>0</v>
      </c>
      <c r="R149" s="89"/>
      <c r="AH149" s="90">
        <f t="shared" si="15"/>
        <v>0</v>
      </c>
      <c r="AI149" s="90">
        <f>SUM($AD149:AG149)</f>
        <v>0</v>
      </c>
      <c r="AJ149" s="89"/>
      <c r="AZ149" s="90">
        <f t="shared" si="16"/>
        <v>0</v>
      </c>
      <c r="BA149" s="90">
        <f>SUM($AV149:AY149)</f>
        <v>0</v>
      </c>
    </row>
    <row r="150" spans="16:53" x14ac:dyDescent="0.25">
      <c r="P150" s="90">
        <f t="shared" si="14"/>
        <v>0</v>
      </c>
      <c r="Q150" s="90">
        <f>SUM($L150:O150)</f>
        <v>0</v>
      </c>
      <c r="R150" s="89"/>
      <c r="AH150" s="90">
        <f t="shared" si="15"/>
        <v>0</v>
      </c>
      <c r="AI150" s="90">
        <f>SUM($AD150:AG150)</f>
        <v>0</v>
      </c>
      <c r="AJ150" s="89"/>
      <c r="AZ150" s="90">
        <f t="shared" si="16"/>
        <v>0</v>
      </c>
      <c r="BA150" s="90">
        <f>SUM($AV150:AY150)</f>
        <v>0</v>
      </c>
    </row>
    <row r="151" spans="16:53" x14ac:dyDescent="0.25">
      <c r="P151" s="90">
        <f t="shared" si="14"/>
        <v>0</v>
      </c>
      <c r="Q151" s="90">
        <f>SUM($L151:O151)</f>
        <v>0</v>
      </c>
      <c r="R151" s="89"/>
      <c r="AH151" s="90">
        <f t="shared" si="15"/>
        <v>0</v>
      </c>
      <c r="AI151" s="90">
        <f>SUM($AD151:AG151)</f>
        <v>0</v>
      </c>
      <c r="AJ151" s="89"/>
      <c r="AZ151" s="90">
        <f t="shared" si="16"/>
        <v>0</v>
      </c>
      <c r="BA151" s="90">
        <f>SUM($AV151:AY151)</f>
        <v>0</v>
      </c>
    </row>
    <row r="152" spans="16:53" x14ac:dyDescent="0.25">
      <c r="P152" s="90">
        <f t="shared" si="14"/>
        <v>0</v>
      </c>
      <c r="Q152" s="90">
        <f>SUM($L152:O152)</f>
        <v>0</v>
      </c>
      <c r="R152" s="89"/>
      <c r="AH152" s="90">
        <f t="shared" si="15"/>
        <v>0</v>
      </c>
      <c r="AI152" s="90">
        <f>SUM($AD152:AG152)</f>
        <v>0</v>
      </c>
      <c r="AJ152" s="89"/>
      <c r="AZ152" s="90">
        <f t="shared" si="16"/>
        <v>0</v>
      </c>
      <c r="BA152" s="90">
        <f>SUM($AV152:AY152)</f>
        <v>0</v>
      </c>
    </row>
    <row r="153" spans="16:53" x14ac:dyDescent="0.25">
      <c r="P153" s="90">
        <f t="shared" si="14"/>
        <v>0</v>
      </c>
      <c r="Q153" s="90">
        <f>SUM($L153:O153)</f>
        <v>0</v>
      </c>
      <c r="R153" s="89"/>
      <c r="AH153" s="90">
        <f t="shared" si="15"/>
        <v>0</v>
      </c>
      <c r="AI153" s="90">
        <f>SUM($AD153:AG153)</f>
        <v>0</v>
      </c>
      <c r="AJ153" s="89"/>
      <c r="AZ153" s="90">
        <f t="shared" si="16"/>
        <v>0</v>
      </c>
      <c r="BA153" s="90">
        <f>SUM($AV153:AY153)</f>
        <v>0</v>
      </c>
    </row>
    <row r="154" spans="16:53" x14ac:dyDescent="0.25">
      <c r="P154" s="90">
        <f t="shared" si="14"/>
        <v>0</v>
      </c>
      <c r="Q154" s="90">
        <f>SUM($L154:O154)</f>
        <v>0</v>
      </c>
      <c r="R154" s="89"/>
      <c r="AH154" s="90">
        <f t="shared" si="15"/>
        <v>0</v>
      </c>
      <c r="AI154" s="90">
        <f>SUM($AD154:AG154)</f>
        <v>0</v>
      </c>
      <c r="AJ154" s="89"/>
      <c r="AZ154" s="90">
        <f t="shared" si="16"/>
        <v>0</v>
      </c>
      <c r="BA154" s="90">
        <f>SUM($AV154:AY154)</f>
        <v>0</v>
      </c>
    </row>
    <row r="155" spans="16:53" x14ac:dyDescent="0.25">
      <c r="P155" s="90">
        <f t="shared" si="14"/>
        <v>0</v>
      </c>
      <c r="Q155" s="90">
        <f>SUM($L155:O155)</f>
        <v>0</v>
      </c>
      <c r="R155" s="89"/>
      <c r="AH155" s="90">
        <f t="shared" si="15"/>
        <v>0</v>
      </c>
      <c r="AI155" s="90">
        <f>SUM($AD155:AG155)</f>
        <v>0</v>
      </c>
      <c r="AJ155" s="89"/>
      <c r="AZ155" s="90">
        <f t="shared" si="16"/>
        <v>0</v>
      </c>
      <c r="BA155" s="90">
        <f>SUM($AV155:AY155)</f>
        <v>0</v>
      </c>
    </row>
    <row r="156" spans="16:53" x14ac:dyDescent="0.25">
      <c r="P156" s="90">
        <f t="shared" si="14"/>
        <v>0</v>
      </c>
      <c r="Q156" s="90">
        <f>SUM($L156:O156)</f>
        <v>0</v>
      </c>
      <c r="R156" s="89"/>
      <c r="AH156" s="90">
        <f t="shared" si="15"/>
        <v>0</v>
      </c>
      <c r="AI156" s="90">
        <f>SUM($AD156:AG156)</f>
        <v>0</v>
      </c>
      <c r="AJ156" s="89"/>
      <c r="AZ156" s="90">
        <f t="shared" si="16"/>
        <v>0</v>
      </c>
      <c r="BA156" s="90">
        <f>SUM($AV156:AY156)</f>
        <v>0</v>
      </c>
    </row>
    <row r="157" spans="16:53" x14ac:dyDescent="0.25">
      <c r="P157" s="90">
        <f t="shared" si="14"/>
        <v>0</v>
      </c>
      <c r="Q157" s="90">
        <f>SUM($L157:O157)</f>
        <v>0</v>
      </c>
      <c r="R157" s="89"/>
      <c r="AH157" s="90">
        <f t="shared" si="15"/>
        <v>0</v>
      </c>
      <c r="AI157" s="90">
        <f>SUM($AD157:AG157)</f>
        <v>0</v>
      </c>
      <c r="AJ157" s="89"/>
      <c r="AZ157" s="90">
        <f t="shared" si="16"/>
        <v>0</v>
      </c>
      <c r="BA157" s="90">
        <f>SUM($AV157:AY157)</f>
        <v>0</v>
      </c>
    </row>
    <row r="158" spans="16:53" x14ac:dyDescent="0.25">
      <c r="P158" s="90">
        <f t="shared" si="14"/>
        <v>0</v>
      </c>
      <c r="Q158" s="90">
        <f>SUM($L158:O158)</f>
        <v>0</v>
      </c>
      <c r="R158" s="89"/>
      <c r="AH158" s="90">
        <f t="shared" si="15"/>
        <v>0</v>
      </c>
      <c r="AI158" s="90">
        <f>SUM($AD158:AG158)</f>
        <v>0</v>
      </c>
      <c r="AJ158" s="89"/>
      <c r="AZ158" s="90">
        <f t="shared" si="16"/>
        <v>0</v>
      </c>
      <c r="BA158" s="90">
        <f>SUM($AV158:AY158)</f>
        <v>0</v>
      </c>
    </row>
    <row r="159" spans="16:53" x14ac:dyDescent="0.25">
      <c r="P159" s="90">
        <f t="shared" si="14"/>
        <v>0</v>
      </c>
      <c r="Q159" s="90">
        <f>SUM($L159:O159)</f>
        <v>0</v>
      </c>
      <c r="R159" s="89"/>
      <c r="AH159" s="90">
        <f t="shared" si="15"/>
        <v>0</v>
      </c>
      <c r="AI159" s="90">
        <f>SUM($AD159:AG159)</f>
        <v>0</v>
      </c>
      <c r="AJ159" s="89"/>
      <c r="AZ159" s="90">
        <f t="shared" si="16"/>
        <v>0</v>
      </c>
      <c r="BA159" s="90">
        <f>SUM($AV159:AY159)</f>
        <v>0</v>
      </c>
    </row>
    <row r="160" spans="16:53" x14ac:dyDescent="0.25">
      <c r="P160" s="90">
        <f t="shared" si="14"/>
        <v>0</v>
      </c>
      <c r="Q160" s="90">
        <f>SUM($L160:O160)</f>
        <v>0</v>
      </c>
      <c r="R160" s="89"/>
      <c r="AH160" s="90">
        <f t="shared" si="15"/>
        <v>0</v>
      </c>
      <c r="AI160" s="90">
        <f>SUM($AD160:AG160)</f>
        <v>0</v>
      </c>
      <c r="AJ160" s="89"/>
      <c r="AZ160" s="90">
        <f t="shared" si="16"/>
        <v>0</v>
      </c>
      <c r="BA160" s="90">
        <f>SUM($AV160:AY160)</f>
        <v>0</v>
      </c>
    </row>
    <row r="161" spans="16:53" x14ac:dyDescent="0.25">
      <c r="P161" s="90">
        <f t="shared" si="14"/>
        <v>0</v>
      </c>
      <c r="Q161" s="90">
        <f>SUM($L161:O161)</f>
        <v>0</v>
      </c>
      <c r="R161" s="89"/>
      <c r="AH161" s="90">
        <f t="shared" si="15"/>
        <v>0</v>
      </c>
      <c r="AI161" s="90">
        <f>SUM($AD161:AG161)</f>
        <v>0</v>
      </c>
      <c r="AJ161" s="89"/>
      <c r="AZ161" s="90">
        <f t="shared" si="16"/>
        <v>0</v>
      </c>
      <c r="BA161" s="90">
        <f>SUM($AV161:AY161)</f>
        <v>0</v>
      </c>
    </row>
    <row r="162" spans="16:53" x14ac:dyDescent="0.25">
      <c r="P162" s="90">
        <f t="shared" si="14"/>
        <v>0</v>
      </c>
      <c r="Q162" s="90">
        <f>SUM($L162:O162)</f>
        <v>0</v>
      </c>
      <c r="R162" s="89"/>
      <c r="AH162" s="90">
        <f t="shared" si="15"/>
        <v>0</v>
      </c>
      <c r="AI162" s="90">
        <f>SUM($AD162:AG162)</f>
        <v>0</v>
      </c>
      <c r="AJ162" s="89"/>
      <c r="AZ162" s="90">
        <f t="shared" si="16"/>
        <v>0</v>
      </c>
      <c r="BA162" s="90">
        <f>SUM($AV162:AY162)</f>
        <v>0</v>
      </c>
    </row>
    <row r="163" spans="16:53" x14ac:dyDescent="0.25">
      <c r="P163" s="90">
        <f t="shared" si="14"/>
        <v>0</v>
      </c>
      <c r="Q163" s="90">
        <f>SUM($L163:O163)</f>
        <v>0</v>
      </c>
      <c r="R163" s="89"/>
      <c r="AH163" s="90">
        <f t="shared" si="15"/>
        <v>0</v>
      </c>
      <c r="AI163" s="90">
        <f>SUM($AD163:AG163)</f>
        <v>0</v>
      </c>
      <c r="AJ163" s="89"/>
      <c r="AZ163" s="90">
        <f t="shared" si="16"/>
        <v>0</v>
      </c>
      <c r="BA163" s="90">
        <f>SUM($AV163:AY163)</f>
        <v>0</v>
      </c>
    </row>
    <row r="164" spans="16:53" x14ac:dyDescent="0.25">
      <c r="P164" s="90">
        <f t="shared" si="14"/>
        <v>0</v>
      </c>
      <c r="Q164" s="90">
        <f>SUM($L164:O164)</f>
        <v>0</v>
      </c>
      <c r="R164" s="89"/>
      <c r="AH164" s="90">
        <f t="shared" si="15"/>
        <v>0</v>
      </c>
      <c r="AI164" s="90">
        <f>SUM($AD164:AG164)</f>
        <v>0</v>
      </c>
      <c r="AJ164" s="89"/>
      <c r="AZ164" s="90">
        <f t="shared" si="16"/>
        <v>0</v>
      </c>
      <c r="BA164" s="90">
        <f>SUM($AV164:AY164)</f>
        <v>0</v>
      </c>
    </row>
    <row r="165" spans="16:53" x14ac:dyDescent="0.25">
      <c r="P165" s="90">
        <f t="shared" si="14"/>
        <v>0</v>
      </c>
      <c r="Q165" s="90">
        <f>SUM($L165:O165)</f>
        <v>0</v>
      </c>
      <c r="R165" s="89"/>
      <c r="AH165" s="90">
        <f t="shared" si="15"/>
        <v>0</v>
      </c>
      <c r="AI165" s="90">
        <f>SUM($AD165:AG165)</f>
        <v>0</v>
      </c>
      <c r="AJ165" s="89"/>
      <c r="AZ165" s="90">
        <f t="shared" si="16"/>
        <v>0</v>
      </c>
      <c r="BA165" s="90">
        <f>SUM($AV165:AY165)</f>
        <v>0</v>
      </c>
    </row>
    <row r="166" spans="16:53" x14ac:dyDescent="0.25">
      <c r="P166" s="90">
        <f t="shared" si="14"/>
        <v>0</v>
      </c>
      <c r="Q166" s="90">
        <f>SUM($L166:O166)</f>
        <v>0</v>
      </c>
      <c r="R166" s="89"/>
      <c r="AH166" s="90">
        <f t="shared" si="15"/>
        <v>0</v>
      </c>
      <c r="AI166" s="90">
        <f>SUM($AD166:AG166)</f>
        <v>0</v>
      </c>
      <c r="AJ166" s="89"/>
      <c r="AZ166" s="90">
        <f t="shared" si="16"/>
        <v>0</v>
      </c>
      <c r="BA166" s="90">
        <f>SUM($AV166:AY166)</f>
        <v>0</v>
      </c>
    </row>
    <row r="167" spans="16:53" x14ac:dyDescent="0.25">
      <c r="P167" s="90">
        <f t="shared" si="14"/>
        <v>0</v>
      </c>
      <c r="Q167" s="90">
        <f>SUM($L167:O167)</f>
        <v>0</v>
      </c>
      <c r="R167" s="89"/>
      <c r="AH167" s="90">
        <f t="shared" si="15"/>
        <v>0</v>
      </c>
      <c r="AI167" s="90">
        <f>SUM($AD167:AG167)</f>
        <v>0</v>
      </c>
      <c r="AJ167" s="89"/>
      <c r="AZ167" s="90">
        <f t="shared" si="16"/>
        <v>0</v>
      </c>
      <c r="BA167" s="90">
        <f>SUM($AV167:AY167)</f>
        <v>0</v>
      </c>
    </row>
    <row r="168" spans="16:53" x14ac:dyDescent="0.25">
      <c r="P168" s="90">
        <f t="shared" si="14"/>
        <v>0</v>
      </c>
      <c r="Q168" s="90">
        <f>SUM($L168:O168)</f>
        <v>0</v>
      </c>
      <c r="R168" s="89"/>
      <c r="AH168" s="90">
        <f t="shared" si="15"/>
        <v>0</v>
      </c>
      <c r="AI168" s="90">
        <f>SUM($AD168:AG168)</f>
        <v>0</v>
      </c>
      <c r="AJ168" s="89"/>
      <c r="AZ168" s="90">
        <f t="shared" si="16"/>
        <v>0</v>
      </c>
      <c r="BA168" s="90">
        <f>SUM($AV168:AY168)</f>
        <v>0</v>
      </c>
    </row>
    <row r="169" spans="16:53" x14ac:dyDescent="0.25">
      <c r="P169" s="90">
        <f t="shared" si="14"/>
        <v>0</v>
      </c>
      <c r="Q169" s="90">
        <f>SUM($L169:O169)</f>
        <v>0</v>
      </c>
      <c r="R169" s="89"/>
      <c r="AH169" s="90">
        <f t="shared" si="15"/>
        <v>0</v>
      </c>
      <c r="AI169" s="90">
        <f>SUM($AD169:AG169)</f>
        <v>0</v>
      </c>
      <c r="AJ169" s="89"/>
      <c r="AZ169" s="90">
        <f t="shared" si="16"/>
        <v>0</v>
      </c>
      <c r="BA169" s="90">
        <f>SUM($AV169:AY169)</f>
        <v>0</v>
      </c>
    </row>
    <row r="170" spans="16:53" x14ac:dyDescent="0.25">
      <c r="P170" s="90">
        <f t="shared" si="14"/>
        <v>0</v>
      </c>
      <c r="Q170" s="90">
        <f>SUM($L170:O170)</f>
        <v>0</v>
      </c>
      <c r="R170" s="89"/>
      <c r="AH170" s="90">
        <f t="shared" si="15"/>
        <v>0</v>
      </c>
      <c r="AI170" s="90">
        <f>SUM($AD170:AG170)</f>
        <v>0</v>
      </c>
      <c r="AJ170" s="89"/>
      <c r="AZ170" s="90">
        <f t="shared" si="16"/>
        <v>0</v>
      </c>
      <c r="BA170" s="90">
        <f>SUM($AV170:AY170)</f>
        <v>0</v>
      </c>
    </row>
    <row r="171" spans="16:53" x14ac:dyDescent="0.25">
      <c r="P171" s="90">
        <f t="shared" si="14"/>
        <v>0</v>
      </c>
      <c r="Q171" s="90">
        <f>SUM($L171:O171)</f>
        <v>0</v>
      </c>
      <c r="R171" s="89"/>
      <c r="AH171" s="90">
        <f t="shared" si="15"/>
        <v>0</v>
      </c>
      <c r="AI171" s="90">
        <f>SUM($AD171:AG171)</f>
        <v>0</v>
      </c>
      <c r="AJ171" s="89"/>
      <c r="AZ171" s="90">
        <f t="shared" si="16"/>
        <v>0</v>
      </c>
      <c r="BA171" s="90">
        <f>SUM($AV171:AY171)</f>
        <v>0</v>
      </c>
    </row>
    <row r="172" spans="16:53" x14ac:dyDescent="0.25">
      <c r="P172" s="90">
        <f t="shared" si="14"/>
        <v>0</v>
      </c>
      <c r="Q172" s="90">
        <f>SUM($L172:O172)</f>
        <v>0</v>
      </c>
      <c r="R172" s="89"/>
      <c r="AH172" s="90">
        <f t="shared" si="15"/>
        <v>0</v>
      </c>
      <c r="AI172" s="90">
        <f>SUM($AD172:AG172)</f>
        <v>0</v>
      </c>
      <c r="AJ172" s="89"/>
      <c r="AZ172" s="90">
        <f t="shared" si="16"/>
        <v>0</v>
      </c>
      <c r="BA172" s="90">
        <f>SUM($AV172:AY172)</f>
        <v>0</v>
      </c>
    </row>
    <row r="173" spans="16:53" x14ac:dyDescent="0.25">
      <c r="P173" s="90">
        <f t="shared" si="14"/>
        <v>0</v>
      </c>
      <c r="Q173" s="90">
        <f>SUM($L173:O173)</f>
        <v>0</v>
      </c>
      <c r="R173" s="89"/>
      <c r="AH173" s="90">
        <f t="shared" si="15"/>
        <v>0</v>
      </c>
      <c r="AI173" s="90">
        <f>SUM($AD173:AG173)</f>
        <v>0</v>
      </c>
      <c r="AJ173" s="89"/>
      <c r="AZ173" s="90">
        <f t="shared" si="16"/>
        <v>0</v>
      </c>
      <c r="BA173" s="90">
        <f>SUM($AV173:AY173)</f>
        <v>0</v>
      </c>
    </row>
    <row r="174" spans="16:53" x14ac:dyDescent="0.25">
      <c r="P174" s="90">
        <f t="shared" si="14"/>
        <v>0</v>
      </c>
      <c r="Q174" s="90">
        <f>SUM($L174:O174)</f>
        <v>0</v>
      </c>
      <c r="R174" s="89"/>
      <c r="AH174" s="90">
        <f t="shared" si="15"/>
        <v>0</v>
      </c>
      <c r="AI174" s="90">
        <f>SUM($AD174:AG174)</f>
        <v>0</v>
      </c>
      <c r="AJ174" s="89"/>
      <c r="AZ174" s="90">
        <f t="shared" si="16"/>
        <v>0</v>
      </c>
      <c r="BA174" s="90">
        <f>SUM($AV174:AY174)</f>
        <v>0</v>
      </c>
    </row>
    <row r="175" spans="16:53" x14ac:dyDescent="0.25">
      <c r="P175" s="90">
        <f t="shared" si="14"/>
        <v>0</v>
      </c>
      <c r="Q175" s="90">
        <f>SUM($L175:O175)</f>
        <v>0</v>
      </c>
      <c r="R175" s="89"/>
      <c r="AH175" s="90">
        <f t="shared" si="15"/>
        <v>0</v>
      </c>
      <c r="AI175" s="90">
        <f>SUM($AD175:AG175)</f>
        <v>0</v>
      </c>
      <c r="AJ175" s="89"/>
      <c r="AZ175" s="90">
        <f t="shared" si="16"/>
        <v>0</v>
      </c>
      <c r="BA175" s="90">
        <f>SUM($AV175:AY175)</f>
        <v>0</v>
      </c>
    </row>
    <row r="176" spans="16:53" x14ac:dyDescent="0.25">
      <c r="P176" s="90">
        <f t="shared" si="14"/>
        <v>0</v>
      </c>
      <c r="Q176" s="90">
        <f>SUM($L176:O176)</f>
        <v>0</v>
      </c>
      <c r="R176" s="89"/>
      <c r="AH176" s="90">
        <f t="shared" si="15"/>
        <v>0</v>
      </c>
      <c r="AI176" s="90">
        <f>SUM($AD176:AG176)</f>
        <v>0</v>
      </c>
      <c r="AJ176" s="89"/>
      <c r="AZ176" s="90">
        <f t="shared" si="16"/>
        <v>0</v>
      </c>
      <c r="BA176" s="90">
        <f>SUM($AV176:AY176)</f>
        <v>0</v>
      </c>
    </row>
    <row r="177" spans="16:53" x14ac:dyDescent="0.25">
      <c r="P177" s="90">
        <f t="shared" si="14"/>
        <v>0</v>
      </c>
      <c r="Q177" s="90">
        <f>SUM($L177:O177)</f>
        <v>0</v>
      </c>
      <c r="R177" s="89"/>
      <c r="AH177" s="90">
        <f t="shared" si="15"/>
        <v>0</v>
      </c>
      <c r="AI177" s="90">
        <f>SUM($AD177:AG177)</f>
        <v>0</v>
      </c>
      <c r="AJ177" s="89"/>
      <c r="AZ177" s="90">
        <f t="shared" si="16"/>
        <v>0</v>
      </c>
      <c r="BA177" s="90">
        <f>SUM($AV177:AY177)</f>
        <v>0</v>
      </c>
    </row>
    <row r="178" spans="16:53" x14ac:dyDescent="0.25">
      <c r="P178" s="90">
        <f t="shared" si="14"/>
        <v>0</v>
      </c>
      <c r="Q178" s="90">
        <f>SUM($L178:O178)</f>
        <v>0</v>
      </c>
      <c r="R178" s="89"/>
      <c r="AH178" s="90">
        <f t="shared" si="15"/>
        <v>0</v>
      </c>
      <c r="AI178" s="90">
        <f>SUM($AD178:AG178)</f>
        <v>0</v>
      </c>
      <c r="AJ178" s="89"/>
      <c r="AZ178" s="90">
        <f t="shared" si="16"/>
        <v>0</v>
      </c>
      <c r="BA178" s="90">
        <f>SUM($AV178:AY178)</f>
        <v>0</v>
      </c>
    </row>
    <row r="179" spans="16:53" x14ac:dyDescent="0.25">
      <c r="P179" s="90">
        <f t="shared" si="14"/>
        <v>0</v>
      </c>
      <c r="Q179" s="90">
        <f>SUM($L179:O179)</f>
        <v>0</v>
      </c>
      <c r="R179" s="89"/>
      <c r="AH179" s="90">
        <f t="shared" si="15"/>
        <v>0</v>
      </c>
      <c r="AI179" s="90">
        <f>SUM($AD179:AG179)</f>
        <v>0</v>
      </c>
      <c r="AJ179" s="89"/>
      <c r="AZ179" s="90">
        <f t="shared" si="16"/>
        <v>0</v>
      </c>
      <c r="BA179" s="90">
        <f>SUM($AV179:AY179)</f>
        <v>0</v>
      </c>
    </row>
    <row r="180" spans="16:53" x14ac:dyDescent="0.25">
      <c r="P180" s="90">
        <f t="shared" si="14"/>
        <v>0</v>
      </c>
      <c r="Q180" s="90">
        <f>SUM($L180:O180)</f>
        <v>0</v>
      </c>
      <c r="R180" s="89"/>
      <c r="AH180" s="90">
        <f t="shared" si="15"/>
        <v>0</v>
      </c>
      <c r="AI180" s="90">
        <f>SUM($AD180:AG180)</f>
        <v>0</v>
      </c>
      <c r="AJ180" s="89"/>
      <c r="AZ180" s="90">
        <f t="shared" si="16"/>
        <v>0</v>
      </c>
      <c r="BA180" s="90">
        <f>SUM($AV180:AY180)</f>
        <v>0</v>
      </c>
    </row>
    <row r="181" spans="16:53" x14ac:dyDescent="0.25">
      <c r="P181" s="90">
        <f t="shared" si="14"/>
        <v>0</v>
      </c>
      <c r="Q181" s="90">
        <f>SUM($L181:O181)</f>
        <v>0</v>
      </c>
      <c r="R181" s="89"/>
      <c r="AH181" s="90">
        <f t="shared" si="15"/>
        <v>0</v>
      </c>
      <c r="AI181" s="90">
        <f>SUM($AD181:AG181)</f>
        <v>0</v>
      </c>
      <c r="AJ181" s="89"/>
      <c r="AZ181" s="90">
        <f t="shared" si="16"/>
        <v>0</v>
      </c>
      <c r="BA181" s="90">
        <f>SUM($AV181:AY181)</f>
        <v>0</v>
      </c>
    </row>
    <row r="182" spans="16:53" x14ac:dyDescent="0.25">
      <c r="P182" s="90">
        <f t="shared" si="14"/>
        <v>0</v>
      </c>
      <c r="Q182" s="90">
        <f>SUM($L182:O182)</f>
        <v>0</v>
      </c>
      <c r="R182" s="89"/>
      <c r="AH182" s="90">
        <f t="shared" si="15"/>
        <v>0</v>
      </c>
      <c r="AI182" s="90">
        <f>SUM($AD182:AG182)</f>
        <v>0</v>
      </c>
      <c r="AJ182" s="89"/>
      <c r="AZ182" s="90">
        <f t="shared" si="16"/>
        <v>0</v>
      </c>
      <c r="BA182" s="90">
        <f>SUM($AV182:AY182)</f>
        <v>0</v>
      </c>
    </row>
    <row r="183" spans="16:53" x14ac:dyDescent="0.25">
      <c r="P183" s="90">
        <f t="shared" si="14"/>
        <v>0</v>
      </c>
      <c r="Q183" s="90">
        <f>SUM($L183:O183)</f>
        <v>0</v>
      </c>
      <c r="R183" s="89"/>
      <c r="AH183" s="90">
        <f t="shared" si="15"/>
        <v>0</v>
      </c>
      <c r="AI183" s="90">
        <f>SUM($AD183:AG183)</f>
        <v>0</v>
      </c>
      <c r="AJ183" s="89"/>
      <c r="AZ183" s="90">
        <f t="shared" si="16"/>
        <v>0</v>
      </c>
      <c r="BA183" s="90">
        <f>SUM($AV183:AY183)</f>
        <v>0</v>
      </c>
    </row>
    <row r="184" spans="16:53" x14ac:dyDescent="0.25">
      <c r="P184" s="90">
        <f t="shared" si="14"/>
        <v>0</v>
      </c>
      <c r="Q184" s="90">
        <f>SUM($L184:O184)</f>
        <v>0</v>
      </c>
      <c r="R184" s="89"/>
      <c r="AH184" s="90">
        <f t="shared" si="15"/>
        <v>0</v>
      </c>
      <c r="AI184" s="90">
        <f>SUM($AD184:AG184)</f>
        <v>0</v>
      </c>
      <c r="AJ184" s="89"/>
      <c r="AZ184" s="90">
        <f t="shared" si="16"/>
        <v>0</v>
      </c>
      <c r="BA184" s="90">
        <f>SUM($AV184:AY184)</f>
        <v>0</v>
      </c>
    </row>
    <row r="185" spans="16:53" x14ac:dyDescent="0.25">
      <c r="P185" s="90">
        <f t="shared" si="14"/>
        <v>0</v>
      </c>
      <c r="Q185" s="90">
        <f>SUM($L185:O185)</f>
        <v>0</v>
      </c>
      <c r="R185" s="89"/>
      <c r="AH185" s="90">
        <f t="shared" si="15"/>
        <v>0</v>
      </c>
      <c r="AI185" s="90">
        <f>SUM($AD185:AG185)</f>
        <v>0</v>
      </c>
      <c r="AJ185" s="89"/>
      <c r="AZ185" s="90">
        <f t="shared" si="16"/>
        <v>0</v>
      </c>
      <c r="BA185" s="90">
        <f>SUM($AV185:AY185)</f>
        <v>0</v>
      </c>
    </row>
    <row r="186" spans="16:53" x14ac:dyDescent="0.25">
      <c r="P186" s="90">
        <f t="shared" si="14"/>
        <v>0</v>
      </c>
      <c r="Q186" s="90">
        <f>SUM($L186:O186)</f>
        <v>0</v>
      </c>
      <c r="R186" s="89"/>
      <c r="AH186" s="90">
        <f t="shared" si="15"/>
        <v>0</v>
      </c>
      <c r="AI186" s="90">
        <f>SUM($AD186:AG186)</f>
        <v>0</v>
      </c>
      <c r="AJ186" s="89"/>
      <c r="AZ186" s="90">
        <f t="shared" si="16"/>
        <v>0</v>
      </c>
      <c r="BA186" s="90">
        <f>SUM($AV186:AY186)</f>
        <v>0</v>
      </c>
    </row>
    <row r="187" spans="16:53" x14ac:dyDescent="0.25">
      <c r="P187" s="90">
        <f t="shared" si="14"/>
        <v>0</v>
      </c>
      <c r="Q187" s="90">
        <f>SUM($L187:O187)</f>
        <v>0</v>
      </c>
      <c r="R187" s="89"/>
      <c r="AH187" s="90">
        <f t="shared" si="15"/>
        <v>0</v>
      </c>
      <c r="AI187" s="90">
        <f>SUM($AD187:AG187)</f>
        <v>0</v>
      </c>
      <c r="AJ187" s="89"/>
      <c r="AZ187" s="90">
        <f t="shared" si="16"/>
        <v>0</v>
      </c>
      <c r="BA187" s="90">
        <f>SUM($AV187:AY187)</f>
        <v>0</v>
      </c>
    </row>
    <row r="188" spans="16:53" x14ac:dyDescent="0.25">
      <c r="P188" s="90">
        <f t="shared" si="14"/>
        <v>0</v>
      </c>
      <c r="Q188" s="90">
        <f>SUM($L188:O188)</f>
        <v>0</v>
      </c>
      <c r="R188" s="89"/>
      <c r="AH188" s="90">
        <f t="shared" si="15"/>
        <v>0</v>
      </c>
      <c r="AI188" s="90">
        <f>SUM($AD188:AG188)</f>
        <v>0</v>
      </c>
      <c r="AJ188" s="89"/>
      <c r="AZ188" s="90">
        <f t="shared" si="16"/>
        <v>0</v>
      </c>
      <c r="BA188" s="90">
        <f>SUM($AV188:AY188)</f>
        <v>0</v>
      </c>
    </row>
    <row r="189" spans="16:53" x14ac:dyDescent="0.25">
      <c r="P189" s="90">
        <f t="shared" si="14"/>
        <v>0</v>
      </c>
      <c r="Q189" s="90">
        <f>SUM($L189:O189)</f>
        <v>0</v>
      </c>
      <c r="R189" s="89"/>
      <c r="AH189" s="90">
        <f t="shared" si="15"/>
        <v>0</v>
      </c>
      <c r="AI189" s="90">
        <f>SUM($AD189:AG189)</f>
        <v>0</v>
      </c>
      <c r="AJ189" s="89"/>
      <c r="AZ189" s="90">
        <f t="shared" si="16"/>
        <v>0</v>
      </c>
      <c r="BA189" s="90">
        <f>SUM($AV189:AY189)</f>
        <v>0</v>
      </c>
    </row>
    <row r="190" spans="16:53" x14ac:dyDescent="0.25">
      <c r="P190" s="90">
        <f t="shared" si="14"/>
        <v>0</v>
      </c>
      <c r="Q190" s="90">
        <f>SUM($L190:O190)</f>
        <v>0</v>
      </c>
      <c r="R190" s="89"/>
      <c r="AH190" s="90">
        <f t="shared" si="15"/>
        <v>0</v>
      </c>
      <c r="AI190" s="90">
        <f>SUM($AD190:AG190)</f>
        <v>0</v>
      </c>
      <c r="AJ190" s="89"/>
      <c r="AZ190" s="90">
        <f t="shared" si="16"/>
        <v>0</v>
      </c>
      <c r="BA190" s="90">
        <f>SUM($AV190:AY190)</f>
        <v>0</v>
      </c>
    </row>
    <row r="191" spans="16:53" x14ac:dyDescent="0.25">
      <c r="P191" s="90">
        <f t="shared" si="14"/>
        <v>0</v>
      </c>
      <c r="Q191" s="90">
        <f>SUM($L191:O191)</f>
        <v>0</v>
      </c>
      <c r="R191" s="89"/>
      <c r="AH191" s="90">
        <f t="shared" si="15"/>
        <v>0</v>
      </c>
      <c r="AI191" s="90">
        <f>SUM($AD191:AG191)</f>
        <v>0</v>
      </c>
      <c r="AJ191" s="89"/>
      <c r="AZ191" s="90">
        <f t="shared" si="16"/>
        <v>0</v>
      </c>
      <c r="BA191" s="90">
        <f>SUM($AV191:AY191)</f>
        <v>0</v>
      </c>
    </row>
    <row r="192" spans="16:53" x14ac:dyDescent="0.25">
      <c r="P192" s="90">
        <f t="shared" si="14"/>
        <v>0</v>
      </c>
      <c r="Q192" s="90">
        <f>SUM($L192:O192)</f>
        <v>0</v>
      </c>
      <c r="R192" s="89"/>
      <c r="AH192" s="90">
        <f t="shared" si="15"/>
        <v>0</v>
      </c>
      <c r="AI192" s="90">
        <f>SUM($AD192:AG192)</f>
        <v>0</v>
      </c>
      <c r="AJ192" s="89"/>
      <c r="AZ192" s="90">
        <f t="shared" si="16"/>
        <v>0</v>
      </c>
      <c r="BA192" s="90">
        <f>SUM($AV192:AY192)</f>
        <v>0</v>
      </c>
    </row>
    <row r="193" spans="16:53" x14ac:dyDescent="0.25">
      <c r="P193" s="90">
        <f t="shared" si="14"/>
        <v>0</v>
      </c>
      <c r="Q193" s="90">
        <f>SUM($L193:O193)</f>
        <v>0</v>
      </c>
      <c r="R193" s="89"/>
      <c r="AH193" s="90">
        <f t="shared" si="15"/>
        <v>0</v>
      </c>
      <c r="AI193" s="90">
        <f>SUM($AD193:AG193)</f>
        <v>0</v>
      </c>
      <c r="AJ193" s="89"/>
      <c r="AZ193" s="90">
        <f t="shared" si="16"/>
        <v>0</v>
      </c>
      <c r="BA193" s="90">
        <f>SUM($AV193:AY193)</f>
        <v>0</v>
      </c>
    </row>
    <row r="194" spans="16:53" x14ac:dyDescent="0.25">
      <c r="P194" s="90">
        <f t="shared" si="14"/>
        <v>0</v>
      </c>
      <c r="Q194" s="90">
        <f>SUM($L194:O194)</f>
        <v>0</v>
      </c>
      <c r="R194" s="89"/>
      <c r="AH194" s="90">
        <f t="shared" si="15"/>
        <v>0</v>
      </c>
      <c r="AI194" s="90">
        <f>SUM($AD194:AG194)</f>
        <v>0</v>
      </c>
      <c r="AJ194" s="89"/>
      <c r="AZ194" s="90">
        <f t="shared" si="16"/>
        <v>0</v>
      </c>
      <c r="BA194" s="90">
        <f>SUM($AV194:AY194)</f>
        <v>0</v>
      </c>
    </row>
    <row r="195" spans="16:53" x14ac:dyDescent="0.25">
      <c r="P195" s="90">
        <f t="shared" si="14"/>
        <v>0</v>
      </c>
      <c r="Q195" s="90">
        <f>SUM($L195:O195)</f>
        <v>0</v>
      </c>
      <c r="R195" s="89"/>
      <c r="AH195" s="90">
        <f t="shared" si="15"/>
        <v>0</v>
      </c>
      <c r="AI195" s="90">
        <f>SUM($AD195:AG195)</f>
        <v>0</v>
      </c>
      <c r="AJ195" s="89"/>
      <c r="AZ195" s="90">
        <f t="shared" si="16"/>
        <v>0</v>
      </c>
      <c r="BA195" s="90">
        <f>SUM($AV195:AY195)</f>
        <v>0</v>
      </c>
    </row>
    <row r="196" spans="16:53" x14ac:dyDescent="0.25">
      <c r="P196" s="90">
        <f t="shared" si="14"/>
        <v>0</v>
      </c>
      <c r="Q196" s="90">
        <f>SUM($L196:O196)</f>
        <v>0</v>
      </c>
      <c r="R196" s="89"/>
      <c r="AH196" s="90">
        <f t="shared" si="15"/>
        <v>0</v>
      </c>
      <c r="AI196" s="90">
        <f>SUM($AD196:AG196)</f>
        <v>0</v>
      </c>
      <c r="AJ196" s="89"/>
      <c r="AZ196" s="90">
        <f t="shared" si="16"/>
        <v>0</v>
      </c>
      <c r="BA196" s="90">
        <f>SUM($AV196:AY196)</f>
        <v>0</v>
      </c>
    </row>
    <row r="197" spans="16:53" x14ac:dyDescent="0.25">
      <c r="P197" s="90">
        <f t="shared" ref="P197:P260" si="17">SUM(B197:K197)</f>
        <v>0</v>
      </c>
      <c r="Q197" s="90">
        <f>SUM($L197:O197)</f>
        <v>0</v>
      </c>
      <c r="R197" s="89"/>
      <c r="AH197" s="90">
        <f t="shared" ref="AH197:AH260" si="18">SUM(T197:AC197)</f>
        <v>0</v>
      </c>
      <c r="AI197" s="90">
        <f>SUM($AD197:AG197)</f>
        <v>0</v>
      </c>
      <c r="AJ197" s="89"/>
      <c r="AZ197" s="90">
        <f t="shared" ref="AZ197:AZ260" si="19">SUM(AL197:AU197)</f>
        <v>0</v>
      </c>
      <c r="BA197" s="90">
        <f>SUM($AV197:AY197)</f>
        <v>0</v>
      </c>
    </row>
    <row r="198" spans="16:53" x14ac:dyDescent="0.25">
      <c r="P198" s="90">
        <f t="shared" si="17"/>
        <v>0</v>
      </c>
      <c r="Q198" s="90">
        <f>SUM($L198:O198)</f>
        <v>0</v>
      </c>
      <c r="R198" s="89"/>
      <c r="AH198" s="90">
        <f t="shared" si="18"/>
        <v>0</v>
      </c>
      <c r="AI198" s="90">
        <f>SUM($AD198:AG198)</f>
        <v>0</v>
      </c>
      <c r="AJ198" s="89"/>
      <c r="AZ198" s="90">
        <f t="shared" si="19"/>
        <v>0</v>
      </c>
      <c r="BA198" s="90">
        <f>SUM($AV198:AY198)</f>
        <v>0</v>
      </c>
    </row>
    <row r="199" spans="16:53" x14ac:dyDescent="0.25">
      <c r="P199" s="90">
        <f t="shared" si="17"/>
        <v>0</v>
      </c>
      <c r="Q199" s="90">
        <f>SUM($L199:O199)</f>
        <v>0</v>
      </c>
      <c r="R199" s="89"/>
      <c r="AH199" s="90">
        <f t="shared" si="18"/>
        <v>0</v>
      </c>
      <c r="AI199" s="90">
        <f>SUM($AD199:AG199)</f>
        <v>0</v>
      </c>
      <c r="AJ199" s="89"/>
      <c r="AZ199" s="90">
        <f t="shared" si="19"/>
        <v>0</v>
      </c>
      <c r="BA199" s="90">
        <f>SUM($AV199:AY199)</f>
        <v>0</v>
      </c>
    </row>
    <row r="200" spans="16:53" x14ac:dyDescent="0.25">
      <c r="P200" s="90">
        <f t="shared" si="17"/>
        <v>0</v>
      </c>
      <c r="Q200" s="90">
        <f>SUM($L200:O200)</f>
        <v>0</v>
      </c>
      <c r="R200" s="89"/>
      <c r="AH200" s="90">
        <f t="shared" si="18"/>
        <v>0</v>
      </c>
      <c r="AI200" s="90">
        <f>SUM($AD200:AG200)</f>
        <v>0</v>
      </c>
      <c r="AJ200" s="89"/>
      <c r="AZ200" s="90">
        <f t="shared" si="19"/>
        <v>0</v>
      </c>
      <c r="BA200" s="90">
        <f>SUM($AV200:AY200)</f>
        <v>0</v>
      </c>
    </row>
    <row r="201" spans="16:53" x14ac:dyDescent="0.25">
      <c r="P201" s="90">
        <f t="shared" si="17"/>
        <v>0</v>
      </c>
      <c r="Q201" s="90">
        <f>SUM($L201:O201)</f>
        <v>0</v>
      </c>
      <c r="R201" s="89"/>
      <c r="AH201" s="90">
        <f t="shared" si="18"/>
        <v>0</v>
      </c>
      <c r="AI201" s="90">
        <f>SUM($AD201:AG201)</f>
        <v>0</v>
      </c>
      <c r="AJ201" s="89"/>
      <c r="AZ201" s="90">
        <f t="shared" si="19"/>
        <v>0</v>
      </c>
      <c r="BA201" s="90">
        <f>SUM($AV201:AY201)</f>
        <v>0</v>
      </c>
    </row>
    <row r="202" spans="16:53" x14ac:dyDescent="0.25">
      <c r="P202" s="90">
        <f t="shared" si="17"/>
        <v>0</v>
      </c>
      <c r="Q202" s="90">
        <f>SUM($L202:O202)</f>
        <v>0</v>
      </c>
      <c r="R202" s="89"/>
      <c r="AH202" s="90">
        <f t="shared" si="18"/>
        <v>0</v>
      </c>
      <c r="AI202" s="90">
        <f>SUM($AD202:AG202)</f>
        <v>0</v>
      </c>
      <c r="AJ202" s="89"/>
      <c r="AZ202" s="90">
        <f t="shared" si="19"/>
        <v>0</v>
      </c>
      <c r="BA202" s="90">
        <f>SUM($AV202:AY202)</f>
        <v>0</v>
      </c>
    </row>
    <row r="203" spans="16:53" x14ac:dyDescent="0.25">
      <c r="P203" s="90">
        <f t="shared" si="17"/>
        <v>0</v>
      </c>
      <c r="Q203" s="90">
        <f>SUM($L203:O203)</f>
        <v>0</v>
      </c>
      <c r="R203" s="89"/>
      <c r="AH203" s="90">
        <f t="shared" si="18"/>
        <v>0</v>
      </c>
      <c r="AI203" s="90">
        <f>SUM($AD203:AG203)</f>
        <v>0</v>
      </c>
      <c r="AJ203" s="89"/>
      <c r="AZ203" s="90">
        <f t="shared" si="19"/>
        <v>0</v>
      </c>
      <c r="BA203" s="90">
        <f>SUM($AV203:AY203)</f>
        <v>0</v>
      </c>
    </row>
    <row r="204" spans="16:53" x14ac:dyDescent="0.25">
      <c r="P204" s="90">
        <f t="shared" si="17"/>
        <v>0</v>
      </c>
      <c r="Q204" s="90">
        <f>SUM($L204:O204)</f>
        <v>0</v>
      </c>
      <c r="R204" s="89"/>
      <c r="AH204" s="90">
        <f t="shared" si="18"/>
        <v>0</v>
      </c>
      <c r="AI204" s="90">
        <f>SUM($AD204:AG204)</f>
        <v>0</v>
      </c>
      <c r="AJ204" s="89"/>
      <c r="AZ204" s="90">
        <f t="shared" si="19"/>
        <v>0</v>
      </c>
      <c r="BA204" s="90">
        <f>SUM($AV204:AY204)</f>
        <v>0</v>
      </c>
    </row>
    <row r="205" spans="16:53" x14ac:dyDescent="0.25">
      <c r="P205" s="90">
        <f t="shared" si="17"/>
        <v>0</v>
      </c>
      <c r="Q205" s="90">
        <f>SUM($L205:O205)</f>
        <v>0</v>
      </c>
      <c r="R205" s="89"/>
      <c r="AH205" s="90">
        <f t="shared" si="18"/>
        <v>0</v>
      </c>
      <c r="AI205" s="90">
        <f>SUM($AD205:AG205)</f>
        <v>0</v>
      </c>
      <c r="AJ205" s="89"/>
      <c r="AZ205" s="90">
        <f t="shared" si="19"/>
        <v>0</v>
      </c>
      <c r="BA205" s="90">
        <f>SUM($AV205:AY205)</f>
        <v>0</v>
      </c>
    </row>
    <row r="206" spans="16:53" x14ac:dyDescent="0.25">
      <c r="P206" s="90">
        <f t="shared" si="17"/>
        <v>0</v>
      </c>
      <c r="Q206" s="90">
        <f>SUM($L206:O206)</f>
        <v>0</v>
      </c>
      <c r="R206" s="89"/>
      <c r="AH206" s="90">
        <f t="shared" si="18"/>
        <v>0</v>
      </c>
      <c r="AI206" s="90">
        <f>SUM($AD206:AG206)</f>
        <v>0</v>
      </c>
      <c r="AJ206" s="89"/>
      <c r="AZ206" s="90">
        <f t="shared" si="19"/>
        <v>0</v>
      </c>
      <c r="BA206" s="90">
        <f>SUM($AV206:AY206)</f>
        <v>0</v>
      </c>
    </row>
    <row r="207" spans="16:53" x14ac:dyDescent="0.25">
      <c r="P207" s="90">
        <f t="shared" si="17"/>
        <v>0</v>
      </c>
      <c r="Q207" s="90">
        <f>SUM($L207:O207)</f>
        <v>0</v>
      </c>
      <c r="R207" s="89"/>
      <c r="AH207" s="90">
        <f t="shared" si="18"/>
        <v>0</v>
      </c>
      <c r="AI207" s="90">
        <f>SUM($AD207:AG207)</f>
        <v>0</v>
      </c>
      <c r="AJ207" s="89"/>
      <c r="AZ207" s="90">
        <f t="shared" si="19"/>
        <v>0</v>
      </c>
      <c r="BA207" s="90">
        <f>SUM($AV207:AY207)</f>
        <v>0</v>
      </c>
    </row>
    <row r="208" spans="16:53" x14ac:dyDescent="0.25">
      <c r="P208" s="90">
        <f t="shared" si="17"/>
        <v>0</v>
      </c>
      <c r="Q208" s="90">
        <f>SUM($L208:O208)</f>
        <v>0</v>
      </c>
      <c r="R208" s="89"/>
      <c r="AH208" s="90">
        <f t="shared" si="18"/>
        <v>0</v>
      </c>
      <c r="AI208" s="90">
        <f>SUM($AD208:AG208)</f>
        <v>0</v>
      </c>
      <c r="AJ208" s="89"/>
      <c r="AZ208" s="90">
        <f t="shared" si="19"/>
        <v>0</v>
      </c>
      <c r="BA208" s="90">
        <f>SUM($AV208:AY208)</f>
        <v>0</v>
      </c>
    </row>
    <row r="209" spans="16:53" x14ac:dyDescent="0.25">
      <c r="P209" s="90">
        <f t="shared" si="17"/>
        <v>0</v>
      </c>
      <c r="Q209" s="90">
        <f>SUM($L209:O209)</f>
        <v>0</v>
      </c>
      <c r="R209" s="89"/>
      <c r="AH209" s="90">
        <f t="shared" si="18"/>
        <v>0</v>
      </c>
      <c r="AI209" s="90">
        <f>SUM($AD209:AG209)</f>
        <v>0</v>
      </c>
      <c r="AJ209" s="89"/>
      <c r="AZ209" s="90">
        <f t="shared" si="19"/>
        <v>0</v>
      </c>
      <c r="BA209" s="90">
        <f>SUM($AV209:AY209)</f>
        <v>0</v>
      </c>
    </row>
    <row r="210" spans="16:53" x14ac:dyDescent="0.25">
      <c r="P210" s="90">
        <f t="shared" si="17"/>
        <v>0</v>
      </c>
      <c r="Q210" s="90">
        <f>SUM($L210:O210)</f>
        <v>0</v>
      </c>
      <c r="R210" s="89"/>
      <c r="AH210" s="90">
        <f t="shared" si="18"/>
        <v>0</v>
      </c>
      <c r="AI210" s="90">
        <f>SUM($AD210:AG210)</f>
        <v>0</v>
      </c>
      <c r="AJ210" s="89"/>
      <c r="AZ210" s="90">
        <f t="shared" si="19"/>
        <v>0</v>
      </c>
      <c r="BA210" s="90">
        <f>SUM($AV210:AY210)</f>
        <v>0</v>
      </c>
    </row>
    <row r="211" spans="16:53" x14ac:dyDescent="0.25">
      <c r="P211" s="90">
        <f t="shared" si="17"/>
        <v>0</v>
      </c>
      <c r="Q211" s="90">
        <f>SUM($L211:O211)</f>
        <v>0</v>
      </c>
      <c r="R211" s="89"/>
      <c r="AH211" s="90">
        <f t="shared" si="18"/>
        <v>0</v>
      </c>
      <c r="AI211" s="90">
        <f>SUM($AD211:AG211)</f>
        <v>0</v>
      </c>
      <c r="AJ211" s="89"/>
      <c r="AZ211" s="90">
        <f t="shared" si="19"/>
        <v>0</v>
      </c>
      <c r="BA211" s="90">
        <f>SUM($AV211:AY211)</f>
        <v>0</v>
      </c>
    </row>
    <row r="212" spans="16:53" x14ac:dyDescent="0.25">
      <c r="P212" s="90">
        <f t="shared" si="17"/>
        <v>0</v>
      </c>
      <c r="Q212" s="90">
        <f>SUM($L212:O212)</f>
        <v>0</v>
      </c>
      <c r="R212" s="89"/>
      <c r="AH212" s="90">
        <f t="shared" si="18"/>
        <v>0</v>
      </c>
      <c r="AI212" s="90">
        <f>SUM($AD212:AG212)</f>
        <v>0</v>
      </c>
      <c r="AJ212" s="89"/>
      <c r="AZ212" s="90">
        <f t="shared" si="19"/>
        <v>0</v>
      </c>
      <c r="BA212" s="90">
        <f>SUM($AV212:AY212)</f>
        <v>0</v>
      </c>
    </row>
    <row r="213" spans="16:53" x14ac:dyDescent="0.25">
      <c r="P213" s="90">
        <f t="shared" si="17"/>
        <v>0</v>
      </c>
      <c r="Q213" s="90">
        <f>SUM($L213:O213)</f>
        <v>0</v>
      </c>
      <c r="R213" s="89"/>
      <c r="AH213" s="90">
        <f t="shared" si="18"/>
        <v>0</v>
      </c>
      <c r="AI213" s="90">
        <f>SUM($AD213:AG213)</f>
        <v>0</v>
      </c>
      <c r="AJ213" s="89"/>
      <c r="AZ213" s="90">
        <f t="shared" si="19"/>
        <v>0</v>
      </c>
      <c r="BA213" s="90">
        <f>SUM($AV213:AY213)</f>
        <v>0</v>
      </c>
    </row>
    <row r="214" spans="16:53" x14ac:dyDescent="0.25">
      <c r="P214" s="90">
        <f t="shared" si="17"/>
        <v>0</v>
      </c>
      <c r="Q214" s="90">
        <f>SUM($L214:O214)</f>
        <v>0</v>
      </c>
      <c r="R214" s="89"/>
      <c r="AH214" s="90">
        <f t="shared" si="18"/>
        <v>0</v>
      </c>
      <c r="AI214" s="90">
        <f>SUM($AD214:AG214)</f>
        <v>0</v>
      </c>
      <c r="AJ214" s="89"/>
      <c r="AZ214" s="90">
        <f t="shared" si="19"/>
        <v>0</v>
      </c>
      <c r="BA214" s="90">
        <f>SUM($AV214:AY214)</f>
        <v>0</v>
      </c>
    </row>
    <row r="215" spans="16:53" x14ac:dyDescent="0.25">
      <c r="P215" s="90">
        <f t="shared" si="17"/>
        <v>0</v>
      </c>
      <c r="Q215" s="90">
        <f>SUM($L215:O215)</f>
        <v>0</v>
      </c>
      <c r="R215" s="89"/>
      <c r="AH215" s="90">
        <f t="shared" si="18"/>
        <v>0</v>
      </c>
      <c r="AI215" s="90">
        <f>SUM($AD215:AG215)</f>
        <v>0</v>
      </c>
      <c r="AJ215" s="89"/>
      <c r="AZ215" s="90">
        <f t="shared" si="19"/>
        <v>0</v>
      </c>
      <c r="BA215" s="90">
        <f>SUM($AV215:AY215)</f>
        <v>0</v>
      </c>
    </row>
    <row r="216" spans="16:53" x14ac:dyDescent="0.25">
      <c r="P216" s="90">
        <f t="shared" si="17"/>
        <v>0</v>
      </c>
      <c r="Q216" s="90">
        <f>SUM($L216:O216)</f>
        <v>0</v>
      </c>
      <c r="R216" s="89"/>
      <c r="AH216" s="90">
        <f t="shared" si="18"/>
        <v>0</v>
      </c>
      <c r="AI216" s="90">
        <f>SUM($AD216:AG216)</f>
        <v>0</v>
      </c>
      <c r="AJ216" s="89"/>
      <c r="AZ216" s="90">
        <f t="shared" si="19"/>
        <v>0</v>
      </c>
      <c r="BA216" s="90">
        <f>SUM($AV216:AY216)</f>
        <v>0</v>
      </c>
    </row>
    <row r="217" spans="16:53" x14ac:dyDescent="0.25">
      <c r="P217" s="90">
        <f t="shared" si="17"/>
        <v>0</v>
      </c>
      <c r="Q217" s="90">
        <f>SUM($L217:O217)</f>
        <v>0</v>
      </c>
      <c r="R217" s="89"/>
      <c r="AH217" s="90">
        <f t="shared" si="18"/>
        <v>0</v>
      </c>
      <c r="AI217" s="90">
        <f>SUM($AD217:AG217)</f>
        <v>0</v>
      </c>
      <c r="AJ217" s="89"/>
      <c r="AZ217" s="90">
        <f t="shared" si="19"/>
        <v>0</v>
      </c>
      <c r="BA217" s="90">
        <f>SUM($AV217:AY217)</f>
        <v>0</v>
      </c>
    </row>
    <row r="218" spans="16:53" x14ac:dyDescent="0.25">
      <c r="P218" s="90">
        <f t="shared" si="17"/>
        <v>0</v>
      </c>
      <c r="Q218" s="90">
        <f>SUM($L218:O218)</f>
        <v>0</v>
      </c>
      <c r="R218" s="89"/>
      <c r="AH218" s="90">
        <f t="shared" si="18"/>
        <v>0</v>
      </c>
      <c r="AI218" s="90">
        <f>SUM($AD218:AG218)</f>
        <v>0</v>
      </c>
      <c r="AJ218" s="89"/>
      <c r="AZ218" s="90">
        <f t="shared" si="19"/>
        <v>0</v>
      </c>
      <c r="BA218" s="90">
        <f>SUM($AV218:AY218)</f>
        <v>0</v>
      </c>
    </row>
    <row r="219" spans="16:53" x14ac:dyDescent="0.25">
      <c r="P219" s="90">
        <f t="shared" si="17"/>
        <v>0</v>
      </c>
      <c r="Q219" s="90">
        <f>SUM($L219:O219)</f>
        <v>0</v>
      </c>
      <c r="R219" s="89"/>
      <c r="AH219" s="90">
        <f t="shared" si="18"/>
        <v>0</v>
      </c>
      <c r="AI219" s="90">
        <f>SUM($AD219:AG219)</f>
        <v>0</v>
      </c>
      <c r="AJ219" s="89"/>
      <c r="AZ219" s="90">
        <f t="shared" si="19"/>
        <v>0</v>
      </c>
      <c r="BA219" s="90">
        <f>SUM($AV219:AY219)</f>
        <v>0</v>
      </c>
    </row>
    <row r="220" spans="16:53" x14ac:dyDescent="0.25">
      <c r="P220" s="90">
        <f t="shared" si="17"/>
        <v>0</v>
      </c>
      <c r="Q220" s="90">
        <f>SUM($L220:O220)</f>
        <v>0</v>
      </c>
      <c r="R220" s="89"/>
      <c r="AH220" s="90">
        <f t="shared" si="18"/>
        <v>0</v>
      </c>
      <c r="AI220" s="90">
        <f>SUM($AD220:AG220)</f>
        <v>0</v>
      </c>
      <c r="AJ220" s="89"/>
      <c r="AZ220" s="90">
        <f t="shared" si="19"/>
        <v>0</v>
      </c>
      <c r="BA220" s="90">
        <f>SUM($AV220:AY220)</f>
        <v>0</v>
      </c>
    </row>
    <row r="221" spans="16:53" x14ac:dyDescent="0.25">
      <c r="P221" s="90">
        <f t="shared" si="17"/>
        <v>0</v>
      </c>
      <c r="Q221" s="90">
        <f>SUM($L221:O221)</f>
        <v>0</v>
      </c>
      <c r="R221" s="89"/>
      <c r="AH221" s="90">
        <f t="shared" si="18"/>
        <v>0</v>
      </c>
      <c r="AI221" s="90">
        <f>SUM($AD221:AG221)</f>
        <v>0</v>
      </c>
      <c r="AJ221" s="89"/>
      <c r="AZ221" s="90">
        <f t="shared" si="19"/>
        <v>0</v>
      </c>
      <c r="BA221" s="90">
        <f>SUM($AV221:AY221)</f>
        <v>0</v>
      </c>
    </row>
    <row r="222" spans="16:53" x14ac:dyDescent="0.25">
      <c r="P222" s="90">
        <f t="shared" si="17"/>
        <v>0</v>
      </c>
      <c r="Q222" s="90">
        <f>SUM($L222:O222)</f>
        <v>0</v>
      </c>
      <c r="R222" s="89"/>
      <c r="AH222" s="90">
        <f t="shared" si="18"/>
        <v>0</v>
      </c>
      <c r="AI222" s="90">
        <f>SUM($AD222:AG222)</f>
        <v>0</v>
      </c>
      <c r="AJ222" s="89"/>
      <c r="AZ222" s="90">
        <f t="shared" si="19"/>
        <v>0</v>
      </c>
      <c r="BA222" s="90">
        <f>SUM($AV222:AY222)</f>
        <v>0</v>
      </c>
    </row>
    <row r="223" spans="16:53" x14ac:dyDescent="0.25">
      <c r="P223" s="90">
        <f t="shared" si="17"/>
        <v>0</v>
      </c>
      <c r="Q223" s="90">
        <f>SUM($L223:O223)</f>
        <v>0</v>
      </c>
      <c r="R223" s="89"/>
      <c r="AH223" s="90">
        <f t="shared" si="18"/>
        <v>0</v>
      </c>
      <c r="AI223" s="90">
        <f>SUM($AD223:AG223)</f>
        <v>0</v>
      </c>
      <c r="AJ223" s="89"/>
      <c r="AZ223" s="90">
        <f t="shared" si="19"/>
        <v>0</v>
      </c>
      <c r="BA223" s="90">
        <f>SUM($AV223:AY223)</f>
        <v>0</v>
      </c>
    </row>
    <row r="224" spans="16:53" x14ac:dyDescent="0.25">
      <c r="P224" s="90">
        <f t="shared" si="17"/>
        <v>0</v>
      </c>
      <c r="Q224" s="90">
        <f>SUM($L224:O224)</f>
        <v>0</v>
      </c>
      <c r="R224" s="89"/>
      <c r="AH224" s="90">
        <f t="shared" si="18"/>
        <v>0</v>
      </c>
      <c r="AI224" s="90">
        <f>SUM($AD224:AG224)</f>
        <v>0</v>
      </c>
      <c r="AJ224" s="89"/>
      <c r="AZ224" s="90">
        <f t="shared" si="19"/>
        <v>0</v>
      </c>
      <c r="BA224" s="90">
        <f>SUM($AV224:AY224)</f>
        <v>0</v>
      </c>
    </row>
    <row r="225" spans="16:53" x14ac:dyDescent="0.25">
      <c r="P225" s="90">
        <f t="shared" si="17"/>
        <v>0</v>
      </c>
      <c r="Q225" s="90">
        <f>SUM($L225:O225)</f>
        <v>0</v>
      </c>
      <c r="R225" s="89"/>
      <c r="AH225" s="90">
        <f t="shared" si="18"/>
        <v>0</v>
      </c>
      <c r="AI225" s="90">
        <f>SUM($AD225:AG225)</f>
        <v>0</v>
      </c>
      <c r="AJ225" s="89"/>
      <c r="AZ225" s="90">
        <f t="shared" si="19"/>
        <v>0</v>
      </c>
      <c r="BA225" s="90">
        <f>SUM($AV225:AY225)</f>
        <v>0</v>
      </c>
    </row>
    <row r="226" spans="16:53" x14ac:dyDescent="0.25">
      <c r="P226" s="90">
        <f t="shared" si="17"/>
        <v>0</v>
      </c>
      <c r="Q226" s="90">
        <f>SUM($L226:O226)</f>
        <v>0</v>
      </c>
      <c r="R226" s="89"/>
      <c r="AH226" s="90">
        <f t="shared" si="18"/>
        <v>0</v>
      </c>
      <c r="AI226" s="90">
        <f>SUM($AD226:AG226)</f>
        <v>0</v>
      </c>
      <c r="AJ226" s="89"/>
      <c r="AZ226" s="90">
        <f t="shared" si="19"/>
        <v>0</v>
      </c>
      <c r="BA226" s="90">
        <f>SUM($AV226:AY226)</f>
        <v>0</v>
      </c>
    </row>
    <row r="227" spans="16:53" x14ac:dyDescent="0.25">
      <c r="P227" s="90">
        <f t="shared" si="17"/>
        <v>0</v>
      </c>
      <c r="Q227" s="90">
        <f>SUM($L227:O227)</f>
        <v>0</v>
      </c>
      <c r="R227" s="89"/>
      <c r="AH227" s="90">
        <f t="shared" si="18"/>
        <v>0</v>
      </c>
      <c r="AI227" s="90">
        <f>SUM($AD227:AG227)</f>
        <v>0</v>
      </c>
      <c r="AJ227" s="89"/>
      <c r="AZ227" s="90">
        <f t="shared" si="19"/>
        <v>0</v>
      </c>
      <c r="BA227" s="90">
        <f>SUM($AV227:AY227)</f>
        <v>0</v>
      </c>
    </row>
    <row r="228" spans="16:53" x14ac:dyDescent="0.25">
      <c r="P228" s="90">
        <f t="shared" si="17"/>
        <v>0</v>
      </c>
      <c r="Q228" s="90">
        <f>SUM($L228:O228)</f>
        <v>0</v>
      </c>
      <c r="R228" s="89"/>
      <c r="AH228" s="90">
        <f t="shared" si="18"/>
        <v>0</v>
      </c>
      <c r="AI228" s="90">
        <f>SUM($AD228:AG228)</f>
        <v>0</v>
      </c>
      <c r="AJ228" s="89"/>
      <c r="AZ228" s="90">
        <f t="shared" si="19"/>
        <v>0</v>
      </c>
      <c r="BA228" s="90">
        <f>SUM($AV228:AY228)</f>
        <v>0</v>
      </c>
    </row>
    <row r="229" spans="16:53" x14ac:dyDescent="0.25">
      <c r="P229" s="90">
        <f t="shared" si="17"/>
        <v>0</v>
      </c>
      <c r="Q229" s="90">
        <f>SUM($L229:O229)</f>
        <v>0</v>
      </c>
      <c r="R229" s="89"/>
      <c r="AH229" s="90">
        <f t="shared" si="18"/>
        <v>0</v>
      </c>
      <c r="AI229" s="90">
        <f>SUM($AD229:AG229)</f>
        <v>0</v>
      </c>
      <c r="AJ229" s="89"/>
      <c r="AZ229" s="90">
        <f t="shared" si="19"/>
        <v>0</v>
      </c>
      <c r="BA229" s="90">
        <f>SUM($AV229:AY229)</f>
        <v>0</v>
      </c>
    </row>
    <row r="230" spans="16:53" x14ac:dyDescent="0.25">
      <c r="P230" s="90">
        <f t="shared" si="17"/>
        <v>0</v>
      </c>
      <c r="Q230" s="90">
        <f>SUM($L230:O230)</f>
        <v>0</v>
      </c>
      <c r="R230" s="89"/>
      <c r="AH230" s="90">
        <f t="shared" si="18"/>
        <v>0</v>
      </c>
      <c r="AI230" s="90">
        <f>SUM($AD230:AG230)</f>
        <v>0</v>
      </c>
      <c r="AJ230" s="89"/>
      <c r="AZ230" s="90">
        <f t="shared" si="19"/>
        <v>0</v>
      </c>
      <c r="BA230" s="90">
        <f>SUM($AV230:AY230)</f>
        <v>0</v>
      </c>
    </row>
    <row r="231" spans="16:53" x14ac:dyDescent="0.25">
      <c r="P231" s="90">
        <f t="shared" si="17"/>
        <v>0</v>
      </c>
      <c r="Q231" s="90">
        <f>SUM($L231:O231)</f>
        <v>0</v>
      </c>
      <c r="R231" s="89"/>
      <c r="AH231" s="90">
        <f t="shared" si="18"/>
        <v>0</v>
      </c>
      <c r="AI231" s="90">
        <f>SUM($AD231:AG231)</f>
        <v>0</v>
      </c>
      <c r="AJ231" s="89"/>
      <c r="AZ231" s="90">
        <f t="shared" si="19"/>
        <v>0</v>
      </c>
      <c r="BA231" s="90">
        <f>SUM($AV231:AY231)</f>
        <v>0</v>
      </c>
    </row>
    <row r="232" spans="16:53" x14ac:dyDescent="0.25">
      <c r="P232" s="90">
        <f t="shared" si="17"/>
        <v>0</v>
      </c>
      <c r="Q232" s="90">
        <f>SUM($L232:O232)</f>
        <v>0</v>
      </c>
      <c r="R232" s="89"/>
      <c r="AH232" s="90">
        <f t="shared" si="18"/>
        <v>0</v>
      </c>
      <c r="AI232" s="90">
        <f>SUM($AD232:AG232)</f>
        <v>0</v>
      </c>
      <c r="AJ232" s="89"/>
      <c r="AZ232" s="90">
        <f t="shared" si="19"/>
        <v>0</v>
      </c>
      <c r="BA232" s="90">
        <f>SUM($AV232:AY232)</f>
        <v>0</v>
      </c>
    </row>
    <row r="233" spans="16:53" x14ac:dyDescent="0.25">
      <c r="P233" s="90">
        <f t="shared" si="17"/>
        <v>0</v>
      </c>
      <c r="Q233" s="90">
        <f>SUM($L233:O233)</f>
        <v>0</v>
      </c>
      <c r="R233" s="89"/>
      <c r="AH233" s="90">
        <f t="shared" si="18"/>
        <v>0</v>
      </c>
      <c r="AI233" s="90">
        <f>SUM($AD233:AG233)</f>
        <v>0</v>
      </c>
      <c r="AJ233" s="89"/>
      <c r="AZ233" s="90">
        <f t="shared" si="19"/>
        <v>0</v>
      </c>
      <c r="BA233" s="90">
        <f>SUM($AV233:AY233)</f>
        <v>0</v>
      </c>
    </row>
    <row r="234" spans="16:53" x14ac:dyDescent="0.25">
      <c r="P234" s="90">
        <f t="shared" si="17"/>
        <v>0</v>
      </c>
      <c r="Q234" s="90">
        <f>SUM($L234:O234)</f>
        <v>0</v>
      </c>
      <c r="R234" s="89"/>
      <c r="AH234" s="90">
        <f t="shared" si="18"/>
        <v>0</v>
      </c>
      <c r="AI234" s="90">
        <f>SUM($AD234:AG234)</f>
        <v>0</v>
      </c>
      <c r="AJ234" s="89"/>
      <c r="AZ234" s="90">
        <f t="shared" si="19"/>
        <v>0</v>
      </c>
      <c r="BA234" s="90">
        <f>SUM($AV234:AY234)</f>
        <v>0</v>
      </c>
    </row>
    <row r="235" spans="16:53" x14ac:dyDescent="0.25">
      <c r="P235" s="90">
        <f t="shared" si="17"/>
        <v>0</v>
      </c>
      <c r="Q235" s="90">
        <f>SUM($L235:O235)</f>
        <v>0</v>
      </c>
      <c r="R235" s="89"/>
      <c r="AH235" s="90">
        <f t="shared" si="18"/>
        <v>0</v>
      </c>
      <c r="AI235" s="90">
        <f>SUM($AD235:AG235)</f>
        <v>0</v>
      </c>
      <c r="AJ235" s="89"/>
      <c r="AZ235" s="90">
        <f t="shared" si="19"/>
        <v>0</v>
      </c>
      <c r="BA235" s="90">
        <f>SUM($AV235:AY235)</f>
        <v>0</v>
      </c>
    </row>
    <row r="236" spans="16:53" x14ac:dyDescent="0.25">
      <c r="P236" s="90">
        <f t="shared" si="17"/>
        <v>0</v>
      </c>
      <c r="Q236" s="90">
        <f>SUM($L236:O236)</f>
        <v>0</v>
      </c>
      <c r="R236" s="89"/>
      <c r="AH236" s="90">
        <f t="shared" si="18"/>
        <v>0</v>
      </c>
      <c r="AI236" s="90">
        <f>SUM($AD236:AG236)</f>
        <v>0</v>
      </c>
      <c r="AJ236" s="89"/>
      <c r="AZ236" s="90">
        <f t="shared" si="19"/>
        <v>0</v>
      </c>
      <c r="BA236" s="90">
        <f>SUM($AV236:AY236)</f>
        <v>0</v>
      </c>
    </row>
    <row r="237" spans="16:53" x14ac:dyDescent="0.25">
      <c r="P237" s="90">
        <f t="shared" si="17"/>
        <v>0</v>
      </c>
      <c r="Q237" s="90">
        <f>SUM($L237:O237)</f>
        <v>0</v>
      </c>
      <c r="R237" s="89"/>
      <c r="AH237" s="90">
        <f t="shared" si="18"/>
        <v>0</v>
      </c>
      <c r="AI237" s="90">
        <f>SUM($AD237:AG237)</f>
        <v>0</v>
      </c>
      <c r="AJ237" s="89"/>
      <c r="AZ237" s="90">
        <f t="shared" si="19"/>
        <v>0</v>
      </c>
      <c r="BA237" s="90">
        <f>SUM($AV237:AY237)</f>
        <v>0</v>
      </c>
    </row>
    <row r="238" spans="16:53" x14ac:dyDescent="0.25">
      <c r="P238" s="90">
        <f t="shared" si="17"/>
        <v>0</v>
      </c>
      <c r="Q238" s="90">
        <f>SUM($L238:O238)</f>
        <v>0</v>
      </c>
      <c r="R238" s="89"/>
      <c r="AH238" s="90">
        <f t="shared" si="18"/>
        <v>0</v>
      </c>
      <c r="AI238" s="90">
        <f>SUM($AD238:AG238)</f>
        <v>0</v>
      </c>
      <c r="AJ238" s="89"/>
      <c r="AZ238" s="90">
        <f t="shared" si="19"/>
        <v>0</v>
      </c>
      <c r="BA238" s="90">
        <f>SUM($AV238:AY238)</f>
        <v>0</v>
      </c>
    </row>
    <row r="239" spans="16:53" x14ac:dyDescent="0.25">
      <c r="P239" s="90">
        <f t="shared" si="17"/>
        <v>0</v>
      </c>
      <c r="Q239" s="90">
        <f>SUM($L239:O239)</f>
        <v>0</v>
      </c>
      <c r="R239" s="89"/>
      <c r="AH239" s="90">
        <f t="shared" si="18"/>
        <v>0</v>
      </c>
      <c r="AI239" s="90">
        <f>SUM($AD239:AG239)</f>
        <v>0</v>
      </c>
      <c r="AJ239" s="89"/>
      <c r="AZ239" s="90">
        <f t="shared" si="19"/>
        <v>0</v>
      </c>
      <c r="BA239" s="90">
        <f>SUM($AV239:AY239)</f>
        <v>0</v>
      </c>
    </row>
    <row r="240" spans="16:53" x14ac:dyDescent="0.25">
      <c r="P240" s="90">
        <f t="shared" si="17"/>
        <v>0</v>
      </c>
      <c r="Q240" s="90">
        <f>SUM($L240:O240)</f>
        <v>0</v>
      </c>
      <c r="R240" s="89"/>
      <c r="AH240" s="90">
        <f t="shared" si="18"/>
        <v>0</v>
      </c>
      <c r="AI240" s="90">
        <f>SUM($AD240:AG240)</f>
        <v>0</v>
      </c>
      <c r="AJ240" s="89"/>
      <c r="AZ240" s="90">
        <f t="shared" si="19"/>
        <v>0</v>
      </c>
      <c r="BA240" s="90">
        <f>SUM($AV240:AY240)</f>
        <v>0</v>
      </c>
    </row>
    <row r="241" spans="16:53" x14ac:dyDescent="0.25">
      <c r="P241" s="90">
        <f t="shared" si="17"/>
        <v>0</v>
      </c>
      <c r="Q241" s="90">
        <f>SUM($L241:O241)</f>
        <v>0</v>
      </c>
      <c r="R241" s="89"/>
      <c r="AH241" s="90">
        <f t="shared" si="18"/>
        <v>0</v>
      </c>
      <c r="AI241" s="90">
        <f>SUM($AD241:AG241)</f>
        <v>0</v>
      </c>
      <c r="AJ241" s="89"/>
      <c r="AZ241" s="90">
        <f t="shared" si="19"/>
        <v>0</v>
      </c>
      <c r="BA241" s="90">
        <f>SUM($AV241:AY241)</f>
        <v>0</v>
      </c>
    </row>
    <row r="242" spans="16:53" x14ac:dyDescent="0.25">
      <c r="P242" s="90">
        <f t="shared" si="17"/>
        <v>0</v>
      </c>
      <c r="Q242" s="90">
        <f>SUM($L242:O242)</f>
        <v>0</v>
      </c>
      <c r="R242" s="89"/>
      <c r="AH242" s="90">
        <f t="shared" si="18"/>
        <v>0</v>
      </c>
      <c r="AI242" s="90">
        <f>SUM($AD242:AG242)</f>
        <v>0</v>
      </c>
      <c r="AJ242" s="89"/>
      <c r="AZ242" s="90">
        <f t="shared" si="19"/>
        <v>0</v>
      </c>
      <c r="BA242" s="90">
        <f>SUM($AV242:AY242)</f>
        <v>0</v>
      </c>
    </row>
    <row r="243" spans="16:53" x14ac:dyDescent="0.25">
      <c r="P243" s="90">
        <f t="shared" si="17"/>
        <v>0</v>
      </c>
      <c r="Q243" s="90">
        <f>SUM($L243:O243)</f>
        <v>0</v>
      </c>
      <c r="R243" s="89"/>
      <c r="AH243" s="90">
        <f t="shared" si="18"/>
        <v>0</v>
      </c>
      <c r="AI243" s="90">
        <f>SUM($AD243:AG243)</f>
        <v>0</v>
      </c>
      <c r="AJ243" s="89"/>
      <c r="AZ243" s="90">
        <f t="shared" si="19"/>
        <v>0</v>
      </c>
      <c r="BA243" s="90">
        <f>SUM($AV243:AY243)</f>
        <v>0</v>
      </c>
    </row>
    <row r="244" spans="16:53" x14ac:dyDescent="0.25">
      <c r="P244" s="90">
        <f t="shared" si="17"/>
        <v>0</v>
      </c>
      <c r="Q244" s="90">
        <f>SUM($L244:O244)</f>
        <v>0</v>
      </c>
      <c r="R244" s="89"/>
      <c r="AH244" s="90">
        <f t="shared" si="18"/>
        <v>0</v>
      </c>
      <c r="AI244" s="90">
        <f>SUM($AD244:AG244)</f>
        <v>0</v>
      </c>
      <c r="AJ244" s="89"/>
      <c r="AZ244" s="90">
        <f t="shared" si="19"/>
        <v>0</v>
      </c>
      <c r="BA244" s="90">
        <f>SUM($AV244:AY244)</f>
        <v>0</v>
      </c>
    </row>
    <row r="245" spans="16:53" x14ac:dyDescent="0.25">
      <c r="P245" s="90">
        <f t="shared" si="17"/>
        <v>0</v>
      </c>
      <c r="Q245" s="90">
        <f>SUM($L245:O245)</f>
        <v>0</v>
      </c>
      <c r="R245" s="89"/>
      <c r="AH245" s="90">
        <f t="shared" si="18"/>
        <v>0</v>
      </c>
      <c r="AI245" s="90">
        <f>SUM($AD245:AG245)</f>
        <v>0</v>
      </c>
      <c r="AJ245" s="89"/>
      <c r="AZ245" s="90">
        <f t="shared" si="19"/>
        <v>0</v>
      </c>
      <c r="BA245" s="90">
        <f>SUM($AV245:AY245)</f>
        <v>0</v>
      </c>
    </row>
    <row r="246" spans="16:53" x14ac:dyDescent="0.25">
      <c r="P246" s="90">
        <f t="shared" si="17"/>
        <v>0</v>
      </c>
      <c r="Q246" s="90">
        <f>SUM($L246:O246)</f>
        <v>0</v>
      </c>
      <c r="R246" s="89"/>
      <c r="AH246" s="90">
        <f t="shared" si="18"/>
        <v>0</v>
      </c>
      <c r="AI246" s="90">
        <f>SUM($AD246:AG246)</f>
        <v>0</v>
      </c>
      <c r="AJ246" s="89"/>
      <c r="AZ246" s="90">
        <f t="shared" si="19"/>
        <v>0</v>
      </c>
      <c r="BA246" s="90">
        <f>SUM($AV246:AY246)</f>
        <v>0</v>
      </c>
    </row>
    <row r="247" spans="16:53" x14ac:dyDescent="0.25">
      <c r="P247" s="90">
        <f t="shared" si="17"/>
        <v>0</v>
      </c>
      <c r="Q247" s="90">
        <f>SUM($L247:O247)</f>
        <v>0</v>
      </c>
      <c r="R247" s="89"/>
      <c r="AH247" s="90">
        <f t="shared" si="18"/>
        <v>0</v>
      </c>
      <c r="AI247" s="90">
        <f>SUM($AD247:AG247)</f>
        <v>0</v>
      </c>
      <c r="AJ247" s="89"/>
      <c r="AZ247" s="90">
        <f t="shared" si="19"/>
        <v>0</v>
      </c>
      <c r="BA247" s="90">
        <f>SUM($AV247:AY247)</f>
        <v>0</v>
      </c>
    </row>
    <row r="248" spans="16:53" x14ac:dyDescent="0.25">
      <c r="P248" s="90">
        <f t="shared" si="17"/>
        <v>0</v>
      </c>
      <c r="Q248" s="90">
        <f>SUM($L248:O248)</f>
        <v>0</v>
      </c>
      <c r="R248" s="89"/>
      <c r="AH248" s="90">
        <f t="shared" si="18"/>
        <v>0</v>
      </c>
      <c r="AI248" s="90">
        <f>SUM($AD248:AG248)</f>
        <v>0</v>
      </c>
      <c r="AJ248" s="89"/>
      <c r="AZ248" s="90">
        <f t="shared" si="19"/>
        <v>0</v>
      </c>
      <c r="BA248" s="90">
        <f>SUM($AV248:AY248)</f>
        <v>0</v>
      </c>
    </row>
    <row r="249" spans="16:53" x14ac:dyDescent="0.25">
      <c r="P249" s="90">
        <f t="shared" si="17"/>
        <v>0</v>
      </c>
      <c r="Q249" s="90">
        <f>SUM($L249:O249)</f>
        <v>0</v>
      </c>
      <c r="R249" s="89"/>
      <c r="AH249" s="90">
        <f t="shared" si="18"/>
        <v>0</v>
      </c>
      <c r="AI249" s="90">
        <f>SUM($AD249:AG249)</f>
        <v>0</v>
      </c>
      <c r="AJ249" s="89"/>
      <c r="AZ249" s="90">
        <f t="shared" si="19"/>
        <v>0</v>
      </c>
      <c r="BA249" s="90">
        <f>SUM($AV249:AY249)</f>
        <v>0</v>
      </c>
    </row>
    <row r="250" spans="16:53" x14ac:dyDescent="0.25">
      <c r="P250" s="90">
        <f t="shared" si="17"/>
        <v>0</v>
      </c>
      <c r="Q250" s="90">
        <f>SUM($L250:O250)</f>
        <v>0</v>
      </c>
      <c r="R250" s="89"/>
      <c r="AH250" s="90">
        <f t="shared" si="18"/>
        <v>0</v>
      </c>
      <c r="AI250" s="90">
        <f>SUM($AD250:AG250)</f>
        <v>0</v>
      </c>
      <c r="AJ250" s="89"/>
      <c r="AZ250" s="90">
        <f t="shared" si="19"/>
        <v>0</v>
      </c>
      <c r="BA250" s="90">
        <f>SUM($AV250:AY250)</f>
        <v>0</v>
      </c>
    </row>
    <row r="251" spans="16:53" x14ac:dyDescent="0.25">
      <c r="P251" s="90">
        <f t="shared" si="17"/>
        <v>0</v>
      </c>
      <c r="Q251" s="90">
        <f>SUM($L251:O251)</f>
        <v>0</v>
      </c>
      <c r="R251" s="89"/>
      <c r="AH251" s="90">
        <f t="shared" si="18"/>
        <v>0</v>
      </c>
      <c r="AI251" s="90">
        <f>SUM($AD251:AG251)</f>
        <v>0</v>
      </c>
      <c r="AJ251" s="89"/>
      <c r="AZ251" s="90">
        <f t="shared" si="19"/>
        <v>0</v>
      </c>
      <c r="BA251" s="90">
        <f>SUM($AV251:AY251)</f>
        <v>0</v>
      </c>
    </row>
    <row r="252" spans="16:53" x14ac:dyDescent="0.25">
      <c r="P252" s="90">
        <f t="shared" si="17"/>
        <v>0</v>
      </c>
      <c r="Q252" s="90">
        <f>SUM($L252:O252)</f>
        <v>0</v>
      </c>
      <c r="R252" s="89"/>
      <c r="AH252" s="90">
        <f t="shared" si="18"/>
        <v>0</v>
      </c>
      <c r="AI252" s="90">
        <f>SUM($AD252:AG252)</f>
        <v>0</v>
      </c>
      <c r="AJ252" s="89"/>
      <c r="AZ252" s="90">
        <f t="shared" si="19"/>
        <v>0</v>
      </c>
      <c r="BA252" s="90">
        <f>SUM($AV252:AY252)</f>
        <v>0</v>
      </c>
    </row>
    <row r="253" spans="16:53" x14ac:dyDescent="0.25">
      <c r="P253" s="90">
        <f t="shared" si="17"/>
        <v>0</v>
      </c>
      <c r="Q253" s="90">
        <f>SUM($L253:O253)</f>
        <v>0</v>
      </c>
      <c r="R253" s="89"/>
      <c r="AH253" s="90">
        <f t="shared" si="18"/>
        <v>0</v>
      </c>
      <c r="AI253" s="90">
        <f>SUM($AD253:AG253)</f>
        <v>0</v>
      </c>
      <c r="AJ253" s="89"/>
      <c r="AZ253" s="90">
        <f t="shared" si="19"/>
        <v>0</v>
      </c>
      <c r="BA253" s="90">
        <f>SUM($AV253:AY253)</f>
        <v>0</v>
      </c>
    </row>
    <row r="254" spans="16:53" x14ac:dyDescent="0.25">
      <c r="P254" s="90">
        <f t="shared" si="17"/>
        <v>0</v>
      </c>
      <c r="Q254" s="90">
        <f>SUM($L254:O254)</f>
        <v>0</v>
      </c>
      <c r="R254" s="89"/>
      <c r="AH254" s="90">
        <f t="shared" si="18"/>
        <v>0</v>
      </c>
      <c r="AI254" s="90">
        <f>SUM($AD254:AG254)</f>
        <v>0</v>
      </c>
      <c r="AJ254" s="89"/>
      <c r="AZ254" s="90">
        <f t="shared" si="19"/>
        <v>0</v>
      </c>
      <c r="BA254" s="90">
        <f>SUM($AV254:AY254)</f>
        <v>0</v>
      </c>
    </row>
    <row r="255" spans="16:53" x14ac:dyDescent="0.25">
      <c r="P255" s="90">
        <f t="shared" si="17"/>
        <v>0</v>
      </c>
      <c r="Q255" s="90">
        <f>SUM($L255:O255)</f>
        <v>0</v>
      </c>
      <c r="R255" s="89"/>
      <c r="AH255" s="90">
        <f t="shared" si="18"/>
        <v>0</v>
      </c>
      <c r="AI255" s="90">
        <f>SUM($AD255:AG255)</f>
        <v>0</v>
      </c>
      <c r="AJ255" s="89"/>
      <c r="AZ255" s="90">
        <f t="shared" si="19"/>
        <v>0</v>
      </c>
      <c r="BA255" s="90">
        <f>SUM($AV255:AY255)</f>
        <v>0</v>
      </c>
    </row>
    <row r="256" spans="16:53" x14ac:dyDescent="0.25">
      <c r="P256" s="90">
        <f t="shared" si="17"/>
        <v>0</v>
      </c>
      <c r="Q256" s="90">
        <f>SUM($L256:O256)</f>
        <v>0</v>
      </c>
      <c r="R256" s="89"/>
      <c r="AH256" s="90">
        <f t="shared" si="18"/>
        <v>0</v>
      </c>
      <c r="AI256" s="90">
        <f>SUM($AD256:AG256)</f>
        <v>0</v>
      </c>
      <c r="AJ256" s="89"/>
      <c r="AZ256" s="90">
        <f t="shared" si="19"/>
        <v>0</v>
      </c>
      <c r="BA256" s="90">
        <f>SUM($AV256:AY256)</f>
        <v>0</v>
      </c>
    </row>
    <row r="257" spans="16:53" x14ac:dyDescent="0.25">
      <c r="P257" s="90">
        <f t="shared" si="17"/>
        <v>0</v>
      </c>
      <c r="Q257" s="90">
        <f>SUM($L257:O257)</f>
        <v>0</v>
      </c>
      <c r="R257" s="89"/>
      <c r="AH257" s="90">
        <f t="shared" si="18"/>
        <v>0</v>
      </c>
      <c r="AI257" s="90">
        <f>SUM($AD257:AG257)</f>
        <v>0</v>
      </c>
      <c r="AJ257" s="89"/>
      <c r="AZ257" s="90">
        <f t="shared" si="19"/>
        <v>0</v>
      </c>
      <c r="BA257" s="90">
        <f>SUM($AV257:AY257)</f>
        <v>0</v>
      </c>
    </row>
    <row r="258" spans="16:53" x14ac:dyDescent="0.25">
      <c r="P258" s="90">
        <f t="shared" si="17"/>
        <v>0</v>
      </c>
      <c r="Q258" s="90">
        <f>SUM($L258:O258)</f>
        <v>0</v>
      </c>
      <c r="R258" s="89"/>
      <c r="AH258" s="90">
        <f t="shared" si="18"/>
        <v>0</v>
      </c>
      <c r="AI258" s="90">
        <f>SUM($AD258:AG258)</f>
        <v>0</v>
      </c>
      <c r="AJ258" s="89"/>
      <c r="AZ258" s="90">
        <f t="shared" si="19"/>
        <v>0</v>
      </c>
      <c r="BA258" s="90">
        <f>SUM($AV258:AY258)</f>
        <v>0</v>
      </c>
    </row>
    <row r="259" spans="16:53" x14ac:dyDescent="0.25">
      <c r="P259" s="90">
        <f t="shared" si="17"/>
        <v>0</v>
      </c>
      <c r="Q259" s="90">
        <f>SUM($L259:O259)</f>
        <v>0</v>
      </c>
      <c r="R259" s="89"/>
      <c r="AH259" s="90">
        <f t="shared" si="18"/>
        <v>0</v>
      </c>
      <c r="AI259" s="90">
        <f>SUM($AD259:AG259)</f>
        <v>0</v>
      </c>
      <c r="AJ259" s="89"/>
      <c r="AZ259" s="90">
        <f t="shared" si="19"/>
        <v>0</v>
      </c>
      <c r="BA259" s="90">
        <f>SUM($AV259:AY259)</f>
        <v>0</v>
      </c>
    </row>
    <row r="260" spans="16:53" x14ac:dyDescent="0.25">
      <c r="P260" s="90">
        <f t="shared" si="17"/>
        <v>0</v>
      </c>
      <c r="Q260" s="90">
        <f>SUM($L260:O260)</f>
        <v>0</v>
      </c>
      <c r="R260" s="89"/>
      <c r="AH260" s="90">
        <f t="shared" si="18"/>
        <v>0</v>
      </c>
      <c r="AI260" s="90">
        <f>SUM($AD260:AG260)</f>
        <v>0</v>
      </c>
      <c r="AJ260" s="89"/>
      <c r="AZ260" s="90">
        <f t="shared" si="19"/>
        <v>0</v>
      </c>
      <c r="BA260" s="90">
        <f>SUM($AV260:AY260)</f>
        <v>0</v>
      </c>
    </row>
    <row r="261" spans="16:53" x14ac:dyDescent="0.25">
      <c r="P261" s="90">
        <f t="shared" ref="P261:P324" si="20">SUM(B261:K261)</f>
        <v>0</v>
      </c>
      <c r="Q261" s="90">
        <f>SUM($L261:O261)</f>
        <v>0</v>
      </c>
      <c r="R261" s="89"/>
      <c r="AH261" s="90">
        <f t="shared" ref="AH261:AH324" si="21">SUM(T261:AC261)</f>
        <v>0</v>
      </c>
      <c r="AI261" s="90">
        <f>SUM($AD261:AG261)</f>
        <v>0</v>
      </c>
      <c r="AJ261" s="89"/>
      <c r="AZ261" s="90">
        <f t="shared" ref="AZ261:AZ324" si="22">SUM(AL261:AU261)</f>
        <v>0</v>
      </c>
      <c r="BA261" s="90">
        <f>SUM($AV261:AY261)</f>
        <v>0</v>
      </c>
    </row>
    <row r="262" spans="16:53" x14ac:dyDescent="0.25">
      <c r="P262" s="90">
        <f t="shared" si="20"/>
        <v>0</v>
      </c>
      <c r="Q262" s="90">
        <f>SUM($L262:O262)</f>
        <v>0</v>
      </c>
      <c r="R262" s="89"/>
      <c r="AH262" s="90">
        <f t="shared" si="21"/>
        <v>0</v>
      </c>
      <c r="AI262" s="90">
        <f>SUM($AD262:AG262)</f>
        <v>0</v>
      </c>
      <c r="AJ262" s="89"/>
      <c r="AZ262" s="90">
        <f t="shared" si="22"/>
        <v>0</v>
      </c>
      <c r="BA262" s="90">
        <f>SUM($AV262:AY262)</f>
        <v>0</v>
      </c>
    </row>
    <row r="263" spans="16:53" x14ac:dyDescent="0.25">
      <c r="P263" s="90">
        <f t="shared" si="20"/>
        <v>0</v>
      </c>
      <c r="Q263" s="90">
        <f>SUM($L263:O263)</f>
        <v>0</v>
      </c>
      <c r="R263" s="89"/>
      <c r="AH263" s="90">
        <f t="shared" si="21"/>
        <v>0</v>
      </c>
      <c r="AI263" s="90">
        <f>SUM($AD263:AG263)</f>
        <v>0</v>
      </c>
      <c r="AJ263" s="89"/>
      <c r="AZ263" s="90">
        <f t="shared" si="22"/>
        <v>0</v>
      </c>
      <c r="BA263" s="90">
        <f>SUM($AV263:AY263)</f>
        <v>0</v>
      </c>
    </row>
    <row r="264" spans="16:53" x14ac:dyDescent="0.25">
      <c r="P264" s="90">
        <f t="shared" si="20"/>
        <v>0</v>
      </c>
      <c r="Q264" s="90">
        <f>SUM($L264:O264)</f>
        <v>0</v>
      </c>
      <c r="R264" s="89"/>
      <c r="AH264" s="90">
        <f t="shared" si="21"/>
        <v>0</v>
      </c>
      <c r="AI264" s="90">
        <f>SUM($AD264:AG264)</f>
        <v>0</v>
      </c>
      <c r="AJ264" s="89"/>
      <c r="AZ264" s="90">
        <f t="shared" si="22"/>
        <v>0</v>
      </c>
      <c r="BA264" s="90">
        <f>SUM($AV264:AY264)</f>
        <v>0</v>
      </c>
    </row>
    <row r="265" spans="16:53" x14ac:dyDescent="0.25">
      <c r="P265" s="90">
        <f t="shared" si="20"/>
        <v>0</v>
      </c>
      <c r="Q265" s="90">
        <f>SUM($L265:O265)</f>
        <v>0</v>
      </c>
      <c r="R265" s="89"/>
      <c r="AH265" s="90">
        <f t="shared" si="21"/>
        <v>0</v>
      </c>
      <c r="AI265" s="90">
        <f>SUM($AD265:AG265)</f>
        <v>0</v>
      </c>
      <c r="AJ265" s="89"/>
      <c r="AZ265" s="90">
        <f t="shared" si="22"/>
        <v>0</v>
      </c>
      <c r="BA265" s="90">
        <f>SUM($AV265:AY265)</f>
        <v>0</v>
      </c>
    </row>
    <row r="266" spans="16:53" x14ac:dyDescent="0.25">
      <c r="P266" s="90">
        <f t="shared" si="20"/>
        <v>0</v>
      </c>
      <c r="Q266" s="90">
        <f>SUM($L266:O266)</f>
        <v>0</v>
      </c>
      <c r="R266" s="89"/>
      <c r="AH266" s="90">
        <f t="shared" si="21"/>
        <v>0</v>
      </c>
      <c r="AI266" s="90">
        <f>SUM($AD266:AG266)</f>
        <v>0</v>
      </c>
      <c r="AJ266" s="89"/>
      <c r="AZ266" s="90">
        <f t="shared" si="22"/>
        <v>0</v>
      </c>
      <c r="BA266" s="90">
        <f>SUM($AV266:AY266)</f>
        <v>0</v>
      </c>
    </row>
    <row r="267" spans="16:53" x14ac:dyDescent="0.25">
      <c r="P267" s="90">
        <f t="shared" si="20"/>
        <v>0</v>
      </c>
      <c r="Q267" s="90">
        <f>SUM($L267:O267)</f>
        <v>0</v>
      </c>
      <c r="R267" s="89"/>
      <c r="AH267" s="90">
        <f t="shared" si="21"/>
        <v>0</v>
      </c>
      <c r="AI267" s="90">
        <f>SUM($AD267:AG267)</f>
        <v>0</v>
      </c>
      <c r="AJ267" s="89"/>
      <c r="AZ267" s="90">
        <f t="shared" si="22"/>
        <v>0</v>
      </c>
      <c r="BA267" s="90">
        <f>SUM($AV267:AY267)</f>
        <v>0</v>
      </c>
    </row>
    <row r="268" spans="16:53" x14ac:dyDescent="0.25">
      <c r="P268" s="90">
        <f t="shared" si="20"/>
        <v>0</v>
      </c>
      <c r="Q268" s="90">
        <f>SUM($L268:O268)</f>
        <v>0</v>
      </c>
      <c r="R268" s="89"/>
      <c r="AH268" s="90">
        <f t="shared" si="21"/>
        <v>0</v>
      </c>
      <c r="AI268" s="90">
        <f>SUM($AD268:AG268)</f>
        <v>0</v>
      </c>
      <c r="AJ268" s="89"/>
      <c r="AZ268" s="90">
        <f t="shared" si="22"/>
        <v>0</v>
      </c>
      <c r="BA268" s="90">
        <f>SUM($AV268:AY268)</f>
        <v>0</v>
      </c>
    </row>
    <row r="269" spans="16:53" x14ac:dyDescent="0.25">
      <c r="P269" s="90">
        <f t="shared" si="20"/>
        <v>0</v>
      </c>
      <c r="Q269" s="90">
        <f>SUM($L269:O269)</f>
        <v>0</v>
      </c>
      <c r="R269" s="89"/>
      <c r="AH269" s="90">
        <f t="shared" si="21"/>
        <v>0</v>
      </c>
      <c r="AI269" s="90">
        <f>SUM($AD269:AG269)</f>
        <v>0</v>
      </c>
      <c r="AJ269" s="89"/>
      <c r="AZ269" s="90">
        <f t="shared" si="22"/>
        <v>0</v>
      </c>
      <c r="BA269" s="90">
        <f>SUM($AV269:AY269)</f>
        <v>0</v>
      </c>
    </row>
    <row r="270" spans="16:53" x14ac:dyDescent="0.25">
      <c r="P270" s="90">
        <f t="shared" si="20"/>
        <v>0</v>
      </c>
      <c r="Q270" s="90">
        <f>SUM($L270:O270)</f>
        <v>0</v>
      </c>
      <c r="R270" s="89"/>
      <c r="AH270" s="90">
        <f t="shared" si="21"/>
        <v>0</v>
      </c>
      <c r="AI270" s="90">
        <f>SUM($AD270:AG270)</f>
        <v>0</v>
      </c>
      <c r="AJ270" s="89"/>
      <c r="AZ270" s="90">
        <f t="shared" si="22"/>
        <v>0</v>
      </c>
      <c r="BA270" s="90">
        <f>SUM($AV270:AY270)</f>
        <v>0</v>
      </c>
    </row>
    <row r="271" spans="16:53" x14ac:dyDescent="0.25">
      <c r="P271" s="90">
        <f t="shared" si="20"/>
        <v>0</v>
      </c>
      <c r="Q271" s="90">
        <f>SUM($L271:O271)</f>
        <v>0</v>
      </c>
      <c r="R271" s="89"/>
      <c r="AH271" s="90">
        <f t="shared" si="21"/>
        <v>0</v>
      </c>
      <c r="AI271" s="90">
        <f>SUM($AD271:AG271)</f>
        <v>0</v>
      </c>
      <c r="AJ271" s="89"/>
      <c r="AZ271" s="90">
        <f t="shared" si="22"/>
        <v>0</v>
      </c>
      <c r="BA271" s="90">
        <f>SUM($AV271:AY271)</f>
        <v>0</v>
      </c>
    </row>
    <row r="272" spans="16:53" x14ac:dyDescent="0.25">
      <c r="P272" s="90">
        <f t="shared" si="20"/>
        <v>0</v>
      </c>
      <c r="Q272" s="90">
        <f>SUM($L272:O272)</f>
        <v>0</v>
      </c>
      <c r="R272" s="89"/>
      <c r="AH272" s="90">
        <f t="shared" si="21"/>
        <v>0</v>
      </c>
      <c r="AI272" s="90">
        <f>SUM($AD272:AG272)</f>
        <v>0</v>
      </c>
      <c r="AJ272" s="89"/>
      <c r="AZ272" s="90">
        <f t="shared" si="22"/>
        <v>0</v>
      </c>
      <c r="BA272" s="90">
        <f>SUM($AV272:AY272)</f>
        <v>0</v>
      </c>
    </row>
    <row r="273" spans="16:53" x14ac:dyDescent="0.25">
      <c r="P273" s="90">
        <f t="shared" si="20"/>
        <v>0</v>
      </c>
      <c r="Q273" s="90">
        <f>SUM($L273:O273)</f>
        <v>0</v>
      </c>
      <c r="R273" s="89"/>
      <c r="AH273" s="90">
        <f t="shared" si="21"/>
        <v>0</v>
      </c>
      <c r="AI273" s="90">
        <f>SUM($AD273:AG273)</f>
        <v>0</v>
      </c>
      <c r="AJ273" s="89"/>
      <c r="AZ273" s="90">
        <f t="shared" si="22"/>
        <v>0</v>
      </c>
      <c r="BA273" s="90">
        <f>SUM($AV273:AY273)</f>
        <v>0</v>
      </c>
    </row>
    <row r="274" spans="16:53" x14ac:dyDescent="0.25">
      <c r="P274" s="90">
        <f t="shared" si="20"/>
        <v>0</v>
      </c>
      <c r="Q274" s="90">
        <f>SUM($L274:O274)</f>
        <v>0</v>
      </c>
      <c r="R274" s="89"/>
      <c r="AH274" s="90">
        <f t="shared" si="21"/>
        <v>0</v>
      </c>
      <c r="AI274" s="90">
        <f>SUM($AD274:AG274)</f>
        <v>0</v>
      </c>
      <c r="AJ274" s="89"/>
      <c r="AZ274" s="90">
        <f t="shared" si="22"/>
        <v>0</v>
      </c>
      <c r="BA274" s="90">
        <f>SUM($AV274:AY274)</f>
        <v>0</v>
      </c>
    </row>
    <row r="275" spans="16:53" x14ac:dyDescent="0.25">
      <c r="P275" s="90">
        <f t="shared" si="20"/>
        <v>0</v>
      </c>
      <c r="Q275" s="90">
        <f>SUM($L275:O275)</f>
        <v>0</v>
      </c>
      <c r="R275" s="89"/>
      <c r="AH275" s="90">
        <f t="shared" si="21"/>
        <v>0</v>
      </c>
      <c r="AI275" s="90">
        <f>SUM($AD275:AG275)</f>
        <v>0</v>
      </c>
      <c r="AJ275" s="89"/>
      <c r="AZ275" s="90">
        <f t="shared" si="22"/>
        <v>0</v>
      </c>
      <c r="BA275" s="90">
        <f>SUM($AV275:AY275)</f>
        <v>0</v>
      </c>
    </row>
    <row r="276" spans="16:53" x14ac:dyDescent="0.25">
      <c r="P276" s="90">
        <f t="shared" si="20"/>
        <v>0</v>
      </c>
      <c r="Q276" s="90">
        <f>SUM($L276:O276)</f>
        <v>0</v>
      </c>
      <c r="R276" s="89"/>
      <c r="AH276" s="90">
        <f t="shared" si="21"/>
        <v>0</v>
      </c>
      <c r="AI276" s="90">
        <f>SUM($AD276:AG276)</f>
        <v>0</v>
      </c>
      <c r="AJ276" s="89"/>
      <c r="AZ276" s="90">
        <f t="shared" si="22"/>
        <v>0</v>
      </c>
      <c r="BA276" s="90">
        <f>SUM($AV276:AY276)</f>
        <v>0</v>
      </c>
    </row>
    <row r="277" spans="16:53" x14ac:dyDescent="0.25">
      <c r="P277" s="90">
        <f t="shared" si="20"/>
        <v>0</v>
      </c>
      <c r="Q277" s="90">
        <f>SUM($L277:O277)</f>
        <v>0</v>
      </c>
      <c r="R277" s="89"/>
      <c r="AH277" s="90">
        <f t="shared" si="21"/>
        <v>0</v>
      </c>
      <c r="AI277" s="90">
        <f>SUM($AD277:AG277)</f>
        <v>0</v>
      </c>
      <c r="AJ277" s="89"/>
      <c r="AZ277" s="90">
        <f t="shared" si="22"/>
        <v>0</v>
      </c>
      <c r="BA277" s="90">
        <f>SUM($AV277:AY277)</f>
        <v>0</v>
      </c>
    </row>
    <row r="278" spans="16:53" x14ac:dyDescent="0.25">
      <c r="P278" s="90">
        <f t="shared" si="20"/>
        <v>0</v>
      </c>
      <c r="Q278" s="90">
        <f>SUM($L278:O278)</f>
        <v>0</v>
      </c>
      <c r="R278" s="89"/>
      <c r="AH278" s="90">
        <f t="shared" si="21"/>
        <v>0</v>
      </c>
      <c r="AI278" s="90">
        <f>SUM($AD278:AG278)</f>
        <v>0</v>
      </c>
      <c r="AJ278" s="89"/>
      <c r="AZ278" s="90">
        <f t="shared" si="22"/>
        <v>0</v>
      </c>
      <c r="BA278" s="90">
        <f>SUM($AV278:AY278)</f>
        <v>0</v>
      </c>
    </row>
    <row r="279" spans="16:53" x14ac:dyDescent="0.25">
      <c r="P279" s="90">
        <f t="shared" si="20"/>
        <v>0</v>
      </c>
      <c r="Q279" s="90">
        <f>SUM($L279:O279)</f>
        <v>0</v>
      </c>
      <c r="R279" s="89"/>
      <c r="AH279" s="90">
        <f t="shared" si="21"/>
        <v>0</v>
      </c>
      <c r="AI279" s="90">
        <f>SUM($AD279:AG279)</f>
        <v>0</v>
      </c>
      <c r="AJ279" s="89"/>
      <c r="AZ279" s="90">
        <f t="shared" si="22"/>
        <v>0</v>
      </c>
      <c r="BA279" s="90">
        <f>SUM($AV279:AY279)</f>
        <v>0</v>
      </c>
    </row>
    <row r="280" spans="16:53" x14ac:dyDescent="0.25">
      <c r="P280" s="90">
        <f t="shared" si="20"/>
        <v>0</v>
      </c>
      <c r="Q280" s="90">
        <f>SUM($L280:O280)</f>
        <v>0</v>
      </c>
      <c r="R280" s="89"/>
      <c r="AH280" s="90">
        <f t="shared" si="21"/>
        <v>0</v>
      </c>
      <c r="AI280" s="90">
        <f>SUM($AD280:AG280)</f>
        <v>0</v>
      </c>
      <c r="AJ280" s="89"/>
      <c r="AZ280" s="90">
        <f t="shared" si="22"/>
        <v>0</v>
      </c>
      <c r="BA280" s="90">
        <f>SUM($AV280:AY280)</f>
        <v>0</v>
      </c>
    </row>
    <row r="281" spans="16:53" x14ac:dyDescent="0.25">
      <c r="P281" s="90">
        <f t="shared" si="20"/>
        <v>0</v>
      </c>
      <c r="Q281" s="90">
        <f>SUM($L281:O281)</f>
        <v>0</v>
      </c>
      <c r="R281" s="89"/>
      <c r="AH281" s="90">
        <f t="shared" si="21"/>
        <v>0</v>
      </c>
      <c r="AI281" s="90">
        <f>SUM($AD281:AG281)</f>
        <v>0</v>
      </c>
      <c r="AJ281" s="89"/>
      <c r="AZ281" s="90">
        <f t="shared" si="22"/>
        <v>0</v>
      </c>
      <c r="BA281" s="90">
        <f>SUM($AV281:AY281)</f>
        <v>0</v>
      </c>
    </row>
    <row r="282" spans="16:53" x14ac:dyDescent="0.25">
      <c r="P282" s="90">
        <f t="shared" si="20"/>
        <v>0</v>
      </c>
      <c r="Q282" s="90">
        <f>SUM($L282:O282)</f>
        <v>0</v>
      </c>
      <c r="R282" s="89"/>
      <c r="AH282" s="90">
        <f t="shared" si="21"/>
        <v>0</v>
      </c>
      <c r="AI282" s="90">
        <f>SUM($AD282:AG282)</f>
        <v>0</v>
      </c>
      <c r="AJ282" s="89"/>
      <c r="AZ282" s="90">
        <f t="shared" si="22"/>
        <v>0</v>
      </c>
      <c r="BA282" s="90">
        <f>SUM($AV282:AY282)</f>
        <v>0</v>
      </c>
    </row>
    <row r="283" spans="16:53" x14ac:dyDescent="0.25">
      <c r="P283" s="90">
        <f t="shared" si="20"/>
        <v>0</v>
      </c>
      <c r="Q283" s="90">
        <f>SUM($L283:O283)</f>
        <v>0</v>
      </c>
      <c r="R283" s="89"/>
      <c r="AH283" s="90">
        <f t="shared" si="21"/>
        <v>0</v>
      </c>
      <c r="AI283" s="90">
        <f>SUM($AD283:AG283)</f>
        <v>0</v>
      </c>
      <c r="AJ283" s="89"/>
      <c r="AZ283" s="90">
        <f t="shared" si="22"/>
        <v>0</v>
      </c>
      <c r="BA283" s="90">
        <f>SUM($AV283:AY283)</f>
        <v>0</v>
      </c>
    </row>
    <row r="284" spans="16:53" x14ac:dyDescent="0.25">
      <c r="P284" s="90">
        <f t="shared" si="20"/>
        <v>0</v>
      </c>
      <c r="Q284" s="90">
        <f>SUM($L284:O284)</f>
        <v>0</v>
      </c>
      <c r="R284" s="89"/>
      <c r="AH284" s="90">
        <f t="shared" si="21"/>
        <v>0</v>
      </c>
      <c r="AI284" s="90">
        <f>SUM($AD284:AG284)</f>
        <v>0</v>
      </c>
      <c r="AJ284" s="89"/>
      <c r="AZ284" s="90">
        <f t="shared" si="22"/>
        <v>0</v>
      </c>
      <c r="BA284" s="90">
        <f>SUM($AV284:AY284)</f>
        <v>0</v>
      </c>
    </row>
    <row r="285" spans="16:53" x14ac:dyDescent="0.25">
      <c r="P285" s="90">
        <f t="shared" si="20"/>
        <v>0</v>
      </c>
      <c r="Q285" s="90">
        <f>SUM($L285:O285)</f>
        <v>0</v>
      </c>
      <c r="R285" s="89"/>
      <c r="AH285" s="90">
        <f t="shared" si="21"/>
        <v>0</v>
      </c>
      <c r="AI285" s="90">
        <f>SUM($AD285:AG285)</f>
        <v>0</v>
      </c>
      <c r="AJ285" s="89"/>
      <c r="AZ285" s="90">
        <f t="shared" si="22"/>
        <v>0</v>
      </c>
      <c r="BA285" s="90">
        <f>SUM($AV285:AY285)</f>
        <v>0</v>
      </c>
    </row>
    <row r="286" spans="16:53" x14ac:dyDescent="0.25">
      <c r="P286" s="90">
        <f t="shared" si="20"/>
        <v>0</v>
      </c>
      <c r="Q286" s="90">
        <f>SUM($L286:O286)</f>
        <v>0</v>
      </c>
      <c r="R286" s="89"/>
      <c r="AH286" s="90">
        <f t="shared" si="21"/>
        <v>0</v>
      </c>
      <c r="AI286" s="90">
        <f>SUM($AD286:AG286)</f>
        <v>0</v>
      </c>
      <c r="AJ286" s="89"/>
      <c r="AZ286" s="90">
        <f t="shared" si="22"/>
        <v>0</v>
      </c>
      <c r="BA286" s="90">
        <f>SUM($AV286:AY286)</f>
        <v>0</v>
      </c>
    </row>
    <row r="287" spans="16:53" x14ac:dyDescent="0.25">
      <c r="P287" s="90">
        <f t="shared" si="20"/>
        <v>0</v>
      </c>
      <c r="Q287" s="90">
        <f>SUM($L287:O287)</f>
        <v>0</v>
      </c>
      <c r="R287" s="89"/>
      <c r="AH287" s="90">
        <f t="shared" si="21"/>
        <v>0</v>
      </c>
      <c r="AI287" s="90">
        <f>SUM($AD287:AG287)</f>
        <v>0</v>
      </c>
      <c r="AJ287" s="89"/>
      <c r="AZ287" s="90">
        <f t="shared" si="22"/>
        <v>0</v>
      </c>
      <c r="BA287" s="90">
        <f>SUM($AV287:AY287)</f>
        <v>0</v>
      </c>
    </row>
    <row r="288" spans="16:53" x14ac:dyDescent="0.25">
      <c r="P288" s="90">
        <f t="shared" si="20"/>
        <v>0</v>
      </c>
      <c r="Q288" s="90">
        <f>SUM($L288:O288)</f>
        <v>0</v>
      </c>
      <c r="R288" s="89"/>
      <c r="AH288" s="90">
        <f t="shared" si="21"/>
        <v>0</v>
      </c>
      <c r="AI288" s="90">
        <f>SUM($AD288:AG288)</f>
        <v>0</v>
      </c>
      <c r="AJ288" s="89"/>
      <c r="AZ288" s="90">
        <f t="shared" si="22"/>
        <v>0</v>
      </c>
      <c r="BA288" s="90">
        <f>SUM($AV288:AY288)</f>
        <v>0</v>
      </c>
    </row>
    <row r="289" spans="16:53" x14ac:dyDescent="0.25">
      <c r="P289" s="90">
        <f t="shared" si="20"/>
        <v>0</v>
      </c>
      <c r="Q289" s="90">
        <f>SUM($L289:O289)</f>
        <v>0</v>
      </c>
      <c r="R289" s="89"/>
      <c r="AH289" s="90">
        <f t="shared" si="21"/>
        <v>0</v>
      </c>
      <c r="AI289" s="90">
        <f>SUM($AD289:AG289)</f>
        <v>0</v>
      </c>
      <c r="AJ289" s="89"/>
      <c r="AZ289" s="90">
        <f t="shared" si="22"/>
        <v>0</v>
      </c>
      <c r="BA289" s="90">
        <f>SUM($AV289:AY289)</f>
        <v>0</v>
      </c>
    </row>
    <row r="290" spans="16:53" x14ac:dyDescent="0.25">
      <c r="P290" s="90">
        <f t="shared" si="20"/>
        <v>0</v>
      </c>
      <c r="Q290" s="90">
        <f>SUM($L290:O290)</f>
        <v>0</v>
      </c>
      <c r="R290" s="89"/>
      <c r="AH290" s="90">
        <f t="shared" si="21"/>
        <v>0</v>
      </c>
      <c r="AI290" s="90">
        <f>SUM($AD290:AG290)</f>
        <v>0</v>
      </c>
      <c r="AJ290" s="89"/>
      <c r="AZ290" s="90">
        <f t="shared" si="22"/>
        <v>0</v>
      </c>
      <c r="BA290" s="90">
        <f>SUM($AV290:AY290)</f>
        <v>0</v>
      </c>
    </row>
    <row r="291" spans="16:53" x14ac:dyDescent="0.25">
      <c r="P291" s="90">
        <f t="shared" si="20"/>
        <v>0</v>
      </c>
      <c r="Q291" s="90">
        <f>SUM($L291:O291)</f>
        <v>0</v>
      </c>
      <c r="R291" s="89"/>
      <c r="AH291" s="90">
        <f t="shared" si="21"/>
        <v>0</v>
      </c>
      <c r="AI291" s="90">
        <f>SUM($AD291:AG291)</f>
        <v>0</v>
      </c>
      <c r="AJ291" s="89"/>
      <c r="AZ291" s="90">
        <f t="shared" si="22"/>
        <v>0</v>
      </c>
      <c r="BA291" s="90">
        <f>SUM($AV291:AY291)</f>
        <v>0</v>
      </c>
    </row>
    <row r="292" spans="16:53" x14ac:dyDescent="0.25">
      <c r="P292" s="90">
        <f t="shared" si="20"/>
        <v>0</v>
      </c>
      <c r="Q292" s="90">
        <f>SUM($L292:O292)</f>
        <v>0</v>
      </c>
      <c r="R292" s="89"/>
      <c r="AH292" s="90">
        <f t="shared" si="21"/>
        <v>0</v>
      </c>
      <c r="AI292" s="90">
        <f>SUM($AD292:AG292)</f>
        <v>0</v>
      </c>
      <c r="AJ292" s="89"/>
      <c r="AZ292" s="90">
        <f t="shared" si="22"/>
        <v>0</v>
      </c>
      <c r="BA292" s="90">
        <f>SUM($AV292:AY292)</f>
        <v>0</v>
      </c>
    </row>
    <row r="293" spans="16:53" x14ac:dyDescent="0.25">
      <c r="P293" s="90">
        <f t="shared" si="20"/>
        <v>0</v>
      </c>
      <c r="Q293" s="90">
        <f>SUM($L293:O293)</f>
        <v>0</v>
      </c>
      <c r="R293" s="89"/>
      <c r="AH293" s="90">
        <f t="shared" si="21"/>
        <v>0</v>
      </c>
      <c r="AI293" s="90">
        <f>SUM($AD293:AG293)</f>
        <v>0</v>
      </c>
      <c r="AJ293" s="89"/>
      <c r="AZ293" s="90">
        <f t="shared" si="22"/>
        <v>0</v>
      </c>
      <c r="BA293" s="90">
        <f>SUM($AV293:AY293)</f>
        <v>0</v>
      </c>
    </row>
    <row r="294" spans="16:53" x14ac:dyDescent="0.25">
      <c r="P294" s="90">
        <f t="shared" si="20"/>
        <v>0</v>
      </c>
      <c r="Q294" s="90">
        <f>SUM($L294:O294)</f>
        <v>0</v>
      </c>
      <c r="R294" s="89"/>
      <c r="AH294" s="90">
        <f t="shared" si="21"/>
        <v>0</v>
      </c>
      <c r="AI294" s="90">
        <f>SUM($AD294:AG294)</f>
        <v>0</v>
      </c>
      <c r="AJ294" s="89"/>
      <c r="AZ294" s="90">
        <f t="shared" si="22"/>
        <v>0</v>
      </c>
      <c r="BA294" s="90">
        <f>SUM($AV294:AY294)</f>
        <v>0</v>
      </c>
    </row>
    <row r="295" spans="16:53" x14ac:dyDescent="0.25">
      <c r="P295" s="90">
        <f t="shared" si="20"/>
        <v>0</v>
      </c>
      <c r="Q295" s="90">
        <f>SUM($L295:O295)</f>
        <v>0</v>
      </c>
      <c r="R295" s="89"/>
      <c r="AH295" s="90">
        <f t="shared" si="21"/>
        <v>0</v>
      </c>
      <c r="AI295" s="90">
        <f>SUM($AD295:AG295)</f>
        <v>0</v>
      </c>
      <c r="AJ295" s="89"/>
      <c r="AZ295" s="90">
        <f t="shared" si="22"/>
        <v>0</v>
      </c>
      <c r="BA295" s="90">
        <f>SUM($AV295:AY295)</f>
        <v>0</v>
      </c>
    </row>
    <row r="296" spans="16:53" x14ac:dyDescent="0.25">
      <c r="P296" s="90">
        <f t="shared" si="20"/>
        <v>0</v>
      </c>
      <c r="Q296" s="90">
        <f>SUM($L296:O296)</f>
        <v>0</v>
      </c>
      <c r="R296" s="89"/>
      <c r="AH296" s="90">
        <f t="shared" si="21"/>
        <v>0</v>
      </c>
      <c r="AI296" s="90">
        <f>SUM($AD296:AG296)</f>
        <v>0</v>
      </c>
      <c r="AJ296" s="89"/>
      <c r="AZ296" s="90">
        <f t="shared" si="22"/>
        <v>0</v>
      </c>
      <c r="BA296" s="90">
        <f>SUM($AV296:AY296)</f>
        <v>0</v>
      </c>
    </row>
    <row r="297" spans="16:53" x14ac:dyDescent="0.25">
      <c r="P297" s="90">
        <f t="shared" si="20"/>
        <v>0</v>
      </c>
      <c r="Q297" s="90">
        <f>SUM($L297:O297)</f>
        <v>0</v>
      </c>
      <c r="R297" s="89"/>
      <c r="AH297" s="90">
        <f t="shared" si="21"/>
        <v>0</v>
      </c>
      <c r="AI297" s="90">
        <f>SUM($AD297:AG297)</f>
        <v>0</v>
      </c>
      <c r="AJ297" s="89"/>
      <c r="AZ297" s="90">
        <f t="shared" si="22"/>
        <v>0</v>
      </c>
      <c r="BA297" s="90">
        <f>SUM($AV297:AY297)</f>
        <v>0</v>
      </c>
    </row>
    <row r="298" spans="16:53" x14ac:dyDescent="0.25">
      <c r="P298" s="90">
        <f t="shared" si="20"/>
        <v>0</v>
      </c>
      <c r="Q298" s="90">
        <f>SUM($L298:O298)</f>
        <v>0</v>
      </c>
      <c r="R298" s="89"/>
      <c r="AH298" s="90">
        <f t="shared" si="21"/>
        <v>0</v>
      </c>
      <c r="AI298" s="90">
        <f>SUM($AD298:AG298)</f>
        <v>0</v>
      </c>
      <c r="AJ298" s="89"/>
      <c r="AZ298" s="90">
        <f t="shared" si="22"/>
        <v>0</v>
      </c>
      <c r="BA298" s="90">
        <f>SUM($AV298:AY298)</f>
        <v>0</v>
      </c>
    </row>
    <row r="299" spans="16:53" x14ac:dyDescent="0.25">
      <c r="P299" s="90">
        <f t="shared" si="20"/>
        <v>0</v>
      </c>
      <c r="Q299" s="90">
        <f>SUM($L299:O299)</f>
        <v>0</v>
      </c>
      <c r="R299" s="89"/>
      <c r="AH299" s="90">
        <f t="shared" si="21"/>
        <v>0</v>
      </c>
      <c r="AI299" s="90">
        <f>SUM($AD299:AG299)</f>
        <v>0</v>
      </c>
      <c r="AJ299" s="89"/>
      <c r="AZ299" s="90">
        <f t="shared" si="22"/>
        <v>0</v>
      </c>
      <c r="BA299" s="90">
        <f>SUM($AV299:AY299)</f>
        <v>0</v>
      </c>
    </row>
    <row r="300" spans="16:53" x14ac:dyDescent="0.25">
      <c r="P300" s="90">
        <f t="shared" si="20"/>
        <v>0</v>
      </c>
      <c r="Q300" s="90">
        <f>SUM($L300:O300)</f>
        <v>0</v>
      </c>
      <c r="R300" s="89"/>
      <c r="AH300" s="90">
        <f t="shared" si="21"/>
        <v>0</v>
      </c>
      <c r="AI300" s="90">
        <f>SUM($AD300:AG300)</f>
        <v>0</v>
      </c>
      <c r="AJ300" s="89"/>
      <c r="AZ300" s="90">
        <f t="shared" si="22"/>
        <v>0</v>
      </c>
      <c r="BA300" s="90">
        <f>SUM($AV300:AY300)</f>
        <v>0</v>
      </c>
    </row>
    <row r="301" spans="16:53" x14ac:dyDescent="0.25">
      <c r="P301" s="90">
        <f t="shared" si="20"/>
        <v>0</v>
      </c>
      <c r="Q301" s="90">
        <f>SUM($L301:O301)</f>
        <v>0</v>
      </c>
      <c r="R301" s="89"/>
      <c r="AH301" s="90">
        <f t="shared" si="21"/>
        <v>0</v>
      </c>
      <c r="AI301" s="90">
        <f>SUM($AD301:AG301)</f>
        <v>0</v>
      </c>
      <c r="AJ301" s="89"/>
      <c r="AZ301" s="90">
        <f t="shared" si="22"/>
        <v>0</v>
      </c>
      <c r="BA301" s="90">
        <f>SUM($AV301:AY301)</f>
        <v>0</v>
      </c>
    </row>
    <row r="302" spans="16:53" x14ac:dyDescent="0.25">
      <c r="P302" s="90">
        <f t="shared" si="20"/>
        <v>0</v>
      </c>
      <c r="Q302" s="90">
        <f>SUM($L302:O302)</f>
        <v>0</v>
      </c>
      <c r="R302" s="89"/>
      <c r="AH302" s="90">
        <f t="shared" si="21"/>
        <v>0</v>
      </c>
      <c r="AI302" s="90">
        <f>SUM($AD302:AG302)</f>
        <v>0</v>
      </c>
      <c r="AJ302" s="89"/>
      <c r="AZ302" s="90">
        <f t="shared" si="22"/>
        <v>0</v>
      </c>
      <c r="BA302" s="90">
        <f>SUM($AV302:AY302)</f>
        <v>0</v>
      </c>
    </row>
    <row r="303" spans="16:53" x14ac:dyDescent="0.25">
      <c r="P303" s="90">
        <f t="shared" si="20"/>
        <v>0</v>
      </c>
      <c r="Q303" s="90">
        <f>SUM($L303:O303)</f>
        <v>0</v>
      </c>
      <c r="R303" s="89"/>
      <c r="AH303" s="90">
        <f t="shared" si="21"/>
        <v>0</v>
      </c>
      <c r="AI303" s="90">
        <f>SUM($AD303:AG303)</f>
        <v>0</v>
      </c>
      <c r="AJ303" s="89"/>
      <c r="AZ303" s="90">
        <f t="shared" si="22"/>
        <v>0</v>
      </c>
      <c r="BA303" s="90">
        <f>SUM($AV303:AY303)</f>
        <v>0</v>
      </c>
    </row>
    <row r="304" spans="16:53" x14ac:dyDescent="0.25">
      <c r="P304" s="90">
        <f t="shared" si="20"/>
        <v>0</v>
      </c>
      <c r="Q304" s="90">
        <f>SUM($L304:O304)</f>
        <v>0</v>
      </c>
      <c r="R304" s="89"/>
      <c r="AH304" s="90">
        <f t="shared" si="21"/>
        <v>0</v>
      </c>
      <c r="AI304" s="90">
        <f>SUM($AD304:AG304)</f>
        <v>0</v>
      </c>
      <c r="AJ304" s="89"/>
      <c r="AZ304" s="90">
        <f t="shared" si="22"/>
        <v>0</v>
      </c>
      <c r="BA304" s="90">
        <f>SUM($AV304:AY304)</f>
        <v>0</v>
      </c>
    </row>
    <row r="305" spans="16:53" x14ac:dyDescent="0.25">
      <c r="P305" s="90">
        <f t="shared" si="20"/>
        <v>0</v>
      </c>
      <c r="Q305" s="90">
        <f>SUM($L305:O305)</f>
        <v>0</v>
      </c>
      <c r="R305" s="89"/>
      <c r="AH305" s="90">
        <f t="shared" si="21"/>
        <v>0</v>
      </c>
      <c r="AI305" s="90">
        <f>SUM($AD305:AG305)</f>
        <v>0</v>
      </c>
      <c r="AJ305" s="89"/>
      <c r="AZ305" s="90">
        <f t="shared" si="22"/>
        <v>0</v>
      </c>
      <c r="BA305" s="90">
        <f>SUM($AV305:AY305)</f>
        <v>0</v>
      </c>
    </row>
    <row r="306" spans="16:53" x14ac:dyDescent="0.25">
      <c r="P306" s="90">
        <f t="shared" si="20"/>
        <v>0</v>
      </c>
      <c r="Q306" s="90">
        <f>SUM($L306:O306)</f>
        <v>0</v>
      </c>
      <c r="R306" s="89"/>
      <c r="AH306" s="90">
        <f t="shared" si="21"/>
        <v>0</v>
      </c>
      <c r="AI306" s="90">
        <f>SUM($AD306:AG306)</f>
        <v>0</v>
      </c>
      <c r="AJ306" s="89"/>
      <c r="AZ306" s="90">
        <f t="shared" si="22"/>
        <v>0</v>
      </c>
      <c r="BA306" s="90">
        <f>SUM($AV306:AY306)</f>
        <v>0</v>
      </c>
    </row>
    <row r="307" spans="16:53" x14ac:dyDescent="0.25">
      <c r="P307" s="90">
        <f t="shared" si="20"/>
        <v>0</v>
      </c>
      <c r="Q307" s="90">
        <f>SUM($L307:O307)</f>
        <v>0</v>
      </c>
      <c r="R307" s="89"/>
      <c r="AH307" s="90">
        <f t="shared" si="21"/>
        <v>0</v>
      </c>
      <c r="AI307" s="90">
        <f>SUM($AD307:AG307)</f>
        <v>0</v>
      </c>
      <c r="AJ307" s="89"/>
      <c r="AZ307" s="90">
        <f t="shared" si="22"/>
        <v>0</v>
      </c>
      <c r="BA307" s="90">
        <f>SUM($AV307:AY307)</f>
        <v>0</v>
      </c>
    </row>
    <row r="308" spans="16:53" x14ac:dyDescent="0.25">
      <c r="P308" s="90">
        <f t="shared" si="20"/>
        <v>0</v>
      </c>
      <c r="Q308" s="90">
        <f>SUM($L308:O308)</f>
        <v>0</v>
      </c>
      <c r="R308" s="89"/>
      <c r="AH308" s="90">
        <f t="shared" si="21"/>
        <v>0</v>
      </c>
      <c r="AI308" s="90">
        <f>SUM($AD308:AG308)</f>
        <v>0</v>
      </c>
      <c r="AJ308" s="89"/>
      <c r="AZ308" s="90">
        <f t="shared" si="22"/>
        <v>0</v>
      </c>
      <c r="BA308" s="90">
        <f>SUM($AV308:AY308)</f>
        <v>0</v>
      </c>
    </row>
    <row r="309" spans="16:53" x14ac:dyDescent="0.25">
      <c r="P309" s="90">
        <f t="shared" si="20"/>
        <v>0</v>
      </c>
      <c r="Q309" s="90">
        <f>SUM($L309:O309)</f>
        <v>0</v>
      </c>
      <c r="R309" s="89"/>
      <c r="AH309" s="90">
        <f t="shared" si="21"/>
        <v>0</v>
      </c>
      <c r="AI309" s="90">
        <f>SUM($AD309:AG309)</f>
        <v>0</v>
      </c>
      <c r="AJ309" s="89"/>
      <c r="AZ309" s="90">
        <f t="shared" si="22"/>
        <v>0</v>
      </c>
      <c r="BA309" s="90">
        <f>SUM($AV309:AY309)</f>
        <v>0</v>
      </c>
    </row>
    <row r="310" spans="16:53" x14ac:dyDescent="0.25">
      <c r="P310" s="90">
        <f t="shared" si="20"/>
        <v>0</v>
      </c>
      <c r="Q310" s="90">
        <f>SUM($L310:O310)</f>
        <v>0</v>
      </c>
      <c r="R310" s="89"/>
      <c r="AH310" s="90">
        <f t="shared" si="21"/>
        <v>0</v>
      </c>
      <c r="AI310" s="90">
        <f>SUM($AD310:AG310)</f>
        <v>0</v>
      </c>
      <c r="AJ310" s="89"/>
      <c r="AZ310" s="90">
        <f t="shared" si="22"/>
        <v>0</v>
      </c>
      <c r="BA310" s="90">
        <f>SUM($AV310:AY310)</f>
        <v>0</v>
      </c>
    </row>
    <row r="311" spans="16:53" x14ac:dyDescent="0.25">
      <c r="P311" s="90">
        <f t="shared" si="20"/>
        <v>0</v>
      </c>
      <c r="Q311" s="90">
        <f>SUM($L311:O311)</f>
        <v>0</v>
      </c>
      <c r="R311" s="89"/>
      <c r="AH311" s="90">
        <f t="shared" si="21"/>
        <v>0</v>
      </c>
      <c r="AI311" s="90">
        <f>SUM($AD311:AG311)</f>
        <v>0</v>
      </c>
      <c r="AJ311" s="89"/>
      <c r="AZ311" s="90">
        <f t="shared" si="22"/>
        <v>0</v>
      </c>
      <c r="BA311" s="90">
        <f>SUM($AV311:AY311)</f>
        <v>0</v>
      </c>
    </row>
    <row r="312" spans="16:53" x14ac:dyDescent="0.25">
      <c r="P312" s="90">
        <f t="shared" si="20"/>
        <v>0</v>
      </c>
      <c r="Q312" s="90">
        <f>SUM($L312:O312)</f>
        <v>0</v>
      </c>
      <c r="R312" s="89"/>
      <c r="AH312" s="90">
        <f t="shared" si="21"/>
        <v>0</v>
      </c>
      <c r="AI312" s="90">
        <f>SUM($AD312:AG312)</f>
        <v>0</v>
      </c>
      <c r="AJ312" s="89"/>
      <c r="AZ312" s="90">
        <f t="shared" si="22"/>
        <v>0</v>
      </c>
      <c r="BA312" s="90">
        <f>SUM($AV312:AY312)</f>
        <v>0</v>
      </c>
    </row>
    <row r="313" spans="16:53" x14ac:dyDescent="0.25">
      <c r="P313" s="90">
        <f t="shared" si="20"/>
        <v>0</v>
      </c>
      <c r="Q313" s="90">
        <f>SUM($L313:O313)</f>
        <v>0</v>
      </c>
      <c r="R313" s="89"/>
      <c r="AH313" s="90">
        <f t="shared" si="21"/>
        <v>0</v>
      </c>
      <c r="AI313" s="90">
        <f>SUM($AD313:AG313)</f>
        <v>0</v>
      </c>
      <c r="AJ313" s="89"/>
      <c r="AZ313" s="90">
        <f t="shared" si="22"/>
        <v>0</v>
      </c>
      <c r="BA313" s="90">
        <f>SUM($AV313:AY313)</f>
        <v>0</v>
      </c>
    </row>
    <row r="314" spans="16:53" x14ac:dyDescent="0.25">
      <c r="P314" s="90">
        <f t="shared" si="20"/>
        <v>0</v>
      </c>
      <c r="Q314" s="90">
        <f>SUM($L314:O314)</f>
        <v>0</v>
      </c>
      <c r="R314" s="89"/>
      <c r="AH314" s="90">
        <f t="shared" si="21"/>
        <v>0</v>
      </c>
      <c r="AI314" s="90">
        <f>SUM($AD314:AG314)</f>
        <v>0</v>
      </c>
      <c r="AJ314" s="89"/>
      <c r="AZ314" s="90">
        <f t="shared" si="22"/>
        <v>0</v>
      </c>
      <c r="BA314" s="90">
        <f>SUM($AV314:AY314)</f>
        <v>0</v>
      </c>
    </row>
    <row r="315" spans="16:53" x14ac:dyDescent="0.25">
      <c r="P315" s="90">
        <f t="shared" si="20"/>
        <v>0</v>
      </c>
      <c r="Q315" s="90">
        <f>SUM($L315:O315)</f>
        <v>0</v>
      </c>
      <c r="R315" s="89"/>
      <c r="AH315" s="90">
        <f t="shared" si="21"/>
        <v>0</v>
      </c>
      <c r="AI315" s="90">
        <f>SUM($AD315:AG315)</f>
        <v>0</v>
      </c>
      <c r="AJ315" s="89"/>
      <c r="AZ315" s="90">
        <f t="shared" si="22"/>
        <v>0</v>
      </c>
      <c r="BA315" s="90">
        <f>SUM($AV315:AY315)</f>
        <v>0</v>
      </c>
    </row>
    <row r="316" spans="16:53" x14ac:dyDescent="0.25">
      <c r="P316" s="90">
        <f t="shared" si="20"/>
        <v>0</v>
      </c>
      <c r="Q316" s="90">
        <f>SUM($L316:O316)</f>
        <v>0</v>
      </c>
      <c r="R316" s="89"/>
      <c r="AH316" s="90">
        <f t="shared" si="21"/>
        <v>0</v>
      </c>
      <c r="AI316" s="90">
        <f>SUM($AD316:AG316)</f>
        <v>0</v>
      </c>
      <c r="AJ316" s="89"/>
      <c r="AZ316" s="90">
        <f t="shared" si="22"/>
        <v>0</v>
      </c>
      <c r="BA316" s="90">
        <f>SUM($AV316:AY316)</f>
        <v>0</v>
      </c>
    </row>
    <row r="317" spans="16:53" x14ac:dyDescent="0.25">
      <c r="P317" s="90">
        <f t="shared" si="20"/>
        <v>0</v>
      </c>
      <c r="Q317" s="90">
        <f>SUM($L317:O317)</f>
        <v>0</v>
      </c>
      <c r="R317" s="89"/>
      <c r="AH317" s="90">
        <f t="shared" si="21"/>
        <v>0</v>
      </c>
      <c r="AI317" s="90">
        <f>SUM($AD317:AG317)</f>
        <v>0</v>
      </c>
      <c r="AJ317" s="89"/>
      <c r="AZ317" s="90">
        <f t="shared" si="22"/>
        <v>0</v>
      </c>
      <c r="BA317" s="90">
        <f>SUM($AV317:AY317)</f>
        <v>0</v>
      </c>
    </row>
    <row r="318" spans="16:53" x14ac:dyDescent="0.25">
      <c r="P318" s="90">
        <f t="shared" si="20"/>
        <v>0</v>
      </c>
      <c r="Q318" s="90">
        <f>SUM($L318:O318)</f>
        <v>0</v>
      </c>
      <c r="R318" s="89"/>
      <c r="AH318" s="90">
        <f t="shared" si="21"/>
        <v>0</v>
      </c>
      <c r="AI318" s="90">
        <f>SUM($AD318:AG318)</f>
        <v>0</v>
      </c>
      <c r="AJ318" s="89"/>
      <c r="AZ318" s="90">
        <f t="shared" si="22"/>
        <v>0</v>
      </c>
      <c r="BA318" s="90">
        <f>SUM($AV318:AY318)</f>
        <v>0</v>
      </c>
    </row>
    <row r="319" spans="16:53" x14ac:dyDescent="0.25">
      <c r="P319" s="90">
        <f t="shared" si="20"/>
        <v>0</v>
      </c>
      <c r="Q319" s="90">
        <f>SUM($L319:O319)</f>
        <v>0</v>
      </c>
      <c r="R319" s="89"/>
      <c r="AH319" s="90">
        <f t="shared" si="21"/>
        <v>0</v>
      </c>
      <c r="AI319" s="90">
        <f>SUM($AD319:AG319)</f>
        <v>0</v>
      </c>
      <c r="AJ319" s="89"/>
      <c r="AZ319" s="90">
        <f t="shared" si="22"/>
        <v>0</v>
      </c>
      <c r="BA319" s="90">
        <f>SUM($AV319:AY319)</f>
        <v>0</v>
      </c>
    </row>
    <row r="320" spans="16:53" x14ac:dyDescent="0.25">
      <c r="P320" s="90">
        <f t="shared" si="20"/>
        <v>0</v>
      </c>
      <c r="Q320" s="90">
        <f>SUM($L320:O320)</f>
        <v>0</v>
      </c>
      <c r="R320" s="89"/>
      <c r="AH320" s="90">
        <f t="shared" si="21"/>
        <v>0</v>
      </c>
      <c r="AI320" s="90">
        <f>SUM($AD320:AG320)</f>
        <v>0</v>
      </c>
      <c r="AJ320" s="89"/>
      <c r="AZ320" s="90">
        <f t="shared" si="22"/>
        <v>0</v>
      </c>
      <c r="BA320" s="90">
        <f>SUM($AV320:AY320)</f>
        <v>0</v>
      </c>
    </row>
    <row r="321" spans="16:53" x14ac:dyDescent="0.25">
      <c r="P321" s="90">
        <f t="shared" si="20"/>
        <v>0</v>
      </c>
      <c r="Q321" s="90">
        <f>SUM($L321:O321)</f>
        <v>0</v>
      </c>
      <c r="R321" s="89"/>
      <c r="AH321" s="90">
        <f t="shared" si="21"/>
        <v>0</v>
      </c>
      <c r="AI321" s="90">
        <f>SUM($AD321:AG321)</f>
        <v>0</v>
      </c>
      <c r="AJ321" s="89"/>
      <c r="AZ321" s="90">
        <f t="shared" si="22"/>
        <v>0</v>
      </c>
      <c r="BA321" s="90">
        <f>SUM($AV321:AY321)</f>
        <v>0</v>
      </c>
    </row>
    <row r="322" spans="16:53" x14ac:dyDescent="0.25">
      <c r="P322" s="90">
        <f t="shared" si="20"/>
        <v>0</v>
      </c>
      <c r="Q322" s="90">
        <f>SUM($L322:O322)</f>
        <v>0</v>
      </c>
      <c r="R322" s="89"/>
      <c r="AH322" s="90">
        <f t="shared" si="21"/>
        <v>0</v>
      </c>
      <c r="AI322" s="90">
        <f>SUM($AD322:AG322)</f>
        <v>0</v>
      </c>
      <c r="AJ322" s="89"/>
      <c r="AZ322" s="90">
        <f t="shared" si="22"/>
        <v>0</v>
      </c>
      <c r="BA322" s="90">
        <f>SUM($AV322:AY322)</f>
        <v>0</v>
      </c>
    </row>
    <row r="323" spans="16:53" x14ac:dyDescent="0.25">
      <c r="P323" s="90">
        <f t="shared" si="20"/>
        <v>0</v>
      </c>
      <c r="Q323" s="90">
        <f>SUM($L323:O323)</f>
        <v>0</v>
      </c>
      <c r="R323" s="89"/>
      <c r="AH323" s="90">
        <f t="shared" si="21"/>
        <v>0</v>
      </c>
      <c r="AI323" s="90">
        <f>SUM($AD323:AG323)</f>
        <v>0</v>
      </c>
      <c r="AJ323" s="89"/>
      <c r="AZ323" s="90">
        <f t="shared" si="22"/>
        <v>0</v>
      </c>
      <c r="BA323" s="90">
        <f>SUM($AV323:AY323)</f>
        <v>0</v>
      </c>
    </row>
    <row r="324" spans="16:53" x14ac:dyDescent="0.25">
      <c r="P324" s="90">
        <f t="shared" si="20"/>
        <v>0</v>
      </c>
      <c r="Q324" s="90">
        <f>SUM($L324:O324)</f>
        <v>0</v>
      </c>
      <c r="R324" s="89"/>
      <c r="AH324" s="90">
        <f t="shared" si="21"/>
        <v>0</v>
      </c>
      <c r="AI324" s="90">
        <f>SUM($AD324:AG324)</f>
        <v>0</v>
      </c>
      <c r="AJ324" s="89"/>
      <c r="AZ324" s="90">
        <f t="shared" si="22"/>
        <v>0</v>
      </c>
      <c r="BA324" s="90">
        <f>SUM($AV324:AY324)</f>
        <v>0</v>
      </c>
    </row>
    <row r="325" spans="16:53" x14ac:dyDescent="0.25">
      <c r="P325" s="90">
        <f t="shared" ref="P325:P346" si="23">SUM(B325:K325)</f>
        <v>0</v>
      </c>
      <c r="Q325" s="90">
        <f>SUM($L325:O325)</f>
        <v>0</v>
      </c>
      <c r="R325" s="89"/>
      <c r="AH325" s="90">
        <f t="shared" ref="AH325:AH346" si="24">SUM(T325:AC325)</f>
        <v>0</v>
      </c>
      <c r="AI325" s="90">
        <f>SUM($AD325:AG325)</f>
        <v>0</v>
      </c>
      <c r="AJ325" s="89"/>
      <c r="AZ325" s="90">
        <f t="shared" ref="AZ325:AZ346" si="25">SUM(AL325:AU325)</f>
        <v>0</v>
      </c>
      <c r="BA325" s="90">
        <f>SUM($AV325:AY325)</f>
        <v>0</v>
      </c>
    </row>
    <row r="326" spans="16:53" x14ac:dyDescent="0.25">
      <c r="P326" s="90">
        <f t="shared" si="23"/>
        <v>0</v>
      </c>
      <c r="Q326" s="90">
        <f>SUM($L326:O326)</f>
        <v>0</v>
      </c>
      <c r="R326" s="89"/>
      <c r="AH326" s="90">
        <f t="shared" si="24"/>
        <v>0</v>
      </c>
      <c r="AI326" s="90">
        <f>SUM($AD326:AG326)</f>
        <v>0</v>
      </c>
      <c r="AJ326" s="89"/>
      <c r="AZ326" s="90">
        <f t="shared" si="25"/>
        <v>0</v>
      </c>
      <c r="BA326" s="90">
        <f>SUM($AV326:AY326)</f>
        <v>0</v>
      </c>
    </row>
    <row r="327" spans="16:53" x14ac:dyDescent="0.25">
      <c r="P327" s="90">
        <f t="shared" si="23"/>
        <v>0</v>
      </c>
      <c r="Q327" s="90">
        <f>SUM($L327:O327)</f>
        <v>0</v>
      </c>
      <c r="R327" s="89"/>
      <c r="AH327" s="90">
        <f t="shared" si="24"/>
        <v>0</v>
      </c>
      <c r="AI327" s="90">
        <f>SUM($AD327:AG327)</f>
        <v>0</v>
      </c>
      <c r="AJ327" s="89"/>
      <c r="AZ327" s="90">
        <f t="shared" si="25"/>
        <v>0</v>
      </c>
      <c r="BA327" s="90">
        <f>SUM($AV327:AY327)</f>
        <v>0</v>
      </c>
    </row>
    <row r="328" spans="16:53" x14ac:dyDescent="0.25">
      <c r="P328" s="90">
        <f t="shared" si="23"/>
        <v>0</v>
      </c>
      <c r="Q328" s="90">
        <f>SUM($L328:O328)</f>
        <v>0</v>
      </c>
      <c r="R328" s="89"/>
      <c r="AH328" s="90">
        <f t="shared" si="24"/>
        <v>0</v>
      </c>
      <c r="AI328" s="90">
        <f>SUM($AD328:AG328)</f>
        <v>0</v>
      </c>
      <c r="AJ328" s="89"/>
      <c r="AZ328" s="90">
        <f t="shared" si="25"/>
        <v>0</v>
      </c>
      <c r="BA328" s="90">
        <f>SUM($AV328:AY328)</f>
        <v>0</v>
      </c>
    </row>
    <row r="329" spans="16:53" x14ac:dyDescent="0.25">
      <c r="P329" s="90">
        <f t="shared" si="23"/>
        <v>0</v>
      </c>
      <c r="Q329" s="90">
        <f>SUM($L329:O329)</f>
        <v>0</v>
      </c>
      <c r="R329" s="89"/>
      <c r="AH329" s="90">
        <f t="shared" si="24"/>
        <v>0</v>
      </c>
      <c r="AI329" s="90">
        <f>SUM($AD329:AG329)</f>
        <v>0</v>
      </c>
      <c r="AJ329" s="89"/>
      <c r="AZ329" s="90">
        <f t="shared" si="25"/>
        <v>0</v>
      </c>
      <c r="BA329" s="90">
        <f>SUM($AV329:AY329)</f>
        <v>0</v>
      </c>
    </row>
    <row r="330" spans="16:53" x14ac:dyDescent="0.25">
      <c r="P330" s="90">
        <f t="shared" si="23"/>
        <v>0</v>
      </c>
      <c r="Q330" s="90">
        <f>SUM($L330:O330)</f>
        <v>0</v>
      </c>
      <c r="R330" s="89"/>
      <c r="AH330" s="90">
        <f t="shared" si="24"/>
        <v>0</v>
      </c>
      <c r="AI330" s="90">
        <f>SUM($AD330:AG330)</f>
        <v>0</v>
      </c>
      <c r="AJ330" s="89"/>
      <c r="AZ330" s="90">
        <f t="shared" si="25"/>
        <v>0</v>
      </c>
      <c r="BA330" s="90">
        <f>SUM($AV330:AY330)</f>
        <v>0</v>
      </c>
    </row>
    <row r="331" spans="16:53" x14ac:dyDescent="0.25">
      <c r="P331" s="90">
        <f t="shared" si="23"/>
        <v>0</v>
      </c>
      <c r="Q331" s="90">
        <f>SUM($L331:O331)</f>
        <v>0</v>
      </c>
      <c r="R331" s="89"/>
      <c r="AH331" s="90">
        <f t="shared" si="24"/>
        <v>0</v>
      </c>
      <c r="AI331" s="90">
        <f>SUM($AD331:AG331)</f>
        <v>0</v>
      </c>
      <c r="AJ331" s="89"/>
      <c r="AZ331" s="90">
        <f t="shared" si="25"/>
        <v>0</v>
      </c>
      <c r="BA331" s="90">
        <f>SUM($AV331:AY331)</f>
        <v>0</v>
      </c>
    </row>
    <row r="332" spans="16:53" x14ac:dyDescent="0.25">
      <c r="P332" s="90">
        <f t="shared" si="23"/>
        <v>0</v>
      </c>
      <c r="Q332" s="90">
        <f>SUM($L332:O332)</f>
        <v>0</v>
      </c>
      <c r="R332" s="89"/>
      <c r="AH332" s="90">
        <f t="shared" si="24"/>
        <v>0</v>
      </c>
      <c r="AI332" s="90">
        <f>SUM($AD332:AG332)</f>
        <v>0</v>
      </c>
      <c r="AJ332" s="89"/>
      <c r="AZ332" s="90">
        <f t="shared" si="25"/>
        <v>0</v>
      </c>
      <c r="BA332" s="90">
        <f>SUM($AV332:AY332)</f>
        <v>0</v>
      </c>
    </row>
    <row r="333" spans="16:53" x14ac:dyDescent="0.25">
      <c r="P333" s="90">
        <f t="shared" si="23"/>
        <v>0</v>
      </c>
      <c r="Q333" s="90">
        <f>SUM($L333:O333)</f>
        <v>0</v>
      </c>
      <c r="R333" s="89"/>
      <c r="AH333" s="90">
        <f t="shared" si="24"/>
        <v>0</v>
      </c>
      <c r="AI333" s="90">
        <f>SUM($AD333:AG333)</f>
        <v>0</v>
      </c>
      <c r="AJ333" s="89"/>
      <c r="AZ333" s="90">
        <f t="shared" si="25"/>
        <v>0</v>
      </c>
      <c r="BA333" s="90">
        <f>SUM($AV333:AY333)</f>
        <v>0</v>
      </c>
    </row>
    <row r="334" spans="16:53" x14ac:dyDescent="0.25">
      <c r="P334" s="90">
        <f t="shared" si="23"/>
        <v>0</v>
      </c>
      <c r="Q334" s="90">
        <f>SUM($L334:O334)</f>
        <v>0</v>
      </c>
      <c r="R334" s="89"/>
      <c r="AH334" s="90">
        <f t="shared" si="24"/>
        <v>0</v>
      </c>
      <c r="AI334" s="90">
        <f>SUM($AD334:AG334)</f>
        <v>0</v>
      </c>
      <c r="AJ334" s="89"/>
      <c r="AZ334" s="90">
        <f t="shared" si="25"/>
        <v>0</v>
      </c>
      <c r="BA334" s="90">
        <f>SUM($AV334:AY334)</f>
        <v>0</v>
      </c>
    </row>
    <row r="335" spans="16:53" x14ac:dyDescent="0.25">
      <c r="P335" s="90">
        <f t="shared" si="23"/>
        <v>0</v>
      </c>
      <c r="Q335" s="90">
        <f>SUM($L335:O335)</f>
        <v>0</v>
      </c>
      <c r="R335" s="89"/>
      <c r="AH335" s="90">
        <f t="shared" si="24"/>
        <v>0</v>
      </c>
      <c r="AI335" s="90">
        <f>SUM($AD335:AG335)</f>
        <v>0</v>
      </c>
      <c r="AJ335" s="89"/>
      <c r="AZ335" s="90">
        <f t="shared" si="25"/>
        <v>0</v>
      </c>
      <c r="BA335" s="90">
        <f>SUM($AV335:AY335)</f>
        <v>0</v>
      </c>
    </row>
    <row r="336" spans="16:53" x14ac:dyDescent="0.25">
      <c r="P336" s="90">
        <f t="shared" si="23"/>
        <v>0</v>
      </c>
      <c r="Q336" s="90">
        <f>SUM($L336:O336)</f>
        <v>0</v>
      </c>
      <c r="R336" s="89"/>
      <c r="AH336" s="90">
        <f t="shared" si="24"/>
        <v>0</v>
      </c>
      <c r="AI336" s="90">
        <f>SUM($AD336:AG336)</f>
        <v>0</v>
      </c>
      <c r="AJ336" s="89"/>
      <c r="AZ336" s="90">
        <f t="shared" si="25"/>
        <v>0</v>
      </c>
      <c r="BA336" s="90">
        <f>SUM($AV336:AY336)</f>
        <v>0</v>
      </c>
    </row>
    <row r="337" spans="16:53" x14ac:dyDescent="0.25">
      <c r="P337" s="90">
        <f t="shared" si="23"/>
        <v>0</v>
      </c>
      <c r="Q337" s="90">
        <f>SUM($L337:O337)</f>
        <v>0</v>
      </c>
      <c r="R337" s="89"/>
      <c r="AH337" s="90">
        <f t="shared" si="24"/>
        <v>0</v>
      </c>
      <c r="AI337" s="90">
        <f>SUM($AD337:AG337)</f>
        <v>0</v>
      </c>
      <c r="AJ337" s="89"/>
      <c r="AZ337" s="90">
        <f t="shared" si="25"/>
        <v>0</v>
      </c>
      <c r="BA337" s="90">
        <f>SUM($AV337:AY337)</f>
        <v>0</v>
      </c>
    </row>
    <row r="338" spans="16:53" x14ac:dyDescent="0.25">
      <c r="P338" s="90">
        <f t="shared" si="23"/>
        <v>0</v>
      </c>
      <c r="Q338" s="90">
        <f>SUM($L338:O338)</f>
        <v>0</v>
      </c>
      <c r="R338" s="89"/>
      <c r="AH338" s="90">
        <f t="shared" si="24"/>
        <v>0</v>
      </c>
      <c r="AI338" s="90">
        <f>SUM($AD338:AG338)</f>
        <v>0</v>
      </c>
      <c r="AJ338" s="89"/>
      <c r="AZ338" s="90">
        <f t="shared" si="25"/>
        <v>0</v>
      </c>
      <c r="BA338" s="90">
        <f>SUM($AV338:AY338)</f>
        <v>0</v>
      </c>
    </row>
    <row r="339" spans="16:53" x14ac:dyDescent="0.25">
      <c r="P339" s="90">
        <f t="shared" si="23"/>
        <v>0</v>
      </c>
      <c r="Q339" s="90">
        <f>SUM($L339:O339)</f>
        <v>0</v>
      </c>
      <c r="R339" s="89"/>
      <c r="AH339" s="90">
        <f t="shared" si="24"/>
        <v>0</v>
      </c>
      <c r="AI339" s="90">
        <f>SUM($AD339:AG339)</f>
        <v>0</v>
      </c>
      <c r="AJ339" s="89"/>
      <c r="AZ339" s="90">
        <f t="shared" si="25"/>
        <v>0</v>
      </c>
      <c r="BA339" s="90">
        <f>SUM($AV339:AY339)</f>
        <v>0</v>
      </c>
    </row>
    <row r="340" spans="16:53" x14ac:dyDescent="0.25">
      <c r="P340" s="90">
        <f t="shared" si="23"/>
        <v>0</v>
      </c>
      <c r="Q340" s="90">
        <f>SUM($L340:O340)</f>
        <v>0</v>
      </c>
      <c r="R340" s="89"/>
      <c r="AH340" s="90">
        <f t="shared" si="24"/>
        <v>0</v>
      </c>
      <c r="AI340" s="90">
        <f>SUM($AD340:AG340)</f>
        <v>0</v>
      </c>
      <c r="AJ340" s="89"/>
      <c r="AZ340" s="90">
        <f t="shared" si="25"/>
        <v>0</v>
      </c>
      <c r="BA340" s="90">
        <f>SUM($AV340:AY340)</f>
        <v>0</v>
      </c>
    </row>
    <row r="341" spans="16:53" x14ac:dyDescent="0.25">
      <c r="P341" s="90">
        <f t="shared" si="23"/>
        <v>0</v>
      </c>
      <c r="Q341" s="90">
        <f>SUM($L341:O341)</f>
        <v>0</v>
      </c>
      <c r="R341" s="89"/>
      <c r="AH341" s="90">
        <f t="shared" si="24"/>
        <v>0</v>
      </c>
      <c r="AI341" s="90">
        <f>SUM($AD341:AG341)</f>
        <v>0</v>
      </c>
      <c r="AJ341" s="89"/>
      <c r="AZ341" s="90">
        <f t="shared" si="25"/>
        <v>0</v>
      </c>
      <c r="BA341" s="90">
        <f>SUM($AV341:AY341)</f>
        <v>0</v>
      </c>
    </row>
    <row r="342" spans="16:53" x14ac:dyDescent="0.25">
      <c r="P342" s="90">
        <f t="shared" si="23"/>
        <v>0</v>
      </c>
      <c r="Q342" s="90">
        <f>SUM($L342:O342)</f>
        <v>0</v>
      </c>
      <c r="R342" s="89"/>
      <c r="AH342" s="90">
        <f t="shared" si="24"/>
        <v>0</v>
      </c>
      <c r="AI342" s="90">
        <f>SUM($AD342:AG342)</f>
        <v>0</v>
      </c>
      <c r="AJ342" s="89"/>
      <c r="AZ342" s="90">
        <f t="shared" si="25"/>
        <v>0</v>
      </c>
      <c r="BA342" s="90">
        <f>SUM($AV342:AY342)</f>
        <v>0</v>
      </c>
    </row>
    <row r="343" spans="16:53" x14ac:dyDescent="0.25">
      <c r="P343" s="90">
        <f t="shared" si="23"/>
        <v>0</v>
      </c>
      <c r="Q343" s="90">
        <f>SUM($L343:O343)</f>
        <v>0</v>
      </c>
      <c r="R343" s="89"/>
      <c r="AH343" s="90">
        <f t="shared" si="24"/>
        <v>0</v>
      </c>
      <c r="AI343" s="90">
        <f>SUM($AD343:AG343)</f>
        <v>0</v>
      </c>
      <c r="AJ343" s="89"/>
      <c r="AZ343" s="90">
        <f t="shared" si="25"/>
        <v>0</v>
      </c>
      <c r="BA343" s="90">
        <f>SUM($AV343:AY343)</f>
        <v>0</v>
      </c>
    </row>
    <row r="344" spans="16:53" x14ac:dyDescent="0.25">
      <c r="P344" s="90">
        <f t="shared" si="23"/>
        <v>0</v>
      </c>
      <c r="Q344" s="90">
        <f>SUM($L344:O344)</f>
        <v>0</v>
      </c>
      <c r="R344" s="89"/>
      <c r="AH344" s="90">
        <f t="shared" si="24"/>
        <v>0</v>
      </c>
      <c r="AI344" s="90">
        <f>SUM($AD344:AG344)</f>
        <v>0</v>
      </c>
      <c r="AJ344" s="89"/>
      <c r="AZ344" s="90">
        <f t="shared" si="25"/>
        <v>0</v>
      </c>
      <c r="BA344" s="90">
        <f>SUM($AV344:AY344)</f>
        <v>0</v>
      </c>
    </row>
    <row r="345" spans="16:53" x14ac:dyDescent="0.25">
      <c r="P345" s="90">
        <f t="shared" si="23"/>
        <v>0</v>
      </c>
      <c r="Q345" s="90">
        <f>SUM($L345:O345)</f>
        <v>0</v>
      </c>
      <c r="R345" s="89"/>
      <c r="AH345" s="90">
        <f t="shared" si="24"/>
        <v>0</v>
      </c>
      <c r="AI345" s="90">
        <f>SUM($AD345:AG345)</f>
        <v>0</v>
      </c>
      <c r="AJ345" s="89"/>
      <c r="AZ345" s="90">
        <f t="shared" si="25"/>
        <v>0</v>
      </c>
      <c r="BA345" s="90">
        <f>SUM($AV345:AY345)</f>
        <v>0</v>
      </c>
    </row>
    <row r="346" spans="16:53" x14ac:dyDescent="0.25">
      <c r="P346" s="90">
        <f t="shared" si="23"/>
        <v>0</v>
      </c>
      <c r="Q346" s="90">
        <f>SUM($L346:O346)</f>
        <v>0</v>
      </c>
      <c r="R346" s="89"/>
      <c r="AH346" s="90">
        <f t="shared" si="24"/>
        <v>0</v>
      </c>
      <c r="AI346" s="90">
        <f>SUM($AD346:AG346)</f>
        <v>0</v>
      </c>
      <c r="AJ346" s="89"/>
      <c r="AZ346" s="90">
        <f t="shared" si="25"/>
        <v>0</v>
      </c>
      <c r="BA346" s="90">
        <f>SUM($AV346:AY346)</f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97F40-BAEA-4D48-A844-B46ACCBD7FFC}">
  <sheetPr codeName="Sheet22"/>
  <dimension ref="A1:BB346"/>
  <sheetViews>
    <sheetView workbookViewId="0">
      <selection activeCell="L4" sqref="L4:L151"/>
    </sheetView>
  </sheetViews>
  <sheetFormatPr defaultRowHeight="15" x14ac:dyDescent="0.25"/>
  <cols>
    <col min="1" max="15" width="13.140625" bestFit="1" customWidth="1"/>
    <col min="18" max="18" width="6" customWidth="1"/>
    <col min="19" max="19" width="13.140625" bestFit="1" customWidth="1"/>
    <col min="20" max="33" width="15.140625" bestFit="1" customWidth="1"/>
    <col min="37" max="37" width="13.140625" bestFit="1" customWidth="1"/>
    <col min="38" max="51" width="15.140625" bestFit="1" customWidth="1"/>
    <col min="54" max="55" width="9.28515625"/>
  </cols>
  <sheetData>
    <row r="1" spans="1:54" x14ac:dyDescent="0.25">
      <c r="A1" s="86" t="s">
        <v>754</v>
      </c>
      <c r="B1" s="87">
        <f>COLUMN(B1)</f>
        <v>2</v>
      </c>
      <c r="C1" s="87">
        <f t="shared" ref="C1:Q1" si="0">COLUMN(C1)</f>
        <v>3</v>
      </c>
      <c r="D1" s="87">
        <f t="shared" si="0"/>
        <v>4</v>
      </c>
      <c r="E1" s="87">
        <f t="shared" si="0"/>
        <v>5</v>
      </c>
      <c r="F1" s="87">
        <f t="shared" si="0"/>
        <v>6</v>
      </c>
      <c r="G1" s="87">
        <f t="shared" si="0"/>
        <v>7</v>
      </c>
      <c r="H1" s="87">
        <f t="shared" si="0"/>
        <v>8</v>
      </c>
      <c r="I1" s="87">
        <f t="shared" si="0"/>
        <v>9</v>
      </c>
      <c r="J1" s="87">
        <f t="shared" si="0"/>
        <v>10</v>
      </c>
      <c r="K1" s="87">
        <f t="shared" si="0"/>
        <v>11</v>
      </c>
      <c r="L1" s="87">
        <f t="shared" si="0"/>
        <v>12</v>
      </c>
      <c r="M1" s="87">
        <f t="shared" si="0"/>
        <v>13</v>
      </c>
      <c r="N1" s="87">
        <f t="shared" si="0"/>
        <v>14</v>
      </c>
      <c r="O1" s="87">
        <f t="shared" si="0"/>
        <v>15</v>
      </c>
      <c r="P1" s="87">
        <f t="shared" si="0"/>
        <v>16</v>
      </c>
      <c r="Q1" s="87">
        <f t="shared" si="0"/>
        <v>17</v>
      </c>
      <c r="R1" s="89"/>
      <c r="S1" s="86" t="s">
        <v>755</v>
      </c>
      <c r="T1" s="87">
        <f t="shared" ref="T1:AG1" si="1">COLUMN(B1)</f>
        <v>2</v>
      </c>
      <c r="U1" s="87">
        <f t="shared" si="1"/>
        <v>3</v>
      </c>
      <c r="V1" s="87">
        <f t="shared" si="1"/>
        <v>4</v>
      </c>
      <c r="W1" s="87">
        <f t="shared" si="1"/>
        <v>5</v>
      </c>
      <c r="X1" s="87">
        <f t="shared" si="1"/>
        <v>6</v>
      </c>
      <c r="Y1" s="87">
        <f t="shared" si="1"/>
        <v>7</v>
      </c>
      <c r="Z1" s="87">
        <f t="shared" si="1"/>
        <v>8</v>
      </c>
      <c r="AA1" s="87">
        <f t="shared" si="1"/>
        <v>9</v>
      </c>
      <c r="AB1" s="87">
        <f t="shared" si="1"/>
        <v>10</v>
      </c>
      <c r="AC1" s="87">
        <f t="shared" si="1"/>
        <v>11</v>
      </c>
      <c r="AD1" s="87">
        <f t="shared" si="1"/>
        <v>12</v>
      </c>
      <c r="AE1" s="87">
        <f t="shared" si="1"/>
        <v>13</v>
      </c>
      <c r="AF1" s="87">
        <f t="shared" si="1"/>
        <v>14</v>
      </c>
      <c r="AG1" s="87">
        <f t="shared" si="1"/>
        <v>15</v>
      </c>
      <c r="AH1" s="87">
        <f t="shared" ref="AH1:AI1" si="2">COLUMN(P1)</f>
        <v>16</v>
      </c>
      <c r="AI1" s="87">
        <f t="shared" si="2"/>
        <v>17</v>
      </c>
      <c r="AJ1" s="89"/>
      <c r="AK1" s="86" t="s">
        <v>756</v>
      </c>
      <c r="AL1" s="87">
        <f t="shared" ref="AL1:AY1" si="3">COLUMN(B1)</f>
        <v>2</v>
      </c>
      <c r="AM1" s="87">
        <f t="shared" si="3"/>
        <v>3</v>
      </c>
      <c r="AN1" s="87">
        <f t="shared" si="3"/>
        <v>4</v>
      </c>
      <c r="AO1" s="87">
        <f t="shared" si="3"/>
        <v>5</v>
      </c>
      <c r="AP1" s="87">
        <f t="shared" si="3"/>
        <v>6</v>
      </c>
      <c r="AQ1" s="87">
        <f t="shared" si="3"/>
        <v>7</v>
      </c>
      <c r="AR1" s="87">
        <f t="shared" si="3"/>
        <v>8</v>
      </c>
      <c r="AS1" s="87">
        <f t="shared" si="3"/>
        <v>9</v>
      </c>
      <c r="AT1" s="87">
        <f t="shared" si="3"/>
        <v>10</v>
      </c>
      <c r="AU1" s="87">
        <f t="shared" si="3"/>
        <v>11</v>
      </c>
      <c r="AV1" s="87">
        <f t="shared" si="3"/>
        <v>12</v>
      </c>
      <c r="AW1" s="87">
        <f t="shared" si="3"/>
        <v>13</v>
      </c>
      <c r="AX1" s="87">
        <f t="shared" si="3"/>
        <v>14</v>
      </c>
      <c r="AY1" s="87">
        <f t="shared" si="3"/>
        <v>15</v>
      </c>
      <c r="AZ1" s="87">
        <f t="shared" ref="AZ1:BA1" si="4">COLUMN(P1)</f>
        <v>16</v>
      </c>
      <c r="BA1" s="87">
        <f t="shared" si="4"/>
        <v>17</v>
      </c>
    </row>
    <row r="2" spans="1:54" x14ac:dyDescent="0.25">
      <c r="B2" t="str">
        <f>RIGHT(B3,3)</f>
        <v>39H</v>
      </c>
      <c r="C2" t="str">
        <f t="shared" ref="C2:O2" si="5">RIGHT(C3,3)</f>
        <v>42H</v>
      </c>
      <c r="D2" t="str">
        <f t="shared" si="5"/>
        <v>43H</v>
      </c>
      <c r="E2" t="str">
        <f t="shared" si="5"/>
        <v>44H</v>
      </c>
      <c r="F2" t="str">
        <f t="shared" si="5"/>
        <v>45H</v>
      </c>
      <c r="G2" t="str">
        <f t="shared" si="5"/>
        <v>46H</v>
      </c>
      <c r="H2" t="str">
        <f t="shared" si="5"/>
        <v>47H</v>
      </c>
      <c r="I2" t="str">
        <f t="shared" si="5"/>
        <v>48H</v>
      </c>
      <c r="J2" t="str">
        <f t="shared" si="5"/>
        <v>49H</v>
      </c>
      <c r="K2" t="str">
        <f t="shared" si="5"/>
        <v>64H</v>
      </c>
      <c r="L2" t="str">
        <f t="shared" si="5"/>
        <v>24H</v>
      </c>
      <c r="M2" t="str">
        <f t="shared" si="5"/>
        <v>25H</v>
      </c>
      <c r="N2" t="str">
        <f t="shared" si="5"/>
        <v>26H</v>
      </c>
      <c r="O2" t="str">
        <f t="shared" si="5"/>
        <v>35H</v>
      </c>
      <c r="P2" t="s">
        <v>682</v>
      </c>
      <c r="Q2" t="s">
        <v>683</v>
      </c>
      <c r="R2" s="89"/>
      <c r="T2" t="str">
        <f>RIGHT(T3,5)</f>
        <v>39H97</v>
      </c>
      <c r="U2" t="str">
        <f t="shared" ref="U2:AG2" si="6">RIGHT(U3,5)</f>
        <v>42H97</v>
      </c>
      <c r="V2" t="str">
        <f t="shared" si="6"/>
        <v>43H97</v>
      </c>
      <c r="W2" t="str">
        <f t="shared" si="6"/>
        <v>44H97</v>
      </c>
      <c r="X2" t="str">
        <f t="shared" si="6"/>
        <v>45H97</v>
      </c>
      <c r="Y2" t="str">
        <f t="shared" si="6"/>
        <v>46H97</v>
      </c>
      <c r="Z2" t="str">
        <f t="shared" si="6"/>
        <v>47H97</v>
      </c>
      <c r="AA2" t="str">
        <f t="shared" si="6"/>
        <v>48H97</v>
      </c>
      <c r="AB2" t="str">
        <f t="shared" si="6"/>
        <v>49H97</v>
      </c>
      <c r="AC2" t="str">
        <f t="shared" si="6"/>
        <v>64H97</v>
      </c>
      <c r="AD2" t="str">
        <f t="shared" si="6"/>
        <v>24H97</v>
      </c>
      <c r="AE2" t="str">
        <f t="shared" si="6"/>
        <v>25H97</v>
      </c>
      <c r="AF2" t="str">
        <f t="shared" si="6"/>
        <v>26H97</v>
      </c>
      <c r="AG2" t="str">
        <f t="shared" si="6"/>
        <v>35H97</v>
      </c>
      <c r="AH2" t="s">
        <v>682</v>
      </c>
      <c r="AI2" t="s">
        <v>683</v>
      </c>
      <c r="AJ2" s="89"/>
      <c r="AL2" t="str">
        <f>RIGHT(AL3,5)</f>
        <v>39H21</v>
      </c>
      <c r="AM2" t="str">
        <f t="shared" ref="AM2:AY2" si="7">RIGHT(AM3,5)</f>
        <v>42H21</v>
      </c>
      <c r="AN2" t="str">
        <f t="shared" si="7"/>
        <v>43H21</v>
      </c>
      <c r="AO2" t="str">
        <f t="shared" si="7"/>
        <v>44H21</v>
      </c>
      <c r="AP2" t="str">
        <f t="shared" si="7"/>
        <v>45H21</v>
      </c>
      <c r="AQ2" t="str">
        <f t="shared" si="7"/>
        <v>46H21</v>
      </c>
      <c r="AR2" t="str">
        <f t="shared" si="7"/>
        <v>47H21</v>
      </c>
      <c r="AS2" t="str">
        <f t="shared" si="7"/>
        <v>48H21</v>
      </c>
      <c r="AT2" t="str">
        <f t="shared" si="7"/>
        <v>49H21</v>
      </c>
      <c r="AU2" t="str">
        <f t="shared" si="7"/>
        <v>64H21</v>
      </c>
      <c r="AV2" t="str">
        <f t="shared" si="7"/>
        <v>24H21</v>
      </c>
      <c r="AW2" t="str">
        <f t="shared" si="7"/>
        <v>25H21</v>
      </c>
      <c r="AX2" t="str">
        <f t="shared" si="7"/>
        <v>26H21</v>
      </c>
      <c r="AY2" t="str">
        <f t="shared" si="7"/>
        <v>35H21</v>
      </c>
      <c r="AZ2" t="s">
        <v>682</v>
      </c>
      <c r="BA2" t="s">
        <v>683</v>
      </c>
    </row>
    <row r="3" spans="1:54" x14ac:dyDescent="0.25">
      <c r="A3" s="91" t="s">
        <v>752</v>
      </c>
      <c r="B3" t="s">
        <v>866</v>
      </c>
      <c r="C3" t="s">
        <v>867</v>
      </c>
      <c r="D3" t="s">
        <v>868</v>
      </c>
      <c r="E3" t="s">
        <v>869</v>
      </c>
      <c r="F3" t="s">
        <v>870</v>
      </c>
      <c r="G3" t="s">
        <v>871</v>
      </c>
      <c r="H3" t="s">
        <v>872</v>
      </c>
      <c r="I3" t="s">
        <v>873</v>
      </c>
      <c r="J3" t="s">
        <v>874</v>
      </c>
      <c r="K3" t="s">
        <v>875</v>
      </c>
      <c r="L3" t="s">
        <v>876</v>
      </c>
      <c r="M3" t="s">
        <v>877</v>
      </c>
      <c r="N3" t="s">
        <v>878</v>
      </c>
      <c r="O3" t="s">
        <v>1177</v>
      </c>
      <c r="R3" s="89"/>
      <c r="S3" s="91" t="s">
        <v>752</v>
      </c>
      <c r="T3" t="s">
        <v>879</v>
      </c>
      <c r="U3" t="s">
        <v>880</v>
      </c>
      <c r="V3" t="s">
        <v>881</v>
      </c>
      <c r="W3" t="s">
        <v>882</v>
      </c>
      <c r="X3" t="s">
        <v>883</v>
      </c>
      <c r="Y3" t="s">
        <v>884</v>
      </c>
      <c r="Z3" t="s">
        <v>885</v>
      </c>
      <c r="AA3" t="s">
        <v>886</v>
      </c>
      <c r="AB3" t="s">
        <v>887</v>
      </c>
      <c r="AC3" t="s">
        <v>888</v>
      </c>
      <c r="AD3" t="s">
        <v>889</v>
      </c>
      <c r="AE3" t="s">
        <v>890</v>
      </c>
      <c r="AF3" t="s">
        <v>891</v>
      </c>
      <c r="AG3" t="s">
        <v>1178</v>
      </c>
      <c r="AJ3" s="89"/>
      <c r="AK3" s="91" t="s">
        <v>752</v>
      </c>
      <c r="AL3" t="s">
        <v>863</v>
      </c>
      <c r="AM3" t="s">
        <v>892</v>
      </c>
      <c r="AN3" t="s">
        <v>893</v>
      </c>
      <c r="AO3" t="s">
        <v>894</v>
      </c>
      <c r="AP3" t="s">
        <v>895</v>
      </c>
      <c r="AQ3" t="s">
        <v>896</v>
      </c>
      <c r="AR3" t="s">
        <v>897</v>
      </c>
      <c r="AS3" t="s">
        <v>898</v>
      </c>
      <c r="AT3" t="s">
        <v>899</v>
      </c>
      <c r="AU3" t="s">
        <v>900</v>
      </c>
      <c r="AV3" t="s">
        <v>901</v>
      </c>
      <c r="AW3" t="s">
        <v>902</v>
      </c>
      <c r="AX3" t="s">
        <v>903</v>
      </c>
      <c r="AY3" t="s">
        <v>1179</v>
      </c>
      <c r="BB3" s="6"/>
    </row>
    <row r="4" spans="1:54" x14ac:dyDescent="0.25">
      <c r="A4" s="88" t="s">
        <v>759</v>
      </c>
      <c r="B4">
        <v>0</v>
      </c>
      <c r="C4">
        <v>1.8780000000000001</v>
      </c>
      <c r="D4">
        <v>0</v>
      </c>
      <c r="E4">
        <v>0</v>
      </c>
      <c r="F4">
        <v>0</v>
      </c>
      <c r="G4">
        <v>0</v>
      </c>
      <c r="H4">
        <v>0.91499999999999992</v>
      </c>
      <c r="I4">
        <v>0</v>
      </c>
      <c r="J4">
        <v>0</v>
      </c>
      <c r="K4">
        <v>2</v>
      </c>
      <c r="L4">
        <v>0</v>
      </c>
      <c r="M4">
        <v>0</v>
      </c>
      <c r="N4">
        <v>0.60699999999999998</v>
      </c>
      <c r="O4">
        <v>0</v>
      </c>
      <c r="P4" s="90">
        <f>SUM(B4:K4)</f>
        <v>4.7930000000000001</v>
      </c>
      <c r="Q4" s="90">
        <f>SUM($L4:O4)</f>
        <v>0.60699999999999998</v>
      </c>
      <c r="R4" s="89"/>
      <c r="S4" s="88" t="s">
        <v>759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2.4</v>
      </c>
      <c r="AH4" s="90">
        <f>SUM(T4:AC4)</f>
        <v>0</v>
      </c>
      <c r="AI4" s="90">
        <f>SUM($AD4:AG4)</f>
        <v>2.4</v>
      </c>
      <c r="AJ4" s="89"/>
      <c r="AK4" s="88" t="s">
        <v>759</v>
      </c>
      <c r="AL4">
        <v>0</v>
      </c>
      <c r="AM4">
        <v>0.08</v>
      </c>
      <c r="AN4">
        <v>1.206</v>
      </c>
      <c r="AO4">
        <v>0</v>
      </c>
      <c r="AP4">
        <v>2.3840000000000003</v>
      </c>
      <c r="AQ4">
        <v>2.33</v>
      </c>
      <c r="AR4">
        <v>0.35599999999999998</v>
      </c>
      <c r="AS4">
        <v>0.45699999999999996</v>
      </c>
      <c r="AT4">
        <v>1.2</v>
      </c>
      <c r="AU4">
        <v>1.4950000000000001</v>
      </c>
      <c r="AV4">
        <v>0</v>
      </c>
      <c r="AW4">
        <v>0.16</v>
      </c>
      <c r="AX4">
        <v>0</v>
      </c>
      <c r="AY4">
        <v>0</v>
      </c>
      <c r="AZ4" s="90">
        <f>SUM(AL4:AU4)</f>
        <v>9.5079999999999991</v>
      </c>
      <c r="BA4" s="90">
        <f>SUM($AV4:AY4)</f>
        <v>0.16</v>
      </c>
    </row>
    <row r="5" spans="1:54" x14ac:dyDescent="0.25">
      <c r="A5" s="88" t="s">
        <v>7</v>
      </c>
      <c r="B5">
        <v>0</v>
      </c>
      <c r="C5">
        <v>6.0999999999999999E-2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 s="90">
        <f t="shared" ref="P5:P68" si="8">SUM(B5:K5)</f>
        <v>6.0999999999999999E-2</v>
      </c>
      <c r="Q5" s="90">
        <f>SUM($L5:O5)</f>
        <v>0</v>
      </c>
      <c r="R5" s="89"/>
      <c r="S5" s="88" t="s">
        <v>7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 s="90">
        <f t="shared" ref="AH5:AH68" si="9">SUM(T5:AC5)</f>
        <v>0</v>
      </c>
      <c r="AI5" s="90">
        <f>SUM($AD5:AG5)</f>
        <v>0</v>
      </c>
      <c r="AJ5" s="89"/>
      <c r="AK5" s="88" t="s">
        <v>7</v>
      </c>
      <c r="AL5">
        <v>0</v>
      </c>
      <c r="AM5">
        <v>0</v>
      </c>
      <c r="AN5">
        <v>0</v>
      </c>
      <c r="AO5">
        <v>0</v>
      </c>
      <c r="AP5">
        <v>3.1E-2</v>
      </c>
      <c r="AQ5">
        <v>8.9999999999999993E-3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 s="90">
        <f t="shared" ref="AZ5:AZ68" si="10">SUM(AL5:AU5)</f>
        <v>0.04</v>
      </c>
      <c r="BA5" s="90">
        <f>SUM($AV5:AY5)</f>
        <v>0</v>
      </c>
    </row>
    <row r="6" spans="1:54" x14ac:dyDescent="0.25">
      <c r="A6" s="88" t="s">
        <v>40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 s="90">
        <f t="shared" si="8"/>
        <v>0</v>
      </c>
      <c r="Q6" s="90">
        <f>SUM($L6:O6)</f>
        <v>0</v>
      </c>
      <c r="R6" s="89"/>
      <c r="S6" s="88" t="s">
        <v>40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</v>
      </c>
      <c r="AH6" s="90">
        <f t="shared" si="9"/>
        <v>0</v>
      </c>
      <c r="AI6" s="90">
        <f>SUM($AD6:AG6)</f>
        <v>2</v>
      </c>
      <c r="AJ6" s="89"/>
      <c r="AK6" s="88" t="s">
        <v>40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 s="90">
        <f t="shared" si="10"/>
        <v>0</v>
      </c>
      <c r="BA6" s="90">
        <f>SUM($AV6:AY6)</f>
        <v>0</v>
      </c>
    </row>
    <row r="7" spans="1:54" x14ac:dyDescent="0.25">
      <c r="A7" s="88" t="s">
        <v>61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 s="90">
        <f t="shared" si="8"/>
        <v>0</v>
      </c>
      <c r="Q7" s="90">
        <f>SUM($L7:O7)</f>
        <v>0</v>
      </c>
      <c r="R7" s="89"/>
      <c r="S7" s="88" t="s">
        <v>61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 s="90">
        <f t="shared" si="9"/>
        <v>0</v>
      </c>
      <c r="AI7" s="90">
        <f>SUM($AD7:AG7)</f>
        <v>0</v>
      </c>
      <c r="AJ7" s="89"/>
      <c r="AK7" s="88" t="s">
        <v>61</v>
      </c>
      <c r="AL7">
        <v>0</v>
      </c>
      <c r="AM7">
        <v>0</v>
      </c>
      <c r="AN7">
        <v>0.28599999999999998</v>
      </c>
      <c r="AO7">
        <v>0</v>
      </c>
      <c r="AP7">
        <v>0.33300000000000002</v>
      </c>
      <c r="AQ7">
        <v>0.28599999999999998</v>
      </c>
      <c r="AR7">
        <v>0.28599999999999998</v>
      </c>
      <c r="AS7">
        <v>0.28599999999999998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 s="90">
        <f t="shared" si="10"/>
        <v>1.4770000000000001</v>
      </c>
      <c r="BA7" s="90">
        <f>SUM($AV7:AY7)</f>
        <v>0</v>
      </c>
    </row>
    <row r="8" spans="1:54" x14ac:dyDescent="0.25">
      <c r="A8" s="88" t="s">
        <v>78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 s="90">
        <f t="shared" si="8"/>
        <v>0</v>
      </c>
      <c r="Q8" s="90">
        <f>SUM($L8:O8)</f>
        <v>0</v>
      </c>
      <c r="R8" s="89"/>
      <c r="S8" s="88" t="s">
        <v>78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 s="90">
        <f t="shared" si="9"/>
        <v>0</v>
      </c>
      <c r="AI8" s="90">
        <f>SUM($AD8:AG8)</f>
        <v>0</v>
      </c>
      <c r="AJ8" s="89"/>
      <c r="AK8" s="88" t="s">
        <v>78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 s="90">
        <f t="shared" si="10"/>
        <v>0</v>
      </c>
      <c r="BA8" s="90">
        <f>SUM($AV8:AY8)</f>
        <v>0</v>
      </c>
    </row>
    <row r="9" spans="1:54" x14ac:dyDescent="0.25">
      <c r="A9" s="88" t="s">
        <v>84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 s="90">
        <f t="shared" si="8"/>
        <v>0</v>
      </c>
      <c r="Q9" s="90">
        <f>SUM($L9:O9)</f>
        <v>0</v>
      </c>
      <c r="R9" s="89"/>
      <c r="S9" s="88" t="s">
        <v>84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 s="90">
        <f t="shared" si="9"/>
        <v>0</v>
      </c>
      <c r="AI9" s="90">
        <f>SUM($AD9:AG9)</f>
        <v>0</v>
      </c>
      <c r="AJ9" s="89"/>
      <c r="AK9" s="88" t="s">
        <v>84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 s="90">
        <f t="shared" si="10"/>
        <v>0</v>
      </c>
      <c r="BA9" s="90">
        <f>SUM($AV9:AY9)</f>
        <v>0</v>
      </c>
    </row>
    <row r="10" spans="1:54" x14ac:dyDescent="0.25">
      <c r="A10" s="88" t="s">
        <v>87</v>
      </c>
      <c r="B10">
        <v>0</v>
      </c>
      <c r="C10">
        <v>0.33</v>
      </c>
      <c r="D10">
        <v>0</v>
      </c>
      <c r="E10">
        <v>0</v>
      </c>
      <c r="F10">
        <v>0</v>
      </c>
      <c r="G10">
        <v>0</v>
      </c>
      <c r="H10">
        <v>6.2E-2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 s="90">
        <f t="shared" si="8"/>
        <v>0.39200000000000002</v>
      </c>
      <c r="Q10" s="90">
        <f>SUM($L10:O10)</f>
        <v>0</v>
      </c>
      <c r="R10" s="89"/>
      <c r="S10" s="88" t="s">
        <v>87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 s="90">
        <f t="shared" si="9"/>
        <v>0</v>
      </c>
      <c r="AI10" s="90">
        <f>SUM($AD10:AG10)</f>
        <v>0</v>
      </c>
      <c r="AJ10" s="89"/>
      <c r="AK10" s="88" t="s">
        <v>87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 s="90">
        <f t="shared" si="10"/>
        <v>0</v>
      </c>
      <c r="BA10" s="90">
        <f>SUM($AV10:AY10)</f>
        <v>0</v>
      </c>
    </row>
    <row r="11" spans="1:54" x14ac:dyDescent="0.25">
      <c r="A11" s="88" t="s">
        <v>89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0.5</v>
      </c>
      <c r="O11">
        <v>0</v>
      </c>
      <c r="P11" s="90">
        <f t="shared" si="8"/>
        <v>0</v>
      </c>
      <c r="Q11" s="90">
        <f>SUM($L11:O11)</f>
        <v>0.5</v>
      </c>
      <c r="R11" s="89"/>
      <c r="S11" s="88" t="s">
        <v>89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 s="90">
        <f t="shared" si="9"/>
        <v>0</v>
      </c>
      <c r="AI11" s="90">
        <f>SUM($AD11:AG11)</f>
        <v>0</v>
      </c>
      <c r="AJ11" s="89"/>
      <c r="AK11" s="88" t="s">
        <v>89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 s="90">
        <f t="shared" si="10"/>
        <v>0</v>
      </c>
      <c r="BA11" s="90">
        <f>SUM($AV11:AY11)</f>
        <v>0</v>
      </c>
    </row>
    <row r="12" spans="1:54" x14ac:dyDescent="0.25">
      <c r="A12" s="88" t="s">
        <v>141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 s="90">
        <f t="shared" si="8"/>
        <v>0</v>
      </c>
      <c r="Q12" s="90">
        <f>SUM($L12:O12)</f>
        <v>0</v>
      </c>
      <c r="R12" s="89"/>
      <c r="S12" s="88" t="s">
        <v>141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 s="90">
        <f t="shared" si="9"/>
        <v>0</v>
      </c>
      <c r="AI12" s="90">
        <f>SUM($AD12:AG12)</f>
        <v>0</v>
      </c>
      <c r="AJ12" s="89"/>
      <c r="AK12" s="88" t="s">
        <v>141</v>
      </c>
      <c r="AL12">
        <v>0</v>
      </c>
      <c r="AM12">
        <v>0</v>
      </c>
      <c r="AN12">
        <v>0.14000000000000001</v>
      </c>
      <c r="AO12">
        <v>0</v>
      </c>
      <c r="AP12">
        <v>0.4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 s="90">
        <f t="shared" si="10"/>
        <v>0.54</v>
      </c>
      <c r="BA12" s="90">
        <f>SUM($AV12:AY12)</f>
        <v>0</v>
      </c>
    </row>
    <row r="13" spans="1:54" x14ac:dyDescent="0.25">
      <c r="A13" s="88" t="s">
        <v>145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0.27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 s="90">
        <f t="shared" si="8"/>
        <v>0.27</v>
      </c>
      <c r="Q13" s="90">
        <f>SUM($L13:O13)</f>
        <v>0</v>
      </c>
      <c r="R13" s="89"/>
      <c r="S13" s="88" t="s">
        <v>145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 s="90">
        <f t="shared" si="9"/>
        <v>0</v>
      </c>
      <c r="AI13" s="90">
        <f>SUM($AD13:AG13)</f>
        <v>0</v>
      </c>
      <c r="AJ13" s="89"/>
      <c r="AK13" s="88" t="s">
        <v>145</v>
      </c>
      <c r="AL13">
        <v>0</v>
      </c>
      <c r="AM13">
        <v>0</v>
      </c>
      <c r="AN13">
        <v>0.3</v>
      </c>
      <c r="AO13">
        <v>0</v>
      </c>
      <c r="AP13">
        <v>0.35</v>
      </c>
      <c r="AQ13">
        <v>0.25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0.16</v>
      </c>
      <c r="AX13">
        <v>0</v>
      </c>
      <c r="AY13">
        <v>0</v>
      </c>
      <c r="AZ13" s="90">
        <f t="shared" si="10"/>
        <v>0.89999999999999991</v>
      </c>
      <c r="BA13" s="90">
        <f>SUM($AV13:AY13)</f>
        <v>0.16</v>
      </c>
    </row>
    <row r="14" spans="1:54" x14ac:dyDescent="0.25">
      <c r="A14" s="88" t="s">
        <v>146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 s="90">
        <f t="shared" si="8"/>
        <v>0</v>
      </c>
      <c r="Q14" s="90">
        <f>SUM($L14:O14)</f>
        <v>0</v>
      </c>
      <c r="R14" s="89"/>
      <c r="S14" s="88" t="s">
        <v>146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 s="90">
        <f t="shared" si="9"/>
        <v>0</v>
      </c>
      <c r="AI14" s="90">
        <f>SUM($AD14:AG14)</f>
        <v>0</v>
      </c>
      <c r="AJ14" s="89"/>
      <c r="AK14" s="88" t="s">
        <v>146</v>
      </c>
      <c r="AL14">
        <v>0</v>
      </c>
      <c r="AM14">
        <v>0</v>
      </c>
      <c r="AN14">
        <v>0.2</v>
      </c>
      <c r="AO14">
        <v>0</v>
      </c>
      <c r="AP14">
        <v>0.6</v>
      </c>
      <c r="AQ14">
        <v>0.2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 s="90">
        <f t="shared" si="10"/>
        <v>1</v>
      </c>
      <c r="BA14" s="90">
        <f>SUM($AV14:AY14)</f>
        <v>0</v>
      </c>
    </row>
    <row r="15" spans="1:54" x14ac:dyDescent="0.25">
      <c r="A15" s="88" t="s">
        <v>162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0.107</v>
      </c>
      <c r="O15">
        <v>0</v>
      </c>
      <c r="P15" s="90">
        <f t="shared" si="8"/>
        <v>0</v>
      </c>
      <c r="Q15" s="90">
        <f>SUM($L15:O15)</f>
        <v>0.107</v>
      </c>
      <c r="R15" s="89"/>
      <c r="S15" s="88" t="s">
        <v>162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 s="90">
        <f t="shared" si="9"/>
        <v>0</v>
      </c>
      <c r="AI15" s="90">
        <f>SUM($AD15:AG15)</f>
        <v>0</v>
      </c>
      <c r="AJ15" s="89"/>
      <c r="AK15" s="88" t="s">
        <v>162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 s="90">
        <f t="shared" si="10"/>
        <v>0</v>
      </c>
      <c r="BA15" s="90">
        <f>SUM($AV15:AY15)</f>
        <v>0</v>
      </c>
    </row>
    <row r="16" spans="1:54" x14ac:dyDescent="0.25">
      <c r="A16" s="88" t="s">
        <v>163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 s="90">
        <f t="shared" si="8"/>
        <v>0</v>
      </c>
      <c r="Q16" s="90">
        <f>SUM($L16:O16)</f>
        <v>0</v>
      </c>
      <c r="R16" s="89"/>
      <c r="S16" s="88" t="s">
        <v>163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 s="90">
        <f t="shared" si="9"/>
        <v>0</v>
      </c>
      <c r="AI16" s="90">
        <f>SUM($AD16:AG16)</f>
        <v>0</v>
      </c>
      <c r="AJ16" s="89"/>
      <c r="AK16" s="88" t="s">
        <v>163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 s="90">
        <f t="shared" si="10"/>
        <v>0</v>
      </c>
      <c r="BA16" s="90">
        <f>SUM($AV16:AY16)</f>
        <v>0</v>
      </c>
    </row>
    <row r="17" spans="1:53" x14ac:dyDescent="0.25">
      <c r="A17" s="88" t="s">
        <v>176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3.3000000000000002E-2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 s="90">
        <f t="shared" si="8"/>
        <v>3.3000000000000002E-2</v>
      </c>
      <c r="Q17" s="90">
        <f>SUM($L17:O17)</f>
        <v>0</v>
      </c>
      <c r="R17" s="89"/>
      <c r="S17" s="88" t="s">
        <v>176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 s="90">
        <f t="shared" si="9"/>
        <v>0</v>
      </c>
      <c r="AI17" s="90">
        <f>SUM($AD17:AG17)</f>
        <v>0</v>
      </c>
      <c r="AJ17" s="89"/>
      <c r="AK17" s="88" t="s">
        <v>176</v>
      </c>
      <c r="AL17">
        <v>0</v>
      </c>
      <c r="AM17">
        <v>0</v>
      </c>
      <c r="AN17">
        <v>0</v>
      </c>
      <c r="AO17">
        <v>0</v>
      </c>
      <c r="AP17">
        <v>7.1999999999999995E-2</v>
      </c>
      <c r="AQ17">
        <v>2.5000000000000001E-2</v>
      </c>
      <c r="AR17">
        <v>0</v>
      </c>
      <c r="AS17">
        <v>3.1E-2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 s="90">
        <f t="shared" si="10"/>
        <v>0.128</v>
      </c>
      <c r="BA17" s="90">
        <f>SUM($AV17:AY17)</f>
        <v>0</v>
      </c>
    </row>
    <row r="18" spans="1:53" x14ac:dyDescent="0.25">
      <c r="A18" s="88" t="s">
        <v>233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 s="90">
        <f t="shared" si="8"/>
        <v>0</v>
      </c>
      <c r="Q18" s="90">
        <f>SUM($L18:O18)</f>
        <v>0</v>
      </c>
      <c r="R18" s="89"/>
      <c r="S18" s="88" t="s">
        <v>233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0.4</v>
      </c>
      <c r="AH18" s="90">
        <f t="shared" si="9"/>
        <v>0</v>
      </c>
      <c r="AI18" s="90">
        <f>SUM($AD18:AG18)</f>
        <v>0.4</v>
      </c>
      <c r="AJ18" s="89"/>
      <c r="AK18" s="88" t="s">
        <v>233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 s="90">
        <f t="shared" si="10"/>
        <v>0</v>
      </c>
      <c r="BA18" s="90">
        <f>SUM($AV18:AY18)</f>
        <v>0</v>
      </c>
    </row>
    <row r="19" spans="1:53" x14ac:dyDescent="0.25">
      <c r="A19" s="88" t="s">
        <v>250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 s="90">
        <f t="shared" si="8"/>
        <v>0</v>
      </c>
      <c r="Q19" s="90">
        <f>SUM($L19:O19)</f>
        <v>0</v>
      </c>
      <c r="R19" s="89"/>
      <c r="S19" s="88" t="s">
        <v>250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 s="90">
        <f t="shared" si="9"/>
        <v>0</v>
      </c>
      <c r="AI19" s="90">
        <f>SUM($AD19:AG19)</f>
        <v>0</v>
      </c>
      <c r="AJ19" s="89"/>
      <c r="AK19" s="88" t="s">
        <v>250</v>
      </c>
      <c r="AL19">
        <v>0</v>
      </c>
      <c r="AM19">
        <v>0.08</v>
      </c>
      <c r="AN19">
        <v>0.02</v>
      </c>
      <c r="AO19">
        <v>0</v>
      </c>
      <c r="AP19">
        <v>0.08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 s="90">
        <f t="shared" si="10"/>
        <v>0.18</v>
      </c>
      <c r="BA19" s="90">
        <f>SUM($AV19:AY19)</f>
        <v>0</v>
      </c>
    </row>
    <row r="20" spans="1:53" x14ac:dyDescent="0.25">
      <c r="A20" s="88" t="s">
        <v>256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0.18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 s="90">
        <f t="shared" si="8"/>
        <v>0.18</v>
      </c>
      <c r="Q20" s="90">
        <f>SUM($L20:O20)</f>
        <v>0</v>
      </c>
      <c r="R20" s="89"/>
      <c r="S20" s="88" t="s">
        <v>256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 s="90">
        <f t="shared" si="9"/>
        <v>0</v>
      </c>
      <c r="AI20" s="90">
        <f>SUM($AD20:AG20)</f>
        <v>0</v>
      </c>
      <c r="AJ20" s="89"/>
      <c r="AK20" s="88" t="s">
        <v>256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0.34</v>
      </c>
      <c r="AR20">
        <v>0</v>
      </c>
      <c r="AS20">
        <v>0.1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 s="90">
        <f t="shared" si="10"/>
        <v>0.44000000000000006</v>
      </c>
      <c r="BA20" s="90">
        <f>SUM($AV20:AY20)</f>
        <v>0</v>
      </c>
    </row>
    <row r="21" spans="1:53" x14ac:dyDescent="0.25">
      <c r="A21" s="88" t="s">
        <v>259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 s="90">
        <f t="shared" si="8"/>
        <v>0</v>
      </c>
      <c r="Q21" s="90">
        <f>SUM($L21:O21)</f>
        <v>0</v>
      </c>
      <c r="R21" s="89"/>
      <c r="S21" s="88" t="s">
        <v>259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 s="90">
        <f t="shared" si="9"/>
        <v>0</v>
      </c>
      <c r="AI21" s="90">
        <f>SUM($AD21:AG21)</f>
        <v>0</v>
      </c>
      <c r="AJ21" s="89"/>
      <c r="AK21" s="88" t="s">
        <v>259</v>
      </c>
      <c r="AL21">
        <v>0</v>
      </c>
      <c r="AM21">
        <v>0</v>
      </c>
      <c r="AN21">
        <v>0.2</v>
      </c>
      <c r="AO21">
        <v>0</v>
      </c>
      <c r="AP21">
        <v>0.51800000000000002</v>
      </c>
      <c r="AQ21">
        <v>1</v>
      </c>
      <c r="AR21">
        <v>0</v>
      </c>
      <c r="AS21">
        <v>0</v>
      </c>
      <c r="AT21">
        <v>1.05</v>
      </c>
      <c r="AU21">
        <v>0</v>
      </c>
      <c r="AV21">
        <v>0</v>
      </c>
      <c r="AW21">
        <v>0</v>
      </c>
      <c r="AX21">
        <v>0</v>
      </c>
      <c r="AY21">
        <v>0</v>
      </c>
      <c r="AZ21" s="90">
        <f t="shared" si="10"/>
        <v>2.7679999999999998</v>
      </c>
      <c r="BA21" s="90">
        <f>SUM($AV21:AY21)</f>
        <v>0</v>
      </c>
    </row>
    <row r="22" spans="1:53" x14ac:dyDescent="0.25">
      <c r="A22" s="88" t="s">
        <v>280</v>
      </c>
      <c r="B22">
        <v>0</v>
      </c>
      <c r="C22">
        <v>0.67</v>
      </c>
      <c r="D22">
        <v>0</v>
      </c>
      <c r="E22">
        <v>0</v>
      </c>
      <c r="F22">
        <v>0</v>
      </c>
      <c r="G22">
        <v>0</v>
      </c>
      <c r="H22">
        <v>0.37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 s="90">
        <f t="shared" si="8"/>
        <v>1.04</v>
      </c>
      <c r="Q22" s="90">
        <f>SUM($L22:O22)</f>
        <v>0</v>
      </c>
      <c r="R22" s="89"/>
      <c r="S22" s="88" t="s">
        <v>280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 s="90">
        <f t="shared" si="9"/>
        <v>0</v>
      </c>
      <c r="AI22" s="90">
        <f>SUM($AD22:AG22)</f>
        <v>0</v>
      </c>
      <c r="AJ22" s="89"/>
      <c r="AK22" s="88" t="s">
        <v>280</v>
      </c>
      <c r="AL22">
        <v>0</v>
      </c>
      <c r="AM22">
        <v>0</v>
      </c>
      <c r="AN22">
        <v>0.06</v>
      </c>
      <c r="AO22">
        <v>0</v>
      </c>
      <c r="AP22">
        <v>0</v>
      </c>
      <c r="AQ22">
        <v>0.19</v>
      </c>
      <c r="AR22">
        <v>0</v>
      </c>
      <c r="AS22">
        <v>0.04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 s="90">
        <f t="shared" si="10"/>
        <v>0.28999999999999998</v>
      </c>
      <c r="BA22" s="90">
        <f>SUM($AV22:AY22)</f>
        <v>0</v>
      </c>
    </row>
    <row r="23" spans="1:53" x14ac:dyDescent="0.25">
      <c r="A23" s="88" t="s">
        <v>284</v>
      </c>
      <c r="B23">
        <v>0</v>
      </c>
      <c r="C23">
        <v>0.42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 s="90">
        <f t="shared" si="8"/>
        <v>0.42</v>
      </c>
      <c r="Q23" s="90">
        <f>SUM($L23:O23)</f>
        <v>0</v>
      </c>
      <c r="R23" s="89"/>
      <c r="S23" s="88" t="s">
        <v>284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 s="90">
        <f t="shared" si="9"/>
        <v>0</v>
      </c>
      <c r="AI23" s="90">
        <f>SUM($AD23:AG23)</f>
        <v>0</v>
      </c>
      <c r="AJ23" s="89"/>
      <c r="AK23" s="88" t="s">
        <v>284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0.03</v>
      </c>
      <c r="AR23">
        <v>7.0000000000000007E-2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 s="90">
        <f t="shared" si="10"/>
        <v>0.1</v>
      </c>
      <c r="BA23" s="90">
        <f>SUM($AV23:AY23)</f>
        <v>0</v>
      </c>
    </row>
    <row r="24" spans="1:53" x14ac:dyDescent="0.25">
      <c r="A24" s="88" t="s">
        <v>289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 s="90">
        <f t="shared" si="8"/>
        <v>0</v>
      </c>
      <c r="Q24" s="90">
        <f>SUM($L24:O24)</f>
        <v>0</v>
      </c>
      <c r="R24" s="89"/>
      <c r="S24" s="88" t="s">
        <v>289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 s="90">
        <f t="shared" si="9"/>
        <v>0</v>
      </c>
      <c r="AI24" s="90">
        <f>SUM($AD24:AG24)</f>
        <v>0</v>
      </c>
      <c r="AK24" s="88" t="s">
        <v>289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 s="90">
        <f t="shared" si="10"/>
        <v>0</v>
      </c>
      <c r="BA24" s="90">
        <f>SUM($AV24:AY24)</f>
        <v>0</v>
      </c>
    </row>
    <row r="25" spans="1:53" x14ac:dyDescent="0.25">
      <c r="A25" s="88" t="s">
        <v>290</v>
      </c>
      <c r="B25">
        <v>0</v>
      </c>
      <c r="C25">
        <v>0.39700000000000002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 s="90">
        <f t="shared" si="8"/>
        <v>0.39700000000000002</v>
      </c>
      <c r="Q25" s="90">
        <f>SUM($L25:O25)</f>
        <v>0</v>
      </c>
      <c r="R25" s="89"/>
      <c r="S25" s="88" t="s">
        <v>290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 s="90">
        <f t="shared" si="9"/>
        <v>0</v>
      </c>
      <c r="AI25" s="90">
        <f>SUM($AD25:AG25)</f>
        <v>0</v>
      </c>
      <c r="AK25" s="88" t="s">
        <v>290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0.15</v>
      </c>
      <c r="AU25">
        <v>0</v>
      </c>
      <c r="AV25">
        <v>0</v>
      </c>
      <c r="AW25">
        <v>0</v>
      </c>
      <c r="AX25">
        <v>0</v>
      </c>
      <c r="AY25">
        <v>0</v>
      </c>
      <c r="AZ25" s="90">
        <f t="shared" si="10"/>
        <v>0.15</v>
      </c>
      <c r="BA25" s="90">
        <f>SUM($AV25:AY25)</f>
        <v>0</v>
      </c>
    </row>
    <row r="26" spans="1:53" x14ac:dyDescent="0.25">
      <c r="A26" s="88" t="s">
        <v>302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</v>
      </c>
      <c r="L26">
        <v>0</v>
      </c>
      <c r="M26">
        <v>0</v>
      </c>
      <c r="N26">
        <v>0</v>
      </c>
      <c r="O26">
        <v>0</v>
      </c>
      <c r="P26" s="90">
        <f t="shared" si="8"/>
        <v>2</v>
      </c>
      <c r="Q26" s="90">
        <f>SUM($L26:O26)</f>
        <v>0</v>
      </c>
      <c r="R26" s="89"/>
      <c r="S26" s="88" t="s">
        <v>302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 s="90">
        <f t="shared" si="9"/>
        <v>0</v>
      </c>
      <c r="AI26" s="90">
        <f>SUM($AD26:AG26)</f>
        <v>0</v>
      </c>
      <c r="AK26" s="88" t="s">
        <v>302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1.4950000000000001</v>
      </c>
      <c r="AV26">
        <v>0</v>
      </c>
      <c r="AW26">
        <v>0</v>
      </c>
      <c r="AX26">
        <v>0</v>
      </c>
      <c r="AY26">
        <v>0</v>
      </c>
      <c r="AZ26" s="90">
        <f t="shared" si="10"/>
        <v>1.4950000000000001</v>
      </c>
      <c r="BA26" s="90">
        <f>SUM($AV26:AY26)</f>
        <v>0</v>
      </c>
    </row>
    <row r="27" spans="1:53" x14ac:dyDescent="0.25">
      <c r="A27" s="88" t="s">
        <v>1098</v>
      </c>
      <c r="P27" s="90">
        <f t="shared" si="8"/>
        <v>0</v>
      </c>
      <c r="Q27" s="90">
        <f>SUM($L27:O27)</f>
        <v>0</v>
      </c>
      <c r="S27" s="88" t="s">
        <v>1098</v>
      </c>
      <c r="AH27" s="90">
        <f t="shared" si="9"/>
        <v>0</v>
      </c>
      <c r="AI27" s="90">
        <f>SUM($AD27:AG27)</f>
        <v>0</v>
      </c>
      <c r="AK27" s="88" t="s">
        <v>1098</v>
      </c>
      <c r="AZ27" s="90">
        <f t="shared" si="10"/>
        <v>0</v>
      </c>
      <c r="BA27" s="90">
        <f>SUM($AV27:AY27)</f>
        <v>0</v>
      </c>
    </row>
    <row r="28" spans="1:53" x14ac:dyDescent="0.25">
      <c r="A28" s="88" t="s">
        <v>753</v>
      </c>
      <c r="B28">
        <v>0</v>
      </c>
      <c r="C28">
        <v>3.7560000000000002</v>
      </c>
      <c r="D28">
        <v>0</v>
      </c>
      <c r="E28">
        <v>0</v>
      </c>
      <c r="F28">
        <v>0</v>
      </c>
      <c r="G28">
        <v>0</v>
      </c>
      <c r="H28">
        <v>1.8299999999999996</v>
      </c>
      <c r="I28">
        <v>0</v>
      </c>
      <c r="J28">
        <v>0</v>
      </c>
      <c r="K28">
        <v>4</v>
      </c>
      <c r="L28">
        <v>0</v>
      </c>
      <c r="M28">
        <v>0</v>
      </c>
      <c r="N28">
        <v>1.214</v>
      </c>
      <c r="O28">
        <v>0</v>
      </c>
      <c r="P28" s="90">
        <f t="shared" si="8"/>
        <v>9.5860000000000003</v>
      </c>
      <c r="Q28" s="90">
        <f>SUM($L28:O28)</f>
        <v>1.214</v>
      </c>
      <c r="S28" s="88" t="s">
        <v>753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4.8000000000000007</v>
      </c>
      <c r="AH28" s="90">
        <f t="shared" si="9"/>
        <v>0</v>
      </c>
      <c r="AI28" s="90">
        <f>SUM($AD28:AG28)</f>
        <v>4.8000000000000007</v>
      </c>
      <c r="AK28" s="88" t="s">
        <v>753</v>
      </c>
      <c r="AL28">
        <v>0</v>
      </c>
      <c r="AM28">
        <v>0.16</v>
      </c>
      <c r="AN28">
        <v>2.4120000000000004</v>
      </c>
      <c r="AO28">
        <v>0</v>
      </c>
      <c r="AP28">
        <v>4.7680000000000007</v>
      </c>
      <c r="AQ28">
        <v>4.66</v>
      </c>
      <c r="AR28">
        <v>0.71199999999999997</v>
      </c>
      <c r="AS28">
        <v>0.91399999999999992</v>
      </c>
      <c r="AT28">
        <v>2.4</v>
      </c>
      <c r="AU28">
        <v>2.99</v>
      </c>
      <c r="AV28">
        <v>0</v>
      </c>
      <c r="AW28">
        <v>0.32</v>
      </c>
      <c r="AX28">
        <v>0</v>
      </c>
      <c r="AY28">
        <v>0</v>
      </c>
      <c r="AZ28" s="90">
        <f t="shared" si="10"/>
        <v>19.015999999999998</v>
      </c>
      <c r="BA28" s="90">
        <f>SUM($AV28:AY28)</f>
        <v>0.32</v>
      </c>
    </row>
    <row r="29" spans="1:53" x14ac:dyDescent="0.25">
      <c r="P29" s="90">
        <f t="shared" si="8"/>
        <v>0</v>
      </c>
      <c r="Q29" s="90">
        <f>SUM($L29:O29)</f>
        <v>0</v>
      </c>
      <c r="AH29" s="90">
        <f t="shared" si="9"/>
        <v>0</v>
      </c>
      <c r="AI29" s="90">
        <f>SUM($AD29:AG29)</f>
        <v>0</v>
      </c>
      <c r="AZ29" s="90">
        <f t="shared" si="10"/>
        <v>0</v>
      </c>
      <c r="BA29" s="90">
        <f>SUM($AV29:AY29)</f>
        <v>0</v>
      </c>
    </row>
    <row r="30" spans="1:53" x14ac:dyDescent="0.25">
      <c r="P30" s="90">
        <f t="shared" si="8"/>
        <v>0</v>
      </c>
      <c r="Q30" s="90">
        <f>SUM($L30:O30)</f>
        <v>0</v>
      </c>
      <c r="AH30" s="90">
        <f t="shared" si="9"/>
        <v>0</v>
      </c>
      <c r="AI30" s="90">
        <f>SUM($AD30:AG30)</f>
        <v>0</v>
      </c>
      <c r="AZ30" s="90">
        <f t="shared" si="10"/>
        <v>0</v>
      </c>
      <c r="BA30" s="90">
        <f>SUM($AV30:AY30)</f>
        <v>0</v>
      </c>
    </row>
    <row r="31" spans="1:53" x14ac:dyDescent="0.25">
      <c r="P31" s="90">
        <f t="shared" si="8"/>
        <v>0</v>
      </c>
      <c r="Q31" s="90">
        <f>SUM($L31:O31)</f>
        <v>0</v>
      </c>
      <c r="AH31" s="90">
        <f t="shared" si="9"/>
        <v>0</v>
      </c>
      <c r="AI31" s="90">
        <f>SUM($AD31:AG31)</f>
        <v>0</v>
      </c>
      <c r="AZ31" s="90">
        <f t="shared" si="10"/>
        <v>0</v>
      </c>
      <c r="BA31" s="90">
        <f>SUM($AV31:AY31)</f>
        <v>0</v>
      </c>
    </row>
    <row r="32" spans="1:53" x14ac:dyDescent="0.25">
      <c r="P32" s="90">
        <f t="shared" si="8"/>
        <v>0</v>
      </c>
      <c r="Q32" s="90">
        <f>SUM($L32:O32)</f>
        <v>0</v>
      </c>
      <c r="AH32" s="90">
        <f t="shared" si="9"/>
        <v>0</v>
      </c>
      <c r="AI32" s="90">
        <f>SUM($AD32:AG32)</f>
        <v>0</v>
      </c>
      <c r="AZ32" s="90">
        <f t="shared" si="10"/>
        <v>0</v>
      </c>
      <c r="BA32" s="90">
        <f>SUM($AV32:AY32)</f>
        <v>0</v>
      </c>
    </row>
    <row r="33" spans="16:53" x14ac:dyDescent="0.25">
      <c r="P33" s="90">
        <f t="shared" si="8"/>
        <v>0</v>
      </c>
      <c r="Q33" s="90">
        <f>SUM($L33:O33)</f>
        <v>0</v>
      </c>
      <c r="AH33" s="90">
        <f t="shared" si="9"/>
        <v>0</v>
      </c>
      <c r="AI33" s="90">
        <f>SUM($AD33:AG33)</f>
        <v>0</v>
      </c>
      <c r="AZ33" s="90">
        <f t="shared" si="10"/>
        <v>0</v>
      </c>
      <c r="BA33" s="90">
        <f>SUM($AV33:AY33)</f>
        <v>0</v>
      </c>
    </row>
    <row r="34" spans="16:53" x14ac:dyDescent="0.25">
      <c r="P34" s="90">
        <f t="shared" si="8"/>
        <v>0</v>
      </c>
      <c r="Q34" s="90">
        <f>SUM($L34:O34)</f>
        <v>0</v>
      </c>
      <c r="AH34" s="90">
        <f t="shared" si="9"/>
        <v>0</v>
      </c>
      <c r="AI34" s="90">
        <f>SUM($AD34:AG34)</f>
        <v>0</v>
      </c>
      <c r="AZ34" s="90">
        <f t="shared" si="10"/>
        <v>0</v>
      </c>
      <c r="BA34" s="90">
        <f>SUM($AV34:AY34)</f>
        <v>0</v>
      </c>
    </row>
    <row r="35" spans="16:53" x14ac:dyDescent="0.25">
      <c r="P35" s="90">
        <f t="shared" si="8"/>
        <v>0</v>
      </c>
      <c r="Q35" s="90">
        <f>SUM($L35:O35)</f>
        <v>0</v>
      </c>
      <c r="AH35" s="90">
        <f t="shared" si="9"/>
        <v>0</v>
      </c>
      <c r="AI35" s="90">
        <f>SUM($AD35:AG35)</f>
        <v>0</v>
      </c>
      <c r="AZ35" s="90">
        <f t="shared" si="10"/>
        <v>0</v>
      </c>
      <c r="BA35" s="90">
        <f>SUM($AV35:AY35)</f>
        <v>0</v>
      </c>
    </row>
    <row r="36" spans="16:53" x14ac:dyDescent="0.25">
      <c r="P36" s="90">
        <f t="shared" si="8"/>
        <v>0</v>
      </c>
      <c r="Q36" s="90">
        <f>SUM($L36:O36)</f>
        <v>0</v>
      </c>
      <c r="AH36" s="90">
        <f t="shared" si="9"/>
        <v>0</v>
      </c>
      <c r="AI36" s="90">
        <f>SUM($AD36:AG36)</f>
        <v>0</v>
      </c>
      <c r="AZ36" s="90">
        <f t="shared" si="10"/>
        <v>0</v>
      </c>
      <c r="BA36" s="90">
        <f>SUM($AV36:AY36)</f>
        <v>0</v>
      </c>
    </row>
    <row r="37" spans="16:53" x14ac:dyDescent="0.25">
      <c r="P37" s="90">
        <f t="shared" si="8"/>
        <v>0</v>
      </c>
      <c r="Q37" s="90">
        <f>SUM($L37:O37)</f>
        <v>0</v>
      </c>
      <c r="AH37" s="90">
        <f t="shared" si="9"/>
        <v>0</v>
      </c>
      <c r="AI37" s="90">
        <f>SUM($AD37:AG37)</f>
        <v>0</v>
      </c>
      <c r="AZ37" s="90">
        <f t="shared" si="10"/>
        <v>0</v>
      </c>
      <c r="BA37" s="90">
        <f>SUM($AV37:AY37)</f>
        <v>0</v>
      </c>
    </row>
    <row r="38" spans="16:53" x14ac:dyDescent="0.25">
      <c r="P38" s="90">
        <f t="shared" si="8"/>
        <v>0</v>
      </c>
      <c r="Q38" s="90">
        <f>SUM($L38:O38)</f>
        <v>0</v>
      </c>
      <c r="AH38" s="90">
        <f t="shared" si="9"/>
        <v>0</v>
      </c>
      <c r="AI38" s="90">
        <f>SUM($AD38:AG38)</f>
        <v>0</v>
      </c>
      <c r="AZ38" s="90">
        <f t="shared" si="10"/>
        <v>0</v>
      </c>
      <c r="BA38" s="90">
        <f>SUM($AV38:AY38)</f>
        <v>0</v>
      </c>
    </row>
    <row r="39" spans="16:53" x14ac:dyDescent="0.25">
      <c r="P39" s="90">
        <f t="shared" si="8"/>
        <v>0</v>
      </c>
      <c r="Q39" s="90">
        <f>SUM($L39:O39)</f>
        <v>0</v>
      </c>
      <c r="AH39" s="90">
        <f t="shared" si="9"/>
        <v>0</v>
      </c>
      <c r="AI39" s="90">
        <f>SUM($AD39:AG39)</f>
        <v>0</v>
      </c>
      <c r="AZ39" s="90">
        <f t="shared" si="10"/>
        <v>0</v>
      </c>
      <c r="BA39" s="90">
        <f>SUM($AV39:AY39)</f>
        <v>0</v>
      </c>
    </row>
    <row r="40" spans="16:53" x14ac:dyDescent="0.25">
      <c r="P40" s="90">
        <f t="shared" si="8"/>
        <v>0</v>
      </c>
      <c r="Q40" s="90">
        <f>SUM($L40:O40)</f>
        <v>0</v>
      </c>
      <c r="AH40" s="90">
        <f t="shared" si="9"/>
        <v>0</v>
      </c>
      <c r="AI40" s="90">
        <f>SUM($AD40:AG40)</f>
        <v>0</v>
      </c>
      <c r="AZ40" s="90">
        <f t="shared" si="10"/>
        <v>0</v>
      </c>
      <c r="BA40" s="90">
        <f>SUM($AV40:AY40)</f>
        <v>0</v>
      </c>
    </row>
    <row r="41" spans="16:53" x14ac:dyDescent="0.25">
      <c r="P41" s="90">
        <f t="shared" si="8"/>
        <v>0</v>
      </c>
      <c r="Q41" s="90">
        <f>SUM($L41:O41)</f>
        <v>0</v>
      </c>
      <c r="AH41" s="90">
        <f t="shared" si="9"/>
        <v>0</v>
      </c>
      <c r="AI41" s="90">
        <f>SUM($AD41:AG41)</f>
        <v>0</v>
      </c>
      <c r="AZ41" s="90">
        <f t="shared" si="10"/>
        <v>0</v>
      </c>
      <c r="BA41" s="90">
        <f>SUM($AV41:AY41)</f>
        <v>0</v>
      </c>
    </row>
    <row r="42" spans="16:53" x14ac:dyDescent="0.25">
      <c r="P42" s="90">
        <f t="shared" si="8"/>
        <v>0</v>
      </c>
      <c r="Q42" s="90">
        <f>SUM($L42:O42)</f>
        <v>0</v>
      </c>
      <c r="AH42" s="90">
        <f t="shared" si="9"/>
        <v>0</v>
      </c>
      <c r="AI42" s="90">
        <f>SUM($AD42:AG42)</f>
        <v>0</v>
      </c>
      <c r="AZ42" s="90">
        <f t="shared" si="10"/>
        <v>0</v>
      </c>
      <c r="BA42" s="90">
        <f>SUM($AV42:AY42)</f>
        <v>0</v>
      </c>
    </row>
    <row r="43" spans="16:53" x14ac:dyDescent="0.25">
      <c r="P43" s="90">
        <f t="shared" si="8"/>
        <v>0</v>
      </c>
      <c r="Q43" s="90">
        <f>SUM($L43:O43)</f>
        <v>0</v>
      </c>
      <c r="AH43" s="90">
        <f t="shared" si="9"/>
        <v>0</v>
      </c>
      <c r="AI43" s="90">
        <f>SUM($AD43:AG43)</f>
        <v>0</v>
      </c>
      <c r="AZ43" s="90">
        <f t="shared" si="10"/>
        <v>0</v>
      </c>
      <c r="BA43" s="90">
        <f>SUM($AV43:AY43)</f>
        <v>0</v>
      </c>
    </row>
    <row r="44" spans="16:53" x14ac:dyDescent="0.25">
      <c r="P44" s="90">
        <f t="shared" si="8"/>
        <v>0</v>
      </c>
      <c r="Q44" s="90">
        <f>SUM($L44:O44)</f>
        <v>0</v>
      </c>
      <c r="AH44" s="90">
        <f t="shared" si="9"/>
        <v>0</v>
      </c>
      <c r="AI44" s="90">
        <f>SUM($AD44:AG44)</f>
        <v>0</v>
      </c>
      <c r="AZ44" s="90">
        <f t="shared" si="10"/>
        <v>0</v>
      </c>
      <c r="BA44" s="90">
        <f>SUM($AV44:AY44)</f>
        <v>0</v>
      </c>
    </row>
    <row r="45" spans="16:53" x14ac:dyDescent="0.25">
      <c r="P45" s="90">
        <f t="shared" si="8"/>
        <v>0</v>
      </c>
      <c r="Q45" s="90">
        <f>SUM($L45:O45)</f>
        <v>0</v>
      </c>
      <c r="AH45" s="90">
        <f t="shared" si="9"/>
        <v>0</v>
      </c>
      <c r="AI45" s="90">
        <f>SUM($AD45:AG45)</f>
        <v>0</v>
      </c>
      <c r="AZ45" s="90">
        <f t="shared" si="10"/>
        <v>0</v>
      </c>
      <c r="BA45" s="90">
        <f>SUM($AV45:AY45)</f>
        <v>0</v>
      </c>
    </row>
    <row r="46" spans="16:53" x14ac:dyDescent="0.25">
      <c r="P46" s="90">
        <f t="shared" si="8"/>
        <v>0</v>
      </c>
      <c r="Q46" s="90">
        <f>SUM($L46:O46)</f>
        <v>0</v>
      </c>
      <c r="AH46" s="90">
        <f t="shared" si="9"/>
        <v>0</v>
      </c>
      <c r="AI46" s="90">
        <f>SUM($AD46:AG46)</f>
        <v>0</v>
      </c>
      <c r="AZ46" s="90">
        <f t="shared" si="10"/>
        <v>0</v>
      </c>
      <c r="BA46" s="90">
        <f>SUM($AV46:AY46)</f>
        <v>0</v>
      </c>
    </row>
    <row r="47" spans="16:53" x14ac:dyDescent="0.25">
      <c r="P47" s="90">
        <f t="shared" si="8"/>
        <v>0</v>
      </c>
      <c r="Q47" s="90">
        <f>SUM($L47:O47)</f>
        <v>0</v>
      </c>
      <c r="AH47" s="90">
        <f t="shared" si="9"/>
        <v>0</v>
      </c>
      <c r="AI47" s="90">
        <f>SUM($AD47:AG47)</f>
        <v>0</v>
      </c>
      <c r="AZ47" s="90">
        <f t="shared" si="10"/>
        <v>0</v>
      </c>
      <c r="BA47" s="90">
        <f>SUM($AV47:AY47)</f>
        <v>0</v>
      </c>
    </row>
    <row r="48" spans="16:53" x14ac:dyDescent="0.25">
      <c r="P48" s="90">
        <f t="shared" si="8"/>
        <v>0</v>
      </c>
      <c r="Q48" s="90">
        <f>SUM($L48:O48)</f>
        <v>0</v>
      </c>
      <c r="AH48" s="90">
        <f t="shared" si="9"/>
        <v>0</v>
      </c>
      <c r="AI48" s="90">
        <f>SUM($AD48:AG48)</f>
        <v>0</v>
      </c>
      <c r="AZ48" s="90">
        <f t="shared" si="10"/>
        <v>0</v>
      </c>
      <c r="BA48" s="90">
        <f>SUM($AV48:AY48)</f>
        <v>0</v>
      </c>
    </row>
    <row r="49" spans="16:53" x14ac:dyDescent="0.25">
      <c r="P49" s="90">
        <f t="shared" si="8"/>
        <v>0</v>
      </c>
      <c r="Q49" s="90">
        <f>SUM($L49:O49)</f>
        <v>0</v>
      </c>
      <c r="AH49" s="90">
        <f t="shared" si="9"/>
        <v>0</v>
      </c>
      <c r="AI49" s="90">
        <f>SUM($AD49:AG49)</f>
        <v>0</v>
      </c>
      <c r="AZ49" s="90">
        <f t="shared" si="10"/>
        <v>0</v>
      </c>
      <c r="BA49" s="90">
        <f>SUM($AV49:AY49)</f>
        <v>0</v>
      </c>
    </row>
    <row r="50" spans="16:53" x14ac:dyDescent="0.25">
      <c r="P50" s="90">
        <f t="shared" si="8"/>
        <v>0</v>
      </c>
      <c r="Q50" s="90">
        <f>SUM($L50:O50)</f>
        <v>0</v>
      </c>
      <c r="AH50" s="90">
        <f t="shared" si="9"/>
        <v>0</v>
      </c>
      <c r="AI50" s="90">
        <f>SUM($AD50:AG50)</f>
        <v>0</v>
      </c>
      <c r="AZ50" s="90">
        <f t="shared" si="10"/>
        <v>0</v>
      </c>
      <c r="BA50" s="90">
        <f>SUM($AV50:AY50)</f>
        <v>0</v>
      </c>
    </row>
    <row r="51" spans="16:53" x14ac:dyDescent="0.25">
      <c r="P51" s="90">
        <f t="shared" si="8"/>
        <v>0</v>
      </c>
      <c r="Q51" s="90">
        <f>SUM($L51:O51)</f>
        <v>0</v>
      </c>
      <c r="AH51" s="90">
        <f t="shared" si="9"/>
        <v>0</v>
      </c>
      <c r="AI51" s="90">
        <f>SUM($AD51:AG51)</f>
        <v>0</v>
      </c>
      <c r="AZ51" s="90">
        <f t="shared" si="10"/>
        <v>0</v>
      </c>
      <c r="BA51" s="90">
        <f>SUM($AV51:AY51)</f>
        <v>0</v>
      </c>
    </row>
    <row r="52" spans="16:53" x14ac:dyDescent="0.25">
      <c r="P52" s="90">
        <f t="shared" si="8"/>
        <v>0</v>
      </c>
      <c r="Q52" s="90">
        <f>SUM($L52:O52)</f>
        <v>0</v>
      </c>
      <c r="AH52" s="90">
        <f t="shared" si="9"/>
        <v>0</v>
      </c>
      <c r="AI52" s="90">
        <f>SUM($AD52:AG52)</f>
        <v>0</v>
      </c>
      <c r="AZ52" s="90">
        <f t="shared" si="10"/>
        <v>0</v>
      </c>
      <c r="BA52" s="90">
        <f>SUM($AV52:AY52)</f>
        <v>0</v>
      </c>
    </row>
    <row r="53" spans="16:53" x14ac:dyDescent="0.25">
      <c r="P53" s="90">
        <f t="shared" si="8"/>
        <v>0</v>
      </c>
      <c r="Q53" s="90">
        <f>SUM($L53:O53)</f>
        <v>0</v>
      </c>
      <c r="AH53" s="90">
        <f t="shared" si="9"/>
        <v>0</v>
      </c>
      <c r="AI53" s="90">
        <f>SUM($AD53:AG53)</f>
        <v>0</v>
      </c>
      <c r="AZ53" s="90">
        <f t="shared" si="10"/>
        <v>0</v>
      </c>
      <c r="BA53" s="90">
        <f>SUM($AV53:AY53)</f>
        <v>0</v>
      </c>
    </row>
    <row r="54" spans="16:53" x14ac:dyDescent="0.25">
      <c r="P54" s="90">
        <f t="shared" si="8"/>
        <v>0</v>
      </c>
      <c r="Q54" s="90">
        <f>SUM($L54:O54)</f>
        <v>0</v>
      </c>
      <c r="AH54" s="90">
        <f t="shared" si="9"/>
        <v>0</v>
      </c>
      <c r="AI54" s="90">
        <f>SUM($AD54:AG54)</f>
        <v>0</v>
      </c>
      <c r="AZ54" s="90">
        <f t="shared" si="10"/>
        <v>0</v>
      </c>
      <c r="BA54" s="90">
        <f>SUM($AV54:AY54)</f>
        <v>0</v>
      </c>
    </row>
    <row r="55" spans="16:53" x14ac:dyDescent="0.25">
      <c r="P55" s="90">
        <f t="shared" si="8"/>
        <v>0</v>
      </c>
      <c r="Q55" s="90">
        <f>SUM($L55:O55)</f>
        <v>0</v>
      </c>
      <c r="AH55" s="90">
        <f t="shared" si="9"/>
        <v>0</v>
      </c>
      <c r="AI55" s="90">
        <f>SUM($AD55:AG55)</f>
        <v>0</v>
      </c>
      <c r="AZ55" s="90">
        <f t="shared" si="10"/>
        <v>0</v>
      </c>
      <c r="BA55" s="90">
        <f>SUM($AV55:AY55)</f>
        <v>0</v>
      </c>
    </row>
    <row r="56" spans="16:53" x14ac:dyDescent="0.25">
      <c r="P56" s="90">
        <f t="shared" si="8"/>
        <v>0</v>
      </c>
      <c r="Q56" s="90">
        <f>SUM($L56:O56)</f>
        <v>0</v>
      </c>
      <c r="AH56" s="90">
        <f t="shared" si="9"/>
        <v>0</v>
      </c>
      <c r="AI56" s="90">
        <f>SUM($AD56:AG56)</f>
        <v>0</v>
      </c>
      <c r="AZ56" s="90">
        <f t="shared" si="10"/>
        <v>0</v>
      </c>
      <c r="BA56" s="90">
        <f>SUM($AV56:AY56)</f>
        <v>0</v>
      </c>
    </row>
    <row r="57" spans="16:53" x14ac:dyDescent="0.25">
      <c r="P57" s="90">
        <f t="shared" si="8"/>
        <v>0</v>
      </c>
      <c r="Q57" s="90">
        <f>SUM($L57:O57)</f>
        <v>0</v>
      </c>
      <c r="AH57" s="90">
        <f t="shared" si="9"/>
        <v>0</v>
      </c>
      <c r="AI57" s="90">
        <f>SUM($AD57:AG57)</f>
        <v>0</v>
      </c>
      <c r="AZ57" s="90">
        <f t="shared" si="10"/>
        <v>0</v>
      </c>
      <c r="BA57" s="90">
        <f>SUM($AV57:AY57)</f>
        <v>0</v>
      </c>
    </row>
    <row r="58" spans="16:53" x14ac:dyDescent="0.25">
      <c r="P58" s="90">
        <f t="shared" si="8"/>
        <v>0</v>
      </c>
      <c r="Q58" s="90">
        <f>SUM($L58:O58)</f>
        <v>0</v>
      </c>
      <c r="AH58" s="90">
        <f t="shared" si="9"/>
        <v>0</v>
      </c>
      <c r="AI58" s="90">
        <f>SUM($AD58:AG58)</f>
        <v>0</v>
      </c>
      <c r="AZ58" s="90">
        <f t="shared" si="10"/>
        <v>0</v>
      </c>
      <c r="BA58" s="90">
        <f>SUM($AV58:AY58)</f>
        <v>0</v>
      </c>
    </row>
    <row r="59" spans="16:53" x14ac:dyDescent="0.25">
      <c r="P59" s="90">
        <f t="shared" si="8"/>
        <v>0</v>
      </c>
      <c r="Q59" s="90">
        <f>SUM($L59:O59)</f>
        <v>0</v>
      </c>
      <c r="AH59" s="90">
        <f t="shared" si="9"/>
        <v>0</v>
      </c>
      <c r="AI59" s="90">
        <f>SUM($AD59:AG59)</f>
        <v>0</v>
      </c>
      <c r="AZ59" s="90">
        <f t="shared" si="10"/>
        <v>0</v>
      </c>
      <c r="BA59" s="90">
        <f>SUM($AV59:AY59)</f>
        <v>0</v>
      </c>
    </row>
    <row r="60" spans="16:53" x14ac:dyDescent="0.25">
      <c r="P60" s="90">
        <f t="shared" si="8"/>
        <v>0</v>
      </c>
      <c r="Q60" s="90">
        <f>SUM($L60:O60)</f>
        <v>0</v>
      </c>
      <c r="AH60" s="90">
        <f t="shared" si="9"/>
        <v>0</v>
      </c>
      <c r="AI60" s="90">
        <f>SUM($AD60:AG60)</f>
        <v>0</v>
      </c>
      <c r="AZ60" s="90">
        <f t="shared" si="10"/>
        <v>0</v>
      </c>
      <c r="BA60" s="90">
        <f>SUM($AV60:AY60)</f>
        <v>0</v>
      </c>
    </row>
    <row r="61" spans="16:53" x14ac:dyDescent="0.25">
      <c r="P61" s="90">
        <f t="shared" si="8"/>
        <v>0</v>
      </c>
      <c r="Q61" s="90">
        <f>SUM($L61:O61)</f>
        <v>0</v>
      </c>
      <c r="AH61" s="90">
        <f t="shared" si="9"/>
        <v>0</v>
      </c>
      <c r="AI61" s="90">
        <f>SUM($AD61:AG61)</f>
        <v>0</v>
      </c>
      <c r="AZ61" s="90">
        <f t="shared" si="10"/>
        <v>0</v>
      </c>
      <c r="BA61" s="90">
        <f>SUM($AV61:AY61)</f>
        <v>0</v>
      </c>
    </row>
    <row r="62" spans="16:53" x14ac:dyDescent="0.25">
      <c r="P62" s="90">
        <f t="shared" si="8"/>
        <v>0</v>
      </c>
      <c r="Q62" s="90">
        <f>SUM($L62:O62)</f>
        <v>0</v>
      </c>
      <c r="AH62" s="90">
        <f t="shared" si="9"/>
        <v>0</v>
      </c>
      <c r="AI62" s="90">
        <f>SUM($AD62:AG62)</f>
        <v>0</v>
      </c>
      <c r="AZ62" s="90">
        <f t="shared" si="10"/>
        <v>0</v>
      </c>
      <c r="BA62" s="90">
        <f>SUM($AV62:AY62)</f>
        <v>0</v>
      </c>
    </row>
    <row r="63" spans="16:53" x14ac:dyDescent="0.25">
      <c r="P63" s="90">
        <f t="shared" si="8"/>
        <v>0</v>
      </c>
      <c r="Q63" s="90">
        <f>SUM($L63:O63)</f>
        <v>0</v>
      </c>
      <c r="AH63" s="90">
        <f t="shared" si="9"/>
        <v>0</v>
      </c>
      <c r="AI63" s="90">
        <f>SUM($AD63:AG63)</f>
        <v>0</v>
      </c>
      <c r="AZ63" s="90">
        <f t="shared" si="10"/>
        <v>0</v>
      </c>
      <c r="BA63" s="90">
        <f>SUM($AV63:AY63)</f>
        <v>0</v>
      </c>
    </row>
    <row r="64" spans="16:53" x14ac:dyDescent="0.25">
      <c r="P64" s="90">
        <f t="shared" si="8"/>
        <v>0</v>
      </c>
      <c r="Q64" s="90">
        <f>SUM($L64:O64)</f>
        <v>0</v>
      </c>
      <c r="AH64" s="90">
        <f t="shared" si="9"/>
        <v>0</v>
      </c>
      <c r="AI64" s="90">
        <f>SUM($AD64:AG64)</f>
        <v>0</v>
      </c>
      <c r="AZ64" s="90">
        <f t="shared" si="10"/>
        <v>0</v>
      </c>
      <c r="BA64" s="90">
        <f>SUM($AV64:AY64)</f>
        <v>0</v>
      </c>
    </row>
    <row r="65" spans="16:53" x14ac:dyDescent="0.25">
      <c r="P65" s="90">
        <f t="shared" si="8"/>
        <v>0</v>
      </c>
      <c r="Q65" s="90">
        <f>SUM($L65:O65)</f>
        <v>0</v>
      </c>
      <c r="AH65" s="90">
        <f t="shared" si="9"/>
        <v>0</v>
      </c>
      <c r="AI65" s="90">
        <f>SUM($AD65:AG65)</f>
        <v>0</v>
      </c>
      <c r="AZ65" s="90">
        <f t="shared" si="10"/>
        <v>0</v>
      </c>
      <c r="BA65" s="90">
        <f>SUM($AV65:AY65)</f>
        <v>0</v>
      </c>
    </row>
    <row r="66" spans="16:53" x14ac:dyDescent="0.25">
      <c r="P66" s="90">
        <f t="shared" si="8"/>
        <v>0</v>
      </c>
      <c r="Q66" s="90">
        <f>SUM($L66:O66)</f>
        <v>0</v>
      </c>
      <c r="AH66" s="90">
        <f t="shared" si="9"/>
        <v>0</v>
      </c>
      <c r="AI66" s="90">
        <f>SUM($AD66:AG66)</f>
        <v>0</v>
      </c>
      <c r="AZ66" s="90">
        <f t="shared" si="10"/>
        <v>0</v>
      </c>
      <c r="BA66" s="90">
        <f>SUM($AV66:AY66)</f>
        <v>0</v>
      </c>
    </row>
    <row r="67" spans="16:53" x14ac:dyDescent="0.25">
      <c r="P67" s="90">
        <f t="shared" si="8"/>
        <v>0</v>
      </c>
      <c r="Q67" s="90">
        <f>SUM($L67:O67)</f>
        <v>0</v>
      </c>
      <c r="AH67" s="90">
        <f t="shared" si="9"/>
        <v>0</v>
      </c>
      <c r="AI67" s="90">
        <f>SUM($AD67:AG67)</f>
        <v>0</v>
      </c>
      <c r="AZ67" s="90">
        <f t="shared" si="10"/>
        <v>0</v>
      </c>
      <c r="BA67" s="90">
        <f>SUM($AV67:AY67)</f>
        <v>0</v>
      </c>
    </row>
    <row r="68" spans="16:53" x14ac:dyDescent="0.25">
      <c r="P68" s="90">
        <f t="shared" si="8"/>
        <v>0</v>
      </c>
      <c r="Q68" s="90">
        <f>SUM($L68:O68)</f>
        <v>0</v>
      </c>
      <c r="AH68" s="90">
        <f t="shared" si="9"/>
        <v>0</v>
      </c>
      <c r="AI68" s="90">
        <f>SUM($AD68:AG68)</f>
        <v>0</v>
      </c>
      <c r="AZ68" s="90">
        <f t="shared" si="10"/>
        <v>0</v>
      </c>
      <c r="BA68" s="90">
        <f>SUM($AV68:AY68)</f>
        <v>0</v>
      </c>
    </row>
    <row r="69" spans="16:53" x14ac:dyDescent="0.25">
      <c r="P69" s="90">
        <f t="shared" ref="P69:P132" si="11">SUM(B69:K69)</f>
        <v>0</v>
      </c>
      <c r="Q69" s="90">
        <f>SUM($L69:O69)</f>
        <v>0</v>
      </c>
      <c r="AH69" s="90">
        <f t="shared" ref="AH69:AH132" si="12">SUM(T69:AC69)</f>
        <v>0</v>
      </c>
      <c r="AI69" s="90">
        <f>SUM($AD69:AG69)</f>
        <v>0</v>
      </c>
      <c r="AZ69" s="90">
        <f t="shared" ref="AZ69:AZ132" si="13">SUM(AL69:AU69)</f>
        <v>0</v>
      </c>
      <c r="BA69" s="90">
        <f>SUM($AV69:AY69)</f>
        <v>0</v>
      </c>
    </row>
    <row r="70" spans="16:53" x14ac:dyDescent="0.25">
      <c r="P70" s="90">
        <f t="shared" si="11"/>
        <v>0</v>
      </c>
      <c r="Q70" s="90">
        <f>SUM($L70:O70)</f>
        <v>0</v>
      </c>
      <c r="AH70" s="90">
        <f t="shared" si="12"/>
        <v>0</v>
      </c>
      <c r="AI70" s="90">
        <f>SUM($AD70:AG70)</f>
        <v>0</v>
      </c>
      <c r="AZ70" s="90">
        <f t="shared" si="13"/>
        <v>0</v>
      </c>
      <c r="BA70" s="90">
        <f>SUM($AV70:AY70)</f>
        <v>0</v>
      </c>
    </row>
    <row r="71" spans="16:53" x14ac:dyDescent="0.25">
      <c r="P71" s="90">
        <f t="shared" si="11"/>
        <v>0</v>
      </c>
      <c r="Q71" s="90">
        <f>SUM($L71:O71)</f>
        <v>0</v>
      </c>
      <c r="AH71" s="90">
        <f t="shared" si="12"/>
        <v>0</v>
      </c>
      <c r="AI71" s="90">
        <f>SUM($AD71:AG71)</f>
        <v>0</v>
      </c>
      <c r="AZ71" s="90">
        <f t="shared" si="13"/>
        <v>0</v>
      </c>
      <c r="BA71" s="90">
        <f>SUM($AV71:AY71)</f>
        <v>0</v>
      </c>
    </row>
    <row r="72" spans="16:53" x14ac:dyDescent="0.25">
      <c r="P72" s="90">
        <f t="shared" si="11"/>
        <v>0</v>
      </c>
      <c r="Q72" s="90">
        <f>SUM($L72:O72)</f>
        <v>0</v>
      </c>
      <c r="AH72" s="90">
        <f t="shared" si="12"/>
        <v>0</v>
      </c>
      <c r="AI72" s="90">
        <f>SUM($AD72:AG72)</f>
        <v>0</v>
      </c>
      <c r="AZ72" s="90">
        <f t="shared" si="13"/>
        <v>0</v>
      </c>
      <c r="BA72" s="90">
        <f>SUM($AV72:AY72)</f>
        <v>0</v>
      </c>
    </row>
    <row r="73" spans="16:53" x14ac:dyDescent="0.25">
      <c r="P73" s="90">
        <f t="shared" si="11"/>
        <v>0</v>
      </c>
      <c r="Q73" s="90">
        <f>SUM($L73:O73)</f>
        <v>0</v>
      </c>
      <c r="AH73" s="90">
        <f t="shared" si="12"/>
        <v>0</v>
      </c>
      <c r="AI73" s="90">
        <f>SUM($AD73:AG73)</f>
        <v>0</v>
      </c>
      <c r="AZ73" s="90">
        <f t="shared" si="13"/>
        <v>0</v>
      </c>
      <c r="BA73" s="90">
        <f>SUM($AV73:AY73)</f>
        <v>0</v>
      </c>
    </row>
    <row r="74" spans="16:53" x14ac:dyDescent="0.25">
      <c r="P74" s="90">
        <f t="shared" si="11"/>
        <v>0</v>
      </c>
      <c r="Q74" s="90">
        <f>SUM($L74:O74)</f>
        <v>0</v>
      </c>
      <c r="AH74" s="90">
        <f t="shared" si="12"/>
        <v>0</v>
      </c>
      <c r="AI74" s="90">
        <f>SUM($AD74:AG74)</f>
        <v>0</v>
      </c>
      <c r="AZ74" s="90">
        <f t="shared" si="13"/>
        <v>0</v>
      </c>
      <c r="BA74" s="90">
        <f>SUM($AV74:AY74)</f>
        <v>0</v>
      </c>
    </row>
    <row r="75" spans="16:53" x14ac:dyDescent="0.25">
      <c r="P75" s="90">
        <f t="shared" si="11"/>
        <v>0</v>
      </c>
      <c r="Q75" s="90">
        <f>SUM($L75:O75)</f>
        <v>0</v>
      </c>
      <c r="AH75" s="90">
        <f t="shared" si="12"/>
        <v>0</v>
      </c>
      <c r="AI75" s="90">
        <f>SUM($AD75:AG75)</f>
        <v>0</v>
      </c>
      <c r="AZ75" s="90">
        <f t="shared" si="13"/>
        <v>0</v>
      </c>
      <c r="BA75" s="90">
        <f>SUM($AV75:AY75)</f>
        <v>0</v>
      </c>
    </row>
    <row r="76" spans="16:53" x14ac:dyDescent="0.25">
      <c r="P76" s="90">
        <f t="shared" si="11"/>
        <v>0</v>
      </c>
      <c r="Q76" s="90">
        <f>SUM($L76:O76)</f>
        <v>0</v>
      </c>
      <c r="AH76" s="90">
        <f t="shared" si="12"/>
        <v>0</v>
      </c>
      <c r="AI76" s="90">
        <f>SUM($AD76:AG76)</f>
        <v>0</v>
      </c>
      <c r="AZ76" s="90">
        <f t="shared" si="13"/>
        <v>0</v>
      </c>
      <c r="BA76" s="90">
        <f>SUM($AV76:AY76)</f>
        <v>0</v>
      </c>
    </row>
    <row r="77" spans="16:53" x14ac:dyDescent="0.25">
      <c r="P77" s="90">
        <f t="shared" si="11"/>
        <v>0</v>
      </c>
      <c r="Q77" s="90">
        <f>SUM($L77:O77)</f>
        <v>0</v>
      </c>
      <c r="AH77" s="90">
        <f t="shared" si="12"/>
        <v>0</v>
      </c>
      <c r="AI77" s="90">
        <f>SUM($AD77:AG77)</f>
        <v>0</v>
      </c>
      <c r="AZ77" s="90">
        <f t="shared" si="13"/>
        <v>0</v>
      </c>
      <c r="BA77" s="90">
        <f>SUM($AV77:AY77)</f>
        <v>0</v>
      </c>
    </row>
    <row r="78" spans="16:53" x14ac:dyDescent="0.25">
      <c r="P78" s="90">
        <f t="shared" si="11"/>
        <v>0</v>
      </c>
      <c r="Q78" s="90">
        <f>SUM($L78:O78)</f>
        <v>0</v>
      </c>
      <c r="AH78" s="90">
        <f t="shared" si="12"/>
        <v>0</v>
      </c>
      <c r="AI78" s="90">
        <f>SUM($AD78:AG78)</f>
        <v>0</v>
      </c>
      <c r="AZ78" s="90">
        <f t="shared" si="13"/>
        <v>0</v>
      </c>
      <c r="BA78" s="90">
        <f>SUM($AV78:AY78)</f>
        <v>0</v>
      </c>
    </row>
    <row r="79" spans="16:53" x14ac:dyDescent="0.25">
      <c r="P79" s="90">
        <f t="shared" si="11"/>
        <v>0</v>
      </c>
      <c r="Q79" s="90">
        <f>SUM($L79:O79)</f>
        <v>0</v>
      </c>
      <c r="AH79" s="90">
        <f t="shared" si="12"/>
        <v>0</v>
      </c>
      <c r="AI79" s="90">
        <f>SUM($AD79:AG79)</f>
        <v>0</v>
      </c>
      <c r="AZ79" s="90">
        <f t="shared" si="13"/>
        <v>0</v>
      </c>
      <c r="BA79" s="90">
        <f>SUM($AV79:AY79)</f>
        <v>0</v>
      </c>
    </row>
    <row r="80" spans="16:53" x14ac:dyDescent="0.25">
      <c r="P80" s="90">
        <f t="shared" si="11"/>
        <v>0</v>
      </c>
      <c r="Q80" s="90">
        <f>SUM($L80:O80)</f>
        <v>0</v>
      </c>
      <c r="AH80" s="90">
        <f t="shared" si="12"/>
        <v>0</v>
      </c>
      <c r="AI80" s="90">
        <f>SUM($AD80:AG80)</f>
        <v>0</v>
      </c>
      <c r="AZ80" s="90">
        <f t="shared" si="13"/>
        <v>0</v>
      </c>
      <c r="BA80" s="90">
        <f>SUM($AV80:AY80)</f>
        <v>0</v>
      </c>
    </row>
    <row r="81" spans="16:53" x14ac:dyDescent="0.25">
      <c r="P81" s="90">
        <f t="shared" si="11"/>
        <v>0</v>
      </c>
      <c r="Q81" s="90">
        <f>SUM($L81:O81)</f>
        <v>0</v>
      </c>
      <c r="AH81" s="90">
        <f t="shared" si="12"/>
        <v>0</v>
      </c>
      <c r="AI81" s="90">
        <f>SUM($AD81:AG81)</f>
        <v>0</v>
      </c>
      <c r="AZ81" s="90">
        <f t="shared" si="13"/>
        <v>0</v>
      </c>
      <c r="BA81" s="90">
        <f>SUM($AV81:AY81)</f>
        <v>0</v>
      </c>
    </row>
    <row r="82" spans="16:53" x14ac:dyDescent="0.25">
      <c r="P82" s="90">
        <f t="shared" si="11"/>
        <v>0</v>
      </c>
      <c r="Q82" s="90">
        <f>SUM($L82:O82)</f>
        <v>0</v>
      </c>
      <c r="AH82" s="90">
        <f t="shared" si="12"/>
        <v>0</v>
      </c>
      <c r="AI82" s="90">
        <f>SUM($AD82:AG82)</f>
        <v>0</v>
      </c>
      <c r="AZ82" s="90">
        <f t="shared" si="13"/>
        <v>0</v>
      </c>
      <c r="BA82" s="90">
        <f>SUM($AV82:AY82)</f>
        <v>0</v>
      </c>
    </row>
    <row r="83" spans="16:53" x14ac:dyDescent="0.25">
      <c r="P83" s="90">
        <f t="shared" si="11"/>
        <v>0</v>
      </c>
      <c r="Q83" s="90">
        <f>SUM($L83:O83)</f>
        <v>0</v>
      </c>
      <c r="AH83" s="90">
        <f t="shared" si="12"/>
        <v>0</v>
      </c>
      <c r="AI83" s="90">
        <f>SUM($AD83:AG83)</f>
        <v>0</v>
      </c>
      <c r="AZ83" s="90">
        <f t="shared" si="13"/>
        <v>0</v>
      </c>
      <c r="BA83" s="90">
        <f>SUM($AV83:AY83)</f>
        <v>0</v>
      </c>
    </row>
    <row r="84" spans="16:53" x14ac:dyDescent="0.25">
      <c r="P84" s="90">
        <f t="shared" si="11"/>
        <v>0</v>
      </c>
      <c r="Q84" s="90">
        <f>SUM($L84:O84)</f>
        <v>0</v>
      </c>
      <c r="AH84" s="90">
        <f t="shared" si="12"/>
        <v>0</v>
      </c>
      <c r="AI84" s="90">
        <f>SUM($AD84:AG84)</f>
        <v>0</v>
      </c>
      <c r="AZ84" s="90">
        <f t="shared" si="13"/>
        <v>0</v>
      </c>
      <c r="BA84" s="90">
        <f>SUM($AV84:AY84)</f>
        <v>0</v>
      </c>
    </row>
    <row r="85" spans="16:53" x14ac:dyDescent="0.25">
      <c r="P85" s="90">
        <f t="shared" si="11"/>
        <v>0</v>
      </c>
      <c r="Q85" s="90">
        <f>SUM($L85:O85)</f>
        <v>0</v>
      </c>
      <c r="AH85" s="90">
        <f t="shared" si="12"/>
        <v>0</v>
      </c>
      <c r="AI85" s="90">
        <f>SUM($AD85:AG85)</f>
        <v>0</v>
      </c>
      <c r="AZ85" s="90">
        <f t="shared" si="13"/>
        <v>0</v>
      </c>
      <c r="BA85" s="90">
        <f>SUM($AV85:AY85)</f>
        <v>0</v>
      </c>
    </row>
    <row r="86" spans="16:53" x14ac:dyDescent="0.25">
      <c r="P86" s="90">
        <f t="shared" si="11"/>
        <v>0</v>
      </c>
      <c r="Q86" s="90">
        <f>SUM($L86:O86)</f>
        <v>0</v>
      </c>
      <c r="AH86" s="90">
        <f t="shared" si="12"/>
        <v>0</v>
      </c>
      <c r="AI86" s="90">
        <f>SUM($AD86:AG86)</f>
        <v>0</v>
      </c>
      <c r="AZ86" s="90">
        <f t="shared" si="13"/>
        <v>0</v>
      </c>
      <c r="BA86" s="90">
        <f>SUM($AV86:AY86)</f>
        <v>0</v>
      </c>
    </row>
    <row r="87" spans="16:53" x14ac:dyDescent="0.25">
      <c r="P87" s="90">
        <f t="shared" si="11"/>
        <v>0</v>
      </c>
      <c r="Q87" s="90">
        <f>SUM($L87:O87)</f>
        <v>0</v>
      </c>
      <c r="AH87" s="90">
        <f t="shared" si="12"/>
        <v>0</v>
      </c>
      <c r="AI87" s="90">
        <f>SUM($AD87:AG87)</f>
        <v>0</v>
      </c>
      <c r="AZ87" s="90">
        <f t="shared" si="13"/>
        <v>0</v>
      </c>
      <c r="BA87" s="90">
        <f>SUM($AV87:AY87)</f>
        <v>0</v>
      </c>
    </row>
    <row r="88" spans="16:53" x14ac:dyDescent="0.25">
      <c r="P88" s="90">
        <f t="shared" si="11"/>
        <v>0</v>
      </c>
      <c r="Q88" s="90">
        <f>SUM($L88:O88)</f>
        <v>0</v>
      </c>
      <c r="AH88" s="90">
        <f t="shared" si="12"/>
        <v>0</v>
      </c>
      <c r="AI88" s="90">
        <f>SUM($AD88:AG88)</f>
        <v>0</v>
      </c>
      <c r="AZ88" s="90">
        <f t="shared" si="13"/>
        <v>0</v>
      </c>
      <c r="BA88" s="90">
        <f>SUM($AV88:AY88)</f>
        <v>0</v>
      </c>
    </row>
    <row r="89" spans="16:53" x14ac:dyDescent="0.25">
      <c r="P89" s="90">
        <f t="shared" si="11"/>
        <v>0</v>
      </c>
      <c r="Q89" s="90">
        <f>SUM($L89:O89)</f>
        <v>0</v>
      </c>
      <c r="AH89" s="90">
        <f t="shared" si="12"/>
        <v>0</v>
      </c>
      <c r="AI89" s="90">
        <f>SUM($AD89:AG89)</f>
        <v>0</v>
      </c>
      <c r="AZ89" s="90">
        <f t="shared" si="13"/>
        <v>0</v>
      </c>
      <c r="BA89" s="90">
        <f>SUM($AV89:AY89)</f>
        <v>0</v>
      </c>
    </row>
    <row r="90" spans="16:53" x14ac:dyDescent="0.25">
      <c r="P90" s="90">
        <f t="shared" si="11"/>
        <v>0</v>
      </c>
      <c r="Q90" s="90">
        <f>SUM($L90:O90)</f>
        <v>0</v>
      </c>
      <c r="AH90" s="90">
        <f t="shared" si="12"/>
        <v>0</v>
      </c>
      <c r="AI90" s="90">
        <f>SUM($AD90:AG90)</f>
        <v>0</v>
      </c>
      <c r="AZ90" s="90">
        <f t="shared" si="13"/>
        <v>0</v>
      </c>
      <c r="BA90" s="90">
        <f>SUM($AV90:AY90)</f>
        <v>0</v>
      </c>
    </row>
    <row r="91" spans="16:53" x14ac:dyDescent="0.25">
      <c r="P91" s="90">
        <f t="shared" si="11"/>
        <v>0</v>
      </c>
      <c r="Q91" s="90">
        <f>SUM($L91:O91)</f>
        <v>0</v>
      </c>
      <c r="AH91" s="90">
        <f t="shared" si="12"/>
        <v>0</v>
      </c>
      <c r="AI91" s="90">
        <f>SUM($AD91:AG91)</f>
        <v>0</v>
      </c>
      <c r="AZ91" s="90">
        <f t="shared" si="13"/>
        <v>0</v>
      </c>
      <c r="BA91" s="90">
        <f>SUM($AV91:AY91)</f>
        <v>0</v>
      </c>
    </row>
    <row r="92" spans="16:53" x14ac:dyDescent="0.25">
      <c r="P92" s="90">
        <f t="shared" si="11"/>
        <v>0</v>
      </c>
      <c r="Q92" s="90">
        <f>SUM($L92:O92)</f>
        <v>0</v>
      </c>
      <c r="AH92" s="90">
        <f t="shared" si="12"/>
        <v>0</v>
      </c>
      <c r="AI92" s="90">
        <f>SUM($AD92:AG92)</f>
        <v>0</v>
      </c>
      <c r="AZ92" s="90">
        <f t="shared" si="13"/>
        <v>0</v>
      </c>
      <c r="BA92" s="90">
        <f>SUM($AV92:AY92)</f>
        <v>0</v>
      </c>
    </row>
    <row r="93" spans="16:53" x14ac:dyDescent="0.25">
      <c r="P93" s="90">
        <f t="shared" si="11"/>
        <v>0</v>
      </c>
      <c r="Q93" s="90">
        <f>SUM($L93:O93)</f>
        <v>0</v>
      </c>
      <c r="AH93" s="90">
        <f t="shared" si="12"/>
        <v>0</v>
      </c>
      <c r="AI93" s="90">
        <f>SUM($AD93:AG93)</f>
        <v>0</v>
      </c>
      <c r="AZ93" s="90">
        <f t="shared" si="13"/>
        <v>0</v>
      </c>
      <c r="BA93" s="90">
        <f>SUM($AV93:AY93)</f>
        <v>0</v>
      </c>
    </row>
    <row r="94" spans="16:53" x14ac:dyDescent="0.25">
      <c r="P94" s="90">
        <f t="shared" si="11"/>
        <v>0</v>
      </c>
      <c r="Q94" s="90">
        <f>SUM($L94:O94)</f>
        <v>0</v>
      </c>
      <c r="AH94" s="90">
        <f t="shared" si="12"/>
        <v>0</v>
      </c>
      <c r="AI94" s="90">
        <f>SUM($AD94:AG94)</f>
        <v>0</v>
      </c>
      <c r="AZ94" s="90">
        <f t="shared" si="13"/>
        <v>0</v>
      </c>
      <c r="BA94" s="90">
        <f>SUM($AV94:AY94)</f>
        <v>0</v>
      </c>
    </row>
    <row r="95" spans="16:53" x14ac:dyDescent="0.25">
      <c r="P95" s="90">
        <f t="shared" si="11"/>
        <v>0</v>
      </c>
      <c r="Q95" s="90">
        <f>SUM($L95:O95)</f>
        <v>0</v>
      </c>
      <c r="AH95" s="90">
        <f t="shared" si="12"/>
        <v>0</v>
      </c>
      <c r="AI95" s="90">
        <f>SUM($AD95:AG95)</f>
        <v>0</v>
      </c>
      <c r="AZ95" s="90">
        <f t="shared" si="13"/>
        <v>0</v>
      </c>
      <c r="BA95" s="90">
        <f>SUM($AV95:AY95)</f>
        <v>0</v>
      </c>
    </row>
    <row r="96" spans="16:53" x14ac:dyDescent="0.25">
      <c r="P96" s="90">
        <f t="shared" si="11"/>
        <v>0</v>
      </c>
      <c r="Q96" s="90">
        <f>SUM($L96:O96)</f>
        <v>0</v>
      </c>
      <c r="AH96" s="90">
        <f t="shared" si="12"/>
        <v>0</v>
      </c>
      <c r="AI96" s="90">
        <f>SUM($AD96:AG96)</f>
        <v>0</v>
      </c>
      <c r="AZ96" s="90">
        <f t="shared" si="13"/>
        <v>0</v>
      </c>
      <c r="BA96" s="90">
        <f>SUM($AV96:AY96)</f>
        <v>0</v>
      </c>
    </row>
    <row r="97" spans="16:53" x14ac:dyDescent="0.25">
      <c r="P97" s="90">
        <f t="shared" si="11"/>
        <v>0</v>
      </c>
      <c r="Q97" s="90">
        <f>SUM($L97:O97)</f>
        <v>0</v>
      </c>
      <c r="AH97" s="90">
        <f t="shared" si="12"/>
        <v>0</v>
      </c>
      <c r="AI97" s="90">
        <f>SUM($AD97:AG97)</f>
        <v>0</v>
      </c>
      <c r="AZ97" s="90">
        <f t="shared" si="13"/>
        <v>0</v>
      </c>
      <c r="BA97" s="90">
        <f>SUM($AV97:AY97)</f>
        <v>0</v>
      </c>
    </row>
    <row r="98" spans="16:53" x14ac:dyDescent="0.25">
      <c r="P98" s="90">
        <f t="shared" si="11"/>
        <v>0</v>
      </c>
      <c r="Q98" s="90">
        <f>SUM($L98:O98)</f>
        <v>0</v>
      </c>
      <c r="AH98" s="90">
        <f t="shared" si="12"/>
        <v>0</v>
      </c>
      <c r="AI98" s="90">
        <f>SUM($AD98:AG98)</f>
        <v>0</v>
      </c>
      <c r="AZ98" s="90">
        <f t="shared" si="13"/>
        <v>0</v>
      </c>
      <c r="BA98" s="90">
        <f>SUM($AV98:AY98)</f>
        <v>0</v>
      </c>
    </row>
    <row r="99" spans="16:53" x14ac:dyDescent="0.25">
      <c r="P99" s="90">
        <f t="shared" si="11"/>
        <v>0</v>
      </c>
      <c r="Q99" s="90">
        <f>SUM($L99:O99)</f>
        <v>0</v>
      </c>
      <c r="AH99" s="90">
        <f t="shared" si="12"/>
        <v>0</v>
      </c>
      <c r="AI99" s="90">
        <f>SUM($AD99:AG99)</f>
        <v>0</v>
      </c>
      <c r="AZ99" s="90">
        <f t="shared" si="13"/>
        <v>0</v>
      </c>
      <c r="BA99" s="90">
        <f>SUM($AV99:AY99)</f>
        <v>0</v>
      </c>
    </row>
    <row r="100" spans="16:53" x14ac:dyDescent="0.25">
      <c r="P100" s="90">
        <f t="shared" si="11"/>
        <v>0</v>
      </c>
      <c r="Q100" s="90">
        <f>SUM($L100:O100)</f>
        <v>0</v>
      </c>
      <c r="AH100" s="90">
        <f t="shared" si="12"/>
        <v>0</v>
      </c>
      <c r="AI100" s="90">
        <f>SUM($AD100:AG100)</f>
        <v>0</v>
      </c>
      <c r="AZ100" s="90">
        <f t="shared" si="13"/>
        <v>0</v>
      </c>
      <c r="BA100" s="90">
        <f>SUM($AV100:AY100)</f>
        <v>0</v>
      </c>
    </row>
    <row r="101" spans="16:53" x14ac:dyDescent="0.25">
      <c r="P101" s="90">
        <f t="shared" si="11"/>
        <v>0</v>
      </c>
      <c r="Q101" s="90">
        <f>SUM($L101:O101)</f>
        <v>0</v>
      </c>
      <c r="AH101" s="90">
        <f t="shared" si="12"/>
        <v>0</v>
      </c>
      <c r="AI101" s="90">
        <f>SUM($AD101:AG101)</f>
        <v>0</v>
      </c>
      <c r="AZ101" s="90">
        <f t="shared" si="13"/>
        <v>0</v>
      </c>
      <c r="BA101" s="90">
        <f>SUM($AV101:AY101)</f>
        <v>0</v>
      </c>
    </row>
    <row r="102" spans="16:53" x14ac:dyDescent="0.25">
      <c r="P102" s="90">
        <f t="shared" si="11"/>
        <v>0</v>
      </c>
      <c r="Q102" s="90">
        <f>SUM($L102:O102)</f>
        <v>0</v>
      </c>
      <c r="AH102" s="90">
        <f t="shared" si="12"/>
        <v>0</v>
      </c>
      <c r="AI102" s="90">
        <f>SUM($AD102:AG102)</f>
        <v>0</v>
      </c>
      <c r="AZ102" s="90">
        <f t="shared" si="13"/>
        <v>0</v>
      </c>
      <c r="BA102" s="90">
        <f>SUM($AV102:AY102)</f>
        <v>0</v>
      </c>
    </row>
    <row r="103" spans="16:53" x14ac:dyDescent="0.25">
      <c r="P103" s="90">
        <f t="shared" si="11"/>
        <v>0</v>
      </c>
      <c r="Q103" s="90">
        <f>SUM($L103:O103)</f>
        <v>0</v>
      </c>
      <c r="AH103" s="90">
        <f t="shared" si="12"/>
        <v>0</v>
      </c>
      <c r="AI103" s="90">
        <f>SUM($AD103:AG103)</f>
        <v>0</v>
      </c>
      <c r="AZ103" s="90">
        <f t="shared" si="13"/>
        <v>0</v>
      </c>
      <c r="BA103" s="90">
        <f>SUM($AV103:AY103)</f>
        <v>0</v>
      </c>
    </row>
    <row r="104" spans="16:53" x14ac:dyDescent="0.25">
      <c r="P104" s="90">
        <f t="shared" si="11"/>
        <v>0</v>
      </c>
      <c r="Q104" s="90">
        <f>SUM($L104:O104)</f>
        <v>0</v>
      </c>
      <c r="AH104" s="90">
        <f t="shared" si="12"/>
        <v>0</v>
      </c>
      <c r="AI104" s="90">
        <f>SUM($AD104:AG104)</f>
        <v>0</v>
      </c>
      <c r="AZ104" s="90">
        <f t="shared" si="13"/>
        <v>0</v>
      </c>
      <c r="BA104" s="90">
        <f>SUM($AV104:AY104)</f>
        <v>0</v>
      </c>
    </row>
    <row r="105" spans="16:53" x14ac:dyDescent="0.25">
      <c r="P105" s="90">
        <f t="shared" si="11"/>
        <v>0</v>
      </c>
      <c r="Q105" s="90">
        <f>SUM($L105:O105)</f>
        <v>0</v>
      </c>
      <c r="AH105" s="90">
        <f t="shared" si="12"/>
        <v>0</v>
      </c>
      <c r="AI105" s="90">
        <f>SUM($AD105:AG105)</f>
        <v>0</v>
      </c>
      <c r="AZ105" s="90">
        <f t="shared" si="13"/>
        <v>0</v>
      </c>
      <c r="BA105" s="90">
        <f>SUM($AV105:AY105)</f>
        <v>0</v>
      </c>
    </row>
    <row r="106" spans="16:53" x14ac:dyDescent="0.25">
      <c r="P106" s="90">
        <f t="shared" si="11"/>
        <v>0</v>
      </c>
      <c r="Q106" s="90">
        <f>SUM($L106:O106)</f>
        <v>0</v>
      </c>
      <c r="AH106" s="90">
        <f t="shared" si="12"/>
        <v>0</v>
      </c>
      <c r="AI106" s="90">
        <f>SUM($AD106:AG106)</f>
        <v>0</v>
      </c>
      <c r="AZ106" s="90">
        <f t="shared" si="13"/>
        <v>0</v>
      </c>
      <c r="BA106" s="90">
        <f>SUM($AV106:AY106)</f>
        <v>0</v>
      </c>
    </row>
    <row r="107" spans="16:53" x14ac:dyDescent="0.25">
      <c r="P107" s="90">
        <f t="shared" si="11"/>
        <v>0</v>
      </c>
      <c r="Q107" s="90">
        <f>SUM($L107:O107)</f>
        <v>0</v>
      </c>
      <c r="AH107" s="90">
        <f t="shared" si="12"/>
        <v>0</v>
      </c>
      <c r="AI107" s="90">
        <f>SUM($AD107:AG107)</f>
        <v>0</v>
      </c>
      <c r="AZ107" s="90">
        <f t="shared" si="13"/>
        <v>0</v>
      </c>
      <c r="BA107" s="90">
        <f>SUM($AV107:AY107)</f>
        <v>0</v>
      </c>
    </row>
    <row r="108" spans="16:53" x14ac:dyDescent="0.25">
      <c r="P108" s="90">
        <f t="shared" si="11"/>
        <v>0</v>
      </c>
      <c r="Q108" s="90">
        <f>SUM($L108:O108)</f>
        <v>0</v>
      </c>
      <c r="AH108" s="90">
        <f t="shared" si="12"/>
        <v>0</v>
      </c>
      <c r="AI108" s="90">
        <f>SUM($AD108:AG108)</f>
        <v>0</v>
      </c>
      <c r="AZ108" s="90">
        <f t="shared" si="13"/>
        <v>0</v>
      </c>
      <c r="BA108" s="90">
        <f>SUM($AV108:AY108)</f>
        <v>0</v>
      </c>
    </row>
    <row r="109" spans="16:53" x14ac:dyDescent="0.25">
      <c r="P109" s="90">
        <f t="shared" si="11"/>
        <v>0</v>
      </c>
      <c r="Q109" s="90">
        <f>SUM($L109:O109)</f>
        <v>0</v>
      </c>
      <c r="AH109" s="90">
        <f t="shared" si="12"/>
        <v>0</v>
      </c>
      <c r="AI109" s="90">
        <f>SUM($AD109:AG109)</f>
        <v>0</v>
      </c>
      <c r="AZ109" s="90">
        <f t="shared" si="13"/>
        <v>0</v>
      </c>
      <c r="BA109" s="90">
        <f>SUM($AV109:AY109)</f>
        <v>0</v>
      </c>
    </row>
    <row r="110" spans="16:53" x14ac:dyDescent="0.25">
      <c r="P110" s="90">
        <f t="shared" si="11"/>
        <v>0</v>
      </c>
      <c r="Q110" s="90">
        <f>SUM($L110:O110)</f>
        <v>0</v>
      </c>
      <c r="AH110" s="90">
        <f t="shared" si="12"/>
        <v>0</v>
      </c>
      <c r="AI110" s="90">
        <f>SUM($AD110:AG110)</f>
        <v>0</v>
      </c>
      <c r="AZ110" s="90">
        <f t="shared" si="13"/>
        <v>0</v>
      </c>
      <c r="BA110" s="90">
        <f>SUM($AV110:AY110)</f>
        <v>0</v>
      </c>
    </row>
    <row r="111" spans="16:53" x14ac:dyDescent="0.25">
      <c r="P111" s="90">
        <f t="shared" si="11"/>
        <v>0</v>
      </c>
      <c r="Q111" s="90">
        <f>SUM($L111:O111)</f>
        <v>0</v>
      </c>
      <c r="AH111" s="90">
        <f t="shared" si="12"/>
        <v>0</v>
      </c>
      <c r="AI111" s="90">
        <f>SUM($AD111:AG111)</f>
        <v>0</v>
      </c>
      <c r="AZ111" s="90">
        <f t="shared" si="13"/>
        <v>0</v>
      </c>
      <c r="BA111" s="90">
        <f>SUM($AV111:AY111)</f>
        <v>0</v>
      </c>
    </row>
    <row r="112" spans="16:53" x14ac:dyDescent="0.25">
      <c r="P112" s="90">
        <f t="shared" si="11"/>
        <v>0</v>
      </c>
      <c r="Q112" s="90">
        <f>SUM($L112:O112)</f>
        <v>0</v>
      </c>
      <c r="AH112" s="90">
        <f t="shared" si="12"/>
        <v>0</v>
      </c>
      <c r="AI112" s="90">
        <f>SUM($AD112:AG112)</f>
        <v>0</v>
      </c>
      <c r="AZ112" s="90">
        <f t="shared" si="13"/>
        <v>0</v>
      </c>
      <c r="BA112" s="90">
        <f>SUM($AV112:AY112)</f>
        <v>0</v>
      </c>
    </row>
    <row r="113" spans="16:53" x14ac:dyDescent="0.25">
      <c r="P113" s="90">
        <f t="shared" si="11"/>
        <v>0</v>
      </c>
      <c r="Q113" s="90">
        <f>SUM($L113:O113)</f>
        <v>0</v>
      </c>
      <c r="AH113" s="90">
        <f t="shared" si="12"/>
        <v>0</v>
      </c>
      <c r="AI113" s="90">
        <f>SUM($AD113:AG113)</f>
        <v>0</v>
      </c>
      <c r="AZ113" s="90">
        <f t="shared" si="13"/>
        <v>0</v>
      </c>
      <c r="BA113" s="90">
        <f>SUM($AV113:AY113)</f>
        <v>0</v>
      </c>
    </row>
    <row r="114" spans="16:53" x14ac:dyDescent="0.25">
      <c r="P114" s="90">
        <f t="shared" si="11"/>
        <v>0</v>
      </c>
      <c r="Q114" s="90">
        <f>SUM($L114:O114)</f>
        <v>0</v>
      </c>
      <c r="AH114" s="90">
        <f t="shared" si="12"/>
        <v>0</v>
      </c>
      <c r="AI114" s="90">
        <f>SUM($AD114:AG114)</f>
        <v>0</v>
      </c>
      <c r="AZ114" s="90">
        <f t="shared" si="13"/>
        <v>0</v>
      </c>
      <c r="BA114" s="90">
        <f>SUM($AV114:AY114)</f>
        <v>0</v>
      </c>
    </row>
    <row r="115" spans="16:53" x14ac:dyDescent="0.25">
      <c r="P115" s="90">
        <f t="shared" si="11"/>
        <v>0</v>
      </c>
      <c r="Q115" s="90">
        <f>SUM($L115:O115)</f>
        <v>0</v>
      </c>
      <c r="AH115" s="90">
        <f t="shared" si="12"/>
        <v>0</v>
      </c>
      <c r="AI115" s="90">
        <f>SUM($AD115:AG115)</f>
        <v>0</v>
      </c>
      <c r="AZ115" s="90">
        <f t="shared" si="13"/>
        <v>0</v>
      </c>
      <c r="BA115" s="90">
        <f>SUM($AV115:AY115)</f>
        <v>0</v>
      </c>
    </row>
    <row r="116" spans="16:53" x14ac:dyDescent="0.25">
      <c r="P116" s="90">
        <f t="shared" si="11"/>
        <v>0</v>
      </c>
      <c r="Q116" s="90">
        <f>SUM($L116:O116)</f>
        <v>0</v>
      </c>
      <c r="AH116" s="90">
        <f t="shared" si="12"/>
        <v>0</v>
      </c>
      <c r="AI116" s="90">
        <f>SUM($AD116:AG116)</f>
        <v>0</v>
      </c>
      <c r="AZ116" s="90">
        <f t="shared" si="13"/>
        <v>0</v>
      </c>
      <c r="BA116" s="90">
        <f>SUM($AV116:AY116)</f>
        <v>0</v>
      </c>
    </row>
    <row r="117" spans="16:53" x14ac:dyDescent="0.25">
      <c r="P117" s="90">
        <f t="shared" si="11"/>
        <v>0</v>
      </c>
      <c r="Q117" s="90">
        <f>SUM($L117:O117)</f>
        <v>0</v>
      </c>
      <c r="AH117" s="90">
        <f t="shared" si="12"/>
        <v>0</v>
      </c>
      <c r="AI117" s="90">
        <f>SUM($AD117:AG117)</f>
        <v>0</v>
      </c>
      <c r="AZ117" s="90">
        <f t="shared" si="13"/>
        <v>0</v>
      </c>
      <c r="BA117" s="90">
        <f>SUM($AV117:AY117)</f>
        <v>0</v>
      </c>
    </row>
    <row r="118" spans="16:53" x14ac:dyDescent="0.25">
      <c r="P118" s="90">
        <f t="shared" si="11"/>
        <v>0</v>
      </c>
      <c r="Q118" s="90">
        <f>SUM($L118:O118)</f>
        <v>0</v>
      </c>
      <c r="AH118" s="90">
        <f t="shared" si="12"/>
        <v>0</v>
      </c>
      <c r="AI118" s="90">
        <f>SUM($AD118:AG118)</f>
        <v>0</v>
      </c>
      <c r="AZ118" s="90">
        <f t="shared" si="13"/>
        <v>0</v>
      </c>
      <c r="BA118" s="90">
        <f>SUM($AV118:AY118)</f>
        <v>0</v>
      </c>
    </row>
    <row r="119" spans="16:53" x14ac:dyDescent="0.25">
      <c r="P119" s="90">
        <f t="shared" si="11"/>
        <v>0</v>
      </c>
      <c r="Q119" s="90">
        <f>SUM($L119:O119)</f>
        <v>0</v>
      </c>
      <c r="AH119" s="90">
        <f t="shared" si="12"/>
        <v>0</v>
      </c>
      <c r="AI119" s="90">
        <f>SUM($AD119:AG119)</f>
        <v>0</v>
      </c>
      <c r="AZ119" s="90">
        <f t="shared" si="13"/>
        <v>0</v>
      </c>
      <c r="BA119" s="90">
        <f>SUM($AV119:AY119)</f>
        <v>0</v>
      </c>
    </row>
    <row r="120" spans="16:53" x14ac:dyDescent="0.25">
      <c r="P120" s="90">
        <f t="shared" si="11"/>
        <v>0</v>
      </c>
      <c r="Q120" s="90">
        <f>SUM($L120:O120)</f>
        <v>0</v>
      </c>
      <c r="AH120" s="90">
        <f t="shared" si="12"/>
        <v>0</v>
      </c>
      <c r="AI120" s="90">
        <f>SUM($AD120:AG120)</f>
        <v>0</v>
      </c>
      <c r="AZ120" s="90">
        <f t="shared" si="13"/>
        <v>0</v>
      </c>
      <c r="BA120" s="90">
        <f>SUM($AV120:AY120)</f>
        <v>0</v>
      </c>
    </row>
    <row r="121" spans="16:53" x14ac:dyDescent="0.25">
      <c r="P121" s="90">
        <f t="shared" si="11"/>
        <v>0</v>
      </c>
      <c r="Q121" s="90">
        <f>SUM($L121:O121)</f>
        <v>0</v>
      </c>
      <c r="AH121" s="90">
        <f t="shared" si="12"/>
        <v>0</v>
      </c>
      <c r="AI121" s="90">
        <f>SUM($AD121:AG121)</f>
        <v>0</v>
      </c>
      <c r="AZ121" s="90">
        <f t="shared" si="13"/>
        <v>0</v>
      </c>
      <c r="BA121" s="90">
        <f>SUM($AV121:AY121)</f>
        <v>0</v>
      </c>
    </row>
    <row r="122" spans="16:53" x14ac:dyDescent="0.25">
      <c r="P122" s="90">
        <f t="shared" si="11"/>
        <v>0</v>
      </c>
      <c r="Q122" s="90">
        <f>SUM($L122:O122)</f>
        <v>0</v>
      </c>
      <c r="AH122" s="90">
        <f t="shared" si="12"/>
        <v>0</v>
      </c>
      <c r="AI122" s="90">
        <f>SUM($AD122:AG122)</f>
        <v>0</v>
      </c>
      <c r="AZ122" s="90">
        <f t="shared" si="13"/>
        <v>0</v>
      </c>
      <c r="BA122" s="90">
        <f>SUM($AV122:AY122)</f>
        <v>0</v>
      </c>
    </row>
    <row r="123" spans="16:53" x14ac:dyDescent="0.25">
      <c r="P123" s="90">
        <f t="shared" si="11"/>
        <v>0</v>
      </c>
      <c r="Q123" s="90">
        <f>SUM($L123:O123)</f>
        <v>0</v>
      </c>
      <c r="AH123" s="90">
        <f t="shared" si="12"/>
        <v>0</v>
      </c>
      <c r="AI123" s="90">
        <f>SUM($AD123:AG123)</f>
        <v>0</v>
      </c>
      <c r="AZ123" s="90">
        <f t="shared" si="13"/>
        <v>0</v>
      </c>
      <c r="BA123" s="90">
        <f>SUM($AV123:AY123)</f>
        <v>0</v>
      </c>
    </row>
    <row r="124" spans="16:53" x14ac:dyDescent="0.25">
      <c r="P124" s="90">
        <f t="shared" si="11"/>
        <v>0</v>
      </c>
      <c r="Q124" s="90">
        <f>SUM($L124:O124)</f>
        <v>0</v>
      </c>
      <c r="AH124" s="90">
        <f t="shared" si="12"/>
        <v>0</v>
      </c>
      <c r="AI124" s="90">
        <f>SUM($AD124:AG124)</f>
        <v>0</v>
      </c>
      <c r="AZ124" s="90">
        <f t="shared" si="13"/>
        <v>0</v>
      </c>
      <c r="BA124" s="90">
        <f>SUM($AV124:AY124)</f>
        <v>0</v>
      </c>
    </row>
    <row r="125" spans="16:53" x14ac:dyDescent="0.25">
      <c r="P125" s="90">
        <f t="shared" si="11"/>
        <v>0</v>
      </c>
      <c r="Q125" s="90">
        <f>SUM($L125:O125)</f>
        <v>0</v>
      </c>
      <c r="AH125" s="90">
        <f t="shared" si="12"/>
        <v>0</v>
      </c>
      <c r="AI125" s="90">
        <f>SUM($AD125:AG125)</f>
        <v>0</v>
      </c>
      <c r="AZ125" s="90">
        <f t="shared" si="13"/>
        <v>0</v>
      </c>
      <c r="BA125" s="90">
        <f>SUM($AV125:AY125)</f>
        <v>0</v>
      </c>
    </row>
    <row r="126" spans="16:53" x14ac:dyDescent="0.25">
      <c r="P126" s="90">
        <f t="shared" si="11"/>
        <v>0</v>
      </c>
      <c r="Q126" s="90">
        <f>SUM($L126:O126)</f>
        <v>0</v>
      </c>
      <c r="AH126" s="90">
        <f t="shared" si="12"/>
        <v>0</v>
      </c>
      <c r="AI126" s="90">
        <f>SUM($AD126:AG126)</f>
        <v>0</v>
      </c>
      <c r="AZ126" s="90">
        <f t="shared" si="13"/>
        <v>0</v>
      </c>
      <c r="BA126" s="90">
        <f>SUM($AV126:AY126)</f>
        <v>0</v>
      </c>
    </row>
    <row r="127" spans="16:53" x14ac:dyDescent="0.25">
      <c r="P127" s="90">
        <f t="shared" si="11"/>
        <v>0</v>
      </c>
      <c r="Q127" s="90">
        <f>SUM($L127:O127)</f>
        <v>0</v>
      </c>
      <c r="AH127" s="90">
        <f t="shared" si="12"/>
        <v>0</v>
      </c>
      <c r="AI127" s="90">
        <f>SUM($AD127:AG127)</f>
        <v>0</v>
      </c>
      <c r="AZ127" s="90">
        <f t="shared" si="13"/>
        <v>0</v>
      </c>
      <c r="BA127" s="90">
        <f>SUM($AV127:AY127)</f>
        <v>0</v>
      </c>
    </row>
    <row r="128" spans="16:53" x14ac:dyDescent="0.25">
      <c r="P128" s="90">
        <f t="shared" si="11"/>
        <v>0</v>
      </c>
      <c r="Q128" s="90">
        <f>SUM($L128:O128)</f>
        <v>0</v>
      </c>
      <c r="AH128" s="90">
        <f t="shared" si="12"/>
        <v>0</v>
      </c>
      <c r="AI128" s="90">
        <f>SUM($AD128:AG128)</f>
        <v>0</v>
      </c>
      <c r="AZ128" s="90">
        <f t="shared" si="13"/>
        <v>0</v>
      </c>
      <c r="BA128" s="90">
        <f>SUM($AV128:AY128)</f>
        <v>0</v>
      </c>
    </row>
    <row r="129" spans="16:53" x14ac:dyDescent="0.25">
      <c r="P129" s="90">
        <f t="shared" si="11"/>
        <v>0</v>
      </c>
      <c r="Q129" s="90">
        <f>SUM($L129:O129)</f>
        <v>0</v>
      </c>
      <c r="AH129" s="90">
        <f t="shared" si="12"/>
        <v>0</v>
      </c>
      <c r="AI129" s="90">
        <f>SUM($AD129:AG129)</f>
        <v>0</v>
      </c>
      <c r="AZ129" s="90">
        <f t="shared" si="13"/>
        <v>0</v>
      </c>
      <c r="BA129" s="90">
        <f>SUM($AV129:AY129)</f>
        <v>0</v>
      </c>
    </row>
    <row r="130" spans="16:53" x14ac:dyDescent="0.25">
      <c r="P130" s="90">
        <f t="shared" si="11"/>
        <v>0</v>
      </c>
      <c r="Q130" s="90">
        <f>SUM($L130:O130)</f>
        <v>0</v>
      </c>
      <c r="AH130" s="90">
        <f t="shared" si="12"/>
        <v>0</v>
      </c>
      <c r="AI130" s="90">
        <f>SUM($AD130:AG130)</f>
        <v>0</v>
      </c>
      <c r="AZ130" s="90">
        <f t="shared" si="13"/>
        <v>0</v>
      </c>
      <c r="BA130" s="90">
        <f>SUM($AV130:AY130)</f>
        <v>0</v>
      </c>
    </row>
    <row r="131" spans="16:53" x14ac:dyDescent="0.25">
      <c r="P131" s="90">
        <f t="shared" si="11"/>
        <v>0</v>
      </c>
      <c r="Q131" s="90">
        <f>SUM($L131:O131)</f>
        <v>0</v>
      </c>
      <c r="AH131" s="90">
        <f t="shared" si="12"/>
        <v>0</v>
      </c>
      <c r="AI131" s="90">
        <f>SUM($AD131:AG131)</f>
        <v>0</v>
      </c>
      <c r="AZ131" s="90">
        <f t="shared" si="13"/>
        <v>0</v>
      </c>
      <c r="BA131" s="90">
        <f>SUM($AV131:AY131)</f>
        <v>0</v>
      </c>
    </row>
    <row r="132" spans="16:53" x14ac:dyDescent="0.25">
      <c r="P132" s="90">
        <f t="shared" si="11"/>
        <v>0</v>
      </c>
      <c r="Q132" s="90">
        <f>SUM($L132:O132)</f>
        <v>0</v>
      </c>
      <c r="AH132" s="90">
        <f t="shared" si="12"/>
        <v>0</v>
      </c>
      <c r="AI132" s="90">
        <f>SUM($AD132:AG132)</f>
        <v>0</v>
      </c>
      <c r="AZ132" s="90">
        <f t="shared" si="13"/>
        <v>0</v>
      </c>
      <c r="BA132" s="90">
        <f>SUM($AV132:AY132)</f>
        <v>0</v>
      </c>
    </row>
    <row r="133" spans="16:53" x14ac:dyDescent="0.25">
      <c r="P133" s="90">
        <f t="shared" ref="P133:P196" si="14">SUM(B133:K133)</f>
        <v>0</v>
      </c>
      <c r="Q133" s="90">
        <f>SUM($L133:O133)</f>
        <v>0</v>
      </c>
      <c r="AH133" s="90">
        <f t="shared" ref="AH133:AH196" si="15">SUM(T133:AC133)</f>
        <v>0</v>
      </c>
      <c r="AI133" s="90">
        <f>SUM($AD133:AG133)</f>
        <v>0</v>
      </c>
      <c r="AZ133" s="90">
        <f t="shared" ref="AZ133:AZ196" si="16">SUM(AL133:AU133)</f>
        <v>0</v>
      </c>
      <c r="BA133" s="90">
        <f>SUM($AV133:AY133)</f>
        <v>0</v>
      </c>
    </row>
    <row r="134" spans="16:53" x14ac:dyDescent="0.25">
      <c r="P134" s="90">
        <f t="shared" si="14"/>
        <v>0</v>
      </c>
      <c r="Q134" s="90">
        <f>SUM($L134:O134)</f>
        <v>0</v>
      </c>
      <c r="AH134" s="90">
        <f t="shared" si="15"/>
        <v>0</v>
      </c>
      <c r="AI134" s="90">
        <f>SUM($AD134:AG134)</f>
        <v>0</v>
      </c>
      <c r="AZ134" s="90">
        <f t="shared" si="16"/>
        <v>0</v>
      </c>
      <c r="BA134" s="90">
        <f>SUM($AV134:AY134)</f>
        <v>0</v>
      </c>
    </row>
    <row r="135" spans="16:53" x14ac:dyDescent="0.25">
      <c r="P135" s="90">
        <f t="shared" si="14"/>
        <v>0</v>
      </c>
      <c r="Q135" s="90">
        <f>SUM($L135:O135)</f>
        <v>0</v>
      </c>
      <c r="AH135" s="90">
        <f t="shared" si="15"/>
        <v>0</v>
      </c>
      <c r="AI135" s="90">
        <f>SUM($AD135:AG135)</f>
        <v>0</v>
      </c>
      <c r="AZ135" s="90">
        <f t="shared" si="16"/>
        <v>0</v>
      </c>
      <c r="BA135" s="90">
        <f>SUM($AV135:AY135)</f>
        <v>0</v>
      </c>
    </row>
    <row r="136" spans="16:53" x14ac:dyDescent="0.25">
      <c r="P136" s="90">
        <f t="shared" si="14"/>
        <v>0</v>
      </c>
      <c r="Q136" s="90">
        <f>SUM($L136:O136)</f>
        <v>0</v>
      </c>
      <c r="AH136" s="90">
        <f t="shared" si="15"/>
        <v>0</v>
      </c>
      <c r="AI136" s="90">
        <f>SUM($AD136:AG136)</f>
        <v>0</v>
      </c>
      <c r="AZ136" s="90">
        <f t="shared" si="16"/>
        <v>0</v>
      </c>
      <c r="BA136" s="90">
        <f>SUM($AV136:AY136)</f>
        <v>0</v>
      </c>
    </row>
    <row r="137" spans="16:53" x14ac:dyDescent="0.25">
      <c r="P137" s="90">
        <f t="shared" si="14"/>
        <v>0</v>
      </c>
      <c r="Q137" s="90">
        <f>SUM($L137:O137)</f>
        <v>0</v>
      </c>
      <c r="AH137" s="90">
        <f t="shared" si="15"/>
        <v>0</v>
      </c>
      <c r="AI137" s="90">
        <f>SUM($AD137:AG137)</f>
        <v>0</v>
      </c>
      <c r="AZ137" s="90">
        <f t="shared" si="16"/>
        <v>0</v>
      </c>
      <c r="BA137" s="90">
        <f>SUM($AV137:AY137)</f>
        <v>0</v>
      </c>
    </row>
    <row r="138" spans="16:53" x14ac:dyDescent="0.25">
      <c r="P138" s="90">
        <f t="shared" si="14"/>
        <v>0</v>
      </c>
      <c r="Q138" s="90">
        <f>SUM($L138:O138)</f>
        <v>0</v>
      </c>
      <c r="AH138" s="90">
        <f t="shared" si="15"/>
        <v>0</v>
      </c>
      <c r="AI138" s="90">
        <f>SUM($AD138:AG138)</f>
        <v>0</v>
      </c>
      <c r="AZ138" s="90">
        <f t="shared" si="16"/>
        <v>0</v>
      </c>
      <c r="BA138" s="90">
        <f>SUM($AV138:AY138)</f>
        <v>0</v>
      </c>
    </row>
    <row r="139" spans="16:53" x14ac:dyDescent="0.25">
      <c r="P139" s="90">
        <f t="shared" si="14"/>
        <v>0</v>
      </c>
      <c r="Q139" s="90">
        <f>SUM($L139:O139)</f>
        <v>0</v>
      </c>
      <c r="AH139" s="90">
        <f t="shared" si="15"/>
        <v>0</v>
      </c>
      <c r="AI139" s="90">
        <f>SUM($AD139:AG139)</f>
        <v>0</v>
      </c>
      <c r="AZ139" s="90">
        <f t="shared" si="16"/>
        <v>0</v>
      </c>
      <c r="BA139" s="90">
        <f>SUM($AV139:AY139)</f>
        <v>0</v>
      </c>
    </row>
    <row r="140" spans="16:53" x14ac:dyDescent="0.25">
      <c r="P140" s="90">
        <f t="shared" si="14"/>
        <v>0</v>
      </c>
      <c r="Q140" s="90">
        <f>SUM($L140:O140)</f>
        <v>0</v>
      </c>
      <c r="AH140" s="90">
        <f t="shared" si="15"/>
        <v>0</v>
      </c>
      <c r="AI140" s="90">
        <f>SUM($AD140:AG140)</f>
        <v>0</v>
      </c>
      <c r="AZ140" s="90">
        <f t="shared" si="16"/>
        <v>0</v>
      </c>
      <c r="BA140" s="90">
        <f>SUM($AV140:AY140)</f>
        <v>0</v>
      </c>
    </row>
    <row r="141" spans="16:53" x14ac:dyDescent="0.25">
      <c r="P141" s="90">
        <f t="shared" si="14"/>
        <v>0</v>
      </c>
      <c r="Q141" s="90">
        <f>SUM($L141:O141)</f>
        <v>0</v>
      </c>
      <c r="AH141" s="90">
        <f t="shared" si="15"/>
        <v>0</v>
      </c>
      <c r="AI141" s="90">
        <f>SUM($AD141:AG141)</f>
        <v>0</v>
      </c>
      <c r="AZ141" s="90">
        <f t="shared" si="16"/>
        <v>0</v>
      </c>
      <c r="BA141" s="90">
        <f>SUM($AV141:AY141)</f>
        <v>0</v>
      </c>
    </row>
    <row r="142" spans="16:53" x14ac:dyDescent="0.25">
      <c r="P142" s="90">
        <f t="shared" si="14"/>
        <v>0</v>
      </c>
      <c r="Q142" s="90">
        <f>SUM($L142:O142)</f>
        <v>0</v>
      </c>
      <c r="AH142" s="90">
        <f t="shared" si="15"/>
        <v>0</v>
      </c>
      <c r="AI142" s="90">
        <f>SUM($AD142:AG142)</f>
        <v>0</v>
      </c>
      <c r="AZ142" s="90">
        <f t="shared" si="16"/>
        <v>0</v>
      </c>
      <c r="BA142" s="90">
        <f>SUM($AV142:AY142)</f>
        <v>0</v>
      </c>
    </row>
    <row r="143" spans="16:53" x14ac:dyDescent="0.25">
      <c r="P143" s="90">
        <f t="shared" si="14"/>
        <v>0</v>
      </c>
      <c r="Q143" s="90">
        <f>SUM($L143:O143)</f>
        <v>0</v>
      </c>
      <c r="AH143" s="90">
        <f t="shared" si="15"/>
        <v>0</v>
      </c>
      <c r="AI143" s="90">
        <f>SUM($AD143:AG143)</f>
        <v>0</v>
      </c>
      <c r="AZ143" s="90">
        <f t="shared" si="16"/>
        <v>0</v>
      </c>
      <c r="BA143" s="90">
        <f>SUM($AV143:AY143)</f>
        <v>0</v>
      </c>
    </row>
    <row r="144" spans="16:53" x14ac:dyDescent="0.25">
      <c r="P144" s="90">
        <f t="shared" si="14"/>
        <v>0</v>
      </c>
      <c r="Q144" s="90">
        <f>SUM($L144:O144)</f>
        <v>0</v>
      </c>
      <c r="AH144" s="90">
        <f t="shared" si="15"/>
        <v>0</v>
      </c>
      <c r="AI144" s="90">
        <f>SUM($AD144:AG144)</f>
        <v>0</v>
      </c>
      <c r="AZ144" s="90">
        <f t="shared" si="16"/>
        <v>0</v>
      </c>
      <c r="BA144" s="90">
        <f>SUM($AV144:AY144)</f>
        <v>0</v>
      </c>
    </row>
    <row r="145" spans="16:53" x14ac:dyDescent="0.25">
      <c r="P145" s="90">
        <f t="shared" si="14"/>
        <v>0</v>
      </c>
      <c r="Q145" s="90">
        <f>SUM($L145:O145)</f>
        <v>0</v>
      </c>
      <c r="AH145" s="90">
        <f t="shared" si="15"/>
        <v>0</v>
      </c>
      <c r="AI145" s="90">
        <f>SUM($AD145:AG145)</f>
        <v>0</v>
      </c>
      <c r="AZ145" s="90">
        <f t="shared" si="16"/>
        <v>0</v>
      </c>
      <c r="BA145" s="90">
        <f>SUM($AV145:AY145)</f>
        <v>0</v>
      </c>
    </row>
    <row r="146" spans="16:53" x14ac:dyDescent="0.25">
      <c r="P146" s="90">
        <f t="shared" si="14"/>
        <v>0</v>
      </c>
      <c r="Q146" s="90">
        <f>SUM($L146:O146)</f>
        <v>0</v>
      </c>
      <c r="AH146" s="90">
        <f t="shared" si="15"/>
        <v>0</v>
      </c>
      <c r="AI146" s="90">
        <f>SUM($AD146:AG146)</f>
        <v>0</v>
      </c>
      <c r="AZ146" s="90">
        <f t="shared" si="16"/>
        <v>0</v>
      </c>
      <c r="BA146" s="90">
        <f>SUM($AV146:AY146)</f>
        <v>0</v>
      </c>
    </row>
    <row r="147" spans="16:53" x14ac:dyDescent="0.25">
      <c r="P147" s="90">
        <f t="shared" si="14"/>
        <v>0</v>
      </c>
      <c r="Q147" s="90">
        <f>SUM($L147:O147)</f>
        <v>0</v>
      </c>
      <c r="AH147" s="90">
        <f t="shared" si="15"/>
        <v>0</v>
      </c>
      <c r="AI147" s="90">
        <f>SUM($AD147:AG147)</f>
        <v>0</v>
      </c>
      <c r="AZ147" s="90">
        <f t="shared" si="16"/>
        <v>0</v>
      </c>
      <c r="BA147" s="90">
        <f>SUM($AV147:AY147)</f>
        <v>0</v>
      </c>
    </row>
    <row r="148" spans="16:53" x14ac:dyDescent="0.25">
      <c r="P148" s="90">
        <f t="shared" si="14"/>
        <v>0</v>
      </c>
      <c r="Q148" s="90">
        <f>SUM($L148:O148)</f>
        <v>0</v>
      </c>
      <c r="AH148" s="90">
        <f t="shared" si="15"/>
        <v>0</v>
      </c>
      <c r="AI148" s="90">
        <f>SUM($AD148:AG148)</f>
        <v>0</v>
      </c>
      <c r="AZ148" s="90">
        <f t="shared" si="16"/>
        <v>0</v>
      </c>
      <c r="BA148" s="90">
        <f>SUM($AV148:AY148)</f>
        <v>0</v>
      </c>
    </row>
    <row r="149" spans="16:53" x14ac:dyDescent="0.25">
      <c r="P149" s="90">
        <f t="shared" si="14"/>
        <v>0</v>
      </c>
      <c r="Q149" s="90">
        <f>SUM($L149:O149)</f>
        <v>0</v>
      </c>
      <c r="AH149" s="90">
        <f t="shared" si="15"/>
        <v>0</v>
      </c>
      <c r="AI149" s="90">
        <f>SUM($AD149:AG149)</f>
        <v>0</v>
      </c>
      <c r="AZ149" s="90">
        <f t="shared" si="16"/>
        <v>0</v>
      </c>
      <c r="BA149" s="90">
        <f>SUM($AV149:AY149)</f>
        <v>0</v>
      </c>
    </row>
    <row r="150" spans="16:53" x14ac:dyDescent="0.25">
      <c r="P150" s="90">
        <f t="shared" si="14"/>
        <v>0</v>
      </c>
      <c r="Q150" s="90">
        <f>SUM($L150:O150)</f>
        <v>0</v>
      </c>
      <c r="AH150" s="90">
        <f t="shared" si="15"/>
        <v>0</v>
      </c>
      <c r="AI150" s="90">
        <f>SUM($AD150:AG150)</f>
        <v>0</v>
      </c>
      <c r="AZ150" s="90">
        <f t="shared" si="16"/>
        <v>0</v>
      </c>
      <c r="BA150" s="90">
        <f>SUM($AV150:AY150)</f>
        <v>0</v>
      </c>
    </row>
    <row r="151" spans="16:53" x14ac:dyDescent="0.25">
      <c r="P151" s="90">
        <f t="shared" si="14"/>
        <v>0</v>
      </c>
      <c r="Q151" s="90">
        <f>SUM($L151:O151)</f>
        <v>0</v>
      </c>
      <c r="AH151" s="90">
        <f t="shared" si="15"/>
        <v>0</v>
      </c>
      <c r="AI151" s="90">
        <f>SUM($AD151:AG151)</f>
        <v>0</v>
      </c>
      <c r="AZ151" s="90">
        <f t="shared" si="16"/>
        <v>0</v>
      </c>
      <c r="BA151" s="90">
        <f>SUM($AV151:AY151)</f>
        <v>0</v>
      </c>
    </row>
    <row r="152" spans="16:53" x14ac:dyDescent="0.25">
      <c r="P152" s="90">
        <f t="shared" si="14"/>
        <v>0</v>
      </c>
      <c r="Q152" s="90">
        <f>SUM($L152:O152)</f>
        <v>0</v>
      </c>
      <c r="AH152" s="90">
        <f t="shared" si="15"/>
        <v>0</v>
      </c>
      <c r="AI152" s="90">
        <f>SUM($AD152:AG152)</f>
        <v>0</v>
      </c>
      <c r="AZ152" s="90">
        <f t="shared" si="16"/>
        <v>0</v>
      </c>
      <c r="BA152" s="90">
        <f>SUM($AV152:AY152)</f>
        <v>0</v>
      </c>
    </row>
    <row r="153" spans="16:53" x14ac:dyDescent="0.25">
      <c r="P153" s="90">
        <f t="shared" si="14"/>
        <v>0</v>
      </c>
      <c r="Q153" s="90">
        <f>SUM($L153:O153)</f>
        <v>0</v>
      </c>
      <c r="AH153" s="90">
        <f t="shared" si="15"/>
        <v>0</v>
      </c>
      <c r="AI153" s="90">
        <f>SUM($AD153:AG153)</f>
        <v>0</v>
      </c>
      <c r="AZ153" s="90">
        <f t="shared" si="16"/>
        <v>0</v>
      </c>
      <c r="BA153" s="90">
        <f>SUM($AV153:AY153)</f>
        <v>0</v>
      </c>
    </row>
    <row r="154" spans="16:53" x14ac:dyDescent="0.25">
      <c r="P154" s="90">
        <f t="shared" si="14"/>
        <v>0</v>
      </c>
      <c r="Q154" s="90">
        <f>SUM($L154:O154)</f>
        <v>0</v>
      </c>
      <c r="AH154" s="90">
        <f t="shared" si="15"/>
        <v>0</v>
      </c>
      <c r="AI154" s="90">
        <f>SUM($AD154:AG154)</f>
        <v>0</v>
      </c>
      <c r="AZ154" s="90">
        <f t="shared" si="16"/>
        <v>0</v>
      </c>
      <c r="BA154" s="90">
        <f>SUM($AV154:AY154)</f>
        <v>0</v>
      </c>
    </row>
    <row r="155" spans="16:53" x14ac:dyDescent="0.25">
      <c r="P155" s="90">
        <f t="shared" si="14"/>
        <v>0</v>
      </c>
      <c r="Q155" s="90">
        <f>SUM($L155:O155)</f>
        <v>0</v>
      </c>
      <c r="AH155" s="90">
        <f t="shared" si="15"/>
        <v>0</v>
      </c>
      <c r="AI155" s="90">
        <f>SUM($AD155:AG155)</f>
        <v>0</v>
      </c>
      <c r="AZ155" s="90">
        <f t="shared" si="16"/>
        <v>0</v>
      </c>
      <c r="BA155" s="90">
        <f>SUM($AV155:AY155)</f>
        <v>0</v>
      </c>
    </row>
    <row r="156" spans="16:53" x14ac:dyDescent="0.25">
      <c r="P156" s="90">
        <f t="shared" si="14"/>
        <v>0</v>
      </c>
      <c r="Q156" s="90">
        <f>SUM($L156:O156)</f>
        <v>0</v>
      </c>
      <c r="AH156" s="90">
        <f t="shared" si="15"/>
        <v>0</v>
      </c>
      <c r="AI156" s="90">
        <f>SUM($AD156:AG156)</f>
        <v>0</v>
      </c>
      <c r="AZ156" s="90">
        <f t="shared" si="16"/>
        <v>0</v>
      </c>
      <c r="BA156" s="90">
        <f>SUM($AV156:AY156)</f>
        <v>0</v>
      </c>
    </row>
    <row r="157" spans="16:53" x14ac:dyDescent="0.25">
      <c r="P157" s="90">
        <f t="shared" si="14"/>
        <v>0</v>
      </c>
      <c r="Q157" s="90">
        <f>SUM($L157:O157)</f>
        <v>0</v>
      </c>
      <c r="AH157" s="90">
        <f t="shared" si="15"/>
        <v>0</v>
      </c>
      <c r="AI157" s="90">
        <f>SUM($AD157:AG157)</f>
        <v>0</v>
      </c>
      <c r="AZ157" s="90">
        <f t="shared" si="16"/>
        <v>0</v>
      </c>
      <c r="BA157" s="90">
        <f>SUM($AV157:AY157)</f>
        <v>0</v>
      </c>
    </row>
    <row r="158" spans="16:53" x14ac:dyDescent="0.25">
      <c r="P158" s="90">
        <f t="shared" si="14"/>
        <v>0</v>
      </c>
      <c r="Q158" s="90">
        <f>SUM($L158:O158)</f>
        <v>0</v>
      </c>
      <c r="AH158" s="90">
        <f t="shared" si="15"/>
        <v>0</v>
      </c>
      <c r="AI158" s="90">
        <f>SUM($AD158:AG158)</f>
        <v>0</v>
      </c>
      <c r="AZ158" s="90">
        <f t="shared" si="16"/>
        <v>0</v>
      </c>
      <c r="BA158" s="90">
        <f>SUM($AV158:AY158)</f>
        <v>0</v>
      </c>
    </row>
    <row r="159" spans="16:53" x14ac:dyDescent="0.25">
      <c r="P159" s="90">
        <f t="shared" si="14"/>
        <v>0</v>
      </c>
      <c r="Q159" s="90">
        <f>SUM($L159:O159)</f>
        <v>0</v>
      </c>
      <c r="AH159" s="90">
        <f t="shared" si="15"/>
        <v>0</v>
      </c>
      <c r="AI159" s="90">
        <f>SUM($AD159:AG159)</f>
        <v>0</v>
      </c>
      <c r="AZ159" s="90">
        <f t="shared" si="16"/>
        <v>0</v>
      </c>
      <c r="BA159" s="90">
        <f>SUM($AV159:AY159)</f>
        <v>0</v>
      </c>
    </row>
    <row r="160" spans="16:53" x14ac:dyDescent="0.25">
      <c r="P160" s="90">
        <f t="shared" si="14"/>
        <v>0</v>
      </c>
      <c r="Q160" s="90">
        <f>SUM($L160:O160)</f>
        <v>0</v>
      </c>
      <c r="AH160" s="90">
        <f t="shared" si="15"/>
        <v>0</v>
      </c>
      <c r="AI160" s="90">
        <f>SUM($AD160:AG160)</f>
        <v>0</v>
      </c>
      <c r="AZ160" s="90">
        <f t="shared" si="16"/>
        <v>0</v>
      </c>
      <c r="BA160" s="90">
        <f>SUM($AV160:AY160)</f>
        <v>0</v>
      </c>
    </row>
    <row r="161" spans="16:53" x14ac:dyDescent="0.25">
      <c r="P161" s="90">
        <f t="shared" si="14"/>
        <v>0</v>
      </c>
      <c r="Q161" s="90">
        <f>SUM($L161:O161)</f>
        <v>0</v>
      </c>
      <c r="AH161" s="90">
        <f t="shared" si="15"/>
        <v>0</v>
      </c>
      <c r="AI161" s="90">
        <f>SUM($AD161:AG161)</f>
        <v>0</v>
      </c>
      <c r="AZ161" s="90">
        <f t="shared" si="16"/>
        <v>0</v>
      </c>
      <c r="BA161" s="90">
        <f>SUM($AV161:AY161)</f>
        <v>0</v>
      </c>
    </row>
    <row r="162" spans="16:53" x14ac:dyDescent="0.25">
      <c r="P162" s="90">
        <f t="shared" si="14"/>
        <v>0</v>
      </c>
      <c r="Q162" s="90">
        <f>SUM($L162:O162)</f>
        <v>0</v>
      </c>
      <c r="AH162" s="90">
        <f t="shared" si="15"/>
        <v>0</v>
      </c>
      <c r="AI162" s="90">
        <f>SUM($AD162:AG162)</f>
        <v>0</v>
      </c>
      <c r="AZ162" s="90">
        <f t="shared" si="16"/>
        <v>0</v>
      </c>
      <c r="BA162" s="90">
        <f>SUM($AV162:AY162)</f>
        <v>0</v>
      </c>
    </row>
    <row r="163" spans="16:53" x14ac:dyDescent="0.25">
      <c r="P163" s="90">
        <f t="shared" si="14"/>
        <v>0</v>
      </c>
      <c r="Q163" s="90">
        <f>SUM($L163:O163)</f>
        <v>0</v>
      </c>
      <c r="AH163" s="90">
        <f t="shared" si="15"/>
        <v>0</v>
      </c>
      <c r="AI163" s="90">
        <f>SUM($AD163:AG163)</f>
        <v>0</v>
      </c>
      <c r="AZ163" s="90">
        <f t="shared" si="16"/>
        <v>0</v>
      </c>
      <c r="BA163" s="90">
        <f>SUM($AV163:AY163)</f>
        <v>0</v>
      </c>
    </row>
    <row r="164" spans="16:53" x14ac:dyDescent="0.25">
      <c r="P164" s="90">
        <f t="shared" si="14"/>
        <v>0</v>
      </c>
      <c r="Q164" s="90">
        <f>SUM($L164:O164)</f>
        <v>0</v>
      </c>
      <c r="AH164" s="90">
        <f t="shared" si="15"/>
        <v>0</v>
      </c>
      <c r="AI164" s="90">
        <f>SUM($AD164:AG164)</f>
        <v>0</v>
      </c>
      <c r="AZ164" s="90">
        <f t="shared" si="16"/>
        <v>0</v>
      </c>
      <c r="BA164" s="90">
        <f>SUM($AV164:AY164)</f>
        <v>0</v>
      </c>
    </row>
    <row r="165" spans="16:53" x14ac:dyDescent="0.25">
      <c r="P165" s="90">
        <f t="shared" si="14"/>
        <v>0</v>
      </c>
      <c r="Q165" s="90">
        <f>SUM($L165:O165)</f>
        <v>0</v>
      </c>
      <c r="AH165" s="90">
        <f t="shared" si="15"/>
        <v>0</v>
      </c>
      <c r="AI165" s="90">
        <f>SUM($AD165:AG165)</f>
        <v>0</v>
      </c>
      <c r="AZ165" s="90">
        <f t="shared" si="16"/>
        <v>0</v>
      </c>
      <c r="BA165" s="90">
        <f>SUM($AV165:AY165)</f>
        <v>0</v>
      </c>
    </row>
    <row r="166" spans="16:53" x14ac:dyDescent="0.25">
      <c r="P166" s="90">
        <f t="shared" si="14"/>
        <v>0</v>
      </c>
      <c r="Q166" s="90">
        <f>SUM($L166:O166)</f>
        <v>0</v>
      </c>
      <c r="AH166" s="90">
        <f t="shared" si="15"/>
        <v>0</v>
      </c>
      <c r="AI166" s="90">
        <f>SUM($AD166:AG166)</f>
        <v>0</v>
      </c>
      <c r="AZ166" s="90">
        <f t="shared" si="16"/>
        <v>0</v>
      </c>
      <c r="BA166" s="90">
        <f>SUM($AV166:AY166)</f>
        <v>0</v>
      </c>
    </row>
    <row r="167" spans="16:53" x14ac:dyDescent="0.25">
      <c r="P167" s="90">
        <f t="shared" si="14"/>
        <v>0</v>
      </c>
      <c r="Q167" s="90">
        <f>SUM($L167:O167)</f>
        <v>0</v>
      </c>
      <c r="AH167" s="90">
        <f t="shared" si="15"/>
        <v>0</v>
      </c>
      <c r="AI167" s="90">
        <f>SUM($AD167:AG167)</f>
        <v>0</v>
      </c>
      <c r="AZ167" s="90">
        <f t="shared" si="16"/>
        <v>0</v>
      </c>
      <c r="BA167" s="90">
        <f>SUM($AV167:AY167)</f>
        <v>0</v>
      </c>
    </row>
    <row r="168" spans="16:53" x14ac:dyDescent="0.25">
      <c r="P168" s="90">
        <f t="shared" si="14"/>
        <v>0</v>
      </c>
      <c r="Q168" s="90">
        <f>SUM($L168:O168)</f>
        <v>0</v>
      </c>
      <c r="AH168" s="90">
        <f t="shared" si="15"/>
        <v>0</v>
      </c>
      <c r="AI168" s="90">
        <f>SUM($AD168:AG168)</f>
        <v>0</v>
      </c>
      <c r="AZ168" s="90">
        <f t="shared" si="16"/>
        <v>0</v>
      </c>
      <c r="BA168" s="90">
        <f>SUM($AV168:AY168)</f>
        <v>0</v>
      </c>
    </row>
    <row r="169" spans="16:53" x14ac:dyDescent="0.25">
      <c r="P169" s="90">
        <f t="shared" si="14"/>
        <v>0</v>
      </c>
      <c r="Q169" s="90">
        <f>SUM($L169:O169)</f>
        <v>0</v>
      </c>
      <c r="AH169" s="90">
        <f t="shared" si="15"/>
        <v>0</v>
      </c>
      <c r="AI169" s="90">
        <f>SUM($AD169:AG169)</f>
        <v>0</v>
      </c>
      <c r="AZ169" s="90">
        <f t="shared" si="16"/>
        <v>0</v>
      </c>
      <c r="BA169" s="90">
        <f>SUM($AV169:AY169)</f>
        <v>0</v>
      </c>
    </row>
    <row r="170" spans="16:53" x14ac:dyDescent="0.25">
      <c r="P170" s="90">
        <f t="shared" si="14"/>
        <v>0</v>
      </c>
      <c r="Q170" s="90">
        <f>SUM($L170:O170)</f>
        <v>0</v>
      </c>
      <c r="AH170" s="90">
        <f t="shared" si="15"/>
        <v>0</v>
      </c>
      <c r="AI170" s="90">
        <f>SUM($AD170:AG170)</f>
        <v>0</v>
      </c>
      <c r="AZ170" s="90">
        <f t="shared" si="16"/>
        <v>0</v>
      </c>
      <c r="BA170" s="90">
        <f>SUM($AV170:AY170)</f>
        <v>0</v>
      </c>
    </row>
    <row r="171" spans="16:53" x14ac:dyDescent="0.25">
      <c r="P171" s="90">
        <f t="shared" si="14"/>
        <v>0</v>
      </c>
      <c r="Q171" s="90">
        <f>SUM($L171:O171)</f>
        <v>0</v>
      </c>
      <c r="AH171" s="90">
        <f t="shared" si="15"/>
        <v>0</v>
      </c>
      <c r="AI171" s="90">
        <f>SUM($AD171:AG171)</f>
        <v>0</v>
      </c>
      <c r="AZ171" s="90">
        <f t="shared" si="16"/>
        <v>0</v>
      </c>
      <c r="BA171" s="90">
        <f>SUM($AV171:AY171)</f>
        <v>0</v>
      </c>
    </row>
    <row r="172" spans="16:53" x14ac:dyDescent="0.25">
      <c r="P172" s="90">
        <f t="shared" si="14"/>
        <v>0</v>
      </c>
      <c r="Q172" s="90">
        <f>SUM($L172:O172)</f>
        <v>0</v>
      </c>
      <c r="AH172" s="90">
        <f t="shared" si="15"/>
        <v>0</v>
      </c>
      <c r="AI172" s="90">
        <f>SUM($AD172:AG172)</f>
        <v>0</v>
      </c>
      <c r="AZ172" s="90">
        <f t="shared" si="16"/>
        <v>0</v>
      </c>
      <c r="BA172" s="90">
        <f>SUM($AV172:AY172)</f>
        <v>0</v>
      </c>
    </row>
    <row r="173" spans="16:53" x14ac:dyDescent="0.25">
      <c r="P173" s="90">
        <f t="shared" si="14"/>
        <v>0</v>
      </c>
      <c r="Q173" s="90">
        <f>SUM($L173:O173)</f>
        <v>0</v>
      </c>
      <c r="AH173" s="90">
        <f t="shared" si="15"/>
        <v>0</v>
      </c>
      <c r="AI173" s="90">
        <f>SUM($AD173:AG173)</f>
        <v>0</v>
      </c>
      <c r="AZ173" s="90">
        <f t="shared" si="16"/>
        <v>0</v>
      </c>
      <c r="BA173" s="90">
        <f>SUM($AV173:AY173)</f>
        <v>0</v>
      </c>
    </row>
    <row r="174" spans="16:53" x14ac:dyDescent="0.25">
      <c r="P174" s="90">
        <f t="shared" si="14"/>
        <v>0</v>
      </c>
      <c r="Q174" s="90">
        <f>SUM($L174:O174)</f>
        <v>0</v>
      </c>
      <c r="AH174" s="90">
        <f t="shared" si="15"/>
        <v>0</v>
      </c>
      <c r="AI174" s="90">
        <f>SUM($AD174:AG174)</f>
        <v>0</v>
      </c>
      <c r="AZ174" s="90">
        <f t="shared" si="16"/>
        <v>0</v>
      </c>
      <c r="BA174" s="90">
        <f>SUM($AV174:AY174)</f>
        <v>0</v>
      </c>
    </row>
    <row r="175" spans="16:53" x14ac:dyDescent="0.25">
      <c r="P175" s="90">
        <f t="shared" si="14"/>
        <v>0</v>
      </c>
      <c r="Q175" s="90">
        <f>SUM($L175:O175)</f>
        <v>0</v>
      </c>
      <c r="AH175" s="90">
        <f t="shared" si="15"/>
        <v>0</v>
      </c>
      <c r="AI175" s="90">
        <f>SUM($AD175:AG175)</f>
        <v>0</v>
      </c>
      <c r="AZ175" s="90">
        <f t="shared" si="16"/>
        <v>0</v>
      </c>
      <c r="BA175" s="90">
        <f>SUM($AV175:AY175)</f>
        <v>0</v>
      </c>
    </row>
    <row r="176" spans="16:53" x14ac:dyDescent="0.25">
      <c r="P176" s="90">
        <f t="shared" si="14"/>
        <v>0</v>
      </c>
      <c r="Q176" s="90">
        <f>SUM($L176:O176)</f>
        <v>0</v>
      </c>
      <c r="AH176" s="90">
        <f t="shared" si="15"/>
        <v>0</v>
      </c>
      <c r="AI176" s="90">
        <f>SUM($AD176:AG176)</f>
        <v>0</v>
      </c>
      <c r="AZ176" s="90">
        <f t="shared" si="16"/>
        <v>0</v>
      </c>
      <c r="BA176" s="90">
        <f>SUM($AV176:AY176)</f>
        <v>0</v>
      </c>
    </row>
    <row r="177" spans="16:53" x14ac:dyDescent="0.25">
      <c r="P177" s="90">
        <f t="shared" si="14"/>
        <v>0</v>
      </c>
      <c r="Q177" s="90">
        <f>SUM($L177:O177)</f>
        <v>0</v>
      </c>
      <c r="AH177" s="90">
        <f t="shared" si="15"/>
        <v>0</v>
      </c>
      <c r="AI177" s="90">
        <f>SUM($AD177:AG177)</f>
        <v>0</v>
      </c>
      <c r="AZ177" s="90">
        <f t="shared" si="16"/>
        <v>0</v>
      </c>
      <c r="BA177" s="90">
        <f>SUM($AV177:AY177)</f>
        <v>0</v>
      </c>
    </row>
    <row r="178" spans="16:53" x14ac:dyDescent="0.25">
      <c r="P178" s="90">
        <f t="shared" si="14"/>
        <v>0</v>
      </c>
      <c r="Q178" s="90">
        <f>SUM($L178:O178)</f>
        <v>0</v>
      </c>
      <c r="AH178" s="90">
        <f t="shared" si="15"/>
        <v>0</v>
      </c>
      <c r="AI178" s="90">
        <f>SUM($AD178:AG178)</f>
        <v>0</v>
      </c>
      <c r="AZ178" s="90">
        <f t="shared" si="16"/>
        <v>0</v>
      </c>
      <c r="BA178" s="90">
        <f>SUM($AV178:AY178)</f>
        <v>0</v>
      </c>
    </row>
    <row r="179" spans="16:53" x14ac:dyDescent="0.25">
      <c r="P179" s="90">
        <f t="shared" si="14"/>
        <v>0</v>
      </c>
      <c r="Q179" s="90">
        <f>SUM($L179:O179)</f>
        <v>0</v>
      </c>
      <c r="AH179" s="90">
        <f t="shared" si="15"/>
        <v>0</v>
      </c>
      <c r="AI179" s="90">
        <f>SUM($AD179:AG179)</f>
        <v>0</v>
      </c>
      <c r="AZ179" s="90">
        <f t="shared" si="16"/>
        <v>0</v>
      </c>
      <c r="BA179" s="90">
        <f>SUM($AV179:AY179)</f>
        <v>0</v>
      </c>
    </row>
    <row r="180" spans="16:53" x14ac:dyDescent="0.25">
      <c r="P180" s="90">
        <f t="shared" si="14"/>
        <v>0</v>
      </c>
      <c r="Q180" s="90">
        <f>SUM($L180:O180)</f>
        <v>0</v>
      </c>
      <c r="AH180" s="90">
        <f t="shared" si="15"/>
        <v>0</v>
      </c>
      <c r="AI180" s="90">
        <f>SUM($AD180:AG180)</f>
        <v>0</v>
      </c>
      <c r="AZ180" s="90">
        <f t="shared" si="16"/>
        <v>0</v>
      </c>
      <c r="BA180" s="90">
        <f>SUM($AV180:AY180)</f>
        <v>0</v>
      </c>
    </row>
    <row r="181" spans="16:53" x14ac:dyDescent="0.25">
      <c r="P181" s="90">
        <f t="shared" si="14"/>
        <v>0</v>
      </c>
      <c r="Q181" s="90">
        <f>SUM($L181:O181)</f>
        <v>0</v>
      </c>
      <c r="AH181" s="90">
        <f t="shared" si="15"/>
        <v>0</v>
      </c>
      <c r="AI181" s="90">
        <f>SUM($AD181:AG181)</f>
        <v>0</v>
      </c>
      <c r="AZ181" s="90">
        <f t="shared" si="16"/>
        <v>0</v>
      </c>
      <c r="BA181" s="90">
        <f>SUM($AV181:AY181)</f>
        <v>0</v>
      </c>
    </row>
    <row r="182" spans="16:53" x14ac:dyDescent="0.25">
      <c r="P182" s="90">
        <f t="shared" si="14"/>
        <v>0</v>
      </c>
      <c r="Q182" s="90">
        <f>SUM($L182:O182)</f>
        <v>0</v>
      </c>
      <c r="AH182" s="90">
        <f t="shared" si="15"/>
        <v>0</v>
      </c>
      <c r="AI182" s="90">
        <f>SUM($AD182:AG182)</f>
        <v>0</v>
      </c>
      <c r="AZ182" s="90">
        <f t="shared" si="16"/>
        <v>0</v>
      </c>
      <c r="BA182" s="90">
        <f>SUM($AV182:AY182)</f>
        <v>0</v>
      </c>
    </row>
    <row r="183" spans="16:53" x14ac:dyDescent="0.25">
      <c r="P183" s="90">
        <f t="shared" si="14"/>
        <v>0</v>
      </c>
      <c r="Q183" s="90">
        <f>SUM($L183:O183)</f>
        <v>0</v>
      </c>
      <c r="AH183" s="90">
        <f t="shared" si="15"/>
        <v>0</v>
      </c>
      <c r="AI183" s="90">
        <f>SUM($AD183:AG183)</f>
        <v>0</v>
      </c>
      <c r="AZ183" s="90">
        <f t="shared" si="16"/>
        <v>0</v>
      </c>
      <c r="BA183" s="90">
        <f>SUM($AV183:AY183)</f>
        <v>0</v>
      </c>
    </row>
    <row r="184" spans="16:53" x14ac:dyDescent="0.25">
      <c r="P184" s="90">
        <f t="shared" si="14"/>
        <v>0</v>
      </c>
      <c r="Q184" s="90">
        <f>SUM($L184:O184)</f>
        <v>0</v>
      </c>
      <c r="AH184" s="90">
        <f t="shared" si="15"/>
        <v>0</v>
      </c>
      <c r="AI184" s="90">
        <f>SUM($AD184:AG184)</f>
        <v>0</v>
      </c>
      <c r="AZ184" s="90">
        <f t="shared" si="16"/>
        <v>0</v>
      </c>
      <c r="BA184" s="90">
        <f>SUM($AV184:AY184)</f>
        <v>0</v>
      </c>
    </row>
    <row r="185" spans="16:53" x14ac:dyDescent="0.25">
      <c r="P185" s="90">
        <f t="shared" si="14"/>
        <v>0</v>
      </c>
      <c r="Q185" s="90">
        <f>SUM($L185:O185)</f>
        <v>0</v>
      </c>
      <c r="AH185" s="90">
        <f t="shared" si="15"/>
        <v>0</v>
      </c>
      <c r="AI185" s="90">
        <f>SUM($AD185:AG185)</f>
        <v>0</v>
      </c>
      <c r="AZ185" s="90">
        <f t="shared" si="16"/>
        <v>0</v>
      </c>
      <c r="BA185" s="90">
        <f>SUM($AV185:AY185)</f>
        <v>0</v>
      </c>
    </row>
    <row r="186" spans="16:53" x14ac:dyDescent="0.25">
      <c r="P186" s="90">
        <f t="shared" si="14"/>
        <v>0</v>
      </c>
      <c r="Q186" s="90">
        <f>SUM($L186:O186)</f>
        <v>0</v>
      </c>
      <c r="AH186" s="90">
        <f t="shared" si="15"/>
        <v>0</v>
      </c>
      <c r="AI186" s="90">
        <f>SUM($AD186:AG186)</f>
        <v>0</v>
      </c>
      <c r="AZ186" s="90">
        <f t="shared" si="16"/>
        <v>0</v>
      </c>
      <c r="BA186" s="90">
        <f>SUM($AV186:AY186)</f>
        <v>0</v>
      </c>
    </row>
    <row r="187" spans="16:53" x14ac:dyDescent="0.25">
      <c r="P187" s="90">
        <f t="shared" si="14"/>
        <v>0</v>
      </c>
      <c r="Q187" s="90">
        <f>SUM($L187:O187)</f>
        <v>0</v>
      </c>
      <c r="AH187" s="90">
        <f t="shared" si="15"/>
        <v>0</v>
      </c>
      <c r="AI187" s="90">
        <f>SUM($AD187:AG187)</f>
        <v>0</v>
      </c>
      <c r="AZ187" s="90">
        <f t="shared" si="16"/>
        <v>0</v>
      </c>
      <c r="BA187" s="90">
        <f>SUM($AV187:AY187)</f>
        <v>0</v>
      </c>
    </row>
    <row r="188" spans="16:53" x14ac:dyDescent="0.25">
      <c r="P188" s="90">
        <f t="shared" si="14"/>
        <v>0</v>
      </c>
      <c r="Q188" s="90">
        <f>SUM($L188:O188)</f>
        <v>0</v>
      </c>
      <c r="AH188" s="90">
        <f t="shared" si="15"/>
        <v>0</v>
      </c>
      <c r="AI188" s="90">
        <f>SUM($AD188:AG188)</f>
        <v>0</v>
      </c>
      <c r="AZ188" s="90">
        <f t="shared" si="16"/>
        <v>0</v>
      </c>
      <c r="BA188" s="90">
        <f>SUM($AV188:AY188)</f>
        <v>0</v>
      </c>
    </row>
    <row r="189" spans="16:53" x14ac:dyDescent="0.25">
      <c r="P189" s="90">
        <f t="shared" si="14"/>
        <v>0</v>
      </c>
      <c r="Q189" s="90">
        <f>SUM($L189:O189)</f>
        <v>0</v>
      </c>
      <c r="AH189" s="90">
        <f t="shared" si="15"/>
        <v>0</v>
      </c>
      <c r="AI189" s="90">
        <f>SUM($AD189:AG189)</f>
        <v>0</v>
      </c>
      <c r="AZ189" s="90">
        <f t="shared" si="16"/>
        <v>0</v>
      </c>
      <c r="BA189" s="90">
        <f>SUM($AV189:AY189)</f>
        <v>0</v>
      </c>
    </row>
    <row r="190" spans="16:53" x14ac:dyDescent="0.25">
      <c r="P190" s="90">
        <f t="shared" si="14"/>
        <v>0</v>
      </c>
      <c r="Q190" s="90">
        <f>SUM($L190:O190)</f>
        <v>0</v>
      </c>
      <c r="AH190" s="90">
        <f t="shared" si="15"/>
        <v>0</v>
      </c>
      <c r="AI190" s="90">
        <f>SUM($AD190:AG190)</f>
        <v>0</v>
      </c>
      <c r="AZ190" s="90">
        <f t="shared" si="16"/>
        <v>0</v>
      </c>
      <c r="BA190" s="90">
        <f>SUM($AV190:AY190)</f>
        <v>0</v>
      </c>
    </row>
    <row r="191" spans="16:53" x14ac:dyDescent="0.25">
      <c r="P191" s="90">
        <f t="shared" si="14"/>
        <v>0</v>
      </c>
      <c r="Q191" s="90">
        <f>SUM($L191:O191)</f>
        <v>0</v>
      </c>
      <c r="AH191" s="90">
        <f t="shared" si="15"/>
        <v>0</v>
      </c>
      <c r="AI191" s="90">
        <f>SUM($AD191:AG191)</f>
        <v>0</v>
      </c>
      <c r="AZ191" s="90">
        <f t="shared" si="16"/>
        <v>0</v>
      </c>
      <c r="BA191" s="90">
        <f>SUM($AV191:AY191)</f>
        <v>0</v>
      </c>
    </row>
    <row r="192" spans="16:53" x14ac:dyDescent="0.25">
      <c r="P192" s="90">
        <f t="shared" si="14"/>
        <v>0</v>
      </c>
      <c r="Q192" s="90">
        <f>SUM($L192:O192)</f>
        <v>0</v>
      </c>
      <c r="AH192" s="90">
        <f t="shared" si="15"/>
        <v>0</v>
      </c>
      <c r="AI192" s="90">
        <f>SUM($AD192:AG192)</f>
        <v>0</v>
      </c>
      <c r="AZ192" s="90">
        <f t="shared" si="16"/>
        <v>0</v>
      </c>
      <c r="BA192" s="90">
        <f>SUM($AV192:AY192)</f>
        <v>0</v>
      </c>
    </row>
    <row r="193" spans="16:53" x14ac:dyDescent="0.25">
      <c r="P193" s="90">
        <f t="shared" si="14"/>
        <v>0</v>
      </c>
      <c r="Q193" s="90">
        <f>SUM($L193:O193)</f>
        <v>0</v>
      </c>
      <c r="AH193" s="90">
        <f t="shared" si="15"/>
        <v>0</v>
      </c>
      <c r="AI193" s="90">
        <f>SUM($AD193:AG193)</f>
        <v>0</v>
      </c>
      <c r="AZ193" s="90">
        <f t="shared" si="16"/>
        <v>0</v>
      </c>
      <c r="BA193" s="90">
        <f>SUM($AV193:AY193)</f>
        <v>0</v>
      </c>
    </row>
    <row r="194" spans="16:53" x14ac:dyDescent="0.25">
      <c r="P194" s="90">
        <f t="shared" si="14"/>
        <v>0</v>
      </c>
      <c r="Q194" s="90">
        <f>SUM($L194:O194)</f>
        <v>0</v>
      </c>
      <c r="AH194" s="90">
        <f t="shared" si="15"/>
        <v>0</v>
      </c>
      <c r="AI194" s="90">
        <f>SUM($AD194:AG194)</f>
        <v>0</v>
      </c>
      <c r="AZ194" s="90">
        <f t="shared" si="16"/>
        <v>0</v>
      </c>
      <c r="BA194" s="90">
        <f>SUM($AV194:AY194)</f>
        <v>0</v>
      </c>
    </row>
    <row r="195" spans="16:53" x14ac:dyDescent="0.25">
      <c r="P195" s="90">
        <f t="shared" si="14"/>
        <v>0</v>
      </c>
      <c r="Q195" s="90">
        <f>SUM($L195:O195)</f>
        <v>0</v>
      </c>
      <c r="AH195" s="90">
        <f t="shared" si="15"/>
        <v>0</v>
      </c>
      <c r="AI195" s="90">
        <f>SUM($AD195:AG195)</f>
        <v>0</v>
      </c>
      <c r="AZ195" s="90">
        <f t="shared" si="16"/>
        <v>0</v>
      </c>
      <c r="BA195" s="90">
        <f>SUM($AV195:AY195)</f>
        <v>0</v>
      </c>
    </row>
    <row r="196" spans="16:53" x14ac:dyDescent="0.25">
      <c r="P196" s="90">
        <f t="shared" si="14"/>
        <v>0</v>
      </c>
      <c r="Q196" s="90">
        <f>SUM($L196:O196)</f>
        <v>0</v>
      </c>
      <c r="AH196" s="90">
        <f t="shared" si="15"/>
        <v>0</v>
      </c>
      <c r="AI196" s="90">
        <f>SUM($AD196:AG196)</f>
        <v>0</v>
      </c>
      <c r="AZ196" s="90">
        <f t="shared" si="16"/>
        <v>0</v>
      </c>
      <c r="BA196" s="90">
        <f>SUM($AV196:AY196)</f>
        <v>0</v>
      </c>
    </row>
    <row r="197" spans="16:53" x14ac:dyDescent="0.25">
      <c r="P197" s="90">
        <f t="shared" ref="P197:P260" si="17">SUM(B197:K197)</f>
        <v>0</v>
      </c>
      <c r="Q197" s="90">
        <f>SUM($L197:O197)</f>
        <v>0</v>
      </c>
      <c r="AH197" s="90">
        <f t="shared" ref="AH197:AH260" si="18">SUM(T197:AC197)</f>
        <v>0</v>
      </c>
      <c r="AI197" s="90">
        <f>SUM($AD197:AG197)</f>
        <v>0</v>
      </c>
      <c r="AZ197" s="90">
        <f t="shared" ref="AZ197:AZ260" si="19">SUM(AL197:AU197)</f>
        <v>0</v>
      </c>
      <c r="BA197" s="90">
        <f>SUM($AV197:AY197)</f>
        <v>0</v>
      </c>
    </row>
    <row r="198" spans="16:53" x14ac:dyDescent="0.25">
      <c r="P198" s="90">
        <f t="shared" si="17"/>
        <v>0</v>
      </c>
      <c r="Q198" s="90">
        <f>SUM($L198:O198)</f>
        <v>0</v>
      </c>
      <c r="AH198" s="90">
        <f t="shared" si="18"/>
        <v>0</v>
      </c>
      <c r="AI198" s="90">
        <f>SUM($AD198:AG198)</f>
        <v>0</v>
      </c>
      <c r="AZ198" s="90">
        <f t="shared" si="19"/>
        <v>0</v>
      </c>
      <c r="BA198" s="90">
        <f>SUM($AV198:AY198)</f>
        <v>0</v>
      </c>
    </row>
    <row r="199" spans="16:53" x14ac:dyDescent="0.25">
      <c r="P199" s="90">
        <f t="shared" si="17"/>
        <v>0</v>
      </c>
      <c r="Q199" s="90">
        <f>SUM($L199:O199)</f>
        <v>0</v>
      </c>
      <c r="AH199" s="90">
        <f t="shared" si="18"/>
        <v>0</v>
      </c>
      <c r="AI199" s="90">
        <f>SUM($AD199:AG199)</f>
        <v>0</v>
      </c>
      <c r="AZ199" s="90">
        <f t="shared" si="19"/>
        <v>0</v>
      </c>
      <c r="BA199" s="90">
        <f>SUM($AV199:AY199)</f>
        <v>0</v>
      </c>
    </row>
    <row r="200" spans="16:53" x14ac:dyDescent="0.25">
      <c r="P200" s="90">
        <f t="shared" si="17"/>
        <v>0</v>
      </c>
      <c r="Q200" s="90">
        <f>SUM($L200:O200)</f>
        <v>0</v>
      </c>
      <c r="AH200" s="90">
        <f t="shared" si="18"/>
        <v>0</v>
      </c>
      <c r="AI200" s="90">
        <f>SUM($AD200:AG200)</f>
        <v>0</v>
      </c>
      <c r="AZ200" s="90">
        <f t="shared" si="19"/>
        <v>0</v>
      </c>
      <c r="BA200" s="90">
        <f>SUM($AV200:AY200)</f>
        <v>0</v>
      </c>
    </row>
    <row r="201" spans="16:53" x14ac:dyDescent="0.25">
      <c r="P201" s="90">
        <f t="shared" si="17"/>
        <v>0</v>
      </c>
      <c r="Q201" s="90">
        <f>SUM($L201:O201)</f>
        <v>0</v>
      </c>
      <c r="AH201" s="90">
        <f t="shared" si="18"/>
        <v>0</v>
      </c>
      <c r="AI201" s="90">
        <f>SUM($AD201:AG201)</f>
        <v>0</v>
      </c>
      <c r="AZ201" s="90">
        <f t="shared" si="19"/>
        <v>0</v>
      </c>
      <c r="BA201" s="90">
        <f>SUM($AV201:AY201)</f>
        <v>0</v>
      </c>
    </row>
    <row r="202" spans="16:53" x14ac:dyDescent="0.25">
      <c r="P202" s="90">
        <f t="shared" si="17"/>
        <v>0</v>
      </c>
      <c r="Q202" s="90">
        <f>SUM($L202:O202)</f>
        <v>0</v>
      </c>
      <c r="AH202" s="90">
        <f t="shared" si="18"/>
        <v>0</v>
      </c>
      <c r="AI202" s="90">
        <f>SUM($AD202:AG202)</f>
        <v>0</v>
      </c>
      <c r="AZ202" s="90">
        <f t="shared" si="19"/>
        <v>0</v>
      </c>
      <c r="BA202" s="90">
        <f>SUM($AV202:AY202)</f>
        <v>0</v>
      </c>
    </row>
    <row r="203" spans="16:53" x14ac:dyDescent="0.25">
      <c r="P203" s="90">
        <f t="shared" si="17"/>
        <v>0</v>
      </c>
      <c r="Q203" s="90">
        <f>SUM($L203:O203)</f>
        <v>0</v>
      </c>
      <c r="AH203" s="90">
        <f t="shared" si="18"/>
        <v>0</v>
      </c>
      <c r="AI203" s="90">
        <f>SUM($AD203:AG203)</f>
        <v>0</v>
      </c>
      <c r="AZ203" s="90">
        <f t="shared" si="19"/>
        <v>0</v>
      </c>
      <c r="BA203" s="90">
        <f>SUM($AV203:AY203)</f>
        <v>0</v>
      </c>
    </row>
    <row r="204" spans="16:53" x14ac:dyDescent="0.25">
      <c r="P204" s="90">
        <f t="shared" si="17"/>
        <v>0</v>
      </c>
      <c r="Q204" s="90">
        <f>SUM($L204:O204)</f>
        <v>0</v>
      </c>
      <c r="AH204" s="90">
        <f t="shared" si="18"/>
        <v>0</v>
      </c>
      <c r="AI204" s="90">
        <f>SUM($AD204:AG204)</f>
        <v>0</v>
      </c>
      <c r="AZ204" s="90">
        <f t="shared" si="19"/>
        <v>0</v>
      </c>
      <c r="BA204" s="90">
        <f>SUM($AV204:AY204)</f>
        <v>0</v>
      </c>
    </row>
    <row r="205" spans="16:53" x14ac:dyDescent="0.25">
      <c r="P205" s="90">
        <f t="shared" si="17"/>
        <v>0</v>
      </c>
      <c r="Q205" s="90">
        <f>SUM($L205:O205)</f>
        <v>0</v>
      </c>
      <c r="AH205" s="90">
        <f t="shared" si="18"/>
        <v>0</v>
      </c>
      <c r="AI205" s="90">
        <f>SUM($AD205:AG205)</f>
        <v>0</v>
      </c>
      <c r="AZ205" s="90">
        <f t="shared" si="19"/>
        <v>0</v>
      </c>
      <c r="BA205" s="90">
        <f>SUM($AV205:AY205)</f>
        <v>0</v>
      </c>
    </row>
    <row r="206" spans="16:53" x14ac:dyDescent="0.25">
      <c r="P206" s="90">
        <f t="shared" si="17"/>
        <v>0</v>
      </c>
      <c r="Q206" s="90">
        <f>SUM($L206:O206)</f>
        <v>0</v>
      </c>
      <c r="AH206" s="90">
        <f t="shared" si="18"/>
        <v>0</v>
      </c>
      <c r="AI206" s="90">
        <f>SUM($AD206:AG206)</f>
        <v>0</v>
      </c>
      <c r="AZ206" s="90">
        <f t="shared" si="19"/>
        <v>0</v>
      </c>
      <c r="BA206" s="90">
        <f>SUM($AV206:AY206)</f>
        <v>0</v>
      </c>
    </row>
    <row r="207" spans="16:53" x14ac:dyDescent="0.25">
      <c r="P207" s="90">
        <f t="shared" si="17"/>
        <v>0</v>
      </c>
      <c r="Q207" s="90">
        <f>SUM($L207:O207)</f>
        <v>0</v>
      </c>
      <c r="AH207" s="90">
        <f t="shared" si="18"/>
        <v>0</v>
      </c>
      <c r="AI207" s="90">
        <f>SUM($AD207:AG207)</f>
        <v>0</v>
      </c>
      <c r="AZ207" s="90">
        <f t="shared" si="19"/>
        <v>0</v>
      </c>
      <c r="BA207" s="90">
        <f>SUM($AV207:AY207)</f>
        <v>0</v>
      </c>
    </row>
    <row r="208" spans="16:53" x14ac:dyDescent="0.25">
      <c r="P208" s="90">
        <f t="shared" si="17"/>
        <v>0</v>
      </c>
      <c r="Q208" s="90">
        <f>SUM($L208:O208)</f>
        <v>0</v>
      </c>
      <c r="AH208" s="90">
        <f t="shared" si="18"/>
        <v>0</v>
      </c>
      <c r="AI208" s="90">
        <f>SUM($AD208:AG208)</f>
        <v>0</v>
      </c>
      <c r="AZ208" s="90">
        <f t="shared" si="19"/>
        <v>0</v>
      </c>
      <c r="BA208" s="90">
        <f>SUM($AV208:AY208)</f>
        <v>0</v>
      </c>
    </row>
    <row r="209" spans="16:53" x14ac:dyDescent="0.25">
      <c r="P209" s="90">
        <f t="shared" si="17"/>
        <v>0</v>
      </c>
      <c r="Q209" s="90">
        <f>SUM($L209:O209)</f>
        <v>0</v>
      </c>
      <c r="AH209" s="90">
        <f t="shared" si="18"/>
        <v>0</v>
      </c>
      <c r="AI209" s="90">
        <f>SUM($AD209:AG209)</f>
        <v>0</v>
      </c>
      <c r="AZ209" s="90">
        <f t="shared" si="19"/>
        <v>0</v>
      </c>
      <c r="BA209" s="90">
        <f>SUM($AV209:AY209)</f>
        <v>0</v>
      </c>
    </row>
    <row r="210" spans="16:53" x14ac:dyDescent="0.25">
      <c r="P210" s="90">
        <f t="shared" si="17"/>
        <v>0</v>
      </c>
      <c r="Q210" s="90">
        <f>SUM($L210:O210)</f>
        <v>0</v>
      </c>
      <c r="AH210" s="90">
        <f t="shared" si="18"/>
        <v>0</v>
      </c>
      <c r="AI210" s="90">
        <f>SUM($AD210:AG210)</f>
        <v>0</v>
      </c>
      <c r="AZ210" s="90">
        <f t="shared" si="19"/>
        <v>0</v>
      </c>
      <c r="BA210" s="90">
        <f>SUM($AV210:AY210)</f>
        <v>0</v>
      </c>
    </row>
    <row r="211" spans="16:53" x14ac:dyDescent="0.25">
      <c r="P211" s="90">
        <f t="shared" si="17"/>
        <v>0</v>
      </c>
      <c r="Q211" s="90">
        <f>SUM($L211:O211)</f>
        <v>0</v>
      </c>
      <c r="AH211" s="90">
        <f t="shared" si="18"/>
        <v>0</v>
      </c>
      <c r="AI211" s="90">
        <f>SUM($AD211:AG211)</f>
        <v>0</v>
      </c>
      <c r="AZ211" s="90">
        <f t="shared" si="19"/>
        <v>0</v>
      </c>
      <c r="BA211" s="90">
        <f>SUM($AV211:AY211)</f>
        <v>0</v>
      </c>
    </row>
    <row r="212" spans="16:53" x14ac:dyDescent="0.25">
      <c r="P212" s="90">
        <f t="shared" si="17"/>
        <v>0</v>
      </c>
      <c r="Q212" s="90">
        <f>SUM($L212:O212)</f>
        <v>0</v>
      </c>
      <c r="AH212" s="90">
        <f t="shared" si="18"/>
        <v>0</v>
      </c>
      <c r="AI212" s="90">
        <f>SUM($AD212:AG212)</f>
        <v>0</v>
      </c>
      <c r="AZ212" s="90">
        <f t="shared" si="19"/>
        <v>0</v>
      </c>
      <c r="BA212" s="90">
        <f>SUM($AV212:AY212)</f>
        <v>0</v>
      </c>
    </row>
    <row r="213" spans="16:53" x14ac:dyDescent="0.25">
      <c r="P213" s="90">
        <f t="shared" si="17"/>
        <v>0</v>
      </c>
      <c r="Q213" s="90">
        <f>SUM($L213:O213)</f>
        <v>0</v>
      </c>
      <c r="AH213" s="90">
        <f t="shared" si="18"/>
        <v>0</v>
      </c>
      <c r="AI213" s="90">
        <f>SUM($AD213:AG213)</f>
        <v>0</v>
      </c>
      <c r="AZ213" s="90">
        <f t="shared" si="19"/>
        <v>0</v>
      </c>
      <c r="BA213" s="90">
        <f>SUM($AV213:AY213)</f>
        <v>0</v>
      </c>
    </row>
    <row r="214" spans="16:53" x14ac:dyDescent="0.25">
      <c r="P214" s="90">
        <f t="shared" si="17"/>
        <v>0</v>
      </c>
      <c r="Q214" s="90">
        <f>SUM($L214:O214)</f>
        <v>0</v>
      </c>
      <c r="AH214" s="90">
        <f t="shared" si="18"/>
        <v>0</v>
      </c>
      <c r="AI214" s="90">
        <f>SUM($AD214:AG214)</f>
        <v>0</v>
      </c>
      <c r="AZ214" s="90">
        <f t="shared" si="19"/>
        <v>0</v>
      </c>
      <c r="BA214" s="90">
        <f>SUM($AV214:AY214)</f>
        <v>0</v>
      </c>
    </row>
    <row r="215" spans="16:53" x14ac:dyDescent="0.25">
      <c r="P215" s="90">
        <f t="shared" si="17"/>
        <v>0</v>
      </c>
      <c r="Q215" s="90">
        <f>SUM($L215:O215)</f>
        <v>0</v>
      </c>
      <c r="AH215" s="90">
        <f t="shared" si="18"/>
        <v>0</v>
      </c>
      <c r="AI215" s="90">
        <f>SUM($AD215:AG215)</f>
        <v>0</v>
      </c>
      <c r="AZ215" s="90">
        <f t="shared" si="19"/>
        <v>0</v>
      </c>
      <c r="BA215" s="90">
        <f>SUM($AV215:AY215)</f>
        <v>0</v>
      </c>
    </row>
    <row r="216" spans="16:53" x14ac:dyDescent="0.25">
      <c r="P216" s="90">
        <f t="shared" si="17"/>
        <v>0</v>
      </c>
      <c r="Q216" s="90">
        <f>SUM($L216:O216)</f>
        <v>0</v>
      </c>
      <c r="AH216" s="90">
        <f t="shared" si="18"/>
        <v>0</v>
      </c>
      <c r="AI216" s="90">
        <f>SUM($AD216:AG216)</f>
        <v>0</v>
      </c>
      <c r="AZ216" s="90">
        <f t="shared" si="19"/>
        <v>0</v>
      </c>
      <c r="BA216" s="90">
        <f>SUM($AV216:AY216)</f>
        <v>0</v>
      </c>
    </row>
    <row r="217" spans="16:53" x14ac:dyDescent="0.25">
      <c r="P217" s="90">
        <f t="shared" si="17"/>
        <v>0</v>
      </c>
      <c r="Q217" s="90">
        <f>SUM($L217:O217)</f>
        <v>0</v>
      </c>
      <c r="AH217" s="90">
        <f t="shared" si="18"/>
        <v>0</v>
      </c>
      <c r="AI217" s="90">
        <f>SUM($AD217:AG217)</f>
        <v>0</v>
      </c>
      <c r="AZ217" s="90">
        <f t="shared" si="19"/>
        <v>0</v>
      </c>
      <c r="BA217" s="90">
        <f>SUM($AV217:AY217)</f>
        <v>0</v>
      </c>
    </row>
    <row r="218" spans="16:53" x14ac:dyDescent="0.25">
      <c r="P218" s="90">
        <f t="shared" si="17"/>
        <v>0</v>
      </c>
      <c r="Q218" s="90">
        <f>SUM($L218:O218)</f>
        <v>0</v>
      </c>
      <c r="AH218" s="90">
        <f t="shared" si="18"/>
        <v>0</v>
      </c>
      <c r="AI218" s="90">
        <f>SUM($AD218:AG218)</f>
        <v>0</v>
      </c>
      <c r="AZ218" s="90">
        <f t="shared" si="19"/>
        <v>0</v>
      </c>
      <c r="BA218" s="90">
        <f>SUM($AV218:AY218)</f>
        <v>0</v>
      </c>
    </row>
    <row r="219" spans="16:53" x14ac:dyDescent="0.25">
      <c r="P219" s="90">
        <f t="shared" si="17"/>
        <v>0</v>
      </c>
      <c r="Q219" s="90">
        <f>SUM($L219:O219)</f>
        <v>0</v>
      </c>
      <c r="AH219" s="90">
        <f t="shared" si="18"/>
        <v>0</v>
      </c>
      <c r="AI219" s="90">
        <f>SUM($AD219:AG219)</f>
        <v>0</v>
      </c>
      <c r="AZ219" s="90">
        <f t="shared" si="19"/>
        <v>0</v>
      </c>
      <c r="BA219" s="90">
        <f>SUM($AV219:AY219)</f>
        <v>0</v>
      </c>
    </row>
    <row r="220" spans="16:53" x14ac:dyDescent="0.25">
      <c r="P220" s="90">
        <f t="shared" si="17"/>
        <v>0</v>
      </c>
      <c r="Q220" s="90">
        <f>SUM($L220:O220)</f>
        <v>0</v>
      </c>
      <c r="AH220" s="90">
        <f t="shared" si="18"/>
        <v>0</v>
      </c>
      <c r="AI220" s="90">
        <f>SUM($AD220:AG220)</f>
        <v>0</v>
      </c>
      <c r="AZ220" s="90">
        <f t="shared" si="19"/>
        <v>0</v>
      </c>
      <c r="BA220" s="90">
        <f>SUM($AV220:AY220)</f>
        <v>0</v>
      </c>
    </row>
    <row r="221" spans="16:53" x14ac:dyDescent="0.25">
      <c r="P221" s="90">
        <f t="shared" si="17"/>
        <v>0</v>
      </c>
      <c r="Q221" s="90">
        <f>SUM($L221:O221)</f>
        <v>0</v>
      </c>
      <c r="AH221" s="90">
        <f t="shared" si="18"/>
        <v>0</v>
      </c>
      <c r="AI221" s="90">
        <f>SUM($AD221:AG221)</f>
        <v>0</v>
      </c>
      <c r="AZ221" s="90">
        <f t="shared" si="19"/>
        <v>0</v>
      </c>
      <c r="BA221" s="90">
        <f>SUM($AV221:AY221)</f>
        <v>0</v>
      </c>
    </row>
    <row r="222" spans="16:53" x14ac:dyDescent="0.25">
      <c r="P222" s="90">
        <f t="shared" si="17"/>
        <v>0</v>
      </c>
      <c r="Q222" s="90">
        <f>SUM($L222:O222)</f>
        <v>0</v>
      </c>
      <c r="AH222" s="90">
        <f t="shared" si="18"/>
        <v>0</v>
      </c>
      <c r="AI222" s="90">
        <f>SUM($AD222:AG222)</f>
        <v>0</v>
      </c>
      <c r="AZ222" s="90">
        <f t="shared" si="19"/>
        <v>0</v>
      </c>
      <c r="BA222" s="90">
        <f>SUM($AV222:AY222)</f>
        <v>0</v>
      </c>
    </row>
    <row r="223" spans="16:53" x14ac:dyDescent="0.25">
      <c r="P223" s="90">
        <f t="shared" si="17"/>
        <v>0</v>
      </c>
      <c r="Q223" s="90">
        <f>SUM($L223:O223)</f>
        <v>0</v>
      </c>
      <c r="AH223" s="90">
        <f t="shared" si="18"/>
        <v>0</v>
      </c>
      <c r="AI223" s="90">
        <f>SUM($AD223:AG223)</f>
        <v>0</v>
      </c>
      <c r="AZ223" s="90">
        <f t="shared" si="19"/>
        <v>0</v>
      </c>
      <c r="BA223" s="90">
        <f>SUM($AV223:AY223)</f>
        <v>0</v>
      </c>
    </row>
    <row r="224" spans="16:53" x14ac:dyDescent="0.25">
      <c r="P224" s="90">
        <f t="shared" si="17"/>
        <v>0</v>
      </c>
      <c r="Q224" s="90">
        <f>SUM($L224:O224)</f>
        <v>0</v>
      </c>
      <c r="AH224" s="90">
        <f t="shared" si="18"/>
        <v>0</v>
      </c>
      <c r="AI224" s="90">
        <f>SUM($AD224:AG224)</f>
        <v>0</v>
      </c>
      <c r="AZ224" s="90">
        <f t="shared" si="19"/>
        <v>0</v>
      </c>
      <c r="BA224" s="90">
        <f>SUM($AV224:AY224)</f>
        <v>0</v>
      </c>
    </row>
    <row r="225" spans="16:53" x14ac:dyDescent="0.25">
      <c r="P225" s="90">
        <f t="shared" si="17"/>
        <v>0</v>
      </c>
      <c r="Q225" s="90">
        <f>SUM($L225:O225)</f>
        <v>0</v>
      </c>
      <c r="AH225" s="90">
        <f t="shared" si="18"/>
        <v>0</v>
      </c>
      <c r="AI225" s="90">
        <f>SUM($AD225:AG225)</f>
        <v>0</v>
      </c>
      <c r="AZ225" s="90">
        <f t="shared" si="19"/>
        <v>0</v>
      </c>
      <c r="BA225" s="90">
        <f>SUM($AV225:AY225)</f>
        <v>0</v>
      </c>
    </row>
    <row r="226" spans="16:53" x14ac:dyDescent="0.25">
      <c r="P226" s="90">
        <f t="shared" si="17"/>
        <v>0</v>
      </c>
      <c r="Q226" s="90">
        <f>SUM($L226:O226)</f>
        <v>0</v>
      </c>
      <c r="AH226" s="90">
        <f t="shared" si="18"/>
        <v>0</v>
      </c>
      <c r="AI226" s="90">
        <f>SUM($AD226:AG226)</f>
        <v>0</v>
      </c>
      <c r="AZ226" s="90">
        <f t="shared" si="19"/>
        <v>0</v>
      </c>
      <c r="BA226" s="90">
        <f>SUM($AV226:AY226)</f>
        <v>0</v>
      </c>
    </row>
    <row r="227" spans="16:53" x14ac:dyDescent="0.25">
      <c r="P227" s="90">
        <f t="shared" si="17"/>
        <v>0</v>
      </c>
      <c r="Q227" s="90">
        <f>SUM($L227:O227)</f>
        <v>0</v>
      </c>
      <c r="AH227" s="90">
        <f t="shared" si="18"/>
        <v>0</v>
      </c>
      <c r="AI227" s="90">
        <f>SUM($AD227:AG227)</f>
        <v>0</v>
      </c>
      <c r="AZ227" s="90">
        <f t="shared" si="19"/>
        <v>0</v>
      </c>
      <c r="BA227" s="90">
        <f>SUM($AV227:AY227)</f>
        <v>0</v>
      </c>
    </row>
    <row r="228" spans="16:53" x14ac:dyDescent="0.25">
      <c r="P228" s="90">
        <f t="shared" si="17"/>
        <v>0</v>
      </c>
      <c r="Q228" s="90">
        <f>SUM($L228:O228)</f>
        <v>0</v>
      </c>
      <c r="AH228" s="90">
        <f t="shared" si="18"/>
        <v>0</v>
      </c>
      <c r="AI228" s="90">
        <f>SUM($AD228:AG228)</f>
        <v>0</v>
      </c>
      <c r="AZ228" s="90">
        <f t="shared" si="19"/>
        <v>0</v>
      </c>
      <c r="BA228" s="90">
        <f>SUM($AV228:AY228)</f>
        <v>0</v>
      </c>
    </row>
    <row r="229" spans="16:53" x14ac:dyDescent="0.25">
      <c r="P229" s="90">
        <f t="shared" si="17"/>
        <v>0</v>
      </c>
      <c r="Q229" s="90">
        <f>SUM($L229:O229)</f>
        <v>0</v>
      </c>
      <c r="AH229" s="90">
        <f t="shared" si="18"/>
        <v>0</v>
      </c>
      <c r="AI229" s="90">
        <f>SUM($AD229:AG229)</f>
        <v>0</v>
      </c>
      <c r="AZ229" s="90">
        <f t="shared" si="19"/>
        <v>0</v>
      </c>
      <c r="BA229" s="90">
        <f>SUM($AV229:AY229)</f>
        <v>0</v>
      </c>
    </row>
    <row r="230" spans="16:53" x14ac:dyDescent="0.25">
      <c r="P230" s="90">
        <f t="shared" si="17"/>
        <v>0</v>
      </c>
      <c r="Q230" s="90">
        <f>SUM($L230:O230)</f>
        <v>0</v>
      </c>
      <c r="AH230" s="90">
        <f t="shared" si="18"/>
        <v>0</v>
      </c>
      <c r="AI230" s="90">
        <f>SUM($AD230:AG230)</f>
        <v>0</v>
      </c>
      <c r="AZ230" s="90">
        <f t="shared" si="19"/>
        <v>0</v>
      </c>
      <c r="BA230" s="90">
        <f>SUM($AV230:AY230)</f>
        <v>0</v>
      </c>
    </row>
    <row r="231" spans="16:53" x14ac:dyDescent="0.25">
      <c r="P231" s="90">
        <f t="shared" si="17"/>
        <v>0</v>
      </c>
      <c r="Q231" s="90">
        <f>SUM($L231:O231)</f>
        <v>0</v>
      </c>
      <c r="AH231" s="90">
        <f t="shared" si="18"/>
        <v>0</v>
      </c>
      <c r="AI231" s="90">
        <f>SUM($AD231:AG231)</f>
        <v>0</v>
      </c>
      <c r="AZ231" s="90">
        <f t="shared" si="19"/>
        <v>0</v>
      </c>
      <c r="BA231" s="90">
        <f>SUM($AV231:AY231)</f>
        <v>0</v>
      </c>
    </row>
    <row r="232" spans="16:53" x14ac:dyDescent="0.25">
      <c r="P232" s="90">
        <f t="shared" si="17"/>
        <v>0</v>
      </c>
      <c r="Q232" s="90">
        <f>SUM($L232:O232)</f>
        <v>0</v>
      </c>
      <c r="AH232" s="90">
        <f t="shared" si="18"/>
        <v>0</v>
      </c>
      <c r="AI232" s="90">
        <f>SUM($AD232:AG232)</f>
        <v>0</v>
      </c>
      <c r="AZ232" s="90">
        <f t="shared" si="19"/>
        <v>0</v>
      </c>
      <c r="BA232" s="90">
        <f>SUM($AV232:AY232)</f>
        <v>0</v>
      </c>
    </row>
    <row r="233" spans="16:53" x14ac:dyDescent="0.25">
      <c r="P233" s="90">
        <f t="shared" si="17"/>
        <v>0</v>
      </c>
      <c r="Q233" s="90">
        <f>SUM($L233:O233)</f>
        <v>0</v>
      </c>
      <c r="AH233" s="90">
        <f t="shared" si="18"/>
        <v>0</v>
      </c>
      <c r="AI233" s="90">
        <f>SUM($AD233:AG233)</f>
        <v>0</v>
      </c>
      <c r="AZ233" s="90">
        <f t="shared" si="19"/>
        <v>0</v>
      </c>
      <c r="BA233" s="90">
        <f>SUM($AV233:AY233)</f>
        <v>0</v>
      </c>
    </row>
    <row r="234" spans="16:53" x14ac:dyDescent="0.25">
      <c r="P234" s="90">
        <f t="shared" si="17"/>
        <v>0</v>
      </c>
      <c r="Q234" s="90">
        <f>SUM($L234:O234)</f>
        <v>0</v>
      </c>
      <c r="AH234" s="90">
        <f t="shared" si="18"/>
        <v>0</v>
      </c>
      <c r="AI234" s="90">
        <f>SUM($AD234:AG234)</f>
        <v>0</v>
      </c>
      <c r="AZ234" s="90">
        <f t="shared" si="19"/>
        <v>0</v>
      </c>
      <c r="BA234" s="90">
        <f>SUM($AV234:AY234)</f>
        <v>0</v>
      </c>
    </row>
    <row r="235" spans="16:53" x14ac:dyDescent="0.25">
      <c r="P235" s="90">
        <f t="shared" si="17"/>
        <v>0</v>
      </c>
      <c r="Q235" s="90">
        <f>SUM($L235:O235)</f>
        <v>0</v>
      </c>
      <c r="AH235" s="90">
        <f t="shared" si="18"/>
        <v>0</v>
      </c>
      <c r="AI235" s="90">
        <f>SUM($AD235:AG235)</f>
        <v>0</v>
      </c>
      <c r="AZ235" s="90">
        <f t="shared" si="19"/>
        <v>0</v>
      </c>
      <c r="BA235" s="90">
        <f>SUM($AV235:AY235)</f>
        <v>0</v>
      </c>
    </row>
    <row r="236" spans="16:53" x14ac:dyDescent="0.25">
      <c r="P236" s="90">
        <f t="shared" si="17"/>
        <v>0</v>
      </c>
      <c r="Q236" s="90">
        <f>SUM($L236:O236)</f>
        <v>0</v>
      </c>
      <c r="AH236" s="90">
        <f t="shared" si="18"/>
        <v>0</v>
      </c>
      <c r="AI236" s="90">
        <f>SUM($AD236:AG236)</f>
        <v>0</v>
      </c>
      <c r="AZ236" s="90">
        <f t="shared" si="19"/>
        <v>0</v>
      </c>
      <c r="BA236" s="90">
        <f>SUM($AV236:AY236)</f>
        <v>0</v>
      </c>
    </row>
    <row r="237" spans="16:53" x14ac:dyDescent="0.25">
      <c r="P237" s="90">
        <f t="shared" si="17"/>
        <v>0</v>
      </c>
      <c r="Q237" s="90">
        <f>SUM($L237:O237)</f>
        <v>0</v>
      </c>
      <c r="AH237" s="90">
        <f t="shared" si="18"/>
        <v>0</v>
      </c>
      <c r="AI237" s="90">
        <f>SUM($AD237:AG237)</f>
        <v>0</v>
      </c>
      <c r="AZ237" s="90">
        <f t="shared" si="19"/>
        <v>0</v>
      </c>
      <c r="BA237" s="90">
        <f>SUM($AV237:AY237)</f>
        <v>0</v>
      </c>
    </row>
    <row r="238" spans="16:53" x14ac:dyDescent="0.25">
      <c r="P238" s="90">
        <f t="shared" si="17"/>
        <v>0</v>
      </c>
      <c r="Q238" s="90">
        <f>SUM($L238:O238)</f>
        <v>0</v>
      </c>
      <c r="AH238" s="90">
        <f t="shared" si="18"/>
        <v>0</v>
      </c>
      <c r="AI238" s="90">
        <f>SUM($AD238:AG238)</f>
        <v>0</v>
      </c>
      <c r="AZ238" s="90">
        <f t="shared" si="19"/>
        <v>0</v>
      </c>
      <c r="BA238" s="90">
        <f>SUM($AV238:AY238)</f>
        <v>0</v>
      </c>
    </row>
    <row r="239" spans="16:53" x14ac:dyDescent="0.25">
      <c r="P239" s="90">
        <f t="shared" si="17"/>
        <v>0</v>
      </c>
      <c r="Q239" s="90">
        <f>SUM($L239:O239)</f>
        <v>0</v>
      </c>
      <c r="AH239" s="90">
        <f t="shared" si="18"/>
        <v>0</v>
      </c>
      <c r="AI239" s="90">
        <f>SUM($AD239:AG239)</f>
        <v>0</v>
      </c>
      <c r="AZ239" s="90">
        <f t="shared" si="19"/>
        <v>0</v>
      </c>
      <c r="BA239" s="90">
        <f>SUM($AV239:AY239)</f>
        <v>0</v>
      </c>
    </row>
    <row r="240" spans="16:53" x14ac:dyDescent="0.25">
      <c r="P240" s="90">
        <f t="shared" si="17"/>
        <v>0</v>
      </c>
      <c r="Q240" s="90">
        <f>SUM($L240:O240)</f>
        <v>0</v>
      </c>
      <c r="AH240" s="90">
        <f t="shared" si="18"/>
        <v>0</v>
      </c>
      <c r="AI240" s="90">
        <f>SUM($AD240:AG240)</f>
        <v>0</v>
      </c>
      <c r="AZ240" s="90">
        <f t="shared" si="19"/>
        <v>0</v>
      </c>
      <c r="BA240" s="90">
        <f>SUM($AV240:AY240)</f>
        <v>0</v>
      </c>
    </row>
    <row r="241" spans="16:53" x14ac:dyDescent="0.25">
      <c r="P241" s="90">
        <f t="shared" si="17"/>
        <v>0</v>
      </c>
      <c r="Q241" s="90">
        <f>SUM($L241:O241)</f>
        <v>0</v>
      </c>
      <c r="AH241" s="90">
        <f t="shared" si="18"/>
        <v>0</v>
      </c>
      <c r="AI241" s="90">
        <f>SUM($AD241:AG241)</f>
        <v>0</v>
      </c>
      <c r="AZ241" s="90">
        <f t="shared" si="19"/>
        <v>0</v>
      </c>
      <c r="BA241" s="90">
        <f>SUM($AV241:AY241)</f>
        <v>0</v>
      </c>
    </row>
    <row r="242" spans="16:53" x14ac:dyDescent="0.25">
      <c r="P242" s="90">
        <f t="shared" si="17"/>
        <v>0</v>
      </c>
      <c r="Q242" s="90">
        <f>SUM($L242:O242)</f>
        <v>0</v>
      </c>
      <c r="AH242" s="90">
        <f t="shared" si="18"/>
        <v>0</v>
      </c>
      <c r="AI242" s="90">
        <f>SUM($AD242:AG242)</f>
        <v>0</v>
      </c>
      <c r="AZ242" s="90">
        <f t="shared" si="19"/>
        <v>0</v>
      </c>
      <c r="BA242" s="90">
        <f>SUM($AV242:AY242)</f>
        <v>0</v>
      </c>
    </row>
    <row r="243" spans="16:53" x14ac:dyDescent="0.25">
      <c r="P243" s="90">
        <f t="shared" si="17"/>
        <v>0</v>
      </c>
      <c r="Q243" s="90">
        <f>SUM($L243:O243)</f>
        <v>0</v>
      </c>
      <c r="AH243" s="90">
        <f t="shared" si="18"/>
        <v>0</v>
      </c>
      <c r="AI243" s="90">
        <f>SUM($AD243:AG243)</f>
        <v>0</v>
      </c>
      <c r="AZ243" s="90">
        <f t="shared" si="19"/>
        <v>0</v>
      </c>
      <c r="BA243" s="90">
        <f>SUM($AV243:AY243)</f>
        <v>0</v>
      </c>
    </row>
    <row r="244" spans="16:53" x14ac:dyDescent="0.25">
      <c r="P244" s="90">
        <f t="shared" si="17"/>
        <v>0</v>
      </c>
      <c r="Q244" s="90">
        <f>SUM($L244:O244)</f>
        <v>0</v>
      </c>
      <c r="AH244" s="90">
        <f t="shared" si="18"/>
        <v>0</v>
      </c>
      <c r="AI244" s="90">
        <f>SUM($AD244:AG244)</f>
        <v>0</v>
      </c>
      <c r="AZ244" s="90">
        <f t="shared" si="19"/>
        <v>0</v>
      </c>
      <c r="BA244" s="90">
        <f>SUM($AV244:AY244)</f>
        <v>0</v>
      </c>
    </row>
    <row r="245" spans="16:53" x14ac:dyDescent="0.25">
      <c r="P245" s="90">
        <f t="shared" si="17"/>
        <v>0</v>
      </c>
      <c r="Q245" s="90">
        <f>SUM($L245:O245)</f>
        <v>0</v>
      </c>
      <c r="AH245" s="90">
        <f t="shared" si="18"/>
        <v>0</v>
      </c>
      <c r="AI245" s="90">
        <f>SUM($AD245:AG245)</f>
        <v>0</v>
      </c>
      <c r="AZ245" s="90">
        <f t="shared" si="19"/>
        <v>0</v>
      </c>
      <c r="BA245" s="90">
        <f>SUM($AV245:AY245)</f>
        <v>0</v>
      </c>
    </row>
    <row r="246" spans="16:53" x14ac:dyDescent="0.25">
      <c r="P246" s="90">
        <f t="shared" si="17"/>
        <v>0</v>
      </c>
      <c r="Q246" s="90">
        <f>SUM($L246:O246)</f>
        <v>0</v>
      </c>
      <c r="AH246" s="90">
        <f t="shared" si="18"/>
        <v>0</v>
      </c>
      <c r="AI246" s="90">
        <f>SUM($AD246:AG246)</f>
        <v>0</v>
      </c>
      <c r="AZ246" s="90">
        <f t="shared" si="19"/>
        <v>0</v>
      </c>
      <c r="BA246" s="90">
        <f>SUM($AV246:AY246)</f>
        <v>0</v>
      </c>
    </row>
    <row r="247" spans="16:53" x14ac:dyDescent="0.25">
      <c r="P247" s="90">
        <f t="shared" si="17"/>
        <v>0</v>
      </c>
      <c r="Q247" s="90">
        <f>SUM($L247:O247)</f>
        <v>0</v>
      </c>
      <c r="AH247" s="90">
        <f t="shared" si="18"/>
        <v>0</v>
      </c>
      <c r="AI247" s="90">
        <f>SUM($AD247:AG247)</f>
        <v>0</v>
      </c>
      <c r="AZ247" s="90">
        <f t="shared" si="19"/>
        <v>0</v>
      </c>
      <c r="BA247" s="90">
        <f>SUM($AV247:AY247)</f>
        <v>0</v>
      </c>
    </row>
    <row r="248" spans="16:53" x14ac:dyDescent="0.25">
      <c r="P248" s="90">
        <f t="shared" si="17"/>
        <v>0</v>
      </c>
      <c r="Q248" s="90">
        <f>SUM($L248:O248)</f>
        <v>0</v>
      </c>
      <c r="AH248" s="90">
        <f t="shared" si="18"/>
        <v>0</v>
      </c>
      <c r="AI248" s="90">
        <f>SUM($AD248:AG248)</f>
        <v>0</v>
      </c>
      <c r="AZ248" s="90">
        <f t="shared" si="19"/>
        <v>0</v>
      </c>
      <c r="BA248" s="90">
        <f>SUM($AV248:AY248)</f>
        <v>0</v>
      </c>
    </row>
    <row r="249" spans="16:53" x14ac:dyDescent="0.25">
      <c r="P249" s="90">
        <f t="shared" si="17"/>
        <v>0</v>
      </c>
      <c r="Q249" s="90">
        <f>SUM($L249:O249)</f>
        <v>0</v>
      </c>
      <c r="AH249" s="90">
        <f t="shared" si="18"/>
        <v>0</v>
      </c>
      <c r="AI249" s="90">
        <f>SUM($AD249:AG249)</f>
        <v>0</v>
      </c>
      <c r="AZ249" s="90">
        <f t="shared" si="19"/>
        <v>0</v>
      </c>
      <c r="BA249" s="90">
        <f>SUM($AV249:AY249)</f>
        <v>0</v>
      </c>
    </row>
    <row r="250" spans="16:53" x14ac:dyDescent="0.25">
      <c r="P250" s="90">
        <f t="shared" si="17"/>
        <v>0</v>
      </c>
      <c r="Q250" s="90">
        <f>SUM($L250:O250)</f>
        <v>0</v>
      </c>
      <c r="AH250" s="90">
        <f t="shared" si="18"/>
        <v>0</v>
      </c>
      <c r="AI250" s="90">
        <f>SUM($AD250:AG250)</f>
        <v>0</v>
      </c>
      <c r="AZ250" s="90">
        <f t="shared" si="19"/>
        <v>0</v>
      </c>
      <c r="BA250" s="90">
        <f>SUM($AV250:AY250)</f>
        <v>0</v>
      </c>
    </row>
    <row r="251" spans="16:53" x14ac:dyDescent="0.25">
      <c r="P251" s="90">
        <f t="shared" si="17"/>
        <v>0</v>
      </c>
      <c r="Q251" s="90">
        <f>SUM($L251:O251)</f>
        <v>0</v>
      </c>
      <c r="AH251" s="90">
        <f t="shared" si="18"/>
        <v>0</v>
      </c>
      <c r="AI251" s="90">
        <f>SUM($AD251:AG251)</f>
        <v>0</v>
      </c>
      <c r="AZ251" s="90">
        <f t="shared" si="19"/>
        <v>0</v>
      </c>
      <c r="BA251" s="90">
        <f>SUM($AV251:AY251)</f>
        <v>0</v>
      </c>
    </row>
    <row r="252" spans="16:53" x14ac:dyDescent="0.25">
      <c r="P252" s="90">
        <f t="shared" si="17"/>
        <v>0</v>
      </c>
      <c r="Q252" s="90">
        <f>SUM($L252:O252)</f>
        <v>0</v>
      </c>
      <c r="AH252" s="90">
        <f t="shared" si="18"/>
        <v>0</v>
      </c>
      <c r="AI252" s="90">
        <f>SUM($AD252:AG252)</f>
        <v>0</v>
      </c>
      <c r="AZ252" s="90">
        <f t="shared" si="19"/>
        <v>0</v>
      </c>
      <c r="BA252" s="90">
        <f>SUM($AV252:AY252)</f>
        <v>0</v>
      </c>
    </row>
    <row r="253" spans="16:53" x14ac:dyDescent="0.25">
      <c r="P253" s="90">
        <f t="shared" si="17"/>
        <v>0</v>
      </c>
      <c r="Q253" s="90">
        <f>SUM($L253:O253)</f>
        <v>0</v>
      </c>
      <c r="AH253" s="90">
        <f t="shared" si="18"/>
        <v>0</v>
      </c>
      <c r="AI253" s="90">
        <f>SUM($AD253:AG253)</f>
        <v>0</v>
      </c>
      <c r="AZ253" s="90">
        <f t="shared" si="19"/>
        <v>0</v>
      </c>
      <c r="BA253" s="90">
        <f>SUM($AV253:AY253)</f>
        <v>0</v>
      </c>
    </row>
    <row r="254" spans="16:53" x14ac:dyDescent="0.25">
      <c r="P254" s="90">
        <f t="shared" si="17"/>
        <v>0</v>
      </c>
      <c r="Q254" s="90">
        <f>SUM($L254:O254)</f>
        <v>0</v>
      </c>
      <c r="AH254" s="90">
        <f t="shared" si="18"/>
        <v>0</v>
      </c>
      <c r="AI254" s="90">
        <f>SUM($AD254:AG254)</f>
        <v>0</v>
      </c>
      <c r="AZ254" s="90">
        <f t="shared" si="19"/>
        <v>0</v>
      </c>
      <c r="BA254" s="90">
        <f>SUM($AV254:AY254)</f>
        <v>0</v>
      </c>
    </row>
    <row r="255" spans="16:53" x14ac:dyDescent="0.25">
      <c r="P255" s="90">
        <f t="shared" si="17"/>
        <v>0</v>
      </c>
      <c r="Q255" s="90">
        <f>SUM($L255:O255)</f>
        <v>0</v>
      </c>
      <c r="AH255" s="90">
        <f t="shared" si="18"/>
        <v>0</v>
      </c>
      <c r="AI255" s="90">
        <f>SUM($AD255:AG255)</f>
        <v>0</v>
      </c>
      <c r="AZ255" s="90">
        <f t="shared" si="19"/>
        <v>0</v>
      </c>
      <c r="BA255" s="90">
        <f>SUM($AV255:AY255)</f>
        <v>0</v>
      </c>
    </row>
    <row r="256" spans="16:53" x14ac:dyDescent="0.25">
      <c r="P256" s="90">
        <f t="shared" si="17"/>
        <v>0</v>
      </c>
      <c r="Q256" s="90">
        <f>SUM($L256:O256)</f>
        <v>0</v>
      </c>
      <c r="AH256" s="90">
        <f t="shared" si="18"/>
        <v>0</v>
      </c>
      <c r="AI256" s="90">
        <f>SUM($AD256:AG256)</f>
        <v>0</v>
      </c>
      <c r="AZ256" s="90">
        <f t="shared" si="19"/>
        <v>0</v>
      </c>
      <c r="BA256" s="90">
        <f>SUM($AV256:AY256)</f>
        <v>0</v>
      </c>
    </row>
    <row r="257" spans="16:53" x14ac:dyDescent="0.25">
      <c r="P257" s="90">
        <f t="shared" si="17"/>
        <v>0</v>
      </c>
      <c r="Q257" s="90">
        <f>SUM($L257:O257)</f>
        <v>0</v>
      </c>
      <c r="AH257" s="90">
        <f t="shared" si="18"/>
        <v>0</v>
      </c>
      <c r="AI257" s="90">
        <f>SUM($AD257:AG257)</f>
        <v>0</v>
      </c>
      <c r="AZ257" s="90">
        <f t="shared" si="19"/>
        <v>0</v>
      </c>
      <c r="BA257" s="90">
        <f>SUM($AV257:AY257)</f>
        <v>0</v>
      </c>
    </row>
    <row r="258" spans="16:53" x14ac:dyDescent="0.25">
      <c r="P258" s="90">
        <f t="shared" si="17"/>
        <v>0</v>
      </c>
      <c r="Q258" s="90">
        <f>SUM($L258:O258)</f>
        <v>0</v>
      </c>
      <c r="AH258" s="90">
        <f t="shared" si="18"/>
        <v>0</v>
      </c>
      <c r="AI258" s="90">
        <f>SUM($AD258:AG258)</f>
        <v>0</v>
      </c>
      <c r="AZ258" s="90">
        <f t="shared" si="19"/>
        <v>0</v>
      </c>
      <c r="BA258" s="90">
        <f>SUM($AV258:AY258)</f>
        <v>0</v>
      </c>
    </row>
    <row r="259" spans="16:53" x14ac:dyDescent="0.25">
      <c r="P259" s="90">
        <f t="shared" si="17"/>
        <v>0</v>
      </c>
      <c r="Q259" s="90">
        <f>SUM($L259:O259)</f>
        <v>0</v>
      </c>
      <c r="AH259" s="90">
        <f t="shared" si="18"/>
        <v>0</v>
      </c>
      <c r="AI259" s="90">
        <f>SUM($AD259:AG259)</f>
        <v>0</v>
      </c>
      <c r="AZ259" s="90">
        <f t="shared" si="19"/>
        <v>0</v>
      </c>
      <c r="BA259" s="90">
        <f>SUM($AV259:AY259)</f>
        <v>0</v>
      </c>
    </row>
    <row r="260" spans="16:53" x14ac:dyDescent="0.25">
      <c r="P260" s="90">
        <f t="shared" si="17"/>
        <v>0</v>
      </c>
      <c r="Q260" s="90">
        <f>SUM($L260:O260)</f>
        <v>0</v>
      </c>
      <c r="AH260" s="90">
        <f t="shared" si="18"/>
        <v>0</v>
      </c>
      <c r="AI260" s="90">
        <f>SUM($AD260:AG260)</f>
        <v>0</v>
      </c>
      <c r="AZ260" s="90">
        <f t="shared" si="19"/>
        <v>0</v>
      </c>
      <c r="BA260" s="90">
        <f>SUM($AV260:AY260)</f>
        <v>0</v>
      </c>
    </row>
    <row r="261" spans="16:53" x14ac:dyDescent="0.25">
      <c r="P261" s="90">
        <f t="shared" ref="P261:P324" si="20">SUM(B261:K261)</f>
        <v>0</v>
      </c>
      <c r="Q261" s="90">
        <f>SUM($L261:O261)</f>
        <v>0</v>
      </c>
      <c r="AH261" s="90">
        <f t="shared" ref="AH261:AH324" si="21">SUM(T261:AC261)</f>
        <v>0</v>
      </c>
      <c r="AI261" s="90">
        <f>SUM($AD261:AG261)</f>
        <v>0</v>
      </c>
      <c r="AZ261" s="90">
        <f t="shared" ref="AZ261:AZ324" si="22">SUM(AL261:AU261)</f>
        <v>0</v>
      </c>
      <c r="BA261" s="90">
        <f>SUM($AV261:AY261)</f>
        <v>0</v>
      </c>
    </row>
    <row r="262" spans="16:53" x14ac:dyDescent="0.25">
      <c r="P262" s="90">
        <f t="shared" si="20"/>
        <v>0</v>
      </c>
      <c r="Q262" s="90">
        <f>SUM($L262:O262)</f>
        <v>0</v>
      </c>
      <c r="AH262" s="90">
        <f t="shared" si="21"/>
        <v>0</v>
      </c>
      <c r="AI262" s="90">
        <f>SUM($AD262:AG262)</f>
        <v>0</v>
      </c>
      <c r="AZ262" s="90">
        <f t="shared" si="22"/>
        <v>0</v>
      </c>
      <c r="BA262" s="90">
        <f>SUM($AV262:AY262)</f>
        <v>0</v>
      </c>
    </row>
    <row r="263" spans="16:53" x14ac:dyDescent="0.25">
      <c r="P263" s="90">
        <f t="shared" si="20"/>
        <v>0</v>
      </c>
      <c r="Q263" s="90">
        <f>SUM($L263:O263)</f>
        <v>0</v>
      </c>
      <c r="AH263" s="90">
        <f t="shared" si="21"/>
        <v>0</v>
      </c>
      <c r="AI263" s="90">
        <f>SUM($AD263:AG263)</f>
        <v>0</v>
      </c>
      <c r="AZ263" s="90">
        <f t="shared" si="22"/>
        <v>0</v>
      </c>
      <c r="BA263" s="90">
        <f>SUM($AV263:AY263)</f>
        <v>0</v>
      </c>
    </row>
    <row r="264" spans="16:53" x14ac:dyDescent="0.25">
      <c r="P264" s="90">
        <f t="shared" si="20"/>
        <v>0</v>
      </c>
      <c r="Q264" s="90">
        <f>SUM($L264:O264)</f>
        <v>0</v>
      </c>
      <c r="AH264" s="90">
        <f t="shared" si="21"/>
        <v>0</v>
      </c>
      <c r="AI264" s="90">
        <f>SUM($AD264:AG264)</f>
        <v>0</v>
      </c>
      <c r="AZ264" s="90">
        <f t="shared" si="22"/>
        <v>0</v>
      </c>
      <c r="BA264" s="90">
        <f>SUM($AV264:AY264)</f>
        <v>0</v>
      </c>
    </row>
    <row r="265" spans="16:53" x14ac:dyDescent="0.25">
      <c r="P265" s="90">
        <f t="shared" si="20"/>
        <v>0</v>
      </c>
      <c r="Q265" s="90">
        <f>SUM($L265:O265)</f>
        <v>0</v>
      </c>
      <c r="AH265" s="90">
        <f t="shared" si="21"/>
        <v>0</v>
      </c>
      <c r="AI265" s="90">
        <f>SUM($AD265:AG265)</f>
        <v>0</v>
      </c>
      <c r="AZ265" s="90">
        <f t="shared" si="22"/>
        <v>0</v>
      </c>
      <c r="BA265" s="90">
        <f>SUM($AV265:AY265)</f>
        <v>0</v>
      </c>
    </row>
    <row r="266" spans="16:53" x14ac:dyDescent="0.25">
      <c r="P266" s="90">
        <f t="shared" si="20"/>
        <v>0</v>
      </c>
      <c r="Q266" s="90">
        <f>SUM($L266:O266)</f>
        <v>0</v>
      </c>
      <c r="AH266" s="90">
        <f t="shared" si="21"/>
        <v>0</v>
      </c>
      <c r="AI266" s="90">
        <f>SUM($AD266:AG266)</f>
        <v>0</v>
      </c>
      <c r="AZ266" s="90">
        <f t="shared" si="22"/>
        <v>0</v>
      </c>
      <c r="BA266" s="90">
        <f>SUM($AV266:AY266)</f>
        <v>0</v>
      </c>
    </row>
    <row r="267" spans="16:53" x14ac:dyDescent="0.25">
      <c r="P267" s="90">
        <f t="shared" si="20"/>
        <v>0</v>
      </c>
      <c r="Q267" s="90">
        <f>SUM($L267:O267)</f>
        <v>0</v>
      </c>
      <c r="AH267" s="90">
        <f t="shared" si="21"/>
        <v>0</v>
      </c>
      <c r="AI267" s="90">
        <f>SUM($AD267:AG267)</f>
        <v>0</v>
      </c>
      <c r="AZ267" s="90">
        <f t="shared" si="22"/>
        <v>0</v>
      </c>
      <c r="BA267" s="90">
        <f>SUM($AV267:AY267)</f>
        <v>0</v>
      </c>
    </row>
    <row r="268" spans="16:53" x14ac:dyDescent="0.25">
      <c r="P268" s="90">
        <f t="shared" si="20"/>
        <v>0</v>
      </c>
      <c r="Q268" s="90">
        <f>SUM($L268:O268)</f>
        <v>0</v>
      </c>
      <c r="AH268" s="90">
        <f t="shared" si="21"/>
        <v>0</v>
      </c>
      <c r="AI268" s="90">
        <f>SUM($AD268:AG268)</f>
        <v>0</v>
      </c>
      <c r="AZ268" s="90">
        <f t="shared" si="22"/>
        <v>0</v>
      </c>
      <c r="BA268" s="90">
        <f>SUM($AV268:AY268)</f>
        <v>0</v>
      </c>
    </row>
    <row r="269" spans="16:53" x14ac:dyDescent="0.25">
      <c r="P269" s="90">
        <f t="shared" si="20"/>
        <v>0</v>
      </c>
      <c r="Q269" s="90">
        <f>SUM($L269:O269)</f>
        <v>0</v>
      </c>
      <c r="AH269" s="90">
        <f t="shared" si="21"/>
        <v>0</v>
      </c>
      <c r="AI269" s="90">
        <f>SUM($AD269:AG269)</f>
        <v>0</v>
      </c>
      <c r="AZ269" s="90">
        <f t="shared" si="22"/>
        <v>0</v>
      </c>
      <c r="BA269" s="90">
        <f>SUM($AV269:AY269)</f>
        <v>0</v>
      </c>
    </row>
    <row r="270" spans="16:53" x14ac:dyDescent="0.25">
      <c r="P270" s="90">
        <f t="shared" si="20"/>
        <v>0</v>
      </c>
      <c r="Q270" s="90">
        <f>SUM($L270:O270)</f>
        <v>0</v>
      </c>
      <c r="AH270" s="90">
        <f t="shared" si="21"/>
        <v>0</v>
      </c>
      <c r="AI270" s="90">
        <f>SUM($AD270:AG270)</f>
        <v>0</v>
      </c>
      <c r="AZ270" s="90">
        <f t="shared" si="22"/>
        <v>0</v>
      </c>
      <c r="BA270" s="90">
        <f>SUM($AV270:AY270)</f>
        <v>0</v>
      </c>
    </row>
    <row r="271" spans="16:53" x14ac:dyDescent="0.25">
      <c r="P271" s="90">
        <f t="shared" si="20"/>
        <v>0</v>
      </c>
      <c r="Q271" s="90">
        <f>SUM($L271:O271)</f>
        <v>0</v>
      </c>
      <c r="AH271" s="90">
        <f t="shared" si="21"/>
        <v>0</v>
      </c>
      <c r="AI271" s="90">
        <f>SUM($AD271:AG271)</f>
        <v>0</v>
      </c>
      <c r="AZ271" s="90">
        <f t="shared" si="22"/>
        <v>0</v>
      </c>
      <c r="BA271" s="90">
        <f>SUM($AV271:AY271)</f>
        <v>0</v>
      </c>
    </row>
    <row r="272" spans="16:53" x14ac:dyDescent="0.25">
      <c r="P272" s="90">
        <f t="shared" si="20"/>
        <v>0</v>
      </c>
      <c r="Q272" s="90">
        <f>SUM($L272:O272)</f>
        <v>0</v>
      </c>
      <c r="AH272" s="90">
        <f t="shared" si="21"/>
        <v>0</v>
      </c>
      <c r="AI272" s="90">
        <f>SUM($AD272:AG272)</f>
        <v>0</v>
      </c>
      <c r="AZ272" s="90">
        <f t="shared" si="22"/>
        <v>0</v>
      </c>
      <c r="BA272" s="90">
        <f>SUM($AV272:AY272)</f>
        <v>0</v>
      </c>
    </row>
    <row r="273" spans="16:53" x14ac:dyDescent="0.25">
      <c r="P273" s="90">
        <f t="shared" si="20"/>
        <v>0</v>
      </c>
      <c r="Q273" s="90">
        <f>SUM($L273:O273)</f>
        <v>0</v>
      </c>
      <c r="AH273" s="90">
        <f t="shared" si="21"/>
        <v>0</v>
      </c>
      <c r="AI273" s="90">
        <f>SUM($AD273:AG273)</f>
        <v>0</v>
      </c>
      <c r="AZ273" s="90">
        <f t="shared" si="22"/>
        <v>0</v>
      </c>
      <c r="BA273" s="90">
        <f>SUM($AV273:AY273)</f>
        <v>0</v>
      </c>
    </row>
    <row r="274" spans="16:53" x14ac:dyDescent="0.25">
      <c r="P274" s="90">
        <f t="shared" si="20"/>
        <v>0</v>
      </c>
      <c r="Q274" s="90">
        <f>SUM($L274:O274)</f>
        <v>0</v>
      </c>
      <c r="AH274" s="90">
        <f t="shared" si="21"/>
        <v>0</v>
      </c>
      <c r="AI274" s="90">
        <f>SUM($AD274:AG274)</f>
        <v>0</v>
      </c>
      <c r="AZ274" s="90">
        <f t="shared" si="22"/>
        <v>0</v>
      </c>
      <c r="BA274" s="90">
        <f>SUM($AV274:AY274)</f>
        <v>0</v>
      </c>
    </row>
    <row r="275" spans="16:53" x14ac:dyDescent="0.25">
      <c r="P275" s="90">
        <f t="shared" si="20"/>
        <v>0</v>
      </c>
      <c r="Q275" s="90">
        <f>SUM($L275:O275)</f>
        <v>0</v>
      </c>
      <c r="AH275" s="90">
        <f t="shared" si="21"/>
        <v>0</v>
      </c>
      <c r="AI275" s="90">
        <f>SUM($AD275:AG275)</f>
        <v>0</v>
      </c>
      <c r="AZ275" s="90">
        <f t="shared" si="22"/>
        <v>0</v>
      </c>
      <c r="BA275" s="90">
        <f>SUM($AV275:AY275)</f>
        <v>0</v>
      </c>
    </row>
    <row r="276" spans="16:53" x14ac:dyDescent="0.25">
      <c r="P276" s="90">
        <f t="shared" si="20"/>
        <v>0</v>
      </c>
      <c r="Q276" s="90">
        <f>SUM($L276:O276)</f>
        <v>0</v>
      </c>
      <c r="AH276" s="90">
        <f t="shared" si="21"/>
        <v>0</v>
      </c>
      <c r="AI276" s="90">
        <f>SUM($AD276:AG276)</f>
        <v>0</v>
      </c>
      <c r="AZ276" s="90">
        <f t="shared" si="22"/>
        <v>0</v>
      </c>
      <c r="BA276" s="90">
        <f>SUM($AV276:AY276)</f>
        <v>0</v>
      </c>
    </row>
    <row r="277" spans="16:53" x14ac:dyDescent="0.25">
      <c r="P277" s="90">
        <f t="shared" si="20"/>
        <v>0</v>
      </c>
      <c r="Q277" s="90">
        <f>SUM($L277:O277)</f>
        <v>0</v>
      </c>
      <c r="AH277" s="90">
        <f t="shared" si="21"/>
        <v>0</v>
      </c>
      <c r="AI277" s="90">
        <f>SUM($AD277:AG277)</f>
        <v>0</v>
      </c>
      <c r="AZ277" s="90">
        <f t="shared" si="22"/>
        <v>0</v>
      </c>
      <c r="BA277" s="90">
        <f>SUM($AV277:AY277)</f>
        <v>0</v>
      </c>
    </row>
    <row r="278" spans="16:53" x14ac:dyDescent="0.25">
      <c r="P278" s="90">
        <f t="shared" si="20"/>
        <v>0</v>
      </c>
      <c r="Q278" s="90">
        <f>SUM($L278:O278)</f>
        <v>0</v>
      </c>
      <c r="AH278" s="90">
        <f t="shared" si="21"/>
        <v>0</v>
      </c>
      <c r="AI278" s="90">
        <f>SUM($AD278:AG278)</f>
        <v>0</v>
      </c>
      <c r="AZ278" s="90">
        <f t="shared" si="22"/>
        <v>0</v>
      </c>
      <c r="BA278" s="90">
        <f>SUM($AV278:AY278)</f>
        <v>0</v>
      </c>
    </row>
    <row r="279" spans="16:53" x14ac:dyDescent="0.25">
      <c r="P279" s="90">
        <f t="shared" si="20"/>
        <v>0</v>
      </c>
      <c r="Q279" s="90">
        <f>SUM($L279:O279)</f>
        <v>0</v>
      </c>
      <c r="AH279" s="90">
        <f t="shared" si="21"/>
        <v>0</v>
      </c>
      <c r="AI279" s="90">
        <f>SUM($AD279:AG279)</f>
        <v>0</v>
      </c>
      <c r="AZ279" s="90">
        <f t="shared" si="22"/>
        <v>0</v>
      </c>
      <c r="BA279" s="90">
        <f>SUM($AV279:AY279)</f>
        <v>0</v>
      </c>
    </row>
    <row r="280" spans="16:53" x14ac:dyDescent="0.25">
      <c r="P280" s="90">
        <f t="shared" si="20"/>
        <v>0</v>
      </c>
      <c r="Q280" s="90">
        <f>SUM($L280:O280)</f>
        <v>0</v>
      </c>
      <c r="AH280" s="90">
        <f t="shared" si="21"/>
        <v>0</v>
      </c>
      <c r="AI280" s="90">
        <f>SUM($AD280:AG280)</f>
        <v>0</v>
      </c>
      <c r="AZ280" s="90">
        <f t="shared" si="22"/>
        <v>0</v>
      </c>
      <c r="BA280" s="90">
        <f>SUM($AV280:AY280)</f>
        <v>0</v>
      </c>
    </row>
    <row r="281" spans="16:53" x14ac:dyDescent="0.25">
      <c r="P281" s="90">
        <f t="shared" si="20"/>
        <v>0</v>
      </c>
      <c r="Q281" s="90">
        <f>SUM($L281:O281)</f>
        <v>0</v>
      </c>
      <c r="AH281" s="90">
        <f t="shared" si="21"/>
        <v>0</v>
      </c>
      <c r="AI281" s="90">
        <f>SUM($AD281:AG281)</f>
        <v>0</v>
      </c>
      <c r="AZ281" s="90">
        <f t="shared" si="22"/>
        <v>0</v>
      </c>
      <c r="BA281" s="90">
        <f>SUM($AV281:AY281)</f>
        <v>0</v>
      </c>
    </row>
    <row r="282" spans="16:53" x14ac:dyDescent="0.25">
      <c r="P282" s="90">
        <f t="shared" si="20"/>
        <v>0</v>
      </c>
      <c r="Q282" s="90">
        <f>SUM($L282:O282)</f>
        <v>0</v>
      </c>
      <c r="AH282" s="90">
        <f t="shared" si="21"/>
        <v>0</v>
      </c>
      <c r="AI282" s="90">
        <f>SUM($AD282:AG282)</f>
        <v>0</v>
      </c>
      <c r="AZ282" s="90">
        <f t="shared" si="22"/>
        <v>0</v>
      </c>
      <c r="BA282" s="90">
        <f>SUM($AV282:AY282)</f>
        <v>0</v>
      </c>
    </row>
    <row r="283" spans="16:53" x14ac:dyDescent="0.25">
      <c r="P283" s="90">
        <f t="shared" si="20"/>
        <v>0</v>
      </c>
      <c r="Q283" s="90">
        <f>SUM($L283:O283)</f>
        <v>0</v>
      </c>
      <c r="AH283" s="90">
        <f t="shared" si="21"/>
        <v>0</v>
      </c>
      <c r="AI283" s="90">
        <f>SUM($AD283:AG283)</f>
        <v>0</v>
      </c>
      <c r="AZ283" s="90">
        <f t="shared" si="22"/>
        <v>0</v>
      </c>
      <c r="BA283" s="90">
        <f>SUM($AV283:AY283)</f>
        <v>0</v>
      </c>
    </row>
    <row r="284" spans="16:53" x14ac:dyDescent="0.25">
      <c r="P284" s="90">
        <f t="shared" si="20"/>
        <v>0</v>
      </c>
      <c r="Q284" s="90">
        <f>SUM($L284:O284)</f>
        <v>0</v>
      </c>
      <c r="AH284" s="90">
        <f t="shared" si="21"/>
        <v>0</v>
      </c>
      <c r="AI284" s="90">
        <f>SUM($AD284:AG284)</f>
        <v>0</v>
      </c>
      <c r="AZ284" s="90">
        <f t="shared" si="22"/>
        <v>0</v>
      </c>
      <c r="BA284" s="90">
        <f>SUM($AV284:AY284)</f>
        <v>0</v>
      </c>
    </row>
    <row r="285" spans="16:53" x14ac:dyDescent="0.25">
      <c r="P285" s="90">
        <f t="shared" si="20"/>
        <v>0</v>
      </c>
      <c r="Q285" s="90">
        <f>SUM($L285:O285)</f>
        <v>0</v>
      </c>
      <c r="AH285" s="90">
        <f t="shared" si="21"/>
        <v>0</v>
      </c>
      <c r="AI285" s="90">
        <f>SUM($AD285:AG285)</f>
        <v>0</v>
      </c>
      <c r="AZ285" s="90">
        <f t="shared" si="22"/>
        <v>0</v>
      </c>
      <c r="BA285" s="90">
        <f>SUM($AV285:AY285)</f>
        <v>0</v>
      </c>
    </row>
    <row r="286" spans="16:53" x14ac:dyDescent="0.25">
      <c r="P286" s="90">
        <f t="shared" si="20"/>
        <v>0</v>
      </c>
      <c r="Q286" s="90">
        <f>SUM($L286:O286)</f>
        <v>0</v>
      </c>
      <c r="AH286" s="90">
        <f t="shared" si="21"/>
        <v>0</v>
      </c>
      <c r="AI286" s="90">
        <f>SUM($AD286:AG286)</f>
        <v>0</v>
      </c>
      <c r="AZ286" s="90">
        <f t="shared" si="22"/>
        <v>0</v>
      </c>
      <c r="BA286" s="90">
        <f>SUM($AV286:AY286)</f>
        <v>0</v>
      </c>
    </row>
    <row r="287" spans="16:53" x14ac:dyDescent="0.25">
      <c r="P287" s="90">
        <f t="shared" si="20"/>
        <v>0</v>
      </c>
      <c r="Q287" s="90">
        <f>SUM($L287:O287)</f>
        <v>0</v>
      </c>
      <c r="AH287" s="90">
        <f t="shared" si="21"/>
        <v>0</v>
      </c>
      <c r="AI287" s="90">
        <f>SUM($AD287:AG287)</f>
        <v>0</v>
      </c>
      <c r="AZ287" s="90">
        <f t="shared" si="22"/>
        <v>0</v>
      </c>
      <c r="BA287" s="90">
        <f>SUM($AV287:AY287)</f>
        <v>0</v>
      </c>
    </row>
    <row r="288" spans="16:53" x14ac:dyDescent="0.25">
      <c r="P288" s="90">
        <f t="shared" si="20"/>
        <v>0</v>
      </c>
      <c r="Q288" s="90">
        <f>SUM($L288:O288)</f>
        <v>0</v>
      </c>
      <c r="AH288" s="90">
        <f t="shared" si="21"/>
        <v>0</v>
      </c>
      <c r="AI288" s="90">
        <f>SUM($AD288:AG288)</f>
        <v>0</v>
      </c>
      <c r="AZ288" s="90">
        <f t="shared" si="22"/>
        <v>0</v>
      </c>
      <c r="BA288" s="90">
        <f>SUM($AV288:AY288)</f>
        <v>0</v>
      </c>
    </row>
    <row r="289" spans="16:53" x14ac:dyDescent="0.25">
      <c r="P289" s="90">
        <f t="shared" si="20"/>
        <v>0</v>
      </c>
      <c r="Q289" s="90">
        <f>SUM($L289:O289)</f>
        <v>0</v>
      </c>
      <c r="AH289" s="90">
        <f t="shared" si="21"/>
        <v>0</v>
      </c>
      <c r="AI289" s="90">
        <f>SUM($AD289:AG289)</f>
        <v>0</v>
      </c>
      <c r="AZ289" s="90">
        <f t="shared" si="22"/>
        <v>0</v>
      </c>
      <c r="BA289" s="90">
        <f>SUM($AV289:AY289)</f>
        <v>0</v>
      </c>
    </row>
    <row r="290" spans="16:53" x14ac:dyDescent="0.25">
      <c r="P290" s="90">
        <f t="shared" si="20"/>
        <v>0</v>
      </c>
      <c r="Q290" s="90">
        <f>SUM($L290:O290)</f>
        <v>0</v>
      </c>
      <c r="AH290" s="90">
        <f t="shared" si="21"/>
        <v>0</v>
      </c>
      <c r="AI290" s="90">
        <f>SUM($AD290:AG290)</f>
        <v>0</v>
      </c>
      <c r="AZ290" s="90">
        <f t="shared" si="22"/>
        <v>0</v>
      </c>
      <c r="BA290" s="90">
        <f>SUM($AV290:AY290)</f>
        <v>0</v>
      </c>
    </row>
    <row r="291" spans="16:53" x14ac:dyDescent="0.25">
      <c r="P291" s="90">
        <f t="shared" si="20"/>
        <v>0</v>
      </c>
      <c r="Q291" s="90">
        <f>SUM($L291:O291)</f>
        <v>0</v>
      </c>
      <c r="AH291" s="90">
        <f t="shared" si="21"/>
        <v>0</v>
      </c>
      <c r="AI291" s="90">
        <f>SUM($AD291:AG291)</f>
        <v>0</v>
      </c>
      <c r="AZ291" s="90">
        <f t="shared" si="22"/>
        <v>0</v>
      </c>
      <c r="BA291" s="90">
        <f>SUM($AV291:AY291)</f>
        <v>0</v>
      </c>
    </row>
    <row r="292" spans="16:53" x14ac:dyDescent="0.25">
      <c r="P292" s="90">
        <f t="shared" si="20"/>
        <v>0</v>
      </c>
      <c r="Q292" s="90">
        <f>SUM($L292:O292)</f>
        <v>0</v>
      </c>
      <c r="AH292" s="90">
        <f t="shared" si="21"/>
        <v>0</v>
      </c>
      <c r="AI292" s="90">
        <f>SUM($AD292:AG292)</f>
        <v>0</v>
      </c>
      <c r="AZ292" s="90">
        <f t="shared" si="22"/>
        <v>0</v>
      </c>
      <c r="BA292" s="90">
        <f>SUM($AV292:AY292)</f>
        <v>0</v>
      </c>
    </row>
    <row r="293" spans="16:53" x14ac:dyDescent="0.25">
      <c r="P293" s="90">
        <f t="shared" si="20"/>
        <v>0</v>
      </c>
      <c r="Q293" s="90">
        <f>SUM($L293:O293)</f>
        <v>0</v>
      </c>
      <c r="AH293" s="90">
        <f t="shared" si="21"/>
        <v>0</v>
      </c>
      <c r="AI293" s="90">
        <f>SUM($AD293:AG293)</f>
        <v>0</v>
      </c>
      <c r="AZ293" s="90">
        <f t="shared" si="22"/>
        <v>0</v>
      </c>
      <c r="BA293" s="90">
        <f>SUM($AV293:AY293)</f>
        <v>0</v>
      </c>
    </row>
    <row r="294" spans="16:53" x14ac:dyDescent="0.25">
      <c r="P294" s="90">
        <f t="shared" si="20"/>
        <v>0</v>
      </c>
      <c r="Q294" s="90">
        <f>SUM($L294:O294)</f>
        <v>0</v>
      </c>
      <c r="AH294" s="90">
        <f t="shared" si="21"/>
        <v>0</v>
      </c>
      <c r="AI294" s="90">
        <f>SUM($AD294:AG294)</f>
        <v>0</v>
      </c>
      <c r="AZ294" s="90">
        <f t="shared" si="22"/>
        <v>0</v>
      </c>
      <c r="BA294" s="90">
        <f>SUM($AV294:AY294)</f>
        <v>0</v>
      </c>
    </row>
    <row r="295" spans="16:53" x14ac:dyDescent="0.25">
      <c r="P295" s="90">
        <f t="shared" si="20"/>
        <v>0</v>
      </c>
      <c r="Q295" s="90">
        <f>SUM($L295:O295)</f>
        <v>0</v>
      </c>
      <c r="AH295" s="90">
        <f t="shared" si="21"/>
        <v>0</v>
      </c>
      <c r="AI295" s="90">
        <f>SUM($AD295:AG295)</f>
        <v>0</v>
      </c>
      <c r="AZ295" s="90">
        <f t="shared" si="22"/>
        <v>0</v>
      </c>
      <c r="BA295" s="90">
        <f>SUM($AV295:AY295)</f>
        <v>0</v>
      </c>
    </row>
    <row r="296" spans="16:53" x14ac:dyDescent="0.25">
      <c r="P296" s="90">
        <f t="shared" si="20"/>
        <v>0</v>
      </c>
      <c r="Q296" s="90">
        <f>SUM($L296:O296)</f>
        <v>0</v>
      </c>
      <c r="AH296" s="90">
        <f t="shared" si="21"/>
        <v>0</v>
      </c>
      <c r="AI296" s="90">
        <f>SUM($AD296:AG296)</f>
        <v>0</v>
      </c>
      <c r="AZ296" s="90">
        <f t="shared" si="22"/>
        <v>0</v>
      </c>
      <c r="BA296" s="90">
        <f>SUM($AV296:AY296)</f>
        <v>0</v>
      </c>
    </row>
    <row r="297" spans="16:53" x14ac:dyDescent="0.25">
      <c r="P297" s="90">
        <f t="shared" si="20"/>
        <v>0</v>
      </c>
      <c r="Q297" s="90">
        <f>SUM($L297:O297)</f>
        <v>0</v>
      </c>
      <c r="AH297" s="90">
        <f t="shared" si="21"/>
        <v>0</v>
      </c>
      <c r="AI297" s="90">
        <f>SUM($AD297:AG297)</f>
        <v>0</v>
      </c>
      <c r="AZ297" s="90">
        <f t="shared" si="22"/>
        <v>0</v>
      </c>
      <c r="BA297" s="90">
        <f>SUM($AV297:AY297)</f>
        <v>0</v>
      </c>
    </row>
    <row r="298" spans="16:53" x14ac:dyDescent="0.25">
      <c r="P298" s="90">
        <f t="shared" si="20"/>
        <v>0</v>
      </c>
      <c r="Q298" s="90">
        <f>SUM($L298:O298)</f>
        <v>0</v>
      </c>
      <c r="AH298" s="90">
        <f t="shared" si="21"/>
        <v>0</v>
      </c>
      <c r="AI298" s="90">
        <f>SUM($AD298:AG298)</f>
        <v>0</v>
      </c>
      <c r="AZ298" s="90">
        <f t="shared" si="22"/>
        <v>0</v>
      </c>
      <c r="BA298" s="90">
        <f>SUM($AV298:AY298)</f>
        <v>0</v>
      </c>
    </row>
    <row r="299" spans="16:53" x14ac:dyDescent="0.25">
      <c r="P299" s="90">
        <f t="shared" si="20"/>
        <v>0</v>
      </c>
      <c r="Q299" s="90">
        <f>SUM($L299:O299)</f>
        <v>0</v>
      </c>
      <c r="AH299" s="90">
        <f t="shared" si="21"/>
        <v>0</v>
      </c>
      <c r="AI299" s="90">
        <f>SUM($AD299:AG299)</f>
        <v>0</v>
      </c>
      <c r="AZ299" s="90">
        <f t="shared" si="22"/>
        <v>0</v>
      </c>
      <c r="BA299" s="90">
        <f>SUM($AV299:AY299)</f>
        <v>0</v>
      </c>
    </row>
    <row r="300" spans="16:53" x14ac:dyDescent="0.25">
      <c r="P300" s="90">
        <f t="shared" si="20"/>
        <v>0</v>
      </c>
      <c r="Q300" s="90">
        <f>SUM($L300:O300)</f>
        <v>0</v>
      </c>
      <c r="AH300" s="90">
        <f t="shared" si="21"/>
        <v>0</v>
      </c>
      <c r="AI300" s="90">
        <f>SUM($AD300:AG300)</f>
        <v>0</v>
      </c>
      <c r="AZ300" s="90">
        <f t="shared" si="22"/>
        <v>0</v>
      </c>
      <c r="BA300" s="90">
        <f>SUM($AV300:AY300)</f>
        <v>0</v>
      </c>
    </row>
    <row r="301" spans="16:53" x14ac:dyDescent="0.25">
      <c r="P301" s="90">
        <f t="shared" si="20"/>
        <v>0</v>
      </c>
      <c r="Q301" s="90">
        <f>SUM($L301:O301)</f>
        <v>0</v>
      </c>
      <c r="AH301" s="90">
        <f t="shared" si="21"/>
        <v>0</v>
      </c>
      <c r="AI301" s="90">
        <f>SUM($AD301:AG301)</f>
        <v>0</v>
      </c>
      <c r="AZ301" s="90">
        <f t="shared" si="22"/>
        <v>0</v>
      </c>
      <c r="BA301" s="90">
        <f>SUM($AV301:AY301)</f>
        <v>0</v>
      </c>
    </row>
    <row r="302" spans="16:53" x14ac:dyDescent="0.25">
      <c r="P302" s="90">
        <f t="shared" si="20"/>
        <v>0</v>
      </c>
      <c r="Q302" s="90">
        <f>SUM($L302:O302)</f>
        <v>0</v>
      </c>
      <c r="AH302" s="90">
        <f t="shared" si="21"/>
        <v>0</v>
      </c>
      <c r="AI302" s="90">
        <f>SUM($AD302:AG302)</f>
        <v>0</v>
      </c>
      <c r="AZ302" s="90">
        <f t="shared" si="22"/>
        <v>0</v>
      </c>
      <c r="BA302" s="90">
        <f>SUM($AV302:AY302)</f>
        <v>0</v>
      </c>
    </row>
    <row r="303" spans="16:53" x14ac:dyDescent="0.25">
      <c r="P303" s="90">
        <f t="shared" si="20"/>
        <v>0</v>
      </c>
      <c r="Q303" s="90">
        <f>SUM($L303:O303)</f>
        <v>0</v>
      </c>
      <c r="AH303" s="90">
        <f t="shared" si="21"/>
        <v>0</v>
      </c>
      <c r="AI303" s="90">
        <f>SUM($AD303:AG303)</f>
        <v>0</v>
      </c>
      <c r="AZ303" s="90">
        <f t="shared" si="22"/>
        <v>0</v>
      </c>
      <c r="BA303" s="90">
        <f>SUM($AV303:AY303)</f>
        <v>0</v>
      </c>
    </row>
    <row r="304" spans="16:53" x14ac:dyDescent="0.25">
      <c r="P304" s="90">
        <f t="shared" si="20"/>
        <v>0</v>
      </c>
      <c r="Q304" s="90">
        <f>SUM($L304:O304)</f>
        <v>0</v>
      </c>
      <c r="AH304" s="90">
        <f t="shared" si="21"/>
        <v>0</v>
      </c>
      <c r="AI304" s="90">
        <f>SUM($AD304:AG304)</f>
        <v>0</v>
      </c>
      <c r="AZ304" s="90">
        <f t="shared" si="22"/>
        <v>0</v>
      </c>
      <c r="BA304" s="90">
        <f>SUM($AV304:AY304)</f>
        <v>0</v>
      </c>
    </row>
    <row r="305" spans="16:53" x14ac:dyDescent="0.25">
      <c r="P305" s="90">
        <f t="shared" si="20"/>
        <v>0</v>
      </c>
      <c r="Q305" s="90">
        <f>SUM($L305:O305)</f>
        <v>0</v>
      </c>
      <c r="AH305" s="90">
        <f t="shared" si="21"/>
        <v>0</v>
      </c>
      <c r="AI305" s="90">
        <f>SUM($AD305:AG305)</f>
        <v>0</v>
      </c>
      <c r="AZ305" s="90">
        <f t="shared" si="22"/>
        <v>0</v>
      </c>
      <c r="BA305" s="90">
        <f>SUM($AV305:AY305)</f>
        <v>0</v>
      </c>
    </row>
    <row r="306" spans="16:53" x14ac:dyDescent="0.25">
      <c r="P306" s="90">
        <f t="shared" si="20"/>
        <v>0</v>
      </c>
      <c r="Q306" s="90">
        <f>SUM($L306:O306)</f>
        <v>0</v>
      </c>
      <c r="AH306" s="90">
        <f t="shared" si="21"/>
        <v>0</v>
      </c>
      <c r="AI306" s="90">
        <f>SUM($AD306:AG306)</f>
        <v>0</v>
      </c>
      <c r="AZ306" s="90">
        <f t="shared" si="22"/>
        <v>0</v>
      </c>
      <c r="BA306" s="90">
        <f>SUM($AV306:AY306)</f>
        <v>0</v>
      </c>
    </row>
    <row r="307" spans="16:53" x14ac:dyDescent="0.25">
      <c r="P307" s="90">
        <f t="shared" si="20"/>
        <v>0</v>
      </c>
      <c r="Q307" s="90">
        <f>SUM($L307:O307)</f>
        <v>0</v>
      </c>
      <c r="AH307" s="90">
        <f t="shared" si="21"/>
        <v>0</v>
      </c>
      <c r="AI307" s="90">
        <f>SUM($AD307:AG307)</f>
        <v>0</v>
      </c>
      <c r="AZ307" s="90">
        <f t="shared" si="22"/>
        <v>0</v>
      </c>
      <c r="BA307" s="90">
        <f>SUM($AV307:AY307)</f>
        <v>0</v>
      </c>
    </row>
    <row r="308" spans="16:53" x14ac:dyDescent="0.25">
      <c r="P308" s="90">
        <f t="shared" si="20"/>
        <v>0</v>
      </c>
      <c r="Q308" s="90">
        <f>SUM($L308:O308)</f>
        <v>0</v>
      </c>
      <c r="AH308" s="90">
        <f t="shared" si="21"/>
        <v>0</v>
      </c>
      <c r="AI308" s="90">
        <f>SUM($AD308:AG308)</f>
        <v>0</v>
      </c>
      <c r="AZ308" s="90">
        <f t="shared" si="22"/>
        <v>0</v>
      </c>
      <c r="BA308" s="90">
        <f>SUM($AV308:AY308)</f>
        <v>0</v>
      </c>
    </row>
    <row r="309" spans="16:53" x14ac:dyDescent="0.25">
      <c r="P309" s="90">
        <f t="shared" si="20"/>
        <v>0</v>
      </c>
      <c r="Q309" s="90">
        <f>SUM($L309:O309)</f>
        <v>0</v>
      </c>
      <c r="AH309" s="90">
        <f t="shared" si="21"/>
        <v>0</v>
      </c>
      <c r="AI309" s="90">
        <f>SUM($AD309:AG309)</f>
        <v>0</v>
      </c>
      <c r="AZ309" s="90">
        <f t="shared" si="22"/>
        <v>0</v>
      </c>
      <c r="BA309" s="90">
        <f>SUM($AV309:AY309)</f>
        <v>0</v>
      </c>
    </row>
    <row r="310" spans="16:53" x14ac:dyDescent="0.25">
      <c r="P310" s="90">
        <f t="shared" si="20"/>
        <v>0</v>
      </c>
      <c r="Q310" s="90">
        <f>SUM($L310:O310)</f>
        <v>0</v>
      </c>
      <c r="AH310" s="90">
        <f t="shared" si="21"/>
        <v>0</v>
      </c>
      <c r="AI310" s="90">
        <f>SUM($AD310:AG310)</f>
        <v>0</v>
      </c>
      <c r="AZ310" s="90">
        <f t="shared" si="22"/>
        <v>0</v>
      </c>
      <c r="BA310" s="90">
        <f>SUM($AV310:AY310)</f>
        <v>0</v>
      </c>
    </row>
    <row r="311" spans="16:53" x14ac:dyDescent="0.25">
      <c r="P311" s="90">
        <f t="shared" si="20"/>
        <v>0</v>
      </c>
      <c r="Q311" s="90">
        <f>SUM($L311:O311)</f>
        <v>0</v>
      </c>
      <c r="AH311" s="90">
        <f t="shared" si="21"/>
        <v>0</v>
      </c>
      <c r="AI311" s="90">
        <f>SUM($AD311:AG311)</f>
        <v>0</v>
      </c>
      <c r="AZ311" s="90">
        <f t="shared" si="22"/>
        <v>0</v>
      </c>
      <c r="BA311" s="90">
        <f>SUM($AV311:AY311)</f>
        <v>0</v>
      </c>
    </row>
    <row r="312" spans="16:53" x14ac:dyDescent="0.25">
      <c r="P312" s="90">
        <f t="shared" si="20"/>
        <v>0</v>
      </c>
      <c r="Q312" s="90">
        <f>SUM($L312:O312)</f>
        <v>0</v>
      </c>
      <c r="AH312" s="90">
        <f t="shared" si="21"/>
        <v>0</v>
      </c>
      <c r="AI312" s="90">
        <f>SUM($AD312:AG312)</f>
        <v>0</v>
      </c>
      <c r="AZ312" s="90">
        <f t="shared" si="22"/>
        <v>0</v>
      </c>
      <c r="BA312" s="90">
        <f>SUM($AV312:AY312)</f>
        <v>0</v>
      </c>
    </row>
    <row r="313" spans="16:53" x14ac:dyDescent="0.25">
      <c r="P313" s="90">
        <f t="shared" si="20"/>
        <v>0</v>
      </c>
      <c r="Q313" s="90">
        <f>SUM($L313:O313)</f>
        <v>0</v>
      </c>
      <c r="AH313" s="90">
        <f t="shared" si="21"/>
        <v>0</v>
      </c>
      <c r="AI313" s="90">
        <f>SUM($AD313:AG313)</f>
        <v>0</v>
      </c>
      <c r="AZ313" s="90">
        <f t="shared" si="22"/>
        <v>0</v>
      </c>
      <c r="BA313" s="90">
        <f>SUM($AV313:AY313)</f>
        <v>0</v>
      </c>
    </row>
    <row r="314" spans="16:53" x14ac:dyDescent="0.25">
      <c r="P314" s="90">
        <f t="shared" si="20"/>
        <v>0</v>
      </c>
      <c r="Q314" s="90">
        <f>SUM($L314:O314)</f>
        <v>0</v>
      </c>
      <c r="AH314" s="90">
        <f t="shared" si="21"/>
        <v>0</v>
      </c>
      <c r="AI314" s="90">
        <f>SUM($AD314:AG314)</f>
        <v>0</v>
      </c>
      <c r="AZ314" s="90">
        <f t="shared" si="22"/>
        <v>0</v>
      </c>
      <c r="BA314" s="90">
        <f>SUM($AV314:AY314)</f>
        <v>0</v>
      </c>
    </row>
    <row r="315" spans="16:53" x14ac:dyDescent="0.25">
      <c r="P315" s="90">
        <f t="shared" si="20"/>
        <v>0</v>
      </c>
      <c r="Q315" s="90">
        <f>SUM($L315:O315)</f>
        <v>0</v>
      </c>
      <c r="AH315" s="90">
        <f t="shared" si="21"/>
        <v>0</v>
      </c>
      <c r="AI315" s="90">
        <f>SUM($AD315:AG315)</f>
        <v>0</v>
      </c>
      <c r="AZ315" s="90">
        <f t="shared" si="22"/>
        <v>0</v>
      </c>
      <c r="BA315" s="90">
        <f>SUM($AV315:AY315)</f>
        <v>0</v>
      </c>
    </row>
    <row r="316" spans="16:53" x14ac:dyDescent="0.25">
      <c r="P316" s="90">
        <f t="shared" si="20"/>
        <v>0</v>
      </c>
      <c r="Q316" s="90">
        <f>SUM($L316:O316)</f>
        <v>0</v>
      </c>
      <c r="AH316" s="90">
        <f t="shared" si="21"/>
        <v>0</v>
      </c>
      <c r="AI316" s="90">
        <f>SUM($AD316:AG316)</f>
        <v>0</v>
      </c>
      <c r="AZ316" s="90">
        <f t="shared" si="22"/>
        <v>0</v>
      </c>
      <c r="BA316" s="90">
        <f>SUM($AV316:AY316)</f>
        <v>0</v>
      </c>
    </row>
    <row r="317" spans="16:53" x14ac:dyDescent="0.25">
      <c r="P317" s="90">
        <f t="shared" si="20"/>
        <v>0</v>
      </c>
      <c r="Q317" s="90">
        <f>SUM($L317:O317)</f>
        <v>0</v>
      </c>
      <c r="AH317" s="90">
        <f t="shared" si="21"/>
        <v>0</v>
      </c>
      <c r="AI317" s="90">
        <f>SUM($AD317:AG317)</f>
        <v>0</v>
      </c>
      <c r="AZ317" s="90">
        <f t="shared" si="22"/>
        <v>0</v>
      </c>
      <c r="BA317" s="90">
        <f>SUM($AV317:AY317)</f>
        <v>0</v>
      </c>
    </row>
    <row r="318" spans="16:53" x14ac:dyDescent="0.25">
      <c r="P318" s="90">
        <f t="shared" si="20"/>
        <v>0</v>
      </c>
      <c r="Q318" s="90">
        <f>SUM($L318:O318)</f>
        <v>0</v>
      </c>
      <c r="AH318" s="90">
        <f t="shared" si="21"/>
        <v>0</v>
      </c>
      <c r="AI318" s="90">
        <f>SUM($AD318:AG318)</f>
        <v>0</v>
      </c>
      <c r="AZ318" s="90">
        <f t="shared" si="22"/>
        <v>0</v>
      </c>
      <c r="BA318" s="90">
        <f>SUM($AV318:AY318)</f>
        <v>0</v>
      </c>
    </row>
    <row r="319" spans="16:53" x14ac:dyDescent="0.25">
      <c r="P319" s="90">
        <f t="shared" si="20"/>
        <v>0</v>
      </c>
      <c r="Q319" s="90">
        <f>SUM($L319:O319)</f>
        <v>0</v>
      </c>
      <c r="AH319" s="90">
        <f t="shared" si="21"/>
        <v>0</v>
      </c>
      <c r="AI319" s="90">
        <f>SUM($AD319:AG319)</f>
        <v>0</v>
      </c>
      <c r="AZ319" s="90">
        <f t="shared" si="22"/>
        <v>0</v>
      </c>
      <c r="BA319" s="90">
        <f>SUM($AV319:AY319)</f>
        <v>0</v>
      </c>
    </row>
    <row r="320" spans="16:53" x14ac:dyDescent="0.25">
      <c r="P320" s="90">
        <f t="shared" si="20"/>
        <v>0</v>
      </c>
      <c r="Q320" s="90">
        <f>SUM($L320:O320)</f>
        <v>0</v>
      </c>
      <c r="AH320" s="90">
        <f t="shared" si="21"/>
        <v>0</v>
      </c>
      <c r="AI320" s="90">
        <f>SUM($AD320:AG320)</f>
        <v>0</v>
      </c>
      <c r="AZ320" s="90">
        <f t="shared" si="22"/>
        <v>0</v>
      </c>
      <c r="BA320" s="90">
        <f>SUM($AV320:AY320)</f>
        <v>0</v>
      </c>
    </row>
    <row r="321" spans="16:53" x14ac:dyDescent="0.25">
      <c r="P321" s="90">
        <f t="shared" si="20"/>
        <v>0</v>
      </c>
      <c r="Q321" s="90">
        <f>SUM($L321:O321)</f>
        <v>0</v>
      </c>
      <c r="AH321" s="90">
        <f t="shared" si="21"/>
        <v>0</v>
      </c>
      <c r="AI321" s="90">
        <f>SUM($AD321:AG321)</f>
        <v>0</v>
      </c>
      <c r="AZ321" s="90">
        <f t="shared" si="22"/>
        <v>0</v>
      </c>
      <c r="BA321" s="90">
        <f>SUM($AV321:AY321)</f>
        <v>0</v>
      </c>
    </row>
    <row r="322" spans="16:53" x14ac:dyDescent="0.25">
      <c r="P322" s="90">
        <f t="shared" si="20"/>
        <v>0</v>
      </c>
      <c r="Q322" s="90">
        <f>SUM($L322:O322)</f>
        <v>0</v>
      </c>
      <c r="AH322" s="90">
        <f t="shared" si="21"/>
        <v>0</v>
      </c>
      <c r="AI322" s="90">
        <f>SUM($AD322:AG322)</f>
        <v>0</v>
      </c>
      <c r="AZ322" s="90">
        <f t="shared" si="22"/>
        <v>0</v>
      </c>
      <c r="BA322" s="90">
        <f>SUM($AV322:AY322)</f>
        <v>0</v>
      </c>
    </row>
    <row r="323" spans="16:53" x14ac:dyDescent="0.25">
      <c r="P323" s="90">
        <f t="shared" si="20"/>
        <v>0</v>
      </c>
      <c r="Q323" s="90">
        <f>SUM($L323:O323)</f>
        <v>0</v>
      </c>
      <c r="AH323" s="90">
        <f t="shared" si="21"/>
        <v>0</v>
      </c>
      <c r="AI323" s="90">
        <f>SUM($AD323:AG323)</f>
        <v>0</v>
      </c>
      <c r="AZ323" s="90">
        <f t="shared" si="22"/>
        <v>0</v>
      </c>
      <c r="BA323" s="90">
        <f>SUM($AV323:AY323)</f>
        <v>0</v>
      </c>
    </row>
    <row r="324" spans="16:53" x14ac:dyDescent="0.25">
      <c r="P324" s="90">
        <f t="shared" si="20"/>
        <v>0</v>
      </c>
      <c r="Q324" s="90">
        <f>SUM($L324:O324)</f>
        <v>0</v>
      </c>
      <c r="AH324" s="90">
        <f t="shared" si="21"/>
        <v>0</v>
      </c>
      <c r="AI324" s="90">
        <f>SUM($AD324:AG324)</f>
        <v>0</v>
      </c>
      <c r="AZ324" s="90">
        <f t="shared" si="22"/>
        <v>0</v>
      </c>
      <c r="BA324" s="90">
        <f>SUM($AV324:AY324)</f>
        <v>0</v>
      </c>
    </row>
    <row r="325" spans="16:53" x14ac:dyDescent="0.25">
      <c r="P325" s="90">
        <f t="shared" ref="P325:P346" si="23">SUM(B325:K325)</f>
        <v>0</v>
      </c>
      <c r="Q325" s="90">
        <f>SUM($L325:O325)</f>
        <v>0</v>
      </c>
      <c r="AH325" s="90">
        <f t="shared" ref="AH325:AH346" si="24">SUM(T325:AC325)</f>
        <v>0</v>
      </c>
      <c r="AI325" s="90">
        <f>SUM($AD325:AG325)</f>
        <v>0</v>
      </c>
      <c r="AZ325" s="90">
        <f t="shared" ref="AZ325:AZ346" si="25">SUM(AL325:AU325)</f>
        <v>0</v>
      </c>
      <c r="BA325" s="90">
        <f>SUM($AV325:AY325)</f>
        <v>0</v>
      </c>
    </row>
    <row r="326" spans="16:53" x14ac:dyDescent="0.25">
      <c r="P326" s="90">
        <f t="shared" si="23"/>
        <v>0</v>
      </c>
      <c r="Q326" s="90">
        <f>SUM($L326:O326)</f>
        <v>0</v>
      </c>
      <c r="AH326" s="90">
        <f t="shared" si="24"/>
        <v>0</v>
      </c>
      <c r="AI326" s="90">
        <f>SUM($AD326:AG326)</f>
        <v>0</v>
      </c>
      <c r="AZ326" s="90">
        <f t="shared" si="25"/>
        <v>0</v>
      </c>
      <c r="BA326" s="90">
        <f>SUM($AV326:AY326)</f>
        <v>0</v>
      </c>
    </row>
    <row r="327" spans="16:53" x14ac:dyDescent="0.25">
      <c r="P327" s="90">
        <f t="shared" si="23"/>
        <v>0</v>
      </c>
      <c r="Q327" s="90">
        <f>SUM($L327:O327)</f>
        <v>0</v>
      </c>
      <c r="AH327" s="90">
        <f t="shared" si="24"/>
        <v>0</v>
      </c>
      <c r="AI327" s="90">
        <f>SUM($AD327:AG327)</f>
        <v>0</v>
      </c>
      <c r="AZ327" s="90">
        <f t="shared" si="25"/>
        <v>0</v>
      </c>
      <c r="BA327" s="90">
        <f>SUM($AV327:AY327)</f>
        <v>0</v>
      </c>
    </row>
    <row r="328" spans="16:53" x14ac:dyDescent="0.25">
      <c r="P328" s="90">
        <f t="shared" si="23"/>
        <v>0</v>
      </c>
      <c r="Q328" s="90">
        <f>SUM($L328:O328)</f>
        <v>0</v>
      </c>
      <c r="AH328" s="90">
        <f t="shared" si="24"/>
        <v>0</v>
      </c>
      <c r="AI328" s="90">
        <f>SUM($AD328:AG328)</f>
        <v>0</v>
      </c>
      <c r="AZ328" s="90">
        <f t="shared" si="25"/>
        <v>0</v>
      </c>
      <c r="BA328" s="90">
        <f>SUM($AV328:AY328)</f>
        <v>0</v>
      </c>
    </row>
    <row r="329" spans="16:53" x14ac:dyDescent="0.25">
      <c r="P329" s="90">
        <f t="shared" si="23"/>
        <v>0</v>
      </c>
      <c r="Q329" s="90">
        <f>SUM($L329:O329)</f>
        <v>0</v>
      </c>
      <c r="AH329" s="90">
        <f t="shared" si="24"/>
        <v>0</v>
      </c>
      <c r="AI329" s="90">
        <f>SUM($AD329:AG329)</f>
        <v>0</v>
      </c>
      <c r="AZ329" s="90">
        <f t="shared" si="25"/>
        <v>0</v>
      </c>
      <c r="BA329" s="90">
        <f>SUM($AV329:AY329)</f>
        <v>0</v>
      </c>
    </row>
    <row r="330" spans="16:53" x14ac:dyDescent="0.25">
      <c r="P330" s="90">
        <f t="shared" si="23"/>
        <v>0</v>
      </c>
      <c r="Q330" s="90">
        <f>SUM($L330:O330)</f>
        <v>0</v>
      </c>
      <c r="AH330" s="90">
        <f t="shared" si="24"/>
        <v>0</v>
      </c>
      <c r="AI330" s="90">
        <f>SUM($AD330:AG330)</f>
        <v>0</v>
      </c>
      <c r="AZ330" s="90">
        <f t="shared" si="25"/>
        <v>0</v>
      </c>
      <c r="BA330" s="90">
        <f>SUM($AV330:AY330)</f>
        <v>0</v>
      </c>
    </row>
    <row r="331" spans="16:53" x14ac:dyDescent="0.25">
      <c r="P331" s="90">
        <f t="shared" si="23"/>
        <v>0</v>
      </c>
      <c r="Q331" s="90">
        <f>SUM($L331:O331)</f>
        <v>0</v>
      </c>
      <c r="AH331" s="90">
        <f t="shared" si="24"/>
        <v>0</v>
      </c>
      <c r="AI331" s="90">
        <f>SUM($AD331:AG331)</f>
        <v>0</v>
      </c>
      <c r="AZ331" s="90">
        <f t="shared" si="25"/>
        <v>0</v>
      </c>
      <c r="BA331" s="90">
        <f>SUM($AV331:AY331)</f>
        <v>0</v>
      </c>
    </row>
    <row r="332" spans="16:53" x14ac:dyDescent="0.25">
      <c r="P332" s="90">
        <f t="shared" si="23"/>
        <v>0</v>
      </c>
      <c r="Q332" s="90">
        <f>SUM($L332:O332)</f>
        <v>0</v>
      </c>
      <c r="AH332" s="90">
        <f t="shared" si="24"/>
        <v>0</v>
      </c>
      <c r="AI332" s="90">
        <f>SUM($AD332:AG332)</f>
        <v>0</v>
      </c>
      <c r="AZ332" s="90">
        <f t="shared" si="25"/>
        <v>0</v>
      </c>
      <c r="BA332" s="90">
        <f>SUM($AV332:AY332)</f>
        <v>0</v>
      </c>
    </row>
    <row r="333" spans="16:53" x14ac:dyDescent="0.25">
      <c r="P333" s="90">
        <f t="shared" si="23"/>
        <v>0</v>
      </c>
      <c r="Q333" s="90">
        <f>SUM($L333:O333)</f>
        <v>0</v>
      </c>
      <c r="AH333" s="90">
        <f t="shared" si="24"/>
        <v>0</v>
      </c>
      <c r="AI333" s="90">
        <f>SUM($AD333:AG333)</f>
        <v>0</v>
      </c>
      <c r="AZ333" s="90">
        <f t="shared" si="25"/>
        <v>0</v>
      </c>
      <c r="BA333" s="90">
        <f>SUM($AV333:AY333)</f>
        <v>0</v>
      </c>
    </row>
    <row r="334" spans="16:53" x14ac:dyDescent="0.25">
      <c r="P334" s="90">
        <f t="shared" si="23"/>
        <v>0</v>
      </c>
      <c r="Q334" s="90">
        <f>SUM($L334:O334)</f>
        <v>0</v>
      </c>
      <c r="AH334" s="90">
        <f t="shared" si="24"/>
        <v>0</v>
      </c>
      <c r="AI334" s="90">
        <f>SUM($AD334:AG334)</f>
        <v>0</v>
      </c>
      <c r="AZ334" s="90">
        <f t="shared" si="25"/>
        <v>0</v>
      </c>
      <c r="BA334" s="90">
        <f>SUM($AV334:AY334)</f>
        <v>0</v>
      </c>
    </row>
    <row r="335" spans="16:53" x14ac:dyDescent="0.25">
      <c r="P335" s="90">
        <f t="shared" si="23"/>
        <v>0</v>
      </c>
      <c r="Q335" s="90">
        <f>SUM($L335:O335)</f>
        <v>0</v>
      </c>
      <c r="AH335" s="90">
        <f t="shared" si="24"/>
        <v>0</v>
      </c>
      <c r="AI335" s="90">
        <f>SUM($AD335:AG335)</f>
        <v>0</v>
      </c>
      <c r="AZ335" s="90">
        <f t="shared" si="25"/>
        <v>0</v>
      </c>
      <c r="BA335" s="90">
        <f>SUM($AV335:AY335)</f>
        <v>0</v>
      </c>
    </row>
    <row r="336" spans="16:53" x14ac:dyDescent="0.25">
      <c r="P336" s="90">
        <f t="shared" si="23"/>
        <v>0</v>
      </c>
      <c r="Q336" s="90">
        <f>SUM($L336:O336)</f>
        <v>0</v>
      </c>
      <c r="AH336" s="90">
        <f t="shared" si="24"/>
        <v>0</v>
      </c>
      <c r="AI336" s="90">
        <f>SUM($AD336:AG336)</f>
        <v>0</v>
      </c>
      <c r="AZ336" s="90">
        <f t="shared" si="25"/>
        <v>0</v>
      </c>
      <c r="BA336" s="90">
        <f>SUM($AV336:AY336)</f>
        <v>0</v>
      </c>
    </row>
    <row r="337" spans="16:53" x14ac:dyDescent="0.25">
      <c r="P337" s="90">
        <f t="shared" si="23"/>
        <v>0</v>
      </c>
      <c r="Q337" s="90">
        <f>SUM($L337:O337)</f>
        <v>0</v>
      </c>
      <c r="AH337" s="90">
        <f t="shared" si="24"/>
        <v>0</v>
      </c>
      <c r="AI337" s="90">
        <f>SUM($AD337:AG337)</f>
        <v>0</v>
      </c>
      <c r="AZ337" s="90">
        <f t="shared" si="25"/>
        <v>0</v>
      </c>
      <c r="BA337" s="90">
        <f>SUM($AV337:AY337)</f>
        <v>0</v>
      </c>
    </row>
    <row r="338" spans="16:53" x14ac:dyDescent="0.25">
      <c r="P338" s="90">
        <f t="shared" si="23"/>
        <v>0</v>
      </c>
      <c r="Q338" s="90">
        <f>SUM($L338:O338)</f>
        <v>0</v>
      </c>
      <c r="AH338" s="90">
        <f t="shared" si="24"/>
        <v>0</v>
      </c>
      <c r="AI338" s="90">
        <f>SUM($AD338:AG338)</f>
        <v>0</v>
      </c>
      <c r="AZ338" s="90">
        <f t="shared" si="25"/>
        <v>0</v>
      </c>
      <c r="BA338" s="90">
        <f>SUM($AV338:AY338)</f>
        <v>0</v>
      </c>
    </row>
    <row r="339" spans="16:53" x14ac:dyDescent="0.25">
      <c r="P339" s="90">
        <f t="shared" si="23"/>
        <v>0</v>
      </c>
      <c r="Q339" s="90">
        <f>SUM($L339:O339)</f>
        <v>0</v>
      </c>
      <c r="AH339" s="90">
        <f t="shared" si="24"/>
        <v>0</v>
      </c>
      <c r="AI339" s="90">
        <f>SUM($AD339:AG339)</f>
        <v>0</v>
      </c>
      <c r="AZ339" s="90">
        <f t="shared" si="25"/>
        <v>0</v>
      </c>
      <c r="BA339" s="90">
        <f>SUM($AV339:AY339)</f>
        <v>0</v>
      </c>
    </row>
    <row r="340" spans="16:53" x14ac:dyDescent="0.25">
      <c r="P340" s="90">
        <f t="shared" si="23"/>
        <v>0</v>
      </c>
      <c r="Q340" s="90">
        <f>SUM($L340:O340)</f>
        <v>0</v>
      </c>
      <c r="AH340" s="90">
        <f t="shared" si="24"/>
        <v>0</v>
      </c>
      <c r="AI340" s="90">
        <f>SUM($AD340:AG340)</f>
        <v>0</v>
      </c>
      <c r="AZ340" s="90">
        <f t="shared" si="25"/>
        <v>0</v>
      </c>
      <c r="BA340" s="90">
        <f>SUM($AV340:AY340)</f>
        <v>0</v>
      </c>
    </row>
    <row r="341" spans="16:53" x14ac:dyDescent="0.25">
      <c r="P341" s="90">
        <f t="shared" si="23"/>
        <v>0</v>
      </c>
      <c r="Q341" s="90">
        <f>SUM($L341:O341)</f>
        <v>0</v>
      </c>
      <c r="AH341" s="90">
        <f t="shared" si="24"/>
        <v>0</v>
      </c>
      <c r="AI341" s="90">
        <f>SUM($AD341:AG341)</f>
        <v>0</v>
      </c>
      <c r="AZ341" s="90">
        <f t="shared" si="25"/>
        <v>0</v>
      </c>
      <c r="BA341" s="90">
        <f>SUM($AV341:AY341)</f>
        <v>0</v>
      </c>
    </row>
    <row r="342" spans="16:53" x14ac:dyDescent="0.25">
      <c r="P342" s="90">
        <f t="shared" si="23"/>
        <v>0</v>
      </c>
      <c r="Q342" s="90">
        <f>SUM($L342:O342)</f>
        <v>0</v>
      </c>
      <c r="AH342" s="90">
        <f t="shared" si="24"/>
        <v>0</v>
      </c>
      <c r="AI342" s="90">
        <f>SUM($AD342:AG342)</f>
        <v>0</v>
      </c>
      <c r="AZ342" s="90">
        <f t="shared" si="25"/>
        <v>0</v>
      </c>
      <c r="BA342" s="90">
        <f>SUM($AV342:AY342)</f>
        <v>0</v>
      </c>
    </row>
    <row r="343" spans="16:53" x14ac:dyDescent="0.25">
      <c r="P343" s="90">
        <f t="shared" si="23"/>
        <v>0</v>
      </c>
      <c r="Q343" s="90">
        <f>SUM($L343:O343)</f>
        <v>0</v>
      </c>
      <c r="AH343" s="90">
        <f t="shared" si="24"/>
        <v>0</v>
      </c>
      <c r="AI343" s="90">
        <f>SUM($AD343:AG343)</f>
        <v>0</v>
      </c>
      <c r="AZ343" s="90">
        <f t="shared" si="25"/>
        <v>0</v>
      </c>
      <c r="BA343" s="90">
        <f>SUM($AV343:AY343)</f>
        <v>0</v>
      </c>
    </row>
    <row r="344" spans="16:53" x14ac:dyDescent="0.25">
      <c r="P344" s="90">
        <f t="shared" si="23"/>
        <v>0</v>
      </c>
      <c r="Q344" s="90">
        <f>SUM($L344:O344)</f>
        <v>0</v>
      </c>
      <c r="AH344" s="90">
        <f t="shared" si="24"/>
        <v>0</v>
      </c>
      <c r="AI344" s="90">
        <f>SUM($AD344:AG344)</f>
        <v>0</v>
      </c>
      <c r="AZ344" s="90">
        <f t="shared" si="25"/>
        <v>0</v>
      </c>
      <c r="BA344" s="90">
        <f>SUM($AV344:AY344)</f>
        <v>0</v>
      </c>
    </row>
    <row r="345" spans="16:53" x14ac:dyDescent="0.25">
      <c r="P345" s="90">
        <f t="shared" si="23"/>
        <v>0</v>
      </c>
      <c r="Q345" s="90">
        <f>SUM($L345:O345)</f>
        <v>0</v>
      </c>
      <c r="AH345" s="90">
        <f t="shared" si="24"/>
        <v>0</v>
      </c>
      <c r="AI345" s="90">
        <f>SUM($AD345:AG345)</f>
        <v>0</v>
      </c>
      <c r="AZ345" s="90">
        <f t="shared" si="25"/>
        <v>0</v>
      </c>
      <c r="BA345" s="90">
        <f>SUM($AV345:AY345)</f>
        <v>0</v>
      </c>
    </row>
    <row r="346" spans="16:53" x14ac:dyDescent="0.25">
      <c r="P346" s="90">
        <f t="shared" si="23"/>
        <v>0</v>
      </c>
      <c r="Q346" s="90">
        <f>SUM($L346:O346)</f>
        <v>0</v>
      </c>
      <c r="AH346" s="90">
        <f t="shared" si="24"/>
        <v>0</v>
      </c>
      <c r="AI346" s="90">
        <f>SUM($AD346:AG346)</f>
        <v>0</v>
      </c>
      <c r="AZ346" s="90">
        <f t="shared" si="25"/>
        <v>0</v>
      </c>
      <c r="BA346" s="90">
        <f>SUM($AV346:AY346)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B0B6A-2232-41BD-8C3E-17076CF200DC}">
  <sheetPr>
    <tabColor theme="5" tint="0.59999389629810485"/>
  </sheetPr>
  <dimension ref="A1:O45"/>
  <sheetViews>
    <sheetView zoomScaleNormal="100" workbookViewId="0">
      <selection activeCell="B6" sqref="B6"/>
    </sheetView>
  </sheetViews>
  <sheetFormatPr defaultRowHeight="15" x14ac:dyDescent="0.25"/>
  <cols>
    <col min="1" max="1" width="6" bestFit="1" customWidth="1"/>
    <col min="2" max="2" width="34.140625" customWidth="1"/>
    <col min="3" max="3" width="16.28515625" customWidth="1"/>
    <col min="4" max="4" width="10" customWidth="1"/>
    <col min="5" max="5" width="14" customWidth="1"/>
    <col min="6" max="6" width="17.7109375" customWidth="1"/>
    <col min="7" max="7" width="20.42578125" customWidth="1"/>
    <col min="8" max="8" width="13.7109375" customWidth="1"/>
    <col min="9" max="9" width="17.140625" customWidth="1"/>
    <col min="10" max="10" width="17.42578125" bestFit="1" customWidth="1"/>
    <col min="11" max="12" width="15.28515625" customWidth="1"/>
    <col min="13" max="13" width="15.5703125" customWidth="1"/>
    <col min="14" max="14" width="15.42578125" bestFit="1" customWidth="1"/>
    <col min="15" max="15" width="13" customWidth="1"/>
    <col min="16" max="16" width="11.5703125" customWidth="1"/>
    <col min="17" max="17" width="9.5703125" bestFit="1" customWidth="1"/>
    <col min="18" max="18" width="11.42578125" customWidth="1"/>
    <col min="19" max="19" width="12.28515625" customWidth="1"/>
    <col min="20" max="20" width="14.5703125" customWidth="1"/>
    <col min="21" max="21" width="12.5703125" customWidth="1"/>
    <col min="22" max="22" width="14.7109375" customWidth="1"/>
    <col min="23" max="23" width="16.42578125" customWidth="1"/>
    <col min="24" max="24" width="14.42578125" customWidth="1"/>
    <col min="25" max="25" width="21.7109375" customWidth="1"/>
  </cols>
  <sheetData>
    <row r="1" spans="1:14" ht="23.25" x14ac:dyDescent="0.35">
      <c r="A1" s="16" t="str">
        <f>VLOOKUP(B6,'3121% SY'!$B:$C,2,FALSE)</f>
        <v>14005</v>
      </c>
      <c r="B1" s="289" t="str">
        <f>CONCATENATE("This tab has been pre-loaded with all ",Instructions!E72," data for the 2024-25 school year.")</f>
        <v>This tab has been pre-loaded with all January data for the 2024-25 school year.</v>
      </c>
      <c r="C1" s="289"/>
      <c r="D1" s="289"/>
      <c r="E1" s="289"/>
      <c r="F1" s="289"/>
      <c r="G1" s="289"/>
      <c r="H1" s="289"/>
      <c r="I1" s="289"/>
    </row>
    <row r="2" spans="1:14" ht="21.75" customHeight="1" x14ac:dyDescent="0.35">
      <c r="B2" s="12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ht="21" x14ac:dyDescent="0.35">
      <c r="B3" s="9" t="s">
        <v>1616</v>
      </c>
    </row>
    <row r="4" spans="1:14" ht="15" customHeight="1" x14ac:dyDescent="0.35">
      <c r="B4" s="9"/>
    </row>
    <row r="5" spans="1:14" ht="15" customHeight="1" thickBot="1" x14ac:dyDescent="0.3">
      <c r="B5" s="8" t="str">
        <f>CONCATENATE("1. Select a school district in the dropdown menu for ",Instructions!E72," Student FTE, Teacher FTE and 3121% data to be filled")</f>
        <v>1. Select a school district in the dropdown menu for January Student FTE, Teacher FTE and 3121% data to be filled</v>
      </c>
    </row>
    <row r="6" spans="1:14" ht="26.25" customHeight="1" thickBot="1" x14ac:dyDescent="0.3">
      <c r="B6" s="116" t="s">
        <v>371</v>
      </c>
      <c r="C6" s="118" t="s">
        <v>640</v>
      </c>
    </row>
    <row r="7" spans="1:14" ht="15.75" x14ac:dyDescent="0.25">
      <c r="B7" s="8" t="s">
        <v>1617</v>
      </c>
    </row>
    <row r="8" spans="1:14" x14ac:dyDescent="0.25">
      <c r="C8" s="2"/>
      <c r="D8" s="2"/>
      <c r="E8" s="1"/>
      <c r="F8" s="1"/>
      <c r="G8" s="1"/>
      <c r="H8" s="1"/>
    </row>
    <row r="9" spans="1:14" ht="15.75" x14ac:dyDescent="0.25">
      <c r="B9" s="8" t="s">
        <v>6</v>
      </c>
    </row>
    <row r="10" spans="1:14" ht="30" x14ac:dyDescent="0.25">
      <c r="B10" s="3" t="str">
        <f>CONCATENATE(Instructions!E72," K-3 Student FTE")</f>
        <v>January K-3 Student FTE</v>
      </c>
      <c r="C10" s="3" t="s">
        <v>1099</v>
      </c>
      <c r="E10" s="3" t="s">
        <v>5</v>
      </c>
      <c r="F10" s="3" t="s">
        <v>4</v>
      </c>
      <c r="G10" s="3" t="s">
        <v>3</v>
      </c>
    </row>
    <row r="11" spans="1:14" ht="15.75" thickBot="1" x14ac:dyDescent="0.3">
      <c r="B11" s="186">
        <f>VLOOKUP($A$1,'K3 District Data as of Jan 2025'!$A$3:$G$322,'K3 District Data as of Jan 2025'!C$1,FALSE)</f>
        <v>790.46</v>
      </c>
      <c r="C11" s="186">
        <f>VLOOKUP($A$1,'K3 District Data as of Jan 2025'!$A$3:$G$322,'K3 District Data as of Jan 2025'!D$1,FALSE)</f>
        <v>1.8</v>
      </c>
      <c r="E11" s="187">
        <f>C16+E18+C17+C21+C22+E23</f>
        <v>44.186</v>
      </c>
      <c r="F11" s="188">
        <f>IFERROR(ROUND((B11+C11)/E11,2),0)</f>
        <v>17.93</v>
      </c>
      <c r="G11" s="19">
        <v>17</v>
      </c>
    </row>
    <row r="12" spans="1:14" ht="15.75" thickBot="1" x14ac:dyDescent="0.3">
      <c r="B12" s="15" t="s">
        <v>639</v>
      </c>
      <c r="C12" s="189"/>
      <c r="D12" s="190"/>
      <c r="E12" s="190"/>
      <c r="F12" s="191"/>
      <c r="G12" s="20">
        <f>IF(OR(F11=0,E11=0),25.23,IF(F11&gt;G11,IF(F11&gt;25.23,25.23,F11),G11))</f>
        <v>17.93</v>
      </c>
      <c r="L12" s="185"/>
    </row>
    <row r="13" spans="1:14" x14ac:dyDescent="0.25">
      <c r="B13" s="23"/>
      <c r="C13" s="33"/>
      <c r="D13" s="33"/>
      <c r="E13" s="184"/>
      <c r="F13" s="185"/>
      <c r="G13" s="33"/>
      <c r="H13" s="33"/>
      <c r="I13" s="33"/>
      <c r="J13" s="185"/>
      <c r="K13" s="185"/>
    </row>
    <row r="14" spans="1:14" x14ac:dyDescent="0.25">
      <c r="D14" s="4">
        <v>31.21</v>
      </c>
      <c r="F14" s="33"/>
      <c r="G14" s="33"/>
      <c r="H14" s="185"/>
      <c r="I14" s="33"/>
      <c r="J14" s="33"/>
      <c r="K14" s="33"/>
      <c r="L14" s="185"/>
      <c r="M14" s="185"/>
    </row>
    <row r="15" spans="1:14" ht="30" x14ac:dyDescent="0.25">
      <c r="B15" s="196" t="s">
        <v>1100</v>
      </c>
      <c r="C15" s="3" t="s">
        <v>2</v>
      </c>
      <c r="D15" s="120">
        <f>VLOOKUP($A$1,'3121% SY'!$A:$M,'3121% SY'!M$1,FALSE)</f>
        <v>0.26870000000000005</v>
      </c>
      <c r="E15" s="3" t="s">
        <v>676</v>
      </c>
      <c r="K15" s="33"/>
      <c r="L15" s="185"/>
      <c r="M15" s="185"/>
    </row>
    <row r="16" spans="1:14" x14ac:dyDescent="0.25">
      <c r="B16" s="194" t="s">
        <v>1102</v>
      </c>
      <c r="C16" s="40">
        <f>VLOOKUP($A$1,'K3 District Data as of Jan 2025'!$A$3:$G$322,'K3 District Data as of Jan 2025'!E$1,FALSE)</f>
        <v>42.5</v>
      </c>
      <c r="K16" s="33"/>
      <c r="L16" s="185"/>
      <c r="M16" s="185"/>
    </row>
    <row r="17" spans="2:15" x14ac:dyDescent="0.25">
      <c r="B17" s="195" t="s">
        <v>1103</v>
      </c>
      <c r="C17" s="40">
        <f>VLOOKUP($A$1,'K3 District Data as of Jan 2025'!$A$3:$G$322,'K3 District Data as of Jan 2025'!F$1,FALSE)</f>
        <v>0</v>
      </c>
      <c r="K17" s="33"/>
      <c r="L17" s="185"/>
      <c r="M17" s="185"/>
    </row>
    <row r="18" spans="2:15" x14ac:dyDescent="0.25">
      <c r="B18" s="195" t="s">
        <v>1104</v>
      </c>
      <c r="C18" s="40">
        <f>VLOOKUP($A$1,'K3 District Data as of Jan 2025'!$A$3:$G$322,'K3 District Data as of Jan 2025'!G$1,FALSE)</f>
        <v>6.2750000000000004</v>
      </c>
      <c r="E18" s="17">
        <f>ROUND(C18*D15,3)</f>
        <v>1.6859999999999999</v>
      </c>
      <c r="K18" s="33"/>
      <c r="L18" s="185"/>
      <c r="M18" s="185"/>
    </row>
    <row r="19" spans="2:15" x14ac:dyDescent="0.25">
      <c r="B19" s="103"/>
      <c r="K19" s="33"/>
      <c r="L19" s="185"/>
      <c r="M19" s="185"/>
    </row>
    <row r="20" spans="2:15" x14ac:dyDescent="0.25">
      <c r="B20" s="196" t="s">
        <v>1101</v>
      </c>
      <c r="C20" s="3" t="s">
        <v>2</v>
      </c>
      <c r="F20" s="33"/>
      <c r="G20" s="33"/>
      <c r="H20" s="185"/>
      <c r="I20" s="33"/>
      <c r="J20" s="33"/>
      <c r="K20" s="33"/>
      <c r="L20" s="185"/>
      <c r="M20" s="185"/>
    </row>
    <row r="21" spans="2:15" x14ac:dyDescent="0.25">
      <c r="B21" s="194" t="s">
        <v>1102</v>
      </c>
      <c r="C21" s="40">
        <f>VLOOKUP($A$1,'K3 District Data as of Jan 2025'!$A$3:$J$322,'K3 District Data as of Jan 2025'!H$1,FALSE)</f>
        <v>0</v>
      </c>
      <c r="F21" s="33"/>
      <c r="G21" s="33"/>
      <c r="H21" s="185"/>
      <c r="I21" s="33"/>
      <c r="J21" s="33"/>
      <c r="K21" s="33"/>
      <c r="L21" s="185"/>
      <c r="M21" s="185"/>
    </row>
    <row r="22" spans="2:15" x14ac:dyDescent="0.25">
      <c r="B22" s="195" t="s">
        <v>1103</v>
      </c>
      <c r="C22" s="40">
        <f>VLOOKUP($A$1,'K3 District Data as of Jan 2025'!$A$3:$J$322,'K3 District Data as of Jan 2025'!I$1,FALSE)</f>
        <v>0</v>
      </c>
      <c r="D22" s="33"/>
      <c r="E22" s="33"/>
      <c r="F22" s="33"/>
      <c r="G22" s="184"/>
      <c r="H22" s="185"/>
      <c r="I22" s="33"/>
      <c r="J22" s="33"/>
      <c r="K22" s="33"/>
      <c r="L22" s="185"/>
      <c r="M22" s="185"/>
    </row>
    <row r="23" spans="2:15" x14ac:dyDescent="0.25">
      <c r="B23" s="195" t="s">
        <v>1104</v>
      </c>
      <c r="C23" s="40">
        <f>VLOOKUP($A$1,'K3 District Data as of Jan 2025'!$A$3:$J$322,'K3 District Data as of Jan 2025'!J$1,FALSE)</f>
        <v>0</v>
      </c>
      <c r="E23" s="17">
        <f>ROUND(D15*C23,3)</f>
        <v>0</v>
      </c>
      <c r="I23" s="33"/>
      <c r="J23" s="33"/>
      <c r="K23" s="33"/>
      <c r="L23" s="185"/>
      <c r="M23" s="185"/>
    </row>
    <row r="24" spans="2:15" x14ac:dyDescent="0.25">
      <c r="B24" s="23"/>
      <c r="C24" s="33"/>
      <c r="I24" s="33"/>
      <c r="J24" s="33"/>
      <c r="K24" s="33"/>
      <c r="L24" s="185"/>
      <c r="M24" s="185"/>
    </row>
    <row r="25" spans="2:15" x14ac:dyDescent="0.25">
      <c r="C25" s="33"/>
      <c r="F25" s="34" t="s">
        <v>643</v>
      </c>
      <c r="G25" t="s">
        <v>779</v>
      </c>
    </row>
    <row r="26" spans="2:15" x14ac:dyDescent="0.25">
      <c r="C26" s="33"/>
      <c r="D26" s="22" t="s">
        <v>1593</v>
      </c>
      <c r="E26" s="38">
        <f>$B$11/$G$11</f>
        <v>46.497647058823532</v>
      </c>
      <c r="F26" s="33">
        <f>ROUND(E26*1.155,3)</f>
        <v>53.704999999999998</v>
      </c>
      <c r="G26" s="97">
        <f>ROUND(CIS_Inc*(VLOOKUP($A$1,'K3 District Data as of Jan 2025'!$A$3:$O$322,MATCH("Reg",'K3 District Data as of Jan 2025'!$2:$2,0),FALSE)+VLOOKUP($A$1,'K3 District Data as of Jan 2025'!$A$3:$O$322,MATCH("Exp",'K3 District Data as of Jan 2025'!$2:$2,0),FALSE))*F26,2)+ROUND((F26*CIS_Ins_Inc),2)+ROUND((CIS_Base*VLOOKUP($A$1,'K3 District Data as of Jan 2025'!$A$3:$O$322,MATCH("Reg base",'K3 District Data as of Jan 2025'!$2:$2,0),FALSE)*F26)*CIS_Ben_Base,2)+ROUND((ROUND(CIS_Inc*(VLOOKUP($A$1,'K3 District Data as of Jan 2025'!$A$3:$O$322,MATCH("Reg",'K3 District Data as of Jan 2025'!$2:$2,0),FALSE)+VLOOKUP($A$1,'K3 District Data as of Jan 2025'!$A$3:$O$322,MATCH("Exp",'K3 District Data as of Jan 2025'!$2:$2,0),FALSE))*F26,2)-ROUND(CIS_Base*VLOOKUP($A$1,'K3 District Data as of Jan 2025'!$A$3:$O$322,MATCH("Reg base",'K3 District Data as of Jan 2025'!$2:$2,0),FALSE)*F26,2))*CIS_Ben_Inc+((CIS_Inc*(VLOOKUP($A$1,'K3 District Data as of Jan 2025'!$A$3:$O$322,MATCH("Reg",'K3 District Data as of Jan 2025'!$2:$2,0),FALSE)+VLOOKUP($A$1,'K3 District Data as of Jan 2025'!$A$3:$O$322,MATCH("Exp",'K3 District Data as of Jan 2025'!$2:$2,0),FALSE))*F26)/180)*3+(((CIS_Inc*(VLOOKUP($A$1,'K3 District Data as of Jan 2025'!$A$3:$O$322,MATCH("Reg",'K3 District Data as of Jan 2025'!$2:$2,0),FALSE)+VLOOKUP($A$1,'K3 District Data as of Jan 2025'!$A$3:$O$322,MATCH("Exp",'K3 District Data as of Jan 2025'!$2:$2,0),FALSE))*F26)/180)*3)*CIS_Ben_Inc,2)</f>
        <v>5817287.9299999997</v>
      </c>
      <c r="H26" s="23"/>
      <c r="M26" s="25"/>
    </row>
    <row r="27" spans="2:15" x14ac:dyDescent="0.25">
      <c r="C27" s="103"/>
      <c r="D27" s="22" t="s">
        <v>1595</v>
      </c>
      <c r="E27" s="38">
        <f>$B$11/$G$12</f>
        <v>44.085889570552148</v>
      </c>
      <c r="F27" s="33">
        <f>ROUND(E27*1.155,3)</f>
        <v>50.918999999999997</v>
      </c>
      <c r="G27" s="97">
        <f>ROUND(CIS_Inc*(VLOOKUP($A$1,'K3 District Data as of Jan 2025'!$A$3:$O$322,MATCH("Reg",'K3 District Data as of Jan 2025'!$2:$2,0),FALSE)+VLOOKUP($A$1,'K3 District Data as of Jan 2025'!$A$3:$O$322,MATCH("Exp",'K3 District Data as of Jan 2025'!$2:$2,0),FALSE))*F27,2)+ROUND((F27*CIS_Ins_Inc),2)+ROUND((CIS_Base*VLOOKUP($A$1,'K3 District Data as of Jan 2025'!$A$3:$O$322,MATCH("Reg base",'K3 District Data as of Jan 2025'!$2:$2,0),FALSE)*F27)*CIS_Ben_Base,2)+ROUND((ROUND(CIS_Inc*(VLOOKUP($A$1,'K3 District Data as of Jan 2025'!$A$3:$O$322,MATCH("Reg",'K3 District Data as of Jan 2025'!$2:$2,0),FALSE)+VLOOKUP($A$1,'K3 District Data as of Jan 2025'!$A$3:$O$322,MATCH("Exp",'K3 District Data as of Jan 2025'!$2:$2,0),FALSE))*F27,2)-ROUND(CIS_Base*VLOOKUP($A$1,'K3 District Data as of Jan 2025'!$A$3:$O$322,MATCH("Reg base",'K3 District Data as of Jan 2025'!$2:$2,0),FALSE)*F27,2))*CIS_Ben_Inc+((CIS_Inc*(VLOOKUP($A$1,'K3 District Data as of Jan 2025'!$A$3:$O$322,MATCH("Reg",'K3 District Data as of Jan 2025'!$2:$2,0),FALSE)+VLOOKUP($A$1,'K3 District Data as of Jan 2025'!$A$3:$O$322,MATCH("Exp",'K3 District Data as of Jan 2025'!$2:$2,0),FALSE))*F27)/180)*3+(((CIS_Inc*(VLOOKUP($A$1,'K3 District Data as of Jan 2025'!$A$3:$O$322,MATCH("Reg",'K3 District Data as of Jan 2025'!$2:$2,0),FALSE)+VLOOKUP($A$1,'K3 District Data as of Jan 2025'!$A$3:$O$322,MATCH("Exp",'K3 District Data as of Jan 2025'!$2:$2,0),FALSE))*F27)/180)*3)*CIS_Ben_Inc,2)</f>
        <v>5515510.3500000006</v>
      </c>
      <c r="K27" s="25"/>
      <c r="L27" s="25"/>
      <c r="M27" s="25"/>
    </row>
    <row r="28" spans="2:15" ht="15.75" thickBot="1" x14ac:dyDescent="0.3">
      <c r="D28" s="22" t="s">
        <v>1597</v>
      </c>
      <c r="E28" s="39">
        <f>IF($G$12&gt;$G$11,E27-E26,0)</f>
        <v>-2.4117574882713839</v>
      </c>
      <c r="F28" s="22" t="s">
        <v>644</v>
      </c>
      <c r="G28" s="36">
        <f>G27-G26</f>
        <v>-301777.57999999914</v>
      </c>
      <c r="K28" s="37"/>
      <c r="L28" s="23"/>
      <c r="M28" s="25"/>
      <c r="N28" s="25"/>
      <c r="O28" s="25"/>
    </row>
    <row r="29" spans="2:15" ht="15.75" thickTop="1" x14ac:dyDescent="0.25">
      <c r="K29" s="37"/>
      <c r="L29" s="25"/>
      <c r="M29" s="25"/>
      <c r="N29" s="23"/>
      <c r="O29" s="25"/>
    </row>
    <row r="30" spans="2:15" x14ac:dyDescent="0.25">
      <c r="C30" s="33"/>
      <c r="D30" s="22" t="s">
        <v>1594</v>
      </c>
      <c r="E30" s="38">
        <f>$C$11/$G$11</f>
        <v>0.10588235294117647</v>
      </c>
      <c r="F30" s="33">
        <f>ROUND(E30*1.155,3)</f>
        <v>0.122</v>
      </c>
      <c r="G30" s="97">
        <f>ROUND(CIS_Inc*(VLOOKUP($A$1,'K3 District Data as of Jan 2025'!$A$3:$O$322,MATCH("Reg",'K3 District Data as of Jan 2025'!$2:$2,0),FALSE)+VLOOKUP($A$1,'K3 District Data as of Jan 2025'!$A$3:$O$322,MATCH("Exp",'K3 District Data as of Jan 2025'!$2:$2,0),FALSE))*F30,2)+ROUND((F30*CIS_Ins_Inc),2)+ROUND((CIS_Base*VLOOKUP($A$1,'K3 District Data as of Jan 2025'!$A$3:$O$322,MATCH("Reg base",'K3 District Data as of Jan 2025'!$2:$2,0),FALSE)*F30)*CIS_Ben_Base,2)+ROUND((ROUND(CIS_Inc*(VLOOKUP($A$1,'K3 District Data as of Jan 2025'!$A$3:$O$322,MATCH("Reg",'K3 District Data as of Jan 2025'!$2:$2,0),FALSE)+VLOOKUP($A$1,'K3 District Data as of Jan 2025'!$A$3:$O$322,MATCH("Exp",'K3 District Data as of Jan 2025'!$2:$2,0),FALSE))*F30,2)-ROUND(CIS_Base*VLOOKUP($A$1,'K3 District Data as of Jan 2025'!$A$3:$O$322,MATCH("Reg base",'K3 District Data as of Jan 2025'!$2:$2,0),FALSE)*F30,2))*CIS_Ben_Inc+((CIS_Inc*(VLOOKUP($A$1,'K3 District Data as of Jan 2025'!$A$3:$O$322,MATCH("Reg",'K3 District Data as of Jan 2025'!$2:$2,0),FALSE)+VLOOKUP($A$1,'K3 District Data as of Jan 2025'!$A$3:$O$322,MATCH("Exp",'K3 District Data as of Jan 2025'!$2:$2,0),FALSE))*F30)/180)*3+(((CIS_Inc*(VLOOKUP($A$1,'K3 District Data as of Jan 2025'!$A$3:$O$322,MATCH("Reg",'K3 District Data as of Jan 2025'!$2:$2,0),FALSE)+VLOOKUP($A$1,'K3 District Data as of Jan 2025'!$A$3:$O$322,MATCH("Exp",'K3 District Data as of Jan 2025'!$2:$2,0),FALSE))*F30)/180)*3)*CIS_Ben_Inc,2)</f>
        <v>13214.96</v>
      </c>
      <c r="M30" s="25"/>
    </row>
    <row r="31" spans="2:15" x14ac:dyDescent="0.25">
      <c r="C31" s="103"/>
      <c r="D31" s="22" t="s">
        <v>1596</v>
      </c>
      <c r="E31" s="38">
        <f>$C$11/$G$12</f>
        <v>0.1003904071388734</v>
      </c>
      <c r="F31" s="33">
        <f>ROUND(E31*1.155,3)</f>
        <v>0.11600000000000001</v>
      </c>
      <c r="G31" s="97">
        <f>ROUND(CIS_Inc*(VLOOKUP($A$1,'K3 District Data as of Jan 2025'!$A$3:$O$322,MATCH("Reg",'K3 District Data as of Jan 2025'!$2:$2,0),FALSE)+VLOOKUP($A$1,'K3 District Data as of Jan 2025'!$A$3:$O$322,MATCH("Exp",'K3 District Data as of Jan 2025'!$2:$2,0),FALSE))*F31,2)+ROUND((F31*CIS_Ins_Inc),2)+ROUND((CIS_Base*VLOOKUP($A$1,'K3 District Data as of Jan 2025'!$A$3:$O$322,MATCH("Reg base",'K3 District Data as of Jan 2025'!$2:$2,0),FALSE)*F31)*CIS_Ben_Base,2)+ROUND((ROUND(CIS_Inc*(VLOOKUP($A$1,'K3 District Data as of Jan 2025'!$A$3:$O$322,MATCH("Reg",'K3 District Data as of Jan 2025'!$2:$2,0),FALSE)+VLOOKUP($A$1,'K3 District Data as of Jan 2025'!$A$3:$O$322,MATCH("Exp",'K3 District Data as of Jan 2025'!$2:$2,0),FALSE))*F31,2)-ROUND(CIS_Base*VLOOKUP($A$1,'K3 District Data as of Jan 2025'!$A$3:$O$322,MATCH("Reg base",'K3 District Data as of Jan 2025'!$2:$2,0),FALSE)*F31,2))*CIS_Ben_Inc+((CIS_Inc*(VLOOKUP($A$1,'K3 District Data as of Jan 2025'!$A$3:$O$322,MATCH("Reg",'K3 District Data as of Jan 2025'!$2:$2,0),FALSE)+VLOOKUP($A$1,'K3 District Data as of Jan 2025'!$A$3:$O$322,MATCH("Exp",'K3 District Data as of Jan 2025'!$2:$2,0),FALSE))*F31)/180)*3+(((CIS_Inc*(VLOOKUP($A$1,'K3 District Data as of Jan 2025'!$A$3:$O$322,MATCH("Reg",'K3 District Data as of Jan 2025'!$2:$2,0),FALSE)+VLOOKUP($A$1,'K3 District Data as of Jan 2025'!$A$3:$O$322,MATCH("Exp",'K3 District Data as of Jan 2025'!$2:$2,0),FALSE))*F31)/180)*3)*CIS_Ben_Inc,2)</f>
        <v>12565.039999999999</v>
      </c>
      <c r="K31" s="25"/>
      <c r="L31" s="25"/>
      <c r="M31" s="25"/>
    </row>
    <row r="32" spans="2:15" ht="15.75" thickBot="1" x14ac:dyDescent="0.3">
      <c r="D32" s="22" t="s">
        <v>1598</v>
      </c>
      <c r="E32" s="39">
        <f>IF($G$12&gt;$G$11,E31-E30,0)</f>
        <v>-5.4919458023030693E-3</v>
      </c>
      <c r="F32" s="22" t="s">
        <v>644</v>
      </c>
      <c r="G32" s="36">
        <f>G31-G30</f>
        <v>-649.92000000000007</v>
      </c>
      <c r="K32" s="37"/>
      <c r="L32" s="23"/>
      <c r="M32" s="25"/>
      <c r="N32" s="25"/>
      <c r="O32" s="25"/>
    </row>
    <row r="33" spans="2:15" ht="15.75" thickTop="1" x14ac:dyDescent="0.25">
      <c r="H33" s="38"/>
    </row>
    <row r="34" spans="2:15" x14ac:dyDescent="0.25">
      <c r="B34" t="s">
        <v>1621</v>
      </c>
      <c r="H34" s="23"/>
      <c r="O34" s="25"/>
    </row>
    <row r="39" spans="2:15" x14ac:dyDescent="0.25">
      <c r="J39" s="25"/>
    </row>
    <row r="41" spans="2:15" x14ac:dyDescent="0.25">
      <c r="J41" s="25"/>
    </row>
    <row r="42" spans="2:15" x14ac:dyDescent="0.25">
      <c r="J42" s="25"/>
    </row>
    <row r="43" spans="2:15" x14ac:dyDescent="0.25">
      <c r="J43" s="35"/>
    </row>
    <row r="44" spans="2:15" x14ac:dyDescent="0.25">
      <c r="J44" s="25"/>
    </row>
    <row r="45" spans="2:15" x14ac:dyDescent="0.25">
      <c r="J45" s="23"/>
    </row>
  </sheetData>
  <sheetProtection formatCells="0" formatColumns="0" formatRows="0"/>
  <mergeCells count="1">
    <mergeCell ref="B1:I1"/>
  </mergeCells>
  <pageMargins left="0.25" right="0.25" top="0.75" bottom="0.75" header="0.3" footer="0.3"/>
  <pageSetup scale="77" orientation="landscape" r:id="rId1"/>
  <colBreaks count="1" manualBreakCount="1">
    <brk id="14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6F21415-3694-42AF-AA6D-E83B7BCE250D}">
          <x14:formula1>
            <xm:f>'3121% SY'!$B$3:$B$323</xm:f>
          </x14:formula1>
          <xm:sqref>B6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13F41-F808-4BEE-B4C3-756BD810F70B}">
  <sheetPr codeName="Sheet23">
    <tabColor theme="7" tint="0.39997558519241921"/>
  </sheetPr>
  <dimension ref="A1:FG101"/>
  <sheetViews>
    <sheetView workbookViewId="0">
      <pane xSplit="3" ySplit="7" topLeftCell="ED8" activePane="bottomRight" state="frozen"/>
      <selection activeCell="J3" sqref="J3"/>
      <selection pane="topRight" activeCell="J3" sqref="J3"/>
      <selection pane="bottomLeft" activeCell="J3" sqref="J3"/>
      <selection pane="bottomRight" activeCell="J3" sqref="J3"/>
    </sheetView>
  </sheetViews>
  <sheetFormatPr defaultRowHeight="15" x14ac:dyDescent="0.25"/>
  <cols>
    <col min="1" max="1" width="6.7109375" bestFit="1" customWidth="1"/>
    <col min="2" max="2" width="35.7109375" customWidth="1"/>
    <col min="3" max="3" width="14.7109375" bestFit="1" customWidth="1"/>
    <col min="4" max="17" width="10.5703125" customWidth="1"/>
    <col min="18" max="18" width="10.5703125" style="223" customWidth="1"/>
    <col min="19" max="31" width="10.5703125" customWidth="1"/>
    <col min="32" max="32" width="10.5703125" style="223" customWidth="1"/>
    <col min="33" max="58" width="10.5703125" customWidth="1"/>
    <col min="59" max="59" width="10.5703125" style="227" customWidth="1"/>
    <col min="60" max="60" width="10.5703125" style="223" customWidth="1"/>
    <col min="61" max="73" width="10.5703125" customWidth="1"/>
    <col min="74" max="74" width="10.5703125" style="223" customWidth="1"/>
    <col min="75" max="87" width="10.5703125" customWidth="1"/>
    <col min="88" max="88" width="10.5703125" style="223" customWidth="1"/>
    <col min="89" max="115" width="10.5703125" customWidth="1"/>
    <col min="116" max="116" width="10.5703125" style="223" customWidth="1"/>
    <col min="117" max="129" width="10.5703125" customWidth="1"/>
    <col min="130" max="130" width="10.5703125" style="223" customWidth="1"/>
    <col min="131" max="143" width="10.5703125" customWidth="1"/>
    <col min="144" max="145" width="10.7109375" customWidth="1"/>
    <col min="146" max="147" width="9.5703125" bestFit="1" customWidth="1"/>
    <col min="148" max="148" width="9.5703125" style="89" bestFit="1" customWidth="1"/>
  </cols>
  <sheetData>
    <row r="1" spans="1:163" x14ac:dyDescent="0.25">
      <c r="C1" s="33">
        <f t="shared" ref="C1:AH1" si="0">SUM(C8:C100)</f>
        <v>0</v>
      </c>
      <c r="D1" s="33">
        <f t="shared" si="0"/>
        <v>0</v>
      </c>
      <c r="E1" s="33">
        <f t="shared" si="0"/>
        <v>0.40500000000000003</v>
      </c>
      <c r="F1" s="33">
        <f t="shared" si="0"/>
        <v>0</v>
      </c>
      <c r="G1" s="33">
        <f t="shared" si="0"/>
        <v>0</v>
      </c>
      <c r="H1" s="33">
        <f t="shared" si="0"/>
        <v>0</v>
      </c>
      <c r="I1" s="33">
        <f t="shared" si="0"/>
        <v>0</v>
      </c>
      <c r="J1" s="33">
        <f t="shared" si="0"/>
        <v>3.1740000000000004</v>
      </c>
      <c r="K1" s="33">
        <f t="shared" si="0"/>
        <v>0</v>
      </c>
      <c r="L1" s="33">
        <f t="shared" si="0"/>
        <v>0</v>
      </c>
      <c r="M1" s="33">
        <f t="shared" si="0"/>
        <v>2</v>
      </c>
      <c r="N1" s="33">
        <f t="shared" si="0"/>
        <v>0</v>
      </c>
      <c r="O1" s="33">
        <f t="shared" si="0"/>
        <v>0.32</v>
      </c>
      <c r="P1" s="33">
        <f t="shared" si="0"/>
        <v>0.75</v>
      </c>
      <c r="Q1" s="33">
        <f t="shared" si="0"/>
        <v>0</v>
      </c>
      <c r="R1" s="33">
        <f t="shared" si="0"/>
        <v>0</v>
      </c>
      <c r="S1" s="33">
        <f t="shared" si="0"/>
        <v>1.651</v>
      </c>
      <c r="T1" s="33">
        <f t="shared" si="0"/>
        <v>0</v>
      </c>
      <c r="U1" s="33">
        <f t="shared" si="0"/>
        <v>0</v>
      </c>
      <c r="V1" s="33">
        <f t="shared" si="0"/>
        <v>0</v>
      </c>
      <c r="W1" s="33">
        <f t="shared" si="0"/>
        <v>0</v>
      </c>
      <c r="X1" s="33">
        <f t="shared" si="0"/>
        <v>1.1919999999999999</v>
      </c>
      <c r="Y1" s="33">
        <f t="shared" si="0"/>
        <v>0</v>
      </c>
      <c r="Z1" s="33">
        <f t="shared" si="0"/>
        <v>0</v>
      </c>
      <c r="AA1" s="33">
        <f t="shared" si="0"/>
        <v>3</v>
      </c>
      <c r="AB1" s="33">
        <f t="shared" si="0"/>
        <v>1</v>
      </c>
      <c r="AC1" s="33">
        <f t="shared" si="0"/>
        <v>0.32</v>
      </c>
      <c r="AD1" s="33">
        <f t="shared" si="0"/>
        <v>0.14200000000000002</v>
      </c>
      <c r="AE1" s="33">
        <f t="shared" si="0"/>
        <v>0</v>
      </c>
      <c r="AF1" s="33">
        <f t="shared" si="0"/>
        <v>0</v>
      </c>
      <c r="AG1" s="33">
        <f t="shared" si="0"/>
        <v>1.8780000000000001</v>
      </c>
      <c r="AH1" s="33">
        <f t="shared" si="0"/>
        <v>0</v>
      </c>
      <c r="AI1" s="33">
        <f t="shared" ref="AI1:BN1" si="1">SUM(AI8:AI100)</f>
        <v>0</v>
      </c>
      <c r="AJ1" s="33">
        <f t="shared" si="1"/>
        <v>0</v>
      </c>
      <c r="AK1" s="33">
        <f t="shared" si="1"/>
        <v>0</v>
      </c>
      <c r="AL1" s="33">
        <f t="shared" si="1"/>
        <v>0.91499999999999992</v>
      </c>
      <c r="AM1" s="33">
        <f t="shared" si="1"/>
        <v>0</v>
      </c>
      <c r="AN1" s="33">
        <f t="shared" si="1"/>
        <v>0</v>
      </c>
      <c r="AO1" s="33">
        <f t="shared" si="1"/>
        <v>2</v>
      </c>
      <c r="AP1" s="33">
        <f t="shared" si="1"/>
        <v>0</v>
      </c>
      <c r="AQ1" s="33">
        <f t="shared" si="1"/>
        <v>0</v>
      </c>
      <c r="AR1" s="33">
        <f t="shared" si="1"/>
        <v>0.60699999999999998</v>
      </c>
      <c r="AS1" s="33">
        <f t="shared" si="1"/>
        <v>0</v>
      </c>
      <c r="AT1" s="33">
        <f t="shared" si="1"/>
        <v>0</v>
      </c>
      <c r="AU1" s="33">
        <f t="shared" si="1"/>
        <v>0</v>
      </c>
      <c r="AV1" s="33">
        <f t="shared" si="1"/>
        <v>0</v>
      </c>
      <c r="AW1" s="33">
        <f t="shared" si="1"/>
        <v>0</v>
      </c>
      <c r="AX1" s="33">
        <f t="shared" si="1"/>
        <v>0</v>
      </c>
      <c r="AY1" s="33">
        <f t="shared" si="1"/>
        <v>0</v>
      </c>
      <c r="AZ1" s="33">
        <f t="shared" si="1"/>
        <v>0</v>
      </c>
      <c r="BA1" s="33">
        <f t="shared" si="1"/>
        <v>0</v>
      </c>
      <c r="BB1" s="33">
        <f t="shared" si="1"/>
        <v>0</v>
      </c>
      <c r="BC1" s="33">
        <f t="shared" si="1"/>
        <v>0</v>
      </c>
      <c r="BD1" s="33">
        <f t="shared" si="1"/>
        <v>0</v>
      </c>
      <c r="BE1" s="33">
        <f t="shared" si="1"/>
        <v>0</v>
      </c>
      <c r="BF1" s="33">
        <f t="shared" si="1"/>
        <v>0</v>
      </c>
      <c r="BG1" s="33">
        <f t="shared" si="1"/>
        <v>0</v>
      </c>
      <c r="BH1" s="33">
        <f t="shared" si="1"/>
        <v>0</v>
      </c>
      <c r="BI1" s="33">
        <f t="shared" si="1"/>
        <v>0</v>
      </c>
      <c r="BJ1" s="33">
        <f t="shared" si="1"/>
        <v>3.5000000000000003E-2</v>
      </c>
      <c r="BK1" s="33">
        <f t="shared" si="1"/>
        <v>0</v>
      </c>
      <c r="BL1" s="33">
        <f t="shared" si="1"/>
        <v>0</v>
      </c>
      <c r="BM1" s="33">
        <f t="shared" si="1"/>
        <v>0</v>
      </c>
      <c r="BN1" s="33">
        <f t="shared" si="1"/>
        <v>0</v>
      </c>
      <c r="BO1" s="33">
        <f t="shared" ref="BO1:CT1" si="2">SUM(BO8:BO100)</f>
        <v>0</v>
      </c>
      <c r="BP1" s="33">
        <f t="shared" si="2"/>
        <v>0</v>
      </c>
      <c r="BQ1" s="33">
        <f t="shared" si="2"/>
        <v>0</v>
      </c>
      <c r="BR1" s="33">
        <f t="shared" si="2"/>
        <v>0</v>
      </c>
      <c r="BS1" s="33">
        <f t="shared" si="2"/>
        <v>0</v>
      </c>
      <c r="BT1" s="33">
        <f t="shared" si="2"/>
        <v>0</v>
      </c>
      <c r="BU1" s="33">
        <f t="shared" si="2"/>
        <v>0.7</v>
      </c>
      <c r="BV1" s="33">
        <f t="shared" si="2"/>
        <v>0</v>
      </c>
      <c r="BW1" s="33">
        <f t="shared" si="2"/>
        <v>0</v>
      </c>
      <c r="BX1" s="33">
        <f t="shared" si="2"/>
        <v>3.5999999999999997E-2</v>
      </c>
      <c r="BY1" s="33">
        <f t="shared" si="2"/>
        <v>0</v>
      </c>
      <c r="BZ1" s="33">
        <f t="shared" si="2"/>
        <v>0</v>
      </c>
      <c r="CA1" s="33">
        <f t="shared" si="2"/>
        <v>0</v>
      </c>
      <c r="CB1" s="33">
        <f t="shared" si="2"/>
        <v>0</v>
      </c>
      <c r="CC1" s="33">
        <f t="shared" si="2"/>
        <v>0</v>
      </c>
      <c r="CD1" s="33">
        <f t="shared" si="2"/>
        <v>0</v>
      </c>
      <c r="CE1" s="33">
        <f t="shared" si="2"/>
        <v>0</v>
      </c>
      <c r="CF1" s="33">
        <f t="shared" si="2"/>
        <v>0</v>
      </c>
      <c r="CG1" s="33">
        <f t="shared" si="2"/>
        <v>0</v>
      </c>
      <c r="CH1" s="33">
        <f t="shared" si="2"/>
        <v>0</v>
      </c>
      <c r="CI1" s="33">
        <f t="shared" si="2"/>
        <v>0.7</v>
      </c>
      <c r="CJ1" s="33">
        <f t="shared" si="2"/>
        <v>0</v>
      </c>
      <c r="CK1" s="33">
        <f t="shared" si="2"/>
        <v>0</v>
      </c>
      <c r="CL1" s="33">
        <f t="shared" si="2"/>
        <v>0</v>
      </c>
      <c r="CM1" s="33">
        <f t="shared" si="2"/>
        <v>0</v>
      </c>
      <c r="CN1" s="33">
        <f t="shared" si="2"/>
        <v>0</v>
      </c>
      <c r="CO1" s="33">
        <f t="shared" si="2"/>
        <v>0</v>
      </c>
      <c r="CP1" s="33">
        <f t="shared" si="2"/>
        <v>0</v>
      </c>
      <c r="CQ1" s="33">
        <f t="shared" si="2"/>
        <v>0</v>
      </c>
      <c r="CR1" s="33">
        <f t="shared" si="2"/>
        <v>0</v>
      </c>
      <c r="CS1" s="33">
        <f t="shared" si="2"/>
        <v>0</v>
      </c>
      <c r="CT1" s="33">
        <f t="shared" si="2"/>
        <v>0</v>
      </c>
      <c r="CU1" s="33">
        <f t="shared" ref="CU1:DZ1" si="3">SUM(CU8:CU100)</f>
        <v>0</v>
      </c>
      <c r="CV1" s="33">
        <f t="shared" si="3"/>
        <v>0</v>
      </c>
      <c r="CW1" s="33">
        <f t="shared" si="3"/>
        <v>2.4</v>
      </c>
      <c r="CX1" s="33">
        <f t="shared" si="3"/>
        <v>0</v>
      </c>
      <c r="CY1" s="33">
        <f t="shared" si="3"/>
        <v>0.08</v>
      </c>
      <c r="CZ1" s="33">
        <f t="shared" si="3"/>
        <v>5.2540000000000004</v>
      </c>
      <c r="DA1" s="33">
        <f t="shared" si="3"/>
        <v>0</v>
      </c>
      <c r="DB1" s="33">
        <f t="shared" si="3"/>
        <v>9.6769999999999978</v>
      </c>
      <c r="DC1" s="33">
        <f t="shared" si="3"/>
        <v>4.7250000000000005</v>
      </c>
      <c r="DD1" s="33">
        <f t="shared" si="3"/>
        <v>0.97099999999999997</v>
      </c>
      <c r="DE1" s="33">
        <f t="shared" si="3"/>
        <v>1.8540000000000001</v>
      </c>
      <c r="DF1" s="33">
        <f t="shared" si="3"/>
        <v>0.11</v>
      </c>
      <c r="DG1" s="33">
        <f t="shared" si="3"/>
        <v>3.7050000000000001</v>
      </c>
      <c r="DH1" s="33">
        <f t="shared" si="3"/>
        <v>0</v>
      </c>
      <c r="DI1" s="33">
        <f t="shared" si="3"/>
        <v>0.62</v>
      </c>
      <c r="DJ1" s="33">
        <f t="shared" si="3"/>
        <v>1</v>
      </c>
      <c r="DK1" s="33">
        <f t="shared" si="3"/>
        <v>0</v>
      </c>
      <c r="DL1" s="33">
        <f t="shared" si="3"/>
        <v>0</v>
      </c>
      <c r="DM1" s="33">
        <f t="shared" si="3"/>
        <v>0.08</v>
      </c>
      <c r="DN1" s="33">
        <f t="shared" si="3"/>
        <v>1.4159999999999999</v>
      </c>
      <c r="DO1" s="33">
        <f t="shared" si="3"/>
        <v>0</v>
      </c>
      <c r="DP1" s="33">
        <f t="shared" si="3"/>
        <v>3.2140000000000004</v>
      </c>
      <c r="DQ1" s="33">
        <f t="shared" si="3"/>
        <v>1.4930000000000001</v>
      </c>
      <c r="DR1" s="33">
        <f t="shared" si="3"/>
        <v>0.21299999999999999</v>
      </c>
      <c r="DS1" s="33">
        <f t="shared" si="3"/>
        <v>0.44600000000000006</v>
      </c>
      <c r="DT1" s="33">
        <f t="shared" si="3"/>
        <v>0.111</v>
      </c>
      <c r="DU1" s="33">
        <f t="shared" si="3"/>
        <v>1.4950000000000001</v>
      </c>
      <c r="DV1" s="33">
        <f t="shared" si="3"/>
        <v>0</v>
      </c>
      <c r="DW1" s="33">
        <f t="shared" si="3"/>
        <v>0.16</v>
      </c>
      <c r="DX1" s="33">
        <f t="shared" si="3"/>
        <v>0</v>
      </c>
      <c r="DY1" s="33">
        <f t="shared" si="3"/>
        <v>0</v>
      </c>
      <c r="DZ1" s="33">
        <f t="shared" si="3"/>
        <v>0</v>
      </c>
      <c r="EA1" s="33">
        <f t="shared" ref="EA1:FF1" si="4">SUM(EA8:EA100)</f>
        <v>0.08</v>
      </c>
      <c r="EB1" s="33">
        <f t="shared" si="4"/>
        <v>1.206</v>
      </c>
      <c r="EC1" s="33">
        <f t="shared" si="4"/>
        <v>0</v>
      </c>
      <c r="ED1" s="33">
        <f t="shared" si="4"/>
        <v>2.3840000000000003</v>
      </c>
      <c r="EE1" s="33">
        <f t="shared" si="4"/>
        <v>2.33</v>
      </c>
      <c r="EF1" s="33">
        <f t="shared" si="4"/>
        <v>0.35599999999999998</v>
      </c>
      <c r="EG1" s="33">
        <f t="shared" si="4"/>
        <v>0.45699999999999996</v>
      </c>
      <c r="EH1" s="33">
        <f t="shared" si="4"/>
        <v>1.2</v>
      </c>
      <c r="EI1" s="33">
        <f t="shared" si="4"/>
        <v>1.4950000000000001</v>
      </c>
      <c r="EJ1" s="33">
        <f t="shared" si="4"/>
        <v>0</v>
      </c>
      <c r="EK1" s="33">
        <f t="shared" si="4"/>
        <v>0.16</v>
      </c>
      <c r="EL1" s="33">
        <f t="shared" si="4"/>
        <v>0</v>
      </c>
      <c r="EM1" s="33">
        <f t="shared" si="4"/>
        <v>0</v>
      </c>
      <c r="EN1" s="33">
        <f t="shared" si="4"/>
        <v>18.059999999999999</v>
      </c>
      <c r="EO1" s="33">
        <f t="shared" si="4"/>
        <v>0</v>
      </c>
      <c r="EP1" s="33">
        <f t="shared" si="4"/>
        <v>3</v>
      </c>
      <c r="EQ1" s="33">
        <f t="shared" si="4"/>
        <v>45.305</v>
      </c>
      <c r="ER1" s="33">
        <f t="shared" si="4"/>
        <v>66.365000000000009</v>
      </c>
      <c r="ES1" s="33">
        <f t="shared" si="4"/>
        <v>0</v>
      </c>
      <c r="ET1" s="33">
        <f t="shared" si="4"/>
        <v>0.65400000000000003</v>
      </c>
      <c r="EU1" s="33">
        <f t="shared" si="4"/>
        <v>7.1000000000000008E-2</v>
      </c>
      <c r="EV1" s="33">
        <f t="shared" si="4"/>
        <v>0</v>
      </c>
      <c r="EW1" s="33">
        <f t="shared" si="4"/>
        <v>0.28599999999999998</v>
      </c>
      <c r="EX1" s="33">
        <f t="shared" si="4"/>
        <v>0</v>
      </c>
      <c r="EY1" s="33">
        <f t="shared" si="4"/>
        <v>0</v>
      </c>
      <c r="EZ1" s="33">
        <f t="shared" si="4"/>
        <v>0</v>
      </c>
      <c r="FA1" s="33">
        <f t="shared" si="4"/>
        <v>0.221</v>
      </c>
      <c r="FB1" s="33">
        <f t="shared" si="4"/>
        <v>0</v>
      </c>
      <c r="FC1" s="33">
        <f t="shared" si="4"/>
        <v>0</v>
      </c>
      <c r="FD1" s="33">
        <f t="shared" si="4"/>
        <v>1.1200000000000001</v>
      </c>
      <c r="FE1" s="33">
        <f t="shared" si="4"/>
        <v>0</v>
      </c>
      <c r="FF1" s="33">
        <f t="shared" si="4"/>
        <v>0.8</v>
      </c>
    </row>
    <row r="2" spans="1:163" ht="60" customHeight="1" x14ac:dyDescent="0.25">
      <c r="A2" s="154"/>
      <c r="B2" s="154" t="s">
        <v>1038</v>
      </c>
      <c r="C2" s="88" t="s">
        <v>724</v>
      </c>
      <c r="D2" s="127" t="s">
        <v>716</v>
      </c>
      <c r="E2" s="128" t="s">
        <v>729</v>
      </c>
      <c r="F2" s="128" t="s">
        <v>904</v>
      </c>
      <c r="G2" s="128" t="s">
        <v>719</v>
      </c>
      <c r="H2" s="128" t="s">
        <v>905</v>
      </c>
      <c r="I2" s="128" t="s">
        <v>906</v>
      </c>
      <c r="J2" s="128" t="s">
        <v>721</v>
      </c>
      <c r="K2" s="128" t="s">
        <v>722</v>
      </c>
      <c r="L2" s="128" t="s">
        <v>681</v>
      </c>
      <c r="M2" s="128" t="s">
        <v>723</v>
      </c>
      <c r="N2" s="128" t="s">
        <v>907</v>
      </c>
      <c r="O2" s="208" t="s">
        <v>1158</v>
      </c>
      <c r="P2" s="128" t="s">
        <v>908</v>
      </c>
      <c r="Q2" s="208" t="s">
        <v>1058</v>
      </c>
      <c r="R2" s="127" t="s">
        <v>716</v>
      </c>
      <c r="S2" s="128" t="s">
        <v>729</v>
      </c>
      <c r="T2" s="128" t="s">
        <v>904</v>
      </c>
      <c r="U2" s="128" t="s">
        <v>719</v>
      </c>
      <c r="V2" s="128" t="s">
        <v>905</v>
      </c>
      <c r="W2" s="128" t="s">
        <v>906</v>
      </c>
      <c r="X2" s="128" t="s">
        <v>721</v>
      </c>
      <c r="Y2" s="128" t="s">
        <v>722</v>
      </c>
      <c r="Z2" s="128" t="s">
        <v>681</v>
      </c>
      <c r="AA2" s="128" t="s">
        <v>723</v>
      </c>
      <c r="AB2" s="128" t="s">
        <v>907</v>
      </c>
      <c r="AC2" s="208" t="s">
        <v>1158</v>
      </c>
      <c r="AD2" s="128" t="s">
        <v>908</v>
      </c>
      <c r="AE2" s="208" t="s">
        <v>1058</v>
      </c>
      <c r="AF2" s="127" t="s">
        <v>716</v>
      </c>
      <c r="AG2" s="128" t="s">
        <v>729</v>
      </c>
      <c r="AH2" s="128" t="s">
        <v>904</v>
      </c>
      <c r="AI2" s="128" t="s">
        <v>719</v>
      </c>
      <c r="AJ2" s="128" t="s">
        <v>905</v>
      </c>
      <c r="AK2" s="128" t="s">
        <v>906</v>
      </c>
      <c r="AL2" s="128" t="s">
        <v>721</v>
      </c>
      <c r="AM2" s="128" t="s">
        <v>722</v>
      </c>
      <c r="AN2" s="128" t="s">
        <v>681</v>
      </c>
      <c r="AO2" s="128" t="s">
        <v>723</v>
      </c>
      <c r="AP2" s="128" t="s">
        <v>907</v>
      </c>
      <c r="AQ2" s="208" t="s">
        <v>1158</v>
      </c>
      <c r="AR2" s="128" t="s">
        <v>908</v>
      </c>
      <c r="AS2" s="208" t="s">
        <v>1058</v>
      </c>
      <c r="AT2" s="197" t="s">
        <v>716</v>
      </c>
      <c r="AU2" s="198" t="s">
        <v>729</v>
      </c>
      <c r="AV2" s="198" t="s">
        <v>904</v>
      </c>
      <c r="AW2" s="198" t="s">
        <v>719</v>
      </c>
      <c r="AX2" s="198" t="s">
        <v>905</v>
      </c>
      <c r="AY2" s="198" t="s">
        <v>906</v>
      </c>
      <c r="AZ2" s="198" t="s">
        <v>721</v>
      </c>
      <c r="BA2" s="198" t="s">
        <v>722</v>
      </c>
      <c r="BB2" s="198" t="s">
        <v>681</v>
      </c>
      <c r="BC2" s="198" t="s">
        <v>723</v>
      </c>
      <c r="BD2" s="198" t="s">
        <v>907</v>
      </c>
      <c r="BE2" s="228" t="s">
        <v>1158</v>
      </c>
      <c r="BF2" s="198" t="s">
        <v>908</v>
      </c>
      <c r="BG2" s="229" t="s">
        <v>1058</v>
      </c>
      <c r="BH2" s="210" t="s">
        <v>716</v>
      </c>
      <c r="BI2" s="129" t="s">
        <v>729</v>
      </c>
      <c r="BJ2" s="129" t="s">
        <v>904</v>
      </c>
      <c r="BK2" s="129" t="s">
        <v>719</v>
      </c>
      <c r="BL2" s="129" t="s">
        <v>905</v>
      </c>
      <c r="BM2" s="129" t="s">
        <v>906</v>
      </c>
      <c r="BN2" s="129" t="s">
        <v>721</v>
      </c>
      <c r="BO2" s="129" t="s">
        <v>722</v>
      </c>
      <c r="BP2" s="129" t="s">
        <v>681</v>
      </c>
      <c r="BQ2" s="129" t="s">
        <v>723</v>
      </c>
      <c r="BR2" s="129" t="s">
        <v>907</v>
      </c>
      <c r="BS2" s="214" t="s">
        <v>1158</v>
      </c>
      <c r="BT2" s="129" t="s">
        <v>908</v>
      </c>
      <c r="BU2" s="214" t="s">
        <v>1058</v>
      </c>
      <c r="BV2" s="210" t="s">
        <v>716</v>
      </c>
      <c r="BW2" s="129" t="s">
        <v>729</v>
      </c>
      <c r="BX2" s="129" t="s">
        <v>904</v>
      </c>
      <c r="BY2" s="129" t="s">
        <v>719</v>
      </c>
      <c r="BZ2" s="129" t="s">
        <v>905</v>
      </c>
      <c r="CA2" s="129" t="s">
        <v>906</v>
      </c>
      <c r="CB2" s="129" t="s">
        <v>721</v>
      </c>
      <c r="CC2" s="129" t="s">
        <v>722</v>
      </c>
      <c r="CD2" s="129" t="s">
        <v>681</v>
      </c>
      <c r="CE2" s="129" t="s">
        <v>723</v>
      </c>
      <c r="CF2" s="129" t="s">
        <v>907</v>
      </c>
      <c r="CG2" s="214" t="s">
        <v>1158</v>
      </c>
      <c r="CH2" s="129" t="s">
        <v>908</v>
      </c>
      <c r="CI2" s="214" t="s">
        <v>1058</v>
      </c>
      <c r="CJ2" s="210" t="s">
        <v>716</v>
      </c>
      <c r="CK2" s="129" t="s">
        <v>729</v>
      </c>
      <c r="CL2" s="129" t="s">
        <v>904</v>
      </c>
      <c r="CM2" s="129" t="s">
        <v>719</v>
      </c>
      <c r="CN2" s="129" t="s">
        <v>905</v>
      </c>
      <c r="CO2" s="129" t="s">
        <v>906</v>
      </c>
      <c r="CP2" s="129" t="s">
        <v>721</v>
      </c>
      <c r="CQ2" s="129" t="s">
        <v>722</v>
      </c>
      <c r="CR2" s="129" t="s">
        <v>681</v>
      </c>
      <c r="CS2" s="129" t="s">
        <v>723</v>
      </c>
      <c r="CT2" s="129" t="s">
        <v>907</v>
      </c>
      <c r="CU2" s="214" t="s">
        <v>1158</v>
      </c>
      <c r="CV2" s="129" t="s">
        <v>908</v>
      </c>
      <c r="CW2" s="214" t="s">
        <v>1058</v>
      </c>
      <c r="CX2" s="216" t="s">
        <v>716</v>
      </c>
      <c r="CY2" s="130" t="s">
        <v>729</v>
      </c>
      <c r="CZ2" s="130" t="s">
        <v>904</v>
      </c>
      <c r="DA2" s="130" t="s">
        <v>719</v>
      </c>
      <c r="DB2" s="130" t="s">
        <v>905</v>
      </c>
      <c r="DC2" s="130" t="s">
        <v>906</v>
      </c>
      <c r="DD2" s="130" t="s">
        <v>721</v>
      </c>
      <c r="DE2" s="130" t="s">
        <v>722</v>
      </c>
      <c r="DF2" s="130" t="s">
        <v>681</v>
      </c>
      <c r="DG2" s="130" t="s">
        <v>723</v>
      </c>
      <c r="DH2" s="130" t="s">
        <v>907</v>
      </c>
      <c r="DI2" s="221" t="s">
        <v>1158</v>
      </c>
      <c r="DJ2" s="130" t="s">
        <v>908</v>
      </c>
      <c r="DK2" s="221" t="s">
        <v>1058</v>
      </c>
      <c r="DL2" s="216" t="s">
        <v>716</v>
      </c>
      <c r="DM2" s="130" t="s">
        <v>729</v>
      </c>
      <c r="DN2" s="130" t="s">
        <v>904</v>
      </c>
      <c r="DO2" s="130" t="s">
        <v>719</v>
      </c>
      <c r="DP2" s="130" t="s">
        <v>905</v>
      </c>
      <c r="DQ2" s="130" t="s">
        <v>906</v>
      </c>
      <c r="DR2" s="130" t="s">
        <v>721</v>
      </c>
      <c r="DS2" s="130" t="s">
        <v>722</v>
      </c>
      <c r="DT2" s="130" t="s">
        <v>681</v>
      </c>
      <c r="DU2" s="130" t="s">
        <v>723</v>
      </c>
      <c r="DV2" s="130" t="s">
        <v>907</v>
      </c>
      <c r="DW2" s="221" t="s">
        <v>1158</v>
      </c>
      <c r="DX2" s="130" t="s">
        <v>908</v>
      </c>
      <c r="DY2" s="221" t="s">
        <v>1058</v>
      </c>
      <c r="DZ2" s="216" t="s">
        <v>716</v>
      </c>
      <c r="EA2" s="130" t="s">
        <v>729</v>
      </c>
      <c r="EB2" s="130" t="s">
        <v>904</v>
      </c>
      <c r="EC2" s="130" t="s">
        <v>719</v>
      </c>
      <c r="ED2" s="130" t="s">
        <v>905</v>
      </c>
      <c r="EE2" s="130" t="s">
        <v>906</v>
      </c>
      <c r="EF2" s="130" t="s">
        <v>721</v>
      </c>
      <c r="EG2" s="130" t="s">
        <v>722</v>
      </c>
      <c r="EH2" s="130" t="s">
        <v>681</v>
      </c>
      <c r="EI2" s="130" t="s">
        <v>723</v>
      </c>
      <c r="EJ2" s="130" t="s">
        <v>907</v>
      </c>
      <c r="EK2" s="221" t="s">
        <v>1158</v>
      </c>
      <c r="EL2" s="130" t="s">
        <v>908</v>
      </c>
      <c r="EM2" s="221" t="s">
        <v>1058</v>
      </c>
      <c r="EN2" s="159" t="s">
        <v>1571</v>
      </c>
      <c r="EO2" s="159" t="s">
        <v>1572</v>
      </c>
      <c r="EP2" s="159" t="s">
        <v>1573</v>
      </c>
      <c r="EQ2" s="159" t="s">
        <v>1087</v>
      </c>
      <c r="ER2" s="253" t="s">
        <v>1088</v>
      </c>
      <c r="ES2" s="24" t="s">
        <v>1053</v>
      </c>
      <c r="ET2" s="24" t="s">
        <v>729</v>
      </c>
      <c r="EU2" s="24" t="s">
        <v>1054</v>
      </c>
      <c r="EV2" s="24" t="s">
        <v>719</v>
      </c>
      <c r="EW2" s="24" t="s">
        <v>1055</v>
      </c>
      <c r="EX2" s="24" t="s">
        <v>720</v>
      </c>
      <c r="EY2" s="24" t="s">
        <v>721</v>
      </c>
      <c r="EZ2" s="24" t="s">
        <v>1056</v>
      </c>
      <c r="FA2" s="24" t="s">
        <v>681</v>
      </c>
      <c r="FB2" s="24" t="s">
        <v>723</v>
      </c>
      <c r="FC2" s="24" t="s">
        <v>1057</v>
      </c>
      <c r="FD2" s="155" t="s">
        <v>1158</v>
      </c>
      <c r="FE2" s="24" t="s">
        <v>1059</v>
      </c>
      <c r="FF2" s="155" t="s">
        <v>1058</v>
      </c>
    </row>
    <row r="3" spans="1:163" x14ac:dyDescent="0.25">
      <c r="C3" s="88" t="s">
        <v>909</v>
      </c>
      <c r="D3" s="131" t="s">
        <v>705</v>
      </c>
      <c r="E3" s="132" t="s">
        <v>705</v>
      </c>
      <c r="F3" s="132" t="s">
        <v>705</v>
      </c>
      <c r="G3" s="132" t="s">
        <v>705</v>
      </c>
      <c r="H3" s="132" t="s">
        <v>705</v>
      </c>
      <c r="I3" s="132" t="s">
        <v>705</v>
      </c>
      <c r="J3" s="132" t="s">
        <v>705</v>
      </c>
      <c r="K3" s="132" t="s">
        <v>705</v>
      </c>
      <c r="L3" s="132" t="s">
        <v>705</v>
      </c>
      <c r="M3" s="132" t="s">
        <v>705</v>
      </c>
      <c r="N3" s="132" t="s">
        <v>705</v>
      </c>
      <c r="O3" s="132" t="s">
        <v>705</v>
      </c>
      <c r="P3" s="132" t="s">
        <v>705</v>
      </c>
      <c r="Q3" s="132" t="s">
        <v>705</v>
      </c>
      <c r="R3" s="131" t="s">
        <v>706</v>
      </c>
      <c r="S3" s="132" t="s">
        <v>706</v>
      </c>
      <c r="T3" s="132" t="s">
        <v>706</v>
      </c>
      <c r="U3" s="132" t="s">
        <v>706</v>
      </c>
      <c r="V3" s="132" t="s">
        <v>706</v>
      </c>
      <c r="W3" s="132" t="s">
        <v>706</v>
      </c>
      <c r="X3" s="132" t="s">
        <v>706</v>
      </c>
      <c r="Y3" s="132" t="s">
        <v>706</v>
      </c>
      <c r="Z3" s="132" t="s">
        <v>706</v>
      </c>
      <c r="AA3" s="132" t="s">
        <v>706</v>
      </c>
      <c r="AB3" s="132" t="s">
        <v>706</v>
      </c>
      <c r="AC3" s="132" t="s">
        <v>706</v>
      </c>
      <c r="AD3" s="132" t="s">
        <v>706</v>
      </c>
      <c r="AE3" s="132" t="s">
        <v>706</v>
      </c>
      <c r="AF3" s="131" t="s">
        <v>707</v>
      </c>
      <c r="AG3" s="132" t="s">
        <v>707</v>
      </c>
      <c r="AH3" s="132" t="s">
        <v>707</v>
      </c>
      <c r="AI3" s="132" t="s">
        <v>707</v>
      </c>
      <c r="AJ3" s="132" t="s">
        <v>707</v>
      </c>
      <c r="AK3" s="132" t="s">
        <v>707</v>
      </c>
      <c r="AL3" s="132" t="s">
        <v>707</v>
      </c>
      <c r="AM3" s="132" t="s">
        <v>707</v>
      </c>
      <c r="AN3" s="132" t="s">
        <v>707</v>
      </c>
      <c r="AO3" s="132" t="s">
        <v>707</v>
      </c>
      <c r="AP3" s="132" t="s">
        <v>707</v>
      </c>
      <c r="AQ3" s="132" t="s">
        <v>707</v>
      </c>
      <c r="AR3" s="132" t="s">
        <v>707</v>
      </c>
      <c r="AS3" s="132" t="s">
        <v>707</v>
      </c>
      <c r="AT3" s="199" t="s">
        <v>1130</v>
      </c>
      <c r="AU3" s="200" t="s">
        <v>1130</v>
      </c>
      <c r="AV3" s="200" t="s">
        <v>1130</v>
      </c>
      <c r="AW3" s="200" t="s">
        <v>1130</v>
      </c>
      <c r="AX3" s="200" t="s">
        <v>1130</v>
      </c>
      <c r="AY3" s="200" t="s">
        <v>1130</v>
      </c>
      <c r="AZ3" s="200" t="s">
        <v>1130</v>
      </c>
      <c r="BA3" s="200" t="s">
        <v>1130</v>
      </c>
      <c r="BB3" s="200" t="s">
        <v>1130</v>
      </c>
      <c r="BC3" s="200" t="s">
        <v>1130</v>
      </c>
      <c r="BD3" s="200" t="s">
        <v>1130</v>
      </c>
      <c r="BE3" s="200" t="s">
        <v>1130</v>
      </c>
      <c r="BF3" s="200" t="s">
        <v>1130</v>
      </c>
      <c r="BG3" s="201" t="s">
        <v>1130</v>
      </c>
      <c r="BH3" s="211" t="s">
        <v>705</v>
      </c>
      <c r="BI3" s="133" t="s">
        <v>705</v>
      </c>
      <c r="BJ3" s="133" t="s">
        <v>705</v>
      </c>
      <c r="BK3" s="133" t="s">
        <v>705</v>
      </c>
      <c r="BL3" s="133" t="s">
        <v>705</v>
      </c>
      <c r="BM3" s="133" t="s">
        <v>705</v>
      </c>
      <c r="BN3" s="133" t="s">
        <v>705</v>
      </c>
      <c r="BO3" s="133" t="s">
        <v>705</v>
      </c>
      <c r="BP3" s="133" t="s">
        <v>705</v>
      </c>
      <c r="BQ3" s="133" t="s">
        <v>705</v>
      </c>
      <c r="BR3" s="133" t="s">
        <v>705</v>
      </c>
      <c r="BS3" s="133" t="s">
        <v>705</v>
      </c>
      <c r="BT3" s="133" t="s">
        <v>705</v>
      </c>
      <c r="BU3" s="133" t="s">
        <v>705</v>
      </c>
      <c r="BV3" s="211" t="s">
        <v>706</v>
      </c>
      <c r="BW3" s="133" t="s">
        <v>706</v>
      </c>
      <c r="BX3" s="133" t="s">
        <v>706</v>
      </c>
      <c r="BY3" s="133" t="s">
        <v>706</v>
      </c>
      <c r="BZ3" s="133" t="s">
        <v>706</v>
      </c>
      <c r="CA3" s="133" t="s">
        <v>706</v>
      </c>
      <c r="CB3" s="133" t="s">
        <v>706</v>
      </c>
      <c r="CC3" s="133" t="s">
        <v>706</v>
      </c>
      <c r="CD3" s="133" t="s">
        <v>706</v>
      </c>
      <c r="CE3" s="133" t="s">
        <v>706</v>
      </c>
      <c r="CF3" s="133" t="s">
        <v>706</v>
      </c>
      <c r="CG3" s="133" t="s">
        <v>706</v>
      </c>
      <c r="CH3" s="133" t="s">
        <v>706</v>
      </c>
      <c r="CI3" s="133" t="s">
        <v>706</v>
      </c>
      <c r="CJ3" s="211" t="s">
        <v>707</v>
      </c>
      <c r="CK3" s="133" t="s">
        <v>707</v>
      </c>
      <c r="CL3" s="133" t="s">
        <v>707</v>
      </c>
      <c r="CM3" s="133" t="s">
        <v>707</v>
      </c>
      <c r="CN3" s="133" t="s">
        <v>707</v>
      </c>
      <c r="CO3" s="133" t="s">
        <v>707</v>
      </c>
      <c r="CP3" s="133" t="s">
        <v>707</v>
      </c>
      <c r="CQ3" s="133" t="s">
        <v>707</v>
      </c>
      <c r="CR3" s="133" t="s">
        <v>707</v>
      </c>
      <c r="CS3" s="133" t="s">
        <v>707</v>
      </c>
      <c r="CT3" s="133" t="s">
        <v>707</v>
      </c>
      <c r="CU3" s="133" t="s">
        <v>707</v>
      </c>
      <c r="CV3" s="133" t="s">
        <v>707</v>
      </c>
      <c r="CW3" s="133" t="s">
        <v>707</v>
      </c>
      <c r="CX3" s="217" t="s">
        <v>705</v>
      </c>
      <c r="CY3" s="134" t="s">
        <v>705</v>
      </c>
      <c r="CZ3" s="134" t="s">
        <v>705</v>
      </c>
      <c r="DA3" s="134" t="s">
        <v>705</v>
      </c>
      <c r="DB3" s="134" t="s">
        <v>705</v>
      </c>
      <c r="DC3" s="134" t="s">
        <v>705</v>
      </c>
      <c r="DD3" s="134" t="s">
        <v>705</v>
      </c>
      <c r="DE3" s="134" t="s">
        <v>705</v>
      </c>
      <c r="DF3" s="134" t="s">
        <v>705</v>
      </c>
      <c r="DG3" s="134" t="s">
        <v>705</v>
      </c>
      <c r="DH3" s="134" t="s">
        <v>705</v>
      </c>
      <c r="DI3" s="134" t="s">
        <v>705</v>
      </c>
      <c r="DJ3" s="134" t="s">
        <v>705</v>
      </c>
      <c r="DK3" s="134" t="s">
        <v>705</v>
      </c>
      <c r="DL3" s="217" t="s">
        <v>706</v>
      </c>
      <c r="DM3" s="134" t="s">
        <v>706</v>
      </c>
      <c r="DN3" s="134" t="s">
        <v>706</v>
      </c>
      <c r="DO3" s="134" t="s">
        <v>706</v>
      </c>
      <c r="DP3" s="134" t="s">
        <v>706</v>
      </c>
      <c r="DQ3" s="134" t="s">
        <v>706</v>
      </c>
      <c r="DR3" s="134" t="s">
        <v>706</v>
      </c>
      <c r="DS3" s="134" t="s">
        <v>706</v>
      </c>
      <c r="DT3" s="134" t="s">
        <v>706</v>
      </c>
      <c r="DU3" s="134" t="s">
        <v>706</v>
      </c>
      <c r="DV3" s="134" t="s">
        <v>706</v>
      </c>
      <c r="DW3" s="134" t="s">
        <v>706</v>
      </c>
      <c r="DX3" s="134" t="s">
        <v>706</v>
      </c>
      <c r="DY3" s="134" t="s">
        <v>706</v>
      </c>
      <c r="DZ3" s="217" t="s">
        <v>707</v>
      </c>
      <c r="EA3" s="134" t="s">
        <v>707</v>
      </c>
      <c r="EB3" s="134" t="s">
        <v>707</v>
      </c>
      <c r="EC3" s="134" t="s">
        <v>707</v>
      </c>
      <c r="ED3" s="134" t="s">
        <v>707</v>
      </c>
      <c r="EE3" s="134" t="s">
        <v>707</v>
      </c>
      <c r="EF3" s="134" t="s">
        <v>707</v>
      </c>
      <c r="EG3" s="134" t="s">
        <v>707</v>
      </c>
      <c r="EH3" s="134" t="s">
        <v>707</v>
      </c>
      <c r="EI3" s="134" t="s">
        <v>707</v>
      </c>
      <c r="EJ3" s="134" t="s">
        <v>707</v>
      </c>
      <c r="EK3" s="134" t="s">
        <v>707</v>
      </c>
      <c r="EL3" s="134" t="s">
        <v>707</v>
      </c>
      <c r="EM3" s="134" t="s">
        <v>707</v>
      </c>
      <c r="EN3" s="160" t="s">
        <v>606</v>
      </c>
      <c r="EO3" s="160" t="s">
        <v>606</v>
      </c>
      <c r="EP3" s="160" t="s">
        <v>606</v>
      </c>
      <c r="EQ3" s="160"/>
      <c r="ER3" s="254"/>
      <c r="ES3" s="160" t="s">
        <v>606</v>
      </c>
      <c r="ET3" s="160" t="s">
        <v>606</v>
      </c>
      <c r="EU3" s="160" t="s">
        <v>606</v>
      </c>
      <c r="EV3" s="160" t="s">
        <v>606</v>
      </c>
      <c r="EW3" s="160" t="s">
        <v>606</v>
      </c>
      <c r="EX3" s="160" t="s">
        <v>606</v>
      </c>
      <c r="EY3" s="160" t="s">
        <v>606</v>
      </c>
      <c r="EZ3" s="160" t="s">
        <v>606</v>
      </c>
      <c r="FA3" s="160" t="s">
        <v>606</v>
      </c>
      <c r="FB3" s="160" t="s">
        <v>606</v>
      </c>
      <c r="FC3" s="160" t="s">
        <v>606</v>
      </c>
      <c r="FD3" s="160" t="s">
        <v>606</v>
      </c>
      <c r="FE3" s="160" t="s">
        <v>606</v>
      </c>
      <c r="FF3" s="160" t="s">
        <v>606</v>
      </c>
    </row>
    <row r="4" spans="1:163" x14ac:dyDescent="0.25">
      <c r="C4" s="88" t="s">
        <v>712</v>
      </c>
      <c r="D4" s="131" t="s">
        <v>747</v>
      </c>
      <c r="E4" s="132" t="s">
        <v>736</v>
      </c>
      <c r="F4" s="132">
        <v>43</v>
      </c>
      <c r="G4" s="132">
        <v>44</v>
      </c>
      <c r="H4" s="132">
        <v>45</v>
      </c>
      <c r="I4" s="132">
        <v>46</v>
      </c>
      <c r="J4" s="132">
        <v>47</v>
      </c>
      <c r="K4" s="132">
        <v>48</v>
      </c>
      <c r="L4" s="132">
        <v>49</v>
      </c>
      <c r="M4" s="132">
        <v>64</v>
      </c>
      <c r="N4" s="132">
        <v>96</v>
      </c>
      <c r="O4" s="132" t="s">
        <v>728</v>
      </c>
      <c r="P4" s="132" t="s">
        <v>728</v>
      </c>
      <c r="Q4" s="132" t="s">
        <v>728</v>
      </c>
      <c r="R4" s="131" t="s">
        <v>747</v>
      </c>
      <c r="S4" s="132" t="s">
        <v>736</v>
      </c>
      <c r="T4" s="132">
        <v>43</v>
      </c>
      <c r="U4" s="132">
        <v>44</v>
      </c>
      <c r="V4" s="132">
        <v>45</v>
      </c>
      <c r="W4" s="132">
        <v>46</v>
      </c>
      <c r="X4" s="132">
        <v>47</v>
      </c>
      <c r="Y4" s="132">
        <v>48</v>
      </c>
      <c r="Z4" s="132">
        <v>49</v>
      </c>
      <c r="AA4" s="132">
        <v>64</v>
      </c>
      <c r="AB4" s="132">
        <v>96</v>
      </c>
      <c r="AC4" s="132" t="s">
        <v>728</v>
      </c>
      <c r="AD4" s="132" t="s">
        <v>728</v>
      </c>
      <c r="AE4" s="132" t="s">
        <v>728</v>
      </c>
      <c r="AF4" s="131" t="s">
        <v>747</v>
      </c>
      <c r="AG4" s="132" t="s">
        <v>736</v>
      </c>
      <c r="AH4" s="132">
        <v>43</v>
      </c>
      <c r="AI4" s="132">
        <v>44</v>
      </c>
      <c r="AJ4" s="132">
        <v>45</v>
      </c>
      <c r="AK4" s="132">
        <v>46</v>
      </c>
      <c r="AL4" s="132">
        <v>47</v>
      </c>
      <c r="AM4" s="132">
        <v>48</v>
      </c>
      <c r="AN4" s="132">
        <v>49</v>
      </c>
      <c r="AO4" s="132">
        <v>64</v>
      </c>
      <c r="AP4" s="132">
        <v>96</v>
      </c>
      <c r="AQ4" s="132" t="s">
        <v>728</v>
      </c>
      <c r="AR4" s="132" t="s">
        <v>728</v>
      </c>
      <c r="AS4" s="132" t="s">
        <v>728</v>
      </c>
      <c r="AT4" s="199" t="s">
        <v>747</v>
      </c>
      <c r="AU4" s="200" t="s">
        <v>736</v>
      </c>
      <c r="AV4" s="200">
        <v>43</v>
      </c>
      <c r="AW4" s="200">
        <v>44</v>
      </c>
      <c r="AX4" s="200">
        <v>45</v>
      </c>
      <c r="AY4" s="200">
        <v>46</v>
      </c>
      <c r="AZ4" s="200">
        <v>47</v>
      </c>
      <c r="BA4" s="200">
        <v>48</v>
      </c>
      <c r="BB4" s="200">
        <v>49</v>
      </c>
      <c r="BC4" s="200">
        <v>64</v>
      </c>
      <c r="BD4" s="200">
        <v>96</v>
      </c>
      <c r="BE4" s="200" t="s">
        <v>728</v>
      </c>
      <c r="BF4" s="200" t="s">
        <v>728</v>
      </c>
      <c r="BG4" s="201" t="s">
        <v>728</v>
      </c>
      <c r="BH4" s="211" t="s">
        <v>747</v>
      </c>
      <c r="BI4" s="133" t="s">
        <v>736</v>
      </c>
      <c r="BJ4" s="133">
        <v>43</v>
      </c>
      <c r="BK4" s="133">
        <v>44</v>
      </c>
      <c r="BL4" s="133">
        <v>45</v>
      </c>
      <c r="BM4" s="133">
        <v>46</v>
      </c>
      <c r="BN4" s="133">
        <v>47</v>
      </c>
      <c r="BO4" s="133">
        <v>48</v>
      </c>
      <c r="BP4" s="133">
        <v>49</v>
      </c>
      <c r="BQ4" s="133">
        <v>64</v>
      </c>
      <c r="BR4" s="133">
        <v>96</v>
      </c>
      <c r="BS4" s="133" t="s">
        <v>728</v>
      </c>
      <c r="BT4" s="133" t="s">
        <v>728</v>
      </c>
      <c r="BU4" s="133" t="s">
        <v>728</v>
      </c>
      <c r="BV4" s="211" t="s">
        <v>747</v>
      </c>
      <c r="BW4" s="133" t="s">
        <v>736</v>
      </c>
      <c r="BX4" s="133">
        <v>43</v>
      </c>
      <c r="BY4" s="133">
        <v>44</v>
      </c>
      <c r="BZ4" s="133">
        <v>45</v>
      </c>
      <c r="CA4" s="133">
        <v>46</v>
      </c>
      <c r="CB4" s="133">
        <v>47</v>
      </c>
      <c r="CC4" s="133">
        <v>48</v>
      </c>
      <c r="CD4" s="133">
        <v>49</v>
      </c>
      <c r="CE4" s="133">
        <v>64</v>
      </c>
      <c r="CF4" s="133">
        <v>96</v>
      </c>
      <c r="CG4" s="133" t="s">
        <v>728</v>
      </c>
      <c r="CH4" s="133" t="s">
        <v>728</v>
      </c>
      <c r="CI4" s="133" t="s">
        <v>728</v>
      </c>
      <c r="CJ4" s="211" t="s">
        <v>747</v>
      </c>
      <c r="CK4" s="133" t="s">
        <v>736</v>
      </c>
      <c r="CL4" s="133">
        <v>43</v>
      </c>
      <c r="CM4" s="133">
        <v>44</v>
      </c>
      <c r="CN4" s="133">
        <v>45</v>
      </c>
      <c r="CO4" s="133">
        <v>46</v>
      </c>
      <c r="CP4" s="133">
        <v>47</v>
      </c>
      <c r="CQ4" s="133">
        <v>48</v>
      </c>
      <c r="CR4" s="133">
        <v>49</v>
      </c>
      <c r="CS4" s="133">
        <v>64</v>
      </c>
      <c r="CT4" s="133">
        <v>96</v>
      </c>
      <c r="CU4" s="133" t="s">
        <v>728</v>
      </c>
      <c r="CV4" s="133" t="s">
        <v>728</v>
      </c>
      <c r="CW4" s="133" t="s">
        <v>728</v>
      </c>
      <c r="CX4" s="217" t="s">
        <v>747</v>
      </c>
      <c r="CY4" s="134" t="s">
        <v>736</v>
      </c>
      <c r="CZ4" s="134">
        <v>43</v>
      </c>
      <c r="DA4" s="134">
        <v>44</v>
      </c>
      <c r="DB4" s="134">
        <v>45</v>
      </c>
      <c r="DC4" s="134">
        <v>46</v>
      </c>
      <c r="DD4" s="134">
        <v>47</v>
      </c>
      <c r="DE4" s="134">
        <v>48</v>
      </c>
      <c r="DF4" s="134">
        <v>49</v>
      </c>
      <c r="DG4" s="134">
        <v>64</v>
      </c>
      <c r="DH4" s="134">
        <v>96</v>
      </c>
      <c r="DI4" s="134" t="s">
        <v>728</v>
      </c>
      <c r="DJ4" s="134" t="s">
        <v>728</v>
      </c>
      <c r="DK4" s="134" t="s">
        <v>728</v>
      </c>
      <c r="DL4" s="217" t="s">
        <v>747</v>
      </c>
      <c r="DM4" s="134" t="s">
        <v>736</v>
      </c>
      <c r="DN4" s="134">
        <v>43</v>
      </c>
      <c r="DO4" s="134">
        <v>44</v>
      </c>
      <c r="DP4" s="134">
        <v>45</v>
      </c>
      <c r="DQ4" s="134">
        <v>46</v>
      </c>
      <c r="DR4" s="134">
        <v>47</v>
      </c>
      <c r="DS4" s="134">
        <v>48</v>
      </c>
      <c r="DT4" s="134">
        <v>49</v>
      </c>
      <c r="DU4" s="134">
        <v>64</v>
      </c>
      <c r="DV4" s="134">
        <v>96</v>
      </c>
      <c r="DW4" s="134" t="s">
        <v>728</v>
      </c>
      <c r="DX4" s="134" t="s">
        <v>728</v>
      </c>
      <c r="DY4" s="134" t="s">
        <v>728</v>
      </c>
      <c r="DZ4" s="217" t="s">
        <v>747</v>
      </c>
      <c r="EA4" s="134" t="s">
        <v>736</v>
      </c>
      <c r="EB4" s="134">
        <v>43</v>
      </c>
      <c r="EC4" s="134">
        <v>44</v>
      </c>
      <c r="ED4" s="134">
        <v>45</v>
      </c>
      <c r="EE4" s="134">
        <v>46</v>
      </c>
      <c r="EF4" s="134">
        <v>47</v>
      </c>
      <c r="EG4" s="134">
        <v>48</v>
      </c>
      <c r="EH4" s="134">
        <v>49</v>
      </c>
      <c r="EI4" s="134">
        <v>64</v>
      </c>
      <c r="EJ4" s="134">
        <v>96</v>
      </c>
      <c r="EK4" s="134" t="s">
        <v>728</v>
      </c>
      <c r="EL4" s="134" t="s">
        <v>728</v>
      </c>
      <c r="EM4" s="134" t="s">
        <v>728</v>
      </c>
    </row>
    <row r="5" spans="1:163" x14ac:dyDescent="0.25">
      <c r="C5" s="88" t="s">
        <v>725</v>
      </c>
      <c r="D5" s="131" t="s">
        <v>717</v>
      </c>
      <c r="E5" s="132" t="s">
        <v>717</v>
      </c>
      <c r="F5" s="132" t="s">
        <v>717</v>
      </c>
      <c r="G5" s="132" t="s">
        <v>717</v>
      </c>
      <c r="H5" s="132" t="s">
        <v>717</v>
      </c>
      <c r="I5" s="132" t="s">
        <v>717</v>
      </c>
      <c r="J5" s="132" t="s">
        <v>717</v>
      </c>
      <c r="K5" s="132" t="s">
        <v>717</v>
      </c>
      <c r="L5" s="132" t="s">
        <v>717</v>
      </c>
      <c r="M5" s="132" t="s">
        <v>717</v>
      </c>
      <c r="N5" s="132">
        <v>24</v>
      </c>
      <c r="O5" s="132">
        <v>25</v>
      </c>
      <c r="P5" s="132">
        <v>26</v>
      </c>
      <c r="Q5" s="132">
        <v>35</v>
      </c>
      <c r="R5" s="131" t="s">
        <v>717</v>
      </c>
      <c r="S5" s="132" t="s">
        <v>717</v>
      </c>
      <c r="T5" s="132" t="s">
        <v>717</v>
      </c>
      <c r="U5" s="132" t="s">
        <v>717</v>
      </c>
      <c r="V5" s="132" t="s">
        <v>717</v>
      </c>
      <c r="W5" s="132" t="s">
        <v>717</v>
      </c>
      <c r="X5" s="132" t="s">
        <v>717</v>
      </c>
      <c r="Y5" s="132" t="s">
        <v>717</v>
      </c>
      <c r="Z5" s="132" t="s">
        <v>717</v>
      </c>
      <c r="AA5" s="132" t="s">
        <v>717</v>
      </c>
      <c r="AB5" s="132">
        <v>24</v>
      </c>
      <c r="AC5" s="132">
        <v>25</v>
      </c>
      <c r="AD5" s="132">
        <v>26</v>
      </c>
      <c r="AE5" s="209">
        <v>35</v>
      </c>
      <c r="AF5" s="131" t="s">
        <v>717</v>
      </c>
      <c r="AG5" s="132" t="s">
        <v>717</v>
      </c>
      <c r="AH5" s="132" t="s">
        <v>717</v>
      </c>
      <c r="AI5" s="132" t="s">
        <v>717</v>
      </c>
      <c r="AJ5" s="132" t="s">
        <v>717</v>
      </c>
      <c r="AK5" s="132" t="s">
        <v>717</v>
      </c>
      <c r="AL5" s="132" t="s">
        <v>717</v>
      </c>
      <c r="AM5" s="132" t="s">
        <v>717</v>
      </c>
      <c r="AN5" s="132" t="s">
        <v>717</v>
      </c>
      <c r="AO5" s="132" t="s">
        <v>717</v>
      </c>
      <c r="AP5" s="132">
        <v>24</v>
      </c>
      <c r="AQ5" s="132">
        <v>25</v>
      </c>
      <c r="AR5" s="132">
        <v>26</v>
      </c>
      <c r="AS5" s="209">
        <v>35</v>
      </c>
      <c r="AT5" s="199" t="s">
        <v>717</v>
      </c>
      <c r="AU5" s="200" t="s">
        <v>717</v>
      </c>
      <c r="AV5" s="200" t="s">
        <v>717</v>
      </c>
      <c r="AW5" s="200" t="s">
        <v>717</v>
      </c>
      <c r="AX5" s="200" t="s">
        <v>717</v>
      </c>
      <c r="AY5" s="200" t="s">
        <v>717</v>
      </c>
      <c r="AZ5" s="200" t="s">
        <v>717</v>
      </c>
      <c r="BA5" s="200" t="s">
        <v>717</v>
      </c>
      <c r="BB5" s="200" t="s">
        <v>717</v>
      </c>
      <c r="BC5" s="200" t="s">
        <v>717</v>
      </c>
      <c r="BD5" s="200">
        <v>24</v>
      </c>
      <c r="BE5" s="200">
        <v>25</v>
      </c>
      <c r="BF5" s="200">
        <v>26</v>
      </c>
      <c r="BG5" s="230">
        <v>35</v>
      </c>
      <c r="BH5" s="211" t="s">
        <v>717</v>
      </c>
      <c r="BI5" s="133" t="s">
        <v>717</v>
      </c>
      <c r="BJ5" s="133" t="s">
        <v>717</v>
      </c>
      <c r="BK5" s="133" t="s">
        <v>717</v>
      </c>
      <c r="BL5" s="133" t="s">
        <v>717</v>
      </c>
      <c r="BM5" s="133" t="s">
        <v>717</v>
      </c>
      <c r="BN5" s="133" t="s">
        <v>717</v>
      </c>
      <c r="BO5" s="133" t="s">
        <v>717</v>
      </c>
      <c r="BP5" s="133" t="s">
        <v>717</v>
      </c>
      <c r="BQ5" s="133" t="s">
        <v>717</v>
      </c>
      <c r="BR5" s="133">
        <v>24</v>
      </c>
      <c r="BS5" s="133">
        <v>25</v>
      </c>
      <c r="BT5" s="133">
        <v>26</v>
      </c>
      <c r="BU5" s="215">
        <v>35</v>
      </c>
      <c r="BV5" s="211" t="s">
        <v>717</v>
      </c>
      <c r="BW5" s="133" t="s">
        <v>717</v>
      </c>
      <c r="BX5" s="133" t="s">
        <v>717</v>
      </c>
      <c r="BY5" s="133" t="s">
        <v>717</v>
      </c>
      <c r="BZ5" s="133" t="s">
        <v>717</v>
      </c>
      <c r="CA5" s="133" t="s">
        <v>717</v>
      </c>
      <c r="CB5" s="133" t="s">
        <v>717</v>
      </c>
      <c r="CC5" s="133" t="s">
        <v>717</v>
      </c>
      <c r="CD5" s="133" t="s">
        <v>717</v>
      </c>
      <c r="CE5" s="133" t="s">
        <v>717</v>
      </c>
      <c r="CF5" s="133">
        <v>24</v>
      </c>
      <c r="CG5" s="133">
        <v>25</v>
      </c>
      <c r="CH5" s="133">
        <v>26</v>
      </c>
      <c r="CI5" s="215">
        <v>35</v>
      </c>
      <c r="CJ5" s="211" t="s">
        <v>717</v>
      </c>
      <c r="CK5" s="133" t="s">
        <v>717</v>
      </c>
      <c r="CL5" s="133" t="s">
        <v>717</v>
      </c>
      <c r="CM5" s="133" t="s">
        <v>717</v>
      </c>
      <c r="CN5" s="133" t="s">
        <v>717</v>
      </c>
      <c r="CO5" s="133" t="s">
        <v>717</v>
      </c>
      <c r="CP5" s="133" t="s">
        <v>717</v>
      </c>
      <c r="CQ5" s="133" t="s">
        <v>717</v>
      </c>
      <c r="CR5" s="133" t="s">
        <v>717</v>
      </c>
      <c r="CS5" s="133" t="s">
        <v>717</v>
      </c>
      <c r="CT5" s="133">
        <v>24</v>
      </c>
      <c r="CU5" s="133">
        <v>25</v>
      </c>
      <c r="CV5" s="133">
        <v>26</v>
      </c>
      <c r="CW5" s="215">
        <v>35</v>
      </c>
      <c r="CX5" s="217" t="s">
        <v>717</v>
      </c>
      <c r="CY5" s="134" t="s">
        <v>717</v>
      </c>
      <c r="CZ5" s="134" t="s">
        <v>717</v>
      </c>
      <c r="DA5" s="134" t="s">
        <v>717</v>
      </c>
      <c r="DB5" s="134" t="s">
        <v>717</v>
      </c>
      <c r="DC5" s="134" t="s">
        <v>717</v>
      </c>
      <c r="DD5" s="134" t="s">
        <v>717</v>
      </c>
      <c r="DE5" s="134" t="s">
        <v>717</v>
      </c>
      <c r="DF5" s="134" t="s">
        <v>717</v>
      </c>
      <c r="DG5" s="134" t="s">
        <v>717</v>
      </c>
      <c r="DH5" s="134">
        <v>24</v>
      </c>
      <c r="DI5" s="134">
        <v>25</v>
      </c>
      <c r="DJ5" s="134">
        <v>26</v>
      </c>
      <c r="DK5" s="220">
        <v>35</v>
      </c>
      <c r="DL5" s="217" t="s">
        <v>717</v>
      </c>
      <c r="DM5" s="134" t="s">
        <v>717</v>
      </c>
      <c r="DN5" s="134" t="s">
        <v>717</v>
      </c>
      <c r="DO5" s="134" t="s">
        <v>717</v>
      </c>
      <c r="DP5" s="134" t="s">
        <v>717</v>
      </c>
      <c r="DQ5" s="134" t="s">
        <v>717</v>
      </c>
      <c r="DR5" s="134" t="s">
        <v>717</v>
      </c>
      <c r="DS5" s="134" t="s">
        <v>717</v>
      </c>
      <c r="DT5" s="134" t="s">
        <v>717</v>
      </c>
      <c r="DU5" s="134" t="s">
        <v>717</v>
      </c>
      <c r="DV5" s="134">
        <v>24</v>
      </c>
      <c r="DW5" s="134">
        <v>25</v>
      </c>
      <c r="DX5" s="134">
        <v>26</v>
      </c>
      <c r="DY5" s="220">
        <v>35</v>
      </c>
      <c r="DZ5" s="217" t="s">
        <v>717</v>
      </c>
      <c r="EA5" s="134" t="s">
        <v>717</v>
      </c>
      <c r="EB5" s="134" t="s">
        <v>717</v>
      </c>
      <c r="EC5" s="134" t="s">
        <v>717</v>
      </c>
      <c r="ED5" s="134" t="s">
        <v>717</v>
      </c>
      <c r="EE5" s="134" t="s">
        <v>717</v>
      </c>
      <c r="EF5" s="134" t="s">
        <v>717</v>
      </c>
      <c r="EG5" s="134" t="s">
        <v>717</v>
      </c>
      <c r="EH5" s="134" t="s">
        <v>717</v>
      </c>
      <c r="EI5" s="134" t="s">
        <v>717</v>
      </c>
      <c r="EJ5" s="134">
        <v>24</v>
      </c>
      <c r="EK5" s="134">
        <v>25</v>
      </c>
      <c r="EL5" s="134">
        <v>26</v>
      </c>
      <c r="EM5" s="220">
        <v>35</v>
      </c>
    </row>
    <row r="6" spans="1:163" x14ac:dyDescent="0.25">
      <c r="A6">
        <f>COUNTA(A8:A100)</f>
        <v>22</v>
      </c>
      <c r="C6" s="14" t="s">
        <v>910</v>
      </c>
      <c r="D6" s="135" t="s">
        <v>731</v>
      </c>
      <c r="E6" s="136" t="s">
        <v>731</v>
      </c>
      <c r="F6" s="136" t="s">
        <v>731</v>
      </c>
      <c r="G6" s="136" t="s">
        <v>731</v>
      </c>
      <c r="H6" s="136" t="s">
        <v>731</v>
      </c>
      <c r="I6" s="136" t="s">
        <v>731</v>
      </c>
      <c r="J6" s="136" t="s">
        <v>731</v>
      </c>
      <c r="K6" s="136" t="s">
        <v>731</v>
      </c>
      <c r="L6" s="136" t="s">
        <v>731</v>
      </c>
      <c r="M6" s="136" t="s">
        <v>731</v>
      </c>
      <c r="N6" s="136" t="s">
        <v>731</v>
      </c>
      <c r="O6" s="136" t="s">
        <v>731</v>
      </c>
      <c r="P6" s="136" t="s">
        <v>731</v>
      </c>
      <c r="Q6" s="136" t="s">
        <v>731</v>
      </c>
      <c r="R6" s="135" t="s">
        <v>731</v>
      </c>
      <c r="S6" s="136" t="s">
        <v>731</v>
      </c>
      <c r="T6" s="136" t="s">
        <v>731</v>
      </c>
      <c r="U6" s="136" t="s">
        <v>731</v>
      </c>
      <c r="V6" s="136" t="s">
        <v>731</v>
      </c>
      <c r="W6" s="136" t="s">
        <v>731</v>
      </c>
      <c r="X6" s="136" t="s">
        <v>731</v>
      </c>
      <c r="Y6" s="136" t="s">
        <v>731</v>
      </c>
      <c r="Z6" s="136" t="s">
        <v>731</v>
      </c>
      <c r="AA6" s="136" t="s">
        <v>731</v>
      </c>
      <c r="AB6" s="136" t="s">
        <v>731</v>
      </c>
      <c r="AC6" s="136" t="s">
        <v>731</v>
      </c>
      <c r="AD6" s="136" t="s">
        <v>731</v>
      </c>
      <c r="AE6" s="136" t="s">
        <v>731</v>
      </c>
      <c r="AF6" s="135" t="s">
        <v>731</v>
      </c>
      <c r="AG6" s="136" t="s">
        <v>731</v>
      </c>
      <c r="AH6" s="136" t="s">
        <v>731</v>
      </c>
      <c r="AI6" s="136" t="s">
        <v>731</v>
      </c>
      <c r="AJ6" s="136" t="s">
        <v>731</v>
      </c>
      <c r="AK6" s="136" t="s">
        <v>731</v>
      </c>
      <c r="AL6" s="136" t="s">
        <v>731</v>
      </c>
      <c r="AM6" s="136" t="s">
        <v>731</v>
      </c>
      <c r="AN6" s="136" t="s">
        <v>731</v>
      </c>
      <c r="AO6" s="136" t="s">
        <v>731</v>
      </c>
      <c r="AP6" s="136" t="s">
        <v>731</v>
      </c>
      <c r="AQ6" s="136" t="s">
        <v>731</v>
      </c>
      <c r="AR6" s="136" t="s">
        <v>731</v>
      </c>
      <c r="AS6" s="136" t="s">
        <v>731</v>
      </c>
      <c r="AT6" s="202" t="s">
        <v>1129</v>
      </c>
      <c r="AU6" s="206" t="s">
        <v>1129</v>
      </c>
      <c r="AV6" s="206" t="s">
        <v>1129</v>
      </c>
      <c r="AW6" s="206" t="s">
        <v>1129</v>
      </c>
      <c r="AX6" s="206" t="s">
        <v>1129</v>
      </c>
      <c r="AY6" s="206" t="s">
        <v>1129</v>
      </c>
      <c r="AZ6" s="206" t="s">
        <v>1129</v>
      </c>
      <c r="BA6" s="206" t="s">
        <v>1129</v>
      </c>
      <c r="BB6" s="206" t="s">
        <v>1129</v>
      </c>
      <c r="BC6" s="206" t="s">
        <v>1129</v>
      </c>
      <c r="BD6" s="206" t="s">
        <v>1129</v>
      </c>
      <c r="BE6" s="206" t="s">
        <v>1129</v>
      </c>
      <c r="BF6" s="206" t="s">
        <v>1129</v>
      </c>
      <c r="BG6" s="203" t="s">
        <v>1129</v>
      </c>
      <c r="BH6" s="212" t="s">
        <v>741</v>
      </c>
      <c r="BI6" s="137" t="s">
        <v>741</v>
      </c>
      <c r="BJ6" s="137" t="s">
        <v>741</v>
      </c>
      <c r="BK6" s="137" t="s">
        <v>741</v>
      </c>
      <c r="BL6" s="137" t="s">
        <v>741</v>
      </c>
      <c r="BM6" s="137" t="s">
        <v>741</v>
      </c>
      <c r="BN6" s="137" t="s">
        <v>741</v>
      </c>
      <c r="BO6" s="137" t="s">
        <v>741</v>
      </c>
      <c r="BP6" s="137" t="s">
        <v>741</v>
      </c>
      <c r="BQ6" s="137" t="s">
        <v>741</v>
      </c>
      <c r="BR6" s="137" t="s">
        <v>741</v>
      </c>
      <c r="BS6" s="137" t="s">
        <v>741</v>
      </c>
      <c r="BT6" s="137" t="s">
        <v>741</v>
      </c>
      <c r="BU6" s="137" t="s">
        <v>741</v>
      </c>
      <c r="BV6" s="212" t="s">
        <v>741</v>
      </c>
      <c r="BW6" s="137" t="s">
        <v>741</v>
      </c>
      <c r="BX6" s="137" t="s">
        <v>741</v>
      </c>
      <c r="BY6" s="137" t="s">
        <v>741</v>
      </c>
      <c r="BZ6" s="137" t="s">
        <v>741</v>
      </c>
      <c r="CA6" s="137" t="s">
        <v>741</v>
      </c>
      <c r="CB6" s="137" t="s">
        <v>741</v>
      </c>
      <c r="CC6" s="137" t="s">
        <v>741</v>
      </c>
      <c r="CD6" s="137" t="s">
        <v>741</v>
      </c>
      <c r="CE6" s="137" t="s">
        <v>741</v>
      </c>
      <c r="CF6" s="137" t="s">
        <v>741</v>
      </c>
      <c r="CG6" s="137" t="s">
        <v>741</v>
      </c>
      <c r="CH6" s="137" t="s">
        <v>741</v>
      </c>
      <c r="CI6" s="137" t="s">
        <v>741</v>
      </c>
      <c r="CJ6" s="212" t="s">
        <v>741</v>
      </c>
      <c r="CK6" s="137" t="s">
        <v>741</v>
      </c>
      <c r="CL6" s="137" t="s">
        <v>741</v>
      </c>
      <c r="CM6" s="137" t="s">
        <v>741</v>
      </c>
      <c r="CN6" s="137" t="s">
        <v>741</v>
      </c>
      <c r="CO6" s="137" t="s">
        <v>741</v>
      </c>
      <c r="CP6" s="137" t="s">
        <v>741</v>
      </c>
      <c r="CQ6" s="137" t="s">
        <v>741</v>
      </c>
      <c r="CR6" s="137" t="s">
        <v>741</v>
      </c>
      <c r="CS6" s="137" t="s">
        <v>741</v>
      </c>
      <c r="CT6" s="137" t="s">
        <v>741</v>
      </c>
      <c r="CU6" s="137" t="s">
        <v>741</v>
      </c>
      <c r="CV6" s="137" t="s">
        <v>741</v>
      </c>
      <c r="CW6" s="137" t="s">
        <v>741</v>
      </c>
      <c r="CX6" s="218" t="s">
        <v>734</v>
      </c>
      <c r="CY6" s="138" t="s">
        <v>734</v>
      </c>
      <c r="CZ6" s="138" t="s">
        <v>734</v>
      </c>
      <c r="DA6" s="138" t="s">
        <v>734</v>
      </c>
      <c r="DB6" s="138" t="s">
        <v>734</v>
      </c>
      <c r="DC6" s="138" t="s">
        <v>734</v>
      </c>
      <c r="DD6" s="138" t="s">
        <v>734</v>
      </c>
      <c r="DE6" s="138" t="s">
        <v>734</v>
      </c>
      <c r="DF6" s="138" t="s">
        <v>734</v>
      </c>
      <c r="DG6" s="138" t="s">
        <v>734</v>
      </c>
      <c r="DH6" s="138" t="s">
        <v>734</v>
      </c>
      <c r="DI6" s="138" t="s">
        <v>734</v>
      </c>
      <c r="DJ6" s="138" t="s">
        <v>734</v>
      </c>
      <c r="DK6" s="138" t="s">
        <v>734</v>
      </c>
      <c r="DL6" s="218" t="s">
        <v>734</v>
      </c>
      <c r="DM6" s="138" t="s">
        <v>734</v>
      </c>
      <c r="DN6" s="138" t="s">
        <v>734</v>
      </c>
      <c r="DO6" s="138" t="s">
        <v>734</v>
      </c>
      <c r="DP6" s="138" t="s">
        <v>734</v>
      </c>
      <c r="DQ6" s="138" t="s">
        <v>734</v>
      </c>
      <c r="DR6" s="138" t="s">
        <v>734</v>
      </c>
      <c r="DS6" s="138" t="s">
        <v>734</v>
      </c>
      <c r="DT6" s="138" t="s">
        <v>734</v>
      </c>
      <c r="DU6" s="138" t="s">
        <v>734</v>
      </c>
      <c r="DV6" s="138" t="s">
        <v>734</v>
      </c>
      <c r="DW6" s="138" t="s">
        <v>734</v>
      </c>
      <c r="DX6" s="138" t="s">
        <v>734</v>
      </c>
      <c r="DY6" s="138" t="s">
        <v>734</v>
      </c>
      <c r="DZ6" s="218" t="s">
        <v>734</v>
      </c>
      <c r="EA6" s="138" t="s">
        <v>734</v>
      </c>
      <c r="EB6" s="138" t="s">
        <v>734</v>
      </c>
      <c r="EC6" s="138" t="s">
        <v>734</v>
      </c>
      <c r="ED6" s="138" t="s">
        <v>734</v>
      </c>
      <c r="EE6" s="138" t="s">
        <v>734</v>
      </c>
      <c r="EF6" s="138" t="s">
        <v>734</v>
      </c>
      <c r="EG6" s="138" t="s">
        <v>734</v>
      </c>
      <c r="EH6" s="138" t="s">
        <v>734</v>
      </c>
      <c r="EI6" s="138" t="s">
        <v>734</v>
      </c>
      <c r="EJ6" s="138" t="s">
        <v>734</v>
      </c>
      <c r="EK6" s="138" t="s">
        <v>734</v>
      </c>
      <c r="EL6" s="138" t="s">
        <v>734</v>
      </c>
      <c r="EM6" s="138" t="s">
        <v>734</v>
      </c>
    </row>
    <row r="7" spans="1:163" x14ac:dyDescent="0.25">
      <c r="A7" s="103" t="s">
        <v>600</v>
      </c>
      <c r="B7" s="103" t="s">
        <v>607</v>
      </c>
      <c r="C7" s="139" t="s">
        <v>911</v>
      </c>
      <c r="D7" s="140" t="s">
        <v>912</v>
      </c>
      <c r="E7" s="141" t="s">
        <v>913</v>
      </c>
      <c r="F7" s="141" t="s">
        <v>914</v>
      </c>
      <c r="G7" s="141" t="s">
        <v>915</v>
      </c>
      <c r="H7" s="141" t="s">
        <v>916</v>
      </c>
      <c r="I7" s="141" t="s">
        <v>917</v>
      </c>
      <c r="J7" s="141" t="s">
        <v>918</v>
      </c>
      <c r="K7" s="141" t="s">
        <v>919</v>
      </c>
      <c r="L7" s="141" t="s">
        <v>920</v>
      </c>
      <c r="M7" s="141" t="s">
        <v>921</v>
      </c>
      <c r="N7" s="141" t="s">
        <v>922</v>
      </c>
      <c r="O7" s="141" t="s">
        <v>923</v>
      </c>
      <c r="P7" s="141" t="s">
        <v>924</v>
      </c>
      <c r="Q7" s="222" t="s">
        <v>1160</v>
      </c>
      <c r="R7" s="140" t="s">
        <v>925</v>
      </c>
      <c r="S7" s="141" t="s">
        <v>926</v>
      </c>
      <c r="T7" s="141" t="s">
        <v>927</v>
      </c>
      <c r="U7" s="141" t="s">
        <v>928</v>
      </c>
      <c r="V7" s="141" t="s">
        <v>929</v>
      </c>
      <c r="W7" s="141" t="s">
        <v>930</v>
      </c>
      <c r="X7" s="141" t="s">
        <v>931</v>
      </c>
      <c r="Y7" s="141" t="s">
        <v>932</v>
      </c>
      <c r="Z7" s="141" t="s">
        <v>933</v>
      </c>
      <c r="AA7" s="141" t="s">
        <v>934</v>
      </c>
      <c r="AB7" s="141" t="s">
        <v>935</v>
      </c>
      <c r="AC7" s="141" t="s">
        <v>936</v>
      </c>
      <c r="AD7" s="141" t="s">
        <v>937</v>
      </c>
      <c r="AE7" s="222" t="s">
        <v>1166</v>
      </c>
      <c r="AF7" s="140" t="s">
        <v>938</v>
      </c>
      <c r="AG7" s="141" t="s">
        <v>939</v>
      </c>
      <c r="AH7" s="141" t="s">
        <v>940</v>
      </c>
      <c r="AI7" s="141" t="s">
        <v>941</v>
      </c>
      <c r="AJ7" s="141" t="s">
        <v>942</v>
      </c>
      <c r="AK7" s="141" t="s">
        <v>943</v>
      </c>
      <c r="AL7" s="141" t="s">
        <v>944</v>
      </c>
      <c r="AM7" s="141" t="s">
        <v>945</v>
      </c>
      <c r="AN7" s="141" t="s">
        <v>946</v>
      </c>
      <c r="AO7" s="141" t="s">
        <v>947</v>
      </c>
      <c r="AP7" s="141" t="s">
        <v>948</v>
      </c>
      <c r="AQ7" s="141" t="s">
        <v>949</v>
      </c>
      <c r="AR7" s="141" t="s">
        <v>950</v>
      </c>
      <c r="AS7" s="222" t="s">
        <v>1161</v>
      </c>
      <c r="AT7" s="204" t="s">
        <v>1116</v>
      </c>
      <c r="AU7" s="205" t="s">
        <v>1117</v>
      </c>
      <c r="AV7" s="205" t="s">
        <v>1118</v>
      </c>
      <c r="AW7" s="205" t="s">
        <v>1119</v>
      </c>
      <c r="AX7" s="205" t="s">
        <v>1120</v>
      </c>
      <c r="AY7" s="205" t="s">
        <v>1121</v>
      </c>
      <c r="AZ7" s="205" t="s">
        <v>1122</v>
      </c>
      <c r="BA7" s="205" t="s">
        <v>1123</v>
      </c>
      <c r="BB7" s="205" t="s">
        <v>1124</v>
      </c>
      <c r="BC7" s="205" t="s">
        <v>1125</v>
      </c>
      <c r="BD7" s="205" t="s">
        <v>1126</v>
      </c>
      <c r="BE7" s="205" t="s">
        <v>1127</v>
      </c>
      <c r="BF7" s="205" t="s">
        <v>1128</v>
      </c>
      <c r="BG7" s="231" t="s">
        <v>1164</v>
      </c>
      <c r="BH7" s="213" t="s">
        <v>951</v>
      </c>
      <c r="BI7" s="142" t="s">
        <v>952</v>
      </c>
      <c r="BJ7" s="142" t="s">
        <v>953</v>
      </c>
      <c r="BK7" s="142" t="s">
        <v>954</v>
      </c>
      <c r="BL7" s="142" t="s">
        <v>955</v>
      </c>
      <c r="BM7" s="142" t="s">
        <v>956</v>
      </c>
      <c r="BN7" s="142" t="s">
        <v>957</v>
      </c>
      <c r="BO7" s="142" t="s">
        <v>958</v>
      </c>
      <c r="BP7" s="142" t="s">
        <v>959</v>
      </c>
      <c r="BQ7" s="142" t="s">
        <v>960</v>
      </c>
      <c r="BR7" s="142" t="s">
        <v>961</v>
      </c>
      <c r="BS7" s="142" t="s">
        <v>962</v>
      </c>
      <c r="BT7" s="142" t="s">
        <v>963</v>
      </c>
      <c r="BU7" s="225" t="s">
        <v>1167</v>
      </c>
      <c r="BV7" s="213" t="s">
        <v>964</v>
      </c>
      <c r="BW7" s="142" t="s">
        <v>965</v>
      </c>
      <c r="BX7" s="142" t="s">
        <v>966</v>
      </c>
      <c r="BY7" s="142" t="s">
        <v>967</v>
      </c>
      <c r="BZ7" s="142" t="s">
        <v>968</v>
      </c>
      <c r="CA7" s="142" t="s">
        <v>969</v>
      </c>
      <c r="CB7" s="142" t="s">
        <v>970</v>
      </c>
      <c r="CC7" s="142" t="s">
        <v>971</v>
      </c>
      <c r="CD7" s="142" t="s">
        <v>972</v>
      </c>
      <c r="CE7" s="142" t="s">
        <v>973</v>
      </c>
      <c r="CF7" s="142" t="s">
        <v>974</v>
      </c>
      <c r="CG7" s="142" t="s">
        <v>975</v>
      </c>
      <c r="CH7" s="142" t="s">
        <v>976</v>
      </c>
      <c r="CI7" s="225" t="s">
        <v>1168</v>
      </c>
      <c r="CJ7" s="213" t="s">
        <v>977</v>
      </c>
      <c r="CK7" s="142" t="s">
        <v>978</v>
      </c>
      <c r="CL7" s="142" t="s">
        <v>979</v>
      </c>
      <c r="CM7" s="142" t="s">
        <v>980</v>
      </c>
      <c r="CN7" s="142" t="s">
        <v>981</v>
      </c>
      <c r="CO7" s="142" t="s">
        <v>982</v>
      </c>
      <c r="CP7" s="142" t="s">
        <v>983</v>
      </c>
      <c r="CQ7" s="142" t="s">
        <v>984</v>
      </c>
      <c r="CR7" s="142" t="s">
        <v>985</v>
      </c>
      <c r="CS7" s="142" t="s">
        <v>986</v>
      </c>
      <c r="CT7" s="142" t="s">
        <v>987</v>
      </c>
      <c r="CU7" s="142" t="s">
        <v>988</v>
      </c>
      <c r="CV7" s="142" t="s">
        <v>989</v>
      </c>
      <c r="CW7" s="225" t="s">
        <v>1162</v>
      </c>
      <c r="CX7" s="219" t="s">
        <v>990</v>
      </c>
      <c r="CY7" s="143" t="s">
        <v>991</v>
      </c>
      <c r="CZ7" s="143" t="s">
        <v>992</v>
      </c>
      <c r="DA7" s="143" t="s">
        <v>993</v>
      </c>
      <c r="DB7" s="143" t="s">
        <v>994</v>
      </c>
      <c r="DC7" s="143" t="s">
        <v>995</v>
      </c>
      <c r="DD7" s="143" t="s">
        <v>996</v>
      </c>
      <c r="DE7" s="143" t="s">
        <v>997</v>
      </c>
      <c r="DF7" s="143" t="s">
        <v>998</v>
      </c>
      <c r="DG7" s="143" t="s">
        <v>999</v>
      </c>
      <c r="DH7" s="143" t="s">
        <v>1000</v>
      </c>
      <c r="DI7" s="143" t="s">
        <v>1001</v>
      </c>
      <c r="DJ7" s="143" t="s">
        <v>1002</v>
      </c>
      <c r="DK7" s="226" t="s">
        <v>1169</v>
      </c>
      <c r="DL7" s="219" t="s">
        <v>1003</v>
      </c>
      <c r="DM7" s="143" t="s">
        <v>1004</v>
      </c>
      <c r="DN7" s="143" t="s">
        <v>1005</v>
      </c>
      <c r="DO7" s="143" t="s">
        <v>1006</v>
      </c>
      <c r="DP7" s="143" t="s">
        <v>1007</v>
      </c>
      <c r="DQ7" s="143" t="s">
        <v>1008</v>
      </c>
      <c r="DR7" s="143" t="s">
        <v>1009</v>
      </c>
      <c r="DS7" s="143" t="s">
        <v>1010</v>
      </c>
      <c r="DT7" s="143" t="s">
        <v>1011</v>
      </c>
      <c r="DU7" s="143" t="s">
        <v>1012</v>
      </c>
      <c r="DV7" s="143" t="s">
        <v>1013</v>
      </c>
      <c r="DW7" s="143" t="s">
        <v>1014</v>
      </c>
      <c r="DX7" s="143" t="s">
        <v>1015</v>
      </c>
      <c r="DY7" s="226" t="s">
        <v>1170</v>
      </c>
      <c r="DZ7" s="219" t="s">
        <v>1016</v>
      </c>
      <c r="EA7" s="143" t="s">
        <v>1017</v>
      </c>
      <c r="EB7" s="143" t="s">
        <v>1018</v>
      </c>
      <c r="EC7" s="143" t="s">
        <v>1019</v>
      </c>
      <c r="ED7" s="143" t="s">
        <v>1020</v>
      </c>
      <c r="EE7" s="143" t="s">
        <v>1021</v>
      </c>
      <c r="EF7" s="143" t="s">
        <v>1022</v>
      </c>
      <c r="EG7" s="143" t="s">
        <v>1023</v>
      </c>
      <c r="EH7" s="143" t="s">
        <v>1024</v>
      </c>
      <c r="EI7" s="143" t="s">
        <v>1025</v>
      </c>
      <c r="EJ7" s="143" t="s">
        <v>1026</v>
      </c>
      <c r="EK7" s="143" t="s">
        <v>1027</v>
      </c>
      <c r="EL7" s="143" t="s">
        <v>1028</v>
      </c>
      <c r="EM7" s="226" t="s">
        <v>1163</v>
      </c>
    </row>
    <row r="8" spans="1:163" x14ac:dyDescent="0.25">
      <c r="A8" s="126" t="s">
        <v>233</v>
      </c>
      <c r="B8" s="43" t="s">
        <v>1606</v>
      </c>
      <c r="C8" s="144"/>
      <c r="D8" s="180">
        <v>0</v>
      </c>
      <c r="E8" s="151">
        <v>0</v>
      </c>
      <c r="F8" s="151">
        <v>0</v>
      </c>
      <c r="G8" s="151">
        <v>0</v>
      </c>
      <c r="H8" s="151">
        <v>0</v>
      </c>
      <c r="I8" s="151">
        <v>0</v>
      </c>
      <c r="J8" s="151">
        <v>0</v>
      </c>
      <c r="K8" s="151">
        <v>0</v>
      </c>
      <c r="L8" s="151">
        <v>0</v>
      </c>
      <c r="M8" s="151">
        <v>0</v>
      </c>
      <c r="N8" s="151">
        <v>0</v>
      </c>
      <c r="O8" s="151">
        <v>0</v>
      </c>
      <c r="P8" s="151">
        <v>0</v>
      </c>
      <c r="Q8" s="151">
        <v>0</v>
      </c>
      <c r="R8" s="180">
        <v>0</v>
      </c>
      <c r="S8" s="151">
        <v>0</v>
      </c>
      <c r="T8" s="151">
        <v>0</v>
      </c>
      <c r="U8" s="151">
        <v>0</v>
      </c>
      <c r="V8" s="151">
        <v>0</v>
      </c>
      <c r="W8" s="151">
        <v>0</v>
      </c>
      <c r="X8" s="151">
        <v>0</v>
      </c>
      <c r="Y8" s="151">
        <v>0</v>
      </c>
      <c r="Z8" s="151">
        <v>0</v>
      </c>
      <c r="AA8" s="151">
        <v>0</v>
      </c>
      <c r="AB8" s="151">
        <v>0</v>
      </c>
      <c r="AC8" s="151">
        <v>0</v>
      </c>
      <c r="AD8" s="151">
        <v>0</v>
      </c>
      <c r="AE8" s="151">
        <v>0</v>
      </c>
      <c r="AF8" s="180">
        <v>0</v>
      </c>
      <c r="AG8" s="151">
        <v>0</v>
      </c>
      <c r="AH8" s="151">
        <v>0</v>
      </c>
      <c r="AI8" s="151">
        <v>0</v>
      </c>
      <c r="AJ8" s="151">
        <v>0</v>
      </c>
      <c r="AK8" s="151">
        <v>0</v>
      </c>
      <c r="AL8" s="151">
        <v>0</v>
      </c>
      <c r="AM8" s="151">
        <v>0</v>
      </c>
      <c r="AN8" s="151">
        <v>0</v>
      </c>
      <c r="AO8" s="151">
        <v>0</v>
      </c>
      <c r="AP8" s="151">
        <v>0</v>
      </c>
      <c r="AQ8" s="151">
        <v>0</v>
      </c>
      <c r="AR8" s="151">
        <v>0</v>
      </c>
      <c r="AS8" s="151">
        <v>0</v>
      </c>
      <c r="AT8" s="180">
        <v>0</v>
      </c>
      <c r="AU8" s="151">
        <v>0</v>
      </c>
      <c r="AV8" s="151">
        <v>0</v>
      </c>
      <c r="AW8" s="151">
        <v>0</v>
      </c>
      <c r="AX8" s="151">
        <v>0</v>
      </c>
      <c r="AY8" s="151">
        <v>0</v>
      </c>
      <c r="AZ8" s="151">
        <v>0</v>
      </c>
      <c r="BA8" s="151">
        <v>0</v>
      </c>
      <c r="BB8" s="151">
        <v>0</v>
      </c>
      <c r="BC8" s="151">
        <v>0</v>
      </c>
      <c r="BD8" s="151">
        <v>0</v>
      </c>
      <c r="BE8" s="151">
        <v>0</v>
      </c>
      <c r="BF8" s="182">
        <v>0</v>
      </c>
      <c r="BG8" s="181">
        <v>0</v>
      </c>
      <c r="BH8" s="180">
        <v>0</v>
      </c>
      <c r="BI8" s="151">
        <v>0</v>
      </c>
      <c r="BJ8" s="151">
        <v>0</v>
      </c>
      <c r="BK8" s="151">
        <v>0</v>
      </c>
      <c r="BL8" s="151">
        <v>0</v>
      </c>
      <c r="BM8" s="151">
        <v>0</v>
      </c>
      <c r="BN8" s="151">
        <v>0</v>
      </c>
      <c r="BO8" s="151">
        <v>0</v>
      </c>
      <c r="BP8" s="151">
        <v>0</v>
      </c>
      <c r="BQ8" s="151">
        <v>0</v>
      </c>
      <c r="BR8" s="151">
        <v>0</v>
      </c>
      <c r="BS8" s="151">
        <v>0</v>
      </c>
      <c r="BT8" s="151">
        <v>0</v>
      </c>
      <c r="BU8" s="151">
        <v>0.2</v>
      </c>
      <c r="BV8" s="180">
        <v>0</v>
      </c>
      <c r="BW8" s="151">
        <v>0</v>
      </c>
      <c r="BX8" s="151">
        <v>0</v>
      </c>
      <c r="BY8" s="151">
        <v>0</v>
      </c>
      <c r="BZ8" s="151">
        <v>0</v>
      </c>
      <c r="CA8" s="151">
        <v>0</v>
      </c>
      <c r="CB8" s="151">
        <v>0</v>
      </c>
      <c r="CC8" s="151">
        <v>0</v>
      </c>
      <c r="CD8" s="151">
        <v>0</v>
      </c>
      <c r="CE8" s="151">
        <v>0</v>
      </c>
      <c r="CF8" s="151">
        <v>0</v>
      </c>
      <c r="CG8" s="151">
        <v>0</v>
      </c>
      <c r="CH8" s="151">
        <v>0</v>
      </c>
      <c r="CI8" s="151">
        <v>0.2</v>
      </c>
      <c r="CJ8" s="180">
        <v>0</v>
      </c>
      <c r="CK8" s="151">
        <v>0</v>
      </c>
      <c r="CL8" s="151">
        <v>0</v>
      </c>
      <c r="CM8" s="151">
        <v>0</v>
      </c>
      <c r="CN8" s="151">
        <v>0</v>
      </c>
      <c r="CO8" s="151">
        <v>0</v>
      </c>
      <c r="CP8" s="151">
        <v>0</v>
      </c>
      <c r="CQ8" s="151">
        <v>0</v>
      </c>
      <c r="CR8" s="151">
        <v>0</v>
      </c>
      <c r="CS8" s="151">
        <v>0</v>
      </c>
      <c r="CT8" s="151">
        <v>0</v>
      </c>
      <c r="CU8" s="151">
        <v>0</v>
      </c>
      <c r="CV8" s="151">
        <v>0</v>
      </c>
      <c r="CW8" s="151">
        <v>0.4</v>
      </c>
      <c r="CX8" s="151">
        <v>0</v>
      </c>
      <c r="CY8" s="151">
        <v>0</v>
      </c>
      <c r="CZ8" s="151">
        <v>0</v>
      </c>
      <c r="DA8" s="151">
        <v>0</v>
      </c>
      <c r="DB8" s="151">
        <v>0</v>
      </c>
      <c r="DC8" s="151">
        <v>0</v>
      </c>
      <c r="DD8" s="151">
        <v>0</v>
      </c>
      <c r="DE8" s="151">
        <v>0</v>
      </c>
      <c r="DF8" s="151">
        <v>0</v>
      </c>
      <c r="DG8" s="151">
        <v>0</v>
      </c>
      <c r="DH8" s="151">
        <v>0</v>
      </c>
      <c r="DI8" s="151">
        <v>0</v>
      </c>
      <c r="DJ8" s="151">
        <v>0</v>
      </c>
      <c r="DK8" s="151">
        <v>0</v>
      </c>
      <c r="DL8" s="180">
        <v>0</v>
      </c>
      <c r="DM8" s="151">
        <v>0</v>
      </c>
      <c r="DN8" s="151">
        <v>0</v>
      </c>
      <c r="DO8" s="151">
        <v>0</v>
      </c>
      <c r="DP8" s="151">
        <v>0</v>
      </c>
      <c r="DQ8" s="151">
        <v>0</v>
      </c>
      <c r="DR8" s="151">
        <v>0</v>
      </c>
      <c r="DS8" s="151">
        <v>0</v>
      </c>
      <c r="DT8" s="151">
        <v>0</v>
      </c>
      <c r="DU8" s="151">
        <v>0</v>
      </c>
      <c r="DV8" s="151">
        <v>0</v>
      </c>
      <c r="DW8" s="151">
        <v>0</v>
      </c>
      <c r="DX8" s="151">
        <v>0</v>
      </c>
      <c r="DY8" s="151">
        <v>0</v>
      </c>
      <c r="DZ8" s="180">
        <v>0</v>
      </c>
      <c r="EA8" s="151">
        <v>0</v>
      </c>
      <c r="EB8" s="151">
        <v>0</v>
      </c>
      <c r="EC8" s="151">
        <v>0</v>
      </c>
      <c r="ED8" s="151">
        <v>0</v>
      </c>
      <c r="EE8" s="151">
        <v>0</v>
      </c>
      <c r="EF8" s="151">
        <v>0</v>
      </c>
      <c r="EG8" s="151">
        <v>0</v>
      </c>
      <c r="EH8" s="151">
        <v>0</v>
      </c>
      <c r="EI8" s="151">
        <v>0</v>
      </c>
      <c r="EJ8" s="151">
        <v>0</v>
      </c>
      <c r="EK8" s="151">
        <v>0</v>
      </c>
      <c r="EL8" s="151">
        <v>0</v>
      </c>
      <c r="EM8" s="151">
        <v>0</v>
      </c>
      <c r="EN8" s="169">
        <v>0</v>
      </c>
      <c r="EO8" s="169">
        <v>0</v>
      </c>
      <c r="EP8" s="169">
        <v>0</v>
      </c>
      <c r="EQ8" s="169">
        <v>0</v>
      </c>
      <c r="ER8" s="255">
        <f>SUM(EN8:EQ8)</f>
        <v>0</v>
      </c>
      <c r="ES8" s="151">
        <v>0</v>
      </c>
      <c r="ET8" s="151">
        <v>0</v>
      </c>
      <c r="EU8" s="151">
        <v>0</v>
      </c>
      <c r="EV8" s="151">
        <v>0</v>
      </c>
      <c r="EW8" s="151">
        <v>0</v>
      </c>
      <c r="EX8" s="151">
        <v>0</v>
      </c>
      <c r="EY8" s="150">
        <v>0</v>
      </c>
      <c r="EZ8" s="150">
        <v>0</v>
      </c>
      <c r="FA8" s="150">
        <v>0</v>
      </c>
      <c r="FB8" s="150">
        <v>0</v>
      </c>
      <c r="FC8" s="150">
        <v>0</v>
      </c>
      <c r="FD8" s="150">
        <v>0</v>
      </c>
      <c r="FE8" s="150">
        <v>0</v>
      </c>
      <c r="FF8" s="169">
        <v>0.8</v>
      </c>
      <c r="FG8">
        <v>0</v>
      </c>
    </row>
    <row r="9" spans="1:163" x14ac:dyDescent="0.25">
      <c r="A9" t="s">
        <v>61</v>
      </c>
      <c r="B9" t="s">
        <v>1664</v>
      </c>
      <c r="C9" s="144"/>
      <c r="D9" s="180">
        <v>0</v>
      </c>
      <c r="E9" s="151">
        <v>0</v>
      </c>
      <c r="F9" s="151">
        <v>0</v>
      </c>
      <c r="G9" s="151">
        <v>0</v>
      </c>
      <c r="H9" s="151">
        <v>0</v>
      </c>
      <c r="I9" s="151">
        <v>0</v>
      </c>
      <c r="J9" s="151">
        <v>0</v>
      </c>
      <c r="K9" s="151">
        <v>0</v>
      </c>
      <c r="L9" s="151">
        <v>0</v>
      </c>
      <c r="M9" s="151">
        <v>0</v>
      </c>
      <c r="N9" s="151">
        <v>0</v>
      </c>
      <c r="O9" s="151">
        <v>0</v>
      </c>
      <c r="P9" s="151">
        <v>0</v>
      </c>
      <c r="Q9" s="151">
        <v>0</v>
      </c>
      <c r="R9" s="180">
        <v>0</v>
      </c>
      <c r="S9" s="151">
        <v>0</v>
      </c>
      <c r="T9" s="151">
        <v>0</v>
      </c>
      <c r="U9" s="151">
        <v>0</v>
      </c>
      <c r="V9" s="151">
        <v>0</v>
      </c>
      <c r="W9" s="151">
        <v>0</v>
      </c>
      <c r="X9" s="151">
        <v>0</v>
      </c>
      <c r="Y9" s="151">
        <v>0</v>
      </c>
      <c r="Z9" s="151">
        <v>0</v>
      </c>
      <c r="AA9" s="151">
        <v>0</v>
      </c>
      <c r="AB9" s="151">
        <v>0</v>
      </c>
      <c r="AC9" s="151">
        <v>0</v>
      </c>
      <c r="AD9" s="151">
        <v>0</v>
      </c>
      <c r="AE9" s="151">
        <v>0</v>
      </c>
      <c r="AF9" s="180">
        <v>0</v>
      </c>
      <c r="AG9" s="151">
        <v>0</v>
      </c>
      <c r="AH9" s="151">
        <v>0</v>
      </c>
      <c r="AI9" s="151">
        <v>0</v>
      </c>
      <c r="AJ9" s="151">
        <v>0</v>
      </c>
      <c r="AK9" s="151">
        <v>0</v>
      </c>
      <c r="AL9" s="151">
        <v>0</v>
      </c>
      <c r="AM9" s="151">
        <v>0</v>
      </c>
      <c r="AN9" s="151">
        <v>0</v>
      </c>
      <c r="AO9" s="151">
        <v>0</v>
      </c>
      <c r="AP9" s="151">
        <v>0</v>
      </c>
      <c r="AQ9" s="151">
        <v>0</v>
      </c>
      <c r="AR9" s="151">
        <v>0</v>
      </c>
      <c r="AS9" s="151">
        <v>0</v>
      </c>
      <c r="AT9" s="180">
        <v>0</v>
      </c>
      <c r="AU9" s="151">
        <v>0</v>
      </c>
      <c r="AV9" s="151">
        <v>0</v>
      </c>
      <c r="AW9" s="151">
        <v>0</v>
      </c>
      <c r="AX9" s="151">
        <v>0</v>
      </c>
      <c r="AY9" s="151">
        <v>0</v>
      </c>
      <c r="AZ9" s="151">
        <v>0</v>
      </c>
      <c r="BA9" s="151">
        <v>0</v>
      </c>
      <c r="BB9" s="151">
        <v>0</v>
      </c>
      <c r="BC9" s="151">
        <v>0</v>
      </c>
      <c r="BD9" s="151">
        <v>0</v>
      </c>
      <c r="BE9" s="151">
        <v>0</v>
      </c>
      <c r="BF9" s="182">
        <v>0</v>
      </c>
      <c r="BG9" s="181">
        <v>0</v>
      </c>
      <c r="BH9" s="180">
        <v>0</v>
      </c>
      <c r="BI9" s="151">
        <v>0</v>
      </c>
      <c r="BJ9" s="151">
        <v>0</v>
      </c>
      <c r="BK9" s="151">
        <v>0</v>
      </c>
      <c r="BL9" s="151">
        <v>0</v>
      </c>
      <c r="BM9" s="151">
        <v>0</v>
      </c>
      <c r="BN9" s="151">
        <v>0</v>
      </c>
      <c r="BO9" s="151">
        <v>0</v>
      </c>
      <c r="BP9" s="151">
        <v>0</v>
      </c>
      <c r="BQ9" s="151">
        <v>0</v>
      </c>
      <c r="BR9" s="151">
        <v>0</v>
      </c>
      <c r="BS9" s="151">
        <v>0</v>
      </c>
      <c r="BT9" s="151">
        <v>0</v>
      </c>
      <c r="BU9" s="151">
        <v>0</v>
      </c>
      <c r="BV9" s="180">
        <v>0</v>
      </c>
      <c r="BW9" s="151">
        <v>0</v>
      </c>
      <c r="BX9" s="151">
        <v>0</v>
      </c>
      <c r="BY9" s="151">
        <v>0</v>
      </c>
      <c r="BZ9" s="151">
        <v>0</v>
      </c>
      <c r="CA9" s="151">
        <v>0</v>
      </c>
      <c r="CB9" s="151">
        <v>0</v>
      </c>
      <c r="CC9" s="151">
        <v>0</v>
      </c>
      <c r="CD9" s="151">
        <v>0</v>
      </c>
      <c r="CE9" s="151">
        <v>0</v>
      </c>
      <c r="CF9" s="151">
        <v>0</v>
      </c>
      <c r="CG9" s="151">
        <v>0</v>
      </c>
      <c r="CH9" s="151">
        <v>0</v>
      </c>
      <c r="CI9" s="151">
        <v>0</v>
      </c>
      <c r="CJ9" s="180">
        <v>0</v>
      </c>
      <c r="CK9" s="151">
        <v>0</v>
      </c>
      <c r="CL9" s="151">
        <v>0</v>
      </c>
      <c r="CM9" s="151">
        <v>0</v>
      </c>
      <c r="CN9" s="151">
        <v>0</v>
      </c>
      <c r="CO9" s="151">
        <v>0</v>
      </c>
      <c r="CP9" s="151">
        <v>0</v>
      </c>
      <c r="CQ9" s="151">
        <v>0</v>
      </c>
      <c r="CR9" s="151">
        <v>0</v>
      </c>
      <c r="CS9" s="151">
        <v>0</v>
      </c>
      <c r="CT9" s="151">
        <v>0</v>
      </c>
      <c r="CU9" s="151">
        <v>0</v>
      </c>
      <c r="CV9" s="151">
        <v>0</v>
      </c>
      <c r="CW9" s="151">
        <v>0</v>
      </c>
      <c r="CX9" s="151">
        <v>0</v>
      </c>
      <c r="CY9" s="151">
        <v>0</v>
      </c>
      <c r="CZ9" s="151">
        <v>0.57099999999999995</v>
      </c>
      <c r="DA9" s="151">
        <v>0</v>
      </c>
      <c r="DB9" s="151">
        <v>1.667</v>
      </c>
      <c r="DC9" s="151">
        <v>0.57099999999999995</v>
      </c>
      <c r="DD9" s="151">
        <v>0.57099999999999995</v>
      </c>
      <c r="DE9" s="151">
        <v>0.57099999999999995</v>
      </c>
      <c r="DF9" s="151">
        <v>0</v>
      </c>
      <c r="DG9" s="151">
        <v>0</v>
      </c>
      <c r="DH9" s="151">
        <v>0</v>
      </c>
      <c r="DI9" s="151">
        <v>0</v>
      </c>
      <c r="DJ9" s="151">
        <v>1</v>
      </c>
      <c r="DK9" s="151">
        <v>0</v>
      </c>
      <c r="DL9" s="180">
        <v>0</v>
      </c>
      <c r="DM9" s="151">
        <v>0</v>
      </c>
      <c r="DN9" s="151">
        <v>0.14299999999999999</v>
      </c>
      <c r="DO9" s="151">
        <v>0</v>
      </c>
      <c r="DP9" s="151">
        <v>0</v>
      </c>
      <c r="DQ9" s="151">
        <v>0.14299999999999999</v>
      </c>
      <c r="DR9" s="151">
        <v>0.14299999999999999</v>
      </c>
      <c r="DS9" s="151">
        <v>0.14299999999999999</v>
      </c>
      <c r="DT9" s="151">
        <v>0</v>
      </c>
      <c r="DU9" s="151">
        <v>0</v>
      </c>
      <c r="DV9" s="151">
        <v>0</v>
      </c>
      <c r="DW9" s="151">
        <v>0</v>
      </c>
      <c r="DX9" s="151">
        <v>0</v>
      </c>
      <c r="DY9" s="151">
        <v>0</v>
      </c>
      <c r="DZ9" s="180">
        <v>0</v>
      </c>
      <c r="EA9" s="151">
        <v>0</v>
      </c>
      <c r="EB9" s="151">
        <v>0.28599999999999998</v>
      </c>
      <c r="EC9" s="151">
        <v>0</v>
      </c>
      <c r="ED9" s="151">
        <v>0.33300000000000002</v>
      </c>
      <c r="EE9" s="151">
        <v>0.28599999999999998</v>
      </c>
      <c r="EF9" s="151">
        <v>0.28599999999999998</v>
      </c>
      <c r="EG9" s="151">
        <v>0.28599999999999998</v>
      </c>
      <c r="EH9" s="151">
        <v>0</v>
      </c>
      <c r="EI9" s="151">
        <v>0</v>
      </c>
      <c r="EJ9" s="151">
        <v>0</v>
      </c>
      <c r="EK9" s="151">
        <v>0</v>
      </c>
      <c r="EL9" s="151">
        <v>0</v>
      </c>
      <c r="EM9" s="151">
        <v>0</v>
      </c>
      <c r="EN9" s="169">
        <v>0</v>
      </c>
      <c r="EO9" s="169">
        <v>0</v>
      </c>
      <c r="EP9" s="169">
        <v>0</v>
      </c>
      <c r="EQ9" s="169">
        <v>7.0000000000000018</v>
      </c>
      <c r="ER9" s="255">
        <f t="shared" ref="ER9:ER29" si="5">SUM(EN9:EQ9)</f>
        <v>7.0000000000000018</v>
      </c>
      <c r="ES9" s="151">
        <v>0</v>
      </c>
      <c r="ET9" s="151">
        <v>0</v>
      </c>
      <c r="EU9" s="151">
        <v>0</v>
      </c>
      <c r="EV9" s="151">
        <v>0</v>
      </c>
      <c r="EW9" s="151">
        <v>0</v>
      </c>
      <c r="EX9" s="151">
        <v>0</v>
      </c>
      <c r="EY9" s="150">
        <v>0</v>
      </c>
      <c r="EZ9" s="150">
        <v>0</v>
      </c>
      <c r="FA9" s="150">
        <v>0</v>
      </c>
      <c r="FB9" s="150">
        <v>0</v>
      </c>
      <c r="FC9" s="150">
        <v>0</v>
      </c>
      <c r="FD9" s="150">
        <v>0</v>
      </c>
      <c r="FE9" s="150">
        <v>0</v>
      </c>
      <c r="FF9" s="150">
        <v>0</v>
      </c>
      <c r="FG9">
        <v>0</v>
      </c>
    </row>
    <row r="10" spans="1:163" x14ac:dyDescent="0.25">
      <c r="A10" t="s">
        <v>302</v>
      </c>
      <c r="B10" t="s">
        <v>1603</v>
      </c>
      <c r="C10" s="144"/>
      <c r="D10" s="151">
        <v>0</v>
      </c>
      <c r="E10" s="151">
        <v>0</v>
      </c>
      <c r="F10" s="151">
        <v>0</v>
      </c>
      <c r="G10" s="151">
        <v>0</v>
      </c>
      <c r="H10" s="151">
        <v>0</v>
      </c>
      <c r="I10" s="151">
        <v>0</v>
      </c>
      <c r="J10" s="151">
        <v>0</v>
      </c>
      <c r="K10" s="151">
        <v>0</v>
      </c>
      <c r="L10" s="151">
        <v>0</v>
      </c>
      <c r="M10" s="151">
        <v>2</v>
      </c>
      <c r="N10" s="151">
        <v>0</v>
      </c>
      <c r="O10" s="151">
        <v>0</v>
      </c>
      <c r="P10" s="151">
        <v>0</v>
      </c>
      <c r="Q10" s="151">
        <v>0</v>
      </c>
      <c r="R10" s="180">
        <v>0</v>
      </c>
      <c r="S10" s="151">
        <v>0</v>
      </c>
      <c r="T10" s="151">
        <v>0</v>
      </c>
      <c r="U10" s="151">
        <v>0</v>
      </c>
      <c r="V10" s="151">
        <v>0</v>
      </c>
      <c r="W10" s="151">
        <v>0</v>
      </c>
      <c r="X10" s="151">
        <v>0</v>
      </c>
      <c r="Y10" s="151">
        <v>0</v>
      </c>
      <c r="Z10" s="151">
        <v>0</v>
      </c>
      <c r="AA10" s="151">
        <v>3</v>
      </c>
      <c r="AB10" s="151">
        <v>0</v>
      </c>
      <c r="AC10" s="151">
        <v>0</v>
      </c>
      <c r="AD10" s="151">
        <v>0</v>
      </c>
      <c r="AE10" s="151">
        <v>0</v>
      </c>
      <c r="AF10" s="180">
        <v>0</v>
      </c>
      <c r="AG10" s="151">
        <v>0</v>
      </c>
      <c r="AH10" s="151">
        <v>0</v>
      </c>
      <c r="AI10" s="151">
        <v>0</v>
      </c>
      <c r="AJ10" s="151">
        <v>0</v>
      </c>
      <c r="AK10" s="151">
        <v>0</v>
      </c>
      <c r="AL10" s="151">
        <v>0</v>
      </c>
      <c r="AM10" s="151">
        <v>0</v>
      </c>
      <c r="AN10" s="151">
        <v>0</v>
      </c>
      <c r="AO10" s="151">
        <v>2</v>
      </c>
      <c r="AP10" s="151">
        <v>0</v>
      </c>
      <c r="AQ10" s="151">
        <v>0</v>
      </c>
      <c r="AR10" s="151">
        <v>0</v>
      </c>
      <c r="AS10" s="151">
        <v>0</v>
      </c>
      <c r="AT10" s="180">
        <v>0</v>
      </c>
      <c r="AU10" s="151">
        <v>0</v>
      </c>
      <c r="AV10" s="151">
        <v>0</v>
      </c>
      <c r="AW10" s="151">
        <v>0</v>
      </c>
      <c r="AX10" s="151">
        <v>0</v>
      </c>
      <c r="AY10" s="151">
        <v>0</v>
      </c>
      <c r="AZ10" s="151">
        <v>0</v>
      </c>
      <c r="BA10" s="151">
        <v>0</v>
      </c>
      <c r="BB10" s="151">
        <v>0</v>
      </c>
      <c r="BC10" s="151">
        <v>0</v>
      </c>
      <c r="BD10" s="151">
        <v>0</v>
      </c>
      <c r="BE10" s="151">
        <v>0</v>
      </c>
      <c r="BF10" s="182">
        <v>0</v>
      </c>
      <c r="BG10" s="181">
        <v>0</v>
      </c>
      <c r="BH10" s="180">
        <v>0</v>
      </c>
      <c r="BI10" s="151">
        <v>0</v>
      </c>
      <c r="BJ10" s="151">
        <v>0</v>
      </c>
      <c r="BK10" s="151">
        <v>0</v>
      </c>
      <c r="BL10" s="151">
        <v>0</v>
      </c>
      <c r="BM10" s="151">
        <v>0</v>
      </c>
      <c r="BN10" s="151">
        <v>0</v>
      </c>
      <c r="BO10" s="151">
        <v>0</v>
      </c>
      <c r="BP10" s="151">
        <v>0</v>
      </c>
      <c r="BQ10" s="151">
        <v>0</v>
      </c>
      <c r="BR10" s="151">
        <v>0</v>
      </c>
      <c r="BS10" s="151">
        <v>0</v>
      </c>
      <c r="BT10" s="151">
        <v>0</v>
      </c>
      <c r="BU10" s="151">
        <v>0</v>
      </c>
      <c r="BV10" s="180">
        <v>0</v>
      </c>
      <c r="BW10" s="151">
        <v>0</v>
      </c>
      <c r="BX10" s="151">
        <v>0</v>
      </c>
      <c r="BY10" s="151">
        <v>0</v>
      </c>
      <c r="BZ10" s="151">
        <v>0</v>
      </c>
      <c r="CA10" s="151">
        <v>0</v>
      </c>
      <c r="CB10" s="151">
        <v>0</v>
      </c>
      <c r="CC10" s="151">
        <v>0</v>
      </c>
      <c r="CD10" s="151">
        <v>0</v>
      </c>
      <c r="CE10" s="151">
        <v>0</v>
      </c>
      <c r="CF10" s="151">
        <v>0</v>
      </c>
      <c r="CG10" s="151">
        <v>0</v>
      </c>
      <c r="CH10" s="151">
        <v>0</v>
      </c>
      <c r="CI10" s="151">
        <v>0</v>
      </c>
      <c r="CJ10" s="180">
        <v>0</v>
      </c>
      <c r="CK10" s="151">
        <v>0</v>
      </c>
      <c r="CL10" s="151">
        <v>0</v>
      </c>
      <c r="CM10" s="151">
        <v>0</v>
      </c>
      <c r="CN10" s="151">
        <v>0</v>
      </c>
      <c r="CO10" s="151">
        <v>0</v>
      </c>
      <c r="CP10" s="151">
        <v>0</v>
      </c>
      <c r="CQ10" s="151">
        <v>0</v>
      </c>
      <c r="CR10" s="151">
        <v>0</v>
      </c>
      <c r="CS10" s="151">
        <v>0</v>
      </c>
      <c r="CT10" s="151">
        <v>0</v>
      </c>
      <c r="CU10" s="151">
        <v>0</v>
      </c>
      <c r="CV10" s="151">
        <v>0</v>
      </c>
      <c r="CW10" s="151">
        <v>0</v>
      </c>
      <c r="CX10" s="151">
        <v>0</v>
      </c>
      <c r="CY10" s="151">
        <v>0</v>
      </c>
      <c r="CZ10" s="151">
        <v>0</v>
      </c>
      <c r="DA10" s="151">
        <v>0</v>
      </c>
      <c r="DB10" s="151">
        <v>0</v>
      </c>
      <c r="DC10" s="151">
        <v>0</v>
      </c>
      <c r="DD10" s="151">
        <v>0</v>
      </c>
      <c r="DE10" s="151">
        <v>0</v>
      </c>
      <c r="DF10" s="151">
        <v>0</v>
      </c>
      <c r="DG10" s="151">
        <v>2.4950000000000001</v>
      </c>
      <c r="DH10" s="151">
        <v>0</v>
      </c>
      <c r="DI10" s="151">
        <v>0</v>
      </c>
      <c r="DJ10" s="151">
        <v>0</v>
      </c>
      <c r="DK10" s="151">
        <v>0</v>
      </c>
      <c r="DL10" s="180">
        <v>0</v>
      </c>
      <c r="DM10" s="151">
        <v>0</v>
      </c>
      <c r="DN10" s="151">
        <v>0</v>
      </c>
      <c r="DO10" s="151">
        <v>0</v>
      </c>
      <c r="DP10" s="151">
        <v>0</v>
      </c>
      <c r="DQ10" s="151">
        <v>0</v>
      </c>
      <c r="DR10" s="151">
        <v>0</v>
      </c>
      <c r="DS10" s="151">
        <v>0</v>
      </c>
      <c r="DT10" s="151">
        <v>0</v>
      </c>
      <c r="DU10" s="151">
        <v>1.4950000000000001</v>
      </c>
      <c r="DV10" s="151">
        <v>0</v>
      </c>
      <c r="DW10" s="151">
        <v>0</v>
      </c>
      <c r="DX10" s="151">
        <v>0</v>
      </c>
      <c r="DY10" s="151">
        <v>0</v>
      </c>
      <c r="DZ10" s="180">
        <v>0</v>
      </c>
      <c r="EA10" s="151">
        <v>0</v>
      </c>
      <c r="EB10" s="151">
        <v>0</v>
      </c>
      <c r="EC10" s="151">
        <v>0</v>
      </c>
      <c r="ED10" s="151">
        <v>0</v>
      </c>
      <c r="EE10" s="151">
        <v>0</v>
      </c>
      <c r="EF10" s="151">
        <v>0</v>
      </c>
      <c r="EG10" s="151">
        <v>0</v>
      </c>
      <c r="EH10" s="151">
        <v>0</v>
      </c>
      <c r="EI10" s="151">
        <v>1.4950000000000001</v>
      </c>
      <c r="EJ10" s="151">
        <v>0</v>
      </c>
      <c r="EK10" s="151">
        <v>0</v>
      </c>
      <c r="EL10" s="151">
        <v>0</v>
      </c>
      <c r="EM10" s="151">
        <v>0</v>
      </c>
      <c r="EN10" s="169">
        <v>7</v>
      </c>
      <c r="EO10" s="169">
        <v>0</v>
      </c>
      <c r="EP10" s="169">
        <v>0</v>
      </c>
      <c r="EQ10" s="169">
        <v>5.4850000000000003</v>
      </c>
      <c r="ER10" s="255">
        <f t="shared" si="5"/>
        <v>12.484999999999999</v>
      </c>
      <c r="ES10" s="151">
        <v>0</v>
      </c>
      <c r="ET10" s="151">
        <v>0</v>
      </c>
      <c r="EU10" s="151">
        <v>0</v>
      </c>
      <c r="EV10" s="151">
        <v>0</v>
      </c>
      <c r="EW10" s="151">
        <v>0</v>
      </c>
      <c r="EX10" s="151">
        <v>0</v>
      </c>
      <c r="EY10" s="150">
        <v>0</v>
      </c>
      <c r="EZ10" s="150">
        <v>0</v>
      </c>
      <c r="FA10" s="150">
        <v>0</v>
      </c>
      <c r="FB10" s="150">
        <v>0</v>
      </c>
      <c r="FC10" s="150">
        <v>0</v>
      </c>
      <c r="FD10" s="150">
        <v>0</v>
      </c>
      <c r="FE10" s="150">
        <v>0</v>
      </c>
      <c r="FF10" s="150">
        <v>0</v>
      </c>
      <c r="FG10">
        <v>0</v>
      </c>
    </row>
    <row r="11" spans="1:163" x14ac:dyDescent="0.25">
      <c r="A11" t="s">
        <v>280</v>
      </c>
      <c r="B11" t="s">
        <v>612</v>
      </c>
      <c r="C11" s="144"/>
      <c r="D11" s="151">
        <v>0</v>
      </c>
      <c r="E11" s="151">
        <v>0</v>
      </c>
      <c r="F11" s="151">
        <v>0</v>
      </c>
      <c r="G11" s="151">
        <v>0</v>
      </c>
      <c r="H11" s="151">
        <v>0</v>
      </c>
      <c r="I11" s="151">
        <v>0</v>
      </c>
      <c r="J11" s="151">
        <v>0.65</v>
      </c>
      <c r="K11" s="151">
        <v>0</v>
      </c>
      <c r="L11" s="151">
        <v>0</v>
      </c>
      <c r="M11" s="151">
        <v>0</v>
      </c>
      <c r="N11" s="151">
        <v>0</v>
      </c>
      <c r="O11" s="151">
        <v>0</v>
      </c>
      <c r="P11" s="151">
        <v>0</v>
      </c>
      <c r="Q11" s="151">
        <v>0</v>
      </c>
      <c r="R11" s="180">
        <v>0</v>
      </c>
      <c r="S11" s="151">
        <v>0.33</v>
      </c>
      <c r="T11" s="151">
        <v>0</v>
      </c>
      <c r="U11" s="151">
        <v>0</v>
      </c>
      <c r="V11" s="151">
        <v>0</v>
      </c>
      <c r="W11" s="151">
        <v>0</v>
      </c>
      <c r="X11" s="151">
        <v>0.18</v>
      </c>
      <c r="Y11" s="151">
        <v>0</v>
      </c>
      <c r="Z11" s="151">
        <v>0</v>
      </c>
      <c r="AA11" s="151">
        <v>0</v>
      </c>
      <c r="AB11" s="151">
        <v>0</v>
      </c>
      <c r="AC11" s="151">
        <v>0</v>
      </c>
      <c r="AD11" s="151">
        <v>0</v>
      </c>
      <c r="AE11" s="151">
        <v>0</v>
      </c>
      <c r="AF11" s="180">
        <v>0</v>
      </c>
      <c r="AG11" s="151">
        <v>0.67</v>
      </c>
      <c r="AH11" s="151">
        <v>0</v>
      </c>
      <c r="AI11" s="151">
        <v>0</v>
      </c>
      <c r="AJ11" s="151">
        <v>0</v>
      </c>
      <c r="AK11" s="151">
        <v>0</v>
      </c>
      <c r="AL11" s="151">
        <v>0.37</v>
      </c>
      <c r="AM11" s="151">
        <v>0</v>
      </c>
      <c r="AN11" s="151">
        <v>0</v>
      </c>
      <c r="AO11" s="151">
        <v>0</v>
      </c>
      <c r="AP11" s="151">
        <v>0</v>
      </c>
      <c r="AQ11" s="151">
        <v>0</v>
      </c>
      <c r="AR11" s="151">
        <v>0</v>
      </c>
      <c r="AS11" s="151">
        <v>0</v>
      </c>
      <c r="AT11" s="180">
        <v>0</v>
      </c>
      <c r="AU11" s="151">
        <v>0</v>
      </c>
      <c r="AV11" s="151">
        <v>0</v>
      </c>
      <c r="AW11" s="151">
        <v>0</v>
      </c>
      <c r="AX11" s="151">
        <v>0</v>
      </c>
      <c r="AY11" s="151">
        <v>0</v>
      </c>
      <c r="AZ11" s="151">
        <v>0</v>
      </c>
      <c r="BA11" s="151">
        <v>0</v>
      </c>
      <c r="BB11" s="151">
        <v>0</v>
      </c>
      <c r="BC11" s="151">
        <v>0</v>
      </c>
      <c r="BD11" s="151">
        <v>0</v>
      </c>
      <c r="BE11" s="151">
        <v>0</v>
      </c>
      <c r="BF11" s="182">
        <v>0</v>
      </c>
      <c r="BG11" s="181">
        <v>0</v>
      </c>
      <c r="BH11" s="180">
        <v>0</v>
      </c>
      <c r="BI11" s="151">
        <v>0</v>
      </c>
      <c r="BJ11" s="151">
        <v>0</v>
      </c>
      <c r="BK11" s="151">
        <v>0</v>
      </c>
      <c r="BL11" s="151">
        <v>0</v>
      </c>
      <c r="BM11" s="151">
        <v>0</v>
      </c>
      <c r="BN11" s="151">
        <v>0</v>
      </c>
      <c r="BO11" s="151">
        <v>0</v>
      </c>
      <c r="BP11" s="151">
        <v>0</v>
      </c>
      <c r="BQ11" s="151">
        <v>0</v>
      </c>
      <c r="BR11" s="151">
        <v>0</v>
      </c>
      <c r="BS11" s="151">
        <v>0</v>
      </c>
      <c r="BT11" s="151">
        <v>0</v>
      </c>
      <c r="BU11" s="151">
        <v>0</v>
      </c>
      <c r="BV11" s="180">
        <v>0</v>
      </c>
      <c r="BW11" s="151">
        <v>0</v>
      </c>
      <c r="BX11" s="151">
        <v>0</v>
      </c>
      <c r="BY11" s="151">
        <v>0</v>
      </c>
      <c r="BZ11" s="151">
        <v>0</v>
      </c>
      <c r="CA11" s="151">
        <v>0</v>
      </c>
      <c r="CB11" s="151">
        <v>0</v>
      </c>
      <c r="CC11" s="151">
        <v>0</v>
      </c>
      <c r="CD11" s="151">
        <v>0</v>
      </c>
      <c r="CE11" s="151">
        <v>0</v>
      </c>
      <c r="CF11" s="151">
        <v>0</v>
      </c>
      <c r="CG11" s="151">
        <v>0</v>
      </c>
      <c r="CH11" s="151">
        <v>0</v>
      </c>
      <c r="CI11" s="151">
        <v>0</v>
      </c>
      <c r="CJ11" s="180">
        <v>0</v>
      </c>
      <c r="CK11" s="151">
        <v>0</v>
      </c>
      <c r="CL11" s="151">
        <v>0</v>
      </c>
      <c r="CM11" s="151">
        <v>0</v>
      </c>
      <c r="CN11" s="151">
        <v>0</v>
      </c>
      <c r="CO11" s="151">
        <v>0</v>
      </c>
      <c r="CP11" s="151">
        <v>0</v>
      </c>
      <c r="CQ11" s="151">
        <v>0</v>
      </c>
      <c r="CR11" s="151">
        <v>0</v>
      </c>
      <c r="CS11" s="151">
        <v>0</v>
      </c>
      <c r="CT11" s="151">
        <v>0</v>
      </c>
      <c r="CU11" s="151">
        <v>0</v>
      </c>
      <c r="CV11" s="151">
        <v>0</v>
      </c>
      <c r="CW11" s="151">
        <v>0</v>
      </c>
      <c r="CX11" s="151">
        <v>0</v>
      </c>
      <c r="CY11" s="151">
        <v>0</v>
      </c>
      <c r="CZ11" s="151">
        <v>0.14000000000000001</v>
      </c>
      <c r="DA11" s="151">
        <v>0</v>
      </c>
      <c r="DB11" s="151">
        <v>0</v>
      </c>
      <c r="DC11" s="151">
        <v>0.24</v>
      </c>
      <c r="DD11" s="151">
        <v>0</v>
      </c>
      <c r="DE11" s="151">
        <v>0.06</v>
      </c>
      <c r="DF11" s="151">
        <v>0</v>
      </c>
      <c r="DG11" s="151">
        <v>0</v>
      </c>
      <c r="DH11" s="151">
        <v>0</v>
      </c>
      <c r="DI11" s="151">
        <v>0</v>
      </c>
      <c r="DJ11" s="151">
        <v>0</v>
      </c>
      <c r="DK11" s="151">
        <v>0</v>
      </c>
      <c r="DL11" s="180">
        <v>0</v>
      </c>
      <c r="DM11" s="151">
        <v>0</v>
      </c>
      <c r="DN11" s="151">
        <v>0.02</v>
      </c>
      <c r="DO11" s="151">
        <v>0</v>
      </c>
      <c r="DP11" s="151">
        <v>0</v>
      </c>
      <c r="DQ11" s="151">
        <v>0.08</v>
      </c>
      <c r="DR11" s="151">
        <v>0</v>
      </c>
      <c r="DS11" s="151">
        <v>0</v>
      </c>
      <c r="DT11" s="151">
        <v>0</v>
      </c>
      <c r="DU11" s="151">
        <v>0</v>
      </c>
      <c r="DV11" s="151">
        <v>0</v>
      </c>
      <c r="DW11" s="151">
        <v>0</v>
      </c>
      <c r="DX11" s="151">
        <v>0</v>
      </c>
      <c r="DY11" s="151">
        <v>0</v>
      </c>
      <c r="DZ11" s="180">
        <v>0</v>
      </c>
      <c r="EA11" s="151">
        <v>0</v>
      </c>
      <c r="EB11" s="151">
        <v>0.06</v>
      </c>
      <c r="EC11" s="151">
        <v>0</v>
      </c>
      <c r="ED11" s="151">
        <v>0</v>
      </c>
      <c r="EE11" s="151">
        <v>0.19</v>
      </c>
      <c r="EF11" s="151">
        <v>0</v>
      </c>
      <c r="EG11" s="151">
        <v>0.04</v>
      </c>
      <c r="EH11" s="151">
        <v>0</v>
      </c>
      <c r="EI11" s="151">
        <v>0</v>
      </c>
      <c r="EJ11" s="151">
        <v>0</v>
      </c>
      <c r="EK11" s="151">
        <v>0</v>
      </c>
      <c r="EL11" s="151">
        <v>0</v>
      </c>
      <c r="EM11" s="151">
        <v>0</v>
      </c>
      <c r="EN11" s="169">
        <v>2.2000000000000002</v>
      </c>
      <c r="EO11" s="169">
        <v>0</v>
      </c>
      <c r="EP11" s="169">
        <v>0</v>
      </c>
      <c r="EQ11" s="169">
        <v>0.83000000000000007</v>
      </c>
      <c r="ER11" s="255">
        <f t="shared" si="5"/>
        <v>3.0300000000000002</v>
      </c>
      <c r="ES11" s="151">
        <v>0</v>
      </c>
      <c r="ET11" s="151">
        <v>0</v>
      </c>
      <c r="EU11" s="151">
        <v>0</v>
      </c>
      <c r="EV11" s="151">
        <v>0</v>
      </c>
      <c r="EW11" s="151">
        <v>0</v>
      </c>
      <c r="EX11" s="151">
        <v>0</v>
      </c>
      <c r="EY11" s="150">
        <v>0</v>
      </c>
      <c r="EZ11" s="150">
        <v>0</v>
      </c>
      <c r="FA11" s="150">
        <v>0</v>
      </c>
      <c r="FB11" s="150">
        <v>0</v>
      </c>
      <c r="FC11" s="150">
        <v>0</v>
      </c>
      <c r="FD11" s="150">
        <v>0</v>
      </c>
      <c r="FE11" s="150">
        <v>0</v>
      </c>
      <c r="FF11" s="150">
        <v>0</v>
      </c>
      <c r="FG11">
        <v>0</v>
      </c>
    </row>
    <row r="12" spans="1:163" x14ac:dyDescent="0.25">
      <c r="A12" t="s">
        <v>250</v>
      </c>
      <c r="B12" t="s">
        <v>1610</v>
      </c>
      <c r="C12" s="144"/>
      <c r="D12" s="151">
        <v>0</v>
      </c>
      <c r="E12" s="151">
        <v>0</v>
      </c>
      <c r="F12" s="151">
        <v>0</v>
      </c>
      <c r="G12" s="151">
        <v>0</v>
      </c>
      <c r="H12" s="151">
        <v>0</v>
      </c>
      <c r="I12" s="151">
        <v>0</v>
      </c>
      <c r="J12" s="151">
        <v>0</v>
      </c>
      <c r="K12" s="151">
        <v>0</v>
      </c>
      <c r="L12" s="151">
        <v>0</v>
      </c>
      <c r="M12" s="151">
        <v>0</v>
      </c>
      <c r="N12" s="151">
        <v>0</v>
      </c>
      <c r="O12" s="151">
        <v>0</v>
      </c>
      <c r="P12" s="151">
        <v>0</v>
      </c>
      <c r="Q12" s="151">
        <v>0</v>
      </c>
      <c r="R12" s="180">
        <v>0</v>
      </c>
      <c r="S12" s="151">
        <v>0</v>
      </c>
      <c r="T12" s="151">
        <v>0</v>
      </c>
      <c r="U12" s="151">
        <v>0</v>
      </c>
      <c r="V12" s="151">
        <v>0</v>
      </c>
      <c r="W12" s="151">
        <v>0</v>
      </c>
      <c r="X12" s="151">
        <v>0</v>
      </c>
      <c r="Y12" s="151">
        <v>0</v>
      </c>
      <c r="Z12" s="151">
        <v>0</v>
      </c>
      <c r="AA12" s="151">
        <v>0</v>
      </c>
      <c r="AB12" s="151">
        <v>0</v>
      </c>
      <c r="AC12" s="151">
        <v>0</v>
      </c>
      <c r="AD12" s="151">
        <v>0</v>
      </c>
      <c r="AE12" s="151">
        <v>0</v>
      </c>
      <c r="AF12" s="180">
        <v>0</v>
      </c>
      <c r="AG12" s="151">
        <v>0</v>
      </c>
      <c r="AH12" s="151">
        <v>0</v>
      </c>
      <c r="AI12" s="151">
        <v>0</v>
      </c>
      <c r="AJ12" s="151">
        <v>0</v>
      </c>
      <c r="AK12" s="151">
        <v>0</v>
      </c>
      <c r="AL12" s="151">
        <v>0</v>
      </c>
      <c r="AM12" s="151">
        <v>0</v>
      </c>
      <c r="AN12" s="151">
        <v>0</v>
      </c>
      <c r="AO12" s="151">
        <v>0</v>
      </c>
      <c r="AP12" s="151">
        <v>0</v>
      </c>
      <c r="AQ12" s="151">
        <v>0</v>
      </c>
      <c r="AR12" s="151">
        <v>0</v>
      </c>
      <c r="AS12" s="151">
        <v>0</v>
      </c>
      <c r="AT12" s="180">
        <v>0</v>
      </c>
      <c r="AU12" s="151">
        <v>0</v>
      </c>
      <c r="AV12" s="151">
        <v>0</v>
      </c>
      <c r="AW12" s="151">
        <v>0</v>
      </c>
      <c r="AX12" s="151">
        <v>0</v>
      </c>
      <c r="AY12" s="151">
        <v>0</v>
      </c>
      <c r="AZ12" s="151">
        <v>0</v>
      </c>
      <c r="BA12" s="151">
        <v>0</v>
      </c>
      <c r="BB12" s="151">
        <v>0</v>
      </c>
      <c r="BC12" s="151">
        <v>0</v>
      </c>
      <c r="BD12" s="151">
        <v>0</v>
      </c>
      <c r="BE12" s="151">
        <v>0</v>
      </c>
      <c r="BF12" s="182">
        <v>0</v>
      </c>
      <c r="BG12" s="181">
        <v>0</v>
      </c>
      <c r="BH12" s="180">
        <v>0</v>
      </c>
      <c r="BI12" s="151">
        <v>0</v>
      </c>
      <c r="BJ12" s="151">
        <v>0</v>
      </c>
      <c r="BK12" s="151">
        <v>0</v>
      </c>
      <c r="BL12" s="151">
        <v>0</v>
      </c>
      <c r="BM12" s="151">
        <v>0</v>
      </c>
      <c r="BN12" s="151">
        <v>0</v>
      </c>
      <c r="BO12" s="151">
        <v>0</v>
      </c>
      <c r="BP12" s="151">
        <v>0</v>
      </c>
      <c r="BQ12" s="151">
        <v>0</v>
      </c>
      <c r="BR12" s="151">
        <v>0</v>
      </c>
      <c r="BS12" s="151">
        <v>0</v>
      </c>
      <c r="BT12" s="151">
        <v>0</v>
      </c>
      <c r="BU12" s="151">
        <v>0</v>
      </c>
      <c r="BV12" s="180">
        <v>0</v>
      </c>
      <c r="BW12" s="151">
        <v>0</v>
      </c>
      <c r="BX12" s="151">
        <v>0</v>
      </c>
      <c r="BY12" s="151">
        <v>0</v>
      </c>
      <c r="BZ12" s="151">
        <v>0</v>
      </c>
      <c r="CA12" s="151">
        <v>0</v>
      </c>
      <c r="CB12" s="151">
        <v>0</v>
      </c>
      <c r="CC12" s="151">
        <v>0</v>
      </c>
      <c r="CD12" s="151">
        <v>0</v>
      </c>
      <c r="CE12" s="151">
        <v>0</v>
      </c>
      <c r="CF12" s="151">
        <v>0</v>
      </c>
      <c r="CG12" s="151">
        <v>0</v>
      </c>
      <c r="CH12" s="151">
        <v>0</v>
      </c>
      <c r="CI12" s="151">
        <v>0</v>
      </c>
      <c r="CJ12" s="180">
        <v>0</v>
      </c>
      <c r="CK12" s="151">
        <v>0</v>
      </c>
      <c r="CL12" s="151">
        <v>0</v>
      </c>
      <c r="CM12" s="151">
        <v>0</v>
      </c>
      <c r="CN12" s="151">
        <v>0</v>
      </c>
      <c r="CO12" s="151">
        <v>0</v>
      </c>
      <c r="CP12" s="151">
        <v>0</v>
      </c>
      <c r="CQ12" s="151">
        <v>0</v>
      </c>
      <c r="CR12" s="151">
        <v>0</v>
      </c>
      <c r="CS12" s="151">
        <v>0</v>
      </c>
      <c r="CT12" s="151">
        <v>0</v>
      </c>
      <c r="CU12" s="151">
        <v>0</v>
      </c>
      <c r="CV12" s="151">
        <v>0</v>
      </c>
      <c r="CW12" s="151">
        <v>0</v>
      </c>
      <c r="CX12" s="151">
        <v>0</v>
      </c>
      <c r="CY12" s="151">
        <v>0.08</v>
      </c>
      <c r="CZ12" s="151">
        <v>0.02</v>
      </c>
      <c r="DA12" s="151">
        <v>0</v>
      </c>
      <c r="DB12" s="151">
        <v>0.08</v>
      </c>
      <c r="DC12" s="151">
        <v>0</v>
      </c>
      <c r="DD12" s="151">
        <v>0</v>
      </c>
      <c r="DE12" s="151">
        <v>0</v>
      </c>
      <c r="DF12" s="151">
        <v>0</v>
      </c>
      <c r="DG12" s="151">
        <v>0</v>
      </c>
      <c r="DH12" s="151">
        <v>0</v>
      </c>
      <c r="DI12" s="151">
        <v>0</v>
      </c>
      <c r="DJ12" s="151">
        <v>0</v>
      </c>
      <c r="DK12" s="151">
        <v>0</v>
      </c>
      <c r="DL12" s="180">
        <v>0</v>
      </c>
      <c r="DM12" s="151">
        <v>0.08</v>
      </c>
      <c r="DN12" s="151">
        <v>0.02</v>
      </c>
      <c r="DO12" s="151">
        <v>0</v>
      </c>
      <c r="DP12" s="151">
        <v>0.08</v>
      </c>
      <c r="DQ12" s="151">
        <v>0</v>
      </c>
      <c r="DR12" s="151">
        <v>0</v>
      </c>
      <c r="DS12" s="151">
        <v>0</v>
      </c>
      <c r="DT12" s="151">
        <v>0</v>
      </c>
      <c r="DU12" s="151">
        <v>0</v>
      </c>
      <c r="DV12" s="151">
        <v>0</v>
      </c>
      <c r="DW12" s="151">
        <v>0</v>
      </c>
      <c r="DX12" s="151">
        <v>0</v>
      </c>
      <c r="DY12" s="151">
        <v>0</v>
      </c>
      <c r="DZ12" s="180">
        <v>0</v>
      </c>
      <c r="EA12" s="151">
        <v>0.08</v>
      </c>
      <c r="EB12" s="151">
        <v>0.02</v>
      </c>
      <c r="EC12" s="151">
        <v>0</v>
      </c>
      <c r="ED12" s="151">
        <v>0.08</v>
      </c>
      <c r="EE12" s="151">
        <v>0</v>
      </c>
      <c r="EF12" s="151">
        <v>0</v>
      </c>
      <c r="EG12" s="151">
        <v>0</v>
      </c>
      <c r="EH12" s="151">
        <v>0</v>
      </c>
      <c r="EI12" s="151">
        <v>0</v>
      </c>
      <c r="EJ12" s="151">
        <v>0</v>
      </c>
      <c r="EK12" s="151">
        <v>0</v>
      </c>
      <c r="EL12" s="151">
        <v>0</v>
      </c>
      <c r="EM12" s="151">
        <v>0</v>
      </c>
      <c r="EN12" s="169">
        <v>0</v>
      </c>
      <c r="EO12" s="169">
        <v>0</v>
      </c>
      <c r="EP12" s="169">
        <v>0</v>
      </c>
      <c r="EQ12" s="169">
        <v>0.54</v>
      </c>
      <c r="ER12" s="255">
        <f t="shared" si="5"/>
        <v>0.54</v>
      </c>
      <c r="ES12" s="151">
        <v>0</v>
      </c>
      <c r="ET12" s="151">
        <v>0</v>
      </c>
      <c r="EU12" s="151">
        <v>0</v>
      </c>
      <c r="EV12" s="151">
        <v>0</v>
      </c>
      <c r="EW12" s="151">
        <v>0</v>
      </c>
      <c r="EX12" s="151">
        <v>0</v>
      </c>
      <c r="EY12" s="150">
        <v>0</v>
      </c>
      <c r="EZ12" s="150">
        <v>0</v>
      </c>
      <c r="FA12" s="150">
        <v>0</v>
      </c>
      <c r="FB12" s="150">
        <v>0</v>
      </c>
      <c r="FC12" s="150">
        <v>0</v>
      </c>
      <c r="FD12" s="150">
        <v>0</v>
      </c>
      <c r="FE12" s="150">
        <v>0</v>
      </c>
      <c r="FF12" s="150">
        <v>0</v>
      </c>
      <c r="FG12">
        <v>0</v>
      </c>
    </row>
    <row r="13" spans="1:163" x14ac:dyDescent="0.25">
      <c r="A13" t="s">
        <v>141</v>
      </c>
      <c r="B13" t="s">
        <v>1604</v>
      </c>
      <c r="C13" s="144"/>
      <c r="D13" s="151">
        <v>0</v>
      </c>
      <c r="E13" s="151">
        <v>0</v>
      </c>
      <c r="F13" s="151">
        <v>0</v>
      </c>
      <c r="G13" s="151">
        <v>0</v>
      </c>
      <c r="H13" s="151">
        <v>0</v>
      </c>
      <c r="I13" s="151">
        <v>0</v>
      </c>
      <c r="J13" s="151">
        <v>0</v>
      </c>
      <c r="K13" s="151">
        <v>0</v>
      </c>
      <c r="L13" s="151">
        <v>0</v>
      </c>
      <c r="M13" s="151">
        <v>0</v>
      </c>
      <c r="N13" s="151">
        <v>0</v>
      </c>
      <c r="O13" s="151">
        <v>0</v>
      </c>
      <c r="P13" s="151">
        <v>0</v>
      </c>
      <c r="Q13" s="151">
        <v>0</v>
      </c>
      <c r="R13" s="180">
        <v>0</v>
      </c>
      <c r="S13" s="151">
        <v>0</v>
      </c>
      <c r="T13" s="151">
        <v>0</v>
      </c>
      <c r="U13" s="151">
        <v>0</v>
      </c>
      <c r="V13" s="151">
        <v>0</v>
      </c>
      <c r="W13" s="151">
        <v>0</v>
      </c>
      <c r="X13" s="151">
        <v>0</v>
      </c>
      <c r="Y13" s="151">
        <v>0</v>
      </c>
      <c r="Z13" s="151">
        <v>0</v>
      </c>
      <c r="AA13" s="151">
        <v>0</v>
      </c>
      <c r="AB13" s="151">
        <v>0</v>
      </c>
      <c r="AC13" s="151">
        <v>0</v>
      </c>
      <c r="AD13" s="151">
        <v>0</v>
      </c>
      <c r="AE13" s="151">
        <v>0</v>
      </c>
      <c r="AF13" s="180">
        <v>0</v>
      </c>
      <c r="AG13" s="151">
        <v>0</v>
      </c>
      <c r="AH13" s="151">
        <v>0</v>
      </c>
      <c r="AI13" s="151">
        <v>0</v>
      </c>
      <c r="AJ13" s="151">
        <v>0</v>
      </c>
      <c r="AK13" s="151">
        <v>0</v>
      </c>
      <c r="AL13" s="151">
        <v>0</v>
      </c>
      <c r="AM13" s="151">
        <v>0</v>
      </c>
      <c r="AN13" s="151">
        <v>0</v>
      </c>
      <c r="AO13" s="151">
        <v>0</v>
      </c>
      <c r="AP13" s="151">
        <v>0</v>
      </c>
      <c r="AQ13" s="151">
        <v>0</v>
      </c>
      <c r="AR13" s="151">
        <v>0</v>
      </c>
      <c r="AS13" s="151">
        <v>0</v>
      </c>
      <c r="AT13" s="180">
        <v>0</v>
      </c>
      <c r="AU13" s="151">
        <v>0</v>
      </c>
      <c r="AV13" s="151">
        <v>0</v>
      </c>
      <c r="AW13" s="151">
        <v>0</v>
      </c>
      <c r="AX13" s="151">
        <v>0</v>
      </c>
      <c r="AY13" s="151">
        <v>0</v>
      </c>
      <c r="AZ13" s="151">
        <v>0</v>
      </c>
      <c r="BA13" s="151">
        <v>0</v>
      </c>
      <c r="BB13" s="151">
        <v>0</v>
      </c>
      <c r="BC13" s="151">
        <v>0</v>
      </c>
      <c r="BD13" s="151">
        <v>0</v>
      </c>
      <c r="BE13" s="151">
        <v>0</v>
      </c>
      <c r="BF13" s="182">
        <v>0</v>
      </c>
      <c r="BG13" s="181">
        <v>0</v>
      </c>
      <c r="BH13" s="180">
        <v>0</v>
      </c>
      <c r="BI13" s="151">
        <v>0</v>
      </c>
      <c r="BJ13" s="151">
        <v>0</v>
      </c>
      <c r="BK13" s="151">
        <v>0</v>
      </c>
      <c r="BL13" s="151">
        <v>0</v>
      </c>
      <c r="BM13" s="151">
        <v>0</v>
      </c>
      <c r="BN13" s="151">
        <v>0</v>
      </c>
      <c r="BO13" s="151">
        <v>0</v>
      </c>
      <c r="BP13" s="151">
        <v>0</v>
      </c>
      <c r="BQ13" s="151">
        <v>0</v>
      </c>
      <c r="BR13" s="151">
        <v>0</v>
      </c>
      <c r="BS13" s="151">
        <v>0</v>
      </c>
      <c r="BT13" s="151">
        <v>0</v>
      </c>
      <c r="BU13" s="151">
        <v>0</v>
      </c>
      <c r="BV13" s="180">
        <v>0</v>
      </c>
      <c r="BW13" s="151">
        <v>0</v>
      </c>
      <c r="BX13" s="151">
        <v>0</v>
      </c>
      <c r="BY13" s="151">
        <v>0</v>
      </c>
      <c r="BZ13" s="151">
        <v>0</v>
      </c>
      <c r="CA13" s="151">
        <v>0</v>
      </c>
      <c r="CB13" s="151">
        <v>0</v>
      </c>
      <c r="CC13" s="151">
        <v>0</v>
      </c>
      <c r="CD13" s="151">
        <v>0</v>
      </c>
      <c r="CE13" s="151">
        <v>0</v>
      </c>
      <c r="CF13" s="151">
        <v>0</v>
      </c>
      <c r="CG13" s="151">
        <v>0</v>
      </c>
      <c r="CH13" s="151">
        <v>0</v>
      </c>
      <c r="CI13" s="151">
        <v>0</v>
      </c>
      <c r="CJ13" s="180">
        <v>0</v>
      </c>
      <c r="CK13" s="151">
        <v>0</v>
      </c>
      <c r="CL13" s="151">
        <v>0</v>
      </c>
      <c r="CM13" s="151">
        <v>0</v>
      </c>
      <c r="CN13" s="151">
        <v>0</v>
      </c>
      <c r="CO13" s="151">
        <v>0</v>
      </c>
      <c r="CP13" s="151">
        <v>0</v>
      </c>
      <c r="CQ13" s="151">
        <v>0</v>
      </c>
      <c r="CR13" s="151">
        <v>0</v>
      </c>
      <c r="CS13" s="151">
        <v>0</v>
      </c>
      <c r="CT13" s="151">
        <v>0</v>
      </c>
      <c r="CU13" s="151">
        <v>0</v>
      </c>
      <c r="CV13" s="151">
        <v>0</v>
      </c>
      <c r="CW13" s="151">
        <v>0</v>
      </c>
      <c r="CX13" s="151">
        <v>0</v>
      </c>
      <c r="CY13" s="151">
        <v>0</v>
      </c>
      <c r="CZ13" s="151">
        <v>0.46</v>
      </c>
      <c r="DA13" s="151">
        <v>0</v>
      </c>
      <c r="DB13" s="151">
        <v>0.6</v>
      </c>
      <c r="DC13" s="151">
        <v>0</v>
      </c>
      <c r="DD13" s="151">
        <v>0</v>
      </c>
      <c r="DE13" s="151">
        <v>0.2</v>
      </c>
      <c r="DF13" s="151">
        <v>0</v>
      </c>
      <c r="DG13" s="151">
        <v>0</v>
      </c>
      <c r="DH13" s="151">
        <v>0</v>
      </c>
      <c r="DI13" s="151">
        <v>0</v>
      </c>
      <c r="DJ13" s="151">
        <v>0</v>
      </c>
      <c r="DK13" s="151">
        <v>0</v>
      </c>
      <c r="DL13" s="180">
        <v>0</v>
      </c>
      <c r="DM13" s="151">
        <v>0</v>
      </c>
      <c r="DN13" s="151">
        <v>0</v>
      </c>
      <c r="DO13" s="151">
        <v>0</v>
      </c>
      <c r="DP13" s="151">
        <v>0.2</v>
      </c>
      <c r="DQ13" s="151">
        <v>0</v>
      </c>
      <c r="DR13" s="151">
        <v>0</v>
      </c>
      <c r="DS13" s="151">
        <v>0</v>
      </c>
      <c r="DT13" s="151">
        <v>0</v>
      </c>
      <c r="DU13" s="151">
        <v>0</v>
      </c>
      <c r="DV13" s="151">
        <v>0</v>
      </c>
      <c r="DW13" s="151">
        <v>0</v>
      </c>
      <c r="DX13" s="151">
        <v>0</v>
      </c>
      <c r="DY13" s="151">
        <v>0</v>
      </c>
      <c r="DZ13" s="180">
        <v>0</v>
      </c>
      <c r="EA13" s="151">
        <v>0</v>
      </c>
      <c r="EB13" s="151">
        <v>0.14000000000000001</v>
      </c>
      <c r="EC13" s="151">
        <v>0</v>
      </c>
      <c r="ED13" s="151">
        <v>0.4</v>
      </c>
      <c r="EE13" s="151">
        <v>0</v>
      </c>
      <c r="EF13" s="151">
        <v>0</v>
      </c>
      <c r="EG13" s="151">
        <v>0</v>
      </c>
      <c r="EH13" s="151">
        <v>0</v>
      </c>
      <c r="EI13" s="151">
        <v>0</v>
      </c>
      <c r="EJ13" s="151">
        <v>0</v>
      </c>
      <c r="EK13" s="151">
        <v>0</v>
      </c>
      <c r="EL13" s="151">
        <v>0</v>
      </c>
      <c r="EM13" s="151">
        <v>0</v>
      </c>
      <c r="EN13" s="169">
        <v>0</v>
      </c>
      <c r="EO13" s="169">
        <v>0</v>
      </c>
      <c r="EP13" s="169">
        <v>0</v>
      </c>
      <c r="EQ13" s="169">
        <v>2</v>
      </c>
      <c r="ER13" s="255">
        <f t="shared" si="5"/>
        <v>2</v>
      </c>
      <c r="ES13" s="151">
        <v>0</v>
      </c>
      <c r="ET13" s="151">
        <v>0</v>
      </c>
      <c r="EU13" s="151">
        <v>0</v>
      </c>
      <c r="EV13" s="151">
        <v>0</v>
      </c>
      <c r="EW13" s="151">
        <v>0</v>
      </c>
      <c r="EX13" s="151">
        <v>0</v>
      </c>
      <c r="EY13" s="150">
        <v>0</v>
      </c>
      <c r="EZ13" s="150">
        <v>0</v>
      </c>
      <c r="FA13" s="150">
        <v>0</v>
      </c>
      <c r="FB13" s="150">
        <v>0</v>
      </c>
      <c r="FC13" s="150">
        <v>0</v>
      </c>
      <c r="FD13" s="150">
        <v>0</v>
      </c>
      <c r="FE13" s="150">
        <v>0</v>
      </c>
      <c r="FF13" s="150">
        <v>0</v>
      </c>
      <c r="FG13">
        <v>0</v>
      </c>
    </row>
    <row r="14" spans="1:163" x14ac:dyDescent="0.25">
      <c r="A14" t="s">
        <v>163</v>
      </c>
      <c r="B14" t="s">
        <v>1607</v>
      </c>
      <c r="C14" s="144"/>
      <c r="D14" s="151">
        <v>0</v>
      </c>
      <c r="E14" s="151">
        <v>0</v>
      </c>
      <c r="F14" s="151">
        <v>0</v>
      </c>
      <c r="G14" s="151">
        <v>0</v>
      </c>
      <c r="H14" s="151">
        <v>0</v>
      </c>
      <c r="I14" s="151">
        <v>0</v>
      </c>
      <c r="J14" s="151">
        <v>0.46</v>
      </c>
      <c r="K14" s="151">
        <v>0</v>
      </c>
      <c r="L14" s="151">
        <v>0</v>
      </c>
      <c r="M14" s="151">
        <v>0</v>
      </c>
      <c r="N14" s="151">
        <v>0</v>
      </c>
      <c r="O14" s="151">
        <v>0</v>
      </c>
      <c r="P14" s="151">
        <v>0</v>
      </c>
      <c r="Q14" s="151">
        <v>0</v>
      </c>
      <c r="R14" s="180">
        <v>0</v>
      </c>
      <c r="S14" s="151">
        <v>0</v>
      </c>
      <c r="T14" s="151">
        <v>0</v>
      </c>
      <c r="U14" s="151">
        <v>0</v>
      </c>
      <c r="V14" s="151">
        <v>0</v>
      </c>
      <c r="W14" s="151">
        <v>0</v>
      </c>
      <c r="X14" s="151">
        <v>0.46</v>
      </c>
      <c r="Y14" s="151">
        <v>0</v>
      </c>
      <c r="Z14" s="151">
        <v>0</v>
      </c>
      <c r="AA14" s="151">
        <v>0</v>
      </c>
      <c r="AB14" s="151">
        <v>0</v>
      </c>
      <c r="AC14" s="151">
        <v>0</v>
      </c>
      <c r="AD14" s="151">
        <v>0</v>
      </c>
      <c r="AE14" s="151">
        <v>0</v>
      </c>
      <c r="AF14" s="180">
        <v>0</v>
      </c>
      <c r="AG14" s="151">
        <v>0</v>
      </c>
      <c r="AH14" s="151">
        <v>0</v>
      </c>
      <c r="AI14" s="151">
        <v>0</v>
      </c>
      <c r="AJ14" s="151">
        <v>0</v>
      </c>
      <c r="AK14" s="151">
        <v>0</v>
      </c>
      <c r="AL14" s="151">
        <v>0</v>
      </c>
      <c r="AM14" s="151">
        <v>0</v>
      </c>
      <c r="AN14" s="151">
        <v>0</v>
      </c>
      <c r="AO14" s="151">
        <v>0</v>
      </c>
      <c r="AP14" s="151">
        <v>0</v>
      </c>
      <c r="AQ14" s="151">
        <v>0</v>
      </c>
      <c r="AR14" s="151">
        <v>0</v>
      </c>
      <c r="AS14" s="151">
        <v>0</v>
      </c>
      <c r="AT14" s="180">
        <v>0</v>
      </c>
      <c r="AU14" s="151">
        <v>0</v>
      </c>
      <c r="AV14" s="151">
        <v>0</v>
      </c>
      <c r="AW14" s="151">
        <v>0</v>
      </c>
      <c r="AX14" s="151">
        <v>0</v>
      </c>
      <c r="AY14" s="151">
        <v>0</v>
      </c>
      <c r="AZ14" s="151">
        <v>0</v>
      </c>
      <c r="BA14" s="151">
        <v>0</v>
      </c>
      <c r="BB14" s="151">
        <v>0</v>
      </c>
      <c r="BC14" s="151">
        <v>0</v>
      </c>
      <c r="BD14" s="151">
        <v>0</v>
      </c>
      <c r="BE14" s="151">
        <v>0</v>
      </c>
      <c r="BF14" s="182">
        <v>0</v>
      </c>
      <c r="BG14" s="181">
        <v>0</v>
      </c>
      <c r="BH14" s="180">
        <v>0</v>
      </c>
      <c r="BI14" s="151">
        <v>0</v>
      </c>
      <c r="BJ14" s="151">
        <v>0</v>
      </c>
      <c r="BK14" s="151">
        <v>0</v>
      </c>
      <c r="BL14" s="151">
        <v>0</v>
      </c>
      <c r="BM14" s="151">
        <v>0</v>
      </c>
      <c r="BN14" s="151">
        <v>0</v>
      </c>
      <c r="BO14" s="151">
        <v>0</v>
      </c>
      <c r="BP14" s="151">
        <v>0</v>
      </c>
      <c r="BQ14" s="151">
        <v>0</v>
      </c>
      <c r="BR14" s="151">
        <v>0</v>
      </c>
      <c r="BS14" s="151">
        <v>0</v>
      </c>
      <c r="BT14" s="151">
        <v>0</v>
      </c>
      <c r="BU14" s="151">
        <v>0</v>
      </c>
      <c r="BV14" s="180">
        <v>0</v>
      </c>
      <c r="BW14" s="151">
        <v>0</v>
      </c>
      <c r="BX14" s="151">
        <v>0</v>
      </c>
      <c r="BY14" s="151">
        <v>0</v>
      </c>
      <c r="BZ14" s="151">
        <v>0</v>
      </c>
      <c r="CA14" s="151">
        <v>0</v>
      </c>
      <c r="CB14" s="151">
        <v>0</v>
      </c>
      <c r="CC14" s="151">
        <v>0</v>
      </c>
      <c r="CD14" s="151">
        <v>0</v>
      </c>
      <c r="CE14" s="151">
        <v>0</v>
      </c>
      <c r="CF14" s="151">
        <v>0</v>
      </c>
      <c r="CG14" s="151">
        <v>0</v>
      </c>
      <c r="CH14" s="151">
        <v>0</v>
      </c>
      <c r="CI14" s="151">
        <v>0</v>
      </c>
      <c r="CJ14" s="180">
        <v>0</v>
      </c>
      <c r="CK14" s="151">
        <v>0</v>
      </c>
      <c r="CL14" s="151">
        <v>0</v>
      </c>
      <c r="CM14" s="151">
        <v>0</v>
      </c>
      <c r="CN14" s="151">
        <v>0</v>
      </c>
      <c r="CO14" s="151">
        <v>0</v>
      </c>
      <c r="CP14" s="151">
        <v>0</v>
      </c>
      <c r="CQ14" s="151">
        <v>0</v>
      </c>
      <c r="CR14" s="151">
        <v>0</v>
      </c>
      <c r="CS14" s="151">
        <v>0</v>
      </c>
      <c r="CT14" s="151">
        <v>0</v>
      </c>
      <c r="CU14" s="151">
        <v>0</v>
      </c>
      <c r="CV14" s="151">
        <v>0</v>
      </c>
      <c r="CW14" s="151">
        <v>0</v>
      </c>
      <c r="CX14" s="151">
        <v>0</v>
      </c>
      <c r="CY14" s="151">
        <v>0</v>
      </c>
      <c r="CZ14" s="151">
        <v>0.66</v>
      </c>
      <c r="DA14" s="151">
        <v>0</v>
      </c>
      <c r="DB14" s="151">
        <v>1</v>
      </c>
      <c r="DC14" s="151">
        <v>0.66</v>
      </c>
      <c r="DD14" s="151">
        <v>0</v>
      </c>
      <c r="DE14" s="151">
        <v>0.125</v>
      </c>
      <c r="DF14" s="151">
        <v>0</v>
      </c>
      <c r="DG14" s="151">
        <v>0</v>
      </c>
      <c r="DH14" s="151">
        <v>0</v>
      </c>
      <c r="DI14" s="151">
        <v>0.46</v>
      </c>
      <c r="DJ14" s="151">
        <v>0</v>
      </c>
      <c r="DK14" s="151">
        <v>0</v>
      </c>
      <c r="DL14" s="180">
        <v>0</v>
      </c>
      <c r="DM14" s="151">
        <v>0</v>
      </c>
      <c r="DN14" s="151">
        <v>0.34</v>
      </c>
      <c r="DO14" s="151">
        <v>0</v>
      </c>
      <c r="DP14" s="151">
        <v>0.7</v>
      </c>
      <c r="DQ14" s="151">
        <v>0.34</v>
      </c>
      <c r="DR14" s="151">
        <v>0</v>
      </c>
      <c r="DS14" s="151">
        <v>0.125</v>
      </c>
      <c r="DT14" s="151">
        <v>0</v>
      </c>
      <c r="DU14" s="151">
        <v>0</v>
      </c>
      <c r="DV14" s="151">
        <v>0</v>
      </c>
      <c r="DW14" s="151">
        <v>0</v>
      </c>
      <c r="DX14" s="151">
        <v>0</v>
      </c>
      <c r="DY14" s="151">
        <v>0</v>
      </c>
      <c r="DZ14" s="180">
        <v>0</v>
      </c>
      <c r="EA14" s="151">
        <v>0</v>
      </c>
      <c r="EB14" s="151">
        <v>0</v>
      </c>
      <c r="EC14" s="151">
        <v>0</v>
      </c>
      <c r="ED14" s="151">
        <v>0</v>
      </c>
      <c r="EE14" s="151">
        <v>0</v>
      </c>
      <c r="EF14" s="151">
        <v>0</v>
      </c>
      <c r="EG14" s="151">
        <v>0</v>
      </c>
      <c r="EH14" s="151">
        <v>0</v>
      </c>
      <c r="EI14" s="151">
        <v>0</v>
      </c>
      <c r="EJ14" s="151">
        <v>0</v>
      </c>
      <c r="EK14" s="151">
        <v>0</v>
      </c>
      <c r="EL14" s="151">
        <v>0</v>
      </c>
      <c r="EM14" s="151">
        <v>0</v>
      </c>
      <c r="EN14" s="169">
        <v>0.92</v>
      </c>
      <c r="EO14" s="169">
        <v>0</v>
      </c>
      <c r="EP14" s="169">
        <v>0</v>
      </c>
      <c r="EQ14" s="169">
        <v>4.41</v>
      </c>
      <c r="ER14" s="255">
        <f t="shared" si="5"/>
        <v>5.33</v>
      </c>
      <c r="ES14" s="151">
        <v>0</v>
      </c>
      <c r="ET14" s="151">
        <v>0</v>
      </c>
      <c r="EU14" s="151">
        <v>0</v>
      </c>
      <c r="EV14" s="151">
        <v>0</v>
      </c>
      <c r="EW14" s="151">
        <v>0</v>
      </c>
      <c r="EX14" s="151">
        <v>0</v>
      </c>
      <c r="EY14" s="150">
        <v>0</v>
      </c>
      <c r="EZ14" s="150">
        <v>0</v>
      </c>
      <c r="FA14" s="150">
        <v>0</v>
      </c>
      <c r="FB14" s="150">
        <v>0</v>
      </c>
      <c r="FC14" s="150">
        <v>0</v>
      </c>
      <c r="FD14" s="150">
        <v>0</v>
      </c>
      <c r="FE14" s="150">
        <v>0</v>
      </c>
      <c r="FF14" s="150">
        <v>0</v>
      </c>
      <c r="FG14">
        <v>0</v>
      </c>
    </row>
    <row r="15" spans="1:163" x14ac:dyDescent="0.25">
      <c r="A15" s="126" t="s">
        <v>40</v>
      </c>
      <c r="B15" s="43" t="s">
        <v>1665</v>
      </c>
      <c r="C15" s="144"/>
      <c r="D15" s="151">
        <v>0</v>
      </c>
      <c r="E15" s="151">
        <v>0</v>
      </c>
      <c r="F15" s="151">
        <v>0</v>
      </c>
      <c r="G15" s="151">
        <v>0</v>
      </c>
      <c r="H15" s="151">
        <v>0</v>
      </c>
      <c r="I15" s="151">
        <v>0</v>
      </c>
      <c r="J15" s="151">
        <v>0</v>
      </c>
      <c r="K15" s="151">
        <v>0</v>
      </c>
      <c r="L15" s="151">
        <v>0</v>
      </c>
      <c r="M15" s="151">
        <v>0</v>
      </c>
      <c r="N15" s="151">
        <v>0</v>
      </c>
      <c r="O15" s="151">
        <v>0</v>
      </c>
      <c r="P15" s="151">
        <v>0</v>
      </c>
      <c r="Q15" s="151">
        <v>0</v>
      </c>
      <c r="R15" s="180">
        <v>0</v>
      </c>
      <c r="S15" s="151">
        <v>0</v>
      </c>
      <c r="T15" s="151">
        <v>0</v>
      </c>
      <c r="U15" s="151">
        <v>0</v>
      </c>
      <c r="V15" s="151">
        <v>0</v>
      </c>
      <c r="W15" s="151">
        <v>0</v>
      </c>
      <c r="X15" s="151">
        <v>0</v>
      </c>
      <c r="Y15" s="151">
        <v>0</v>
      </c>
      <c r="Z15" s="151">
        <v>0</v>
      </c>
      <c r="AA15" s="151">
        <v>0</v>
      </c>
      <c r="AB15" s="151">
        <v>0</v>
      </c>
      <c r="AC15" s="151">
        <v>0</v>
      </c>
      <c r="AD15" s="151">
        <v>0</v>
      </c>
      <c r="AE15" s="151">
        <v>0</v>
      </c>
      <c r="AF15" s="180">
        <v>0</v>
      </c>
      <c r="AG15" s="151">
        <v>0</v>
      </c>
      <c r="AH15" s="151">
        <v>0</v>
      </c>
      <c r="AI15" s="151">
        <v>0</v>
      </c>
      <c r="AJ15" s="151">
        <v>0</v>
      </c>
      <c r="AK15" s="151">
        <v>0</v>
      </c>
      <c r="AL15" s="151">
        <v>0</v>
      </c>
      <c r="AM15" s="151">
        <v>0</v>
      </c>
      <c r="AN15" s="151">
        <v>0</v>
      </c>
      <c r="AO15" s="151">
        <v>0</v>
      </c>
      <c r="AP15" s="151">
        <v>0</v>
      </c>
      <c r="AQ15" s="151">
        <v>0</v>
      </c>
      <c r="AR15" s="151">
        <v>0</v>
      </c>
      <c r="AS15" s="151">
        <v>0</v>
      </c>
      <c r="AT15" s="180">
        <v>0</v>
      </c>
      <c r="AU15" s="151">
        <v>0</v>
      </c>
      <c r="AV15" s="151">
        <v>0</v>
      </c>
      <c r="AW15" s="151">
        <v>0</v>
      </c>
      <c r="AX15" s="151">
        <v>0</v>
      </c>
      <c r="AY15" s="151">
        <v>0</v>
      </c>
      <c r="AZ15" s="151">
        <v>0</v>
      </c>
      <c r="BA15" s="151">
        <v>0</v>
      </c>
      <c r="BB15" s="151">
        <v>0</v>
      </c>
      <c r="BC15" s="151">
        <v>0</v>
      </c>
      <c r="BD15" s="151">
        <v>0</v>
      </c>
      <c r="BE15" s="151">
        <v>0</v>
      </c>
      <c r="BF15" s="182">
        <v>0</v>
      </c>
      <c r="BG15" s="181">
        <v>0</v>
      </c>
      <c r="BH15" s="180">
        <v>0</v>
      </c>
      <c r="BI15" s="151">
        <v>0</v>
      </c>
      <c r="BJ15" s="151">
        <v>0</v>
      </c>
      <c r="BK15" s="151">
        <v>0</v>
      </c>
      <c r="BL15" s="151">
        <v>0</v>
      </c>
      <c r="BM15" s="151">
        <v>0</v>
      </c>
      <c r="BN15" s="151">
        <v>0</v>
      </c>
      <c r="BO15" s="151">
        <v>0</v>
      </c>
      <c r="BP15" s="151">
        <v>0</v>
      </c>
      <c r="BQ15" s="151">
        <v>0</v>
      </c>
      <c r="BR15" s="151">
        <v>0</v>
      </c>
      <c r="BS15" s="151">
        <v>0</v>
      </c>
      <c r="BT15" s="151">
        <v>0</v>
      </c>
      <c r="BU15" s="151">
        <v>0.5</v>
      </c>
      <c r="BV15" s="180">
        <v>0</v>
      </c>
      <c r="BW15" s="151">
        <v>0</v>
      </c>
      <c r="BX15" s="151">
        <v>0</v>
      </c>
      <c r="BY15" s="151">
        <v>0</v>
      </c>
      <c r="BZ15" s="151">
        <v>0</v>
      </c>
      <c r="CA15" s="151">
        <v>0</v>
      </c>
      <c r="CB15" s="151">
        <v>0</v>
      </c>
      <c r="CC15" s="151">
        <v>0</v>
      </c>
      <c r="CD15" s="151">
        <v>0</v>
      </c>
      <c r="CE15" s="151">
        <v>0</v>
      </c>
      <c r="CF15" s="151">
        <v>0</v>
      </c>
      <c r="CG15" s="151">
        <v>0</v>
      </c>
      <c r="CH15" s="151">
        <v>0</v>
      </c>
      <c r="CI15" s="151">
        <v>0.5</v>
      </c>
      <c r="CJ15" s="180">
        <v>0</v>
      </c>
      <c r="CK15" s="151">
        <v>0</v>
      </c>
      <c r="CL15" s="151">
        <v>0</v>
      </c>
      <c r="CM15" s="151">
        <v>0</v>
      </c>
      <c r="CN15" s="151">
        <v>0</v>
      </c>
      <c r="CO15" s="151">
        <v>0</v>
      </c>
      <c r="CP15" s="151">
        <v>0</v>
      </c>
      <c r="CQ15" s="151">
        <v>0</v>
      </c>
      <c r="CR15" s="151">
        <v>0</v>
      </c>
      <c r="CS15" s="151">
        <v>0</v>
      </c>
      <c r="CT15" s="151">
        <v>0</v>
      </c>
      <c r="CU15" s="151">
        <v>0</v>
      </c>
      <c r="CV15" s="151">
        <v>0</v>
      </c>
      <c r="CW15" s="151">
        <v>2</v>
      </c>
      <c r="CX15" s="151">
        <v>0</v>
      </c>
      <c r="CY15" s="151">
        <v>0</v>
      </c>
      <c r="CZ15" s="151">
        <v>0</v>
      </c>
      <c r="DA15" s="151">
        <v>0</v>
      </c>
      <c r="DB15" s="151">
        <v>0</v>
      </c>
      <c r="DC15" s="151">
        <v>0</v>
      </c>
      <c r="DD15" s="151">
        <v>0</v>
      </c>
      <c r="DE15" s="151">
        <v>0</v>
      </c>
      <c r="DF15" s="151">
        <v>0</v>
      </c>
      <c r="DG15" s="151">
        <v>0</v>
      </c>
      <c r="DH15" s="151">
        <v>0</v>
      </c>
      <c r="DI15" s="151">
        <v>0</v>
      </c>
      <c r="DJ15" s="151">
        <v>0</v>
      </c>
      <c r="DK15" s="151">
        <v>0</v>
      </c>
      <c r="DL15" s="180">
        <v>0</v>
      </c>
      <c r="DM15" s="151">
        <v>0</v>
      </c>
      <c r="DN15" s="151">
        <v>0</v>
      </c>
      <c r="DO15" s="151">
        <v>0</v>
      </c>
      <c r="DP15" s="151">
        <v>0</v>
      </c>
      <c r="DQ15" s="151">
        <v>0</v>
      </c>
      <c r="DR15" s="151">
        <v>0</v>
      </c>
      <c r="DS15" s="151">
        <v>0</v>
      </c>
      <c r="DT15" s="151">
        <v>0</v>
      </c>
      <c r="DU15" s="151">
        <v>0</v>
      </c>
      <c r="DV15" s="151">
        <v>0</v>
      </c>
      <c r="DW15" s="151">
        <v>0</v>
      </c>
      <c r="DX15" s="151">
        <v>0</v>
      </c>
      <c r="DY15" s="151">
        <v>0</v>
      </c>
      <c r="DZ15" s="180">
        <v>0</v>
      </c>
      <c r="EA15" s="151">
        <v>0</v>
      </c>
      <c r="EB15" s="151">
        <v>0</v>
      </c>
      <c r="EC15" s="151">
        <v>0</v>
      </c>
      <c r="ED15" s="151">
        <v>0</v>
      </c>
      <c r="EE15" s="151">
        <v>0</v>
      </c>
      <c r="EF15" s="151">
        <v>0</v>
      </c>
      <c r="EG15" s="151">
        <v>0</v>
      </c>
      <c r="EH15" s="151">
        <v>0</v>
      </c>
      <c r="EI15" s="151">
        <v>0</v>
      </c>
      <c r="EJ15" s="151">
        <v>0</v>
      </c>
      <c r="EK15" s="151">
        <v>0</v>
      </c>
      <c r="EL15" s="151">
        <v>0</v>
      </c>
      <c r="EM15" s="151">
        <v>0</v>
      </c>
      <c r="EN15" s="169">
        <v>0</v>
      </c>
      <c r="EO15" s="169">
        <v>0</v>
      </c>
      <c r="EP15" s="169">
        <v>3</v>
      </c>
      <c r="EQ15" s="169">
        <v>0</v>
      </c>
      <c r="ER15" s="255">
        <f t="shared" si="5"/>
        <v>3</v>
      </c>
      <c r="ES15" s="151">
        <v>0</v>
      </c>
      <c r="ET15" s="151">
        <v>0</v>
      </c>
      <c r="EU15" s="151">
        <v>0</v>
      </c>
      <c r="EV15" s="151">
        <v>0</v>
      </c>
      <c r="EW15" s="151">
        <v>0</v>
      </c>
      <c r="EX15" s="151">
        <v>0</v>
      </c>
      <c r="EY15" s="150">
        <v>0</v>
      </c>
      <c r="EZ15" s="150">
        <v>0</v>
      </c>
      <c r="FA15" s="150">
        <v>0</v>
      </c>
      <c r="FB15" s="150">
        <v>0</v>
      </c>
      <c r="FC15" s="150">
        <v>0</v>
      </c>
      <c r="FD15" s="150">
        <v>0</v>
      </c>
      <c r="FE15" s="150">
        <v>0</v>
      </c>
      <c r="FF15" s="150">
        <v>0</v>
      </c>
      <c r="FG15">
        <v>0</v>
      </c>
    </row>
    <row r="16" spans="1:163" x14ac:dyDescent="0.25">
      <c r="A16" t="s">
        <v>162</v>
      </c>
      <c r="B16" t="s">
        <v>608</v>
      </c>
      <c r="C16" s="144"/>
      <c r="D16" s="151">
        <v>0</v>
      </c>
      <c r="E16" s="151">
        <v>0</v>
      </c>
      <c r="F16" s="151">
        <v>0</v>
      </c>
      <c r="G16" s="151">
        <v>0</v>
      </c>
      <c r="H16" s="151">
        <v>0</v>
      </c>
      <c r="I16" s="151">
        <v>0</v>
      </c>
      <c r="J16" s="151">
        <v>0</v>
      </c>
      <c r="K16" s="151">
        <v>0</v>
      </c>
      <c r="L16" s="151">
        <v>0</v>
      </c>
      <c r="M16" s="151">
        <v>0</v>
      </c>
      <c r="N16" s="151">
        <v>0</v>
      </c>
      <c r="O16" s="151">
        <v>0</v>
      </c>
      <c r="P16" s="151">
        <v>0.25</v>
      </c>
      <c r="Q16" s="151">
        <v>0</v>
      </c>
      <c r="R16" s="180">
        <v>0</v>
      </c>
      <c r="S16" s="151">
        <v>0</v>
      </c>
      <c r="T16" s="151">
        <v>0</v>
      </c>
      <c r="U16" s="151">
        <v>0</v>
      </c>
      <c r="V16" s="151">
        <v>0</v>
      </c>
      <c r="W16" s="151">
        <v>0</v>
      </c>
      <c r="X16" s="151">
        <v>0</v>
      </c>
      <c r="Y16" s="151">
        <v>0</v>
      </c>
      <c r="Z16" s="151">
        <v>0</v>
      </c>
      <c r="AA16" s="151">
        <v>0</v>
      </c>
      <c r="AB16" s="151">
        <v>0</v>
      </c>
      <c r="AC16" s="151">
        <v>0</v>
      </c>
      <c r="AD16" s="151">
        <v>9.2999999999999999E-2</v>
      </c>
      <c r="AE16" s="151">
        <v>0</v>
      </c>
      <c r="AF16" s="180">
        <v>0</v>
      </c>
      <c r="AG16" s="151">
        <v>0</v>
      </c>
      <c r="AH16" s="151">
        <v>0</v>
      </c>
      <c r="AI16" s="151">
        <v>0</v>
      </c>
      <c r="AJ16" s="151">
        <v>0</v>
      </c>
      <c r="AK16" s="151">
        <v>0</v>
      </c>
      <c r="AL16" s="151">
        <v>0</v>
      </c>
      <c r="AM16" s="151">
        <v>0</v>
      </c>
      <c r="AN16" s="151">
        <v>0</v>
      </c>
      <c r="AO16" s="151">
        <v>0</v>
      </c>
      <c r="AP16" s="151">
        <v>0</v>
      </c>
      <c r="AQ16" s="151">
        <v>0</v>
      </c>
      <c r="AR16" s="151">
        <v>0.107</v>
      </c>
      <c r="AS16" s="151">
        <v>0</v>
      </c>
      <c r="AT16" s="180">
        <v>0</v>
      </c>
      <c r="AU16" s="151">
        <v>0</v>
      </c>
      <c r="AV16" s="151">
        <v>0</v>
      </c>
      <c r="AW16" s="151">
        <v>0</v>
      </c>
      <c r="AX16" s="151">
        <v>0</v>
      </c>
      <c r="AY16" s="151">
        <v>0</v>
      </c>
      <c r="AZ16" s="151">
        <v>0</v>
      </c>
      <c r="BA16" s="151">
        <v>0</v>
      </c>
      <c r="BB16" s="151">
        <v>0</v>
      </c>
      <c r="BC16" s="151">
        <v>0</v>
      </c>
      <c r="BD16" s="151">
        <v>0</v>
      </c>
      <c r="BE16" s="151">
        <v>0</v>
      </c>
      <c r="BF16" s="182">
        <v>0</v>
      </c>
      <c r="BG16" s="181">
        <v>0</v>
      </c>
      <c r="BH16" s="180">
        <v>0</v>
      </c>
      <c r="BI16" s="151">
        <v>0</v>
      </c>
      <c r="BJ16" s="151">
        <v>0</v>
      </c>
      <c r="BK16" s="151">
        <v>0</v>
      </c>
      <c r="BL16" s="151">
        <v>0</v>
      </c>
      <c r="BM16" s="151">
        <v>0</v>
      </c>
      <c r="BN16" s="151">
        <v>0</v>
      </c>
      <c r="BO16" s="151">
        <v>0</v>
      </c>
      <c r="BP16" s="151">
        <v>0</v>
      </c>
      <c r="BQ16" s="151">
        <v>0</v>
      </c>
      <c r="BR16" s="151">
        <v>0</v>
      </c>
      <c r="BS16" s="151">
        <v>0</v>
      </c>
      <c r="BT16" s="151">
        <v>0</v>
      </c>
      <c r="BU16" s="151">
        <v>0</v>
      </c>
      <c r="BV16" s="180">
        <v>0</v>
      </c>
      <c r="BW16" s="151">
        <v>0</v>
      </c>
      <c r="BX16" s="151">
        <v>0</v>
      </c>
      <c r="BY16" s="151">
        <v>0</v>
      </c>
      <c r="BZ16" s="151">
        <v>0</v>
      </c>
      <c r="CA16" s="151">
        <v>0</v>
      </c>
      <c r="CB16" s="151">
        <v>0</v>
      </c>
      <c r="CC16" s="151">
        <v>0</v>
      </c>
      <c r="CD16" s="151">
        <v>0</v>
      </c>
      <c r="CE16" s="151">
        <v>0</v>
      </c>
      <c r="CF16" s="151">
        <v>0</v>
      </c>
      <c r="CG16" s="151">
        <v>0</v>
      </c>
      <c r="CH16" s="151">
        <v>0</v>
      </c>
      <c r="CI16" s="151">
        <v>0</v>
      </c>
      <c r="CJ16" s="180">
        <v>0</v>
      </c>
      <c r="CK16" s="151">
        <v>0</v>
      </c>
      <c r="CL16" s="151">
        <v>0</v>
      </c>
      <c r="CM16" s="151">
        <v>0</v>
      </c>
      <c r="CN16" s="151">
        <v>0</v>
      </c>
      <c r="CO16" s="151">
        <v>0</v>
      </c>
      <c r="CP16" s="151">
        <v>0</v>
      </c>
      <c r="CQ16" s="151">
        <v>0</v>
      </c>
      <c r="CR16" s="151">
        <v>0</v>
      </c>
      <c r="CS16" s="151">
        <v>0</v>
      </c>
      <c r="CT16" s="151">
        <v>0</v>
      </c>
      <c r="CU16" s="151">
        <v>0</v>
      </c>
      <c r="CV16" s="151">
        <v>0</v>
      </c>
      <c r="CW16" s="151">
        <v>0</v>
      </c>
      <c r="CX16" s="151">
        <v>0</v>
      </c>
      <c r="CY16" s="151">
        <v>0</v>
      </c>
      <c r="CZ16" s="151">
        <v>0</v>
      </c>
      <c r="DA16" s="151">
        <v>0</v>
      </c>
      <c r="DB16" s="151">
        <v>0</v>
      </c>
      <c r="DC16" s="151">
        <v>0</v>
      </c>
      <c r="DD16" s="151">
        <v>0</v>
      </c>
      <c r="DE16" s="151">
        <v>0</v>
      </c>
      <c r="DF16" s="151">
        <v>0</v>
      </c>
      <c r="DG16" s="151">
        <v>0</v>
      </c>
      <c r="DH16" s="151">
        <v>0</v>
      </c>
      <c r="DI16" s="151">
        <v>0</v>
      </c>
      <c r="DJ16" s="151">
        <v>0</v>
      </c>
      <c r="DK16" s="151">
        <v>0</v>
      </c>
      <c r="DL16" s="180">
        <v>0</v>
      </c>
      <c r="DM16" s="151">
        <v>0</v>
      </c>
      <c r="DN16" s="151">
        <v>0</v>
      </c>
      <c r="DO16" s="151">
        <v>0</v>
      </c>
      <c r="DP16" s="151">
        <v>0</v>
      </c>
      <c r="DQ16" s="151">
        <v>0</v>
      </c>
      <c r="DR16" s="151">
        <v>0</v>
      </c>
      <c r="DS16" s="151">
        <v>0</v>
      </c>
      <c r="DT16" s="151">
        <v>0</v>
      </c>
      <c r="DU16" s="151">
        <v>0</v>
      </c>
      <c r="DV16" s="151">
        <v>0</v>
      </c>
      <c r="DW16" s="151">
        <v>0</v>
      </c>
      <c r="DX16" s="151">
        <v>0</v>
      </c>
      <c r="DY16" s="151">
        <v>0</v>
      </c>
      <c r="DZ16" s="180">
        <v>0</v>
      </c>
      <c r="EA16" s="151">
        <v>0</v>
      </c>
      <c r="EB16" s="151">
        <v>0</v>
      </c>
      <c r="EC16" s="151">
        <v>0</v>
      </c>
      <c r="ED16" s="151">
        <v>0</v>
      </c>
      <c r="EE16" s="151">
        <v>0</v>
      </c>
      <c r="EF16" s="151">
        <v>0</v>
      </c>
      <c r="EG16" s="151">
        <v>0</v>
      </c>
      <c r="EH16" s="151">
        <v>0</v>
      </c>
      <c r="EI16" s="151">
        <v>0</v>
      </c>
      <c r="EJ16" s="151">
        <v>0</v>
      </c>
      <c r="EK16" s="151">
        <v>0</v>
      </c>
      <c r="EL16" s="151">
        <v>0</v>
      </c>
      <c r="EM16" s="151">
        <v>0</v>
      </c>
      <c r="EN16" s="169">
        <v>0.45</v>
      </c>
      <c r="EO16" s="169">
        <v>0</v>
      </c>
      <c r="EP16" s="169">
        <v>0</v>
      </c>
      <c r="EQ16" s="169">
        <v>0</v>
      </c>
      <c r="ER16" s="255">
        <f t="shared" si="5"/>
        <v>0.45</v>
      </c>
      <c r="ES16" s="151">
        <v>0</v>
      </c>
      <c r="ET16" s="151">
        <v>0</v>
      </c>
      <c r="EU16" s="151">
        <v>0</v>
      </c>
      <c r="EV16" s="151">
        <v>0</v>
      </c>
      <c r="EW16" s="151">
        <v>0</v>
      </c>
      <c r="EX16" s="151">
        <v>0</v>
      </c>
      <c r="EY16" s="150">
        <v>0</v>
      </c>
      <c r="EZ16" s="150">
        <v>0</v>
      </c>
      <c r="FA16" s="150">
        <v>0</v>
      </c>
      <c r="FB16" s="150">
        <v>0</v>
      </c>
      <c r="FC16" s="150">
        <v>0</v>
      </c>
      <c r="FD16" s="150">
        <v>0</v>
      </c>
      <c r="FE16" s="150">
        <v>0</v>
      </c>
      <c r="FF16" s="150">
        <v>0</v>
      </c>
      <c r="FG16">
        <v>0</v>
      </c>
    </row>
    <row r="17" spans="1:163" x14ac:dyDescent="0.25">
      <c r="A17" t="s">
        <v>145</v>
      </c>
      <c r="B17" t="s">
        <v>1666</v>
      </c>
      <c r="C17" s="144"/>
      <c r="D17" s="151">
        <v>0</v>
      </c>
      <c r="E17" s="151">
        <v>0</v>
      </c>
      <c r="F17" s="151">
        <v>0</v>
      </c>
      <c r="G17" s="151">
        <v>0</v>
      </c>
      <c r="H17" s="151">
        <v>0</v>
      </c>
      <c r="I17" s="151">
        <v>0</v>
      </c>
      <c r="J17" s="151">
        <v>0.27</v>
      </c>
      <c r="K17" s="151">
        <v>0</v>
      </c>
      <c r="L17" s="151">
        <v>0</v>
      </c>
      <c r="M17" s="151">
        <v>0</v>
      </c>
      <c r="N17" s="151">
        <v>0</v>
      </c>
      <c r="O17" s="151">
        <v>0.32</v>
      </c>
      <c r="P17" s="151">
        <v>0</v>
      </c>
      <c r="Q17" s="151">
        <v>0</v>
      </c>
      <c r="R17" s="180">
        <v>0</v>
      </c>
      <c r="S17" s="151">
        <v>0</v>
      </c>
      <c r="T17" s="151">
        <v>0</v>
      </c>
      <c r="U17" s="151">
        <v>0</v>
      </c>
      <c r="V17" s="151">
        <v>0</v>
      </c>
      <c r="W17" s="151">
        <v>0</v>
      </c>
      <c r="X17" s="151">
        <v>0.27</v>
      </c>
      <c r="Y17" s="151">
        <v>0</v>
      </c>
      <c r="Z17" s="151">
        <v>0</v>
      </c>
      <c r="AA17" s="151">
        <v>0</v>
      </c>
      <c r="AB17" s="151">
        <v>0</v>
      </c>
      <c r="AC17" s="151">
        <v>0.32</v>
      </c>
      <c r="AD17" s="151">
        <v>0</v>
      </c>
      <c r="AE17" s="151">
        <v>0</v>
      </c>
      <c r="AF17" s="180">
        <v>0</v>
      </c>
      <c r="AG17" s="151">
        <v>0</v>
      </c>
      <c r="AH17" s="151">
        <v>0</v>
      </c>
      <c r="AI17" s="151">
        <v>0</v>
      </c>
      <c r="AJ17" s="151">
        <v>0</v>
      </c>
      <c r="AK17" s="151">
        <v>0</v>
      </c>
      <c r="AL17" s="151">
        <v>0.27</v>
      </c>
      <c r="AM17" s="151">
        <v>0</v>
      </c>
      <c r="AN17" s="151">
        <v>0</v>
      </c>
      <c r="AO17" s="151">
        <v>0</v>
      </c>
      <c r="AP17" s="151">
        <v>0</v>
      </c>
      <c r="AQ17" s="151">
        <v>0</v>
      </c>
      <c r="AR17" s="151">
        <v>0</v>
      </c>
      <c r="AS17" s="151">
        <v>0</v>
      </c>
      <c r="AT17" s="180">
        <v>0</v>
      </c>
      <c r="AU17" s="151">
        <v>0</v>
      </c>
      <c r="AV17" s="151">
        <v>0</v>
      </c>
      <c r="AW17" s="151">
        <v>0</v>
      </c>
      <c r="AX17" s="151">
        <v>0</v>
      </c>
      <c r="AY17" s="151">
        <v>0</v>
      </c>
      <c r="AZ17" s="151">
        <v>0</v>
      </c>
      <c r="BA17" s="151">
        <v>0</v>
      </c>
      <c r="BB17" s="151">
        <v>0</v>
      </c>
      <c r="BC17" s="151">
        <v>0</v>
      </c>
      <c r="BD17" s="151">
        <v>0</v>
      </c>
      <c r="BE17" s="151">
        <v>0</v>
      </c>
      <c r="BF17" s="182">
        <v>0</v>
      </c>
      <c r="BG17" s="181">
        <v>0</v>
      </c>
      <c r="BH17" s="180">
        <v>0</v>
      </c>
      <c r="BI17" s="151">
        <v>0</v>
      </c>
      <c r="BJ17" s="151">
        <v>0</v>
      </c>
      <c r="BK17" s="151">
        <v>0</v>
      </c>
      <c r="BL17" s="151">
        <v>0</v>
      </c>
      <c r="BM17" s="151">
        <v>0</v>
      </c>
      <c r="BN17" s="151">
        <v>0</v>
      </c>
      <c r="BO17" s="151">
        <v>0</v>
      </c>
      <c r="BP17" s="151">
        <v>0</v>
      </c>
      <c r="BQ17" s="151">
        <v>0</v>
      </c>
      <c r="BR17" s="151">
        <v>0</v>
      </c>
      <c r="BS17" s="151">
        <v>0</v>
      </c>
      <c r="BT17" s="151">
        <v>0</v>
      </c>
      <c r="BU17" s="151">
        <v>0</v>
      </c>
      <c r="BV17" s="180">
        <v>0</v>
      </c>
      <c r="BW17" s="151">
        <v>0</v>
      </c>
      <c r="BX17" s="151">
        <v>0</v>
      </c>
      <c r="BY17" s="151">
        <v>0</v>
      </c>
      <c r="BZ17" s="151">
        <v>0</v>
      </c>
      <c r="CA17" s="151">
        <v>0</v>
      </c>
      <c r="CB17" s="151">
        <v>0</v>
      </c>
      <c r="CC17" s="151">
        <v>0</v>
      </c>
      <c r="CD17" s="151">
        <v>0</v>
      </c>
      <c r="CE17" s="151">
        <v>0</v>
      </c>
      <c r="CF17" s="151">
        <v>0</v>
      </c>
      <c r="CG17" s="151">
        <v>0</v>
      </c>
      <c r="CH17" s="151">
        <v>0</v>
      </c>
      <c r="CI17" s="151">
        <v>0</v>
      </c>
      <c r="CJ17" s="180">
        <v>0</v>
      </c>
      <c r="CK17" s="151">
        <v>0</v>
      </c>
      <c r="CL17" s="151">
        <v>0</v>
      </c>
      <c r="CM17" s="151">
        <v>0</v>
      </c>
      <c r="CN17" s="151">
        <v>0</v>
      </c>
      <c r="CO17" s="151">
        <v>0</v>
      </c>
      <c r="CP17" s="151">
        <v>0</v>
      </c>
      <c r="CQ17" s="151">
        <v>0</v>
      </c>
      <c r="CR17" s="151">
        <v>0</v>
      </c>
      <c r="CS17" s="151">
        <v>0</v>
      </c>
      <c r="CT17" s="151">
        <v>0</v>
      </c>
      <c r="CU17" s="151">
        <v>0</v>
      </c>
      <c r="CV17" s="151">
        <v>0</v>
      </c>
      <c r="CW17" s="151">
        <v>0</v>
      </c>
      <c r="CX17" s="151">
        <v>0</v>
      </c>
      <c r="CY17" s="151">
        <v>0</v>
      </c>
      <c r="CZ17" s="151">
        <v>0.6</v>
      </c>
      <c r="DA17" s="151">
        <v>0</v>
      </c>
      <c r="DB17" s="151">
        <v>0.7</v>
      </c>
      <c r="DC17" s="151">
        <v>0.6</v>
      </c>
      <c r="DD17" s="151">
        <v>0</v>
      </c>
      <c r="DE17" s="151">
        <v>0.25</v>
      </c>
      <c r="DF17" s="151">
        <v>0</v>
      </c>
      <c r="DG17" s="151">
        <v>0</v>
      </c>
      <c r="DH17" s="151">
        <v>0</v>
      </c>
      <c r="DI17" s="151">
        <v>0.16</v>
      </c>
      <c r="DJ17" s="151">
        <v>0</v>
      </c>
      <c r="DK17" s="151">
        <v>0</v>
      </c>
      <c r="DL17" s="180">
        <v>0</v>
      </c>
      <c r="DM17" s="151">
        <v>0</v>
      </c>
      <c r="DN17" s="151">
        <v>0.3</v>
      </c>
      <c r="DO17" s="151">
        <v>0</v>
      </c>
      <c r="DP17" s="151">
        <v>0.35</v>
      </c>
      <c r="DQ17" s="151">
        <v>0.15</v>
      </c>
      <c r="DR17" s="151">
        <v>0</v>
      </c>
      <c r="DS17" s="151">
        <v>0</v>
      </c>
      <c r="DT17" s="151">
        <v>0</v>
      </c>
      <c r="DU17" s="151">
        <v>0</v>
      </c>
      <c r="DV17" s="151">
        <v>0</v>
      </c>
      <c r="DW17" s="151">
        <v>0.16</v>
      </c>
      <c r="DX17" s="151">
        <v>0</v>
      </c>
      <c r="DY17" s="151">
        <v>0</v>
      </c>
      <c r="DZ17" s="180">
        <v>0</v>
      </c>
      <c r="EA17" s="151">
        <v>0</v>
      </c>
      <c r="EB17" s="151">
        <v>0.3</v>
      </c>
      <c r="EC17" s="151">
        <v>0</v>
      </c>
      <c r="ED17" s="151">
        <v>0.35</v>
      </c>
      <c r="EE17" s="151">
        <v>0.25</v>
      </c>
      <c r="EF17" s="151">
        <v>0</v>
      </c>
      <c r="EG17" s="151">
        <v>0</v>
      </c>
      <c r="EH17" s="151">
        <v>0</v>
      </c>
      <c r="EI17" s="151">
        <v>0</v>
      </c>
      <c r="EJ17" s="151">
        <v>0</v>
      </c>
      <c r="EK17" s="151">
        <v>0.16</v>
      </c>
      <c r="EL17" s="151">
        <v>0</v>
      </c>
      <c r="EM17" s="151">
        <v>0</v>
      </c>
      <c r="EN17" s="169">
        <v>0.81</v>
      </c>
      <c r="EO17" s="169">
        <v>0</v>
      </c>
      <c r="EP17" s="169">
        <v>0</v>
      </c>
      <c r="EQ17" s="169">
        <v>3.8499999999999996</v>
      </c>
      <c r="ER17" s="255">
        <f t="shared" si="5"/>
        <v>4.66</v>
      </c>
      <c r="ES17" s="150">
        <v>0</v>
      </c>
      <c r="ET17" s="150">
        <v>0</v>
      </c>
      <c r="EU17" s="150">
        <v>0</v>
      </c>
      <c r="EV17" s="150">
        <v>0</v>
      </c>
      <c r="EW17" s="150">
        <v>0</v>
      </c>
      <c r="EX17" s="150">
        <v>0</v>
      </c>
      <c r="EY17" s="150">
        <v>0</v>
      </c>
      <c r="EZ17" s="150">
        <v>0</v>
      </c>
      <c r="FA17" s="150">
        <v>0</v>
      </c>
      <c r="FB17" s="150">
        <v>0</v>
      </c>
      <c r="FC17" s="150">
        <v>0</v>
      </c>
      <c r="FD17" s="150">
        <v>1.1200000000000001</v>
      </c>
      <c r="FE17" s="150">
        <v>0</v>
      </c>
      <c r="FF17" s="150">
        <v>0</v>
      </c>
      <c r="FG17">
        <v>0</v>
      </c>
    </row>
    <row r="18" spans="1:163" x14ac:dyDescent="0.25">
      <c r="A18" t="s">
        <v>7</v>
      </c>
      <c r="B18" t="s">
        <v>1609</v>
      </c>
      <c r="C18" s="144"/>
      <c r="D18" s="151">
        <v>0</v>
      </c>
      <c r="E18" s="151">
        <v>6.0999999999999999E-2</v>
      </c>
      <c r="F18" s="151">
        <v>0</v>
      </c>
      <c r="G18" s="151">
        <v>0</v>
      </c>
      <c r="H18" s="151">
        <v>0</v>
      </c>
      <c r="I18" s="151">
        <v>0</v>
      </c>
      <c r="J18" s="151">
        <v>4.9000000000000002E-2</v>
      </c>
      <c r="K18" s="151">
        <v>0</v>
      </c>
      <c r="L18" s="151">
        <v>0</v>
      </c>
      <c r="M18" s="151">
        <v>0</v>
      </c>
      <c r="N18" s="151">
        <v>0</v>
      </c>
      <c r="O18" s="151">
        <v>0</v>
      </c>
      <c r="P18" s="151">
        <v>0</v>
      </c>
      <c r="Q18" s="151">
        <v>0</v>
      </c>
      <c r="R18" s="180">
        <v>0</v>
      </c>
      <c r="S18" s="151">
        <v>6.0999999999999999E-2</v>
      </c>
      <c r="T18" s="151">
        <v>0</v>
      </c>
      <c r="U18" s="151">
        <v>0</v>
      </c>
      <c r="V18" s="151">
        <v>0</v>
      </c>
      <c r="W18" s="151">
        <v>0</v>
      </c>
      <c r="X18" s="151">
        <v>4.9000000000000002E-2</v>
      </c>
      <c r="Y18" s="151">
        <v>0</v>
      </c>
      <c r="Z18" s="151">
        <v>0</v>
      </c>
      <c r="AA18" s="151">
        <v>0</v>
      </c>
      <c r="AB18" s="151">
        <v>0</v>
      </c>
      <c r="AC18" s="151">
        <v>0</v>
      </c>
      <c r="AD18" s="151">
        <v>4.9000000000000002E-2</v>
      </c>
      <c r="AE18" s="151">
        <v>0</v>
      </c>
      <c r="AF18" s="180">
        <v>0</v>
      </c>
      <c r="AG18" s="151">
        <v>6.0999999999999999E-2</v>
      </c>
      <c r="AH18" s="151">
        <v>0</v>
      </c>
      <c r="AI18" s="151">
        <v>0</v>
      </c>
      <c r="AJ18" s="151">
        <v>0</v>
      </c>
      <c r="AK18" s="151">
        <v>0</v>
      </c>
      <c r="AL18" s="151">
        <v>0</v>
      </c>
      <c r="AM18" s="151">
        <v>0</v>
      </c>
      <c r="AN18" s="151">
        <v>0</v>
      </c>
      <c r="AO18" s="151">
        <v>0</v>
      </c>
      <c r="AP18" s="151">
        <v>0</v>
      </c>
      <c r="AQ18" s="151">
        <v>0</v>
      </c>
      <c r="AR18" s="151">
        <v>0</v>
      </c>
      <c r="AS18" s="151">
        <v>0</v>
      </c>
      <c r="AT18" s="180">
        <v>0</v>
      </c>
      <c r="AU18" s="151">
        <v>0</v>
      </c>
      <c r="AV18" s="151">
        <v>0</v>
      </c>
      <c r="AW18" s="151">
        <v>0</v>
      </c>
      <c r="AX18" s="151">
        <v>0</v>
      </c>
      <c r="AY18" s="151">
        <v>0</v>
      </c>
      <c r="AZ18" s="151">
        <v>0</v>
      </c>
      <c r="BA18" s="151">
        <v>0</v>
      </c>
      <c r="BB18" s="151">
        <v>0</v>
      </c>
      <c r="BC18" s="151">
        <v>0</v>
      </c>
      <c r="BD18" s="151">
        <v>0</v>
      </c>
      <c r="BE18" s="151">
        <v>0</v>
      </c>
      <c r="BF18" s="182">
        <v>0</v>
      </c>
      <c r="BG18" s="181">
        <v>0</v>
      </c>
      <c r="BH18" s="180">
        <v>0</v>
      </c>
      <c r="BI18" s="151">
        <v>0</v>
      </c>
      <c r="BJ18" s="151">
        <v>0</v>
      </c>
      <c r="BK18" s="151">
        <v>0</v>
      </c>
      <c r="BL18" s="151">
        <v>0</v>
      </c>
      <c r="BM18" s="151">
        <v>0</v>
      </c>
      <c r="BN18" s="151">
        <v>0</v>
      </c>
      <c r="BO18" s="151">
        <v>0</v>
      </c>
      <c r="BP18" s="151">
        <v>0</v>
      </c>
      <c r="BQ18" s="151">
        <v>0</v>
      </c>
      <c r="BR18" s="151">
        <v>0</v>
      </c>
      <c r="BS18" s="151">
        <v>0</v>
      </c>
      <c r="BT18" s="151">
        <v>0</v>
      </c>
      <c r="BU18" s="151">
        <v>0</v>
      </c>
      <c r="BV18" s="180">
        <v>0</v>
      </c>
      <c r="BW18" s="151">
        <v>0</v>
      </c>
      <c r="BX18" s="151">
        <v>0</v>
      </c>
      <c r="BY18" s="151">
        <v>0</v>
      </c>
      <c r="BZ18" s="151">
        <v>0</v>
      </c>
      <c r="CA18" s="151">
        <v>0</v>
      </c>
      <c r="CB18" s="151">
        <v>0</v>
      </c>
      <c r="CC18" s="151">
        <v>0</v>
      </c>
      <c r="CD18" s="151">
        <v>0</v>
      </c>
      <c r="CE18" s="151">
        <v>0</v>
      </c>
      <c r="CF18" s="151">
        <v>0</v>
      </c>
      <c r="CG18" s="151">
        <v>0</v>
      </c>
      <c r="CH18" s="151">
        <v>0</v>
      </c>
      <c r="CI18" s="151">
        <v>0</v>
      </c>
      <c r="CJ18" s="180">
        <v>0</v>
      </c>
      <c r="CK18" s="151">
        <v>0</v>
      </c>
      <c r="CL18" s="151">
        <v>0</v>
      </c>
      <c r="CM18" s="151">
        <v>0</v>
      </c>
      <c r="CN18" s="151">
        <v>0</v>
      </c>
      <c r="CO18" s="151">
        <v>0</v>
      </c>
      <c r="CP18" s="151">
        <v>0</v>
      </c>
      <c r="CQ18" s="151">
        <v>0</v>
      </c>
      <c r="CR18" s="151">
        <v>0</v>
      </c>
      <c r="CS18" s="151">
        <v>0</v>
      </c>
      <c r="CT18" s="151">
        <v>0</v>
      </c>
      <c r="CU18" s="151">
        <v>0</v>
      </c>
      <c r="CV18" s="151">
        <v>0</v>
      </c>
      <c r="CW18" s="151">
        <v>0</v>
      </c>
      <c r="CX18" s="151">
        <v>0</v>
      </c>
      <c r="CY18" s="151">
        <v>0</v>
      </c>
      <c r="CZ18" s="151">
        <v>5.6000000000000001E-2</v>
      </c>
      <c r="DA18" s="151">
        <v>0</v>
      </c>
      <c r="DB18" s="151">
        <v>3.2000000000000001E-2</v>
      </c>
      <c r="DC18" s="151">
        <v>0.01</v>
      </c>
      <c r="DD18" s="151">
        <v>0</v>
      </c>
      <c r="DE18" s="151">
        <v>0</v>
      </c>
      <c r="DF18" s="151">
        <v>0</v>
      </c>
      <c r="DG18" s="151">
        <v>0</v>
      </c>
      <c r="DH18" s="151">
        <v>0</v>
      </c>
      <c r="DI18" s="151">
        <v>0</v>
      </c>
      <c r="DJ18" s="151">
        <v>0</v>
      </c>
      <c r="DK18" s="151">
        <v>0</v>
      </c>
      <c r="DL18" s="180">
        <v>0</v>
      </c>
      <c r="DM18" s="151">
        <v>0</v>
      </c>
      <c r="DN18" s="151">
        <v>0</v>
      </c>
      <c r="DO18" s="151">
        <v>0</v>
      </c>
      <c r="DP18" s="151">
        <v>3.1E-2</v>
      </c>
      <c r="DQ18" s="151">
        <v>8.9999999999999993E-3</v>
      </c>
      <c r="DR18" s="151">
        <v>0</v>
      </c>
      <c r="DS18" s="151">
        <v>0</v>
      </c>
      <c r="DT18" s="151">
        <v>0</v>
      </c>
      <c r="DU18" s="151">
        <v>0</v>
      </c>
      <c r="DV18" s="151">
        <v>0</v>
      </c>
      <c r="DW18" s="151">
        <v>0</v>
      </c>
      <c r="DX18" s="151">
        <v>0</v>
      </c>
      <c r="DY18" s="151">
        <v>0</v>
      </c>
      <c r="DZ18" s="180">
        <v>0</v>
      </c>
      <c r="EA18" s="151">
        <v>0</v>
      </c>
      <c r="EB18" s="151">
        <v>0</v>
      </c>
      <c r="EC18" s="151">
        <v>0</v>
      </c>
      <c r="ED18" s="151">
        <v>3.1E-2</v>
      </c>
      <c r="EE18" s="151">
        <v>8.9999999999999993E-3</v>
      </c>
      <c r="EF18" s="151">
        <v>0</v>
      </c>
      <c r="EG18" s="151">
        <v>0</v>
      </c>
      <c r="EH18" s="151">
        <v>0</v>
      </c>
      <c r="EI18" s="151">
        <v>0</v>
      </c>
      <c r="EJ18" s="151">
        <v>0</v>
      </c>
      <c r="EK18" s="151">
        <v>0</v>
      </c>
      <c r="EL18" s="151">
        <v>0</v>
      </c>
      <c r="EM18" s="151">
        <v>0</v>
      </c>
      <c r="EN18" s="169">
        <v>0.33</v>
      </c>
      <c r="EO18" s="169">
        <v>0</v>
      </c>
      <c r="EP18" s="169">
        <v>0</v>
      </c>
      <c r="EQ18" s="169">
        <v>0.17799999999999999</v>
      </c>
      <c r="ER18" s="255">
        <f t="shared" si="5"/>
        <v>0.50800000000000001</v>
      </c>
      <c r="ES18" s="151">
        <v>0</v>
      </c>
      <c r="ET18" s="151">
        <v>0</v>
      </c>
      <c r="EU18" s="151">
        <v>0</v>
      </c>
      <c r="EV18" s="151">
        <v>0</v>
      </c>
      <c r="EW18" s="151">
        <v>0</v>
      </c>
      <c r="EX18" s="151">
        <v>0</v>
      </c>
      <c r="EY18" s="150">
        <v>0</v>
      </c>
      <c r="EZ18" s="150">
        <v>0</v>
      </c>
      <c r="FA18" s="150">
        <v>0</v>
      </c>
      <c r="FB18" s="150">
        <v>0</v>
      </c>
      <c r="FC18" s="150">
        <v>0</v>
      </c>
      <c r="FD18" s="150">
        <v>0</v>
      </c>
      <c r="FE18" s="150">
        <v>0</v>
      </c>
      <c r="FF18" s="169">
        <v>0</v>
      </c>
      <c r="FG18">
        <v>0</v>
      </c>
    </row>
    <row r="19" spans="1:163" x14ac:dyDescent="0.25">
      <c r="A19" s="126" t="s">
        <v>289</v>
      </c>
      <c r="B19" s="43" t="s">
        <v>611</v>
      </c>
      <c r="C19" s="144"/>
      <c r="D19" s="151">
        <v>0</v>
      </c>
      <c r="E19" s="151">
        <v>0</v>
      </c>
      <c r="F19" s="151">
        <v>0</v>
      </c>
      <c r="G19" s="151">
        <v>0</v>
      </c>
      <c r="H19" s="151">
        <v>0</v>
      </c>
      <c r="I19" s="151">
        <v>0</v>
      </c>
      <c r="J19" s="151">
        <v>0</v>
      </c>
      <c r="K19" s="151">
        <v>0</v>
      </c>
      <c r="L19" s="151">
        <v>0</v>
      </c>
      <c r="M19" s="151">
        <v>0</v>
      </c>
      <c r="N19" s="151">
        <v>0</v>
      </c>
      <c r="O19" s="151">
        <v>0</v>
      </c>
      <c r="P19" s="151">
        <v>0</v>
      </c>
      <c r="Q19" s="151">
        <v>0</v>
      </c>
      <c r="R19" s="180">
        <v>0</v>
      </c>
      <c r="S19" s="151">
        <v>0</v>
      </c>
      <c r="T19" s="151">
        <v>0</v>
      </c>
      <c r="U19" s="151">
        <v>0</v>
      </c>
      <c r="V19" s="151">
        <v>0</v>
      </c>
      <c r="W19" s="151">
        <v>0</v>
      </c>
      <c r="X19" s="151">
        <v>0</v>
      </c>
      <c r="Y19" s="151">
        <v>0</v>
      </c>
      <c r="Z19" s="151">
        <v>0</v>
      </c>
      <c r="AA19" s="151">
        <v>0</v>
      </c>
      <c r="AB19" s="151">
        <v>0</v>
      </c>
      <c r="AC19" s="151">
        <v>0</v>
      </c>
      <c r="AD19" s="151">
        <v>0</v>
      </c>
      <c r="AE19" s="151">
        <v>0</v>
      </c>
      <c r="AF19" s="180">
        <v>0</v>
      </c>
      <c r="AG19" s="151">
        <v>0</v>
      </c>
      <c r="AH19" s="151">
        <v>0</v>
      </c>
      <c r="AI19" s="151">
        <v>0</v>
      </c>
      <c r="AJ19" s="151">
        <v>0</v>
      </c>
      <c r="AK19" s="151">
        <v>0</v>
      </c>
      <c r="AL19" s="151">
        <v>0</v>
      </c>
      <c r="AM19" s="151">
        <v>0</v>
      </c>
      <c r="AN19" s="151">
        <v>0</v>
      </c>
      <c r="AO19" s="151">
        <v>0</v>
      </c>
      <c r="AP19" s="151">
        <v>0</v>
      </c>
      <c r="AQ19" s="151">
        <v>0</v>
      </c>
      <c r="AR19" s="151">
        <v>0</v>
      </c>
      <c r="AS19" s="151">
        <v>0</v>
      </c>
      <c r="AT19" s="180">
        <v>0</v>
      </c>
      <c r="AU19" s="151">
        <v>0</v>
      </c>
      <c r="AV19" s="151">
        <v>0</v>
      </c>
      <c r="AW19" s="151">
        <v>0</v>
      </c>
      <c r="AX19" s="151">
        <v>0</v>
      </c>
      <c r="AY19" s="151">
        <v>0</v>
      </c>
      <c r="AZ19" s="151">
        <v>0</v>
      </c>
      <c r="BA19" s="151">
        <v>0</v>
      </c>
      <c r="BB19" s="151">
        <v>0</v>
      </c>
      <c r="BC19" s="151">
        <v>0</v>
      </c>
      <c r="BD19" s="151">
        <v>0</v>
      </c>
      <c r="BE19" s="151">
        <v>0</v>
      </c>
      <c r="BF19" s="182">
        <v>0</v>
      </c>
      <c r="BG19" s="181">
        <v>0</v>
      </c>
      <c r="BH19" s="180">
        <v>0</v>
      </c>
      <c r="BI19" s="151">
        <v>0</v>
      </c>
      <c r="BJ19" s="151">
        <v>3.5000000000000003E-2</v>
      </c>
      <c r="BK19" s="151">
        <v>0</v>
      </c>
      <c r="BL19" s="151">
        <v>0</v>
      </c>
      <c r="BM19" s="151">
        <v>0</v>
      </c>
      <c r="BN19" s="151">
        <v>0</v>
      </c>
      <c r="BO19" s="151">
        <v>0</v>
      </c>
      <c r="BP19" s="151">
        <v>0</v>
      </c>
      <c r="BQ19" s="151">
        <v>0</v>
      </c>
      <c r="BR19" s="151">
        <v>0</v>
      </c>
      <c r="BS19" s="151">
        <v>0</v>
      </c>
      <c r="BT19" s="151">
        <v>0</v>
      </c>
      <c r="BU19" s="151">
        <v>0</v>
      </c>
      <c r="BV19" s="180">
        <v>0</v>
      </c>
      <c r="BW19" s="151">
        <v>0</v>
      </c>
      <c r="BX19" s="151">
        <v>3.5999999999999997E-2</v>
      </c>
      <c r="BY19" s="151">
        <v>0</v>
      </c>
      <c r="BZ19" s="151">
        <v>0</v>
      </c>
      <c r="CA19" s="151">
        <v>0</v>
      </c>
      <c r="CB19" s="151">
        <v>0</v>
      </c>
      <c r="CC19" s="151">
        <v>0</v>
      </c>
      <c r="CD19" s="151">
        <v>0</v>
      </c>
      <c r="CE19" s="151">
        <v>0</v>
      </c>
      <c r="CF19" s="151">
        <v>0</v>
      </c>
      <c r="CG19" s="151">
        <v>0</v>
      </c>
      <c r="CH19" s="151">
        <v>0</v>
      </c>
      <c r="CI19" s="151">
        <v>0</v>
      </c>
      <c r="CJ19" s="180">
        <v>0</v>
      </c>
      <c r="CK19" s="151">
        <v>0</v>
      </c>
      <c r="CL19" s="151">
        <v>0</v>
      </c>
      <c r="CM19" s="151">
        <v>0</v>
      </c>
      <c r="CN19" s="151">
        <v>0</v>
      </c>
      <c r="CO19" s="151">
        <v>0</v>
      </c>
      <c r="CP19" s="151">
        <v>0</v>
      </c>
      <c r="CQ19" s="151">
        <v>0</v>
      </c>
      <c r="CR19" s="151">
        <v>0</v>
      </c>
      <c r="CS19" s="151">
        <v>0</v>
      </c>
      <c r="CT19" s="151">
        <v>0</v>
      </c>
      <c r="CU19" s="151">
        <v>0</v>
      </c>
      <c r="CV19" s="151">
        <v>0</v>
      </c>
      <c r="CW19" s="151">
        <v>0</v>
      </c>
      <c r="CX19" s="151">
        <v>0</v>
      </c>
      <c r="CY19" s="151">
        <v>0</v>
      </c>
      <c r="CZ19" s="151">
        <v>0</v>
      </c>
      <c r="DA19" s="151">
        <v>0</v>
      </c>
      <c r="DB19" s="151">
        <v>0.14299999999999999</v>
      </c>
      <c r="DC19" s="151">
        <v>0</v>
      </c>
      <c r="DD19" s="151">
        <v>0</v>
      </c>
      <c r="DE19" s="151">
        <v>0</v>
      </c>
      <c r="DF19" s="151">
        <v>0.11</v>
      </c>
      <c r="DG19" s="151">
        <v>0</v>
      </c>
      <c r="DH19" s="151">
        <v>0</v>
      </c>
      <c r="DI19" s="151">
        <v>0</v>
      </c>
      <c r="DJ19" s="151">
        <v>0</v>
      </c>
      <c r="DK19" s="151">
        <v>0</v>
      </c>
      <c r="DL19" s="180">
        <v>0</v>
      </c>
      <c r="DM19" s="151">
        <v>0</v>
      </c>
      <c r="DN19" s="151">
        <v>0</v>
      </c>
      <c r="DO19" s="151">
        <v>0</v>
      </c>
      <c r="DP19" s="151">
        <v>0.14299999999999999</v>
      </c>
      <c r="DQ19" s="151">
        <v>0</v>
      </c>
      <c r="DR19" s="151">
        <v>0</v>
      </c>
      <c r="DS19" s="151">
        <v>0</v>
      </c>
      <c r="DT19" s="151">
        <v>0.111</v>
      </c>
      <c r="DU19" s="151">
        <v>0</v>
      </c>
      <c r="DV19" s="151">
        <v>0</v>
      </c>
      <c r="DW19" s="151">
        <v>0</v>
      </c>
      <c r="DX19" s="151">
        <v>0</v>
      </c>
      <c r="DY19" s="151">
        <v>0</v>
      </c>
      <c r="DZ19" s="180">
        <v>0</v>
      </c>
      <c r="EA19" s="151">
        <v>0</v>
      </c>
      <c r="EB19" s="151">
        <v>0</v>
      </c>
      <c r="EC19" s="151">
        <v>0</v>
      </c>
      <c r="ED19" s="151">
        <v>0</v>
      </c>
      <c r="EE19" s="151">
        <v>0</v>
      </c>
      <c r="EF19" s="151">
        <v>0</v>
      </c>
      <c r="EG19" s="151">
        <v>0</v>
      </c>
      <c r="EH19" s="151">
        <v>0</v>
      </c>
      <c r="EI19" s="151">
        <v>0</v>
      </c>
      <c r="EJ19" s="151">
        <v>0</v>
      </c>
      <c r="EK19" s="151">
        <v>0</v>
      </c>
      <c r="EL19" s="151">
        <v>0</v>
      </c>
      <c r="EM19" s="151">
        <v>0</v>
      </c>
      <c r="EN19" s="169">
        <v>0</v>
      </c>
      <c r="EO19" s="169">
        <v>0</v>
      </c>
      <c r="EP19" s="169">
        <v>0</v>
      </c>
      <c r="EQ19" s="169">
        <v>0</v>
      </c>
      <c r="ER19" s="255">
        <f t="shared" si="5"/>
        <v>0</v>
      </c>
      <c r="ES19" s="151">
        <v>0</v>
      </c>
      <c r="ET19" s="151">
        <v>0</v>
      </c>
      <c r="EU19" s="151">
        <v>7.1000000000000008E-2</v>
      </c>
      <c r="EV19" s="151">
        <v>0</v>
      </c>
      <c r="EW19" s="151">
        <v>0.28599999999999998</v>
      </c>
      <c r="EX19" s="151">
        <v>0</v>
      </c>
      <c r="EY19" s="150">
        <v>0</v>
      </c>
      <c r="EZ19" s="150">
        <v>0</v>
      </c>
      <c r="FA19" s="150">
        <v>0.221</v>
      </c>
      <c r="FB19" s="150">
        <v>0</v>
      </c>
      <c r="FC19" s="150">
        <v>0</v>
      </c>
      <c r="FD19" s="150">
        <v>0</v>
      </c>
      <c r="FE19" s="150">
        <v>0</v>
      </c>
      <c r="FF19" s="150">
        <v>0</v>
      </c>
      <c r="FG19">
        <v>0</v>
      </c>
    </row>
    <row r="20" spans="1:163" x14ac:dyDescent="0.25">
      <c r="A20" t="s">
        <v>146</v>
      </c>
      <c r="B20" t="s">
        <v>1667</v>
      </c>
      <c r="C20" s="144"/>
      <c r="D20" s="151">
        <v>0</v>
      </c>
      <c r="E20" s="151">
        <v>0</v>
      </c>
      <c r="F20" s="151">
        <v>0</v>
      </c>
      <c r="G20" s="151">
        <v>0</v>
      </c>
      <c r="H20" s="151">
        <v>0</v>
      </c>
      <c r="I20" s="151">
        <v>0</v>
      </c>
      <c r="J20" s="151">
        <v>1</v>
      </c>
      <c r="K20" s="151">
        <v>0</v>
      </c>
      <c r="L20" s="151">
        <v>0</v>
      </c>
      <c r="M20" s="151">
        <v>0</v>
      </c>
      <c r="N20" s="151">
        <v>0</v>
      </c>
      <c r="O20" s="151">
        <v>0</v>
      </c>
      <c r="P20" s="151">
        <v>0</v>
      </c>
      <c r="Q20" s="151">
        <v>0</v>
      </c>
      <c r="R20" s="180">
        <v>0</v>
      </c>
      <c r="S20" s="151">
        <v>0</v>
      </c>
      <c r="T20" s="151">
        <v>0</v>
      </c>
      <c r="U20" s="151">
        <v>0</v>
      </c>
      <c r="V20" s="151">
        <v>0</v>
      </c>
      <c r="W20" s="151">
        <v>0</v>
      </c>
      <c r="X20" s="151">
        <v>0</v>
      </c>
      <c r="Y20" s="151">
        <v>0</v>
      </c>
      <c r="Z20" s="151">
        <v>0</v>
      </c>
      <c r="AA20" s="151">
        <v>0</v>
      </c>
      <c r="AB20" s="151">
        <v>0</v>
      </c>
      <c r="AC20" s="151">
        <v>0</v>
      </c>
      <c r="AD20" s="151">
        <v>0</v>
      </c>
      <c r="AE20" s="151">
        <v>0</v>
      </c>
      <c r="AF20" s="180">
        <v>0</v>
      </c>
      <c r="AG20" s="151">
        <v>0</v>
      </c>
      <c r="AH20" s="151">
        <v>0</v>
      </c>
      <c r="AI20" s="151">
        <v>0</v>
      </c>
      <c r="AJ20" s="151">
        <v>0</v>
      </c>
      <c r="AK20" s="151">
        <v>0</v>
      </c>
      <c r="AL20" s="151">
        <v>0</v>
      </c>
      <c r="AM20" s="151">
        <v>0</v>
      </c>
      <c r="AN20" s="151">
        <v>0</v>
      </c>
      <c r="AO20" s="151">
        <v>0</v>
      </c>
      <c r="AP20" s="151">
        <v>0</v>
      </c>
      <c r="AQ20" s="151">
        <v>0</v>
      </c>
      <c r="AR20" s="151">
        <v>0</v>
      </c>
      <c r="AS20" s="151">
        <v>0</v>
      </c>
      <c r="AT20" s="180">
        <v>0</v>
      </c>
      <c r="AU20" s="151">
        <v>0</v>
      </c>
      <c r="AV20" s="151">
        <v>0</v>
      </c>
      <c r="AW20" s="151">
        <v>0</v>
      </c>
      <c r="AX20" s="151">
        <v>0</v>
      </c>
      <c r="AY20" s="151">
        <v>0</v>
      </c>
      <c r="AZ20" s="151">
        <v>0</v>
      </c>
      <c r="BA20" s="151">
        <v>0</v>
      </c>
      <c r="BB20" s="151">
        <v>0</v>
      </c>
      <c r="BC20" s="151">
        <v>0</v>
      </c>
      <c r="BD20" s="151">
        <v>0</v>
      </c>
      <c r="BE20" s="151">
        <v>0</v>
      </c>
      <c r="BF20" s="182">
        <v>0</v>
      </c>
      <c r="BG20" s="181">
        <v>0</v>
      </c>
      <c r="BH20" s="180">
        <v>0</v>
      </c>
      <c r="BI20" s="151">
        <v>0</v>
      </c>
      <c r="BJ20" s="151">
        <v>0</v>
      </c>
      <c r="BK20" s="151">
        <v>0</v>
      </c>
      <c r="BL20" s="151">
        <v>0</v>
      </c>
      <c r="BM20" s="151">
        <v>0</v>
      </c>
      <c r="BN20" s="151">
        <v>0</v>
      </c>
      <c r="BO20" s="151">
        <v>0</v>
      </c>
      <c r="BP20" s="151">
        <v>0</v>
      </c>
      <c r="BQ20" s="151">
        <v>0</v>
      </c>
      <c r="BR20" s="151">
        <v>0</v>
      </c>
      <c r="BS20" s="151">
        <v>0</v>
      </c>
      <c r="BT20" s="151">
        <v>0</v>
      </c>
      <c r="BU20" s="151">
        <v>0</v>
      </c>
      <c r="BV20" s="180">
        <v>0</v>
      </c>
      <c r="BW20" s="151">
        <v>0</v>
      </c>
      <c r="BX20" s="151">
        <v>0</v>
      </c>
      <c r="BY20" s="151">
        <v>0</v>
      </c>
      <c r="BZ20" s="151">
        <v>0</v>
      </c>
      <c r="CA20" s="151">
        <v>0</v>
      </c>
      <c r="CB20" s="151">
        <v>0</v>
      </c>
      <c r="CC20" s="151">
        <v>0</v>
      </c>
      <c r="CD20" s="151">
        <v>0</v>
      </c>
      <c r="CE20" s="151">
        <v>0</v>
      </c>
      <c r="CF20" s="151">
        <v>0</v>
      </c>
      <c r="CG20" s="151">
        <v>0</v>
      </c>
      <c r="CH20" s="151">
        <v>0</v>
      </c>
      <c r="CI20" s="151">
        <v>0</v>
      </c>
      <c r="CJ20" s="180">
        <v>0</v>
      </c>
      <c r="CK20" s="151">
        <v>0</v>
      </c>
      <c r="CL20" s="151">
        <v>0</v>
      </c>
      <c r="CM20" s="151">
        <v>0</v>
      </c>
      <c r="CN20" s="151">
        <v>0</v>
      </c>
      <c r="CO20" s="151">
        <v>0</v>
      </c>
      <c r="CP20" s="151">
        <v>0</v>
      </c>
      <c r="CQ20" s="151">
        <v>0</v>
      </c>
      <c r="CR20" s="151">
        <v>0</v>
      </c>
      <c r="CS20" s="151">
        <v>0</v>
      </c>
      <c r="CT20" s="151">
        <v>0</v>
      </c>
      <c r="CU20" s="151">
        <v>0</v>
      </c>
      <c r="CV20" s="151">
        <v>0</v>
      </c>
      <c r="CW20" s="151">
        <v>0</v>
      </c>
      <c r="CX20" s="151">
        <v>0</v>
      </c>
      <c r="CY20" s="151">
        <v>0</v>
      </c>
      <c r="CZ20" s="151">
        <v>0.5</v>
      </c>
      <c r="DA20" s="151">
        <v>0</v>
      </c>
      <c r="DB20" s="151">
        <v>1</v>
      </c>
      <c r="DC20" s="151">
        <v>0.5</v>
      </c>
      <c r="DD20" s="151">
        <v>0</v>
      </c>
      <c r="DE20" s="151">
        <v>0.125</v>
      </c>
      <c r="DF20" s="151">
        <v>0</v>
      </c>
      <c r="DG20" s="151">
        <v>0</v>
      </c>
      <c r="DH20" s="151">
        <v>0</v>
      </c>
      <c r="DI20" s="151">
        <v>0</v>
      </c>
      <c r="DJ20" s="151">
        <v>0</v>
      </c>
      <c r="DK20" s="151">
        <v>0</v>
      </c>
      <c r="DL20" s="180">
        <v>0</v>
      </c>
      <c r="DM20" s="151">
        <v>0</v>
      </c>
      <c r="DN20" s="151">
        <v>0.3</v>
      </c>
      <c r="DO20" s="151">
        <v>0</v>
      </c>
      <c r="DP20" s="151">
        <v>0.6</v>
      </c>
      <c r="DQ20" s="151">
        <v>0.3</v>
      </c>
      <c r="DR20" s="151">
        <v>0</v>
      </c>
      <c r="DS20" s="151">
        <v>0</v>
      </c>
      <c r="DT20" s="151">
        <v>0</v>
      </c>
      <c r="DU20" s="151">
        <v>0</v>
      </c>
      <c r="DV20" s="151">
        <v>0</v>
      </c>
      <c r="DW20" s="151">
        <v>0</v>
      </c>
      <c r="DX20" s="151">
        <v>0</v>
      </c>
      <c r="DY20" s="151">
        <v>0</v>
      </c>
      <c r="DZ20" s="180">
        <v>0</v>
      </c>
      <c r="EA20" s="151">
        <v>0</v>
      </c>
      <c r="EB20" s="151">
        <v>0.2</v>
      </c>
      <c r="EC20" s="151">
        <v>0</v>
      </c>
      <c r="ED20" s="151">
        <v>0.6</v>
      </c>
      <c r="EE20" s="151">
        <v>0.2</v>
      </c>
      <c r="EF20" s="151">
        <v>0</v>
      </c>
      <c r="EG20" s="151">
        <v>0</v>
      </c>
      <c r="EH20" s="151">
        <v>0</v>
      </c>
      <c r="EI20" s="151">
        <v>0</v>
      </c>
      <c r="EJ20" s="151">
        <v>0</v>
      </c>
      <c r="EK20" s="151">
        <v>0</v>
      </c>
      <c r="EL20" s="151">
        <v>0</v>
      </c>
      <c r="EM20" s="151">
        <v>0</v>
      </c>
      <c r="EN20" s="169">
        <v>1</v>
      </c>
      <c r="EO20" s="169">
        <v>0</v>
      </c>
      <c r="EP20" s="169">
        <v>0</v>
      </c>
      <c r="EQ20" s="169">
        <v>4.3250000000000002</v>
      </c>
      <c r="ER20" s="255">
        <f t="shared" si="5"/>
        <v>5.3250000000000002</v>
      </c>
      <c r="ES20" s="151">
        <v>0</v>
      </c>
      <c r="ET20" s="151">
        <v>0</v>
      </c>
      <c r="EU20" s="151">
        <v>0</v>
      </c>
      <c r="EV20" s="151">
        <v>0</v>
      </c>
      <c r="EW20" s="151">
        <v>0</v>
      </c>
      <c r="EX20" s="151">
        <v>0</v>
      </c>
      <c r="EY20" s="150">
        <v>0</v>
      </c>
      <c r="EZ20" s="150">
        <v>0</v>
      </c>
      <c r="FA20" s="150">
        <v>0</v>
      </c>
      <c r="FB20" s="150">
        <v>0</v>
      </c>
      <c r="FC20" s="150">
        <v>0</v>
      </c>
      <c r="FD20" s="150">
        <v>0</v>
      </c>
      <c r="FE20" s="150">
        <v>0</v>
      </c>
      <c r="FF20" s="150">
        <v>0</v>
      </c>
      <c r="FG20">
        <v>0</v>
      </c>
    </row>
    <row r="21" spans="1:163" x14ac:dyDescent="0.25">
      <c r="A21" t="s">
        <v>84</v>
      </c>
      <c r="B21" t="s">
        <v>1614</v>
      </c>
      <c r="C21" s="144"/>
      <c r="D21" s="151">
        <v>0</v>
      </c>
      <c r="E21" s="151">
        <v>0</v>
      </c>
      <c r="F21" s="151">
        <v>0</v>
      </c>
      <c r="G21" s="151">
        <v>0</v>
      </c>
      <c r="H21" s="151">
        <v>0</v>
      </c>
      <c r="I21" s="151">
        <v>0</v>
      </c>
      <c r="J21" s="151">
        <v>0.2</v>
      </c>
      <c r="K21" s="151">
        <v>0</v>
      </c>
      <c r="L21" s="151">
        <v>0</v>
      </c>
      <c r="M21" s="151">
        <v>0</v>
      </c>
      <c r="N21" s="151">
        <v>0</v>
      </c>
      <c r="O21" s="151">
        <v>0</v>
      </c>
      <c r="P21" s="151">
        <v>0</v>
      </c>
      <c r="Q21" s="151">
        <v>0</v>
      </c>
      <c r="R21" s="180">
        <v>0</v>
      </c>
      <c r="S21" s="151">
        <v>0</v>
      </c>
      <c r="T21" s="151">
        <v>0</v>
      </c>
      <c r="U21" s="151">
        <v>0</v>
      </c>
      <c r="V21" s="151">
        <v>0</v>
      </c>
      <c r="W21" s="151">
        <v>0</v>
      </c>
      <c r="X21" s="151">
        <v>0</v>
      </c>
      <c r="Y21" s="151">
        <v>0</v>
      </c>
      <c r="Z21" s="151">
        <v>0</v>
      </c>
      <c r="AA21" s="151">
        <v>0</v>
      </c>
      <c r="AB21" s="151">
        <v>0</v>
      </c>
      <c r="AC21" s="151">
        <v>0</v>
      </c>
      <c r="AD21" s="151">
        <v>0</v>
      </c>
      <c r="AE21" s="151">
        <v>0</v>
      </c>
      <c r="AF21" s="180">
        <v>0</v>
      </c>
      <c r="AG21" s="151">
        <v>0</v>
      </c>
      <c r="AH21" s="151">
        <v>0</v>
      </c>
      <c r="AI21" s="151">
        <v>0</v>
      </c>
      <c r="AJ21" s="151">
        <v>0</v>
      </c>
      <c r="AK21" s="151">
        <v>0</v>
      </c>
      <c r="AL21" s="151">
        <v>0</v>
      </c>
      <c r="AM21" s="151">
        <v>0</v>
      </c>
      <c r="AN21" s="151">
        <v>0</v>
      </c>
      <c r="AO21" s="151">
        <v>0</v>
      </c>
      <c r="AP21" s="151">
        <v>0</v>
      </c>
      <c r="AQ21" s="151">
        <v>0</v>
      </c>
      <c r="AR21" s="151">
        <v>0</v>
      </c>
      <c r="AS21" s="151">
        <v>0</v>
      </c>
      <c r="AT21" s="180">
        <v>0</v>
      </c>
      <c r="AU21" s="151">
        <v>0</v>
      </c>
      <c r="AV21" s="151">
        <v>0</v>
      </c>
      <c r="AW21" s="151">
        <v>0</v>
      </c>
      <c r="AX21" s="151">
        <v>0</v>
      </c>
      <c r="AY21" s="151">
        <v>0</v>
      </c>
      <c r="AZ21" s="151">
        <v>0</v>
      </c>
      <c r="BA21" s="151">
        <v>0</v>
      </c>
      <c r="BB21" s="151">
        <v>0</v>
      </c>
      <c r="BC21" s="151">
        <v>0</v>
      </c>
      <c r="BD21" s="151">
        <v>0</v>
      </c>
      <c r="BE21" s="151">
        <v>0</v>
      </c>
      <c r="BF21" s="182">
        <v>0</v>
      </c>
      <c r="BG21" s="181">
        <v>0</v>
      </c>
      <c r="BH21" s="180">
        <v>0</v>
      </c>
      <c r="BI21" s="151">
        <v>0</v>
      </c>
      <c r="BJ21" s="151">
        <v>0</v>
      </c>
      <c r="BK21" s="151">
        <v>0</v>
      </c>
      <c r="BL21" s="151">
        <v>0</v>
      </c>
      <c r="BM21" s="151">
        <v>0</v>
      </c>
      <c r="BN21" s="151">
        <v>0</v>
      </c>
      <c r="BO21" s="151">
        <v>0</v>
      </c>
      <c r="BP21" s="151">
        <v>0</v>
      </c>
      <c r="BQ21" s="151">
        <v>0</v>
      </c>
      <c r="BR21" s="151">
        <v>0</v>
      </c>
      <c r="BS21" s="151">
        <v>0</v>
      </c>
      <c r="BT21" s="151">
        <v>0</v>
      </c>
      <c r="BU21" s="151">
        <v>0</v>
      </c>
      <c r="BV21" s="180">
        <v>0</v>
      </c>
      <c r="BW21" s="151">
        <v>0</v>
      </c>
      <c r="BX21" s="151">
        <v>0</v>
      </c>
      <c r="BY21" s="151">
        <v>0</v>
      </c>
      <c r="BZ21" s="151">
        <v>0</v>
      </c>
      <c r="CA21" s="151">
        <v>0</v>
      </c>
      <c r="CB21" s="151">
        <v>0</v>
      </c>
      <c r="CC21" s="151">
        <v>0</v>
      </c>
      <c r="CD21" s="151">
        <v>0</v>
      </c>
      <c r="CE21" s="151">
        <v>0</v>
      </c>
      <c r="CF21" s="151">
        <v>0</v>
      </c>
      <c r="CG21" s="151">
        <v>0</v>
      </c>
      <c r="CH21" s="151">
        <v>0</v>
      </c>
      <c r="CI21" s="151">
        <v>0</v>
      </c>
      <c r="CJ21" s="180">
        <v>0</v>
      </c>
      <c r="CK21" s="151">
        <v>0</v>
      </c>
      <c r="CL21" s="151">
        <v>0</v>
      </c>
      <c r="CM21" s="151">
        <v>0</v>
      </c>
      <c r="CN21" s="151">
        <v>0</v>
      </c>
      <c r="CO21" s="151">
        <v>0</v>
      </c>
      <c r="CP21" s="151">
        <v>0</v>
      </c>
      <c r="CQ21" s="151">
        <v>0</v>
      </c>
      <c r="CR21" s="151">
        <v>0</v>
      </c>
      <c r="CS21" s="151">
        <v>0</v>
      </c>
      <c r="CT21" s="151">
        <v>0</v>
      </c>
      <c r="CU21" s="151">
        <v>0</v>
      </c>
      <c r="CV21" s="151">
        <v>0</v>
      </c>
      <c r="CW21" s="151">
        <v>0</v>
      </c>
      <c r="CX21" s="151">
        <v>0</v>
      </c>
      <c r="CY21" s="151">
        <v>0</v>
      </c>
      <c r="CZ21" s="151">
        <v>0.11</v>
      </c>
      <c r="DA21" s="151">
        <v>0</v>
      </c>
      <c r="DB21" s="151">
        <v>0.20599999999999999</v>
      </c>
      <c r="DC21" s="151">
        <v>0.12</v>
      </c>
      <c r="DD21" s="151">
        <v>0</v>
      </c>
      <c r="DE21" s="151">
        <v>0</v>
      </c>
      <c r="DF21" s="151">
        <v>0</v>
      </c>
      <c r="DG21" s="151">
        <v>1.21</v>
      </c>
      <c r="DH21" s="151">
        <v>0</v>
      </c>
      <c r="DI21" s="151">
        <v>0</v>
      </c>
      <c r="DJ21" s="151">
        <v>0</v>
      </c>
      <c r="DK21" s="151">
        <v>0</v>
      </c>
      <c r="DL21" s="180">
        <v>0</v>
      </c>
      <c r="DM21" s="151">
        <v>0</v>
      </c>
      <c r="DN21" s="151">
        <v>0</v>
      </c>
      <c r="DO21" s="151">
        <v>0</v>
      </c>
      <c r="DP21" s="151">
        <v>0</v>
      </c>
      <c r="DQ21" s="151">
        <v>0</v>
      </c>
      <c r="DR21" s="151">
        <v>0</v>
      </c>
      <c r="DS21" s="151">
        <v>0</v>
      </c>
      <c r="DT21" s="151">
        <v>0</v>
      </c>
      <c r="DU21" s="151">
        <v>0</v>
      </c>
      <c r="DV21" s="151">
        <v>0</v>
      </c>
      <c r="DW21" s="151">
        <v>0</v>
      </c>
      <c r="DX21" s="151">
        <v>0</v>
      </c>
      <c r="DY21" s="151">
        <v>0</v>
      </c>
      <c r="DZ21" s="180">
        <v>0</v>
      </c>
      <c r="EA21" s="151">
        <v>0</v>
      </c>
      <c r="EB21" s="151">
        <v>0</v>
      </c>
      <c r="EC21" s="151">
        <v>0</v>
      </c>
      <c r="ED21" s="151">
        <v>0</v>
      </c>
      <c r="EE21" s="151">
        <v>0</v>
      </c>
      <c r="EF21" s="151">
        <v>0</v>
      </c>
      <c r="EG21" s="151">
        <v>0</v>
      </c>
      <c r="EH21" s="151">
        <v>0</v>
      </c>
      <c r="EI21" s="151">
        <v>0</v>
      </c>
      <c r="EJ21" s="151">
        <v>0</v>
      </c>
      <c r="EK21" s="151">
        <v>0</v>
      </c>
      <c r="EL21" s="151">
        <v>0</v>
      </c>
      <c r="EM21" s="151">
        <v>0</v>
      </c>
      <c r="EN21" s="169">
        <v>0.2</v>
      </c>
      <c r="EO21" s="169">
        <v>0</v>
      </c>
      <c r="EP21" s="169">
        <v>0</v>
      </c>
      <c r="EQ21" s="169">
        <v>1.6459999999999999</v>
      </c>
      <c r="ER21" s="255">
        <f t="shared" si="5"/>
        <v>1.8459999999999999</v>
      </c>
      <c r="ES21" s="151">
        <v>0</v>
      </c>
      <c r="ET21" s="151">
        <v>0</v>
      </c>
      <c r="EU21" s="151">
        <v>0</v>
      </c>
      <c r="EV21" s="151">
        <v>0</v>
      </c>
      <c r="EW21" s="151">
        <v>0</v>
      </c>
      <c r="EX21" s="151">
        <v>0</v>
      </c>
      <c r="EY21" s="150">
        <v>0</v>
      </c>
      <c r="EZ21" s="150">
        <v>0</v>
      </c>
      <c r="FA21" s="150">
        <v>0</v>
      </c>
      <c r="FB21" s="150">
        <v>0</v>
      </c>
      <c r="FC21" s="150">
        <v>0</v>
      </c>
      <c r="FD21" s="150">
        <v>0</v>
      </c>
      <c r="FE21" s="150">
        <v>0</v>
      </c>
      <c r="FF21" s="150">
        <v>0</v>
      </c>
      <c r="FG21">
        <v>0</v>
      </c>
    </row>
    <row r="22" spans="1:163" x14ac:dyDescent="0.25">
      <c r="A22" t="s">
        <v>284</v>
      </c>
      <c r="B22" t="s">
        <v>1608</v>
      </c>
      <c r="C22" s="144"/>
      <c r="D22" s="151">
        <v>0</v>
      </c>
      <c r="E22" s="151">
        <v>1.4E-2</v>
      </c>
      <c r="F22" s="151">
        <v>0</v>
      </c>
      <c r="G22" s="151">
        <v>0</v>
      </c>
      <c r="H22" s="151">
        <v>0</v>
      </c>
      <c r="I22" s="151">
        <v>0</v>
      </c>
      <c r="J22" s="151">
        <v>0</v>
      </c>
      <c r="K22" s="151">
        <v>0</v>
      </c>
      <c r="L22" s="151">
        <v>0</v>
      </c>
      <c r="M22" s="151">
        <v>0</v>
      </c>
      <c r="N22" s="151">
        <v>0</v>
      </c>
      <c r="O22" s="151">
        <v>0</v>
      </c>
      <c r="P22" s="151">
        <v>0</v>
      </c>
      <c r="Q22" s="151">
        <v>0</v>
      </c>
      <c r="R22" s="180">
        <v>0</v>
      </c>
      <c r="S22" s="151">
        <v>0.43</v>
      </c>
      <c r="T22" s="151">
        <v>0</v>
      </c>
      <c r="U22" s="151">
        <v>0</v>
      </c>
      <c r="V22" s="151">
        <v>0</v>
      </c>
      <c r="W22" s="151">
        <v>0</v>
      </c>
      <c r="X22" s="151">
        <v>0</v>
      </c>
      <c r="Y22" s="151">
        <v>0</v>
      </c>
      <c r="Z22" s="151">
        <v>0</v>
      </c>
      <c r="AA22" s="151">
        <v>0</v>
      </c>
      <c r="AB22" s="151">
        <v>0</v>
      </c>
      <c r="AC22" s="151">
        <v>0</v>
      </c>
      <c r="AD22" s="151">
        <v>0</v>
      </c>
      <c r="AE22" s="151">
        <v>0</v>
      </c>
      <c r="AF22" s="180">
        <v>0</v>
      </c>
      <c r="AG22" s="151">
        <v>0.42</v>
      </c>
      <c r="AH22" s="151">
        <v>0</v>
      </c>
      <c r="AI22" s="151">
        <v>0</v>
      </c>
      <c r="AJ22" s="151">
        <v>0</v>
      </c>
      <c r="AK22" s="151">
        <v>0</v>
      </c>
      <c r="AL22" s="151">
        <v>0</v>
      </c>
      <c r="AM22" s="151">
        <v>0</v>
      </c>
      <c r="AN22" s="151">
        <v>0</v>
      </c>
      <c r="AO22" s="151">
        <v>0</v>
      </c>
      <c r="AP22" s="151">
        <v>0</v>
      </c>
      <c r="AQ22" s="151">
        <v>0</v>
      </c>
      <c r="AR22" s="151">
        <v>0</v>
      </c>
      <c r="AS22" s="151">
        <v>0</v>
      </c>
      <c r="AT22" s="180">
        <v>0</v>
      </c>
      <c r="AU22" s="151">
        <v>0</v>
      </c>
      <c r="AV22" s="151">
        <v>0</v>
      </c>
      <c r="AW22" s="151">
        <v>0</v>
      </c>
      <c r="AX22" s="151">
        <v>0</v>
      </c>
      <c r="AY22" s="151">
        <v>0</v>
      </c>
      <c r="AZ22" s="151">
        <v>0</v>
      </c>
      <c r="BA22" s="151">
        <v>0</v>
      </c>
      <c r="BB22" s="151">
        <v>0</v>
      </c>
      <c r="BC22" s="151">
        <v>0</v>
      </c>
      <c r="BD22" s="151">
        <v>0</v>
      </c>
      <c r="BE22" s="151">
        <v>0</v>
      </c>
      <c r="BF22" s="182">
        <v>0</v>
      </c>
      <c r="BG22" s="181">
        <v>0</v>
      </c>
      <c r="BH22" s="180">
        <v>0</v>
      </c>
      <c r="BI22" s="151">
        <v>0</v>
      </c>
      <c r="BJ22" s="151">
        <v>0</v>
      </c>
      <c r="BK22" s="151">
        <v>0</v>
      </c>
      <c r="BL22" s="151">
        <v>0</v>
      </c>
      <c r="BM22" s="151">
        <v>0</v>
      </c>
      <c r="BN22" s="151">
        <v>0</v>
      </c>
      <c r="BO22" s="151">
        <v>0</v>
      </c>
      <c r="BP22" s="151">
        <v>0</v>
      </c>
      <c r="BQ22" s="151">
        <v>0</v>
      </c>
      <c r="BR22" s="151">
        <v>0</v>
      </c>
      <c r="BS22" s="151">
        <v>0</v>
      </c>
      <c r="BT22" s="151">
        <v>0</v>
      </c>
      <c r="BU22" s="151">
        <v>0</v>
      </c>
      <c r="BV22" s="180">
        <v>0</v>
      </c>
      <c r="BW22" s="151">
        <v>0</v>
      </c>
      <c r="BX22" s="151">
        <v>0</v>
      </c>
      <c r="BY22" s="151">
        <v>0</v>
      </c>
      <c r="BZ22" s="151">
        <v>0</v>
      </c>
      <c r="CA22" s="151">
        <v>0</v>
      </c>
      <c r="CB22" s="151">
        <v>0</v>
      </c>
      <c r="CC22" s="151">
        <v>0</v>
      </c>
      <c r="CD22" s="151">
        <v>0</v>
      </c>
      <c r="CE22" s="151">
        <v>0</v>
      </c>
      <c r="CF22" s="151">
        <v>0</v>
      </c>
      <c r="CG22" s="151">
        <v>0</v>
      </c>
      <c r="CH22" s="151">
        <v>0</v>
      </c>
      <c r="CI22" s="151">
        <v>0</v>
      </c>
      <c r="CJ22" s="180">
        <v>0</v>
      </c>
      <c r="CK22" s="151">
        <v>0</v>
      </c>
      <c r="CL22" s="151">
        <v>0</v>
      </c>
      <c r="CM22" s="151">
        <v>0</v>
      </c>
      <c r="CN22" s="151">
        <v>0</v>
      </c>
      <c r="CO22" s="151">
        <v>0</v>
      </c>
      <c r="CP22" s="151">
        <v>0</v>
      </c>
      <c r="CQ22" s="151">
        <v>0</v>
      </c>
      <c r="CR22" s="151">
        <v>0</v>
      </c>
      <c r="CS22" s="151">
        <v>0</v>
      </c>
      <c r="CT22" s="151">
        <v>0</v>
      </c>
      <c r="CU22" s="151">
        <v>0</v>
      </c>
      <c r="CV22" s="151">
        <v>0</v>
      </c>
      <c r="CW22" s="151">
        <v>0</v>
      </c>
      <c r="CX22" s="151">
        <v>0</v>
      </c>
      <c r="CY22" s="151">
        <v>0</v>
      </c>
      <c r="CZ22" s="151">
        <v>0.02</v>
      </c>
      <c r="DA22" s="151">
        <v>0</v>
      </c>
      <c r="DB22" s="151">
        <v>0.47</v>
      </c>
      <c r="DC22" s="151">
        <v>0.14000000000000001</v>
      </c>
      <c r="DD22" s="151">
        <v>0.28999999999999998</v>
      </c>
      <c r="DE22" s="151">
        <v>0</v>
      </c>
      <c r="DF22" s="151">
        <v>0</v>
      </c>
      <c r="DG22" s="151">
        <v>0</v>
      </c>
      <c r="DH22" s="151">
        <v>0</v>
      </c>
      <c r="DI22" s="151">
        <v>0</v>
      </c>
      <c r="DJ22" s="151">
        <v>0</v>
      </c>
      <c r="DK22" s="151">
        <v>0</v>
      </c>
      <c r="DL22" s="180">
        <v>0</v>
      </c>
      <c r="DM22" s="151">
        <v>0</v>
      </c>
      <c r="DN22" s="151">
        <v>0.02</v>
      </c>
      <c r="DO22" s="151">
        <v>0</v>
      </c>
      <c r="DP22" s="151">
        <v>0</v>
      </c>
      <c r="DQ22" s="151">
        <v>0.02</v>
      </c>
      <c r="DR22" s="151">
        <v>0.04</v>
      </c>
      <c r="DS22" s="151">
        <v>0</v>
      </c>
      <c r="DT22" s="151">
        <v>0</v>
      </c>
      <c r="DU22" s="151">
        <v>0</v>
      </c>
      <c r="DV22" s="151">
        <v>0</v>
      </c>
      <c r="DW22" s="151">
        <v>0</v>
      </c>
      <c r="DX22" s="151">
        <v>0</v>
      </c>
      <c r="DY22" s="151">
        <v>0</v>
      </c>
      <c r="DZ22" s="180">
        <v>0</v>
      </c>
      <c r="EA22" s="151">
        <v>0</v>
      </c>
      <c r="EB22" s="151">
        <v>0</v>
      </c>
      <c r="EC22" s="151">
        <v>0</v>
      </c>
      <c r="ED22" s="151">
        <v>0</v>
      </c>
      <c r="EE22" s="151">
        <v>0.03</v>
      </c>
      <c r="EF22" s="151">
        <v>7.0000000000000007E-2</v>
      </c>
      <c r="EG22" s="151">
        <v>0</v>
      </c>
      <c r="EH22" s="151">
        <v>0</v>
      </c>
      <c r="EI22" s="151">
        <v>0</v>
      </c>
      <c r="EJ22" s="151">
        <v>0</v>
      </c>
      <c r="EK22" s="151">
        <v>0</v>
      </c>
      <c r="EL22" s="151">
        <v>0</v>
      </c>
      <c r="EM22" s="151">
        <v>0</v>
      </c>
      <c r="EN22" s="169">
        <v>0.21</v>
      </c>
      <c r="EO22" s="169">
        <v>0</v>
      </c>
      <c r="EP22" s="169">
        <v>0</v>
      </c>
      <c r="EQ22" s="169">
        <v>1.0999999999999999</v>
      </c>
      <c r="ER22" s="255">
        <f t="shared" si="5"/>
        <v>1.3099999999999998</v>
      </c>
      <c r="ES22" s="151">
        <v>0</v>
      </c>
      <c r="ET22" s="151">
        <v>0.65400000000000003</v>
      </c>
      <c r="EU22" s="151">
        <v>0</v>
      </c>
      <c r="EV22" s="151">
        <v>0</v>
      </c>
      <c r="EW22" s="151">
        <v>0</v>
      </c>
      <c r="EX22" s="151">
        <v>0</v>
      </c>
      <c r="EY22" s="150">
        <v>0</v>
      </c>
      <c r="EZ22" s="150">
        <v>0</v>
      </c>
      <c r="FA22" s="150">
        <v>0</v>
      </c>
      <c r="FB22" s="150">
        <v>0</v>
      </c>
      <c r="FC22" s="150">
        <v>0</v>
      </c>
      <c r="FD22" s="150">
        <v>0</v>
      </c>
      <c r="FE22" s="150">
        <v>0</v>
      </c>
      <c r="FF22" s="150">
        <v>0</v>
      </c>
      <c r="FG22">
        <v>0</v>
      </c>
    </row>
    <row r="23" spans="1:163" x14ac:dyDescent="0.25">
      <c r="A23" t="s">
        <v>290</v>
      </c>
      <c r="B23" t="s">
        <v>1668</v>
      </c>
      <c r="C23" s="144"/>
      <c r="D23" s="151">
        <v>0</v>
      </c>
      <c r="E23" s="151">
        <v>0</v>
      </c>
      <c r="F23" s="151">
        <v>0</v>
      </c>
      <c r="G23" s="151">
        <v>0</v>
      </c>
      <c r="H23" s="151">
        <v>0</v>
      </c>
      <c r="I23" s="151">
        <v>0</v>
      </c>
      <c r="J23" s="151">
        <v>0</v>
      </c>
      <c r="K23" s="151">
        <v>0</v>
      </c>
      <c r="L23" s="151">
        <v>0</v>
      </c>
      <c r="M23" s="151">
        <v>0</v>
      </c>
      <c r="N23" s="151">
        <v>0</v>
      </c>
      <c r="O23" s="151">
        <v>0</v>
      </c>
      <c r="P23" s="151">
        <v>0</v>
      </c>
      <c r="Q23" s="151">
        <v>0</v>
      </c>
      <c r="R23" s="180">
        <v>0</v>
      </c>
      <c r="S23" s="151">
        <v>0.5</v>
      </c>
      <c r="T23" s="151">
        <v>0</v>
      </c>
      <c r="U23" s="151">
        <v>0</v>
      </c>
      <c r="V23" s="151">
        <v>0</v>
      </c>
      <c r="W23" s="151">
        <v>0</v>
      </c>
      <c r="X23" s="151">
        <v>0</v>
      </c>
      <c r="Y23" s="151">
        <v>0</v>
      </c>
      <c r="Z23" s="151">
        <v>0</v>
      </c>
      <c r="AA23" s="151">
        <v>0</v>
      </c>
      <c r="AB23" s="151">
        <v>0</v>
      </c>
      <c r="AC23" s="151">
        <v>0</v>
      </c>
      <c r="AD23" s="151">
        <v>0</v>
      </c>
      <c r="AE23" s="151">
        <v>0</v>
      </c>
      <c r="AF23" s="180">
        <v>0</v>
      </c>
      <c r="AG23" s="151">
        <v>0.39700000000000002</v>
      </c>
      <c r="AH23" s="151">
        <v>0</v>
      </c>
      <c r="AI23" s="151">
        <v>0</v>
      </c>
      <c r="AJ23" s="151">
        <v>0</v>
      </c>
      <c r="AK23" s="151">
        <v>0</v>
      </c>
      <c r="AL23" s="151">
        <v>0</v>
      </c>
      <c r="AM23" s="151">
        <v>0</v>
      </c>
      <c r="AN23" s="151">
        <v>0</v>
      </c>
      <c r="AO23" s="151">
        <v>0</v>
      </c>
      <c r="AP23" s="151">
        <v>0</v>
      </c>
      <c r="AQ23" s="151">
        <v>0</v>
      </c>
      <c r="AR23" s="151">
        <v>0</v>
      </c>
      <c r="AS23" s="151">
        <v>0</v>
      </c>
      <c r="AT23" s="180">
        <v>0</v>
      </c>
      <c r="AU23" s="151">
        <v>0</v>
      </c>
      <c r="AV23" s="151">
        <v>0</v>
      </c>
      <c r="AW23" s="151">
        <v>0</v>
      </c>
      <c r="AX23" s="151">
        <v>0</v>
      </c>
      <c r="AY23" s="151">
        <v>0</v>
      </c>
      <c r="AZ23" s="151">
        <v>0</v>
      </c>
      <c r="BA23" s="151">
        <v>0</v>
      </c>
      <c r="BB23" s="151">
        <v>0</v>
      </c>
      <c r="BC23" s="151">
        <v>0</v>
      </c>
      <c r="BD23" s="151">
        <v>0</v>
      </c>
      <c r="BE23" s="151">
        <v>0</v>
      </c>
      <c r="BF23" s="182">
        <v>0</v>
      </c>
      <c r="BG23" s="181">
        <v>0</v>
      </c>
      <c r="BH23" s="180">
        <v>0</v>
      </c>
      <c r="BI23" s="151">
        <v>0</v>
      </c>
      <c r="BJ23" s="151">
        <v>0</v>
      </c>
      <c r="BK23" s="151">
        <v>0</v>
      </c>
      <c r="BL23" s="151">
        <v>0</v>
      </c>
      <c r="BM23" s="151">
        <v>0</v>
      </c>
      <c r="BN23" s="151">
        <v>0</v>
      </c>
      <c r="BO23" s="151">
        <v>0</v>
      </c>
      <c r="BP23" s="151">
        <v>0</v>
      </c>
      <c r="BQ23" s="151">
        <v>0</v>
      </c>
      <c r="BR23" s="151">
        <v>0</v>
      </c>
      <c r="BS23" s="151">
        <v>0</v>
      </c>
      <c r="BT23" s="151">
        <v>0</v>
      </c>
      <c r="BU23" s="151">
        <v>0</v>
      </c>
      <c r="BV23" s="180">
        <v>0</v>
      </c>
      <c r="BW23" s="151">
        <v>0</v>
      </c>
      <c r="BX23" s="151">
        <v>0</v>
      </c>
      <c r="BY23" s="151">
        <v>0</v>
      </c>
      <c r="BZ23" s="151">
        <v>0</v>
      </c>
      <c r="CA23" s="151">
        <v>0</v>
      </c>
      <c r="CB23" s="151">
        <v>0</v>
      </c>
      <c r="CC23" s="151">
        <v>0</v>
      </c>
      <c r="CD23" s="151">
        <v>0</v>
      </c>
      <c r="CE23" s="151">
        <v>0</v>
      </c>
      <c r="CF23" s="151">
        <v>0</v>
      </c>
      <c r="CG23" s="151">
        <v>0</v>
      </c>
      <c r="CH23" s="151">
        <v>0</v>
      </c>
      <c r="CI23" s="151">
        <v>0</v>
      </c>
      <c r="CJ23" s="180">
        <v>0</v>
      </c>
      <c r="CK23" s="151">
        <v>0</v>
      </c>
      <c r="CL23" s="151">
        <v>0</v>
      </c>
      <c r="CM23" s="151">
        <v>0</v>
      </c>
      <c r="CN23" s="151">
        <v>0</v>
      </c>
      <c r="CO23" s="151">
        <v>0</v>
      </c>
      <c r="CP23" s="151">
        <v>0</v>
      </c>
      <c r="CQ23" s="151">
        <v>0</v>
      </c>
      <c r="CR23" s="151">
        <v>0</v>
      </c>
      <c r="CS23" s="151">
        <v>0</v>
      </c>
      <c r="CT23" s="151">
        <v>0</v>
      </c>
      <c r="CU23" s="151">
        <v>0</v>
      </c>
      <c r="CV23" s="151">
        <v>0</v>
      </c>
      <c r="CW23" s="151">
        <v>0</v>
      </c>
      <c r="CX23" s="151">
        <v>0</v>
      </c>
      <c r="CY23" s="151">
        <v>0</v>
      </c>
      <c r="CZ23" s="151">
        <v>0</v>
      </c>
      <c r="DA23" s="151">
        <v>0</v>
      </c>
      <c r="DB23" s="151">
        <v>0</v>
      </c>
      <c r="DC23" s="151">
        <v>0</v>
      </c>
      <c r="DD23" s="151">
        <v>0</v>
      </c>
      <c r="DE23" s="151">
        <v>0</v>
      </c>
      <c r="DF23" s="151">
        <v>0</v>
      </c>
      <c r="DG23" s="151">
        <v>0</v>
      </c>
      <c r="DH23" s="151">
        <v>0</v>
      </c>
      <c r="DI23" s="151">
        <v>0</v>
      </c>
      <c r="DJ23" s="151">
        <v>0</v>
      </c>
      <c r="DK23" s="151">
        <v>0</v>
      </c>
      <c r="DL23" s="180">
        <v>0</v>
      </c>
      <c r="DM23" s="151">
        <v>0</v>
      </c>
      <c r="DN23" s="151">
        <v>0</v>
      </c>
      <c r="DO23" s="151">
        <v>0</v>
      </c>
      <c r="DP23" s="151">
        <v>0</v>
      </c>
      <c r="DQ23" s="151">
        <v>0</v>
      </c>
      <c r="DR23" s="151">
        <v>0</v>
      </c>
      <c r="DS23" s="151">
        <v>0</v>
      </c>
      <c r="DT23" s="151">
        <v>0</v>
      </c>
      <c r="DU23" s="151">
        <v>0</v>
      </c>
      <c r="DV23" s="151">
        <v>0</v>
      </c>
      <c r="DW23" s="151">
        <v>0</v>
      </c>
      <c r="DX23" s="151">
        <v>0</v>
      </c>
      <c r="DY23" s="151">
        <v>0</v>
      </c>
      <c r="DZ23" s="180">
        <v>0</v>
      </c>
      <c r="EA23" s="151">
        <v>0</v>
      </c>
      <c r="EB23" s="151">
        <v>0</v>
      </c>
      <c r="EC23" s="151">
        <v>0</v>
      </c>
      <c r="ED23" s="151">
        <v>0</v>
      </c>
      <c r="EE23" s="151">
        <v>0</v>
      </c>
      <c r="EF23" s="151">
        <v>0</v>
      </c>
      <c r="EG23" s="151">
        <v>0</v>
      </c>
      <c r="EH23" s="151">
        <v>0.15</v>
      </c>
      <c r="EI23" s="151">
        <v>0</v>
      </c>
      <c r="EJ23" s="151">
        <v>0</v>
      </c>
      <c r="EK23" s="151">
        <v>0</v>
      </c>
      <c r="EL23" s="151">
        <v>0</v>
      </c>
      <c r="EM23" s="151">
        <v>0</v>
      </c>
      <c r="EN23" s="169">
        <v>0.89700000000000002</v>
      </c>
      <c r="EO23" s="169">
        <v>0</v>
      </c>
      <c r="EP23" s="169">
        <v>0</v>
      </c>
      <c r="EQ23" s="169">
        <v>0.15</v>
      </c>
      <c r="ER23" s="255">
        <f t="shared" si="5"/>
        <v>1.0469999999999999</v>
      </c>
      <c r="ES23" s="151">
        <v>0</v>
      </c>
      <c r="ET23" s="151">
        <v>0</v>
      </c>
      <c r="EU23" s="151">
        <v>0</v>
      </c>
      <c r="EV23" s="151">
        <v>0</v>
      </c>
      <c r="EW23" s="151">
        <v>0</v>
      </c>
      <c r="EX23" s="151">
        <v>0</v>
      </c>
      <c r="EY23" s="150">
        <v>0</v>
      </c>
      <c r="EZ23" s="150">
        <v>0</v>
      </c>
      <c r="FA23" s="150">
        <v>0</v>
      </c>
      <c r="FB23" s="150">
        <v>0</v>
      </c>
      <c r="FC23" s="150">
        <v>0</v>
      </c>
      <c r="FD23" s="150">
        <v>0</v>
      </c>
      <c r="FE23" s="150">
        <v>0</v>
      </c>
      <c r="FF23" s="150">
        <v>0</v>
      </c>
      <c r="FG23">
        <v>0</v>
      </c>
    </row>
    <row r="24" spans="1:163" x14ac:dyDescent="0.25">
      <c r="A24" t="s">
        <v>259</v>
      </c>
      <c r="B24" t="s">
        <v>1602</v>
      </c>
      <c r="C24" s="144"/>
      <c r="D24" s="151">
        <v>0</v>
      </c>
      <c r="E24" s="151">
        <v>0</v>
      </c>
      <c r="F24" s="151">
        <v>0</v>
      </c>
      <c r="G24" s="151">
        <v>0</v>
      </c>
      <c r="H24" s="151">
        <v>0</v>
      </c>
      <c r="I24" s="151">
        <v>0</v>
      </c>
      <c r="J24" s="151">
        <v>0</v>
      </c>
      <c r="K24" s="151">
        <v>0</v>
      </c>
      <c r="L24" s="151">
        <v>0</v>
      </c>
      <c r="M24" s="151">
        <v>0</v>
      </c>
      <c r="N24" s="151">
        <v>0</v>
      </c>
      <c r="O24" s="151">
        <v>0</v>
      </c>
      <c r="P24" s="151">
        <v>0</v>
      </c>
      <c r="Q24" s="151">
        <v>0</v>
      </c>
      <c r="R24" s="180">
        <v>0</v>
      </c>
      <c r="S24" s="151">
        <v>0</v>
      </c>
      <c r="T24" s="151">
        <v>0</v>
      </c>
      <c r="U24" s="151">
        <v>0</v>
      </c>
      <c r="V24" s="151">
        <v>0</v>
      </c>
      <c r="W24" s="151">
        <v>0</v>
      </c>
      <c r="X24" s="151">
        <v>0</v>
      </c>
      <c r="Y24" s="151">
        <v>0</v>
      </c>
      <c r="Z24" s="151">
        <v>0</v>
      </c>
      <c r="AA24" s="151">
        <v>0</v>
      </c>
      <c r="AB24" s="151">
        <v>0</v>
      </c>
      <c r="AC24" s="151">
        <v>0</v>
      </c>
      <c r="AD24" s="151">
        <v>0</v>
      </c>
      <c r="AE24" s="151">
        <v>0</v>
      </c>
      <c r="AF24" s="180">
        <v>0</v>
      </c>
      <c r="AG24" s="151">
        <v>0</v>
      </c>
      <c r="AH24" s="151">
        <v>0</v>
      </c>
      <c r="AI24" s="151">
        <v>0</v>
      </c>
      <c r="AJ24" s="151">
        <v>0</v>
      </c>
      <c r="AK24" s="151">
        <v>0</v>
      </c>
      <c r="AL24" s="151">
        <v>0</v>
      </c>
      <c r="AM24" s="151">
        <v>0</v>
      </c>
      <c r="AN24" s="151">
        <v>0</v>
      </c>
      <c r="AO24" s="151">
        <v>0</v>
      </c>
      <c r="AP24" s="151">
        <v>0</v>
      </c>
      <c r="AQ24" s="151">
        <v>0</v>
      </c>
      <c r="AR24" s="151">
        <v>0</v>
      </c>
      <c r="AS24" s="151">
        <v>0</v>
      </c>
      <c r="AT24" s="180">
        <v>0</v>
      </c>
      <c r="AU24" s="151">
        <v>0</v>
      </c>
      <c r="AV24" s="151">
        <v>0</v>
      </c>
      <c r="AW24" s="151">
        <v>0</v>
      </c>
      <c r="AX24" s="151">
        <v>0</v>
      </c>
      <c r="AY24" s="151">
        <v>0</v>
      </c>
      <c r="AZ24" s="151">
        <v>0</v>
      </c>
      <c r="BA24" s="151">
        <v>0</v>
      </c>
      <c r="BB24" s="151">
        <v>0</v>
      </c>
      <c r="BC24" s="151">
        <v>0</v>
      </c>
      <c r="BD24" s="151">
        <v>0</v>
      </c>
      <c r="BE24" s="151">
        <v>0</v>
      </c>
      <c r="BF24" s="182">
        <v>0</v>
      </c>
      <c r="BG24" s="181">
        <v>0</v>
      </c>
      <c r="BH24" s="180">
        <v>0</v>
      </c>
      <c r="BI24" s="151">
        <v>0</v>
      </c>
      <c r="BJ24" s="151">
        <v>0</v>
      </c>
      <c r="BK24" s="151">
        <v>0</v>
      </c>
      <c r="BL24" s="151">
        <v>0</v>
      </c>
      <c r="BM24" s="151">
        <v>0</v>
      </c>
      <c r="BN24" s="151">
        <v>0</v>
      </c>
      <c r="BO24" s="151">
        <v>0</v>
      </c>
      <c r="BP24" s="151">
        <v>0</v>
      </c>
      <c r="BQ24" s="151">
        <v>0</v>
      </c>
      <c r="BR24" s="151">
        <v>0</v>
      </c>
      <c r="BS24" s="151">
        <v>0</v>
      </c>
      <c r="BT24" s="151">
        <v>0</v>
      </c>
      <c r="BU24" s="151">
        <v>0</v>
      </c>
      <c r="BV24" s="180">
        <v>0</v>
      </c>
      <c r="BW24" s="151">
        <v>0</v>
      </c>
      <c r="BX24" s="151">
        <v>0</v>
      </c>
      <c r="BY24" s="151">
        <v>0</v>
      </c>
      <c r="BZ24" s="151">
        <v>0</v>
      </c>
      <c r="CA24" s="151">
        <v>0</v>
      </c>
      <c r="CB24" s="151">
        <v>0</v>
      </c>
      <c r="CC24" s="151">
        <v>0</v>
      </c>
      <c r="CD24" s="151">
        <v>0</v>
      </c>
      <c r="CE24" s="151">
        <v>0</v>
      </c>
      <c r="CF24" s="151">
        <v>0</v>
      </c>
      <c r="CG24" s="151">
        <v>0</v>
      </c>
      <c r="CH24" s="151">
        <v>0</v>
      </c>
      <c r="CI24" s="151">
        <v>0</v>
      </c>
      <c r="CJ24" s="180">
        <v>0</v>
      </c>
      <c r="CK24" s="151">
        <v>0</v>
      </c>
      <c r="CL24" s="151">
        <v>0</v>
      </c>
      <c r="CM24" s="151">
        <v>0</v>
      </c>
      <c r="CN24" s="151">
        <v>0</v>
      </c>
      <c r="CO24" s="151">
        <v>0</v>
      </c>
      <c r="CP24" s="151">
        <v>0</v>
      </c>
      <c r="CQ24" s="151">
        <v>0</v>
      </c>
      <c r="CR24" s="151">
        <v>0</v>
      </c>
      <c r="CS24" s="151">
        <v>0</v>
      </c>
      <c r="CT24" s="151">
        <v>0</v>
      </c>
      <c r="CU24" s="151">
        <v>0</v>
      </c>
      <c r="CV24" s="151">
        <v>0</v>
      </c>
      <c r="CW24" s="151">
        <v>0</v>
      </c>
      <c r="CX24" s="151">
        <v>0</v>
      </c>
      <c r="CY24" s="151">
        <v>0</v>
      </c>
      <c r="CZ24" s="151">
        <v>0.6</v>
      </c>
      <c r="DA24" s="151">
        <v>0</v>
      </c>
      <c r="DB24" s="151">
        <v>1.35</v>
      </c>
      <c r="DC24" s="151">
        <v>1</v>
      </c>
      <c r="DD24" s="151">
        <v>0</v>
      </c>
      <c r="DE24" s="151">
        <v>0</v>
      </c>
      <c r="DF24" s="151">
        <v>0</v>
      </c>
      <c r="DG24" s="151">
        <v>0</v>
      </c>
      <c r="DH24" s="151">
        <v>0</v>
      </c>
      <c r="DI24" s="151">
        <v>0</v>
      </c>
      <c r="DJ24" s="151">
        <v>0</v>
      </c>
      <c r="DK24" s="151">
        <v>0</v>
      </c>
      <c r="DL24" s="180">
        <v>0</v>
      </c>
      <c r="DM24" s="151">
        <v>0</v>
      </c>
      <c r="DN24" s="151">
        <v>0.2</v>
      </c>
      <c r="DO24" s="151">
        <v>0</v>
      </c>
      <c r="DP24" s="151">
        <v>0.69199999999999995</v>
      </c>
      <c r="DQ24" s="151">
        <v>0</v>
      </c>
      <c r="DR24" s="151">
        <v>0</v>
      </c>
      <c r="DS24" s="151">
        <v>0</v>
      </c>
      <c r="DT24" s="151">
        <v>0</v>
      </c>
      <c r="DU24" s="151">
        <v>0</v>
      </c>
      <c r="DV24" s="151">
        <v>0</v>
      </c>
      <c r="DW24" s="151">
        <v>0</v>
      </c>
      <c r="DX24" s="151">
        <v>0</v>
      </c>
      <c r="DY24" s="151">
        <v>0</v>
      </c>
      <c r="DZ24" s="180">
        <v>0</v>
      </c>
      <c r="EA24" s="151">
        <v>0</v>
      </c>
      <c r="EB24" s="151">
        <v>0.2</v>
      </c>
      <c r="EC24" s="151">
        <v>0</v>
      </c>
      <c r="ED24" s="151">
        <v>0.51800000000000002</v>
      </c>
      <c r="EE24" s="151">
        <v>1</v>
      </c>
      <c r="EF24" s="151">
        <v>0</v>
      </c>
      <c r="EG24" s="151">
        <v>0</v>
      </c>
      <c r="EH24" s="151">
        <v>1.05</v>
      </c>
      <c r="EI24" s="151">
        <v>0</v>
      </c>
      <c r="EJ24" s="151">
        <v>0</v>
      </c>
      <c r="EK24" s="151">
        <v>0</v>
      </c>
      <c r="EL24" s="151">
        <v>0</v>
      </c>
      <c r="EM24" s="151">
        <v>0</v>
      </c>
      <c r="EN24" s="169">
        <v>0</v>
      </c>
      <c r="EO24" s="169">
        <v>0</v>
      </c>
      <c r="EP24" s="169">
        <v>0</v>
      </c>
      <c r="EQ24" s="169">
        <v>6.6099999999999994</v>
      </c>
      <c r="ER24" s="255">
        <f t="shared" si="5"/>
        <v>6.6099999999999994</v>
      </c>
      <c r="ES24" s="151">
        <v>0</v>
      </c>
      <c r="ET24" s="151">
        <v>0</v>
      </c>
      <c r="EU24" s="151">
        <v>0</v>
      </c>
      <c r="EV24" s="151">
        <v>0</v>
      </c>
      <c r="EW24" s="151">
        <v>0</v>
      </c>
      <c r="EX24" s="151">
        <v>0</v>
      </c>
      <c r="EY24" s="150">
        <v>0</v>
      </c>
      <c r="EZ24" s="150">
        <v>0</v>
      </c>
      <c r="FA24" s="150">
        <v>0</v>
      </c>
      <c r="FB24" s="150">
        <v>0</v>
      </c>
      <c r="FC24" s="150">
        <v>0</v>
      </c>
      <c r="FD24" s="150">
        <v>0</v>
      </c>
      <c r="FE24" s="150">
        <v>0</v>
      </c>
      <c r="FF24" s="150">
        <v>0</v>
      </c>
      <c r="FG24">
        <v>0</v>
      </c>
    </row>
    <row r="25" spans="1:163" x14ac:dyDescent="0.25">
      <c r="A25" s="126" t="s">
        <v>89</v>
      </c>
      <c r="B25" s="43" t="s">
        <v>1669</v>
      </c>
      <c r="C25" s="144"/>
      <c r="D25" s="151">
        <v>0</v>
      </c>
      <c r="E25" s="151">
        <v>0</v>
      </c>
      <c r="F25" s="151">
        <v>0</v>
      </c>
      <c r="G25" s="151">
        <v>0</v>
      </c>
      <c r="H25" s="151">
        <v>0</v>
      </c>
      <c r="I25" s="151">
        <v>0</v>
      </c>
      <c r="J25" s="151">
        <v>0</v>
      </c>
      <c r="K25" s="151">
        <v>0</v>
      </c>
      <c r="L25" s="151">
        <v>0</v>
      </c>
      <c r="M25" s="151">
        <v>0</v>
      </c>
      <c r="N25" s="151">
        <v>0</v>
      </c>
      <c r="O25" s="151">
        <v>0</v>
      </c>
      <c r="P25" s="151">
        <v>0.5</v>
      </c>
      <c r="Q25" s="151">
        <v>0</v>
      </c>
      <c r="R25" s="180">
        <v>0</v>
      </c>
      <c r="S25" s="151">
        <v>0</v>
      </c>
      <c r="T25" s="151">
        <v>0</v>
      </c>
      <c r="U25" s="151">
        <v>0</v>
      </c>
      <c r="V25" s="151">
        <v>0</v>
      </c>
      <c r="W25" s="151">
        <v>0</v>
      </c>
      <c r="X25" s="151">
        <v>0</v>
      </c>
      <c r="Y25" s="151">
        <v>0</v>
      </c>
      <c r="Z25" s="151">
        <v>0</v>
      </c>
      <c r="AA25" s="151">
        <v>0</v>
      </c>
      <c r="AB25" s="151">
        <v>1</v>
      </c>
      <c r="AC25" s="151">
        <v>0</v>
      </c>
      <c r="AD25" s="151">
        <v>0</v>
      </c>
      <c r="AE25" s="151">
        <v>0</v>
      </c>
      <c r="AF25" s="180">
        <v>0</v>
      </c>
      <c r="AG25" s="151">
        <v>0</v>
      </c>
      <c r="AH25" s="151">
        <v>0</v>
      </c>
      <c r="AI25" s="151">
        <v>0</v>
      </c>
      <c r="AJ25" s="151">
        <v>0</v>
      </c>
      <c r="AK25" s="151">
        <v>0</v>
      </c>
      <c r="AL25" s="151">
        <v>0</v>
      </c>
      <c r="AM25" s="151">
        <v>0</v>
      </c>
      <c r="AN25" s="151">
        <v>0</v>
      </c>
      <c r="AO25" s="151">
        <v>0</v>
      </c>
      <c r="AP25" s="151">
        <v>0</v>
      </c>
      <c r="AQ25" s="151">
        <v>0</v>
      </c>
      <c r="AR25" s="151">
        <v>0.5</v>
      </c>
      <c r="AS25" s="151">
        <v>0</v>
      </c>
      <c r="AT25" s="180">
        <v>0</v>
      </c>
      <c r="AU25" s="151">
        <v>0</v>
      </c>
      <c r="AV25" s="151">
        <v>0</v>
      </c>
      <c r="AW25" s="151">
        <v>0</v>
      </c>
      <c r="AX25" s="151">
        <v>0</v>
      </c>
      <c r="AY25" s="151">
        <v>0</v>
      </c>
      <c r="AZ25" s="151">
        <v>0</v>
      </c>
      <c r="BA25" s="151">
        <v>0</v>
      </c>
      <c r="BB25" s="151">
        <v>0</v>
      </c>
      <c r="BC25" s="151">
        <v>0</v>
      </c>
      <c r="BD25" s="151">
        <v>0</v>
      </c>
      <c r="BE25" s="151">
        <v>0</v>
      </c>
      <c r="BF25" s="182">
        <v>0</v>
      </c>
      <c r="BG25" s="181">
        <v>0</v>
      </c>
      <c r="BH25" s="180">
        <v>0</v>
      </c>
      <c r="BI25" s="151">
        <v>0</v>
      </c>
      <c r="BJ25" s="151">
        <v>0</v>
      </c>
      <c r="BK25" s="151">
        <v>0</v>
      </c>
      <c r="BL25" s="151">
        <v>0</v>
      </c>
      <c r="BM25" s="151">
        <v>0</v>
      </c>
      <c r="BN25" s="151">
        <v>0</v>
      </c>
      <c r="BO25" s="151">
        <v>0</v>
      </c>
      <c r="BP25" s="151">
        <v>0</v>
      </c>
      <c r="BQ25" s="151">
        <v>0</v>
      </c>
      <c r="BR25" s="151">
        <v>0</v>
      </c>
      <c r="BS25" s="151">
        <v>0</v>
      </c>
      <c r="BT25" s="151">
        <v>0</v>
      </c>
      <c r="BU25" s="151">
        <v>0</v>
      </c>
      <c r="BV25" s="180">
        <v>0</v>
      </c>
      <c r="BW25" s="151">
        <v>0</v>
      </c>
      <c r="BX25" s="151">
        <v>0</v>
      </c>
      <c r="BY25" s="151">
        <v>0</v>
      </c>
      <c r="BZ25" s="151">
        <v>0</v>
      </c>
      <c r="CA25" s="151">
        <v>0</v>
      </c>
      <c r="CB25" s="151">
        <v>0</v>
      </c>
      <c r="CC25" s="151">
        <v>0</v>
      </c>
      <c r="CD25" s="151">
        <v>0</v>
      </c>
      <c r="CE25" s="151">
        <v>0</v>
      </c>
      <c r="CF25" s="151">
        <v>0</v>
      </c>
      <c r="CG25" s="151">
        <v>0</v>
      </c>
      <c r="CH25" s="151">
        <v>0</v>
      </c>
      <c r="CI25" s="151">
        <v>0</v>
      </c>
      <c r="CJ25" s="180">
        <v>0</v>
      </c>
      <c r="CK25" s="151">
        <v>0</v>
      </c>
      <c r="CL25" s="151">
        <v>0</v>
      </c>
      <c r="CM25" s="151">
        <v>0</v>
      </c>
      <c r="CN25" s="151">
        <v>0</v>
      </c>
      <c r="CO25" s="151">
        <v>0</v>
      </c>
      <c r="CP25" s="151">
        <v>0</v>
      </c>
      <c r="CQ25" s="151">
        <v>0</v>
      </c>
      <c r="CR25" s="151">
        <v>0</v>
      </c>
      <c r="CS25" s="151">
        <v>0</v>
      </c>
      <c r="CT25" s="151">
        <v>0</v>
      </c>
      <c r="CU25" s="151">
        <v>0</v>
      </c>
      <c r="CV25" s="151">
        <v>0</v>
      </c>
      <c r="CW25" s="151">
        <v>0</v>
      </c>
      <c r="CX25" s="151">
        <v>0</v>
      </c>
      <c r="CY25" s="151">
        <v>0</v>
      </c>
      <c r="CZ25" s="151">
        <v>1</v>
      </c>
      <c r="DA25" s="151">
        <v>0</v>
      </c>
      <c r="DB25" s="151">
        <v>0.6</v>
      </c>
      <c r="DC25" s="151">
        <v>0</v>
      </c>
      <c r="DD25" s="151">
        <v>0</v>
      </c>
      <c r="DE25" s="151">
        <v>0</v>
      </c>
      <c r="DF25" s="151">
        <v>0</v>
      </c>
      <c r="DG25" s="151">
        <v>0</v>
      </c>
      <c r="DH25" s="151">
        <v>0</v>
      </c>
      <c r="DI25" s="151">
        <v>0</v>
      </c>
      <c r="DJ25" s="151">
        <v>0</v>
      </c>
      <c r="DK25" s="151">
        <v>0</v>
      </c>
      <c r="DL25" s="180">
        <v>0</v>
      </c>
      <c r="DM25" s="151">
        <v>0</v>
      </c>
      <c r="DN25" s="151">
        <v>0</v>
      </c>
      <c r="DO25" s="151">
        <v>0</v>
      </c>
      <c r="DP25" s="151">
        <v>0</v>
      </c>
      <c r="DQ25" s="151">
        <v>0</v>
      </c>
      <c r="DR25" s="151">
        <v>0</v>
      </c>
      <c r="DS25" s="151">
        <v>0</v>
      </c>
      <c r="DT25" s="151">
        <v>0</v>
      </c>
      <c r="DU25" s="151">
        <v>0</v>
      </c>
      <c r="DV25" s="151">
        <v>0</v>
      </c>
      <c r="DW25" s="151">
        <v>0</v>
      </c>
      <c r="DX25" s="151">
        <v>0</v>
      </c>
      <c r="DY25" s="151">
        <v>0</v>
      </c>
      <c r="DZ25" s="180">
        <v>0</v>
      </c>
      <c r="EA25" s="151">
        <v>0</v>
      </c>
      <c r="EB25" s="151">
        <v>0</v>
      </c>
      <c r="EC25" s="151">
        <v>0</v>
      </c>
      <c r="ED25" s="151">
        <v>0</v>
      </c>
      <c r="EE25" s="151">
        <v>0</v>
      </c>
      <c r="EF25" s="151">
        <v>0</v>
      </c>
      <c r="EG25" s="151">
        <v>0</v>
      </c>
      <c r="EH25" s="151">
        <v>0</v>
      </c>
      <c r="EI25" s="151">
        <v>0</v>
      </c>
      <c r="EJ25" s="151">
        <v>0</v>
      </c>
      <c r="EK25" s="151">
        <v>0</v>
      </c>
      <c r="EL25" s="151">
        <v>0</v>
      </c>
      <c r="EM25" s="151">
        <v>0</v>
      </c>
      <c r="EN25" s="169">
        <v>2</v>
      </c>
      <c r="EO25" s="169">
        <v>0</v>
      </c>
      <c r="EP25" s="169">
        <v>0</v>
      </c>
      <c r="EQ25" s="169">
        <v>1.6</v>
      </c>
      <c r="ER25" s="255">
        <f t="shared" si="5"/>
        <v>3.6</v>
      </c>
      <c r="ES25" s="151">
        <v>0</v>
      </c>
      <c r="ET25" s="151">
        <v>0</v>
      </c>
      <c r="EU25" s="151">
        <v>0</v>
      </c>
      <c r="EV25" s="151">
        <v>0</v>
      </c>
      <c r="EW25" s="151">
        <v>0</v>
      </c>
      <c r="EX25" s="151">
        <v>0</v>
      </c>
      <c r="EY25" s="150">
        <v>0</v>
      </c>
      <c r="EZ25" s="150">
        <v>0</v>
      </c>
      <c r="FA25" s="150">
        <v>0</v>
      </c>
      <c r="FB25" s="150">
        <v>0</v>
      </c>
      <c r="FC25" s="150">
        <v>0</v>
      </c>
      <c r="FD25" s="150">
        <v>0</v>
      </c>
      <c r="FE25" s="150">
        <v>0</v>
      </c>
      <c r="FF25" s="150">
        <v>0</v>
      </c>
      <c r="FG25">
        <v>0</v>
      </c>
    </row>
    <row r="26" spans="1:163" x14ac:dyDescent="0.25">
      <c r="A26" t="s">
        <v>78</v>
      </c>
      <c r="B26" t="s">
        <v>1601</v>
      </c>
      <c r="C26" s="144"/>
      <c r="D26" s="151">
        <v>0</v>
      </c>
      <c r="E26" s="151">
        <v>0</v>
      </c>
      <c r="F26" s="151">
        <v>0</v>
      </c>
      <c r="G26" s="151">
        <v>0</v>
      </c>
      <c r="H26" s="151">
        <v>0</v>
      </c>
      <c r="I26" s="151">
        <v>0</v>
      </c>
      <c r="J26" s="151">
        <v>0</v>
      </c>
      <c r="K26" s="151">
        <v>0</v>
      </c>
      <c r="L26" s="151">
        <v>0</v>
      </c>
      <c r="M26" s="151">
        <v>0</v>
      </c>
      <c r="N26" s="151">
        <v>0</v>
      </c>
      <c r="O26" s="151">
        <v>0</v>
      </c>
      <c r="P26" s="151">
        <v>0</v>
      </c>
      <c r="Q26" s="151">
        <v>0</v>
      </c>
      <c r="R26" s="180">
        <v>0</v>
      </c>
      <c r="S26" s="151">
        <v>0</v>
      </c>
      <c r="T26" s="151">
        <v>0</v>
      </c>
      <c r="U26" s="151">
        <v>0</v>
      </c>
      <c r="V26" s="151">
        <v>0</v>
      </c>
      <c r="W26" s="151">
        <v>0</v>
      </c>
      <c r="X26" s="151">
        <v>0</v>
      </c>
      <c r="Y26" s="151">
        <v>0</v>
      </c>
      <c r="Z26" s="151">
        <v>0</v>
      </c>
      <c r="AA26" s="151">
        <v>0</v>
      </c>
      <c r="AB26" s="151">
        <v>0</v>
      </c>
      <c r="AC26" s="151">
        <v>0</v>
      </c>
      <c r="AD26" s="151">
        <v>0</v>
      </c>
      <c r="AE26" s="151">
        <v>0</v>
      </c>
      <c r="AF26" s="180">
        <v>0</v>
      </c>
      <c r="AG26" s="151">
        <v>0</v>
      </c>
      <c r="AH26" s="151">
        <v>0</v>
      </c>
      <c r="AI26" s="151">
        <v>0</v>
      </c>
      <c r="AJ26" s="151">
        <v>0</v>
      </c>
      <c r="AK26" s="151">
        <v>0</v>
      </c>
      <c r="AL26" s="151">
        <v>0</v>
      </c>
      <c r="AM26" s="151">
        <v>0</v>
      </c>
      <c r="AN26" s="151">
        <v>0</v>
      </c>
      <c r="AO26" s="151">
        <v>0</v>
      </c>
      <c r="AP26" s="151">
        <v>0</v>
      </c>
      <c r="AQ26" s="151">
        <v>0</v>
      </c>
      <c r="AR26" s="151">
        <v>0</v>
      </c>
      <c r="AS26" s="151">
        <v>0</v>
      </c>
      <c r="AT26" s="180">
        <v>0</v>
      </c>
      <c r="AU26" s="151">
        <v>0</v>
      </c>
      <c r="AV26" s="151">
        <v>0</v>
      </c>
      <c r="AW26" s="151">
        <v>0</v>
      </c>
      <c r="AX26" s="151">
        <v>0</v>
      </c>
      <c r="AY26" s="151">
        <v>0</v>
      </c>
      <c r="AZ26" s="151">
        <v>0</v>
      </c>
      <c r="BA26" s="151">
        <v>0</v>
      </c>
      <c r="BB26" s="151">
        <v>0</v>
      </c>
      <c r="BC26" s="151">
        <v>0</v>
      </c>
      <c r="BD26" s="151">
        <v>0</v>
      </c>
      <c r="BE26" s="151">
        <v>0</v>
      </c>
      <c r="BF26" s="182">
        <v>0</v>
      </c>
      <c r="BG26" s="181">
        <v>0</v>
      </c>
      <c r="BH26" s="180">
        <v>0</v>
      </c>
      <c r="BI26" s="151">
        <v>0</v>
      </c>
      <c r="BJ26" s="151">
        <v>0</v>
      </c>
      <c r="BK26" s="151">
        <v>0</v>
      </c>
      <c r="BL26" s="151">
        <v>0</v>
      </c>
      <c r="BM26" s="151">
        <v>0</v>
      </c>
      <c r="BN26" s="151">
        <v>0</v>
      </c>
      <c r="BO26" s="151">
        <v>0</v>
      </c>
      <c r="BP26" s="151">
        <v>0</v>
      </c>
      <c r="BQ26" s="151">
        <v>0</v>
      </c>
      <c r="BR26" s="151">
        <v>0</v>
      </c>
      <c r="BS26" s="151">
        <v>0</v>
      </c>
      <c r="BT26" s="151">
        <v>0</v>
      </c>
      <c r="BU26" s="151">
        <v>0</v>
      </c>
      <c r="BV26" s="180">
        <v>0</v>
      </c>
      <c r="BW26" s="151">
        <v>0</v>
      </c>
      <c r="BX26" s="151">
        <v>0</v>
      </c>
      <c r="BY26" s="151">
        <v>0</v>
      </c>
      <c r="BZ26" s="151">
        <v>0</v>
      </c>
      <c r="CA26" s="151">
        <v>0</v>
      </c>
      <c r="CB26" s="151">
        <v>0</v>
      </c>
      <c r="CC26" s="151">
        <v>0</v>
      </c>
      <c r="CD26" s="151">
        <v>0</v>
      </c>
      <c r="CE26" s="151">
        <v>0</v>
      </c>
      <c r="CF26" s="151">
        <v>0</v>
      </c>
      <c r="CG26" s="151">
        <v>0</v>
      </c>
      <c r="CH26" s="151">
        <v>0</v>
      </c>
      <c r="CI26" s="151">
        <v>0</v>
      </c>
      <c r="CJ26" s="180">
        <v>0</v>
      </c>
      <c r="CK26" s="151">
        <v>0</v>
      </c>
      <c r="CL26" s="151">
        <v>0</v>
      </c>
      <c r="CM26" s="151">
        <v>0</v>
      </c>
      <c r="CN26" s="151">
        <v>0</v>
      </c>
      <c r="CO26" s="151">
        <v>0</v>
      </c>
      <c r="CP26" s="151">
        <v>0</v>
      </c>
      <c r="CQ26" s="151">
        <v>0</v>
      </c>
      <c r="CR26" s="151">
        <v>0</v>
      </c>
      <c r="CS26" s="151">
        <v>0</v>
      </c>
      <c r="CT26" s="151">
        <v>0</v>
      </c>
      <c r="CU26" s="151">
        <v>0</v>
      </c>
      <c r="CV26" s="151">
        <v>0</v>
      </c>
      <c r="CW26" s="151">
        <v>0</v>
      </c>
      <c r="CX26" s="151">
        <v>0</v>
      </c>
      <c r="CY26" s="151">
        <v>0</v>
      </c>
      <c r="CZ26" s="151">
        <v>0.26700000000000002</v>
      </c>
      <c r="DA26" s="151">
        <v>0</v>
      </c>
      <c r="DB26" s="151">
        <v>0.35399999999999998</v>
      </c>
      <c r="DC26" s="151">
        <v>0.35399999999999998</v>
      </c>
      <c r="DD26" s="151">
        <v>0.11</v>
      </c>
      <c r="DE26" s="151">
        <v>0.17299999999999999</v>
      </c>
      <c r="DF26" s="151">
        <v>0</v>
      </c>
      <c r="DG26" s="151">
        <v>0</v>
      </c>
      <c r="DH26" s="151">
        <v>0</v>
      </c>
      <c r="DI26" s="151">
        <v>0</v>
      </c>
      <c r="DJ26" s="151">
        <v>0</v>
      </c>
      <c r="DK26" s="151">
        <v>0</v>
      </c>
      <c r="DL26" s="180">
        <v>0</v>
      </c>
      <c r="DM26" s="151">
        <v>0</v>
      </c>
      <c r="DN26" s="151">
        <v>7.2999999999999995E-2</v>
      </c>
      <c r="DO26" s="151">
        <v>0</v>
      </c>
      <c r="DP26" s="151">
        <v>9.6000000000000002E-2</v>
      </c>
      <c r="DQ26" s="151">
        <v>9.6000000000000002E-2</v>
      </c>
      <c r="DR26" s="151">
        <v>0.03</v>
      </c>
      <c r="DS26" s="151">
        <v>4.7E-2</v>
      </c>
      <c r="DT26" s="151">
        <v>0</v>
      </c>
      <c r="DU26" s="151">
        <v>0</v>
      </c>
      <c r="DV26" s="151">
        <v>0</v>
      </c>
      <c r="DW26" s="151">
        <v>0</v>
      </c>
      <c r="DX26" s="151">
        <v>0</v>
      </c>
      <c r="DY26" s="151">
        <v>0</v>
      </c>
      <c r="DZ26" s="180">
        <v>0</v>
      </c>
      <c r="EA26" s="151">
        <v>0</v>
      </c>
      <c r="EB26" s="151">
        <v>0</v>
      </c>
      <c r="EC26" s="151">
        <v>0</v>
      </c>
      <c r="ED26" s="151">
        <v>0</v>
      </c>
      <c r="EE26" s="151">
        <v>0</v>
      </c>
      <c r="EF26" s="151">
        <v>0</v>
      </c>
      <c r="EG26" s="151">
        <v>0</v>
      </c>
      <c r="EH26" s="151">
        <v>0</v>
      </c>
      <c r="EI26" s="151">
        <v>0</v>
      </c>
      <c r="EJ26" s="151">
        <v>0</v>
      </c>
      <c r="EK26" s="151">
        <v>0</v>
      </c>
      <c r="EL26" s="151">
        <v>0</v>
      </c>
      <c r="EM26" s="151">
        <v>0</v>
      </c>
      <c r="EN26" s="169">
        <v>0</v>
      </c>
      <c r="EO26" s="169">
        <v>0</v>
      </c>
      <c r="EP26" s="169">
        <v>0</v>
      </c>
      <c r="EQ26" s="169">
        <v>1.6</v>
      </c>
      <c r="ER26" s="255">
        <f t="shared" si="5"/>
        <v>1.6</v>
      </c>
      <c r="ES26" s="150">
        <v>0</v>
      </c>
      <c r="ET26" s="151">
        <v>0</v>
      </c>
      <c r="EU26" s="151">
        <v>0</v>
      </c>
      <c r="EV26" s="151">
        <v>0</v>
      </c>
      <c r="EW26" s="151">
        <v>0</v>
      </c>
      <c r="EX26" s="151">
        <v>0</v>
      </c>
      <c r="EY26" s="150">
        <v>0</v>
      </c>
      <c r="EZ26" s="150">
        <v>0</v>
      </c>
      <c r="FA26" s="150">
        <v>0</v>
      </c>
      <c r="FB26" s="150">
        <v>0</v>
      </c>
      <c r="FC26" s="150">
        <v>0</v>
      </c>
      <c r="FD26" s="150">
        <v>0</v>
      </c>
      <c r="FE26" s="150">
        <v>0</v>
      </c>
      <c r="FF26" s="150">
        <v>0</v>
      </c>
      <c r="FG26">
        <v>0</v>
      </c>
    </row>
    <row r="27" spans="1:163" x14ac:dyDescent="0.25">
      <c r="A27" t="s">
        <v>87</v>
      </c>
      <c r="B27" t="s">
        <v>609</v>
      </c>
      <c r="C27" s="144"/>
      <c r="D27" s="151">
        <v>0</v>
      </c>
      <c r="E27" s="151">
        <v>0.33</v>
      </c>
      <c r="F27" s="151">
        <v>0</v>
      </c>
      <c r="G27" s="151">
        <v>0</v>
      </c>
      <c r="H27" s="151">
        <v>0</v>
      </c>
      <c r="I27" s="151">
        <v>0</v>
      </c>
      <c r="J27" s="151">
        <v>0.108</v>
      </c>
      <c r="K27" s="151">
        <v>0</v>
      </c>
      <c r="L27" s="151">
        <v>0</v>
      </c>
      <c r="M27" s="151">
        <v>0</v>
      </c>
      <c r="N27" s="151">
        <v>0</v>
      </c>
      <c r="O27" s="151">
        <v>0</v>
      </c>
      <c r="P27" s="151">
        <v>0</v>
      </c>
      <c r="Q27" s="151">
        <v>0</v>
      </c>
      <c r="R27" s="180">
        <v>0</v>
      </c>
      <c r="S27" s="151">
        <v>0.33</v>
      </c>
      <c r="T27" s="151">
        <v>0</v>
      </c>
      <c r="U27" s="151">
        <v>0</v>
      </c>
      <c r="V27" s="151">
        <v>0</v>
      </c>
      <c r="W27" s="151">
        <v>0</v>
      </c>
      <c r="X27" s="151">
        <v>0.03</v>
      </c>
      <c r="Y27" s="151">
        <v>0</v>
      </c>
      <c r="Z27" s="151">
        <v>0</v>
      </c>
      <c r="AA27" s="151">
        <v>0</v>
      </c>
      <c r="AB27" s="151">
        <v>0</v>
      </c>
      <c r="AC27" s="151">
        <v>0</v>
      </c>
      <c r="AD27" s="151">
        <v>0</v>
      </c>
      <c r="AE27" s="151">
        <v>0</v>
      </c>
      <c r="AF27" s="180">
        <v>0</v>
      </c>
      <c r="AG27" s="151">
        <v>0.33</v>
      </c>
      <c r="AH27" s="151">
        <v>0</v>
      </c>
      <c r="AI27" s="151">
        <v>0</v>
      </c>
      <c r="AJ27" s="151">
        <v>0</v>
      </c>
      <c r="AK27" s="151">
        <v>0</v>
      </c>
      <c r="AL27" s="151">
        <v>6.2E-2</v>
      </c>
      <c r="AM27" s="151">
        <v>0</v>
      </c>
      <c r="AN27" s="151">
        <v>0</v>
      </c>
      <c r="AO27" s="151">
        <v>0</v>
      </c>
      <c r="AP27" s="151">
        <v>0</v>
      </c>
      <c r="AQ27" s="151">
        <v>0</v>
      </c>
      <c r="AR27" s="151">
        <v>0</v>
      </c>
      <c r="AS27" s="151">
        <v>0</v>
      </c>
      <c r="AT27" s="180">
        <v>0</v>
      </c>
      <c r="AU27" s="151">
        <v>0</v>
      </c>
      <c r="AV27" s="151">
        <v>0</v>
      </c>
      <c r="AW27" s="151">
        <v>0</v>
      </c>
      <c r="AX27" s="151">
        <v>0</v>
      </c>
      <c r="AY27" s="151">
        <v>0</v>
      </c>
      <c r="AZ27" s="151">
        <v>0</v>
      </c>
      <c r="BA27" s="151">
        <v>0</v>
      </c>
      <c r="BB27" s="151">
        <v>0</v>
      </c>
      <c r="BC27" s="151">
        <v>0</v>
      </c>
      <c r="BD27" s="151">
        <v>0</v>
      </c>
      <c r="BE27" s="151">
        <v>0</v>
      </c>
      <c r="BF27" s="182">
        <v>0</v>
      </c>
      <c r="BG27" s="181">
        <v>0</v>
      </c>
      <c r="BH27" s="180">
        <v>0</v>
      </c>
      <c r="BI27" s="151">
        <v>0</v>
      </c>
      <c r="BJ27" s="151">
        <v>0</v>
      </c>
      <c r="BK27" s="151">
        <v>0</v>
      </c>
      <c r="BL27" s="151">
        <v>0</v>
      </c>
      <c r="BM27" s="151">
        <v>0</v>
      </c>
      <c r="BN27" s="151">
        <v>0</v>
      </c>
      <c r="BO27" s="151">
        <v>0</v>
      </c>
      <c r="BP27" s="151">
        <v>0</v>
      </c>
      <c r="BQ27" s="151">
        <v>0</v>
      </c>
      <c r="BR27" s="151">
        <v>0</v>
      </c>
      <c r="BS27" s="151">
        <v>0</v>
      </c>
      <c r="BT27" s="151">
        <v>0</v>
      </c>
      <c r="BU27" s="151">
        <v>0</v>
      </c>
      <c r="BV27" s="180">
        <v>0</v>
      </c>
      <c r="BW27" s="151">
        <v>0</v>
      </c>
      <c r="BX27" s="151">
        <v>0</v>
      </c>
      <c r="BY27" s="151">
        <v>0</v>
      </c>
      <c r="BZ27" s="151">
        <v>0</v>
      </c>
      <c r="CA27" s="151">
        <v>0</v>
      </c>
      <c r="CB27" s="151">
        <v>0</v>
      </c>
      <c r="CC27" s="151">
        <v>0</v>
      </c>
      <c r="CD27" s="151">
        <v>0</v>
      </c>
      <c r="CE27" s="151">
        <v>0</v>
      </c>
      <c r="CF27" s="151">
        <v>0</v>
      </c>
      <c r="CG27" s="151">
        <v>0</v>
      </c>
      <c r="CH27" s="151">
        <v>0</v>
      </c>
      <c r="CI27" s="151">
        <v>0</v>
      </c>
      <c r="CJ27" s="180">
        <v>0</v>
      </c>
      <c r="CK27" s="151">
        <v>0</v>
      </c>
      <c r="CL27" s="151">
        <v>0</v>
      </c>
      <c r="CM27" s="151">
        <v>0</v>
      </c>
      <c r="CN27" s="151">
        <v>0</v>
      </c>
      <c r="CO27" s="151">
        <v>0</v>
      </c>
      <c r="CP27" s="151">
        <v>0</v>
      </c>
      <c r="CQ27" s="151">
        <v>0</v>
      </c>
      <c r="CR27" s="151">
        <v>0</v>
      </c>
      <c r="CS27" s="151">
        <v>0</v>
      </c>
      <c r="CT27" s="151">
        <v>0</v>
      </c>
      <c r="CU27" s="151">
        <v>0</v>
      </c>
      <c r="CV27" s="151">
        <v>0</v>
      </c>
      <c r="CW27" s="151">
        <v>0</v>
      </c>
      <c r="CX27" s="151">
        <v>0</v>
      </c>
      <c r="CY27" s="151">
        <v>0</v>
      </c>
      <c r="CZ27" s="151">
        <v>0</v>
      </c>
      <c r="DA27" s="151">
        <v>0</v>
      </c>
      <c r="DB27" s="151">
        <v>0.4</v>
      </c>
      <c r="DC27" s="151">
        <v>0</v>
      </c>
      <c r="DD27" s="151">
        <v>0</v>
      </c>
      <c r="DE27" s="151">
        <v>0</v>
      </c>
      <c r="DF27" s="151">
        <v>0</v>
      </c>
      <c r="DG27" s="151">
        <v>0</v>
      </c>
      <c r="DH27" s="151">
        <v>0</v>
      </c>
      <c r="DI27" s="151">
        <v>0</v>
      </c>
      <c r="DJ27" s="151">
        <v>0</v>
      </c>
      <c r="DK27" s="151">
        <v>0</v>
      </c>
      <c r="DL27" s="180">
        <v>0</v>
      </c>
      <c r="DM27" s="151">
        <v>0</v>
      </c>
      <c r="DN27" s="151">
        <v>0</v>
      </c>
      <c r="DO27" s="151">
        <v>0</v>
      </c>
      <c r="DP27" s="151">
        <v>0</v>
      </c>
      <c r="DQ27" s="151">
        <v>0</v>
      </c>
      <c r="DR27" s="151">
        <v>0</v>
      </c>
      <c r="DS27" s="151">
        <v>0</v>
      </c>
      <c r="DT27" s="151">
        <v>0</v>
      </c>
      <c r="DU27" s="151">
        <v>0</v>
      </c>
      <c r="DV27" s="151">
        <v>0</v>
      </c>
      <c r="DW27" s="151">
        <v>0</v>
      </c>
      <c r="DX27" s="151">
        <v>0</v>
      </c>
      <c r="DY27" s="151">
        <v>0</v>
      </c>
      <c r="DZ27" s="180">
        <v>0</v>
      </c>
      <c r="EA27" s="151">
        <v>0</v>
      </c>
      <c r="EB27" s="151">
        <v>0</v>
      </c>
      <c r="EC27" s="151">
        <v>0</v>
      </c>
      <c r="ED27" s="151">
        <v>0</v>
      </c>
      <c r="EE27" s="151">
        <v>0</v>
      </c>
      <c r="EF27" s="151">
        <v>0</v>
      </c>
      <c r="EG27" s="151">
        <v>0</v>
      </c>
      <c r="EH27" s="151">
        <v>0</v>
      </c>
      <c r="EI27" s="151">
        <v>0</v>
      </c>
      <c r="EJ27" s="151">
        <v>0</v>
      </c>
      <c r="EK27" s="151">
        <v>0</v>
      </c>
      <c r="EL27" s="151">
        <v>0</v>
      </c>
      <c r="EM27" s="151">
        <v>0</v>
      </c>
      <c r="EN27" s="169">
        <v>1.19</v>
      </c>
      <c r="EO27" s="169">
        <v>0</v>
      </c>
      <c r="EP27" s="169">
        <v>0</v>
      </c>
      <c r="EQ27" s="169">
        <v>0.4</v>
      </c>
      <c r="ER27" s="255">
        <f t="shared" si="5"/>
        <v>1.5899999999999999</v>
      </c>
      <c r="ES27" s="151">
        <v>0</v>
      </c>
      <c r="ET27" s="151">
        <v>0</v>
      </c>
      <c r="EU27" s="151">
        <v>0</v>
      </c>
      <c r="EV27" s="151">
        <v>0</v>
      </c>
      <c r="EW27" s="151">
        <v>0</v>
      </c>
      <c r="EX27" s="151">
        <v>0</v>
      </c>
      <c r="EY27" s="150">
        <v>0</v>
      </c>
      <c r="EZ27" s="150">
        <v>0</v>
      </c>
      <c r="FA27" s="150">
        <v>0</v>
      </c>
      <c r="FB27" s="150">
        <v>0</v>
      </c>
      <c r="FC27" s="150">
        <v>0</v>
      </c>
      <c r="FD27" s="150">
        <v>0</v>
      </c>
      <c r="FE27" s="150">
        <v>0</v>
      </c>
      <c r="FF27" s="150">
        <v>0</v>
      </c>
      <c r="FG27">
        <v>0</v>
      </c>
    </row>
    <row r="28" spans="1:163" x14ac:dyDescent="0.25">
      <c r="A28" t="s">
        <v>256</v>
      </c>
      <c r="B28" t="s">
        <v>1605</v>
      </c>
      <c r="C28" s="144"/>
      <c r="D28" s="151">
        <v>0</v>
      </c>
      <c r="E28" s="151">
        <v>0</v>
      </c>
      <c r="F28" s="151">
        <v>0</v>
      </c>
      <c r="G28" s="151">
        <v>0</v>
      </c>
      <c r="H28" s="151">
        <v>0</v>
      </c>
      <c r="I28" s="151">
        <v>0</v>
      </c>
      <c r="J28" s="151">
        <v>0.17</v>
      </c>
      <c r="K28" s="151">
        <v>0</v>
      </c>
      <c r="L28" s="151">
        <v>0</v>
      </c>
      <c r="M28" s="151">
        <v>0</v>
      </c>
      <c r="N28" s="151">
        <v>0</v>
      </c>
      <c r="O28" s="151">
        <v>0</v>
      </c>
      <c r="P28" s="151">
        <v>0</v>
      </c>
      <c r="Q28" s="151">
        <v>0</v>
      </c>
      <c r="R28" s="180">
        <v>0</v>
      </c>
      <c r="S28" s="151">
        <v>0</v>
      </c>
      <c r="T28" s="151">
        <v>0</v>
      </c>
      <c r="U28" s="151">
        <v>0</v>
      </c>
      <c r="V28" s="151">
        <v>0</v>
      </c>
      <c r="W28" s="151">
        <v>0</v>
      </c>
      <c r="X28" s="151">
        <v>0.17</v>
      </c>
      <c r="Y28" s="151">
        <v>0</v>
      </c>
      <c r="Z28" s="151">
        <v>0</v>
      </c>
      <c r="AA28" s="151">
        <v>0</v>
      </c>
      <c r="AB28" s="151">
        <v>0</v>
      </c>
      <c r="AC28" s="151">
        <v>0</v>
      </c>
      <c r="AD28" s="151">
        <v>0</v>
      </c>
      <c r="AE28" s="151">
        <v>0</v>
      </c>
      <c r="AF28" s="180">
        <v>0</v>
      </c>
      <c r="AG28" s="151">
        <v>0</v>
      </c>
      <c r="AH28" s="151">
        <v>0</v>
      </c>
      <c r="AI28" s="151">
        <v>0</v>
      </c>
      <c r="AJ28" s="151">
        <v>0</v>
      </c>
      <c r="AK28" s="151">
        <v>0</v>
      </c>
      <c r="AL28" s="151">
        <v>0.18</v>
      </c>
      <c r="AM28" s="151">
        <v>0</v>
      </c>
      <c r="AN28" s="151">
        <v>0</v>
      </c>
      <c r="AO28" s="151">
        <v>0</v>
      </c>
      <c r="AP28" s="151">
        <v>0</v>
      </c>
      <c r="AQ28" s="151">
        <v>0</v>
      </c>
      <c r="AR28" s="151">
        <v>0</v>
      </c>
      <c r="AS28" s="151">
        <v>0</v>
      </c>
      <c r="AT28" s="180">
        <v>0</v>
      </c>
      <c r="AU28" s="151">
        <v>0</v>
      </c>
      <c r="AV28" s="151">
        <v>0</v>
      </c>
      <c r="AW28" s="151">
        <v>0</v>
      </c>
      <c r="AX28" s="151">
        <v>0</v>
      </c>
      <c r="AY28" s="151">
        <v>0</v>
      </c>
      <c r="AZ28" s="151">
        <v>0</v>
      </c>
      <c r="BA28" s="151">
        <v>0</v>
      </c>
      <c r="BB28" s="151">
        <v>0</v>
      </c>
      <c r="BC28" s="151">
        <v>0</v>
      </c>
      <c r="BD28" s="151">
        <v>0</v>
      </c>
      <c r="BE28" s="151">
        <v>0</v>
      </c>
      <c r="BF28" s="182">
        <v>0</v>
      </c>
      <c r="BG28" s="181">
        <v>0</v>
      </c>
      <c r="BH28" s="180">
        <v>0</v>
      </c>
      <c r="BI28" s="151">
        <v>0</v>
      </c>
      <c r="BJ28" s="151">
        <v>0</v>
      </c>
      <c r="BK28" s="151">
        <v>0</v>
      </c>
      <c r="BL28" s="151">
        <v>0</v>
      </c>
      <c r="BM28" s="151">
        <v>0</v>
      </c>
      <c r="BN28" s="151">
        <v>0</v>
      </c>
      <c r="BO28" s="151">
        <v>0</v>
      </c>
      <c r="BP28" s="151">
        <v>0</v>
      </c>
      <c r="BQ28" s="151">
        <v>0</v>
      </c>
      <c r="BR28" s="151">
        <v>0</v>
      </c>
      <c r="BS28" s="151">
        <v>0</v>
      </c>
      <c r="BT28" s="151">
        <v>0</v>
      </c>
      <c r="BU28" s="151">
        <v>0</v>
      </c>
      <c r="BV28" s="180">
        <v>0</v>
      </c>
      <c r="BW28" s="151">
        <v>0</v>
      </c>
      <c r="BX28" s="151">
        <v>0</v>
      </c>
      <c r="BY28" s="151">
        <v>0</v>
      </c>
      <c r="BZ28" s="151">
        <v>0</v>
      </c>
      <c r="CA28" s="151">
        <v>0</v>
      </c>
      <c r="CB28" s="151">
        <v>0</v>
      </c>
      <c r="CC28" s="151">
        <v>0</v>
      </c>
      <c r="CD28" s="151">
        <v>0</v>
      </c>
      <c r="CE28" s="151">
        <v>0</v>
      </c>
      <c r="CF28" s="151">
        <v>0</v>
      </c>
      <c r="CG28" s="151">
        <v>0</v>
      </c>
      <c r="CH28" s="151">
        <v>0</v>
      </c>
      <c r="CI28" s="151">
        <v>0</v>
      </c>
      <c r="CJ28" s="180">
        <v>0</v>
      </c>
      <c r="CK28" s="151">
        <v>0</v>
      </c>
      <c r="CL28" s="151">
        <v>0</v>
      </c>
      <c r="CM28" s="151">
        <v>0</v>
      </c>
      <c r="CN28" s="151">
        <v>0</v>
      </c>
      <c r="CO28" s="151">
        <v>0</v>
      </c>
      <c r="CP28" s="151">
        <v>0</v>
      </c>
      <c r="CQ28" s="151">
        <v>0</v>
      </c>
      <c r="CR28" s="151">
        <v>0</v>
      </c>
      <c r="CS28" s="151">
        <v>0</v>
      </c>
      <c r="CT28" s="151">
        <v>0</v>
      </c>
      <c r="CU28" s="151">
        <v>0</v>
      </c>
      <c r="CV28" s="151">
        <v>0</v>
      </c>
      <c r="CW28" s="151">
        <v>0</v>
      </c>
      <c r="CX28" s="151">
        <v>0</v>
      </c>
      <c r="CY28" s="151">
        <v>0</v>
      </c>
      <c r="CZ28" s="151">
        <v>0.25</v>
      </c>
      <c r="DA28" s="151">
        <v>0</v>
      </c>
      <c r="DB28" s="151">
        <v>0.5</v>
      </c>
      <c r="DC28" s="151">
        <v>0.33</v>
      </c>
      <c r="DD28" s="151">
        <v>0</v>
      </c>
      <c r="DE28" s="151">
        <v>0.1</v>
      </c>
      <c r="DF28" s="151">
        <v>0</v>
      </c>
      <c r="DG28" s="151">
        <v>0</v>
      </c>
      <c r="DH28" s="151">
        <v>0</v>
      </c>
      <c r="DI28" s="151">
        <v>0</v>
      </c>
      <c r="DJ28" s="151">
        <v>0</v>
      </c>
      <c r="DK28" s="151">
        <v>0</v>
      </c>
      <c r="DL28" s="180">
        <v>0</v>
      </c>
      <c r="DM28" s="151">
        <v>0</v>
      </c>
      <c r="DN28" s="151">
        <v>0</v>
      </c>
      <c r="DO28" s="151">
        <v>0</v>
      </c>
      <c r="DP28" s="151">
        <v>0.25</v>
      </c>
      <c r="DQ28" s="151">
        <v>0.33</v>
      </c>
      <c r="DR28" s="151">
        <v>0</v>
      </c>
      <c r="DS28" s="151">
        <v>0.1</v>
      </c>
      <c r="DT28" s="151">
        <v>0</v>
      </c>
      <c r="DU28" s="151">
        <v>0</v>
      </c>
      <c r="DV28" s="151">
        <v>0</v>
      </c>
      <c r="DW28" s="151">
        <v>0</v>
      </c>
      <c r="DX28" s="151">
        <v>0</v>
      </c>
      <c r="DY28" s="151">
        <v>0</v>
      </c>
      <c r="DZ28" s="180">
        <v>0</v>
      </c>
      <c r="EA28" s="151">
        <v>0</v>
      </c>
      <c r="EB28" s="151">
        <v>0</v>
      </c>
      <c r="EC28" s="151">
        <v>0</v>
      </c>
      <c r="ED28" s="151">
        <v>0</v>
      </c>
      <c r="EE28" s="151">
        <v>0.34</v>
      </c>
      <c r="EF28" s="151">
        <v>0</v>
      </c>
      <c r="EG28" s="151">
        <v>0.1</v>
      </c>
      <c r="EH28" s="151">
        <v>0</v>
      </c>
      <c r="EI28" s="151">
        <v>0</v>
      </c>
      <c r="EJ28" s="151">
        <v>0</v>
      </c>
      <c r="EK28" s="151">
        <v>0</v>
      </c>
      <c r="EL28" s="151">
        <v>0</v>
      </c>
      <c r="EM28" s="151">
        <v>0</v>
      </c>
      <c r="EN28" s="169">
        <v>0.52</v>
      </c>
      <c r="EO28" s="169">
        <v>0</v>
      </c>
      <c r="EP28" s="169">
        <v>0</v>
      </c>
      <c r="EQ28" s="169">
        <v>2.3000000000000003</v>
      </c>
      <c r="ER28" s="255">
        <f t="shared" si="5"/>
        <v>2.8200000000000003</v>
      </c>
      <c r="ES28" s="151">
        <v>0</v>
      </c>
      <c r="ET28" s="151">
        <v>0</v>
      </c>
      <c r="EU28" s="151">
        <v>0</v>
      </c>
      <c r="EV28" s="151">
        <v>0</v>
      </c>
      <c r="EW28" s="151">
        <v>0</v>
      </c>
      <c r="EX28" s="151">
        <v>0</v>
      </c>
      <c r="EY28" s="150">
        <v>0</v>
      </c>
      <c r="EZ28" s="150">
        <v>0</v>
      </c>
      <c r="FA28" s="150">
        <v>0</v>
      </c>
      <c r="FB28" s="150">
        <v>0</v>
      </c>
      <c r="FC28" s="150">
        <v>0</v>
      </c>
      <c r="FD28" s="150">
        <v>0</v>
      </c>
      <c r="FE28" s="150">
        <v>0</v>
      </c>
      <c r="FF28" s="150">
        <v>0</v>
      </c>
      <c r="FG28">
        <v>0</v>
      </c>
    </row>
    <row r="29" spans="1:163" x14ac:dyDescent="0.25">
      <c r="A29" t="s">
        <v>176</v>
      </c>
      <c r="B29" t="s">
        <v>610</v>
      </c>
      <c r="C29" s="144"/>
      <c r="D29" s="151">
        <v>0</v>
      </c>
      <c r="E29" s="151">
        <v>0</v>
      </c>
      <c r="F29" s="151">
        <v>0</v>
      </c>
      <c r="G29" s="151">
        <v>0</v>
      </c>
      <c r="H29" s="151">
        <v>0</v>
      </c>
      <c r="I29" s="151">
        <v>0</v>
      </c>
      <c r="J29" s="151">
        <v>0.26700000000000002</v>
      </c>
      <c r="K29" s="151">
        <v>0</v>
      </c>
      <c r="L29" s="151">
        <v>0</v>
      </c>
      <c r="M29" s="151">
        <v>0</v>
      </c>
      <c r="N29" s="151">
        <v>0</v>
      </c>
      <c r="O29" s="151">
        <v>0</v>
      </c>
      <c r="P29" s="151">
        <v>0</v>
      </c>
      <c r="Q29" s="151">
        <v>0</v>
      </c>
      <c r="R29" s="180">
        <v>0</v>
      </c>
      <c r="S29" s="151">
        <v>0</v>
      </c>
      <c r="T29" s="151">
        <v>0</v>
      </c>
      <c r="U29" s="151">
        <v>0</v>
      </c>
      <c r="V29" s="151">
        <v>0</v>
      </c>
      <c r="W29" s="151">
        <v>0</v>
      </c>
      <c r="X29" s="151">
        <v>3.3000000000000002E-2</v>
      </c>
      <c r="Y29" s="151">
        <v>0</v>
      </c>
      <c r="Z29" s="151">
        <v>0</v>
      </c>
      <c r="AA29" s="151">
        <v>0</v>
      </c>
      <c r="AB29" s="151">
        <v>0</v>
      </c>
      <c r="AC29" s="151">
        <v>0</v>
      </c>
      <c r="AD29" s="151">
        <v>0</v>
      </c>
      <c r="AE29" s="151">
        <v>0</v>
      </c>
      <c r="AF29" s="180">
        <v>0</v>
      </c>
      <c r="AG29" s="151">
        <v>0</v>
      </c>
      <c r="AH29" s="151">
        <v>0</v>
      </c>
      <c r="AI29" s="151">
        <v>0</v>
      </c>
      <c r="AJ29" s="151">
        <v>0</v>
      </c>
      <c r="AK29" s="151">
        <v>0</v>
      </c>
      <c r="AL29" s="151">
        <v>3.3000000000000002E-2</v>
      </c>
      <c r="AM29" s="151">
        <v>0</v>
      </c>
      <c r="AN29" s="151">
        <v>0</v>
      </c>
      <c r="AO29" s="151">
        <v>0</v>
      </c>
      <c r="AP29" s="151">
        <v>0</v>
      </c>
      <c r="AQ29" s="151">
        <v>0</v>
      </c>
      <c r="AR29" s="151">
        <v>0</v>
      </c>
      <c r="AS29" s="151">
        <v>0</v>
      </c>
      <c r="AT29" s="180">
        <v>0</v>
      </c>
      <c r="AU29" s="151">
        <v>0</v>
      </c>
      <c r="AV29" s="151">
        <v>0</v>
      </c>
      <c r="AW29" s="151">
        <v>0</v>
      </c>
      <c r="AX29" s="151">
        <v>0</v>
      </c>
      <c r="AY29" s="151">
        <v>0</v>
      </c>
      <c r="AZ29" s="151">
        <v>0</v>
      </c>
      <c r="BA29" s="151">
        <v>0</v>
      </c>
      <c r="BB29" s="151">
        <v>0</v>
      </c>
      <c r="BC29" s="151">
        <v>0</v>
      </c>
      <c r="BD29" s="151">
        <v>0</v>
      </c>
      <c r="BE29" s="151">
        <v>0</v>
      </c>
      <c r="BF29" s="182">
        <v>0</v>
      </c>
      <c r="BG29" s="181">
        <v>0</v>
      </c>
      <c r="BH29" s="180">
        <v>0</v>
      </c>
      <c r="BI29" s="151">
        <v>0</v>
      </c>
      <c r="BJ29" s="151">
        <v>0</v>
      </c>
      <c r="BK29" s="151">
        <v>0</v>
      </c>
      <c r="BL29" s="151">
        <v>0</v>
      </c>
      <c r="BM29" s="151">
        <v>0</v>
      </c>
      <c r="BN29" s="151">
        <v>0</v>
      </c>
      <c r="BO29" s="151">
        <v>0</v>
      </c>
      <c r="BP29" s="151">
        <v>0</v>
      </c>
      <c r="BQ29" s="151">
        <v>0</v>
      </c>
      <c r="BR29" s="151">
        <v>0</v>
      </c>
      <c r="BS29" s="151">
        <v>0</v>
      </c>
      <c r="BT29" s="151">
        <v>0</v>
      </c>
      <c r="BU29" s="151">
        <v>0</v>
      </c>
      <c r="BV29" s="180">
        <v>0</v>
      </c>
      <c r="BW29" s="151">
        <v>0</v>
      </c>
      <c r="BX29" s="151">
        <v>0</v>
      </c>
      <c r="BY29" s="151">
        <v>0</v>
      </c>
      <c r="BZ29" s="151">
        <v>0</v>
      </c>
      <c r="CA29" s="151">
        <v>0</v>
      </c>
      <c r="CB29" s="151">
        <v>0</v>
      </c>
      <c r="CC29" s="151">
        <v>0</v>
      </c>
      <c r="CD29" s="151">
        <v>0</v>
      </c>
      <c r="CE29" s="151">
        <v>0</v>
      </c>
      <c r="CF29" s="151">
        <v>0</v>
      </c>
      <c r="CG29" s="151">
        <v>0</v>
      </c>
      <c r="CH29" s="151">
        <v>0</v>
      </c>
      <c r="CI29" s="151">
        <v>0</v>
      </c>
      <c r="CJ29" s="180">
        <v>0</v>
      </c>
      <c r="CK29" s="151">
        <v>0</v>
      </c>
      <c r="CL29" s="151">
        <v>0</v>
      </c>
      <c r="CM29" s="151">
        <v>0</v>
      </c>
      <c r="CN29" s="151">
        <v>0</v>
      </c>
      <c r="CO29" s="151">
        <v>0</v>
      </c>
      <c r="CP29" s="151">
        <v>0</v>
      </c>
      <c r="CQ29" s="151">
        <v>0</v>
      </c>
      <c r="CR29" s="151">
        <v>0</v>
      </c>
      <c r="CS29" s="151">
        <v>0</v>
      </c>
      <c r="CT29" s="151">
        <v>0</v>
      </c>
      <c r="CU29" s="151">
        <v>0</v>
      </c>
      <c r="CV29" s="151">
        <v>0</v>
      </c>
      <c r="CW29" s="151">
        <v>0</v>
      </c>
      <c r="CX29" s="151">
        <v>0</v>
      </c>
      <c r="CY29" s="151">
        <v>0</v>
      </c>
      <c r="CZ29" s="151">
        <v>0</v>
      </c>
      <c r="DA29" s="151">
        <v>0</v>
      </c>
      <c r="DB29" s="151">
        <v>0.57499999999999996</v>
      </c>
      <c r="DC29" s="151">
        <v>0.2</v>
      </c>
      <c r="DD29" s="151">
        <v>0</v>
      </c>
      <c r="DE29" s="151">
        <v>0.25</v>
      </c>
      <c r="DF29" s="151">
        <v>0</v>
      </c>
      <c r="DG29" s="151">
        <v>0</v>
      </c>
      <c r="DH29" s="151">
        <v>0</v>
      </c>
      <c r="DI29" s="151">
        <v>0</v>
      </c>
      <c r="DJ29" s="151">
        <v>0</v>
      </c>
      <c r="DK29" s="151">
        <v>0</v>
      </c>
      <c r="DL29" s="180">
        <v>0</v>
      </c>
      <c r="DM29" s="151">
        <v>0</v>
      </c>
      <c r="DN29" s="151">
        <v>0</v>
      </c>
      <c r="DO29" s="151">
        <v>0</v>
      </c>
      <c r="DP29" s="151">
        <v>7.1999999999999995E-2</v>
      </c>
      <c r="DQ29" s="151">
        <v>2.5000000000000001E-2</v>
      </c>
      <c r="DR29" s="151">
        <v>0</v>
      </c>
      <c r="DS29" s="151">
        <v>3.1E-2</v>
      </c>
      <c r="DT29" s="151">
        <v>0</v>
      </c>
      <c r="DU29" s="151">
        <v>0</v>
      </c>
      <c r="DV29" s="151">
        <v>0</v>
      </c>
      <c r="DW29" s="151">
        <v>0</v>
      </c>
      <c r="DX29" s="151">
        <v>0</v>
      </c>
      <c r="DY29" s="151">
        <v>0</v>
      </c>
      <c r="DZ29" s="180">
        <v>0</v>
      </c>
      <c r="EA29" s="151">
        <v>0</v>
      </c>
      <c r="EB29" s="151">
        <v>0</v>
      </c>
      <c r="EC29" s="151">
        <v>0</v>
      </c>
      <c r="ED29" s="151">
        <v>7.1999999999999995E-2</v>
      </c>
      <c r="EE29" s="151">
        <v>2.5000000000000001E-2</v>
      </c>
      <c r="EF29" s="151">
        <v>0</v>
      </c>
      <c r="EG29" s="151">
        <v>3.1E-2</v>
      </c>
      <c r="EH29" s="151">
        <v>0</v>
      </c>
      <c r="EI29" s="151">
        <v>0</v>
      </c>
      <c r="EJ29" s="151">
        <v>0</v>
      </c>
      <c r="EK29" s="151">
        <v>0</v>
      </c>
      <c r="EL29" s="151">
        <v>0</v>
      </c>
      <c r="EM29" s="151">
        <v>0</v>
      </c>
      <c r="EN29" s="169">
        <v>0.33300000000000002</v>
      </c>
      <c r="EO29" s="169">
        <v>0</v>
      </c>
      <c r="EP29" s="169">
        <v>0</v>
      </c>
      <c r="EQ29" s="169">
        <v>1.2809999999999999</v>
      </c>
      <c r="ER29" s="255">
        <f t="shared" si="5"/>
        <v>1.6139999999999999</v>
      </c>
      <c r="ES29" s="151">
        <v>0</v>
      </c>
      <c r="ET29" s="151">
        <v>0</v>
      </c>
      <c r="EU29" s="151">
        <v>0</v>
      </c>
      <c r="EV29" s="151">
        <v>0</v>
      </c>
      <c r="EW29" s="151">
        <v>0</v>
      </c>
      <c r="EX29" s="151">
        <v>0</v>
      </c>
      <c r="EY29" s="150">
        <v>0</v>
      </c>
      <c r="EZ29" s="150">
        <v>0</v>
      </c>
      <c r="FA29" s="150">
        <v>0</v>
      </c>
      <c r="FB29" s="150">
        <v>0</v>
      </c>
      <c r="FC29" s="150">
        <v>0</v>
      </c>
      <c r="FD29" s="150">
        <v>0</v>
      </c>
      <c r="FE29" s="150">
        <v>0</v>
      </c>
      <c r="FF29" s="150">
        <v>0</v>
      </c>
      <c r="FG29">
        <v>0</v>
      </c>
    </row>
    <row r="30" spans="1:163" x14ac:dyDescent="0.25">
      <c r="C30" s="144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80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80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80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82"/>
      <c r="BG30" s="181"/>
      <c r="BH30" s="180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80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80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80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80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1"/>
      <c r="EL30" s="151"/>
      <c r="EM30" s="151"/>
      <c r="EN30" s="169"/>
      <c r="EO30" s="169"/>
      <c r="EP30" s="169"/>
      <c r="EQ30" s="169"/>
      <c r="ER30" s="255"/>
      <c r="ES30" s="151"/>
      <c r="ET30" s="151"/>
      <c r="EU30" s="151"/>
      <c r="EV30" s="151"/>
      <c r="EW30" s="151"/>
      <c r="EX30" s="151"/>
      <c r="EY30" s="150"/>
      <c r="EZ30" s="150"/>
      <c r="FA30" s="150"/>
      <c r="FB30" s="150"/>
      <c r="FC30" s="150"/>
      <c r="FD30" s="150"/>
      <c r="FE30" s="150"/>
      <c r="FF30" s="150"/>
    </row>
    <row r="31" spans="1:163" x14ac:dyDescent="0.25">
      <c r="C31" s="144"/>
      <c r="D31" s="151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80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80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80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82"/>
      <c r="BG31" s="181"/>
      <c r="BH31" s="180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80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80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80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80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1"/>
      <c r="EL31" s="151"/>
      <c r="EM31" s="151"/>
      <c r="EN31" s="169"/>
      <c r="EO31" s="169"/>
      <c r="EP31" s="169"/>
      <c r="EQ31" s="169"/>
      <c r="ER31" s="255"/>
      <c r="ES31" s="151"/>
      <c r="ET31" s="151"/>
      <c r="EU31" s="151"/>
      <c r="EV31" s="151"/>
      <c r="EW31" s="151"/>
      <c r="EX31" s="151"/>
      <c r="EY31" s="150"/>
      <c r="EZ31" s="150"/>
      <c r="FA31" s="150"/>
      <c r="FB31" s="150"/>
      <c r="FC31" s="150"/>
      <c r="FD31" s="150"/>
      <c r="FE31" s="150"/>
      <c r="FF31" s="150"/>
    </row>
    <row r="32" spans="1:163" x14ac:dyDescent="0.25">
      <c r="C32" s="144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80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80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80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82"/>
      <c r="BG32" s="181"/>
      <c r="BH32" s="180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80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80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80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80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69"/>
      <c r="EO32" s="169"/>
      <c r="EP32" s="169"/>
      <c r="EQ32" s="169"/>
      <c r="ER32" s="255"/>
      <c r="ES32" s="151"/>
      <c r="ET32" s="151"/>
      <c r="EU32" s="151"/>
      <c r="EV32" s="151"/>
      <c r="EW32" s="151"/>
      <c r="EX32" s="151"/>
      <c r="EY32" s="150"/>
      <c r="EZ32" s="150"/>
      <c r="FA32" s="150"/>
      <c r="FB32" s="150"/>
      <c r="FC32" s="150"/>
      <c r="FD32" s="150"/>
      <c r="FE32" s="150"/>
      <c r="FF32" s="150"/>
    </row>
    <row r="33" spans="1:162" x14ac:dyDescent="0.25">
      <c r="C33" s="144"/>
      <c r="D33" s="151"/>
      <c r="E33" s="151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80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80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80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82"/>
      <c r="BG33" s="181"/>
      <c r="BH33" s="180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80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80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80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80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1"/>
      <c r="EL33" s="151"/>
      <c r="EM33" s="151"/>
      <c r="EN33" s="169"/>
      <c r="EO33" s="169"/>
      <c r="EP33" s="169"/>
      <c r="EQ33" s="169"/>
      <c r="ER33" s="255"/>
      <c r="ES33" s="151"/>
      <c r="ET33" s="151"/>
      <c r="EU33" s="151"/>
      <c r="EV33" s="151"/>
      <c r="EW33" s="151"/>
      <c r="EX33" s="151"/>
      <c r="EY33" s="150"/>
      <c r="EZ33" s="150"/>
      <c r="FA33" s="150"/>
      <c r="FB33" s="150"/>
      <c r="FC33" s="150"/>
      <c r="FD33" s="150"/>
      <c r="FE33" s="150"/>
      <c r="FF33" s="150"/>
    </row>
    <row r="34" spans="1:162" x14ac:dyDescent="0.25">
      <c r="C34" s="144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80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80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80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82"/>
      <c r="BG34" s="181"/>
      <c r="BH34" s="180"/>
      <c r="BI34" s="151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80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80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80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80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69"/>
      <c r="EO34" s="169"/>
      <c r="EP34" s="169"/>
      <c r="EQ34" s="169"/>
      <c r="ER34" s="255"/>
      <c r="ES34" s="151"/>
      <c r="ET34" s="151"/>
      <c r="EU34" s="151"/>
      <c r="EV34" s="151"/>
      <c r="EW34" s="151"/>
      <c r="EX34" s="151"/>
      <c r="EY34" s="150"/>
      <c r="EZ34" s="150"/>
      <c r="FA34" s="150"/>
      <c r="FB34" s="150"/>
      <c r="FC34" s="150"/>
      <c r="FD34" s="150"/>
      <c r="FE34" s="150"/>
      <c r="FF34" s="150"/>
    </row>
    <row r="35" spans="1:162" x14ac:dyDescent="0.25">
      <c r="C35" s="144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80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80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80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82"/>
      <c r="BG35" s="181"/>
      <c r="BH35" s="180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80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80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80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80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/>
      <c r="EN35" s="169"/>
      <c r="EO35" s="169"/>
      <c r="EP35" s="169"/>
      <c r="EQ35" s="169"/>
      <c r="ER35" s="255"/>
      <c r="ES35" s="151"/>
      <c r="ET35" s="151"/>
      <c r="EU35" s="151"/>
      <c r="EV35" s="151"/>
      <c r="EW35" s="151"/>
      <c r="EX35" s="151"/>
      <c r="EY35" s="150"/>
      <c r="EZ35" s="150"/>
      <c r="FA35" s="150"/>
      <c r="FB35" s="150"/>
      <c r="FC35" s="150"/>
      <c r="FD35" s="150"/>
      <c r="FE35" s="150"/>
      <c r="FF35" s="150"/>
    </row>
    <row r="36" spans="1:162" x14ac:dyDescent="0.25">
      <c r="C36" s="144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80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80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80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82"/>
      <c r="BG36" s="181"/>
      <c r="BH36" s="180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80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80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80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80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69"/>
      <c r="EO36" s="169"/>
      <c r="EP36" s="169"/>
      <c r="EQ36" s="169"/>
      <c r="ER36" s="255"/>
      <c r="ES36" s="151"/>
      <c r="ET36" s="151"/>
      <c r="EU36" s="151"/>
      <c r="EV36" s="151"/>
      <c r="EW36" s="151"/>
      <c r="EX36" s="151"/>
      <c r="EY36" s="150"/>
      <c r="EZ36" s="150"/>
      <c r="FA36" s="150"/>
      <c r="FB36" s="150"/>
      <c r="FC36" s="150"/>
      <c r="FD36" s="150"/>
      <c r="FE36" s="150"/>
      <c r="FF36" s="150"/>
    </row>
    <row r="37" spans="1:162" x14ac:dyDescent="0.25">
      <c r="C37" s="144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80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80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82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82"/>
      <c r="BG37" s="181"/>
      <c r="BH37" s="180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80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80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80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80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69"/>
      <c r="EO37" s="169"/>
      <c r="EP37" s="169"/>
      <c r="EQ37" s="169"/>
      <c r="ER37" s="255"/>
      <c r="ES37" s="151"/>
      <c r="ET37" s="151"/>
      <c r="EU37" s="151"/>
      <c r="EV37" s="151"/>
      <c r="EW37" s="151"/>
      <c r="EX37" s="151"/>
      <c r="EY37" s="150"/>
      <c r="EZ37" s="150"/>
      <c r="FA37" s="150"/>
      <c r="FB37" s="150"/>
      <c r="FC37" s="150"/>
      <c r="FD37" s="150"/>
      <c r="FE37" s="150"/>
      <c r="FF37" s="150"/>
    </row>
    <row r="38" spans="1:162" x14ac:dyDescent="0.25">
      <c r="C38" s="144"/>
      <c r="D38" s="151"/>
      <c r="E38" s="151"/>
      <c r="F38" s="151"/>
      <c r="G38" s="151"/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80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80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82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82"/>
      <c r="BG38" s="181"/>
      <c r="BH38" s="180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80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80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80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80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1"/>
      <c r="EL38" s="151"/>
      <c r="EM38" s="151"/>
      <c r="EN38" s="169"/>
      <c r="EO38" s="169"/>
      <c r="EP38" s="169"/>
      <c r="EQ38" s="169"/>
      <c r="ER38" s="255"/>
      <c r="ES38" s="151"/>
      <c r="ET38" s="151"/>
      <c r="EU38" s="151"/>
      <c r="EV38" s="151"/>
      <c r="EW38" s="151"/>
      <c r="EX38" s="151"/>
      <c r="EY38" s="150"/>
      <c r="EZ38" s="150"/>
      <c r="FA38" s="150"/>
      <c r="FB38" s="150"/>
      <c r="FC38" s="150"/>
      <c r="FD38" s="150"/>
      <c r="FE38" s="150"/>
      <c r="FF38" s="150"/>
    </row>
    <row r="39" spans="1:162" x14ac:dyDescent="0.25">
      <c r="A39" s="126"/>
      <c r="B39" s="43"/>
      <c r="C39" s="144"/>
      <c r="D39" s="151"/>
      <c r="E39" s="151"/>
      <c r="F39" s="151"/>
      <c r="G39" s="151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80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80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82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82"/>
      <c r="BG39" s="181"/>
      <c r="BH39" s="180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80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80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80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80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69"/>
      <c r="EO39" s="169"/>
      <c r="EP39" s="169"/>
      <c r="EQ39" s="169"/>
      <c r="ER39" s="255"/>
      <c r="ES39" s="151"/>
      <c r="ET39" s="151"/>
      <c r="EU39" s="151"/>
      <c r="EV39" s="151"/>
      <c r="EW39" s="151"/>
      <c r="EX39" s="151"/>
      <c r="EY39" s="150"/>
      <c r="EZ39" s="150"/>
      <c r="FA39" s="150"/>
      <c r="FB39" s="150"/>
      <c r="FC39" s="150"/>
      <c r="FD39" s="150"/>
      <c r="FE39" s="150"/>
      <c r="FF39" s="150"/>
    </row>
    <row r="40" spans="1:162" x14ac:dyDescent="0.25">
      <c r="C40" s="144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80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80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82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82"/>
      <c r="BG40" s="181"/>
      <c r="BH40" s="180"/>
      <c r="BI40" s="151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80"/>
      <c r="BW40" s="151"/>
      <c r="BX40" s="151"/>
      <c r="BY40" s="151"/>
      <c r="BZ40" s="151"/>
      <c r="CA40" s="151"/>
      <c r="CB40" s="151"/>
      <c r="CC40" s="151"/>
      <c r="CD40" s="151"/>
      <c r="CE40" s="151"/>
      <c r="CF40" s="151"/>
      <c r="CG40" s="151"/>
      <c r="CH40" s="151"/>
      <c r="CI40" s="151"/>
      <c r="CJ40" s="180"/>
      <c r="CK40" s="151"/>
      <c r="CL40" s="151"/>
      <c r="CM40" s="151"/>
      <c r="CN40" s="151"/>
      <c r="CO40" s="151"/>
      <c r="CP40" s="151"/>
      <c r="CQ40" s="151"/>
      <c r="CR40" s="151"/>
      <c r="CS40" s="151"/>
      <c r="CT40" s="151"/>
      <c r="CU40" s="151"/>
      <c r="CV40" s="151"/>
      <c r="CW40" s="151"/>
      <c r="CX40" s="151"/>
      <c r="CY40" s="151"/>
      <c r="CZ40" s="151"/>
      <c r="DA40" s="151"/>
      <c r="DB40" s="151"/>
      <c r="DC40" s="151"/>
      <c r="DD40" s="151"/>
      <c r="DE40" s="151"/>
      <c r="DF40" s="151"/>
      <c r="DG40" s="151"/>
      <c r="DH40" s="151"/>
      <c r="DI40" s="151"/>
      <c r="DJ40" s="151"/>
      <c r="DK40" s="151"/>
      <c r="DL40" s="180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80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1"/>
      <c r="EL40" s="151"/>
      <c r="EM40" s="151"/>
      <c r="EN40" s="169"/>
      <c r="EO40" s="169"/>
      <c r="EP40" s="169"/>
      <c r="EQ40" s="169"/>
      <c r="ER40" s="255"/>
      <c r="ES40" s="151"/>
      <c r="ET40" s="151"/>
      <c r="EU40" s="151"/>
      <c r="EV40" s="151"/>
      <c r="EW40" s="151"/>
      <c r="EX40" s="151"/>
      <c r="EY40" s="150"/>
      <c r="EZ40" s="150"/>
      <c r="FA40" s="150"/>
      <c r="FB40" s="150"/>
      <c r="FC40" s="150"/>
      <c r="FD40" s="150"/>
      <c r="FE40" s="150"/>
      <c r="FF40" s="150"/>
    </row>
    <row r="41" spans="1:162" x14ac:dyDescent="0.25">
      <c r="C41" s="144"/>
      <c r="D41" s="151"/>
      <c r="E41" s="151"/>
      <c r="F41" s="151"/>
      <c r="G41" s="151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80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80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82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82"/>
      <c r="BG41" s="181"/>
      <c r="BH41" s="180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80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80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80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80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1"/>
      <c r="EL41" s="151"/>
      <c r="EM41" s="151"/>
      <c r="EN41" s="169"/>
      <c r="EO41" s="169"/>
      <c r="EP41" s="169"/>
      <c r="EQ41" s="169"/>
      <c r="ER41" s="255"/>
      <c r="ES41" s="151"/>
      <c r="ET41" s="151"/>
      <c r="EU41" s="151"/>
      <c r="EV41" s="151"/>
      <c r="EW41" s="151"/>
      <c r="EX41" s="151"/>
      <c r="EY41" s="150"/>
      <c r="EZ41" s="150"/>
      <c r="FA41" s="150"/>
      <c r="FB41" s="150"/>
      <c r="FC41" s="150"/>
      <c r="FD41" s="150"/>
      <c r="FE41" s="150"/>
      <c r="FF41" s="150"/>
    </row>
    <row r="42" spans="1:162" x14ac:dyDescent="0.25">
      <c r="C42" s="144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80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80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82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82"/>
      <c r="BG42" s="181"/>
      <c r="BH42" s="180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80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80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80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80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1"/>
      <c r="EL42" s="151"/>
      <c r="EM42" s="151"/>
      <c r="EN42" s="169"/>
      <c r="EO42" s="169"/>
      <c r="EP42" s="169"/>
      <c r="EQ42" s="169"/>
      <c r="ER42" s="255"/>
      <c r="ES42" s="151"/>
      <c r="ET42" s="151"/>
      <c r="EU42" s="151"/>
      <c r="EV42" s="151"/>
      <c r="EW42" s="151"/>
      <c r="EX42" s="151"/>
      <c r="EY42" s="150"/>
      <c r="EZ42" s="150"/>
      <c r="FA42" s="150"/>
      <c r="FB42" s="150"/>
      <c r="FC42" s="150"/>
      <c r="FD42" s="150"/>
      <c r="FE42" s="150"/>
      <c r="FF42" s="150"/>
    </row>
    <row r="43" spans="1:162" x14ac:dyDescent="0.25">
      <c r="A43" s="271"/>
      <c r="B43" s="271"/>
      <c r="C43" s="144"/>
      <c r="D43" s="146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5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5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51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7"/>
      <c r="BH43" s="224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224"/>
      <c r="BW43" s="148"/>
      <c r="BX43" s="148"/>
      <c r="BY43" s="148"/>
      <c r="BZ43" s="148"/>
      <c r="CA43" s="148"/>
      <c r="CB43" s="148"/>
      <c r="CC43" s="148"/>
      <c r="CD43" s="148"/>
      <c r="CE43" s="148"/>
      <c r="CF43" s="148"/>
      <c r="CG43" s="148"/>
      <c r="CH43" s="148"/>
      <c r="CI43" s="148"/>
      <c r="CJ43" s="224"/>
      <c r="CK43" s="148"/>
      <c r="CL43" s="148"/>
      <c r="CM43" s="148"/>
      <c r="CN43" s="148"/>
      <c r="CO43" s="148"/>
      <c r="CP43" s="148"/>
      <c r="CQ43" s="148"/>
      <c r="CR43" s="148"/>
      <c r="CS43" s="148"/>
      <c r="CT43" s="148"/>
      <c r="CU43" s="148"/>
      <c r="CV43" s="148"/>
      <c r="CW43" s="148"/>
      <c r="CX43" s="149"/>
      <c r="CY43" s="149"/>
      <c r="CZ43" s="149"/>
      <c r="DA43" s="149"/>
      <c r="DB43" s="149"/>
      <c r="DC43" s="149"/>
      <c r="DD43" s="149"/>
      <c r="DE43" s="149"/>
      <c r="DF43" s="149"/>
      <c r="DG43" s="149"/>
      <c r="DH43" s="149"/>
      <c r="DI43" s="149"/>
      <c r="DJ43" s="149"/>
      <c r="DK43" s="149"/>
      <c r="DL43" s="232"/>
      <c r="DM43" s="149"/>
      <c r="DN43" s="149"/>
      <c r="DO43" s="149"/>
      <c r="DP43" s="149"/>
      <c r="DQ43" s="149"/>
      <c r="DR43" s="149"/>
      <c r="DS43" s="149"/>
      <c r="DT43" s="149"/>
      <c r="DU43" s="149"/>
      <c r="DV43" s="149"/>
      <c r="DW43" s="149"/>
      <c r="DX43" s="149"/>
      <c r="DY43" s="149"/>
      <c r="DZ43" s="232"/>
      <c r="EA43" s="149"/>
      <c r="EB43" s="149"/>
      <c r="EC43" s="149"/>
      <c r="ED43" s="149"/>
      <c r="EE43" s="149"/>
      <c r="EF43" s="149"/>
      <c r="EG43" s="149"/>
      <c r="EH43" s="149"/>
      <c r="EI43" s="149"/>
      <c r="EJ43" s="149"/>
      <c r="EK43" s="149"/>
      <c r="EL43" s="149"/>
      <c r="EM43" s="149"/>
      <c r="EN43" s="169"/>
      <c r="EO43" s="169"/>
      <c r="EP43" s="169"/>
      <c r="EQ43" s="169"/>
      <c r="ER43" s="255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50"/>
    </row>
    <row r="44" spans="1:162" x14ac:dyDescent="0.25">
      <c r="A44" s="126"/>
      <c r="B44" s="43"/>
      <c r="C44" s="144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80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80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82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82"/>
      <c r="BG44" s="181"/>
      <c r="BH44" s="180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80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80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80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80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1"/>
      <c r="EL44" s="151"/>
      <c r="EM44" s="151"/>
      <c r="EN44" s="169"/>
      <c r="EO44" s="169"/>
      <c r="EP44" s="169"/>
      <c r="EQ44" s="169"/>
      <c r="ER44" s="255"/>
      <c r="ES44" s="151"/>
      <c r="ET44" s="151"/>
      <c r="EU44" s="151"/>
      <c r="EV44" s="151"/>
      <c r="EW44" s="151"/>
      <c r="EX44" s="151"/>
      <c r="EY44" s="150"/>
      <c r="EZ44" s="150"/>
      <c r="FA44" s="150"/>
      <c r="FB44" s="150"/>
      <c r="FC44" s="150"/>
      <c r="FD44" s="150"/>
      <c r="FE44" s="150"/>
      <c r="FF44" s="150"/>
    </row>
    <row r="45" spans="1:162" x14ac:dyDescent="0.25">
      <c r="C45" s="144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80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80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82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82"/>
      <c r="BG45" s="181"/>
      <c r="BH45" s="180"/>
      <c r="BI45" s="151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80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80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80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80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1"/>
      <c r="EL45" s="151"/>
      <c r="EM45" s="151"/>
      <c r="EN45" s="169"/>
      <c r="EO45" s="169"/>
      <c r="EP45" s="169"/>
      <c r="EQ45" s="169"/>
      <c r="ER45" s="255"/>
      <c r="ES45" s="151"/>
      <c r="ET45" s="151"/>
      <c r="EU45" s="151"/>
      <c r="EV45" s="151"/>
      <c r="EW45" s="151"/>
      <c r="EX45" s="151"/>
      <c r="EY45" s="150"/>
      <c r="EZ45" s="150"/>
      <c r="FA45" s="150"/>
      <c r="FB45" s="150"/>
      <c r="FC45" s="150"/>
      <c r="FD45" s="150"/>
      <c r="FE45" s="150"/>
      <c r="FF45" s="150"/>
    </row>
    <row r="46" spans="1:162" x14ac:dyDescent="0.25">
      <c r="C46" s="144"/>
      <c r="D46" s="151"/>
      <c r="E46" s="151"/>
      <c r="F46" s="151"/>
      <c r="G46" s="151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80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80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82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82"/>
      <c r="BG46" s="181"/>
      <c r="BH46" s="180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80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80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80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80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1"/>
      <c r="EL46" s="151"/>
      <c r="EM46" s="151"/>
      <c r="EN46" s="169"/>
      <c r="EO46" s="169"/>
      <c r="EP46" s="169"/>
      <c r="EQ46" s="169"/>
      <c r="ER46" s="255"/>
      <c r="ES46" s="151"/>
      <c r="ET46" s="151"/>
      <c r="EU46" s="151"/>
      <c r="EV46" s="151"/>
      <c r="EW46" s="151"/>
      <c r="EX46" s="151"/>
      <c r="EY46" s="150"/>
      <c r="EZ46" s="150"/>
      <c r="FA46" s="150"/>
      <c r="FB46" s="150"/>
      <c r="FC46" s="150"/>
      <c r="FD46" s="150"/>
      <c r="FE46" s="150"/>
      <c r="FF46" s="150"/>
    </row>
    <row r="47" spans="1:162" x14ac:dyDescent="0.25">
      <c r="C47" s="144"/>
      <c r="D47" s="151"/>
      <c r="E47" s="151"/>
      <c r="F47" s="151"/>
      <c r="G47" s="151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80"/>
      <c r="S47" s="151"/>
      <c r="T47" s="151"/>
      <c r="U47" s="151"/>
      <c r="V47" s="151"/>
      <c r="W47" s="151"/>
      <c r="X47" s="151"/>
      <c r="Y47" s="151"/>
      <c r="Z47" s="151"/>
      <c r="AA47" s="151"/>
      <c r="AB47" s="151"/>
      <c r="AC47" s="151"/>
      <c r="AD47" s="151"/>
      <c r="AE47" s="151"/>
      <c r="AF47" s="180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82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82"/>
      <c r="BG47" s="181"/>
      <c r="BH47" s="180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80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80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80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80"/>
      <c r="EA47" s="151"/>
      <c r="EB47" s="151"/>
      <c r="EC47" s="151"/>
      <c r="ED47" s="151"/>
      <c r="EE47" s="151"/>
      <c r="EF47" s="151"/>
      <c r="EG47" s="151"/>
      <c r="EH47" s="151"/>
      <c r="EI47" s="151"/>
      <c r="EJ47" s="151"/>
      <c r="EK47" s="151"/>
      <c r="EL47" s="151"/>
      <c r="EM47" s="151"/>
      <c r="EN47" s="169"/>
      <c r="EO47" s="169"/>
      <c r="EP47" s="169"/>
      <c r="EQ47" s="169"/>
      <c r="ER47" s="255"/>
      <c r="ES47" s="151"/>
      <c r="ET47" s="151"/>
      <c r="EU47" s="151"/>
      <c r="EV47" s="151"/>
      <c r="EW47" s="151"/>
      <c r="EX47" s="151"/>
      <c r="EY47" s="150"/>
      <c r="EZ47" s="150"/>
      <c r="FA47" s="150"/>
      <c r="FB47" s="150"/>
      <c r="FC47" s="150"/>
      <c r="FD47" s="150"/>
      <c r="FE47" s="150"/>
      <c r="FF47" s="150"/>
    </row>
    <row r="48" spans="1:162" x14ac:dyDescent="0.25">
      <c r="C48" s="144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80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  <c r="AD48" s="151"/>
      <c r="AE48" s="151"/>
      <c r="AF48" s="180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82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82"/>
      <c r="BG48" s="181"/>
      <c r="BH48" s="180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80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80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80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80"/>
      <c r="EA48" s="151"/>
      <c r="EB48" s="151"/>
      <c r="EC48" s="151"/>
      <c r="ED48" s="151"/>
      <c r="EE48" s="151"/>
      <c r="EF48" s="151"/>
      <c r="EG48" s="151"/>
      <c r="EH48" s="151"/>
      <c r="EI48" s="151"/>
      <c r="EJ48" s="151"/>
      <c r="EK48" s="151"/>
      <c r="EL48" s="151"/>
      <c r="EM48" s="151"/>
      <c r="EN48" s="169"/>
      <c r="EO48" s="169"/>
      <c r="EP48" s="169"/>
      <c r="EQ48" s="169"/>
      <c r="ER48" s="255"/>
      <c r="ES48" s="151"/>
      <c r="ET48" s="151"/>
      <c r="EU48" s="151"/>
      <c r="EV48" s="151"/>
      <c r="EW48" s="151"/>
      <c r="EX48" s="151"/>
      <c r="EY48" s="150"/>
      <c r="EZ48" s="150"/>
      <c r="FA48" s="150"/>
      <c r="FB48" s="150"/>
      <c r="FC48" s="150"/>
      <c r="FD48" s="150"/>
      <c r="FE48" s="150"/>
      <c r="FF48" s="150"/>
    </row>
    <row r="49" spans="3:162" x14ac:dyDescent="0.25">
      <c r="C49" s="144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80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  <c r="AC49" s="151"/>
      <c r="AD49" s="151"/>
      <c r="AE49" s="151"/>
      <c r="AF49" s="180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82"/>
      <c r="AU49" s="151"/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82"/>
      <c r="BG49" s="181"/>
      <c r="BH49" s="180"/>
      <c r="BI49" s="151"/>
      <c r="BJ49" s="151"/>
      <c r="BK49" s="151"/>
      <c r="BL49" s="151"/>
      <c r="BM49" s="151"/>
      <c r="BN49" s="151"/>
      <c r="BO49" s="151"/>
      <c r="BP49" s="151"/>
      <c r="BQ49" s="151"/>
      <c r="BR49" s="151"/>
      <c r="BS49" s="151"/>
      <c r="BT49" s="151"/>
      <c r="BU49" s="151"/>
      <c r="BV49" s="180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80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80"/>
      <c r="DM49" s="151"/>
      <c r="DN49" s="151"/>
      <c r="DO49" s="151"/>
      <c r="DP49" s="151"/>
      <c r="DQ49" s="151"/>
      <c r="DR49" s="151"/>
      <c r="DS49" s="151"/>
      <c r="DT49" s="151"/>
      <c r="DU49" s="151"/>
      <c r="DV49" s="151"/>
      <c r="DW49" s="151"/>
      <c r="DX49" s="151"/>
      <c r="DY49" s="151"/>
      <c r="DZ49" s="180"/>
      <c r="EA49" s="151"/>
      <c r="EB49" s="151"/>
      <c r="EC49" s="151"/>
      <c r="ED49" s="151"/>
      <c r="EE49" s="151"/>
      <c r="EF49" s="151"/>
      <c r="EG49" s="151"/>
      <c r="EH49" s="151"/>
      <c r="EI49" s="151"/>
      <c r="EJ49" s="151"/>
      <c r="EK49" s="151"/>
      <c r="EL49" s="151"/>
      <c r="EM49" s="151"/>
      <c r="EN49" s="169"/>
      <c r="EO49" s="169"/>
      <c r="EP49" s="169"/>
      <c r="EQ49" s="169"/>
      <c r="ER49" s="255"/>
      <c r="ES49" s="150"/>
      <c r="ET49" s="150"/>
      <c r="EU49" s="150"/>
      <c r="EV49" s="150"/>
      <c r="EW49" s="150"/>
      <c r="EX49" s="150"/>
      <c r="EY49" s="150"/>
      <c r="EZ49" s="150"/>
      <c r="FA49" s="150"/>
      <c r="FB49" s="150"/>
      <c r="FC49" s="150"/>
      <c r="FD49" s="150"/>
      <c r="FE49" s="150"/>
      <c r="FF49" s="150"/>
    </row>
    <row r="50" spans="3:162" x14ac:dyDescent="0.25">
      <c r="C50" s="144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80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  <c r="AD50" s="151"/>
      <c r="AE50" s="151"/>
      <c r="AF50" s="180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82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82"/>
      <c r="BG50" s="181"/>
      <c r="BH50" s="180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80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80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80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80"/>
      <c r="EA50" s="151"/>
      <c r="EB50" s="151"/>
      <c r="EC50" s="151"/>
      <c r="ED50" s="151"/>
      <c r="EE50" s="151"/>
      <c r="EF50" s="151"/>
      <c r="EG50" s="151"/>
      <c r="EH50" s="151"/>
      <c r="EI50" s="151"/>
      <c r="EJ50" s="151"/>
      <c r="EK50" s="151"/>
      <c r="EL50" s="151"/>
      <c r="EM50" s="151"/>
      <c r="EN50" s="169"/>
      <c r="EO50" s="169"/>
      <c r="EP50" s="169"/>
      <c r="EQ50" s="169"/>
      <c r="ER50" s="255"/>
      <c r="ES50" s="151"/>
      <c r="ET50" s="151"/>
      <c r="EU50" s="151"/>
      <c r="EV50" s="151"/>
      <c r="EW50" s="151"/>
      <c r="EX50" s="151"/>
      <c r="EY50" s="150"/>
      <c r="EZ50" s="150"/>
      <c r="FA50" s="150"/>
      <c r="FB50" s="150"/>
      <c r="FC50" s="150"/>
      <c r="FD50" s="150"/>
      <c r="FE50" s="150"/>
      <c r="FF50" s="150"/>
    </row>
    <row r="51" spans="3:162" x14ac:dyDescent="0.25">
      <c r="C51" s="144"/>
      <c r="D51" s="151"/>
      <c r="E51" s="151"/>
      <c r="F51" s="151"/>
      <c r="G51" s="151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80"/>
      <c r="S51" s="151"/>
      <c r="T51" s="151"/>
      <c r="U51" s="151"/>
      <c r="V51" s="151"/>
      <c r="W51" s="151"/>
      <c r="X51" s="151"/>
      <c r="Y51" s="151"/>
      <c r="Z51" s="151"/>
      <c r="AA51" s="151"/>
      <c r="AB51" s="151"/>
      <c r="AC51" s="151"/>
      <c r="AD51" s="151"/>
      <c r="AE51" s="151"/>
      <c r="AF51" s="180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82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82"/>
      <c r="BG51" s="181"/>
      <c r="BH51" s="180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80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80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80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80"/>
      <c r="EA51" s="151"/>
      <c r="EB51" s="151"/>
      <c r="EC51" s="151"/>
      <c r="ED51" s="151"/>
      <c r="EE51" s="151"/>
      <c r="EF51" s="151"/>
      <c r="EG51" s="151"/>
      <c r="EH51" s="151"/>
      <c r="EI51" s="151"/>
      <c r="EJ51" s="151"/>
      <c r="EK51" s="151"/>
      <c r="EL51" s="151"/>
      <c r="EM51" s="151"/>
      <c r="EN51" s="169"/>
      <c r="EO51" s="169"/>
      <c r="EP51" s="169"/>
      <c r="EQ51" s="169"/>
      <c r="ER51" s="255"/>
      <c r="ES51" s="151"/>
      <c r="ET51" s="151"/>
      <c r="EU51" s="151"/>
      <c r="EV51" s="151"/>
      <c r="EW51" s="151"/>
      <c r="EX51" s="151"/>
      <c r="EY51" s="150"/>
      <c r="EZ51" s="150"/>
      <c r="FA51" s="150"/>
      <c r="FB51" s="150"/>
      <c r="FC51" s="150"/>
      <c r="FD51" s="150"/>
      <c r="FE51" s="150"/>
      <c r="FF51" s="150"/>
    </row>
    <row r="52" spans="3:162" x14ac:dyDescent="0.25">
      <c r="C52" s="144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80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  <c r="AC52" s="151"/>
      <c r="AD52" s="151"/>
      <c r="AE52" s="151"/>
      <c r="AF52" s="180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82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82"/>
      <c r="BG52" s="181"/>
      <c r="BH52" s="180"/>
      <c r="BI52" s="151"/>
      <c r="BJ52" s="151"/>
      <c r="BK52" s="151"/>
      <c r="BL52" s="151"/>
      <c r="BM52" s="151"/>
      <c r="BN52" s="151"/>
      <c r="BO52" s="151"/>
      <c r="BP52" s="151"/>
      <c r="BQ52" s="151"/>
      <c r="BR52" s="151"/>
      <c r="BS52" s="151"/>
      <c r="BT52" s="151"/>
      <c r="BU52" s="151"/>
      <c r="BV52" s="180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80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80"/>
      <c r="DM52" s="151"/>
      <c r="DN52" s="151"/>
      <c r="DO52" s="151"/>
      <c r="DP52" s="151"/>
      <c r="DQ52" s="151"/>
      <c r="DR52" s="151"/>
      <c r="DS52" s="151"/>
      <c r="DT52" s="151"/>
      <c r="DU52" s="151"/>
      <c r="DV52" s="151"/>
      <c r="DW52" s="151"/>
      <c r="DX52" s="151"/>
      <c r="DY52" s="151"/>
      <c r="DZ52" s="180"/>
      <c r="EA52" s="151"/>
      <c r="EB52" s="151"/>
      <c r="EC52" s="151"/>
      <c r="ED52" s="151"/>
      <c r="EE52" s="151"/>
      <c r="EF52" s="151"/>
      <c r="EG52" s="151"/>
      <c r="EH52" s="151"/>
      <c r="EI52" s="151"/>
      <c r="EJ52" s="151"/>
      <c r="EK52" s="151"/>
      <c r="EL52" s="151"/>
      <c r="EM52" s="151"/>
      <c r="EN52" s="169"/>
      <c r="EO52" s="169"/>
      <c r="EP52" s="169"/>
      <c r="EQ52" s="169"/>
      <c r="ER52" s="255"/>
      <c r="ES52" s="151"/>
      <c r="ET52" s="151"/>
      <c r="EU52" s="151"/>
      <c r="EV52" s="151"/>
      <c r="EW52" s="151"/>
      <c r="EX52" s="151"/>
      <c r="EY52" s="150"/>
      <c r="EZ52" s="150"/>
      <c r="FA52" s="150"/>
      <c r="FB52" s="150"/>
      <c r="FC52" s="150"/>
      <c r="FD52" s="150"/>
      <c r="FE52" s="150"/>
      <c r="FF52" s="150"/>
    </row>
    <row r="53" spans="3:162" x14ac:dyDescent="0.25">
      <c r="C53" s="144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80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80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82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82"/>
      <c r="BG53" s="181"/>
      <c r="BH53" s="180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80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80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80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80"/>
      <c r="EA53" s="151"/>
      <c r="EB53" s="151"/>
      <c r="EC53" s="151"/>
      <c r="ED53" s="151"/>
      <c r="EE53" s="151"/>
      <c r="EF53" s="151"/>
      <c r="EG53" s="151"/>
      <c r="EH53" s="151"/>
      <c r="EI53" s="151"/>
      <c r="EJ53" s="151"/>
      <c r="EK53" s="151"/>
      <c r="EL53" s="151"/>
      <c r="EM53" s="151"/>
      <c r="EN53" s="169"/>
      <c r="EO53" s="169"/>
      <c r="EP53" s="169"/>
      <c r="EQ53" s="169"/>
      <c r="ER53" s="255"/>
      <c r="ES53" s="151"/>
      <c r="ET53" s="151"/>
      <c r="EU53" s="151"/>
      <c r="EV53" s="151"/>
      <c r="EW53" s="151"/>
      <c r="EX53" s="151"/>
      <c r="EY53" s="150"/>
      <c r="EZ53" s="150"/>
      <c r="FA53" s="150"/>
      <c r="FB53" s="150"/>
      <c r="FC53" s="150"/>
      <c r="FD53" s="150"/>
      <c r="FE53" s="150"/>
      <c r="FF53" s="150"/>
    </row>
    <row r="54" spans="3:162" x14ac:dyDescent="0.25">
      <c r="C54" s="144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80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80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82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82"/>
      <c r="BG54" s="181"/>
      <c r="BH54" s="180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80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80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80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80"/>
      <c r="EA54" s="151"/>
      <c r="EB54" s="151"/>
      <c r="EC54" s="151"/>
      <c r="ED54" s="151"/>
      <c r="EE54" s="151"/>
      <c r="EF54" s="151"/>
      <c r="EG54" s="151"/>
      <c r="EH54" s="151"/>
      <c r="EI54" s="151"/>
      <c r="EJ54" s="151"/>
      <c r="EK54" s="151"/>
      <c r="EL54" s="151"/>
      <c r="EM54" s="151"/>
      <c r="EN54" s="169"/>
      <c r="EO54" s="169"/>
      <c r="EP54" s="169"/>
      <c r="EQ54" s="169"/>
      <c r="ER54" s="255"/>
      <c r="ES54" s="151"/>
      <c r="ET54" s="151"/>
      <c r="EU54" s="151"/>
      <c r="EV54" s="151"/>
      <c r="EW54" s="151"/>
      <c r="EX54" s="151"/>
      <c r="EY54" s="150"/>
      <c r="EZ54" s="150"/>
      <c r="FA54" s="150"/>
      <c r="FB54" s="150"/>
      <c r="FC54" s="150"/>
      <c r="FD54" s="150"/>
      <c r="FE54" s="150"/>
      <c r="FF54" s="150"/>
    </row>
    <row r="55" spans="3:162" x14ac:dyDescent="0.25">
      <c r="C55" s="144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80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80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82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82"/>
      <c r="BG55" s="181"/>
      <c r="BH55" s="180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80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80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80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80"/>
      <c r="EA55" s="151"/>
      <c r="EB55" s="151"/>
      <c r="EC55" s="151"/>
      <c r="ED55" s="151"/>
      <c r="EE55" s="151"/>
      <c r="EF55" s="151"/>
      <c r="EG55" s="151"/>
      <c r="EH55" s="151"/>
      <c r="EI55" s="151"/>
      <c r="EJ55" s="151"/>
      <c r="EK55" s="151"/>
      <c r="EL55" s="151"/>
      <c r="EM55" s="151"/>
      <c r="EN55" s="169"/>
      <c r="EO55" s="169"/>
      <c r="EP55" s="169"/>
      <c r="EQ55" s="169"/>
      <c r="ER55" s="255"/>
      <c r="ES55" s="151"/>
      <c r="ET55" s="151"/>
      <c r="EU55" s="151"/>
      <c r="EV55" s="151"/>
      <c r="EW55" s="151"/>
      <c r="EX55" s="151"/>
      <c r="EY55" s="150"/>
      <c r="EZ55" s="150"/>
      <c r="FA55" s="150"/>
      <c r="FB55" s="150"/>
      <c r="FC55" s="150"/>
      <c r="FD55" s="150"/>
      <c r="FE55" s="150"/>
      <c r="FF55" s="150"/>
    </row>
    <row r="56" spans="3:162" x14ac:dyDescent="0.25">
      <c r="C56" s="144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80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80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82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82"/>
      <c r="BG56" s="181"/>
      <c r="BH56" s="180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80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80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80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80"/>
      <c r="EA56" s="151"/>
      <c r="EB56" s="151"/>
      <c r="EC56" s="151"/>
      <c r="ED56" s="151"/>
      <c r="EE56" s="151"/>
      <c r="EF56" s="151"/>
      <c r="EG56" s="151"/>
      <c r="EH56" s="151"/>
      <c r="EI56" s="151"/>
      <c r="EJ56" s="151"/>
      <c r="EK56" s="151"/>
      <c r="EL56" s="151"/>
      <c r="EM56" s="151"/>
      <c r="EN56" s="169"/>
      <c r="EO56" s="169"/>
      <c r="EP56" s="169"/>
      <c r="EQ56" s="169"/>
      <c r="ER56" s="255"/>
      <c r="ES56" s="151"/>
      <c r="ET56" s="151"/>
      <c r="EU56" s="151"/>
      <c r="EV56" s="151"/>
      <c r="EW56" s="151"/>
      <c r="EX56" s="151"/>
      <c r="EY56" s="150"/>
      <c r="EZ56" s="150"/>
      <c r="FA56" s="150"/>
      <c r="FB56" s="150"/>
      <c r="FC56" s="150"/>
      <c r="FD56" s="150"/>
      <c r="FE56" s="150"/>
      <c r="FF56" s="150"/>
    </row>
    <row r="57" spans="3:162" x14ac:dyDescent="0.25">
      <c r="C57" s="144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80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80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82"/>
      <c r="AU57" s="151"/>
      <c r="AV57" s="151"/>
      <c r="AW57" s="151"/>
      <c r="AX57" s="151"/>
      <c r="AY57" s="151"/>
      <c r="AZ57" s="151"/>
      <c r="BA57" s="151"/>
      <c r="BB57" s="151"/>
      <c r="BC57" s="151"/>
      <c r="BD57" s="151"/>
      <c r="BE57" s="151"/>
      <c r="BF57" s="182"/>
      <c r="BG57" s="181"/>
      <c r="BH57" s="180"/>
      <c r="BI57" s="151"/>
      <c r="BJ57" s="151"/>
      <c r="BK57" s="151"/>
      <c r="BL57" s="151"/>
      <c r="BM57" s="151"/>
      <c r="BN57" s="151"/>
      <c r="BO57" s="151"/>
      <c r="BP57" s="151"/>
      <c r="BQ57" s="151"/>
      <c r="BR57" s="151"/>
      <c r="BS57" s="151"/>
      <c r="BT57" s="151"/>
      <c r="BU57" s="151"/>
      <c r="BV57" s="180"/>
      <c r="BW57" s="151"/>
      <c r="BX57" s="151"/>
      <c r="BY57" s="151"/>
      <c r="BZ57" s="151"/>
      <c r="CA57" s="151"/>
      <c r="CB57" s="151"/>
      <c r="CC57" s="151"/>
      <c r="CD57" s="151"/>
      <c r="CE57" s="151"/>
      <c r="CF57" s="151"/>
      <c r="CG57" s="151"/>
      <c r="CH57" s="151"/>
      <c r="CI57" s="151"/>
      <c r="CJ57" s="180"/>
      <c r="CK57" s="151"/>
      <c r="CL57" s="151"/>
      <c r="CM57" s="151"/>
      <c r="CN57" s="151"/>
      <c r="CO57" s="151"/>
      <c r="CP57" s="151"/>
      <c r="CQ57" s="151"/>
      <c r="CR57" s="151"/>
      <c r="CS57" s="151"/>
      <c r="CT57" s="151"/>
      <c r="CU57" s="151"/>
      <c r="CV57" s="151"/>
      <c r="CW57" s="151"/>
      <c r="CX57" s="151"/>
      <c r="CY57" s="151"/>
      <c r="CZ57" s="151"/>
      <c r="DA57" s="151"/>
      <c r="DB57" s="151"/>
      <c r="DC57" s="151"/>
      <c r="DD57" s="151"/>
      <c r="DE57" s="151"/>
      <c r="DF57" s="151"/>
      <c r="DG57" s="151"/>
      <c r="DH57" s="151"/>
      <c r="DI57" s="151"/>
      <c r="DJ57" s="151"/>
      <c r="DK57" s="151"/>
      <c r="DL57" s="180"/>
      <c r="DM57" s="151"/>
      <c r="DN57" s="151"/>
      <c r="DO57" s="151"/>
      <c r="DP57" s="151"/>
      <c r="DQ57" s="151"/>
      <c r="DR57" s="151"/>
      <c r="DS57" s="151"/>
      <c r="DT57" s="151"/>
      <c r="DU57" s="151"/>
      <c r="DV57" s="151"/>
      <c r="DW57" s="151"/>
      <c r="DX57" s="151"/>
      <c r="DY57" s="151"/>
      <c r="DZ57" s="180"/>
      <c r="EA57" s="151"/>
      <c r="EB57" s="151"/>
      <c r="EC57" s="151"/>
      <c r="ED57" s="151"/>
      <c r="EE57" s="151"/>
      <c r="EF57" s="151"/>
      <c r="EG57" s="151"/>
      <c r="EH57" s="151"/>
      <c r="EI57" s="151"/>
      <c r="EJ57" s="151"/>
      <c r="EK57" s="151"/>
      <c r="EL57" s="151"/>
      <c r="EM57" s="151"/>
      <c r="EN57" s="169"/>
      <c r="EO57" s="169"/>
      <c r="EP57" s="169"/>
      <c r="EQ57" s="169"/>
      <c r="ER57" s="255"/>
      <c r="ES57" s="151"/>
      <c r="ET57" s="151"/>
      <c r="EU57" s="151"/>
      <c r="EV57" s="151"/>
      <c r="EW57" s="151"/>
      <c r="EX57" s="151"/>
      <c r="EY57" s="150"/>
      <c r="EZ57" s="150"/>
      <c r="FA57" s="150"/>
      <c r="FB57" s="150"/>
      <c r="FC57" s="150"/>
      <c r="FD57" s="150"/>
      <c r="FE57" s="150"/>
      <c r="FF57" s="150"/>
    </row>
    <row r="58" spans="3:162" x14ac:dyDescent="0.25">
      <c r="C58" s="144"/>
      <c r="D58" s="151"/>
      <c r="E58" s="151"/>
      <c r="F58" s="151"/>
      <c r="G58" s="151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80"/>
      <c r="S58" s="151"/>
      <c r="T58" s="151"/>
      <c r="U58" s="151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80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82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82"/>
      <c r="BG58" s="181"/>
      <c r="BH58" s="180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80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80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80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80"/>
      <c r="EA58" s="151"/>
      <c r="EB58" s="151"/>
      <c r="EC58" s="151"/>
      <c r="ED58" s="151"/>
      <c r="EE58" s="151"/>
      <c r="EF58" s="151"/>
      <c r="EG58" s="151"/>
      <c r="EH58" s="151"/>
      <c r="EI58" s="151"/>
      <c r="EJ58" s="151"/>
      <c r="EK58" s="151"/>
      <c r="EL58" s="151"/>
      <c r="EM58" s="151"/>
      <c r="EN58" s="169"/>
      <c r="EO58" s="169"/>
      <c r="EP58" s="169"/>
      <c r="EQ58" s="169"/>
      <c r="ER58" s="255"/>
      <c r="ES58" s="151"/>
      <c r="ET58" s="151"/>
      <c r="EU58" s="151"/>
      <c r="EV58" s="151"/>
      <c r="EW58" s="151"/>
      <c r="EX58" s="151"/>
      <c r="EY58" s="150"/>
      <c r="EZ58" s="150"/>
      <c r="FA58" s="150"/>
      <c r="FB58" s="150"/>
      <c r="FC58" s="150"/>
      <c r="FD58" s="150"/>
      <c r="FE58" s="150"/>
      <c r="FF58" s="150"/>
    </row>
    <row r="59" spans="3:162" x14ac:dyDescent="0.25">
      <c r="C59" s="144"/>
      <c r="D59" s="151"/>
      <c r="E59" s="151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80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80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82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82"/>
      <c r="BG59" s="181"/>
      <c r="BH59" s="180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80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80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80"/>
      <c r="DM59" s="151"/>
      <c r="DN59" s="151"/>
      <c r="DO59" s="151"/>
      <c r="DP59" s="151"/>
      <c r="DQ59" s="151"/>
      <c r="DR59" s="151"/>
      <c r="DS59" s="151"/>
      <c r="DT59" s="151"/>
      <c r="DU59" s="151"/>
      <c r="DV59" s="151"/>
      <c r="DW59" s="151"/>
      <c r="DX59" s="151"/>
      <c r="DY59" s="151"/>
      <c r="DZ59" s="180"/>
      <c r="EA59" s="151"/>
      <c r="EB59" s="151"/>
      <c r="EC59" s="151"/>
      <c r="ED59" s="151"/>
      <c r="EE59" s="151"/>
      <c r="EF59" s="151"/>
      <c r="EG59" s="151"/>
      <c r="EH59" s="151"/>
      <c r="EI59" s="151"/>
      <c r="EJ59" s="151"/>
      <c r="EK59" s="151"/>
      <c r="EL59" s="151"/>
      <c r="EM59" s="151"/>
      <c r="EN59" s="169"/>
      <c r="EO59" s="169"/>
      <c r="EP59" s="169"/>
      <c r="EQ59" s="169"/>
      <c r="ER59" s="255"/>
      <c r="ES59" s="151"/>
      <c r="ET59" s="151"/>
      <c r="EU59" s="151"/>
      <c r="EV59" s="151"/>
      <c r="EW59" s="151"/>
      <c r="EX59" s="151"/>
      <c r="EY59" s="150"/>
      <c r="EZ59" s="150"/>
      <c r="FA59" s="150"/>
      <c r="FB59" s="150"/>
      <c r="FC59" s="150"/>
      <c r="FD59" s="150"/>
      <c r="FE59" s="150"/>
      <c r="FF59" s="150"/>
    </row>
    <row r="60" spans="3:162" x14ac:dyDescent="0.25">
      <c r="C60" s="144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80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80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82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82"/>
      <c r="BG60" s="181"/>
      <c r="BH60" s="180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80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80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80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80"/>
      <c r="EA60" s="151"/>
      <c r="EB60" s="151"/>
      <c r="EC60" s="151"/>
      <c r="ED60" s="151"/>
      <c r="EE60" s="151"/>
      <c r="EF60" s="151"/>
      <c r="EG60" s="151"/>
      <c r="EH60" s="151"/>
      <c r="EI60" s="151"/>
      <c r="EJ60" s="151"/>
      <c r="EK60" s="151"/>
      <c r="EL60" s="151"/>
      <c r="EM60" s="151"/>
      <c r="EN60" s="169"/>
      <c r="EO60" s="169"/>
      <c r="EP60" s="169"/>
      <c r="EQ60" s="169"/>
      <c r="ER60" s="255"/>
      <c r="ES60" s="151"/>
      <c r="ET60" s="151"/>
      <c r="EU60" s="151"/>
      <c r="EV60" s="151"/>
      <c r="EW60" s="151"/>
      <c r="EX60" s="151"/>
      <c r="EY60" s="150"/>
      <c r="EZ60" s="150"/>
      <c r="FA60" s="150"/>
      <c r="FB60" s="150"/>
      <c r="FC60" s="150"/>
      <c r="FD60" s="150"/>
      <c r="FE60" s="150"/>
      <c r="FF60" s="150"/>
    </row>
    <row r="61" spans="3:162" x14ac:dyDescent="0.25">
      <c r="C61" s="144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80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80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82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82"/>
      <c r="BG61" s="181"/>
      <c r="BH61" s="180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80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80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80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80"/>
      <c r="EA61" s="151"/>
      <c r="EB61" s="151"/>
      <c r="EC61" s="151"/>
      <c r="ED61" s="151"/>
      <c r="EE61" s="151"/>
      <c r="EF61" s="151"/>
      <c r="EG61" s="151"/>
      <c r="EH61" s="151"/>
      <c r="EI61" s="151"/>
      <c r="EJ61" s="151"/>
      <c r="EK61" s="151"/>
      <c r="EL61" s="151"/>
      <c r="EM61" s="151"/>
      <c r="EN61" s="169"/>
      <c r="EO61" s="169"/>
      <c r="EP61" s="169"/>
      <c r="EQ61" s="169"/>
      <c r="ER61" s="255"/>
      <c r="ES61" s="151"/>
      <c r="ET61" s="151"/>
      <c r="EU61" s="151"/>
      <c r="EV61" s="151"/>
      <c r="EW61" s="151"/>
      <c r="EX61" s="151"/>
      <c r="EY61" s="150"/>
      <c r="EZ61" s="150"/>
      <c r="FA61" s="150"/>
      <c r="FB61" s="150"/>
      <c r="FC61" s="150"/>
      <c r="FD61" s="150"/>
      <c r="FE61" s="150"/>
      <c r="FF61" s="150"/>
    </row>
    <row r="62" spans="3:162" x14ac:dyDescent="0.25">
      <c r="C62" s="144"/>
      <c r="D62" s="151"/>
      <c r="E62" s="15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80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80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82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82"/>
      <c r="BG62" s="181"/>
      <c r="BH62" s="180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80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80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80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80"/>
      <c r="EA62" s="151"/>
      <c r="EB62" s="151"/>
      <c r="EC62" s="151"/>
      <c r="ED62" s="151"/>
      <c r="EE62" s="151"/>
      <c r="EF62" s="151"/>
      <c r="EG62" s="151"/>
      <c r="EH62" s="151"/>
      <c r="EI62" s="151"/>
      <c r="EJ62" s="151"/>
      <c r="EK62" s="151"/>
      <c r="EL62" s="151"/>
      <c r="EM62" s="151"/>
      <c r="EN62" s="169"/>
      <c r="EO62" s="169"/>
      <c r="EP62" s="169"/>
      <c r="EQ62" s="169"/>
      <c r="ER62" s="255"/>
      <c r="ES62" s="151"/>
      <c r="ET62" s="151"/>
      <c r="EU62" s="151"/>
      <c r="EV62" s="151"/>
      <c r="EW62" s="151"/>
      <c r="EX62" s="151"/>
      <c r="EY62" s="150"/>
      <c r="EZ62" s="150"/>
      <c r="FA62" s="150"/>
      <c r="FB62" s="150"/>
      <c r="FC62" s="150"/>
      <c r="FD62" s="150"/>
      <c r="FE62" s="150"/>
      <c r="FF62" s="150"/>
    </row>
    <row r="63" spans="3:162" x14ac:dyDescent="0.25">
      <c r="C63" s="144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80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80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82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82"/>
      <c r="BG63" s="181"/>
      <c r="BH63" s="180"/>
      <c r="BI63" s="151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80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80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80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80"/>
      <c r="EA63" s="151"/>
      <c r="EB63" s="151"/>
      <c r="EC63" s="151"/>
      <c r="ED63" s="151"/>
      <c r="EE63" s="151"/>
      <c r="EF63" s="151"/>
      <c r="EG63" s="151"/>
      <c r="EH63" s="151"/>
      <c r="EI63" s="151"/>
      <c r="EJ63" s="151"/>
      <c r="EK63" s="151"/>
      <c r="EL63" s="151"/>
      <c r="EM63" s="151"/>
      <c r="EN63" s="169"/>
      <c r="EO63" s="169"/>
      <c r="EP63" s="169"/>
      <c r="EQ63" s="169"/>
      <c r="ER63" s="255"/>
      <c r="ES63" s="151"/>
      <c r="ET63" s="151"/>
      <c r="EU63" s="151"/>
      <c r="EV63" s="151"/>
      <c r="EW63" s="151"/>
      <c r="EX63" s="151"/>
      <c r="EY63" s="151"/>
      <c r="EZ63" s="151"/>
      <c r="FA63" s="151"/>
      <c r="FB63" s="151"/>
      <c r="FC63" s="151"/>
      <c r="FD63" s="150"/>
      <c r="FE63" s="150"/>
      <c r="FF63" s="150"/>
    </row>
    <row r="64" spans="3:162" x14ac:dyDescent="0.25">
      <c r="C64" s="144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80"/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80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82"/>
      <c r="AU64" s="151"/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82"/>
      <c r="BG64" s="181"/>
      <c r="BH64" s="180"/>
      <c r="BI64" s="151"/>
      <c r="BJ64" s="151"/>
      <c r="BK64" s="151"/>
      <c r="BL64" s="151"/>
      <c r="BM64" s="151"/>
      <c r="BN64" s="151"/>
      <c r="BO64" s="151"/>
      <c r="BP64" s="151"/>
      <c r="BQ64" s="151"/>
      <c r="BR64" s="151"/>
      <c r="BS64" s="151"/>
      <c r="BT64" s="151"/>
      <c r="BU64" s="151"/>
      <c r="BV64" s="180"/>
      <c r="BW64" s="151"/>
      <c r="BX64" s="151"/>
      <c r="BY64" s="151"/>
      <c r="BZ64" s="151"/>
      <c r="CA64" s="151"/>
      <c r="CB64" s="151"/>
      <c r="CC64" s="151"/>
      <c r="CD64" s="151"/>
      <c r="CE64" s="151"/>
      <c r="CF64" s="151"/>
      <c r="CG64" s="151"/>
      <c r="CH64" s="151"/>
      <c r="CI64" s="151"/>
      <c r="CJ64" s="180"/>
      <c r="CK64" s="151"/>
      <c r="CL64" s="151"/>
      <c r="CM64" s="151"/>
      <c r="CN64" s="151"/>
      <c r="CO64" s="151"/>
      <c r="CP64" s="151"/>
      <c r="CQ64" s="151"/>
      <c r="CR64" s="151"/>
      <c r="CS64" s="151"/>
      <c r="CT64" s="151"/>
      <c r="CU64" s="151"/>
      <c r="CV64" s="151"/>
      <c r="CW64" s="151"/>
      <c r="CX64" s="151"/>
      <c r="CY64" s="151"/>
      <c r="CZ64" s="151"/>
      <c r="DA64" s="151"/>
      <c r="DB64" s="151"/>
      <c r="DC64" s="151"/>
      <c r="DD64" s="151"/>
      <c r="DE64" s="151"/>
      <c r="DF64" s="151"/>
      <c r="DG64" s="151"/>
      <c r="DH64" s="151"/>
      <c r="DI64" s="151"/>
      <c r="DJ64" s="151"/>
      <c r="DK64" s="151"/>
      <c r="DL64" s="180"/>
      <c r="DM64" s="151"/>
      <c r="DN64" s="151"/>
      <c r="DO64" s="151"/>
      <c r="DP64" s="151"/>
      <c r="DQ64" s="151"/>
      <c r="DR64" s="151"/>
      <c r="DS64" s="151"/>
      <c r="DT64" s="151"/>
      <c r="DU64" s="151"/>
      <c r="DV64" s="151"/>
      <c r="DW64" s="151"/>
      <c r="DX64" s="151"/>
      <c r="DY64" s="151"/>
      <c r="DZ64" s="180"/>
      <c r="EA64" s="151"/>
      <c r="EB64" s="151"/>
      <c r="EC64" s="151"/>
      <c r="ED64" s="151"/>
      <c r="EE64" s="151"/>
      <c r="EF64" s="151"/>
      <c r="EG64" s="151"/>
      <c r="EH64" s="151"/>
      <c r="EI64" s="151"/>
      <c r="EJ64" s="151"/>
      <c r="EK64" s="151"/>
      <c r="EL64" s="151"/>
      <c r="EM64" s="151"/>
      <c r="EN64" s="169"/>
      <c r="EO64" s="169"/>
      <c r="EP64" s="169"/>
      <c r="EQ64" s="169"/>
      <c r="ER64" s="255"/>
      <c r="ES64" s="151"/>
      <c r="ET64" s="151"/>
      <c r="EU64" s="151"/>
      <c r="EV64" s="151"/>
      <c r="EW64" s="151"/>
      <c r="EX64" s="151"/>
      <c r="EY64" s="150"/>
      <c r="EZ64" s="150"/>
      <c r="FA64" s="150"/>
      <c r="FB64" s="150"/>
      <c r="FC64" s="150"/>
      <c r="FD64" s="150"/>
      <c r="FE64" s="150"/>
      <c r="FF64" s="150"/>
    </row>
    <row r="65" spans="1:162" x14ac:dyDescent="0.25">
      <c r="A65" s="126"/>
      <c r="B65" s="43"/>
      <c r="C65" s="144"/>
      <c r="D65" s="151"/>
      <c r="E65" s="151"/>
      <c r="F65" s="151"/>
      <c r="G65" s="151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80"/>
      <c r="S65" s="151"/>
      <c r="T65" s="151"/>
      <c r="U65" s="151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80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82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82"/>
      <c r="BG65" s="181"/>
      <c r="BH65" s="180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80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80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80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80"/>
      <c r="EA65" s="151"/>
      <c r="EB65" s="151"/>
      <c r="EC65" s="151"/>
      <c r="ED65" s="151"/>
      <c r="EE65" s="151"/>
      <c r="EF65" s="151"/>
      <c r="EG65" s="151"/>
      <c r="EH65" s="151"/>
      <c r="EI65" s="151"/>
      <c r="EJ65" s="151"/>
      <c r="EK65" s="151"/>
      <c r="EL65" s="151"/>
      <c r="EM65" s="151"/>
      <c r="EN65" s="169"/>
      <c r="EO65" s="169"/>
      <c r="EP65" s="169"/>
      <c r="EQ65" s="169"/>
      <c r="ER65" s="255"/>
      <c r="ES65" s="151"/>
      <c r="ET65" s="151"/>
      <c r="EU65" s="151"/>
      <c r="EV65" s="151"/>
      <c r="EW65" s="151"/>
      <c r="EX65" s="151"/>
      <c r="EY65" s="150"/>
      <c r="EZ65" s="150"/>
      <c r="FA65" s="150"/>
      <c r="FB65" s="150"/>
      <c r="FC65" s="150"/>
      <c r="FD65" s="150"/>
      <c r="FE65" s="150"/>
      <c r="FF65" s="150"/>
    </row>
    <row r="66" spans="1:162" x14ac:dyDescent="0.25">
      <c r="C66" s="144"/>
      <c r="D66" s="151"/>
      <c r="E66" s="151"/>
      <c r="F66" s="151"/>
      <c r="G66" s="151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80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80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82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82"/>
      <c r="BG66" s="181"/>
      <c r="BH66" s="180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80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80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80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80"/>
      <c r="EA66" s="151"/>
      <c r="EB66" s="151"/>
      <c r="EC66" s="151"/>
      <c r="ED66" s="151"/>
      <c r="EE66" s="151"/>
      <c r="EF66" s="151"/>
      <c r="EG66" s="151"/>
      <c r="EH66" s="151"/>
      <c r="EI66" s="151"/>
      <c r="EJ66" s="151"/>
      <c r="EK66" s="151"/>
      <c r="EL66" s="151"/>
      <c r="EM66" s="151"/>
      <c r="EN66" s="169"/>
      <c r="EO66" s="169"/>
      <c r="EP66" s="169"/>
      <c r="EQ66" s="169"/>
      <c r="ER66" s="255"/>
      <c r="ES66" s="151"/>
      <c r="ET66" s="151"/>
      <c r="EU66" s="151"/>
      <c r="EV66" s="151"/>
      <c r="EW66" s="151"/>
      <c r="EX66" s="151"/>
      <c r="EY66" s="150"/>
      <c r="EZ66" s="150"/>
      <c r="FA66" s="150"/>
      <c r="FB66" s="150"/>
      <c r="FC66" s="150"/>
      <c r="FD66" s="150"/>
      <c r="FE66" s="150"/>
      <c r="FF66" s="150"/>
    </row>
    <row r="67" spans="1:162" x14ac:dyDescent="0.25">
      <c r="C67" s="144"/>
      <c r="D67" s="151"/>
      <c r="E67" s="151"/>
      <c r="F67" s="151"/>
      <c r="G67" s="151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80"/>
      <c r="S67" s="151"/>
      <c r="T67" s="151"/>
      <c r="U67" s="151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80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82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82"/>
      <c r="BG67" s="181"/>
      <c r="BH67" s="180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80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80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80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80"/>
      <c r="EA67" s="151"/>
      <c r="EB67" s="151"/>
      <c r="EC67" s="151"/>
      <c r="ED67" s="151"/>
      <c r="EE67" s="151"/>
      <c r="EF67" s="151"/>
      <c r="EG67" s="151"/>
      <c r="EH67" s="151"/>
      <c r="EI67" s="151"/>
      <c r="EJ67" s="151"/>
      <c r="EK67" s="151"/>
      <c r="EL67" s="151"/>
      <c r="EM67" s="151"/>
      <c r="EN67" s="169"/>
      <c r="EO67" s="169"/>
      <c r="EP67" s="169"/>
      <c r="EQ67" s="169"/>
      <c r="ER67" s="255"/>
      <c r="ES67" s="151"/>
      <c r="ET67" s="151"/>
      <c r="EU67" s="151"/>
      <c r="EV67" s="151"/>
      <c r="EW67" s="151"/>
      <c r="EX67" s="151"/>
      <c r="EY67" s="150"/>
      <c r="EZ67" s="150"/>
      <c r="FA67" s="150"/>
      <c r="FB67" s="150"/>
      <c r="FC67" s="150"/>
      <c r="FD67" s="150"/>
      <c r="FE67" s="150"/>
      <c r="FF67" s="150"/>
    </row>
    <row r="68" spans="1:162" x14ac:dyDescent="0.25">
      <c r="C68" s="144"/>
      <c r="D68" s="151"/>
      <c r="E68" s="15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80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80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82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82"/>
      <c r="BG68" s="181"/>
      <c r="BH68" s="180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80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80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80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80"/>
      <c r="EA68" s="151"/>
      <c r="EB68" s="151"/>
      <c r="EC68" s="151"/>
      <c r="ED68" s="151"/>
      <c r="EE68" s="151"/>
      <c r="EF68" s="151"/>
      <c r="EG68" s="151"/>
      <c r="EH68" s="151"/>
      <c r="EI68" s="151"/>
      <c r="EJ68" s="151"/>
      <c r="EK68" s="151"/>
      <c r="EL68" s="151"/>
      <c r="EM68" s="151"/>
      <c r="EN68" s="169"/>
      <c r="EO68" s="169"/>
      <c r="EP68" s="169"/>
      <c r="EQ68" s="169"/>
      <c r="ER68" s="255"/>
      <c r="ES68" s="151"/>
      <c r="ET68" s="151"/>
      <c r="EU68" s="151"/>
      <c r="EV68" s="151"/>
      <c r="EW68" s="151"/>
      <c r="EX68" s="151"/>
      <c r="EY68" s="150"/>
      <c r="EZ68" s="150"/>
      <c r="FA68" s="150"/>
      <c r="FB68" s="150"/>
      <c r="FC68" s="150"/>
      <c r="FD68" s="150"/>
      <c r="FE68" s="150"/>
      <c r="FF68" s="150"/>
    </row>
    <row r="69" spans="1:162" x14ac:dyDescent="0.25">
      <c r="A69" s="126"/>
      <c r="B69" s="43"/>
      <c r="C69" s="144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80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80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82"/>
      <c r="AU69" s="151"/>
      <c r="AV69" s="151"/>
      <c r="AW69" s="151"/>
      <c r="AX69" s="151"/>
      <c r="AY69" s="151"/>
      <c r="AZ69" s="151"/>
      <c r="BA69" s="151"/>
      <c r="BB69" s="151"/>
      <c r="BC69" s="151"/>
      <c r="BD69" s="151"/>
      <c r="BE69" s="151"/>
      <c r="BF69" s="182"/>
      <c r="BG69" s="181"/>
      <c r="BH69" s="180"/>
      <c r="BI69" s="151"/>
      <c r="BJ69" s="151"/>
      <c r="BK69" s="151"/>
      <c r="BL69" s="151"/>
      <c r="BM69" s="151"/>
      <c r="BN69" s="151"/>
      <c r="BO69" s="151"/>
      <c r="BP69" s="151"/>
      <c r="BQ69" s="151"/>
      <c r="BR69" s="151"/>
      <c r="BS69" s="151"/>
      <c r="BT69" s="151"/>
      <c r="BU69" s="151"/>
      <c r="BV69" s="180"/>
      <c r="BW69" s="151"/>
      <c r="BX69" s="151"/>
      <c r="BY69" s="151"/>
      <c r="BZ69" s="151"/>
      <c r="CA69" s="151"/>
      <c r="CB69" s="151"/>
      <c r="CC69" s="151"/>
      <c r="CD69" s="151"/>
      <c r="CE69" s="151"/>
      <c r="CF69" s="151"/>
      <c r="CG69" s="151"/>
      <c r="CH69" s="151"/>
      <c r="CI69" s="151"/>
      <c r="CJ69" s="180"/>
      <c r="CK69" s="151"/>
      <c r="CL69" s="151"/>
      <c r="CM69" s="151"/>
      <c r="CN69" s="151"/>
      <c r="CO69" s="151"/>
      <c r="CP69" s="151"/>
      <c r="CQ69" s="151"/>
      <c r="CR69" s="151"/>
      <c r="CS69" s="151"/>
      <c r="CT69" s="151"/>
      <c r="CU69" s="151"/>
      <c r="CV69" s="151"/>
      <c r="CW69" s="151"/>
      <c r="CX69" s="151"/>
      <c r="CY69" s="151"/>
      <c r="CZ69" s="151"/>
      <c r="DA69" s="151"/>
      <c r="DB69" s="151"/>
      <c r="DC69" s="151"/>
      <c r="DD69" s="151"/>
      <c r="DE69" s="151"/>
      <c r="DF69" s="151"/>
      <c r="DG69" s="151"/>
      <c r="DH69" s="151"/>
      <c r="DI69" s="151"/>
      <c r="DJ69" s="151"/>
      <c r="DK69" s="151"/>
      <c r="DL69" s="180"/>
      <c r="DM69" s="151"/>
      <c r="DN69" s="151"/>
      <c r="DO69" s="151"/>
      <c r="DP69" s="151"/>
      <c r="DQ69" s="151"/>
      <c r="DR69" s="151"/>
      <c r="DS69" s="151"/>
      <c r="DT69" s="151"/>
      <c r="DU69" s="151"/>
      <c r="DV69" s="151"/>
      <c r="DW69" s="151"/>
      <c r="DX69" s="151"/>
      <c r="DY69" s="151"/>
      <c r="DZ69" s="180"/>
      <c r="EA69" s="151"/>
      <c r="EB69" s="151"/>
      <c r="EC69" s="151"/>
      <c r="ED69" s="151"/>
      <c r="EE69" s="151"/>
      <c r="EF69" s="151"/>
      <c r="EG69" s="151"/>
      <c r="EH69" s="151"/>
      <c r="EI69" s="151"/>
      <c r="EJ69" s="151"/>
      <c r="EK69" s="151"/>
      <c r="EL69" s="151"/>
      <c r="EM69" s="151"/>
      <c r="EN69" s="169"/>
      <c r="EO69" s="169"/>
      <c r="EP69" s="169"/>
      <c r="EQ69" s="169"/>
      <c r="ER69" s="255"/>
      <c r="ES69" s="151"/>
      <c r="ET69" s="151"/>
      <c r="EU69" s="151"/>
      <c r="EV69" s="151"/>
      <c r="EW69" s="151"/>
      <c r="EX69" s="151"/>
      <c r="EY69" s="150"/>
      <c r="EZ69" s="150"/>
      <c r="FA69" s="150"/>
      <c r="FB69" s="150"/>
      <c r="FC69" s="150"/>
      <c r="FD69" s="150"/>
      <c r="FE69" s="150"/>
      <c r="FF69" s="150"/>
    </row>
    <row r="70" spans="1:162" x14ac:dyDescent="0.25">
      <c r="C70" s="144"/>
      <c r="D70" s="151"/>
      <c r="E70" s="151"/>
      <c r="F70" s="151"/>
      <c r="G70" s="151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80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80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  <c r="AT70" s="182"/>
      <c r="AU70" s="151"/>
      <c r="AV70" s="151"/>
      <c r="AW70" s="151"/>
      <c r="AX70" s="151"/>
      <c r="AY70" s="151"/>
      <c r="AZ70" s="151"/>
      <c r="BA70" s="151"/>
      <c r="BB70" s="151"/>
      <c r="BC70" s="151"/>
      <c r="BD70" s="151"/>
      <c r="BE70" s="151"/>
      <c r="BF70" s="182"/>
      <c r="BG70" s="181"/>
      <c r="BH70" s="180"/>
      <c r="BI70" s="151"/>
      <c r="BJ70" s="151"/>
      <c r="BK70" s="151"/>
      <c r="BL70" s="151"/>
      <c r="BM70" s="151"/>
      <c r="BN70" s="151"/>
      <c r="BO70" s="151"/>
      <c r="BP70" s="151"/>
      <c r="BQ70" s="151"/>
      <c r="BR70" s="151"/>
      <c r="BS70" s="151"/>
      <c r="BT70" s="151"/>
      <c r="BU70" s="151"/>
      <c r="BV70" s="180"/>
      <c r="BW70" s="151"/>
      <c r="BX70" s="151"/>
      <c r="BY70" s="151"/>
      <c r="BZ70" s="151"/>
      <c r="CA70" s="151"/>
      <c r="CB70" s="151"/>
      <c r="CC70" s="151"/>
      <c r="CD70" s="151"/>
      <c r="CE70" s="151"/>
      <c r="CF70" s="151"/>
      <c r="CG70" s="151"/>
      <c r="CH70" s="151"/>
      <c r="CI70" s="151"/>
      <c r="CJ70" s="180"/>
      <c r="CK70" s="151"/>
      <c r="CL70" s="151"/>
      <c r="CM70" s="151"/>
      <c r="CN70" s="151"/>
      <c r="CO70" s="151"/>
      <c r="CP70" s="151"/>
      <c r="CQ70" s="151"/>
      <c r="CR70" s="151"/>
      <c r="CS70" s="151"/>
      <c r="CT70" s="151"/>
      <c r="CU70" s="151"/>
      <c r="CV70" s="151"/>
      <c r="CW70" s="151"/>
      <c r="CX70" s="151"/>
      <c r="CY70" s="151"/>
      <c r="CZ70" s="151"/>
      <c r="DA70" s="151"/>
      <c r="DB70" s="151"/>
      <c r="DC70" s="151"/>
      <c r="DD70" s="151"/>
      <c r="DE70" s="151"/>
      <c r="DF70" s="151"/>
      <c r="DG70" s="151"/>
      <c r="DH70" s="151"/>
      <c r="DI70" s="151"/>
      <c r="DJ70" s="151"/>
      <c r="DK70" s="151"/>
      <c r="DL70" s="180"/>
      <c r="DM70" s="151"/>
      <c r="DN70" s="151"/>
      <c r="DO70" s="151"/>
      <c r="DP70" s="151"/>
      <c r="DQ70" s="151"/>
      <c r="DR70" s="151"/>
      <c r="DS70" s="151"/>
      <c r="DT70" s="151"/>
      <c r="DU70" s="151"/>
      <c r="DV70" s="151"/>
      <c r="DW70" s="151"/>
      <c r="DX70" s="151"/>
      <c r="DY70" s="151"/>
      <c r="DZ70" s="180"/>
      <c r="EA70" s="151"/>
      <c r="EB70" s="151"/>
      <c r="EC70" s="151"/>
      <c r="ED70" s="151"/>
      <c r="EE70" s="151"/>
      <c r="EF70" s="151"/>
      <c r="EG70" s="151"/>
      <c r="EH70" s="151"/>
      <c r="EI70" s="151"/>
      <c r="EJ70" s="151"/>
      <c r="EK70" s="151"/>
      <c r="EL70" s="151"/>
      <c r="EM70" s="151"/>
      <c r="EN70" s="169"/>
      <c r="EO70" s="169"/>
      <c r="EP70" s="169"/>
      <c r="EQ70" s="169"/>
      <c r="ER70" s="255"/>
      <c r="ES70" s="151"/>
      <c r="ET70" s="151"/>
      <c r="EU70" s="151"/>
      <c r="EV70" s="151"/>
      <c r="EW70" s="151"/>
      <c r="EX70" s="151"/>
      <c r="EY70" s="150"/>
      <c r="EZ70" s="150"/>
      <c r="FA70" s="150"/>
      <c r="FB70" s="150"/>
      <c r="FC70" s="150"/>
      <c r="FD70" s="150"/>
      <c r="FE70" s="150"/>
      <c r="FF70" s="150"/>
    </row>
    <row r="71" spans="1:162" x14ac:dyDescent="0.25">
      <c r="C71" s="144"/>
      <c r="D71" s="151"/>
      <c r="E71" s="151"/>
      <c r="F71" s="151"/>
      <c r="G71" s="151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80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80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/>
      <c r="AT71" s="182"/>
      <c r="AU71" s="151"/>
      <c r="AV71" s="151"/>
      <c r="AW71" s="151"/>
      <c r="AX71" s="151"/>
      <c r="AY71" s="151"/>
      <c r="AZ71" s="151"/>
      <c r="BA71" s="151"/>
      <c r="BB71" s="151"/>
      <c r="BC71" s="151"/>
      <c r="BD71" s="151"/>
      <c r="BE71" s="151"/>
      <c r="BF71" s="182"/>
      <c r="BG71" s="181"/>
      <c r="BH71" s="180"/>
      <c r="BI71" s="151"/>
      <c r="BJ71" s="151"/>
      <c r="BK71" s="151"/>
      <c r="BL71" s="151"/>
      <c r="BM71" s="151"/>
      <c r="BN71" s="151"/>
      <c r="BO71" s="151"/>
      <c r="BP71" s="151"/>
      <c r="BQ71" s="151"/>
      <c r="BR71" s="151"/>
      <c r="BS71" s="151"/>
      <c r="BT71" s="151"/>
      <c r="BU71" s="151"/>
      <c r="BV71" s="180"/>
      <c r="BW71" s="151"/>
      <c r="BX71" s="151"/>
      <c r="BY71" s="151"/>
      <c r="BZ71" s="151"/>
      <c r="CA71" s="151"/>
      <c r="CB71" s="151"/>
      <c r="CC71" s="151"/>
      <c r="CD71" s="151"/>
      <c r="CE71" s="151"/>
      <c r="CF71" s="151"/>
      <c r="CG71" s="151"/>
      <c r="CH71" s="151"/>
      <c r="CI71" s="151"/>
      <c r="CJ71" s="180"/>
      <c r="CK71" s="151"/>
      <c r="CL71" s="151"/>
      <c r="CM71" s="151"/>
      <c r="CN71" s="151"/>
      <c r="CO71" s="151"/>
      <c r="CP71" s="151"/>
      <c r="CQ71" s="151"/>
      <c r="CR71" s="151"/>
      <c r="CS71" s="151"/>
      <c r="CT71" s="151"/>
      <c r="CU71" s="151"/>
      <c r="CV71" s="151"/>
      <c r="CW71" s="151"/>
      <c r="CX71" s="151"/>
      <c r="CY71" s="151"/>
      <c r="CZ71" s="151"/>
      <c r="DA71" s="151"/>
      <c r="DB71" s="151"/>
      <c r="DC71" s="151"/>
      <c r="DD71" s="151"/>
      <c r="DE71" s="151"/>
      <c r="DF71" s="151"/>
      <c r="DG71" s="151"/>
      <c r="DH71" s="151"/>
      <c r="DI71" s="151"/>
      <c r="DJ71" s="151"/>
      <c r="DK71" s="151"/>
      <c r="DL71" s="180"/>
      <c r="DM71" s="151"/>
      <c r="DN71" s="151"/>
      <c r="DO71" s="151"/>
      <c r="DP71" s="151"/>
      <c r="DQ71" s="151"/>
      <c r="DR71" s="151"/>
      <c r="DS71" s="151"/>
      <c r="DT71" s="151"/>
      <c r="DU71" s="151"/>
      <c r="DV71" s="151"/>
      <c r="DW71" s="151"/>
      <c r="DX71" s="151"/>
      <c r="DY71" s="151"/>
      <c r="DZ71" s="180"/>
      <c r="EA71" s="151"/>
      <c r="EB71" s="151"/>
      <c r="EC71" s="151"/>
      <c r="ED71" s="151"/>
      <c r="EE71" s="151"/>
      <c r="EF71" s="151"/>
      <c r="EG71" s="151"/>
      <c r="EH71" s="151"/>
      <c r="EI71" s="151"/>
      <c r="EJ71" s="151"/>
      <c r="EK71" s="151"/>
      <c r="EL71" s="151"/>
      <c r="EM71" s="151"/>
      <c r="EN71" s="169"/>
      <c r="EO71" s="169"/>
      <c r="EP71" s="169"/>
      <c r="EQ71" s="169"/>
      <c r="ER71" s="255"/>
      <c r="ES71" s="151"/>
      <c r="ET71" s="151"/>
      <c r="EU71" s="151"/>
      <c r="EV71" s="151"/>
      <c r="EW71" s="151"/>
      <c r="EX71" s="151"/>
      <c r="EY71" s="150"/>
      <c r="EZ71" s="150"/>
      <c r="FA71" s="150"/>
      <c r="FB71" s="150"/>
      <c r="FC71" s="150"/>
      <c r="FD71" s="150"/>
      <c r="FE71" s="150"/>
      <c r="FF71" s="150"/>
    </row>
    <row r="72" spans="1:162" x14ac:dyDescent="0.25">
      <c r="A72" s="126"/>
      <c r="B72" s="43"/>
      <c r="C72" s="144"/>
      <c r="D72" s="151"/>
      <c r="E72" s="151"/>
      <c r="F72" s="151"/>
      <c r="G72" s="151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80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80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82"/>
      <c r="AU72" s="151"/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82"/>
      <c r="BG72" s="181"/>
      <c r="BH72" s="180"/>
      <c r="BI72" s="151"/>
      <c r="BJ72" s="151"/>
      <c r="BK72" s="151"/>
      <c r="BL72" s="151"/>
      <c r="BM72" s="151"/>
      <c r="BN72" s="151"/>
      <c r="BO72" s="151"/>
      <c r="BP72" s="151"/>
      <c r="BQ72" s="151"/>
      <c r="BR72" s="151"/>
      <c r="BS72" s="151"/>
      <c r="BT72" s="151"/>
      <c r="BU72" s="151"/>
      <c r="BV72" s="180"/>
      <c r="BW72" s="151"/>
      <c r="BX72" s="151"/>
      <c r="BY72" s="151"/>
      <c r="BZ72" s="151"/>
      <c r="CA72" s="151"/>
      <c r="CB72" s="151"/>
      <c r="CC72" s="151"/>
      <c r="CD72" s="151"/>
      <c r="CE72" s="151"/>
      <c r="CF72" s="151"/>
      <c r="CG72" s="151"/>
      <c r="CH72" s="151"/>
      <c r="CI72" s="151"/>
      <c r="CJ72" s="180"/>
      <c r="CK72" s="151"/>
      <c r="CL72" s="151"/>
      <c r="CM72" s="151"/>
      <c r="CN72" s="151"/>
      <c r="CO72" s="151"/>
      <c r="CP72" s="151"/>
      <c r="CQ72" s="151"/>
      <c r="CR72" s="151"/>
      <c r="CS72" s="151"/>
      <c r="CT72" s="151"/>
      <c r="CU72" s="151"/>
      <c r="CV72" s="151"/>
      <c r="CW72" s="151"/>
      <c r="CX72" s="151"/>
      <c r="CY72" s="151"/>
      <c r="CZ72" s="151"/>
      <c r="DA72" s="151"/>
      <c r="DB72" s="151"/>
      <c r="DC72" s="151"/>
      <c r="DD72" s="151"/>
      <c r="DE72" s="151"/>
      <c r="DF72" s="151"/>
      <c r="DG72" s="151"/>
      <c r="DH72" s="151"/>
      <c r="DI72" s="151"/>
      <c r="DJ72" s="151"/>
      <c r="DK72" s="151"/>
      <c r="DL72" s="180"/>
      <c r="DM72" s="151"/>
      <c r="DN72" s="151"/>
      <c r="DO72" s="151"/>
      <c r="DP72" s="151"/>
      <c r="DQ72" s="151"/>
      <c r="DR72" s="151"/>
      <c r="DS72" s="151"/>
      <c r="DT72" s="151"/>
      <c r="DU72" s="151"/>
      <c r="DV72" s="151"/>
      <c r="DW72" s="151"/>
      <c r="DX72" s="151"/>
      <c r="DY72" s="151"/>
      <c r="DZ72" s="180"/>
      <c r="EA72" s="151"/>
      <c r="EB72" s="151"/>
      <c r="EC72" s="151"/>
      <c r="ED72" s="151"/>
      <c r="EE72" s="151"/>
      <c r="EF72" s="151"/>
      <c r="EG72" s="151"/>
      <c r="EH72" s="151"/>
      <c r="EI72" s="151"/>
      <c r="EJ72" s="151"/>
      <c r="EK72" s="151"/>
      <c r="EL72" s="151"/>
      <c r="EM72" s="151"/>
      <c r="EN72" s="169"/>
      <c r="EO72" s="169"/>
      <c r="EP72" s="169"/>
      <c r="EQ72" s="169"/>
      <c r="ER72" s="255"/>
      <c r="ES72" s="151"/>
      <c r="ET72" s="151"/>
      <c r="EU72" s="151"/>
      <c r="EV72" s="151"/>
      <c r="EW72" s="151"/>
      <c r="EX72" s="151"/>
      <c r="EY72" s="150"/>
      <c r="EZ72" s="150"/>
      <c r="FA72" s="150"/>
      <c r="FB72" s="150"/>
      <c r="FC72" s="150"/>
      <c r="FD72" s="150"/>
      <c r="FE72" s="150"/>
      <c r="FF72" s="150"/>
    </row>
    <row r="73" spans="1:162" x14ac:dyDescent="0.25">
      <c r="C73" s="144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80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80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82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82"/>
      <c r="BG73" s="181"/>
      <c r="BH73" s="180"/>
      <c r="BI73" s="151"/>
      <c r="BJ73" s="151"/>
      <c r="BK73" s="151"/>
      <c r="BL73" s="151"/>
      <c r="BM73" s="151"/>
      <c r="BN73" s="151"/>
      <c r="BO73" s="151"/>
      <c r="BP73" s="151"/>
      <c r="BQ73" s="151"/>
      <c r="BR73" s="151"/>
      <c r="BS73" s="151"/>
      <c r="BT73" s="151"/>
      <c r="BU73" s="151"/>
      <c r="BV73" s="180"/>
      <c r="BW73" s="151"/>
      <c r="BX73" s="151"/>
      <c r="BY73" s="151"/>
      <c r="BZ73" s="151"/>
      <c r="CA73" s="151"/>
      <c r="CB73" s="151"/>
      <c r="CC73" s="151"/>
      <c r="CD73" s="151"/>
      <c r="CE73" s="151"/>
      <c r="CF73" s="151"/>
      <c r="CG73" s="151"/>
      <c r="CH73" s="151"/>
      <c r="CI73" s="151"/>
      <c r="CJ73" s="180"/>
      <c r="CK73" s="151"/>
      <c r="CL73" s="151"/>
      <c r="CM73" s="151"/>
      <c r="CN73" s="151"/>
      <c r="CO73" s="151"/>
      <c r="CP73" s="151"/>
      <c r="CQ73" s="151"/>
      <c r="CR73" s="151"/>
      <c r="CS73" s="151"/>
      <c r="CT73" s="151"/>
      <c r="CU73" s="151"/>
      <c r="CV73" s="151"/>
      <c r="CW73" s="151"/>
      <c r="CX73" s="151"/>
      <c r="CY73" s="151"/>
      <c r="CZ73" s="151"/>
      <c r="DA73" s="151"/>
      <c r="DB73" s="151"/>
      <c r="DC73" s="151"/>
      <c r="DD73" s="151"/>
      <c r="DE73" s="151"/>
      <c r="DF73" s="151"/>
      <c r="DG73" s="151"/>
      <c r="DH73" s="151"/>
      <c r="DI73" s="151"/>
      <c r="DJ73" s="151"/>
      <c r="DK73" s="151"/>
      <c r="DL73" s="180"/>
      <c r="DM73" s="151"/>
      <c r="DN73" s="151"/>
      <c r="DO73" s="151"/>
      <c r="DP73" s="151"/>
      <c r="DQ73" s="151"/>
      <c r="DR73" s="151"/>
      <c r="DS73" s="151"/>
      <c r="DT73" s="151"/>
      <c r="DU73" s="151"/>
      <c r="DV73" s="151"/>
      <c r="DW73" s="151"/>
      <c r="DX73" s="151"/>
      <c r="DY73" s="151"/>
      <c r="DZ73" s="180"/>
      <c r="EA73" s="151"/>
      <c r="EB73" s="151"/>
      <c r="EC73" s="151"/>
      <c r="ED73" s="151"/>
      <c r="EE73" s="151"/>
      <c r="EF73" s="151"/>
      <c r="EG73" s="151"/>
      <c r="EH73" s="151"/>
      <c r="EI73" s="151"/>
      <c r="EJ73" s="151"/>
      <c r="EK73" s="151"/>
      <c r="EL73" s="151"/>
      <c r="EM73" s="151"/>
      <c r="EN73" s="169"/>
      <c r="EO73" s="169"/>
      <c r="EP73" s="169"/>
      <c r="EQ73" s="169"/>
      <c r="ER73" s="255"/>
      <c r="ES73" s="151"/>
      <c r="ET73" s="151"/>
      <c r="EU73" s="151"/>
      <c r="EV73" s="151"/>
      <c r="EW73" s="151"/>
      <c r="EX73" s="151"/>
      <c r="EY73" s="150"/>
      <c r="EZ73" s="150"/>
      <c r="FA73" s="150"/>
      <c r="FB73" s="150"/>
      <c r="FC73" s="150"/>
      <c r="FD73" s="150"/>
      <c r="FE73" s="150"/>
      <c r="FF73" s="150"/>
    </row>
    <row r="74" spans="1:162" x14ac:dyDescent="0.25">
      <c r="C74" s="144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80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80"/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  <c r="AT74" s="182"/>
      <c r="AU74" s="151"/>
      <c r="AV74" s="151"/>
      <c r="AW74" s="151"/>
      <c r="AX74" s="151"/>
      <c r="AY74" s="151"/>
      <c r="AZ74" s="151"/>
      <c r="BA74" s="151"/>
      <c r="BB74" s="151"/>
      <c r="BC74" s="151"/>
      <c r="BD74" s="151"/>
      <c r="BE74" s="151"/>
      <c r="BF74" s="182"/>
      <c r="BG74" s="181"/>
      <c r="BH74" s="180"/>
      <c r="BI74" s="151"/>
      <c r="BJ74" s="151"/>
      <c r="BK74" s="151"/>
      <c r="BL74" s="151"/>
      <c r="BM74" s="151"/>
      <c r="BN74" s="151"/>
      <c r="BO74" s="151"/>
      <c r="BP74" s="151"/>
      <c r="BQ74" s="151"/>
      <c r="BR74" s="151"/>
      <c r="BS74" s="151"/>
      <c r="BT74" s="151"/>
      <c r="BU74" s="151"/>
      <c r="BV74" s="180"/>
      <c r="BW74" s="151"/>
      <c r="BX74" s="151"/>
      <c r="BY74" s="151"/>
      <c r="BZ74" s="151"/>
      <c r="CA74" s="151"/>
      <c r="CB74" s="151"/>
      <c r="CC74" s="151"/>
      <c r="CD74" s="151"/>
      <c r="CE74" s="151"/>
      <c r="CF74" s="151"/>
      <c r="CG74" s="151"/>
      <c r="CH74" s="151"/>
      <c r="CI74" s="151"/>
      <c r="CJ74" s="180"/>
      <c r="CK74" s="151"/>
      <c r="CL74" s="151"/>
      <c r="CM74" s="151"/>
      <c r="CN74" s="151"/>
      <c r="CO74" s="151"/>
      <c r="CP74" s="151"/>
      <c r="CQ74" s="151"/>
      <c r="CR74" s="151"/>
      <c r="CS74" s="151"/>
      <c r="CT74" s="151"/>
      <c r="CU74" s="151"/>
      <c r="CV74" s="151"/>
      <c r="CW74" s="151"/>
      <c r="CX74" s="151"/>
      <c r="CY74" s="151"/>
      <c r="CZ74" s="151"/>
      <c r="DA74" s="151"/>
      <c r="DB74" s="151"/>
      <c r="DC74" s="151"/>
      <c r="DD74" s="151"/>
      <c r="DE74" s="151"/>
      <c r="DF74" s="151"/>
      <c r="DG74" s="151"/>
      <c r="DH74" s="151"/>
      <c r="DI74" s="151"/>
      <c r="DJ74" s="151"/>
      <c r="DK74" s="151"/>
      <c r="DL74" s="180"/>
      <c r="DM74" s="151"/>
      <c r="DN74" s="151"/>
      <c r="DO74" s="151"/>
      <c r="DP74" s="151"/>
      <c r="DQ74" s="151"/>
      <c r="DR74" s="151"/>
      <c r="DS74" s="151"/>
      <c r="DT74" s="151"/>
      <c r="DU74" s="151"/>
      <c r="DV74" s="151"/>
      <c r="DW74" s="151"/>
      <c r="DX74" s="151"/>
      <c r="DY74" s="151"/>
      <c r="DZ74" s="180"/>
      <c r="EA74" s="151"/>
      <c r="EB74" s="151"/>
      <c r="EC74" s="151"/>
      <c r="ED74" s="151"/>
      <c r="EE74" s="151"/>
      <c r="EF74" s="151"/>
      <c r="EG74" s="151"/>
      <c r="EH74" s="151"/>
      <c r="EI74" s="151"/>
      <c r="EJ74" s="151"/>
      <c r="EK74" s="151"/>
      <c r="EL74" s="151"/>
      <c r="EM74" s="151"/>
      <c r="EN74" s="169"/>
      <c r="EO74" s="169"/>
      <c r="EP74" s="169"/>
      <c r="EQ74" s="169"/>
      <c r="ER74" s="255"/>
      <c r="ES74" s="151"/>
      <c r="ET74" s="151"/>
      <c r="EU74" s="151"/>
      <c r="EV74" s="151"/>
      <c r="EW74" s="151"/>
      <c r="EX74" s="151"/>
      <c r="EY74" s="150"/>
      <c r="EZ74" s="150"/>
      <c r="FA74" s="150"/>
      <c r="FB74" s="150"/>
      <c r="FC74" s="150"/>
      <c r="FD74" s="150"/>
      <c r="FE74" s="150"/>
      <c r="FF74" s="150"/>
    </row>
    <row r="75" spans="1:162" x14ac:dyDescent="0.25">
      <c r="C75" s="144"/>
      <c r="D75" s="151"/>
      <c r="E75" s="151"/>
      <c r="F75" s="151"/>
      <c r="G75" s="151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80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80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1"/>
      <c r="AT75" s="182"/>
      <c r="AU75" s="151"/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82"/>
      <c r="BG75" s="181"/>
      <c r="BH75" s="180"/>
      <c r="BI75" s="151"/>
      <c r="BJ75" s="151"/>
      <c r="BK75" s="151"/>
      <c r="BL75" s="151"/>
      <c r="BM75" s="151"/>
      <c r="BN75" s="151"/>
      <c r="BO75" s="151"/>
      <c r="BP75" s="151"/>
      <c r="BQ75" s="151"/>
      <c r="BR75" s="151"/>
      <c r="BS75" s="151"/>
      <c r="BT75" s="151"/>
      <c r="BU75" s="151"/>
      <c r="BV75" s="180"/>
      <c r="BW75" s="151"/>
      <c r="BX75" s="151"/>
      <c r="BY75" s="151"/>
      <c r="BZ75" s="151"/>
      <c r="CA75" s="151"/>
      <c r="CB75" s="151"/>
      <c r="CC75" s="151"/>
      <c r="CD75" s="151"/>
      <c r="CE75" s="151"/>
      <c r="CF75" s="151"/>
      <c r="CG75" s="151"/>
      <c r="CH75" s="151"/>
      <c r="CI75" s="151"/>
      <c r="CJ75" s="180"/>
      <c r="CK75" s="151"/>
      <c r="CL75" s="151"/>
      <c r="CM75" s="151"/>
      <c r="CN75" s="151"/>
      <c r="CO75" s="151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80"/>
      <c r="DM75" s="151"/>
      <c r="DN75" s="151"/>
      <c r="DO75" s="151"/>
      <c r="DP75" s="151"/>
      <c r="DQ75" s="151"/>
      <c r="DR75" s="151"/>
      <c r="DS75" s="151"/>
      <c r="DT75" s="151"/>
      <c r="DU75" s="151"/>
      <c r="DV75" s="151"/>
      <c r="DW75" s="151"/>
      <c r="DX75" s="151"/>
      <c r="DY75" s="151"/>
      <c r="DZ75" s="180"/>
      <c r="EA75" s="151"/>
      <c r="EB75" s="151"/>
      <c r="EC75" s="151"/>
      <c r="ED75" s="151"/>
      <c r="EE75" s="151"/>
      <c r="EF75" s="151"/>
      <c r="EG75" s="151"/>
      <c r="EH75" s="151"/>
      <c r="EI75" s="151"/>
      <c r="EJ75" s="151"/>
      <c r="EK75" s="151"/>
      <c r="EL75" s="151"/>
      <c r="EM75" s="151"/>
      <c r="EN75" s="169"/>
      <c r="EO75" s="169"/>
      <c r="EP75" s="169"/>
      <c r="EQ75" s="169"/>
      <c r="ER75" s="255"/>
      <c r="ES75" s="151"/>
      <c r="ET75" s="151"/>
      <c r="EU75" s="151"/>
      <c r="EV75" s="151"/>
      <c r="EW75" s="151"/>
      <c r="EX75" s="151"/>
      <c r="EY75" s="150"/>
      <c r="EZ75" s="150"/>
      <c r="FA75" s="150"/>
      <c r="FB75" s="150"/>
      <c r="FC75" s="150"/>
      <c r="FD75" s="150"/>
      <c r="FE75" s="150"/>
      <c r="FF75" s="150"/>
    </row>
    <row r="76" spans="1:162" x14ac:dyDescent="0.25">
      <c r="C76" s="144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5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5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51"/>
      <c r="AT76" s="182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  <c r="BE76" s="151"/>
      <c r="BF76" s="182"/>
      <c r="BG76" s="181"/>
      <c r="BH76" s="224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224"/>
      <c r="BW76" s="148"/>
      <c r="BX76" s="148"/>
      <c r="BY76" s="148"/>
      <c r="BZ76" s="148"/>
      <c r="CA76" s="148"/>
      <c r="CB76" s="148"/>
      <c r="CC76" s="148"/>
      <c r="CD76" s="148"/>
      <c r="CE76" s="148"/>
      <c r="CF76" s="148"/>
      <c r="CG76" s="148"/>
      <c r="CH76" s="148"/>
      <c r="CI76" s="148"/>
      <c r="CJ76" s="224"/>
      <c r="CK76" s="148"/>
      <c r="CL76" s="148"/>
      <c r="CM76" s="148"/>
      <c r="CN76" s="148"/>
      <c r="CO76" s="148"/>
      <c r="CP76" s="148"/>
      <c r="CQ76" s="148"/>
      <c r="CR76" s="148"/>
      <c r="CS76" s="148"/>
      <c r="CT76" s="148"/>
      <c r="CU76" s="148"/>
      <c r="CV76" s="148"/>
      <c r="CW76" s="148"/>
      <c r="CX76" s="149"/>
      <c r="CY76" s="149"/>
      <c r="CZ76" s="149"/>
      <c r="DA76" s="149"/>
      <c r="DB76" s="149"/>
      <c r="DC76" s="149"/>
      <c r="DD76" s="149"/>
      <c r="DE76" s="149"/>
      <c r="DF76" s="149"/>
      <c r="DG76" s="149"/>
      <c r="DH76" s="149"/>
      <c r="DI76" s="149"/>
      <c r="DJ76" s="149"/>
      <c r="DK76" s="149"/>
      <c r="DL76" s="232"/>
      <c r="DM76" s="149"/>
      <c r="DN76" s="149"/>
      <c r="DO76" s="149"/>
      <c r="DP76" s="149"/>
      <c r="DQ76" s="149"/>
      <c r="DR76" s="149"/>
      <c r="DS76" s="149"/>
      <c r="DT76" s="149"/>
      <c r="DU76" s="149"/>
      <c r="DV76" s="149"/>
      <c r="DW76" s="149"/>
      <c r="DX76" s="149"/>
      <c r="DY76" s="149"/>
      <c r="DZ76" s="232"/>
      <c r="EA76" s="149"/>
      <c r="EB76" s="149"/>
      <c r="EC76" s="149"/>
      <c r="ED76" s="149"/>
      <c r="EE76" s="149"/>
      <c r="EF76" s="149"/>
      <c r="EG76" s="149"/>
      <c r="EH76" s="149"/>
      <c r="EI76" s="149"/>
      <c r="EJ76" s="149"/>
      <c r="EK76" s="149"/>
      <c r="EL76" s="149"/>
      <c r="EM76" s="149"/>
      <c r="EN76" s="169"/>
      <c r="EO76" s="169"/>
      <c r="EP76" s="169"/>
      <c r="EQ76" s="169"/>
      <c r="ER76" s="255"/>
      <c r="ES76" s="169"/>
      <c r="ET76" s="169"/>
      <c r="EU76" s="169"/>
      <c r="EV76" s="169"/>
      <c r="EW76" s="169"/>
      <c r="EX76" s="169"/>
      <c r="EY76" s="169"/>
      <c r="EZ76" s="169"/>
      <c r="FA76" s="169"/>
      <c r="FB76" s="169"/>
      <c r="FC76" s="169"/>
      <c r="FD76" s="169"/>
      <c r="FE76" s="169"/>
      <c r="FF76" s="150"/>
    </row>
    <row r="77" spans="1:162" x14ac:dyDescent="0.25">
      <c r="C77" s="144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80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80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1"/>
      <c r="AT77" s="182"/>
      <c r="AU77" s="151"/>
      <c r="AV77" s="151"/>
      <c r="AW77" s="151"/>
      <c r="AX77" s="151"/>
      <c r="AY77" s="151"/>
      <c r="AZ77" s="151"/>
      <c r="BA77" s="151"/>
      <c r="BB77" s="151"/>
      <c r="BC77" s="151"/>
      <c r="BD77" s="151"/>
      <c r="BE77" s="151"/>
      <c r="BF77" s="182"/>
      <c r="BG77" s="181"/>
      <c r="BH77" s="180"/>
      <c r="BI77" s="151"/>
      <c r="BJ77" s="151"/>
      <c r="BK77" s="151"/>
      <c r="BL77" s="151"/>
      <c r="BM77" s="151"/>
      <c r="BN77" s="151"/>
      <c r="BO77" s="151"/>
      <c r="BP77" s="151"/>
      <c r="BQ77" s="151"/>
      <c r="BR77" s="151"/>
      <c r="BS77" s="151"/>
      <c r="BT77" s="151"/>
      <c r="BU77" s="151"/>
      <c r="BV77" s="180"/>
      <c r="BW77" s="151"/>
      <c r="BX77" s="151"/>
      <c r="BY77" s="151"/>
      <c r="BZ77" s="151"/>
      <c r="CA77" s="151"/>
      <c r="CB77" s="151"/>
      <c r="CC77" s="151"/>
      <c r="CD77" s="151"/>
      <c r="CE77" s="151"/>
      <c r="CF77" s="151"/>
      <c r="CG77" s="151"/>
      <c r="CH77" s="151"/>
      <c r="CI77" s="151"/>
      <c r="CJ77" s="180"/>
      <c r="CK77" s="151"/>
      <c r="CL77" s="151"/>
      <c r="CM77" s="151"/>
      <c r="CN77" s="151"/>
      <c r="CO77" s="151"/>
      <c r="CP77" s="151"/>
      <c r="CQ77" s="151"/>
      <c r="CR77" s="151"/>
      <c r="CS77" s="151"/>
      <c r="CT77" s="151"/>
      <c r="CU77" s="151"/>
      <c r="CV77" s="151"/>
      <c r="CW77" s="151"/>
      <c r="CX77" s="151"/>
      <c r="CY77" s="151"/>
      <c r="CZ77" s="151"/>
      <c r="DA77" s="151"/>
      <c r="DB77" s="151"/>
      <c r="DC77" s="151"/>
      <c r="DD77" s="151"/>
      <c r="DE77" s="151"/>
      <c r="DF77" s="151"/>
      <c r="DG77" s="151"/>
      <c r="DH77" s="151"/>
      <c r="DI77" s="151"/>
      <c r="DJ77" s="151"/>
      <c r="DK77" s="151"/>
      <c r="DL77" s="180"/>
      <c r="DM77" s="151"/>
      <c r="DN77" s="151"/>
      <c r="DO77" s="151"/>
      <c r="DP77" s="151"/>
      <c r="DQ77" s="151"/>
      <c r="DR77" s="151"/>
      <c r="DS77" s="151"/>
      <c r="DT77" s="151"/>
      <c r="DU77" s="151"/>
      <c r="DV77" s="151"/>
      <c r="DW77" s="151"/>
      <c r="DX77" s="151"/>
      <c r="DY77" s="151"/>
      <c r="DZ77" s="180"/>
      <c r="EA77" s="151"/>
      <c r="EB77" s="151"/>
      <c r="EC77" s="151"/>
      <c r="ED77" s="151"/>
      <c r="EE77" s="151"/>
      <c r="EF77" s="151"/>
      <c r="EG77" s="151"/>
      <c r="EH77" s="151"/>
      <c r="EI77" s="151"/>
      <c r="EJ77" s="151"/>
      <c r="EK77" s="151"/>
      <c r="EL77" s="151"/>
      <c r="EM77" s="151"/>
      <c r="EN77" s="169"/>
      <c r="EO77" s="169"/>
      <c r="EP77" s="169"/>
      <c r="EQ77" s="169"/>
      <c r="ER77" s="255"/>
      <c r="ES77" s="150"/>
      <c r="ET77" s="150"/>
      <c r="EU77" s="150"/>
      <c r="EV77" s="150"/>
      <c r="EW77" s="150"/>
      <c r="EX77" s="150"/>
      <c r="EY77" s="150"/>
      <c r="EZ77" s="150"/>
      <c r="FA77" s="150"/>
      <c r="FB77" s="150"/>
      <c r="FC77" s="150"/>
      <c r="FD77" s="150"/>
      <c r="FE77" s="150"/>
      <c r="FF77" s="150"/>
    </row>
    <row r="78" spans="1:162" x14ac:dyDescent="0.25">
      <c r="C78" s="144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80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80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82"/>
      <c r="AU78" s="151"/>
      <c r="AV78" s="151"/>
      <c r="AW78" s="151"/>
      <c r="AX78" s="151"/>
      <c r="AY78" s="151"/>
      <c r="AZ78" s="151"/>
      <c r="BA78" s="151"/>
      <c r="BB78" s="151"/>
      <c r="BC78" s="151"/>
      <c r="BD78" s="151"/>
      <c r="BE78" s="151"/>
      <c r="BF78" s="182"/>
      <c r="BG78" s="181"/>
      <c r="BH78" s="180"/>
      <c r="BI78" s="151"/>
      <c r="BJ78" s="151"/>
      <c r="BK78" s="151"/>
      <c r="BL78" s="151"/>
      <c r="BM78" s="151"/>
      <c r="BN78" s="151"/>
      <c r="BO78" s="151"/>
      <c r="BP78" s="151"/>
      <c r="BQ78" s="151"/>
      <c r="BR78" s="151"/>
      <c r="BS78" s="151"/>
      <c r="BT78" s="151"/>
      <c r="BU78" s="151"/>
      <c r="BV78" s="180"/>
      <c r="BW78" s="151"/>
      <c r="BX78" s="151"/>
      <c r="BY78" s="151"/>
      <c r="BZ78" s="151"/>
      <c r="CA78" s="151"/>
      <c r="CB78" s="151"/>
      <c r="CC78" s="151"/>
      <c r="CD78" s="151"/>
      <c r="CE78" s="151"/>
      <c r="CF78" s="151"/>
      <c r="CG78" s="151"/>
      <c r="CH78" s="151"/>
      <c r="CI78" s="151"/>
      <c r="CJ78" s="180"/>
      <c r="CK78" s="151"/>
      <c r="CL78" s="151"/>
      <c r="CM78" s="151"/>
      <c r="CN78" s="151"/>
      <c r="CO78" s="151"/>
      <c r="CP78" s="151"/>
      <c r="CQ78" s="151"/>
      <c r="CR78" s="151"/>
      <c r="CS78" s="151"/>
      <c r="CT78" s="151"/>
      <c r="CU78" s="151"/>
      <c r="CV78" s="151"/>
      <c r="CW78" s="151"/>
      <c r="CX78" s="151"/>
      <c r="CY78" s="151"/>
      <c r="CZ78" s="151"/>
      <c r="DA78" s="151"/>
      <c r="DB78" s="151"/>
      <c r="DC78" s="151"/>
      <c r="DD78" s="151"/>
      <c r="DE78" s="151"/>
      <c r="DF78" s="151"/>
      <c r="DG78" s="151"/>
      <c r="DH78" s="151"/>
      <c r="DI78" s="151"/>
      <c r="DJ78" s="151"/>
      <c r="DK78" s="151"/>
      <c r="DL78" s="180"/>
      <c r="DM78" s="151"/>
      <c r="DN78" s="151"/>
      <c r="DO78" s="151"/>
      <c r="DP78" s="151"/>
      <c r="DQ78" s="151"/>
      <c r="DR78" s="151"/>
      <c r="DS78" s="151"/>
      <c r="DT78" s="151"/>
      <c r="DU78" s="151"/>
      <c r="DV78" s="151"/>
      <c r="DW78" s="151"/>
      <c r="DX78" s="151"/>
      <c r="DY78" s="151"/>
      <c r="DZ78" s="180"/>
      <c r="EA78" s="151"/>
      <c r="EB78" s="151"/>
      <c r="EC78" s="151"/>
      <c r="ED78" s="151"/>
      <c r="EE78" s="151"/>
      <c r="EF78" s="151"/>
      <c r="EG78" s="151"/>
      <c r="EH78" s="151"/>
      <c r="EI78" s="151"/>
      <c r="EJ78" s="151"/>
      <c r="EK78" s="151"/>
      <c r="EL78" s="151"/>
      <c r="EM78" s="151"/>
      <c r="EN78" s="169"/>
      <c r="EO78" s="169"/>
      <c r="EP78" s="169"/>
      <c r="EQ78" s="169"/>
      <c r="ER78" s="255"/>
      <c r="ES78" s="151"/>
      <c r="ET78" s="151"/>
      <c r="EU78" s="151"/>
      <c r="EV78" s="151"/>
      <c r="EW78" s="151"/>
      <c r="EX78" s="151"/>
      <c r="EY78" s="150"/>
      <c r="EZ78" s="150"/>
      <c r="FA78" s="150"/>
      <c r="FB78" s="150"/>
      <c r="FC78" s="150"/>
      <c r="FD78" s="150"/>
      <c r="FE78" s="150"/>
      <c r="FF78" s="150"/>
    </row>
    <row r="79" spans="1:162" x14ac:dyDescent="0.25">
      <c r="C79" s="144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80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80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  <c r="AT79" s="182"/>
      <c r="AU79" s="151"/>
      <c r="AV79" s="151"/>
      <c r="AW79" s="151"/>
      <c r="AX79" s="151"/>
      <c r="AY79" s="151"/>
      <c r="AZ79" s="151"/>
      <c r="BA79" s="151"/>
      <c r="BB79" s="151"/>
      <c r="BC79" s="151"/>
      <c r="BD79" s="151"/>
      <c r="BE79" s="151"/>
      <c r="BF79" s="182"/>
      <c r="BG79" s="181"/>
      <c r="BH79" s="180"/>
      <c r="BI79" s="151"/>
      <c r="BJ79" s="151"/>
      <c r="BK79" s="151"/>
      <c r="BL79" s="151"/>
      <c r="BM79" s="151"/>
      <c r="BN79" s="151"/>
      <c r="BO79" s="151"/>
      <c r="BP79" s="151"/>
      <c r="BQ79" s="151"/>
      <c r="BR79" s="151"/>
      <c r="BS79" s="151"/>
      <c r="BT79" s="151"/>
      <c r="BU79" s="151"/>
      <c r="BV79" s="180"/>
      <c r="BW79" s="151"/>
      <c r="BX79" s="151"/>
      <c r="BY79" s="151"/>
      <c r="BZ79" s="151"/>
      <c r="CA79" s="151"/>
      <c r="CB79" s="151"/>
      <c r="CC79" s="151"/>
      <c r="CD79" s="151"/>
      <c r="CE79" s="151"/>
      <c r="CF79" s="151"/>
      <c r="CG79" s="151"/>
      <c r="CH79" s="151"/>
      <c r="CI79" s="151"/>
      <c r="CJ79" s="180"/>
      <c r="CK79" s="151"/>
      <c r="CL79" s="151"/>
      <c r="CM79" s="151"/>
      <c r="CN79" s="151"/>
      <c r="CO79" s="151"/>
      <c r="CP79" s="151"/>
      <c r="CQ79" s="151"/>
      <c r="CR79" s="151"/>
      <c r="CS79" s="151"/>
      <c r="CT79" s="151"/>
      <c r="CU79" s="151"/>
      <c r="CV79" s="151"/>
      <c r="CW79" s="151"/>
      <c r="CX79" s="151"/>
      <c r="CY79" s="151"/>
      <c r="CZ79" s="151"/>
      <c r="DA79" s="151"/>
      <c r="DB79" s="151"/>
      <c r="DC79" s="151"/>
      <c r="DD79" s="151"/>
      <c r="DE79" s="151"/>
      <c r="DF79" s="151"/>
      <c r="DG79" s="151"/>
      <c r="DH79" s="151"/>
      <c r="DI79" s="151"/>
      <c r="DJ79" s="151"/>
      <c r="DK79" s="151"/>
      <c r="DL79" s="180"/>
      <c r="DM79" s="151"/>
      <c r="DN79" s="151"/>
      <c r="DO79" s="151"/>
      <c r="DP79" s="151"/>
      <c r="DQ79" s="151"/>
      <c r="DR79" s="151"/>
      <c r="DS79" s="151"/>
      <c r="DT79" s="151"/>
      <c r="DU79" s="151"/>
      <c r="DV79" s="151"/>
      <c r="DW79" s="151"/>
      <c r="DX79" s="151"/>
      <c r="DY79" s="151"/>
      <c r="DZ79" s="180"/>
      <c r="EA79" s="151"/>
      <c r="EB79" s="151"/>
      <c r="EC79" s="151"/>
      <c r="ED79" s="151"/>
      <c r="EE79" s="151"/>
      <c r="EF79" s="151"/>
      <c r="EG79" s="151"/>
      <c r="EH79" s="151"/>
      <c r="EI79" s="151"/>
      <c r="EJ79" s="151"/>
      <c r="EK79" s="151"/>
      <c r="EL79" s="151"/>
      <c r="EM79" s="151"/>
      <c r="EN79" s="169"/>
      <c r="EO79" s="169"/>
      <c r="EP79" s="169"/>
      <c r="EQ79" s="169"/>
      <c r="ER79" s="255"/>
      <c r="ES79" s="151"/>
      <c r="ET79" s="151"/>
      <c r="EU79" s="151"/>
      <c r="EV79" s="151"/>
      <c r="EW79" s="151"/>
      <c r="EX79" s="151"/>
      <c r="EY79" s="150"/>
      <c r="EZ79" s="150"/>
      <c r="FA79" s="150"/>
      <c r="FB79" s="150"/>
      <c r="FC79" s="150"/>
      <c r="FD79" s="150"/>
      <c r="FE79" s="150"/>
      <c r="FF79" s="150"/>
    </row>
    <row r="80" spans="1:162" x14ac:dyDescent="0.25">
      <c r="C80" s="144"/>
      <c r="D80" s="182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82"/>
      <c r="Q80" s="182"/>
      <c r="R80" s="180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80"/>
      <c r="AG80" s="151"/>
      <c r="AH80" s="151"/>
      <c r="AI80" s="151"/>
      <c r="AJ80" s="151"/>
      <c r="AK80" s="151"/>
      <c r="AL80" s="151"/>
      <c r="AM80" s="151"/>
      <c r="AN80" s="151"/>
      <c r="AO80" s="151"/>
      <c r="AP80" s="151"/>
      <c r="AQ80" s="151"/>
      <c r="AR80" s="151"/>
      <c r="AS80" s="151"/>
      <c r="AT80" s="182"/>
      <c r="AU80" s="151"/>
      <c r="AV80" s="151"/>
      <c r="AW80" s="151"/>
      <c r="AX80" s="151"/>
      <c r="AY80" s="151"/>
      <c r="AZ80" s="151"/>
      <c r="BA80" s="151"/>
      <c r="BB80" s="151"/>
      <c r="BC80" s="151"/>
      <c r="BD80" s="151"/>
      <c r="BE80" s="151"/>
      <c r="BF80" s="182"/>
      <c r="BG80" s="181"/>
      <c r="BH80" s="180"/>
      <c r="BI80" s="151"/>
      <c r="BJ80" s="151"/>
      <c r="BK80" s="151"/>
      <c r="BL80" s="151"/>
      <c r="BM80" s="151"/>
      <c r="BN80" s="151"/>
      <c r="BO80" s="151"/>
      <c r="BP80" s="151"/>
      <c r="BQ80" s="151"/>
      <c r="BR80" s="151"/>
      <c r="BS80" s="151"/>
      <c r="BT80" s="151"/>
      <c r="BU80" s="151"/>
      <c r="BV80" s="180"/>
      <c r="BW80" s="151"/>
      <c r="BX80" s="151"/>
      <c r="BY80" s="151"/>
      <c r="BZ80" s="151"/>
      <c r="CA80" s="151"/>
      <c r="CB80" s="151"/>
      <c r="CC80" s="151"/>
      <c r="CD80" s="151"/>
      <c r="CE80" s="151"/>
      <c r="CF80" s="151"/>
      <c r="CG80" s="151"/>
      <c r="CH80" s="151"/>
      <c r="CI80" s="151"/>
      <c r="CJ80" s="180"/>
      <c r="CK80" s="151"/>
      <c r="CL80" s="151"/>
      <c r="CM80" s="151"/>
      <c r="CN80" s="151"/>
      <c r="CO80" s="151"/>
      <c r="CP80" s="151"/>
      <c r="CQ80" s="151"/>
      <c r="CR80" s="151"/>
      <c r="CS80" s="151"/>
      <c r="CT80" s="151"/>
      <c r="CU80" s="151"/>
      <c r="CV80" s="151"/>
      <c r="CW80" s="151"/>
      <c r="CX80" s="151"/>
      <c r="CY80" s="151"/>
      <c r="CZ80" s="151"/>
      <c r="DA80" s="151"/>
      <c r="DB80" s="151"/>
      <c r="DC80" s="151"/>
      <c r="DD80" s="151"/>
      <c r="DE80" s="151"/>
      <c r="DF80" s="151"/>
      <c r="DG80" s="151"/>
      <c r="DH80" s="151"/>
      <c r="DI80" s="151"/>
      <c r="DJ80" s="151"/>
      <c r="DK80" s="151"/>
      <c r="DL80" s="180"/>
      <c r="DM80" s="151"/>
      <c r="DN80" s="151"/>
      <c r="DO80" s="151"/>
      <c r="DP80" s="151"/>
      <c r="DQ80" s="151"/>
      <c r="DR80" s="151"/>
      <c r="DS80" s="151"/>
      <c r="DT80" s="151"/>
      <c r="DU80" s="151"/>
      <c r="DV80" s="151"/>
      <c r="DW80" s="151"/>
      <c r="DX80" s="151"/>
      <c r="DY80" s="151"/>
      <c r="DZ80" s="180"/>
      <c r="EA80" s="151"/>
      <c r="EB80" s="151"/>
      <c r="EC80" s="151"/>
      <c r="ED80" s="151"/>
      <c r="EE80" s="151"/>
      <c r="EF80" s="151"/>
      <c r="EG80" s="151"/>
      <c r="EH80" s="151"/>
      <c r="EI80" s="151"/>
      <c r="EJ80" s="151"/>
      <c r="EK80" s="151"/>
      <c r="EL80" s="151"/>
      <c r="EM80" s="151"/>
      <c r="EN80" s="169"/>
      <c r="EO80" s="169"/>
      <c r="EP80" s="169"/>
      <c r="EQ80" s="169"/>
      <c r="ER80" s="255"/>
      <c r="ES80" s="151"/>
      <c r="ET80" s="151"/>
      <c r="EU80" s="151"/>
      <c r="EV80" s="151"/>
      <c r="EW80" s="151"/>
      <c r="EX80" s="151"/>
      <c r="EY80" s="150"/>
      <c r="EZ80" s="150"/>
      <c r="FA80" s="150"/>
      <c r="FB80" s="150"/>
      <c r="FC80" s="150"/>
      <c r="FD80" s="150"/>
      <c r="FE80" s="150"/>
      <c r="FF80" s="150"/>
    </row>
    <row r="81" spans="1:162" x14ac:dyDescent="0.25">
      <c r="C81" s="144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82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82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/>
      <c r="AT81" s="182"/>
      <c r="AU81" s="151"/>
      <c r="AV81" s="151"/>
      <c r="AW81" s="151"/>
      <c r="AX81" s="151"/>
      <c r="AY81" s="151"/>
      <c r="AZ81" s="151"/>
      <c r="BA81" s="151"/>
      <c r="BB81" s="151"/>
      <c r="BC81" s="151"/>
      <c r="BD81" s="151"/>
      <c r="BE81" s="151"/>
      <c r="BF81" s="182"/>
      <c r="BG81" s="182"/>
      <c r="BH81" s="182"/>
      <c r="BI81" s="151"/>
      <c r="BJ81" s="151"/>
      <c r="BK81" s="151"/>
      <c r="BL81" s="151"/>
      <c r="BM81" s="151"/>
      <c r="BN81" s="151"/>
      <c r="BO81" s="151"/>
      <c r="BP81" s="151"/>
      <c r="BQ81" s="151"/>
      <c r="BR81" s="151"/>
      <c r="BS81" s="151"/>
      <c r="BT81" s="151"/>
      <c r="BU81" s="151"/>
      <c r="BV81" s="182"/>
      <c r="BW81" s="151"/>
      <c r="BX81" s="151"/>
      <c r="BY81" s="151"/>
      <c r="BZ81" s="151"/>
      <c r="CA81" s="151"/>
      <c r="CB81" s="151"/>
      <c r="CC81" s="151"/>
      <c r="CD81" s="151"/>
      <c r="CE81" s="151"/>
      <c r="CF81" s="151"/>
      <c r="CG81" s="151"/>
      <c r="CH81" s="151"/>
      <c r="CI81" s="151"/>
      <c r="CJ81" s="182"/>
      <c r="CK81" s="151"/>
      <c r="CL81" s="151"/>
      <c r="CM81" s="151"/>
      <c r="CN81" s="151"/>
      <c r="CO81" s="151"/>
      <c r="CP81" s="151"/>
      <c r="CQ81" s="151"/>
      <c r="CR81" s="151"/>
      <c r="CS81" s="151"/>
      <c r="CT81" s="151"/>
      <c r="CU81" s="151"/>
      <c r="CV81" s="151"/>
      <c r="CW81" s="151"/>
      <c r="CX81" s="151"/>
      <c r="CY81" s="151"/>
      <c r="CZ81" s="151"/>
      <c r="DA81" s="151"/>
      <c r="DB81" s="151"/>
      <c r="DC81" s="151"/>
      <c r="DD81" s="151"/>
      <c r="DE81" s="151"/>
      <c r="DF81" s="151"/>
      <c r="DG81" s="151"/>
      <c r="DH81" s="151"/>
      <c r="DI81" s="151"/>
      <c r="DJ81" s="151"/>
      <c r="DK81" s="151"/>
      <c r="DL81" s="182"/>
      <c r="DM81" s="151"/>
      <c r="DN81" s="151"/>
      <c r="DO81" s="151"/>
      <c r="DP81" s="151"/>
      <c r="DQ81" s="151"/>
      <c r="DR81" s="151"/>
      <c r="DS81" s="151"/>
      <c r="DT81" s="151"/>
      <c r="DU81" s="151"/>
      <c r="DV81" s="151"/>
      <c r="DW81" s="151"/>
      <c r="DX81" s="151"/>
      <c r="DY81" s="151"/>
      <c r="DZ81" s="182"/>
      <c r="EA81" s="151"/>
      <c r="EB81" s="151"/>
      <c r="EC81" s="151"/>
      <c r="ED81" s="151"/>
      <c r="EE81" s="151"/>
      <c r="EF81" s="151"/>
      <c r="EG81" s="151"/>
      <c r="EH81" s="151"/>
      <c r="EI81" s="151"/>
      <c r="EJ81" s="151"/>
      <c r="EK81" s="151"/>
      <c r="EL81" s="151"/>
      <c r="EM81" s="151"/>
      <c r="EN81" s="169"/>
      <c r="EO81" s="169"/>
      <c r="EP81" s="169"/>
      <c r="EQ81" s="169"/>
      <c r="ER81" s="255"/>
      <c r="ES81" s="151"/>
      <c r="ET81" s="151"/>
      <c r="EU81" s="151"/>
      <c r="EV81" s="151"/>
      <c r="EW81" s="151"/>
      <c r="EX81" s="151"/>
      <c r="EY81" s="150"/>
      <c r="EZ81" s="150"/>
      <c r="FA81" s="150"/>
      <c r="FB81" s="150"/>
      <c r="FC81" s="150"/>
      <c r="FD81" s="150"/>
      <c r="FE81" s="150"/>
      <c r="FF81" s="150"/>
    </row>
    <row r="82" spans="1:162" x14ac:dyDescent="0.25">
      <c r="C82" s="144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82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82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  <c r="AS82" s="151"/>
      <c r="AT82" s="182"/>
      <c r="AU82" s="151"/>
      <c r="AV82" s="151"/>
      <c r="AW82" s="151"/>
      <c r="AX82" s="151"/>
      <c r="AY82" s="151"/>
      <c r="AZ82" s="151"/>
      <c r="BA82" s="151"/>
      <c r="BB82" s="151"/>
      <c r="BC82" s="151"/>
      <c r="BD82" s="151"/>
      <c r="BE82" s="151"/>
      <c r="BF82" s="182"/>
      <c r="BG82" s="182"/>
      <c r="BH82" s="182"/>
      <c r="BI82" s="151"/>
      <c r="BJ82" s="151"/>
      <c r="BK82" s="151"/>
      <c r="BL82" s="151"/>
      <c r="BM82" s="151"/>
      <c r="BN82" s="151"/>
      <c r="BO82" s="151"/>
      <c r="BP82" s="151"/>
      <c r="BQ82" s="151"/>
      <c r="BR82" s="151"/>
      <c r="BS82" s="151"/>
      <c r="BT82" s="151"/>
      <c r="BU82" s="151"/>
      <c r="BV82" s="182"/>
      <c r="BW82" s="151"/>
      <c r="BX82" s="151"/>
      <c r="BY82" s="151"/>
      <c r="BZ82" s="151"/>
      <c r="CA82" s="151"/>
      <c r="CB82" s="151"/>
      <c r="CC82" s="151"/>
      <c r="CD82" s="151"/>
      <c r="CE82" s="151"/>
      <c r="CF82" s="151"/>
      <c r="CG82" s="151"/>
      <c r="CH82" s="151"/>
      <c r="CI82" s="151"/>
      <c r="CJ82" s="182"/>
      <c r="CK82" s="151"/>
      <c r="CL82" s="151"/>
      <c r="CM82" s="151"/>
      <c r="CN82" s="151"/>
      <c r="CO82" s="151"/>
      <c r="CP82" s="151"/>
      <c r="CQ82" s="151"/>
      <c r="CR82" s="151"/>
      <c r="CS82" s="151"/>
      <c r="CT82" s="151"/>
      <c r="CU82" s="151"/>
      <c r="CV82" s="151"/>
      <c r="CW82" s="151"/>
      <c r="CX82" s="151"/>
      <c r="CY82" s="151"/>
      <c r="CZ82" s="151"/>
      <c r="DA82" s="151"/>
      <c r="DB82" s="151"/>
      <c r="DC82" s="151"/>
      <c r="DD82" s="151"/>
      <c r="DE82" s="151"/>
      <c r="DF82" s="151"/>
      <c r="DG82" s="151"/>
      <c r="DH82" s="151"/>
      <c r="DI82" s="151"/>
      <c r="DJ82" s="151"/>
      <c r="DK82" s="151"/>
      <c r="DL82" s="182"/>
      <c r="DM82" s="151"/>
      <c r="DN82" s="151"/>
      <c r="DO82" s="151"/>
      <c r="DP82" s="151"/>
      <c r="DQ82" s="151"/>
      <c r="DR82" s="151"/>
      <c r="DS82" s="151"/>
      <c r="DT82" s="151"/>
      <c r="DU82" s="151"/>
      <c r="DV82" s="151"/>
      <c r="DW82" s="151"/>
      <c r="DX82" s="151"/>
      <c r="DY82" s="151"/>
      <c r="DZ82" s="182"/>
      <c r="EA82" s="151"/>
      <c r="EB82" s="151"/>
      <c r="EC82" s="151"/>
      <c r="ED82" s="151"/>
      <c r="EE82" s="151"/>
      <c r="EF82" s="151"/>
      <c r="EG82" s="151"/>
      <c r="EH82" s="151"/>
      <c r="EI82" s="151"/>
      <c r="EJ82" s="151"/>
      <c r="EK82" s="151"/>
      <c r="EL82" s="151"/>
      <c r="EM82" s="151"/>
      <c r="EN82" s="169"/>
      <c r="EO82" s="169"/>
      <c r="EP82" s="169"/>
      <c r="EQ82" s="169"/>
      <c r="ER82" s="255"/>
      <c r="ES82" s="151"/>
      <c r="ET82" s="151"/>
      <c r="EU82" s="151"/>
      <c r="EV82" s="151"/>
      <c r="EW82" s="151"/>
      <c r="EX82" s="151"/>
      <c r="EY82" s="150"/>
      <c r="EZ82" s="150"/>
      <c r="FA82" s="150"/>
      <c r="FB82" s="150"/>
      <c r="FC82" s="150"/>
      <c r="FD82" s="150"/>
      <c r="FE82" s="150"/>
      <c r="FF82" s="150"/>
    </row>
    <row r="83" spans="1:162" x14ac:dyDescent="0.25">
      <c r="C83" s="144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82"/>
      <c r="S83" s="151"/>
      <c r="T83" s="151"/>
      <c r="U83" s="151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82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82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82"/>
      <c r="BG83" s="182"/>
      <c r="BH83" s="182"/>
      <c r="BI83" s="151"/>
      <c r="BJ83" s="151"/>
      <c r="BK83" s="151"/>
      <c r="BL83" s="151"/>
      <c r="BM83" s="151"/>
      <c r="BN83" s="151"/>
      <c r="BO83" s="151"/>
      <c r="BP83" s="151"/>
      <c r="BQ83" s="151"/>
      <c r="BR83" s="151"/>
      <c r="BS83" s="151"/>
      <c r="BT83" s="151"/>
      <c r="BU83" s="151"/>
      <c r="BV83" s="182"/>
      <c r="BW83" s="151"/>
      <c r="BX83" s="151"/>
      <c r="BY83" s="151"/>
      <c r="BZ83" s="151"/>
      <c r="CA83" s="151"/>
      <c r="CB83" s="151"/>
      <c r="CC83" s="151"/>
      <c r="CD83" s="151"/>
      <c r="CE83" s="151"/>
      <c r="CF83" s="151"/>
      <c r="CG83" s="151"/>
      <c r="CH83" s="151"/>
      <c r="CI83" s="151"/>
      <c r="CJ83" s="182"/>
      <c r="CK83" s="151"/>
      <c r="CL83" s="151"/>
      <c r="CM83" s="151"/>
      <c r="CN83" s="151"/>
      <c r="CO83" s="151"/>
      <c r="CP83" s="151"/>
      <c r="CQ83" s="151"/>
      <c r="CR83" s="151"/>
      <c r="CS83" s="151"/>
      <c r="CT83" s="151"/>
      <c r="CU83" s="151"/>
      <c r="CV83" s="151"/>
      <c r="CW83" s="151"/>
      <c r="CX83" s="151"/>
      <c r="CY83" s="151"/>
      <c r="CZ83" s="151"/>
      <c r="DA83" s="151"/>
      <c r="DB83" s="151"/>
      <c r="DC83" s="151"/>
      <c r="DD83" s="151"/>
      <c r="DE83" s="151"/>
      <c r="DF83" s="151"/>
      <c r="DG83" s="151"/>
      <c r="DH83" s="151"/>
      <c r="DI83" s="151"/>
      <c r="DJ83" s="151"/>
      <c r="DK83" s="151"/>
      <c r="DL83" s="182"/>
      <c r="DM83" s="151"/>
      <c r="DN83" s="151"/>
      <c r="DO83" s="151"/>
      <c r="DP83" s="151"/>
      <c r="DQ83" s="151"/>
      <c r="DR83" s="151"/>
      <c r="DS83" s="151"/>
      <c r="DT83" s="151"/>
      <c r="DU83" s="151"/>
      <c r="DV83" s="151"/>
      <c r="DW83" s="151"/>
      <c r="DX83" s="151"/>
      <c r="DY83" s="151"/>
      <c r="DZ83" s="182"/>
      <c r="EA83" s="151"/>
      <c r="EB83" s="151"/>
      <c r="EC83" s="151"/>
      <c r="ED83" s="151"/>
      <c r="EE83" s="151"/>
      <c r="EF83" s="151"/>
      <c r="EG83" s="151"/>
      <c r="EH83" s="151"/>
      <c r="EI83" s="151"/>
      <c r="EJ83" s="151"/>
      <c r="EK83" s="151"/>
      <c r="EL83" s="151"/>
      <c r="EM83" s="151"/>
      <c r="EN83" s="169"/>
      <c r="EO83" s="169"/>
      <c r="EP83" s="169"/>
      <c r="EQ83" s="169"/>
      <c r="ER83" s="255"/>
      <c r="ES83" s="151"/>
      <c r="ET83" s="151"/>
      <c r="EU83" s="151"/>
      <c r="EV83" s="151"/>
      <c r="EW83" s="151"/>
      <c r="EX83" s="151"/>
      <c r="EY83" s="150"/>
      <c r="EZ83" s="150"/>
      <c r="FA83" s="150"/>
      <c r="FB83" s="150"/>
      <c r="FC83" s="150"/>
      <c r="FD83" s="150"/>
      <c r="FE83" s="150"/>
      <c r="FF83" s="150"/>
    </row>
    <row r="84" spans="1:162" x14ac:dyDescent="0.25">
      <c r="C84" s="144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82"/>
      <c r="S84" s="151"/>
      <c r="T84" s="151"/>
      <c r="U84" s="151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82"/>
      <c r="AG84" s="151"/>
      <c r="AH84" s="151"/>
      <c r="AI84" s="151"/>
      <c r="AJ84" s="151"/>
      <c r="AK84" s="151"/>
      <c r="AL84" s="151"/>
      <c r="AM84" s="151"/>
      <c r="AN84" s="151"/>
      <c r="AO84" s="151"/>
      <c r="AP84" s="151"/>
      <c r="AQ84" s="151"/>
      <c r="AR84" s="151"/>
      <c r="AS84" s="151"/>
      <c r="AT84" s="182"/>
      <c r="AU84" s="151"/>
      <c r="AV84" s="151"/>
      <c r="AW84" s="151"/>
      <c r="AX84" s="151"/>
      <c r="AY84" s="151"/>
      <c r="AZ84" s="151"/>
      <c r="BA84" s="151"/>
      <c r="BB84" s="151"/>
      <c r="BC84" s="151"/>
      <c r="BD84" s="151"/>
      <c r="BE84" s="151"/>
      <c r="BF84" s="182"/>
      <c r="BG84" s="182"/>
      <c r="BH84" s="182"/>
      <c r="BI84" s="151"/>
      <c r="BJ84" s="151"/>
      <c r="BK84" s="151"/>
      <c r="BL84" s="151"/>
      <c r="BM84" s="151"/>
      <c r="BN84" s="151"/>
      <c r="BO84" s="151"/>
      <c r="BP84" s="151"/>
      <c r="BQ84" s="151"/>
      <c r="BR84" s="151"/>
      <c r="BS84" s="151"/>
      <c r="BT84" s="151"/>
      <c r="BU84" s="151"/>
      <c r="BV84" s="182"/>
      <c r="BW84" s="151"/>
      <c r="BX84" s="151"/>
      <c r="BY84" s="151"/>
      <c r="BZ84" s="151"/>
      <c r="CA84" s="151"/>
      <c r="CB84" s="151"/>
      <c r="CC84" s="151"/>
      <c r="CD84" s="151"/>
      <c r="CE84" s="151"/>
      <c r="CF84" s="151"/>
      <c r="CG84" s="151"/>
      <c r="CH84" s="151"/>
      <c r="CI84" s="151"/>
      <c r="CJ84" s="182"/>
      <c r="CK84" s="151"/>
      <c r="CL84" s="151"/>
      <c r="CM84" s="151"/>
      <c r="CN84" s="151"/>
      <c r="CO84" s="151"/>
      <c r="CP84" s="151"/>
      <c r="CQ84" s="151"/>
      <c r="CR84" s="151"/>
      <c r="CS84" s="151"/>
      <c r="CT84" s="151"/>
      <c r="CU84" s="151"/>
      <c r="CV84" s="151"/>
      <c r="CW84" s="151"/>
      <c r="CX84" s="151"/>
      <c r="CY84" s="151"/>
      <c r="CZ84" s="151"/>
      <c r="DA84" s="151"/>
      <c r="DB84" s="151"/>
      <c r="DC84" s="151"/>
      <c r="DD84" s="151"/>
      <c r="DE84" s="151"/>
      <c r="DF84" s="151"/>
      <c r="DG84" s="151"/>
      <c r="DH84" s="151"/>
      <c r="DI84" s="151"/>
      <c r="DJ84" s="151"/>
      <c r="DK84" s="151"/>
      <c r="DL84" s="182"/>
      <c r="DM84" s="151"/>
      <c r="DN84" s="151"/>
      <c r="DO84" s="151"/>
      <c r="DP84" s="151"/>
      <c r="DQ84" s="151"/>
      <c r="DR84" s="151"/>
      <c r="DS84" s="151"/>
      <c r="DT84" s="151"/>
      <c r="DU84" s="151"/>
      <c r="DV84" s="151"/>
      <c r="DW84" s="151"/>
      <c r="DX84" s="151"/>
      <c r="DY84" s="151"/>
      <c r="DZ84" s="182"/>
      <c r="EA84" s="151"/>
      <c r="EB84" s="151"/>
      <c r="EC84" s="151"/>
      <c r="ED84" s="151"/>
      <c r="EE84" s="151"/>
      <c r="EF84" s="151"/>
      <c r="EG84" s="151"/>
      <c r="EH84" s="151"/>
      <c r="EI84" s="151"/>
      <c r="EJ84" s="151"/>
      <c r="EK84" s="151"/>
      <c r="EL84" s="151"/>
      <c r="EM84" s="151"/>
      <c r="EN84" s="169"/>
      <c r="EO84" s="169"/>
      <c r="EP84" s="169"/>
      <c r="EQ84" s="169"/>
      <c r="ER84" s="255"/>
      <c r="ES84" s="151"/>
      <c r="ET84" s="151"/>
      <c r="EU84" s="151"/>
      <c r="EV84" s="151"/>
      <c r="EW84" s="151"/>
      <c r="EX84" s="151"/>
      <c r="EY84" s="150"/>
      <c r="EZ84" s="150"/>
      <c r="FA84" s="150"/>
      <c r="FB84" s="150"/>
      <c r="FC84" s="150"/>
      <c r="FD84" s="150"/>
      <c r="FE84" s="150"/>
      <c r="FF84" s="150"/>
    </row>
    <row r="85" spans="1:162" x14ac:dyDescent="0.25">
      <c r="C85" s="144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82"/>
      <c r="S85" s="151"/>
      <c r="T85" s="151"/>
      <c r="U85" s="151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82"/>
      <c r="AG85" s="151"/>
      <c r="AH85" s="151"/>
      <c r="AI85" s="151"/>
      <c r="AJ85" s="151"/>
      <c r="AK85" s="151"/>
      <c r="AL85" s="151"/>
      <c r="AM85" s="151"/>
      <c r="AN85" s="151"/>
      <c r="AO85" s="151"/>
      <c r="AP85" s="151"/>
      <c r="AQ85" s="151"/>
      <c r="AR85" s="151"/>
      <c r="AS85" s="151"/>
      <c r="AT85" s="182"/>
      <c r="AU85" s="151"/>
      <c r="AV85" s="151"/>
      <c r="AW85" s="151"/>
      <c r="AX85" s="151"/>
      <c r="AY85" s="151"/>
      <c r="AZ85" s="151"/>
      <c r="BA85" s="151"/>
      <c r="BB85" s="151"/>
      <c r="BC85" s="151"/>
      <c r="BD85" s="151"/>
      <c r="BE85" s="151"/>
      <c r="BF85" s="182"/>
      <c r="BG85" s="182"/>
      <c r="BH85" s="182"/>
      <c r="BI85" s="151"/>
      <c r="BJ85" s="151"/>
      <c r="BK85" s="151"/>
      <c r="BL85" s="151"/>
      <c r="BM85" s="151"/>
      <c r="BN85" s="151"/>
      <c r="BO85" s="151"/>
      <c r="BP85" s="151"/>
      <c r="BQ85" s="151"/>
      <c r="BR85" s="151"/>
      <c r="BS85" s="151"/>
      <c r="BT85" s="151"/>
      <c r="BU85" s="151"/>
      <c r="BV85" s="182"/>
      <c r="BW85" s="151"/>
      <c r="BX85" s="151"/>
      <c r="BY85" s="151"/>
      <c r="BZ85" s="151"/>
      <c r="CA85" s="151"/>
      <c r="CB85" s="151"/>
      <c r="CC85" s="151"/>
      <c r="CD85" s="151"/>
      <c r="CE85" s="151"/>
      <c r="CF85" s="151"/>
      <c r="CG85" s="151"/>
      <c r="CH85" s="151"/>
      <c r="CI85" s="151"/>
      <c r="CJ85" s="182"/>
      <c r="CK85" s="151"/>
      <c r="CL85" s="151"/>
      <c r="CM85" s="151"/>
      <c r="CN85" s="151"/>
      <c r="CO85" s="151"/>
      <c r="CP85" s="151"/>
      <c r="CQ85" s="151"/>
      <c r="CR85" s="151"/>
      <c r="CS85" s="151"/>
      <c r="CT85" s="151"/>
      <c r="CU85" s="151"/>
      <c r="CV85" s="151"/>
      <c r="CW85" s="151"/>
      <c r="CX85" s="151"/>
      <c r="CY85" s="151"/>
      <c r="CZ85" s="151"/>
      <c r="DA85" s="151"/>
      <c r="DB85" s="151"/>
      <c r="DC85" s="151"/>
      <c r="DD85" s="151"/>
      <c r="DE85" s="151"/>
      <c r="DF85" s="151"/>
      <c r="DG85" s="151"/>
      <c r="DH85" s="151"/>
      <c r="DI85" s="151"/>
      <c r="DJ85" s="151"/>
      <c r="DK85" s="151"/>
      <c r="DL85" s="182"/>
      <c r="DM85" s="151"/>
      <c r="DN85" s="151"/>
      <c r="DO85" s="151"/>
      <c r="DP85" s="151"/>
      <c r="DQ85" s="151"/>
      <c r="DR85" s="151"/>
      <c r="DS85" s="151"/>
      <c r="DT85" s="151"/>
      <c r="DU85" s="151"/>
      <c r="DV85" s="151"/>
      <c r="DW85" s="151"/>
      <c r="DX85" s="151"/>
      <c r="DY85" s="151"/>
      <c r="DZ85" s="182"/>
      <c r="EA85" s="151"/>
      <c r="EB85" s="151"/>
      <c r="EC85" s="151"/>
      <c r="ED85" s="151"/>
      <c r="EE85" s="151"/>
      <c r="EF85" s="151"/>
      <c r="EG85" s="151"/>
      <c r="EH85" s="151"/>
      <c r="EI85" s="151"/>
      <c r="EJ85" s="151"/>
      <c r="EK85" s="151"/>
      <c r="EL85" s="151"/>
      <c r="EM85" s="151"/>
      <c r="EN85" s="169"/>
      <c r="EO85" s="169"/>
      <c r="EP85" s="169"/>
      <c r="EQ85" s="169"/>
      <c r="ER85" s="255"/>
      <c r="ES85" s="151"/>
      <c r="ET85" s="151"/>
      <c r="EU85" s="151"/>
      <c r="EV85" s="151"/>
      <c r="EW85" s="151"/>
      <c r="EX85" s="151"/>
      <c r="EY85" s="150"/>
      <c r="EZ85" s="150"/>
      <c r="FA85" s="150"/>
      <c r="FB85" s="150"/>
      <c r="FC85" s="150"/>
      <c r="FD85" s="150"/>
      <c r="FE85" s="150"/>
      <c r="FF85" s="150"/>
    </row>
    <row r="86" spans="1:162" x14ac:dyDescent="0.25">
      <c r="C86" s="144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82"/>
      <c r="S86" s="151"/>
      <c r="T86" s="151"/>
      <c r="U86" s="151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82"/>
      <c r="AG86" s="151"/>
      <c r="AH86" s="151"/>
      <c r="AI86" s="151"/>
      <c r="AJ86" s="151"/>
      <c r="AK86" s="151"/>
      <c r="AL86" s="151"/>
      <c r="AM86" s="151"/>
      <c r="AN86" s="151"/>
      <c r="AO86" s="151"/>
      <c r="AP86" s="151"/>
      <c r="AQ86" s="151"/>
      <c r="AR86" s="151"/>
      <c r="AS86" s="151"/>
      <c r="AT86" s="182"/>
      <c r="AU86" s="151"/>
      <c r="AV86" s="151"/>
      <c r="AW86" s="151"/>
      <c r="AX86" s="151"/>
      <c r="AY86" s="151"/>
      <c r="AZ86" s="151"/>
      <c r="BA86" s="151"/>
      <c r="BB86" s="151"/>
      <c r="BC86" s="151"/>
      <c r="BD86" s="151"/>
      <c r="BE86" s="151"/>
      <c r="BF86" s="182"/>
      <c r="BG86" s="182"/>
      <c r="BH86" s="182"/>
      <c r="BI86" s="151"/>
      <c r="BJ86" s="151"/>
      <c r="BK86" s="151"/>
      <c r="BL86" s="151"/>
      <c r="BM86" s="151"/>
      <c r="BN86" s="151"/>
      <c r="BO86" s="151"/>
      <c r="BP86" s="151"/>
      <c r="BQ86" s="151"/>
      <c r="BR86" s="151"/>
      <c r="BS86" s="151"/>
      <c r="BT86" s="151"/>
      <c r="BU86" s="151"/>
      <c r="BV86" s="182"/>
      <c r="BW86" s="151"/>
      <c r="BX86" s="151"/>
      <c r="BY86" s="151"/>
      <c r="BZ86" s="151"/>
      <c r="CA86" s="151"/>
      <c r="CB86" s="151"/>
      <c r="CC86" s="151"/>
      <c r="CD86" s="151"/>
      <c r="CE86" s="151"/>
      <c r="CF86" s="151"/>
      <c r="CG86" s="151"/>
      <c r="CH86" s="151"/>
      <c r="CI86" s="151"/>
      <c r="CJ86" s="182"/>
      <c r="CK86" s="151"/>
      <c r="CL86" s="151"/>
      <c r="CM86" s="151"/>
      <c r="CN86" s="151"/>
      <c r="CO86" s="151"/>
      <c r="CP86" s="151"/>
      <c r="CQ86" s="151"/>
      <c r="CR86" s="151"/>
      <c r="CS86" s="151"/>
      <c r="CT86" s="151"/>
      <c r="CU86" s="151"/>
      <c r="CV86" s="151"/>
      <c r="CW86" s="151"/>
      <c r="CX86" s="151"/>
      <c r="CY86" s="151"/>
      <c r="CZ86" s="151"/>
      <c r="DA86" s="151"/>
      <c r="DB86" s="151"/>
      <c r="DC86" s="151"/>
      <c r="DD86" s="151"/>
      <c r="DE86" s="151"/>
      <c r="DF86" s="151"/>
      <c r="DG86" s="151"/>
      <c r="DH86" s="151"/>
      <c r="DI86" s="151"/>
      <c r="DJ86" s="151"/>
      <c r="DK86" s="151"/>
      <c r="DL86" s="182"/>
      <c r="DM86" s="151"/>
      <c r="DN86" s="151"/>
      <c r="DO86" s="151"/>
      <c r="DP86" s="151"/>
      <c r="DQ86" s="151"/>
      <c r="DR86" s="151"/>
      <c r="DS86" s="151"/>
      <c r="DT86" s="151"/>
      <c r="DU86" s="151"/>
      <c r="DV86" s="151"/>
      <c r="DW86" s="151"/>
      <c r="DX86" s="151"/>
      <c r="DY86" s="151"/>
      <c r="DZ86" s="182"/>
      <c r="EA86" s="151"/>
      <c r="EB86" s="151"/>
      <c r="EC86" s="151"/>
      <c r="ED86" s="151"/>
      <c r="EE86" s="151"/>
      <c r="EF86" s="151"/>
      <c r="EG86" s="151"/>
      <c r="EH86" s="151"/>
      <c r="EI86" s="151"/>
      <c r="EJ86" s="151"/>
      <c r="EK86" s="151"/>
      <c r="EL86" s="151"/>
      <c r="EM86" s="151"/>
      <c r="EN86" s="169"/>
      <c r="EO86" s="169"/>
      <c r="EP86" s="169"/>
      <c r="EQ86" s="169"/>
      <c r="ER86" s="255"/>
      <c r="ES86" s="151"/>
      <c r="ET86" s="151"/>
      <c r="EU86" s="151"/>
      <c r="EV86" s="151"/>
      <c r="EW86" s="151"/>
      <c r="EX86" s="151"/>
      <c r="EY86" s="150"/>
      <c r="EZ86" s="150"/>
      <c r="FA86" s="150"/>
      <c r="FB86" s="150"/>
      <c r="FC86" s="150"/>
      <c r="FD86" s="150"/>
      <c r="FE86" s="150"/>
      <c r="FF86" s="150"/>
    </row>
    <row r="87" spans="1:162" x14ac:dyDescent="0.25">
      <c r="C87" s="144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82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82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1"/>
      <c r="AT87" s="182"/>
      <c r="AU87" s="151"/>
      <c r="AV87" s="151"/>
      <c r="AW87" s="151"/>
      <c r="AX87" s="151"/>
      <c r="AY87" s="151"/>
      <c r="AZ87" s="151"/>
      <c r="BA87" s="151"/>
      <c r="BB87" s="151"/>
      <c r="BC87" s="151"/>
      <c r="BD87" s="151"/>
      <c r="BE87" s="151"/>
      <c r="BF87" s="182"/>
      <c r="BG87" s="182"/>
      <c r="BH87" s="182"/>
      <c r="BI87" s="151"/>
      <c r="BJ87" s="151"/>
      <c r="BK87" s="151"/>
      <c r="BL87" s="151"/>
      <c r="BM87" s="151"/>
      <c r="BN87" s="151"/>
      <c r="BO87" s="151"/>
      <c r="BP87" s="151"/>
      <c r="BQ87" s="151"/>
      <c r="BR87" s="151"/>
      <c r="BS87" s="151"/>
      <c r="BT87" s="151"/>
      <c r="BU87" s="151"/>
      <c r="BV87" s="182"/>
      <c r="BW87" s="151"/>
      <c r="BX87" s="151"/>
      <c r="BY87" s="151"/>
      <c r="BZ87" s="151"/>
      <c r="CA87" s="151"/>
      <c r="CB87" s="151"/>
      <c r="CC87" s="151"/>
      <c r="CD87" s="151"/>
      <c r="CE87" s="151"/>
      <c r="CF87" s="151"/>
      <c r="CG87" s="151"/>
      <c r="CH87" s="151"/>
      <c r="CI87" s="151"/>
      <c r="CJ87" s="182"/>
      <c r="CK87" s="151"/>
      <c r="CL87" s="151"/>
      <c r="CM87" s="151"/>
      <c r="CN87" s="151"/>
      <c r="CO87" s="151"/>
      <c r="CP87" s="151"/>
      <c r="CQ87" s="151"/>
      <c r="CR87" s="151"/>
      <c r="CS87" s="151"/>
      <c r="CT87" s="151"/>
      <c r="CU87" s="151"/>
      <c r="CV87" s="151"/>
      <c r="CW87" s="151"/>
      <c r="CX87" s="151"/>
      <c r="CY87" s="151"/>
      <c r="CZ87" s="151"/>
      <c r="DA87" s="151"/>
      <c r="DB87" s="151"/>
      <c r="DC87" s="151"/>
      <c r="DD87" s="151"/>
      <c r="DE87" s="151"/>
      <c r="DF87" s="151"/>
      <c r="DG87" s="151"/>
      <c r="DH87" s="151"/>
      <c r="DI87" s="151"/>
      <c r="DJ87" s="151"/>
      <c r="DK87" s="151"/>
      <c r="DL87" s="182"/>
      <c r="DM87" s="151"/>
      <c r="DN87" s="151"/>
      <c r="DO87" s="151"/>
      <c r="DP87" s="151"/>
      <c r="DQ87" s="151"/>
      <c r="DR87" s="151"/>
      <c r="DS87" s="151"/>
      <c r="DT87" s="151"/>
      <c r="DU87" s="151"/>
      <c r="DV87" s="151"/>
      <c r="DW87" s="151"/>
      <c r="DX87" s="151"/>
      <c r="DY87" s="151"/>
      <c r="DZ87" s="182"/>
      <c r="EA87" s="151"/>
      <c r="EB87" s="151"/>
      <c r="EC87" s="151"/>
      <c r="ED87" s="151"/>
      <c r="EE87" s="151"/>
      <c r="EF87" s="151"/>
      <c r="EG87" s="151"/>
      <c r="EH87" s="151"/>
      <c r="EI87" s="151"/>
      <c r="EJ87" s="151"/>
      <c r="EK87" s="151"/>
      <c r="EL87" s="151"/>
      <c r="EM87" s="151"/>
      <c r="EN87" s="169"/>
      <c r="EO87" s="169"/>
      <c r="EP87" s="169"/>
      <c r="EQ87" s="169"/>
      <c r="ER87" s="255"/>
      <c r="ES87" s="151"/>
      <c r="ET87" s="151"/>
      <c r="EU87" s="151"/>
      <c r="EV87" s="151"/>
      <c r="EW87" s="151"/>
      <c r="EX87" s="151"/>
      <c r="EY87" s="150"/>
      <c r="EZ87" s="150"/>
      <c r="FA87" s="150"/>
      <c r="FB87" s="150"/>
      <c r="FC87" s="150"/>
      <c r="FD87" s="150"/>
      <c r="FE87" s="150"/>
      <c r="FF87" s="150"/>
    </row>
    <row r="88" spans="1:162" x14ac:dyDescent="0.25">
      <c r="C88" s="144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82"/>
      <c r="S88" s="151"/>
      <c r="T88" s="151"/>
      <c r="U88" s="151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82"/>
      <c r="AG88" s="151"/>
      <c r="AH88" s="151"/>
      <c r="AI88" s="151"/>
      <c r="AJ88" s="151"/>
      <c r="AK88" s="151"/>
      <c r="AL88" s="151"/>
      <c r="AM88" s="151"/>
      <c r="AN88" s="151"/>
      <c r="AO88" s="151"/>
      <c r="AP88" s="151"/>
      <c r="AQ88" s="151"/>
      <c r="AR88" s="151"/>
      <c r="AS88" s="151"/>
      <c r="AT88" s="182"/>
      <c r="AU88" s="151"/>
      <c r="AV88" s="151"/>
      <c r="AW88" s="151"/>
      <c r="AX88" s="151"/>
      <c r="AY88" s="151"/>
      <c r="AZ88" s="151"/>
      <c r="BA88" s="151"/>
      <c r="BB88" s="151"/>
      <c r="BC88" s="151"/>
      <c r="BD88" s="151"/>
      <c r="BE88" s="151"/>
      <c r="BF88" s="182"/>
      <c r="BG88" s="182"/>
      <c r="BH88" s="182"/>
      <c r="BI88" s="151"/>
      <c r="BJ88" s="151"/>
      <c r="BK88" s="151"/>
      <c r="BL88" s="151"/>
      <c r="BM88" s="151"/>
      <c r="BN88" s="151"/>
      <c r="BO88" s="151"/>
      <c r="BP88" s="151"/>
      <c r="BQ88" s="151"/>
      <c r="BR88" s="151"/>
      <c r="BS88" s="151"/>
      <c r="BT88" s="151"/>
      <c r="BU88" s="151"/>
      <c r="BV88" s="182"/>
      <c r="BW88" s="151"/>
      <c r="BX88" s="151"/>
      <c r="BY88" s="151"/>
      <c r="BZ88" s="151"/>
      <c r="CA88" s="151"/>
      <c r="CB88" s="151"/>
      <c r="CC88" s="151"/>
      <c r="CD88" s="151"/>
      <c r="CE88" s="151"/>
      <c r="CF88" s="151"/>
      <c r="CG88" s="151"/>
      <c r="CH88" s="151"/>
      <c r="CI88" s="151"/>
      <c r="CJ88" s="182"/>
      <c r="CK88" s="151"/>
      <c r="CL88" s="151"/>
      <c r="CM88" s="151"/>
      <c r="CN88" s="151"/>
      <c r="CO88" s="151"/>
      <c r="CP88" s="151"/>
      <c r="CQ88" s="151"/>
      <c r="CR88" s="151"/>
      <c r="CS88" s="151"/>
      <c r="CT88" s="151"/>
      <c r="CU88" s="151"/>
      <c r="CV88" s="151"/>
      <c r="CW88" s="151"/>
      <c r="CX88" s="151"/>
      <c r="CY88" s="151"/>
      <c r="CZ88" s="151"/>
      <c r="DA88" s="151"/>
      <c r="DB88" s="151"/>
      <c r="DC88" s="151"/>
      <c r="DD88" s="151"/>
      <c r="DE88" s="151"/>
      <c r="DF88" s="151"/>
      <c r="DG88" s="151"/>
      <c r="DH88" s="151"/>
      <c r="DI88" s="151"/>
      <c r="DJ88" s="151"/>
      <c r="DK88" s="151"/>
      <c r="DL88" s="182"/>
      <c r="DM88" s="151"/>
      <c r="DN88" s="151"/>
      <c r="DO88" s="151"/>
      <c r="DP88" s="151"/>
      <c r="DQ88" s="151"/>
      <c r="DR88" s="151"/>
      <c r="DS88" s="151"/>
      <c r="DT88" s="151"/>
      <c r="DU88" s="151"/>
      <c r="DV88" s="151"/>
      <c r="DW88" s="151"/>
      <c r="DX88" s="151"/>
      <c r="DY88" s="151"/>
      <c r="DZ88" s="182"/>
      <c r="EA88" s="151"/>
      <c r="EB88" s="151"/>
      <c r="EC88" s="151"/>
      <c r="ED88" s="151"/>
      <c r="EE88" s="151"/>
      <c r="EF88" s="151"/>
      <c r="EG88" s="151"/>
      <c r="EH88" s="151"/>
      <c r="EI88" s="151"/>
      <c r="EJ88" s="151"/>
      <c r="EK88" s="151"/>
      <c r="EL88" s="151"/>
      <c r="EM88" s="151"/>
      <c r="EN88" s="169"/>
      <c r="EO88" s="169"/>
      <c r="EP88" s="169"/>
      <c r="EQ88" s="169"/>
      <c r="ER88" s="255"/>
      <c r="ES88" s="151"/>
      <c r="ET88" s="151"/>
      <c r="EU88" s="151"/>
      <c r="EV88" s="151"/>
      <c r="EW88" s="151"/>
      <c r="EX88" s="151"/>
      <c r="EY88" s="150"/>
      <c r="EZ88" s="150"/>
      <c r="FA88" s="150"/>
      <c r="FB88" s="150"/>
      <c r="FC88" s="150"/>
      <c r="FD88" s="150"/>
      <c r="FE88" s="150"/>
      <c r="FF88" s="150"/>
    </row>
    <row r="89" spans="1:162" x14ac:dyDescent="0.25">
      <c r="C89" s="144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82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82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82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82"/>
      <c r="BG89" s="182"/>
      <c r="BH89" s="182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82"/>
      <c r="BW89" s="151"/>
      <c r="BX89" s="151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  <c r="CJ89" s="182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82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51"/>
      <c r="DX89" s="151"/>
      <c r="DY89" s="151"/>
      <c r="DZ89" s="182"/>
      <c r="EA89" s="151"/>
      <c r="EB89" s="151"/>
      <c r="EC89" s="151"/>
      <c r="ED89" s="151"/>
      <c r="EE89" s="151"/>
      <c r="EF89" s="151"/>
      <c r="EG89" s="151"/>
      <c r="EH89" s="151"/>
      <c r="EI89" s="151"/>
      <c r="EJ89" s="151"/>
      <c r="EK89" s="151"/>
      <c r="EL89" s="151"/>
      <c r="EM89" s="151"/>
      <c r="EN89" s="169"/>
      <c r="EO89" s="169"/>
      <c r="EP89" s="169"/>
      <c r="EQ89" s="169"/>
      <c r="ER89" s="255"/>
      <c r="ES89" s="151"/>
      <c r="ET89" s="151"/>
      <c r="EU89" s="151"/>
      <c r="EV89" s="151"/>
      <c r="EW89" s="151"/>
      <c r="EX89" s="151"/>
      <c r="EY89" s="150"/>
      <c r="EZ89" s="150"/>
      <c r="FA89" s="150"/>
      <c r="FB89" s="150"/>
      <c r="FC89" s="150"/>
      <c r="FD89" s="150"/>
      <c r="FE89" s="150"/>
      <c r="FF89" s="150"/>
    </row>
    <row r="90" spans="1:162" x14ac:dyDescent="0.25">
      <c r="C90" s="144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82"/>
      <c r="S90" s="151"/>
      <c r="T90" s="151"/>
      <c r="U90" s="151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82"/>
      <c r="AG90" s="151"/>
      <c r="AH90" s="151"/>
      <c r="AI90" s="151"/>
      <c r="AJ90" s="151"/>
      <c r="AK90" s="151"/>
      <c r="AL90" s="151"/>
      <c r="AM90" s="151"/>
      <c r="AN90" s="151"/>
      <c r="AO90" s="151"/>
      <c r="AP90" s="151"/>
      <c r="AQ90" s="151"/>
      <c r="AR90" s="151"/>
      <c r="AS90" s="151"/>
      <c r="AT90" s="182"/>
      <c r="AU90" s="151"/>
      <c r="AV90" s="151"/>
      <c r="AW90" s="151"/>
      <c r="AX90" s="151"/>
      <c r="AY90" s="151"/>
      <c r="AZ90" s="151"/>
      <c r="BA90" s="151"/>
      <c r="BB90" s="151"/>
      <c r="BC90" s="151"/>
      <c r="BD90" s="151"/>
      <c r="BE90" s="151"/>
      <c r="BF90" s="182"/>
      <c r="BG90" s="182"/>
      <c r="BH90" s="182"/>
      <c r="BI90" s="151"/>
      <c r="BJ90" s="151"/>
      <c r="BK90" s="151"/>
      <c r="BL90" s="151"/>
      <c r="BM90" s="151"/>
      <c r="BN90" s="151"/>
      <c r="BO90" s="151"/>
      <c r="BP90" s="151"/>
      <c r="BQ90" s="151"/>
      <c r="BR90" s="151"/>
      <c r="BS90" s="151"/>
      <c r="BT90" s="151"/>
      <c r="BU90" s="151"/>
      <c r="BV90" s="182"/>
      <c r="BW90" s="151"/>
      <c r="BX90" s="151"/>
      <c r="BY90" s="151"/>
      <c r="BZ90" s="151"/>
      <c r="CA90" s="151"/>
      <c r="CB90" s="151"/>
      <c r="CC90" s="151"/>
      <c r="CD90" s="151"/>
      <c r="CE90" s="151"/>
      <c r="CF90" s="151"/>
      <c r="CG90" s="151"/>
      <c r="CH90" s="151"/>
      <c r="CI90" s="151"/>
      <c r="CJ90" s="182"/>
      <c r="CK90" s="151"/>
      <c r="CL90" s="151"/>
      <c r="CM90" s="151"/>
      <c r="CN90" s="151"/>
      <c r="CO90" s="151"/>
      <c r="CP90" s="151"/>
      <c r="CQ90" s="151"/>
      <c r="CR90" s="151"/>
      <c r="CS90" s="151"/>
      <c r="CT90" s="151"/>
      <c r="CU90" s="151"/>
      <c r="CV90" s="151"/>
      <c r="CW90" s="151"/>
      <c r="CX90" s="151"/>
      <c r="CY90" s="151"/>
      <c r="CZ90" s="151"/>
      <c r="DA90" s="151"/>
      <c r="DB90" s="151"/>
      <c r="DC90" s="151"/>
      <c r="DD90" s="151"/>
      <c r="DE90" s="151"/>
      <c r="DF90" s="151"/>
      <c r="DG90" s="151"/>
      <c r="DH90" s="151"/>
      <c r="DI90" s="151"/>
      <c r="DJ90" s="151"/>
      <c r="DK90" s="151"/>
      <c r="DL90" s="182"/>
      <c r="DM90" s="151"/>
      <c r="DN90" s="151"/>
      <c r="DO90" s="151"/>
      <c r="DP90" s="151"/>
      <c r="DQ90" s="151"/>
      <c r="DR90" s="151"/>
      <c r="DS90" s="151"/>
      <c r="DT90" s="151"/>
      <c r="DU90" s="151"/>
      <c r="DV90" s="151"/>
      <c r="DW90" s="151"/>
      <c r="DX90" s="151"/>
      <c r="DY90" s="151"/>
      <c r="DZ90" s="182"/>
      <c r="EA90" s="151"/>
      <c r="EB90" s="151"/>
      <c r="EC90" s="151"/>
      <c r="ED90" s="151"/>
      <c r="EE90" s="151"/>
      <c r="EF90" s="151"/>
      <c r="EG90" s="151"/>
      <c r="EH90" s="151"/>
      <c r="EI90" s="151"/>
      <c r="EJ90" s="151"/>
      <c r="EK90" s="151"/>
      <c r="EL90" s="151"/>
      <c r="EM90" s="151"/>
      <c r="EN90" s="169"/>
      <c r="EO90" s="169"/>
      <c r="EP90" s="169"/>
      <c r="EQ90" s="169"/>
      <c r="ER90" s="255"/>
      <c r="ES90" s="151"/>
      <c r="ET90" s="151"/>
      <c r="EU90" s="151"/>
      <c r="EV90" s="151"/>
      <c r="EW90" s="151"/>
      <c r="EX90" s="151"/>
      <c r="EY90" s="150"/>
      <c r="EZ90" s="150"/>
      <c r="FA90" s="150"/>
      <c r="FB90" s="150"/>
      <c r="FC90" s="150"/>
      <c r="FD90" s="150"/>
      <c r="FE90" s="150"/>
      <c r="FF90" s="150"/>
    </row>
    <row r="91" spans="1:162" x14ac:dyDescent="0.25">
      <c r="C91" s="144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82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82"/>
      <c r="AG91" s="151"/>
      <c r="AH91" s="151"/>
      <c r="AI91" s="151"/>
      <c r="AJ91" s="151"/>
      <c r="AK91" s="151"/>
      <c r="AL91" s="151"/>
      <c r="AM91" s="151"/>
      <c r="AN91" s="151"/>
      <c r="AO91" s="151"/>
      <c r="AP91" s="151"/>
      <c r="AQ91" s="151"/>
      <c r="AR91" s="151"/>
      <c r="AS91" s="151"/>
      <c r="AT91" s="182"/>
      <c r="AU91" s="151"/>
      <c r="AV91" s="151"/>
      <c r="AW91" s="151"/>
      <c r="AX91" s="151"/>
      <c r="AY91" s="151"/>
      <c r="AZ91" s="151"/>
      <c r="BA91" s="151"/>
      <c r="BB91" s="151"/>
      <c r="BC91" s="151"/>
      <c r="BD91" s="151"/>
      <c r="BE91" s="151"/>
      <c r="BF91" s="182"/>
      <c r="BG91" s="182"/>
      <c r="BH91" s="182"/>
      <c r="BI91" s="151"/>
      <c r="BJ91" s="151"/>
      <c r="BK91" s="151"/>
      <c r="BL91" s="151"/>
      <c r="BM91" s="151"/>
      <c r="BN91" s="151"/>
      <c r="BO91" s="151"/>
      <c r="BP91" s="151"/>
      <c r="BQ91" s="151"/>
      <c r="BR91" s="151"/>
      <c r="BS91" s="151"/>
      <c r="BT91" s="151"/>
      <c r="BU91" s="151"/>
      <c r="BV91" s="182"/>
      <c r="BW91" s="151"/>
      <c r="BX91" s="151"/>
      <c r="BY91" s="151"/>
      <c r="BZ91" s="151"/>
      <c r="CA91" s="151"/>
      <c r="CB91" s="151"/>
      <c r="CC91" s="151"/>
      <c r="CD91" s="151"/>
      <c r="CE91" s="151"/>
      <c r="CF91" s="151"/>
      <c r="CG91" s="151"/>
      <c r="CH91" s="151"/>
      <c r="CI91" s="151"/>
      <c r="CJ91" s="182"/>
      <c r="CK91" s="151"/>
      <c r="CL91" s="151"/>
      <c r="CM91" s="151"/>
      <c r="CN91" s="151"/>
      <c r="CO91" s="151"/>
      <c r="CP91" s="151"/>
      <c r="CQ91" s="151"/>
      <c r="CR91" s="151"/>
      <c r="CS91" s="151"/>
      <c r="CT91" s="151"/>
      <c r="CU91" s="151"/>
      <c r="CV91" s="151"/>
      <c r="CW91" s="151"/>
      <c r="CX91" s="151"/>
      <c r="CY91" s="151"/>
      <c r="CZ91" s="151"/>
      <c r="DA91" s="151"/>
      <c r="DB91" s="151"/>
      <c r="DC91" s="151"/>
      <c r="DD91" s="151"/>
      <c r="DE91" s="151"/>
      <c r="DF91" s="151"/>
      <c r="DG91" s="151"/>
      <c r="DH91" s="151"/>
      <c r="DI91" s="151"/>
      <c r="DJ91" s="151"/>
      <c r="DK91" s="151"/>
      <c r="DL91" s="182"/>
      <c r="DM91" s="151"/>
      <c r="DN91" s="151"/>
      <c r="DO91" s="151"/>
      <c r="DP91" s="151"/>
      <c r="DQ91" s="151"/>
      <c r="DR91" s="151"/>
      <c r="DS91" s="151"/>
      <c r="DT91" s="151"/>
      <c r="DU91" s="151"/>
      <c r="DV91" s="151"/>
      <c r="DW91" s="151"/>
      <c r="DX91" s="151"/>
      <c r="DY91" s="151"/>
      <c r="DZ91" s="182"/>
      <c r="EA91" s="151"/>
      <c r="EB91" s="151"/>
      <c r="EC91" s="151"/>
      <c r="ED91" s="151"/>
      <c r="EE91" s="151"/>
      <c r="EF91" s="151"/>
      <c r="EG91" s="151"/>
      <c r="EH91" s="151"/>
      <c r="EI91" s="151"/>
      <c r="EJ91" s="151"/>
      <c r="EK91" s="151"/>
      <c r="EL91" s="151"/>
      <c r="EM91" s="151"/>
      <c r="EN91" s="169"/>
      <c r="EO91" s="169"/>
      <c r="EP91" s="169"/>
      <c r="EQ91" s="169"/>
      <c r="ER91" s="255"/>
      <c r="ES91" s="151"/>
      <c r="ET91" s="151"/>
      <c r="EU91" s="151"/>
      <c r="EV91" s="151"/>
      <c r="EW91" s="151"/>
      <c r="EX91" s="151"/>
      <c r="EY91" s="150"/>
      <c r="EZ91" s="150"/>
      <c r="FA91" s="150"/>
      <c r="FB91" s="150"/>
      <c r="FC91" s="150"/>
      <c r="FD91" s="150"/>
      <c r="FE91" s="150"/>
      <c r="FF91" s="150"/>
    </row>
    <row r="92" spans="1:162" x14ac:dyDescent="0.25">
      <c r="C92" s="144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82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82"/>
      <c r="AG92" s="151"/>
      <c r="AH92" s="151"/>
      <c r="AI92" s="151"/>
      <c r="AJ92" s="151"/>
      <c r="AK92" s="151"/>
      <c r="AL92" s="151"/>
      <c r="AM92" s="151"/>
      <c r="AN92" s="151"/>
      <c r="AO92" s="151"/>
      <c r="AP92" s="151"/>
      <c r="AQ92" s="151"/>
      <c r="AR92" s="151"/>
      <c r="AS92" s="151"/>
      <c r="AT92" s="182"/>
      <c r="AU92" s="151"/>
      <c r="AV92" s="151"/>
      <c r="AW92" s="151"/>
      <c r="AX92" s="151"/>
      <c r="AY92" s="151"/>
      <c r="AZ92" s="151"/>
      <c r="BA92" s="151"/>
      <c r="BB92" s="151"/>
      <c r="BC92" s="151"/>
      <c r="BD92" s="151"/>
      <c r="BE92" s="151"/>
      <c r="BF92" s="182"/>
      <c r="BG92" s="182"/>
      <c r="BH92" s="182"/>
      <c r="BI92" s="151"/>
      <c r="BJ92" s="151"/>
      <c r="BK92" s="151"/>
      <c r="BL92" s="151"/>
      <c r="BM92" s="151"/>
      <c r="BN92" s="151"/>
      <c r="BO92" s="151"/>
      <c r="BP92" s="151"/>
      <c r="BQ92" s="151"/>
      <c r="BR92" s="151"/>
      <c r="BS92" s="151"/>
      <c r="BT92" s="151"/>
      <c r="BU92" s="151"/>
      <c r="BV92" s="182"/>
      <c r="BW92" s="151"/>
      <c r="BX92" s="151"/>
      <c r="BY92" s="151"/>
      <c r="BZ92" s="151"/>
      <c r="CA92" s="151"/>
      <c r="CB92" s="151"/>
      <c r="CC92" s="151"/>
      <c r="CD92" s="151"/>
      <c r="CE92" s="151"/>
      <c r="CF92" s="151"/>
      <c r="CG92" s="151"/>
      <c r="CH92" s="151"/>
      <c r="CI92" s="151"/>
      <c r="CJ92" s="182"/>
      <c r="CK92" s="151"/>
      <c r="CL92" s="151"/>
      <c r="CM92" s="151"/>
      <c r="CN92" s="151"/>
      <c r="CO92" s="151"/>
      <c r="CP92" s="151"/>
      <c r="CQ92" s="151"/>
      <c r="CR92" s="151"/>
      <c r="CS92" s="151"/>
      <c r="CT92" s="151"/>
      <c r="CU92" s="151"/>
      <c r="CV92" s="151"/>
      <c r="CW92" s="151"/>
      <c r="CX92" s="151"/>
      <c r="CY92" s="151"/>
      <c r="CZ92" s="151"/>
      <c r="DA92" s="151"/>
      <c r="DB92" s="151"/>
      <c r="DC92" s="151"/>
      <c r="DD92" s="151"/>
      <c r="DE92" s="151"/>
      <c r="DF92" s="151"/>
      <c r="DG92" s="151"/>
      <c r="DH92" s="151"/>
      <c r="DI92" s="151"/>
      <c r="DJ92" s="151"/>
      <c r="DK92" s="151"/>
      <c r="DL92" s="182"/>
      <c r="DM92" s="151"/>
      <c r="DN92" s="151"/>
      <c r="DO92" s="151"/>
      <c r="DP92" s="151"/>
      <c r="DQ92" s="151"/>
      <c r="DR92" s="151"/>
      <c r="DS92" s="151"/>
      <c r="DT92" s="151"/>
      <c r="DU92" s="151"/>
      <c r="DV92" s="151"/>
      <c r="DW92" s="151"/>
      <c r="DX92" s="151"/>
      <c r="DY92" s="151"/>
      <c r="DZ92" s="182"/>
      <c r="EA92" s="151"/>
      <c r="EB92" s="151"/>
      <c r="EC92" s="151"/>
      <c r="ED92" s="151"/>
      <c r="EE92" s="151"/>
      <c r="EF92" s="151"/>
      <c r="EG92" s="151"/>
      <c r="EH92" s="151"/>
      <c r="EI92" s="151"/>
      <c r="EJ92" s="151"/>
      <c r="EK92" s="151"/>
      <c r="EL92" s="151"/>
      <c r="EM92" s="151"/>
      <c r="EN92" s="169"/>
      <c r="EO92" s="169"/>
      <c r="EP92" s="169"/>
      <c r="EQ92" s="169"/>
      <c r="ER92" s="255"/>
      <c r="ES92" s="151"/>
      <c r="ET92" s="151"/>
      <c r="EU92" s="151"/>
      <c r="EV92" s="151"/>
      <c r="EW92" s="151"/>
      <c r="EX92" s="151"/>
      <c r="EY92" s="150"/>
      <c r="EZ92" s="150"/>
      <c r="FA92" s="150"/>
      <c r="FB92" s="150"/>
      <c r="FC92" s="150"/>
      <c r="FD92" s="150"/>
      <c r="FE92" s="150"/>
      <c r="FF92" s="150"/>
    </row>
    <row r="93" spans="1:162" x14ac:dyDescent="0.25">
      <c r="C93" s="144"/>
      <c r="D93" s="182"/>
      <c r="E93" s="151"/>
      <c r="F93" s="151"/>
      <c r="G93" s="151"/>
      <c r="H93" s="151"/>
      <c r="I93" s="151"/>
      <c r="J93" s="151"/>
      <c r="K93" s="151"/>
      <c r="L93" s="151"/>
      <c r="M93" s="151"/>
      <c r="N93" s="151"/>
      <c r="O93" s="151"/>
      <c r="P93" s="182"/>
      <c r="Q93" s="182"/>
      <c r="R93" s="182"/>
      <c r="S93" s="151"/>
      <c r="T93" s="151"/>
      <c r="U93" s="151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82"/>
      <c r="AG93" s="151"/>
      <c r="AH93" s="151"/>
      <c r="AI93" s="151"/>
      <c r="AJ93" s="151"/>
      <c r="AK93" s="151"/>
      <c r="AL93" s="151"/>
      <c r="AM93" s="151"/>
      <c r="AN93" s="151"/>
      <c r="AO93" s="151"/>
      <c r="AP93" s="151"/>
      <c r="AQ93" s="151"/>
      <c r="AR93" s="151"/>
      <c r="AS93" s="151"/>
      <c r="AT93" s="182"/>
      <c r="AU93" s="151"/>
      <c r="AV93" s="151"/>
      <c r="AW93" s="151"/>
      <c r="AX93" s="151"/>
      <c r="AY93" s="151"/>
      <c r="AZ93" s="151"/>
      <c r="BA93" s="151"/>
      <c r="BB93" s="151"/>
      <c r="BC93" s="151"/>
      <c r="BD93" s="151"/>
      <c r="BE93" s="151"/>
      <c r="BF93" s="182"/>
      <c r="BG93" s="182"/>
      <c r="BH93" s="182"/>
      <c r="BI93" s="151"/>
      <c r="BJ93" s="151"/>
      <c r="BK93" s="151"/>
      <c r="BL93" s="151"/>
      <c r="BM93" s="151"/>
      <c r="BN93" s="151"/>
      <c r="BO93" s="151"/>
      <c r="BP93" s="151"/>
      <c r="BQ93" s="151"/>
      <c r="BR93" s="151"/>
      <c r="BS93" s="151"/>
      <c r="BT93" s="151"/>
      <c r="BU93" s="151"/>
      <c r="BV93" s="182"/>
      <c r="BW93" s="151"/>
      <c r="BX93" s="151"/>
      <c r="BY93" s="151"/>
      <c r="BZ93" s="151"/>
      <c r="CA93" s="151"/>
      <c r="CB93" s="151"/>
      <c r="CC93" s="151"/>
      <c r="CD93" s="151"/>
      <c r="CE93" s="151"/>
      <c r="CF93" s="151"/>
      <c r="CG93" s="151"/>
      <c r="CH93" s="151"/>
      <c r="CI93" s="151"/>
      <c r="CJ93" s="182"/>
      <c r="CK93" s="151"/>
      <c r="CL93" s="151"/>
      <c r="CM93" s="151"/>
      <c r="CN93" s="151"/>
      <c r="CO93" s="151"/>
      <c r="CP93" s="151"/>
      <c r="CQ93" s="151"/>
      <c r="CR93" s="151"/>
      <c r="CS93" s="151"/>
      <c r="CT93" s="151"/>
      <c r="CU93" s="151"/>
      <c r="CV93" s="151"/>
      <c r="CW93" s="151"/>
      <c r="CX93" s="151"/>
      <c r="CY93" s="151"/>
      <c r="CZ93" s="151"/>
      <c r="DA93" s="151"/>
      <c r="DB93" s="151"/>
      <c r="DC93" s="151"/>
      <c r="DD93" s="151"/>
      <c r="DE93" s="151"/>
      <c r="DF93" s="151"/>
      <c r="DG93" s="151"/>
      <c r="DH93" s="151"/>
      <c r="DI93" s="151"/>
      <c r="DJ93" s="151"/>
      <c r="DK93" s="151"/>
      <c r="DL93" s="182"/>
      <c r="DM93" s="151"/>
      <c r="DN93" s="151"/>
      <c r="DO93" s="151"/>
      <c r="DP93" s="151"/>
      <c r="DQ93" s="151"/>
      <c r="DR93" s="151"/>
      <c r="DS93" s="151"/>
      <c r="DT93" s="151"/>
      <c r="DU93" s="151"/>
      <c r="DV93" s="151"/>
      <c r="DW93" s="151"/>
      <c r="DX93" s="151"/>
      <c r="DY93" s="151"/>
      <c r="DZ93" s="182"/>
      <c r="EA93" s="151"/>
      <c r="EB93" s="151"/>
      <c r="EC93" s="151"/>
      <c r="ED93" s="151"/>
      <c r="EE93" s="151"/>
      <c r="EF93" s="151"/>
      <c r="EG93" s="151"/>
      <c r="EH93" s="151"/>
      <c r="EI93" s="151"/>
      <c r="EJ93" s="151"/>
      <c r="EK93" s="151"/>
      <c r="EL93" s="151"/>
      <c r="EM93" s="151"/>
      <c r="EN93" s="169"/>
      <c r="EO93" s="169"/>
      <c r="EP93" s="169"/>
      <c r="EQ93" s="169"/>
      <c r="ER93" s="255"/>
      <c r="ES93" s="151"/>
      <c r="ET93" s="151"/>
      <c r="EU93" s="151"/>
      <c r="EV93" s="151"/>
      <c r="EW93" s="151"/>
      <c r="EX93" s="151"/>
      <c r="EY93" s="150"/>
      <c r="EZ93" s="150"/>
      <c r="FA93" s="150"/>
      <c r="FB93" s="150"/>
      <c r="FC93" s="150"/>
      <c r="FD93" s="150"/>
      <c r="FE93" s="150"/>
      <c r="FF93" s="150"/>
    </row>
    <row r="94" spans="1:162" x14ac:dyDescent="0.25">
      <c r="C94" s="144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82"/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82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82"/>
      <c r="AU94" s="151"/>
      <c r="AV94" s="151"/>
      <c r="AW94" s="151"/>
      <c r="AX94" s="151"/>
      <c r="AY94" s="151"/>
      <c r="AZ94" s="151"/>
      <c r="BA94" s="151"/>
      <c r="BB94" s="151"/>
      <c r="BC94" s="151"/>
      <c r="BD94" s="151"/>
      <c r="BE94" s="151"/>
      <c r="BF94" s="182"/>
      <c r="BG94" s="182"/>
      <c r="BH94" s="182"/>
      <c r="BI94" s="151"/>
      <c r="BJ94" s="151"/>
      <c r="BK94" s="151"/>
      <c r="BL94" s="151"/>
      <c r="BM94" s="151"/>
      <c r="BN94" s="151"/>
      <c r="BO94" s="151"/>
      <c r="BP94" s="151"/>
      <c r="BQ94" s="151"/>
      <c r="BR94" s="151"/>
      <c r="BS94" s="151"/>
      <c r="BT94" s="151"/>
      <c r="BU94" s="151"/>
      <c r="BV94" s="182"/>
      <c r="BW94" s="151"/>
      <c r="BX94" s="151"/>
      <c r="BY94" s="151"/>
      <c r="BZ94" s="151"/>
      <c r="CA94" s="151"/>
      <c r="CB94" s="151"/>
      <c r="CC94" s="151"/>
      <c r="CD94" s="151"/>
      <c r="CE94" s="151"/>
      <c r="CF94" s="151"/>
      <c r="CG94" s="151"/>
      <c r="CH94" s="151"/>
      <c r="CI94" s="151"/>
      <c r="CJ94" s="182"/>
      <c r="CK94" s="151"/>
      <c r="CL94" s="151"/>
      <c r="CM94" s="151"/>
      <c r="CN94" s="151"/>
      <c r="CO94" s="151"/>
      <c r="CP94" s="151"/>
      <c r="CQ94" s="151"/>
      <c r="CR94" s="151"/>
      <c r="CS94" s="151"/>
      <c r="CT94" s="151"/>
      <c r="CU94" s="151"/>
      <c r="CV94" s="151"/>
      <c r="CW94" s="151"/>
      <c r="CX94" s="151"/>
      <c r="CY94" s="151"/>
      <c r="CZ94" s="151"/>
      <c r="DA94" s="151"/>
      <c r="DB94" s="151"/>
      <c r="DC94" s="151"/>
      <c r="DD94" s="151"/>
      <c r="DE94" s="151"/>
      <c r="DF94" s="151"/>
      <c r="DG94" s="151"/>
      <c r="DH94" s="151"/>
      <c r="DI94" s="151"/>
      <c r="DJ94" s="151"/>
      <c r="DK94" s="151"/>
      <c r="DL94" s="182"/>
      <c r="DM94" s="151"/>
      <c r="DN94" s="151"/>
      <c r="DO94" s="151"/>
      <c r="DP94" s="151"/>
      <c r="DQ94" s="151"/>
      <c r="DR94" s="151"/>
      <c r="DS94" s="151"/>
      <c r="DT94" s="151"/>
      <c r="DU94" s="151"/>
      <c r="DV94" s="151"/>
      <c r="DW94" s="151"/>
      <c r="DX94" s="151"/>
      <c r="DY94" s="151"/>
      <c r="DZ94" s="182"/>
      <c r="EA94" s="151"/>
      <c r="EB94" s="151"/>
      <c r="EC94" s="151"/>
      <c r="ED94" s="151"/>
      <c r="EE94" s="151"/>
      <c r="EF94" s="151"/>
      <c r="EG94" s="151"/>
      <c r="EH94" s="151"/>
      <c r="EI94" s="151"/>
      <c r="EJ94" s="151"/>
      <c r="EK94" s="151"/>
      <c r="EL94" s="151"/>
      <c r="EM94" s="151"/>
      <c r="EN94" s="169"/>
      <c r="EO94" s="169"/>
      <c r="EP94" s="169"/>
      <c r="EQ94" s="169"/>
      <c r="ER94" s="255"/>
      <c r="ES94" s="151"/>
      <c r="ET94" s="151"/>
      <c r="EU94" s="151"/>
      <c r="EV94" s="151"/>
      <c r="EW94" s="151"/>
      <c r="EX94" s="151"/>
      <c r="EY94" s="150"/>
      <c r="EZ94" s="150"/>
      <c r="FA94" s="150"/>
      <c r="FB94" s="150"/>
      <c r="FC94" s="150"/>
      <c r="FD94" s="150"/>
      <c r="FE94" s="150"/>
      <c r="FF94" s="150"/>
    </row>
    <row r="95" spans="1:162" x14ac:dyDescent="0.25">
      <c r="A95" s="126"/>
      <c r="B95" s="43"/>
      <c r="C95" s="144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82"/>
      <c r="S95" s="151"/>
      <c r="T95" s="151"/>
      <c r="U95" s="151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82"/>
      <c r="AG95" s="151"/>
      <c r="AH95" s="151"/>
      <c r="AI95" s="151"/>
      <c r="AJ95" s="151"/>
      <c r="AK95" s="151"/>
      <c r="AL95" s="151"/>
      <c r="AM95" s="151"/>
      <c r="AN95" s="151"/>
      <c r="AO95" s="151"/>
      <c r="AP95" s="151"/>
      <c r="AQ95" s="151"/>
      <c r="AR95" s="151"/>
      <c r="AS95" s="151"/>
      <c r="AT95" s="182"/>
      <c r="AU95" s="151"/>
      <c r="AV95" s="151"/>
      <c r="AW95" s="151"/>
      <c r="AX95" s="151"/>
      <c r="AY95" s="151"/>
      <c r="AZ95" s="151"/>
      <c r="BA95" s="151"/>
      <c r="BB95" s="151"/>
      <c r="BC95" s="151"/>
      <c r="BD95" s="151"/>
      <c r="BE95" s="151"/>
      <c r="BF95" s="182"/>
      <c r="BG95" s="182"/>
      <c r="BH95" s="182"/>
      <c r="BI95" s="151"/>
      <c r="BJ95" s="151"/>
      <c r="BK95" s="151"/>
      <c r="BL95" s="151"/>
      <c r="BM95" s="151"/>
      <c r="BN95" s="151"/>
      <c r="BO95" s="151"/>
      <c r="BP95" s="151"/>
      <c r="BQ95" s="151"/>
      <c r="BR95" s="151"/>
      <c r="BS95" s="151"/>
      <c r="BT95" s="151"/>
      <c r="BU95" s="151"/>
      <c r="BV95" s="182"/>
      <c r="BW95" s="151"/>
      <c r="BX95" s="151"/>
      <c r="BY95" s="151"/>
      <c r="BZ95" s="151"/>
      <c r="CA95" s="151"/>
      <c r="CB95" s="151"/>
      <c r="CC95" s="151"/>
      <c r="CD95" s="151"/>
      <c r="CE95" s="151"/>
      <c r="CF95" s="151"/>
      <c r="CG95" s="151"/>
      <c r="CH95" s="151"/>
      <c r="CI95" s="151"/>
      <c r="CJ95" s="182"/>
      <c r="CK95" s="151"/>
      <c r="CL95" s="151"/>
      <c r="CM95" s="151"/>
      <c r="CN95" s="151"/>
      <c r="CO95" s="151"/>
      <c r="CP95" s="151"/>
      <c r="CQ95" s="151"/>
      <c r="CR95" s="151"/>
      <c r="CS95" s="151"/>
      <c r="CT95" s="151"/>
      <c r="CU95" s="151"/>
      <c r="CV95" s="151"/>
      <c r="CW95" s="151"/>
      <c r="CX95" s="151"/>
      <c r="CY95" s="151"/>
      <c r="CZ95" s="151"/>
      <c r="DA95" s="151"/>
      <c r="DB95" s="151"/>
      <c r="DC95" s="151"/>
      <c r="DD95" s="151"/>
      <c r="DE95" s="151"/>
      <c r="DF95" s="151"/>
      <c r="DG95" s="151"/>
      <c r="DH95" s="151"/>
      <c r="DI95" s="151"/>
      <c r="DJ95" s="151"/>
      <c r="DK95" s="151"/>
      <c r="DL95" s="182"/>
      <c r="DM95" s="151"/>
      <c r="DN95" s="151"/>
      <c r="DO95" s="151"/>
      <c r="DP95" s="151"/>
      <c r="DQ95" s="151"/>
      <c r="DR95" s="151"/>
      <c r="DS95" s="151"/>
      <c r="DT95" s="151"/>
      <c r="DU95" s="151"/>
      <c r="DV95" s="151"/>
      <c r="DW95" s="151"/>
      <c r="DX95" s="151"/>
      <c r="DY95" s="151"/>
      <c r="DZ95" s="182"/>
      <c r="EA95" s="151"/>
      <c r="EB95" s="151"/>
      <c r="EC95" s="151"/>
      <c r="ED95" s="151"/>
      <c r="EE95" s="151"/>
      <c r="EF95" s="151"/>
      <c r="EG95" s="151"/>
      <c r="EH95" s="151"/>
      <c r="EI95" s="151"/>
      <c r="EJ95" s="151"/>
      <c r="EK95" s="151"/>
      <c r="EL95" s="151"/>
      <c r="EM95" s="151"/>
      <c r="EN95" s="169"/>
      <c r="EO95" s="169"/>
      <c r="EP95" s="169"/>
      <c r="EQ95" s="169"/>
      <c r="ER95" s="255"/>
      <c r="ES95" s="151"/>
      <c r="ET95" s="151"/>
      <c r="EU95" s="151"/>
      <c r="EV95" s="151"/>
      <c r="EW95" s="151"/>
      <c r="EX95" s="151"/>
      <c r="EY95" s="150"/>
      <c r="EZ95" s="150"/>
      <c r="FA95" s="150"/>
      <c r="FB95" s="150"/>
      <c r="FC95" s="150"/>
      <c r="FD95" s="150"/>
      <c r="FE95" s="150"/>
      <c r="FF95" s="150"/>
    </row>
    <row r="96" spans="1:162" x14ac:dyDescent="0.25">
      <c r="C96" s="144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82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82"/>
      <c r="AG96" s="151"/>
      <c r="AH96" s="151"/>
      <c r="AI96" s="151"/>
      <c r="AJ96" s="151"/>
      <c r="AK96" s="151"/>
      <c r="AL96" s="151"/>
      <c r="AM96" s="151"/>
      <c r="AN96" s="151"/>
      <c r="AO96" s="151"/>
      <c r="AP96" s="151"/>
      <c r="AQ96" s="151"/>
      <c r="AR96" s="151"/>
      <c r="AS96" s="151"/>
      <c r="AT96" s="182"/>
      <c r="AU96" s="151"/>
      <c r="AV96" s="151"/>
      <c r="AW96" s="151"/>
      <c r="AX96" s="151"/>
      <c r="AY96" s="151"/>
      <c r="AZ96" s="151"/>
      <c r="BA96" s="151"/>
      <c r="BB96" s="151"/>
      <c r="BC96" s="151"/>
      <c r="BD96" s="151"/>
      <c r="BE96" s="151"/>
      <c r="BF96" s="182"/>
      <c r="BG96" s="182"/>
      <c r="BH96" s="182"/>
      <c r="BI96" s="151"/>
      <c r="BJ96" s="151"/>
      <c r="BK96" s="151"/>
      <c r="BL96" s="151"/>
      <c r="BM96" s="151"/>
      <c r="BN96" s="151"/>
      <c r="BO96" s="151"/>
      <c r="BP96" s="151"/>
      <c r="BQ96" s="151"/>
      <c r="BR96" s="151"/>
      <c r="BS96" s="151"/>
      <c r="BT96" s="151"/>
      <c r="BU96" s="151"/>
      <c r="BV96" s="182"/>
      <c r="BW96" s="151"/>
      <c r="BX96" s="151"/>
      <c r="BY96" s="151"/>
      <c r="BZ96" s="151"/>
      <c r="CA96" s="151"/>
      <c r="CB96" s="151"/>
      <c r="CC96" s="151"/>
      <c r="CD96" s="151"/>
      <c r="CE96" s="151"/>
      <c r="CF96" s="151"/>
      <c r="CG96" s="151"/>
      <c r="CH96" s="151"/>
      <c r="CI96" s="151"/>
      <c r="CJ96" s="182"/>
      <c r="CK96" s="151"/>
      <c r="CL96" s="151"/>
      <c r="CM96" s="151"/>
      <c r="CN96" s="151"/>
      <c r="CO96" s="151"/>
      <c r="CP96" s="151"/>
      <c r="CQ96" s="151"/>
      <c r="CR96" s="151"/>
      <c r="CS96" s="151"/>
      <c r="CT96" s="151"/>
      <c r="CU96" s="151"/>
      <c r="CV96" s="151"/>
      <c r="CW96" s="151"/>
      <c r="CX96" s="151"/>
      <c r="CY96" s="151"/>
      <c r="CZ96" s="151"/>
      <c r="DA96" s="151"/>
      <c r="DB96" s="151"/>
      <c r="DC96" s="151"/>
      <c r="DD96" s="151"/>
      <c r="DE96" s="151"/>
      <c r="DF96" s="151"/>
      <c r="DG96" s="151"/>
      <c r="DH96" s="151"/>
      <c r="DI96" s="151"/>
      <c r="DJ96" s="151"/>
      <c r="DK96" s="151"/>
      <c r="DL96" s="182"/>
      <c r="DM96" s="151"/>
      <c r="DN96" s="151"/>
      <c r="DO96" s="151"/>
      <c r="DP96" s="151"/>
      <c r="DQ96" s="151"/>
      <c r="DR96" s="151"/>
      <c r="DS96" s="151"/>
      <c r="DT96" s="151"/>
      <c r="DU96" s="151"/>
      <c r="DV96" s="151"/>
      <c r="DW96" s="151"/>
      <c r="DX96" s="151"/>
      <c r="DY96" s="151"/>
      <c r="DZ96" s="182"/>
      <c r="EA96" s="151"/>
      <c r="EB96" s="151"/>
      <c r="EC96" s="151"/>
      <c r="ED96" s="151"/>
      <c r="EE96" s="151"/>
      <c r="EF96" s="151"/>
      <c r="EG96" s="151"/>
      <c r="EH96" s="151"/>
      <c r="EI96" s="151"/>
      <c r="EJ96" s="151"/>
      <c r="EK96" s="151"/>
      <c r="EL96" s="151"/>
      <c r="EM96" s="151"/>
      <c r="EN96" s="169"/>
      <c r="EO96" s="169"/>
      <c r="EP96" s="169"/>
      <c r="EQ96" s="169"/>
      <c r="ER96" s="255"/>
      <c r="ES96" s="151"/>
      <c r="ET96" s="151"/>
      <c r="EU96" s="151"/>
      <c r="EV96" s="151"/>
      <c r="EW96" s="151"/>
      <c r="EX96" s="151"/>
      <c r="EY96" s="150"/>
      <c r="EZ96" s="150"/>
      <c r="FA96" s="150"/>
      <c r="FB96" s="150"/>
      <c r="FC96" s="150"/>
      <c r="FD96" s="150"/>
      <c r="FE96" s="150"/>
      <c r="FF96" s="150"/>
    </row>
    <row r="97" spans="1:162" x14ac:dyDescent="0.25">
      <c r="C97" s="144"/>
      <c r="D97" s="151"/>
      <c r="E97" s="151"/>
      <c r="F97" s="151"/>
      <c r="G97" s="151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82"/>
      <c r="S97" s="151"/>
      <c r="T97" s="151"/>
      <c r="U97" s="151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82"/>
      <c r="AG97" s="151"/>
      <c r="AH97" s="151"/>
      <c r="AI97" s="151"/>
      <c r="AJ97" s="151"/>
      <c r="AK97" s="151"/>
      <c r="AL97" s="151"/>
      <c r="AM97" s="151"/>
      <c r="AN97" s="151"/>
      <c r="AO97" s="151"/>
      <c r="AP97" s="151"/>
      <c r="AQ97" s="151"/>
      <c r="AR97" s="151"/>
      <c r="AS97" s="151"/>
      <c r="AT97" s="182"/>
      <c r="AU97" s="151"/>
      <c r="AV97" s="151"/>
      <c r="AW97" s="151"/>
      <c r="AX97" s="151"/>
      <c r="AY97" s="151"/>
      <c r="AZ97" s="151"/>
      <c r="BA97" s="151"/>
      <c r="BB97" s="151"/>
      <c r="BC97" s="151"/>
      <c r="BD97" s="151"/>
      <c r="BE97" s="151"/>
      <c r="BF97" s="182"/>
      <c r="BG97" s="182"/>
      <c r="BH97" s="182"/>
      <c r="BI97" s="151"/>
      <c r="BJ97" s="151"/>
      <c r="BK97" s="151"/>
      <c r="BL97" s="151"/>
      <c r="BM97" s="151"/>
      <c r="BN97" s="151"/>
      <c r="BO97" s="151"/>
      <c r="BP97" s="151"/>
      <c r="BQ97" s="151"/>
      <c r="BR97" s="151"/>
      <c r="BS97" s="151"/>
      <c r="BT97" s="151"/>
      <c r="BU97" s="151"/>
      <c r="BV97" s="182"/>
      <c r="BW97" s="151"/>
      <c r="BX97" s="151"/>
      <c r="BY97" s="151"/>
      <c r="BZ97" s="151"/>
      <c r="CA97" s="151"/>
      <c r="CB97" s="151"/>
      <c r="CC97" s="151"/>
      <c r="CD97" s="151"/>
      <c r="CE97" s="151"/>
      <c r="CF97" s="151"/>
      <c r="CG97" s="151"/>
      <c r="CH97" s="151"/>
      <c r="CI97" s="151"/>
      <c r="CJ97" s="182"/>
      <c r="CK97" s="151"/>
      <c r="CL97" s="151"/>
      <c r="CM97" s="151"/>
      <c r="CN97" s="151"/>
      <c r="CO97" s="151"/>
      <c r="CP97" s="151"/>
      <c r="CQ97" s="151"/>
      <c r="CR97" s="151"/>
      <c r="CS97" s="151"/>
      <c r="CT97" s="151"/>
      <c r="CU97" s="151"/>
      <c r="CV97" s="151"/>
      <c r="CW97" s="151"/>
      <c r="CX97" s="151"/>
      <c r="CY97" s="151"/>
      <c r="CZ97" s="151"/>
      <c r="DA97" s="151"/>
      <c r="DB97" s="151"/>
      <c r="DC97" s="151"/>
      <c r="DD97" s="151"/>
      <c r="DE97" s="151"/>
      <c r="DF97" s="151"/>
      <c r="DG97" s="151"/>
      <c r="DH97" s="151"/>
      <c r="DI97" s="151"/>
      <c r="DJ97" s="151"/>
      <c r="DK97" s="151"/>
      <c r="DL97" s="182"/>
      <c r="DM97" s="151"/>
      <c r="DN97" s="151"/>
      <c r="DO97" s="151"/>
      <c r="DP97" s="151"/>
      <c r="DQ97" s="151"/>
      <c r="DR97" s="151"/>
      <c r="DS97" s="151"/>
      <c r="DT97" s="151"/>
      <c r="DU97" s="151"/>
      <c r="DV97" s="151"/>
      <c r="DW97" s="151"/>
      <c r="DX97" s="151"/>
      <c r="DY97" s="151"/>
      <c r="DZ97" s="182"/>
      <c r="EA97" s="151"/>
      <c r="EB97" s="151"/>
      <c r="EC97" s="151"/>
      <c r="ED97" s="151"/>
      <c r="EE97" s="151"/>
      <c r="EF97" s="151"/>
      <c r="EG97" s="151"/>
      <c r="EH97" s="151"/>
      <c r="EI97" s="151"/>
      <c r="EJ97" s="151"/>
      <c r="EK97" s="151"/>
      <c r="EL97" s="151"/>
      <c r="EM97" s="151"/>
      <c r="EN97" s="169"/>
      <c r="EO97" s="169"/>
      <c r="EP97" s="169"/>
      <c r="EQ97" s="169"/>
      <c r="ER97" s="255"/>
      <c r="ES97" s="151"/>
      <c r="ET97" s="151"/>
      <c r="EU97" s="151"/>
      <c r="EV97" s="151"/>
      <c r="EW97" s="151"/>
      <c r="EX97" s="151"/>
      <c r="EY97" s="150"/>
      <c r="EZ97" s="150"/>
      <c r="FA97" s="150"/>
      <c r="FB97" s="150"/>
      <c r="FC97" s="150"/>
      <c r="FD97" s="150"/>
      <c r="FE97" s="150"/>
      <c r="FF97" s="150"/>
    </row>
    <row r="98" spans="1:162" x14ac:dyDescent="0.25">
      <c r="C98" s="144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82"/>
      <c r="S98" s="151"/>
      <c r="T98" s="151"/>
      <c r="U98" s="151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82"/>
      <c r="AG98" s="151"/>
      <c r="AH98" s="151"/>
      <c r="AI98" s="151"/>
      <c r="AJ98" s="151"/>
      <c r="AK98" s="151"/>
      <c r="AL98" s="151"/>
      <c r="AM98" s="151"/>
      <c r="AN98" s="151"/>
      <c r="AO98" s="151"/>
      <c r="AP98" s="151"/>
      <c r="AQ98" s="151"/>
      <c r="AR98" s="151"/>
      <c r="AS98" s="151"/>
      <c r="AT98" s="182"/>
      <c r="AU98" s="151"/>
      <c r="AV98" s="151"/>
      <c r="AW98" s="151"/>
      <c r="AX98" s="151"/>
      <c r="AY98" s="151"/>
      <c r="AZ98" s="151"/>
      <c r="BA98" s="151"/>
      <c r="BB98" s="151"/>
      <c r="BC98" s="151"/>
      <c r="BD98" s="151"/>
      <c r="BE98" s="151"/>
      <c r="BF98" s="182"/>
      <c r="BG98" s="182"/>
      <c r="BH98" s="182"/>
      <c r="BI98" s="151"/>
      <c r="BJ98" s="151"/>
      <c r="BK98" s="151"/>
      <c r="BL98" s="151"/>
      <c r="BM98" s="151"/>
      <c r="BN98" s="151"/>
      <c r="BO98" s="151"/>
      <c r="BP98" s="151"/>
      <c r="BQ98" s="151"/>
      <c r="BR98" s="151"/>
      <c r="BS98" s="151"/>
      <c r="BT98" s="151"/>
      <c r="BU98" s="151"/>
      <c r="BV98" s="182"/>
      <c r="BW98" s="151"/>
      <c r="BX98" s="151"/>
      <c r="BY98" s="151"/>
      <c r="BZ98" s="151"/>
      <c r="CA98" s="151"/>
      <c r="CB98" s="151"/>
      <c r="CC98" s="151"/>
      <c r="CD98" s="151"/>
      <c r="CE98" s="151"/>
      <c r="CF98" s="151"/>
      <c r="CG98" s="151"/>
      <c r="CH98" s="151"/>
      <c r="CI98" s="151"/>
      <c r="CJ98" s="182"/>
      <c r="CK98" s="151"/>
      <c r="CL98" s="151"/>
      <c r="CM98" s="151"/>
      <c r="CN98" s="151"/>
      <c r="CO98" s="151"/>
      <c r="CP98" s="151"/>
      <c r="CQ98" s="151"/>
      <c r="CR98" s="151"/>
      <c r="CS98" s="151"/>
      <c r="CT98" s="151"/>
      <c r="CU98" s="151"/>
      <c r="CV98" s="151"/>
      <c r="CW98" s="151"/>
      <c r="CX98" s="151"/>
      <c r="CY98" s="151"/>
      <c r="CZ98" s="151"/>
      <c r="DA98" s="151"/>
      <c r="DB98" s="151"/>
      <c r="DC98" s="151"/>
      <c r="DD98" s="151"/>
      <c r="DE98" s="151"/>
      <c r="DF98" s="151"/>
      <c r="DG98" s="151"/>
      <c r="DH98" s="151"/>
      <c r="DI98" s="151"/>
      <c r="DJ98" s="151"/>
      <c r="DK98" s="151"/>
      <c r="DL98" s="182"/>
      <c r="DM98" s="151"/>
      <c r="DN98" s="151"/>
      <c r="DO98" s="151"/>
      <c r="DP98" s="151"/>
      <c r="DQ98" s="151"/>
      <c r="DR98" s="151"/>
      <c r="DS98" s="151"/>
      <c r="DT98" s="151"/>
      <c r="DU98" s="151"/>
      <c r="DV98" s="151"/>
      <c r="DW98" s="151"/>
      <c r="DX98" s="151"/>
      <c r="DY98" s="151"/>
      <c r="DZ98" s="182"/>
      <c r="EA98" s="151"/>
      <c r="EB98" s="151"/>
      <c r="EC98" s="151"/>
      <c r="ED98" s="151"/>
      <c r="EE98" s="151"/>
      <c r="EF98" s="151"/>
      <c r="EG98" s="151"/>
      <c r="EH98" s="151"/>
      <c r="EI98" s="151"/>
      <c r="EJ98" s="151"/>
      <c r="EK98" s="151"/>
      <c r="EL98" s="151"/>
      <c r="EM98" s="151"/>
      <c r="EN98" s="169"/>
      <c r="EO98" s="169"/>
      <c r="EP98" s="169"/>
      <c r="EQ98" s="169"/>
      <c r="ER98" s="255"/>
      <c r="ES98" s="151"/>
      <c r="ET98" s="151"/>
      <c r="EU98" s="151"/>
      <c r="EV98" s="151"/>
      <c r="EW98" s="151"/>
      <c r="EX98" s="151"/>
      <c r="EY98" s="150"/>
      <c r="EZ98" s="150"/>
      <c r="FA98" s="150"/>
      <c r="FB98" s="150"/>
      <c r="FC98" s="150"/>
      <c r="FD98" s="150"/>
      <c r="FE98" s="150"/>
      <c r="FF98" s="150"/>
    </row>
    <row r="99" spans="1:162" x14ac:dyDescent="0.25">
      <c r="C99" s="144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82"/>
      <c r="S99" s="151"/>
      <c r="T99" s="151"/>
      <c r="U99" s="151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82"/>
      <c r="AG99" s="151"/>
      <c r="AH99" s="151"/>
      <c r="AI99" s="151"/>
      <c r="AJ99" s="151"/>
      <c r="AK99" s="151"/>
      <c r="AL99" s="151"/>
      <c r="AM99" s="151"/>
      <c r="AN99" s="151"/>
      <c r="AO99" s="151"/>
      <c r="AP99" s="151"/>
      <c r="AQ99" s="151"/>
      <c r="AR99" s="151"/>
      <c r="AS99" s="151"/>
      <c r="AT99" s="182"/>
      <c r="AU99" s="151"/>
      <c r="AV99" s="151"/>
      <c r="AW99" s="151"/>
      <c r="AX99" s="151"/>
      <c r="AY99" s="151"/>
      <c r="AZ99" s="151"/>
      <c r="BA99" s="151"/>
      <c r="BB99" s="151"/>
      <c r="BC99" s="151"/>
      <c r="BD99" s="151"/>
      <c r="BE99" s="151"/>
      <c r="BF99" s="182"/>
      <c r="BG99" s="182"/>
      <c r="BH99" s="182"/>
      <c r="BI99" s="151"/>
      <c r="BJ99" s="151"/>
      <c r="BK99" s="151"/>
      <c r="BL99" s="151"/>
      <c r="BM99" s="151"/>
      <c r="BN99" s="151"/>
      <c r="BO99" s="151"/>
      <c r="BP99" s="151"/>
      <c r="BQ99" s="151"/>
      <c r="BR99" s="151"/>
      <c r="BS99" s="151"/>
      <c r="BT99" s="151"/>
      <c r="BU99" s="151"/>
      <c r="BV99" s="182"/>
      <c r="BW99" s="151"/>
      <c r="BX99" s="151"/>
      <c r="BY99" s="151"/>
      <c r="BZ99" s="151"/>
      <c r="CA99" s="151"/>
      <c r="CB99" s="151"/>
      <c r="CC99" s="151"/>
      <c r="CD99" s="151"/>
      <c r="CE99" s="151"/>
      <c r="CF99" s="151"/>
      <c r="CG99" s="151"/>
      <c r="CH99" s="151"/>
      <c r="CI99" s="151"/>
      <c r="CJ99" s="182"/>
      <c r="CK99" s="151"/>
      <c r="CL99" s="151"/>
      <c r="CM99" s="151"/>
      <c r="CN99" s="151"/>
      <c r="CO99" s="151"/>
      <c r="CP99" s="151"/>
      <c r="CQ99" s="151"/>
      <c r="CR99" s="151"/>
      <c r="CS99" s="151"/>
      <c r="CT99" s="151"/>
      <c r="CU99" s="151"/>
      <c r="CV99" s="151"/>
      <c r="CW99" s="151"/>
      <c r="CX99" s="151"/>
      <c r="CY99" s="151"/>
      <c r="CZ99" s="151"/>
      <c r="DA99" s="151"/>
      <c r="DB99" s="151"/>
      <c r="DC99" s="151"/>
      <c r="DD99" s="151"/>
      <c r="DE99" s="151"/>
      <c r="DF99" s="151"/>
      <c r="DG99" s="151"/>
      <c r="DH99" s="151"/>
      <c r="DI99" s="151"/>
      <c r="DJ99" s="151"/>
      <c r="DK99" s="151"/>
      <c r="DL99" s="182"/>
      <c r="DM99" s="151"/>
      <c r="DN99" s="151"/>
      <c r="DO99" s="151"/>
      <c r="DP99" s="151"/>
      <c r="DQ99" s="151"/>
      <c r="DR99" s="151"/>
      <c r="DS99" s="151"/>
      <c r="DT99" s="151"/>
      <c r="DU99" s="151"/>
      <c r="DV99" s="151"/>
      <c r="DW99" s="151"/>
      <c r="DX99" s="151"/>
      <c r="DY99" s="151"/>
      <c r="DZ99" s="182"/>
      <c r="EA99" s="151"/>
      <c r="EB99" s="151"/>
      <c r="EC99" s="151"/>
      <c r="ED99" s="151"/>
      <c r="EE99" s="151"/>
      <c r="EF99" s="151"/>
      <c r="EG99" s="151"/>
      <c r="EH99" s="151"/>
      <c r="EI99" s="151"/>
      <c r="EJ99" s="151"/>
      <c r="EK99" s="151"/>
      <c r="EL99" s="151"/>
      <c r="EM99" s="151"/>
      <c r="EN99" s="169"/>
      <c r="EO99" s="169"/>
      <c r="EP99" s="169"/>
      <c r="EQ99" s="169"/>
      <c r="ER99" s="255"/>
      <c r="ES99" s="151"/>
      <c r="ET99" s="151"/>
      <c r="EU99" s="151"/>
      <c r="EV99" s="151"/>
      <c r="EW99" s="151"/>
      <c r="EX99" s="151"/>
      <c r="EY99" s="150"/>
      <c r="EZ99" s="150"/>
      <c r="FA99" s="150"/>
      <c r="FB99" s="150"/>
      <c r="FC99" s="150"/>
      <c r="FD99" s="150"/>
      <c r="FE99" s="150"/>
      <c r="FF99" s="150"/>
    </row>
    <row r="100" spans="1:162" x14ac:dyDescent="0.25">
      <c r="C100" s="144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82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82"/>
      <c r="AG100" s="151"/>
      <c r="AH100" s="151"/>
      <c r="AI100" s="151"/>
      <c r="AJ100" s="151"/>
      <c r="AK100" s="151"/>
      <c r="AL100" s="151"/>
      <c r="AM100" s="151"/>
      <c r="AN100" s="151"/>
      <c r="AO100" s="151"/>
      <c r="AP100" s="151"/>
      <c r="AQ100" s="151"/>
      <c r="AR100" s="151"/>
      <c r="AS100" s="151"/>
      <c r="AT100" s="182"/>
      <c r="AU100" s="151"/>
      <c r="AV100" s="151"/>
      <c r="AW100" s="151"/>
      <c r="AX100" s="151"/>
      <c r="AY100" s="151"/>
      <c r="AZ100" s="151"/>
      <c r="BA100" s="151"/>
      <c r="BB100" s="151"/>
      <c r="BC100" s="151"/>
      <c r="BD100" s="151"/>
      <c r="BE100" s="151"/>
      <c r="BF100" s="182"/>
      <c r="BG100" s="182"/>
      <c r="BH100" s="182"/>
      <c r="BI100" s="151"/>
      <c r="BJ100" s="151"/>
      <c r="BK100" s="151"/>
      <c r="BL100" s="151"/>
      <c r="BM100" s="151"/>
      <c r="BN100" s="151"/>
      <c r="BO100" s="151"/>
      <c r="BP100" s="151"/>
      <c r="BQ100" s="151"/>
      <c r="BR100" s="151"/>
      <c r="BS100" s="151"/>
      <c r="BT100" s="151"/>
      <c r="BU100" s="151"/>
      <c r="BV100" s="182"/>
      <c r="BW100" s="151"/>
      <c r="BX100" s="151"/>
      <c r="BY100" s="151"/>
      <c r="BZ100" s="151"/>
      <c r="CA100" s="151"/>
      <c r="CB100" s="151"/>
      <c r="CC100" s="151"/>
      <c r="CD100" s="151"/>
      <c r="CE100" s="151"/>
      <c r="CF100" s="151"/>
      <c r="CG100" s="151"/>
      <c r="CH100" s="151"/>
      <c r="CI100" s="151"/>
      <c r="CJ100" s="182"/>
      <c r="CK100" s="151"/>
      <c r="CL100" s="151"/>
      <c r="CM100" s="151"/>
      <c r="CN100" s="151"/>
      <c r="CO100" s="151"/>
      <c r="CP100" s="151"/>
      <c r="CQ100" s="151"/>
      <c r="CR100" s="151"/>
      <c r="CS100" s="151"/>
      <c r="CT100" s="151"/>
      <c r="CU100" s="151"/>
      <c r="CV100" s="151"/>
      <c r="CW100" s="151"/>
      <c r="CX100" s="151"/>
      <c r="CY100" s="151"/>
      <c r="CZ100" s="151"/>
      <c r="DA100" s="151"/>
      <c r="DB100" s="151"/>
      <c r="DC100" s="151"/>
      <c r="DD100" s="151"/>
      <c r="DE100" s="151"/>
      <c r="DF100" s="151"/>
      <c r="DG100" s="151"/>
      <c r="DH100" s="151"/>
      <c r="DI100" s="151"/>
      <c r="DJ100" s="151"/>
      <c r="DK100" s="151"/>
      <c r="DL100" s="182"/>
      <c r="DM100" s="151"/>
      <c r="DN100" s="151"/>
      <c r="DO100" s="151"/>
      <c r="DP100" s="151"/>
      <c r="DQ100" s="151"/>
      <c r="DR100" s="151"/>
      <c r="DS100" s="151"/>
      <c r="DT100" s="151"/>
      <c r="DU100" s="151"/>
      <c r="DV100" s="151"/>
      <c r="DW100" s="151"/>
      <c r="DX100" s="151"/>
      <c r="DY100" s="151"/>
      <c r="DZ100" s="182"/>
      <c r="EA100" s="151"/>
      <c r="EB100" s="151"/>
      <c r="EC100" s="151"/>
      <c r="ED100" s="151"/>
      <c r="EE100" s="151"/>
      <c r="EF100" s="151"/>
      <c r="EG100" s="151"/>
      <c r="EH100" s="151"/>
      <c r="EI100" s="151"/>
      <c r="EJ100" s="151"/>
      <c r="EK100" s="151"/>
      <c r="EL100" s="151"/>
      <c r="EM100" s="151"/>
      <c r="EN100" s="169"/>
      <c r="EO100" s="169"/>
      <c r="EP100" s="169"/>
      <c r="EQ100" s="169"/>
      <c r="ER100" s="255"/>
      <c r="ES100" s="151"/>
      <c r="ET100" s="151"/>
      <c r="EU100" s="151"/>
      <c r="EV100" s="151"/>
      <c r="EW100" s="151"/>
      <c r="EX100" s="151"/>
      <c r="EY100" s="150"/>
      <c r="EZ100" s="150"/>
      <c r="FA100" s="150"/>
      <c r="FB100" s="150"/>
      <c r="FC100" s="150"/>
      <c r="FD100" s="150"/>
      <c r="FE100" s="150"/>
      <c r="FF100" s="150"/>
    </row>
    <row r="101" spans="1:162" s="103" customFormat="1" x14ac:dyDescent="0.25">
      <c r="A101" s="103" t="s">
        <v>759</v>
      </c>
      <c r="C101" s="288">
        <f>SUM(C$8:C100)</f>
        <v>0</v>
      </c>
      <c r="D101" s="288">
        <f>SUM(D$8:D100)</f>
        <v>0</v>
      </c>
      <c r="E101" s="288">
        <f>SUM(E$8:E100)</f>
        <v>0.40500000000000003</v>
      </c>
      <c r="F101" s="288">
        <f>SUM(F$8:F100)</f>
        <v>0</v>
      </c>
      <c r="G101" s="288">
        <f>SUM(G$8:G100)</f>
        <v>0</v>
      </c>
      <c r="H101" s="288">
        <f>SUM(H$8:H100)</f>
        <v>0</v>
      </c>
      <c r="I101" s="288">
        <f>SUM(I$8:I100)</f>
        <v>0</v>
      </c>
      <c r="J101" s="288">
        <f>SUM(J$8:J100)</f>
        <v>3.1740000000000004</v>
      </c>
      <c r="K101" s="288">
        <f>SUM(K$8:K100)</f>
        <v>0</v>
      </c>
      <c r="L101" s="288">
        <f>SUM(L$8:L100)</f>
        <v>0</v>
      </c>
      <c r="M101" s="288">
        <f>SUM(M$8:M100)</f>
        <v>2</v>
      </c>
      <c r="N101" s="288">
        <f>SUM(N$8:N100)</f>
        <v>0</v>
      </c>
      <c r="O101" s="288">
        <f>SUM(O$8:O100)</f>
        <v>0.32</v>
      </c>
      <c r="P101" s="288">
        <f>SUM(P$8:P100)</f>
        <v>0.75</v>
      </c>
      <c r="Q101" s="288">
        <f>SUM(Q$8:Q100)</f>
        <v>0</v>
      </c>
      <c r="R101" s="288">
        <f>SUM(R$8:R100)</f>
        <v>0</v>
      </c>
      <c r="S101" s="288">
        <f>SUM(S$8:S100)</f>
        <v>1.651</v>
      </c>
      <c r="T101" s="288">
        <f>SUM(T$8:T100)</f>
        <v>0</v>
      </c>
      <c r="U101" s="288">
        <f>SUM(U$8:U100)</f>
        <v>0</v>
      </c>
      <c r="V101" s="288">
        <f>SUM(V$8:V100)</f>
        <v>0</v>
      </c>
      <c r="W101" s="288">
        <f>SUM(W$8:W100)</f>
        <v>0</v>
      </c>
      <c r="X101" s="288">
        <f>SUM(X$8:X100)</f>
        <v>1.1919999999999999</v>
      </c>
      <c r="Y101" s="288">
        <f>SUM(Y$8:Y100)</f>
        <v>0</v>
      </c>
      <c r="Z101" s="288">
        <f>SUM(Z$8:Z100)</f>
        <v>0</v>
      </c>
      <c r="AA101" s="288">
        <f>SUM(AA$8:AA100)</f>
        <v>3</v>
      </c>
      <c r="AB101" s="288">
        <f>SUM(AB$8:AB100)</f>
        <v>1</v>
      </c>
      <c r="AC101" s="288">
        <f>SUM(AC$8:AC100)</f>
        <v>0.32</v>
      </c>
      <c r="AD101" s="288">
        <f>SUM(AD$8:AD100)</f>
        <v>0.14200000000000002</v>
      </c>
      <c r="AE101" s="288">
        <f>SUM(AE$8:AE100)</f>
        <v>0</v>
      </c>
      <c r="AF101" s="288">
        <f>SUM(AF$8:AF100)</f>
        <v>0</v>
      </c>
      <c r="AG101" s="288">
        <f>SUM(AG$8:AG100)</f>
        <v>1.8780000000000001</v>
      </c>
      <c r="AH101" s="288">
        <f>SUM(AH$8:AH100)</f>
        <v>0</v>
      </c>
      <c r="AI101" s="288">
        <f>SUM(AI$8:AI100)</f>
        <v>0</v>
      </c>
      <c r="AJ101" s="288">
        <f>SUM(AJ$8:AJ100)</f>
        <v>0</v>
      </c>
      <c r="AK101" s="288">
        <f>SUM(AK$8:AK100)</f>
        <v>0</v>
      </c>
      <c r="AL101" s="288">
        <f>SUM(AL$8:AL100)</f>
        <v>0.91499999999999992</v>
      </c>
      <c r="AM101" s="288">
        <f>SUM(AM$8:AM100)</f>
        <v>0</v>
      </c>
      <c r="AN101" s="288">
        <f>SUM(AN$8:AN100)</f>
        <v>0</v>
      </c>
      <c r="AO101" s="288">
        <f>SUM(AO$8:AO100)</f>
        <v>2</v>
      </c>
      <c r="AP101" s="288">
        <f>SUM(AP$8:AP100)</f>
        <v>0</v>
      </c>
      <c r="AQ101" s="288">
        <f>SUM(AQ$8:AQ100)</f>
        <v>0</v>
      </c>
      <c r="AR101" s="288">
        <f>SUM(AR$8:AR100)</f>
        <v>0.60699999999999998</v>
      </c>
      <c r="AS101" s="288">
        <f>SUM(AS$8:AS100)</f>
        <v>0</v>
      </c>
      <c r="AT101" s="288">
        <f>SUM(AT$8:AT100)</f>
        <v>0</v>
      </c>
      <c r="AU101" s="288">
        <f>SUM(AU$8:AU100)</f>
        <v>0</v>
      </c>
      <c r="AV101" s="288">
        <f>SUM(AV$8:AV100)</f>
        <v>0</v>
      </c>
      <c r="AW101" s="288">
        <f>SUM(AW$8:AW100)</f>
        <v>0</v>
      </c>
      <c r="AX101" s="288">
        <f>SUM(AX$8:AX100)</f>
        <v>0</v>
      </c>
      <c r="AY101" s="288">
        <f>SUM(AY$8:AY100)</f>
        <v>0</v>
      </c>
      <c r="AZ101" s="288">
        <f>SUM(AZ$8:AZ100)</f>
        <v>0</v>
      </c>
      <c r="BA101" s="288">
        <f>SUM(BA$8:BA100)</f>
        <v>0</v>
      </c>
      <c r="BB101" s="288">
        <f>SUM(BB$8:BB100)</f>
        <v>0</v>
      </c>
      <c r="BC101" s="288">
        <f>SUM(BC$8:BC100)</f>
        <v>0</v>
      </c>
      <c r="BD101" s="288">
        <f>SUM(BD$8:BD100)</f>
        <v>0</v>
      </c>
      <c r="BE101" s="288">
        <f>SUM(BE$8:BE100)</f>
        <v>0</v>
      </c>
      <c r="BF101" s="288">
        <f>SUM(BF$8:BF100)</f>
        <v>0</v>
      </c>
      <c r="BG101" s="288">
        <f>SUM(BG$8:BG100)</f>
        <v>0</v>
      </c>
      <c r="BH101" s="288">
        <f>SUM(BH$8:BH100)</f>
        <v>0</v>
      </c>
      <c r="BI101" s="288">
        <f>SUM(BI$8:BI100)</f>
        <v>0</v>
      </c>
      <c r="BJ101" s="288">
        <f>SUM(BJ$8:BJ100)</f>
        <v>3.5000000000000003E-2</v>
      </c>
      <c r="BK101" s="288">
        <f>SUM(BK$8:BK100)</f>
        <v>0</v>
      </c>
      <c r="BL101" s="288">
        <f>SUM(BL$8:BL100)</f>
        <v>0</v>
      </c>
      <c r="BM101" s="288">
        <f>SUM(BM$8:BM100)</f>
        <v>0</v>
      </c>
      <c r="BN101" s="288">
        <f>SUM(BN$8:BN100)</f>
        <v>0</v>
      </c>
      <c r="BO101" s="288">
        <f>SUM(BO$8:BO100)</f>
        <v>0</v>
      </c>
      <c r="BP101" s="288">
        <f>SUM(BP$8:BP100)</f>
        <v>0</v>
      </c>
      <c r="BQ101" s="288">
        <f>SUM(BQ$8:BQ100)</f>
        <v>0</v>
      </c>
      <c r="BR101" s="288">
        <f>SUM(BR$8:BR100)</f>
        <v>0</v>
      </c>
      <c r="BS101" s="288">
        <f>SUM(BS$8:BS100)</f>
        <v>0</v>
      </c>
      <c r="BT101" s="288">
        <f>SUM(BT$8:BT100)</f>
        <v>0</v>
      </c>
      <c r="BU101" s="288">
        <f>SUM(BU$8:BU100)</f>
        <v>0.7</v>
      </c>
      <c r="BV101" s="288">
        <f>SUM(BV$8:BV100)</f>
        <v>0</v>
      </c>
      <c r="BW101" s="288">
        <f>SUM(BW$8:BW100)</f>
        <v>0</v>
      </c>
      <c r="BX101" s="288">
        <f>SUM(BX$8:BX100)</f>
        <v>3.5999999999999997E-2</v>
      </c>
      <c r="BY101" s="288">
        <f>SUM(BY$8:BY100)</f>
        <v>0</v>
      </c>
      <c r="BZ101" s="288">
        <f>SUM(BZ$8:BZ100)</f>
        <v>0</v>
      </c>
      <c r="CA101" s="288">
        <f>SUM(CA$8:CA100)</f>
        <v>0</v>
      </c>
      <c r="CB101" s="288">
        <f>SUM(CB$8:CB100)</f>
        <v>0</v>
      </c>
      <c r="CC101" s="288">
        <f>SUM(CC$8:CC100)</f>
        <v>0</v>
      </c>
      <c r="CD101" s="288">
        <f>SUM(CD$8:CD100)</f>
        <v>0</v>
      </c>
      <c r="CE101" s="288">
        <f>SUM(CE$8:CE100)</f>
        <v>0</v>
      </c>
      <c r="CF101" s="288">
        <f>SUM(CF$8:CF100)</f>
        <v>0</v>
      </c>
      <c r="CG101" s="288">
        <f>SUM(CG$8:CG100)</f>
        <v>0</v>
      </c>
      <c r="CH101" s="288">
        <f>SUM(CH$8:CH100)</f>
        <v>0</v>
      </c>
      <c r="CI101" s="288">
        <f>SUM(CI$8:CI100)</f>
        <v>0.7</v>
      </c>
      <c r="CJ101" s="288">
        <f>SUM(CJ$8:CJ100)</f>
        <v>0</v>
      </c>
      <c r="CK101" s="288">
        <f>SUM(CK$8:CK100)</f>
        <v>0</v>
      </c>
      <c r="CL101" s="288">
        <f>SUM(CL$8:CL100)</f>
        <v>0</v>
      </c>
      <c r="CM101" s="288">
        <f>SUM(CM$8:CM100)</f>
        <v>0</v>
      </c>
      <c r="CN101" s="288">
        <f>SUM(CN$8:CN100)</f>
        <v>0</v>
      </c>
      <c r="CO101" s="288">
        <f>SUM(CO$8:CO100)</f>
        <v>0</v>
      </c>
      <c r="CP101" s="288">
        <f>SUM(CP$8:CP100)</f>
        <v>0</v>
      </c>
      <c r="CQ101" s="288">
        <f>SUM(CQ$8:CQ100)</f>
        <v>0</v>
      </c>
      <c r="CR101" s="288">
        <f>SUM(CR$8:CR100)</f>
        <v>0</v>
      </c>
      <c r="CS101" s="288">
        <f>SUM(CS$8:CS100)</f>
        <v>0</v>
      </c>
      <c r="CT101" s="288">
        <f>SUM(CT$8:CT100)</f>
        <v>0</v>
      </c>
      <c r="CU101" s="288">
        <f>SUM(CU$8:CU100)</f>
        <v>0</v>
      </c>
      <c r="CV101" s="288">
        <f>SUM(CV$8:CV100)</f>
        <v>0</v>
      </c>
      <c r="CW101" s="288">
        <f>SUM(CW$8:CW100)</f>
        <v>2.4</v>
      </c>
      <c r="CX101" s="288">
        <f>SUM(CX$8:CX100)</f>
        <v>0</v>
      </c>
      <c r="CY101" s="288">
        <f>SUM(CY$8:CY100)</f>
        <v>0.08</v>
      </c>
      <c r="CZ101" s="288">
        <f>SUM(CZ$8:CZ100)</f>
        <v>5.2540000000000004</v>
      </c>
      <c r="DA101" s="288">
        <f>SUM(DA$8:DA100)</f>
        <v>0</v>
      </c>
      <c r="DB101" s="288">
        <f>SUM(DB$8:DB100)</f>
        <v>9.6769999999999978</v>
      </c>
      <c r="DC101" s="288">
        <f>SUM(DC$8:DC100)</f>
        <v>4.7250000000000005</v>
      </c>
      <c r="DD101" s="288">
        <f>SUM(DD$8:DD100)</f>
        <v>0.97099999999999997</v>
      </c>
      <c r="DE101" s="288">
        <f>SUM(DE$8:DE100)</f>
        <v>1.8540000000000001</v>
      </c>
      <c r="DF101" s="288">
        <f>SUM(DF$8:DF100)</f>
        <v>0.11</v>
      </c>
      <c r="DG101" s="288">
        <f>SUM(DG$8:DG100)</f>
        <v>3.7050000000000001</v>
      </c>
      <c r="DH101" s="288">
        <f>SUM(DH$8:DH100)</f>
        <v>0</v>
      </c>
      <c r="DI101" s="288">
        <f>SUM(DI$8:DI100)</f>
        <v>0.62</v>
      </c>
      <c r="DJ101" s="288">
        <f>SUM(DJ$8:DJ100)</f>
        <v>1</v>
      </c>
      <c r="DK101" s="288">
        <f>SUM(DK$8:DK100)</f>
        <v>0</v>
      </c>
      <c r="DL101" s="288">
        <f>SUM(DL$8:DL100)</f>
        <v>0</v>
      </c>
      <c r="DM101" s="288">
        <f>SUM(DM$8:DM100)</f>
        <v>0.08</v>
      </c>
      <c r="DN101" s="288">
        <f>SUM(DN$8:DN100)</f>
        <v>1.4159999999999999</v>
      </c>
      <c r="DO101" s="288">
        <f>SUM(DO$8:DO100)</f>
        <v>0</v>
      </c>
      <c r="DP101" s="288">
        <f>SUM(DP$8:DP100)</f>
        <v>3.2140000000000004</v>
      </c>
      <c r="DQ101" s="288">
        <f>SUM(DQ$8:DQ100)</f>
        <v>1.4930000000000001</v>
      </c>
      <c r="DR101" s="288">
        <f>SUM(DR$8:DR100)</f>
        <v>0.21299999999999999</v>
      </c>
      <c r="DS101" s="288">
        <f>SUM(DS$8:DS100)</f>
        <v>0.44600000000000006</v>
      </c>
      <c r="DT101" s="288">
        <f>SUM(DT$8:DT100)</f>
        <v>0.111</v>
      </c>
      <c r="DU101" s="288">
        <f>SUM(DU$8:DU100)</f>
        <v>1.4950000000000001</v>
      </c>
      <c r="DV101" s="288">
        <f>SUM(DV$8:DV100)</f>
        <v>0</v>
      </c>
      <c r="DW101" s="288">
        <f>SUM(DW$8:DW100)</f>
        <v>0.16</v>
      </c>
      <c r="DX101" s="288">
        <f>SUM(DX$8:DX100)</f>
        <v>0</v>
      </c>
      <c r="DY101" s="288">
        <f>SUM(DY$8:DY100)</f>
        <v>0</v>
      </c>
      <c r="DZ101" s="288">
        <f>SUM(DZ$8:DZ100)</f>
        <v>0</v>
      </c>
      <c r="EA101" s="288">
        <f>SUM(EA$8:EA100)</f>
        <v>0.08</v>
      </c>
      <c r="EB101" s="288">
        <f>SUM(EB$8:EB100)</f>
        <v>1.206</v>
      </c>
      <c r="EC101" s="288">
        <f>SUM(EC$8:EC100)</f>
        <v>0</v>
      </c>
      <c r="ED101" s="288">
        <f>SUM(ED$8:ED100)</f>
        <v>2.3840000000000003</v>
      </c>
      <c r="EE101" s="288">
        <f>SUM(EE$8:EE100)</f>
        <v>2.33</v>
      </c>
      <c r="EF101" s="288">
        <f>SUM(EF$8:EF100)</f>
        <v>0.35599999999999998</v>
      </c>
      <c r="EG101" s="288">
        <f>SUM(EG$8:EG100)</f>
        <v>0.45699999999999996</v>
      </c>
      <c r="EH101" s="288">
        <f>SUM(EH$8:EH100)</f>
        <v>1.2</v>
      </c>
      <c r="EI101" s="288">
        <f>SUM(EI$8:EI100)</f>
        <v>1.4950000000000001</v>
      </c>
      <c r="EJ101" s="288">
        <f>SUM(EJ$8:EJ100)</f>
        <v>0</v>
      </c>
      <c r="EK101" s="288">
        <f>SUM(EK$8:EK100)</f>
        <v>0.16</v>
      </c>
      <c r="EL101" s="288">
        <f>SUM(EL$8:EL100)</f>
        <v>0</v>
      </c>
      <c r="EM101" s="288">
        <f>SUM(EM$8:EM100)</f>
        <v>0</v>
      </c>
      <c r="EN101" s="288">
        <f>SUM(EN$8:EN100)</f>
        <v>18.059999999999999</v>
      </c>
      <c r="EO101" s="288">
        <f>SUM(EO$8:EO100)</f>
        <v>0</v>
      </c>
      <c r="EP101" s="288">
        <f>SUM(EP$8:EP100)</f>
        <v>3</v>
      </c>
      <c r="EQ101" s="288">
        <f>SUM(EQ$8:EQ100)</f>
        <v>45.305</v>
      </c>
      <c r="ER101" s="288">
        <f>SUM(ER$8:ER100)</f>
        <v>66.365000000000009</v>
      </c>
      <c r="ES101" s="288">
        <f>SUM(ES$8:ES100)</f>
        <v>0</v>
      </c>
      <c r="ET101" s="288">
        <f>SUM(ET$8:ET100)</f>
        <v>0.65400000000000003</v>
      </c>
      <c r="EU101" s="288">
        <f>SUM(EU$8:EU100)</f>
        <v>7.1000000000000008E-2</v>
      </c>
      <c r="EV101" s="288">
        <f>SUM(EV$8:EV100)</f>
        <v>0</v>
      </c>
      <c r="EW101" s="288">
        <f>SUM(EW$8:EW100)</f>
        <v>0.28599999999999998</v>
      </c>
      <c r="EX101" s="288">
        <f>SUM(EX$8:EX100)</f>
        <v>0</v>
      </c>
      <c r="EY101" s="288">
        <f>SUM(EY$8:EY100)</f>
        <v>0</v>
      </c>
      <c r="EZ101" s="288">
        <f>SUM(EZ$8:EZ100)</f>
        <v>0</v>
      </c>
      <c r="FA101" s="288">
        <f>SUM(FA$8:FA100)</f>
        <v>0.221</v>
      </c>
      <c r="FB101" s="288">
        <f>SUM(FB$8:FB100)</f>
        <v>0</v>
      </c>
      <c r="FC101" s="288">
        <f>SUM(FC$8:FC100)</f>
        <v>0</v>
      </c>
      <c r="FD101" s="288">
        <f>SUM(FD$8:FD100)</f>
        <v>1.1200000000000001</v>
      </c>
      <c r="FE101" s="288">
        <f>SUM(FE$8:FE100)</f>
        <v>0</v>
      </c>
      <c r="FF101" s="288">
        <f>SUM(FF$8:FF100)</f>
        <v>0.8</v>
      </c>
    </row>
  </sheetData>
  <autoFilter ref="A7:FE36" xr:uid="{05B13F41-F808-4BEE-B4C3-756BD810F70B}">
    <sortState xmlns:xlrd2="http://schemas.microsoft.com/office/spreadsheetml/2017/richdata2" ref="A8:FE98">
      <sortCondition ref="A7:A36"/>
    </sortState>
  </autoFilter>
  <phoneticPr fontId="24" type="noConversion"/>
  <conditionalFormatting sqref="B8:B40 B47:B74 B76:B99">
    <cfRule type="duplicateValues" dxfId="3" priority="17"/>
  </conditionalFormatting>
  <conditionalFormatting sqref="B100">
    <cfRule type="duplicateValues" dxfId="2" priority="1"/>
  </conditionalFormatting>
  <conditionalFormatting sqref="B101">
    <cfRule type="duplicateValues" dxfId="1" priority="14"/>
  </conditionalFormatting>
  <conditionalFormatting sqref="B102:B1048576 B1:B7">
    <cfRule type="duplicateValues" dxfId="0" priority="11"/>
  </conditionalFormatting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/>
  <dimension ref="A1:D15"/>
  <sheetViews>
    <sheetView workbookViewId="0">
      <selection activeCell="L4" sqref="L4:L151"/>
    </sheetView>
  </sheetViews>
  <sheetFormatPr defaultRowHeight="15" x14ac:dyDescent="0.25"/>
  <cols>
    <col min="1" max="1" width="10" customWidth="1"/>
    <col min="3" max="3" width="31.5703125" bestFit="1" customWidth="1"/>
  </cols>
  <sheetData>
    <row r="1" spans="1:4" x14ac:dyDescent="0.25">
      <c r="A1" s="24" t="s">
        <v>712</v>
      </c>
      <c r="B1" s="24" t="s">
        <v>713</v>
      </c>
      <c r="C1" t="s">
        <v>714</v>
      </c>
      <c r="D1" t="s">
        <v>715</v>
      </c>
    </row>
    <row r="2" spans="1:4" x14ac:dyDescent="0.25">
      <c r="A2" s="99" t="s">
        <v>747</v>
      </c>
      <c r="B2" s="22" t="s">
        <v>717</v>
      </c>
      <c r="C2" s="22" t="s">
        <v>716</v>
      </c>
      <c r="D2" t="s">
        <v>682</v>
      </c>
    </row>
    <row r="3" spans="1:4" x14ac:dyDescent="0.25">
      <c r="A3" s="99" t="s">
        <v>736</v>
      </c>
      <c r="B3" s="22" t="s">
        <v>717</v>
      </c>
      <c r="C3" s="22" t="s">
        <v>729</v>
      </c>
      <c r="D3" t="s">
        <v>682</v>
      </c>
    </row>
    <row r="4" spans="1:4" x14ac:dyDescent="0.25">
      <c r="A4" s="99" t="s">
        <v>738</v>
      </c>
      <c r="B4" s="22" t="s">
        <v>717</v>
      </c>
      <c r="C4" s="22" t="s">
        <v>680</v>
      </c>
      <c r="D4" t="s">
        <v>682</v>
      </c>
    </row>
    <row r="5" spans="1:4" x14ac:dyDescent="0.25">
      <c r="A5" s="99" t="s">
        <v>744</v>
      </c>
      <c r="B5" s="22" t="s">
        <v>717</v>
      </c>
      <c r="C5" s="22" t="s">
        <v>719</v>
      </c>
      <c r="D5" t="s">
        <v>682</v>
      </c>
    </row>
    <row r="6" spans="1:4" x14ac:dyDescent="0.25">
      <c r="A6" s="99" t="s">
        <v>739</v>
      </c>
      <c r="B6" s="22" t="s">
        <v>717</v>
      </c>
      <c r="C6" s="22" t="s">
        <v>718</v>
      </c>
      <c r="D6" t="s">
        <v>682</v>
      </c>
    </row>
    <row r="7" spans="1:4" x14ac:dyDescent="0.25">
      <c r="A7" s="99" t="s">
        <v>740</v>
      </c>
      <c r="B7" s="22" t="s">
        <v>717</v>
      </c>
      <c r="C7" s="22" t="s">
        <v>720</v>
      </c>
      <c r="D7" t="s">
        <v>682</v>
      </c>
    </row>
    <row r="8" spans="1:4" x14ac:dyDescent="0.25">
      <c r="A8" s="99" t="s">
        <v>742</v>
      </c>
      <c r="B8" s="22" t="s">
        <v>717</v>
      </c>
      <c r="C8" s="22" t="s">
        <v>721</v>
      </c>
      <c r="D8" t="s">
        <v>682</v>
      </c>
    </row>
    <row r="9" spans="1:4" x14ac:dyDescent="0.25">
      <c r="A9" s="99" t="s">
        <v>743</v>
      </c>
      <c r="B9" s="22" t="s">
        <v>717</v>
      </c>
      <c r="C9" s="22" t="s">
        <v>722</v>
      </c>
      <c r="D9" t="s">
        <v>682</v>
      </c>
    </row>
    <row r="10" spans="1:4" x14ac:dyDescent="0.25">
      <c r="A10" s="99" t="s">
        <v>746</v>
      </c>
      <c r="B10" s="22" t="s">
        <v>717</v>
      </c>
      <c r="C10" s="22" t="s">
        <v>681</v>
      </c>
      <c r="D10" t="s">
        <v>682</v>
      </c>
    </row>
    <row r="11" spans="1:4" x14ac:dyDescent="0.25">
      <c r="A11" s="99" t="s">
        <v>745</v>
      </c>
      <c r="B11" s="22" t="s">
        <v>717</v>
      </c>
      <c r="C11" s="22" t="s">
        <v>723</v>
      </c>
      <c r="D11" t="s">
        <v>682</v>
      </c>
    </row>
    <row r="12" spans="1:4" x14ac:dyDescent="0.25">
      <c r="A12">
        <v>96</v>
      </c>
      <c r="B12" s="99" t="s">
        <v>737</v>
      </c>
      <c r="C12" s="22" t="s">
        <v>727</v>
      </c>
      <c r="D12" t="s">
        <v>683</v>
      </c>
    </row>
    <row r="13" spans="1:4" x14ac:dyDescent="0.25">
      <c r="A13" s="85" t="s">
        <v>728</v>
      </c>
      <c r="B13" s="99" t="s">
        <v>732</v>
      </c>
      <c r="C13" s="22" t="s">
        <v>1158</v>
      </c>
      <c r="D13" t="s">
        <v>683</v>
      </c>
    </row>
    <row r="14" spans="1:4" x14ac:dyDescent="0.25">
      <c r="A14" s="85" t="s">
        <v>728</v>
      </c>
      <c r="B14" s="99" t="s">
        <v>733</v>
      </c>
      <c r="C14" s="22" t="s">
        <v>730</v>
      </c>
      <c r="D14" t="s">
        <v>683</v>
      </c>
    </row>
    <row r="15" spans="1:4" x14ac:dyDescent="0.25">
      <c r="A15" s="85" t="s">
        <v>728</v>
      </c>
      <c r="B15" s="99" t="s">
        <v>1159</v>
      </c>
      <c r="C15" s="22" t="s">
        <v>1058</v>
      </c>
      <c r="D15" t="s">
        <v>683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55106-A4C7-4357-8850-290BBE78F255}">
  <sheetPr codeName="Sheet26"/>
  <dimension ref="A1:P323"/>
  <sheetViews>
    <sheetView workbookViewId="0">
      <selection activeCell="L4" sqref="L4:L151"/>
    </sheetView>
  </sheetViews>
  <sheetFormatPr defaultRowHeight="15" x14ac:dyDescent="0.25"/>
  <cols>
    <col min="2" max="2" width="20" customWidth="1"/>
    <col min="3" max="3" width="8.7109375" bestFit="1" customWidth="1"/>
    <col min="4" max="4" width="9" bestFit="1" customWidth="1"/>
    <col min="5" max="5" width="15" bestFit="1" customWidth="1"/>
    <col min="6" max="6" width="13.7109375" bestFit="1" customWidth="1"/>
    <col min="7" max="7" width="15" bestFit="1" customWidth="1"/>
    <col min="8" max="8" width="13.7109375" bestFit="1" customWidth="1"/>
    <col min="9" max="9" width="14.42578125" customWidth="1"/>
    <col min="10" max="10" width="13.42578125" customWidth="1"/>
    <col min="11" max="11" width="14.42578125" customWidth="1"/>
    <col min="12" max="12" width="13.7109375" bestFit="1" customWidth="1"/>
    <col min="13" max="13" width="14.42578125" customWidth="1"/>
    <col min="14" max="14" width="13.7109375" bestFit="1" customWidth="1"/>
    <col min="15" max="15" width="11.28515625" bestFit="1" customWidth="1"/>
    <col min="16" max="16" width="15.28515625" bestFit="1" customWidth="1"/>
  </cols>
  <sheetData>
    <row r="1" spans="1:16" x14ac:dyDescent="0.25">
      <c r="A1" s="21">
        <f>COLUMN(A1)</f>
        <v>1</v>
      </c>
      <c r="B1" s="21">
        <f t="shared" ref="B1:O1" si="0">COLUMN(B1)</f>
        <v>2</v>
      </c>
      <c r="C1" s="21">
        <f t="shared" si="0"/>
        <v>3</v>
      </c>
      <c r="D1" s="21">
        <f t="shared" si="0"/>
        <v>4</v>
      </c>
      <c r="E1" s="21">
        <f t="shared" si="0"/>
        <v>5</v>
      </c>
      <c r="F1" s="21">
        <f t="shared" si="0"/>
        <v>6</v>
      </c>
      <c r="G1" s="21">
        <f t="shared" si="0"/>
        <v>7</v>
      </c>
      <c r="H1" s="21">
        <f t="shared" si="0"/>
        <v>8</v>
      </c>
      <c r="I1" s="21">
        <f t="shared" si="0"/>
        <v>9</v>
      </c>
      <c r="J1" s="21">
        <f t="shared" si="0"/>
        <v>10</v>
      </c>
      <c r="K1" s="21">
        <f t="shared" si="0"/>
        <v>11</v>
      </c>
      <c r="L1" s="21">
        <f t="shared" si="0"/>
        <v>12</v>
      </c>
      <c r="M1" s="21">
        <f t="shared" si="0"/>
        <v>13</v>
      </c>
      <c r="N1" s="21">
        <f t="shared" si="0"/>
        <v>14</v>
      </c>
      <c r="O1" s="21">
        <f t="shared" si="0"/>
        <v>15</v>
      </c>
      <c r="P1" s="23" t="e">
        <f>SUM(P3:P320)</f>
        <v>#N/A</v>
      </c>
    </row>
    <row r="2" spans="1:16" ht="48.75" customHeight="1" x14ac:dyDescent="0.25">
      <c r="A2" t="s">
        <v>600</v>
      </c>
      <c r="B2" t="s">
        <v>607</v>
      </c>
      <c r="C2" s="29" t="s">
        <v>1030</v>
      </c>
      <c r="D2" s="29" t="s">
        <v>1033</v>
      </c>
      <c r="E2" s="29" t="s">
        <v>1031</v>
      </c>
      <c r="F2" s="29" t="s">
        <v>1032</v>
      </c>
      <c r="G2" s="29" t="s">
        <v>1034</v>
      </c>
      <c r="H2" s="29" t="s">
        <v>1035</v>
      </c>
      <c r="I2" s="29" t="s">
        <v>1036</v>
      </c>
      <c r="J2" s="29" t="s">
        <v>1037</v>
      </c>
      <c r="K2" s="47" t="s">
        <v>688</v>
      </c>
      <c r="L2" s="47" t="s">
        <v>689</v>
      </c>
      <c r="M2" s="47" t="s">
        <v>690</v>
      </c>
      <c r="N2" s="47" t="s">
        <v>691</v>
      </c>
      <c r="O2" s="47" t="s">
        <v>778</v>
      </c>
      <c r="P2" s="29" t="s">
        <v>606</v>
      </c>
    </row>
    <row r="3" spans="1:16" x14ac:dyDescent="0.25">
      <c r="A3" t="s">
        <v>621</v>
      </c>
      <c r="B3" t="s">
        <v>622</v>
      </c>
      <c r="C3" s="33">
        <f>IF(VLOOKUP($A3,'Enroll Data as of January 2025'!$A$3:$T$322,20,FALSE)&gt;0,0,VLOOKUP($A3,'Enroll Data as of January 2025'!$A$3:$T$322,20,FALSE)*'2024-25 PSES Compliance'!$G$13)</f>
        <v>-2.2809599999999999</v>
      </c>
      <c r="D3" s="33">
        <f>IF(VLOOKUP($A3,'Enroll Data as of January 2025'!$A$3:$T$322,20,FALSE)&gt;0,0,VLOOKUP($A3,'Enroll Data as of January 2025'!$A$3:$T$322,20,FALSE)*'2024-25 PSES Compliance'!$G$14)</f>
        <v>-9.5039999999999999E-2</v>
      </c>
      <c r="E3" s="25">
        <f>ROUND($C3*CIS_Base*VLOOKUP($A3,'K3 District Data as of Jan 2025'!$A$3:$M$323,MATCH("Reg base",'K3 District Data as of Jan 2025'!$2:$2,0),FALSE),2)</f>
        <v>-195749.8</v>
      </c>
      <c r="F3" s="25">
        <f>ROUND($C3*CIS_Inc*(VLOOKUP($A3,'K3 District Data as of Jan 2025'!$A$3:$M$323,MATCH("Reg",'K3 District Data as of Jan 2025'!$2:$2,0),FALSE)+VLOOKUP($A3,'K3 District Data as of Jan 2025'!$A$3:$M$323,MATCH("Exp",'K3 District Data as of Jan 2025'!$2:$2,0),FALSE)),2)-E3</f>
        <v>-14752.290000000008</v>
      </c>
      <c r="G3" s="25">
        <f>ROUND($D3*CLS_Base*VLOOKUP($A3,'K3 District Data as of Jan 2025'!$A$3:$M$323,MATCH("Reg base",'K3 District Data as of Jan 2025'!$2:$2,0),FALSE),2)</f>
        <v>-5851.06</v>
      </c>
      <c r="H3" s="25">
        <f>ROUND($D3*CLS_Inc*VLOOKUP($A3,'K3 District Data as of Jan 2025'!$A$3:$M$323,MATCH("Reg base",'K3 District Data as of Jan 2025'!$2:$2,0),FALSE),2)-G3</f>
        <v>-440.96000000000004</v>
      </c>
      <c r="I3" s="25">
        <f t="shared" ref="I3:I66" si="1">ROUND($C3*CIS_Ins_Inc,2)</f>
        <v>-32888.519999999997</v>
      </c>
      <c r="J3" s="25">
        <f t="shared" ref="J3:J66" si="2">ROUND($D3*CLS_Ins_Inc,2)</f>
        <v>-1921.18</v>
      </c>
      <c r="K3" s="25">
        <f t="shared" ref="K3:K66" si="3">ROUND(E3*CIS_Ben_Base,2)</f>
        <v>-35528.589999999997</v>
      </c>
      <c r="L3" s="25">
        <f t="shared" ref="L3:L66" si="4">ROUND(E3*CIS_Ben_Inc,2)</f>
        <v>-34275.79</v>
      </c>
      <c r="M3" s="25">
        <f t="shared" ref="M3:M66" si="5">ROUND(G3*CLS_Ben_Base,2)</f>
        <v>-1267.3399999999999</v>
      </c>
      <c r="N3" s="25">
        <f t="shared" ref="N3:N66" si="6">ROUND(H3*CLS_Ben_Inc,2)</f>
        <v>-80.08</v>
      </c>
      <c r="O3" s="25">
        <f>ROUND(($C3*CIS_Inc*(VLOOKUP($A3,'K3 District Data as of Jan 2025'!$A$3:$M$323,MATCH("Reg",'K3 District Data as of Jan 2025'!$2:$2,0),FALSE)+VLOOKUP($A3,'K3 District Data as of Jan 2025'!$A$3:$M$323,MATCH("Exp",'K3 District Data as of Jan 2025'!$2:$2,0),FALSE))/180)*3+(($C3*CIS_Inc*(VLOOKUP($A3,'K3 District Data as of Jan 2025'!$A$3:$M$323,MATCH("Reg",'K3 District Data as of Jan 2025'!$2:$2,0),FALSE)+VLOOKUP($A3,'K3 District Data as of Jan 2025'!$A$3:$M$323,MATCH("Exp",'K3 District Data as of Jan 2025'!$2:$2,0),FALSE))/180)*3)*CIS_Ben_Inc,2)</f>
        <v>-4122.68</v>
      </c>
      <c r="P3" s="23">
        <f t="shared" ref="P3:P66" si="7">SUM(E3:O3)</f>
        <v>-326878.28999999998</v>
      </c>
    </row>
    <row r="4" spans="1:16" x14ac:dyDescent="0.25">
      <c r="A4" t="s">
        <v>33</v>
      </c>
      <c r="B4" t="s">
        <v>329</v>
      </c>
      <c r="C4" s="33">
        <f>IF(VLOOKUP($A4,'Enroll Data as of January 2025'!$A$3:$T$322,20,FALSE)&gt;0,0,VLOOKUP($A4,'Enroll Data as of January 2025'!$A$3:$T$322,20,FALSE)*'2024-25 PSES Compliance'!$G$13)</f>
        <v>-3.1267200000000002</v>
      </c>
      <c r="D4" s="33">
        <f>IF(VLOOKUP($A4,'Enroll Data as of January 2025'!$A$3:$T$322,20,FALSE)&gt;0,0,VLOOKUP($A4,'Enroll Data as of January 2025'!$A$3:$T$322,20,FALSE)*'2024-25 PSES Compliance'!$G$14)</f>
        <v>-0.13028000000000001</v>
      </c>
      <c r="E4" s="25">
        <f>ROUND($C4*CIS_Base*VLOOKUP($A4,'K3 District Data as of Jan 2025'!$A$3:$M$323,MATCH("Reg base",'K3 District Data as of Jan 2025'!$2:$2,0),FALSE),2)</f>
        <v>-241044.1</v>
      </c>
      <c r="F4" s="25">
        <f>ROUND($C4*CIS_Inc*(VLOOKUP($A4,'K3 District Data as of Jan 2025'!$A$3:$M$323,MATCH("Reg",'K3 District Data as of Jan 2025'!$2:$2,0),FALSE)+VLOOKUP($A4,'K3 District Data as of Jan 2025'!$A$3:$M$323,MATCH("Exp",'K3 District Data as of Jan 2025'!$2:$2,0),FALSE)),2)-E4</f>
        <v>-18165.799999999988</v>
      </c>
      <c r="G4" s="25">
        <f>ROUND($D4*CLS_Base*VLOOKUP($A4,'K3 District Data as of Jan 2025'!$A$3:$M$323,MATCH("Reg base",'K3 District Data as of Jan 2025'!$2:$2,0),FALSE),2)</f>
        <v>-7204.92</v>
      </c>
      <c r="H4" s="25">
        <f>ROUND($D4*CLS_Inc*VLOOKUP($A4,'K3 District Data as of Jan 2025'!$A$3:$M$323,MATCH("Reg base",'K3 District Data as of Jan 2025'!$2:$2,0),FALSE),2)-G4</f>
        <v>-543</v>
      </c>
      <c r="I4" s="25">
        <f t="shared" si="1"/>
        <v>-45083.3</v>
      </c>
      <c r="J4" s="25">
        <f t="shared" si="2"/>
        <v>-2633.54</v>
      </c>
      <c r="K4" s="25">
        <f t="shared" si="3"/>
        <v>-43749.5</v>
      </c>
      <c r="L4" s="25">
        <f t="shared" si="4"/>
        <v>-42206.82</v>
      </c>
      <c r="M4" s="25">
        <f t="shared" si="5"/>
        <v>-1560.59</v>
      </c>
      <c r="N4" s="25">
        <f t="shared" si="6"/>
        <v>-98.61</v>
      </c>
      <c r="O4" s="25">
        <f>ROUND(($C4*CIS_Inc*(VLOOKUP($A4,'K3 District Data as of Jan 2025'!$A$3:$M$323,MATCH("Reg",'K3 District Data as of Jan 2025'!$2:$2,0),FALSE)+VLOOKUP($A4,'K3 District Data as of Jan 2025'!$A$3:$M$323,MATCH("Exp",'K3 District Data as of Jan 2025'!$2:$2,0),FALSE))/180)*3+(($C4*CIS_Inc*(VLOOKUP($A4,'K3 District Data as of Jan 2025'!$A$3:$M$323,MATCH("Reg",'K3 District Data as of Jan 2025'!$2:$2,0),FALSE)+VLOOKUP($A4,'K3 District Data as of Jan 2025'!$A$3:$M$323,MATCH("Exp",'K3 District Data as of Jan 2025'!$2:$2,0),FALSE))/180)*3)*CIS_Ben_Inc,2)</f>
        <v>-5076.63</v>
      </c>
      <c r="P4" s="23">
        <f t="shared" si="7"/>
        <v>-407366.81</v>
      </c>
    </row>
    <row r="5" spans="1:16" x14ac:dyDescent="0.25">
      <c r="A5" t="s">
        <v>298</v>
      </c>
      <c r="B5" t="s">
        <v>594</v>
      </c>
      <c r="C5" s="33">
        <f>IF(VLOOKUP($A5,'Enroll Data as of January 2025'!$A$3:$T$322,20,FALSE)&gt;0,0,VLOOKUP($A5,'Enroll Data as of January 2025'!$A$3:$T$322,20,FALSE)*'2024-25 PSES Compliance'!$G$13)</f>
        <v>-1.3286399999999998</v>
      </c>
      <c r="D5" s="33">
        <f>IF(VLOOKUP($A5,'Enroll Data as of January 2025'!$A$3:$T$322,20,FALSE)&gt;0,0,VLOOKUP($A5,'Enroll Data as of January 2025'!$A$3:$T$322,20,FALSE)*'2024-25 PSES Compliance'!$G$14)</f>
        <v>-5.5359999999999999E-2</v>
      </c>
      <c r="E5" s="25">
        <f>ROUND($C5*CIS_Base*VLOOKUP($A5,'K3 District Data as of Jan 2025'!$A$3:$M$323,MATCH("Reg base",'K3 District Data as of Jan 2025'!$2:$2,0),FALSE),2)</f>
        <v>-96629.33</v>
      </c>
      <c r="F5" s="25">
        <f>ROUND($C5*CIS_Inc*(VLOOKUP($A5,'K3 District Data as of Jan 2025'!$A$3:$M$323,MATCH("Reg",'K3 District Data as of Jan 2025'!$2:$2,0),FALSE)+VLOOKUP($A5,'K3 District Data as of Jan 2025'!$A$3:$M$323,MATCH("Exp",'K3 District Data as of Jan 2025'!$2:$2,0),FALSE)),2)-E5</f>
        <v>-7282.2799999999988</v>
      </c>
      <c r="G5" s="25">
        <f>ROUND($D5*CLS_Base*VLOOKUP($A5,'K3 District Data as of Jan 2025'!$A$3:$M$323,MATCH("Reg base",'K3 District Data as of Jan 2025'!$2:$2,0),FALSE),2)</f>
        <v>-2888.3</v>
      </c>
      <c r="H5" s="25">
        <f>ROUND($D5*CLS_Inc*VLOOKUP($A5,'K3 District Data as of Jan 2025'!$A$3:$M$323,MATCH("Reg base",'K3 District Data as of Jan 2025'!$2:$2,0),FALSE),2)-G5</f>
        <v>-217.66999999999962</v>
      </c>
      <c r="I5" s="25">
        <f t="shared" si="1"/>
        <v>-19157.29</v>
      </c>
      <c r="J5" s="25">
        <f t="shared" si="2"/>
        <v>-1119.07</v>
      </c>
      <c r="K5" s="25">
        <f t="shared" si="3"/>
        <v>-17538.22</v>
      </c>
      <c r="L5" s="25">
        <f t="shared" si="4"/>
        <v>-16919.8</v>
      </c>
      <c r="M5" s="25">
        <f t="shared" si="5"/>
        <v>-625.61</v>
      </c>
      <c r="N5" s="25">
        <f t="shared" si="6"/>
        <v>-39.53</v>
      </c>
      <c r="O5" s="25">
        <f>ROUND(($C5*CIS_Inc*(VLOOKUP($A5,'K3 District Data as of Jan 2025'!$A$3:$M$323,MATCH("Reg",'K3 District Data as of Jan 2025'!$2:$2,0),FALSE)+VLOOKUP($A5,'K3 District Data as of Jan 2025'!$A$3:$M$323,MATCH("Exp",'K3 District Data as of Jan 2025'!$2:$2,0),FALSE))/180)*3+(($C5*CIS_Inc*(VLOOKUP($A5,'K3 District Data as of Jan 2025'!$A$3:$M$323,MATCH("Reg",'K3 District Data as of Jan 2025'!$2:$2,0),FALSE)+VLOOKUP($A5,'K3 District Data as of Jan 2025'!$A$3:$M$323,MATCH("Exp",'K3 District Data as of Jan 2025'!$2:$2,0),FALSE))/180)*3)*CIS_Ben_Inc,2)</f>
        <v>-2035.11</v>
      </c>
      <c r="P5" s="23">
        <f t="shared" si="7"/>
        <v>-164452.20999999996</v>
      </c>
    </row>
    <row r="6" spans="1:16" x14ac:dyDescent="0.25">
      <c r="A6" t="s">
        <v>275</v>
      </c>
      <c r="B6" t="s">
        <v>571</v>
      </c>
      <c r="C6" s="33">
        <f>IF(VLOOKUP($A6,'Enroll Data as of January 2025'!$A$3:$T$322,20,FALSE)&gt;0,0,VLOOKUP($A6,'Enroll Data as of January 2025'!$A$3:$T$322,20,FALSE)*'2024-25 PSES Compliance'!$G$13)</f>
        <v>-1.4188799999999999</v>
      </c>
      <c r="D6" s="33">
        <f>IF(VLOOKUP($A6,'Enroll Data as of January 2025'!$A$3:$T$322,20,FALSE)&gt;0,0,VLOOKUP($A6,'Enroll Data as of January 2025'!$A$3:$T$322,20,FALSE)*'2024-25 PSES Compliance'!$G$14)</f>
        <v>-5.9119999999999999E-2</v>
      </c>
      <c r="E6" s="25">
        <f>ROUND($C6*CIS_Base*VLOOKUP($A6,'K3 District Data as of Jan 2025'!$A$3:$M$323,MATCH("Reg base",'K3 District Data as of Jan 2025'!$2:$2,0),FALSE),2)</f>
        <v>-109383.84</v>
      </c>
      <c r="F6" s="25">
        <f>ROUND($C6*CIS_Inc*(VLOOKUP($A6,'K3 District Data as of Jan 2025'!$A$3:$M$323,MATCH("Reg",'K3 District Data as of Jan 2025'!$2:$2,0),FALSE)+VLOOKUP($A6,'K3 District Data as of Jan 2025'!$A$3:$M$323,MATCH("Exp",'K3 District Data as of Jan 2025'!$2:$2,0),FALSE)),2)-E6</f>
        <v>-8243.5</v>
      </c>
      <c r="G6" s="25">
        <f>ROUND($D6*CLS_Base*VLOOKUP($A6,'K3 District Data as of Jan 2025'!$A$3:$M$323,MATCH("Reg base",'K3 District Data as of Jan 2025'!$2:$2,0),FALSE),2)</f>
        <v>-3269.54</v>
      </c>
      <c r="H6" s="25">
        <f>ROUND($D6*CLS_Inc*VLOOKUP($A6,'K3 District Data as of Jan 2025'!$A$3:$M$323,MATCH("Reg base",'K3 District Data as of Jan 2025'!$2:$2,0),FALSE),2)-G6</f>
        <v>-246.40000000000009</v>
      </c>
      <c r="I6" s="25">
        <f t="shared" si="1"/>
        <v>-20458.43</v>
      </c>
      <c r="J6" s="25">
        <f t="shared" si="2"/>
        <v>-1195.08</v>
      </c>
      <c r="K6" s="25">
        <f t="shared" si="3"/>
        <v>-19853.169999999998</v>
      </c>
      <c r="L6" s="25">
        <f t="shared" si="4"/>
        <v>-19153.11</v>
      </c>
      <c r="M6" s="25">
        <f t="shared" si="5"/>
        <v>-708.18</v>
      </c>
      <c r="N6" s="25">
        <f t="shared" si="6"/>
        <v>-44.75</v>
      </c>
      <c r="O6" s="25">
        <f>ROUND(($C6*CIS_Inc*(VLOOKUP($A6,'K3 District Data as of Jan 2025'!$A$3:$M$323,MATCH("Reg",'K3 District Data as of Jan 2025'!$2:$2,0),FALSE)+VLOOKUP($A6,'K3 District Data as of Jan 2025'!$A$3:$M$323,MATCH("Exp",'K3 District Data as of Jan 2025'!$2:$2,0),FALSE))/180)*3+(($C6*CIS_Inc*(VLOOKUP($A6,'K3 District Data as of Jan 2025'!$A$3:$M$323,MATCH("Reg",'K3 District Data as of Jan 2025'!$2:$2,0),FALSE)+VLOOKUP($A6,'K3 District Data as of Jan 2025'!$A$3:$M$323,MATCH("Exp",'K3 District Data as of Jan 2025'!$2:$2,0),FALSE))/180)*3)*CIS_Ben_Inc,2)</f>
        <v>-2303.73</v>
      </c>
      <c r="P6" s="23">
        <f t="shared" si="7"/>
        <v>-184859.72999999995</v>
      </c>
    </row>
    <row r="7" spans="1:16" x14ac:dyDescent="0.25">
      <c r="A7" t="s">
        <v>67</v>
      </c>
      <c r="B7" t="s">
        <v>363</v>
      </c>
      <c r="C7" s="33">
        <f>IF(VLOOKUP($A7,'Enroll Data as of January 2025'!$A$3:$T$322,20,FALSE)&gt;0,0,VLOOKUP($A7,'Enroll Data as of January 2025'!$A$3:$T$322,20,FALSE)*'2024-25 PSES Compliance'!$G$13)</f>
        <v>-1.6348800000000001</v>
      </c>
      <c r="D7" s="33">
        <f>IF(VLOOKUP($A7,'Enroll Data as of January 2025'!$A$3:$T$322,20,FALSE)&gt;0,0,VLOOKUP($A7,'Enroll Data as of January 2025'!$A$3:$T$322,20,FALSE)*'2024-25 PSES Compliance'!$G$14)</f>
        <v>-6.812E-2</v>
      </c>
      <c r="E7" s="25">
        <f>ROUND($C7*CIS_Base*VLOOKUP($A7,'K3 District Data as of Jan 2025'!$A$3:$M$323,MATCH("Reg base",'K3 District Data as of Jan 2025'!$2:$2,0),FALSE),2)</f>
        <v>-118901.55</v>
      </c>
      <c r="F7" s="25">
        <f>ROUND($C7*CIS_Inc*(VLOOKUP($A7,'K3 District Data as of Jan 2025'!$A$3:$M$323,MATCH("Reg",'K3 District Data as of Jan 2025'!$2:$2,0),FALSE)+VLOOKUP($A7,'K3 District Data as of Jan 2025'!$A$3:$M$323,MATCH("Exp",'K3 District Data as of Jan 2025'!$2:$2,0),FALSE)),2)-E7</f>
        <v>-8960.7799999999988</v>
      </c>
      <c r="G7" s="25">
        <f>ROUND($D7*CLS_Base*VLOOKUP($A7,'K3 District Data as of Jan 2025'!$A$3:$M$323,MATCH("Reg base",'K3 District Data as of Jan 2025'!$2:$2,0),FALSE),2)</f>
        <v>-3554.02</v>
      </c>
      <c r="H7" s="25">
        <f>ROUND($D7*CLS_Inc*VLOOKUP($A7,'K3 District Data as of Jan 2025'!$A$3:$M$323,MATCH("Reg base",'K3 District Data as of Jan 2025'!$2:$2,0),FALSE),2)-G7</f>
        <v>-267.84999999999991</v>
      </c>
      <c r="I7" s="25">
        <f t="shared" si="1"/>
        <v>-23572.880000000001</v>
      </c>
      <c r="J7" s="25">
        <f t="shared" si="2"/>
        <v>-1377.01</v>
      </c>
      <c r="K7" s="25">
        <f t="shared" si="3"/>
        <v>-21580.63</v>
      </c>
      <c r="L7" s="25">
        <f t="shared" si="4"/>
        <v>-20819.66</v>
      </c>
      <c r="M7" s="25">
        <f t="shared" si="5"/>
        <v>-769.8</v>
      </c>
      <c r="N7" s="25">
        <f t="shared" si="6"/>
        <v>-48.64</v>
      </c>
      <c r="O7" s="25">
        <f>ROUND(($C7*CIS_Inc*(VLOOKUP($A7,'K3 District Data as of Jan 2025'!$A$3:$M$323,MATCH("Reg",'K3 District Data as of Jan 2025'!$2:$2,0),FALSE)+VLOOKUP($A7,'K3 District Data as of Jan 2025'!$A$3:$M$323,MATCH("Exp",'K3 District Data as of Jan 2025'!$2:$2,0),FALSE))/180)*3+(($C7*CIS_Inc*(VLOOKUP($A7,'K3 District Data as of Jan 2025'!$A$3:$M$323,MATCH("Reg",'K3 District Data as of Jan 2025'!$2:$2,0),FALSE)+VLOOKUP($A7,'K3 District Data as of Jan 2025'!$A$3:$M$323,MATCH("Exp",'K3 District Data as of Jan 2025'!$2:$2,0),FALSE))/180)*3)*CIS_Ben_Inc,2)</f>
        <v>-2504.1799999999998</v>
      </c>
      <c r="P7" s="23">
        <f t="shared" si="7"/>
        <v>-202357.00000000003</v>
      </c>
    </row>
    <row r="8" spans="1:16" x14ac:dyDescent="0.25">
      <c r="A8" t="s">
        <v>619</v>
      </c>
      <c r="B8" t="s">
        <v>620</v>
      </c>
      <c r="C8" s="33">
        <f>IF(VLOOKUP($A8,'Enroll Data as of January 2025'!$A$3:$T$322,20,FALSE)&gt;0,0,VLOOKUP($A8,'Enroll Data as of January 2025'!$A$3:$T$322,20,FALSE)*'2024-25 PSES Compliance'!$G$13)</f>
        <v>-0.32544000000000001</v>
      </c>
      <c r="D8" s="33">
        <f>IF(VLOOKUP($A8,'Enroll Data as of January 2025'!$A$3:$T$322,20,FALSE)&gt;0,0,VLOOKUP($A8,'Enroll Data as of January 2025'!$A$3:$T$322,20,FALSE)*'2024-25 PSES Compliance'!$G$14)</f>
        <v>-1.3560000000000001E-2</v>
      </c>
      <c r="E8" s="25">
        <f>ROUND($C8*CIS_Base*VLOOKUP($A8,'K3 District Data as of Jan 2025'!$A$3:$M$323,MATCH("Reg base",'K3 District Data as of Jan 2025'!$2:$2,0),FALSE),2)</f>
        <v>-27928.95</v>
      </c>
      <c r="F8" s="25">
        <f>ROUND($C8*CIS_Inc*(VLOOKUP($A8,'K3 District Data as of Jan 2025'!$A$3:$M$323,MATCH("Reg",'K3 District Data as of Jan 2025'!$2:$2,0),FALSE)+VLOOKUP($A8,'K3 District Data as of Jan 2025'!$A$3:$M$323,MATCH("Exp",'K3 District Data as of Jan 2025'!$2:$2,0),FALSE)),2)-E8</f>
        <v>-2104.8099999999977</v>
      </c>
      <c r="G8" s="25">
        <f>ROUND($D8*CLS_Base*VLOOKUP($A8,'K3 District Data as of Jan 2025'!$A$3:$M$323,MATCH("Reg base",'K3 District Data as of Jan 2025'!$2:$2,0),FALSE),2)</f>
        <v>-834.81</v>
      </c>
      <c r="H8" s="25">
        <f>ROUND($D8*CLS_Inc*VLOOKUP($A8,'K3 District Data as of Jan 2025'!$A$3:$M$323,MATCH("Reg base",'K3 District Data as of Jan 2025'!$2:$2,0),FALSE),2)-G8</f>
        <v>-62.910000000000082</v>
      </c>
      <c r="I8" s="25">
        <f t="shared" si="1"/>
        <v>-4692.43</v>
      </c>
      <c r="J8" s="25">
        <f t="shared" si="2"/>
        <v>-274.11</v>
      </c>
      <c r="K8" s="25">
        <f t="shared" si="3"/>
        <v>-5069.1000000000004</v>
      </c>
      <c r="L8" s="25">
        <f t="shared" si="4"/>
        <v>-4890.3599999999997</v>
      </c>
      <c r="M8" s="25">
        <f t="shared" si="5"/>
        <v>-180.82</v>
      </c>
      <c r="N8" s="25">
        <f t="shared" si="6"/>
        <v>-11.42</v>
      </c>
      <c r="O8" s="25">
        <f>ROUND(($C8*CIS_Inc*(VLOOKUP($A8,'K3 District Data as of Jan 2025'!$A$3:$M$323,MATCH("Reg",'K3 District Data as of Jan 2025'!$2:$2,0),FALSE)+VLOOKUP($A8,'K3 District Data as of Jan 2025'!$A$3:$M$323,MATCH("Exp",'K3 District Data as of Jan 2025'!$2:$2,0),FALSE))/180)*3+(($C8*CIS_Inc*(VLOOKUP($A8,'K3 District Data as of Jan 2025'!$A$3:$M$323,MATCH("Reg",'K3 District Data as of Jan 2025'!$2:$2,0),FALSE)+VLOOKUP($A8,'K3 District Data as of Jan 2025'!$A$3:$M$323,MATCH("Exp",'K3 District Data as of Jan 2025'!$2:$2,0),FALSE))/180)*3)*CIS_Ben_Inc,2)</f>
        <v>-588.21</v>
      </c>
      <c r="P8" s="23">
        <f t="shared" si="7"/>
        <v>-46637.93</v>
      </c>
    </row>
    <row r="9" spans="1:16" x14ac:dyDescent="0.25">
      <c r="A9" t="s">
        <v>264</v>
      </c>
      <c r="B9" t="s">
        <v>560</v>
      </c>
      <c r="C9" s="33">
        <f>IF(VLOOKUP($A9,'Enroll Data as of January 2025'!$A$3:$T$322,20,FALSE)&gt;0,0,VLOOKUP($A9,'Enroll Data as of January 2025'!$A$3:$T$322,20,FALSE)*'2024-25 PSES Compliance'!$G$13)</f>
        <v>-0.19488</v>
      </c>
      <c r="D9" s="33">
        <f>IF(VLOOKUP($A9,'Enroll Data as of January 2025'!$A$3:$T$322,20,FALSE)&gt;0,0,VLOOKUP($A9,'Enroll Data as of January 2025'!$A$3:$T$322,20,FALSE)*'2024-25 PSES Compliance'!$G$14)</f>
        <v>-8.1200000000000005E-3</v>
      </c>
      <c r="E9" s="25">
        <f>ROUND($C9*CIS_Base*VLOOKUP($A9,'K3 District Data as of Jan 2025'!$A$3:$M$323,MATCH("Reg base",'K3 District Data as of Jan 2025'!$2:$2,0),FALSE),2)</f>
        <v>-14173.23</v>
      </c>
      <c r="F9" s="25">
        <f>ROUND($C9*CIS_Inc*(VLOOKUP($A9,'K3 District Data as of Jan 2025'!$A$3:$M$323,MATCH("Reg",'K3 District Data as of Jan 2025'!$2:$2,0),FALSE)+VLOOKUP($A9,'K3 District Data as of Jan 2025'!$A$3:$M$323,MATCH("Exp",'K3 District Data as of Jan 2025'!$2:$2,0),FALSE)),2)-E9</f>
        <v>-1068.1400000000012</v>
      </c>
      <c r="G9" s="25">
        <f>ROUND($D9*CLS_Base*VLOOKUP($A9,'K3 District Data as of Jan 2025'!$A$3:$M$323,MATCH("Reg base",'K3 District Data as of Jan 2025'!$2:$2,0),FALSE),2)</f>
        <v>-423.64</v>
      </c>
      <c r="H9" s="25">
        <f>ROUND($D9*CLS_Inc*VLOOKUP($A9,'K3 District Data as of Jan 2025'!$A$3:$M$323,MATCH("Reg base",'K3 District Data as of Jan 2025'!$2:$2,0),FALSE),2)-G9</f>
        <v>-31.930000000000007</v>
      </c>
      <c r="I9" s="25">
        <f t="shared" si="1"/>
        <v>-2809.92</v>
      </c>
      <c r="J9" s="25">
        <f t="shared" si="2"/>
        <v>-164.14</v>
      </c>
      <c r="K9" s="25">
        <f t="shared" si="3"/>
        <v>-2572.44</v>
      </c>
      <c r="L9" s="25">
        <f t="shared" si="4"/>
        <v>-2481.73</v>
      </c>
      <c r="M9" s="25">
        <f t="shared" si="5"/>
        <v>-91.76</v>
      </c>
      <c r="N9" s="25">
        <f t="shared" si="6"/>
        <v>-5.8</v>
      </c>
      <c r="O9" s="25">
        <f>ROUND(($C9*CIS_Inc*(VLOOKUP($A9,'K3 District Data as of Jan 2025'!$A$3:$M$323,MATCH("Reg",'K3 District Data as of Jan 2025'!$2:$2,0),FALSE)+VLOOKUP($A9,'K3 District Data as of Jan 2025'!$A$3:$M$323,MATCH("Exp",'K3 District Data as of Jan 2025'!$2:$2,0),FALSE))/180)*3+(($C9*CIS_Inc*(VLOOKUP($A9,'K3 District Data as of Jan 2025'!$A$3:$M$323,MATCH("Reg",'K3 District Data as of Jan 2025'!$2:$2,0),FALSE)+VLOOKUP($A9,'K3 District Data as of Jan 2025'!$A$3:$M$323,MATCH("Exp",'K3 District Data as of Jan 2025'!$2:$2,0),FALSE))/180)*3)*CIS_Ben_Inc,2)</f>
        <v>-298.5</v>
      </c>
      <c r="P9" s="23">
        <f t="shared" si="7"/>
        <v>-24121.229999999996</v>
      </c>
    </row>
    <row r="10" spans="1:16" x14ac:dyDescent="0.25">
      <c r="A10" t="s">
        <v>294</v>
      </c>
      <c r="B10" t="s">
        <v>590</v>
      </c>
      <c r="C10" s="33">
        <f>IF(VLOOKUP($A10,'Enroll Data as of January 2025'!$A$3:$T$322,20,FALSE)&gt;0,0,VLOOKUP($A10,'Enroll Data as of January 2025'!$A$3:$T$322,20,FALSE)*'2024-25 PSES Compliance'!$G$13)</f>
        <v>-2.0774400000000002</v>
      </c>
      <c r="D10" s="33">
        <f>IF(VLOOKUP($A10,'Enroll Data as of January 2025'!$A$3:$T$322,20,FALSE)&gt;0,0,VLOOKUP($A10,'Enroll Data as of January 2025'!$A$3:$T$322,20,FALSE)*'2024-25 PSES Compliance'!$G$14)</f>
        <v>-8.6560000000000012E-2</v>
      </c>
      <c r="E10" s="25">
        <f>ROUND($C10*CIS_Base*VLOOKUP($A10,'K3 District Data as of Jan 2025'!$A$3:$M$323,MATCH("Reg base",'K3 District Data as of Jan 2025'!$2:$2,0),FALSE),2)</f>
        <v>-151088.06</v>
      </c>
      <c r="F10" s="25">
        <f>ROUND($C10*CIS_Inc*(VLOOKUP($A10,'K3 District Data as of Jan 2025'!$A$3:$M$323,MATCH("Reg",'K3 District Data as of Jan 2025'!$2:$2,0),FALSE)+VLOOKUP($A10,'K3 District Data as of Jan 2025'!$A$3:$M$323,MATCH("Exp",'K3 District Data as of Jan 2025'!$2:$2,0),FALSE)),2)-E10</f>
        <v>-11386.440000000002</v>
      </c>
      <c r="G10" s="25">
        <f>ROUND($D10*CLS_Base*VLOOKUP($A10,'K3 District Data as of Jan 2025'!$A$3:$M$323,MATCH("Reg base",'K3 District Data as of Jan 2025'!$2:$2,0),FALSE),2)</f>
        <v>-4516.09</v>
      </c>
      <c r="H10" s="25">
        <f>ROUND($D10*CLS_Inc*VLOOKUP($A10,'K3 District Data as of Jan 2025'!$A$3:$M$323,MATCH("Reg base",'K3 District Data as of Jan 2025'!$2:$2,0),FALSE),2)-G10</f>
        <v>-340.35999999999967</v>
      </c>
      <c r="I10" s="25">
        <f t="shared" si="1"/>
        <v>-29954.03</v>
      </c>
      <c r="J10" s="25">
        <f t="shared" si="2"/>
        <v>-1749.77</v>
      </c>
      <c r="K10" s="25">
        <f t="shared" si="3"/>
        <v>-27422.48</v>
      </c>
      <c r="L10" s="25">
        <f t="shared" si="4"/>
        <v>-26455.52</v>
      </c>
      <c r="M10" s="25">
        <f t="shared" si="5"/>
        <v>-978.19</v>
      </c>
      <c r="N10" s="25">
        <f t="shared" si="6"/>
        <v>-61.81</v>
      </c>
      <c r="O10" s="25">
        <f>ROUND(($C10*CIS_Inc*(VLOOKUP($A10,'K3 District Data as of Jan 2025'!$A$3:$M$323,MATCH("Reg",'K3 District Data as of Jan 2025'!$2:$2,0),FALSE)+VLOOKUP($A10,'K3 District Data as of Jan 2025'!$A$3:$M$323,MATCH("Exp",'K3 District Data as of Jan 2025'!$2:$2,0),FALSE))/180)*3+(($C10*CIS_Inc*(VLOOKUP($A10,'K3 District Data as of Jan 2025'!$A$3:$M$323,MATCH("Reg",'K3 District Data as of Jan 2025'!$2:$2,0),FALSE)+VLOOKUP($A10,'K3 District Data as of Jan 2025'!$A$3:$M$323,MATCH("Exp",'K3 District Data as of Jan 2025'!$2:$2,0),FALSE))/180)*3)*CIS_Ben_Inc,2)</f>
        <v>-3182.06</v>
      </c>
      <c r="P10" s="23">
        <f t="shared" si="7"/>
        <v>-257134.80999999997</v>
      </c>
    </row>
    <row r="11" spans="1:16" x14ac:dyDescent="0.25">
      <c r="A11" t="s">
        <v>50</v>
      </c>
      <c r="B11" t="s">
        <v>346</v>
      </c>
      <c r="C11" s="33">
        <f>IF(VLOOKUP($A11,'Enroll Data as of January 2025'!$A$3:$T$322,20,FALSE)&gt;0,0,VLOOKUP($A11,'Enroll Data as of January 2025'!$A$3:$T$322,20,FALSE)*'2024-25 PSES Compliance'!$G$13)</f>
        <v>-0.84575999999999996</v>
      </c>
      <c r="D11" s="33">
        <f>IF(VLOOKUP($A11,'Enroll Data as of January 2025'!$A$3:$T$322,20,FALSE)&gt;0,0,VLOOKUP($A11,'Enroll Data as of January 2025'!$A$3:$T$322,20,FALSE)*'2024-25 PSES Compliance'!$G$14)</f>
        <v>-3.524E-2</v>
      </c>
      <c r="E11" s="25">
        <f>ROUND($C11*CIS_Base*VLOOKUP($A11,'K3 District Data as of Jan 2025'!$A$3:$M$323,MATCH("Reg base",'K3 District Data as of Jan 2025'!$2:$2,0),FALSE),2)</f>
        <v>-61510.43</v>
      </c>
      <c r="F11" s="25">
        <f>ROUND($C11*CIS_Inc*(VLOOKUP($A11,'K3 District Data as of Jan 2025'!$A$3:$M$323,MATCH("Reg",'K3 District Data as of Jan 2025'!$2:$2,0),FALSE)+VLOOKUP($A11,'K3 District Data as of Jan 2025'!$A$3:$M$323,MATCH("Exp",'K3 District Data as of Jan 2025'!$2:$2,0),FALSE)),2)-E11</f>
        <v>-4635.6099999999933</v>
      </c>
      <c r="G11" s="25">
        <f>ROUND($D11*CLS_Base*VLOOKUP($A11,'K3 District Data as of Jan 2025'!$A$3:$M$323,MATCH("Reg base",'K3 District Data as of Jan 2025'!$2:$2,0),FALSE),2)</f>
        <v>-1838.58</v>
      </c>
      <c r="H11" s="25">
        <f>ROUND($D11*CLS_Inc*VLOOKUP($A11,'K3 District Data as of Jan 2025'!$A$3:$M$323,MATCH("Reg base",'K3 District Data as of Jan 2025'!$2:$2,0),FALSE),2)-G11</f>
        <v>-138.56000000000017</v>
      </c>
      <c r="I11" s="25">
        <f t="shared" si="1"/>
        <v>-12194.78</v>
      </c>
      <c r="J11" s="25">
        <f t="shared" si="2"/>
        <v>-712.36</v>
      </c>
      <c r="K11" s="25">
        <f t="shared" si="3"/>
        <v>-11164.14</v>
      </c>
      <c r="L11" s="25">
        <f t="shared" si="4"/>
        <v>-10770.48</v>
      </c>
      <c r="M11" s="25">
        <f t="shared" si="5"/>
        <v>-398.24</v>
      </c>
      <c r="N11" s="25">
        <f t="shared" si="6"/>
        <v>-25.16</v>
      </c>
      <c r="O11" s="25">
        <f>ROUND(($C11*CIS_Inc*(VLOOKUP($A11,'K3 District Data as of Jan 2025'!$A$3:$M$323,MATCH("Reg",'K3 District Data as of Jan 2025'!$2:$2,0),FALSE)+VLOOKUP($A11,'K3 District Data as of Jan 2025'!$A$3:$M$323,MATCH("Exp",'K3 District Data as of Jan 2025'!$2:$2,0),FALSE))/180)*3+(($C11*CIS_Inc*(VLOOKUP($A11,'K3 District Data as of Jan 2025'!$A$3:$M$323,MATCH("Reg",'K3 District Data as of Jan 2025'!$2:$2,0),FALSE)+VLOOKUP($A11,'K3 District Data as of Jan 2025'!$A$3:$M$323,MATCH("Exp",'K3 District Data as of Jan 2025'!$2:$2,0),FALSE))/180)*3)*CIS_Ben_Inc,2)</f>
        <v>-1295.47</v>
      </c>
      <c r="P11" s="23">
        <f t="shared" si="7"/>
        <v>-104683.81</v>
      </c>
    </row>
    <row r="12" spans="1:16" x14ac:dyDescent="0.25">
      <c r="A12" t="s">
        <v>160</v>
      </c>
      <c r="B12" t="s">
        <v>456</v>
      </c>
      <c r="C12" s="33">
        <f>IF(VLOOKUP($A12,'Enroll Data as of January 2025'!$A$3:$T$322,20,FALSE)&gt;0,0,VLOOKUP($A12,'Enroll Data as of January 2025'!$A$3:$T$322,20,FALSE)*'2024-25 PSES Compliance'!$G$13)</f>
        <v>-0.312</v>
      </c>
      <c r="D12" s="33">
        <f>IF(VLOOKUP($A12,'Enroll Data as of January 2025'!$A$3:$T$322,20,FALSE)&gt;0,0,VLOOKUP($A12,'Enroll Data as of January 2025'!$A$3:$T$322,20,FALSE)*'2024-25 PSES Compliance'!$G$14)</f>
        <v>-1.3000000000000001E-2</v>
      </c>
      <c r="E12" s="25">
        <f>ROUND($C12*CIS_Base*VLOOKUP($A12,'K3 District Data as of Jan 2025'!$A$3:$M$323,MATCH("Reg base",'K3 District Data as of Jan 2025'!$2:$2,0),FALSE),2)</f>
        <v>-24052.6</v>
      </c>
      <c r="F12" s="25">
        <f>ROUND($C12*CIS_Inc*(VLOOKUP($A12,'K3 District Data as of Jan 2025'!$A$3:$M$323,MATCH("Reg",'K3 District Data as of Jan 2025'!$2:$2,0),FALSE)+VLOOKUP($A12,'K3 District Data as of Jan 2025'!$A$3:$M$323,MATCH("Exp",'K3 District Data as of Jan 2025'!$2:$2,0),FALSE)),2)-E12</f>
        <v>-1812.6800000000003</v>
      </c>
      <c r="G12" s="25">
        <f>ROUND($D12*CLS_Base*VLOOKUP($A12,'K3 District Data as of Jan 2025'!$A$3:$M$323,MATCH("Reg base",'K3 District Data as of Jan 2025'!$2:$2,0),FALSE),2)</f>
        <v>-718.94</v>
      </c>
      <c r="H12" s="25">
        <f>ROUND($D12*CLS_Inc*VLOOKUP($A12,'K3 District Data as of Jan 2025'!$A$3:$M$323,MATCH("Reg base",'K3 District Data as of Jan 2025'!$2:$2,0),FALSE),2)-G12</f>
        <v>-54.189999999999941</v>
      </c>
      <c r="I12" s="25">
        <f t="shared" si="1"/>
        <v>-4498.6400000000003</v>
      </c>
      <c r="J12" s="25">
        <f t="shared" si="2"/>
        <v>-262.79000000000002</v>
      </c>
      <c r="K12" s="25">
        <f t="shared" si="3"/>
        <v>-4365.55</v>
      </c>
      <c r="L12" s="25">
        <f t="shared" si="4"/>
        <v>-4211.6099999999997</v>
      </c>
      <c r="M12" s="25">
        <f t="shared" si="5"/>
        <v>-155.72</v>
      </c>
      <c r="N12" s="25">
        <f t="shared" si="6"/>
        <v>-9.84</v>
      </c>
      <c r="O12" s="25">
        <f>ROUND(($C12*CIS_Inc*(VLOOKUP($A12,'K3 District Data as of Jan 2025'!$A$3:$M$323,MATCH("Reg",'K3 District Data as of Jan 2025'!$2:$2,0),FALSE)+VLOOKUP($A12,'K3 District Data as of Jan 2025'!$A$3:$M$323,MATCH("Exp",'K3 District Data as of Jan 2025'!$2:$2,0),FALSE))/180)*3+(($C12*CIS_Inc*(VLOOKUP($A12,'K3 District Data as of Jan 2025'!$A$3:$M$323,MATCH("Reg",'K3 District Data as of Jan 2025'!$2:$2,0),FALSE)+VLOOKUP($A12,'K3 District Data as of Jan 2025'!$A$3:$M$323,MATCH("Exp",'K3 District Data as of Jan 2025'!$2:$2,0),FALSE))/180)*3)*CIS_Ben_Inc,2)</f>
        <v>-506.57</v>
      </c>
      <c r="P12" s="23">
        <f t="shared" si="7"/>
        <v>-40649.129999999997</v>
      </c>
    </row>
    <row r="13" spans="1:16" x14ac:dyDescent="0.25">
      <c r="A13" t="s">
        <v>266</v>
      </c>
      <c r="B13" t="s">
        <v>562</v>
      </c>
      <c r="C13" s="33">
        <f>IF(VLOOKUP($A13,'Enroll Data as of January 2025'!$A$3:$T$322,20,FALSE)&gt;0,0,VLOOKUP($A13,'Enroll Data as of January 2025'!$A$3:$T$322,20,FALSE)*'2024-25 PSES Compliance'!$G$13)</f>
        <v>-0.38591999999999999</v>
      </c>
      <c r="D13" s="33">
        <f>IF(VLOOKUP($A13,'Enroll Data as of January 2025'!$A$3:$T$322,20,FALSE)&gt;0,0,VLOOKUP($A13,'Enroll Data as of January 2025'!$A$3:$T$322,20,FALSE)*'2024-25 PSES Compliance'!$G$14)</f>
        <v>-1.6080000000000001E-2</v>
      </c>
      <c r="E13" s="25">
        <f>ROUND($C13*CIS_Base*VLOOKUP($A13,'K3 District Data as of Jan 2025'!$A$3:$M$323,MATCH("Reg base",'K3 District Data as of Jan 2025'!$2:$2,0),FALSE),2)</f>
        <v>-28067.19</v>
      </c>
      <c r="F13" s="25">
        <f>ROUND($C13*CIS_Inc*(VLOOKUP($A13,'K3 District Data as of Jan 2025'!$A$3:$M$323,MATCH("Reg",'K3 District Data as of Jan 2025'!$2:$2,0),FALSE)+VLOOKUP($A13,'K3 District Data as of Jan 2025'!$A$3:$M$323,MATCH("Exp",'K3 District Data as of Jan 2025'!$2:$2,0),FALSE)),2)-E13</f>
        <v>-2115.2299999999996</v>
      </c>
      <c r="G13" s="25">
        <f>ROUND($D13*CLS_Base*VLOOKUP($A13,'K3 District Data as of Jan 2025'!$A$3:$M$323,MATCH("Reg base",'K3 District Data as of Jan 2025'!$2:$2,0),FALSE),2)</f>
        <v>-838.94</v>
      </c>
      <c r="H13" s="25">
        <f>ROUND($D13*CLS_Inc*VLOOKUP($A13,'K3 District Data as of Jan 2025'!$A$3:$M$323,MATCH("Reg base",'K3 District Data as of Jan 2025'!$2:$2,0),FALSE),2)-G13</f>
        <v>-63.229999999999905</v>
      </c>
      <c r="I13" s="25">
        <f t="shared" si="1"/>
        <v>-5564.47</v>
      </c>
      <c r="J13" s="25">
        <f t="shared" si="2"/>
        <v>-325.05</v>
      </c>
      <c r="K13" s="25">
        <f t="shared" si="3"/>
        <v>-5094.1899999999996</v>
      </c>
      <c r="L13" s="25">
        <f t="shared" si="4"/>
        <v>-4914.5600000000004</v>
      </c>
      <c r="M13" s="25">
        <f t="shared" si="5"/>
        <v>-181.71</v>
      </c>
      <c r="N13" s="25">
        <f t="shared" si="6"/>
        <v>-11.48</v>
      </c>
      <c r="O13" s="25">
        <f>ROUND(($C13*CIS_Inc*(VLOOKUP($A13,'K3 District Data as of Jan 2025'!$A$3:$M$323,MATCH("Reg",'K3 District Data as of Jan 2025'!$2:$2,0),FALSE)+VLOOKUP($A13,'K3 District Data as of Jan 2025'!$A$3:$M$323,MATCH("Exp",'K3 District Data as of Jan 2025'!$2:$2,0),FALSE))/180)*3+(($C13*CIS_Inc*(VLOOKUP($A13,'K3 District Data as of Jan 2025'!$A$3:$M$323,MATCH("Reg",'K3 District Data as of Jan 2025'!$2:$2,0),FALSE)+VLOOKUP($A13,'K3 District Data as of Jan 2025'!$A$3:$M$323,MATCH("Exp",'K3 District Data as of Jan 2025'!$2:$2,0),FALSE))/180)*3)*CIS_Ben_Inc,2)</f>
        <v>-591.12</v>
      </c>
      <c r="P13" s="23">
        <f t="shared" si="7"/>
        <v>-47767.170000000006</v>
      </c>
    </row>
    <row r="14" spans="1:16" x14ac:dyDescent="0.25">
      <c r="A14" t="s">
        <v>127</v>
      </c>
      <c r="B14" t="s">
        <v>423</v>
      </c>
      <c r="C14" s="33">
        <f>IF(VLOOKUP($A14,'Enroll Data as of January 2025'!$A$3:$T$322,20,FALSE)&gt;0,0,VLOOKUP($A14,'Enroll Data as of January 2025'!$A$3:$T$322,20,FALSE)*'2024-25 PSES Compliance'!$G$13)</f>
        <v>-1.47648</v>
      </c>
      <c r="D14" s="33">
        <f>IF(VLOOKUP($A14,'Enroll Data as of January 2025'!$A$3:$T$322,20,FALSE)&gt;0,0,VLOOKUP($A14,'Enroll Data as of January 2025'!$A$3:$T$322,20,FALSE)*'2024-25 PSES Compliance'!$G$14)</f>
        <v>-6.1520000000000005E-2</v>
      </c>
      <c r="E14" s="25">
        <f>ROUND($C14*CIS_Base*VLOOKUP($A14,'K3 District Data as of Jan 2025'!$A$3:$M$323,MATCH("Reg base",'K3 District Data as of Jan 2025'!$2:$2,0),FALSE),2)</f>
        <v>-113824.32000000001</v>
      </c>
      <c r="F14" s="25">
        <f>ROUND($C14*CIS_Inc*(VLOOKUP($A14,'K3 District Data as of Jan 2025'!$A$3:$M$323,MATCH("Reg",'K3 District Data as of Jan 2025'!$2:$2,0),FALSE)+VLOOKUP($A14,'K3 District Data as of Jan 2025'!$A$3:$M$323,MATCH("Exp",'K3 District Data as of Jan 2025'!$2:$2,0),FALSE)),2)-E14</f>
        <v>-8578.1499999999942</v>
      </c>
      <c r="G14" s="25">
        <f>ROUND($D14*CLS_Base*VLOOKUP($A14,'K3 District Data as of Jan 2025'!$A$3:$M$323,MATCH("Reg base",'K3 District Data as of Jan 2025'!$2:$2,0),FALSE),2)</f>
        <v>-3402.26</v>
      </c>
      <c r="H14" s="25">
        <f>ROUND($D14*CLS_Inc*VLOOKUP($A14,'K3 District Data as of Jan 2025'!$A$3:$M$323,MATCH("Reg base",'K3 District Data as of Jan 2025'!$2:$2,0),FALSE),2)-G14</f>
        <v>-256.40999999999985</v>
      </c>
      <c r="I14" s="25">
        <f t="shared" si="1"/>
        <v>-21288.95</v>
      </c>
      <c r="J14" s="25">
        <f t="shared" si="2"/>
        <v>-1243.5899999999999</v>
      </c>
      <c r="K14" s="25">
        <f t="shared" si="3"/>
        <v>-20659.11</v>
      </c>
      <c r="L14" s="25">
        <f t="shared" si="4"/>
        <v>-19930.64</v>
      </c>
      <c r="M14" s="25">
        <f t="shared" si="5"/>
        <v>-736.93</v>
      </c>
      <c r="N14" s="25">
        <f t="shared" si="6"/>
        <v>-46.56</v>
      </c>
      <c r="O14" s="25">
        <f>ROUND(($C14*CIS_Inc*(VLOOKUP($A14,'K3 District Data as of Jan 2025'!$A$3:$M$323,MATCH("Reg",'K3 District Data as of Jan 2025'!$2:$2,0),FALSE)+VLOOKUP($A14,'K3 District Data as of Jan 2025'!$A$3:$M$323,MATCH("Exp",'K3 District Data as of Jan 2025'!$2:$2,0),FALSE))/180)*3+(($C14*CIS_Inc*(VLOOKUP($A14,'K3 District Data as of Jan 2025'!$A$3:$M$323,MATCH("Reg",'K3 District Data as of Jan 2025'!$2:$2,0),FALSE)+VLOOKUP($A14,'K3 District Data as of Jan 2025'!$A$3:$M$323,MATCH("Exp",'K3 District Data as of Jan 2025'!$2:$2,0),FALSE))/180)*3)*CIS_Ben_Inc,2)</f>
        <v>-2397.25</v>
      </c>
      <c r="P14" s="23">
        <f t="shared" si="7"/>
        <v>-192364.16999999998</v>
      </c>
    </row>
    <row r="15" spans="1:16" x14ac:dyDescent="0.25">
      <c r="A15" t="s">
        <v>81</v>
      </c>
      <c r="B15" t="s">
        <v>377</v>
      </c>
      <c r="C15" s="33">
        <f>IF(VLOOKUP($A15,'Enroll Data as of January 2025'!$A$3:$T$322,20,FALSE)&gt;0,0,VLOOKUP($A15,'Enroll Data as of January 2025'!$A$3:$T$322,20,FALSE)*'2024-25 PSES Compliance'!$G$13)</f>
        <v>0</v>
      </c>
      <c r="D15" s="33">
        <f>IF(VLOOKUP($A15,'Enroll Data as of January 2025'!$A$3:$T$322,20,FALSE)&gt;0,0,VLOOKUP($A15,'Enroll Data as of January 2025'!$A$3:$T$322,20,FALSE)*'2024-25 PSES Compliance'!$G$14)</f>
        <v>0</v>
      </c>
      <c r="E15" s="25">
        <f>ROUND($C15*CIS_Base*VLOOKUP($A15,'K3 District Data as of Jan 2025'!$A$3:$M$323,MATCH("Reg base",'K3 District Data as of Jan 2025'!$2:$2,0),FALSE),2)</f>
        <v>0</v>
      </c>
      <c r="F15" s="25">
        <f>ROUND($C15*CIS_Inc*(VLOOKUP($A15,'K3 District Data as of Jan 2025'!$A$3:$M$323,MATCH("Reg",'K3 District Data as of Jan 2025'!$2:$2,0),FALSE)+VLOOKUP($A15,'K3 District Data as of Jan 2025'!$A$3:$M$323,MATCH("Exp",'K3 District Data as of Jan 2025'!$2:$2,0),FALSE)),2)-E15</f>
        <v>0</v>
      </c>
      <c r="G15" s="25">
        <f>ROUND($D15*CLS_Base*VLOOKUP($A15,'K3 District Data as of Jan 2025'!$A$3:$M$323,MATCH("Reg base",'K3 District Data as of Jan 2025'!$2:$2,0),FALSE),2)</f>
        <v>0</v>
      </c>
      <c r="H15" s="25">
        <f>ROUND($D15*CLS_Inc*VLOOKUP($A15,'K3 District Data as of Jan 2025'!$A$3:$M$323,MATCH("Reg base",'K3 District Data as of Jan 2025'!$2:$2,0),FALSE),2)-G15</f>
        <v>0</v>
      </c>
      <c r="I15" s="25">
        <f t="shared" si="1"/>
        <v>0</v>
      </c>
      <c r="J15" s="25">
        <f t="shared" si="2"/>
        <v>0</v>
      </c>
      <c r="K15" s="25">
        <f t="shared" si="3"/>
        <v>0</v>
      </c>
      <c r="L15" s="25">
        <f t="shared" si="4"/>
        <v>0</v>
      </c>
      <c r="M15" s="25">
        <f t="shared" si="5"/>
        <v>0</v>
      </c>
      <c r="N15" s="25">
        <f t="shared" si="6"/>
        <v>0</v>
      </c>
      <c r="O15" s="25">
        <f>ROUND(($C15*CIS_Inc*(VLOOKUP($A15,'K3 District Data as of Jan 2025'!$A$3:$M$323,MATCH("Reg",'K3 District Data as of Jan 2025'!$2:$2,0),FALSE)+VLOOKUP($A15,'K3 District Data as of Jan 2025'!$A$3:$M$323,MATCH("Exp",'K3 District Data as of Jan 2025'!$2:$2,0),FALSE))/180)*3+(($C15*CIS_Inc*(VLOOKUP($A15,'K3 District Data as of Jan 2025'!$A$3:$M$323,MATCH("Reg",'K3 District Data as of Jan 2025'!$2:$2,0),FALSE)+VLOOKUP($A15,'K3 District Data as of Jan 2025'!$A$3:$M$323,MATCH("Exp",'K3 District Data as of Jan 2025'!$2:$2,0),FALSE))/180)*3)*CIS_Ben_Inc,2)</f>
        <v>0</v>
      </c>
      <c r="P15" s="23">
        <f t="shared" si="7"/>
        <v>0</v>
      </c>
    </row>
    <row r="16" spans="1:16" x14ac:dyDescent="0.25">
      <c r="A16" t="s">
        <v>300</v>
      </c>
      <c r="B16" t="s">
        <v>596</v>
      </c>
      <c r="C16" s="33">
        <f>IF(VLOOKUP($A16,'Enroll Data as of January 2025'!$A$3:$T$322,20,FALSE)&gt;0,0,VLOOKUP($A16,'Enroll Data as of January 2025'!$A$3:$T$322,20,FALSE)*'2024-25 PSES Compliance'!$G$13)</f>
        <v>-1.4831999999999999</v>
      </c>
      <c r="D16" s="33">
        <f>IF(VLOOKUP($A16,'Enroll Data as of January 2025'!$A$3:$T$322,20,FALSE)&gt;0,0,VLOOKUP($A16,'Enroll Data as of January 2025'!$A$3:$T$322,20,FALSE)*'2024-25 PSES Compliance'!$G$14)</f>
        <v>-6.1800000000000001E-2</v>
      </c>
      <c r="E16" s="25">
        <f>ROUND($C16*CIS_Base*VLOOKUP($A16,'K3 District Data as of Jan 2025'!$A$3:$M$323,MATCH("Reg base",'K3 District Data as of Jan 2025'!$2:$2,0),FALSE),2)</f>
        <v>-107870.17</v>
      </c>
      <c r="F16" s="25">
        <f>ROUND($C16*CIS_Inc*(VLOOKUP($A16,'K3 District Data as of Jan 2025'!$A$3:$M$323,MATCH("Reg",'K3 District Data as of Jan 2025'!$2:$2,0),FALSE)+VLOOKUP($A16,'K3 District Data as of Jan 2025'!$A$3:$M$323,MATCH("Exp",'K3 District Data as of Jan 2025'!$2:$2,0),FALSE)),2)-E16</f>
        <v>-8129.4199999999983</v>
      </c>
      <c r="G16" s="25">
        <f>ROUND($D16*CLS_Base*VLOOKUP($A16,'K3 District Data as of Jan 2025'!$A$3:$M$323,MATCH("Reg base",'K3 District Data as of Jan 2025'!$2:$2,0),FALSE),2)</f>
        <v>-3224.29</v>
      </c>
      <c r="H16" s="25">
        <f>ROUND($D16*CLS_Inc*VLOOKUP($A16,'K3 District Data as of Jan 2025'!$A$3:$M$323,MATCH("Reg base",'K3 District Data as of Jan 2025'!$2:$2,0),FALSE),2)-G16</f>
        <v>-243</v>
      </c>
      <c r="I16" s="25">
        <f t="shared" si="1"/>
        <v>-21385.85</v>
      </c>
      <c r="J16" s="25">
        <f t="shared" si="2"/>
        <v>-1249.25</v>
      </c>
      <c r="K16" s="25">
        <f t="shared" si="3"/>
        <v>-19578.439999999999</v>
      </c>
      <c r="L16" s="25">
        <f t="shared" si="4"/>
        <v>-18888.07</v>
      </c>
      <c r="M16" s="25">
        <f t="shared" si="5"/>
        <v>-698.38</v>
      </c>
      <c r="N16" s="25">
        <f t="shared" si="6"/>
        <v>-44.13</v>
      </c>
      <c r="O16" s="25">
        <f>ROUND(($C16*CIS_Inc*(VLOOKUP($A16,'K3 District Data as of Jan 2025'!$A$3:$M$323,MATCH("Reg",'K3 District Data as of Jan 2025'!$2:$2,0),FALSE)+VLOOKUP($A16,'K3 District Data as of Jan 2025'!$A$3:$M$323,MATCH("Exp",'K3 District Data as of Jan 2025'!$2:$2,0),FALSE))/180)*3+(($C16*CIS_Inc*(VLOOKUP($A16,'K3 District Data as of Jan 2025'!$A$3:$M$323,MATCH("Reg",'K3 District Data as of Jan 2025'!$2:$2,0),FALSE)+VLOOKUP($A16,'K3 District Data as of Jan 2025'!$A$3:$M$323,MATCH("Exp",'K3 District Data as of Jan 2025'!$2:$2,0),FALSE))/180)*3)*CIS_Ben_Inc,2)</f>
        <v>-2271.85</v>
      </c>
      <c r="P16" s="23">
        <f t="shared" si="7"/>
        <v>-183582.85</v>
      </c>
    </row>
    <row r="17" spans="1:16" x14ac:dyDescent="0.25">
      <c r="A17" t="s">
        <v>159</v>
      </c>
      <c r="B17" t="s">
        <v>455</v>
      </c>
      <c r="C17" s="33">
        <f>IF(VLOOKUP($A17,'Enroll Data as of January 2025'!$A$3:$T$322,20,FALSE)&gt;0,0,VLOOKUP($A17,'Enroll Data as of January 2025'!$A$3:$T$322,20,FALSE)*'2024-25 PSES Compliance'!$G$13)</f>
        <v>-0.67295999999999989</v>
      </c>
      <c r="D17" s="33">
        <f>IF(VLOOKUP($A17,'Enroll Data as of January 2025'!$A$3:$T$322,20,FALSE)&gt;0,0,VLOOKUP($A17,'Enroll Data as of January 2025'!$A$3:$T$322,20,FALSE)*'2024-25 PSES Compliance'!$G$14)</f>
        <v>-2.8039999999999999E-2</v>
      </c>
      <c r="E17" s="25">
        <f>ROUND($C17*CIS_Base*VLOOKUP($A17,'K3 District Data as of Jan 2025'!$A$3:$M$323,MATCH("Reg base",'K3 District Data as of Jan 2025'!$2:$2,0),FALSE),2)</f>
        <v>-48943.03</v>
      </c>
      <c r="F17" s="25">
        <f>ROUND($C17*CIS_Inc*(VLOOKUP($A17,'K3 District Data as of Jan 2025'!$A$3:$M$323,MATCH("Reg",'K3 District Data as of Jan 2025'!$2:$2,0),FALSE)+VLOOKUP($A17,'K3 District Data as of Jan 2025'!$A$3:$M$323,MATCH("Exp",'K3 District Data as of Jan 2025'!$2:$2,0),FALSE)),2)-E17</f>
        <v>-3688.5</v>
      </c>
      <c r="G17" s="25">
        <f>ROUND($D17*CLS_Base*VLOOKUP($A17,'K3 District Data as of Jan 2025'!$A$3:$M$323,MATCH("Reg base",'K3 District Data as of Jan 2025'!$2:$2,0),FALSE),2)</f>
        <v>-1462.93</v>
      </c>
      <c r="H17" s="25">
        <f>ROUND($D17*CLS_Inc*VLOOKUP($A17,'K3 District Data as of Jan 2025'!$A$3:$M$323,MATCH("Reg base",'K3 District Data as of Jan 2025'!$2:$2,0),FALSE),2)-G17</f>
        <v>-110.25</v>
      </c>
      <c r="I17" s="25">
        <f t="shared" si="1"/>
        <v>-9703.2199999999993</v>
      </c>
      <c r="J17" s="25">
        <f t="shared" si="2"/>
        <v>-566.80999999999995</v>
      </c>
      <c r="K17" s="25">
        <f t="shared" si="3"/>
        <v>-8883.16</v>
      </c>
      <c r="L17" s="25">
        <f t="shared" si="4"/>
        <v>-8569.92</v>
      </c>
      <c r="M17" s="25">
        <f t="shared" si="5"/>
        <v>-316.87</v>
      </c>
      <c r="N17" s="25">
        <f t="shared" si="6"/>
        <v>-20.02</v>
      </c>
      <c r="O17" s="25">
        <f>ROUND(($C17*CIS_Inc*(VLOOKUP($A17,'K3 District Data as of Jan 2025'!$A$3:$M$323,MATCH("Reg",'K3 District Data as of Jan 2025'!$2:$2,0),FALSE)+VLOOKUP($A17,'K3 District Data as of Jan 2025'!$A$3:$M$323,MATCH("Exp",'K3 District Data as of Jan 2025'!$2:$2,0),FALSE))/180)*3+(($C17*CIS_Inc*(VLOOKUP($A17,'K3 District Data as of Jan 2025'!$A$3:$M$323,MATCH("Reg",'K3 District Data as of Jan 2025'!$2:$2,0),FALSE)+VLOOKUP($A17,'K3 District Data as of Jan 2025'!$A$3:$M$323,MATCH("Exp",'K3 District Data as of Jan 2025'!$2:$2,0),FALSE))/180)*3)*CIS_Ben_Inc,2)</f>
        <v>-1030.79</v>
      </c>
      <c r="P17" s="23">
        <f t="shared" si="7"/>
        <v>-83295.499999999985</v>
      </c>
    </row>
    <row r="18" spans="1:16" x14ac:dyDescent="0.25">
      <c r="A18" t="s">
        <v>136</v>
      </c>
      <c r="B18" t="s">
        <v>432</v>
      </c>
      <c r="C18" s="33">
        <f>IF(VLOOKUP($A18,'Enroll Data as of January 2025'!$A$3:$T$322,20,FALSE)&gt;0,0,VLOOKUP($A18,'Enroll Data as of January 2025'!$A$3:$T$322,20,FALSE)*'2024-25 PSES Compliance'!$G$13)</f>
        <v>-2.5622400000000001</v>
      </c>
      <c r="D18" s="33">
        <f>IF(VLOOKUP($A18,'Enroll Data as of January 2025'!$A$3:$T$322,20,FALSE)&gt;0,0,VLOOKUP($A18,'Enroll Data as of January 2025'!$A$3:$T$322,20,FALSE)*'2024-25 PSES Compliance'!$G$14)</f>
        <v>-0.10676000000000001</v>
      </c>
      <c r="E18" s="25">
        <f>ROUND($C18*CIS_Base*VLOOKUP($A18,'K3 District Data as of Jan 2025'!$A$3:$M$323,MATCH("Reg base",'K3 District Data as of Jan 2025'!$2:$2,0),FALSE),2)</f>
        <v>-186346.59</v>
      </c>
      <c r="F18" s="25">
        <f>ROUND($C18*CIS_Inc*(VLOOKUP($A18,'K3 District Data as of Jan 2025'!$A$3:$M$323,MATCH("Reg",'K3 District Data as of Jan 2025'!$2:$2,0),FALSE)+VLOOKUP($A18,'K3 District Data as of Jan 2025'!$A$3:$M$323,MATCH("Exp",'K3 District Data as of Jan 2025'!$2:$2,0),FALSE)),2)-E18</f>
        <v>-22059.25</v>
      </c>
      <c r="G18" s="25">
        <f>ROUND($D18*CLS_Base*VLOOKUP($A18,'K3 District Data as of Jan 2025'!$A$3:$M$323,MATCH("Reg base",'K3 District Data as of Jan 2025'!$2:$2,0),FALSE),2)</f>
        <v>-5569.99</v>
      </c>
      <c r="H18" s="25">
        <f>ROUND($D18*CLS_Inc*VLOOKUP($A18,'K3 District Data as of Jan 2025'!$A$3:$M$323,MATCH("Reg base",'K3 District Data as of Jan 2025'!$2:$2,0),FALSE),2)-G18</f>
        <v>-419.78000000000065</v>
      </c>
      <c r="I18" s="25">
        <f t="shared" si="1"/>
        <v>-36944.22</v>
      </c>
      <c r="J18" s="25">
        <f t="shared" si="2"/>
        <v>-2158.1</v>
      </c>
      <c r="K18" s="25">
        <f t="shared" si="3"/>
        <v>-33821.910000000003</v>
      </c>
      <c r="L18" s="25">
        <f t="shared" si="4"/>
        <v>-32629.29</v>
      </c>
      <c r="M18" s="25">
        <f t="shared" si="5"/>
        <v>-1206.46</v>
      </c>
      <c r="N18" s="25">
        <f t="shared" si="6"/>
        <v>-76.23</v>
      </c>
      <c r="O18" s="25">
        <f>ROUND(($C18*CIS_Inc*(VLOOKUP($A18,'K3 District Data as of Jan 2025'!$A$3:$M$323,MATCH("Reg",'K3 District Data as of Jan 2025'!$2:$2,0),FALSE)+VLOOKUP($A18,'K3 District Data as of Jan 2025'!$A$3:$M$323,MATCH("Exp",'K3 District Data as of Jan 2025'!$2:$2,0),FALSE))/180)*3+(($C18*CIS_Inc*(VLOOKUP($A18,'K3 District Data as of Jan 2025'!$A$3:$M$323,MATCH("Reg",'K3 District Data as of Jan 2025'!$2:$2,0),FALSE)+VLOOKUP($A18,'K3 District Data as of Jan 2025'!$A$3:$M$323,MATCH("Exp",'K3 District Data as of Jan 2025'!$2:$2,0),FALSE))/180)*3)*CIS_Ben_Inc,2)</f>
        <v>-4081.63</v>
      </c>
      <c r="P18" s="23">
        <f t="shared" si="7"/>
        <v>-325313.44999999995</v>
      </c>
    </row>
    <row r="19" spans="1:16" x14ac:dyDescent="0.25">
      <c r="A19" t="s">
        <v>186</v>
      </c>
      <c r="B19" t="s">
        <v>482</v>
      </c>
      <c r="C19" s="33">
        <f>IF(VLOOKUP($A19,'Enroll Data as of January 2025'!$A$3:$T$322,20,FALSE)&gt;0,0,VLOOKUP($A19,'Enroll Data as of January 2025'!$A$3:$T$322,20,FALSE)*'2024-25 PSES Compliance'!$G$13)</f>
        <v>-0.95519999999999994</v>
      </c>
      <c r="D19" s="33">
        <f>IF(VLOOKUP($A19,'Enroll Data as of January 2025'!$A$3:$T$322,20,FALSE)&gt;0,0,VLOOKUP($A19,'Enroll Data as of January 2025'!$A$3:$T$322,20,FALSE)*'2024-25 PSES Compliance'!$G$14)</f>
        <v>-3.9800000000000002E-2</v>
      </c>
      <c r="E19" s="25">
        <f>ROUND($C19*CIS_Base*VLOOKUP($A19,'K3 District Data as of Jan 2025'!$A$3:$M$323,MATCH("Reg base",'K3 District Data as of Jan 2025'!$2:$2,0),FALSE),2)</f>
        <v>-73637.97</v>
      </c>
      <c r="F19" s="25">
        <f>ROUND($C19*CIS_Inc*(VLOOKUP($A19,'K3 District Data as of Jan 2025'!$A$3:$M$323,MATCH("Reg",'K3 District Data as of Jan 2025'!$2:$2,0),FALSE)+VLOOKUP($A19,'K3 District Data as of Jan 2025'!$A$3:$M$323,MATCH("Exp",'K3 District Data as of Jan 2025'!$2:$2,0),FALSE)),2)-E19</f>
        <v>-6296.6300000000047</v>
      </c>
      <c r="G19" s="25">
        <f>ROUND($D19*CLS_Base*VLOOKUP($A19,'K3 District Data as of Jan 2025'!$A$3:$M$323,MATCH("Reg base",'K3 District Data as of Jan 2025'!$2:$2,0),FALSE),2)</f>
        <v>-2201.0700000000002</v>
      </c>
      <c r="H19" s="25">
        <f>ROUND($D19*CLS_Inc*VLOOKUP($A19,'K3 District Data as of Jan 2025'!$A$3:$M$323,MATCH("Reg base",'K3 District Data as of Jan 2025'!$2:$2,0),FALSE),2)-G19</f>
        <v>-165.88999999999987</v>
      </c>
      <c r="I19" s="25">
        <f t="shared" si="1"/>
        <v>-13772.76</v>
      </c>
      <c r="J19" s="25">
        <f t="shared" si="2"/>
        <v>-804.54</v>
      </c>
      <c r="K19" s="25">
        <f t="shared" si="3"/>
        <v>-13365.29</v>
      </c>
      <c r="L19" s="25">
        <f t="shared" si="4"/>
        <v>-12894.01</v>
      </c>
      <c r="M19" s="25">
        <f t="shared" si="5"/>
        <v>-476.75</v>
      </c>
      <c r="N19" s="25">
        <f t="shared" si="6"/>
        <v>-30.13</v>
      </c>
      <c r="O19" s="25">
        <f>ROUND(($C19*CIS_Inc*(VLOOKUP($A19,'K3 District Data as of Jan 2025'!$A$3:$M$323,MATCH("Reg",'K3 District Data as of Jan 2025'!$2:$2,0),FALSE)+VLOOKUP($A19,'K3 District Data as of Jan 2025'!$A$3:$M$323,MATCH("Exp",'K3 District Data as of Jan 2025'!$2:$2,0),FALSE))/180)*3+(($C19*CIS_Inc*(VLOOKUP($A19,'K3 District Data as of Jan 2025'!$A$3:$M$323,MATCH("Reg",'K3 District Data as of Jan 2025'!$2:$2,0),FALSE)+VLOOKUP($A19,'K3 District Data as of Jan 2025'!$A$3:$M$323,MATCH("Exp",'K3 District Data as of Jan 2025'!$2:$2,0),FALSE))/180)*3)*CIS_Ben_Inc,2)</f>
        <v>-1565.52</v>
      </c>
      <c r="P19" s="23">
        <f t="shared" si="7"/>
        <v>-125210.56</v>
      </c>
    </row>
    <row r="20" spans="1:16" x14ac:dyDescent="0.25">
      <c r="A20" t="s">
        <v>129</v>
      </c>
      <c r="B20" t="s">
        <v>425</v>
      </c>
      <c r="C20" s="33">
        <f>IF(VLOOKUP($A20,'Enroll Data as of January 2025'!$A$3:$T$322,20,FALSE)&gt;0,0,VLOOKUP($A20,'Enroll Data as of January 2025'!$A$3:$T$322,20,FALSE)*'2024-25 PSES Compliance'!$G$13)</f>
        <v>-0.52224000000000004</v>
      </c>
      <c r="D20" s="33">
        <f>IF(VLOOKUP($A20,'Enroll Data as of January 2025'!$A$3:$T$322,20,FALSE)&gt;0,0,VLOOKUP($A20,'Enroll Data as of January 2025'!$A$3:$T$322,20,FALSE)*'2024-25 PSES Compliance'!$G$14)</f>
        <v>-2.1760000000000002E-2</v>
      </c>
      <c r="E20" s="25">
        <f>ROUND($C20*CIS_Base*VLOOKUP($A20,'K3 District Data as of Jan 2025'!$A$3:$M$323,MATCH("Reg base",'K3 District Data as of Jan 2025'!$2:$2,0),FALSE),2)</f>
        <v>-37981.47</v>
      </c>
      <c r="F20" s="25">
        <f>ROUND($C20*CIS_Inc*(VLOOKUP($A20,'K3 District Data as of Jan 2025'!$A$3:$M$323,MATCH("Reg",'K3 District Data as of Jan 2025'!$2:$2,0),FALSE)+VLOOKUP($A20,'K3 District Data as of Jan 2025'!$A$3:$M$323,MATCH("Exp",'K3 District Data as of Jan 2025'!$2:$2,0),FALSE)),2)-E20</f>
        <v>-2862.4000000000015</v>
      </c>
      <c r="G20" s="25">
        <f>ROUND($D20*CLS_Base*VLOOKUP($A20,'K3 District Data as of Jan 2025'!$A$3:$M$323,MATCH("Reg base",'K3 District Data as of Jan 2025'!$2:$2,0),FALSE),2)</f>
        <v>-1135.28</v>
      </c>
      <c r="H20" s="25">
        <f>ROUND($D20*CLS_Inc*VLOOKUP($A20,'K3 District Data as of Jan 2025'!$A$3:$M$323,MATCH("Reg base",'K3 District Data as of Jan 2025'!$2:$2,0),FALSE),2)-G20</f>
        <v>-85.559999999999945</v>
      </c>
      <c r="I20" s="25">
        <f t="shared" si="1"/>
        <v>-7530.03</v>
      </c>
      <c r="J20" s="25">
        <f t="shared" si="2"/>
        <v>-439.87</v>
      </c>
      <c r="K20" s="25">
        <f t="shared" si="3"/>
        <v>-6893.64</v>
      </c>
      <c r="L20" s="25">
        <f t="shared" si="4"/>
        <v>-6650.56</v>
      </c>
      <c r="M20" s="25">
        <f t="shared" si="5"/>
        <v>-245.9</v>
      </c>
      <c r="N20" s="25">
        <f t="shared" si="6"/>
        <v>-15.54</v>
      </c>
      <c r="O20" s="25">
        <f>ROUND(($C20*CIS_Inc*(VLOOKUP($A20,'K3 District Data as of Jan 2025'!$A$3:$M$323,MATCH("Reg",'K3 District Data as of Jan 2025'!$2:$2,0),FALSE)+VLOOKUP($A20,'K3 District Data as of Jan 2025'!$A$3:$M$323,MATCH("Exp",'K3 District Data as of Jan 2025'!$2:$2,0),FALSE))/180)*3+(($C20*CIS_Inc*(VLOOKUP($A20,'K3 District Data as of Jan 2025'!$A$3:$M$323,MATCH("Reg",'K3 District Data as of Jan 2025'!$2:$2,0),FALSE)+VLOOKUP($A20,'K3 District Data as of Jan 2025'!$A$3:$M$323,MATCH("Exp",'K3 District Data as of Jan 2025'!$2:$2,0),FALSE))/180)*3)*CIS_Ben_Inc,2)</f>
        <v>-799.93</v>
      </c>
      <c r="P20" s="23">
        <f t="shared" si="7"/>
        <v>-64640.18</v>
      </c>
    </row>
    <row r="21" spans="1:16" x14ac:dyDescent="0.25">
      <c r="A21" t="s">
        <v>156</v>
      </c>
      <c r="B21" t="s">
        <v>452</v>
      </c>
      <c r="C21" s="33">
        <f>IF(VLOOKUP($A21,'Enroll Data as of January 2025'!$A$3:$T$322,20,FALSE)&gt;0,0,VLOOKUP($A21,'Enroll Data as of January 2025'!$A$3:$T$322,20,FALSE)*'2024-25 PSES Compliance'!$G$13)</f>
        <v>-0.504</v>
      </c>
      <c r="D21" s="33">
        <f>IF(VLOOKUP($A21,'Enroll Data as of January 2025'!$A$3:$T$322,20,FALSE)&gt;0,0,VLOOKUP($A21,'Enroll Data as of January 2025'!$A$3:$T$322,20,FALSE)*'2024-25 PSES Compliance'!$G$14)</f>
        <v>-2.1000000000000001E-2</v>
      </c>
      <c r="E21" s="25">
        <f>ROUND($C21*CIS_Base*VLOOKUP($A21,'K3 District Data as of Jan 2025'!$A$3:$M$323,MATCH("Reg base",'K3 District Data as of Jan 2025'!$2:$2,0),FALSE),2)</f>
        <v>-36654.910000000003</v>
      </c>
      <c r="F21" s="25">
        <f>ROUND($C21*CIS_Inc*(VLOOKUP($A21,'K3 District Data as of Jan 2025'!$A$3:$M$323,MATCH("Reg",'K3 District Data as of Jan 2025'!$2:$2,0),FALSE)+VLOOKUP($A21,'K3 District Data as of Jan 2025'!$A$3:$M$323,MATCH("Exp",'K3 District Data as of Jan 2025'!$2:$2,0),FALSE)),2)-E21</f>
        <v>-2762.429999999993</v>
      </c>
      <c r="G21" s="25">
        <f>ROUND($D21*CLS_Base*VLOOKUP($A21,'K3 District Data as of Jan 2025'!$A$3:$M$323,MATCH("Reg base",'K3 District Data as of Jan 2025'!$2:$2,0),FALSE),2)</f>
        <v>-1095.6300000000001</v>
      </c>
      <c r="H21" s="25">
        <f>ROUND($D21*CLS_Inc*VLOOKUP($A21,'K3 District Data as of Jan 2025'!$A$3:$M$323,MATCH("Reg base",'K3 District Data as of Jan 2025'!$2:$2,0),FALSE),2)-G21</f>
        <v>-82.579999999999927</v>
      </c>
      <c r="I21" s="25">
        <f t="shared" si="1"/>
        <v>-7267.03</v>
      </c>
      <c r="J21" s="25">
        <f t="shared" si="2"/>
        <v>-424.5</v>
      </c>
      <c r="K21" s="25">
        <f t="shared" si="3"/>
        <v>-6652.87</v>
      </c>
      <c r="L21" s="25">
        <f t="shared" si="4"/>
        <v>-6418.27</v>
      </c>
      <c r="M21" s="25">
        <f t="shared" si="5"/>
        <v>-237.31</v>
      </c>
      <c r="N21" s="25">
        <f t="shared" si="6"/>
        <v>-15</v>
      </c>
      <c r="O21" s="25">
        <f>ROUND(($C21*CIS_Inc*(VLOOKUP($A21,'K3 District Data as of Jan 2025'!$A$3:$M$323,MATCH("Reg",'K3 District Data as of Jan 2025'!$2:$2,0),FALSE)+VLOOKUP($A21,'K3 District Data as of Jan 2025'!$A$3:$M$323,MATCH("Exp",'K3 District Data as of Jan 2025'!$2:$2,0),FALSE))/180)*3+(($C21*CIS_Inc*(VLOOKUP($A21,'K3 District Data as of Jan 2025'!$A$3:$M$323,MATCH("Reg",'K3 District Data as of Jan 2025'!$2:$2,0),FALSE)+VLOOKUP($A21,'K3 District Data as of Jan 2025'!$A$3:$M$323,MATCH("Exp",'K3 District Data as of Jan 2025'!$2:$2,0),FALSE))/180)*3)*CIS_Ben_Inc,2)</f>
        <v>-771.99</v>
      </c>
      <c r="P21" s="23">
        <f t="shared" si="7"/>
        <v>-62382.52</v>
      </c>
    </row>
    <row r="22" spans="1:16" x14ac:dyDescent="0.25">
      <c r="A22" t="s">
        <v>154</v>
      </c>
      <c r="B22" t="s">
        <v>450</v>
      </c>
      <c r="C22" s="33">
        <f>IF(VLOOKUP($A22,'Enroll Data as of January 2025'!$A$3:$T$322,20,FALSE)&gt;0,0,VLOOKUP($A22,'Enroll Data as of January 2025'!$A$3:$T$322,20,FALSE)*'2024-25 PSES Compliance'!$G$13)</f>
        <v>-0.38303999999999999</v>
      </c>
      <c r="D22" s="33">
        <f>IF(VLOOKUP($A22,'Enroll Data as of January 2025'!$A$3:$T$322,20,FALSE)&gt;0,0,VLOOKUP($A22,'Enroll Data as of January 2025'!$A$3:$T$322,20,FALSE)*'2024-25 PSES Compliance'!$G$14)</f>
        <v>-1.5960000000000002E-2</v>
      </c>
      <c r="E22" s="25">
        <f>ROUND($C22*CIS_Base*VLOOKUP($A22,'K3 District Data as of Jan 2025'!$A$3:$M$323,MATCH("Reg base",'K3 District Data as of Jan 2025'!$2:$2,0),FALSE),2)</f>
        <v>-27857.73</v>
      </c>
      <c r="F22" s="25">
        <f>ROUND($C22*CIS_Inc*(VLOOKUP($A22,'K3 District Data as of Jan 2025'!$A$3:$M$323,MATCH("Reg",'K3 District Data as of Jan 2025'!$2:$2,0),FALSE)+VLOOKUP($A22,'K3 District Data as of Jan 2025'!$A$3:$M$323,MATCH("Exp",'K3 District Data as of Jan 2025'!$2:$2,0),FALSE)),2)-E22</f>
        <v>-2399.0200000000004</v>
      </c>
      <c r="G22" s="25">
        <f>ROUND($D22*CLS_Base*VLOOKUP($A22,'K3 District Data as of Jan 2025'!$A$3:$M$323,MATCH("Reg base",'K3 District Data as of Jan 2025'!$2:$2,0),FALSE),2)</f>
        <v>-832.68</v>
      </c>
      <c r="H22" s="25">
        <f>ROUND($D22*CLS_Inc*VLOOKUP($A22,'K3 District Data as of Jan 2025'!$A$3:$M$323,MATCH("Reg base",'K3 District Data as of Jan 2025'!$2:$2,0),FALSE),2)-G22</f>
        <v>-62.760000000000105</v>
      </c>
      <c r="I22" s="25">
        <f t="shared" si="1"/>
        <v>-5522.95</v>
      </c>
      <c r="J22" s="25">
        <f t="shared" si="2"/>
        <v>-322.62</v>
      </c>
      <c r="K22" s="25">
        <f t="shared" si="3"/>
        <v>-5056.18</v>
      </c>
      <c r="L22" s="25">
        <f t="shared" si="4"/>
        <v>-4877.8900000000003</v>
      </c>
      <c r="M22" s="25">
        <f t="shared" si="5"/>
        <v>-180.36</v>
      </c>
      <c r="N22" s="25">
        <f t="shared" si="6"/>
        <v>-11.4</v>
      </c>
      <c r="O22" s="25">
        <f>ROUND(($C22*CIS_Inc*(VLOOKUP($A22,'K3 District Data as of Jan 2025'!$A$3:$M$323,MATCH("Reg",'K3 District Data as of Jan 2025'!$2:$2,0),FALSE)+VLOOKUP($A22,'K3 District Data as of Jan 2025'!$A$3:$M$323,MATCH("Exp",'K3 District Data as of Jan 2025'!$2:$2,0),FALSE))/180)*3+(($C22*CIS_Inc*(VLOOKUP($A22,'K3 District Data as of Jan 2025'!$A$3:$M$323,MATCH("Reg",'K3 District Data as of Jan 2025'!$2:$2,0),FALSE)+VLOOKUP($A22,'K3 District Data as of Jan 2025'!$A$3:$M$323,MATCH("Exp",'K3 District Data as of Jan 2025'!$2:$2,0),FALSE))/180)*3)*CIS_Ben_Inc,2)</f>
        <v>-592.58000000000004</v>
      </c>
      <c r="P22" s="23">
        <f t="shared" si="7"/>
        <v>-47716.170000000006</v>
      </c>
    </row>
    <row r="23" spans="1:16" x14ac:dyDescent="0.25">
      <c r="A23" t="s">
        <v>80</v>
      </c>
      <c r="B23" t="s">
        <v>376</v>
      </c>
      <c r="C23" s="33">
        <f>IF(VLOOKUP($A23,'Enroll Data as of January 2025'!$A$3:$T$322,20,FALSE)&gt;0,0,VLOOKUP($A23,'Enroll Data as of January 2025'!$A$3:$T$322,20,FALSE)*'2024-25 PSES Compliance'!$G$13)</f>
        <v>-1.53216</v>
      </c>
      <c r="D23" s="33">
        <f>IF(VLOOKUP($A23,'Enroll Data as of January 2025'!$A$3:$T$322,20,FALSE)&gt;0,0,VLOOKUP($A23,'Enroll Data as of January 2025'!$A$3:$T$322,20,FALSE)*'2024-25 PSES Compliance'!$G$14)</f>
        <v>-6.3840000000000008E-2</v>
      </c>
      <c r="E23" s="25">
        <f>ROUND($C23*CIS_Base*VLOOKUP($A23,'K3 District Data as of Jan 2025'!$A$3:$M$323,MATCH("Reg base",'K3 District Data as of Jan 2025'!$2:$2,0),FALSE),2)</f>
        <v>-111430.93</v>
      </c>
      <c r="F23" s="25">
        <f>ROUND($C23*CIS_Inc*(VLOOKUP($A23,'K3 District Data as of Jan 2025'!$A$3:$M$323,MATCH("Reg",'K3 District Data as of Jan 2025'!$2:$2,0),FALSE)+VLOOKUP($A23,'K3 District Data as of Jan 2025'!$A$3:$M$323,MATCH("Exp",'K3 District Data as of Jan 2025'!$2:$2,0),FALSE)),2)-E23</f>
        <v>-9596.0600000000122</v>
      </c>
      <c r="G23" s="25">
        <f>ROUND($D23*CLS_Base*VLOOKUP($A23,'K3 District Data as of Jan 2025'!$A$3:$M$323,MATCH("Reg base",'K3 District Data as of Jan 2025'!$2:$2,0),FALSE),2)</f>
        <v>-3330.72</v>
      </c>
      <c r="H23" s="25">
        <f>ROUND($D23*CLS_Inc*VLOOKUP($A23,'K3 District Data as of Jan 2025'!$A$3:$M$323,MATCH("Reg base",'K3 District Data as of Jan 2025'!$2:$2,0),FALSE),2)-G23</f>
        <v>-251.01999999999998</v>
      </c>
      <c r="I23" s="25">
        <f t="shared" si="1"/>
        <v>-22091.79</v>
      </c>
      <c r="J23" s="25">
        <f t="shared" si="2"/>
        <v>-1290.49</v>
      </c>
      <c r="K23" s="25">
        <f t="shared" si="3"/>
        <v>-20224.71</v>
      </c>
      <c r="L23" s="25">
        <f t="shared" si="4"/>
        <v>-19511.560000000001</v>
      </c>
      <c r="M23" s="25">
        <f t="shared" si="5"/>
        <v>-721.43</v>
      </c>
      <c r="N23" s="25">
        <f t="shared" si="6"/>
        <v>-45.59</v>
      </c>
      <c r="O23" s="25">
        <f>ROUND(($C23*CIS_Inc*(VLOOKUP($A23,'K3 District Data as of Jan 2025'!$A$3:$M$323,MATCH("Reg",'K3 District Data as of Jan 2025'!$2:$2,0),FALSE)+VLOOKUP($A23,'K3 District Data as of Jan 2025'!$A$3:$M$323,MATCH("Exp",'K3 District Data as of Jan 2025'!$2:$2,0),FALSE))/180)*3+(($C23*CIS_Inc*(VLOOKUP($A23,'K3 District Data as of Jan 2025'!$A$3:$M$323,MATCH("Reg",'K3 District Data as of Jan 2025'!$2:$2,0),FALSE)+VLOOKUP($A23,'K3 District Data as of Jan 2025'!$A$3:$M$323,MATCH("Exp",'K3 District Data as of Jan 2025'!$2:$2,0),FALSE))/180)*3)*CIS_Ben_Inc,2)</f>
        <v>-2370.31</v>
      </c>
      <c r="P23" s="23">
        <f t="shared" si="7"/>
        <v>-190864.61</v>
      </c>
    </row>
    <row r="24" spans="1:16" x14ac:dyDescent="0.25">
      <c r="A24" t="s">
        <v>28</v>
      </c>
      <c r="B24" t="s">
        <v>324</v>
      </c>
      <c r="C24" s="33">
        <f>IF(VLOOKUP($A24,'Enroll Data as of January 2025'!$A$3:$T$322,20,FALSE)&gt;0,0,VLOOKUP($A24,'Enroll Data as of January 2025'!$A$3:$T$322,20,FALSE)*'2024-25 PSES Compliance'!$G$13)</f>
        <v>0</v>
      </c>
      <c r="D24" s="33">
        <f>IF(VLOOKUP($A24,'Enroll Data as of January 2025'!$A$3:$T$322,20,FALSE)&gt;0,0,VLOOKUP($A24,'Enroll Data as of January 2025'!$A$3:$T$322,20,FALSE)*'2024-25 PSES Compliance'!$G$14)</f>
        <v>0</v>
      </c>
      <c r="E24" s="25">
        <f>ROUND($C24*CIS_Base*VLOOKUP($A24,'K3 District Data as of Jan 2025'!$A$3:$M$323,MATCH("Reg base",'K3 District Data as of Jan 2025'!$2:$2,0),FALSE),2)</f>
        <v>0</v>
      </c>
      <c r="F24" s="25">
        <f>ROUND($C24*CIS_Inc*(VLOOKUP($A24,'K3 District Data as of Jan 2025'!$A$3:$M$323,MATCH("Reg",'K3 District Data as of Jan 2025'!$2:$2,0),FALSE)+VLOOKUP($A24,'K3 District Data as of Jan 2025'!$A$3:$M$323,MATCH("Exp",'K3 District Data as of Jan 2025'!$2:$2,0),FALSE)),2)-E24</f>
        <v>0</v>
      </c>
      <c r="G24" s="25">
        <f>ROUND($D24*CLS_Base*VLOOKUP($A24,'K3 District Data as of Jan 2025'!$A$3:$M$323,MATCH("Reg base",'K3 District Data as of Jan 2025'!$2:$2,0),FALSE),2)</f>
        <v>0</v>
      </c>
      <c r="H24" s="25">
        <f>ROUND($D24*CLS_Inc*VLOOKUP($A24,'K3 District Data as of Jan 2025'!$A$3:$M$323,MATCH("Reg base",'K3 District Data as of Jan 2025'!$2:$2,0),FALSE),2)-G24</f>
        <v>0</v>
      </c>
      <c r="I24" s="25">
        <f t="shared" si="1"/>
        <v>0</v>
      </c>
      <c r="J24" s="25">
        <f t="shared" si="2"/>
        <v>0</v>
      </c>
      <c r="K24" s="25">
        <f t="shared" si="3"/>
        <v>0</v>
      </c>
      <c r="L24" s="25">
        <f t="shared" si="4"/>
        <v>0</v>
      </c>
      <c r="M24" s="25">
        <f t="shared" si="5"/>
        <v>0</v>
      </c>
      <c r="N24" s="25">
        <f t="shared" si="6"/>
        <v>0</v>
      </c>
      <c r="O24" s="25">
        <f>ROUND(($C24*CIS_Inc*(VLOOKUP($A24,'K3 District Data as of Jan 2025'!$A$3:$M$323,MATCH("Reg",'K3 District Data as of Jan 2025'!$2:$2,0),FALSE)+VLOOKUP($A24,'K3 District Data as of Jan 2025'!$A$3:$M$323,MATCH("Exp",'K3 District Data as of Jan 2025'!$2:$2,0),FALSE))/180)*3+(($C24*CIS_Inc*(VLOOKUP($A24,'K3 District Data as of Jan 2025'!$A$3:$M$323,MATCH("Reg",'K3 District Data as of Jan 2025'!$2:$2,0),FALSE)+VLOOKUP($A24,'K3 District Data as of Jan 2025'!$A$3:$M$323,MATCH("Exp",'K3 District Data as of Jan 2025'!$2:$2,0),FALSE))/180)*3)*CIS_Ben_Inc,2)</f>
        <v>0</v>
      </c>
      <c r="P24" s="23">
        <f t="shared" si="7"/>
        <v>0</v>
      </c>
    </row>
    <row r="25" spans="1:16" x14ac:dyDescent="0.25">
      <c r="A25" t="s">
        <v>44</v>
      </c>
      <c r="B25" t="s">
        <v>340</v>
      </c>
      <c r="C25" s="33">
        <f>IF(VLOOKUP($A25,'Enroll Data as of January 2025'!$A$3:$T$322,20,FALSE)&gt;0,0,VLOOKUP($A25,'Enroll Data as of January 2025'!$A$3:$T$322,20,FALSE)*'2024-25 PSES Compliance'!$G$13)</f>
        <v>-0.10752</v>
      </c>
      <c r="D25" s="33">
        <f>IF(VLOOKUP($A25,'Enroll Data as of January 2025'!$A$3:$T$322,20,FALSE)&gt;0,0,VLOOKUP($A25,'Enroll Data as of January 2025'!$A$3:$T$322,20,FALSE)*'2024-25 PSES Compliance'!$G$14)</f>
        <v>-4.4800000000000005E-3</v>
      </c>
      <c r="E25" s="25">
        <f>ROUND($C25*CIS_Base*VLOOKUP($A25,'K3 District Data as of Jan 2025'!$A$3:$M$323,MATCH("Reg base",'K3 District Data as of Jan 2025'!$2:$2,0),FALSE),2)</f>
        <v>-7819.71</v>
      </c>
      <c r="F25" s="25">
        <f>ROUND($C25*CIS_Inc*(VLOOKUP($A25,'K3 District Data as of Jan 2025'!$A$3:$M$323,MATCH("Reg",'K3 District Data as of Jan 2025'!$2:$2,0),FALSE)+VLOOKUP($A25,'K3 District Data as of Jan 2025'!$A$3:$M$323,MATCH("Exp",'K3 District Data as of Jan 2025'!$2:$2,0),FALSE)),2)-E25</f>
        <v>-673.41000000000076</v>
      </c>
      <c r="G25" s="25">
        <f>ROUND($D25*CLS_Base*VLOOKUP($A25,'K3 District Data as of Jan 2025'!$A$3:$M$323,MATCH("Reg base",'K3 District Data as of Jan 2025'!$2:$2,0),FALSE),2)</f>
        <v>-233.74</v>
      </c>
      <c r="H25" s="25">
        <f>ROUND($D25*CLS_Inc*VLOOKUP($A25,'K3 District Data as of Jan 2025'!$A$3:$M$323,MATCH("Reg base",'K3 District Data as of Jan 2025'!$2:$2,0),FALSE),2)-G25</f>
        <v>-17.609999999999985</v>
      </c>
      <c r="I25" s="25">
        <f t="shared" si="1"/>
        <v>-1550.3</v>
      </c>
      <c r="J25" s="25">
        <f t="shared" si="2"/>
        <v>-90.56</v>
      </c>
      <c r="K25" s="25">
        <f t="shared" si="3"/>
        <v>-1419.28</v>
      </c>
      <c r="L25" s="25">
        <f t="shared" si="4"/>
        <v>-1369.23</v>
      </c>
      <c r="M25" s="25">
        <f t="shared" si="5"/>
        <v>-50.63</v>
      </c>
      <c r="N25" s="25">
        <f t="shared" si="6"/>
        <v>-3.2</v>
      </c>
      <c r="O25" s="25">
        <f>ROUND(($C25*CIS_Inc*(VLOOKUP($A25,'K3 District Data as of Jan 2025'!$A$3:$M$323,MATCH("Reg",'K3 District Data as of Jan 2025'!$2:$2,0),FALSE)+VLOOKUP($A25,'K3 District Data as of Jan 2025'!$A$3:$M$323,MATCH("Exp",'K3 District Data as of Jan 2025'!$2:$2,0),FALSE))/180)*3+(($C25*CIS_Inc*(VLOOKUP($A25,'K3 District Data as of Jan 2025'!$A$3:$M$323,MATCH("Reg",'K3 District Data as of Jan 2025'!$2:$2,0),FALSE)+VLOOKUP($A25,'K3 District Data as of Jan 2025'!$A$3:$M$323,MATCH("Exp",'K3 District Data as of Jan 2025'!$2:$2,0),FALSE))/180)*3)*CIS_Ben_Inc,2)</f>
        <v>-166.34</v>
      </c>
      <c r="P25" s="23">
        <f t="shared" si="7"/>
        <v>-13394.01</v>
      </c>
    </row>
    <row r="26" spans="1:16" x14ac:dyDescent="0.25">
      <c r="A26" t="s">
        <v>144</v>
      </c>
      <c r="B26" t="s">
        <v>440</v>
      </c>
      <c r="C26" s="33">
        <f>IF(VLOOKUP($A26,'Enroll Data as of January 2025'!$A$3:$T$322,20,FALSE)&gt;0,0,VLOOKUP($A26,'Enroll Data as of January 2025'!$A$3:$T$322,20,FALSE)*'2024-25 PSES Compliance'!$G$13)</f>
        <v>-0.3216</v>
      </c>
      <c r="D26" s="33">
        <f>IF(VLOOKUP($A26,'Enroll Data as of January 2025'!$A$3:$T$322,20,FALSE)&gt;0,0,VLOOKUP($A26,'Enroll Data as of January 2025'!$A$3:$T$322,20,FALSE)*'2024-25 PSES Compliance'!$G$14)</f>
        <v>-1.34E-2</v>
      </c>
      <c r="E26" s="25">
        <f>ROUND($C26*CIS_Base*VLOOKUP($A26,'K3 District Data as of Jan 2025'!$A$3:$M$323,MATCH("Reg base",'K3 District Data as of Jan 2025'!$2:$2,0),FALSE),2)</f>
        <v>-23389.32</v>
      </c>
      <c r="F26" s="25">
        <f>ROUND($C26*CIS_Inc*(VLOOKUP($A26,'K3 District Data as of Jan 2025'!$A$3:$M$323,MATCH("Reg",'K3 District Data as of Jan 2025'!$2:$2,0),FALSE)+VLOOKUP($A26,'K3 District Data as of Jan 2025'!$A$3:$M$323,MATCH("Exp",'K3 District Data as of Jan 2025'!$2:$2,0),FALSE)),2)-E26</f>
        <v>-1762.6899999999987</v>
      </c>
      <c r="G26" s="25">
        <f>ROUND($D26*CLS_Base*VLOOKUP($A26,'K3 District Data as of Jan 2025'!$A$3:$M$323,MATCH("Reg base",'K3 District Data as of Jan 2025'!$2:$2,0),FALSE),2)</f>
        <v>-699.12</v>
      </c>
      <c r="H26" s="25">
        <f>ROUND($D26*CLS_Inc*VLOOKUP($A26,'K3 District Data as of Jan 2025'!$A$3:$M$323,MATCH("Reg base",'K3 District Data as of Jan 2025'!$2:$2,0),FALSE),2)-G26</f>
        <v>-52.689999999999941</v>
      </c>
      <c r="I26" s="25">
        <f t="shared" si="1"/>
        <v>-4637.0600000000004</v>
      </c>
      <c r="J26" s="25">
        <f t="shared" si="2"/>
        <v>-270.87</v>
      </c>
      <c r="K26" s="25">
        <f t="shared" si="3"/>
        <v>-4245.16</v>
      </c>
      <c r="L26" s="25">
        <f t="shared" si="4"/>
        <v>-4095.47</v>
      </c>
      <c r="M26" s="25">
        <f t="shared" si="5"/>
        <v>-151.43</v>
      </c>
      <c r="N26" s="25">
        <f t="shared" si="6"/>
        <v>-9.57</v>
      </c>
      <c r="O26" s="25">
        <f>ROUND(($C26*CIS_Inc*(VLOOKUP($A26,'K3 District Data as of Jan 2025'!$A$3:$M$323,MATCH("Reg",'K3 District Data as of Jan 2025'!$2:$2,0),FALSE)+VLOOKUP($A26,'K3 District Data as of Jan 2025'!$A$3:$M$323,MATCH("Exp",'K3 District Data as of Jan 2025'!$2:$2,0),FALSE))/180)*3+(($C26*CIS_Inc*(VLOOKUP($A26,'K3 District Data as of Jan 2025'!$A$3:$M$323,MATCH("Reg",'K3 District Data as of Jan 2025'!$2:$2,0),FALSE)+VLOOKUP($A26,'K3 District Data as of Jan 2025'!$A$3:$M$323,MATCH("Exp",'K3 District Data as of Jan 2025'!$2:$2,0),FALSE))/180)*3)*CIS_Ben_Inc,2)</f>
        <v>-492.6</v>
      </c>
      <c r="P26" s="23">
        <f t="shared" si="7"/>
        <v>-39805.979999999996</v>
      </c>
    </row>
    <row r="27" spans="1:16" x14ac:dyDescent="0.25">
      <c r="A27" t="s">
        <v>56</v>
      </c>
      <c r="B27" t="s">
        <v>352</v>
      </c>
      <c r="C27" s="33">
        <f>IF(VLOOKUP($A27,'Enroll Data as of January 2025'!$A$3:$T$322,20,FALSE)&gt;0,0,VLOOKUP($A27,'Enroll Data as of January 2025'!$A$3:$T$322,20,FALSE)*'2024-25 PSES Compliance'!$G$13)</f>
        <v>-0.59616000000000002</v>
      </c>
      <c r="D27" s="33">
        <f>IF(VLOOKUP($A27,'Enroll Data as of January 2025'!$A$3:$T$322,20,FALSE)&gt;0,0,VLOOKUP($A27,'Enroll Data as of January 2025'!$A$3:$T$322,20,FALSE)*'2024-25 PSES Compliance'!$G$14)</f>
        <v>-2.4840000000000001E-2</v>
      </c>
      <c r="E27" s="25">
        <f>ROUND($C27*CIS_Base*VLOOKUP($A27,'K3 District Data as of Jan 2025'!$A$3:$M$323,MATCH("Reg base",'K3 District Data as of Jan 2025'!$2:$2,0),FALSE),2)</f>
        <v>-43357.52</v>
      </c>
      <c r="F27" s="25">
        <f>ROUND($C27*CIS_Inc*(VLOOKUP($A27,'K3 District Data as of Jan 2025'!$A$3:$M$323,MATCH("Reg",'K3 District Data as of Jan 2025'!$2:$2,0),FALSE)+VLOOKUP($A27,'K3 District Data as of Jan 2025'!$A$3:$M$323,MATCH("Exp",'K3 District Data as of Jan 2025'!$2:$2,0),FALSE)),2)-E27</f>
        <v>-3733.8100000000049</v>
      </c>
      <c r="G27" s="25">
        <f>ROUND($D27*CLS_Base*VLOOKUP($A27,'K3 District Data as of Jan 2025'!$A$3:$M$323,MATCH("Reg base",'K3 District Data as of Jan 2025'!$2:$2,0),FALSE),2)</f>
        <v>-1295.98</v>
      </c>
      <c r="H27" s="25">
        <f>ROUND($D27*CLS_Inc*VLOOKUP($A27,'K3 District Data as of Jan 2025'!$A$3:$M$323,MATCH("Reg base",'K3 District Data as of Jan 2025'!$2:$2,0),FALSE),2)-G27</f>
        <v>-97.670000000000073</v>
      </c>
      <c r="I27" s="25">
        <f t="shared" si="1"/>
        <v>-8595.86</v>
      </c>
      <c r="J27" s="25">
        <f t="shared" si="2"/>
        <v>-502.13</v>
      </c>
      <c r="K27" s="25">
        <f t="shared" si="3"/>
        <v>-7869.39</v>
      </c>
      <c r="L27" s="25">
        <f t="shared" si="4"/>
        <v>-7591.9</v>
      </c>
      <c r="M27" s="25">
        <f t="shared" si="5"/>
        <v>-280.70999999999998</v>
      </c>
      <c r="N27" s="25">
        <f t="shared" si="6"/>
        <v>-17.739999999999998</v>
      </c>
      <c r="O27" s="25">
        <f>ROUND(($C27*CIS_Inc*(VLOOKUP($A27,'K3 District Data as of Jan 2025'!$A$3:$M$323,MATCH("Reg",'K3 District Data as of Jan 2025'!$2:$2,0),FALSE)+VLOOKUP($A27,'K3 District Data as of Jan 2025'!$A$3:$M$323,MATCH("Exp",'K3 District Data as of Jan 2025'!$2:$2,0),FALSE))/180)*3+(($C27*CIS_Inc*(VLOOKUP($A27,'K3 District Data as of Jan 2025'!$A$3:$M$323,MATCH("Reg",'K3 District Data as of Jan 2025'!$2:$2,0),FALSE)+VLOOKUP($A27,'K3 District Data as of Jan 2025'!$A$3:$M$323,MATCH("Exp",'K3 District Data as of Jan 2025'!$2:$2,0),FALSE))/180)*3)*CIS_Ben_Inc,2)</f>
        <v>-922.28</v>
      </c>
      <c r="P27" s="23">
        <f t="shared" si="7"/>
        <v>-74264.990000000005</v>
      </c>
    </row>
    <row r="28" spans="1:16" x14ac:dyDescent="0.25">
      <c r="A28" t="s">
        <v>47</v>
      </c>
      <c r="B28" t="s">
        <v>343</v>
      </c>
      <c r="C28" s="33">
        <f>IF(VLOOKUP($A28,'Enroll Data as of January 2025'!$A$3:$T$322,20,FALSE)&gt;0,0,VLOOKUP($A28,'Enroll Data as of January 2025'!$A$3:$T$322,20,FALSE)*'2024-25 PSES Compliance'!$G$13)</f>
        <v>-2.6726399999999999</v>
      </c>
      <c r="D28" s="33">
        <f>IF(VLOOKUP($A28,'Enroll Data as of January 2025'!$A$3:$T$322,20,FALSE)&gt;0,0,VLOOKUP($A28,'Enroll Data as of January 2025'!$A$3:$T$322,20,FALSE)*'2024-25 PSES Compliance'!$G$14)</f>
        <v>-0.11136</v>
      </c>
      <c r="E28" s="25">
        <f>ROUND($C28*CIS_Base*VLOOKUP($A28,'K3 District Data as of Jan 2025'!$A$3:$M$323,MATCH("Reg base",'K3 District Data as of Jan 2025'!$2:$2,0),FALSE),2)</f>
        <v>-194375.76</v>
      </c>
      <c r="F28" s="25">
        <f>ROUND($C28*CIS_Inc*(VLOOKUP($A28,'K3 District Data as of Jan 2025'!$A$3:$M$323,MATCH("Reg",'K3 District Data as of Jan 2025'!$2:$2,0),FALSE)+VLOOKUP($A28,'K3 District Data as of Jan 2025'!$A$3:$M$323,MATCH("Exp",'K3 District Data as of Jan 2025'!$2:$2,0),FALSE)),2)-E28</f>
        <v>-14648.739999999991</v>
      </c>
      <c r="G28" s="25">
        <f>ROUND($D28*CLS_Base*VLOOKUP($A28,'K3 District Data as of Jan 2025'!$A$3:$M$323,MATCH("Reg base",'K3 District Data as of Jan 2025'!$2:$2,0),FALSE),2)</f>
        <v>-5809.99</v>
      </c>
      <c r="H28" s="25">
        <f>ROUND($D28*CLS_Inc*VLOOKUP($A28,'K3 District Data as of Jan 2025'!$A$3:$M$323,MATCH("Reg base",'K3 District Data as of Jan 2025'!$2:$2,0),FALSE),2)-G28</f>
        <v>-437.86000000000058</v>
      </c>
      <c r="I28" s="25">
        <f t="shared" si="1"/>
        <v>-38536.050000000003</v>
      </c>
      <c r="J28" s="25">
        <f t="shared" si="2"/>
        <v>-2251.08</v>
      </c>
      <c r="K28" s="25">
        <f t="shared" si="3"/>
        <v>-35279.199999999997</v>
      </c>
      <c r="L28" s="25">
        <f t="shared" si="4"/>
        <v>-34035.199999999997</v>
      </c>
      <c r="M28" s="25">
        <f t="shared" si="5"/>
        <v>-1258.44</v>
      </c>
      <c r="N28" s="25">
        <f t="shared" si="6"/>
        <v>-79.52</v>
      </c>
      <c r="O28" s="25">
        <f>ROUND(($C28*CIS_Inc*(VLOOKUP($A28,'K3 District Data as of Jan 2025'!$A$3:$M$323,MATCH("Reg",'K3 District Data as of Jan 2025'!$2:$2,0),FALSE)+VLOOKUP($A28,'K3 District Data as of Jan 2025'!$A$3:$M$323,MATCH("Exp",'K3 District Data as of Jan 2025'!$2:$2,0),FALSE))/180)*3+(($C28*CIS_Inc*(VLOOKUP($A28,'K3 District Data as of Jan 2025'!$A$3:$M$323,MATCH("Reg",'K3 District Data as of Jan 2025'!$2:$2,0),FALSE)+VLOOKUP($A28,'K3 District Data as of Jan 2025'!$A$3:$M$323,MATCH("Exp",'K3 District Data as of Jan 2025'!$2:$2,0),FALSE))/180)*3)*CIS_Ben_Inc,2)</f>
        <v>-4093.74</v>
      </c>
      <c r="P28" s="23">
        <f t="shared" si="7"/>
        <v>-330805.57999999996</v>
      </c>
    </row>
    <row r="29" spans="1:16" x14ac:dyDescent="0.25">
      <c r="A29" t="s">
        <v>63</v>
      </c>
      <c r="B29" t="s">
        <v>359</v>
      </c>
      <c r="C29" s="33">
        <f>IF(VLOOKUP($A29,'Enroll Data as of January 2025'!$A$3:$T$322,20,FALSE)&gt;0,0,VLOOKUP($A29,'Enroll Data as of January 2025'!$A$3:$T$322,20,FALSE)*'2024-25 PSES Compliance'!$G$13)</f>
        <v>0</v>
      </c>
      <c r="D29" s="33">
        <f>IF(VLOOKUP($A29,'Enroll Data as of January 2025'!$A$3:$T$322,20,FALSE)&gt;0,0,VLOOKUP($A29,'Enroll Data as of January 2025'!$A$3:$T$322,20,FALSE)*'2024-25 PSES Compliance'!$G$14)</f>
        <v>0</v>
      </c>
      <c r="E29" s="25">
        <f>ROUND($C29*CIS_Base*VLOOKUP($A29,'K3 District Data as of Jan 2025'!$A$3:$M$323,MATCH("Reg base",'K3 District Data as of Jan 2025'!$2:$2,0),FALSE),2)</f>
        <v>0</v>
      </c>
      <c r="F29" s="25">
        <f>ROUND($C29*CIS_Inc*(VLOOKUP($A29,'K3 District Data as of Jan 2025'!$A$3:$M$323,MATCH("Reg",'K3 District Data as of Jan 2025'!$2:$2,0),FALSE)+VLOOKUP($A29,'K3 District Data as of Jan 2025'!$A$3:$M$323,MATCH("Exp",'K3 District Data as of Jan 2025'!$2:$2,0),FALSE)),2)-E29</f>
        <v>0</v>
      </c>
      <c r="G29" s="25">
        <f>ROUND($D29*CLS_Base*VLOOKUP($A29,'K3 District Data as of Jan 2025'!$A$3:$M$323,MATCH("Reg base",'K3 District Data as of Jan 2025'!$2:$2,0),FALSE),2)</f>
        <v>0</v>
      </c>
      <c r="H29" s="25">
        <f>ROUND($D29*CLS_Inc*VLOOKUP($A29,'K3 District Data as of Jan 2025'!$A$3:$M$323,MATCH("Reg base",'K3 District Data as of Jan 2025'!$2:$2,0),FALSE),2)-G29</f>
        <v>0</v>
      </c>
      <c r="I29" s="25">
        <f t="shared" si="1"/>
        <v>0</v>
      </c>
      <c r="J29" s="25">
        <f t="shared" si="2"/>
        <v>0</v>
      </c>
      <c r="K29" s="25">
        <f t="shared" si="3"/>
        <v>0</v>
      </c>
      <c r="L29" s="25">
        <f t="shared" si="4"/>
        <v>0</v>
      </c>
      <c r="M29" s="25">
        <f t="shared" si="5"/>
        <v>0</v>
      </c>
      <c r="N29" s="25">
        <f t="shared" si="6"/>
        <v>0</v>
      </c>
      <c r="O29" s="25">
        <f>ROUND(($C29*CIS_Inc*(VLOOKUP($A29,'K3 District Data as of Jan 2025'!$A$3:$M$323,MATCH("Reg",'K3 District Data as of Jan 2025'!$2:$2,0),FALSE)+VLOOKUP($A29,'K3 District Data as of Jan 2025'!$A$3:$M$323,MATCH("Exp",'K3 District Data as of Jan 2025'!$2:$2,0),FALSE))/180)*3+(($C29*CIS_Inc*(VLOOKUP($A29,'K3 District Data as of Jan 2025'!$A$3:$M$323,MATCH("Reg",'K3 District Data as of Jan 2025'!$2:$2,0),FALSE)+VLOOKUP($A29,'K3 District Data as of Jan 2025'!$A$3:$M$323,MATCH("Exp",'K3 District Data as of Jan 2025'!$2:$2,0),FALSE))/180)*3)*CIS_Ben_Inc,2)</f>
        <v>0</v>
      </c>
      <c r="P29" s="23">
        <f t="shared" si="7"/>
        <v>0</v>
      </c>
    </row>
    <row r="30" spans="1:16" x14ac:dyDescent="0.25">
      <c r="A30" t="s">
        <v>265</v>
      </c>
      <c r="B30" t="s">
        <v>561</v>
      </c>
      <c r="C30" s="33">
        <f>IF(VLOOKUP($A30,'Enroll Data as of January 2025'!$A$3:$T$322,20,FALSE)&gt;0,0,VLOOKUP($A30,'Enroll Data as of January 2025'!$A$3:$T$322,20,FALSE)*'2024-25 PSES Compliance'!$G$13)</f>
        <v>-1.63296</v>
      </c>
      <c r="D30" s="33">
        <f>IF(VLOOKUP($A30,'Enroll Data as of January 2025'!$A$3:$T$322,20,FALSE)&gt;0,0,VLOOKUP($A30,'Enroll Data as of January 2025'!$A$3:$T$322,20,FALSE)*'2024-25 PSES Compliance'!$G$14)</f>
        <v>-6.8040000000000003E-2</v>
      </c>
      <c r="E30" s="25">
        <f>ROUND($C30*CIS_Base*VLOOKUP($A30,'K3 District Data as of Jan 2025'!$A$3:$M$323,MATCH("Reg base",'K3 District Data as of Jan 2025'!$2:$2,0),FALSE),2)</f>
        <v>-118761.91</v>
      </c>
      <c r="F30" s="25">
        <f>ROUND($C30*CIS_Inc*(VLOOKUP($A30,'K3 District Data as of Jan 2025'!$A$3:$M$323,MATCH("Reg",'K3 District Data as of Jan 2025'!$2:$2,0),FALSE)+VLOOKUP($A30,'K3 District Data as of Jan 2025'!$A$3:$M$323,MATCH("Exp",'K3 District Data as of Jan 2025'!$2:$2,0),FALSE)),2)-E30</f>
        <v>-10227.37999999999</v>
      </c>
      <c r="G30" s="25">
        <f>ROUND($D30*CLS_Base*VLOOKUP($A30,'K3 District Data as of Jan 2025'!$A$3:$M$323,MATCH("Reg base",'K3 District Data as of Jan 2025'!$2:$2,0),FALSE),2)</f>
        <v>-3549.85</v>
      </c>
      <c r="H30" s="25">
        <f>ROUND($D30*CLS_Inc*VLOOKUP($A30,'K3 District Data as of Jan 2025'!$A$3:$M$323,MATCH("Reg base",'K3 District Data as of Jan 2025'!$2:$2,0),FALSE),2)-G30</f>
        <v>-267.5300000000002</v>
      </c>
      <c r="I30" s="25">
        <f t="shared" si="1"/>
        <v>-23545.19</v>
      </c>
      <c r="J30" s="25">
        <f t="shared" si="2"/>
        <v>-1375.39</v>
      </c>
      <c r="K30" s="25">
        <f t="shared" si="3"/>
        <v>-21555.29</v>
      </c>
      <c r="L30" s="25">
        <f t="shared" si="4"/>
        <v>-20795.21</v>
      </c>
      <c r="M30" s="25">
        <f t="shared" si="5"/>
        <v>-768.9</v>
      </c>
      <c r="N30" s="25">
        <f t="shared" si="6"/>
        <v>-48.58</v>
      </c>
      <c r="O30" s="25">
        <f>ROUND(($C30*CIS_Inc*(VLOOKUP($A30,'K3 District Data as of Jan 2025'!$A$3:$M$323,MATCH("Reg",'K3 District Data as of Jan 2025'!$2:$2,0),FALSE)+VLOOKUP($A30,'K3 District Data as of Jan 2025'!$A$3:$M$323,MATCH("Exp",'K3 District Data as of Jan 2025'!$2:$2,0),FALSE))/180)*3+(($C30*CIS_Inc*(VLOOKUP($A30,'K3 District Data as of Jan 2025'!$A$3:$M$323,MATCH("Reg",'K3 District Data as of Jan 2025'!$2:$2,0),FALSE)+VLOOKUP($A30,'K3 District Data as of Jan 2025'!$A$3:$M$323,MATCH("Exp",'K3 District Data as of Jan 2025'!$2:$2,0),FALSE))/180)*3)*CIS_Ben_Inc,2)</f>
        <v>-2526.2600000000002</v>
      </c>
      <c r="P30" s="23">
        <f t="shared" si="7"/>
        <v>-203421.49</v>
      </c>
    </row>
    <row r="31" spans="1:16" x14ac:dyDescent="0.25">
      <c r="A31" t="s">
        <v>170</v>
      </c>
      <c r="B31" t="s">
        <v>466</v>
      </c>
      <c r="C31" s="33">
        <f>IF(VLOOKUP($A31,'Enroll Data as of January 2025'!$A$3:$T$322,20,FALSE)&gt;0,0,VLOOKUP($A31,'Enroll Data as of January 2025'!$A$3:$T$322,20,FALSE)*'2024-25 PSES Compliance'!$G$13)</f>
        <v>-0.11903999999999999</v>
      </c>
      <c r="D31" s="33">
        <f>IF(VLOOKUP($A31,'Enroll Data as of January 2025'!$A$3:$T$322,20,FALSE)&gt;0,0,VLOOKUP($A31,'Enroll Data as of January 2025'!$A$3:$T$322,20,FALSE)*'2024-25 PSES Compliance'!$G$14)</f>
        <v>-4.96E-3</v>
      </c>
      <c r="E31" s="25">
        <f>ROUND($C31*CIS_Base*VLOOKUP($A31,'K3 District Data as of Jan 2025'!$A$3:$M$323,MATCH("Reg base",'K3 District Data as of Jan 2025'!$2:$2,0),FALSE),2)</f>
        <v>-8657.5400000000009</v>
      </c>
      <c r="F31" s="25">
        <f>ROUND($C31*CIS_Inc*(VLOOKUP($A31,'K3 District Data as of Jan 2025'!$A$3:$M$323,MATCH("Reg",'K3 District Data as of Jan 2025'!$2:$2,0),FALSE)+VLOOKUP($A31,'K3 District Data as of Jan 2025'!$A$3:$M$323,MATCH("Exp",'K3 District Data as of Jan 2025'!$2:$2,0),FALSE)),2)-E31</f>
        <v>-745.55999999999949</v>
      </c>
      <c r="G31" s="25">
        <f>ROUND($D31*CLS_Base*VLOOKUP($A31,'K3 District Data as of Jan 2025'!$A$3:$M$323,MATCH("Reg base",'K3 District Data as of Jan 2025'!$2:$2,0),FALSE),2)</f>
        <v>-258.77999999999997</v>
      </c>
      <c r="H31" s="25">
        <f>ROUND($D31*CLS_Inc*VLOOKUP($A31,'K3 District Data as of Jan 2025'!$A$3:$M$323,MATCH("Reg base",'K3 District Data as of Jan 2025'!$2:$2,0),FALSE),2)-G31</f>
        <v>-19.5</v>
      </c>
      <c r="I31" s="25">
        <f t="shared" si="1"/>
        <v>-1716.4</v>
      </c>
      <c r="J31" s="25">
        <f t="shared" si="2"/>
        <v>-100.26</v>
      </c>
      <c r="K31" s="25">
        <f t="shared" si="3"/>
        <v>-1571.34</v>
      </c>
      <c r="L31" s="25">
        <f t="shared" si="4"/>
        <v>-1515.94</v>
      </c>
      <c r="M31" s="25">
        <f t="shared" si="5"/>
        <v>-56.05</v>
      </c>
      <c r="N31" s="25">
        <f t="shared" si="6"/>
        <v>-3.54</v>
      </c>
      <c r="O31" s="25">
        <f>ROUND(($C31*CIS_Inc*(VLOOKUP($A31,'K3 District Data as of Jan 2025'!$A$3:$M$323,MATCH("Reg",'K3 District Data as of Jan 2025'!$2:$2,0),FALSE)+VLOOKUP($A31,'K3 District Data as of Jan 2025'!$A$3:$M$323,MATCH("Exp",'K3 District Data as of Jan 2025'!$2:$2,0),FALSE))/180)*3+(($C31*CIS_Inc*(VLOOKUP($A31,'K3 District Data as of Jan 2025'!$A$3:$M$323,MATCH("Reg",'K3 District Data as of Jan 2025'!$2:$2,0),FALSE)+VLOOKUP($A31,'K3 District Data as of Jan 2025'!$A$3:$M$323,MATCH("Exp",'K3 District Data as of Jan 2025'!$2:$2,0),FALSE))/180)*3)*CIS_Ben_Inc,2)</f>
        <v>-184.16</v>
      </c>
      <c r="P31" s="23">
        <f t="shared" si="7"/>
        <v>-14829.070000000002</v>
      </c>
    </row>
    <row r="32" spans="1:16" x14ac:dyDescent="0.25">
      <c r="A32" t="s">
        <v>84</v>
      </c>
      <c r="B32" t="s">
        <v>380</v>
      </c>
      <c r="C32" s="33">
        <f>IF(VLOOKUP($A32,'Enroll Data as of January 2025'!$A$3:$T$322,20,FALSE)&gt;0,0,VLOOKUP($A32,'Enroll Data as of January 2025'!$A$3:$T$322,20,FALSE)*'2024-25 PSES Compliance'!$G$13)</f>
        <v>0</v>
      </c>
      <c r="D32" s="33">
        <f>IF(VLOOKUP($A32,'Enroll Data as of January 2025'!$A$3:$T$322,20,FALSE)&gt;0,0,VLOOKUP($A32,'Enroll Data as of January 2025'!$A$3:$T$322,20,FALSE)*'2024-25 PSES Compliance'!$G$14)</f>
        <v>0</v>
      </c>
      <c r="E32" s="25">
        <f>ROUND($C32*CIS_Base*VLOOKUP($A32,'K3 District Data as of Jan 2025'!$A$3:$M$323,MATCH("Reg base",'K3 District Data as of Jan 2025'!$2:$2,0),FALSE),2)</f>
        <v>0</v>
      </c>
      <c r="F32" s="25">
        <f>ROUND($C32*CIS_Inc*(VLOOKUP($A32,'K3 District Data as of Jan 2025'!$A$3:$M$323,MATCH("Reg",'K3 District Data as of Jan 2025'!$2:$2,0),FALSE)+VLOOKUP($A32,'K3 District Data as of Jan 2025'!$A$3:$M$323,MATCH("Exp",'K3 District Data as of Jan 2025'!$2:$2,0),FALSE)),2)-E32</f>
        <v>0</v>
      </c>
      <c r="G32" s="25">
        <f>ROUND($D32*CLS_Base*VLOOKUP($A32,'K3 District Data as of Jan 2025'!$A$3:$M$323,MATCH("Reg base",'K3 District Data as of Jan 2025'!$2:$2,0),FALSE),2)</f>
        <v>0</v>
      </c>
      <c r="H32" s="25">
        <f>ROUND($D32*CLS_Inc*VLOOKUP($A32,'K3 District Data as of Jan 2025'!$A$3:$M$323,MATCH("Reg base",'K3 District Data as of Jan 2025'!$2:$2,0),FALSE),2)-G32</f>
        <v>0</v>
      </c>
      <c r="I32" s="25">
        <f t="shared" si="1"/>
        <v>0</v>
      </c>
      <c r="J32" s="25">
        <f t="shared" si="2"/>
        <v>0</v>
      </c>
      <c r="K32" s="25">
        <f t="shared" si="3"/>
        <v>0</v>
      </c>
      <c r="L32" s="25">
        <f t="shared" si="4"/>
        <v>0</v>
      </c>
      <c r="M32" s="25">
        <f t="shared" si="5"/>
        <v>0</v>
      </c>
      <c r="N32" s="25">
        <f t="shared" si="6"/>
        <v>0</v>
      </c>
      <c r="O32" s="25">
        <f>ROUND(($C32*CIS_Inc*(VLOOKUP($A32,'K3 District Data as of Jan 2025'!$A$3:$M$323,MATCH("Reg",'K3 District Data as of Jan 2025'!$2:$2,0),FALSE)+VLOOKUP($A32,'K3 District Data as of Jan 2025'!$A$3:$M$323,MATCH("Exp",'K3 District Data as of Jan 2025'!$2:$2,0),FALSE))/180)*3+(($C32*CIS_Inc*(VLOOKUP($A32,'K3 District Data as of Jan 2025'!$A$3:$M$323,MATCH("Reg",'K3 District Data as of Jan 2025'!$2:$2,0),FALSE)+VLOOKUP($A32,'K3 District Data as of Jan 2025'!$A$3:$M$323,MATCH("Exp",'K3 District Data as of Jan 2025'!$2:$2,0),FALSE))/180)*3)*CIS_Ben_Inc,2)</f>
        <v>0</v>
      </c>
      <c r="P32" s="23">
        <f t="shared" si="7"/>
        <v>0</v>
      </c>
    </row>
    <row r="33" spans="1:16" x14ac:dyDescent="0.25">
      <c r="A33" t="s">
        <v>68</v>
      </c>
      <c r="B33" t="s">
        <v>364</v>
      </c>
      <c r="C33" s="33">
        <f>IF(VLOOKUP($A33,'Enroll Data as of January 2025'!$A$3:$T$322,20,FALSE)&gt;0,0,VLOOKUP($A33,'Enroll Data as of January 2025'!$A$3:$T$322,20,FALSE)*'2024-25 PSES Compliance'!$G$13)</f>
        <v>-0.33023999999999998</v>
      </c>
      <c r="D33" s="33">
        <f>IF(VLOOKUP($A33,'Enroll Data as of January 2025'!$A$3:$T$322,20,FALSE)&gt;0,0,VLOOKUP($A33,'Enroll Data as of January 2025'!$A$3:$T$322,20,FALSE)*'2024-25 PSES Compliance'!$G$14)</f>
        <v>-1.376E-2</v>
      </c>
      <c r="E33" s="25">
        <f>ROUND($C33*CIS_Base*VLOOKUP($A33,'K3 District Data as of Jan 2025'!$A$3:$M$323,MATCH("Reg base",'K3 District Data as of Jan 2025'!$2:$2,0),FALSE),2)</f>
        <v>-24017.69</v>
      </c>
      <c r="F33" s="25">
        <f>ROUND($C33*CIS_Inc*(VLOOKUP($A33,'K3 District Data as of Jan 2025'!$A$3:$M$323,MATCH("Reg",'K3 District Data as of Jan 2025'!$2:$2,0),FALSE)+VLOOKUP($A33,'K3 District Data as of Jan 2025'!$A$3:$M$323,MATCH("Exp",'K3 District Data as of Jan 2025'!$2:$2,0),FALSE)),2)-E33</f>
        <v>-1810.0500000000029</v>
      </c>
      <c r="G33" s="25">
        <f>ROUND($D33*CLS_Base*VLOOKUP($A33,'K3 District Data as of Jan 2025'!$A$3:$M$323,MATCH("Reg base",'K3 District Data as of Jan 2025'!$2:$2,0),FALSE),2)</f>
        <v>-717.9</v>
      </c>
      <c r="H33" s="25">
        <f>ROUND($D33*CLS_Inc*VLOOKUP($A33,'K3 District Data as of Jan 2025'!$A$3:$M$323,MATCH("Reg base",'K3 District Data as of Jan 2025'!$2:$2,0),FALSE),2)-G33</f>
        <v>-54.100000000000023</v>
      </c>
      <c r="I33" s="25">
        <f t="shared" si="1"/>
        <v>-4761.6400000000003</v>
      </c>
      <c r="J33" s="25">
        <f t="shared" si="2"/>
        <v>-278.14999999999998</v>
      </c>
      <c r="K33" s="25">
        <f t="shared" si="3"/>
        <v>-4359.21</v>
      </c>
      <c r="L33" s="25">
        <f t="shared" si="4"/>
        <v>-4205.5</v>
      </c>
      <c r="M33" s="25">
        <f t="shared" si="5"/>
        <v>-155.5</v>
      </c>
      <c r="N33" s="25">
        <f t="shared" si="6"/>
        <v>-9.82</v>
      </c>
      <c r="O33" s="25">
        <f>ROUND(($C33*CIS_Inc*(VLOOKUP($A33,'K3 District Data as of Jan 2025'!$A$3:$M$323,MATCH("Reg",'K3 District Data as of Jan 2025'!$2:$2,0),FALSE)+VLOOKUP($A33,'K3 District Data as of Jan 2025'!$A$3:$M$323,MATCH("Exp",'K3 District Data as of Jan 2025'!$2:$2,0),FALSE))/180)*3+(($C33*CIS_Inc*(VLOOKUP($A33,'K3 District Data as of Jan 2025'!$A$3:$M$323,MATCH("Reg",'K3 District Data as of Jan 2025'!$2:$2,0),FALSE)+VLOOKUP($A33,'K3 District Data as of Jan 2025'!$A$3:$M$323,MATCH("Exp",'K3 District Data as of Jan 2025'!$2:$2,0),FALSE))/180)*3)*CIS_Ben_Inc,2)</f>
        <v>-505.84</v>
      </c>
      <c r="P33" s="23">
        <f t="shared" si="7"/>
        <v>-40875.4</v>
      </c>
    </row>
    <row r="34" spans="1:16" x14ac:dyDescent="0.25">
      <c r="A34" t="s">
        <v>228</v>
      </c>
      <c r="B34" t="s">
        <v>524</v>
      </c>
      <c r="C34" s="33">
        <f>IF(VLOOKUP($A34,'Enroll Data as of January 2025'!$A$3:$T$322,20,FALSE)&gt;0,0,VLOOKUP($A34,'Enroll Data as of January 2025'!$A$3:$T$322,20,FALSE)*'2024-25 PSES Compliance'!$G$13)</f>
        <v>0</v>
      </c>
      <c r="D34" s="33">
        <f>IF(VLOOKUP($A34,'Enroll Data as of January 2025'!$A$3:$T$322,20,FALSE)&gt;0,0,VLOOKUP($A34,'Enroll Data as of January 2025'!$A$3:$T$322,20,FALSE)*'2024-25 PSES Compliance'!$G$14)</f>
        <v>0</v>
      </c>
      <c r="E34" s="25">
        <f>ROUND($C34*CIS_Base*VLOOKUP($A34,'K3 District Data as of Jan 2025'!$A$3:$M$323,MATCH("Reg base",'K3 District Data as of Jan 2025'!$2:$2,0),FALSE),2)</f>
        <v>0</v>
      </c>
      <c r="F34" s="25">
        <f>ROUND($C34*CIS_Inc*(VLOOKUP($A34,'K3 District Data as of Jan 2025'!$A$3:$M$323,MATCH("Reg",'K3 District Data as of Jan 2025'!$2:$2,0),FALSE)+VLOOKUP($A34,'K3 District Data as of Jan 2025'!$A$3:$M$323,MATCH("Exp",'K3 District Data as of Jan 2025'!$2:$2,0),FALSE)),2)-E34</f>
        <v>0</v>
      </c>
      <c r="G34" s="25">
        <f>ROUND($D34*CLS_Base*VLOOKUP($A34,'K3 District Data as of Jan 2025'!$A$3:$M$323,MATCH("Reg base",'K3 District Data as of Jan 2025'!$2:$2,0),FALSE),2)</f>
        <v>0</v>
      </c>
      <c r="H34" s="25">
        <f>ROUND($D34*CLS_Inc*VLOOKUP($A34,'K3 District Data as of Jan 2025'!$A$3:$M$323,MATCH("Reg base",'K3 District Data as of Jan 2025'!$2:$2,0),FALSE),2)-G34</f>
        <v>0</v>
      </c>
      <c r="I34" s="25">
        <f t="shared" si="1"/>
        <v>0</v>
      </c>
      <c r="J34" s="25">
        <f t="shared" si="2"/>
        <v>0</v>
      </c>
      <c r="K34" s="25">
        <f t="shared" si="3"/>
        <v>0</v>
      </c>
      <c r="L34" s="25">
        <f t="shared" si="4"/>
        <v>0</v>
      </c>
      <c r="M34" s="25">
        <f t="shared" si="5"/>
        <v>0</v>
      </c>
      <c r="N34" s="25">
        <f t="shared" si="6"/>
        <v>0</v>
      </c>
      <c r="O34" s="25">
        <f>ROUND(($C34*CIS_Inc*(VLOOKUP($A34,'K3 District Data as of Jan 2025'!$A$3:$M$323,MATCH("Reg",'K3 District Data as of Jan 2025'!$2:$2,0),FALSE)+VLOOKUP($A34,'K3 District Data as of Jan 2025'!$A$3:$M$323,MATCH("Exp",'K3 District Data as of Jan 2025'!$2:$2,0),FALSE))/180)*3+(($C34*CIS_Inc*(VLOOKUP($A34,'K3 District Data as of Jan 2025'!$A$3:$M$323,MATCH("Reg",'K3 District Data as of Jan 2025'!$2:$2,0),FALSE)+VLOOKUP($A34,'K3 District Data as of Jan 2025'!$A$3:$M$323,MATCH("Exp",'K3 District Data as of Jan 2025'!$2:$2,0),FALSE))/180)*3)*CIS_Ben_Inc,2)</f>
        <v>0</v>
      </c>
      <c r="P34" s="23">
        <f t="shared" si="7"/>
        <v>0</v>
      </c>
    </row>
    <row r="35" spans="1:16" x14ac:dyDescent="0.25">
      <c r="A35" t="s">
        <v>122</v>
      </c>
      <c r="B35" t="s">
        <v>418</v>
      </c>
      <c r="C35" s="33">
        <f>IF(VLOOKUP($A35,'Enroll Data as of January 2025'!$A$3:$T$322,20,FALSE)&gt;0,0,VLOOKUP($A35,'Enroll Data as of January 2025'!$A$3:$T$322,20,FALSE)*'2024-25 PSES Compliance'!$G$13)</f>
        <v>-0.17376</v>
      </c>
      <c r="D35" s="33">
        <f>IF(VLOOKUP($A35,'Enroll Data as of January 2025'!$A$3:$T$322,20,FALSE)&gt;0,0,VLOOKUP($A35,'Enroll Data as of January 2025'!$A$3:$T$322,20,FALSE)*'2024-25 PSES Compliance'!$G$14)</f>
        <v>-7.2399999999999999E-3</v>
      </c>
      <c r="E35" s="25">
        <f>ROUND($C35*CIS_Base*VLOOKUP($A35,'K3 District Data as of Jan 2025'!$A$3:$M$323,MATCH("Reg base",'K3 District Data as of Jan 2025'!$2:$2,0),FALSE),2)</f>
        <v>-12637.22</v>
      </c>
      <c r="F35" s="25">
        <f>ROUND($C35*CIS_Inc*(VLOOKUP($A35,'K3 District Data as of Jan 2025'!$A$3:$M$323,MATCH("Reg",'K3 District Data as of Jan 2025'!$2:$2,0),FALSE)+VLOOKUP($A35,'K3 District Data as of Jan 2025'!$A$3:$M$323,MATCH("Exp",'K3 District Data as of Jan 2025'!$2:$2,0),FALSE)),2)-E35</f>
        <v>-1495.9600000000009</v>
      </c>
      <c r="G35" s="25">
        <f>ROUND($D35*CLS_Base*VLOOKUP($A35,'K3 District Data as of Jan 2025'!$A$3:$M$323,MATCH("Reg base",'K3 District Data as of Jan 2025'!$2:$2,0),FALSE),2)</f>
        <v>-377.73</v>
      </c>
      <c r="H35" s="25">
        <f>ROUND($D35*CLS_Inc*VLOOKUP($A35,'K3 District Data as of Jan 2025'!$A$3:$M$323,MATCH("Reg base",'K3 District Data as of Jan 2025'!$2:$2,0),FALSE),2)-G35</f>
        <v>-28.46999999999997</v>
      </c>
      <c r="I35" s="25">
        <f t="shared" si="1"/>
        <v>-2505.4</v>
      </c>
      <c r="J35" s="25">
        <f t="shared" si="2"/>
        <v>-146.35</v>
      </c>
      <c r="K35" s="25">
        <f t="shared" si="3"/>
        <v>-2293.66</v>
      </c>
      <c r="L35" s="25">
        <f t="shared" si="4"/>
        <v>-2212.7800000000002</v>
      </c>
      <c r="M35" s="25">
        <f t="shared" si="5"/>
        <v>-81.819999999999993</v>
      </c>
      <c r="N35" s="25">
        <f t="shared" si="6"/>
        <v>-5.17</v>
      </c>
      <c r="O35" s="25">
        <f>ROUND(($C35*CIS_Inc*(VLOOKUP($A35,'K3 District Data as of Jan 2025'!$A$3:$M$323,MATCH("Reg",'K3 District Data as of Jan 2025'!$2:$2,0),FALSE)+VLOOKUP($A35,'K3 District Data as of Jan 2025'!$A$3:$M$323,MATCH("Exp",'K3 District Data as of Jan 2025'!$2:$2,0),FALSE))/180)*3+(($C35*CIS_Inc*(VLOOKUP($A35,'K3 District Data as of Jan 2025'!$A$3:$M$323,MATCH("Reg",'K3 District Data as of Jan 2025'!$2:$2,0),FALSE)+VLOOKUP($A35,'K3 District Data as of Jan 2025'!$A$3:$M$323,MATCH("Exp",'K3 District Data as of Jan 2025'!$2:$2,0),FALSE))/180)*3)*CIS_Ben_Inc,2)</f>
        <v>-276.8</v>
      </c>
      <c r="P35" s="23">
        <f t="shared" si="7"/>
        <v>-22061.359999999993</v>
      </c>
    </row>
    <row r="36" spans="1:16" x14ac:dyDescent="0.25">
      <c r="A36" t="s">
        <v>42</v>
      </c>
      <c r="B36" t="s">
        <v>338</v>
      </c>
      <c r="C36" s="33">
        <f>IF(VLOOKUP($A36,'Enroll Data as of January 2025'!$A$3:$T$322,20,FALSE)&gt;0,0,VLOOKUP($A36,'Enroll Data as of January 2025'!$A$3:$T$322,20,FALSE)*'2024-25 PSES Compliance'!$G$13)</f>
        <v>-0.11615999999999999</v>
      </c>
      <c r="D36" s="33">
        <f>IF(VLOOKUP($A36,'Enroll Data as of January 2025'!$A$3:$T$322,20,FALSE)&gt;0,0,VLOOKUP($A36,'Enroll Data as of January 2025'!$A$3:$T$322,20,FALSE)*'2024-25 PSES Compliance'!$G$14)</f>
        <v>-4.8399999999999997E-3</v>
      </c>
      <c r="E36" s="25">
        <f>ROUND($C36*CIS_Base*VLOOKUP($A36,'K3 District Data as of Jan 2025'!$A$3:$M$323,MATCH("Reg base",'K3 District Data as of Jan 2025'!$2:$2,0),FALSE),2)</f>
        <v>-8448.08</v>
      </c>
      <c r="F36" s="25">
        <f>ROUND($C36*CIS_Inc*(VLOOKUP($A36,'K3 District Data as of Jan 2025'!$A$3:$M$323,MATCH("Reg",'K3 District Data as of Jan 2025'!$2:$2,0),FALSE)+VLOOKUP($A36,'K3 District Data as of Jan 2025'!$A$3:$M$323,MATCH("Exp",'K3 District Data as of Jan 2025'!$2:$2,0),FALSE)),2)-E36</f>
        <v>-636.68000000000029</v>
      </c>
      <c r="G36" s="25">
        <f>ROUND($D36*CLS_Base*VLOOKUP($A36,'K3 District Data as of Jan 2025'!$A$3:$M$323,MATCH("Reg base",'K3 District Data as of Jan 2025'!$2:$2,0),FALSE),2)</f>
        <v>-252.52</v>
      </c>
      <c r="H36" s="25">
        <f>ROUND($D36*CLS_Inc*VLOOKUP($A36,'K3 District Data as of Jan 2025'!$A$3:$M$323,MATCH("Reg base",'K3 District Data as of Jan 2025'!$2:$2,0),FALSE),2)-G36</f>
        <v>-19.03</v>
      </c>
      <c r="I36" s="25">
        <f t="shared" si="1"/>
        <v>-1674.88</v>
      </c>
      <c r="J36" s="25">
        <f t="shared" si="2"/>
        <v>-97.84</v>
      </c>
      <c r="K36" s="25">
        <f t="shared" si="3"/>
        <v>-1533.33</v>
      </c>
      <c r="L36" s="25">
        <f t="shared" si="4"/>
        <v>-1479.26</v>
      </c>
      <c r="M36" s="25">
        <f t="shared" si="5"/>
        <v>-54.7</v>
      </c>
      <c r="N36" s="25">
        <f t="shared" si="6"/>
        <v>-3.46</v>
      </c>
      <c r="O36" s="25">
        <f>ROUND(($C36*CIS_Inc*(VLOOKUP($A36,'K3 District Data as of Jan 2025'!$A$3:$M$323,MATCH("Reg",'K3 District Data as of Jan 2025'!$2:$2,0),FALSE)+VLOOKUP($A36,'K3 District Data as of Jan 2025'!$A$3:$M$323,MATCH("Exp",'K3 District Data as of Jan 2025'!$2:$2,0),FALSE))/180)*3+(($C36*CIS_Inc*(VLOOKUP($A36,'K3 District Data as of Jan 2025'!$A$3:$M$323,MATCH("Reg",'K3 District Data as of Jan 2025'!$2:$2,0),FALSE)+VLOOKUP($A36,'K3 District Data as of Jan 2025'!$A$3:$M$323,MATCH("Exp",'K3 District Data as of Jan 2025'!$2:$2,0),FALSE))/180)*3)*CIS_Ben_Inc,2)</f>
        <v>-177.92</v>
      </c>
      <c r="P36" s="23">
        <f t="shared" si="7"/>
        <v>-14377.700000000003</v>
      </c>
    </row>
    <row r="37" spans="1:16" x14ac:dyDescent="0.25">
      <c r="A37" t="s">
        <v>138</v>
      </c>
      <c r="B37" t="s">
        <v>434</v>
      </c>
      <c r="C37" s="33">
        <f>IF(VLOOKUP($A37,'Enroll Data as of January 2025'!$A$3:$T$322,20,FALSE)&gt;0,0,VLOOKUP($A37,'Enroll Data as of January 2025'!$A$3:$T$322,20,FALSE)*'2024-25 PSES Compliance'!$G$13)</f>
        <v>0</v>
      </c>
      <c r="D37" s="33">
        <f>IF(VLOOKUP($A37,'Enroll Data as of January 2025'!$A$3:$T$322,20,FALSE)&gt;0,0,VLOOKUP($A37,'Enroll Data as of January 2025'!$A$3:$T$322,20,FALSE)*'2024-25 PSES Compliance'!$G$14)</f>
        <v>0</v>
      </c>
      <c r="E37" s="25">
        <f>ROUND($C37*CIS_Base*VLOOKUP($A37,'K3 District Data as of Jan 2025'!$A$3:$M$323,MATCH("Reg base",'K3 District Data as of Jan 2025'!$2:$2,0),FALSE),2)</f>
        <v>0</v>
      </c>
      <c r="F37" s="25">
        <f>ROUND($C37*CIS_Inc*(VLOOKUP($A37,'K3 District Data as of Jan 2025'!$A$3:$M$323,MATCH("Reg",'K3 District Data as of Jan 2025'!$2:$2,0),FALSE)+VLOOKUP($A37,'K3 District Data as of Jan 2025'!$A$3:$M$323,MATCH("Exp",'K3 District Data as of Jan 2025'!$2:$2,0),FALSE)),2)-E37</f>
        <v>0</v>
      </c>
      <c r="G37" s="25">
        <f>ROUND($D37*CLS_Base*VLOOKUP($A37,'K3 District Data as of Jan 2025'!$A$3:$M$323,MATCH("Reg base",'K3 District Data as of Jan 2025'!$2:$2,0),FALSE),2)</f>
        <v>0</v>
      </c>
      <c r="H37" s="25">
        <f>ROUND($D37*CLS_Inc*VLOOKUP($A37,'K3 District Data as of Jan 2025'!$A$3:$M$323,MATCH("Reg base",'K3 District Data as of Jan 2025'!$2:$2,0),FALSE),2)-G37</f>
        <v>0</v>
      </c>
      <c r="I37" s="25">
        <f t="shared" si="1"/>
        <v>0</v>
      </c>
      <c r="J37" s="25">
        <f t="shared" si="2"/>
        <v>0</v>
      </c>
      <c r="K37" s="25">
        <f t="shared" si="3"/>
        <v>0</v>
      </c>
      <c r="L37" s="25">
        <f t="shared" si="4"/>
        <v>0</v>
      </c>
      <c r="M37" s="25">
        <f t="shared" si="5"/>
        <v>0</v>
      </c>
      <c r="N37" s="25">
        <f t="shared" si="6"/>
        <v>0</v>
      </c>
      <c r="O37" s="25">
        <f>ROUND(($C37*CIS_Inc*(VLOOKUP($A37,'K3 District Data as of Jan 2025'!$A$3:$M$323,MATCH("Reg",'K3 District Data as of Jan 2025'!$2:$2,0),FALSE)+VLOOKUP($A37,'K3 District Data as of Jan 2025'!$A$3:$M$323,MATCH("Exp",'K3 District Data as of Jan 2025'!$2:$2,0),FALSE))/180)*3+(($C37*CIS_Inc*(VLOOKUP($A37,'K3 District Data as of Jan 2025'!$A$3:$M$323,MATCH("Reg",'K3 District Data as of Jan 2025'!$2:$2,0),FALSE)+VLOOKUP($A37,'K3 District Data as of Jan 2025'!$A$3:$M$323,MATCH("Exp",'K3 District Data as of Jan 2025'!$2:$2,0),FALSE))/180)*3)*CIS_Ben_Inc,2)</f>
        <v>0</v>
      </c>
      <c r="P37" s="23">
        <f t="shared" si="7"/>
        <v>0</v>
      </c>
    </row>
    <row r="38" spans="1:16" x14ac:dyDescent="0.25">
      <c r="A38" t="s">
        <v>261</v>
      </c>
      <c r="B38" t="s">
        <v>557</v>
      </c>
      <c r="C38" s="33">
        <f>IF(VLOOKUP($A38,'Enroll Data as of January 2025'!$A$3:$T$322,20,FALSE)&gt;0,0,VLOOKUP($A38,'Enroll Data as of January 2025'!$A$3:$T$322,20,FALSE)*'2024-25 PSES Compliance'!$G$13)</f>
        <v>-7.4880000000000002E-2</v>
      </c>
      <c r="D38" s="33">
        <f>IF(VLOOKUP($A38,'Enroll Data as of January 2025'!$A$3:$T$322,20,FALSE)&gt;0,0,VLOOKUP($A38,'Enroll Data as of January 2025'!$A$3:$T$322,20,FALSE)*'2024-25 PSES Compliance'!$G$14)</f>
        <v>-3.1199999999999999E-3</v>
      </c>
      <c r="E38" s="25">
        <f>ROUND($C38*CIS_Base*VLOOKUP($A38,'K3 District Data as of Jan 2025'!$A$3:$M$323,MATCH("Reg base",'K3 District Data as of Jan 2025'!$2:$2,0),FALSE),2)</f>
        <v>-5445.87</v>
      </c>
      <c r="F38" s="25">
        <f>ROUND($C38*CIS_Inc*(VLOOKUP($A38,'K3 District Data as of Jan 2025'!$A$3:$M$323,MATCH("Reg",'K3 District Data as of Jan 2025'!$2:$2,0),FALSE)+VLOOKUP($A38,'K3 District Data as of Jan 2025'!$A$3:$M$323,MATCH("Exp",'K3 District Data as of Jan 2025'!$2:$2,0),FALSE)),2)-E38</f>
        <v>-644.67000000000007</v>
      </c>
      <c r="G38" s="25">
        <f>ROUND($D38*CLS_Base*VLOOKUP($A38,'K3 District Data as of Jan 2025'!$A$3:$M$323,MATCH("Reg base",'K3 District Data as of Jan 2025'!$2:$2,0),FALSE),2)</f>
        <v>-162.78</v>
      </c>
      <c r="H38" s="25">
        <f>ROUND($D38*CLS_Inc*VLOOKUP($A38,'K3 District Data as of Jan 2025'!$A$3:$M$323,MATCH("Reg base",'K3 District Data as of Jan 2025'!$2:$2,0),FALSE),2)-G38</f>
        <v>-12.27000000000001</v>
      </c>
      <c r="I38" s="25">
        <f t="shared" si="1"/>
        <v>-1079.67</v>
      </c>
      <c r="J38" s="25">
        <f t="shared" si="2"/>
        <v>-63.07</v>
      </c>
      <c r="K38" s="25">
        <f t="shared" si="3"/>
        <v>-988.43</v>
      </c>
      <c r="L38" s="25">
        <f t="shared" si="4"/>
        <v>-953.57</v>
      </c>
      <c r="M38" s="25">
        <f t="shared" si="5"/>
        <v>-35.26</v>
      </c>
      <c r="N38" s="25">
        <f t="shared" si="6"/>
        <v>-2.23</v>
      </c>
      <c r="O38" s="25">
        <f>ROUND(($C38*CIS_Inc*(VLOOKUP($A38,'K3 District Data as of Jan 2025'!$A$3:$M$323,MATCH("Reg",'K3 District Data as of Jan 2025'!$2:$2,0),FALSE)+VLOOKUP($A38,'K3 District Data as of Jan 2025'!$A$3:$M$323,MATCH("Exp",'K3 District Data as of Jan 2025'!$2:$2,0),FALSE))/180)*3+(($C38*CIS_Inc*(VLOOKUP($A38,'K3 District Data as of Jan 2025'!$A$3:$M$323,MATCH("Reg",'K3 District Data as of Jan 2025'!$2:$2,0),FALSE)+VLOOKUP($A38,'K3 District Data as of Jan 2025'!$A$3:$M$323,MATCH("Exp",'K3 District Data as of Jan 2025'!$2:$2,0),FALSE))/180)*3)*CIS_Ben_Inc,2)</f>
        <v>-119.28</v>
      </c>
      <c r="P38" s="23">
        <f t="shared" si="7"/>
        <v>-9507.1</v>
      </c>
    </row>
    <row r="39" spans="1:16" x14ac:dyDescent="0.25">
      <c r="A39" t="s">
        <v>672</v>
      </c>
      <c r="B39" t="s">
        <v>673</v>
      </c>
      <c r="C39" s="33">
        <f>IF(VLOOKUP($A39,'Enroll Data as of January 2025'!$A$3:$T$322,20,FALSE)&gt;0,0,VLOOKUP($A39,'Enroll Data as of January 2025'!$A$3:$T$322,20,FALSE)*'2024-25 PSES Compliance'!$G$13)</f>
        <v>-0.39455999999999997</v>
      </c>
      <c r="D39" s="33">
        <f>IF(VLOOKUP($A39,'Enroll Data as of January 2025'!$A$3:$T$322,20,FALSE)&gt;0,0,VLOOKUP($A39,'Enroll Data as of January 2025'!$A$3:$T$322,20,FALSE)*'2024-25 PSES Compliance'!$G$14)</f>
        <v>-1.644E-2</v>
      </c>
      <c r="E39" s="25">
        <f>ROUND($C39*CIS_Base*VLOOKUP($A39,'K3 District Data as of Jan 2025'!$A$3:$M$323,MATCH("Reg base",'K3 District Data as of Jan 2025'!$2:$2,0),FALSE),2)</f>
        <v>-30417.29</v>
      </c>
      <c r="F39" s="25">
        <f>ROUND($C39*CIS_Inc*(VLOOKUP($A39,'K3 District Data as of Jan 2025'!$A$3:$M$323,MATCH("Reg",'K3 District Data as of Jan 2025'!$2:$2,0),FALSE)+VLOOKUP($A39,'K3 District Data as of Jan 2025'!$A$3:$M$323,MATCH("Exp",'K3 District Data as of Jan 2025'!$2:$2,0),FALSE)),2)-E39</f>
        <v>-2292.34</v>
      </c>
      <c r="G39" s="25">
        <f>ROUND($D39*CLS_Base*VLOOKUP($A39,'K3 District Data as of Jan 2025'!$A$3:$M$323,MATCH("Reg base",'K3 District Data as of Jan 2025'!$2:$2,0),FALSE),2)</f>
        <v>-909.19</v>
      </c>
      <c r="H39" s="25">
        <f>ROUND($D39*CLS_Inc*VLOOKUP($A39,'K3 District Data as of Jan 2025'!$A$3:$M$323,MATCH("Reg base",'K3 District Data as of Jan 2025'!$2:$2,0),FALSE),2)-G39</f>
        <v>-68.519999999999982</v>
      </c>
      <c r="I39" s="25">
        <f t="shared" si="1"/>
        <v>-5689.05</v>
      </c>
      <c r="J39" s="25">
        <f t="shared" si="2"/>
        <v>-332.33</v>
      </c>
      <c r="K39" s="25">
        <f t="shared" si="3"/>
        <v>-5520.74</v>
      </c>
      <c r="L39" s="25">
        <f t="shared" si="4"/>
        <v>-5326.07</v>
      </c>
      <c r="M39" s="25">
        <f t="shared" si="5"/>
        <v>-196.93</v>
      </c>
      <c r="N39" s="25">
        <f t="shared" si="6"/>
        <v>-12.44</v>
      </c>
      <c r="O39" s="25">
        <f>ROUND(($C39*CIS_Inc*(VLOOKUP($A39,'K3 District Data as of Jan 2025'!$A$3:$M$323,MATCH("Reg",'K3 District Data as of Jan 2025'!$2:$2,0),FALSE)+VLOOKUP($A39,'K3 District Data as of Jan 2025'!$A$3:$M$323,MATCH("Exp",'K3 District Data as of Jan 2025'!$2:$2,0),FALSE))/180)*3+(($C39*CIS_Inc*(VLOOKUP($A39,'K3 District Data as of Jan 2025'!$A$3:$M$323,MATCH("Reg",'K3 District Data as of Jan 2025'!$2:$2,0),FALSE)+VLOOKUP($A39,'K3 District Data as of Jan 2025'!$A$3:$M$323,MATCH("Exp",'K3 District Data as of Jan 2025'!$2:$2,0),FALSE))/180)*3)*CIS_Ben_Inc,2)</f>
        <v>-640.62</v>
      </c>
      <c r="P39" s="23">
        <f t="shared" si="7"/>
        <v>-51405.520000000004</v>
      </c>
    </row>
    <row r="40" spans="1:16" x14ac:dyDescent="0.25">
      <c r="A40" t="s">
        <v>179</v>
      </c>
      <c r="B40" t="s">
        <v>475</v>
      </c>
      <c r="C40" s="33">
        <f>IF(VLOOKUP($A40,'Enroll Data as of January 2025'!$A$3:$T$322,20,FALSE)&gt;0,0,VLOOKUP($A40,'Enroll Data as of January 2025'!$A$3:$T$322,20,FALSE)*'2024-25 PSES Compliance'!$G$13)</f>
        <v>-0.27551999999999999</v>
      </c>
      <c r="D40" s="33">
        <f>IF(VLOOKUP($A40,'Enroll Data as of January 2025'!$A$3:$T$322,20,FALSE)&gt;0,0,VLOOKUP($A40,'Enroll Data as of January 2025'!$A$3:$T$322,20,FALSE)*'2024-25 PSES Compliance'!$G$14)</f>
        <v>-1.1479999999999999E-2</v>
      </c>
      <c r="E40" s="25">
        <f>ROUND($C40*CIS_Base*VLOOKUP($A40,'K3 District Data as of Jan 2025'!$A$3:$M$323,MATCH("Reg base",'K3 District Data as of Jan 2025'!$2:$2,0),FALSE),2)</f>
        <v>-20038.02</v>
      </c>
      <c r="F40" s="25">
        <f>ROUND($C40*CIS_Inc*(VLOOKUP($A40,'K3 District Data as of Jan 2025'!$A$3:$M$323,MATCH("Reg",'K3 District Data as of Jan 2025'!$2:$2,0),FALSE)+VLOOKUP($A40,'K3 District Data as of Jan 2025'!$A$3:$M$323,MATCH("Exp",'K3 District Data as of Jan 2025'!$2:$2,0),FALSE)),2)-E40</f>
        <v>-1510.119999999999</v>
      </c>
      <c r="G40" s="25">
        <f>ROUND($D40*CLS_Base*VLOOKUP($A40,'K3 District Data as of Jan 2025'!$A$3:$M$323,MATCH("Reg base",'K3 District Data as of Jan 2025'!$2:$2,0),FALSE),2)</f>
        <v>-598.95000000000005</v>
      </c>
      <c r="H40" s="25">
        <f>ROUND($D40*CLS_Inc*VLOOKUP($A40,'K3 District Data as of Jan 2025'!$A$3:$M$323,MATCH("Reg base",'K3 District Data as of Jan 2025'!$2:$2,0),FALSE),2)-G40</f>
        <v>-45.139999999999986</v>
      </c>
      <c r="I40" s="25">
        <f t="shared" si="1"/>
        <v>-3972.65</v>
      </c>
      <c r="J40" s="25">
        <f t="shared" si="2"/>
        <v>-232.06</v>
      </c>
      <c r="K40" s="25">
        <f t="shared" si="3"/>
        <v>-3636.9</v>
      </c>
      <c r="L40" s="25">
        <f t="shared" si="4"/>
        <v>-3508.66</v>
      </c>
      <c r="M40" s="25">
        <f t="shared" si="5"/>
        <v>-129.72999999999999</v>
      </c>
      <c r="N40" s="25">
        <f t="shared" si="6"/>
        <v>-8.1999999999999993</v>
      </c>
      <c r="O40" s="25">
        <f>ROUND(($C40*CIS_Inc*(VLOOKUP($A40,'K3 District Data as of Jan 2025'!$A$3:$M$323,MATCH("Reg",'K3 District Data as of Jan 2025'!$2:$2,0),FALSE)+VLOOKUP($A40,'K3 District Data as of Jan 2025'!$A$3:$M$323,MATCH("Exp",'K3 District Data as of Jan 2025'!$2:$2,0),FALSE))/180)*3+(($C40*CIS_Inc*(VLOOKUP($A40,'K3 District Data as of Jan 2025'!$A$3:$M$323,MATCH("Reg",'K3 District Data as of Jan 2025'!$2:$2,0),FALSE)+VLOOKUP($A40,'K3 District Data as of Jan 2025'!$A$3:$M$323,MATCH("Exp",'K3 District Data as of Jan 2025'!$2:$2,0),FALSE))/180)*3)*CIS_Ben_Inc,2)</f>
        <v>-422.02</v>
      </c>
      <c r="P40" s="23">
        <f t="shared" si="7"/>
        <v>-34102.449999999997</v>
      </c>
    </row>
    <row r="41" spans="1:16" x14ac:dyDescent="0.25">
      <c r="A41" t="s">
        <v>302</v>
      </c>
      <c r="B41" t="s">
        <v>598</v>
      </c>
      <c r="C41" s="33">
        <f>IF(VLOOKUP($A41,'Enroll Data as of January 2025'!$A$3:$T$322,20,FALSE)&gt;0,0,VLOOKUP($A41,'Enroll Data as of January 2025'!$A$3:$T$322,20,FALSE)*'2024-25 PSES Compliance'!$G$13)</f>
        <v>0</v>
      </c>
      <c r="D41" s="33">
        <f>IF(VLOOKUP($A41,'Enroll Data as of January 2025'!$A$3:$T$322,20,FALSE)&gt;0,0,VLOOKUP($A41,'Enroll Data as of January 2025'!$A$3:$T$322,20,FALSE)*'2024-25 PSES Compliance'!$G$14)</f>
        <v>0</v>
      </c>
      <c r="E41" s="25">
        <f>ROUND($C41*CIS_Base*VLOOKUP($A41,'K3 District Data as of Jan 2025'!$A$3:$M$323,MATCH("Reg base",'K3 District Data as of Jan 2025'!$2:$2,0),FALSE),2)</f>
        <v>0</v>
      </c>
      <c r="F41" s="25">
        <f>ROUND($C41*CIS_Inc*(VLOOKUP($A41,'K3 District Data as of Jan 2025'!$A$3:$M$323,MATCH("Reg",'K3 District Data as of Jan 2025'!$2:$2,0),FALSE)+VLOOKUP($A41,'K3 District Data as of Jan 2025'!$A$3:$M$323,MATCH("Exp",'K3 District Data as of Jan 2025'!$2:$2,0),FALSE)),2)-E41</f>
        <v>0</v>
      </c>
      <c r="G41" s="25">
        <f>ROUND($D41*CLS_Base*VLOOKUP($A41,'K3 District Data as of Jan 2025'!$A$3:$M$323,MATCH("Reg base",'K3 District Data as of Jan 2025'!$2:$2,0),FALSE),2)</f>
        <v>0</v>
      </c>
      <c r="H41" s="25">
        <f>ROUND($D41*CLS_Inc*VLOOKUP($A41,'K3 District Data as of Jan 2025'!$A$3:$M$323,MATCH("Reg base",'K3 District Data as of Jan 2025'!$2:$2,0),FALSE),2)-G41</f>
        <v>0</v>
      </c>
      <c r="I41" s="25">
        <f t="shared" si="1"/>
        <v>0</v>
      </c>
      <c r="J41" s="25">
        <f t="shared" si="2"/>
        <v>0</v>
      </c>
      <c r="K41" s="25">
        <f t="shared" si="3"/>
        <v>0</v>
      </c>
      <c r="L41" s="25">
        <f t="shared" si="4"/>
        <v>0</v>
      </c>
      <c r="M41" s="25">
        <f t="shared" si="5"/>
        <v>0</v>
      </c>
      <c r="N41" s="25">
        <f t="shared" si="6"/>
        <v>0</v>
      </c>
      <c r="O41" s="25">
        <f>ROUND(($C41*CIS_Inc*(VLOOKUP($A41,'K3 District Data as of Jan 2025'!$A$3:$M$323,MATCH("Reg",'K3 District Data as of Jan 2025'!$2:$2,0),FALSE)+VLOOKUP($A41,'K3 District Data as of Jan 2025'!$A$3:$M$323,MATCH("Exp",'K3 District Data as of Jan 2025'!$2:$2,0),FALSE))/180)*3+(($C41*CIS_Inc*(VLOOKUP($A41,'K3 District Data as of Jan 2025'!$A$3:$M$323,MATCH("Reg",'K3 District Data as of Jan 2025'!$2:$2,0),FALSE)+VLOOKUP($A41,'K3 District Data as of Jan 2025'!$A$3:$M$323,MATCH("Exp",'K3 District Data as of Jan 2025'!$2:$2,0),FALSE))/180)*3)*CIS_Ben_Inc,2)</f>
        <v>0</v>
      </c>
      <c r="P41" s="23">
        <f t="shared" si="7"/>
        <v>0</v>
      </c>
    </row>
    <row r="42" spans="1:16" x14ac:dyDescent="0.25">
      <c r="A42" t="s">
        <v>91</v>
      </c>
      <c r="B42" t="s">
        <v>387</v>
      </c>
      <c r="C42" s="33">
        <f>IF(VLOOKUP($A42,'Enroll Data as of January 2025'!$A$3:$T$322,20,FALSE)&gt;0,0,VLOOKUP($A42,'Enroll Data as of January 2025'!$A$3:$T$322,20,FALSE)*'2024-25 PSES Compliance'!$G$13)</f>
        <v>-0.14784</v>
      </c>
      <c r="D42" s="33">
        <f>IF(VLOOKUP($A42,'Enroll Data as of January 2025'!$A$3:$T$322,20,FALSE)&gt;0,0,VLOOKUP($A42,'Enroll Data as of January 2025'!$A$3:$T$322,20,FALSE)*'2024-25 PSES Compliance'!$G$14)</f>
        <v>-6.1599999999999997E-3</v>
      </c>
      <c r="E42" s="25">
        <f>ROUND($C42*CIS_Base*VLOOKUP($A42,'K3 District Data as of Jan 2025'!$A$3:$M$323,MATCH("Reg base",'K3 District Data as of Jan 2025'!$2:$2,0),FALSE),2)</f>
        <v>-10752.11</v>
      </c>
      <c r="F42" s="25">
        <f>ROUND($C42*CIS_Inc*(VLOOKUP($A42,'K3 District Data as of Jan 2025'!$A$3:$M$323,MATCH("Reg",'K3 District Data as of Jan 2025'!$2:$2,0),FALSE)+VLOOKUP($A42,'K3 District Data as of Jan 2025'!$A$3:$M$323,MATCH("Exp",'K3 District Data as of Jan 2025'!$2:$2,0),FALSE)),2)-E42</f>
        <v>-1272.8099999999995</v>
      </c>
      <c r="G42" s="25">
        <f>ROUND($D42*CLS_Base*VLOOKUP($A42,'K3 District Data as of Jan 2025'!$A$3:$M$323,MATCH("Reg base",'K3 District Data as of Jan 2025'!$2:$2,0),FALSE),2)</f>
        <v>-321.39</v>
      </c>
      <c r="H42" s="25">
        <f>ROUND($D42*CLS_Inc*VLOOKUP($A42,'K3 District Data as of Jan 2025'!$A$3:$M$323,MATCH("Reg base",'K3 District Data as of Jan 2025'!$2:$2,0),FALSE),2)-G42</f>
        <v>-24.220000000000027</v>
      </c>
      <c r="I42" s="25">
        <f t="shared" si="1"/>
        <v>-2131.66</v>
      </c>
      <c r="J42" s="25">
        <f t="shared" si="2"/>
        <v>-124.52</v>
      </c>
      <c r="K42" s="25">
        <f t="shared" si="3"/>
        <v>-1951.51</v>
      </c>
      <c r="L42" s="25">
        <f t="shared" si="4"/>
        <v>-1882.69</v>
      </c>
      <c r="M42" s="25">
        <f t="shared" si="5"/>
        <v>-69.61</v>
      </c>
      <c r="N42" s="25">
        <f t="shared" si="6"/>
        <v>-4.4000000000000004</v>
      </c>
      <c r="O42" s="25">
        <f>ROUND(($C42*CIS_Inc*(VLOOKUP($A42,'K3 District Data as of Jan 2025'!$A$3:$M$323,MATCH("Reg",'K3 District Data as of Jan 2025'!$2:$2,0),FALSE)+VLOOKUP($A42,'K3 District Data as of Jan 2025'!$A$3:$M$323,MATCH("Exp",'K3 District Data as of Jan 2025'!$2:$2,0),FALSE))/180)*3+(($C42*CIS_Inc*(VLOOKUP($A42,'K3 District Data as of Jan 2025'!$A$3:$M$323,MATCH("Reg",'K3 District Data as of Jan 2025'!$2:$2,0),FALSE)+VLOOKUP($A42,'K3 District Data as of Jan 2025'!$A$3:$M$323,MATCH("Exp",'K3 District Data as of Jan 2025'!$2:$2,0),FALSE))/180)*3)*CIS_Ben_Inc,2)</f>
        <v>-235.51</v>
      </c>
      <c r="P42" s="23">
        <f t="shared" si="7"/>
        <v>-18770.429999999997</v>
      </c>
    </row>
    <row r="43" spans="1:16" x14ac:dyDescent="0.25">
      <c r="A43" t="s">
        <v>227</v>
      </c>
      <c r="B43" t="s">
        <v>523</v>
      </c>
      <c r="C43" s="33">
        <f>IF(VLOOKUP($A43,'Enroll Data as of January 2025'!$A$3:$T$322,20,FALSE)&gt;0,0,VLOOKUP($A43,'Enroll Data as of January 2025'!$A$3:$T$322,20,FALSE)*'2024-25 PSES Compliance'!$G$13)</f>
        <v>-0.19968</v>
      </c>
      <c r="D43" s="33">
        <f>IF(VLOOKUP($A43,'Enroll Data as of January 2025'!$A$3:$T$322,20,FALSE)&gt;0,0,VLOOKUP($A43,'Enroll Data as of January 2025'!$A$3:$T$322,20,FALSE)*'2024-25 PSES Compliance'!$G$14)</f>
        <v>-8.3199999999999993E-3</v>
      </c>
      <c r="E43" s="25">
        <f>ROUND($C43*CIS_Base*VLOOKUP($A43,'K3 District Data as of Jan 2025'!$A$3:$M$323,MATCH("Reg base",'K3 District Data as of Jan 2025'!$2:$2,0),FALSE),2)</f>
        <v>-14522.33</v>
      </c>
      <c r="F43" s="25">
        <f>ROUND($C43*CIS_Inc*(VLOOKUP($A43,'K3 District Data as of Jan 2025'!$A$3:$M$323,MATCH("Reg",'K3 District Data as of Jan 2025'!$2:$2,0),FALSE)+VLOOKUP($A43,'K3 District Data as of Jan 2025'!$A$3:$M$323,MATCH("Exp",'K3 District Data as of Jan 2025'!$2:$2,0),FALSE)),2)-E43</f>
        <v>-1094.4400000000005</v>
      </c>
      <c r="G43" s="25">
        <f>ROUND($D43*CLS_Base*VLOOKUP($A43,'K3 District Data as of Jan 2025'!$A$3:$M$323,MATCH("Reg base",'K3 District Data as of Jan 2025'!$2:$2,0),FALSE),2)</f>
        <v>-434.08</v>
      </c>
      <c r="H43" s="25">
        <f>ROUND($D43*CLS_Inc*VLOOKUP($A43,'K3 District Data as of Jan 2025'!$A$3:$M$323,MATCH("Reg base",'K3 District Data as of Jan 2025'!$2:$2,0),FALSE),2)-G43</f>
        <v>-32.710000000000036</v>
      </c>
      <c r="I43" s="25">
        <f t="shared" si="1"/>
        <v>-2879.13</v>
      </c>
      <c r="J43" s="25">
        <f t="shared" si="2"/>
        <v>-168.18</v>
      </c>
      <c r="K43" s="25">
        <f t="shared" si="3"/>
        <v>-2635.8</v>
      </c>
      <c r="L43" s="25">
        <f t="shared" si="4"/>
        <v>-2542.86</v>
      </c>
      <c r="M43" s="25">
        <f t="shared" si="5"/>
        <v>-94.02</v>
      </c>
      <c r="N43" s="25">
        <f t="shared" si="6"/>
        <v>-5.94</v>
      </c>
      <c r="O43" s="25">
        <f>ROUND(($C43*CIS_Inc*(VLOOKUP($A43,'K3 District Data as of Jan 2025'!$A$3:$M$323,MATCH("Reg",'K3 District Data as of Jan 2025'!$2:$2,0),FALSE)+VLOOKUP($A43,'K3 District Data as of Jan 2025'!$A$3:$M$323,MATCH("Exp",'K3 District Data as of Jan 2025'!$2:$2,0),FALSE))/180)*3+(($C43*CIS_Inc*(VLOOKUP($A43,'K3 District Data as of Jan 2025'!$A$3:$M$323,MATCH("Reg",'K3 District Data as of Jan 2025'!$2:$2,0),FALSE)+VLOOKUP($A43,'K3 District Data as of Jan 2025'!$A$3:$M$323,MATCH("Exp",'K3 District Data as of Jan 2025'!$2:$2,0),FALSE))/180)*3)*CIS_Ben_Inc,2)</f>
        <v>-305.85000000000002</v>
      </c>
      <c r="P43" s="23">
        <f t="shared" si="7"/>
        <v>-24715.34</v>
      </c>
    </row>
    <row r="44" spans="1:16" x14ac:dyDescent="0.25">
      <c r="A44" t="s">
        <v>198</v>
      </c>
      <c r="B44" t="s">
        <v>493</v>
      </c>
      <c r="C44" s="33">
        <f>IF(VLOOKUP($A44,'Enroll Data as of January 2025'!$A$3:$T$322,20,FALSE)&gt;0,0,VLOOKUP($A44,'Enroll Data as of January 2025'!$A$3:$T$322,20,FALSE)*'2024-25 PSES Compliance'!$G$13)</f>
        <v>-3.6479999999999999E-2</v>
      </c>
      <c r="D44" s="33">
        <f>IF(VLOOKUP($A44,'Enroll Data as of January 2025'!$A$3:$T$322,20,FALSE)&gt;0,0,VLOOKUP($A44,'Enroll Data as of January 2025'!$A$3:$T$322,20,FALSE)*'2024-25 PSES Compliance'!$G$14)</f>
        <v>-1.5200000000000001E-3</v>
      </c>
      <c r="E44" s="25">
        <f>ROUND($C44*CIS_Base*VLOOKUP($A44,'K3 District Data as of Jan 2025'!$A$3:$M$323,MATCH("Reg base",'K3 District Data as of Jan 2025'!$2:$2,0),FALSE),2)</f>
        <v>-3130.68</v>
      </c>
      <c r="F44" s="25">
        <f>ROUND($C44*CIS_Inc*(VLOOKUP($A44,'K3 District Data as of Jan 2025'!$A$3:$M$323,MATCH("Reg",'K3 District Data as of Jan 2025'!$2:$2,0),FALSE)+VLOOKUP($A44,'K3 District Data as of Jan 2025'!$A$3:$M$323,MATCH("Exp",'K3 District Data as of Jan 2025'!$2:$2,0),FALSE)),2)-E44</f>
        <v>-235.94000000000005</v>
      </c>
      <c r="G44" s="25">
        <f>ROUND($D44*CLS_Base*VLOOKUP($A44,'K3 District Data as of Jan 2025'!$A$3:$M$323,MATCH("Reg base",'K3 District Data as of Jan 2025'!$2:$2,0),FALSE),2)</f>
        <v>-93.58</v>
      </c>
      <c r="H44" s="25">
        <f>ROUND($D44*CLS_Inc*VLOOKUP($A44,'K3 District Data as of Jan 2025'!$A$3:$M$323,MATCH("Reg base",'K3 District Data as of Jan 2025'!$2:$2,0),FALSE),2)-G44</f>
        <v>-7.0499999999999972</v>
      </c>
      <c r="I44" s="25">
        <f t="shared" si="1"/>
        <v>-525.99</v>
      </c>
      <c r="J44" s="25">
        <f t="shared" si="2"/>
        <v>-30.73</v>
      </c>
      <c r="K44" s="25">
        <f t="shared" si="3"/>
        <v>-568.22</v>
      </c>
      <c r="L44" s="25">
        <f t="shared" si="4"/>
        <v>-548.17999999999995</v>
      </c>
      <c r="M44" s="25">
        <f t="shared" si="5"/>
        <v>-20.27</v>
      </c>
      <c r="N44" s="25">
        <f t="shared" si="6"/>
        <v>-1.28</v>
      </c>
      <c r="O44" s="25">
        <f>ROUND(($C44*CIS_Inc*(VLOOKUP($A44,'K3 District Data as of Jan 2025'!$A$3:$M$323,MATCH("Reg",'K3 District Data as of Jan 2025'!$2:$2,0),FALSE)+VLOOKUP($A44,'K3 District Data as of Jan 2025'!$A$3:$M$323,MATCH("Exp",'K3 District Data as of Jan 2025'!$2:$2,0),FALSE))/180)*3+(($C44*CIS_Inc*(VLOOKUP($A44,'K3 District Data as of Jan 2025'!$A$3:$M$323,MATCH("Reg",'K3 District Data as of Jan 2025'!$2:$2,0),FALSE)+VLOOKUP($A44,'K3 District Data as of Jan 2025'!$A$3:$M$323,MATCH("Exp",'K3 District Data as of Jan 2025'!$2:$2,0),FALSE))/180)*3)*CIS_Ben_Inc,2)</f>
        <v>-65.94</v>
      </c>
      <c r="P44" s="23">
        <f t="shared" si="7"/>
        <v>-5227.8599999999997</v>
      </c>
    </row>
    <row r="45" spans="1:16" x14ac:dyDescent="0.25">
      <c r="A45" t="s">
        <v>82</v>
      </c>
      <c r="B45" t="s">
        <v>378</v>
      </c>
      <c r="C45" s="33">
        <f>IF(VLOOKUP($A45,'Enroll Data as of January 2025'!$A$3:$T$322,20,FALSE)&gt;0,0,VLOOKUP($A45,'Enroll Data as of January 2025'!$A$3:$T$322,20,FALSE)*'2024-25 PSES Compliance'!$G$13)</f>
        <v>-0.28608</v>
      </c>
      <c r="D45" s="33">
        <f>IF(VLOOKUP($A45,'Enroll Data as of January 2025'!$A$3:$T$322,20,FALSE)&gt;0,0,VLOOKUP($A45,'Enroll Data as of January 2025'!$A$3:$T$322,20,FALSE)*'2024-25 PSES Compliance'!$G$14)</f>
        <v>-1.192E-2</v>
      </c>
      <c r="E45" s="25">
        <f>ROUND($C45*CIS_Base*VLOOKUP($A45,'K3 District Data as of Jan 2025'!$A$3:$M$323,MATCH("Reg base",'K3 District Data as of Jan 2025'!$2:$2,0),FALSE),2)</f>
        <v>-20806.03</v>
      </c>
      <c r="F45" s="25">
        <f>ROUND($C45*CIS_Inc*(VLOOKUP($A45,'K3 District Data as of Jan 2025'!$A$3:$M$323,MATCH("Reg",'K3 District Data as of Jan 2025'!$2:$2,0),FALSE)+VLOOKUP($A45,'K3 District Data as of Jan 2025'!$A$3:$M$323,MATCH("Exp",'K3 District Data as of Jan 2025'!$2:$2,0),FALSE)),2)-E45</f>
        <v>-1568</v>
      </c>
      <c r="G45" s="25">
        <f>ROUND($D45*CLS_Base*VLOOKUP($A45,'K3 District Data as of Jan 2025'!$A$3:$M$323,MATCH("Reg base",'K3 District Data as of Jan 2025'!$2:$2,0),FALSE),2)</f>
        <v>-621.9</v>
      </c>
      <c r="H45" s="25">
        <f>ROUND($D45*CLS_Inc*VLOOKUP($A45,'K3 District Data as of Jan 2025'!$A$3:$M$323,MATCH("Reg base",'K3 District Data as of Jan 2025'!$2:$2,0),FALSE),2)-G45</f>
        <v>-46.870000000000005</v>
      </c>
      <c r="I45" s="25">
        <f t="shared" si="1"/>
        <v>-4124.91</v>
      </c>
      <c r="J45" s="25">
        <f t="shared" si="2"/>
        <v>-240.96</v>
      </c>
      <c r="K45" s="25">
        <f t="shared" si="3"/>
        <v>-3776.29</v>
      </c>
      <c r="L45" s="25">
        <f t="shared" si="4"/>
        <v>-3643.14</v>
      </c>
      <c r="M45" s="25">
        <f t="shared" si="5"/>
        <v>-134.69999999999999</v>
      </c>
      <c r="N45" s="25">
        <f t="shared" si="6"/>
        <v>-8.51</v>
      </c>
      <c r="O45" s="25">
        <f>ROUND(($C45*CIS_Inc*(VLOOKUP($A45,'K3 District Data as of Jan 2025'!$A$3:$M$323,MATCH("Reg",'K3 District Data as of Jan 2025'!$2:$2,0),FALSE)+VLOOKUP($A45,'K3 District Data as of Jan 2025'!$A$3:$M$323,MATCH("Exp",'K3 District Data as of Jan 2025'!$2:$2,0),FALSE))/180)*3+(($C45*CIS_Inc*(VLOOKUP($A45,'K3 District Data as of Jan 2025'!$A$3:$M$323,MATCH("Reg",'K3 District Data as of Jan 2025'!$2:$2,0),FALSE)+VLOOKUP($A45,'K3 District Data as of Jan 2025'!$A$3:$M$323,MATCH("Exp",'K3 District Data as of Jan 2025'!$2:$2,0),FALSE))/180)*3)*CIS_Ben_Inc,2)</f>
        <v>-438.2</v>
      </c>
      <c r="P45" s="23">
        <f t="shared" si="7"/>
        <v>-35409.509999999995</v>
      </c>
    </row>
    <row r="46" spans="1:16" x14ac:dyDescent="0.25">
      <c r="A46" t="s">
        <v>92</v>
      </c>
      <c r="B46" t="s">
        <v>388</v>
      </c>
      <c r="C46" s="33">
        <f>IF(VLOOKUP($A46,'Enroll Data as of January 2025'!$A$3:$T$322,20,FALSE)&gt;0,0,VLOOKUP($A46,'Enroll Data as of January 2025'!$A$3:$T$322,20,FALSE)*'2024-25 PSES Compliance'!$G$13)</f>
        <v>-0.10367999999999999</v>
      </c>
      <c r="D46" s="33">
        <f>IF(VLOOKUP($A46,'Enroll Data as of January 2025'!$A$3:$T$322,20,FALSE)&gt;0,0,VLOOKUP($A46,'Enroll Data as of January 2025'!$A$3:$T$322,20,FALSE)*'2024-25 PSES Compliance'!$G$14)</f>
        <v>-4.3200000000000001E-3</v>
      </c>
      <c r="E46" s="25">
        <f>ROUND($C46*CIS_Base*VLOOKUP($A46,'K3 District Data as of Jan 2025'!$A$3:$M$323,MATCH("Reg base",'K3 District Data as of Jan 2025'!$2:$2,0),FALSE),2)</f>
        <v>-7540.44</v>
      </c>
      <c r="F46" s="25">
        <f>ROUND($C46*CIS_Inc*(VLOOKUP($A46,'K3 District Data as of Jan 2025'!$A$3:$M$323,MATCH("Reg",'K3 District Data as of Jan 2025'!$2:$2,0),FALSE)+VLOOKUP($A46,'K3 District Data as of Jan 2025'!$A$3:$M$323,MATCH("Exp",'K3 District Data as of Jan 2025'!$2:$2,0),FALSE)),2)-E46</f>
        <v>-568.27000000000044</v>
      </c>
      <c r="G46" s="25">
        <f>ROUND($D46*CLS_Base*VLOOKUP($A46,'K3 District Data as of Jan 2025'!$A$3:$M$323,MATCH("Reg base",'K3 District Data as of Jan 2025'!$2:$2,0),FALSE),2)</f>
        <v>-225.39</v>
      </c>
      <c r="H46" s="25">
        <f>ROUND($D46*CLS_Inc*VLOOKUP($A46,'K3 District Data as of Jan 2025'!$A$3:$M$323,MATCH("Reg base",'K3 District Data as of Jan 2025'!$2:$2,0),FALSE),2)-G46</f>
        <v>-16.980000000000018</v>
      </c>
      <c r="I46" s="25">
        <f t="shared" si="1"/>
        <v>-1494.93</v>
      </c>
      <c r="J46" s="25">
        <f t="shared" si="2"/>
        <v>-87.33</v>
      </c>
      <c r="K46" s="25">
        <f t="shared" si="3"/>
        <v>-1368.59</v>
      </c>
      <c r="L46" s="25">
        <f t="shared" si="4"/>
        <v>-1320.33</v>
      </c>
      <c r="M46" s="25">
        <f t="shared" si="5"/>
        <v>-48.82</v>
      </c>
      <c r="N46" s="25">
        <f t="shared" si="6"/>
        <v>-3.08</v>
      </c>
      <c r="O46" s="25">
        <f>ROUND(($C46*CIS_Inc*(VLOOKUP($A46,'K3 District Data as of Jan 2025'!$A$3:$M$323,MATCH("Reg",'K3 District Data as of Jan 2025'!$2:$2,0),FALSE)+VLOOKUP($A46,'K3 District Data as of Jan 2025'!$A$3:$M$323,MATCH("Exp",'K3 District Data as of Jan 2025'!$2:$2,0),FALSE))/180)*3+(($C46*CIS_Inc*(VLOOKUP($A46,'K3 District Data as of Jan 2025'!$A$3:$M$323,MATCH("Reg",'K3 District Data as of Jan 2025'!$2:$2,0),FALSE)+VLOOKUP($A46,'K3 District Data as of Jan 2025'!$A$3:$M$323,MATCH("Exp",'K3 District Data as of Jan 2025'!$2:$2,0),FALSE))/180)*3)*CIS_Ben_Inc,2)</f>
        <v>-158.81</v>
      </c>
      <c r="P46" s="23">
        <f t="shared" si="7"/>
        <v>-12832.97</v>
      </c>
    </row>
    <row r="47" spans="1:16" x14ac:dyDescent="0.25">
      <c r="A47" t="s">
        <v>21</v>
      </c>
      <c r="B47" t="s">
        <v>318</v>
      </c>
      <c r="C47" s="33">
        <f>IF(VLOOKUP($A47,'Enroll Data as of January 2025'!$A$3:$T$322,20,FALSE)&gt;0,0,VLOOKUP($A47,'Enroll Data as of January 2025'!$A$3:$T$322,20,FALSE)*'2024-25 PSES Compliance'!$G$13)</f>
        <v>-6.336E-2</v>
      </c>
      <c r="D47" s="33">
        <f>IF(VLOOKUP($A47,'Enroll Data as of January 2025'!$A$3:$T$322,20,FALSE)&gt;0,0,VLOOKUP($A47,'Enroll Data as of January 2025'!$A$3:$T$322,20,FALSE)*'2024-25 PSES Compliance'!$G$14)</f>
        <v>-2.64E-3</v>
      </c>
      <c r="E47" s="25">
        <f>ROUND($C47*CIS_Base*VLOOKUP($A47,'K3 District Data as of Jan 2025'!$A$3:$M$323,MATCH("Reg base",'K3 District Data as of Jan 2025'!$2:$2,0),FALSE),2)</f>
        <v>-4608.05</v>
      </c>
      <c r="F47" s="25">
        <f>ROUND($C47*CIS_Inc*(VLOOKUP($A47,'K3 District Data as of Jan 2025'!$A$3:$M$323,MATCH("Reg",'K3 District Data as of Jan 2025'!$2:$2,0),FALSE)+VLOOKUP($A47,'K3 District Data as of Jan 2025'!$A$3:$M$323,MATCH("Exp",'K3 District Data as of Jan 2025'!$2:$2,0),FALSE)),2)-E47</f>
        <v>-347.26999999999953</v>
      </c>
      <c r="G47" s="25">
        <f>ROUND($D47*CLS_Base*VLOOKUP($A47,'K3 District Data as of Jan 2025'!$A$3:$M$323,MATCH("Reg base",'K3 District Data as of Jan 2025'!$2:$2,0),FALSE),2)</f>
        <v>-137.74</v>
      </c>
      <c r="H47" s="25">
        <f>ROUND($D47*CLS_Inc*VLOOKUP($A47,'K3 District Data as of Jan 2025'!$A$3:$M$323,MATCH("Reg base",'K3 District Data as of Jan 2025'!$2:$2,0),FALSE),2)-G47</f>
        <v>-10.379999999999995</v>
      </c>
      <c r="I47" s="25">
        <f t="shared" si="1"/>
        <v>-913.57</v>
      </c>
      <c r="J47" s="25">
        <f t="shared" si="2"/>
        <v>-53.37</v>
      </c>
      <c r="K47" s="25">
        <f t="shared" si="3"/>
        <v>-836.36</v>
      </c>
      <c r="L47" s="25">
        <f t="shared" si="4"/>
        <v>-806.87</v>
      </c>
      <c r="M47" s="25">
        <f t="shared" si="5"/>
        <v>-29.83</v>
      </c>
      <c r="N47" s="25">
        <f t="shared" si="6"/>
        <v>-1.89</v>
      </c>
      <c r="O47" s="25">
        <f>ROUND(($C47*CIS_Inc*(VLOOKUP($A47,'K3 District Data as of Jan 2025'!$A$3:$M$323,MATCH("Reg",'K3 District Data as of Jan 2025'!$2:$2,0),FALSE)+VLOOKUP($A47,'K3 District Data as of Jan 2025'!$A$3:$M$323,MATCH("Exp",'K3 District Data as of Jan 2025'!$2:$2,0),FALSE))/180)*3+(($C47*CIS_Inc*(VLOOKUP($A47,'K3 District Data as of Jan 2025'!$A$3:$M$323,MATCH("Reg",'K3 District Data as of Jan 2025'!$2:$2,0),FALSE)+VLOOKUP($A47,'K3 District Data as of Jan 2025'!$A$3:$M$323,MATCH("Exp",'K3 District Data as of Jan 2025'!$2:$2,0),FALSE))/180)*3)*CIS_Ben_Inc,2)</f>
        <v>-97.05</v>
      </c>
      <c r="P47" s="23">
        <f t="shared" si="7"/>
        <v>-7842.3799999999992</v>
      </c>
    </row>
    <row r="48" spans="1:16" x14ac:dyDescent="0.25">
      <c r="A48" t="s">
        <v>62</v>
      </c>
      <c r="B48" t="s">
        <v>358</v>
      </c>
      <c r="C48" s="33">
        <f>IF(VLOOKUP($A48,'Enroll Data as of January 2025'!$A$3:$T$322,20,FALSE)&gt;0,0,VLOOKUP($A48,'Enroll Data as of January 2025'!$A$3:$T$322,20,FALSE)*'2024-25 PSES Compliance'!$G$13)</f>
        <v>-6.720000000000001E-2</v>
      </c>
      <c r="D48" s="33">
        <f>IF(VLOOKUP($A48,'Enroll Data as of January 2025'!$A$3:$T$322,20,FALSE)&gt;0,0,VLOOKUP($A48,'Enroll Data as of January 2025'!$A$3:$T$322,20,FALSE)*'2024-25 PSES Compliance'!$G$14)</f>
        <v>-2.8000000000000004E-3</v>
      </c>
      <c r="E48" s="25">
        <f>ROUND($C48*CIS_Base*VLOOKUP($A48,'K3 District Data as of Jan 2025'!$A$3:$M$323,MATCH("Reg base",'K3 District Data as of Jan 2025'!$2:$2,0),FALSE),2)</f>
        <v>-4887.32</v>
      </c>
      <c r="F48" s="25">
        <f>ROUND($C48*CIS_Inc*(VLOOKUP($A48,'K3 District Data as of Jan 2025'!$A$3:$M$323,MATCH("Reg",'K3 District Data as of Jan 2025'!$2:$2,0),FALSE)+VLOOKUP($A48,'K3 District Data as of Jan 2025'!$A$3:$M$323,MATCH("Exp",'K3 District Data as of Jan 2025'!$2:$2,0),FALSE)),2)-E48</f>
        <v>-368.32000000000062</v>
      </c>
      <c r="G48" s="25">
        <f>ROUND($D48*CLS_Base*VLOOKUP($A48,'K3 District Data as of Jan 2025'!$A$3:$M$323,MATCH("Reg base",'K3 District Data as of Jan 2025'!$2:$2,0),FALSE),2)</f>
        <v>-146.08000000000001</v>
      </c>
      <c r="H48" s="25">
        <f>ROUND($D48*CLS_Inc*VLOOKUP($A48,'K3 District Data as of Jan 2025'!$A$3:$M$323,MATCH("Reg base",'K3 District Data as of Jan 2025'!$2:$2,0),FALSE),2)-G48</f>
        <v>-11.009999999999991</v>
      </c>
      <c r="I48" s="25">
        <f t="shared" si="1"/>
        <v>-968.94</v>
      </c>
      <c r="J48" s="25">
        <f t="shared" si="2"/>
        <v>-56.6</v>
      </c>
      <c r="K48" s="25">
        <f t="shared" si="3"/>
        <v>-887.05</v>
      </c>
      <c r="L48" s="25">
        <f t="shared" si="4"/>
        <v>-855.77</v>
      </c>
      <c r="M48" s="25">
        <f t="shared" si="5"/>
        <v>-31.64</v>
      </c>
      <c r="N48" s="25">
        <f t="shared" si="6"/>
        <v>-2</v>
      </c>
      <c r="O48" s="25">
        <f>ROUND(($C48*CIS_Inc*(VLOOKUP($A48,'K3 District Data as of Jan 2025'!$A$3:$M$323,MATCH("Reg",'K3 District Data as of Jan 2025'!$2:$2,0),FALSE)+VLOOKUP($A48,'K3 District Data as of Jan 2025'!$A$3:$M$323,MATCH("Exp",'K3 District Data as of Jan 2025'!$2:$2,0),FALSE))/180)*3+(($C48*CIS_Inc*(VLOOKUP($A48,'K3 District Data as of Jan 2025'!$A$3:$M$323,MATCH("Reg",'K3 District Data as of Jan 2025'!$2:$2,0),FALSE)+VLOOKUP($A48,'K3 District Data as of Jan 2025'!$A$3:$M$323,MATCH("Exp",'K3 District Data as of Jan 2025'!$2:$2,0),FALSE))/180)*3)*CIS_Ben_Inc,2)</f>
        <v>-102.93</v>
      </c>
      <c r="P48" s="23">
        <f t="shared" si="7"/>
        <v>-8317.66</v>
      </c>
    </row>
    <row r="49" spans="1:16" x14ac:dyDescent="0.25">
      <c r="A49" t="s">
        <v>22</v>
      </c>
      <c r="B49" t="s">
        <v>319</v>
      </c>
      <c r="C49" s="33">
        <f>IF(VLOOKUP($A49,'Enroll Data as of January 2025'!$A$3:$T$322,20,FALSE)&gt;0,0,VLOOKUP($A49,'Enroll Data as of January 2025'!$A$3:$T$322,20,FALSE)*'2024-25 PSES Compliance'!$G$13)</f>
        <v>0</v>
      </c>
      <c r="D49" s="33">
        <f>IF(VLOOKUP($A49,'Enroll Data as of January 2025'!$A$3:$T$322,20,FALSE)&gt;0,0,VLOOKUP($A49,'Enroll Data as of January 2025'!$A$3:$T$322,20,FALSE)*'2024-25 PSES Compliance'!$G$14)</f>
        <v>0</v>
      </c>
      <c r="E49" s="25">
        <f>ROUND($C49*CIS_Base*VLOOKUP($A49,'K3 District Data as of Jan 2025'!$A$3:$M$323,MATCH("Reg base",'K3 District Data as of Jan 2025'!$2:$2,0),FALSE),2)</f>
        <v>0</v>
      </c>
      <c r="F49" s="25">
        <f>ROUND($C49*CIS_Inc*(VLOOKUP($A49,'K3 District Data as of Jan 2025'!$A$3:$M$323,MATCH("Reg",'K3 District Data as of Jan 2025'!$2:$2,0),FALSE)+VLOOKUP($A49,'K3 District Data as of Jan 2025'!$A$3:$M$323,MATCH("Exp",'K3 District Data as of Jan 2025'!$2:$2,0),FALSE)),2)-E49</f>
        <v>0</v>
      </c>
      <c r="G49" s="25">
        <f>ROUND($D49*CLS_Base*VLOOKUP($A49,'K3 District Data as of Jan 2025'!$A$3:$M$323,MATCH("Reg base",'K3 District Data as of Jan 2025'!$2:$2,0),FALSE),2)</f>
        <v>0</v>
      </c>
      <c r="H49" s="25">
        <f>ROUND($D49*CLS_Inc*VLOOKUP($A49,'K3 District Data as of Jan 2025'!$A$3:$M$323,MATCH("Reg base",'K3 District Data as of Jan 2025'!$2:$2,0),FALSE),2)-G49</f>
        <v>0</v>
      </c>
      <c r="I49" s="25">
        <f t="shared" si="1"/>
        <v>0</v>
      </c>
      <c r="J49" s="25">
        <f t="shared" si="2"/>
        <v>0</v>
      </c>
      <c r="K49" s="25">
        <f t="shared" si="3"/>
        <v>0</v>
      </c>
      <c r="L49" s="25">
        <f t="shared" si="4"/>
        <v>0</v>
      </c>
      <c r="M49" s="25">
        <f t="shared" si="5"/>
        <v>0</v>
      </c>
      <c r="N49" s="25">
        <f t="shared" si="6"/>
        <v>0</v>
      </c>
      <c r="O49" s="25">
        <f>ROUND(($C49*CIS_Inc*(VLOOKUP($A49,'K3 District Data as of Jan 2025'!$A$3:$M$323,MATCH("Reg",'K3 District Data as of Jan 2025'!$2:$2,0),FALSE)+VLOOKUP($A49,'K3 District Data as of Jan 2025'!$A$3:$M$323,MATCH("Exp",'K3 District Data as of Jan 2025'!$2:$2,0),FALSE))/180)*3+(($C49*CIS_Inc*(VLOOKUP($A49,'K3 District Data as of Jan 2025'!$A$3:$M$323,MATCH("Reg",'K3 District Data as of Jan 2025'!$2:$2,0),FALSE)+VLOOKUP($A49,'K3 District Data as of Jan 2025'!$A$3:$M$323,MATCH("Exp",'K3 District Data as of Jan 2025'!$2:$2,0),FALSE))/180)*3)*CIS_Ben_Inc,2)</f>
        <v>0</v>
      </c>
      <c r="P49" s="23">
        <f t="shared" si="7"/>
        <v>0</v>
      </c>
    </row>
    <row r="50" spans="1:16" x14ac:dyDescent="0.25">
      <c r="A50" t="s">
        <v>134</v>
      </c>
      <c r="B50" t="s">
        <v>430</v>
      </c>
      <c r="C50" s="33">
        <f>IF(VLOOKUP($A50,'Enroll Data as of January 2025'!$A$3:$T$322,20,FALSE)&gt;0,0,VLOOKUP($A50,'Enroll Data as of January 2025'!$A$3:$T$322,20,FALSE)*'2024-25 PSES Compliance'!$G$13)</f>
        <v>-5.8559999999999994E-2</v>
      </c>
      <c r="D50" s="33">
        <f>IF(VLOOKUP($A50,'Enroll Data as of January 2025'!$A$3:$T$322,20,FALSE)&gt;0,0,VLOOKUP($A50,'Enroll Data as of January 2025'!$A$3:$T$322,20,FALSE)*'2024-25 PSES Compliance'!$G$14)</f>
        <v>-2.4399999999999999E-3</v>
      </c>
      <c r="E50" s="25">
        <f>ROUND($C50*CIS_Base*VLOOKUP($A50,'K3 District Data as of Jan 2025'!$A$3:$M$323,MATCH("Reg base",'K3 District Data as of Jan 2025'!$2:$2,0),FALSE),2)</f>
        <v>-4258.95</v>
      </c>
      <c r="F50" s="25">
        <f>ROUND($C50*CIS_Inc*(VLOOKUP($A50,'K3 District Data as of Jan 2025'!$A$3:$M$323,MATCH("Reg",'K3 District Data as of Jan 2025'!$2:$2,0),FALSE)+VLOOKUP($A50,'K3 District Data as of Jan 2025'!$A$3:$M$323,MATCH("Exp",'K3 District Data as of Jan 2025'!$2:$2,0),FALSE)),2)-E50</f>
        <v>-320.97000000000025</v>
      </c>
      <c r="G50" s="25">
        <f>ROUND($D50*CLS_Base*VLOOKUP($A50,'K3 District Data as of Jan 2025'!$A$3:$M$323,MATCH("Reg base",'K3 District Data as of Jan 2025'!$2:$2,0),FALSE),2)</f>
        <v>-127.3</v>
      </c>
      <c r="H50" s="25">
        <f>ROUND($D50*CLS_Inc*VLOOKUP($A50,'K3 District Data as of Jan 2025'!$A$3:$M$323,MATCH("Reg base",'K3 District Data as of Jan 2025'!$2:$2,0),FALSE),2)-G50</f>
        <v>-9.6000000000000085</v>
      </c>
      <c r="I50" s="25">
        <f t="shared" si="1"/>
        <v>-844.36</v>
      </c>
      <c r="J50" s="25">
        <f t="shared" si="2"/>
        <v>-49.32</v>
      </c>
      <c r="K50" s="25">
        <f t="shared" si="3"/>
        <v>-773</v>
      </c>
      <c r="L50" s="25">
        <f t="shared" si="4"/>
        <v>-745.74</v>
      </c>
      <c r="M50" s="25">
        <f t="shared" si="5"/>
        <v>-27.57</v>
      </c>
      <c r="N50" s="25">
        <f t="shared" si="6"/>
        <v>-1.74</v>
      </c>
      <c r="O50" s="25">
        <f>ROUND(($C50*CIS_Inc*(VLOOKUP($A50,'K3 District Data as of Jan 2025'!$A$3:$M$323,MATCH("Reg",'K3 District Data as of Jan 2025'!$2:$2,0),FALSE)+VLOOKUP($A50,'K3 District Data as of Jan 2025'!$A$3:$M$323,MATCH("Exp",'K3 District Data as of Jan 2025'!$2:$2,0),FALSE))/180)*3+(($C50*CIS_Inc*(VLOOKUP($A50,'K3 District Data as of Jan 2025'!$A$3:$M$323,MATCH("Reg",'K3 District Data as of Jan 2025'!$2:$2,0),FALSE)+VLOOKUP($A50,'K3 District Data as of Jan 2025'!$A$3:$M$323,MATCH("Exp",'K3 District Data as of Jan 2025'!$2:$2,0),FALSE))/180)*3)*CIS_Ben_Inc,2)</f>
        <v>-89.7</v>
      </c>
      <c r="P50" s="23">
        <f t="shared" si="7"/>
        <v>-7248.2499999999991</v>
      </c>
    </row>
    <row r="51" spans="1:16" x14ac:dyDescent="0.25">
      <c r="A51" t="s">
        <v>141</v>
      </c>
      <c r="B51" t="s">
        <v>437</v>
      </c>
      <c r="C51" s="33">
        <f>IF(VLOOKUP($A51,'Enroll Data as of January 2025'!$A$3:$T$322,20,FALSE)&gt;0,0,VLOOKUP($A51,'Enroll Data as of January 2025'!$A$3:$T$322,20,FALSE)*'2024-25 PSES Compliance'!$G$13)</f>
        <v>0</v>
      </c>
      <c r="D51" s="33">
        <f>IF(VLOOKUP($A51,'Enroll Data as of January 2025'!$A$3:$T$322,20,FALSE)&gt;0,0,VLOOKUP($A51,'Enroll Data as of January 2025'!$A$3:$T$322,20,FALSE)*'2024-25 PSES Compliance'!$G$14)</f>
        <v>0</v>
      </c>
      <c r="E51" s="25">
        <f>ROUND($C51*CIS_Base*VLOOKUP($A51,'K3 District Data as of Jan 2025'!$A$3:$M$323,MATCH("Reg base",'K3 District Data as of Jan 2025'!$2:$2,0),FALSE),2)</f>
        <v>0</v>
      </c>
      <c r="F51" s="25">
        <f>ROUND($C51*CIS_Inc*(VLOOKUP($A51,'K3 District Data as of Jan 2025'!$A$3:$M$323,MATCH("Reg",'K3 District Data as of Jan 2025'!$2:$2,0),FALSE)+VLOOKUP($A51,'K3 District Data as of Jan 2025'!$A$3:$M$323,MATCH("Exp",'K3 District Data as of Jan 2025'!$2:$2,0),FALSE)),2)-E51</f>
        <v>0</v>
      </c>
      <c r="G51" s="25">
        <f>ROUND($D51*CLS_Base*VLOOKUP($A51,'K3 District Data as of Jan 2025'!$A$3:$M$323,MATCH("Reg base",'K3 District Data as of Jan 2025'!$2:$2,0),FALSE),2)</f>
        <v>0</v>
      </c>
      <c r="H51" s="25">
        <f>ROUND($D51*CLS_Inc*VLOOKUP($A51,'K3 District Data as of Jan 2025'!$A$3:$M$323,MATCH("Reg base",'K3 District Data as of Jan 2025'!$2:$2,0),FALSE),2)-G51</f>
        <v>0</v>
      </c>
      <c r="I51" s="25">
        <f t="shared" si="1"/>
        <v>0</v>
      </c>
      <c r="J51" s="25">
        <f t="shared" si="2"/>
        <v>0</v>
      </c>
      <c r="K51" s="25">
        <f t="shared" si="3"/>
        <v>0</v>
      </c>
      <c r="L51" s="25">
        <f t="shared" si="4"/>
        <v>0</v>
      </c>
      <c r="M51" s="25">
        <f t="shared" si="5"/>
        <v>0</v>
      </c>
      <c r="N51" s="25">
        <f t="shared" si="6"/>
        <v>0</v>
      </c>
      <c r="O51" s="25">
        <f>ROUND(($C51*CIS_Inc*(VLOOKUP($A51,'K3 District Data as of Jan 2025'!$A$3:$M$323,MATCH("Reg",'K3 District Data as of Jan 2025'!$2:$2,0),FALSE)+VLOOKUP($A51,'K3 District Data as of Jan 2025'!$A$3:$M$323,MATCH("Exp",'K3 District Data as of Jan 2025'!$2:$2,0),FALSE))/180)*3+(($C51*CIS_Inc*(VLOOKUP($A51,'K3 District Data as of Jan 2025'!$A$3:$M$323,MATCH("Reg",'K3 District Data as of Jan 2025'!$2:$2,0),FALSE)+VLOOKUP($A51,'K3 District Data as of Jan 2025'!$A$3:$M$323,MATCH("Exp",'K3 District Data as of Jan 2025'!$2:$2,0),FALSE))/180)*3)*CIS_Ben_Inc,2)</f>
        <v>0</v>
      </c>
      <c r="P51" s="23">
        <f t="shared" si="7"/>
        <v>0</v>
      </c>
    </row>
    <row r="52" spans="1:16" x14ac:dyDescent="0.25">
      <c r="A52" t="s">
        <v>7</v>
      </c>
      <c r="B52" t="s">
        <v>304</v>
      </c>
      <c r="C52" s="33">
        <f>IF(VLOOKUP($A52,'Enroll Data as of January 2025'!$A$3:$T$322,20,FALSE)&gt;0,0,VLOOKUP($A52,'Enroll Data as of January 2025'!$A$3:$T$322,20,FALSE)*'2024-25 PSES Compliance'!$G$13)</f>
        <v>0</v>
      </c>
      <c r="D52" s="33">
        <f>IF(VLOOKUP($A52,'Enroll Data as of January 2025'!$A$3:$T$322,20,FALSE)&gt;0,0,VLOOKUP($A52,'Enroll Data as of January 2025'!$A$3:$T$322,20,FALSE)*'2024-25 PSES Compliance'!$G$14)</f>
        <v>0</v>
      </c>
      <c r="E52" s="25">
        <f>ROUND($C52*CIS_Base*VLOOKUP($A52,'K3 District Data as of Jan 2025'!$A$3:$M$323,MATCH("Reg base",'K3 District Data as of Jan 2025'!$2:$2,0),FALSE),2)</f>
        <v>0</v>
      </c>
      <c r="F52" s="25">
        <f>ROUND($C52*CIS_Inc*(VLOOKUP($A52,'K3 District Data as of Jan 2025'!$A$3:$M$323,MATCH("Reg",'K3 District Data as of Jan 2025'!$2:$2,0),FALSE)+VLOOKUP($A52,'K3 District Data as of Jan 2025'!$A$3:$M$323,MATCH("Exp",'K3 District Data as of Jan 2025'!$2:$2,0),FALSE)),2)-E52</f>
        <v>0</v>
      </c>
      <c r="G52" s="25">
        <f>ROUND($D52*CLS_Base*VLOOKUP($A52,'K3 District Data as of Jan 2025'!$A$3:$M$323,MATCH("Reg base",'K3 District Data as of Jan 2025'!$2:$2,0),FALSE),2)</f>
        <v>0</v>
      </c>
      <c r="H52" s="25">
        <f>ROUND($D52*CLS_Inc*VLOOKUP($A52,'K3 District Data as of Jan 2025'!$A$3:$M$323,MATCH("Reg base",'K3 District Data as of Jan 2025'!$2:$2,0),FALSE),2)-G52</f>
        <v>0</v>
      </c>
      <c r="I52" s="25">
        <f t="shared" si="1"/>
        <v>0</v>
      </c>
      <c r="J52" s="25">
        <f t="shared" si="2"/>
        <v>0</v>
      </c>
      <c r="K52" s="25">
        <f t="shared" si="3"/>
        <v>0</v>
      </c>
      <c r="L52" s="25">
        <f t="shared" si="4"/>
        <v>0</v>
      </c>
      <c r="M52" s="25">
        <f t="shared" si="5"/>
        <v>0</v>
      </c>
      <c r="N52" s="25">
        <f t="shared" si="6"/>
        <v>0</v>
      </c>
      <c r="O52" s="25">
        <f>ROUND(($C52*CIS_Inc*(VLOOKUP($A52,'K3 District Data as of Jan 2025'!$A$3:$M$323,MATCH("Reg",'K3 District Data as of Jan 2025'!$2:$2,0),FALSE)+VLOOKUP($A52,'K3 District Data as of Jan 2025'!$A$3:$M$323,MATCH("Exp",'K3 District Data as of Jan 2025'!$2:$2,0),FALSE))/180)*3+(($C52*CIS_Inc*(VLOOKUP($A52,'K3 District Data as of Jan 2025'!$A$3:$M$323,MATCH("Reg",'K3 District Data as of Jan 2025'!$2:$2,0),FALSE)+VLOOKUP($A52,'K3 District Data as of Jan 2025'!$A$3:$M$323,MATCH("Exp",'K3 District Data as of Jan 2025'!$2:$2,0),FALSE))/180)*3)*CIS_Ben_Inc,2)</f>
        <v>0</v>
      </c>
      <c r="P52" s="23">
        <f t="shared" si="7"/>
        <v>0</v>
      </c>
    </row>
    <row r="53" spans="1:16" x14ac:dyDescent="0.25">
      <c r="A53" t="s">
        <v>10</v>
      </c>
      <c r="B53" t="s">
        <v>307</v>
      </c>
      <c r="C53" s="33">
        <f>IF(VLOOKUP($A53,'Enroll Data as of January 2025'!$A$3:$T$322,20,FALSE)&gt;0,0,VLOOKUP($A53,'Enroll Data as of January 2025'!$A$3:$T$322,20,FALSE)*'2024-25 PSES Compliance'!$G$13)</f>
        <v>0</v>
      </c>
      <c r="D53" s="33">
        <f>IF(VLOOKUP($A53,'Enroll Data as of January 2025'!$A$3:$T$322,20,FALSE)&gt;0,0,VLOOKUP($A53,'Enroll Data as of January 2025'!$A$3:$T$322,20,FALSE)*'2024-25 PSES Compliance'!$G$14)</f>
        <v>0</v>
      </c>
      <c r="E53" s="25">
        <f>ROUND($C53*CIS_Base*VLOOKUP($A53,'K3 District Data as of Jan 2025'!$A$3:$M$323,MATCH("Reg base",'K3 District Data as of Jan 2025'!$2:$2,0),FALSE),2)</f>
        <v>0</v>
      </c>
      <c r="F53" s="25">
        <f>ROUND($C53*CIS_Inc*(VLOOKUP($A53,'K3 District Data as of Jan 2025'!$A$3:$M$323,MATCH("Reg",'K3 District Data as of Jan 2025'!$2:$2,0),FALSE)+VLOOKUP($A53,'K3 District Data as of Jan 2025'!$A$3:$M$323,MATCH("Exp",'K3 District Data as of Jan 2025'!$2:$2,0),FALSE)),2)-E53</f>
        <v>0</v>
      </c>
      <c r="G53" s="25">
        <f>ROUND($D53*CLS_Base*VLOOKUP($A53,'K3 District Data as of Jan 2025'!$A$3:$M$323,MATCH("Reg base",'K3 District Data as of Jan 2025'!$2:$2,0),FALSE),2)</f>
        <v>0</v>
      </c>
      <c r="H53" s="25">
        <f>ROUND($D53*CLS_Inc*VLOOKUP($A53,'K3 District Data as of Jan 2025'!$A$3:$M$323,MATCH("Reg base",'K3 District Data as of Jan 2025'!$2:$2,0),FALSE),2)-G53</f>
        <v>0</v>
      </c>
      <c r="I53" s="25">
        <f t="shared" si="1"/>
        <v>0</v>
      </c>
      <c r="J53" s="25">
        <f t="shared" si="2"/>
        <v>0</v>
      </c>
      <c r="K53" s="25">
        <f t="shared" si="3"/>
        <v>0</v>
      </c>
      <c r="L53" s="25">
        <f t="shared" si="4"/>
        <v>0</v>
      </c>
      <c r="M53" s="25">
        <f t="shared" si="5"/>
        <v>0</v>
      </c>
      <c r="N53" s="25">
        <f t="shared" si="6"/>
        <v>0</v>
      </c>
      <c r="O53" s="25">
        <f>ROUND(($C53*CIS_Inc*(VLOOKUP($A53,'K3 District Data as of Jan 2025'!$A$3:$M$323,MATCH("Reg",'K3 District Data as of Jan 2025'!$2:$2,0),FALSE)+VLOOKUP($A53,'K3 District Data as of Jan 2025'!$A$3:$M$323,MATCH("Exp",'K3 District Data as of Jan 2025'!$2:$2,0),FALSE))/180)*3+(($C53*CIS_Inc*(VLOOKUP($A53,'K3 District Data as of Jan 2025'!$A$3:$M$323,MATCH("Reg",'K3 District Data as of Jan 2025'!$2:$2,0),FALSE)+VLOOKUP($A53,'K3 District Data as of Jan 2025'!$A$3:$M$323,MATCH("Exp",'K3 District Data as of Jan 2025'!$2:$2,0),FALSE))/180)*3)*CIS_Ben_Inc,2)</f>
        <v>0</v>
      </c>
      <c r="P53" s="23">
        <f t="shared" si="7"/>
        <v>0</v>
      </c>
    </row>
    <row r="54" spans="1:16" x14ac:dyDescent="0.25">
      <c r="A54" t="s">
        <v>284</v>
      </c>
      <c r="B54" t="s">
        <v>580</v>
      </c>
      <c r="C54" s="33">
        <f>IF(VLOOKUP($A54,'Enroll Data as of January 2025'!$A$3:$T$322,20,FALSE)&gt;0,0,VLOOKUP($A54,'Enroll Data as of January 2025'!$A$3:$T$322,20,FALSE)*'2024-25 PSES Compliance'!$G$13)</f>
        <v>0</v>
      </c>
      <c r="D54" s="33">
        <f>IF(VLOOKUP($A54,'Enroll Data as of January 2025'!$A$3:$T$322,20,FALSE)&gt;0,0,VLOOKUP($A54,'Enroll Data as of January 2025'!$A$3:$T$322,20,FALSE)*'2024-25 PSES Compliance'!$G$14)</f>
        <v>0</v>
      </c>
      <c r="E54" s="25">
        <f>ROUND($C54*CIS_Base*VLOOKUP($A54,'K3 District Data as of Jan 2025'!$A$3:$M$323,MATCH("Reg base",'K3 District Data as of Jan 2025'!$2:$2,0),FALSE),2)</f>
        <v>0</v>
      </c>
      <c r="F54" s="25">
        <f>ROUND($C54*CIS_Inc*(VLOOKUP($A54,'K3 District Data as of Jan 2025'!$A$3:$M$323,MATCH("Reg",'K3 District Data as of Jan 2025'!$2:$2,0),FALSE)+VLOOKUP($A54,'K3 District Data as of Jan 2025'!$A$3:$M$323,MATCH("Exp",'K3 District Data as of Jan 2025'!$2:$2,0),FALSE)),2)-E54</f>
        <v>0</v>
      </c>
      <c r="G54" s="25">
        <f>ROUND($D54*CLS_Base*VLOOKUP($A54,'K3 District Data as of Jan 2025'!$A$3:$M$323,MATCH("Reg base",'K3 District Data as of Jan 2025'!$2:$2,0),FALSE),2)</f>
        <v>0</v>
      </c>
      <c r="H54" s="25">
        <f>ROUND($D54*CLS_Inc*VLOOKUP($A54,'K3 District Data as of Jan 2025'!$A$3:$M$323,MATCH("Reg base",'K3 District Data as of Jan 2025'!$2:$2,0),FALSE),2)-G54</f>
        <v>0</v>
      </c>
      <c r="I54" s="25">
        <f t="shared" si="1"/>
        <v>0</v>
      </c>
      <c r="J54" s="25">
        <f t="shared" si="2"/>
        <v>0</v>
      </c>
      <c r="K54" s="25">
        <f t="shared" si="3"/>
        <v>0</v>
      </c>
      <c r="L54" s="25">
        <f t="shared" si="4"/>
        <v>0</v>
      </c>
      <c r="M54" s="25">
        <f t="shared" si="5"/>
        <v>0</v>
      </c>
      <c r="N54" s="25">
        <f t="shared" si="6"/>
        <v>0</v>
      </c>
      <c r="O54" s="25">
        <f>ROUND(($C54*CIS_Inc*(VLOOKUP($A54,'K3 District Data as of Jan 2025'!$A$3:$M$323,MATCH("Reg",'K3 District Data as of Jan 2025'!$2:$2,0),FALSE)+VLOOKUP($A54,'K3 District Data as of Jan 2025'!$A$3:$M$323,MATCH("Exp",'K3 District Data as of Jan 2025'!$2:$2,0),FALSE))/180)*3+(($C54*CIS_Inc*(VLOOKUP($A54,'K3 District Data as of Jan 2025'!$A$3:$M$323,MATCH("Reg",'K3 District Data as of Jan 2025'!$2:$2,0),FALSE)+VLOOKUP($A54,'K3 District Data as of Jan 2025'!$A$3:$M$323,MATCH("Exp",'K3 District Data as of Jan 2025'!$2:$2,0),FALSE))/180)*3)*CIS_Ben_Inc,2)</f>
        <v>0</v>
      </c>
      <c r="P54" s="23">
        <f t="shared" si="7"/>
        <v>0</v>
      </c>
    </row>
    <row r="55" spans="1:16" x14ac:dyDescent="0.25">
      <c r="A55" t="s">
        <v>176</v>
      </c>
      <c r="B55" t="s">
        <v>472</v>
      </c>
      <c r="C55" s="33">
        <f>IF(VLOOKUP($A55,'Enroll Data as of January 2025'!$A$3:$T$322,20,FALSE)&gt;0,0,VLOOKUP($A55,'Enroll Data as of January 2025'!$A$3:$T$322,20,FALSE)*'2024-25 PSES Compliance'!$G$13)</f>
        <v>-0.96095999999999981</v>
      </c>
      <c r="D55" s="33">
        <f>IF(VLOOKUP($A55,'Enroll Data as of January 2025'!$A$3:$T$322,20,FALSE)&gt;0,0,VLOOKUP($A55,'Enroll Data as of January 2025'!$A$3:$T$322,20,FALSE)*'2024-25 PSES Compliance'!$G$14)</f>
        <v>-4.0039999999999999E-2</v>
      </c>
      <c r="E55" s="25">
        <f>ROUND($C55*CIS_Base*VLOOKUP($A55,'K3 District Data as of Jan 2025'!$A$3:$M$323,MATCH("Reg base",'K3 District Data as of Jan 2025'!$2:$2,0),FALSE),2)</f>
        <v>-69888.7</v>
      </c>
      <c r="F55" s="25">
        <f>ROUND($C55*CIS_Inc*(VLOOKUP($A55,'K3 District Data as of Jan 2025'!$A$3:$M$323,MATCH("Reg",'K3 District Data as of Jan 2025'!$2:$2,0),FALSE)+VLOOKUP($A55,'K3 District Data as of Jan 2025'!$A$3:$M$323,MATCH("Exp",'K3 District Data as of Jan 2025'!$2:$2,0),FALSE)),2)-E55</f>
        <v>-5267.0200000000041</v>
      </c>
      <c r="G55" s="25">
        <f>ROUND($D55*CLS_Base*VLOOKUP($A55,'K3 District Data as of Jan 2025'!$A$3:$M$323,MATCH("Reg base",'K3 District Data as of Jan 2025'!$2:$2,0),FALSE),2)</f>
        <v>-2089.0100000000002</v>
      </c>
      <c r="H55" s="25">
        <f>ROUND($D55*CLS_Inc*VLOOKUP($A55,'K3 District Data as of Jan 2025'!$A$3:$M$323,MATCH("Reg base",'K3 District Data as of Jan 2025'!$2:$2,0),FALSE),2)-G55</f>
        <v>-157.42999999999984</v>
      </c>
      <c r="I55" s="25">
        <f t="shared" si="1"/>
        <v>-13855.81</v>
      </c>
      <c r="J55" s="25">
        <f t="shared" si="2"/>
        <v>-809.39</v>
      </c>
      <c r="K55" s="25">
        <f t="shared" si="3"/>
        <v>-12684.8</v>
      </c>
      <c r="L55" s="25">
        <f t="shared" si="4"/>
        <v>-12237.51</v>
      </c>
      <c r="M55" s="25">
        <f t="shared" si="5"/>
        <v>-452.48</v>
      </c>
      <c r="N55" s="25">
        <f t="shared" si="6"/>
        <v>-28.59</v>
      </c>
      <c r="O55" s="25">
        <f>ROUND(($C55*CIS_Inc*(VLOOKUP($A55,'K3 District Data as of Jan 2025'!$A$3:$M$323,MATCH("Reg",'K3 District Data as of Jan 2025'!$2:$2,0),FALSE)+VLOOKUP($A55,'K3 District Data as of Jan 2025'!$A$3:$M$323,MATCH("Exp",'K3 District Data as of Jan 2025'!$2:$2,0),FALSE))/180)*3+(($C55*CIS_Inc*(VLOOKUP($A55,'K3 District Data as of Jan 2025'!$A$3:$M$323,MATCH("Reg",'K3 District Data as of Jan 2025'!$2:$2,0),FALSE)+VLOOKUP($A55,'K3 District Data as of Jan 2025'!$A$3:$M$323,MATCH("Exp",'K3 District Data as of Jan 2025'!$2:$2,0),FALSE))/180)*3)*CIS_Ben_Inc,2)</f>
        <v>-1471.92</v>
      </c>
      <c r="P55" s="23">
        <f t="shared" si="7"/>
        <v>-118942.65999999997</v>
      </c>
    </row>
    <row r="56" spans="1:16" x14ac:dyDescent="0.25">
      <c r="A56" t="s">
        <v>258</v>
      </c>
      <c r="B56" t="s">
        <v>554</v>
      </c>
      <c r="C56" s="33">
        <f>IF(VLOOKUP($A56,'Enroll Data as of January 2025'!$A$3:$T$322,20,FALSE)&gt;0,0,VLOOKUP($A56,'Enroll Data as of January 2025'!$A$3:$T$322,20,FALSE)*'2024-25 PSES Compliance'!$G$13)</f>
        <v>-5.0486399999999998</v>
      </c>
      <c r="D56" s="33">
        <f>IF(VLOOKUP($A56,'Enroll Data as of January 2025'!$A$3:$T$322,20,FALSE)&gt;0,0,VLOOKUP($A56,'Enroll Data as of January 2025'!$A$3:$T$322,20,FALSE)*'2024-25 PSES Compliance'!$G$14)</f>
        <v>-0.21036000000000002</v>
      </c>
      <c r="E56" s="25">
        <f>ROUND($C56*CIS_Base*VLOOKUP($A56,'K3 District Data as of Jan 2025'!$A$3:$M$323,MATCH("Reg base",'K3 District Data as of Jan 2025'!$2:$2,0),FALSE),2)</f>
        <v>-367177.49</v>
      </c>
      <c r="F56" s="25">
        <f>ROUND($C56*CIS_Inc*(VLOOKUP($A56,'K3 District Data as of Jan 2025'!$A$3:$M$323,MATCH("Reg",'K3 District Data as of Jan 2025'!$2:$2,0),FALSE)+VLOOKUP($A56,'K3 District Data as of Jan 2025'!$A$3:$M$323,MATCH("Exp",'K3 District Data as of Jan 2025'!$2:$2,0),FALSE)),2)-E56</f>
        <v>-27671.600000000035</v>
      </c>
      <c r="G56" s="25">
        <f>ROUND($D56*CLS_Base*VLOOKUP($A56,'K3 District Data as of Jan 2025'!$A$3:$M$323,MATCH("Reg base",'K3 District Data as of Jan 2025'!$2:$2,0),FALSE),2)</f>
        <v>-10975.11</v>
      </c>
      <c r="H56" s="25">
        <f>ROUND($D56*CLS_Inc*VLOOKUP($A56,'K3 District Data as of Jan 2025'!$A$3:$M$323,MATCH("Reg base",'K3 District Data as of Jan 2025'!$2:$2,0),FALSE),2)-G56</f>
        <v>-827.13999999999942</v>
      </c>
      <c r="I56" s="25">
        <f t="shared" si="1"/>
        <v>-72794.929999999993</v>
      </c>
      <c r="J56" s="25">
        <f t="shared" si="2"/>
        <v>-4252.32</v>
      </c>
      <c r="K56" s="25">
        <f t="shared" si="3"/>
        <v>-66642.710000000006</v>
      </c>
      <c r="L56" s="25">
        <f t="shared" si="4"/>
        <v>-64292.78</v>
      </c>
      <c r="M56" s="25">
        <f t="shared" si="5"/>
        <v>-2377.21</v>
      </c>
      <c r="N56" s="25">
        <f t="shared" si="6"/>
        <v>-150.21</v>
      </c>
      <c r="O56" s="25">
        <f>ROUND(($C56*CIS_Inc*(VLOOKUP($A56,'K3 District Data as of Jan 2025'!$A$3:$M$323,MATCH("Reg",'K3 District Data as of Jan 2025'!$2:$2,0),FALSE)+VLOOKUP($A56,'K3 District Data as of Jan 2025'!$A$3:$M$323,MATCH("Exp",'K3 District Data as of Jan 2025'!$2:$2,0),FALSE))/180)*3+(($C56*CIS_Inc*(VLOOKUP($A56,'K3 District Data as of Jan 2025'!$A$3:$M$323,MATCH("Reg",'K3 District Data as of Jan 2025'!$2:$2,0),FALSE)+VLOOKUP($A56,'K3 District Data as of Jan 2025'!$A$3:$M$323,MATCH("Exp",'K3 District Data as of Jan 2025'!$2:$2,0),FALSE))/180)*3)*CIS_Ben_Inc,2)</f>
        <v>-7733.12</v>
      </c>
      <c r="P56" s="23">
        <f t="shared" si="7"/>
        <v>-624894.62</v>
      </c>
    </row>
    <row r="57" spans="1:16" x14ac:dyDescent="0.25">
      <c r="A57" t="s">
        <v>108</v>
      </c>
      <c r="B57" t="s">
        <v>404</v>
      </c>
      <c r="C57" s="33">
        <f>IF(VLOOKUP($A57,'Enroll Data as of January 2025'!$A$3:$T$322,20,FALSE)&gt;0,0,VLOOKUP($A57,'Enroll Data as of January 2025'!$A$3:$T$322,20,FALSE)*'2024-25 PSES Compliance'!$G$13)</f>
        <v>-1.6281599999999998</v>
      </c>
      <c r="D57" s="33">
        <f>IF(VLOOKUP($A57,'Enroll Data as of January 2025'!$A$3:$T$322,20,FALSE)&gt;0,0,VLOOKUP($A57,'Enroll Data as of January 2025'!$A$3:$T$322,20,FALSE)*'2024-25 PSES Compliance'!$G$14)</f>
        <v>-6.7839999999999998E-2</v>
      </c>
      <c r="E57" s="25">
        <f>ROUND($C57*CIS_Base*VLOOKUP($A57,'K3 District Data as of Jan 2025'!$A$3:$M$323,MATCH("Reg base",'K3 District Data as of Jan 2025'!$2:$2,0),FALSE),2)</f>
        <v>-139727.13</v>
      </c>
      <c r="F57" s="25">
        <f>ROUND($C57*CIS_Inc*(VLOOKUP($A57,'K3 District Data as of Jan 2025'!$A$3:$M$323,MATCH("Reg",'K3 District Data as of Jan 2025'!$2:$2,0),FALSE)+VLOOKUP($A57,'K3 District Data as of Jan 2025'!$A$3:$M$323,MATCH("Exp",'K3 District Data as of Jan 2025'!$2:$2,0),FALSE)),2)-E57</f>
        <v>-15623.720000000001</v>
      </c>
      <c r="G57" s="25">
        <f>ROUND($D57*CLS_Base*VLOOKUP($A57,'K3 District Data as of Jan 2025'!$A$3:$M$323,MATCH("Reg base",'K3 District Data as of Jan 2025'!$2:$2,0),FALSE),2)</f>
        <v>-4176.51</v>
      </c>
      <c r="H57" s="25">
        <f>ROUND($D57*CLS_Inc*VLOOKUP($A57,'K3 District Data as of Jan 2025'!$A$3:$M$323,MATCH("Reg base",'K3 District Data as of Jan 2025'!$2:$2,0),FALSE),2)-G57</f>
        <v>-314.76000000000022</v>
      </c>
      <c r="I57" s="25">
        <f t="shared" si="1"/>
        <v>-23475.98</v>
      </c>
      <c r="J57" s="25">
        <f t="shared" si="2"/>
        <v>-1371.35</v>
      </c>
      <c r="K57" s="25">
        <f t="shared" si="3"/>
        <v>-25360.47</v>
      </c>
      <c r="L57" s="25">
        <f t="shared" si="4"/>
        <v>-24466.22</v>
      </c>
      <c r="M57" s="25">
        <f t="shared" si="5"/>
        <v>-904.63</v>
      </c>
      <c r="N57" s="25">
        <f t="shared" si="6"/>
        <v>-57.16</v>
      </c>
      <c r="O57" s="25">
        <f>ROUND(($C57*CIS_Inc*(VLOOKUP($A57,'K3 District Data as of Jan 2025'!$A$3:$M$323,MATCH("Reg",'K3 District Data as of Jan 2025'!$2:$2,0),FALSE)+VLOOKUP($A57,'K3 District Data as of Jan 2025'!$A$3:$M$323,MATCH("Exp",'K3 District Data as of Jan 2025'!$2:$2,0),FALSE))/180)*3+(($C57*CIS_Inc*(VLOOKUP($A57,'K3 District Data as of Jan 2025'!$A$3:$M$323,MATCH("Reg",'K3 District Data as of Jan 2025'!$2:$2,0),FALSE)+VLOOKUP($A57,'K3 District Data as of Jan 2025'!$A$3:$M$323,MATCH("Exp",'K3 District Data as of Jan 2025'!$2:$2,0),FALSE))/180)*3)*CIS_Ben_Inc,2)</f>
        <v>-3042.55</v>
      </c>
      <c r="P57" s="23">
        <f t="shared" si="7"/>
        <v>-238520.48000000004</v>
      </c>
    </row>
    <row r="58" spans="1:16" x14ac:dyDescent="0.25">
      <c r="A58" t="s">
        <v>631</v>
      </c>
      <c r="B58" t="s">
        <v>1108</v>
      </c>
      <c r="C58" s="33">
        <f>IF(VLOOKUP($A58,'Enroll Data as of January 2025'!$A$3:$T$322,20,FALSE)&gt;0,0,VLOOKUP($A58,'Enroll Data as of January 2025'!$A$3:$T$322,20,FALSE)*'2024-25 PSES Compliance'!$G$13)</f>
        <v>0</v>
      </c>
      <c r="D58" s="33">
        <f>IF(VLOOKUP($A58,'Enroll Data as of January 2025'!$A$3:$T$322,20,FALSE)&gt;0,0,VLOOKUP($A58,'Enroll Data as of January 2025'!$A$3:$T$322,20,FALSE)*'2024-25 PSES Compliance'!$G$14)</f>
        <v>0</v>
      </c>
      <c r="E58" s="25">
        <f>ROUND($C58*CIS_Base*VLOOKUP($A58,'K3 District Data as of Jan 2025'!$A$3:$M$323,MATCH("Reg base",'K3 District Data as of Jan 2025'!$2:$2,0),FALSE),2)</f>
        <v>0</v>
      </c>
      <c r="F58" s="25">
        <f>ROUND($C58*CIS_Inc*(VLOOKUP($A58,'K3 District Data as of Jan 2025'!$A$3:$M$323,MATCH("Reg",'K3 District Data as of Jan 2025'!$2:$2,0),FALSE)+VLOOKUP($A58,'K3 District Data as of Jan 2025'!$A$3:$M$323,MATCH("Exp",'K3 District Data as of Jan 2025'!$2:$2,0),FALSE)),2)-E58</f>
        <v>0</v>
      </c>
      <c r="G58" s="25">
        <f>ROUND($D58*CLS_Base*VLOOKUP($A58,'K3 District Data as of Jan 2025'!$A$3:$M$323,MATCH("Reg base",'K3 District Data as of Jan 2025'!$2:$2,0),FALSE),2)</f>
        <v>0</v>
      </c>
      <c r="H58" s="25">
        <f>ROUND($D58*CLS_Inc*VLOOKUP($A58,'K3 District Data as of Jan 2025'!$A$3:$M$323,MATCH("Reg base",'K3 District Data as of Jan 2025'!$2:$2,0),FALSE),2)-G58</f>
        <v>0</v>
      </c>
      <c r="I58" s="25">
        <f t="shared" si="1"/>
        <v>0</v>
      </c>
      <c r="J58" s="25">
        <f t="shared" si="2"/>
        <v>0</v>
      </c>
      <c r="K58" s="25">
        <f t="shared" si="3"/>
        <v>0</v>
      </c>
      <c r="L58" s="25">
        <f t="shared" si="4"/>
        <v>0</v>
      </c>
      <c r="M58" s="25">
        <f t="shared" si="5"/>
        <v>0</v>
      </c>
      <c r="N58" s="25">
        <f t="shared" si="6"/>
        <v>0</v>
      </c>
      <c r="O58" s="25">
        <f>ROUND(($C58*CIS_Inc*(VLOOKUP($A58,'K3 District Data as of Jan 2025'!$A$3:$M$323,MATCH("Reg",'K3 District Data as of Jan 2025'!$2:$2,0),FALSE)+VLOOKUP($A58,'K3 District Data as of Jan 2025'!$A$3:$M$323,MATCH("Exp",'K3 District Data as of Jan 2025'!$2:$2,0),FALSE))/180)*3+(($C58*CIS_Inc*(VLOOKUP($A58,'K3 District Data as of Jan 2025'!$A$3:$M$323,MATCH("Reg",'K3 District Data as of Jan 2025'!$2:$2,0),FALSE)+VLOOKUP($A58,'K3 District Data as of Jan 2025'!$A$3:$M$323,MATCH("Exp",'K3 District Data as of Jan 2025'!$2:$2,0),FALSE))/180)*3)*CIS_Ben_Inc,2)</f>
        <v>0</v>
      </c>
      <c r="P58" s="23">
        <f t="shared" si="7"/>
        <v>0</v>
      </c>
    </row>
    <row r="59" spans="1:16" x14ac:dyDescent="0.25">
      <c r="A59" t="s">
        <v>12</v>
      </c>
      <c r="B59" t="s">
        <v>309</v>
      </c>
      <c r="C59" s="33">
        <f>IF(VLOOKUP($A59,'Enroll Data as of January 2025'!$A$3:$T$322,20,FALSE)&gt;0,0,VLOOKUP($A59,'Enroll Data as of January 2025'!$A$3:$T$322,20,FALSE)*'2024-25 PSES Compliance'!$G$13)</f>
        <v>-3.0172799999999995</v>
      </c>
      <c r="D59" s="33">
        <f>IF(VLOOKUP($A59,'Enroll Data as of January 2025'!$A$3:$T$322,20,FALSE)&gt;0,0,VLOOKUP($A59,'Enroll Data as of January 2025'!$A$3:$T$322,20,FALSE)*'2024-25 PSES Compliance'!$G$14)</f>
        <v>-0.12572</v>
      </c>
      <c r="E59" s="25">
        <f>ROUND($C59*CIS_Base*VLOOKUP($A59,'K3 District Data as of Jan 2025'!$A$3:$M$323,MATCH("Reg base",'K3 District Data as of Jan 2025'!$2:$2,0),FALSE),2)</f>
        <v>-219440.74</v>
      </c>
      <c r="F59" s="25">
        <f>ROUND($C59*CIS_Inc*(VLOOKUP($A59,'K3 District Data as of Jan 2025'!$A$3:$M$323,MATCH("Reg",'K3 District Data as of Jan 2025'!$2:$2,0),FALSE)+VLOOKUP($A59,'K3 District Data as of Jan 2025'!$A$3:$M$323,MATCH("Exp",'K3 District Data as of Jan 2025'!$2:$2,0),FALSE)),2)-E59</f>
        <v>-16537.710000000021</v>
      </c>
      <c r="G59" s="25">
        <f>ROUND($D59*CLS_Base*VLOOKUP($A59,'K3 District Data as of Jan 2025'!$A$3:$M$323,MATCH("Reg base",'K3 District Data as of Jan 2025'!$2:$2,0),FALSE),2)</f>
        <v>-6559.19</v>
      </c>
      <c r="H59" s="25">
        <f>ROUND($D59*CLS_Inc*VLOOKUP($A59,'K3 District Data as of Jan 2025'!$A$3:$M$323,MATCH("Reg base",'K3 District Data as of Jan 2025'!$2:$2,0),FALSE),2)-G59</f>
        <v>-494.33000000000084</v>
      </c>
      <c r="I59" s="25">
        <f t="shared" si="1"/>
        <v>-43505.32</v>
      </c>
      <c r="J59" s="25">
        <f t="shared" si="2"/>
        <v>-2541.36</v>
      </c>
      <c r="K59" s="25">
        <f t="shared" si="3"/>
        <v>-39828.49</v>
      </c>
      <c r="L59" s="25">
        <f t="shared" si="4"/>
        <v>-38424.07</v>
      </c>
      <c r="M59" s="25">
        <f t="shared" si="5"/>
        <v>-1420.72</v>
      </c>
      <c r="N59" s="25">
        <f t="shared" si="6"/>
        <v>-89.77</v>
      </c>
      <c r="O59" s="25">
        <f>ROUND(($C59*CIS_Inc*(VLOOKUP($A59,'K3 District Data as of Jan 2025'!$A$3:$M$323,MATCH("Reg",'K3 District Data as of Jan 2025'!$2:$2,0),FALSE)+VLOOKUP($A59,'K3 District Data as of Jan 2025'!$A$3:$M$323,MATCH("Exp",'K3 District Data as of Jan 2025'!$2:$2,0),FALSE))/180)*3+(($C59*CIS_Inc*(VLOOKUP($A59,'K3 District Data as of Jan 2025'!$A$3:$M$323,MATCH("Reg",'K3 District Data as of Jan 2025'!$2:$2,0),FALSE)+VLOOKUP($A59,'K3 District Data as of Jan 2025'!$A$3:$M$323,MATCH("Exp",'K3 District Data as of Jan 2025'!$2:$2,0),FALSE))/180)*3)*CIS_Ben_Inc,2)</f>
        <v>-4621.6400000000003</v>
      </c>
      <c r="P59" s="23">
        <f t="shared" si="7"/>
        <v>-373463.33999999997</v>
      </c>
    </row>
    <row r="60" spans="1:16" x14ac:dyDescent="0.25">
      <c r="A60" t="s">
        <v>191</v>
      </c>
      <c r="B60" t="s">
        <v>486</v>
      </c>
      <c r="C60" s="33">
        <f>IF(VLOOKUP($A60,'Enroll Data as of January 2025'!$A$3:$T$322,20,FALSE)&gt;0,0,VLOOKUP($A60,'Enroll Data as of January 2025'!$A$3:$T$322,20,FALSE)*'2024-25 PSES Compliance'!$G$13)</f>
        <v>0</v>
      </c>
      <c r="D60" s="33">
        <f>IF(VLOOKUP($A60,'Enroll Data as of January 2025'!$A$3:$T$322,20,FALSE)&gt;0,0,VLOOKUP($A60,'Enroll Data as of January 2025'!$A$3:$T$322,20,FALSE)*'2024-25 PSES Compliance'!$G$14)</f>
        <v>0</v>
      </c>
      <c r="E60" s="25">
        <f>ROUND($C60*CIS_Base*VLOOKUP($A60,'K3 District Data as of Jan 2025'!$A$3:$M$323,MATCH("Reg base",'K3 District Data as of Jan 2025'!$2:$2,0),FALSE),2)</f>
        <v>0</v>
      </c>
      <c r="F60" s="25">
        <f>ROUND($C60*CIS_Inc*(VLOOKUP($A60,'K3 District Data as of Jan 2025'!$A$3:$M$323,MATCH("Reg",'K3 District Data as of Jan 2025'!$2:$2,0),FALSE)+VLOOKUP($A60,'K3 District Data as of Jan 2025'!$A$3:$M$323,MATCH("Exp",'K3 District Data as of Jan 2025'!$2:$2,0),FALSE)),2)-E60</f>
        <v>0</v>
      </c>
      <c r="G60" s="25">
        <f>ROUND($D60*CLS_Base*VLOOKUP($A60,'K3 District Data as of Jan 2025'!$A$3:$M$323,MATCH("Reg base",'K3 District Data as of Jan 2025'!$2:$2,0),FALSE),2)</f>
        <v>0</v>
      </c>
      <c r="H60" s="25">
        <f>ROUND($D60*CLS_Inc*VLOOKUP($A60,'K3 District Data as of Jan 2025'!$A$3:$M$323,MATCH("Reg base",'K3 District Data as of Jan 2025'!$2:$2,0),FALSE),2)-G60</f>
        <v>0</v>
      </c>
      <c r="I60" s="25">
        <f t="shared" si="1"/>
        <v>0</v>
      </c>
      <c r="J60" s="25">
        <f t="shared" si="2"/>
        <v>0</v>
      </c>
      <c r="K60" s="25">
        <f t="shared" si="3"/>
        <v>0</v>
      </c>
      <c r="L60" s="25">
        <f t="shared" si="4"/>
        <v>0</v>
      </c>
      <c r="M60" s="25">
        <f t="shared" si="5"/>
        <v>0</v>
      </c>
      <c r="N60" s="25">
        <f t="shared" si="6"/>
        <v>0</v>
      </c>
      <c r="O60" s="25">
        <f>ROUND(($C60*CIS_Inc*(VLOOKUP($A60,'K3 District Data as of Jan 2025'!$A$3:$M$323,MATCH("Reg",'K3 District Data as of Jan 2025'!$2:$2,0),FALSE)+VLOOKUP($A60,'K3 District Data as of Jan 2025'!$A$3:$M$323,MATCH("Exp",'K3 District Data as of Jan 2025'!$2:$2,0),FALSE))/180)*3+(($C60*CIS_Inc*(VLOOKUP($A60,'K3 District Data as of Jan 2025'!$A$3:$M$323,MATCH("Reg",'K3 District Data as of Jan 2025'!$2:$2,0),FALSE)+VLOOKUP($A60,'K3 District Data as of Jan 2025'!$A$3:$M$323,MATCH("Exp",'K3 District Data as of Jan 2025'!$2:$2,0),FALSE))/180)*3)*CIS_Ben_Inc,2)</f>
        <v>0</v>
      </c>
      <c r="P60" s="23">
        <f t="shared" si="7"/>
        <v>0</v>
      </c>
    </row>
    <row r="61" spans="1:16" x14ac:dyDescent="0.25">
      <c r="A61" t="s">
        <v>623</v>
      </c>
      <c r="B61" t="s">
        <v>624</v>
      </c>
      <c r="C61" s="33">
        <f>IF(VLOOKUP($A61,'Enroll Data as of January 2025'!$A$3:$T$322,20,FALSE)&gt;0,0,VLOOKUP($A61,'Enroll Data as of January 2025'!$A$3:$T$322,20,FALSE)*'2024-25 PSES Compliance'!$G$13)</f>
        <v>-2.0534399999999997</v>
      </c>
      <c r="D61" s="33">
        <f>IF(VLOOKUP($A61,'Enroll Data as of January 2025'!$A$3:$T$322,20,FALSE)&gt;0,0,VLOOKUP($A61,'Enroll Data as of January 2025'!$A$3:$T$322,20,FALSE)*'2024-25 PSES Compliance'!$G$14)</f>
        <v>-8.5559999999999997E-2</v>
      </c>
      <c r="E61" s="25">
        <f>ROUND($C61*CIS_Base*VLOOKUP($A61,'K3 District Data as of Jan 2025'!$A$3:$M$323,MATCH("Reg base",'K3 District Data as of Jan 2025'!$2:$2,0),FALSE),2)</f>
        <v>-176224.25</v>
      </c>
      <c r="F61" s="25">
        <f>ROUND($C61*CIS_Inc*(VLOOKUP($A61,'K3 District Data as of Jan 2025'!$A$3:$M$323,MATCH("Reg",'K3 District Data as of Jan 2025'!$2:$2,0),FALSE)+VLOOKUP($A61,'K3 District Data as of Jan 2025'!$A$3:$M$323,MATCH("Exp",'K3 District Data as of Jan 2025'!$2:$2,0),FALSE)),2)-E61</f>
        <v>-13280.790000000008</v>
      </c>
      <c r="G61" s="25">
        <f>ROUND($D61*CLS_Base*VLOOKUP($A61,'K3 District Data as of Jan 2025'!$A$3:$M$323,MATCH("Reg base",'K3 District Data as of Jan 2025'!$2:$2,0),FALSE),2)</f>
        <v>-5267.43</v>
      </c>
      <c r="H61" s="25">
        <f>ROUND($D61*CLS_Inc*VLOOKUP($A61,'K3 District Data as of Jan 2025'!$A$3:$M$323,MATCH("Reg base",'K3 District Data as of Jan 2025'!$2:$2,0),FALSE),2)-G61</f>
        <v>-396.97999999999956</v>
      </c>
      <c r="I61" s="25">
        <f t="shared" si="1"/>
        <v>-29607.98</v>
      </c>
      <c r="J61" s="25">
        <f t="shared" si="2"/>
        <v>-1729.55</v>
      </c>
      <c r="K61" s="25">
        <f t="shared" si="3"/>
        <v>-31984.7</v>
      </c>
      <c r="L61" s="25">
        <f t="shared" si="4"/>
        <v>-30856.87</v>
      </c>
      <c r="M61" s="25">
        <f t="shared" si="5"/>
        <v>-1140.93</v>
      </c>
      <c r="N61" s="25">
        <f t="shared" si="6"/>
        <v>-72.09</v>
      </c>
      <c r="O61" s="25">
        <f>ROUND(($C61*CIS_Inc*(VLOOKUP($A61,'K3 District Data as of Jan 2025'!$A$3:$M$323,MATCH("Reg",'K3 District Data as of Jan 2025'!$2:$2,0),FALSE)+VLOOKUP($A61,'K3 District Data as of Jan 2025'!$A$3:$M$323,MATCH("Exp",'K3 District Data as of Jan 2025'!$2:$2,0),FALSE))/180)*3+(($C61*CIS_Inc*(VLOOKUP($A61,'K3 District Data as of Jan 2025'!$A$3:$M$323,MATCH("Reg",'K3 District Data as of Jan 2025'!$2:$2,0),FALSE)+VLOOKUP($A61,'K3 District Data as of Jan 2025'!$A$3:$M$323,MATCH("Exp",'K3 District Data as of Jan 2025'!$2:$2,0),FALSE))/180)*3)*CIS_Ben_Inc,2)</f>
        <v>-3711.46</v>
      </c>
      <c r="P61" s="23">
        <f t="shared" si="7"/>
        <v>-294273.03000000009</v>
      </c>
    </row>
    <row r="62" spans="1:16" x14ac:dyDescent="0.25">
      <c r="A62" t="s">
        <v>199</v>
      </c>
      <c r="B62" t="s">
        <v>494</v>
      </c>
      <c r="C62" s="33">
        <f>IF(VLOOKUP($A62,'Enroll Data as of January 2025'!$A$3:$T$322,20,FALSE)&gt;0,0,VLOOKUP($A62,'Enroll Data as of January 2025'!$A$3:$T$322,20,FALSE)*'2024-25 PSES Compliance'!$G$13)</f>
        <v>-0.87456</v>
      </c>
      <c r="D62" s="33">
        <f>IF(VLOOKUP($A62,'Enroll Data as of January 2025'!$A$3:$T$322,20,FALSE)&gt;0,0,VLOOKUP($A62,'Enroll Data as of January 2025'!$A$3:$T$322,20,FALSE)*'2024-25 PSES Compliance'!$G$14)</f>
        <v>-3.644E-2</v>
      </c>
      <c r="E62" s="25">
        <f>ROUND($C62*CIS_Base*VLOOKUP($A62,'K3 District Data as of Jan 2025'!$A$3:$M$323,MATCH("Reg base",'K3 District Data as of Jan 2025'!$2:$2,0),FALSE),2)</f>
        <v>-71237.600000000006</v>
      </c>
      <c r="F62" s="25">
        <f>ROUND($C62*CIS_Inc*(VLOOKUP($A62,'K3 District Data as of Jan 2025'!$A$3:$M$323,MATCH("Reg",'K3 District Data as of Jan 2025'!$2:$2,0),FALSE)+VLOOKUP($A62,'K3 District Data as of Jan 2025'!$A$3:$M$323,MATCH("Exp",'K3 District Data as of Jan 2025'!$2:$2,0),FALSE)),2)-E62</f>
        <v>-5368.679999999993</v>
      </c>
      <c r="G62" s="25">
        <f>ROUND($D62*CLS_Base*VLOOKUP($A62,'K3 District Data as of Jan 2025'!$A$3:$M$323,MATCH("Reg base",'K3 District Data as of Jan 2025'!$2:$2,0),FALSE),2)</f>
        <v>-2129.33</v>
      </c>
      <c r="H62" s="25">
        <f>ROUND($D62*CLS_Inc*VLOOKUP($A62,'K3 District Data as of Jan 2025'!$A$3:$M$323,MATCH("Reg base",'K3 District Data as of Jan 2025'!$2:$2,0),FALSE),2)-G62</f>
        <v>-160.47000000000025</v>
      </c>
      <c r="I62" s="25">
        <f t="shared" si="1"/>
        <v>-12610.04</v>
      </c>
      <c r="J62" s="25">
        <f t="shared" si="2"/>
        <v>-736.62</v>
      </c>
      <c r="K62" s="25">
        <f t="shared" si="3"/>
        <v>-12929.62</v>
      </c>
      <c r="L62" s="25">
        <f t="shared" si="4"/>
        <v>-12473.7</v>
      </c>
      <c r="M62" s="25">
        <f t="shared" si="5"/>
        <v>-461.21</v>
      </c>
      <c r="N62" s="25">
        <f t="shared" si="6"/>
        <v>-29.14</v>
      </c>
      <c r="O62" s="25">
        <f>ROUND(($C62*CIS_Inc*(VLOOKUP($A62,'K3 District Data as of Jan 2025'!$A$3:$M$323,MATCH("Reg",'K3 District Data as of Jan 2025'!$2:$2,0),FALSE)+VLOOKUP($A62,'K3 District Data as of Jan 2025'!$A$3:$M$323,MATCH("Exp",'K3 District Data as of Jan 2025'!$2:$2,0),FALSE))/180)*3+(($C62*CIS_Inc*(VLOOKUP($A62,'K3 District Data as of Jan 2025'!$A$3:$M$323,MATCH("Reg",'K3 District Data as of Jan 2025'!$2:$2,0),FALSE)+VLOOKUP($A62,'K3 District Data as of Jan 2025'!$A$3:$M$323,MATCH("Exp",'K3 District Data as of Jan 2025'!$2:$2,0),FALSE))/180)*3)*CIS_Ben_Inc,2)</f>
        <v>-1500.33</v>
      </c>
      <c r="P62" s="23">
        <f t="shared" si="7"/>
        <v>-119636.73999999999</v>
      </c>
    </row>
    <row r="63" spans="1:16" x14ac:dyDescent="0.25">
      <c r="A63" t="s">
        <v>224</v>
      </c>
      <c r="B63" t="s">
        <v>519</v>
      </c>
      <c r="C63" s="33">
        <f>IF(VLOOKUP($A63,'Enroll Data as of January 2025'!$A$3:$T$322,20,FALSE)&gt;0,0,VLOOKUP($A63,'Enroll Data as of January 2025'!$A$3:$T$322,20,FALSE)*'2024-25 PSES Compliance'!$G$13)</f>
        <v>-0.92159999999999997</v>
      </c>
      <c r="D63" s="33">
        <f>IF(VLOOKUP($A63,'Enroll Data as of January 2025'!$A$3:$T$322,20,FALSE)&gt;0,0,VLOOKUP($A63,'Enroll Data as of January 2025'!$A$3:$T$322,20,FALSE)*'2024-25 PSES Compliance'!$G$14)</f>
        <v>-3.8399999999999997E-2</v>
      </c>
      <c r="E63" s="25">
        <f>ROUND($C63*CIS_Base*VLOOKUP($A63,'K3 District Data as of Jan 2025'!$A$3:$M$323,MATCH("Reg base",'K3 District Data as of Jan 2025'!$2:$2,0),FALSE),2)</f>
        <v>-75069.259999999995</v>
      </c>
      <c r="F63" s="25">
        <f>ROUND($C63*CIS_Inc*(VLOOKUP($A63,'K3 District Data as of Jan 2025'!$A$3:$M$323,MATCH("Reg",'K3 District Data as of Jan 2025'!$2:$2,0),FALSE)+VLOOKUP($A63,'K3 District Data as of Jan 2025'!$A$3:$M$323,MATCH("Exp",'K3 District Data as of Jan 2025'!$2:$2,0),FALSE)),2)-E63</f>
        <v>-5657.4400000000023</v>
      </c>
      <c r="G63" s="25">
        <f>ROUND($D63*CLS_Base*VLOOKUP($A63,'K3 District Data as of Jan 2025'!$A$3:$M$323,MATCH("Reg base",'K3 District Data as of Jan 2025'!$2:$2,0),FALSE),2)</f>
        <v>-2243.86</v>
      </c>
      <c r="H63" s="25">
        <f>ROUND($D63*CLS_Inc*VLOOKUP($A63,'K3 District Data as of Jan 2025'!$A$3:$M$323,MATCH("Reg base",'K3 District Data as of Jan 2025'!$2:$2,0),FALSE),2)-G63</f>
        <v>-169.09999999999991</v>
      </c>
      <c r="I63" s="25">
        <f t="shared" si="1"/>
        <v>-13288.29</v>
      </c>
      <c r="J63" s="25">
        <f t="shared" si="2"/>
        <v>-776.24</v>
      </c>
      <c r="K63" s="25">
        <f t="shared" si="3"/>
        <v>-13625.07</v>
      </c>
      <c r="L63" s="25">
        <f t="shared" si="4"/>
        <v>-13144.63</v>
      </c>
      <c r="M63" s="25">
        <f t="shared" si="5"/>
        <v>-486.02</v>
      </c>
      <c r="N63" s="25">
        <f t="shared" si="6"/>
        <v>-30.71</v>
      </c>
      <c r="O63" s="25">
        <f>ROUND(($C63*CIS_Inc*(VLOOKUP($A63,'K3 District Data as of Jan 2025'!$A$3:$M$323,MATCH("Reg",'K3 District Data as of Jan 2025'!$2:$2,0),FALSE)+VLOOKUP($A63,'K3 District Data as of Jan 2025'!$A$3:$M$323,MATCH("Exp",'K3 District Data as of Jan 2025'!$2:$2,0),FALSE))/180)*3+(($C63*CIS_Inc*(VLOOKUP($A63,'K3 District Data as of Jan 2025'!$A$3:$M$323,MATCH("Reg",'K3 District Data as of Jan 2025'!$2:$2,0),FALSE)+VLOOKUP($A63,'K3 District Data as of Jan 2025'!$A$3:$M$323,MATCH("Exp",'K3 District Data as of Jan 2025'!$2:$2,0),FALSE))/180)*3)*CIS_Ben_Inc,2)</f>
        <v>-1581.03</v>
      </c>
      <c r="P63" s="23">
        <f t="shared" si="7"/>
        <v>-126071.65000000002</v>
      </c>
    </row>
    <row r="64" spans="1:16" x14ac:dyDescent="0.25">
      <c r="A64" t="s">
        <v>654</v>
      </c>
      <c r="B64" t="s">
        <v>1109</v>
      </c>
      <c r="C64" s="33">
        <f>IF(VLOOKUP($A64,'Enroll Data as of January 2025'!$A$3:$T$322,20,FALSE)&gt;0,0,VLOOKUP($A64,'Enroll Data as of January 2025'!$A$3:$T$322,20,FALSE)*'2024-25 PSES Compliance'!$G$13)</f>
        <v>0</v>
      </c>
      <c r="D64" s="33">
        <f>IF(VLOOKUP($A64,'Enroll Data as of January 2025'!$A$3:$T$322,20,FALSE)&gt;0,0,VLOOKUP($A64,'Enroll Data as of January 2025'!$A$3:$T$322,20,FALSE)*'2024-25 PSES Compliance'!$G$14)</f>
        <v>0</v>
      </c>
      <c r="E64" s="25">
        <f>ROUND($C64*CIS_Base*VLOOKUP($A64,'K3 District Data as of Jan 2025'!$A$3:$M$323,MATCH("Reg base",'K3 District Data as of Jan 2025'!$2:$2,0),FALSE),2)</f>
        <v>0</v>
      </c>
      <c r="F64" s="25">
        <f>ROUND($C64*CIS_Inc*(VLOOKUP($A64,'K3 District Data as of Jan 2025'!$A$3:$M$323,MATCH("Reg",'K3 District Data as of Jan 2025'!$2:$2,0),FALSE)+VLOOKUP($A64,'K3 District Data as of Jan 2025'!$A$3:$M$323,MATCH("Exp",'K3 District Data as of Jan 2025'!$2:$2,0),FALSE)),2)-E64</f>
        <v>0</v>
      </c>
      <c r="G64" s="25">
        <f>ROUND($D64*CLS_Base*VLOOKUP($A64,'K3 District Data as of Jan 2025'!$A$3:$M$323,MATCH("Reg base",'K3 District Data as of Jan 2025'!$2:$2,0),FALSE),2)</f>
        <v>0</v>
      </c>
      <c r="H64" s="25">
        <f>ROUND($D64*CLS_Inc*VLOOKUP($A64,'K3 District Data as of Jan 2025'!$A$3:$M$323,MATCH("Reg base",'K3 District Data as of Jan 2025'!$2:$2,0),FALSE),2)-G64</f>
        <v>0</v>
      </c>
      <c r="I64" s="25">
        <f t="shared" si="1"/>
        <v>0</v>
      </c>
      <c r="J64" s="25">
        <f t="shared" si="2"/>
        <v>0</v>
      </c>
      <c r="K64" s="25">
        <f t="shared" si="3"/>
        <v>0</v>
      </c>
      <c r="L64" s="25">
        <f t="shared" si="4"/>
        <v>0</v>
      </c>
      <c r="M64" s="25">
        <f t="shared" si="5"/>
        <v>0</v>
      </c>
      <c r="N64" s="25">
        <f t="shared" si="6"/>
        <v>0</v>
      </c>
      <c r="O64" s="25">
        <f>ROUND(($C64*CIS_Inc*(VLOOKUP($A64,'K3 District Data as of Jan 2025'!$A$3:$M$323,MATCH("Reg",'K3 District Data as of Jan 2025'!$2:$2,0),FALSE)+VLOOKUP($A64,'K3 District Data as of Jan 2025'!$A$3:$M$323,MATCH("Exp",'K3 District Data as of Jan 2025'!$2:$2,0),FALSE))/180)*3+(($C64*CIS_Inc*(VLOOKUP($A64,'K3 District Data as of Jan 2025'!$A$3:$M$323,MATCH("Reg",'K3 District Data as of Jan 2025'!$2:$2,0),FALSE)+VLOOKUP($A64,'K3 District Data as of Jan 2025'!$A$3:$M$323,MATCH("Exp",'K3 District Data as of Jan 2025'!$2:$2,0),FALSE))/180)*3)*CIS_Ben_Inc,2)</f>
        <v>0</v>
      </c>
      <c r="P64" s="23">
        <f t="shared" si="7"/>
        <v>0</v>
      </c>
    </row>
    <row r="65" spans="1:16" x14ac:dyDescent="0.25">
      <c r="A65" t="s">
        <v>174</v>
      </c>
      <c r="B65" t="s">
        <v>470</v>
      </c>
      <c r="C65" s="33">
        <f>IF(VLOOKUP($A65,'Enroll Data as of January 2025'!$A$3:$T$322,20,FALSE)&gt;0,0,VLOOKUP($A65,'Enroll Data as of January 2025'!$A$3:$T$322,20,FALSE)*'2024-25 PSES Compliance'!$G$13)</f>
        <v>-1.3228799999999998</v>
      </c>
      <c r="D65" s="33">
        <f>IF(VLOOKUP($A65,'Enroll Data as of January 2025'!$A$3:$T$322,20,FALSE)&gt;0,0,VLOOKUP($A65,'Enroll Data as of January 2025'!$A$3:$T$322,20,FALSE)*'2024-25 PSES Compliance'!$G$14)</f>
        <v>-5.5119999999999995E-2</v>
      </c>
      <c r="E65" s="25">
        <f>ROUND($C65*CIS_Base*VLOOKUP($A65,'K3 District Data as of Jan 2025'!$A$3:$M$323,MATCH("Reg base",'K3 District Data as of Jan 2025'!$2:$2,0),FALSE),2)</f>
        <v>-96210.42</v>
      </c>
      <c r="F65" s="25">
        <f>ROUND($C65*CIS_Inc*(VLOOKUP($A65,'K3 District Data as of Jan 2025'!$A$3:$M$323,MATCH("Reg",'K3 District Data as of Jan 2025'!$2:$2,0),FALSE)+VLOOKUP($A65,'K3 District Data as of Jan 2025'!$A$3:$M$323,MATCH("Exp",'K3 District Data as of Jan 2025'!$2:$2,0),FALSE)),2)-E65</f>
        <v>-7250.6999999999971</v>
      </c>
      <c r="G65" s="25">
        <f>ROUND($D65*CLS_Base*VLOOKUP($A65,'K3 District Data as of Jan 2025'!$A$3:$M$323,MATCH("Reg base",'K3 District Data as of Jan 2025'!$2:$2,0),FALSE),2)</f>
        <v>-2875.78</v>
      </c>
      <c r="H65" s="25">
        <f>ROUND($D65*CLS_Inc*VLOOKUP($A65,'K3 District Data as of Jan 2025'!$A$3:$M$323,MATCH("Reg base",'K3 District Data as of Jan 2025'!$2:$2,0),FALSE),2)-G65</f>
        <v>-216.73000000000002</v>
      </c>
      <c r="I65" s="25">
        <f t="shared" si="1"/>
        <v>-19074.240000000002</v>
      </c>
      <c r="J65" s="25">
        <f t="shared" si="2"/>
        <v>-1114.22</v>
      </c>
      <c r="K65" s="25">
        <f t="shared" si="3"/>
        <v>-17462.189999999999</v>
      </c>
      <c r="L65" s="25">
        <f t="shared" si="4"/>
        <v>-16846.439999999999</v>
      </c>
      <c r="M65" s="25">
        <f t="shared" si="5"/>
        <v>-622.89</v>
      </c>
      <c r="N65" s="25">
        <f t="shared" si="6"/>
        <v>-39.36</v>
      </c>
      <c r="O65" s="25">
        <f>ROUND(($C65*CIS_Inc*(VLOOKUP($A65,'K3 District Data as of Jan 2025'!$A$3:$M$323,MATCH("Reg",'K3 District Data as of Jan 2025'!$2:$2,0),FALSE)+VLOOKUP($A65,'K3 District Data as of Jan 2025'!$A$3:$M$323,MATCH("Exp",'K3 District Data as of Jan 2025'!$2:$2,0),FALSE))/180)*3+(($C65*CIS_Inc*(VLOOKUP($A65,'K3 District Data as of Jan 2025'!$A$3:$M$323,MATCH("Reg",'K3 District Data as of Jan 2025'!$2:$2,0),FALSE)+VLOOKUP($A65,'K3 District Data as of Jan 2025'!$A$3:$M$323,MATCH("Exp",'K3 District Data as of Jan 2025'!$2:$2,0),FALSE))/180)*3)*CIS_Ben_Inc,2)</f>
        <v>-2026.29</v>
      </c>
      <c r="P65" s="23">
        <f t="shared" si="7"/>
        <v>-163739.26</v>
      </c>
    </row>
    <row r="66" spans="1:16" x14ac:dyDescent="0.25">
      <c r="A66" t="s">
        <v>158</v>
      </c>
      <c r="B66" t="s">
        <v>454</v>
      </c>
      <c r="C66" s="33">
        <f>IF(VLOOKUP($A66,'Enroll Data as of January 2025'!$A$3:$T$322,20,FALSE)&gt;0,0,VLOOKUP($A66,'Enroll Data as of January 2025'!$A$3:$T$322,20,FALSE)*'2024-25 PSES Compliance'!$G$13)</f>
        <v>-0.39455999999999997</v>
      </c>
      <c r="D66" s="33">
        <f>IF(VLOOKUP($A66,'Enroll Data as of January 2025'!$A$3:$T$322,20,FALSE)&gt;0,0,VLOOKUP($A66,'Enroll Data as of January 2025'!$A$3:$T$322,20,FALSE)*'2024-25 PSES Compliance'!$G$14)</f>
        <v>-1.644E-2</v>
      </c>
      <c r="E66" s="25">
        <f>ROUND($C66*CIS_Base*VLOOKUP($A66,'K3 District Data as of Jan 2025'!$A$3:$M$323,MATCH("Reg base",'K3 District Data as of Jan 2025'!$2:$2,0),FALSE),2)</f>
        <v>-28695.56</v>
      </c>
      <c r="F66" s="25">
        <f>ROUND($C66*CIS_Inc*(VLOOKUP($A66,'K3 District Data as of Jan 2025'!$A$3:$M$323,MATCH("Reg",'K3 District Data as of Jan 2025'!$2:$2,0),FALSE)+VLOOKUP($A66,'K3 District Data as of Jan 2025'!$A$3:$M$323,MATCH("Exp",'K3 District Data as of Jan 2025'!$2:$2,0),FALSE)),2)-E66</f>
        <v>-2162.5799999999981</v>
      </c>
      <c r="G66" s="25">
        <f>ROUND($D66*CLS_Base*VLOOKUP($A66,'K3 District Data as of Jan 2025'!$A$3:$M$323,MATCH("Reg base",'K3 District Data as of Jan 2025'!$2:$2,0),FALSE),2)</f>
        <v>-857.72</v>
      </c>
      <c r="H66" s="25">
        <f>ROUND($D66*CLS_Inc*VLOOKUP($A66,'K3 District Data as of Jan 2025'!$A$3:$M$323,MATCH("Reg base",'K3 District Data as of Jan 2025'!$2:$2,0),FALSE),2)-G66</f>
        <v>-64.649999999999977</v>
      </c>
      <c r="I66" s="25">
        <f t="shared" si="1"/>
        <v>-5689.05</v>
      </c>
      <c r="J66" s="25">
        <f t="shared" si="2"/>
        <v>-332.33</v>
      </c>
      <c r="K66" s="25">
        <f t="shared" si="3"/>
        <v>-5208.24</v>
      </c>
      <c r="L66" s="25">
        <f t="shared" si="4"/>
        <v>-5024.59</v>
      </c>
      <c r="M66" s="25">
        <f t="shared" si="5"/>
        <v>-185.78</v>
      </c>
      <c r="N66" s="25">
        <f t="shared" si="6"/>
        <v>-11.74</v>
      </c>
      <c r="O66" s="25">
        <f>ROUND(($C66*CIS_Inc*(VLOOKUP($A66,'K3 District Data as of Jan 2025'!$A$3:$M$323,MATCH("Reg",'K3 District Data as of Jan 2025'!$2:$2,0),FALSE)+VLOOKUP($A66,'K3 District Data as of Jan 2025'!$A$3:$M$323,MATCH("Exp",'K3 District Data as of Jan 2025'!$2:$2,0),FALSE))/180)*3+(($C66*CIS_Inc*(VLOOKUP($A66,'K3 District Data as of Jan 2025'!$A$3:$M$323,MATCH("Reg",'K3 District Data as of Jan 2025'!$2:$2,0),FALSE)+VLOOKUP($A66,'K3 District Data as of Jan 2025'!$A$3:$M$323,MATCH("Exp",'K3 District Data as of Jan 2025'!$2:$2,0),FALSE))/180)*3)*CIS_Ben_Inc,2)</f>
        <v>-604.36</v>
      </c>
      <c r="P66" s="23">
        <f t="shared" si="7"/>
        <v>-48836.6</v>
      </c>
    </row>
    <row r="67" spans="1:16" x14ac:dyDescent="0.25">
      <c r="A67" t="s">
        <v>24</v>
      </c>
      <c r="B67" t="s">
        <v>602</v>
      </c>
      <c r="C67" s="33">
        <f>IF(VLOOKUP($A67,'Enroll Data as of January 2025'!$A$3:$T$322,20,FALSE)&gt;0,0,VLOOKUP($A67,'Enroll Data as of January 2025'!$A$3:$T$322,20,FALSE)*'2024-25 PSES Compliance'!$G$13)</f>
        <v>-2.4182399999999999</v>
      </c>
      <c r="D67" s="33">
        <f>IF(VLOOKUP($A67,'Enroll Data as of January 2025'!$A$3:$T$322,20,FALSE)&gt;0,0,VLOOKUP($A67,'Enroll Data as of January 2025'!$A$3:$T$322,20,FALSE)*'2024-25 PSES Compliance'!$G$14)</f>
        <v>-0.10076</v>
      </c>
      <c r="E67" s="25">
        <f>ROUND($C67*CIS_Base*VLOOKUP($A67,'K3 District Data as of Jan 2025'!$A$3:$M$323,MATCH("Reg base",'K3 District Data as of Jan 2025'!$2:$2,0),FALSE),2)</f>
        <v>-175873.76</v>
      </c>
      <c r="F67" s="25">
        <f>ROUND($C67*CIS_Inc*(VLOOKUP($A67,'K3 District Data as of Jan 2025'!$A$3:$M$323,MATCH("Reg",'K3 District Data as of Jan 2025'!$2:$2,0),FALSE)+VLOOKUP($A67,'K3 District Data as of Jan 2025'!$A$3:$M$323,MATCH("Exp",'K3 District Data as of Jan 2025'!$2:$2,0),FALSE)),2)-E67</f>
        <v>-20819.5</v>
      </c>
      <c r="G67" s="25">
        <f>ROUND($D67*CLS_Base*VLOOKUP($A67,'K3 District Data as of Jan 2025'!$A$3:$M$323,MATCH("Reg base",'K3 District Data as of Jan 2025'!$2:$2,0),FALSE),2)</f>
        <v>-5256.95</v>
      </c>
      <c r="H67" s="25">
        <f>ROUND($D67*CLS_Inc*VLOOKUP($A67,'K3 District Data as of Jan 2025'!$A$3:$M$323,MATCH("Reg base",'K3 District Data as of Jan 2025'!$2:$2,0),FALSE),2)-G67</f>
        <v>-396.19000000000051</v>
      </c>
      <c r="I67" s="25">
        <f t="shared" ref="I67:I130" si="8">ROUND($C67*CIS_Ins_Inc,2)</f>
        <v>-34867.93</v>
      </c>
      <c r="J67" s="25">
        <f t="shared" ref="J67:J130" si="9">ROUND($D67*CLS_Ins_Inc,2)</f>
        <v>-2036.81</v>
      </c>
      <c r="K67" s="25">
        <f t="shared" ref="K67:K130" si="10">ROUND(E67*CIS_Ben_Base,2)</f>
        <v>-31921.09</v>
      </c>
      <c r="L67" s="25">
        <f t="shared" ref="L67:L130" si="11">ROUND(E67*CIS_Ben_Inc,2)</f>
        <v>-30795.5</v>
      </c>
      <c r="M67" s="25">
        <f t="shared" ref="M67:M130" si="12">ROUND(G67*CLS_Ben_Base,2)</f>
        <v>-1138.6600000000001</v>
      </c>
      <c r="N67" s="25">
        <f t="shared" ref="N67:N130" si="13">ROUND(H67*CLS_Ben_Inc,2)</f>
        <v>-71.95</v>
      </c>
      <c r="O67" s="25">
        <f>ROUND(($C67*CIS_Inc*(VLOOKUP($A67,'K3 District Data as of Jan 2025'!$A$3:$M$323,MATCH("Reg",'K3 District Data as of Jan 2025'!$2:$2,0),FALSE)+VLOOKUP($A67,'K3 District Data as of Jan 2025'!$A$3:$M$323,MATCH("Exp",'K3 District Data as of Jan 2025'!$2:$2,0),FALSE))/180)*3+(($C67*CIS_Inc*(VLOOKUP($A67,'K3 District Data as of Jan 2025'!$A$3:$M$323,MATCH("Reg",'K3 District Data as of Jan 2025'!$2:$2,0),FALSE)+VLOOKUP($A67,'K3 District Data as of Jan 2025'!$A$3:$M$323,MATCH("Exp",'K3 District Data as of Jan 2025'!$2:$2,0),FALSE))/180)*3)*CIS_Ben_Inc,2)</f>
        <v>-3852.24</v>
      </c>
      <c r="P67" s="23">
        <f t="shared" ref="P67:P130" si="14">SUM(E67:O67)</f>
        <v>-307030.58</v>
      </c>
    </row>
    <row r="68" spans="1:16" x14ac:dyDescent="0.25">
      <c r="A68" t="s">
        <v>69</v>
      </c>
      <c r="B68" t="s">
        <v>365</v>
      </c>
      <c r="C68" s="33">
        <f>IF(VLOOKUP($A68,'Enroll Data as of January 2025'!$A$3:$T$322,20,FALSE)&gt;0,0,VLOOKUP($A68,'Enroll Data as of January 2025'!$A$3:$T$322,20,FALSE)*'2024-25 PSES Compliance'!$G$13)</f>
        <v>-0.94272</v>
      </c>
      <c r="D68" s="33">
        <f>IF(VLOOKUP($A68,'Enroll Data as of January 2025'!$A$3:$T$322,20,FALSE)&gt;0,0,VLOOKUP($A68,'Enroll Data as of January 2025'!$A$3:$T$322,20,FALSE)*'2024-25 PSES Compliance'!$G$14)</f>
        <v>-3.9280000000000002E-2</v>
      </c>
      <c r="E68" s="25">
        <f>ROUND($C68*CIS_Base*VLOOKUP($A68,'K3 District Data as of Jan 2025'!$A$3:$M$323,MATCH("Reg base",'K3 District Data as of Jan 2025'!$2:$2,0),FALSE),2)</f>
        <v>-68562.14</v>
      </c>
      <c r="F68" s="25">
        <f>ROUND($C68*CIS_Inc*(VLOOKUP($A68,'K3 District Data as of Jan 2025'!$A$3:$M$323,MATCH("Reg",'K3 District Data as of Jan 2025'!$2:$2,0),FALSE)+VLOOKUP($A68,'K3 District Data as of Jan 2025'!$A$3:$M$323,MATCH("Exp",'K3 District Data as of Jan 2025'!$2:$2,0),FALSE)),2)-E68</f>
        <v>-5167.0500000000029</v>
      </c>
      <c r="G68" s="25">
        <f>ROUND($D68*CLS_Base*VLOOKUP($A68,'K3 District Data as of Jan 2025'!$A$3:$M$323,MATCH("Reg base",'K3 District Data as of Jan 2025'!$2:$2,0),FALSE),2)</f>
        <v>-2049.36</v>
      </c>
      <c r="H68" s="25">
        <f>ROUND($D68*CLS_Inc*VLOOKUP($A68,'K3 District Data as of Jan 2025'!$A$3:$M$323,MATCH("Reg base",'K3 District Data as of Jan 2025'!$2:$2,0),FALSE),2)-G68</f>
        <v>-154.44000000000005</v>
      </c>
      <c r="I68" s="25">
        <f t="shared" si="8"/>
        <v>-13592.82</v>
      </c>
      <c r="J68" s="25">
        <f t="shared" si="9"/>
        <v>-794.02</v>
      </c>
      <c r="K68" s="25">
        <f t="shared" si="10"/>
        <v>-12444.03</v>
      </c>
      <c r="L68" s="25">
        <f t="shared" si="11"/>
        <v>-12005.23</v>
      </c>
      <c r="M68" s="25">
        <f t="shared" si="12"/>
        <v>-443.89</v>
      </c>
      <c r="N68" s="25">
        <f t="shared" si="13"/>
        <v>-28.05</v>
      </c>
      <c r="O68" s="25">
        <f>ROUND(($C68*CIS_Inc*(VLOOKUP($A68,'K3 District Data as of Jan 2025'!$A$3:$M$323,MATCH("Reg",'K3 District Data as of Jan 2025'!$2:$2,0),FALSE)+VLOOKUP($A68,'K3 District Data as of Jan 2025'!$A$3:$M$323,MATCH("Exp",'K3 District Data as of Jan 2025'!$2:$2,0),FALSE))/180)*3+(($C68*CIS_Inc*(VLOOKUP($A68,'K3 District Data as of Jan 2025'!$A$3:$M$323,MATCH("Reg",'K3 District Data as of Jan 2025'!$2:$2,0),FALSE)+VLOOKUP($A68,'K3 District Data as of Jan 2025'!$A$3:$M$323,MATCH("Exp",'K3 District Data as of Jan 2025'!$2:$2,0),FALSE))/180)*3)*CIS_Ben_Inc,2)</f>
        <v>-1443.99</v>
      </c>
      <c r="P68" s="23">
        <f t="shared" si="14"/>
        <v>-116685.02</v>
      </c>
    </row>
    <row r="69" spans="1:16" x14ac:dyDescent="0.25">
      <c r="A69" t="s">
        <v>667</v>
      </c>
      <c r="B69" t="s">
        <v>668</v>
      </c>
      <c r="C69" s="33">
        <f>IF(VLOOKUP($A69,'Enroll Data as of January 2025'!$A$3:$T$322,20,FALSE)&gt;0,0,VLOOKUP($A69,'Enroll Data as of January 2025'!$A$3:$T$322,20,FALSE)*'2024-25 PSES Compliance'!$G$13)</f>
        <v>-0.16991999999999999</v>
      </c>
      <c r="D69" s="33">
        <f>IF(VLOOKUP($A69,'Enroll Data as of January 2025'!$A$3:$T$322,20,FALSE)&gt;0,0,VLOOKUP($A69,'Enroll Data as of January 2025'!$A$3:$T$322,20,FALSE)*'2024-25 PSES Compliance'!$G$14)</f>
        <v>-7.0799999999999995E-3</v>
      </c>
      <c r="E69" s="25">
        <f>ROUND($C69*CIS_Base*VLOOKUP($A69,'K3 District Data as of Jan 2025'!$A$3:$M$323,MATCH("Reg base",'K3 District Data as of Jan 2025'!$2:$2,0),FALSE),2)</f>
        <v>-12357.94</v>
      </c>
      <c r="F69" s="25">
        <f>ROUND($C69*CIS_Inc*(VLOOKUP($A69,'K3 District Data as of Jan 2025'!$A$3:$M$323,MATCH("Reg",'K3 District Data as of Jan 2025'!$2:$2,0),FALSE)+VLOOKUP($A69,'K3 District Data as of Jan 2025'!$A$3:$M$323,MATCH("Exp",'K3 District Data as of Jan 2025'!$2:$2,0),FALSE)),2)-E69</f>
        <v>-931.32999999999993</v>
      </c>
      <c r="G69" s="25">
        <f>ROUND($D69*CLS_Base*VLOOKUP($A69,'K3 District Data as of Jan 2025'!$A$3:$M$323,MATCH("Reg base",'K3 District Data as of Jan 2025'!$2:$2,0),FALSE),2)</f>
        <v>-369.38</v>
      </c>
      <c r="H69" s="25">
        <f>ROUND($D69*CLS_Inc*VLOOKUP($A69,'K3 District Data as of Jan 2025'!$A$3:$M$323,MATCH("Reg base",'K3 District Data as of Jan 2025'!$2:$2,0),FALSE),2)-G69</f>
        <v>-27.840000000000032</v>
      </c>
      <c r="I69" s="25">
        <f t="shared" si="8"/>
        <v>-2450.0300000000002</v>
      </c>
      <c r="J69" s="25">
        <f t="shared" si="9"/>
        <v>-143.12</v>
      </c>
      <c r="K69" s="25">
        <f t="shared" si="10"/>
        <v>-2242.9699999999998</v>
      </c>
      <c r="L69" s="25">
        <f t="shared" si="11"/>
        <v>-2163.88</v>
      </c>
      <c r="M69" s="25">
        <f t="shared" si="12"/>
        <v>-80.010000000000005</v>
      </c>
      <c r="N69" s="25">
        <f t="shared" si="13"/>
        <v>-5.0599999999999996</v>
      </c>
      <c r="O69" s="25">
        <f>ROUND(($C69*CIS_Inc*(VLOOKUP($A69,'K3 District Data as of Jan 2025'!$A$3:$M$323,MATCH("Reg",'K3 District Data as of Jan 2025'!$2:$2,0),FALSE)+VLOOKUP($A69,'K3 District Data as of Jan 2025'!$A$3:$M$323,MATCH("Exp",'K3 District Data as of Jan 2025'!$2:$2,0),FALSE))/180)*3+(($C69*CIS_Inc*(VLOOKUP($A69,'K3 District Data as of Jan 2025'!$A$3:$M$323,MATCH("Reg",'K3 District Data as of Jan 2025'!$2:$2,0),FALSE)+VLOOKUP($A69,'K3 District Data as of Jan 2025'!$A$3:$M$323,MATCH("Exp",'K3 District Data as of Jan 2025'!$2:$2,0),FALSE))/180)*3)*CIS_Ben_Inc,2)</f>
        <v>-260.27</v>
      </c>
      <c r="P69" s="23">
        <f t="shared" si="14"/>
        <v>-21031.83</v>
      </c>
    </row>
    <row r="70" spans="1:16" x14ac:dyDescent="0.25">
      <c r="A70" t="s">
        <v>666</v>
      </c>
      <c r="B70" t="s">
        <v>1110</v>
      </c>
      <c r="C70" s="33">
        <f>IF(VLOOKUP($A70,'Enroll Data as of January 2025'!$A$3:$T$322,20,FALSE)&gt;0,0,VLOOKUP($A70,'Enroll Data as of January 2025'!$A$3:$T$322,20,FALSE)*'2024-25 PSES Compliance'!$G$13)</f>
        <v>0</v>
      </c>
      <c r="D70" s="33">
        <f>IF(VLOOKUP($A70,'Enroll Data as of January 2025'!$A$3:$T$322,20,FALSE)&gt;0,0,VLOOKUP($A70,'Enroll Data as of January 2025'!$A$3:$T$322,20,FALSE)*'2024-25 PSES Compliance'!$G$14)</f>
        <v>0</v>
      </c>
      <c r="E70" s="25">
        <f>ROUND($C70*CIS_Base*VLOOKUP($A70,'K3 District Data as of Jan 2025'!$A$3:$M$323,MATCH("Reg base",'K3 District Data as of Jan 2025'!$2:$2,0),FALSE),2)</f>
        <v>0</v>
      </c>
      <c r="F70" s="25">
        <f>ROUND($C70*CIS_Inc*(VLOOKUP($A70,'K3 District Data as of Jan 2025'!$A$3:$M$323,MATCH("Reg",'K3 District Data as of Jan 2025'!$2:$2,0),FALSE)+VLOOKUP($A70,'K3 District Data as of Jan 2025'!$A$3:$M$323,MATCH("Exp",'K3 District Data as of Jan 2025'!$2:$2,0),FALSE)),2)-E70</f>
        <v>0</v>
      </c>
      <c r="G70" s="25">
        <f>ROUND($D70*CLS_Base*VLOOKUP($A70,'K3 District Data as of Jan 2025'!$A$3:$M$323,MATCH("Reg base",'K3 District Data as of Jan 2025'!$2:$2,0),FALSE),2)</f>
        <v>0</v>
      </c>
      <c r="H70" s="25">
        <f>ROUND($D70*CLS_Inc*VLOOKUP($A70,'K3 District Data as of Jan 2025'!$A$3:$M$323,MATCH("Reg base",'K3 District Data as of Jan 2025'!$2:$2,0),FALSE),2)-G70</f>
        <v>0</v>
      </c>
      <c r="I70" s="25">
        <f t="shared" si="8"/>
        <v>0</v>
      </c>
      <c r="J70" s="25">
        <f t="shared" si="9"/>
        <v>0</v>
      </c>
      <c r="K70" s="25">
        <f t="shared" si="10"/>
        <v>0</v>
      </c>
      <c r="L70" s="25">
        <f t="shared" si="11"/>
        <v>0</v>
      </c>
      <c r="M70" s="25">
        <f t="shared" si="12"/>
        <v>0</v>
      </c>
      <c r="N70" s="25">
        <f t="shared" si="13"/>
        <v>0</v>
      </c>
      <c r="O70" s="25">
        <f>ROUND(($C70*CIS_Inc*(VLOOKUP($A70,'K3 District Data as of Jan 2025'!$A$3:$M$323,MATCH("Reg",'K3 District Data as of Jan 2025'!$2:$2,0),FALSE)+VLOOKUP($A70,'K3 District Data as of Jan 2025'!$A$3:$M$323,MATCH("Exp",'K3 District Data as of Jan 2025'!$2:$2,0),FALSE))/180)*3+(($C70*CIS_Inc*(VLOOKUP($A70,'K3 District Data as of Jan 2025'!$A$3:$M$323,MATCH("Reg",'K3 District Data as of Jan 2025'!$2:$2,0),FALSE)+VLOOKUP($A70,'K3 District Data as of Jan 2025'!$A$3:$M$323,MATCH("Exp",'K3 District Data as of Jan 2025'!$2:$2,0),FALSE))/180)*3)*CIS_Ben_Inc,2)</f>
        <v>0</v>
      </c>
      <c r="P70" s="23">
        <f t="shared" si="14"/>
        <v>0</v>
      </c>
    </row>
    <row r="71" spans="1:16" x14ac:dyDescent="0.25">
      <c r="A71" t="s">
        <v>95</v>
      </c>
      <c r="B71" t="s">
        <v>391</v>
      </c>
      <c r="C71" s="33">
        <f>IF(VLOOKUP($A71,'Enroll Data as of January 2025'!$A$3:$T$322,20,FALSE)&gt;0,0,VLOOKUP($A71,'Enroll Data as of January 2025'!$A$3:$T$322,20,FALSE)*'2024-25 PSES Compliance'!$G$13)</f>
        <v>-1.6992</v>
      </c>
      <c r="D71" s="33">
        <f>IF(VLOOKUP($A71,'Enroll Data as of January 2025'!$A$3:$T$322,20,FALSE)&gt;0,0,VLOOKUP($A71,'Enroll Data as of January 2025'!$A$3:$T$322,20,FALSE)*'2024-25 PSES Compliance'!$G$14)</f>
        <v>-7.0800000000000002E-2</v>
      </c>
      <c r="E71" s="25">
        <f>ROUND($C71*CIS_Base*VLOOKUP($A71,'K3 District Data as of Jan 2025'!$A$3:$M$323,MATCH("Reg base",'K3 District Data as of Jan 2025'!$2:$2,0),FALSE),2)</f>
        <v>-138408.95000000001</v>
      </c>
      <c r="F71" s="25">
        <f>ROUND($C71*CIS_Inc*(VLOOKUP($A71,'K3 District Data as of Jan 2025'!$A$3:$M$323,MATCH("Reg",'K3 District Data as of Jan 2025'!$2:$2,0),FALSE)+VLOOKUP($A71,'K3 District Data as of Jan 2025'!$A$3:$M$323,MATCH("Exp",'K3 District Data as of Jan 2025'!$2:$2,0),FALSE)),2)-E71</f>
        <v>-10430.909999999974</v>
      </c>
      <c r="G71" s="25">
        <f>ROUND($D71*CLS_Base*VLOOKUP($A71,'K3 District Data as of Jan 2025'!$A$3:$M$323,MATCH("Reg base",'K3 District Data as of Jan 2025'!$2:$2,0),FALSE),2)</f>
        <v>-4137.1099999999997</v>
      </c>
      <c r="H71" s="25">
        <f>ROUND($D71*CLS_Inc*VLOOKUP($A71,'K3 District Data as of Jan 2025'!$A$3:$M$323,MATCH("Reg base",'K3 District Data as of Jan 2025'!$2:$2,0),FALSE),2)-G71</f>
        <v>-311.78999999999996</v>
      </c>
      <c r="I71" s="25">
        <f t="shared" si="8"/>
        <v>-24500.29</v>
      </c>
      <c r="J71" s="25">
        <f t="shared" si="9"/>
        <v>-1431.19</v>
      </c>
      <c r="K71" s="25">
        <f t="shared" si="10"/>
        <v>-25121.22</v>
      </c>
      <c r="L71" s="25">
        <f t="shared" si="11"/>
        <v>-24235.41</v>
      </c>
      <c r="M71" s="25">
        <f t="shared" si="12"/>
        <v>-896.1</v>
      </c>
      <c r="N71" s="25">
        <f t="shared" si="13"/>
        <v>-56.62</v>
      </c>
      <c r="O71" s="25">
        <f>ROUND(($C71*CIS_Inc*(VLOOKUP($A71,'K3 District Data as of Jan 2025'!$A$3:$M$323,MATCH("Reg",'K3 District Data as of Jan 2025'!$2:$2,0),FALSE)+VLOOKUP($A71,'K3 District Data as of Jan 2025'!$A$3:$M$323,MATCH("Exp",'K3 District Data as of Jan 2025'!$2:$2,0),FALSE))/180)*3+(($C71*CIS_Inc*(VLOOKUP($A71,'K3 District Data as of Jan 2025'!$A$3:$M$323,MATCH("Reg",'K3 District Data as of Jan 2025'!$2:$2,0),FALSE)+VLOOKUP($A71,'K3 District Data as of Jan 2025'!$A$3:$M$323,MATCH("Exp",'K3 District Data as of Jan 2025'!$2:$2,0),FALSE))/180)*3)*CIS_Ben_Inc,2)</f>
        <v>-2915.03</v>
      </c>
      <c r="P71" s="23">
        <f t="shared" si="14"/>
        <v>-232444.62</v>
      </c>
    </row>
    <row r="72" spans="1:16" x14ac:dyDescent="0.25">
      <c r="A72" t="s">
        <v>625</v>
      </c>
      <c r="B72" t="s">
        <v>671</v>
      </c>
      <c r="C72" s="33">
        <f>IF(VLOOKUP($A72,'Enroll Data as of January 2025'!$A$3:$T$322,20,FALSE)&gt;0,0,VLOOKUP($A72,'Enroll Data as of January 2025'!$A$3:$T$322,20,FALSE)*'2024-25 PSES Compliance'!$G$13)</f>
        <v>-0.69599999999999995</v>
      </c>
      <c r="D72" s="33">
        <f>IF(VLOOKUP($A72,'Enroll Data as of January 2025'!$A$3:$T$322,20,FALSE)&gt;0,0,VLOOKUP($A72,'Enroll Data as of January 2025'!$A$3:$T$322,20,FALSE)*'2024-25 PSES Compliance'!$G$14)</f>
        <v>-2.8999999999999998E-2</v>
      </c>
      <c r="E72" s="25">
        <f>ROUND($C72*CIS_Base*VLOOKUP($A72,'K3 District Data as of Jan 2025'!$A$3:$M$323,MATCH("Reg base",'K3 District Data as of Jan 2025'!$2:$2,0),FALSE),2)</f>
        <v>-59730.05</v>
      </c>
      <c r="F72" s="25">
        <f>ROUND($C72*CIS_Inc*(VLOOKUP($A72,'K3 District Data as of Jan 2025'!$A$3:$M$323,MATCH("Reg",'K3 District Data as of Jan 2025'!$2:$2,0),FALSE)+VLOOKUP($A72,'K3 District Data as of Jan 2025'!$A$3:$M$323,MATCH("Exp",'K3 District Data as of Jan 2025'!$2:$2,0),FALSE)),2)-E72</f>
        <v>-4501.4399999999951</v>
      </c>
      <c r="G72" s="25">
        <f>ROUND($D72*CLS_Base*VLOOKUP($A72,'K3 District Data as of Jan 2025'!$A$3:$M$323,MATCH("Reg base",'K3 District Data as of Jan 2025'!$2:$2,0),FALSE),2)</f>
        <v>-1785.36</v>
      </c>
      <c r="H72" s="25">
        <f>ROUND($D72*CLS_Inc*VLOOKUP($A72,'K3 District Data as of Jan 2025'!$A$3:$M$323,MATCH("Reg base",'K3 District Data as of Jan 2025'!$2:$2,0),FALSE),2)-G72</f>
        <v>-134.55000000000018</v>
      </c>
      <c r="I72" s="25">
        <f t="shared" si="8"/>
        <v>-10035.43</v>
      </c>
      <c r="J72" s="25">
        <f t="shared" si="9"/>
        <v>-586.22</v>
      </c>
      <c r="K72" s="25">
        <f t="shared" si="10"/>
        <v>-10841</v>
      </c>
      <c r="L72" s="25">
        <f t="shared" si="11"/>
        <v>-10458.73</v>
      </c>
      <c r="M72" s="25">
        <f t="shared" si="12"/>
        <v>-386.71</v>
      </c>
      <c r="N72" s="25">
        <f t="shared" si="13"/>
        <v>-24.43</v>
      </c>
      <c r="O72" s="25">
        <f>ROUND(($C72*CIS_Inc*(VLOOKUP($A72,'K3 District Data as of Jan 2025'!$A$3:$M$323,MATCH("Reg",'K3 District Data as of Jan 2025'!$2:$2,0),FALSE)+VLOOKUP($A72,'K3 District Data as of Jan 2025'!$A$3:$M$323,MATCH("Exp",'K3 District Data as of Jan 2025'!$2:$2,0),FALSE))/180)*3+(($C72*CIS_Inc*(VLOOKUP($A72,'K3 District Data as of Jan 2025'!$A$3:$M$323,MATCH("Reg",'K3 District Data as of Jan 2025'!$2:$2,0),FALSE)+VLOOKUP($A72,'K3 District Data as of Jan 2025'!$A$3:$M$323,MATCH("Exp",'K3 District Data as of Jan 2025'!$2:$2,0),FALSE))/180)*3)*CIS_Ben_Inc,2)</f>
        <v>-1257.97</v>
      </c>
      <c r="P72" s="23">
        <f t="shared" si="14"/>
        <v>-99741.889999999985</v>
      </c>
    </row>
    <row r="73" spans="1:16" x14ac:dyDescent="0.25">
      <c r="A73" t="s">
        <v>137</v>
      </c>
      <c r="B73" t="s">
        <v>433</v>
      </c>
      <c r="C73" s="33">
        <f>IF(VLOOKUP($A73,'Enroll Data as of January 2025'!$A$3:$T$322,20,FALSE)&gt;0,0,VLOOKUP($A73,'Enroll Data as of January 2025'!$A$3:$T$322,20,FALSE)*'2024-25 PSES Compliance'!$G$13)</f>
        <v>-1.08</v>
      </c>
      <c r="D73" s="33">
        <f>IF(VLOOKUP($A73,'Enroll Data as of January 2025'!$A$3:$T$322,20,FALSE)&gt;0,0,VLOOKUP($A73,'Enroll Data as of January 2025'!$A$3:$T$322,20,FALSE)*'2024-25 PSES Compliance'!$G$14)</f>
        <v>-4.4999999999999998E-2</v>
      </c>
      <c r="E73" s="25">
        <f>ROUND($C73*CIS_Base*VLOOKUP($A73,'K3 District Data as of Jan 2025'!$A$3:$M$323,MATCH("Reg base",'K3 District Data as of Jan 2025'!$2:$2,0),FALSE),2)</f>
        <v>-78546.240000000005</v>
      </c>
      <c r="F73" s="25">
        <f>ROUND($C73*CIS_Inc*(VLOOKUP($A73,'K3 District Data as of Jan 2025'!$A$3:$M$323,MATCH("Reg",'K3 District Data as of Jan 2025'!$2:$2,0),FALSE)+VLOOKUP($A73,'K3 District Data as of Jan 2025'!$A$3:$M$323,MATCH("Exp",'K3 District Data as of Jan 2025'!$2:$2,0),FALSE)),2)-E73</f>
        <v>-5919.4799999999959</v>
      </c>
      <c r="G73" s="25">
        <f>ROUND($D73*CLS_Base*VLOOKUP($A73,'K3 District Data as of Jan 2025'!$A$3:$M$323,MATCH("Reg base",'K3 District Data as of Jan 2025'!$2:$2,0),FALSE),2)</f>
        <v>-2347.79</v>
      </c>
      <c r="H73" s="25">
        <f>ROUND($D73*CLS_Inc*VLOOKUP($A73,'K3 District Data as of Jan 2025'!$A$3:$M$323,MATCH("Reg base",'K3 District Data as of Jan 2025'!$2:$2,0),FALSE),2)-G73</f>
        <v>-176.94000000000005</v>
      </c>
      <c r="I73" s="25">
        <f t="shared" si="8"/>
        <v>-15572.22</v>
      </c>
      <c r="J73" s="25">
        <f t="shared" si="9"/>
        <v>-909.65</v>
      </c>
      <c r="K73" s="25">
        <f t="shared" si="10"/>
        <v>-14256.14</v>
      </c>
      <c r="L73" s="25">
        <f t="shared" si="11"/>
        <v>-13753.45</v>
      </c>
      <c r="M73" s="25">
        <f t="shared" si="12"/>
        <v>-508.53</v>
      </c>
      <c r="N73" s="25">
        <f t="shared" si="13"/>
        <v>-32.130000000000003</v>
      </c>
      <c r="O73" s="25">
        <f>ROUND(($C73*CIS_Inc*(VLOOKUP($A73,'K3 District Data as of Jan 2025'!$A$3:$M$323,MATCH("Reg",'K3 District Data as of Jan 2025'!$2:$2,0),FALSE)+VLOOKUP($A73,'K3 District Data as of Jan 2025'!$A$3:$M$323,MATCH("Exp",'K3 District Data as of Jan 2025'!$2:$2,0),FALSE))/180)*3+(($C73*CIS_Inc*(VLOOKUP($A73,'K3 District Data as of Jan 2025'!$A$3:$M$323,MATCH("Reg",'K3 District Data as of Jan 2025'!$2:$2,0),FALSE)+VLOOKUP($A73,'K3 District Data as of Jan 2025'!$A$3:$M$323,MATCH("Exp",'K3 District Data as of Jan 2025'!$2:$2,0),FALSE))/180)*3)*CIS_Ben_Inc,2)</f>
        <v>-1654.26</v>
      </c>
      <c r="P73" s="23">
        <f t="shared" si="14"/>
        <v>-133676.83000000002</v>
      </c>
    </row>
    <row r="74" spans="1:16" x14ac:dyDescent="0.25">
      <c r="A74" t="s">
        <v>152</v>
      </c>
      <c r="B74" t="s">
        <v>448</v>
      </c>
      <c r="C74" s="33">
        <f>IF(VLOOKUP($A74,'Enroll Data as of January 2025'!$A$3:$T$322,20,FALSE)&gt;0,0,VLOOKUP($A74,'Enroll Data as of January 2025'!$A$3:$T$322,20,FALSE)*'2024-25 PSES Compliance'!$G$13)</f>
        <v>-0.75168000000000001</v>
      </c>
      <c r="D74" s="33">
        <f>IF(VLOOKUP($A74,'Enroll Data as of January 2025'!$A$3:$T$322,20,FALSE)&gt;0,0,VLOOKUP($A74,'Enroll Data as of January 2025'!$A$3:$T$322,20,FALSE)*'2024-25 PSES Compliance'!$G$14)</f>
        <v>-3.1320000000000001E-2</v>
      </c>
      <c r="E74" s="25">
        <f>ROUND($C74*CIS_Base*VLOOKUP($A74,'K3 District Data as of Jan 2025'!$A$3:$M$323,MATCH("Reg base",'K3 District Data as of Jan 2025'!$2:$2,0),FALSE),2)</f>
        <v>-54668.18</v>
      </c>
      <c r="F74" s="25">
        <f>ROUND($C74*CIS_Inc*(VLOOKUP($A74,'K3 District Data as of Jan 2025'!$A$3:$M$323,MATCH("Reg",'K3 District Data as of Jan 2025'!$2:$2,0),FALSE)+VLOOKUP($A74,'K3 District Data as of Jan 2025'!$A$3:$M$323,MATCH("Exp",'K3 District Data as of Jan 2025'!$2:$2,0),FALSE)),2)-E74</f>
        <v>-4119.9599999999991</v>
      </c>
      <c r="G74" s="25">
        <f>ROUND($D74*CLS_Base*VLOOKUP($A74,'K3 District Data as of Jan 2025'!$A$3:$M$323,MATCH("Reg base",'K3 District Data as of Jan 2025'!$2:$2,0),FALSE),2)</f>
        <v>-1634.06</v>
      </c>
      <c r="H74" s="25">
        <f>ROUND($D74*CLS_Inc*VLOOKUP($A74,'K3 District Data as of Jan 2025'!$A$3:$M$323,MATCH("Reg base",'K3 District Data as of Jan 2025'!$2:$2,0),FALSE),2)-G74</f>
        <v>-123.15000000000009</v>
      </c>
      <c r="I74" s="25">
        <f t="shared" si="8"/>
        <v>-10838.26</v>
      </c>
      <c r="J74" s="25">
        <f t="shared" si="9"/>
        <v>-633.12</v>
      </c>
      <c r="K74" s="25">
        <f t="shared" si="10"/>
        <v>-9922.27</v>
      </c>
      <c r="L74" s="25">
        <f t="shared" si="11"/>
        <v>-9572.4</v>
      </c>
      <c r="M74" s="25">
        <f t="shared" si="12"/>
        <v>-353.94</v>
      </c>
      <c r="N74" s="25">
        <f t="shared" si="13"/>
        <v>-22.36</v>
      </c>
      <c r="O74" s="25">
        <f>ROUND(($C74*CIS_Inc*(VLOOKUP($A74,'K3 District Data as of Jan 2025'!$A$3:$M$323,MATCH("Reg",'K3 District Data as of Jan 2025'!$2:$2,0),FALSE)+VLOOKUP($A74,'K3 District Data as of Jan 2025'!$A$3:$M$323,MATCH("Exp",'K3 District Data as of Jan 2025'!$2:$2,0),FALSE))/180)*3+(($C74*CIS_Inc*(VLOOKUP($A74,'K3 District Data as of Jan 2025'!$A$3:$M$323,MATCH("Reg",'K3 District Data as of Jan 2025'!$2:$2,0),FALSE)+VLOOKUP($A74,'K3 District Data as of Jan 2025'!$A$3:$M$323,MATCH("Exp",'K3 District Data as of Jan 2025'!$2:$2,0),FALSE))/180)*3)*CIS_Ben_Inc,2)</f>
        <v>-1151.3699999999999</v>
      </c>
      <c r="P74" s="23">
        <f t="shared" si="14"/>
        <v>-93039.069999999992</v>
      </c>
    </row>
    <row r="75" spans="1:16" x14ac:dyDescent="0.25">
      <c r="A75" t="s">
        <v>212</v>
      </c>
      <c r="B75" t="s">
        <v>507</v>
      </c>
      <c r="C75" s="33">
        <f>IF(VLOOKUP($A75,'Enroll Data as of January 2025'!$A$3:$T$322,20,FALSE)&gt;0,0,VLOOKUP($A75,'Enroll Data as of January 2025'!$A$3:$T$322,20,FALSE)*'2024-25 PSES Compliance'!$G$13)</f>
        <v>0</v>
      </c>
      <c r="D75" s="33">
        <f>IF(VLOOKUP($A75,'Enroll Data as of January 2025'!$A$3:$T$322,20,FALSE)&gt;0,0,VLOOKUP($A75,'Enroll Data as of January 2025'!$A$3:$T$322,20,FALSE)*'2024-25 PSES Compliance'!$G$14)</f>
        <v>0</v>
      </c>
      <c r="E75" s="25">
        <f>ROUND($C75*CIS_Base*VLOOKUP($A75,'K3 District Data as of Jan 2025'!$A$3:$M$323,MATCH("Reg base",'K3 District Data as of Jan 2025'!$2:$2,0),FALSE),2)</f>
        <v>0</v>
      </c>
      <c r="F75" s="25">
        <f>ROUND($C75*CIS_Inc*(VLOOKUP($A75,'K3 District Data as of Jan 2025'!$A$3:$M$323,MATCH("Reg",'K3 District Data as of Jan 2025'!$2:$2,0),FALSE)+VLOOKUP($A75,'K3 District Data as of Jan 2025'!$A$3:$M$323,MATCH("Exp",'K3 District Data as of Jan 2025'!$2:$2,0),FALSE)),2)-E75</f>
        <v>0</v>
      </c>
      <c r="G75" s="25">
        <f>ROUND($D75*CLS_Base*VLOOKUP($A75,'K3 District Data as of Jan 2025'!$A$3:$M$323,MATCH("Reg base",'K3 District Data as of Jan 2025'!$2:$2,0),FALSE),2)</f>
        <v>0</v>
      </c>
      <c r="H75" s="25">
        <f>ROUND($D75*CLS_Inc*VLOOKUP($A75,'K3 District Data as of Jan 2025'!$A$3:$M$323,MATCH("Reg base",'K3 District Data as of Jan 2025'!$2:$2,0),FALSE),2)-G75</f>
        <v>0</v>
      </c>
      <c r="I75" s="25">
        <f t="shared" si="8"/>
        <v>0</v>
      </c>
      <c r="J75" s="25">
        <f t="shared" si="9"/>
        <v>0</v>
      </c>
      <c r="K75" s="25">
        <f t="shared" si="10"/>
        <v>0</v>
      </c>
      <c r="L75" s="25">
        <f t="shared" si="11"/>
        <v>0</v>
      </c>
      <c r="M75" s="25">
        <f t="shared" si="12"/>
        <v>0</v>
      </c>
      <c r="N75" s="25">
        <f t="shared" si="13"/>
        <v>0</v>
      </c>
      <c r="O75" s="25">
        <f>ROUND(($C75*CIS_Inc*(VLOOKUP($A75,'K3 District Data as of Jan 2025'!$A$3:$M$323,MATCH("Reg",'K3 District Data as of Jan 2025'!$2:$2,0),FALSE)+VLOOKUP($A75,'K3 District Data as of Jan 2025'!$A$3:$M$323,MATCH("Exp",'K3 District Data as of Jan 2025'!$2:$2,0),FALSE))/180)*3+(($C75*CIS_Inc*(VLOOKUP($A75,'K3 District Data as of Jan 2025'!$A$3:$M$323,MATCH("Reg",'K3 District Data as of Jan 2025'!$2:$2,0),FALSE)+VLOOKUP($A75,'K3 District Data as of Jan 2025'!$A$3:$M$323,MATCH("Exp",'K3 District Data as of Jan 2025'!$2:$2,0),FALSE))/180)*3)*CIS_Ben_Inc,2)</f>
        <v>0</v>
      </c>
      <c r="P75" s="23">
        <f t="shared" si="14"/>
        <v>0</v>
      </c>
    </row>
    <row r="76" spans="1:16" x14ac:dyDescent="0.25">
      <c r="A76" t="s">
        <v>256</v>
      </c>
      <c r="B76" t="s">
        <v>552</v>
      </c>
      <c r="C76" s="33">
        <f>IF(VLOOKUP($A76,'Enroll Data as of January 2025'!$A$3:$T$322,20,FALSE)&gt;0,0,VLOOKUP($A76,'Enroll Data as of January 2025'!$A$3:$T$322,20,FALSE)*'2024-25 PSES Compliance'!$G$13)</f>
        <v>0</v>
      </c>
      <c r="D76" s="33">
        <f>IF(VLOOKUP($A76,'Enroll Data as of January 2025'!$A$3:$T$322,20,FALSE)&gt;0,0,VLOOKUP($A76,'Enroll Data as of January 2025'!$A$3:$T$322,20,FALSE)*'2024-25 PSES Compliance'!$G$14)</f>
        <v>0</v>
      </c>
      <c r="E76" s="25">
        <f>ROUND($C76*CIS_Base*VLOOKUP($A76,'K3 District Data as of Jan 2025'!$A$3:$M$323,MATCH("Reg base",'K3 District Data as of Jan 2025'!$2:$2,0),FALSE),2)</f>
        <v>0</v>
      </c>
      <c r="F76" s="25">
        <f>ROUND($C76*CIS_Inc*(VLOOKUP($A76,'K3 District Data as of Jan 2025'!$A$3:$M$323,MATCH("Reg",'K3 District Data as of Jan 2025'!$2:$2,0),FALSE)+VLOOKUP($A76,'K3 District Data as of Jan 2025'!$A$3:$M$323,MATCH("Exp",'K3 District Data as of Jan 2025'!$2:$2,0),FALSE)),2)-E76</f>
        <v>0</v>
      </c>
      <c r="G76" s="25">
        <f>ROUND($D76*CLS_Base*VLOOKUP($A76,'K3 District Data as of Jan 2025'!$A$3:$M$323,MATCH("Reg base",'K3 District Data as of Jan 2025'!$2:$2,0),FALSE),2)</f>
        <v>0</v>
      </c>
      <c r="H76" s="25">
        <f>ROUND($D76*CLS_Inc*VLOOKUP($A76,'K3 District Data as of Jan 2025'!$A$3:$M$323,MATCH("Reg base",'K3 District Data as of Jan 2025'!$2:$2,0),FALSE),2)-G76</f>
        <v>0</v>
      </c>
      <c r="I76" s="25">
        <f t="shared" si="8"/>
        <v>0</v>
      </c>
      <c r="J76" s="25">
        <f t="shared" si="9"/>
        <v>0</v>
      </c>
      <c r="K76" s="25">
        <f t="shared" si="10"/>
        <v>0</v>
      </c>
      <c r="L76" s="25">
        <f t="shared" si="11"/>
        <v>0</v>
      </c>
      <c r="M76" s="25">
        <f t="shared" si="12"/>
        <v>0</v>
      </c>
      <c r="N76" s="25">
        <f t="shared" si="13"/>
        <v>0</v>
      </c>
      <c r="O76" s="25">
        <f>ROUND(($C76*CIS_Inc*(VLOOKUP($A76,'K3 District Data as of Jan 2025'!$A$3:$M$323,MATCH("Reg",'K3 District Data as of Jan 2025'!$2:$2,0),FALSE)+VLOOKUP($A76,'K3 District Data as of Jan 2025'!$A$3:$M$323,MATCH("Exp",'K3 District Data as of Jan 2025'!$2:$2,0),FALSE))/180)*3+(($C76*CIS_Inc*(VLOOKUP($A76,'K3 District Data as of Jan 2025'!$A$3:$M$323,MATCH("Reg",'K3 District Data as of Jan 2025'!$2:$2,0),FALSE)+VLOOKUP($A76,'K3 District Data as of Jan 2025'!$A$3:$M$323,MATCH("Exp",'K3 District Data as of Jan 2025'!$2:$2,0),FALSE))/180)*3)*CIS_Ben_Inc,2)</f>
        <v>0</v>
      </c>
      <c r="P76" s="23">
        <f t="shared" si="14"/>
        <v>0</v>
      </c>
    </row>
    <row r="77" spans="1:16" x14ac:dyDescent="0.25">
      <c r="A77" t="s">
        <v>143</v>
      </c>
      <c r="B77" t="s">
        <v>439</v>
      </c>
      <c r="C77" s="33">
        <f>IF(VLOOKUP($A77,'Enroll Data as of January 2025'!$A$3:$T$322,20,FALSE)&gt;0,0,VLOOKUP($A77,'Enroll Data as of January 2025'!$A$3:$T$322,20,FALSE)*'2024-25 PSES Compliance'!$G$13)</f>
        <v>-0.46079999999999999</v>
      </c>
      <c r="D77" s="33">
        <f>IF(VLOOKUP($A77,'Enroll Data as of January 2025'!$A$3:$T$322,20,FALSE)&gt;0,0,VLOOKUP($A77,'Enroll Data as of January 2025'!$A$3:$T$322,20,FALSE)*'2024-25 PSES Compliance'!$G$14)</f>
        <v>-1.9199999999999998E-2</v>
      </c>
      <c r="E77" s="25">
        <f>ROUND($C77*CIS_Base*VLOOKUP($A77,'K3 District Data as of Jan 2025'!$A$3:$M$323,MATCH("Reg base",'K3 District Data as of Jan 2025'!$2:$2,0),FALSE),2)</f>
        <v>-33513.06</v>
      </c>
      <c r="F77" s="25">
        <f>ROUND($C77*CIS_Inc*(VLOOKUP($A77,'K3 District Data as of Jan 2025'!$A$3:$M$323,MATCH("Reg",'K3 District Data as of Jan 2025'!$2:$2,0),FALSE)+VLOOKUP($A77,'K3 District Data as of Jan 2025'!$A$3:$M$323,MATCH("Exp",'K3 District Data as of Jan 2025'!$2:$2,0),FALSE)),2)-E77</f>
        <v>-2886.0299999999988</v>
      </c>
      <c r="G77" s="25">
        <f>ROUND($D77*CLS_Base*VLOOKUP($A77,'K3 District Data as of Jan 2025'!$A$3:$M$323,MATCH("Reg base",'K3 District Data as of Jan 2025'!$2:$2,0),FALSE),2)</f>
        <v>-1001.72</v>
      </c>
      <c r="H77" s="25">
        <f>ROUND($D77*CLS_Inc*VLOOKUP($A77,'K3 District Data as of Jan 2025'!$A$3:$M$323,MATCH("Reg base",'K3 District Data as of Jan 2025'!$2:$2,0),FALSE),2)-G77</f>
        <v>-75.5</v>
      </c>
      <c r="I77" s="25">
        <f t="shared" si="8"/>
        <v>-6644.15</v>
      </c>
      <c r="J77" s="25">
        <f t="shared" si="9"/>
        <v>-388.12</v>
      </c>
      <c r="K77" s="25">
        <f t="shared" si="10"/>
        <v>-6082.62</v>
      </c>
      <c r="L77" s="25">
        <f t="shared" si="11"/>
        <v>-5868.14</v>
      </c>
      <c r="M77" s="25">
        <f t="shared" si="12"/>
        <v>-216.97</v>
      </c>
      <c r="N77" s="25">
        <f t="shared" si="13"/>
        <v>-13.71</v>
      </c>
      <c r="O77" s="25">
        <f>ROUND(($C77*CIS_Inc*(VLOOKUP($A77,'K3 District Data as of Jan 2025'!$A$3:$M$323,MATCH("Reg",'K3 District Data as of Jan 2025'!$2:$2,0),FALSE)+VLOOKUP($A77,'K3 District Data as of Jan 2025'!$A$3:$M$323,MATCH("Exp",'K3 District Data as of Jan 2025'!$2:$2,0),FALSE))/180)*3+(($C77*CIS_Inc*(VLOOKUP($A77,'K3 District Data as of Jan 2025'!$A$3:$M$323,MATCH("Reg",'K3 District Data as of Jan 2025'!$2:$2,0),FALSE)+VLOOKUP($A77,'K3 District Data as of Jan 2025'!$A$3:$M$323,MATCH("Exp",'K3 District Data as of Jan 2025'!$2:$2,0),FALSE))/180)*3)*CIS_Ben_Inc,2)</f>
        <v>-712.88</v>
      </c>
      <c r="P77" s="23">
        <f t="shared" si="14"/>
        <v>-57402.9</v>
      </c>
    </row>
    <row r="78" spans="1:16" x14ac:dyDescent="0.25">
      <c r="A78" t="s">
        <v>250</v>
      </c>
      <c r="B78" t="s">
        <v>546</v>
      </c>
      <c r="C78" s="33">
        <f>IF(VLOOKUP($A78,'Enroll Data as of January 2025'!$A$3:$T$322,20,FALSE)&gt;0,0,VLOOKUP($A78,'Enroll Data as of January 2025'!$A$3:$T$322,20,FALSE)*'2024-25 PSES Compliance'!$G$13)</f>
        <v>-0.48191999999999996</v>
      </c>
      <c r="D78" s="33">
        <f>IF(VLOOKUP($A78,'Enroll Data as of January 2025'!$A$3:$T$322,20,FALSE)&gt;0,0,VLOOKUP($A78,'Enroll Data as of January 2025'!$A$3:$T$322,20,FALSE)*'2024-25 PSES Compliance'!$G$14)</f>
        <v>-2.0080000000000001E-2</v>
      </c>
      <c r="E78" s="25">
        <f>ROUND($C78*CIS_Base*VLOOKUP($A78,'K3 District Data as of Jan 2025'!$A$3:$M$323,MATCH("Reg base",'K3 District Data as of Jan 2025'!$2:$2,0),FALSE),2)</f>
        <v>-35049.08</v>
      </c>
      <c r="F78" s="25">
        <f>ROUND($C78*CIS_Inc*(VLOOKUP($A78,'K3 District Data as of Jan 2025'!$A$3:$M$323,MATCH("Reg",'K3 District Data as of Jan 2025'!$2:$2,0),FALSE)+VLOOKUP($A78,'K3 District Data as of Jan 2025'!$A$3:$M$323,MATCH("Exp",'K3 District Data as of Jan 2025'!$2:$2,0),FALSE)),2)-E78</f>
        <v>-2641.4000000000015</v>
      </c>
      <c r="G78" s="25">
        <f>ROUND($D78*CLS_Base*VLOOKUP($A78,'K3 District Data as of Jan 2025'!$A$3:$M$323,MATCH("Reg base",'K3 District Data as of Jan 2025'!$2:$2,0),FALSE),2)</f>
        <v>-1047.6300000000001</v>
      </c>
      <c r="H78" s="25">
        <f>ROUND($D78*CLS_Inc*VLOOKUP($A78,'K3 District Data as of Jan 2025'!$A$3:$M$323,MATCH("Reg base",'K3 District Data as of Jan 2025'!$2:$2,0),FALSE),2)-G78</f>
        <v>-78.959999999999809</v>
      </c>
      <c r="I78" s="25">
        <f t="shared" si="8"/>
        <v>-6948.67</v>
      </c>
      <c r="J78" s="25">
        <f t="shared" si="9"/>
        <v>-405.91</v>
      </c>
      <c r="K78" s="25">
        <f t="shared" si="10"/>
        <v>-6361.41</v>
      </c>
      <c r="L78" s="25">
        <f t="shared" si="11"/>
        <v>-6137.09</v>
      </c>
      <c r="M78" s="25">
        <f t="shared" si="12"/>
        <v>-226.92</v>
      </c>
      <c r="N78" s="25">
        <f t="shared" si="13"/>
        <v>-14.34</v>
      </c>
      <c r="O78" s="25">
        <f>ROUND(($C78*CIS_Inc*(VLOOKUP($A78,'K3 District Data as of Jan 2025'!$A$3:$M$323,MATCH("Reg",'K3 District Data as of Jan 2025'!$2:$2,0),FALSE)+VLOOKUP($A78,'K3 District Data as of Jan 2025'!$A$3:$M$323,MATCH("Exp",'K3 District Data as of Jan 2025'!$2:$2,0),FALSE))/180)*3+(($C78*CIS_Inc*(VLOOKUP($A78,'K3 District Data as of Jan 2025'!$A$3:$M$323,MATCH("Reg",'K3 District Data as of Jan 2025'!$2:$2,0),FALSE)+VLOOKUP($A78,'K3 District Data as of Jan 2025'!$A$3:$M$323,MATCH("Exp",'K3 District Data as of Jan 2025'!$2:$2,0),FALSE))/180)*3)*CIS_Ben_Inc,2)</f>
        <v>-738.17</v>
      </c>
      <c r="P78" s="23">
        <f t="shared" si="14"/>
        <v>-59649.579999999987</v>
      </c>
    </row>
    <row r="79" spans="1:16" x14ac:dyDescent="0.25">
      <c r="A79" t="s">
        <v>172</v>
      </c>
      <c r="B79" t="s">
        <v>468</v>
      </c>
      <c r="C79" s="33">
        <f>IF(VLOOKUP($A79,'Enroll Data as of January 2025'!$A$3:$T$322,20,FALSE)&gt;0,0,VLOOKUP($A79,'Enroll Data as of January 2025'!$A$3:$T$322,20,FALSE)*'2024-25 PSES Compliance'!$G$13)</f>
        <v>-1.2163199999999998</v>
      </c>
      <c r="D79" s="33">
        <f>IF(VLOOKUP($A79,'Enroll Data as of January 2025'!$A$3:$T$322,20,FALSE)&gt;0,0,VLOOKUP($A79,'Enroll Data as of January 2025'!$A$3:$T$322,20,FALSE)*'2024-25 PSES Compliance'!$G$14)</f>
        <v>-5.0679999999999996E-2</v>
      </c>
      <c r="E79" s="25">
        <f>ROUND($C79*CIS_Base*VLOOKUP($A79,'K3 District Data as of Jan 2025'!$A$3:$M$323,MATCH("Reg base",'K3 District Data as of Jan 2025'!$2:$2,0),FALSE),2)</f>
        <v>-88460.52</v>
      </c>
      <c r="F79" s="25">
        <f>ROUND($C79*CIS_Inc*(VLOOKUP($A79,'K3 District Data as of Jan 2025'!$A$3:$M$323,MATCH("Reg",'K3 District Data as of Jan 2025'!$2:$2,0),FALSE)+VLOOKUP($A79,'K3 District Data as of Jan 2025'!$A$3:$M$323,MATCH("Exp",'K3 District Data as of Jan 2025'!$2:$2,0),FALSE)),2)-E79</f>
        <v>-6666.6499999999942</v>
      </c>
      <c r="G79" s="25">
        <f>ROUND($D79*CLS_Base*VLOOKUP($A79,'K3 District Data as of Jan 2025'!$A$3:$M$323,MATCH("Reg base",'K3 District Data as of Jan 2025'!$2:$2,0),FALSE),2)</f>
        <v>-2644.13</v>
      </c>
      <c r="H79" s="25">
        <f>ROUND($D79*CLS_Inc*VLOOKUP($A79,'K3 District Data as of Jan 2025'!$A$3:$M$323,MATCH("Reg base",'K3 District Data as of Jan 2025'!$2:$2,0),FALSE),2)-G79</f>
        <v>-199.26999999999998</v>
      </c>
      <c r="I79" s="25">
        <f t="shared" si="8"/>
        <v>-17537.78</v>
      </c>
      <c r="J79" s="25">
        <f t="shared" si="9"/>
        <v>-1024.47</v>
      </c>
      <c r="K79" s="25">
        <f t="shared" si="10"/>
        <v>-16055.58</v>
      </c>
      <c r="L79" s="25">
        <f t="shared" si="11"/>
        <v>-15489.44</v>
      </c>
      <c r="M79" s="25">
        <f t="shared" si="12"/>
        <v>-572.72</v>
      </c>
      <c r="N79" s="25">
        <f t="shared" si="13"/>
        <v>-36.19</v>
      </c>
      <c r="O79" s="25">
        <f>ROUND(($C79*CIS_Inc*(VLOOKUP($A79,'K3 District Data as of Jan 2025'!$A$3:$M$323,MATCH("Reg",'K3 District Data as of Jan 2025'!$2:$2,0),FALSE)+VLOOKUP($A79,'K3 District Data as of Jan 2025'!$A$3:$M$323,MATCH("Exp",'K3 District Data as of Jan 2025'!$2:$2,0),FALSE))/180)*3+(($C79*CIS_Inc*(VLOOKUP($A79,'K3 District Data as of Jan 2025'!$A$3:$M$323,MATCH("Reg",'K3 District Data as of Jan 2025'!$2:$2,0),FALSE)+VLOOKUP($A79,'K3 District Data as of Jan 2025'!$A$3:$M$323,MATCH("Exp",'K3 District Data as of Jan 2025'!$2:$2,0),FALSE))/180)*3)*CIS_Ben_Inc,2)</f>
        <v>-1863.07</v>
      </c>
      <c r="P79" s="23">
        <f t="shared" si="14"/>
        <v>-150549.82</v>
      </c>
    </row>
    <row r="80" spans="1:16" x14ac:dyDescent="0.25">
      <c r="A80" t="s">
        <v>77</v>
      </c>
      <c r="B80" t="s">
        <v>373</v>
      </c>
      <c r="C80" s="33">
        <f>IF(VLOOKUP($A80,'Enroll Data as of January 2025'!$A$3:$T$322,20,FALSE)&gt;0,0,VLOOKUP($A80,'Enroll Data as of January 2025'!$A$3:$T$322,20,FALSE)*'2024-25 PSES Compliance'!$G$13)</f>
        <v>-0.63551999999999997</v>
      </c>
      <c r="D80" s="33">
        <f>IF(VLOOKUP($A80,'Enroll Data as of January 2025'!$A$3:$T$322,20,FALSE)&gt;0,0,VLOOKUP($A80,'Enroll Data as of January 2025'!$A$3:$T$322,20,FALSE)*'2024-25 PSES Compliance'!$G$14)</f>
        <v>-2.6480000000000004E-2</v>
      </c>
      <c r="E80" s="25">
        <f>ROUND($C80*CIS_Base*VLOOKUP($A80,'K3 District Data as of Jan 2025'!$A$3:$M$323,MATCH("Reg base",'K3 District Data as of Jan 2025'!$2:$2,0),FALSE),2)</f>
        <v>-46220.1</v>
      </c>
      <c r="F80" s="25">
        <f>ROUND($C80*CIS_Inc*(VLOOKUP($A80,'K3 District Data as of Jan 2025'!$A$3:$M$323,MATCH("Reg",'K3 District Data as of Jan 2025'!$2:$2,0),FALSE)+VLOOKUP($A80,'K3 District Data as of Jan 2025'!$A$3:$M$323,MATCH("Exp",'K3 District Data as of Jan 2025'!$2:$2,0),FALSE)),2)-E80</f>
        <v>-3483.2799999999988</v>
      </c>
      <c r="G80" s="25">
        <f>ROUND($D80*CLS_Base*VLOOKUP($A80,'K3 District Data as of Jan 2025'!$A$3:$M$323,MATCH("Reg base",'K3 District Data as of Jan 2025'!$2:$2,0),FALSE),2)</f>
        <v>-1381.54</v>
      </c>
      <c r="H80" s="25">
        <f>ROUND($D80*CLS_Inc*VLOOKUP($A80,'K3 District Data as of Jan 2025'!$A$3:$M$323,MATCH("Reg base",'K3 District Data as of Jan 2025'!$2:$2,0),FALSE),2)-G80</f>
        <v>-104.12000000000012</v>
      </c>
      <c r="I80" s="25">
        <f t="shared" si="8"/>
        <v>-9163.3799999999992</v>
      </c>
      <c r="J80" s="25">
        <f t="shared" si="9"/>
        <v>-535.28</v>
      </c>
      <c r="K80" s="25">
        <f t="shared" si="10"/>
        <v>-8388.9500000000007</v>
      </c>
      <c r="L80" s="25">
        <f t="shared" si="11"/>
        <v>-8093.14</v>
      </c>
      <c r="M80" s="25">
        <f t="shared" si="12"/>
        <v>-299.24</v>
      </c>
      <c r="N80" s="25">
        <f t="shared" si="13"/>
        <v>-18.91</v>
      </c>
      <c r="O80" s="25">
        <f>ROUND(($C80*CIS_Inc*(VLOOKUP($A80,'K3 District Data as of Jan 2025'!$A$3:$M$323,MATCH("Reg",'K3 District Data as of Jan 2025'!$2:$2,0),FALSE)+VLOOKUP($A80,'K3 District Data as of Jan 2025'!$A$3:$M$323,MATCH("Exp",'K3 District Data as of Jan 2025'!$2:$2,0),FALSE))/180)*3+(($C80*CIS_Inc*(VLOOKUP($A80,'K3 District Data as of Jan 2025'!$A$3:$M$323,MATCH("Reg",'K3 District Data as of Jan 2025'!$2:$2,0),FALSE)+VLOOKUP($A80,'K3 District Data as of Jan 2025'!$A$3:$M$323,MATCH("Exp",'K3 District Data as of Jan 2025'!$2:$2,0),FALSE))/180)*3)*CIS_Ben_Inc,2)</f>
        <v>-973.44</v>
      </c>
      <c r="P80" s="23">
        <f t="shared" si="14"/>
        <v>-78661.38</v>
      </c>
    </row>
    <row r="81" spans="1:16" x14ac:dyDescent="0.25">
      <c r="A81" t="s">
        <v>76</v>
      </c>
      <c r="B81" t="s">
        <v>372</v>
      </c>
      <c r="C81" s="33">
        <f>IF(VLOOKUP($A81,'Enroll Data as of January 2025'!$A$3:$T$322,20,FALSE)&gt;0,0,VLOOKUP($A81,'Enroll Data as of January 2025'!$A$3:$T$322,20,FALSE)*'2024-25 PSES Compliance'!$G$13)</f>
        <v>0</v>
      </c>
      <c r="D81" s="33">
        <f>IF(VLOOKUP($A81,'Enroll Data as of January 2025'!$A$3:$T$322,20,FALSE)&gt;0,0,VLOOKUP($A81,'Enroll Data as of January 2025'!$A$3:$T$322,20,FALSE)*'2024-25 PSES Compliance'!$G$14)</f>
        <v>0</v>
      </c>
      <c r="E81" s="25">
        <f>ROUND($C81*CIS_Base*VLOOKUP($A81,'K3 District Data as of Jan 2025'!$A$3:$M$323,MATCH("Reg base",'K3 District Data as of Jan 2025'!$2:$2,0),FALSE),2)</f>
        <v>0</v>
      </c>
      <c r="F81" s="25">
        <f>ROUND($C81*CIS_Inc*(VLOOKUP($A81,'K3 District Data as of Jan 2025'!$A$3:$M$323,MATCH("Reg",'K3 District Data as of Jan 2025'!$2:$2,0),FALSE)+VLOOKUP($A81,'K3 District Data as of Jan 2025'!$A$3:$M$323,MATCH("Exp",'K3 District Data as of Jan 2025'!$2:$2,0),FALSE)),2)-E81</f>
        <v>0</v>
      </c>
      <c r="G81" s="25">
        <f>ROUND($D81*CLS_Base*VLOOKUP($A81,'K3 District Data as of Jan 2025'!$A$3:$M$323,MATCH("Reg base",'K3 District Data as of Jan 2025'!$2:$2,0),FALSE),2)</f>
        <v>0</v>
      </c>
      <c r="H81" s="25">
        <f>ROUND($D81*CLS_Inc*VLOOKUP($A81,'K3 District Data as of Jan 2025'!$A$3:$M$323,MATCH("Reg base",'K3 District Data as of Jan 2025'!$2:$2,0),FALSE),2)-G81</f>
        <v>0</v>
      </c>
      <c r="I81" s="25">
        <f t="shared" si="8"/>
        <v>0</v>
      </c>
      <c r="J81" s="25">
        <f t="shared" si="9"/>
        <v>0</v>
      </c>
      <c r="K81" s="25">
        <f t="shared" si="10"/>
        <v>0</v>
      </c>
      <c r="L81" s="25">
        <f t="shared" si="11"/>
        <v>0</v>
      </c>
      <c r="M81" s="25">
        <f t="shared" si="12"/>
        <v>0</v>
      </c>
      <c r="N81" s="25">
        <f t="shared" si="13"/>
        <v>0</v>
      </c>
      <c r="O81" s="25">
        <f>ROUND(($C81*CIS_Inc*(VLOOKUP($A81,'K3 District Data as of Jan 2025'!$A$3:$M$323,MATCH("Reg",'K3 District Data as of Jan 2025'!$2:$2,0),FALSE)+VLOOKUP($A81,'K3 District Data as of Jan 2025'!$A$3:$M$323,MATCH("Exp",'K3 District Data as of Jan 2025'!$2:$2,0),FALSE))/180)*3+(($C81*CIS_Inc*(VLOOKUP($A81,'K3 District Data as of Jan 2025'!$A$3:$M$323,MATCH("Reg",'K3 District Data as of Jan 2025'!$2:$2,0),FALSE)+VLOOKUP($A81,'K3 District Data as of Jan 2025'!$A$3:$M$323,MATCH("Exp",'K3 District Data as of Jan 2025'!$2:$2,0),FALSE))/180)*3)*CIS_Ben_Inc,2)</f>
        <v>0</v>
      </c>
      <c r="P81" s="23">
        <f t="shared" si="14"/>
        <v>0</v>
      </c>
    </row>
    <row r="82" spans="1:16" x14ac:dyDescent="0.25">
      <c r="A82" t="s">
        <v>106</v>
      </c>
      <c r="B82" t="s">
        <v>402</v>
      </c>
      <c r="C82" s="33">
        <f>IF(VLOOKUP($A82,'Enroll Data as of January 2025'!$A$3:$T$322,20,FALSE)&gt;0,0,VLOOKUP($A82,'Enroll Data as of January 2025'!$A$3:$T$322,20,FALSE)*'2024-25 PSES Compliance'!$G$13)</f>
        <v>0</v>
      </c>
      <c r="D82" s="33">
        <f>IF(VLOOKUP($A82,'Enroll Data as of January 2025'!$A$3:$T$322,20,FALSE)&gt;0,0,VLOOKUP($A82,'Enroll Data as of January 2025'!$A$3:$T$322,20,FALSE)*'2024-25 PSES Compliance'!$G$14)</f>
        <v>0</v>
      </c>
      <c r="E82" s="25">
        <f>ROUND($C82*CIS_Base*VLOOKUP($A82,'K3 District Data as of Jan 2025'!$A$3:$M$323,MATCH("Reg base",'K3 District Data as of Jan 2025'!$2:$2,0),FALSE),2)</f>
        <v>0</v>
      </c>
      <c r="F82" s="25">
        <f>ROUND($C82*CIS_Inc*(VLOOKUP($A82,'K3 District Data as of Jan 2025'!$A$3:$M$323,MATCH("Reg",'K3 District Data as of Jan 2025'!$2:$2,0),FALSE)+VLOOKUP($A82,'K3 District Data as of Jan 2025'!$A$3:$M$323,MATCH("Exp",'K3 District Data as of Jan 2025'!$2:$2,0),FALSE)),2)-E82</f>
        <v>0</v>
      </c>
      <c r="G82" s="25">
        <f>ROUND($D82*CLS_Base*VLOOKUP($A82,'K3 District Data as of Jan 2025'!$A$3:$M$323,MATCH("Reg base",'K3 District Data as of Jan 2025'!$2:$2,0),FALSE),2)</f>
        <v>0</v>
      </c>
      <c r="H82" s="25">
        <f>ROUND($D82*CLS_Inc*VLOOKUP($A82,'K3 District Data as of Jan 2025'!$A$3:$M$323,MATCH("Reg base",'K3 District Data as of Jan 2025'!$2:$2,0),FALSE),2)-G82</f>
        <v>0</v>
      </c>
      <c r="I82" s="25">
        <f t="shared" si="8"/>
        <v>0</v>
      </c>
      <c r="J82" s="25">
        <f t="shared" si="9"/>
        <v>0</v>
      </c>
      <c r="K82" s="25">
        <f t="shared" si="10"/>
        <v>0</v>
      </c>
      <c r="L82" s="25">
        <f t="shared" si="11"/>
        <v>0</v>
      </c>
      <c r="M82" s="25">
        <f t="shared" si="12"/>
        <v>0</v>
      </c>
      <c r="N82" s="25">
        <f t="shared" si="13"/>
        <v>0</v>
      </c>
      <c r="O82" s="25">
        <f>ROUND(($C82*CIS_Inc*(VLOOKUP($A82,'K3 District Data as of Jan 2025'!$A$3:$M$323,MATCH("Reg",'K3 District Data as of Jan 2025'!$2:$2,0),FALSE)+VLOOKUP($A82,'K3 District Data as of Jan 2025'!$A$3:$M$323,MATCH("Exp",'K3 District Data as of Jan 2025'!$2:$2,0),FALSE))/180)*3+(($C82*CIS_Inc*(VLOOKUP($A82,'K3 District Data as of Jan 2025'!$A$3:$M$323,MATCH("Reg",'K3 District Data as of Jan 2025'!$2:$2,0),FALSE)+VLOOKUP($A82,'K3 District Data as of Jan 2025'!$A$3:$M$323,MATCH("Exp",'K3 District Data as of Jan 2025'!$2:$2,0),FALSE))/180)*3)*CIS_Ben_Inc,2)</f>
        <v>0</v>
      </c>
      <c r="P82" s="23">
        <f t="shared" si="14"/>
        <v>0</v>
      </c>
    </row>
    <row r="83" spans="1:16" x14ac:dyDescent="0.25">
      <c r="A83" t="s">
        <v>259</v>
      </c>
      <c r="B83" t="s">
        <v>555</v>
      </c>
      <c r="C83" s="33">
        <f>IF(VLOOKUP($A83,'Enroll Data as of January 2025'!$A$3:$T$322,20,FALSE)&gt;0,0,VLOOKUP($A83,'Enroll Data as of January 2025'!$A$3:$T$322,20,FALSE)*'2024-25 PSES Compliance'!$G$13)</f>
        <v>0</v>
      </c>
      <c r="D83" s="33">
        <f>IF(VLOOKUP($A83,'Enroll Data as of January 2025'!$A$3:$T$322,20,FALSE)&gt;0,0,VLOOKUP($A83,'Enroll Data as of January 2025'!$A$3:$T$322,20,FALSE)*'2024-25 PSES Compliance'!$G$14)</f>
        <v>0</v>
      </c>
      <c r="E83" s="25">
        <f>ROUND($C83*CIS_Base*VLOOKUP($A83,'K3 District Data as of Jan 2025'!$A$3:$M$323,MATCH("Reg base",'K3 District Data as of Jan 2025'!$2:$2,0),FALSE),2)</f>
        <v>0</v>
      </c>
      <c r="F83" s="25">
        <f>ROUND($C83*CIS_Inc*(VLOOKUP($A83,'K3 District Data as of Jan 2025'!$A$3:$M$323,MATCH("Reg",'K3 District Data as of Jan 2025'!$2:$2,0),FALSE)+VLOOKUP($A83,'K3 District Data as of Jan 2025'!$A$3:$M$323,MATCH("Exp",'K3 District Data as of Jan 2025'!$2:$2,0),FALSE)),2)-E83</f>
        <v>0</v>
      </c>
      <c r="G83" s="25">
        <f>ROUND($D83*CLS_Base*VLOOKUP($A83,'K3 District Data as of Jan 2025'!$A$3:$M$323,MATCH("Reg base",'K3 District Data as of Jan 2025'!$2:$2,0),FALSE),2)</f>
        <v>0</v>
      </c>
      <c r="H83" s="25">
        <f>ROUND($D83*CLS_Inc*VLOOKUP($A83,'K3 District Data as of Jan 2025'!$A$3:$M$323,MATCH("Reg base",'K3 District Data as of Jan 2025'!$2:$2,0),FALSE),2)-G83</f>
        <v>0</v>
      </c>
      <c r="I83" s="25">
        <f t="shared" si="8"/>
        <v>0</v>
      </c>
      <c r="J83" s="25">
        <f t="shared" si="9"/>
        <v>0</v>
      </c>
      <c r="K83" s="25">
        <f t="shared" si="10"/>
        <v>0</v>
      </c>
      <c r="L83" s="25">
        <f t="shared" si="11"/>
        <v>0</v>
      </c>
      <c r="M83" s="25">
        <f t="shared" si="12"/>
        <v>0</v>
      </c>
      <c r="N83" s="25">
        <f t="shared" si="13"/>
        <v>0</v>
      </c>
      <c r="O83" s="25">
        <f>ROUND(($C83*CIS_Inc*(VLOOKUP($A83,'K3 District Data as of Jan 2025'!$A$3:$M$323,MATCH("Reg",'K3 District Data as of Jan 2025'!$2:$2,0),FALSE)+VLOOKUP($A83,'K3 District Data as of Jan 2025'!$A$3:$M$323,MATCH("Exp",'K3 District Data as of Jan 2025'!$2:$2,0),FALSE))/180)*3+(($C83*CIS_Inc*(VLOOKUP($A83,'K3 District Data as of Jan 2025'!$A$3:$M$323,MATCH("Reg",'K3 District Data as of Jan 2025'!$2:$2,0),FALSE)+VLOOKUP($A83,'K3 District Data as of Jan 2025'!$A$3:$M$323,MATCH("Exp",'K3 District Data as of Jan 2025'!$2:$2,0),FALSE))/180)*3)*CIS_Ben_Inc,2)</f>
        <v>0</v>
      </c>
      <c r="P83" s="23">
        <f t="shared" si="14"/>
        <v>0</v>
      </c>
    </row>
    <row r="84" spans="1:16" x14ac:dyDescent="0.25">
      <c r="A84" t="s">
        <v>249</v>
      </c>
      <c r="B84" t="s">
        <v>545</v>
      </c>
      <c r="C84" s="33">
        <f>IF(VLOOKUP($A84,'Enroll Data as of January 2025'!$A$3:$T$322,20,FALSE)&gt;0,0,VLOOKUP($A84,'Enroll Data as of January 2025'!$A$3:$T$322,20,FALSE)*'2024-25 PSES Compliance'!$G$13)</f>
        <v>-1.7020799999999998</v>
      </c>
      <c r="D84" s="33">
        <f>IF(VLOOKUP($A84,'Enroll Data as of January 2025'!$A$3:$T$322,20,FALSE)&gt;0,0,VLOOKUP($A84,'Enroll Data as of January 2025'!$A$3:$T$322,20,FALSE)*'2024-25 PSES Compliance'!$G$14)</f>
        <v>-7.0919999999999997E-2</v>
      </c>
      <c r="E84" s="25">
        <f>ROUND($C84*CIS_Base*VLOOKUP($A84,'K3 District Data as of Jan 2025'!$A$3:$M$323,MATCH("Reg base",'K3 District Data as of Jan 2025'!$2:$2,0),FALSE),2)</f>
        <v>-123788.87</v>
      </c>
      <c r="F84" s="25">
        <f>ROUND($C84*CIS_Inc*(VLOOKUP($A84,'K3 District Data as of Jan 2025'!$A$3:$M$323,MATCH("Reg",'K3 District Data as of Jan 2025'!$2:$2,0),FALSE)+VLOOKUP($A84,'K3 District Data as of Jan 2025'!$A$3:$M$323,MATCH("Exp",'K3 District Data as of Jan 2025'!$2:$2,0),FALSE)),2)-E84</f>
        <v>-9329.1000000000058</v>
      </c>
      <c r="G84" s="25">
        <f>ROUND($D84*CLS_Base*VLOOKUP($A84,'K3 District Data as of Jan 2025'!$A$3:$M$323,MATCH("Reg base",'K3 District Data as of Jan 2025'!$2:$2,0),FALSE),2)</f>
        <v>-3700.11</v>
      </c>
      <c r="H84" s="25">
        <f>ROUND($D84*CLS_Inc*VLOOKUP($A84,'K3 District Data as of Jan 2025'!$A$3:$M$323,MATCH("Reg base",'K3 District Data as of Jan 2025'!$2:$2,0),FALSE),2)-G84</f>
        <v>-278.85999999999967</v>
      </c>
      <c r="I84" s="25">
        <f t="shared" si="8"/>
        <v>-24541.81</v>
      </c>
      <c r="J84" s="25">
        <f t="shared" si="9"/>
        <v>-1433.61</v>
      </c>
      <c r="K84" s="25">
        <f t="shared" si="10"/>
        <v>-22467.68</v>
      </c>
      <c r="L84" s="25">
        <f t="shared" si="11"/>
        <v>-21675.43</v>
      </c>
      <c r="M84" s="25">
        <f t="shared" si="12"/>
        <v>-801.44</v>
      </c>
      <c r="N84" s="25">
        <f t="shared" si="13"/>
        <v>-50.64</v>
      </c>
      <c r="O84" s="25">
        <f>ROUND(($C84*CIS_Inc*(VLOOKUP($A84,'K3 District Data as of Jan 2025'!$A$3:$M$323,MATCH("Reg",'K3 District Data as of Jan 2025'!$2:$2,0),FALSE)+VLOOKUP($A84,'K3 District Data as of Jan 2025'!$A$3:$M$323,MATCH("Exp",'K3 District Data as of Jan 2025'!$2:$2,0),FALSE))/180)*3+(($C84*CIS_Inc*(VLOOKUP($A84,'K3 District Data as of Jan 2025'!$A$3:$M$323,MATCH("Reg",'K3 District Data as of Jan 2025'!$2:$2,0),FALSE)+VLOOKUP($A84,'K3 District Data as of Jan 2025'!$A$3:$M$323,MATCH("Exp",'K3 District Data as of Jan 2025'!$2:$2,0),FALSE))/180)*3)*CIS_Ben_Inc,2)</f>
        <v>-2607.12</v>
      </c>
      <c r="P84" s="23">
        <f t="shared" si="14"/>
        <v>-210674.66999999995</v>
      </c>
    </row>
    <row r="85" spans="1:16" x14ac:dyDescent="0.25">
      <c r="A85" t="s">
        <v>1111</v>
      </c>
      <c r="B85" t="s">
        <v>1112</v>
      </c>
      <c r="C85" s="33">
        <f>IF(VLOOKUP($A85,'Enroll Data as of January 2025'!$A$3:$T$322,20,FALSE)&gt;0,0,VLOOKUP($A85,'Enroll Data as of January 2025'!$A$3:$T$322,20,FALSE)*'2024-25 PSES Compliance'!$G$13)</f>
        <v>0</v>
      </c>
      <c r="D85" s="33">
        <f>IF(VLOOKUP($A85,'Enroll Data as of January 2025'!$A$3:$T$322,20,FALSE)&gt;0,0,VLOOKUP($A85,'Enroll Data as of January 2025'!$A$3:$T$322,20,FALSE)*'2024-25 PSES Compliance'!$G$14)</f>
        <v>0</v>
      </c>
      <c r="E85" s="25">
        <f>ROUND($C85*CIS_Base*VLOOKUP($A85,'K3 District Data as of Jan 2025'!$A$3:$M$323,MATCH("Reg base",'K3 District Data as of Jan 2025'!$2:$2,0),FALSE),2)</f>
        <v>0</v>
      </c>
      <c r="F85" s="25">
        <f>ROUND($C85*CIS_Inc*(VLOOKUP($A85,'K3 District Data as of Jan 2025'!$A$3:$M$323,MATCH("Reg",'K3 District Data as of Jan 2025'!$2:$2,0),FALSE)+VLOOKUP($A85,'K3 District Data as of Jan 2025'!$A$3:$M$323,MATCH("Exp",'K3 District Data as of Jan 2025'!$2:$2,0),FALSE)),2)-E85</f>
        <v>0</v>
      </c>
      <c r="G85" s="25">
        <f>ROUND($D85*CLS_Base*VLOOKUP($A85,'K3 District Data as of Jan 2025'!$A$3:$M$323,MATCH("Reg base",'K3 District Data as of Jan 2025'!$2:$2,0),FALSE),2)</f>
        <v>0</v>
      </c>
      <c r="H85" s="25">
        <f>ROUND($D85*CLS_Inc*VLOOKUP($A85,'K3 District Data as of Jan 2025'!$A$3:$M$323,MATCH("Reg base",'K3 District Data as of Jan 2025'!$2:$2,0),FALSE),2)-G85</f>
        <v>0</v>
      </c>
      <c r="I85" s="25">
        <f t="shared" si="8"/>
        <v>0</v>
      </c>
      <c r="J85" s="25">
        <f t="shared" si="9"/>
        <v>0</v>
      </c>
      <c r="K85" s="25">
        <f t="shared" si="10"/>
        <v>0</v>
      </c>
      <c r="L85" s="25">
        <f t="shared" si="11"/>
        <v>0</v>
      </c>
      <c r="M85" s="25">
        <f t="shared" si="12"/>
        <v>0</v>
      </c>
      <c r="N85" s="25">
        <f t="shared" si="13"/>
        <v>0</v>
      </c>
      <c r="O85" s="25">
        <f>ROUND(($C85*CIS_Inc*(VLOOKUP($A85,'K3 District Data as of Jan 2025'!$A$3:$M$323,MATCH("Reg",'K3 District Data as of Jan 2025'!$2:$2,0),FALSE)+VLOOKUP($A85,'K3 District Data as of Jan 2025'!$A$3:$M$323,MATCH("Exp",'K3 District Data as of Jan 2025'!$2:$2,0),FALSE))/180)*3+(($C85*CIS_Inc*(VLOOKUP($A85,'K3 District Data as of Jan 2025'!$A$3:$M$323,MATCH("Reg",'K3 District Data as of Jan 2025'!$2:$2,0),FALSE)+VLOOKUP($A85,'K3 District Data as of Jan 2025'!$A$3:$M$323,MATCH("Exp",'K3 District Data as of Jan 2025'!$2:$2,0),FALSE))/180)*3)*CIS_Ben_Inc,2)</f>
        <v>0</v>
      </c>
      <c r="P85" s="23">
        <f t="shared" si="14"/>
        <v>0</v>
      </c>
    </row>
    <row r="86" spans="1:16" x14ac:dyDescent="0.25">
      <c r="A86" t="s">
        <v>242</v>
      </c>
      <c r="B86" t="s">
        <v>538</v>
      </c>
      <c r="C86" s="33">
        <f>IF(VLOOKUP($A86,'Enroll Data as of January 2025'!$A$3:$T$322,20,FALSE)&gt;0,0,VLOOKUP($A86,'Enroll Data as of January 2025'!$A$3:$T$322,20,FALSE)*'2024-25 PSES Compliance'!$G$13)</f>
        <v>0</v>
      </c>
      <c r="D86" s="33">
        <f>IF(VLOOKUP($A86,'Enroll Data as of January 2025'!$A$3:$T$322,20,FALSE)&gt;0,0,VLOOKUP($A86,'Enroll Data as of January 2025'!$A$3:$T$322,20,FALSE)*'2024-25 PSES Compliance'!$G$14)</f>
        <v>0</v>
      </c>
      <c r="E86" s="25">
        <f>ROUND($C86*CIS_Base*VLOOKUP($A86,'K3 District Data as of Jan 2025'!$A$3:$M$323,MATCH("Reg base",'K3 District Data as of Jan 2025'!$2:$2,0),FALSE),2)</f>
        <v>0</v>
      </c>
      <c r="F86" s="25">
        <f>ROUND($C86*CIS_Inc*(VLOOKUP($A86,'K3 District Data as of Jan 2025'!$A$3:$M$323,MATCH("Reg",'K3 District Data as of Jan 2025'!$2:$2,0),FALSE)+VLOOKUP($A86,'K3 District Data as of Jan 2025'!$A$3:$M$323,MATCH("Exp",'K3 District Data as of Jan 2025'!$2:$2,0),FALSE)),2)-E86</f>
        <v>0</v>
      </c>
      <c r="G86" s="25">
        <f>ROUND($D86*CLS_Base*VLOOKUP($A86,'K3 District Data as of Jan 2025'!$A$3:$M$323,MATCH("Reg base",'K3 District Data as of Jan 2025'!$2:$2,0),FALSE),2)</f>
        <v>0</v>
      </c>
      <c r="H86" s="25">
        <f>ROUND($D86*CLS_Inc*VLOOKUP($A86,'K3 District Data as of Jan 2025'!$A$3:$M$323,MATCH("Reg base",'K3 District Data as of Jan 2025'!$2:$2,0),FALSE),2)-G86</f>
        <v>0</v>
      </c>
      <c r="I86" s="25">
        <f t="shared" si="8"/>
        <v>0</v>
      </c>
      <c r="J86" s="25">
        <f t="shared" si="9"/>
        <v>0</v>
      </c>
      <c r="K86" s="25">
        <f t="shared" si="10"/>
        <v>0</v>
      </c>
      <c r="L86" s="25">
        <f t="shared" si="11"/>
        <v>0</v>
      </c>
      <c r="M86" s="25">
        <f t="shared" si="12"/>
        <v>0</v>
      </c>
      <c r="N86" s="25">
        <f t="shared" si="13"/>
        <v>0</v>
      </c>
      <c r="O86" s="25">
        <f>ROUND(($C86*CIS_Inc*(VLOOKUP($A86,'K3 District Data as of Jan 2025'!$A$3:$M$323,MATCH("Reg",'K3 District Data as of Jan 2025'!$2:$2,0),FALSE)+VLOOKUP($A86,'K3 District Data as of Jan 2025'!$A$3:$M$323,MATCH("Exp",'K3 District Data as of Jan 2025'!$2:$2,0),FALSE))/180)*3+(($C86*CIS_Inc*(VLOOKUP($A86,'K3 District Data as of Jan 2025'!$A$3:$M$323,MATCH("Reg",'K3 District Data as of Jan 2025'!$2:$2,0),FALSE)+VLOOKUP($A86,'K3 District Data as of Jan 2025'!$A$3:$M$323,MATCH("Exp",'K3 District Data as of Jan 2025'!$2:$2,0),FALSE))/180)*3)*CIS_Ben_Inc,2)</f>
        <v>0</v>
      </c>
      <c r="P86" s="23">
        <f t="shared" si="14"/>
        <v>0</v>
      </c>
    </row>
    <row r="87" spans="1:16" x14ac:dyDescent="0.25">
      <c r="A87" t="s">
        <v>171</v>
      </c>
      <c r="B87" t="s">
        <v>467</v>
      </c>
      <c r="C87" s="33">
        <f>IF(VLOOKUP($A87,'Enroll Data as of January 2025'!$A$3:$T$322,20,FALSE)&gt;0,0,VLOOKUP($A87,'Enroll Data as of January 2025'!$A$3:$T$322,20,FALSE)*'2024-25 PSES Compliance'!$G$13)</f>
        <v>-0.23519999999999999</v>
      </c>
      <c r="D87" s="33">
        <f>IF(VLOOKUP($A87,'Enroll Data as of January 2025'!$A$3:$T$322,20,FALSE)&gt;0,0,VLOOKUP($A87,'Enroll Data as of January 2025'!$A$3:$T$322,20,FALSE)*'2024-25 PSES Compliance'!$G$14)</f>
        <v>-9.7999999999999997E-3</v>
      </c>
      <c r="E87" s="25">
        <f>ROUND($C87*CIS_Base*VLOOKUP($A87,'K3 District Data as of Jan 2025'!$A$3:$M$323,MATCH("Reg base",'K3 District Data as of Jan 2025'!$2:$2,0),FALSE),2)</f>
        <v>-17105.63</v>
      </c>
      <c r="F87" s="25">
        <f>ROUND($C87*CIS_Inc*(VLOOKUP($A87,'K3 District Data as of Jan 2025'!$A$3:$M$323,MATCH("Reg",'K3 District Data as of Jan 2025'!$2:$2,0),FALSE)+VLOOKUP($A87,'K3 District Data as of Jan 2025'!$A$3:$M$323,MATCH("Exp",'K3 District Data as of Jan 2025'!$2:$2,0),FALSE)),2)-E87</f>
        <v>-1289.1299999999974</v>
      </c>
      <c r="G87" s="25">
        <f>ROUND($D87*CLS_Base*VLOOKUP($A87,'K3 District Data as of Jan 2025'!$A$3:$M$323,MATCH("Reg base",'K3 District Data as of Jan 2025'!$2:$2,0),FALSE),2)</f>
        <v>-511.3</v>
      </c>
      <c r="H87" s="25">
        <f>ROUND($D87*CLS_Inc*VLOOKUP($A87,'K3 District Data as of Jan 2025'!$A$3:$M$323,MATCH("Reg base",'K3 District Data as of Jan 2025'!$2:$2,0),FALSE),2)-G87</f>
        <v>-38.53000000000003</v>
      </c>
      <c r="I87" s="25">
        <f t="shared" si="8"/>
        <v>-3391.28</v>
      </c>
      <c r="J87" s="25">
        <f t="shared" si="9"/>
        <v>-198.1</v>
      </c>
      <c r="K87" s="25">
        <f t="shared" si="10"/>
        <v>-3104.67</v>
      </c>
      <c r="L87" s="25">
        <f t="shared" si="11"/>
        <v>-2995.2</v>
      </c>
      <c r="M87" s="25">
        <f t="shared" si="12"/>
        <v>-110.75</v>
      </c>
      <c r="N87" s="25">
        <f t="shared" si="13"/>
        <v>-7</v>
      </c>
      <c r="O87" s="25">
        <f>ROUND(($C87*CIS_Inc*(VLOOKUP($A87,'K3 District Data as of Jan 2025'!$A$3:$M$323,MATCH("Reg",'K3 District Data as of Jan 2025'!$2:$2,0),FALSE)+VLOOKUP($A87,'K3 District Data as of Jan 2025'!$A$3:$M$323,MATCH("Exp",'K3 District Data as of Jan 2025'!$2:$2,0),FALSE))/180)*3+(($C87*CIS_Inc*(VLOOKUP($A87,'K3 District Data as of Jan 2025'!$A$3:$M$323,MATCH("Reg",'K3 District Data as of Jan 2025'!$2:$2,0),FALSE)+VLOOKUP($A87,'K3 District Data as of Jan 2025'!$A$3:$M$323,MATCH("Exp",'K3 District Data as of Jan 2025'!$2:$2,0),FALSE))/180)*3)*CIS_Ben_Inc,2)</f>
        <v>-360.26</v>
      </c>
      <c r="P87" s="23">
        <f t="shared" si="14"/>
        <v>-29111.849999999991</v>
      </c>
    </row>
    <row r="88" spans="1:16" x14ac:dyDescent="0.25">
      <c r="A88" t="s">
        <v>669</v>
      </c>
      <c r="B88" t="s">
        <v>670</v>
      </c>
      <c r="C88" s="33" t="e">
        <f>IF(VLOOKUP($A88,'Enroll Data as of January 2025'!$A$3:$T$322,20,FALSE)&gt;0,0,VLOOKUP($A88,'Enroll Data as of January 2025'!$A$3:$T$322,20,FALSE)*'2024-25 PSES Compliance'!$G$13)</f>
        <v>#N/A</v>
      </c>
      <c r="D88" s="33" t="e">
        <f>IF(VLOOKUP($A88,'Enroll Data as of January 2025'!$A$3:$T$322,20,FALSE)&gt;0,0,VLOOKUP($A88,'Enroll Data as of January 2025'!$A$3:$T$322,20,FALSE)*'2024-25 PSES Compliance'!$G$14)</f>
        <v>#N/A</v>
      </c>
      <c r="E88" s="25" t="e">
        <f>ROUND($C88*CIS_Base*VLOOKUP($A88,'K3 District Data as of Jan 2025'!$A$3:$M$323,MATCH("Reg base",'K3 District Data as of Jan 2025'!$2:$2,0),FALSE),2)</f>
        <v>#N/A</v>
      </c>
      <c r="F88" s="25" t="e">
        <f>ROUND($C88*CIS_Inc*(VLOOKUP($A88,'K3 District Data as of Jan 2025'!$A$3:$M$323,MATCH("Reg",'K3 District Data as of Jan 2025'!$2:$2,0),FALSE)+VLOOKUP($A88,'K3 District Data as of Jan 2025'!$A$3:$M$323,MATCH("Exp",'K3 District Data as of Jan 2025'!$2:$2,0),FALSE)),2)-E88</f>
        <v>#N/A</v>
      </c>
      <c r="G88" s="25" t="e">
        <f>ROUND($D88*CLS_Base*VLOOKUP($A88,'K3 District Data as of Jan 2025'!$A$3:$M$323,MATCH("Reg base",'K3 District Data as of Jan 2025'!$2:$2,0),FALSE),2)</f>
        <v>#N/A</v>
      </c>
      <c r="H88" s="25" t="e">
        <f>ROUND($D88*CLS_Inc*VLOOKUP($A88,'K3 District Data as of Jan 2025'!$A$3:$M$323,MATCH("Reg base",'K3 District Data as of Jan 2025'!$2:$2,0),FALSE),2)-G88</f>
        <v>#N/A</v>
      </c>
      <c r="I88" s="25" t="e">
        <f t="shared" si="8"/>
        <v>#N/A</v>
      </c>
      <c r="J88" s="25" t="e">
        <f t="shared" si="9"/>
        <v>#N/A</v>
      </c>
      <c r="K88" s="25" t="e">
        <f t="shared" si="10"/>
        <v>#N/A</v>
      </c>
      <c r="L88" s="25" t="e">
        <f t="shared" si="11"/>
        <v>#N/A</v>
      </c>
      <c r="M88" s="25" t="e">
        <f t="shared" si="12"/>
        <v>#N/A</v>
      </c>
      <c r="N88" s="25" t="e">
        <f t="shared" si="13"/>
        <v>#N/A</v>
      </c>
      <c r="O88" s="25" t="e">
        <f>ROUND(($C88*CIS_Inc*(VLOOKUP($A88,'K3 District Data as of Jan 2025'!$A$3:$M$323,MATCH("Reg",'K3 District Data as of Jan 2025'!$2:$2,0),FALSE)+VLOOKUP($A88,'K3 District Data as of Jan 2025'!$A$3:$M$323,MATCH("Exp",'K3 District Data as of Jan 2025'!$2:$2,0),FALSE))/180)*3+(($C88*CIS_Inc*(VLOOKUP($A88,'K3 District Data as of Jan 2025'!$A$3:$M$323,MATCH("Reg",'K3 District Data as of Jan 2025'!$2:$2,0),FALSE)+VLOOKUP($A88,'K3 District Data as of Jan 2025'!$A$3:$M$323,MATCH("Exp",'K3 District Data as of Jan 2025'!$2:$2,0),FALSE))/180)*3)*CIS_Ben_Inc,2)</f>
        <v>#N/A</v>
      </c>
      <c r="P88" s="23" t="e">
        <f t="shared" si="14"/>
        <v>#N/A</v>
      </c>
    </row>
    <row r="89" spans="1:16" x14ac:dyDescent="0.25">
      <c r="A89" t="s">
        <v>177</v>
      </c>
      <c r="B89" t="s">
        <v>473</v>
      </c>
      <c r="C89" s="33">
        <f>IF(VLOOKUP($A89,'Enroll Data as of January 2025'!$A$3:$T$322,20,FALSE)&gt;0,0,VLOOKUP($A89,'Enroll Data as of January 2025'!$A$3:$T$322,20,FALSE)*'2024-25 PSES Compliance'!$G$13)</f>
        <v>-0.69119999999999993</v>
      </c>
      <c r="D89" s="33">
        <f>IF(VLOOKUP($A89,'Enroll Data as of January 2025'!$A$3:$T$322,20,FALSE)&gt;0,0,VLOOKUP($A89,'Enroll Data as of January 2025'!$A$3:$T$322,20,FALSE)*'2024-25 PSES Compliance'!$G$14)</f>
        <v>-2.8799999999999999E-2</v>
      </c>
      <c r="E89" s="25">
        <f>ROUND($C89*CIS_Base*VLOOKUP($A89,'K3 District Data as of Jan 2025'!$A$3:$M$323,MATCH("Reg base",'K3 District Data as of Jan 2025'!$2:$2,0),FALSE),2)</f>
        <v>-50269.59</v>
      </c>
      <c r="F89" s="25">
        <f>ROUND($C89*CIS_Inc*(VLOOKUP($A89,'K3 District Data as of Jan 2025'!$A$3:$M$323,MATCH("Reg",'K3 District Data as of Jan 2025'!$2:$2,0),FALSE)+VLOOKUP($A89,'K3 District Data as of Jan 2025'!$A$3:$M$323,MATCH("Exp",'K3 District Data as of Jan 2025'!$2:$2,0),FALSE)),2)-E89</f>
        <v>-4329.0500000000029</v>
      </c>
      <c r="G89" s="25">
        <f>ROUND($D89*CLS_Base*VLOOKUP($A89,'K3 District Data as of Jan 2025'!$A$3:$M$323,MATCH("Reg base",'K3 District Data as of Jan 2025'!$2:$2,0),FALSE),2)</f>
        <v>-1502.58</v>
      </c>
      <c r="H89" s="25">
        <f>ROUND($D89*CLS_Inc*VLOOKUP($A89,'K3 District Data as of Jan 2025'!$A$3:$M$323,MATCH("Reg base",'K3 District Data as of Jan 2025'!$2:$2,0),FALSE),2)-G89</f>
        <v>-113.24000000000001</v>
      </c>
      <c r="I89" s="25">
        <f t="shared" si="8"/>
        <v>-9966.2199999999993</v>
      </c>
      <c r="J89" s="25">
        <f t="shared" si="9"/>
        <v>-582.17999999999995</v>
      </c>
      <c r="K89" s="25">
        <f t="shared" si="10"/>
        <v>-9123.93</v>
      </c>
      <c r="L89" s="25">
        <f t="shared" si="11"/>
        <v>-8802.2099999999991</v>
      </c>
      <c r="M89" s="25">
        <f t="shared" si="12"/>
        <v>-325.45999999999998</v>
      </c>
      <c r="N89" s="25">
        <f t="shared" si="13"/>
        <v>-20.56</v>
      </c>
      <c r="O89" s="25">
        <f>ROUND(($C89*CIS_Inc*(VLOOKUP($A89,'K3 District Data as of Jan 2025'!$A$3:$M$323,MATCH("Reg",'K3 District Data as of Jan 2025'!$2:$2,0),FALSE)+VLOOKUP($A89,'K3 District Data as of Jan 2025'!$A$3:$M$323,MATCH("Exp",'K3 District Data as of Jan 2025'!$2:$2,0),FALSE))/180)*3+(($C89*CIS_Inc*(VLOOKUP($A89,'K3 District Data as of Jan 2025'!$A$3:$M$323,MATCH("Reg",'K3 District Data as of Jan 2025'!$2:$2,0),FALSE)+VLOOKUP($A89,'K3 District Data as of Jan 2025'!$A$3:$M$323,MATCH("Exp",'K3 District Data as of Jan 2025'!$2:$2,0),FALSE))/180)*3)*CIS_Ben_Inc,2)</f>
        <v>-1069.31</v>
      </c>
      <c r="P89" s="23">
        <f t="shared" si="14"/>
        <v>-86104.329999999973</v>
      </c>
    </row>
    <row r="90" spans="1:16" x14ac:dyDescent="0.25">
      <c r="A90" t="s">
        <v>53</v>
      </c>
      <c r="B90" t="s">
        <v>349</v>
      </c>
      <c r="C90" s="33">
        <f>IF(VLOOKUP($A90,'Enroll Data as of January 2025'!$A$3:$T$322,20,FALSE)&gt;0,0,VLOOKUP($A90,'Enroll Data as of January 2025'!$A$3:$T$322,20,FALSE)*'2024-25 PSES Compliance'!$G$13)</f>
        <v>0</v>
      </c>
      <c r="D90" s="33">
        <f>IF(VLOOKUP($A90,'Enroll Data as of January 2025'!$A$3:$T$322,20,FALSE)&gt;0,0,VLOOKUP($A90,'Enroll Data as of January 2025'!$A$3:$T$322,20,FALSE)*'2024-25 PSES Compliance'!$G$14)</f>
        <v>0</v>
      </c>
      <c r="E90" s="25">
        <f>ROUND($C90*CIS_Base*VLOOKUP($A90,'K3 District Data as of Jan 2025'!$A$3:$M$323,MATCH("Reg base",'K3 District Data as of Jan 2025'!$2:$2,0),FALSE),2)</f>
        <v>0</v>
      </c>
      <c r="F90" s="25">
        <f>ROUND($C90*CIS_Inc*(VLOOKUP($A90,'K3 District Data as of Jan 2025'!$A$3:$M$323,MATCH("Reg",'K3 District Data as of Jan 2025'!$2:$2,0),FALSE)+VLOOKUP($A90,'K3 District Data as of Jan 2025'!$A$3:$M$323,MATCH("Exp",'K3 District Data as of Jan 2025'!$2:$2,0),FALSE)),2)-E90</f>
        <v>0</v>
      </c>
      <c r="G90" s="25">
        <f>ROUND($D90*CLS_Base*VLOOKUP($A90,'K3 District Data as of Jan 2025'!$A$3:$M$323,MATCH("Reg base",'K3 District Data as of Jan 2025'!$2:$2,0),FALSE),2)</f>
        <v>0</v>
      </c>
      <c r="H90" s="25">
        <f>ROUND($D90*CLS_Inc*VLOOKUP($A90,'K3 District Data as of Jan 2025'!$A$3:$M$323,MATCH("Reg base",'K3 District Data as of Jan 2025'!$2:$2,0),FALSE),2)-G90</f>
        <v>0</v>
      </c>
      <c r="I90" s="25">
        <f t="shared" si="8"/>
        <v>0</v>
      </c>
      <c r="J90" s="25">
        <f t="shared" si="9"/>
        <v>0</v>
      </c>
      <c r="K90" s="25">
        <f t="shared" si="10"/>
        <v>0</v>
      </c>
      <c r="L90" s="25">
        <f t="shared" si="11"/>
        <v>0</v>
      </c>
      <c r="M90" s="25">
        <f t="shared" si="12"/>
        <v>0</v>
      </c>
      <c r="N90" s="25">
        <f t="shared" si="13"/>
        <v>0</v>
      </c>
      <c r="O90" s="25">
        <f>ROUND(($C90*CIS_Inc*(VLOOKUP($A90,'K3 District Data as of Jan 2025'!$A$3:$M$323,MATCH("Reg",'K3 District Data as of Jan 2025'!$2:$2,0),FALSE)+VLOOKUP($A90,'K3 District Data as of Jan 2025'!$A$3:$M$323,MATCH("Exp",'K3 District Data as of Jan 2025'!$2:$2,0),FALSE))/180)*3+(($C90*CIS_Inc*(VLOOKUP($A90,'K3 District Data as of Jan 2025'!$A$3:$M$323,MATCH("Reg",'K3 District Data as of Jan 2025'!$2:$2,0),FALSE)+VLOOKUP($A90,'K3 District Data as of Jan 2025'!$A$3:$M$323,MATCH("Exp",'K3 District Data as of Jan 2025'!$2:$2,0),FALSE))/180)*3)*CIS_Ben_Inc,2)</f>
        <v>0</v>
      </c>
      <c r="P90" s="23">
        <f t="shared" si="14"/>
        <v>0</v>
      </c>
    </row>
    <row r="91" spans="1:16" x14ac:dyDescent="0.25">
      <c r="A91" t="s">
        <v>78</v>
      </c>
      <c r="B91" t="s">
        <v>374</v>
      </c>
      <c r="C91" s="33">
        <f>IF(VLOOKUP($A91,'Enroll Data as of January 2025'!$A$3:$T$322,20,FALSE)&gt;0,0,VLOOKUP($A91,'Enroll Data as of January 2025'!$A$3:$T$322,20,FALSE)*'2024-25 PSES Compliance'!$G$13)</f>
        <v>-4.0320000000000002E-2</v>
      </c>
      <c r="D91" s="33">
        <f>IF(VLOOKUP($A91,'Enroll Data as of January 2025'!$A$3:$T$322,20,FALSE)&gt;0,0,VLOOKUP($A91,'Enroll Data as of January 2025'!$A$3:$T$322,20,FALSE)*'2024-25 PSES Compliance'!$G$14)</f>
        <v>-1.6800000000000001E-3</v>
      </c>
      <c r="E91" s="25">
        <f>ROUND($C91*CIS_Base*VLOOKUP($A91,'K3 District Data as of Jan 2025'!$A$3:$M$323,MATCH("Reg base",'K3 District Data as of Jan 2025'!$2:$2,0),FALSE),2)</f>
        <v>-2932.39</v>
      </c>
      <c r="F91" s="25">
        <f>ROUND($C91*CIS_Inc*(VLOOKUP($A91,'K3 District Data as of Jan 2025'!$A$3:$M$323,MATCH("Reg",'K3 District Data as of Jan 2025'!$2:$2,0),FALSE)+VLOOKUP($A91,'K3 District Data as of Jan 2025'!$A$3:$M$323,MATCH("Exp",'K3 District Data as of Jan 2025'!$2:$2,0),FALSE)),2)-E91</f>
        <v>-221</v>
      </c>
      <c r="G91" s="25">
        <f>ROUND($D91*CLS_Base*VLOOKUP($A91,'K3 District Data as of Jan 2025'!$A$3:$M$323,MATCH("Reg base",'K3 District Data as of Jan 2025'!$2:$2,0),FALSE),2)</f>
        <v>-87.65</v>
      </c>
      <c r="H91" s="25">
        <f>ROUND($D91*CLS_Inc*VLOOKUP($A91,'K3 District Data as of Jan 2025'!$A$3:$M$323,MATCH("Reg base",'K3 District Data as of Jan 2025'!$2:$2,0),FALSE),2)-G91</f>
        <v>-6.6099999999999994</v>
      </c>
      <c r="I91" s="25">
        <f t="shared" si="8"/>
        <v>-581.36</v>
      </c>
      <c r="J91" s="25">
        <f t="shared" si="9"/>
        <v>-33.96</v>
      </c>
      <c r="K91" s="25">
        <f t="shared" si="10"/>
        <v>-532.23</v>
      </c>
      <c r="L91" s="25">
        <f t="shared" si="11"/>
        <v>-513.46</v>
      </c>
      <c r="M91" s="25">
        <f t="shared" si="12"/>
        <v>-18.98</v>
      </c>
      <c r="N91" s="25">
        <f t="shared" si="13"/>
        <v>-1.2</v>
      </c>
      <c r="O91" s="25">
        <f>ROUND(($C91*CIS_Inc*(VLOOKUP($A91,'K3 District Data as of Jan 2025'!$A$3:$M$323,MATCH("Reg",'K3 District Data as of Jan 2025'!$2:$2,0),FALSE)+VLOOKUP($A91,'K3 District Data as of Jan 2025'!$A$3:$M$323,MATCH("Exp",'K3 District Data as of Jan 2025'!$2:$2,0),FALSE))/180)*3+(($C91*CIS_Inc*(VLOOKUP($A91,'K3 District Data as of Jan 2025'!$A$3:$M$323,MATCH("Reg",'K3 District Data as of Jan 2025'!$2:$2,0),FALSE)+VLOOKUP($A91,'K3 District Data as of Jan 2025'!$A$3:$M$323,MATCH("Exp",'K3 District Data as of Jan 2025'!$2:$2,0),FALSE))/180)*3)*CIS_Ben_Inc,2)</f>
        <v>-61.76</v>
      </c>
      <c r="P91" s="23">
        <f t="shared" si="14"/>
        <v>-4990.6000000000004</v>
      </c>
    </row>
    <row r="92" spans="1:16" x14ac:dyDescent="0.25">
      <c r="A92" t="s">
        <v>130</v>
      </c>
      <c r="B92" t="s">
        <v>426</v>
      </c>
      <c r="C92" s="33">
        <f>IF(VLOOKUP($A92,'Enroll Data as of January 2025'!$A$3:$T$322,20,FALSE)&gt;0,0,VLOOKUP($A92,'Enroll Data as of January 2025'!$A$3:$T$322,20,FALSE)*'2024-25 PSES Compliance'!$G$13)</f>
        <v>0</v>
      </c>
      <c r="D92" s="33">
        <f>IF(VLOOKUP($A92,'Enroll Data as of January 2025'!$A$3:$T$322,20,FALSE)&gt;0,0,VLOOKUP($A92,'Enroll Data as of January 2025'!$A$3:$T$322,20,FALSE)*'2024-25 PSES Compliance'!$G$14)</f>
        <v>0</v>
      </c>
      <c r="E92" s="25">
        <f>ROUND($C92*CIS_Base*VLOOKUP($A92,'K3 District Data as of Jan 2025'!$A$3:$M$323,MATCH("Reg base",'K3 District Data as of Jan 2025'!$2:$2,0),FALSE),2)</f>
        <v>0</v>
      </c>
      <c r="F92" s="25">
        <f>ROUND($C92*CIS_Inc*(VLOOKUP($A92,'K3 District Data as of Jan 2025'!$A$3:$M$323,MATCH("Reg",'K3 District Data as of Jan 2025'!$2:$2,0),FALSE)+VLOOKUP($A92,'K3 District Data as of Jan 2025'!$A$3:$M$323,MATCH("Exp",'K3 District Data as of Jan 2025'!$2:$2,0),FALSE)),2)-E92</f>
        <v>0</v>
      </c>
      <c r="G92" s="25">
        <f>ROUND($D92*CLS_Base*VLOOKUP($A92,'K3 District Data as of Jan 2025'!$A$3:$M$323,MATCH("Reg base",'K3 District Data as of Jan 2025'!$2:$2,0),FALSE),2)</f>
        <v>0</v>
      </c>
      <c r="H92" s="25">
        <f>ROUND($D92*CLS_Inc*VLOOKUP($A92,'K3 District Data as of Jan 2025'!$A$3:$M$323,MATCH("Reg base",'K3 District Data as of Jan 2025'!$2:$2,0),FALSE),2)-G92</f>
        <v>0</v>
      </c>
      <c r="I92" s="25">
        <f t="shared" si="8"/>
        <v>0</v>
      </c>
      <c r="J92" s="25">
        <f t="shared" si="9"/>
        <v>0</v>
      </c>
      <c r="K92" s="25">
        <f t="shared" si="10"/>
        <v>0</v>
      </c>
      <c r="L92" s="25">
        <f t="shared" si="11"/>
        <v>0</v>
      </c>
      <c r="M92" s="25">
        <f t="shared" si="12"/>
        <v>0</v>
      </c>
      <c r="N92" s="25">
        <f t="shared" si="13"/>
        <v>0</v>
      </c>
      <c r="O92" s="25">
        <f>ROUND(($C92*CIS_Inc*(VLOOKUP($A92,'K3 District Data as of Jan 2025'!$A$3:$M$323,MATCH("Reg",'K3 District Data as of Jan 2025'!$2:$2,0),FALSE)+VLOOKUP($A92,'K3 District Data as of Jan 2025'!$A$3:$M$323,MATCH("Exp",'K3 District Data as of Jan 2025'!$2:$2,0),FALSE))/180)*3+(($C92*CIS_Inc*(VLOOKUP($A92,'K3 District Data as of Jan 2025'!$A$3:$M$323,MATCH("Reg",'K3 District Data as of Jan 2025'!$2:$2,0),FALSE)+VLOOKUP($A92,'K3 District Data as of Jan 2025'!$A$3:$M$323,MATCH("Exp",'K3 District Data as of Jan 2025'!$2:$2,0),FALSE))/180)*3)*CIS_Ben_Inc,2)</f>
        <v>0</v>
      </c>
      <c r="P92" s="23">
        <f t="shared" si="14"/>
        <v>0</v>
      </c>
    </row>
    <row r="93" spans="1:16" x14ac:dyDescent="0.25">
      <c r="A93" t="s">
        <v>233</v>
      </c>
      <c r="B93" t="s">
        <v>529</v>
      </c>
      <c r="C93" s="33">
        <f>IF(VLOOKUP($A93,'Enroll Data as of January 2025'!$A$3:$T$322,20,FALSE)&gt;0,0,VLOOKUP($A93,'Enroll Data as of January 2025'!$A$3:$T$322,20,FALSE)*'2024-25 PSES Compliance'!$G$13)</f>
        <v>0</v>
      </c>
      <c r="D93" s="33">
        <f>IF(VLOOKUP($A93,'Enroll Data as of January 2025'!$A$3:$T$322,20,FALSE)&gt;0,0,VLOOKUP($A93,'Enroll Data as of January 2025'!$A$3:$T$322,20,FALSE)*'2024-25 PSES Compliance'!$G$14)</f>
        <v>0</v>
      </c>
      <c r="E93" s="25">
        <f>ROUND($C93*CIS_Base*VLOOKUP($A93,'K3 District Data as of Jan 2025'!$A$3:$M$323,MATCH("Reg base",'K3 District Data as of Jan 2025'!$2:$2,0),FALSE),2)</f>
        <v>0</v>
      </c>
      <c r="F93" s="25">
        <f>ROUND($C93*CIS_Inc*(VLOOKUP($A93,'K3 District Data as of Jan 2025'!$A$3:$M$323,MATCH("Reg",'K3 District Data as of Jan 2025'!$2:$2,0),FALSE)+VLOOKUP($A93,'K3 District Data as of Jan 2025'!$A$3:$M$323,MATCH("Exp",'K3 District Data as of Jan 2025'!$2:$2,0),FALSE)),2)-E93</f>
        <v>0</v>
      </c>
      <c r="G93" s="25">
        <f>ROUND($D93*CLS_Base*VLOOKUP($A93,'K3 District Data as of Jan 2025'!$A$3:$M$323,MATCH("Reg base",'K3 District Data as of Jan 2025'!$2:$2,0),FALSE),2)</f>
        <v>0</v>
      </c>
      <c r="H93" s="25">
        <f>ROUND($D93*CLS_Inc*VLOOKUP($A93,'K3 District Data as of Jan 2025'!$A$3:$M$323,MATCH("Reg base",'K3 District Data as of Jan 2025'!$2:$2,0),FALSE),2)-G93</f>
        <v>0</v>
      </c>
      <c r="I93" s="25">
        <f t="shared" si="8"/>
        <v>0</v>
      </c>
      <c r="J93" s="25">
        <f t="shared" si="9"/>
        <v>0</v>
      </c>
      <c r="K93" s="25">
        <f t="shared" si="10"/>
        <v>0</v>
      </c>
      <c r="L93" s="25">
        <f t="shared" si="11"/>
        <v>0</v>
      </c>
      <c r="M93" s="25">
        <f t="shared" si="12"/>
        <v>0</v>
      </c>
      <c r="N93" s="25">
        <f t="shared" si="13"/>
        <v>0</v>
      </c>
      <c r="O93" s="25">
        <f>ROUND(($C93*CIS_Inc*(VLOOKUP($A93,'K3 District Data as of Jan 2025'!$A$3:$M$323,MATCH("Reg",'K3 District Data as of Jan 2025'!$2:$2,0),FALSE)+VLOOKUP($A93,'K3 District Data as of Jan 2025'!$A$3:$M$323,MATCH("Exp",'K3 District Data as of Jan 2025'!$2:$2,0),FALSE))/180)*3+(($C93*CIS_Inc*(VLOOKUP($A93,'K3 District Data as of Jan 2025'!$A$3:$M$323,MATCH("Reg",'K3 District Data as of Jan 2025'!$2:$2,0),FALSE)+VLOOKUP($A93,'K3 District Data as of Jan 2025'!$A$3:$M$323,MATCH("Exp",'K3 District Data as of Jan 2025'!$2:$2,0),FALSE))/180)*3)*CIS_Ben_Inc,2)</f>
        <v>0</v>
      </c>
      <c r="P93" s="23">
        <f t="shared" si="14"/>
        <v>0</v>
      </c>
    </row>
    <row r="94" spans="1:16" x14ac:dyDescent="0.25">
      <c r="A94" t="s">
        <v>85</v>
      </c>
      <c r="B94" t="s">
        <v>381</v>
      </c>
      <c r="C94" s="33">
        <f>IF(VLOOKUP($A94,'Enroll Data as of January 2025'!$A$3:$T$322,20,FALSE)&gt;0,0,VLOOKUP($A94,'Enroll Data as of January 2025'!$A$3:$T$322,20,FALSE)*'2024-25 PSES Compliance'!$G$13)</f>
        <v>-0.36768000000000001</v>
      </c>
      <c r="D94" s="33">
        <f>IF(VLOOKUP($A94,'Enroll Data as of January 2025'!$A$3:$T$322,20,FALSE)&gt;0,0,VLOOKUP($A94,'Enroll Data as of January 2025'!$A$3:$T$322,20,FALSE)*'2024-25 PSES Compliance'!$G$14)</f>
        <v>-1.532E-2</v>
      </c>
      <c r="E94" s="25">
        <f>ROUND($C94*CIS_Base*VLOOKUP($A94,'K3 District Data as of Jan 2025'!$A$3:$M$323,MATCH("Reg base",'K3 District Data as of Jan 2025'!$2:$2,0),FALSE),2)</f>
        <v>-26740.63</v>
      </c>
      <c r="F94" s="25">
        <f>ROUND($C94*CIS_Inc*(VLOOKUP($A94,'K3 District Data as of Jan 2025'!$A$3:$M$323,MATCH("Reg",'K3 District Data as of Jan 2025'!$2:$2,0),FALSE)+VLOOKUP($A94,'K3 District Data as of Jan 2025'!$A$3:$M$323,MATCH("Exp",'K3 District Data as of Jan 2025'!$2:$2,0),FALSE)),2)-E94</f>
        <v>-2015.2599999999984</v>
      </c>
      <c r="G94" s="25">
        <f>ROUND($D94*CLS_Base*VLOOKUP($A94,'K3 District Data as of Jan 2025'!$A$3:$M$323,MATCH("Reg base",'K3 District Data as of Jan 2025'!$2:$2,0),FALSE),2)</f>
        <v>-799.29</v>
      </c>
      <c r="H94" s="25">
        <f>ROUND($D94*CLS_Inc*VLOOKUP($A94,'K3 District Data as of Jan 2025'!$A$3:$M$323,MATCH("Reg base",'K3 District Data as of Jan 2025'!$2:$2,0),FALSE),2)-G94</f>
        <v>-60.240000000000009</v>
      </c>
      <c r="I94" s="25">
        <f t="shared" si="8"/>
        <v>-5301.47</v>
      </c>
      <c r="J94" s="25">
        <f t="shared" si="9"/>
        <v>-309.69</v>
      </c>
      <c r="K94" s="25">
        <f t="shared" si="10"/>
        <v>-4853.42</v>
      </c>
      <c r="L94" s="25">
        <f t="shared" si="11"/>
        <v>-4682.28</v>
      </c>
      <c r="M94" s="25">
        <f t="shared" si="12"/>
        <v>-173.13</v>
      </c>
      <c r="N94" s="25">
        <f t="shared" si="13"/>
        <v>-10.94</v>
      </c>
      <c r="O94" s="25">
        <f>ROUND(($C94*CIS_Inc*(VLOOKUP($A94,'K3 District Data as of Jan 2025'!$A$3:$M$323,MATCH("Reg",'K3 District Data as of Jan 2025'!$2:$2,0),FALSE)+VLOOKUP($A94,'K3 District Data as of Jan 2025'!$A$3:$M$323,MATCH("Exp",'K3 District Data as of Jan 2025'!$2:$2,0),FALSE))/180)*3+(($C94*CIS_Inc*(VLOOKUP($A94,'K3 District Data as of Jan 2025'!$A$3:$M$323,MATCH("Reg",'K3 District Data as of Jan 2025'!$2:$2,0),FALSE)+VLOOKUP($A94,'K3 District Data as of Jan 2025'!$A$3:$M$323,MATCH("Exp",'K3 District Data as of Jan 2025'!$2:$2,0),FALSE))/180)*3)*CIS_Ben_Inc,2)</f>
        <v>-563.17999999999995</v>
      </c>
      <c r="P94" s="23">
        <f t="shared" si="14"/>
        <v>-45509.53</v>
      </c>
    </row>
    <row r="95" spans="1:16" x14ac:dyDescent="0.25">
      <c r="A95" t="s">
        <v>260</v>
      </c>
      <c r="B95" t="s">
        <v>556</v>
      </c>
      <c r="C95" s="33">
        <f>IF(VLOOKUP($A95,'Enroll Data as of January 2025'!$A$3:$T$322,20,FALSE)&gt;0,0,VLOOKUP($A95,'Enroll Data as of January 2025'!$A$3:$T$322,20,FALSE)*'2024-25 PSES Compliance'!$G$13)</f>
        <v>-0.91871999999999998</v>
      </c>
      <c r="D95" s="33">
        <f>IF(VLOOKUP($A95,'Enroll Data as of January 2025'!$A$3:$T$322,20,FALSE)&gt;0,0,VLOOKUP($A95,'Enroll Data as of January 2025'!$A$3:$T$322,20,FALSE)*'2024-25 PSES Compliance'!$G$14)</f>
        <v>-3.8280000000000002E-2</v>
      </c>
      <c r="E95" s="25">
        <f>ROUND($C95*CIS_Base*VLOOKUP($A95,'K3 District Data as of Jan 2025'!$A$3:$M$323,MATCH("Reg base",'K3 District Data as of Jan 2025'!$2:$2,0),FALSE),2)</f>
        <v>-66816.67</v>
      </c>
      <c r="F95" s="25">
        <f>ROUND($C95*CIS_Inc*(VLOOKUP($A95,'K3 District Data as of Jan 2025'!$A$3:$M$323,MATCH("Reg",'K3 District Data as of Jan 2025'!$2:$2,0),FALSE)+VLOOKUP($A95,'K3 District Data as of Jan 2025'!$A$3:$M$323,MATCH("Exp",'K3 District Data as of Jan 2025'!$2:$2,0),FALSE)),2)-E95</f>
        <v>-7909.5899999999965</v>
      </c>
      <c r="G95" s="25">
        <f>ROUND($D95*CLS_Base*VLOOKUP($A95,'K3 District Data as of Jan 2025'!$A$3:$M$323,MATCH("Reg base",'K3 District Data as of Jan 2025'!$2:$2,0),FALSE),2)</f>
        <v>-1997.18</v>
      </c>
      <c r="H95" s="25">
        <f>ROUND($D95*CLS_Inc*VLOOKUP($A95,'K3 District Data as of Jan 2025'!$A$3:$M$323,MATCH("Reg base",'K3 District Data as of Jan 2025'!$2:$2,0),FALSE),2)-G95</f>
        <v>-150.51999999999975</v>
      </c>
      <c r="I95" s="25">
        <f t="shared" si="8"/>
        <v>-13246.77</v>
      </c>
      <c r="J95" s="25">
        <f t="shared" si="9"/>
        <v>-773.81</v>
      </c>
      <c r="K95" s="25">
        <f t="shared" si="10"/>
        <v>-12127.23</v>
      </c>
      <c r="L95" s="25">
        <f t="shared" si="11"/>
        <v>-11699.6</v>
      </c>
      <c r="M95" s="25">
        <f t="shared" si="12"/>
        <v>-432.59</v>
      </c>
      <c r="N95" s="25">
        <f t="shared" si="13"/>
        <v>-27.33</v>
      </c>
      <c r="O95" s="25">
        <f>ROUND(($C95*CIS_Inc*(VLOOKUP($A95,'K3 District Data as of Jan 2025'!$A$3:$M$323,MATCH("Reg",'K3 District Data as of Jan 2025'!$2:$2,0),FALSE)+VLOOKUP($A95,'K3 District Data as of Jan 2025'!$A$3:$M$323,MATCH("Exp",'K3 District Data as of Jan 2025'!$2:$2,0),FALSE))/180)*3+(($C95*CIS_Inc*(VLOOKUP($A95,'K3 District Data as of Jan 2025'!$A$3:$M$323,MATCH("Reg",'K3 District Data as of Jan 2025'!$2:$2,0),FALSE)+VLOOKUP($A95,'K3 District Data as of Jan 2025'!$A$3:$M$323,MATCH("Exp",'K3 District Data as of Jan 2025'!$2:$2,0),FALSE))/180)*3)*CIS_Ben_Inc,2)</f>
        <v>-1463.51</v>
      </c>
      <c r="P95" s="23">
        <f t="shared" si="14"/>
        <v>-116644.79999999999</v>
      </c>
    </row>
    <row r="96" spans="1:16" x14ac:dyDescent="0.25">
      <c r="A96" t="s">
        <v>74</v>
      </c>
      <c r="B96" t="s">
        <v>370</v>
      </c>
      <c r="C96" s="33">
        <f>IF(VLOOKUP($A96,'Enroll Data as of January 2025'!$A$3:$T$322,20,FALSE)&gt;0,0,VLOOKUP($A96,'Enroll Data as of January 2025'!$A$3:$T$322,20,FALSE)*'2024-25 PSES Compliance'!$G$13)</f>
        <v>-0.26400000000000001</v>
      </c>
      <c r="D96" s="33">
        <f>IF(VLOOKUP($A96,'Enroll Data as of January 2025'!$A$3:$T$322,20,FALSE)&gt;0,0,VLOOKUP($A96,'Enroll Data as of January 2025'!$A$3:$T$322,20,FALSE)*'2024-25 PSES Compliance'!$G$14)</f>
        <v>-1.1000000000000001E-2</v>
      </c>
      <c r="E96" s="25">
        <f>ROUND($C96*CIS_Base*VLOOKUP($A96,'K3 District Data as of Jan 2025'!$A$3:$M$323,MATCH("Reg base",'K3 District Data as of Jan 2025'!$2:$2,0),FALSE),2)</f>
        <v>-19200.189999999999</v>
      </c>
      <c r="F96" s="25">
        <f>ROUND($C96*CIS_Inc*(VLOOKUP($A96,'K3 District Data as of Jan 2025'!$A$3:$M$323,MATCH("Reg",'K3 District Data as of Jan 2025'!$2:$2,0),FALSE)+VLOOKUP($A96,'K3 District Data as of Jan 2025'!$A$3:$M$323,MATCH("Exp",'K3 District Data as of Jan 2025'!$2:$2,0),FALSE)),2)-E96</f>
        <v>-1446.9900000000016</v>
      </c>
      <c r="G96" s="25">
        <f>ROUND($D96*CLS_Base*VLOOKUP($A96,'K3 District Data as of Jan 2025'!$A$3:$M$323,MATCH("Reg base",'K3 District Data as of Jan 2025'!$2:$2,0),FALSE),2)</f>
        <v>-573.9</v>
      </c>
      <c r="H96" s="25">
        <f>ROUND($D96*CLS_Inc*VLOOKUP($A96,'K3 District Data as of Jan 2025'!$A$3:$M$323,MATCH("Reg base",'K3 District Data as of Jan 2025'!$2:$2,0),FALSE),2)-G96</f>
        <v>-43.259999999999991</v>
      </c>
      <c r="I96" s="25">
        <f t="shared" si="8"/>
        <v>-3806.54</v>
      </c>
      <c r="J96" s="25">
        <f t="shared" si="9"/>
        <v>-222.36</v>
      </c>
      <c r="K96" s="25">
        <f t="shared" si="10"/>
        <v>-3484.83</v>
      </c>
      <c r="L96" s="25">
        <f t="shared" si="11"/>
        <v>-3361.95</v>
      </c>
      <c r="M96" s="25">
        <f t="shared" si="12"/>
        <v>-124.31</v>
      </c>
      <c r="N96" s="25">
        <f t="shared" si="13"/>
        <v>-7.86</v>
      </c>
      <c r="O96" s="25">
        <f>ROUND(($C96*CIS_Inc*(VLOOKUP($A96,'K3 District Data as of Jan 2025'!$A$3:$M$323,MATCH("Reg",'K3 District Data as of Jan 2025'!$2:$2,0),FALSE)+VLOOKUP($A96,'K3 District Data as of Jan 2025'!$A$3:$M$323,MATCH("Exp",'K3 District Data as of Jan 2025'!$2:$2,0),FALSE))/180)*3+(($C96*CIS_Inc*(VLOOKUP($A96,'K3 District Data as of Jan 2025'!$A$3:$M$323,MATCH("Reg",'K3 District Data as of Jan 2025'!$2:$2,0),FALSE)+VLOOKUP($A96,'K3 District Data as of Jan 2025'!$A$3:$M$323,MATCH("Exp",'K3 District Data as of Jan 2025'!$2:$2,0),FALSE))/180)*3)*CIS_Ben_Inc,2)</f>
        <v>-404.37</v>
      </c>
      <c r="P96" s="23">
        <f t="shared" si="14"/>
        <v>-32676.560000000001</v>
      </c>
    </row>
    <row r="97" spans="1:16" x14ac:dyDescent="0.25">
      <c r="A97" t="s">
        <v>175</v>
      </c>
      <c r="B97" t="s">
        <v>471</v>
      </c>
      <c r="C97" s="33">
        <f>IF(VLOOKUP($A97,'Enroll Data as of January 2025'!$A$3:$T$322,20,FALSE)&gt;0,0,VLOOKUP($A97,'Enroll Data as of January 2025'!$A$3:$T$322,20,FALSE)*'2024-25 PSES Compliance'!$G$13)</f>
        <v>-0.45311999999999997</v>
      </c>
      <c r="D97" s="33">
        <f>IF(VLOOKUP($A97,'Enroll Data as of January 2025'!$A$3:$T$322,20,FALSE)&gt;0,0,VLOOKUP($A97,'Enroll Data as of January 2025'!$A$3:$T$322,20,FALSE)*'2024-25 PSES Compliance'!$G$14)</f>
        <v>-1.8880000000000001E-2</v>
      </c>
      <c r="E97" s="25">
        <f>ROUND($C97*CIS_Base*VLOOKUP($A97,'K3 District Data as of Jan 2025'!$A$3:$M$323,MATCH("Reg base",'K3 District Data as of Jan 2025'!$2:$2,0),FALSE),2)</f>
        <v>-32954.51</v>
      </c>
      <c r="F97" s="25">
        <f>ROUND($C97*CIS_Inc*(VLOOKUP($A97,'K3 District Data as of Jan 2025'!$A$3:$M$323,MATCH("Reg",'K3 District Data as of Jan 2025'!$2:$2,0),FALSE)+VLOOKUP($A97,'K3 District Data as of Jan 2025'!$A$3:$M$323,MATCH("Exp",'K3 District Data as of Jan 2025'!$2:$2,0),FALSE)),2)-E97</f>
        <v>-2483.5499999999956</v>
      </c>
      <c r="G97" s="25">
        <f>ROUND($D97*CLS_Base*VLOOKUP($A97,'K3 District Data as of Jan 2025'!$A$3:$M$323,MATCH("Reg base",'K3 District Data as of Jan 2025'!$2:$2,0),FALSE),2)</f>
        <v>-985.03</v>
      </c>
      <c r="H97" s="25">
        <f>ROUND($D97*CLS_Inc*VLOOKUP($A97,'K3 District Data as of Jan 2025'!$A$3:$M$323,MATCH("Reg base",'K3 District Data as of Jan 2025'!$2:$2,0),FALSE),2)-G97</f>
        <v>-74.230000000000018</v>
      </c>
      <c r="I97" s="25">
        <f t="shared" si="8"/>
        <v>-6533.41</v>
      </c>
      <c r="J97" s="25">
        <f t="shared" si="9"/>
        <v>-381.65</v>
      </c>
      <c r="K97" s="25">
        <f t="shared" si="10"/>
        <v>-5981.24</v>
      </c>
      <c r="L97" s="25">
        <f t="shared" si="11"/>
        <v>-5770.33</v>
      </c>
      <c r="M97" s="25">
        <f t="shared" si="12"/>
        <v>-213.36</v>
      </c>
      <c r="N97" s="25">
        <f t="shared" si="13"/>
        <v>-13.48</v>
      </c>
      <c r="O97" s="25">
        <f>ROUND(($C97*CIS_Inc*(VLOOKUP($A97,'K3 District Data as of Jan 2025'!$A$3:$M$323,MATCH("Reg",'K3 District Data as of Jan 2025'!$2:$2,0),FALSE)+VLOOKUP($A97,'K3 District Data as of Jan 2025'!$A$3:$M$323,MATCH("Exp",'K3 District Data as of Jan 2025'!$2:$2,0),FALSE))/180)*3+(($C97*CIS_Inc*(VLOOKUP($A97,'K3 District Data as of Jan 2025'!$A$3:$M$323,MATCH("Reg",'K3 District Data as of Jan 2025'!$2:$2,0),FALSE)+VLOOKUP($A97,'K3 District Data as of Jan 2025'!$A$3:$M$323,MATCH("Exp",'K3 District Data as of Jan 2025'!$2:$2,0),FALSE))/180)*3)*CIS_Ben_Inc,2)</f>
        <v>-694.05</v>
      </c>
      <c r="P97" s="23">
        <f t="shared" si="14"/>
        <v>-56084.840000000004</v>
      </c>
    </row>
    <row r="98" spans="1:16" x14ac:dyDescent="0.25">
      <c r="A98" t="s">
        <v>281</v>
      </c>
      <c r="B98" t="s">
        <v>577</v>
      </c>
      <c r="C98" s="33">
        <f>IF(VLOOKUP($A98,'Enroll Data as of January 2025'!$A$3:$T$322,20,FALSE)&gt;0,0,VLOOKUP($A98,'Enroll Data as of January 2025'!$A$3:$T$322,20,FALSE)*'2024-25 PSES Compliance'!$G$13)</f>
        <v>0</v>
      </c>
      <c r="D98" s="33">
        <f>IF(VLOOKUP($A98,'Enroll Data as of January 2025'!$A$3:$T$322,20,FALSE)&gt;0,0,VLOOKUP($A98,'Enroll Data as of January 2025'!$A$3:$T$322,20,FALSE)*'2024-25 PSES Compliance'!$G$14)</f>
        <v>0</v>
      </c>
      <c r="E98" s="25">
        <f>ROUND($C98*CIS_Base*VLOOKUP($A98,'K3 District Data as of Jan 2025'!$A$3:$M$323,MATCH("Reg base",'K3 District Data as of Jan 2025'!$2:$2,0),FALSE),2)</f>
        <v>0</v>
      </c>
      <c r="F98" s="25">
        <f>ROUND($C98*CIS_Inc*(VLOOKUP($A98,'K3 District Data as of Jan 2025'!$A$3:$M$323,MATCH("Reg",'K3 District Data as of Jan 2025'!$2:$2,0),FALSE)+VLOOKUP($A98,'K3 District Data as of Jan 2025'!$A$3:$M$323,MATCH("Exp",'K3 District Data as of Jan 2025'!$2:$2,0),FALSE)),2)-E98</f>
        <v>0</v>
      </c>
      <c r="G98" s="25">
        <f>ROUND($D98*CLS_Base*VLOOKUP($A98,'K3 District Data as of Jan 2025'!$A$3:$M$323,MATCH("Reg base",'K3 District Data as of Jan 2025'!$2:$2,0),FALSE),2)</f>
        <v>0</v>
      </c>
      <c r="H98" s="25">
        <f>ROUND($D98*CLS_Inc*VLOOKUP($A98,'K3 District Data as of Jan 2025'!$A$3:$M$323,MATCH("Reg base",'K3 District Data as of Jan 2025'!$2:$2,0),FALSE),2)-G98</f>
        <v>0</v>
      </c>
      <c r="I98" s="25">
        <f t="shared" si="8"/>
        <v>0</v>
      </c>
      <c r="J98" s="25">
        <f t="shared" si="9"/>
        <v>0</v>
      </c>
      <c r="K98" s="25">
        <f t="shared" si="10"/>
        <v>0</v>
      </c>
      <c r="L98" s="25">
        <f t="shared" si="11"/>
        <v>0</v>
      </c>
      <c r="M98" s="25">
        <f t="shared" si="12"/>
        <v>0</v>
      </c>
      <c r="N98" s="25">
        <f t="shared" si="13"/>
        <v>0</v>
      </c>
      <c r="O98" s="25">
        <f>ROUND(($C98*CIS_Inc*(VLOOKUP($A98,'K3 District Data as of Jan 2025'!$A$3:$M$323,MATCH("Reg",'K3 District Data as of Jan 2025'!$2:$2,0),FALSE)+VLOOKUP($A98,'K3 District Data as of Jan 2025'!$A$3:$M$323,MATCH("Exp",'K3 District Data as of Jan 2025'!$2:$2,0),FALSE))/180)*3+(($C98*CIS_Inc*(VLOOKUP($A98,'K3 District Data as of Jan 2025'!$A$3:$M$323,MATCH("Reg",'K3 District Data as of Jan 2025'!$2:$2,0),FALSE)+VLOOKUP($A98,'K3 District Data as of Jan 2025'!$A$3:$M$323,MATCH("Exp",'K3 District Data as of Jan 2025'!$2:$2,0),FALSE))/180)*3)*CIS_Ben_Inc,2)</f>
        <v>0</v>
      </c>
      <c r="P98" s="23">
        <f t="shared" si="14"/>
        <v>0</v>
      </c>
    </row>
    <row r="99" spans="1:16" x14ac:dyDescent="0.25">
      <c r="A99" t="s">
        <v>240</v>
      </c>
      <c r="B99" t="s">
        <v>536</v>
      </c>
      <c r="C99" s="33">
        <f>IF(VLOOKUP($A99,'Enroll Data as of January 2025'!$A$3:$T$322,20,FALSE)&gt;0,0,VLOOKUP($A99,'Enroll Data as of January 2025'!$A$3:$T$322,20,FALSE)*'2024-25 PSES Compliance'!$G$13)</f>
        <v>-0.12</v>
      </c>
      <c r="D99" s="33">
        <f>IF(VLOOKUP($A99,'Enroll Data as of January 2025'!$A$3:$T$322,20,FALSE)&gt;0,0,VLOOKUP($A99,'Enroll Data as of January 2025'!$A$3:$T$322,20,FALSE)*'2024-25 PSES Compliance'!$G$14)</f>
        <v>-5.0000000000000001E-3</v>
      </c>
      <c r="E99" s="25">
        <f>ROUND($C99*CIS_Base*VLOOKUP($A99,'K3 District Data as of Jan 2025'!$A$3:$M$323,MATCH("Reg base",'K3 District Data as of Jan 2025'!$2:$2,0),FALSE),2)</f>
        <v>-8727.36</v>
      </c>
      <c r="F99" s="25">
        <f>ROUND($C99*CIS_Inc*(VLOOKUP($A99,'K3 District Data as of Jan 2025'!$A$3:$M$323,MATCH("Reg",'K3 District Data as of Jan 2025'!$2:$2,0),FALSE)+VLOOKUP($A99,'K3 District Data as of Jan 2025'!$A$3:$M$323,MATCH("Exp",'K3 District Data as of Jan 2025'!$2:$2,0),FALSE)),2)-E99</f>
        <v>-751.56999999999971</v>
      </c>
      <c r="G99" s="25">
        <f>ROUND($D99*CLS_Base*VLOOKUP($A99,'K3 District Data as of Jan 2025'!$A$3:$M$323,MATCH("Reg base",'K3 District Data as of Jan 2025'!$2:$2,0),FALSE),2)</f>
        <v>-260.87</v>
      </c>
      <c r="H99" s="25">
        <f>ROUND($D99*CLS_Inc*VLOOKUP($A99,'K3 District Data as of Jan 2025'!$A$3:$M$323,MATCH("Reg base",'K3 District Data as of Jan 2025'!$2:$2,0),FALSE),2)-G99</f>
        <v>-19.659999999999968</v>
      </c>
      <c r="I99" s="25">
        <f t="shared" si="8"/>
        <v>-1730.25</v>
      </c>
      <c r="J99" s="25">
        <f t="shared" si="9"/>
        <v>-101.07</v>
      </c>
      <c r="K99" s="25">
        <f t="shared" si="10"/>
        <v>-1584.02</v>
      </c>
      <c r="L99" s="25">
        <f t="shared" si="11"/>
        <v>-1528.16</v>
      </c>
      <c r="M99" s="25">
        <f t="shared" si="12"/>
        <v>-56.5</v>
      </c>
      <c r="N99" s="25">
        <f t="shared" si="13"/>
        <v>-3.57</v>
      </c>
      <c r="O99" s="25">
        <f>ROUND(($C99*CIS_Inc*(VLOOKUP($A99,'K3 District Data as of Jan 2025'!$A$3:$M$323,MATCH("Reg",'K3 District Data as of Jan 2025'!$2:$2,0),FALSE)+VLOOKUP($A99,'K3 District Data as of Jan 2025'!$A$3:$M$323,MATCH("Exp",'K3 District Data as of Jan 2025'!$2:$2,0),FALSE))/180)*3+(($C99*CIS_Inc*(VLOOKUP($A99,'K3 District Data as of Jan 2025'!$A$3:$M$323,MATCH("Reg",'K3 District Data as of Jan 2025'!$2:$2,0),FALSE)+VLOOKUP($A99,'K3 District Data as of Jan 2025'!$A$3:$M$323,MATCH("Exp",'K3 District Data as of Jan 2025'!$2:$2,0),FALSE))/180)*3)*CIS_Ben_Inc,2)</f>
        <v>-185.64</v>
      </c>
      <c r="P99" s="23">
        <f t="shared" si="14"/>
        <v>-14948.67</v>
      </c>
    </row>
    <row r="100" spans="1:16" x14ac:dyDescent="0.25">
      <c r="A100" t="s">
        <v>8</v>
      </c>
      <c r="B100" t="s">
        <v>305</v>
      </c>
      <c r="C100" s="33">
        <f>IF(VLOOKUP($A100,'Enroll Data as of January 2025'!$A$3:$T$322,20,FALSE)&gt;0,0,VLOOKUP($A100,'Enroll Data as of January 2025'!$A$3:$T$322,20,FALSE)*'2024-25 PSES Compliance'!$G$13)</f>
        <v>-7.2959999999999997E-2</v>
      </c>
      <c r="D100" s="33">
        <f>IF(VLOOKUP($A100,'Enroll Data as of January 2025'!$A$3:$T$322,20,FALSE)&gt;0,0,VLOOKUP($A100,'Enroll Data as of January 2025'!$A$3:$T$322,20,FALSE)*'2024-25 PSES Compliance'!$G$14)</f>
        <v>-3.0400000000000002E-3</v>
      </c>
      <c r="E100" s="25">
        <f>ROUND($C100*CIS_Base*VLOOKUP($A100,'K3 District Data as of Jan 2025'!$A$3:$M$323,MATCH("Reg base",'K3 District Data as of Jan 2025'!$2:$2,0),FALSE),2)</f>
        <v>-5306.23</v>
      </c>
      <c r="F100" s="25">
        <f>ROUND($C100*CIS_Inc*(VLOOKUP($A100,'K3 District Data as of Jan 2025'!$A$3:$M$323,MATCH("Reg",'K3 District Data as of Jan 2025'!$2:$2,0),FALSE)+VLOOKUP($A100,'K3 District Data as of Jan 2025'!$A$3:$M$323,MATCH("Exp",'K3 District Data as of Jan 2025'!$2:$2,0),FALSE)),2)-E100</f>
        <v>-399.90000000000055</v>
      </c>
      <c r="G100" s="25">
        <f>ROUND($D100*CLS_Base*VLOOKUP($A100,'K3 District Data as of Jan 2025'!$A$3:$M$323,MATCH("Reg base",'K3 District Data as of Jan 2025'!$2:$2,0),FALSE),2)</f>
        <v>-158.61000000000001</v>
      </c>
      <c r="H100" s="25">
        <f>ROUND($D100*CLS_Inc*VLOOKUP($A100,'K3 District Data as of Jan 2025'!$A$3:$M$323,MATCH("Reg base",'K3 District Data as of Jan 2025'!$2:$2,0),FALSE),2)-G100</f>
        <v>-11.949999999999989</v>
      </c>
      <c r="I100" s="25">
        <f t="shared" si="8"/>
        <v>-1051.99</v>
      </c>
      <c r="J100" s="25">
        <f t="shared" si="9"/>
        <v>-61.45</v>
      </c>
      <c r="K100" s="25">
        <f t="shared" si="10"/>
        <v>-963.08</v>
      </c>
      <c r="L100" s="25">
        <f t="shared" si="11"/>
        <v>-929.12</v>
      </c>
      <c r="M100" s="25">
        <f t="shared" si="12"/>
        <v>-34.35</v>
      </c>
      <c r="N100" s="25">
        <f t="shared" si="13"/>
        <v>-2.17</v>
      </c>
      <c r="O100" s="25">
        <f>ROUND(($C100*CIS_Inc*(VLOOKUP($A100,'K3 District Data as of Jan 2025'!$A$3:$M$323,MATCH("Reg",'K3 District Data as of Jan 2025'!$2:$2,0),FALSE)+VLOOKUP($A100,'K3 District Data as of Jan 2025'!$A$3:$M$323,MATCH("Exp",'K3 District Data as of Jan 2025'!$2:$2,0),FALSE))/180)*3+(($C100*CIS_Inc*(VLOOKUP($A100,'K3 District Data as of Jan 2025'!$A$3:$M$323,MATCH("Reg",'K3 District Data as of Jan 2025'!$2:$2,0),FALSE)+VLOOKUP($A100,'K3 District Data as of Jan 2025'!$A$3:$M$323,MATCH("Exp",'K3 District Data as of Jan 2025'!$2:$2,0),FALSE))/180)*3)*CIS_Ben_Inc,2)</f>
        <v>-111.75</v>
      </c>
      <c r="P100" s="23">
        <f t="shared" si="14"/>
        <v>-9030.6</v>
      </c>
    </row>
    <row r="101" spans="1:16" x14ac:dyDescent="0.25">
      <c r="A101" t="s">
        <v>155</v>
      </c>
      <c r="B101" t="s">
        <v>451</v>
      </c>
      <c r="C101" s="33">
        <f>IF(VLOOKUP($A101,'Enroll Data as of January 2025'!$A$3:$T$322,20,FALSE)&gt;0,0,VLOOKUP($A101,'Enroll Data as of January 2025'!$A$3:$T$322,20,FALSE)*'2024-25 PSES Compliance'!$G$13)</f>
        <v>0</v>
      </c>
      <c r="D101" s="33">
        <f>IF(VLOOKUP($A101,'Enroll Data as of January 2025'!$A$3:$T$322,20,FALSE)&gt;0,0,VLOOKUP($A101,'Enroll Data as of January 2025'!$A$3:$T$322,20,FALSE)*'2024-25 PSES Compliance'!$G$14)</f>
        <v>0</v>
      </c>
      <c r="E101" s="25">
        <f>ROUND($C101*CIS_Base*VLOOKUP($A101,'K3 District Data as of Jan 2025'!$A$3:$M$323,MATCH("Reg base",'K3 District Data as of Jan 2025'!$2:$2,0),FALSE),2)</f>
        <v>0</v>
      </c>
      <c r="F101" s="25">
        <f>ROUND($C101*CIS_Inc*(VLOOKUP($A101,'K3 District Data as of Jan 2025'!$A$3:$M$323,MATCH("Reg",'K3 District Data as of Jan 2025'!$2:$2,0),FALSE)+VLOOKUP($A101,'K3 District Data as of Jan 2025'!$A$3:$M$323,MATCH("Exp",'K3 District Data as of Jan 2025'!$2:$2,0),FALSE)),2)-E101</f>
        <v>0</v>
      </c>
      <c r="G101" s="25">
        <f>ROUND($D101*CLS_Base*VLOOKUP($A101,'K3 District Data as of Jan 2025'!$A$3:$M$323,MATCH("Reg base",'K3 District Data as of Jan 2025'!$2:$2,0),FALSE),2)</f>
        <v>0</v>
      </c>
      <c r="H101" s="25">
        <f>ROUND($D101*CLS_Inc*VLOOKUP($A101,'K3 District Data as of Jan 2025'!$A$3:$M$323,MATCH("Reg base",'K3 District Data as of Jan 2025'!$2:$2,0),FALSE),2)-G101</f>
        <v>0</v>
      </c>
      <c r="I101" s="25">
        <f t="shared" si="8"/>
        <v>0</v>
      </c>
      <c r="J101" s="25">
        <f t="shared" si="9"/>
        <v>0</v>
      </c>
      <c r="K101" s="25">
        <f t="shared" si="10"/>
        <v>0</v>
      </c>
      <c r="L101" s="25">
        <f t="shared" si="11"/>
        <v>0</v>
      </c>
      <c r="M101" s="25">
        <f t="shared" si="12"/>
        <v>0</v>
      </c>
      <c r="N101" s="25">
        <f t="shared" si="13"/>
        <v>0</v>
      </c>
      <c r="O101" s="25">
        <f>ROUND(($C101*CIS_Inc*(VLOOKUP($A101,'K3 District Data as of Jan 2025'!$A$3:$M$323,MATCH("Reg",'K3 District Data as of Jan 2025'!$2:$2,0),FALSE)+VLOOKUP($A101,'K3 District Data as of Jan 2025'!$A$3:$M$323,MATCH("Exp",'K3 District Data as of Jan 2025'!$2:$2,0),FALSE))/180)*3+(($C101*CIS_Inc*(VLOOKUP($A101,'K3 District Data as of Jan 2025'!$A$3:$M$323,MATCH("Reg",'K3 District Data as of Jan 2025'!$2:$2,0),FALSE)+VLOOKUP($A101,'K3 District Data as of Jan 2025'!$A$3:$M$323,MATCH("Exp",'K3 District Data as of Jan 2025'!$2:$2,0),FALSE))/180)*3)*CIS_Ben_Inc,2)</f>
        <v>0</v>
      </c>
      <c r="P101" s="23">
        <f t="shared" si="14"/>
        <v>0</v>
      </c>
    </row>
    <row r="102" spans="1:16" x14ac:dyDescent="0.25">
      <c r="A102" t="s">
        <v>64</v>
      </c>
      <c r="B102" t="s">
        <v>360</v>
      </c>
      <c r="C102" s="33">
        <f>IF(VLOOKUP($A102,'Enroll Data as of January 2025'!$A$3:$T$322,20,FALSE)&gt;0,0,VLOOKUP($A102,'Enroll Data as of January 2025'!$A$3:$T$322,20,FALSE)*'2024-25 PSES Compliance'!$G$13)</f>
        <v>-0.3216</v>
      </c>
      <c r="D102" s="33">
        <f>IF(VLOOKUP($A102,'Enroll Data as of January 2025'!$A$3:$T$322,20,FALSE)&gt;0,0,VLOOKUP($A102,'Enroll Data as of January 2025'!$A$3:$T$322,20,FALSE)*'2024-25 PSES Compliance'!$G$14)</f>
        <v>-1.34E-2</v>
      </c>
      <c r="E102" s="25">
        <f>ROUND($C102*CIS_Base*VLOOKUP($A102,'K3 District Data as of Jan 2025'!$A$3:$M$323,MATCH("Reg base",'K3 District Data as of Jan 2025'!$2:$2,0),FALSE),2)</f>
        <v>-23389.32</v>
      </c>
      <c r="F102" s="25">
        <f>ROUND($C102*CIS_Inc*(VLOOKUP($A102,'K3 District Data as of Jan 2025'!$A$3:$M$323,MATCH("Reg",'K3 District Data as of Jan 2025'!$2:$2,0),FALSE)+VLOOKUP($A102,'K3 District Data as of Jan 2025'!$A$3:$M$323,MATCH("Exp",'K3 District Data as of Jan 2025'!$2:$2,0),FALSE)),2)-E102</f>
        <v>-2014.2099999999991</v>
      </c>
      <c r="G102" s="25">
        <f>ROUND($D102*CLS_Base*VLOOKUP($A102,'K3 District Data as of Jan 2025'!$A$3:$M$323,MATCH("Reg base",'K3 District Data as of Jan 2025'!$2:$2,0),FALSE),2)</f>
        <v>-699.12</v>
      </c>
      <c r="H102" s="25">
        <f>ROUND($D102*CLS_Inc*VLOOKUP($A102,'K3 District Data as of Jan 2025'!$A$3:$M$323,MATCH("Reg base",'K3 District Data as of Jan 2025'!$2:$2,0),FALSE),2)-G102</f>
        <v>-52.689999999999941</v>
      </c>
      <c r="I102" s="25">
        <f t="shared" si="8"/>
        <v>-4637.0600000000004</v>
      </c>
      <c r="J102" s="25">
        <f t="shared" si="9"/>
        <v>-270.87</v>
      </c>
      <c r="K102" s="25">
        <f t="shared" si="10"/>
        <v>-4245.16</v>
      </c>
      <c r="L102" s="25">
        <f t="shared" si="11"/>
        <v>-4095.47</v>
      </c>
      <c r="M102" s="25">
        <f t="shared" si="12"/>
        <v>-151.43</v>
      </c>
      <c r="N102" s="25">
        <f t="shared" si="13"/>
        <v>-9.57</v>
      </c>
      <c r="O102" s="25">
        <f>ROUND(($C102*CIS_Inc*(VLOOKUP($A102,'K3 District Data as of Jan 2025'!$A$3:$M$323,MATCH("Reg",'K3 District Data as of Jan 2025'!$2:$2,0),FALSE)+VLOOKUP($A102,'K3 District Data as of Jan 2025'!$A$3:$M$323,MATCH("Exp",'K3 District Data as of Jan 2025'!$2:$2,0),FALSE))/180)*3+(($C102*CIS_Inc*(VLOOKUP($A102,'K3 District Data as of Jan 2025'!$A$3:$M$323,MATCH("Reg",'K3 District Data as of Jan 2025'!$2:$2,0),FALSE)+VLOOKUP($A102,'K3 District Data as of Jan 2025'!$A$3:$M$323,MATCH("Exp",'K3 District Data as of Jan 2025'!$2:$2,0),FALSE))/180)*3)*CIS_Ben_Inc,2)</f>
        <v>-497.53</v>
      </c>
      <c r="P102" s="23">
        <f t="shared" si="14"/>
        <v>-40062.429999999993</v>
      </c>
    </row>
    <row r="103" spans="1:16" x14ac:dyDescent="0.25">
      <c r="A103" t="s">
        <v>135</v>
      </c>
      <c r="B103" t="s">
        <v>431</v>
      </c>
      <c r="C103" s="33">
        <f>IF(VLOOKUP($A103,'Enroll Data as of January 2025'!$A$3:$T$322,20,FALSE)&gt;0,0,VLOOKUP($A103,'Enroll Data as of January 2025'!$A$3:$T$322,20,FALSE)*'2024-25 PSES Compliance'!$G$13)</f>
        <v>-0.93119999999999992</v>
      </c>
      <c r="D103" s="33">
        <f>IF(VLOOKUP($A103,'Enroll Data as of January 2025'!$A$3:$T$322,20,FALSE)&gt;0,0,VLOOKUP($A103,'Enroll Data as of January 2025'!$A$3:$T$322,20,FALSE)*'2024-25 PSES Compliance'!$G$14)</f>
        <v>-3.8800000000000001E-2</v>
      </c>
      <c r="E103" s="25">
        <f>ROUND($C103*CIS_Base*VLOOKUP($A103,'K3 District Data as of Jan 2025'!$A$3:$M$323,MATCH("Reg base",'K3 District Data as of Jan 2025'!$2:$2,0),FALSE),2)</f>
        <v>-67724.31</v>
      </c>
      <c r="F103" s="25">
        <f>ROUND($C103*CIS_Inc*(VLOOKUP($A103,'K3 District Data as of Jan 2025'!$A$3:$M$323,MATCH("Reg",'K3 District Data as of Jan 2025'!$2:$2,0),FALSE)+VLOOKUP($A103,'K3 District Data as of Jan 2025'!$A$3:$M$323,MATCH("Exp",'K3 District Data as of Jan 2025'!$2:$2,0),FALSE)),2)-E103</f>
        <v>-5103.9100000000035</v>
      </c>
      <c r="G103" s="25">
        <f>ROUND($D103*CLS_Base*VLOOKUP($A103,'K3 District Data as of Jan 2025'!$A$3:$M$323,MATCH("Reg base",'K3 District Data as of Jan 2025'!$2:$2,0),FALSE),2)</f>
        <v>-2024.31</v>
      </c>
      <c r="H103" s="25">
        <f>ROUND($D103*CLS_Inc*VLOOKUP($A103,'K3 District Data as of Jan 2025'!$A$3:$M$323,MATCH("Reg base",'K3 District Data as of Jan 2025'!$2:$2,0),FALSE),2)-G103</f>
        <v>-152.55999999999995</v>
      </c>
      <c r="I103" s="25">
        <f t="shared" si="8"/>
        <v>-13426.71</v>
      </c>
      <c r="J103" s="25">
        <f t="shared" si="9"/>
        <v>-784.32</v>
      </c>
      <c r="K103" s="25">
        <f t="shared" si="10"/>
        <v>-12291.96</v>
      </c>
      <c r="L103" s="25">
        <f t="shared" si="11"/>
        <v>-11858.53</v>
      </c>
      <c r="M103" s="25">
        <f t="shared" si="12"/>
        <v>-438.47</v>
      </c>
      <c r="N103" s="25">
        <f t="shared" si="13"/>
        <v>-27.7</v>
      </c>
      <c r="O103" s="25">
        <f>ROUND(($C103*CIS_Inc*(VLOOKUP($A103,'K3 District Data as of Jan 2025'!$A$3:$M$323,MATCH("Reg",'K3 District Data as of Jan 2025'!$2:$2,0),FALSE)+VLOOKUP($A103,'K3 District Data as of Jan 2025'!$A$3:$M$323,MATCH("Exp",'K3 District Data as of Jan 2025'!$2:$2,0),FALSE))/180)*3+(($C103*CIS_Inc*(VLOOKUP($A103,'K3 District Data as of Jan 2025'!$A$3:$M$323,MATCH("Reg",'K3 District Data as of Jan 2025'!$2:$2,0),FALSE)+VLOOKUP($A103,'K3 District Data as of Jan 2025'!$A$3:$M$323,MATCH("Exp",'K3 District Data as of Jan 2025'!$2:$2,0),FALSE))/180)*3)*CIS_Ben_Inc,2)</f>
        <v>-1426.34</v>
      </c>
      <c r="P103" s="23">
        <f t="shared" si="14"/>
        <v>-115259.11999999998</v>
      </c>
    </row>
    <row r="104" spans="1:16" x14ac:dyDescent="0.25">
      <c r="A104" t="s">
        <v>57</v>
      </c>
      <c r="B104" t="s">
        <v>353</v>
      </c>
      <c r="C104" s="33">
        <f>IF(VLOOKUP($A104,'Enroll Data as of January 2025'!$A$3:$T$322,20,FALSE)&gt;0,0,VLOOKUP($A104,'Enroll Data as of January 2025'!$A$3:$T$322,20,FALSE)*'2024-25 PSES Compliance'!$G$13)</f>
        <v>-0.11423999999999999</v>
      </c>
      <c r="D104" s="33">
        <f>IF(VLOOKUP($A104,'Enroll Data as of January 2025'!$A$3:$T$322,20,FALSE)&gt;0,0,VLOOKUP($A104,'Enroll Data as of January 2025'!$A$3:$T$322,20,FALSE)*'2024-25 PSES Compliance'!$G$14)</f>
        <v>-4.7599999999999995E-3</v>
      </c>
      <c r="E104" s="25">
        <f>ROUND($C104*CIS_Base*VLOOKUP($A104,'K3 District Data as of Jan 2025'!$A$3:$M$323,MATCH("Reg base",'K3 District Data as of Jan 2025'!$2:$2,0),FALSE),2)</f>
        <v>-8308.4500000000007</v>
      </c>
      <c r="F104" s="25">
        <f>ROUND($C104*CIS_Inc*(VLOOKUP($A104,'K3 District Data as of Jan 2025'!$A$3:$M$323,MATCH("Reg",'K3 District Data as of Jan 2025'!$2:$2,0),FALSE)+VLOOKUP($A104,'K3 District Data as of Jan 2025'!$A$3:$M$323,MATCH("Exp",'K3 District Data as of Jan 2025'!$2:$2,0),FALSE)),2)-E104</f>
        <v>-715.48999999999978</v>
      </c>
      <c r="G104" s="25">
        <f>ROUND($D104*CLS_Base*VLOOKUP($A104,'K3 District Data as of Jan 2025'!$A$3:$M$323,MATCH("Reg base",'K3 District Data as of Jan 2025'!$2:$2,0),FALSE),2)</f>
        <v>-248.34</v>
      </c>
      <c r="H104" s="25">
        <f>ROUND($D104*CLS_Inc*VLOOKUP($A104,'K3 District Data as of Jan 2025'!$A$3:$M$323,MATCH("Reg base",'K3 District Data as of Jan 2025'!$2:$2,0),FALSE),2)-G104</f>
        <v>-18.72</v>
      </c>
      <c r="I104" s="25">
        <f t="shared" si="8"/>
        <v>-1647.19</v>
      </c>
      <c r="J104" s="25">
        <f t="shared" si="9"/>
        <v>-96.22</v>
      </c>
      <c r="K104" s="25">
        <f t="shared" si="10"/>
        <v>-1507.98</v>
      </c>
      <c r="L104" s="25">
        <f t="shared" si="11"/>
        <v>-1454.81</v>
      </c>
      <c r="M104" s="25">
        <f t="shared" si="12"/>
        <v>-53.79</v>
      </c>
      <c r="N104" s="25">
        <f t="shared" si="13"/>
        <v>-3.4</v>
      </c>
      <c r="O104" s="25">
        <f>ROUND(($C104*CIS_Inc*(VLOOKUP($A104,'K3 District Data as of Jan 2025'!$A$3:$M$323,MATCH("Reg",'K3 District Data as of Jan 2025'!$2:$2,0),FALSE)+VLOOKUP($A104,'K3 District Data as of Jan 2025'!$A$3:$M$323,MATCH("Exp",'K3 District Data as of Jan 2025'!$2:$2,0),FALSE))/180)*3+(($C104*CIS_Inc*(VLOOKUP($A104,'K3 District Data as of Jan 2025'!$A$3:$M$323,MATCH("Reg",'K3 District Data as of Jan 2025'!$2:$2,0),FALSE)+VLOOKUP($A104,'K3 District Data as of Jan 2025'!$A$3:$M$323,MATCH("Exp",'K3 District Data as of Jan 2025'!$2:$2,0),FALSE))/180)*3)*CIS_Ben_Inc,2)</f>
        <v>-176.73</v>
      </c>
      <c r="P104" s="23">
        <f t="shared" si="14"/>
        <v>-14231.119999999999</v>
      </c>
    </row>
    <row r="105" spans="1:16" x14ac:dyDescent="0.25">
      <c r="A105" t="s">
        <v>35</v>
      </c>
      <c r="B105" t="s">
        <v>331</v>
      </c>
      <c r="C105" s="33">
        <f>IF(VLOOKUP($A105,'Enroll Data as of January 2025'!$A$3:$T$322,20,FALSE)&gt;0,0,VLOOKUP($A105,'Enroll Data as of January 2025'!$A$3:$T$322,20,FALSE)*'2024-25 PSES Compliance'!$G$13)</f>
        <v>0</v>
      </c>
      <c r="D105" s="33">
        <f>IF(VLOOKUP($A105,'Enroll Data as of January 2025'!$A$3:$T$322,20,FALSE)&gt;0,0,VLOOKUP($A105,'Enroll Data as of January 2025'!$A$3:$T$322,20,FALSE)*'2024-25 PSES Compliance'!$G$14)</f>
        <v>0</v>
      </c>
      <c r="E105" s="25">
        <f>ROUND($C105*CIS_Base*VLOOKUP($A105,'K3 District Data as of Jan 2025'!$A$3:$M$323,MATCH("Reg base",'K3 District Data as of Jan 2025'!$2:$2,0),FALSE),2)</f>
        <v>0</v>
      </c>
      <c r="F105" s="25">
        <f>ROUND($C105*CIS_Inc*(VLOOKUP($A105,'K3 District Data as of Jan 2025'!$A$3:$M$323,MATCH("Reg",'K3 District Data as of Jan 2025'!$2:$2,0),FALSE)+VLOOKUP($A105,'K3 District Data as of Jan 2025'!$A$3:$M$323,MATCH("Exp",'K3 District Data as of Jan 2025'!$2:$2,0),FALSE)),2)-E105</f>
        <v>0</v>
      </c>
      <c r="G105" s="25">
        <f>ROUND($D105*CLS_Base*VLOOKUP($A105,'K3 District Data as of Jan 2025'!$A$3:$M$323,MATCH("Reg base",'K3 District Data as of Jan 2025'!$2:$2,0),FALSE),2)</f>
        <v>0</v>
      </c>
      <c r="H105" s="25">
        <f>ROUND($D105*CLS_Inc*VLOOKUP($A105,'K3 District Data as of Jan 2025'!$A$3:$M$323,MATCH("Reg base",'K3 District Data as of Jan 2025'!$2:$2,0),FALSE),2)-G105</f>
        <v>0</v>
      </c>
      <c r="I105" s="25">
        <f t="shared" si="8"/>
        <v>0</v>
      </c>
      <c r="J105" s="25">
        <f t="shared" si="9"/>
        <v>0</v>
      </c>
      <c r="K105" s="25">
        <f t="shared" si="10"/>
        <v>0</v>
      </c>
      <c r="L105" s="25">
        <f t="shared" si="11"/>
        <v>0</v>
      </c>
      <c r="M105" s="25">
        <f t="shared" si="12"/>
        <v>0</v>
      </c>
      <c r="N105" s="25">
        <f t="shared" si="13"/>
        <v>0</v>
      </c>
      <c r="O105" s="25">
        <f>ROUND(($C105*CIS_Inc*(VLOOKUP($A105,'K3 District Data as of Jan 2025'!$A$3:$M$323,MATCH("Reg",'K3 District Data as of Jan 2025'!$2:$2,0),FALSE)+VLOOKUP($A105,'K3 District Data as of Jan 2025'!$A$3:$M$323,MATCH("Exp",'K3 District Data as of Jan 2025'!$2:$2,0),FALSE))/180)*3+(($C105*CIS_Inc*(VLOOKUP($A105,'K3 District Data as of Jan 2025'!$A$3:$M$323,MATCH("Reg",'K3 District Data as of Jan 2025'!$2:$2,0),FALSE)+VLOOKUP($A105,'K3 District Data as of Jan 2025'!$A$3:$M$323,MATCH("Exp",'K3 District Data as of Jan 2025'!$2:$2,0),FALSE))/180)*3)*CIS_Ben_Inc,2)</f>
        <v>0</v>
      </c>
      <c r="P105" s="23">
        <f t="shared" si="14"/>
        <v>0</v>
      </c>
    </row>
    <row r="106" spans="1:16" x14ac:dyDescent="0.25">
      <c r="A106" t="s">
        <v>283</v>
      </c>
      <c r="B106" t="s">
        <v>579</v>
      </c>
      <c r="C106" s="33">
        <f>IF(VLOOKUP($A106,'Enroll Data as of January 2025'!$A$3:$T$322,20,FALSE)&gt;0,0,VLOOKUP($A106,'Enroll Data as of January 2025'!$A$3:$T$322,20,FALSE)*'2024-25 PSES Compliance'!$G$13)</f>
        <v>-0.12768000000000002</v>
      </c>
      <c r="D106" s="33">
        <f>IF(VLOOKUP($A106,'Enroll Data as of January 2025'!$A$3:$T$322,20,FALSE)&gt;0,0,VLOOKUP($A106,'Enroll Data as of January 2025'!$A$3:$T$322,20,FALSE)*'2024-25 PSES Compliance'!$G$14)</f>
        <v>-5.3200000000000001E-3</v>
      </c>
      <c r="E106" s="25">
        <f>ROUND($C106*CIS_Base*VLOOKUP($A106,'K3 District Data as of Jan 2025'!$A$3:$M$323,MATCH("Reg base",'K3 District Data as of Jan 2025'!$2:$2,0),FALSE),2)</f>
        <v>-9285.91</v>
      </c>
      <c r="F106" s="25">
        <f>ROUND($C106*CIS_Inc*(VLOOKUP($A106,'K3 District Data as of Jan 2025'!$A$3:$M$323,MATCH("Reg",'K3 District Data as of Jan 2025'!$2:$2,0),FALSE)+VLOOKUP($A106,'K3 District Data as of Jan 2025'!$A$3:$M$323,MATCH("Exp",'K3 District Data as of Jan 2025'!$2:$2,0),FALSE)),2)-E106</f>
        <v>-1099.2399999999998</v>
      </c>
      <c r="G106" s="25">
        <f>ROUND($D106*CLS_Base*VLOOKUP($A106,'K3 District Data as of Jan 2025'!$A$3:$M$323,MATCH("Reg base",'K3 District Data as of Jan 2025'!$2:$2,0),FALSE),2)</f>
        <v>-277.56</v>
      </c>
      <c r="H106" s="25">
        <f>ROUND($D106*CLS_Inc*VLOOKUP($A106,'K3 District Data as of Jan 2025'!$A$3:$M$323,MATCH("Reg base",'K3 District Data as of Jan 2025'!$2:$2,0),FALSE),2)-G106</f>
        <v>-20.920000000000016</v>
      </c>
      <c r="I106" s="25">
        <f t="shared" si="8"/>
        <v>-1840.98</v>
      </c>
      <c r="J106" s="25">
        <f t="shared" si="9"/>
        <v>-107.54</v>
      </c>
      <c r="K106" s="25">
        <f t="shared" si="10"/>
        <v>-1685.39</v>
      </c>
      <c r="L106" s="25">
        <f t="shared" si="11"/>
        <v>-1625.96</v>
      </c>
      <c r="M106" s="25">
        <f t="shared" si="12"/>
        <v>-60.12</v>
      </c>
      <c r="N106" s="25">
        <f t="shared" si="13"/>
        <v>-3.8</v>
      </c>
      <c r="O106" s="25">
        <f>ROUND(($C106*CIS_Inc*(VLOOKUP($A106,'K3 District Data as of Jan 2025'!$A$3:$M$323,MATCH("Reg",'K3 District Data as of Jan 2025'!$2:$2,0),FALSE)+VLOOKUP($A106,'K3 District Data as of Jan 2025'!$A$3:$M$323,MATCH("Exp",'K3 District Data as of Jan 2025'!$2:$2,0),FALSE))/180)*3+(($C106*CIS_Inc*(VLOOKUP($A106,'K3 District Data as of Jan 2025'!$A$3:$M$323,MATCH("Reg",'K3 District Data as of Jan 2025'!$2:$2,0),FALSE)+VLOOKUP($A106,'K3 District Data as of Jan 2025'!$A$3:$M$323,MATCH("Exp",'K3 District Data as of Jan 2025'!$2:$2,0),FALSE))/180)*3)*CIS_Ben_Inc,2)</f>
        <v>-203.39</v>
      </c>
      <c r="P106" s="23">
        <f t="shared" si="14"/>
        <v>-16210.81</v>
      </c>
    </row>
    <row r="107" spans="1:16" x14ac:dyDescent="0.25">
      <c r="A107" t="s">
        <v>277</v>
      </c>
      <c r="B107" t="s">
        <v>573</v>
      </c>
      <c r="C107" s="33">
        <f>IF(VLOOKUP($A107,'Enroll Data as of January 2025'!$A$3:$T$322,20,FALSE)&gt;0,0,VLOOKUP($A107,'Enroll Data as of January 2025'!$A$3:$T$322,20,FALSE)*'2024-25 PSES Compliance'!$G$13)</f>
        <v>-0.16224</v>
      </c>
      <c r="D107" s="33">
        <f>IF(VLOOKUP($A107,'Enroll Data as of January 2025'!$A$3:$T$322,20,FALSE)&gt;0,0,VLOOKUP($A107,'Enroll Data as of January 2025'!$A$3:$T$322,20,FALSE)*'2024-25 PSES Compliance'!$G$14)</f>
        <v>-6.7600000000000004E-3</v>
      </c>
      <c r="E107" s="25">
        <f>ROUND($C107*CIS_Base*VLOOKUP($A107,'K3 District Data as of Jan 2025'!$A$3:$M$323,MATCH("Reg base",'K3 District Data as of Jan 2025'!$2:$2,0),FALSE),2)</f>
        <v>-11799.39</v>
      </c>
      <c r="F107" s="25">
        <f>ROUND($C107*CIS_Inc*(VLOOKUP($A107,'K3 District Data as of Jan 2025'!$A$3:$M$323,MATCH("Reg",'K3 District Data as of Jan 2025'!$2:$2,0),FALSE)+VLOOKUP($A107,'K3 District Data as of Jan 2025'!$A$3:$M$323,MATCH("Exp",'K3 District Data as of Jan 2025'!$2:$2,0),FALSE)),2)-E107</f>
        <v>-889.23999999999978</v>
      </c>
      <c r="G107" s="25">
        <f>ROUND($D107*CLS_Base*VLOOKUP($A107,'K3 District Data as of Jan 2025'!$A$3:$M$323,MATCH("Reg base",'K3 District Data as of Jan 2025'!$2:$2,0),FALSE),2)</f>
        <v>-352.69</v>
      </c>
      <c r="H107" s="25">
        <f>ROUND($D107*CLS_Inc*VLOOKUP($A107,'K3 District Data as of Jan 2025'!$A$3:$M$323,MATCH("Reg base",'K3 District Data as of Jan 2025'!$2:$2,0),FALSE),2)-G107</f>
        <v>-26.579999999999984</v>
      </c>
      <c r="I107" s="25">
        <f t="shared" si="8"/>
        <v>-2339.29</v>
      </c>
      <c r="J107" s="25">
        <f t="shared" si="9"/>
        <v>-136.65</v>
      </c>
      <c r="K107" s="25">
        <f t="shared" si="10"/>
        <v>-2141.59</v>
      </c>
      <c r="L107" s="25">
        <f t="shared" si="11"/>
        <v>-2066.0700000000002</v>
      </c>
      <c r="M107" s="25">
        <f t="shared" si="12"/>
        <v>-76.39</v>
      </c>
      <c r="N107" s="25">
        <f t="shared" si="13"/>
        <v>-4.83</v>
      </c>
      <c r="O107" s="25">
        <f>ROUND(($C107*CIS_Inc*(VLOOKUP($A107,'K3 District Data as of Jan 2025'!$A$3:$M$323,MATCH("Reg",'K3 District Data as of Jan 2025'!$2:$2,0),FALSE)+VLOOKUP($A107,'K3 District Data as of Jan 2025'!$A$3:$M$323,MATCH("Exp",'K3 District Data as of Jan 2025'!$2:$2,0),FALSE))/180)*3+(($C107*CIS_Inc*(VLOOKUP($A107,'K3 District Data as of Jan 2025'!$A$3:$M$323,MATCH("Reg",'K3 District Data as of Jan 2025'!$2:$2,0),FALSE)+VLOOKUP($A107,'K3 District Data as of Jan 2025'!$A$3:$M$323,MATCH("Exp",'K3 District Data as of Jan 2025'!$2:$2,0),FALSE))/180)*3)*CIS_Ben_Inc,2)</f>
        <v>-248.51</v>
      </c>
      <c r="P107" s="23">
        <f t="shared" si="14"/>
        <v>-20081.23</v>
      </c>
    </row>
    <row r="108" spans="1:16" x14ac:dyDescent="0.25">
      <c r="A108" t="s">
        <v>17</v>
      </c>
      <c r="B108" t="s">
        <v>314</v>
      </c>
      <c r="C108" s="33">
        <f>IF(VLOOKUP($A108,'Enroll Data as of January 2025'!$A$3:$T$322,20,FALSE)&gt;0,0,VLOOKUP($A108,'Enroll Data as of January 2025'!$A$3:$T$322,20,FALSE)*'2024-25 PSES Compliance'!$G$13)</f>
        <v>-0.35615999999999998</v>
      </c>
      <c r="D108" s="33">
        <f>IF(VLOOKUP($A108,'Enroll Data as of January 2025'!$A$3:$T$322,20,FALSE)&gt;0,0,VLOOKUP($A108,'Enroll Data as of January 2025'!$A$3:$T$322,20,FALSE)*'2024-25 PSES Compliance'!$G$14)</f>
        <v>-1.4840000000000001E-2</v>
      </c>
      <c r="E108" s="25">
        <f>ROUND($C108*CIS_Base*VLOOKUP($A108,'K3 District Data as of Jan 2025'!$A$3:$M$323,MATCH("Reg base",'K3 District Data as of Jan 2025'!$2:$2,0),FALSE),2)</f>
        <v>-25902.799999999999</v>
      </c>
      <c r="F108" s="25">
        <f>ROUND($C108*CIS_Inc*(VLOOKUP($A108,'K3 District Data as of Jan 2025'!$A$3:$M$323,MATCH("Reg",'K3 District Data as of Jan 2025'!$2:$2,0),FALSE)+VLOOKUP($A108,'K3 District Data as of Jan 2025'!$A$3:$M$323,MATCH("Exp",'K3 District Data as of Jan 2025'!$2:$2,0),FALSE)),2)-E108</f>
        <v>-1952.119999999999</v>
      </c>
      <c r="G108" s="25">
        <f>ROUND($D108*CLS_Base*VLOOKUP($A108,'K3 District Data as of Jan 2025'!$A$3:$M$323,MATCH("Reg base",'K3 District Data as of Jan 2025'!$2:$2,0),FALSE),2)</f>
        <v>-774.25</v>
      </c>
      <c r="H108" s="25">
        <f>ROUND($D108*CLS_Inc*VLOOKUP($A108,'K3 District Data as of Jan 2025'!$A$3:$M$323,MATCH("Reg base",'K3 District Data as of Jan 2025'!$2:$2,0),FALSE),2)-G108</f>
        <v>-58.350000000000023</v>
      </c>
      <c r="I108" s="25">
        <f t="shared" si="8"/>
        <v>-5135.37</v>
      </c>
      <c r="J108" s="25">
        <f t="shared" si="9"/>
        <v>-299.98</v>
      </c>
      <c r="K108" s="25">
        <f t="shared" si="10"/>
        <v>-4701.3599999999997</v>
      </c>
      <c r="L108" s="25">
        <f t="shared" si="11"/>
        <v>-4535.58</v>
      </c>
      <c r="M108" s="25">
        <f t="shared" si="12"/>
        <v>-167.7</v>
      </c>
      <c r="N108" s="25">
        <f t="shared" si="13"/>
        <v>-10.6</v>
      </c>
      <c r="O108" s="25">
        <f>ROUND(($C108*CIS_Inc*(VLOOKUP($A108,'K3 District Data as of Jan 2025'!$A$3:$M$323,MATCH("Reg",'K3 District Data as of Jan 2025'!$2:$2,0),FALSE)+VLOOKUP($A108,'K3 District Data as of Jan 2025'!$A$3:$M$323,MATCH("Exp",'K3 District Data as of Jan 2025'!$2:$2,0),FALSE))/180)*3+(($C108*CIS_Inc*(VLOOKUP($A108,'K3 District Data as of Jan 2025'!$A$3:$M$323,MATCH("Reg",'K3 District Data as of Jan 2025'!$2:$2,0),FALSE)+VLOOKUP($A108,'K3 District Data as of Jan 2025'!$A$3:$M$323,MATCH("Exp",'K3 District Data as of Jan 2025'!$2:$2,0),FALSE))/180)*3)*CIS_Ben_Inc,2)</f>
        <v>-545.54</v>
      </c>
      <c r="P108" s="23">
        <f t="shared" si="14"/>
        <v>-44083.65</v>
      </c>
    </row>
    <row r="109" spans="1:16" x14ac:dyDescent="0.25">
      <c r="A109" t="s">
        <v>626</v>
      </c>
      <c r="B109" t="s">
        <v>627</v>
      </c>
      <c r="C109" s="33">
        <f>IF(VLOOKUP($A109,'Enroll Data as of January 2025'!$A$3:$T$322,20,FALSE)&gt;0,0,VLOOKUP($A109,'Enroll Data as of January 2025'!$A$3:$T$322,20,FALSE)*'2024-25 PSES Compliance'!$G$13)</f>
        <v>0</v>
      </c>
      <c r="D109" s="33">
        <f>IF(VLOOKUP($A109,'Enroll Data as of January 2025'!$A$3:$T$322,20,FALSE)&gt;0,0,VLOOKUP($A109,'Enroll Data as of January 2025'!$A$3:$T$322,20,FALSE)*'2024-25 PSES Compliance'!$G$14)</f>
        <v>0</v>
      </c>
      <c r="E109" s="25">
        <f>ROUND($C109*CIS_Base*VLOOKUP($A109,'K3 District Data as of Jan 2025'!$A$3:$M$323,MATCH("Reg base",'K3 District Data as of Jan 2025'!$2:$2,0),FALSE),2)</f>
        <v>0</v>
      </c>
      <c r="F109" s="25">
        <f>ROUND($C109*CIS_Inc*(VLOOKUP($A109,'K3 District Data as of Jan 2025'!$A$3:$M$323,MATCH("Reg",'K3 District Data as of Jan 2025'!$2:$2,0),FALSE)+VLOOKUP($A109,'K3 District Data as of Jan 2025'!$A$3:$M$323,MATCH("Exp",'K3 District Data as of Jan 2025'!$2:$2,0),FALSE)),2)-E109</f>
        <v>0</v>
      </c>
      <c r="G109" s="25">
        <f>ROUND($D109*CLS_Base*VLOOKUP($A109,'K3 District Data as of Jan 2025'!$A$3:$M$323,MATCH("Reg base",'K3 District Data as of Jan 2025'!$2:$2,0),FALSE),2)</f>
        <v>0</v>
      </c>
      <c r="H109" s="25">
        <f>ROUND($D109*CLS_Inc*VLOOKUP($A109,'K3 District Data as of Jan 2025'!$A$3:$M$323,MATCH("Reg base",'K3 District Data as of Jan 2025'!$2:$2,0),FALSE),2)-G109</f>
        <v>0</v>
      </c>
      <c r="I109" s="25">
        <f t="shared" si="8"/>
        <v>0</v>
      </c>
      <c r="J109" s="25">
        <f t="shared" si="9"/>
        <v>0</v>
      </c>
      <c r="K109" s="25">
        <f t="shared" si="10"/>
        <v>0</v>
      </c>
      <c r="L109" s="25">
        <f t="shared" si="11"/>
        <v>0</v>
      </c>
      <c r="M109" s="25">
        <f t="shared" si="12"/>
        <v>0</v>
      </c>
      <c r="N109" s="25">
        <f t="shared" si="13"/>
        <v>0</v>
      </c>
      <c r="O109" s="25">
        <f>ROUND(($C109*CIS_Inc*(VLOOKUP($A109,'K3 District Data as of Jan 2025'!$A$3:$M$323,MATCH("Reg",'K3 District Data as of Jan 2025'!$2:$2,0),FALSE)+VLOOKUP($A109,'K3 District Data as of Jan 2025'!$A$3:$M$323,MATCH("Exp",'K3 District Data as of Jan 2025'!$2:$2,0),FALSE))/180)*3+(($C109*CIS_Inc*(VLOOKUP($A109,'K3 District Data as of Jan 2025'!$A$3:$M$323,MATCH("Reg",'K3 District Data as of Jan 2025'!$2:$2,0),FALSE)+VLOOKUP($A109,'K3 District Data as of Jan 2025'!$A$3:$M$323,MATCH("Exp",'K3 District Data as of Jan 2025'!$2:$2,0),FALSE))/180)*3)*CIS_Ben_Inc,2)</f>
        <v>0</v>
      </c>
      <c r="P109" s="23">
        <f t="shared" si="14"/>
        <v>0</v>
      </c>
    </row>
    <row r="110" spans="1:16" x14ac:dyDescent="0.25">
      <c r="A110" t="s">
        <v>124</v>
      </c>
      <c r="B110" t="s">
        <v>420</v>
      </c>
      <c r="C110" s="33">
        <f>IF(VLOOKUP($A110,'Enroll Data as of January 2025'!$A$3:$T$322,20,FALSE)&gt;0,0,VLOOKUP($A110,'Enroll Data as of January 2025'!$A$3:$T$322,20,FALSE)*'2024-25 PSES Compliance'!$G$13)</f>
        <v>-1.0943999999999998</v>
      </c>
      <c r="D110" s="33">
        <f>IF(VLOOKUP($A110,'Enroll Data as of January 2025'!$A$3:$T$322,20,FALSE)&gt;0,0,VLOOKUP($A110,'Enroll Data as of January 2025'!$A$3:$T$322,20,FALSE)*'2024-25 PSES Compliance'!$G$14)</f>
        <v>-4.5599999999999995E-2</v>
      </c>
      <c r="E110" s="25">
        <f>ROUND($C110*CIS_Base*VLOOKUP($A110,'K3 District Data as of Jan 2025'!$A$3:$M$323,MATCH("Reg base",'K3 District Data as of Jan 2025'!$2:$2,0),FALSE),2)</f>
        <v>-84369.13</v>
      </c>
      <c r="F110" s="25">
        <f>ROUND($C110*CIS_Inc*(VLOOKUP($A110,'K3 District Data as of Jan 2025'!$A$3:$M$323,MATCH("Reg",'K3 District Data as of Jan 2025'!$2:$2,0),FALSE)+VLOOKUP($A110,'K3 District Data as of Jan 2025'!$A$3:$M$323,MATCH("Exp",'K3 District Data as of Jan 2025'!$2:$2,0),FALSE)),2)-E110</f>
        <v>-6358.3199999999924</v>
      </c>
      <c r="G110" s="25">
        <f>ROUND($D110*CLS_Base*VLOOKUP($A110,'K3 District Data as of Jan 2025'!$A$3:$M$323,MATCH("Reg base",'K3 District Data as of Jan 2025'!$2:$2,0),FALSE),2)</f>
        <v>-2521.83</v>
      </c>
      <c r="H110" s="25">
        <f>ROUND($D110*CLS_Inc*VLOOKUP($A110,'K3 District Data as of Jan 2025'!$A$3:$M$323,MATCH("Reg base",'K3 District Data as of Jan 2025'!$2:$2,0),FALSE),2)-G110</f>
        <v>-190.05999999999995</v>
      </c>
      <c r="I110" s="25">
        <f t="shared" si="8"/>
        <v>-15779.85</v>
      </c>
      <c r="J110" s="25">
        <f t="shared" si="9"/>
        <v>-921.78</v>
      </c>
      <c r="K110" s="25">
        <f t="shared" si="10"/>
        <v>-15313</v>
      </c>
      <c r="L110" s="25">
        <f t="shared" si="11"/>
        <v>-14773.03</v>
      </c>
      <c r="M110" s="25">
        <f t="shared" si="12"/>
        <v>-546.23</v>
      </c>
      <c r="N110" s="25">
        <f t="shared" si="13"/>
        <v>-34.51</v>
      </c>
      <c r="O110" s="25">
        <f>ROUND(($C110*CIS_Inc*(VLOOKUP($A110,'K3 District Data as of Jan 2025'!$A$3:$M$323,MATCH("Reg",'K3 District Data as of Jan 2025'!$2:$2,0),FALSE)+VLOOKUP($A110,'K3 District Data as of Jan 2025'!$A$3:$M$323,MATCH("Exp",'K3 District Data as of Jan 2025'!$2:$2,0),FALSE))/180)*3+(($C110*CIS_Inc*(VLOOKUP($A110,'K3 District Data as of Jan 2025'!$A$3:$M$323,MATCH("Reg",'K3 District Data as of Jan 2025'!$2:$2,0),FALSE)+VLOOKUP($A110,'K3 District Data as of Jan 2025'!$A$3:$M$323,MATCH("Exp",'K3 District Data as of Jan 2025'!$2:$2,0),FALSE))/180)*3)*CIS_Ben_Inc,2)</f>
        <v>-1776.9</v>
      </c>
      <c r="P110" s="23">
        <f t="shared" si="14"/>
        <v>-142584.64000000001</v>
      </c>
    </row>
    <row r="111" spans="1:16" x14ac:dyDescent="0.25">
      <c r="A111" t="s">
        <v>75</v>
      </c>
      <c r="B111" t="s">
        <v>371</v>
      </c>
      <c r="C111" s="33">
        <f>IF(VLOOKUP($A111,'Enroll Data as of January 2025'!$A$3:$T$322,20,FALSE)&gt;0,0,VLOOKUP($A111,'Enroll Data as of January 2025'!$A$3:$T$322,20,FALSE)*'2024-25 PSES Compliance'!$G$13)</f>
        <v>0</v>
      </c>
      <c r="D111" s="33">
        <f>IF(VLOOKUP($A111,'Enroll Data as of January 2025'!$A$3:$T$322,20,FALSE)&gt;0,0,VLOOKUP($A111,'Enroll Data as of January 2025'!$A$3:$T$322,20,FALSE)*'2024-25 PSES Compliance'!$G$14)</f>
        <v>0</v>
      </c>
      <c r="E111" s="25">
        <f>ROUND($C111*CIS_Base*VLOOKUP($A111,'K3 District Data as of Jan 2025'!$A$3:$M$323,MATCH("Reg base",'K3 District Data as of Jan 2025'!$2:$2,0),FALSE),2)</f>
        <v>0</v>
      </c>
      <c r="F111" s="25">
        <f>ROUND($C111*CIS_Inc*(VLOOKUP($A111,'K3 District Data as of Jan 2025'!$A$3:$M$323,MATCH("Reg",'K3 District Data as of Jan 2025'!$2:$2,0),FALSE)+VLOOKUP($A111,'K3 District Data as of Jan 2025'!$A$3:$M$323,MATCH("Exp",'K3 District Data as of Jan 2025'!$2:$2,0),FALSE)),2)-E111</f>
        <v>0</v>
      </c>
      <c r="G111" s="25">
        <f>ROUND($D111*CLS_Base*VLOOKUP($A111,'K3 District Data as of Jan 2025'!$A$3:$M$323,MATCH("Reg base",'K3 District Data as of Jan 2025'!$2:$2,0),FALSE),2)</f>
        <v>0</v>
      </c>
      <c r="H111" s="25">
        <f>ROUND($D111*CLS_Inc*VLOOKUP($A111,'K3 District Data as of Jan 2025'!$A$3:$M$323,MATCH("Reg base",'K3 District Data as of Jan 2025'!$2:$2,0),FALSE),2)-G111</f>
        <v>0</v>
      </c>
      <c r="I111" s="25">
        <f t="shared" si="8"/>
        <v>0</v>
      </c>
      <c r="J111" s="25">
        <f t="shared" si="9"/>
        <v>0</v>
      </c>
      <c r="K111" s="25">
        <f t="shared" si="10"/>
        <v>0</v>
      </c>
      <c r="L111" s="25">
        <f t="shared" si="11"/>
        <v>0</v>
      </c>
      <c r="M111" s="25">
        <f t="shared" si="12"/>
        <v>0</v>
      </c>
      <c r="N111" s="25">
        <f t="shared" si="13"/>
        <v>0</v>
      </c>
      <c r="O111" s="25">
        <f>ROUND(($C111*CIS_Inc*(VLOOKUP($A111,'K3 District Data as of Jan 2025'!$A$3:$M$323,MATCH("Reg",'K3 District Data as of Jan 2025'!$2:$2,0),FALSE)+VLOOKUP($A111,'K3 District Data as of Jan 2025'!$A$3:$M$323,MATCH("Exp",'K3 District Data as of Jan 2025'!$2:$2,0),FALSE))/180)*3+(($C111*CIS_Inc*(VLOOKUP($A111,'K3 District Data as of Jan 2025'!$A$3:$M$323,MATCH("Reg",'K3 District Data as of Jan 2025'!$2:$2,0),FALSE)+VLOOKUP($A111,'K3 District Data as of Jan 2025'!$A$3:$M$323,MATCH("Exp",'K3 District Data as of Jan 2025'!$2:$2,0),FALSE))/180)*3)*CIS_Ben_Inc,2)</f>
        <v>0</v>
      </c>
      <c r="P111" s="23">
        <f t="shared" si="14"/>
        <v>0</v>
      </c>
    </row>
    <row r="112" spans="1:16" x14ac:dyDescent="0.25">
      <c r="A112" t="s">
        <v>142</v>
      </c>
      <c r="B112" t="s">
        <v>438</v>
      </c>
      <c r="C112" s="33">
        <f>IF(VLOOKUP($A112,'Enroll Data as of January 2025'!$A$3:$T$322,20,FALSE)&gt;0,0,VLOOKUP($A112,'Enroll Data as of January 2025'!$A$3:$T$322,20,FALSE)*'2024-25 PSES Compliance'!$G$13)</f>
        <v>0</v>
      </c>
      <c r="D112" s="33">
        <f>IF(VLOOKUP($A112,'Enroll Data as of January 2025'!$A$3:$T$322,20,FALSE)&gt;0,0,VLOOKUP($A112,'Enroll Data as of January 2025'!$A$3:$T$322,20,FALSE)*'2024-25 PSES Compliance'!$G$14)</f>
        <v>0</v>
      </c>
      <c r="E112" s="25">
        <f>ROUND($C112*CIS_Base*VLOOKUP($A112,'K3 District Data as of Jan 2025'!$A$3:$M$323,MATCH("Reg base",'K3 District Data as of Jan 2025'!$2:$2,0),FALSE),2)</f>
        <v>0</v>
      </c>
      <c r="F112" s="25">
        <f>ROUND($C112*CIS_Inc*(VLOOKUP($A112,'K3 District Data as of Jan 2025'!$A$3:$M$323,MATCH("Reg",'K3 District Data as of Jan 2025'!$2:$2,0),FALSE)+VLOOKUP($A112,'K3 District Data as of Jan 2025'!$A$3:$M$323,MATCH("Exp",'K3 District Data as of Jan 2025'!$2:$2,0),FALSE)),2)-E112</f>
        <v>0</v>
      </c>
      <c r="G112" s="25">
        <f>ROUND($D112*CLS_Base*VLOOKUP($A112,'K3 District Data as of Jan 2025'!$A$3:$M$323,MATCH("Reg base",'K3 District Data as of Jan 2025'!$2:$2,0),FALSE),2)</f>
        <v>0</v>
      </c>
      <c r="H112" s="25">
        <f>ROUND($D112*CLS_Inc*VLOOKUP($A112,'K3 District Data as of Jan 2025'!$A$3:$M$323,MATCH("Reg base",'K3 District Data as of Jan 2025'!$2:$2,0),FALSE),2)-G112</f>
        <v>0</v>
      </c>
      <c r="I112" s="25">
        <f t="shared" si="8"/>
        <v>0</v>
      </c>
      <c r="J112" s="25">
        <f t="shared" si="9"/>
        <v>0</v>
      </c>
      <c r="K112" s="25">
        <f t="shared" si="10"/>
        <v>0</v>
      </c>
      <c r="L112" s="25">
        <f t="shared" si="11"/>
        <v>0</v>
      </c>
      <c r="M112" s="25">
        <f t="shared" si="12"/>
        <v>0</v>
      </c>
      <c r="N112" s="25">
        <f t="shared" si="13"/>
        <v>0</v>
      </c>
      <c r="O112" s="25">
        <f>ROUND(($C112*CIS_Inc*(VLOOKUP($A112,'K3 District Data as of Jan 2025'!$A$3:$M$323,MATCH("Reg",'K3 District Data as of Jan 2025'!$2:$2,0),FALSE)+VLOOKUP($A112,'K3 District Data as of Jan 2025'!$A$3:$M$323,MATCH("Exp",'K3 District Data as of Jan 2025'!$2:$2,0),FALSE))/180)*3+(($C112*CIS_Inc*(VLOOKUP($A112,'K3 District Data as of Jan 2025'!$A$3:$M$323,MATCH("Reg",'K3 District Data as of Jan 2025'!$2:$2,0),FALSE)+VLOOKUP($A112,'K3 District Data as of Jan 2025'!$A$3:$M$323,MATCH("Exp",'K3 District Data as of Jan 2025'!$2:$2,0),FALSE))/180)*3)*CIS_Ben_Inc,2)</f>
        <v>0</v>
      </c>
      <c r="P112" s="23">
        <f t="shared" si="14"/>
        <v>0</v>
      </c>
    </row>
    <row r="113" spans="1:16" x14ac:dyDescent="0.25">
      <c r="A113" t="s">
        <v>153</v>
      </c>
      <c r="B113" t="s">
        <v>449</v>
      </c>
      <c r="C113" s="33">
        <f>IF(VLOOKUP($A113,'Enroll Data as of January 2025'!$A$3:$T$322,20,FALSE)&gt;0,0,VLOOKUP($A113,'Enroll Data as of January 2025'!$A$3:$T$322,20,FALSE)*'2024-25 PSES Compliance'!$G$13)</f>
        <v>0</v>
      </c>
      <c r="D113" s="33">
        <f>IF(VLOOKUP($A113,'Enroll Data as of January 2025'!$A$3:$T$322,20,FALSE)&gt;0,0,VLOOKUP($A113,'Enroll Data as of January 2025'!$A$3:$T$322,20,FALSE)*'2024-25 PSES Compliance'!$G$14)</f>
        <v>0</v>
      </c>
      <c r="E113" s="25">
        <f>ROUND($C113*CIS_Base*VLOOKUP($A113,'K3 District Data as of Jan 2025'!$A$3:$M$323,MATCH("Reg base",'K3 District Data as of Jan 2025'!$2:$2,0),FALSE),2)</f>
        <v>0</v>
      </c>
      <c r="F113" s="25">
        <f>ROUND($C113*CIS_Inc*(VLOOKUP($A113,'K3 District Data as of Jan 2025'!$A$3:$M$323,MATCH("Reg",'K3 District Data as of Jan 2025'!$2:$2,0),FALSE)+VLOOKUP($A113,'K3 District Data as of Jan 2025'!$A$3:$M$323,MATCH("Exp",'K3 District Data as of Jan 2025'!$2:$2,0),FALSE)),2)-E113</f>
        <v>0</v>
      </c>
      <c r="G113" s="25">
        <f>ROUND($D113*CLS_Base*VLOOKUP($A113,'K3 District Data as of Jan 2025'!$A$3:$M$323,MATCH("Reg base",'K3 District Data as of Jan 2025'!$2:$2,0),FALSE),2)</f>
        <v>0</v>
      </c>
      <c r="H113" s="25">
        <f>ROUND($D113*CLS_Inc*VLOOKUP($A113,'K3 District Data as of Jan 2025'!$A$3:$M$323,MATCH("Reg base",'K3 District Data as of Jan 2025'!$2:$2,0),FALSE),2)-G113</f>
        <v>0</v>
      </c>
      <c r="I113" s="25">
        <f t="shared" si="8"/>
        <v>0</v>
      </c>
      <c r="J113" s="25">
        <f t="shared" si="9"/>
        <v>0</v>
      </c>
      <c r="K113" s="25">
        <f t="shared" si="10"/>
        <v>0</v>
      </c>
      <c r="L113" s="25">
        <f t="shared" si="11"/>
        <v>0</v>
      </c>
      <c r="M113" s="25">
        <f t="shared" si="12"/>
        <v>0</v>
      </c>
      <c r="N113" s="25">
        <f t="shared" si="13"/>
        <v>0</v>
      </c>
      <c r="O113" s="25">
        <f>ROUND(($C113*CIS_Inc*(VLOOKUP($A113,'K3 District Data as of Jan 2025'!$A$3:$M$323,MATCH("Reg",'K3 District Data as of Jan 2025'!$2:$2,0),FALSE)+VLOOKUP($A113,'K3 District Data as of Jan 2025'!$A$3:$M$323,MATCH("Exp",'K3 District Data as of Jan 2025'!$2:$2,0),FALSE))/180)*3+(($C113*CIS_Inc*(VLOOKUP($A113,'K3 District Data as of Jan 2025'!$A$3:$M$323,MATCH("Reg",'K3 District Data as of Jan 2025'!$2:$2,0),FALSE)+VLOOKUP($A113,'K3 District Data as of Jan 2025'!$A$3:$M$323,MATCH("Exp",'K3 District Data as of Jan 2025'!$2:$2,0),FALSE))/180)*3)*CIS_Ben_Inc,2)</f>
        <v>0</v>
      </c>
      <c r="P113" s="23">
        <f t="shared" si="14"/>
        <v>0</v>
      </c>
    </row>
    <row r="114" spans="1:16" x14ac:dyDescent="0.25">
      <c r="A114" t="s">
        <v>205</v>
      </c>
      <c r="B114" t="s">
        <v>500</v>
      </c>
      <c r="C114" s="33">
        <f>IF(VLOOKUP($A114,'Enroll Data as of January 2025'!$A$3:$T$322,20,FALSE)&gt;0,0,VLOOKUP($A114,'Enroll Data as of January 2025'!$A$3:$T$322,20,FALSE)*'2024-25 PSES Compliance'!$G$13)</f>
        <v>0</v>
      </c>
      <c r="D114" s="33">
        <f>IF(VLOOKUP($A114,'Enroll Data as of January 2025'!$A$3:$T$322,20,FALSE)&gt;0,0,VLOOKUP($A114,'Enroll Data as of January 2025'!$A$3:$T$322,20,FALSE)*'2024-25 PSES Compliance'!$G$14)</f>
        <v>0</v>
      </c>
      <c r="E114" s="25">
        <f>ROUND($C114*CIS_Base*VLOOKUP($A114,'K3 District Data as of Jan 2025'!$A$3:$M$323,MATCH("Reg base",'K3 District Data as of Jan 2025'!$2:$2,0),FALSE),2)</f>
        <v>0</v>
      </c>
      <c r="F114" s="25">
        <f>ROUND($C114*CIS_Inc*(VLOOKUP($A114,'K3 District Data as of Jan 2025'!$A$3:$M$323,MATCH("Reg",'K3 District Data as of Jan 2025'!$2:$2,0),FALSE)+VLOOKUP($A114,'K3 District Data as of Jan 2025'!$A$3:$M$323,MATCH("Exp",'K3 District Data as of Jan 2025'!$2:$2,0),FALSE)),2)-E114</f>
        <v>0</v>
      </c>
      <c r="G114" s="25">
        <f>ROUND($D114*CLS_Base*VLOOKUP($A114,'K3 District Data as of Jan 2025'!$A$3:$M$323,MATCH("Reg base",'K3 District Data as of Jan 2025'!$2:$2,0),FALSE),2)</f>
        <v>0</v>
      </c>
      <c r="H114" s="25">
        <f>ROUND($D114*CLS_Inc*VLOOKUP($A114,'K3 District Data as of Jan 2025'!$A$3:$M$323,MATCH("Reg base",'K3 District Data as of Jan 2025'!$2:$2,0),FALSE),2)-G114</f>
        <v>0</v>
      </c>
      <c r="I114" s="25">
        <f t="shared" si="8"/>
        <v>0</v>
      </c>
      <c r="J114" s="25">
        <f t="shared" si="9"/>
        <v>0</v>
      </c>
      <c r="K114" s="25">
        <f t="shared" si="10"/>
        <v>0</v>
      </c>
      <c r="L114" s="25">
        <f t="shared" si="11"/>
        <v>0</v>
      </c>
      <c r="M114" s="25">
        <f t="shared" si="12"/>
        <v>0</v>
      </c>
      <c r="N114" s="25">
        <f t="shared" si="13"/>
        <v>0</v>
      </c>
      <c r="O114" s="25">
        <f>ROUND(($C114*CIS_Inc*(VLOOKUP($A114,'K3 District Data as of Jan 2025'!$A$3:$M$323,MATCH("Reg",'K3 District Data as of Jan 2025'!$2:$2,0),FALSE)+VLOOKUP($A114,'K3 District Data as of Jan 2025'!$A$3:$M$323,MATCH("Exp",'K3 District Data as of Jan 2025'!$2:$2,0),FALSE))/180)*3+(($C114*CIS_Inc*(VLOOKUP($A114,'K3 District Data as of Jan 2025'!$A$3:$M$323,MATCH("Reg",'K3 District Data as of Jan 2025'!$2:$2,0),FALSE)+VLOOKUP($A114,'K3 District Data as of Jan 2025'!$A$3:$M$323,MATCH("Exp",'K3 District Data as of Jan 2025'!$2:$2,0),FALSE))/180)*3)*CIS_Ben_Inc,2)</f>
        <v>0</v>
      </c>
      <c r="P114" s="23">
        <f t="shared" si="14"/>
        <v>0</v>
      </c>
    </row>
    <row r="115" spans="1:16" x14ac:dyDescent="0.25">
      <c r="A115" t="s">
        <v>217</v>
      </c>
      <c r="B115" t="s">
        <v>512</v>
      </c>
      <c r="C115" s="33">
        <f>IF(VLOOKUP($A115,'Enroll Data as of January 2025'!$A$3:$T$322,20,FALSE)&gt;0,0,VLOOKUP($A115,'Enroll Data as of January 2025'!$A$3:$T$322,20,FALSE)*'2024-25 PSES Compliance'!$G$13)</f>
        <v>-4.8988799999999992</v>
      </c>
      <c r="D115" s="33">
        <f>IF(VLOOKUP($A115,'Enroll Data as of January 2025'!$A$3:$T$322,20,FALSE)&gt;0,0,VLOOKUP($A115,'Enroll Data as of January 2025'!$A$3:$T$322,20,FALSE)*'2024-25 PSES Compliance'!$G$14)</f>
        <v>-0.20412</v>
      </c>
      <c r="E115" s="25">
        <f>ROUND($C115*CIS_Base*VLOOKUP($A115,'K3 District Data as of Jan 2025'!$A$3:$M$323,MATCH("Reg base",'K3 District Data as of Jan 2025'!$2:$2,0),FALSE),2)</f>
        <v>-399040.03</v>
      </c>
      <c r="F115" s="25">
        <f>ROUND($C115*CIS_Inc*(VLOOKUP($A115,'K3 District Data as of Jan 2025'!$A$3:$M$323,MATCH("Reg",'K3 District Data as of Jan 2025'!$2:$2,0),FALSE)+VLOOKUP($A115,'K3 District Data as of Jan 2025'!$A$3:$M$323,MATCH("Exp",'K3 District Data as of Jan 2025'!$2:$2,0),FALSE)),2)-E115</f>
        <v>-45398.319999999949</v>
      </c>
      <c r="G115" s="25">
        <f>ROUND($D115*CLS_Base*VLOOKUP($A115,'K3 District Data as of Jan 2025'!$A$3:$M$323,MATCH("Reg base",'K3 District Data as of Jan 2025'!$2:$2,0),FALSE),2)</f>
        <v>-11927.5</v>
      </c>
      <c r="H115" s="25">
        <f>ROUND($D115*CLS_Inc*VLOOKUP($A115,'K3 District Data as of Jan 2025'!$A$3:$M$323,MATCH("Reg base",'K3 District Data as of Jan 2025'!$2:$2,0),FALSE),2)-G115</f>
        <v>-898.90999999999985</v>
      </c>
      <c r="I115" s="25">
        <f t="shared" si="8"/>
        <v>-70635.58</v>
      </c>
      <c r="J115" s="25">
        <f t="shared" si="9"/>
        <v>-4126.18</v>
      </c>
      <c r="K115" s="25">
        <f t="shared" si="10"/>
        <v>-72425.77</v>
      </c>
      <c r="L115" s="25">
        <f t="shared" si="11"/>
        <v>-69871.91</v>
      </c>
      <c r="M115" s="25">
        <f t="shared" si="12"/>
        <v>-2583.5</v>
      </c>
      <c r="N115" s="25">
        <f t="shared" si="13"/>
        <v>-163.24</v>
      </c>
      <c r="O115" s="25">
        <f>ROUND(($C115*CIS_Inc*(VLOOKUP($A115,'K3 District Data as of Jan 2025'!$A$3:$M$323,MATCH("Reg",'K3 District Data as of Jan 2025'!$2:$2,0),FALSE)+VLOOKUP($A115,'K3 District Data as of Jan 2025'!$A$3:$M$323,MATCH("Exp",'K3 District Data as of Jan 2025'!$2:$2,0),FALSE))/180)*3+(($C115*CIS_Inc*(VLOOKUP($A115,'K3 District Data as of Jan 2025'!$A$3:$M$323,MATCH("Reg",'K3 District Data as of Jan 2025'!$2:$2,0),FALSE)+VLOOKUP($A115,'K3 District Data as of Jan 2025'!$A$3:$M$323,MATCH("Exp",'K3 District Data as of Jan 2025'!$2:$2,0),FALSE))/180)*3)*CIS_Ben_Inc,2)</f>
        <v>-8704.33</v>
      </c>
      <c r="P115" s="23">
        <f t="shared" si="14"/>
        <v>-685775.27</v>
      </c>
    </row>
    <row r="116" spans="1:16" x14ac:dyDescent="0.25">
      <c r="A116" t="s">
        <v>13</v>
      </c>
      <c r="B116" t="s">
        <v>310</v>
      </c>
      <c r="C116" s="33">
        <f>IF(VLOOKUP($A116,'Enroll Data as of January 2025'!$A$3:$T$322,20,FALSE)&gt;0,0,VLOOKUP($A116,'Enroll Data as of January 2025'!$A$3:$T$322,20,FALSE)*'2024-25 PSES Compliance'!$G$13)</f>
        <v>-0.25440000000000002</v>
      </c>
      <c r="D116" s="33">
        <f>IF(VLOOKUP($A116,'Enroll Data as of January 2025'!$A$3:$T$322,20,FALSE)&gt;0,0,VLOOKUP($A116,'Enroll Data as of January 2025'!$A$3:$T$322,20,FALSE)*'2024-25 PSES Compliance'!$G$14)</f>
        <v>-1.06E-2</v>
      </c>
      <c r="E116" s="25">
        <f>ROUND($C116*CIS_Base*VLOOKUP($A116,'K3 District Data as of Jan 2025'!$A$3:$M$323,MATCH("Reg base",'K3 District Data as of Jan 2025'!$2:$2,0),FALSE),2)</f>
        <v>-18502</v>
      </c>
      <c r="F116" s="25">
        <f>ROUND($C116*CIS_Inc*(VLOOKUP($A116,'K3 District Data as of Jan 2025'!$A$3:$M$323,MATCH("Reg",'K3 District Data as of Jan 2025'!$2:$2,0),FALSE)+VLOOKUP($A116,'K3 District Data as of Jan 2025'!$A$3:$M$323,MATCH("Exp",'K3 District Data as of Jan 2025'!$2:$2,0),FALSE)),2)-E116</f>
        <v>-1394.369999999999</v>
      </c>
      <c r="G116" s="25">
        <f>ROUND($D116*CLS_Base*VLOOKUP($A116,'K3 District Data as of Jan 2025'!$A$3:$M$323,MATCH("Reg base",'K3 District Data as of Jan 2025'!$2:$2,0),FALSE),2)</f>
        <v>-553.03</v>
      </c>
      <c r="H116" s="25">
        <f>ROUND($D116*CLS_Inc*VLOOKUP($A116,'K3 District Data as of Jan 2025'!$A$3:$M$323,MATCH("Reg base",'K3 District Data as of Jan 2025'!$2:$2,0),FALSE),2)-G116</f>
        <v>-41.680000000000064</v>
      </c>
      <c r="I116" s="25">
        <f t="shared" si="8"/>
        <v>-3668.12</v>
      </c>
      <c r="J116" s="25">
        <f t="shared" si="9"/>
        <v>-214.27</v>
      </c>
      <c r="K116" s="25">
        <f t="shared" si="10"/>
        <v>-3358.11</v>
      </c>
      <c r="L116" s="25">
        <f t="shared" si="11"/>
        <v>-3239.7</v>
      </c>
      <c r="M116" s="25">
        <f t="shared" si="12"/>
        <v>-119.79</v>
      </c>
      <c r="N116" s="25">
        <f t="shared" si="13"/>
        <v>-7.57</v>
      </c>
      <c r="O116" s="25">
        <f>ROUND(($C116*CIS_Inc*(VLOOKUP($A116,'K3 District Data as of Jan 2025'!$A$3:$M$323,MATCH("Reg",'K3 District Data as of Jan 2025'!$2:$2,0),FALSE)+VLOOKUP($A116,'K3 District Data as of Jan 2025'!$A$3:$M$323,MATCH("Exp",'K3 District Data as of Jan 2025'!$2:$2,0),FALSE))/180)*3+(($C116*CIS_Inc*(VLOOKUP($A116,'K3 District Data as of Jan 2025'!$A$3:$M$323,MATCH("Reg",'K3 District Data as of Jan 2025'!$2:$2,0),FALSE)+VLOOKUP($A116,'K3 District Data as of Jan 2025'!$A$3:$M$323,MATCH("Exp",'K3 District Data as of Jan 2025'!$2:$2,0),FALSE))/180)*3)*CIS_Ben_Inc,2)</f>
        <v>-389.67</v>
      </c>
      <c r="P116" s="23">
        <f t="shared" si="14"/>
        <v>-31488.309999999998</v>
      </c>
    </row>
    <row r="117" spans="1:16" x14ac:dyDescent="0.25">
      <c r="A117" t="s">
        <v>107</v>
      </c>
      <c r="B117" t="s">
        <v>403</v>
      </c>
      <c r="C117" s="33">
        <f>IF(VLOOKUP($A117,'Enroll Data as of January 2025'!$A$3:$T$322,20,FALSE)&gt;0,0,VLOOKUP($A117,'Enroll Data as of January 2025'!$A$3:$T$322,20,FALSE)*'2024-25 PSES Compliance'!$G$13)</f>
        <v>0</v>
      </c>
      <c r="D117" s="33">
        <f>IF(VLOOKUP($A117,'Enroll Data as of January 2025'!$A$3:$T$322,20,FALSE)&gt;0,0,VLOOKUP($A117,'Enroll Data as of January 2025'!$A$3:$T$322,20,FALSE)*'2024-25 PSES Compliance'!$G$14)</f>
        <v>0</v>
      </c>
      <c r="E117" s="25">
        <f>ROUND($C117*CIS_Base*VLOOKUP($A117,'K3 District Data as of Jan 2025'!$A$3:$M$323,MATCH("Reg base",'K3 District Data as of Jan 2025'!$2:$2,0),FALSE),2)</f>
        <v>0</v>
      </c>
      <c r="F117" s="25">
        <f>ROUND($C117*CIS_Inc*(VLOOKUP($A117,'K3 District Data as of Jan 2025'!$A$3:$M$323,MATCH("Reg",'K3 District Data as of Jan 2025'!$2:$2,0),FALSE)+VLOOKUP($A117,'K3 District Data as of Jan 2025'!$A$3:$M$323,MATCH("Exp",'K3 District Data as of Jan 2025'!$2:$2,0),FALSE)),2)-E117</f>
        <v>0</v>
      </c>
      <c r="G117" s="25">
        <f>ROUND($D117*CLS_Base*VLOOKUP($A117,'K3 District Data as of Jan 2025'!$A$3:$M$323,MATCH("Reg base",'K3 District Data as of Jan 2025'!$2:$2,0),FALSE),2)</f>
        <v>0</v>
      </c>
      <c r="H117" s="25">
        <f>ROUND($D117*CLS_Inc*VLOOKUP($A117,'K3 District Data as of Jan 2025'!$A$3:$M$323,MATCH("Reg base",'K3 District Data as of Jan 2025'!$2:$2,0),FALSE),2)-G117</f>
        <v>0</v>
      </c>
      <c r="I117" s="25">
        <f t="shared" si="8"/>
        <v>0</v>
      </c>
      <c r="J117" s="25">
        <f t="shared" si="9"/>
        <v>0</v>
      </c>
      <c r="K117" s="25">
        <f t="shared" si="10"/>
        <v>0</v>
      </c>
      <c r="L117" s="25">
        <f t="shared" si="11"/>
        <v>0</v>
      </c>
      <c r="M117" s="25">
        <f t="shared" si="12"/>
        <v>0</v>
      </c>
      <c r="N117" s="25">
        <f t="shared" si="13"/>
        <v>0</v>
      </c>
      <c r="O117" s="25">
        <f>ROUND(($C117*CIS_Inc*(VLOOKUP($A117,'K3 District Data as of Jan 2025'!$A$3:$M$323,MATCH("Reg",'K3 District Data as of Jan 2025'!$2:$2,0),FALSE)+VLOOKUP($A117,'K3 District Data as of Jan 2025'!$A$3:$M$323,MATCH("Exp",'K3 District Data as of Jan 2025'!$2:$2,0),FALSE))/180)*3+(($C117*CIS_Inc*(VLOOKUP($A117,'K3 District Data as of Jan 2025'!$A$3:$M$323,MATCH("Reg",'K3 District Data as of Jan 2025'!$2:$2,0),FALSE)+VLOOKUP($A117,'K3 District Data as of Jan 2025'!$A$3:$M$323,MATCH("Exp",'K3 District Data as of Jan 2025'!$2:$2,0),FALSE))/180)*3)*CIS_Ben_Inc,2)</f>
        <v>0</v>
      </c>
      <c r="P117" s="23">
        <f t="shared" si="14"/>
        <v>0</v>
      </c>
    </row>
    <row r="118" spans="1:16" x14ac:dyDescent="0.25">
      <c r="A118" t="s">
        <v>117</v>
      </c>
      <c r="B118" t="s">
        <v>413</v>
      </c>
      <c r="C118" s="33">
        <f>IF(VLOOKUP($A118,'Enroll Data as of January 2025'!$A$3:$T$322,20,FALSE)&gt;0,0,VLOOKUP($A118,'Enroll Data as of January 2025'!$A$3:$T$322,20,FALSE)*'2024-25 PSES Compliance'!$G$13)</f>
        <v>0</v>
      </c>
      <c r="D118" s="33">
        <f>IF(VLOOKUP($A118,'Enroll Data as of January 2025'!$A$3:$T$322,20,FALSE)&gt;0,0,VLOOKUP($A118,'Enroll Data as of January 2025'!$A$3:$T$322,20,FALSE)*'2024-25 PSES Compliance'!$G$14)</f>
        <v>0</v>
      </c>
      <c r="E118" s="25">
        <f>ROUND($C118*CIS_Base*VLOOKUP($A118,'K3 District Data as of Jan 2025'!$A$3:$M$323,MATCH("Reg base",'K3 District Data as of Jan 2025'!$2:$2,0),FALSE),2)</f>
        <v>0</v>
      </c>
      <c r="F118" s="25">
        <f>ROUND($C118*CIS_Inc*(VLOOKUP($A118,'K3 District Data as of Jan 2025'!$A$3:$M$323,MATCH("Reg",'K3 District Data as of Jan 2025'!$2:$2,0),FALSE)+VLOOKUP($A118,'K3 District Data as of Jan 2025'!$A$3:$M$323,MATCH("Exp",'K3 District Data as of Jan 2025'!$2:$2,0),FALSE)),2)-E118</f>
        <v>0</v>
      </c>
      <c r="G118" s="25">
        <f>ROUND($D118*CLS_Base*VLOOKUP($A118,'K3 District Data as of Jan 2025'!$A$3:$M$323,MATCH("Reg base",'K3 District Data as of Jan 2025'!$2:$2,0),FALSE),2)</f>
        <v>0</v>
      </c>
      <c r="H118" s="25">
        <f>ROUND($D118*CLS_Inc*VLOOKUP($A118,'K3 District Data as of Jan 2025'!$A$3:$M$323,MATCH("Reg base",'K3 District Data as of Jan 2025'!$2:$2,0),FALSE),2)-G118</f>
        <v>0</v>
      </c>
      <c r="I118" s="25">
        <f t="shared" si="8"/>
        <v>0</v>
      </c>
      <c r="J118" s="25">
        <f t="shared" si="9"/>
        <v>0</v>
      </c>
      <c r="K118" s="25">
        <f t="shared" si="10"/>
        <v>0</v>
      </c>
      <c r="L118" s="25">
        <f t="shared" si="11"/>
        <v>0</v>
      </c>
      <c r="M118" s="25">
        <f t="shared" si="12"/>
        <v>0</v>
      </c>
      <c r="N118" s="25">
        <f t="shared" si="13"/>
        <v>0</v>
      </c>
      <c r="O118" s="25">
        <f>ROUND(($C118*CIS_Inc*(VLOOKUP($A118,'K3 District Data as of Jan 2025'!$A$3:$M$323,MATCH("Reg",'K3 District Data as of Jan 2025'!$2:$2,0),FALSE)+VLOOKUP($A118,'K3 District Data as of Jan 2025'!$A$3:$M$323,MATCH("Exp",'K3 District Data as of Jan 2025'!$2:$2,0),FALSE))/180)*3+(($C118*CIS_Inc*(VLOOKUP($A118,'K3 District Data as of Jan 2025'!$A$3:$M$323,MATCH("Reg",'K3 District Data as of Jan 2025'!$2:$2,0),FALSE)+VLOOKUP($A118,'K3 District Data as of Jan 2025'!$A$3:$M$323,MATCH("Exp",'K3 District Data as of Jan 2025'!$2:$2,0),FALSE))/180)*3)*CIS_Ben_Inc,2)</f>
        <v>0</v>
      </c>
      <c r="P118" s="23">
        <f t="shared" si="14"/>
        <v>0</v>
      </c>
    </row>
    <row r="119" spans="1:16" x14ac:dyDescent="0.25">
      <c r="A119" t="s">
        <v>39</v>
      </c>
      <c r="B119" t="s">
        <v>335</v>
      </c>
      <c r="C119" s="33">
        <f>IF(VLOOKUP($A119,'Enroll Data as of January 2025'!$A$3:$T$322,20,FALSE)&gt;0,0,VLOOKUP($A119,'Enroll Data as of January 2025'!$A$3:$T$322,20,FALSE)*'2024-25 PSES Compliance'!$G$13)</f>
        <v>0</v>
      </c>
      <c r="D119" s="33">
        <f>IF(VLOOKUP($A119,'Enroll Data as of January 2025'!$A$3:$T$322,20,FALSE)&gt;0,0,VLOOKUP($A119,'Enroll Data as of January 2025'!$A$3:$T$322,20,FALSE)*'2024-25 PSES Compliance'!$G$14)</f>
        <v>0</v>
      </c>
      <c r="E119" s="25">
        <f>ROUND($C119*CIS_Base*VLOOKUP($A119,'K3 District Data as of Jan 2025'!$A$3:$M$323,MATCH("Reg base",'K3 District Data as of Jan 2025'!$2:$2,0),FALSE),2)</f>
        <v>0</v>
      </c>
      <c r="F119" s="25">
        <f>ROUND($C119*CIS_Inc*(VLOOKUP($A119,'K3 District Data as of Jan 2025'!$A$3:$M$323,MATCH("Reg",'K3 District Data as of Jan 2025'!$2:$2,0),FALSE)+VLOOKUP($A119,'K3 District Data as of Jan 2025'!$A$3:$M$323,MATCH("Exp",'K3 District Data as of Jan 2025'!$2:$2,0),FALSE)),2)-E119</f>
        <v>0</v>
      </c>
      <c r="G119" s="25">
        <f>ROUND($D119*CLS_Base*VLOOKUP($A119,'K3 District Data as of Jan 2025'!$A$3:$M$323,MATCH("Reg base",'K3 District Data as of Jan 2025'!$2:$2,0),FALSE),2)</f>
        <v>0</v>
      </c>
      <c r="H119" s="25">
        <f>ROUND($D119*CLS_Inc*VLOOKUP($A119,'K3 District Data as of Jan 2025'!$A$3:$M$323,MATCH("Reg base",'K3 District Data as of Jan 2025'!$2:$2,0),FALSE),2)-G119</f>
        <v>0</v>
      </c>
      <c r="I119" s="25">
        <f t="shared" si="8"/>
        <v>0</v>
      </c>
      <c r="J119" s="25">
        <f t="shared" si="9"/>
        <v>0</v>
      </c>
      <c r="K119" s="25">
        <f t="shared" si="10"/>
        <v>0</v>
      </c>
      <c r="L119" s="25">
        <f t="shared" si="11"/>
        <v>0</v>
      </c>
      <c r="M119" s="25">
        <f t="shared" si="12"/>
        <v>0</v>
      </c>
      <c r="N119" s="25">
        <f t="shared" si="13"/>
        <v>0</v>
      </c>
      <c r="O119" s="25">
        <f>ROUND(($C119*CIS_Inc*(VLOOKUP($A119,'K3 District Data as of Jan 2025'!$A$3:$M$323,MATCH("Reg",'K3 District Data as of Jan 2025'!$2:$2,0),FALSE)+VLOOKUP($A119,'K3 District Data as of Jan 2025'!$A$3:$M$323,MATCH("Exp",'K3 District Data as of Jan 2025'!$2:$2,0),FALSE))/180)*3+(($C119*CIS_Inc*(VLOOKUP($A119,'K3 District Data as of Jan 2025'!$A$3:$M$323,MATCH("Reg",'K3 District Data as of Jan 2025'!$2:$2,0),FALSE)+VLOOKUP($A119,'K3 District Data as of Jan 2025'!$A$3:$M$323,MATCH("Exp",'K3 District Data as of Jan 2025'!$2:$2,0),FALSE))/180)*3)*CIS_Ben_Inc,2)</f>
        <v>0</v>
      </c>
      <c r="P119" s="23">
        <f t="shared" si="14"/>
        <v>0</v>
      </c>
    </row>
    <row r="120" spans="1:16" x14ac:dyDescent="0.25">
      <c r="A120" t="s">
        <v>104</v>
      </c>
      <c r="B120" t="s">
        <v>400</v>
      </c>
      <c r="C120" s="33">
        <f>IF(VLOOKUP($A120,'Enroll Data as of January 2025'!$A$3:$T$322,20,FALSE)&gt;0,0,VLOOKUP($A120,'Enroll Data as of January 2025'!$A$3:$T$322,20,FALSE)*'2024-25 PSES Compliance'!$G$13)</f>
        <v>0</v>
      </c>
      <c r="D120" s="33">
        <f>IF(VLOOKUP($A120,'Enroll Data as of January 2025'!$A$3:$T$322,20,FALSE)&gt;0,0,VLOOKUP($A120,'Enroll Data as of January 2025'!$A$3:$T$322,20,FALSE)*'2024-25 PSES Compliance'!$G$14)</f>
        <v>0</v>
      </c>
      <c r="E120" s="25">
        <f>ROUND($C120*CIS_Base*VLOOKUP($A120,'K3 District Data as of Jan 2025'!$A$3:$M$323,MATCH("Reg base",'K3 District Data as of Jan 2025'!$2:$2,0),FALSE),2)</f>
        <v>0</v>
      </c>
      <c r="F120" s="25">
        <f>ROUND($C120*CIS_Inc*(VLOOKUP($A120,'K3 District Data as of Jan 2025'!$A$3:$M$323,MATCH("Reg",'K3 District Data as of Jan 2025'!$2:$2,0),FALSE)+VLOOKUP($A120,'K3 District Data as of Jan 2025'!$A$3:$M$323,MATCH("Exp",'K3 District Data as of Jan 2025'!$2:$2,0),FALSE)),2)-E120</f>
        <v>0</v>
      </c>
      <c r="G120" s="25">
        <f>ROUND($D120*CLS_Base*VLOOKUP($A120,'K3 District Data as of Jan 2025'!$A$3:$M$323,MATCH("Reg base",'K3 District Data as of Jan 2025'!$2:$2,0),FALSE),2)</f>
        <v>0</v>
      </c>
      <c r="H120" s="25">
        <f>ROUND($D120*CLS_Inc*VLOOKUP($A120,'K3 District Data as of Jan 2025'!$A$3:$M$323,MATCH("Reg base",'K3 District Data as of Jan 2025'!$2:$2,0),FALSE),2)-G120</f>
        <v>0</v>
      </c>
      <c r="I120" s="25">
        <f t="shared" si="8"/>
        <v>0</v>
      </c>
      <c r="J120" s="25">
        <f t="shared" si="9"/>
        <v>0</v>
      </c>
      <c r="K120" s="25">
        <f t="shared" si="10"/>
        <v>0</v>
      </c>
      <c r="L120" s="25">
        <f t="shared" si="11"/>
        <v>0</v>
      </c>
      <c r="M120" s="25">
        <f t="shared" si="12"/>
        <v>0</v>
      </c>
      <c r="N120" s="25">
        <f t="shared" si="13"/>
        <v>0</v>
      </c>
      <c r="O120" s="25">
        <f>ROUND(($C120*CIS_Inc*(VLOOKUP($A120,'K3 District Data as of Jan 2025'!$A$3:$M$323,MATCH("Reg",'K3 District Data as of Jan 2025'!$2:$2,0),FALSE)+VLOOKUP($A120,'K3 District Data as of Jan 2025'!$A$3:$M$323,MATCH("Exp",'K3 District Data as of Jan 2025'!$2:$2,0),FALSE))/180)*3+(($C120*CIS_Inc*(VLOOKUP($A120,'K3 District Data as of Jan 2025'!$A$3:$M$323,MATCH("Reg",'K3 District Data as of Jan 2025'!$2:$2,0),FALSE)+VLOOKUP($A120,'K3 District Data as of Jan 2025'!$A$3:$M$323,MATCH("Exp",'K3 District Data as of Jan 2025'!$2:$2,0),FALSE))/180)*3)*CIS_Ben_Inc,2)</f>
        <v>0</v>
      </c>
      <c r="P120" s="23">
        <f t="shared" si="14"/>
        <v>0</v>
      </c>
    </row>
    <row r="121" spans="1:16" x14ac:dyDescent="0.25">
      <c r="A121" t="s">
        <v>268</v>
      </c>
      <c r="B121" t="s">
        <v>564</v>
      </c>
      <c r="C121" s="33">
        <f>IF(VLOOKUP($A121,'Enroll Data as of January 2025'!$A$3:$T$322,20,FALSE)&gt;0,0,VLOOKUP($A121,'Enroll Data as of January 2025'!$A$3:$T$322,20,FALSE)*'2024-25 PSES Compliance'!$G$13)</f>
        <v>0</v>
      </c>
      <c r="D121" s="33">
        <f>IF(VLOOKUP($A121,'Enroll Data as of January 2025'!$A$3:$T$322,20,FALSE)&gt;0,0,VLOOKUP($A121,'Enroll Data as of January 2025'!$A$3:$T$322,20,FALSE)*'2024-25 PSES Compliance'!$G$14)</f>
        <v>0</v>
      </c>
      <c r="E121" s="25">
        <f>ROUND($C121*CIS_Base*VLOOKUP($A121,'K3 District Data as of Jan 2025'!$A$3:$M$323,MATCH("Reg base",'K3 District Data as of Jan 2025'!$2:$2,0),FALSE),2)</f>
        <v>0</v>
      </c>
      <c r="F121" s="25">
        <f>ROUND($C121*CIS_Inc*(VLOOKUP($A121,'K3 District Data as of Jan 2025'!$A$3:$M$323,MATCH("Reg",'K3 District Data as of Jan 2025'!$2:$2,0),FALSE)+VLOOKUP($A121,'K3 District Data as of Jan 2025'!$A$3:$M$323,MATCH("Exp",'K3 District Data as of Jan 2025'!$2:$2,0),FALSE)),2)-E121</f>
        <v>0</v>
      </c>
      <c r="G121" s="25">
        <f>ROUND($D121*CLS_Base*VLOOKUP($A121,'K3 District Data as of Jan 2025'!$A$3:$M$323,MATCH("Reg base",'K3 District Data as of Jan 2025'!$2:$2,0),FALSE),2)</f>
        <v>0</v>
      </c>
      <c r="H121" s="25">
        <f>ROUND($D121*CLS_Inc*VLOOKUP($A121,'K3 District Data as of Jan 2025'!$A$3:$M$323,MATCH("Reg base",'K3 District Data as of Jan 2025'!$2:$2,0),FALSE),2)-G121</f>
        <v>0</v>
      </c>
      <c r="I121" s="25">
        <f t="shared" si="8"/>
        <v>0</v>
      </c>
      <c r="J121" s="25">
        <f t="shared" si="9"/>
        <v>0</v>
      </c>
      <c r="K121" s="25">
        <f t="shared" si="10"/>
        <v>0</v>
      </c>
      <c r="L121" s="25">
        <f t="shared" si="11"/>
        <v>0</v>
      </c>
      <c r="M121" s="25">
        <f t="shared" si="12"/>
        <v>0</v>
      </c>
      <c r="N121" s="25">
        <f t="shared" si="13"/>
        <v>0</v>
      </c>
      <c r="O121" s="25">
        <f>ROUND(($C121*CIS_Inc*(VLOOKUP($A121,'K3 District Data as of Jan 2025'!$A$3:$M$323,MATCH("Reg",'K3 District Data as of Jan 2025'!$2:$2,0),FALSE)+VLOOKUP($A121,'K3 District Data as of Jan 2025'!$A$3:$M$323,MATCH("Exp",'K3 District Data as of Jan 2025'!$2:$2,0),FALSE))/180)*3+(($C121*CIS_Inc*(VLOOKUP($A121,'K3 District Data as of Jan 2025'!$A$3:$M$323,MATCH("Reg",'K3 District Data as of Jan 2025'!$2:$2,0),FALSE)+VLOOKUP($A121,'K3 District Data as of Jan 2025'!$A$3:$M$323,MATCH("Exp",'K3 District Data as of Jan 2025'!$2:$2,0),FALSE))/180)*3)*CIS_Ben_Inc,2)</f>
        <v>0</v>
      </c>
      <c r="P121" s="23">
        <f t="shared" si="14"/>
        <v>0</v>
      </c>
    </row>
    <row r="122" spans="1:16" x14ac:dyDescent="0.25">
      <c r="A122" t="s">
        <v>194</v>
      </c>
      <c r="B122" t="s">
        <v>489</v>
      </c>
      <c r="C122" s="33">
        <f>IF(VLOOKUP($A122,'Enroll Data as of January 2025'!$A$3:$T$322,20,FALSE)&gt;0,0,VLOOKUP($A122,'Enroll Data as of January 2025'!$A$3:$T$322,20,FALSE)*'2024-25 PSES Compliance'!$G$13)</f>
        <v>0</v>
      </c>
      <c r="D122" s="33">
        <f>IF(VLOOKUP($A122,'Enroll Data as of January 2025'!$A$3:$T$322,20,FALSE)&gt;0,0,VLOOKUP($A122,'Enroll Data as of January 2025'!$A$3:$T$322,20,FALSE)*'2024-25 PSES Compliance'!$G$14)</f>
        <v>0</v>
      </c>
      <c r="E122" s="25">
        <f>ROUND($C122*CIS_Base*VLOOKUP($A122,'K3 District Data as of Jan 2025'!$A$3:$M$323,MATCH("Reg base",'K3 District Data as of Jan 2025'!$2:$2,0),FALSE),2)</f>
        <v>0</v>
      </c>
      <c r="F122" s="25">
        <f>ROUND($C122*CIS_Inc*(VLOOKUP($A122,'K3 District Data as of Jan 2025'!$A$3:$M$323,MATCH("Reg",'K3 District Data as of Jan 2025'!$2:$2,0),FALSE)+VLOOKUP($A122,'K3 District Data as of Jan 2025'!$A$3:$M$323,MATCH("Exp",'K3 District Data as of Jan 2025'!$2:$2,0),FALSE)),2)-E122</f>
        <v>0</v>
      </c>
      <c r="G122" s="25">
        <f>ROUND($D122*CLS_Base*VLOOKUP($A122,'K3 District Data as of Jan 2025'!$A$3:$M$323,MATCH("Reg base",'K3 District Data as of Jan 2025'!$2:$2,0),FALSE),2)</f>
        <v>0</v>
      </c>
      <c r="H122" s="25">
        <f>ROUND($D122*CLS_Inc*VLOOKUP($A122,'K3 District Data as of Jan 2025'!$A$3:$M$323,MATCH("Reg base",'K3 District Data as of Jan 2025'!$2:$2,0),FALSE),2)-G122</f>
        <v>0</v>
      </c>
      <c r="I122" s="25">
        <f t="shared" si="8"/>
        <v>0</v>
      </c>
      <c r="J122" s="25">
        <f t="shared" si="9"/>
        <v>0</v>
      </c>
      <c r="K122" s="25">
        <f t="shared" si="10"/>
        <v>0</v>
      </c>
      <c r="L122" s="25">
        <f t="shared" si="11"/>
        <v>0</v>
      </c>
      <c r="M122" s="25">
        <f t="shared" si="12"/>
        <v>0</v>
      </c>
      <c r="N122" s="25">
        <f t="shared" si="13"/>
        <v>0</v>
      </c>
      <c r="O122" s="25">
        <f>ROUND(($C122*CIS_Inc*(VLOOKUP($A122,'K3 District Data as of Jan 2025'!$A$3:$M$323,MATCH("Reg",'K3 District Data as of Jan 2025'!$2:$2,0),FALSE)+VLOOKUP($A122,'K3 District Data as of Jan 2025'!$A$3:$M$323,MATCH("Exp",'K3 District Data as of Jan 2025'!$2:$2,0),FALSE))/180)*3+(($C122*CIS_Inc*(VLOOKUP($A122,'K3 District Data as of Jan 2025'!$A$3:$M$323,MATCH("Reg",'K3 District Data as of Jan 2025'!$2:$2,0),FALSE)+VLOOKUP($A122,'K3 District Data as of Jan 2025'!$A$3:$M$323,MATCH("Exp",'K3 District Data as of Jan 2025'!$2:$2,0),FALSE))/180)*3)*CIS_Ben_Inc,2)</f>
        <v>0</v>
      </c>
      <c r="P122" s="23">
        <f t="shared" si="14"/>
        <v>0</v>
      </c>
    </row>
    <row r="123" spans="1:16" x14ac:dyDescent="0.25">
      <c r="A123" t="s">
        <v>270</v>
      </c>
      <c r="B123" t="s">
        <v>566</v>
      </c>
      <c r="C123" s="33">
        <f>IF(VLOOKUP($A123,'Enroll Data as of January 2025'!$A$3:$T$322,20,FALSE)&gt;0,0,VLOOKUP($A123,'Enroll Data as of January 2025'!$A$3:$T$322,20,FALSE)*'2024-25 PSES Compliance'!$G$13)</f>
        <v>0</v>
      </c>
      <c r="D123" s="33">
        <f>IF(VLOOKUP($A123,'Enroll Data as of January 2025'!$A$3:$T$322,20,FALSE)&gt;0,0,VLOOKUP($A123,'Enroll Data as of January 2025'!$A$3:$T$322,20,FALSE)*'2024-25 PSES Compliance'!$G$14)</f>
        <v>0</v>
      </c>
      <c r="E123" s="25">
        <f>ROUND($C123*CIS_Base*VLOOKUP($A123,'K3 District Data as of Jan 2025'!$A$3:$M$323,MATCH("Reg base",'K3 District Data as of Jan 2025'!$2:$2,0),FALSE),2)</f>
        <v>0</v>
      </c>
      <c r="F123" s="25">
        <f>ROUND($C123*CIS_Inc*(VLOOKUP($A123,'K3 District Data as of Jan 2025'!$A$3:$M$323,MATCH("Reg",'K3 District Data as of Jan 2025'!$2:$2,0),FALSE)+VLOOKUP($A123,'K3 District Data as of Jan 2025'!$A$3:$M$323,MATCH("Exp",'K3 District Data as of Jan 2025'!$2:$2,0),FALSE)),2)-E123</f>
        <v>0</v>
      </c>
      <c r="G123" s="25">
        <f>ROUND($D123*CLS_Base*VLOOKUP($A123,'K3 District Data as of Jan 2025'!$A$3:$M$323,MATCH("Reg base",'K3 District Data as of Jan 2025'!$2:$2,0),FALSE),2)</f>
        <v>0</v>
      </c>
      <c r="H123" s="25">
        <f>ROUND($D123*CLS_Inc*VLOOKUP($A123,'K3 District Data as of Jan 2025'!$A$3:$M$323,MATCH("Reg base",'K3 District Data as of Jan 2025'!$2:$2,0),FALSE),2)-G123</f>
        <v>0</v>
      </c>
      <c r="I123" s="25">
        <f t="shared" si="8"/>
        <v>0</v>
      </c>
      <c r="J123" s="25">
        <f t="shared" si="9"/>
        <v>0</v>
      </c>
      <c r="K123" s="25">
        <f t="shared" si="10"/>
        <v>0</v>
      </c>
      <c r="L123" s="25">
        <f t="shared" si="11"/>
        <v>0</v>
      </c>
      <c r="M123" s="25">
        <f t="shared" si="12"/>
        <v>0</v>
      </c>
      <c r="N123" s="25">
        <f t="shared" si="13"/>
        <v>0</v>
      </c>
      <c r="O123" s="25">
        <f>ROUND(($C123*CIS_Inc*(VLOOKUP($A123,'K3 District Data as of Jan 2025'!$A$3:$M$323,MATCH("Reg",'K3 District Data as of Jan 2025'!$2:$2,0),FALSE)+VLOOKUP($A123,'K3 District Data as of Jan 2025'!$A$3:$M$323,MATCH("Exp",'K3 District Data as of Jan 2025'!$2:$2,0),FALSE))/180)*3+(($C123*CIS_Inc*(VLOOKUP($A123,'K3 District Data as of Jan 2025'!$A$3:$M$323,MATCH("Reg",'K3 District Data as of Jan 2025'!$2:$2,0),FALSE)+VLOOKUP($A123,'K3 District Data as of Jan 2025'!$A$3:$M$323,MATCH("Exp",'K3 District Data as of Jan 2025'!$2:$2,0),FALSE))/180)*3)*CIS_Ben_Inc,2)</f>
        <v>0</v>
      </c>
      <c r="P123" s="23">
        <f t="shared" si="14"/>
        <v>0</v>
      </c>
    </row>
    <row r="124" spans="1:16" x14ac:dyDescent="0.25">
      <c r="A124" t="s">
        <v>116</v>
      </c>
      <c r="B124" t="s">
        <v>412</v>
      </c>
      <c r="C124" s="33">
        <f>IF(VLOOKUP($A124,'Enroll Data as of January 2025'!$A$3:$T$322,20,FALSE)&gt;0,0,VLOOKUP($A124,'Enroll Data as of January 2025'!$A$3:$T$322,20,FALSE)*'2024-25 PSES Compliance'!$G$13)</f>
        <v>0</v>
      </c>
      <c r="D124" s="33">
        <f>IF(VLOOKUP($A124,'Enroll Data as of January 2025'!$A$3:$T$322,20,FALSE)&gt;0,0,VLOOKUP($A124,'Enroll Data as of January 2025'!$A$3:$T$322,20,FALSE)*'2024-25 PSES Compliance'!$G$14)</f>
        <v>0</v>
      </c>
      <c r="E124" s="25">
        <f>ROUND($C124*CIS_Base*VLOOKUP($A124,'K3 District Data as of Jan 2025'!$A$3:$M$323,MATCH("Reg base",'K3 District Data as of Jan 2025'!$2:$2,0),FALSE),2)</f>
        <v>0</v>
      </c>
      <c r="F124" s="25">
        <f>ROUND($C124*CIS_Inc*(VLOOKUP($A124,'K3 District Data as of Jan 2025'!$A$3:$M$323,MATCH("Reg",'K3 District Data as of Jan 2025'!$2:$2,0),FALSE)+VLOOKUP($A124,'K3 District Data as of Jan 2025'!$A$3:$M$323,MATCH("Exp",'K3 District Data as of Jan 2025'!$2:$2,0),FALSE)),2)-E124</f>
        <v>0</v>
      </c>
      <c r="G124" s="25">
        <f>ROUND($D124*CLS_Base*VLOOKUP($A124,'K3 District Data as of Jan 2025'!$A$3:$M$323,MATCH("Reg base",'K3 District Data as of Jan 2025'!$2:$2,0),FALSE),2)</f>
        <v>0</v>
      </c>
      <c r="H124" s="25">
        <f>ROUND($D124*CLS_Inc*VLOOKUP($A124,'K3 District Data as of Jan 2025'!$A$3:$M$323,MATCH("Reg base",'K3 District Data as of Jan 2025'!$2:$2,0),FALSE),2)-G124</f>
        <v>0</v>
      </c>
      <c r="I124" s="25">
        <f t="shared" si="8"/>
        <v>0</v>
      </c>
      <c r="J124" s="25">
        <f t="shared" si="9"/>
        <v>0</v>
      </c>
      <c r="K124" s="25">
        <f t="shared" si="10"/>
        <v>0</v>
      </c>
      <c r="L124" s="25">
        <f t="shared" si="11"/>
        <v>0</v>
      </c>
      <c r="M124" s="25">
        <f t="shared" si="12"/>
        <v>0</v>
      </c>
      <c r="N124" s="25">
        <f t="shared" si="13"/>
        <v>0</v>
      </c>
      <c r="O124" s="25">
        <f>ROUND(($C124*CIS_Inc*(VLOOKUP($A124,'K3 District Data as of Jan 2025'!$A$3:$M$323,MATCH("Reg",'K3 District Data as of Jan 2025'!$2:$2,0),FALSE)+VLOOKUP($A124,'K3 District Data as of Jan 2025'!$A$3:$M$323,MATCH("Exp",'K3 District Data as of Jan 2025'!$2:$2,0),FALSE))/180)*3+(($C124*CIS_Inc*(VLOOKUP($A124,'K3 District Data as of Jan 2025'!$A$3:$M$323,MATCH("Reg",'K3 District Data as of Jan 2025'!$2:$2,0),FALSE)+VLOOKUP($A124,'K3 District Data as of Jan 2025'!$A$3:$M$323,MATCH("Exp",'K3 District Data as of Jan 2025'!$2:$2,0),FALSE))/180)*3)*CIS_Ben_Inc,2)</f>
        <v>0</v>
      </c>
      <c r="P124" s="23">
        <f t="shared" si="14"/>
        <v>0</v>
      </c>
    </row>
    <row r="125" spans="1:16" x14ac:dyDescent="0.25">
      <c r="A125" t="s">
        <v>169</v>
      </c>
      <c r="B125" t="s">
        <v>465</v>
      </c>
      <c r="C125" s="33">
        <f>IF(VLOOKUP($A125,'Enroll Data as of January 2025'!$A$3:$T$322,20,FALSE)&gt;0,0,VLOOKUP($A125,'Enroll Data as of January 2025'!$A$3:$T$322,20,FALSE)*'2024-25 PSES Compliance'!$G$13)</f>
        <v>-0.62783999999999995</v>
      </c>
      <c r="D125" s="33">
        <f>IF(VLOOKUP($A125,'Enroll Data as of January 2025'!$A$3:$T$322,20,FALSE)&gt;0,0,VLOOKUP($A125,'Enroll Data as of January 2025'!$A$3:$T$322,20,FALSE)*'2024-25 PSES Compliance'!$G$14)</f>
        <v>-2.6160000000000003E-2</v>
      </c>
      <c r="E125" s="25">
        <f>ROUND($C125*CIS_Base*VLOOKUP($A125,'K3 District Data as of Jan 2025'!$A$3:$M$323,MATCH("Reg base",'K3 District Data as of Jan 2025'!$2:$2,0),FALSE),2)</f>
        <v>-45661.55</v>
      </c>
      <c r="F125" s="25">
        <f>ROUND($C125*CIS_Inc*(VLOOKUP($A125,'K3 District Data as of Jan 2025'!$A$3:$M$323,MATCH("Reg",'K3 District Data as of Jan 2025'!$2:$2,0),FALSE)+VLOOKUP($A125,'K3 District Data as of Jan 2025'!$A$3:$M$323,MATCH("Exp",'K3 District Data as of Jan 2025'!$2:$2,0),FALSE)),2)-E125</f>
        <v>-3441.1899999999951</v>
      </c>
      <c r="G125" s="25">
        <f>ROUND($D125*CLS_Base*VLOOKUP($A125,'K3 District Data as of Jan 2025'!$A$3:$M$323,MATCH("Reg base",'K3 District Data as of Jan 2025'!$2:$2,0),FALSE),2)</f>
        <v>-1364.85</v>
      </c>
      <c r="H125" s="25">
        <f>ROUND($D125*CLS_Inc*VLOOKUP($A125,'K3 District Data as of Jan 2025'!$A$3:$M$323,MATCH("Reg base",'K3 District Data as of Jan 2025'!$2:$2,0),FALSE),2)-G125</f>
        <v>-102.86000000000013</v>
      </c>
      <c r="I125" s="25">
        <f t="shared" si="8"/>
        <v>-9052.65</v>
      </c>
      <c r="J125" s="25">
        <f t="shared" si="9"/>
        <v>-528.80999999999995</v>
      </c>
      <c r="K125" s="25">
        <f t="shared" si="10"/>
        <v>-8287.57</v>
      </c>
      <c r="L125" s="25">
        <f t="shared" si="11"/>
        <v>-7995.34</v>
      </c>
      <c r="M125" s="25">
        <f t="shared" si="12"/>
        <v>-295.63</v>
      </c>
      <c r="N125" s="25">
        <f t="shared" si="13"/>
        <v>-18.68</v>
      </c>
      <c r="O125" s="25">
        <f>ROUND(($C125*CIS_Inc*(VLOOKUP($A125,'K3 District Data as of Jan 2025'!$A$3:$M$323,MATCH("Reg",'K3 District Data as of Jan 2025'!$2:$2,0),FALSE)+VLOOKUP($A125,'K3 District Data as of Jan 2025'!$A$3:$M$323,MATCH("Exp",'K3 District Data as of Jan 2025'!$2:$2,0),FALSE))/180)*3+(($C125*CIS_Inc*(VLOOKUP($A125,'K3 District Data as of Jan 2025'!$A$3:$M$323,MATCH("Reg",'K3 District Data as of Jan 2025'!$2:$2,0),FALSE)+VLOOKUP($A125,'K3 District Data as of Jan 2025'!$A$3:$M$323,MATCH("Exp",'K3 District Data as of Jan 2025'!$2:$2,0),FALSE))/180)*3)*CIS_Ben_Inc,2)</f>
        <v>-961.68</v>
      </c>
      <c r="P125" s="23">
        <f t="shared" si="14"/>
        <v>-77710.809999999983</v>
      </c>
    </row>
    <row r="126" spans="1:16" x14ac:dyDescent="0.25">
      <c r="A126" t="s">
        <v>203</v>
      </c>
      <c r="B126" t="s">
        <v>498</v>
      </c>
      <c r="C126" s="33">
        <f>IF(VLOOKUP($A126,'Enroll Data as of January 2025'!$A$3:$T$322,20,FALSE)&gt;0,0,VLOOKUP($A126,'Enroll Data as of January 2025'!$A$3:$T$322,20,FALSE)*'2024-25 PSES Compliance'!$G$13)</f>
        <v>0</v>
      </c>
      <c r="D126" s="33">
        <f>IF(VLOOKUP($A126,'Enroll Data as of January 2025'!$A$3:$T$322,20,FALSE)&gt;0,0,VLOOKUP($A126,'Enroll Data as of January 2025'!$A$3:$T$322,20,FALSE)*'2024-25 PSES Compliance'!$G$14)</f>
        <v>0</v>
      </c>
      <c r="E126" s="25">
        <f>ROUND($C126*CIS_Base*VLOOKUP($A126,'K3 District Data as of Jan 2025'!$A$3:$M$323,MATCH("Reg base",'K3 District Data as of Jan 2025'!$2:$2,0),FALSE),2)</f>
        <v>0</v>
      </c>
      <c r="F126" s="25">
        <f>ROUND($C126*CIS_Inc*(VLOOKUP($A126,'K3 District Data as of Jan 2025'!$A$3:$M$323,MATCH("Reg",'K3 District Data as of Jan 2025'!$2:$2,0),FALSE)+VLOOKUP($A126,'K3 District Data as of Jan 2025'!$A$3:$M$323,MATCH("Exp",'K3 District Data as of Jan 2025'!$2:$2,0),FALSE)),2)-E126</f>
        <v>0</v>
      </c>
      <c r="G126" s="25">
        <f>ROUND($D126*CLS_Base*VLOOKUP($A126,'K3 District Data as of Jan 2025'!$A$3:$M$323,MATCH("Reg base",'K3 District Data as of Jan 2025'!$2:$2,0),FALSE),2)</f>
        <v>0</v>
      </c>
      <c r="H126" s="25">
        <f>ROUND($D126*CLS_Inc*VLOOKUP($A126,'K3 District Data as of Jan 2025'!$A$3:$M$323,MATCH("Reg base",'K3 District Data as of Jan 2025'!$2:$2,0),FALSE),2)-G126</f>
        <v>0</v>
      </c>
      <c r="I126" s="25">
        <f t="shared" si="8"/>
        <v>0</v>
      </c>
      <c r="J126" s="25">
        <f t="shared" si="9"/>
        <v>0</v>
      </c>
      <c r="K126" s="25">
        <f t="shared" si="10"/>
        <v>0</v>
      </c>
      <c r="L126" s="25">
        <f t="shared" si="11"/>
        <v>0</v>
      </c>
      <c r="M126" s="25">
        <f t="shared" si="12"/>
        <v>0</v>
      </c>
      <c r="N126" s="25">
        <f t="shared" si="13"/>
        <v>0</v>
      </c>
      <c r="O126" s="25">
        <f>ROUND(($C126*CIS_Inc*(VLOOKUP($A126,'K3 District Data as of Jan 2025'!$A$3:$M$323,MATCH("Reg",'K3 District Data as of Jan 2025'!$2:$2,0),FALSE)+VLOOKUP($A126,'K3 District Data as of Jan 2025'!$A$3:$M$323,MATCH("Exp",'K3 District Data as of Jan 2025'!$2:$2,0),FALSE))/180)*3+(($C126*CIS_Inc*(VLOOKUP($A126,'K3 District Data as of Jan 2025'!$A$3:$M$323,MATCH("Reg",'K3 District Data as of Jan 2025'!$2:$2,0),FALSE)+VLOOKUP($A126,'K3 District Data as of Jan 2025'!$A$3:$M$323,MATCH("Exp",'K3 District Data as of Jan 2025'!$2:$2,0),FALSE))/180)*3)*CIS_Ben_Inc,2)</f>
        <v>0</v>
      </c>
      <c r="P126" s="23">
        <f t="shared" si="14"/>
        <v>0</v>
      </c>
    </row>
    <row r="127" spans="1:16" x14ac:dyDescent="0.25">
      <c r="A127" t="s">
        <v>38</v>
      </c>
      <c r="B127" t="s">
        <v>334</v>
      </c>
      <c r="C127" s="33">
        <f>IF(VLOOKUP($A127,'Enroll Data as of January 2025'!$A$3:$T$322,20,FALSE)&gt;0,0,VLOOKUP($A127,'Enroll Data as of January 2025'!$A$3:$T$322,20,FALSE)*'2024-25 PSES Compliance'!$G$13)</f>
        <v>0</v>
      </c>
      <c r="D127" s="33">
        <f>IF(VLOOKUP($A127,'Enroll Data as of January 2025'!$A$3:$T$322,20,FALSE)&gt;0,0,VLOOKUP($A127,'Enroll Data as of January 2025'!$A$3:$T$322,20,FALSE)*'2024-25 PSES Compliance'!$G$14)</f>
        <v>0</v>
      </c>
      <c r="E127" s="25">
        <f>ROUND($C127*CIS_Base*VLOOKUP($A127,'K3 District Data as of Jan 2025'!$A$3:$M$323,MATCH("Reg base",'K3 District Data as of Jan 2025'!$2:$2,0),FALSE),2)</f>
        <v>0</v>
      </c>
      <c r="F127" s="25">
        <f>ROUND($C127*CIS_Inc*(VLOOKUP($A127,'K3 District Data as of Jan 2025'!$A$3:$M$323,MATCH("Reg",'K3 District Data as of Jan 2025'!$2:$2,0),FALSE)+VLOOKUP($A127,'K3 District Data as of Jan 2025'!$A$3:$M$323,MATCH("Exp",'K3 District Data as of Jan 2025'!$2:$2,0),FALSE)),2)-E127</f>
        <v>0</v>
      </c>
      <c r="G127" s="25">
        <f>ROUND($D127*CLS_Base*VLOOKUP($A127,'K3 District Data as of Jan 2025'!$A$3:$M$323,MATCH("Reg base",'K3 District Data as of Jan 2025'!$2:$2,0),FALSE),2)</f>
        <v>0</v>
      </c>
      <c r="H127" s="25">
        <f>ROUND($D127*CLS_Inc*VLOOKUP($A127,'K3 District Data as of Jan 2025'!$A$3:$M$323,MATCH("Reg base",'K3 District Data as of Jan 2025'!$2:$2,0),FALSE),2)-G127</f>
        <v>0</v>
      </c>
      <c r="I127" s="25">
        <f t="shared" si="8"/>
        <v>0</v>
      </c>
      <c r="J127" s="25">
        <f t="shared" si="9"/>
        <v>0</v>
      </c>
      <c r="K127" s="25">
        <f t="shared" si="10"/>
        <v>0</v>
      </c>
      <c r="L127" s="25">
        <f t="shared" si="11"/>
        <v>0</v>
      </c>
      <c r="M127" s="25">
        <f t="shared" si="12"/>
        <v>0</v>
      </c>
      <c r="N127" s="25">
        <f t="shared" si="13"/>
        <v>0</v>
      </c>
      <c r="O127" s="25">
        <f>ROUND(($C127*CIS_Inc*(VLOOKUP($A127,'K3 District Data as of Jan 2025'!$A$3:$M$323,MATCH("Reg",'K3 District Data as of Jan 2025'!$2:$2,0),FALSE)+VLOOKUP($A127,'K3 District Data as of Jan 2025'!$A$3:$M$323,MATCH("Exp",'K3 District Data as of Jan 2025'!$2:$2,0),FALSE))/180)*3+(($C127*CIS_Inc*(VLOOKUP($A127,'K3 District Data as of Jan 2025'!$A$3:$M$323,MATCH("Reg",'K3 District Data as of Jan 2025'!$2:$2,0),FALSE)+VLOOKUP($A127,'K3 District Data as of Jan 2025'!$A$3:$M$323,MATCH("Exp",'K3 District Data as of Jan 2025'!$2:$2,0),FALSE))/180)*3)*CIS_Ben_Inc,2)</f>
        <v>0</v>
      </c>
      <c r="P127" s="23">
        <f t="shared" si="14"/>
        <v>0</v>
      </c>
    </row>
    <row r="128" spans="1:16" x14ac:dyDescent="0.25">
      <c r="A128" t="s">
        <v>30</v>
      </c>
      <c r="B128" t="s">
        <v>326</v>
      </c>
      <c r="C128" s="33">
        <f>IF(VLOOKUP($A128,'Enroll Data as of January 2025'!$A$3:$T$322,20,FALSE)&gt;0,0,VLOOKUP($A128,'Enroll Data as of January 2025'!$A$3:$T$322,20,FALSE)*'2024-25 PSES Compliance'!$G$13)</f>
        <v>-1.0272000000000001</v>
      </c>
      <c r="D128" s="33">
        <f>IF(VLOOKUP($A128,'Enroll Data as of January 2025'!$A$3:$T$322,20,FALSE)&gt;0,0,VLOOKUP($A128,'Enroll Data as of January 2025'!$A$3:$T$322,20,FALSE)*'2024-25 PSES Compliance'!$G$14)</f>
        <v>-4.2800000000000005E-2</v>
      </c>
      <c r="E128" s="25">
        <f>ROUND($C128*CIS_Base*VLOOKUP($A128,'K3 District Data as of Jan 2025'!$A$3:$M$323,MATCH("Reg base",'K3 District Data as of Jan 2025'!$2:$2,0),FALSE),2)</f>
        <v>-74706.2</v>
      </c>
      <c r="F128" s="25">
        <f>ROUND($C128*CIS_Inc*(VLOOKUP($A128,'K3 District Data as of Jan 2025'!$A$3:$M$323,MATCH("Reg",'K3 District Data as of Jan 2025'!$2:$2,0),FALSE)+VLOOKUP($A128,'K3 District Data as of Jan 2025'!$A$3:$M$323,MATCH("Exp",'K3 District Data as of Jan 2025'!$2:$2,0),FALSE)),2)-E128</f>
        <v>-5630.0800000000017</v>
      </c>
      <c r="G128" s="25">
        <f>ROUND($D128*CLS_Base*VLOOKUP($A128,'K3 District Data as of Jan 2025'!$A$3:$M$323,MATCH("Reg base",'K3 District Data as of Jan 2025'!$2:$2,0),FALSE),2)</f>
        <v>-2233</v>
      </c>
      <c r="H128" s="25">
        <f>ROUND($D128*CLS_Inc*VLOOKUP($A128,'K3 District Data as of Jan 2025'!$A$3:$M$323,MATCH("Reg base",'K3 District Data as of Jan 2025'!$2:$2,0),FALSE),2)-G128</f>
        <v>-168.28999999999996</v>
      </c>
      <c r="I128" s="25">
        <f t="shared" si="8"/>
        <v>-14810.91</v>
      </c>
      <c r="J128" s="25">
        <f t="shared" si="9"/>
        <v>-865.18</v>
      </c>
      <c r="K128" s="25">
        <f t="shared" si="10"/>
        <v>-13559.18</v>
      </c>
      <c r="L128" s="25">
        <f t="shared" si="11"/>
        <v>-13081.06</v>
      </c>
      <c r="M128" s="25">
        <f t="shared" si="12"/>
        <v>-483.67</v>
      </c>
      <c r="N128" s="25">
        <f t="shared" si="13"/>
        <v>-30.56</v>
      </c>
      <c r="O128" s="25">
        <f>ROUND(($C128*CIS_Inc*(VLOOKUP($A128,'K3 District Data as of Jan 2025'!$A$3:$M$323,MATCH("Reg",'K3 District Data as of Jan 2025'!$2:$2,0),FALSE)+VLOOKUP($A128,'K3 District Data as of Jan 2025'!$A$3:$M$323,MATCH("Exp",'K3 District Data as of Jan 2025'!$2:$2,0),FALSE))/180)*3+(($C128*CIS_Inc*(VLOOKUP($A128,'K3 District Data as of Jan 2025'!$A$3:$M$323,MATCH("Reg",'K3 District Data as of Jan 2025'!$2:$2,0),FALSE)+VLOOKUP($A128,'K3 District Data as of Jan 2025'!$A$3:$M$323,MATCH("Exp",'K3 District Data as of Jan 2025'!$2:$2,0),FALSE))/180)*3)*CIS_Ben_Inc,2)</f>
        <v>-1573.39</v>
      </c>
      <c r="P128" s="23">
        <f t="shared" si="14"/>
        <v>-127141.51999999999</v>
      </c>
    </row>
    <row r="129" spans="1:16" x14ac:dyDescent="0.25">
      <c r="A129" t="s">
        <v>25</v>
      </c>
      <c r="B129" t="s">
        <v>321</v>
      </c>
      <c r="C129" s="33">
        <f>IF(VLOOKUP($A129,'Enroll Data as of January 2025'!$A$3:$T$322,20,FALSE)&gt;0,0,VLOOKUP($A129,'Enroll Data as of January 2025'!$A$3:$T$322,20,FALSE)*'2024-25 PSES Compliance'!$G$13)</f>
        <v>-1.4476799999999999</v>
      </c>
      <c r="D129" s="33">
        <f>IF(VLOOKUP($A129,'Enroll Data as of January 2025'!$A$3:$T$322,20,FALSE)&gt;0,0,VLOOKUP($A129,'Enroll Data as of January 2025'!$A$3:$T$322,20,FALSE)*'2024-25 PSES Compliance'!$G$14)</f>
        <v>-6.0319999999999999E-2</v>
      </c>
      <c r="E129" s="25">
        <f>ROUND($C129*CIS_Base*VLOOKUP($A129,'K3 District Data as of Jan 2025'!$A$3:$M$323,MATCH("Reg base",'K3 District Data as of Jan 2025'!$2:$2,0),FALSE),2)</f>
        <v>-105286.87</v>
      </c>
      <c r="F129" s="25">
        <f>ROUND($C129*CIS_Inc*(VLOOKUP($A129,'K3 District Data as of Jan 2025'!$A$3:$M$323,MATCH("Reg",'K3 District Data as of Jan 2025'!$2:$2,0),FALSE)+VLOOKUP($A129,'K3 District Data as of Jan 2025'!$A$3:$M$323,MATCH("Exp",'K3 District Data as of Jan 2025'!$2:$2,0),FALSE)),2)-E129</f>
        <v>-7934.7400000000052</v>
      </c>
      <c r="G129" s="25">
        <f>ROUND($D129*CLS_Base*VLOOKUP($A129,'K3 District Data as of Jan 2025'!$A$3:$M$323,MATCH("Reg base",'K3 District Data as of Jan 2025'!$2:$2,0),FALSE),2)</f>
        <v>-3147.08</v>
      </c>
      <c r="H129" s="25">
        <f>ROUND($D129*CLS_Inc*VLOOKUP($A129,'K3 District Data as of Jan 2025'!$A$3:$M$323,MATCH("Reg base",'K3 District Data as of Jan 2025'!$2:$2,0),FALSE),2)-G129</f>
        <v>-237.17000000000007</v>
      </c>
      <c r="I129" s="25">
        <f t="shared" si="8"/>
        <v>-20873.689999999999</v>
      </c>
      <c r="J129" s="25">
        <f t="shared" si="9"/>
        <v>-1219.3399999999999</v>
      </c>
      <c r="K129" s="25">
        <f t="shared" si="10"/>
        <v>-19109.57</v>
      </c>
      <c r="L129" s="25">
        <f t="shared" si="11"/>
        <v>-18435.73</v>
      </c>
      <c r="M129" s="25">
        <f t="shared" si="12"/>
        <v>-681.66</v>
      </c>
      <c r="N129" s="25">
        <f t="shared" si="13"/>
        <v>-43.07</v>
      </c>
      <c r="O129" s="25">
        <f>ROUND(($C129*CIS_Inc*(VLOOKUP($A129,'K3 District Data as of Jan 2025'!$A$3:$M$323,MATCH("Reg",'K3 District Data as of Jan 2025'!$2:$2,0),FALSE)+VLOOKUP($A129,'K3 District Data as of Jan 2025'!$A$3:$M$323,MATCH("Exp",'K3 District Data as of Jan 2025'!$2:$2,0),FALSE))/180)*3+(($C129*CIS_Inc*(VLOOKUP($A129,'K3 District Data as of Jan 2025'!$A$3:$M$323,MATCH("Reg",'K3 District Data as of Jan 2025'!$2:$2,0),FALSE)+VLOOKUP($A129,'K3 District Data as of Jan 2025'!$A$3:$M$323,MATCH("Exp",'K3 District Data as of Jan 2025'!$2:$2,0),FALSE))/180)*3)*CIS_Ben_Inc,2)</f>
        <v>-2217.4499999999998</v>
      </c>
      <c r="P129" s="23">
        <f t="shared" si="14"/>
        <v>-179186.37000000002</v>
      </c>
    </row>
    <row r="130" spans="1:16" x14ac:dyDescent="0.25">
      <c r="A130" t="s">
        <v>45</v>
      </c>
      <c r="B130" t="s">
        <v>341</v>
      </c>
      <c r="C130" s="33">
        <f>IF(VLOOKUP($A130,'Enroll Data as of January 2025'!$A$3:$T$322,20,FALSE)&gt;0,0,VLOOKUP($A130,'Enroll Data as of January 2025'!$A$3:$T$322,20,FALSE)*'2024-25 PSES Compliance'!$G$13)</f>
        <v>0</v>
      </c>
      <c r="D130" s="33">
        <f>IF(VLOOKUP($A130,'Enroll Data as of January 2025'!$A$3:$T$322,20,FALSE)&gt;0,0,VLOOKUP($A130,'Enroll Data as of January 2025'!$A$3:$T$322,20,FALSE)*'2024-25 PSES Compliance'!$G$14)</f>
        <v>0</v>
      </c>
      <c r="E130" s="25">
        <f>ROUND($C130*CIS_Base*VLOOKUP($A130,'K3 District Data as of Jan 2025'!$A$3:$M$323,MATCH("Reg base",'K3 District Data as of Jan 2025'!$2:$2,0),FALSE),2)</f>
        <v>0</v>
      </c>
      <c r="F130" s="25">
        <f>ROUND($C130*CIS_Inc*(VLOOKUP($A130,'K3 District Data as of Jan 2025'!$A$3:$M$323,MATCH("Reg",'K3 District Data as of Jan 2025'!$2:$2,0),FALSE)+VLOOKUP($A130,'K3 District Data as of Jan 2025'!$A$3:$M$323,MATCH("Exp",'K3 District Data as of Jan 2025'!$2:$2,0),FALSE)),2)-E130</f>
        <v>0</v>
      </c>
      <c r="G130" s="25">
        <f>ROUND($D130*CLS_Base*VLOOKUP($A130,'K3 District Data as of Jan 2025'!$A$3:$M$323,MATCH("Reg base",'K3 District Data as of Jan 2025'!$2:$2,0),FALSE),2)</f>
        <v>0</v>
      </c>
      <c r="H130" s="25">
        <f>ROUND($D130*CLS_Inc*VLOOKUP($A130,'K3 District Data as of Jan 2025'!$A$3:$M$323,MATCH("Reg base",'K3 District Data as of Jan 2025'!$2:$2,0),FALSE),2)-G130</f>
        <v>0</v>
      </c>
      <c r="I130" s="25">
        <f t="shared" si="8"/>
        <v>0</v>
      </c>
      <c r="J130" s="25">
        <f t="shared" si="9"/>
        <v>0</v>
      </c>
      <c r="K130" s="25">
        <f t="shared" si="10"/>
        <v>0</v>
      </c>
      <c r="L130" s="25">
        <f t="shared" si="11"/>
        <v>0</v>
      </c>
      <c r="M130" s="25">
        <f t="shared" si="12"/>
        <v>0</v>
      </c>
      <c r="N130" s="25">
        <f t="shared" si="13"/>
        <v>0</v>
      </c>
      <c r="O130" s="25">
        <f>ROUND(($C130*CIS_Inc*(VLOOKUP($A130,'K3 District Data as of Jan 2025'!$A$3:$M$323,MATCH("Reg",'K3 District Data as of Jan 2025'!$2:$2,0),FALSE)+VLOOKUP($A130,'K3 District Data as of Jan 2025'!$A$3:$M$323,MATCH("Exp",'K3 District Data as of Jan 2025'!$2:$2,0),FALSE))/180)*3+(($C130*CIS_Inc*(VLOOKUP($A130,'K3 District Data as of Jan 2025'!$A$3:$M$323,MATCH("Reg",'K3 District Data as of Jan 2025'!$2:$2,0),FALSE)+VLOOKUP($A130,'K3 District Data as of Jan 2025'!$A$3:$M$323,MATCH("Exp",'K3 District Data as of Jan 2025'!$2:$2,0),FALSE))/180)*3)*CIS_Ben_Inc,2)</f>
        <v>0</v>
      </c>
      <c r="P130" s="23">
        <f t="shared" si="14"/>
        <v>0</v>
      </c>
    </row>
    <row r="131" spans="1:16" x14ac:dyDescent="0.25">
      <c r="A131" t="s">
        <v>652</v>
      </c>
      <c r="B131" t="s">
        <v>653</v>
      </c>
      <c r="C131" s="33">
        <f>IF(VLOOKUP($A131,'Enroll Data as of January 2025'!$A$3:$T$322,20,FALSE)&gt;0,0,VLOOKUP($A131,'Enroll Data as of January 2025'!$A$3:$T$322,20,FALSE)*'2024-25 PSES Compliance'!$G$13)</f>
        <v>-1.4246399999999999</v>
      </c>
      <c r="D131" s="33">
        <f>IF(VLOOKUP($A131,'Enroll Data as of January 2025'!$A$3:$T$322,20,FALSE)&gt;0,0,VLOOKUP($A131,'Enroll Data as of January 2025'!$A$3:$T$322,20,FALSE)*'2024-25 PSES Compliance'!$G$14)</f>
        <v>-5.9360000000000003E-2</v>
      </c>
      <c r="E131" s="25">
        <f>ROUND($C131*CIS_Base*VLOOKUP($A131,'K3 District Data as of Jan 2025'!$A$3:$M$323,MATCH("Reg base",'K3 District Data as of Jan 2025'!$2:$2,0),FALSE),2)</f>
        <v>-122261.24</v>
      </c>
      <c r="F131" s="25">
        <f>ROUND($C131*CIS_Inc*(VLOOKUP($A131,'K3 District Data as of Jan 2025'!$A$3:$M$323,MATCH("Reg",'K3 District Data as of Jan 2025'!$2:$2,0),FALSE)+VLOOKUP($A131,'K3 District Data as of Jan 2025'!$A$3:$M$323,MATCH("Exp",'K3 District Data as of Jan 2025'!$2:$2,0),FALSE)),2)-E131</f>
        <v>-9213.9699999999866</v>
      </c>
      <c r="G131" s="25">
        <f>ROUND($D131*CLS_Base*VLOOKUP($A131,'K3 District Data as of Jan 2025'!$A$3:$M$323,MATCH("Reg base",'K3 District Data as of Jan 2025'!$2:$2,0),FALSE),2)</f>
        <v>-3654.45</v>
      </c>
      <c r="H131" s="25">
        <f>ROUND($D131*CLS_Inc*VLOOKUP($A131,'K3 District Data as of Jan 2025'!$A$3:$M$323,MATCH("Reg base",'K3 District Data as of Jan 2025'!$2:$2,0),FALSE),2)-G131</f>
        <v>-275.41000000000031</v>
      </c>
      <c r="I131" s="25">
        <f t="shared" ref="I131:I194" si="15">ROUND($C131*CIS_Ins_Inc,2)</f>
        <v>-20541.490000000002</v>
      </c>
      <c r="J131" s="25">
        <f t="shared" ref="J131:J194" si="16">ROUND($D131*CLS_Ins_Inc,2)</f>
        <v>-1199.93</v>
      </c>
      <c r="K131" s="25">
        <f t="shared" ref="K131:K194" si="17">ROUND(E131*CIS_Ben_Base,2)</f>
        <v>-22190.42</v>
      </c>
      <c r="L131" s="25">
        <f t="shared" ref="L131:L194" si="18">ROUND(E131*CIS_Ben_Inc,2)</f>
        <v>-21407.94</v>
      </c>
      <c r="M131" s="25">
        <f t="shared" ref="M131:M194" si="19">ROUND(G131*CLS_Ben_Base,2)</f>
        <v>-791.55</v>
      </c>
      <c r="N131" s="25">
        <f t="shared" ref="N131:N194" si="20">ROUND(H131*CLS_Ben_Inc,2)</f>
        <v>-50.01</v>
      </c>
      <c r="O131" s="25">
        <f>ROUND(($C131*CIS_Inc*(VLOOKUP($A131,'K3 District Data as of Jan 2025'!$A$3:$M$323,MATCH("Reg",'K3 District Data as of Jan 2025'!$2:$2,0),FALSE)+VLOOKUP($A131,'K3 District Data as of Jan 2025'!$A$3:$M$323,MATCH("Exp",'K3 District Data as of Jan 2025'!$2:$2,0),FALSE))/180)*3+(($C131*CIS_Inc*(VLOOKUP($A131,'K3 District Data as of Jan 2025'!$A$3:$M$323,MATCH("Reg",'K3 District Data as of Jan 2025'!$2:$2,0),FALSE)+VLOOKUP($A131,'K3 District Data as of Jan 2025'!$A$3:$M$323,MATCH("Exp",'K3 District Data as of Jan 2025'!$2:$2,0),FALSE))/180)*3)*CIS_Ben_Inc,2)</f>
        <v>-2574.94</v>
      </c>
      <c r="P131" s="23">
        <f t="shared" ref="P131:P194" si="21">SUM(E131:O131)</f>
        <v>-204161.34999999998</v>
      </c>
    </row>
    <row r="132" spans="1:16" x14ac:dyDescent="0.25">
      <c r="A132" t="s">
        <v>119</v>
      </c>
      <c r="B132" t="s">
        <v>415</v>
      </c>
      <c r="C132" s="33">
        <f>IF(VLOOKUP($A132,'Enroll Data as of January 2025'!$A$3:$T$322,20,FALSE)&gt;0,0,VLOOKUP($A132,'Enroll Data as of January 2025'!$A$3:$T$322,20,FALSE)*'2024-25 PSES Compliance'!$G$13)</f>
        <v>0</v>
      </c>
      <c r="D132" s="33">
        <f>IF(VLOOKUP($A132,'Enroll Data as of January 2025'!$A$3:$T$322,20,FALSE)&gt;0,0,VLOOKUP($A132,'Enroll Data as of January 2025'!$A$3:$T$322,20,FALSE)*'2024-25 PSES Compliance'!$G$14)</f>
        <v>0</v>
      </c>
      <c r="E132" s="25">
        <f>ROUND($C132*CIS_Base*VLOOKUP($A132,'K3 District Data as of Jan 2025'!$A$3:$M$323,MATCH("Reg base",'K3 District Data as of Jan 2025'!$2:$2,0),FALSE),2)</f>
        <v>0</v>
      </c>
      <c r="F132" s="25">
        <f>ROUND($C132*CIS_Inc*(VLOOKUP($A132,'K3 District Data as of Jan 2025'!$A$3:$M$323,MATCH("Reg",'K3 District Data as of Jan 2025'!$2:$2,0),FALSE)+VLOOKUP($A132,'K3 District Data as of Jan 2025'!$A$3:$M$323,MATCH("Exp",'K3 District Data as of Jan 2025'!$2:$2,0),FALSE)),2)-E132</f>
        <v>0</v>
      </c>
      <c r="G132" s="25">
        <f>ROUND($D132*CLS_Base*VLOOKUP($A132,'K3 District Data as of Jan 2025'!$A$3:$M$323,MATCH("Reg base",'K3 District Data as of Jan 2025'!$2:$2,0),FALSE),2)</f>
        <v>0</v>
      </c>
      <c r="H132" s="25">
        <f>ROUND($D132*CLS_Inc*VLOOKUP($A132,'K3 District Data as of Jan 2025'!$A$3:$M$323,MATCH("Reg base",'K3 District Data as of Jan 2025'!$2:$2,0),FALSE),2)-G132</f>
        <v>0</v>
      </c>
      <c r="I132" s="25">
        <f t="shared" si="15"/>
        <v>0</v>
      </c>
      <c r="J132" s="25">
        <f t="shared" si="16"/>
        <v>0</v>
      </c>
      <c r="K132" s="25">
        <f t="shared" si="17"/>
        <v>0</v>
      </c>
      <c r="L132" s="25">
        <f t="shared" si="18"/>
        <v>0</v>
      </c>
      <c r="M132" s="25">
        <f t="shared" si="19"/>
        <v>0</v>
      </c>
      <c r="N132" s="25">
        <f t="shared" si="20"/>
        <v>0</v>
      </c>
      <c r="O132" s="25">
        <f>ROUND(($C132*CIS_Inc*(VLOOKUP($A132,'K3 District Data as of Jan 2025'!$A$3:$M$323,MATCH("Reg",'K3 District Data as of Jan 2025'!$2:$2,0),FALSE)+VLOOKUP($A132,'K3 District Data as of Jan 2025'!$A$3:$M$323,MATCH("Exp",'K3 District Data as of Jan 2025'!$2:$2,0),FALSE))/180)*3+(($C132*CIS_Inc*(VLOOKUP($A132,'K3 District Data as of Jan 2025'!$A$3:$M$323,MATCH("Reg",'K3 District Data as of Jan 2025'!$2:$2,0),FALSE)+VLOOKUP($A132,'K3 District Data as of Jan 2025'!$A$3:$M$323,MATCH("Exp",'K3 District Data as of Jan 2025'!$2:$2,0),FALSE))/180)*3)*CIS_Ben_Inc,2)</f>
        <v>0</v>
      </c>
      <c r="P132" s="23">
        <f t="shared" si="21"/>
        <v>0</v>
      </c>
    </row>
    <row r="133" spans="1:16" x14ac:dyDescent="0.25">
      <c r="A133" t="s">
        <v>232</v>
      </c>
      <c r="B133" t="s">
        <v>528</v>
      </c>
      <c r="C133" s="33">
        <f>IF(VLOOKUP($A133,'Enroll Data as of January 2025'!$A$3:$T$322,20,FALSE)&gt;0,0,VLOOKUP($A133,'Enroll Data as of January 2025'!$A$3:$T$322,20,FALSE)*'2024-25 PSES Compliance'!$G$13)</f>
        <v>0</v>
      </c>
      <c r="D133" s="33">
        <f>IF(VLOOKUP($A133,'Enroll Data as of January 2025'!$A$3:$T$322,20,FALSE)&gt;0,0,VLOOKUP($A133,'Enroll Data as of January 2025'!$A$3:$T$322,20,FALSE)*'2024-25 PSES Compliance'!$G$14)</f>
        <v>0</v>
      </c>
      <c r="E133" s="25">
        <f>ROUND($C133*CIS_Base*VLOOKUP($A133,'K3 District Data as of Jan 2025'!$A$3:$M$323,MATCH("Reg base",'K3 District Data as of Jan 2025'!$2:$2,0),FALSE),2)</f>
        <v>0</v>
      </c>
      <c r="F133" s="25">
        <f>ROUND($C133*CIS_Inc*(VLOOKUP($A133,'K3 District Data as of Jan 2025'!$A$3:$M$323,MATCH("Reg",'K3 District Data as of Jan 2025'!$2:$2,0),FALSE)+VLOOKUP($A133,'K3 District Data as of Jan 2025'!$A$3:$M$323,MATCH("Exp",'K3 District Data as of Jan 2025'!$2:$2,0),FALSE)),2)-E133</f>
        <v>0</v>
      </c>
      <c r="G133" s="25">
        <f>ROUND($D133*CLS_Base*VLOOKUP($A133,'K3 District Data as of Jan 2025'!$A$3:$M$323,MATCH("Reg base",'K3 District Data as of Jan 2025'!$2:$2,0),FALSE),2)</f>
        <v>0</v>
      </c>
      <c r="H133" s="25">
        <f>ROUND($D133*CLS_Inc*VLOOKUP($A133,'K3 District Data as of Jan 2025'!$A$3:$M$323,MATCH("Reg base",'K3 District Data as of Jan 2025'!$2:$2,0),FALSE),2)-G133</f>
        <v>0</v>
      </c>
      <c r="I133" s="25">
        <f t="shared" si="15"/>
        <v>0</v>
      </c>
      <c r="J133" s="25">
        <f t="shared" si="16"/>
        <v>0</v>
      </c>
      <c r="K133" s="25">
        <f t="shared" si="17"/>
        <v>0</v>
      </c>
      <c r="L133" s="25">
        <f t="shared" si="18"/>
        <v>0</v>
      </c>
      <c r="M133" s="25">
        <f t="shared" si="19"/>
        <v>0</v>
      </c>
      <c r="N133" s="25">
        <f t="shared" si="20"/>
        <v>0</v>
      </c>
      <c r="O133" s="25">
        <f>ROUND(($C133*CIS_Inc*(VLOOKUP($A133,'K3 District Data as of Jan 2025'!$A$3:$M$323,MATCH("Reg",'K3 District Data as of Jan 2025'!$2:$2,0),FALSE)+VLOOKUP($A133,'K3 District Data as of Jan 2025'!$A$3:$M$323,MATCH("Exp",'K3 District Data as of Jan 2025'!$2:$2,0),FALSE))/180)*3+(($C133*CIS_Inc*(VLOOKUP($A133,'K3 District Data as of Jan 2025'!$A$3:$M$323,MATCH("Reg",'K3 District Data as of Jan 2025'!$2:$2,0),FALSE)+VLOOKUP($A133,'K3 District Data as of Jan 2025'!$A$3:$M$323,MATCH("Exp",'K3 District Data as of Jan 2025'!$2:$2,0),FALSE))/180)*3)*CIS_Ben_Inc,2)</f>
        <v>0</v>
      </c>
      <c r="P133" s="23">
        <f t="shared" si="21"/>
        <v>0</v>
      </c>
    </row>
    <row r="134" spans="1:16" x14ac:dyDescent="0.25">
      <c r="A134" t="s">
        <v>150</v>
      </c>
      <c r="B134" t="s">
        <v>446</v>
      </c>
      <c r="C134" s="33">
        <f>IF(VLOOKUP($A134,'Enroll Data as of January 2025'!$A$3:$T$322,20,FALSE)&gt;0,0,VLOOKUP($A134,'Enroll Data as of January 2025'!$A$3:$T$322,20,FALSE)*'2024-25 PSES Compliance'!$G$13)</f>
        <v>0</v>
      </c>
      <c r="D134" s="33">
        <f>IF(VLOOKUP($A134,'Enroll Data as of January 2025'!$A$3:$T$322,20,FALSE)&gt;0,0,VLOOKUP($A134,'Enroll Data as of January 2025'!$A$3:$T$322,20,FALSE)*'2024-25 PSES Compliance'!$G$14)</f>
        <v>0</v>
      </c>
      <c r="E134" s="25">
        <f>ROUND($C134*CIS_Base*VLOOKUP($A134,'K3 District Data as of Jan 2025'!$A$3:$M$323,MATCH("Reg base",'K3 District Data as of Jan 2025'!$2:$2,0),FALSE),2)</f>
        <v>0</v>
      </c>
      <c r="F134" s="25">
        <f>ROUND($C134*CIS_Inc*(VLOOKUP($A134,'K3 District Data as of Jan 2025'!$A$3:$M$323,MATCH("Reg",'K3 District Data as of Jan 2025'!$2:$2,0),FALSE)+VLOOKUP($A134,'K3 District Data as of Jan 2025'!$A$3:$M$323,MATCH("Exp",'K3 District Data as of Jan 2025'!$2:$2,0),FALSE)),2)-E134</f>
        <v>0</v>
      </c>
      <c r="G134" s="25">
        <f>ROUND($D134*CLS_Base*VLOOKUP($A134,'K3 District Data as of Jan 2025'!$A$3:$M$323,MATCH("Reg base",'K3 District Data as of Jan 2025'!$2:$2,0),FALSE),2)</f>
        <v>0</v>
      </c>
      <c r="H134" s="25">
        <f>ROUND($D134*CLS_Inc*VLOOKUP($A134,'K3 District Data as of Jan 2025'!$A$3:$M$323,MATCH("Reg base",'K3 District Data as of Jan 2025'!$2:$2,0),FALSE),2)-G134</f>
        <v>0</v>
      </c>
      <c r="I134" s="25">
        <f t="shared" si="15"/>
        <v>0</v>
      </c>
      <c r="J134" s="25">
        <f t="shared" si="16"/>
        <v>0</v>
      </c>
      <c r="K134" s="25">
        <f t="shared" si="17"/>
        <v>0</v>
      </c>
      <c r="L134" s="25">
        <f t="shared" si="18"/>
        <v>0</v>
      </c>
      <c r="M134" s="25">
        <f t="shared" si="19"/>
        <v>0</v>
      </c>
      <c r="N134" s="25">
        <f t="shared" si="20"/>
        <v>0</v>
      </c>
      <c r="O134" s="25">
        <f>ROUND(($C134*CIS_Inc*(VLOOKUP($A134,'K3 District Data as of Jan 2025'!$A$3:$M$323,MATCH("Reg",'K3 District Data as of Jan 2025'!$2:$2,0),FALSE)+VLOOKUP($A134,'K3 District Data as of Jan 2025'!$A$3:$M$323,MATCH("Exp",'K3 District Data as of Jan 2025'!$2:$2,0),FALSE))/180)*3+(($C134*CIS_Inc*(VLOOKUP($A134,'K3 District Data as of Jan 2025'!$A$3:$M$323,MATCH("Reg",'K3 District Data as of Jan 2025'!$2:$2,0),FALSE)+VLOOKUP($A134,'K3 District Data as of Jan 2025'!$A$3:$M$323,MATCH("Exp",'K3 District Data as of Jan 2025'!$2:$2,0),FALSE))/180)*3)*CIS_Ben_Inc,2)</f>
        <v>0</v>
      </c>
      <c r="P134" s="23">
        <f t="shared" si="21"/>
        <v>0</v>
      </c>
    </row>
    <row r="135" spans="1:16" x14ac:dyDescent="0.25">
      <c r="A135" t="s">
        <v>148</v>
      </c>
      <c r="B135" t="s">
        <v>444</v>
      </c>
      <c r="C135" s="33">
        <f>IF(VLOOKUP($A135,'Enroll Data as of January 2025'!$A$3:$T$322,20,FALSE)&gt;0,0,VLOOKUP($A135,'Enroll Data as of January 2025'!$A$3:$T$322,20,FALSE)*'2024-25 PSES Compliance'!$G$13)</f>
        <v>0</v>
      </c>
      <c r="D135" s="33">
        <f>IF(VLOOKUP($A135,'Enroll Data as of January 2025'!$A$3:$T$322,20,FALSE)&gt;0,0,VLOOKUP($A135,'Enroll Data as of January 2025'!$A$3:$T$322,20,FALSE)*'2024-25 PSES Compliance'!$G$14)</f>
        <v>0</v>
      </c>
      <c r="E135" s="25">
        <f>ROUND($C135*CIS_Base*VLOOKUP($A135,'K3 District Data as of Jan 2025'!$A$3:$M$323,MATCH("Reg base",'K3 District Data as of Jan 2025'!$2:$2,0),FALSE),2)</f>
        <v>0</v>
      </c>
      <c r="F135" s="25">
        <f>ROUND($C135*CIS_Inc*(VLOOKUP($A135,'K3 District Data as of Jan 2025'!$A$3:$M$323,MATCH("Reg",'K3 District Data as of Jan 2025'!$2:$2,0),FALSE)+VLOOKUP($A135,'K3 District Data as of Jan 2025'!$A$3:$M$323,MATCH("Exp",'K3 District Data as of Jan 2025'!$2:$2,0),FALSE)),2)-E135</f>
        <v>0</v>
      </c>
      <c r="G135" s="25">
        <f>ROUND($D135*CLS_Base*VLOOKUP($A135,'K3 District Data as of Jan 2025'!$A$3:$M$323,MATCH("Reg base",'K3 District Data as of Jan 2025'!$2:$2,0),FALSE),2)</f>
        <v>0</v>
      </c>
      <c r="H135" s="25">
        <f>ROUND($D135*CLS_Inc*VLOOKUP($A135,'K3 District Data as of Jan 2025'!$A$3:$M$323,MATCH("Reg base",'K3 District Data as of Jan 2025'!$2:$2,0),FALSE),2)-G135</f>
        <v>0</v>
      </c>
      <c r="I135" s="25">
        <f t="shared" si="15"/>
        <v>0</v>
      </c>
      <c r="J135" s="25">
        <f t="shared" si="16"/>
        <v>0</v>
      </c>
      <c r="K135" s="25">
        <f t="shared" si="17"/>
        <v>0</v>
      </c>
      <c r="L135" s="25">
        <f t="shared" si="18"/>
        <v>0</v>
      </c>
      <c r="M135" s="25">
        <f t="shared" si="19"/>
        <v>0</v>
      </c>
      <c r="N135" s="25">
        <f t="shared" si="20"/>
        <v>0</v>
      </c>
      <c r="O135" s="25">
        <f>ROUND(($C135*CIS_Inc*(VLOOKUP($A135,'K3 District Data as of Jan 2025'!$A$3:$M$323,MATCH("Reg",'K3 District Data as of Jan 2025'!$2:$2,0),FALSE)+VLOOKUP($A135,'K3 District Data as of Jan 2025'!$A$3:$M$323,MATCH("Exp",'K3 District Data as of Jan 2025'!$2:$2,0),FALSE))/180)*3+(($C135*CIS_Inc*(VLOOKUP($A135,'K3 District Data as of Jan 2025'!$A$3:$M$323,MATCH("Reg",'K3 District Data as of Jan 2025'!$2:$2,0),FALSE)+VLOOKUP($A135,'K3 District Data as of Jan 2025'!$A$3:$M$323,MATCH("Exp",'K3 District Data as of Jan 2025'!$2:$2,0),FALSE))/180)*3)*CIS_Ben_Inc,2)</f>
        <v>0</v>
      </c>
      <c r="P135" s="23">
        <f t="shared" si="21"/>
        <v>0</v>
      </c>
    </row>
    <row r="136" spans="1:16" x14ac:dyDescent="0.25">
      <c r="A136" t="s">
        <v>234</v>
      </c>
      <c r="B136" t="s">
        <v>530</v>
      </c>
      <c r="C136" s="33">
        <f>IF(VLOOKUP($A136,'Enroll Data as of January 2025'!$A$3:$T$322,20,FALSE)&gt;0,0,VLOOKUP($A136,'Enroll Data as of January 2025'!$A$3:$T$322,20,FALSE)*'2024-25 PSES Compliance'!$G$13)</f>
        <v>0</v>
      </c>
      <c r="D136" s="33">
        <f>IF(VLOOKUP($A136,'Enroll Data as of January 2025'!$A$3:$T$322,20,FALSE)&gt;0,0,VLOOKUP($A136,'Enroll Data as of January 2025'!$A$3:$T$322,20,FALSE)*'2024-25 PSES Compliance'!$G$14)</f>
        <v>0</v>
      </c>
      <c r="E136" s="25">
        <f>ROUND($C136*CIS_Base*VLOOKUP($A136,'K3 District Data as of Jan 2025'!$A$3:$M$323,MATCH("Reg base",'K3 District Data as of Jan 2025'!$2:$2,0),FALSE),2)</f>
        <v>0</v>
      </c>
      <c r="F136" s="25">
        <f>ROUND($C136*CIS_Inc*(VLOOKUP($A136,'K3 District Data as of Jan 2025'!$A$3:$M$323,MATCH("Reg",'K3 District Data as of Jan 2025'!$2:$2,0),FALSE)+VLOOKUP($A136,'K3 District Data as of Jan 2025'!$A$3:$M$323,MATCH("Exp",'K3 District Data as of Jan 2025'!$2:$2,0),FALSE)),2)-E136</f>
        <v>0</v>
      </c>
      <c r="G136" s="25">
        <f>ROUND($D136*CLS_Base*VLOOKUP($A136,'K3 District Data as of Jan 2025'!$A$3:$M$323,MATCH("Reg base",'K3 District Data as of Jan 2025'!$2:$2,0),FALSE),2)</f>
        <v>0</v>
      </c>
      <c r="H136" s="25">
        <f>ROUND($D136*CLS_Inc*VLOOKUP($A136,'K3 District Data as of Jan 2025'!$A$3:$M$323,MATCH("Reg base",'K3 District Data as of Jan 2025'!$2:$2,0),FALSE),2)-G136</f>
        <v>0</v>
      </c>
      <c r="I136" s="25">
        <f t="shared" si="15"/>
        <v>0</v>
      </c>
      <c r="J136" s="25">
        <f t="shared" si="16"/>
        <v>0</v>
      </c>
      <c r="K136" s="25">
        <f t="shared" si="17"/>
        <v>0</v>
      </c>
      <c r="L136" s="25">
        <f t="shared" si="18"/>
        <v>0</v>
      </c>
      <c r="M136" s="25">
        <f t="shared" si="19"/>
        <v>0</v>
      </c>
      <c r="N136" s="25">
        <f t="shared" si="20"/>
        <v>0</v>
      </c>
      <c r="O136" s="25">
        <f>ROUND(($C136*CIS_Inc*(VLOOKUP($A136,'K3 District Data as of Jan 2025'!$A$3:$M$323,MATCH("Reg",'K3 District Data as of Jan 2025'!$2:$2,0),FALSE)+VLOOKUP($A136,'K3 District Data as of Jan 2025'!$A$3:$M$323,MATCH("Exp",'K3 District Data as of Jan 2025'!$2:$2,0),FALSE))/180)*3+(($C136*CIS_Inc*(VLOOKUP($A136,'K3 District Data as of Jan 2025'!$A$3:$M$323,MATCH("Reg",'K3 District Data as of Jan 2025'!$2:$2,0),FALSE)+VLOOKUP($A136,'K3 District Data as of Jan 2025'!$A$3:$M$323,MATCH("Exp",'K3 District Data as of Jan 2025'!$2:$2,0),FALSE))/180)*3)*CIS_Ben_Inc,2)</f>
        <v>0</v>
      </c>
      <c r="P136" s="23">
        <f t="shared" si="21"/>
        <v>0</v>
      </c>
    </row>
    <row r="137" spans="1:16" x14ac:dyDescent="0.25">
      <c r="A137" t="s">
        <v>241</v>
      </c>
      <c r="B137" t="s">
        <v>537</v>
      </c>
      <c r="C137" s="33">
        <f>IF(VLOOKUP($A137,'Enroll Data as of January 2025'!$A$3:$T$322,20,FALSE)&gt;0,0,VLOOKUP($A137,'Enroll Data as of January 2025'!$A$3:$T$322,20,FALSE)*'2024-25 PSES Compliance'!$G$13)</f>
        <v>0</v>
      </c>
      <c r="D137" s="33">
        <f>IF(VLOOKUP($A137,'Enroll Data as of January 2025'!$A$3:$T$322,20,FALSE)&gt;0,0,VLOOKUP($A137,'Enroll Data as of January 2025'!$A$3:$T$322,20,FALSE)*'2024-25 PSES Compliance'!$G$14)</f>
        <v>0</v>
      </c>
      <c r="E137" s="25">
        <f>ROUND($C137*CIS_Base*VLOOKUP($A137,'K3 District Data as of Jan 2025'!$A$3:$M$323,MATCH("Reg base",'K3 District Data as of Jan 2025'!$2:$2,0),FALSE),2)</f>
        <v>0</v>
      </c>
      <c r="F137" s="25">
        <f>ROUND($C137*CIS_Inc*(VLOOKUP($A137,'K3 District Data as of Jan 2025'!$A$3:$M$323,MATCH("Reg",'K3 District Data as of Jan 2025'!$2:$2,0),FALSE)+VLOOKUP($A137,'K3 District Data as of Jan 2025'!$A$3:$M$323,MATCH("Exp",'K3 District Data as of Jan 2025'!$2:$2,0),FALSE)),2)-E137</f>
        <v>0</v>
      </c>
      <c r="G137" s="25">
        <f>ROUND($D137*CLS_Base*VLOOKUP($A137,'K3 District Data as of Jan 2025'!$A$3:$M$323,MATCH("Reg base",'K3 District Data as of Jan 2025'!$2:$2,0),FALSE),2)</f>
        <v>0</v>
      </c>
      <c r="H137" s="25">
        <f>ROUND($D137*CLS_Inc*VLOOKUP($A137,'K3 District Data as of Jan 2025'!$A$3:$M$323,MATCH("Reg base",'K3 District Data as of Jan 2025'!$2:$2,0),FALSE),2)-G137</f>
        <v>0</v>
      </c>
      <c r="I137" s="25">
        <f t="shared" si="15"/>
        <v>0</v>
      </c>
      <c r="J137" s="25">
        <f t="shared" si="16"/>
        <v>0</v>
      </c>
      <c r="K137" s="25">
        <f t="shared" si="17"/>
        <v>0</v>
      </c>
      <c r="L137" s="25">
        <f t="shared" si="18"/>
        <v>0</v>
      </c>
      <c r="M137" s="25">
        <f t="shared" si="19"/>
        <v>0</v>
      </c>
      <c r="N137" s="25">
        <f t="shared" si="20"/>
        <v>0</v>
      </c>
      <c r="O137" s="25">
        <f>ROUND(($C137*CIS_Inc*(VLOOKUP($A137,'K3 District Data as of Jan 2025'!$A$3:$M$323,MATCH("Reg",'K3 District Data as of Jan 2025'!$2:$2,0),FALSE)+VLOOKUP($A137,'K3 District Data as of Jan 2025'!$A$3:$M$323,MATCH("Exp",'K3 District Data as of Jan 2025'!$2:$2,0),FALSE))/180)*3+(($C137*CIS_Inc*(VLOOKUP($A137,'K3 District Data as of Jan 2025'!$A$3:$M$323,MATCH("Reg",'K3 District Data as of Jan 2025'!$2:$2,0),FALSE)+VLOOKUP($A137,'K3 District Data as of Jan 2025'!$A$3:$M$323,MATCH("Exp",'K3 District Data as of Jan 2025'!$2:$2,0),FALSE))/180)*3)*CIS_Ben_Inc,2)</f>
        <v>0</v>
      </c>
      <c r="P137" s="23">
        <f t="shared" si="21"/>
        <v>0</v>
      </c>
    </row>
    <row r="138" spans="1:16" x14ac:dyDescent="0.25">
      <c r="A138" t="s">
        <v>632</v>
      </c>
      <c r="B138" t="s">
        <v>634</v>
      </c>
      <c r="C138" s="33">
        <f>IF(VLOOKUP($A138,'Enroll Data as of January 2025'!$A$3:$T$322,20,FALSE)&gt;0,0,VLOOKUP($A138,'Enroll Data as of January 2025'!$A$3:$T$322,20,FALSE)*'2024-25 PSES Compliance'!$G$13)</f>
        <v>0</v>
      </c>
      <c r="D138" s="33">
        <f>IF(VLOOKUP($A138,'Enroll Data as of January 2025'!$A$3:$T$322,20,FALSE)&gt;0,0,VLOOKUP($A138,'Enroll Data as of January 2025'!$A$3:$T$322,20,FALSE)*'2024-25 PSES Compliance'!$G$14)</f>
        <v>0</v>
      </c>
      <c r="E138" s="25">
        <f>ROUND($C138*CIS_Base*VLOOKUP($A138,'K3 District Data as of Jan 2025'!$A$3:$M$323,MATCH("Reg base",'K3 District Data as of Jan 2025'!$2:$2,0),FALSE),2)</f>
        <v>0</v>
      </c>
      <c r="F138" s="25">
        <f>ROUND($C138*CIS_Inc*(VLOOKUP($A138,'K3 District Data as of Jan 2025'!$A$3:$M$323,MATCH("Reg",'K3 District Data as of Jan 2025'!$2:$2,0),FALSE)+VLOOKUP($A138,'K3 District Data as of Jan 2025'!$A$3:$M$323,MATCH("Exp",'K3 District Data as of Jan 2025'!$2:$2,0),FALSE)),2)-E138</f>
        <v>0</v>
      </c>
      <c r="G138" s="25">
        <f>ROUND($D138*CLS_Base*VLOOKUP($A138,'K3 District Data as of Jan 2025'!$A$3:$M$323,MATCH("Reg base",'K3 District Data as of Jan 2025'!$2:$2,0),FALSE),2)</f>
        <v>0</v>
      </c>
      <c r="H138" s="25">
        <f>ROUND($D138*CLS_Inc*VLOOKUP($A138,'K3 District Data as of Jan 2025'!$A$3:$M$323,MATCH("Reg base",'K3 District Data as of Jan 2025'!$2:$2,0),FALSE),2)-G138</f>
        <v>0</v>
      </c>
      <c r="I138" s="25">
        <f t="shared" si="15"/>
        <v>0</v>
      </c>
      <c r="J138" s="25">
        <f t="shared" si="16"/>
        <v>0</v>
      </c>
      <c r="K138" s="25">
        <f t="shared" si="17"/>
        <v>0</v>
      </c>
      <c r="L138" s="25">
        <f t="shared" si="18"/>
        <v>0</v>
      </c>
      <c r="M138" s="25">
        <f t="shared" si="19"/>
        <v>0</v>
      </c>
      <c r="N138" s="25">
        <f t="shared" si="20"/>
        <v>0</v>
      </c>
      <c r="O138" s="25">
        <f>ROUND(($C138*CIS_Inc*(VLOOKUP($A138,'K3 District Data as of Jan 2025'!$A$3:$M$323,MATCH("Reg",'K3 District Data as of Jan 2025'!$2:$2,0),FALSE)+VLOOKUP($A138,'K3 District Data as of Jan 2025'!$A$3:$M$323,MATCH("Exp",'K3 District Data as of Jan 2025'!$2:$2,0),FALSE))/180)*3+(($C138*CIS_Inc*(VLOOKUP($A138,'K3 District Data as of Jan 2025'!$A$3:$M$323,MATCH("Reg",'K3 District Data as of Jan 2025'!$2:$2,0),FALSE)+VLOOKUP($A138,'K3 District Data as of Jan 2025'!$A$3:$M$323,MATCH("Exp",'K3 District Data as of Jan 2025'!$2:$2,0),FALSE))/180)*3)*CIS_Ben_Inc,2)</f>
        <v>0</v>
      </c>
      <c r="P138" s="23">
        <f t="shared" si="21"/>
        <v>0</v>
      </c>
    </row>
    <row r="139" spans="1:16" x14ac:dyDescent="0.25">
      <c r="A139" t="s">
        <v>94</v>
      </c>
      <c r="B139" t="s">
        <v>390</v>
      </c>
      <c r="C139" s="33">
        <f>IF(VLOOKUP($A139,'Enroll Data as of January 2025'!$A$3:$T$322,20,FALSE)&gt;0,0,VLOOKUP($A139,'Enroll Data as of January 2025'!$A$3:$T$322,20,FALSE)*'2024-25 PSES Compliance'!$G$13)</f>
        <v>0</v>
      </c>
      <c r="D139" s="33">
        <f>IF(VLOOKUP($A139,'Enroll Data as of January 2025'!$A$3:$T$322,20,FALSE)&gt;0,0,VLOOKUP($A139,'Enroll Data as of January 2025'!$A$3:$T$322,20,FALSE)*'2024-25 PSES Compliance'!$G$14)</f>
        <v>0</v>
      </c>
      <c r="E139" s="25">
        <f>ROUND($C139*CIS_Base*VLOOKUP($A139,'K3 District Data as of Jan 2025'!$A$3:$M$323,MATCH("Reg base",'K3 District Data as of Jan 2025'!$2:$2,0),FALSE),2)</f>
        <v>0</v>
      </c>
      <c r="F139" s="25">
        <f>ROUND($C139*CIS_Inc*(VLOOKUP($A139,'K3 District Data as of Jan 2025'!$A$3:$M$323,MATCH("Reg",'K3 District Data as of Jan 2025'!$2:$2,0),FALSE)+VLOOKUP($A139,'K3 District Data as of Jan 2025'!$A$3:$M$323,MATCH("Exp",'K3 District Data as of Jan 2025'!$2:$2,0),FALSE)),2)-E139</f>
        <v>0</v>
      </c>
      <c r="G139" s="25">
        <f>ROUND($D139*CLS_Base*VLOOKUP($A139,'K3 District Data as of Jan 2025'!$A$3:$M$323,MATCH("Reg base",'K3 District Data as of Jan 2025'!$2:$2,0),FALSE),2)</f>
        <v>0</v>
      </c>
      <c r="H139" s="25">
        <f>ROUND($D139*CLS_Inc*VLOOKUP($A139,'K3 District Data as of Jan 2025'!$A$3:$M$323,MATCH("Reg base",'K3 District Data as of Jan 2025'!$2:$2,0),FALSE),2)-G139</f>
        <v>0</v>
      </c>
      <c r="I139" s="25">
        <f t="shared" si="15"/>
        <v>0</v>
      </c>
      <c r="J139" s="25">
        <f t="shared" si="16"/>
        <v>0</v>
      </c>
      <c r="K139" s="25">
        <f t="shared" si="17"/>
        <v>0</v>
      </c>
      <c r="L139" s="25">
        <f t="shared" si="18"/>
        <v>0</v>
      </c>
      <c r="M139" s="25">
        <f t="shared" si="19"/>
        <v>0</v>
      </c>
      <c r="N139" s="25">
        <f t="shared" si="20"/>
        <v>0</v>
      </c>
      <c r="O139" s="25">
        <f>ROUND(($C139*CIS_Inc*(VLOOKUP($A139,'K3 District Data as of Jan 2025'!$A$3:$M$323,MATCH("Reg",'K3 District Data as of Jan 2025'!$2:$2,0),FALSE)+VLOOKUP($A139,'K3 District Data as of Jan 2025'!$A$3:$M$323,MATCH("Exp",'K3 District Data as of Jan 2025'!$2:$2,0),FALSE))/180)*3+(($C139*CIS_Inc*(VLOOKUP($A139,'K3 District Data as of Jan 2025'!$A$3:$M$323,MATCH("Reg",'K3 District Data as of Jan 2025'!$2:$2,0),FALSE)+VLOOKUP($A139,'K3 District Data as of Jan 2025'!$A$3:$M$323,MATCH("Exp",'K3 District Data as of Jan 2025'!$2:$2,0),FALSE))/180)*3)*CIS_Ben_Inc,2)</f>
        <v>0</v>
      </c>
      <c r="P139" s="23">
        <f t="shared" si="21"/>
        <v>0</v>
      </c>
    </row>
    <row r="140" spans="1:16" x14ac:dyDescent="0.25">
      <c r="A140" t="s">
        <v>280</v>
      </c>
      <c r="B140" t="s">
        <v>576</v>
      </c>
      <c r="C140" s="33">
        <f>IF(VLOOKUP($A140,'Enroll Data as of January 2025'!$A$3:$T$322,20,FALSE)&gt;0,0,VLOOKUP($A140,'Enroll Data as of January 2025'!$A$3:$T$322,20,FALSE)*'2024-25 PSES Compliance'!$G$13)</f>
        <v>0</v>
      </c>
      <c r="D140" s="33">
        <f>IF(VLOOKUP($A140,'Enroll Data as of January 2025'!$A$3:$T$322,20,FALSE)&gt;0,0,VLOOKUP($A140,'Enroll Data as of January 2025'!$A$3:$T$322,20,FALSE)*'2024-25 PSES Compliance'!$G$14)</f>
        <v>0</v>
      </c>
      <c r="E140" s="25">
        <f>ROUND($C140*CIS_Base*VLOOKUP($A140,'K3 District Data as of Jan 2025'!$A$3:$M$323,MATCH("Reg base",'K3 District Data as of Jan 2025'!$2:$2,0),FALSE),2)</f>
        <v>0</v>
      </c>
      <c r="F140" s="25">
        <f>ROUND($C140*CIS_Inc*(VLOOKUP($A140,'K3 District Data as of Jan 2025'!$A$3:$M$323,MATCH("Reg",'K3 District Data as of Jan 2025'!$2:$2,0),FALSE)+VLOOKUP($A140,'K3 District Data as of Jan 2025'!$A$3:$M$323,MATCH("Exp",'K3 District Data as of Jan 2025'!$2:$2,0),FALSE)),2)-E140</f>
        <v>0</v>
      </c>
      <c r="G140" s="25">
        <f>ROUND($D140*CLS_Base*VLOOKUP($A140,'K3 District Data as of Jan 2025'!$A$3:$M$323,MATCH("Reg base",'K3 District Data as of Jan 2025'!$2:$2,0),FALSE),2)</f>
        <v>0</v>
      </c>
      <c r="H140" s="25">
        <f>ROUND($D140*CLS_Inc*VLOOKUP($A140,'K3 District Data as of Jan 2025'!$A$3:$M$323,MATCH("Reg base",'K3 District Data as of Jan 2025'!$2:$2,0),FALSE),2)-G140</f>
        <v>0</v>
      </c>
      <c r="I140" s="25">
        <f t="shared" si="15"/>
        <v>0</v>
      </c>
      <c r="J140" s="25">
        <f t="shared" si="16"/>
        <v>0</v>
      </c>
      <c r="K140" s="25">
        <f t="shared" si="17"/>
        <v>0</v>
      </c>
      <c r="L140" s="25">
        <f t="shared" si="18"/>
        <v>0</v>
      </c>
      <c r="M140" s="25">
        <f t="shared" si="19"/>
        <v>0</v>
      </c>
      <c r="N140" s="25">
        <f t="shared" si="20"/>
        <v>0</v>
      </c>
      <c r="O140" s="25">
        <f>ROUND(($C140*CIS_Inc*(VLOOKUP($A140,'K3 District Data as of Jan 2025'!$A$3:$M$323,MATCH("Reg",'K3 District Data as of Jan 2025'!$2:$2,0),FALSE)+VLOOKUP($A140,'K3 District Data as of Jan 2025'!$A$3:$M$323,MATCH("Exp",'K3 District Data as of Jan 2025'!$2:$2,0),FALSE))/180)*3+(($C140*CIS_Inc*(VLOOKUP($A140,'K3 District Data as of Jan 2025'!$A$3:$M$323,MATCH("Reg",'K3 District Data as of Jan 2025'!$2:$2,0),FALSE)+VLOOKUP($A140,'K3 District Data as of Jan 2025'!$A$3:$M$323,MATCH("Exp",'K3 District Data as of Jan 2025'!$2:$2,0),FALSE))/180)*3)*CIS_Ben_Inc,2)</f>
        <v>0</v>
      </c>
      <c r="P140" s="23">
        <f t="shared" si="21"/>
        <v>0</v>
      </c>
    </row>
    <row r="141" spans="1:16" x14ac:dyDescent="0.25">
      <c r="A141" t="s">
        <v>263</v>
      </c>
      <c r="B141" t="s">
        <v>559</v>
      </c>
      <c r="C141" s="33">
        <f>IF(VLOOKUP($A141,'Enroll Data as of January 2025'!$A$3:$T$322,20,FALSE)&gt;0,0,VLOOKUP($A141,'Enroll Data as of January 2025'!$A$3:$T$322,20,FALSE)*'2024-25 PSES Compliance'!$G$13)</f>
        <v>0</v>
      </c>
      <c r="D141" s="33">
        <f>IF(VLOOKUP($A141,'Enroll Data as of January 2025'!$A$3:$T$322,20,FALSE)&gt;0,0,VLOOKUP($A141,'Enroll Data as of January 2025'!$A$3:$T$322,20,FALSE)*'2024-25 PSES Compliance'!$G$14)</f>
        <v>0</v>
      </c>
      <c r="E141" s="25">
        <f>ROUND($C141*CIS_Base*VLOOKUP($A141,'K3 District Data as of Jan 2025'!$A$3:$M$323,MATCH("Reg base",'K3 District Data as of Jan 2025'!$2:$2,0),FALSE),2)</f>
        <v>0</v>
      </c>
      <c r="F141" s="25">
        <f>ROUND($C141*CIS_Inc*(VLOOKUP($A141,'K3 District Data as of Jan 2025'!$A$3:$M$323,MATCH("Reg",'K3 District Data as of Jan 2025'!$2:$2,0),FALSE)+VLOOKUP($A141,'K3 District Data as of Jan 2025'!$A$3:$M$323,MATCH("Exp",'K3 District Data as of Jan 2025'!$2:$2,0),FALSE)),2)-E141</f>
        <v>0</v>
      </c>
      <c r="G141" s="25">
        <f>ROUND($D141*CLS_Base*VLOOKUP($A141,'K3 District Data as of Jan 2025'!$A$3:$M$323,MATCH("Reg base",'K3 District Data as of Jan 2025'!$2:$2,0),FALSE),2)</f>
        <v>0</v>
      </c>
      <c r="H141" s="25">
        <f>ROUND($D141*CLS_Inc*VLOOKUP($A141,'K3 District Data as of Jan 2025'!$A$3:$M$323,MATCH("Reg base",'K3 District Data as of Jan 2025'!$2:$2,0),FALSE),2)-G141</f>
        <v>0</v>
      </c>
      <c r="I141" s="25">
        <f t="shared" si="15"/>
        <v>0</v>
      </c>
      <c r="J141" s="25">
        <f t="shared" si="16"/>
        <v>0</v>
      </c>
      <c r="K141" s="25">
        <f t="shared" si="17"/>
        <v>0</v>
      </c>
      <c r="L141" s="25">
        <f t="shared" si="18"/>
        <v>0</v>
      </c>
      <c r="M141" s="25">
        <f t="shared" si="19"/>
        <v>0</v>
      </c>
      <c r="N141" s="25">
        <f t="shared" si="20"/>
        <v>0</v>
      </c>
      <c r="O141" s="25">
        <f>ROUND(($C141*CIS_Inc*(VLOOKUP($A141,'K3 District Data as of Jan 2025'!$A$3:$M$323,MATCH("Reg",'K3 District Data as of Jan 2025'!$2:$2,0),FALSE)+VLOOKUP($A141,'K3 District Data as of Jan 2025'!$A$3:$M$323,MATCH("Exp",'K3 District Data as of Jan 2025'!$2:$2,0),FALSE))/180)*3+(($C141*CIS_Inc*(VLOOKUP($A141,'K3 District Data as of Jan 2025'!$A$3:$M$323,MATCH("Reg",'K3 District Data as of Jan 2025'!$2:$2,0),FALSE)+VLOOKUP($A141,'K3 District Data as of Jan 2025'!$A$3:$M$323,MATCH("Exp",'K3 District Data as of Jan 2025'!$2:$2,0),FALSE))/180)*3)*CIS_Ben_Inc,2)</f>
        <v>0</v>
      </c>
      <c r="P141" s="23">
        <f t="shared" si="21"/>
        <v>0</v>
      </c>
    </row>
    <row r="142" spans="1:16" x14ac:dyDescent="0.25">
      <c r="A142" t="s">
        <v>248</v>
      </c>
      <c r="B142" t="s">
        <v>544</v>
      </c>
      <c r="C142" s="33">
        <f>IF(VLOOKUP($A142,'Enroll Data as of January 2025'!$A$3:$T$322,20,FALSE)&gt;0,0,VLOOKUP($A142,'Enroll Data as of January 2025'!$A$3:$T$322,20,FALSE)*'2024-25 PSES Compliance'!$G$13)</f>
        <v>-0.2112</v>
      </c>
      <c r="D142" s="33">
        <f>IF(VLOOKUP($A142,'Enroll Data as of January 2025'!$A$3:$T$322,20,FALSE)&gt;0,0,VLOOKUP($A142,'Enroll Data as of January 2025'!$A$3:$T$322,20,FALSE)*'2024-25 PSES Compliance'!$G$14)</f>
        <v>-8.8000000000000005E-3</v>
      </c>
      <c r="E142" s="25">
        <f>ROUND($C142*CIS_Base*VLOOKUP($A142,'K3 District Data as of Jan 2025'!$A$3:$M$323,MATCH("Reg base",'K3 District Data as of Jan 2025'!$2:$2,0),FALSE),2)</f>
        <v>-15360.15</v>
      </c>
      <c r="F142" s="25">
        <f>ROUND($C142*CIS_Inc*(VLOOKUP($A142,'K3 District Data as of Jan 2025'!$A$3:$M$323,MATCH("Reg",'K3 District Data as of Jan 2025'!$2:$2,0),FALSE)+VLOOKUP($A142,'K3 District Data as of Jan 2025'!$A$3:$M$323,MATCH("Exp",'K3 District Data as of Jan 2025'!$2:$2,0),FALSE)),2)-E142</f>
        <v>-1157.590000000002</v>
      </c>
      <c r="G142" s="25">
        <f>ROUND($D142*CLS_Base*VLOOKUP($A142,'K3 District Data as of Jan 2025'!$A$3:$M$323,MATCH("Reg base",'K3 District Data as of Jan 2025'!$2:$2,0),FALSE),2)</f>
        <v>-459.12</v>
      </c>
      <c r="H142" s="25">
        <f>ROUND($D142*CLS_Inc*VLOOKUP($A142,'K3 District Data as of Jan 2025'!$A$3:$M$323,MATCH("Reg base",'K3 District Data as of Jan 2025'!$2:$2,0),FALSE),2)-G142</f>
        <v>-34.600000000000023</v>
      </c>
      <c r="I142" s="25">
        <f t="shared" si="15"/>
        <v>-3045.23</v>
      </c>
      <c r="J142" s="25">
        <f t="shared" si="16"/>
        <v>-177.89</v>
      </c>
      <c r="K142" s="25">
        <f t="shared" si="17"/>
        <v>-2787.87</v>
      </c>
      <c r="L142" s="25">
        <f t="shared" si="18"/>
        <v>-2689.56</v>
      </c>
      <c r="M142" s="25">
        <f t="shared" si="19"/>
        <v>-99.45</v>
      </c>
      <c r="N142" s="25">
        <f t="shared" si="20"/>
        <v>-6.28</v>
      </c>
      <c r="O142" s="25">
        <f>ROUND(($C142*CIS_Inc*(VLOOKUP($A142,'K3 District Data as of Jan 2025'!$A$3:$M$323,MATCH("Reg",'K3 District Data as of Jan 2025'!$2:$2,0),FALSE)+VLOOKUP($A142,'K3 District Data as of Jan 2025'!$A$3:$M$323,MATCH("Exp",'K3 District Data as of Jan 2025'!$2:$2,0),FALSE))/180)*3+(($C142*CIS_Inc*(VLOOKUP($A142,'K3 District Data as of Jan 2025'!$A$3:$M$323,MATCH("Reg",'K3 District Data as of Jan 2025'!$2:$2,0),FALSE)+VLOOKUP($A142,'K3 District Data as of Jan 2025'!$A$3:$M$323,MATCH("Exp",'K3 District Data as of Jan 2025'!$2:$2,0),FALSE))/180)*3)*CIS_Ben_Inc,2)</f>
        <v>-323.5</v>
      </c>
      <c r="P142" s="23">
        <f t="shared" si="21"/>
        <v>-26141.239999999998</v>
      </c>
    </row>
    <row r="143" spans="1:16" x14ac:dyDescent="0.25">
      <c r="A143" t="s">
        <v>244</v>
      </c>
      <c r="B143" t="s">
        <v>540</v>
      </c>
      <c r="C143" s="33">
        <f>IF(VLOOKUP($A143,'Enroll Data as of January 2025'!$A$3:$T$322,20,FALSE)&gt;0,0,VLOOKUP($A143,'Enroll Data as of January 2025'!$A$3:$T$322,20,FALSE)*'2024-25 PSES Compliance'!$G$13)</f>
        <v>0</v>
      </c>
      <c r="D143" s="33">
        <f>IF(VLOOKUP($A143,'Enroll Data as of January 2025'!$A$3:$T$322,20,FALSE)&gt;0,0,VLOOKUP($A143,'Enroll Data as of January 2025'!$A$3:$T$322,20,FALSE)*'2024-25 PSES Compliance'!$G$14)</f>
        <v>0</v>
      </c>
      <c r="E143" s="25">
        <f>ROUND($C143*CIS_Base*VLOOKUP($A143,'K3 District Data as of Jan 2025'!$A$3:$M$323,MATCH("Reg base",'K3 District Data as of Jan 2025'!$2:$2,0),FALSE),2)</f>
        <v>0</v>
      </c>
      <c r="F143" s="25">
        <f>ROUND($C143*CIS_Inc*(VLOOKUP($A143,'K3 District Data as of Jan 2025'!$A$3:$M$323,MATCH("Reg",'K3 District Data as of Jan 2025'!$2:$2,0),FALSE)+VLOOKUP($A143,'K3 District Data as of Jan 2025'!$A$3:$M$323,MATCH("Exp",'K3 District Data as of Jan 2025'!$2:$2,0),FALSE)),2)-E143</f>
        <v>0</v>
      </c>
      <c r="G143" s="25">
        <f>ROUND($D143*CLS_Base*VLOOKUP($A143,'K3 District Data as of Jan 2025'!$A$3:$M$323,MATCH("Reg base",'K3 District Data as of Jan 2025'!$2:$2,0),FALSE),2)</f>
        <v>0</v>
      </c>
      <c r="H143" s="25">
        <f>ROUND($D143*CLS_Inc*VLOOKUP($A143,'K3 District Data as of Jan 2025'!$A$3:$M$323,MATCH("Reg base",'K3 District Data as of Jan 2025'!$2:$2,0),FALSE),2)-G143</f>
        <v>0</v>
      </c>
      <c r="I143" s="25">
        <f t="shared" si="15"/>
        <v>0</v>
      </c>
      <c r="J143" s="25">
        <f t="shared" si="16"/>
        <v>0</v>
      </c>
      <c r="K143" s="25">
        <f t="shared" si="17"/>
        <v>0</v>
      </c>
      <c r="L143" s="25">
        <f t="shared" si="18"/>
        <v>0</v>
      </c>
      <c r="M143" s="25">
        <f t="shared" si="19"/>
        <v>0</v>
      </c>
      <c r="N143" s="25">
        <f t="shared" si="20"/>
        <v>0</v>
      </c>
      <c r="O143" s="25">
        <f>ROUND(($C143*CIS_Inc*(VLOOKUP($A143,'K3 District Data as of Jan 2025'!$A$3:$M$323,MATCH("Reg",'K3 District Data as of Jan 2025'!$2:$2,0),FALSE)+VLOOKUP($A143,'K3 District Data as of Jan 2025'!$A$3:$M$323,MATCH("Exp",'K3 District Data as of Jan 2025'!$2:$2,0),FALSE))/180)*3+(($C143*CIS_Inc*(VLOOKUP($A143,'K3 District Data as of Jan 2025'!$A$3:$M$323,MATCH("Reg",'K3 District Data as of Jan 2025'!$2:$2,0),FALSE)+VLOOKUP($A143,'K3 District Data as of Jan 2025'!$A$3:$M$323,MATCH("Exp",'K3 District Data as of Jan 2025'!$2:$2,0),FALSE))/180)*3)*CIS_Ben_Inc,2)</f>
        <v>0</v>
      </c>
      <c r="P143" s="23">
        <f t="shared" si="21"/>
        <v>0</v>
      </c>
    </row>
    <row r="144" spans="1:16" x14ac:dyDescent="0.25">
      <c r="A144" t="s">
        <v>202</v>
      </c>
      <c r="B144" t="s">
        <v>497</v>
      </c>
      <c r="C144" s="33">
        <f>IF(VLOOKUP($A144,'Enroll Data as of January 2025'!$A$3:$T$322,20,FALSE)&gt;0,0,VLOOKUP($A144,'Enroll Data as of January 2025'!$A$3:$T$322,20,FALSE)*'2024-25 PSES Compliance'!$G$13)</f>
        <v>0</v>
      </c>
      <c r="D144" s="33">
        <f>IF(VLOOKUP($A144,'Enroll Data as of January 2025'!$A$3:$T$322,20,FALSE)&gt;0,0,VLOOKUP($A144,'Enroll Data as of January 2025'!$A$3:$T$322,20,FALSE)*'2024-25 PSES Compliance'!$G$14)</f>
        <v>0</v>
      </c>
      <c r="E144" s="25">
        <f>ROUND($C144*CIS_Base*VLOOKUP($A144,'K3 District Data as of Jan 2025'!$A$3:$M$323,MATCH("Reg base",'K3 District Data as of Jan 2025'!$2:$2,0),FALSE),2)</f>
        <v>0</v>
      </c>
      <c r="F144" s="25">
        <f>ROUND($C144*CIS_Inc*(VLOOKUP($A144,'K3 District Data as of Jan 2025'!$A$3:$M$323,MATCH("Reg",'K3 District Data as of Jan 2025'!$2:$2,0),FALSE)+VLOOKUP($A144,'K3 District Data as of Jan 2025'!$A$3:$M$323,MATCH("Exp",'K3 District Data as of Jan 2025'!$2:$2,0),FALSE)),2)-E144</f>
        <v>0</v>
      </c>
      <c r="G144" s="25">
        <f>ROUND($D144*CLS_Base*VLOOKUP($A144,'K3 District Data as of Jan 2025'!$A$3:$M$323,MATCH("Reg base",'K3 District Data as of Jan 2025'!$2:$2,0),FALSE),2)</f>
        <v>0</v>
      </c>
      <c r="H144" s="25">
        <f>ROUND($D144*CLS_Inc*VLOOKUP($A144,'K3 District Data as of Jan 2025'!$A$3:$M$323,MATCH("Reg base",'K3 District Data as of Jan 2025'!$2:$2,0),FALSE),2)-G144</f>
        <v>0</v>
      </c>
      <c r="I144" s="25">
        <f t="shared" si="15"/>
        <v>0</v>
      </c>
      <c r="J144" s="25">
        <f t="shared" si="16"/>
        <v>0</v>
      </c>
      <c r="K144" s="25">
        <f t="shared" si="17"/>
        <v>0</v>
      </c>
      <c r="L144" s="25">
        <f t="shared" si="18"/>
        <v>0</v>
      </c>
      <c r="M144" s="25">
        <f t="shared" si="19"/>
        <v>0</v>
      </c>
      <c r="N144" s="25">
        <f t="shared" si="20"/>
        <v>0</v>
      </c>
      <c r="O144" s="25">
        <f>ROUND(($C144*CIS_Inc*(VLOOKUP($A144,'K3 District Data as of Jan 2025'!$A$3:$M$323,MATCH("Reg",'K3 District Data as of Jan 2025'!$2:$2,0),FALSE)+VLOOKUP($A144,'K3 District Data as of Jan 2025'!$A$3:$M$323,MATCH("Exp",'K3 District Data as of Jan 2025'!$2:$2,0),FALSE))/180)*3+(($C144*CIS_Inc*(VLOOKUP($A144,'K3 District Data as of Jan 2025'!$A$3:$M$323,MATCH("Reg",'K3 District Data as of Jan 2025'!$2:$2,0),FALSE)+VLOOKUP($A144,'K3 District Data as of Jan 2025'!$A$3:$M$323,MATCH("Exp",'K3 District Data as of Jan 2025'!$2:$2,0),FALSE))/180)*3)*CIS_Ben_Inc,2)</f>
        <v>0</v>
      </c>
      <c r="P144" s="23">
        <f t="shared" si="21"/>
        <v>0</v>
      </c>
    </row>
    <row r="145" spans="1:16" x14ac:dyDescent="0.25">
      <c r="A145" t="s">
        <v>207</v>
      </c>
      <c r="B145" t="s">
        <v>502</v>
      </c>
      <c r="C145" s="33">
        <f>IF(VLOOKUP($A145,'Enroll Data as of January 2025'!$A$3:$T$322,20,FALSE)&gt;0,0,VLOOKUP($A145,'Enroll Data as of January 2025'!$A$3:$T$322,20,FALSE)*'2024-25 PSES Compliance'!$G$13)</f>
        <v>-0.49440000000000001</v>
      </c>
      <c r="D145" s="33">
        <f>IF(VLOOKUP($A145,'Enroll Data as of January 2025'!$A$3:$T$322,20,FALSE)&gt;0,0,VLOOKUP($A145,'Enroll Data as of January 2025'!$A$3:$T$322,20,FALSE)*'2024-25 PSES Compliance'!$G$14)</f>
        <v>-2.06E-2</v>
      </c>
      <c r="E145" s="25">
        <f>ROUND($C145*CIS_Base*VLOOKUP($A145,'K3 District Data as of Jan 2025'!$A$3:$M$323,MATCH("Reg base",'K3 District Data as of Jan 2025'!$2:$2,0),FALSE),2)</f>
        <v>-40271.53</v>
      </c>
      <c r="F145" s="25">
        <f>ROUND($C145*CIS_Inc*(VLOOKUP($A145,'K3 District Data as of Jan 2025'!$A$3:$M$323,MATCH("Reg",'K3 District Data as of Jan 2025'!$2:$2,0),FALSE)+VLOOKUP($A145,'K3 District Data as of Jan 2025'!$A$3:$M$323,MATCH("Exp",'K3 District Data as of Jan 2025'!$2:$2,0),FALSE)),2)-E145</f>
        <v>-4581.6399999999994</v>
      </c>
      <c r="G145" s="25">
        <f>ROUND($D145*CLS_Base*VLOOKUP($A145,'K3 District Data as of Jan 2025'!$A$3:$M$323,MATCH("Reg base",'K3 District Data as of Jan 2025'!$2:$2,0),FALSE),2)</f>
        <v>-1203.74</v>
      </c>
      <c r="H145" s="25">
        <f>ROUND($D145*CLS_Inc*VLOOKUP($A145,'K3 District Data as of Jan 2025'!$A$3:$M$323,MATCH("Reg base",'K3 District Data as of Jan 2025'!$2:$2,0),FALSE),2)-G145</f>
        <v>-90.710000000000036</v>
      </c>
      <c r="I145" s="25">
        <f t="shared" si="15"/>
        <v>-7128.62</v>
      </c>
      <c r="J145" s="25">
        <f t="shared" si="16"/>
        <v>-416.42</v>
      </c>
      <c r="K145" s="25">
        <f t="shared" si="17"/>
        <v>-7309.28</v>
      </c>
      <c r="L145" s="25">
        <f t="shared" si="18"/>
        <v>-7051.54</v>
      </c>
      <c r="M145" s="25">
        <f t="shared" si="19"/>
        <v>-260.73</v>
      </c>
      <c r="N145" s="25">
        <f t="shared" si="20"/>
        <v>-16.47</v>
      </c>
      <c r="O145" s="25">
        <f>ROUND(($C145*CIS_Inc*(VLOOKUP($A145,'K3 District Data as of Jan 2025'!$A$3:$M$323,MATCH("Reg",'K3 District Data as of Jan 2025'!$2:$2,0),FALSE)+VLOOKUP($A145,'K3 District Data as of Jan 2025'!$A$3:$M$323,MATCH("Exp",'K3 District Data as of Jan 2025'!$2:$2,0),FALSE))/180)*3+(($C145*CIS_Inc*(VLOOKUP($A145,'K3 District Data as of Jan 2025'!$A$3:$M$323,MATCH("Reg",'K3 District Data as of Jan 2025'!$2:$2,0),FALSE)+VLOOKUP($A145,'K3 District Data as of Jan 2025'!$A$3:$M$323,MATCH("Exp",'K3 District Data as of Jan 2025'!$2:$2,0),FALSE))/180)*3)*CIS_Ben_Inc,2)</f>
        <v>-878.45</v>
      </c>
      <c r="P145" s="23">
        <f t="shared" si="21"/>
        <v>-69209.12999999999</v>
      </c>
    </row>
    <row r="146" spans="1:16" x14ac:dyDescent="0.25">
      <c r="A146" t="s">
        <v>83</v>
      </c>
      <c r="B146" t="s">
        <v>379</v>
      </c>
      <c r="C146" s="33">
        <f>IF(VLOOKUP($A146,'Enroll Data as of January 2025'!$A$3:$T$322,20,FALSE)&gt;0,0,VLOOKUP($A146,'Enroll Data as of January 2025'!$A$3:$T$322,20,FALSE)*'2024-25 PSES Compliance'!$G$13)</f>
        <v>0</v>
      </c>
      <c r="D146" s="33">
        <f>IF(VLOOKUP($A146,'Enroll Data as of January 2025'!$A$3:$T$322,20,FALSE)&gt;0,0,VLOOKUP($A146,'Enroll Data as of January 2025'!$A$3:$T$322,20,FALSE)*'2024-25 PSES Compliance'!$G$14)</f>
        <v>0</v>
      </c>
      <c r="E146" s="25">
        <f>ROUND($C146*CIS_Base*VLOOKUP($A146,'K3 District Data as of Jan 2025'!$A$3:$M$323,MATCH("Reg base",'K3 District Data as of Jan 2025'!$2:$2,0),FALSE),2)</f>
        <v>0</v>
      </c>
      <c r="F146" s="25">
        <f>ROUND($C146*CIS_Inc*(VLOOKUP($A146,'K3 District Data as of Jan 2025'!$A$3:$M$323,MATCH("Reg",'K3 District Data as of Jan 2025'!$2:$2,0),FALSE)+VLOOKUP($A146,'K3 District Data as of Jan 2025'!$A$3:$M$323,MATCH("Exp",'K3 District Data as of Jan 2025'!$2:$2,0),FALSE)),2)-E146</f>
        <v>0</v>
      </c>
      <c r="G146" s="25">
        <f>ROUND($D146*CLS_Base*VLOOKUP($A146,'K3 District Data as of Jan 2025'!$A$3:$M$323,MATCH("Reg base",'K3 District Data as of Jan 2025'!$2:$2,0),FALSE),2)</f>
        <v>0</v>
      </c>
      <c r="H146" s="25">
        <f>ROUND($D146*CLS_Inc*VLOOKUP($A146,'K3 District Data as of Jan 2025'!$A$3:$M$323,MATCH("Reg base",'K3 District Data as of Jan 2025'!$2:$2,0),FALSE),2)-G146</f>
        <v>0</v>
      </c>
      <c r="I146" s="25">
        <f t="shared" si="15"/>
        <v>0</v>
      </c>
      <c r="J146" s="25">
        <f t="shared" si="16"/>
        <v>0</v>
      </c>
      <c r="K146" s="25">
        <f t="shared" si="17"/>
        <v>0</v>
      </c>
      <c r="L146" s="25">
        <f t="shared" si="18"/>
        <v>0</v>
      </c>
      <c r="M146" s="25">
        <f t="shared" si="19"/>
        <v>0</v>
      </c>
      <c r="N146" s="25">
        <f t="shared" si="20"/>
        <v>0</v>
      </c>
      <c r="O146" s="25">
        <f>ROUND(($C146*CIS_Inc*(VLOOKUP($A146,'K3 District Data as of Jan 2025'!$A$3:$M$323,MATCH("Reg",'K3 District Data as of Jan 2025'!$2:$2,0),FALSE)+VLOOKUP($A146,'K3 District Data as of Jan 2025'!$A$3:$M$323,MATCH("Exp",'K3 District Data as of Jan 2025'!$2:$2,0),FALSE))/180)*3+(($C146*CIS_Inc*(VLOOKUP($A146,'K3 District Data as of Jan 2025'!$A$3:$M$323,MATCH("Reg",'K3 District Data as of Jan 2025'!$2:$2,0),FALSE)+VLOOKUP($A146,'K3 District Data as of Jan 2025'!$A$3:$M$323,MATCH("Exp",'K3 District Data as of Jan 2025'!$2:$2,0),FALSE))/180)*3)*CIS_Ben_Inc,2)</f>
        <v>0</v>
      </c>
      <c r="P146" s="23">
        <f t="shared" si="21"/>
        <v>0</v>
      </c>
    </row>
    <row r="147" spans="1:16" x14ac:dyDescent="0.25">
      <c r="A147" t="s">
        <v>89</v>
      </c>
      <c r="B147" t="s">
        <v>385</v>
      </c>
      <c r="C147" s="33">
        <f>IF(VLOOKUP($A147,'Enroll Data as of January 2025'!$A$3:$T$322,20,FALSE)&gt;0,0,VLOOKUP($A147,'Enroll Data as of January 2025'!$A$3:$T$322,20,FALSE)*'2024-25 PSES Compliance'!$G$13)</f>
        <v>0</v>
      </c>
      <c r="D147" s="33">
        <f>IF(VLOOKUP($A147,'Enroll Data as of January 2025'!$A$3:$T$322,20,FALSE)&gt;0,0,VLOOKUP($A147,'Enroll Data as of January 2025'!$A$3:$T$322,20,FALSE)*'2024-25 PSES Compliance'!$G$14)</f>
        <v>0</v>
      </c>
      <c r="E147" s="25">
        <f>ROUND($C147*CIS_Base*VLOOKUP($A147,'K3 District Data as of Jan 2025'!$A$3:$M$323,MATCH("Reg base",'K3 District Data as of Jan 2025'!$2:$2,0),FALSE),2)</f>
        <v>0</v>
      </c>
      <c r="F147" s="25">
        <f>ROUND($C147*CIS_Inc*(VLOOKUP($A147,'K3 District Data as of Jan 2025'!$A$3:$M$323,MATCH("Reg",'K3 District Data as of Jan 2025'!$2:$2,0),FALSE)+VLOOKUP($A147,'K3 District Data as of Jan 2025'!$A$3:$M$323,MATCH("Exp",'K3 District Data as of Jan 2025'!$2:$2,0),FALSE)),2)-E147</f>
        <v>0</v>
      </c>
      <c r="G147" s="25">
        <f>ROUND($D147*CLS_Base*VLOOKUP($A147,'K3 District Data as of Jan 2025'!$A$3:$M$323,MATCH("Reg base",'K3 District Data as of Jan 2025'!$2:$2,0),FALSE),2)</f>
        <v>0</v>
      </c>
      <c r="H147" s="25">
        <f>ROUND($D147*CLS_Inc*VLOOKUP($A147,'K3 District Data as of Jan 2025'!$A$3:$M$323,MATCH("Reg base",'K3 District Data as of Jan 2025'!$2:$2,0),FALSE),2)-G147</f>
        <v>0</v>
      </c>
      <c r="I147" s="25">
        <f t="shared" si="15"/>
        <v>0</v>
      </c>
      <c r="J147" s="25">
        <f t="shared" si="16"/>
        <v>0</v>
      </c>
      <c r="K147" s="25">
        <f t="shared" si="17"/>
        <v>0</v>
      </c>
      <c r="L147" s="25">
        <f t="shared" si="18"/>
        <v>0</v>
      </c>
      <c r="M147" s="25">
        <f t="shared" si="19"/>
        <v>0</v>
      </c>
      <c r="N147" s="25">
        <f t="shared" si="20"/>
        <v>0</v>
      </c>
      <c r="O147" s="25">
        <f>ROUND(($C147*CIS_Inc*(VLOOKUP($A147,'K3 District Data as of Jan 2025'!$A$3:$M$323,MATCH("Reg",'K3 District Data as of Jan 2025'!$2:$2,0),FALSE)+VLOOKUP($A147,'K3 District Data as of Jan 2025'!$A$3:$M$323,MATCH("Exp",'K3 District Data as of Jan 2025'!$2:$2,0),FALSE))/180)*3+(($C147*CIS_Inc*(VLOOKUP($A147,'K3 District Data as of Jan 2025'!$A$3:$M$323,MATCH("Reg",'K3 District Data as of Jan 2025'!$2:$2,0),FALSE)+VLOOKUP($A147,'K3 District Data as of Jan 2025'!$A$3:$M$323,MATCH("Exp",'K3 District Data as of Jan 2025'!$2:$2,0),FALSE))/180)*3)*CIS_Ben_Inc,2)</f>
        <v>0</v>
      </c>
      <c r="P147" s="23">
        <f t="shared" si="21"/>
        <v>0</v>
      </c>
    </row>
    <row r="148" spans="1:16" x14ac:dyDescent="0.25">
      <c r="A148" t="s">
        <v>181</v>
      </c>
      <c r="B148" t="s">
        <v>477</v>
      </c>
      <c r="C148" s="33">
        <f>IF(VLOOKUP($A148,'Enroll Data as of January 2025'!$A$3:$T$322,20,FALSE)&gt;0,0,VLOOKUP($A148,'Enroll Data as of January 2025'!$A$3:$T$322,20,FALSE)*'2024-25 PSES Compliance'!$G$13)</f>
        <v>0</v>
      </c>
      <c r="D148" s="33">
        <f>IF(VLOOKUP($A148,'Enroll Data as of January 2025'!$A$3:$T$322,20,FALSE)&gt;0,0,VLOOKUP($A148,'Enroll Data as of January 2025'!$A$3:$T$322,20,FALSE)*'2024-25 PSES Compliance'!$G$14)</f>
        <v>0</v>
      </c>
      <c r="E148" s="25">
        <f>ROUND($C148*CIS_Base*VLOOKUP($A148,'K3 District Data as of Jan 2025'!$A$3:$M$323,MATCH("Reg base",'K3 District Data as of Jan 2025'!$2:$2,0),FALSE),2)</f>
        <v>0</v>
      </c>
      <c r="F148" s="25">
        <f>ROUND($C148*CIS_Inc*(VLOOKUP($A148,'K3 District Data as of Jan 2025'!$A$3:$M$323,MATCH("Reg",'K3 District Data as of Jan 2025'!$2:$2,0),FALSE)+VLOOKUP($A148,'K3 District Data as of Jan 2025'!$A$3:$M$323,MATCH("Exp",'K3 District Data as of Jan 2025'!$2:$2,0),FALSE)),2)-E148</f>
        <v>0</v>
      </c>
      <c r="G148" s="25">
        <f>ROUND($D148*CLS_Base*VLOOKUP($A148,'K3 District Data as of Jan 2025'!$A$3:$M$323,MATCH("Reg base",'K3 District Data as of Jan 2025'!$2:$2,0),FALSE),2)</f>
        <v>0</v>
      </c>
      <c r="H148" s="25">
        <f>ROUND($D148*CLS_Inc*VLOOKUP($A148,'K3 District Data as of Jan 2025'!$A$3:$M$323,MATCH("Reg base",'K3 District Data as of Jan 2025'!$2:$2,0),FALSE),2)-G148</f>
        <v>0</v>
      </c>
      <c r="I148" s="25">
        <f t="shared" si="15"/>
        <v>0</v>
      </c>
      <c r="J148" s="25">
        <f t="shared" si="16"/>
        <v>0</v>
      </c>
      <c r="K148" s="25">
        <f t="shared" si="17"/>
        <v>0</v>
      </c>
      <c r="L148" s="25">
        <f t="shared" si="18"/>
        <v>0</v>
      </c>
      <c r="M148" s="25">
        <f t="shared" si="19"/>
        <v>0</v>
      </c>
      <c r="N148" s="25">
        <f t="shared" si="20"/>
        <v>0</v>
      </c>
      <c r="O148" s="25">
        <f>ROUND(($C148*CIS_Inc*(VLOOKUP($A148,'K3 District Data as of Jan 2025'!$A$3:$M$323,MATCH("Reg",'K3 District Data as of Jan 2025'!$2:$2,0),FALSE)+VLOOKUP($A148,'K3 District Data as of Jan 2025'!$A$3:$M$323,MATCH("Exp",'K3 District Data as of Jan 2025'!$2:$2,0),FALSE))/180)*3+(($C148*CIS_Inc*(VLOOKUP($A148,'K3 District Data as of Jan 2025'!$A$3:$M$323,MATCH("Reg",'K3 District Data as of Jan 2025'!$2:$2,0),FALSE)+VLOOKUP($A148,'K3 District Data as of Jan 2025'!$A$3:$M$323,MATCH("Exp",'K3 District Data as of Jan 2025'!$2:$2,0),FALSE))/180)*3)*CIS_Ben_Inc,2)</f>
        <v>0</v>
      </c>
      <c r="P148" s="23">
        <f t="shared" si="21"/>
        <v>0</v>
      </c>
    </row>
    <row r="149" spans="1:16" x14ac:dyDescent="0.25">
      <c r="A149" t="s">
        <v>41</v>
      </c>
      <c r="B149" t="s">
        <v>337</v>
      </c>
      <c r="C149" s="33">
        <f>IF(VLOOKUP($A149,'Enroll Data as of January 2025'!$A$3:$T$322,20,FALSE)&gt;0,0,VLOOKUP($A149,'Enroll Data as of January 2025'!$A$3:$T$322,20,FALSE)*'2024-25 PSES Compliance'!$G$13)</f>
        <v>-0.2112</v>
      </c>
      <c r="D149" s="33">
        <f>IF(VLOOKUP($A149,'Enroll Data as of January 2025'!$A$3:$T$322,20,FALSE)&gt;0,0,VLOOKUP($A149,'Enroll Data as of January 2025'!$A$3:$T$322,20,FALSE)*'2024-25 PSES Compliance'!$G$14)</f>
        <v>-8.8000000000000005E-3</v>
      </c>
      <c r="E149" s="25">
        <f>ROUND($C149*CIS_Base*VLOOKUP($A149,'K3 District Data as of Jan 2025'!$A$3:$M$323,MATCH("Reg base",'K3 District Data as of Jan 2025'!$2:$2,0),FALSE),2)</f>
        <v>-15360.15</v>
      </c>
      <c r="F149" s="25">
        <f>ROUND($C149*CIS_Inc*(VLOOKUP($A149,'K3 District Data as of Jan 2025'!$A$3:$M$323,MATCH("Reg",'K3 District Data as of Jan 2025'!$2:$2,0),FALSE)+VLOOKUP($A149,'K3 District Data as of Jan 2025'!$A$3:$M$323,MATCH("Exp",'K3 District Data as of Jan 2025'!$2:$2,0),FALSE)),2)-E149</f>
        <v>-1818.3000000000011</v>
      </c>
      <c r="G149" s="25">
        <f>ROUND($D149*CLS_Base*VLOOKUP($A149,'K3 District Data as of Jan 2025'!$A$3:$M$323,MATCH("Reg base",'K3 District Data as of Jan 2025'!$2:$2,0),FALSE),2)</f>
        <v>-459.12</v>
      </c>
      <c r="H149" s="25">
        <f>ROUND($D149*CLS_Inc*VLOOKUP($A149,'K3 District Data as of Jan 2025'!$A$3:$M$323,MATCH("Reg base",'K3 District Data as of Jan 2025'!$2:$2,0),FALSE),2)-G149</f>
        <v>-34.600000000000023</v>
      </c>
      <c r="I149" s="25">
        <f t="shared" si="15"/>
        <v>-3045.23</v>
      </c>
      <c r="J149" s="25">
        <f t="shared" si="16"/>
        <v>-177.89</v>
      </c>
      <c r="K149" s="25">
        <f t="shared" si="17"/>
        <v>-2787.87</v>
      </c>
      <c r="L149" s="25">
        <f t="shared" si="18"/>
        <v>-2689.56</v>
      </c>
      <c r="M149" s="25">
        <f t="shared" si="19"/>
        <v>-99.45</v>
      </c>
      <c r="N149" s="25">
        <f t="shared" si="20"/>
        <v>-6.28</v>
      </c>
      <c r="O149" s="25">
        <f>ROUND(($C149*CIS_Inc*(VLOOKUP($A149,'K3 District Data as of Jan 2025'!$A$3:$M$323,MATCH("Reg",'K3 District Data as of Jan 2025'!$2:$2,0),FALSE)+VLOOKUP($A149,'K3 District Data as of Jan 2025'!$A$3:$M$323,MATCH("Exp",'K3 District Data as of Jan 2025'!$2:$2,0),FALSE))/180)*3+(($C149*CIS_Inc*(VLOOKUP($A149,'K3 District Data as of Jan 2025'!$A$3:$M$323,MATCH("Reg",'K3 District Data as of Jan 2025'!$2:$2,0),FALSE)+VLOOKUP($A149,'K3 District Data as of Jan 2025'!$A$3:$M$323,MATCH("Exp",'K3 District Data as of Jan 2025'!$2:$2,0),FALSE))/180)*3)*CIS_Ben_Inc,2)</f>
        <v>-336.44</v>
      </c>
      <c r="P149" s="23">
        <f t="shared" si="21"/>
        <v>-26814.889999999996</v>
      </c>
    </row>
    <row r="150" spans="1:16" x14ac:dyDescent="0.25">
      <c r="A150" t="s">
        <v>238</v>
      </c>
      <c r="B150" t="s">
        <v>534</v>
      </c>
      <c r="C150" s="33">
        <f>IF(VLOOKUP($A150,'Enroll Data as of January 2025'!$A$3:$T$322,20,FALSE)&gt;0,0,VLOOKUP($A150,'Enroll Data as of January 2025'!$A$3:$T$322,20,FALSE)*'2024-25 PSES Compliance'!$G$13)</f>
        <v>-0.12</v>
      </c>
      <c r="D150" s="33">
        <f>IF(VLOOKUP($A150,'Enroll Data as of January 2025'!$A$3:$T$322,20,FALSE)&gt;0,0,VLOOKUP($A150,'Enroll Data as of January 2025'!$A$3:$T$322,20,FALSE)*'2024-25 PSES Compliance'!$G$14)</f>
        <v>-5.0000000000000001E-3</v>
      </c>
      <c r="E150" s="25">
        <f>ROUND($C150*CIS_Base*VLOOKUP($A150,'K3 District Data as of Jan 2025'!$A$3:$M$323,MATCH("Reg base",'K3 District Data as of Jan 2025'!$2:$2,0),FALSE),2)</f>
        <v>-8727.36</v>
      </c>
      <c r="F150" s="25">
        <f>ROUND($C150*CIS_Inc*(VLOOKUP($A150,'K3 District Data as of Jan 2025'!$A$3:$M$323,MATCH("Reg",'K3 District Data as of Jan 2025'!$2:$2,0),FALSE)+VLOOKUP($A150,'K3 District Data as of Jan 2025'!$A$3:$M$323,MATCH("Exp",'K3 District Data as of Jan 2025'!$2:$2,0),FALSE)),2)-E150</f>
        <v>-657.71999999999935</v>
      </c>
      <c r="G150" s="25">
        <f>ROUND($D150*CLS_Base*VLOOKUP($A150,'K3 District Data as of Jan 2025'!$A$3:$M$323,MATCH("Reg base",'K3 District Data as of Jan 2025'!$2:$2,0),FALSE),2)</f>
        <v>-260.87</v>
      </c>
      <c r="H150" s="25">
        <f>ROUND($D150*CLS_Inc*VLOOKUP($A150,'K3 District Data as of Jan 2025'!$A$3:$M$323,MATCH("Reg base",'K3 District Data as of Jan 2025'!$2:$2,0),FALSE),2)-G150</f>
        <v>-19.659999999999968</v>
      </c>
      <c r="I150" s="25">
        <f t="shared" si="15"/>
        <v>-1730.25</v>
      </c>
      <c r="J150" s="25">
        <f t="shared" si="16"/>
        <v>-101.07</v>
      </c>
      <c r="K150" s="25">
        <f t="shared" si="17"/>
        <v>-1584.02</v>
      </c>
      <c r="L150" s="25">
        <f t="shared" si="18"/>
        <v>-1528.16</v>
      </c>
      <c r="M150" s="25">
        <f t="shared" si="19"/>
        <v>-56.5</v>
      </c>
      <c r="N150" s="25">
        <f t="shared" si="20"/>
        <v>-3.57</v>
      </c>
      <c r="O150" s="25">
        <f>ROUND(($C150*CIS_Inc*(VLOOKUP($A150,'K3 District Data as of Jan 2025'!$A$3:$M$323,MATCH("Reg",'K3 District Data as of Jan 2025'!$2:$2,0),FALSE)+VLOOKUP($A150,'K3 District Data as of Jan 2025'!$A$3:$M$323,MATCH("Exp",'K3 District Data as of Jan 2025'!$2:$2,0),FALSE))/180)*3+(($C150*CIS_Inc*(VLOOKUP($A150,'K3 District Data as of Jan 2025'!$A$3:$M$323,MATCH("Reg",'K3 District Data as of Jan 2025'!$2:$2,0),FALSE)+VLOOKUP($A150,'K3 District Data as of Jan 2025'!$A$3:$M$323,MATCH("Exp",'K3 District Data as of Jan 2025'!$2:$2,0),FALSE))/180)*3)*CIS_Ben_Inc,2)</f>
        <v>-183.81</v>
      </c>
      <c r="P150" s="23">
        <f t="shared" si="21"/>
        <v>-14852.99</v>
      </c>
    </row>
    <row r="151" spans="1:16" x14ac:dyDescent="0.25">
      <c r="A151" t="s">
        <v>189</v>
      </c>
      <c r="B151" t="s">
        <v>484</v>
      </c>
      <c r="C151" s="33">
        <f>IF(VLOOKUP($A151,'Enroll Data as of January 2025'!$A$3:$T$322,20,FALSE)&gt;0,0,VLOOKUP($A151,'Enroll Data as of January 2025'!$A$3:$T$322,20,FALSE)*'2024-25 PSES Compliance'!$G$13)</f>
        <v>0</v>
      </c>
      <c r="D151" s="33">
        <f>IF(VLOOKUP($A151,'Enroll Data as of January 2025'!$A$3:$T$322,20,FALSE)&gt;0,0,VLOOKUP($A151,'Enroll Data as of January 2025'!$A$3:$T$322,20,FALSE)*'2024-25 PSES Compliance'!$G$14)</f>
        <v>0</v>
      </c>
      <c r="E151" s="25">
        <f>ROUND($C151*CIS_Base*VLOOKUP($A151,'K3 District Data as of Jan 2025'!$A$3:$M$323,MATCH("Reg base",'K3 District Data as of Jan 2025'!$2:$2,0),FALSE),2)</f>
        <v>0</v>
      </c>
      <c r="F151" s="25">
        <f>ROUND($C151*CIS_Inc*(VLOOKUP($A151,'K3 District Data as of Jan 2025'!$A$3:$M$323,MATCH("Reg",'K3 District Data as of Jan 2025'!$2:$2,0),FALSE)+VLOOKUP($A151,'K3 District Data as of Jan 2025'!$A$3:$M$323,MATCH("Exp",'K3 District Data as of Jan 2025'!$2:$2,0),FALSE)),2)-E151</f>
        <v>0</v>
      </c>
      <c r="G151" s="25">
        <f>ROUND($D151*CLS_Base*VLOOKUP($A151,'K3 District Data as of Jan 2025'!$A$3:$M$323,MATCH("Reg base",'K3 District Data as of Jan 2025'!$2:$2,0),FALSE),2)</f>
        <v>0</v>
      </c>
      <c r="H151" s="25">
        <f>ROUND($D151*CLS_Inc*VLOOKUP($A151,'K3 District Data as of Jan 2025'!$A$3:$M$323,MATCH("Reg base",'K3 District Data as of Jan 2025'!$2:$2,0),FALSE),2)-G151</f>
        <v>0</v>
      </c>
      <c r="I151" s="25">
        <f t="shared" si="15"/>
        <v>0</v>
      </c>
      <c r="J151" s="25">
        <f t="shared" si="16"/>
        <v>0</v>
      </c>
      <c r="K151" s="25">
        <f t="shared" si="17"/>
        <v>0</v>
      </c>
      <c r="L151" s="25">
        <f t="shared" si="18"/>
        <v>0</v>
      </c>
      <c r="M151" s="25">
        <f t="shared" si="19"/>
        <v>0</v>
      </c>
      <c r="N151" s="25">
        <f t="shared" si="20"/>
        <v>0</v>
      </c>
      <c r="O151" s="25">
        <f>ROUND(($C151*CIS_Inc*(VLOOKUP($A151,'K3 District Data as of Jan 2025'!$A$3:$M$323,MATCH("Reg",'K3 District Data as of Jan 2025'!$2:$2,0),FALSE)+VLOOKUP($A151,'K3 District Data as of Jan 2025'!$A$3:$M$323,MATCH("Exp",'K3 District Data as of Jan 2025'!$2:$2,0),FALSE))/180)*3+(($C151*CIS_Inc*(VLOOKUP($A151,'K3 District Data as of Jan 2025'!$A$3:$M$323,MATCH("Reg",'K3 District Data as of Jan 2025'!$2:$2,0),FALSE)+VLOOKUP($A151,'K3 District Data as of Jan 2025'!$A$3:$M$323,MATCH("Exp",'K3 District Data as of Jan 2025'!$2:$2,0),FALSE))/180)*3)*CIS_Ben_Inc,2)</f>
        <v>0</v>
      </c>
      <c r="P151" s="23">
        <f t="shared" si="21"/>
        <v>0</v>
      </c>
    </row>
    <row r="152" spans="1:16" x14ac:dyDescent="0.25">
      <c r="A152" t="s">
        <v>235</v>
      </c>
      <c r="B152" t="s">
        <v>531</v>
      </c>
      <c r="C152" s="33">
        <f>IF(VLOOKUP($A152,'Enroll Data as of January 2025'!$A$3:$T$322,20,FALSE)&gt;0,0,VLOOKUP($A152,'Enroll Data as of January 2025'!$A$3:$T$322,20,FALSE)*'2024-25 PSES Compliance'!$G$13)</f>
        <v>0</v>
      </c>
      <c r="D152" s="33">
        <f>IF(VLOOKUP($A152,'Enroll Data as of January 2025'!$A$3:$T$322,20,FALSE)&gt;0,0,VLOOKUP($A152,'Enroll Data as of January 2025'!$A$3:$T$322,20,FALSE)*'2024-25 PSES Compliance'!$G$14)</f>
        <v>0</v>
      </c>
      <c r="E152" s="25">
        <f>ROUND($C152*CIS_Base*VLOOKUP($A152,'K3 District Data as of Jan 2025'!$A$3:$M$323,MATCH("Reg base",'K3 District Data as of Jan 2025'!$2:$2,0),FALSE),2)</f>
        <v>0</v>
      </c>
      <c r="F152" s="25">
        <f>ROUND($C152*CIS_Inc*(VLOOKUP($A152,'K3 District Data as of Jan 2025'!$A$3:$M$323,MATCH("Reg",'K3 District Data as of Jan 2025'!$2:$2,0),FALSE)+VLOOKUP($A152,'K3 District Data as of Jan 2025'!$A$3:$M$323,MATCH("Exp",'K3 District Data as of Jan 2025'!$2:$2,0),FALSE)),2)-E152</f>
        <v>0</v>
      </c>
      <c r="G152" s="25">
        <f>ROUND($D152*CLS_Base*VLOOKUP($A152,'K3 District Data as of Jan 2025'!$A$3:$M$323,MATCH("Reg base",'K3 District Data as of Jan 2025'!$2:$2,0),FALSE),2)</f>
        <v>0</v>
      </c>
      <c r="H152" s="25">
        <f>ROUND($D152*CLS_Inc*VLOOKUP($A152,'K3 District Data as of Jan 2025'!$A$3:$M$323,MATCH("Reg base",'K3 District Data as of Jan 2025'!$2:$2,0),FALSE),2)-G152</f>
        <v>0</v>
      </c>
      <c r="I152" s="25">
        <f t="shared" si="15"/>
        <v>0</v>
      </c>
      <c r="J152" s="25">
        <f t="shared" si="16"/>
        <v>0</v>
      </c>
      <c r="K152" s="25">
        <f t="shared" si="17"/>
        <v>0</v>
      </c>
      <c r="L152" s="25">
        <f t="shared" si="18"/>
        <v>0</v>
      </c>
      <c r="M152" s="25">
        <f t="shared" si="19"/>
        <v>0</v>
      </c>
      <c r="N152" s="25">
        <f t="shared" si="20"/>
        <v>0</v>
      </c>
      <c r="O152" s="25">
        <f>ROUND(($C152*CIS_Inc*(VLOOKUP($A152,'K3 District Data as of Jan 2025'!$A$3:$M$323,MATCH("Reg",'K3 District Data as of Jan 2025'!$2:$2,0),FALSE)+VLOOKUP($A152,'K3 District Data as of Jan 2025'!$A$3:$M$323,MATCH("Exp",'K3 District Data as of Jan 2025'!$2:$2,0),FALSE))/180)*3+(($C152*CIS_Inc*(VLOOKUP($A152,'K3 District Data as of Jan 2025'!$A$3:$M$323,MATCH("Reg",'K3 District Data as of Jan 2025'!$2:$2,0),FALSE)+VLOOKUP($A152,'K3 District Data as of Jan 2025'!$A$3:$M$323,MATCH("Exp",'K3 District Data as of Jan 2025'!$2:$2,0),FALSE))/180)*3)*CIS_Ben_Inc,2)</f>
        <v>0</v>
      </c>
      <c r="P152" s="23">
        <f t="shared" si="21"/>
        <v>0</v>
      </c>
    </row>
    <row r="153" spans="1:16" x14ac:dyDescent="0.25">
      <c r="A153" t="s">
        <v>292</v>
      </c>
      <c r="B153" t="s">
        <v>588</v>
      </c>
      <c r="C153" s="33">
        <f>IF(VLOOKUP($A153,'Enroll Data as of January 2025'!$A$3:$T$322,20,FALSE)&gt;0,0,VLOOKUP($A153,'Enroll Data as of January 2025'!$A$3:$T$322,20,FALSE)*'2024-25 PSES Compliance'!$G$13)</f>
        <v>0</v>
      </c>
      <c r="D153" s="33">
        <f>IF(VLOOKUP($A153,'Enroll Data as of January 2025'!$A$3:$T$322,20,FALSE)&gt;0,0,VLOOKUP($A153,'Enroll Data as of January 2025'!$A$3:$T$322,20,FALSE)*'2024-25 PSES Compliance'!$G$14)</f>
        <v>0</v>
      </c>
      <c r="E153" s="25">
        <f>ROUND($C153*CIS_Base*VLOOKUP($A153,'K3 District Data as of Jan 2025'!$A$3:$M$323,MATCH("Reg base",'K3 District Data as of Jan 2025'!$2:$2,0),FALSE),2)</f>
        <v>0</v>
      </c>
      <c r="F153" s="25">
        <f>ROUND($C153*CIS_Inc*(VLOOKUP($A153,'K3 District Data as of Jan 2025'!$A$3:$M$323,MATCH("Reg",'K3 District Data as of Jan 2025'!$2:$2,0),FALSE)+VLOOKUP($A153,'K3 District Data as of Jan 2025'!$A$3:$M$323,MATCH("Exp",'K3 District Data as of Jan 2025'!$2:$2,0),FALSE)),2)-E153</f>
        <v>0</v>
      </c>
      <c r="G153" s="25">
        <f>ROUND($D153*CLS_Base*VLOOKUP($A153,'K3 District Data as of Jan 2025'!$A$3:$M$323,MATCH("Reg base",'K3 District Data as of Jan 2025'!$2:$2,0),FALSE),2)</f>
        <v>0</v>
      </c>
      <c r="H153" s="25">
        <f>ROUND($D153*CLS_Inc*VLOOKUP($A153,'K3 District Data as of Jan 2025'!$A$3:$M$323,MATCH("Reg base",'K3 District Data as of Jan 2025'!$2:$2,0),FALSE),2)-G153</f>
        <v>0</v>
      </c>
      <c r="I153" s="25">
        <f t="shared" si="15"/>
        <v>0</v>
      </c>
      <c r="J153" s="25">
        <f t="shared" si="16"/>
        <v>0</v>
      </c>
      <c r="K153" s="25">
        <f t="shared" si="17"/>
        <v>0</v>
      </c>
      <c r="L153" s="25">
        <f t="shared" si="18"/>
        <v>0</v>
      </c>
      <c r="M153" s="25">
        <f t="shared" si="19"/>
        <v>0</v>
      </c>
      <c r="N153" s="25">
        <f t="shared" si="20"/>
        <v>0</v>
      </c>
      <c r="O153" s="25">
        <f>ROUND(($C153*CIS_Inc*(VLOOKUP($A153,'K3 District Data as of Jan 2025'!$A$3:$M$323,MATCH("Reg",'K3 District Data as of Jan 2025'!$2:$2,0),FALSE)+VLOOKUP($A153,'K3 District Data as of Jan 2025'!$A$3:$M$323,MATCH("Exp",'K3 District Data as of Jan 2025'!$2:$2,0),FALSE))/180)*3+(($C153*CIS_Inc*(VLOOKUP($A153,'K3 District Data as of Jan 2025'!$A$3:$M$323,MATCH("Reg",'K3 District Data as of Jan 2025'!$2:$2,0),FALSE)+VLOOKUP($A153,'K3 District Data as of Jan 2025'!$A$3:$M$323,MATCH("Exp",'K3 District Data as of Jan 2025'!$2:$2,0),FALSE))/180)*3)*CIS_Ben_Inc,2)</f>
        <v>0</v>
      </c>
      <c r="P153" s="23">
        <f t="shared" si="21"/>
        <v>0</v>
      </c>
    </row>
    <row r="154" spans="1:16" x14ac:dyDescent="0.25">
      <c r="A154" t="s">
        <v>52</v>
      </c>
      <c r="B154" t="s">
        <v>348</v>
      </c>
      <c r="C154" s="33">
        <f>IF(VLOOKUP($A154,'Enroll Data as of January 2025'!$A$3:$T$322,20,FALSE)&gt;0,0,VLOOKUP($A154,'Enroll Data as of January 2025'!$A$3:$T$322,20,FALSE)*'2024-25 PSES Compliance'!$G$13)</f>
        <v>0</v>
      </c>
      <c r="D154" s="33">
        <f>IF(VLOOKUP($A154,'Enroll Data as of January 2025'!$A$3:$T$322,20,FALSE)&gt;0,0,VLOOKUP($A154,'Enroll Data as of January 2025'!$A$3:$T$322,20,FALSE)*'2024-25 PSES Compliance'!$G$14)</f>
        <v>0</v>
      </c>
      <c r="E154" s="25">
        <f>ROUND($C154*CIS_Base*VLOOKUP($A154,'K3 District Data as of Jan 2025'!$A$3:$M$323,MATCH("Reg base",'K3 District Data as of Jan 2025'!$2:$2,0),FALSE),2)</f>
        <v>0</v>
      </c>
      <c r="F154" s="25">
        <f>ROUND($C154*CIS_Inc*(VLOOKUP($A154,'K3 District Data as of Jan 2025'!$A$3:$M$323,MATCH("Reg",'K3 District Data as of Jan 2025'!$2:$2,0),FALSE)+VLOOKUP($A154,'K3 District Data as of Jan 2025'!$A$3:$M$323,MATCH("Exp",'K3 District Data as of Jan 2025'!$2:$2,0),FALSE)),2)-E154</f>
        <v>0</v>
      </c>
      <c r="G154" s="25">
        <f>ROUND($D154*CLS_Base*VLOOKUP($A154,'K3 District Data as of Jan 2025'!$A$3:$M$323,MATCH("Reg base",'K3 District Data as of Jan 2025'!$2:$2,0),FALSE),2)</f>
        <v>0</v>
      </c>
      <c r="H154" s="25">
        <f>ROUND($D154*CLS_Inc*VLOOKUP($A154,'K3 District Data as of Jan 2025'!$A$3:$M$323,MATCH("Reg base",'K3 District Data as of Jan 2025'!$2:$2,0),FALSE),2)-G154</f>
        <v>0</v>
      </c>
      <c r="I154" s="25">
        <f t="shared" si="15"/>
        <v>0</v>
      </c>
      <c r="J154" s="25">
        <f t="shared" si="16"/>
        <v>0</v>
      </c>
      <c r="K154" s="25">
        <f t="shared" si="17"/>
        <v>0</v>
      </c>
      <c r="L154" s="25">
        <f t="shared" si="18"/>
        <v>0</v>
      </c>
      <c r="M154" s="25">
        <f t="shared" si="19"/>
        <v>0</v>
      </c>
      <c r="N154" s="25">
        <f t="shared" si="20"/>
        <v>0</v>
      </c>
      <c r="O154" s="25">
        <f>ROUND(($C154*CIS_Inc*(VLOOKUP($A154,'K3 District Data as of Jan 2025'!$A$3:$M$323,MATCH("Reg",'K3 District Data as of Jan 2025'!$2:$2,0),FALSE)+VLOOKUP($A154,'K3 District Data as of Jan 2025'!$A$3:$M$323,MATCH("Exp",'K3 District Data as of Jan 2025'!$2:$2,0),FALSE))/180)*3+(($C154*CIS_Inc*(VLOOKUP($A154,'K3 District Data as of Jan 2025'!$A$3:$M$323,MATCH("Reg",'K3 District Data as of Jan 2025'!$2:$2,0),FALSE)+VLOOKUP($A154,'K3 District Data as of Jan 2025'!$A$3:$M$323,MATCH("Exp",'K3 District Data as of Jan 2025'!$2:$2,0),FALSE))/180)*3)*CIS_Ben_Inc,2)</f>
        <v>0</v>
      </c>
      <c r="P154" s="23">
        <f t="shared" si="21"/>
        <v>0</v>
      </c>
    </row>
    <row r="155" spans="1:16" x14ac:dyDescent="0.25">
      <c r="A155" t="s">
        <v>123</v>
      </c>
      <c r="B155" t="s">
        <v>419</v>
      </c>
      <c r="C155" s="33">
        <f>IF(VLOOKUP($A155,'Enroll Data as of January 2025'!$A$3:$T$322,20,FALSE)&gt;0,0,VLOOKUP($A155,'Enroll Data as of January 2025'!$A$3:$T$322,20,FALSE)*'2024-25 PSES Compliance'!$G$13)</f>
        <v>0</v>
      </c>
      <c r="D155" s="33">
        <f>IF(VLOOKUP($A155,'Enroll Data as of January 2025'!$A$3:$T$322,20,FALSE)&gt;0,0,VLOOKUP($A155,'Enroll Data as of January 2025'!$A$3:$T$322,20,FALSE)*'2024-25 PSES Compliance'!$G$14)</f>
        <v>0</v>
      </c>
      <c r="E155" s="25">
        <f>ROUND($C155*CIS_Base*VLOOKUP($A155,'K3 District Data as of Jan 2025'!$A$3:$M$323,MATCH("Reg base",'K3 District Data as of Jan 2025'!$2:$2,0),FALSE),2)</f>
        <v>0</v>
      </c>
      <c r="F155" s="25">
        <f>ROUND($C155*CIS_Inc*(VLOOKUP($A155,'K3 District Data as of Jan 2025'!$A$3:$M$323,MATCH("Reg",'K3 District Data as of Jan 2025'!$2:$2,0),FALSE)+VLOOKUP($A155,'K3 District Data as of Jan 2025'!$A$3:$M$323,MATCH("Exp",'K3 District Data as of Jan 2025'!$2:$2,0),FALSE)),2)-E155</f>
        <v>0</v>
      </c>
      <c r="G155" s="25">
        <f>ROUND($D155*CLS_Base*VLOOKUP($A155,'K3 District Data as of Jan 2025'!$A$3:$M$323,MATCH("Reg base",'K3 District Data as of Jan 2025'!$2:$2,0),FALSE),2)</f>
        <v>0</v>
      </c>
      <c r="H155" s="25">
        <f>ROUND($D155*CLS_Inc*VLOOKUP($A155,'K3 District Data as of Jan 2025'!$A$3:$M$323,MATCH("Reg base",'K3 District Data as of Jan 2025'!$2:$2,0),FALSE),2)-G155</f>
        <v>0</v>
      </c>
      <c r="I155" s="25">
        <f t="shared" si="15"/>
        <v>0</v>
      </c>
      <c r="J155" s="25">
        <f t="shared" si="16"/>
        <v>0</v>
      </c>
      <c r="K155" s="25">
        <f t="shared" si="17"/>
        <v>0</v>
      </c>
      <c r="L155" s="25">
        <f t="shared" si="18"/>
        <v>0</v>
      </c>
      <c r="M155" s="25">
        <f t="shared" si="19"/>
        <v>0</v>
      </c>
      <c r="N155" s="25">
        <f t="shared" si="20"/>
        <v>0</v>
      </c>
      <c r="O155" s="25">
        <f>ROUND(($C155*CIS_Inc*(VLOOKUP($A155,'K3 District Data as of Jan 2025'!$A$3:$M$323,MATCH("Reg",'K3 District Data as of Jan 2025'!$2:$2,0),FALSE)+VLOOKUP($A155,'K3 District Data as of Jan 2025'!$A$3:$M$323,MATCH("Exp",'K3 District Data as of Jan 2025'!$2:$2,0),FALSE))/180)*3+(($C155*CIS_Inc*(VLOOKUP($A155,'K3 District Data as of Jan 2025'!$A$3:$M$323,MATCH("Reg",'K3 District Data as of Jan 2025'!$2:$2,0),FALSE)+VLOOKUP($A155,'K3 District Data as of Jan 2025'!$A$3:$M$323,MATCH("Exp",'K3 District Data as of Jan 2025'!$2:$2,0),FALSE))/180)*3)*CIS_Ben_Inc,2)</f>
        <v>0</v>
      </c>
      <c r="P155" s="23">
        <f t="shared" si="21"/>
        <v>0</v>
      </c>
    </row>
    <row r="156" spans="1:16" x14ac:dyDescent="0.25">
      <c r="A156" t="s">
        <v>195</v>
      </c>
      <c r="B156" t="s">
        <v>490</v>
      </c>
      <c r="C156" s="33">
        <f>IF(VLOOKUP($A156,'Enroll Data as of January 2025'!$A$3:$T$322,20,FALSE)&gt;0,0,VLOOKUP($A156,'Enroll Data as of January 2025'!$A$3:$T$322,20,FALSE)*'2024-25 PSES Compliance'!$G$13)</f>
        <v>0</v>
      </c>
      <c r="D156" s="33">
        <f>IF(VLOOKUP($A156,'Enroll Data as of January 2025'!$A$3:$T$322,20,FALSE)&gt;0,0,VLOOKUP($A156,'Enroll Data as of January 2025'!$A$3:$T$322,20,FALSE)*'2024-25 PSES Compliance'!$G$14)</f>
        <v>0</v>
      </c>
      <c r="E156" s="25">
        <f>ROUND($C156*CIS_Base*VLOOKUP($A156,'K3 District Data as of Jan 2025'!$A$3:$M$323,MATCH("Reg base",'K3 District Data as of Jan 2025'!$2:$2,0),FALSE),2)</f>
        <v>0</v>
      </c>
      <c r="F156" s="25">
        <f>ROUND($C156*CIS_Inc*(VLOOKUP($A156,'K3 District Data as of Jan 2025'!$A$3:$M$323,MATCH("Reg",'K3 District Data as of Jan 2025'!$2:$2,0),FALSE)+VLOOKUP($A156,'K3 District Data as of Jan 2025'!$A$3:$M$323,MATCH("Exp",'K3 District Data as of Jan 2025'!$2:$2,0),FALSE)),2)-E156</f>
        <v>0</v>
      </c>
      <c r="G156" s="25">
        <f>ROUND($D156*CLS_Base*VLOOKUP($A156,'K3 District Data as of Jan 2025'!$A$3:$M$323,MATCH("Reg base",'K3 District Data as of Jan 2025'!$2:$2,0),FALSE),2)</f>
        <v>0</v>
      </c>
      <c r="H156" s="25">
        <f>ROUND($D156*CLS_Inc*VLOOKUP($A156,'K3 District Data as of Jan 2025'!$A$3:$M$323,MATCH("Reg base",'K3 District Data as of Jan 2025'!$2:$2,0),FALSE),2)-G156</f>
        <v>0</v>
      </c>
      <c r="I156" s="25">
        <f t="shared" si="15"/>
        <v>0</v>
      </c>
      <c r="J156" s="25">
        <f t="shared" si="16"/>
        <v>0</v>
      </c>
      <c r="K156" s="25">
        <f t="shared" si="17"/>
        <v>0</v>
      </c>
      <c r="L156" s="25">
        <f t="shared" si="18"/>
        <v>0</v>
      </c>
      <c r="M156" s="25">
        <f t="shared" si="19"/>
        <v>0</v>
      </c>
      <c r="N156" s="25">
        <f t="shared" si="20"/>
        <v>0</v>
      </c>
      <c r="O156" s="25">
        <f>ROUND(($C156*CIS_Inc*(VLOOKUP($A156,'K3 District Data as of Jan 2025'!$A$3:$M$323,MATCH("Reg",'K3 District Data as of Jan 2025'!$2:$2,0),FALSE)+VLOOKUP($A156,'K3 District Data as of Jan 2025'!$A$3:$M$323,MATCH("Exp",'K3 District Data as of Jan 2025'!$2:$2,0),FALSE))/180)*3+(($C156*CIS_Inc*(VLOOKUP($A156,'K3 District Data as of Jan 2025'!$A$3:$M$323,MATCH("Reg",'K3 District Data as of Jan 2025'!$2:$2,0),FALSE)+VLOOKUP($A156,'K3 District Data as of Jan 2025'!$A$3:$M$323,MATCH("Exp",'K3 District Data as of Jan 2025'!$2:$2,0),FALSE))/180)*3)*CIS_Ben_Inc,2)</f>
        <v>0</v>
      </c>
      <c r="P156" s="23">
        <f t="shared" si="21"/>
        <v>0</v>
      </c>
    </row>
    <row r="157" spans="1:16" x14ac:dyDescent="0.25">
      <c r="A157" t="s">
        <v>216</v>
      </c>
      <c r="B157" t="s">
        <v>511</v>
      </c>
      <c r="C157" s="33">
        <f>IF(VLOOKUP($A157,'Enroll Data as of January 2025'!$A$3:$T$322,20,FALSE)&gt;0,0,VLOOKUP($A157,'Enroll Data as of January 2025'!$A$3:$T$322,20,FALSE)*'2024-25 PSES Compliance'!$G$13)</f>
        <v>0</v>
      </c>
      <c r="D157" s="33">
        <f>IF(VLOOKUP($A157,'Enroll Data as of January 2025'!$A$3:$T$322,20,FALSE)&gt;0,0,VLOOKUP($A157,'Enroll Data as of January 2025'!$A$3:$T$322,20,FALSE)*'2024-25 PSES Compliance'!$G$14)</f>
        <v>0</v>
      </c>
      <c r="E157" s="25">
        <f>ROUND($C157*CIS_Base*VLOOKUP($A157,'K3 District Data as of Jan 2025'!$A$3:$M$323,MATCH("Reg base",'K3 District Data as of Jan 2025'!$2:$2,0),FALSE),2)</f>
        <v>0</v>
      </c>
      <c r="F157" s="25">
        <f>ROUND($C157*CIS_Inc*(VLOOKUP($A157,'K3 District Data as of Jan 2025'!$A$3:$M$323,MATCH("Reg",'K3 District Data as of Jan 2025'!$2:$2,0),FALSE)+VLOOKUP($A157,'K3 District Data as of Jan 2025'!$A$3:$M$323,MATCH("Exp",'K3 District Data as of Jan 2025'!$2:$2,0),FALSE)),2)-E157</f>
        <v>0</v>
      </c>
      <c r="G157" s="25">
        <f>ROUND($D157*CLS_Base*VLOOKUP($A157,'K3 District Data as of Jan 2025'!$A$3:$M$323,MATCH("Reg base",'K3 District Data as of Jan 2025'!$2:$2,0),FALSE),2)</f>
        <v>0</v>
      </c>
      <c r="H157" s="25">
        <f>ROUND($D157*CLS_Inc*VLOOKUP($A157,'K3 District Data as of Jan 2025'!$A$3:$M$323,MATCH("Reg base",'K3 District Data as of Jan 2025'!$2:$2,0),FALSE),2)-G157</f>
        <v>0</v>
      </c>
      <c r="I157" s="25">
        <f t="shared" si="15"/>
        <v>0</v>
      </c>
      <c r="J157" s="25">
        <f t="shared" si="16"/>
        <v>0</v>
      </c>
      <c r="K157" s="25">
        <f t="shared" si="17"/>
        <v>0</v>
      </c>
      <c r="L157" s="25">
        <f t="shared" si="18"/>
        <v>0</v>
      </c>
      <c r="M157" s="25">
        <f t="shared" si="19"/>
        <v>0</v>
      </c>
      <c r="N157" s="25">
        <f t="shared" si="20"/>
        <v>0</v>
      </c>
      <c r="O157" s="25">
        <f>ROUND(($C157*CIS_Inc*(VLOOKUP($A157,'K3 District Data as of Jan 2025'!$A$3:$M$323,MATCH("Reg",'K3 District Data as of Jan 2025'!$2:$2,0),FALSE)+VLOOKUP($A157,'K3 District Data as of Jan 2025'!$A$3:$M$323,MATCH("Exp",'K3 District Data as of Jan 2025'!$2:$2,0),FALSE))/180)*3+(($C157*CIS_Inc*(VLOOKUP($A157,'K3 District Data as of Jan 2025'!$A$3:$M$323,MATCH("Reg",'K3 District Data as of Jan 2025'!$2:$2,0),FALSE)+VLOOKUP($A157,'K3 District Data as of Jan 2025'!$A$3:$M$323,MATCH("Exp",'K3 District Data as of Jan 2025'!$2:$2,0),FALSE))/180)*3)*CIS_Ben_Inc,2)</f>
        <v>0</v>
      </c>
      <c r="P157" s="23">
        <f t="shared" si="21"/>
        <v>0</v>
      </c>
    </row>
    <row r="158" spans="1:16" x14ac:dyDescent="0.25">
      <c r="A158" t="s">
        <v>125</v>
      </c>
      <c r="B158" t="s">
        <v>421</v>
      </c>
      <c r="C158" s="33">
        <f>IF(VLOOKUP($A158,'Enroll Data as of January 2025'!$A$3:$T$322,20,FALSE)&gt;0,0,VLOOKUP($A158,'Enroll Data as of January 2025'!$A$3:$T$322,20,FALSE)*'2024-25 PSES Compliance'!$G$13)</f>
        <v>0</v>
      </c>
      <c r="D158" s="33">
        <f>IF(VLOOKUP($A158,'Enroll Data as of January 2025'!$A$3:$T$322,20,FALSE)&gt;0,0,VLOOKUP($A158,'Enroll Data as of January 2025'!$A$3:$T$322,20,FALSE)*'2024-25 PSES Compliance'!$G$14)</f>
        <v>0</v>
      </c>
      <c r="E158" s="25">
        <f>ROUND($C158*CIS_Base*VLOOKUP($A158,'K3 District Data as of Jan 2025'!$A$3:$M$323,MATCH("Reg base",'K3 District Data as of Jan 2025'!$2:$2,0),FALSE),2)</f>
        <v>0</v>
      </c>
      <c r="F158" s="25">
        <f>ROUND($C158*CIS_Inc*(VLOOKUP($A158,'K3 District Data as of Jan 2025'!$A$3:$M$323,MATCH("Reg",'K3 District Data as of Jan 2025'!$2:$2,0),FALSE)+VLOOKUP($A158,'K3 District Data as of Jan 2025'!$A$3:$M$323,MATCH("Exp",'K3 District Data as of Jan 2025'!$2:$2,0),FALSE)),2)-E158</f>
        <v>0</v>
      </c>
      <c r="G158" s="25">
        <f>ROUND($D158*CLS_Base*VLOOKUP($A158,'K3 District Data as of Jan 2025'!$A$3:$M$323,MATCH("Reg base",'K3 District Data as of Jan 2025'!$2:$2,0),FALSE),2)</f>
        <v>0</v>
      </c>
      <c r="H158" s="25">
        <f>ROUND($D158*CLS_Inc*VLOOKUP($A158,'K3 District Data as of Jan 2025'!$A$3:$M$323,MATCH("Reg base",'K3 District Data as of Jan 2025'!$2:$2,0),FALSE),2)-G158</f>
        <v>0</v>
      </c>
      <c r="I158" s="25">
        <f t="shared" si="15"/>
        <v>0</v>
      </c>
      <c r="J158" s="25">
        <f t="shared" si="16"/>
        <v>0</v>
      </c>
      <c r="K158" s="25">
        <f t="shared" si="17"/>
        <v>0</v>
      </c>
      <c r="L158" s="25">
        <f t="shared" si="18"/>
        <v>0</v>
      </c>
      <c r="M158" s="25">
        <f t="shared" si="19"/>
        <v>0</v>
      </c>
      <c r="N158" s="25">
        <f t="shared" si="20"/>
        <v>0</v>
      </c>
      <c r="O158" s="25">
        <f>ROUND(($C158*CIS_Inc*(VLOOKUP($A158,'K3 District Data as of Jan 2025'!$A$3:$M$323,MATCH("Reg",'K3 District Data as of Jan 2025'!$2:$2,0),FALSE)+VLOOKUP($A158,'K3 District Data as of Jan 2025'!$A$3:$M$323,MATCH("Exp",'K3 District Data as of Jan 2025'!$2:$2,0),FALSE))/180)*3+(($C158*CIS_Inc*(VLOOKUP($A158,'K3 District Data as of Jan 2025'!$A$3:$M$323,MATCH("Reg",'K3 District Data as of Jan 2025'!$2:$2,0),FALSE)+VLOOKUP($A158,'K3 District Data as of Jan 2025'!$A$3:$M$323,MATCH("Exp",'K3 District Data as of Jan 2025'!$2:$2,0),FALSE))/180)*3)*CIS_Ben_Inc,2)</f>
        <v>0</v>
      </c>
      <c r="P158" s="23">
        <f t="shared" si="21"/>
        <v>0</v>
      </c>
    </row>
    <row r="159" spans="1:16" x14ac:dyDescent="0.25">
      <c r="A159" t="s">
        <v>285</v>
      </c>
      <c r="B159" t="s">
        <v>581</v>
      </c>
      <c r="C159" s="33">
        <f>IF(VLOOKUP($A159,'Enroll Data as of January 2025'!$A$3:$T$322,20,FALSE)&gt;0,0,VLOOKUP($A159,'Enroll Data as of January 2025'!$A$3:$T$322,20,FALSE)*'2024-25 PSES Compliance'!$G$13)</f>
        <v>0</v>
      </c>
      <c r="D159" s="33">
        <f>IF(VLOOKUP($A159,'Enroll Data as of January 2025'!$A$3:$T$322,20,FALSE)&gt;0,0,VLOOKUP($A159,'Enroll Data as of January 2025'!$A$3:$T$322,20,FALSE)*'2024-25 PSES Compliance'!$G$14)</f>
        <v>0</v>
      </c>
      <c r="E159" s="25">
        <f>ROUND($C159*CIS_Base*VLOOKUP($A159,'K3 District Data as of Jan 2025'!$A$3:$M$323,MATCH("Reg base",'K3 District Data as of Jan 2025'!$2:$2,0),FALSE),2)</f>
        <v>0</v>
      </c>
      <c r="F159" s="25">
        <f>ROUND($C159*CIS_Inc*(VLOOKUP($A159,'K3 District Data as of Jan 2025'!$A$3:$M$323,MATCH("Reg",'K3 District Data as of Jan 2025'!$2:$2,0),FALSE)+VLOOKUP($A159,'K3 District Data as of Jan 2025'!$A$3:$M$323,MATCH("Exp",'K3 District Data as of Jan 2025'!$2:$2,0),FALSE)),2)-E159</f>
        <v>0</v>
      </c>
      <c r="G159" s="25">
        <f>ROUND($D159*CLS_Base*VLOOKUP($A159,'K3 District Data as of Jan 2025'!$A$3:$M$323,MATCH("Reg base",'K3 District Data as of Jan 2025'!$2:$2,0),FALSE),2)</f>
        <v>0</v>
      </c>
      <c r="H159" s="25">
        <f>ROUND($D159*CLS_Inc*VLOOKUP($A159,'K3 District Data as of Jan 2025'!$A$3:$M$323,MATCH("Reg base",'K3 District Data as of Jan 2025'!$2:$2,0),FALSE),2)-G159</f>
        <v>0</v>
      </c>
      <c r="I159" s="25">
        <f t="shared" si="15"/>
        <v>0</v>
      </c>
      <c r="J159" s="25">
        <f t="shared" si="16"/>
        <v>0</v>
      </c>
      <c r="K159" s="25">
        <f t="shared" si="17"/>
        <v>0</v>
      </c>
      <c r="L159" s="25">
        <f t="shared" si="18"/>
        <v>0</v>
      </c>
      <c r="M159" s="25">
        <f t="shared" si="19"/>
        <v>0</v>
      </c>
      <c r="N159" s="25">
        <f t="shared" si="20"/>
        <v>0</v>
      </c>
      <c r="O159" s="25">
        <f>ROUND(($C159*CIS_Inc*(VLOOKUP($A159,'K3 District Data as of Jan 2025'!$A$3:$M$323,MATCH("Reg",'K3 District Data as of Jan 2025'!$2:$2,0),FALSE)+VLOOKUP($A159,'K3 District Data as of Jan 2025'!$A$3:$M$323,MATCH("Exp",'K3 District Data as of Jan 2025'!$2:$2,0),FALSE))/180)*3+(($C159*CIS_Inc*(VLOOKUP($A159,'K3 District Data as of Jan 2025'!$A$3:$M$323,MATCH("Reg",'K3 District Data as of Jan 2025'!$2:$2,0),FALSE)+VLOOKUP($A159,'K3 District Data as of Jan 2025'!$A$3:$M$323,MATCH("Exp",'K3 District Data as of Jan 2025'!$2:$2,0),FALSE))/180)*3)*CIS_Ben_Inc,2)</f>
        <v>0</v>
      </c>
      <c r="P159" s="23">
        <f t="shared" si="21"/>
        <v>0</v>
      </c>
    </row>
    <row r="160" spans="1:16" x14ac:dyDescent="0.25">
      <c r="A160" t="s">
        <v>98</v>
      </c>
      <c r="B160" t="s">
        <v>394</v>
      </c>
      <c r="C160" s="33">
        <f>IF(VLOOKUP($A160,'Enroll Data as of January 2025'!$A$3:$T$322,20,FALSE)&gt;0,0,VLOOKUP($A160,'Enroll Data as of January 2025'!$A$3:$T$322,20,FALSE)*'2024-25 PSES Compliance'!$G$13)</f>
        <v>0</v>
      </c>
      <c r="D160" s="33">
        <f>IF(VLOOKUP($A160,'Enroll Data as of January 2025'!$A$3:$T$322,20,FALSE)&gt;0,0,VLOOKUP($A160,'Enroll Data as of January 2025'!$A$3:$T$322,20,FALSE)*'2024-25 PSES Compliance'!$G$14)</f>
        <v>0</v>
      </c>
      <c r="E160" s="25">
        <f>ROUND($C160*CIS_Base*VLOOKUP($A160,'K3 District Data as of Jan 2025'!$A$3:$M$323,MATCH("Reg base",'K3 District Data as of Jan 2025'!$2:$2,0),FALSE),2)</f>
        <v>0</v>
      </c>
      <c r="F160" s="25">
        <f>ROUND($C160*CIS_Inc*(VLOOKUP($A160,'K3 District Data as of Jan 2025'!$A$3:$M$323,MATCH("Reg",'K3 District Data as of Jan 2025'!$2:$2,0),FALSE)+VLOOKUP($A160,'K3 District Data as of Jan 2025'!$A$3:$M$323,MATCH("Exp",'K3 District Data as of Jan 2025'!$2:$2,0),FALSE)),2)-E160</f>
        <v>0</v>
      </c>
      <c r="G160" s="25">
        <f>ROUND($D160*CLS_Base*VLOOKUP($A160,'K3 District Data as of Jan 2025'!$A$3:$M$323,MATCH("Reg base",'K3 District Data as of Jan 2025'!$2:$2,0),FALSE),2)</f>
        <v>0</v>
      </c>
      <c r="H160" s="25">
        <f>ROUND($D160*CLS_Inc*VLOOKUP($A160,'K3 District Data as of Jan 2025'!$A$3:$M$323,MATCH("Reg base",'K3 District Data as of Jan 2025'!$2:$2,0),FALSE),2)-G160</f>
        <v>0</v>
      </c>
      <c r="I160" s="25">
        <f t="shared" si="15"/>
        <v>0</v>
      </c>
      <c r="J160" s="25">
        <f t="shared" si="16"/>
        <v>0</v>
      </c>
      <c r="K160" s="25">
        <f t="shared" si="17"/>
        <v>0</v>
      </c>
      <c r="L160" s="25">
        <f t="shared" si="18"/>
        <v>0</v>
      </c>
      <c r="M160" s="25">
        <f t="shared" si="19"/>
        <v>0</v>
      </c>
      <c r="N160" s="25">
        <f t="shared" si="20"/>
        <v>0</v>
      </c>
      <c r="O160" s="25">
        <f>ROUND(($C160*CIS_Inc*(VLOOKUP($A160,'K3 District Data as of Jan 2025'!$A$3:$M$323,MATCH("Reg",'K3 District Data as of Jan 2025'!$2:$2,0),FALSE)+VLOOKUP($A160,'K3 District Data as of Jan 2025'!$A$3:$M$323,MATCH("Exp",'K3 District Data as of Jan 2025'!$2:$2,0),FALSE))/180)*3+(($C160*CIS_Inc*(VLOOKUP($A160,'K3 District Data as of Jan 2025'!$A$3:$M$323,MATCH("Reg",'K3 District Data as of Jan 2025'!$2:$2,0),FALSE)+VLOOKUP($A160,'K3 District Data as of Jan 2025'!$A$3:$M$323,MATCH("Exp",'K3 District Data as of Jan 2025'!$2:$2,0),FALSE))/180)*3)*CIS_Ben_Inc,2)</f>
        <v>0</v>
      </c>
      <c r="P160" s="23">
        <f t="shared" si="21"/>
        <v>0</v>
      </c>
    </row>
    <row r="161" spans="1:16" x14ac:dyDescent="0.25">
      <c r="A161" t="s">
        <v>72</v>
      </c>
      <c r="B161" t="s">
        <v>368</v>
      </c>
      <c r="C161" s="33">
        <f>IF(VLOOKUP($A161,'Enroll Data as of January 2025'!$A$3:$T$322,20,FALSE)&gt;0,0,VLOOKUP($A161,'Enroll Data as of January 2025'!$A$3:$T$322,20,FALSE)*'2024-25 PSES Compliance'!$G$13)</f>
        <v>0</v>
      </c>
      <c r="D161" s="33">
        <f>IF(VLOOKUP($A161,'Enroll Data as of January 2025'!$A$3:$T$322,20,FALSE)&gt;0,0,VLOOKUP($A161,'Enroll Data as of January 2025'!$A$3:$T$322,20,FALSE)*'2024-25 PSES Compliance'!$G$14)</f>
        <v>0</v>
      </c>
      <c r="E161" s="25">
        <f>ROUND($C161*CIS_Base*VLOOKUP($A161,'K3 District Data as of Jan 2025'!$A$3:$M$323,MATCH("Reg base",'K3 District Data as of Jan 2025'!$2:$2,0),FALSE),2)</f>
        <v>0</v>
      </c>
      <c r="F161" s="25">
        <f>ROUND($C161*CIS_Inc*(VLOOKUP($A161,'K3 District Data as of Jan 2025'!$A$3:$M$323,MATCH("Reg",'K3 District Data as of Jan 2025'!$2:$2,0),FALSE)+VLOOKUP($A161,'K3 District Data as of Jan 2025'!$A$3:$M$323,MATCH("Exp",'K3 District Data as of Jan 2025'!$2:$2,0),FALSE)),2)-E161</f>
        <v>0</v>
      </c>
      <c r="G161" s="25">
        <f>ROUND($D161*CLS_Base*VLOOKUP($A161,'K3 District Data as of Jan 2025'!$A$3:$M$323,MATCH("Reg base",'K3 District Data as of Jan 2025'!$2:$2,0),FALSE),2)</f>
        <v>0</v>
      </c>
      <c r="H161" s="25">
        <f>ROUND($D161*CLS_Inc*VLOOKUP($A161,'K3 District Data as of Jan 2025'!$A$3:$M$323,MATCH("Reg base",'K3 District Data as of Jan 2025'!$2:$2,0),FALSE),2)-G161</f>
        <v>0</v>
      </c>
      <c r="I161" s="25">
        <f t="shared" si="15"/>
        <v>0</v>
      </c>
      <c r="J161" s="25">
        <f t="shared" si="16"/>
        <v>0</v>
      </c>
      <c r="K161" s="25">
        <f t="shared" si="17"/>
        <v>0</v>
      </c>
      <c r="L161" s="25">
        <f t="shared" si="18"/>
        <v>0</v>
      </c>
      <c r="M161" s="25">
        <f t="shared" si="19"/>
        <v>0</v>
      </c>
      <c r="N161" s="25">
        <f t="shared" si="20"/>
        <v>0</v>
      </c>
      <c r="O161" s="25">
        <f>ROUND(($C161*CIS_Inc*(VLOOKUP($A161,'K3 District Data as of Jan 2025'!$A$3:$M$323,MATCH("Reg",'K3 District Data as of Jan 2025'!$2:$2,0),FALSE)+VLOOKUP($A161,'K3 District Data as of Jan 2025'!$A$3:$M$323,MATCH("Exp",'K3 District Data as of Jan 2025'!$2:$2,0),FALSE))/180)*3+(($C161*CIS_Inc*(VLOOKUP($A161,'K3 District Data as of Jan 2025'!$A$3:$M$323,MATCH("Reg",'K3 District Data as of Jan 2025'!$2:$2,0),FALSE)+VLOOKUP($A161,'K3 District Data as of Jan 2025'!$A$3:$M$323,MATCH("Exp",'K3 District Data as of Jan 2025'!$2:$2,0),FALSE))/180)*3)*CIS_Ben_Inc,2)</f>
        <v>0</v>
      </c>
      <c r="P161" s="23">
        <f t="shared" si="21"/>
        <v>0</v>
      </c>
    </row>
    <row r="162" spans="1:16" x14ac:dyDescent="0.25">
      <c r="A162" t="s">
        <v>139</v>
      </c>
      <c r="B162" t="s">
        <v>435</v>
      </c>
      <c r="C162" s="33">
        <f>IF(VLOOKUP($A162,'Enroll Data as of January 2025'!$A$3:$T$322,20,FALSE)&gt;0,0,VLOOKUP($A162,'Enroll Data as of January 2025'!$A$3:$T$322,20,FALSE)*'2024-25 PSES Compliance'!$G$13)</f>
        <v>0</v>
      </c>
      <c r="D162" s="33">
        <f>IF(VLOOKUP($A162,'Enroll Data as of January 2025'!$A$3:$T$322,20,FALSE)&gt;0,0,VLOOKUP($A162,'Enroll Data as of January 2025'!$A$3:$T$322,20,FALSE)*'2024-25 PSES Compliance'!$G$14)</f>
        <v>0</v>
      </c>
      <c r="E162" s="25">
        <f>ROUND($C162*CIS_Base*VLOOKUP($A162,'K3 District Data as of Jan 2025'!$A$3:$M$323,MATCH("Reg base",'K3 District Data as of Jan 2025'!$2:$2,0),FALSE),2)</f>
        <v>0</v>
      </c>
      <c r="F162" s="25">
        <f>ROUND($C162*CIS_Inc*(VLOOKUP($A162,'K3 District Data as of Jan 2025'!$A$3:$M$323,MATCH("Reg",'K3 District Data as of Jan 2025'!$2:$2,0),FALSE)+VLOOKUP($A162,'K3 District Data as of Jan 2025'!$A$3:$M$323,MATCH("Exp",'K3 District Data as of Jan 2025'!$2:$2,0),FALSE)),2)-E162</f>
        <v>0</v>
      </c>
      <c r="G162" s="25">
        <f>ROUND($D162*CLS_Base*VLOOKUP($A162,'K3 District Data as of Jan 2025'!$A$3:$M$323,MATCH("Reg base",'K3 District Data as of Jan 2025'!$2:$2,0),FALSE),2)</f>
        <v>0</v>
      </c>
      <c r="H162" s="25">
        <f>ROUND($D162*CLS_Inc*VLOOKUP($A162,'K3 District Data as of Jan 2025'!$A$3:$M$323,MATCH("Reg base",'K3 District Data as of Jan 2025'!$2:$2,0),FALSE),2)-G162</f>
        <v>0</v>
      </c>
      <c r="I162" s="25">
        <f t="shared" si="15"/>
        <v>0</v>
      </c>
      <c r="J162" s="25">
        <f t="shared" si="16"/>
        <v>0</v>
      </c>
      <c r="K162" s="25">
        <f t="shared" si="17"/>
        <v>0</v>
      </c>
      <c r="L162" s="25">
        <f t="shared" si="18"/>
        <v>0</v>
      </c>
      <c r="M162" s="25">
        <f t="shared" si="19"/>
        <v>0</v>
      </c>
      <c r="N162" s="25">
        <f t="shared" si="20"/>
        <v>0</v>
      </c>
      <c r="O162" s="25">
        <f>ROUND(($C162*CIS_Inc*(VLOOKUP($A162,'K3 District Data as of Jan 2025'!$A$3:$M$323,MATCH("Reg",'K3 District Data as of Jan 2025'!$2:$2,0),FALSE)+VLOOKUP($A162,'K3 District Data as of Jan 2025'!$A$3:$M$323,MATCH("Exp",'K3 District Data as of Jan 2025'!$2:$2,0),FALSE))/180)*3+(($C162*CIS_Inc*(VLOOKUP($A162,'K3 District Data as of Jan 2025'!$A$3:$M$323,MATCH("Reg",'K3 District Data as of Jan 2025'!$2:$2,0),FALSE)+VLOOKUP($A162,'K3 District Data as of Jan 2025'!$A$3:$M$323,MATCH("Exp",'K3 District Data as of Jan 2025'!$2:$2,0),FALSE))/180)*3)*CIS_Ben_Inc,2)</f>
        <v>0</v>
      </c>
      <c r="P162" s="23">
        <f t="shared" si="21"/>
        <v>0</v>
      </c>
    </row>
    <row r="163" spans="1:16" x14ac:dyDescent="0.25">
      <c r="A163" t="s">
        <v>213</v>
      </c>
      <c r="B163" t="s">
        <v>508</v>
      </c>
      <c r="C163" s="33">
        <f>IF(VLOOKUP($A163,'Enroll Data as of January 2025'!$A$3:$T$322,20,FALSE)&gt;0,0,VLOOKUP($A163,'Enroll Data as of January 2025'!$A$3:$T$322,20,FALSE)*'2024-25 PSES Compliance'!$G$13)</f>
        <v>0</v>
      </c>
      <c r="D163" s="33">
        <f>IF(VLOOKUP($A163,'Enroll Data as of January 2025'!$A$3:$T$322,20,FALSE)&gt;0,0,VLOOKUP($A163,'Enroll Data as of January 2025'!$A$3:$T$322,20,FALSE)*'2024-25 PSES Compliance'!$G$14)</f>
        <v>0</v>
      </c>
      <c r="E163" s="25">
        <f>ROUND($C163*CIS_Base*VLOOKUP($A163,'K3 District Data as of Jan 2025'!$A$3:$M$323,MATCH("Reg base",'K3 District Data as of Jan 2025'!$2:$2,0),FALSE),2)</f>
        <v>0</v>
      </c>
      <c r="F163" s="25">
        <f>ROUND($C163*CIS_Inc*(VLOOKUP($A163,'K3 District Data as of Jan 2025'!$A$3:$M$323,MATCH("Reg",'K3 District Data as of Jan 2025'!$2:$2,0),FALSE)+VLOOKUP($A163,'K3 District Data as of Jan 2025'!$A$3:$M$323,MATCH("Exp",'K3 District Data as of Jan 2025'!$2:$2,0),FALSE)),2)-E163</f>
        <v>0</v>
      </c>
      <c r="G163" s="25">
        <f>ROUND($D163*CLS_Base*VLOOKUP($A163,'K3 District Data as of Jan 2025'!$A$3:$M$323,MATCH("Reg base",'K3 District Data as of Jan 2025'!$2:$2,0),FALSE),2)</f>
        <v>0</v>
      </c>
      <c r="H163" s="25">
        <f>ROUND($D163*CLS_Inc*VLOOKUP($A163,'K3 District Data as of Jan 2025'!$A$3:$M$323,MATCH("Reg base",'K3 District Data as of Jan 2025'!$2:$2,0),FALSE),2)-G163</f>
        <v>0</v>
      </c>
      <c r="I163" s="25">
        <f t="shared" si="15"/>
        <v>0</v>
      </c>
      <c r="J163" s="25">
        <f t="shared" si="16"/>
        <v>0</v>
      </c>
      <c r="K163" s="25">
        <f t="shared" si="17"/>
        <v>0</v>
      </c>
      <c r="L163" s="25">
        <f t="shared" si="18"/>
        <v>0</v>
      </c>
      <c r="M163" s="25">
        <f t="shared" si="19"/>
        <v>0</v>
      </c>
      <c r="N163" s="25">
        <f t="shared" si="20"/>
        <v>0</v>
      </c>
      <c r="O163" s="25">
        <f>ROUND(($C163*CIS_Inc*(VLOOKUP($A163,'K3 District Data as of Jan 2025'!$A$3:$M$323,MATCH("Reg",'K3 District Data as of Jan 2025'!$2:$2,0),FALSE)+VLOOKUP($A163,'K3 District Data as of Jan 2025'!$A$3:$M$323,MATCH("Exp",'K3 District Data as of Jan 2025'!$2:$2,0),FALSE))/180)*3+(($C163*CIS_Inc*(VLOOKUP($A163,'K3 District Data as of Jan 2025'!$A$3:$M$323,MATCH("Reg",'K3 District Data as of Jan 2025'!$2:$2,0),FALSE)+VLOOKUP($A163,'K3 District Data as of Jan 2025'!$A$3:$M$323,MATCH("Exp",'K3 District Data as of Jan 2025'!$2:$2,0),FALSE))/180)*3)*CIS_Ben_Inc,2)</f>
        <v>0</v>
      </c>
      <c r="P163" s="23">
        <f t="shared" si="21"/>
        <v>0</v>
      </c>
    </row>
    <row r="164" spans="1:16" x14ac:dyDescent="0.25">
      <c r="A164" t="s">
        <v>37</v>
      </c>
      <c r="B164" t="s">
        <v>333</v>
      </c>
      <c r="C164" s="33">
        <f>IF(VLOOKUP($A164,'Enroll Data as of January 2025'!$A$3:$T$322,20,FALSE)&gt;0,0,VLOOKUP($A164,'Enroll Data as of January 2025'!$A$3:$T$322,20,FALSE)*'2024-25 PSES Compliance'!$G$13)</f>
        <v>0</v>
      </c>
      <c r="D164" s="33">
        <f>IF(VLOOKUP($A164,'Enroll Data as of January 2025'!$A$3:$T$322,20,FALSE)&gt;0,0,VLOOKUP($A164,'Enroll Data as of January 2025'!$A$3:$T$322,20,FALSE)*'2024-25 PSES Compliance'!$G$14)</f>
        <v>0</v>
      </c>
      <c r="E164" s="25">
        <f>ROUND($C164*CIS_Base*VLOOKUP($A164,'K3 District Data as of Jan 2025'!$A$3:$M$323,MATCH("Reg base",'K3 District Data as of Jan 2025'!$2:$2,0),FALSE),2)</f>
        <v>0</v>
      </c>
      <c r="F164" s="25">
        <f>ROUND($C164*CIS_Inc*(VLOOKUP($A164,'K3 District Data as of Jan 2025'!$A$3:$M$323,MATCH("Reg",'K3 District Data as of Jan 2025'!$2:$2,0),FALSE)+VLOOKUP($A164,'K3 District Data as of Jan 2025'!$A$3:$M$323,MATCH("Exp",'K3 District Data as of Jan 2025'!$2:$2,0),FALSE)),2)-E164</f>
        <v>0</v>
      </c>
      <c r="G164" s="25">
        <f>ROUND($D164*CLS_Base*VLOOKUP($A164,'K3 District Data as of Jan 2025'!$A$3:$M$323,MATCH("Reg base",'K3 District Data as of Jan 2025'!$2:$2,0),FALSE),2)</f>
        <v>0</v>
      </c>
      <c r="H164" s="25">
        <f>ROUND($D164*CLS_Inc*VLOOKUP($A164,'K3 District Data as of Jan 2025'!$A$3:$M$323,MATCH("Reg base",'K3 District Data as of Jan 2025'!$2:$2,0),FALSE),2)-G164</f>
        <v>0</v>
      </c>
      <c r="I164" s="25">
        <f t="shared" si="15"/>
        <v>0</v>
      </c>
      <c r="J164" s="25">
        <f t="shared" si="16"/>
        <v>0</v>
      </c>
      <c r="K164" s="25">
        <f t="shared" si="17"/>
        <v>0</v>
      </c>
      <c r="L164" s="25">
        <f t="shared" si="18"/>
        <v>0</v>
      </c>
      <c r="M164" s="25">
        <f t="shared" si="19"/>
        <v>0</v>
      </c>
      <c r="N164" s="25">
        <f t="shared" si="20"/>
        <v>0</v>
      </c>
      <c r="O164" s="25">
        <f>ROUND(($C164*CIS_Inc*(VLOOKUP($A164,'K3 District Data as of Jan 2025'!$A$3:$M$323,MATCH("Reg",'K3 District Data as of Jan 2025'!$2:$2,0),FALSE)+VLOOKUP($A164,'K3 District Data as of Jan 2025'!$A$3:$M$323,MATCH("Exp",'K3 District Data as of Jan 2025'!$2:$2,0),FALSE))/180)*3+(($C164*CIS_Inc*(VLOOKUP($A164,'K3 District Data as of Jan 2025'!$A$3:$M$323,MATCH("Reg",'K3 District Data as of Jan 2025'!$2:$2,0),FALSE)+VLOOKUP($A164,'K3 District Data as of Jan 2025'!$A$3:$M$323,MATCH("Exp",'K3 District Data as of Jan 2025'!$2:$2,0),FALSE))/180)*3)*CIS_Ben_Inc,2)</f>
        <v>0</v>
      </c>
      <c r="P164" s="23">
        <f t="shared" si="21"/>
        <v>0</v>
      </c>
    </row>
    <row r="165" spans="1:16" x14ac:dyDescent="0.25">
      <c r="A165" t="s">
        <v>247</v>
      </c>
      <c r="B165" t="s">
        <v>543</v>
      </c>
      <c r="C165" s="33">
        <f>IF(VLOOKUP($A165,'Enroll Data as of January 2025'!$A$3:$T$322,20,FALSE)&gt;0,0,VLOOKUP($A165,'Enroll Data as of January 2025'!$A$3:$T$322,20,FALSE)*'2024-25 PSES Compliance'!$G$13)</f>
        <v>-9.3119999999999994E-2</v>
      </c>
      <c r="D165" s="33">
        <f>IF(VLOOKUP($A165,'Enroll Data as of January 2025'!$A$3:$T$322,20,FALSE)&gt;0,0,VLOOKUP($A165,'Enroll Data as of January 2025'!$A$3:$T$322,20,FALSE)*'2024-25 PSES Compliance'!$G$14)</f>
        <v>-3.8800000000000002E-3</v>
      </c>
      <c r="E165" s="25">
        <f>ROUND($C165*CIS_Base*VLOOKUP($A165,'K3 District Data as of Jan 2025'!$A$3:$M$323,MATCH("Reg base",'K3 District Data as of Jan 2025'!$2:$2,0),FALSE),2)</f>
        <v>-6772.43</v>
      </c>
      <c r="F165" s="25">
        <f>ROUND($C165*CIS_Inc*(VLOOKUP($A165,'K3 District Data as of Jan 2025'!$A$3:$M$323,MATCH("Reg",'K3 District Data as of Jan 2025'!$2:$2,0),FALSE)+VLOOKUP($A165,'K3 District Data as of Jan 2025'!$A$3:$M$323,MATCH("Exp",'K3 District Data as of Jan 2025'!$2:$2,0),FALSE)),2)-E165</f>
        <v>-510.38999999999942</v>
      </c>
      <c r="G165" s="25">
        <f>ROUND($D165*CLS_Base*VLOOKUP($A165,'K3 District Data as of Jan 2025'!$A$3:$M$323,MATCH("Reg base",'K3 District Data as of Jan 2025'!$2:$2,0),FALSE),2)</f>
        <v>-202.43</v>
      </c>
      <c r="H165" s="25">
        <f>ROUND($D165*CLS_Inc*VLOOKUP($A165,'K3 District Data as of Jan 2025'!$A$3:$M$323,MATCH("Reg base",'K3 District Data as of Jan 2025'!$2:$2,0),FALSE),2)-G165</f>
        <v>-15.259999999999991</v>
      </c>
      <c r="I165" s="25">
        <f t="shared" si="15"/>
        <v>-1342.67</v>
      </c>
      <c r="J165" s="25">
        <f t="shared" si="16"/>
        <v>-78.430000000000007</v>
      </c>
      <c r="K165" s="25">
        <f t="shared" si="17"/>
        <v>-1229.2</v>
      </c>
      <c r="L165" s="25">
        <f t="shared" si="18"/>
        <v>-1185.8499999999999</v>
      </c>
      <c r="M165" s="25">
        <f t="shared" si="19"/>
        <v>-43.85</v>
      </c>
      <c r="N165" s="25">
        <f t="shared" si="20"/>
        <v>-2.77</v>
      </c>
      <c r="O165" s="25">
        <f>ROUND(($C165*CIS_Inc*(VLOOKUP($A165,'K3 District Data as of Jan 2025'!$A$3:$M$323,MATCH("Reg",'K3 District Data as of Jan 2025'!$2:$2,0),FALSE)+VLOOKUP($A165,'K3 District Data as of Jan 2025'!$A$3:$M$323,MATCH("Exp",'K3 District Data as of Jan 2025'!$2:$2,0),FALSE))/180)*3+(($C165*CIS_Inc*(VLOOKUP($A165,'K3 District Data as of Jan 2025'!$A$3:$M$323,MATCH("Reg",'K3 District Data as of Jan 2025'!$2:$2,0),FALSE)+VLOOKUP($A165,'K3 District Data as of Jan 2025'!$A$3:$M$323,MATCH("Exp",'K3 District Data as of Jan 2025'!$2:$2,0),FALSE))/180)*3)*CIS_Ben_Inc,2)</f>
        <v>-142.63</v>
      </c>
      <c r="P165" s="23">
        <f t="shared" si="21"/>
        <v>-11525.910000000002</v>
      </c>
    </row>
    <row r="166" spans="1:16" x14ac:dyDescent="0.25">
      <c r="A166" t="s">
        <v>97</v>
      </c>
      <c r="B166" t="s">
        <v>393</v>
      </c>
      <c r="C166" s="33">
        <f>IF(VLOOKUP($A166,'Enroll Data as of January 2025'!$A$3:$T$322,20,FALSE)&gt;0,0,VLOOKUP($A166,'Enroll Data as of January 2025'!$A$3:$T$322,20,FALSE)*'2024-25 PSES Compliance'!$G$13)</f>
        <v>0</v>
      </c>
      <c r="D166" s="33">
        <f>IF(VLOOKUP($A166,'Enroll Data as of January 2025'!$A$3:$T$322,20,FALSE)&gt;0,0,VLOOKUP($A166,'Enroll Data as of January 2025'!$A$3:$T$322,20,FALSE)*'2024-25 PSES Compliance'!$G$14)</f>
        <v>0</v>
      </c>
      <c r="E166" s="25">
        <f>ROUND($C166*CIS_Base*VLOOKUP($A166,'K3 District Data as of Jan 2025'!$A$3:$M$323,MATCH("Reg base",'K3 District Data as of Jan 2025'!$2:$2,0),FALSE),2)</f>
        <v>0</v>
      </c>
      <c r="F166" s="25">
        <f>ROUND($C166*CIS_Inc*(VLOOKUP($A166,'K3 District Data as of Jan 2025'!$A$3:$M$323,MATCH("Reg",'K3 District Data as of Jan 2025'!$2:$2,0),FALSE)+VLOOKUP($A166,'K3 District Data as of Jan 2025'!$A$3:$M$323,MATCH("Exp",'K3 District Data as of Jan 2025'!$2:$2,0),FALSE)),2)-E166</f>
        <v>0</v>
      </c>
      <c r="G166" s="25">
        <f>ROUND($D166*CLS_Base*VLOOKUP($A166,'K3 District Data as of Jan 2025'!$A$3:$M$323,MATCH("Reg base",'K3 District Data as of Jan 2025'!$2:$2,0),FALSE),2)</f>
        <v>0</v>
      </c>
      <c r="H166" s="25">
        <f>ROUND($D166*CLS_Inc*VLOOKUP($A166,'K3 District Data as of Jan 2025'!$A$3:$M$323,MATCH("Reg base",'K3 District Data as of Jan 2025'!$2:$2,0),FALSE),2)-G166</f>
        <v>0</v>
      </c>
      <c r="I166" s="25">
        <f t="shared" si="15"/>
        <v>0</v>
      </c>
      <c r="J166" s="25">
        <f t="shared" si="16"/>
        <v>0</v>
      </c>
      <c r="K166" s="25">
        <f t="shared" si="17"/>
        <v>0</v>
      </c>
      <c r="L166" s="25">
        <f t="shared" si="18"/>
        <v>0</v>
      </c>
      <c r="M166" s="25">
        <f t="shared" si="19"/>
        <v>0</v>
      </c>
      <c r="N166" s="25">
        <f t="shared" si="20"/>
        <v>0</v>
      </c>
      <c r="O166" s="25">
        <f>ROUND(($C166*CIS_Inc*(VLOOKUP($A166,'K3 District Data as of Jan 2025'!$A$3:$M$323,MATCH("Reg",'K3 District Data as of Jan 2025'!$2:$2,0),FALSE)+VLOOKUP($A166,'K3 District Data as of Jan 2025'!$A$3:$M$323,MATCH("Exp",'K3 District Data as of Jan 2025'!$2:$2,0),FALSE))/180)*3+(($C166*CIS_Inc*(VLOOKUP($A166,'K3 District Data as of Jan 2025'!$A$3:$M$323,MATCH("Reg",'K3 District Data as of Jan 2025'!$2:$2,0),FALSE)+VLOOKUP($A166,'K3 District Data as of Jan 2025'!$A$3:$M$323,MATCH("Exp",'K3 District Data as of Jan 2025'!$2:$2,0),FALSE))/180)*3)*CIS_Ben_Inc,2)</f>
        <v>0</v>
      </c>
      <c r="P166" s="23">
        <f t="shared" si="21"/>
        <v>0</v>
      </c>
    </row>
    <row r="167" spans="1:16" x14ac:dyDescent="0.25">
      <c r="A167" t="s">
        <v>269</v>
      </c>
      <c r="B167" t="s">
        <v>565</v>
      </c>
      <c r="C167" s="33">
        <f>IF(VLOOKUP($A167,'Enroll Data as of January 2025'!$A$3:$T$322,20,FALSE)&gt;0,0,VLOOKUP($A167,'Enroll Data as of January 2025'!$A$3:$T$322,20,FALSE)*'2024-25 PSES Compliance'!$G$13)</f>
        <v>0</v>
      </c>
      <c r="D167" s="33">
        <f>IF(VLOOKUP($A167,'Enroll Data as of January 2025'!$A$3:$T$322,20,FALSE)&gt;0,0,VLOOKUP($A167,'Enroll Data as of January 2025'!$A$3:$T$322,20,FALSE)*'2024-25 PSES Compliance'!$G$14)</f>
        <v>0</v>
      </c>
      <c r="E167" s="25">
        <f>ROUND($C167*CIS_Base*VLOOKUP($A167,'K3 District Data as of Jan 2025'!$A$3:$M$323,MATCH("Reg base",'K3 District Data as of Jan 2025'!$2:$2,0),FALSE),2)</f>
        <v>0</v>
      </c>
      <c r="F167" s="25">
        <f>ROUND($C167*CIS_Inc*(VLOOKUP($A167,'K3 District Data as of Jan 2025'!$A$3:$M$323,MATCH("Reg",'K3 District Data as of Jan 2025'!$2:$2,0),FALSE)+VLOOKUP($A167,'K3 District Data as of Jan 2025'!$A$3:$M$323,MATCH("Exp",'K3 District Data as of Jan 2025'!$2:$2,0),FALSE)),2)-E167</f>
        <v>0</v>
      </c>
      <c r="G167" s="25">
        <f>ROUND($D167*CLS_Base*VLOOKUP($A167,'K3 District Data as of Jan 2025'!$A$3:$M$323,MATCH("Reg base",'K3 District Data as of Jan 2025'!$2:$2,0),FALSE),2)</f>
        <v>0</v>
      </c>
      <c r="H167" s="25">
        <f>ROUND($D167*CLS_Inc*VLOOKUP($A167,'K3 District Data as of Jan 2025'!$A$3:$M$323,MATCH("Reg base",'K3 District Data as of Jan 2025'!$2:$2,0),FALSE),2)-G167</f>
        <v>0</v>
      </c>
      <c r="I167" s="25">
        <f t="shared" si="15"/>
        <v>0</v>
      </c>
      <c r="J167" s="25">
        <f t="shared" si="16"/>
        <v>0</v>
      </c>
      <c r="K167" s="25">
        <f t="shared" si="17"/>
        <v>0</v>
      </c>
      <c r="L167" s="25">
        <f t="shared" si="18"/>
        <v>0</v>
      </c>
      <c r="M167" s="25">
        <f t="shared" si="19"/>
        <v>0</v>
      </c>
      <c r="N167" s="25">
        <f t="shared" si="20"/>
        <v>0</v>
      </c>
      <c r="O167" s="25">
        <f>ROUND(($C167*CIS_Inc*(VLOOKUP($A167,'K3 District Data as of Jan 2025'!$A$3:$M$323,MATCH("Reg",'K3 District Data as of Jan 2025'!$2:$2,0),FALSE)+VLOOKUP($A167,'K3 District Data as of Jan 2025'!$A$3:$M$323,MATCH("Exp",'K3 District Data as of Jan 2025'!$2:$2,0),FALSE))/180)*3+(($C167*CIS_Inc*(VLOOKUP($A167,'K3 District Data as of Jan 2025'!$A$3:$M$323,MATCH("Reg",'K3 District Data as of Jan 2025'!$2:$2,0),FALSE)+VLOOKUP($A167,'K3 District Data as of Jan 2025'!$A$3:$M$323,MATCH("Exp",'K3 District Data as of Jan 2025'!$2:$2,0),FALSE))/180)*3)*CIS_Ben_Inc,2)</f>
        <v>0</v>
      </c>
      <c r="P167" s="23">
        <f t="shared" si="21"/>
        <v>0</v>
      </c>
    </row>
    <row r="168" spans="1:16" x14ac:dyDescent="0.25">
      <c r="A168" t="s">
        <v>197</v>
      </c>
      <c r="B168" t="s">
        <v>492</v>
      </c>
      <c r="C168" s="33">
        <f>IF(VLOOKUP($A168,'Enroll Data as of January 2025'!$A$3:$T$322,20,FALSE)&gt;0,0,VLOOKUP($A168,'Enroll Data as of January 2025'!$A$3:$T$322,20,FALSE)*'2024-25 PSES Compliance'!$G$13)</f>
        <v>0</v>
      </c>
      <c r="D168" s="33">
        <f>IF(VLOOKUP($A168,'Enroll Data as of January 2025'!$A$3:$T$322,20,FALSE)&gt;0,0,VLOOKUP($A168,'Enroll Data as of January 2025'!$A$3:$T$322,20,FALSE)*'2024-25 PSES Compliance'!$G$14)</f>
        <v>0</v>
      </c>
      <c r="E168" s="25">
        <f>ROUND($C168*CIS_Base*VLOOKUP($A168,'K3 District Data as of Jan 2025'!$A$3:$M$323,MATCH("Reg base",'K3 District Data as of Jan 2025'!$2:$2,0),FALSE),2)</f>
        <v>0</v>
      </c>
      <c r="F168" s="25">
        <f>ROUND($C168*CIS_Inc*(VLOOKUP($A168,'K3 District Data as of Jan 2025'!$A$3:$M$323,MATCH("Reg",'K3 District Data as of Jan 2025'!$2:$2,0),FALSE)+VLOOKUP($A168,'K3 District Data as of Jan 2025'!$A$3:$M$323,MATCH("Exp",'K3 District Data as of Jan 2025'!$2:$2,0),FALSE)),2)-E168</f>
        <v>0</v>
      </c>
      <c r="G168" s="25">
        <f>ROUND($D168*CLS_Base*VLOOKUP($A168,'K3 District Data as of Jan 2025'!$A$3:$M$323,MATCH("Reg base",'K3 District Data as of Jan 2025'!$2:$2,0),FALSE),2)</f>
        <v>0</v>
      </c>
      <c r="H168" s="25">
        <f>ROUND($D168*CLS_Inc*VLOOKUP($A168,'K3 District Data as of Jan 2025'!$A$3:$M$323,MATCH("Reg base",'K3 District Data as of Jan 2025'!$2:$2,0),FALSE),2)-G168</f>
        <v>0</v>
      </c>
      <c r="I168" s="25">
        <f t="shared" si="15"/>
        <v>0</v>
      </c>
      <c r="J168" s="25">
        <f t="shared" si="16"/>
        <v>0</v>
      </c>
      <c r="K168" s="25">
        <f t="shared" si="17"/>
        <v>0</v>
      </c>
      <c r="L168" s="25">
        <f t="shared" si="18"/>
        <v>0</v>
      </c>
      <c r="M168" s="25">
        <f t="shared" si="19"/>
        <v>0</v>
      </c>
      <c r="N168" s="25">
        <f t="shared" si="20"/>
        <v>0</v>
      </c>
      <c r="O168" s="25">
        <f>ROUND(($C168*CIS_Inc*(VLOOKUP($A168,'K3 District Data as of Jan 2025'!$A$3:$M$323,MATCH("Reg",'K3 District Data as of Jan 2025'!$2:$2,0),FALSE)+VLOOKUP($A168,'K3 District Data as of Jan 2025'!$A$3:$M$323,MATCH("Exp",'K3 District Data as of Jan 2025'!$2:$2,0),FALSE))/180)*3+(($C168*CIS_Inc*(VLOOKUP($A168,'K3 District Data as of Jan 2025'!$A$3:$M$323,MATCH("Reg",'K3 District Data as of Jan 2025'!$2:$2,0),FALSE)+VLOOKUP($A168,'K3 District Data as of Jan 2025'!$A$3:$M$323,MATCH("Exp",'K3 District Data as of Jan 2025'!$2:$2,0),FALSE))/180)*3)*CIS_Ben_Inc,2)</f>
        <v>0</v>
      </c>
      <c r="P168" s="23">
        <f t="shared" si="21"/>
        <v>0</v>
      </c>
    </row>
    <row r="169" spans="1:16" x14ac:dyDescent="0.25">
      <c r="A169" t="s">
        <v>193</v>
      </c>
      <c r="B169" t="s">
        <v>488</v>
      </c>
      <c r="C169" s="33">
        <f>IF(VLOOKUP($A169,'Enroll Data as of January 2025'!$A$3:$T$322,20,FALSE)&gt;0,0,VLOOKUP($A169,'Enroll Data as of January 2025'!$A$3:$T$322,20,FALSE)*'2024-25 PSES Compliance'!$G$13)</f>
        <v>0</v>
      </c>
      <c r="D169" s="33">
        <f>IF(VLOOKUP($A169,'Enroll Data as of January 2025'!$A$3:$T$322,20,FALSE)&gt;0,0,VLOOKUP($A169,'Enroll Data as of January 2025'!$A$3:$T$322,20,FALSE)*'2024-25 PSES Compliance'!$G$14)</f>
        <v>0</v>
      </c>
      <c r="E169" s="25">
        <f>ROUND($C169*CIS_Base*VLOOKUP($A169,'K3 District Data as of Jan 2025'!$A$3:$M$323,MATCH("Reg base",'K3 District Data as of Jan 2025'!$2:$2,0),FALSE),2)</f>
        <v>0</v>
      </c>
      <c r="F169" s="25">
        <f>ROUND($C169*CIS_Inc*(VLOOKUP($A169,'K3 District Data as of Jan 2025'!$A$3:$M$323,MATCH("Reg",'K3 District Data as of Jan 2025'!$2:$2,0),FALSE)+VLOOKUP($A169,'K3 District Data as of Jan 2025'!$A$3:$M$323,MATCH("Exp",'K3 District Data as of Jan 2025'!$2:$2,0),FALSE)),2)-E169</f>
        <v>0</v>
      </c>
      <c r="G169" s="25">
        <f>ROUND($D169*CLS_Base*VLOOKUP($A169,'K3 District Data as of Jan 2025'!$A$3:$M$323,MATCH("Reg base",'K3 District Data as of Jan 2025'!$2:$2,0),FALSE),2)</f>
        <v>0</v>
      </c>
      <c r="H169" s="25">
        <f>ROUND($D169*CLS_Inc*VLOOKUP($A169,'K3 District Data as of Jan 2025'!$A$3:$M$323,MATCH("Reg base",'K3 District Data as of Jan 2025'!$2:$2,0),FALSE),2)-G169</f>
        <v>0</v>
      </c>
      <c r="I169" s="25">
        <f t="shared" si="15"/>
        <v>0</v>
      </c>
      <c r="J169" s="25">
        <f t="shared" si="16"/>
        <v>0</v>
      </c>
      <c r="K169" s="25">
        <f t="shared" si="17"/>
        <v>0</v>
      </c>
      <c r="L169" s="25">
        <f t="shared" si="18"/>
        <v>0</v>
      </c>
      <c r="M169" s="25">
        <f t="shared" si="19"/>
        <v>0</v>
      </c>
      <c r="N169" s="25">
        <f t="shared" si="20"/>
        <v>0</v>
      </c>
      <c r="O169" s="25">
        <f>ROUND(($C169*CIS_Inc*(VLOOKUP($A169,'K3 District Data as of Jan 2025'!$A$3:$M$323,MATCH("Reg",'K3 District Data as of Jan 2025'!$2:$2,0),FALSE)+VLOOKUP($A169,'K3 District Data as of Jan 2025'!$A$3:$M$323,MATCH("Exp",'K3 District Data as of Jan 2025'!$2:$2,0),FALSE))/180)*3+(($C169*CIS_Inc*(VLOOKUP($A169,'K3 District Data as of Jan 2025'!$A$3:$M$323,MATCH("Reg",'K3 District Data as of Jan 2025'!$2:$2,0),FALSE)+VLOOKUP($A169,'K3 District Data as of Jan 2025'!$A$3:$M$323,MATCH("Exp",'K3 District Data as of Jan 2025'!$2:$2,0),FALSE))/180)*3)*CIS_Ben_Inc,2)</f>
        <v>0</v>
      </c>
      <c r="P169" s="23">
        <f t="shared" si="21"/>
        <v>0</v>
      </c>
    </row>
    <row r="170" spans="1:16" x14ac:dyDescent="0.25">
      <c r="A170" t="s">
        <v>282</v>
      </c>
      <c r="B170" t="s">
        <v>578</v>
      </c>
      <c r="C170" s="33">
        <f>IF(VLOOKUP($A170,'Enroll Data as of January 2025'!$A$3:$T$322,20,FALSE)&gt;0,0,VLOOKUP($A170,'Enroll Data as of January 2025'!$A$3:$T$322,20,FALSE)*'2024-25 PSES Compliance'!$G$13)</f>
        <v>0</v>
      </c>
      <c r="D170" s="33">
        <f>IF(VLOOKUP($A170,'Enroll Data as of January 2025'!$A$3:$T$322,20,FALSE)&gt;0,0,VLOOKUP($A170,'Enroll Data as of January 2025'!$A$3:$T$322,20,FALSE)*'2024-25 PSES Compliance'!$G$14)</f>
        <v>0</v>
      </c>
      <c r="E170" s="25">
        <f>ROUND($C170*CIS_Base*VLOOKUP($A170,'K3 District Data as of Jan 2025'!$A$3:$M$323,MATCH("Reg base",'K3 District Data as of Jan 2025'!$2:$2,0),FALSE),2)</f>
        <v>0</v>
      </c>
      <c r="F170" s="25">
        <f>ROUND($C170*CIS_Inc*(VLOOKUP($A170,'K3 District Data as of Jan 2025'!$A$3:$M$323,MATCH("Reg",'K3 District Data as of Jan 2025'!$2:$2,0),FALSE)+VLOOKUP($A170,'K3 District Data as of Jan 2025'!$A$3:$M$323,MATCH("Exp",'K3 District Data as of Jan 2025'!$2:$2,0),FALSE)),2)-E170</f>
        <v>0</v>
      </c>
      <c r="G170" s="25">
        <f>ROUND($D170*CLS_Base*VLOOKUP($A170,'K3 District Data as of Jan 2025'!$A$3:$M$323,MATCH("Reg base",'K3 District Data as of Jan 2025'!$2:$2,0),FALSE),2)</f>
        <v>0</v>
      </c>
      <c r="H170" s="25">
        <f>ROUND($D170*CLS_Inc*VLOOKUP($A170,'K3 District Data as of Jan 2025'!$A$3:$M$323,MATCH("Reg base",'K3 District Data as of Jan 2025'!$2:$2,0),FALSE),2)-G170</f>
        <v>0</v>
      </c>
      <c r="I170" s="25">
        <f t="shared" si="15"/>
        <v>0</v>
      </c>
      <c r="J170" s="25">
        <f t="shared" si="16"/>
        <v>0</v>
      </c>
      <c r="K170" s="25">
        <f t="shared" si="17"/>
        <v>0</v>
      </c>
      <c r="L170" s="25">
        <f t="shared" si="18"/>
        <v>0</v>
      </c>
      <c r="M170" s="25">
        <f t="shared" si="19"/>
        <v>0</v>
      </c>
      <c r="N170" s="25">
        <f t="shared" si="20"/>
        <v>0</v>
      </c>
      <c r="O170" s="25">
        <f>ROUND(($C170*CIS_Inc*(VLOOKUP($A170,'K3 District Data as of Jan 2025'!$A$3:$M$323,MATCH("Reg",'K3 District Data as of Jan 2025'!$2:$2,0),FALSE)+VLOOKUP($A170,'K3 District Data as of Jan 2025'!$A$3:$M$323,MATCH("Exp",'K3 District Data as of Jan 2025'!$2:$2,0),FALSE))/180)*3+(($C170*CIS_Inc*(VLOOKUP($A170,'K3 District Data as of Jan 2025'!$A$3:$M$323,MATCH("Reg",'K3 District Data as of Jan 2025'!$2:$2,0),FALSE)+VLOOKUP($A170,'K3 District Data as of Jan 2025'!$A$3:$M$323,MATCH("Exp",'K3 District Data as of Jan 2025'!$2:$2,0),FALSE))/180)*3)*CIS_Ben_Inc,2)</f>
        <v>0</v>
      </c>
      <c r="P170" s="23">
        <f t="shared" si="21"/>
        <v>0</v>
      </c>
    </row>
    <row r="171" spans="1:16" x14ac:dyDescent="0.25">
      <c r="A171" t="s">
        <v>132</v>
      </c>
      <c r="B171" t="s">
        <v>428</v>
      </c>
      <c r="C171" s="33">
        <f>IF(VLOOKUP($A171,'Enroll Data as of January 2025'!$A$3:$T$322,20,FALSE)&gt;0,0,VLOOKUP($A171,'Enroll Data as of January 2025'!$A$3:$T$322,20,FALSE)*'2024-25 PSES Compliance'!$G$13)</f>
        <v>0</v>
      </c>
      <c r="D171" s="33">
        <f>IF(VLOOKUP($A171,'Enroll Data as of January 2025'!$A$3:$T$322,20,FALSE)&gt;0,0,VLOOKUP($A171,'Enroll Data as of January 2025'!$A$3:$T$322,20,FALSE)*'2024-25 PSES Compliance'!$G$14)</f>
        <v>0</v>
      </c>
      <c r="E171" s="25">
        <f>ROUND($C171*CIS_Base*VLOOKUP($A171,'K3 District Data as of Jan 2025'!$A$3:$M$323,MATCH("Reg base",'K3 District Data as of Jan 2025'!$2:$2,0),FALSE),2)</f>
        <v>0</v>
      </c>
      <c r="F171" s="25">
        <f>ROUND($C171*CIS_Inc*(VLOOKUP($A171,'K3 District Data as of Jan 2025'!$A$3:$M$323,MATCH("Reg",'K3 District Data as of Jan 2025'!$2:$2,0),FALSE)+VLOOKUP($A171,'K3 District Data as of Jan 2025'!$A$3:$M$323,MATCH("Exp",'K3 District Data as of Jan 2025'!$2:$2,0),FALSE)),2)-E171</f>
        <v>0</v>
      </c>
      <c r="G171" s="25">
        <f>ROUND($D171*CLS_Base*VLOOKUP($A171,'K3 District Data as of Jan 2025'!$A$3:$M$323,MATCH("Reg base",'K3 District Data as of Jan 2025'!$2:$2,0),FALSE),2)</f>
        <v>0</v>
      </c>
      <c r="H171" s="25">
        <f>ROUND($D171*CLS_Inc*VLOOKUP($A171,'K3 District Data as of Jan 2025'!$A$3:$M$323,MATCH("Reg base",'K3 District Data as of Jan 2025'!$2:$2,0),FALSE),2)-G171</f>
        <v>0</v>
      </c>
      <c r="I171" s="25">
        <f t="shared" si="15"/>
        <v>0</v>
      </c>
      <c r="J171" s="25">
        <f t="shared" si="16"/>
        <v>0</v>
      </c>
      <c r="K171" s="25">
        <f t="shared" si="17"/>
        <v>0</v>
      </c>
      <c r="L171" s="25">
        <f t="shared" si="18"/>
        <v>0</v>
      </c>
      <c r="M171" s="25">
        <f t="shared" si="19"/>
        <v>0</v>
      </c>
      <c r="N171" s="25">
        <f t="shared" si="20"/>
        <v>0</v>
      </c>
      <c r="O171" s="25">
        <f>ROUND(($C171*CIS_Inc*(VLOOKUP($A171,'K3 District Data as of Jan 2025'!$A$3:$M$323,MATCH("Reg",'K3 District Data as of Jan 2025'!$2:$2,0),FALSE)+VLOOKUP($A171,'K3 District Data as of Jan 2025'!$A$3:$M$323,MATCH("Exp",'K3 District Data as of Jan 2025'!$2:$2,0),FALSE))/180)*3+(($C171*CIS_Inc*(VLOOKUP($A171,'K3 District Data as of Jan 2025'!$A$3:$M$323,MATCH("Reg",'K3 District Data as of Jan 2025'!$2:$2,0),FALSE)+VLOOKUP($A171,'K3 District Data as of Jan 2025'!$A$3:$M$323,MATCH("Exp",'K3 District Data as of Jan 2025'!$2:$2,0),FALSE))/180)*3)*CIS_Ben_Inc,2)</f>
        <v>0</v>
      </c>
      <c r="P171" s="23">
        <f t="shared" si="21"/>
        <v>0</v>
      </c>
    </row>
    <row r="172" spans="1:16" x14ac:dyDescent="0.25">
      <c r="A172" t="s">
        <v>295</v>
      </c>
      <c r="B172" t="s">
        <v>591</v>
      </c>
      <c r="C172" s="33">
        <f>IF(VLOOKUP($A172,'Enroll Data as of January 2025'!$A$3:$T$322,20,FALSE)&gt;0,0,VLOOKUP($A172,'Enroll Data as of January 2025'!$A$3:$T$322,20,FALSE)*'2024-25 PSES Compliance'!$G$13)</f>
        <v>0</v>
      </c>
      <c r="D172" s="33">
        <f>IF(VLOOKUP($A172,'Enroll Data as of January 2025'!$A$3:$T$322,20,FALSE)&gt;0,0,VLOOKUP($A172,'Enroll Data as of January 2025'!$A$3:$T$322,20,FALSE)*'2024-25 PSES Compliance'!$G$14)</f>
        <v>0</v>
      </c>
      <c r="E172" s="25">
        <f>ROUND($C172*CIS_Base*VLOOKUP($A172,'K3 District Data as of Jan 2025'!$A$3:$M$323,MATCH("Reg base",'K3 District Data as of Jan 2025'!$2:$2,0),FALSE),2)</f>
        <v>0</v>
      </c>
      <c r="F172" s="25">
        <f>ROUND($C172*CIS_Inc*(VLOOKUP($A172,'K3 District Data as of Jan 2025'!$A$3:$M$323,MATCH("Reg",'K3 District Data as of Jan 2025'!$2:$2,0),FALSE)+VLOOKUP($A172,'K3 District Data as of Jan 2025'!$A$3:$M$323,MATCH("Exp",'K3 District Data as of Jan 2025'!$2:$2,0),FALSE)),2)-E172</f>
        <v>0</v>
      </c>
      <c r="G172" s="25">
        <f>ROUND($D172*CLS_Base*VLOOKUP($A172,'K3 District Data as of Jan 2025'!$A$3:$M$323,MATCH("Reg base",'K3 District Data as of Jan 2025'!$2:$2,0),FALSE),2)</f>
        <v>0</v>
      </c>
      <c r="H172" s="25">
        <f>ROUND($D172*CLS_Inc*VLOOKUP($A172,'K3 District Data as of Jan 2025'!$A$3:$M$323,MATCH("Reg base",'K3 District Data as of Jan 2025'!$2:$2,0),FALSE),2)-G172</f>
        <v>0</v>
      </c>
      <c r="I172" s="25">
        <f t="shared" si="15"/>
        <v>0</v>
      </c>
      <c r="J172" s="25">
        <f t="shared" si="16"/>
        <v>0</v>
      </c>
      <c r="K172" s="25">
        <f t="shared" si="17"/>
        <v>0</v>
      </c>
      <c r="L172" s="25">
        <f t="shared" si="18"/>
        <v>0</v>
      </c>
      <c r="M172" s="25">
        <f t="shared" si="19"/>
        <v>0</v>
      </c>
      <c r="N172" s="25">
        <f t="shared" si="20"/>
        <v>0</v>
      </c>
      <c r="O172" s="25">
        <f>ROUND(($C172*CIS_Inc*(VLOOKUP($A172,'K3 District Data as of Jan 2025'!$A$3:$M$323,MATCH("Reg",'K3 District Data as of Jan 2025'!$2:$2,0),FALSE)+VLOOKUP($A172,'K3 District Data as of Jan 2025'!$A$3:$M$323,MATCH("Exp",'K3 District Data as of Jan 2025'!$2:$2,0),FALSE))/180)*3+(($C172*CIS_Inc*(VLOOKUP($A172,'K3 District Data as of Jan 2025'!$A$3:$M$323,MATCH("Reg",'K3 District Data as of Jan 2025'!$2:$2,0),FALSE)+VLOOKUP($A172,'K3 District Data as of Jan 2025'!$A$3:$M$323,MATCH("Exp",'K3 District Data as of Jan 2025'!$2:$2,0),FALSE))/180)*3)*CIS_Ben_Inc,2)</f>
        <v>0</v>
      </c>
      <c r="P172" s="23">
        <f t="shared" si="21"/>
        <v>0</v>
      </c>
    </row>
    <row r="173" spans="1:16" x14ac:dyDescent="0.25">
      <c r="A173" t="s">
        <v>299</v>
      </c>
      <c r="B173" t="s">
        <v>595</v>
      </c>
      <c r="C173" s="33">
        <f>IF(VLOOKUP($A173,'Enroll Data as of January 2025'!$A$3:$T$322,20,FALSE)&gt;0,0,VLOOKUP($A173,'Enroll Data as of January 2025'!$A$3:$T$322,20,FALSE)*'2024-25 PSES Compliance'!$G$13)</f>
        <v>0</v>
      </c>
      <c r="D173" s="33">
        <f>IF(VLOOKUP($A173,'Enroll Data as of January 2025'!$A$3:$T$322,20,FALSE)&gt;0,0,VLOOKUP($A173,'Enroll Data as of January 2025'!$A$3:$T$322,20,FALSE)*'2024-25 PSES Compliance'!$G$14)</f>
        <v>0</v>
      </c>
      <c r="E173" s="25">
        <f>ROUND($C173*CIS_Base*VLOOKUP($A173,'K3 District Data as of Jan 2025'!$A$3:$M$323,MATCH("Reg base",'K3 District Data as of Jan 2025'!$2:$2,0),FALSE),2)</f>
        <v>0</v>
      </c>
      <c r="F173" s="25">
        <f>ROUND($C173*CIS_Inc*(VLOOKUP($A173,'K3 District Data as of Jan 2025'!$A$3:$M$323,MATCH("Reg",'K3 District Data as of Jan 2025'!$2:$2,0),FALSE)+VLOOKUP($A173,'K3 District Data as of Jan 2025'!$A$3:$M$323,MATCH("Exp",'K3 District Data as of Jan 2025'!$2:$2,0),FALSE)),2)-E173</f>
        <v>0</v>
      </c>
      <c r="G173" s="25">
        <f>ROUND($D173*CLS_Base*VLOOKUP($A173,'K3 District Data as of Jan 2025'!$A$3:$M$323,MATCH("Reg base",'K3 District Data as of Jan 2025'!$2:$2,0),FALSE),2)</f>
        <v>0</v>
      </c>
      <c r="H173" s="25">
        <f>ROUND($D173*CLS_Inc*VLOOKUP($A173,'K3 District Data as of Jan 2025'!$A$3:$M$323,MATCH("Reg base",'K3 District Data as of Jan 2025'!$2:$2,0),FALSE),2)-G173</f>
        <v>0</v>
      </c>
      <c r="I173" s="25">
        <f t="shared" si="15"/>
        <v>0</v>
      </c>
      <c r="J173" s="25">
        <f t="shared" si="16"/>
        <v>0</v>
      </c>
      <c r="K173" s="25">
        <f t="shared" si="17"/>
        <v>0</v>
      </c>
      <c r="L173" s="25">
        <f t="shared" si="18"/>
        <v>0</v>
      </c>
      <c r="M173" s="25">
        <f t="shared" si="19"/>
        <v>0</v>
      </c>
      <c r="N173" s="25">
        <f t="shared" si="20"/>
        <v>0</v>
      </c>
      <c r="O173" s="25">
        <f>ROUND(($C173*CIS_Inc*(VLOOKUP($A173,'K3 District Data as of Jan 2025'!$A$3:$M$323,MATCH("Reg",'K3 District Data as of Jan 2025'!$2:$2,0),FALSE)+VLOOKUP($A173,'K3 District Data as of Jan 2025'!$A$3:$M$323,MATCH("Exp",'K3 District Data as of Jan 2025'!$2:$2,0),FALSE))/180)*3+(($C173*CIS_Inc*(VLOOKUP($A173,'K3 District Data as of Jan 2025'!$A$3:$M$323,MATCH("Reg",'K3 District Data as of Jan 2025'!$2:$2,0),FALSE)+VLOOKUP($A173,'K3 District Data as of Jan 2025'!$A$3:$M$323,MATCH("Exp",'K3 District Data as of Jan 2025'!$2:$2,0),FALSE))/180)*3)*CIS_Ben_Inc,2)</f>
        <v>0</v>
      </c>
      <c r="P173" s="23">
        <f t="shared" si="21"/>
        <v>0</v>
      </c>
    </row>
    <row r="174" spans="1:16" x14ac:dyDescent="0.25">
      <c r="A174" t="s">
        <v>225</v>
      </c>
      <c r="B174" t="s">
        <v>520</v>
      </c>
      <c r="C174" s="33">
        <f>IF(VLOOKUP($A174,'Enroll Data as of January 2025'!$A$3:$T$322,20,FALSE)&gt;0,0,VLOOKUP($A174,'Enroll Data as of January 2025'!$A$3:$T$322,20,FALSE)*'2024-25 PSES Compliance'!$G$13)</f>
        <v>0</v>
      </c>
      <c r="D174" s="33">
        <f>IF(VLOOKUP($A174,'Enroll Data as of January 2025'!$A$3:$T$322,20,FALSE)&gt;0,0,VLOOKUP($A174,'Enroll Data as of January 2025'!$A$3:$T$322,20,FALSE)*'2024-25 PSES Compliance'!$G$14)</f>
        <v>0</v>
      </c>
      <c r="E174" s="25">
        <f>ROUND($C174*CIS_Base*VLOOKUP($A174,'K3 District Data as of Jan 2025'!$A$3:$M$323,MATCH("Reg base",'K3 District Data as of Jan 2025'!$2:$2,0),FALSE),2)</f>
        <v>0</v>
      </c>
      <c r="F174" s="25">
        <f>ROUND($C174*CIS_Inc*(VLOOKUP($A174,'K3 District Data as of Jan 2025'!$A$3:$M$323,MATCH("Reg",'K3 District Data as of Jan 2025'!$2:$2,0),FALSE)+VLOOKUP($A174,'K3 District Data as of Jan 2025'!$A$3:$M$323,MATCH("Exp",'K3 District Data as of Jan 2025'!$2:$2,0),FALSE)),2)-E174</f>
        <v>0</v>
      </c>
      <c r="G174" s="25">
        <f>ROUND($D174*CLS_Base*VLOOKUP($A174,'K3 District Data as of Jan 2025'!$A$3:$M$323,MATCH("Reg base",'K3 District Data as of Jan 2025'!$2:$2,0),FALSE),2)</f>
        <v>0</v>
      </c>
      <c r="H174" s="25">
        <f>ROUND($D174*CLS_Inc*VLOOKUP($A174,'K3 District Data as of Jan 2025'!$A$3:$M$323,MATCH("Reg base",'K3 District Data as of Jan 2025'!$2:$2,0),FALSE),2)-G174</f>
        <v>0</v>
      </c>
      <c r="I174" s="25">
        <f t="shared" si="15"/>
        <v>0</v>
      </c>
      <c r="J174" s="25">
        <f t="shared" si="16"/>
        <v>0</v>
      </c>
      <c r="K174" s="25">
        <f t="shared" si="17"/>
        <v>0</v>
      </c>
      <c r="L174" s="25">
        <f t="shared" si="18"/>
        <v>0</v>
      </c>
      <c r="M174" s="25">
        <f t="shared" si="19"/>
        <v>0</v>
      </c>
      <c r="N174" s="25">
        <f t="shared" si="20"/>
        <v>0</v>
      </c>
      <c r="O174" s="25">
        <f>ROUND(($C174*CIS_Inc*(VLOOKUP($A174,'K3 District Data as of Jan 2025'!$A$3:$M$323,MATCH("Reg",'K3 District Data as of Jan 2025'!$2:$2,0),FALSE)+VLOOKUP($A174,'K3 District Data as of Jan 2025'!$A$3:$M$323,MATCH("Exp",'K3 District Data as of Jan 2025'!$2:$2,0),FALSE))/180)*3+(($C174*CIS_Inc*(VLOOKUP($A174,'K3 District Data as of Jan 2025'!$A$3:$M$323,MATCH("Reg",'K3 District Data as of Jan 2025'!$2:$2,0),FALSE)+VLOOKUP($A174,'K3 District Data as of Jan 2025'!$A$3:$M$323,MATCH("Exp",'K3 District Data as of Jan 2025'!$2:$2,0),FALSE))/180)*3)*CIS_Ben_Inc,2)</f>
        <v>0</v>
      </c>
      <c r="P174" s="23">
        <f t="shared" si="21"/>
        <v>0</v>
      </c>
    </row>
    <row r="175" spans="1:16" x14ac:dyDescent="0.25">
      <c r="A175" t="s">
        <v>257</v>
      </c>
      <c r="B175" t="s">
        <v>553</v>
      </c>
      <c r="C175" s="33">
        <f>IF(VLOOKUP($A175,'Enroll Data as of January 2025'!$A$3:$T$322,20,FALSE)&gt;0,0,VLOOKUP($A175,'Enroll Data as of January 2025'!$A$3:$T$322,20,FALSE)*'2024-25 PSES Compliance'!$G$13)</f>
        <v>0</v>
      </c>
      <c r="D175" s="33">
        <f>IF(VLOOKUP($A175,'Enroll Data as of January 2025'!$A$3:$T$322,20,FALSE)&gt;0,0,VLOOKUP($A175,'Enroll Data as of January 2025'!$A$3:$T$322,20,FALSE)*'2024-25 PSES Compliance'!$G$14)</f>
        <v>0</v>
      </c>
      <c r="E175" s="25">
        <f>ROUND($C175*CIS_Base*VLOOKUP($A175,'K3 District Data as of Jan 2025'!$A$3:$M$323,MATCH("Reg base",'K3 District Data as of Jan 2025'!$2:$2,0),FALSE),2)</f>
        <v>0</v>
      </c>
      <c r="F175" s="25">
        <f>ROUND($C175*CIS_Inc*(VLOOKUP($A175,'K3 District Data as of Jan 2025'!$A$3:$M$323,MATCH("Reg",'K3 District Data as of Jan 2025'!$2:$2,0),FALSE)+VLOOKUP($A175,'K3 District Data as of Jan 2025'!$A$3:$M$323,MATCH("Exp",'K3 District Data as of Jan 2025'!$2:$2,0),FALSE)),2)-E175</f>
        <v>0</v>
      </c>
      <c r="G175" s="25">
        <f>ROUND($D175*CLS_Base*VLOOKUP($A175,'K3 District Data as of Jan 2025'!$A$3:$M$323,MATCH("Reg base",'K3 District Data as of Jan 2025'!$2:$2,0),FALSE),2)</f>
        <v>0</v>
      </c>
      <c r="H175" s="25">
        <f>ROUND($D175*CLS_Inc*VLOOKUP($A175,'K3 District Data as of Jan 2025'!$A$3:$M$323,MATCH("Reg base",'K3 District Data as of Jan 2025'!$2:$2,0),FALSE),2)-G175</f>
        <v>0</v>
      </c>
      <c r="I175" s="25">
        <f t="shared" si="15"/>
        <v>0</v>
      </c>
      <c r="J175" s="25">
        <f t="shared" si="16"/>
        <v>0</v>
      </c>
      <c r="K175" s="25">
        <f t="shared" si="17"/>
        <v>0</v>
      </c>
      <c r="L175" s="25">
        <f t="shared" si="18"/>
        <v>0</v>
      </c>
      <c r="M175" s="25">
        <f t="shared" si="19"/>
        <v>0</v>
      </c>
      <c r="N175" s="25">
        <f t="shared" si="20"/>
        <v>0</v>
      </c>
      <c r="O175" s="25">
        <f>ROUND(($C175*CIS_Inc*(VLOOKUP($A175,'K3 District Data as of Jan 2025'!$A$3:$M$323,MATCH("Reg",'K3 District Data as of Jan 2025'!$2:$2,0),FALSE)+VLOOKUP($A175,'K3 District Data as of Jan 2025'!$A$3:$M$323,MATCH("Exp",'K3 District Data as of Jan 2025'!$2:$2,0),FALSE))/180)*3+(($C175*CIS_Inc*(VLOOKUP($A175,'K3 District Data as of Jan 2025'!$A$3:$M$323,MATCH("Reg",'K3 District Data as of Jan 2025'!$2:$2,0),FALSE)+VLOOKUP($A175,'K3 District Data as of Jan 2025'!$A$3:$M$323,MATCH("Exp",'K3 District Data as of Jan 2025'!$2:$2,0),FALSE))/180)*3)*CIS_Ben_Inc,2)</f>
        <v>0</v>
      </c>
      <c r="P175" s="23">
        <f t="shared" si="21"/>
        <v>0</v>
      </c>
    </row>
    <row r="176" spans="1:16" x14ac:dyDescent="0.25">
      <c r="A176" t="s">
        <v>157</v>
      </c>
      <c r="B176" t="s">
        <v>453</v>
      </c>
      <c r="C176" s="33">
        <f>IF(VLOOKUP($A176,'Enroll Data as of January 2025'!$A$3:$T$322,20,FALSE)&gt;0,0,VLOOKUP($A176,'Enroll Data as of January 2025'!$A$3:$T$322,20,FALSE)*'2024-25 PSES Compliance'!$G$13)</f>
        <v>0</v>
      </c>
      <c r="D176" s="33">
        <f>IF(VLOOKUP($A176,'Enroll Data as of January 2025'!$A$3:$T$322,20,FALSE)&gt;0,0,VLOOKUP($A176,'Enroll Data as of January 2025'!$A$3:$T$322,20,FALSE)*'2024-25 PSES Compliance'!$G$14)</f>
        <v>0</v>
      </c>
      <c r="E176" s="25">
        <f>ROUND($C176*CIS_Base*VLOOKUP($A176,'K3 District Data as of Jan 2025'!$A$3:$M$323,MATCH("Reg base",'K3 District Data as of Jan 2025'!$2:$2,0),FALSE),2)</f>
        <v>0</v>
      </c>
      <c r="F176" s="25">
        <f>ROUND($C176*CIS_Inc*(VLOOKUP($A176,'K3 District Data as of Jan 2025'!$A$3:$M$323,MATCH("Reg",'K3 District Data as of Jan 2025'!$2:$2,0),FALSE)+VLOOKUP($A176,'K3 District Data as of Jan 2025'!$A$3:$M$323,MATCH("Exp",'K3 District Data as of Jan 2025'!$2:$2,0),FALSE)),2)-E176</f>
        <v>0</v>
      </c>
      <c r="G176" s="25">
        <f>ROUND($D176*CLS_Base*VLOOKUP($A176,'K3 District Data as of Jan 2025'!$A$3:$M$323,MATCH("Reg base",'K3 District Data as of Jan 2025'!$2:$2,0),FALSE),2)</f>
        <v>0</v>
      </c>
      <c r="H176" s="25">
        <f>ROUND($D176*CLS_Inc*VLOOKUP($A176,'K3 District Data as of Jan 2025'!$A$3:$M$323,MATCH("Reg base",'K3 District Data as of Jan 2025'!$2:$2,0),FALSE),2)-G176</f>
        <v>0</v>
      </c>
      <c r="I176" s="25">
        <f t="shared" si="15"/>
        <v>0</v>
      </c>
      <c r="J176" s="25">
        <f t="shared" si="16"/>
        <v>0</v>
      </c>
      <c r="K176" s="25">
        <f t="shared" si="17"/>
        <v>0</v>
      </c>
      <c r="L176" s="25">
        <f t="shared" si="18"/>
        <v>0</v>
      </c>
      <c r="M176" s="25">
        <f t="shared" si="19"/>
        <v>0</v>
      </c>
      <c r="N176" s="25">
        <f t="shared" si="20"/>
        <v>0</v>
      </c>
      <c r="O176" s="25">
        <f>ROUND(($C176*CIS_Inc*(VLOOKUP($A176,'K3 District Data as of Jan 2025'!$A$3:$M$323,MATCH("Reg",'K3 District Data as of Jan 2025'!$2:$2,0),FALSE)+VLOOKUP($A176,'K3 District Data as of Jan 2025'!$A$3:$M$323,MATCH("Exp",'K3 District Data as of Jan 2025'!$2:$2,0),FALSE))/180)*3+(($C176*CIS_Inc*(VLOOKUP($A176,'K3 District Data as of Jan 2025'!$A$3:$M$323,MATCH("Reg",'K3 District Data as of Jan 2025'!$2:$2,0),FALSE)+VLOOKUP($A176,'K3 District Data as of Jan 2025'!$A$3:$M$323,MATCH("Exp",'K3 District Data as of Jan 2025'!$2:$2,0),FALSE))/180)*3)*CIS_Ben_Inc,2)</f>
        <v>0</v>
      </c>
      <c r="P176" s="23">
        <f t="shared" si="21"/>
        <v>0</v>
      </c>
    </row>
    <row r="177" spans="1:16" x14ac:dyDescent="0.25">
      <c r="A177" t="s">
        <v>100</v>
      </c>
      <c r="B177" t="s">
        <v>396</v>
      </c>
      <c r="C177" s="33">
        <f>IF(VLOOKUP($A177,'Enroll Data as of January 2025'!$A$3:$T$322,20,FALSE)&gt;0,0,VLOOKUP($A177,'Enroll Data as of January 2025'!$A$3:$T$322,20,FALSE)*'2024-25 PSES Compliance'!$G$13)</f>
        <v>0</v>
      </c>
      <c r="D177" s="33">
        <f>IF(VLOOKUP($A177,'Enroll Data as of January 2025'!$A$3:$T$322,20,FALSE)&gt;0,0,VLOOKUP($A177,'Enroll Data as of January 2025'!$A$3:$T$322,20,FALSE)*'2024-25 PSES Compliance'!$G$14)</f>
        <v>0</v>
      </c>
      <c r="E177" s="25">
        <f>ROUND($C177*CIS_Base*VLOOKUP($A177,'K3 District Data as of Jan 2025'!$A$3:$M$323,MATCH("Reg base",'K3 District Data as of Jan 2025'!$2:$2,0),FALSE),2)</f>
        <v>0</v>
      </c>
      <c r="F177" s="25">
        <f>ROUND($C177*CIS_Inc*(VLOOKUP($A177,'K3 District Data as of Jan 2025'!$A$3:$M$323,MATCH("Reg",'K3 District Data as of Jan 2025'!$2:$2,0),FALSE)+VLOOKUP($A177,'K3 District Data as of Jan 2025'!$A$3:$M$323,MATCH("Exp",'K3 District Data as of Jan 2025'!$2:$2,0),FALSE)),2)-E177</f>
        <v>0</v>
      </c>
      <c r="G177" s="25">
        <f>ROUND($D177*CLS_Base*VLOOKUP($A177,'K3 District Data as of Jan 2025'!$A$3:$M$323,MATCH("Reg base",'K3 District Data as of Jan 2025'!$2:$2,0),FALSE),2)</f>
        <v>0</v>
      </c>
      <c r="H177" s="25">
        <f>ROUND($D177*CLS_Inc*VLOOKUP($A177,'K3 District Data as of Jan 2025'!$A$3:$M$323,MATCH("Reg base",'K3 District Data as of Jan 2025'!$2:$2,0),FALSE),2)-G177</f>
        <v>0</v>
      </c>
      <c r="I177" s="25">
        <f t="shared" si="15"/>
        <v>0</v>
      </c>
      <c r="J177" s="25">
        <f t="shared" si="16"/>
        <v>0</v>
      </c>
      <c r="K177" s="25">
        <f t="shared" si="17"/>
        <v>0</v>
      </c>
      <c r="L177" s="25">
        <f t="shared" si="18"/>
        <v>0</v>
      </c>
      <c r="M177" s="25">
        <f t="shared" si="19"/>
        <v>0</v>
      </c>
      <c r="N177" s="25">
        <f t="shared" si="20"/>
        <v>0</v>
      </c>
      <c r="O177" s="25">
        <f>ROUND(($C177*CIS_Inc*(VLOOKUP($A177,'K3 District Data as of Jan 2025'!$A$3:$M$323,MATCH("Reg",'K3 District Data as of Jan 2025'!$2:$2,0),FALSE)+VLOOKUP($A177,'K3 District Data as of Jan 2025'!$A$3:$M$323,MATCH("Exp",'K3 District Data as of Jan 2025'!$2:$2,0),FALSE))/180)*3+(($C177*CIS_Inc*(VLOOKUP($A177,'K3 District Data as of Jan 2025'!$A$3:$M$323,MATCH("Reg",'K3 District Data as of Jan 2025'!$2:$2,0),FALSE)+VLOOKUP($A177,'K3 District Data as of Jan 2025'!$A$3:$M$323,MATCH("Exp",'K3 District Data as of Jan 2025'!$2:$2,0),FALSE))/180)*3)*CIS_Ben_Inc,2)</f>
        <v>0</v>
      </c>
      <c r="P177" s="23">
        <f t="shared" si="21"/>
        <v>0</v>
      </c>
    </row>
    <row r="178" spans="1:16" x14ac:dyDescent="0.25">
      <c r="A178" t="s">
        <v>165</v>
      </c>
      <c r="B178" t="s">
        <v>461</v>
      </c>
      <c r="C178" s="33">
        <f>IF(VLOOKUP($A178,'Enroll Data as of January 2025'!$A$3:$T$322,20,FALSE)&gt;0,0,VLOOKUP($A178,'Enroll Data as of January 2025'!$A$3:$T$322,20,FALSE)*'2024-25 PSES Compliance'!$G$13)</f>
        <v>0</v>
      </c>
      <c r="D178" s="33">
        <f>IF(VLOOKUP($A178,'Enroll Data as of January 2025'!$A$3:$T$322,20,FALSE)&gt;0,0,VLOOKUP($A178,'Enroll Data as of January 2025'!$A$3:$T$322,20,FALSE)*'2024-25 PSES Compliance'!$G$14)</f>
        <v>0</v>
      </c>
      <c r="E178" s="25">
        <f>ROUND($C178*CIS_Base*VLOOKUP($A178,'K3 District Data as of Jan 2025'!$A$3:$M$323,MATCH("Reg base",'K3 District Data as of Jan 2025'!$2:$2,0),FALSE),2)</f>
        <v>0</v>
      </c>
      <c r="F178" s="25">
        <f>ROUND($C178*CIS_Inc*(VLOOKUP($A178,'K3 District Data as of Jan 2025'!$A$3:$M$323,MATCH("Reg",'K3 District Data as of Jan 2025'!$2:$2,0),FALSE)+VLOOKUP($A178,'K3 District Data as of Jan 2025'!$A$3:$M$323,MATCH("Exp",'K3 District Data as of Jan 2025'!$2:$2,0),FALSE)),2)-E178</f>
        <v>0</v>
      </c>
      <c r="G178" s="25">
        <f>ROUND($D178*CLS_Base*VLOOKUP($A178,'K3 District Data as of Jan 2025'!$A$3:$M$323,MATCH("Reg base",'K3 District Data as of Jan 2025'!$2:$2,0),FALSE),2)</f>
        <v>0</v>
      </c>
      <c r="H178" s="25">
        <f>ROUND($D178*CLS_Inc*VLOOKUP($A178,'K3 District Data as of Jan 2025'!$A$3:$M$323,MATCH("Reg base",'K3 District Data as of Jan 2025'!$2:$2,0),FALSE),2)-G178</f>
        <v>0</v>
      </c>
      <c r="I178" s="25">
        <f t="shared" si="15"/>
        <v>0</v>
      </c>
      <c r="J178" s="25">
        <f t="shared" si="16"/>
        <v>0</v>
      </c>
      <c r="K178" s="25">
        <f t="shared" si="17"/>
        <v>0</v>
      </c>
      <c r="L178" s="25">
        <f t="shared" si="18"/>
        <v>0</v>
      </c>
      <c r="M178" s="25">
        <f t="shared" si="19"/>
        <v>0</v>
      </c>
      <c r="N178" s="25">
        <f t="shared" si="20"/>
        <v>0</v>
      </c>
      <c r="O178" s="25">
        <f>ROUND(($C178*CIS_Inc*(VLOOKUP($A178,'K3 District Data as of Jan 2025'!$A$3:$M$323,MATCH("Reg",'K3 District Data as of Jan 2025'!$2:$2,0),FALSE)+VLOOKUP($A178,'K3 District Data as of Jan 2025'!$A$3:$M$323,MATCH("Exp",'K3 District Data as of Jan 2025'!$2:$2,0),FALSE))/180)*3+(($C178*CIS_Inc*(VLOOKUP($A178,'K3 District Data as of Jan 2025'!$A$3:$M$323,MATCH("Reg",'K3 District Data as of Jan 2025'!$2:$2,0),FALSE)+VLOOKUP($A178,'K3 District Data as of Jan 2025'!$A$3:$M$323,MATCH("Exp",'K3 District Data as of Jan 2025'!$2:$2,0),FALSE))/180)*3)*CIS_Ben_Inc,2)</f>
        <v>0</v>
      </c>
      <c r="P178" s="23">
        <f t="shared" si="21"/>
        <v>0</v>
      </c>
    </row>
    <row r="179" spans="1:16" x14ac:dyDescent="0.25">
      <c r="A179" t="s">
        <v>58</v>
      </c>
      <c r="B179" t="s">
        <v>354</v>
      </c>
      <c r="C179" s="33">
        <f>IF(VLOOKUP($A179,'Enroll Data as of January 2025'!$A$3:$T$322,20,FALSE)&gt;0,0,VLOOKUP($A179,'Enroll Data as of January 2025'!$A$3:$T$322,20,FALSE)*'2024-25 PSES Compliance'!$G$13)</f>
        <v>0</v>
      </c>
      <c r="D179" s="33">
        <f>IF(VLOOKUP($A179,'Enroll Data as of January 2025'!$A$3:$T$322,20,FALSE)&gt;0,0,VLOOKUP($A179,'Enroll Data as of January 2025'!$A$3:$T$322,20,FALSE)*'2024-25 PSES Compliance'!$G$14)</f>
        <v>0</v>
      </c>
      <c r="E179" s="25">
        <f>ROUND($C179*CIS_Base*VLOOKUP($A179,'K3 District Data as of Jan 2025'!$A$3:$M$323,MATCH("Reg base",'K3 District Data as of Jan 2025'!$2:$2,0),FALSE),2)</f>
        <v>0</v>
      </c>
      <c r="F179" s="25">
        <f>ROUND($C179*CIS_Inc*(VLOOKUP($A179,'K3 District Data as of Jan 2025'!$A$3:$M$323,MATCH("Reg",'K3 District Data as of Jan 2025'!$2:$2,0),FALSE)+VLOOKUP($A179,'K3 District Data as of Jan 2025'!$A$3:$M$323,MATCH("Exp",'K3 District Data as of Jan 2025'!$2:$2,0),FALSE)),2)-E179</f>
        <v>0</v>
      </c>
      <c r="G179" s="25">
        <f>ROUND($D179*CLS_Base*VLOOKUP($A179,'K3 District Data as of Jan 2025'!$A$3:$M$323,MATCH("Reg base",'K3 District Data as of Jan 2025'!$2:$2,0),FALSE),2)</f>
        <v>0</v>
      </c>
      <c r="H179" s="25">
        <f>ROUND($D179*CLS_Inc*VLOOKUP($A179,'K3 District Data as of Jan 2025'!$A$3:$M$323,MATCH("Reg base",'K3 District Data as of Jan 2025'!$2:$2,0),FALSE),2)-G179</f>
        <v>0</v>
      </c>
      <c r="I179" s="25">
        <f t="shared" si="15"/>
        <v>0</v>
      </c>
      <c r="J179" s="25">
        <f t="shared" si="16"/>
        <v>0</v>
      </c>
      <c r="K179" s="25">
        <f t="shared" si="17"/>
        <v>0</v>
      </c>
      <c r="L179" s="25">
        <f t="shared" si="18"/>
        <v>0</v>
      </c>
      <c r="M179" s="25">
        <f t="shared" si="19"/>
        <v>0</v>
      </c>
      <c r="N179" s="25">
        <f t="shared" si="20"/>
        <v>0</v>
      </c>
      <c r="O179" s="25">
        <f>ROUND(($C179*CIS_Inc*(VLOOKUP($A179,'K3 District Data as of Jan 2025'!$A$3:$M$323,MATCH("Reg",'K3 District Data as of Jan 2025'!$2:$2,0),FALSE)+VLOOKUP($A179,'K3 District Data as of Jan 2025'!$A$3:$M$323,MATCH("Exp",'K3 District Data as of Jan 2025'!$2:$2,0),FALSE))/180)*3+(($C179*CIS_Inc*(VLOOKUP($A179,'K3 District Data as of Jan 2025'!$A$3:$M$323,MATCH("Reg",'K3 District Data as of Jan 2025'!$2:$2,0),FALSE)+VLOOKUP($A179,'K3 District Data as of Jan 2025'!$A$3:$M$323,MATCH("Exp",'K3 District Data as of Jan 2025'!$2:$2,0),FALSE))/180)*3)*CIS_Ben_Inc,2)</f>
        <v>0</v>
      </c>
      <c r="P179" s="23">
        <f t="shared" si="21"/>
        <v>0</v>
      </c>
    </row>
    <row r="180" spans="1:16" x14ac:dyDescent="0.25">
      <c r="A180" t="s">
        <v>219</v>
      </c>
      <c r="B180" t="s">
        <v>514</v>
      </c>
      <c r="C180" s="33">
        <f>IF(VLOOKUP($A180,'Enroll Data as of January 2025'!$A$3:$T$322,20,FALSE)&gt;0,0,VLOOKUP($A180,'Enroll Data as of January 2025'!$A$3:$T$322,20,FALSE)*'2024-25 PSES Compliance'!$G$13)</f>
        <v>-4.512E-2</v>
      </c>
      <c r="D180" s="33">
        <f>IF(VLOOKUP($A180,'Enroll Data as of January 2025'!$A$3:$T$322,20,FALSE)&gt;0,0,VLOOKUP($A180,'Enroll Data as of January 2025'!$A$3:$T$322,20,FALSE)*'2024-25 PSES Compliance'!$G$14)</f>
        <v>-1.8799999999999999E-3</v>
      </c>
      <c r="E180" s="25">
        <f>ROUND($C180*CIS_Base*VLOOKUP($A180,'K3 District Data as of Jan 2025'!$A$3:$M$323,MATCH("Reg base",'K3 District Data as of Jan 2025'!$2:$2,0),FALSE),2)</f>
        <v>-3872.16</v>
      </c>
      <c r="F180" s="25">
        <f>ROUND($C180*CIS_Inc*(VLOOKUP($A180,'K3 District Data as of Jan 2025'!$A$3:$M$323,MATCH("Reg",'K3 District Data as of Jan 2025'!$2:$2,0),FALSE)+VLOOKUP($A180,'K3 District Data as of Jan 2025'!$A$3:$M$323,MATCH("Exp",'K3 District Data as of Jan 2025'!$2:$2,0),FALSE)),2)-E180</f>
        <v>-291.8100000000004</v>
      </c>
      <c r="G180" s="25">
        <f>ROUND($D180*CLS_Base*VLOOKUP($A180,'K3 District Data as of Jan 2025'!$A$3:$M$323,MATCH("Reg base",'K3 District Data as of Jan 2025'!$2:$2,0),FALSE),2)</f>
        <v>-115.74</v>
      </c>
      <c r="H180" s="25">
        <f>ROUND($D180*CLS_Inc*VLOOKUP($A180,'K3 District Data as of Jan 2025'!$A$3:$M$323,MATCH("Reg base",'K3 District Data as of Jan 2025'!$2:$2,0),FALSE),2)-G180</f>
        <v>-8.7199999999999989</v>
      </c>
      <c r="I180" s="25">
        <f t="shared" si="15"/>
        <v>-650.57000000000005</v>
      </c>
      <c r="J180" s="25">
        <f t="shared" si="16"/>
        <v>-38</v>
      </c>
      <c r="K180" s="25">
        <f t="shared" si="17"/>
        <v>-702.8</v>
      </c>
      <c r="L180" s="25">
        <f t="shared" si="18"/>
        <v>-678.02</v>
      </c>
      <c r="M180" s="25">
        <f t="shared" si="19"/>
        <v>-25.07</v>
      </c>
      <c r="N180" s="25">
        <f t="shared" si="20"/>
        <v>-1.58</v>
      </c>
      <c r="O180" s="25">
        <f>ROUND(($C180*CIS_Inc*(VLOOKUP($A180,'K3 District Data as of Jan 2025'!$A$3:$M$323,MATCH("Reg",'K3 District Data as of Jan 2025'!$2:$2,0),FALSE)+VLOOKUP($A180,'K3 District Data as of Jan 2025'!$A$3:$M$323,MATCH("Exp",'K3 District Data as of Jan 2025'!$2:$2,0),FALSE))/180)*3+(($C180*CIS_Inc*(VLOOKUP($A180,'K3 District Data as of Jan 2025'!$A$3:$M$323,MATCH("Reg",'K3 District Data as of Jan 2025'!$2:$2,0),FALSE)+VLOOKUP($A180,'K3 District Data as of Jan 2025'!$A$3:$M$323,MATCH("Exp",'K3 District Data as of Jan 2025'!$2:$2,0),FALSE))/180)*3)*CIS_Ben_Inc,2)</f>
        <v>-81.55</v>
      </c>
      <c r="P180" s="23">
        <f t="shared" si="21"/>
        <v>-6466.0199999999995</v>
      </c>
    </row>
    <row r="181" spans="1:16" x14ac:dyDescent="0.25">
      <c r="A181" t="s">
        <v>110</v>
      </c>
      <c r="B181" t="s">
        <v>406</v>
      </c>
      <c r="C181" s="33">
        <f>IF(VLOOKUP($A181,'Enroll Data as of January 2025'!$A$3:$T$322,20,FALSE)&gt;0,0,VLOOKUP($A181,'Enroll Data as of January 2025'!$A$3:$T$322,20,FALSE)*'2024-25 PSES Compliance'!$G$13)</f>
        <v>0</v>
      </c>
      <c r="D181" s="33">
        <f>IF(VLOOKUP($A181,'Enroll Data as of January 2025'!$A$3:$T$322,20,FALSE)&gt;0,0,VLOOKUP($A181,'Enroll Data as of January 2025'!$A$3:$T$322,20,FALSE)*'2024-25 PSES Compliance'!$G$14)</f>
        <v>0</v>
      </c>
      <c r="E181" s="25">
        <f>ROUND($C181*CIS_Base*VLOOKUP($A181,'K3 District Data as of Jan 2025'!$A$3:$M$323,MATCH("Reg base",'K3 District Data as of Jan 2025'!$2:$2,0),FALSE),2)</f>
        <v>0</v>
      </c>
      <c r="F181" s="25">
        <f>ROUND($C181*CIS_Inc*(VLOOKUP($A181,'K3 District Data as of Jan 2025'!$A$3:$M$323,MATCH("Reg",'K3 District Data as of Jan 2025'!$2:$2,0),FALSE)+VLOOKUP($A181,'K3 District Data as of Jan 2025'!$A$3:$M$323,MATCH("Exp",'K3 District Data as of Jan 2025'!$2:$2,0),FALSE)),2)-E181</f>
        <v>0</v>
      </c>
      <c r="G181" s="25">
        <f>ROUND($D181*CLS_Base*VLOOKUP($A181,'K3 District Data as of Jan 2025'!$A$3:$M$323,MATCH("Reg base",'K3 District Data as of Jan 2025'!$2:$2,0),FALSE),2)</f>
        <v>0</v>
      </c>
      <c r="H181" s="25">
        <f>ROUND($D181*CLS_Inc*VLOOKUP($A181,'K3 District Data as of Jan 2025'!$A$3:$M$323,MATCH("Reg base",'K3 District Data as of Jan 2025'!$2:$2,0),FALSE),2)-G181</f>
        <v>0</v>
      </c>
      <c r="I181" s="25">
        <f t="shared" si="15"/>
        <v>0</v>
      </c>
      <c r="J181" s="25">
        <f t="shared" si="16"/>
        <v>0</v>
      </c>
      <c r="K181" s="25">
        <f t="shared" si="17"/>
        <v>0</v>
      </c>
      <c r="L181" s="25">
        <f t="shared" si="18"/>
        <v>0</v>
      </c>
      <c r="M181" s="25">
        <f t="shared" si="19"/>
        <v>0</v>
      </c>
      <c r="N181" s="25">
        <f t="shared" si="20"/>
        <v>0</v>
      </c>
      <c r="O181" s="25">
        <f>ROUND(($C181*CIS_Inc*(VLOOKUP($A181,'K3 District Data as of Jan 2025'!$A$3:$M$323,MATCH("Reg",'K3 District Data as of Jan 2025'!$2:$2,0),FALSE)+VLOOKUP($A181,'K3 District Data as of Jan 2025'!$A$3:$M$323,MATCH("Exp",'K3 District Data as of Jan 2025'!$2:$2,0),FALSE))/180)*3+(($C181*CIS_Inc*(VLOOKUP($A181,'K3 District Data as of Jan 2025'!$A$3:$M$323,MATCH("Reg",'K3 District Data as of Jan 2025'!$2:$2,0),FALSE)+VLOOKUP($A181,'K3 District Data as of Jan 2025'!$A$3:$M$323,MATCH("Exp",'K3 District Data as of Jan 2025'!$2:$2,0),FALSE))/180)*3)*CIS_Ben_Inc,2)</f>
        <v>0</v>
      </c>
      <c r="P181" s="23">
        <f t="shared" si="21"/>
        <v>0</v>
      </c>
    </row>
    <row r="182" spans="1:16" x14ac:dyDescent="0.25">
      <c r="A182" t="s">
        <v>46</v>
      </c>
      <c r="B182" t="s">
        <v>342</v>
      </c>
      <c r="C182" s="33">
        <f>IF(VLOOKUP($A182,'Enroll Data as of January 2025'!$A$3:$T$322,20,FALSE)&gt;0,0,VLOOKUP($A182,'Enroll Data as of January 2025'!$A$3:$T$322,20,FALSE)*'2024-25 PSES Compliance'!$G$13)</f>
        <v>0</v>
      </c>
      <c r="D182" s="33">
        <f>IF(VLOOKUP($A182,'Enroll Data as of January 2025'!$A$3:$T$322,20,FALSE)&gt;0,0,VLOOKUP($A182,'Enroll Data as of January 2025'!$A$3:$T$322,20,FALSE)*'2024-25 PSES Compliance'!$G$14)</f>
        <v>0</v>
      </c>
      <c r="E182" s="25">
        <f>ROUND($C182*CIS_Base*VLOOKUP($A182,'K3 District Data as of Jan 2025'!$A$3:$M$323,MATCH("Reg base",'K3 District Data as of Jan 2025'!$2:$2,0),FALSE),2)</f>
        <v>0</v>
      </c>
      <c r="F182" s="25">
        <f>ROUND($C182*CIS_Inc*(VLOOKUP($A182,'K3 District Data as of Jan 2025'!$A$3:$M$323,MATCH("Reg",'K3 District Data as of Jan 2025'!$2:$2,0),FALSE)+VLOOKUP($A182,'K3 District Data as of Jan 2025'!$A$3:$M$323,MATCH("Exp",'K3 District Data as of Jan 2025'!$2:$2,0),FALSE)),2)-E182</f>
        <v>0</v>
      </c>
      <c r="G182" s="25">
        <f>ROUND($D182*CLS_Base*VLOOKUP($A182,'K3 District Data as of Jan 2025'!$A$3:$M$323,MATCH("Reg base",'K3 District Data as of Jan 2025'!$2:$2,0),FALSE),2)</f>
        <v>0</v>
      </c>
      <c r="H182" s="25">
        <f>ROUND($D182*CLS_Inc*VLOOKUP($A182,'K3 District Data as of Jan 2025'!$A$3:$M$323,MATCH("Reg base",'K3 District Data as of Jan 2025'!$2:$2,0),FALSE),2)-G182</f>
        <v>0</v>
      </c>
      <c r="I182" s="25">
        <f t="shared" si="15"/>
        <v>0</v>
      </c>
      <c r="J182" s="25">
        <f t="shared" si="16"/>
        <v>0</v>
      </c>
      <c r="K182" s="25">
        <f t="shared" si="17"/>
        <v>0</v>
      </c>
      <c r="L182" s="25">
        <f t="shared" si="18"/>
        <v>0</v>
      </c>
      <c r="M182" s="25">
        <f t="shared" si="19"/>
        <v>0</v>
      </c>
      <c r="N182" s="25">
        <f t="shared" si="20"/>
        <v>0</v>
      </c>
      <c r="O182" s="25">
        <f>ROUND(($C182*CIS_Inc*(VLOOKUP($A182,'K3 District Data as of Jan 2025'!$A$3:$M$323,MATCH("Reg",'K3 District Data as of Jan 2025'!$2:$2,0),FALSE)+VLOOKUP($A182,'K3 District Data as of Jan 2025'!$A$3:$M$323,MATCH("Exp",'K3 District Data as of Jan 2025'!$2:$2,0),FALSE))/180)*3+(($C182*CIS_Inc*(VLOOKUP($A182,'K3 District Data as of Jan 2025'!$A$3:$M$323,MATCH("Reg",'K3 District Data as of Jan 2025'!$2:$2,0),FALSE)+VLOOKUP($A182,'K3 District Data as of Jan 2025'!$A$3:$M$323,MATCH("Exp",'K3 District Data as of Jan 2025'!$2:$2,0),FALSE))/180)*3)*CIS_Ben_Inc,2)</f>
        <v>0</v>
      </c>
      <c r="P182" s="23">
        <f t="shared" si="21"/>
        <v>0</v>
      </c>
    </row>
    <row r="183" spans="1:16" x14ac:dyDescent="0.25">
      <c r="A183" t="s">
        <v>55</v>
      </c>
      <c r="B183" t="s">
        <v>351</v>
      </c>
      <c r="C183" s="33">
        <f>IF(VLOOKUP($A183,'Enroll Data as of January 2025'!$A$3:$T$322,20,FALSE)&gt;0,0,VLOOKUP($A183,'Enroll Data as of January 2025'!$A$3:$T$322,20,FALSE)*'2024-25 PSES Compliance'!$G$13)</f>
        <v>0</v>
      </c>
      <c r="D183" s="33">
        <f>IF(VLOOKUP($A183,'Enroll Data as of January 2025'!$A$3:$T$322,20,FALSE)&gt;0,0,VLOOKUP($A183,'Enroll Data as of January 2025'!$A$3:$T$322,20,FALSE)*'2024-25 PSES Compliance'!$G$14)</f>
        <v>0</v>
      </c>
      <c r="E183" s="25">
        <f>ROUND($C183*CIS_Base*VLOOKUP($A183,'K3 District Data as of Jan 2025'!$A$3:$M$323,MATCH("Reg base",'K3 District Data as of Jan 2025'!$2:$2,0),FALSE),2)</f>
        <v>0</v>
      </c>
      <c r="F183" s="25">
        <f>ROUND($C183*CIS_Inc*(VLOOKUP($A183,'K3 District Data as of Jan 2025'!$A$3:$M$323,MATCH("Reg",'K3 District Data as of Jan 2025'!$2:$2,0),FALSE)+VLOOKUP($A183,'K3 District Data as of Jan 2025'!$A$3:$M$323,MATCH("Exp",'K3 District Data as of Jan 2025'!$2:$2,0),FALSE)),2)-E183</f>
        <v>0</v>
      </c>
      <c r="G183" s="25">
        <f>ROUND($D183*CLS_Base*VLOOKUP($A183,'K3 District Data as of Jan 2025'!$A$3:$M$323,MATCH("Reg base",'K3 District Data as of Jan 2025'!$2:$2,0),FALSE),2)</f>
        <v>0</v>
      </c>
      <c r="H183" s="25">
        <f>ROUND($D183*CLS_Inc*VLOOKUP($A183,'K3 District Data as of Jan 2025'!$A$3:$M$323,MATCH("Reg base",'K3 District Data as of Jan 2025'!$2:$2,0),FALSE),2)-G183</f>
        <v>0</v>
      </c>
      <c r="I183" s="25">
        <f t="shared" si="15"/>
        <v>0</v>
      </c>
      <c r="J183" s="25">
        <f t="shared" si="16"/>
        <v>0</v>
      </c>
      <c r="K183" s="25">
        <f t="shared" si="17"/>
        <v>0</v>
      </c>
      <c r="L183" s="25">
        <f t="shared" si="18"/>
        <v>0</v>
      </c>
      <c r="M183" s="25">
        <f t="shared" si="19"/>
        <v>0</v>
      </c>
      <c r="N183" s="25">
        <f t="shared" si="20"/>
        <v>0</v>
      </c>
      <c r="O183" s="25">
        <f>ROUND(($C183*CIS_Inc*(VLOOKUP($A183,'K3 District Data as of Jan 2025'!$A$3:$M$323,MATCH("Reg",'K3 District Data as of Jan 2025'!$2:$2,0),FALSE)+VLOOKUP($A183,'K3 District Data as of Jan 2025'!$A$3:$M$323,MATCH("Exp",'K3 District Data as of Jan 2025'!$2:$2,0),FALSE))/180)*3+(($C183*CIS_Inc*(VLOOKUP($A183,'K3 District Data as of Jan 2025'!$A$3:$M$323,MATCH("Reg",'K3 District Data as of Jan 2025'!$2:$2,0),FALSE)+VLOOKUP($A183,'K3 District Data as of Jan 2025'!$A$3:$M$323,MATCH("Exp",'K3 District Data as of Jan 2025'!$2:$2,0),FALSE))/180)*3)*CIS_Ben_Inc,2)</f>
        <v>0</v>
      </c>
      <c r="P183" s="23">
        <f t="shared" si="21"/>
        <v>0</v>
      </c>
    </row>
    <row r="184" spans="1:16" x14ac:dyDescent="0.25">
      <c r="A184" t="s">
        <v>48</v>
      </c>
      <c r="B184" t="s">
        <v>344</v>
      </c>
      <c r="C184" s="33">
        <f>IF(VLOOKUP($A184,'Enroll Data as of January 2025'!$A$3:$T$322,20,FALSE)&gt;0,0,VLOOKUP($A184,'Enroll Data as of January 2025'!$A$3:$T$322,20,FALSE)*'2024-25 PSES Compliance'!$G$13)</f>
        <v>0</v>
      </c>
      <c r="D184" s="33">
        <f>IF(VLOOKUP($A184,'Enroll Data as of January 2025'!$A$3:$T$322,20,FALSE)&gt;0,0,VLOOKUP($A184,'Enroll Data as of January 2025'!$A$3:$T$322,20,FALSE)*'2024-25 PSES Compliance'!$G$14)</f>
        <v>0</v>
      </c>
      <c r="E184" s="25">
        <f>ROUND($C184*CIS_Base*VLOOKUP($A184,'K3 District Data as of Jan 2025'!$A$3:$M$323,MATCH("Reg base",'K3 District Data as of Jan 2025'!$2:$2,0),FALSE),2)</f>
        <v>0</v>
      </c>
      <c r="F184" s="25">
        <f>ROUND($C184*CIS_Inc*(VLOOKUP($A184,'K3 District Data as of Jan 2025'!$A$3:$M$323,MATCH("Reg",'K3 District Data as of Jan 2025'!$2:$2,0),FALSE)+VLOOKUP($A184,'K3 District Data as of Jan 2025'!$A$3:$M$323,MATCH("Exp",'K3 District Data as of Jan 2025'!$2:$2,0),FALSE)),2)-E184</f>
        <v>0</v>
      </c>
      <c r="G184" s="25">
        <f>ROUND($D184*CLS_Base*VLOOKUP($A184,'K3 District Data as of Jan 2025'!$A$3:$M$323,MATCH("Reg base",'K3 District Data as of Jan 2025'!$2:$2,0),FALSE),2)</f>
        <v>0</v>
      </c>
      <c r="H184" s="25">
        <f>ROUND($D184*CLS_Inc*VLOOKUP($A184,'K3 District Data as of Jan 2025'!$A$3:$M$323,MATCH("Reg base",'K3 District Data as of Jan 2025'!$2:$2,0),FALSE),2)-G184</f>
        <v>0</v>
      </c>
      <c r="I184" s="25">
        <f t="shared" si="15"/>
        <v>0</v>
      </c>
      <c r="J184" s="25">
        <f t="shared" si="16"/>
        <v>0</v>
      </c>
      <c r="K184" s="25">
        <f t="shared" si="17"/>
        <v>0</v>
      </c>
      <c r="L184" s="25">
        <f t="shared" si="18"/>
        <v>0</v>
      </c>
      <c r="M184" s="25">
        <f t="shared" si="19"/>
        <v>0</v>
      </c>
      <c r="N184" s="25">
        <f t="shared" si="20"/>
        <v>0</v>
      </c>
      <c r="O184" s="25">
        <f>ROUND(($C184*CIS_Inc*(VLOOKUP($A184,'K3 District Data as of Jan 2025'!$A$3:$M$323,MATCH("Reg",'K3 District Data as of Jan 2025'!$2:$2,0),FALSE)+VLOOKUP($A184,'K3 District Data as of Jan 2025'!$A$3:$M$323,MATCH("Exp",'K3 District Data as of Jan 2025'!$2:$2,0),FALSE))/180)*3+(($C184*CIS_Inc*(VLOOKUP($A184,'K3 District Data as of Jan 2025'!$A$3:$M$323,MATCH("Reg",'K3 District Data as of Jan 2025'!$2:$2,0),FALSE)+VLOOKUP($A184,'K3 District Data as of Jan 2025'!$A$3:$M$323,MATCH("Exp",'K3 District Data as of Jan 2025'!$2:$2,0),FALSE))/180)*3)*CIS_Ben_Inc,2)</f>
        <v>0</v>
      </c>
      <c r="P184" s="23">
        <f t="shared" si="21"/>
        <v>0</v>
      </c>
    </row>
    <row r="185" spans="1:16" x14ac:dyDescent="0.25">
      <c r="A185" t="s">
        <v>14</v>
      </c>
      <c r="B185" t="s">
        <v>311</v>
      </c>
      <c r="C185" s="33">
        <f>IF(VLOOKUP($A185,'Enroll Data as of January 2025'!$A$3:$T$322,20,FALSE)&gt;0,0,VLOOKUP($A185,'Enroll Data as of January 2025'!$A$3:$T$322,20,FALSE)*'2024-25 PSES Compliance'!$G$13)</f>
        <v>0</v>
      </c>
      <c r="D185" s="33">
        <f>IF(VLOOKUP($A185,'Enroll Data as of January 2025'!$A$3:$T$322,20,FALSE)&gt;0,0,VLOOKUP($A185,'Enroll Data as of January 2025'!$A$3:$T$322,20,FALSE)*'2024-25 PSES Compliance'!$G$14)</f>
        <v>0</v>
      </c>
      <c r="E185" s="25">
        <f>ROUND($C185*CIS_Base*VLOOKUP($A185,'K3 District Data as of Jan 2025'!$A$3:$M$323,MATCH("Reg base",'K3 District Data as of Jan 2025'!$2:$2,0),FALSE),2)</f>
        <v>0</v>
      </c>
      <c r="F185" s="25">
        <f>ROUND($C185*CIS_Inc*(VLOOKUP($A185,'K3 District Data as of Jan 2025'!$A$3:$M$323,MATCH("Reg",'K3 District Data as of Jan 2025'!$2:$2,0),FALSE)+VLOOKUP($A185,'K3 District Data as of Jan 2025'!$A$3:$M$323,MATCH("Exp",'K3 District Data as of Jan 2025'!$2:$2,0),FALSE)),2)-E185</f>
        <v>0</v>
      </c>
      <c r="G185" s="25">
        <f>ROUND($D185*CLS_Base*VLOOKUP($A185,'K3 District Data as of Jan 2025'!$A$3:$M$323,MATCH("Reg base",'K3 District Data as of Jan 2025'!$2:$2,0),FALSE),2)</f>
        <v>0</v>
      </c>
      <c r="H185" s="25">
        <f>ROUND($D185*CLS_Inc*VLOOKUP($A185,'K3 District Data as of Jan 2025'!$A$3:$M$323,MATCH("Reg base",'K3 District Data as of Jan 2025'!$2:$2,0),FALSE),2)-G185</f>
        <v>0</v>
      </c>
      <c r="I185" s="25">
        <f t="shared" si="15"/>
        <v>0</v>
      </c>
      <c r="J185" s="25">
        <f t="shared" si="16"/>
        <v>0</v>
      </c>
      <c r="K185" s="25">
        <f t="shared" si="17"/>
        <v>0</v>
      </c>
      <c r="L185" s="25">
        <f t="shared" si="18"/>
        <v>0</v>
      </c>
      <c r="M185" s="25">
        <f t="shared" si="19"/>
        <v>0</v>
      </c>
      <c r="N185" s="25">
        <f t="shared" si="20"/>
        <v>0</v>
      </c>
      <c r="O185" s="25">
        <f>ROUND(($C185*CIS_Inc*(VLOOKUP($A185,'K3 District Data as of Jan 2025'!$A$3:$M$323,MATCH("Reg",'K3 District Data as of Jan 2025'!$2:$2,0),FALSE)+VLOOKUP($A185,'K3 District Data as of Jan 2025'!$A$3:$M$323,MATCH("Exp",'K3 District Data as of Jan 2025'!$2:$2,0),FALSE))/180)*3+(($C185*CIS_Inc*(VLOOKUP($A185,'K3 District Data as of Jan 2025'!$A$3:$M$323,MATCH("Reg",'K3 District Data as of Jan 2025'!$2:$2,0),FALSE)+VLOOKUP($A185,'K3 District Data as of Jan 2025'!$A$3:$M$323,MATCH("Exp",'K3 District Data as of Jan 2025'!$2:$2,0),FALSE))/180)*3)*CIS_Ben_Inc,2)</f>
        <v>0</v>
      </c>
      <c r="P185" s="23">
        <f t="shared" si="21"/>
        <v>0</v>
      </c>
    </row>
    <row r="186" spans="1:16" x14ac:dyDescent="0.25">
      <c r="A186" t="s">
        <v>113</v>
      </c>
      <c r="B186" t="s">
        <v>409</v>
      </c>
      <c r="C186" s="33">
        <f>IF(VLOOKUP($A186,'Enroll Data as of January 2025'!$A$3:$T$322,20,FALSE)&gt;0,0,VLOOKUP($A186,'Enroll Data as of January 2025'!$A$3:$T$322,20,FALSE)*'2024-25 PSES Compliance'!$G$13)</f>
        <v>0</v>
      </c>
      <c r="D186" s="33">
        <f>IF(VLOOKUP($A186,'Enroll Data as of January 2025'!$A$3:$T$322,20,FALSE)&gt;0,0,VLOOKUP($A186,'Enroll Data as of January 2025'!$A$3:$T$322,20,FALSE)*'2024-25 PSES Compliance'!$G$14)</f>
        <v>0</v>
      </c>
      <c r="E186" s="25">
        <f>ROUND($C186*CIS_Base*VLOOKUP($A186,'K3 District Data as of Jan 2025'!$A$3:$M$323,MATCH("Reg base",'K3 District Data as of Jan 2025'!$2:$2,0),FALSE),2)</f>
        <v>0</v>
      </c>
      <c r="F186" s="25">
        <f>ROUND($C186*CIS_Inc*(VLOOKUP($A186,'K3 District Data as of Jan 2025'!$A$3:$M$323,MATCH("Reg",'K3 District Data as of Jan 2025'!$2:$2,0),FALSE)+VLOOKUP($A186,'K3 District Data as of Jan 2025'!$A$3:$M$323,MATCH("Exp",'K3 District Data as of Jan 2025'!$2:$2,0),FALSE)),2)-E186</f>
        <v>0</v>
      </c>
      <c r="G186" s="25">
        <f>ROUND($D186*CLS_Base*VLOOKUP($A186,'K3 District Data as of Jan 2025'!$A$3:$M$323,MATCH("Reg base",'K3 District Data as of Jan 2025'!$2:$2,0),FALSE),2)</f>
        <v>0</v>
      </c>
      <c r="H186" s="25">
        <f>ROUND($D186*CLS_Inc*VLOOKUP($A186,'K3 District Data as of Jan 2025'!$A$3:$M$323,MATCH("Reg base",'K3 District Data as of Jan 2025'!$2:$2,0),FALSE),2)-G186</f>
        <v>0</v>
      </c>
      <c r="I186" s="25">
        <f t="shared" si="15"/>
        <v>0</v>
      </c>
      <c r="J186" s="25">
        <f t="shared" si="16"/>
        <v>0</v>
      </c>
      <c r="K186" s="25">
        <f t="shared" si="17"/>
        <v>0</v>
      </c>
      <c r="L186" s="25">
        <f t="shared" si="18"/>
        <v>0</v>
      </c>
      <c r="M186" s="25">
        <f t="shared" si="19"/>
        <v>0</v>
      </c>
      <c r="N186" s="25">
        <f t="shared" si="20"/>
        <v>0</v>
      </c>
      <c r="O186" s="25">
        <f>ROUND(($C186*CIS_Inc*(VLOOKUP($A186,'K3 District Data as of Jan 2025'!$A$3:$M$323,MATCH("Reg",'K3 District Data as of Jan 2025'!$2:$2,0),FALSE)+VLOOKUP($A186,'K3 District Data as of Jan 2025'!$A$3:$M$323,MATCH("Exp",'K3 District Data as of Jan 2025'!$2:$2,0),FALSE))/180)*3+(($C186*CIS_Inc*(VLOOKUP($A186,'K3 District Data as of Jan 2025'!$A$3:$M$323,MATCH("Reg",'K3 District Data as of Jan 2025'!$2:$2,0),FALSE)+VLOOKUP($A186,'K3 District Data as of Jan 2025'!$A$3:$M$323,MATCH("Exp",'K3 District Data as of Jan 2025'!$2:$2,0),FALSE))/180)*3)*CIS_Ben_Inc,2)</f>
        <v>0</v>
      </c>
      <c r="P186" s="23">
        <f t="shared" si="21"/>
        <v>0</v>
      </c>
    </row>
    <row r="187" spans="1:16" x14ac:dyDescent="0.25">
      <c r="A187" t="s">
        <v>251</v>
      </c>
      <c r="B187" t="s">
        <v>547</v>
      </c>
      <c r="C187" s="33">
        <f>IF(VLOOKUP($A187,'Enroll Data as of January 2025'!$A$3:$T$322,20,FALSE)&gt;0,0,VLOOKUP($A187,'Enroll Data as of January 2025'!$A$3:$T$322,20,FALSE)*'2024-25 PSES Compliance'!$G$13)</f>
        <v>0</v>
      </c>
      <c r="D187" s="33">
        <f>IF(VLOOKUP($A187,'Enroll Data as of January 2025'!$A$3:$T$322,20,FALSE)&gt;0,0,VLOOKUP($A187,'Enroll Data as of January 2025'!$A$3:$T$322,20,FALSE)*'2024-25 PSES Compliance'!$G$14)</f>
        <v>0</v>
      </c>
      <c r="E187" s="25">
        <f>ROUND($C187*CIS_Base*VLOOKUP($A187,'K3 District Data as of Jan 2025'!$A$3:$M$323,MATCH("Reg base",'K3 District Data as of Jan 2025'!$2:$2,0),FALSE),2)</f>
        <v>0</v>
      </c>
      <c r="F187" s="25">
        <f>ROUND($C187*CIS_Inc*(VLOOKUP($A187,'K3 District Data as of Jan 2025'!$A$3:$M$323,MATCH("Reg",'K3 District Data as of Jan 2025'!$2:$2,0),FALSE)+VLOOKUP($A187,'K3 District Data as of Jan 2025'!$A$3:$M$323,MATCH("Exp",'K3 District Data as of Jan 2025'!$2:$2,0),FALSE)),2)-E187</f>
        <v>0</v>
      </c>
      <c r="G187" s="25">
        <f>ROUND($D187*CLS_Base*VLOOKUP($A187,'K3 District Data as of Jan 2025'!$A$3:$M$323,MATCH("Reg base",'K3 District Data as of Jan 2025'!$2:$2,0),FALSE),2)</f>
        <v>0</v>
      </c>
      <c r="H187" s="25">
        <f>ROUND($D187*CLS_Inc*VLOOKUP($A187,'K3 District Data as of Jan 2025'!$A$3:$M$323,MATCH("Reg base",'K3 District Data as of Jan 2025'!$2:$2,0),FALSE),2)-G187</f>
        <v>0</v>
      </c>
      <c r="I187" s="25">
        <f t="shared" si="15"/>
        <v>0</v>
      </c>
      <c r="J187" s="25">
        <f t="shared" si="16"/>
        <v>0</v>
      </c>
      <c r="K187" s="25">
        <f t="shared" si="17"/>
        <v>0</v>
      </c>
      <c r="L187" s="25">
        <f t="shared" si="18"/>
        <v>0</v>
      </c>
      <c r="M187" s="25">
        <f t="shared" si="19"/>
        <v>0</v>
      </c>
      <c r="N187" s="25">
        <f t="shared" si="20"/>
        <v>0</v>
      </c>
      <c r="O187" s="25">
        <f>ROUND(($C187*CIS_Inc*(VLOOKUP($A187,'K3 District Data as of Jan 2025'!$A$3:$M$323,MATCH("Reg",'K3 District Data as of Jan 2025'!$2:$2,0),FALSE)+VLOOKUP($A187,'K3 District Data as of Jan 2025'!$A$3:$M$323,MATCH("Exp",'K3 District Data as of Jan 2025'!$2:$2,0),FALSE))/180)*3+(($C187*CIS_Inc*(VLOOKUP($A187,'K3 District Data as of Jan 2025'!$A$3:$M$323,MATCH("Reg",'K3 District Data as of Jan 2025'!$2:$2,0),FALSE)+VLOOKUP($A187,'K3 District Data as of Jan 2025'!$A$3:$M$323,MATCH("Exp",'K3 District Data as of Jan 2025'!$2:$2,0),FALSE))/180)*3)*CIS_Ben_Inc,2)</f>
        <v>0</v>
      </c>
      <c r="P187" s="23">
        <f t="shared" si="21"/>
        <v>0</v>
      </c>
    </row>
    <row r="188" spans="1:16" x14ac:dyDescent="0.25">
      <c r="A188" t="s">
        <v>16</v>
      </c>
      <c r="B188" t="s">
        <v>313</v>
      </c>
      <c r="C188" s="33">
        <f>IF(VLOOKUP($A188,'Enroll Data as of January 2025'!$A$3:$T$322,20,FALSE)&gt;0,0,VLOOKUP($A188,'Enroll Data as of January 2025'!$A$3:$T$322,20,FALSE)*'2024-25 PSES Compliance'!$G$13)</f>
        <v>0</v>
      </c>
      <c r="D188" s="33">
        <f>IF(VLOOKUP($A188,'Enroll Data as of January 2025'!$A$3:$T$322,20,FALSE)&gt;0,0,VLOOKUP($A188,'Enroll Data as of January 2025'!$A$3:$T$322,20,FALSE)*'2024-25 PSES Compliance'!$G$14)</f>
        <v>0</v>
      </c>
      <c r="E188" s="25">
        <f>ROUND($C188*CIS_Base*VLOOKUP($A188,'K3 District Data as of Jan 2025'!$A$3:$M$323,MATCH("Reg base",'K3 District Data as of Jan 2025'!$2:$2,0),FALSE),2)</f>
        <v>0</v>
      </c>
      <c r="F188" s="25">
        <f>ROUND($C188*CIS_Inc*(VLOOKUP($A188,'K3 District Data as of Jan 2025'!$A$3:$M$323,MATCH("Reg",'K3 District Data as of Jan 2025'!$2:$2,0),FALSE)+VLOOKUP($A188,'K3 District Data as of Jan 2025'!$A$3:$M$323,MATCH("Exp",'K3 District Data as of Jan 2025'!$2:$2,0),FALSE)),2)-E188</f>
        <v>0</v>
      </c>
      <c r="G188" s="25">
        <f>ROUND($D188*CLS_Base*VLOOKUP($A188,'K3 District Data as of Jan 2025'!$A$3:$M$323,MATCH("Reg base",'K3 District Data as of Jan 2025'!$2:$2,0),FALSE),2)</f>
        <v>0</v>
      </c>
      <c r="H188" s="25">
        <f>ROUND($D188*CLS_Inc*VLOOKUP($A188,'K3 District Data as of Jan 2025'!$A$3:$M$323,MATCH("Reg base",'K3 District Data as of Jan 2025'!$2:$2,0),FALSE),2)-G188</f>
        <v>0</v>
      </c>
      <c r="I188" s="25">
        <f t="shared" si="15"/>
        <v>0</v>
      </c>
      <c r="J188" s="25">
        <f t="shared" si="16"/>
        <v>0</v>
      </c>
      <c r="K188" s="25">
        <f t="shared" si="17"/>
        <v>0</v>
      </c>
      <c r="L188" s="25">
        <f t="shared" si="18"/>
        <v>0</v>
      </c>
      <c r="M188" s="25">
        <f t="shared" si="19"/>
        <v>0</v>
      </c>
      <c r="N188" s="25">
        <f t="shared" si="20"/>
        <v>0</v>
      </c>
      <c r="O188" s="25">
        <f>ROUND(($C188*CIS_Inc*(VLOOKUP($A188,'K3 District Data as of Jan 2025'!$A$3:$M$323,MATCH("Reg",'K3 District Data as of Jan 2025'!$2:$2,0),FALSE)+VLOOKUP($A188,'K3 District Data as of Jan 2025'!$A$3:$M$323,MATCH("Exp",'K3 District Data as of Jan 2025'!$2:$2,0),FALSE))/180)*3+(($C188*CIS_Inc*(VLOOKUP($A188,'K3 District Data as of Jan 2025'!$A$3:$M$323,MATCH("Reg",'K3 District Data as of Jan 2025'!$2:$2,0),FALSE)+VLOOKUP($A188,'K3 District Data as of Jan 2025'!$A$3:$M$323,MATCH("Exp",'K3 District Data as of Jan 2025'!$2:$2,0),FALSE))/180)*3)*CIS_Ben_Inc,2)</f>
        <v>0</v>
      </c>
      <c r="P188" s="23">
        <f t="shared" si="21"/>
        <v>0</v>
      </c>
    </row>
    <row r="189" spans="1:16" x14ac:dyDescent="0.25">
      <c r="A189" t="s">
        <v>126</v>
      </c>
      <c r="B189" t="s">
        <v>422</v>
      </c>
      <c r="C189" s="33">
        <f>IF(VLOOKUP($A189,'Enroll Data as of January 2025'!$A$3:$T$322,20,FALSE)&gt;0,0,VLOOKUP($A189,'Enroll Data as of January 2025'!$A$3:$T$322,20,FALSE)*'2024-25 PSES Compliance'!$G$13)</f>
        <v>-0.25152000000000002</v>
      </c>
      <c r="D189" s="33">
        <f>IF(VLOOKUP($A189,'Enroll Data as of January 2025'!$A$3:$T$322,20,FALSE)&gt;0,0,VLOOKUP($A189,'Enroll Data as of January 2025'!$A$3:$T$322,20,FALSE)*'2024-25 PSES Compliance'!$G$14)</f>
        <v>-1.0480000000000001E-2</v>
      </c>
      <c r="E189" s="25">
        <f>ROUND($C189*CIS_Base*VLOOKUP($A189,'K3 District Data as of Jan 2025'!$A$3:$M$323,MATCH("Reg base",'K3 District Data as of Jan 2025'!$2:$2,0),FALSE),2)</f>
        <v>-18292.55</v>
      </c>
      <c r="F189" s="25">
        <f>ROUND($C189*CIS_Inc*(VLOOKUP($A189,'K3 District Data as of Jan 2025'!$A$3:$M$323,MATCH("Reg",'K3 District Data as of Jan 2025'!$2:$2,0),FALSE)+VLOOKUP($A189,'K3 District Data as of Jan 2025'!$A$3:$M$323,MATCH("Exp",'K3 District Data as of Jan 2025'!$2:$2,0),FALSE)),2)-E189</f>
        <v>-1378.5800000000017</v>
      </c>
      <c r="G189" s="25">
        <f>ROUND($D189*CLS_Base*VLOOKUP($A189,'K3 District Data as of Jan 2025'!$A$3:$M$323,MATCH("Reg base",'K3 District Data as of Jan 2025'!$2:$2,0),FALSE),2)</f>
        <v>-546.77</v>
      </c>
      <c r="H189" s="25">
        <f>ROUND($D189*CLS_Inc*VLOOKUP($A189,'K3 District Data as of Jan 2025'!$A$3:$M$323,MATCH("Reg base",'K3 District Data as of Jan 2025'!$2:$2,0),FALSE),2)-G189</f>
        <v>-41.210000000000036</v>
      </c>
      <c r="I189" s="25">
        <f t="shared" si="15"/>
        <v>-3626.6</v>
      </c>
      <c r="J189" s="25">
        <f t="shared" si="16"/>
        <v>-211.85</v>
      </c>
      <c r="K189" s="25">
        <f t="shared" si="17"/>
        <v>-3320.1</v>
      </c>
      <c r="L189" s="25">
        <f t="shared" si="18"/>
        <v>-3203.03</v>
      </c>
      <c r="M189" s="25">
        <f t="shared" si="19"/>
        <v>-118.43</v>
      </c>
      <c r="N189" s="25">
        <f t="shared" si="20"/>
        <v>-7.48</v>
      </c>
      <c r="O189" s="25">
        <f>ROUND(($C189*CIS_Inc*(VLOOKUP($A189,'K3 District Data as of Jan 2025'!$A$3:$M$323,MATCH("Reg",'K3 District Data as of Jan 2025'!$2:$2,0),FALSE)+VLOOKUP($A189,'K3 District Data as of Jan 2025'!$A$3:$M$323,MATCH("Exp",'K3 District Data as of Jan 2025'!$2:$2,0),FALSE))/180)*3+(($C189*CIS_Inc*(VLOOKUP($A189,'K3 District Data as of Jan 2025'!$A$3:$M$323,MATCH("Reg",'K3 District Data as of Jan 2025'!$2:$2,0),FALSE)+VLOOKUP($A189,'K3 District Data as of Jan 2025'!$A$3:$M$323,MATCH("Exp",'K3 District Data as of Jan 2025'!$2:$2,0),FALSE))/180)*3)*CIS_Ben_Inc,2)</f>
        <v>-385.26</v>
      </c>
      <c r="P189" s="23">
        <f t="shared" si="21"/>
        <v>-31131.859999999993</v>
      </c>
    </row>
    <row r="190" spans="1:16" x14ac:dyDescent="0.25">
      <c r="A190" t="s">
        <v>133</v>
      </c>
      <c r="B190" t="s">
        <v>429</v>
      </c>
      <c r="C190" s="33">
        <f>IF(VLOOKUP($A190,'Enroll Data as of January 2025'!$A$3:$T$322,20,FALSE)&gt;0,0,VLOOKUP($A190,'Enroll Data as of January 2025'!$A$3:$T$322,20,FALSE)*'2024-25 PSES Compliance'!$G$13)</f>
        <v>0</v>
      </c>
      <c r="D190" s="33">
        <f>IF(VLOOKUP($A190,'Enroll Data as of January 2025'!$A$3:$T$322,20,FALSE)&gt;0,0,VLOOKUP($A190,'Enroll Data as of January 2025'!$A$3:$T$322,20,FALSE)*'2024-25 PSES Compliance'!$G$14)</f>
        <v>0</v>
      </c>
      <c r="E190" s="25">
        <f>ROUND($C190*CIS_Base*VLOOKUP($A190,'K3 District Data as of Jan 2025'!$A$3:$M$323,MATCH("Reg base",'K3 District Data as of Jan 2025'!$2:$2,0),FALSE),2)</f>
        <v>0</v>
      </c>
      <c r="F190" s="25">
        <f>ROUND($C190*CIS_Inc*(VLOOKUP($A190,'K3 District Data as of Jan 2025'!$A$3:$M$323,MATCH("Reg",'K3 District Data as of Jan 2025'!$2:$2,0),FALSE)+VLOOKUP($A190,'K3 District Data as of Jan 2025'!$A$3:$M$323,MATCH("Exp",'K3 District Data as of Jan 2025'!$2:$2,0),FALSE)),2)-E190</f>
        <v>0</v>
      </c>
      <c r="G190" s="25">
        <f>ROUND($D190*CLS_Base*VLOOKUP($A190,'K3 District Data as of Jan 2025'!$A$3:$M$323,MATCH("Reg base",'K3 District Data as of Jan 2025'!$2:$2,0),FALSE),2)</f>
        <v>0</v>
      </c>
      <c r="H190" s="25">
        <f>ROUND($D190*CLS_Inc*VLOOKUP($A190,'K3 District Data as of Jan 2025'!$A$3:$M$323,MATCH("Reg base",'K3 District Data as of Jan 2025'!$2:$2,0),FALSE),2)-G190</f>
        <v>0</v>
      </c>
      <c r="I190" s="25">
        <f t="shared" si="15"/>
        <v>0</v>
      </c>
      <c r="J190" s="25">
        <f t="shared" si="16"/>
        <v>0</v>
      </c>
      <c r="K190" s="25">
        <f t="shared" si="17"/>
        <v>0</v>
      </c>
      <c r="L190" s="25">
        <f t="shared" si="18"/>
        <v>0</v>
      </c>
      <c r="M190" s="25">
        <f t="shared" si="19"/>
        <v>0</v>
      </c>
      <c r="N190" s="25">
        <f t="shared" si="20"/>
        <v>0</v>
      </c>
      <c r="O190" s="25">
        <f>ROUND(($C190*CIS_Inc*(VLOOKUP($A190,'K3 District Data as of Jan 2025'!$A$3:$M$323,MATCH("Reg",'K3 District Data as of Jan 2025'!$2:$2,0),FALSE)+VLOOKUP($A190,'K3 District Data as of Jan 2025'!$A$3:$M$323,MATCH("Exp",'K3 District Data as of Jan 2025'!$2:$2,0),FALSE))/180)*3+(($C190*CIS_Inc*(VLOOKUP($A190,'K3 District Data as of Jan 2025'!$A$3:$M$323,MATCH("Reg",'K3 District Data as of Jan 2025'!$2:$2,0),FALSE)+VLOOKUP($A190,'K3 District Data as of Jan 2025'!$A$3:$M$323,MATCH("Exp",'K3 District Data as of Jan 2025'!$2:$2,0),FALSE))/180)*3)*CIS_Ben_Inc,2)</f>
        <v>0</v>
      </c>
      <c r="P190" s="23">
        <f t="shared" si="21"/>
        <v>0</v>
      </c>
    </row>
    <row r="191" spans="1:16" x14ac:dyDescent="0.25">
      <c r="A191" t="s">
        <v>34</v>
      </c>
      <c r="B191" t="s">
        <v>330</v>
      </c>
      <c r="C191" s="33">
        <f>IF(VLOOKUP($A191,'Enroll Data as of January 2025'!$A$3:$T$322,20,FALSE)&gt;0,0,VLOOKUP($A191,'Enroll Data as of January 2025'!$A$3:$T$322,20,FALSE)*'2024-25 PSES Compliance'!$G$13)</f>
        <v>-1.3852800000000001</v>
      </c>
      <c r="D191" s="33">
        <f>IF(VLOOKUP($A191,'Enroll Data as of January 2025'!$A$3:$T$322,20,FALSE)&gt;0,0,VLOOKUP($A191,'Enroll Data as of January 2025'!$A$3:$T$322,20,FALSE)*'2024-25 PSES Compliance'!$G$14)</f>
        <v>-5.772E-2</v>
      </c>
      <c r="E191" s="25">
        <f>ROUND($C191*CIS_Base*VLOOKUP($A191,'K3 District Data as of Jan 2025'!$A$3:$M$323,MATCH("Reg base",'K3 District Data as of Jan 2025'!$2:$2,0),FALSE),2)</f>
        <v>-106793.56</v>
      </c>
      <c r="F191" s="25">
        <f>ROUND($C191*CIS_Inc*(VLOOKUP($A191,'K3 District Data as of Jan 2025'!$A$3:$M$323,MATCH("Reg",'K3 District Data as of Jan 2025'!$2:$2,0),FALSE)+VLOOKUP($A191,'K3 District Data as of Jan 2025'!$A$3:$M$323,MATCH("Exp",'K3 District Data as of Jan 2025'!$2:$2,0),FALSE)),2)-E191</f>
        <v>-12381.940000000002</v>
      </c>
      <c r="G191" s="25">
        <f>ROUND($D191*CLS_Base*VLOOKUP($A191,'K3 District Data as of Jan 2025'!$A$3:$M$323,MATCH("Reg base",'K3 District Data as of Jan 2025'!$2:$2,0),FALSE),2)</f>
        <v>-3192.11</v>
      </c>
      <c r="H191" s="25">
        <f>ROUND($D191*CLS_Inc*VLOOKUP($A191,'K3 District Data as of Jan 2025'!$A$3:$M$323,MATCH("Reg base",'K3 District Data as of Jan 2025'!$2:$2,0),FALSE),2)-G191</f>
        <v>-240.56999999999971</v>
      </c>
      <c r="I191" s="25">
        <f t="shared" si="15"/>
        <v>-19973.96</v>
      </c>
      <c r="J191" s="25">
        <f t="shared" si="16"/>
        <v>-1166.78</v>
      </c>
      <c r="K191" s="25">
        <f t="shared" si="17"/>
        <v>-19383.03</v>
      </c>
      <c r="L191" s="25">
        <f t="shared" si="18"/>
        <v>-18699.55</v>
      </c>
      <c r="M191" s="25">
        <f t="shared" si="19"/>
        <v>-691.41</v>
      </c>
      <c r="N191" s="25">
        <f t="shared" si="20"/>
        <v>-43.69</v>
      </c>
      <c r="O191" s="25">
        <f>ROUND(($C191*CIS_Inc*(VLOOKUP($A191,'K3 District Data as of Jan 2025'!$A$3:$M$323,MATCH("Reg",'K3 District Data as of Jan 2025'!$2:$2,0),FALSE)+VLOOKUP($A191,'K3 District Data as of Jan 2025'!$A$3:$M$323,MATCH("Exp",'K3 District Data as of Jan 2025'!$2:$2,0),FALSE))/180)*3+(($C191*CIS_Inc*(VLOOKUP($A191,'K3 District Data as of Jan 2025'!$A$3:$M$323,MATCH("Reg",'K3 District Data as of Jan 2025'!$2:$2,0),FALSE)+VLOOKUP($A191,'K3 District Data as of Jan 2025'!$A$3:$M$323,MATCH("Exp",'K3 District Data as of Jan 2025'!$2:$2,0),FALSE))/180)*3)*CIS_Ben_Inc,2)</f>
        <v>-2334.0500000000002</v>
      </c>
      <c r="P191" s="23">
        <f t="shared" si="21"/>
        <v>-184900.64999999997</v>
      </c>
    </row>
    <row r="192" spans="1:16" x14ac:dyDescent="0.25">
      <c r="A192" t="s">
        <v>206</v>
      </c>
      <c r="B192" t="s">
        <v>501</v>
      </c>
      <c r="C192" s="33">
        <f>IF(VLOOKUP($A192,'Enroll Data as of January 2025'!$A$3:$T$322,20,FALSE)&gt;0,0,VLOOKUP($A192,'Enroll Data as of January 2025'!$A$3:$T$322,20,FALSE)*'2024-25 PSES Compliance'!$G$13)</f>
        <v>0</v>
      </c>
      <c r="D192" s="33">
        <f>IF(VLOOKUP($A192,'Enroll Data as of January 2025'!$A$3:$T$322,20,FALSE)&gt;0,0,VLOOKUP($A192,'Enroll Data as of January 2025'!$A$3:$T$322,20,FALSE)*'2024-25 PSES Compliance'!$G$14)</f>
        <v>0</v>
      </c>
      <c r="E192" s="25">
        <f>ROUND($C192*CIS_Base*VLOOKUP($A192,'K3 District Data as of Jan 2025'!$A$3:$M$323,MATCH("Reg base",'K3 District Data as of Jan 2025'!$2:$2,0),FALSE),2)</f>
        <v>0</v>
      </c>
      <c r="F192" s="25">
        <f>ROUND($C192*CIS_Inc*(VLOOKUP($A192,'K3 District Data as of Jan 2025'!$A$3:$M$323,MATCH("Reg",'K3 District Data as of Jan 2025'!$2:$2,0),FALSE)+VLOOKUP($A192,'K3 District Data as of Jan 2025'!$A$3:$M$323,MATCH("Exp",'K3 District Data as of Jan 2025'!$2:$2,0),FALSE)),2)-E192</f>
        <v>0</v>
      </c>
      <c r="G192" s="25">
        <f>ROUND($D192*CLS_Base*VLOOKUP($A192,'K3 District Data as of Jan 2025'!$A$3:$M$323,MATCH("Reg base",'K3 District Data as of Jan 2025'!$2:$2,0),FALSE),2)</f>
        <v>0</v>
      </c>
      <c r="H192" s="25">
        <f>ROUND($D192*CLS_Inc*VLOOKUP($A192,'K3 District Data as of Jan 2025'!$A$3:$M$323,MATCH("Reg base",'K3 District Data as of Jan 2025'!$2:$2,0),FALSE),2)-G192</f>
        <v>0</v>
      </c>
      <c r="I192" s="25">
        <f t="shared" si="15"/>
        <v>0</v>
      </c>
      <c r="J192" s="25">
        <f t="shared" si="16"/>
        <v>0</v>
      </c>
      <c r="K192" s="25">
        <f t="shared" si="17"/>
        <v>0</v>
      </c>
      <c r="L192" s="25">
        <f t="shared" si="18"/>
        <v>0</v>
      </c>
      <c r="M192" s="25">
        <f t="shared" si="19"/>
        <v>0</v>
      </c>
      <c r="N192" s="25">
        <f t="shared" si="20"/>
        <v>0</v>
      </c>
      <c r="O192" s="25">
        <f>ROUND(($C192*CIS_Inc*(VLOOKUP($A192,'K3 District Data as of Jan 2025'!$A$3:$M$323,MATCH("Reg",'K3 District Data as of Jan 2025'!$2:$2,0),FALSE)+VLOOKUP($A192,'K3 District Data as of Jan 2025'!$A$3:$M$323,MATCH("Exp",'K3 District Data as of Jan 2025'!$2:$2,0),FALSE))/180)*3+(($C192*CIS_Inc*(VLOOKUP($A192,'K3 District Data as of Jan 2025'!$A$3:$M$323,MATCH("Reg",'K3 District Data as of Jan 2025'!$2:$2,0),FALSE)+VLOOKUP($A192,'K3 District Data as of Jan 2025'!$A$3:$M$323,MATCH("Exp",'K3 District Data as of Jan 2025'!$2:$2,0),FALSE))/180)*3)*CIS_Ben_Inc,2)</f>
        <v>0</v>
      </c>
      <c r="P192" s="23">
        <f t="shared" si="21"/>
        <v>0</v>
      </c>
    </row>
    <row r="193" spans="1:16" x14ac:dyDescent="0.25">
      <c r="A193" t="s">
        <v>276</v>
      </c>
      <c r="B193" t="s">
        <v>572</v>
      </c>
      <c r="C193" s="33">
        <f>IF(VLOOKUP($A193,'Enroll Data as of January 2025'!$A$3:$T$322,20,FALSE)&gt;0,0,VLOOKUP($A193,'Enroll Data as of January 2025'!$A$3:$T$322,20,FALSE)*'2024-25 PSES Compliance'!$G$13)</f>
        <v>0</v>
      </c>
      <c r="D193" s="33">
        <f>IF(VLOOKUP($A193,'Enroll Data as of January 2025'!$A$3:$T$322,20,FALSE)&gt;0,0,VLOOKUP($A193,'Enroll Data as of January 2025'!$A$3:$T$322,20,FALSE)*'2024-25 PSES Compliance'!$G$14)</f>
        <v>0</v>
      </c>
      <c r="E193" s="25">
        <f>ROUND($C193*CIS_Base*VLOOKUP($A193,'K3 District Data as of Jan 2025'!$A$3:$M$323,MATCH("Reg base",'K3 District Data as of Jan 2025'!$2:$2,0),FALSE),2)</f>
        <v>0</v>
      </c>
      <c r="F193" s="25">
        <f>ROUND($C193*CIS_Inc*(VLOOKUP($A193,'K3 District Data as of Jan 2025'!$A$3:$M$323,MATCH("Reg",'K3 District Data as of Jan 2025'!$2:$2,0),FALSE)+VLOOKUP($A193,'K3 District Data as of Jan 2025'!$A$3:$M$323,MATCH("Exp",'K3 District Data as of Jan 2025'!$2:$2,0),FALSE)),2)-E193</f>
        <v>0</v>
      </c>
      <c r="G193" s="25">
        <f>ROUND($D193*CLS_Base*VLOOKUP($A193,'K3 District Data as of Jan 2025'!$A$3:$M$323,MATCH("Reg base",'K3 District Data as of Jan 2025'!$2:$2,0),FALSE),2)</f>
        <v>0</v>
      </c>
      <c r="H193" s="25">
        <f>ROUND($D193*CLS_Inc*VLOOKUP($A193,'K3 District Data as of Jan 2025'!$A$3:$M$323,MATCH("Reg base",'K3 District Data as of Jan 2025'!$2:$2,0),FALSE),2)-G193</f>
        <v>0</v>
      </c>
      <c r="I193" s="25">
        <f t="shared" si="15"/>
        <v>0</v>
      </c>
      <c r="J193" s="25">
        <f t="shared" si="16"/>
        <v>0</v>
      </c>
      <c r="K193" s="25">
        <f t="shared" si="17"/>
        <v>0</v>
      </c>
      <c r="L193" s="25">
        <f t="shared" si="18"/>
        <v>0</v>
      </c>
      <c r="M193" s="25">
        <f t="shared" si="19"/>
        <v>0</v>
      </c>
      <c r="N193" s="25">
        <f t="shared" si="20"/>
        <v>0</v>
      </c>
      <c r="O193" s="25">
        <f>ROUND(($C193*CIS_Inc*(VLOOKUP($A193,'K3 District Data as of Jan 2025'!$A$3:$M$323,MATCH("Reg",'K3 District Data as of Jan 2025'!$2:$2,0),FALSE)+VLOOKUP($A193,'K3 District Data as of Jan 2025'!$A$3:$M$323,MATCH("Exp",'K3 District Data as of Jan 2025'!$2:$2,0),FALSE))/180)*3+(($C193*CIS_Inc*(VLOOKUP($A193,'K3 District Data as of Jan 2025'!$A$3:$M$323,MATCH("Reg",'K3 District Data as of Jan 2025'!$2:$2,0),FALSE)+VLOOKUP($A193,'K3 District Data as of Jan 2025'!$A$3:$M$323,MATCH("Exp",'K3 District Data as of Jan 2025'!$2:$2,0),FALSE))/180)*3)*CIS_Ben_Inc,2)</f>
        <v>0</v>
      </c>
      <c r="P193" s="23">
        <f t="shared" si="21"/>
        <v>0</v>
      </c>
    </row>
    <row r="194" spans="1:16" x14ac:dyDescent="0.25">
      <c r="A194" t="s">
        <v>23</v>
      </c>
      <c r="B194" t="s">
        <v>320</v>
      </c>
      <c r="C194" s="33">
        <f>IF(VLOOKUP($A194,'Enroll Data as of January 2025'!$A$3:$T$322,20,FALSE)&gt;0,0,VLOOKUP($A194,'Enroll Data as of January 2025'!$A$3:$T$322,20,FALSE)*'2024-25 PSES Compliance'!$G$13)</f>
        <v>-5.568E-2</v>
      </c>
      <c r="D194" s="33">
        <f>IF(VLOOKUP($A194,'Enroll Data as of January 2025'!$A$3:$T$322,20,FALSE)&gt;0,0,VLOOKUP($A194,'Enroll Data as of January 2025'!$A$3:$T$322,20,FALSE)*'2024-25 PSES Compliance'!$G$14)</f>
        <v>-2.32E-3</v>
      </c>
      <c r="E194" s="25">
        <f>ROUND($C194*CIS_Base*VLOOKUP($A194,'K3 District Data as of Jan 2025'!$A$3:$M$323,MATCH("Reg base",'K3 District Data as of Jan 2025'!$2:$2,0),FALSE),2)</f>
        <v>-4049.5</v>
      </c>
      <c r="F194" s="25">
        <f>ROUND($C194*CIS_Inc*(VLOOKUP($A194,'K3 District Data as of Jan 2025'!$A$3:$M$323,MATCH("Reg",'K3 District Data as of Jan 2025'!$2:$2,0),FALSE)+VLOOKUP($A194,'K3 District Data as of Jan 2025'!$A$3:$M$323,MATCH("Exp",'K3 District Data as of Jan 2025'!$2:$2,0),FALSE)),2)-E194</f>
        <v>-305.18000000000029</v>
      </c>
      <c r="G194" s="25">
        <f>ROUND($D194*CLS_Base*VLOOKUP($A194,'K3 District Data as of Jan 2025'!$A$3:$M$323,MATCH("Reg base",'K3 District Data as of Jan 2025'!$2:$2,0),FALSE),2)</f>
        <v>-121.04</v>
      </c>
      <c r="H194" s="25">
        <f>ROUND($D194*CLS_Inc*VLOOKUP($A194,'K3 District Data as of Jan 2025'!$A$3:$M$323,MATCH("Reg base",'K3 District Data as of Jan 2025'!$2:$2,0),FALSE),2)-G194</f>
        <v>-9.1199999999999903</v>
      </c>
      <c r="I194" s="25">
        <f t="shared" si="15"/>
        <v>-802.83</v>
      </c>
      <c r="J194" s="25">
        <f t="shared" si="16"/>
        <v>-46.9</v>
      </c>
      <c r="K194" s="25">
        <f t="shared" si="17"/>
        <v>-734.98</v>
      </c>
      <c r="L194" s="25">
        <f t="shared" si="18"/>
        <v>-709.07</v>
      </c>
      <c r="M194" s="25">
        <f t="shared" si="19"/>
        <v>-26.22</v>
      </c>
      <c r="N194" s="25">
        <f t="shared" si="20"/>
        <v>-1.66</v>
      </c>
      <c r="O194" s="25">
        <f>ROUND(($C194*CIS_Inc*(VLOOKUP($A194,'K3 District Data as of Jan 2025'!$A$3:$M$323,MATCH("Reg",'K3 District Data as of Jan 2025'!$2:$2,0),FALSE)+VLOOKUP($A194,'K3 District Data as of Jan 2025'!$A$3:$M$323,MATCH("Exp",'K3 District Data as of Jan 2025'!$2:$2,0),FALSE))/180)*3+(($C194*CIS_Inc*(VLOOKUP($A194,'K3 District Data as of Jan 2025'!$A$3:$M$323,MATCH("Reg",'K3 District Data as of Jan 2025'!$2:$2,0),FALSE)+VLOOKUP($A194,'K3 District Data as of Jan 2025'!$A$3:$M$323,MATCH("Exp",'K3 District Data as of Jan 2025'!$2:$2,0),FALSE))/180)*3)*CIS_Ben_Inc,2)</f>
        <v>-85.29</v>
      </c>
      <c r="P194" s="23">
        <f t="shared" si="21"/>
        <v>-6891.7899999999991</v>
      </c>
    </row>
    <row r="195" spans="1:16" x14ac:dyDescent="0.25">
      <c r="A195" t="s">
        <v>214</v>
      </c>
      <c r="B195" t="s">
        <v>509</v>
      </c>
      <c r="C195" s="33">
        <f>IF(VLOOKUP($A195,'Enroll Data as of January 2025'!$A$3:$T$322,20,FALSE)&gt;0,0,VLOOKUP($A195,'Enroll Data as of January 2025'!$A$3:$T$322,20,FALSE)*'2024-25 PSES Compliance'!$G$13)</f>
        <v>0</v>
      </c>
      <c r="D195" s="33">
        <f>IF(VLOOKUP($A195,'Enroll Data as of January 2025'!$A$3:$T$322,20,FALSE)&gt;0,0,VLOOKUP($A195,'Enroll Data as of January 2025'!$A$3:$T$322,20,FALSE)*'2024-25 PSES Compliance'!$G$14)</f>
        <v>0</v>
      </c>
      <c r="E195" s="25">
        <f>ROUND($C195*CIS_Base*VLOOKUP($A195,'K3 District Data as of Jan 2025'!$A$3:$M$323,MATCH("Reg base",'K3 District Data as of Jan 2025'!$2:$2,0),FALSE),2)</f>
        <v>0</v>
      </c>
      <c r="F195" s="25">
        <f>ROUND($C195*CIS_Inc*(VLOOKUP($A195,'K3 District Data as of Jan 2025'!$A$3:$M$323,MATCH("Reg",'K3 District Data as of Jan 2025'!$2:$2,0),FALSE)+VLOOKUP($A195,'K3 District Data as of Jan 2025'!$A$3:$M$323,MATCH("Exp",'K3 District Data as of Jan 2025'!$2:$2,0),FALSE)),2)-E195</f>
        <v>0</v>
      </c>
      <c r="G195" s="25">
        <f>ROUND($D195*CLS_Base*VLOOKUP($A195,'K3 District Data as of Jan 2025'!$A$3:$M$323,MATCH("Reg base",'K3 District Data as of Jan 2025'!$2:$2,0),FALSE),2)</f>
        <v>0</v>
      </c>
      <c r="H195" s="25">
        <f>ROUND($D195*CLS_Inc*VLOOKUP($A195,'K3 District Data as of Jan 2025'!$A$3:$M$323,MATCH("Reg base",'K3 District Data as of Jan 2025'!$2:$2,0),FALSE),2)-G195</f>
        <v>0</v>
      </c>
      <c r="I195" s="25">
        <f t="shared" ref="I195:I258" si="22">ROUND($C195*CIS_Ins_Inc,2)</f>
        <v>0</v>
      </c>
      <c r="J195" s="25">
        <f t="shared" ref="J195:J258" si="23">ROUND($D195*CLS_Ins_Inc,2)</f>
        <v>0</v>
      </c>
      <c r="K195" s="25">
        <f t="shared" ref="K195:K258" si="24">ROUND(E195*CIS_Ben_Base,2)</f>
        <v>0</v>
      </c>
      <c r="L195" s="25">
        <f t="shared" ref="L195:L258" si="25">ROUND(E195*CIS_Ben_Inc,2)</f>
        <v>0</v>
      </c>
      <c r="M195" s="25">
        <f t="shared" ref="M195:M258" si="26">ROUND(G195*CLS_Ben_Base,2)</f>
        <v>0</v>
      </c>
      <c r="N195" s="25">
        <f t="shared" ref="N195:N258" si="27">ROUND(H195*CLS_Ben_Inc,2)</f>
        <v>0</v>
      </c>
      <c r="O195" s="25">
        <f>ROUND(($C195*CIS_Inc*(VLOOKUP($A195,'K3 District Data as of Jan 2025'!$A$3:$M$323,MATCH("Reg",'K3 District Data as of Jan 2025'!$2:$2,0),FALSE)+VLOOKUP($A195,'K3 District Data as of Jan 2025'!$A$3:$M$323,MATCH("Exp",'K3 District Data as of Jan 2025'!$2:$2,0),FALSE))/180)*3+(($C195*CIS_Inc*(VLOOKUP($A195,'K3 District Data as of Jan 2025'!$A$3:$M$323,MATCH("Reg",'K3 District Data as of Jan 2025'!$2:$2,0),FALSE)+VLOOKUP($A195,'K3 District Data as of Jan 2025'!$A$3:$M$323,MATCH("Exp",'K3 District Data as of Jan 2025'!$2:$2,0),FALSE))/180)*3)*CIS_Ben_Inc,2)</f>
        <v>0</v>
      </c>
      <c r="P195" s="23">
        <f t="shared" ref="P195:P258" si="28">SUM(E195:O195)</f>
        <v>0</v>
      </c>
    </row>
    <row r="196" spans="1:16" x14ac:dyDescent="0.25">
      <c r="A196" t="s">
        <v>112</v>
      </c>
      <c r="B196" t="s">
        <v>408</v>
      </c>
      <c r="C196" s="33">
        <f>IF(VLOOKUP($A196,'Enroll Data as of January 2025'!$A$3:$T$322,20,FALSE)&gt;0,0,VLOOKUP($A196,'Enroll Data as of January 2025'!$A$3:$T$322,20,FALSE)*'2024-25 PSES Compliance'!$G$13)</f>
        <v>0</v>
      </c>
      <c r="D196" s="33">
        <f>IF(VLOOKUP($A196,'Enroll Data as of January 2025'!$A$3:$T$322,20,FALSE)&gt;0,0,VLOOKUP($A196,'Enroll Data as of January 2025'!$A$3:$T$322,20,FALSE)*'2024-25 PSES Compliance'!$G$14)</f>
        <v>0</v>
      </c>
      <c r="E196" s="25">
        <f>ROUND($C196*CIS_Base*VLOOKUP($A196,'K3 District Data as of Jan 2025'!$A$3:$M$323,MATCH("Reg base",'K3 District Data as of Jan 2025'!$2:$2,0),FALSE),2)</f>
        <v>0</v>
      </c>
      <c r="F196" s="25">
        <f>ROUND($C196*CIS_Inc*(VLOOKUP($A196,'K3 District Data as of Jan 2025'!$A$3:$M$323,MATCH("Reg",'K3 District Data as of Jan 2025'!$2:$2,0),FALSE)+VLOOKUP($A196,'K3 District Data as of Jan 2025'!$A$3:$M$323,MATCH("Exp",'K3 District Data as of Jan 2025'!$2:$2,0),FALSE)),2)-E196</f>
        <v>0</v>
      </c>
      <c r="G196" s="25">
        <f>ROUND($D196*CLS_Base*VLOOKUP($A196,'K3 District Data as of Jan 2025'!$A$3:$M$323,MATCH("Reg base",'K3 District Data as of Jan 2025'!$2:$2,0),FALSE),2)</f>
        <v>0</v>
      </c>
      <c r="H196" s="25">
        <f>ROUND($D196*CLS_Inc*VLOOKUP($A196,'K3 District Data as of Jan 2025'!$A$3:$M$323,MATCH("Reg base",'K3 District Data as of Jan 2025'!$2:$2,0),FALSE),2)-G196</f>
        <v>0</v>
      </c>
      <c r="I196" s="25">
        <f t="shared" si="22"/>
        <v>0</v>
      </c>
      <c r="J196" s="25">
        <f t="shared" si="23"/>
        <v>0</v>
      </c>
      <c r="K196" s="25">
        <f t="shared" si="24"/>
        <v>0</v>
      </c>
      <c r="L196" s="25">
        <f t="shared" si="25"/>
        <v>0</v>
      </c>
      <c r="M196" s="25">
        <f t="shared" si="26"/>
        <v>0</v>
      </c>
      <c r="N196" s="25">
        <f t="shared" si="27"/>
        <v>0</v>
      </c>
      <c r="O196" s="25">
        <f>ROUND(($C196*CIS_Inc*(VLOOKUP($A196,'K3 District Data as of Jan 2025'!$A$3:$M$323,MATCH("Reg",'K3 District Data as of Jan 2025'!$2:$2,0),FALSE)+VLOOKUP($A196,'K3 District Data as of Jan 2025'!$A$3:$M$323,MATCH("Exp",'K3 District Data as of Jan 2025'!$2:$2,0),FALSE))/180)*3+(($C196*CIS_Inc*(VLOOKUP($A196,'K3 District Data as of Jan 2025'!$A$3:$M$323,MATCH("Reg",'K3 District Data as of Jan 2025'!$2:$2,0),FALSE)+VLOOKUP($A196,'K3 District Data as of Jan 2025'!$A$3:$M$323,MATCH("Exp",'K3 District Data as of Jan 2025'!$2:$2,0),FALSE))/180)*3)*CIS_Ben_Inc,2)</f>
        <v>0</v>
      </c>
      <c r="P196" s="23">
        <f t="shared" si="28"/>
        <v>0</v>
      </c>
    </row>
    <row r="197" spans="1:16" x14ac:dyDescent="0.25">
      <c r="A197" t="s">
        <v>222</v>
      </c>
      <c r="B197" t="s">
        <v>517</v>
      </c>
      <c r="C197" s="33">
        <f>IF(VLOOKUP($A197,'Enroll Data as of January 2025'!$A$3:$T$322,20,FALSE)&gt;0,0,VLOOKUP($A197,'Enroll Data as of January 2025'!$A$3:$T$322,20,FALSE)*'2024-25 PSES Compliance'!$G$13)</f>
        <v>0</v>
      </c>
      <c r="D197" s="33">
        <f>IF(VLOOKUP($A197,'Enroll Data as of January 2025'!$A$3:$T$322,20,FALSE)&gt;0,0,VLOOKUP($A197,'Enroll Data as of January 2025'!$A$3:$T$322,20,FALSE)*'2024-25 PSES Compliance'!$G$14)</f>
        <v>0</v>
      </c>
      <c r="E197" s="25">
        <f>ROUND($C197*CIS_Base*VLOOKUP($A197,'K3 District Data as of Jan 2025'!$A$3:$M$323,MATCH("Reg base",'K3 District Data as of Jan 2025'!$2:$2,0),FALSE),2)</f>
        <v>0</v>
      </c>
      <c r="F197" s="25">
        <f>ROUND($C197*CIS_Inc*(VLOOKUP($A197,'K3 District Data as of Jan 2025'!$A$3:$M$323,MATCH("Reg",'K3 District Data as of Jan 2025'!$2:$2,0),FALSE)+VLOOKUP($A197,'K3 District Data as of Jan 2025'!$A$3:$M$323,MATCH("Exp",'K3 District Data as of Jan 2025'!$2:$2,0),FALSE)),2)-E197</f>
        <v>0</v>
      </c>
      <c r="G197" s="25">
        <f>ROUND($D197*CLS_Base*VLOOKUP($A197,'K3 District Data as of Jan 2025'!$A$3:$M$323,MATCH("Reg base",'K3 District Data as of Jan 2025'!$2:$2,0),FALSE),2)</f>
        <v>0</v>
      </c>
      <c r="H197" s="25">
        <f>ROUND($D197*CLS_Inc*VLOOKUP($A197,'K3 District Data as of Jan 2025'!$A$3:$M$323,MATCH("Reg base",'K3 District Data as of Jan 2025'!$2:$2,0),FALSE),2)-G197</f>
        <v>0</v>
      </c>
      <c r="I197" s="25">
        <f t="shared" si="22"/>
        <v>0</v>
      </c>
      <c r="J197" s="25">
        <f t="shared" si="23"/>
        <v>0</v>
      </c>
      <c r="K197" s="25">
        <f t="shared" si="24"/>
        <v>0</v>
      </c>
      <c r="L197" s="25">
        <f t="shared" si="25"/>
        <v>0</v>
      </c>
      <c r="M197" s="25">
        <f t="shared" si="26"/>
        <v>0</v>
      </c>
      <c r="N197" s="25">
        <f t="shared" si="27"/>
        <v>0</v>
      </c>
      <c r="O197" s="25">
        <f>ROUND(($C197*CIS_Inc*(VLOOKUP($A197,'K3 District Data as of Jan 2025'!$A$3:$M$323,MATCH("Reg",'K3 District Data as of Jan 2025'!$2:$2,0),FALSE)+VLOOKUP($A197,'K3 District Data as of Jan 2025'!$A$3:$M$323,MATCH("Exp",'K3 District Data as of Jan 2025'!$2:$2,0),FALSE))/180)*3+(($C197*CIS_Inc*(VLOOKUP($A197,'K3 District Data as of Jan 2025'!$A$3:$M$323,MATCH("Reg",'K3 District Data as of Jan 2025'!$2:$2,0),FALSE)+VLOOKUP($A197,'K3 District Data as of Jan 2025'!$A$3:$M$323,MATCH("Exp",'K3 District Data as of Jan 2025'!$2:$2,0),FALSE))/180)*3)*CIS_Ben_Inc,2)</f>
        <v>0</v>
      </c>
      <c r="P197" s="23">
        <f t="shared" si="28"/>
        <v>0</v>
      </c>
    </row>
    <row r="198" spans="1:16" x14ac:dyDescent="0.25">
      <c r="A198" t="s">
        <v>236</v>
      </c>
      <c r="B198" t="s">
        <v>532</v>
      </c>
      <c r="C198" s="33">
        <f>IF(VLOOKUP($A198,'Enroll Data as of January 2025'!$A$3:$T$322,20,FALSE)&gt;0,0,VLOOKUP($A198,'Enroll Data as of January 2025'!$A$3:$T$322,20,FALSE)*'2024-25 PSES Compliance'!$G$13)</f>
        <v>0</v>
      </c>
      <c r="D198" s="33">
        <f>IF(VLOOKUP($A198,'Enroll Data as of January 2025'!$A$3:$T$322,20,FALSE)&gt;0,0,VLOOKUP($A198,'Enroll Data as of January 2025'!$A$3:$T$322,20,FALSE)*'2024-25 PSES Compliance'!$G$14)</f>
        <v>0</v>
      </c>
      <c r="E198" s="25">
        <f>ROUND($C198*CIS_Base*VLOOKUP($A198,'K3 District Data as of Jan 2025'!$A$3:$M$323,MATCH("Reg base",'K3 District Data as of Jan 2025'!$2:$2,0),FALSE),2)</f>
        <v>0</v>
      </c>
      <c r="F198" s="25">
        <f>ROUND($C198*CIS_Inc*(VLOOKUP($A198,'K3 District Data as of Jan 2025'!$A$3:$M$323,MATCH("Reg",'K3 District Data as of Jan 2025'!$2:$2,0),FALSE)+VLOOKUP($A198,'K3 District Data as of Jan 2025'!$A$3:$M$323,MATCH("Exp",'K3 District Data as of Jan 2025'!$2:$2,0),FALSE)),2)-E198</f>
        <v>0</v>
      </c>
      <c r="G198" s="25">
        <f>ROUND($D198*CLS_Base*VLOOKUP($A198,'K3 District Data as of Jan 2025'!$A$3:$M$323,MATCH("Reg base",'K3 District Data as of Jan 2025'!$2:$2,0),FALSE),2)</f>
        <v>0</v>
      </c>
      <c r="H198" s="25">
        <f>ROUND($D198*CLS_Inc*VLOOKUP($A198,'K3 District Data as of Jan 2025'!$A$3:$M$323,MATCH("Reg base",'K3 District Data as of Jan 2025'!$2:$2,0),FALSE),2)-G198</f>
        <v>0</v>
      </c>
      <c r="I198" s="25">
        <f t="shared" si="22"/>
        <v>0</v>
      </c>
      <c r="J198" s="25">
        <f t="shared" si="23"/>
        <v>0</v>
      </c>
      <c r="K198" s="25">
        <f t="shared" si="24"/>
        <v>0</v>
      </c>
      <c r="L198" s="25">
        <f t="shared" si="25"/>
        <v>0</v>
      </c>
      <c r="M198" s="25">
        <f t="shared" si="26"/>
        <v>0</v>
      </c>
      <c r="N198" s="25">
        <f t="shared" si="27"/>
        <v>0</v>
      </c>
      <c r="O198" s="25">
        <f>ROUND(($C198*CIS_Inc*(VLOOKUP($A198,'K3 District Data as of Jan 2025'!$A$3:$M$323,MATCH("Reg",'K3 District Data as of Jan 2025'!$2:$2,0),FALSE)+VLOOKUP($A198,'K3 District Data as of Jan 2025'!$A$3:$M$323,MATCH("Exp",'K3 District Data as of Jan 2025'!$2:$2,0),FALSE))/180)*3+(($C198*CIS_Inc*(VLOOKUP($A198,'K3 District Data as of Jan 2025'!$A$3:$M$323,MATCH("Reg",'K3 District Data as of Jan 2025'!$2:$2,0),FALSE)+VLOOKUP($A198,'K3 District Data as of Jan 2025'!$A$3:$M$323,MATCH("Exp",'K3 District Data as of Jan 2025'!$2:$2,0),FALSE))/180)*3)*CIS_Ben_Inc,2)</f>
        <v>0</v>
      </c>
      <c r="P198" s="23">
        <f t="shared" si="28"/>
        <v>0</v>
      </c>
    </row>
    <row r="199" spans="1:16" x14ac:dyDescent="0.25">
      <c r="A199" t="s">
        <v>43</v>
      </c>
      <c r="B199" t="s">
        <v>339</v>
      </c>
      <c r="C199" s="33">
        <f>IF(VLOOKUP($A199,'Enroll Data as of January 2025'!$A$3:$T$322,20,FALSE)&gt;0,0,VLOOKUP($A199,'Enroll Data as of January 2025'!$A$3:$T$322,20,FALSE)*'2024-25 PSES Compliance'!$G$13)</f>
        <v>0</v>
      </c>
      <c r="D199" s="33">
        <f>IF(VLOOKUP($A199,'Enroll Data as of January 2025'!$A$3:$T$322,20,FALSE)&gt;0,0,VLOOKUP($A199,'Enroll Data as of January 2025'!$A$3:$T$322,20,FALSE)*'2024-25 PSES Compliance'!$G$14)</f>
        <v>0</v>
      </c>
      <c r="E199" s="25">
        <f>ROUND($C199*CIS_Base*VLOOKUP($A199,'K3 District Data as of Jan 2025'!$A$3:$M$323,MATCH("Reg base",'K3 District Data as of Jan 2025'!$2:$2,0),FALSE),2)</f>
        <v>0</v>
      </c>
      <c r="F199" s="25">
        <f>ROUND($C199*CIS_Inc*(VLOOKUP($A199,'K3 District Data as of Jan 2025'!$A$3:$M$323,MATCH("Reg",'K3 District Data as of Jan 2025'!$2:$2,0),FALSE)+VLOOKUP($A199,'K3 District Data as of Jan 2025'!$A$3:$M$323,MATCH("Exp",'K3 District Data as of Jan 2025'!$2:$2,0),FALSE)),2)-E199</f>
        <v>0</v>
      </c>
      <c r="G199" s="25">
        <f>ROUND($D199*CLS_Base*VLOOKUP($A199,'K3 District Data as of Jan 2025'!$A$3:$M$323,MATCH("Reg base",'K3 District Data as of Jan 2025'!$2:$2,0),FALSE),2)</f>
        <v>0</v>
      </c>
      <c r="H199" s="25">
        <f>ROUND($D199*CLS_Inc*VLOOKUP($A199,'K3 District Data as of Jan 2025'!$A$3:$M$323,MATCH("Reg base",'K3 District Data as of Jan 2025'!$2:$2,0),FALSE),2)-G199</f>
        <v>0</v>
      </c>
      <c r="I199" s="25">
        <f t="shared" si="22"/>
        <v>0</v>
      </c>
      <c r="J199" s="25">
        <f t="shared" si="23"/>
        <v>0</v>
      </c>
      <c r="K199" s="25">
        <f t="shared" si="24"/>
        <v>0</v>
      </c>
      <c r="L199" s="25">
        <f t="shared" si="25"/>
        <v>0</v>
      </c>
      <c r="M199" s="25">
        <f t="shared" si="26"/>
        <v>0</v>
      </c>
      <c r="N199" s="25">
        <f t="shared" si="27"/>
        <v>0</v>
      </c>
      <c r="O199" s="25">
        <f>ROUND(($C199*CIS_Inc*(VLOOKUP($A199,'K3 District Data as of Jan 2025'!$A$3:$M$323,MATCH("Reg",'K3 District Data as of Jan 2025'!$2:$2,0),FALSE)+VLOOKUP($A199,'K3 District Data as of Jan 2025'!$A$3:$M$323,MATCH("Exp",'K3 District Data as of Jan 2025'!$2:$2,0),FALSE))/180)*3+(($C199*CIS_Inc*(VLOOKUP($A199,'K3 District Data as of Jan 2025'!$A$3:$M$323,MATCH("Reg",'K3 District Data as of Jan 2025'!$2:$2,0),FALSE)+VLOOKUP($A199,'K3 District Data as of Jan 2025'!$A$3:$M$323,MATCH("Exp",'K3 District Data as of Jan 2025'!$2:$2,0),FALSE))/180)*3)*CIS_Ben_Inc,2)</f>
        <v>0</v>
      </c>
      <c r="P199" s="23">
        <f t="shared" si="28"/>
        <v>0</v>
      </c>
    </row>
    <row r="200" spans="1:16" x14ac:dyDescent="0.25">
      <c r="A200" t="s">
        <v>245</v>
      </c>
      <c r="B200" t="s">
        <v>541</v>
      </c>
      <c r="C200" s="33">
        <f>IF(VLOOKUP($A200,'Enroll Data as of January 2025'!$A$3:$T$322,20,FALSE)&gt;0,0,VLOOKUP($A200,'Enroll Data as of January 2025'!$A$3:$T$322,20,FALSE)*'2024-25 PSES Compliance'!$G$13)</f>
        <v>-0.21504000000000001</v>
      </c>
      <c r="D200" s="33">
        <f>IF(VLOOKUP($A200,'Enroll Data as of January 2025'!$A$3:$T$322,20,FALSE)&gt;0,0,VLOOKUP($A200,'Enroll Data as of January 2025'!$A$3:$T$322,20,FALSE)*'2024-25 PSES Compliance'!$G$14)</f>
        <v>-8.9600000000000009E-3</v>
      </c>
      <c r="E200" s="25">
        <f>ROUND($C200*CIS_Base*VLOOKUP($A200,'K3 District Data as of Jan 2025'!$A$3:$M$323,MATCH("Reg base",'K3 District Data as of Jan 2025'!$2:$2,0),FALSE),2)</f>
        <v>-15639.43</v>
      </c>
      <c r="F200" s="25">
        <f>ROUND($C200*CIS_Inc*(VLOOKUP($A200,'K3 District Data as of Jan 2025'!$A$3:$M$323,MATCH("Reg",'K3 District Data as of Jan 2025'!$2:$2,0),FALSE)+VLOOKUP($A200,'K3 District Data as of Jan 2025'!$A$3:$M$323,MATCH("Exp",'K3 District Data as of Jan 2025'!$2:$2,0),FALSE)),2)-E200</f>
        <v>-1178.630000000001</v>
      </c>
      <c r="G200" s="25">
        <f>ROUND($D200*CLS_Base*VLOOKUP($A200,'K3 District Data as of Jan 2025'!$A$3:$M$323,MATCH("Reg base",'K3 District Data as of Jan 2025'!$2:$2,0),FALSE),2)</f>
        <v>-467.47</v>
      </c>
      <c r="H200" s="25">
        <f>ROUND($D200*CLS_Inc*VLOOKUP($A200,'K3 District Data as of Jan 2025'!$A$3:$M$323,MATCH("Reg base",'K3 District Data as of Jan 2025'!$2:$2,0),FALSE),2)-G200</f>
        <v>-35.229999999999961</v>
      </c>
      <c r="I200" s="25">
        <f t="shared" si="22"/>
        <v>-3100.6</v>
      </c>
      <c r="J200" s="25">
        <f t="shared" si="23"/>
        <v>-181.12</v>
      </c>
      <c r="K200" s="25">
        <f t="shared" si="24"/>
        <v>-2838.56</v>
      </c>
      <c r="L200" s="25">
        <f t="shared" si="25"/>
        <v>-2738.46</v>
      </c>
      <c r="M200" s="25">
        <f t="shared" si="26"/>
        <v>-101.25</v>
      </c>
      <c r="N200" s="25">
        <f t="shared" si="27"/>
        <v>-6.4</v>
      </c>
      <c r="O200" s="25">
        <f>ROUND(($C200*CIS_Inc*(VLOOKUP($A200,'K3 District Data as of Jan 2025'!$A$3:$M$323,MATCH("Reg",'K3 District Data as of Jan 2025'!$2:$2,0),FALSE)+VLOOKUP($A200,'K3 District Data as of Jan 2025'!$A$3:$M$323,MATCH("Exp",'K3 District Data as of Jan 2025'!$2:$2,0),FALSE))/180)*3+(($C200*CIS_Inc*(VLOOKUP($A200,'K3 District Data as of Jan 2025'!$A$3:$M$323,MATCH("Reg",'K3 District Data as of Jan 2025'!$2:$2,0),FALSE)+VLOOKUP($A200,'K3 District Data as of Jan 2025'!$A$3:$M$323,MATCH("Exp",'K3 District Data as of Jan 2025'!$2:$2,0),FALSE))/180)*3)*CIS_Ben_Inc,2)</f>
        <v>-329.38</v>
      </c>
      <c r="P200" s="23">
        <f t="shared" si="28"/>
        <v>-26616.530000000002</v>
      </c>
    </row>
    <row r="201" spans="1:16" x14ac:dyDescent="0.25">
      <c r="A201" t="s">
        <v>200</v>
      </c>
      <c r="B201" t="s">
        <v>495</v>
      </c>
      <c r="C201" s="33">
        <f>IF(VLOOKUP($A201,'Enroll Data as of January 2025'!$A$3:$T$322,20,FALSE)&gt;0,0,VLOOKUP($A201,'Enroll Data as of January 2025'!$A$3:$T$322,20,FALSE)*'2024-25 PSES Compliance'!$G$13)</f>
        <v>0</v>
      </c>
      <c r="D201" s="33">
        <f>IF(VLOOKUP($A201,'Enroll Data as of January 2025'!$A$3:$T$322,20,FALSE)&gt;0,0,VLOOKUP($A201,'Enroll Data as of January 2025'!$A$3:$T$322,20,FALSE)*'2024-25 PSES Compliance'!$G$14)</f>
        <v>0</v>
      </c>
      <c r="E201" s="25">
        <f>ROUND($C201*CIS_Base*VLOOKUP($A201,'K3 District Data as of Jan 2025'!$A$3:$M$323,MATCH("Reg base",'K3 District Data as of Jan 2025'!$2:$2,0),FALSE),2)</f>
        <v>0</v>
      </c>
      <c r="F201" s="25">
        <f>ROUND($C201*CIS_Inc*(VLOOKUP($A201,'K3 District Data as of Jan 2025'!$A$3:$M$323,MATCH("Reg",'K3 District Data as of Jan 2025'!$2:$2,0),FALSE)+VLOOKUP($A201,'K3 District Data as of Jan 2025'!$A$3:$M$323,MATCH("Exp",'K3 District Data as of Jan 2025'!$2:$2,0),FALSE)),2)-E201</f>
        <v>0</v>
      </c>
      <c r="G201" s="25">
        <f>ROUND($D201*CLS_Base*VLOOKUP($A201,'K3 District Data as of Jan 2025'!$A$3:$M$323,MATCH("Reg base",'K3 District Data as of Jan 2025'!$2:$2,0),FALSE),2)</f>
        <v>0</v>
      </c>
      <c r="H201" s="25">
        <f>ROUND($D201*CLS_Inc*VLOOKUP($A201,'K3 District Data as of Jan 2025'!$A$3:$M$323,MATCH("Reg base",'K3 District Data as of Jan 2025'!$2:$2,0),FALSE),2)-G201</f>
        <v>0</v>
      </c>
      <c r="I201" s="25">
        <f t="shared" si="22"/>
        <v>0</v>
      </c>
      <c r="J201" s="25">
        <f t="shared" si="23"/>
        <v>0</v>
      </c>
      <c r="K201" s="25">
        <f t="shared" si="24"/>
        <v>0</v>
      </c>
      <c r="L201" s="25">
        <f t="shared" si="25"/>
        <v>0</v>
      </c>
      <c r="M201" s="25">
        <f t="shared" si="26"/>
        <v>0</v>
      </c>
      <c r="N201" s="25">
        <f t="shared" si="27"/>
        <v>0</v>
      </c>
      <c r="O201" s="25">
        <f>ROUND(($C201*CIS_Inc*(VLOOKUP($A201,'K3 District Data as of Jan 2025'!$A$3:$M$323,MATCH("Reg",'K3 District Data as of Jan 2025'!$2:$2,0),FALSE)+VLOOKUP($A201,'K3 District Data as of Jan 2025'!$A$3:$M$323,MATCH("Exp",'K3 District Data as of Jan 2025'!$2:$2,0),FALSE))/180)*3+(($C201*CIS_Inc*(VLOOKUP($A201,'K3 District Data as of Jan 2025'!$A$3:$M$323,MATCH("Reg",'K3 District Data as of Jan 2025'!$2:$2,0),FALSE)+VLOOKUP($A201,'K3 District Data as of Jan 2025'!$A$3:$M$323,MATCH("Exp",'K3 District Data as of Jan 2025'!$2:$2,0),FALSE))/180)*3)*CIS_Ben_Inc,2)</f>
        <v>0</v>
      </c>
      <c r="P201" s="23">
        <f t="shared" si="28"/>
        <v>0</v>
      </c>
    </row>
    <row r="202" spans="1:16" x14ac:dyDescent="0.25">
      <c r="A202" t="s">
        <v>655</v>
      </c>
      <c r="B202" t="s">
        <v>656</v>
      </c>
      <c r="C202" s="33">
        <f>IF(VLOOKUP($A202,'Enroll Data as of January 2025'!$A$3:$T$322,20,FALSE)&gt;0,0,VLOOKUP($A202,'Enroll Data as of January 2025'!$A$3:$T$322,20,FALSE)*'2024-25 PSES Compliance'!$G$13)</f>
        <v>0</v>
      </c>
      <c r="D202" s="33">
        <f>IF(VLOOKUP($A202,'Enroll Data as of January 2025'!$A$3:$T$322,20,FALSE)&gt;0,0,VLOOKUP($A202,'Enroll Data as of January 2025'!$A$3:$T$322,20,FALSE)*'2024-25 PSES Compliance'!$G$14)</f>
        <v>0</v>
      </c>
      <c r="E202" s="25">
        <f>ROUND($C202*CIS_Base*VLOOKUP($A202,'K3 District Data as of Jan 2025'!$A$3:$M$323,MATCH("Reg base",'K3 District Data as of Jan 2025'!$2:$2,0),FALSE),2)</f>
        <v>0</v>
      </c>
      <c r="F202" s="25">
        <f>ROUND($C202*CIS_Inc*(VLOOKUP($A202,'K3 District Data as of Jan 2025'!$A$3:$M$323,MATCH("Reg",'K3 District Data as of Jan 2025'!$2:$2,0),FALSE)+VLOOKUP($A202,'K3 District Data as of Jan 2025'!$A$3:$M$323,MATCH("Exp",'K3 District Data as of Jan 2025'!$2:$2,0),FALSE)),2)-E202</f>
        <v>0</v>
      </c>
      <c r="G202" s="25">
        <f>ROUND($D202*CLS_Base*VLOOKUP($A202,'K3 District Data as of Jan 2025'!$A$3:$M$323,MATCH("Reg base",'K3 District Data as of Jan 2025'!$2:$2,0),FALSE),2)</f>
        <v>0</v>
      </c>
      <c r="H202" s="25">
        <f>ROUND($D202*CLS_Inc*VLOOKUP($A202,'K3 District Data as of Jan 2025'!$A$3:$M$323,MATCH("Reg base",'K3 District Data as of Jan 2025'!$2:$2,0),FALSE),2)-G202</f>
        <v>0</v>
      </c>
      <c r="I202" s="25">
        <f t="shared" si="22"/>
        <v>0</v>
      </c>
      <c r="J202" s="25">
        <f t="shared" si="23"/>
        <v>0</v>
      </c>
      <c r="K202" s="25">
        <f t="shared" si="24"/>
        <v>0</v>
      </c>
      <c r="L202" s="25">
        <f t="shared" si="25"/>
        <v>0</v>
      </c>
      <c r="M202" s="25">
        <f t="shared" si="26"/>
        <v>0</v>
      </c>
      <c r="N202" s="25">
        <f t="shared" si="27"/>
        <v>0</v>
      </c>
      <c r="O202" s="25">
        <f>ROUND(($C202*CIS_Inc*(VLOOKUP($A202,'K3 District Data as of Jan 2025'!$A$3:$M$323,MATCH("Reg",'K3 District Data as of Jan 2025'!$2:$2,0),FALSE)+VLOOKUP($A202,'K3 District Data as of Jan 2025'!$A$3:$M$323,MATCH("Exp",'K3 District Data as of Jan 2025'!$2:$2,0),FALSE))/180)*3+(($C202*CIS_Inc*(VLOOKUP($A202,'K3 District Data as of Jan 2025'!$A$3:$M$323,MATCH("Reg",'K3 District Data as of Jan 2025'!$2:$2,0),FALSE)+VLOOKUP($A202,'K3 District Data as of Jan 2025'!$A$3:$M$323,MATCH("Exp",'K3 District Data as of Jan 2025'!$2:$2,0),FALSE))/180)*3)*CIS_Ben_Inc,2)</f>
        <v>0</v>
      </c>
      <c r="P202" s="23">
        <f t="shared" si="28"/>
        <v>0</v>
      </c>
    </row>
    <row r="203" spans="1:16" x14ac:dyDescent="0.25">
      <c r="A203" t="s">
        <v>271</v>
      </c>
      <c r="B203" t="s">
        <v>567</v>
      </c>
      <c r="C203" s="33">
        <f>IF(VLOOKUP($A203,'Enroll Data as of January 2025'!$A$3:$T$322,20,FALSE)&gt;0,0,VLOOKUP($A203,'Enroll Data as of January 2025'!$A$3:$T$322,20,FALSE)*'2024-25 PSES Compliance'!$G$13)</f>
        <v>0</v>
      </c>
      <c r="D203" s="33">
        <f>IF(VLOOKUP($A203,'Enroll Data as of January 2025'!$A$3:$T$322,20,FALSE)&gt;0,0,VLOOKUP($A203,'Enroll Data as of January 2025'!$A$3:$T$322,20,FALSE)*'2024-25 PSES Compliance'!$G$14)</f>
        <v>0</v>
      </c>
      <c r="E203" s="25">
        <f>ROUND($C203*CIS_Base*VLOOKUP($A203,'K3 District Data as of Jan 2025'!$A$3:$M$323,MATCH("Reg base",'K3 District Data as of Jan 2025'!$2:$2,0),FALSE),2)</f>
        <v>0</v>
      </c>
      <c r="F203" s="25">
        <f>ROUND($C203*CIS_Inc*(VLOOKUP($A203,'K3 District Data as of Jan 2025'!$A$3:$M$323,MATCH("Reg",'K3 District Data as of Jan 2025'!$2:$2,0),FALSE)+VLOOKUP($A203,'K3 District Data as of Jan 2025'!$A$3:$M$323,MATCH("Exp",'K3 District Data as of Jan 2025'!$2:$2,0),FALSE)),2)-E203</f>
        <v>0</v>
      </c>
      <c r="G203" s="25">
        <f>ROUND($D203*CLS_Base*VLOOKUP($A203,'K3 District Data as of Jan 2025'!$A$3:$M$323,MATCH("Reg base",'K3 District Data as of Jan 2025'!$2:$2,0),FALSE),2)</f>
        <v>0</v>
      </c>
      <c r="H203" s="25">
        <f>ROUND($D203*CLS_Inc*VLOOKUP($A203,'K3 District Data as of Jan 2025'!$A$3:$M$323,MATCH("Reg base",'K3 District Data as of Jan 2025'!$2:$2,0),FALSE),2)-G203</f>
        <v>0</v>
      </c>
      <c r="I203" s="25">
        <f t="shared" si="22"/>
        <v>0</v>
      </c>
      <c r="J203" s="25">
        <f t="shared" si="23"/>
        <v>0</v>
      </c>
      <c r="K203" s="25">
        <f t="shared" si="24"/>
        <v>0</v>
      </c>
      <c r="L203" s="25">
        <f t="shared" si="25"/>
        <v>0</v>
      </c>
      <c r="M203" s="25">
        <f t="shared" si="26"/>
        <v>0</v>
      </c>
      <c r="N203" s="25">
        <f t="shared" si="27"/>
        <v>0</v>
      </c>
      <c r="O203" s="25">
        <f>ROUND(($C203*CIS_Inc*(VLOOKUP($A203,'K3 District Data as of Jan 2025'!$A$3:$M$323,MATCH("Reg",'K3 District Data as of Jan 2025'!$2:$2,0),FALSE)+VLOOKUP($A203,'K3 District Data as of Jan 2025'!$A$3:$M$323,MATCH("Exp",'K3 District Data as of Jan 2025'!$2:$2,0),FALSE))/180)*3+(($C203*CIS_Inc*(VLOOKUP($A203,'K3 District Data as of Jan 2025'!$A$3:$M$323,MATCH("Reg",'K3 District Data as of Jan 2025'!$2:$2,0),FALSE)+VLOOKUP($A203,'K3 District Data as of Jan 2025'!$A$3:$M$323,MATCH("Exp",'K3 District Data as of Jan 2025'!$2:$2,0),FALSE))/180)*3)*CIS_Ben_Inc,2)</f>
        <v>0</v>
      </c>
      <c r="P203" s="23">
        <f t="shared" si="28"/>
        <v>0</v>
      </c>
    </row>
    <row r="204" spans="1:16" x14ac:dyDescent="0.25">
      <c r="A204" t="s">
        <v>20</v>
      </c>
      <c r="B204" t="s">
        <v>317</v>
      </c>
      <c r="C204" s="33">
        <f>IF(VLOOKUP($A204,'Enroll Data as of January 2025'!$A$3:$T$322,20,FALSE)&gt;0,0,VLOOKUP($A204,'Enroll Data as of January 2025'!$A$3:$T$322,20,FALSE)*'2024-25 PSES Compliance'!$G$13)</f>
        <v>0</v>
      </c>
      <c r="D204" s="33">
        <f>IF(VLOOKUP($A204,'Enroll Data as of January 2025'!$A$3:$T$322,20,FALSE)&gt;0,0,VLOOKUP($A204,'Enroll Data as of January 2025'!$A$3:$T$322,20,FALSE)*'2024-25 PSES Compliance'!$G$14)</f>
        <v>0</v>
      </c>
      <c r="E204" s="25">
        <f>ROUND($C204*CIS_Base*VLOOKUP($A204,'K3 District Data as of Jan 2025'!$A$3:$M$323,MATCH("Reg base",'K3 District Data as of Jan 2025'!$2:$2,0),FALSE),2)</f>
        <v>0</v>
      </c>
      <c r="F204" s="25">
        <f>ROUND($C204*CIS_Inc*(VLOOKUP($A204,'K3 District Data as of Jan 2025'!$A$3:$M$323,MATCH("Reg",'K3 District Data as of Jan 2025'!$2:$2,0),FALSE)+VLOOKUP($A204,'K3 District Data as of Jan 2025'!$A$3:$M$323,MATCH("Exp",'K3 District Data as of Jan 2025'!$2:$2,0),FALSE)),2)-E204</f>
        <v>0</v>
      </c>
      <c r="G204" s="25">
        <f>ROUND($D204*CLS_Base*VLOOKUP($A204,'K3 District Data as of Jan 2025'!$A$3:$M$323,MATCH("Reg base",'K3 District Data as of Jan 2025'!$2:$2,0),FALSE),2)</f>
        <v>0</v>
      </c>
      <c r="H204" s="25">
        <f>ROUND($D204*CLS_Inc*VLOOKUP($A204,'K3 District Data as of Jan 2025'!$A$3:$M$323,MATCH("Reg base",'K3 District Data as of Jan 2025'!$2:$2,0),FALSE),2)-G204</f>
        <v>0</v>
      </c>
      <c r="I204" s="25">
        <f t="shared" si="22"/>
        <v>0</v>
      </c>
      <c r="J204" s="25">
        <f t="shared" si="23"/>
        <v>0</v>
      </c>
      <c r="K204" s="25">
        <f t="shared" si="24"/>
        <v>0</v>
      </c>
      <c r="L204" s="25">
        <f t="shared" si="25"/>
        <v>0</v>
      </c>
      <c r="M204" s="25">
        <f t="shared" si="26"/>
        <v>0</v>
      </c>
      <c r="N204" s="25">
        <f t="shared" si="27"/>
        <v>0</v>
      </c>
      <c r="O204" s="25">
        <f>ROUND(($C204*CIS_Inc*(VLOOKUP($A204,'K3 District Data as of Jan 2025'!$A$3:$M$323,MATCH("Reg",'K3 District Data as of Jan 2025'!$2:$2,0),FALSE)+VLOOKUP($A204,'K3 District Data as of Jan 2025'!$A$3:$M$323,MATCH("Exp",'K3 District Data as of Jan 2025'!$2:$2,0),FALSE))/180)*3+(($C204*CIS_Inc*(VLOOKUP($A204,'K3 District Data as of Jan 2025'!$A$3:$M$323,MATCH("Reg",'K3 District Data as of Jan 2025'!$2:$2,0),FALSE)+VLOOKUP($A204,'K3 District Data as of Jan 2025'!$A$3:$M$323,MATCH("Exp",'K3 District Data as of Jan 2025'!$2:$2,0),FALSE))/180)*3)*CIS_Ben_Inc,2)</f>
        <v>0</v>
      </c>
      <c r="P204" s="23">
        <f t="shared" si="28"/>
        <v>0</v>
      </c>
    </row>
    <row r="205" spans="1:16" x14ac:dyDescent="0.25">
      <c r="A205" t="s">
        <v>162</v>
      </c>
      <c r="B205" t="s">
        <v>458</v>
      </c>
      <c r="C205" s="33">
        <f>IF(VLOOKUP($A205,'Enroll Data as of January 2025'!$A$3:$T$322,20,FALSE)&gt;0,0,VLOOKUP($A205,'Enroll Data as of January 2025'!$A$3:$T$322,20,FALSE)*'2024-25 PSES Compliance'!$G$13)</f>
        <v>0</v>
      </c>
      <c r="D205" s="33">
        <f>IF(VLOOKUP($A205,'Enroll Data as of January 2025'!$A$3:$T$322,20,FALSE)&gt;0,0,VLOOKUP($A205,'Enroll Data as of January 2025'!$A$3:$T$322,20,FALSE)*'2024-25 PSES Compliance'!$G$14)</f>
        <v>0</v>
      </c>
      <c r="E205" s="25">
        <f>ROUND($C205*CIS_Base*VLOOKUP($A205,'K3 District Data as of Jan 2025'!$A$3:$M$323,MATCH("Reg base",'K3 District Data as of Jan 2025'!$2:$2,0),FALSE),2)</f>
        <v>0</v>
      </c>
      <c r="F205" s="25">
        <f>ROUND($C205*CIS_Inc*(VLOOKUP($A205,'K3 District Data as of Jan 2025'!$A$3:$M$323,MATCH("Reg",'K3 District Data as of Jan 2025'!$2:$2,0),FALSE)+VLOOKUP($A205,'K3 District Data as of Jan 2025'!$A$3:$M$323,MATCH("Exp",'K3 District Data as of Jan 2025'!$2:$2,0),FALSE)),2)-E205</f>
        <v>0</v>
      </c>
      <c r="G205" s="25">
        <f>ROUND($D205*CLS_Base*VLOOKUP($A205,'K3 District Data as of Jan 2025'!$A$3:$M$323,MATCH("Reg base",'K3 District Data as of Jan 2025'!$2:$2,0),FALSE),2)</f>
        <v>0</v>
      </c>
      <c r="H205" s="25">
        <f>ROUND($D205*CLS_Inc*VLOOKUP($A205,'K3 District Data as of Jan 2025'!$A$3:$M$323,MATCH("Reg base",'K3 District Data as of Jan 2025'!$2:$2,0),FALSE),2)-G205</f>
        <v>0</v>
      </c>
      <c r="I205" s="25">
        <f t="shared" si="22"/>
        <v>0</v>
      </c>
      <c r="J205" s="25">
        <f t="shared" si="23"/>
        <v>0</v>
      </c>
      <c r="K205" s="25">
        <f t="shared" si="24"/>
        <v>0</v>
      </c>
      <c r="L205" s="25">
        <f t="shared" si="25"/>
        <v>0</v>
      </c>
      <c r="M205" s="25">
        <f t="shared" si="26"/>
        <v>0</v>
      </c>
      <c r="N205" s="25">
        <f t="shared" si="27"/>
        <v>0</v>
      </c>
      <c r="O205" s="25">
        <f>ROUND(($C205*CIS_Inc*(VLOOKUP($A205,'K3 District Data as of Jan 2025'!$A$3:$M$323,MATCH("Reg",'K3 District Data as of Jan 2025'!$2:$2,0),FALSE)+VLOOKUP($A205,'K3 District Data as of Jan 2025'!$A$3:$M$323,MATCH("Exp",'K3 District Data as of Jan 2025'!$2:$2,0),FALSE))/180)*3+(($C205*CIS_Inc*(VLOOKUP($A205,'K3 District Data as of Jan 2025'!$A$3:$M$323,MATCH("Reg",'K3 District Data as of Jan 2025'!$2:$2,0),FALSE)+VLOOKUP($A205,'K3 District Data as of Jan 2025'!$A$3:$M$323,MATCH("Exp",'K3 District Data as of Jan 2025'!$2:$2,0),FALSE))/180)*3)*CIS_Ben_Inc,2)</f>
        <v>0</v>
      </c>
      <c r="P205" s="23">
        <f t="shared" si="28"/>
        <v>0</v>
      </c>
    </row>
    <row r="206" spans="1:16" x14ac:dyDescent="0.25">
      <c r="A206" t="s">
        <v>218</v>
      </c>
      <c r="B206" t="s">
        <v>513</v>
      </c>
      <c r="C206" s="33">
        <f>IF(VLOOKUP($A206,'Enroll Data as of January 2025'!$A$3:$T$322,20,FALSE)&gt;0,0,VLOOKUP($A206,'Enroll Data as of January 2025'!$A$3:$T$322,20,FALSE)*'2024-25 PSES Compliance'!$G$13)</f>
        <v>0</v>
      </c>
      <c r="D206" s="33">
        <f>IF(VLOOKUP($A206,'Enroll Data as of January 2025'!$A$3:$T$322,20,FALSE)&gt;0,0,VLOOKUP($A206,'Enroll Data as of January 2025'!$A$3:$T$322,20,FALSE)*'2024-25 PSES Compliance'!$G$14)</f>
        <v>0</v>
      </c>
      <c r="E206" s="25">
        <f>ROUND($C206*CIS_Base*VLOOKUP($A206,'K3 District Data as of Jan 2025'!$A$3:$M$323,MATCH("Reg base",'K3 District Data as of Jan 2025'!$2:$2,0),FALSE),2)</f>
        <v>0</v>
      </c>
      <c r="F206" s="25">
        <f>ROUND($C206*CIS_Inc*(VLOOKUP($A206,'K3 District Data as of Jan 2025'!$A$3:$M$323,MATCH("Reg",'K3 District Data as of Jan 2025'!$2:$2,0),FALSE)+VLOOKUP($A206,'K3 District Data as of Jan 2025'!$A$3:$M$323,MATCH("Exp",'K3 District Data as of Jan 2025'!$2:$2,0),FALSE)),2)-E206</f>
        <v>0</v>
      </c>
      <c r="G206" s="25">
        <f>ROUND($D206*CLS_Base*VLOOKUP($A206,'K3 District Data as of Jan 2025'!$A$3:$M$323,MATCH("Reg base",'K3 District Data as of Jan 2025'!$2:$2,0),FALSE),2)</f>
        <v>0</v>
      </c>
      <c r="H206" s="25">
        <f>ROUND($D206*CLS_Inc*VLOOKUP($A206,'K3 District Data as of Jan 2025'!$A$3:$M$323,MATCH("Reg base",'K3 District Data as of Jan 2025'!$2:$2,0),FALSE),2)-G206</f>
        <v>0</v>
      </c>
      <c r="I206" s="25">
        <f t="shared" si="22"/>
        <v>0</v>
      </c>
      <c r="J206" s="25">
        <f t="shared" si="23"/>
        <v>0</v>
      </c>
      <c r="K206" s="25">
        <f t="shared" si="24"/>
        <v>0</v>
      </c>
      <c r="L206" s="25">
        <f t="shared" si="25"/>
        <v>0</v>
      </c>
      <c r="M206" s="25">
        <f t="shared" si="26"/>
        <v>0</v>
      </c>
      <c r="N206" s="25">
        <f t="shared" si="27"/>
        <v>0</v>
      </c>
      <c r="O206" s="25">
        <f>ROUND(($C206*CIS_Inc*(VLOOKUP($A206,'K3 District Data as of Jan 2025'!$A$3:$M$323,MATCH("Reg",'K3 District Data as of Jan 2025'!$2:$2,0),FALSE)+VLOOKUP($A206,'K3 District Data as of Jan 2025'!$A$3:$M$323,MATCH("Exp",'K3 District Data as of Jan 2025'!$2:$2,0),FALSE))/180)*3+(($C206*CIS_Inc*(VLOOKUP($A206,'K3 District Data as of Jan 2025'!$A$3:$M$323,MATCH("Reg",'K3 District Data as of Jan 2025'!$2:$2,0),FALSE)+VLOOKUP($A206,'K3 District Data as of Jan 2025'!$A$3:$M$323,MATCH("Exp",'K3 District Data as of Jan 2025'!$2:$2,0),FALSE))/180)*3)*CIS_Ben_Inc,2)</f>
        <v>0</v>
      </c>
      <c r="P206" s="23">
        <f t="shared" si="28"/>
        <v>0</v>
      </c>
    </row>
    <row r="207" spans="1:16" x14ac:dyDescent="0.25">
      <c r="A207" t="s">
        <v>231</v>
      </c>
      <c r="B207" t="s">
        <v>527</v>
      </c>
      <c r="C207" s="33">
        <f>IF(VLOOKUP($A207,'Enroll Data as of January 2025'!$A$3:$T$322,20,FALSE)&gt;0,0,VLOOKUP($A207,'Enroll Data as of January 2025'!$A$3:$T$322,20,FALSE)*'2024-25 PSES Compliance'!$G$13)</f>
        <v>0</v>
      </c>
      <c r="D207" s="33">
        <f>IF(VLOOKUP($A207,'Enroll Data as of January 2025'!$A$3:$T$322,20,FALSE)&gt;0,0,VLOOKUP($A207,'Enroll Data as of January 2025'!$A$3:$T$322,20,FALSE)*'2024-25 PSES Compliance'!$G$14)</f>
        <v>0</v>
      </c>
      <c r="E207" s="25">
        <f>ROUND($C207*CIS_Base*VLOOKUP($A207,'K3 District Data as of Jan 2025'!$A$3:$M$323,MATCH("Reg base",'K3 District Data as of Jan 2025'!$2:$2,0),FALSE),2)</f>
        <v>0</v>
      </c>
      <c r="F207" s="25">
        <f>ROUND($C207*CIS_Inc*(VLOOKUP($A207,'K3 District Data as of Jan 2025'!$A$3:$M$323,MATCH("Reg",'K3 District Data as of Jan 2025'!$2:$2,0),FALSE)+VLOOKUP($A207,'K3 District Data as of Jan 2025'!$A$3:$M$323,MATCH("Exp",'K3 District Data as of Jan 2025'!$2:$2,0),FALSE)),2)-E207</f>
        <v>0</v>
      </c>
      <c r="G207" s="25">
        <f>ROUND($D207*CLS_Base*VLOOKUP($A207,'K3 District Data as of Jan 2025'!$A$3:$M$323,MATCH("Reg base",'K3 District Data as of Jan 2025'!$2:$2,0),FALSE),2)</f>
        <v>0</v>
      </c>
      <c r="H207" s="25">
        <f>ROUND($D207*CLS_Inc*VLOOKUP($A207,'K3 District Data as of Jan 2025'!$A$3:$M$323,MATCH("Reg base",'K3 District Data as of Jan 2025'!$2:$2,0),FALSE),2)-G207</f>
        <v>0</v>
      </c>
      <c r="I207" s="25">
        <f t="shared" si="22"/>
        <v>0</v>
      </c>
      <c r="J207" s="25">
        <f t="shared" si="23"/>
        <v>0</v>
      </c>
      <c r="K207" s="25">
        <f t="shared" si="24"/>
        <v>0</v>
      </c>
      <c r="L207" s="25">
        <f t="shared" si="25"/>
        <v>0</v>
      </c>
      <c r="M207" s="25">
        <f t="shared" si="26"/>
        <v>0</v>
      </c>
      <c r="N207" s="25">
        <f t="shared" si="27"/>
        <v>0</v>
      </c>
      <c r="O207" s="25">
        <f>ROUND(($C207*CIS_Inc*(VLOOKUP($A207,'K3 District Data as of Jan 2025'!$A$3:$M$323,MATCH("Reg",'K3 District Data as of Jan 2025'!$2:$2,0),FALSE)+VLOOKUP($A207,'K3 District Data as of Jan 2025'!$A$3:$M$323,MATCH("Exp",'K3 District Data as of Jan 2025'!$2:$2,0),FALSE))/180)*3+(($C207*CIS_Inc*(VLOOKUP($A207,'K3 District Data as of Jan 2025'!$A$3:$M$323,MATCH("Reg",'K3 District Data as of Jan 2025'!$2:$2,0),FALSE)+VLOOKUP($A207,'K3 District Data as of Jan 2025'!$A$3:$M$323,MATCH("Exp",'K3 District Data as of Jan 2025'!$2:$2,0),FALSE))/180)*3)*CIS_Ben_Inc,2)</f>
        <v>0</v>
      </c>
      <c r="P207" s="23">
        <f t="shared" si="28"/>
        <v>0</v>
      </c>
    </row>
    <row r="208" spans="1:16" x14ac:dyDescent="0.25">
      <c r="A208" t="s">
        <v>230</v>
      </c>
      <c r="B208" t="s">
        <v>526</v>
      </c>
      <c r="C208" s="33">
        <f>IF(VLOOKUP($A208,'Enroll Data as of January 2025'!$A$3:$T$322,20,FALSE)&gt;0,0,VLOOKUP($A208,'Enroll Data as of January 2025'!$A$3:$T$322,20,FALSE)*'2024-25 PSES Compliance'!$G$13)</f>
        <v>0</v>
      </c>
      <c r="D208" s="33">
        <f>IF(VLOOKUP($A208,'Enroll Data as of January 2025'!$A$3:$T$322,20,FALSE)&gt;0,0,VLOOKUP($A208,'Enroll Data as of January 2025'!$A$3:$T$322,20,FALSE)*'2024-25 PSES Compliance'!$G$14)</f>
        <v>0</v>
      </c>
      <c r="E208" s="25">
        <f>ROUND($C208*CIS_Base*VLOOKUP($A208,'K3 District Data as of Jan 2025'!$A$3:$M$323,MATCH("Reg base",'K3 District Data as of Jan 2025'!$2:$2,0),FALSE),2)</f>
        <v>0</v>
      </c>
      <c r="F208" s="25">
        <f>ROUND($C208*CIS_Inc*(VLOOKUP($A208,'K3 District Data as of Jan 2025'!$A$3:$M$323,MATCH("Reg",'K3 District Data as of Jan 2025'!$2:$2,0),FALSE)+VLOOKUP($A208,'K3 District Data as of Jan 2025'!$A$3:$M$323,MATCH("Exp",'K3 District Data as of Jan 2025'!$2:$2,0),FALSE)),2)-E208</f>
        <v>0</v>
      </c>
      <c r="G208" s="25">
        <f>ROUND($D208*CLS_Base*VLOOKUP($A208,'K3 District Data as of Jan 2025'!$A$3:$M$323,MATCH("Reg base",'K3 District Data as of Jan 2025'!$2:$2,0),FALSE),2)</f>
        <v>0</v>
      </c>
      <c r="H208" s="25">
        <f>ROUND($D208*CLS_Inc*VLOOKUP($A208,'K3 District Data as of Jan 2025'!$A$3:$M$323,MATCH("Reg base",'K3 District Data as of Jan 2025'!$2:$2,0),FALSE),2)-G208</f>
        <v>0</v>
      </c>
      <c r="I208" s="25">
        <f t="shared" si="22"/>
        <v>0</v>
      </c>
      <c r="J208" s="25">
        <f t="shared" si="23"/>
        <v>0</v>
      </c>
      <c r="K208" s="25">
        <f t="shared" si="24"/>
        <v>0</v>
      </c>
      <c r="L208" s="25">
        <f t="shared" si="25"/>
        <v>0</v>
      </c>
      <c r="M208" s="25">
        <f t="shared" si="26"/>
        <v>0</v>
      </c>
      <c r="N208" s="25">
        <f t="shared" si="27"/>
        <v>0</v>
      </c>
      <c r="O208" s="25">
        <f>ROUND(($C208*CIS_Inc*(VLOOKUP($A208,'K3 District Data as of Jan 2025'!$A$3:$M$323,MATCH("Reg",'K3 District Data as of Jan 2025'!$2:$2,0),FALSE)+VLOOKUP($A208,'K3 District Data as of Jan 2025'!$A$3:$M$323,MATCH("Exp",'K3 District Data as of Jan 2025'!$2:$2,0),FALSE))/180)*3+(($C208*CIS_Inc*(VLOOKUP($A208,'K3 District Data as of Jan 2025'!$A$3:$M$323,MATCH("Reg",'K3 District Data as of Jan 2025'!$2:$2,0),FALSE)+VLOOKUP($A208,'K3 District Data as of Jan 2025'!$A$3:$M$323,MATCH("Exp",'K3 District Data as of Jan 2025'!$2:$2,0),FALSE))/180)*3)*CIS_Ben_Inc,2)</f>
        <v>0</v>
      </c>
      <c r="P208" s="23">
        <f t="shared" si="28"/>
        <v>0</v>
      </c>
    </row>
    <row r="209" spans="1:16" x14ac:dyDescent="0.25">
      <c r="A209" t="s">
        <v>99</v>
      </c>
      <c r="B209" t="s">
        <v>395</v>
      </c>
      <c r="C209" s="33">
        <f>IF(VLOOKUP($A209,'Enroll Data as of January 2025'!$A$3:$T$322,20,FALSE)&gt;0,0,VLOOKUP($A209,'Enroll Data as of January 2025'!$A$3:$T$322,20,FALSE)*'2024-25 PSES Compliance'!$G$13)</f>
        <v>0</v>
      </c>
      <c r="D209" s="33">
        <f>IF(VLOOKUP($A209,'Enroll Data as of January 2025'!$A$3:$T$322,20,FALSE)&gt;0,0,VLOOKUP($A209,'Enroll Data as of January 2025'!$A$3:$T$322,20,FALSE)*'2024-25 PSES Compliance'!$G$14)</f>
        <v>0</v>
      </c>
      <c r="E209" s="25">
        <f>ROUND($C209*CIS_Base*VLOOKUP($A209,'K3 District Data as of Jan 2025'!$A$3:$M$323,MATCH("Reg base",'K3 District Data as of Jan 2025'!$2:$2,0),FALSE),2)</f>
        <v>0</v>
      </c>
      <c r="F209" s="25">
        <f>ROUND($C209*CIS_Inc*(VLOOKUP($A209,'K3 District Data as of Jan 2025'!$A$3:$M$323,MATCH("Reg",'K3 District Data as of Jan 2025'!$2:$2,0),FALSE)+VLOOKUP($A209,'K3 District Data as of Jan 2025'!$A$3:$M$323,MATCH("Exp",'K3 District Data as of Jan 2025'!$2:$2,0),FALSE)),2)-E209</f>
        <v>0</v>
      </c>
      <c r="G209" s="25">
        <f>ROUND($D209*CLS_Base*VLOOKUP($A209,'K3 District Data as of Jan 2025'!$A$3:$M$323,MATCH("Reg base",'K3 District Data as of Jan 2025'!$2:$2,0),FALSE),2)</f>
        <v>0</v>
      </c>
      <c r="H209" s="25">
        <f>ROUND($D209*CLS_Inc*VLOOKUP($A209,'K3 District Data as of Jan 2025'!$A$3:$M$323,MATCH("Reg base",'K3 District Data as of Jan 2025'!$2:$2,0),FALSE),2)-G209</f>
        <v>0</v>
      </c>
      <c r="I209" s="25">
        <f t="shared" si="22"/>
        <v>0</v>
      </c>
      <c r="J209" s="25">
        <f t="shared" si="23"/>
        <v>0</v>
      </c>
      <c r="K209" s="25">
        <f t="shared" si="24"/>
        <v>0</v>
      </c>
      <c r="L209" s="25">
        <f t="shared" si="25"/>
        <v>0</v>
      </c>
      <c r="M209" s="25">
        <f t="shared" si="26"/>
        <v>0</v>
      </c>
      <c r="N209" s="25">
        <f t="shared" si="27"/>
        <v>0</v>
      </c>
      <c r="O209" s="25">
        <f>ROUND(($C209*CIS_Inc*(VLOOKUP($A209,'K3 District Data as of Jan 2025'!$A$3:$M$323,MATCH("Reg",'K3 District Data as of Jan 2025'!$2:$2,0),FALSE)+VLOOKUP($A209,'K3 District Data as of Jan 2025'!$A$3:$M$323,MATCH("Exp",'K3 District Data as of Jan 2025'!$2:$2,0),FALSE))/180)*3+(($C209*CIS_Inc*(VLOOKUP($A209,'K3 District Data as of Jan 2025'!$A$3:$M$323,MATCH("Reg",'K3 District Data as of Jan 2025'!$2:$2,0),FALSE)+VLOOKUP($A209,'K3 District Data as of Jan 2025'!$A$3:$M$323,MATCH("Exp",'K3 District Data as of Jan 2025'!$2:$2,0),FALSE))/180)*3)*CIS_Ben_Inc,2)</f>
        <v>0</v>
      </c>
      <c r="P209" s="23">
        <f t="shared" si="28"/>
        <v>0</v>
      </c>
    </row>
    <row r="210" spans="1:16" x14ac:dyDescent="0.25">
      <c r="A210" t="s">
        <v>272</v>
      </c>
      <c r="B210" t="s">
        <v>568</v>
      </c>
      <c r="C210" s="33">
        <f>IF(VLOOKUP($A210,'Enroll Data as of January 2025'!$A$3:$T$322,20,FALSE)&gt;0,0,VLOOKUP($A210,'Enroll Data as of January 2025'!$A$3:$T$322,20,FALSE)*'2024-25 PSES Compliance'!$G$13)</f>
        <v>0</v>
      </c>
      <c r="D210" s="33">
        <f>IF(VLOOKUP($A210,'Enroll Data as of January 2025'!$A$3:$T$322,20,FALSE)&gt;0,0,VLOOKUP($A210,'Enroll Data as of January 2025'!$A$3:$T$322,20,FALSE)*'2024-25 PSES Compliance'!$G$14)</f>
        <v>0</v>
      </c>
      <c r="E210" s="25">
        <f>ROUND($C210*CIS_Base*VLOOKUP($A210,'K3 District Data as of Jan 2025'!$A$3:$M$323,MATCH("Reg base",'K3 District Data as of Jan 2025'!$2:$2,0),FALSE),2)</f>
        <v>0</v>
      </c>
      <c r="F210" s="25">
        <f>ROUND($C210*CIS_Inc*(VLOOKUP($A210,'K3 District Data as of Jan 2025'!$A$3:$M$323,MATCH("Reg",'K3 District Data as of Jan 2025'!$2:$2,0),FALSE)+VLOOKUP($A210,'K3 District Data as of Jan 2025'!$A$3:$M$323,MATCH("Exp",'K3 District Data as of Jan 2025'!$2:$2,0),FALSE)),2)-E210</f>
        <v>0</v>
      </c>
      <c r="G210" s="25">
        <f>ROUND($D210*CLS_Base*VLOOKUP($A210,'K3 District Data as of Jan 2025'!$A$3:$M$323,MATCH("Reg base",'K3 District Data as of Jan 2025'!$2:$2,0),FALSE),2)</f>
        <v>0</v>
      </c>
      <c r="H210" s="25">
        <f>ROUND($D210*CLS_Inc*VLOOKUP($A210,'K3 District Data as of Jan 2025'!$A$3:$M$323,MATCH("Reg base",'K3 District Data as of Jan 2025'!$2:$2,0),FALSE),2)-G210</f>
        <v>0</v>
      </c>
      <c r="I210" s="25">
        <f t="shared" si="22"/>
        <v>0</v>
      </c>
      <c r="J210" s="25">
        <f t="shared" si="23"/>
        <v>0</v>
      </c>
      <c r="K210" s="25">
        <f t="shared" si="24"/>
        <v>0</v>
      </c>
      <c r="L210" s="25">
        <f t="shared" si="25"/>
        <v>0</v>
      </c>
      <c r="M210" s="25">
        <f t="shared" si="26"/>
        <v>0</v>
      </c>
      <c r="N210" s="25">
        <f t="shared" si="27"/>
        <v>0</v>
      </c>
      <c r="O210" s="25">
        <f>ROUND(($C210*CIS_Inc*(VLOOKUP($A210,'K3 District Data as of Jan 2025'!$A$3:$M$323,MATCH("Reg",'K3 District Data as of Jan 2025'!$2:$2,0),FALSE)+VLOOKUP($A210,'K3 District Data as of Jan 2025'!$A$3:$M$323,MATCH("Exp",'K3 District Data as of Jan 2025'!$2:$2,0),FALSE))/180)*3+(($C210*CIS_Inc*(VLOOKUP($A210,'K3 District Data as of Jan 2025'!$A$3:$M$323,MATCH("Reg",'K3 District Data as of Jan 2025'!$2:$2,0),FALSE)+VLOOKUP($A210,'K3 District Data as of Jan 2025'!$A$3:$M$323,MATCH("Exp",'K3 District Data as of Jan 2025'!$2:$2,0),FALSE))/180)*3)*CIS_Ben_Inc,2)</f>
        <v>0</v>
      </c>
      <c r="P210" s="23">
        <f t="shared" si="28"/>
        <v>0</v>
      </c>
    </row>
    <row r="211" spans="1:16" x14ac:dyDescent="0.25">
      <c r="A211" t="s">
        <v>211</v>
      </c>
      <c r="B211" t="s">
        <v>506</v>
      </c>
      <c r="C211" s="33">
        <f>IF(VLOOKUP($A211,'Enroll Data as of January 2025'!$A$3:$T$322,20,FALSE)&gt;0,0,VLOOKUP($A211,'Enroll Data as of January 2025'!$A$3:$T$322,20,FALSE)*'2024-25 PSES Compliance'!$G$13)</f>
        <v>0</v>
      </c>
      <c r="D211" s="33">
        <f>IF(VLOOKUP($A211,'Enroll Data as of January 2025'!$A$3:$T$322,20,FALSE)&gt;0,0,VLOOKUP($A211,'Enroll Data as of January 2025'!$A$3:$T$322,20,FALSE)*'2024-25 PSES Compliance'!$G$14)</f>
        <v>0</v>
      </c>
      <c r="E211" s="25">
        <f>ROUND($C211*CIS_Base*VLOOKUP($A211,'K3 District Data as of Jan 2025'!$A$3:$M$323,MATCH("Reg base",'K3 District Data as of Jan 2025'!$2:$2,0),FALSE),2)</f>
        <v>0</v>
      </c>
      <c r="F211" s="25">
        <f>ROUND($C211*CIS_Inc*(VLOOKUP($A211,'K3 District Data as of Jan 2025'!$A$3:$M$323,MATCH("Reg",'K3 District Data as of Jan 2025'!$2:$2,0),FALSE)+VLOOKUP($A211,'K3 District Data as of Jan 2025'!$A$3:$M$323,MATCH("Exp",'K3 District Data as of Jan 2025'!$2:$2,0),FALSE)),2)-E211</f>
        <v>0</v>
      </c>
      <c r="G211" s="25">
        <f>ROUND($D211*CLS_Base*VLOOKUP($A211,'K3 District Data as of Jan 2025'!$A$3:$M$323,MATCH("Reg base",'K3 District Data as of Jan 2025'!$2:$2,0),FALSE),2)</f>
        <v>0</v>
      </c>
      <c r="H211" s="25">
        <f>ROUND($D211*CLS_Inc*VLOOKUP($A211,'K3 District Data as of Jan 2025'!$A$3:$M$323,MATCH("Reg base",'K3 District Data as of Jan 2025'!$2:$2,0),FALSE),2)-G211</f>
        <v>0</v>
      </c>
      <c r="I211" s="25">
        <f t="shared" si="22"/>
        <v>0</v>
      </c>
      <c r="J211" s="25">
        <f t="shared" si="23"/>
        <v>0</v>
      </c>
      <c r="K211" s="25">
        <f t="shared" si="24"/>
        <v>0</v>
      </c>
      <c r="L211" s="25">
        <f t="shared" si="25"/>
        <v>0</v>
      </c>
      <c r="M211" s="25">
        <f t="shared" si="26"/>
        <v>0</v>
      </c>
      <c r="N211" s="25">
        <f t="shared" si="27"/>
        <v>0</v>
      </c>
      <c r="O211" s="25">
        <f>ROUND(($C211*CIS_Inc*(VLOOKUP($A211,'K3 District Data as of Jan 2025'!$A$3:$M$323,MATCH("Reg",'K3 District Data as of Jan 2025'!$2:$2,0),FALSE)+VLOOKUP($A211,'K3 District Data as of Jan 2025'!$A$3:$M$323,MATCH("Exp",'K3 District Data as of Jan 2025'!$2:$2,0),FALSE))/180)*3+(($C211*CIS_Inc*(VLOOKUP($A211,'K3 District Data as of Jan 2025'!$A$3:$M$323,MATCH("Reg",'K3 District Data as of Jan 2025'!$2:$2,0),FALSE)+VLOOKUP($A211,'K3 District Data as of Jan 2025'!$A$3:$M$323,MATCH("Exp",'K3 District Data as of Jan 2025'!$2:$2,0),FALSE))/180)*3)*CIS_Ben_Inc,2)</f>
        <v>0</v>
      </c>
      <c r="P211" s="23">
        <f t="shared" si="28"/>
        <v>0</v>
      </c>
    </row>
    <row r="212" spans="1:16" x14ac:dyDescent="0.25">
      <c r="A212" t="s">
        <v>220</v>
      </c>
      <c r="B212" t="s">
        <v>515</v>
      </c>
      <c r="C212" s="33">
        <f>IF(VLOOKUP($A212,'Enroll Data as of January 2025'!$A$3:$T$322,20,FALSE)&gt;0,0,VLOOKUP($A212,'Enroll Data as of January 2025'!$A$3:$T$322,20,FALSE)*'2024-25 PSES Compliance'!$G$13)</f>
        <v>0</v>
      </c>
      <c r="D212" s="33">
        <f>IF(VLOOKUP($A212,'Enroll Data as of January 2025'!$A$3:$T$322,20,FALSE)&gt;0,0,VLOOKUP($A212,'Enroll Data as of January 2025'!$A$3:$T$322,20,FALSE)*'2024-25 PSES Compliance'!$G$14)</f>
        <v>0</v>
      </c>
      <c r="E212" s="25">
        <f>ROUND($C212*CIS_Base*VLOOKUP($A212,'K3 District Data as of Jan 2025'!$A$3:$M$323,MATCH("Reg base",'K3 District Data as of Jan 2025'!$2:$2,0),FALSE),2)</f>
        <v>0</v>
      </c>
      <c r="F212" s="25">
        <f>ROUND($C212*CIS_Inc*(VLOOKUP($A212,'K3 District Data as of Jan 2025'!$A$3:$M$323,MATCH("Reg",'K3 District Data as of Jan 2025'!$2:$2,0),FALSE)+VLOOKUP($A212,'K3 District Data as of Jan 2025'!$A$3:$M$323,MATCH("Exp",'K3 District Data as of Jan 2025'!$2:$2,0),FALSE)),2)-E212</f>
        <v>0</v>
      </c>
      <c r="G212" s="25">
        <f>ROUND($D212*CLS_Base*VLOOKUP($A212,'K3 District Data as of Jan 2025'!$A$3:$M$323,MATCH("Reg base",'K3 District Data as of Jan 2025'!$2:$2,0),FALSE),2)</f>
        <v>0</v>
      </c>
      <c r="H212" s="25">
        <f>ROUND($D212*CLS_Inc*VLOOKUP($A212,'K3 District Data as of Jan 2025'!$A$3:$M$323,MATCH("Reg base",'K3 District Data as of Jan 2025'!$2:$2,0),FALSE),2)-G212</f>
        <v>0</v>
      </c>
      <c r="I212" s="25">
        <f t="shared" si="22"/>
        <v>0</v>
      </c>
      <c r="J212" s="25">
        <f t="shared" si="23"/>
        <v>0</v>
      </c>
      <c r="K212" s="25">
        <f t="shared" si="24"/>
        <v>0</v>
      </c>
      <c r="L212" s="25">
        <f t="shared" si="25"/>
        <v>0</v>
      </c>
      <c r="M212" s="25">
        <f t="shared" si="26"/>
        <v>0</v>
      </c>
      <c r="N212" s="25">
        <f t="shared" si="27"/>
        <v>0</v>
      </c>
      <c r="O212" s="25">
        <f>ROUND(($C212*CIS_Inc*(VLOOKUP($A212,'K3 District Data as of Jan 2025'!$A$3:$M$323,MATCH("Reg",'K3 District Data as of Jan 2025'!$2:$2,0),FALSE)+VLOOKUP($A212,'K3 District Data as of Jan 2025'!$A$3:$M$323,MATCH("Exp",'K3 District Data as of Jan 2025'!$2:$2,0),FALSE))/180)*3+(($C212*CIS_Inc*(VLOOKUP($A212,'K3 District Data as of Jan 2025'!$A$3:$M$323,MATCH("Reg",'K3 District Data as of Jan 2025'!$2:$2,0),FALSE)+VLOOKUP($A212,'K3 District Data as of Jan 2025'!$A$3:$M$323,MATCH("Exp",'K3 District Data as of Jan 2025'!$2:$2,0),FALSE))/180)*3)*CIS_Ben_Inc,2)</f>
        <v>0</v>
      </c>
      <c r="P212" s="23">
        <f t="shared" si="28"/>
        <v>0</v>
      </c>
    </row>
    <row r="213" spans="1:16" x14ac:dyDescent="0.25">
      <c r="A213" t="s">
        <v>79</v>
      </c>
      <c r="B213" t="s">
        <v>375</v>
      </c>
      <c r="C213" s="33">
        <f>IF(VLOOKUP($A213,'Enroll Data as of January 2025'!$A$3:$T$322,20,FALSE)&gt;0,0,VLOOKUP($A213,'Enroll Data as of January 2025'!$A$3:$T$322,20,FALSE)*'2024-25 PSES Compliance'!$G$13)</f>
        <v>0</v>
      </c>
      <c r="D213" s="33">
        <f>IF(VLOOKUP($A213,'Enroll Data as of January 2025'!$A$3:$T$322,20,FALSE)&gt;0,0,VLOOKUP($A213,'Enroll Data as of January 2025'!$A$3:$T$322,20,FALSE)*'2024-25 PSES Compliance'!$G$14)</f>
        <v>0</v>
      </c>
      <c r="E213" s="25">
        <f>ROUND($C213*CIS_Base*VLOOKUP($A213,'K3 District Data as of Jan 2025'!$A$3:$M$323,MATCH("Reg base",'K3 District Data as of Jan 2025'!$2:$2,0),FALSE),2)</f>
        <v>0</v>
      </c>
      <c r="F213" s="25">
        <f>ROUND($C213*CIS_Inc*(VLOOKUP($A213,'K3 District Data as of Jan 2025'!$A$3:$M$323,MATCH("Reg",'K3 District Data as of Jan 2025'!$2:$2,0),FALSE)+VLOOKUP($A213,'K3 District Data as of Jan 2025'!$A$3:$M$323,MATCH("Exp",'K3 District Data as of Jan 2025'!$2:$2,0),FALSE)),2)-E213</f>
        <v>0</v>
      </c>
      <c r="G213" s="25">
        <f>ROUND($D213*CLS_Base*VLOOKUP($A213,'K3 District Data as of Jan 2025'!$A$3:$M$323,MATCH("Reg base",'K3 District Data as of Jan 2025'!$2:$2,0),FALSE),2)</f>
        <v>0</v>
      </c>
      <c r="H213" s="25">
        <f>ROUND($D213*CLS_Inc*VLOOKUP($A213,'K3 District Data as of Jan 2025'!$A$3:$M$323,MATCH("Reg base",'K3 District Data as of Jan 2025'!$2:$2,0),FALSE),2)-G213</f>
        <v>0</v>
      </c>
      <c r="I213" s="25">
        <f t="shared" si="22"/>
        <v>0</v>
      </c>
      <c r="J213" s="25">
        <f t="shared" si="23"/>
        <v>0</v>
      </c>
      <c r="K213" s="25">
        <f t="shared" si="24"/>
        <v>0</v>
      </c>
      <c r="L213" s="25">
        <f t="shared" si="25"/>
        <v>0</v>
      </c>
      <c r="M213" s="25">
        <f t="shared" si="26"/>
        <v>0</v>
      </c>
      <c r="N213" s="25">
        <f t="shared" si="27"/>
        <v>0</v>
      </c>
      <c r="O213" s="25">
        <f>ROUND(($C213*CIS_Inc*(VLOOKUP($A213,'K3 District Data as of Jan 2025'!$A$3:$M$323,MATCH("Reg",'K3 District Data as of Jan 2025'!$2:$2,0),FALSE)+VLOOKUP($A213,'K3 District Data as of Jan 2025'!$A$3:$M$323,MATCH("Exp",'K3 District Data as of Jan 2025'!$2:$2,0),FALSE))/180)*3+(($C213*CIS_Inc*(VLOOKUP($A213,'K3 District Data as of Jan 2025'!$A$3:$M$323,MATCH("Reg",'K3 District Data as of Jan 2025'!$2:$2,0),FALSE)+VLOOKUP($A213,'K3 District Data as of Jan 2025'!$A$3:$M$323,MATCH("Exp",'K3 District Data as of Jan 2025'!$2:$2,0),FALSE))/180)*3)*CIS_Ben_Inc,2)</f>
        <v>0</v>
      </c>
      <c r="P213" s="23">
        <f t="shared" si="28"/>
        <v>0</v>
      </c>
    </row>
    <row r="214" spans="1:16" x14ac:dyDescent="0.25">
      <c r="A214" t="s">
        <v>71</v>
      </c>
      <c r="B214" t="s">
        <v>367</v>
      </c>
      <c r="C214" s="33">
        <f>IF(VLOOKUP($A214,'Enroll Data as of January 2025'!$A$3:$T$322,20,FALSE)&gt;0,0,VLOOKUP($A214,'Enroll Data as of January 2025'!$A$3:$T$322,20,FALSE)*'2024-25 PSES Compliance'!$G$13)</f>
        <v>0</v>
      </c>
      <c r="D214" s="33">
        <f>IF(VLOOKUP($A214,'Enroll Data as of January 2025'!$A$3:$T$322,20,FALSE)&gt;0,0,VLOOKUP($A214,'Enroll Data as of January 2025'!$A$3:$T$322,20,FALSE)*'2024-25 PSES Compliance'!$G$14)</f>
        <v>0</v>
      </c>
      <c r="E214" s="25">
        <f>ROUND($C214*CIS_Base*VLOOKUP($A214,'K3 District Data as of Jan 2025'!$A$3:$M$323,MATCH("Reg base",'K3 District Data as of Jan 2025'!$2:$2,0),FALSE),2)</f>
        <v>0</v>
      </c>
      <c r="F214" s="25">
        <f>ROUND($C214*CIS_Inc*(VLOOKUP($A214,'K3 District Data as of Jan 2025'!$A$3:$M$323,MATCH("Reg",'K3 District Data as of Jan 2025'!$2:$2,0),FALSE)+VLOOKUP($A214,'K3 District Data as of Jan 2025'!$A$3:$M$323,MATCH("Exp",'K3 District Data as of Jan 2025'!$2:$2,0),FALSE)),2)-E214</f>
        <v>0</v>
      </c>
      <c r="G214" s="25">
        <f>ROUND($D214*CLS_Base*VLOOKUP($A214,'K3 District Data as of Jan 2025'!$A$3:$M$323,MATCH("Reg base",'K3 District Data as of Jan 2025'!$2:$2,0),FALSE),2)</f>
        <v>0</v>
      </c>
      <c r="H214" s="25">
        <f>ROUND($D214*CLS_Inc*VLOOKUP($A214,'K3 District Data as of Jan 2025'!$A$3:$M$323,MATCH("Reg base",'K3 District Data as of Jan 2025'!$2:$2,0),FALSE),2)-G214</f>
        <v>0</v>
      </c>
      <c r="I214" s="25">
        <f t="shared" si="22"/>
        <v>0</v>
      </c>
      <c r="J214" s="25">
        <f t="shared" si="23"/>
        <v>0</v>
      </c>
      <c r="K214" s="25">
        <f t="shared" si="24"/>
        <v>0</v>
      </c>
      <c r="L214" s="25">
        <f t="shared" si="25"/>
        <v>0</v>
      </c>
      <c r="M214" s="25">
        <f t="shared" si="26"/>
        <v>0</v>
      </c>
      <c r="N214" s="25">
        <f t="shared" si="27"/>
        <v>0</v>
      </c>
      <c r="O214" s="25">
        <f>ROUND(($C214*CIS_Inc*(VLOOKUP($A214,'K3 District Data as of Jan 2025'!$A$3:$M$323,MATCH("Reg",'K3 District Data as of Jan 2025'!$2:$2,0),FALSE)+VLOOKUP($A214,'K3 District Data as of Jan 2025'!$A$3:$M$323,MATCH("Exp",'K3 District Data as of Jan 2025'!$2:$2,0),FALSE))/180)*3+(($C214*CIS_Inc*(VLOOKUP($A214,'K3 District Data as of Jan 2025'!$A$3:$M$323,MATCH("Reg",'K3 District Data as of Jan 2025'!$2:$2,0),FALSE)+VLOOKUP($A214,'K3 District Data as of Jan 2025'!$A$3:$M$323,MATCH("Exp",'K3 District Data as of Jan 2025'!$2:$2,0),FALSE))/180)*3)*CIS_Ben_Inc,2)</f>
        <v>0</v>
      </c>
      <c r="P214" s="23">
        <f t="shared" si="28"/>
        <v>0</v>
      </c>
    </row>
    <row r="215" spans="1:16" x14ac:dyDescent="0.25">
      <c r="A215" t="s">
        <v>140</v>
      </c>
      <c r="B215" t="s">
        <v>436</v>
      </c>
      <c r="C215" s="33">
        <f>IF(VLOOKUP($A215,'Enroll Data as of January 2025'!$A$3:$T$322,20,FALSE)&gt;0,0,VLOOKUP($A215,'Enroll Data as of January 2025'!$A$3:$T$322,20,FALSE)*'2024-25 PSES Compliance'!$G$13)</f>
        <v>0</v>
      </c>
      <c r="D215" s="33">
        <f>IF(VLOOKUP($A215,'Enroll Data as of January 2025'!$A$3:$T$322,20,FALSE)&gt;0,0,VLOOKUP($A215,'Enroll Data as of January 2025'!$A$3:$T$322,20,FALSE)*'2024-25 PSES Compliance'!$G$14)</f>
        <v>0</v>
      </c>
      <c r="E215" s="25">
        <f>ROUND($C215*CIS_Base*VLOOKUP($A215,'K3 District Data as of Jan 2025'!$A$3:$M$323,MATCH("Reg base",'K3 District Data as of Jan 2025'!$2:$2,0),FALSE),2)</f>
        <v>0</v>
      </c>
      <c r="F215" s="25">
        <f>ROUND($C215*CIS_Inc*(VLOOKUP($A215,'K3 District Data as of Jan 2025'!$A$3:$M$323,MATCH("Reg",'K3 District Data as of Jan 2025'!$2:$2,0),FALSE)+VLOOKUP($A215,'K3 District Data as of Jan 2025'!$A$3:$M$323,MATCH("Exp",'K3 District Data as of Jan 2025'!$2:$2,0),FALSE)),2)-E215</f>
        <v>0</v>
      </c>
      <c r="G215" s="25">
        <f>ROUND($D215*CLS_Base*VLOOKUP($A215,'K3 District Data as of Jan 2025'!$A$3:$M$323,MATCH("Reg base",'K3 District Data as of Jan 2025'!$2:$2,0),FALSE),2)</f>
        <v>0</v>
      </c>
      <c r="H215" s="25">
        <f>ROUND($D215*CLS_Inc*VLOOKUP($A215,'K3 District Data as of Jan 2025'!$A$3:$M$323,MATCH("Reg base",'K3 District Data as of Jan 2025'!$2:$2,0),FALSE),2)-G215</f>
        <v>0</v>
      </c>
      <c r="I215" s="25">
        <f t="shared" si="22"/>
        <v>0</v>
      </c>
      <c r="J215" s="25">
        <f t="shared" si="23"/>
        <v>0</v>
      </c>
      <c r="K215" s="25">
        <f t="shared" si="24"/>
        <v>0</v>
      </c>
      <c r="L215" s="25">
        <f t="shared" si="25"/>
        <v>0</v>
      </c>
      <c r="M215" s="25">
        <f t="shared" si="26"/>
        <v>0</v>
      </c>
      <c r="N215" s="25">
        <f t="shared" si="27"/>
        <v>0</v>
      </c>
      <c r="O215" s="25">
        <f>ROUND(($C215*CIS_Inc*(VLOOKUP($A215,'K3 District Data as of Jan 2025'!$A$3:$M$323,MATCH("Reg",'K3 District Data as of Jan 2025'!$2:$2,0),FALSE)+VLOOKUP($A215,'K3 District Data as of Jan 2025'!$A$3:$M$323,MATCH("Exp",'K3 District Data as of Jan 2025'!$2:$2,0),FALSE))/180)*3+(($C215*CIS_Inc*(VLOOKUP($A215,'K3 District Data as of Jan 2025'!$A$3:$M$323,MATCH("Reg",'K3 District Data as of Jan 2025'!$2:$2,0),FALSE)+VLOOKUP($A215,'K3 District Data as of Jan 2025'!$A$3:$M$323,MATCH("Exp",'K3 District Data as of Jan 2025'!$2:$2,0),FALSE))/180)*3)*CIS_Ben_Inc,2)</f>
        <v>0</v>
      </c>
      <c r="P215" s="23">
        <f t="shared" si="28"/>
        <v>0</v>
      </c>
    </row>
    <row r="216" spans="1:16" x14ac:dyDescent="0.25">
      <c r="A216" t="s">
        <v>303</v>
      </c>
      <c r="B216" t="s">
        <v>599</v>
      </c>
      <c r="C216" s="33">
        <f>IF(VLOOKUP($A216,'Enroll Data as of January 2025'!$A$3:$T$322,20,FALSE)&gt;0,0,VLOOKUP($A216,'Enroll Data as of January 2025'!$A$3:$T$322,20,FALSE)*'2024-25 PSES Compliance'!$G$13)</f>
        <v>-0.72960000000000003</v>
      </c>
      <c r="D216" s="33">
        <f>IF(VLOOKUP($A216,'Enroll Data as of January 2025'!$A$3:$T$322,20,FALSE)&gt;0,0,VLOOKUP($A216,'Enroll Data as of January 2025'!$A$3:$T$322,20,FALSE)*'2024-25 PSES Compliance'!$G$14)</f>
        <v>-3.04E-2</v>
      </c>
      <c r="E216" s="25">
        <f>ROUND($C216*CIS_Base*VLOOKUP($A216,'K3 District Data as of Jan 2025'!$A$3:$M$323,MATCH("Reg base",'K3 District Data as of Jan 2025'!$2:$2,0),FALSE),2)</f>
        <v>-53062.35</v>
      </c>
      <c r="F216" s="25">
        <f>ROUND($C216*CIS_Inc*(VLOOKUP($A216,'K3 District Data as of Jan 2025'!$A$3:$M$323,MATCH("Reg",'K3 District Data as of Jan 2025'!$2:$2,0),FALSE)+VLOOKUP($A216,'K3 District Data as of Jan 2025'!$A$3:$M$323,MATCH("Exp",'K3 District Data as of Jan 2025'!$2:$2,0),FALSE)),2)-E216</f>
        <v>-3998.9400000000023</v>
      </c>
      <c r="G216" s="25">
        <f>ROUND($D216*CLS_Base*VLOOKUP($A216,'K3 District Data as of Jan 2025'!$A$3:$M$323,MATCH("Reg base",'K3 District Data as of Jan 2025'!$2:$2,0),FALSE),2)</f>
        <v>-1586.06</v>
      </c>
      <c r="H216" s="25">
        <f>ROUND($D216*CLS_Inc*VLOOKUP($A216,'K3 District Data as of Jan 2025'!$A$3:$M$323,MATCH("Reg base",'K3 District Data as of Jan 2025'!$2:$2,0),FALSE),2)-G216</f>
        <v>-119.52999999999997</v>
      </c>
      <c r="I216" s="25">
        <f t="shared" si="22"/>
        <v>-10519.9</v>
      </c>
      <c r="J216" s="25">
        <f t="shared" si="23"/>
        <v>-614.52</v>
      </c>
      <c r="K216" s="25">
        <f t="shared" si="24"/>
        <v>-9630.82</v>
      </c>
      <c r="L216" s="25">
        <f t="shared" si="25"/>
        <v>-9291.2199999999993</v>
      </c>
      <c r="M216" s="25">
        <f t="shared" si="26"/>
        <v>-343.54</v>
      </c>
      <c r="N216" s="25">
        <f t="shared" si="27"/>
        <v>-21.71</v>
      </c>
      <c r="O216" s="25">
        <f>ROUND(($C216*CIS_Inc*(VLOOKUP($A216,'K3 District Data as of Jan 2025'!$A$3:$M$323,MATCH("Reg",'K3 District Data as of Jan 2025'!$2:$2,0),FALSE)+VLOOKUP($A216,'K3 District Data as of Jan 2025'!$A$3:$M$323,MATCH("Exp",'K3 District Data as of Jan 2025'!$2:$2,0),FALSE))/180)*3+(($C216*CIS_Inc*(VLOOKUP($A216,'K3 District Data as of Jan 2025'!$A$3:$M$323,MATCH("Reg",'K3 District Data as of Jan 2025'!$2:$2,0),FALSE)+VLOOKUP($A216,'K3 District Data as of Jan 2025'!$A$3:$M$323,MATCH("Exp",'K3 District Data as of Jan 2025'!$2:$2,0),FALSE))/180)*3)*CIS_Ben_Inc,2)</f>
        <v>-1117.55</v>
      </c>
      <c r="P216" s="23">
        <f t="shared" si="28"/>
        <v>-90306.14</v>
      </c>
    </row>
    <row r="217" spans="1:16" x14ac:dyDescent="0.25">
      <c r="A217" t="s">
        <v>274</v>
      </c>
      <c r="B217" t="s">
        <v>570</v>
      </c>
      <c r="C217" s="33">
        <f>IF(VLOOKUP($A217,'Enroll Data as of January 2025'!$A$3:$T$322,20,FALSE)&gt;0,0,VLOOKUP($A217,'Enroll Data as of January 2025'!$A$3:$T$322,20,FALSE)*'2024-25 PSES Compliance'!$G$13)</f>
        <v>0</v>
      </c>
      <c r="D217" s="33">
        <f>IF(VLOOKUP($A217,'Enroll Data as of January 2025'!$A$3:$T$322,20,FALSE)&gt;0,0,VLOOKUP($A217,'Enroll Data as of January 2025'!$A$3:$T$322,20,FALSE)*'2024-25 PSES Compliance'!$G$14)</f>
        <v>0</v>
      </c>
      <c r="E217" s="25">
        <f>ROUND($C217*CIS_Base*VLOOKUP($A217,'K3 District Data as of Jan 2025'!$A$3:$M$323,MATCH("Reg base",'K3 District Data as of Jan 2025'!$2:$2,0),FALSE),2)</f>
        <v>0</v>
      </c>
      <c r="F217" s="25">
        <f>ROUND($C217*CIS_Inc*(VLOOKUP($A217,'K3 District Data as of Jan 2025'!$A$3:$M$323,MATCH("Reg",'K3 District Data as of Jan 2025'!$2:$2,0),FALSE)+VLOOKUP($A217,'K3 District Data as of Jan 2025'!$A$3:$M$323,MATCH("Exp",'K3 District Data as of Jan 2025'!$2:$2,0),FALSE)),2)-E217</f>
        <v>0</v>
      </c>
      <c r="G217" s="25">
        <f>ROUND($D217*CLS_Base*VLOOKUP($A217,'K3 District Data as of Jan 2025'!$A$3:$M$323,MATCH("Reg base",'K3 District Data as of Jan 2025'!$2:$2,0),FALSE),2)</f>
        <v>0</v>
      </c>
      <c r="H217" s="25">
        <f>ROUND($D217*CLS_Inc*VLOOKUP($A217,'K3 District Data as of Jan 2025'!$A$3:$M$323,MATCH("Reg base",'K3 District Data as of Jan 2025'!$2:$2,0),FALSE),2)-G217</f>
        <v>0</v>
      </c>
      <c r="I217" s="25">
        <f t="shared" si="22"/>
        <v>0</v>
      </c>
      <c r="J217" s="25">
        <f t="shared" si="23"/>
        <v>0</v>
      </c>
      <c r="K217" s="25">
        <f t="shared" si="24"/>
        <v>0</v>
      </c>
      <c r="L217" s="25">
        <f t="shared" si="25"/>
        <v>0</v>
      </c>
      <c r="M217" s="25">
        <f t="shared" si="26"/>
        <v>0</v>
      </c>
      <c r="N217" s="25">
        <f t="shared" si="27"/>
        <v>0</v>
      </c>
      <c r="O217" s="25">
        <f>ROUND(($C217*CIS_Inc*(VLOOKUP($A217,'K3 District Data as of Jan 2025'!$A$3:$M$323,MATCH("Reg",'K3 District Data as of Jan 2025'!$2:$2,0),FALSE)+VLOOKUP($A217,'K3 District Data as of Jan 2025'!$A$3:$M$323,MATCH("Exp",'K3 District Data as of Jan 2025'!$2:$2,0),FALSE))/180)*3+(($C217*CIS_Inc*(VLOOKUP($A217,'K3 District Data as of Jan 2025'!$A$3:$M$323,MATCH("Reg",'K3 District Data as of Jan 2025'!$2:$2,0),FALSE)+VLOOKUP($A217,'K3 District Data as of Jan 2025'!$A$3:$M$323,MATCH("Exp",'K3 District Data as of Jan 2025'!$2:$2,0),FALSE))/180)*3)*CIS_Ben_Inc,2)</f>
        <v>0</v>
      </c>
      <c r="P217" s="23">
        <f t="shared" si="28"/>
        <v>0</v>
      </c>
    </row>
    <row r="218" spans="1:16" x14ac:dyDescent="0.25">
      <c r="A218" t="s">
        <v>210</v>
      </c>
      <c r="B218" t="s">
        <v>505</v>
      </c>
      <c r="C218" s="33">
        <f>IF(VLOOKUP($A218,'Enroll Data as of January 2025'!$A$3:$T$322,20,FALSE)&gt;0,0,VLOOKUP($A218,'Enroll Data as of January 2025'!$A$3:$T$322,20,FALSE)*'2024-25 PSES Compliance'!$G$13)</f>
        <v>-0.11711999999999999</v>
      </c>
      <c r="D218" s="33">
        <f>IF(VLOOKUP($A218,'Enroll Data as of January 2025'!$A$3:$T$322,20,FALSE)&gt;0,0,VLOOKUP($A218,'Enroll Data as of January 2025'!$A$3:$T$322,20,FALSE)*'2024-25 PSES Compliance'!$G$14)</f>
        <v>-4.8799999999999998E-3</v>
      </c>
      <c r="E218" s="25">
        <f>ROUND($C218*CIS_Base*VLOOKUP($A218,'K3 District Data as of Jan 2025'!$A$3:$M$323,MATCH("Reg base",'K3 District Data as of Jan 2025'!$2:$2,0),FALSE),2)</f>
        <v>-9028.98</v>
      </c>
      <c r="F218" s="25">
        <f>ROUND($C218*CIS_Inc*(VLOOKUP($A218,'K3 District Data as of Jan 2025'!$A$3:$M$323,MATCH("Reg",'K3 District Data as of Jan 2025'!$2:$2,0),FALSE)+VLOOKUP($A218,'K3 District Data as of Jan 2025'!$A$3:$M$323,MATCH("Exp",'K3 District Data as of Jan 2025'!$2:$2,0),FALSE)),2)-E218</f>
        <v>-680.45000000000073</v>
      </c>
      <c r="G218" s="25">
        <f>ROUND($D218*CLS_Base*VLOOKUP($A218,'K3 District Data as of Jan 2025'!$A$3:$M$323,MATCH("Reg base",'K3 District Data as of Jan 2025'!$2:$2,0),FALSE),2)</f>
        <v>-269.88</v>
      </c>
      <c r="H218" s="25">
        <f>ROUND($D218*CLS_Inc*VLOOKUP($A218,'K3 District Data as of Jan 2025'!$A$3:$M$323,MATCH("Reg base",'K3 District Data as of Jan 2025'!$2:$2,0),FALSE),2)-G218</f>
        <v>-20.340000000000032</v>
      </c>
      <c r="I218" s="25">
        <f t="shared" si="22"/>
        <v>-1688.72</v>
      </c>
      <c r="J218" s="25">
        <f t="shared" si="23"/>
        <v>-98.65</v>
      </c>
      <c r="K218" s="25">
        <f t="shared" si="24"/>
        <v>-1638.76</v>
      </c>
      <c r="L218" s="25">
        <f t="shared" si="25"/>
        <v>-1580.97</v>
      </c>
      <c r="M218" s="25">
        <f t="shared" si="26"/>
        <v>-58.46</v>
      </c>
      <c r="N218" s="25">
        <f t="shared" si="27"/>
        <v>-3.69</v>
      </c>
      <c r="O218" s="25">
        <f>ROUND(($C218*CIS_Inc*(VLOOKUP($A218,'K3 District Data as of Jan 2025'!$A$3:$M$323,MATCH("Reg",'K3 District Data as of Jan 2025'!$2:$2,0),FALSE)+VLOOKUP($A218,'K3 District Data as of Jan 2025'!$A$3:$M$323,MATCH("Exp",'K3 District Data as of Jan 2025'!$2:$2,0),FALSE))/180)*3+(($C218*CIS_Inc*(VLOOKUP($A218,'K3 District Data as of Jan 2025'!$A$3:$M$323,MATCH("Reg",'K3 District Data as of Jan 2025'!$2:$2,0),FALSE)+VLOOKUP($A218,'K3 District Data as of Jan 2025'!$A$3:$M$323,MATCH("Exp",'K3 District Data as of Jan 2025'!$2:$2,0),FALSE))/180)*3)*CIS_Ben_Inc,2)</f>
        <v>-190.16</v>
      </c>
      <c r="P218" s="23">
        <f t="shared" si="28"/>
        <v>-15259.059999999998</v>
      </c>
    </row>
    <row r="219" spans="1:16" x14ac:dyDescent="0.25">
      <c r="A219" t="s">
        <v>208</v>
      </c>
      <c r="B219" t="s">
        <v>503</v>
      </c>
      <c r="C219" s="33">
        <f>IF(VLOOKUP($A219,'Enroll Data as of January 2025'!$A$3:$T$322,20,FALSE)&gt;0,0,VLOOKUP($A219,'Enroll Data as of January 2025'!$A$3:$T$322,20,FALSE)*'2024-25 PSES Compliance'!$G$13)</f>
        <v>0</v>
      </c>
      <c r="D219" s="33">
        <f>IF(VLOOKUP($A219,'Enroll Data as of January 2025'!$A$3:$T$322,20,FALSE)&gt;0,0,VLOOKUP($A219,'Enroll Data as of January 2025'!$A$3:$T$322,20,FALSE)*'2024-25 PSES Compliance'!$G$14)</f>
        <v>0</v>
      </c>
      <c r="E219" s="25">
        <f>ROUND($C219*CIS_Base*VLOOKUP($A219,'K3 District Data as of Jan 2025'!$A$3:$M$323,MATCH("Reg base",'K3 District Data as of Jan 2025'!$2:$2,0),FALSE),2)</f>
        <v>0</v>
      </c>
      <c r="F219" s="25">
        <f>ROUND($C219*CIS_Inc*(VLOOKUP($A219,'K3 District Data as of Jan 2025'!$A$3:$M$323,MATCH("Reg",'K3 District Data as of Jan 2025'!$2:$2,0),FALSE)+VLOOKUP($A219,'K3 District Data as of Jan 2025'!$A$3:$M$323,MATCH("Exp",'K3 District Data as of Jan 2025'!$2:$2,0),FALSE)),2)-E219</f>
        <v>0</v>
      </c>
      <c r="G219" s="25">
        <f>ROUND($D219*CLS_Base*VLOOKUP($A219,'K3 District Data as of Jan 2025'!$A$3:$M$323,MATCH("Reg base",'K3 District Data as of Jan 2025'!$2:$2,0),FALSE),2)</f>
        <v>0</v>
      </c>
      <c r="H219" s="25">
        <f>ROUND($D219*CLS_Inc*VLOOKUP($A219,'K3 District Data as of Jan 2025'!$A$3:$M$323,MATCH("Reg base",'K3 District Data as of Jan 2025'!$2:$2,0),FALSE),2)-G219</f>
        <v>0</v>
      </c>
      <c r="I219" s="25">
        <f t="shared" si="22"/>
        <v>0</v>
      </c>
      <c r="J219" s="25">
        <f t="shared" si="23"/>
        <v>0</v>
      </c>
      <c r="K219" s="25">
        <f t="shared" si="24"/>
        <v>0</v>
      </c>
      <c r="L219" s="25">
        <f t="shared" si="25"/>
        <v>0</v>
      </c>
      <c r="M219" s="25">
        <f t="shared" si="26"/>
        <v>0</v>
      </c>
      <c r="N219" s="25">
        <f t="shared" si="27"/>
        <v>0</v>
      </c>
      <c r="O219" s="25">
        <f>ROUND(($C219*CIS_Inc*(VLOOKUP($A219,'K3 District Data as of Jan 2025'!$A$3:$M$323,MATCH("Reg",'K3 District Data as of Jan 2025'!$2:$2,0),FALSE)+VLOOKUP($A219,'K3 District Data as of Jan 2025'!$A$3:$M$323,MATCH("Exp",'K3 District Data as of Jan 2025'!$2:$2,0),FALSE))/180)*3+(($C219*CIS_Inc*(VLOOKUP($A219,'K3 District Data as of Jan 2025'!$A$3:$M$323,MATCH("Reg",'K3 District Data as of Jan 2025'!$2:$2,0),FALSE)+VLOOKUP($A219,'K3 District Data as of Jan 2025'!$A$3:$M$323,MATCH("Exp",'K3 District Data as of Jan 2025'!$2:$2,0),FALSE))/180)*3)*CIS_Ben_Inc,2)</f>
        <v>0</v>
      </c>
      <c r="P219" s="23">
        <f t="shared" si="28"/>
        <v>0</v>
      </c>
    </row>
    <row r="220" spans="1:16" x14ac:dyDescent="0.25">
      <c r="A220" t="s">
        <v>115</v>
      </c>
      <c r="B220" t="s">
        <v>411</v>
      </c>
      <c r="C220" s="33">
        <f>IF(VLOOKUP($A220,'Enroll Data as of January 2025'!$A$3:$T$322,20,FALSE)&gt;0,0,VLOOKUP($A220,'Enroll Data as of January 2025'!$A$3:$T$322,20,FALSE)*'2024-25 PSES Compliance'!$G$13)</f>
        <v>0</v>
      </c>
      <c r="D220" s="33">
        <f>IF(VLOOKUP($A220,'Enroll Data as of January 2025'!$A$3:$T$322,20,FALSE)&gt;0,0,VLOOKUP($A220,'Enroll Data as of January 2025'!$A$3:$T$322,20,FALSE)*'2024-25 PSES Compliance'!$G$14)</f>
        <v>0</v>
      </c>
      <c r="E220" s="25">
        <f>ROUND($C220*CIS_Base*VLOOKUP($A220,'K3 District Data as of Jan 2025'!$A$3:$M$323,MATCH("Reg base",'K3 District Data as of Jan 2025'!$2:$2,0),FALSE),2)</f>
        <v>0</v>
      </c>
      <c r="F220" s="25">
        <f>ROUND($C220*CIS_Inc*(VLOOKUP($A220,'K3 District Data as of Jan 2025'!$A$3:$M$323,MATCH("Reg",'K3 District Data as of Jan 2025'!$2:$2,0),FALSE)+VLOOKUP($A220,'K3 District Data as of Jan 2025'!$A$3:$M$323,MATCH("Exp",'K3 District Data as of Jan 2025'!$2:$2,0),FALSE)),2)-E220</f>
        <v>0</v>
      </c>
      <c r="G220" s="25">
        <f>ROUND($D220*CLS_Base*VLOOKUP($A220,'K3 District Data as of Jan 2025'!$A$3:$M$323,MATCH("Reg base",'K3 District Data as of Jan 2025'!$2:$2,0),FALSE),2)</f>
        <v>0</v>
      </c>
      <c r="H220" s="25">
        <f>ROUND($D220*CLS_Inc*VLOOKUP($A220,'K3 District Data as of Jan 2025'!$A$3:$M$323,MATCH("Reg base",'K3 District Data as of Jan 2025'!$2:$2,0),FALSE),2)-G220</f>
        <v>0</v>
      </c>
      <c r="I220" s="25">
        <f t="shared" si="22"/>
        <v>0</v>
      </c>
      <c r="J220" s="25">
        <f t="shared" si="23"/>
        <v>0</v>
      </c>
      <c r="K220" s="25">
        <f t="shared" si="24"/>
        <v>0</v>
      </c>
      <c r="L220" s="25">
        <f t="shared" si="25"/>
        <v>0</v>
      </c>
      <c r="M220" s="25">
        <f t="shared" si="26"/>
        <v>0</v>
      </c>
      <c r="N220" s="25">
        <f t="shared" si="27"/>
        <v>0</v>
      </c>
      <c r="O220" s="25">
        <f>ROUND(($C220*CIS_Inc*(VLOOKUP($A220,'K3 District Data as of Jan 2025'!$A$3:$M$323,MATCH("Reg",'K3 District Data as of Jan 2025'!$2:$2,0),FALSE)+VLOOKUP($A220,'K3 District Data as of Jan 2025'!$A$3:$M$323,MATCH("Exp",'K3 District Data as of Jan 2025'!$2:$2,0),FALSE))/180)*3+(($C220*CIS_Inc*(VLOOKUP($A220,'K3 District Data as of Jan 2025'!$A$3:$M$323,MATCH("Reg",'K3 District Data as of Jan 2025'!$2:$2,0),FALSE)+VLOOKUP($A220,'K3 District Data as of Jan 2025'!$A$3:$M$323,MATCH("Exp",'K3 District Data as of Jan 2025'!$2:$2,0),FALSE))/180)*3)*CIS_Ben_Inc,2)</f>
        <v>0</v>
      </c>
      <c r="P220" s="23">
        <f t="shared" si="28"/>
        <v>0</v>
      </c>
    </row>
    <row r="221" spans="1:16" x14ac:dyDescent="0.25">
      <c r="A221" t="s">
        <v>215</v>
      </c>
      <c r="B221" t="s">
        <v>510</v>
      </c>
      <c r="C221" s="33">
        <f>IF(VLOOKUP($A221,'Enroll Data as of January 2025'!$A$3:$T$322,20,FALSE)&gt;0,0,VLOOKUP($A221,'Enroll Data as of January 2025'!$A$3:$T$322,20,FALSE)*'2024-25 PSES Compliance'!$G$13)</f>
        <v>-2.9299200000000001</v>
      </c>
      <c r="D221" s="33">
        <f>IF(VLOOKUP($A221,'Enroll Data as of January 2025'!$A$3:$T$322,20,FALSE)&gt;0,0,VLOOKUP($A221,'Enroll Data as of January 2025'!$A$3:$T$322,20,FALSE)*'2024-25 PSES Compliance'!$G$14)</f>
        <v>-0.12208000000000001</v>
      </c>
      <c r="E221" s="25">
        <f>ROUND($C221*CIS_Base*VLOOKUP($A221,'K3 District Data as of Jan 2025'!$A$3:$M$323,MATCH("Reg base",'K3 District Data as of Jan 2025'!$2:$2,0),FALSE),2)</f>
        <v>-251442.92</v>
      </c>
      <c r="F221" s="25">
        <f>ROUND($C221*CIS_Inc*(VLOOKUP($A221,'K3 District Data as of Jan 2025'!$A$3:$M$323,MATCH("Reg",'K3 District Data as of Jan 2025'!$2:$2,0),FALSE)+VLOOKUP($A221,'K3 District Data as of Jan 2025'!$A$3:$M$323,MATCH("Exp",'K3 District Data as of Jan 2025'!$2:$2,0),FALSE)),2)-E221</f>
        <v>-18949.489999999962</v>
      </c>
      <c r="G221" s="25">
        <f>ROUND($D221*CLS_Base*VLOOKUP($A221,'K3 District Data as of Jan 2025'!$A$3:$M$323,MATCH("Reg base",'K3 District Data as of Jan 2025'!$2:$2,0),FALSE),2)</f>
        <v>-7515.75</v>
      </c>
      <c r="H221" s="25">
        <f>ROUND($D221*CLS_Inc*VLOOKUP($A221,'K3 District Data as of Jan 2025'!$A$3:$M$323,MATCH("Reg base",'K3 District Data as of Jan 2025'!$2:$2,0),FALSE),2)-G221</f>
        <v>-566.42000000000007</v>
      </c>
      <c r="I221" s="25">
        <f t="shared" si="22"/>
        <v>-42245.7</v>
      </c>
      <c r="J221" s="25">
        <f t="shared" si="23"/>
        <v>-2467.7800000000002</v>
      </c>
      <c r="K221" s="25">
        <f t="shared" si="24"/>
        <v>-45636.89</v>
      </c>
      <c r="L221" s="25">
        <f t="shared" si="25"/>
        <v>-44027.66</v>
      </c>
      <c r="M221" s="25">
        <f t="shared" si="26"/>
        <v>-1627.91</v>
      </c>
      <c r="N221" s="25">
        <f t="shared" si="27"/>
        <v>-102.86</v>
      </c>
      <c r="O221" s="25">
        <f>ROUND(($C221*CIS_Inc*(VLOOKUP($A221,'K3 District Data as of Jan 2025'!$A$3:$M$323,MATCH("Reg",'K3 District Data as of Jan 2025'!$2:$2,0),FALSE)+VLOOKUP($A221,'K3 District Data as of Jan 2025'!$A$3:$M$323,MATCH("Exp",'K3 District Data as of Jan 2025'!$2:$2,0),FALSE))/180)*3+(($C221*CIS_Inc*(VLOOKUP($A221,'K3 District Data as of Jan 2025'!$A$3:$M$323,MATCH("Reg",'K3 District Data as of Jan 2025'!$2:$2,0),FALSE)+VLOOKUP($A221,'K3 District Data as of Jan 2025'!$A$3:$M$323,MATCH("Exp",'K3 District Data as of Jan 2025'!$2:$2,0),FALSE))/180)*3)*CIS_Ben_Inc,2)</f>
        <v>-5295.64</v>
      </c>
      <c r="P221" s="23">
        <f t="shared" si="28"/>
        <v>-419879.01999999996</v>
      </c>
    </row>
    <row r="222" spans="1:16" x14ac:dyDescent="0.25">
      <c r="A222" t="s">
        <v>290</v>
      </c>
      <c r="B222" t="s">
        <v>586</v>
      </c>
      <c r="C222" s="33">
        <f>IF(VLOOKUP($A222,'Enroll Data as of January 2025'!$A$3:$T$322,20,FALSE)&gt;0,0,VLOOKUP($A222,'Enroll Data as of January 2025'!$A$3:$T$322,20,FALSE)*'2024-25 PSES Compliance'!$G$13)</f>
        <v>0</v>
      </c>
      <c r="D222" s="33">
        <f>IF(VLOOKUP($A222,'Enroll Data as of January 2025'!$A$3:$T$322,20,FALSE)&gt;0,0,VLOOKUP($A222,'Enroll Data as of January 2025'!$A$3:$T$322,20,FALSE)*'2024-25 PSES Compliance'!$G$14)</f>
        <v>0</v>
      </c>
      <c r="E222" s="25">
        <f>ROUND($C222*CIS_Base*VLOOKUP($A222,'K3 District Data as of Jan 2025'!$A$3:$M$323,MATCH("Reg base",'K3 District Data as of Jan 2025'!$2:$2,0),FALSE),2)</f>
        <v>0</v>
      </c>
      <c r="F222" s="25">
        <f>ROUND($C222*CIS_Inc*(VLOOKUP($A222,'K3 District Data as of Jan 2025'!$A$3:$M$323,MATCH("Reg",'K3 District Data as of Jan 2025'!$2:$2,0),FALSE)+VLOOKUP($A222,'K3 District Data as of Jan 2025'!$A$3:$M$323,MATCH("Exp",'K3 District Data as of Jan 2025'!$2:$2,0),FALSE)),2)-E222</f>
        <v>0</v>
      </c>
      <c r="G222" s="25">
        <f>ROUND($D222*CLS_Base*VLOOKUP($A222,'K3 District Data as of Jan 2025'!$A$3:$M$323,MATCH("Reg base",'K3 District Data as of Jan 2025'!$2:$2,0),FALSE),2)</f>
        <v>0</v>
      </c>
      <c r="H222" s="25">
        <f>ROUND($D222*CLS_Inc*VLOOKUP($A222,'K3 District Data as of Jan 2025'!$A$3:$M$323,MATCH("Reg base",'K3 District Data as of Jan 2025'!$2:$2,0),FALSE),2)-G222</f>
        <v>0</v>
      </c>
      <c r="I222" s="25">
        <f t="shared" si="22"/>
        <v>0</v>
      </c>
      <c r="J222" s="25">
        <f t="shared" si="23"/>
        <v>0</v>
      </c>
      <c r="K222" s="25">
        <f t="shared" si="24"/>
        <v>0</v>
      </c>
      <c r="L222" s="25">
        <f t="shared" si="25"/>
        <v>0</v>
      </c>
      <c r="M222" s="25">
        <f t="shared" si="26"/>
        <v>0</v>
      </c>
      <c r="N222" s="25">
        <f t="shared" si="27"/>
        <v>0</v>
      </c>
      <c r="O222" s="25">
        <f>ROUND(($C222*CIS_Inc*(VLOOKUP($A222,'K3 District Data as of Jan 2025'!$A$3:$M$323,MATCH("Reg",'K3 District Data as of Jan 2025'!$2:$2,0),FALSE)+VLOOKUP($A222,'K3 District Data as of Jan 2025'!$A$3:$M$323,MATCH("Exp",'K3 District Data as of Jan 2025'!$2:$2,0),FALSE))/180)*3+(($C222*CIS_Inc*(VLOOKUP($A222,'K3 District Data as of Jan 2025'!$A$3:$M$323,MATCH("Reg",'K3 District Data as of Jan 2025'!$2:$2,0),FALSE)+VLOOKUP($A222,'K3 District Data as of Jan 2025'!$A$3:$M$323,MATCH("Exp",'K3 District Data as of Jan 2025'!$2:$2,0),FALSE))/180)*3)*CIS_Ben_Inc,2)</f>
        <v>0</v>
      </c>
      <c r="P222" s="23">
        <f t="shared" si="28"/>
        <v>0</v>
      </c>
    </row>
    <row r="223" spans="1:16" x14ac:dyDescent="0.25">
      <c r="A223" t="s">
        <v>166</v>
      </c>
      <c r="B223" t="s">
        <v>462</v>
      </c>
      <c r="C223" s="33">
        <f>IF(VLOOKUP($A223,'Enroll Data as of January 2025'!$A$3:$T$322,20,FALSE)&gt;0,0,VLOOKUP($A223,'Enroll Data as of January 2025'!$A$3:$T$322,20,FALSE)*'2024-25 PSES Compliance'!$G$13)</f>
        <v>0</v>
      </c>
      <c r="D223" s="33">
        <f>IF(VLOOKUP($A223,'Enroll Data as of January 2025'!$A$3:$T$322,20,FALSE)&gt;0,0,VLOOKUP($A223,'Enroll Data as of January 2025'!$A$3:$T$322,20,FALSE)*'2024-25 PSES Compliance'!$G$14)</f>
        <v>0</v>
      </c>
      <c r="E223" s="25">
        <f>ROUND($C223*CIS_Base*VLOOKUP($A223,'K3 District Data as of Jan 2025'!$A$3:$M$323,MATCH("Reg base",'K3 District Data as of Jan 2025'!$2:$2,0),FALSE),2)</f>
        <v>0</v>
      </c>
      <c r="F223" s="25">
        <f>ROUND($C223*CIS_Inc*(VLOOKUP($A223,'K3 District Data as of Jan 2025'!$A$3:$M$323,MATCH("Reg",'K3 District Data as of Jan 2025'!$2:$2,0),FALSE)+VLOOKUP($A223,'K3 District Data as of Jan 2025'!$A$3:$M$323,MATCH("Exp",'K3 District Data as of Jan 2025'!$2:$2,0),FALSE)),2)-E223</f>
        <v>0</v>
      </c>
      <c r="G223" s="25">
        <f>ROUND($D223*CLS_Base*VLOOKUP($A223,'K3 District Data as of Jan 2025'!$A$3:$M$323,MATCH("Reg base",'K3 District Data as of Jan 2025'!$2:$2,0),FALSE),2)</f>
        <v>0</v>
      </c>
      <c r="H223" s="25">
        <f>ROUND($D223*CLS_Inc*VLOOKUP($A223,'K3 District Data as of Jan 2025'!$A$3:$M$323,MATCH("Reg base",'K3 District Data as of Jan 2025'!$2:$2,0),FALSE),2)-G223</f>
        <v>0</v>
      </c>
      <c r="I223" s="25">
        <f t="shared" si="22"/>
        <v>0</v>
      </c>
      <c r="J223" s="25">
        <f t="shared" si="23"/>
        <v>0</v>
      </c>
      <c r="K223" s="25">
        <f t="shared" si="24"/>
        <v>0</v>
      </c>
      <c r="L223" s="25">
        <f t="shared" si="25"/>
        <v>0</v>
      </c>
      <c r="M223" s="25">
        <f t="shared" si="26"/>
        <v>0</v>
      </c>
      <c r="N223" s="25">
        <f t="shared" si="27"/>
        <v>0</v>
      </c>
      <c r="O223" s="25">
        <f>ROUND(($C223*CIS_Inc*(VLOOKUP($A223,'K3 District Data as of Jan 2025'!$A$3:$M$323,MATCH("Reg",'K3 District Data as of Jan 2025'!$2:$2,0),FALSE)+VLOOKUP($A223,'K3 District Data as of Jan 2025'!$A$3:$M$323,MATCH("Exp",'K3 District Data as of Jan 2025'!$2:$2,0),FALSE))/180)*3+(($C223*CIS_Inc*(VLOOKUP($A223,'K3 District Data as of Jan 2025'!$A$3:$M$323,MATCH("Reg",'K3 District Data as of Jan 2025'!$2:$2,0),FALSE)+VLOOKUP($A223,'K3 District Data as of Jan 2025'!$A$3:$M$323,MATCH("Exp",'K3 District Data as of Jan 2025'!$2:$2,0),FALSE))/180)*3)*CIS_Ben_Inc,2)</f>
        <v>0</v>
      </c>
      <c r="P223" s="23">
        <f t="shared" si="28"/>
        <v>0</v>
      </c>
    </row>
    <row r="224" spans="1:16" x14ac:dyDescent="0.25">
      <c r="A224" t="s">
        <v>180</v>
      </c>
      <c r="B224" t="s">
        <v>476</v>
      </c>
      <c r="C224" s="33">
        <f>IF(VLOOKUP($A224,'Enroll Data as of January 2025'!$A$3:$T$322,20,FALSE)&gt;0,0,VLOOKUP($A224,'Enroll Data as of January 2025'!$A$3:$T$322,20,FALSE)*'2024-25 PSES Compliance'!$G$13)</f>
        <v>0</v>
      </c>
      <c r="D224" s="33">
        <f>IF(VLOOKUP($A224,'Enroll Data as of January 2025'!$A$3:$T$322,20,FALSE)&gt;0,0,VLOOKUP($A224,'Enroll Data as of January 2025'!$A$3:$T$322,20,FALSE)*'2024-25 PSES Compliance'!$G$14)</f>
        <v>0</v>
      </c>
      <c r="E224" s="25">
        <f>ROUND($C224*CIS_Base*VLOOKUP($A224,'K3 District Data as of Jan 2025'!$A$3:$M$323,MATCH("Reg base",'K3 District Data as of Jan 2025'!$2:$2,0),FALSE),2)</f>
        <v>0</v>
      </c>
      <c r="F224" s="25">
        <f>ROUND($C224*CIS_Inc*(VLOOKUP($A224,'K3 District Data as of Jan 2025'!$A$3:$M$323,MATCH("Reg",'K3 District Data as of Jan 2025'!$2:$2,0),FALSE)+VLOOKUP($A224,'K3 District Data as of Jan 2025'!$A$3:$M$323,MATCH("Exp",'K3 District Data as of Jan 2025'!$2:$2,0),FALSE)),2)-E224</f>
        <v>0</v>
      </c>
      <c r="G224" s="25">
        <f>ROUND($D224*CLS_Base*VLOOKUP($A224,'K3 District Data as of Jan 2025'!$A$3:$M$323,MATCH("Reg base",'K3 District Data as of Jan 2025'!$2:$2,0),FALSE),2)</f>
        <v>0</v>
      </c>
      <c r="H224" s="25">
        <f>ROUND($D224*CLS_Inc*VLOOKUP($A224,'K3 District Data as of Jan 2025'!$A$3:$M$323,MATCH("Reg base",'K3 District Data as of Jan 2025'!$2:$2,0),FALSE),2)-G224</f>
        <v>0</v>
      </c>
      <c r="I224" s="25">
        <f t="shared" si="22"/>
        <v>0</v>
      </c>
      <c r="J224" s="25">
        <f t="shared" si="23"/>
        <v>0</v>
      </c>
      <c r="K224" s="25">
        <f t="shared" si="24"/>
        <v>0</v>
      </c>
      <c r="L224" s="25">
        <f t="shared" si="25"/>
        <v>0</v>
      </c>
      <c r="M224" s="25">
        <f t="shared" si="26"/>
        <v>0</v>
      </c>
      <c r="N224" s="25">
        <f t="shared" si="27"/>
        <v>0</v>
      </c>
      <c r="O224" s="25">
        <f>ROUND(($C224*CIS_Inc*(VLOOKUP($A224,'K3 District Data as of Jan 2025'!$A$3:$M$323,MATCH("Reg",'K3 District Data as of Jan 2025'!$2:$2,0),FALSE)+VLOOKUP($A224,'K3 District Data as of Jan 2025'!$A$3:$M$323,MATCH("Exp",'K3 District Data as of Jan 2025'!$2:$2,0),FALSE))/180)*3+(($C224*CIS_Inc*(VLOOKUP($A224,'K3 District Data as of Jan 2025'!$A$3:$M$323,MATCH("Reg",'K3 District Data as of Jan 2025'!$2:$2,0),FALSE)+VLOOKUP($A224,'K3 District Data as of Jan 2025'!$A$3:$M$323,MATCH("Exp",'K3 District Data as of Jan 2025'!$2:$2,0),FALSE))/180)*3)*CIS_Ben_Inc,2)</f>
        <v>0</v>
      </c>
      <c r="P224" s="23">
        <f t="shared" si="28"/>
        <v>0</v>
      </c>
    </row>
    <row r="225" spans="1:16" x14ac:dyDescent="0.25">
      <c r="A225" t="s">
        <v>229</v>
      </c>
      <c r="B225" t="s">
        <v>525</v>
      </c>
      <c r="C225" s="33">
        <f>IF(VLOOKUP($A225,'Enroll Data as of January 2025'!$A$3:$T$322,20,FALSE)&gt;0,0,VLOOKUP($A225,'Enroll Data as of January 2025'!$A$3:$T$322,20,FALSE)*'2024-25 PSES Compliance'!$G$13)</f>
        <v>0</v>
      </c>
      <c r="D225" s="33">
        <f>IF(VLOOKUP($A225,'Enroll Data as of January 2025'!$A$3:$T$322,20,FALSE)&gt;0,0,VLOOKUP($A225,'Enroll Data as of January 2025'!$A$3:$T$322,20,FALSE)*'2024-25 PSES Compliance'!$G$14)</f>
        <v>0</v>
      </c>
      <c r="E225" s="25">
        <f>ROUND($C225*CIS_Base*VLOOKUP($A225,'K3 District Data as of Jan 2025'!$A$3:$M$323,MATCH("Reg base",'K3 District Data as of Jan 2025'!$2:$2,0),FALSE),2)</f>
        <v>0</v>
      </c>
      <c r="F225" s="25">
        <f>ROUND($C225*CIS_Inc*(VLOOKUP($A225,'K3 District Data as of Jan 2025'!$A$3:$M$323,MATCH("Reg",'K3 District Data as of Jan 2025'!$2:$2,0),FALSE)+VLOOKUP($A225,'K3 District Data as of Jan 2025'!$A$3:$M$323,MATCH("Exp",'K3 District Data as of Jan 2025'!$2:$2,0),FALSE)),2)-E225</f>
        <v>0</v>
      </c>
      <c r="G225" s="25">
        <f>ROUND($D225*CLS_Base*VLOOKUP($A225,'K3 District Data as of Jan 2025'!$A$3:$M$323,MATCH("Reg base",'K3 District Data as of Jan 2025'!$2:$2,0),FALSE),2)</f>
        <v>0</v>
      </c>
      <c r="H225" s="25">
        <f>ROUND($D225*CLS_Inc*VLOOKUP($A225,'K3 District Data as of Jan 2025'!$A$3:$M$323,MATCH("Reg base",'K3 District Data as of Jan 2025'!$2:$2,0),FALSE),2)-G225</f>
        <v>0</v>
      </c>
      <c r="I225" s="25">
        <f t="shared" si="22"/>
        <v>0</v>
      </c>
      <c r="J225" s="25">
        <f t="shared" si="23"/>
        <v>0</v>
      </c>
      <c r="K225" s="25">
        <f t="shared" si="24"/>
        <v>0</v>
      </c>
      <c r="L225" s="25">
        <f t="shared" si="25"/>
        <v>0</v>
      </c>
      <c r="M225" s="25">
        <f t="shared" si="26"/>
        <v>0</v>
      </c>
      <c r="N225" s="25">
        <f t="shared" si="27"/>
        <v>0</v>
      </c>
      <c r="O225" s="25">
        <f>ROUND(($C225*CIS_Inc*(VLOOKUP($A225,'K3 District Data as of Jan 2025'!$A$3:$M$323,MATCH("Reg",'K3 District Data as of Jan 2025'!$2:$2,0),FALSE)+VLOOKUP($A225,'K3 District Data as of Jan 2025'!$A$3:$M$323,MATCH("Exp",'K3 District Data as of Jan 2025'!$2:$2,0),FALSE))/180)*3+(($C225*CIS_Inc*(VLOOKUP($A225,'K3 District Data as of Jan 2025'!$A$3:$M$323,MATCH("Reg",'K3 District Data as of Jan 2025'!$2:$2,0),FALSE)+VLOOKUP($A225,'K3 District Data as of Jan 2025'!$A$3:$M$323,MATCH("Exp",'K3 District Data as of Jan 2025'!$2:$2,0),FALSE))/180)*3)*CIS_Ben_Inc,2)</f>
        <v>0</v>
      </c>
      <c r="P225" s="23">
        <f t="shared" si="28"/>
        <v>0</v>
      </c>
    </row>
    <row r="226" spans="1:16" x14ac:dyDescent="0.25">
      <c r="A226" t="s">
        <v>273</v>
      </c>
      <c r="B226" t="s">
        <v>569</v>
      </c>
      <c r="C226" s="33">
        <f>IF(VLOOKUP($A226,'Enroll Data as of January 2025'!$A$3:$T$322,20,FALSE)&gt;0,0,VLOOKUP($A226,'Enroll Data as of January 2025'!$A$3:$T$322,20,FALSE)*'2024-25 PSES Compliance'!$G$13)</f>
        <v>-1.6646399999999999</v>
      </c>
      <c r="D226" s="33">
        <f>IF(VLOOKUP($A226,'Enroll Data as of January 2025'!$A$3:$T$322,20,FALSE)&gt;0,0,VLOOKUP($A226,'Enroll Data as of January 2025'!$A$3:$T$322,20,FALSE)*'2024-25 PSES Compliance'!$G$14)</f>
        <v>-6.9360000000000005E-2</v>
      </c>
      <c r="E226" s="25">
        <f>ROUND($C226*CIS_Base*VLOOKUP($A226,'K3 District Data as of Jan 2025'!$A$3:$M$323,MATCH("Reg base",'K3 District Data as of Jan 2025'!$2:$2,0),FALSE),2)</f>
        <v>-128329.89</v>
      </c>
      <c r="F226" s="25">
        <f>ROUND($C226*CIS_Inc*(VLOOKUP($A226,'K3 District Data as of Jan 2025'!$A$3:$M$323,MATCH("Reg",'K3 District Data as of Jan 2025'!$2:$2,0),FALSE)+VLOOKUP($A226,'K3 District Data as of Jan 2025'!$A$3:$M$323,MATCH("Exp",'K3 District Data as of Jan 2025'!$2:$2,0),FALSE)),2)-E226</f>
        <v>-9671.3300000000017</v>
      </c>
      <c r="G226" s="25">
        <f>ROUND($D226*CLS_Base*VLOOKUP($A226,'K3 District Data as of Jan 2025'!$A$3:$M$323,MATCH("Reg base",'K3 District Data as of Jan 2025'!$2:$2,0),FALSE),2)</f>
        <v>-3835.84</v>
      </c>
      <c r="H226" s="25">
        <f>ROUND($D226*CLS_Inc*VLOOKUP($A226,'K3 District Data as of Jan 2025'!$A$3:$M$323,MATCH("Reg base",'K3 District Data as of Jan 2025'!$2:$2,0),FALSE),2)-G226</f>
        <v>-289.09000000000015</v>
      </c>
      <c r="I226" s="25">
        <f t="shared" si="22"/>
        <v>-24001.98</v>
      </c>
      <c r="J226" s="25">
        <f t="shared" si="23"/>
        <v>-1402.08</v>
      </c>
      <c r="K226" s="25">
        <f t="shared" si="24"/>
        <v>-23291.88</v>
      </c>
      <c r="L226" s="25">
        <f t="shared" si="25"/>
        <v>-22470.560000000001</v>
      </c>
      <c r="M226" s="25">
        <f t="shared" si="26"/>
        <v>-830.84</v>
      </c>
      <c r="N226" s="25">
        <f t="shared" si="27"/>
        <v>-52.5</v>
      </c>
      <c r="O226" s="25">
        <f>ROUND(($C226*CIS_Inc*(VLOOKUP($A226,'K3 District Data as of Jan 2025'!$A$3:$M$323,MATCH("Reg",'K3 District Data as of Jan 2025'!$2:$2,0),FALSE)+VLOOKUP($A226,'K3 District Data as of Jan 2025'!$A$3:$M$323,MATCH("Exp",'K3 District Data as of Jan 2025'!$2:$2,0),FALSE))/180)*3+(($C226*CIS_Inc*(VLOOKUP($A226,'K3 District Data as of Jan 2025'!$A$3:$M$323,MATCH("Reg",'K3 District Data as of Jan 2025'!$2:$2,0),FALSE)+VLOOKUP($A226,'K3 District Data as of Jan 2025'!$A$3:$M$323,MATCH("Exp",'K3 District Data as of Jan 2025'!$2:$2,0),FALSE))/180)*3)*CIS_Ben_Inc,2)</f>
        <v>-2702.75</v>
      </c>
      <c r="P226" s="23">
        <f t="shared" si="28"/>
        <v>-216878.74</v>
      </c>
    </row>
    <row r="227" spans="1:16" x14ac:dyDescent="0.25">
      <c r="A227" t="s">
        <v>61</v>
      </c>
      <c r="B227" t="s">
        <v>357</v>
      </c>
      <c r="C227" s="33">
        <f>IF(VLOOKUP($A227,'Enroll Data as of January 2025'!$A$3:$T$322,20,FALSE)&gt;0,0,VLOOKUP($A227,'Enroll Data as of January 2025'!$A$3:$T$322,20,FALSE)*'2024-25 PSES Compliance'!$G$13)</f>
        <v>0</v>
      </c>
      <c r="D227" s="33">
        <f>IF(VLOOKUP($A227,'Enroll Data as of January 2025'!$A$3:$T$322,20,FALSE)&gt;0,0,VLOOKUP($A227,'Enroll Data as of January 2025'!$A$3:$T$322,20,FALSE)*'2024-25 PSES Compliance'!$G$14)</f>
        <v>0</v>
      </c>
      <c r="E227" s="25">
        <f>ROUND($C227*CIS_Base*VLOOKUP($A227,'K3 District Data as of Jan 2025'!$A$3:$M$323,MATCH("Reg base",'K3 District Data as of Jan 2025'!$2:$2,0),FALSE),2)</f>
        <v>0</v>
      </c>
      <c r="F227" s="25">
        <f>ROUND($C227*CIS_Inc*(VLOOKUP($A227,'K3 District Data as of Jan 2025'!$A$3:$M$323,MATCH("Reg",'K3 District Data as of Jan 2025'!$2:$2,0),FALSE)+VLOOKUP($A227,'K3 District Data as of Jan 2025'!$A$3:$M$323,MATCH("Exp",'K3 District Data as of Jan 2025'!$2:$2,0),FALSE)),2)-E227</f>
        <v>0</v>
      </c>
      <c r="G227" s="25">
        <f>ROUND($D227*CLS_Base*VLOOKUP($A227,'K3 District Data as of Jan 2025'!$A$3:$M$323,MATCH("Reg base",'K3 District Data as of Jan 2025'!$2:$2,0),FALSE),2)</f>
        <v>0</v>
      </c>
      <c r="H227" s="25">
        <f>ROUND($D227*CLS_Inc*VLOOKUP($A227,'K3 District Data as of Jan 2025'!$A$3:$M$323,MATCH("Reg base",'K3 District Data as of Jan 2025'!$2:$2,0),FALSE),2)-G227</f>
        <v>0</v>
      </c>
      <c r="I227" s="25">
        <f t="shared" si="22"/>
        <v>0</v>
      </c>
      <c r="J227" s="25">
        <f t="shared" si="23"/>
        <v>0</v>
      </c>
      <c r="K227" s="25">
        <f t="shared" si="24"/>
        <v>0</v>
      </c>
      <c r="L227" s="25">
        <f t="shared" si="25"/>
        <v>0</v>
      </c>
      <c r="M227" s="25">
        <f t="shared" si="26"/>
        <v>0</v>
      </c>
      <c r="N227" s="25">
        <f t="shared" si="27"/>
        <v>0</v>
      </c>
      <c r="O227" s="25">
        <f>ROUND(($C227*CIS_Inc*(VLOOKUP($A227,'K3 District Data as of Jan 2025'!$A$3:$M$323,MATCH("Reg",'K3 District Data as of Jan 2025'!$2:$2,0),FALSE)+VLOOKUP($A227,'K3 District Data as of Jan 2025'!$A$3:$M$323,MATCH("Exp",'K3 District Data as of Jan 2025'!$2:$2,0),FALSE))/180)*3+(($C227*CIS_Inc*(VLOOKUP($A227,'K3 District Data as of Jan 2025'!$A$3:$M$323,MATCH("Reg",'K3 District Data as of Jan 2025'!$2:$2,0),FALSE)+VLOOKUP($A227,'K3 District Data as of Jan 2025'!$A$3:$M$323,MATCH("Exp",'K3 District Data as of Jan 2025'!$2:$2,0),FALSE))/180)*3)*CIS_Ben_Inc,2)</f>
        <v>0</v>
      </c>
      <c r="P227" s="23">
        <f t="shared" si="28"/>
        <v>0</v>
      </c>
    </row>
    <row r="228" spans="1:16" x14ac:dyDescent="0.25">
      <c r="A228" t="s">
        <v>118</v>
      </c>
      <c r="B228" t="s">
        <v>414</v>
      </c>
      <c r="C228" s="33">
        <f>IF(VLOOKUP($A228,'Enroll Data as of January 2025'!$A$3:$T$322,20,FALSE)&gt;0,0,VLOOKUP($A228,'Enroll Data as of January 2025'!$A$3:$T$322,20,FALSE)*'2024-25 PSES Compliance'!$G$13)</f>
        <v>0</v>
      </c>
      <c r="D228" s="33">
        <f>IF(VLOOKUP($A228,'Enroll Data as of January 2025'!$A$3:$T$322,20,FALSE)&gt;0,0,VLOOKUP($A228,'Enroll Data as of January 2025'!$A$3:$T$322,20,FALSE)*'2024-25 PSES Compliance'!$G$14)</f>
        <v>0</v>
      </c>
      <c r="E228" s="25">
        <f>ROUND($C228*CIS_Base*VLOOKUP($A228,'K3 District Data as of Jan 2025'!$A$3:$M$323,MATCH("Reg base",'K3 District Data as of Jan 2025'!$2:$2,0),FALSE),2)</f>
        <v>0</v>
      </c>
      <c r="F228" s="25">
        <f>ROUND($C228*CIS_Inc*(VLOOKUP($A228,'K3 District Data as of Jan 2025'!$A$3:$M$323,MATCH("Reg",'K3 District Data as of Jan 2025'!$2:$2,0),FALSE)+VLOOKUP($A228,'K3 District Data as of Jan 2025'!$A$3:$M$323,MATCH("Exp",'K3 District Data as of Jan 2025'!$2:$2,0),FALSE)),2)-E228</f>
        <v>0</v>
      </c>
      <c r="G228" s="25">
        <f>ROUND($D228*CLS_Base*VLOOKUP($A228,'K3 District Data as of Jan 2025'!$A$3:$M$323,MATCH("Reg base",'K3 District Data as of Jan 2025'!$2:$2,0),FALSE),2)</f>
        <v>0</v>
      </c>
      <c r="H228" s="25">
        <f>ROUND($D228*CLS_Inc*VLOOKUP($A228,'K3 District Data as of Jan 2025'!$A$3:$M$323,MATCH("Reg base",'K3 District Data as of Jan 2025'!$2:$2,0),FALSE),2)-G228</f>
        <v>0</v>
      </c>
      <c r="I228" s="25">
        <f t="shared" si="22"/>
        <v>0</v>
      </c>
      <c r="J228" s="25">
        <f t="shared" si="23"/>
        <v>0</v>
      </c>
      <c r="K228" s="25">
        <f t="shared" si="24"/>
        <v>0</v>
      </c>
      <c r="L228" s="25">
        <f t="shared" si="25"/>
        <v>0</v>
      </c>
      <c r="M228" s="25">
        <f t="shared" si="26"/>
        <v>0</v>
      </c>
      <c r="N228" s="25">
        <f t="shared" si="27"/>
        <v>0</v>
      </c>
      <c r="O228" s="25">
        <f>ROUND(($C228*CIS_Inc*(VLOOKUP($A228,'K3 District Data as of Jan 2025'!$A$3:$M$323,MATCH("Reg",'K3 District Data as of Jan 2025'!$2:$2,0),FALSE)+VLOOKUP($A228,'K3 District Data as of Jan 2025'!$A$3:$M$323,MATCH("Exp",'K3 District Data as of Jan 2025'!$2:$2,0),FALSE))/180)*3+(($C228*CIS_Inc*(VLOOKUP($A228,'K3 District Data as of Jan 2025'!$A$3:$M$323,MATCH("Reg",'K3 District Data as of Jan 2025'!$2:$2,0),FALSE)+VLOOKUP($A228,'K3 District Data as of Jan 2025'!$A$3:$M$323,MATCH("Exp",'K3 District Data as of Jan 2025'!$2:$2,0),FALSE))/180)*3)*CIS_Ben_Inc,2)</f>
        <v>0</v>
      </c>
      <c r="P228" s="23">
        <f t="shared" si="28"/>
        <v>0</v>
      </c>
    </row>
    <row r="229" spans="1:16" x14ac:dyDescent="0.25">
      <c r="A229" t="s">
        <v>164</v>
      </c>
      <c r="B229" t="s">
        <v>460</v>
      </c>
      <c r="C229" s="33">
        <f>IF(VLOOKUP($A229,'Enroll Data as of January 2025'!$A$3:$T$322,20,FALSE)&gt;0,0,VLOOKUP($A229,'Enroll Data as of January 2025'!$A$3:$T$322,20,FALSE)*'2024-25 PSES Compliance'!$G$13)</f>
        <v>0</v>
      </c>
      <c r="D229" s="33">
        <f>IF(VLOOKUP($A229,'Enroll Data as of January 2025'!$A$3:$T$322,20,FALSE)&gt;0,0,VLOOKUP($A229,'Enroll Data as of January 2025'!$A$3:$T$322,20,FALSE)*'2024-25 PSES Compliance'!$G$14)</f>
        <v>0</v>
      </c>
      <c r="E229" s="25">
        <f>ROUND($C229*CIS_Base*VLOOKUP($A229,'K3 District Data as of Jan 2025'!$A$3:$M$323,MATCH("Reg base",'K3 District Data as of Jan 2025'!$2:$2,0),FALSE),2)</f>
        <v>0</v>
      </c>
      <c r="F229" s="25">
        <f>ROUND($C229*CIS_Inc*(VLOOKUP($A229,'K3 District Data as of Jan 2025'!$A$3:$M$323,MATCH("Reg",'K3 District Data as of Jan 2025'!$2:$2,0),FALSE)+VLOOKUP($A229,'K3 District Data as of Jan 2025'!$A$3:$M$323,MATCH("Exp",'K3 District Data as of Jan 2025'!$2:$2,0),FALSE)),2)-E229</f>
        <v>0</v>
      </c>
      <c r="G229" s="25">
        <f>ROUND($D229*CLS_Base*VLOOKUP($A229,'K3 District Data as of Jan 2025'!$A$3:$M$323,MATCH("Reg base",'K3 District Data as of Jan 2025'!$2:$2,0),FALSE),2)</f>
        <v>0</v>
      </c>
      <c r="H229" s="25">
        <f>ROUND($D229*CLS_Inc*VLOOKUP($A229,'K3 District Data as of Jan 2025'!$A$3:$M$323,MATCH("Reg base",'K3 District Data as of Jan 2025'!$2:$2,0),FALSE),2)-G229</f>
        <v>0</v>
      </c>
      <c r="I229" s="25">
        <f t="shared" si="22"/>
        <v>0</v>
      </c>
      <c r="J229" s="25">
        <f t="shared" si="23"/>
        <v>0</v>
      </c>
      <c r="K229" s="25">
        <f t="shared" si="24"/>
        <v>0</v>
      </c>
      <c r="L229" s="25">
        <f t="shared" si="25"/>
        <v>0</v>
      </c>
      <c r="M229" s="25">
        <f t="shared" si="26"/>
        <v>0</v>
      </c>
      <c r="N229" s="25">
        <f t="shared" si="27"/>
        <v>0</v>
      </c>
      <c r="O229" s="25">
        <f>ROUND(($C229*CIS_Inc*(VLOOKUP($A229,'K3 District Data as of Jan 2025'!$A$3:$M$323,MATCH("Reg",'K3 District Data as of Jan 2025'!$2:$2,0),FALSE)+VLOOKUP($A229,'K3 District Data as of Jan 2025'!$A$3:$M$323,MATCH("Exp",'K3 District Data as of Jan 2025'!$2:$2,0),FALSE))/180)*3+(($C229*CIS_Inc*(VLOOKUP($A229,'K3 District Data as of Jan 2025'!$A$3:$M$323,MATCH("Reg",'K3 District Data as of Jan 2025'!$2:$2,0),FALSE)+VLOOKUP($A229,'K3 District Data as of Jan 2025'!$A$3:$M$323,MATCH("Exp",'K3 District Data as of Jan 2025'!$2:$2,0),FALSE))/180)*3)*CIS_Ben_Inc,2)</f>
        <v>0</v>
      </c>
      <c r="P229" s="23">
        <f t="shared" si="28"/>
        <v>0</v>
      </c>
    </row>
    <row r="230" spans="1:16" x14ac:dyDescent="0.25">
      <c r="A230" t="s">
        <v>253</v>
      </c>
      <c r="B230" t="s">
        <v>549</v>
      </c>
      <c r="C230" s="33">
        <f>IF(VLOOKUP($A230,'Enroll Data as of January 2025'!$A$3:$T$322,20,FALSE)&gt;0,0,VLOOKUP($A230,'Enroll Data as of January 2025'!$A$3:$T$322,20,FALSE)*'2024-25 PSES Compliance'!$G$13)</f>
        <v>0</v>
      </c>
      <c r="D230" s="33">
        <f>IF(VLOOKUP($A230,'Enroll Data as of January 2025'!$A$3:$T$322,20,FALSE)&gt;0,0,VLOOKUP($A230,'Enroll Data as of January 2025'!$A$3:$T$322,20,FALSE)*'2024-25 PSES Compliance'!$G$14)</f>
        <v>0</v>
      </c>
      <c r="E230" s="25">
        <f>ROUND($C230*CIS_Base*VLOOKUP($A230,'K3 District Data as of Jan 2025'!$A$3:$M$323,MATCH("Reg base",'K3 District Data as of Jan 2025'!$2:$2,0),FALSE),2)</f>
        <v>0</v>
      </c>
      <c r="F230" s="25">
        <f>ROUND($C230*CIS_Inc*(VLOOKUP($A230,'K3 District Data as of Jan 2025'!$A$3:$M$323,MATCH("Reg",'K3 District Data as of Jan 2025'!$2:$2,0),FALSE)+VLOOKUP($A230,'K3 District Data as of Jan 2025'!$A$3:$M$323,MATCH("Exp",'K3 District Data as of Jan 2025'!$2:$2,0),FALSE)),2)-E230</f>
        <v>0</v>
      </c>
      <c r="G230" s="25">
        <f>ROUND($D230*CLS_Base*VLOOKUP($A230,'K3 District Data as of Jan 2025'!$A$3:$M$323,MATCH("Reg base",'K3 District Data as of Jan 2025'!$2:$2,0),FALSE),2)</f>
        <v>0</v>
      </c>
      <c r="H230" s="25">
        <f>ROUND($D230*CLS_Inc*VLOOKUP($A230,'K3 District Data as of Jan 2025'!$A$3:$M$323,MATCH("Reg base",'K3 District Data as of Jan 2025'!$2:$2,0),FALSE),2)-G230</f>
        <v>0</v>
      </c>
      <c r="I230" s="25">
        <f t="shared" si="22"/>
        <v>0</v>
      </c>
      <c r="J230" s="25">
        <f t="shared" si="23"/>
        <v>0</v>
      </c>
      <c r="K230" s="25">
        <f t="shared" si="24"/>
        <v>0</v>
      </c>
      <c r="L230" s="25">
        <f t="shared" si="25"/>
        <v>0</v>
      </c>
      <c r="M230" s="25">
        <f t="shared" si="26"/>
        <v>0</v>
      </c>
      <c r="N230" s="25">
        <f t="shared" si="27"/>
        <v>0</v>
      </c>
      <c r="O230" s="25">
        <f>ROUND(($C230*CIS_Inc*(VLOOKUP($A230,'K3 District Data as of Jan 2025'!$A$3:$M$323,MATCH("Reg",'K3 District Data as of Jan 2025'!$2:$2,0),FALSE)+VLOOKUP($A230,'K3 District Data as of Jan 2025'!$A$3:$M$323,MATCH("Exp",'K3 District Data as of Jan 2025'!$2:$2,0),FALSE))/180)*3+(($C230*CIS_Inc*(VLOOKUP($A230,'K3 District Data as of Jan 2025'!$A$3:$M$323,MATCH("Reg",'K3 District Data as of Jan 2025'!$2:$2,0),FALSE)+VLOOKUP($A230,'K3 District Data as of Jan 2025'!$A$3:$M$323,MATCH("Exp",'K3 District Data as of Jan 2025'!$2:$2,0),FALSE))/180)*3)*CIS_Ben_Inc,2)</f>
        <v>0</v>
      </c>
      <c r="P230" s="23">
        <f t="shared" si="28"/>
        <v>0</v>
      </c>
    </row>
    <row r="231" spans="1:16" x14ac:dyDescent="0.25">
      <c r="A231" t="s">
        <v>114</v>
      </c>
      <c r="B231" t="s">
        <v>410</v>
      </c>
      <c r="C231" s="33">
        <f>IF(VLOOKUP($A231,'Enroll Data as of January 2025'!$A$3:$T$322,20,FALSE)&gt;0,0,VLOOKUP($A231,'Enroll Data as of January 2025'!$A$3:$T$322,20,FALSE)*'2024-25 PSES Compliance'!$G$13)</f>
        <v>0</v>
      </c>
      <c r="D231" s="33">
        <f>IF(VLOOKUP($A231,'Enroll Data as of January 2025'!$A$3:$T$322,20,FALSE)&gt;0,0,VLOOKUP($A231,'Enroll Data as of January 2025'!$A$3:$T$322,20,FALSE)*'2024-25 PSES Compliance'!$G$14)</f>
        <v>0</v>
      </c>
      <c r="E231" s="25">
        <f>ROUND($C231*CIS_Base*VLOOKUP($A231,'K3 District Data as of Jan 2025'!$A$3:$M$323,MATCH("Reg base",'K3 District Data as of Jan 2025'!$2:$2,0),FALSE),2)</f>
        <v>0</v>
      </c>
      <c r="F231" s="25">
        <f>ROUND($C231*CIS_Inc*(VLOOKUP($A231,'K3 District Data as of Jan 2025'!$A$3:$M$323,MATCH("Reg",'K3 District Data as of Jan 2025'!$2:$2,0),FALSE)+VLOOKUP($A231,'K3 District Data as of Jan 2025'!$A$3:$M$323,MATCH("Exp",'K3 District Data as of Jan 2025'!$2:$2,0),FALSE)),2)-E231</f>
        <v>0</v>
      </c>
      <c r="G231" s="25">
        <f>ROUND($D231*CLS_Base*VLOOKUP($A231,'K3 District Data as of Jan 2025'!$A$3:$M$323,MATCH("Reg base",'K3 District Data as of Jan 2025'!$2:$2,0),FALSE),2)</f>
        <v>0</v>
      </c>
      <c r="H231" s="25">
        <f>ROUND($D231*CLS_Inc*VLOOKUP($A231,'K3 District Data as of Jan 2025'!$A$3:$M$323,MATCH("Reg base",'K3 District Data as of Jan 2025'!$2:$2,0),FALSE),2)-G231</f>
        <v>0</v>
      </c>
      <c r="I231" s="25">
        <f t="shared" si="22"/>
        <v>0</v>
      </c>
      <c r="J231" s="25">
        <f t="shared" si="23"/>
        <v>0</v>
      </c>
      <c r="K231" s="25">
        <f t="shared" si="24"/>
        <v>0</v>
      </c>
      <c r="L231" s="25">
        <f t="shared" si="25"/>
        <v>0</v>
      </c>
      <c r="M231" s="25">
        <f t="shared" si="26"/>
        <v>0</v>
      </c>
      <c r="N231" s="25">
        <f t="shared" si="27"/>
        <v>0</v>
      </c>
      <c r="O231" s="25">
        <f>ROUND(($C231*CIS_Inc*(VLOOKUP($A231,'K3 District Data as of Jan 2025'!$A$3:$M$323,MATCH("Reg",'K3 District Data as of Jan 2025'!$2:$2,0),FALSE)+VLOOKUP($A231,'K3 District Data as of Jan 2025'!$A$3:$M$323,MATCH("Exp",'K3 District Data as of Jan 2025'!$2:$2,0),FALSE))/180)*3+(($C231*CIS_Inc*(VLOOKUP($A231,'K3 District Data as of Jan 2025'!$A$3:$M$323,MATCH("Reg",'K3 District Data as of Jan 2025'!$2:$2,0),FALSE)+VLOOKUP($A231,'K3 District Data as of Jan 2025'!$A$3:$M$323,MATCH("Exp",'K3 District Data as of Jan 2025'!$2:$2,0),FALSE))/180)*3)*CIS_Ben_Inc,2)</f>
        <v>0</v>
      </c>
      <c r="P231" s="23">
        <f t="shared" si="28"/>
        <v>0</v>
      </c>
    </row>
    <row r="232" spans="1:16" x14ac:dyDescent="0.25">
      <c r="A232" t="s">
        <v>88</v>
      </c>
      <c r="B232" t="s">
        <v>384</v>
      </c>
      <c r="C232" s="33">
        <f>IF(VLOOKUP($A232,'Enroll Data as of January 2025'!$A$3:$T$322,20,FALSE)&gt;0,0,VLOOKUP($A232,'Enroll Data as of January 2025'!$A$3:$T$322,20,FALSE)*'2024-25 PSES Compliance'!$G$13)</f>
        <v>0</v>
      </c>
      <c r="D232" s="33">
        <f>IF(VLOOKUP($A232,'Enroll Data as of January 2025'!$A$3:$T$322,20,FALSE)&gt;0,0,VLOOKUP($A232,'Enroll Data as of January 2025'!$A$3:$T$322,20,FALSE)*'2024-25 PSES Compliance'!$G$14)</f>
        <v>0</v>
      </c>
      <c r="E232" s="25">
        <f>ROUND($C232*CIS_Base*VLOOKUP($A232,'K3 District Data as of Jan 2025'!$A$3:$M$323,MATCH("Reg base",'K3 District Data as of Jan 2025'!$2:$2,0),FALSE),2)</f>
        <v>0</v>
      </c>
      <c r="F232" s="25">
        <f>ROUND($C232*CIS_Inc*(VLOOKUP($A232,'K3 District Data as of Jan 2025'!$A$3:$M$323,MATCH("Reg",'K3 District Data as of Jan 2025'!$2:$2,0),FALSE)+VLOOKUP($A232,'K3 District Data as of Jan 2025'!$A$3:$M$323,MATCH("Exp",'K3 District Data as of Jan 2025'!$2:$2,0),FALSE)),2)-E232</f>
        <v>0</v>
      </c>
      <c r="G232" s="25">
        <f>ROUND($D232*CLS_Base*VLOOKUP($A232,'K3 District Data as of Jan 2025'!$A$3:$M$323,MATCH("Reg base",'K3 District Data as of Jan 2025'!$2:$2,0),FALSE),2)</f>
        <v>0</v>
      </c>
      <c r="H232" s="25">
        <f>ROUND($D232*CLS_Inc*VLOOKUP($A232,'K3 District Data as of Jan 2025'!$A$3:$M$323,MATCH("Reg base",'K3 District Data as of Jan 2025'!$2:$2,0),FALSE),2)-G232</f>
        <v>0</v>
      </c>
      <c r="I232" s="25">
        <f t="shared" si="22"/>
        <v>0</v>
      </c>
      <c r="J232" s="25">
        <f t="shared" si="23"/>
        <v>0</v>
      </c>
      <c r="K232" s="25">
        <f t="shared" si="24"/>
        <v>0</v>
      </c>
      <c r="L232" s="25">
        <f t="shared" si="25"/>
        <v>0</v>
      </c>
      <c r="M232" s="25">
        <f t="shared" si="26"/>
        <v>0</v>
      </c>
      <c r="N232" s="25">
        <f t="shared" si="27"/>
        <v>0</v>
      </c>
      <c r="O232" s="25">
        <f>ROUND(($C232*CIS_Inc*(VLOOKUP($A232,'K3 District Data as of Jan 2025'!$A$3:$M$323,MATCH("Reg",'K3 District Data as of Jan 2025'!$2:$2,0),FALSE)+VLOOKUP($A232,'K3 District Data as of Jan 2025'!$A$3:$M$323,MATCH("Exp",'K3 District Data as of Jan 2025'!$2:$2,0),FALSE))/180)*3+(($C232*CIS_Inc*(VLOOKUP($A232,'K3 District Data as of Jan 2025'!$A$3:$M$323,MATCH("Reg",'K3 District Data as of Jan 2025'!$2:$2,0),FALSE)+VLOOKUP($A232,'K3 District Data as of Jan 2025'!$A$3:$M$323,MATCH("Exp",'K3 District Data as of Jan 2025'!$2:$2,0),FALSE))/180)*3)*CIS_Ben_Inc,2)</f>
        <v>0</v>
      </c>
      <c r="P232" s="23">
        <f t="shared" si="28"/>
        <v>0</v>
      </c>
    </row>
    <row r="233" spans="1:16" x14ac:dyDescent="0.25">
      <c r="A233" t="s">
        <v>288</v>
      </c>
      <c r="B233" t="s">
        <v>584</v>
      </c>
      <c r="C233" s="33">
        <f>IF(VLOOKUP($A233,'Enroll Data as of January 2025'!$A$3:$T$322,20,FALSE)&gt;0,0,VLOOKUP($A233,'Enroll Data as of January 2025'!$A$3:$T$322,20,FALSE)*'2024-25 PSES Compliance'!$G$13)</f>
        <v>0</v>
      </c>
      <c r="D233" s="33">
        <f>IF(VLOOKUP($A233,'Enroll Data as of January 2025'!$A$3:$T$322,20,FALSE)&gt;0,0,VLOOKUP($A233,'Enroll Data as of January 2025'!$A$3:$T$322,20,FALSE)*'2024-25 PSES Compliance'!$G$14)</f>
        <v>0</v>
      </c>
      <c r="E233" s="25">
        <f>ROUND($C233*CIS_Base*VLOOKUP($A233,'K3 District Data as of Jan 2025'!$A$3:$M$323,MATCH("Reg base",'K3 District Data as of Jan 2025'!$2:$2,0),FALSE),2)</f>
        <v>0</v>
      </c>
      <c r="F233" s="25">
        <f>ROUND($C233*CIS_Inc*(VLOOKUP($A233,'K3 District Data as of Jan 2025'!$A$3:$M$323,MATCH("Reg",'K3 District Data as of Jan 2025'!$2:$2,0),FALSE)+VLOOKUP($A233,'K3 District Data as of Jan 2025'!$A$3:$M$323,MATCH("Exp",'K3 District Data as of Jan 2025'!$2:$2,0),FALSE)),2)-E233</f>
        <v>0</v>
      </c>
      <c r="G233" s="25">
        <f>ROUND($D233*CLS_Base*VLOOKUP($A233,'K3 District Data as of Jan 2025'!$A$3:$M$323,MATCH("Reg base",'K3 District Data as of Jan 2025'!$2:$2,0),FALSE),2)</f>
        <v>0</v>
      </c>
      <c r="H233" s="25">
        <f>ROUND($D233*CLS_Inc*VLOOKUP($A233,'K3 District Data as of Jan 2025'!$A$3:$M$323,MATCH("Reg base",'K3 District Data as of Jan 2025'!$2:$2,0),FALSE),2)-G233</f>
        <v>0</v>
      </c>
      <c r="I233" s="25">
        <f t="shared" si="22"/>
        <v>0</v>
      </c>
      <c r="J233" s="25">
        <f t="shared" si="23"/>
        <v>0</v>
      </c>
      <c r="K233" s="25">
        <f t="shared" si="24"/>
        <v>0</v>
      </c>
      <c r="L233" s="25">
        <f t="shared" si="25"/>
        <v>0</v>
      </c>
      <c r="M233" s="25">
        <f t="shared" si="26"/>
        <v>0</v>
      </c>
      <c r="N233" s="25">
        <f t="shared" si="27"/>
        <v>0</v>
      </c>
      <c r="O233" s="25">
        <f>ROUND(($C233*CIS_Inc*(VLOOKUP($A233,'K3 District Data as of Jan 2025'!$A$3:$M$323,MATCH("Reg",'K3 District Data as of Jan 2025'!$2:$2,0),FALSE)+VLOOKUP($A233,'K3 District Data as of Jan 2025'!$A$3:$M$323,MATCH("Exp",'K3 District Data as of Jan 2025'!$2:$2,0),FALSE))/180)*3+(($C233*CIS_Inc*(VLOOKUP($A233,'K3 District Data as of Jan 2025'!$A$3:$M$323,MATCH("Reg",'K3 District Data as of Jan 2025'!$2:$2,0),FALSE)+VLOOKUP($A233,'K3 District Data as of Jan 2025'!$A$3:$M$323,MATCH("Exp",'K3 District Data as of Jan 2025'!$2:$2,0),FALSE))/180)*3)*CIS_Ben_Inc,2)</f>
        <v>0</v>
      </c>
      <c r="P233" s="23">
        <f t="shared" si="28"/>
        <v>0</v>
      </c>
    </row>
    <row r="234" spans="1:16" x14ac:dyDescent="0.25">
      <c r="A234" t="s">
        <v>87</v>
      </c>
      <c r="B234" t="s">
        <v>383</v>
      </c>
      <c r="C234" s="33">
        <f>IF(VLOOKUP($A234,'Enroll Data as of January 2025'!$A$3:$T$322,20,FALSE)&gt;0,0,VLOOKUP($A234,'Enroll Data as of January 2025'!$A$3:$T$322,20,FALSE)*'2024-25 PSES Compliance'!$G$13)</f>
        <v>0</v>
      </c>
      <c r="D234" s="33">
        <f>IF(VLOOKUP($A234,'Enroll Data as of January 2025'!$A$3:$T$322,20,FALSE)&gt;0,0,VLOOKUP($A234,'Enroll Data as of January 2025'!$A$3:$T$322,20,FALSE)*'2024-25 PSES Compliance'!$G$14)</f>
        <v>0</v>
      </c>
      <c r="E234" s="25">
        <f>ROUND($C234*CIS_Base*VLOOKUP($A234,'K3 District Data as of Jan 2025'!$A$3:$M$323,MATCH("Reg base",'K3 District Data as of Jan 2025'!$2:$2,0),FALSE),2)</f>
        <v>0</v>
      </c>
      <c r="F234" s="25">
        <f>ROUND($C234*CIS_Inc*(VLOOKUP($A234,'K3 District Data as of Jan 2025'!$A$3:$M$323,MATCH("Reg",'K3 District Data as of Jan 2025'!$2:$2,0),FALSE)+VLOOKUP($A234,'K3 District Data as of Jan 2025'!$A$3:$M$323,MATCH("Exp",'K3 District Data as of Jan 2025'!$2:$2,0),FALSE)),2)-E234</f>
        <v>0</v>
      </c>
      <c r="G234" s="25">
        <f>ROUND($D234*CLS_Base*VLOOKUP($A234,'K3 District Data as of Jan 2025'!$A$3:$M$323,MATCH("Reg base",'K3 District Data as of Jan 2025'!$2:$2,0),FALSE),2)</f>
        <v>0</v>
      </c>
      <c r="H234" s="25">
        <f>ROUND($D234*CLS_Inc*VLOOKUP($A234,'K3 District Data as of Jan 2025'!$A$3:$M$323,MATCH("Reg base",'K3 District Data as of Jan 2025'!$2:$2,0),FALSE),2)-G234</f>
        <v>0</v>
      </c>
      <c r="I234" s="25">
        <f t="shared" si="22"/>
        <v>0</v>
      </c>
      <c r="J234" s="25">
        <f t="shared" si="23"/>
        <v>0</v>
      </c>
      <c r="K234" s="25">
        <f t="shared" si="24"/>
        <v>0</v>
      </c>
      <c r="L234" s="25">
        <f t="shared" si="25"/>
        <v>0</v>
      </c>
      <c r="M234" s="25">
        <f t="shared" si="26"/>
        <v>0</v>
      </c>
      <c r="N234" s="25">
        <f t="shared" si="27"/>
        <v>0</v>
      </c>
      <c r="O234" s="25">
        <f>ROUND(($C234*CIS_Inc*(VLOOKUP($A234,'K3 District Data as of Jan 2025'!$A$3:$M$323,MATCH("Reg",'K3 District Data as of Jan 2025'!$2:$2,0),FALSE)+VLOOKUP($A234,'K3 District Data as of Jan 2025'!$A$3:$M$323,MATCH("Exp",'K3 District Data as of Jan 2025'!$2:$2,0),FALSE))/180)*3+(($C234*CIS_Inc*(VLOOKUP($A234,'K3 District Data as of Jan 2025'!$A$3:$M$323,MATCH("Reg",'K3 District Data as of Jan 2025'!$2:$2,0),FALSE)+VLOOKUP($A234,'K3 District Data as of Jan 2025'!$A$3:$M$323,MATCH("Exp",'K3 District Data as of Jan 2025'!$2:$2,0),FALSE))/180)*3)*CIS_Ben_Inc,2)</f>
        <v>0</v>
      </c>
      <c r="P234" s="23">
        <f t="shared" si="28"/>
        <v>0</v>
      </c>
    </row>
    <row r="235" spans="1:16" x14ac:dyDescent="0.25">
      <c r="A235" t="s">
        <v>86</v>
      </c>
      <c r="B235" t="s">
        <v>382</v>
      </c>
      <c r="C235" s="33">
        <f>IF(VLOOKUP($A235,'Enroll Data as of January 2025'!$A$3:$T$322,20,FALSE)&gt;0,0,VLOOKUP($A235,'Enroll Data as of January 2025'!$A$3:$T$322,20,FALSE)*'2024-25 PSES Compliance'!$G$13)</f>
        <v>-0.35039999999999999</v>
      </c>
      <c r="D235" s="33">
        <f>IF(VLOOKUP($A235,'Enroll Data as of January 2025'!$A$3:$T$322,20,FALSE)&gt;0,0,VLOOKUP($A235,'Enroll Data as of January 2025'!$A$3:$T$322,20,FALSE)*'2024-25 PSES Compliance'!$G$14)</f>
        <v>-1.46E-2</v>
      </c>
      <c r="E235" s="25">
        <f>ROUND($C235*CIS_Base*VLOOKUP($A235,'K3 District Data as of Jan 2025'!$A$3:$M$323,MATCH("Reg base",'K3 District Data as of Jan 2025'!$2:$2,0),FALSE),2)</f>
        <v>-25483.89</v>
      </c>
      <c r="F235" s="25">
        <f>ROUND($C235*CIS_Inc*(VLOOKUP($A235,'K3 District Data as of Jan 2025'!$A$3:$M$323,MATCH("Reg",'K3 District Data as of Jan 2025'!$2:$2,0),FALSE)+VLOOKUP($A235,'K3 District Data as of Jan 2025'!$A$3:$M$323,MATCH("Exp",'K3 District Data as of Jan 2025'!$2:$2,0),FALSE)),2)-E235</f>
        <v>-1920.5400000000009</v>
      </c>
      <c r="G235" s="25">
        <f>ROUND($D235*CLS_Base*VLOOKUP($A235,'K3 District Data as of Jan 2025'!$A$3:$M$323,MATCH("Reg base",'K3 District Data as of Jan 2025'!$2:$2,0),FALSE),2)</f>
        <v>-761.73</v>
      </c>
      <c r="H235" s="25">
        <f>ROUND($D235*CLS_Inc*VLOOKUP($A235,'K3 District Data as of Jan 2025'!$A$3:$M$323,MATCH("Reg base",'K3 District Data as of Jan 2025'!$2:$2,0),FALSE),2)-G235</f>
        <v>-57.399999999999977</v>
      </c>
      <c r="I235" s="25">
        <f t="shared" si="22"/>
        <v>-5052.32</v>
      </c>
      <c r="J235" s="25">
        <f t="shared" si="23"/>
        <v>-295.13</v>
      </c>
      <c r="K235" s="25">
        <f t="shared" si="24"/>
        <v>-4625.33</v>
      </c>
      <c r="L235" s="25">
        <f t="shared" si="25"/>
        <v>-4462.2299999999996</v>
      </c>
      <c r="M235" s="25">
        <f t="shared" si="26"/>
        <v>-164.99</v>
      </c>
      <c r="N235" s="25">
        <f t="shared" si="27"/>
        <v>-10.42</v>
      </c>
      <c r="O235" s="25">
        <f>ROUND(($C235*CIS_Inc*(VLOOKUP($A235,'K3 District Data as of Jan 2025'!$A$3:$M$323,MATCH("Reg",'K3 District Data as of Jan 2025'!$2:$2,0),FALSE)+VLOOKUP($A235,'K3 District Data as of Jan 2025'!$A$3:$M$323,MATCH("Exp",'K3 District Data as of Jan 2025'!$2:$2,0),FALSE))/180)*3+(($C235*CIS_Inc*(VLOOKUP($A235,'K3 District Data as of Jan 2025'!$A$3:$M$323,MATCH("Reg",'K3 District Data as of Jan 2025'!$2:$2,0),FALSE)+VLOOKUP($A235,'K3 District Data as of Jan 2025'!$A$3:$M$323,MATCH("Exp",'K3 District Data as of Jan 2025'!$2:$2,0),FALSE))/180)*3)*CIS_Ben_Inc,2)</f>
        <v>-536.72</v>
      </c>
      <c r="P235" s="23">
        <f t="shared" si="28"/>
        <v>-43370.700000000004</v>
      </c>
    </row>
    <row r="236" spans="1:16" x14ac:dyDescent="0.25">
      <c r="A236" t="s">
        <v>168</v>
      </c>
      <c r="B236" t="s">
        <v>464</v>
      </c>
      <c r="C236" s="33">
        <f>IF(VLOOKUP($A236,'Enroll Data as of January 2025'!$A$3:$T$322,20,FALSE)&gt;0,0,VLOOKUP($A236,'Enroll Data as of January 2025'!$A$3:$T$322,20,FALSE)*'2024-25 PSES Compliance'!$G$13)</f>
        <v>0</v>
      </c>
      <c r="D236" s="33">
        <f>IF(VLOOKUP($A236,'Enroll Data as of January 2025'!$A$3:$T$322,20,FALSE)&gt;0,0,VLOOKUP($A236,'Enroll Data as of January 2025'!$A$3:$T$322,20,FALSE)*'2024-25 PSES Compliance'!$G$14)</f>
        <v>0</v>
      </c>
      <c r="E236" s="25">
        <f>ROUND($C236*CIS_Base*VLOOKUP($A236,'K3 District Data as of Jan 2025'!$A$3:$M$323,MATCH("Reg base",'K3 District Data as of Jan 2025'!$2:$2,0),FALSE),2)</f>
        <v>0</v>
      </c>
      <c r="F236" s="25">
        <f>ROUND($C236*CIS_Inc*(VLOOKUP($A236,'K3 District Data as of Jan 2025'!$A$3:$M$323,MATCH("Reg",'K3 District Data as of Jan 2025'!$2:$2,0),FALSE)+VLOOKUP($A236,'K3 District Data as of Jan 2025'!$A$3:$M$323,MATCH("Exp",'K3 District Data as of Jan 2025'!$2:$2,0),FALSE)),2)-E236</f>
        <v>0</v>
      </c>
      <c r="G236" s="25">
        <f>ROUND($D236*CLS_Base*VLOOKUP($A236,'K3 District Data as of Jan 2025'!$A$3:$M$323,MATCH("Reg base",'K3 District Data as of Jan 2025'!$2:$2,0),FALSE),2)</f>
        <v>0</v>
      </c>
      <c r="H236" s="25">
        <f>ROUND($D236*CLS_Inc*VLOOKUP($A236,'K3 District Data as of Jan 2025'!$A$3:$M$323,MATCH("Reg base",'K3 District Data as of Jan 2025'!$2:$2,0),FALSE),2)-G236</f>
        <v>0</v>
      </c>
      <c r="I236" s="25">
        <f t="shared" si="22"/>
        <v>0</v>
      </c>
      <c r="J236" s="25">
        <f t="shared" si="23"/>
        <v>0</v>
      </c>
      <c r="K236" s="25">
        <f t="shared" si="24"/>
        <v>0</v>
      </c>
      <c r="L236" s="25">
        <f t="shared" si="25"/>
        <v>0</v>
      </c>
      <c r="M236" s="25">
        <f t="shared" si="26"/>
        <v>0</v>
      </c>
      <c r="N236" s="25">
        <f t="shared" si="27"/>
        <v>0</v>
      </c>
      <c r="O236" s="25">
        <f>ROUND(($C236*CIS_Inc*(VLOOKUP($A236,'K3 District Data as of Jan 2025'!$A$3:$M$323,MATCH("Reg",'K3 District Data as of Jan 2025'!$2:$2,0),FALSE)+VLOOKUP($A236,'K3 District Data as of Jan 2025'!$A$3:$M$323,MATCH("Exp",'K3 District Data as of Jan 2025'!$2:$2,0),FALSE))/180)*3+(($C236*CIS_Inc*(VLOOKUP($A236,'K3 District Data as of Jan 2025'!$A$3:$M$323,MATCH("Reg",'K3 District Data as of Jan 2025'!$2:$2,0),FALSE)+VLOOKUP($A236,'K3 District Data as of Jan 2025'!$A$3:$M$323,MATCH("Exp",'K3 District Data as of Jan 2025'!$2:$2,0),FALSE))/180)*3)*CIS_Ben_Inc,2)</f>
        <v>0</v>
      </c>
      <c r="P236" s="23">
        <f t="shared" si="28"/>
        <v>0</v>
      </c>
    </row>
    <row r="237" spans="1:16" x14ac:dyDescent="0.25">
      <c r="A237" t="s">
        <v>255</v>
      </c>
      <c r="B237" t="s">
        <v>551</v>
      </c>
      <c r="C237" s="33">
        <f>IF(VLOOKUP($A237,'Enroll Data as of January 2025'!$A$3:$T$322,20,FALSE)&gt;0,0,VLOOKUP($A237,'Enroll Data as of January 2025'!$A$3:$T$322,20,FALSE)*'2024-25 PSES Compliance'!$G$13)</f>
        <v>0</v>
      </c>
      <c r="D237" s="33">
        <f>IF(VLOOKUP($A237,'Enroll Data as of January 2025'!$A$3:$T$322,20,FALSE)&gt;0,0,VLOOKUP($A237,'Enroll Data as of January 2025'!$A$3:$T$322,20,FALSE)*'2024-25 PSES Compliance'!$G$14)</f>
        <v>0</v>
      </c>
      <c r="E237" s="25">
        <f>ROUND($C237*CIS_Base*VLOOKUP($A237,'K3 District Data as of Jan 2025'!$A$3:$M$323,MATCH("Reg base",'K3 District Data as of Jan 2025'!$2:$2,0),FALSE),2)</f>
        <v>0</v>
      </c>
      <c r="F237" s="25">
        <f>ROUND($C237*CIS_Inc*(VLOOKUP($A237,'K3 District Data as of Jan 2025'!$A$3:$M$323,MATCH("Reg",'K3 District Data as of Jan 2025'!$2:$2,0),FALSE)+VLOOKUP($A237,'K3 District Data as of Jan 2025'!$A$3:$M$323,MATCH("Exp",'K3 District Data as of Jan 2025'!$2:$2,0),FALSE)),2)-E237</f>
        <v>0</v>
      </c>
      <c r="G237" s="25">
        <f>ROUND($D237*CLS_Base*VLOOKUP($A237,'K3 District Data as of Jan 2025'!$A$3:$M$323,MATCH("Reg base",'K3 District Data as of Jan 2025'!$2:$2,0),FALSE),2)</f>
        <v>0</v>
      </c>
      <c r="H237" s="25">
        <f>ROUND($D237*CLS_Inc*VLOOKUP($A237,'K3 District Data as of Jan 2025'!$A$3:$M$323,MATCH("Reg base",'K3 District Data as of Jan 2025'!$2:$2,0),FALSE),2)-G237</f>
        <v>0</v>
      </c>
      <c r="I237" s="25">
        <f t="shared" si="22"/>
        <v>0</v>
      </c>
      <c r="J237" s="25">
        <f t="shared" si="23"/>
        <v>0</v>
      </c>
      <c r="K237" s="25">
        <f t="shared" si="24"/>
        <v>0</v>
      </c>
      <c r="L237" s="25">
        <f t="shared" si="25"/>
        <v>0</v>
      </c>
      <c r="M237" s="25">
        <f t="shared" si="26"/>
        <v>0</v>
      </c>
      <c r="N237" s="25">
        <f t="shared" si="27"/>
        <v>0</v>
      </c>
      <c r="O237" s="25">
        <f>ROUND(($C237*CIS_Inc*(VLOOKUP($A237,'K3 District Data as of Jan 2025'!$A$3:$M$323,MATCH("Reg",'K3 District Data as of Jan 2025'!$2:$2,0),FALSE)+VLOOKUP($A237,'K3 District Data as of Jan 2025'!$A$3:$M$323,MATCH("Exp",'K3 District Data as of Jan 2025'!$2:$2,0),FALSE))/180)*3+(($C237*CIS_Inc*(VLOOKUP($A237,'K3 District Data as of Jan 2025'!$A$3:$M$323,MATCH("Reg",'K3 District Data as of Jan 2025'!$2:$2,0),FALSE)+VLOOKUP($A237,'K3 District Data as of Jan 2025'!$A$3:$M$323,MATCH("Exp",'K3 District Data as of Jan 2025'!$2:$2,0),FALSE))/180)*3)*CIS_Ben_Inc,2)</f>
        <v>0</v>
      </c>
      <c r="P237" s="23">
        <f t="shared" si="28"/>
        <v>0</v>
      </c>
    </row>
    <row r="238" spans="1:16" x14ac:dyDescent="0.25">
      <c r="A238" t="s">
        <v>167</v>
      </c>
      <c r="B238" t="s">
        <v>463</v>
      </c>
      <c r="C238" s="33">
        <f>IF(VLOOKUP($A238,'Enroll Data as of January 2025'!$A$3:$T$322,20,FALSE)&gt;0,0,VLOOKUP($A238,'Enroll Data as of January 2025'!$A$3:$T$322,20,FALSE)*'2024-25 PSES Compliance'!$G$13)</f>
        <v>-0.23615999999999998</v>
      </c>
      <c r="D238" s="33">
        <f>IF(VLOOKUP($A238,'Enroll Data as of January 2025'!$A$3:$T$322,20,FALSE)&gt;0,0,VLOOKUP($A238,'Enroll Data as of January 2025'!$A$3:$T$322,20,FALSE)*'2024-25 PSES Compliance'!$G$14)</f>
        <v>-9.8399999999999998E-3</v>
      </c>
      <c r="E238" s="25">
        <f>ROUND($C238*CIS_Base*VLOOKUP($A238,'K3 District Data as of Jan 2025'!$A$3:$M$323,MATCH("Reg base",'K3 District Data as of Jan 2025'!$2:$2,0),FALSE),2)</f>
        <v>-17175.439999999999</v>
      </c>
      <c r="F238" s="25">
        <f>ROUND($C238*CIS_Inc*(VLOOKUP($A238,'K3 District Data as of Jan 2025'!$A$3:$M$323,MATCH("Reg",'K3 District Data as of Jan 2025'!$2:$2,0),FALSE)+VLOOKUP($A238,'K3 District Data as of Jan 2025'!$A$3:$M$323,MATCH("Exp",'K3 District Data as of Jan 2025'!$2:$2,0),FALSE)),2)-E238</f>
        <v>-1294.4000000000015</v>
      </c>
      <c r="G238" s="25">
        <f>ROUND($D238*CLS_Base*VLOOKUP($A238,'K3 District Data as of Jan 2025'!$A$3:$M$323,MATCH("Reg base",'K3 District Data as of Jan 2025'!$2:$2,0),FALSE),2)</f>
        <v>-513.38</v>
      </c>
      <c r="H238" s="25">
        <f>ROUND($D238*CLS_Inc*VLOOKUP($A238,'K3 District Data as of Jan 2025'!$A$3:$M$323,MATCH("Reg base",'K3 District Data as of Jan 2025'!$2:$2,0),FALSE),2)-G238</f>
        <v>-38.690000000000055</v>
      </c>
      <c r="I238" s="25">
        <f t="shared" si="22"/>
        <v>-3405.12</v>
      </c>
      <c r="J238" s="25">
        <f t="shared" si="23"/>
        <v>-198.91</v>
      </c>
      <c r="K238" s="25">
        <f t="shared" si="24"/>
        <v>-3117.34</v>
      </c>
      <c r="L238" s="25">
        <f t="shared" si="25"/>
        <v>-3007.42</v>
      </c>
      <c r="M238" s="25">
        <f t="shared" si="26"/>
        <v>-111.2</v>
      </c>
      <c r="N238" s="25">
        <f t="shared" si="27"/>
        <v>-7.03</v>
      </c>
      <c r="O238" s="25">
        <f>ROUND(($C238*CIS_Inc*(VLOOKUP($A238,'K3 District Data as of Jan 2025'!$A$3:$M$323,MATCH("Reg",'K3 District Data as of Jan 2025'!$2:$2,0),FALSE)+VLOOKUP($A238,'K3 District Data as of Jan 2025'!$A$3:$M$323,MATCH("Exp",'K3 District Data as of Jan 2025'!$2:$2,0),FALSE))/180)*3+(($C238*CIS_Inc*(VLOOKUP($A238,'K3 District Data as of Jan 2025'!$A$3:$M$323,MATCH("Reg",'K3 District Data as of Jan 2025'!$2:$2,0),FALSE)+VLOOKUP($A238,'K3 District Data as of Jan 2025'!$A$3:$M$323,MATCH("Exp",'K3 District Data as of Jan 2025'!$2:$2,0),FALSE))/180)*3)*CIS_Ben_Inc,2)</f>
        <v>-361.73</v>
      </c>
      <c r="P238" s="23">
        <f t="shared" si="28"/>
        <v>-29230.659999999996</v>
      </c>
    </row>
    <row r="239" spans="1:16" x14ac:dyDescent="0.25">
      <c r="A239" t="s">
        <v>146</v>
      </c>
      <c r="B239" t="s">
        <v>442</v>
      </c>
      <c r="C239" s="33">
        <f>IF(VLOOKUP($A239,'Enroll Data as of January 2025'!$A$3:$T$322,20,FALSE)&gt;0,0,VLOOKUP($A239,'Enroll Data as of January 2025'!$A$3:$T$322,20,FALSE)*'2024-25 PSES Compliance'!$G$13)</f>
        <v>0</v>
      </c>
      <c r="D239" s="33">
        <f>IF(VLOOKUP($A239,'Enroll Data as of January 2025'!$A$3:$T$322,20,FALSE)&gt;0,0,VLOOKUP($A239,'Enroll Data as of January 2025'!$A$3:$T$322,20,FALSE)*'2024-25 PSES Compliance'!$G$14)</f>
        <v>0</v>
      </c>
      <c r="E239" s="25">
        <f>ROUND($C239*CIS_Base*VLOOKUP($A239,'K3 District Data as of Jan 2025'!$A$3:$M$323,MATCH("Reg base",'K3 District Data as of Jan 2025'!$2:$2,0),FALSE),2)</f>
        <v>0</v>
      </c>
      <c r="F239" s="25">
        <f>ROUND($C239*CIS_Inc*(VLOOKUP($A239,'K3 District Data as of Jan 2025'!$A$3:$M$323,MATCH("Reg",'K3 District Data as of Jan 2025'!$2:$2,0),FALSE)+VLOOKUP($A239,'K3 District Data as of Jan 2025'!$A$3:$M$323,MATCH("Exp",'K3 District Data as of Jan 2025'!$2:$2,0),FALSE)),2)-E239</f>
        <v>0</v>
      </c>
      <c r="G239" s="25">
        <f>ROUND($D239*CLS_Base*VLOOKUP($A239,'K3 District Data as of Jan 2025'!$A$3:$M$323,MATCH("Reg base",'K3 District Data as of Jan 2025'!$2:$2,0),FALSE),2)</f>
        <v>0</v>
      </c>
      <c r="H239" s="25">
        <f>ROUND($D239*CLS_Inc*VLOOKUP($A239,'K3 District Data as of Jan 2025'!$A$3:$M$323,MATCH("Reg base",'K3 District Data as of Jan 2025'!$2:$2,0),FALSE),2)-G239</f>
        <v>0</v>
      </c>
      <c r="I239" s="25">
        <f t="shared" si="22"/>
        <v>0</v>
      </c>
      <c r="J239" s="25">
        <f t="shared" si="23"/>
        <v>0</v>
      </c>
      <c r="K239" s="25">
        <f t="shared" si="24"/>
        <v>0</v>
      </c>
      <c r="L239" s="25">
        <f t="shared" si="25"/>
        <v>0</v>
      </c>
      <c r="M239" s="25">
        <f t="shared" si="26"/>
        <v>0</v>
      </c>
      <c r="N239" s="25">
        <f t="shared" si="27"/>
        <v>0</v>
      </c>
      <c r="O239" s="25">
        <f>ROUND(($C239*CIS_Inc*(VLOOKUP($A239,'K3 District Data as of Jan 2025'!$A$3:$M$323,MATCH("Reg",'K3 District Data as of Jan 2025'!$2:$2,0),FALSE)+VLOOKUP($A239,'K3 District Data as of Jan 2025'!$A$3:$M$323,MATCH("Exp",'K3 District Data as of Jan 2025'!$2:$2,0),FALSE))/180)*3+(($C239*CIS_Inc*(VLOOKUP($A239,'K3 District Data as of Jan 2025'!$A$3:$M$323,MATCH("Reg",'K3 District Data as of Jan 2025'!$2:$2,0),FALSE)+VLOOKUP($A239,'K3 District Data as of Jan 2025'!$A$3:$M$323,MATCH("Exp",'K3 District Data as of Jan 2025'!$2:$2,0),FALSE))/180)*3)*CIS_Ben_Inc,2)</f>
        <v>0</v>
      </c>
      <c r="P239" s="23">
        <f t="shared" si="28"/>
        <v>0</v>
      </c>
    </row>
    <row r="240" spans="1:16" x14ac:dyDescent="0.25">
      <c r="A240" t="s">
        <v>49</v>
      </c>
      <c r="B240" t="s">
        <v>345</v>
      </c>
      <c r="C240" s="33">
        <f>IF(VLOOKUP($A240,'Enroll Data as of January 2025'!$A$3:$T$322,20,FALSE)&gt;0,0,VLOOKUP($A240,'Enroll Data as of January 2025'!$A$3:$T$322,20,FALSE)*'2024-25 PSES Compliance'!$G$13)</f>
        <v>-0.4224</v>
      </c>
      <c r="D240" s="33">
        <f>IF(VLOOKUP($A240,'Enroll Data as of January 2025'!$A$3:$T$322,20,FALSE)&gt;0,0,VLOOKUP($A240,'Enroll Data as of January 2025'!$A$3:$T$322,20,FALSE)*'2024-25 PSES Compliance'!$G$14)</f>
        <v>-1.7600000000000001E-2</v>
      </c>
      <c r="E240" s="25">
        <f>ROUND($C240*CIS_Base*VLOOKUP($A240,'K3 District Data as of Jan 2025'!$A$3:$M$323,MATCH("Reg base",'K3 District Data as of Jan 2025'!$2:$2,0),FALSE),2)</f>
        <v>-30720.31</v>
      </c>
      <c r="F240" s="25">
        <f>ROUND($C240*CIS_Inc*(VLOOKUP($A240,'K3 District Data as of Jan 2025'!$A$3:$M$323,MATCH("Reg",'K3 District Data as of Jan 2025'!$2:$2,0),FALSE)+VLOOKUP($A240,'K3 District Data as of Jan 2025'!$A$3:$M$323,MATCH("Exp",'K3 District Data as of Jan 2025'!$2:$2,0),FALSE)),2)-E240</f>
        <v>-2315.1700000000019</v>
      </c>
      <c r="G240" s="25">
        <f>ROUND($D240*CLS_Base*VLOOKUP($A240,'K3 District Data as of Jan 2025'!$A$3:$M$323,MATCH("Reg base",'K3 District Data as of Jan 2025'!$2:$2,0),FALSE),2)</f>
        <v>-918.24</v>
      </c>
      <c r="H240" s="25">
        <f>ROUND($D240*CLS_Inc*VLOOKUP($A240,'K3 District Data as of Jan 2025'!$A$3:$M$323,MATCH("Reg base",'K3 District Data as of Jan 2025'!$2:$2,0),FALSE),2)-G240</f>
        <v>-69.210000000000036</v>
      </c>
      <c r="I240" s="25">
        <f t="shared" si="22"/>
        <v>-6090.47</v>
      </c>
      <c r="J240" s="25">
        <f t="shared" si="23"/>
        <v>-355.77</v>
      </c>
      <c r="K240" s="25">
        <f t="shared" si="24"/>
        <v>-5575.74</v>
      </c>
      <c r="L240" s="25">
        <f t="shared" si="25"/>
        <v>-5379.13</v>
      </c>
      <c r="M240" s="25">
        <f t="shared" si="26"/>
        <v>-198.89</v>
      </c>
      <c r="N240" s="25">
        <f t="shared" si="27"/>
        <v>-12.57</v>
      </c>
      <c r="O240" s="25">
        <f>ROUND(($C240*CIS_Inc*(VLOOKUP($A240,'K3 District Data as of Jan 2025'!$A$3:$M$323,MATCH("Reg",'K3 District Data as of Jan 2025'!$2:$2,0),FALSE)+VLOOKUP($A240,'K3 District Data as of Jan 2025'!$A$3:$M$323,MATCH("Exp",'K3 District Data as of Jan 2025'!$2:$2,0),FALSE))/180)*3+(($C240*CIS_Inc*(VLOOKUP($A240,'K3 District Data as of Jan 2025'!$A$3:$M$323,MATCH("Reg",'K3 District Data as of Jan 2025'!$2:$2,0),FALSE)+VLOOKUP($A240,'K3 District Data as of Jan 2025'!$A$3:$M$323,MATCH("Exp",'K3 District Data as of Jan 2025'!$2:$2,0),FALSE))/180)*3)*CIS_Ben_Inc,2)</f>
        <v>-647</v>
      </c>
      <c r="P240" s="23">
        <f t="shared" si="28"/>
        <v>-52282.499999999993</v>
      </c>
    </row>
    <row r="241" spans="1:16" x14ac:dyDescent="0.25">
      <c r="A241" t="s">
        <v>173</v>
      </c>
      <c r="B241" t="s">
        <v>469</v>
      </c>
      <c r="C241" s="33">
        <f>IF(VLOOKUP($A241,'Enroll Data as of January 2025'!$A$3:$T$322,20,FALSE)&gt;0,0,VLOOKUP($A241,'Enroll Data as of January 2025'!$A$3:$T$322,20,FALSE)*'2024-25 PSES Compliance'!$G$13)</f>
        <v>0</v>
      </c>
      <c r="D241" s="33">
        <f>IF(VLOOKUP($A241,'Enroll Data as of January 2025'!$A$3:$T$322,20,FALSE)&gt;0,0,VLOOKUP($A241,'Enroll Data as of January 2025'!$A$3:$T$322,20,FALSE)*'2024-25 PSES Compliance'!$G$14)</f>
        <v>0</v>
      </c>
      <c r="E241" s="25">
        <f>ROUND($C241*CIS_Base*VLOOKUP($A241,'K3 District Data as of Jan 2025'!$A$3:$M$323,MATCH("Reg base",'K3 District Data as of Jan 2025'!$2:$2,0),FALSE),2)</f>
        <v>0</v>
      </c>
      <c r="F241" s="25">
        <f>ROUND($C241*CIS_Inc*(VLOOKUP($A241,'K3 District Data as of Jan 2025'!$A$3:$M$323,MATCH("Reg",'K3 District Data as of Jan 2025'!$2:$2,0),FALSE)+VLOOKUP($A241,'K3 District Data as of Jan 2025'!$A$3:$M$323,MATCH("Exp",'K3 District Data as of Jan 2025'!$2:$2,0),FALSE)),2)-E241</f>
        <v>0</v>
      </c>
      <c r="G241" s="25">
        <f>ROUND($D241*CLS_Base*VLOOKUP($A241,'K3 District Data as of Jan 2025'!$A$3:$M$323,MATCH("Reg base",'K3 District Data as of Jan 2025'!$2:$2,0),FALSE),2)</f>
        <v>0</v>
      </c>
      <c r="H241" s="25">
        <f>ROUND($D241*CLS_Inc*VLOOKUP($A241,'K3 District Data as of Jan 2025'!$A$3:$M$323,MATCH("Reg base",'K3 District Data as of Jan 2025'!$2:$2,0),FALSE),2)-G241</f>
        <v>0</v>
      </c>
      <c r="I241" s="25">
        <f t="shared" si="22"/>
        <v>0</v>
      </c>
      <c r="J241" s="25">
        <f t="shared" si="23"/>
        <v>0</v>
      </c>
      <c r="K241" s="25">
        <f t="shared" si="24"/>
        <v>0</v>
      </c>
      <c r="L241" s="25">
        <f t="shared" si="25"/>
        <v>0</v>
      </c>
      <c r="M241" s="25">
        <f t="shared" si="26"/>
        <v>0</v>
      </c>
      <c r="N241" s="25">
        <f t="shared" si="27"/>
        <v>0</v>
      </c>
      <c r="O241" s="25">
        <f>ROUND(($C241*CIS_Inc*(VLOOKUP($A241,'K3 District Data as of Jan 2025'!$A$3:$M$323,MATCH("Reg",'K3 District Data as of Jan 2025'!$2:$2,0),FALSE)+VLOOKUP($A241,'K3 District Data as of Jan 2025'!$A$3:$M$323,MATCH("Exp",'K3 District Data as of Jan 2025'!$2:$2,0),FALSE))/180)*3+(($C241*CIS_Inc*(VLOOKUP($A241,'K3 District Data as of Jan 2025'!$A$3:$M$323,MATCH("Reg",'K3 District Data as of Jan 2025'!$2:$2,0),FALSE)+VLOOKUP($A241,'K3 District Data as of Jan 2025'!$A$3:$M$323,MATCH("Exp",'K3 District Data as of Jan 2025'!$2:$2,0),FALSE))/180)*3)*CIS_Ben_Inc,2)</f>
        <v>0</v>
      </c>
      <c r="P241" s="23">
        <f t="shared" si="28"/>
        <v>0</v>
      </c>
    </row>
    <row r="242" spans="1:16" x14ac:dyDescent="0.25">
      <c r="A242" t="s">
        <v>190</v>
      </c>
      <c r="B242" t="s">
        <v>485</v>
      </c>
      <c r="C242" s="33">
        <f>IF(VLOOKUP($A242,'Enroll Data as of January 2025'!$A$3:$T$322,20,FALSE)&gt;0,0,VLOOKUP($A242,'Enroll Data as of January 2025'!$A$3:$T$322,20,FALSE)*'2024-25 PSES Compliance'!$G$13)</f>
        <v>0</v>
      </c>
      <c r="D242" s="33">
        <f>IF(VLOOKUP($A242,'Enroll Data as of January 2025'!$A$3:$T$322,20,FALSE)&gt;0,0,VLOOKUP($A242,'Enroll Data as of January 2025'!$A$3:$T$322,20,FALSE)*'2024-25 PSES Compliance'!$G$14)</f>
        <v>0</v>
      </c>
      <c r="E242" s="25">
        <f>ROUND($C242*CIS_Base*VLOOKUP($A242,'K3 District Data as of Jan 2025'!$A$3:$M$323,MATCH("Reg base",'K3 District Data as of Jan 2025'!$2:$2,0),FALSE),2)</f>
        <v>0</v>
      </c>
      <c r="F242" s="25">
        <f>ROUND($C242*CIS_Inc*(VLOOKUP($A242,'K3 District Data as of Jan 2025'!$A$3:$M$323,MATCH("Reg",'K3 District Data as of Jan 2025'!$2:$2,0),FALSE)+VLOOKUP($A242,'K3 District Data as of Jan 2025'!$A$3:$M$323,MATCH("Exp",'K3 District Data as of Jan 2025'!$2:$2,0),FALSE)),2)-E242</f>
        <v>0</v>
      </c>
      <c r="G242" s="25">
        <f>ROUND($D242*CLS_Base*VLOOKUP($A242,'K3 District Data as of Jan 2025'!$A$3:$M$323,MATCH("Reg base",'K3 District Data as of Jan 2025'!$2:$2,0),FALSE),2)</f>
        <v>0</v>
      </c>
      <c r="H242" s="25">
        <f>ROUND($D242*CLS_Inc*VLOOKUP($A242,'K3 District Data as of Jan 2025'!$A$3:$M$323,MATCH("Reg base",'K3 District Data as of Jan 2025'!$2:$2,0),FALSE),2)-G242</f>
        <v>0</v>
      </c>
      <c r="I242" s="25">
        <f t="shared" si="22"/>
        <v>0</v>
      </c>
      <c r="J242" s="25">
        <f t="shared" si="23"/>
        <v>0</v>
      </c>
      <c r="K242" s="25">
        <f t="shared" si="24"/>
        <v>0</v>
      </c>
      <c r="L242" s="25">
        <f t="shared" si="25"/>
        <v>0</v>
      </c>
      <c r="M242" s="25">
        <f t="shared" si="26"/>
        <v>0</v>
      </c>
      <c r="N242" s="25">
        <f t="shared" si="27"/>
        <v>0</v>
      </c>
      <c r="O242" s="25">
        <f>ROUND(($C242*CIS_Inc*(VLOOKUP($A242,'K3 District Data as of Jan 2025'!$A$3:$M$323,MATCH("Reg",'K3 District Data as of Jan 2025'!$2:$2,0),FALSE)+VLOOKUP($A242,'K3 District Data as of Jan 2025'!$A$3:$M$323,MATCH("Exp",'K3 District Data as of Jan 2025'!$2:$2,0),FALSE))/180)*3+(($C242*CIS_Inc*(VLOOKUP($A242,'K3 District Data as of Jan 2025'!$A$3:$M$323,MATCH("Reg",'K3 District Data as of Jan 2025'!$2:$2,0),FALSE)+VLOOKUP($A242,'K3 District Data as of Jan 2025'!$A$3:$M$323,MATCH("Exp",'K3 District Data as of Jan 2025'!$2:$2,0),FALSE))/180)*3)*CIS_Ben_Inc,2)</f>
        <v>0</v>
      </c>
      <c r="P242" s="23">
        <f t="shared" si="28"/>
        <v>0</v>
      </c>
    </row>
    <row r="243" spans="1:16" x14ac:dyDescent="0.25">
      <c r="A243" t="s">
        <v>9</v>
      </c>
      <c r="B243" t="s">
        <v>306</v>
      </c>
      <c r="C243" s="33">
        <f>IF(VLOOKUP($A243,'Enroll Data as of January 2025'!$A$3:$T$322,20,FALSE)&gt;0,0,VLOOKUP($A243,'Enroll Data as of January 2025'!$A$3:$T$322,20,FALSE)*'2024-25 PSES Compliance'!$G$13)</f>
        <v>0</v>
      </c>
      <c r="D243" s="33">
        <f>IF(VLOOKUP($A243,'Enroll Data as of January 2025'!$A$3:$T$322,20,FALSE)&gt;0,0,VLOOKUP($A243,'Enroll Data as of January 2025'!$A$3:$T$322,20,FALSE)*'2024-25 PSES Compliance'!$G$14)</f>
        <v>0</v>
      </c>
      <c r="E243" s="25">
        <f>ROUND($C243*CIS_Base*VLOOKUP($A243,'K3 District Data as of Jan 2025'!$A$3:$M$323,MATCH("Reg base",'K3 District Data as of Jan 2025'!$2:$2,0),FALSE),2)</f>
        <v>0</v>
      </c>
      <c r="F243" s="25">
        <f>ROUND($C243*CIS_Inc*(VLOOKUP($A243,'K3 District Data as of Jan 2025'!$A$3:$M$323,MATCH("Reg",'K3 District Data as of Jan 2025'!$2:$2,0),FALSE)+VLOOKUP($A243,'K3 District Data as of Jan 2025'!$A$3:$M$323,MATCH("Exp",'K3 District Data as of Jan 2025'!$2:$2,0),FALSE)),2)-E243</f>
        <v>0</v>
      </c>
      <c r="G243" s="25">
        <f>ROUND($D243*CLS_Base*VLOOKUP($A243,'K3 District Data as of Jan 2025'!$A$3:$M$323,MATCH("Reg base",'K3 District Data as of Jan 2025'!$2:$2,0),FALSE),2)</f>
        <v>0</v>
      </c>
      <c r="H243" s="25">
        <f>ROUND($D243*CLS_Inc*VLOOKUP($A243,'K3 District Data as of Jan 2025'!$A$3:$M$323,MATCH("Reg base",'K3 District Data as of Jan 2025'!$2:$2,0),FALSE),2)-G243</f>
        <v>0</v>
      </c>
      <c r="I243" s="25">
        <f t="shared" si="22"/>
        <v>0</v>
      </c>
      <c r="J243" s="25">
        <f t="shared" si="23"/>
        <v>0</v>
      </c>
      <c r="K243" s="25">
        <f t="shared" si="24"/>
        <v>0</v>
      </c>
      <c r="L243" s="25">
        <f t="shared" si="25"/>
        <v>0</v>
      </c>
      <c r="M243" s="25">
        <f t="shared" si="26"/>
        <v>0</v>
      </c>
      <c r="N243" s="25">
        <f t="shared" si="27"/>
        <v>0</v>
      </c>
      <c r="O243" s="25">
        <f>ROUND(($C243*CIS_Inc*(VLOOKUP($A243,'K3 District Data as of Jan 2025'!$A$3:$M$323,MATCH("Reg",'K3 District Data as of Jan 2025'!$2:$2,0),FALSE)+VLOOKUP($A243,'K3 District Data as of Jan 2025'!$A$3:$M$323,MATCH("Exp",'K3 District Data as of Jan 2025'!$2:$2,0),FALSE))/180)*3+(($C243*CIS_Inc*(VLOOKUP($A243,'K3 District Data as of Jan 2025'!$A$3:$M$323,MATCH("Reg",'K3 District Data as of Jan 2025'!$2:$2,0),FALSE)+VLOOKUP($A243,'K3 District Data as of Jan 2025'!$A$3:$M$323,MATCH("Exp",'K3 District Data as of Jan 2025'!$2:$2,0),FALSE))/180)*3)*CIS_Ben_Inc,2)</f>
        <v>0</v>
      </c>
      <c r="P243" s="23">
        <f t="shared" si="28"/>
        <v>0</v>
      </c>
    </row>
    <row r="244" spans="1:16" x14ac:dyDescent="0.25">
      <c r="A244" t="s">
        <v>51</v>
      </c>
      <c r="B244" t="s">
        <v>347</v>
      </c>
      <c r="C244" s="33">
        <f>IF(VLOOKUP($A244,'Enroll Data as of January 2025'!$A$3:$T$322,20,FALSE)&gt;0,0,VLOOKUP($A244,'Enroll Data as of January 2025'!$A$3:$T$322,20,FALSE)*'2024-25 PSES Compliance'!$G$13)</f>
        <v>-7.1039999999999992E-2</v>
      </c>
      <c r="D244" s="33">
        <f>IF(VLOOKUP($A244,'Enroll Data as of January 2025'!$A$3:$T$322,20,FALSE)&gt;0,0,VLOOKUP($A244,'Enroll Data as of January 2025'!$A$3:$T$322,20,FALSE)*'2024-25 PSES Compliance'!$G$14)</f>
        <v>-2.96E-3</v>
      </c>
      <c r="E244" s="25">
        <f>ROUND($C244*CIS_Base*VLOOKUP($A244,'K3 District Data as of Jan 2025'!$A$3:$M$323,MATCH("Reg base",'K3 District Data as of Jan 2025'!$2:$2,0),FALSE),2)</f>
        <v>-5166.6000000000004</v>
      </c>
      <c r="F244" s="25">
        <f>ROUND($C244*CIS_Inc*(VLOOKUP($A244,'K3 District Data as of Jan 2025'!$A$3:$M$323,MATCH("Reg",'K3 District Data as of Jan 2025'!$2:$2,0),FALSE)+VLOOKUP($A244,'K3 District Data as of Jan 2025'!$A$3:$M$323,MATCH("Exp",'K3 District Data as of Jan 2025'!$2:$2,0),FALSE)),2)-E244</f>
        <v>-389.36999999999989</v>
      </c>
      <c r="G244" s="25">
        <f>ROUND($D244*CLS_Base*VLOOKUP($A244,'K3 District Data as of Jan 2025'!$A$3:$M$323,MATCH("Reg base",'K3 District Data as of Jan 2025'!$2:$2,0),FALSE),2)</f>
        <v>-154.43</v>
      </c>
      <c r="H244" s="25">
        <f>ROUND($D244*CLS_Inc*VLOOKUP($A244,'K3 District Data as of Jan 2025'!$A$3:$M$323,MATCH("Reg base",'K3 District Data as of Jan 2025'!$2:$2,0),FALSE),2)-G244</f>
        <v>-11.639999999999986</v>
      </c>
      <c r="I244" s="25">
        <f t="shared" si="22"/>
        <v>-1024.31</v>
      </c>
      <c r="J244" s="25">
        <f t="shared" si="23"/>
        <v>-59.83</v>
      </c>
      <c r="K244" s="25">
        <f t="shared" si="24"/>
        <v>-937.74</v>
      </c>
      <c r="L244" s="25">
        <f t="shared" si="25"/>
        <v>-904.67</v>
      </c>
      <c r="M244" s="25">
        <f t="shared" si="26"/>
        <v>-33.450000000000003</v>
      </c>
      <c r="N244" s="25">
        <f t="shared" si="27"/>
        <v>-2.11</v>
      </c>
      <c r="O244" s="25">
        <f>ROUND(($C244*CIS_Inc*(VLOOKUP($A244,'K3 District Data as of Jan 2025'!$A$3:$M$323,MATCH("Reg",'K3 District Data as of Jan 2025'!$2:$2,0),FALSE)+VLOOKUP($A244,'K3 District Data as of Jan 2025'!$A$3:$M$323,MATCH("Exp",'K3 District Data as of Jan 2025'!$2:$2,0),FALSE))/180)*3+(($C244*CIS_Inc*(VLOOKUP($A244,'K3 District Data as of Jan 2025'!$A$3:$M$323,MATCH("Reg",'K3 District Data as of Jan 2025'!$2:$2,0),FALSE)+VLOOKUP($A244,'K3 District Data as of Jan 2025'!$A$3:$M$323,MATCH("Exp",'K3 District Data as of Jan 2025'!$2:$2,0),FALSE))/180)*3)*CIS_Ben_Inc,2)</f>
        <v>-108.81</v>
      </c>
      <c r="P244" s="23">
        <f t="shared" si="28"/>
        <v>-8792.9600000000009</v>
      </c>
    </row>
    <row r="245" spans="1:16" x14ac:dyDescent="0.25">
      <c r="A245" t="s">
        <v>1247</v>
      </c>
      <c r="B245" t="s">
        <v>1113</v>
      </c>
      <c r="C245" s="33">
        <f>IF(VLOOKUP($A245,'Enroll Data as of January 2025'!$A$3:$T$322,20,FALSE)&gt;0,0,VLOOKUP($A245,'Enroll Data as of January 2025'!$A$3:$T$322,20,FALSE)*'2024-25 PSES Compliance'!$G$13)</f>
        <v>0</v>
      </c>
      <c r="D245" s="33">
        <f>IF(VLOOKUP($A245,'Enroll Data as of January 2025'!$A$3:$T$322,20,FALSE)&gt;0,0,VLOOKUP($A245,'Enroll Data as of January 2025'!$A$3:$T$322,20,FALSE)*'2024-25 PSES Compliance'!$G$14)</f>
        <v>0</v>
      </c>
      <c r="E245" s="25">
        <f>ROUND($C245*CIS_Base*VLOOKUP($A245,'K3 District Data as of Jan 2025'!$A$3:$M$323,MATCH("Reg base",'K3 District Data as of Jan 2025'!$2:$2,0),FALSE),2)</f>
        <v>0</v>
      </c>
      <c r="F245" s="25">
        <f>ROUND($C245*CIS_Inc*(VLOOKUP($A245,'K3 District Data as of Jan 2025'!$A$3:$M$323,MATCH("Reg",'K3 District Data as of Jan 2025'!$2:$2,0),FALSE)+VLOOKUP($A245,'K3 District Data as of Jan 2025'!$A$3:$M$323,MATCH("Exp",'K3 District Data as of Jan 2025'!$2:$2,0),FALSE)),2)-E245</f>
        <v>0</v>
      </c>
      <c r="G245" s="25">
        <f>ROUND($D245*CLS_Base*VLOOKUP($A245,'K3 District Data as of Jan 2025'!$A$3:$M$323,MATCH("Reg base",'K3 District Data as of Jan 2025'!$2:$2,0),FALSE),2)</f>
        <v>0</v>
      </c>
      <c r="H245" s="25">
        <f>ROUND($D245*CLS_Inc*VLOOKUP($A245,'K3 District Data as of Jan 2025'!$A$3:$M$323,MATCH("Reg base",'K3 District Data as of Jan 2025'!$2:$2,0),FALSE),2)-G245</f>
        <v>0</v>
      </c>
      <c r="I245" s="25">
        <f t="shared" si="22"/>
        <v>0</v>
      </c>
      <c r="J245" s="25">
        <f t="shared" si="23"/>
        <v>0</v>
      </c>
      <c r="K245" s="25">
        <f t="shared" si="24"/>
        <v>0</v>
      </c>
      <c r="L245" s="25">
        <f t="shared" si="25"/>
        <v>0</v>
      </c>
      <c r="M245" s="25">
        <f t="shared" si="26"/>
        <v>0</v>
      </c>
      <c r="N245" s="25">
        <f t="shared" si="27"/>
        <v>0</v>
      </c>
      <c r="O245" s="25">
        <f>ROUND(($C245*CIS_Inc*(VLOOKUP($A245,'K3 District Data as of Jan 2025'!$A$3:$M$323,MATCH("Reg",'K3 District Data as of Jan 2025'!$2:$2,0),FALSE)+VLOOKUP($A245,'K3 District Data as of Jan 2025'!$A$3:$M$323,MATCH("Exp",'K3 District Data as of Jan 2025'!$2:$2,0),FALSE))/180)*3+(($C245*CIS_Inc*(VLOOKUP($A245,'K3 District Data as of Jan 2025'!$A$3:$M$323,MATCH("Reg",'K3 District Data as of Jan 2025'!$2:$2,0),FALSE)+VLOOKUP($A245,'K3 District Data as of Jan 2025'!$A$3:$M$323,MATCH("Exp",'K3 District Data as of Jan 2025'!$2:$2,0),FALSE))/180)*3)*CIS_Ben_Inc,2)</f>
        <v>0</v>
      </c>
      <c r="P245" s="23">
        <f t="shared" si="28"/>
        <v>0</v>
      </c>
    </row>
    <row r="246" spans="1:16" x14ac:dyDescent="0.25">
      <c r="A246" t="s">
        <v>60</v>
      </c>
      <c r="B246" t="s">
        <v>356</v>
      </c>
      <c r="C246" s="33">
        <f>IF(VLOOKUP($A246,'Enroll Data as of January 2025'!$A$3:$T$322,20,FALSE)&gt;0,0,VLOOKUP($A246,'Enroll Data as of January 2025'!$A$3:$T$322,20,FALSE)*'2024-25 PSES Compliance'!$G$13)</f>
        <v>0</v>
      </c>
      <c r="D246" s="33">
        <f>IF(VLOOKUP($A246,'Enroll Data as of January 2025'!$A$3:$T$322,20,FALSE)&gt;0,0,VLOOKUP($A246,'Enroll Data as of January 2025'!$A$3:$T$322,20,FALSE)*'2024-25 PSES Compliance'!$G$14)</f>
        <v>0</v>
      </c>
      <c r="E246" s="25">
        <f>ROUND($C246*CIS_Base*VLOOKUP($A246,'K3 District Data as of Jan 2025'!$A$3:$M$323,MATCH("Reg base",'K3 District Data as of Jan 2025'!$2:$2,0),FALSE),2)</f>
        <v>0</v>
      </c>
      <c r="F246" s="25">
        <f>ROUND($C246*CIS_Inc*(VLOOKUP($A246,'K3 District Data as of Jan 2025'!$A$3:$M$323,MATCH("Reg",'K3 District Data as of Jan 2025'!$2:$2,0),FALSE)+VLOOKUP($A246,'K3 District Data as of Jan 2025'!$A$3:$M$323,MATCH("Exp",'K3 District Data as of Jan 2025'!$2:$2,0),FALSE)),2)-E246</f>
        <v>0</v>
      </c>
      <c r="G246" s="25">
        <f>ROUND($D246*CLS_Base*VLOOKUP($A246,'K3 District Data as of Jan 2025'!$A$3:$M$323,MATCH("Reg base",'K3 District Data as of Jan 2025'!$2:$2,0),FALSE),2)</f>
        <v>0</v>
      </c>
      <c r="H246" s="25">
        <f>ROUND($D246*CLS_Inc*VLOOKUP($A246,'K3 District Data as of Jan 2025'!$A$3:$M$323,MATCH("Reg base",'K3 District Data as of Jan 2025'!$2:$2,0),FALSE),2)-G246</f>
        <v>0</v>
      </c>
      <c r="I246" s="25">
        <f t="shared" si="22"/>
        <v>0</v>
      </c>
      <c r="J246" s="25">
        <f t="shared" si="23"/>
        <v>0</v>
      </c>
      <c r="K246" s="25">
        <f t="shared" si="24"/>
        <v>0</v>
      </c>
      <c r="L246" s="25">
        <f t="shared" si="25"/>
        <v>0</v>
      </c>
      <c r="M246" s="25">
        <f t="shared" si="26"/>
        <v>0</v>
      </c>
      <c r="N246" s="25">
        <f t="shared" si="27"/>
        <v>0</v>
      </c>
      <c r="O246" s="25">
        <f>ROUND(($C246*CIS_Inc*(VLOOKUP($A246,'K3 District Data as of Jan 2025'!$A$3:$M$323,MATCH("Reg",'K3 District Data as of Jan 2025'!$2:$2,0),FALSE)+VLOOKUP($A246,'K3 District Data as of Jan 2025'!$A$3:$M$323,MATCH("Exp",'K3 District Data as of Jan 2025'!$2:$2,0),FALSE))/180)*3+(($C246*CIS_Inc*(VLOOKUP($A246,'K3 District Data as of Jan 2025'!$A$3:$M$323,MATCH("Reg",'K3 District Data as of Jan 2025'!$2:$2,0),FALSE)+VLOOKUP($A246,'K3 District Data as of Jan 2025'!$A$3:$M$323,MATCH("Exp",'K3 District Data as of Jan 2025'!$2:$2,0),FALSE))/180)*3)*CIS_Ben_Inc,2)</f>
        <v>0</v>
      </c>
      <c r="P246" s="23">
        <f t="shared" si="28"/>
        <v>0</v>
      </c>
    </row>
    <row r="247" spans="1:16" x14ac:dyDescent="0.25">
      <c r="A247" t="s">
        <v>15</v>
      </c>
      <c r="B247" t="s">
        <v>312</v>
      </c>
      <c r="C247" s="33">
        <f>IF(VLOOKUP($A247,'Enroll Data as of January 2025'!$A$3:$T$322,20,FALSE)&gt;0,0,VLOOKUP($A247,'Enroll Data as of January 2025'!$A$3:$T$322,20,FALSE)*'2024-25 PSES Compliance'!$G$13)</f>
        <v>-0.13727999999999999</v>
      </c>
      <c r="D247" s="33">
        <f>IF(VLOOKUP($A247,'Enroll Data as of January 2025'!$A$3:$T$322,20,FALSE)&gt;0,0,VLOOKUP($A247,'Enroll Data as of January 2025'!$A$3:$T$322,20,FALSE)*'2024-25 PSES Compliance'!$G$14)</f>
        <v>-5.7199999999999994E-3</v>
      </c>
      <c r="E247" s="25">
        <f>ROUND($C247*CIS_Base*VLOOKUP($A247,'K3 District Data as of Jan 2025'!$A$3:$M$323,MATCH("Reg base",'K3 District Data as of Jan 2025'!$2:$2,0),FALSE),2)</f>
        <v>-9984.1</v>
      </c>
      <c r="F247" s="25">
        <f>ROUND($C247*CIS_Inc*(VLOOKUP($A247,'K3 District Data as of Jan 2025'!$A$3:$M$323,MATCH("Reg",'K3 District Data as of Jan 2025'!$2:$2,0),FALSE)+VLOOKUP($A247,'K3 District Data as of Jan 2025'!$A$3:$M$323,MATCH("Exp",'K3 District Data as of Jan 2025'!$2:$2,0),FALSE)),2)-E247</f>
        <v>-752.43000000000029</v>
      </c>
      <c r="G247" s="25">
        <f>ROUND($D247*CLS_Base*VLOOKUP($A247,'K3 District Data as of Jan 2025'!$A$3:$M$323,MATCH("Reg base",'K3 District Data as of Jan 2025'!$2:$2,0),FALSE),2)</f>
        <v>-298.43</v>
      </c>
      <c r="H247" s="25">
        <f>ROUND($D247*CLS_Inc*VLOOKUP($A247,'K3 District Data as of Jan 2025'!$A$3:$M$323,MATCH("Reg base",'K3 District Data as of Jan 2025'!$2:$2,0),FALSE),2)-G247</f>
        <v>-22.490000000000009</v>
      </c>
      <c r="I247" s="25">
        <f t="shared" si="22"/>
        <v>-1979.4</v>
      </c>
      <c r="J247" s="25">
        <f t="shared" si="23"/>
        <v>-115.63</v>
      </c>
      <c r="K247" s="25">
        <f t="shared" si="24"/>
        <v>-1812.11</v>
      </c>
      <c r="L247" s="25">
        <f t="shared" si="25"/>
        <v>-1748.22</v>
      </c>
      <c r="M247" s="25">
        <f t="shared" si="26"/>
        <v>-64.64</v>
      </c>
      <c r="N247" s="25">
        <f t="shared" si="27"/>
        <v>-4.08</v>
      </c>
      <c r="O247" s="25">
        <f>ROUND(($C247*CIS_Inc*(VLOOKUP($A247,'K3 District Data as of Jan 2025'!$A$3:$M$323,MATCH("Reg",'K3 District Data as of Jan 2025'!$2:$2,0),FALSE)+VLOOKUP($A247,'K3 District Data as of Jan 2025'!$A$3:$M$323,MATCH("Exp",'K3 District Data as of Jan 2025'!$2:$2,0),FALSE))/180)*3+(($C247*CIS_Inc*(VLOOKUP($A247,'K3 District Data as of Jan 2025'!$A$3:$M$323,MATCH("Reg",'K3 District Data as of Jan 2025'!$2:$2,0),FALSE)+VLOOKUP($A247,'K3 District Data as of Jan 2025'!$A$3:$M$323,MATCH("Exp",'K3 District Data as of Jan 2025'!$2:$2,0),FALSE))/180)*3)*CIS_Ben_Inc,2)</f>
        <v>-210.27</v>
      </c>
      <c r="P247" s="23">
        <f t="shared" si="28"/>
        <v>-16991.800000000003</v>
      </c>
    </row>
    <row r="248" spans="1:16" x14ac:dyDescent="0.25">
      <c r="A248" t="s">
        <v>147</v>
      </c>
      <c r="B248" t="s">
        <v>443</v>
      </c>
      <c r="C248" s="33">
        <f>IF(VLOOKUP($A248,'Enroll Data as of January 2025'!$A$3:$T$322,20,FALSE)&gt;0,0,VLOOKUP($A248,'Enroll Data as of January 2025'!$A$3:$T$322,20,FALSE)*'2024-25 PSES Compliance'!$G$13)</f>
        <v>-0.5529599999999999</v>
      </c>
      <c r="D248" s="33">
        <f>IF(VLOOKUP($A248,'Enroll Data as of January 2025'!$A$3:$T$322,20,FALSE)&gt;0,0,VLOOKUP($A248,'Enroll Data as of January 2025'!$A$3:$T$322,20,FALSE)*'2024-25 PSES Compliance'!$G$14)</f>
        <v>-2.3039999999999998E-2</v>
      </c>
      <c r="E248" s="25">
        <f>ROUND($C248*CIS_Base*VLOOKUP($A248,'K3 District Data as of Jan 2025'!$A$3:$M$323,MATCH("Reg base",'K3 District Data as of Jan 2025'!$2:$2,0),FALSE),2)</f>
        <v>-40215.67</v>
      </c>
      <c r="F248" s="25">
        <f>ROUND($C248*CIS_Inc*(VLOOKUP($A248,'K3 District Data as of Jan 2025'!$A$3:$M$323,MATCH("Reg",'K3 District Data as of Jan 2025'!$2:$2,0),FALSE)+VLOOKUP($A248,'K3 District Data as of Jan 2025'!$A$3:$M$323,MATCH("Exp",'K3 District Data as of Jan 2025'!$2:$2,0),FALSE)),2)-E248</f>
        <v>-4760.6399999999994</v>
      </c>
      <c r="G248" s="25">
        <f>ROUND($D248*CLS_Base*VLOOKUP($A248,'K3 District Data as of Jan 2025'!$A$3:$M$323,MATCH("Reg base",'K3 District Data as of Jan 2025'!$2:$2,0),FALSE),2)</f>
        <v>-1202.07</v>
      </c>
      <c r="H248" s="25">
        <f>ROUND($D248*CLS_Inc*VLOOKUP($A248,'K3 District Data as of Jan 2025'!$A$3:$M$323,MATCH("Reg base",'K3 District Data as of Jan 2025'!$2:$2,0),FALSE),2)-G248</f>
        <v>-90.590000000000146</v>
      </c>
      <c r="I248" s="25">
        <f t="shared" si="22"/>
        <v>-7972.98</v>
      </c>
      <c r="J248" s="25">
        <f t="shared" si="23"/>
        <v>-465.74</v>
      </c>
      <c r="K248" s="25">
        <f t="shared" si="24"/>
        <v>-7299.14</v>
      </c>
      <c r="L248" s="25">
        <f t="shared" si="25"/>
        <v>-7041.76</v>
      </c>
      <c r="M248" s="25">
        <f t="shared" si="26"/>
        <v>-260.37</v>
      </c>
      <c r="N248" s="25">
        <f t="shared" si="27"/>
        <v>-16.45</v>
      </c>
      <c r="O248" s="25">
        <f>ROUND(($C248*CIS_Inc*(VLOOKUP($A248,'K3 District Data as of Jan 2025'!$A$3:$M$323,MATCH("Reg",'K3 District Data as of Jan 2025'!$2:$2,0),FALSE)+VLOOKUP($A248,'K3 District Data as of Jan 2025'!$A$3:$M$323,MATCH("Exp",'K3 District Data as of Jan 2025'!$2:$2,0),FALSE))/180)*3+(($C248*CIS_Inc*(VLOOKUP($A248,'K3 District Data as of Jan 2025'!$A$3:$M$323,MATCH("Reg",'K3 District Data as of Jan 2025'!$2:$2,0),FALSE)+VLOOKUP($A248,'K3 District Data as of Jan 2025'!$A$3:$M$323,MATCH("Exp",'K3 District Data as of Jan 2025'!$2:$2,0),FALSE))/180)*3)*CIS_Ben_Inc,2)</f>
        <v>-880.86</v>
      </c>
      <c r="P248" s="23">
        <f t="shared" si="28"/>
        <v>-70206.26999999999</v>
      </c>
    </row>
    <row r="249" spans="1:16" x14ac:dyDescent="0.25">
      <c r="A249" t="s">
        <v>192</v>
      </c>
      <c r="B249" t="s">
        <v>487</v>
      </c>
      <c r="C249" s="33">
        <f>IF(VLOOKUP($A249,'Enroll Data as of January 2025'!$A$3:$T$322,20,FALSE)&gt;0,0,VLOOKUP($A249,'Enroll Data as of January 2025'!$A$3:$T$322,20,FALSE)*'2024-25 PSES Compliance'!$G$13)</f>
        <v>0</v>
      </c>
      <c r="D249" s="33">
        <f>IF(VLOOKUP($A249,'Enroll Data as of January 2025'!$A$3:$T$322,20,FALSE)&gt;0,0,VLOOKUP($A249,'Enroll Data as of January 2025'!$A$3:$T$322,20,FALSE)*'2024-25 PSES Compliance'!$G$14)</f>
        <v>0</v>
      </c>
      <c r="E249" s="25">
        <f>ROUND($C249*CIS_Base*VLOOKUP($A249,'K3 District Data as of Jan 2025'!$A$3:$M$323,MATCH("Reg base",'K3 District Data as of Jan 2025'!$2:$2,0),FALSE),2)</f>
        <v>0</v>
      </c>
      <c r="F249" s="25">
        <f>ROUND($C249*CIS_Inc*(VLOOKUP($A249,'K3 District Data as of Jan 2025'!$A$3:$M$323,MATCH("Reg",'K3 District Data as of Jan 2025'!$2:$2,0),FALSE)+VLOOKUP($A249,'K3 District Data as of Jan 2025'!$A$3:$M$323,MATCH("Exp",'K3 District Data as of Jan 2025'!$2:$2,0),FALSE)),2)-E249</f>
        <v>0</v>
      </c>
      <c r="G249" s="25">
        <f>ROUND($D249*CLS_Base*VLOOKUP($A249,'K3 District Data as of Jan 2025'!$A$3:$M$323,MATCH("Reg base",'K3 District Data as of Jan 2025'!$2:$2,0),FALSE),2)</f>
        <v>0</v>
      </c>
      <c r="H249" s="25">
        <f>ROUND($D249*CLS_Inc*VLOOKUP($A249,'K3 District Data as of Jan 2025'!$A$3:$M$323,MATCH("Reg base",'K3 District Data as of Jan 2025'!$2:$2,0),FALSE),2)-G249</f>
        <v>0</v>
      </c>
      <c r="I249" s="25">
        <f t="shared" si="22"/>
        <v>0</v>
      </c>
      <c r="J249" s="25">
        <f t="shared" si="23"/>
        <v>0</v>
      </c>
      <c r="K249" s="25">
        <f t="shared" si="24"/>
        <v>0</v>
      </c>
      <c r="L249" s="25">
        <f t="shared" si="25"/>
        <v>0</v>
      </c>
      <c r="M249" s="25">
        <f t="shared" si="26"/>
        <v>0</v>
      </c>
      <c r="N249" s="25">
        <f t="shared" si="27"/>
        <v>0</v>
      </c>
      <c r="O249" s="25">
        <f>ROUND(($C249*CIS_Inc*(VLOOKUP($A249,'K3 District Data as of Jan 2025'!$A$3:$M$323,MATCH("Reg",'K3 District Data as of Jan 2025'!$2:$2,0),FALSE)+VLOOKUP($A249,'K3 District Data as of Jan 2025'!$A$3:$M$323,MATCH("Exp",'K3 District Data as of Jan 2025'!$2:$2,0),FALSE))/180)*3+(($C249*CIS_Inc*(VLOOKUP($A249,'K3 District Data as of Jan 2025'!$A$3:$M$323,MATCH("Reg",'K3 District Data as of Jan 2025'!$2:$2,0),FALSE)+VLOOKUP($A249,'K3 District Data as of Jan 2025'!$A$3:$M$323,MATCH("Exp",'K3 District Data as of Jan 2025'!$2:$2,0),FALSE))/180)*3)*CIS_Ben_Inc,2)</f>
        <v>0</v>
      </c>
      <c r="P249" s="23">
        <f t="shared" si="28"/>
        <v>0</v>
      </c>
    </row>
    <row r="250" spans="1:16" x14ac:dyDescent="0.25">
      <c r="A250" t="s">
        <v>163</v>
      </c>
      <c r="B250" t="s">
        <v>459</v>
      </c>
      <c r="C250" s="33">
        <f>IF(VLOOKUP($A250,'Enroll Data as of January 2025'!$A$3:$T$322,20,FALSE)&gt;0,0,VLOOKUP($A250,'Enroll Data as of January 2025'!$A$3:$T$322,20,FALSE)*'2024-25 PSES Compliance'!$G$13)</f>
        <v>0</v>
      </c>
      <c r="D250" s="33">
        <f>IF(VLOOKUP($A250,'Enroll Data as of January 2025'!$A$3:$T$322,20,FALSE)&gt;0,0,VLOOKUP($A250,'Enroll Data as of January 2025'!$A$3:$T$322,20,FALSE)*'2024-25 PSES Compliance'!$G$14)</f>
        <v>0</v>
      </c>
      <c r="E250" s="25">
        <f>ROUND($C250*CIS_Base*VLOOKUP($A250,'K3 District Data as of Jan 2025'!$A$3:$M$323,MATCH("Reg base",'K3 District Data as of Jan 2025'!$2:$2,0),FALSE),2)</f>
        <v>0</v>
      </c>
      <c r="F250" s="25">
        <f>ROUND($C250*CIS_Inc*(VLOOKUP($A250,'K3 District Data as of Jan 2025'!$A$3:$M$323,MATCH("Reg",'K3 District Data as of Jan 2025'!$2:$2,0),FALSE)+VLOOKUP($A250,'K3 District Data as of Jan 2025'!$A$3:$M$323,MATCH("Exp",'K3 District Data as of Jan 2025'!$2:$2,0),FALSE)),2)-E250</f>
        <v>0</v>
      </c>
      <c r="G250" s="25">
        <f>ROUND($D250*CLS_Base*VLOOKUP($A250,'K3 District Data as of Jan 2025'!$A$3:$M$323,MATCH("Reg base",'K3 District Data as of Jan 2025'!$2:$2,0),FALSE),2)</f>
        <v>0</v>
      </c>
      <c r="H250" s="25">
        <f>ROUND($D250*CLS_Inc*VLOOKUP($A250,'K3 District Data as of Jan 2025'!$A$3:$M$323,MATCH("Reg base",'K3 District Data as of Jan 2025'!$2:$2,0),FALSE),2)-G250</f>
        <v>0</v>
      </c>
      <c r="I250" s="25">
        <f t="shared" si="22"/>
        <v>0</v>
      </c>
      <c r="J250" s="25">
        <f t="shared" si="23"/>
        <v>0</v>
      </c>
      <c r="K250" s="25">
        <f t="shared" si="24"/>
        <v>0</v>
      </c>
      <c r="L250" s="25">
        <f t="shared" si="25"/>
        <v>0</v>
      </c>
      <c r="M250" s="25">
        <f t="shared" si="26"/>
        <v>0</v>
      </c>
      <c r="N250" s="25">
        <f t="shared" si="27"/>
        <v>0</v>
      </c>
      <c r="O250" s="25">
        <f>ROUND(($C250*CIS_Inc*(VLOOKUP($A250,'K3 District Data as of Jan 2025'!$A$3:$M$323,MATCH("Reg",'K3 District Data as of Jan 2025'!$2:$2,0),FALSE)+VLOOKUP($A250,'K3 District Data as of Jan 2025'!$A$3:$M$323,MATCH("Exp",'K3 District Data as of Jan 2025'!$2:$2,0),FALSE))/180)*3+(($C250*CIS_Inc*(VLOOKUP($A250,'K3 District Data as of Jan 2025'!$A$3:$M$323,MATCH("Reg",'K3 District Data as of Jan 2025'!$2:$2,0),FALSE)+VLOOKUP($A250,'K3 District Data as of Jan 2025'!$A$3:$M$323,MATCH("Exp",'K3 District Data as of Jan 2025'!$2:$2,0),FALSE))/180)*3)*CIS_Ben_Inc,2)</f>
        <v>0</v>
      </c>
      <c r="P250" s="23">
        <f t="shared" si="28"/>
        <v>0</v>
      </c>
    </row>
    <row r="251" spans="1:16" x14ac:dyDescent="0.25">
      <c r="A251" t="s">
        <v>27</v>
      </c>
      <c r="B251" t="s">
        <v>323</v>
      </c>
      <c r="C251" s="33">
        <f>IF(VLOOKUP($A251,'Enroll Data as of January 2025'!$A$3:$T$322,20,FALSE)&gt;0,0,VLOOKUP($A251,'Enroll Data as of January 2025'!$A$3:$T$322,20,FALSE)*'2024-25 PSES Compliance'!$G$13)</f>
        <v>0</v>
      </c>
      <c r="D251" s="33">
        <f>IF(VLOOKUP($A251,'Enroll Data as of January 2025'!$A$3:$T$322,20,FALSE)&gt;0,0,VLOOKUP($A251,'Enroll Data as of January 2025'!$A$3:$T$322,20,FALSE)*'2024-25 PSES Compliance'!$G$14)</f>
        <v>0</v>
      </c>
      <c r="E251" s="25">
        <f>ROUND($C251*CIS_Base*VLOOKUP($A251,'K3 District Data as of Jan 2025'!$A$3:$M$323,MATCH("Reg base",'K3 District Data as of Jan 2025'!$2:$2,0),FALSE),2)</f>
        <v>0</v>
      </c>
      <c r="F251" s="25">
        <f>ROUND($C251*CIS_Inc*(VLOOKUP($A251,'K3 District Data as of Jan 2025'!$A$3:$M$323,MATCH("Reg",'K3 District Data as of Jan 2025'!$2:$2,0),FALSE)+VLOOKUP($A251,'K3 District Data as of Jan 2025'!$A$3:$M$323,MATCH("Exp",'K3 District Data as of Jan 2025'!$2:$2,0),FALSE)),2)-E251</f>
        <v>0</v>
      </c>
      <c r="G251" s="25">
        <f>ROUND($D251*CLS_Base*VLOOKUP($A251,'K3 District Data as of Jan 2025'!$A$3:$M$323,MATCH("Reg base",'K3 District Data as of Jan 2025'!$2:$2,0),FALSE),2)</f>
        <v>0</v>
      </c>
      <c r="H251" s="25">
        <f>ROUND($D251*CLS_Inc*VLOOKUP($A251,'K3 District Data as of Jan 2025'!$A$3:$M$323,MATCH("Reg base",'K3 District Data as of Jan 2025'!$2:$2,0),FALSE),2)-G251</f>
        <v>0</v>
      </c>
      <c r="I251" s="25">
        <f t="shared" si="22"/>
        <v>0</v>
      </c>
      <c r="J251" s="25">
        <f t="shared" si="23"/>
        <v>0</v>
      </c>
      <c r="K251" s="25">
        <f t="shared" si="24"/>
        <v>0</v>
      </c>
      <c r="L251" s="25">
        <f t="shared" si="25"/>
        <v>0</v>
      </c>
      <c r="M251" s="25">
        <f t="shared" si="26"/>
        <v>0</v>
      </c>
      <c r="N251" s="25">
        <f t="shared" si="27"/>
        <v>0</v>
      </c>
      <c r="O251" s="25">
        <f>ROUND(($C251*CIS_Inc*(VLOOKUP($A251,'K3 District Data as of Jan 2025'!$A$3:$M$323,MATCH("Reg",'K3 District Data as of Jan 2025'!$2:$2,0),FALSE)+VLOOKUP($A251,'K3 District Data as of Jan 2025'!$A$3:$M$323,MATCH("Exp",'K3 District Data as of Jan 2025'!$2:$2,0),FALSE))/180)*3+(($C251*CIS_Inc*(VLOOKUP($A251,'K3 District Data as of Jan 2025'!$A$3:$M$323,MATCH("Reg",'K3 District Data as of Jan 2025'!$2:$2,0),FALSE)+VLOOKUP($A251,'K3 District Data as of Jan 2025'!$A$3:$M$323,MATCH("Exp",'K3 District Data as of Jan 2025'!$2:$2,0),FALSE))/180)*3)*CIS_Ben_Inc,2)</f>
        <v>0</v>
      </c>
      <c r="P251" s="23">
        <f t="shared" si="28"/>
        <v>0</v>
      </c>
    </row>
    <row r="252" spans="1:16" x14ac:dyDescent="0.25">
      <c r="A252" t="s">
        <v>267</v>
      </c>
      <c r="B252" t="s">
        <v>563</v>
      </c>
      <c r="C252" s="33">
        <f>IF(VLOOKUP($A252,'Enroll Data as of January 2025'!$A$3:$T$322,20,FALSE)&gt;0,0,VLOOKUP($A252,'Enroll Data as of January 2025'!$A$3:$T$322,20,FALSE)*'2024-25 PSES Compliance'!$G$13)</f>
        <v>-0.97919999999999996</v>
      </c>
      <c r="D252" s="33">
        <f>IF(VLOOKUP($A252,'Enroll Data as of January 2025'!$A$3:$T$322,20,FALSE)&gt;0,0,VLOOKUP($A252,'Enroll Data as of January 2025'!$A$3:$T$322,20,FALSE)*'2024-25 PSES Compliance'!$G$14)</f>
        <v>-4.0800000000000003E-2</v>
      </c>
      <c r="E252" s="25">
        <f>ROUND($C252*CIS_Base*VLOOKUP($A252,'K3 District Data as of Jan 2025'!$A$3:$M$323,MATCH("Reg base",'K3 District Data as of Jan 2025'!$2:$2,0),FALSE),2)</f>
        <v>-71215.259999999995</v>
      </c>
      <c r="F252" s="25">
        <f>ROUND($C252*CIS_Inc*(VLOOKUP($A252,'K3 District Data as of Jan 2025'!$A$3:$M$323,MATCH("Reg",'K3 District Data as of Jan 2025'!$2:$2,0),FALSE)+VLOOKUP($A252,'K3 District Data as of Jan 2025'!$A$3:$M$323,MATCH("Exp",'K3 District Data as of Jan 2025'!$2:$2,0),FALSE)),2)-E252</f>
        <v>-5366.9900000000052</v>
      </c>
      <c r="G252" s="25">
        <f>ROUND($D252*CLS_Base*VLOOKUP($A252,'K3 District Data as of Jan 2025'!$A$3:$M$323,MATCH("Reg base",'K3 District Data as of Jan 2025'!$2:$2,0),FALSE),2)</f>
        <v>-2128.66</v>
      </c>
      <c r="H252" s="25">
        <f>ROUND($D252*CLS_Inc*VLOOKUP($A252,'K3 District Data as of Jan 2025'!$A$3:$M$323,MATCH("Reg base",'K3 District Data as of Jan 2025'!$2:$2,0),FALSE),2)-G252</f>
        <v>-160.42000000000007</v>
      </c>
      <c r="I252" s="25">
        <f t="shared" si="22"/>
        <v>-14118.81</v>
      </c>
      <c r="J252" s="25">
        <f t="shared" si="23"/>
        <v>-824.75</v>
      </c>
      <c r="K252" s="25">
        <f t="shared" si="24"/>
        <v>-12925.57</v>
      </c>
      <c r="L252" s="25">
        <f t="shared" si="25"/>
        <v>-12469.79</v>
      </c>
      <c r="M252" s="25">
        <f t="shared" si="26"/>
        <v>-461.07</v>
      </c>
      <c r="N252" s="25">
        <f t="shared" si="27"/>
        <v>-29.13</v>
      </c>
      <c r="O252" s="25">
        <f>ROUND(($C252*CIS_Inc*(VLOOKUP($A252,'K3 District Data as of Jan 2025'!$A$3:$M$323,MATCH("Reg",'K3 District Data as of Jan 2025'!$2:$2,0),FALSE)+VLOOKUP($A252,'K3 District Data as of Jan 2025'!$A$3:$M$323,MATCH("Exp",'K3 District Data as of Jan 2025'!$2:$2,0),FALSE))/180)*3+(($C252*CIS_Inc*(VLOOKUP($A252,'K3 District Data as of Jan 2025'!$A$3:$M$323,MATCH("Reg",'K3 District Data as of Jan 2025'!$2:$2,0),FALSE)+VLOOKUP($A252,'K3 District Data as of Jan 2025'!$A$3:$M$323,MATCH("Exp",'K3 District Data as of Jan 2025'!$2:$2,0),FALSE))/180)*3)*CIS_Ben_Inc,2)</f>
        <v>-1499.86</v>
      </c>
      <c r="P252" s="23">
        <f t="shared" si="28"/>
        <v>-121200.31000000001</v>
      </c>
    </row>
    <row r="253" spans="1:16" x14ac:dyDescent="0.25">
      <c r="A253" t="s">
        <v>628</v>
      </c>
      <c r="B253" t="s">
        <v>629</v>
      </c>
      <c r="C253" s="33">
        <f>IF(VLOOKUP($A253,'Enroll Data as of January 2025'!$A$3:$T$322,20,FALSE)&gt;0,0,VLOOKUP($A253,'Enroll Data as of January 2025'!$A$3:$T$322,20,FALSE)*'2024-25 PSES Compliance'!$G$13)</f>
        <v>0</v>
      </c>
      <c r="D253" s="33">
        <f>IF(VLOOKUP($A253,'Enroll Data as of January 2025'!$A$3:$T$322,20,FALSE)&gt;0,0,VLOOKUP($A253,'Enroll Data as of January 2025'!$A$3:$T$322,20,FALSE)*'2024-25 PSES Compliance'!$G$14)</f>
        <v>0</v>
      </c>
      <c r="E253" s="25">
        <f>ROUND($C253*CIS_Base*VLOOKUP($A253,'K3 District Data as of Jan 2025'!$A$3:$M$323,MATCH("Reg base",'K3 District Data as of Jan 2025'!$2:$2,0),FALSE),2)</f>
        <v>0</v>
      </c>
      <c r="F253" s="25">
        <f>ROUND($C253*CIS_Inc*(VLOOKUP($A253,'K3 District Data as of Jan 2025'!$A$3:$M$323,MATCH("Reg",'K3 District Data as of Jan 2025'!$2:$2,0),FALSE)+VLOOKUP($A253,'K3 District Data as of Jan 2025'!$A$3:$M$323,MATCH("Exp",'K3 District Data as of Jan 2025'!$2:$2,0),FALSE)),2)-E253</f>
        <v>0</v>
      </c>
      <c r="G253" s="25">
        <f>ROUND($D253*CLS_Base*VLOOKUP($A253,'K3 District Data as of Jan 2025'!$A$3:$M$323,MATCH("Reg base",'K3 District Data as of Jan 2025'!$2:$2,0),FALSE),2)</f>
        <v>0</v>
      </c>
      <c r="H253" s="25">
        <f>ROUND($D253*CLS_Inc*VLOOKUP($A253,'K3 District Data as of Jan 2025'!$A$3:$M$323,MATCH("Reg base",'K3 District Data as of Jan 2025'!$2:$2,0),FALSE),2)-G253</f>
        <v>0</v>
      </c>
      <c r="I253" s="25">
        <f t="shared" si="22"/>
        <v>0</v>
      </c>
      <c r="J253" s="25">
        <f t="shared" si="23"/>
        <v>0</v>
      </c>
      <c r="K253" s="25">
        <f t="shared" si="24"/>
        <v>0</v>
      </c>
      <c r="L253" s="25">
        <f t="shared" si="25"/>
        <v>0</v>
      </c>
      <c r="M253" s="25">
        <f t="shared" si="26"/>
        <v>0</v>
      </c>
      <c r="N253" s="25">
        <f t="shared" si="27"/>
        <v>0</v>
      </c>
      <c r="O253" s="25">
        <f>ROUND(($C253*CIS_Inc*(VLOOKUP($A253,'K3 District Data as of Jan 2025'!$A$3:$M$323,MATCH("Reg",'K3 District Data as of Jan 2025'!$2:$2,0),FALSE)+VLOOKUP($A253,'K3 District Data as of Jan 2025'!$A$3:$M$323,MATCH("Exp",'K3 District Data as of Jan 2025'!$2:$2,0),FALSE))/180)*3+(($C253*CIS_Inc*(VLOOKUP($A253,'K3 District Data as of Jan 2025'!$A$3:$M$323,MATCH("Reg",'K3 District Data as of Jan 2025'!$2:$2,0),FALSE)+VLOOKUP($A253,'K3 District Data as of Jan 2025'!$A$3:$M$323,MATCH("Exp",'K3 District Data as of Jan 2025'!$2:$2,0),FALSE))/180)*3)*CIS_Ben_Inc,2)</f>
        <v>0</v>
      </c>
      <c r="P253" s="23">
        <f t="shared" si="28"/>
        <v>0</v>
      </c>
    </row>
    <row r="254" spans="1:16" x14ac:dyDescent="0.25">
      <c r="A254" t="s">
        <v>18</v>
      </c>
      <c r="B254" t="s">
        <v>315</v>
      </c>
      <c r="C254" s="33">
        <f>IF(VLOOKUP($A254,'Enroll Data as of January 2025'!$A$3:$T$322,20,FALSE)&gt;0,0,VLOOKUP($A254,'Enroll Data as of January 2025'!$A$3:$T$322,20,FALSE)*'2024-25 PSES Compliance'!$G$13)</f>
        <v>0</v>
      </c>
      <c r="D254" s="33">
        <f>IF(VLOOKUP($A254,'Enroll Data as of January 2025'!$A$3:$T$322,20,FALSE)&gt;0,0,VLOOKUP($A254,'Enroll Data as of January 2025'!$A$3:$T$322,20,FALSE)*'2024-25 PSES Compliance'!$G$14)</f>
        <v>0</v>
      </c>
      <c r="E254" s="25">
        <f>ROUND($C254*CIS_Base*VLOOKUP($A254,'K3 District Data as of Jan 2025'!$A$3:$M$323,MATCH("Reg base",'K3 District Data as of Jan 2025'!$2:$2,0),FALSE),2)</f>
        <v>0</v>
      </c>
      <c r="F254" s="25">
        <f>ROUND($C254*CIS_Inc*(VLOOKUP($A254,'K3 District Data as of Jan 2025'!$A$3:$M$323,MATCH("Reg",'K3 District Data as of Jan 2025'!$2:$2,0),FALSE)+VLOOKUP($A254,'K3 District Data as of Jan 2025'!$A$3:$M$323,MATCH("Exp",'K3 District Data as of Jan 2025'!$2:$2,0),FALSE)),2)-E254</f>
        <v>0</v>
      </c>
      <c r="G254" s="25">
        <f>ROUND($D254*CLS_Base*VLOOKUP($A254,'K3 District Data as of Jan 2025'!$A$3:$M$323,MATCH("Reg base",'K3 District Data as of Jan 2025'!$2:$2,0),FALSE),2)</f>
        <v>0</v>
      </c>
      <c r="H254" s="25">
        <f>ROUND($D254*CLS_Inc*VLOOKUP($A254,'K3 District Data as of Jan 2025'!$A$3:$M$323,MATCH("Reg base",'K3 District Data as of Jan 2025'!$2:$2,0),FALSE),2)-G254</f>
        <v>0</v>
      </c>
      <c r="I254" s="25">
        <f t="shared" si="22"/>
        <v>0</v>
      </c>
      <c r="J254" s="25">
        <f t="shared" si="23"/>
        <v>0</v>
      </c>
      <c r="K254" s="25">
        <f t="shared" si="24"/>
        <v>0</v>
      </c>
      <c r="L254" s="25">
        <f t="shared" si="25"/>
        <v>0</v>
      </c>
      <c r="M254" s="25">
        <f t="shared" si="26"/>
        <v>0</v>
      </c>
      <c r="N254" s="25">
        <f t="shared" si="27"/>
        <v>0</v>
      </c>
      <c r="O254" s="25">
        <f>ROUND(($C254*CIS_Inc*(VLOOKUP($A254,'K3 District Data as of Jan 2025'!$A$3:$M$323,MATCH("Reg",'K3 District Data as of Jan 2025'!$2:$2,0),FALSE)+VLOOKUP($A254,'K3 District Data as of Jan 2025'!$A$3:$M$323,MATCH("Exp",'K3 District Data as of Jan 2025'!$2:$2,0),FALSE))/180)*3+(($C254*CIS_Inc*(VLOOKUP($A254,'K3 District Data as of Jan 2025'!$A$3:$M$323,MATCH("Reg",'K3 District Data as of Jan 2025'!$2:$2,0),FALSE)+VLOOKUP($A254,'K3 District Data as of Jan 2025'!$A$3:$M$323,MATCH("Exp",'K3 District Data as of Jan 2025'!$2:$2,0),FALSE))/180)*3)*CIS_Ben_Inc,2)</f>
        <v>0</v>
      </c>
      <c r="P254" s="23">
        <f t="shared" si="28"/>
        <v>0</v>
      </c>
    </row>
    <row r="255" spans="1:16" x14ac:dyDescent="0.25">
      <c r="A255" t="s">
        <v>279</v>
      </c>
      <c r="B255" t="s">
        <v>575</v>
      </c>
      <c r="C255" s="33">
        <f>IF(VLOOKUP($A255,'Enroll Data as of January 2025'!$A$3:$T$322,20,FALSE)&gt;0,0,VLOOKUP($A255,'Enroll Data as of January 2025'!$A$3:$T$322,20,FALSE)*'2024-25 PSES Compliance'!$G$13)</f>
        <v>-9.0240000000000001E-2</v>
      </c>
      <c r="D255" s="33">
        <f>IF(VLOOKUP($A255,'Enroll Data as of January 2025'!$A$3:$T$322,20,FALSE)&gt;0,0,VLOOKUP($A255,'Enroll Data as of January 2025'!$A$3:$T$322,20,FALSE)*'2024-25 PSES Compliance'!$G$14)</f>
        <v>-3.7599999999999999E-3</v>
      </c>
      <c r="E255" s="25">
        <f>ROUND($C255*CIS_Base*VLOOKUP($A255,'K3 District Data as of Jan 2025'!$A$3:$M$323,MATCH("Reg base",'K3 District Data as of Jan 2025'!$2:$2,0),FALSE),2)</f>
        <v>-6562.97</v>
      </c>
      <c r="F255" s="25">
        <f>ROUND($C255*CIS_Inc*(VLOOKUP($A255,'K3 District Data as of Jan 2025'!$A$3:$M$323,MATCH("Reg",'K3 District Data as of Jan 2025'!$2:$2,0),FALSE)+VLOOKUP($A255,'K3 District Data as of Jan 2025'!$A$3:$M$323,MATCH("Exp",'K3 District Data as of Jan 2025'!$2:$2,0),FALSE)),2)-E255</f>
        <v>-494.60999999999967</v>
      </c>
      <c r="G255" s="25">
        <f>ROUND($D255*CLS_Base*VLOOKUP($A255,'K3 District Data as of Jan 2025'!$A$3:$M$323,MATCH("Reg base",'K3 District Data as of Jan 2025'!$2:$2,0),FALSE),2)</f>
        <v>-196.17</v>
      </c>
      <c r="H255" s="25">
        <f>ROUND($D255*CLS_Inc*VLOOKUP($A255,'K3 District Data as of Jan 2025'!$A$3:$M$323,MATCH("Reg base",'K3 District Data as of Jan 2025'!$2:$2,0),FALSE),2)-G255</f>
        <v>-14.780000000000001</v>
      </c>
      <c r="I255" s="25">
        <f t="shared" si="22"/>
        <v>-1301.1500000000001</v>
      </c>
      <c r="J255" s="25">
        <f t="shared" si="23"/>
        <v>-76.010000000000005</v>
      </c>
      <c r="K255" s="25">
        <f t="shared" si="24"/>
        <v>-1191.18</v>
      </c>
      <c r="L255" s="25">
        <f t="shared" si="25"/>
        <v>-1149.18</v>
      </c>
      <c r="M255" s="25">
        <f t="shared" si="26"/>
        <v>-42.49</v>
      </c>
      <c r="N255" s="25">
        <f t="shared" si="27"/>
        <v>-2.68</v>
      </c>
      <c r="O255" s="25">
        <f>ROUND(($C255*CIS_Inc*(VLOOKUP($A255,'K3 District Data as of Jan 2025'!$A$3:$M$323,MATCH("Reg",'K3 District Data as of Jan 2025'!$2:$2,0),FALSE)+VLOOKUP($A255,'K3 District Data as of Jan 2025'!$A$3:$M$323,MATCH("Exp",'K3 District Data as of Jan 2025'!$2:$2,0),FALSE))/180)*3+(($C255*CIS_Inc*(VLOOKUP($A255,'K3 District Data as of Jan 2025'!$A$3:$M$323,MATCH("Reg",'K3 District Data as of Jan 2025'!$2:$2,0),FALSE)+VLOOKUP($A255,'K3 District Data as of Jan 2025'!$A$3:$M$323,MATCH("Exp",'K3 District Data as of Jan 2025'!$2:$2,0),FALSE))/180)*3)*CIS_Ben_Inc,2)</f>
        <v>-138.22</v>
      </c>
      <c r="P255" s="23">
        <f t="shared" si="28"/>
        <v>-11169.44</v>
      </c>
    </row>
    <row r="256" spans="1:16" x14ac:dyDescent="0.25">
      <c r="A256" t="s">
        <v>184</v>
      </c>
      <c r="B256" t="s">
        <v>480</v>
      </c>
      <c r="C256" s="33">
        <f>IF(VLOOKUP($A256,'Enroll Data as of January 2025'!$A$3:$T$322,20,FALSE)&gt;0,0,VLOOKUP($A256,'Enroll Data as of January 2025'!$A$3:$T$322,20,FALSE)*'2024-25 PSES Compliance'!$G$13)</f>
        <v>0</v>
      </c>
      <c r="D256" s="33">
        <f>IF(VLOOKUP($A256,'Enroll Data as of January 2025'!$A$3:$T$322,20,FALSE)&gt;0,0,VLOOKUP($A256,'Enroll Data as of January 2025'!$A$3:$T$322,20,FALSE)*'2024-25 PSES Compliance'!$G$14)</f>
        <v>0</v>
      </c>
      <c r="E256" s="25">
        <f>ROUND($C256*CIS_Base*VLOOKUP($A256,'K3 District Data as of Jan 2025'!$A$3:$M$323,MATCH("Reg base",'K3 District Data as of Jan 2025'!$2:$2,0),FALSE),2)</f>
        <v>0</v>
      </c>
      <c r="F256" s="25">
        <f>ROUND($C256*CIS_Inc*(VLOOKUP($A256,'K3 District Data as of Jan 2025'!$A$3:$M$323,MATCH("Reg",'K3 District Data as of Jan 2025'!$2:$2,0),FALSE)+VLOOKUP($A256,'K3 District Data as of Jan 2025'!$A$3:$M$323,MATCH("Exp",'K3 District Data as of Jan 2025'!$2:$2,0),FALSE)),2)-E256</f>
        <v>0</v>
      </c>
      <c r="G256" s="25">
        <f>ROUND($D256*CLS_Base*VLOOKUP($A256,'K3 District Data as of Jan 2025'!$A$3:$M$323,MATCH("Reg base",'K3 District Data as of Jan 2025'!$2:$2,0),FALSE),2)</f>
        <v>0</v>
      </c>
      <c r="H256" s="25">
        <f>ROUND($D256*CLS_Inc*VLOOKUP($A256,'K3 District Data as of Jan 2025'!$A$3:$M$323,MATCH("Reg base",'K3 District Data as of Jan 2025'!$2:$2,0),FALSE),2)-G256</f>
        <v>0</v>
      </c>
      <c r="I256" s="25">
        <f t="shared" si="22"/>
        <v>0</v>
      </c>
      <c r="J256" s="25">
        <f t="shared" si="23"/>
        <v>0</v>
      </c>
      <c r="K256" s="25">
        <f t="shared" si="24"/>
        <v>0</v>
      </c>
      <c r="L256" s="25">
        <f t="shared" si="25"/>
        <v>0</v>
      </c>
      <c r="M256" s="25">
        <f t="shared" si="26"/>
        <v>0</v>
      </c>
      <c r="N256" s="25">
        <f t="shared" si="27"/>
        <v>0</v>
      </c>
      <c r="O256" s="25">
        <f>ROUND(($C256*CIS_Inc*(VLOOKUP($A256,'K3 District Data as of Jan 2025'!$A$3:$M$323,MATCH("Reg",'K3 District Data as of Jan 2025'!$2:$2,0),FALSE)+VLOOKUP($A256,'K3 District Data as of Jan 2025'!$A$3:$M$323,MATCH("Exp",'K3 District Data as of Jan 2025'!$2:$2,0),FALSE))/180)*3+(($C256*CIS_Inc*(VLOOKUP($A256,'K3 District Data as of Jan 2025'!$A$3:$M$323,MATCH("Reg",'K3 District Data as of Jan 2025'!$2:$2,0),FALSE)+VLOOKUP($A256,'K3 District Data as of Jan 2025'!$A$3:$M$323,MATCH("Exp",'K3 District Data as of Jan 2025'!$2:$2,0),FALSE))/180)*3)*CIS_Ben_Inc,2)</f>
        <v>0</v>
      </c>
      <c r="P256" s="23">
        <f t="shared" si="28"/>
        <v>0</v>
      </c>
    </row>
    <row r="257" spans="1:16" x14ac:dyDescent="0.25">
      <c r="A257" t="s">
        <v>93</v>
      </c>
      <c r="B257" t="s">
        <v>389</v>
      </c>
      <c r="C257" s="33">
        <f>IF(VLOOKUP($A257,'Enroll Data as of January 2025'!$A$3:$T$322,20,FALSE)&gt;0,0,VLOOKUP($A257,'Enroll Data as of January 2025'!$A$3:$T$322,20,FALSE)*'2024-25 PSES Compliance'!$G$13)</f>
        <v>0</v>
      </c>
      <c r="D257" s="33">
        <f>IF(VLOOKUP($A257,'Enroll Data as of January 2025'!$A$3:$T$322,20,FALSE)&gt;0,0,VLOOKUP($A257,'Enroll Data as of January 2025'!$A$3:$T$322,20,FALSE)*'2024-25 PSES Compliance'!$G$14)</f>
        <v>0</v>
      </c>
      <c r="E257" s="25">
        <f>ROUND($C257*CIS_Base*VLOOKUP($A257,'K3 District Data as of Jan 2025'!$A$3:$M$323,MATCH("Reg base",'K3 District Data as of Jan 2025'!$2:$2,0),FALSE),2)</f>
        <v>0</v>
      </c>
      <c r="F257" s="25">
        <f>ROUND($C257*CIS_Inc*(VLOOKUP($A257,'K3 District Data as of Jan 2025'!$A$3:$M$323,MATCH("Reg",'K3 District Data as of Jan 2025'!$2:$2,0),FALSE)+VLOOKUP($A257,'K3 District Data as of Jan 2025'!$A$3:$M$323,MATCH("Exp",'K3 District Data as of Jan 2025'!$2:$2,0),FALSE)),2)-E257</f>
        <v>0</v>
      </c>
      <c r="G257" s="25">
        <f>ROUND($D257*CLS_Base*VLOOKUP($A257,'K3 District Data as of Jan 2025'!$A$3:$M$323,MATCH("Reg base",'K3 District Data as of Jan 2025'!$2:$2,0),FALSE),2)</f>
        <v>0</v>
      </c>
      <c r="H257" s="25">
        <f>ROUND($D257*CLS_Inc*VLOOKUP($A257,'K3 District Data as of Jan 2025'!$A$3:$M$323,MATCH("Reg base",'K3 District Data as of Jan 2025'!$2:$2,0),FALSE),2)-G257</f>
        <v>0</v>
      </c>
      <c r="I257" s="25">
        <f t="shared" si="22"/>
        <v>0</v>
      </c>
      <c r="J257" s="25">
        <f t="shared" si="23"/>
        <v>0</v>
      </c>
      <c r="K257" s="25">
        <f t="shared" si="24"/>
        <v>0</v>
      </c>
      <c r="L257" s="25">
        <f t="shared" si="25"/>
        <v>0</v>
      </c>
      <c r="M257" s="25">
        <f t="shared" si="26"/>
        <v>0</v>
      </c>
      <c r="N257" s="25">
        <f t="shared" si="27"/>
        <v>0</v>
      </c>
      <c r="O257" s="25">
        <f>ROUND(($C257*CIS_Inc*(VLOOKUP($A257,'K3 District Data as of Jan 2025'!$A$3:$M$323,MATCH("Reg",'K3 District Data as of Jan 2025'!$2:$2,0),FALSE)+VLOOKUP($A257,'K3 District Data as of Jan 2025'!$A$3:$M$323,MATCH("Exp",'K3 District Data as of Jan 2025'!$2:$2,0),FALSE))/180)*3+(($C257*CIS_Inc*(VLOOKUP($A257,'K3 District Data as of Jan 2025'!$A$3:$M$323,MATCH("Reg",'K3 District Data as of Jan 2025'!$2:$2,0),FALSE)+VLOOKUP($A257,'K3 District Data as of Jan 2025'!$A$3:$M$323,MATCH("Exp",'K3 District Data as of Jan 2025'!$2:$2,0),FALSE))/180)*3)*CIS_Ben_Inc,2)</f>
        <v>0</v>
      </c>
      <c r="P257" s="23">
        <f t="shared" si="28"/>
        <v>0</v>
      </c>
    </row>
    <row r="258" spans="1:16" x14ac:dyDescent="0.25">
      <c r="A258" t="s">
        <v>613</v>
      </c>
      <c r="B258" t="s">
        <v>614</v>
      </c>
      <c r="C258" s="33">
        <f>IF(VLOOKUP($A258,'Enroll Data as of January 2025'!$A$3:$T$322,20,FALSE)&gt;0,0,VLOOKUP($A258,'Enroll Data as of January 2025'!$A$3:$T$322,20,FALSE)*'2024-25 PSES Compliance'!$G$13)</f>
        <v>0</v>
      </c>
      <c r="D258" s="33">
        <f>IF(VLOOKUP($A258,'Enroll Data as of January 2025'!$A$3:$T$322,20,FALSE)&gt;0,0,VLOOKUP($A258,'Enroll Data as of January 2025'!$A$3:$T$322,20,FALSE)*'2024-25 PSES Compliance'!$G$14)</f>
        <v>0</v>
      </c>
      <c r="E258" s="25">
        <f>ROUND($C258*CIS_Base*VLOOKUP($A258,'K3 District Data as of Jan 2025'!$A$3:$M$323,MATCH("Reg base",'K3 District Data as of Jan 2025'!$2:$2,0),FALSE),2)</f>
        <v>0</v>
      </c>
      <c r="F258" s="25">
        <f>ROUND($C258*CIS_Inc*(VLOOKUP($A258,'K3 District Data as of Jan 2025'!$A$3:$M$323,MATCH("Reg",'K3 District Data as of Jan 2025'!$2:$2,0),FALSE)+VLOOKUP($A258,'K3 District Data as of Jan 2025'!$A$3:$M$323,MATCH("Exp",'K3 District Data as of Jan 2025'!$2:$2,0),FALSE)),2)-E258</f>
        <v>0</v>
      </c>
      <c r="G258" s="25">
        <f>ROUND($D258*CLS_Base*VLOOKUP($A258,'K3 District Data as of Jan 2025'!$A$3:$M$323,MATCH("Reg base",'K3 District Data as of Jan 2025'!$2:$2,0),FALSE),2)</f>
        <v>0</v>
      </c>
      <c r="H258" s="25">
        <f>ROUND($D258*CLS_Inc*VLOOKUP($A258,'K3 District Data as of Jan 2025'!$A$3:$M$323,MATCH("Reg base",'K3 District Data as of Jan 2025'!$2:$2,0),FALSE),2)-G258</f>
        <v>0</v>
      </c>
      <c r="I258" s="25">
        <f t="shared" si="22"/>
        <v>0</v>
      </c>
      <c r="J258" s="25">
        <f t="shared" si="23"/>
        <v>0</v>
      </c>
      <c r="K258" s="25">
        <f t="shared" si="24"/>
        <v>0</v>
      </c>
      <c r="L258" s="25">
        <f t="shared" si="25"/>
        <v>0</v>
      </c>
      <c r="M258" s="25">
        <f t="shared" si="26"/>
        <v>0</v>
      </c>
      <c r="N258" s="25">
        <f t="shared" si="27"/>
        <v>0</v>
      </c>
      <c r="O258" s="25">
        <f>ROUND(($C258*CIS_Inc*(VLOOKUP($A258,'K3 District Data as of Jan 2025'!$A$3:$M$323,MATCH("Reg",'K3 District Data as of Jan 2025'!$2:$2,0),FALSE)+VLOOKUP($A258,'K3 District Data as of Jan 2025'!$A$3:$M$323,MATCH("Exp",'K3 District Data as of Jan 2025'!$2:$2,0),FALSE))/180)*3+(($C258*CIS_Inc*(VLOOKUP($A258,'K3 District Data as of Jan 2025'!$A$3:$M$323,MATCH("Reg",'K3 District Data as of Jan 2025'!$2:$2,0),FALSE)+VLOOKUP($A258,'K3 District Data as of Jan 2025'!$A$3:$M$323,MATCH("Exp",'K3 District Data as of Jan 2025'!$2:$2,0),FALSE))/180)*3)*CIS_Ben_Inc,2)</f>
        <v>0</v>
      </c>
      <c r="P258" s="23">
        <f t="shared" si="28"/>
        <v>0</v>
      </c>
    </row>
    <row r="259" spans="1:16" x14ac:dyDescent="0.25">
      <c r="A259" t="s">
        <v>31</v>
      </c>
      <c r="B259" t="s">
        <v>327</v>
      </c>
      <c r="C259" s="33">
        <f>IF(VLOOKUP($A259,'Enroll Data as of January 2025'!$A$3:$T$322,20,FALSE)&gt;0,0,VLOOKUP($A259,'Enroll Data as of January 2025'!$A$3:$T$322,20,FALSE)*'2024-25 PSES Compliance'!$G$13)</f>
        <v>0</v>
      </c>
      <c r="D259" s="33">
        <f>IF(VLOOKUP($A259,'Enroll Data as of January 2025'!$A$3:$T$322,20,FALSE)&gt;0,0,VLOOKUP($A259,'Enroll Data as of January 2025'!$A$3:$T$322,20,FALSE)*'2024-25 PSES Compliance'!$G$14)</f>
        <v>0</v>
      </c>
      <c r="E259" s="25">
        <f>ROUND($C259*CIS_Base*VLOOKUP($A259,'K3 District Data as of Jan 2025'!$A$3:$M$323,MATCH("Reg base",'K3 District Data as of Jan 2025'!$2:$2,0),FALSE),2)</f>
        <v>0</v>
      </c>
      <c r="F259" s="25">
        <f>ROUND($C259*CIS_Inc*(VLOOKUP($A259,'K3 District Data as of Jan 2025'!$A$3:$M$323,MATCH("Reg",'K3 District Data as of Jan 2025'!$2:$2,0),FALSE)+VLOOKUP($A259,'K3 District Data as of Jan 2025'!$A$3:$M$323,MATCH("Exp",'K3 District Data as of Jan 2025'!$2:$2,0),FALSE)),2)-E259</f>
        <v>0</v>
      </c>
      <c r="G259" s="25">
        <f>ROUND($D259*CLS_Base*VLOOKUP($A259,'K3 District Data as of Jan 2025'!$A$3:$M$323,MATCH("Reg base",'K3 District Data as of Jan 2025'!$2:$2,0),FALSE),2)</f>
        <v>0</v>
      </c>
      <c r="H259" s="25">
        <f>ROUND($D259*CLS_Inc*VLOOKUP($A259,'K3 District Data as of Jan 2025'!$A$3:$M$323,MATCH("Reg base",'K3 District Data as of Jan 2025'!$2:$2,0),FALSE),2)-G259</f>
        <v>0</v>
      </c>
      <c r="I259" s="25">
        <f t="shared" ref="I259:I323" si="29">ROUND($C259*CIS_Ins_Inc,2)</f>
        <v>0</v>
      </c>
      <c r="J259" s="25">
        <f t="shared" ref="J259:J323" si="30">ROUND($D259*CLS_Ins_Inc,2)</f>
        <v>0</v>
      </c>
      <c r="K259" s="25">
        <f t="shared" ref="K259:K323" si="31">ROUND(E259*CIS_Ben_Base,2)</f>
        <v>0</v>
      </c>
      <c r="L259" s="25">
        <f t="shared" ref="L259:L323" si="32">ROUND(E259*CIS_Ben_Inc,2)</f>
        <v>0</v>
      </c>
      <c r="M259" s="25">
        <f t="shared" ref="M259:M323" si="33">ROUND(G259*CLS_Ben_Base,2)</f>
        <v>0</v>
      </c>
      <c r="N259" s="25">
        <f t="shared" ref="N259:N323" si="34">ROUND(H259*CLS_Ben_Inc,2)</f>
        <v>0</v>
      </c>
      <c r="O259" s="25">
        <f>ROUND(($C259*CIS_Inc*(VLOOKUP($A259,'K3 District Data as of Jan 2025'!$A$3:$M$323,MATCH("Reg",'K3 District Data as of Jan 2025'!$2:$2,0),FALSE)+VLOOKUP($A259,'K3 District Data as of Jan 2025'!$A$3:$M$323,MATCH("Exp",'K3 District Data as of Jan 2025'!$2:$2,0),FALSE))/180)*3+(($C259*CIS_Inc*(VLOOKUP($A259,'K3 District Data as of Jan 2025'!$A$3:$M$323,MATCH("Reg",'K3 District Data as of Jan 2025'!$2:$2,0),FALSE)+VLOOKUP($A259,'K3 District Data as of Jan 2025'!$A$3:$M$323,MATCH("Exp",'K3 District Data as of Jan 2025'!$2:$2,0),FALSE))/180)*3)*CIS_Ben_Inc,2)</f>
        <v>0</v>
      </c>
      <c r="P259" s="23">
        <f t="shared" ref="P259:P322" si="35">SUM(E259:O259)</f>
        <v>0</v>
      </c>
    </row>
    <row r="260" spans="1:16" x14ac:dyDescent="0.25">
      <c r="A260" t="s">
        <v>66</v>
      </c>
      <c r="B260" t="s">
        <v>362</v>
      </c>
      <c r="C260" s="33">
        <f>IF(VLOOKUP($A260,'Enroll Data as of January 2025'!$A$3:$T$322,20,FALSE)&gt;0,0,VLOOKUP($A260,'Enroll Data as of January 2025'!$A$3:$T$322,20,FALSE)*'2024-25 PSES Compliance'!$G$13)</f>
        <v>0</v>
      </c>
      <c r="D260" s="33">
        <f>IF(VLOOKUP($A260,'Enroll Data as of January 2025'!$A$3:$T$322,20,FALSE)&gt;0,0,VLOOKUP($A260,'Enroll Data as of January 2025'!$A$3:$T$322,20,FALSE)*'2024-25 PSES Compliance'!$G$14)</f>
        <v>0</v>
      </c>
      <c r="E260" s="25">
        <f>ROUND($C260*CIS_Base*VLOOKUP($A260,'K3 District Data as of Jan 2025'!$A$3:$M$323,MATCH("Reg base",'K3 District Data as of Jan 2025'!$2:$2,0),FALSE),2)</f>
        <v>0</v>
      </c>
      <c r="F260" s="25">
        <f>ROUND($C260*CIS_Inc*(VLOOKUP($A260,'K3 District Data as of Jan 2025'!$A$3:$M$323,MATCH("Reg",'K3 District Data as of Jan 2025'!$2:$2,0),FALSE)+VLOOKUP($A260,'K3 District Data as of Jan 2025'!$A$3:$M$323,MATCH("Exp",'K3 District Data as of Jan 2025'!$2:$2,0),FALSE)),2)-E260</f>
        <v>0</v>
      </c>
      <c r="G260" s="25">
        <f>ROUND($D260*CLS_Base*VLOOKUP($A260,'K3 District Data as of Jan 2025'!$A$3:$M$323,MATCH("Reg base",'K3 District Data as of Jan 2025'!$2:$2,0),FALSE),2)</f>
        <v>0</v>
      </c>
      <c r="H260" s="25">
        <f>ROUND($D260*CLS_Inc*VLOOKUP($A260,'K3 District Data as of Jan 2025'!$A$3:$M$323,MATCH("Reg base",'K3 District Data as of Jan 2025'!$2:$2,0),FALSE),2)-G260</f>
        <v>0</v>
      </c>
      <c r="I260" s="25">
        <f t="shared" si="29"/>
        <v>0</v>
      </c>
      <c r="J260" s="25">
        <f t="shared" si="30"/>
        <v>0</v>
      </c>
      <c r="K260" s="25">
        <f t="shared" si="31"/>
        <v>0</v>
      </c>
      <c r="L260" s="25">
        <f t="shared" si="32"/>
        <v>0</v>
      </c>
      <c r="M260" s="25">
        <f t="shared" si="33"/>
        <v>0</v>
      </c>
      <c r="N260" s="25">
        <f t="shared" si="34"/>
        <v>0</v>
      </c>
      <c r="O260" s="25">
        <f>ROUND(($C260*CIS_Inc*(VLOOKUP($A260,'K3 District Data as of Jan 2025'!$A$3:$M$323,MATCH("Reg",'K3 District Data as of Jan 2025'!$2:$2,0),FALSE)+VLOOKUP($A260,'K3 District Data as of Jan 2025'!$A$3:$M$323,MATCH("Exp",'K3 District Data as of Jan 2025'!$2:$2,0),FALSE))/180)*3+(($C260*CIS_Inc*(VLOOKUP($A260,'K3 District Data as of Jan 2025'!$A$3:$M$323,MATCH("Reg",'K3 District Data as of Jan 2025'!$2:$2,0),FALSE)+VLOOKUP($A260,'K3 District Data as of Jan 2025'!$A$3:$M$323,MATCH("Exp",'K3 District Data as of Jan 2025'!$2:$2,0),FALSE))/180)*3)*CIS_Ben_Inc,2)</f>
        <v>0</v>
      </c>
      <c r="P260" s="23">
        <f t="shared" si="35"/>
        <v>0</v>
      </c>
    </row>
    <row r="261" spans="1:16" x14ac:dyDescent="0.25">
      <c r="A261" t="s">
        <v>102</v>
      </c>
      <c r="B261" t="s">
        <v>398</v>
      </c>
      <c r="C261" s="33">
        <f>IF(VLOOKUP($A261,'Enroll Data as of January 2025'!$A$3:$T$322,20,FALSE)&gt;0,0,VLOOKUP($A261,'Enroll Data as of January 2025'!$A$3:$T$322,20,FALSE)*'2024-25 PSES Compliance'!$G$13)</f>
        <v>0</v>
      </c>
      <c r="D261" s="33">
        <f>IF(VLOOKUP($A261,'Enroll Data as of January 2025'!$A$3:$T$322,20,FALSE)&gt;0,0,VLOOKUP($A261,'Enroll Data as of January 2025'!$A$3:$T$322,20,FALSE)*'2024-25 PSES Compliance'!$G$14)</f>
        <v>0</v>
      </c>
      <c r="E261" s="25">
        <f>ROUND($C261*CIS_Base*VLOOKUP($A261,'K3 District Data as of Jan 2025'!$A$3:$M$323,MATCH("Reg base",'K3 District Data as of Jan 2025'!$2:$2,0),FALSE),2)</f>
        <v>0</v>
      </c>
      <c r="F261" s="25">
        <f>ROUND($C261*CIS_Inc*(VLOOKUP($A261,'K3 District Data as of Jan 2025'!$A$3:$M$323,MATCH("Reg",'K3 District Data as of Jan 2025'!$2:$2,0),FALSE)+VLOOKUP($A261,'K3 District Data as of Jan 2025'!$A$3:$M$323,MATCH("Exp",'K3 District Data as of Jan 2025'!$2:$2,0),FALSE)),2)-E261</f>
        <v>0</v>
      </c>
      <c r="G261" s="25">
        <f>ROUND($D261*CLS_Base*VLOOKUP($A261,'K3 District Data as of Jan 2025'!$A$3:$M$323,MATCH("Reg base",'K3 District Data as of Jan 2025'!$2:$2,0),FALSE),2)</f>
        <v>0</v>
      </c>
      <c r="H261" s="25">
        <f>ROUND($D261*CLS_Inc*VLOOKUP($A261,'K3 District Data as of Jan 2025'!$A$3:$M$323,MATCH("Reg base",'K3 District Data as of Jan 2025'!$2:$2,0),FALSE),2)-G261</f>
        <v>0</v>
      </c>
      <c r="I261" s="25">
        <f t="shared" si="29"/>
        <v>0</v>
      </c>
      <c r="J261" s="25">
        <f t="shared" si="30"/>
        <v>0</v>
      </c>
      <c r="K261" s="25">
        <f t="shared" si="31"/>
        <v>0</v>
      </c>
      <c r="L261" s="25">
        <f t="shared" si="32"/>
        <v>0</v>
      </c>
      <c r="M261" s="25">
        <f t="shared" si="33"/>
        <v>0</v>
      </c>
      <c r="N261" s="25">
        <f t="shared" si="34"/>
        <v>0</v>
      </c>
      <c r="O261" s="25">
        <f>ROUND(($C261*CIS_Inc*(VLOOKUP($A261,'K3 District Data as of Jan 2025'!$A$3:$M$323,MATCH("Reg",'K3 District Data as of Jan 2025'!$2:$2,0),FALSE)+VLOOKUP($A261,'K3 District Data as of Jan 2025'!$A$3:$M$323,MATCH("Exp",'K3 District Data as of Jan 2025'!$2:$2,0),FALSE))/180)*3+(($C261*CIS_Inc*(VLOOKUP($A261,'K3 District Data as of Jan 2025'!$A$3:$M$323,MATCH("Reg",'K3 District Data as of Jan 2025'!$2:$2,0),FALSE)+VLOOKUP($A261,'K3 District Data as of Jan 2025'!$A$3:$M$323,MATCH("Exp",'K3 District Data as of Jan 2025'!$2:$2,0),FALSE))/180)*3)*CIS_Ben_Inc,2)</f>
        <v>0</v>
      </c>
      <c r="P261" s="23">
        <f t="shared" si="35"/>
        <v>0</v>
      </c>
    </row>
    <row r="262" spans="1:16" x14ac:dyDescent="0.25">
      <c r="A262" t="s">
        <v>59</v>
      </c>
      <c r="B262" t="s">
        <v>355</v>
      </c>
      <c r="C262" s="33">
        <f>IF(VLOOKUP($A262,'Enroll Data as of January 2025'!$A$3:$T$322,20,FALSE)&gt;0,0,VLOOKUP($A262,'Enroll Data as of January 2025'!$A$3:$T$322,20,FALSE)*'2024-25 PSES Compliance'!$G$13)</f>
        <v>-0.73151999999999995</v>
      </c>
      <c r="D262" s="33">
        <f>IF(VLOOKUP($A262,'Enroll Data as of January 2025'!$A$3:$T$322,20,FALSE)&gt;0,0,VLOOKUP($A262,'Enroll Data as of January 2025'!$A$3:$T$322,20,FALSE)*'2024-25 PSES Compliance'!$G$14)</f>
        <v>-3.048E-2</v>
      </c>
      <c r="E262" s="25">
        <f>ROUND($C262*CIS_Base*VLOOKUP($A262,'K3 District Data as of Jan 2025'!$A$3:$M$323,MATCH("Reg base",'K3 District Data as of Jan 2025'!$2:$2,0),FALSE),2)</f>
        <v>-53201.99</v>
      </c>
      <c r="F262" s="25">
        <f>ROUND($C262*CIS_Inc*(VLOOKUP($A262,'K3 District Data as of Jan 2025'!$A$3:$M$323,MATCH("Reg",'K3 District Data as of Jan 2025'!$2:$2,0),FALSE)+VLOOKUP($A262,'K3 District Data as of Jan 2025'!$A$3:$M$323,MATCH("Exp",'K3 District Data as of Jan 2025'!$2:$2,0),FALSE)),2)-E262</f>
        <v>-4581.57</v>
      </c>
      <c r="G262" s="25">
        <f>ROUND($D262*CLS_Base*VLOOKUP($A262,'K3 District Data as of Jan 2025'!$A$3:$M$323,MATCH("Reg base",'K3 District Data as of Jan 2025'!$2:$2,0),FALSE),2)</f>
        <v>-1590.23</v>
      </c>
      <c r="H262" s="25">
        <f>ROUND($D262*CLS_Inc*VLOOKUP($A262,'K3 District Data as of Jan 2025'!$A$3:$M$323,MATCH("Reg base",'K3 District Data as of Jan 2025'!$2:$2,0),FALSE),2)-G262</f>
        <v>-119.84999999999991</v>
      </c>
      <c r="I262" s="25">
        <f t="shared" si="29"/>
        <v>-10547.58</v>
      </c>
      <c r="J262" s="25">
        <f t="shared" si="30"/>
        <v>-616.14</v>
      </c>
      <c r="K262" s="25">
        <f t="shared" si="31"/>
        <v>-9656.16</v>
      </c>
      <c r="L262" s="25">
        <f t="shared" si="32"/>
        <v>-9315.67</v>
      </c>
      <c r="M262" s="25">
        <f t="shared" si="33"/>
        <v>-344.44</v>
      </c>
      <c r="N262" s="25">
        <f t="shared" si="34"/>
        <v>-21.76</v>
      </c>
      <c r="O262" s="25">
        <f>ROUND(($C262*CIS_Inc*(VLOOKUP($A262,'K3 District Data as of Jan 2025'!$A$3:$M$323,MATCH("Reg",'K3 District Data as of Jan 2025'!$2:$2,0),FALSE)+VLOOKUP($A262,'K3 District Data as of Jan 2025'!$A$3:$M$323,MATCH("Exp",'K3 District Data as of Jan 2025'!$2:$2,0),FALSE))/180)*3+(($C262*CIS_Inc*(VLOOKUP($A262,'K3 District Data as of Jan 2025'!$A$3:$M$323,MATCH("Reg",'K3 District Data as of Jan 2025'!$2:$2,0),FALSE)+VLOOKUP($A262,'K3 District Data as of Jan 2025'!$A$3:$M$323,MATCH("Exp",'K3 District Data as of Jan 2025'!$2:$2,0),FALSE))/180)*3)*CIS_Ben_Inc,2)</f>
        <v>-1131.69</v>
      </c>
      <c r="P262" s="23">
        <f t="shared" si="35"/>
        <v>-91127.08</v>
      </c>
    </row>
    <row r="263" spans="1:16" x14ac:dyDescent="0.25">
      <c r="A263" t="s">
        <v>19</v>
      </c>
      <c r="B263" t="s">
        <v>316</v>
      </c>
      <c r="C263" s="33">
        <f>IF(VLOOKUP($A263,'Enroll Data as of January 2025'!$A$3:$T$322,20,FALSE)&gt;0,0,VLOOKUP($A263,'Enroll Data as of January 2025'!$A$3:$T$322,20,FALSE)*'2024-25 PSES Compliance'!$G$13)</f>
        <v>0</v>
      </c>
      <c r="D263" s="33">
        <f>IF(VLOOKUP($A263,'Enroll Data as of January 2025'!$A$3:$T$322,20,FALSE)&gt;0,0,VLOOKUP($A263,'Enroll Data as of January 2025'!$A$3:$T$322,20,FALSE)*'2024-25 PSES Compliance'!$G$14)</f>
        <v>0</v>
      </c>
      <c r="E263" s="25">
        <f>ROUND($C263*CIS_Base*VLOOKUP($A263,'K3 District Data as of Jan 2025'!$A$3:$M$323,MATCH("Reg base",'K3 District Data as of Jan 2025'!$2:$2,0),FALSE),2)</f>
        <v>0</v>
      </c>
      <c r="F263" s="25">
        <f>ROUND($C263*CIS_Inc*(VLOOKUP($A263,'K3 District Data as of Jan 2025'!$A$3:$M$323,MATCH("Reg",'K3 District Data as of Jan 2025'!$2:$2,0),FALSE)+VLOOKUP($A263,'K3 District Data as of Jan 2025'!$A$3:$M$323,MATCH("Exp",'K3 District Data as of Jan 2025'!$2:$2,0),FALSE)),2)-E263</f>
        <v>0</v>
      </c>
      <c r="G263" s="25">
        <f>ROUND($D263*CLS_Base*VLOOKUP($A263,'K3 District Data as of Jan 2025'!$A$3:$M$323,MATCH("Reg base",'K3 District Data as of Jan 2025'!$2:$2,0),FALSE),2)</f>
        <v>0</v>
      </c>
      <c r="H263" s="25">
        <f>ROUND($D263*CLS_Inc*VLOOKUP($A263,'K3 District Data as of Jan 2025'!$A$3:$M$323,MATCH("Reg base",'K3 District Data as of Jan 2025'!$2:$2,0),FALSE),2)-G263</f>
        <v>0</v>
      </c>
      <c r="I263" s="25">
        <f t="shared" si="29"/>
        <v>0</v>
      </c>
      <c r="J263" s="25">
        <f t="shared" si="30"/>
        <v>0</v>
      </c>
      <c r="K263" s="25">
        <f t="shared" si="31"/>
        <v>0</v>
      </c>
      <c r="L263" s="25">
        <f t="shared" si="32"/>
        <v>0</v>
      </c>
      <c r="M263" s="25">
        <f t="shared" si="33"/>
        <v>0</v>
      </c>
      <c r="N263" s="25">
        <f t="shared" si="34"/>
        <v>0</v>
      </c>
      <c r="O263" s="25">
        <f>ROUND(($C263*CIS_Inc*(VLOOKUP($A263,'K3 District Data as of Jan 2025'!$A$3:$M$323,MATCH("Reg",'K3 District Data as of Jan 2025'!$2:$2,0),FALSE)+VLOOKUP($A263,'K3 District Data as of Jan 2025'!$A$3:$M$323,MATCH("Exp",'K3 District Data as of Jan 2025'!$2:$2,0),FALSE))/180)*3+(($C263*CIS_Inc*(VLOOKUP($A263,'K3 District Data as of Jan 2025'!$A$3:$M$323,MATCH("Reg",'K3 District Data as of Jan 2025'!$2:$2,0),FALSE)+VLOOKUP($A263,'K3 District Data as of Jan 2025'!$A$3:$M$323,MATCH("Exp",'K3 District Data as of Jan 2025'!$2:$2,0),FALSE))/180)*3)*CIS_Ben_Inc,2)</f>
        <v>0</v>
      </c>
      <c r="P263" s="23">
        <f t="shared" si="35"/>
        <v>0</v>
      </c>
    </row>
    <row r="264" spans="1:16" x14ac:dyDescent="0.25">
      <c r="A264" t="s">
        <v>40</v>
      </c>
      <c r="B264" t="s">
        <v>336</v>
      </c>
      <c r="C264" s="33">
        <f>IF(VLOOKUP($A264,'Enroll Data as of January 2025'!$A$3:$T$322,20,FALSE)&gt;0,0,VLOOKUP($A264,'Enroll Data as of January 2025'!$A$3:$T$322,20,FALSE)*'2024-25 PSES Compliance'!$G$13)</f>
        <v>0</v>
      </c>
      <c r="D264" s="33">
        <f>IF(VLOOKUP($A264,'Enroll Data as of January 2025'!$A$3:$T$322,20,FALSE)&gt;0,0,VLOOKUP($A264,'Enroll Data as of January 2025'!$A$3:$T$322,20,FALSE)*'2024-25 PSES Compliance'!$G$14)</f>
        <v>0</v>
      </c>
      <c r="E264" s="25">
        <f>ROUND($C264*CIS_Base*VLOOKUP($A264,'K3 District Data as of Jan 2025'!$A$3:$M$323,MATCH("Reg base",'K3 District Data as of Jan 2025'!$2:$2,0),FALSE),2)</f>
        <v>0</v>
      </c>
      <c r="F264" s="25">
        <f>ROUND($C264*CIS_Inc*(VLOOKUP($A264,'K3 District Data as of Jan 2025'!$A$3:$M$323,MATCH("Reg",'K3 District Data as of Jan 2025'!$2:$2,0),FALSE)+VLOOKUP($A264,'K3 District Data as of Jan 2025'!$A$3:$M$323,MATCH("Exp",'K3 District Data as of Jan 2025'!$2:$2,0),FALSE)),2)-E264</f>
        <v>0</v>
      </c>
      <c r="G264" s="25">
        <f>ROUND($D264*CLS_Base*VLOOKUP($A264,'K3 District Data as of Jan 2025'!$A$3:$M$323,MATCH("Reg base",'K3 District Data as of Jan 2025'!$2:$2,0),FALSE),2)</f>
        <v>0</v>
      </c>
      <c r="H264" s="25">
        <f>ROUND($D264*CLS_Inc*VLOOKUP($A264,'K3 District Data as of Jan 2025'!$A$3:$M$323,MATCH("Reg base",'K3 District Data as of Jan 2025'!$2:$2,0),FALSE),2)-G264</f>
        <v>0</v>
      </c>
      <c r="I264" s="25">
        <f t="shared" si="29"/>
        <v>0</v>
      </c>
      <c r="J264" s="25">
        <f t="shared" si="30"/>
        <v>0</v>
      </c>
      <c r="K264" s="25">
        <f t="shared" si="31"/>
        <v>0</v>
      </c>
      <c r="L264" s="25">
        <f t="shared" si="32"/>
        <v>0</v>
      </c>
      <c r="M264" s="25">
        <f t="shared" si="33"/>
        <v>0</v>
      </c>
      <c r="N264" s="25">
        <f t="shared" si="34"/>
        <v>0</v>
      </c>
      <c r="O264" s="25">
        <f>ROUND(($C264*CIS_Inc*(VLOOKUP($A264,'K3 District Data as of Jan 2025'!$A$3:$M$323,MATCH("Reg",'K3 District Data as of Jan 2025'!$2:$2,0),FALSE)+VLOOKUP($A264,'K3 District Data as of Jan 2025'!$A$3:$M$323,MATCH("Exp",'K3 District Data as of Jan 2025'!$2:$2,0),FALSE))/180)*3+(($C264*CIS_Inc*(VLOOKUP($A264,'K3 District Data as of Jan 2025'!$A$3:$M$323,MATCH("Reg",'K3 District Data as of Jan 2025'!$2:$2,0),FALSE)+VLOOKUP($A264,'K3 District Data as of Jan 2025'!$A$3:$M$323,MATCH("Exp",'K3 District Data as of Jan 2025'!$2:$2,0),FALSE))/180)*3)*CIS_Ben_Inc,2)</f>
        <v>0</v>
      </c>
      <c r="P264" s="23">
        <f t="shared" si="35"/>
        <v>0</v>
      </c>
    </row>
    <row r="265" spans="1:16" x14ac:dyDescent="0.25">
      <c r="A265" t="s">
        <v>11</v>
      </c>
      <c r="B265" t="s">
        <v>308</v>
      </c>
      <c r="C265" s="33">
        <f>IF(VLOOKUP($A265,'Enroll Data as of January 2025'!$A$3:$T$322,20,FALSE)&gt;0,0,VLOOKUP($A265,'Enroll Data as of January 2025'!$A$3:$T$322,20,FALSE)*'2024-25 PSES Compliance'!$G$13)</f>
        <v>0</v>
      </c>
      <c r="D265" s="33">
        <f>IF(VLOOKUP($A265,'Enroll Data as of January 2025'!$A$3:$T$322,20,FALSE)&gt;0,0,VLOOKUP($A265,'Enroll Data as of January 2025'!$A$3:$T$322,20,FALSE)*'2024-25 PSES Compliance'!$G$14)</f>
        <v>0</v>
      </c>
      <c r="E265" s="25">
        <f>ROUND($C265*CIS_Base*VLOOKUP($A265,'K3 District Data as of Jan 2025'!$A$3:$M$323,MATCH("Reg base",'K3 District Data as of Jan 2025'!$2:$2,0),FALSE),2)</f>
        <v>0</v>
      </c>
      <c r="F265" s="25">
        <f>ROUND($C265*CIS_Inc*(VLOOKUP($A265,'K3 District Data as of Jan 2025'!$A$3:$M$323,MATCH("Reg",'K3 District Data as of Jan 2025'!$2:$2,0),FALSE)+VLOOKUP($A265,'K3 District Data as of Jan 2025'!$A$3:$M$323,MATCH("Exp",'K3 District Data as of Jan 2025'!$2:$2,0),FALSE)),2)-E265</f>
        <v>0</v>
      </c>
      <c r="G265" s="25">
        <f>ROUND($D265*CLS_Base*VLOOKUP($A265,'K3 District Data as of Jan 2025'!$A$3:$M$323,MATCH("Reg base",'K3 District Data as of Jan 2025'!$2:$2,0),FALSE),2)</f>
        <v>0</v>
      </c>
      <c r="H265" s="25">
        <f>ROUND($D265*CLS_Inc*VLOOKUP($A265,'K3 District Data as of Jan 2025'!$A$3:$M$323,MATCH("Reg base",'K3 District Data as of Jan 2025'!$2:$2,0),FALSE),2)-G265</f>
        <v>0</v>
      </c>
      <c r="I265" s="25">
        <f t="shared" si="29"/>
        <v>0</v>
      </c>
      <c r="J265" s="25">
        <f t="shared" si="30"/>
        <v>0</v>
      </c>
      <c r="K265" s="25">
        <f t="shared" si="31"/>
        <v>0</v>
      </c>
      <c r="L265" s="25">
        <f t="shared" si="32"/>
        <v>0</v>
      </c>
      <c r="M265" s="25">
        <f t="shared" si="33"/>
        <v>0</v>
      </c>
      <c r="N265" s="25">
        <f t="shared" si="34"/>
        <v>0</v>
      </c>
      <c r="O265" s="25">
        <f>ROUND(($C265*CIS_Inc*(VLOOKUP($A265,'K3 District Data as of Jan 2025'!$A$3:$M$323,MATCH("Reg",'K3 District Data as of Jan 2025'!$2:$2,0),FALSE)+VLOOKUP($A265,'K3 District Data as of Jan 2025'!$A$3:$M$323,MATCH("Exp",'K3 District Data as of Jan 2025'!$2:$2,0),FALSE))/180)*3+(($C265*CIS_Inc*(VLOOKUP($A265,'K3 District Data as of Jan 2025'!$A$3:$M$323,MATCH("Reg",'K3 District Data as of Jan 2025'!$2:$2,0),FALSE)+VLOOKUP($A265,'K3 District Data as of Jan 2025'!$A$3:$M$323,MATCH("Exp",'K3 District Data as of Jan 2025'!$2:$2,0),FALSE))/180)*3)*CIS_Ben_Inc,2)</f>
        <v>0</v>
      </c>
      <c r="P265" s="23">
        <f t="shared" si="35"/>
        <v>0</v>
      </c>
    </row>
    <row r="266" spans="1:16" x14ac:dyDescent="0.25">
      <c r="A266" t="s">
        <v>239</v>
      </c>
      <c r="B266" t="s">
        <v>535</v>
      </c>
      <c r="C266" s="33">
        <f>IF(VLOOKUP($A266,'Enroll Data as of January 2025'!$A$3:$T$322,20,FALSE)&gt;0,0,VLOOKUP($A266,'Enroll Data as of January 2025'!$A$3:$T$322,20,FALSE)*'2024-25 PSES Compliance'!$G$13)</f>
        <v>0</v>
      </c>
      <c r="D266" s="33">
        <f>IF(VLOOKUP($A266,'Enroll Data as of January 2025'!$A$3:$T$322,20,FALSE)&gt;0,0,VLOOKUP($A266,'Enroll Data as of January 2025'!$A$3:$T$322,20,FALSE)*'2024-25 PSES Compliance'!$G$14)</f>
        <v>0</v>
      </c>
      <c r="E266" s="25">
        <f>ROUND($C266*CIS_Base*VLOOKUP($A266,'K3 District Data as of Jan 2025'!$A$3:$M$323,MATCH("Reg base",'K3 District Data as of Jan 2025'!$2:$2,0),FALSE),2)</f>
        <v>0</v>
      </c>
      <c r="F266" s="25">
        <f>ROUND($C266*CIS_Inc*(VLOOKUP($A266,'K3 District Data as of Jan 2025'!$A$3:$M$323,MATCH("Reg",'K3 District Data as of Jan 2025'!$2:$2,0),FALSE)+VLOOKUP($A266,'K3 District Data as of Jan 2025'!$A$3:$M$323,MATCH("Exp",'K3 District Data as of Jan 2025'!$2:$2,0),FALSE)),2)-E266</f>
        <v>0</v>
      </c>
      <c r="G266" s="25">
        <f>ROUND($D266*CLS_Base*VLOOKUP($A266,'K3 District Data as of Jan 2025'!$A$3:$M$323,MATCH("Reg base",'K3 District Data as of Jan 2025'!$2:$2,0),FALSE),2)</f>
        <v>0</v>
      </c>
      <c r="H266" s="25">
        <f>ROUND($D266*CLS_Inc*VLOOKUP($A266,'K3 District Data as of Jan 2025'!$A$3:$M$323,MATCH("Reg base",'K3 District Data as of Jan 2025'!$2:$2,0),FALSE),2)-G266</f>
        <v>0</v>
      </c>
      <c r="I266" s="25">
        <f t="shared" si="29"/>
        <v>0</v>
      </c>
      <c r="J266" s="25">
        <f t="shared" si="30"/>
        <v>0</v>
      </c>
      <c r="K266" s="25">
        <f t="shared" si="31"/>
        <v>0</v>
      </c>
      <c r="L266" s="25">
        <f t="shared" si="32"/>
        <v>0</v>
      </c>
      <c r="M266" s="25">
        <f t="shared" si="33"/>
        <v>0</v>
      </c>
      <c r="N266" s="25">
        <f t="shared" si="34"/>
        <v>0</v>
      </c>
      <c r="O266" s="25">
        <f>ROUND(($C266*CIS_Inc*(VLOOKUP($A266,'K3 District Data as of Jan 2025'!$A$3:$M$323,MATCH("Reg",'K3 District Data as of Jan 2025'!$2:$2,0),FALSE)+VLOOKUP($A266,'K3 District Data as of Jan 2025'!$A$3:$M$323,MATCH("Exp",'K3 District Data as of Jan 2025'!$2:$2,0),FALSE))/180)*3+(($C266*CIS_Inc*(VLOOKUP($A266,'K3 District Data as of Jan 2025'!$A$3:$M$323,MATCH("Reg",'K3 District Data as of Jan 2025'!$2:$2,0),FALSE)+VLOOKUP($A266,'K3 District Data as of Jan 2025'!$A$3:$M$323,MATCH("Exp",'K3 District Data as of Jan 2025'!$2:$2,0),FALSE))/180)*3)*CIS_Ben_Inc,2)</f>
        <v>0</v>
      </c>
      <c r="P266" s="23">
        <f t="shared" si="35"/>
        <v>0</v>
      </c>
    </row>
    <row r="267" spans="1:16" x14ac:dyDescent="0.25">
      <c r="A267" t="s">
        <v>1106</v>
      </c>
      <c r="B267" t="s">
        <v>1107</v>
      </c>
      <c r="C267" s="33">
        <f>IF(VLOOKUP($A267,'Enroll Data as of January 2025'!$A$3:$T$322,20,FALSE)&gt;0,0,VLOOKUP($A267,'Enroll Data as of January 2025'!$A$3:$T$322,20,FALSE)*'2024-25 PSES Compliance'!$G$13)</f>
        <v>-0.31487999999999999</v>
      </c>
      <c r="D267" s="33">
        <f>IF(VLOOKUP($A267,'Enroll Data as of January 2025'!$A$3:$T$322,20,FALSE)&gt;0,0,VLOOKUP($A267,'Enroll Data as of January 2025'!$A$3:$T$322,20,FALSE)*'2024-25 PSES Compliance'!$G$14)</f>
        <v>-1.3120000000000001E-2</v>
      </c>
      <c r="E267" s="25">
        <f>ROUND($C267*CIS_Base*VLOOKUP($A267,'K3 District Data as of Jan 2025'!$A$3:$M$323,MATCH("Reg base",'K3 District Data as of Jan 2025'!$2:$2,0),FALSE),2)</f>
        <v>-24274.63</v>
      </c>
      <c r="F267" s="25">
        <f>ROUND($C267*CIS_Inc*(VLOOKUP($A267,'K3 District Data as of Jan 2025'!$A$3:$M$323,MATCH("Reg",'K3 District Data as of Jan 2025'!$2:$2,0),FALSE)+VLOOKUP($A267,'K3 District Data as of Jan 2025'!$A$3:$M$323,MATCH("Exp",'K3 District Data as of Jan 2025'!$2:$2,0),FALSE)),2)-E267</f>
        <v>-1829.4099999999999</v>
      </c>
      <c r="G267" s="25">
        <f>ROUND($D267*CLS_Base*VLOOKUP($A267,'K3 District Data as of Jan 2025'!$A$3:$M$323,MATCH("Reg base",'K3 District Data as of Jan 2025'!$2:$2,0),FALSE),2)</f>
        <v>-725.58</v>
      </c>
      <c r="H267" s="25">
        <f>ROUND($D267*CLS_Inc*VLOOKUP($A267,'K3 District Data as of Jan 2025'!$A$3:$M$323,MATCH("Reg base",'K3 District Data as of Jan 2025'!$2:$2,0),FALSE),2)-G267</f>
        <v>-54.67999999999995</v>
      </c>
      <c r="I267" s="25">
        <f t="shared" si="29"/>
        <v>-4540.17</v>
      </c>
      <c r="J267" s="25">
        <f t="shared" si="30"/>
        <v>-265.20999999999998</v>
      </c>
      <c r="K267" s="25">
        <f t="shared" si="31"/>
        <v>-4405.8500000000004</v>
      </c>
      <c r="L267" s="25">
        <f t="shared" si="32"/>
        <v>-4250.49</v>
      </c>
      <c r="M267" s="25">
        <f t="shared" si="33"/>
        <v>-157.16</v>
      </c>
      <c r="N267" s="25">
        <f t="shared" si="34"/>
        <v>-9.93</v>
      </c>
      <c r="O267" s="25">
        <f>ROUND(($C267*CIS_Inc*(VLOOKUP($A267,'K3 District Data as of Jan 2025'!$A$3:$M$323,MATCH("Reg",'K3 District Data as of Jan 2025'!$2:$2,0),FALSE)+VLOOKUP($A267,'K3 District Data as of Jan 2025'!$A$3:$M$323,MATCH("Exp",'K3 District Data as of Jan 2025'!$2:$2,0),FALSE))/180)*3+(($C267*CIS_Inc*(VLOOKUP($A267,'K3 District Data as of Jan 2025'!$A$3:$M$323,MATCH("Reg",'K3 District Data as of Jan 2025'!$2:$2,0),FALSE)+VLOOKUP($A267,'K3 District Data as of Jan 2025'!$A$3:$M$323,MATCH("Exp",'K3 District Data as of Jan 2025'!$2:$2,0),FALSE))/180)*3)*CIS_Ben_Inc,2)</f>
        <v>-511.25</v>
      </c>
      <c r="P267" s="23">
        <f t="shared" si="35"/>
        <v>-41024.36</v>
      </c>
    </row>
    <row r="268" spans="1:16" x14ac:dyDescent="0.25">
      <c r="A268" t="s">
        <v>286</v>
      </c>
      <c r="B268" t="s">
        <v>582</v>
      </c>
      <c r="C268" s="33">
        <f>IF(VLOOKUP($A268,'Enroll Data as of January 2025'!$A$3:$T$322,20,FALSE)&gt;0,0,VLOOKUP($A268,'Enroll Data as of January 2025'!$A$3:$T$322,20,FALSE)*'2024-25 PSES Compliance'!$G$13)</f>
        <v>0</v>
      </c>
      <c r="D268" s="33">
        <f>IF(VLOOKUP($A268,'Enroll Data as of January 2025'!$A$3:$T$322,20,FALSE)&gt;0,0,VLOOKUP($A268,'Enroll Data as of January 2025'!$A$3:$T$322,20,FALSE)*'2024-25 PSES Compliance'!$G$14)</f>
        <v>0</v>
      </c>
      <c r="E268" s="25">
        <f>ROUND($C268*CIS_Base*VLOOKUP($A268,'K3 District Data as of Jan 2025'!$A$3:$M$323,MATCH("Reg base",'K3 District Data as of Jan 2025'!$2:$2,0),FALSE),2)</f>
        <v>0</v>
      </c>
      <c r="F268" s="25">
        <f>ROUND($C268*CIS_Inc*(VLOOKUP($A268,'K3 District Data as of Jan 2025'!$A$3:$M$323,MATCH("Reg",'K3 District Data as of Jan 2025'!$2:$2,0),FALSE)+VLOOKUP($A268,'K3 District Data as of Jan 2025'!$A$3:$M$323,MATCH("Exp",'K3 District Data as of Jan 2025'!$2:$2,0),FALSE)),2)-E268</f>
        <v>0</v>
      </c>
      <c r="G268" s="25">
        <f>ROUND($D268*CLS_Base*VLOOKUP($A268,'K3 District Data as of Jan 2025'!$A$3:$M$323,MATCH("Reg base",'K3 District Data as of Jan 2025'!$2:$2,0),FALSE),2)</f>
        <v>0</v>
      </c>
      <c r="H268" s="25">
        <f>ROUND($D268*CLS_Inc*VLOOKUP($A268,'K3 District Data as of Jan 2025'!$A$3:$M$323,MATCH("Reg base",'K3 District Data as of Jan 2025'!$2:$2,0),FALSE),2)-G268</f>
        <v>0</v>
      </c>
      <c r="I268" s="25">
        <f t="shared" si="29"/>
        <v>0</v>
      </c>
      <c r="J268" s="25">
        <f t="shared" si="30"/>
        <v>0</v>
      </c>
      <c r="K268" s="25">
        <f t="shared" si="31"/>
        <v>0</v>
      </c>
      <c r="L268" s="25">
        <f t="shared" si="32"/>
        <v>0</v>
      </c>
      <c r="M268" s="25">
        <f t="shared" si="33"/>
        <v>0</v>
      </c>
      <c r="N268" s="25">
        <f t="shared" si="34"/>
        <v>0</v>
      </c>
      <c r="O268" s="25">
        <f>ROUND(($C268*CIS_Inc*(VLOOKUP($A268,'K3 District Data as of Jan 2025'!$A$3:$M$323,MATCH("Reg",'K3 District Data as of Jan 2025'!$2:$2,0),FALSE)+VLOOKUP($A268,'K3 District Data as of Jan 2025'!$A$3:$M$323,MATCH("Exp",'K3 District Data as of Jan 2025'!$2:$2,0),FALSE))/180)*3+(($C268*CIS_Inc*(VLOOKUP($A268,'K3 District Data as of Jan 2025'!$A$3:$M$323,MATCH("Reg",'K3 District Data as of Jan 2025'!$2:$2,0),FALSE)+VLOOKUP($A268,'K3 District Data as of Jan 2025'!$A$3:$M$323,MATCH("Exp",'K3 District Data as of Jan 2025'!$2:$2,0),FALSE))/180)*3)*CIS_Ben_Inc,2)</f>
        <v>0</v>
      </c>
      <c r="P268" s="23">
        <f t="shared" si="35"/>
        <v>0</v>
      </c>
    </row>
    <row r="269" spans="1:16" x14ac:dyDescent="0.25">
      <c r="A269" t="s">
        <v>70</v>
      </c>
      <c r="B269" t="s">
        <v>366</v>
      </c>
      <c r="C269" s="33">
        <f>IF(VLOOKUP($A269,'Enroll Data as of January 2025'!$A$3:$T$322,20,FALSE)&gt;0,0,VLOOKUP($A269,'Enroll Data as of January 2025'!$A$3:$T$322,20,FALSE)*'2024-25 PSES Compliance'!$G$13)</f>
        <v>-3.6153599999999999</v>
      </c>
      <c r="D269" s="33">
        <f>IF(VLOOKUP($A269,'Enroll Data as of January 2025'!$A$3:$T$322,20,FALSE)&gt;0,0,VLOOKUP($A269,'Enroll Data as of January 2025'!$A$3:$T$322,20,FALSE)*'2024-25 PSES Compliance'!$G$14)</f>
        <v>-0.15064</v>
      </c>
      <c r="E269" s="25">
        <f>ROUND($C269*CIS_Base*VLOOKUP($A269,'K3 District Data as of Jan 2025'!$A$3:$M$323,MATCH("Reg base",'K3 District Data as of Jan 2025'!$2:$2,0),FALSE),2)</f>
        <v>-262937.90000000002</v>
      </c>
      <c r="F269" s="25">
        <f>ROUND($C269*CIS_Inc*(VLOOKUP($A269,'K3 District Data as of Jan 2025'!$A$3:$M$323,MATCH("Reg",'K3 District Data as of Jan 2025'!$2:$2,0),FALSE)+VLOOKUP($A269,'K3 District Data as of Jan 2025'!$A$3:$M$323,MATCH("Exp",'K3 District Data as of Jan 2025'!$2:$2,0),FALSE)),2)-E269</f>
        <v>-19815.789999999979</v>
      </c>
      <c r="G269" s="25">
        <f>ROUND($D269*CLS_Base*VLOOKUP($A269,'K3 District Data as of Jan 2025'!$A$3:$M$323,MATCH("Reg base",'K3 District Data as of Jan 2025'!$2:$2,0),FALSE),2)</f>
        <v>-7859.34</v>
      </c>
      <c r="H269" s="25">
        <f>ROUND($D269*CLS_Inc*VLOOKUP($A269,'K3 District Data as of Jan 2025'!$A$3:$M$323,MATCH("Reg base",'K3 District Data as of Jan 2025'!$2:$2,0),FALSE),2)-G269</f>
        <v>-592.31999999999971</v>
      </c>
      <c r="I269" s="25">
        <f t="shared" si="29"/>
        <v>-52128.86</v>
      </c>
      <c r="J269" s="25">
        <f t="shared" si="30"/>
        <v>-3045.11</v>
      </c>
      <c r="K269" s="25">
        <f t="shared" si="31"/>
        <v>-47723.23</v>
      </c>
      <c r="L269" s="25">
        <f t="shared" si="32"/>
        <v>-46040.43</v>
      </c>
      <c r="M269" s="25">
        <f t="shared" si="33"/>
        <v>-1702.33</v>
      </c>
      <c r="N269" s="25">
        <f t="shared" si="34"/>
        <v>-107.57</v>
      </c>
      <c r="O269" s="25">
        <f>ROUND(($C269*CIS_Inc*(VLOOKUP($A269,'K3 District Data as of Jan 2025'!$A$3:$M$323,MATCH("Reg",'K3 District Data as of Jan 2025'!$2:$2,0),FALSE)+VLOOKUP($A269,'K3 District Data as of Jan 2025'!$A$3:$M$323,MATCH("Exp",'K3 District Data as of Jan 2025'!$2:$2,0),FALSE))/180)*3+(($C269*CIS_Inc*(VLOOKUP($A269,'K3 District Data as of Jan 2025'!$A$3:$M$323,MATCH("Reg",'K3 District Data as of Jan 2025'!$2:$2,0),FALSE)+VLOOKUP($A269,'K3 District Data as of Jan 2025'!$A$3:$M$323,MATCH("Exp",'K3 District Data as of Jan 2025'!$2:$2,0),FALSE))/180)*3)*CIS_Ben_Inc,2)</f>
        <v>-5537.73</v>
      </c>
      <c r="P269" s="23">
        <f t="shared" si="35"/>
        <v>-447490.61</v>
      </c>
    </row>
    <row r="270" spans="1:16" x14ac:dyDescent="0.25">
      <c r="A270" t="s">
        <v>201</v>
      </c>
      <c r="B270" t="s">
        <v>496</v>
      </c>
      <c r="C270" s="33">
        <f>IF(VLOOKUP($A270,'Enroll Data as of January 2025'!$A$3:$T$322,20,FALSE)&gt;0,0,VLOOKUP($A270,'Enroll Data as of January 2025'!$A$3:$T$322,20,FALSE)*'2024-25 PSES Compliance'!$G$13)</f>
        <v>0</v>
      </c>
      <c r="D270" s="33">
        <f>IF(VLOOKUP($A270,'Enroll Data as of January 2025'!$A$3:$T$322,20,FALSE)&gt;0,0,VLOOKUP($A270,'Enroll Data as of January 2025'!$A$3:$T$322,20,FALSE)*'2024-25 PSES Compliance'!$G$14)</f>
        <v>0</v>
      </c>
      <c r="E270" s="25">
        <f>ROUND($C270*CIS_Base*VLOOKUP($A270,'K3 District Data as of Jan 2025'!$A$3:$M$323,MATCH("Reg base",'K3 District Data as of Jan 2025'!$2:$2,0),FALSE),2)</f>
        <v>0</v>
      </c>
      <c r="F270" s="25">
        <f>ROUND($C270*CIS_Inc*(VLOOKUP($A270,'K3 District Data as of Jan 2025'!$A$3:$M$323,MATCH("Reg",'K3 District Data as of Jan 2025'!$2:$2,0),FALSE)+VLOOKUP($A270,'K3 District Data as of Jan 2025'!$A$3:$M$323,MATCH("Exp",'K3 District Data as of Jan 2025'!$2:$2,0),FALSE)),2)-E270</f>
        <v>0</v>
      </c>
      <c r="G270" s="25">
        <f>ROUND($D270*CLS_Base*VLOOKUP($A270,'K3 District Data as of Jan 2025'!$A$3:$M$323,MATCH("Reg base",'K3 District Data as of Jan 2025'!$2:$2,0),FALSE),2)</f>
        <v>0</v>
      </c>
      <c r="H270" s="25">
        <f>ROUND($D270*CLS_Inc*VLOOKUP($A270,'K3 District Data as of Jan 2025'!$A$3:$M$323,MATCH("Reg base",'K3 District Data as of Jan 2025'!$2:$2,0),FALSE),2)-G270</f>
        <v>0</v>
      </c>
      <c r="I270" s="25">
        <f t="shared" si="29"/>
        <v>0</v>
      </c>
      <c r="J270" s="25">
        <f t="shared" si="30"/>
        <v>0</v>
      </c>
      <c r="K270" s="25">
        <f t="shared" si="31"/>
        <v>0</v>
      </c>
      <c r="L270" s="25">
        <f t="shared" si="32"/>
        <v>0</v>
      </c>
      <c r="M270" s="25">
        <f t="shared" si="33"/>
        <v>0</v>
      </c>
      <c r="N270" s="25">
        <f t="shared" si="34"/>
        <v>0</v>
      </c>
      <c r="O270" s="25">
        <f>ROUND(($C270*CIS_Inc*(VLOOKUP($A270,'K3 District Data as of Jan 2025'!$A$3:$M$323,MATCH("Reg",'K3 District Data as of Jan 2025'!$2:$2,0),FALSE)+VLOOKUP($A270,'K3 District Data as of Jan 2025'!$A$3:$M$323,MATCH("Exp",'K3 District Data as of Jan 2025'!$2:$2,0),FALSE))/180)*3+(($C270*CIS_Inc*(VLOOKUP($A270,'K3 District Data as of Jan 2025'!$A$3:$M$323,MATCH("Reg",'K3 District Data as of Jan 2025'!$2:$2,0),FALSE)+VLOOKUP($A270,'K3 District Data as of Jan 2025'!$A$3:$M$323,MATCH("Exp",'K3 District Data as of Jan 2025'!$2:$2,0),FALSE))/180)*3)*CIS_Ben_Inc,2)</f>
        <v>0</v>
      </c>
      <c r="P270" s="23">
        <f t="shared" si="35"/>
        <v>0</v>
      </c>
    </row>
    <row r="271" spans="1:16" x14ac:dyDescent="0.25">
      <c r="A271" t="s">
        <v>96</v>
      </c>
      <c r="B271" t="s">
        <v>392</v>
      </c>
      <c r="C271" s="33">
        <f>IF(VLOOKUP($A271,'Enroll Data as of January 2025'!$A$3:$T$322,20,FALSE)&gt;0,0,VLOOKUP($A271,'Enroll Data as of January 2025'!$A$3:$T$322,20,FALSE)*'2024-25 PSES Compliance'!$G$13)</f>
        <v>0</v>
      </c>
      <c r="D271" s="33">
        <f>IF(VLOOKUP($A271,'Enroll Data as of January 2025'!$A$3:$T$322,20,FALSE)&gt;0,0,VLOOKUP($A271,'Enroll Data as of January 2025'!$A$3:$T$322,20,FALSE)*'2024-25 PSES Compliance'!$G$14)</f>
        <v>0</v>
      </c>
      <c r="E271" s="25">
        <f>ROUND($C271*CIS_Base*VLOOKUP($A271,'K3 District Data as of Jan 2025'!$A$3:$M$323,MATCH("Reg base",'K3 District Data as of Jan 2025'!$2:$2,0),FALSE),2)</f>
        <v>0</v>
      </c>
      <c r="F271" s="25">
        <f>ROUND($C271*CIS_Inc*(VLOOKUP($A271,'K3 District Data as of Jan 2025'!$A$3:$M$323,MATCH("Reg",'K3 District Data as of Jan 2025'!$2:$2,0),FALSE)+VLOOKUP($A271,'K3 District Data as of Jan 2025'!$A$3:$M$323,MATCH("Exp",'K3 District Data as of Jan 2025'!$2:$2,0),FALSE)),2)-E271</f>
        <v>0</v>
      </c>
      <c r="G271" s="25">
        <f>ROUND($D271*CLS_Base*VLOOKUP($A271,'K3 District Data as of Jan 2025'!$A$3:$M$323,MATCH("Reg base",'K3 District Data as of Jan 2025'!$2:$2,0),FALSE),2)</f>
        <v>0</v>
      </c>
      <c r="H271" s="25">
        <f>ROUND($D271*CLS_Inc*VLOOKUP($A271,'K3 District Data as of Jan 2025'!$A$3:$M$323,MATCH("Reg base",'K3 District Data as of Jan 2025'!$2:$2,0),FALSE),2)-G271</f>
        <v>0</v>
      </c>
      <c r="I271" s="25">
        <f t="shared" si="29"/>
        <v>0</v>
      </c>
      <c r="J271" s="25">
        <f t="shared" si="30"/>
        <v>0</v>
      </c>
      <c r="K271" s="25">
        <f t="shared" si="31"/>
        <v>0</v>
      </c>
      <c r="L271" s="25">
        <f t="shared" si="32"/>
        <v>0</v>
      </c>
      <c r="M271" s="25">
        <f t="shared" si="33"/>
        <v>0</v>
      </c>
      <c r="N271" s="25">
        <f t="shared" si="34"/>
        <v>0</v>
      </c>
      <c r="O271" s="25">
        <f>ROUND(($C271*CIS_Inc*(VLOOKUP($A271,'K3 District Data as of Jan 2025'!$A$3:$M$323,MATCH("Reg",'K3 District Data as of Jan 2025'!$2:$2,0),FALSE)+VLOOKUP($A271,'K3 District Data as of Jan 2025'!$A$3:$M$323,MATCH("Exp",'K3 District Data as of Jan 2025'!$2:$2,0),FALSE))/180)*3+(($C271*CIS_Inc*(VLOOKUP($A271,'K3 District Data as of Jan 2025'!$A$3:$M$323,MATCH("Reg",'K3 District Data as of Jan 2025'!$2:$2,0),FALSE)+VLOOKUP($A271,'K3 District Data as of Jan 2025'!$A$3:$M$323,MATCH("Exp",'K3 District Data as of Jan 2025'!$2:$2,0),FALSE))/180)*3)*CIS_Ben_Inc,2)</f>
        <v>0</v>
      </c>
      <c r="P271" s="23">
        <f t="shared" si="35"/>
        <v>0</v>
      </c>
    </row>
    <row r="272" spans="1:16" x14ac:dyDescent="0.25">
      <c r="A272" t="s">
        <v>204</v>
      </c>
      <c r="B272" t="s">
        <v>499</v>
      </c>
      <c r="C272" s="33">
        <f>IF(VLOOKUP($A272,'Enroll Data as of January 2025'!$A$3:$T$322,20,FALSE)&gt;0,0,VLOOKUP($A272,'Enroll Data as of January 2025'!$A$3:$T$322,20,FALSE)*'2024-25 PSES Compliance'!$G$13)</f>
        <v>0</v>
      </c>
      <c r="D272" s="33">
        <f>IF(VLOOKUP($A272,'Enroll Data as of January 2025'!$A$3:$T$322,20,FALSE)&gt;0,0,VLOOKUP($A272,'Enroll Data as of January 2025'!$A$3:$T$322,20,FALSE)*'2024-25 PSES Compliance'!$G$14)</f>
        <v>0</v>
      </c>
      <c r="E272" s="25">
        <f>ROUND($C272*CIS_Base*VLOOKUP($A272,'K3 District Data as of Jan 2025'!$A$3:$M$323,MATCH("Reg base",'K3 District Data as of Jan 2025'!$2:$2,0),FALSE),2)</f>
        <v>0</v>
      </c>
      <c r="F272" s="25">
        <f>ROUND($C272*CIS_Inc*(VLOOKUP($A272,'K3 District Data as of Jan 2025'!$A$3:$M$323,MATCH("Reg",'K3 District Data as of Jan 2025'!$2:$2,0),FALSE)+VLOOKUP($A272,'K3 District Data as of Jan 2025'!$A$3:$M$323,MATCH("Exp",'K3 District Data as of Jan 2025'!$2:$2,0),FALSE)),2)-E272</f>
        <v>0</v>
      </c>
      <c r="G272" s="25">
        <f>ROUND($D272*CLS_Base*VLOOKUP($A272,'K3 District Data as of Jan 2025'!$A$3:$M$323,MATCH("Reg base",'K3 District Data as of Jan 2025'!$2:$2,0),FALSE),2)</f>
        <v>0</v>
      </c>
      <c r="H272" s="25">
        <f>ROUND($D272*CLS_Inc*VLOOKUP($A272,'K3 District Data as of Jan 2025'!$A$3:$M$323,MATCH("Reg base",'K3 District Data as of Jan 2025'!$2:$2,0),FALSE),2)-G272</f>
        <v>0</v>
      </c>
      <c r="I272" s="25">
        <f t="shared" si="29"/>
        <v>0</v>
      </c>
      <c r="J272" s="25">
        <f t="shared" si="30"/>
        <v>0</v>
      </c>
      <c r="K272" s="25">
        <f t="shared" si="31"/>
        <v>0</v>
      </c>
      <c r="L272" s="25">
        <f t="shared" si="32"/>
        <v>0</v>
      </c>
      <c r="M272" s="25">
        <f t="shared" si="33"/>
        <v>0</v>
      </c>
      <c r="N272" s="25">
        <f t="shared" si="34"/>
        <v>0</v>
      </c>
      <c r="O272" s="25">
        <f>ROUND(($C272*CIS_Inc*(VLOOKUP($A272,'K3 District Data as of Jan 2025'!$A$3:$M$323,MATCH("Reg",'K3 District Data as of Jan 2025'!$2:$2,0),FALSE)+VLOOKUP($A272,'K3 District Data as of Jan 2025'!$A$3:$M$323,MATCH("Exp",'K3 District Data as of Jan 2025'!$2:$2,0),FALSE))/180)*3+(($C272*CIS_Inc*(VLOOKUP($A272,'K3 District Data as of Jan 2025'!$A$3:$M$323,MATCH("Reg",'K3 District Data as of Jan 2025'!$2:$2,0),FALSE)+VLOOKUP($A272,'K3 District Data as of Jan 2025'!$A$3:$M$323,MATCH("Exp",'K3 District Data as of Jan 2025'!$2:$2,0),FALSE))/180)*3)*CIS_Ben_Inc,2)</f>
        <v>0</v>
      </c>
      <c r="P272" s="23">
        <f t="shared" si="35"/>
        <v>0</v>
      </c>
    </row>
    <row r="273" spans="1:16" x14ac:dyDescent="0.25">
      <c r="A273" t="s">
        <v>293</v>
      </c>
      <c r="B273" t="s">
        <v>589</v>
      </c>
      <c r="C273" s="33">
        <f>IF(VLOOKUP($A273,'Enroll Data as of January 2025'!$A$3:$T$322,20,FALSE)&gt;0,0,VLOOKUP($A273,'Enroll Data as of January 2025'!$A$3:$T$322,20,FALSE)*'2024-25 PSES Compliance'!$G$13)</f>
        <v>0</v>
      </c>
      <c r="D273" s="33">
        <f>IF(VLOOKUP($A273,'Enroll Data as of January 2025'!$A$3:$T$322,20,FALSE)&gt;0,0,VLOOKUP($A273,'Enroll Data as of January 2025'!$A$3:$T$322,20,FALSE)*'2024-25 PSES Compliance'!$G$14)</f>
        <v>0</v>
      </c>
      <c r="E273" s="25">
        <f>ROUND($C273*CIS_Base*VLOOKUP($A273,'K3 District Data as of Jan 2025'!$A$3:$M$323,MATCH("Reg base",'K3 District Data as of Jan 2025'!$2:$2,0),FALSE),2)</f>
        <v>0</v>
      </c>
      <c r="F273" s="25">
        <f>ROUND($C273*CIS_Inc*(VLOOKUP($A273,'K3 District Data as of Jan 2025'!$A$3:$M$323,MATCH("Reg",'K3 District Data as of Jan 2025'!$2:$2,0),FALSE)+VLOOKUP($A273,'K3 District Data as of Jan 2025'!$A$3:$M$323,MATCH("Exp",'K3 District Data as of Jan 2025'!$2:$2,0),FALSE)),2)-E273</f>
        <v>0</v>
      </c>
      <c r="G273" s="25">
        <f>ROUND($D273*CLS_Base*VLOOKUP($A273,'K3 District Data as of Jan 2025'!$A$3:$M$323,MATCH("Reg base",'K3 District Data as of Jan 2025'!$2:$2,0),FALSE),2)</f>
        <v>0</v>
      </c>
      <c r="H273" s="25">
        <f>ROUND($D273*CLS_Inc*VLOOKUP($A273,'K3 District Data as of Jan 2025'!$A$3:$M$323,MATCH("Reg base",'K3 District Data as of Jan 2025'!$2:$2,0),FALSE),2)-G273</f>
        <v>0</v>
      </c>
      <c r="I273" s="25">
        <f t="shared" si="29"/>
        <v>0</v>
      </c>
      <c r="J273" s="25">
        <f t="shared" si="30"/>
        <v>0</v>
      </c>
      <c r="K273" s="25">
        <f t="shared" si="31"/>
        <v>0</v>
      </c>
      <c r="L273" s="25">
        <f t="shared" si="32"/>
        <v>0</v>
      </c>
      <c r="M273" s="25">
        <f t="shared" si="33"/>
        <v>0</v>
      </c>
      <c r="N273" s="25">
        <f t="shared" si="34"/>
        <v>0</v>
      </c>
      <c r="O273" s="25">
        <f>ROUND(($C273*CIS_Inc*(VLOOKUP($A273,'K3 District Data as of Jan 2025'!$A$3:$M$323,MATCH("Reg",'K3 District Data as of Jan 2025'!$2:$2,0),FALSE)+VLOOKUP($A273,'K3 District Data as of Jan 2025'!$A$3:$M$323,MATCH("Exp",'K3 District Data as of Jan 2025'!$2:$2,0),FALSE))/180)*3+(($C273*CIS_Inc*(VLOOKUP($A273,'K3 District Data as of Jan 2025'!$A$3:$M$323,MATCH("Reg",'K3 District Data as of Jan 2025'!$2:$2,0),FALSE)+VLOOKUP($A273,'K3 District Data as of Jan 2025'!$A$3:$M$323,MATCH("Exp",'K3 District Data as of Jan 2025'!$2:$2,0),FALSE))/180)*3)*CIS_Ben_Inc,2)</f>
        <v>0</v>
      </c>
      <c r="P273" s="23">
        <f t="shared" si="35"/>
        <v>0</v>
      </c>
    </row>
    <row r="274" spans="1:16" x14ac:dyDescent="0.25">
      <c r="A274" t="s">
        <v>182</v>
      </c>
      <c r="B274" t="s">
        <v>478</v>
      </c>
      <c r="C274" s="33">
        <f>IF(VLOOKUP($A274,'Enroll Data as of January 2025'!$A$3:$T$322,20,FALSE)&gt;0,0,VLOOKUP($A274,'Enroll Data as of January 2025'!$A$3:$T$322,20,FALSE)*'2024-25 PSES Compliance'!$G$13)</f>
        <v>0</v>
      </c>
      <c r="D274" s="33">
        <f>IF(VLOOKUP($A274,'Enroll Data as of January 2025'!$A$3:$T$322,20,FALSE)&gt;0,0,VLOOKUP($A274,'Enroll Data as of January 2025'!$A$3:$T$322,20,FALSE)*'2024-25 PSES Compliance'!$G$14)</f>
        <v>0</v>
      </c>
      <c r="E274" s="25">
        <f>ROUND($C274*CIS_Base*VLOOKUP($A274,'K3 District Data as of Jan 2025'!$A$3:$M$323,MATCH("Reg base",'K3 District Data as of Jan 2025'!$2:$2,0),FALSE),2)</f>
        <v>0</v>
      </c>
      <c r="F274" s="25">
        <f>ROUND($C274*CIS_Inc*(VLOOKUP($A274,'K3 District Data as of Jan 2025'!$A$3:$M$323,MATCH("Reg",'K3 District Data as of Jan 2025'!$2:$2,0),FALSE)+VLOOKUP($A274,'K3 District Data as of Jan 2025'!$A$3:$M$323,MATCH("Exp",'K3 District Data as of Jan 2025'!$2:$2,0),FALSE)),2)-E274</f>
        <v>0</v>
      </c>
      <c r="G274" s="25">
        <f>ROUND($D274*CLS_Base*VLOOKUP($A274,'K3 District Data as of Jan 2025'!$A$3:$M$323,MATCH("Reg base",'K3 District Data as of Jan 2025'!$2:$2,0),FALSE),2)</f>
        <v>0</v>
      </c>
      <c r="H274" s="25">
        <f>ROUND($D274*CLS_Inc*VLOOKUP($A274,'K3 District Data as of Jan 2025'!$A$3:$M$323,MATCH("Reg base",'K3 District Data as of Jan 2025'!$2:$2,0),FALSE),2)-G274</f>
        <v>0</v>
      </c>
      <c r="I274" s="25">
        <f t="shared" si="29"/>
        <v>0</v>
      </c>
      <c r="J274" s="25">
        <f t="shared" si="30"/>
        <v>0</v>
      </c>
      <c r="K274" s="25">
        <f t="shared" si="31"/>
        <v>0</v>
      </c>
      <c r="L274" s="25">
        <f t="shared" si="32"/>
        <v>0</v>
      </c>
      <c r="M274" s="25">
        <f t="shared" si="33"/>
        <v>0</v>
      </c>
      <c r="N274" s="25">
        <f t="shared" si="34"/>
        <v>0</v>
      </c>
      <c r="O274" s="25">
        <f>ROUND(($C274*CIS_Inc*(VLOOKUP($A274,'K3 District Data as of Jan 2025'!$A$3:$M$323,MATCH("Reg",'K3 District Data as of Jan 2025'!$2:$2,0),FALSE)+VLOOKUP($A274,'K3 District Data as of Jan 2025'!$A$3:$M$323,MATCH("Exp",'K3 District Data as of Jan 2025'!$2:$2,0),FALSE))/180)*3+(($C274*CIS_Inc*(VLOOKUP($A274,'K3 District Data as of Jan 2025'!$A$3:$M$323,MATCH("Reg",'K3 District Data as of Jan 2025'!$2:$2,0),FALSE)+VLOOKUP($A274,'K3 District Data as of Jan 2025'!$A$3:$M$323,MATCH("Exp",'K3 District Data as of Jan 2025'!$2:$2,0),FALSE))/180)*3)*CIS_Ben_Inc,2)</f>
        <v>0</v>
      </c>
      <c r="P274" s="23">
        <f t="shared" si="35"/>
        <v>0</v>
      </c>
    </row>
    <row r="275" spans="1:16" x14ac:dyDescent="0.25">
      <c r="A275" t="s">
        <v>29</v>
      </c>
      <c r="B275" t="s">
        <v>325</v>
      </c>
      <c r="C275" s="33">
        <f>IF(VLOOKUP($A275,'Enroll Data as of January 2025'!$A$3:$T$322,20,FALSE)&gt;0,0,VLOOKUP($A275,'Enroll Data as of January 2025'!$A$3:$T$322,20,FALSE)*'2024-25 PSES Compliance'!$G$13)</f>
        <v>0</v>
      </c>
      <c r="D275" s="33">
        <f>IF(VLOOKUP($A275,'Enroll Data as of January 2025'!$A$3:$T$322,20,FALSE)&gt;0,0,VLOOKUP($A275,'Enroll Data as of January 2025'!$A$3:$T$322,20,FALSE)*'2024-25 PSES Compliance'!$G$14)</f>
        <v>0</v>
      </c>
      <c r="E275" s="25">
        <f>ROUND($C275*CIS_Base*VLOOKUP($A275,'K3 District Data as of Jan 2025'!$A$3:$M$323,MATCH("Reg base",'K3 District Data as of Jan 2025'!$2:$2,0),FALSE),2)</f>
        <v>0</v>
      </c>
      <c r="F275" s="25">
        <f>ROUND($C275*CIS_Inc*(VLOOKUP($A275,'K3 District Data as of Jan 2025'!$A$3:$M$323,MATCH("Reg",'K3 District Data as of Jan 2025'!$2:$2,0),FALSE)+VLOOKUP($A275,'K3 District Data as of Jan 2025'!$A$3:$M$323,MATCH("Exp",'K3 District Data as of Jan 2025'!$2:$2,0),FALSE)),2)-E275</f>
        <v>0</v>
      </c>
      <c r="G275" s="25">
        <f>ROUND($D275*CLS_Base*VLOOKUP($A275,'K3 District Data as of Jan 2025'!$A$3:$M$323,MATCH("Reg base",'K3 District Data as of Jan 2025'!$2:$2,0),FALSE),2)</f>
        <v>0</v>
      </c>
      <c r="H275" s="25">
        <f>ROUND($D275*CLS_Inc*VLOOKUP($A275,'K3 District Data as of Jan 2025'!$A$3:$M$323,MATCH("Reg base",'K3 District Data as of Jan 2025'!$2:$2,0),FALSE),2)-G275</f>
        <v>0</v>
      </c>
      <c r="I275" s="25">
        <f t="shared" si="29"/>
        <v>0</v>
      </c>
      <c r="J275" s="25">
        <f t="shared" si="30"/>
        <v>0</v>
      </c>
      <c r="K275" s="25">
        <f t="shared" si="31"/>
        <v>0</v>
      </c>
      <c r="L275" s="25">
        <f t="shared" si="32"/>
        <v>0</v>
      </c>
      <c r="M275" s="25">
        <f t="shared" si="33"/>
        <v>0</v>
      </c>
      <c r="N275" s="25">
        <f t="shared" si="34"/>
        <v>0</v>
      </c>
      <c r="O275" s="25">
        <f>ROUND(($C275*CIS_Inc*(VLOOKUP($A275,'K3 District Data as of Jan 2025'!$A$3:$M$323,MATCH("Reg",'K3 District Data as of Jan 2025'!$2:$2,0),FALSE)+VLOOKUP($A275,'K3 District Data as of Jan 2025'!$A$3:$M$323,MATCH("Exp",'K3 District Data as of Jan 2025'!$2:$2,0),FALSE))/180)*3+(($C275*CIS_Inc*(VLOOKUP($A275,'K3 District Data as of Jan 2025'!$A$3:$M$323,MATCH("Reg",'K3 District Data as of Jan 2025'!$2:$2,0),FALSE)+VLOOKUP($A275,'K3 District Data as of Jan 2025'!$A$3:$M$323,MATCH("Exp",'K3 District Data as of Jan 2025'!$2:$2,0),FALSE))/180)*3)*CIS_Ben_Inc,2)</f>
        <v>0</v>
      </c>
      <c r="P275" s="23">
        <f t="shared" si="35"/>
        <v>0</v>
      </c>
    </row>
    <row r="276" spans="1:16" x14ac:dyDescent="0.25">
      <c r="A276" t="s">
        <v>161</v>
      </c>
      <c r="B276" t="s">
        <v>457</v>
      </c>
      <c r="C276" s="33">
        <f>IF(VLOOKUP($A276,'Enroll Data as of January 2025'!$A$3:$T$322,20,FALSE)&gt;0,0,VLOOKUP($A276,'Enroll Data as of January 2025'!$A$3:$T$322,20,FALSE)*'2024-25 PSES Compliance'!$G$13)</f>
        <v>0</v>
      </c>
      <c r="D276" s="33">
        <f>IF(VLOOKUP($A276,'Enroll Data as of January 2025'!$A$3:$T$322,20,FALSE)&gt;0,0,VLOOKUP($A276,'Enroll Data as of January 2025'!$A$3:$T$322,20,FALSE)*'2024-25 PSES Compliance'!$G$14)</f>
        <v>0</v>
      </c>
      <c r="E276" s="25">
        <f>ROUND($C276*CIS_Base*VLOOKUP($A276,'K3 District Data as of Jan 2025'!$A$3:$M$323,MATCH("Reg base",'K3 District Data as of Jan 2025'!$2:$2,0),FALSE),2)</f>
        <v>0</v>
      </c>
      <c r="F276" s="25">
        <f>ROUND($C276*CIS_Inc*(VLOOKUP($A276,'K3 District Data as of Jan 2025'!$A$3:$M$323,MATCH("Reg",'K3 District Data as of Jan 2025'!$2:$2,0),FALSE)+VLOOKUP($A276,'K3 District Data as of Jan 2025'!$A$3:$M$323,MATCH("Exp",'K3 District Data as of Jan 2025'!$2:$2,0),FALSE)),2)-E276</f>
        <v>0</v>
      </c>
      <c r="G276" s="25">
        <f>ROUND($D276*CLS_Base*VLOOKUP($A276,'K3 District Data as of Jan 2025'!$A$3:$M$323,MATCH("Reg base",'K3 District Data as of Jan 2025'!$2:$2,0),FALSE),2)</f>
        <v>0</v>
      </c>
      <c r="H276" s="25">
        <f>ROUND($D276*CLS_Inc*VLOOKUP($A276,'K3 District Data as of Jan 2025'!$A$3:$M$323,MATCH("Reg base",'K3 District Data as of Jan 2025'!$2:$2,0),FALSE),2)-G276</f>
        <v>0</v>
      </c>
      <c r="I276" s="25">
        <f t="shared" si="29"/>
        <v>0</v>
      </c>
      <c r="J276" s="25">
        <f t="shared" si="30"/>
        <v>0</v>
      </c>
      <c r="K276" s="25">
        <f t="shared" si="31"/>
        <v>0</v>
      </c>
      <c r="L276" s="25">
        <f t="shared" si="32"/>
        <v>0</v>
      </c>
      <c r="M276" s="25">
        <f t="shared" si="33"/>
        <v>0</v>
      </c>
      <c r="N276" s="25">
        <f t="shared" si="34"/>
        <v>0</v>
      </c>
      <c r="O276" s="25">
        <f>ROUND(($C276*CIS_Inc*(VLOOKUP($A276,'K3 District Data as of Jan 2025'!$A$3:$M$323,MATCH("Reg",'K3 District Data as of Jan 2025'!$2:$2,0),FALSE)+VLOOKUP($A276,'K3 District Data as of Jan 2025'!$A$3:$M$323,MATCH("Exp",'K3 District Data as of Jan 2025'!$2:$2,0),FALSE))/180)*3+(($C276*CIS_Inc*(VLOOKUP($A276,'K3 District Data as of Jan 2025'!$A$3:$M$323,MATCH("Reg",'K3 District Data as of Jan 2025'!$2:$2,0),FALSE)+VLOOKUP($A276,'K3 District Data as of Jan 2025'!$A$3:$M$323,MATCH("Exp",'K3 District Data as of Jan 2025'!$2:$2,0),FALSE))/180)*3)*CIS_Ben_Inc,2)</f>
        <v>0</v>
      </c>
      <c r="P276" s="23">
        <f t="shared" si="35"/>
        <v>0</v>
      </c>
    </row>
    <row r="277" spans="1:16" x14ac:dyDescent="0.25">
      <c r="A277" t="s">
        <v>111</v>
      </c>
      <c r="B277" t="s">
        <v>407</v>
      </c>
      <c r="C277" s="33">
        <f>IF(VLOOKUP($A277,'Enroll Data as of January 2025'!$A$3:$T$322,20,FALSE)&gt;0,0,VLOOKUP($A277,'Enroll Data as of January 2025'!$A$3:$T$322,20,FALSE)*'2024-25 PSES Compliance'!$G$13)</f>
        <v>0</v>
      </c>
      <c r="D277" s="33">
        <f>IF(VLOOKUP($A277,'Enroll Data as of January 2025'!$A$3:$T$322,20,FALSE)&gt;0,0,VLOOKUP($A277,'Enroll Data as of January 2025'!$A$3:$T$322,20,FALSE)*'2024-25 PSES Compliance'!$G$14)</f>
        <v>0</v>
      </c>
      <c r="E277" s="25">
        <f>ROUND($C277*CIS_Base*VLOOKUP($A277,'K3 District Data as of Jan 2025'!$A$3:$M$323,MATCH("Reg base",'K3 District Data as of Jan 2025'!$2:$2,0),FALSE),2)</f>
        <v>0</v>
      </c>
      <c r="F277" s="25">
        <f>ROUND($C277*CIS_Inc*(VLOOKUP($A277,'K3 District Data as of Jan 2025'!$A$3:$M$323,MATCH("Reg",'K3 District Data as of Jan 2025'!$2:$2,0),FALSE)+VLOOKUP($A277,'K3 District Data as of Jan 2025'!$A$3:$M$323,MATCH("Exp",'K3 District Data as of Jan 2025'!$2:$2,0),FALSE)),2)-E277</f>
        <v>0</v>
      </c>
      <c r="G277" s="25">
        <f>ROUND($D277*CLS_Base*VLOOKUP($A277,'K3 District Data as of Jan 2025'!$A$3:$M$323,MATCH("Reg base",'K3 District Data as of Jan 2025'!$2:$2,0),FALSE),2)</f>
        <v>0</v>
      </c>
      <c r="H277" s="25">
        <f>ROUND($D277*CLS_Inc*VLOOKUP($A277,'K3 District Data as of Jan 2025'!$A$3:$M$323,MATCH("Reg base",'K3 District Data as of Jan 2025'!$2:$2,0),FALSE),2)-G277</f>
        <v>0</v>
      </c>
      <c r="I277" s="25">
        <f t="shared" si="29"/>
        <v>0</v>
      </c>
      <c r="J277" s="25">
        <f t="shared" si="30"/>
        <v>0</v>
      </c>
      <c r="K277" s="25">
        <f t="shared" si="31"/>
        <v>0</v>
      </c>
      <c r="L277" s="25">
        <f t="shared" si="32"/>
        <v>0</v>
      </c>
      <c r="M277" s="25">
        <f t="shared" si="33"/>
        <v>0</v>
      </c>
      <c r="N277" s="25">
        <f t="shared" si="34"/>
        <v>0</v>
      </c>
      <c r="O277" s="25">
        <f>ROUND(($C277*CIS_Inc*(VLOOKUP($A277,'K3 District Data as of Jan 2025'!$A$3:$M$323,MATCH("Reg",'K3 District Data as of Jan 2025'!$2:$2,0),FALSE)+VLOOKUP($A277,'K3 District Data as of Jan 2025'!$A$3:$M$323,MATCH("Exp",'K3 District Data as of Jan 2025'!$2:$2,0),FALSE))/180)*3+(($C277*CIS_Inc*(VLOOKUP($A277,'K3 District Data as of Jan 2025'!$A$3:$M$323,MATCH("Reg",'K3 District Data as of Jan 2025'!$2:$2,0),FALSE)+VLOOKUP($A277,'K3 District Data as of Jan 2025'!$A$3:$M$323,MATCH("Exp",'K3 District Data as of Jan 2025'!$2:$2,0),FALSE))/180)*3)*CIS_Ben_Inc,2)</f>
        <v>0</v>
      </c>
      <c r="P277" s="23">
        <f t="shared" si="35"/>
        <v>0</v>
      </c>
    </row>
    <row r="278" spans="1:16" x14ac:dyDescent="0.25">
      <c r="A278" t="s">
        <v>209</v>
      </c>
      <c r="B278" t="s">
        <v>504</v>
      </c>
      <c r="C278" s="33">
        <f>IF(VLOOKUP($A278,'Enroll Data as of January 2025'!$A$3:$T$322,20,FALSE)&gt;0,0,VLOOKUP($A278,'Enroll Data as of January 2025'!$A$3:$T$322,20,FALSE)*'2024-25 PSES Compliance'!$G$13)</f>
        <v>-0.38400000000000001</v>
      </c>
      <c r="D278" s="33">
        <f>IF(VLOOKUP($A278,'Enroll Data as of January 2025'!$A$3:$T$322,20,FALSE)&gt;0,0,VLOOKUP($A278,'Enroll Data as of January 2025'!$A$3:$T$322,20,FALSE)*'2024-25 PSES Compliance'!$G$14)</f>
        <v>-1.6E-2</v>
      </c>
      <c r="E278" s="25">
        <f>ROUND($C278*CIS_Base*VLOOKUP($A278,'K3 District Data as of Jan 2025'!$A$3:$M$323,MATCH("Reg base",'K3 District Data as of Jan 2025'!$2:$2,0),FALSE),2)</f>
        <v>-29603.21</v>
      </c>
      <c r="F278" s="25">
        <f>ROUND($C278*CIS_Inc*(VLOOKUP($A278,'K3 District Data as of Jan 2025'!$A$3:$M$323,MATCH("Reg",'K3 District Data as of Jan 2025'!$2:$2,0),FALSE)+VLOOKUP($A278,'K3 District Data as of Jan 2025'!$A$3:$M$323,MATCH("Exp",'K3 District Data as of Jan 2025'!$2:$2,0),FALSE)),2)-E278</f>
        <v>-2230.9799999999996</v>
      </c>
      <c r="G278" s="25">
        <f>ROUND($D278*CLS_Base*VLOOKUP($A278,'K3 District Data as of Jan 2025'!$A$3:$M$323,MATCH("Reg base",'K3 District Data as of Jan 2025'!$2:$2,0),FALSE),2)</f>
        <v>-884.85</v>
      </c>
      <c r="H278" s="25">
        <f>ROUND($D278*CLS_Inc*VLOOKUP($A278,'K3 District Data as of Jan 2025'!$A$3:$M$323,MATCH("Reg base",'K3 District Data as of Jan 2025'!$2:$2,0),FALSE),2)-G278</f>
        <v>-66.689999999999941</v>
      </c>
      <c r="I278" s="25">
        <f t="shared" si="29"/>
        <v>-5536.79</v>
      </c>
      <c r="J278" s="25">
        <f t="shared" si="30"/>
        <v>-323.43</v>
      </c>
      <c r="K278" s="25">
        <f t="shared" si="31"/>
        <v>-5372.98</v>
      </c>
      <c r="L278" s="25">
        <f t="shared" si="32"/>
        <v>-5183.5200000000004</v>
      </c>
      <c r="M278" s="25">
        <f t="shared" si="33"/>
        <v>-191.66</v>
      </c>
      <c r="N278" s="25">
        <f t="shared" si="34"/>
        <v>-12.11</v>
      </c>
      <c r="O278" s="25">
        <f>ROUND(($C278*CIS_Inc*(VLOOKUP($A278,'K3 District Data as of Jan 2025'!$A$3:$M$323,MATCH("Reg",'K3 District Data as of Jan 2025'!$2:$2,0),FALSE)+VLOOKUP($A278,'K3 District Data as of Jan 2025'!$A$3:$M$323,MATCH("Exp",'K3 District Data as of Jan 2025'!$2:$2,0),FALSE))/180)*3+(($C278*CIS_Inc*(VLOOKUP($A278,'K3 District Data as of Jan 2025'!$A$3:$M$323,MATCH("Reg",'K3 District Data as of Jan 2025'!$2:$2,0),FALSE)+VLOOKUP($A278,'K3 District Data as of Jan 2025'!$A$3:$M$323,MATCH("Exp",'K3 District Data as of Jan 2025'!$2:$2,0),FALSE))/180)*3)*CIS_Ben_Inc,2)</f>
        <v>-623.47</v>
      </c>
      <c r="P278" s="23">
        <f t="shared" si="35"/>
        <v>-50029.69</v>
      </c>
    </row>
    <row r="279" spans="1:16" x14ac:dyDescent="0.25">
      <c r="A279" t="s">
        <v>103</v>
      </c>
      <c r="B279" t="s">
        <v>399</v>
      </c>
      <c r="C279" s="33">
        <f>IF(VLOOKUP($A279,'Enroll Data as of January 2025'!$A$3:$T$322,20,FALSE)&gt;0,0,VLOOKUP($A279,'Enroll Data as of January 2025'!$A$3:$T$322,20,FALSE)*'2024-25 PSES Compliance'!$G$13)</f>
        <v>0</v>
      </c>
      <c r="D279" s="33">
        <f>IF(VLOOKUP($A279,'Enroll Data as of January 2025'!$A$3:$T$322,20,FALSE)&gt;0,0,VLOOKUP($A279,'Enroll Data as of January 2025'!$A$3:$T$322,20,FALSE)*'2024-25 PSES Compliance'!$G$14)</f>
        <v>0</v>
      </c>
      <c r="E279" s="25">
        <f>ROUND($C279*CIS_Base*VLOOKUP($A279,'K3 District Data as of Jan 2025'!$A$3:$M$323,MATCH("Reg base",'K3 District Data as of Jan 2025'!$2:$2,0),FALSE),2)</f>
        <v>0</v>
      </c>
      <c r="F279" s="25">
        <f>ROUND($C279*CIS_Inc*(VLOOKUP($A279,'K3 District Data as of Jan 2025'!$A$3:$M$323,MATCH("Reg",'K3 District Data as of Jan 2025'!$2:$2,0),FALSE)+VLOOKUP($A279,'K3 District Data as of Jan 2025'!$A$3:$M$323,MATCH("Exp",'K3 District Data as of Jan 2025'!$2:$2,0),FALSE)),2)-E279</f>
        <v>0</v>
      </c>
      <c r="G279" s="25">
        <f>ROUND($D279*CLS_Base*VLOOKUP($A279,'K3 District Data as of Jan 2025'!$A$3:$M$323,MATCH("Reg base",'K3 District Data as of Jan 2025'!$2:$2,0),FALSE),2)</f>
        <v>0</v>
      </c>
      <c r="H279" s="25">
        <f>ROUND($D279*CLS_Inc*VLOOKUP($A279,'K3 District Data as of Jan 2025'!$A$3:$M$323,MATCH("Reg base",'K3 District Data as of Jan 2025'!$2:$2,0),FALSE),2)-G279</f>
        <v>0</v>
      </c>
      <c r="I279" s="25">
        <f t="shared" si="29"/>
        <v>0</v>
      </c>
      <c r="J279" s="25">
        <f t="shared" si="30"/>
        <v>0</v>
      </c>
      <c r="K279" s="25">
        <f t="shared" si="31"/>
        <v>0</v>
      </c>
      <c r="L279" s="25">
        <f t="shared" si="32"/>
        <v>0</v>
      </c>
      <c r="M279" s="25">
        <f t="shared" si="33"/>
        <v>0</v>
      </c>
      <c r="N279" s="25">
        <f t="shared" si="34"/>
        <v>0</v>
      </c>
      <c r="O279" s="25">
        <f>ROUND(($C279*CIS_Inc*(VLOOKUP($A279,'K3 District Data as of Jan 2025'!$A$3:$M$323,MATCH("Reg",'K3 District Data as of Jan 2025'!$2:$2,0),FALSE)+VLOOKUP($A279,'K3 District Data as of Jan 2025'!$A$3:$M$323,MATCH("Exp",'K3 District Data as of Jan 2025'!$2:$2,0),FALSE))/180)*3+(($C279*CIS_Inc*(VLOOKUP($A279,'K3 District Data as of Jan 2025'!$A$3:$M$323,MATCH("Reg",'K3 District Data as of Jan 2025'!$2:$2,0),FALSE)+VLOOKUP($A279,'K3 District Data as of Jan 2025'!$A$3:$M$323,MATCH("Exp",'K3 District Data as of Jan 2025'!$2:$2,0),FALSE))/180)*3)*CIS_Ben_Inc,2)</f>
        <v>0</v>
      </c>
      <c r="P279" s="23">
        <f t="shared" si="35"/>
        <v>0</v>
      </c>
    </row>
    <row r="280" spans="1:16" x14ac:dyDescent="0.25">
      <c r="A280" t="s">
        <v>221</v>
      </c>
      <c r="B280" t="s">
        <v>516</v>
      </c>
      <c r="C280" s="33">
        <f>IF(VLOOKUP($A280,'Enroll Data as of January 2025'!$A$3:$T$322,20,FALSE)&gt;0,0,VLOOKUP($A280,'Enroll Data as of January 2025'!$A$3:$T$322,20,FALSE)*'2024-25 PSES Compliance'!$G$13)</f>
        <v>-0.71423999999999999</v>
      </c>
      <c r="D280" s="33">
        <f>IF(VLOOKUP($A280,'Enroll Data as of January 2025'!$A$3:$T$322,20,FALSE)&gt;0,0,VLOOKUP($A280,'Enroll Data as of January 2025'!$A$3:$T$322,20,FALSE)*'2024-25 PSES Compliance'!$G$14)</f>
        <v>-2.9760000000000002E-2</v>
      </c>
      <c r="E280" s="25">
        <f>ROUND($C280*CIS_Base*VLOOKUP($A280,'K3 District Data as of Jan 2025'!$A$3:$M$323,MATCH("Reg base",'K3 District Data as of Jan 2025'!$2:$2,0),FALSE),2)</f>
        <v>-61295.39</v>
      </c>
      <c r="F280" s="25">
        <f>ROUND($C280*CIS_Inc*(VLOOKUP($A280,'K3 District Data as of Jan 2025'!$A$3:$M$323,MATCH("Reg",'K3 District Data as of Jan 2025'!$2:$2,0),FALSE)+VLOOKUP($A280,'K3 District Data as of Jan 2025'!$A$3:$M$323,MATCH("Exp",'K3 District Data as of Jan 2025'!$2:$2,0),FALSE)),2)-E280</f>
        <v>-6853.8099999999977</v>
      </c>
      <c r="G280" s="25">
        <f>ROUND($D280*CLS_Base*VLOOKUP($A280,'K3 District Data as of Jan 2025'!$A$3:$M$323,MATCH("Reg base",'K3 District Data as of Jan 2025'!$2:$2,0),FALSE),2)</f>
        <v>-1832.15</v>
      </c>
      <c r="H280" s="25">
        <f>ROUND($D280*CLS_Inc*VLOOKUP($A280,'K3 District Data as of Jan 2025'!$A$3:$M$323,MATCH("Reg base",'K3 District Data as of Jan 2025'!$2:$2,0),FALSE),2)-G280</f>
        <v>-138.07999999999993</v>
      </c>
      <c r="I280" s="25">
        <f t="shared" si="29"/>
        <v>-10298.43</v>
      </c>
      <c r="J280" s="25">
        <f t="shared" si="30"/>
        <v>-601.58000000000004</v>
      </c>
      <c r="K280" s="25">
        <f t="shared" si="31"/>
        <v>-11125.11</v>
      </c>
      <c r="L280" s="25">
        <f t="shared" si="32"/>
        <v>-10732.82</v>
      </c>
      <c r="M280" s="25">
        <f t="shared" si="33"/>
        <v>-396.84</v>
      </c>
      <c r="N280" s="25">
        <f t="shared" si="34"/>
        <v>-25.08</v>
      </c>
      <c r="O280" s="25">
        <f>ROUND(($C280*CIS_Inc*(VLOOKUP($A280,'K3 District Data as of Jan 2025'!$A$3:$M$323,MATCH("Reg",'K3 District Data as of Jan 2025'!$2:$2,0),FALSE)+VLOOKUP($A280,'K3 District Data as of Jan 2025'!$A$3:$M$323,MATCH("Exp",'K3 District Data as of Jan 2025'!$2:$2,0),FALSE))/180)*3+(($C280*CIS_Inc*(VLOOKUP($A280,'K3 District Data as of Jan 2025'!$A$3:$M$323,MATCH("Reg",'K3 District Data as of Jan 2025'!$2:$2,0),FALSE)+VLOOKUP($A280,'K3 District Data as of Jan 2025'!$A$3:$M$323,MATCH("Exp",'K3 District Data as of Jan 2025'!$2:$2,0),FALSE))/180)*3)*CIS_Ben_Inc,2)</f>
        <v>-1334.7</v>
      </c>
      <c r="P280" s="23">
        <f t="shared" si="35"/>
        <v>-104633.98999999999</v>
      </c>
    </row>
    <row r="281" spans="1:16" x14ac:dyDescent="0.25">
      <c r="A281" t="s">
        <v>109</v>
      </c>
      <c r="B281" t="s">
        <v>405</v>
      </c>
      <c r="C281" s="33">
        <f>IF(VLOOKUP($A281,'Enroll Data as of January 2025'!$A$3:$T$322,20,FALSE)&gt;0,0,VLOOKUP($A281,'Enroll Data as of January 2025'!$A$3:$T$322,20,FALSE)*'2024-25 PSES Compliance'!$G$13)</f>
        <v>0</v>
      </c>
      <c r="D281" s="33">
        <f>IF(VLOOKUP($A281,'Enroll Data as of January 2025'!$A$3:$T$322,20,FALSE)&gt;0,0,VLOOKUP($A281,'Enroll Data as of January 2025'!$A$3:$T$322,20,FALSE)*'2024-25 PSES Compliance'!$G$14)</f>
        <v>0</v>
      </c>
      <c r="E281" s="25">
        <f>ROUND($C281*CIS_Base*VLOOKUP($A281,'K3 District Data as of Jan 2025'!$A$3:$M$323,MATCH("Reg base",'K3 District Data as of Jan 2025'!$2:$2,0),FALSE),2)</f>
        <v>0</v>
      </c>
      <c r="F281" s="25">
        <f>ROUND($C281*CIS_Inc*(VLOOKUP($A281,'K3 District Data as of Jan 2025'!$A$3:$M$323,MATCH("Reg",'K3 District Data as of Jan 2025'!$2:$2,0),FALSE)+VLOOKUP($A281,'K3 District Data as of Jan 2025'!$A$3:$M$323,MATCH("Exp",'K3 District Data as of Jan 2025'!$2:$2,0),FALSE)),2)-E281</f>
        <v>0</v>
      </c>
      <c r="G281" s="25">
        <f>ROUND($D281*CLS_Base*VLOOKUP($A281,'K3 District Data as of Jan 2025'!$A$3:$M$323,MATCH("Reg base",'K3 District Data as of Jan 2025'!$2:$2,0),FALSE),2)</f>
        <v>0</v>
      </c>
      <c r="H281" s="25">
        <f>ROUND($D281*CLS_Inc*VLOOKUP($A281,'K3 District Data as of Jan 2025'!$A$3:$M$323,MATCH("Reg base",'K3 District Data as of Jan 2025'!$2:$2,0),FALSE),2)-G281</f>
        <v>0</v>
      </c>
      <c r="I281" s="25">
        <f t="shared" si="29"/>
        <v>0</v>
      </c>
      <c r="J281" s="25">
        <f t="shared" si="30"/>
        <v>0</v>
      </c>
      <c r="K281" s="25">
        <f t="shared" si="31"/>
        <v>0</v>
      </c>
      <c r="L281" s="25">
        <f t="shared" si="32"/>
        <v>0</v>
      </c>
      <c r="M281" s="25">
        <f t="shared" si="33"/>
        <v>0</v>
      </c>
      <c r="N281" s="25">
        <f t="shared" si="34"/>
        <v>0</v>
      </c>
      <c r="O281" s="25">
        <f>ROUND(($C281*CIS_Inc*(VLOOKUP($A281,'K3 District Data as of Jan 2025'!$A$3:$M$323,MATCH("Reg",'K3 District Data as of Jan 2025'!$2:$2,0),FALSE)+VLOOKUP($A281,'K3 District Data as of Jan 2025'!$A$3:$M$323,MATCH("Exp",'K3 District Data as of Jan 2025'!$2:$2,0),FALSE))/180)*3+(($C281*CIS_Inc*(VLOOKUP($A281,'K3 District Data as of Jan 2025'!$A$3:$M$323,MATCH("Reg",'K3 District Data as of Jan 2025'!$2:$2,0),FALSE)+VLOOKUP($A281,'K3 District Data as of Jan 2025'!$A$3:$M$323,MATCH("Exp",'K3 District Data as of Jan 2025'!$2:$2,0),FALSE))/180)*3)*CIS_Ben_Inc,2)</f>
        <v>0</v>
      </c>
      <c r="P281" s="23">
        <f t="shared" si="35"/>
        <v>0</v>
      </c>
    </row>
    <row r="282" spans="1:16" x14ac:dyDescent="0.25">
      <c r="A282" t="s">
        <v>120</v>
      </c>
      <c r="B282" t="s">
        <v>416</v>
      </c>
      <c r="C282" s="33">
        <f>IF(VLOOKUP($A282,'Enroll Data as of January 2025'!$A$3:$T$322,20,FALSE)&gt;0,0,VLOOKUP($A282,'Enroll Data as of January 2025'!$A$3:$T$322,20,FALSE)*'2024-25 PSES Compliance'!$G$13)</f>
        <v>0</v>
      </c>
      <c r="D282" s="33">
        <f>IF(VLOOKUP($A282,'Enroll Data as of January 2025'!$A$3:$T$322,20,FALSE)&gt;0,0,VLOOKUP($A282,'Enroll Data as of January 2025'!$A$3:$T$322,20,FALSE)*'2024-25 PSES Compliance'!$G$14)</f>
        <v>0</v>
      </c>
      <c r="E282" s="25">
        <f>ROUND($C282*CIS_Base*VLOOKUP($A282,'K3 District Data as of Jan 2025'!$A$3:$M$323,MATCH("Reg base",'K3 District Data as of Jan 2025'!$2:$2,0),FALSE),2)</f>
        <v>0</v>
      </c>
      <c r="F282" s="25">
        <f>ROUND($C282*CIS_Inc*(VLOOKUP($A282,'K3 District Data as of Jan 2025'!$A$3:$M$323,MATCH("Reg",'K3 District Data as of Jan 2025'!$2:$2,0),FALSE)+VLOOKUP($A282,'K3 District Data as of Jan 2025'!$A$3:$M$323,MATCH("Exp",'K3 District Data as of Jan 2025'!$2:$2,0),FALSE)),2)-E282</f>
        <v>0</v>
      </c>
      <c r="G282" s="25">
        <f>ROUND($D282*CLS_Base*VLOOKUP($A282,'K3 District Data as of Jan 2025'!$A$3:$M$323,MATCH("Reg base",'K3 District Data as of Jan 2025'!$2:$2,0),FALSE),2)</f>
        <v>0</v>
      </c>
      <c r="H282" s="25">
        <f>ROUND($D282*CLS_Inc*VLOOKUP($A282,'K3 District Data as of Jan 2025'!$A$3:$M$323,MATCH("Reg base",'K3 District Data as of Jan 2025'!$2:$2,0),FALSE),2)-G282</f>
        <v>0</v>
      </c>
      <c r="I282" s="25">
        <f t="shared" si="29"/>
        <v>0</v>
      </c>
      <c r="J282" s="25">
        <f t="shared" si="30"/>
        <v>0</v>
      </c>
      <c r="K282" s="25">
        <f t="shared" si="31"/>
        <v>0</v>
      </c>
      <c r="L282" s="25">
        <f t="shared" si="32"/>
        <v>0</v>
      </c>
      <c r="M282" s="25">
        <f t="shared" si="33"/>
        <v>0</v>
      </c>
      <c r="N282" s="25">
        <f t="shared" si="34"/>
        <v>0</v>
      </c>
      <c r="O282" s="25">
        <f>ROUND(($C282*CIS_Inc*(VLOOKUP($A282,'K3 District Data as of Jan 2025'!$A$3:$M$323,MATCH("Reg",'K3 District Data as of Jan 2025'!$2:$2,0),FALSE)+VLOOKUP($A282,'K3 District Data as of Jan 2025'!$A$3:$M$323,MATCH("Exp",'K3 District Data as of Jan 2025'!$2:$2,0),FALSE))/180)*3+(($C282*CIS_Inc*(VLOOKUP($A282,'K3 District Data as of Jan 2025'!$A$3:$M$323,MATCH("Reg",'K3 District Data as of Jan 2025'!$2:$2,0),FALSE)+VLOOKUP($A282,'K3 District Data as of Jan 2025'!$A$3:$M$323,MATCH("Exp",'K3 District Data as of Jan 2025'!$2:$2,0),FALSE))/180)*3)*CIS_Ben_Inc,2)</f>
        <v>0</v>
      </c>
      <c r="P282" s="23">
        <f t="shared" si="35"/>
        <v>0</v>
      </c>
    </row>
    <row r="283" spans="1:16" x14ac:dyDescent="0.25">
      <c r="A283" t="s">
        <v>90</v>
      </c>
      <c r="B283" t="s">
        <v>386</v>
      </c>
      <c r="C283" s="33">
        <f>IF(VLOOKUP($A283,'Enroll Data as of January 2025'!$A$3:$T$322,20,FALSE)&gt;0,0,VLOOKUP($A283,'Enroll Data as of January 2025'!$A$3:$T$322,20,FALSE)*'2024-25 PSES Compliance'!$G$13)</f>
        <v>-0.79199999999999993</v>
      </c>
      <c r="D283" s="33">
        <f>IF(VLOOKUP($A283,'Enroll Data as of January 2025'!$A$3:$T$322,20,FALSE)&gt;0,0,VLOOKUP($A283,'Enroll Data as of January 2025'!$A$3:$T$322,20,FALSE)*'2024-25 PSES Compliance'!$G$14)</f>
        <v>-3.3000000000000002E-2</v>
      </c>
      <c r="E283" s="25">
        <f>ROUND($C283*CIS_Base*VLOOKUP($A283,'K3 District Data as of Jan 2025'!$A$3:$M$323,MATCH("Reg base",'K3 District Data as of Jan 2025'!$2:$2,0),FALSE),2)</f>
        <v>-67968.679999999993</v>
      </c>
      <c r="F283" s="25">
        <f>ROUND($C283*CIS_Inc*(VLOOKUP($A283,'K3 District Data as of Jan 2025'!$A$3:$M$323,MATCH("Reg",'K3 District Data as of Jan 2025'!$2:$2,0),FALSE)+VLOOKUP($A283,'K3 District Data as of Jan 2025'!$A$3:$M$323,MATCH("Exp",'K3 District Data as of Jan 2025'!$2:$2,0),FALSE)),2)-E283</f>
        <v>-5741.7400000000052</v>
      </c>
      <c r="G283" s="25">
        <f>ROUND($D283*CLS_Base*VLOOKUP($A283,'K3 District Data as of Jan 2025'!$A$3:$M$323,MATCH("Reg base",'K3 District Data as of Jan 2025'!$2:$2,0),FALSE),2)</f>
        <v>-2031.62</v>
      </c>
      <c r="H283" s="25">
        <f>ROUND($D283*CLS_Inc*VLOOKUP($A283,'K3 District Data as of Jan 2025'!$A$3:$M$323,MATCH("Reg base",'K3 District Data as of Jan 2025'!$2:$2,0),FALSE),2)-G283</f>
        <v>-153.11000000000013</v>
      </c>
      <c r="I283" s="25">
        <f t="shared" si="29"/>
        <v>-11419.63</v>
      </c>
      <c r="J283" s="25">
        <f t="shared" si="30"/>
        <v>-667.08</v>
      </c>
      <c r="K283" s="25">
        <f t="shared" si="31"/>
        <v>-12336.32</v>
      </c>
      <c r="L283" s="25">
        <f t="shared" si="32"/>
        <v>-11901.32</v>
      </c>
      <c r="M283" s="25">
        <f t="shared" si="33"/>
        <v>-440.05</v>
      </c>
      <c r="N283" s="25">
        <f t="shared" si="34"/>
        <v>-27.8</v>
      </c>
      <c r="O283" s="25">
        <f>ROUND(($C283*CIS_Inc*(VLOOKUP($A283,'K3 District Data as of Jan 2025'!$A$3:$M$323,MATCH("Reg",'K3 District Data as of Jan 2025'!$2:$2,0),FALSE)+VLOOKUP($A283,'K3 District Data as of Jan 2025'!$A$3:$M$323,MATCH("Exp",'K3 District Data as of Jan 2025'!$2:$2,0),FALSE))/180)*3+(($C283*CIS_Inc*(VLOOKUP($A283,'K3 District Data as of Jan 2025'!$A$3:$M$323,MATCH("Reg",'K3 District Data as of Jan 2025'!$2:$2,0),FALSE)+VLOOKUP($A283,'K3 District Data as of Jan 2025'!$A$3:$M$323,MATCH("Exp",'K3 District Data as of Jan 2025'!$2:$2,0),FALSE))/180)*3)*CIS_Ben_Inc,2)</f>
        <v>-1443.62</v>
      </c>
      <c r="P283" s="23">
        <f t="shared" si="35"/>
        <v>-114130.97</v>
      </c>
    </row>
    <row r="284" spans="1:16" x14ac:dyDescent="0.25">
      <c r="A284" t="s">
        <v>615</v>
      </c>
      <c r="B284" t="s">
        <v>616</v>
      </c>
      <c r="C284" s="33">
        <f>IF(VLOOKUP($A284,'Enroll Data as of January 2025'!$A$3:$T$322,20,FALSE)&gt;0,0,VLOOKUP($A284,'Enroll Data as of January 2025'!$A$3:$T$322,20,FALSE)*'2024-25 PSES Compliance'!$G$13)</f>
        <v>-0.8035199999999999</v>
      </c>
      <c r="D284" s="33">
        <f>IF(VLOOKUP($A284,'Enroll Data as of January 2025'!$A$3:$T$322,20,FALSE)&gt;0,0,VLOOKUP($A284,'Enroll Data as of January 2025'!$A$3:$T$322,20,FALSE)*'2024-25 PSES Compliance'!$G$14)</f>
        <v>-3.3480000000000003E-2</v>
      </c>
      <c r="E284" s="25">
        <f>ROUND($C284*CIS_Base*VLOOKUP($A284,'K3 District Data as of Jan 2025'!$A$3:$M$323,MATCH("Reg base",'K3 District Data as of Jan 2025'!$2:$2,0),FALSE),2)</f>
        <v>-58438.400000000001</v>
      </c>
      <c r="F284" s="25">
        <f>ROUND($C284*CIS_Inc*(VLOOKUP($A284,'K3 District Data as of Jan 2025'!$A$3:$M$323,MATCH("Reg",'K3 District Data as of Jan 2025'!$2:$2,0),FALSE)+VLOOKUP($A284,'K3 District Data as of Jan 2025'!$A$3:$M$323,MATCH("Exp",'K3 District Data as of Jan 2025'!$2:$2,0),FALSE)),2)-E284</f>
        <v>-4404.0999999999985</v>
      </c>
      <c r="G284" s="25">
        <f>ROUND($D284*CLS_Base*VLOOKUP($A284,'K3 District Data as of Jan 2025'!$A$3:$M$323,MATCH("Reg base",'K3 District Data as of Jan 2025'!$2:$2,0),FALSE),2)</f>
        <v>-1746.75</v>
      </c>
      <c r="H284" s="25">
        <f>ROUND($D284*CLS_Inc*VLOOKUP($A284,'K3 District Data as of Jan 2025'!$A$3:$M$323,MATCH("Reg base",'K3 District Data as of Jan 2025'!$2:$2,0),FALSE),2)-G284</f>
        <v>-131.65000000000009</v>
      </c>
      <c r="I284" s="25">
        <f t="shared" si="29"/>
        <v>-11585.73</v>
      </c>
      <c r="J284" s="25">
        <f t="shared" si="30"/>
        <v>-676.78</v>
      </c>
      <c r="K284" s="25">
        <f t="shared" si="31"/>
        <v>-10606.57</v>
      </c>
      <c r="L284" s="25">
        <f t="shared" si="32"/>
        <v>-10232.56</v>
      </c>
      <c r="M284" s="25">
        <f t="shared" si="33"/>
        <v>-378.35</v>
      </c>
      <c r="N284" s="25">
        <f t="shared" si="34"/>
        <v>-23.91</v>
      </c>
      <c r="O284" s="25">
        <f>ROUND(($C284*CIS_Inc*(VLOOKUP($A284,'K3 District Data as of Jan 2025'!$A$3:$M$323,MATCH("Reg",'K3 District Data as of Jan 2025'!$2:$2,0),FALSE)+VLOOKUP($A284,'K3 District Data as of Jan 2025'!$A$3:$M$323,MATCH("Exp",'K3 District Data as of Jan 2025'!$2:$2,0),FALSE))/180)*3+(($C284*CIS_Inc*(VLOOKUP($A284,'K3 District Data as of Jan 2025'!$A$3:$M$323,MATCH("Reg",'K3 District Data as of Jan 2025'!$2:$2,0),FALSE)+VLOOKUP($A284,'K3 District Data as of Jan 2025'!$A$3:$M$323,MATCH("Exp",'K3 District Data as of Jan 2025'!$2:$2,0),FALSE))/180)*3)*CIS_Ben_Inc,2)</f>
        <v>-1230.77</v>
      </c>
      <c r="P284" s="23">
        <f t="shared" si="35"/>
        <v>-99455.570000000022</v>
      </c>
    </row>
    <row r="285" spans="1:16" x14ac:dyDescent="0.25">
      <c r="A285" t="s">
        <v>1</v>
      </c>
      <c r="B285" t="s">
        <v>522</v>
      </c>
      <c r="C285" s="33">
        <f>IF(VLOOKUP($A285,'Enroll Data as of January 2025'!$A$3:$T$322,20,FALSE)&gt;0,0,VLOOKUP($A285,'Enroll Data as of January 2025'!$A$3:$T$322,20,FALSE)*'2024-25 PSES Compliance'!$G$13)</f>
        <v>0</v>
      </c>
      <c r="D285" s="33">
        <f>IF(VLOOKUP($A285,'Enroll Data as of January 2025'!$A$3:$T$322,20,FALSE)&gt;0,0,VLOOKUP($A285,'Enroll Data as of January 2025'!$A$3:$T$322,20,FALSE)*'2024-25 PSES Compliance'!$G$14)</f>
        <v>0</v>
      </c>
      <c r="E285" s="25">
        <f>ROUND($C285*CIS_Base*VLOOKUP($A285,'K3 District Data as of Jan 2025'!$A$3:$M$323,MATCH("Reg base",'K3 District Data as of Jan 2025'!$2:$2,0),FALSE),2)</f>
        <v>0</v>
      </c>
      <c r="F285" s="25">
        <f>ROUND($C285*CIS_Inc*(VLOOKUP($A285,'K3 District Data as of Jan 2025'!$A$3:$M$323,MATCH("Reg",'K3 District Data as of Jan 2025'!$2:$2,0),FALSE)+VLOOKUP($A285,'K3 District Data as of Jan 2025'!$A$3:$M$323,MATCH("Exp",'K3 District Data as of Jan 2025'!$2:$2,0),FALSE)),2)-E285</f>
        <v>0</v>
      </c>
      <c r="G285" s="25">
        <f>ROUND($D285*CLS_Base*VLOOKUP($A285,'K3 District Data as of Jan 2025'!$A$3:$M$323,MATCH("Reg base",'K3 District Data as of Jan 2025'!$2:$2,0),FALSE),2)</f>
        <v>0</v>
      </c>
      <c r="H285" s="25">
        <f>ROUND($D285*CLS_Inc*VLOOKUP($A285,'K3 District Data as of Jan 2025'!$A$3:$M$323,MATCH("Reg base",'K3 District Data as of Jan 2025'!$2:$2,0),FALSE),2)-G285</f>
        <v>0</v>
      </c>
      <c r="I285" s="25">
        <f t="shared" si="29"/>
        <v>0</v>
      </c>
      <c r="J285" s="25">
        <f t="shared" si="30"/>
        <v>0</v>
      </c>
      <c r="K285" s="25">
        <f t="shared" si="31"/>
        <v>0</v>
      </c>
      <c r="L285" s="25">
        <f t="shared" si="32"/>
        <v>0</v>
      </c>
      <c r="M285" s="25">
        <f t="shared" si="33"/>
        <v>0</v>
      </c>
      <c r="N285" s="25">
        <f t="shared" si="34"/>
        <v>0</v>
      </c>
      <c r="O285" s="25">
        <f>ROUND(($C285*CIS_Inc*(VLOOKUP($A285,'K3 District Data as of Jan 2025'!$A$3:$M$323,MATCH("Reg",'K3 District Data as of Jan 2025'!$2:$2,0),FALSE)+VLOOKUP($A285,'K3 District Data as of Jan 2025'!$A$3:$M$323,MATCH("Exp",'K3 District Data as of Jan 2025'!$2:$2,0),FALSE))/180)*3+(($C285*CIS_Inc*(VLOOKUP($A285,'K3 District Data as of Jan 2025'!$A$3:$M$323,MATCH("Reg",'K3 District Data as of Jan 2025'!$2:$2,0),FALSE)+VLOOKUP($A285,'K3 District Data as of Jan 2025'!$A$3:$M$323,MATCH("Exp",'K3 District Data as of Jan 2025'!$2:$2,0),FALSE))/180)*3)*CIS_Ben_Inc,2)</f>
        <v>0</v>
      </c>
      <c r="P285" s="23">
        <f t="shared" si="35"/>
        <v>0</v>
      </c>
    </row>
    <row r="286" spans="1:16" x14ac:dyDescent="0.25">
      <c r="A286" t="s">
        <v>151</v>
      </c>
      <c r="B286" t="s">
        <v>447</v>
      </c>
      <c r="C286" s="33">
        <f>IF(VLOOKUP($A286,'Enroll Data as of January 2025'!$A$3:$T$322,20,FALSE)&gt;0,0,VLOOKUP($A286,'Enroll Data as of January 2025'!$A$3:$T$322,20,FALSE)*'2024-25 PSES Compliance'!$G$13)</f>
        <v>0</v>
      </c>
      <c r="D286" s="33">
        <f>IF(VLOOKUP($A286,'Enroll Data as of January 2025'!$A$3:$T$322,20,FALSE)&gt;0,0,VLOOKUP($A286,'Enroll Data as of January 2025'!$A$3:$T$322,20,FALSE)*'2024-25 PSES Compliance'!$G$14)</f>
        <v>0</v>
      </c>
      <c r="E286" s="25">
        <f>ROUND($C286*CIS_Base*VLOOKUP($A286,'K3 District Data as of Jan 2025'!$A$3:$M$323,MATCH("Reg base",'K3 District Data as of Jan 2025'!$2:$2,0),FALSE),2)</f>
        <v>0</v>
      </c>
      <c r="F286" s="25">
        <f>ROUND($C286*CIS_Inc*(VLOOKUP($A286,'K3 District Data as of Jan 2025'!$A$3:$M$323,MATCH("Reg",'K3 District Data as of Jan 2025'!$2:$2,0),FALSE)+VLOOKUP($A286,'K3 District Data as of Jan 2025'!$A$3:$M$323,MATCH("Exp",'K3 District Data as of Jan 2025'!$2:$2,0),FALSE)),2)-E286</f>
        <v>0</v>
      </c>
      <c r="G286" s="25">
        <f>ROUND($D286*CLS_Base*VLOOKUP($A286,'K3 District Data as of Jan 2025'!$A$3:$M$323,MATCH("Reg base",'K3 District Data as of Jan 2025'!$2:$2,0),FALSE),2)</f>
        <v>0</v>
      </c>
      <c r="H286" s="25">
        <f>ROUND($D286*CLS_Inc*VLOOKUP($A286,'K3 District Data as of Jan 2025'!$A$3:$M$323,MATCH("Reg base",'K3 District Data as of Jan 2025'!$2:$2,0),FALSE),2)-G286</f>
        <v>0</v>
      </c>
      <c r="I286" s="25">
        <f t="shared" si="29"/>
        <v>0</v>
      </c>
      <c r="J286" s="25">
        <f t="shared" si="30"/>
        <v>0</v>
      </c>
      <c r="K286" s="25">
        <f t="shared" si="31"/>
        <v>0</v>
      </c>
      <c r="L286" s="25">
        <f t="shared" si="32"/>
        <v>0</v>
      </c>
      <c r="M286" s="25">
        <f t="shared" si="33"/>
        <v>0</v>
      </c>
      <c r="N286" s="25">
        <f t="shared" si="34"/>
        <v>0</v>
      </c>
      <c r="O286" s="25">
        <f>ROUND(($C286*CIS_Inc*(VLOOKUP($A286,'K3 District Data as of Jan 2025'!$A$3:$M$323,MATCH("Reg",'K3 District Data as of Jan 2025'!$2:$2,0),FALSE)+VLOOKUP($A286,'K3 District Data as of Jan 2025'!$A$3:$M$323,MATCH("Exp",'K3 District Data as of Jan 2025'!$2:$2,0),FALSE))/180)*3+(($C286*CIS_Inc*(VLOOKUP($A286,'K3 District Data as of Jan 2025'!$A$3:$M$323,MATCH("Reg",'K3 District Data as of Jan 2025'!$2:$2,0),FALSE)+VLOOKUP($A286,'K3 District Data as of Jan 2025'!$A$3:$M$323,MATCH("Exp",'K3 District Data as of Jan 2025'!$2:$2,0),FALSE))/180)*3)*CIS_Ben_Inc,2)</f>
        <v>0</v>
      </c>
      <c r="P286" s="23">
        <f t="shared" si="35"/>
        <v>0</v>
      </c>
    </row>
    <row r="287" spans="1:16" x14ac:dyDescent="0.25">
      <c r="A287" t="s">
        <v>287</v>
      </c>
      <c r="B287" t="s">
        <v>583</v>
      </c>
      <c r="C287" s="33">
        <f>IF(VLOOKUP($A287,'Enroll Data as of January 2025'!$A$3:$T$322,20,FALSE)&gt;0,0,VLOOKUP($A287,'Enroll Data as of January 2025'!$A$3:$T$322,20,FALSE)*'2024-25 PSES Compliance'!$G$13)</f>
        <v>-0.36863999999999997</v>
      </c>
      <c r="D287" s="33">
        <f>IF(VLOOKUP($A287,'Enroll Data as of January 2025'!$A$3:$T$322,20,FALSE)&gt;0,0,VLOOKUP($A287,'Enroll Data as of January 2025'!$A$3:$T$322,20,FALSE)*'2024-25 PSES Compliance'!$G$14)</f>
        <v>-1.536E-2</v>
      </c>
      <c r="E287" s="25">
        <f>ROUND($C287*CIS_Base*VLOOKUP($A287,'K3 District Data as of Jan 2025'!$A$3:$M$323,MATCH("Reg base",'K3 District Data as of Jan 2025'!$2:$2,0),FALSE),2)</f>
        <v>-26810.45</v>
      </c>
      <c r="F287" s="25">
        <f>ROUND($C287*CIS_Inc*(VLOOKUP($A287,'K3 District Data as of Jan 2025'!$A$3:$M$323,MATCH("Reg",'K3 District Data as of Jan 2025'!$2:$2,0),FALSE)+VLOOKUP($A287,'K3 District Data as of Jan 2025'!$A$3:$M$323,MATCH("Exp",'K3 District Data as of Jan 2025'!$2:$2,0),FALSE)),2)-E287</f>
        <v>-2020.5200000000004</v>
      </c>
      <c r="G287" s="25">
        <f>ROUND($D287*CLS_Base*VLOOKUP($A287,'K3 District Data as of Jan 2025'!$A$3:$M$323,MATCH("Reg base",'K3 District Data as of Jan 2025'!$2:$2,0),FALSE),2)</f>
        <v>-801.38</v>
      </c>
      <c r="H287" s="25">
        <f>ROUND($D287*CLS_Inc*VLOOKUP($A287,'K3 District Data as of Jan 2025'!$A$3:$M$323,MATCH("Reg base",'K3 District Data as of Jan 2025'!$2:$2,0),FALSE),2)-G287</f>
        <v>-60.389999999999986</v>
      </c>
      <c r="I287" s="25">
        <f t="shared" si="29"/>
        <v>-5315.32</v>
      </c>
      <c r="J287" s="25">
        <f t="shared" si="30"/>
        <v>-310.49</v>
      </c>
      <c r="K287" s="25">
        <f t="shared" si="31"/>
        <v>-4866.1000000000004</v>
      </c>
      <c r="L287" s="25">
        <f t="shared" si="32"/>
        <v>-4694.51</v>
      </c>
      <c r="M287" s="25">
        <f t="shared" si="33"/>
        <v>-173.58</v>
      </c>
      <c r="N287" s="25">
        <f t="shared" si="34"/>
        <v>-10.97</v>
      </c>
      <c r="O287" s="25">
        <f>ROUND(($C287*CIS_Inc*(VLOOKUP($A287,'K3 District Data as of Jan 2025'!$A$3:$M$323,MATCH("Reg",'K3 District Data as of Jan 2025'!$2:$2,0),FALSE)+VLOOKUP($A287,'K3 District Data as of Jan 2025'!$A$3:$M$323,MATCH("Exp",'K3 District Data as of Jan 2025'!$2:$2,0),FALSE))/180)*3+(($C287*CIS_Inc*(VLOOKUP($A287,'K3 District Data as of Jan 2025'!$A$3:$M$323,MATCH("Reg",'K3 District Data as of Jan 2025'!$2:$2,0),FALSE)+VLOOKUP($A287,'K3 District Data as of Jan 2025'!$A$3:$M$323,MATCH("Exp",'K3 District Data as of Jan 2025'!$2:$2,0),FALSE))/180)*3)*CIS_Ben_Inc,2)</f>
        <v>-564.65</v>
      </c>
      <c r="P287" s="23">
        <f t="shared" si="35"/>
        <v>-45628.36</v>
      </c>
    </row>
    <row r="288" spans="1:16" x14ac:dyDescent="0.25">
      <c r="A288" t="s">
        <v>226</v>
      </c>
      <c r="B288" t="s">
        <v>521</v>
      </c>
      <c r="C288" s="33">
        <f>IF(VLOOKUP($A288,'Enroll Data as of January 2025'!$A$3:$T$322,20,FALSE)&gt;0,0,VLOOKUP($A288,'Enroll Data as of January 2025'!$A$3:$T$322,20,FALSE)*'2024-25 PSES Compliance'!$G$13)</f>
        <v>0</v>
      </c>
      <c r="D288" s="33">
        <f>IF(VLOOKUP($A288,'Enroll Data as of January 2025'!$A$3:$T$322,20,FALSE)&gt;0,0,VLOOKUP($A288,'Enroll Data as of January 2025'!$A$3:$T$322,20,FALSE)*'2024-25 PSES Compliance'!$G$14)</f>
        <v>0</v>
      </c>
      <c r="E288" s="25">
        <f>ROUND($C288*CIS_Base*VLOOKUP($A288,'K3 District Data as of Jan 2025'!$A$3:$M$323,MATCH("Reg base",'K3 District Data as of Jan 2025'!$2:$2,0),FALSE),2)</f>
        <v>0</v>
      </c>
      <c r="F288" s="25">
        <f>ROUND($C288*CIS_Inc*(VLOOKUP($A288,'K3 District Data as of Jan 2025'!$A$3:$M$323,MATCH("Reg",'K3 District Data as of Jan 2025'!$2:$2,0),FALSE)+VLOOKUP($A288,'K3 District Data as of Jan 2025'!$A$3:$M$323,MATCH("Exp",'K3 District Data as of Jan 2025'!$2:$2,0),FALSE)),2)-E288</f>
        <v>0</v>
      </c>
      <c r="G288" s="25">
        <f>ROUND($D288*CLS_Base*VLOOKUP($A288,'K3 District Data as of Jan 2025'!$A$3:$M$323,MATCH("Reg base",'K3 District Data as of Jan 2025'!$2:$2,0),FALSE),2)</f>
        <v>0</v>
      </c>
      <c r="H288" s="25">
        <f>ROUND($D288*CLS_Inc*VLOOKUP($A288,'K3 District Data as of Jan 2025'!$A$3:$M$323,MATCH("Reg base",'K3 District Data as of Jan 2025'!$2:$2,0),FALSE),2)-G288</f>
        <v>0</v>
      </c>
      <c r="I288" s="25">
        <f t="shared" si="29"/>
        <v>0</v>
      </c>
      <c r="J288" s="25">
        <f t="shared" si="30"/>
        <v>0</v>
      </c>
      <c r="K288" s="25">
        <f t="shared" si="31"/>
        <v>0</v>
      </c>
      <c r="L288" s="25">
        <f t="shared" si="32"/>
        <v>0</v>
      </c>
      <c r="M288" s="25">
        <f t="shared" si="33"/>
        <v>0</v>
      </c>
      <c r="N288" s="25">
        <f t="shared" si="34"/>
        <v>0</v>
      </c>
      <c r="O288" s="25">
        <f>ROUND(($C288*CIS_Inc*(VLOOKUP($A288,'K3 District Data as of Jan 2025'!$A$3:$M$323,MATCH("Reg",'K3 District Data as of Jan 2025'!$2:$2,0),FALSE)+VLOOKUP($A288,'K3 District Data as of Jan 2025'!$A$3:$M$323,MATCH("Exp",'K3 District Data as of Jan 2025'!$2:$2,0),FALSE))/180)*3+(($C288*CIS_Inc*(VLOOKUP($A288,'K3 District Data as of Jan 2025'!$A$3:$M$323,MATCH("Reg",'K3 District Data as of Jan 2025'!$2:$2,0),FALSE)+VLOOKUP($A288,'K3 District Data as of Jan 2025'!$A$3:$M$323,MATCH("Exp",'K3 District Data as of Jan 2025'!$2:$2,0),FALSE))/180)*3)*CIS_Ben_Inc,2)</f>
        <v>0</v>
      </c>
      <c r="P288" s="23">
        <f t="shared" si="35"/>
        <v>0</v>
      </c>
    </row>
    <row r="289" spans="1:16" x14ac:dyDescent="0.25">
      <c r="A289" t="s">
        <v>183</v>
      </c>
      <c r="B289" t="s">
        <v>479</v>
      </c>
      <c r="C289" s="33">
        <f>IF(VLOOKUP($A289,'Enroll Data as of January 2025'!$A$3:$T$322,20,FALSE)&gt;0,0,VLOOKUP($A289,'Enroll Data as of January 2025'!$A$3:$T$322,20,FALSE)*'2024-25 PSES Compliance'!$G$13)</f>
        <v>0</v>
      </c>
      <c r="D289" s="33">
        <f>IF(VLOOKUP($A289,'Enroll Data as of January 2025'!$A$3:$T$322,20,FALSE)&gt;0,0,VLOOKUP($A289,'Enroll Data as of January 2025'!$A$3:$T$322,20,FALSE)*'2024-25 PSES Compliance'!$G$14)</f>
        <v>0</v>
      </c>
      <c r="E289" s="25">
        <f>ROUND($C289*CIS_Base*VLOOKUP($A289,'K3 District Data as of Jan 2025'!$A$3:$M$323,MATCH("Reg base",'K3 District Data as of Jan 2025'!$2:$2,0),FALSE),2)</f>
        <v>0</v>
      </c>
      <c r="F289" s="25">
        <f>ROUND($C289*CIS_Inc*(VLOOKUP($A289,'K3 District Data as of Jan 2025'!$A$3:$M$323,MATCH("Reg",'K3 District Data as of Jan 2025'!$2:$2,0),FALSE)+VLOOKUP($A289,'K3 District Data as of Jan 2025'!$A$3:$M$323,MATCH("Exp",'K3 District Data as of Jan 2025'!$2:$2,0),FALSE)),2)-E289</f>
        <v>0</v>
      </c>
      <c r="G289" s="25">
        <f>ROUND($D289*CLS_Base*VLOOKUP($A289,'K3 District Data as of Jan 2025'!$A$3:$M$323,MATCH("Reg base",'K3 District Data as of Jan 2025'!$2:$2,0),FALSE),2)</f>
        <v>0</v>
      </c>
      <c r="H289" s="25">
        <f>ROUND($D289*CLS_Inc*VLOOKUP($A289,'K3 District Data as of Jan 2025'!$A$3:$M$323,MATCH("Reg base",'K3 District Data as of Jan 2025'!$2:$2,0),FALSE),2)-G289</f>
        <v>0</v>
      </c>
      <c r="I289" s="25">
        <f t="shared" si="29"/>
        <v>0</v>
      </c>
      <c r="J289" s="25">
        <f t="shared" si="30"/>
        <v>0</v>
      </c>
      <c r="K289" s="25">
        <f t="shared" si="31"/>
        <v>0</v>
      </c>
      <c r="L289" s="25">
        <f t="shared" si="32"/>
        <v>0</v>
      </c>
      <c r="M289" s="25">
        <f t="shared" si="33"/>
        <v>0</v>
      </c>
      <c r="N289" s="25">
        <f t="shared" si="34"/>
        <v>0</v>
      </c>
      <c r="O289" s="25">
        <f>ROUND(($C289*CIS_Inc*(VLOOKUP($A289,'K3 District Data as of Jan 2025'!$A$3:$M$323,MATCH("Reg",'K3 District Data as of Jan 2025'!$2:$2,0),FALSE)+VLOOKUP($A289,'K3 District Data as of Jan 2025'!$A$3:$M$323,MATCH("Exp",'K3 District Data as of Jan 2025'!$2:$2,0),FALSE))/180)*3+(($C289*CIS_Inc*(VLOOKUP($A289,'K3 District Data as of Jan 2025'!$A$3:$M$323,MATCH("Reg",'K3 District Data as of Jan 2025'!$2:$2,0),FALSE)+VLOOKUP($A289,'K3 District Data as of Jan 2025'!$A$3:$M$323,MATCH("Exp",'K3 District Data as of Jan 2025'!$2:$2,0),FALSE))/180)*3)*CIS_Ben_Inc,2)</f>
        <v>0</v>
      </c>
      <c r="P289" s="23">
        <f t="shared" si="35"/>
        <v>0</v>
      </c>
    </row>
    <row r="290" spans="1:16" x14ac:dyDescent="0.25">
      <c r="A290" t="s">
        <v>223</v>
      </c>
      <c r="B290" t="s">
        <v>518</v>
      </c>
      <c r="C290" s="33">
        <f>IF(VLOOKUP($A290,'Enroll Data as of January 2025'!$A$3:$T$322,20,FALSE)&gt;0,0,VLOOKUP($A290,'Enroll Data as of January 2025'!$A$3:$T$322,20,FALSE)*'2024-25 PSES Compliance'!$G$13)</f>
        <v>-2.2799999999999998</v>
      </c>
      <c r="D290" s="33">
        <f>IF(VLOOKUP($A290,'Enroll Data as of January 2025'!$A$3:$T$322,20,FALSE)&gt;0,0,VLOOKUP($A290,'Enroll Data as of January 2025'!$A$3:$T$322,20,FALSE)*'2024-25 PSES Compliance'!$G$14)</f>
        <v>-9.5000000000000001E-2</v>
      </c>
      <c r="E290" s="25">
        <f>ROUND($C290*CIS_Base*VLOOKUP($A290,'K3 District Data as of Jan 2025'!$A$3:$M$323,MATCH("Reg base",'K3 District Data as of Jan 2025'!$2:$2,0),FALSE),2)</f>
        <v>-195667.41</v>
      </c>
      <c r="F290" s="25">
        <f>ROUND($C290*CIS_Inc*(VLOOKUP($A290,'K3 District Data as of Jan 2025'!$A$3:$M$323,MATCH("Reg",'K3 District Data as of Jan 2025'!$2:$2,0),FALSE)+VLOOKUP($A290,'K3 District Data as of Jan 2025'!$A$3:$M$323,MATCH("Exp",'K3 District Data as of Jan 2025'!$2:$2,0),FALSE)),2)-E290</f>
        <v>-14746.079999999987</v>
      </c>
      <c r="G290" s="25">
        <f>ROUND($D290*CLS_Base*VLOOKUP($A290,'K3 District Data as of Jan 2025'!$A$3:$M$323,MATCH("Reg base",'K3 District Data as of Jan 2025'!$2:$2,0),FALSE),2)</f>
        <v>-5848.59</v>
      </c>
      <c r="H290" s="25">
        <f>ROUND($D290*CLS_Inc*VLOOKUP($A290,'K3 District Data as of Jan 2025'!$A$3:$M$323,MATCH("Reg base",'K3 District Data as of Jan 2025'!$2:$2,0),FALSE),2)-G290</f>
        <v>-440.77999999999975</v>
      </c>
      <c r="I290" s="25">
        <f t="shared" si="29"/>
        <v>-32874.68</v>
      </c>
      <c r="J290" s="25">
        <f t="shared" si="30"/>
        <v>-1920.38</v>
      </c>
      <c r="K290" s="25">
        <f t="shared" si="31"/>
        <v>-35513.629999999997</v>
      </c>
      <c r="L290" s="25">
        <f t="shared" si="32"/>
        <v>-34261.360000000001</v>
      </c>
      <c r="M290" s="25">
        <f t="shared" si="33"/>
        <v>-1266.8</v>
      </c>
      <c r="N290" s="25">
        <f t="shared" si="34"/>
        <v>-80.05</v>
      </c>
      <c r="O290" s="25">
        <f>ROUND(($C290*CIS_Inc*(VLOOKUP($A290,'K3 District Data as of Jan 2025'!$A$3:$M$323,MATCH("Reg",'K3 District Data as of Jan 2025'!$2:$2,0),FALSE)+VLOOKUP($A290,'K3 District Data as of Jan 2025'!$A$3:$M$323,MATCH("Exp",'K3 District Data as of Jan 2025'!$2:$2,0),FALSE))/180)*3+(($C290*CIS_Inc*(VLOOKUP($A290,'K3 District Data as of Jan 2025'!$A$3:$M$323,MATCH("Reg",'K3 District Data as of Jan 2025'!$2:$2,0),FALSE)+VLOOKUP($A290,'K3 District Data as of Jan 2025'!$A$3:$M$323,MATCH("Exp",'K3 District Data as of Jan 2025'!$2:$2,0),FALSE))/180)*3)*CIS_Ben_Inc,2)</f>
        <v>-4120.95</v>
      </c>
      <c r="P290" s="23">
        <f t="shared" si="35"/>
        <v>-326740.70999999996</v>
      </c>
    </row>
    <row r="291" spans="1:16" x14ac:dyDescent="0.25">
      <c r="A291" t="s">
        <v>246</v>
      </c>
      <c r="B291" t="s">
        <v>542</v>
      </c>
      <c r="C291" s="33">
        <f>IF(VLOOKUP($A291,'Enroll Data as of January 2025'!$A$3:$T$322,20,FALSE)&gt;0,0,VLOOKUP($A291,'Enroll Data as of January 2025'!$A$3:$T$322,20,FALSE)*'2024-25 PSES Compliance'!$G$13)</f>
        <v>-0.27359999999999995</v>
      </c>
      <c r="D291" s="33">
        <f>IF(VLOOKUP($A291,'Enroll Data as of January 2025'!$A$3:$T$322,20,FALSE)&gt;0,0,VLOOKUP($A291,'Enroll Data as of January 2025'!$A$3:$T$322,20,FALSE)*'2024-25 PSES Compliance'!$G$14)</f>
        <v>-1.1399999999999999E-2</v>
      </c>
      <c r="E291" s="25">
        <f>ROUND($C291*CIS_Base*VLOOKUP($A291,'K3 District Data as of Jan 2025'!$A$3:$M$323,MATCH("Reg base",'K3 District Data as of Jan 2025'!$2:$2,0),FALSE),2)</f>
        <v>-19898.38</v>
      </c>
      <c r="F291" s="25">
        <f>ROUND($C291*CIS_Inc*(VLOOKUP($A291,'K3 District Data as of Jan 2025'!$A$3:$M$323,MATCH("Reg",'K3 District Data as of Jan 2025'!$2:$2,0),FALSE)+VLOOKUP($A291,'K3 District Data as of Jan 2025'!$A$3:$M$323,MATCH("Exp",'K3 District Data as of Jan 2025'!$2:$2,0),FALSE)),2)-E291</f>
        <v>-1499.5999999999985</v>
      </c>
      <c r="G291" s="25">
        <f>ROUND($D291*CLS_Base*VLOOKUP($A291,'K3 District Data as of Jan 2025'!$A$3:$M$323,MATCH("Reg base",'K3 District Data as of Jan 2025'!$2:$2,0),FALSE),2)</f>
        <v>-594.77</v>
      </c>
      <c r="H291" s="25">
        <f>ROUND($D291*CLS_Inc*VLOOKUP($A291,'K3 District Data as of Jan 2025'!$A$3:$M$323,MATCH("Reg base",'K3 District Data as of Jan 2025'!$2:$2,0),FALSE),2)-G291</f>
        <v>-44.830000000000041</v>
      </c>
      <c r="I291" s="25">
        <f t="shared" si="29"/>
        <v>-3944.96</v>
      </c>
      <c r="J291" s="25">
        <f t="shared" si="30"/>
        <v>-230.45</v>
      </c>
      <c r="K291" s="25">
        <f t="shared" si="31"/>
        <v>-3611.56</v>
      </c>
      <c r="L291" s="25">
        <f t="shared" si="32"/>
        <v>-3484.21</v>
      </c>
      <c r="M291" s="25">
        <f t="shared" si="33"/>
        <v>-128.83000000000001</v>
      </c>
      <c r="N291" s="25">
        <f t="shared" si="34"/>
        <v>-8.14</v>
      </c>
      <c r="O291" s="25">
        <f>ROUND(($C291*CIS_Inc*(VLOOKUP($A291,'K3 District Data as of Jan 2025'!$A$3:$M$323,MATCH("Reg",'K3 District Data as of Jan 2025'!$2:$2,0),FALSE)+VLOOKUP($A291,'K3 District Data as of Jan 2025'!$A$3:$M$323,MATCH("Exp",'K3 District Data as of Jan 2025'!$2:$2,0),FALSE))/180)*3+(($C291*CIS_Inc*(VLOOKUP($A291,'K3 District Data as of Jan 2025'!$A$3:$M$323,MATCH("Reg",'K3 District Data as of Jan 2025'!$2:$2,0),FALSE)+VLOOKUP($A291,'K3 District Data as of Jan 2025'!$A$3:$M$323,MATCH("Exp",'K3 District Data as of Jan 2025'!$2:$2,0),FALSE))/180)*3)*CIS_Ben_Inc,2)</f>
        <v>-419.08</v>
      </c>
      <c r="P291" s="23">
        <f t="shared" si="35"/>
        <v>-33864.810000000005</v>
      </c>
    </row>
    <row r="292" spans="1:16" x14ac:dyDescent="0.25">
      <c r="A292" t="s">
        <v>188</v>
      </c>
      <c r="B292" t="s">
        <v>1114</v>
      </c>
      <c r="C292" s="33">
        <f>IF(VLOOKUP($A292,'Enroll Data as of January 2025'!$A$3:$T$322,20,FALSE)&gt;0,0,VLOOKUP($A292,'Enroll Data as of January 2025'!$A$3:$T$322,20,FALSE)*'2024-25 PSES Compliance'!$G$13)</f>
        <v>0</v>
      </c>
      <c r="D292" s="33">
        <f>IF(VLOOKUP($A292,'Enroll Data as of January 2025'!$A$3:$T$322,20,FALSE)&gt;0,0,VLOOKUP($A292,'Enroll Data as of January 2025'!$A$3:$T$322,20,FALSE)*'2024-25 PSES Compliance'!$G$14)</f>
        <v>0</v>
      </c>
      <c r="E292" s="25">
        <f>ROUND($C292*CIS_Base*VLOOKUP($A292,'K3 District Data as of Jan 2025'!$A$3:$M$323,MATCH("Reg base",'K3 District Data as of Jan 2025'!$2:$2,0),FALSE),2)</f>
        <v>0</v>
      </c>
      <c r="F292" s="25">
        <f>ROUND($C292*CIS_Inc*(VLOOKUP($A292,'K3 District Data as of Jan 2025'!$A$3:$M$323,MATCH("Reg",'K3 District Data as of Jan 2025'!$2:$2,0),FALSE)+VLOOKUP($A292,'K3 District Data as of Jan 2025'!$A$3:$M$323,MATCH("Exp",'K3 District Data as of Jan 2025'!$2:$2,0),FALSE)),2)-E292</f>
        <v>0</v>
      </c>
      <c r="G292" s="25">
        <f>ROUND($D292*CLS_Base*VLOOKUP($A292,'K3 District Data as of Jan 2025'!$A$3:$M$323,MATCH("Reg base",'K3 District Data as of Jan 2025'!$2:$2,0),FALSE),2)</f>
        <v>0</v>
      </c>
      <c r="H292" s="25">
        <f>ROUND($D292*CLS_Inc*VLOOKUP($A292,'K3 District Data as of Jan 2025'!$A$3:$M$323,MATCH("Reg base",'K3 District Data as of Jan 2025'!$2:$2,0),FALSE),2)-G292</f>
        <v>0</v>
      </c>
      <c r="I292" s="25">
        <f t="shared" si="29"/>
        <v>0</v>
      </c>
      <c r="J292" s="25">
        <f t="shared" si="30"/>
        <v>0</v>
      </c>
      <c r="K292" s="25">
        <f t="shared" si="31"/>
        <v>0</v>
      </c>
      <c r="L292" s="25">
        <f t="shared" si="32"/>
        <v>0</v>
      </c>
      <c r="M292" s="25">
        <f t="shared" si="33"/>
        <v>0</v>
      </c>
      <c r="N292" s="25">
        <f t="shared" si="34"/>
        <v>0</v>
      </c>
      <c r="O292" s="25">
        <f>ROUND(($C292*CIS_Inc*(VLOOKUP($A292,'K3 District Data as of Jan 2025'!$A$3:$M$323,MATCH("Reg",'K3 District Data as of Jan 2025'!$2:$2,0),FALSE)+VLOOKUP($A292,'K3 District Data as of Jan 2025'!$A$3:$M$323,MATCH("Exp",'K3 District Data as of Jan 2025'!$2:$2,0),FALSE))/180)*3+(($C292*CIS_Inc*(VLOOKUP($A292,'K3 District Data as of Jan 2025'!$A$3:$M$323,MATCH("Reg",'K3 District Data as of Jan 2025'!$2:$2,0),FALSE)+VLOOKUP($A292,'K3 District Data as of Jan 2025'!$A$3:$M$323,MATCH("Exp",'K3 District Data as of Jan 2025'!$2:$2,0),FALSE))/180)*3)*CIS_Ben_Inc,2)</f>
        <v>0</v>
      </c>
      <c r="P292" s="23">
        <f t="shared" si="35"/>
        <v>0</v>
      </c>
    </row>
    <row r="293" spans="1:16" x14ac:dyDescent="0.25">
      <c r="A293" t="s">
        <v>296</v>
      </c>
      <c r="B293" t="s">
        <v>592</v>
      </c>
      <c r="C293" s="33">
        <f>IF(VLOOKUP($A293,'Enroll Data as of January 2025'!$A$3:$T$322,20,FALSE)&gt;0,0,VLOOKUP($A293,'Enroll Data as of January 2025'!$A$3:$T$322,20,FALSE)*'2024-25 PSES Compliance'!$G$13)</f>
        <v>0</v>
      </c>
      <c r="D293" s="33">
        <f>IF(VLOOKUP($A293,'Enroll Data as of January 2025'!$A$3:$T$322,20,FALSE)&gt;0,0,VLOOKUP($A293,'Enroll Data as of January 2025'!$A$3:$T$322,20,FALSE)*'2024-25 PSES Compliance'!$G$14)</f>
        <v>0</v>
      </c>
      <c r="E293" s="25">
        <f>ROUND($C293*CIS_Base*VLOOKUP($A293,'K3 District Data as of Jan 2025'!$A$3:$M$323,MATCH("Reg base",'K3 District Data as of Jan 2025'!$2:$2,0),FALSE),2)</f>
        <v>0</v>
      </c>
      <c r="F293" s="25">
        <f>ROUND($C293*CIS_Inc*(VLOOKUP($A293,'K3 District Data as of Jan 2025'!$A$3:$M$323,MATCH("Reg",'K3 District Data as of Jan 2025'!$2:$2,0),FALSE)+VLOOKUP($A293,'K3 District Data as of Jan 2025'!$A$3:$M$323,MATCH("Exp",'K3 District Data as of Jan 2025'!$2:$2,0),FALSE)),2)-E293</f>
        <v>0</v>
      </c>
      <c r="G293" s="25">
        <f>ROUND($D293*CLS_Base*VLOOKUP($A293,'K3 District Data as of Jan 2025'!$A$3:$M$323,MATCH("Reg base",'K3 District Data as of Jan 2025'!$2:$2,0),FALSE),2)</f>
        <v>0</v>
      </c>
      <c r="H293" s="25">
        <f>ROUND($D293*CLS_Inc*VLOOKUP($A293,'K3 District Data as of Jan 2025'!$A$3:$M$323,MATCH("Reg base",'K3 District Data as of Jan 2025'!$2:$2,0),FALSE),2)-G293</f>
        <v>0</v>
      </c>
      <c r="I293" s="25">
        <f t="shared" si="29"/>
        <v>0</v>
      </c>
      <c r="J293" s="25">
        <f t="shared" si="30"/>
        <v>0</v>
      </c>
      <c r="K293" s="25">
        <f t="shared" si="31"/>
        <v>0</v>
      </c>
      <c r="L293" s="25">
        <f t="shared" si="32"/>
        <v>0</v>
      </c>
      <c r="M293" s="25">
        <f t="shared" si="33"/>
        <v>0</v>
      </c>
      <c r="N293" s="25">
        <f t="shared" si="34"/>
        <v>0</v>
      </c>
      <c r="O293" s="25">
        <f>ROUND(($C293*CIS_Inc*(VLOOKUP($A293,'K3 District Data as of Jan 2025'!$A$3:$M$323,MATCH("Reg",'K3 District Data as of Jan 2025'!$2:$2,0),FALSE)+VLOOKUP($A293,'K3 District Data as of Jan 2025'!$A$3:$M$323,MATCH("Exp",'K3 District Data as of Jan 2025'!$2:$2,0),FALSE))/180)*3+(($C293*CIS_Inc*(VLOOKUP($A293,'K3 District Data as of Jan 2025'!$A$3:$M$323,MATCH("Reg",'K3 District Data as of Jan 2025'!$2:$2,0),FALSE)+VLOOKUP($A293,'K3 District Data as of Jan 2025'!$A$3:$M$323,MATCH("Exp",'K3 District Data as of Jan 2025'!$2:$2,0),FALSE))/180)*3)*CIS_Ben_Inc,2)</f>
        <v>0</v>
      </c>
      <c r="P293" s="23">
        <f t="shared" si="35"/>
        <v>0</v>
      </c>
    </row>
    <row r="294" spans="1:16" x14ac:dyDescent="0.25">
      <c r="A294" t="s">
        <v>121</v>
      </c>
      <c r="B294" t="s">
        <v>417</v>
      </c>
      <c r="C294" s="33">
        <f>IF(VLOOKUP($A294,'Enroll Data as of January 2025'!$A$3:$T$322,20,FALSE)&gt;0,0,VLOOKUP($A294,'Enroll Data as of January 2025'!$A$3:$T$322,20,FALSE)*'2024-25 PSES Compliance'!$G$13)</f>
        <v>0</v>
      </c>
      <c r="D294" s="33">
        <f>IF(VLOOKUP($A294,'Enroll Data as of January 2025'!$A$3:$T$322,20,FALSE)&gt;0,0,VLOOKUP($A294,'Enroll Data as of January 2025'!$A$3:$T$322,20,FALSE)*'2024-25 PSES Compliance'!$G$14)</f>
        <v>0</v>
      </c>
      <c r="E294" s="25">
        <f>ROUND($C294*CIS_Base*VLOOKUP($A294,'K3 District Data as of Jan 2025'!$A$3:$M$323,MATCH("Reg base",'K3 District Data as of Jan 2025'!$2:$2,0),FALSE),2)</f>
        <v>0</v>
      </c>
      <c r="F294" s="25">
        <f>ROUND($C294*CIS_Inc*(VLOOKUP($A294,'K3 District Data as of Jan 2025'!$A$3:$M$323,MATCH("Reg",'K3 District Data as of Jan 2025'!$2:$2,0),FALSE)+VLOOKUP($A294,'K3 District Data as of Jan 2025'!$A$3:$M$323,MATCH("Exp",'K3 District Data as of Jan 2025'!$2:$2,0),FALSE)),2)-E294</f>
        <v>0</v>
      </c>
      <c r="G294" s="25">
        <f>ROUND($D294*CLS_Base*VLOOKUP($A294,'K3 District Data as of Jan 2025'!$A$3:$M$323,MATCH("Reg base",'K3 District Data as of Jan 2025'!$2:$2,0),FALSE),2)</f>
        <v>0</v>
      </c>
      <c r="H294" s="25">
        <f>ROUND($D294*CLS_Inc*VLOOKUP($A294,'K3 District Data as of Jan 2025'!$A$3:$M$323,MATCH("Reg base",'K3 District Data as of Jan 2025'!$2:$2,0),FALSE),2)-G294</f>
        <v>0</v>
      </c>
      <c r="I294" s="25">
        <f t="shared" si="29"/>
        <v>0</v>
      </c>
      <c r="J294" s="25">
        <f t="shared" si="30"/>
        <v>0</v>
      </c>
      <c r="K294" s="25">
        <f t="shared" si="31"/>
        <v>0</v>
      </c>
      <c r="L294" s="25">
        <f t="shared" si="32"/>
        <v>0</v>
      </c>
      <c r="M294" s="25">
        <f t="shared" si="33"/>
        <v>0</v>
      </c>
      <c r="N294" s="25">
        <f t="shared" si="34"/>
        <v>0</v>
      </c>
      <c r="O294" s="25">
        <f>ROUND(($C294*CIS_Inc*(VLOOKUP($A294,'K3 District Data as of Jan 2025'!$A$3:$M$323,MATCH("Reg",'K3 District Data as of Jan 2025'!$2:$2,0),FALSE)+VLOOKUP($A294,'K3 District Data as of Jan 2025'!$A$3:$M$323,MATCH("Exp",'K3 District Data as of Jan 2025'!$2:$2,0),FALSE))/180)*3+(($C294*CIS_Inc*(VLOOKUP($A294,'K3 District Data as of Jan 2025'!$A$3:$M$323,MATCH("Reg",'K3 District Data as of Jan 2025'!$2:$2,0),FALSE)+VLOOKUP($A294,'K3 District Data as of Jan 2025'!$A$3:$M$323,MATCH("Exp",'K3 District Data as of Jan 2025'!$2:$2,0),FALSE))/180)*3)*CIS_Ben_Inc,2)</f>
        <v>0</v>
      </c>
      <c r="P294" s="23">
        <f t="shared" si="35"/>
        <v>0</v>
      </c>
    </row>
    <row r="295" spans="1:16" x14ac:dyDescent="0.25">
      <c r="A295" t="s">
        <v>185</v>
      </c>
      <c r="B295" t="s">
        <v>481</v>
      </c>
      <c r="C295" s="33">
        <f>IF(VLOOKUP($A295,'Enroll Data as of January 2025'!$A$3:$T$322,20,FALSE)&gt;0,0,VLOOKUP($A295,'Enroll Data as of January 2025'!$A$3:$T$322,20,FALSE)*'2024-25 PSES Compliance'!$G$13)</f>
        <v>0</v>
      </c>
      <c r="D295" s="33">
        <f>IF(VLOOKUP($A295,'Enroll Data as of January 2025'!$A$3:$T$322,20,FALSE)&gt;0,0,VLOOKUP($A295,'Enroll Data as of January 2025'!$A$3:$T$322,20,FALSE)*'2024-25 PSES Compliance'!$G$14)</f>
        <v>0</v>
      </c>
      <c r="E295" s="25">
        <f>ROUND($C295*CIS_Base*VLOOKUP($A295,'K3 District Data as of Jan 2025'!$A$3:$M$323,MATCH("Reg base",'K3 District Data as of Jan 2025'!$2:$2,0),FALSE),2)</f>
        <v>0</v>
      </c>
      <c r="F295" s="25">
        <f>ROUND($C295*CIS_Inc*(VLOOKUP($A295,'K3 District Data as of Jan 2025'!$A$3:$M$323,MATCH("Reg",'K3 District Data as of Jan 2025'!$2:$2,0),FALSE)+VLOOKUP($A295,'K3 District Data as of Jan 2025'!$A$3:$M$323,MATCH("Exp",'K3 District Data as of Jan 2025'!$2:$2,0),FALSE)),2)-E295</f>
        <v>0</v>
      </c>
      <c r="G295" s="25">
        <f>ROUND($D295*CLS_Base*VLOOKUP($A295,'K3 District Data as of Jan 2025'!$A$3:$M$323,MATCH("Reg base",'K3 District Data as of Jan 2025'!$2:$2,0),FALSE),2)</f>
        <v>0</v>
      </c>
      <c r="H295" s="25">
        <f>ROUND($D295*CLS_Inc*VLOOKUP($A295,'K3 District Data as of Jan 2025'!$A$3:$M$323,MATCH("Reg base",'K3 District Data as of Jan 2025'!$2:$2,0),FALSE),2)-G295</f>
        <v>0</v>
      </c>
      <c r="I295" s="25">
        <f t="shared" si="29"/>
        <v>0</v>
      </c>
      <c r="J295" s="25">
        <f t="shared" si="30"/>
        <v>0</v>
      </c>
      <c r="K295" s="25">
        <f t="shared" si="31"/>
        <v>0</v>
      </c>
      <c r="L295" s="25">
        <f t="shared" si="32"/>
        <v>0</v>
      </c>
      <c r="M295" s="25">
        <f t="shared" si="33"/>
        <v>0</v>
      </c>
      <c r="N295" s="25">
        <f t="shared" si="34"/>
        <v>0</v>
      </c>
      <c r="O295" s="25">
        <f>ROUND(($C295*CIS_Inc*(VLOOKUP($A295,'K3 District Data as of Jan 2025'!$A$3:$M$323,MATCH("Reg",'K3 District Data as of Jan 2025'!$2:$2,0),FALSE)+VLOOKUP($A295,'K3 District Data as of Jan 2025'!$A$3:$M$323,MATCH("Exp",'K3 District Data as of Jan 2025'!$2:$2,0),FALSE))/180)*3+(($C295*CIS_Inc*(VLOOKUP($A295,'K3 District Data as of Jan 2025'!$A$3:$M$323,MATCH("Reg",'K3 District Data as of Jan 2025'!$2:$2,0),FALSE)+VLOOKUP($A295,'K3 District Data as of Jan 2025'!$A$3:$M$323,MATCH("Exp",'K3 District Data as of Jan 2025'!$2:$2,0),FALSE))/180)*3)*CIS_Ben_Inc,2)</f>
        <v>0</v>
      </c>
      <c r="P295" s="23">
        <f t="shared" si="35"/>
        <v>0</v>
      </c>
    </row>
    <row r="296" spans="1:16" x14ac:dyDescent="0.25">
      <c r="A296" t="s">
        <v>278</v>
      </c>
      <c r="B296" t="s">
        <v>574</v>
      </c>
      <c r="C296" s="33">
        <f>IF(VLOOKUP($A296,'Enroll Data as of January 2025'!$A$3:$T$322,20,FALSE)&gt;0,0,VLOOKUP($A296,'Enroll Data as of January 2025'!$A$3:$T$322,20,FALSE)*'2024-25 PSES Compliance'!$G$13)</f>
        <v>0</v>
      </c>
      <c r="D296" s="33">
        <f>IF(VLOOKUP($A296,'Enroll Data as of January 2025'!$A$3:$T$322,20,FALSE)&gt;0,0,VLOOKUP($A296,'Enroll Data as of January 2025'!$A$3:$T$322,20,FALSE)*'2024-25 PSES Compliance'!$G$14)</f>
        <v>0</v>
      </c>
      <c r="E296" s="25">
        <f>ROUND($C296*CIS_Base*VLOOKUP($A296,'K3 District Data as of Jan 2025'!$A$3:$M$323,MATCH("Reg base",'K3 District Data as of Jan 2025'!$2:$2,0),FALSE),2)</f>
        <v>0</v>
      </c>
      <c r="F296" s="25">
        <f>ROUND($C296*CIS_Inc*(VLOOKUP($A296,'K3 District Data as of Jan 2025'!$A$3:$M$323,MATCH("Reg",'K3 District Data as of Jan 2025'!$2:$2,0),FALSE)+VLOOKUP($A296,'K3 District Data as of Jan 2025'!$A$3:$M$323,MATCH("Exp",'K3 District Data as of Jan 2025'!$2:$2,0),FALSE)),2)-E296</f>
        <v>0</v>
      </c>
      <c r="G296" s="25">
        <f>ROUND($D296*CLS_Base*VLOOKUP($A296,'K3 District Data as of Jan 2025'!$A$3:$M$323,MATCH("Reg base",'K3 District Data as of Jan 2025'!$2:$2,0),FALSE),2)</f>
        <v>0</v>
      </c>
      <c r="H296" s="25">
        <f>ROUND($D296*CLS_Inc*VLOOKUP($A296,'K3 District Data as of Jan 2025'!$A$3:$M$323,MATCH("Reg base",'K3 District Data as of Jan 2025'!$2:$2,0),FALSE),2)-G296</f>
        <v>0</v>
      </c>
      <c r="I296" s="25">
        <f t="shared" si="29"/>
        <v>0</v>
      </c>
      <c r="J296" s="25">
        <f t="shared" si="30"/>
        <v>0</v>
      </c>
      <c r="K296" s="25">
        <f t="shared" si="31"/>
        <v>0</v>
      </c>
      <c r="L296" s="25">
        <f t="shared" si="32"/>
        <v>0</v>
      </c>
      <c r="M296" s="25">
        <f t="shared" si="33"/>
        <v>0</v>
      </c>
      <c r="N296" s="25">
        <f t="shared" si="34"/>
        <v>0</v>
      </c>
      <c r="O296" s="25">
        <f>ROUND(($C296*CIS_Inc*(VLOOKUP($A296,'K3 District Data as of Jan 2025'!$A$3:$M$323,MATCH("Reg",'K3 District Data as of Jan 2025'!$2:$2,0),FALSE)+VLOOKUP($A296,'K3 District Data as of Jan 2025'!$A$3:$M$323,MATCH("Exp",'K3 District Data as of Jan 2025'!$2:$2,0),FALSE))/180)*3+(($C296*CIS_Inc*(VLOOKUP($A296,'K3 District Data as of Jan 2025'!$A$3:$M$323,MATCH("Reg",'K3 District Data as of Jan 2025'!$2:$2,0),FALSE)+VLOOKUP($A296,'K3 District Data as of Jan 2025'!$A$3:$M$323,MATCH("Exp",'K3 District Data as of Jan 2025'!$2:$2,0),FALSE))/180)*3)*CIS_Ben_Inc,2)</f>
        <v>0</v>
      </c>
      <c r="P296" s="23">
        <f t="shared" si="35"/>
        <v>0</v>
      </c>
    </row>
    <row r="297" spans="1:16" x14ac:dyDescent="0.25">
      <c r="A297" t="s">
        <v>145</v>
      </c>
      <c r="B297" t="s">
        <v>441</v>
      </c>
      <c r="C297" s="33">
        <f>IF(VLOOKUP($A297,'Enroll Data as of January 2025'!$A$3:$T$322,20,FALSE)&gt;0,0,VLOOKUP($A297,'Enroll Data as of January 2025'!$A$3:$T$322,20,FALSE)*'2024-25 PSES Compliance'!$G$13)</f>
        <v>0</v>
      </c>
      <c r="D297" s="33">
        <f>IF(VLOOKUP($A297,'Enroll Data as of January 2025'!$A$3:$T$322,20,FALSE)&gt;0,0,VLOOKUP($A297,'Enroll Data as of January 2025'!$A$3:$T$322,20,FALSE)*'2024-25 PSES Compliance'!$G$14)</f>
        <v>0</v>
      </c>
      <c r="E297" s="25">
        <f>ROUND($C297*CIS_Base*VLOOKUP($A297,'K3 District Data as of Jan 2025'!$A$3:$M$323,MATCH("Reg base",'K3 District Data as of Jan 2025'!$2:$2,0),FALSE),2)</f>
        <v>0</v>
      </c>
      <c r="F297" s="25">
        <f>ROUND($C297*CIS_Inc*(VLOOKUP($A297,'K3 District Data as of Jan 2025'!$A$3:$M$323,MATCH("Reg",'K3 District Data as of Jan 2025'!$2:$2,0),FALSE)+VLOOKUP($A297,'K3 District Data as of Jan 2025'!$A$3:$M$323,MATCH("Exp",'K3 District Data as of Jan 2025'!$2:$2,0),FALSE)),2)-E297</f>
        <v>0</v>
      </c>
      <c r="G297" s="25">
        <f>ROUND($D297*CLS_Base*VLOOKUP($A297,'K3 District Data as of Jan 2025'!$A$3:$M$323,MATCH("Reg base",'K3 District Data as of Jan 2025'!$2:$2,0),FALSE),2)</f>
        <v>0</v>
      </c>
      <c r="H297" s="25">
        <f>ROUND($D297*CLS_Inc*VLOOKUP($A297,'K3 District Data as of Jan 2025'!$A$3:$M$323,MATCH("Reg base",'K3 District Data as of Jan 2025'!$2:$2,0),FALSE),2)-G297</f>
        <v>0</v>
      </c>
      <c r="I297" s="25">
        <f t="shared" si="29"/>
        <v>0</v>
      </c>
      <c r="J297" s="25">
        <f t="shared" si="30"/>
        <v>0</v>
      </c>
      <c r="K297" s="25">
        <f t="shared" si="31"/>
        <v>0</v>
      </c>
      <c r="L297" s="25">
        <f t="shared" si="32"/>
        <v>0</v>
      </c>
      <c r="M297" s="25">
        <f t="shared" si="33"/>
        <v>0</v>
      </c>
      <c r="N297" s="25">
        <f t="shared" si="34"/>
        <v>0</v>
      </c>
      <c r="O297" s="25">
        <f>ROUND(($C297*CIS_Inc*(VLOOKUP($A297,'K3 District Data as of Jan 2025'!$A$3:$M$323,MATCH("Reg",'K3 District Data as of Jan 2025'!$2:$2,0),FALSE)+VLOOKUP($A297,'K3 District Data as of Jan 2025'!$A$3:$M$323,MATCH("Exp",'K3 District Data as of Jan 2025'!$2:$2,0),FALSE))/180)*3+(($C297*CIS_Inc*(VLOOKUP($A297,'K3 District Data as of Jan 2025'!$A$3:$M$323,MATCH("Reg",'K3 District Data as of Jan 2025'!$2:$2,0),FALSE)+VLOOKUP($A297,'K3 District Data as of Jan 2025'!$A$3:$M$323,MATCH("Exp",'K3 District Data as of Jan 2025'!$2:$2,0),FALSE))/180)*3)*CIS_Ben_Inc,2)</f>
        <v>0</v>
      </c>
      <c r="P297" s="23">
        <f t="shared" si="35"/>
        <v>0</v>
      </c>
    </row>
    <row r="298" spans="1:16" x14ac:dyDescent="0.25">
      <c r="A298" t="s">
        <v>297</v>
      </c>
      <c r="B298" t="s">
        <v>593</v>
      </c>
      <c r="C298" s="33">
        <f>IF(VLOOKUP($A298,'Enroll Data as of January 2025'!$A$3:$T$322,20,FALSE)&gt;0,0,VLOOKUP($A298,'Enroll Data as of January 2025'!$A$3:$T$322,20,FALSE)*'2024-25 PSES Compliance'!$G$13)</f>
        <v>0</v>
      </c>
      <c r="D298" s="33">
        <f>IF(VLOOKUP($A298,'Enroll Data as of January 2025'!$A$3:$T$322,20,FALSE)&gt;0,0,VLOOKUP($A298,'Enroll Data as of January 2025'!$A$3:$T$322,20,FALSE)*'2024-25 PSES Compliance'!$G$14)</f>
        <v>0</v>
      </c>
      <c r="E298" s="25">
        <f>ROUND($C298*CIS_Base*VLOOKUP($A298,'K3 District Data as of Jan 2025'!$A$3:$M$323,MATCH("Reg base",'K3 District Data as of Jan 2025'!$2:$2,0),FALSE),2)</f>
        <v>0</v>
      </c>
      <c r="F298" s="25">
        <f>ROUND($C298*CIS_Inc*(VLOOKUP($A298,'K3 District Data as of Jan 2025'!$A$3:$M$323,MATCH("Reg",'K3 District Data as of Jan 2025'!$2:$2,0),FALSE)+VLOOKUP($A298,'K3 District Data as of Jan 2025'!$A$3:$M$323,MATCH("Exp",'K3 District Data as of Jan 2025'!$2:$2,0),FALSE)),2)-E298</f>
        <v>0</v>
      </c>
      <c r="G298" s="25">
        <f>ROUND($D298*CLS_Base*VLOOKUP($A298,'K3 District Data as of Jan 2025'!$A$3:$M$323,MATCH("Reg base",'K3 District Data as of Jan 2025'!$2:$2,0),FALSE),2)</f>
        <v>0</v>
      </c>
      <c r="H298" s="25">
        <f>ROUND($D298*CLS_Inc*VLOOKUP($A298,'K3 District Data as of Jan 2025'!$A$3:$M$323,MATCH("Reg base",'K3 District Data as of Jan 2025'!$2:$2,0),FALSE),2)-G298</f>
        <v>0</v>
      </c>
      <c r="I298" s="25">
        <f t="shared" si="29"/>
        <v>0</v>
      </c>
      <c r="J298" s="25">
        <f t="shared" si="30"/>
        <v>0</v>
      </c>
      <c r="K298" s="25">
        <f t="shared" si="31"/>
        <v>0</v>
      </c>
      <c r="L298" s="25">
        <f t="shared" si="32"/>
        <v>0</v>
      </c>
      <c r="M298" s="25">
        <f t="shared" si="33"/>
        <v>0</v>
      </c>
      <c r="N298" s="25">
        <f t="shared" si="34"/>
        <v>0</v>
      </c>
      <c r="O298" s="25">
        <f>ROUND(($C298*CIS_Inc*(VLOOKUP($A298,'K3 District Data as of Jan 2025'!$A$3:$M$323,MATCH("Reg",'K3 District Data as of Jan 2025'!$2:$2,0),FALSE)+VLOOKUP($A298,'K3 District Data as of Jan 2025'!$A$3:$M$323,MATCH("Exp",'K3 District Data as of Jan 2025'!$2:$2,0),FALSE))/180)*3+(($C298*CIS_Inc*(VLOOKUP($A298,'K3 District Data as of Jan 2025'!$A$3:$M$323,MATCH("Reg",'K3 District Data as of Jan 2025'!$2:$2,0),FALSE)+VLOOKUP($A298,'K3 District Data as of Jan 2025'!$A$3:$M$323,MATCH("Exp",'K3 District Data as of Jan 2025'!$2:$2,0),FALSE))/180)*3)*CIS_Ben_Inc,2)</f>
        <v>0</v>
      </c>
      <c r="P298" s="23">
        <f t="shared" si="35"/>
        <v>0</v>
      </c>
    </row>
    <row r="299" spans="1:16" x14ac:dyDescent="0.25">
      <c r="A299" t="s">
        <v>131</v>
      </c>
      <c r="B299" t="s">
        <v>427</v>
      </c>
      <c r="C299" s="33">
        <f>IF(VLOOKUP($A299,'Enroll Data as of January 2025'!$A$3:$T$322,20,FALSE)&gt;0,0,VLOOKUP($A299,'Enroll Data as of January 2025'!$A$3:$T$322,20,FALSE)*'2024-25 PSES Compliance'!$G$13)</f>
        <v>-0.45311999999999997</v>
      </c>
      <c r="D299" s="33">
        <f>IF(VLOOKUP($A299,'Enroll Data as of January 2025'!$A$3:$T$322,20,FALSE)&gt;0,0,VLOOKUP($A299,'Enroll Data as of January 2025'!$A$3:$T$322,20,FALSE)*'2024-25 PSES Compliance'!$G$14)</f>
        <v>-1.8880000000000001E-2</v>
      </c>
      <c r="E299" s="25">
        <f>ROUND($C299*CIS_Base*VLOOKUP($A299,'K3 District Data as of Jan 2025'!$A$3:$M$323,MATCH("Reg base",'K3 District Data as of Jan 2025'!$2:$2,0),FALSE),2)</f>
        <v>-32954.51</v>
      </c>
      <c r="F299" s="25">
        <f>ROUND($C299*CIS_Inc*(VLOOKUP($A299,'K3 District Data as of Jan 2025'!$A$3:$M$323,MATCH("Reg",'K3 District Data as of Jan 2025'!$2:$2,0),FALSE)+VLOOKUP($A299,'K3 District Data as of Jan 2025'!$A$3:$M$323,MATCH("Exp",'K3 District Data as of Jan 2025'!$2:$2,0),FALSE)),2)-E299</f>
        <v>-2483.5499999999956</v>
      </c>
      <c r="G299" s="25">
        <f>ROUND($D299*CLS_Base*VLOOKUP($A299,'K3 District Data as of Jan 2025'!$A$3:$M$323,MATCH("Reg base",'K3 District Data as of Jan 2025'!$2:$2,0),FALSE),2)</f>
        <v>-985.03</v>
      </c>
      <c r="H299" s="25">
        <f>ROUND($D299*CLS_Inc*VLOOKUP($A299,'K3 District Data as of Jan 2025'!$A$3:$M$323,MATCH("Reg base",'K3 District Data as of Jan 2025'!$2:$2,0),FALSE),2)-G299</f>
        <v>-74.230000000000018</v>
      </c>
      <c r="I299" s="25">
        <f t="shared" si="29"/>
        <v>-6533.41</v>
      </c>
      <c r="J299" s="25">
        <f t="shared" si="30"/>
        <v>-381.65</v>
      </c>
      <c r="K299" s="25">
        <f t="shared" si="31"/>
        <v>-5981.24</v>
      </c>
      <c r="L299" s="25">
        <f t="shared" si="32"/>
        <v>-5770.33</v>
      </c>
      <c r="M299" s="25">
        <f t="shared" si="33"/>
        <v>-213.36</v>
      </c>
      <c r="N299" s="25">
        <f t="shared" si="34"/>
        <v>-13.48</v>
      </c>
      <c r="O299" s="25">
        <f>ROUND(($C299*CIS_Inc*(VLOOKUP($A299,'K3 District Data as of Jan 2025'!$A$3:$M$323,MATCH("Reg",'K3 District Data as of Jan 2025'!$2:$2,0),FALSE)+VLOOKUP($A299,'K3 District Data as of Jan 2025'!$A$3:$M$323,MATCH("Exp",'K3 District Data as of Jan 2025'!$2:$2,0),FALSE))/180)*3+(($C299*CIS_Inc*(VLOOKUP($A299,'K3 District Data as of Jan 2025'!$A$3:$M$323,MATCH("Reg",'K3 District Data as of Jan 2025'!$2:$2,0),FALSE)+VLOOKUP($A299,'K3 District Data as of Jan 2025'!$A$3:$M$323,MATCH("Exp",'K3 District Data as of Jan 2025'!$2:$2,0),FALSE))/180)*3)*CIS_Ben_Inc,2)</f>
        <v>-694.05</v>
      </c>
      <c r="P299" s="23">
        <f t="shared" si="35"/>
        <v>-56084.840000000004</v>
      </c>
    </row>
    <row r="300" spans="1:16" x14ac:dyDescent="0.25">
      <c r="A300" t="s">
        <v>105</v>
      </c>
      <c r="B300" t="s">
        <v>401</v>
      </c>
      <c r="C300" s="33">
        <f>IF(VLOOKUP($A300,'Enroll Data as of January 2025'!$A$3:$T$322,20,FALSE)&gt;0,0,VLOOKUP($A300,'Enroll Data as of January 2025'!$A$3:$T$322,20,FALSE)*'2024-25 PSES Compliance'!$G$13)</f>
        <v>0</v>
      </c>
      <c r="D300" s="33">
        <f>IF(VLOOKUP($A300,'Enroll Data as of January 2025'!$A$3:$T$322,20,FALSE)&gt;0,0,VLOOKUP($A300,'Enroll Data as of January 2025'!$A$3:$T$322,20,FALSE)*'2024-25 PSES Compliance'!$G$14)</f>
        <v>0</v>
      </c>
      <c r="E300" s="25">
        <f>ROUND($C300*CIS_Base*VLOOKUP($A300,'K3 District Data as of Jan 2025'!$A$3:$M$323,MATCH("Reg base",'K3 District Data as of Jan 2025'!$2:$2,0),FALSE),2)</f>
        <v>0</v>
      </c>
      <c r="F300" s="25">
        <f>ROUND($C300*CIS_Inc*(VLOOKUP($A300,'K3 District Data as of Jan 2025'!$A$3:$M$323,MATCH("Reg",'K3 District Data as of Jan 2025'!$2:$2,0),FALSE)+VLOOKUP($A300,'K3 District Data as of Jan 2025'!$A$3:$M$323,MATCH("Exp",'K3 District Data as of Jan 2025'!$2:$2,0),FALSE)),2)-E300</f>
        <v>0</v>
      </c>
      <c r="G300" s="25">
        <f>ROUND($D300*CLS_Base*VLOOKUP($A300,'K3 District Data as of Jan 2025'!$A$3:$M$323,MATCH("Reg base",'K3 District Data as of Jan 2025'!$2:$2,0),FALSE),2)</f>
        <v>0</v>
      </c>
      <c r="H300" s="25">
        <f>ROUND($D300*CLS_Inc*VLOOKUP($A300,'K3 District Data as of Jan 2025'!$A$3:$M$323,MATCH("Reg base",'K3 District Data as of Jan 2025'!$2:$2,0),FALSE),2)-G300</f>
        <v>0</v>
      </c>
      <c r="I300" s="25">
        <f t="shared" si="29"/>
        <v>0</v>
      </c>
      <c r="J300" s="25">
        <f t="shared" si="30"/>
        <v>0</v>
      </c>
      <c r="K300" s="25">
        <f t="shared" si="31"/>
        <v>0</v>
      </c>
      <c r="L300" s="25">
        <f t="shared" si="32"/>
        <v>0</v>
      </c>
      <c r="M300" s="25">
        <f t="shared" si="33"/>
        <v>0</v>
      </c>
      <c r="N300" s="25">
        <f t="shared" si="34"/>
        <v>0</v>
      </c>
      <c r="O300" s="25">
        <f>ROUND(($C300*CIS_Inc*(VLOOKUP($A300,'K3 District Data as of Jan 2025'!$A$3:$M$323,MATCH("Reg",'K3 District Data as of Jan 2025'!$2:$2,0),FALSE)+VLOOKUP($A300,'K3 District Data as of Jan 2025'!$A$3:$M$323,MATCH("Exp",'K3 District Data as of Jan 2025'!$2:$2,0),FALSE))/180)*3+(($C300*CIS_Inc*(VLOOKUP($A300,'K3 District Data as of Jan 2025'!$A$3:$M$323,MATCH("Reg",'K3 District Data as of Jan 2025'!$2:$2,0),FALSE)+VLOOKUP($A300,'K3 District Data as of Jan 2025'!$A$3:$M$323,MATCH("Exp",'K3 District Data as of Jan 2025'!$2:$2,0),FALSE))/180)*3)*CIS_Ben_Inc,2)</f>
        <v>0</v>
      </c>
      <c r="P300" s="23">
        <f t="shared" si="35"/>
        <v>0</v>
      </c>
    </row>
    <row r="301" spans="1:16" x14ac:dyDescent="0.25">
      <c r="A301" t="s">
        <v>254</v>
      </c>
      <c r="B301" t="s">
        <v>550</v>
      </c>
      <c r="C301" s="33">
        <f>IF(VLOOKUP($A301,'Enroll Data as of January 2025'!$A$3:$T$322,20,FALSE)&gt;0,0,VLOOKUP($A301,'Enroll Data as of January 2025'!$A$3:$T$322,20,FALSE)*'2024-25 PSES Compliance'!$G$13)</f>
        <v>0</v>
      </c>
      <c r="D301" s="33">
        <f>IF(VLOOKUP($A301,'Enroll Data as of January 2025'!$A$3:$T$322,20,FALSE)&gt;0,0,VLOOKUP($A301,'Enroll Data as of January 2025'!$A$3:$T$322,20,FALSE)*'2024-25 PSES Compliance'!$G$14)</f>
        <v>0</v>
      </c>
      <c r="E301" s="25">
        <f>ROUND($C301*CIS_Base*VLOOKUP($A301,'K3 District Data as of Jan 2025'!$A$3:$M$323,MATCH("Reg base",'K3 District Data as of Jan 2025'!$2:$2,0),FALSE),2)</f>
        <v>0</v>
      </c>
      <c r="F301" s="25">
        <f>ROUND($C301*CIS_Inc*(VLOOKUP($A301,'K3 District Data as of Jan 2025'!$A$3:$M$323,MATCH("Reg",'K3 District Data as of Jan 2025'!$2:$2,0),FALSE)+VLOOKUP($A301,'K3 District Data as of Jan 2025'!$A$3:$M$323,MATCH("Exp",'K3 District Data as of Jan 2025'!$2:$2,0),FALSE)),2)-E301</f>
        <v>0</v>
      </c>
      <c r="G301" s="25">
        <f>ROUND($D301*CLS_Base*VLOOKUP($A301,'K3 District Data as of Jan 2025'!$A$3:$M$323,MATCH("Reg base",'K3 District Data as of Jan 2025'!$2:$2,0),FALSE),2)</f>
        <v>0</v>
      </c>
      <c r="H301" s="25">
        <f>ROUND($D301*CLS_Inc*VLOOKUP($A301,'K3 District Data as of Jan 2025'!$A$3:$M$323,MATCH("Reg base",'K3 District Data as of Jan 2025'!$2:$2,0),FALSE),2)-G301</f>
        <v>0</v>
      </c>
      <c r="I301" s="25">
        <f t="shared" si="29"/>
        <v>0</v>
      </c>
      <c r="J301" s="25">
        <f t="shared" si="30"/>
        <v>0</v>
      </c>
      <c r="K301" s="25">
        <f t="shared" si="31"/>
        <v>0</v>
      </c>
      <c r="L301" s="25">
        <f t="shared" si="32"/>
        <v>0</v>
      </c>
      <c r="M301" s="25">
        <f t="shared" si="33"/>
        <v>0</v>
      </c>
      <c r="N301" s="25">
        <f t="shared" si="34"/>
        <v>0</v>
      </c>
      <c r="O301" s="25">
        <f>ROUND(($C301*CIS_Inc*(VLOOKUP($A301,'K3 District Data as of Jan 2025'!$A$3:$M$323,MATCH("Reg",'K3 District Data as of Jan 2025'!$2:$2,0),FALSE)+VLOOKUP($A301,'K3 District Data as of Jan 2025'!$A$3:$M$323,MATCH("Exp",'K3 District Data as of Jan 2025'!$2:$2,0),FALSE))/180)*3+(($C301*CIS_Inc*(VLOOKUP($A301,'K3 District Data as of Jan 2025'!$A$3:$M$323,MATCH("Reg",'K3 District Data as of Jan 2025'!$2:$2,0),FALSE)+VLOOKUP($A301,'K3 District Data as of Jan 2025'!$A$3:$M$323,MATCH("Exp",'K3 District Data as of Jan 2025'!$2:$2,0),FALSE))/180)*3)*CIS_Ben_Inc,2)</f>
        <v>0</v>
      </c>
      <c r="P301" s="23">
        <f t="shared" si="35"/>
        <v>0</v>
      </c>
    </row>
    <row r="302" spans="1:16" x14ac:dyDescent="0.25">
      <c r="A302" t="s">
        <v>289</v>
      </c>
      <c r="B302" t="s">
        <v>585</v>
      </c>
      <c r="C302" s="33">
        <f>IF(VLOOKUP($A302,'Enroll Data as of January 2025'!$A$3:$T$322,20,FALSE)&gt;0,0,VLOOKUP($A302,'Enroll Data as of January 2025'!$A$3:$T$322,20,FALSE)*'2024-25 PSES Compliance'!$G$13)</f>
        <v>0</v>
      </c>
      <c r="D302" s="33">
        <f>IF(VLOOKUP($A302,'Enroll Data as of January 2025'!$A$3:$T$322,20,FALSE)&gt;0,0,VLOOKUP($A302,'Enroll Data as of January 2025'!$A$3:$T$322,20,FALSE)*'2024-25 PSES Compliance'!$G$14)</f>
        <v>0</v>
      </c>
      <c r="E302" s="25">
        <f>ROUND($C302*CIS_Base*VLOOKUP($A302,'K3 District Data as of Jan 2025'!$A$3:$M$323,MATCH("Reg base",'K3 District Data as of Jan 2025'!$2:$2,0),FALSE),2)</f>
        <v>0</v>
      </c>
      <c r="F302" s="25">
        <f>ROUND($C302*CIS_Inc*(VLOOKUP($A302,'K3 District Data as of Jan 2025'!$A$3:$M$323,MATCH("Reg",'K3 District Data as of Jan 2025'!$2:$2,0),FALSE)+VLOOKUP($A302,'K3 District Data as of Jan 2025'!$A$3:$M$323,MATCH("Exp",'K3 District Data as of Jan 2025'!$2:$2,0),FALSE)),2)-E302</f>
        <v>0</v>
      </c>
      <c r="G302" s="25">
        <f>ROUND($D302*CLS_Base*VLOOKUP($A302,'K3 District Data as of Jan 2025'!$A$3:$M$323,MATCH("Reg base",'K3 District Data as of Jan 2025'!$2:$2,0),FALSE),2)</f>
        <v>0</v>
      </c>
      <c r="H302" s="25">
        <f>ROUND($D302*CLS_Inc*VLOOKUP($A302,'K3 District Data as of Jan 2025'!$A$3:$M$323,MATCH("Reg base",'K3 District Data as of Jan 2025'!$2:$2,0),FALSE),2)-G302</f>
        <v>0</v>
      </c>
      <c r="I302" s="25">
        <f t="shared" si="29"/>
        <v>0</v>
      </c>
      <c r="J302" s="25">
        <f t="shared" si="30"/>
        <v>0</v>
      </c>
      <c r="K302" s="25">
        <f t="shared" si="31"/>
        <v>0</v>
      </c>
      <c r="L302" s="25">
        <f t="shared" si="32"/>
        <v>0</v>
      </c>
      <c r="M302" s="25">
        <f t="shared" si="33"/>
        <v>0</v>
      </c>
      <c r="N302" s="25">
        <f t="shared" si="34"/>
        <v>0</v>
      </c>
      <c r="O302" s="25">
        <f>ROUND(($C302*CIS_Inc*(VLOOKUP($A302,'K3 District Data as of Jan 2025'!$A$3:$M$323,MATCH("Reg",'K3 District Data as of Jan 2025'!$2:$2,0),FALSE)+VLOOKUP($A302,'K3 District Data as of Jan 2025'!$A$3:$M$323,MATCH("Exp",'K3 District Data as of Jan 2025'!$2:$2,0),FALSE))/180)*3+(($C302*CIS_Inc*(VLOOKUP($A302,'K3 District Data as of Jan 2025'!$A$3:$M$323,MATCH("Reg",'K3 District Data as of Jan 2025'!$2:$2,0),FALSE)+VLOOKUP($A302,'K3 District Data as of Jan 2025'!$A$3:$M$323,MATCH("Exp",'K3 District Data as of Jan 2025'!$2:$2,0),FALSE))/180)*3)*CIS_Ben_Inc,2)</f>
        <v>0</v>
      </c>
      <c r="P302" s="23">
        <f t="shared" si="35"/>
        <v>0</v>
      </c>
    </row>
    <row r="303" spans="1:16" x14ac:dyDescent="0.25">
      <c r="A303" t="s">
        <v>187</v>
      </c>
      <c r="B303" t="s">
        <v>483</v>
      </c>
      <c r="C303" s="33">
        <f>IF(VLOOKUP($A303,'Enroll Data as of January 2025'!$A$3:$T$322,20,FALSE)&gt;0,0,VLOOKUP($A303,'Enroll Data as of January 2025'!$A$3:$T$322,20,FALSE)*'2024-25 PSES Compliance'!$G$13)</f>
        <v>0</v>
      </c>
      <c r="D303" s="33">
        <f>IF(VLOOKUP($A303,'Enroll Data as of January 2025'!$A$3:$T$322,20,FALSE)&gt;0,0,VLOOKUP($A303,'Enroll Data as of January 2025'!$A$3:$T$322,20,FALSE)*'2024-25 PSES Compliance'!$G$14)</f>
        <v>0</v>
      </c>
      <c r="E303" s="25">
        <f>ROUND($C303*CIS_Base*VLOOKUP($A303,'K3 District Data as of Jan 2025'!$A$3:$M$323,MATCH("Reg base",'K3 District Data as of Jan 2025'!$2:$2,0),FALSE),2)</f>
        <v>0</v>
      </c>
      <c r="F303" s="25">
        <f>ROUND($C303*CIS_Inc*(VLOOKUP($A303,'K3 District Data as of Jan 2025'!$A$3:$M$323,MATCH("Reg",'K3 District Data as of Jan 2025'!$2:$2,0),FALSE)+VLOOKUP($A303,'K3 District Data as of Jan 2025'!$A$3:$M$323,MATCH("Exp",'K3 District Data as of Jan 2025'!$2:$2,0),FALSE)),2)-E303</f>
        <v>0</v>
      </c>
      <c r="G303" s="25">
        <f>ROUND($D303*CLS_Base*VLOOKUP($A303,'K3 District Data as of Jan 2025'!$A$3:$M$323,MATCH("Reg base",'K3 District Data as of Jan 2025'!$2:$2,0),FALSE),2)</f>
        <v>0</v>
      </c>
      <c r="H303" s="25">
        <f>ROUND($D303*CLS_Inc*VLOOKUP($A303,'K3 District Data as of Jan 2025'!$A$3:$M$323,MATCH("Reg base",'K3 District Data as of Jan 2025'!$2:$2,0),FALSE),2)-G303</f>
        <v>0</v>
      </c>
      <c r="I303" s="25">
        <f t="shared" si="29"/>
        <v>0</v>
      </c>
      <c r="J303" s="25">
        <f t="shared" si="30"/>
        <v>0</v>
      </c>
      <c r="K303" s="25">
        <f t="shared" si="31"/>
        <v>0</v>
      </c>
      <c r="L303" s="25">
        <f t="shared" si="32"/>
        <v>0</v>
      </c>
      <c r="M303" s="25">
        <f t="shared" si="33"/>
        <v>0</v>
      </c>
      <c r="N303" s="25">
        <f t="shared" si="34"/>
        <v>0</v>
      </c>
      <c r="O303" s="25">
        <f>ROUND(($C303*CIS_Inc*(VLOOKUP($A303,'K3 District Data as of Jan 2025'!$A$3:$M$323,MATCH("Reg",'K3 District Data as of Jan 2025'!$2:$2,0),FALSE)+VLOOKUP($A303,'K3 District Data as of Jan 2025'!$A$3:$M$323,MATCH("Exp",'K3 District Data as of Jan 2025'!$2:$2,0),FALSE))/180)*3+(($C303*CIS_Inc*(VLOOKUP($A303,'K3 District Data as of Jan 2025'!$A$3:$M$323,MATCH("Reg",'K3 District Data as of Jan 2025'!$2:$2,0),FALSE)+VLOOKUP($A303,'K3 District Data as of Jan 2025'!$A$3:$M$323,MATCH("Exp",'K3 District Data as of Jan 2025'!$2:$2,0),FALSE))/180)*3)*CIS_Ben_Inc,2)</f>
        <v>0</v>
      </c>
      <c r="P303" s="23">
        <f t="shared" si="35"/>
        <v>0</v>
      </c>
    </row>
    <row r="304" spans="1:16" x14ac:dyDescent="0.25">
      <c r="A304" t="s">
        <v>243</v>
      </c>
      <c r="B304" t="s">
        <v>539</v>
      </c>
      <c r="C304" s="33">
        <f>IF(VLOOKUP($A304,'Enroll Data as of January 2025'!$A$3:$T$322,20,FALSE)&gt;0,0,VLOOKUP($A304,'Enroll Data as of January 2025'!$A$3:$T$322,20,FALSE)*'2024-25 PSES Compliance'!$G$13)</f>
        <v>0</v>
      </c>
      <c r="D304" s="33">
        <f>IF(VLOOKUP($A304,'Enroll Data as of January 2025'!$A$3:$T$322,20,FALSE)&gt;0,0,VLOOKUP($A304,'Enroll Data as of January 2025'!$A$3:$T$322,20,FALSE)*'2024-25 PSES Compliance'!$G$14)</f>
        <v>0</v>
      </c>
      <c r="E304" s="25">
        <f>ROUND($C304*CIS_Base*VLOOKUP($A304,'K3 District Data as of Jan 2025'!$A$3:$M$323,MATCH("Reg base",'K3 District Data as of Jan 2025'!$2:$2,0),FALSE),2)</f>
        <v>0</v>
      </c>
      <c r="F304" s="25">
        <f>ROUND($C304*CIS_Inc*(VLOOKUP($A304,'K3 District Data as of Jan 2025'!$A$3:$M$323,MATCH("Reg",'K3 District Data as of Jan 2025'!$2:$2,0),FALSE)+VLOOKUP($A304,'K3 District Data as of Jan 2025'!$A$3:$M$323,MATCH("Exp",'K3 District Data as of Jan 2025'!$2:$2,0),FALSE)),2)-E304</f>
        <v>0</v>
      </c>
      <c r="G304" s="25">
        <f>ROUND($D304*CLS_Base*VLOOKUP($A304,'K3 District Data as of Jan 2025'!$A$3:$M$323,MATCH("Reg base",'K3 District Data as of Jan 2025'!$2:$2,0),FALSE),2)</f>
        <v>0</v>
      </c>
      <c r="H304" s="25">
        <f>ROUND($D304*CLS_Inc*VLOOKUP($A304,'K3 District Data as of Jan 2025'!$A$3:$M$323,MATCH("Reg base",'K3 District Data as of Jan 2025'!$2:$2,0),FALSE),2)-G304</f>
        <v>0</v>
      </c>
      <c r="I304" s="25">
        <f t="shared" si="29"/>
        <v>0</v>
      </c>
      <c r="J304" s="25">
        <f t="shared" si="30"/>
        <v>0</v>
      </c>
      <c r="K304" s="25">
        <f t="shared" si="31"/>
        <v>0</v>
      </c>
      <c r="L304" s="25">
        <f t="shared" si="32"/>
        <v>0</v>
      </c>
      <c r="M304" s="25">
        <f t="shared" si="33"/>
        <v>0</v>
      </c>
      <c r="N304" s="25">
        <f t="shared" si="34"/>
        <v>0</v>
      </c>
      <c r="O304" s="25">
        <f>ROUND(($C304*CIS_Inc*(VLOOKUP($A304,'K3 District Data as of Jan 2025'!$A$3:$M$323,MATCH("Reg",'K3 District Data as of Jan 2025'!$2:$2,0),FALSE)+VLOOKUP($A304,'K3 District Data as of Jan 2025'!$A$3:$M$323,MATCH("Exp",'K3 District Data as of Jan 2025'!$2:$2,0),FALSE))/180)*3+(($C304*CIS_Inc*(VLOOKUP($A304,'K3 District Data as of Jan 2025'!$A$3:$M$323,MATCH("Reg",'K3 District Data as of Jan 2025'!$2:$2,0),FALSE)+VLOOKUP($A304,'K3 District Data as of Jan 2025'!$A$3:$M$323,MATCH("Exp",'K3 District Data as of Jan 2025'!$2:$2,0),FALSE))/180)*3)*CIS_Ben_Inc,2)</f>
        <v>0</v>
      </c>
      <c r="P304" s="23">
        <f t="shared" si="35"/>
        <v>0</v>
      </c>
    </row>
    <row r="305" spans="1:16" x14ac:dyDescent="0.25">
      <c r="A305" t="s">
        <v>32</v>
      </c>
      <c r="B305" t="s">
        <v>328</v>
      </c>
      <c r="C305" s="33">
        <f>IF(VLOOKUP($A305,'Enroll Data as of January 2025'!$A$3:$T$322,20,FALSE)&gt;0,0,VLOOKUP($A305,'Enroll Data as of January 2025'!$A$3:$T$322,20,FALSE)*'2024-25 PSES Compliance'!$G$13)</f>
        <v>0</v>
      </c>
      <c r="D305" s="33">
        <f>IF(VLOOKUP($A305,'Enroll Data as of January 2025'!$A$3:$T$322,20,FALSE)&gt;0,0,VLOOKUP($A305,'Enroll Data as of January 2025'!$A$3:$T$322,20,FALSE)*'2024-25 PSES Compliance'!$G$14)</f>
        <v>0</v>
      </c>
      <c r="E305" s="25">
        <f>ROUND($C305*CIS_Base*VLOOKUP($A305,'K3 District Data as of Jan 2025'!$A$3:$M$323,MATCH("Reg base",'K3 District Data as of Jan 2025'!$2:$2,0),FALSE),2)</f>
        <v>0</v>
      </c>
      <c r="F305" s="25">
        <f>ROUND($C305*CIS_Inc*(VLOOKUP($A305,'K3 District Data as of Jan 2025'!$A$3:$M$323,MATCH("Reg",'K3 District Data as of Jan 2025'!$2:$2,0),FALSE)+VLOOKUP($A305,'K3 District Data as of Jan 2025'!$A$3:$M$323,MATCH("Exp",'K3 District Data as of Jan 2025'!$2:$2,0),FALSE)),2)-E305</f>
        <v>0</v>
      </c>
      <c r="G305" s="25">
        <f>ROUND($D305*CLS_Base*VLOOKUP($A305,'K3 District Data as of Jan 2025'!$A$3:$M$323,MATCH("Reg base",'K3 District Data as of Jan 2025'!$2:$2,0),FALSE),2)</f>
        <v>0</v>
      </c>
      <c r="H305" s="25">
        <f>ROUND($D305*CLS_Inc*VLOOKUP($A305,'K3 District Data as of Jan 2025'!$A$3:$M$323,MATCH("Reg base",'K3 District Data as of Jan 2025'!$2:$2,0),FALSE),2)-G305</f>
        <v>0</v>
      </c>
      <c r="I305" s="25">
        <f t="shared" si="29"/>
        <v>0</v>
      </c>
      <c r="J305" s="25">
        <f t="shared" si="30"/>
        <v>0</v>
      </c>
      <c r="K305" s="25">
        <f t="shared" si="31"/>
        <v>0</v>
      </c>
      <c r="L305" s="25">
        <f t="shared" si="32"/>
        <v>0</v>
      </c>
      <c r="M305" s="25">
        <f t="shared" si="33"/>
        <v>0</v>
      </c>
      <c r="N305" s="25">
        <f t="shared" si="34"/>
        <v>0</v>
      </c>
      <c r="O305" s="25">
        <f>ROUND(($C305*CIS_Inc*(VLOOKUP($A305,'K3 District Data as of Jan 2025'!$A$3:$M$323,MATCH("Reg",'K3 District Data as of Jan 2025'!$2:$2,0),FALSE)+VLOOKUP($A305,'K3 District Data as of Jan 2025'!$A$3:$M$323,MATCH("Exp",'K3 District Data as of Jan 2025'!$2:$2,0),FALSE))/180)*3+(($C305*CIS_Inc*(VLOOKUP($A305,'K3 District Data as of Jan 2025'!$A$3:$M$323,MATCH("Reg",'K3 District Data as of Jan 2025'!$2:$2,0),FALSE)+VLOOKUP($A305,'K3 District Data as of Jan 2025'!$A$3:$M$323,MATCH("Exp",'K3 District Data as of Jan 2025'!$2:$2,0),FALSE))/180)*3)*CIS_Ben_Inc,2)</f>
        <v>0</v>
      </c>
      <c r="P305" s="23">
        <f t="shared" si="35"/>
        <v>0</v>
      </c>
    </row>
    <row r="306" spans="1:16" x14ac:dyDescent="0.25">
      <c r="A306" t="s">
        <v>101</v>
      </c>
      <c r="B306" t="s">
        <v>397</v>
      </c>
      <c r="C306" s="33">
        <f>IF(VLOOKUP($A306,'Enroll Data as of January 2025'!$A$3:$T$322,20,FALSE)&gt;0,0,VLOOKUP($A306,'Enroll Data as of January 2025'!$A$3:$T$322,20,FALSE)*'2024-25 PSES Compliance'!$G$13)</f>
        <v>0</v>
      </c>
      <c r="D306" s="33">
        <f>IF(VLOOKUP($A306,'Enroll Data as of January 2025'!$A$3:$T$322,20,FALSE)&gt;0,0,VLOOKUP($A306,'Enroll Data as of January 2025'!$A$3:$T$322,20,FALSE)*'2024-25 PSES Compliance'!$G$14)</f>
        <v>0</v>
      </c>
      <c r="E306" s="25">
        <f>ROUND($C306*CIS_Base*VLOOKUP($A306,'K3 District Data as of Jan 2025'!$A$3:$M$323,MATCH("Reg base",'K3 District Data as of Jan 2025'!$2:$2,0),FALSE),2)</f>
        <v>0</v>
      </c>
      <c r="F306" s="25">
        <f>ROUND($C306*CIS_Inc*(VLOOKUP($A306,'K3 District Data as of Jan 2025'!$A$3:$M$323,MATCH("Reg",'K3 District Data as of Jan 2025'!$2:$2,0),FALSE)+VLOOKUP($A306,'K3 District Data as of Jan 2025'!$A$3:$M$323,MATCH("Exp",'K3 District Data as of Jan 2025'!$2:$2,0),FALSE)),2)-E306</f>
        <v>0</v>
      </c>
      <c r="G306" s="25">
        <f>ROUND($D306*CLS_Base*VLOOKUP($A306,'K3 District Data as of Jan 2025'!$A$3:$M$323,MATCH("Reg base",'K3 District Data as of Jan 2025'!$2:$2,0),FALSE),2)</f>
        <v>0</v>
      </c>
      <c r="H306" s="25">
        <f>ROUND($D306*CLS_Inc*VLOOKUP($A306,'K3 District Data as of Jan 2025'!$A$3:$M$323,MATCH("Reg base",'K3 District Data as of Jan 2025'!$2:$2,0),FALSE),2)-G306</f>
        <v>0</v>
      </c>
      <c r="I306" s="25">
        <f t="shared" si="29"/>
        <v>0</v>
      </c>
      <c r="J306" s="25">
        <f t="shared" si="30"/>
        <v>0</v>
      </c>
      <c r="K306" s="25">
        <f t="shared" si="31"/>
        <v>0</v>
      </c>
      <c r="L306" s="25">
        <f t="shared" si="32"/>
        <v>0</v>
      </c>
      <c r="M306" s="25">
        <f t="shared" si="33"/>
        <v>0</v>
      </c>
      <c r="N306" s="25">
        <f t="shared" si="34"/>
        <v>0</v>
      </c>
      <c r="O306" s="25">
        <f>ROUND(($C306*CIS_Inc*(VLOOKUP($A306,'K3 District Data as of Jan 2025'!$A$3:$M$323,MATCH("Reg",'K3 District Data as of Jan 2025'!$2:$2,0),FALSE)+VLOOKUP($A306,'K3 District Data as of Jan 2025'!$A$3:$M$323,MATCH("Exp",'K3 District Data as of Jan 2025'!$2:$2,0),FALSE))/180)*3+(($C306*CIS_Inc*(VLOOKUP($A306,'K3 District Data as of Jan 2025'!$A$3:$M$323,MATCH("Reg",'K3 District Data as of Jan 2025'!$2:$2,0),FALSE)+VLOOKUP($A306,'K3 District Data as of Jan 2025'!$A$3:$M$323,MATCH("Exp",'K3 District Data as of Jan 2025'!$2:$2,0),FALSE))/180)*3)*CIS_Ben_Inc,2)</f>
        <v>0</v>
      </c>
      <c r="P306" s="23">
        <f t="shared" si="35"/>
        <v>0</v>
      </c>
    </row>
    <row r="307" spans="1:16" x14ac:dyDescent="0.25">
      <c r="A307" t="s">
        <v>617</v>
      </c>
      <c r="B307" t="s">
        <v>618</v>
      </c>
      <c r="C307" s="33">
        <f>IF(VLOOKUP($A307,'Enroll Data as of January 2025'!$A$3:$T$322,20,FALSE)&gt;0,0,VLOOKUP($A307,'Enroll Data as of January 2025'!$A$3:$T$322,20,FALSE)*'2024-25 PSES Compliance'!$G$13)</f>
        <v>0</v>
      </c>
      <c r="D307" s="33">
        <f>IF(VLOOKUP($A307,'Enroll Data as of January 2025'!$A$3:$T$322,20,FALSE)&gt;0,0,VLOOKUP($A307,'Enroll Data as of January 2025'!$A$3:$T$322,20,FALSE)*'2024-25 PSES Compliance'!$G$14)</f>
        <v>0</v>
      </c>
      <c r="E307" s="25">
        <f>ROUND($C307*CIS_Base*VLOOKUP($A307,'K3 District Data as of Jan 2025'!$A$3:$M$323,MATCH("Reg base",'K3 District Data as of Jan 2025'!$2:$2,0),FALSE),2)</f>
        <v>0</v>
      </c>
      <c r="F307" s="25">
        <f>ROUND($C307*CIS_Inc*(VLOOKUP($A307,'K3 District Data as of Jan 2025'!$A$3:$M$323,MATCH("Reg",'K3 District Data as of Jan 2025'!$2:$2,0),FALSE)+VLOOKUP($A307,'K3 District Data as of Jan 2025'!$A$3:$M$323,MATCH("Exp",'K3 District Data as of Jan 2025'!$2:$2,0),FALSE)),2)-E307</f>
        <v>0</v>
      </c>
      <c r="G307" s="25">
        <f>ROUND($D307*CLS_Base*VLOOKUP($A307,'K3 District Data as of Jan 2025'!$A$3:$M$323,MATCH("Reg base",'K3 District Data as of Jan 2025'!$2:$2,0),FALSE),2)</f>
        <v>0</v>
      </c>
      <c r="H307" s="25">
        <f>ROUND($D307*CLS_Inc*VLOOKUP($A307,'K3 District Data as of Jan 2025'!$A$3:$M$323,MATCH("Reg base",'K3 District Data as of Jan 2025'!$2:$2,0),FALSE),2)-G307</f>
        <v>0</v>
      </c>
      <c r="I307" s="25">
        <f t="shared" si="29"/>
        <v>0</v>
      </c>
      <c r="J307" s="25">
        <f t="shared" si="30"/>
        <v>0</v>
      </c>
      <c r="K307" s="25">
        <f t="shared" si="31"/>
        <v>0</v>
      </c>
      <c r="L307" s="25">
        <f t="shared" si="32"/>
        <v>0</v>
      </c>
      <c r="M307" s="25">
        <f t="shared" si="33"/>
        <v>0</v>
      </c>
      <c r="N307" s="25">
        <f t="shared" si="34"/>
        <v>0</v>
      </c>
      <c r="O307" s="25">
        <f>ROUND(($C307*CIS_Inc*(VLOOKUP($A307,'K3 District Data as of Jan 2025'!$A$3:$M$323,MATCH("Reg",'K3 District Data as of Jan 2025'!$2:$2,0),FALSE)+VLOOKUP($A307,'K3 District Data as of Jan 2025'!$A$3:$M$323,MATCH("Exp",'K3 District Data as of Jan 2025'!$2:$2,0),FALSE))/180)*3+(($C307*CIS_Inc*(VLOOKUP($A307,'K3 District Data as of Jan 2025'!$A$3:$M$323,MATCH("Reg",'K3 District Data as of Jan 2025'!$2:$2,0),FALSE)+VLOOKUP($A307,'K3 District Data as of Jan 2025'!$A$3:$M$323,MATCH("Exp",'K3 District Data as of Jan 2025'!$2:$2,0),FALSE))/180)*3)*CIS_Ben_Inc,2)</f>
        <v>0</v>
      </c>
      <c r="P307" s="23">
        <f t="shared" si="35"/>
        <v>0</v>
      </c>
    </row>
    <row r="308" spans="1:16" x14ac:dyDescent="0.25">
      <c r="A308" t="s">
        <v>65</v>
      </c>
      <c r="B308" t="s">
        <v>361</v>
      </c>
      <c r="C308" s="33">
        <f>IF(VLOOKUP($A308,'Enroll Data as of January 2025'!$A$3:$T$322,20,FALSE)&gt;0,0,VLOOKUP($A308,'Enroll Data as of January 2025'!$A$3:$T$322,20,FALSE)*'2024-25 PSES Compliance'!$G$13)</f>
        <v>0</v>
      </c>
      <c r="D308" s="33">
        <f>IF(VLOOKUP($A308,'Enroll Data as of January 2025'!$A$3:$T$322,20,FALSE)&gt;0,0,VLOOKUP($A308,'Enroll Data as of January 2025'!$A$3:$T$322,20,FALSE)*'2024-25 PSES Compliance'!$G$14)</f>
        <v>0</v>
      </c>
      <c r="E308" s="25">
        <f>ROUND($C308*CIS_Base*VLOOKUP($A308,'K3 District Data as of Jan 2025'!$A$3:$M$323,MATCH("Reg base",'K3 District Data as of Jan 2025'!$2:$2,0),FALSE),2)</f>
        <v>0</v>
      </c>
      <c r="F308" s="25">
        <f>ROUND($C308*CIS_Inc*(VLOOKUP($A308,'K3 District Data as of Jan 2025'!$A$3:$M$323,MATCH("Reg",'K3 District Data as of Jan 2025'!$2:$2,0),FALSE)+VLOOKUP($A308,'K3 District Data as of Jan 2025'!$A$3:$M$323,MATCH("Exp",'K3 District Data as of Jan 2025'!$2:$2,0),FALSE)),2)-E308</f>
        <v>0</v>
      </c>
      <c r="G308" s="25">
        <f>ROUND($D308*CLS_Base*VLOOKUP($A308,'K3 District Data as of Jan 2025'!$A$3:$M$323,MATCH("Reg base",'K3 District Data as of Jan 2025'!$2:$2,0),FALSE),2)</f>
        <v>0</v>
      </c>
      <c r="H308" s="25">
        <f>ROUND($D308*CLS_Inc*VLOOKUP($A308,'K3 District Data as of Jan 2025'!$A$3:$M$323,MATCH("Reg base",'K3 District Data as of Jan 2025'!$2:$2,0),FALSE),2)-G308</f>
        <v>0</v>
      </c>
      <c r="I308" s="25">
        <f t="shared" si="29"/>
        <v>0</v>
      </c>
      <c r="J308" s="25">
        <f t="shared" si="30"/>
        <v>0</v>
      </c>
      <c r="K308" s="25">
        <f t="shared" si="31"/>
        <v>0</v>
      </c>
      <c r="L308" s="25">
        <f t="shared" si="32"/>
        <v>0</v>
      </c>
      <c r="M308" s="25">
        <f t="shared" si="33"/>
        <v>0</v>
      </c>
      <c r="N308" s="25">
        <f t="shared" si="34"/>
        <v>0</v>
      </c>
      <c r="O308" s="25">
        <f>ROUND(($C308*CIS_Inc*(VLOOKUP($A308,'K3 District Data as of Jan 2025'!$A$3:$M$323,MATCH("Reg",'K3 District Data as of Jan 2025'!$2:$2,0),FALSE)+VLOOKUP($A308,'K3 District Data as of Jan 2025'!$A$3:$M$323,MATCH("Exp",'K3 District Data as of Jan 2025'!$2:$2,0),FALSE))/180)*3+(($C308*CIS_Inc*(VLOOKUP($A308,'K3 District Data as of Jan 2025'!$A$3:$M$323,MATCH("Reg",'K3 District Data as of Jan 2025'!$2:$2,0),FALSE)+VLOOKUP($A308,'K3 District Data as of Jan 2025'!$A$3:$M$323,MATCH("Exp",'K3 District Data as of Jan 2025'!$2:$2,0),FALSE))/180)*3)*CIS_Ben_Inc,2)</f>
        <v>0</v>
      </c>
      <c r="P308" s="23">
        <f t="shared" si="35"/>
        <v>0</v>
      </c>
    </row>
    <row r="309" spans="1:16" x14ac:dyDescent="0.25">
      <c r="A309" t="s">
        <v>262</v>
      </c>
      <c r="B309" t="s">
        <v>558</v>
      </c>
      <c r="C309" s="33">
        <f>IF(VLOOKUP($A309,'Enroll Data as of January 2025'!$A$3:$T$322,20,FALSE)&gt;0,0,VLOOKUP($A309,'Enroll Data as of January 2025'!$A$3:$T$322,20,FALSE)*'2024-25 PSES Compliance'!$G$13)</f>
        <v>0</v>
      </c>
      <c r="D309" s="33">
        <f>IF(VLOOKUP($A309,'Enroll Data as of January 2025'!$A$3:$T$322,20,FALSE)&gt;0,0,VLOOKUP($A309,'Enroll Data as of January 2025'!$A$3:$T$322,20,FALSE)*'2024-25 PSES Compliance'!$G$14)</f>
        <v>0</v>
      </c>
      <c r="E309" s="25">
        <f>ROUND($C309*CIS_Base*VLOOKUP($A309,'K3 District Data as of Jan 2025'!$A$3:$M$323,MATCH("Reg base",'K3 District Data as of Jan 2025'!$2:$2,0),FALSE),2)</f>
        <v>0</v>
      </c>
      <c r="F309" s="25">
        <f>ROUND($C309*CIS_Inc*(VLOOKUP($A309,'K3 District Data as of Jan 2025'!$A$3:$M$323,MATCH("Reg",'K3 District Data as of Jan 2025'!$2:$2,0),FALSE)+VLOOKUP($A309,'K3 District Data as of Jan 2025'!$A$3:$M$323,MATCH("Exp",'K3 District Data as of Jan 2025'!$2:$2,0),FALSE)),2)-E309</f>
        <v>0</v>
      </c>
      <c r="G309" s="25">
        <f>ROUND($D309*CLS_Base*VLOOKUP($A309,'K3 District Data as of Jan 2025'!$A$3:$M$323,MATCH("Reg base",'K3 District Data as of Jan 2025'!$2:$2,0),FALSE),2)</f>
        <v>0</v>
      </c>
      <c r="H309" s="25">
        <f>ROUND($D309*CLS_Inc*VLOOKUP($A309,'K3 District Data as of Jan 2025'!$A$3:$M$323,MATCH("Reg base",'K3 District Data as of Jan 2025'!$2:$2,0),FALSE),2)-G309</f>
        <v>0</v>
      </c>
      <c r="I309" s="25">
        <f t="shared" si="29"/>
        <v>0</v>
      </c>
      <c r="J309" s="25">
        <f t="shared" si="30"/>
        <v>0</v>
      </c>
      <c r="K309" s="25">
        <f t="shared" si="31"/>
        <v>0</v>
      </c>
      <c r="L309" s="25">
        <f t="shared" si="32"/>
        <v>0</v>
      </c>
      <c r="M309" s="25">
        <f t="shared" si="33"/>
        <v>0</v>
      </c>
      <c r="N309" s="25">
        <f t="shared" si="34"/>
        <v>0</v>
      </c>
      <c r="O309" s="25">
        <f>ROUND(($C309*CIS_Inc*(VLOOKUP($A309,'K3 District Data as of Jan 2025'!$A$3:$M$323,MATCH("Reg",'K3 District Data as of Jan 2025'!$2:$2,0),FALSE)+VLOOKUP($A309,'K3 District Data as of Jan 2025'!$A$3:$M$323,MATCH("Exp",'K3 District Data as of Jan 2025'!$2:$2,0),FALSE))/180)*3+(($C309*CIS_Inc*(VLOOKUP($A309,'K3 District Data as of Jan 2025'!$A$3:$M$323,MATCH("Reg",'K3 District Data as of Jan 2025'!$2:$2,0),FALSE)+VLOOKUP($A309,'K3 District Data as of Jan 2025'!$A$3:$M$323,MATCH("Exp",'K3 District Data as of Jan 2025'!$2:$2,0),FALSE))/180)*3)*CIS_Ben_Inc,2)</f>
        <v>0</v>
      </c>
      <c r="P309" s="23">
        <f t="shared" si="35"/>
        <v>0</v>
      </c>
    </row>
    <row r="310" spans="1:16" x14ac:dyDescent="0.25">
      <c r="A310" t="s">
        <v>301</v>
      </c>
      <c r="B310" t="s">
        <v>597</v>
      </c>
      <c r="C310" s="33">
        <f>IF(VLOOKUP($A310,'Enroll Data as of January 2025'!$A$3:$T$322,20,FALSE)&gt;0,0,VLOOKUP($A310,'Enroll Data as of January 2025'!$A$3:$T$322,20,FALSE)*'2024-25 PSES Compliance'!$G$13)</f>
        <v>0</v>
      </c>
      <c r="D310" s="33">
        <f>IF(VLOOKUP($A310,'Enroll Data as of January 2025'!$A$3:$T$322,20,FALSE)&gt;0,0,VLOOKUP($A310,'Enroll Data as of January 2025'!$A$3:$T$322,20,FALSE)*'2024-25 PSES Compliance'!$G$14)</f>
        <v>0</v>
      </c>
      <c r="E310" s="25">
        <f>ROUND($C310*CIS_Base*VLOOKUP($A310,'K3 District Data as of Jan 2025'!$A$3:$M$323,MATCH("Reg base",'K3 District Data as of Jan 2025'!$2:$2,0),FALSE),2)</f>
        <v>0</v>
      </c>
      <c r="F310" s="25">
        <f>ROUND($C310*CIS_Inc*(VLOOKUP($A310,'K3 District Data as of Jan 2025'!$A$3:$M$323,MATCH("Reg",'K3 District Data as of Jan 2025'!$2:$2,0),FALSE)+VLOOKUP($A310,'K3 District Data as of Jan 2025'!$A$3:$M$323,MATCH("Exp",'K3 District Data as of Jan 2025'!$2:$2,0),FALSE)),2)-E310</f>
        <v>0</v>
      </c>
      <c r="G310" s="25">
        <f>ROUND($D310*CLS_Base*VLOOKUP($A310,'K3 District Data as of Jan 2025'!$A$3:$M$323,MATCH("Reg base",'K3 District Data as of Jan 2025'!$2:$2,0),FALSE),2)</f>
        <v>0</v>
      </c>
      <c r="H310" s="25">
        <f>ROUND($D310*CLS_Inc*VLOOKUP($A310,'K3 District Data as of Jan 2025'!$A$3:$M$323,MATCH("Reg base",'K3 District Data as of Jan 2025'!$2:$2,0),FALSE),2)-G310</f>
        <v>0</v>
      </c>
      <c r="I310" s="25">
        <f t="shared" si="29"/>
        <v>0</v>
      </c>
      <c r="J310" s="25">
        <f t="shared" si="30"/>
        <v>0</v>
      </c>
      <c r="K310" s="25">
        <f t="shared" si="31"/>
        <v>0</v>
      </c>
      <c r="L310" s="25">
        <f t="shared" si="32"/>
        <v>0</v>
      </c>
      <c r="M310" s="25">
        <f t="shared" si="33"/>
        <v>0</v>
      </c>
      <c r="N310" s="25">
        <f t="shared" si="34"/>
        <v>0</v>
      </c>
      <c r="O310" s="25">
        <f>ROUND(($C310*CIS_Inc*(VLOOKUP($A310,'K3 District Data as of Jan 2025'!$A$3:$M$323,MATCH("Reg",'K3 District Data as of Jan 2025'!$2:$2,0),FALSE)+VLOOKUP($A310,'K3 District Data as of Jan 2025'!$A$3:$M$323,MATCH("Exp",'K3 District Data as of Jan 2025'!$2:$2,0),FALSE))/180)*3+(($C310*CIS_Inc*(VLOOKUP($A310,'K3 District Data as of Jan 2025'!$A$3:$M$323,MATCH("Reg",'K3 District Data as of Jan 2025'!$2:$2,0),FALSE)+VLOOKUP($A310,'K3 District Data as of Jan 2025'!$A$3:$M$323,MATCH("Exp",'K3 District Data as of Jan 2025'!$2:$2,0),FALSE))/180)*3)*CIS_Ben_Inc,2)</f>
        <v>0</v>
      </c>
      <c r="P310" s="23">
        <f t="shared" si="35"/>
        <v>0</v>
      </c>
    </row>
    <row r="311" spans="1:16" x14ac:dyDescent="0.25">
      <c r="A311" t="s">
        <v>36</v>
      </c>
      <c r="B311" t="s">
        <v>332</v>
      </c>
      <c r="C311" s="33">
        <f>IF(VLOOKUP($A311,'Enroll Data as of January 2025'!$A$3:$T$322,20,FALSE)&gt;0,0,VLOOKUP($A311,'Enroll Data as of January 2025'!$A$3:$T$322,20,FALSE)*'2024-25 PSES Compliance'!$G$13)</f>
        <v>0</v>
      </c>
      <c r="D311" s="33">
        <f>IF(VLOOKUP($A311,'Enroll Data as of January 2025'!$A$3:$T$322,20,FALSE)&gt;0,0,VLOOKUP($A311,'Enroll Data as of January 2025'!$A$3:$T$322,20,FALSE)*'2024-25 PSES Compliance'!$G$14)</f>
        <v>0</v>
      </c>
      <c r="E311" s="25">
        <f>ROUND($C311*CIS_Base*VLOOKUP($A311,'K3 District Data as of Jan 2025'!$A$3:$M$323,MATCH("Reg base",'K3 District Data as of Jan 2025'!$2:$2,0),FALSE),2)</f>
        <v>0</v>
      </c>
      <c r="F311" s="25">
        <f>ROUND($C311*CIS_Inc*(VLOOKUP($A311,'K3 District Data as of Jan 2025'!$A$3:$M$323,MATCH("Reg",'K3 District Data as of Jan 2025'!$2:$2,0),FALSE)+VLOOKUP($A311,'K3 District Data as of Jan 2025'!$A$3:$M$323,MATCH("Exp",'K3 District Data as of Jan 2025'!$2:$2,0),FALSE)),2)-E311</f>
        <v>0</v>
      </c>
      <c r="G311" s="25">
        <f>ROUND($D311*CLS_Base*VLOOKUP($A311,'K3 District Data as of Jan 2025'!$A$3:$M$323,MATCH("Reg base",'K3 District Data as of Jan 2025'!$2:$2,0),FALSE),2)</f>
        <v>0</v>
      </c>
      <c r="H311" s="25">
        <f>ROUND($D311*CLS_Inc*VLOOKUP($A311,'K3 District Data as of Jan 2025'!$A$3:$M$323,MATCH("Reg base",'K3 District Data as of Jan 2025'!$2:$2,0),FALSE),2)-G311</f>
        <v>0</v>
      </c>
      <c r="I311" s="25">
        <f t="shared" si="29"/>
        <v>0</v>
      </c>
      <c r="J311" s="25">
        <f t="shared" si="30"/>
        <v>0</v>
      </c>
      <c r="K311" s="25">
        <f t="shared" si="31"/>
        <v>0</v>
      </c>
      <c r="L311" s="25">
        <f t="shared" si="32"/>
        <v>0</v>
      </c>
      <c r="M311" s="25">
        <f t="shared" si="33"/>
        <v>0</v>
      </c>
      <c r="N311" s="25">
        <f t="shared" si="34"/>
        <v>0</v>
      </c>
      <c r="O311" s="25">
        <f>ROUND(($C311*CIS_Inc*(VLOOKUP($A311,'K3 District Data as of Jan 2025'!$A$3:$M$323,MATCH("Reg",'K3 District Data as of Jan 2025'!$2:$2,0),FALSE)+VLOOKUP($A311,'K3 District Data as of Jan 2025'!$A$3:$M$323,MATCH("Exp",'K3 District Data as of Jan 2025'!$2:$2,0),FALSE))/180)*3+(($C311*CIS_Inc*(VLOOKUP($A311,'K3 District Data as of Jan 2025'!$A$3:$M$323,MATCH("Reg",'K3 District Data as of Jan 2025'!$2:$2,0),FALSE)+VLOOKUP($A311,'K3 District Data as of Jan 2025'!$A$3:$M$323,MATCH("Exp",'K3 District Data as of Jan 2025'!$2:$2,0),FALSE))/180)*3)*CIS_Ben_Inc,2)</f>
        <v>0</v>
      </c>
      <c r="P311" s="23">
        <f t="shared" si="35"/>
        <v>0</v>
      </c>
    </row>
    <row r="312" spans="1:16" x14ac:dyDescent="0.25">
      <c r="A312" t="s">
        <v>54</v>
      </c>
      <c r="B312" t="s">
        <v>350</v>
      </c>
      <c r="C312" s="33">
        <f>IF(VLOOKUP($A312,'Enroll Data as of January 2025'!$A$3:$T$322,20,FALSE)&gt;0,0,VLOOKUP($A312,'Enroll Data as of January 2025'!$A$3:$T$322,20,FALSE)*'2024-25 PSES Compliance'!$G$13)</f>
        <v>-0.16799999999999998</v>
      </c>
      <c r="D312" s="33">
        <f>IF(VLOOKUP($A312,'Enroll Data as of January 2025'!$A$3:$T$322,20,FALSE)&gt;0,0,VLOOKUP($A312,'Enroll Data as of January 2025'!$A$3:$T$322,20,FALSE)*'2024-25 PSES Compliance'!$G$14)</f>
        <v>-6.9999999999999993E-3</v>
      </c>
      <c r="E312" s="25">
        <f>ROUND($C312*CIS_Base*VLOOKUP($A312,'K3 District Data as of Jan 2025'!$A$3:$M$323,MATCH("Reg base",'K3 District Data as of Jan 2025'!$2:$2,0),FALSE),2)</f>
        <v>-12218.3</v>
      </c>
      <c r="F312" s="25">
        <f>ROUND($C312*CIS_Inc*(VLOOKUP($A312,'K3 District Data as of Jan 2025'!$A$3:$M$323,MATCH("Reg",'K3 District Data as of Jan 2025'!$2:$2,0),FALSE)+VLOOKUP($A312,'K3 District Data as of Jan 2025'!$A$3:$M$323,MATCH("Exp",'K3 District Data as of Jan 2025'!$2:$2,0),FALSE)),2)-E312</f>
        <v>-920.81000000000131</v>
      </c>
      <c r="G312" s="25">
        <f>ROUND($D312*CLS_Base*VLOOKUP($A312,'K3 District Data as of Jan 2025'!$A$3:$M$323,MATCH("Reg base",'K3 District Data as of Jan 2025'!$2:$2,0),FALSE),2)</f>
        <v>-365.21</v>
      </c>
      <c r="H312" s="25">
        <f>ROUND($D312*CLS_Inc*VLOOKUP($A312,'K3 District Data as of Jan 2025'!$A$3:$M$323,MATCH("Reg base",'K3 District Data as of Jan 2025'!$2:$2,0),FALSE),2)-G312</f>
        <v>-27.53000000000003</v>
      </c>
      <c r="I312" s="25">
        <f t="shared" si="29"/>
        <v>-2422.34</v>
      </c>
      <c r="J312" s="25">
        <f t="shared" si="30"/>
        <v>-141.5</v>
      </c>
      <c r="K312" s="25">
        <f t="shared" si="31"/>
        <v>-2217.62</v>
      </c>
      <c r="L312" s="25">
        <f t="shared" si="32"/>
        <v>-2139.42</v>
      </c>
      <c r="M312" s="25">
        <f t="shared" si="33"/>
        <v>-79.099999999999994</v>
      </c>
      <c r="N312" s="25">
        <f t="shared" si="34"/>
        <v>-5</v>
      </c>
      <c r="O312" s="25">
        <f>ROUND(($C312*CIS_Inc*(VLOOKUP($A312,'K3 District Data as of Jan 2025'!$A$3:$M$323,MATCH("Reg",'K3 District Data as of Jan 2025'!$2:$2,0),FALSE)+VLOOKUP($A312,'K3 District Data as of Jan 2025'!$A$3:$M$323,MATCH("Exp",'K3 District Data as of Jan 2025'!$2:$2,0),FALSE))/180)*3+(($C312*CIS_Inc*(VLOOKUP($A312,'K3 District Data as of Jan 2025'!$A$3:$M$323,MATCH("Reg",'K3 District Data as of Jan 2025'!$2:$2,0),FALSE)+VLOOKUP($A312,'K3 District Data as of Jan 2025'!$A$3:$M$323,MATCH("Exp",'K3 District Data as of Jan 2025'!$2:$2,0),FALSE))/180)*3)*CIS_Ben_Inc,2)</f>
        <v>-257.33</v>
      </c>
      <c r="P312" s="23">
        <f t="shared" si="35"/>
        <v>-20794.160000000003</v>
      </c>
    </row>
    <row r="313" spans="1:16" x14ac:dyDescent="0.25">
      <c r="A313" t="s">
        <v>26</v>
      </c>
      <c r="B313" t="s">
        <v>322</v>
      </c>
      <c r="C313" s="33">
        <f>IF(VLOOKUP($A313,'Enroll Data as of January 2025'!$A$3:$T$322,20,FALSE)&gt;0,0,VLOOKUP($A313,'Enroll Data as of January 2025'!$A$3:$T$322,20,FALSE)*'2024-25 PSES Compliance'!$G$13)</f>
        <v>-1.4947199999999998</v>
      </c>
      <c r="D313" s="33">
        <f>IF(VLOOKUP($A313,'Enroll Data as of January 2025'!$A$3:$T$322,20,FALSE)&gt;0,0,VLOOKUP($A313,'Enroll Data as of January 2025'!$A$3:$T$322,20,FALSE)*'2024-25 PSES Compliance'!$G$14)</f>
        <v>-6.2280000000000002E-2</v>
      </c>
      <c r="E313" s="25">
        <f>ROUND($C313*CIS_Base*VLOOKUP($A313,'K3 District Data as of Jan 2025'!$A$3:$M$323,MATCH("Reg base",'K3 District Data as of Jan 2025'!$2:$2,0),FALSE),2)</f>
        <v>-108708</v>
      </c>
      <c r="F313" s="25">
        <f>ROUND($C313*CIS_Inc*(VLOOKUP($A313,'K3 District Data as of Jan 2025'!$A$3:$M$323,MATCH("Reg",'K3 District Data as of Jan 2025'!$2:$2,0),FALSE)+VLOOKUP($A313,'K3 District Data as of Jan 2025'!$A$3:$M$323,MATCH("Exp",'K3 District Data as of Jan 2025'!$2:$2,0),FALSE)),2)-E313</f>
        <v>-8192.5599999999977</v>
      </c>
      <c r="G313" s="25">
        <f>ROUND($D313*CLS_Base*VLOOKUP($A313,'K3 District Data as of Jan 2025'!$A$3:$M$323,MATCH("Reg base",'K3 District Data as of Jan 2025'!$2:$2,0),FALSE),2)</f>
        <v>-3249.33</v>
      </c>
      <c r="H313" s="25">
        <f>ROUND($D313*CLS_Inc*VLOOKUP($A313,'K3 District Data as of Jan 2025'!$A$3:$M$323,MATCH("Reg base",'K3 District Data as of Jan 2025'!$2:$2,0),FALSE),2)-G313</f>
        <v>-244.88999999999987</v>
      </c>
      <c r="I313" s="25">
        <f t="shared" si="29"/>
        <v>-21551.95</v>
      </c>
      <c r="J313" s="25">
        <f t="shared" si="30"/>
        <v>-1258.96</v>
      </c>
      <c r="K313" s="25">
        <f t="shared" si="31"/>
        <v>-19730.5</v>
      </c>
      <c r="L313" s="25">
        <f t="shared" si="32"/>
        <v>-19034.77</v>
      </c>
      <c r="M313" s="25">
        <f t="shared" si="33"/>
        <v>-703.8</v>
      </c>
      <c r="N313" s="25">
        <f t="shared" si="34"/>
        <v>-44.47</v>
      </c>
      <c r="O313" s="25">
        <f>ROUND(($C313*CIS_Inc*(VLOOKUP($A313,'K3 District Data as of Jan 2025'!$A$3:$M$323,MATCH("Reg",'K3 District Data as of Jan 2025'!$2:$2,0),FALSE)+VLOOKUP($A313,'K3 District Data as of Jan 2025'!$A$3:$M$323,MATCH("Exp",'K3 District Data as of Jan 2025'!$2:$2,0),FALSE))/180)*3+(($C313*CIS_Inc*(VLOOKUP($A313,'K3 District Data as of Jan 2025'!$A$3:$M$323,MATCH("Reg",'K3 District Data as of Jan 2025'!$2:$2,0),FALSE)+VLOOKUP($A313,'K3 District Data as of Jan 2025'!$A$3:$M$323,MATCH("Exp",'K3 District Data as of Jan 2025'!$2:$2,0),FALSE))/180)*3)*CIS_Ben_Inc,2)</f>
        <v>-2289.5</v>
      </c>
      <c r="P313" s="23">
        <f t="shared" si="35"/>
        <v>-185008.72999999998</v>
      </c>
    </row>
    <row r="314" spans="1:16" x14ac:dyDescent="0.25">
      <c r="A314" t="s">
        <v>237</v>
      </c>
      <c r="B314" t="s">
        <v>533</v>
      </c>
      <c r="C314" s="33">
        <f>IF(VLOOKUP($A314,'Enroll Data as of January 2025'!$A$3:$T$322,20,FALSE)&gt;0,0,VLOOKUP($A314,'Enroll Data as of January 2025'!$A$3:$T$322,20,FALSE)*'2024-25 PSES Compliance'!$G$13)</f>
        <v>0</v>
      </c>
      <c r="D314" s="33">
        <f>IF(VLOOKUP($A314,'Enroll Data as of January 2025'!$A$3:$T$322,20,FALSE)&gt;0,0,VLOOKUP($A314,'Enroll Data as of January 2025'!$A$3:$T$322,20,FALSE)*'2024-25 PSES Compliance'!$G$14)</f>
        <v>0</v>
      </c>
      <c r="E314" s="25">
        <f>ROUND($C314*CIS_Base*VLOOKUP($A314,'K3 District Data as of Jan 2025'!$A$3:$M$323,MATCH("Reg base",'K3 District Data as of Jan 2025'!$2:$2,0),FALSE),2)</f>
        <v>0</v>
      </c>
      <c r="F314" s="25">
        <f>ROUND($C314*CIS_Inc*(VLOOKUP($A314,'K3 District Data as of Jan 2025'!$A$3:$M$323,MATCH("Reg",'K3 District Data as of Jan 2025'!$2:$2,0),FALSE)+VLOOKUP($A314,'K3 District Data as of Jan 2025'!$A$3:$M$323,MATCH("Exp",'K3 District Data as of Jan 2025'!$2:$2,0),FALSE)),2)-E314</f>
        <v>0</v>
      </c>
      <c r="G314" s="25">
        <f>ROUND($D314*CLS_Base*VLOOKUP($A314,'K3 District Data as of Jan 2025'!$A$3:$M$323,MATCH("Reg base",'K3 District Data as of Jan 2025'!$2:$2,0),FALSE),2)</f>
        <v>0</v>
      </c>
      <c r="H314" s="25">
        <f>ROUND($D314*CLS_Inc*VLOOKUP($A314,'K3 District Data as of Jan 2025'!$A$3:$M$323,MATCH("Reg base",'K3 District Data as of Jan 2025'!$2:$2,0),FALSE),2)-G314</f>
        <v>0</v>
      </c>
      <c r="I314" s="25">
        <f t="shared" si="29"/>
        <v>0</v>
      </c>
      <c r="J314" s="25">
        <f t="shared" si="30"/>
        <v>0</v>
      </c>
      <c r="K314" s="25">
        <f t="shared" si="31"/>
        <v>0</v>
      </c>
      <c r="L314" s="25">
        <f t="shared" si="32"/>
        <v>0</v>
      </c>
      <c r="M314" s="25">
        <f t="shared" si="33"/>
        <v>0</v>
      </c>
      <c r="N314" s="25">
        <f t="shared" si="34"/>
        <v>0</v>
      </c>
      <c r="O314" s="25">
        <f>ROUND(($C314*CIS_Inc*(VLOOKUP($A314,'K3 District Data as of Jan 2025'!$A$3:$M$323,MATCH("Reg",'K3 District Data as of Jan 2025'!$2:$2,0),FALSE)+VLOOKUP($A314,'K3 District Data as of Jan 2025'!$A$3:$M$323,MATCH("Exp",'K3 District Data as of Jan 2025'!$2:$2,0),FALSE))/180)*3+(($C314*CIS_Inc*(VLOOKUP($A314,'K3 District Data as of Jan 2025'!$A$3:$M$323,MATCH("Reg",'K3 District Data as of Jan 2025'!$2:$2,0),FALSE)+VLOOKUP($A314,'K3 District Data as of Jan 2025'!$A$3:$M$323,MATCH("Exp",'K3 District Data as of Jan 2025'!$2:$2,0),FALSE))/180)*3)*CIS_Ben_Inc,2)</f>
        <v>0</v>
      </c>
      <c r="P314" s="23">
        <f t="shared" si="35"/>
        <v>0</v>
      </c>
    </row>
    <row r="315" spans="1:16" x14ac:dyDescent="0.25">
      <c r="A315" t="s">
        <v>149</v>
      </c>
      <c r="B315" t="s">
        <v>445</v>
      </c>
      <c r="C315" s="33">
        <f>IF(VLOOKUP($A315,'Enroll Data as of January 2025'!$A$3:$T$322,20,FALSE)&gt;0,0,VLOOKUP($A315,'Enroll Data as of January 2025'!$A$3:$T$322,20,FALSE)*'2024-25 PSES Compliance'!$G$13)</f>
        <v>0</v>
      </c>
      <c r="D315" s="33">
        <f>IF(VLOOKUP($A315,'Enroll Data as of January 2025'!$A$3:$T$322,20,FALSE)&gt;0,0,VLOOKUP($A315,'Enroll Data as of January 2025'!$A$3:$T$322,20,FALSE)*'2024-25 PSES Compliance'!$G$14)</f>
        <v>0</v>
      </c>
      <c r="E315" s="25">
        <f>ROUND($C315*CIS_Base*VLOOKUP($A315,'K3 District Data as of Jan 2025'!$A$3:$M$323,MATCH("Reg base",'K3 District Data as of Jan 2025'!$2:$2,0),FALSE),2)</f>
        <v>0</v>
      </c>
      <c r="F315" s="25">
        <f>ROUND($C315*CIS_Inc*(VLOOKUP($A315,'K3 District Data as of Jan 2025'!$A$3:$M$323,MATCH("Reg",'K3 District Data as of Jan 2025'!$2:$2,0),FALSE)+VLOOKUP($A315,'K3 District Data as of Jan 2025'!$A$3:$M$323,MATCH("Exp",'K3 District Data as of Jan 2025'!$2:$2,0),FALSE)),2)-E315</f>
        <v>0</v>
      </c>
      <c r="G315" s="25">
        <f>ROUND($D315*CLS_Base*VLOOKUP($A315,'K3 District Data as of Jan 2025'!$A$3:$M$323,MATCH("Reg base",'K3 District Data as of Jan 2025'!$2:$2,0),FALSE),2)</f>
        <v>0</v>
      </c>
      <c r="H315" s="25">
        <f>ROUND($D315*CLS_Inc*VLOOKUP($A315,'K3 District Data as of Jan 2025'!$A$3:$M$323,MATCH("Reg base",'K3 District Data as of Jan 2025'!$2:$2,0),FALSE),2)-G315</f>
        <v>0</v>
      </c>
      <c r="I315" s="25">
        <f t="shared" si="29"/>
        <v>0</v>
      </c>
      <c r="J315" s="25">
        <f t="shared" si="30"/>
        <v>0</v>
      </c>
      <c r="K315" s="25">
        <f t="shared" si="31"/>
        <v>0</v>
      </c>
      <c r="L315" s="25">
        <f t="shared" si="32"/>
        <v>0</v>
      </c>
      <c r="M315" s="25">
        <f t="shared" si="33"/>
        <v>0</v>
      </c>
      <c r="N315" s="25">
        <f t="shared" si="34"/>
        <v>0</v>
      </c>
      <c r="O315" s="25">
        <f>ROUND(($C315*CIS_Inc*(VLOOKUP($A315,'K3 District Data as of Jan 2025'!$A$3:$M$323,MATCH("Reg",'K3 District Data as of Jan 2025'!$2:$2,0),FALSE)+VLOOKUP($A315,'K3 District Data as of Jan 2025'!$A$3:$M$323,MATCH("Exp",'K3 District Data as of Jan 2025'!$2:$2,0),FALSE))/180)*3+(($C315*CIS_Inc*(VLOOKUP($A315,'K3 District Data as of Jan 2025'!$A$3:$M$323,MATCH("Reg",'K3 District Data as of Jan 2025'!$2:$2,0),FALSE)+VLOOKUP($A315,'K3 District Data as of Jan 2025'!$A$3:$M$323,MATCH("Exp",'K3 District Data as of Jan 2025'!$2:$2,0),FALSE))/180)*3)*CIS_Ben_Inc,2)</f>
        <v>0</v>
      </c>
      <c r="P315" s="23">
        <f t="shared" si="35"/>
        <v>0</v>
      </c>
    </row>
    <row r="316" spans="1:16" x14ac:dyDescent="0.25">
      <c r="A316" t="s">
        <v>196</v>
      </c>
      <c r="B316" t="s">
        <v>491</v>
      </c>
      <c r="C316" s="33">
        <f>IF(VLOOKUP($A316,'Enroll Data as of January 2025'!$A$3:$T$322,20,FALSE)&gt;0,0,VLOOKUP($A316,'Enroll Data as of January 2025'!$A$3:$T$322,20,FALSE)*'2024-25 PSES Compliance'!$G$13)</f>
        <v>0</v>
      </c>
      <c r="D316" s="33">
        <f>IF(VLOOKUP($A316,'Enroll Data as of January 2025'!$A$3:$T$322,20,FALSE)&gt;0,0,VLOOKUP($A316,'Enroll Data as of January 2025'!$A$3:$T$322,20,FALSE)*'2024-25 PSES Compliance'!$G$14)</f>
        <v>0</v>
      </c>
      <c r="E316" s="25">
        <f>ROUND($C316*CIS_Base*VLOOKUP($A316,'K3 District Data as of Jan 2025'!$A$3:$M$323,MATCH("Reg base",'K3 District Data as of Jan 2025'!$2:$2,0),FALSE),2)</f>
        <v>0</v>
      </c>
      <c r="F316" s="25">
        <f>ROUND($C316*CIS_Inc*(VLOOKUP($A316,'K3 District Data as of Jan 2025'!$A$3:$M$323,MATCH("Reg",'K3 District Data as of Jan 2025'!$2:$2,0),FALSE)+VLOOKUP($A316,'K3 District Data as of Jan 2025'!$A$3:$M$323,MATCH("Exp",'K3 District Data as of Jan 2025'!$2:$2,0),FALSE)),2)-E316</f>
        <v>0</v>
      </c>
      <c r="G316" s="25">
        <f>ROUND($D316*CLS_Base*VLOOKUP($A316,'K3 District Data as of Jan 2025'!$A$3:$M$323,MATCH("Reg base",'K3 District Data as of Jan 2025'!$2:$2,0),FALSE),2)</f>
        <v>0</v>
      </c>
      <c r="H316" s="25">
        <f>ROUND($D316*CLS_Inc*VLOOKUP($A316,'K3 District Data as of Jan 2025'!$A$3:$M$323,MATCH("Reg base",'K3 District Data as of Jan 2025'!$2:$2,0),FALSE),2)-G316</f>
        <v>0</v>
      </c>
      <c r="I316" s="25">
        <f t="shared" si="29"/>
        <v>0</v>
      </c>
      <c r="J316" s="25">
        <f t="shared" si="30"/>
        <v>0</v>
      </c>
      <c r="K316" s="25">
        <f t="shared" si="31"/>
        <v>0</v>
      </c>
      <c r="L316" s="25">
        <f t="shared" si="32"/>
        <v>0</v>
      </c>
      <c r="M316" s="25">
        <f t="shared" si="33"/>
        <v>0</v>
      </c>
      <c r="N316" s="25">
        <f t="shared" si="34"/>
        <v>0</v>
      </c>
      <c r="O316" s="25">
        <f>ROUND(($C316*CIS_Inc*(VLOOKUP($A316,'K3 District Data as of Jan 2025'!$A$3:$M$323,MATCH("Reg",'K3 District Data as of Jan 2025'!$2:$2,0),FALSE)+VLOOKUP($A316,'K3 District Data as of Jan 2025'!$A$3:$M$323,MATCH("Exp",'K3 District Data as of Jan 2025'!$2:$2,0),FALSE))/180)*3+(($C316*CIS_Inc*(VLOOKUP($A316,'K3 District Data as of Jan 2025'!$A$3:$M$323,MATCH("Reg",'K3 District Data as of Jan 2025'!$2:$2,0),FALSE)+VLOOKUP($A316,'K3 District Data as of Jan 2025'!$A$3:$M$323,MATCH("Exp",'K3 District Data as of Jan 2025'!$2:$2,0),FALSE))/180)*3)*CIS_Ben_Inc,2)</f>
        <v>0</v>
      </c>
      <c r="P316" s="23">
        <f t="shared" si="35"/>
        <v>0</v>
      </c>
    </row>
    <row r="317" spans="1:16" x14ac:dyDescent="0.25">
      <c r="A317" t="s">
        <v>674</v>
      </c>
      <c r="B317" t="s">
        <v>1115</v>
      </c>
      <c r="C317" s="33">
        <f>IF(VLOOKUP($A317,'Enroll Data as of January 2025'!$A$3:$T$322,20,FALSE)&gt;0,0,VLOOKUP($A317,'Enroll Data as of January 2025'!$A$3:$T$322,20,FALSE)*'2024-25 PSES Compliance'!$G$13)</f>
        <v>-0.7871999999999999</v>
      </c>
      <c r="D317" s="33">
        <f>IF(VLOOKUP($A317,'Enroll Data as of January 2025'!$A$3:$T$322,20,FALSE)&gt;0,0,VLOOKUP($A317,'Enroll Data as of January 2025'!$A$3:$T$322,20,FALSE)*'2024-25 PSES Compliance'!$G$14)</f>
        <v>-3.2799999999999996E-2</v>
      </c>
      <c r="E317" s="25">
        <f>ROUND($C317*CIS_Base*VLOOKUP($A317,'K3 District Data as of Jan 2025'!$A$3:$M$323,MATCH("Reg base",'K3 District Data as of Jan 2025'!$2:$2,0),FALSE),2)</f>
        <v>-67556.75</v>
      </c>
      <c r="F317" s="25">
        <f>ROUND($C317*CIS_Inc*(VLOOKUP($A317,'K3 District Data as of Jan 2025'!$A$3:$M$323,MATCH("Reg",'K3 District Data as of Jan 2025'!$2:$2,0),FALSE)+VLOOKUP($A317,'K3 District Data as of Jan 2025'!$A$3:$M$323,MATCH("Exp",'K3 District Data as of Jan 2025'!$2:$2,0),FALSE)),2)-E317</f>
        <v>-5091.2799999999988</v>
      </c>
      <c r="G317" s="25">
        <f>ROUND($D317*CLS_Base*VLOOKUP($A317,'K3 District Data as of Jan 2025'!$A$3:$M$323,MATCH("Reg base",'K3 District Data as of Jan 2025'!$2:$2,0),FALSE),2)</f>
        <v>-2019.3</v>
      </c>
      <c r="H317" s="25">
        <f>ROUND($D317*CLS_Inc*VLOOKUP($A317,'K3 District Data as of Jan 2025'!$A$3:$M$323,MATCH("Reg base",'K3 District Data as of Jan 2025'!$2:$2,0),FALSE),2)-G317</f>
        <v>-152.18999999999983</v>
      </c>
      <c r="I317" s="25">
        <f t="shared" si="29"/>
        <v>-11350.42</v>
      </c>
      <c r="J317" s="25">
        <f t="shared" si="30"/>
        <v>-663.03</v>
      </c>
      <c r="K317" s="25">
        <f t="shared" si="31"/>
        <v>-12261.55</v>
      </c>
      <c r="L317" s="25">
        <f t="shared" si="32"/>
        <v>-11829.19</v>
      </c>
      <c r="M317" s="25">
        <f t="shared" si="33"/>
        <v>-437.38</v>
      </c>
      <c r="N317" s="25">
        <f t="shared" si="34"/>
        <v>-27.64</v>
      </c>
      <c r="O317" s="25">
        <f>ROUND(($C317*CIS_Inc*(VLOOKUP($A317,'K3 District Data as of Jan 2025'!$A$3:$M$323,MATCH("Reg",'K3 District Data as of Jan 2025'!$2:$2,0),FALSE)+VLOOKUP($A317,'K3 District Data as of Jan 2025'!$A$3:$M$323,MATCH("Exp",'K3 District Data as of Jan 2025'!$2:$2,0),FALSE))/180)*3+(($C317*CIS_Inc*(VLOOKUP($A317,'K3 District Data as of Jan 2025'!$A$3:$M$323,MATCH("Reg",'K3 District Data as of Jan 2025'!$2:$2,0),FALSE)+VLOOKUP($A317,'K3 District Data as of Jan 2025'!$A$3:$M$323,MATCH("Exp",'K3 District Data as of Jan 2025'!$2:$2,0),FALSE))/180)*3)*CIS_Ben_Inc,2)</f>
        <v>-1422.81</v>
      </c>
      <c r="P317" s="23">
        <f t="shared" si="35"/>
        <v>-112811.54000000001</v>
      </c>
    </row>
    <row r="318" spans="1:16" x14ac:dyDescent="0.25">
      <c r="A318" t="s">
        <v>178</v>
      </c>
      <c r="B318" t="s">
        <v>474</v>
      </c>
      <c r="C318" s="33">
        <f>IF(VLOOKUP($A318,'Enroll Data as of January 2025'!$A$3:$T$322,20,FALSE)&gt;0,0,VLOOKUP($A318,'Enroll Data as of January 2025'!$A$3:$T$322,20,FALSE)*'2024-25 PSES Compliance'!$G$13)</f>
        <v>0</v>
      </c>
      <c r="D318" s="33">
        <f>IF(VLOOKUP($A318,'Enroll Data as of January 2025'!$A$3:$T$322,20,FALSE)&gt;0,0,VLOOKUP($A318,'Enroll Data as of January 2025'!$A$3:$T$322,20,FALSE)*'2024-25 PSES Compliance'!$G$14)</f>
        <v>0</v>
      </c>
      <c r="E318" s="25">
        <f>ROUND($C318*CIS_Base*VLOOKUP($A318,'K3 District Data as of Jan 2025'!$A$3:$M$323,MATCH("Reg base",'K3 District Data as of Jan 2025'!$2:$2,0),FALSE),2)</f>
        <v>0</v>
      </c>
      <c r="F318" s="25">
        <f>ROUND($C318*CIS_Inc*(VLOOKUP($A318,'K3 District Data as of Jan 2025'!$A$3:$M$323,MATCH("Reg",'K3 District Data as of Jan 2025'!$2:$2,0),FALSE)+VLOOKUP($A318,'K3 District Data as of Jan 2025'!$A$3:$M$323,MATCH("Exp",'K3 District Data as of Jan 2025'!$2:$2,0),FALSE)),2)-E318</f>
        <v>0</v>
      </c>
      <c r="G318" s="25">
        <f>ROUND($D318*CLS_Base*VLOOKUP($A318,'K3 District Data as of Jan 2025'!$A$3:$M$323,MATCH("Reg base",'K3 District Data as of Jan 2025'!$2:$2,0),FALSE),2)</f>
        <v>0</v>
      </c>
      <c r="H318" s="25">
        <f>ROUND($D318*CLS_Inc*VLOOKUP($A318,'K3 District Data as of Jan 2025'!$A$3:$M$323,MATCH("Reg base",'K3 District Data as of Jan 2025'!$2:$2,0),FALSE),2)-G318</f>
        <v>0</v>
      </c>
      <c r="I318" s="25">
        <f t="shared" si="29"/>
        <v>0</v>
      </c>
      <c r="J318" s="25">
        <f t="shared" si="30"/>
        <v>0</v>
      </c>
      <c r="K318" s="25">
        <f t="shared" si="31"/>
        <v>0</v>
      </c>
      <c r="L318" s="25">
        <f t="shared" si="32"/>
        <v>0</v>
      </c>
      <c r="M318" s="25">
        <f t="shared" si="33"/>
        <v>0</v>
      </c>
      <c r="N318" s="25">
        <f t="shared" si="34"/>
        <v>0</v>
      </c>
      <c r="O318" s="25">
        <f>ROUND(($C318*CIS_Inc*(VLOOKUP($A318,'K3 District Data as of Jan 2025'!$A$3:$M$323,MATCH("Reg",'K3 District Data as of Jan 2025'!$2:$2,0),FALSE)+VLOOKUP($A318,'K3 District Data as of Jan 2025'!$A$3:$M$323,MATCH("Exp",'K3 District Data as of Jan 2025'!$2:$2,0),FALSE))/180)*3+(($C318*CIS_Inc*(VLOOKUP($A318,'K3 District Data as of Jan 2025'!$A$3:$M$323,MATCH("Reg",'K3 District Data as of Jan 2025'!$2:$2,0),FALSE)+VLOOKUP($A318,'K3 District Data as of Jan 2025'!$A$3:$M$323,MATCH("Exp",'K3 District Data as of Jan 2025'!$2:$2,0),FALSE))/180)*3)*CIS_Ben_Inc,2)</f>
        <v>0</v>
      </c>
      <c r="P318" s="23">
        <f t="shared" si="35"/>
        <v>0</v>
      </c>
    </row>
    <row r="319" spans="1:16" x14ac:dyDescent="0.25">
      <c r="A319" t="s">
        <v>73</v>
      </c>
      <c r="B319" t="s">
        <v>369</v>
      </c>
      <c r="C319" s="33">
        <f>IF(VLOOKUP($A319,'Enroll Data as of January 2025'!$A$3:$T$322,20,FALSE)&gt;0,0,VLOOKUP($A319,'Enroll Data as of January 2025'!$A$3:$T$322,20,FALSE)*'2024-25 PSES Compliance'!$G$13)</f>
        <v>-4.3199999999999995E-2</v>
      </c>
      <c r="D319" s="33">
        <f>IF(VLOOKUP($A319,'Enroll Data as of January 2025'!$A$3:$T$322,20,FALSE)&gt;0,0,VLOOKUP($A319,'Enroll Data as of January 2025'!$A$3:$T$322,20,FALSE)*'2024-25 PSES Compliance'!$G$14)</f>
        <v>-1.8E-3</v>
      </c>
      <c r="E319" s="25">
        <f>ROUND($C319*CIS_Base*VLOOKUP($A319,'K3 District Data as of Jan 2025'!$A$3:$M$323,MATCH("Reg base",'K3 District Data as of Jan 2025'!$2:$2,0),FALSE),2)</f>
        <v>-3141.85</v>
      </c>
      <c r="F319" s="25">
        <f>ROUND($C319*CIS_Inc*(VLOOKUP($A319,'K3 District Data as of Jan 2025'!$A$3:$M$323,MATCH("Reg",'K3 District Data as of Jan 2025'!$2:$2,0),FALSE)+VLOOKUP($A319,'K3 District Data as of Jan 2025'!$A$3:$M$323,MATCH("Exp",'K3 District Data as of Jan 2025'!$2:$2,0),FALSE)),2)-E319</f>
        <v>-270.57000000000016</v>
      </c>
      <c r="G319" s="25">
        <f>ROUND($D319*CLS_Base*VLOOKUP($A319,'K3 District Data as of Jan 2025'!$A$3:$M$323,MATCH("Reg base",'K3 District Data as of Jan 2025'!$2:$2,0),FALSE),2)</f>
        <v>-93.91</v>
      </c>
      <c r="H319" s="25">
        <f>ROUND($D319*CLS_Inc*VLOOKUP($A319,'K3 District Data as of Jan 2025'!$A$3:$M$323,MATCH("Reg base",'K3 District Data as of Jan 2025'!$2:$2,0),FALSE),2)-G319</f>
        <v>-7.0799999999999983</v>
      </c>
      <c r="I319" s="25">
        <f t="shared" si="29"/>
        <v>-622.89</v>
      </c>
      <c r="J319" s="25">
        <f t="shared" si="30"/>
        <v>-36.39</v>
      </c>
      <c r="K319" s="25">
        <f t="shared" si="31"/>
        <v>-570.25</v>
      </c>
      <c r="L319" s="25">
        <f t="shared" si="32"/>
        <v>-550.14</v>
      </c>
      <c r="M319" s="25">
        <f t="shared" si="33"/>
        <v>-20.34</v>
      </c>
      <c r="N319" s="25">
        <f t="shared" si="34"/>
        <v>-1.29</v>
      </c>
      <c r="O319" s="25">
        <f>ROUND(($C319*CIS_Inc*(VLOOKUP($A319,'K3 District Data as of Jan 2025'!$A$3:$M$323,MATCH("Reg",'K3 District Data as of Jan 2025'!$2:$2,0),FALSE)+VLOOKUP($A319,'K3 District Data as of Jan 2025'!$A$3:$M$323,MATCH("Exp",'K3 District Data as of Jan 2025'!$2:$2,0),FALSE))/180)*3+(($C319*CIS_Inc*(VLOOKUP($A319,'K3 District Data as of Jan 2025'!$A$3:$M$323,MATCH("Reg",'K3 District Data as of Jan 2025'!$2:$2,0),FALSE)+VLOOKUP($A319,'K3 District Data as of Jan 2025'!$A$3:$M$323,MATCH("Exp",'K3 District Data as of Jan 2025'!$2:$2,0),FALSE))/180)*3)*CIS_Ben_Inc,2)</f>
        <v>-66.83</v>
      </c>
      <c r="P319" s="23">
        <f t="shared" si="35"/>
        <v>-5381.5400000000009</v>
      </c>
    </row>
    <row r="320" spans="1:16" x14ac:dyDescent="0.25">
      <c r="A320" t="s">
        <v>128</v>
      </c>
      <c r="B320" t="s">
        <v>424</v>
      </c>
      <c r="C320" s="33">
        <f>IF(VLOOKUP($A320,'Enroll Data as of January 2025'!$A$3:$T$322,20,FALSE)&gt;0,0,VLOOKUP($A320,'Enroll Data as of January 2025'!$A$3:$T$322,20,FALSE)*'2024-25 PSES Compliance'!$G$13)</f>
        <v>0</v>
      </c>
      <c r="D320" s="33">
        <f>IF(VLOOKUP($A320,'Enroll Data as of January 2025'!$A$3:$T$322,20,FALSE)&gt;0,0,VLOOKUP($A320,'Enroll Data as of January 2025'!$A$3:$T$322,20,FALSE)*'2024-25 PSES Compliance'!$G$14)</f>
        <v>0</v>
      </c>
      <c r="E320" s="25">
        <f>ROUND($C320*CIS_Base*VLOOKUP($A320,'K3 District Data as of Jan 2025'!$A$3:$M$323,MATCH("Reg base",'K3 District Data as of Jan 2025'!$2:$2,0),FALSE),2)</f>
        <v>0</v>
      </c>
      <c r="F320" s="25">
        <f>ROUND($C320*CIS_Inc*(VLOOKUP($A320,'K3 District Data as of Jan 2025'!$A$3:$M$323,MATCH("Reg",'K3 District Data as of Jan 2025'!$2:$2,0),FALSE)+VLOOKUP($A320,'K3 District Data as of Jan 2025'!$A$3:$M$323,MATCH("Exp",'K3 District Data as of Jan 2025'!$2:$2,0),FALSE)),2)-E320</f>
        <v>0</v>
      </c>
      <c r="G320" s="25">
        <f>ROUND($D320*CLS_Base*VLOOKUP($A320,'K3 District Data as of Jan 2025'!$A$3:$M$323,MATCH("Reg base",'K3 District Data as of Jan 2025'!$2:$2,0),FALSE),2)</f>
        <v>0</v>
      </c>
      <c r="H320" s="25">
        <f>ROUND($D320*CLS_Inc*VLOOKUP($A320,'K3 District Data as of Jan 2025'!$A$3:$M$323,MATCH("Reg base",'K3 District Data as of Jan 2025'!$2:$2,0),FALSE),2)-G320</f>
        <v>0</v>
      </c>
      <c r="I320" s="25">
        <f t="shared" si="29"/>
        <v>0</v>
      </c>
      <c r="J320" s="25">
        <f t="shared" si="30"/>
        <v>0</v>
      </c>
      <c r="K320" s="25">
        <f t="shared" si="31"/>
        <v>0</v>
      </c>
      <c r="L320" s="25">
        <f t="shared" si="32"/>
        <v>0</v>
      </c>
      <c r="M320" s="25">
        <f t="shared" si="33"/>
        <v>0</v>
      </c>
      <c r="N320" s="25">
        <f t="shared" si="34"/>
        <v>0</v>
      </c>
      <c r="O320" s="25">
        <f>ROUND(($C320*CIS_Inc*(VLOOKUP($A320,'K3 District Data as of Jan 2025'!$A$3:$M$323,MATCH("Reg",'K3 District Data as of Jan 2025'!$2:$2,0),FALSE)+VLOOKUP($A320,'K3 District Data as of Jan 2025'!$A$3:$M$323,MATCH("Exp",'K3 District Data as of Jan 2025'!$2:$2,0),FALSE))/180)*3+(($C320*CIS_Inc*(VLOOKUP($A320,'K3 District Data as of Jan 2025'!$A$3:$M$323,MATCH("Reg",'K3 District Data as of Jan 2025'!$2:$2,0),FALSE)+VLOOKUP($A320,'K3 District Data as of Jan 2025'!$A$3:$M$323,MATCH("Exp",'K3 District Data as of Jan 2025'!$2:$2,0),FALSE))/180)*3)*CIS_Ben_Inc,2)</f>
        <v>0</v>
      </c>
      <c r="P320" s="23">
        <f t="shared" si="35"/>
        <v>0</v>
      </c>
    </row>
    <row r="321" spans="1:16" x14ac:dyDescent="0.25">
      <c r="A321" t="s">
        <v>633</v>
      </c>
      <c r="B321" t="s">
        <v>635</v>
      </c>
      <c r="C321" s="33">
        <f>IF(VLOOKUP($A321,'Enroll Data as of January 2025'!$A$3:$T$322,20,FALSE)&gt;0,0,VLOOKUP($A321,'Enroll Data as of January 2025'!$A$3:$T$322,20,FALSE)*'2024-25 PSES Compliance'!$G$13)</f>
        <v>0</v>
      </c>
      <c r="D321" s="33">
        <f>IF(VLOOKUP($A321,'Enroll Data as of January 2025'!$A$3:$T$322,20,FALSE)&gt;0,0,VLOOKUP($A321,'Enroll Data as of January 2025'!$A$3:$T$322,20,FALSE)*'2024-25 PSES Compliance'!$G$14)</f>
        <v>0</v>
      </c>
      <c r="E321" s="25">
        <f>ROUND($C321*CIS_Base*VLOOKUP($A321,'K3 District Data as of Jan 2025'!$A$3:$M$323,MATCH("Reg base",'K3 District Data as of Jan 2025'!$2:$2,0),FALSE),2)</f>
        <v>0</v>
      </c>
      <c r="F321" s="25">
        <f>ROUND($C321*CIS_Inc*(VLOOKUP($A321,'K3 District Data as of Jan 2025'!$A$3:$M$323,MATCH("Reg",'K3 District Data as of Jan 2025'!$2:$2,0),FALSE)+VLOOKUP($A321,'K3 District Data as of Jan 2025'!$A$3:$M$323,MATCH("Exp",'K3 District Data as of Jan 2025'!$2:$2,0),FALSE)),2)-E321</f>
        <v>0</v>
      </c>
      <c r="G321" s="25">
        <f>ROUND($D321*CLS_Base*VLOOKUP($A321,'K3 District Data as of Jan 2025'!$A$3:$M$323,MATCH("Reg base",'K3 District Data as of Jan 2025'!$2:$2,0),FALSE),2)</f>
        <v>0</v>
      </c>
      <c r="H321" s="25">
        <f>ROUND($D321*CLS_Inc*VLOOKUP($A321,'K3 District Data as of Jan 2025'!$A$3:$M$323,MATCH("Reg base",'K3 District Data as of Jan 2025'!$2:$2,0),FALSE),2)-G321</f>
        <v>0</v>
      </c>
      <c r="I321" s="25">
        <f t="shared" si="29"/>
        <v>0</v>
      </c>
      <c r="J321" s="25">
        <f t="shared" si="30"/>
        <v>0</v>
      </c>
      <c r="K321" s="25">
        <f t="shared" si="31"/>
        <v>0</v>
      </c>
      <c r="L321" s="25">
        <f t="shared" si="32"/>
        <v>0</v>
      </c>
      <c r="M321" s="25">
        <f t="shared" si="33"/>
        <v>0</v>
      </c>
      <c r="N321" s="25">
        <f t="shared" si="34"/>
        <v>0</v>
      </c>
      <c r="O321" s="25">
        <f>ROUND(($C321*CIS_Inc*(VLOOKUP($A321,'K3 District Data as of Jan 2025'!$A$3:$M$323,MATCH("Reg",'K3 District Data as of Jan 2025'!$2:$2,0),FALSE)+VLOOKUP($A321,'K3 District Data as of Jan 2025'!$A$3:$M$323,MATCH("Exp",'K3 District Data as of Jan 2025'!$2:$2,0),FALSE))/180)*3+(($C321*CIS_Inc*(VLOOKUP($A321,'K3 District Data as of Jan 2025'!$A$3:$M$323,MATCH("Reg",'K3 District Data as of Jan 2025'!$2:$2,0),FALSE)+VLOOKUP($A321,'K3 District Data as of Jan 2025'!$A$3:$M$323,MATCH("Exp",'K3 District Data as of Jan 2025'!$2:$2,0),FALSE))/180)*3)*CIS_Ben_Inc,2)</f>
        <v>0</v>
      </c>
      <c r="P321" s="23">
        <f t="shared" si="35"/>
        <v>0</v>
      </c>
    </row>
    <row r="322" spans="1:16" x14ac:dyDescent="0.25">
      <c r="A322" t="s">
        <v>291</v>
      </c>
      <c r="B322" t="s">
        <v>587</v>
      </c>
      <c r="C322" s="33">
        <f>IF(VLOOKUP($A322,'Enroll Data as of January 2025'!$A$3:$T$322,20,FALSE)&gt;0,0,VLOOKUP($A322,'Enroll Data as of January 2025'!$A$3:$T$322,20,FALSE)*'2024-25 PSES Compliance'!$G$13)</f>
        <v>0</v>
      </c>
      <c r="D322" s="33">
        <f>IF(VLOOKUP($A322,'Enroll Data as of January 2025'!$A$3:$T$322,20,FALSE)&gt;0,0,VLOOKUP($A322,'Enroll Data as of January 2025'!$A$3:$T$322,20,FALSE)*'2024-25 PSES Compliance'!$G$14)</f>
        <v>0</v>
      </c>
      <c r="E322" s="25">
        <f>ROUND($C322*CIS_Base*VLOOKUP($A322,'K3 District Data as of Jan 2025'!$A$3:$M$323,MATCH("Reg base",'K3 District Data as of Jan 2025'!$2:$2,0),FALSE),2)</f>
        <v>0</v>
      </c>
      <c r="F322" s="25">
        <f>ROUND($C322*CIS_Inc*(VLOOKUP($A322,'K3 District Data as of Jan 2025'!$A$3:$M$323,MATCH("Reg",'K3 District Data as of Jan 2025'!$2:$2,0),FALSE)+VLOOKUP($A322,'K3 District Data as of Jan 2025'!$A$3:$M$323,MATCH("Exp",'K3 District Data as of Jan 2025'!$2:$2,0),FALSE)),2)-E322</f>
        <v>0</v>
      </c>
      <c r="G322" s="25">
        <f>ROUND($D322*CLS_Base*VLOOKUP($A322,'K3 District Data as of Jan 2025'!$A$3:$M$323,MATCH("Reg base",'K3 District Data as of Jan 2025'!$2:$2,0),FALSE),2)</f>
        <v>0</v>
      </c>
      <c r="H322" s="25">
        <f>ROUND($D322*CLS_Inc*VLOOKUP($A322,'K3 District Data as of Jan 2025'!$A$3:$M$323,MATCH("Reg base",'K3 District Data as of Jan 2025'!$2:$2,0),FALSE),2)-G322</f>
        <v>0</v>
      </c>
      <c r="I322" s="25">
        <f t="shared" si="29"/>
        <v>0</v>
      </c>
      <c r="J322" s="25">
        <f t="shared" si="30"/>
        <v>0</v>
      </c>
      <c r="K322" s="25">
        <f t="shared" si="31"/>
        <v>0</v>
      </c>
      <c r="L322" s="25">
        <f t="shared" si="32"/>
        <v>0</v>
      </c>
      <c r="M322" s="25">
        <f t="shared" si="33"/>
        <v>0</v>
      </c>
      <c r="N322" s="25">
        <f t="shared" si="34"/>
        <v>0</v>
      </c>
      <c r="O322" s="25">
        <f>ROUND(($C322*CIS_Inc*(VLOOKUP($A322,'K3 District Data as of Jan 2025'!$A$3:$M$323,MATCH("Reg",'K3 District Data as of Jan 2025'!$2:$2,0),FALSE)+VLOOKUP($A322,'K3 District Data as of Jan 2025'!$A$3:$M$323,MATCH("Exp",'K3 District Data as of Jan 2025'!$2:$2,0),FALSE))/180)*3+(($C322*CIS_Inc*(VLOOKUP($A322,'K3 District Data as of Jan 2025'!$A$3:$M$323,MATCH("Reg",'K3 District Data as of Jan 2025'!$2:$2,0),FALSE)+VLOOKUP($A322,'K3 District Data as of Jan 2025'!$A$3:$M$323,MATCH("Exp",'K3 District Data as of Jan 2025'!$2:$2,0),FALSE))/180)*3)*CIS_Ben_Inc,2)</f>
        <v>0</v>
      </c>
      <c r="P322" s="23">
        <f t="shared" si="35"/>
        <v>0</v>
      </c>
    </row>
    <row r="323" spans="1:16" x14ac:dyDescent="0.25">
      <c r="A323" t="s">
        <v>252</v>
      </c>
      <c r="B323" t="s">
        <v>548</v>
      </c>
      <c r="C323" s="33">
        <f>IF(VLOOKUP($A323,'Enroll Data as of January 2025'!$A$3:$T$322,20,FALSE)&gt;0,0,VLOOKUP($A323,'Enroll Data as of January 2025'!$A$3:$T$322,20,FALSE)*'2024-25 PSES Compliance'!$G$13)</f>
        <v>0</v>
      </c>
      <c r="D323" s="33">
        <f>IF(VLOOKUP($A323,'Enroll Data as of January 2025'!$A$3:$T$322,20,FALSE)&gt;0,0,VLOOKUP($A323,'Enroll Data as of January 2025'!$A$3:$T$322,20,FALSE)*'2024-25 PSES Compliance'!$G$14)</f>
        <v>0</v>
      </c>
      <c r="E323" s="25">
        <f>ROUND($C323*CIS_Base*VLOOKUP($A323,'K3 District Data as of Jan 2025'!$A$3:$M$323,MATCH("Reg base",'K3 District Data as of Jan 2025'!$2:$2,0),FALSE),2)</f>
        <v>0</v>
      </c>
      <c r="F323" s="25">
        <f>ROUND($C323*CIS_Inc*(VLOOKUP($A323,'K3 District Data as of Jan 2025'!$A$3:$M$323,MATCH("Reg",'K3 District Data as of Jan 2025'!$2:$2,0),FALSE)+VLOOKUP($A323,'K3 District Data as of Jan 2025'!$A$3:$M$323,MATCH("Exp",'K3 District Data as of Jan 2025'!$2:$2,0),FALSE)),2)-E323</f>
        <v>0</v>
      </c>
      <c r="G323" s="25">
        <f>ROUND($D323*CLS_Base*VLOOKUP($A323,'K3 District Data as of Jan 2025'!$A$3:$M$323,MATCH("Reg base",'K3 District Data as of Jan 2025'!$2:$2,0),FALSE),2)</f>
        <v>0</v>
      </c>
      <c r="H323" s="25">
        <f>ROUND($D323*CLS_Inc*VLOOKUP($A323,'K3 District Data as of Jan 2025'!$A$3:$M$323,MATCH("Reg base",'K3 District Data as of Jan 2025'!$2:$2,0),FALSE),2)-G323</f>
        <v>0</v>
      </c>
      <c r="I323" s="25">
        <f t="shared" si="29"/>
        <v>0</v>
      </c>
      <c r="J323" s="25">
        <f t="shared" si="30"/>
        <v>0</v>
      </c>
      <c r="K323" s="25">
        <f t="shared" si="31"/>
        <v>0</v>
      </c>
      <c r="L323" s="25">
        <f t="shared" si="32"/>
        <v>0</v>
      </c>
      <c r="M323" s="25">
        <f t="shared" si="33"/>
        <v>0</v>
      </c>
      <c r="N323" s="25">
        <f t="shared" si="34"/>
        <v>0</v>
      </c>
      <c r="O323" s="25">
        <f>ROUND(($C323*CIS_Inc*(VLOOKUP($A323,'K3 District Data as of Jan 2025'!$A$3:$M$323,MATCH("Reg",'K3 District Data as of Jan 2025'!$2:$2,0),FALSE)+VLOOKUP($A323,'K3 District Data as of Jan 2025'!$A$3:$M$323,MATCH("Exp",'K3 District Data as of Jan 2025'!$2:$2,0),FALSE))/180)*3+(($C323*CIS_Inc*(VLOOKUP($A323,'K3 District Data as of Jan 2025'!$A$3:$M$323,MATCH("Reg",'K3 District Data as of Jan 2025'!$2:$2,0),FALSE)+VLOOKUP($A323,'K3 District Data as of Jan 2025'!$A$3:$M$323,MATCH("Exp",'K3 District Data as of Jan 2025'!$2:$2,0),FALSE))/180)*3)*CIS_Ben_Inc,2)</f>
        <v>0</v>
      </c>
      <c r="P323" s="23">
        <f t="shared" ref="P323" si="36">SUM(E323:O323)</f>
        <v>0</v>
      </c>
    </row>
  </sheetData>
  <autoFilter ref="A2:P2" xr:uid="{1FE55106-A4C7-4357-8850-290BBE78F255}">
    <sortState xmlns:xlrd2="http://schemas.microsoft.com/office/spreadsheetml/2017/richdata2" ref="A3:P323">
      <sortCondition ref="P2"/>
    </sortState>
  </autoFilter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7"/>
  <dimension ref="A1:M324"/>
  <sheetViews>
    <sheetView workbookViewId="0">
      <pane ySplit="2" topLeftCell="A3" activePane="bottomLeft" state="frozen"/>
      <selection activeCell="J3" sqref="J3"/>
      <selection pane="bottomLeft" activeCell="M1" sqref="M1:M1048576"/>
    </sheetView>
  </sheetViews>
  <sheetFormatPr defaultRowHeight="15" x14ac:dyDescent="0.25"/>
  <cols>
    <col min="2" max="2" width="23.5703125" customWidth="1"/>
  </cols>
  <sheetData>
    <row r="1" spans="1:13" x14ac:dyDescent="0.25">
      <c r="A1" s="193">
        <v>1</v>
      </c>
      <c r="B1" s="193">
        <f>+A1+1</f>
        <v>2</v>
      </c>
      <c r="C1" s="193">
        <f>+B1+1</f>
        <v>3</v>
      </c>
      <c r="D1" s="193">
        <f t="shared" ref="D1:E1" si="0">C1+1</f>
        <v>4</v>
      </c>
      <c r="E1" s="193">
        <f t="shared" si="0"/>
        <v>5</v>
      </c>
      <c r="F1" s="193">
        <f t="shared" ref="F1" si="1">E1+1</f>
        <v>6</v>
      </c>
      <c r="G1" s="193">
        <f t="shared" ref="G1:M1" si="2">F1+1</f>
        <v>7</v>
      </c>
      <c r="H1" s="193">
        <f t="shared" si="2"/>
        <v>8</v>
      </c>
      <c r="I1" s="193">
        <f t="shared" si="2"/>
        <v>9</v>
      </c>
      <c r="J1" s="193">
        <f t="shared" si="2"/>
        <v>10</v>
      </c>
      <c r="K1" s="193">
        <f t="shared" si="2"/>
        <v>11</v>
      </c>
      <c r="L1" s="193">
        <f t="shared" si="2"/>
        <v>12</v>
      </c>
      <c r="M1" s="193">
        <f t="shared" si="2"/>
        <v>13</v>
      </c>
    </row>
    <row r="2" spans="1:13" x14ac:dyDescent="0.25">
      <c r="A2" t="s">
        <v>600</v>
      </c>
      <c r="B2" t="s">
        <v>601</v>
      </c>
      <c r="C2" t="s">
        <v>600</v>
      </c>
      <c r="D2" s="6">
        <v>31.21</v>
      </c>
      <c r="E2" t="s">
        <v>604</v>
      </c>
      <c r="F2" t="s">
        <v>605</v>
      </c>
      <c r="G2" t="s">
        <v>630</v>
      </c>
      <c r="H2" t="s">
        <v>647</v>
      </c>
      <c r="I2" t="s">
        <v>651</v>
      </c>
      <c r="J2" t="s">
        <v>665</v>
      </c>
      <c r="K2" t="s">
        <v>675</v>
      </c>
      <c r="L2" t="s">
        <v>1105</v>
      </c>
      <c r="M2" t="s">
        <v>1623</v>
      </c>
    </row>
    <row r="3" spans="1:13" x14ac:dyDescent="0.25">
      <c r="A3" t="s">
        <v>75</v>
      </c>
      <c r="B3" t="s">
        <v>371</v>
      </c>
      <c r="C3" t="str">
        <f>A3</f>
        <v>14005</v>
      </c>
      <c r="D3" s="7">
        <v>0.24590000000000001</v>
      </c>
      <c r="E3" s="7">
        <v>0.25760000000000005</v>
      </c>
      <c r="F3" s="7">
        <v>0.24429999999999996</v>
      </c>
      <c r="G3" s="7">
        <v>0.247</v>
      </c>
      <c r="H3" s="7">
        <v>0.26559999999999995</v>
      </c>
      <c r="I3" s="7">
        <v>0.26619999999999999</v>
      </c>
      <c r="J3" s="7">
        <v>0.26239999999999997</v>
      </c>
      <c r="K3" s="7">
        <v>0.25600000000000001</v>
      </c>
      <c r="L3" s="7">
        <v>0.26800000000000002</v>
      </c>
      <c r="M3" s="7">
        <v>0.26870000000000005</v>
      </c>
    </row>
    <row r="4" spans="1:13" x14ac:dyDescent="0.25">
      <c r="A4" t="s">
        <v>142</v>
      </c>
      <c r="B4" t="s">
        <v>438</v>
      </c>
      <c r="C4" t="str">
        <f t="shared" ref="C4:C67" si="3">A4</f>
        <v>21226</v>
      </c>
      <c r="D4" s="7">
        <v>0.2238</v>
      </c>
      <c r="E4" s="7">
        <v>0.21640000000000004</v>
      </c>
      <c r="F4" s="7">
        <v>0.21730000000000005</v>
      </c>
      <c r="G4" s="7">
        <v>0.20750000000000002</v>
      </c>
      <c r="H4" s="7">
        <v>0.25490000000000002</v>
      </c>
      <c r="I4" s="7">
        <v>0.22640000000000005</v>
      </c>
      <c r="J4" s="7">
        <v>0.21130000000000004</v>
      </c>
      <c r="K4" s="7">
        <v>0.21619999999999995</v>
      </c>
      <c r="L4" s="7">
        <v>0.21550000000000002</v>
      </c>
      <c r="M4" s="7">
        <v>0.20389999999999997</v>
      </c>
    </row>
    <row r="5" spans="1:13" x14ac:dyDescent="0.25">
      <c r="A5" t="s">
        <v>153</v>
      </c>
      <c r="B5" t="s">
        <v>449</v>
      </c>
      <c r="C5" t="str">
        <f t="shared" si="3"/>
        <v>22017</v>
      </c>
      <c r="D5" s="7">
        <v>0.18000000000000005</v>
      </c>
      <c r="E5" s="7">
        <v>0.14449999999999996</v>
      </c>
      <c r="F5" s="7">
        <v>0.15329999999999999</v>
      </c>
      <c r="G5" s="7">
        <v>0.16710000000000003</v>
      </c>
      <c r="H5" s="7">
        <v>0.23729999999999996</v>
      </c>
      <c r="I5" s="7">
        <v>0.19550000000000001</v>
      </c>
      <c r="J5" s="7">
        <v>0.12360000000000004</v>
      </c>
      <c r="K5" s="7">
        <v>0.14810000000000001</v>
      </c>
      <c r="L5" s="7">
        <v>0.16000000000000003</v>
      </c>
      <c r="M5" s="7">
        <v>0.16059999999999997</v>
      </c>
    </row>
    <row r="6" spans="1:13" x14ac:dyDescent="0.25">
      <c r="A6" t="s">
        <v>205</v>
      </c>
      <c r="B6" t="s">
        <v>500</v>
      </c>
      <c r="C6" t="str">
        <f t="shared" si="3"/>
        <v>29103</v>
      </c>
      <c r="D6" s="7">
        <v>0.27290000000000003</v>
      </c>
      <c r="E6" s="7">
        <v>0.25009999999999999</v>
      </c>
      <c r="F6" s="7">
        <v>0.27810000000000001</v>
      </c>
      <c r="G6" s="7">
        <v>0.27390000000000003</v>
      </c>
      <c r="H6" s="7">
        <v>0.2772</v>
      </c>
      <c r="I6" s="7">
        <v>0.26880000000000004</v>
      </c>
      <c r="J6" s="7">
        <v>0.26500000000000001</v>
      </c>
      <c r="K6" s="7">
        <v>0.23250000000000004</v>
      </c>
      <c r="L6" s="7">
        <v>0.24119999999999997</v>
      </c>
      <c r="M6" s="7">
        <v>0.20030000000000003</v>
      </c>
    </row>
    <row r="7" spans="1:13" x14ac:dyDescent="0.25">
      <c r="A7" t="s">
        <v>217</v>
      </c>
      <c r="B7" t="s">
        <v>512</v>
      </c>
      <c r="C7" t="str">
        <f t="shared" si="3"/>
        <v>31016</v>
      </c>
      <c r="D7" s="7">
        <v>0.37760000000000005</v>
      </c>
      <c r="E7" s="7">
        <v>0.36109999999999998</v>
      </c>
      <c r="F7" s="7">
        <v>0.35119999999999996</v>
      </c>
      <c r="G7" s="7">
        <v>0.35599999999999998</v>
      </c>
      <c r="H7" s="7">
        <v>0.3468</v>
      </c>
      <c r="I7" s="7">
        <v>0.30049999999999999</v>
      </c>
      <c r="J7" s="7">
        <v>0.2792</v>
      </c>
      <c r="K7" s="7">
        <v>0.24839999999999995</v>
      </c>
      <c r="L7" s="7">
        <v>0.24150000000000005</v>
      </c>
      <c r="M7" s="7">
        <v>0.23260000000000003</v>
      </c>
    </row>
    <row r="8" spans="1:13" x14ac:dyDescent="0.25">
      <c r="A8" t="s">
        <v>13</v>
      </c>
      <c r="B8" t="s">
        <v>310</v>
      </c>
      <c r="C8" t="str">
        <f t="shared" si="3"/>
        <v>02420</v>
      </c>
      <c r="D8" s="7">
        <v>0.2278</v>
      </c>
      <c r="E8" s="7">
        <v>0.2288</v>
      </c>
      <c r="F8" s="7">
        <v>0.23180000000000001</v>
      </c>
      <c r="G8" s="7">
        <v>0.21809999999999996</v>
      </c>
      <c r="H8" s="7">
        <v>0.2137</v>
      </c>
      <c r="I8" s="7">
        <v>0.22189999999999999</v>
      </c>
      <c r="J8" s="7">
        <v>0.23880000000000001</v>
      </c>
      <c r="K8" s="7">
        <v>0.24199999999999999</v>
      </c>
      <c r="L8" s="7">
        <v>0.24580000000000002</v>
      </c>
      <c r="M8" s="7">
        <v>0.21660000000000001</v>
      </c>
    </row>
    <row r="9" spans="1:13" x14ac:dyDescent="0.25">
      <c r="A9" t="s">
        <v>107</v>
      </c>
      <c r="B9" t="s">
        <v>403</v>
      </c>
      <c r="C9" t="str">
        <f t="shared" si="3"/>
        <v>17408</v>
      </c>
      <c r="D9" s="7">
        <v>0.30889999999999995</v>
      </c>
      <c r="E9" s="7">
        <v>0.31010000000000004</v>
      </c>
      <c r="F9" s="7">
        <v>0.31979999999999997</v>
      </c>
      <c r="G9" s="7">
        <v>0.31369999999999998</v>
      </c>
      <c r="H9" s="7">
        <v>0.30710000000000004</v>
      </c>
      <c r="I9" s="7">
        <v>0.30379999999999996</v>
      </c>
      <c r="J9" s="7">
        <v>0.28849999999999998</v>
      </c>
      <c r="K9" s="7">
        <v>0.28369999999999995</v>
      </c>
      <c r="L9" s="7">
        <v>0.26600000000000001</v>
      </c>
      <c r="M9" s="7">
        <v>0.24790000000000001</v>
      </c>
    </row>
    <row r="10" spans="1:13" x14ac:dyDescent="0.25">
      <c r="A10" t="s">
        <v>117</v>
      </c>
      <c r="B10" t="s">
        <v>413</v>
      </c>
      <c r="C10" t="str">
        <f t="shared" si="3"/>
        <v>18303</v>
      </c>
      <c r="D10" s="7">
        <v>0.2238</v>
      </c>
      <c r="E10" s="7">
        <v>0.21719999999999995</v>
      </c>
      <c r="F10" s="7">
        <v>0.22160000000000002</v>
      </c>
      <c r="G10" s="7">
        <v>0.21009999999999995</v>
      </c>
      <c r="H10" s="7">
        <v>0.20889999999999997</v>
      </c>
      <c r="I10" s="7">
        <v>0.20450000000000002</v>
      </c>
      <c r="J10" s="7">
        <v>0.22009999999999996</v>
      </c>
      <c r="K10" s="7">
        <v>0.21299999999999997</v>
      </c>
      <c r="L10" s="7">
        <v>0.20450000000000002</v>
      </c>
      <c r="M10" s="7">
        <v>0.20350000000000001</v>
      </c>
    </row>
    <row r="11" spans="1:13" x14ac:dyDescent="0.25">
      <c r="A11" t="s">
        <v>39</v>
      </c>
      <c r="B11" t="s">
        <v>335</v>
      </c>
      <c r="C11" t="str">
        <f t="shared" si="3"/>
        <v>06119</v>
      </c>
      <c r="D11" s="7">
        <v>0.2409</v>
      </c>
      <c r="E11" s="7">
        <v>0.24660000000000004</v>
      </c>
      <c r="F11" s="7">
        <v>0.24570000000000003</v>
      </c>
      <c r="G11" s="7">
        <v>0.24129999999999996</v>
      </c>
      <c r="H11" s="7">
        <v>0.24370000000000003</v>
      </c>
      <c r="I11" s="7">
        <v>0.24370000000000003</v>
      </c>
      <c r="J11" s="7">
        <v>0.22309999999999997</v>
      </c>
      <c r="K11" s="7">
        <v>0.22409999999999997</v>
      </c>
      <c r="L11" s="7">
        <v>0.22719999999999996</v>
      </c>
      <c r="M11" s="7">
        <v>0.22189999999999999</v>
      </c>
    </row>
    <row r="12" spans="1:13" x14ac:dyDescent="0.25">
      <c r="A12" t="s">
        <v>104</v>
      </c>
      <c r="B12" t="s">
        <v>400</v>
      </c>
      <c r="C12" t="str">
        <f t="shared" si="3"/>
        <v>17405</v>
      </c>
      <c r="D12" s="7">
        <v>0.32740000000000002</v>
      </c>
      <c r="E12" s="7">
        <v>0.30789999999999995</v>
      </c>
      <c r="F12" s="7">
        <v>0.29910000000000003</v>
      </c>
      <c r="G12" s="7">
        <v>0.2772</v>
      </c>
      <c r="H12" s="7">
        <v>0.25949999999999995</v>
      </c>
      <c r="I12" s="7">
        <v>0.24890000000000001</v>
      </c>
      <c r="J12" s="7">
        <v>0.24039999999999995</v>
      </c>
      <c r="K12" s="7">
        <v>0.23480000000000001</v>
      </c>
      <c r="L12" s="7">
        <v>0.21579999999999999</v>
      </c>
      <c r="M12" s="7">
        <v>0.21930000000000005</v>
      </c>
    </row>
    <row r="13" spans="1:13" x14ac:dyDescent="0.25">
      <c r="A13" t="s">
        <v>268</v>
      </c>
      <c r="B13" t="s">
        <v>564</v>
      </c>
      <c r="C13" t="str">
        <f t="shared" si="3"/>
        <v>37501</v>
      </c>
      <c r="D13" s="7">
        <v>0.27180000000000004</v>
      </c>
      <c r="E13" s="7">
        <v>0.26700000000000002</v>
      </c>
      <c r="F13" s="7">
        <v>0.26129999999999998</v>
      </c>
      <c r="G13" s="7">
        <v>0.24729999999999996</v>
      </c>
      <c r="H13" s="7">
        <v>0.25380000000000003</v>
      </c>
      <c r="I13" s="7">
        <v>0.25349999999999995</v>
      </c>
      <c r="J13" s="7">
        <v>0.25409999999999999</v>
      </c>
      <c r="K13" s="7">
        <v>0.23160000000000003</v>
      </c>
      <c r="L13" s="7">
        <v>0.20469999999999999</v>
      </c>
      <c r="M13" s="7">
        <v>0.1875</v>
      </c>
    </row>
    <row r="14" spans="1:13" x14ac:dyDescent="0.25">
      <c r="A14" t="s">
        <v>8</v>
      </c>
      <c r="B14" t="s">
        <v>305</v>
      </c>
      <c r="C14" t="str">
        <f t="shared" si="3"/>
        <v>01122</v>
      </c>
      <c r="D14" s="7">
        <v>0.13</v>
      </c>
      <c r="E14" s="7">
        <v>0.10499999999999998</v>
      </c>
      <c r="F14" s="7">
        <v>7.999999999999996E-2</v>
      </c>
      <c r="G14" s="7">
        <v>7.999999999999996E-2</v>
      </c>
      <c r="H14" s="7">
        <v>0.13</v>
      </c>
      <c r="I14" s="7">
        <v>7.999999999999996E-2</v>
      </c>
      <c r="J14" s="7">
        <v>7.999999999999996E-2</v>
      </c>
      <c r="K14" s="7">
        <v>0</v>
      </c>
      <c r="L14" s="7">
        <v>0</v>
      </c>
      <c r="M14" s="7">
        <v>0</v>
      </c>
    </row>
    <row r="15" spans="1:13" x14ac:dyDescent="0.25">
      <c r="A15" t="s">
        <v>194</v>
      </c>
      <c r="B15" t="s">
        <v>489</v>
      </c>
      <c r="C15" t="str">
        <f t="shared" si="3"/>
        <v>27403</v>
      </c>
      <c r="D15" s="7">
        <v>0.35629999999999995</v>
      </c>
      <c r="E15" s="7">
        <v>0.35399999999999998</v>
      </c>
      <c r="F15" s="7">
        <v>0.36040000000000005</v>
      </c>
      <c r="G15" s="7">
        <v>0.3609</v>
      </c>
      <c r="H15" s="7">
        <v>0.36209999999999998</v>
      </c>
      <c r="I15" s="7">
        <v>0.33479999999999999</v>
      </c>
      <c r="J15" s="7">
        <v>0.32830000000000004</v>
      </c>
      <c r="K15" s="7">
        <v>0.31089999999999995</v>
      </c>
      <c r="L15" s="7">
        <v>0.31210000000000004</v>
      </c>
      <c r="M15" s="7">
        <v>0.31689999999999996</v>
      </c>
    </row>
    <row r="16" spans="1:13" x14ac:dyDescent="0.25">
      <c r="A16" t="s">
        <v>129</v>
      </c>
      <c r="B16" t="s">
        <v>425</v>
      </c>
      <c r="C16" t="str">
        <f t="shared" si="3"/>
        <v>20203</v>
      </c>
      <c r="D16" s="7">
        <v>0.19999999999999996</v>
      </c>
      <c r="E16" s="7">
        <v>0.27100000000000002</v>
      </c>
      <c r="F16" s="7">
        <v>0.2611</v>
      </c>
      <c r="G16" s="7">
        <v>0.18179999999999996</v>
      </c>
      <c r="H16" s="7">
        <v>0.15100000000000002</v>
      </c>
      <c r="I16" s="7">
        <v>0.20709999999999995</v>
      </c>
      <c r="J16" s="7">
        <v>0.22499999999999998</v>
      </c>
      <c r="K16" s="7">
        <v>0.20779999999999998</v>
      </c>
      <c r="L16" s="7">
        <v>0.20540000000000003</v>
      </c>
      <c r="M16" s="7">
        <v>0.19130000000000003</v>
      </c>
    </row>
    <row r="17" spans="1:13" x14ac:dyDescent="0.25">
      <c r="A17" t="s">
        <v>270</v>
      </c>
      <c r="B17" t="s">
        <v>566</v>
      </c>
      <c r="C17" t="str">
        <f t="shared" si="3"/>
        <v>37503</v>
      </c>
      <c r="D17" s="7">
        <v>0.23419999999999996</v>
      </c>
      <c r="E17" s="7">
        <v>0.22670000000000001</v>
      </c>
      <c r="F17" s="7">
        <v>0.21850000000000003</v>
      </c>
      <c r="G17" s="7">
        <v>0.20989999999999998</v>
      </c>
      <c r="H17" s="7">
        <v>0.22989999999999999</v>
      </c>
      <c r="I17" s="7">
        <v>0.2218</v>
      </c>
      <c r="J17" s="7">
        <v>0.21130000000000004</v>
      </c>
      <c r="K17" s="7">
        <v>0.17220000000000002</v>
      </c>
      <c r="L17" s="7">
        <v>0.19040000000000001</v>
      </c>
      <c r="M17" s="7">
        <v>0.17769999999999997</v>
      </c>
    </row>
    <row r="18" spans="1:13" x14ac:dyDescent="0.25">
      <c r="A18" t="s">
        <v>144</v>
      </c>
      <c r="B18" t="s">
        <v>440</v>
      </c>
      <c r="C18" t="str">
        <f t="shared" si="3"/>
        <v>21234</v>
      </c>
      <c r="D18" s="7">
        <v>0.22419999999999995</v>
      </c>
      <c r="E18" s="7">
        <v>0.22309999999999997</v>
      </c>
      <c r="F18" s="7">
        <v>0.20860000000000001</v>
      </c>
      <c r="G18" s="7">
        <v>0.26590000000000003</v>
      </c>
      <c r="H18" s="7">
        <v>0.24680000000000002</v>
      </c>
      <c r="I18" s="7">
        <v>0.17949999999999999</v>
      </c>
      <c r="J18" s="7">
        <v>0.26719999999999999</v>
      </c>
      <c r="K18" s="7">
        <v>0.22440000000000004</v>
      </c>
      <c r="L18" s="7">
        <v>0.29000000000000004</v>
      </c>
      <c r="M18" s="7">
        <v>0.20450000000000002</v>
      </c>
    </row>
    <row r="19" spans="1:13" x14ac:dyDescent="0.25">
      <c r="A19" t="s">
        <v>116</v>
      </c>
      <c r="B19" t="s">
        <v>412</v>
      </c>
      <c r="C19" t="str">
        <f t="shared" si="3"/>
        <v>18100</v>
      </c>
      <c r="D19" s="7">
        <v>0.29700000000000004</v>
      </c>
      <c r="E19" s="7">
        <v>0.28690000000000004</v>
      </c>
      <c r="F19" s="7">
        <v>0.28320000000000001</v>
      </c>
      <c r="G19" s="7">
        <v>0.28910000000000002</v>
      </c>
      <c r="H19" s="7">
        <v>0.26870000000000005</v>
      </c>
      <c r="I19" s="7">
        <v>0.27380000000000004</v>
      </c>
      <c r="J19" s="7">
        <v>0.25890000000000002</v>
      </c>
      <c r="K19" s="7">
        <v>0.23829999999999996</v>
      </c>
      <c r="L19" s="7">
        <v>0.26849999999999996</v>
      </c>
      <c r="M19" s="7">
        <v>0.27090000000000003</v>
      </c>
    </row>
    <row r="20" spans="1:13" x14ac:dyDescent="0.25">
      <c r="A20" t="s">
        <v>169</v>
      </c>
      <c r="B20" t="s">
        <v>465</v>
      </c>
      <c r="C20" t="str">
        <f t="shared" si="3"/>
        <v>24111</v>
      </c>
      <c r="D20" s="7">
        <v>0.28290000000000004</v>
      </c>
      <c r="E20" s="7">
        <v>0.23199999999999998</v>
      </c>
      <c r="F20" s="7">
        <v>0.24909999999999999</v>
      </c>
      <c r="G20" s="7">
        <v>0.24319999999999997</v>
      </c>
      <c r="H20" s="7">
        <v>0.25009999999999999</v>
      </c>
      <c r="I20" s="7">
        <v>0.2147</v>
      </c>
      <c r="J20" s="7">
        <v>0.20220000000000005</v>
      </c>
      <c r="K20" s="7">
        <v>0.21899999999999997</v>
      </c>
      <c r="L20" s="7">
        <v>0.21299999999999997</v>
      </c>
      <c r="M20" s="7">
        <v>0.21379999999999999</v>
      </c>
    </row>
    <row r="21" spans="1:13" x14ac:dyDescent="0.25">
      <c r="A21" t="s">
        <v>50</v>
      </c>
      <c r="B21" t="s">
        <v>346</v>
      </c>
      <c r="C21" t="str">
        <f t="shared" si="3"/>
        <v>09075</v>
      </c>
      <c r="D21" s="7">
        <v>0.15959999999999996</v>
      </c>
      <c r="E21" s="7">
        <v>0.16439999999999999</v>
      </c>
      <c r="F21" s="7">
        <v>0.19369999999999998</v>
      </c>
      <c r="G21" s="7">
        <v>0.17230000000000001</v>
      </c>
      <c r="H21" s="7">
        <v>0.19140000000000001</v>
      </c>
      <c r="I21" s="7">
        <v>0.20889999999999997</v>
      </c>
      <c r="J21" s="7">
        <v>0.17720000000000002</v>
      </c>
      <c r="K21" s="7">
        <v>0.17159999999999997</v>
      </c>
      <c r="L21" s="7">
        <v>0.15790000000000004</v>
      </c>
      <c r="M21" s="7">
        <v>0.1552</v>
      </c>
    </row>
    <row r="22" spans="1:13" x14ac:dyDescent="0.25">
      <c r="A22" t="s">
        <v>92</v>
      </c>
      <c r="B22" t="s">
        <v>388</v>
      </c>
      <c r="C22" t="str">
        <f t="shared" si="3"/>
        <v>16046</v>
      </c>
      <c r="D22" s="7">
        <v>0.20079999999999998</v>
      </c>
      <c r="E22" s="7">
        <v>0.11799999999999999</v>
      </c>
      <c r="F22" s="7">
        <v>9.3600000000000017E-2</v>
      </c>
      <c r="G22" s="7">
        <v>0.19089999999999996</v>
      </c>
      <c r="H22" s="7">
        <v>0.12139999999999995</v>
      </c>
      <c r="I22" s="7">
        <v>0.10270000000000001</v>
      </c>
      <c r="J22" s="7">
        <v>9.1099999999999959E-2</v>
      </c>
      <c r="K22" s="7">
        <v>8.8300000000000045E-2</v>
      </c>
      <c r="L22" s="7">
        <v>7.999999999999996E-2</v>
      </c>
      <c r="M22" s="7">
        <v>9.870000000000001E-2</v>
      </c>
    </row>
    <row r="23" spans="1:13" x14ac:dyDescent="0.25">
      <c r="A23" t="s">
        <v>203</v>
      </c>
      <c r="B23" t="s">
        <v>498</v>
      </c>
      <c r="C23" t="str">
        <f t="shared" si="3"/>
        <v>29100</v>
      </c>
      <c r="D23" s="7">
        <v>0.25139999999999996</v>
      </c>
      <c r="E23" s="7">
        <v>0.27210000000000001</v>
      </c>
      <c r="F23" s="7">
        <v>0.25349999999999995</v>
      </c>
      <c r="G23" s="7">
        <v>0.22770000000000001</v>
      </c>
      <c r="H23" s="7">
        <v>0.2399</v>
      </c>
      <c r="I23" s="7">
        <v>0.23880000000000001</v>
      </c>
      <c r="J23" s="7">
        <v>0.23450000000000004</v>
      </c>
      <c r="K23" s="7">
        <v>0.19630000000000003</v>
      </c>
      <c r="L23" s="7">
        <v>0.2127</v>
      </c>
      <c r="M23" s="7">
        <v>0.21199999999999997</v>
      </c>
    </row>
    <row r="24" spans="1:13" x14ac:dyDescent="0.25">
      <c r="A24" t="s">
        <v>38</v>
      </c>
      <c r="B24" t="s">
        <v>334</v>
      </c>
      <c r="C24" t="str">
        <f t="shared" si="3"/>
        <v>06117</v>
      </c>
      <c r="D24" s="7">
        <v>0.27649999999999997</v>
      </c>
      <c r="E24" s="7">
        <v>0.26039999999999996</v>
      </c>
      <c r="F24" s="7">
        <v>0.26300000000000001</v>
      </c>
      <c r="G24" s="7">
        <v>0.25019999999999998</v>
      </c>
      <c r="H24" s="7">
        <v>0.24780000000000002</v>
      </c>
      <c r="I24" s="7">
        <v>0.24239999999999995</v>
      </c>
      <c r="J24" s="7">
        <v>0.22119999999999995</v>
      </c>
      <c r="K24" s="7">
        <v>0.20230000000000004</v>
      </c>
      <c r="L24" s="7">
        <v>0.20279999999999998</v>
      </c>
      <c r="M24" s="7">
        <v>0.20230000000000004</v>
      </c>
    </row>
    <row r="25" spans="1:13" x14ac:dyDescent="0.25">
      <c r="A25" t="s">
        <v>30</v>
      </c>
      <c r="B25" t="s">
        <v>326</v>
      </c>
      <c r="C25" t="str">
        <f t="shared" si="3"/>
        <v>05401</v>
      </c>
      <c r="D25" s="7">
        <v>0.19120000000000004</v>
      </c>
      <c r="E25" s="7">
        <v>0.1976</v>
      </c>
      <c r="F25" s="7">
        <v>0.26229999999999998</v>
      </c>
      <c r="G25" s="7">
        <v>0.26859999999999995</v>
      </c>
      <c r="H25" s="7">
        <v>0.23929999999999996</v>
      </c>
      <c r="I25" s="7">
        <v>0.22809999999999997</v>
      </c>
      <c r="J25" s="7">
        <v>0.21120000000000005</v>
      </c>
      <c r="K25" s="7">
        <v>0.1946</v>
      </c>
      <c r="L25" s="7">
        <v>0.21240000000000003</v>
      </c>
      <c r="M25" s="7">
        <v>0.17349999999999999</v>
      </c>
    </row>
    <row r="26" spans="1:13" x14ac:dyDescent="0.25">
      <c r="A26" t="s">
        <v>186</v>
      </c>
      <c r="B26" t="s">
        <v>482</v>
      </c>
      <c r="C26" t="str">
        <f t="shared" si="3"/>
        <v>27019</v>
      </c>
      <c r="D26" s="7">
        <v>0.11219999999999997</v>
      </c>
      <c r="E26" s="7">
        <v>0.127</v>
      </c>
      <c r="F26" s="7">
        <v>0.11119999999999997</v>
      </c>
      <c r="G26" s="7">
        <v>0.10860000000000003</v>
      </c>
      <c r="H26" s="7">
        <v>0.12739999999999996</v>
      </c>
      <c r="I26" s="7">
        <v>0.14119999999999999</v>
      </c>
      <c r="J26" s="7">
        <v>0.14539999999999997</v>
      </c>
      <c r="K26" s="7">
        <v>0.11040000000000005</v>
      </c>
      <c r="L26" s="7">
        <v>0.1089</v>
      </c>
      <c r="M26" s="7">
        <v>0.12250000000000005</v>
      </c>
    </row>
    <row r="27" spans="1:13" x14ac:dyDescent="0.25">
      <c r="A27" t="s">
        <v>25</v>
      </c>
      <c r="B27" t="s">
        <v>321</v>
      </c>
      <c r="C27" t="str">
        <f t="shared" si="3"/>
        <v>04228</v>
      </c>
      <c r="D27" s="7">
        <v>0.26619999999999999</v>
      </c>
      <c r="E27" s="7">
        <v>0.22199999999999998</v>
      </c>
      <c r="F27" s="7">
        <v>0.24460000000000004</v>
      </c>
      <c r="G27" s="7">
        <v>0.27059999999999995</v>
      </c>
      <c r="H27" s="7">
        <v>0.25370000000000004</v>
      </c>
      <c r="I27" s="7">
        <v>0.25429999999999997</v>
      </c>
      <c r="J27" s="7">
        <v>0.25729999999999997</v>
      </c>
      <c r="K27" s="7">
        <v>0.23570000000000002</v>
      </c>
      <c r="L27" s="7">
        <v>0.21030000000000004</v>
      </c>
      <c r="M27" s="7">
        <v>0.19130000000000003</v>
      </c>
    </row>
    <row r="28" spans="1:13" x14ac:dyDescent="0.25">
      <c r="A28" t="s">
        <v>24</v>
      </c>
      <c r="B28" t="s">
        <v>602</v>
      </c>
      <c r="C28" t="str">
        <f t="shared" si="3"/>
        <v>04222</v>
      </c>
      <c r="D28" s="7">
        <v>0.19479999999999997</v>
      </c>
      <c r="E28" s="7">
        <v>0.18610000000000004</v>
      </c>
      <c r="F28" s="7">
        <v>0.17659999999999998</v>
      </c>
      <c r="G28" s="7">
        <v>0.1552</v>
      </c>
      <c r="H28" s="7">
        <v>0.15490000000000004</v>
      </c>
      <c r="I28" s="7">
        <v>0.17969999999999997</v>
      </c>
      <c r="J28" s="7">
        <v>0.1694</v>
      </c>
      <c r="K28" s="7">
        <v>0.15580000000000005</v>
      </c>
      <c r="L28" s="7">
        <v>0.15139999999999998</v>
      </c>
      <c r="M28" s="7">
        <v>0.15129999999999999</v>
      </c>
    </row>
    <row r="29" spans="1:13" x14ac:dyDescent="0.25">
      <c r="A29" t="s">
        <v>45</v>
      </c>
      <c r="B29" t="s">
        <v>341</v>
      </c>
      <c r="C29" t="str">
        <f t="shared" si="3"/>
        <v>08401</v>
      </c>
      <c r="D29" s="7">
        <v>0.20420000000000005</v>
      </c>
      <c r="E29" s="7">
        <v>0.22599999999999998</v>
      </c>
      <c r="F29" s="7">
        <v>0.21460000000000001</v>
      </c>
      <c r="G29" s="7">
        <v>0.23260000000000003</v>
      </c>
      <c r="H29" s="7">
        <v>0.22360000000000002</v>
      </c>
      <c r="I29" s="7">
        <v>0.27649999999999997</v>
      </c>
      <c r="J29" s="7">
        <v>0.23260000000000003</v>
      </c>
      <c r="K29" s="7">
        <v>0.22750000000000004</v>
      </c>
      <c r="L29" s="7">
        <v>0.19530000000000003</v>
      </c>
      <c r="M29" s="7">
        <v>0.1804</v>
      </c>
    </row>
    <row r="30" spans="1:13" x14ac:dyDescent="0.25">
      <c r="A30" t="s">
        <v>652</v>
      </c>
      <c r="B30" t="s">
        <v>653</v>
      </c>
      <c r="C30" t="str">
        <f t="shared" ref="C30" si="4">A30</f>
        <v>18901</v>
      </c>
      <c r="D30" s="7"/>
      <c r="E30" s="7"/>
      <c r="F30" s="7"/>
      <c r="G30" s="7"/>
      <c r="H30" s="7"/>
      <c r="I30" s="7">
        <v>0.27380000000000004</v>
      </c>
      <c r="J30" s="7">
        <v>0.96</v>
      </c>
      <c r="K30" s="7">
        <v>0.11160000000000003</v>
      </c>
      <c r="L30" s="7">
        <v>9.98E-2</v>
      </c>
      <c r="M30" s="7">
        <v>0.10029999999999994</v>
      </c>
    </row>
    <row r="31" spans="1:13" x14ac:dyDescent="0.25">
      <c r="A31" t="s">
        <v>130</v>
      </c>
      <c r="B31" t="s">
        <v>426</v>
      </c>
      <c r="C31" t="str">
        <f t="shared" si="3"/>
        <v>20215</v>
      </c>
      <c r="D31" s="7">
        <v>0.24990000000000001</v>
      </c>
      <c r="E31" s="7">
        <v>9.6700000000000008E-2</v>
      </c>
      <c r="F31" s="7">
        <v>0.2339</v>
      </c>
      <c r="G31" s="7">
        <v>0.22909999999999997</v>
      </c>
      <c r="H31" s="7">
        <v>0.22670000000000001</v>
      </c>
      <c r="I31" s="7">
        <v>0.23099999999999998</v>
      </c>
      <c r="J31" s="7">
        <v>0.22499999999999998</v>
      </c>
      <c r="K31" s="7">
        <v>0.20779999999999998</v>
      </c>
      <c r="L31" s="7">
        <v>0.20540000000000003</v>
      </c>
      <c r="M31" s="7">
        <v>0.19130000000000003</v>
      </c>
    </row>
    <row r="32" spans="1:13" x14ac:dyDescent="0.25">
      <c r="A32" t="s">
        <v>119</v>
      </c>
      <c r="B32" t="s">
        <v>415</v>
      </c>
      <c r="C32" t="str">
        <f t="shared" si="3"/>
        <v>18401</v>
      </c>
      <c r="D32" s="7">
        <v>0.3135</v>
      </c>
      <c r="E32" s="7">
        <v>0.32520000000000004</v>
      </c>
      <c r="F32" s="7">
        <v>0.32699999999999996</v>
      </c>
      <c r="G32" s="7">
        <v>0.31589999999999996</v>
      </c>
      <c r="H32" s="7">
        <v>0.30789999999999995</v>
      </c>
      <c r="I32" s="7">
        <v>0.29500000000000004</v>
      </c>
      <c r="J32" s="7">
        <v>0.29249999999999998</v>
      </c>
      <c r="K32" s="7">
        <v>0.28559999999999997</v>
      </c>
      <c r="L32" s="7">
        <v>0.27210000000000001</v>
      </c>
      <c r="M32" s="7">
        <v>0.26370000000000005</v>
      </c>
    </row>
    <row r="33" spans="1:13" x14ac:dyDescent="0.25">
      <c r="A33" t="s">
        <v>232</v>
      </c>
      <c r="B33" t="s">
        <v>528</v>
      </c>
      <c r="C33" t="str">
        <f t="shared" si="3"/>
        <v>32356</v>
      </c>
      <c r="D33" s="7">
        <v>0.3377</v>
      </c>
      <c r="E33" s="7">
        <v>0.34730000000000005</v>
      </c>
      <c r="F33" s="7">
        <v>0.34850000000000003</v>
      </c>
      <c r="G33" s="7">
        <v>0.33809999999999996</v>
      </c>
      <c r="H33" s="7">
        <v>0.33050000000000002</v>
      </c>
      <c r="I33" s="7">
        <v>0.32489999999999997</v>
      </c>
      <c r="J33" s="7">
        <v>0.33799999999999997</v>
      </c>
      <c r="K33" s="7">
        <v>0.34050000000000002</v>
      </c>
      <c r="L33" s="7">
        <v>0.35780000000000001</v>
      </c>
      <c r="M33" s="7">
        <v>0.34909999999999997</v>
      </c>
    </row>
    <row r="34" spans="1:13" x14ac:dyDescent="0.25">
      <c r="A34" t="s">
        <v>150</v>
      </c>
      <c r="B34" t="s">
        <v>446</v>
      </c>
      <c r="C34" t="str">
        <f t="shared" si="3"/>
        <v>21401</v>
      </c>
      <c r="D34" s="7">
        <v>0.32989999999999997</v>
      </c>
      <c r="E34" s="7">
        <v>0.30840000000000001</v>
      </c>
      <c r="F34" s="7">
        <v>0.31679999999999997</v>
      </c>
      <c r="G34" s="7">
        <v>0.31679999999999997</v>
      </c>
      <c r="H34" s="7">
        <v>0.30779999999999996</v>
      </c>
      <c r="I34" s="7">
        <v>0.28239999999999998</v>
      </c>
      <c r="J34" s="7">
        <v>0.2732</v>
      </c>
      <c r="K34" s="7">
        <v>0.26190000000000002</v>
      </c>
      <c r="L34" s="7">
        <v>0.28139999999999998</v>
      </c>
      <c r="M34" s="7">
        <v>0.27070000000000005</v>
      </c>
    </row>
    <row r="35" spans="1:13" x14ac:dyDescent="0.25">
      <c r="A35" t="s">
        <v>148</v>
      </c>
      <c r="B35" t="s">
        <v>444</v>
      </c>
      <c r="C35" t="str">
        <f t="shared" si="3"/>
        <v>21302</v>
      </c>
      <c r="D35" s="7">
        <v>0.34250000000000003</v>
      </c>
      <c r="E35" s="7">
        <v>0.32450000000000001</v>
      </c>
      <c r="F35" s="7">
        <v>0.30779999999999996</v>
      </c>
      <c r="G35" s="7">
        <v>0.30369999999999997</v>
      </c>
      <c r="H35" s="7">
        <v>0.3115</v>
      </c>
      <c r="I35" s="7">
        <v>0.30859999999999999</v>
      </c>
      <c r="J35" s="7">
        <v>0.30669999999999997</v>
      </c>
      <c r="K35" s="7">
        <v>0.27159999999999995</v>
      </c>
      <c r="L35" s="7">
        <v>0.25860000000000005</v>
      </c>
      <c r="M35" s="7">
        <v>0.24960000000000004</v>
      </c>
    </row>
    <row r="36" spans="1:13" x14ac:dyDescent="0.25">
      <c r="A36" t="s">
        <v>234</v>
      </c>
      <c r="B36" t="s">
        <v>530</v>
      </c>
      <c r="C36" t="str">
        <f t="shared" si="3"/>
        <v>32360</v>
      </c>
      <c r="D36" s="7">
        <v>0.2964</v>
      </c>
      <c r="E36" s="7">
        <v>0.28480000000000005</v>
      </c>
      <c r="F36" s="7">
        <v>0.28110000000000002</v>
      </c>
      <c r="G36" s="7">
        <v>0.28890000000000005</v>
      </c>
      <c r="H36" s="7">
        <v>0.28139999999999998</v>
      </c>
      <c r="I36" s="7">
        <v>0.26449999999999996</v>
      </c>
      <c r="J36" s="7">
        <v>0.23570000000000002</v>
      </c>
      <c r="K36" s="7">
        <v>0.21750000000000003</v>
      </c>
      <c r="L36" s="7">
        <v>0.20509999999999995</v>
      </c>
      <c r="M36" s="7">
        <v>0.20579999999999998</v>
      </c>
    </row>
    <row r="37" spans="1:13" x14ac:dyDescent="0.25">
      <c r="A37" t="s">
        <v>241</v>
      </c>
      <c r="B37" t="s">
        <v>537</v>
      </c>
      <c r="C37" t="str">
        <f t="shared" si="3"/>
        <v>33036</v>
      </c>
      <c r="D37" s="7">
        <v>0.26300000000000001</v>
      </c>
      <c r="E37" s="7">
        <v>0.23340000000000005</v>
      </c>
      <c r="F37" s="7">
        <v>0.27100000000000002</v>
      </c>
      <c r="G37" s="7">
        <v>0.25139999999999996</v>
      </c>
      <c r="H37" s="7">
        <v>0.24919999999999998</v>
      </c>
      <c r="I37" s="7">
        <v>0.24029999999999996</v>
      </c>
      <c r="J37" s="7">
        <v>0.2147</v>
      </c>
      <c r="K37" s="7">
        <v>0.20909999999999995</v>
      </c>
      <c r="L37" s="7">
        <v>0.22799999999999998</v>
      </c>
      <c r="M37" s="7">
        <v>0.2671</v>
      </c>
    </row>
    <row r="38" spans="1:13" x14ac:dyDescent="0.25">
      <c r="A38" t="s">
        <v>632</v>
      </c>
      <c r="B38" t="s">
        <v>634</v>
      </c>
      <c r="C38" t="str">
        <f t="shared" si="3"/>
        <v>27901</v>
      </c>
      <c r="D38" s="7"/>
      <c r="E38" s="7"/>
      <c r="F38" s="7"/>
      <c r="G38" s="7">
        <v>0.31689999999999996</v>
      </c>
      <c r="H38" s="7">
        <v>0.21319999999999995</v>
      </c>
      <c r="I38" s="7">
        <v>0</v>
      </c>
      <c r="J38" s="7">
        <v>0.12250000000000005</v>
      </c>
      <c r="K38" s="7">
        <v>0.1085</v>
      </c>
      <c r="L38" s="7">
        <v>0.12749999999999995</v>
      </c>
      <c r="M38" s="7">
        <v>0.14859999999999995</v>
      </c>
    </row>
    <row r="39" spans="1:13" x14ac:dyDescent="0.25">
      <c r="A39" t="s">
        <v>94</v>
      </c>
      <c r="B39" t="s">
        <v>390</v>
      </c>
      <c r="C39" t="str">
        <f t="shared" si="3"/>
        <v>16049</v>
      </c>
      <c r="D39" s="7">
        <v>0.29859999999999998</v>
      </c>
      <c r="E39" s="7">
        <v>0.29610000000000003</v>
      </c>
      <c r="F39" s="7">
        <v>0.25349999999999995</v>
      </c>
      <c r="G39" s="7">
        <v>0.25609999999999999</v>
      </c>
      <c r="H39" s="7">
        <v>0.29059999999999997</v>
      </c>
      <c r="I39" s="7">
        <v>0.26029999999999998</v>
      </c>
      <c r="J39" s="7">
        <v>0.21860000000000002</v>
      </c>
      <c r="K39" s="7">
        <v>0.23150000000000004</v>
      </c>
      <c r="L39" s="7">
        <v>0.24529999999999996</v>
      </c>
      <c r="M39" s="7">
        <v>0.26959999999999995</v>
      </c>
    </row>
    <row r="40" spans="1:13" x14ac:dyDescent="0.25">
      <c r="A40" t="s">
        <v>12</v>
      </c>
      <c r="B40" t="s">
        <v>309</v>
      </c>
      <c r="C40" t="str">
        <f t="shared" si="3"/>
        <v>02250</v>
      </c>
      <c r="D40" s="7">
        <v>0.29869999999999997</v>
      </c>
      <c r="E40" s="7">
        <v>0.26170000000000004</v>
      </c>
      <c r="F40" s="7">
        <v>0.24719999999999998</v>
      </c>
      <c r="G40" s="7">
        <v>0.26919999999999999</v>
      </c>
      <c r="H40" s="7">
        <v>0.25449999999999995</v>
      </c>
      <c r="I40" s="7">
        <v>0.28190000000000004</v>
      </c>
      <c r="J40" s="7">
        <v>0.23399999999999999</v>
      </c>
      <c r="K40" s="7">
        <v>0.21050000000000002</v>
      </c>
      <c r="L40" s="7">
        <v>0.22199999999999998</v>
      </c>
      <c r="M40" s="7">
        <v>0.22460000000000002</v>
      </c>
    </row>
    <row r="41" spans="1:13" x14ac:dyDescent="0.25">
      <c r="A41" t="s">
        <v>127</v>
      </c>
      <c r="B41" t="s">
        <v>423</v>
      </c>
      <c r="C41" t="str">
        <f t="shared" si="3"/>
        <v>19404</v>
      </c>
      <c r="D41" s="7">
        <v>0.20679999999999998</v>
      </c>
      <c r="E41" s="7">
        <v>0.18640000000000001</v>
      </c>
      <c r="F41" s="7">
        <v>0.22770000000000001</v>
      </c>
      <c r="G41" s="7">
        <v>0.22499999999999998</v>
      </c>
      <c r="H41" s="7">
        <v>0.23939999999999995</v>
      </c>
      <c r="I41" s="7">
        <v>0.20620000000000005</v>
      </c>
      <c r="J41" s="7">
        <v>0.12739999999999996</v>
      </c>
      <c r="K41" s="7">
        <v>0.17390000000000005</v>
      </c>
      <c r="L41" s="7">
        <v>0.18600000000000005</v>
      </c>
      <c r="M41" s="7">
        <v>0.17500000000000004</v>
      </c>
    </row>
    <row r="42" spans="1:13" x14ac:dyDescent="0.25">
      <c r="A42" t="s">
        <v>191</v>
      </c>
      <c r="B42" t="s">
        <v>486</v>
      </c>
      <c r="C42" t="str">
        <f t="shared" si="3"/>
        <v>27400</v>
      </c>
      <c r="D42" s="7">
        <v>0.36870000000000003</v>
      </c>
      <c r="E42" s="7">
        <v>0.37760000000000005</v>
      </c>
      <c r="F42" s="7">
        <v>0.36639999999999995</v>
      </c>
      <c r="G42" s="7">
        <v>0.36070000000000002</v>
      </c>
      <c r="H42" s="7">
        <v>0.36370000000000002</v>
      </c>
      <c r="I42" s="7">
        <v>0.36880000000000002</v>
      </c>
      <c r="J42" s="7">
        <v>0.36339999999999995</v>
      </c>
      <c r="K42" s="7">
        <v>0.33919999999999995</v>
      </c>
      <c r="L42" s="7">
        <v>0.34209999999999996</v>
      </c>
      <c r="M42" s="7">
        <v>0.33999999999999997</v>
      </c>
    </row>
    <row r="43" spans="1:13" x14ac:dyDescent="0.25">
      <c r="A43" t="s">
        <v>280</v>
      </c>
      <c r="B43" t="s">
        <v>576</v>
      </c>
      <c r="C43" t="str">
        <f t="shared" si="3"/>
        <v>38300</v>
      </c>
      <c r="D43" s="7">
        <v>0.21819999999999995</v>
      </c>
      <c r="E43" s="7">
        <v>0.25460000000000005</v>
      </c>
      <c r="F43" s="7">
        <v>0.25449999999999995</v>
      </c>
      <c r="G43" s="7">
        <v>0.31689999999999996</v>
      </c>
      <c r="H43" s="7">
        <v>0.25649999999999995</v>
      </c>
      <c r="I43" s="7">
        <v>0.23280000000000001</v>
      </c>
      <c r="J43" s="7">
        <v>0.24890000000000001</v>
      </c>
      <c r="K43" s="7">
        <v>0.25009999999999999</v>
      </c>
      <c r="L43" s="7">
        <v>0.20699999999999996</v>
      </c>
      <c r="M43" s="7">
        <v>0.18340000000000001</v>
      </c>
    </row>
    <row r="44" spans="1:13" x14ac:dyDescent="0.25">
      <c r="A44" t="s">
        <v>263</v>
      </c>
      <c r="B44" t="s">
        <v>559</v>
      </c>
      <c r="C44" t="str">
        <f t="shared" si="3"/>
        <v>36250</v>
      </c>
      <c r="D44" s="7">
        <v>0.32750000000000001</v>
      </c>
      <c r="E44" s="7">
        <v>0.35619999999999996</v>
      </c>
      <c r="F44" s="7">
        <v>0.33230000000000004</v>
      </c>
      <c r="G44" s="7">
        <v>0.32830000000000004</v>
      </c>
      <c r="H44" s="7">
        <v>0.33340000000000003</v>
      </c>
      <c r="I44" s="7">
        <v>0.3357</v>
      </c>
      <c r="J44" s="7">
        <v>0.34830000000000005</v>
      </c>
      <c r="K44" s="7">
        <v>0.32499999999999996</v>
      </c>
      <c r="L44" s="7">
        <v>0.30059999999999998</v>
      </c>
      <c r="M44" s="7">
        <v>0.27229999999999999</v>
      </c>
    </row>
    <row r="45" spans="1:13" x14ac:dyDescent="0.25">
      <c r="A45" t="s">
        <v>284</v>
      </c>
      <c r="B45" t="s">
        <v>580</v>
      </c>
      <c r="C45" t="str">
        <f t="shared" si="3"/>
        <v>38306</v>
      </c>
      <c r="D45" s="7">
        <v>0.21279999999999999</v>
      </c>
      <c r="E45" s="7">
        <v>0.18859999999999999</v>
      </c>
      <c r="F45" s="7">
        <v>0.13670000000000004</v>
      </c>
      <c r="G45" s="7">
        <v>0.125</v>
      </c>
      <c r="H45" s="7">
        <v>9.4600000000000017E-2</v>
      </c>
      <c r="I45" s="7">
        <v>0.10740000000000005</v>
      </c>
      <c r="J45" s="7">
        <v>0.10170000000000001</v>
      </c>
      <c r="K45" s="7">
        <v>0.10960000000000003</v>
      </c>
      <c r="L45" s="7">
        <v>0.1089</v>
      </c>
      <c r="M45" s="7">
        <v>0.14729999999999999</v>
      </c>
    </row>
    <row r="46" spans="1:13" x14ac:dyDescent="0.25">
      <c r="A46" t="s">
        <v>248</v>
      </c>
      <c r="B46" t="s">
        <v>544</v>
      </c>
      <c r="C46" t="str">
        <f t="shared" si="3"/>
        <v>33206</v>
      </c>
      <c r="D46" s="7">
        <v>0.2127</v>
      </c>
      <c r="E46" s="7">
        <v>0.1633</v>
      </c>
      <c r="F46" s="7">
        <v>0.14790000000000003</v>
      </c>
      <c r="G46" s="7">
        <v>0.19550000000000001</v>
      </c>
      <c r="H46" s="7">
        <v>0.15920000000000001</v>
      </c>
      <c r="I46" s="7">
        <v>0.11950000000000005</v>
      </c>
      <c r="J46" s="7">
        <v>0.12060000000000004</v>
      </c>
      <c r="K46" s="7">
        <v>0.11119999999999997</v>
      </c>
      <c r="L46" s="7">
        <v>0.16569999999999996</v>
      </c>
      <c r="M46" s="7">
        <v>0.13859999999999995</v>
      </c>
    </row>
    <row r="47" spans="1:13" x14ac:dyDescent="0.25">
      <c r="A47" t="s">
        <v>265</v>
      </c>
      <c r="B47" t="s">
        <v>561</v>
      </c>
      <c r="C47" t="str">
        <f t="shared" si="3"/>
        <v>36400</v>
      </c>
      <c r="D47" s="7">
        <v>0.30500000000000005</v>
      </c>
      <c r="E47" s="7">
        <v>0.30010000000000003</v>
      </c>
      <c r="F47" s="7">
        <v>0.29749999999999999</v>
      </c>
      <c r="G47" s="7">
        <v>0.29290000000000005</v>
      </c>
      <c r="H47" s="7">
        <v>0.3216</v>
      </c>
      <c r="I47" s="7">
        <v>0.27890000000000004</v>
      </c>
      <c r="J47" s="7">
        <v>0.252</v>
      </c>
      <c r="K47" s="7">
        <v>0.16700000000000004</v>
      </c>
      <c r="L47" s="7">
        <v>0.20889999999999997</v>
      </c>
      <c r="M47" s="7">
        <v>0.24609999999999999</v>
      </c>
    </row>
    <row r="48" spans="1:13" x14ac:dyDescent="0.25">
      <c r="A48" t="s">
        <v>244</v>
      </c>
      <c r="B48" t="s">
        <v>540</v>
      </c>
      <c r="C48" t="str">
        <f t="shared" si="3"/>
        <v>33115</v>
      </c>
      <c r="D48" s="7">
        <v>0.24380000000000002</v>
      </c>
      <c r="E48" s="7">
        <v>0.25519999999999998</v>
      </c>
      <c r="F48" s="7">
        <v>0.25170000000000003</v>
      </c>
      <c r="G48" s="7">
        <v>0.27610000000000001</v>
      </c>
      <c r="H48" s="7">
        <v>0.28779999999999994</v>
      </c>
      <c r="I48" s="7">
        <v>0.27359999999999995</v>
      </c>
      <c r="J48" s="7">
        <v>0.24860000000000004</v>
      </c>
      <c r="K48" s="7">
        <v>0.25690000000000002</v>
      </c>
      <c r="L48" s="7">
        <v>0.24690000000000001</v>
      </c>
      <c r="M48" s="7">
        <v>0.21999999999999997</v>
      </c>
    </row>
    <row r="49" spans="1:13" x14ac:dyDescent="0.25">
      <c r="A49" t="s">
        <v>202</v>
      </c>
      <c r="B49" t="s">
        <v>497</v>
      </c>
      <c r="C49" t="str">
        <f t="shared" si="3"/>
        <v>29011</v>
      </c>
      <c r="D49" s="7">
        <v>0.22240000000000004</v>
      </c>
      <c r="E49" s="7">
        <v>0.22829999999999995</v>
      </c>
      <c r="F49" s="7">
        <v>0.23470000000000002</v>
      </c>
      <c r="G49" s="7">
        <v>0.21860000000000002</v>
      </c>
      <c r="H49" s="7">
        <v>0.25749999999999995</v>
      </c>
      <c r="I49" s="7">
        <v>0.2621</v>
      </c>
      <c r="J49" s="7">
        <v>0.22889999999999999</v>
      </c>
      <c r="K49" s="7">
        <v>0.21479999999999999</v>
      </c>
      <c r="L49" s="7">
        <v>0.22689999999999999</v>
      </c>
      <c r="M49" s="7">
        <v>0.17449999999999999</v>
      </c>
    </row>
    <row r="50" spans="1:13" x14ac:dyDescent="0.25">
      <c r="A50" t="s">
        <v>207</v>
      </c>
      <c r="B50" t="s">
        <v>502</v>
      </c>
      <c r="C50" t="str">
        <f t="shared" si="3"/>
        <v>29317</v>
      </c>
      <c r="D50" s="7">
        <v>0.23829999999999996</v>
      </c>
      <c r="E50" s="7">
        <v>0.22919999999999996</v>
      </c>
      <c r="F50" s="7">
        <v>0.24619999999999997</v>
      </c>
      <c r="G50" s="7">
        <v>0.19769999999999999</v>
      </c>
      <c r="H50" s="7">
        <v>0.18030000000000002</v>
      </c>
      <c r="I50" s="7">
        <v>0.20660000000000001</v>
      </c>
      <c r="J50" s="7">
        <v>0.18110000000000004</v>
      </c>
      <c r="K50" s="7">
        <v>0.15549999999999997</v>
      </c>
      <c r="L50" s="7">
        <v>0.18969999999999998</v>
      </c>
      <c r="M50" s="7">
        <v>0.12709999999999999</v>
      </c>
    </row>
    <row r="51" spans="1:13" x14ac:dyDescent="0.25">
      <c r="A51" t="s">
        <v>83</v>
      </c>
      <c r="B51" t="s">
        <v>379</v>
      </c>
      <c r="C51" t="str">
        <f t="shared" si="3"/>
        <v>14099</v>
      </c>
      <c r="D51" s="7">
        <v>0.15780000000000005</v>
      </c>
      <c r="E51" s="7">
        <v>0.17879999999999996</v>
      </c>
      <c r="F51" s="7">
        <v>0.14300000000000002</v>
      </c>
      <c r="G51" s="7">
        <v>0.18379999999999996</v>
      </c>
      <c r="H51" s="7">
        <v>0.21389999999999998</v>
      </c>
      <c r="I51" s="7">
        <v>0.22360000000000002</v>
      </c>
      <c r="J51" s="7">
        <v>0.2571</v>
      </c>
      <c r="K51" s="7">
        <v>0.27959999999999996</v>
      </c>
      <c r="L51" s="7">
        <v>0.30000000000000004</v>
      </c>
      <c r="M51" s="7">
        <v>0.26880000000000004</v>
      </c>
    </row>
    <row r="52" spans="1:13" x14ac:dyDescent="0.25">
      <c r="A52" t="s">
        <v>68</v>
      </c>
      <c r="B52" t="s">
        <v>364</v>
      </c>
      <c r="C52" t="str">
        <f t="shared" si="3"/>
        <v>13151</v>
      </c>
      <c r="D52" s="7">
        <v>0.24690000000000001</v>
      </c>
      <c r="E52" s="7">
        <v>0.21499999999999997</v>
      </c>
      <c r="F52" s="7">
        <v>0.24180000000000001</v>
      </c>
      <c r="G52" s="7">
        <v>0.24370000000000003</v>
      </c>
      <c r="H52" s="7">
        <v>0.28200000000000003</v>
      </c>
      <c r="I52" s="7">
        <v>0.18999999999999995</v>
      </c>
      <c r="J52" s="7">
        <v>0.28690000000000004</v>
      </c>
      <c r="K52" s="7">
        <v>0.27559999999999996</v>
      </c>
      <c r="L52" s="7">
        <v>0.26119999999999999</v>
      </c>
      <c r="M52" s="7">
        <v>0.22289999999999999</v>
      </c>
    </row>
    <row r="53" spans="1:13" x14ac:dyDescent="0.25">
      <c r="A53" t="s">
        <v>89</v>
      </c>
      <c r="B53" t="s">
        <v>385</v>
      </c>
      <c r="C53" t="str">
        <f t="shared" si="3"/>
        <v>15204</v>
      </c>
      <c r="D53" s="7">
        <v>0.2853</v>
      </c>
      <c r="E53" s="7">
        <v>0.29769999999999996</v>
      </c>
      <c r="F53" s="7">
        <v>0.29649999999999999</v>
      </c>
      <c r="G53" s="7">
        <v>0.28490000000000004</v>
      </c>
      <c r="H53" s="7">
        <v>0.26470000000000005</v>
      </c>
      <c r="I53" s="7">
        <v>0.2681</v>
      </c>
      <c r="J53" s="7">
        <v>0.27029999999999998</v>
      </c>
      <c r="K53" s="7">
        <v>0.24150000000000005</v>
      </c>
      <c r="L53" s="7">
        <v>0.22619999999999996</v>
      </c>
      <c r="M53" s="7">
        <v>0.22170000000000001</v>
      </c>
    </row>
    <row r="54" spans="1:13" x14ac:dyDescent="0.25">
      <c r="A54" t="s">
        <v>28</v>
      </c>
      <c r="B54" t="s">
        <v>324</v>
      </c>
      <c r="C54" t="str">
        <f t="shared" si="3"/>
        <v>05313</v>
      </c>
      <c r="D54" s="7">
        <v>0.17190000000000005</v>
      </c>
      <c r="E54" s="7">
        <v>0.14090000000000003</v>
      </c>
      <c r="F54" s="7">
        <v>0.16900000000000004</v>
      </c>
      <c r="G54" s="7">
        <v>0.1472</v>
      </c>
      <c r="H54" s="7">
        <v>0.15510000000000002</v>
      </c>
      <c r="I54" s="7">
        <v>0.13119999999999998</v>
      </c>
      <c r="J54" s="7">
        <v>0.19189999999999996</v>
      </c>
      <c r="K54" s="7">
        <v>0.19999999999999996</v>
      </c>
      <c r="L54" s="7">
        <v>0.15290000000000004</v>
      </c>
      <c r="M54" s="7">
        <v>0.19059999999999999</v>
      </c>
    </row>
    <row r="55" spans="1:13" x14ac:dyDescent="0.25">
      <c r="A55" t="s">
        <v>154</v>
      </c>
      <c r="B55" t="s">
        <v>450</v>
      </c>
      <c r="C55" t="str">
        <f t="shared" si="3"/>
        <v>22073</v>
      </c>
      <c r="D55" s="7">
        <v>0.20279999999999998</v>
      </c>
      <c r="E55" s="7">
        <v>0.21430000000000005</v>
      </c>
      <c r="F55" s="7">
        <v>0.21199999999999997</v>
      </c>
      <c r="G55" s="7">
        <v>0.20309999999999995</v>
      </c>
      <c r="H55" s="7">
        <v>0.17789999999999995</v>
      </c>
      <c r="I55" s="7">
        <v>0.16000000000000003</v>
      </c>
      <c r="J55" s="7">
        <v>0.16349999999999998</v>
      </c>
      <c r="K55" s="7">
        <v>0.16569999999999996</v>
      </c>
      <c r="L55" s="7">
        <v>0.15600000000000003</v>
      </c>
      <c r="M55" s="7">
        <v>0.14610000000000001</v>
      </c>
    </row>
    <row r="56" spans="1:13" x14ac:dyDescent="0.25">
      <c r="A56" t="s">
        <v>56</v>
      </c>
      <c r="B56" t="s">
        <v>352</v>
      </c>
      <c r="C56" t="str">
        <f t="shared" si="3"/>
        <v>10050</v>
      </c>
      <c r="D56" s="7">
        <v>0.14319999999999999</v>
      </c>
      <c r="E56" s="7">
        <v>0.11519999999999997</v>
      </c>
      <c r="F56" s="7">
        <v>0.13759999999999994</v>
      </c>
      <c r="G56" s="7">
        <v>0.16639999999999999</v>
      </c>
      <c r="H56" s="7">
        <v>0.1653</v>
      </c>
      <c r="I56" s="7">
        <v>0.19240000000000002</v>
      </c>
      <c r="J56" s="7">
        <v>0.15039999999999998</v>
      </c>
      <c r="K56" s="7">
        <v>0.1371</v>
      </c>
      <c r="L56" s="7">
        <v>0.14939999999999998</v>
      </c>
      <c r="M56" s="7">
        <v>0.15059999999999996</v>
      </c>
    </row>
    <row r="57" spans="1:13" x14ac:dyDescent="0.25">
      <c r="A57" t="s">
        <v>181</v>
      </c>
      <c r="B57" t="s">
        <v>477</v>
      </c>
      <c r="C57" t="str">
        <f t="shared" si="3"/>
        <v>26059</v>
      </c>
      <c r="D57" s="7">
        <v>0.25949999999999995</v>
      </c>
      <c r="E57" s="7">
        <v>0.26929999999999998</v>
      </c>
      <c r="F57" s="7">
        <v>0.25419999999999998</v>
      </c>
      <c r="G57" s="7">
        <v>0.20130000000000003</v>
      </c>
      <c r="H57" s="7">
        <v>0.20620000000000005</v>
      </c>
      <c r="I57" s="7">
        <v>0.23380000000000001</v>
      </c>
      <c r="J57" s="7">
        <v>0.2651</v>
      </c>
      <c r="K57" s="7">
        <v>0.18610000000000004</v>
      </c>
      <c r="L57" s="7">
        <v>0.23629999999999995</v>
      </c>
      <c r="M57" s="7">
        <v>0.19510000000000005</v>
      </c>
    </row>
    <row r="58" spans="1:13" x14ac:dyDescent="0.25">
      <c r="A58" t="s">
        <v>122</v>
      </c>
      <c r="B58" t="s">
        <v>418</v>
      </c>
      <c r="C58" t="str">
        <f t="shared" si="3"/>
        <v>19007</v>
      </c>
      <c r="D58" s="7">
        <v>7.999999999999996E-2</v>
      </c>
      <c r="E58" s="7">
        <v>7.999999999999996E-2</v>
      </c>
      <c r="F58" s="7">
        <v>7.999999999999996E-2</v>
      </c>
      <c r="G58" s="7">
        <v>7.999999999999996E-2</v>
      </c>
      <c r="H58" s="7">
        <v>7.999999999999996E-2</v>
      </c>
      <c r="I58" s="7">
        <v>7.999999999999996E-2</v>
      </c>
      <c r="J58" s="7">
        <v>7.999999999999996E-2</v>
      </c>
      <c r="K58" s="7">
        <v>7.999999999999996E-2</v>
      </c>
      <c r="L58" s="7">
        <v>7.999999999999996E-2</v>
      </c>
      <c r="M58" s="7">
        <v>7.999999999999996E-2</v>
      </c>
    </row>
    <row r="59" spans="1:13" x14ac:dyDescent="0.25">
      <c r="A59" t="s">
        <v>224</v>
      </c>
      <c r="B59" t="s">
        <v>519</v>
      </c>
      <c r="C59" t="str">
        <f t="shared" si="3"/>
        <v>31330</v>
      </c>
      <c r="D59" s="7">
        <v>0.29510000000000003</v>
      </c>
      <c r="E59" s="7">
        <v>0.28390000000000004</v>
      </c>
      <c r="F59" s="7">
        <v>0.27</v>
      </c>
      <c r="G59" s="7">
        <v>0.25</v>
      </c>
      <c r="H59" s="7">
        <v>0.25249999999999995</v>
      </c>
      <c r="I59" s="7">
        <v>0.24819999999999998</v>
      </c>
      <c r="J59" s="7">
        <v>0.21940000000000004</v>
      </c>
      <c r="K59" s="7">
        <v>0.13090000000000002</v>
      </c>
      <c r="L59" s="7">
        <v>0.14810000000000001</v>
      </c>
      <c r="M59" s="7">
        <v>0.16359999999999997</v>
      </c>
    </row>
    <row r="60" spans="1:13" x14ac:dyDescent="0.25">
      <c r="A60" t="s">
        <v>158</v>
      </c>
      <c r="B60" t="s">
        <v>454</v>
      </c>
      <c r="C60" t="str">
        <f t="shared" si="3"/>
        <v>22207</v>
      </c>
      <c r="D60" s="7">
        <v>0.22299999999999998</v>
      </c>
      <c r="E60" s="7">
        <v>0.24250000000000005</v>
      </c>
      <c r="F60" s="7">
        <v>0.25609999999999999</v>
      </c>
      <c r="G60" s="7">
        <v>0.24339999999999995</v>
      </c>
      <c r="H60" s="7">
        <v>0.21870000000000001</v>
      </c>
      <c r="I60" s="7">
        <v>0.17630000000000001</v>
      </c>
      <c r="J60" s="7">
        <v>0.19240000000000002</v>
      </c>
      <c r="K60" s="7">
        <v>0.17059999999999997</v>
      </c>
      <c r="L60" s="7">
        <v>0.17120000000000002</v>
      </c>
      <c r="M60" s="7">
        <v>0.1583</v>
      </c>
    </row>
    <row r="61" spans="1:13" x14ac:dyDescent="0.25">
      <c r="A61" t="s">
        <v>41</v>
      </c>
      <c r="B61" t="s">
        <v>337</v>
      </c>
      <c r="C61" t="str">
        <f t="shared" si="3"/>
        <v>07002</v>
      </c>
      <c r="D61" s="7">
        <v>0.24990000000000001</v>
      </c>
      <c r="E61" s="7">
        <v>0.28180000000000005</v>
      </c>
      <c r="F61" s="7">
        <v>0.2339</v>
      </c>
      <c r="G61" s="7">
        <v>0.22909999999999997</v>
      </c>
      <c r="H61" s="7">
        <v>0.22670000000000001</v>
      </c>
      <c r="I61" s="7">
        <v>0.23099999999999998</v>
      </c>
      <c r="J61" s="7">
        <v>0.22499999999999998</v>
      </c>
      <c r="K61" s="7">
        <v>0.20779999999999998</v>
      </c>
      <c r="L61" s="7">
        <v>0.20540000000000003</v>
      </c>
      <c r="M61" s="7">
        <v>0.19130000000000003</v>
      </c>
    </row>
    <row r="62" spans="1:13" x14ac:dyDescent="0.25">
      <c r="A62" t="s">
        <v>238</v>
      </c>
      <c r="B62" t="s">
        <v>534</v>
      </c>
      <c r="C62" t="str">
        <f t="shared" si="3"/>
        <v>32414</v>
      </c>
      <c r="D62" s="7">
        <v>0.33499999999999996</v>
      </c>
      <c r="E62" s="7">
        <v>0.31879999999999997</v>
      </c>
      <c r="F62" s="7">
        <v>0.28659999999999997</v>
      </c>
      <c r="G62" s="7">
        <v>0.27929999999999999</v>
      </c>
      <c r="H62" s="7">
        <v>0.31169999999999998</v>
      </c>
      <c r="I62" s="7">
        <v>0.3014</v>
      </c>
      <c r="J62" s="7">
        <v>0.26890000000000003</v>
      </c>
      <c r="K62" s="7">
        <v>0.23229999999999995</v>
      </c>
      <c r="L62" s="7">
        <v>0.22409999999999997</v>
      </c>
      <c r="M62" s="7">
        <v>0.23829999999999996</v>
      </c>
    </row>
    <row r="63" spans="1:13" x14ac:dyDescent="0.25">
      <c r="A63" t="s">
        <v>189</v>
      </c>
      <c r="B63" t="s">
        <v>484</v>
      </c>
      <c r="C63" t="str">
        <f t="shared" si="3"/>
        <v>27343</v>
      </c>
      <c r="D63" s="7">
        <v>0.24590000000000001</v>
      </c>
      <c r="E63" s="7">
        <v>0.24019999999999997</v>
      </c>
      <c r="F63" s="7">
        <v>0.25939999999999996</v>
      </c>
      <c r="G63" s="7">
        <v>0.24050000000000005</v>
      </c>
      <c r="H63" s="7">
        <v>0.23380000000000001</v>
      </c>
      <c r="I63" s="7">
        <v>0.2722</v>
      </c>
      <c r="J63" s="7">
        <v>0.26700000000000002</v>
      </c>
      <c r="K63" s="7">
        <v>0.25560000000000005</v>
      </c>
      <c r="L63" s="7">
        <v>0.34050000000000002</v>
      </c>
      <c r="M63" s="7">
        <v>0.30800000000000005</v>
      </c>
    </row>
    <row r="64" spans="1:13" x14ac:dyDescent="0.25">
      <c r="A64" t="s">
        <v>261</v>
      </c>
      <c r="B64" t="s">
        <v>557</v>
      </c>
      <c r="C64" t="str">
        <f t="shared" si="3"/>
        <v>36101</v>
      </c>
      <c r="D64" s="7">
        <v>0.24990000000000001</v>
      </c>
      <c r="E64" s="7">
        <v>7.999999999999996E-2</v>
      </c>
      <c r="F64" s="7">
        <v>0.2339</v>
      </c>
      <c r="G64" s="7">
        <v>0.22909999999999997</v>
      </c>
      <c r="H64" s="7">
        <v>0.22670000000000001</v>
      </c>
      <c r="I64" s="7">
        <v>0.23099999999999998</v>
      </c>
      <c r="J64" s="7">
        <v>0.22499999999999998</v>
      </c>
      <c r="K64" s="7">
        <v>0.20779999999999998</v>
      </c>
      <c r="L64" s="7">
        <v>0.20540000000000003</v>
      </c>
      <c r="M64" s="7">
        <v>0.19130000000000003</v>
      </c>
    </row>
    <row r="65" spans="1:13" x14ac:dyDescent="0.25">
      <c r="A65" t="s">
        <v>235</v>
      </c>
      <c r="B65" t="s">
        <v>531</v>
      </c>
      <c r="C65" t="str">
        <f t="shared" si="3"/>
        <v>32361</v>
      </c>
      <c r="D65" s="7">
        <v>0.2681</v>
      </c>
      <c r="E65" s="7">
        <v>0.28469999999999995</v>
      </c>
      <c r="F65" s="7">
        <v>0.30330000000000001</v>
      </c>
      <c r="G65" s="7">
        <v>0.30879999999999996</v>
      </c>
      <c r="H65" s="7">
        <v>0.31359999999999999</v>
      </c>
      <c r="I65" s="7">
        <v>0.32679999999999998</v>
      </c>
      <c r="J65" s="7">
        <v>0.29279999999999995</v>
      </c>
      <c r="K65" s="7">
        <v>0.28859999999999997</v>
      </c>
      <c r="L65" s="7">
        <v>0.29569999999999996</v>
      </c>
      <c r="M65" s="7">
        <v>0.31379999999999997</v>
      </c>
    </row>
    <row r="66" spans="1:13" x14ac:dyDescent="0.25">
      <c r="A66" t="s">
        <v>292</v>
      </c>
      <c r="B66" t="s">
        <v>588</v>
      </c>
      <c r="C66" t="str">
        <f t="shared" si="3"/>
        <v>39090</v>
      </c>
      <c r="D66" s="7">
        <v>0.33160000000000001</v>
      </c>
      <c r="E66" s="7">
        <v>0.33389999999999997</v>
      </c>
      <c r="F66" s="7">
        <v>0.33579999999999999</v>
      </c>
      <c r="G66" s="7">
        <v>0.32289999999999996</v>
      </c>
      <c r="H66" s="7">
        <v>0.30910000000000004</v>
      </c>
      <c r="I66" s="7">
        <v>0.29220000000000002</v>
      </c>
      <c r="J66" s="7">
        <v>0.26829999999999998</v>
      </c>
      <c r="K66" s="7">
        <v>0.27410000000000001</v>
      </c>
      <c r="L66" s="7">
        <v>0.22989999999999999</v>
      </c>
      <c r="M66" s="7">
        <v>0.21899999999999997</v>
      </c>
    </row>
    <row r="67" spans="1:13" x14ac:dyDescent="0.25">
      <c r="A67" t="s">
        <v>52</v>
      </c>
      <c r="B67" t="s">
        <v>348</v>
      </c>
      <c r="C67" t="str">
        <f t="shared" si="3"/>
        <v>09206</v>
      </c>
      <c r="D67" s="7">
        <v>0.25139999999999996</v>
      </c>
      <c r="E67" s="7">
        <v>0.26239999999999997</v>
      </c>
      <c r="F67" s="7">
        <v>0.25819999999999999</v>
      </c>
      <c r="G67" s="7">
        <v>0.25190000000000001</v>
      </c>
      <c r="H67" s="7">
        <v>0.2429</v>
      </c>
      <c r="I67" s="7">
        <v>0.22660000000000002</v>
      </c>
      <c r="J67" s="7">
        <v>0.22370000000000001</v>
      </c>
      <c r="K67" s="7">
        <v>0.21889999999999998</v>
      </c>
      <c r="L67" s="7">
        <v>0.21650000000000003</v>
      </c>
      <c r="M67" s="7">
        <v>0.20720000000000005</v>
      </c>
    </row>
    <row r="68" spans="1:13" x14ac:dyDescent="0.25">
      <c r="A68" t="s">
        <v>123</v>
      </c>
      <c r="B68" t="s">
        <v>419</v>
      </c>
      <c r="C68" t="str">
        <f t="shared" ref="C68:C131" si="5">A68</f>
        <v>19028</v>
      </c>
      <c r="D68" s="7">
        <v>0.11870000000000003</v>
      </c>
      <c r="E68" s="7">
        <v>0.2671</v>
      </c>
      <c r="F68" s="7">
        <v>0.18940000000000001</v>
      </c>
      <c r="G68" s="7">
        <v>0.20369999999999999</v>
      </c>
      <c r="H68" s="7">
        <v>0.20689999999999997</v>
      </c>
      <c r="I68" s="7">
        <v>0.1462</v>
      </c>
      <c r="J68" s="7">
        <v>0.12870000000000004</v>
      </c>
      <c r="K68" s="7">
        <v>0.18120000000000003</v>
      </c>
      <c r="L68" s="7">
        <v>0.21199999999999997</v>
      </c>
      <c r="M68" s="7">
        <v>0.16139999999999999</v>
      </c>
    </row>
    <row r="69" spans="1:13" x14ac:dyDescent="0.25">
      <c r="A69" t="s">
        <v>195</v>
      </c>
      <c r="B69" t="s">
        <v>490</v>
      </c>
      <c r="C69" t="str">
        <f t="shared" si="5"/>
        <v>27404</v>
      </c>
      <c r="D69" s="7">
        <v>0.30759999999999998</v>
      </c>
      <c r="E69" s="7">
        <v>0.30689999999999995</v>
      </c>
      <c r="F69" s="7">
        <v>0.27039999999999997</v>
      </c>
      <c r="G69" s="7">
        <v>0.24790000000000001</v>
      </c>
      <c r="H69" s="7">
        <v>0.2782</v>
      </c>
      <c r="I69" s="7">
        <v>0.25670000000000004</v>
      </c>
      <c r="J69" s="7">
        <v>0.27139999999999997</v>
      </c>
      <c r="K69" s="7">
        <v>0.23119999999999996</v>
      </c>
      <c r="L69" s="7">
        <v>0.23529999999999995</v>
      </c>
      <c r="M69" s="7">
        <v>0.26800000000000002</v>
      </c>
    </row>
    <row r="70" spans="1:13" x14ac:dyDescent="0.25">
      <c r="A70" t="s">
        <v>216</v>
      </c>
      <c r="B70" t="s">
        <v>511</v>
      </c>
      <c r="C70" t="str">
        <f t="shared" si="5"/>
        <v>31015</v>
      </c>
      <c r="D70" s="7">
        <v>0.32730000000000004</v>
      </c>
      <c r="E70" s="7">
        <v>0.32889999999999997</v>
      </c>
      <c r="F70" s="7">
        <v>0.33220000000000005</v>
      </c>
      <c r="G70" s="7">
        <v>0.32520000000000004</v>
      </c>
      <c r="H70" s="7">
        <v>0.32479999999999998</v>
      </c>
      <c r="I70" s="7">
        <v>0.31599999999999995</v>
      </c>
      <c r="J70" s="7">
        <v>0.31579999999999997</v>
      </c>
      <c r="K70" s="7">
        <v>0.31059999999999999</v>
      </c>
      <c r="L70" s="7">
        <v>0.30279999999999996</v>
      </c>
      <c r="M70" s="7">
        <v>0.29459999999999997</v>
      </c>
    </row>
    <row r="71" spans="1:13" x14ac:dyDescent="0.25">
      <c r="A71" t="s">
        <v>125</v>
      </c>
      <c r="B71" t="s">
        <v>421</v>
      </c>
      <c r="C71" t="str">
        <f t="shared" si="5"/>
        <v>19401</v>
      </c>
      <c r="D71" s="7">
        <v>0.3276</v>
      </c>
      <c r="E71" s="7">
        <v>0.29530000000000001</v>
      </c>
      <c r="F71" s="7">
        <v>0.29479999999999995</v>
      </c>
      <c r="G71" s="7">
        <v>0.30869999999999997</v>
      </c>
      <c r="H71" s="7">
        <v>0.28049999999999997</v>
      </c>
      <c r="I71" s="7">
        <v>0.26680000000000004</v>
      </c>
      <c r="J71" s="7">
        <v>0.249</v>
      </c>
      <c r="K71" s="7">
        <v>0.23719999999999997</v>
      </c>
      <c r="L71" s="7">
        <v>0.24360000000000004</v>
      </c>
      <c r="M71" s="7">
        <v>0.22750000000000004</v>
      </c>
    </row>
    <row r="72" spans="1:13" x14ac:dyDescent="0.25">
      <c r="A72" t="s">
        <v>80</v>
      </c>
      <c r="B72" t="s">
        <v>376</v>
      </c>
      <c r="C72" t="str">
        <f t="shared" si="5"/>
        <v>14068</v>
      </c>
      <c r="D72" s="7">
        <v>0.29849999999999999</v>
      </c>
      <c r="E72" s="7">
        <v>0.2984</v>
      </c>
      <c r="F72" s="7">
        <v>0.32240000000000002</v>
      </c>
      <c r="G72" s="7">
        <v>0.33009999999999995</v>
      </c>
      <c r="H72" s="7">
        <v>0.30579999999999996</v>
      </c>
      <c r="I72" s="7">
        <v>0.31699999999999995</v>
      </c>
      <c r="J72" s="7">
        <v>0.30610000000000004</v>
      </c>
      <c r="K72" s="7">
        <v>0.27590000000000003</v>
      </c>
      <c r="L72" s="7">
        <v>0.27629999999999999</v>
      </c>
      <c r="M72" s="7">
        <v>0.25609999999999999</v>
      </c>
    </row>
    <row r="73" spans="1:13" x14ac:dyDescent="0.25">
      <c r="A73" t="s">
        <v>285</v>
      </c>
      <c r="B73" t="s">
        <v>581</v>
      </c>
      <c r="C73" t="str">
        <f t="shared" si="5"/>
        <v>38308</v>
      </c>
      <c r="D73" s="7">
        <v>0.23870000000000002</v>
      </c>
      <c r="E73" s="7">
        <v>0.22140000000000004</v>
      </c>
      <c r="F73" s="7">
        <v>0.245</v>
      </c>
      <c r="G73" s="7">
        <v>0.10999999999999999</v>
      </c>
      <c r="H73" s="7">
        <v>0.13329999999999997</v>
      </c>
      <c r="I73" s="7">
        <v>0.253</v>
      </c>
      <c r="J73" s="7">
        <v>0.13790000000000002</v>
      </c>
      <c r="K73" s="7">
        <v>0.18149999999999999</v>
      </c>
      <c r="L73" s="7">
        <v>0.15480000000000005</v>
      </c>
      <c r="M73" s="7">
        <v>0.15139999999999998</v>
      </c>
    </row>
    <row r="74" spans="1:13" x14ac:dyDescent="0.25">
      <c r="A74" t="s">
        <v>22</v>
      </c>
      <c r="B74" t="s">
        <v>319</v>
      </c>
      <c r="C74" t="str">
        <f t="shared" si="5"/>
        <v>04127</v>
      </c>
      <c r="D74" s="7">
        <v>0.14870000000000005</v>
      </c>
      <c r="E74" s="7">
        <v>0.15969999999999995</v>
      </c>
      <c r="F74" s="7">
        <v>0.12239999999999995</v>
      </c>
      <c r="G74" s="7">
        <v>0.11539999999999995</v>
      </c>
      <c r="H74" s="7">
        <v>0.14449999999999996</v>
      </c>
      <c r="I74" s="7">
        <v>0.15329999999999999</v>
      </c>
      <c r="J74" s="7">
        <v>0.16000000000000003</v>
      </c>
      <c r="K74" s="7">
        <v>0.15110000000000001</v>
      </c>
      <c r="L74" s="7">
        <v>0.15890000000000004</v>
      </c>
      <c r="M74" s="7">
        <v>0.19130000000000003</v>
      </c>
    </row>
    <row r="75" spans="1:13" x14ac:dyDescent="0.25">
      <c r="A75" t="s">
        <v>98</v>
      </c>
      <c r="B75" t="s">
        <v>394</v>
      </c>
      <c r="C75" t="str">
        <f t="shared" si="5"/>
        <v>17216</v>
      </c>
      <c r="D75" s="7">
        <v>0.28029999999999999</v>
      </c>
      <c r="E75" s="7">
        <v>0.28339999999999999</v>
      </c>
      <c r="F75" s="7">
        <v>0.2923</v>
      </c>
      <c r="G75" s="7">
        <v>0.2883</v>
      </c>
      <c r="H75" s="7">
        <v>0.28979999999999995</v>
      </c>
      <c r="I75" s="7">
        <v>0.28820000000000001</v>
      </c>
      <c r="J75" s="7">
        <v>0.26700000000000002</v>
      </c>
      <c r="K75" s="7">
        <v>0.24990000000000001</v>
      </c>
      <c r="L75" s="7">
        <v>0.25790000000000002</v>
      </c>
      <c r="M75" s="7">
        <v>0.25290000000000001</v>
      </c>
    </row>
    <row r="76" spans="1:13" x14ac:dyDescent="0.25">
      <c r="A76" t="s">
        <v>72</v>
      </c>
      <c r="B76" t="s">
        <v>368</v>
      </c>
      <c r="C76" t="str">
        <f t="shared" si="5"/>
        <v>13165</v>
      </c>
      <c r="D76" s="7">
        <v>0.251</v>
      </c>
      <c r="E76" s="7">
        <v>0.27510000000000001</v>
      </c>
      <c r="F76" s="7">
        <v>0.26559999999999995</v>
      </c>
      <c r="G76" s="7">
        <v>0.27739999999999998</v>
      </c>
      <c r="H76" s="7">
        <v>0.28049999999999997</v>
      </c>
      <c r="I76" s="7">
        <v>0.23360000000000003</v>
      </c>
      <c r="J76" s="7">
        <v>0.22670000000000001</v>
      </c>
      <c r="K76" s="7">
        <v>0.22709999999999997</v>
      </c>
      <c r="L76" s="7">
        <v>0.24590000000000001</v>
      </c>
      <c r="M76" s="7">
        <v>0.23740000000000006</v>
      </c>
    </row>
    <row r="77" spans="1:13" x14ac:dyDescent="0.25">
      <c r="A77" t="s">
        <v>139</v>
      </c>
      <c r="B77" t="s">
        <v>435</v>
      </c>
      <c r="C77" t="str">
        <f t="shared" si="5"/>
        <v>21036</v>
      </c>
      <c r="D77" s="7">
        <v>0.30400000000000005</v>
      </c>
      <c r="E77" s="7">
        <v>0.18500000000000005</v>
      </c>
      <c r="F77" s="7">
        <v>0.18500000000000005</v>
      </c>
      <c r="G77" s="7">
        <v>0.16000000000000003</v>
      </c>
      <c r="H77" s="7">
        <v>0.17330000000000001</v>
      </c>
      <c r="I77" s="7">
        <v>0.14100000000000001</v>
      </c>
      <c r="J77" s="7">
        <v>0.12</v>
      </c>
      <c r="K77" s="7">
        <v>0.12709999999999999</v>
      </c>
      <c r="L77" s="7">
        <v>0.16249999999999998</v>
      </c>
      <c r="M77" s="7">
        <v>7.999999999999996E-2</v>
      </c>
    </row>
    <row r="78" spans="1:13" x14ac:dyDescent="0.25">
      <c r="A78" t="s">
        <v>213</v>
      </c>
      <c r="B78" t="s">
        <v>508</v>
      </c>
      <c r="C78" t="str">
        <f t="shared" si="5"/>
        <v>31002</v>
      </c>
      <c r="D78" s="7">
        <v>0.30640000000000001</v>
      </c>
      <c r="E78" s="7">
        <v>0.31269999999999998</v>
      </c>
      <c r="F78" s="7">
        <v>0.31630000000000003</v>
      </c>
      <c r="G78" s="7">
        <v>0.31679999999999997</v>
      </c>
      <c r="H78" s="7">
        <v>0.32010000000000005</v>
      </c>
      <c r="I78" s="7">
        <v>0.32140000000000002</v>
      </c>
      <c r="J78" s="7">
        <v>0.32099999999999995</v>
      </c>
      <c r="K78" s="7">
        <v>0.32179999999999997</v>
      </c>
      <c r="L78" s="7">
        <v>0.30900000000000005</v>
      </c>
      <c r="M78" s="7">
        <v>0.29820000000000002</v>
      </c>
    </row>
    <row r="79" spans="1:13" x14ac:dyDescent="0.25">
      <c r="A79" t="s">
        <v>37</v>
      </c>
      <c r="B79" t="s">
        <v>333</v>
      </c>
      <c r="C79" t="str">
        <f t="shared" si="5"/>
        <v>06114</v>
      </c>
      <c r="D79" s="7">
        <v>0.24019999999999997</v>
      </c>
      <c r="E79" s="7">
        <v>0.23829999999999996</v>
      </c>
      <c r="F79" s="7">
        <v>0.23770000000000002</v>
      </c>
      <c r="G79" s="7">
        <v>0.23519999999999996</v>
      </c>
      <c r="H79" s="7">
        <v>0.23580000000000001</v>
      </c>
      <c r="I79" s="7">
        <v>0.23819999999999997</v>
      </c>
      <c r="J79" s="7">
        <v>0.24450000000000005</v>
      </c>
      <c r="K79" s="7">
        <v>0.21940000000000004</v>
      </c>
      <c r="L79" s="7">
        <v>0.2238</v>
      </c>
      <c r="M79" s="7">
        <v>0.21540000000000004</v>
      </c>
    </row>
    <row r="80" spans="1:13" x14ac:dyDescent="0.25">
      <c r="A80" t="s">
        <v>247</v>
      </c>
      <c r="B80" t="s">
        <v>543</v>
      </c>
      <c r="C80" t="str">
        <f t="shared" si="5"/>
        <v>33205</v>
      </c>
      <c r="D80" s="7">
        <v>0</v>
      </c>
      <c r="E80" s="7">
        <v>7.999999999999996E-2</v>
      </c>
      <c r="F80" s="7">
        <v>7.999999999999996E-2</v>
      </c>
      <c r="G80" s="7">
        <v>7.999999999999996E-2</v>
      </c>
      <c r="H80" s="7">
        <v>7.999999999999996E-2</v>
      </c>
      <c r="I80" s="7">
        <v>7.999999999999996E-2</v>
      </c>
      <c r="J80" s="7">
        <v>7.999999999999996E-2</v>
      </c>
      <c r="K80" s="7">
        <v>7.999999999999996E-2</v>
      </c>
      <c r="L80" s="7">
        <v>7.999999999999996E-2</v>
      </c>
      <c r="M80" s="7">
        <v>7.999999999999996E-2</v>
      </c>
    </row>
    <row r="81" spans="1:13" x14ac:dyDescent="0.25">
      <c r="A81" t="s">
        <v>97</v>
      </c>
      <c r="B81" t="s">
        <v>393</v>
      </c>
      <c r="C81" t="str">
        <f t="shared" si="5"/>
        <v>17210</v>
      </c>
      <c r="D81" s="7">
        <v>0.31769999999999998</v>
      </c>
      <c r="E81" s="7">
        <v>0.32379999999999998</v>
      </c>
      <c r="F81" s="7">
        <v>0.32979999999999998</v>
      </c>
      <c r="G81" s="7">
        <v>0.32110000000000005</v>
      </c>
      <c r="H81" s="7">
        <v>0.31299999999999994</v>
      </c>
      <c r="I81" s="7">
        <v>0.31459999999999999</v>
      </c>
      <c r="J81" s="7">
        <v>0.31330000000000002</v>
      </c>
      <c r="K81" s="7">
        <v>0.29910000000000003</v>
      </c>
      <c r="L81" s="7">
        <v>0.29820000000000002</v>
      </c>
      <c r="M81" s="7">
        <v>0.29710000000000003</v>
      </c>
    </row>
    <row r="82" spans="1:13" x14ac:dyDescent="0.25">
      <c r="A82" t="s">
        <v>269</v>
      </c>
      <c r="B82" t="s">
        <v>565</v>
      </c>
      <c r="C82" t="str">
        <f t="shared" si="5"/>
        <v>37502</v>
      </c>
      <c r="D82" s="7">
        <v>0.29620000000000002</v>
      </c>
      <c r="E82" s="7">
        <v>0.28669999999999995</v>
      </c>
      <c r="F82" s="7">
        <v>0.28369999999999995</v>
      </c>
      <c r="G82" s="7">
        <v>0.27910000000000001</v>
      </c>
      <c r="H82" s="7">
        <v>0.26370000000000005</v>
      </c>
      <c r="I82" s="7">
        <v>0.26819999999999999</v>
      </c>
      <c r="J82" s="7">
        <v>0.26490000000000002</v>
      </c>
      <c r="K82" s="7">
        <v>0.26319999999999999</v>
      </c>
      <c r="L82" s="7">
        <v>0.25629999999999997</v>
      </c>
      <c r="M82" s="7">
        <v>0.23380000000000001</v>
      </c>
    </row>
    <row r="83" spans="1:13" x14ac:dyDescent="0.25">
      <c r="A83" t="s">
        <v>197</v>
      </c>
      <c r="B83" t="s">
        <v>492</v>
      </c>
      <c r="C83" t="str">
        <f t="shared" si="5"/>
        <v>27417</v>
      </c>
      <c r="D83" s="7">
        <v>0.34279999999999999</v>
      </c>
      <c r="E83" s="7">
        <v>0.3347</v>
      </c>
      <c r="F83" s="7">
        <v>0.34279999999999999</v>
      </c>
      <c r="G83" s="7">
        <v>0.35760000000000003</v>
      </c>
      <c r="H83" s="7">
        <v>0.35170000000000001</v>
      </c>
      <c r="I83" s="7">
        <v>0.33279999999999998</v>
      </c>
      <c r="J83" s="7">
        <v>0.32030000000000003</v>
      </c>
      <c r="K83" s="7">
        <v>0.30549999999999999</v>
      </c>
      <c r="L83" s="7">
        <v>0.3014</v>
      </c>
      <c r="M83" s="7">
        <v>0.31140000000000001</v>
      </c>
    </row>
    <row r="84" spans="1:13" x14ac:dyDescent="0.25">
      <c r="A84" t="s">
        <v>17</v>
      </c>
      <c r="B84" t="s">
        <v>314</v>
      </c>
      <c r="C84" t="str">
        <f t="shared" si="5"/>
        <v>03053</v>
      </c>
      <c r="D84" s="7">
        <v>0.30510000000000004</v>
      </c>
      <c r="E84" s="7">
        <v>0.33240000000000003</v>
      </c>
      <c r="F84" s="7">
        <v>0.33420000000000005</v>
      </c>
      <c r="G84" s="7">
        <v>0.35019999999999996</v>
      </c>
      <c r="H84" s="7">
        <v>0.3377</v>
      </c>
      <c r="I84" s="7">
        <v>0.30589999999999995</v>
      </c>
      <c r="J84" s="7">
        <v>0.21860000000000002</v>
      </c>
      <c r="K84" s="7">
        <v>0.25739999999999996</v>
      </c>
      <c r="L84" s="7">
        <v>0.27610000000000001</v>
      </c>
      <c r="M84" s="7">
        <v>0.27039999999999997</v>
      </c>
    </row>
    <row r="85" spans="1:13" x14ac:dyDescent="0.25">
      <c r="A85" t="s">
        <v>193</v>
      </c>
      <c r="B85" t="s">
        <v>488</v>
      </c>
      <c r="C85" t="str">
        <f t="shared" si="5"/>
        <v>27402</v>
      </c>
      <c r="D85" s="7">
        <v>0.30379999999999996</v>
      </c>
      <c r="E85" s="7">
        <v>0.3054</v>
      </c>
      <c r="F85" s="7">
        <v>0.31330000000000002</v>
      </c>
      <c r="G85" s="7">
        <v>0.30969999999999998</v>
      </c>
      <c r="H85" s="7">
        <v>0.31159999999999999</v>
      </c>
      <c r="I85" s="7">
        <v>0.31999999999999995</v>
      </c>
      <c r="J85" s="7">
        <v>0.31359999999999999</v>
      </c>
      <c r="K85" s="7">
        <v>0.30720000000000003</v>
      </c>
      <c r="L85" s="7">
        <v>0.30259999999999998</v>
      </c>
      <c r="M85" s="7">
        <v>0.31130000000000002</v>
      </c>
    </row>
    <row r="86" spans="1:13" x14ac:dyDescent="0.25">
      <c r="A86" t="s">
        <v>233</v>
      </c>
      <c r="B86" t="s">
        <v>529</v>
      </c>
      <c r="C86" t="str">
        <f t="shared" si="5"/>
        <v>32358</v>
      </c>
      <c r="D86" s="7">
        <v>0.18710000000000004</v>
      </c>
      <c r="E86" s="7">
        <v>0.21619999999999995</v>
      </c>
      <c r="F86" s="7">
        <v>0.24229999999999996</v>
      </c>
      <c r="G86" s="7">
        <v>0.25649999999999995</v>
      </c>
      <c r="H86" s="7">
        <v>0.20620000000000005</v>
      </c>
      <c r="I86" s="7">
        <v>0.22389999999999999</v>
      </c>
      <c r="J86" s="7">
        <v>0.22899999999999998</v>
      </c>
      <c r="K86" s="7">
        <v>0.19310000000000005</v>
      </c>
      <c r="L86" s="7">
        <v>0.21999999999999997</v>
      </c>
      <c r="M86" s="7">
        <v>0.20020000000000004</v>
      </c>
    </row>
    <row r="87" spans="1:13" x14ac:dyDescent="0.25">
      <c r="A87" t="s">
        <v>282</v>
      </c>
      <c r="B87" t="s">
        <v>578</v>
      </c>
      <c r="C87" t="str">
        <f t="shared" si="5"/>
        <v>38302</v>
      </c>
      <c r="D87" s="7">
        <v>0.21760000000000002</v>
      </c>
      <c r="E87" s="7">
        <v>0.15710000000000002</v>
      </c>
      <c r="F87" s="7">
        <v>0.15349999999999997</v>
      </c>
      <c r="G87" s="7">
        <v>0.10940000000000005</v>
      </c>
      <c r="H87" s="7">
        <v>0.14119999999999999</v>
      </c>
      <c r="I87" s="7">
        <v>0.16620000000000001</v>
      </c>
      <c r="J87" s="7">
        <v>0.14880000000000004</v>
      </c>
      <c r="K87" s="7">
        <v>0.13500000000000001</v>
      </c>
      <c r="L87" s="7">
        <v>0.13600000000000001</v>
      </c>
      <c r="M87" s="7">
        <v>0.17410000000000003</v>
      </c>
    </row>
    <row r="88" spans="1:13" x14ac:dyDescent="0.25">
      <c r="A88" t="s">
        <v>132</v>
      </c>
      <c r="B88" t="s">
        <v>428</v>
      </c>
      <c r="C88" t="str">
        <f t="shared" si="5"/>
        <v>20401</v>
      </c>
      <c r="D88" s="7">
        <v>0.24990000000000001</v>
      </c>
      <c r="E88" s="7">
        <v>9.9999999999999978E-2</v>
      </c>
      <c r="F88" s="7">
        <v>0.2339</v>
      </c>
      <c r="G88" s="7">
        <v>0.22909999999999997</v>
      </c>
      <c r="H88" s="7">
        <v>0.22670000000000001</v>
      </c>
      <c r="I88" s="7">
        <v>0.23099999999999998</v>
      </c>
      <c r="J88" s="7">
        <v>0.22499999999999998</v>
      </c>
      <c r="K88" s="7">
        <v>0.20779999999999998</v>
      </c>
      <c r="L88" s="7">
        <v>0.20540000000000003</v>
      </c>
      <c r="M88" s="7">
        <v>0.19130000000000003</v>
      </c>
    </row>
    <row r="89" spans="1:13" x14ac:dyDescent="0.25">
      <c r="A89" t="s">
        <v>135</v>
      </c>
      <c r="B89" t="s">
        <v>431</v>
      </c>
      <c r="C89" t="str">
        <f t="shared" si="5"/>
        <v>20404</v>
      </c>
      <c r="D89" s="7">
        <v>0.24990000000000001</v>
      </c>
      <c r="E89" s="7">
        <v>0.22319999999999995</v>
      </c>
      <c r="F89" s="7">
        <v>0.2339</v>
      </c>
      <c r="G89" s="7">
        <v>0.22909999999999997</v>
      </c>
      <c r="H89" s="7">
        <v>0.22670000000000001</v>
      </c>
      <c r="I89" s="7">
        <v>0.23099999999999998</v>
      </c>
      <c r="J89" s="7">
        <v>0.22499999999999998</v>
      </c>
      <c r="K89" s="7">
        <v>0.20779999999999998</v>
      </c>
      <c r="L89" s="7">
        <v>0.20540000000000003</v>
      </c>
      <c r="M89" s="7">
        <v>0.19130000000000003</v>
      </c>
    </row>
    <row r="90" spans="1:13" x14ac:dyDescent="0.25">
      <c r="A90" t="s">
        <v>74</v>
      </c>
      <c r="B90" t="s">
        <v>370</v>
      </c>
      <c r="C90" t="str">
        <f t="shared" si="5"/>
        <v>13301</v>
      </c>
      <c r="D90" s="7">
        <v>0.26180000000000003</v>
      </c>
      <c r="E90" s="7">
        <v>0.24009999999999998</v>
      </c>
      <c r="F90" s="7">
        <v>0.22450000000000003</v>
      </c>
      <c r="G90" s="7">
        <v>0.2409</v>
      </c>
      <c r="H90" s="7">
        <v>0.24070000000000003</v>
      </c>
      <c r="I90" s="7">
        <v>0.18520000000000003</v>
      </c>
      <c r="J90" s="7">
        <v>0.18540000000000001</v>
      </c>
      <c r="K90" s="7">
        <v>0.19479999999999997</v>
      </c>
      <c r="L90" s="7">
        <v>0.21109999999999995</v>
      </c>
      <c r="M90" s="7">
        <v>0.25049999999999994</v>
      </c>
    </row>
    <row r="91" spans="1:13" x14ac:dyDescent="0.25">
      <c r="A91" t="s">
        <v>295</v>
      </c>
      <c r="B91" t="s">
        <v>591</v>
      </c>
      <c r="C91" t="str">
        <f t="shared" si="5"/>
        <v>39200</v>
      </c>
      <c r="D91" s="7">
        <v>0.2853</v>
      </c>
      <c r="E91" s="7">
        <v>0.2974</v>
      </c>
      <c r="F91" s="7">
        <v>0.29459999999999997</v>
      </c>
      <c r="G91" s="7">
        <v>0.29510000000000003</v>
      </c>
      <c r="H91" s="7">
        <v>0.30300000000000005</v>
      </c>
      <c r="I91" s="7">
        <v>0.31479999999999997</v>
      </c>
      <c r="J91" s="7">
        <v>0.30520000000000003</v>
      </c>
      <c r="K91" s="7">
        <v>0.31810000000000005</v>
      </c>
      <c r="L91" s="7">
        <v>0.32189999999999996</v>
      </c>
      <c r="M91" s="7">
        <v>0.30710000000000004</v>
      </c>
    </row>
    <row r="92" spans="1:13" x14ac:dyDescent="0.25">
      <c r="A92" t="s">
        <v>299</v>
      </c>
      <c r="B92" t="s">
        <v>595</v>
      </c>
      <c r="C92" t="str">
        <f t="shared" si="5"/>
        <v>39204</v>
      </c>
      <c r="D92" s="7">
        <v>0.22360000000000002</v>
      </c>
      <c r="E92" s="7">
        <v>0.2177</v>
      </c>
      <c r="F92" s="7">
        <v>0.21040000000000003</v>
      </c>
      <c r="G92" s="7">
        <v>0.24439999999999995</v>
      </c>
      <c r="H92" s="7">
        <v>0.27980000000000005</v>
      </c>
      <c r="I92" s="7">
        <v>0.28339999999999999</v>
      </c>
      <c r="J92" s="7">
        <v>0.29979999999999996</v>
      </c>
      <c r="K92" s="7">
        <v>0.28949999999999998</v>
      </c>
      <c r="L92" s="7">
        <v>0.26039999999999996</v>
      </c>
      <c r="M92" s="7">
        <v>0.27610000000000001</v>
      </c>
    </row>
    <row r="93" spans="1:13" x14ac:dyDescent="0.25">
      <c r="A93" t="s">
        <v>225</v>
      </c>
      <c r="B93" t="s">
        <v>520</v>
      </c>
      <c r="C93" t="str">
        <f t="shared" si="5"/>
        <v>31332</v>
      </c>
      <c r="D93" s="7">
        <v>0.30640000000000001</v>
      </c>
      <c r="E93" s="7">
        <v>0.32179999999999997</v>
      </c>
      <c r="F93" s="7">
        <v>0.32150000000000001</v>
      </c>
      <c r="G93" s="7">
        <v>0.30120000000000002</v>
      </c>
      <c r="H93" s="7">
        <v>0.30659999999999998</v>
      </c>
      <c r="I93" s="7">
        <v>0.27070000000000005</v>
      </c>
      <c r="J93" s="7">
        <v>0.27459999999999996</v>
      </c>
      <c r="K93" s="7">
        <v>0.25060000000000004</v>
      </c>
      <c r="L93" s="7">
        <v>0.26580000000000004</v>
      </c>
      <c r="M93" s="7">
        <v>0.27300000000000002</v>
      </c>
    </row>
    <row r="94" spans="1:13" x14ac:dyDescent="0.25">
      <c r="A94" t="s">
        <v>160</v>
      </c>
      <c r="B94" t="s">
        <v>456</v>
      </c>
      <c r="C94" t="str">
        <f t="shared" si="5"/>
        <v>23054</v>
      </c>
      <c r="D94" s="7">
        <v>8.6699999999999999E-2</v>
      </c>
      <c r="E94" s="7">
        <v>9.319999999999995E-2</v>
      </c>
      <c r="F94" s="7">
        <v>0.14270000000000005</v>
      </c>
      <c r="G94" s="7">
        <v>0.12050000000000005</v>
      </c>
      <c r="H94" s="7">
        <v>9.1899999999999982E-2</v>
      </c>
      <c r="I94" s="7">
        <v>0.10519999999999996</v>
      </c>
      <c r="J94" s="7">
        <v>0.10229999999999995</v>
      </c>
      <c r="K94" s="7">
        <v>9.2500000000000027E-2</v>
      </c>
      <c r="L94" s="7">
        <v>9.7700000000000009E-2</v>
      </c>
      <c r="M94" s="7">
        <v>9.7999999999999976E-2</v>
      </c>
    </row>
    <row r="95" spans="1:13" x14ac:dyDescent="0.25">
      <c r="A95" t="s">
        <v>228</v>
      </c>
      <c r="B95" t="s">
        <v>524</v>
      </c>
      <c r="C95" t="str">
        <f t="shared" si="5"/>
        <v>32312</v>
      </c>
      <c r="D95" s="7">
        <v>7.999999999999996E-2</v>
      </c>
      <c r="E95" s="7">
        <v>7.999999999999996E-2</v>
      </c>
      <c r="F95" s="7">
        <v>8.5600000000000009E-2</v>
      </c>
      <c r="G95" s="7">
        <v>0.11499999999999999</v>
      </c>
      <c r="H95" s="7">
        <v>0.14600000000000002</v>
      </c>
      <c r="I95" s="7">
        <v>7.999999999999996E-2</v>
      </c>
      <c r="J95" s="7">
        <v>8.7099999999999955E-2</v>
      </c>
      <c r="K95" s="7">
        <v>7.999999999999996E-2</v>
      </c>
      <c r="L95" s="7">
        <v>7.999999999999996E-2</v>
      </c>
      <c r="M95" s="7">
        <v>8.7099999999999955E-2</v>
      </c>
    </row>
    <row r="96" spans="1:13" x14ac:dyDescent="0.25">
      <c r="A96" t="s">
        <v>35</v>
      </c>
      <c r="B96" t="s">
        <v>331</v>
      </c>
      <c r="C96" t="str">
        <f t="shared" si="5"/>
        <v>06103</v>
      </c>
      <c r="D96" s="7">
        <v>0.24990000000000001</v>
      </c>
      <c r="E96" s="7">
        <v>0.13200000000000001</v>
      </c>
      <c r="F96" s="7">
        <v>0.2339</v>
      </c>
      <c r="G96" s="7">
        <v>0.22909999999999997</v>
      </c>
      <c r="H96" s="7">
        <v>0.22670000000000001</v>
      </c>
      <c r="I96" s="7">
        <v>0.23099999999999998</v>
      </c>
      <c r="J96" s="7">
        <v>0.22499999999999998</v>
      </c>
      <c r="K96" s="7">
        <v>0.20779999999999998</v>
      </c>
      <c r="L96" s="7">
        <v>0.20540000000000003</v>
      </c>
      <c r="M96" s="7">
        <v>0.19130000000000003</v>
      </c>
    </row>
    <row r="97" spans="1:13" x14ac:dyDescent="0.25">
      <c r="A97" t="s">
        <v>257</v>
      </c>
      <c r="B97" t="s">
        <v>553</v>
      </c>
      <c r="C97" t="str">
        <f t="shared" si="5"/>
        <v>34324</v>
      </c>
      <c r="D97" s="7">
        <v>0.21519999999999995</v>
      </c>
      <c r="E97" s="7">
        <v>0.23929999999999996</v>
      </c>
      <c r="F97" s="7">
        <v>0.2651</v>
      </c>
      <c r="G97" s="7">
        <v>0.22189999999999999</v>
      </c>
      <c r="H97" s="7">
        <v>0.23419999999999996</v>
      </c>
      <c r="I97" s="7">
        <v>0.21730000000000005</v>
      </c>
      <c r="J97" s="7">
        <v>0.18330000000000002</v>
      </c>
      <c r="K97" s="7">
        <v>0.17400000000000004</v>
      </c>
      <c r="L97" s="7">
        <v>0.17320000000000002</v>
      </c>
      <c r="M97" s="7">
        <v>0.15300000000000002</v>
      </c>
    </row>
    <row r="98" spans="1:13" x14ac:dyDescent="0.25">
      <c r="A98" t="s">
        <v>157</v>
      </c>
      <c r="B98" t="s">
        <v>453</v>
      </c>
      <c r="C98" t="str">
        <f t="shared" si="5"/>
        <v>22204</v>
      </c>
      <c r="D98" s="7">
        <v>0.2611</v>
      </c>
      <c r="E98" s="7">
        <v>0.128</v>
      </c>
      <c r="F98" s="7">
        <v>0.12749999999999995</v>
      </c>
      <c r="G98" s="7">
        <v>0.15600000000000003</v>
      </c>
      <c r="H98" s="7">
        <v>0.13049999999999995</v>
      </c>
      <c r="I98" s="7">
        <v>0.11609999999999998</v>
      </c>
      <c r="J98" s="7">
        <v>0.13829999999999998</v>
      </c>
      <c r="K98" s="7">
        <v>0.12390000000000001</v>
      </c>
      <c r="L98" s="7">
        <v>0.11380000000000001</v>
      </c>
      <c r="M98" s="7">
        <v>0.11119999999999997</v>
      </c>
    </row>
    <row r="99" spans="1:13" x14ac:dyDescent="0.25">
      <c r="A99" t="s">
        <v>298</v>
      </c>
      <c r="B99" t="s">
        <v>594</v>
      </c>
      <c r="C99" t="str">
        <f t="shared" si="5"/>
        <v>39203</v>
      </c>
      <c r="D99" s="7">
        <v>0.30879999999999996</v>
      </c>
      <c r="E99" s="7">
        <v>0.33209999999999995</v>
      </c>
      <c r="F99" s="7">
        <v>0.40880000000000005</v>
      </c>
      <c r="G99" s="7">
        <v>0.32320000000000004</v>
      </c>
      <c r="H99" s="7">
        <v>0.35229999999999995</v>
      </c>
      <c r="I99" s="7">
        <v>0.35340000000000005</v>
      </c>
      <c r="J99" s="7">
        <v>0.15600000000000003</v>
      </c>
      <c r="K99" s="7">
        <v>0.21299999999999997</v>
      </c>
      <c r="L99" s="7">
        <v>0.20989999999999998</v>
      </c>
      <c r="M99" s="7">
        <v>0.25080000000000002</v>
      </c>
    </row>
    <row r="100" spans="1:13" x14ac:dyDescent="0.25">
      <c r="A100" t="s">
        <v>100</v>
      </c>
      <c r="B100" t="s">
        <v>396</v>
      </c>
      <c r="C100" t="str">
        <f t="shared" si="5"/>
        <v>17401</v>
      </c>
      <c r="D100" s="7">
        <v>0.29590000000000005</v>
      </c>
      <c r="E100" s="7">
        <v>0.29330000000000001</v>
      </c>
      <c r="F100" s="7">
        <v>0.2994</v>
      </c>
      <c r="G100" s="7">
        <v>0.28210000000000002</v>
      </c>
      <c r="H100" s="7">
        <v>0.27539999999999998</v>
      </c>
      <c r="I100" s="7">
        <v>0.27049999999999996</v>
      </c>
      <c r="J100" s="7">
        <v>0.2651</v>
      </c>
      <c r="K100" s="7">
        <v>0.24929999999999997</v>
      </c>
      <c r="L100" s="7">
        <v>0.25560000000000005</v>
      </c>
      <c r="M100" s="7">
        <v>0.24239999999999995</v>
      </c>
    </row>
    <row r="101" spans="1:13" x14ac:dyDescent="0.25">
      <c r="A101" t="s">
        <v>33</v>
      </c>
      <c r="B101" t="s">
        <v>329</v>
      </c>
      <c r="C101" t="str">
        <f t="shared" si="5"/>
        <v>06098</v>
      </c>
      <c r="D101" s="7">
        <v>0.26900000000000002</v>
      </c>
      <c r="E101" s="7">
        <v>0.28080000000000005</v>
      </c>
      <c r="F101" s="7">
        <v>0.26390000000000002</v>
      </c>
      <c r="G101" s="7">
        <v>0.26480000000000004</v>
      </c>
      <c r="H101" s="7">
        <v>0.2581</v>
      </c>
      <c r="I101" s="7">
        <v>0.23150000000000004</v>
      </c>
      <c r="J101" s="7">
        <v>0.22230000000000005</v>
      </c>
      <c r="K101" s="7">
        <v>0.21020000000000005</v>
      </c>
      <c r="L101" s="7">
        <v>0.22609999999999997</v>
      </c>
      <c r="M101" s="7">
        <v>0.16080000000000005</v>
      </c>
    </row>
    <row r="102" spans="1:13" x14ac:dyDescent="0.25">
      <c r="A102" t="s">
        <v>165</v>
      </c>
      <c r="B102" t="s">
        <v>461</v>
      </c>
      <c r="C102" t="str">
        <f t="shared" si="5"/>
        <v>23404</v>
      </c>
      <c r="D102" s="7">
        <v>0.16510000000000002</v>
      </c>
      <c r="E102" s="7">
        <v>0.14970000000000006</v>
      </c>
      <c r="F102" s="7">
        <v>0.1996</v>
      </c>
      <c r="G102" s="7">
        <v>0.22130000000000005</v>
      </c>
      <c r="H102" s="7">
        <v>0.25560000000000005</v>
      </c>
      <c r="I102" s="7">
        <v>0.1593</v>
      </c>
      <c r="J102" s="7">
        <v>0.22199999999999998</v>
      </c>
      <c r="K102" s="7">
        <v>0.16949999999999998</v>
      </c>
      <c r="L102" s="7">
        <v>0.12319999999999998</v>
      </c>
      <c r="M102" s="7">
        <v>0.13729999999999998</v>
      </c>
    </row>
    <row r="103" spans="1:13" x14ac:dyDescent="0.25">
      <c r="A103" t="s">
        <v>76</v>
      </c>
      <c r="B103" t="s">
        <v>372</v>
      </c>
      <c r="C103" t="str">
        <f t="shared" si="5"/>
        <v>14028</v>
      </c>
      <c r="D103" s="7">
        <v>0.21779999999999999</v>
      </c>
      <c r="E103" s="7">
        <v>0.19720000000000004</v>
      </c>
      <c r="F103" s="7">
        <v>0.23480000000000001</v>
      </c>
      <c r="G103" s="7">
        <v>0.25249999999999995</v>
      </c>
      <c r="H103" s="7">
        <v>0.255</v>
      </c>
      <c r="I103" s="7">
        <v>0.23150000000000004</v>
      </c>
      <c r="J103" s="7">
        <v>0.21379999999999999</v>
      </c>
      <c r="K103" s="7">
        <v>0.17149999999999999</v>
      </c>
      <c r="L103" s="7">
        <v>0.21850000000000003</v>
      </c>
      <c r="M103" s="7">
        <v>0.20040000000000002</v>
      </c>
    </row>
    <row r="104" spans="1:13" x14ac:dyDescent="0.25">
      <c r="A104" t="s">
        <v>1111</v>
      </c>
      <c r="B104" t="s">
        <v>1112</v>
      </c>
      <c r="C104" t="str">
        <f t="shared" si="5"/>
        <v>17919</v>
      </c>
      <c r="D104" s="7"/>
      <c r="E104" s="7"/>
      <c r="F104" s="7"/>
      <c r="G104" s="7"/>
      <c r="H104" s="7"/>
      <c r="I104" s="7"/>
      <c r="J104" s="7"/>
      <c r="K104" s="7"/>
      <c r="L104" s="7">
        <v>0.28959999999999997</v>
      </c>
      <c r="M104" s="7">
        <v>7.999999999999996E-2</v>
      </c>
    </row>
    <row r="105" spans="1:13" x14ac:dyDescent="0.25">
      <c r="A105" t="s">
        <v>666</v>
      </c>
      <c r="B105" t="s">
        <v>1110</v>
      </c>
      <c r="C105" t="str">
        <f t="shared" ref="C105" si="6">A105</f>
        <v>27902</v>
      </c>
      <c r="D105" s="7"/>
      <c r="E105" s="7"/>
      <c r="F105" s="7"/>
      <c r="G105" s="7"/>
      <c r="H105" s="7"/>
      <c r="I105" s="7"/>
      <c r="J105" s="7">
        <v>0.28220000000000001</v>
      </c>
      <c r="K105" s="7">
        <v>7.999999999999996E-2</v>
      </c>
      <c r="L105" s="7">
        <v>7.999999999999996E-2</v>
      </c>
      <c r="M105" s="7">
        <v>0.15000000000000002</v>
      </c>
    </row>
    <row r="106" spans="1:13" x14ac:dyDescent="0.25">
      <c r="A106" t="s">
        <v>631</v>
      </c>
      <c r="B106" t="s">
        <v>1108</v>
      </c>
      <c r="C106" t="str">
        <f t="shared" si="5"/>
        <v>17911</v>
      </c>
      <c r="D106" s="7"/>
      <c r="E106" s="7"/>
      <c r="F106" s="7"/>
      <c r="G106" s="7">
        <v>0.26529999999999998</v>
      </c>
      <c r="H106" s="7">
        <v>0.47499999999999998</v>
      </c>
      <c r="I106" s="7">
        <v>7.999999999999996E-2</v>
      </c>
      <c r="J106" s="7">
        <v>7.999999999999996E-2</v>
      </c>
      <c r="K106" s="7">
        <v>7.999999999999996E-2</v>
      </c>
      <c r="L106" s="7">
        <v>0.10150000000000003</v>
      </c>
      <c r="M106" s="7">
        <v>0.13149999999999995</v>
      </c>
    </row>
    <row r="107" spans="1:13" x14ac:dyDescent="0.25">
      <c r="A107" t="s">
        <v>654</v>
      </c>
      <c r="B107" t="s">
        <v>1109</v>
      </c>
      <c r="C107" t="str">
        <f t="shared" ref="C107" si="7">A107</f>
        <v>17916</v>
      </c>
      <c r="D107" s="7"/>
      <c r="E107" s="7"/>
      <c r="F107" s="7"/>
      <c r="G107" s="7"/>
      <c r="H107" s="7"/>
      <c r="I107" s="7">
        <f>I287</f>
        <v>0.24160000000000004</v>
      </c>
      <c r="J107" s="7">
        <v>0.94589999999999996</v>
      </c>
      <c r="K107" s="7">
        <v>7.999999999999996E-2</v>
      </c>
      <c r="L107" s="7">
        <v>7.999999999999996E-2</v>
      </c>
      <c r="M107" s="7">
        <v>9.9999999999999978E-2</v>
      </c>
    </row>
    <row r="108" spans="1:13" x14ac:dyDescent="0.25">
      <c r="A108" t="s">
        <v>58</v>
      </c>
      <c r="B108" t="s">
        <v>354</v>
      </c>
      <c r="C108" t="str">
        <f t="shared" si="5"/>
        <v>10070</v>
      </c>
      <c r="D108" s="7">
        <v>0.14670000000000005</v>
      </c>
      <c r="E108" s="7">
        <v>0.19420000000000004</v>
      </c>
      <c r="F108" s="7">
        <v>0.19330000000000003</v>
      </c>
      <c r="G108" s="7">
        <v>0.20820000000000005</v>
      </c>
      <c r="H108" s="7">
        <v>0.15690000000000004</v>
      </c>
      <c r="I108" s="7">
        <v>0.15849999999999997</v>
      </c>
      <c r="J108" s="7">
        <v>0.21870000000000001</v>
      </c>
      <c r="K108" s="7">
        <v>0.19479999999999997</v>
      </c>
      <c r="L108" s="7">
        <v>0.17779999999999996</v>
      </c>
      <c r="M108" s="7">
        <v>0.21899999999999997</v>
      </c>
    </row>
    <row r="109" spans="1:13" x14ac:dyDescent="0.25">
      <c r="A109" t="s">
        <v>219</v>
      </c>
      <c r="B109" t="s">
        <v>514</v>
      </c>
      <c r="C109" t="str">
        <f t="shared" si="5"/>
        <v>31063</v>
      </c>
      <c r="D109" s="7">
        <v>7.999999999999996E-2</v>
      </c>
      <c r="E109" s="7">
        <v>7.999999999999996E-2</v>
      </c>
      <c r="F109" s="7">
        <v>8.9999999999999969E-2</v>
      </c>
      <c r="G109" s="7">
        <v>7.999999999999996E-2</v>
      </c>
      <c r="H109" s="7">
        <v>7.999999999999996E-2</v>
      </c>
      <c r="I109" s="7">
        <v>0</v>
      </c>
      <c r="J109" s="7">
        <v>0.27400000000000002</v>
      </c>
      <c r="K109" s="7">
        <v>9.6700000000000008E-2</v>
      </c>
      <c r="L109" s="7">
        <v>9.2500000000000027E-2</v>
      </c>
      <c r="M109" s="7">
        <v>7.999999999999996E-2</v>
      </c>
    </row>
    <row r="110" spans="1:13" x14ac:dyDescent="0.25">
      <c r="A110" t="s">
        <v>110</v>
      </c>
      <c r="B110" t="s">
        <v>406</v>
      </c>
      <c r="C110" t="str">
        <f t="shared" si="5"/>
        <v>17411</v>
      </c>
      <c r="D110" s="7">
        <v>0.29330000000000001</v>
      </c>
      <c r="E110" s="7">
        <v>0.2984</v>
      </c>
      <c r="F110" s="7">
        <v>0.29139999999999999</v>
      </c>
      <c r="G110" s="7">
        <v>0.28710000000000002</v>
      </c>
      <c r="H110" s="7">
        <v>0.28049999999999997</v>
      </c>
      <c r="I110" s="7">
        <v>0.27580000000000005</v>
      </c>
      <c r="J110" s="7">
        <v>0.27180000000000004</v>
      </c>
      <c r="K110" s="7">
        <v>0.23529999999999995</v>
      </c>
      <c r="L110" s="7">
        <v>0.22870000000000001</v>
      </c>
      <c r="M110" s="7">
        <v>0.23299999999999998</v>
      </c>
    </row>
    <row r="111" spans="1:13" x14ac:dyDescent="0.25">
      <c r="A111" t="s">
        <v>63</v>
      </c>
      <c r="B111" t="s">
        <v>359</v>
      </c>
      <c r="C111" t="str">
        <f t="shared" si="5"/>
        <v>11056</v>
      </c>
      <c r="D111" s="7">
        <v>0.24990000000000001</v>
      </c>
      <c r="E111" s="7">
        <v>0.10499999999999998</v>
      </c>
      <c r="F111" s="7">
        <v>0.2339</v>
      </c>
      <c r="G111" s="7">
        <v>0.22909999999999997</v>
      </c>
      <c r="H111" s="7">
        <v>0.22670000000000001</v>
      </c>
      <c r="I111" s="7">
        <v>0.23099999999999998</v>
      </c>
      <c r="J111" s="7">
        <v>0.22499999999999998</v>
      </c>
      <c r="K111" s="7">
        <v>0.20779999999999998</v>
      </c>
      <c r="L111" s="7">
        <v>0.20540000000000003</v>
      </c>
      <c r="M111" s="7">
        <v>0.19130000000000003</v>
      </c>
    </row>
    <row r="112" spans="1:13" x14ac:dyDescent="0.25">
      <c r="A112" t="s">
        <v>46</v>
      </c>
      <c r="B112" t="s">
        <v>342</v>
      </c>
      <c r="C112" t="str">
        <f t="shared" si="5"/>
        <v>08402</v>
      </c>
      <c r="D112" s="7">
        <v>0.24990000000000001</v>
      </c>
      <c r="E112" s="7">
        <v>0.29720000000000002</v>
      </c>
      <c r="F112" s="7">
        <v>0.2339</v>
      </c>
      <c r="G112" s="7">
        <v>0.22909999999999997</v>
      </c>
      <c r="H112" s="7">
        <v>0.22670000000000001</v>
      </c>
      <c r="I112" s="7">
        <v>0.23099999999999998</v>
      </c>
      <c r="J112" s="7">
        <v>0.22499999999999998</v>
      </c>
      <c r="K112" s="7">
        <v>0.20779999999999998</v>
      </c>
      <c r="L112" s="7">
        <v>0.20540000000000003</v>
      </c>
      <c r="M112" s="7">
        <v>0.19130000000000003</v>
      </c>
    </row>
    <row r="113" spans="1:13" x14ac:dyDescent="0.25">
      <c r="A113" t="s">
        <v>55</v>
      </c>
      <c r="B113" t="s">
        <v>351</v>
      </c>
      <c r="C113" t="str">
        <f t="shared" si="5"/>
        <v>10003</v>
      </c>
      <c r="D113" s="7">
        <v>7.999999999999996E-2</v>
      </c>
      <c r="E113" s="7">
        <v>7.999999999999996E-2</v>
      </c>
      <c r="F113" s="7">
        <v>7.999999999999996E-2</v>
      </c>
      <c r="G113" s="7">
        <v>0.36</v>
      </c>
      <c r="H113" s="7">
        <v>0.36</v>
      </c>
      <c r="I113" s="7">
        <v>0.17330000000000001</v>
      </c>
      <c r="J113" s="7">
        <v>7.999999999999996E-2</v>
      </c>
      <c r="K113" s="7">
        <v>7.999999999999996E-2</v>
      </c>
      <c r="L113" s="7">
        <v>7.999999999999996E-2</v>
      </c>
      <c r="M113" s="7">
        <v>7.999999999999996E-2</v>
      </c>
    </row>
    <row r="114" spans="1:13" x14ac:dyDescent="0.25">
      <c r="A114" t="s">
        <v>48</v>
      </c>
      <c r="B114" t="s">
        <v>344</v>
      </c>
      <c r="C114" t="str">
        <f t="shared" si="5"/>
        <v>08458</v>
      </c>
      <c r="D114" s="7">
        <v>0.30520000000000003</v>
      </c>
      <c r="E114" s="7">
        <v>0.28390000000000004</v>
      </c>
      <c r="F114" s="7">
        <v>0.30740000000000001</v>
      </c>
      <c r="G114" s="7">
        <v>0.32869999999999999</v>
      </c>
      <c r="H114" s="7">
        <v>0.32799999999999996</v>
      </c>
      <c r="I114" s="7">
        <v>0.33640000000000003</v>
      </c>
      <c r="J114" s="7">
        <v>0.32540000000000002</v>
      </c>
      <c r="K114" s="7">
        <v>0.2843</v>
      </c>
      <c r="L114" s="7">
        <v>0.27969999999999995</v>
      </c>
      <c r="M114" s="7">
        <v>0.25760000000000005</v>
      </c>
    </row>
    <row r="115" spans="1:13" x14ac:dyDescent="0.25">
      <c r="A115" t="s">
        <v>14</v>
      </c>
      <c r="B115" t="s">
        <v>311</v>
      </c>
      <c r="C115" t="str">
        <f t="shared" si="5"/>
        <v>03017</v>
      </c>
      <c r="D115" s="7">
        <v>0.3266</v>
      </c>
      <c r="E115" s="7">
        <v>0.33560000000000001</v>
      </c>
      <c r="F115" s="7">
        <v>0.33999999999999997</v>
      </c>
      <c r="G115" s="7">
        <v>0.33109999999999995</v>
      </c>
      <c r="H115" s="7">
        <v>0.33109999999999995</v>
      </c>
      <c r="I115" s="7">
        <v>0.32299999999999995</v>
      </c>
      <c r="J115" s="7">
        <v>0.32010000000000005</v>
      </c>
      <c r="K115" s="7">
        <v>0.30940000000000001</v>
      </c>
      <c r="L115" s="7">
        <v>0.30859999999999999</v>
      </c>
      <c r="M115" s="7">
        <v>0.30079999999999996</v>
      </c>
    </row>
    <row r="116" spans="1:13" x14ac:dyDescent="0.25">
      <c r="A116" t="s">
        <v>113</v>
      </c>
      <c r="B116" t="s">
        <v>409</v>
      </c>
      <c r="C116" t="str">
        <f t="shared" si="5"/>
        <v>17415</v>
      </c>
      <c r="D116" s="7">
        <v>0.30689999999999995</v>
      </c>
      <c r="E116" s="7">
        <v>0.30400000000000005</v>
      </c>
      <c r="F116" s="7">
        <v>0.31579999999999997</v>
      </c>
      <c r="G116" s="7">
        <v>0.30640000000000001</v>
      </c>
      <c r="H116" s="7">
        <v>0.29290000000000005</v>
      </c>
      <c r="I116" s="7">
        <v>0.3014</v>
      </c>
      <c r="J116" s="7">
        <v>0.30400000000000005</v>
      </c>
      <c r="K116" s="7">
        <v>0.29590000000000005</v>
      </c>
      <c r="L116" s="7">
        <v>0.29879999999999995</v>
      </c>
      <c r="M116" s="7">
        <v>0.30840000000000001</v>
      </c>
    </row>
    <row r="117" spans="1:13" x14ac:dyDescent="0.25">
      <c r="A117" t="s">
        <v>251</v>
      </c>
      <c r="B117" t="s">
        <v>547</v>
      </c>
      <c r="C117" t="str">
        <f t="shared" si="5"/>
        <v>33212</v>
      </c>
      <c r="D117" s="7">
        <v>0.22960000000000003</v>
      </c>
      <c r="E117" s="7">
        <v>0.24660000000000004</v>
      </c>
      <c r="F117" s="7">
        <v>0.26380000000000003</v>
      </c>
      <c r="G117" s="7">
        <v>0.21009999999999995</v>
      </c>
      <c r="H117" s="7">
        <v>0.23480000000000001</v>
      </c>
      <c r="I117" s="7">
        <v>0.18159999999999998</v>
      </c>
      <c r="J117" s="7">
        <v>0.2016</v>
      </c>
      <c r="K117" s="7">
        <v>0.18759999999999999</v>
      </c>
      <c r="L117" s="7">
        <v>0.1986</v>
      </c>
      <c r="M117" s="7">
        <v>0.21650000000000003</v>
      </c>
    </row>
    <row r="118" spans="1:13" x14ac:dyDescent="0.25">
      <c r="A118" t="s">
        <v>16</v>
      </c>
      <c r="B118" t="s">
        <v>313</v>
      </c>
      <c r="C118" t="str">
        <f t="shared" si="5"/>
        <v>03052</v>
      </c>
      <c r="D118" s="7">
        <v>0.28979999999999995</v>
      </c>
      <c r="E118" s="7">
        <v>0.2954</v>
      </c>
      <c r="F118" s="7">
        <v>0.31240000000000001</v>
      </c>
      <c r="G118" s="7">
        <v>0.3548</v>
      </c>
      <c r="H118" s="7">
        <v>0.34109999999999996</v>
      </c>
      <c r="I118" s="7">
        <v>0.32889999999999997</v>
      </c>
      <c r="J118" s="7">
        <v>0.28439999999999999</v>
      </c>
      <c r="K118" s="7">
        <v>0.21499999999999997</v>
      </c>
      <c r="L118" s="7">
        <v>0.2268</v>
      </c>
      <c r="M118" s="7">
        <v>0.21009999999999995</v>
      </c>
    </row>
    <row r="119" spans="1:13" x14ac:dyDescent="0.25">
      <c r="A119" t="s">
        <v>126</v>
      </c>
      <c r="B119" t="s">
        <v>422</v>
      </c>
      <c r="C119" t="str">
        <f t="shared" si="5"/>
        <v>19403</v>
      </c>
      <c r="D119" s="7">
        <v>0.26490000000000002</v>
      </c>
      <c r="E119" s="7">
        <v>0.25609999999999999</v>
      </c>
      <c r="F119" s="7">
        <v>0.24580000000000002</v>
      </c>
      <c r="G119" s="7">
        <v>0.22599999999999998</v>
      </c>
      <c r="H119" s="7">
        <v>0.20620000000000005</v>
      </c>
      <c r="I119" s="7">
        <v>0.1986</v>
      </c>
      <c r="J119" s="7">
        <v>0.20520000000000005</v>
      </c>
      <c r="K119" s="7">
        <v>0.22089999999999999</v>
      </c>
      <c r="L119" s="7">
        <v>0.245</v>
      </c>
      <c r="M119" s="7">
        <v>0.21870000000000001</v>
      </c>
    </row>
    <row r="120" spans="1:13" x14ac:dyDescent="0.25">
      <c r="A120" t="s">
        <v>133</v>
      </c>
      <c r="B120" t="s">
        <v>429</v>
      </c>
      <c r="C120" t="str">
        <f t="shared" si="5"/>
        <v>20402</v>
      </c>
      <c r="D120" s="7">
        <v>0.24990000000000001</v>
      </c>
      <c r="E120" s="7">
        <v>0.16249999999999998</v>
      </c>
      <c r="F120" s="7">
        <v>0.2339</v>
      </c>
      <c r="G120" s="7">
        <v>0.22909999999999997</v>
      </c>
      <c r="H120" s="7">
        <v>0.22670000000000001</v>
      </c>
      <c r="I120" s="7">
        <v>0.23099999999999998</v>
      </c>
      <c r="J120" s="7">
        <v>0.22499999999999998</v>
      </c>
      <c r="K120" s="7">
        <v>0.20779999999999998</v>
      </c>
      <c r="L120" s="7">
        <v>0.20540000000000003</v>
      </c>
      <c r="M120" s="7">
        <v>0.19130000000000003</v>
      </c>
    </row>
    <row r="121" spans="1:13" x14ac:dyDescent="0.25">
      <c r="A121" t="s">
        <v>34</v>
      </c>
      <c r="B121" t="s">
        <v>330</v>
      </c>
      <c r="C121" t="str">
        <f t="shared" si="5"/>
        <v>06101</v>
      </c>
      <c r="D121" s="7">
        <v>0.2349</v>
      </c>
      <c r="E121" s="7">
        <v>0.26870000000000005</v>
      </c>
      <c r="F121" s="7">
        <v>0.23440000000000005</v>
      </c>
      <c r="G121" s="7">
        <v>0.2198</v>
      </c>
      <c r="H121" s="7">
        <v>0.22889999999999999</v>
      </c>
      <c r="I121" s="7">
        <v>0.25219999999999998</v>
      </c>
      <c r="J121" s="7">
        <v>0.2399</v>
      </c>
      <c r="K121" s="7">
        <v>0.26229999999999998</v>
      </c>
      <c r="L121" s="7">
        <v>0.23670000000000002</v>
      </c>
      <c r="M121" s="7">
        <v>0.2359</v>
      </c>
    </row>
    <row r="122" spans="1:13" x14ac:dyDescent="0.25">
      <c r="A122" t="s">
        <v>206</v>
      </c>
      <c r="B122" t="s">
        <v>501</v>
      </c>
      <c r="C122" t="str">
        <f t="shared" si="5"/>
        <v>29311</v>
      </c>
      <c r="D122" s="7">
        <v>0.26849999999999996</v>
      </c>
      <c r="E122" s="7">
        <v>0.24</v>
      </c>
      <c r="F122" s="7">
        <v>0.25229999999999997</v>
      </c>
      <c r="G122" s="7">
        <v>0.26339999999999997</v>
      </c>
      <c r="H122" s="7">
        <v>0.23729999999999996</v>
      </c>
      <c r="I122" s="7">
        <v>0.21560000000000001</v>
      </c>
      <c r="J122" s="7">
        <v>0.23399999999999999</v>
      </c>
      <c r="K122" s="7">
        <v>0.15529999999999999</v>
      </c>
      <c r="L122" s="7">
        <v>0.2006</v>
      </c>
      <c r="M122" s="7">
        <v>0.22489999999999999</v>
      </c>
    </row>
    <row r="123" spans="1:13" x14ac:dyDescent="0.25">
      <c r="A123" t="s">
        <v>276</v>
      </c>
      <c r="B123" t="s">
        <v>572</v>
      </c>
      <c r="C123" t="str">
        <f t="shared" si="5"/>
        <v>38126</v>
      </c>
      <c r="D123" s="7">
        <v>0.17900000000000005</v>
      </c>
      <c r="E123" s="7">
        <v>0.26</v>
      </c>
      <c r="F123" s="7">
        <v>0.4</v>
      </c>
      <c r="G123" s="7">
        <v>0.23250000000000004</v>
      </c>
      <c r="H123" s="7">
        <v>0.25800000000000001</v>
      </c>
      <c r="I123" s="7">
        <v>0.13429999999999997</v>
      </c>
      <c r="J123" s="7">
        <v>0.15890000000000004</v>
      </c>
      <c r="K123" s="7">
        <v>0.21199999999999997</v>
      </c>
      <c r="L123" s="7">
        <v>0.14500000000000002</v>
      </c>
      <c r="M123" s="7">
        <v>9.9999999999999978E-2</v>
      </c>
    </row>
    <row r="124" spans="1:13" x14ac:dyDescent="0.25">
      <c r="A124" t="s">
        <v>23</v>
      </c>
      <c r="B124" t="s">
        <v>320</v>
      </c>
      <c r="C124" t="str">
        <f t="shared" si="5"/>
        <v>04129</v>
      </c>
      <c r="D124" s="7">
        <v>0.23080000000000001</v>
      </c>
      <c r="E124" s="7">
        <v>0.21819999999999995</v>
      </c>
      <c r="F124" s="7">
        <v>0.17569999999999997</v>
      </c>
      <c r="G124" s="7">
        <v>0.17269999999999996</v>
      </c>
      <c r="H124" s="7">
        <v>0.17269999999999996</v>
      </c>
      <c r="I124" s="7">
        <v>0.18769999999999998</v>
      </c>
      <c r="J124" s="7">
        <v>0.16490000000000005</v>
      </c>
      <c r="K124" s="7">
        <v>0.15100000000000002</v>
      </c>
      <c r="L124" s="7">
        <v>0.17359999999999998</v>
      </c>
      <c r="M124" s="7">
        <v>0.15359999999999996</v>
      </c>
    </row>
    <row r="125" spans="1:13" x14ac:dyDescent="0.25">
      <c r="A125" t="s">
        <v>82</v>
      </c>
      <c r="B125" t="s">
        <v>378</v>
      </c>
      <c r="C125" t="str">
        <f t="shared" si="5"/>
        <v>14097</v>
      </c>
      <c r="D125" s="7">
        <v>0.24990000000000001</v>
      </c>
      <c r="E125" s="7">
        <v>0.3327</v>
      </c>
      <c r="F125" s="7">
        <v>0.2339</v>
      </c>
      <c r="G125" s="7">
        <v>0.22909999999999997</v>
      </c>
      <c r="H125" s="7">
        <v>0.22670000000000001</v>
      </c>
      <c r="I125" s="7">
        <v>0.23099999999999998</v>
      </c>
      <c r="J125" s="7">
        <v>0.22499999999999998</v>
      </c>
      <c r="K125" s="7">
        <v>0.20779999999999998</v>
      </c>
      <c r="L125" s="7">
        <v>0.20540000000000003</v>
      </c>
      <c r="M125" s="7">
        <v>0.19130000000000003</v>
      </c>
    </row>
    <row r="126" spans="1:13" x14ac:dyDescent="0.25">
      <c r="A126" t="s">
        <v>214</v>
      </c>
      <c r="B126" t="s">
        <v>509</v>
      </c>
      <c r="C126" t="str">
        <f t="shared" si="5"/>
        <v>31004</v>
      </c>
      <c r="D126" s="7">
        <v>0.28810000000000002</v>
      </c>
      <c r="E126" s="7">
        <v>0.2772</v>
      </c>
      <c r="F126" s="7">
        <v>0.29069999999999996</v>
      </c>
      <c r="G126" s="7">
        <v>0.29110000000000003</v>
      </c>
      <c r="H126" s="7">
        <v>0.29179999999999995</v>
      </c>
      <c r="I126" s="7">
        <v>0.29100000000000004</v>
      </c>
      <c r="J126" s="7">
        <v>0.27700000000000002</v>
      </c>
      <c r="K126" s="7">
        <v>0.28200000000000003</v>
      </c>
      <c r="L126" s="7">
        <v>0.28500000000000003</v>
      </c>
      <c r="M126" s="7">
        <v>0.26559999999999995</v>
      </c>
    </row>
    <row r="127" spans="1:13" x14ac:dyDescent="0.25">
      <c r="A127" t="s">
        <v>112</v>
      </c>
      <c r="B127" t="s">
        <v>408</v>
      </c>
      <c r="C127" t="str">
        <f t="shared" si="5"/>
        <v>17414</v>
      </c>
      <c r="D127" s="7">
        <v>0.26670000000000005</v>
      </c>
      <c r="E127" s="7">
        <v>0.26980000000000004</v>
      </c>
      <c r="F127" s="7">
        <v>0.26270000000000004</v>
      </c>
      <c r="G127" s="7">
        <v>0.26080000000000003</v>
      </c>
      <c r="H127" s="7">
        <v>0.2651</v>
      </c>
      <c r="I127" s="7">
        <v>0.26380000000000003</v>
      </c>
      <c r="J127" s="7">
        <v>0.25380000000000003</v>
      </c>
      <c r="K127" s="7">
        <v>0.23450000000000004</v>
      </c>
      <c r="L127" s="7">
        <v>0.2258</v>
      </c>
      <c r="M127" s="7">
        <v>0.22599999999999998</v>
      </c>
    </row>
    <row r="128" spans="1:13" x14ac:dyDescent="0.25">
      <c r="A128" t="s">
        <v>222</v>
      </c>
      <c r="B128" t="s">
        <v>517</v>
      </c>
      <c r="C128" t="str">
        <f t="shared" si="5"/>
        <v>31306</v>
      </c>
      <c r="D128" s="7">
        <v>0.26590000000000003</v>
      </c>
      <c r="E128" s="7">
        <v>0.32869999999999999</v>
      </c>
      <c r="F128" s="7">
        <v>0.34899999999999998</v>
      </c>
      <c r="G128" s="7">
        <v>0.31359999999999999</v>
      </c>
      <c r="H128" s="7">
        <v>0.29990000000000006</v>
      </c>
      <c r="I128" s="7">
        <v>0.31340000000000001</v>
      </c>
      <c r="J128" s="7">
        <v>0.30879999999999996</v>
      </c>
      <c r="K128" s="7">
        <v>0.25939999999999996</v>
      </c>
      <c r="L128" s="7">
        <v>0.27480000000000004</v>
      </c>
      <c r="M128" s="7">
        <v>0.27290000000000003</v>
      </c>
    </row>
    <row r="129" spans="1:13" x14ac:dyDescent="0.25">
      <c r="A129" t="s">
        <v>277</v>
      </c>
      <c r="B129" t="s">
        <v>573</v>
      </c>
      <c r="C129" t="str">
        <f t="shared" si="5"/>
        <v>38264</v>
      </c>
      <c r="D129" s="7">
        <v>0.1875</v>
      </c>
      <c r="E129" s="7">
        <v>0.15169999999999995</v>
      </c>
      <c r="F129" s="7">
        <v>0.17500000000000004</v>
      </c>
      <c r="G129" s="7">
        <v>0.15620000000000001</v>
      </c>
      <c r="H129" s="7">
        <v>0.31399999999999995</v>
      </c>
      <c r="I129" s="7">
        <v>0.2722</v>
      </c>
      <c r="J129" s="7">
        <v>0.23870000000000002</v>
      </c>
      <c r="K129" s="7">
        <v>0.29000000000000004</v>
      </c>
      <c r="L129" s="7">
        <v>0.16710000000000003</v>
      </c>
      <c r="M129" s="7">
        <v>0.27500000000000002</v>
      </c>
    </row>
    <row r="130" spans="1:13" x14ac:dyDescent="0.25">
      <c r="A130" t="s">
        <v>236</v>
      </c>
      <c r="B130" t="s">
        <v>532</v>
      </c>
      <c r="C130" t="str">
        <f t="shared" si="5"/>
        <v>32362</v>
      </c>
      <c r="D130" s="7">
        <v>0.28349999999999997</v>
      </c>
      <c r="E130" s="7">
        <v>0.19479999999999997</v>
      </c>
      <c r="F130" s="7">
        <v>0.17869999999999997</v>
      </c>
      <c r="G130" s="7">
        <v>0.21120000000000005</v>
      </c>
      <c r="H130" s="7">
        <v>0.26980000000000004</v>
      </c>
      <c r="I130" s="7">
        <v>0.28110000000000002</v>
      </c>
      <c r="J130" s="7">
        <v>0.21419999999999995</v>
      </c>
      <c r="K130" s="7">
        <v>0.21560000000000001</v>
      </c>
      <c r="L130" s="7">
        <v>0.24629999999999996</v>
      </c>
      <c r="M130" s="7">
        <v>0.27629999999999999</v>
      </c>
    </row>
    <row r="131" spans="1:13" x14ac:dyDescent="0.25">
      <c r="A131" t="s">
        <v>10</v>
      </c>
      <c r="B131" t="s">
        <v>307</v>
      </c>
      <c r="C131" t="str">
        <f t="shared" si="5"/>
        <v>01158</v>
      </c>
      <c r="D131" s="7">
        <v>0.17130000000000001</v>
      </c>
      <c r="E131" s="7">
        <v>0.16669999999999996</v>
      </c>
      <c r="F131" s="7">
        <v>0.16900000000000004</v>
      </c>
      <c r="G131" s="7">
        <v>0.1895</v>
      </c>
      <c r="H131" s="7">
        <v>0.19040000000000001</v>
      </c>
      <c r="I131" s="7">
        <v>0.20499999999999996</v>
      </c>
      <c r="J131" s="7">
        <v>0.19379999999999997</v>
      </c>
      <c r="K131" s="7">
        <v>0.13060000000000005</v>
      </c>
      <c r="L131" s="7">
        <v>0.15720000000000001</v>
      </c>
      <c r="M131" s="7">
        <v>0.14000000000000001</v>
      </c>
    </row>
    <row r="132" spans="1:13" x14ac:dyDescent="0.25">
      <c r="A132" t="s">
        <v>43</v>
      </c>
      <c r="B132" t="s">
        <v>339</v>
      </c>
      <c r="C132" t="str">
        <f t="shared" ref="C132:C196" si="8">A132</f>
        <v>08122</v>
      </c>
      <c r="D132" s="7">
        <v>0.2893</v>
      </c>
      <c r="E132" s="7">
        <v>0.28249999999999997</v>
      </c>
      <c r="F132" s="7">
        <v>0.27800000000000002</v>
      </c>
      <c r="G132" s="7">
        <v>0.30910000000000004</v>
      </c>
      <c r="H132" s="7">
        <v>0.31620000000000004</v>
      </c>
      <c r="I132" s="7">
        <v>0.30989999999999995</v>
      </c>
      <c r="J132" s="7">
        <v>0.30510000000000004</v>
      </c>
      <c r="K132" s="7">
        <v>0.26559999999999995</v>
      </c>
      <c r="L132" s="7">
        <v>0.25360000000000005</v>
      </c>
      <c r="M132" s="7">
        <v>0.247</v>
      </c>
    </row>
    <row r="133" spans="1:13" x14ac:dyDescent="0.25">
      <c r="A133" t="s">
        <v>245</v>
      </c>
      <c r="B133" t="s">
        <v>541</v>
      </c>
      <c r="C133" t="str">
        <f t="shared" si="8"/>
        <v>33183</v>
      </c>
      <c r="D133" s="7">
        <v>0.29149999999999998</v>
      </c>
      <c r="E133" s="7">
        <v>0.13249999999999995</v>
      </c>
      <c r="F133" s="7">
        <v>0.18769999999999998</v>
      </c>
      <c r="G133" s="7">
        <v>0.21999999999999997</v>
      </c>
      <c r="H133" s="7">
        <v>0.23119999999999996</v>
      </c>
      <c r="I133" s="7">
        <v>0.248</v>
      </c>
      <c r="J133" s="7">
        <v>0.20730000000000004</v>
      </c>
      <c r="K133" s="7">
        <v>0.19820000000000004</v>
      </c>
      <c r="L133" s="7">
        <v>0.3347</v>
      </c>
      <c r="M133" s="7">
        <v>0.23270000000000002</v>
      </c>
    </row>
    <row r="134" spans="1:13" x14ac:dyDescent="0.25">
      <c r="A134" t="s">
        <v>200</v>
      </c>
      <c r="B134" t="s">
        <v>495</v>
      </c>
      <c r="C134" t="str">
        <f t="shared" si="8"/>
        <v>28144</v>
      </c>
      <c r="D134" s="7">
        <v>0.11660000000000004</v>
      </c>
      <c r="E134" s="7">
        <v>0.11719999999999997</v>
      </c>
      <c r="F134" s="7">
        <v>0.1028</v>
      </c>
      <c r="G134" s="7">
        <v>0.11240000000000006</v>
      </c>
      <c r="H134" s="7">
        <v>0.10809999999999997</v>
      </c>
      <c r="I134" s="7">
        <v>0.11170000000000002</v>
      </c>
      <c r="J134" s="7">
        <v>0.126</v>
      </c>
      <c r="K134" s="7">
        <v>0.125</v>
      </c>
      <c r="L134" s="7">
        <v>0.15749999999999997</v>
      </c>
      <c r="M134" s="7">
        <v>0.18320000000000003</v>
      </c>
    </row>
    <row r="135" spans="1:13" x14ac:dyDescent="0.25">
      <c r="A135" t="s">
        <v>655</v>
      </c>
      <c r="B135" t="s">
        <v>656</v>
      </c>
      <c r="C135" t="str">
        <f t="shared" ref="C135" si="9">A135</f>
        <v>32903</v>
      </c>
      <c r="D135" s="7"/>
      <c r="E135" s="7"/>
      <c r="F135" s="7"/>
      <c r="G135" s="7"/>
      <c r="H135" s="7"/>
      <c r="I135" s="41">
        <f>I257</f>
        <v>0.28039999999999998</v>
      </c>
      <c r="J135" s="7">
        <v>0.84770000000000001</v>
      </c>
      <c r="K135" s="7">
        <v>0.13</v>
      </c>
      <c r="L135" s="7">
        <v>0.13</v>
      </c>
      <c r="M135" s="7">
        <v>0.13</v>
      </c>
    </row>
    <row r="136" spans="1:13" x14ac:dyDescent="0.25">
      <c r="A136" t="s">
        <v>275</v>
      </c>
      <c r="B136" t="s">
        <v>571</v>
      </c>
      <c r="C136" t="str">
        <f t="shared" si="8"/>
        <v>37903</v>
      </c>
      <c r="D136" s="7">
        <v>0.27180000000000004</v>
      </c>
      <c r="E136" s="7">
        <v>0</v>
      </c>
      <c r="F136" s="7">
        <v>0.29349999999999998</v>
      </c>
      <c r="G136" s="7">
        <v>0</v>
      </c>
      <c r="H136" s="7">
        <v>0</v>
      </c>
      <c r="I136" s="7">
        <v>0.21809999999999996</v>
      </c>
      <c r="J136" s="7">
        <v>0</v>
      </c>
      <c r="K136" s="7">
        <v>0.17849999999999999</v>
      </c>
      <c r="L136" s="7">
        <v>0.17130000000000001</v>
      </c>
      <c r="M136" s="7">
        <v>0.14659999999999995</v>
      </c>
    </row>
    <row r="137" spans="1:13" x14ac:dyDescent="0.25">
      <c r="A137" t="s">
        <v>137</v>
      </c>
      <c r="B137" t="s">
        <v>433</v>
      </c>
      <c r="C137" t="str">
        <f t="shared" si="8"/>
        <v>20406</v>
      </c>
      <c r="D137" s="7">
        <v>0.24990000000000001</v>
      </c>
      <c r="E137" s="7">
        <v>0.25029999999999997</v>
      </c>
      <c r="F137" s="7">
        <v>0.2339</v>
      </c>
      <c r="G137" s="7">
        <v>0.22909999999999997</v>
      </c>
      <c r="H137" s="7">
        <v>0.22670000000000001</v>
      </c>
      <c r="I137" s="7">
        <v>0.23099999999999998</v>
      </c>
      <c r="J137" s="7">
        <v>0.22499999999999998</v>
      </c>
      <c r="K137" s="7">
        <v>0.20779999999999998</v>
      </c>
      <c r="L137" s="7">
        <v>0.20540000000000003</v>
      </c>
      <c r="M137" s="7">
        <v>0.19130000000000003</v>
      </c>
    </row>
    <row r="138" spans="1:13" x14ac:dyDescent="0.25">
      <c r="A138" t="s">
        <v>271</v>
      </c>
      <c r="B138" t="s">
        <v>567</v>
      </c>
      <c r="C138" t="str">
        <f t="shared" si="8"/>
        <v>37504</v>
      </c>
      <c r="D138" s="7">
        <v>0.25719999999999998</v>
      </c>
      <c r="E138" s="7">
        <v>0.24129999999999996</v>
      </c>
      <c r="F138" s="7">
        <v>0.23019999999999996</v>
      </c>
      <c r="G138" s="7">
        <v>0.2329</v>
      </c>
      <c r="H138" s="7">
        <v>0.21950000000000003</v>
      </c>
      <c r="I138" s="7">
        <v>0.22709999999999997</v>
      </c>
      <c r="J138" s="7">
        <v>0.22850000000000004</v>
      </c>
      <c r="K138" s="7">
        <v>0.19499999999999995</v>
      </c>
      <c r="L138" s="7">
        <v>0.17879999999999996</v>
      </c>
      <c r="M138" s="7">
        <v>0.18789999999999996</v>
      </c>
    </row>
    <row r="139" spans="1:13" x14ac:dyDescent="0.25">
      <c r="A139" t="s">
        <v>294</v>
      </c>
      <c r="B139" t="s">
        <v>590</v>
      </c>
      <c r="C139" t="str">
        <f t="shared" si="8"/>
        <v>39120</v>
      </c>
      <c r="D139" s="7">
        <v>0.18489999999999995</v>
      </c>
      <c r="E139" s="7">
        <v>0.20889999999999997</v>
      </c>
      <c r="F139" s="7">
        <v>0.21930000000000005</v>
      </c>
      <c r="G139" s="7">
        <v>0.24690000000000001</v>
      </c>
      <c r="H139" s="7">
        <v>0.24419999999999997</v>
      </c>
      <c r="I139" s="7">
        <v>0.26759999999999995</v>
      </c>
      <c r="J139" s="7">
        <v>0.25860000000000005</v>
      </c>
      <c r="K139" s="7">
        <v>0.28059999999999996</v>
      </c>
      <c r="L139" s="7">
        <v>0.2571</v>
      </c>
      <c r="M139" s="7">
        <v>0.252</v>
      </c>
    </row>
    <row r="140" spans="1:13" x14ac:dyDescent="0.25">
      <c r="A140" t="s">
        <v>53</v>
      </c>
      <c r="B140" t="s">
        <v>349</v>
      </c>
      <c r="C140" t="str">
        <f t="shared" si="8"/>
        <v>09207</v>
      </c>
      <c r="D140" s="7">
        <v>0.1724</v>
      </c>
      <c r="E140" s="7">
        <v>0.15169999999999995</v>
      </c>
      <c r="F140" s="7">
        <v>0.18140000000000001</v>
      </c>
      <c r="G140" s="7">
        <v>0.12849999999999995</v>
      </c>
      <c r="H140" s="7">
        <v>0.18820000000000003</v>
      </c>
      <c r="I140" s="7">
        <v>0.1956</v>
      </c>
      <c r="J140" s="7">
        <v>0.17000000000000004</v>
      </c>
      <c r="K140" s="7">
        <v>0.19699999999999995</v>
      </c>
      <c r="L140" s="7">
        <v>0.248</v>
      </c>
      <c r="M140" s="7">
        <v>0.19130000000000003</v>
      </c>
    </row>
    <row r="141" spans="1:13" x14ac:dyDescent="0.25">
      <c r="A141" t="s">
        <v>20</v>
      </c>
      <c r="B141" t="s">
        <v>317</v>
      </c>
      <c r="C141" t="str">
        <f t="shared" si="8"/>
        <v>04019</v>
      </c>
      <c r="D141" s="7">
        <v>0.17210000000000003</v>
      </c>
      <c r="E141" s="7">
        <v>0.15080000000000005</v>
      </c>
      <c r="F141" s="7">
        <v>0.19289999999999996</v>
      </c>
      <c r="G141" s="7">
        <v>0.18530000000000002</v>
      </c>
      <c r="H141" s="7">
        <v>0.18149999999999999</v>
      </c>
      <c r="I141" s="7">
        <v>0.15890000000000004</v>
      </c>
      <c r="J141" s="7">
        <v>0.15259999999999996</v>
      </c>
      <c r="K141" s="7">
        <v>0.17390000000000005</v>
      </c>
      <c r="L141" s="7">
        <v>0.15629999999999999</v>
      </c>
      <c r="M141" s="7">
        <v>0.19130000000000003</v>
      </c>
    </row>
    <row r="142" spans="1:13" x14ac:dyDescent="0.25">
      <c r="A142" t="s">
        <v>162</v>
      </c>
      <c r="B142" t="s">
        <v>458</v>
      </c>
      <c r="C142" t="str">
        <f t="shared" si="8"/>
        <v>23311</v>
      </c>
      <c r="D142" s="7">
        <v>0.26670000000000005</v>
      </c>
      <c r="E142" s="7">
        <v>0.24180000000000001</v>
      </c>
      <c r="F142" s="7">
        <v>0.19789999999999996</v>
      </c>
      <c r="G142" s="7">
        <v>0.21679999999999999</v>
      </c>
      <c r="H142" s="7">
        <v>0.15149999999999997</v>
      </c>
      <c r="I142" s="7">
        <v>0.16969999999999996</v>
      </c>
      <c r="J142" s="7">
        <v>0.12780000000000002</v>
      </c>
      <c r="K142" s="7">
        <v>0.15290000000000004</v>
      </c>
      <c r="L142" s="7">
        <v>0.20179999999999998</v>
      </c>
      <c r="M142" s="7">
        <v>0.19820000000000004</v>
      </c>
    </row>
    <row r="143" spans="1:13" x14ac:dyDescent="0.25">
      <c r="A143" t="s">
        <v>249</v>
      </c>
      <c r="B143" t="s">
        <v>545</v>
      </c>
      <c r="C143" t="str">
        <f t="shared" si="8"/>
        <v>33207</v>
      </c>
      <c r="D143" s="7">
        <v>0.22719999999999996</v>
      </c>
      <c r="E143" s="7">
        <v>0.16539999999999999</v>
      </c>
      <c r="F143" s="7">
        <v>0.20960000000000001</v>
      </c>
      <c r="G143" s="7">
        <v>0.19840000000000002</v>
      </c>
      <c r="H143" s="7">
        <v>0.19579999999999997</v>
      </c>
      <c r="I143" s="7">
        <v>0.17730000000000001</v>
      </c>
      <c r="J143" s="7">
        <v>0.20220000000000005</v>
      </c>
      <c r="K143" s="7">
        <v>0.19599999999999995</v>
      </c>
      <c r="L143" s="7">
        <v>0.20330000000000004</v>
      </c>
      <c r="M143" s="7">
        <v>0.16839999999999999</v>
      </c>
    </row>
    <row r="144" spans="1:13" x14ac:dyDescent="0.25">
      <c r="A144" t="s">
        <v>218</v>
      </c>
      <c r="B144" t="s">
        <v>513</v>
      </c>
      <c r="C144" t="str">
        <f t="shared" si="8"/>
        <v>31025</v>
      </c>
      <c r="D144" s="7">
        <v>0.30389999999999995</v>
      </c>
      <c r="E144" s="7">
        <v>0.29790000000000005</v>
      </c>
      <c r="F144" s="7">
        <v>0.29659999999999997</v>
      </c>
      <c r="G144" s="7">
        <v>0.29430000000000001</v>
      </c>
      <c r="H144" s="7">
        <v>0.29959999999999998</v>
      </c>
      <c r="I144" s="7">
        <v>0.29900000000000004</v>
      </c>
      <c r="J144" s="7">
        <v>0.31000000000000005</v>
      </c>
      <c r="K144" s="7">
        <v>0.30189999999999995</v>
      </c>
      <c r="L144" s="7">
        <v>0.30230000000000001</v>
      </c>
      <c r="M144" s="7">
        <v>0.30269999999999997</v>
      </c>
    </row>
    <row r="145" spans="1:13" x14ac:dyDescent="0.25">
      <c r="A145" t="s">
        <v>78</v>
      </c>
      <c r="B145" t="s">
        <v>374</v>
      </c>
      <c r="C145" t="str">
        <f t="shared" si="8"/>
        <v>14065</v>
      </c>
      <c r="D145" s="7">
        <v>0.24250000000000005</v>
      </c>
      <c r="E145" s="7">
        <v>0.2036</v>
      </c>
      <c r="F145" s="7">
        <v>0.18730000000000002</v>
      </c>
      <c r="G145" s="7">
        <v>0.1663</v>
      </c>
      <c r="H145" s="7">
        <v>0.23209999999999997</v>
      </c>
      <c r="I145" s="7">
        <v>0.23229999999999995</v>
      </c>
      <c r="J145" s="7">
        <v>0.18889999999999996</v>
      </c>
      <c r="K145" s="7">
        <v>0.15669999999999995</v>
      </c>
      <c r="L145" s="7">
        <v>0.17720000000000002</v>
      </c>
      <c r="M145" s="7">
        <v>0.17600000000000005</v>
      </c>
    </row>
    <row r="146" spans="1:13" x14ac:dyDescent="0.25">
      <c r="A146" t="s">
        <v>231</v>
      </c>
      <c r="B146" t="s">
        <v>527</v>
      </c>
      <c r="C146" t="str">
        <f t="shared" si="8"/>
        <v>32354</v>
      </c>
      <c r="D146" s="7">
        <v>0.32299999999999995</v>
      </c>
      <c r="E146" s="7">
        <v>0.33050000000000002</v>
      </c>
      <c r="F146" s="7">
        <v>0.32489999999999997</v>
      </c>
      <c r="G146" s="7">
        <v>0.31659999999999999</v>
      </c>
      <c r="H146" s="7">
        <v>0.32399999999999995</v>
      </c>
      <c r="I146" s="7">
        <v>0.32230000000000003</v>
      </c>
      <c r="J146" s="7">
        <v>0.33589999999999998</v>
      </c>
      <c r="K146" s="7">
        <v>0.32069999999999999</v>
      </c>
      <c r="L146" s="7">
        <v>0.30659999999999998</v>
      </c>
      <c r="M146" s="7">
        <v>0.2863</v>
      </c>
    </row>
    <row r="147" spans="1:13" x14ac:dyDescent="0.25">
      <c r="A147" t="s">
        <v>230</v>
      </c>
      <c r="B147" t="s">
        <v>526</v>
      </c>
      <c r="C147" t="str">
        <f t="shared" si="8"/>
        <v>32326</v>
      </c>
      <c r="D147" s="7">
        <v>0.21730000000000005</v>
      </c>
      <c r="E147" s="7">
        <v>0.26470000000000005</v>
      </c>
      <c r="F147" s="7">
        <v>0.29020000000000001</v>
      </c>
      <c r="G147" s="7">
        <v>0.2833</v>
      </c>
      <c r="H147" s="7">
        <v>0.2732</v>
      </c>
      <c r="I147" s="7">
        <v>0.24439999999999995</v>
      </c>
      <c r="J147" s="7">
        <v>0.22070000000000001</v>
      </c>
      <c r="K147" s="7">
        <v>0.16549999999999998</v>
      </c>
      <c r="L147" s="7">
        <v>0.18149999999999999</v>
      </c>
      <c r="M147" s="7">
        <v>0.1764</v>
      </c>
    </row>
    <row r="148" spans="1:13" x14ac:dyDescent="0.25">
      <c r="A148" t="s">
        <v>99</v>
      </c>
      <c r="B148" t="s">
        <v>395</v>
      </c>
      <c r="C148" t="str">
        <f t="shared" si="8"/>
        <v>17400</v>
      </c>
      <c r="D148" s="7">
        <v>0.26900000000000002</v>
      </c>
      <c r="E148" s="7">
        <v>0.26490000000000002</v>
      </c>
      <c r="F148" s="7">
        <v>0.2681</v>
      </c>
      <c r="G148" s="7">
        <v>0.28069999999999995</v>
      </c>
      <c r="H148" s="7">
        <v>0.25970000000000004</v>
      </c>
      <c r="I148" s="7">
        <v>0.22509999999999997</v>
      </c>
      <c r="J148" s="7">
        <v>0.22889999999999999</v>
      </c>
      <c r="K148" s="7">
        <v>0.21419999999999995</v>
      </c>
      <c r="L148" s="7">
        <v>0.19330000000000003</v>
      </c>
      <c r="M148" s="7">
        <v>0.19489999999999996</v>
      </c>
    </row>
    <row r="149" spans="1:13" x14ac:dyDescent="0.25">
      <c r="A149" t="s">
        <v>272</v>
      </c>
      <c r="B149" t="s">
        <v>568</v>
      </c>
      <c r="C149" t="str">
        <f t="shared" si="8"/>
        <v>37505</v>
      </c>
      <c r="D149" s="7">
        <v>0.30679999999999996</v>
      </c>
      <c r="E149" s="7">
        <v>0.32230000000000003</v>
      </c>
      <c r="F149" s="7">
        <v>0.27470000000000006</v>
      </c>
      <c r="G149" s="7">
        <v>0.254</v>
      </c>
      <c r="H149" s="7">
        <v>0.22999999999999998</v>
      </c>
      <c r="I149" s="7">
        <v>0.28600000000000003</v>
      </c>
      <c r="J149" s="7">
        <v>0.27629999999999999</v>
      </c>
      <c r="K149" s="7">
        <v>0.22040000000000004</v>
      </c>
      <c r="L149" s="7">
        <v>0.21150000000000002</v>
      </c>
      <c r="M149" s="7">
        <v>0.1925</v>
      </c>
    </row>
    <row r="150" spans="1:13" x14ac:dyDescent="0.25">
      <c r="A150" t="s">
        <v>171</v>
      </c>
      <c r="B150" t="s">
        <v>467</v>
      </c>
      <c r="C150" t="str">
        <f t="shared" si="8"/>
        <v>24350</v>
      </c>
      <c r="D150" s="7">
        <v>0.24990000000000001</v>
      </c>
      <c r="E150" s="7">
        <v>0.26019999999999999</v>
      </c>
      <c r="F150" s="7">
        <v>0.2339</v>
      </c>
      <c r="G150" s="7">
        <v>0.22909999999999997</v>
      </c>
      <c r="H150" s="7">
        <v>0.22670000000000001</v>
      </c>
      <c r="I150" s="7">
        <v>0.23099999999999998</v>
      </c>
      <c r="J150" s="7">
        <v>0.22499999999999998</v>
      </c>
      <c r="K150" s="7">
        <v>0.20779999999999998</v>
      </c>
      <c r="L150" s="7">
        <v>0.20540000000000003</v>
      </c>
      <c r="M150" s="7">
        <v>0.19130000000000003</v>
      </c>
    </row>
    <row r="151" spans="1:13" x14ac:dyDescent="0.25">
      <c r="A151" t="s">
        <v>211</v>
      </c>
      <c r="B151" t="s">
        <v>506</v>
      </c>
      <c r="C151" t="str">
        <f t="shared" si="8"/>
        <v>30031</v>
      </c>
      <c r="D151" s="7">
        <v>0.24990000000000001</v>
      </c>
      <c r="E151" s="7">
        <v>9.2500000000000027E-2</v>
      </c>
      <c r="F151" s="7">
        <v>0.2339</v>
      </c>
      <c r="G151" s="7">
        <v>0.22909999999999997</v>
      </c>
      <c r="H151" s="7">
        <v>0.22670000000000001</v>
      </c>
      <c r="I151" s="7">
        <v>0.23099999999999998</v>
      </c>
      <c r="J151" s="7">
        <v>0.22499999999999998</v>
      </c>
      <c r="K151" s="7">
        <v>0.20779999999999998</v>
      </c>
      <c r="L151" s="7">
        <v>0.20540000000000003</v>
      </c>
      <c r="M151" s="7">
        <v>0.19130000000000003</v>
      </c>
    </row>
    <row r="152" spans="1:13" x14ac:dyDescent="0.25">
      <c r="A152" t="s">
        <v>220</v>
      </c>
      <c r="B152" t="s">
        <v>515</v>
      </c>
      <c r="C152" t="str">
        <f t="shared" si="8"/>
        <v>31103</v>
      </c>
      <c r="D152" s="7">
        <v>0.30089999999999995</v>
      </c>
      <c r="E152" s="7">
        <v>0.30349999999999999</v>
      </c>
      <c r="F152" s="7">
        <v>0.27510000000000001</v>
      </c>
      <c r="G152" s="7">
        <v>0.25770000000000004</v>
      </c>
      <c r="H152" s="7">
        <v>0.23170000000000002</v>
      </c>
      <c r="I152" s="7">
        <v>0.22019999999999995</v>
      </c>
      <c r="J152" s="7">
        <v>0.22829999999999995</v>
      </c>
      <c r="K152" s="7">
        <v>0.2167</v>
      </c>
      <c r="L152" s="7">
        <v>0.20150000000000001</v>
      </c>
      <c r="M152" s="7">
        <v>0.20509999999999995</v>
      </c>
    </row>
    <row r="153" spans="1:13" x14ac:dyDescent="0.25">
      <c r="A153" t="s">
        <v>79</v>
      </c>
      <c r="B153" t="s">
        <v>375</v>
      </c>
      <c r="C153" t="str">
        <f t="shared" si="8"/>
        <v>14066</v>
      </c>
      <c r="D153" s="7">
        <v>0.24560000000000004</v>
      </c>
      <c r="E153" s="7">
        <v>0.26519999999999999</v>
      </c>
      <c r="F153" s="7">
        <v>0.27749999999999997</v>
      </c>
      <c r="G153" s="7">
        <v>0.26429999999999998</v>
      </c>
      <c r="H153" s="7">
        <v>0.26039999999999996</v>
      </c>
      <c r="I153" s="7">
        <v>0.28800000000000003</v>
      </c>
      <c r="J153" s="7">
        <v>0.26690000000000003</v>
      </c>
      <c r="K153" s="7">
        <v>0.28510000000000002</v>
      </c>
      <c r="L153" s="7">
        <v>0.23699999999999999</v>
      </c>
      <c r="M153" s="7">
        <v>0.23409999999999997</v>
      </c>
    </row>
    <row r="154" spans="1:13" x14ac:dyDescent="0.25">
      <c r="A154" t="s">
        <v>141</v>
      </c>
      <c r="B154" t="s">
        <v>437</v>
      </c>
      <c r="C154" t="str">
        <f t="shared" si="8"/>
        <v>21214</v>
      </c>
      <c r="D154" s="7">
        <v>0.17669999999999997</v>
      </c>
      <c r="E154" s="7">
        <v>0.25739999999999996</v>
      </c>
      <c r="F154" s="7">
        <v>0.23529999999999995</v>
      </c>
      <c r="G154" s="7">
        <v>0.27</v>
      </c>
      <c r="H154" s="7">
        <v>0.33289999999999997</v>
      </c>
      <c r="I154" s="7">
        <v>0.29759999999999998</v>
      </c>
      <c r="J154" s="7">
        <v>0.27159999999999995</v>
      </c>
      <c r="K154" s="7">
        <v>0.22199999999999998</v>
      </c>
      <c r="L154" s="7">
        <v>0.32589999999999997</v>
      </c>
      <c r="M154" s="7">
        <v>0.31479999999999997</v>
      </c>
    </row>
    <row r="155" spans="1:13" x14ac:dyDescent="0.25">
      <c r="A155" t="s">
        <v>71</v>
      </c>
      <c r="B155" t="s">
        <v>367</v>
      </c>
      <c r="C155" t="str">
        <f t="shared" si="8"/>
        <v>13161</v>
      </c>
      <c r="D155" s="7">
        <v>0.28400000000000003</v>
      </c>
      <c r="E155" s="7">
        <v>0.29379999999999995</v>
      </c>
      <c r="F155" s="7">
        <v>0.27200000000000002</v>
      </c>
      <c r="G155" s="7">
        <v>0.28820000000000001</v>
      </c>
      <c r="H155" s="7">
        <v>0.28920000000000001</v>
      </c>
      <c r="I155" s="7">
        <v>0.29290000000000005</v>
      </c>
      <c r="J155" s="7">
        <v>0.26300000000000001</v>
      </c>
      <c r="K155" s="7">
        <v>0.24490000000000001</v>
      </c>
      <c r="L155" s="7">
        <v>0.26090000000000002</v>
      </c>
      <c r="M155" s="7">
        <v>0.25060000000000004</v>
      </c>
    </row>
    <row r="156" spans="1:13" x14ac:dyDescent="0.25">
      <c r="A156" t="s">
        <v>140</v>
      </c>
      <c r="B156" t="s">
        <v>436</v>
      </c>
      <c r="C156" t="str">
        <f t="shared" si="8"/>
        <v>21206</v>
      </c>
      <c r="D156" s="7">
        <v>0.31799999999999995</v>
      </c>
      <c r="E156" s="7">
        <v>0.30079999999999996</v>
      </c>
      <c r="F156" s="7">
        <v>0.3488</v>
      </c>
      <c r="G156" s="7">
        <v>0.30420000000000003</v>
      </c>
      <c r="H156" s="7">
        <v>0.27210000000000001</v>
      </c>
      <c r="I156" s="7">
        <v>0.27580000000000005</v>
      </c>
      <c r="J156" s="7">
        <v>0.29659999999999997</v>
      </c>
      <c r="K156" s="7">
        <v>0.33679999999999999</v>
      </c>
      <c r="L156" s="7">
        <v>0.30379999999999996</v>
      </c>
      <c r="M156" s="7">
        <v>0.31069999999999998</v>
      </c>
    </row>
    <row r="157" spans="1:13" x14ac:dyDescent="0.25">
      <c r="A157" t="s">
        <v>303</v>
      </c>
      <c r="B157" t="s">
        <v>599</v>
      </c>
      <c r="C157" t="str">
        <f t="shared" si="8"/>
        <v>39209</v>
      </c>
      <c r="D157" s="7">
        <v>0.36060000000000003</v>
      </c>
      <c r="E157" s="7">
        <v>0.33940000000000003</v>
      </c>
      <c r="F157" s="7">
        <v>0.3468</v>
      </c>
      <c r="G157" s="7">
        <v>0.36050000000000004</v>
      </c>
      <c r="H157" s="7">
        <v>0.34379999999999999</v>
      </c>
      <c r="I157" s="7">
        <v>0.33750000000000002</v>
      </c>
      <c r="J157" s="7">
        <v>0.2228</v>
      </c>
      <c r="K157" s="7">
        <v>0.24619999999999997</v>
      </c>
      <c r="L157" s="7">
        <v>0.20830000000000004</v>
      </c>
      <c r="M157" s="7">
        <v>0.20220000000000005</v>
      </c>
    </row>
    <row r="158" spans="1:13" x14ac:dyDescent="0.25">
      <c r="A158" t="s">
        <v>274</v>
      </c>
      <c r="B158" t="s">
        <v>570</v>
      </c>
      <c r="C158" t="str">
        <f t="shared" si="8"/>
        <v>37507</v>
      </c>
      <c r="D158" s="7">
        <v>0.27639999999999998</v>
      </c>
      <c r="E158" s="7">
        <v>0.23619999999999997</v>
      </c>
      <c r="F158" s="7">
        <v>0.24099999999999999</v>
      </c>
      <c r="G158" s="7">
        <v>0.23899999999999999</v>
      </c>
      <c r="H158" s="7">
        <v>0.24550000000000005</v>
      </c>
      <c r="I158" s="7">
        <v>0.24260000000000004</v>
      </c>
      <c r="J158" s="7">
        <v>0.26080000000000003</v>
      </c>
      <c r="K158" s="7">
        <v>0.21399999999999997</v>
      </c>
      <c r="L158" s="7">
        <v>0.19489999999999996</v>
      </c>
      <c r="M158" s="7">
        <v>0.20950000000000002</v>
      </c>
    </row>
    <row r="159" spans="1:13" x14ac:dyDescent="0.25">
      <c r="A159" t="s">
        <v>210</v>
      </c>
      <c r="B159" t="s">
        <v>505</v>
      </c>
      <c r="C159" t="str">
        <f t="shared" si="8"/>
        <v>30029</v>
      </c>
      <c r="D159" s="7">
        <v>0.24990000000000001</v>
      </c>
      <c r="E159" s="7">
        <v>0.36</v>
      </c>
      <c r="F159" s="7">
        <v>0.2339</v>
      </c>
      <c r="G159" s="7">
        <v>0.22909999999999997</v>
      </c>
      <c r="H159" s="7">
        <v>0.22670000000000001</v>
      </c>
      <c r="I159" s="7">
        <v>0.23099999999999998</v>
      </c>
      <c r="J159" s="7">
        <v>0.22499999999999998</v>
      </c>
      <c r="K159" s="7">
        <v>0.20779999999999998</v>
      </c>
      <c r="L159" s="7">
        <v>0.20540000000000003</v>
      </c>
      <c r="M159" s="7">
        <v>0.19130000000000003</v>
      </c>
    </row>
    <row r="160" spans="1:13" x14ac:dyDescent="0.25">
      <c r="A160" t="s">
        <v>208</v>
      </c>
      <c r="B160" t="s">
        <v>503</v>
      </c>
      <c r="C160" t="str">
        <f t="shared" si="8"/>
        <v>29320</v>
      </c>
      <c r="D160" s="7">
        <v>0.30969999999999998</v>
      </c>
      <c r="E160" s="7">
        <v>0.30200000000000005</v>
      </c>
      <c r="F160" s="7">
        <v>0.29910000000000003</v>
      </c>
      <c r="G160" s="7">
        <v>0.29810000000000003</v>
      </c>
      <c r="H160" s="7">
        <v>0.29010000000000002</v>
      </c>
      <c r="I160" s="7">
        <v>0.2903</v>
      </c>
      <c r="J160" s="7">
        <v>0.28149999999999997</v>
      </c>
      <c r="K160" s="7">
        <v>0.26749999999999996</v>
      </c>
      <c r="L160" s="7">
        <v>0.2923</v>
      </c>
      <c r="M160" s="7">
        <v>0.26129999999999998</v>
      </c>
    </row>
    <row r="161" spans="1:13" x14ac:dyDescent="0.25">
      <c r="A161" t="s">
        <v>115</v>
      </c>
      <c r="B161" t="s">
        <v>411</v>
      </c>
      <c r="C161" t="str">
        <f t="shared" si="8"/>
        <v>17903</v>
      </c>
      <c r="D161" s="7">
        <v>0.31769999999999998</v>
      </c>
      <c r="E161" s="7" t="e">
        <v>#N/A</v>
      </c>
      <c r="F161" s="7">
        <v>0</v>
      </c>
      <c r="G161" s="7">
        <v>0</v>
      </c>
      <c r="H161" s="7">
        <v>0.22670000000000001</v>
      </c>
      <c r="I161" s="7">
        <v>0</v>
      </c>
      <c r="J161" s="7">
        <v>0</v>
      </c>
      <c r="K161" s="7">
        <v>0.36670000000000003</v>
      </c>
      <c r="L161" s="7">
        <v>0.14870000000000005</v>
      </c>
      <c r="M161" s="7">
        <v>0.14759999999999995</v>
      </c>
    </row>
    <row r="162" spans="1:13" x14ac:dyDescent="0.25">
      <c r="A162" t="s">
        <v>215</v>
      </c>
      <c r="B162" t="s">
        <v>510</v>
      </c>
      <c r="C162" t="str">
        <f t="shared" si="8"/>
        <v>31006</v>
      </c>
      <c r="D162" s="7">
        <v>0.32410000000000005</v>
      </c>
      <c r="E162" s="7">
        <v>0.32440000000000002</v>
      </c>
      <c r="F162" s="7">
        <v>0.32530000000000003</v>
      </c>
      <c r="G162" s="7">
        <v>0.31110000000000004</v>
      </c>
      <c r="H162" s="7">
        <v>0.32130000000000003</v>
      </c>
      <c r="I162" s="7">
        <v>0.31120000000000003</v>
      </c>
      <c r="J162" s="7">
        <v>0.29910000000000003</v>
      </c>
      <c r="K162" s="7">
        <v>0.27229999999999999</v>
      </c>
      <c r="L162" s="7">
        <v>0.26580000000000004</v>
      </c>
      <c r="M162" s="7">
        <v>0.28149999999999997</v>
      </c>
    </row>
    <row r="163" spans="1:13" x14ac:dyDescent="0.25">
      <c r="A163" t="s">
        <v>290</v>
      </c>
      <c r="B163" t="s">
        <v>586</v>
      </c>
      <c r="C163" t="str">
        <f t="shared" si="8"/>
        <v>39003</v>
      </c>
      <c r="D163" s="7">
        <v>0.25590000000000002</v>
      </c>
      <c r="E163" s="7">
        <v>0.26039999999999996</v>
      </c>
      <c r="F163" s="7">
        <v>0.25549999999999995</v>
      </c>
      <c r="G163" s="7">
        <v>0.2641</v>
      </c>
      <c r="H163" s="7">
        <v>0.28159999999999996</v>
      </c>
      <c r="I163" s="7">
        <v>0.25749999999999995</v>
      </c>
      <c r="J163" s="7">
        <v>0.21519999999999995</v>
      </c>
      <c r="K163" s="7">
        <v>0.1754</v>
      </c>
      <c r="L163" s="7">
        <v>0.16600000000000004</v>
      </c>
      <c r="M163" s="7">
        <v>0.15839999999999999</v>
      </c>
    </row>
    <row r="164" spans="1:13" x14ac:dyDescent="0.25">
      <c r="A164" t="s">
        <v>138</v>
      </c>
      <c r="B164" t="s">
        <v>434</v>
      </c>
      <c r="C164" t="str">
        <f t="shared" si="8"/>
        <v>21014</v>
      </c>
      <c r="D164" s="7">
        <v>0.249</v>
      </c>
      <c r="E164" s="7">
        <v>0.24750000000000005</v>
      </c>
      <c r="F164" s="7">
        <v>0.23180000000000001</v>
      </c>
      <c r="G164" s="7">
        <v>0.24480000000000002</v>
      </c>
      <c r="H164" s="7">
        <v>0.21299999999999997</v>
      </c>
      <c r="I164" s="7">
        <v>0.18269999999999997</v>
      </c>
      <c r="J164" s="7">
        <v>0.17579999999999996</v>
      </c>
      <c r="K164" s="7">
        <v>0.18630000000000002</v>
      </c>
      <c r="L164" s="7">
        <v>0.17900000000000005</v>
      </c>
      <c r="M164" s="7">
        <v>0.18230000000000002</v>
      </c>
    </row>
    <row r="165" spans="1:13" x14ac:dyDescent="0.25">
      <c r="A165" t="s">
        <v>177</v>
      </c>
      <c r="B165" t="s">
        <v>473</v>
      </c>
      <c r="C165" t="str">
        <f t="shared" si="8"/>
        <v>25155</v>
      </c>
      <c r="D165" s="7">
        <v>0.24990000000000001</v>
      </c>
      <c r="E165" s="7">
        <v>0.23140000000000005</v>
      </c>
      <c r="F165" s="7">
        <v>0.2339</v>
      </c>
      <c r="G165" s="7">
        <v>0.22909999999999997</v>
      </c>
      <c r="H165" s="7">
        <v>0.22670000000000001</v>
      </c>
      <c r="I165" s="7">
        <v>0.23099999999999998</v>
      </c>
      <c r="J165" s="7">
        <v>0.22499999999999998</v>
      </c>
      <c r="K165" s="7">
        <v>0.20779999999999998</v>
      </c>
      <c r="L165" s="7">
        <v>0.20540000000000003</v>
      </c>
      <c r="M165" s="7">
        <v>0.19130000000000003</v>
      </c>
    </row>
    <row r="166" spans="1:13" x14ac:dyDescent="0.25">
      <c r="A166" t="s">
        <v>166</v>
      </c>
      <c r="B166" t="s">
        <v>462</v>
      </c>
      <c r="C166" t="str">
        <f t="shared" si="8"/>
        <v>24014</v>
      </c>
      <c r="D166" s="7">
        <v>0.124</v>
      </c>
      <c r="E166" s="7">
        <v>9.0400000000000036E-2</v>
      </c>
      <c r="F166" s="7">
        <v>0.122</v>
      </c>
      <c r="G166" s="7">
        <v>9.7099999999999964E-2</v>
      </c>
      <c r="H166" s="7">
        <v>0.10329999999999995</v>
      </c>
      <c r="I166" s="7">
        <v>9.3799999999999994E-2</v>
      </c>
      <c r="J166" s="7">
        <v>0.10319999999999996</v>
      </c>
      <c r="K166" s="7">
        <v>0.10219999999999996</v>
      </c>
      <c r="L166" s="7">
        <v>0.10940000000000005</v>
      </c>
      <c r="M166" s="7">
        <v>0.15469999999999995</v>
      </c>
    </row>
    <row r="167" spans="1:13" x14ac:dyDescent="0.25">
      <c r="A167" t="s">
        <v>180</v>
      </c>
      <c r="B167" t="s">
        <v>476</v>
      </c>
      <c r="C167" t="str">
        <f t="shared" si="8"/>
        <v>26056</v>
      </c>
      <c r="D167" s="7">
        <v>0.22950000000000004</v>
      </c>
      <c r="E167" s="7">
        <v>0.25129999999999997</v>
      </c>
      <c r="F167" s="7">
        <v>0.27480000000000004</v>
      </c>
      <c r="G167" s="7">
        <v>0.26070000000000004</v>
      </c>
      <c r="H167" s="7">
        <v>0.26580000000000004</v>
      </c>
      <c r="I167" s="7">
        <v>0.27249999999999996</v>
      </c>
      <c r="J167" s="7">
        <v>0.30110000000000003</v>
      </c>
      <c r="K167" s="7">
        <v>0.29590000000000005</v>
      </c>
      <c r="L167" s="7">
        <v>0.26639999999999997</v>
      </c>
      <c r="M167" s="7">
        <v>0.24209999999999998</v>
      </c>
    </row>
    <row r="168" spans="1:13" x14ac:dyDescent="0.25">
      <c r="A168" t="s">
        <v>229</v>
      </c>
      <c r="B168" t="s">
        <v>525</v>
      </c>
      <c r="C168" t="str">
        <f t="shared" si="8"/>
        <v>32325</v>
      </c>
      <c r="D168" s="7">
        <v>0.24119999999999997</v>
      </c>
      <c r="E168" s="7">
        <v>0.24199999999999999</v>
      </c>
      <c r="F168" s="7">
        <v>0.23399999999999999</v>
      </c>
      <c r="G168" s="7">
        <v>0.23380000000000001</v>
      </c>
      <c r="H168" s="7">
        <v>0.23719999999999997</v>
      </c>
      <c r="I168" s="7">
        <v>0.23180000000000001</v>
      </c>
      <c r="J168" s="7">
        <v>0.22550000000000003</v>
      </c>
      <c r="K168" s="7">
        <v>0.24119999999999997</v>
      </c>
      <c r="L168" s="7">
        <v>0.23109999999999997</v>
      </c>
      <c r="M168" s="7">
        <v>0.20589999999999997</v>
      </c>
    </row>
    <row r="169" spans="1:13" x14ac:dyDescent="0.25">
      <c r="A169" t="s">
        <v>273</v>
      </c>
      <c r="B169" t="s">
        <v>569</v>
      </c>
      <c r="C169" t="str">
        <f t="shared" si="8"/>
        <v>37506</v>
      </c>
      <c r="D169" s="7">
        <v>0.25470000000000004</v>
      </c>
      <c r="E169" s="7">
        <v>0.25790000000000002</v>
      </c>
      <c r="F169" s="7">
        <v>0.26980000000000004</v>
      </c>
      <c r="G169" s="7">
        <v>0.2873</v>
      </c>
      <c r="H169" s="7">
        <v>0.26400000000000001</v>
      </c>
      <c r="I169" s="7">
        <v>0.2389</v>
      </c>
      <c r="J169" s="7">
        <v>0.25119999999999998</v>
      </c>
      <c r="K169" s="7">
        <v>0.247</v>
      </c>
      <c r="L169" s="7">
        <v>0.24850000000000005</v>
      </c>
      <c r="M169" s="7">
        <v>0.255</v>
      </c>
    </row>
    <row r="170" spans="1:13" x14ac:dyDescent="0.25">
      <c r="A170" t="s">
        <v>77</v>
      </c>
      <c r="B170" t="s">
        <v>373</v>
      </c>
      <c r="C170" t="str">
        <f t="shared" si="8"/>
        <v>14064</v>
      </c>
      <c r="D170" s="7">
        <v>0.21319999999999995</v>
      </c>
      <c r="E170" s="7">
        <v>0.23719999999999997</v>
      </c>
      <c r="F170" s="7">
        <v>0.27280000000000004</v>
      </c>
      <c r="G170" s="7">
        <v>0.20750000000000002</v>
      </c>
      <c r="H170" s="7">
        <v>0.23729999999999996</v>
      </c>
      <c r="I170" s="7">
        <v>0.20040000000000002</v>
      </c>
      <c r="J170" s="7">
        <v>0.18869999999999998</v>
      </c>
      <c r="K170" s="7">
        <v>0.23370000000000002</v>
      </c>
      <c r="L170" s="7">
        <v>0.22560000000000002</v>
      </c>
      <c r="M170" s="7">
        <v>0.20499999999999996</v>
      </c>
    </row>
    <row r="171" spans="1:13" x14ac:dyDescent="0.25">
      <c r="A171" t="s">
        <v>61</v>
      </c>
      <c r="B171" t="s">
        <v>357</v>
      </c>
      <c r="C171" t="str">
        <f t="shared" si="8"/>
        <v>11051</v>
      </c>
      <c r="D171" s="7">
        <v>0.25770000000000004</v>
      </c>
      <c r="E171" s="7">
        <v>0.24019999999999997</v>
      </c>
      <c r="F171" s="7">
        <v>0.24960000000000004</v>
      </c>
      <c r="G171" s="7">
        <v>0.26480000000000004</v>
      </c>
      <c r="H171" s="7">
        <v>0.2802</v>
      </c>
      <c r="I171" s="7">
        <v>0.29269999999999996</v>
      </c>
      <c r="J171" s="7">
        <v>0.25870000000000004</v>
      </c>
      <c r="K171" s="7">
        <v>0.2702</v>
      </c>
      <c r="L171" s="7">
        <v>0.249</v>
      </c>
      <c r="M171" s="7">
        <v>0.24629999999999996</v>
      </c>
    </row>
    <row r="172" spans="1:13" x14ac:dyDescent="0.25">
      <c r="A172" t="s">
        <v>118</v>
      </c>
      <c r="B172" t="s">
        <v>414</v>
      </c>
      <c r="C172" t="str">
        <f t="shared" si="8"/>
        <v>18400</v>
      </c>
      <c r="D172" s="7">
        <v>0.24209999999999998</v>
      </c>
      <c r="E172" s="7">
        <v>0.23580000000000001</v>
      </c>
      <c r="F172" s="7">
        <v>0.23450000000000004</v>
      </c>
      <c r="G172" s="7">
        <v>0.22109999999999996</v>
      </c>
      <c r="H172" s="7">
        <v>0.22309999999999997</v>
      </c>
      <c r="I172" s="7">
        <v>0.21630000000000005</v>
      </c>
      <c r="J172" s="7">
        <v>0.19989999999999997</v>
      </c>
      <c r="K172" s="7">
        <v>0.20140000000000002</v>
      </c>
      <c r="L172" s="7">
        <v>0.20250000000000001</v>
      </c>
      <c r="M172" s="7">
        <v>0.20020000000000004</v>
      </c>
    </row>
    <row r="173" spans="1:13" x14ac:dyDescent="0.25">
      <c r="A173" t="s">
        <v>164</v>
      </c>
      <c r="B173" t="s">
        <v>460</v>
      </c>
      <c r="C173" t="str">
        <f t="shared" si="8"/>
        <v>23403</v>
      </c>
      <c r="D173" s="7">
        <v>0.24019999999999997</v>
      </c>
      <c r="E173" s="7">
        <v>0.24690000000000001</v>
      </c>
      <c r="F173" s="7">
        <v>0.28380000000000005</v>
      </c>
      <c r="G173" s="7">
        <v>0.27329999999999999</v>
      </c>
      <c r="H173" s="7">
        <v>0.22240000000000004</v>
      </c>
      <c r="I173" s="7">
        <v>0.21579999999999999</v>
      </c>
      <c r="J173" s="7">
        <v>0.18540000000000001</v>
      </c>
      <c r="K173" s="7">
        <v>0.17320000000000002</v>
      </c>
      <c r="L173" s="7">
        <v>0.18030000000000002</v>
      </c>
      <c r="M173" s="7">
        <v>0.18140000000000001</v>
      </c>
    </row>
    <row r="174" spans="1:13" x14ac:dyDescent="0.25">
      <c r="A174" t="s">
        <v>179</v>
      </c>
      <c r="B174" t="s">
        <v>475</v>
      </c>
      <c r="C174" t="str">
        <f t="shared" si="8"/>
        <v>25200</v>
      </c>
      <c r="D174" s="7">
        <v>0.18330000000000002</v>
      </c>
      <c r="E174" s="7">
        <v>0.14639999999999997</v>
      </c>
      <c r="F174" s="7">
        <v>0.1462</v>
      </c>
      <c r="G174" s="7">
        <v>0.14859999999999995</v>
      </c>
      <c r="H174" s="7">
        <v>0.12749999999999995</v>
      </c>
      <c r="I174" s="7">
        <v>9.2500000000000027E-2</v>
      </c>
      <c r="J174" s="7">
        <v>0.26670000000000005</v>
      </c>
      <c r="K174" s="7">
        <v>8.6200000000000054E-2</v>
      </c>
      <c r="L174" s="7">
        <v>9.870000000000001E-2</v>
      </c>
      <c r="M174" s="7">
        <v>8.8300000000000045E-2</v>
      </c>
    </row>
    <row r="175" spans="1:13" x14ac:dyDescent="0.25">
      <c r="A175" t="s">
        <v>253</v>
      </c>
      <c r="B175" t="s">
        <v>549</v>
      </c>
      <c r="C175" t="str">
        <f t="shared" si="8"/>
        <v>34003</v>
      </c>
      <c r="D175" s="7">
        <v>0.27449999999999997</v>
      </c>
      <c r="E175" s="7">
        <v>0.27559999999999996</v>
      </c>
      <c r="F175" s="7">
        <v>0.2752</v>
      </c>
      <c r="G175" s="7">
        <v>0.27290000000000003</v>
      </c>
      <c r="H175" s="7">
        <v>0.27390000000000003</v>
      </c>
      <c r="I175" s="7">
        <v>0.27639999999999998</v>
      </c>
      <c r="J175" s="7">
        <v>0.27480000000000004</v>
      </c>
      <c r="K175" s="7">
        <v>0.27370000000000005</v>
      </c>
      <c r="L175" s="7">
        <v>0.26100000000000001</v>
      </c>
      <c r="M175" s="7">
        <v>0.25949999999999995</v>
      </c>
    </row>
    <row r="176" spans="1:13" x14ac:dyDescent="0.25">
      <c r="A176" t="s">
        <v>250</v>
      </c>
      <c r="B176" t="s">
        <v>546</v>
      </c>
      <c r="C176" t="str">
        <f t="shared" si="8"/>
        <v>33211</v>
      </c>
      <c r="D176" s="7">
        <v>0.1986</v>
      </c>
      <c r="E176" s="7">
        <v>0.15000000000000002</v>
      </c>
      <c r="F176" s="7">
        <v>0.17500000000000004</v>
      </c>
      <c r="G176" s="7">
        <v>0.23870000000000002</v>
      </c>
      <c r="H176" s="7">
        <v>0.24409999999999998</v>
      </c>
      <c r="I176" s="7">
        <v>0.14910000000000001</v>
      </c>
      <c r="J176" s="7">
        <v>0.15200000000000002</v>
      </c>
      <c r="K176" s="7">
        <v>0.18789999999999996</v>
      </c>
      <c r="L176" s="7">
        <v>0.20699999999999996</v>
      </c>
      <c r="M176" s="7">
        <v>0.15839999999999999</v>
      </c>
    </row>
    <row r="177" spans="1:13" x14ac:dyDescent="0.25">
      <c r="A177" t="s">
        <v>114</v>
      </c>
      <c r="B177" t="s">
        <v>410</v>
      </c>
      <c r="C177" t="str">
        <f t="shared" si="8"/>
        <v>17417</v>
      </c>
      <c r="D177" s="7">
        <v>0.27610000000000001</v>
      </c>
      <c r="E177" s="7">
        <v>0.28310000000000002</v>
      </c>
      <c r="F177" s="7">
        <v>0.27969999999999995</v>
      </c>
      <c r="G177" s="7">
        <v>0.27180000000000004</v>
      </c>
      <c r="H177" s="7">
        <v>0.26949999999999996</v>
      </c>
      <c r="I177" s="7">
        <v>0.26390000000000002</v>
      </c>
      <c r="J177" s="7">
        <v>0.26139999999999997</v>
      </c>
      <c r="K177" s="7">
        <v>0.23770000000000002</v>
      </c>
      <c r="L177" s="7">
        <v>0.21530000000000005</v>
      </c>
      <c r="M177" s="7">
        <v>0.20830000000000004</v>
      </c>
    </row>
    <row r="178" spans="1:13" x14ac:dyDescent="0.25">
      <c r="A178" t="s">
        <v>88</v>
      </c>
      <c r="B178" t="s">
        <v>384</v>
      </c>
      <c r="C178" t="str">
        <f t="shared" si="8"/>
        <v>15201</v>
      </c>
      <c r="D178" s="7">
        <v>0.34209999999999996</v>
      </c>
      <c r="E178" s="7">
        <v>0.33120000000000005</v>
      </c>
      <c r="F178" s="7">
        <v>0.34719999999999995</v>
      </c>
      <c r="G178" s="7">
        <v>0.32299999999999995</v>
      </c>
      <c r="H178" s="7">
        <v>0.31869999999999998</v>
      </c>
      <c r="I178" s="7">
        <v>0.31130000000000002</v>
      </c>
      <c r="J178" s="7">
        <v>0.29400000000000004</v>
      </c>
      <c r="K178" s="7">
        <v>0.30030000000000001</v>
      </c>
      <c r="L178" s="7">
        <v>0.28939999999999999</v>
      </c>
      <c r="M178" s="7">
        <v>0.28480000000000005</v>
      </c>
    </row>
    <row r="179" spans="1:13" x14ac:dyDescent="0.25">
      <c r="A179" t="s">
        <v>288</v>
      </c>
      <c r="B179" t="s">
        <v>584</v>
      </c>
      <c r="C179" t="str">
        <f t="shared" si="8"/>
        <v>38324</v>
      </c>
      <c r="D179" s="7">
        <v>0.15820000000000001</v>
      </c>
      <c r="E179" s="7">
        <v>0.18859999999999999</v>
      </c>
      <c r="F179" s="7">
        <v>0.13300000000000001</v>
      </c>
      <c r="G179" s="7">
        <v>0.12</v>
      </c>
      <c r="H179" s="7">
        <v>0.10999999999999999</v>
      </c>
      <c r="I179" s="7">
        <v>0.15100000000000002</v>
      </c>
      <c r="J179" s="7">
        <v>0.128</v>
      </c>
      <c r="K179" s="7">
        <v>0.25</v>
      </c>
      <c r="L179" s="7">
        <v>0.23250000000000004</v>
      </c>
      <c r="M179" s="7">
        <v>0.16190000000000004</v>
      </c>
    </row>
    <row r="180" spans="1:13" x14ac:dyDescent="0.25">
      <c r="A180" t="s">
        <v>87</v>
      </c>
      <c r="B180" t="s">
        <v>383</v>
      </c>
      <c r="C180" t="str">
        <f t="shared" si="8"/>
        <v>14400</v>
      </c>
      <c r="D180" s="7">
        <v>0.25939999999999996</v>
      </c>
      <c r="E180" s="7">
        <v>0.28939999999999999</v>
      </c>
      <c r="F180" s="7">
        <v>0.27159999999999995</v>
      </c>
      <c r="G180" s="7">
        <v>0.21599999999999997</v>
      </c>
      <c r="H180" s="7">
        <v>0.12719999999999998</v>
      </c>
      <c r="I180" s="7">
        <v>0.14549999999999996</v>
      </c>
      <c r="J180" s="7">
        <v>0.15229999999999999</v>
      </c>
      <c r="K180" s="7">
        <v>0.14639999999999997</v>
      </c>
      <c r="L180" s="7">
        <v>0.15310000000000001</v>
      </c>
      <c r="M180" s="7">
        <v>0.18340000000000001</v>
      </c>
    </row>
    <row r="181" spans="1:13" x14ac:dyDescent="0.25">
      <c r="A181" t="s">
        <v>174</v>
      </c>
      <c r="B181" t="s">
        <v>470</v>
      </c>
      <c r="C181" t="str">
        <f t="shared" si="8"/>
        <v>25101</v>
      </c>
      <c r="D181" s="7">
        <v>0.24990000000000001</v>
      </c>
      <c r="E181" s="7">
        <v>0.26419999999999999</v>
      </c>
      <c r="F181" s="7">
        <v>0.2339</v>
      </c>
      <c r="G181" s="7">
        <v>0.22909999999999997</v>
      </c>
      <c r="H181" s="7">
        <v>0.22670000000000001</v>
      </c>
      <c r="I181" s="7">
        <v>0.23099999999999998</v>
      </c>
      <c r="J181" s="7">
        <v>0.22499999999999998</v>
      </c>
      <c r="K181" s="7">
        <v>0.20779999999999998</v>
      </c>
      <c r="L181" s="7">
        <v>0.20540000000000003</v>
      </c>
      <c r="M181" s="7">
        <v>0.19130000000000003</v>
      </c>
    </row>
    <row r="182" spans="1:13" x14ac:dyDescent="0.25">
      <c r="A182" t="s">
        <v>86</v>
      </c>
      <c r="B182" t="s">
        <v>382</v>
      </c>
      <c r="C182" t="str">
        <f t="shared" si="8"/>
        <v>14172</v>
      </c>
      <c r="D182" s="7">
        <v>0.30489999999999995</v>
      </c>
      <c r="E182" s="7">
        <v>0.28849999999999998</v>
      </c>
      <c r="F182" s="7">
        <v>0.26180000000000003</v>
      </c>
      <c r="G182" s="7">
        <v>0.25939999999999996</v>
      </c>
      <c r="H182" s="7">
        <v>0.27270000000000005</v>
      </c>
      <c r="I182" s="7">
        <v>0.25570000000000004</v>
      </c>
      <c r="J182" s="7">
        <v>0.18489999999999995</v>
      </c>
      <c r="K182" s="7">
        <v>0.1321</v>
      </c>
      <c r="L182" s="7">
        <v>0.13970000000000005</v>
      </c>
      <c r="M182" s="7">
        <v>0.16159999999999997</v>
      </c>
    </row>
    <row r="183" spans="1:13" x14ac:dyDescent="0.25">
      <c r="A183" t="s">
        <v>155</v>
      </c>
      <c r="B183" t="s">
        <v>451</v>
      </c>
      <c r="C183" t="str">
        <f t="shared" si="8"/>
        <v>22105</v>
      </c>
      <c r="D183" s="7">
        <v>0.26119999999999999</v>
      </c>
      <c r="E183" s="7">
        <v>0.19059999999999999</v>
      </c>
      <c r="F183" s="7">
        <v>0.28059999999999996</v>
      </c>
      <c r="G183" s="7">
        <v>0.27580000000000005</v>
      </c>
      <c r="H183" s="7">
        <v>0.23340000000000005</v>
      </c>
      <c r="I183" s="7">
        <v>0.23650000000000004</v>
      </c>
      <c r="J183" s="7">
        <v>0.26480000000000004</v>
      </c>
      <c r="K183" s="7">
        <v>0.26049999999999995</v>
      </c>
      <c r="L183" s="7">
        <v>0.24370000000000003</v>
      </c>
      <c r="M183" s="7">
        <v>0.24739999999999995</v>
      </c>
    </row>
    <row r="184" spans="1:13" x14ac:dyDescent="0.25">
      <c r="A184" t="s">
        <v>168</v>
      </c>
      <c r="B184" t="s">
        <v>464</v>
      </c>
      <c r="C184" t="str">
        <f t="shared" si="8"/>
        <v>24105</v>
      </c>
      <c r="D184" s="7">
        <v>0.30879999999999996</v>
      </c>
      <c r="E184" s="7">
        <v>0.28249999999999997</v>
      </c>
      <c r="F184" s="7">
        <v>0.28959999999999997</v>
      </c>
      <c r="G184" s="7">
        <v>0.27969999999999995</v>
      </c>
      <c r="H184" s="7">
        <v>0.246</v>
      </c>
      <c r="I184" s="7">
        <v>0.23580000000000001</v>
      </c>
      <c r="J184" s="7">
        <v>0.23209999999999997</v>
      </c>
      <c r="K184" s="7">
        <v>0.18159999999999998</v>
      </c>
      <c r="L184" s="7">
        <v>0.17949999999999999</v>
      </c>
      <c r="M184" s="7">
        <v>0.15990000000000004</v>
      </c>
    </row>
    <row r="185" spans="1:13" x14ac:dyDescent="0.25">
      <c r="A185" t="s">
        <v>255</v>
      </c>
      <c r="B185" t="s">
        <v>551</v>
      </c>
      <c r="C185" t="str">
        <f t="shared" si="8"/>
        <v>34111</v>
      </c>
      <c r="D185" s="7">
        <v>0.30510000000000004</v>
      </c>
      <c r="E185" s="7">
        <v>0.30179999999999996</v>
      </c>
      <c r="F185" s="7">
        <v>0.3075</v>
      </c>
      <c r="G185" s="7">
        <v>0.2913</v>
      </c>
      <c r="H185" s="7">
        <v>0.29010000000000002</v>
      </c>
      <c r="I185" s="7">
        <v>0.29620000000000002</v>
      </c>
      <c r="J185" s="7">
        <v>0.28380000000000005</v>
      </c>
      <c r="K185" s="7">
        <v>0.26649999999999996</v>
      </c>
      <c r="L185" s="7">
        <v>0.26700000000000002</v>
      </c>
      <c r="M185" s="7">
        <v>0.26419999999999999</v>
      </c>
    </row>
    <row r="186" spans="1:13" x14ac:dyDescent="0.25">
      <c r="A186" t="s">
        <v>167</v>
      </c>
      <c r="B186" t="s">
        <v>463</v>
      </c>
      <c r="C186" t="str">
        <f t="shared" si="8"/>
        <v>24019</v>
      </c>
      <c r="D186" s="7">
        <v>0.17559999999999998</v>
      </c>
      <c r="E186" s="7">
        <v>0.17010000000000003</v>
      </c>
      <c r="F186" s="7">
        <v>0.18049999999999999</v>
      </c>
      <c r="G186" s="7">
        <v>0.18069999999999997</v>
      </c>
      <c r="H186" s="7">
        <v>0.18359999999999999</v>
      </c>
      <c r="I186" s="7">
        <v>0.19699999999999995</v>
      </c>
      <c r="J186" s="7">
        <v>0.18469999999999998</v>
      </c>
      <c r="K186" s="7">
        <v>0.17149999999999999</v>
      </c>
      <c r="L186" s="7">
        <v>0.18489999999999995</v>
      </c>
      <c r="M186" s="7">
        <v>0.1875</v>
      </c>
    </row>
    <row r="187" spans="1:13" x14ac:dyDescent="0.25">
      <c r="A187" t="s">
        <v>146</v>
      </c>
      <c r="B187" t="s">
        <v>442</v>
      </c>
      <c r="C187" t="str">
        <f t="shared" si="8"/>
        <v>21300</v>
      </c>
      <c r="D187" s="7">
        <v>0.22709999999999997</v>
      </c>
      <c r="E187" s="7">
        <v>0.23070000000000002</v>
      </c>
      <c r="F187" s="7">
        <v>0.246</v>
      </c>
      <c r="G187" s="7">
        <v>0.25629999999999997</v>
      </c>
      <c r="H187" s="7">
        <v>0.26039999999999996</v>
      </c>
      <c r="I187" s="7">
        <v>0.2671</v>
      </c>
      <c r="J187" s="7">
        <v>0.26790000000000003</v>
      </c>
      <c r="K187" s="7">
        <v>0.25619999999999998</v>
      </c>
      <c r="L187" s="7">
        <v>0.27190000000000003</v>
      </c>
      <c r="M187" s="7">
        <v>0.25719999999999998</v>
      </c>
    </row>
    <row r="188" spans="1:13" x14ac:dyDescent="0.25">
      <c r="A188" t="s">
        <v>240</v>
      </c>
      <c r="B188" t="s">
        <v>536</v>
      </c>
      <c r="C188" t="str">
        <f t="shared" si="8"/>
        <v>33030</v>
      </c>
      <c r="D188" s="7">
        <v>0.23799999999999999</v>
      </c>
      <c r="E188" s="7">
        <v>0.21999999999999997</v>
      </c>
      <c r="F188" s="7">
        <v>9.2500000000000027E-2</v>
      </c>
      <c r="G188" s="7">
        <v>0.248</v>
      </c>
      <c r="H188" s="7">
        <v>0.10499999999999998</v>
      </c>
      <c r="I188" s="7">
        <v>7.999999999999996E-2</v>
      </c>
      <c r="J188" s="7">
        <v>9.6700000000000008E-2</v>
      </c>
      <c r="K188" s="7">
        <v>0.10140000000000005</v>
      </c>
      <c r="L188" s="7">
        <v>9.2500000000000027E-2</v>
      </c>
      <c r="M188" s="7">
        <v>0.17330000000000001</v>
      </c>
    </row>
    <row r="189" spans="1:13" x14ac:dyDescent="0.25">
      <c r="A189" t="s">
        <v>199</v>
      </c>
      <c r="B189" t="s">
        <v>494</v>
      </c>
      <c r="C189" t="str">
        <f t="shared" si="8"/>
        <v>28137</v>
      </c>
      <c r="D189" s="7">
        <v>0.23340000000000005</v>
      </c>
      <c r="E189" s="7">
        <v>0.21450000000000002</v>
      </c>
      <c r="F189" s="7">
        <v>0.20750000000000002</v>
      </c>
      <c r="G189" s="7">
        <v>0.2077</v>
      </c>
      <c r="H189" s="7">
        <v>0.17359999999999998</v>
      </c>
      <c r="I189" s="7">
        <v>0.15910000000000002</v>
      </c>
      <c r="J189" s="7">
        <v>0.15290000000000004</v>
      </c>
      <c r="K189" s="7">
        <v>0.1573</v>
      </c>
      <c r="L189" s="7">
        <v>0.13839999999999997</v>
      </c>
      <c r="M189" s="7">
        <v>0.12270000000000003</v>
      </c>
    </row>
    <row r="190" spans="1:13" x14ac:dyDescent="0.25">
      <c r="A190" t="s">
        <v>227</v>
      </c>
      <c r="B190" t="s">
        <v>523</v>
      </c>
      <c r="C190" t="str">
        <f t="shared" si="8"/>
        <v>32123</v>
      </c>
      <c r="D190" s="7">
        <v>8.7099999999999955E-2</v>
      </c>
      <c r="E190" s="7">
        <v>9.3600000000000017E-2</v>
      </c>
      <c r="F190" s="7">
        <v>8.4999999999999964E-2</v>
      </c>
      <c r="G190" s="7">
        <v>0.12749999999999995</v>
      </c>
      <c r="H190" s="7">
        <v>0.20199999999999996</v>
      </c>
      <c r="I190" s="7">
        <v>0.18169999999999997</v>
      </c>
      <c r="J190" s="7">
        <v>0.26670000000000005</v>
      </c>
      <c r="K190" s="7">
        <v>0.19199999999999995</v>
      </c>
      <c r="L190" s="7">
        <v>0.15000000000000002</v>
      </c>
      <c r="M190" s="7">
        <v>0.11499999999999999</v>
      </c>
    </row>
    <row r="191" spans="1:13" x14ac:dyDescent="0.25">
      <c r="A191" t="s">
        <v>57</v>
      </c>
      <c r="B191" t="s">
        <v>353</v>
      </c>
      <c r="C191" t="str">
        <f t="shared" si="8"/>
        <v>10065</v>
      </c>
      <c r="D191" s="7">
        <v>9.6700000000000008E-2</v>
      </c>
      <c r="E191" s="7">
        <v>0.10499999999999998</v>
      </c>
      <c r="F191" s="7">
        <v>0.10860000000000003</v>
      </c>
      <c r="G191" s="7">
        <v>9.2500000000000027E-2</v>
      </c>
      <c r="H191" s="7">
        <v>9.3600000000000017E-2</v>
      </c>
      <c r="I191" s="7">
        <v>9.540000000000004E-2</v>
      </c>
      <c r="J191" s="7">
        <v>0.10499999999999998</v>
      </c>
      <c r="K191" s="7">
        <v>0.10499999999999998</v>
      </c>
      <c r="L191" s="7">
        <v>0.14139999999999997</v>
      </c>
      <c r="M191" s="7">
        <v>0.11329999999999996</v>
      </c>
    </row>
    <row r="192" spans="1:13" x14ac:dyDescent="0.25">
      <c r="A192" t="s">
        <v>49</v>
      </c>
      <c r="B192" t="s">
        <v>345</v>
      </c>
      <c r="C192" t="str">
        <f t="shared" si="8"/>
        <v>09013</v>
      </c>
      <c r="D192" s="7">
        <v>0.24990000000000001</v>
      </c>
      <c r="E192" s="7">
        <v>0.26590000000000003</v>
      </c>
      <c r="F192" s="7">
        <v>0.2339</v>
      </c>
      <c r="G192" s="7">
        <v>0.22909999999999997</v>
      </c>
      <c r="H192" s="7">
        <v>0.22670000000000001</v>
      </c>
      <c r="I192" s="7">
        <v>0.23099999999999998</v>
      </c>
      <c r="J192" s="7">
        <v>0.22499999999999998</v>
      </c>
      <c r="K192" s="7">
        <v>0.20779999999999998</v>
      </c>
      <c r="L192" s="7">
        <v>0.20540000000000003</v>
      </c>
      <c r="M192" s="7">
        <v>0.19130000000000003</v>
      </c>
    </row>
    <row r="193" spans="1:13" x14ac:dyDescent="0.25">
      <c r="A193" t="s">
        <v>173</v>
      </c>
      <c r="B193" t="s">
        <v>469</v>
      </c>
      <c r="C193" t="str">
        <f t="shared" si="8"/>
        <v>24410</v>
      </c>
      <c r="D193" s="7">
        <v>0.19530000000000003</v>
      </c>
      <c r="E193" s="7">
        <v>0.21730000000000005</v>
      </c>
      <c r="F193" s="7">
        <v>0.2278</v>
      </c>
      <c r="G193" s="7">
        <v>0.24</v>
      </c>
      <c r="H193" s="7">
        <v>0.20809999999999995</v>
      </c>
      <c r="I193" s="7">
        <v>0.22750000000000004</v>
      </c>
      <c r="J193" s="7">
        <v>0.2147</v>
      </c>
      <c r="K193" s="7">
        <v>0.24199999999999999</v>
      </c>
      <c r="L193" s="7">
        <v>0.19020000000000004</v>
      </c>
      <c r="M193" s="7">
        <v>0.20669999999999999</v>
      </c>
    </row>
    <row r="194" spans="1:13" x14ac:dyDescent="0.25">
      <c r="A194" t="s">
        <v>190</v>
      </c>
      <c r="B194" t="s">
        <v>485</v>
      </c>
      <c r="C194" t="str">
        <f t="shared" si="8"/>
        <v>27344</v>
      </c>
      <c r="D194" s="7">
        <v>0.26649999999999996</v>
      </c>
      <c r="E194" s="7">
        <v>0.25760000000000005</v>
      </c>
      <c r="F194" s="7">
        <v>0.26539999999999997</v>
      </c>
      <c r="G194" s="7">
        <v>0.27180000000000004</v>
      </c>
      <c r="H194" s="7">
        <v>0.27159999999999995</v>
      </c>
      <c r="I194" s="7">
        <v>0.26829999999999998</v>
      </c>
      <c r="J194" s="7">
        <v>0.2611</v>
      </c>
      <c r="K194" s="7">
        <v>0.25490000000000002</v>
      </c>
      <c r="L194" s="7">
        <v>0.26070000000000004</v>
      </c>
      <c r="M194" s="7">
        <v>0.26049999999999995</v>
      </c>
    </row>
    <row r="195" spans="1:13" x14ac:dyDescent="0.25">
      <c r="A195" t="s">
        <v>9</v>
      </c>
      <c r="B195" t="s">
        <v>306</v>
      </c>
      <c r="C195" t="str">
        <f t="shared" si="8"/>
        <v>01147</v>
      </c>
      <c r="D195" s="7">
        <v>0.32140000000000002</v>
      </c>
      <c r="E195" s="7">
        <v>0.3155</v>
      </c>
      <c r="F195" s="7">
        <v>0.31289999999999996</v>
      </c>
      <c r="G195" s="7">
        <v>0.31179999999999997</v>
      </c>
      <c r="H195" s="7">
        <v>0.27529999999999999</v>
      </c>
      <c r="I195" s="7">
        <v>0.26529999999999998</v>
      </c>
      <c r="J195" s="7">
        <v>0.2641</v>
      </c>
      <c r="K195" s="7">
        <v>0.24529999999999996</v>
      </c>
      <c r="L195" s="7">
        <v>0.23939999999999995</v>
      </c>
      <c r="M195" s="7">
        <v>0.24880000000000002</v>
      </c>
    </row>
    <row r="196" spans="1:13" x14ac:dyDescent="0.25">
      <c r="A196" t="s">
        <v>51</v>
      </c>
      <c r="B196" t="s">
        <v>347</v>
      </c>
      <c r="C196" t="str">
        <f t="shared" si="8"/>
        <v>09102</v>
      </c>
      <c r="D196" s="7">
        <v>7.999999999999996E-2</v>
      </c>
      <c r="E196" s="7">
        <v>7.999999999999996E-2</v>
      </c>
      <c r="F196" s="7">
        <v>7.999999999999996E-2</v>
      </c>
      <c r="G196" s="7">
        <v>7.999999999999996E-2</v>
      </c>
      <c r="H196" s="7">
        <v>7.999999999999996E-2</v>
      </c>
      <c r="I196" s="7">
        <v>7.999999999999996E-2</v>
      </c>
      <c r="J196" s="7">
        <v>7.999999999999996E-2</v>
      </c>
      <c r="K196" s="7">
        <v>7.999999999999996E-2</v>
      </c>
      <c r="L196" s="7">
        <v>7.999999999999996E-2</v>
      </c>
      <c r="M196" s="7">
        <v>0.19130000000000003</v>
      </c>
    </row>
    <row r="197" spans="1:13" x14ac:dyDescent="0.25">
      <c r="A197" t="s">
        <v>281</v>
      </c>
      <c r="B197" t="s">
        <v>577</v>
      </c>
      <c r="C197" t="str">
        <f t="shared" ref="C197:C264" si="10">A197</f>
        <v>38301</v>
      </c>
      <c r="D197" s="7">
        <v>0.11519999999999997</v>
      </c>
      <c r="E197" s="7">
        <v>0.18899999999999995</v>
      </c>
      <c r="F197" s="7">
        <v>0.15739999999999998</v>
      </c>
      <c r="G197" s="7">
        <v>0.16520000000000001</v>
      </c>
      <c r="H197" s="7">
        <v>0.246</v>
      </c>
      <c r="I197" s="7">
        <v>0.26219999999999999</v>
      </c>
      <c r="J197" s="7">
        <v>0.18720000000000003</v>
      </c>
      <c r="K197" s="7">
        <v>0.14849999999999997</v>
      </c>
      <c r="L197" s="7">
        <v>0.2036</v>
      </c>
      <c r="M197" s="7">
        <v>0.14170000000000005</v>
      </c>
    </row>
    <row r="198" spans="1:13" x14ac:dyDescent="0.25">
      <c r="A198" t="s">
        <v>1247</v>
      </c>
      <c r="B198" t="s">
        <v>1113</v>
      </c>
      <c r="C198" t="str">
        <f t="shared" ref="C198" si="11">A198</f>
        <v>24915</v>
      </c>
      <c r="D198" s="7"/>
      <c r="E198" s="7"/>
      <c r="F198" s="7"/>
      <c r="G198" s="7"/>
      <c r="H198" s="7"/>
      <c r="I198" s="7"/>
      <c r="J198" s="7"/>
      <c r="K198" s="7"/>
      <c r="L198" s="7">
        <v>0.18489999999999995</v>
      </c>
      <c r="M198" s="7">
        <v>0.14849999999999997</v>
      </c>
    </row>
    <row r="199" spans="1:13" x14ac:dyDescent="0.25">
      <c r="A199" t="s">
        <v>60</v>
      </c>
      <c r="B199" t="s">
        <v>356</v>
      </c>
      <c r="C199" t="str">
        <f t="shared" si="10"/>
        <v>11001</v>
      </c>
      <c r="D199" s="7">
        <v>0.32010000000000005</v>
      </c>
      <c r="E199" s="7">
        <v>0.30600000000000005</v>
      </c>
      <c r="F199" s="7">
        <v>0.31950000000000001</v>
      </c>
      <c r="G199" s="7">
        <v>0.30969999999999998</v>
      </c>
      <c r="H199" s="7">
        <v>0.31020000000000003</v>
      </c>
      <c r="I199" s="7">
        <v>0.30740000000000001</v>
      </c>
      <c r="J199" s="7">
        <v>0.3085</v>
      </c>
      <c r="K199" s="7">
        <v>0.30700000000000005</v>
      </c>
      <c r="L199" s="7">
        <v>0.29610000000000003</v>
      </c>
      <c r="M199" s="7">
        <v>0.27529999999999999</v>
      </c>
    </row>
    <row r="200" spans="1:13" x14ac:dyDescent="0.25">
      <c r="A200" t="s">
        <v>170</v>
      </c>
      <c r="B200" t="s">
        <v>466</v>
      </c>
      <c r="C200" t="str">
        <f t="shared" si="10"/>
        <v>24122</v>
      </c>
      <c r="D200" s="7">
        <v>0.19230000000000003</v>
      </c>
      <c r="E200" s="7">
        <v>0.19510000000000005</v>
      </c>
      <c r="F200" s="7">
        <v>0.19210000000000005</v>
      </c>
      <c r="G200" s="7">
        <v>0.19059999999999999</v>
      </c>
      <c r="H200" s="7">
        <v>0.22289999999999999</v>
      </c>
      <c r="I200" s="7">
        <v>0.20999999999999996</v>
      </c>
      <c r="J200" s="7">
        <v>0.19999999999999996</v>
      </c>
      <c r="K200" s="7">
        <v>0.20899999999999996</v>
      </c>
      <c r="L200" s="7">
        <v>0.20389999999999997</v>
      </c>
      <c r="M200" s="7">
        <v>0.25439999999999996</v>
      </c>
    </row>
    <row r="201" spans="1:13" x14ac:dyDescent="0.25">
      <c r="A201" t="s">
        <v>15</v>
      </c>
      <c r="B201" t="s">
        <v>312</v>
      </c>
      <c r="C201" t="str">
        <f t="shared" si="10"/>
        <v>03050</v>
      </c>
      <c r="D201" s="7">
        <v>0.23560000000000003</v>
      </c>
      <c r="E201" s="7">
        <v>0.23270000000000002</v>
      </c>
      <c r="F201" s="7">
        <v>0.22709999999999997</v>
      </c>
      <c r="G201" s="7">
        <v>0.24329999999999996</v>
      </c>
      <c r="H201" s="7">
        <v>0.24709999999999999</v>
      </c>
      <c r="I201" s="7">
        <v>0.15469999999999995</v>
      </c>
      <c r="J201" s="7">
        <v>0.11550000000000005</v>
      </c>
      <c r="K201" s="7">
        <v>8.2500000000000018E-2</v>
      </c>
      <c r="L201" s="7">
        <v>8.9999999999999969E-2</v>
      </c>
      <c r="M201" s="7">
        <v>8.4200000000000053E-2</v>
      </c>
    </row>
    <row r="202" spans="1:13" x14ac:dyDescent="0.25">
      <c r="A202" t="s">
        <v>147</v>
      </c>
      <c r="B202" t="s">
        <v>443</v>
      </c>
      <c r="C202" t="str">
        <f t="shared" si="10"/>
        <v>21301</v>
      </c>
      <c r="D202" s="7">
        <v>0.18859999999999999</v>
      </c>
      <c r="E202" s="7">
        <v>0.20509999999999995</v>
      </c>
      <c r="F202" s="7">
        <v>0.17900000000000005</v>
      </c>
      <c r="G202" s="7">
        <v>0.19110000000000005</v>
      </c>
      <c r="H202" s="7">
        <v>0.16190000000000004</v>
      </c>
      <c r="I202" s="7">
        <v>0.20099999999999996</v>
      </c>
      <c r="J202" s="7">
        <v>0.19889999999999997</v>
      </c>
      <c r="K202" s="7">
        <v>0.22770000000000001</v>
      </c>
      <c r="L202" s="7">
        <v>0.21860000000000002</v>
      </c>
      <c r="M202" s="7">
        <v>0.19240000000000002</v>
      </c>
    </row>
    <row r="203" spans="1:13" x14ac:dyDescent="0.25">
      <c r="A203" t="s">
        <v>192</v>
      </c>
      <c r="B203" t="s">
        <v>487</v>
      </c>
      <c r="C203" t="str">
        <f t="shared" si="10"/>
        <v>27401</v>
      </c>
      <c r="D203" s="7">
        <v>0.2681</v>
      </c>
      <c r="E203" s="7">
        <v>0.27580000000000005</v>
      </c>
      <c r="F203" s="7">
        <v>0.27080000000000004</v>
      </c>
      <c r="G203" s="7">
        <v>0.25670000000000004</v>
      </c>
      <c r="H203" s="7">
        <v>0.25409999999999999</v>
      </c>
      <c r="I203" s="7">
        <v>0.24770000000000003</v>
      </c>
      <c r="J203" s="7">
        <v>0.25980000000000003</v>
      </c>
      <c r="K203" s="7">
        <v>0.2399</v>
      </c>
      <c r="L203" s="7">
        <v>0.22309999999999997</v>
      </c>
      <c r="M203" s="7">
        <v>0.21950000000000003</v>
      </c>
    </row>
    <row r="204" spans="1:13" x14ac:dyDescent="0.25">
      <c r="A204" t="s">
        <v>667</v>
      </c>
      <c r="B204" t="s">
        <v>668</v>
      </c>
      <c r="C204" t="str">
        <f t="shared" ref="C204" si="12">A204</f>
        <v>04901</v>
      </c>
      <c r="D204" s="7"/>
      <c r="E204" s="7"/>
      <c r="F204" s="7"/>
      <c r="G204" s="7"/>
      <c r="H204" s="7"/>
      <c r="I204" s="7"/>
      <c r="J204" s="7">
        <v>0.22399999999999998</v>
      </c>
      <c r="K204" s="7">
        <v>0.13729999999999998</v>
      </c>
      <c r="L204" s="7">
        <v>0.12539999999999996</v>
      </c>
      <c r="M204" s="7">
        <v>0.12350000000000005</v>
      </c>
    </row>
    <row r="205" spans="1:13" x14ac:dyDescent="0.25">
      <c r="A205" t="s">
        <v>163</v>
      </c>
      <c r="B205" t="s">
        <v>459</v>
      </c>
      <c r="C205" t="str">
        <f t="shared" si="10"/>
        <v>23402</v>
      </c>
      <c r="D205" s="7">
        <v>0.1946</v>
      </c>
      <c r="E205" s="7">
        <v>0.1694</v>
      </c>
      <c r="F205" s="7">
        <v>0.17730000000000001</v>
      </c>
      <c r="G205" s="7">
        <v>0.19340000000000002</v>
      </c>
      <c r="H205" s="7">
        <v>0.18740000000000001</v>
      </c>
      <c r="I205" s="7">
        <v>0.19610000000000005</v>
      </c>
      <c r="J205" s="7">
        <v>0.22340000000000004</v>
      </c>
      <c r="K205" s="7">
        <v>0.15339999999999998</v>
      </c>
      <c r="L205" s="7">
        <v>0.1794</v>
      </c>
      <c r="M205" s="7">
        <v>0.20989999999999998</v>
      </c>
    </row>
    <row r="206" spans="1:13" x14ac:dyDescent="0.25">
      <c r="A206" t="s">
        <v>64</v>
      </c>
      <c r="B206" t="s">
        <v>360</v>
      </c>
      <c r="C206" t="str">
        <f t="shared" si="10"/>
        <v>12110</v>
      </c>
      <c r="D206" s="7">
        <v>0.11960000000000004</v>
      </c>
      <c r="E206" s="7">
        <v>0.24890000000000001</v>
      </c>
      <c r="F206" s="7">
        <v>0.2591</v>
      </c>
      <c r="G206" s="7">
        <v>0.2661</v>
      </c>
      <c r="H206" s="7">
        <v>0.26849999999999996</v>
      </c>
      <c r="I206" s="7">
        <v>0.26439999999999997</v>
      </c>
      <c r="J206" s="7">
        <v>0.28129999999999999</v>
      </c>
      <c r="K206" s="7">
        <v>0.25460000000000005</v>
      </c>
      <c r="L206" s="7">
        <v>0.2379</v>
      </c>
      <c r="M206" s="7">
        <v>0.25160000000000005</v>
      </c>
    </row>
    <row r="207" spans="1:13" x14ac:dyDescent="0.25">
      <c r="A207" t="s">
        <v>27</v>
      </c>
      <c r="B207" t="s">
        <v>323</v>
      </c>
      <c r="C207" t="str">
        <f t="shared" si="10"/>
        <v>05121</v>
      </c>
      <c r="D207" s="7">
        <v>0.3236</v>
      </c>
      <c r="E207" s="7">
        <v>0.29710000000000003</v>
      </c>
      <c r="F207" s="7">
        <v>0.30530000000000002</v>
      </c>
      <c r="G207" s="7">
        <v>0.29210000000000003</v>
      </c>
      <c r="H207" s="7">
        <v>0.27900000000000003</v>
      </c>
      <c r="I207" s="7">
        <v>0.25609999999999999</v>
      </c>
      <c r="J207" s="7">
        <v>0.24470000000000003</v>
      </c>
      <c r="K207" s="7">
        <v>0.24409999999999998</v>
      </c>
      <c r="L207" s="7">
        <v>0.253</v>
      </c>
      <c r="M207" s="7">
        <v>0.25690000000000002</v>
      </c>
    </row>
    <row r="208" spans="1:13" x14ac:dyDescent="0.25">
      <c r="A208" t="s">
        <v>95</v>
      </c>
      <c r="B208" t="s">
        <v>391</v>
      </c>
      <c r="C208" t="str">
        <f t="shared" si="10"/>
        <v>16050</v>
      </c>
      <c r="D208" s="7">
        <v>0.29220000000000002</v>
      </c>
      <c r="E208" s="7">
        <v>0.26370000000000005</v>
      </c>
      <c r="F208" s="7">
        <v>0.23950000000000005</v>
      </c>
      <c r="G208" s="7">
        <v>0.23880000000000001</v>
      </c>
      <c r="H208" s="7">
        <v>0.21870000000000001</v>
      </c>
      <c r="I208" s="7">
        <v>0.18830000000000002</v>
      </c>
      <c r="J208" s="7">
        <v>0.18720000000000003</v>
      </c>
      <c r="K208" s="7">
        <v>0.18810000000000004</v>
      </c>
      <c r="L208" s="7">
        <v>0.1946</v>
      </c>
      <c r="M208" s="7">
        <v>0.20430000000000004</v>
      </c>
    </row>
    <row r="209" spans="1:13" x14ac:dyDescent="0.25">
      <c r="A209" t="s">
        <v>267</v>
      </c>
      <c r="B209" t="s">
        <v>563</v>
      </c>
      <c r="C209" t="str">
        <f t="shared" si="10"/>
        <v>36402</v>
      </c>
      <c r="D209" s="7">
        <v>0.16920000000000002</v>
      </c>
      <c r="E209" s="7">
        <v>0.31999999999999995</v>
      </c>
      <c r="F209" s="7">
        <v>0.2762</v>
      </c>
      <c r="G209" s="7">
        <v>0.20589999999999997</v>
      </c>
      <c r="H209" s="7">
        <v>0.23499999999999999</v>
      </c>
      <c r="I209" s="7">
        <v>0.2581</v>
      </c>
      <c r="J209" s="7">
        <v>0.22330000000000005</v>
      </c>
      <c r="K209" s="7">
        <v>0.18720000000000003</v>
      </c>
      <c r="L209" s="7">
        <v>0.15380000000000005</v>
      </c>
      <c r="M209" s="7">
        <v>0.17300000000000004</v>
      </c>
    </row>
    <row r="210" spans="1:13" x14ac:dyDescent="0.25">
      <c r="A210" t="s">
        <v>628</v>
      </c>
      <c r="B210" t="s">
        <v>629</v>
      </c>
      <c r="C210" t="str">
        <f t="shared" si="10"/>
        <v>32907</v>
      </c>
      <c r="D210" s="7"/>
      <c r="E210" s="7"/>
      <c r="F210" s="7">
        <v>0.11599999999999999</v>
      </c>
      <c r="G210" s="7">
        <v>0.12329999999999997</v>
      </c>
      <c r="H210" s="7">
        <v>0.124</v>
      </c>
      <c r="I210" s="7">
        <v>0.12870000000000004</v>
      </c>
      <c r="J210" s="7">
        <v>0.12490000000000001</v>
      </c>
      <c r="K210" s="7">
        <v>0.13749999999999996</v>
      </c>
      <c r="L210" s="7">
        <v>0.12619999999999998</v>
      </c>
      <c r="M210" s="7">
        <v>0.12429999999999997</v>
      </c>
    </row>
    <row r="211" spans="1:13" x14ac:dyDescent="0.25">
      <c r="A211" t="s">
        <v>18</v>
      </c>
      <c r="B211" t="s">
        <v>315</v>
      </c>
      <c r="C211" t="str">
        <f t="shared" si="10"/>
        <v>03116</v>
      </c>
      <c r="D211" s="7">
        <v>0.32750000000000001</v>
      </c>
      <c r="E211" s="7">
        <v>0.3196</v>
      </c>
      <c r="F211" s="7">
        <v>0.32820000000000005</v>
      </c>
      <c r="G211" s="7">
        <v>0.32440000000000002</v>
      </c>
      <c r="H211" s="7">
        <v>0.33030000000000004</v>
      </c>
      <c r="I211" s="7">
        <v>0.30830000000000002</v>
      </c>
      <c r="J211" s="7">
        <v>0.29039999999999999</v>
      </c>
      <c r="K211" s="7">
        <v>0.29959999999999998</v>
      </c>
      <c r="L211" s="7">
        <v>0.30510000000000004</v>
      </c>
      <c r="M211" s="7">
        <v>0.28080000000000005</v>
      </c>
    </row>
    <row r="212" spans="1:13" x14ac:dyDescent="0.25">
      <c r="A212" t="s">
        <v>279</v>
      </c>
      <c r="B212" t="s">
        <v>575</v>
      </c>
      <c r="C212" t="str">
        <f t="shared" si="10"/>
        <v>38267</v>
      </c>
      <c r="D212" s="7">
        <v>0.21309999999999996</v>
      </c>
      <c r="E212" s="7">
        <v>0.2349</v>
      </c>
      <c r="F212" s="7">
        <v>0.24519999999999997</v>
      </c>
      <c r="G212" s="7">
        <v>0.22570000000000001</v>
      </c>
      <c r="H212" s="7">
        <v>0.2137</v>
      </c>
      <c r="I212" s="7">
        <v>0.23609999999999998</v>
      </c>
      <c r="J212" s="7">
        <v>0.21609999999999996</v>
      </c>
      <c r="K212" s="7">
        <v>0.20230000000000004</v>
      </c>
      <c r="L212" s="7">
        <v>0.19820000000000004</v>
      </c>
      <c r="M212" s="7">
        <v>0.20909999999999995</v>
      </c>
    </row>
    <row r="213" spans="1:13" x14ac:dyDescent="0.25">
      <c r="A213" t="s">
        <v>669</v>
      </c>
      <c r="B213" t="s">
        <v>670</v>
      </c>
      <c r="C213" t="str">
        <f t="shared" ref="C213" si="13">A213</f>
        <v>38901</v>
      </c>
      <c r="D213" s="7"/>
      <c r="E213" s="7"/>
      <c r="F213" s="7"/>
      <c r="G213" s="7"/>
      <c r="H213" s="7"/>
      <c r="I213" s="7"/>
      <c r="J213" s="7">
        <v>0.21609999999999996</v>
      </c>
      <c r="K213" s="7">
        <v>7.999999999999996E-2</v>
      </c>
      <c r="L213" s="7">
        <v>7.999999999999996E-2</v>
      </c>
      <c r="M213" s="7">
        <v>8.2799999999999985E-2</v>
      </c>
    </row>
    <row r="214" spans="1:13" x14ac:dyDescent="0.25">
      <c r="A214" t="s">
        <v>184</v>
      </c>
      <c r="B214" t="s">
        <v>480</v>
      </c>
      <c r="C214" t="str">
        <f t="shared" si="10"/>
        <v>27003</v>
      </c>
      <c r="D214" s="7">
        <v>0.32330000000000003</v>
      </c>
      <c r="E214" s="7">
        <v>0.30630000000000002</v>
      </c>
      <c r="F214" s="7">
        <v>0.31369999999999998</v>
      </c>
      <c r="G214" s="7">
        <v>0.31689999999999996</v>
      </c>
      <c r="H214" s="7">
        <v>0.31979999999999997</v>
      </c>
      <c r="I214" s="7">
        <v>0.33169999999999999</v>
      </c>
      <c r="J214" s="7">
        <v>0.32240000000000002</v>
      </c>
      <c r="K214" s="7">
        <v>0.30859999999999999</v>
      </c>
      <c r="L214" s="7">
        <v>0.30649999999999999</v>
      </c>
      <c r="M214" s="7">
        <v>0.30400000000000005</v>
      </c>
    </row>
    <row r="215" spans="1:13" x14ac:dyDescent="0.25">
      <c r="A215" t="s">
        <v>91</v>
      </c>
      <c r="B215" t="s">
        <v>387</v>
      </c>
      <c r="C215" t="str">
        <f t="shared" si="10"/>
        <v>16020</v>
      </c>
      <c r="D215" s="7">
        <v>0.31289999999999996</v>
      </c>
      <c r="E215" s="7">
        <v>8.7099999999999955E-2</v>
      </c>
      <c r="F215" s="7">
        <v>8.6200000000000054E-2</v>
      </c>
      <c r="G215" s="7">
        <v>7.999999999999996E-2</v>
      </c>
      <c r="H215" s="7">
        <v>7.999999999999996E-2</v>
      </c>
      <c r="I215" s="7">
        <v>0.13</v>
      </c>
      <c r="J215" s="7">
        <v>8.9999999999999969E-2</v>
      </c>
      <c r="K215" s="7">
        <v>0.10219999999999996</v>
      </c>
      <c r="L215" s="7">
        <v>0.10999999999999999</v>
      </c>
      <c r="M215" s="7">
        <v>9.2500000000000027E-2</v>
      </c>
    </row>
    <row r="216" spans="1:13" x14ac:dyDescent="0.25">
      <c r="A216" t="s">
        <v>93</v>
      </c>
      <c r="B216" t="s">
        <v>389</v>
      </c>
      <c r="C216" t="str">
        <f t="shared" si="10"/>
        <v>16048</v>
      </c>
      <c r="D216" s="7">
        <v>0.11860000000000004</v>
      </c>
      <c r="E216" s="7">
        <v>0.14139999999999997</v>
      </c>
      <c r="F216" s="7">
        <v>0.14900000000000002</v>
      </c>
      <c r="G216" s="7">
        <v>0.11809999999999998</v>
      </c>
      <c r="H216" s="7">
        <v>0.11919999999999997</v>
      </c>
      <c r="I216" s="7">
        <v>0.15090000000000003</v>
      </c>
      <c r="J216" s="7">
        <v>0.15869999999999995</v>
      </c>
      <c r="K216" s="7">
        <v>0.12</v>
      </c>
      <c r="L216" s="7">
        <v>0.14249999999999996</v>
      </c>
      <c r="M216" s="7">
        <v>0.10360000000000003</v>
      </c>
    </row>
    <row r="217" spans="1:13" x14ac:dyDescent="0.25">
      <c r="A217" t="s">
        <v>613</v>
      </c>
      <c r="B217" t="s">
        <v>614</v>
      </c>
      <c r="C217" t="str">
        <f t="shared" si="10"/>
        <v>05903</v>
      </c>
      <c r="D217" s="7"/>
      <c r="E217" s="7"/>
      <c r="F217" s="7">
        <v>0.1</v>
      </c>
      <c r="G217" s="7">
        <v>0.10709999999999997</v>
      </c>
      <c r="H217" s="7">
        <v>0.10929999999999995</v>
      </c>
      <c r="I217" s="7">
        <v>0.14119999999999999</v>
      </c>
      <c r="J217" s="7">
        <v>0</v>
      </c>
      <c r="K217" s="7">
        <v>0.11269999999999999</v>
      </c>
      <c r="L217" s="7">
        <v>0.14239999999999997</v>
      </c>
      <c r="M217" s="7">
        <v>0.10670000000000002</v>
      </c>
    </row>
    <row r="218" spans="1:13" x14ac:dyDescent="0.25">
      <c r="A218" t="s">
        <v>31</v>
      </c>
      <c r="B218" t="s">
        <v>327</v>
      </c>
      <c r="C218" t="str">
        <f t="shared" si="10"/>
        <v>05402</v>
      </c>
      <c r="D218" s="7">
        <v>0.18930000000000002</v>
      </c>
      <c r="E218" s="7">
        <v>0.16979999999999995</v>
      </c>
      <c r="F218" s="7">
        <v>0.18469999999999998</v>
      </c>
      <c r="G218" s="7">
        <v>0.17030000000000001</v>
      </c>
      <c r="H218" s="7">
        <v>0.20399999999999996</v>
      </c>
      <c r="I218" s="7">
        <v>0.19169999999999998</v>
      </c>
      <c r="J218" s="7">
        <v>0.16600000000000004</v>
      </c>
      <c r="K218" s="7">
        <v>0.14890000000000003</v>
      </c>
      <c r="L218" s="7">
        <v>0.15290000000000004</v>
      </c>
      <c r="M218" s="7">
        <v>0.14959999999999996</v>
      </c>
    </row>
    <row r="219" spans="1:13" x14ac:dyDescent="0.25">
      <c r="A219" t="s">
        <v>66</v>
      </c>
      <c r="B219" t="s">
        <v>362</v>
      </c>
      <c r="C219" t="str">
        <f t="shared" si="10"/>
        <v>13144</v>
      </c>
      <c r="D219" s="7">
        <v>0.27159999999999995</v>
      </c>
      <c r="E219" s="7">
        <v>0.27510000000000001</v>
      </c>
      <c r="F219" s="7">
        <v>0.27739999999999998</v>
      </c>
      <c r="G219" s="7">
        <v>0.28620000000000001</v>
      </c>
      <c r="H219" s="7">
        <v>0.25529999999999997</v>
      </c>
      <c r="I219" s="7">
        <v>0.24029999999999996</v>
      </c>
      <c r="J219" s="7">
        <v>0.22160000000000002</v>
      </c>
      <c r="K219" s="7">
        <v>0.18700000000000006</v>
      </c>
      <c r="L219" s="7">
        <v>0.22019999999999995</v>
      </c>
      <c r="M219" s="7">
        <v>0.22529999999999994</v>
      </c>
    </row>
    <row r="220" spans="1:13" x14ac:dyDescent="0.25">
      <c r="A220" t="s">
        <v>623</v>
      </c>
      <c r="B220" t="s">
        <v>624</v>
      </c>
      <c r="C220" t="str">
        <f t="shared" si="10"/>
        <v>17908</v>
      </c>
      <c r="D220" s="7"/>
      <c r="E220" s="7"/>
      <c r="F220" s="7">
        <v>9.5999999999999974E-2</v>
      </c>
      <c r="G220" s="7">
        <v>0.10919999999999996</v>
      </c>
      <c r="H220" s="7">
        <v>0.10740000000000005</v>
      </c>
      <c r="I220" s="7">
        <v>0.10370000000000001</v>
      </c>
      <c r="J220" s="7">
        <v>0.10860000000000003</v>
      </c>
      <c r="K220" s="7">
        <v>0.11539999999999995</v>
      </c>
      <c r="L220" s="7">
        <v>0.10860000000000003</v>
      </c>
      <c r="M220" s="7">
        <v>0.10670000000000002</v>
      </c>
    </row>
    <row r="221" spans="1:13" x14ac:dyDescent="0.25">
      <c r="A221" t="s">
        <v>256</v>
      </c>
      <c r="B221" t="s">
        <v>552</v>
      </c>
      <c r="C221" t="str">
        <f t="shared" si="10"/>
        <v>34307</v>
      </c>
      <c r="D221" s="7">
        <v>0.18279999999999996</v>
      </c>
      <c r="E221" s="7">
        <v>0.19310000000000005</v>
      </c>
      <c r="F221" s="7">
        <v>0.23870000000000002</v>
      </c>
      <c r="G221" s="7">
        <v>0.21209999999999996</v>
      </c>
      <c r="H221" s="7">
        <v>0.22570000000000001</v>
      </c>
      <c r="I221" s="7">
        <v>0.23839999999999995</v>
      </c>
      <c r="J221" s="7">
        <v>0.24180000000000001</v>
      </c>
      <c r="K221" s="7">
        <v>0.23319999999999996</v>
      </c>
      <c r="L221" s="7">
        <v>0.2258</v>
      </c>
      <c r="M221" s="7">
        <v>0.23140000000000005</v>
      </c>
    </row>
    <row r="222" spans="1:13" x14ac:dyDescent="0.25">
      <c r="A222" t="s">
        <v>625</v>
      </c>
      <c r="B222" t="s">
        <v>671</v>
      </c>
      <c r="C222" t="str">
        <f>A222</f>
        <v>17910</v>
      </c>
      <c r="D222" s="7"/>
      <c r="E222" s="7"/>
      <c r="F222" s="7">
        <v>0.26549999999999996</v>
      </c>
      <c r="G222" s="7">
        <v>0.29120000000000001</v>
      </c>
      <c r="H222" s="7">
        <v>0.26539999999999997</v>
      </c>
      <c r="I222" s="7">
        <v>0.23070000000000002</v>
      </c>
      <c r="J222" s="7">
        <v>0.21479999999999999</v>
      </c>
      <c r="K222" s="7">
        <v>0.29569999999999996</v>
      </c>
      <c r="L222" s="7">
        <v>0.19140000000000001</v>
      </c>
      <c r="M222" s="7">
        <v>0.12790000000000001</v>
      </c>
    </row>
    <row r="223" spans="1:13" x14ac:dyDescent="0.25">
      <c r="A223" t="s">
        <v>175</v>
      </c>
      <c r="B223" t="s">
        <v>471</v>
      </c>
      <c r="C223" t="str">
        <f t="shared" si="10"/>
        <v>25116</v>
      </c>
      <c r="D223" s="7">
        <v>0.20589999999999997</v>
      </c>
      <c r="E223" s="7">
        <v>0.22840000000000005</v>
      </c>
      <c r="F223" s="7">
        <v>0.29259999999999997</v>
      </c>
      <c r="G223" s="7">
        <v>0.24690000000000001</v>
      </c>
      <c r="H223" s="7">
        <v>0.25119999999999998</v>
      </c>
      <c r="I223" s="7">
        <v>0.24229999999999996</v>
      </c>
      <c r="J223" s="7">
        <v>0.22499999999999998</v>
      </c>
      <c r="K223" s="7">
        <v>0.20779999999999998</v>
      </c>
      <c r="L223" s="7">
        <v>0.20540000000000003</v>
      </c>
      <c r="M223" s="7">
        <v>0.20669999999999999</v>
      </c>
    </row>
    <row r="224" spans="1:13" x14ac:dyDescent="0.25">
      <c r="A224" t="s">
        <v>152</v>
      </c>
      <c r="B224" t="s">
        <v>448</v>
      </c>
      <c r="C224" t="str">
        <f t="shared" si="10"/>
        <v>22009</v>
      </c>
      <c r="D224" s="7">
        <v>0.25</v>
      </c>
      <c r="E224" s="7">
        <v>0.23260000000000003</v>
      </c>
      <c r="F224" s="7">
        <v>0.29110000000000003</v>
      </c>
      <c r="G224" s="7">
        <v>0.30630000000000002</v>
      </c>
      <c r="H224" s="7">
        <v>0.26910000000000001</v>
      </c>
      <c r="I224" s="7">
        <v>0.29559999999999997</v>
      </c>
      <c r="J224" s="7">
        <v>0.25800000000000001</v>
      </c>
      <c r="K224" s="7">
        <v>0.23950000000000005</v>
      </c>
      <c r="L224" s="7">
        <v>0.2601</v>
      </c>
      <c r="M224" s="7">
        <v>0.2621</v>
      </c>
    </row>
    <row r="225" spans="1:13" x14ac:dyDescent="0.25">
      <c r="A225" t="s">
        <v>102</v>
      </c>
      <c r="B225" t="s">
        <v>398</v>
      </c>
      <c r="C225" t="str">
        <f t="shared" si="10"/>
        <v>17403</v>
      </c>
      <c r="D225" s="7">
        <v>0.39100000000000001</v>
      </c>
      <c r="E225" s="7">
        <v>0.39219999999999999</v>
      </c>
      <c r="F225" s="7">
        <v>0.38800000000000001</v>
      </c>
      <c r="G225" s="7">
        <v>0.38490000000000002</v>
      </c>
      <c r="H225" s="7">
        <v>0.36750000000000005</v>
      </c>
      <c r="I225" s="7">
        <v>0.35970000000000002</v>
      </c>
      <c r="J225" s="7">
        <v>0.33450000000000002</v>
      </c>
      <c r="K225" s="7">
        <v>0.30249999999999999</v>
      </c>
      <c r="L225" s="7">
        <v>0.28959999999999997</v>
      </c>
      <c r="M225" s="7">
        <v>0.29559999999999997</v>
      </c>
    </row>
    <row r="226" spans="1:13" x14ac:dyDescent="0.25">
      <c r="A226" t="s">
        <v>59</v>
      </c>
      <c r="B226" t="s">
        <v>355</v>
      </c>
      <c r="C226" t="str">
        <f t="shared" si="10"/>
        <v>10309</v>
      </c>
      <c r="D226" s="7">
        <v>0.19869999999999999</v>
      </c>
      <c r="E226" s="7">
        <v>0.23399999999999999</v>
      </c>
      <c r="F226" s="7">
        <v>0.29159999999999997</v>
      </c>
      <c r="G226" s="7">
        <v>0.30149999999999999</v>
      </c>
      <c r="H226" s="7">
        <v>0.27149999999999996</v>
      </c>
      <c r="I226" s="7">
        <v>0.22670000000000001</v>
      </c>
      <c r="J226" s="7">
        <v>0.20879999999999999</v>
      </c>
      <c r="K226" s="7">
        <v>0.1552</v>
      </c>
      <c r="L226" s="7">
        <v>0.16690000000000005</v>
      </c>
      <c r="M226" s="7">
        <v>0.16239999999999999</v>
      </c>
    </row>
    <row r="227" spans="1:13" x14ac:dyDescent="0.25">
      <c r="A227" t="s">
        <v>19</v>
      </c>
      <c r="B227" t="s">
        <v>316</v>
      </c>
      <c r="C227" t="str">
        <f t="shared" si="10"/>
        <v>03400</v>
      </c>
      <c r="D227" s="7">
        <v>0.30740000000000001</v>
      </c>
      <c r="E227" s="7">
        <v>0.29779999999999995</v>
      </c>
      <c r="F227" s="7">
        <v>0.29469999999999996</v>
      </c>
      <c r="G227" s="7">
        <v>0.3165</v>
      </c>
      <c r="H227" s="7">
        <v>0.31499999999999995</v>
      </c>
      <c r="I227" s="7">
        <v>0.30769999999999997</v>
      </c>
      <c r="J227" s="7">
        <v>0.29810000000000003</v>
      </c>
      <c r="K227" s="7">
        <v>0.2843</v>
      </c>
      <c r="L227" s="7">
        <v>0.27129999999999999</v>
      </c>
      <c r="M227" s="7">
        <v>0.26870000000000005</v>
      </c>
    </row>
    <row r="228" spans="1:13" x14ac:dyDescent="0.25">
      <c r="A228" t="s">
        <v>40</v>
      </c>
      <c r="B228" t="s">
        <v>336</v>
      </c>
      <c r="C228" t="str">
        <f t="shared" si="10"/>
        <v>06122</v>
      </c>
      <c r="D228" s="7">
        <v>0.24990000000000001</v>
      </c>
      <c r="E228" s="7">
        <v>0.26980000000000004</v>
      </c>
      <c r="F228" s="7">
        <v>0.28320000000000001</v>
      </c>
      <c r="G228" s="7">
        <v>0.23099999999999998</v>
      </c>
      <c r="H228" s="7">
        <v>0.22619999999999996</v>
      </c>
      <c r="I228" s="7">
        <v>0.20179999999999998</v>
      </c>
      <c r="J228" s="7">
        <v>0.19810000000000005</v>
      </c>
      <c r="K228" s="7">
        <v>0.21719999999999995</v>
      </c>
      <c r="L228" s="7">
        <v>0.19520000000000004</v>
      </c>
      <c r="M228" s="7">
        <v>0.1794</v>
      </c>
    </row>
    <row r="229" spans="1:13" x14ac:dyDescent="0.25">
      <c r="A229" t="s">
        <v>11</v>
      </c>
      <c r="B229" t="s">
        <v>308</v>
      </c>
      <c r="C229" t="str">
        <f t="shared" si="10"/>
        <v>01160</v>
      </c>
      <c r="D229" s="7">
        <v>0.20440000000000003</v>
      </c>
      <c r="E229" s="7">
        <v>0.23609999999999998</v>
      </c>
      <c r="F229" s="7">
        <v>0.16539999999999999</v>
      </c>
      <c r="G229" s="7">
        <v>0.16579999999999995</v>
      </c>
      <c r="H229" s="7">
        <v>0.17669999999999997</v>
      </c>
      <c r="I229" s="7">
        <v>0.18369999999999997</v>
      </c>
      <c r="J229" s="7">
        <v>0.18879999999999997</v>
      </c>
      <c r="K229" s="7">
        <v>0.1552</v>
      </c>
      <c r="L229" s="7">
        <v>0.14600000000000002</v>
      </c>
      <c r="M229" s="7">
        <v>0.15029999999999999</v>
      </c>
    </row>
    <row r="230" spans="1:13" x14ac:dyDescent="0.25">
      <c r="A230" t="s">
        <v>239</v>
      </c>
      <c r="B230" t="s">
        <v>535</v>
      </c>
      <c r="C230" t="str">
        <f t="shared" si="10"/>
        <v>32416</v>
      </c>
      <c r="D230" s="7">
        <v>0.33140000000000003</v>
      </c>
      <c r="E230" s="7">
        <v>0.3075</v>
      </c>
      <c r="F230" s="7">
        <v>0.30269999999999997</v>
      </c>
      <c r="G230" s="7">
        <v>0.26390000000000002</v>
      </c>
      <c r="H230" s="7">
        <v>0.25239999999999996</v>
      </c>
      <c r="I230" s="7">
        <v>0.23680000000000001</v>
      </c>
      <c r="J230" s="7">
        <v>0.24050000000000005</v>
      </c>
      <c r="K230" s="7">
        <v>0.25090000000000001</v>
      </c>
      <c r="L230" s="7">
        <v>0.2671</v>
      </c>
      <c r="M230" s="7">
        <v>0.2944</v>
      </c>
    </row>
    <row r="231" spans="1:13" x14ac:dyDescent="0.25">
      <c r="A231" t="s">
        <v>106</v>
      </c>
      <c r="B231" t="s">
        <v>402</v>
      </c>
      <c r="C231" t="str">
        <f t="shared" si="10"/>
        <v>17407</v>
      </c>
      <c r="D231" s="7">
        <v>0.24329999999999996</v>
      </c>
      <c r="E231" s="7">
        <v>0.27429999999999999</v>
      </c>
      <c r="F231" s="7">
        <v>0.246</v>
      </c>
      <c r="G231" s="7">
        <v>0.22889999999999999</v>
      </c>
      <c r="H231" s="7">
        <v>0.24360000000000004</v>
      </c>
      <c r="I231" s="7">
        <v>0.22489999999999999</v>
      </c>
      <c r="J231" s="7">
        <v>0.2056</v>
      </c>
      <c r="K231" s="7">
        <v>0.20040000000000002</v>
      </c>
      <c r="L231" s="7">
        <v>0.20740000000000003</v>
      </c>
      <c r="M231" s="7">
        <v>0.20520000000000005</v>
      </c>
    </row>
    <row r="232" spans="1:13" x14ac:dyDescent="0.25">
      <c r="A232" t="s">
        <v>258</v>
      </c>
      <c r="B232" t="s">
        <v>554</v>
      </c>
      <c r="C232" t="str">
        <f t="shared" si="10"/>
        <v>34401</v>
      </c>
      <c r="D232" s="7">
        <v>0.32930000000000004</v>
      </c>
      <c r="E232" s="7">
        <v>0.34919999999999995</v>
      </c>
      <c r="F232" s="7">
        <v>0.34550000000000003</v>
      </c>
      <c r="G232" s="7">
        <v>0.3155</v>
      </c>
      <c r="H232" s="7">
        <v>0.28700000000000003</v>
      </c>
      <c r="I232" s="7">
        <v>0.27869999999999995</v>
      </c>
      <c r="J232" s="7">
        <v>0.21389999999999998</v>
      </c>
      <c r="K232" s="7">
        <v>0.21540000000000004</v>
      </c>
      <c r="L232" s="7">
        <v>0.21020000000000005</v>
      </c>
      <c r="M232" s="7">
        <v>0.23409999999999997</v>
      </c>
    </row>
    <row r="233" spans="1:13" x14ac:dyDescent="0.25">
      <c r="A233" t="s">
        <v>134</v>
      </c>
      <c r="B233" t="s">
        <v>430</v>
      </c>
      <c r="C233" t="str">
        <f t="shared" ref="C233" si="14">A233</f>
        <v>20403</v>
      </c>
      <c r="D233" s="7">
        <v>0.24990000000000001</v>
      </c>
      <c r="E233" s="7">
        <v>0</v>
      </c>
      <c r="F233" s="7">
        <v>0.2339</v>
      </c>
      <c r="G233" s="7">
        <v>0.22909999999999997</v>
      </c>
      <c r="H233" s="7">
        <v>0.22670000000000001</v>
      </c>
      <c r="I233" s="7">
        <v>0.23099999999999998</v>
      </c>
      <c r="J233" s="7">
        <v>0.22499999999999998</v>
      </c>
      <c r="K233" s="7">
        <v>0.20779999999999998</v>
      </c>
      <c r="L233" s="7">
        <v>0.20540000000000003</v>
      </c>
      <c r="M233" s="7">
        <v>0.19130000000000003</v>
      </c>
    </row>
    <row r="234" spans="1:13" x14ac:dyDescent="0.25">
      <c r="A234" t="s">
        <v>1106</v>
      </c>
      <c r="B234" t="s">
        <v>1107</v>
      </c>
      <c r="C234" t="str">
        <f t="shared" si="10"/>
        <v>06901</v>
      </c>
      <c r="D234" s="7"/>
      <c r="E234" s="7"/>
      <c r="F234" s="7"/>
      <c r="G234" s="7"/>
      <c r="H234" s="7"/>
      <c r="I234" s="7"/>
      <c r="J234" s="7"/>
      <c r="K234" s="7"/>
      <c r="L234" s="7">
        <v>0.29169999999999996</v>
      </c>
      <c r="M234" s="7">
        <v>0.13</v>
      </c>
    </row>
    <row r="235" spans="1:13" x14ac:dyDescent="0.25">
      <c r="A235" t="s">
        <v>286</v>
      </c>
      <c r="B235" t="s">
        <v>582</v>
      </c>
      <c r="C235" t="str">
        <f t="shared" si="10"/>
        <v>38320</v>
      </c>
      <c r="D235" s="7">
        <v>0.22319999999999995</v>
      </c>
      <c r="E235" s="7">
        <v>0.18679999999999997</v>
      </c>
      <c r="F235" s="7">
        <v>0.18999999999999995</v>
      </c>
      <c r="G235" s="7">
        <v>0.1704</v>
      </c>
      <c r="H235" s="7">
        <v>0.12029999999999996</v>
      </c>
      <c r="I235" s="7">
        <v>0.12429999999999997</v>
      </c>
      <c r="J235" s="7">
        <v>0.13360000000000005</v>
      </c>
      <c r="K235" s="7">
        <v>0.18589999999999995</v>
      </c>
      <c r="L235" s="7">
        <v>0.16569999999999996</v>
      </c>
      <c r="M235" s="7">
        <v>0.11870000000000003</v>
      </c>
    </row>
    <row r="236" spans="1:13" x14ac:dyDescent="0.25">
      <c r="A236" t="s">
        <v>70</v>
      </c>
      <c r="B236" t="s">
        <v>366</v>
      </c>
      <c r="C236" t="str">
        <f t="shared" si="10"/>
        <v>13160</v>
      </c>
      <c r="D236" s="7">
        <v>0.27</v>
      </c>
      <c r="E236" s="7">
        <v>0.3155</v>
      </c>
      <c r="F236" s="7">
        <v>0.31589999999999996</v>
      </c>
      <c r="G236" s="7">
        <v>0.32330000000000003</v>
      </c>
      <c r="H236" s="7">
        <v>0.33620000000000005</v>
      </c>
      <c r="I236" s="7">
        <v>0.29110000000000003</v>
      </c>
      <c r="J236" s="7">
        <v>0.24709999999999999</v>
      </c>
      <c r="K236" s="7">
        <v>0.22970000000000002</v>
      </c>
      <c r="L236" s="7">
        <v>0.20789999999999997</v>
      </c>
      <c r="M236" s="7">
        <v>0.20279999999999998</v>
      </c>
    </row>
    <row r="237" spans="1:13" x14ac:dyDescent="0.25">
      <c r="A237" t="s">
        <v>201</v>
      </c>
      <c r="B237" t="s">
        <v>496</v>
      </c>
      <c r="C237" t="str">
        <f t="shared" si="10"/>
        <v>28149</v>
      </c>
      <c r="D237" s="7">
        <v>0.23850000000000005</v>
      </c>
      <c r="E237" s="7">
        <v>0.20109999999999995</v>
      </c>
      <c r="F237" s="7">
        <v>0.21020000000000005</v>
      </c>
      <c r="G237" s="7">
        <v>0.18899999999999995</v>
      </c>
      <c r="H237" s="7">
        <v>0.18689999999999996</v>
      </c>
      <c r="I237" s="7">
        <v>0.17400000000000004</v>
      </c>
      <c r="J237" s="7">
        <v>0.15990000000000004</v>
      </c>
      <c r="K237" s="7">
        <v>0.14600000000000002</v>
      </c>
      <c r="L237" s="7">
        <v>0.14849999999999997</v>
      </c>
      <c r="M237" s="7">
        <v>0.15529999999999999</v>
      </c>
    </row>
    <row r="238" spans="1:13" x14ac:dyDescent="0.25">
      <c r="A238" t="s">
        <v>84</v>
      </c>
      <c r="B238" t="s">
        <v>380</v>
      </c>
      <c r="C238" t="str">
        <f t="shared" si="10"/>
        <v>14104</v>
      </c>
      <c r="D238" s="7">
        <v>7.999999999999996E-2</v>
      </c>
      <c r="E238" s="7">
        <v>8.9999999999999969E-2</v>
      </c>
      <c r="F238" s="7">
        <v>0.10999999999999999</v>
      </c>
      <c r="G238" s="7">
        <v>7.999999999999996E-2</v>
      </c>
      <c r="H238" s="7">
        <v>7.999999999999996E-2</v>
      </c>
      <c r="I238" s="7">
        <v>7.999999999999996E-2</v>
      </c>
      <c r="J238" s="7">
        <v>7.999999999999996E-2</v>
      </c>
      <c r="K238" s="7">
        <v>7.999999999999996E-2</v>
      </c>
      <c r="L238" s="7">
        <v>8.5600000000000009E-2</v>
      </c>
      <c r="M238" s="7">
        <v>8.9999999999999969E-2</v>
      </c>
    </row>
    <row r="239" spans="1:13" x14ac:dyDescent="0.25">
      <c r="A239" t="s">
        <v>96</v>
      </c>
      <c r="B239" t="s">
        <v>392</v>
      </c>
      <c r="C239" t="str">
        <f t="shared" si="10"/>
        <v>17001</v>
      </c>
      <c r="D239" s="7">
        <v>0.27090000000000003</v>
      </c>
      <c r="E239" s="7">
        <v>0.27149999999999996</v>
      </c>
      <c r="F239" s="7">
        <v>0.26549999999999996</v>
      </c>
      <c r="G239" s="7">
        <v>0.26549999999999996</v>
      </c>
      <c r="H239" s="7">
        <v>0.26090000000000002</v>
      </c>
      <c r="I239" s="7">
        <v>0.25090000000000001</v>
      </c>
      <c r="J239" s="7">
        <v>0.24950000000000006</v>
      </c>
      <c r="K239" s="7">
        <v>0.2319</v>
      </c>
      <c r="L239" s="7">
        <v>0.23180000000000001</v>
      </c>
      <c r="M239" s="7">
        <v>0.22740000000000005</v>
      </c>
    </row>
    <row r="240" spans="1:13" x14ac:dyDescent="0.25">
      <c r="A240" t="s">
        <v>204</v>
      </c>
      <c r="B240" t="s">
        <v>499</v>
      </c>
      <c r="C240" t="str">
        <f t="shared" si="10"/>
        <v>29101</v>
      </c>
      <c r="D240" s="7">
        <v>0.27310000000000001</v>
      </c>
      <c r="E240" s="7">
        <v>0.26459999999999995</v>
      </c>
      <c r="F240" s="7">
        <v>0.26880000000000004</v>
      </c>
      <c r="G240" s="7">
        <v>0.27900000000000003</v>
      </c>
      <c r="H240" s="7">
        <v>0.29400000000000004</v>
      </c>
      <c r="I240" s="7">
        <v>0.27869999999999995</v>
      </c>
      <c r="J240" s="7">
        <v>0.25519999999999998</v>
      </c>
      <c r="K240" s="7">
        <v>0.23050000000000004</v>
      </c>
      <c r="L240" s="7">
        <v>0.2429</v>
      </c>
      <c r="M240" s="7">
        <v>0.23140000000000005</v>
      </c>
    </row>
    <row r="241" spans="1:13" x14ac:dyDescent="0.25">
      <c r="A241" t="s">
        <v>293</v>
      </c>
      <c r="B241" t="s">
        <v>589</v>
      </c>
      <c r="C241" t="str">
        <f t="shared" si="10"/>
        <v>39119</v>
      </c>
      <c r="D241" s="7">
        <v>0.33819999999999995</v>
      </c>
      <c r="E241" s="7">
        <v>0.30469999999999997</v>
      </c>
      <c r="F241" s="7">
        <v>0.33589999999999998</v>
      </c>
      <c r="G241" s="7">
        <v>0.30059999999999998</v>
      </c>
      <c r="H241" s="7">
        <v>0.27729999999999999</v>
      </c>
      <c r="I241" s="7">
        <v>0.25260000000000005</v>
      </c>
      <c r="J241" s="7">
        <v>0.20860000000000001</v>
      </c>
      <c r="K241" s="7">
        <v>0.17620000000000002</v>
      </c>
      <c r="L241" s="7">
        <v>0.19379999999999997</v>
      </c>
      <c r="M241" s="7">
        <v>0.1996</v>
      </c>
    </row>
    <row r="242" spans="1:13" x14ac:dyDescent="0.25">
      <c r="A242" t="s">
        <v>182</v>
      </c>
      <c r="B242" t="s">
        <v>478</v>
      </c>
      <c r="C242" t="str">
        <f t="shared" si="10"/>
        <v>26070</v>
      </c>
      <c r="D242" s="7">
        <v>0.26229999999999998</v>
      </c>
      <c r="E242" s="7">
        <v>0.26570000000000005</v>
      </c>
      <c r="F242" s="7">
        <v>0.30210000000000004</v>
      </c>
      <c r="G242" s="7">
        <v>0.26400000000000001</v>
      </c>
      <c r="H242" s="7">
        <v>0.25129999999999997</v>
      </c>
      <c r="I242" s="7">
        <v>0.2409</v>
      </c>
      <c r="J242" s="7">
        <v>0.23409999999999997</v>
      </c>
      <c r="K242" s="7">
        <v>0.22489999999999999</v>
      </c>
      <c r="L242" s="7">
        <v>0.2409</v>
      </c>
      <c r="M242" s="7">
        <v>0.18200000000000005</v>
      </c>
    </row>
    <row r="243" spans="1:13" x14ac:dyDescent="0.25">
      <c r="A243" t="s">
        <v>29</v>
      </c>
      <c r="B243" t="s">
        <v>325</v>
      </c>
      <c r="C243" t="str">
        <f t="shared" si="10"/>
        <v>05323</v>
      </c>
      <c r="D243" s="7">
        <v>0.24590000000000001</v>
      </c>
      <c r="E243" s="7">
        <v>0.24639999999999995</v>
      </c>
      <c r="F243" s="7">
        <v>0.25519999999999998</v>
      </c>
      <c r="G243" s="7">
        <v>0.24719999999999998</v>
      </c>
      <c r="H243" s="7">
        <v>0.23229999999999995</v>
      </c>
      <c r="I243" s="7">
        <v>0.24060000000000004</v>
      </c>
      <c r="J243" s="7">
        <v>0.1986</v>
      </c>
      <c r="K243" s="7">
        <v>0.15229999999999999</v>
      </c>
      <c r="L243" s="7">
        <v>0.15549999999999997</v>
      </c>
      <c r="M243" s="7">
        <v>0.15290000000000004</v>
      </c>
    </row>
    <row r="244" spans="1:13" x14ac:dyDescent="0.25">
      <c r="A244" t="s">
        <v>198</v>
      </c>
      <c r="B244" t="s">
        <v>493</v>
      </c>
      <c r="C244" t="str">
        <f t="shared" si="10"/>
        <v>28010</v>
      </c>
      <c r="D244" s="7">
        <v>0</v>
      </c>
      <c r="E244" s="7">
        <v>7.999999999999996E-2</v>
      </c>
      <c r="F244" s="7">
        <v>0.13</v>
      </c>
      <c r="G244" s="7">
        <v>0.13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7.999999999999996E-2</v>
      </c>
    </row>
    <row r="245" spans="1:13" x14ac:dyDescent="0.25">
      <c r="A245" t="s">
        <v>161</v>
      </c>
      <c r="B245" t="s">
        <v>457</v>
      </c>
      <c r="C245" t="str">
        <f t="shared" si="10"/>
        <v>23309</v>
      </c>
      <c r="D245" s="7">
        <v>0.25109999999999999</v>
      </c>
      <c r="E245" s="7">
        <v>0.24770000000000003</v>
      </c>
      <c r="F245" s="7">
        <v>0.23670000000000002</v>
      </c>
      <c r="G245" s="7">
        <v>0.23280000000000001</v>
      </c>
      <c r="H245" s="7">
        <v>0.23270000000000002</v>
      </c>
      <c r="I245" s="7">
        <v>0.25029999999999997</v>
      </c>
      <c r="J245" s="7">
        <v>0.22019999999999995</v>
      </c>
      <c r="K245" s="7">
        <v>0.21009999999999995</v>
      </c>
      <c r="L245" s="7">
        <v>0.18989999999999996</v>
      </c>
      <c r="M245" s="7">
        <v>0.18730000000000002</v>
      </c>
    </row>
    <row r="246" spans="1:13" x14ac:dyDescent="0.25">
      <c r="A246" t="s">
        <v>111</v>
      </c>
      <c r="B246" t="s">
        <v>407</v>
      </c>
      <c r="C246" t="str">
        <f t="shared" si="10"/>
        <v>17412</v>
      </c>
      <c r="D246" s="7">
        <v>0.32150000000000001</v>
      </c>
      <c r="E246" s="7">
        <v>0.31669999999999998</v>
      </c>
      <c r="F246" s="7">
        <v>0.30649999999999999</v>
      </c>
      <c r="G246" s="7">
        <v>0.30249999999999999</v>
      </c>
      <c r="H246" s="7">
        <v>0.28869999999999996</v>
      </c>
      <c r="I246" s="7">
        <v>0.28220000000000001</v>
      </c>
      <c r="J246" s="7">
        <v>0.24809999999999999</v>
      </c>
      <c r="K246" s="7">
        <v>0.22470000000000001</v>
      </c>
      <c r="L246" s="7">
        <v>0.23860000000000003</v>
      </c>
      <c r="M246" s="7">
        <v>0.23470000000000002</v>
      </c>
    </row>
    <row r="247" spans="1:13" x14ac:dyDescent="0.25">
      <c r="A247" t="s">
        <v>209</v>
      </c>
      <c r="B247" t="s">
        <v>504</v>
      </c>
      <c r="C247" t="str">
        <f t="shared" si="10"/>
        <v>30002</v>
      </c>
      <c r="D247" s="7">
        <v>0.24990000000000001</v>
      </c>
      <c r="E247" s="7">
        <v>0.17430000000000001</v>
      </c>
      <c r="F247" s="7">
        <v>0.2339</v>
      </c>
      <c r="G247" s="7">
        <v>0.22909999999999997</v>
      </c>
      <c r="H247" s="7">
        <v>0.22670000000000001</v>
      </c>
      <c r="I247" s="7">
        <v>0.23099999999999998</v>
      </c>
      <c r="J247" s="7">
        <v>0.22499999999999998</v>
      </c>
      <c r="K247" s="7">
        <v>0.20779999999999998</v>
      </c>
      <c r="L247" s="7">
        <v>0.20540000000000003</v>
      </c>
      <c r="M247" s="7">
        <v>0.19130000000000003</v>
      </c>
    </row>
    <row r="248" spans="1:13" x14ac:dyDescent="0.25">
      <c r="A248" t="s">
        <v>103</v>
      </c>
      <c r="B248" t="s">
        <v>399</v>
      </c>
      <c r="C248" t="str">
        <f t="shared" si="10"/>
        <v>17404</v>
      </c>
      <c r="D248" s="7">
        <v>0.33120000000000005</v>
      </c>
      <c r="E248" s="7">
        <v>0.20699999999999996</v>
      </c>
      <c r="F248" s="7">
        <v>0.19920000000000004</v>
      </c>
      <c r="G248" s="7">
        <v>0.1593</v>
      </c>
      <c r="H248" s="7">
        <v>0.10499999999999998</v>
      </c>
      <c r="I248" s="7">
        <v>0.12060000000000004</v>
      </c>
      <c r="J248" s="7">
        <v>0.10670000000000002</v>
      </c>
      <c r="K248" s="7">
        <v>0.11080000000000001</v>
      </c>
      <c r="L248" s="7">
        <v>0.11460000000000004</v>
      </c>
      <c r="M248" s="7">
        <v>0.11329999999999996</v>
      </c>
    </row>
    <row r="249" spans="1:13" x14ac:dyDescent="0.25">
      <c r="A249" t="s">
        <v>221</v>
      </c>
      <c r="B249" t="s">
        <v>516</v>
      </c>
      <c r="C249" t="str">
        <f t="shared" si="10"/>
        <v>31201</v>
      </c>
      <c r="D249" s="7">
        <v>0.27259999999999995</v>
      </c>
      <c r="E249" s="7">
        <v>0.27549999999999997</v>
      </c>
      <c r="F249" s="7">
        <v>0.26229999999999998</v>
      </c>
      <c r="G249" s="7">
        <v>0.24850000000000005</v>
      </c>
      <c r="H249" s="7">
        <v>0.24539999999999995</v>
      </c>
      <c r="I249" s="7">
        <v>0.24450000000000005</v>
      </c>
      <c r="J249" s="7">
        <v>0.24650000000000005</v>
      </c>
      <c r="K249" s="7">
        <v>0.24399999999999999</v>
      </c>
      <c r="L249" s="7">
        <v>0.23609999999999998</v>
      </c>
      <c r="M249" s="7">
        <v>0.23119999999999996</v>
      </c>
    </row>
    <row r="250" spans="1:13" x14ac:dyDescent="0.25">
      <c r="A250" t="s">
        <v>109</v>
      </c>
      <c r="B250" t="s">
        <v>405</v>
      </c>
      <c r="C250" t="str">
        <f t="shared" si="10"/>
        <v>17410</v>
      </c>
      <c r="D250" s="7">
        <v>0.30669999999999997</v>
      </c>
      <c r="E250" s="7">
        <v>0.28859999999999997</v>
      </c>
      <c r="F250" s="7">
        <v>0.30120000000000002</v>
      </c>
      <c r="G250" s="7">
        <v>0.2923</v>
      </c>
      <c r="H250" s="7">
        <v>0.28639999999999999</v>
      </c>
      <c r="I250" s="7">
        <v>0.26839999999999997</v>
      </c>
      <c r="J250" s="7">
        <v>0.25429999999999997</v>
      </c>
      <c r="K250" s="7">
        <v>0.22870000000000001</v>
      </c>
      <c r="L250" s="7">
        <v>0.21879999999999999</v>
      </c>
      <c r="M250" s="7">
        <v>0.23170000000000002</v>
      </c>
    </row>
    <row r="251" spans="1:13" x14ac:dyDescent="0.25">
      <c r="A251" t="s">
        <v>69</v>
      </c>
      <c r="B251" t="s">
        <v>365</v>
      </c>
      <c r="C251" t="str">
        <f t="shared" si="10"/>
        <v>13156</v>
      </c>
      <c r="D251" s="7">
        <v>0.24039999999999995</v>
      </c>
      <c r="E251" s="7">
        <v>0.1784</v>
      </c>
      <c r="F251" s="7">
        <v>0.19669999999999999</v>
      </c>
      <c r="G251" s="7">
        <v>0.21619999999999995</v>
      </c>
      <c r="H251" s="7">
        <v>0.21150000000000002</v>
      </c>
      <c r="I251" s="7">
        <v>0.19740000000000002</v>
      </c>
      <c r="J251" s="7">
        <v>0.12849999999999995</v>
      </c>
      <c r="K251" s="7">
        <v>0.15649999999999997</v>
      </c>
      <c r="L251" s="7">
        <v>0.23629999999999995</v>
      </c>
      <c r="M251" s="7">
        <v>0.25949999999999995</v>
      </c>
    </row>
    <row r="252" spans="1:13" x14ac:dyDescent="0.25">
      <c r="A252" t="s">
        <v>176</v>
      </c>
      <c r="B252" t="s">
        <v>472</v>
      </c>
      <c r="C252" t="str">
        <f t="shared" si="10"/>
        <v>25118</v>
      </c>
      <c r="D252" s="7">
        <v>0.30200000000000005</v>
      </c>
      <c r="E252" s="7">
        <v>0.30900000000000005</v>
      </c>
      <c r="F252" s="7">
        <v>0.29320000000000002</v>
      </c>
      <c r="G252" s="7">
        <v>0.27559999999999996</v>
      </c>
      <c r="H252" s="7">
        <v>0.29239999999999999</v>
      </c>
      <c r="I252" s="7">
        <v>0.27170000000000005</v>
      </c>
      <c r="J252" s="7">
        <v>0.27869999999999995</v>
      </c>
      <c r="K252" s="7">
        <v>0.27110000000000001</v>
      </c>
      <c r="L252" s="7">
        <v>0.26890000000000003</v>
      </c>
      <c r="M252" s="7">
        <v>0.29900000000000004</v>
      </c>
    </row>
    <row r="253" spans="1:13" x14ac:dyDescent="0.25">
      <c r="A253" t="s">
        <v>120</v>
      </c>
      <c r="B253" t="s">
        <v>416</v>
      </c>
      <c r="C253" t="str">
        <f t="shared" si="10"/>
        <v>18402</v>
      </c>
      <c r="D253" s="7">
        <v>0.27780000000000005</v>
      </c>
      <c r="E253" s="7">
        <v>0.28059999999999996</v>
      </c>
      <c r="F253" s="7">
        <v>0.27569999999999995</v>
      </c>
      <c r="G253" s="7">
        <v>0.25819999999999999</v>
      </c>
      <c r="H253" s="7">
        <v>0.25849999999999995</v>
      </c>
      <c r="I253" s="7">
        <v>0.27170000000000005</v>
      </c>
      <c r="J253" s="7">
        <v>0.26290000000000002</v>
      </c>
      <c r="K253" s="7">
        <v>0.27010000000000001</v>
      </c>
      <c r="L253" s="7">
        <v>0.28680000000000005</v>
      </c>
      <c r="M253" s="7">
        <v>0.28220000000000001</v>
      </c>
    </row>
    <row r="254" spans="1:13" x14ac:dyDescent="0.25">
      <c r="A254" t="s">
        <v>90</v>
      </c>
      <c r="B254" t="s">
        <v>386</v>
      </c>
      <c r="C254" t="str">
        <f t="shared" si="10"/>
        <v>15206</v>
      </c>
      <c r="D254" s="7">
        <v>0.29869999999999997</v>
      </c>
      <c r="E254" s="7">
        <v>0.32889999999999997</v>
      </c>
      <c r="F254" s="7">
        <v>0.31740000000000002</v>
      </c>
      <c r="G254" s="7">
        <v>0.31720000000000004</v>
      </c>
      <c r="H254" s="7">
        <v>0.31810000000000005</v>
      </c>
      <c r="I254" s="7">
        <v>0.2974</v>
      </c>
      <c r="J254" s="7">
        <v>0.16300000000000003</v>
      </c>
      <c r="K254" s="7">
        <v>0.19699999999999995</v>
      </c>
      <c r="L254" s="7">
        <v>0.22660000000000002</v>
      </c>
      <c r="M254" s="7">
        <v>0.22599999999999998</v>
      </c>
    </row>
    <row r="255" spans="1:13" x14ac:dyDescent="0.25">
      <c r="A255" t="s">
        <v>159</v>
      </c>
      <c r="B255" t="s">
        <v>455</v>
      </c>
      <c r="C255" t="str">
        <f t="shared" si="10"/>
        <v>23042</v>
      </c>
      <c r="D255" s="7">
        <v>0.13549999999999995</v>
      </c>
      <c r="E255" s="7">
        <v>0.15180000000000005</v>
      </c>
      <c r="F255" s="7">
        <v>0.24</v>
      </c>
      <c r="G255" s="7">
        <v>0.20579999999999998</v>
      </c>
      <c r="H255" s="7">
        <v>0.20169999999999999</v>
      </c>
      <c r="I255" s="7">
        <v>0.16669999999999996</v>
      </c>
      <c r="J255" s="7">
        <v>0.11680000000000001</v>
      </c>
      <c r="K255" s="7">
        <v>0.15290000000000004</v>
      </c>
      <c r="L255" s="7">
        <v>0.14539999999999997</v>
      </c>
      <c r="M255" s="7">
        <v>0.16090000000000004</v>
      </c>
    </row>
    <row r="256" spans="1:13" x14ac:dyDescent="0.25">
      <c r="A256" t="s">
        <v>615</v>
      </c>
      <c r="B256" t="s">
        <v>616</v>
      </c>
      <c r="C256" t="str">
        <f t="shared" si="10"/>
        <v>32901</v>
      </c>
      <c r="D256" s="7"/>
      <c r="E256" s="7"/>
      <c r="F256" s="7">
        <v>0.13200000000000001</v>
      </c>
      <c r="G256" s="7">
        <v>0.14529999999999998</v>
      </c>
      <c r="H256" s="7">
        <v>0.18059999999999998</v>
      </c>
      <c r="I256" s="7">
        <v>0.14039999999999997</v>
      </c>
      <c r="J256" s="7">
        <v>0.1169</v>
      </c>
      <c r="K256" s="7">
        <v>0.10719999999999996</v>
      </c>
      <c r="L256" s="7">
        <v>0.10270000000000001</v>
      </c>
      <c r="M256" s="7">
        <v>9.5300000000000051E-2</v>
      </c>
    </row>
    <row r="257" spans="1:13" x14ac:dyDescent="0.25">
      <c r="A257" t="s">
        <v>1</v>
      </c>
      <c r="B257" t="s">
        <v>522</v>
      </c>
      <c r="C257" t="str">
        <f t="shared" si="10"/>
        <v>32081</v>
      </c>
      <c r="D257" s="7">
        <v>0.30820000000000003</v>
      </c>
      <c r="E257" s="7">
        <v>0.29049999999999998</v>
      </c>
      <c r="F257" s="7">
        <v>0.29200000000000004</v>
      </c>
      <c r="G257" s="7">
        <v>0.29169999999999996</v>
      </c>
      <c r="H257" s="7">
        <v>0.29049999999999998</v>
      </c>
      <c r="I257" s="7">
        <v>0.28039999999999998</v>
      </c>
      <c r="J257" s="7">
        <v>0.27669999999999995</v>
      </c>
      <c r="K257" s="7">
        <v>0.25019999999999998</v>
      </c>
      <c r="L257" s="7">
        <v>0.24170000000000003</v>
      </c>
      <c r="M257" s="7">
        <v>0.2429</v>
      </c>
    </row>
    <row r="258" spans="1:13" x14ac:dyDescent="0.25">
      <c r="A258" t="s">
        <v>151</v>
      </c>
      <c r="B258" t="s">
        <v>447</v>
      </c>
      <c r="C258" t="str">
        <f t="shared" si="10"/>
        <v>22008</v>
      </c>
      <c r="D258" s="7">
        <v>0.20709999999999995</v>
      </c>
      <c r="E258" s="7">
        <v>0.12709999999999999</v>
      </c>
      <c r="F258" s="7">
        <v>0.2722</v>
      </c>
      <c r="G258" s="7">
        <v>0.15600000000000003</v>
      </c>
      <c r="H258" s="7">
        <v>0.1583</v>
      </c>
      <c r="I258" s="7">
        <v>0.15600000000000003</v>
      </c>
      <c r="J258" s="7">
        <v>0.12219999999999998</v>
      </c>
      <c r="K258" s="7">
        <v>0.12139999999999995</v>
      </c>
      <c r="L258" s="7">
        <v>0.122</v>
      </c>
      <c r="M258" s="7">
        <v>0.14849999999999997</v>
      </c>
    </row>
    <row r="259" spans="1:13" x14ac:dyDescent="0.25">
      <c r="A259" t="s">
        <v>287</v>
      </c>
      <c r="B259" t="s">
        <v>583</v>
      </c>
      <c r="C259" t="str">
        <f t="shared" si="10"/>
        <v>38322</v>
      </c>
      <c r="D259" s="7">
        <v>0.18330000000000002</v>
      </c>
      <c r="E259" s="7">
        <v>0.24109999999999998</v>
      </c>
      <c r="F259" s="7">
        <v>0.11529999999999996</v>
      </c>
      <c r="G259" s="7">
        <v>0.19089999999999996</v>
      </c>
      <c r="H259" s="7">
        <v>0.13460000000000005</v>
      </c>
      <c r="I259" s="7">
        <v>0.18640000000000001</v>
      </c>
      <c r="J259" s="7">
        <v>0.18169999999999997</v>
      </c>
      <c r="K259" s="7">
        <v>0.13429999999999997</v>
      </c>
      <c r="L259" s="7">
        <v>0.16169999999999995</v>
      </c>
      <c r="M259" s="7">
        <v>0.13819999999999999</v>
      </c>
    </row>
    <row r="260" spans="1:13" x14ac:dyDescent="0.25">
      <c r="A260" t="s">
        <v>226</v>
      </c>
      <c r="B260" t="s">
        <v>521</v>
      </c>
      <c r="C260" t="str">
        <f t="shared" si="10"/>
        <v>31401</v>
      </c>
      <c r="D260" s="7">
        <v>0.30810000000000004</v>
      </c>
      <c r="E260" s="7">
        <v>0.31030000000000002</v>
      </c>
      <c r="F260" s="7">
        <v>0.32779999999999998</v>
      </c>
      <c r="G260" s="7">
        <v>0.31010000000000004</v>
      </c>
      <c r="H260" s="7">
        <v>0.30459999999999998</v>
      </c>
      <c r="I260" s="7">
        <v>0.28739999999999999</v>
      </c>
      <c r="J260" s="7">
        <v>0.27510000000000001</v>
      </c>
      <c r="K260" s="7">
        <v>0.26980000000000004</v>
      </c>
      <c r="L260" s="7">
        <v>0.26500000000000001</v>
      </c>
      <c r="M260" s="7">
        <v>0.2298</v>
      </c>
    </row>
    <row r="261" spans="1:13" x14ac:dyDescent="0.25">
      <c r="A261" t="s">
        <v>62</v>
      </c>
      <c r="B261" t="s">
        <v>358</v>
      </c>
      <c r="C261" t="str">
        <f t="shared" si="10"/>
        <v>11054</v>
      </c>
      <c r="D261" s="7">
        <v>0</v>
      </c>
      <c r="E261" s="7">
        <v>0.21999999999999997</v>
      </c>
      <c r="F261" s="7">
        <v>0.54499999999999993</v>
      </c>
      <c r="G261" s="7">
        <v>0.7</v>
      </c>
      <c r="H261" s="7">
        <v>0.7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</row>
    <row r="262" spans="1:13" x14ac:dyDescent="0.25">
      <c r="A262" t="s">
        <v>42</v>
      </c>
      <c r="B262" t="s">
        <v>338</v>
      </c>
      <c r="C262" t="str">
        <f t="shared" si="10"/>
        <v>07035</v>
      </c>
      <c r="D262" s="7">
        <v>7.999999999999996E-2</v>
      </c>
      <c r="E262" s="7">
        <v>0.13</v>
      </c>
      <c r="F262" s="7">
        <v>0</v>
      </c>
      <c r="G262" s="7">
        <v>0</v>
      </c>
      <c r="H262" s="7">
        <v>0.11329999999999996</v>
      </c>
      <c r="I262" s="7">
        <v>0.11750000000000005</v>
      </c>
      <c r="J262" s="7">
        <v>0.10499999999999998</v>
      </c>
      <c r="K262" s="7">
        <v>7.999999999999996E-2</v>
      </c>
      <c r="L262" s="7">
        <v>0</v>
      </c>
      <c r="M262" s="7">
        <v>0.32410000000000005</v>
      </c>
    </row>
    <row r="263" spans="1:13" x14ac:dyDescent="0.25">
      <c r="A263" t="s">
        <v>21</v>
      </c>
      <c r="B263" t="s">
        <v>318</v>
      </c>
      <c r="C263" t="str">
        <f t="shared" si="10"/>
        <v>04069</v>
      </c>
      <c r="D263" s="7">
        <v>0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</row>
    <row r="264" spans="1:13" x14ac:dyDescent="0.25">
      <c r="A264" t="s">
        <v>183</v>
      </c>
      <c r="B264" t="s">
        <v>479</v>
      </c>
      <c r="C264" t="str">
        <f t="shared" si="10"/>
        <v>27001</v>
      </c>
      <c r="D264" s="7">
        <v>0.27249999999999996</v>
      </c>
      <c r="E264" s="7">
        <v>0.28249999999999997</v>
      </c>
      <c r="F264" s="7">
        <v>0.28620000000000001</v>
      </c>
      <c r="G264" s="7">
        <v>0.29330000000000001</v>
      </c>
      <c r="H264" s="7">
        <v>0.31089999999999995</v>
      </c>
      <c r="I264" s="7">
        <v>0.30259999999999998</v>
      </c>
      <c r="J264" s="7">
        <v>0.28539999999999999</v>
      </c>
      <c r="K264" s="7">
        <v>0.24619999999999997</v>
      </c>
      <c r="L264" s="7">
        <v>0.23140000000000005</v>
      </c>
      <c r="M264" s="7">
        <v>0.2147</v>
      </c>
    </row>
    <row r="265" spans="1:13" x14ac:dyDescent="0.25">
      <c r="A265" t="s">
        <v>283</v>
      </c>
      <c r="B265" t="s">
        <v>579</v>
      </c>
      <c r="C265" t="str">
        <f t="shared" ref="C265:C323" si="15">A265</f>
        <v>38304</v>
      </c>
      <c r="D265" s="7">
        <v>0.11329999999999996</v>
      </c>
      <c r="E265" s="7">
        <v>7.999999999999996E-2</v>
      </c>
      <c r="F265" s="7">
        <v>7.999999999999996E-2</v>
      </c>
      <c r="G265" s="7">
        <v>0.11750000000000005</v>
      </c>
      <c r="H265" s="7">
        <v>9.6700000000000008E-2</v>
      </c>
      <c r="I265" s="7">
        <v>9.6700000000000008E-2</v>
      </c>
      <c r="J265" s="7">
        <v>9.6700000000000008E-2</v>
      </c>
      <c r="K265" s="7">
        <v>9.6700000000000008E-2</v>
      </c>
      <c r="L265" s="7">
        <v>0.11329999999999996</v>
      </c>
      <c r="M265" s="7">
        <v>0.10140000000000005</v>
      </c>
    </row>
    <row r="266" spans="1:13" x14ac:dyDescent="0.25">
      <c r="A266" t="s">
        <v>212</v>
      </c>
      <c r="B266" t="s">
        <v>507</v>
      </c>
      <c r="C266" t="str">
        <f t="shared" si="15"/>
        <v>30303</v>
      </c>
      <c r="D266" s="7">
        <v>0.24990000000000001</v>
      </c>
      <c r="E266" s="7">
        <v>0.23809999999999998</v>
      </c>
      <c r="F266" s="7">
        <v>0.2339</v>
      </c>
      <c r="G266" s="7">
        <v>0.22909999999999997</v>
      </c>
      <c r="H266" s="7">
        <v>0.22670000000000001</v>
      </c>
      <c r="I266" s="7">
        <v>0.23099999999999998</v>
      </c>
      <c r="J266" s="7">
        <v>0.22499999999999998</v>
      </c>
      <c r="K266" s="7">
        <v>0.20779999999999998</v>
      </c>
      <c r="L266" s="7">
        <v>0.20540000000000003</v>
      </c>
      <c r="M266" s="7">
        <v>0.19130000000000003</v>
      </c>
    </row>
    <row r="267" spans="1:13" x14ac:dyDescent="0.25">
      <c r="A267" t="s">
        <v>223</v>
      </c>
      <c r="B267" t="s">
        <v>518</v>
      </c>
      <c r="C267" t="str">
        <f t="shared" si="15"/>
        <v>31311</v>
      </c>
      <c r="D267" s="7">
        <v>0.31210000000000004</v>
      </c>
      <c r="E267" s="7">
        <v>0.3115</v>
      </c>
      <c r="F267" s="7">
        <v>0.33030000000000004</v>
      </c>
      <c r="G267" s="7">
        <v>0.31369999999999998</v>
      </c>
      <c r="H267" s="7">
        <v>0.29379999999999995</v>
      </c>
      <c r="I267" s="7">
        <v>0.29700000000000004</v>
      </c>
      <c r="J267" s="7">
        <v>0.3135</v>
      </c>
      <c r="K267" s="7">
        <v>0.28410000000000002</v>
      </c>
      <c r="L267" s="7">
        <v>0.29859999999999998</v>
      </c>
      <c r="M267" s="7">
        <v>0.30230000000000001</v>
      </c>
    </row>
    <row r="268" spans="1:13" x14ac:dyDescent="0.25">
      <c r="A268" t="s">
        <v>621</v>
      </c>
      <c r="B268" t="s">
        <v>622</v>
      </c>
      <c r="C268" t="str">
        <f t="shared" si="15"/>
        <v>17905</v>
      </c>
      <c r="D268" s="7"/>
      <c r="E268" s="7"/>
      <c r="F268" s="7">
        <v>0.26549999999999996</v>
      </c>
      <c r="G268" s="7">
        <v>0.17520000000000002</v>
      </c>
      <c r="H268" s="7">
        <v>0.21530000000000005</v>
      </c>
      <c r="I268" s="7">
        <v>0.19510000000000005</v>
      </c>
      <c r="J268" s="7">
        <v>0.14570000000000005</v>
      </c>
      <c r="K268" s="7">
        <v>0.12649999999999995</v>
      </c>
      <c r="L268" s="7">
        <v>0.13009999999999999</v>
      </c>
      <c r="M268" s="7">
        <v>0.13149999999999995</v>
      </c>
    </row>
    <row r="269" spans="1:13" x14ac:dyDescent="0.25">
      <c r="A269" t="s">
        <v>626</v>
      </c>
      <c r="B269" t="s">
        <v>627</v>
      </c>
      <c r="C269" t="str">
        <f t="shared" si="15"/>
        <v>27905</v>
      </c>
      <c r="D269" s="7"/>
      <c r="E269" s="7"/>
      <c r="F269" s="7">
        <v>0.16090000000000004</v>
      </c>
      <c r="G269" s="7">
        <v>0.16169999999999995</v>
      </c>
      <c r="H269" s="7">
        <v>0.1472</v>
      </c>
      <c r="I269" s="7">
        <v>0.2107</v>
      </c>
      <c r="J269" s="7">
        <v>0.19099999999999995</v>
      </c>
      <c r="K269" s="7">
        <v>0.14639999999999997</v>
      </c>
      <c r="L269" s="7">
        <v>0.15190000000000003</v>
      </c>
      <c r="M269" s="7">
        <v>0.13</v>
      </c>
    </row>
    <row r="270" spans="1:13" x14ac:dyDescent="0.25">
      <c r="A270" t="s">
        <v>619</v>
      </c>
      <c r="B270" t="s">
        <v>620</v>
      </c>
      <c r="C270" t="str">
        <f t="shared" si="15"/>
        <v>17902</v>
      </c>
      <c r="D270" s="7"/>
      <c r="E270" s="7"/>
      <c r="F270" s="7">
        <v>0.13</v>
      </c>
      <c r="G270" s="7">
        <v>0.13480000000000003</v>
      </c>
      <c r="H270" s="7">
        <v>0.14670000000000005</v>
      </c>
      <c r="I270" s="7">
        <v>0.14480000000000004</v>
      </c>
      <c r="J270" s="7">
        <v>0.1371</v>
      </c>
      <c r="K270" s="7">
        <v>0.13</v>
      </c>
      <c r="L270" s="7">
        <v>0.13</v>
      </c>
      <c r="M270" s="7">
        <v>0.13</v>
      </c>
    </row>
    <row r="271" spans="1:13" x14ac:dyDescent="0.25">
      <c r="A271" t="s">
        <v>246</v>
      </c>
      <c r="B271" t="s">
        <v>542</v>
      </c>
      <c r="C271" t="str">
        <f t="shared" si="15"/>
        <v>33202</v>
      </c>
      <c r="D271" s="7">
        <v>0.10780000000000001</v>
      </c>
      <c r="E271" s="7">
        <v>8.8300000000000045E-2</v>
      </c>
      <c r="F271" s="7">
        <v>7.999999999999996E-2</v>
      </c>
      <c r="G271" s="7">
        <v>9.2500000000000027E-2</v>
      </c>
      <c r="H271" s="7">
        <v>0.10860000000000003</v>
      </c>
      <c r="I271" s="7">
        <v>0.11570000000000003</v>
      </c>
      <c r="J271" s="7">
        <v>0.20999999999999996</v>
      </c>
      <c r="K271" s="7">
        <v>0.22619999999999996</v>
      </c>
      <c r="L271" s="7">
        <v>0.14000000000000001</v>
      </c>
      <c r="M271" s="7">
        <v>0.10150000000000003</v>
      </c>
    </row>
    <row r="272" spans="1:13" x14ac:dyDescent="0.25">
      <c r="A272" t="s">
        <v>188</v>
      </c>
      <c r="B272" t="s">
        <v>1114</v>
      </c>
      <c r="C272" t="str">
        <f t="shared" si="15"/>
        <v>27320</v>
      </c>
      <c r="D272" s="7">
        <v>0.25339999999999996</v>
      </c>
      <c r="E272" s="7">
        <v>0.25870000000000004</v>
      </c>
      <c r="F272" s="7">
        <v>0.27049999999999996</v>
      </c>
      <c r="G272" s="7">
        <v>0.25490000000000002</v>
      </c>
      <c r="H272" s="7">
        <v>0.26270000000000004</v>
      </c>
      <c r="I272" s="7">
        <v>0.27739999999999998</v>
      </c>
      <c r="J272" s="7">
        <v>0.27939999999999998</v>
      </c>
      <c r="K272" s="7">
        <v>0.26139999999999997</v>
      </c>
      <c r="L272" s="7">
        <v>0.26200000000000001</v>
      </c>
      <c r="M272" s="7">
        <v>0.27470000000000006</v>
      </c>
    </row>
    <row r="273" spans="1:13" x14ac:dyDescent="0.25">
      <c r="A273" t="s">
        <v>296</v>
      </c>
      <c r="B273" t="s">
        <v>592</v>
      </c>
      <c r="C273" t="str">
        <f t="shared" si="15"/>
        <v>39201</v>
      </c>
      <c r="D273" s="7">
        <v>0.30810000000000004</v>
      </c>
      <c r="E273" s="7">
        <v>0.31459999999999999</v>
      </c>
      <c r="F273" s="7">
        <v>0.3246</v>
      </c>
      <c r="G273" s="7">
        <v>0.33460000000000001</v>
      </c>
      <c r="H273" s="7">
        <v>0.33340000000000003</v>
      </c>
      <c r="I273" s="7">
        <v>0.35040000000000004</v>
      </c>
      <c r="J273" s="7">
        <v>0.34040000000000004</v>
      </c>
      <c r="K273" s="7">
        <v>0.32040000000000002</v>
      </c>
      <c r="L273" s="7">
        <v>0.30359999999999998</v>
      </c>
      <c r="M273" s="7">
        <v>0.28639999999999999</v>
      </c>
    </row>
    <row r="274" spans="1:13" x14ac:dyDescent="0.25">
      <c r="A274" t="s">
        <v>121</v>
      </c>
      <c r="B274" t="s">
        <v>417</v>
      </c>
      <c r="C274" t="str">
        <f t="shared" si="15"/>
        <v>18902</v>
      </c>
      <c r="D274" s="7">
        <v>0.20189999999999997</v>
      </c>
      <c r="E274" s="7">
        <v>0.12</v>
      </c>
      <c r="F274" s="7">
        <v>0.13780000000000003</v>
      </c>
      <c r="G274" s="7">
        <v>0</v>
      </c>
      <c r="H274" s="7" t="e">
        <v>#N/A</v>
      </c>
      <c r="I274" s="7">
        <v>0</v>
      </c>
      <c r="J274" s="7">
        <v>0.17830000000000001</v>
      </c>
      <c r="K274" s="7">
        <v>0.14280000000000004</v>
      </c>
      <c r="L274" s="7">
        <v>0.1542</v>
      </c>
      <c r="M274" s="7">
        <v>0.13900000000000001</v>
      </c>
    </row>
    <row r="275" spans="1:13" x14ac:dyDescent="0.25">
      <c r="A275" t="s">
        <v>185</v>
      </c>
      <c r="B275" t="s">
        <v>481</v>
      </c>
      <c r="C275" t="str">
        <f t="shared" si="15"/>
        <v>27010</v>
      </c>
      <c r="D275" s="7">
        <v>0.32769999999999999</v>
      </c>
      <c r="E275" s="7">
        <v>0.3216</v>
      </c>
      <c r="F275" s="7">
        <v>0.30969999999999998</v>
      </c>
      <c r="G275" s="7">
        <v>0.29390000000000005</v>
      </c>
      <c r="H275" s="7">
        <v>0.28739999999999999</v>
      </c>
      <c r="I275" s="7">
        <v>0.28090000000000004</v>
      </c>
      <c r="J275" s="7">
        <v>0.28220000000000001</v>
      </c>
      <c r="K275" s="7">
        <v>0.27710000000000001</v>
      </c>
      <c r="L275" s="7">
        <v>0.28100000000000003</v>
      </c>
      <c r="M275" s="7">
        <v>0.27759999999999996</v>
      </c>
    </row>
    <row r="276" spans="1:13" x14ac:dyDescent="0.25">
      <c r="A276" t="s">
        <v>81</v>
      </c>
      <c r="B276" t="s">
        <v>377</v>
      </c>
      <c r="C276" t="str">
        <f t="shared" si="15"/>
        <v>14077</v>
      </c>
      <c r="D276" s="7">
        <v>0.12819999999999998</v>
      </c>
      <c r="E276" s="7">
        <v>0.13470000000000004</v>
      </c>
      <c r="F276" s="7">
        <v>0.1462</v>
      </c>
      <c r="G276" s="7">
        <v>0.14439999999999997</v>
      </c>
      <c r="H276" s="7">
        <v>0.15569999999999995</v>
      </c>
      <c r="I276" s="7">
        <v>0.14119999999999999</v>
      </c>
      <c r="J276" s="7">
        <v>0.16710000000000003</v>
      </c>
      <c r="K276" s="7">
        <v>0.16000000000000003</v>
      </c>
      <c r="L276" s="7">
        <v>0.1089</v>
      </c>
      <c r="M276" s="7">
        <v>0.11370000000000002</v>
      </c>
    </row>
    <row r="277" spans="1:13" x14ac:dyDescent="0.25">
      <c r="A277" t="s">
        <v>108</v>
      </c>
      <c r="B277" t="s">
        <v>404</v>
      </c>
      <c r="C277" t="str">
        <f t="shared" si="15"/>
        <v>17409</v>
      </c>
      <c r="D277" s="7">
        <v>0.30259999999999998</v>
      </c>
      <c r="E277" s="7">
        <v>0.2823</v>
      </c>
      <c r="F277" s="7">
        <v>0.27729999999999999</v>
      </c>
      <c r="G277" s="7">
        <v>0.28320000000000001</v>
      </c>
      <c r="H277" s="7">
        <v>0.28320000000000001</v>
      </c>
      <c r="I277" s="7">
        <v>0.27859999999999996</v>
      </c>
      <c r="J277" s="7">
        <v>0.27690000000000003</v>
      </c>
      <c r="K277" s="7">
        <v>0.24870000000000003</v>
      </c>
      <c r="L277" s="7">
        <v>0.23240000000000005</v>
      </c>
      <c r="M277" s="7">
        <v>0.23660000000000003</v>
      </c>
    </row>
    <row r="278" spans="1:13" x14ac:dyDescent="0.25">
      <c r="A278" t="s">
        <v>278</v>
      </c>
      <c r="B278" t="s">
        <v>574</v>
      </c>
      <c r="C278" t="str">
        <f t="shared" si="15"/>
        <v>38265</v>
      </c>
      <c r="D278" s="7">
        <v>0.18589999999999995</v>
      </c>
      <c r="E278" s="7">
        <v>0.15849999999999997</v>
      </c>
      <c r="F278" s="7">
        <v>0.19510000000000005</v>
      </c>
      <c r="G278" s="7">
        <v>0.17510000000000003</v>
      </c>
      <c r="H278" s="7">
        <v>0.17500000000000004</v>
      </c>
      <c r="I278" s="7">
        <v>0.20889999999999997</v>
      </c>
      <c r="J278" s="7">
        <v>0.22689999999999999</v>
      </c>
      <c r="K278" s="7">
        <v>0.16210000000000002</v>
      </c>
      <c r="L278" s="7">
        <v>0.1492</v>
      </c>
      <c r="M278" s="7">
        <v>0.1351</v>
      </c>
    </row>
    <row r="279" spans="1:13" x14ac:dyDescent="0.25">
      <c r="A279" t="s">
        <v>259</v>
      </c>
      <c r="B279" t="s">
        <v>555</v>
      </c>
      <c r="C279" t="str">
        <f t="shared" si="15"/>
        <v>34402</v>
      </c>
      <c r="D279" s="7">
        <v>0.27190000000000003</v>
      </c>
      <c r="E279" s="7">
        <v>0.28520000000000001</v>
      </c>
      <c r="F279" s="7">
        <v>0.26419999999999999</v>
      </c>
      <c r="G279" s="7">
        <v>0.3286</v>
      </c>
      <c r="H279" s="7">
        <v>0.34230000000000005</v>
      </c>
      <c r="I279" s="7">
        <v>0.33840000000000003</v>
      </c>
      <c r="J279" s="7">
        <v>0.31240000000000001</v>
      </c>
      <c r="K279" s="7">
        <v>0.3004</v>
      </c>
      <c r="L279" s="7">
        <v>0.29269999999999996</v>
      </c>
      <c r="M279" s="7">
        <v>0.24870000000000003</v>
      </c>
    </row>
    <row r="280" spans="1:13" x14ac:dyDescent="0.25">
      <c r="A280" t="s">
        <v>124</v>
      </c>
      <c r="B280" t="s">
        <v>420</v>
      </c>
      <c r="C280" t="str">
        <f t="shared" si="15"/>
        <v>19400</v>
      </c>
      <c r="D280" s="7">
        <v>0.32999999999999996</v>
      </c>
      <c r="E280" s="7">
        <v>0.24329999999999996</v>
      </c>
      <c r="F280" s="7">
        <v>0.21999999999999997</v>
      </c>
      <c r="G280" s="7">
        <v>0.1321</v>
      </c>
      <c r="H280" s="7">
        <v>0.18859999999999999</v>
      </c>
      <c r="I280" s="7">
        <v>0.19479999999999997</v>
      </c>
      <c r="J280" s="7">
        <v>0.15610000000000002</v>
      </c>
      <c r="K280" s="7">
        <v>0.12470000000000003</v>
      </c>
      <c r="L280" s="7">
        <v>0.12719999999999998</v>
      </c>
      <c r="M280" s="7">
        <v>9.8899999999999988E-2</v>
      </c>
    </row>
    <row r="281" spans="1:13" x14ac:dyDescent="0.25">
      <c r="A281" t="s">
        <v>145</v>
      </c>
      <c r="B281" t="s">
        <v>441</v>
      </c>
      <c r="C281" t="str">
        <f t="shared" si="15"/>
        <v>21237</v>
      </c>
      <c r="D281" s="7">
        <v>0.27939999999999998</v>
      </c>
      <c r="E281" s="7">
        <v>0.30120000000000002</v>
      </c>
      <c r="F281" s="7">
        <v>0.32389999999999997</v>
      </c>
      <c r="G281" s="7">
        <v>0.33379999999999999</v>
      </c>
      <c r="H281" s="7">
        <v>0.38990000000000002</v>
      </c>
      <c r="I281" s="7">
        <v>0.34179999999999999</v>
      </c>
      <c r="J281" s="7">
        <v>0.34289999999999998</v>
      </c>
      <c r="K281" s="7">
        <v>0.32240000000000002</v>
      </c>
      <c r="L281" s="7">
        <v>0.31830000000000003</v>
      </c>
      <c r="M281" s="7">
        <v>0.28620000000000001</v>
      </c>
    </row>
    <row r="282" spans="1:13" x14ac:dyDescent="0.25">
      <c r="A282" t="s">
        <v>172</v>
      </c>
      <c r="B282" t="s">
        <v>468</v>
      </c>
      <c r="C282" t="str">
        <f t="shared" si="15"/>
        <v>24404</v>
      </c>
      <c r="D282" s="7">
        <v>0.22709999999999997</v>
      </c>
      <c r="E282" s="7">
        <v>0.24139999999999995</v>
      </c>
      <c r="F282" s="7">
        <v>0.26049999999999995</v>
      </c>
      <c r="G282" s="7">
        <v>0.25509999999999999</v>
      </c>
      <c r="H282" s="7">
        <v>0.2782</v>
      </c>
      <c r="I282" s="7">
        <v>0.30569999999999997</v>
      </c>
      <c r="J282" s="7">
        <v>0.24339999999999995</v>
      </c>
      <c r="K282" s="7">
        <v>0.21509999999999996</v>
      </c>
      <c r="L282" s="7">
        <v>0.19940000000000002</v>
      </c>
      <c r="M282" s="7">
        <v>0.15500000000000003</v>
      </c>
    </row>
    <row r="283" spans="1:13" x14ac:dyDescent="0.25">
      <c r="A283" t="s">
        <v>297</v>
      </c>
      <c r="B283" t="s">
        <v>593</v>
      </c>
      <c r="C283" t="str">
        <f t="shared" si="15"/>
        <v>39202</v>
      </c>
      <c r="D283" s="7">
        <v>0.27880000000000005</v>
      </c>
      <c r="E283" s="7">
        <v>0.22130000000000005</v>
      </c>
      <c r="F283" s="7">
        <v>0.21060000000000001</v>
      </c>
      <c r="G283" s="7">
        <v>0.23170000000000002</v>
      </c>
      <c r="H283" s="7">
        <v>0.2137</v>
      </c>
      <c r="I283" s="7">
        <v>0.17479999999999996</v>
      </c>
      <c r="J283" s="7">
        <v>0.1583</v>
      </c>
      <c r="K283" s="7">
        <v>0.15159999999999996</v>
      </c>
      <c r="L283" s="7">
        <v>0.15769999999999995</v>
      </c>
      <c r="M283" s="7">
        <v>0.15629999999999999</v>
      </c>
    </row>
    <row r="284" spans="1:13" x14ac:dyDescent="0.25">
      <c r="A284" t="s">
        <v>264</v>
      </c>
      <c r="B284" t="s">
        <v>560</v>
      </c>
      <c r="C284" t="str">
        <f t="shared" si="15"/>
        <v>36300</v>
      </c>
      <c r="D284" s="7">
        <v>0.16200000000000003</v>
      </c>
      <c r="E284" s="7">
        <v>0.17849999999999999</v>
      </c>
      <c r="F284" s="7">
        <v>0.16000000000000003</v>
      </c>
      <c r="G284" s="7">
        <v>0.18999999999999995</v>
      </c>
      <c r="H284" s="7">
        <v>0.17430000000000001</v>
      </c>
      <c r="I284" s="7">
        <v>0.19830000000000003</v>
      </c>
      <c r="J284" s="7">
        <v>0.11809999999999998</v>
      </c>
      <c r="K284" s="7">
        <v>0.11480000000000001</v>
      </c>
      <c r="L284" s="7">
        <v>0.11670000000000003</v>
      </c>
      <c r="M284" s="7">
        <v>0.10499999999999998</v>
      </c>
    </row>
    <row r="285" spans="1:13" x14ac:dyDescent="0.25">
      <c r="A285" t="s">
        <v>44</v>
      </c>
      <c r="B285" t="s">
        <v>340</v>
      </c>
      <c r="C285" t="str">
        <f t="shared" si="15"/>
        <v>08130</v>
      </c>
      <c r="D285" s="7">
        <v>0.24990000000000001</v>
      </c>
      <c r="E285" s="7">
        <v>0.34809999999999997</v>
      </c>
      <c r="F285" s="7">
        <v>0.2339</v>
      </c>
      <c r="G285" s="7">
        <v>0.22909999999999997</v>
      </c>
      <c r="H285" s="7">
        <v>0.22670000000000001</v>
      </c>
      <c r="I285" s="7">
        <v>0.23099999999999998</v>
      </c>
      <c r="J285" s="7">
        <v>0.22499999999999998</v>
      </c>
      <c r="K285" s="7">
        <v>0.20779999999999998</v>
      </c>
      <c r="L285" s="7">
        <v>0.20540000000000003</v>
      </c>
      <c r="M285" s="7">
        <v>0.19130000000000003</v>
      </c>
    </row>
    <row r="286" spans="1:13" x14ac:dyDescent="0.25">
      <c r="A286" t="s">
        <v>131</v>
      </c>
      <c r="B286" t="s">
        <v>427</v>
      </c>
      <c r="C286" t="str">
        <f t="shared" si="15"/>
        <v>20400</v>
      </c>
      <c r="D286" s="7">
        <v>0.24990000000000001</v>
      </c>
      <c r="E286" s="7">
        <v>0.27669999999999995</v>
      </c>
      <c r="F286" s="7">
        <v>0.2339</v>
      </c>
      <c r="G286" s="7">
        <v>0.22909999999999997</v>
      </c>
      <c r="H286" s="7">
        <v>0.22670000000000001</v>
      </c>
      <c r="I286" s="7">
        <v>0.23099999999999998</v>
      </c>
      <c r="J286" s="7">
        <v>0.22499999999999998</v>
      </c>
      <c r="K286" s="7">
        <v>0.20779999999999998</v>
      </c>
      <c r="L286" s="7">
        <v>0.20540000000000003</v>
      </c>
      <c r="M286" s="7">
        <v>0.19130000000000003</v>
      </c>
    </row>
    <row r="287" spans="1:13" x14ac:dyDescent="0.25">
      <c r="A287" t="s">
        <v>105</v>
      </c>
      <c r="B287" t="s">
        <v>401</v>
      </c>
      <c r="C287" t="str">
        <f t="shared" si="15"/>
        <v>17406</v>
      </c>
      <c r="D287" s="7">
        <v>0.31010000000000004</v>
      </c>
      <c r="E287" s="7">
        <v>0.29600000000000004</v>
      </c>
      <c r="F287" s="7">
        <v>0.28759999999999997</v>
      </c>
      <c r="G287" s="7">
        <v>0.26529999999999998</v>
      </c>
      <c r="H287" s="7">
        <v>0.23619999999999997</v>
      </c>
      <c r="I287" s="7">
        <v>0.24160000000000004</v>
      </c>
      <c r="J287" s="7">
        <v>0.24399999999999999</v>
      </c>
      <c r="K287" s="7">
        <v>0.2863</v>
      </c>
      <c r="L287" s="7">
        <v>0.28169999999999995</v>
      </c>
      <c r="M287" s="7">
        <v>0.26539999999999997</v>
      </c>
    </row>
    <row r="288" spans="1:13" x14ac:dyDescent="0.25">
      <c r="A288" t="s">
        <v>254</v>
      </c>
      <c r="B288" t="s">
        <v>550</v>
      </c>
      <c r="C288" t="str">
        <f t="shared" si="15"/>
        <v>34033</v>
      </c>
      <c r="D288" s="7">
        <v>0.30510000000000004</v>
      </c>
      <c r="E288" s="7">
        <v>0.30200000000000005</v>
      </c>
      <c r="F288" s="7">
        <v>0.30730000000000002</v>
      </c>
      <c r="G288" s="7">
        <v>0.29379999999999995</v>
      </c>
      <c r="H288" s="7">
        <v>0.29690000000000005</v>
      </c>
      <c r="I288" s="7">
        <v>0.28100000000000003</v>
      </c>
      <c r="J288" s="7">
        <v>0.28959999999999997</v>
      </c>
      <c r="K288" s="7">
        <v>0.25729999999999997</v>
      </c>
      <c r="L288" s="7">
        <v>0.26790000000000003</v>
      </c>
      <c r="M288" s="7">
        <v>0.2641</v>
      </c>
    </row>
    <row r="289" spans="1:13" x14ac:dyDescent="0.25">
      <c r="A289" t="s">
        <v>289</v>
      </c>
      <c r="B289" t="s">
        <v>585</v>
      </c>
      <c r="C289" t="str">
        <f t="shared" si="15"/>
        <v>39002</v>
      </c>
      <c r="D289" s="7">
        <v>0.17000000000000004</v>
      </c>
      <c r="E289" s="7">
        <v>0.20879999999999999</v>
      </c>
      <c r="F289" s="7">
        <v>0.22689999999999999</v>
      </c>
      <c r="G289" s="7">
        <v>0.21240000000000003</v>
      </c>
      <c r="H289" s="7">
        <v>0.25070000000000003</v>
      </c>
      <c r="I289" s="7">
        <v>0.22829999999999995</v>
      </c>
      <c r="J289" s="7">
        <v>0.21309999999999996</v>
      </c>
      <c r="K289" s="7">
        <v>0.18620000000000003</v>
      </c>
      <c r="L289" s="7">
        <v>0.18410000000000004</v>
      </c>
      <c r="M289" s="7">
        <v>0.19010000000000005</v>
      </c>
    </row>
    <row r="290" spans="1:13" x14ac:dyDescent="0.25">
      <c r="A290" t="s">
        <v>187</v>
      </c>
      <c r="B290" t="s">
        <v>483</v>
      </c>
      <c r="C290" t="str">
        <f t="shared" si="15"/>
        <v>27083</v>
      </c>
      <c r="D290" s="7">
        <v>0.34199999999999997</v>
      </c>
      <c r="E290" s="7">
        <v>0.34650000000000003</v>
      </c>
      <c r="F290" s="7">
        <v>0.37380000000000002</v>
      </c>
      <c r="G290" s="7">
        <v>0.3417</v>
      </c>
      <c r="H290" s="7">
        <v>0.34550000000000003</v>
      </c>
      <c r="I290" s="7">
        <v>0.33399999999999996</v>
      </c>
      <c r="J290" s="7">
        <v>0.33409999999999995</v>
      </c>
      <c r="K290" s="7">
        <v>0.32609999999999995</v>
      </c>
      <c r="L290" s="7">
        <v>0.32569999999999999</v>
      </c>
      <c r="M290" s="7">
        <v>0.3145</v>
      </c>
    </row>
    <row r="291" spans="1:13" x14ac:dyDescent="0.25">
      <c r="A291" t="s">
        <v>243</v>
      </c>
      <c r="B291" t="s">
        <v>539</v>
      </c>
      <c r="C291" t="str">
        <f t="shared" si="15"/>
        <v>33070</v>
      </c>
      <c r="D291" s="7">
        <v>0.12990000000000002</v>
      </c>
      <c r="E291" s="7">
        <v>0.16000000000000003</v>
      </c>
      <c r="F291" s="7">
        <v>0.18830000000000002</v>
      </c>
      <c r="G291" s="7">
        <v>0.18120000000000003</v>
      </c>
      <c r="H291" s="7">
        <v>0.20550000000000002</v>
      </c>
      <c r="I291" s="7">
        <v>0.16310000000000002</v>
      </c>
      <c r="J291" s="7">
        <v>0.16720000000000002</v>
      </c>
      <c r="K291" s="7">
        <v>0.13170000000000004</v>
      </c>
      <c r="L291" s="7">
        <v>0.14219999999999999</v>
      </c>
      <c r="M291" s="7">
        <v>0.11280000000000001</v>
      </c>
    </row>
    <row r="292" spans="1:13" x14ac:dyDescent="0.25">
      <c r="A292" t="s">
        <v>32</v>
      </c>
      <c r="B292" t="s">
        <v>328</v>
      </c>
      <c r="C292" t="str">
        <f t="shared" si="15"/>
        <v>06037</v>
      </c>
      <c r="D292" s="7">
        <v>0.31869999999999998</v>
      </c>
      <c r="E292" s="7">
        <v>0.31110000000000004</v>
      </c>
      <c r="F292" s="7">
        <v>0.31869999999999998</v>
      </c>
      <c r="G292" s="7">
        <v>0.31130000000000002</v>
      </c>
      <c r="H292" s="7">
        <v>0.31389999999999996</v>
      </c>
      <c r="I292" s="7">
        <v>0.32499999999999996</v>
      </c>
      <c r="J292" s="7">
        <v>0.32150000000000001</v>
      </c>
      <c r="K292" s="7">
        <v>0.29039999999999999</v>
      </c>
      <c r="L292" s="7">
        <v>0.29169999999999996</v>
      </c>
      <c r="M292" s="7">
        <v>0.27690000000000003</v>
      </c>
    </row>
    <row r="293" spans="1:13" x14ac:dyDescent="0.25">
      <c r="A293" t="s">
        <v>101</v>
      </c>
      <c r="B293" t="s">
        <v>397</v>
      </c>
      <c r="C293" t="str">
        <f t="shared" si="15"/>
        <v>17402</v>
      </c>
      <c r="D293" s="7">
        <v>0.24729999999999996</v>
      </c>
      <c r="E293" s="7">
        <v>0.24319999999999997</v>
      </c>
      <c r="F293" s="7">
        <v>0.24399999999999999</v>
      </c>
      <c r="G293" s="7">
        <v>0.22360000000000002</v>
      </c>
      <c r="H293" s="7">
        <v>0.20950000000000002</v>
      </c>
      <c r="I293" s="7">
        <v>0.18179999999999996</v>
      </c>
      <c r="J293" s="7">
        <v>0.22299999999999998</v>
      </c>
      <c r="K293" s="7">
        <v>0.17910000000000004</v>
      </c>
      <c r="L293" s="7">
        <v>0.19710000000000005</v>
      </c>
      <c r="M293" s="7">
        <v>0.2157</v>
      </c>
    </row>
    <row r="294" spans="1:13" x14ac:dyDescent="0.25">
      <c r="A294" t="s">
        <v>617</v>
      </c>
      <c r="B294" t="s">
        <v>618</v>
      </c>
      <c r="C294" t="str">
        <f t="shared" ref="C294" si="16">A294</f>
        <v>34901</v>
      </c>
      <c r="D294" s="7"/>
      <c r="E294" s="7"/>
      <c r="F294" s="7">
        <v>0</v>
      </c>
      <c r="G294" s="7">
        <v>0</v>
      </c>
      <c r="H294" s="7">
        <v>0</v>
      </c>
      <c r="I294" s="7">
        <v>0</v>
      </c>
      <c r="J294" s="7">
        <v>8.7099999999999955E-2</v>
      </c>
      <c r="K294" s="7">
        <v>0.1026</v>
      </c>
      <c r="L294" s="7">
        <v>0.22040000000000004</v>
      </c>
      <c r="M294" s="7">
        <v>0.19540000000000002</v>
      </c>
    </row>
    <row r="295" spans="1:13" x14ac:dyDescent="0.25">
      <c r="A295" t="s">
        <v>260</v>
      </c>
      <c r="B295" t="s">
        <v>556</v>
      </c>
      <c r="C295" t="str">
        <f t="shared" si="15"/>
        <v>35200</v>
      </c>
      <c r="D295" s="7">
        <v>0.24990000000000001</v>
      </c>
      <c r="E295" s="7">
        <v>0.30420000000000003</v>
      </c>
      <c r="F295" s="7">
        <v>0.2339</v>
      </c>
      <c r="G295" s="7">
        <v>0.22909999999999997</v>
      </c>
      <c r="H295" s="7">
        <v>0.22670000000000001</v>
      </c>
      <c r="I295" s="7">
        <v>0.23099999999999998</v>
      </c>
      <c r="J295" s="7">
        <v>0.22499999999999998</v>
      </c>
      <c r="K295" s="7">
        <v>0.20779999999999998</v>
      </c>
      <c r="L295" s="7">
        <v>0.20540000000000003</v>
      </c>
      <c r="M295" s="7">
        <v>0.19130000000000003</v>
      </c>
    </row>
    <row r="296" spans="1:13" x14ac:dyDescent="0.25">
      <c r="A296" t="s">
        <v>65</v>
      </c>
      <c r="B296" t="s">
        <v>361</v>
      </c>
      <c r="C296" t="str">
        <f t="shared" si="15"/>
        <v>13073</v>
      </c>
      <c r="D296" s="7">
        <v>0.27390000000000003</v>
      </c>
      <c r="E296" s="7">
        <v>0.28600000000000003</v>
      </c>
      <c r="F296" s="7">
        <v>0.27649999999999997</v>
      </c>
      <c r="G296" s="7">
        <v>0.22619999999999996</v>
      </c>
      <c r="H296" s="7">
        <v>0.21199999999999997</v>
      </c>
      <c r="I296" s="7">
        <v>0.26270000000000004</v>
      </c>
      <c r="J296" s="7">
        <v>0.27690000000000003</v>
      </c>
      <c r="K296" s="7">
        <v>0.25070000000000003</v>
      </c>
      <c r="L296" s="7">
        <v>0.26970000000000005</v>
      </c>
      <c r="M296" s="7">
        <v>0.24719999999999998</v>
      </c>
    </row>
    <row r="297" spans="1:13" x14ac:dyDescent="0.25">
      <c r="A297" t="s">
        <v>266</v>
      </c>
      <c r="B297" t="s">
        <v>562</v>
      </c>
      <c r="C297" t="str">
        <f t="shared" si="15"/>
        <v>36401</v>
      </c>
      <c r="D297" s="7">
        <v>0.23419999999999996</v>
      </c>
      <c r="E297" s="7">
        <v>0.23819999999999997</v>
      </c>
      <c r="F297" s="7">
        <v>0.24429999999999996</v>
      </c>
      <c r="G297" s="7">
        <v>0.22319999999999995</v>
      </c>
      <c r="H297" s="7">
        <v>0.15500000000000003</v>
      </c>
      <c r="I297" s="7">
        <v>0.12709999999999999</v>
      </c>
      <c r="J297" s="7">
        <v>0.1089</v>
      </c>
      <c r="K297" s="7">
        <v>0.11709999999999998</v>
      </c>
      <c r="L297" s="7">
        <v>0.20540000000000003</v>
      </c>
      <c r="M297" s="7">
        <v>0.19130000000000003</v>
      </c>
    </row>
    <row r="298" spans="1:13" x14ac:dyDescent="0.25">
      <c r="A298" t="s">
        <v>262</v>
      </c>
      <c r="B298" t="s">
        <v>558</v>
      </c>
      <c r="C298" t="str">
        <f t="shared" si="15"/>
        <v>36140</v>
      </c>
      <c r="D298" s="7">
        <v>0.37190000000000001</v>
      </c>
      <c r="E298" s="7">
        <v>0.37729999999999997</v>
      </c>
      <c r="F298" s="7">
        <v>0.38880000000000003</v>
      </c>
      <c r="G298" s="7">
        <v>0.36550000000000005</v>
      </c>
      <c r="H298" s="7">
        <v>0.3609</v>
      </c>
      <c r="I298" s="7">
        <v>0.33120000000000005</v>
      </c>
      <c r="J298" s="7">
        <v>0.28339999999999999</v>
      </c>
      <c r="K298" s="7">
        <v>0.26619999999999999</v>
      </c>
      <c r="L298" s="7">
        <v>0.24990000000000001</v>
      </c>
      <c r="M298" s="7">
        <v>0.22529999999999994</v>
      </c>
    </row>
    <row r="299" spans="1:13" x14ac:dyDescent="0.25">
      <c r="A299" t="s">
        <v>301</v>
      </c>
      <c r="B299" t="s">
        <v>597</v>
      </c>
      <c r="C299" t="str">
        <f t="shared" si="15"/>
        <v>39207</v>
      </c>
      <c r="D299" s="7">
        <v>0.23299999999999998</v>
      </c>
      <c r="E299" s="7">
        <v>0.22970000000000002</v>
      </c>
      <c r="F299" s="7">
        <v>0.28369999999999995</v>
      </c>
      <c r="G299" s="7">
        <v>0.2762</v>
      </c>
      <c r="H299" s="7">
        <v>0.25609999999999999</v>
      </c>
      <c r="I299" s="7">
        <v>0.23960000000000004</v>
      </c>
      <c r="J299" s="7">
        <v>0.24019999999999997</v>
      </c>
      <c r="K299" s="7">
        <v>0.21709999999999996</v>
      </c>
      <c r="L299" s="7">
        <v>0.25819999999999999</v>
      </c>
      <c r="M299" s="7">
        <v>0.2258</v>
      </c>
    </row>
    <row r="300" spans="1:13" x14ac:dyDescent="0.25">
      <c r="A300" t="s">
        <v>67</v>
      </c>
      <c r="B300" t="s">
        <v>363</v>
      </c>
      <c r="C300" t="str">
        <f t="shared" si="15"/>
        <v>13146</v>
      </c>
      <c r="D300" s="7">
        <v>0.29510000000000003</v>
      </c>
      <c r="E300" s="7">
        <v>0.30789999999999995</v>
      </c>
      <c r="F300" s="7">
        <v>0.3145</v>
      </c>
      <c r="G300" s="7">
        <v>0.30020000000000002</v>
      </c>
      <c r="H300" s="7">
        <v>0.27880000000000005</v>
      </c>
      <c r="I300" s="7">
        <v>0.27380000000000004</v>
      </c>
      <c r="J300" s="7">
        <v>0.27500000000000002</v>
      </c>
      <c r="K300" s="7">
        <v>0.32479999999999998</v>
      </c>
      <c r="L300" s="7">
        <v>0.31559999999999999</v>
      </c>
      <c r="M300" s="7">
        <v>0.32650000000000001</v>
      </c>
    </row>
    <row r="301" spans="1:13" x14ac:dyDescent="0.25">
      <c r="A301" t="s">
        <v>36</v>
      </c>
      <c r="B301" t="s">
        <v>332</v>
      </c>
      <c r="C301" t="str">
        <f t="shared" si="15"/>
        <v>06112</v>
      </c>
      <c r="D301" s="7">
        <v>0.3034</v>
      </c>
      <c r="E301" s="7">
        <v>0.28939999999999999</v>
      </c>
      <c r="F301" s="7">
        <v>0.27580000000000005</v>
      </c>
      <c r="G301" s="7">
        <v>0.27549999999999997</v>
      </c>
      <c r="H301" s="7">
        <v>0.2631</v>
      </c>
      <c r="I301" s="7">
        <v>0.22619999999999996</v>
      </c>
      <c r="J301" s="7">
        <v>0.21389999999999998</v>
      </c>
      <c r="K301" s="7">
        <v>0.22619999999999996</v>
      </c>
      <c r="L301" s="7">
        <v>0.24370000000000003</v>
      </c>
      <c r="M301" s="7">
        <v>0.23609999999999998</v>
      </c>
    </row>
    <row r="302" spans="1:13" x14ac:dyDescent="0.25">
      <c r="A302" t="s">
        <v>7</v>
      </c>
      <c r="B302" t="s">
        <v>304</v>
      </c>
      <c r="C302" t="str">
        <f t="shared" si="15"/>
        <v>01109</v>
      </c>
      <c r="D302" s="7">
        <v>0.20699999999999996</v>
      </c>
      <c r="E302" s="7">
        <v>0.18140000000000001</v>
      </c>
      <c r="F302" s="7">
        <v>0.14139999999999997</v>
      </c>
      <c r="G302" s="7">
        <v>0.11329999999999996</v>
      </c>
      <c r="H302" s="7">
        <v>0.13</v>
      </c>
      <c r="I302" s="7">
        <v>0.1875</v>
      </c>
      <c r="J302" s="7">
        <v>0.10499999999999998</v>
      </c>
      <c r="K302" s="7">
        <v>9.4999999999999973E-2</v>
      </c>
      <c r="L302" s="7">
        <v>0.10499999999999998</v>
      </c>
      <c r="M302" s="7">
        <v>0.1179</v>
      </c>
    </row>
    <row r="303" spans="1:13" x14ac:dyDescent="0.25">
      <c r="A303" t="s">
        <v>54</v>
      </c>
      <c r="B303" t="s">
        <v>350</v>
      </c>
      <c r="C303" t="str">
        <f t="shared" si="15"/>
        <v>09209</v>
      </c>
      <c r="D303" s="7">
        <v>0.24990000000000001</v>
      </c>
      <c r="E303" s="7">
        <v>0.24819999999999998</v>
      </c>
      <c r="F303" s="7">
        <v>0.2339</v>
      </c>
      <c r="G303" s="7">
        <v>0.22909999999999997</v>
      </c>
      <c r="H303" s="7">
        <v>0.22670000000000001</v>
      </c>
      <c r="I303" s="7">
        <v>0.23099999999999998</v>
      </c>
      <c r="J303" s="7">
        <v>0.22499999999999998</v>
      </c>
      <c r="K303" s="7">
        <v>0.20779999999999998</v>
      </c>
      <c r="L303" s="7">
        <v>0.20540000000000003</v>
      </c>
      <c r="M303" s="7">
        <v>0.19130000000000003</v>
      </c>
    </row>
    <row r="304" spans="1:13" x14ac:dyDescent="0.25">
      <c r="A304" t="s">
        <v>242</v>
      </c>
      <c r="B304" t="s">
        <v>538</v>
      </c>
      <c r="C304" t="str">
        <f t="shared" si="15"/>
        <v>33049</v>
      </c>
      <c r="D304" s="7">
        <v>0.20950000000000002</v>
      </c>
      <c r="E304" s="7">
        <v>0.27210000000000001</v>
      </c>
      <c r="F304" s="7">
        <v>0.25639999999999996</v>
      </c>
      <c r="G304" s="7">
        <v>0.21940000000000004</v>
      </c>
      <c r="H304" s="7">
        <v>0.19550000000000001</v>
      </c>
      <c r="I304" s="7">
        <v>0.24070000000000003</v>
      </c>
      <c r="J304" s="7">
        <v>0.15839999999999999</v>
      </c>
      <c r="K304" s="7">
        <v>0.14790000000000003</v>
      </c>
      <c r="L304" s="7">
        <v>0.13170000000000004</v>
      </c>
      <c r="M304" s="7">
        <v>0.15100000000000002</v>
      </c>
    </row>
    <row r="305" spans="1:13" x14ac:dyDescent="0.25">
      <c r="A305" t="s">
        <v>26</v>
      </c>
      <c r="B305" t="s">
        <v>322</v>
      </c>
      <c r="C305" t="str">
        <f t="shared" si="15"/>
        <v>04246</v>
      </c>
      <c r="D305" s="7">
        <v>0.30459999999999998</v>
      </c>
      <c r="E305" s="7">
        <v>0.28280000000000005</v>
      </c>
      <c r="F305" s="7">
        <v>0.26970000000000005</v>
      </c>
      <c r="G305" s="7">
        <v>0.26690000000000003</v>
      </c>
      <c r="H305" s="7">
        <v>0.26280000000000003</v>
      </c>
      <c r="I305" s="7">
        <v>0.24039999999999995</v>
      </c>
      <c r="J305" s="7">
        <v>0.22399999999999998</v>
      </c>
      <c r="K305" s="7">
        <v>0.19379999999999997</v>
      </c>
      <c r="L305" s="7">
        <v>0.18110000000000004</v>
      </c>
      <c r="M305" s="7">
        <v>0.17520000000000002</v>
      </c>
    </row>
    <row r="306" spans="1:13" x14ac:dyDescent="0.25">
      <c r="A306" t="s">
        <v>237</v>
      </c>
      <c r="B306" t="s">
        <v>533</v>
      </c>
      <c r="C306" t="str">
        <f t="shared" si="15"/>
        <v>32363</v>
      </c>
      <c r="D306" s="7">
        <v>0.21689999999999998</v>
      </c>
      <c r="E306" s="7">
        <v>0.21719999999999995</v>
      </c>
      <c r="F306" s="7">
        <v>0.20989999999999998</v>
      </c>
      <c r="G306" s="7">
        <v>0.21109999999999995</v>
      </c>
      <c r="H306" s="7">
        <v>0.21840000000000004</v>
      </c>
      <c r="I306" s="7">
        <v>0.20569999999999999</v>
      </c>
      <c r="J306" s="7">
        <v>0.20579999999999998</v>
      </c>
      <c r="K306" s="7">
        <v>0.19550000000000001</v>
      </c>
      <c r="L306" s="7">
        <v>0.19669999999999999</v>
      </c>
      <c r="M306" s="7">
        <v>0.20189999999999997</v>
      </c>
    </row>
    <row r="307" spans="1:13" x14ac:dyDescent="0.25">
      <c r="A307" t="s">
        <v>302</v>
      </c>
      <c r="B307" t="s">
        <v>598</v>
      </c>
      <c r="C307" t="str">
        <f t="shared" si="15"/>
        <v>39208</v>
      </c>
      <c r="D307" s="7">
        <v>0.28139999999999998</v>
      </c>
      <c r="E307" s="7">
        <v>0.27500000000000002</v>
      </c>
      <c r="F307" s="7">
        <v>0.26590000000000003</v>
      </c>
      <c r="G307" s="7">
        <v>0.27629999999999999</v>
      </c>
      <c r="H307" s="7">
        <v>0.27459999999999996</v>
      </c>
      <c r="I307" s="7">
        <v>0.26700000000000002</v>
      </c>
      <c r="J307" s="7">
        <v>0.26100000000000001</v>
      </c>
      <c r="K307" s="7">
        <v>0.25639999999999996</v>
      </c>
      <c r="L307" s="7">
        <v>0.22850000000000004</v>
      </c>
      <c r="M307" s="7">
        <v>0.21989999999999998</v>
      </c>
    </row>
    <row r="308" spans="1:13" x14ac:dyDescent="0.25">
      <c r="A308" s="42" t="s">
        <v>672</v>
      </c>
      <c r="B308" s="43" t="s">
        <v>673</v>
      </c>
      <c r="C308" t="str">
        <f t="shared" ref="C308" si="17">A308</f>
        <v>37902</v>
      </c>
      <c r="D308" s="7"/>
      <c r="E308" s="7"/>
      <c r="F308" s="7"/>
      <c r="G308" s="7"/>
      <c r="H308" s="7"/>
      <c r="I308" s="7"/>
      <c r="J308" s="7">
        <v>0.25409999999999999</v>
      </c>
      <c r="K308" s="7">
        <v>0.13</v>
      </c>
      <c r="L308" s="7">
        <v>0.13</v>
      </c>
      <c r="M308" s="7">
        <v>0.13</v>
      </c>
    </row>
    <row r="309" spans="1:13" x14ac:dyDescent="0.25">
      <c r="A309" t="s">
        <v>149</v>
      </c>
      <c r="B309" t="s">
        <v>445</v>
      </c>
      <c r="C309" t="str">
        <f t="shared" si="15"/>
        <v>21303</v>
      </c>
      <c r="D309" s="7">
        <v>0.29169999999999996</v>
      </c>
      <c r="E309" s="7">
        <v>0.26790000000000003</v>
      </c>
      <c r="F309" s="7">
        <v>0.17420000000000002</v>
      </c>
      <c r="G309" s="7">
        <v>0.17969999999999997</v>
      </c>
      <c r="H309" s="7">
        <v>0.15790000000000004</v>
      </c>
      <c r="I309" s="7">
        <v>0.16120000000000001</v>
      </c>
      <c r="J309" s="7">
        <v>0.23760000000000003</v>
      </c>
      <c r="K309" s="7">
        <v>0.22619999999999996</v>
      </c>
      <c r="L309" s="7">
        <v>0.22130000000000005</v>
      </c>
      <c r="M309" s="7">
        <v>0.21319999999999995</v>
      </c>
    </row>
    <row r="310" spans="1:13" x14ac:dyDescent="0.25">
      <c r="A310" t="s">
        <v>196</v>
      </c>
      <c r="B310" t="s">
        <v>491</v>
      </c>
      <c r="C310" t="str">
        <f t="shared" si="15"/>
        <v>27416</v>
      </c>
      <c r="D310" s="7">
        <v>0.27449999999999997</v>
      </c>
      <c r="E310" s="7">
        <v>0.27580000000000005</v>
      </c>
      <c r="F310" s="7">
        <v>0.27980000000000005</v>
      </c>
      <c r="G310" s="7">
        <v>0.27170000000000005</v>
      </c>
      <c r="H310" s="7">
        <v>0.26939999999999997</v>
      </c>
      <c r="I310" s="7">
        <v>0.26200000000000001</v>
      </c>
      <c r="J310" s="7">
        <v>0.25970000000000004</v>
      </c>
      <c r="K310" s="7">
        <v>0.25880000000000003</v>
      </c>
      <c r="L310" s="7">
        <v>0.25129999999999997</v>
      </c>
      <c r="M310" s="7">
        <v>0.24839999999999995</v>
      </c>
    </row>
    <row r="311" spans="1:13" x14ac:dyDescent="0.25">
      <c r="A311" t="s">
        <v>136</v>
      </c>
      <c r="B311" t="s">
        <v>432</v>
      </c>
      <c r="C311" t="str">
        <f t="shared" si="15"/>
        <v>20405</v>
      </c>
      <c r="D311" s="7">
        <v>0.24990000000000001</v>
      </c>
      <c r="E311" s="7">
        <v>0.18969999999999998</v>
      </c>
      <c r="F311" s="7">
        <v>0.2339</v>
      </c>
      <c r="G311" s="7">
        <v>0.22909999999999997</v>
      </c>
      <c r="H311" s="7">
        <v>0.22670000000000001</v>
      </c>
      <c r="I311" s="7">
        <v>0.23099999999999998</v>
      </c>
      <c r="J311" s="7">
        <v>0.22499999999999998</v>
      </c>
      <c r="K311" s="7">
        <v>0.20779999999999998</v>
      </c>
      <c r="L311" s="7">
        <v>0.20540000000000003</v>
      </c>
      <c r="M311" s="7">
        <v>0.19130000000000003</v>
      </c>
    </row>
    <row r="312" spans="1:13" x14ac:dyDescent="0.25">
      <c r="A312" s="42" t="s">
        <v>674</v>
      </c>
      <c r="B312" s="43" t="s">
        <v>1115</v>
      </c>
      <c r="C312" t="str">
        <f t="shared" si="15"/>
        <v>17917</v>
      </c>
      <c r="D312" s="7"/>
      <c r="E312" s="7"/>
      <c r="F312" s="7"/>
      <c r="G312" s="7"/>
      <c r="H312" s="7"/>
      <c r="I312" s="7"/>
      <c r="J312" s="7">
        <v>0.2651</v>
      </c>
      <c r="K312" s="7">
        <v>0.2026</v>
      </c>
      <c r="L312" s="7">
        <v>0</v>
      </c>
      <c r="M312" s="7">
        <v>0.13880000000000003</v>
      </c>
    </row>
    <row r="313" spans="1:13" x14ac:dyDescent="0.25">
      <c r="A313" t="s">
        <v>156</v>
      </c>
      <c r="B313" t="s">
        <v>452</v>
      </c>
      <c r="C313" t="str">
        <f t="shared" si="15"/>
        <v>22200</v>
      </c>
      <c r="D313" s="7">
        <v>0.22789999999999999</v>
      </c>
      <c r="E313" s="7">
        <v>0.2722</v>
      </c>
      <c r="F313" s="7">
        <v>0.25190000000000001</v>
      </c>
      <c r="G313" s="7">
        <v>0.24439999999999995</v>
      </c>
      <c r="H313" s="7">
        <v>0.25719999999999998</v>
      </c>
      <c r="I313" s="7">
        <v>0.22699999999999998</v>
      </c>
      <c r="J313" s="7">
        <v>0.23450000000000004</v>
      </c>
      <c r="K313" s="7">
        <v>0.17820000000000003</v>
      </c>
      <c r="L313" s="7">
        <v>0.16849999999999998</v>
      </c>
      <c r="M313" s="7">
        <v>0.16490000000000005</v>
      </c>
    </row>
    <row r="314" spans="1:13" x14ac:dyDescent="0.25">
      <c r="A314" t="s">
        <v>178</v>
      </c>
      <c r="B314" t="s">
        <v>474</v>
      </c>
      <c r="C314" t="str">
        <f t="shared" si="15"/>
        <v>25160</v>
      </c>
      <c r="D314" s="7">
        <v>0.24529999999999996</v>
      </c>
      <c r="E314" s="7">
        <v>0.22319999999999995</v>
      </c>
      <c r="F314" s="7">
        <v>0.23260000000000003</v>
      </c>
      <c r="G314" s="7">
        <v>0.2651</v>
      </c>
      <c r="H314" s="7">
        <v>0.31799999999999995</v>
      </c>
      <c r="I314" s="7">
        <v>0.25649999999999995</v>
      </c>
      <c r="J314" s="7">
        <v>0.24750000000000005</v>
      </c>
      <c r="K314" s="7">
        <v>0.24519999999999997</v>
      </c>
      <c r="L314" s="7">
        <v>0.23529999999999995</v>
      </c>
      <c r="M314" s="7">
        <v>0.18310000000000004</v>
      </c>
    </row>
    <row r="315" spans="1:13" x14ac:dyDescent="0.25">
      <c r="A315" t="s">
        <v>73</v>
      </c>
      <c r="B315" t="s">
        <v>369</v>
      </c>
      <c r="C315" t="str">
        <f t="shared" si="15"/>
        <v>13167</v>
      </c>
      <c r="D315" s="7">
        <v>0.17430000000000001</v>
      </c>
      <c r="E315" s="7">
        <v>0.12609999999999999</v>
      </c>
      <c r="F315" s="7">
        <v>0.12819999999999998</v>
      </c>
      <c r="G315" s="7">
        <v>0.13370000000000004</v>
      </c>
      <c r="H315" s="7">
        <v>0.14139999999999997</v>
      </c>
      <c r="I315" s="7">
        <v>0.11080000000000001</v>
      </c>
      <c r="J315" s="7">
        <v>0.14710000000000001</v>
      </c>
      <c r="K315" s="7">
        <v>0.15269999999999995</v>
      </c>
      <c r="L315" s="7">
        <v>0.16169999999999995</v>
      </c>
      <c r="M315" s="7">
        <v>0.16559999999999997</v>
      </c>
    </row>
    <row r="316" spans="1:13" x14ac:dyDescent="0.25">
      <c r="A316" t="s">
        <v>143</v>
      </c>
      <c r="B316" t="s">
        <v>439</v>
      </c>
      <c r="C316" t="str">
        <f t="shared" si="15"/>
        <v>21232</v>
      </c>
      <c r="D316" s="7">
        <v>0.25870000000000004</v>
      </c>
      <c r="E316" s="7">
        <v>0.23960000000000004</v>
      </c>
      <c r="F316" s="7">
        <v>0.31220000000000003</v>
      </c>
      <c r="G316" s="7">
        <v>0.25770000000000004</v>
      </c>
      <c r="H316" s="7">
        <v>0.251</v>
      </c>
      <c r="I316" s="7">
        <v>0.26580000000000004</v>
      </c>
      <c r="J316" s="7">
        <v>0.22319999999999995</v>
      </c>
      <c r="K316" s="7">
        <v>0.21120000000000005</v>
      </c>
      <c r="L316" s="7">
        <v>0.20199999999999996</v>
      </c>
      <c r="M316" s="7">
        <v>0.19120000000000004</v>
      </c>
    </row>
    <row r="317" spans="1:13" x14ac:dyDescent="0.25">
      <c r="A317" t="s">
        <v>85</v>
      </c>
      <c r="B317" t="s">
        <v>381</v>
      </c>
      <c r="C317" t="str">
        <f t="shared" si="15"/>
        <v>14117</v>
      </c>
      <c r="D317" s="7">
        <v>0.32399999999999995</v>
      </c>
      <c r="E317" s="7">
        <v>0.27149999999999996</v>
      </c>
      <c r="F317" s="7">
        <v>0.38360000000000005</v>
      </c>
      <c r="G317" s="7">
        <v>0.2833</v>
      </c>
      <c r="H317" s="7">
        <v>0.13500000000000001</v>
      </c>
      <c r="I317" s="7">
        <v>0.16120000000000001</v>
      </c>
      <c r="J317" s="7">
        <v>0.15920000000000001</v>
      </c>
      <c r="K317" s="7">
        <v>0.14890000000000003</v>
      </c>
      <c r="L317" s="7">
        <v>0.1895</v>
      </c>
      <c r="M317" s="7">
        <v>0.14139999999999997</v>
      </c>
    </row>
    <row r="318" spans="1:13" x14ac:dyDescent="0.25">
      <c r="A318" t="s">
        <v>128</v>
      </c>
      <c r="B318" t="s">
        <v>424</v>
      </c>
      <c r="C318" t="str">
        <f t="shared" si="15"/>
        <v>20094</v>
      </c>
      <c r="D318" s="7">
        <v>0.24990000000000001</v>
      </c>
      <c r="E318" s="7">
        <v>0.16600000000000004</v>
      </c>
      <c r="F318" s="7">
        <v>0.2339</v>
      </c>
      <c r="G318" s="7">
        <v>0.22909999999999997</v>
      </c>
      <c r="H318" s="7">
        <v>0.22670000000000001</v>
      </c>
      <c r="I318" s="7">
        <v>0.23099999999999998</v>
      </c>
      <c r="J318" s="7">
        <v>0.22499999999999998</v>
      </c>
      <c r="K318" s="7">
        <v>0.20779999999999998</v>
      </c>
      <c r="L318" s="7">
        <v>0.20540000000000003</v>
      </c>
      <c r="M318" s="7">
        <v>0.19130000000000003</v>
      </c>
    </row>
    <row r="319" spans="1:13" x14ac:dyDescent="0.25">
      <c r="A319" t="s">
        <v>47</v>
      </c>
      <c r="B319" t="s">
        <v>343</v>
      </c>
      <c r="C319" t="str">
        <f t="shared" si="15"/>
        <v>08404</v>
      </c>
      <c r="D319" s="7">
        <v>0.25860000000000005</v>
      </c>
      <c r="E319" s="7">
        <v>0.24380000000000002</v>
      </c>
      <c r="F319" s="7">
        <v>0.26629999999999998</v>
      </c>
      <c r="G319" s="7">
        <v>0.25949999999999995</v>
      </c>
      <c r="H319" s="7">
        <v>0.25739999999999996</v>
      </c>
      <c r="I319" s="7">
        <v>0.27580000000000005</v>
      </c>
      <c r="J319" s="7">
        <v>0.25570000000000004</v>
      </c>
      <c r="K319" s="7">
        <v>0.23019999999999996</v>
      </c>
      <c r="L319" s="7">
        <v>0.25370000000000004</v>
      </c>
      <c r="M319" s="7">
        <v>0.23580000000000001</v>
      </c>
    </row>
    <row r="320" spans="1:13" x14ac:dyDescent="0.25">
      <c r="A320" t="s">
        <v>633</v>
      </c>
      <c r="B320" t="s">
        <v>635</v>
      </c>
      <c r="C320" t="str">
        <f t="shared" si="15"/>
        <v>39901</v>
      </c>
      <c r="D320" s="7"/>
      <c r="E320" s="7"/>
      <c r="F320" s="7"/>
      <c r="G320" s="7">
        <v>0.23170000000000002</v>
      </c>
      <c r="H320" s="7">
        <f>H283</f>
        <v>0.2137</v>
      </c>
      <c r="I320" s="7">
        <v>0</v>
      </c>
      <c r="J320" s="7">
        <v>0</v>
      </c>
      <c r="K320" s="41">
        <v>0</v>
      </c>
      <c r="L320" s="7">
        <v>0</v>
      </c>
      <c r="M320" s="7">
        <v>0.21360000000000001</v>
      </c>
    </row>
    <row r="321" spans="1:13" x14ac:dyDescent="0.25">
      <c r="A321" t="s">
        <v>291</v>
      </c>
      <c r="B321" t="s">
        <v>587</v>
      </c>
      <c r="C321" t="str">
        <f t="shared" si="15"/>
        <v>39007</v>
      </c>
      <c r="D321" s="7">
        <v>0.32269999999999999</v>
      </c>
      <c r="E321" s="7">
        <v>0.3256</v>
      </c>
      <c r="F321" s="7">
        <v>0.33069999999999999</v>
      </c>
      <c r="G321" s="7">
        <v>0.33819999999999995</v>
      </c>
      <c r="H321" s="7">
        <v>0.34050000000000002</v>
      </c>
      <c r="I321" s="7">
        <v>0.33650000000000002</v>
      </c>
      <c r="J321" s="7">
        <v>0.33940000000000003</v>
      </c>
      <c r="K321" s="7">
        <v>0.31950000000000001</v>
      </c>
      <c r="L321" s="7">
        <v>0.33279999999999998</v>
      </c>
      <c r="M321" s="7">
        <v>0.32020000000000004</v>
      </c>
    </row>
    <row r="322" spans="1:13" x14ac:dyDescent="0.25">
      <c r="A322" t="s">
        <v>252</v>
      </c>
      <c r="B322" t="s">
        <v>548</v>
      </c>
      <c r="C322" t="str">
        <f t="shared" si="15"/>
        <v>34002</v>
      </c>
      <c r="D322" s="7">
        <v>0.28649999999999998</v>
      </c>
      <c r="E322" s="7">
        <v>0.2964</v>
      </c>
      <c r="F322" s="7">
        <v>0.29069999999999996</v>
      </c>
      <c r="G322" s="7">
        <v>0.26670000000000005</v>
      </c>
      <c r="H322" s="7">
        <v>0.25990000000000002</v>
      </c>
      <c r="I322" s="7">
        <v>0.21809999999999996</v>
      </c>
      <c r="J322" s="7">
        <v>0.23109999999999997</v>
      </c>
      <c r="K322" s="7">
        <v>0.22709999999999997</v>
      </c>
      <c r="L322" s="7">
        <v>0.24919999999999998</v>
      </c>
      <c r="M322" s="7">
        <v>0.24760000000000004</v>
      </c>
    </row>
    <row r="323" spans="1:13" x14ac:dyDescent="0.25">
      <c r="A323" t="s">
        <v>300</v>
      </c>
      <c r="B323" t="s">
        <v>596</v>
      </c>
      <c r="C323" t="str">
        <f t="shared" si="15"/>
        <v>39205</v>
      </c>
      <c r="D323" s="7">
        <v>0.25170000000000003</v>
      </c>
      <c r="E323" s="7">
        <v>0.24070000000000003</v>
      </c>
      <c r="F323" s="7">
        <v>0.26770000000000005</v>
      </c>
      <c r="G323" s="7">
        <v>0.26519999999999999</v>
      </c>
      <c r="H323" s="7">
        <v>0.2429</v>
      </c>
      <c r="I323" s="7">
        <v>0.2107</v>
      </c>
      <c r="J323" s="7">
        <v>0.20020000000000004</v>
      </c>
      <c r="K323" s="7">
        <v>0.17869999999999997</v>
      </c>
      <c r="L323" s="7">
        <v>0.17859999999999998</v>
      </c>
      <c r="M323" s="7">
        <v>0.18459999999999999</v>
      </c>
    </row>
    <row r="324" spans="1:13" x14ac:dyDescent="0.25">
      <c r="A324" s="34" t="s">
        <v>759</v>
      </c>
      <c r="B324" t="s">
        <v>1084</v>
      </c>
      <c r="C324" t="str">
        <f>A324</f>
        <v>00000</v>
      </c>
      <c r="D324" t="s">
        <v>1502</v>
      </c>
      <c r="E324" t="s">
        <v>1502</v>
      </c>
      <c r="F324" t="s">
        <v>1502</v>
      </c>
      <c r="G324" t="s">
        <v>1502</v>
      </c>
      <c r="H324" t="s">
        <v>1502</v>
      </c>
      <c r="I324" t="s">
        <v>1502</v>
      </c>
      <c r="J324" t="s">
        <v>1502</v>
      </c>
      <c r="K324" t="s">
        <v>1502</v>
      </c>
      <c r="L324" s="7">
        <v>0.25639999999999996</v>
      </c>
      <c r="M324" s="7">
        <v>0.25180000000000002</v>
      </c>
    </row>
  </sheetData>
  <autoFilter ref="A1:M1" xr:uid="{00000000-0001-0000-1300-000000000000}"/>
  <sortState xmlns:xlrd2="http://schemas.microsoft.com/office/spreadsheetml/2017/richdata2" ref="M3:N327">
    <sortCondition ref="M2:M327"/>
  </sortState>
  <phoneticPr fontId="24" type="noConversion"/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D3F88-07F2-4E83-9535-7C82D2A5B314}">
  <sheetPr codeName="Sheet28"/>
  <dimension ref="A1:U151"/>
  <sheetViews>
    <sheetView workbookViewId="0">
      <selection activeCell="L4" sqref="L4:L151"/>
    </sheetView>
  </sheetViews>
  <sheetFormatPr defaultRowHeight="15" x14ac:dyDescent="0.25"/>
  <cols>
    <col min="1" max="1" width="13.140625" bestFit="1" customWidth="1"/>
    <col min="2" max="2" width="12.7109375" bestFit="1" customWidth="1"/>
    <col min="3" max="3" width="13.7109375" bestFit="1" customWidth="1"/>
    <col min="4" max="4" width="13.140625" bestFit="1" customWidth="1"/>
    <col min="5" max="6" width="14.85546875" bestFit="1" customWidth="1"/>
    <col min="7" max="7" width="15.7109375" bestFit="1" customWidth="1"/>
    <col min="8" max="8" width="15.140625" bestFit="1" customWidth="1"/>
    <col min="9" max="9" width="14.85546875" bestFit="1" customWidth="1"/>
    <col min="10" max="10" width="15.7109375" bestFit="1" customWidth="1"/>
    <col min="11" max="11" width="15.140625" bestFit="1" customWidth="1"/>
    <col min="12" max="12" width="12.7109375" bestFit="1" customWidth="1"/>
    <col min="13" max="13" width="17.42578125" bestFit="1" customWidth="1"/>
    <col min="14" max="14" width="19.28515625" bestFit="1" customWidth="1"/>
    <col min="15" max="17" width="16" bestFit="1" customWidth="1"/>
    <col min="18" max="18" width="13.5703125" bestFit="1" customWidth="1"/>
    <col min="19" max="19" width="12.7109375" bestFit="1" customWidth="1"/>
    <col min="20" max="20" width="21" bestFit="1" customWidth="1"/>
    <col min="21" max="44" width="12.7109375" bestFit="1" customWidth="1"/>
  </cols>
  <sheetData>
    <row r="1" spans="1:21" x14ac:dyDescent="0.25">
      <c r="A1" s="87">
        <v>1</v>
      </c>
      <c r="B1" s="87">
        <f>1+A1</f>
        <v>2</v>
      </c>
      <c r="C1" s="87">
        <f t="shared" ref="C1:J1" si="0">1+B1</f>
        <v>3</v>
      </c>
      <c r="D1" s="87">
        <f t="shared" si="0"/>
        <v>4</v>
      </c>
      <c r="E1" s="87">
        <f t="shared" si="0"/>
        <v>5</v>
      </c>
      <c r="F1" s="87">
        <f t="shared" si="0"/>
        <v>6</v>
      </c>
      <c r="G1" s="87">
        <f t="shared" si="0"/>
        <v>7</v>
      </c>
      <c r="H1" s="87">
        <f t="shared" si="0"/>
        <v>8</v>
      </c>
      <c r="I1" s="87">
        <f t="shared" si="0"/>
        <v>9</v>
      </c>
      <c r="J1" s="87">
        <f t="shared" si="0"/>
        <v>10</v>
      </c>
      <c r="K1" s="87">
        <f t="shared" ref="K1" si="1">1+J1</f>
        <v>11</v>
      </c>
      <c r="L1" s="87">
        <f t="shared" ref="L1" si="2">1+K1</f>
        <v>12</v>
      </c>
      <c r="M1" s="87">
        <f t="shared" ref="M1" si="3">1+L1</f>
        <v>13</v>
      </c>
      <c r="N1" s="87">
        <f t="shared" ref="N1" si="4">1+M1</f>
        <v>14</v>
      </c>
      <c r="O1" s="87">
        <f t="shared" ref="O1" si="5">1+N1</f>
        <v>15</v>
      </c>
      <c r="P1" s="87">
        <f t="shared" ref="P1:Q1" si="6">1+N1</f>
        <v>15</v>
      </c>
      <c r="Q1" s="87">
        <f t="shared" si="6"/>
        <v>16</v>
      </c>
      <c r="R1" s="87">
        <f t="shared" ref="R1" si="7">1+Q1</f>
        <v>17</v>
      </c>
      <c r="S1" s="87">
        <f t="shared" ref="S1" si="8">1+R1</f>
        <v>18</v>
      </c>
      <c r="T1" s="87">
        <f t="shared" ref="T1" si="9">1+S1</f>
        <v>19</v>
      </c>
      <c r="U1" s="87"/>
    </row>
    <row r="2" spans="1:21" x14ac:dyDescent="0.25">
      <c r="A2">
        <f>COUNTA(A4:A150)</f>
        <v>24</v>
      </c>
      <c r="B2" s="290" t="s">
        <v>1053</v>
      </c>
      <c r="C2" s="290"/>
      <c r="D2" s="290"/>
      <c r="E2" s="290"/>
      <c r="F2" s="290"/>
      <c r="G2" s="290"/>
      <c r="H2" s="290"/>
      <c r="I2" s="156"/>
      <c r="J2" s="156"/>
      <c r="K2" s="156"/>
      <c r="N2" s="33" t="e">
        <f>SUM(N5:N32)</f>
        <v>#N/A</v>
      </c>
    </row>
    <row r="3" spans="1:21" x14ac:dyDescent="0.25">
      <c r="A3" s="91" t="s">
        <v>752</v>
      </c>
      <c r="B3" t="s">
        <v>785</v>
      </c>
      <c r="C3" t="s">
        <v>825</v>
      </c>
      <c r="D3" t="s">
        <v>866</v>
      </c>
      <c r="E3" t="s">
        <v>1132</v>
      </c>
      <c r="F3" t="s">
        <v>798</v>
      </c>
      <c r="G3" t="s">
        <v>838</v>
      </c>
      <c r="H3" t="s">
        <v>879</v>
      </c>
      <c r="I3" t="s">
        <v>811</v>
      </c>
      <c r="J3" t="s">
        <v>852</v>
      </c>
      <c r="K3" t="s">
        <v>863</v>
      </c>
      <c r="L3" s="6">
        <v>31.21</v>
      </c>
      <c r="M3" t="str">
        <f>"SpEd Staffed "&amp;$B$2</f>
        <v>SpEd Staffed Orient &amp; Mob Sp</v>
      </c>
      <c r="N3" s="162" t="str">
        <f>"Total "&amp;$B$2</f>
        <v>Total Orient &amp; Mob Sp</v>
      </c>
      <c r="O3" t="s">
        <v>1062</v>
      </c>
      <c r="P3" t="s">
        <v>1575</v>
      </c>
      <c r="Q3" t="s">
        <v>1063</v>
      </c>
      <c r="R3" t="s">
        <v>1061</v>
      </c>
      <c r="S3" t="str">
        <f>"SpEd Contracted "&amp;$B$2</f>
        <v>SpEd Contracted Orient &amp; Mob Sp</v>
      </c>
      <c r="T3" s="162" t="str">
        <f>"Total Contracted "&amp;$B$2</f>
        <v>Total Contracted Orient &amp; Mob Sp</v>
      </c>
    </row>
    <row r="4" spans="1:21" x14ac:dyDescent="0.25">
      <c r="A4" s="88" t="s">
        <v>7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7">
        <f>VLOOKUP(A4,'3121% SY'!A:M,'3121% SY'!$M$1,FALSE)</f>
        <v>0.1179</v>
      </c>
      <c r="M4" s="161">
        <f>ROUND(I4*$L4,3)+ROUND(J4*$L4,3)+ROUND(K4*$L4,3)</f>
        <v>0</v>
      </c>
      <c r="N4" s="33">
        <f>SUM(M4,B4:H4)</f>
        <v>0</v>
      </c>
      <c r="S4" s="161">
        <f>ROUND(R4*$L4,3)</f>
        <v>0</v>
      </c>
      <c r="T4" s="33">
        <f>SUM(S4,O4:Q4)</f>
        <v>0</v>
      </c>
    </row>
    <row r="5" spans="1:21" x14ac:dyDescent="0.25">
      <c r="A5" s="88" t="s">
        <v>40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7">
        <f>VLOOKUP(A5,'3121% SY'!A:M,'3121% SY'!$M$1,FALSE)</f>
        <v>0.1794</v>
      </c>
      <c r="M5" s="161">
        <f t="shared" ref="M5:M68" si="10">ROUND(I5*$L5,3)+ROUND(J5*$L5,3)+ROUND(K5*$L5,3)</f>
        <v>0</v>
      </c>
      <c r="N5" s="33">
        <f t="shared" ref="N5:N68" si="11">SUM(M5,B5:H5)</f>
        <v>0</v>
      </c>
      <c r="S5" s="161">
        <f t="shared" ref="S5:S68" si="12">ROUND(R5*$L5,3)</f>
        <v>0</v>
      </c>
      <c r="T5" s="33">
        <f t="shared" ref="T5:T68" si="13">SUM(S5,O5:Q5)</f>
        <v>0</v>
      </c>
    </row>
    <row r="6" spans="1:21" x14ac:dyDescent="0.25">
      <c r="A6" s="88" t="s">
        <v>61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7">
        <f>VLOOKUP(A6,'3121% SY'!A:M,'3121% SY'!$M$1,FALSE)</f>
        <v>0.24629999999999996</v>
      </c>
      <c r="M6" s="161">
        <f t="shared" si="10"/>
        <v>0</v>
      </c>
      <c r="N6" s="33">
        <f t="shared" si="11"/>
        <v>0</v>
      </c>
      <c r="S6" s="161">
        <f t="shared" si="12"/>
        <v>0</v>
      </c>
      <c r="T6" s="33">
        <f t="shared" si="13"/>
        <v>0</v>
      </c>
    </row>
    <row r="7" spans="1:21" x14ac:dyDescent="0.25">
      <c r="A7" s="88" t="s">
        <v>78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7">
        <f>VLOOKUP(A7,'3121% SY'!A:M,'3121% SY'!$M$1,FALSE)</f>
        <v>0.17600000000000005</v>
      </c>
      <c r="M7" s="161">
        <f t="shared" si="10"/>
        <v>0</v>
      </c>
      <c r="N7" s="33">
        <f t="shared" si="11"/>
        <v>0</v>
      </c>
      <c r="S7" s="161">
        <f t="shared" si="12"/>
        <v>0</v>
      </c>
      <c r="T7" s="33">
        <f t="shared" si="13"/>
        <v>0</v>
      </c>
    </row>
    <row r="8" spans="1:21" x14ac:dyDescent="0.25">
      <c r="A8" s="88" t="s">
        <v>84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7">
        <f>VLOOKUP(A8,'3121% SY'!A:M,'3121% SY'!$M$1,FALSE)</f>
        <v>8.9999999999999969E-2</v>
      </c>
      <c r="M8" s="161">
        <f t="shared" si="10"/>
        <v>0</v>
      </c>
      <c r="N8" s="33">
        <f t="shared" si="11"/>
        <v>0</v>
      </c>
      <c r="S8" s="161">
        <f t="shared" si="12"/>
        <v>0</v>
      </c>
      <c r="T8" s="33">
        <f t="shared" si="13"/>
        <v>0</v>
      </c>
    </row>
    <row r="9" spans="1:21" x14ac:dyDescent="0.25">
      <c r="A9" s="88" t="s">
        <v>87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7">
        <f>VLOOKUP(A9,'3121% SY'!A:M,'3121% SY'!$M$1,FALSE)</f>
        <v>0.18340000000000001</v>
      </c>
      <c r="M9" s="161">
        <f t="shared" si="10"/>
        <v>0</v>
      </c>
      <c r="N9" s="33">
        <f t="shared" si="11"/>
        <v>0</v>
      </c>
      <c r="S9" s="161">
        <f t="shared" si="12"/>
        <v>0</v>
      </c>
      <c r="T9" s="33">
        <f t="shared" si="13"/>
        <v>0</v>
      </c>
    </row>
    <row r="10" spans="1:21" x14ac:dyDescent="0.25">
      <c r="A10" s="88" t="s">
        <v>89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7">
        <f>VLOOKUP(A10,'3121% SY'!A:M,'3121% SY'!$M$1,FALSE)</f>
        <v>0.22170000000000001</v>
      </c>
      <c r="M10" s="161">
        <f t="shared" si="10"/>
        <v>0</v>
      </c>
      <c r="N10" s="33">
        <f t="shared" si="11"/>
        <v>0</v>
      </c>
      <c r="S10" s="161">
        <f t="shared" si="12"/>
        <v>0</v>
      </c>
      <c r="T10" s="33">
        <f t="shared" si="13"/>
        <v>0</v>
      </c>
    </row>
    <row r="11" spans="1:21" x14ac:dyDescent="0.25">
      <c r="A11" s="88" t="s">
        <v>141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7">
        <f>VLOOKUP(A11,'3121% SY'!A:M,'3121% SY'!$M$1,FALSE)</f>
        <v>0.31479999999999997</v>
      </c>
      <c r="M11" s="161">
        <f t="shared" si="10"/>
        <v>0</v>
      </c>
      <c r="N11" s="33">
        <f t="shared" si="11"/>
        <v>0</v>
      </c>
      <c r="S11" s="161">
        <f t="shared" si="12"/>
        <v>0</v>
      </c>
      <c r="T11" s="33">
        <f t="shared" si="13"/>
        <v>0</v>
      </c>
    </row>
    <row r="12" spans="1:21" x14ac:dyDescent="0.25">
      <c r="A12" s="88" t="s">
        <v>145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7">
        <f>VLOOKUP(A12,'3121% SY'!A:M,'3121% SY'!$M$1,FALSE)</f>
        <v>0.28620000000000001</v>
      </c>
      <c r="M12" s="161">
        <f t="shared" si="10"/>
        <v>0</v>
      </c>
      <c r="N12" s="33">
        <f t="shared" si="11"/>
        <v>0</v>
      </c>
      <c r="S12" s="161">
        <f t="shared" si="12"/>
        <v>0</v>
      </c>
      <c r="T12" s="33">
        <f t="shared" si="13"/>
        <v>0</v>
      </c>
    </row>
    <row r="13" spans="1:21" x14ac:dyDescent="0.25">
      <c r="A13" s="88" t="s">
        <v>146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7">
        <f>VLOOKUP(A13,'3121% SY'!A:M,'3121% SY'!$M$1,FALSE)</f>
        <v>0.25719999999999998</v>
      </c>
      <c r="M13" s="161">
        <f t="shared" si="10"/>
        <v>0</v>
      </c>
      <c r="N13" s="33">
        <f t="shared" si="11"/>
        <v>0</v>
      </c>
      <c r="S13" s="161">
        <f t="shared" si="12"/>
        <v>0</v>
      </c>
      <c r="T13" s="33">
        <f t="shared" si="13"/>
        <v>0</v>
      </c>
    </row>
    <row r="14" spans="1:21" x14ac:dyDescent="0.25">
      <c r="A14" s="88" t="s">
        <v>162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7">
        <f>VLOOKUP(A14,'3121% SY'!A:M,'3121% SY'!$M$1,FALSE)</f>
        <v>0.19820000000000004</v>
      </c>
      <c r="M14" s="161">
        <f t="shared" si="10"/>
        <v>0</v>
      </c>
      <c r="N14" s="33">
        <f t="shared" si="11"/>
        <v>0</v>
      </c>
      <c r="S14" s="161">
        <f t="shared" si="12"/>
        <v>0</v>
      </c>
      <c r="T14" s="33">
        <f t="shared" si="13"/>
        <v>0</v>
      </c>
    </row>
    <row r="15" spans="1:21" x14ac:dyDescent="0.25">
      <c r="A15" s="88" t="s">
        <v>163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7">
        <f>VLOOKUP(A15,'3121% SY'!A:M,'3121% SY'!$M$1,FALSE)</f>
        <v>0.20989999999999998</v>
      </c>
      <c r="M15" s="161">
        <f t="shared" si="10"/>
        <v>0</v>
      </c>
      <c r="N15" s="33">
        <f t="shared" si="11"/>
        <v>0</v>
      </c>
      <c r="S15" s="161">
        <f t="shared" si="12"/>
        <v>0</v>
      </c>
      <c r="T15" s="33">
        <f t="shared" si="13"/>
        <v>0</v>
      </c>
    </row>
    <row r="16" spans="1:21" x14ac:dyDescent="0.25">
      <c r="A16" s="88" t="s">
        <v>176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7">
        <f>VLOOKUP(A16,'3121% SY'!A:M,'3121% SY'!$M$1,FALSE)</f>
        <v>0.29900000000000004</v>
      </c>
      <c r="M16" s="161">
        <f t="shared" si="10"/>
        <v>0</v>
      </c>
      <c r="N16" s="33">
        <f t="shared" si="11"/>
        <v>0</v>
      </c>
      <c r="S16" s="161">
        <f t="shared" si="12"/>
        <v>0</v>
      </c>
      <c r="T16" s="33">
        <f t="shared" si="13"/>
        <v>0</v>
      </c>
    </row>
    <row r="17" spans="1:20" x14ac:dyDescent="0.25">
      <c r="A17" s="88" t="s">
        <v>233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7">
        <f>VLOOKUP(A17,'3121% SY'!A:M,'3121% SY'!$M$1,FALSE)</f>
        <v>0.20020000000000004</v>
      </c>
      <c r="M17" s="161">
        <f t="shared" si="10"/>
        <v>0</v>
      </c>
      <c r="N17" s="33">
        <f t="shared" si="11"/>
        <v>0</v>
      </c>
      <c r="S17" s="161">
        <f>ROUND(R17*$L17,3)</f>
        <v>0</v>
      </c>
      <c r="T17" s="33">
        <f t="shared" si="13"/>
        <v>0</v>
      </c>
    </row>
    <row r="18" spans="1:20" x14ac:dyDescent="0.25">
      <c r="A18" s="88" t="s">
        <v>250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7">
        <f>VLOOKUP(A18,'3121% SY'!A:M,'3121% SY'!$M$1,FALSE)</f>
        <v>0.15839999999999999</v>
      </c>
      <c r="M18" s="161">
        <f t="shared" si="10"/>
        <v>0</v>
      </c>
      <c r="N18" s="33">
        <f t="shared" si="11"/>
        <v>0</v>
      </c>
      <c r="S18" s="161">
        <f t="shared" si="12"/>
        <v>0</v>
      </c>
      <c r="T18" s="33">
        <f t="shared" si="13"/>
        <v>0</v>
      </c>
    </row>
    <row r="19" spans="1:20" x14ac:dyDescent="0.25">
      <c r="A19" s="88" t="s">
        <v>256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7">
        <f>VLOOKUP(A19,'3121% SY'!A:M,'3121% SY'!$M$1,FALSE)</f>
        <v>0.23140000000000005</v>
      </c>
      <c r="M19" s="161">
        <f t="shared" si="10"/>
        <v>0</v>
      </c>
      <c r="N19" s="33">
        <f t="shared" si="11"/>
        <v>0</v>
      </c>
      <c r="S19" s="161">
        <f t="shared" si="12"/>
        <v>0</v>
      </c>
      <c r="T19" s="33">
        <f t="shared" si="13"/>
        <v>0</v>
      </c>
    </row>
    <row r="20" spans="1:20" x14ac:dyDescent="0.25">
      <c r="A20" s="88" t="s">
        <v>259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7">
        <f>VLOOKUP(A20,'3121% SY'!A:M,'3121% SY'!$M$1,FALSE)</f>
        <v>0.24870000000000003</v>
      </c>
      <c r="M20" s="161">
        <f t="shared" si="10"/>
        <v>0</v>
      </c>
      <c r="N20" s="33">
        <f t="shared" si="11"/>
        <v>0</v>
      </c>
      <c r="S20" s="161">
        <f t="shared" si="12"/>
        <v>0</v>
      </c>
      <c r="T20" s="33">
        <f t="shared" si="13"/>
        <v>0</v>
      </c>
    </row>
    <row r="21" spans="1:20" x14ac:dyDescent="0.25">
      <c r="A21" s="88" t="s">
        <v>280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7">
        <f>VLOOKUP(A21,'3121% SY'!A:M,'3121% SY'!$M$1,FALSE)</f>
        <v>0.18340000000000001</v>
      </c>
      <c r="M21" s="161">
        <f t="shared" si="10"/>
        <v>0</v>
      </c>
      <c r="N21" s="33">
        <f t="shared" si="11"/>
        <v>0</v>
      </c>
      <c r="S21" s="161">
        <f t="shared" si="12"/>
        <v>0</v>
      </c>
      <c r="T21" s="33">
        <f t="shared" si="13"/>
        <v>0</v>
      </c>
    </row>
    <row r="22" spans="1:20" x14ac:dyDescent="0.25">
      <c r="A22" s="88" t="s">
        <v>284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7">
        <f>VLOOKUP(A22,'3121% SY'!A:M,'3121% SY'!$M$1,FALSE)</f>
        <v>0.14729999999999999</v>
      </c>
      <c r="M22" s="161">
        <f t="shared" si="10"/>
        <v>0</v>
      </c>
      <c r="N22" s="33">
        <f t="shared" si="11"/>
        <v>0</v>
      </c>
      <c r="S22" s="161">
        <f t="shared" si="12"/>
        <v>0</v>
      </c>
      <c r="T22" s="33">
        <f t="shared" si="13"/>
        <v>0</v>
      </c>
    </row>
    <row r="23" spans="1:20" x14ac:dyDescent="0.25">
      <c r="A23" s="88" t="s">
        <v>289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7">
        <f>VLOOKUP(A23,'3121% SY'!A:M,'3121% SY'!$M$1,FALSE)</f>
        <v>0.19010000000000005</v>
      </c>
      <c r="M23" s="161">
        <f t="shared" si="10"/>
        <v>0</v>
      </c>
      <c r="N23" s="33">
        <f t="shared" si="11"/>
        <v>0</v>
      </c>
      <c r="S23" s="161">
        <f t="shared" si="12"/>
        <v>0</v>
      </c>
      <c r="T23" s="33">
        <f t="shared" si="13"/>
        <v>0</v>
      </c>
    </row>
    <row r="24" spans="1:20" x14ac:dyDescent="0.25">
      <c r="A24" s="88" t="s">
        <v>290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7">
        <f>VLOOKUP(A24,'3121% SY'!A:M,'3121% SY'!$M$1,FALSE)</f>
        <v>0.15839999999999999</v>
      </c>
      <c r="M24" s="161">
        <f t="shared" si="10"/>
        <v>0</v>
      </c>
      <c r="N24" s="33">
        <f t="shared" si="11"/>
        <v>0</v>
      </c>
      <c r="S24" s="161">
        <f t="shared" si="12"/>
        <v>0</v>
      </c>
      <c r="T24" s="33">
        <f t="shared" si="13"/>
        <v>0</v>
      </c>
    </row>
    <row r="25" spans="1:20" x14ac:dyDescent="0.25">
      <c r="A25" s="88" t="s">
        <v>302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7">
        <f>VLOOKUP(A25,'3121% SY'!A:M,'3121% SY'!$M$1,FALSE)</f>
        <v>0.21989999999999998</v>
      </c>
      <c r="M25" s="161">
        <f t="shared" si="10"/>
        <v>0</v>
      </c>
      <c r="N25" s="33">
        <f t="shared" si="11"/>
        <v>0</v>
      </c>
      <c r="S25" s="161">
        <f t="shared" si="12"/>
        <v>0</v>
      </c>
      <c r="T25" s="33">
        <f t="shared" si="13"/>
        <v>0</v>
      </c>
    </row>
    <row r="26" spans="1:20" x14ac:dyDescent="0.25">
      <c r="A26" s="88" t="s">
        <v>1098</v>
      </c>
      <c r="L26" s="7" t="e">
        <f>VLOOKUP(A26,'3121% SY'!A:M,'3121% SY'!$M$1,FALSE)</f>
        <v>#N/A</v>
      </c>
      <c r="M26" s="161" t="e">
        <f t="shared" si="10"/>
        <v>#N/A</v>
      </c>
      <c r="N26" s="33" t="e">
        <f t="shared" si="11"/>
        <v>#N/A</v>
      </c>
      <c r="S26" s="161" t="e">
        <f t="shared" si="12"/>
        <v>#N/A</v>
      </c>
      <c r="T26" s="33" t="e">
        <f t="shared" si="13"/>
        <v>#N/A</v>
      </c>
    </row>
    <row r="27" spans="1:20" x14ac:dyDescent="0.25">
      <c r="A27" s="88" t="s">
        <v>753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7" t="e">
        <f>VLOOKUP(A27,'3121% SY'!A:M,'3121% SY'!$M$1,FALSE)</f>
        <v>#N/A</v>
      </c>
      <c r="M27" s="161" t="e">
        <f t="shared" si="10"/>
        <v>#N/A</v>
      </c>
      <c r="N27" s="33" t="e">
        <f t="shared" si="11"/>
        <v>#N/A</v>
      </c>
      <c r="S27" s="161" t="e">
        <f t="shared" si="12"/>
        <v>#N/A</v>
      </c>
      <c r="T27" s="33" t="e">
        <f t="shared" si="13"/>
        <v>#N/A</v>
      </c>
    </row>
    <row r="28" spans="1:20" x14ac:dyDescent="0.25">
      <c r="L28" s="7" t="e">
        <f>VLOOKUP(A28,'3121% SY'!A:M,'3121% SY'!$M$1,FALSE)</f>
        <v>#N/A</v>
      </c>
      <c r="M28" s="161" t="e">
        <f t="shared" si="10"/>
        <v>#N/A</v>
      </c>
      <c r="N28" s="33" t="e">
        <f t="shared" si="11"/>
        <v>#N/A</v>
      </c>
      <c r="S28" s="161" t="e">
        <f t="shared" si="12"/>
        <v>#N/A</v>
      </c>
      <c r="T28" s="33" t="e">
        <f t="shared" si="13"/>
        <v>#N/A</v>
      </c>
    </row>
    <row r="29" spans="1:20" x14ac:dyDescent="0.25">
      <c r="L29" s="7" t="e">
        <f>VLOOKUP(A29,'3121% SY'!A:M,'3121% SY'!$M$1,FALSE)</f>
        <v>#N/A</v>
      </c>
      <c r="M29" s="161" t="e">
        <f t="shared" si="10"/>
        <v>#N/A</v>
      </c>
      <c r="N29" s="33" t="e">
        <f t="shared" si="11"/>
        <v>#N/A</v>
      </c>
      <c r="S29" s="161" t="e">
        <f t="shared" si="12"/>
        <v>#N/A</v>
      </c>
      <c r="T29" s="33" t="e">
        <f t="shared" si="13"/>
        <v>#N/A</v>
      </c>
    </row>
    <row r="30" spans="1:20" x14ac:dyDescent="0.25">
      <c r="L30" s="7" t="e">
        <f>VLOOKUP(A30,'3121% SY'!A:M,'3121% SY'!$M$1,FALSE)</f>
        <v>#N/A</v>
      </c>
      <c r="M30" s="161" t="e">
        <f t="shared" si="10"/>
        <v>#N/A</v>
      </c>
      <c r="N30" s="33" t="e">
        <f t="shared" si="11"/>
        <v>#N/A</v>
      </c>
      <c r="S30" s="161" t="e">
        <f t="shared" si="12"/>
        <v>#N/A</v>
      </c>
      <c r="T30" s="33" t="e">
        <f t="shared" si="13"/>
        <v>#N/A</v>
      </c>
    </row>
    <row r="31" spans="1:20" x14ac:dyDescent="0.25">
      <c r="L31" s="7" t="e">
        <f>VLOOKUP(A31,'3121% SY'!A:M,'3121% SY'!$M$1,FALSE)</f>
        <v>#N/A</v>
      </c>
      <c r="M31" s="161" t="e">
        <f t="shared" si="10"/>
        <v>#N/A</v>
      </c>
      <c r="N31" s="33" t="e">
        <f t="shared" si="11"/>
        <v>#N/A</v>
      </c>
      <c r="S31" s="161" t="e">
        <f t="shared" si="12"/>
        <v>#N/A</v>
      </c>
      <c r="T31" s="33" t="e">
        <f t="shared" si="13"/>
        <v>#N/A</v>
      </c>
    </row>
    <row r="32" spans="1:20" x14ac:dyDescent="0.25">
      <c r="L32" s="7" t="e">
        <f>VLOOKUP(A32,'3121% SY'!A:M,'3121% SY'!$M$1,FALSE)</f>
        <v>#N/A</v>
      </c>
      <c r="M32" s="161" t="e">
        <f t="shared" si="10"/>
        <v>#N/A</v>
      </c>
      <c r="N32" s="33" t="e">
        <f t="shared" si="11"/>
        <v>#N/A</v>
      </c>
      <c r="S32" s="161" t="e">
        <f t="shared" si="12"/>
        <v>#N/A</v>
      </c>
      <c r="T32" s="33" t="e">
        <f t="shared" si="13"/>
        <v>#N/A</v>
      </c>
    </row>
    <row r="33" spans="12:20" x14ac:dyDescent="0.25">
      <c r="L33" s="7" t="e">
        <f>VLOOKUP(A33,'3121% SY'!A:M,'3121% SY'!$M$1,FALSE)</f>
        <v>#N/A</v>
      </c>
      <c r="M33" s="161" t="e">
        <f t="shared" si="10"/>
        <v>#N/A</v>
      </c>
      <c r="N33" s="33" t="e">
        <f t="shared" si="11"/>
        <v>#N/A</v>
      </c>
      <c r="S33" s="161" t="e">
        <f t="shared" si="12"/>
        <v>#N/A</v>
      </c>
      <c r="T33" s="33" t="e">
        <f t="shared" si="13"/>
        <v>#N/A</v>
      </c>
    </row>
    <row r="34" spans="12:20" x14ac:dyDescent="0.25">
      <c r="L34" s="7" t="e">
        <f>VLOOKUP(A34,'3121% SY'!A:M,'3121% SY'!$M$1,FALSE)</f>
        <v>#N/A</v>
      </c>
      <c r="M34" s="161" t="e">
        <f t="shared" si="10"/>
        <v>#N/A</v>
      </c>
      <c r="N34" s="33" t="e">
        <f t="shared" si="11"/>
        <v>#N/A</v>
      </c>
      <c r="S34" s="161" t="e">
        <f t="shared" si="12"/>
        <v>#N/A</v>
      </c>
      <c r="T34" s="33" t="e">
        <f t="shared" si="13"/>
        <v>#N/A</v>
      </c>
    </row>
    <row r="35" spans="12:20" x14ac:dyDescent="0.25">
      <c r="L35" s="7" t="e">
        <f>VLOOKUP(A35,'3121% SY'!A:M,'3121% SY'!$M$1,FALSE)</f>
        <v>#N/A</v>
      </c>
      <c r="M35" s="161" t="e">
        <f t="shared" si="10"/>
        <v>#N/A</v>
      </c>
      <c r="N35" s="33" t="e">
        <f t="shared" si="11"/>
        <v>#N/A</v>
      </c>
      <c r="S35" s="161" t="e">
        <f t="shared" si="12"/>
        <v>#N/A</v>
      </c>
      <c r="T35" s="33" t="e">
        <f t="shared" si="13"/>
        <v>#N/A</v>
      </c>
    </row>
    <row r="36" spans="12:20" x14ac:dyDescent="0.25">
      <c r="L36" s="7" t="e">
        <f>VLOOKUP(A36,'3121% SY'!A:M,'3121% SY'!$M$1,FALSE)</f>
        <v>#N/A</v>
      </c>
      <c r="M36" s="161" t="e">
        <f t="shared" si="10"/>
        <v>#N/A</v>
      </c>
      <c r="N36" s="33" t="e">
        <f t="shared" si="11"/>
        <v>#N/A</v>
      </c>
      <c r="S36" s="161" t="e">
        <f t="shared" si="12"/>
        <v>#N/A</v>
      </c>
      <c r="T36" s="33" t="e">
        <f t="shared" si="13"/>
        <v>#N/A</v>
      </c>
    </row>
    <row r="37" spans="12:20" x14ac:dyDescent="0.25">
      <c r="L37" s="7" t="e">
        <f>VLOOKUP(A37,'3121% SY'!A:M,'3121% SY'!$M$1,FALSE)</f>
        <v>#N/A</v>
      </c>
      <c r="M37" s="161" t="e">
        <f t="shared" si="10"/>
        <v>#N/A</v>
      </c>
      <c r="N37" s="33" t="e">
        <f t="shared" si="11"/>
        <v>#N/A</v>
      </c>
      <c r="S37" s="161" t="e">
        <f t="shared" si="12"/>
        <v>#N/A</v>
      </c>
      <c r="T37" s="33" t="e">
        <f t="shared" si="13"/>
        <v>#N/A</v>
      </c>
    </row>
    <row r="38" spans="12:20" x14ac:dyDescent="0.25">
      <c r="L38" s="7" t="e">
        <f>VLOOKUP(A38,'3121% SY'!A:M,'3121% SY'!$M$1,FALSE)</f>
        <v>#N/A</v>
      </c>
      <c r="M38" s="161" t="e">
        <f t="shared" si="10"/>
        <v>#N/A</v>
      </c>
      <c r="N38" s="33" t="e">
        <f t="shared" si="11"/>
        <v>#N/A</v>
      </c>
      <c r="S38" s="161" t="e">
        <f t="shared" si="12"/>
        <v>#N/A</v>
      </c>
      <c r="T38" s="33" t="e">
        <f t="shared" si="13"/>
        <v>#N/A</v>
      </c>
    </row>
    <row r="39" spans="12:20" x14ac:dyDescent="0.25">
      <c r="L39" s="7" t="e">
        <f>VLOOKUP(A39,'3121% SY'!A:M,'3121% SY'!$M$1,FALSE)</f>
        <v>#N/A</v>
      </c>
      <c r="M39" s="161" t="e">
        <f t="shared" si="10"/>
        <v>#N/A</v>
      </c>
      <c r="N39" s="33" t="e">
        <f t="shared" si="11"/>
        <v>#N/A</v>
      </c>
      <c r="S39" s="161" t="e">
        <f t="shared" si="12"/>
        <v>#N/A</v>
      </c>
      <c r="T39" s="33" t="e">
        <f t="shared" si="13"/>
        <v>#N/A</v>
      </c>
    </row>
    <row r="40" spans="12:20" x14ac:dyDescent="0.25">
      <c r="L40" s="7" t="e">
        <f>VLOOKUP(A40,'3121% SY'!A:M,'3121% SY'!$M$1,FALSE)</f>
        <v>#N/A</v>
      </c>
      <c r="M40" s="161" t="e">
        <f t="shared" si="10"/>
        <v>#N/A</v>
      </c>
      <c r="N40" s="33" t="e">
        <f t="shared" si="11"/>
        <v>#N/A</v>
      </c>
      <c r="S40" s="161" t="e">
        <f t="shared" si="12"/>
        <v>#N/A</v>
      </c>
      <c r="T40" s="33" t="e">
        <f t="shared" si="13"/>
        <v>#N/A</v>
      </c>
    </row>
    <row r="41" spans="12:20" x14ac:dyDescent="0.25">
      <c r="L41" s="7" t="e">
        <f>VLOOKUP(A41,'3121% SY'!A:M,'3121% SY'!$M$1,FALSE)</f>
        <v>#N/A</v>
      </c>
      <c r="M41" s="161" t="e">
        <f t="shared" si="10"/>
        <v>#N/A</v>
      </c>
      <c r="N41" s="33" t="e">
        <f t="shared" si="11"/>
        <v>#N/A</v>
      </c>
      <c r="S41" s="161" t="e">
        <f t="shared" si="12"/>
        <v>#N/A</v>
      </c>
      <c r="T41" s="33" t="e">
        <f t="shared" si="13"/>
        <v>#N/A</v>
      </c>
    </row>
    <row r="42" spans="12:20" x14ac:dyDescent="0.25">
      <c r="L42" s="7" t="e">
        <f>VLOOKUP(A42,'3121% SY'!A:M,'3121% SY'!$M$1,FALSE)</f>
        <v>#N/A</v>
      </c>
      <c r="M42" s="161" t="e">
        <f t="shared" si="10"/>
        <v>#N/A</v>
      </c>
      <c r="N42" s="33" t="e">
        <f t="shared" si="11"/>
        <v>#N/A</v>
      </c>
      <c r="S42" s="161" t="e">
        <f t="shared" si="12"/>
        <v>#N/A</v>
      </c>
      <c r="T42" s="33" t="e">
        <f t="shared" si="13"/>
        <v>#N/A</v>
      </c>
    </row>
    <row r="43" spans="12:20" x14ac:dyDescent="0.25">
      <c r="L43" s="7" t="e">
        <f>VLOOKUP(A43,'3121% SY'!A:M,'3121% SY'!$M$1,FALSE)</f>
        <v>#N/A</v>
      </c>
      <c r="M43" s="161" t="e">
        <f t="shared" si="10"/>
        <v>#N/A</v>
      </c>
      <c r="N43" s="33" t="e">
        <f t="shared" si="11"/>
        <v>#N/A</v>
      </c>
      <c r="S43" s="161" t="e">
        <f t="shared" si="12"/>
        <v>#N/A</v>
      </c>
      <c r="T43" s="33" t="e">
        <f t="shared" si="13"/>
        <v>#N/A</v>
      </c>
    </row>
    <row r="44" spans="12:20" x14ac:dyDescent="0.25">
      <c r="L44" s="7" t="e">
        <f>VLOOKUP(A44,'3121% SY'!A:M,'3121% SY'!$M$1,FALSE)</f>
        <v>#N/A</v>
      </c>
      <c r="M44" s="161" t="e">
        <f t="shared" si="10"/>
        <v>#N/A</v>
      </c>
      <c r="N44" s="33" t="e">
        <f t="shared" si="11"/>
        <v>#N/A</v>
      </c>
      <c r="S44" s="161" t="e">
        <f t="shared" si="12"/>
        <v>#N/A</v>
      </c>
      <c r="T44" s="33" t="e">
        <f t="shared" si="13"/>
        <v>#N/A</v>
      </c>
    </row>
    <row r="45" spans="12:20" x14ac:dyDescent="0.25">
      <c r="L45" s="7" t="e">
        <f>VLOOKUP(A45,'3121% SY'!A:M,'3121% SY'!$M$1,FALSE)</f>
        <v>#N/A</v>
      </c>
      <c r="M45" s="161" t="e">
        <f t="shared" si="10"/>
        <v>#N/A</v>
      </c>
      <c r="N45" s="33" t="e">
        <f t="shared" si="11"/>
        <v>#N/A</v>
      </c>
      <c r="S45" s="161" t="e">
        <f t="shared" si="12"/>
        <v>#N/A</v>
      </c>
      <c r="T45" s="33" t="e">
        <f t="shared" si="13"/>
        <v>#N/A</v>
      </c>
    </row>
    <row r="46" spans="12:20" x14ac:dyDescent="0.25">
      <c r="L46" s="7" t="e">
        <f>VLOOKUP(A46,'3121% SY'!A:M,'3121% SY'!$M$1,FALSE)</f>
        <v>#N/A</v>
      </c>
      <c r="M46" s="161" t="e">
        <f t="shared" si="10"/>
        <v>#N/A</v>
      </c>
      <c r="N46" s="33" t="e">
        <f t="shared" si="11"/>
        <v>#N/A</v>
      </c>
      <c r="S46" s="161" t="e">
        <f t="shared" si="12"/>
        <v>#N/A</v>
      </c>
      <c r="T46" s="33" t="e">
        <f t="shared" si="13"/>
        <v>#N/A</v>
      </c>
    </row>
    <row r="47" spans="12:20" x14ac:dyDescent="0.25">
      <c r="L47" s="7" t="e">
        <f>VLOOKUP(A47,'3121% SY'!A:M,'3121% SY'!$M$1,FALSE)</f>
        <v>#N/A</v>
      </c>
      <c r="M47" s="161" t="e">
        <f t="shared" si="10"/>
        <v>#N/A</v>
      </c>
      <c r="N47" s="33" t="e">
        <f t="shared" si="11"/>
        <v>#N/A</v>
      </c>
      <c r="S47" s="161" t="e">
        <f t="shared" si="12"/>
        <v>#N/A</v>
      </c>
      <c r="T47" s="33" t="e">
        <f t="shared" si="13"/>
        <v>#N/A</v>
      </c>
    </row>
    <row r="48" spans="12:20" x14ac:dyDescent="0.25">
      <c r="L48" s="7" t="e">
        <f>VLOOKUP(A48,'3121% SY'!A:M,'3121% SY'!$M$1,FALSE)</f>
        <v>#N/A</v>
      </c>
      <c r="M48" s="161" t="e">
        <f t="shared" si="10"/>
        <v>#N/A</v>
      </c>
      <c r="N48" s="33" t="e">
        <f t="shared" si="11"/>
        <v>#N/A</v>
      </c>
      <c r="S48" s="161" t="e">
        <f t="shared" si="12"/>
        <v>#N/A</v>
      </c>
      <c r="T48" s="33" t="e">
        <f t="shared" si="13"/>
        <v>#N/A</v>
      </c>
    </row>
    <row r="49" spans="12:20" x14ac:dyDescent="0.25">
      <c r="L49" s="7" t="e">
        <f>VLOOKUP(A49,'3121% SY'!A:M,'3121% SY'!$M$1,FALSE)</f>
        <v>#N/A</v>
      </c>
      <c r="M49" s="161" t="e">
        <f t="shared" si="10"/>
        <v>#N/A</v>
      </c>
      <c r="N49" s="33" t="e">
        <f t="shared" si="11"/>
        <v>#N/A</v>
      </c>
      <c r="S49" s="161" t="e">
        <f t="shared" si="12"/>
        <v>#N/A</v>
      </c>
      <c r="T49" s="33" t="e">
        <f t="shared" si="13"/>
        <v>#N/A</v>
      </c>
    </row>
    <row r="50" spans="12:20" x14ac:dyDescent="0.25">
      <c r="L50" s="7" t="e">
        <f>VLOOKUP(A50,'3121% SY'!A:M,'3121% SY'!$M$1,FALSE)</f>
        <v>#N/A</v>
      </c>
      <c r="M50" s="161" t="e">
        <f t="shared" si="10"/>
        <v>#N/A</v>
      </c>
      <c r="N50" s="33" t="e">
        <f t="shared" si="11"/>
        <v>#N/A</v>
      </c>
      <c r="S50" s="161" t="e">
        <f t="shared" si="12"/>
        <v>#N/A</v>
      </c>
      <c r="T50" s="33" t="e">
        <f t="shared" si="13"/>
        <v>#N/A</v>
      </c>
    </row>
    <row r="51" spans="12:20" x14ac:dyDescent="0.25">
      <c r="L51" s="7" t="e">
        <f>VLOOKUP(A51,'3121% SY'!A:M,'3121% SY'!$M$1,FALSE)</f>
        <v>#N/A</v>
      </c>
      <c r="M51" s="161" t="e">
        <f t="shared" si="10"/>
        <v>#N/A</v>
      </c>
      <c r="N51" s="33" t="e">
        <f t="shared" si="11"/>
        <v>#N/A</v>
      </c>
      <c r="S51" s="161" t="e">
        <f t="shared" si="12"/>
        <v>#N/A</v>
      </c>
      <c r="T51" s="33" t="e">
        <f t="shared" si="13"/>
        <v>#N/A</v>
      </c>
    </row>
    <row r="52" spans="12:20" x14ac:dyDescent="0.25">
      <c r="L52" s="7" t="e">
        <f>VLOOKUP(A52,'3121% SY'!A:M,'3121% SY'!$M$1,FALSE)</f>
        <v>#N/A</v>
      </c>
      <c r="M52" s="161" t="e">
        <f t="shared" si="10"/>
        <v>#N/A</v>
      </c>
      <c r="N52" s="33" t="e">
        <f t="shared" si="11"/>
        <v>#N/A</v>
      </c>
      <c r="S52" s="161" t="e">
        <f t="shared" si="12"/>
        <v>#N/A</v>
      </c>
      <c r="T52" s="33" t="e">
        <f t="shared" si="13"/>
        <v>#N/A</v>
      </c>
    </row>
    <row r="53" spans="12:20" x14ac:dyDescent="0.25">
      <c r="L53" s="7" t="e">
        <f>VLOOKUP(A53,'3121% SY'!A:M,'3121% SY'!$M$1,FALSE)</f>
        <v>#N/A</v>
      </c>
      <c r="M53" s="161" t="e">
        <f t="shared" si="10"/>
        <v>#N/A</v>
      </c>
      <c r="N53" s="33" t="e">
        <f t="shared" si="11"/>
        <v>#N/A</v>
      </c>
      <c r="S53" s="161" t="e">
        <f t="shared" si="12"/>
        <v>#N/A</v>
      </c>
      <c r="T53" s="33" t="e">
        <f t="shared" si="13"/>
        <v>#N/A</v>
      </c>
    </row>
    <row r="54" spans="12:20" x14ac:dyDescent="0.25">
      <c r="L54" s="7" t="e">
        <f>VLOOKUP(A54,'3121% SY'!A:M,'3121% SY'!$M$1,FALSE)</f>
        <v>#N/A</v>
      </c>
      <c r="M54" s="161" t="e">
        <f t="shared" si="10"/>
        <v>#N/A</v>
      </c>
      <c r="N54" s="33" t="e">
        <f t="shared" si="11"/>
        <v>#N/A</v>
      </c>
      <c r="S54" s="161" t="e">
        <f t="shared" si="12"/>
        <v>#N/A</v>
      </c>
      <c r="T54" s="33" t="e">
        <f t="shared" si="13"/>
        <v>#N/A</v>
      </c>
    </row>
    <row r="55" spans="12:20" x14ac:dyDescent="0.25">
      <c r="L55" s="7" t="e">
        <f>VLOOKUP(A55,'3121% SY'!A:M,'3121% SY'!$M$1,FALSE)</f>
        <v>#N/A</v>
      </c>
      <c r="M55" s="161" t="e">
        <f t="shared" si="10"/>
        <v>#N/A</v>
      </c>
      <c r="N55" s="33" t="e">
        <f t="shared" si="11"/>
        <v>#N/A</v>
      </c>
      <c r="S55" s="161" t="e">
        <f t="shared" si="12"/>
        <v>#N/A</v>
      </c>
      <c r="T55" s="33" t="e">
        <f t="shared" si="13"/>
        <v>#N/A</v>
      </c>
    </row>
    <row r="56" spans="12:20" x14ac:dyDescent="0.25">
      <c r="L56" s="7" t="e">
        <f>VLOOKUP(A56,'3121% SY'!A:M,'3121% SY'!$M$1,FALSE)</f>
        <v>#N/A</v>
      </c>
      <c r="M56" s="161" t="e">
        <f t="shared" si="10"/>
        <v>#N/A</v>
      </c>
      <c r="N56" s="33" t="e">
        <f t="shared" si="11"/>
        <v>#N/A</v>
      </c>
      <c r="S56" s="161" t="e">
        <f t="shared" si="12"/>
        <v>#N/A</v>
      </c>
      <c r="T56" s="33" t="e">
        <f t="shared" si="13"/>
        <v>#N/A</v>
      </c>
    </row>
    <row r="57" spans="12:20" x14ac:dyDescent="0.25">
      <c r="L57" s="7" t="e">
        <f>VLOOKUP(A57,'3121% SY'!A:M,'3121% SY'!$M$1,FALSE)</f>
        <v>#N/A</v>
      </c>
      <c r="M57" s="161" t="e">
        <f t="shared" si="10"/>
        <v>#N/A</v>
      </c>
      <c r="N57" s="33" t="e">
        <f t="shared" si="11"/>
        <v>#N/A</v>
      </c>
      <c r="S57" s="161" t="e">
        <f t="shared" si="12"/>
        <v>#N/A</v>
      </c>
      <c r="T57" s="33" t="e">
        <f t="shared" si="13"/>
        <v>#N/A</v>
      </c>
    </row>
    <row r="58" spans="12:20" x14ac:dyDescent="0.25">
      <c r="L58" s="7" t="e">
        <f>VLOOKUP(A58,'3121% SY'!A:M,'3121% SY'!$M$1,FALSE)</f>
        <v>#N/A</v>
      </c>
      <c r="M58" s="161" t="e">
        <f t="shared" si="10"/>
        <v>#N/A</v>
      </c>
      <c r="N58" s="33" t="e">
        <f t="shared" si="11"/>
        <v>#N/A</v>
      </c>
      <c r="S58" s="161" t="e">
        <f t="shared" si="12"/>
        <v>#N/A</v>
      </c>
      <c r="T58" s="33" t="e">
        <f t="shared" si="13"/>
        <v>#N/A</v>
      </c>
    </row>
    <row r="59" spans="12:20" x14ac:dyDescent="0.25">
      <c r="L59" s="7" t="e">
        <f>VLOOKUP(A59,'3121% SY'!A:M,'3121% SY'!$M$1,FALSE)</f>
        <v>#N/A</v>
      </c>
      <c r="M59" s="161" t="e">
        <f t="shared" si="10"/>
        <v>#N/A</v>
      </c>
      <c r="N59" s="33" t="e">
        <f t="shared" si="11"/>
        <v>#N/A</v>
      </c>
      <c r="S59" s="161" t="e">
        <f t="shared" si="12"/>
        <v>#N/A</v>
      </c>
      <c r="T59" s="33" t="e">
        <f t="shared" si="13"/>
        <v>#N/A</v>
      </c>
    </row>
    <row r="60" spans="12:20" x14ac:dyDescent="0.25">
      <c r="L60" s="7" t="e">
        <f>VLOOKUP(A60,'3121% SY'!A:M,'3121% SY'!$M$1,FALSE)</f>
        <v>#N/A</v>
      </c>
      <c r="M60" s="161" t="e">
        <f t="shared" si="10"/>
        <v>#N/A</v>
      </c>
      <c r="N60" s="33" t="e">
        <f t="shared" si="11"/>
        <v>#N/A</v>
      </c>
      <c r="S60" s="161" t="e">
        <f t="shared" si="12"/>
        <v>#N/A</v>
      </c>
      <c r="T60" s="33" t="e">
        <f t="shared" si="13"/>
        <v>#N/A</v>
      </c>
    </row>
    <row r="61" spans="12:20" x14ac:dyDescent="0.25">
      <c r="L61" s="7" t="e">
        <f>VLOOKUP(A61,'3121% SY'!A:M,'3121% SY'!$M$1,FALSE)</f>
        <v>#N/A</v>
      </c>
      <c r="M61" s="161" t="e">
        <f t="shared" si="10"/>
        <v>#N/A</v>
      </c>
      <c r="N61" s="33" t="e">
        <f t="shared" si="11"/>
        <v>#N/A</v>
      </c>
      <c r="S61" s="161" t="e">
        <f t="shared" si="12"/>
        <v>#N/A</v>
      </c>
      <c r="T61" s="33" t="e">
        <f t="shared" si="13"/>
        <v>#N/A</v>
      </c>
    </row>
    <row r="62" spans="12:20" x14ac:dyDescent="0.25">
      <c r="L62" s="7" t="e">
        <f>VLOOKUP(A62,'3121% SY'!A:M,'3121% SY'!$M$1,FALSE)</f>
        <v>#N/A</v>
      </c>
      <c r="M62" s="161" t="e">
        <f t="shared" si="10"/>
        <v>#N/A</v>
      </c>
      <c r="N62" s="33" t="e">
        <f t="shared" si="11"/>
        <v>#N/A</v>
      </c>
      <c r="S62" s="161" t="e">
        <f t="shared" si="12"/>
        <v>#N/A</v>
      </c>
      <c r="T62" s="33" t="e">
        <f t="shared" si="13"/>
        <v>#N/A</v>
      </c>
    </row>
    <row r="63" spans="12:20" x14ac:dyDescent="0.25">
      <c r="L63" s="7" t="e">
        <f>VLOOKUP(A63,'3121% SY'!A:M,'3121% SY'!$M$1,FALSE)</f>
        <v>#N/A</v>
      </c>
      <c r="M63" s="161" t="e">
        <f t="shared" si="10"/>
        <v>#N/A</v>
      </c>
      <c r="N63" s="33" t="e">
        <f t="shared" si="11"/>
        <v>#N/A</v>
      </c>
      <c r="S63" s="161" t="e">
        <f t="shared" si="12"/>
        <v>#N/A</v>
      </c>
      <c r="T63" s="33" t="e">
        <f t="shared" si="13"/>
        <v>#N/A</v>
      </c>
    </row>
    <row r="64" spans="12:20" x14ac:dyDescent="0.25">
      <c r="L64" s="7" t="e">
        <f>VLOOKUP(A64,'3121% SY'!A:M,'3121% SY'!$M$1,FALSE)</f>
        <v>#N/A</v>
      </c>
      <c r="M64" s="161" t="e">
        <f t="shared" si="10"/>
        <v>#N/A</v>
      </c>
      <c r="N64" s="33" t="e">
        <f t="shared" si="11"/>
        <v>#N/A</v>
      </c>
      <c r="S64" s="161" t="e">
        <f t="shared" si="12"/>
        <v>#N/A</v>
      </c>
      <c r="T64" s="33" t="e">
        <f t="shared" si="13"/>
        <v>#N/A</v>
      </c>
    </row>
    <row r="65" spans="12:20" x14ac:dyDescent="0.25">
      <c r="L65" s="7" t="e">
        <f>VLOOKUP(A65,'3121% SY'!A:M,'3121% SY'!$M$1,FALSE)</f>
        <v>#N/A</v>
      </c>
      <c r="M65" s="161" t="e">
        <f t="shared" si="10"/>
        <v>#N/A</v>
      </c>
      <c r="N65" s="33" t="e">
        <f t="shared" si="11"/>
        <v>#N/A</v>
      </c>
      <c r="S65" s="161" t="e">
        <f t="shared" si="12"/>
        <v>#N/A</v>
      </c>
      <c r="T65" s="33" t="e">
        <f t="shared" si="13"/>
        <v>#N/A</v>
      </c>
    </row>
    <row r="66" spans="12:20" x14ac:dyDescent="0.25">
      <c r="L66" s="7" t="e">
        <f>VLOOKUP(A66,'3121% SY'!A:M,'3121% SY'!$M$1,FALSE)</f>
        <v>#N/A</v>
      </c>
      <c r="M66" s="161" t="e">
        <f t="shared" si="10"/>
        <v>#N/A</v>
      </c>
      <c r="N66" s="33" t="e">
        <f t="shared" si="11"/>
        <v>#N/A</v>
      </c>
      <c r="S66" s="161" t="e">
        <f t="shared" si="12"/>
        <v>#N/A</v>
      </c>
      <c r="T66" s="33" t="e">
        <f t="shared" si="13"/>
        <v>#N/A</v>
      </c>
    </row>
    <row r="67" spans="12:20" x14ac:dyDescent="0.25">
      <c r="L67" s="7" t="e">
        <f>VLOOKUP(A67,'3121% SY'!A:M,'3121% SY'!$M$1,FALSE)</f>
        <v>#N/A</v>
      </c>
      <c r="M67" s="161" t="e">
        <f t="shared" si="10"/>
        <v>#N/A</v>
      </c>
      <c r="N67" s="33" t="e">
        <f t="shared" si="11"/>
        <v>#N/A</v>
      </c>
      <c r="S67" s="161" t="e">
        <f t="shared" si="12"/>
        <v>#N/A</v>
      </c>
      <c r="T67" s="33" t="e">
        <f t="shared" si="13"/>
        <v>#N/A</v>
      </c>
    </row>
    <row r="68" spans="12:20" x14ac:dyDescent="0.25">
      <c r="L68" s="7" t="e">
        <f>VLOOKUP(A68,'3121% SY'!A:M,'3121% SY'!$M$1,FALSE)</f>
        <v>#N/A</v>
      </c>
      <c r="M68" s="161" t="e">
        <f t="shared" si="10"/>
        <v>#N/A</v>
      </c>
      <c r="N68" s="33" t="e">
        <f t="shared" si="11"/>
        <v>#N/A</v>
      </c>
      <c r="S68" s="161" t="e">
        <f t="shared" si="12"/>
        <v>#N/A</v>
      </c>
      <c r="T68" s="33" t="e">
        <f t="shared" si="13"/>
        <v>#N/A</v>
      </c>
    </row>
    <row r="69" spans="12:20" x14ac:dyDescent="0.25">
      <c r="L69" s="7" t="e">
        <f>VLOOKUP(A69,'3121% SY'!A:M,'3121% SY'!$M$1,FALSE)</f>
        <v>#N/A</v>
      </c>
      <c r="M69" s="161" t="e">
        <f t="shared" ref="M69:M132" si="14">ROUND(I69*$L69,3)+ROUND(J69*$L69,3)+ROUND(K69*$L69,3)</f>
        <v>#N/A</v>
      </c>
      <c r="N69" s="33" t="e">
        <f t="shared" ref="N69:N132" si="15">SUM(M69,B69:H69)</f>
        <v>#N/A</v>
      </c>
      <c r="S69" s="161" t="e">
        <f t="shared" ref="S69:S122" si="16">ROUND(R69*$L69,3)</f>
        <v>#N/A</v>
      </c>
      <c r="T69" s="33" t="e">
        <f t="shared" ref="T69:T122" si="17">SUM(S69,O69:Q69)</f>
        <v>#N/A</v>
      </c>
    </row>
    <row r="70" spans="12:20" x14ac:dyDescent="0.25">
      <c r="L70" s="7" t="e">
        <f>VLOOKUP(A70,'3121% SY'!A:M,'3121% SY'!$M$1,FALSE)</f>
        <v>#N/A</v>
      </c>
      <c r="M70" s="161" t="e">
        <f t="shared" si="14"/>
        <v>#N/A</v>
      </c>
      <c r="N70" s="33" t="e">
        <f t="shared" si="15"/>
        <v>#N/A</v>
      </c>
      <c r="S70" s="161" t="e">
        <f t="shared" si="16"/>
        <v>#N/A</v>
      </c>
      <c r="T70" s="33" t="e">
        <f t="shared" si="17"/>
        <v>#N/A</v>
      </c>
    </row>
    <row r="71" spans="12:20" x14ac:dyDescent="0.25">
      <c r="L71" s="7" t="e">
        <f>VLOOKUP(A71,'3121% SY'!A:M,'3121% SY'!$M$1,FALSE)</f>
        <v>#N/A</v>
      </c>
      <c r="M71" s="161" t="e">
        <f t="shared" si="14"/>
        <v>#N/A</v>
      </c>
      <c r="N71" s="33" t="e">
        <f t="shared" si="15"/>
        <v>#N/A</v>
      </c>
      <c r="S71" s="161" t="e">
        <f t="shared" si="16"/>
        <v>#N/A</v>
      </c>
      <c r="T71" s="33" t="e">
        <f t="shared" si="17"/>
        <v>#N/A</v>
      </c>
    </row>
    <row r="72" spans="12:20" x14ac:dyDescent="0.25">
      <c r="L72" s="7" t="e">
        <f>VLOOKUP(A72,'3121% SY'!A:M,'3121% SY'!$M$1,FALSE)</f>
        <v>#N/A</v>
      </c>
      <c r="M72" s="161" t="e">
        <f t="shared" si="14"/>
        <v>#N/A</v>
      </c>
      <c r="N72" s="33" t="e">
        <f t="shared" si="15"/>
        <v>#N/A</v>
      </c>
      <c r="S72" s="161" t="e">
        <f t="shared" si="16"/>
        <v>#N/A</v>
      </c>
      <c r="T72" s="33" t="e">
        <f t="shared" si="17"/>
        <v>#N/A</v>
      </c>
    </row>
    <row r="73" spans="12:20" x14ac:dyDescent="0.25">
      <c r="L73" s="7" t="e">
        <f>VLOOKUP(A73,'3121% SY'!A:M,'3121% SY'!$M$1,FALSE)</f>
        <v>#N/A</v>
      </c>
      <c r="M73" s="161" t="e">
        <f t="shared" si="14"/>
        <v>#N/A</v>
      </c>
      <c r="N73" s="33" t="e">
        <f t="shared" si="15"/>
        <v>#N/A</v>
      </c>
      <c r="S73" s="161" t="e">
        <f t="shared" si="16"/>
        <v>#N/A</v>
      </c>
      <c r="T73" s="33" t="e">
        <f t="shared" si="17"/>
        <v>#N/A</v>
      </c>
    </row>
    <row r="74" spans="12:20" x14ac:dyDescent="0.25">
      <c r="L74" s="7" t="e">
        <f>VLOOKUP(A74,'3121% SY'!A:M,'3121% SY'!$M$1,FALSE)</f>
        <v>#N/A</v>
      </c>
      <c r="M74" s="161" t="e">
        <f t="shared" si="14"/>
        <v>#N/A</v>
      </c>
      <c r="N74" s="33" t="e">
        <f t="shared" si="15"/>
        <v>#N/A</v>
      </c>
      <c r="S74" s="161" t="e">
        <f t="shared" si="16"/>
        <v>#N/A</v>
      </c>
      <c r="T74" s="33" t="e">
        <f t="shared" si="17"/>
        <v>#N/A</v>
      </c>
    </row>
    <row r="75" spans="12:20" x14ac:dyDescent="0.25">
      <c r="L75" s="7" t="e">
        <f>VLOOKUP(A75,'3121% SY'!A:M,'3121% SY'!$M$1,FALSE)</f>
        <v>#N/A</v>
      </c>
      <c r="M75" s="161" t="e">
        <f t="shared" si="14"/>
        <v>#N/A</v>
      </c>
      <c r="N75" s="33" t="e">
        <f t="shared" si="15"/>
        <v>#N/A</v>
      </c>
      <c r="S75" s="161" t="e">
        <f t="shared" si="16"/>
        <v>#N/A</v>
      </c>
      <c r="T75" s="33" t="e">
        <f t="shared" si="17"/>
        <v>#N/A</v>
      </c>
    </row>
    <row r="76" spans="12:20" x14ac:dyDescent="0.25">
      <c r="L76" s="7" t="e">
        <f>VLOOKUP(A76,'3121% SY'!A:M,'3121% SY'!$M$1,FALSE)</f>
        <v>#N/A</v>
      </c>
      <c r="M76" s="161" t="e">
        <f t="shared" si="14"/>
        <v>#N/A</v>
      </c>
      <c r="N76" s="33" t="e">
        <f t="shared" si="15"/>
        <v>#N/A</v>
      </c>
      <c r="S76" s="161" t="e">
        <f t="shared" si="16"/>
        <v>#N/A</v>
      </c>
      <c r="T76" s="33" t="e">
        <f t="shared" si="17"/>
        <v>#N/A</v>
      </c>
    </row>
    <row r="77" spans="12:20" x14ac:dyDescent="0.25">
      <c r="L77" s="7" t="e">
        <f>VLOOKUP(A77,'3121% SY'!A:M,'3121% SY'!$M$1,FALSE)</f>
        <v>#N/A</v>
      </c>
      <c r="M77" s="161" t="e">
        <f t="shared" si="14"/>
        <v>#N/A</v>
      </c>
      <c r="N77" s="33" t="e">
        <f t="shared" si="15"/>
        <v>#N/A</v>
      </c>
      <c r="S77" s="161" t="e">
        <f t="shared" si="16"/>
        <v>#N/A</v>
      </c>
      <c r="T77" s="33" t="e">
        <f t="shared" si="17"/>
        <v>#N/A</v>
      </c>
    </row>
    <row r="78" spans="12:20" x14ac:dyDescent="0.25">
      <c r="L78" s="7" t="e">
        <f>VLOOKUP(A78,'3121% SY'!A:M,'3121% SY'!$M$1,FALSE)</f>
        <v>#N/A</v>
      </c>
      <c r="M78" s="161" t="e">
        <f t="shared" si="14"/>
        <v>#N/A</v>
      </c>
      <c r="N78" s="33" t="e">
        <f t="shared" si="15"/>
        <v>#N/A</v>
      </c>
      <c r="S78" s="161" t="e">
        <f t="shared" si="16"/>
        <v>#N/A</v>
      </c>
      <c r="T78" s="33" t="e">
        <f t="shared" si="17"/>
        <v>#N/A</v>
      </c>
    </row>
    <row r="79" spans="12:20" x14ac:dyDescent="0.25">
      <c r="L79" s="7" t="e">
        <f>VLOOKUP(A79,'3121% SY'!A:M,'3121% SY'!$M$1,FALSE)</f>
        <v>#N/A</v>
      </c>
      <c r="M79" s="161" t="e">
        <f t="shared" si="14"/>
        <v>#N/A</v>
      </c>
      <c r="N79" s="33" t="e">
        <f t="shared" si="15"/>
        <v>#N/A</v>
      </c>
      <c r="S79" s="161" t="e">
        <f t="shared" si="16"/>
        <v>#N/A</v>
      </c>
      <c r="T79" s="33" t="e">
        <f t="shared" si="17"/>
        <v>#N/A</v>
      </c>
    </row>
    <row r="80" spans="12:20" x14ac:dyDescent="0.25">
      <c r="L80" s="7" t="e">
        <f>VLOOKUP(A80,'3121% SY'!A:M,'3121% SY'!$M$1,FALSE)</f>
        <v>#N/A</v>
      </c>
      <c r="M80" s="161" t="e">
        <f t="shared" si="14"/>
        <v>#N/A</v>
      </c>
      <c r="N80" s="33" t="e">
        <f t="shared" si="15"/>
        <v>#N/A</v>
      </c>
      <c r="S80" s="161" t="e">
        <f t="shared" si="16"/>
        <v>#N/A</v>
      </c>
      <c r="T80" s="33" t="e">
        <f t="shared" si="17"/>
        <v>#N/A</v>
      </c>
    </row>
    <row r="81" spans="12:20" x14ac:dyDescent="0.25">
      <c r="L81" s="7" t="e">
        <f>VLOOKUP(A81,'3121% SY'!A:M,'3121% SY'!$M$1,FALSE)</f>
        <v>#N/A</v>
      </c>
      <c r="M81" s="161" t="e">
        <f t="shared" si="14"/>
        <v>#N/A</v>
      </c>
      <c r="N81" s="33" t="e">
        <f t="shared" si="15"/>
        <v>#N/A</v>
      </c>
      <c r="S81" s="161" t="e">
        <f t="shared" si="16"/>
        <v>#N/A</v>
      </c>
      <c r="T81" s="33" t="e">
        <f t="shared" si="17"/>
        <v>#N/A</v>
      </c>
    </row>
    <row r="82" spans="12:20" x14ac:dyDescent="0.25">
      <c r="L82" s="7" t="e">
        <f>VLOOKUP(A82,'3121% SY'!A:M,'3121% SY'!$M$1,FALSE)</f>
        <v>#N/A</v>
      </c>
      <c r="M82" s="161" t="e">
        <f t="shared" si="14"/>
        <v>#N/A</v>
      </c>
      <c r="N82" s="33" t="e">
        <f t="shared" si="15"/>
        <v>#N/A</v>
      </c>
      <c r="S82" s="161" t="e">
        <f t="shared" si="16"/>
        <v>#N/A</v>
      </c>
      <c r="T82" s="33" t="e">
        <f t="shared" si="17"/>
        <v>#N/A</v>
      </c>
    </row>
    <row r="83" spans="12:20" x14ac:dyDescent="0.25">
      <c r="L83" s="7" t="e">
        <f>VLOOKUP(A83,'3121% SY'!A:M,'3121% SY'!$M$1,FALSE)</f>
        <v>#N/A</v>
      </c>
      <c r="M83" s="161" t="e">
        <f t="shared" si="14"/>
        <v>#N/A</v>
      </c>
      <c r="N83" s="33" t="e">
        <f t="shared" si="15"/>
        <v>#N/A</v>
      </c>
      <c r="S83" s="161" t="e">
        <f t="shared" si="16"/>
        <v>#N/A</v>
      </c>
      <c r="T83" s="33" t="e">
        <f t="shared" si="17"/>
        <v>#N/A</v>
      </c>
    </row>
    <row r="84" spans="12:20" x14ac:dyDescent="0.25">
      <c r="L84" s="7" t="e">
        <f>VLOOKUP(A84,'3121% SY'!A:M,'3121% SY'!$M$1,FALSE)</f>
        <v>#N/A</v>
      </c>
      <c r="M84" s="161" t="e">
        <f t="shared" si="14"/>
        <v>#N/A</v>
      </c>
      <c r="N84" s="33" t="e">
        <f t="shared" si="15"/>
        <v>#N/A</v>
      </c>
      <c r="S84" s="161" t="e">
        <f t="shared" si="16"/>
        <v>#N/A</v>
      </c>
      <c r="T84" s="33" t="e">
        <f t="shared" si="17"/>
        <v>#N/A</v>
      </c>
    </row>
    <row r="85" spans="12:20" x14ac:dyDescent="0.25">
      <c r="L85" s="7" t="e">
        <f>VLOOKUP(A85,'3121% SY'!A:M,'3121% SY'!$M$1,FALSE)</f>
        <v>#N/A</v>
      </c>
      <c r="M85" s="161" t="e">
        <f t="shared" si="14"/>
        <v>#N/A</v>
      </c>
      <c r="N85" s="33" t="e">
        <f t="shared" si="15"/>
        <v>#N/A</v>
      </c>
      <c r="S85" s="161" t="e">
        <f t="shared" si="16"/>
        <v>#N/A</v>
      </c>
      <c r="T85" s="33" t="e">
        <f t="shared" si="17"/>
        <v>#N/A</v>
      </c>
    </row>
    <row r="86" spans="12:20" x14ac:dyDescent="0.25">
      <c r="L86" s="7" t="e">
        <f>VLOOKUP(A86,'3121% SY'!A:M,'3121% SY'!$M$1,FALSE)</f>
        <v>#N/A</v>
      </c>
      <c r="M86" s="161" t="e">
        <f t="shared" si="14"/>
        <v>#N/A</v>
      </c>
      <c r="N86" s="33" t="e">
        <f t="shared" si="15"/>
        <v>#N/A</v>
      </c>
      <c r="S86" s="161" t="e">
        <f t="shared" si="16"/>
        <v>#N/A</v>
      </c>
      <c r="T86" s="33" t="e">
        <f t="shared" si="17"/>
        <v>#N/A</v>
      </c>
    </row>
    <row r="87" spans="12:20" x14ac:dyDescent="0.25">
      <c r="L87" s="7" t="e">
        <f>VLOOKUP(A87,'3121% SY'!A:M,'3121% SY'!$M$1,FALSE)</f>
        <v>#N/A</v>
      </c>
      <c r="M87" s="161" t="e">
        <f t="shared" si="14"/>
        <v>#N/A</v>
      </c>
      <c r="N87" s="33" t="e">
        <f t="shared" si="15"/>
        <v>#N/A</v>
      </c>
      <c r="S87" s="161" t="e">
        <f t="shared" si="16"/>
        <v>#N/A</v>
      </c>
      <c r="T87" s="33" t="e">
        <f t="shared" si="17"/>
        <v>#N/A</v>
      </c>
    </row>
    <row r="88" spans="12:20" x14ac:dyDescent="0.25">
      <c r="L88" s="7" t="e">
        <f>VLOOKUP(A88,'3121% SY'!A:M,'3121% SY'!$M$1,FALSE)</f>
        <v>#N/A</v>
      </c>
      <c r="M88" s="161" t="e">
        <f t="shared" si="14"/>
        <v>#N/A</v>
      </c>
      <c r="N88" s="33" t="e">
        <f t="shared" si="15"/>
        <v>#N/A</v>
      </c>
      <c r="S88" s="161" t="e">
        <f t="shared" si="16"/>
        <v>#N/A</v>
      </c>
      <c r="T88" s="33" t="e">
        <f t="shared" si="17"/>
        <v>#N/A</v>
      </c>
    </row>
    <row r="89" spans="12:20" x14ac:dyDescent="0.25">
      <c r="L89" s="7" t="e">
        <f>VLOOKUP(A89,'3121% SY'!A:M,'3121% SY'!$M$1,FALSE)</f>
        <v>#N/A</v>
      </c>
      <c r="M89" s="161" t="e">
        <f t="shared" si="14"/>
        <v>#N/A</v>
      </c>
      <c r="N89" s="33" t="e">
        <f t="shared" si="15"/>
        <v>#N/A</v>
      </c>
      <c r="S89" s="161" t="e">
        <f t="shared" si="16"/>
        <v>#N/A</v>
      </c>
      <c r="T89" s="33" t="e">
        <f t="shared" si="17"/>
        <v>#N/A</v>
      </c>
    </row>
    <row r="90" spans="12:20" x14ac:dyDescent="0.25">
      <c r="L90" s="7" t="e">
        <f>VLOOKUP(A90,'3121% SY'!A:M,'3121% SY'!$M$1,FALSE)</f>
        <v>#N/A</v>
      </c>
      <c r="M90" s="161" t="e">
        <f t="shared" si="14"/>
        <v>#N/A</v>
      </c>
      <c r="N90" s="33" t="e">
        <f t="shared" si="15"/>
        <v>#N/A</v>
      </c>
      <c r="S90" s="161" t="e">
        <f t="shared" si="16"/>
        <v>#N/A</v>
      </c>
      <c r="T90" s="33" t="e">
        <f t="shared" si="17"/>
        <v>#N/A</v>
      </c>
    </row>
    <row r="91" spans="12:20" x14ac:dyDescent="0.25">
      <c r="L91" s="7" t="e">
        <f>VLOOKUP(A91,'3121% SY'!A:M,'3121% SY'!$M$1,FALSE)</f>
        <v>#N/A</v>
      </c>
      <c r="M91" s="161" t="e">
        <f t="shared" si="14"/>
        <v>#N/A</v>
      </c>
      <c r="N91" s="33" t="e">
        <f t="shared" si="15"/>
        <v>#N/A</v>
      </c>
      <c r="S91" s="161" t="e">
        <f t="shared" si="16"/>
        <v>#N/A</v>
      </c>
      <c r="T91" s="33" t="e">
        <f t="shared" si="17"/>
        <v>#N/A</v>
      </c>
    </row>
    <row r="92" spans="12:20" x14ac:dyDescent="0.25">
      <c r="L92" s="7" t="e">
        <f>VLOOKUP(A92,'3121% SY'!A:M,'3121% SY'!$M$1,FALSE)</f>
        <v>#N/A</v>
      </c>
      <c r="M92" s="161" t="e">
        <f t="shared" si="14"/>
        <v>#N/A</v>
      </c>
      <c r="N92" s="33" t="e">
        <f t="shared" si="15"/>
        <v>#N/A</v>
      </c>
      <c r="S92" s="161" t="e">
        <f t="shared" si="16"/>
        <v>#N/A</v>
      </c>
      <c r="T92" s="33" t="e">
        <f t="shared" si="17"/>
        <v>#N/A</v>
      </c>
    </row>
    <row r="93" spans="12:20" x14ac:dyDescent="0.25">
      <c r="L93" s="7" t="e">
        <f>VLOOKUP(A93,'3121% SY'!A:M,'3121% SY'!$M$1,FALSE)</f>
        <v>#N/A</v>
      </c>
      <c r="M93" s="161" t="e">
        <f t="shared" si="14"/>
        <v>#N/A</v>
      </c>
      <c r="N93" s="33" t="e">
        <f t="shared" si="15"/>
        <v>#N/A</v>
      </c>
      <c r="S93" s="161" t="e">
        <f t="shared" si="16"/>
        <v>#N/A</v>
      </c>
      <c r="T93" s="33" t="e">
        <f t="shared" si="17"/>
        <v>#N/A</v>
      </c>
    </row>
    <row r="94" spans="12:20" x14ac:dyDescent="0.25">
      <c r="L94" s="7" t="e">
        <f>VLOOKUP(A94,'3121% SY'!A:M,'3121% SY'!$M$1,FALSE)</f>
        <v>#N/A</v>
      </c>
      <c r="M94" s="161" t="e">
        <f t="shared" si="14"/>
        <v>#N/A</v>
      </c>
      <c r="N94" s="33" t="e">
        <f t="shared" si="15"/>
        <v>#N/A</v>
      </c>
      <c r="S94" s="161" t="e">
        <f t="shared" si="16"/>
        <v>#N/A</v>
      </c>
      <c r="T94" s="33" t="e">
        <f t="shared" si="17"/>
        <v>#N/A</v>
      </c>
    </row>
    <row r="95" spans="12:20" x14ac:dyDescent="0.25">
      <c r="L95" s="7" t="e">
        <f>VLOOKUP(A95,'3121% SY'!A:M,'3121% SY'!$M$1,FALSE)</f>
        <v>#N/A</v>
      </c>
      <c r="M95" s="161" t="e">
        <f t="shared" si="14"/>
        <v>#N/A</v>
      </c>
      <c r="N95" s="33" t="e">
        <f t="shared" si="15"/>
        <v>#N/A</v>
      </c>
      <c r="S95" s="161" t="e">
        <f t="shared" si="16"/>
        <v>#N/A</v>
      </c>
      <c r="T95" s="33" t="e">
        <f t="shared" si="17"/>
        <v>#N/A</v>
      </c>
    </row>
    <row r="96" spans="12:20" x14ac:dyDescent="0.25">
      <c r="L96" s="7" t="e">
        <f>VLOOKUP(A96,'3121% SY'!A:M,'3121% SY'!$M$1,FALSE)</f>
        <v>#N/A</v>
      </c>
      <c r="M96" s="161" t="e">
        <f t="shared" si="14"/>
        <v>#N/A</v>
      </c>
      <c r="N96" s="33" t="e">
        <f t="shared" si="15"/>
        <v>#N/A</v>
      </c>
      <c r="S96" s="161" t="e">
        <f t="shared" si="16"/>
        <v>#N/A</v>
      </c>
      <c r="T96" s="33" t="e">
        <f t="shared" si="17"/>
        <v>#N/A</v>
      </c>
    </row>
    <row r="97" spans="12:20" x14ac:dyDescent="0.25">
      <c r="L97" s="7" t="e">
        <f>VLOOKUP(A97,'3121% SY'!A:M,'3121% SY'!$M$1,FALSE)</f>
        <v>#N/A</v>
      </c>
      <c r="M97" s="161" t="e">
        <f t="shared" si="14"/>
        <v>#N/A</v>
      </c>
      <c r="N97" s="33" t="e">
        <f t="shared" si="15"/>
        <v>#N/A</v>
      </c>
      <c r="S97" s="161" t="e">
        <f t="shared" si="16"/>
        <v>#N/A</v>
      </c>
      <c r="T97" s="33" t="e">
        <f t="shared" si="17"/>
        <v>#N/A</v>
      </c>
    </row>
    <row r="98" spans="12:20" x14ac:dyDescent="0.25">
      <c r="L98" s="7" t="e">
        <f>VLOOKUP(A98,'3121% SY'!A:M,'3121% SY'!$M$1,FALSE)</f>
        <v>#N/A</v>
      </c>
      <c r="M98" s="161" t="e">
        <f t="shared" si="14"/>
        <v>#N/A</v>
      </c>
      <c r="N98" s="33" t="e">
        <f t="shared" si="15"/>
        <v>#N/A</v>
      </c>
      <c r="S98" s="161" t="e">
        <f>ROUND(R98*$L98,3)</f>
        <v>#N/A</v>
      </c>
      <c r="T98" s="33" t="e">
        <f t="shared" si="17"/>
        <v>#N/A</v>
      </c>
    </row>
    <row r="99" spans="12:20" x14ac:dyDescent="0.25">
      <c r="L99" s="7" t="e">
        <f>VLOOKUP(A99,'3121% SY'!A:M,'3121% SY'!$M$1,FALSE)</f>
        <v>#N/A</v>
      </c>
      <c r="M99" s="161" t="e">
        <f t="shared" si="14"/>
        <v>#N/A</v>
      </c>
      <c r="N99" s="33" t="e">
        <f t="shared" si="15"/>
        <v>#N/A</v>
      </c>
      <c r="S99" s="161" t="e">
        <f t="shared" si="16"/>
        <v>#N/A</v>
      </c>
      <c r="T99" s="33" t="e">
        <f t="shared" si="17"/>
        <v>#N/A</v>
      </c>
    </row>
    <row r="100" spans="12:20" x14ac:dyDescent="0.25">
      <c r="L100" s="7" t="e">
        <f>VLOOKUP(A100,'3121% SY'!A:M,'3121% SY'!$M$1,FALSE)</f>
        <v>#N/A</v>
      </c>
      <c r="M100" s="161" t="e">
        <f t="shared" si="14"/>
        <v>#N/A</v>
      </c>
      <c r="N100" s="33" t="e">
        <f t="shared" si="15"/>
        <v>#N/A</v>
      </c>
      <c r="S100" s="161" t="e">
        <f t="shared" si="16"/>
        <v>#N/A</v>
      </c>
      <c r="T100" s="33" t="e">
        <f t="shared" si="17"/>
        <v>#N/A</v>
      </c>
    </row>
    <row r="101" spans="12:20" x14ac:dyDescent="0.25">
      <c r="L101" s="7" t="e">
        <f>VLOOKUP(A101,'3121% SY'!A:M,'3121% SY'!$M$1,FALSE)</f>
        <v>#N/A</v>
      </c>
      <c r="M101" s="161" t="e">
        <f t="shared" si="14"/>
        <v>#N/A</v>
      </c>
      <c r="N101" s="33" t="e">
        <f t="shared" si="15"/>
        <v>#N/A</v>
      </c>
      <c r="S101" s="161" t="e">
        <f t="shared" si="16"/>
        <v>#N/A</v>
      </c>
      <c r="T101" s="33" t="e">
        <f t="shared" si="17"/>
        <v>#N/A</v>
      </c>
    </row>
    <row r="102" spans="12:20" x14ac:dyDescent="0.25">
      <c r="L102" s="7" t="e">
        <f>VLOOKUP(A102,'3121% SY'!A:M,'3121% SY'!$M$1,FALSE)</f>
        <v>#N/A</v>
      </c>
      <c r="M102" s="161" t="e">
        <f t="shared" si="14"/>
        <v>#N/A</v>
      </c>
      <c r="N102" s="33" t="e">
        <f t="shared" si="15"/>
        <v>#N/A</v>
      </c>
      <c r="S102" s="161" t="e">
        <f t="shared" si="16"/>
        <v>#N/A</v>
      </c>
      <c r="T102" s="33" t="e">
        <f t="shared" si="17"/>
        <v>#N/A</v>
      </c>
    </row>
    <row r="103" spans="12:20" x14ac:dyDescent="0.25">
      <c r="L103" s="7" t="e">
        <f>VLOOKUP(A103,'3121% SY'!A:M,'3121% SY'!$M$1,FALSE)</f>
        <v>#N/A</v>
      </c>
      <c r="M103" s="161" t="e">
        <f t="shared" si="14"/>
        <v>#N/A</v>
      </c>
      <c r="N103" s="33" t="e">
        <f t="shared" si="15"/>
        <v>#N/A</v>
      </c>
      <c r="S103" s="161" t="e">
        <f t="shared" si="16"/>
        <v>#N/A</v>
      </c>
      <c r="T103" s="33" t="e">
        <f t="shared" si="17"/>
        <v>#N/A</v>
      </c>
    </row>
    <row r="104" spans="12:20" x14ac:dyDescent="0.25">
      <c r="L104" s="7" t="e">
        <f>VLOOKUP(A104,'3121% SY'!A:M,'3121% SY'!$M$1,FALSE)</f>
        <v>#N/A</v>
      </c>
      <c r="M104" s="161" t="e">
        <f t="shared" si="14"/>
        <v>#N/A</v>
      </c>
      <c r="N104" s="33" t="e">
        <f t="shared" si="15"/>
        <v>#N/A</v>
      </c>
      <c r="S104" s="161" t="e">
        <f t="shared" si="16"/>
        <v>#N/A</v>
      </c>
      <c r="T104" s="33" t="e">
        <f t="shared" si="17"/>
        <v>#N/A</v>
      </c>
    </row>
    <row r="105" spans="12:20" x14ac:dyDescent="0.25">
      <c r="L105" s="7" t="e">
        <f>VLOOKUP(A105,'3121% SY'!A:M,'3121% SY'!$M$1,FALSE)</f>
        <v>#N/A</v>
      </c>
      <c r="M105" s="161" t="e">
        <f t="shared" si="14"/>
        <v>#N/A</v>
      </c>
      <c r="N105" s="33" t="e">
        <f t="shared" si="15"/>
        <v>#N/A</v>
      </c>
      <c r="S105" s="161" t="e">
        <f t="shared" si="16"/>
        <v>#N/A</v>
      </c>
      <c r="T105" s="33" t="e">
        <f t="shared" si="17"/>
        <v>#N/A</v>
      </c>
    </row>
    <row r="106" spans="12:20" x14ac:dyDescent="0.25">
      <c r="L106" s="7" t="e">
        <f>VLOOKUP(A106,'3121% SY'!A:M,'3121% SY'!$M$1,FALSE)</f>
        <v>#N/A</v>
      </c>
      <c r="M106" s="161" t="e">
        <f t="shared" si="14"/>
        <v>#N/A</v>
      </c>
      <c r="N106" s="33" t="e">
        <f t="shared" si="15"/>
        <v>#N/A</v>
      </c>
      <c r="S106" s="161" t="e">
        <f t="shared" si="16"/>
        <v>#N/A</v>
      </c>
      <c r="T106" s="33" t="e">
        <f t="shared" si="17"/>
        <v>#N/A</v>
      </c>
    </row>
    <row r="107" spans="12:20" x14ac:dyDescent="0.25">
      <c r="L107" s="7" t="e">
        <f>VLOOKUP(A107,'3121% SY'!A:M,'3121% SY'!$M$1,FALSE)</f>
        <v>#N/A</v>
      </c>
      <c r="M107" s="161" t="e">
        <f t="shared" si="14"/>
        <v>#N/A</v>
      </c>
      <c r="N107" s="33" t="e">
        <f t="shared" si="15"/>
        <v>#N/A</v>
      </c>
      <c r="S107" s="161" t="e">
        <f t="shared" si="16"/>
        <v>#N/A</v>
      </c>
      <c r="T107" s="33" t="e">
        <f t="shared" si="17"/>
        <v>#N/A</v>
      </c>
    </row>
    <row r="108" spans="12:20" x14ac:dyDescent="0.25">
      <c r="L108" s="7" t="e">
        <f>VLOOKUP(A108,'3121% SY'!A:M,'3121% SY'!$M$1,FALSE)</f>
        <v>#N/A</v>
      </c>
      <c r="M108" s="161" t="e">
        <f t="shared" si="14"/>
        <v>#N/A</v>
      </c>
      <c r="N108" s="33" t="e">
        <f t="shared" si="15"/>
        <v>#N/A</v>
      </c>
      <c r="S108" s="161" t="e">
        <f t="shared" si="16"/>
        <v>#N/A</v>
      </c>
      <c r="T108" s="33" t="e">
        <f t="shared" si="17"/>
        <v>#N/A</v>
      </c>
    </row>
    <row r="109" spans="12:20" x14ac:dyDescent="0.25">
      <c r="L109" s="7" t="e">
        <f>VLOOKUP(A109,'3121% SY'!A:M,'3121% SY'!$M$1,FALSE)</f>
        <v>#N/A</v>
      </c>
      <c r="M109" s="161" t="e">
        <f t="shared" si="14"/>
        <v>#N/A</v>
      </c>
      <c r="N109" s="33" t="e">
        <f t="shared" si="15"/>
        <v>#N/A</v>
      </c>
      <c r="S109" s="161" t="e">
        <f>ROUND(R109*$L109,3)</f>
        <v>#N/A</v>
      </c>
      <c r="T109" s="33" t="e">
        <f t="shared" si="17"/>
        <v>#N/A</v>
      </c>
    </row>
    <row r="110" spans="12:20" x14ac:dyDescent="0.25">
      <c r="L110" s="7" t="e">
        <f>VLOOKUP(A110,'3121% SY'!A:M,'3121% SY'!$M$1,FALSE)</f>
        <v>#N/A</v>
      </c>
      <c r="M110" s="161" t="e">
        <f t="shared" si="14"/>
        <v>#N/A</v>
      </c>
      <c r="N110" s="33" t="e">
        <f t="shared" si="15"/>
        <v>#N/A</v>
      </c>
      <c r="S110" s="161" t="e">
        <f t="shared" si="16"/>
        <v>#N/A</v>
      </c>
      <c r="T110" s="33" t="e">
        <f t="shared" si="17"/>
        <v>#N/A</v>
      </c>
    </row>
    <row r="111" spans="12:20" x14ac:dyDescent="0.25">
      <c r="L111" s="7" t="e">
        <f>VLOOKUP(A111,'3121% SY'!A:M,'3121% SY'!$M$1,FALSE)</f>
        <v>#N/A</v>
      </c>
      <c r="M111" s="161" t="e">
        <f t="shared" si="14"/>
        <v>#N/A</v>
      </c>
      <c r="N111" s="33" t="e">
        <f t="shared" si="15"/>
        <v>#N/A</v>
      </c>
      <c r="S111" s="161" t="e">
        <f t="shared" si="16"/>
        <v>#N/A</v>
      </c>
      <c r="T111" s="33" t="e">
        <f t="shared" si="17"/>
        <v>#N/A</v>
      </c>
    </row>
    <row r="112" spans="12:20" x14ac:dyDescent="0.25">
      <c r="L112" s="7" t="e">
        <f>VLOOKUP(A112,'3121% SY'!A:M,'3121% SY'!$M$1,FALSE)</f>
        <v>#N/A</v>
      </c>
      <c r="M112" s="161" t="e">
        <f t="shared" si="14"/>
        <v>#N/A</v>
      </c>
      <c r="N112" s="33" t="e">
        <f t="shared" si="15"/>
        <v>#N/A</v>
      </c>
      <c r="S112" s="161" t="e">
        <f t="shared" si="16"/>
        <v>#N/A</v>
      </c>
      <c r="T112" s="33" t="e">
        <f t="shared" si="17"/>
        <v>#N/A</v>
      </c>
    </row>
    <row r="113" spans="12:20" x14ac:dyDescent="0.25">
      <c r="L113" s="7" t="e">
        <f>VLOOKUP(A113,'3121% SY'!A:M,'3121% SY'!$M$1,FALSE)</f>
        <v>#N/A</v>
      </c>
      <c r="M113" s="161" t="e">
        <f t="shared" si="14"/>
        <v>#N/A</v>
      </c>
      <c r="N113" s="33" t="e">
        <f t="shared" si="15"/>
        <v>#N/A</v>
      </c>
      <c r="S113" s="161" t="e">
        <f t="shared" si="16"/>
        <v>#N/A</v>
      </c>
      <c r="T113" s="33" t="e">
        <f t="shared" si="17"/>
        <v>#N/A</v>
      </c>
    </row>
    <row r="114" spans="12:20" x14ac:dyDescent="0.25">
      <c r="L114" s="7" t="e">
        <f>VLOOKUP(A114,'3121% SY'!A:M,'3121% SY'!$M$1,FALSE)</f>
        <v>#N/A</v>
      </c>
      <c r="M114" s="161" t="e">
        <f t="shared" si="14"/>
        <v>#N/A</v>
      </c>
      <c r="N114" s="33" t="e">
        <f t="shared" si="15"/>
        <v>#N/A</v>
      </c>
      <c r="S114" s="161" t="e">
        <f t="shared" si="16"/>
        <v>#N/A</v>
      </c>
      <c r="T114" s="33" t="e">
        <f t="shared" si="17"/>
        <v>#N/A</v>
      </c>
    </row>
    <row r="115" spans="12:20" x14ac:dyDescent="0.25">
      <c r="L115" s="7" t="e">
        <f>VLOOKUP(A115,'3121% SY'!A:M,'3121% SY'!$M$1,FALSE)</f>
        <v>#N/A</v>
      </c>
      <c r="M115" s="161" t="e">
        <f t="shared" si="14"/>
        <v>#N/A</v>
      </c>
      <c r="N115" s="33" t="e">
        <f t="shared" si="15"/>
        <v>#N/A</v>
      </c>
      <c r="S115" s="161" t="e">
        <f t="shared" si="16"/>
        <v>#N/A</v>
      </c>
      <c r="T115" s="33" t="e">
        <f t="shared" si="17"/>
        <v>#N/A</v>
      </c>
    </row>
    <row r="116" spans="12:20" x14ac:dyDescent="0.25">
      <c r="L116" s="7" t="e">
        <f>VLOOKUP(A116,'3121% SY'!A:M,'3121% SY'!$M$1,FALSE)</f>
        <v>#N/A</v>
      </c>
      <c r="M116" s="161" t="e">
        <f t="shared" si="14"/>
        <v>#N/A</v>
      </c>
      <c r="N116" s="33" t="e">
        <f t="shared" si="15"/>
        <v>#N/A</v>
      </c>
      <c r="S116" s="161" t="e">
        <f t="shared" si="16"/>
        <v>#N/A</v>
      </c>
      <c r="T116" s="33" t="e">
        <f t="shared" si="17"/>
        <v>#N/A</v>
      </c>
    </row>
    <row r="117" spans="12:20" x14ac:dyDescent="0.25">
      <c r="L117" s="7" t="e">
        <f>VLOOKUP(A117,'3121% SY'!A:M,'3121% SY'!$M$1,FALSE)</f>
        <v>#N/A</v>
      </c>
      <c r="M117" s="161" t="e">
        <f t="shared" si="14"/>
        <v>#N/A</v>
      </c>
      <c r="N117" s="33" t="e">
        <f t="shared" si="15"/>
        <v>#N/A</v>
      </c>
      <c r="S117" s="161" t="e">
        <f t="shared" si="16"/>
        <v>#N/A</v>
      </c>
      <c r="T117" s="33" t="e">
        <f t="shared" si="17"/>
        <v>#N/A</v>
      </c>
    </row>
    <row r="118" spans="12:20" x14ac:dyDescent="0.25">
      <c r="L118" s="7" t="e">
        <f>VLOOKUP(A118,'3121% SY'!A:M,'3121% SY'!$M$1,FALSE)</f>
        <v>#N/A</v>
      </c>
      <c r="M118" s="161" t="e">
        <f t="shared" si="14"/>
        <v>#N/A</v>
      </c>
      <c r="N118" s="33" t="e">
        <f t="shared" si="15"/>
        <v>#N/A</v>
      </c>
      <c r="S118" s="161" t="e">
        <f t="shared" si="16"/>
        <v>#N/A</v>
      </c>
      <c r="T118" s="33" t="e">
        <f t="shared" si="17"/>
        <v>#N/A</v>
      </c>
    </row>
    <row r="119" spans="12:20" x14ac:dyDescent="0.25">
      <c r="L119" s="7" t="e">
        <f>VLOOKUP(A119,'3121% SY'!A:M,'3121% SY'!$M$1,FALSE)</f>
        <v>#N/A</v>
      </c>
      <c r="M119" s="161" t="e">
        <f t="shared" si="14"/>
        <v>#N/A</v>
      </c>
      <c r="N119" s="33" t="e">
        <f t="shared" si="15"/>
        <v>#N/A</v>
      </c>
      <c r="S119" s="161" t="e">
        <f t="shared" si="16"/>
        <v>#N/A</v>
      </c>
      <c r="T119" s="33" t="e">
        <f t="shared" si="17"/>
        <v>#N/A</v>
      </c>
    </row>
    <row r="120" spans="12:20" x14ac:dyDescent="0.25">
      <c r="L120" s="7" t="e">
        <f>VLOOKUP(A120,'3121% SY'!A:M,'3121% SY'!$M$1,FALSE)</f>
        <v>#N/A</v>
      </c>
      <c r="M120" s="161" t="e">
        <f t="shared" si="14"/>
        <v>#N/A</v>
      </c>
      <c r="N120" s="33" t="e">
        <f t="shared" si="15"/>
        <v>#N/A</v>
      </c>
      <c r="S120" s="161" t="e">
        <f t="shared" si="16"/>
        <v>#N/A</v>
      </c>
      <c r="T120" s="33" t="e">
        <f t="shared" si="17"/>
        <v>#N/A</v>
      </c>
    </row>
    <row r="121" spans="12:20" x14ac:dyDescent="0.25">
      <c r="L121" s="7" t="e">
        <f>VLOOKUP(A121,'3121% SY'!A:M,'3121% SY'!$M$1,FALSE)</f>
        <v>#N/A</v>
      </c>
      <c r="M121" s="161" t="e">
        <f t="shared" si="14"/>
        <v>#N/A</v>
      </c>
      <c r="N121" s="33" t="e">
        <f t="shared" si="15"/>
        <v>#N/A</v>
      </c>
      <c r="S121" s="161" t="e">
        <f t="shared" si="16"/>
        <v>#N/A</v>
      </c>
      <c r="T121" s="33" t="e">
        <f t="shared" si="17"/>
        <v>#N/A</v>
      </c>
    </row>
    <row r="122" spans="12:20" x14ac:dyDescent="0.25">
      <c r="L122" s="7" t="e">
        <f>VLOOKUP(A122,'3121% SY'!A:M,'3121% SY'!$M$1,FALSE)</f>
        <v>#N/A</v>
      </c>
      <c r="M122" s="161" t="e">
        <f t="shared" si="14"/>
        <v>#N/A</v>
      </c>
      <c r="N122" s="33" t="e">
        <f t="shared" si="15"/>
        <v>#N/A</v>
      </c>
      <c r="S122" s="161" t="e">
        <f t="shared" si="16"/>
        <v>#N/A</v>
      </c>
      <c r="T122" s="33" t="e">
        <f t="shared" si="17"/>
        <v>#N/A</v>
      </c>
    </row>
    <row r="123" spans="12:20" x14ac:dyDescent="0.25">
      <c r="L123" s="7" t="e">
        <f>VLOOKUP(A123,'3121% SY'!A:M,'3121% SY'!$M$1,FALSE)</f>
        <v>#N/A</v>
      </c>
      <c r="M123" s="161" t="e">
        <f t="shared" si="14"/>
        <v>#N/A</v>
      </c>
      <c r="N123" s="33" t="e">
        <f t="shared" si="15"/>
        <v>#N/A</v>
      </c>
      <c r="S123" s="161" t="e">
        <f t="shared" ref="S123:S131" si="18">ROUND(R123*$L123,3)</f>
        <v>#N/A</v>
      </c>
      <c r="T123" s="33" t="e">
        <f t="shared" ref="T123:T131" si="19">SUM(S123,O123:Q123)</f>
        <v>#N/A</v>
      </c>
    </row>
    <row r="124" spans="12:20" x14ac:dyDescent="0.25">
      <c r="L124" s="7" t="e">
        <f>VLOOKUP(A124,'3121% SY'!A:M,'3121% SY'!$M$1,FALSE)</f>
        <v>#N/A</v>
      </c>
      <c r="M124" s="161" t="e">
        <f t="shared" si="14"/>
        <v>#N/A</v>
      </c>
      <c r="N124" s="33" t="e">
        <f t="shared" si="15"/>
        <v>#N/A</v>
      </c>
      <c r="S124" s="161" t="e">
        <f t="shared" si="18"/>
        <v>#N/A</v>
      </c>
      <c r="T124" s="33" t="e">
        <f t="shared" si="19"/>
        <v>#N/A</v>
      </c>
    </row>
    <row r="125" spans="12:20" x14ac:dyDescent="0.25">
      <c r="L125" s="7" t="e">
        <f>VLOOKUP(A125,'3121% SY'!A:M,'3121% SY'!$M$1,FALSE)</f>
        <v>#N/A</v>
      </c>
      <c r="M125" s="161" t="e">
        <f t="shared" si="14"/>
        <v>#N/A</v>
      </c>
      <c r="N125" s="33" t="e">
        <f t="shared" si="15"/>
        <v>#N/A</v>
      </c>
      <c r="S125" s="161" t="e">
        <f t="shared" si="18"/>
        <v>#N/A</v>
      </c>
      <c r="T125" s="33" t="e">
        <f t="shared" si="19"/>
        <v>#N/A</v>
      </c>
    </row>
    <row r="126" spans="12:20" x14ac:dyDescent="0.25">
      <c r="L126" s="7" t="e">
        <f>VLOOKUP(A126,'3121% SY'!A:M,'3121% SY'!$M$1,FALSE)</f>
        <v>#N/A</v>
      </c>
      <c r="M126" s="161" t="e">
        <f t="shared" si="14"/>
        <v>#N/A</v>
      </c>
      <c r="N126" s="33" t="e">
        <f t="shared" si="15"/>
        <v>#N/A</v>
      </c>
      <c r="S126" s="161" t="e">
        <f t="shared" si="18"/>
        <v>#N/A</v>
      </c>
      <c r="T126" s="33" t="e">
        <f t="shared" si="19"/>
        <v>#N/A</v>
      </c>
    </row>
    <row r="127" spans="12:20" x14ac:dyDescent="0.25">
      <c r="L127" s="7" t="e">
        <f>VLOOKUP(A127,'3121% SY'!A:M,'3121% SY'!$M$1,FALSE)</f>
        <v>#N/A</v>
      </c>
      <c r="M127" s="161" t="e">
        <f t="shared" si="14"/>
        <v>#N/A</v>
      </c>
      <c r="N127" s="33" t="e">
        <f t="shared" si="15"/>
        <v>#N/A</v>
      </c>
      <c r="S127" s="161" t="e">
        <f t="shared" si="18"/>
        <v>#N/A</v>
      </c>
      <c r="T127" s="33" t="e">
        <f t="shared" si="19"/>
        <v>#N/A</v>
      </c>
    </row>
    <row r="128" spans="12:20" x14ac:dyDescent="0.25">
      <c r="L128" s="7" t="e">
        <f>VLOOKUP(A128,'3121% SY'!A:M,'3121% SY'!$M$1,FALSE)</f>
        <v>#N/A</v>
      </c>
      <c r="M128" s="161" t="e">
        <f t="shared" si="14"/>
        <v>#N/A</v>
      </c>
      <c r="N128" s="33" t="e">
        <f t="shared" si="15"/>
        <v>#N/A</v>
      </c>
      <c r="S128" s="161" t="e">
        <f t="shared" si="18"/>
        <v>#N/A</v>
      </c>
      <c r="T128" s="33" t="e">
        <f t="shared" si="19"/>
        <v>#N/A</v>
      </c>
    </row>
    <row r="129" spans="12:20" x14ac:dyDescent="0.25">
      <c r="L129" s="7" t="e">
        <f>VLOOKUP(A129,'3121% SY'!A:M,'3121% SY'!$M$1,FALSE)</f>
        <v>#N/A</v>
      </c>
      <c r="M129" s="161" t="e">
        <f t="shared" si="14"/>
        <v>#N/A</v>
      </c>
      <c r="N129" s="33" t="e">
        <f t="shared" si="15"/>
        <v>#N/A</v>
      </c>
      <c r="S129" s="161" t="e">
        <f t="shared" si="18"/>
        <v>#N/A</v>
      </c>
      <c r="T129" s="33" t="e">
        <f t="shared" si="19"/>
        <v>#N/A</v>
      </c>
    </row>
    <row r="130" spans="12:20" x14ac:dyDescent="0.25">
      <c r="L130" s="7" t="e">
        <f>VLOOKUP(A130,'3121% SY'!A:M,'3121% SY'!$M$1,FALSE)</f>
        <v>#N/A</v>
      </c>
      <c r="M130" s="161" t="e">
        <f t="shared" si="14"/>
        <v>#N/A</v>
      </c>
      <c r="N130" s="33" t="e">
        <f t="shared" si="15"/>
        <v>#N/A</v>
      </c>
      <c r="S130" s="161" t="e">
        <f t="shared" si="18"/>
        <v>#N/A</v>
      </c>
      <c r="T130" s="33" t="e">
        <f t="shared" si="19"/>
        <v>#N/A</v>
      </c>
    </row>
    <row r="131" spans="12:20" x14ac:dyDescent="0.25">
      <c r="L131" s="7" t="e">
        <f>VLOOKUP(A131,'3121% SY'!A:M,'3121% SY'!$M$1,FALSE)</f>
        <v>#N/A</v>
      </c>
      <c r="M131" s="161" t="e">
        <f t="shared" si="14"/>
        <v>#N/A</v>
      </c>
      <c r="N131" s="33" t="e">
        <f t="shared" si="15"/>
        <v>#N/A</v>
      </c>
      <c r="S131" s="161" t="e">
        <f t="shared" si="18"/>
        <v>#N/A</v>
      </c>
      <c r="T131" s="33" t="e">
        <f t="shared" si="19"/>
        <v>#N/A</v>
      </c>
    </row>
    <row r="132" spans="12:20" x14ac:dyDescent="0.25">
      <c r="L132" s="7" t="e">
        <f>VLOOKUP(A132,'3121% SY'!A:M,'3121% SY'!$M$1,FALSE)</f>
        <v>#N/A</v>
      </c>
      <c r="M132" s="161" t="e">
        <f t="shared" si="14"/>
        <v>#N/A</v>
      </c>
      <c r="N132" s="33" t="e">
        <f t="shared" si="15"/>
        <v>#N/A</v>
      </c>
      <c r="S132" s="161" t="e">
        <f t="shared" ref="S132:S151" si="20">ROUND(R132*$L132,3)</f>
        <v>#N/A</v>
      </c>
      <c r="T132" s="33" t="e">
        <f t="shared" ref="T132:T151" si="21">SUM(S132,O132:Q132)</f>
        <v>#N/A</v>
      </c>
    </row>
    <row r="133" spans="12:20" x14ac:dyDescent="0.25">
      <c r="L133" s="7" t="e">
        <f>VLOOKUP(A133,'3121% SY'!A:M,'3121% SY'!$M$1,FALSE)</f>
        <v>#N/A</v>
      </c>
      <c r="M133" s="161" t="e">
        <f t="shared" ref="M133:M151" si="22">ROUND(I133*$L133,3)+ROUND(J133*$L133,3)+ROUND(K133*$L133,3)</f>
        <v>#N/A</v>
      </c>
      <c r="N133" s="33" t="e">
        <f t="shared" ref="N133:N151" si="23">SUM(M133,B133:H133)</f>
        <v>#N/A</v>
      </c>
      <c r="S133" s="161" t="e">
        <f t="shared" si="20"/>
        <v>#N/A</v>
      </c>
      <c r="T133" s="33" t="e">
        <f t="shared" si="21"/>
        <v>#N/A</v>
      </c>
    </row>
    <row r="134" spans="12:20" x14ac:dyDescent="0.25">
      <c r="L134" s="7" t="e">
        <f>VLOOKUP(A134,'3121% SY'!A:M,'3121% SY'!$M$1,FALSE)</f>
        <v>#N/A</v>
      </c>
      <c r="M134" s="161" t="e">
        <f t="shared" si="22"/>
        <v>#N/A</v>
      </c>
      <c r="N134" s="33" t="e">
        <f t="shared" si="23"/>
        <v>#N/A</v>
      </c>
      <c r="S134" s="161" t="e">
        <f t="shared" si="20"/>
        <v>#N/A</v>
      </c>
      <c r="T134" s="33" t="e">
        <f t="shared" si="21"/>
        <v>#N/A</v>
      </c>
    </row>
    <row r="135" spans="12:20" x14ac:dyDescent="0.25">
      <c r="L135" s="7" t="e">
        <f>VLOOKUP(A135,'3121% SY'!A:M,'3121% SY'!$M$1,FALSE)</f>
        <v>#N/A</v>
      </c>
      <c r="M135" s="161" t="e">
        <f t="shared" si="22"/>
        <v>#N/A</v>
      </c>
      <c r="N135" s="33" t="e">
        <f t="shared" si="23"/>
        <v>#N/A</v>
      </c>
      <c r="S135" s="161" t="e">
        <f t="shared" si="20"/>
        <v>#N/A</v>
      </c>
      <c r="T135" s="33" t="e">
        <f t="shared" si="21"/>
        <v>#N/A</v>
      </c>
    </row>
    <row r="136" spans="12:20" x14ac:dyDescent="0.25">
      <c r="L136" s="7" t="e">
        <f>VLOOKUP(A136,'3121% SY'!A:M,'3121% SY'!$M$1,FALSE)</f>
        <v>#N/A</v>
      </c>
      <c r="M136" s="161" t="e">
        <f t="shared" si="22"/>
        <v>#N/A</v>
      </c>
      <c r="N136" s="33" t="e">
        <f t="shared" si="23"/>
        <v>#N/A</v>
      </c>
      <c r="S136" s="161" t="e">
        <f t="shared" si="20"/>
        <v>#N/A</v>
      </c>
      <c r="T136" s="33" t="e">
        <f t="shared" si="21"/>
        <v>#N/A</v>
      </c>
    </row>
    <row r="137" spans="12:20" x14ac:dyDescent="0.25">
      <c r="L137" s="7" t="e">
        <f>VLOOKUP(A137,'3121% SY'!A:M,'3121% SY'!$M$1,FALSE)</f>
        <v>#N/A</v>
      </c>
      <c r="M137" s="161" t="e">
        <f t="shared" si="22"/>
        <v>#N/A</v>
      </c>
      <c r="N137" s="33" t="e">
        <f t="shared" si="23"/>
        <v>#N/A</v>
      </c>
      <c r="S137" s="161" t="e">
        <f t="shared" si="20"/>
        <v>#N/A</v>
      </c>
      <c r="T137" s="33" t="e">
        <f t="shared" si="21"/>
        <v>#N/A</v>
      </c>
    </row>
    <row r="138" spans="12:20" x14ac:dyDescent="0.25">
      <c r="L138" s="7" t="e">
        <f>VLOOKUP(A138,'3121% SY'!A:M,'3121% SY'!$M$1,FALSE)</f>
        <v>#N/A</v>
      </c>
      <c r="M138" s="161" t="e">
        <f t="shared" si="22"/>
        <v>#N/A</v>
      </c>
      <c r="N138" s="33" t="e">
        <f t="shared" si="23"/>
        <v>#N/A</v>
      </c>
      <c r="S138" s="161" t="e">
        <f t="shared" si="20"/>
        <v>#N/A</v>
      </c>
      <c r="T138" s="33" t="e">
        <f t="shared" si="21"/>
        <v>#N/A</v>
      </c>
    </row>
    <row r="139" spans="12:20" x14ac:dyDescent="0.25">
      <c r="L139" s="7" t="e">
        <f>VLOOKUP(A139,'3121% SY'!A:M,'3121% SY'!$M$1,FALSE)</f>
        <v>#N/A</v>
      </c>
      <c r="M139" s="161" t="e">
        <f t="shared" si="22"/>
        <v>#N/A</v>
      </c>
      <c r="N139" s="33" t="e">
        <f t="shared" si="23"/>
        <v>#N/A</v>
      </c>
      <c r="S139" s="161" t="e">
        <f t="shared" si="20"/>
        <v>#N/A</v>
      </c>
      <c r="T139" s="33" t="e">
        <f t="shared" si="21"/>
        <v>#N/A</v>
      </c>
    </row>
    <row r="140" spans="12:20" x14ac:dyDescent="0.25">
      <c r="L140" s="7" t="e">
        <f>VLOOKUP(A140,'3121% SY'!A:M,'3121% SY'!$M$1,FALSE)</f>
        <v>#N/A</v>
      </c>
      <c r="M140" s="161" t="e">
        <f t="shared" si="22"/>
        <v>#N/A</v>
      </c>
      <c r="N140" s="33" t="e">
        <f t="shared" si="23"/>
        <v>#N/A</v>
      </c>
      <c r="S140" s="161" t="e">
        <f t="shared" si="20"/>
        <v>#N/A</v>
      </c>
      <c r="T140" s="33" t="e">
        <f t="shared" si="21"/>
        <v>#N/A</v>
      </c>
    </row>
    <row r="141" spans="12:20" x14ac:dyDescent="0.25">
      <c r="L141" s="7" t="e">
        <f>VLOOKUP(A141,'3121% SY'!A:M,'3121% SY'!$M$1,FALSE)</f>
        <v>#N/A</v>
      </c>
      <c r="M141" s="161" t="e">
        <f t="shared" si="22"/>
        <v>#N/A</v>
      </c>
      <c r="N141" s="33" t="e">
        <f t="shared" si="23"/>
        <v>#N/A</v>
      </c>
      <c r="S141" s="161" t="e">
        <f t="shared" si="20"/>
        <v>#N/A</v>
      </c>
      <c r="T141" s="33" t="e">
        <f t="shared" si="21"/>
        <v>#N/A</v>
      </c>
    </row>
    <row r="142" spans="12:20" x14ac:dyDescent="0.25">
      <c r="L142" s="7" t="e">
        <f>VLOOKUP(A142,'3121% SY'!A:M,'3121% SY'!$M$1,FALSE)</f>
        <v>#N/A</v>
      </c>
      <c r="M142" s="161" t="e">
        <f t="shared" si="22"/>
        <v>#N/A</v>
      </c>
      <c r="N142" s="33" t="e">
        <f t="shared" si="23"/>
        <v>#N/A</v>
      </c>
      <c r="S142" s="161" t="e">
        <f t="shared" si="20"/>
        <v>#N/A</v>
      </c>
      <c r="T142" s="33" t="e">
        <f t="shared" si="21"/>
        <v>#N/A</v>
      </c>
    </row>
    <row r="143" spans="12:20" x14ac:dyDescent="0.25">
      <c r="L143" s="7" t="e">
        <f>VLOOKUP(A143,'3121% SY'!A:M,'3121% SY'!$M$1,FALSE)</f>
        <v>#N/A</v>
      </c>
      <c r="M143" s="161" t="e">
        <f t="shared" si="22"/>
        <v>#N/A</v>
      </c>
      <c r="N143" s="33" t="e">
        <f t="shared" si="23"/>
        <v>#N/A</v>
      </c>
      <c r="S143" s="161" t="e">
        <f t="shared" si="20"/>
        <v>#N/A</v>
      </c>
      <c r="T143" s="33" t="e">
        <f t="shared" si="21"/>
        <v>#N/A</v>
      </c>
    </row>
    <row r="144" spans="12:20" x14ac:dyDescent="0.25">
      <c r="L144" s="7" t="e">
        <f>VLOOKUP(A144,'3121% SY'!A:M,'3121% SY'!$M$1,FALSE)</f>
        <v>#N/A</v>
      </c>
      <c r="M144" s="161" t="e">
        <f t="shared" si="22"/>
        <v>#N/A</v>
      </c>
      <c r="N144" s="33" t="e">
        <f t="shared" si="23"/>
        <v>#N/A</v>
      </c>
      <c r="S144" s="161" t="e">
        <f t="shared" si="20"/>
        <v>#N/A</v>
      </c>
      <c r="T144" s="33" t="e">
        <f t="shared" si="21"/>
        <v>#N/A</v>
      </c>
    </row>
    <row r="145" spans="12:20" x14ac:dyDescent="0.25">
      <c r="L145" s="7" t="e">
        <f>VLOOKUP(A145,'3121% SY'!A:M,'3121% SY'!$M$1,FALSE)</f>
        <v>#N/A</v>
      </c>
      <c r="M145" s="161" t="e">
        <f t="shared" si="22"/>
        <v>#N/A</v>
      </c>
      <c r="N145" s="33" t="e">
        <f t="shared" si="23"/>
        <v>#N/A</v>
      </c>
      <c r="S145" s="161" t="e">
        <f t="shared" si="20"/>
        <v>#N/A</v>
      </c>
      <c r="T145" s="33" t="e">
        <f t="shared" si="21"/>
        <v>#N/A</v>
      </c>
    </row>
    <row r="146" spans="12:20" x14ac:dyDescent="0.25">
      <c r="L146" s="7" t="e">
        <f>VLOOKUP(A146,'3121% SY'!A:M,'3121% SY'!$M$1,FALSE)</f>
        <v>#N/A</v>
      </c>
      <c r="M146" s="161" t="e">
        <f t="shared" si="22"/>
        <v>#N/A</v>
      </c>
      <c r="N146" s="33" t="e">
        <f t="shared" si="23"/>
        <v>#N/A</v>
      </c>
      <c r="S146" s="161" t="e">
        <f t="shared" si="20"/>
        <v>#N/A</v>
      </c>
      <c r="T146" s="33" t="e">
        <f t="shared" si="21"/>
        <v>#N/A</v>
      </c>
    </row>
    <row r="147" spans="12:20" x14ac:dyDescent="0.25">
      <c r="L147" s="7" t="e">
        <f>VLOOKUP(A147,'3121% SY'!A:M,'3121% SY'!$M$1,FALSE)</f>
        <v>#N/A</v>
      </c>
      <c r="M147" s="161" t="e">
        <f t="shared" si="22"/>
        <v>#N/A</v>
      </c>
      <c r="N147" s="33" t="e">
        <f t="shared" si="23"/>
        <v>#N/A</v>
      </c>
      <c r="S147" s="161" t="e">
        <f t="shared" si="20"/>
        <v>#N/A</v>
      </c>
      <c r="T147" s="33" t="e">
        <f t="shared" si="21"/>
        <v>#N/A</v>
      </c>
    </row>
    <row r="148" spans="12:20" x14ac:dyDescent="0.25">
      <c r="L148" s="7" t="e">
        <f>VLOOKUP(A148,'3121% SY'!A:M,'3121% SY'!$M$1,FALSE)</f>
        <v>#N/A</v>
      </c>
      <c r="M148" s="161" t="e">
        <f t="shared" si="22"/>
        <v>#N/A</v>
      </c>
      <c r="N148" s="33" t="e">
        <f t="shared" si="23"/>
        <v>#N/A</v>
      </c>
      <c r="S148" s="161" t="e">
        <f t="shared" si="20"/>
        <v>#N/A</v>
      </c>
      <c r="T148" s="33" t="e">
        <f t="shared" si="21"/>
        <v>#N/A</v>
      </c>
    </row>
    <row r="149" spans="12:20" x14ac:dyDescent="0.25">
      <c r="L149" s="7" t="e">
        <f>VLOOKUP(A149,'3121% SY'!A:M,'3121% SY'!$M$1,FALSE)</f>
        <v>#N/A</v>
      </c>
      <c r="M149" s="161" t="e">
        <f t="shared" si="22"/>
        <v>#N/A</v>
      </c>
      <c r="N149" s="33" t="e">
        <f t="shared" si="23"/>
        <v>#N/A</v>
      </c>
      <c r="S149" s="161" t="e">
        <f t="shared" si="20"/>
        <v>#N/A</v>
      </c>
      <c r="T149" s="33" t="e">
        <f t="shared" si="21"/>
        <v>#N/A</v>
      </c>
    </row>
    <row r="150" spans="12:20" x14ac:dyDescent="0.25">
      <c r="L150" s="7" t="e">
        <f>VLOOKUP(A150,'3121% SY'!A:M,'3121% SY'!$M$1,FALSE)</f>
        <v>#N/A</v>
      </c>
      <c r="M150" s="161" t="e">
        <f t="shared" si="22"/>
        <v>#N/A</v>
      </c>
      <c r="N150" s="33" t="e">
        <f t="shared" si="23"/>
        <v>#N/A</v>
      </c>
      <c r="S150" s="161" t="e">
        <f t="shared" si="20"/>
        <v>#N/A</v>
      </c>
      <c r="T150" s="33" t="e">
        <f t="shared" si="21"/>
        <v>#N/A</v>
      </c>
    </row>
    <row r="151" spans="12:20" x14ac:dyDescent="0.25">
      <c r="L151" s="7" t="e">
        <f>VLOOKUP(A151,'3121% SY'!A:M,'3121% SY'!$M$1,FALSE)</f>
        <v>#N/A</v>
      </c>
      <c r="M151" s="161" t="e">
        <f t="shared" si="22"/>
        <v>#N/A</v>
      </c>
      <c r="N151" s="33" t="e">
        <f t="shared" si="23"/>
        <v>#N/A</v>
      </c>
      <c r="S151" s="161" t="e">
        <f t="shared" si="20"/>
        <v>#N/A</v>
      </c>
      <c r="T151" s="33" t="e">
        <f t="shared" si="21"/>
        <v>#N/A</v>
      </c>
    </row>
  </sheetData>
  <mergeCells count="1">
    <mergeCell ref="B2:H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8CE8B-B796-4C73-991B-7948A84AD2C9}">
  <sheetPr codeName="Sheet29"/>
  <dimension ref="A1:T151"/>
  <sheetViews>
    <sheetView workbookViewId="0">
      <selection activeCell="L4" sqref="L4:L151"/>
    </sheetView>
  </sheetViews>
  <sheetFormatPr defaultRowHeight="15" x14ac:dyDescent="0.25"/>
  <cols>
    <col min="1" max="1" width="13.140625" bestFit="1" customWidth="1"/>
    <col min="2" max="2" width="12.7109375" bestFit="1" customWidth="1"/>
    <col min="3" max="3" width="13.7109375" bestFit="1" customWidth="1"/>
    <col min="4" max="4" width="13.140625" bestFit="1" customWidth="1"/>
    <col min="5" max="6" width="14.85546875" bestFit="1" customWidth="1"/>
    <col min="7" max="7" width="15.7109375" bestFit="1" customWidth="1"/>
    <col min="8" max="8" width="15.140625" bestFit="1" customWidth="1"/>
    <col min="9" max="9" width="14.85546875" bestFit="1" customWidth="1"/>
    <col min="10" max="10" width="15.7109375" bestFit="1" customWidth="1"/>
    <col min="11" max="11" width="15.140625" bestFit="1" customWidth="1"/>
    <col min="12" max="12" width="12.7109375" bestFit="1" customWidth="1"/>
    <col min="13" max="13" width="17.42578125" bestFit="1" customWidth="1"/>
    <col min="14" max="14" width="12.7109375" bestFit="1" customWidth="1"/>
    <col min="15" max="16" width="16" bestFit="1" customWidth="1"/>
    <col min="17" max="17" width="13.5703125" bestFit="1" customWidth="1"/>
    <col min="18" max="18" width="12.7109375" bestFit="1" customWidth="1"/>
    <col min="19" max="19" width="21" bestFit="1" customWidth="1"/>
    <col min="20" max="43" width="12.7109375" bestFit="1" customWidth="1"/>
  </cols>
  <sheetData>
    <row r="1" spans="1:20" x14ac:dyDescent="0.25">
      <c r="A1" s="87">
        <f>COLUMN(A1)</f>
        <v>1</v>
      </c>
      <c r="B1" s="87">
        <f>COLUMN(B1)</f>
        <v>2</v>
      </c>
      <c r="C1" s="87">
        <f t="shared" ref="C1:S1" si="0">COLUMN(C1)</f>
        <v>3</v>
      </c>
      <c r="D1" s="87">
        <f t="shared" si="0"/>
        <v>4</v>
      </c>
      <c r="E1" s="87">
        <f t="shared" si="0"/>
        <v>5</v>
      </c>
      <c r="F1" s="87">
        <f t="shared" si="0"/>
        <v>6</v>
      </c>
      <c r="G1" s="87">
        <f t="shared" si="0"/>
        <v>7</v>
      </c>
      <c r="H1" s="87">
        <f t="shared" si="0"/>
        <v>8</v>
      </c>
      <c r="I1" s="87">
        <f t="shared" si="0"/>
        <v>9</v>
      </c>
      <c r="J1" s="87">
        <f t="shared" si="0"/>
        <v>10</v>
      </c>
      <c r="K1" s="87">
        <f t="shared" si="0"/>
        <v>11</v>
      </c>
      <c r="L1" s="87">
        <f t="shared" si="0"/>
        <v>12</v>
      </c>
      <c r="M1" s="87">
        <f t="shared" si="0"/>
        <v>13</v>
      </c>
      <c r="N1" s="87">
        <f t="shared" si="0"/>
        <v>14</v>
      </c>
      <c r="O1" s="87">
        <f t="shared" si="0"/>
        <v>15</v>
      </c>
      <c r="P1" s="87">
        <f t="shared" si="0"/>
        <v>16</v>
      </c>
      <c r="Q1" s="87">
        <f t="shared" si="0"/>
        <v>17</v>
      </c>
      <c r="R1" s="87">
        <f t="shared" si="0"/>
        <v>18</v>
      </c>
      <c r="S1" s="87">
        <f t="shared" si="0"/>
        <v>19</v>
      </c>
      <c r="T1" s="87"/>
    </row>
    <row r="2" spans="1:20" x14ac:dyDescent="0.25">
      <c r="A2">
        <f>COUNTA(A4:A150)</f>
        <v>24</v>
      </c>
      <c r="B2" s="290" t="s">
        <v>729</v>
      </c>
      <c r="C2" s="290"/>
      <c r="D2" s="290"/>
      <c r="E2" s="290"/>
      <c r="F2" s="290"/>
      <c r="G2" s="290"/>
      <c r="H2" s="290"/>
      <c r="I2" s="156"/>
      <c r="J2" s="156"/>
      <c r="K2" s="156"/>
      <c r="N2" s="33" t="e">
        <f>SUM(N5:N150)</f>
        <v>#N/A</v>
      </c>
    </row>
    <row r="3" spans="1:20" x14ac:dyDescent="0.25">
      <c r="A3" s="91" t="s">
        <v>752</v>
      </c>
      <c r="B3" t="s">
        <v>786</v>
      </c>
      <c r="C3" t="s">
        <v>826</v>
      </c>
      <c r="D3" t="s">
        <v>867</v>
      </c>
      <c r="E3" t="s">
        <v>1133</v>
      </c>
      <c r="F3" t="s">
        <v>799</v>
      </c>
      <c r="G3" t="s">
        <v>839</v>
      </c>
      <c r="H3" t="s">
        <v>880</v>
      </c>
      <c r="I3" t="s">
        <v>812</v>
      </c>
      <c r="J3" t="s">
        <v>853</v>
      </c>
      <c r="K3" t="s">
        <v>892</v>
      </c>
      <c r="L3" s="6">
        <v>31.21</v>
      </c>
      <c r="M3" t="str">
        <f>"SpEd Staffed "&amp;$B$2</f>
        <v>SpEd Staffed Counselor</v>
      </c>
      <c r="N3" s="162" t="str">
        <f>"Total "&amp;$B$2</f>
        <v>Total Counselor</v>
      </c>
      <c r="O3" t="s">
        <v>1062</v>
      </c>
      <c r="P3" t="s">
        <v>1063</v>
      </c>
      <c r="Q3" t="s">
        <v>1061</v>
      </c>
      <c r="R3" t="str">
        <f>"SpEd Contracted "&amp;$B$2</f>
        <v>SpEd Contracted Counselor</v>
      </c>
      <c r="S3" s="162" t="str">
        <f>"Total Contracted "&amp;$B$2</f>
        <v>Total Contracted Counselor</v>
      </c>
    </row>
    <row r="4" spans="1:20" x14ac:dyDescent="0.25">
      <c r="A4" s="88" t="s">
        <v>7</v>
      </c>
      <c r="B4">
        <v>6.0999999999999999E-2</v>
      </c>
      <c r="C4">
        <v>6.0999999999999999E-2</v>
      </c>
      <c r="D4">
        <v>6.0999999999999999E-2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7">
        <f>VLOOKUP(A4,'3121% SY'!A:M,'3121% SY'!$M$1,FALSE)</f>
        <v>0.1179</v>
      </c>
      <c r="M4" s="161">
        <f>ROUND(I4*$L4,3)+ROUND(J4*$L4,3)++ROUND(K4*$L4,3)</f>
        <v>0</v>
      </c>
      <c r="N4" s="33">
        <f t="shared" ref="N4:N35" si="1">SUM(M4,B4:H4)</f>
        <v>0.183</v>
      </c>
      <c r="R4" s="161">
        <f>ROUND(Q4*$L4,3)</f>
        <v>0</v>
      </c>
      <c r="S4" s="33">
        <f>SUM(R4,O4:P4)</f>
        <v>0</v>
      </c>
    </row>
    <row r="5" spans="1:20" x14ac:dyDescent="0.25">
      <c r="A5" s="88" t="s">
        <v>40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7">
        <f>VLOOKUP(A5,'3121% SY'!A:M,'3121% SY'!$M$1,FALSE)</f>
        <v>0.1794</v>
      </c>
      <c r="M5" s="161">
        <f t="shared" ref="M5:M68" si="2">ROUND(I5*$L5,3)+ROUND(J5*$L5,3)++ROUND(K5*$L5,3)</f>
        <v>0</v>
      </c>
      <c r="N5" s="33">
        <f t="shared" si="1"/>
        <v>0</v>
      </c>
      <c r="R5" s="161">
        <f t="shared" ref="R5:R68" si="3">ROUND(Q5*$L5,3)</f>
        <v>0</v>
      </c>
      <c r="S5" s="33">
        <f t="shared" ref="S5:S68" si="4">SUM(R5,O5:P5)</f>
        <v>0</v>
      </c>
    </row>
    <row r="6" spans="1:20" x14ac:dyDescent="0.25">
      <c r="A6" s="88" t="s">
        <v>61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7">
        <f>VLOOKUP(A6,'3121% SY'!A:M,'3121% SY'!$M$1,FALSE)</f>
        <v>0.24629999999999996</v>
      </c>
      <c r="M6" s="161">
        <f t="shared" si="2"/>
        <v>0</v>
      </c>
      <c r="N6" s="33">
        <f t="shared" si="1"/>
        <v>0</v>
      </c>
      <c r="R6" s="161">
        <f t="shared" si="3"/>
        <v>0</v>
      </c>
      <c r="S6" s="33">
        <f t="shared" si="4"/>
        <v>0</v>
      </c>
    </row>
    <row r="7" spans="1:20" x14ac:dyDescent="0.25">
      <c r="A7" s="88" t="s">
        <v>78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7">
        <f>VLOOKUP(A7,'3121% SY'!A:M,'3121% SY'!$M$1,FALSE)</f>
        <v>0.17600000000000005</v>
      </c>
      <c r="M7" s="161">
        <f t="shared" si="2"/>
        <v>0</v>
      </c>
      <c r="N7" s="33">
        <f t="shared" si="1"/>
        <v>0</v>
      </c>
      <c r="R7" s="161">
        <f t="shared" si="3"/>
        <v>0</v>
      </c>
      <c r="S7" s="33">
        <f t="shared" si="4"/>
        <v>0</v>
      </c>
    </row>
    <row r="8" spans="1:20" x14ac:dyDescent="0.25">
      <c r="A8" s="88" t="s">
        <v>84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7">
        <f>VLOOKUP(A8,'3121% SY'!A:M,'3121% SY'!$M$1,FALSE)</f>
        <v>8.9999999999999969E-2</v>
      </c>
      <c r="M8" s="161">
        <f t="shared" si="2"/>
        <v>0</v>
      </c>
      <c r="N8" s="33">
        <f t="shared" si="1"/>
        <v>0</v>
      </c>
      <c r="R8" s="161">
        <f t="shared" si="3"/>
        <v>0</v>
      </c>
      <c r="S8" s="33">
        <f t="shared" si="4"/>
        <v>0</v>
      </c>
    </row>
    <row r="9" spans="1:20" x14ac:dyDescent="0.25">
      <c r="A9" s="88" t="s">
        <v>87</v>
      </c>
      <c r="B9">
        <v>0.33</v>
      </c>
      <c r="C9">
        <v>0.33</v>
      </c>
      <c r="D9">
        <v>0.33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7">
        <f>VLOOKUP(A9,'3121% SY'!A:M,'3121% SY'!$M$1,FALSE)</f>
        <v>0.18340000000000001</v>
      </c>
      <c r="M9" s="161">
        <f t="shared" si="2"/>
        <v>0</v>
      </c>
      <c r="N9" s="33">
        <f t="shared" si="1"/>
        <v>0.99</v>
      </c>
      <c r="R9" s="161">
        <f t="shared" si="3"/>
        <v>0</v>
      </c>
      <c r="S9" s="33">
        <f t="shared" si="4"/>
        <v>0</v>
      </c>
    </row>
    <row r="10" spans="1:20" x14ac:dyDescent="0.25">
      <c r="A10" s="88" t="s">
        <v>89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7">
        <f>VLOOKUP(A10,'3121% SY'!A:M,'3121% SY'!$M$1,FALSE)</f>
        <v>0.22170000000000001</v>
      </c>
      <c r="M10" s="161">
        <f t="shared" si="2"/>
        <v>0</v>
      </c>
      <c r="N10" s="33">
        <f t="shared" si="1"/>
        <v>0</v>
      </c>
      <c r="R10" s="161">
        <f t="shared" si="3"/>
        <v>0</v>
      </c>
      <c r="S10" s="33">
        <f t="shared" si="4"/>
        <v>0</v>
      </c>
    </row>
    <row r="11" spans="1:20" x14ac:dyDescent="0.25">
      <c r="A11" s="88" t="s">
        <v>141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7">
        <f>VLOOKUP(A11,'3121% SY'!A:M,'3121% SY'!$M$1,FALSE)</f>
        <v>0.31479999999999997</v>
      </c>
      <c r="M11" s="161">
        <f t="shared" si="2"/>
        <v>0</v>
      </c>
      <c r="N11" s="33">
        <f t="shared" si="1"/>
        <v>0</v>
      </c>
      <c r="R11" s="161">
        <f t="shared" si="3"/>
        <v>0</v>
      </c>
      <c r="S11" s="33">
        <f t="shared" si="4"/>
        <v>0</v>
      </c>
    </row>
    <row r="12" spans="1:20" x14ac:dyDescent="0.25">
      <c r="A12" s="88" t="s">
        <v>145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7">
        <f>VLOOKUP(A12,'3121% SY'!A:M,'3121% SY'!$M$1,FALSE)</f>
        <v>0.28620000000000001</v>
      </c>
      <c r="M12" s="161">
        <f t="shared" si="2"/>
        <v>0</v>
      </c>
      <c r="N12" s="33">
        <f t="shared" si="1"/>
        <v>0</v>
      </c>
      <c r="R12" s="161">
        <f t="shared" si="3"/>
        <v>0</v>
      </c>
      <c r="S12" s="33">
        <f t="shared" si="4"/>
        <v>0</v>
      </c>
    </row>
    <row r="13" spans="1:20" x14ac:dyDescent="0.25">
      <c r="A13" s="88" t="s">
        <v>146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7">
        <f>VLOOKUP(A13,'3121% SY'!A:M,'3121% SY'!$M$1,FALSE)</f>
        <v>0.25719999999999998</v>
      </c>
      <c r="M13" s="161">
        <f t="shared" si="2"/>
        <v>0</v>
      </c>
      <c r="N13" s="33">
        <f t="shared" si="1"/>
        <v>0</v>
      </c>
      <c r="R13" s="161">
        <f t="shared" si="3"/>
        <v>0</v>
      </c>
      <c r="S13" s="33">
        <f t="shared" si="4"/>
        <v>0</v>
      </c>
    </row>
    <row r="14" spans="1:20" x14ac:dyDescent="0.25">
      <c r="A14" s="88" t="s">
        <v>162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7">
        <f>VLOOKUP(A14,'3121% SY'!A:M,'3121% SY'!$M$1,FALSE)</f>
        <v>0.19820000000000004</v>
      </c>
      <c r="M14" s="161">
        <f t="shared" si="2"/>
        <v>0</v>
      </c>
      <c r="N14" s="33">
        <f t="shared" si="1"/>
        <v>0</v>
      </c>
      <c r="R14" s="161">
        <f t="shared" si="3"/>
        <v>0</v>
      </c>
      <c r="S14" s="33">
        <f t="shared" si="4"/>
        <v>0</v>
      </c>
    </row>
    <row r="15" spans="1:20" x14ac:dyDescent="0.25">
      <c r="A15" s="88" t="s">
        <v>163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7">
        <f>VLOOKUP(A15,'3121% SY'!A:M,'3121% SY'!$M$1,FALSE)</f>
        <v>0.20989999999999998</v>
      </c>
      <c r="M15" s="161">
        <f t="shared" si="2"/>
        <v>0</v>
      </c>
      <c r="N15" s="33">
        <f t="shared" si="1"/>
        <v>0</v>
      </c>
      <c r="R15" s="161">
        <f t="shared" si="3"/>
        <v>0</v>
      </c>
      <c r="S15" s="33">
        <f t="shared" si="4"/>
        <v>0</v>
      </c>
    </row>
    <row r="16" spans="1:20" x14ac:dyDescent="0.25">
      <c r="A16" s="88" t="s">
        <v>176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7">
        <f>VLOOKUP(A16,'3121% SY'!A:M,'3121% SY'!$M$1,FALSE)</f>
        <v>0.29900000000000004</v>
      </c>
      <c r="M16" s="161">
        <f t="shared" si="2"/>
        <v>0</v>
      </c>
      <c r="N16" s="33">
        <f t="shared" si="1"/>
        <v>0</v>
      </c>
      <c r="R16" s="161">
        <f t="shared" si="3"/>
        <v>0</v>
      </c>
      <c r="S16" s="33">
        <f t="shared" si="4"/>
        <v>0</v>
      </c>
    </row>
    <row r="17" spans="1:19" x14ac:dyDescent="0.25">
      <c r="A17" s="88" t="s">
        <v>233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7">
        <f>VLOOKUP(A17,'3121% SY'!A:M,'3121% SY'!$M$1,FALSE)</f>
        <v>0.20020000000000004</v>
      </c>
      <c r="M17" s="161">
        <f t="shared" si="2"/>
        <v>0</v>
      </c>
      <c r="N17" s="33">
        <f t="shared" si="1"/>
        <v>0</v>
      </c>
      <c r="R17" s="161">
        <f t="shared" si="3"/>
        <v>0</v>
      </c>
      <c r="S17" s="33">
        <f t="shared" si="4"/>
        <v>0</v>
      </c>
    </row>
    <row r="18" spans="1:19" x14ac:dyDescent="0.25">
      <c r="A18" s="88" t="s">
        <v>250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0.08</v>
      </c>
      <c r="J18">
        <v>0.08</v>
      </c>
      <c r="K18">
        <v>0.08</v>
      </c>
      <c r="L18" s="7">
        <f>VLOOKUP(A18,'3121% SY'!A:M,'3121% SY'!$M$1,FALSE)</f>
        <v>0.15839999999999999</v>
      </c>
      <c r="M18" s="161">
        <f t="shared" si="2"/>
        <v>3.9E-2</v>
      </c>
      <c r="N18" s="33">
        <f t="shared" si="1"/>
        <v>3.9E-2</v>
      </c>
      <c r="R18" s="161">
        <f t="shared" si="3"/>
        <v>0</v>
      </c>
      <c r="S18" s="33">
        <f t="shared" si="4"/>
        <v>0</v>
      </c>
    </row>
    <row r="19" spans="1:19" x14ac:dyDescent="0.25">
      <c r="A19" s="88" t="s">
        <v>256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7">
        <f>VLOOKUP(A19,'3121% SY'!A:M,'3121% SY'!$M$1,FALSE)</f>
        <v>0.23140000000000005</v>
      </c>
      <c r="M19" s="161">
        <f t="shared" si="2"/>
        <v>0</v>
      </c>
      <c r="N19" s="33">
        <f t="shared" si="1"/>
        <v>0</v>
      </c>
      <c r="R19" s="161">
        <f t="shared" si="3"/>
        <v>0</v>
      </c>
      <c r="S19" s="33">
        <f t="shared" si="4"/>
        <v>0</v>
      </c>
    </row>
    <row r="20" spans="1:19" x14ac:dyDescent="0.25">
      <c r="A20" s="88" t="s">
        <v>259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7">
        <f>VLOOKUP(A20,'3121% SY'!A:M,'3121% SY'!$M$1,FALSE)</f>
        <v>0.24870000000000003</v>
      </c>
      <c r="M20" s="161">
        <f t="shared" si="2"/>
        <v>0</v>
      </c>
      <c r="N20" s="33">
        <f t="shared" si="1"/>
        <v>0</v>
      </c>
      <c r="R20" s="161">
        <f t="shared" si="3"/>
        <v>0</v>
      </c>
      <c r="S20" s="33">
        <f t="shared" si="4"/>
        <v>0</v>
      </c>
    </row>
    <row r="21" spans="1:19" x14ac:dyDescent="0.25">
      <c r="A21" s="88" t="s">
        <v>280</v>
      </c>
      <c r="B21">
        <v>0</v>
      </c>
      <c r="C21">
        <v>0.33</v>
      </c>
      <c r="D21">
        <v>0.67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7">
        <f>VLOOKUP(A21,'3121% SY'!A:M,'3121% SY'!$M$1,FALSE)</f>
        <v>0.18340000000000001</v>
      </c>
      <c r="M21" s="161">
        <f t="shared" si="2"/>
        <v>0</v>
      </c>
      <c r="N21" s="33">
        <f t="shared" si="1"/>
        <v>1</v>
      </c>
      <c r="R21" s="161">
        <f t="shared" si="3"/>
        <v>0</v>
      </c>
      <c r="S21" s="33">
        <f t="shared" si="4"/>
        <v>0</v>
      </c>
    </row>
    <row r="22" spans="1:19" x14ac:dyDescent="0.25">
      <c r="A22" s="88" t="s">
        <v>284</v>
      </c>
      <c r="B22">
        <v>1.4E-2</v>
      </c>
      <c r="C22">
        <v>0.43</v>
      </c>
      <c r="D22">
        <v>0.42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7">
        <f>VLOOKUP(A22,'3121% SY'!A:M,'3121% SY'!$M$1,FALSE)</f>
        <v>0.14729999999999999</v>
      </c>
      <c r="M22" s="161">
        <f t="shared" si="2"/>
        <v>0</v>
      </c>
      <c r="N22" s="33">
        <f t="shared" si="1"/>
        <v>0.86399999999999999</v>
      </c>
      <c r="R22" s="161">
        <f t="shared" si="3"/>
        <v>0</v>
      </c>
      <c r="S22" s="33">
        <f t="shared" si="4"/>
        <v>0</v>
      </c>
    </row>
    <row r="23" spans="1:19" x14ac:dyDescent="0.25">
      <c r="A23" s="88" t="s">
        <v>289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7">
        <f>VLOOKUP(A23,'3121% SY'!A:M,'3121% SY'!$M$1,FALSE)</f>
        <v>0.19010000000000005</v>
      </c>
      <c r="M23" s="161">
        <f t="shared" si="2"/>
        <v>0</v>
      </c>
      <c r="N23" s="33">
        <f t="shared" si="1"/>
        <v>0</v>
      </c>
      <c r="R23" s="161">
        <f t="shared" si="3"/>
        <v>0</v>
      </c>
      <c r="S23" s="33">
        <f t="shared" si="4"/>
        <v>0</v>
      </c>
    </row>
    <row r="24" spans="1:19" x14ac:dyDescent="0.25">
      <c r="A24" s="88" t="s">
        <v>290</v>
      </c>
      <c r="B24">
        <v>0</v>
      </c>
      <c r="C24">
        <v>0.5</v>
      </c>
      <c r="D24">
        <v>0.39700000000000002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7">
        <f>VLOOKUP(A24,'3121% SY'!A:M,'3121% SY'!$M$1,FALSE)</f>
        <v>0.15839999999999999</v>
      </c>
      <c r="M24" s="161">
        <f t="shared" si="2"/>
        <v>0</v>
      </c>
      <c r="N24" s="33">
        <f t="shared" si="1"/>
        <v>0.89700000000000002</v>
      </c>
      <c r="R24" s="161">
        <f t="shared" si="3"/>
        <v>0</v>
      </c>
      <c r="S24" s="33">
        <f t="shared" si="4"/>
        <v>0</v>
      </c>
    </row>
    <row r="25" spans="1:19" x14ac:dyDescent="0.25">
      <c r="A25" s="88" t="s">
        <v>302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7">
        <f>VLOOKUP(A25,'3121% SY'!A:M,'3121% SY'!$M$1,FALSE)</f>
        <v>0.21989999999999998</v>
      </c>
      <c r="M25" s="161">
        <f t="shared" si="2"/>
        <v>0</v>
      </c>
      <c r="N25" s="33">
        <f t="shared" si="1"/>
        <v>0</v>
      </c>
      <c r="R25" s="161">
        <f t="shared" si="3"/>
        <v>0</v>
      </c>
      <c r="S25" s="33">
        <f t="shared" si="4"/>
        <v>0</v>
      </c>
    </row>
    <row r="26" spans="1:19" x14ac:dyDescent="0.25">
      <c r="A26" s="88" t="s">
        <v>1098</v>
      </c>
      <c r="L26" s="7" t="e">
        <f>VLOOKUP(A26,'3121% SY'!A:M,'3121% SY'!$M$1,FALSE)</f>
        <v>#N/A</v>
      </c>
      <c r="M26" s="161" t="e">
        <f t="shared" si="2"/>
        <v>#N/A</v>
      </c>
      <c r="N26" s="33" t="e">
        <f t="shared" si="1"/>
        <v>#N/A</v>
      </c>
      <c r="R26" s="161" t="e">
        <f t="shared" si="3"/>
        <v>#N/A</v>
      </c>
      <c r="S26" s="33" t="e">
        <f t="shared" si="4"/>
        <v>#N/A</v>
      </c>
    </row>
    <row r="27" spans="1:19" x14ac:dyDescent="0.25">
      <c r="A27" s="88" t="s">
        <v>753</v>
      </c>
      <c r="B27">
        <v>0.40500000000000003</v>
      </c>
      <c r="C27">
        <v>1.651</v>
      </c>
      <c r="D27">
        <v>1.8779999999999999</v>
      </c>
      <c r="E27">
        <v>0</v>
      </c>
      <c r="F27">
        <v>0</v>
      </c>
      <c r="G27">
        <v>0</v>
      </c>
      <c r="H27">
        <v>0</v>
      </c>
      <c r="I27">
        <v>0.08</v>
      </c>
      <c r="J27">
        <v>0.08</v>
      </c>
      <c r="K27">
        <v>0.08</v>
      </c>
      <c r="L27" s="7" t="e">
        <f>VLOOKUP(A27,'3121% SY'!A:M,'3121% SY'!$M$1,FALSE)</f>
        <v>#N/A</v>
      </c>
      <c r="M27" s="161" t="e">
        <f t="shared" si="2"/>
        <v>#N/A</v>
      </c>
      <c r="N27" s="33" t="e">
        <f t="shared" si="1"/>
        <v>#N/A</v>
      </c>
      <c r="R27" s="161" t="e">
        <f t="shared" si="3"/>
        <v>#N/A</v>
      </c>
      <c r="S27" s="33" t="e">
        <f t="shared" si="4"/>
        <v>#N/A</v>
      </c>
    </row>
    <row r="28" spans="1:19" x14ac:dyDescent="0.25">
      <c r="L28" s="7" t="e">
        <f>VLOOKUP(A28,'3121% SY'!A:M,'3121% SY'!$M$1,FALSE)</f>
        <v>#N/A</v>
      </c>
      <c r="M28" s="161" t="e">
        <f t="shared" si="2"/>
        <v>#N/A</v>
      </c>
      <c r="N28" s="33" t="e">
        <f t="shared" si="1"/>
        <v>#N/A</v>
      </c>
      <c r="R28" s="161" t="e">
        <f t="shared" si="3"/>
        <v>#N/A</v>
      </c>
      <c r="S28" s="33" t="e">
        <f t="shared" si="4"/>
        <v>#N/A</v>
      </c>
    </row>
    <row r="29" spans="1:19" x14ac:dyDescent="0.25">
      <c r="L29" s="7" t="e">
        <f>VLOOKUP(A29,'3121% SY'!A:M,'3121% SY'!$M$1,FALSE)</f>
        <v>#N/A</v>
      </c>
      <c r="M29" s="161" t="e">
        <f t="shared" si="2"/>
        <v>#N/A</v>
      </c>
      <c r="N29" s="33" t="e">
        <f t="shared" si="1"/>
        <v>#N/A</v>
      </c>
      <c r="R29" s="161" t="e">
        <f t="shared" si="3"/>
        <v>#N/A</v>
      </c>
      <c r="S29" s="33" t="e">
        <f t="shared" si="4"/>
        <v>#N/A</v>
      </c>
    </row>
    <row r="30" spans="1:19" x14ac:dyDescent="0.25">
      <c r="L30" s="7" t="e">
        <f>VLOOKUP(A30,'3121% SY'!A:M,'3121% SY'!$M$1,FALSE)</f>
        <v>#N/A</v>
      </c>
      <c r="M30" s="161" t="e">
        <f t="shared" si="2"/>
        <v>#N/A</v>
      </c>
      <c r="N30" s="33" t="e">
        <f t="shared" si="1"/>
        <v>#N/A</v>
      </c>
      <c r="R30" s="161" t="e">
        <f t="shared" si="3"/>
        <v>#N/A</v>
      </c>
      <c r="S30" s="33" t="e">
        <f t="shared" si="4"/>
        <v>#N/A</v>
      </c>
    </row>
    <row r="31" spans="1:19" x14ac:dyDescent="0.25">
      <c r="L31" s="7" t="e">
        <f>VLOOKUP(A31,'3121% SY'!A:M,'3121% SY'!$M$1,FALSE)</f>
        <v>#N/A</v>
      </c>
      <c r="M31" s="161" t="e">
        <f t="shared" si="2"/>
        <v>#N/A</v>
      </c>
      <c r="N31" s="33" t="e">
        <f t="shared" si="1"/>
        <v>#N/A</v>
      </c>
      <c r="R31" s="161" t="e">
        <f t="shared" si="3"/>
        <v>#N/A</v>
      </c>
      <c r="S31" s="33" t="e">
        <f t="shared" si="4"/>
        <v>#N/A</v>
      </c>
    </row>
    <row r="32" spans="1:19" x14ac:dyDescent="0.25">
      <c r="L32" s="7" t="e">
        <f>VLOOKUP(A32,'3121% SY'!A:M,'3121% SY'!$M$1,FALSE)</f>
        <v>#N/A</v>
      </c>
      <c r="M32" s="161" t="e">
        <f t="shared" si="2"/>
        <v>#N/A</v>
      </c>
      <c r="N32" s="33" t="e">
        <f t="shared" si="1"/>
        <v>#N/A</v>
      </c>
      <c r="R32" s="161" t="e">
        <f t="shared" si="3"/>
        <v>#N/A</v>
      </c>
      <c r="S32" s="33" t="e">
        <f t="shared" si="4"/>
        <v>#N/A</v>
      </c>
    </row>
    <row r="33" spans="12:19" x14ac:dyDescent="0.25">
      <c r="L33" s="7" t="e">
        <f>VLOOKUP(A33,'3121% SY'!A:M,'3121% SY'!$M$1,FALSE)</f>
        <v>#N/A</v>
      </c>
      <c r="M33" s="161" t="e">
        <f t="shared" si="2"/>
        <v>#N/A</v>
      </c>
      <c r="N33" s="33" t="e">
        <f t="shared" si="1"/>
        <v>#N/A</v>
      </c>
      <c r="R33" s="161" t="e">
        <f t="shared" si="3"/>
        <v>#N/A</v>
      </c>
      <c r="S33" s="33" t="e">
        <f t="shared" si="4"/>
        <v>#N/A</v>
      </c>
    </row>
    <row r="34" spans="12:19" x14ac:dyDescent="0.25">
      <c r="L34" s="7" t="e">
        <f>VLOOKUP(A34,'3121% SY'!A:M,'3121% SY'!$M$1,FALSE)</f>
        <v>#N/A</v>
      </c>
      <c r="M34" s="161" t="e">
        <f t="shared" si="2"/>
        <v>#N/A</v>
      </c>
      <c r="N34" s="33" t="e">
        <f t="shared" si="1"/>
        <v>#N/A</v>
      </c>
      <c r="R34" s="161" t="e">
        <f t="shared" si="3"/>
        <v>#N/A</v>
      </c>
      <c r="S34" s="33" t="e">
        <f t="shared" si="4"/>
        <v>#N/A</v>
      </c>
    </row>
    <row r="35" spans="12:19" x14ac:dyDescent="0.25">
      <c r="L35" s="7" t="e">
        <f>VLOOKUP(A35,'3121% SY'!A:M,'3121% SY'!$M$1,FALSE)</f>
        <v>#N/A</v>
      </c>
      <c r="M35" s="161" t="e">
        <f t="shared" si="2"/>
        <v>#N/A</v>
      </c>
      <c r="N35" s="33" t="e">
        <f t="shared" si="1"/>
        <v>#N/A</v>
      </c>
      <c r="R35" s="161" t="e">
        <f t="shared" si="3"/>
        <v>#N/A</v>
      </c>
      <c r="S35" s="33" t="e">
        <f t="shared" si="4"/>
        <v>#N/A</v>
      </c>
    </row>
    <row r="36" spans="12:19" x14ac:dyDescent="0.25">
      <c r="L36" s="7" t="e">
        <f>VLOOKUP(A36,'3121% SY'!A:M,'3121% SY'!$M$1,FALSE)</f>
        <v>#N/A</v>
      </c>
      <c r="M36" s="161" t="e">
        <f t="shared" si="2"/>
        <v>#N/A</v>
      </c>
      <c r="N36" s="33" t="e">
        <f t="shared" ref="N36:N67" si="5">SUM(M36,B36:H36)</f>
        <v>#N/A</v>
      </c>
      <c r="R36" s="161" t="e">
        <f t="shared" si="3"/>
        <v>#N/A</v>
      </c>
      <c r="S36" s="33" t="e">
        <f t="shared" si="4"/>
        <v>#N/A</v>
      </c>
    </row>
    <row r="37" spans="12:19" x14ac:dyDescent="0.25">
      <c r="L37" s="7" t="e">
        <f>VLOOKUP(A37,'3121% SY'!A:M,'3121% SY'!$M$1,FALSE)</f>
        <v>#N/A</v>
      </c>
      <c r="M37" s="161" t="e">
        <f t="shared" si="2"/>
        <v>#N/A</v>
      </c>
      <c r="N37" s="33" t="e">
        <f t="shared" si="5"/>
        <v>#N/A</v>
      </c>
      <c r="R37" s="161" t="e">
        <f t="shared" si="3"/>
        <v>#N/A</v>
      </c>
      <c r="S37" s="33" t="e">
        <f t="shared" si="4"/>
        <v>#N/A</v>
      </c>
    </row>
    <row r="38" spans="12:19" x14ac:dyDescent="0.25">
      <c r="L38" s="7" t="e">
        <f>VLOOKUP(A38,'3121% SY'!A:M,'3121% SY'!$M$1,FALSE)</f>
        <v>#N/A</v>
      </c>
      <c r="M38" s="161" t="e">
        <f t="shared" si="2"/>
        <v>#N/A</v>
      </c>
      <c r="N38" s="33" t="e">
        <f t="shared" si="5"/>
        <v>#N/A</v>
      </c>
      <c r="R38" s="161" t="e">
        <f t="shared" si="3"/>
        <v>#N/A</v>
      </c>
      <c r="S38" s="33" t="e">
        <f t="shared" si="4"/>
        <v>#N/A</v>
      </c>
    </row>
    <row r="39" spans="12:19" x14ac:dyDescent="0.25">
      <c r="L39" s="7" t="e">
        <f>VLOOKUP(A39,'3121% SY'!A:M,'3121% SY'!$M$1,FALSE)</f>
        <v>#N/A</v>
      </c>
      <c r="M39" s="161" t="e">
        <f t="shared" si="2"/>
        <v>#N/A</v>
      </c>
      <c r="N39" s="33" t="e">
        <f t="shared" si="5"/>
        <v>#N/A</v>
      </c>
      <c r="R39" s="161" t="e">
        <f t="shared" si="3"/>
        <v>#N/A</v>
      </c>
      <c r="S39" s="33" t="e">
        <f t="shared" si="4"/>
        <v>#N/A</v>
      </c>
    </row>
    <row r="40" spans="12:19" x14ac:dyDescent="0.25">
      <c r="L40" s="7" t="e">
        <f>VLOOKUP(A40,'3121% SY'!A:M,'3121% SY'!$M$1,FALSE)</f>
        <v>#N/A</v>
      </c>
      <c r="M40" s="161" t="e">
        <f t="shared" si="2"/>
        <v>#N/A</v>
      </c>
      <c r="N40" s="33" t="e">
        <f t="shared" si="5"/>
        <v>#N/A</v>
      </c>
      <c r="R40" s="161" t="e">
        <f t="shared" si="3"/>
        <v>#N/A</v>
      </c>
      <c r="S40" s="33" t="e">
        <f t="shared" si="4"/>
        <v>#N/A</v>
      </c>
    </row>
    <row r="41" spans="12:19" x14ac:dyDescent="0.25">
      <c r="L41" s="7" t="e">
        <f>VLOOKUP(A41,'3121% SY'!A:M,'3121% SY'!$M$1,FALSE)</f>
        <v>#N/A</v>
      </c>
      <c r="M41" s="161" t="e">
        <f t="shared" si="2"/>
        <v>#N/A</v>
      </c>
      <c r="N41" s="33" t="e">
        <f t="shared" si="5"/>
        <v>#N/A</v>
      </c>
      <c r="R41" s="161" t="e">
        <f t="shared" si="3"/>
        <v>#N/A</v>
      </c>
      <c r="S41" s="33" t="e">
        <f t="shared" si="4"/>
        <v>#N/A</v>
      </c>
    </row>
    <row r="42" spans="12:19" x14ac:dyDescent="0.25">
      <c r="L42" s="7" t="e">
        <f>VLOOKUP(A42,'3121% SY'!A:M,'3121% SY'!$M$1,FALSE)</f>
        <v>#N/A</v>
      </c>
      <c r="M42" s="161" t="e">
        <f t="shared" si="2"/>
        <v>#N/A</v>
      </c>
      <c r="N42" s="33" t="e">
        <f t="shared" si="5"/>
        <v>#N/A</v>
      </c>
      <c r="R42" s="161" t="e">
        <f t="shared" si="3"/>
        <v>#N/A</v>
      </c>
      <c r="S42" s="33" t="e">
        <f t="shared" si="4"/>
        <v>#N/A</v>
      </c>
    </row>
    <row r="43" spans="12:19" x14ac:dyDescent="0.25">
      <c r="L43" s="7" t="e">
        <f>VLOOKUP(A43,'3121% SY'!A:M,'3121% SY'!$M$1,FALSE)</f>
        <v>#N/A</v>
      </c>
      <c r="M43" s="161" t="e">
        <f t="shared" si="2"/>
        <v>#N/A</v>
      </c>
      <c r="N43" s="33" t="e">
        <f t="shared" si="5"/>
        <v>#N/A</v>
      </c>
      <c r="R43" s="161" t="e">
        <f t="shared" si="3"/>
        <v>#N/A</v>
      </c>
      <c r="S43" s="33" t="e">
        <f t="shared" si="4"/>
        <v>#N/A</v>
      </c>
    </row>
    <row r="44" spans="12:19" x14ac:dyDescent="0.25">
      <c r="L44" s="7" t="e">
        <f>VLOOKUP(A44,'3121% SY'!A:M,'3121% SY'!$M$1,FALSE)</f>
        <v>#N/A</v>
      </c>
      <c r="M44" s="161" t="e">
        <f t="shared" si="2"/>
        <v>#N/A</v>
      </c>
      <c r="N44" s="33" t="e">
        <f t="shared" si="5"/>
        <v>#N/A</v>
      </c>
      <c r="R44" s="161" t="e">
        <f t="shared" si="3"/>
        <v>#N/A</v>
      </c>
      <c r="S44" s="33" t="e">
        <f t="shared" si="4"/>
        <v>#N/A</v>
      </c>
    </row>
    <row r="45" spans="12:19" x14ac:dyDescent="0.25">
      <c r="L45" s="7" t="e">
        <f>VLOOKUP(A45,'3121% SY'!A:M,'3121% SY'!$M$1,FALSE)</f>
        <v>#N/A</v>
      </c>
      <c r="M45" s="161" t="e">
        <f t="shared" si="2"/>
        <v>#N/A</v>
      </c>
      <c r="N45" s="33" t="e">
        <f t="shared" si="5"/>
        <v>#N/A</v>
      </c>
      <c r="R45" s="161" t="e">
        <f t="shared" si="3"/>
        <v>#N/A</v>
      </c>
      <c r="S45" s="33" t="e">
        <f t="shared" si="4"/>
        <v>#N/A</v>
      </c>
    </row>
    <row r="46" spans="12:19" x14ac:dyDescent="0.25">
      <c r="L46" s="7" t="e">
        <f>VLOOKUP(A46,'3121% SY'!A:M,'3121% SY'!$M$1,FALSE)</f>
        <v>#N/A</v>
      </c>
      <c r="M46" s="161" t="e">
        <f t="shared" si="2"/>
        <v>#N/A</v>
      </c>
      <c r="N46" s="33" t="e">
        <f t="shared" si="5"/>
        <v>#N/A</v>
      </c>
      <c r="R46" s="161" t="e">
        <f t="shared" si="3"/>
        <v>#N/A</v>
      </c>
      <c r="S46" s="33" t="e">
        <f t="shared" si="4"/>
        <v>#N/A</v>
      </c>
    </row>
    <row r="47" spans="12:19" x14ac:dyDescent="0.25">
      <c r="L47" s="7" t="e">
        <f>VLOOKUP(A47,'3121% SY'!A:M,'3121% SY'!$M$1,FALSE)</f>
        <v>#N/A</v>
      </c>
      <c r="M47" s="161" t="e">
        <f t="shared" si="2"/>
        <v>#N/A</v>
      </c>
      <c r="N47" s="33" t="e">
        <f t="shared" si="5"/>
        <v>#N/A</v>
      </c>
      <c r="R47" s="161" t="e">
        <f t="shared" si="3"/>
        <v>#N/A</v>
      </c>
      <c r="S47" s="33" t="e">
        <f t="shared" si="4"/>
        <v>#N/A</v>
      </c>
    </row>
    <row r="48" spans="12:19" x14ac:dyDescent="0.25">
      <c r="L48" s="7" t="e">
        <f>VLOOKUP(A48,'3121% SY'!A:M,'3121% SY'!$M$1,FALSE)</f>
        <v>#N/A</v>
      </c>
      <c r="M48" s="161" t="e">
        <f t="shared" si="2"/>
        <v>#N/A</v>
      </c>
      <c r="N48" s="33" t="e">
        <f t="shared" si="5"/>
        <v>#N/A</v>
      </c>
      <c r="R48" s="161" t="e">
        <f t="shared" si="3"/>
        <v>#N/A</v>
      </c>
      <c r="S48" s="33" t="e">
        <f t="shared" si="4"/>
        <v>#N/A</v>
      </c>
    </row>
    <row r="49" spans="12:19" x14ac:dyDescent="0.25">
      <c r="L49" s="7" t="e">
        <f>VLOOKUP(A49,'3121% SY'!A:M,'3121% SY'!$M$1,FALSE)</f>
        <v>#N/A</v>
      </c>
      <c r="M49" s="161" t="e">
        <f t="shared" si="2"/>
        <v>#N/A</v>
      </c>
      <c r="N49" s="33" t="e">
        <f t="shared" si="5"/>
        <v>#N/A</v>
      </c>
      <c r="R49" s="161" t="e">
        <f t="shared" si="3"/>
        <v>#N/A</v>
      </c>
      <c r="S49" s="33" t="e">
        <f t="shared" si="4"/>
        <v>#N/A</v>
      </c>
    </row>
    <row r="50" spans="12:19" x14ac:dyDescent="0.25">
      <c r="L50" s="7" t="e">
        <f>VLOOKUP(A50,'3121% SY'!A:M,'3121% SY'!$M$1,FALSE)</f>
        <v>#N/A</v>
      </c>
      <c r="M50" s="161" t="e">
        <f t="shared" si="2"/>
        <v>#N/A</v>
      </c>
      <c r="N50" s="33" t="e">
        <f t="shared" si="5"/>
        <v>#N/A</v>
      </c>
      <c r="R50" s="161" t="e">
        <f t="shared" si="3"/>
        <v>#N/A</v>
      </c>
      <c r="S50" s="33" t="e">
        <f t="shared" si="4"/>
        <v>#N/A</v>
      </c>
    </row>
    <row r="51" spans="12:19" x14ac:dyDescent="0.25">
      <c r="L51" s="7" t="e">
        <f>VLOOKUP(A51,'3121% SY'!A:M,'3121% SY'!$M$1,FALSE)</f>
        <v>#N/A</v>
      </c>
      <c r="M51" s="161" t="e">
        <f t="shared" si="2"/>
        <v>#N/A</v>
      </c>
      <c r="N51" s="33" t="e">
        <f t="shared" si="5"/>
        <v>#N/A</v>
      </c>
      <c r="R51" s="161" t="e">
        <f t="shared" si="3"/>
        <v>#N/A</v>
      </c>
      <c r="S51" s="33" t="e">
        <f t="shared" si="4"/>
        <v>#N/A</v>
      </c>
    </row>
    <row r="52" spans="12:19" x14ac:dyDescent="0.25">
      <c r="L52" s="7" t="e">
        <f>VLOOKUP(A52,'3121% SY'!A:M,'3121% SY'!$M$1,FALSE)</f>
        <v>#N/A</v>
      </c>
      <c r="M52" s="161" t="e">
        <f t="shared" si="2"/>
        <v>#N/A</v>
      </c>
      <c r="N52" s="33" t="e">
        <f t="shared" si="5"/>
        <v>#N/A</v>
      </c>
      <c r="R52" s="161" t="e">
        <f t="shared" si="3"/>
        <v>#N/A</v>
      </c>
      <c r="S52" s="33" t="e">
        <f t="shared" si="4"/>
        <v>#N/A</v>
      </c>
    </row>
    <row r="53" spans="12:19" x14ac:dyDescent="0.25">
      <c r="L53" s="7" t="e">
        <f>VLOOKUP(A53,'3121% SY'!A:M,'3121% SY'!$M$1,FALSE)</f>
        <v>#N/A</v>
      </c>
      <c r="M53" s="161" t="e">
        <f t="shared" si="2"/>
        <v>#N/A</v>
      </c>
      <c r="N53" s="33" t="e">
        <f t="shared" si="5"/>
        <v>#N/A</v>
      </c>
      <c r="R53" s="161" t="e">
        <f t="shared" si="3"/>
        <v>#N/A</v>
      </c>
      <c r="S53" s="33" t="e">
        <f t="shared" si="4"/>
        <v>#N/A</v>
      </c>
    </row>
    <row r="54" spans="12:19" x14ac:dyDescent="0.25">
      <c r="L54" s="7" t="e">
        <f>VLOOKUP(A54,'3121% SY'!A:M,'3121% SY'!$M$1,FALSE)</f>
        <v>#N/A</v>
      </c>
      <c r="M54" s="161" t="e">
        <f t="shared" si="2"/>
        <v>#N/A</v>
      </c>
      <c r="N54" s="33" t="e">
        <f t="shared" si="5"/>
        <v>#N/A</v>
      </c>
      <c r="R54" s="161" t="e">
        <f t="shared" si="3"/>
        <v>#N/A</v>
      </c>
      <c r="S54" s="33" t="e">
        <f t="shared" si="4"/>
        <v>#N/A</v>
      </c>
    </row>
    <row r="55" spans="12:19" x14ac:dyDescent="0.25">
      <c r="L55" s="7" t="e">
        <f>VLOOKUP(A55,'3121% SY'!A:M,'3121% SY'!$M$1,FALSE)</f>
        <v>#N/A</v>
      </c>
      <c r="M55" s="161" t="e">
        <f t="shared" si="2"/>
        <v>#N/A</v>
      </c>
      <c r="N55" s="33" t="e">
        <f t="shared" si="5"/>
        <v>#N/A</v>
      </c>
      <c r="R55" s="161" t="e">
        <f t="shared" si="3"/>
        <v>#N/A</v>
      </c>
      <c r="S55" s="33" t="e">
        <f t="shared" si="4"/>
        <v>#N/A</v>
      </c>
    </row>
    <row r="56" spans="12:19" x14ac:dyDescent="0.25">
      <c r="L56" s="7" t="e">
        <f>VLOOKUP(A56,'3121% SY'!A:M,'3121% SY'!$M$1,FALSE)</f>
        <v>#N/A</v>
      </c>
      <c r="M56" s="161" t="e">
        <f t="shared" si="2"/>
        <v>#N/A</v>
      </c>
      <c r="N56" s="33" t="e">
        <f t="shared" si="5"/>
        <v>#N/A</v>
      </c>
      <c r="R56" s="161" t="e">
        <f t="shared" si="3"/>
        <v>#N/A</v>
      </c>
      <c r="S56" s="33" t="e">
        <f t="shared" si="4"/>
        <v>#N/A</v>
      </c>
    </row>
    <row r="57" spans="12:19" x14ac:dyDescent="0.25">
      <c r="L57" s="7" t="e">
        <f>VLOOKUP(A57,'3121% SY'!A:M,'3121% SY'!$M$1,FALSE)</f>
        <v>#N/A</v>
      </c>
      <c r="M57" s="161" t="e">
        <f t="shared" si="2"/>
        <v>#N/A</v>
      </c>
      <c r="N57" s="33" t="e">
        <f t="shared" si="5"/>
        <v>#N/A</v>
      </c>
      <c r="R57" s="161" t="e">
        <f t="shared" si="3"/>
        <v>#N/A</v>
      </c>
      <c r="S57" s="33" t="e">
        <f t="shared" si="4"/>
        <v>#N/A</v>
      </c>
    </row>
    <row r="58" spans="12:19" x14ac:dyDescent="0.25">
      <c r="L58" s="7" t="e">
        <f>VLOOKUP(A58,'3121% SY'!A:M,'3121% SY'!$M$1,FALSE)</f>
        <v>#N/A</v>
      </c>
      <c r="M58" s="161" t="e">
        <f t="shared" si="2"/>
        <v>#N/A</v>
      </c>
      <c r="N58" s="33" t="e">
        <f t="shared" si="5"/>
        <v>#N/A</v>
      </c>
      <c r="R58" s="161" t="e">
        <f t="shared" si="3"/>
        <v>#N/A</v>
      </c>
      <c r="S58" s="33" t="e">
        <f t="shared" si="4"/>
        <v>#N/A</v>
      </c>
    </row>
    <row r="59" spans="12:19" x14ac:dyDescent="0.25">
      <c r="L59" s="7" t="e">
        <f>VLOOKUP(A59,'3121% SY'!A:M,'3121% SY'!$M$1,FALSE)</f>
        <v>#N/A</v>
      </c>
      <c r="M59" s="161" t="e">
        <f t="shared" si="2"/>
        <v>#N/A</v>
      </c>
      <c r="N59" s="33" t="e">
        <f t="shared" si="5"/>
        <v>#N/A</v>
      </c>
      <c r="R59" s="161" t="e">
        <f t="shared" si="3"/>
        <v>#N/A</v>
      </c>
      <c r="S59" s="33" t="e">
        <f t="shared" si="4"/>
        <v>#N/A</v>
      </c>
    </row>
    <row r="60" spans="12:19" x14ac:dyDescent="0.25">
      <c r="L60" s="7" t="e">
        <f>VLOOKUP(A60,'3121% SY'!A:M,'3121% SY'!$M$1,FALSE)</f>
        <v>#N/A</v>
      </c>
      <c r="M60" s="161" t="e">
        <f t="shared" si="2"/>
        <v>#N/A</v>
      </c>
      <c r="N60" s="33" t="e">
        <f t="shared" si="5"/>
        <v>#N/A</v>
      </c>
      <c r="R60" s="161" t="e">
        <f t="shared" si="3"/>
        <v>#N/A</v>
      </c>
      <c r="S60" s="33" t="e">
        <f t="shared" si="4"/>
        <v>#N/A</v>
      </c>
    </row>
    <row r="61" spans="12:19" x14ac:dyDescent="0.25">
      <c r="L61" s="7" t="e">
        <f>VLOOKUP(A61,'3121% SY'!A:M,'3121% SY'!$M$1,FALSE)</f>
        <v>#N/A</v>
      </c>
      <c r="M61" s="161" t="e">
        <f t="shared" si="2"/>
        <v>#N/A</v>
      </c>
      <c r="N61" s="33" t="e">
        <f t="shared" si="5"/>
        <v>#N/A</v>
      </c>
      <c r="R61" s="161" t="e">
        <f t="shared" si="3"/>
        <v>#N/A</v>
      </c>
      <c r="S61" s="33" t="e">
        <f t="shared" si="4"/>
        <v>#N/A</v>
      </c>
    </row>
    <row r="62" spans="12:19" x14ac:dyDescent="0.25">
      <c r="L62" s="7" t="e">
        <f>VLOOKUP(A62,'3121% SY'!A:M,'3121% SY'!$M$1,FALSE)</f>
        <v>#N/A</v>
      </c>
      <c r="M62" s="161" t="e">
        <f t="shared" si="2"/>
        <v>#N/A</v>
      </c>
      <c r="N62" s="33" t="e">
        <f t="shared" si="5"/>
        <v>#N/A</v>
      </c>
      <c r="R62" s="161" t="e">
        <f t="shared" si="3"/>
        <v>#N/A</v>
      </c>
      <c r="S62" s="33" t="e">
        <f t="shared" si="4"/>
        <v>#N/A</v>
      </c>
    </row>
    <row r="63" spans="12:19" x14ac:dyDescent="0.25">
      <c r="L63" s="7" t="e">
        <f>VLOOKUP(A63,'3121% SY'!A:M,'3121% SY'!$M$1,FALSE)</f>
        <v>#N/A</v>
      </c>
      <c r="M63" s="161" t="e">
        <f t="shared" si="2"/>
        <v>#N/A</v>
      </c>
      <c r="N63" s="33" t="e">
        <f t="shared" si="5"/>
        <v>#N/A</v>
      </c>
      <c r="R63" s="161" t="e">
        <f t="shared" si="3"/>
        <v>#N/A</v>
      </c>
      <c r="S63" s="33" t="e">
        <f t="shared" si="4"/>
        <v>#N/A</v>
      </c>
    </row>
    <row r="64" spans="12:19" x14ac:dyDescent="0.25">
      <c r="L64" s="7" t="e">
        <f>VLOOKUP(A64,'3121% SY'!A:M,'3121% SY'!$M$1,FALSE)</f>
        <v>#N/A</v>
      </c>
      <c r="M64" s="161" t="e">
        <f t="shared" si="2"/>
        <v>#N/A</v>
      </c>
      <c r="N64" s="33" t="e">
        <f t="shared" si="5"/>
        <v>#N/A</v>
      </c>
      <c r="R64" s="161" t="e">
        <f t="shared" si="3"/>
        <v>#N/A</v>
      </c>
      <c r="S64" s="33" t="e">
        <f t="shared" si="4"/>
        <v>#N/A</v>
      </c>
    </row>
    <row r="65" spans="12:19" x14ac:dyDescent="0.25">
      <c r="L65" s="7" t="e">
        <f>VLOOKUP(A65,'3121% SY'!A:M,'3121% SY'!$M$1,FALSE)</f>
        <v>#N/A</v>
      </c>
      <c r="M65" s="161" t="e">
        <f t="shared" si="2"/>
        <v>#N/A</v>
      </c>
      <c r="N65" s="33" t="e">
        <f t="shared" si="5"/>
        <v>#N/A</v>
      </c>
      <c r="R65" s="161" t="e">
        <f t="shared" si="3"/>
        <v>#N/A</v>
      </c>
      <c r="S65" s="33" t="e">
        <f t="shared" si="4"/>
        <v>#N/A</v>
      </c>
    </row>
    <row r="66" spans="12:19" x14ac:dyDescent="0.25">
      <c r="L66" s="7" t="e">
        <f>VLOOKUP(A66,'3121% SY'!A:M,'3121% SY'!$M$1,FALSE)</f>
        <v>#N/A</v>
      </c>
      <c r="M66" s="161" t="e">
        <f t="shared" si="2"/>
        <v>#N/A</v>
      </c>
      <c r="N66" s="33" t="e">
        <f t="shared" si="5"/>
        <v>#N/A</v>
      </c>
      <c r="R66" s="161" t="e">
        <f t="shared" si="3"/>
        <v>#N/A</v>
      </c>
      <c r="S66" s="33" t="e">
        <f t="shared" si="4"/>
        <v>#N/A</v>
      </c>
    </row>
    <row r="67" spans="12:19" x14ac:dyDescent="0.25">
      <c r="L67" s="7" t="e">
        <f>VLOOKUP(A67,'3121% SY'!A:M,'3121% SY'!$M$1,FALSE)</f>
        <v>#N/A</v>
      </c>
      <c r="M67" s="161" t="e">
        <f t="shared" si="2"/>
        <v>#N/A</v>
      </c>
      <c r="N67" s="33" t="e">
        <f t="shared" si="5"/>
        <v>#N/A</v>
      </c>
      <c r="R67" s="161" t="e">
        <f t="shared" si="3"/>
        <v>#N/A</v>
      </c>
      <c r="S67" s="33" t="e">
        <f t="shared" si="4"/>
        <v>#N/A</v>
      </c>
    </row>
    <row r="68" spans="12:19" x14ac:dyDescent="0.25">
      <c r="L68" s="7" t="e">
        <f>VLOOKUP(A68,'3121% SY'!A:M,'3121% SY'!$M$1,FALSE)</f>
        <v>#N/A</v>
      </c>
      <c r="M68" s="161" t="e">
        <f t="shared" si="2"/>
        <v>#N/A</v>
      </c>
      <c r="N68" s="33" t="e">
        <f t="shared" ref="N68:N99" si="6">SUM(M68,B68:H68)</f>
        <v>#N/A</v>
      </c>
      <c r="R68" s="161" t="e">
        <f t="shared" si="3"/>
        <v>#N/A</v>
      </c>
      <c r="S68" s="33" t="e">
        <f t="shared" si="4"/>
        <v>#N/A</v>
      </c>
    </row>
    <row r="69" spans="12:19" x14ac:dyDescent="0.25">
      <c r="L69" s="7" t="e">
        <f>VLOOKUP(A69,'3121% SY'!A:M,'3121% SY'!$M$1,FALSE)</f>
        <v>#N/A</v>
      </c>
      <c r="M69" s="161" t="e">
        <f t="shared" ref="M69:M132" si="7">ROUND(I69*$L69,3)+ROUND(J69*$L69,3)++ROUND(K69*$L69,3)</f>
        <v>#N/A</v>
      </c>
      <c r="N69" s="33" t="e">
        <f t="shared" si="6"/>
        <v>#N/A</v>
      </c>
      <c r="R69" s="161" t="e">
        <f t="shared" ref="R69:R122" si="8">ROUND(Q69*$L69,3)</f>
        <v>#N/A</v>
      </c>
      <c r="S69" s="33" t="e">
        <f t="shared" ref="S69:S122" si="9">SUM(R69,O69:P69)</f>
        <v>#N/A</v>
      </c>
    </row>
    <row r="70" spans="12:19" x14ac:dyDescent="0.25">
      <c r="L70" s="7" t="e">
        <f>VLOOKUP(A70,'3121% SY'!A:M,'3121% SY'!$M$1,FALSE)</f>
        <v>#N/A</v>
      </c>
      <c r="M70" s="161" t="e">
        <f t="shared" si="7"/>
        <v>#N/A</v>
      </c>
      <c r="N70" s="33" t="e">
        <f t="shared" si="6"/>
        <v>#N/A</v>
      </c>
      <c r="R70" s="161" t="e">
        <f t="shared" si="8"/>
        <v>#N/A</v>
      </c>
      <c r="S70" s="33" t="e">
        <f t="shared" si="9"/>
        <v>#N/A</v>
      </c>
    </row>
    <row r="71" spans="12:19" x14ac:dyDescent="0.25">
      <c r="L71" s="7" t="e">
        <f>VLOOKUP(A71,'3121% SY'!A:M,'3121% SY'!$M$1,FALSE)</f>
        <v>#N/A</v>
      </c>
      <c r="M71" s="161" t="e">
        <f t="shared" si="7"/>
        <v>#N/A</v>
      </c>
      <c r="N71" s="33" t="e">
        <f t="shared" si="6"/>
        <v>#N/A</v>
      </c>
      <c r="R71" s="161" t="e">
        <f t="shared" si="8"/>
        <v>#N/A</v>
      </c>
      <c r="S71" s="33" t="e">
        <f t="shared" si="9"/>
        <v>#N/A</v>
      </c>
    </row>
    <row r="72" spans="12:19" x14ac:dyDescent="0.25">
      <c r="L72" s="7" t="e">
        <f>VLOOKUP(A72,'3121% SY'!A:M,'3121% SY'!$M$1,FALSE)</f>
        <v>#N/A</v>
      </c>
      <c r="M72" s="161" t="e">
        <f t="shared" si="7"/>
        <v>#N/A</v>
      </c>
      <c r="N72" s="33" t="e">
        <f t="shared" si="6"/>
        <v>#N/A</v>
      </c>
      <c r="R72" s="161" t="e">
        <f t="shared" si="8"/>
        <v>#N/A</v>
      </c>
      <c r="S72" s="33" t="e">
        <f t="shared" si="9"/>
        <v>#N/A</v>
      </c>
    </row>
    <row r="73" spans="12:19" x14ac:dyDescent="0.25">
      <c r="L73" s="7" t="e">
        <f>VLOOKUP(A73,'3121% SY'!A:M,'3121% SY'!$M$1,FALSE)</f>
        <v>#N/A</v>
      </c>
      <c r="M73" s="161" t="e">
        <f t="shared" si="7"/>
        <v>#N/A</v>
      </c>
      <c r="N73" s="33" t="e">
        <f t="shared" si="6"/>
        <v>#N/A</v>
      </c>
      <c r="R73" s="161" t="e">
        <f t="shared" si="8"/>
        <v>#N/A</v>
      </c>
      <c r="S73" s="33" t="e">
        <f t="shared" si="9"/>
        <v>#N/A</v>
      </c>
    </row>
    <row r="74" spans="12:19" x14ac:dyDescent="0.25">
      <c r="L74" s="7" t="e">
        <f>VLOOKUP(A74,'3121% SY'!A:M,'3121% SY'!$M$1,FALSE)</f>
        <v>#N/A</v>
      </c>
      <c r="M74" s="161" t="e">
        <f t="shared" si="7"/>
        <v>#N/A</v>
      </c>
      <c r="N74" s="33" t="e">
        <f t="shared" si="6"/>
        <v>#N/A</v>
      </c>
      <c r="R74" s="161" t="e">
        <f t="shared" si="8"/>
        <v>#N/A</v>
      </c>
      <c r="S74" s="33" t="e">
        <f t="shared" si="9"/>
        <v>#N/A</v>
      </c>
    </row>
    <row r="75" spans="12:19" x14ac:dyDescent="0.25">
      <c r="L75" s="7" t="e">
        <f>VLOOKUP(A75,'3121% SY'!A:M,'3121% SY'!$M$1,FALSE)</f>
        <v>#N/A</v>
      </c>
      <c r="M75" s="161" t="e">
        <f t="shared" si="7"/>
        <v>#N/A</v>
      </c>
      <c r="N75" s="33" t="e">
        <f t="shared" si="6"/>
        <v>#N/A</v>
      </c>
      <c r="R75" s="161" t="e">
        <f t="shared" si="8"/>
        <v>#N/A</v>
      </c>
      <c r="S75" s="33" t="e">
        <f t="shared" si="9"/>
        <v>#N/A</v>
      </c>
    </row>
    <row r="76" spans="12:19" x14ac:dyDescent="0.25">
      <c r="L76" s="7" t="e">
        <f>VLOOKUP(A76,'3121% SY'!A:M,'3121% SY'!$M$1,FALSE)</f>
        <v>#N/A</v>
      </c>
      <c r="M76" s="161" t="e">
        <f t="shared" si="7"/>
        <v>#N/A</v>
      </c>
      <c r="N76" s="33" t="e">
        <f t="shared" si="6"/>
        <v>#N/A</v>
      </c>
      <c r="R76" s="161" t="e">
        <f t="shared" si="8"/>
        <v>#N/A</v>
      </c>
      <c r="S76" s="33" t="e">
        <f t="shared" si="9"/>
        <v>#N/A</v>
      </c>
    </row>
    <row r="77" spans="12:19" x14ac:dyDescent="0.25">
      <c r="L77" s="7" t="e">
        <f>VLOOKUP(A77,'3121% SY'!A:M,'3121% SY'!$M$1,FALSE)</f>
        <v>#N/A</v>
      </c>
      <c r="M77" s="161" t="e">
        <f t="shared" si="7"/>
        <v>#N/A</v>
      </c>
      <c r="N77" s="33" t="e">
        <f t="shared" si="6"/>
        <v>#N/A</v>
      </c>
      <c r="R77" s="161" t="e">
        <f t="shared" si="8"/>
        <v>#N/A</v>
      </c>
      <c r="S77" s="33" t="e">
        <f t="shared" si="9"/>
        <v>#N/A</v>
      </c>
    </row>
    <row r="78" spans="12:19" x14ac:dyDescent="0.25">
      <c r="L78" s="7" t="e">
        <f>VLOOKUP(A78,'3121% SY'!A:M,'3121% SY'!$M$1,FALSE)</f>
        <v>#N/A</v>
      </c>
      <c r="M78" s="161" t="e">
        <f t="shared" si="7"/>
        <v>#N/A</v>
      </c>
      <c r="N78" s="33" t="e">
        <f t="shared" si="6"/>
        <v>#N/A</v>
      </c>
      <c r="R78" s="161" t="e">
        <f t="shared" si="8"/>
        <v>#N/A</v>
      </c>
      <c r="S78" s="33" t="e">
        <f t="shared" si="9"/>
        <v>#N/A</v>
      </c>
    </row>
    <row r="79" spans="12:19" x14ac:dyDescent="0.25">
      <c r="L79" s="7" t="e">
        <f>VLOOKUP(A79,'3121% SY'!A:M,'3121% SY'!$M$1,FALSE)</f>
        <v>#N/A</v>
      </c>
      <c r="M79" s="161" t="e">
        <f t="shared" si="7"/>
        <v>#N/A</v>
      </c>
      <c r="N79" s="33" t="e">
        <f t="shared" si="6"/>
        <v>#N/A</v>
      </c>
      <c r="R79" s="161" t="e">
        <f t="shared" si="8"/>
        <v>#N/A</v>
      </c>
      <c r="S79" s="33" t="e">
        <f t="shared" si="9"/>
        <v>#N/A</v>
      </c>
    </row>
    <row r="80" spans="12:19" x14ac:dyDescent="0.25">
      <c r="L80" s="7" t="e">
        <f>VLOOKUP(A80,'3121% SY'!A:M,'3121% SY'!$M$1,FALSE)</f>
        <v>#N/A</v>
      </c>
      <c r="M80" s="161" t="e">
        <f t="shared" si="7"/>
        <v>#N/A</v>
      </c>
      <c r="N80" s="33" t="e">
        <f t="shared" si="6"/>
        <v>#N/A</v>
      </c>
      <c r="R80" s="161" t="e">
        <f t="shared" si="8"/>
        <v>#N/A</v>
      </c>
      <c r="S80" s="33" t="e">
        <f t="shared" si="9"/>
        <v>#N/A</v>
      </c>
    </row>
    <row r="81" spans="12:19" x14ac:dyDescent="0.25">
      <c r="L81" s="7" t="e">
        <f>VLOOKUP(A81,'3121% SY'!A:M,'3121% SY'!$M$1,FALSE)</f>
        <v>#N/A</v>
      </c>
      <c r="M81" s="161" t="e">
        <f t="shared" si="7"/>
        <v>#N/A</v>
      </c>
      <c r="N81" s="33" t="e">
        <f t="shared" si="6"/>
        <v>#N/A</v>
      </c>
      <c r="R81" s="161" t="e">
        <f t="shared" si="8"/>
        <v>#N/A</v>
      </c>
      <c r="S81" s="33" t="e">
        <f t="shared" si="9"/>
        <v>#N/A</v>
      </c>
    </row>
    <row r="82" spans="12:19" x14ac:dyDescent="0.25">
      <c r="L82" s="7" t="e">
        <f>VLOOKUP(A82,'3121% SY'!A:M,'3121% SY'!$M$1,FALSE)</f>
        <v>#N/A</v>
      </c>
      <c r="M82" s="161" t="e">
        <f t="shared" si="7"/>
        <v>#N/A</v>
      </c>
      <c r="N82" s="33" t="e">
        <f t="shared" si="6"/>
        <v>#N/A</v>
      </c>
      <c r="R82" s="161" t="e">
        <f t="shared" si="8"/>
        <v>#N/A</v>
      </c>
      <c r="S82" s="33" t="e">
        <f t="shared" si="9"/>
        <v>#N/A</v>
      </c>
    </row>
    <row r="83" spans="12:19" x14ac:dyDescent="0.25">
      <c r="L83" s="7" t="e">
        <f>VLOOKUP(A83,'3121% SY'!A:M,'3121% SY'!$M$1,FALSE)</f>
        <v>#N/A</v>
      </c>
      <c r="M83" s="161" t="e">
        <f t="shared" si="7"/>
        <v>#N/A</v>
      </c>
      <c r="N83" s="33" t="e">
        <f t="shared" si="6"/>
        <v>#N/A</v>
      </c>
      <c r="R83" s="161" t="e">
        <f t="shared" si="8"/>
        <v>#N/A</v>
      </c>
      <c r="S83" s="33" t="e">
        <f t="shared" si="9"/>
        <v>#N/A</v>
      </c>
    </row>
    <row r="84" spans="12:19" x14ac:dyDescent="0.25">
      <c r="L84" s="7" t="e">
        <f>VLOOKUP(A84,'3121% SY'!A:M,'3121% SY'!$M$1,FALSE)</f>
        <v>#N/A</v>
      </c>
      <c r="M84" s="161" t="e">
        <f t="shared" si="7"/>
        <v>#N/A</v>
      </c>
      <c r="N84" s="33" t="e">
        <f t="shared" si="6"/>
        <v>#N/A</v>
      </c>
      <c r="R84" s="161" t="e">
        <f t="shared" si="8"/>
        <v>#N/A</v>
      </c>
      <c r="S84" s="33" t="e">
        <f t="shared" si="9"/>
        <v>#N/A</v>
      </c>
    </row>
    <row r="85" spans="12:19" x14ac:dyDescent="0.25">
      <c r="L85" s="7" t="e">
        <f>VLOOKUP(A85,'3121% SY'!A:M,'3121% SY'!$M$1,FALSE)</f>
        <v>#N/A</v>
      </c>
      <c r="M85" s="161" t="e">
        <f t="shared" si="7"/>
        <v>#N/A</v>
      </c>
      <c r="N85" s="33" t="e">
        <f t="shared" si="6"/>
        <v>#N/A</v>
      </c>
      <c r="R85" s="161" t="e">
        <f t="shared" si="8"/>
        <v>#N/A</v>
      </c>
      <c r="S85" s="33" t="e">
        <f t="shared" si="9"/>
        <v>#N/A</v>
      </c>
    </row>
    <row r="86" spans="12:19" x14ac:dyDescent="0.25">
      <c r="L86" s="7" t="e">
        <f>VLOOKUP(A86,'3121% SY'!A:M,'3121% SY'!$M$1,FALSE)</f>
        <v>#N/A</v>
      </c>
      <c r="M86" s="161" t="e">
        <f t="shared" si="7"/>
        <v>#N/A</v>
      </c>
      <c r="N86" s="33" t="e">
        <f t="shared" si="6"/>
        <v>#N/A</v>
      </c>
      <c r="R86" s="161" t="e">
        <f t="shared" si="8"/>
        <v>#N/A</v>
      </c>
      <c r="S86" s="33" t="e">
        <f t="shared" si="9"/>
        <v>#N/A</v>
      </c>
    </row>
    <row r="87" spans="12:19" x14ac:dyDescent="0.25">
      <c r="L87" s="7" t="e">
        <f>VLOOKUP(A87,'3121% SY'!A:M,'3121% SY'!$M$1,FALSE)</f>
        <v>#N/A</v>
      </c>
      <c r="M87" s="161" t="e">
        <f t="shared" si="7"/>
        <v>#N/A</v>
      </c>
      <c r="N87" s="33" t="e">
        <f t="shared" si="6"/>
        <v>#N/A</v>
      </c>
      <c r="R87" s="161" t="e">
        <f t="shared" si="8"/>
        <v>#N/A</v>
      </c>
      <c r="S87" s="33" t="e">
        <f t="shared" si="9"/>
        <v>#N/A</v>
      </c>
    </row>
    <row r="88" spans="12:19" x14ac:dyDescent="0.25">
      <c r="L88" s="7" t="e">
        <f>VLOOKUP(A88,'3121% SY'!A:M,'3121% SY'!$M$1,FALSE)</f>
        <v>#N/A</v>
      </c>
      <c r="M88" s="161" t="e">
        <f t="shared" si="7"/>
        <v>#N/A</v>
      </c>
      <c r="N88" s="33" t="e">
        <f t="shared" si="6"/>
        <v>#N/A</v>
      </c>
      <c r="R88" s="161" t="e">
        <f t="shared" si="8"/>
        <v>#N/A</v>
      </c>
      <c r="S88" s="33" t="e">
        <f t="shared" si="9"/>
        <v>#N/A</v>
      </c>
    </row>
    <row r="89" spans="12:19" x14ac:dyDescent="0.25">
      <c r="L89" s="7" t="e">
        <f>VLOOKUP(A89,'3121% SY'!A:M,'3121% SY'!$M$1,FALSE)</f>
        <v>#N/A</v>
      </c>
      <c r="M89" s="161" t="e">
        <f t="shared" si="7"/>
        <v>#N/A</v>
      </c>
      <c r="N89" s="33" t="e">
        <f t="shared" si="6"/>
        <v>#N/A</v>
      </c>
      <c r="R89" s="161" t="e">
        <f t="shared" si="8"/>
        <v>#N/A</v>
      </c>
      <c r="S89" s="33" t="e">
        <f t="shared" si="9"/>
        <v>#N/A</v>
      </c>
    </row>
    <row r="90" spans="12:19" x14ac:dyDescent="0.25">
      <c r="L90" s="7" t="e">
        <f>VLOOKUP(A90,'3121% SY'!A:M,'3121% SY'!$M$1,FALSE)</f>
        <v>#N/A</v>
      </c>
      <c r="M90" s="161" t="e">
        <f t="shared" si="7"/>
        <v>#N/A</v>
      </c>
      <c r="N90" s="33" t="e">
        <f t="shared" si="6"/>
        <v>#N/A</v>
      </c>
      <c r="R90" s="161" t="e">
        <f t="shared" si="8"/>
        <v>#N/A</v>
      </c>
      <c r="S90" s="33" t="e">
        <f t="shared" si="9"/>
        <v>#N/A</v>
      </c>
    </row>
    <row r="91" spans="12:19" x14ac:dyDescent="0.25">
      <c r="L91" s="7" t="e">
        <f>VLOOKUP(A91,'3121% SY'!A:M,'3121% SY'!$M$1,FALSE)</f>
        <v>#N/A</v>
      </c>
      <c r="M91" s="161" t="e">
        <f t="shared" si="7"/>
        <v>#N/A</v>
      </c>
      <c r="N91" s="33" t="e">
        <f t="shared" si="6"/>
        <v>#N/A</v>
      </c>
      <c r="R91" s="161" t="e">
        <f t="shared" si="8"/>
        <v>#N/A</v>
      </c>
      <c r="S91" s="33" t="e">
        <f t="shared" si="9"/>
        <v>#N/A</v>
      </c>
    </row>
    <row r="92" spans="12:19" x14ac:dyDescent="0.25">
      <c r="L92" s="7" t="e">
        <f>VLOOKUP(A92,'3121% SY'!A:M,'3121% SY'!$M$1,FALSE)</f>
        <v>#N/A</v>
      </c>
      <c r="M92" s="161" t="e">
        <f t="shared" si="7"/>
        <v>#N/A</v>
      </c>
      <c r="N92" s="33" t="e">
        <f t="shared" si="6"/>
        <v>#N/A</v>
      </c>
      <c r="R92" s="161" t="e">
        <f t="shared" si="8"/>
        <v>#N/A</v>
      </c>
      <c r="S92" s="33" t="e">
        <f t="shared" si="9"/>
        <v>#N/A</v>
      </c>
    </row>
    <row r="93" spans="12:19" x14ac:dyDescent="0.25">
      <c r="L93" s="7" t="e">
        <f>VLOOKUP(A93,'3121% SY'!A:M,'3121% SY'!$M$1,FALSE)</f>
        <v>#N/A</v>
      </c>
      <c r="M93" s="161" t="e">
        <f t="shared" si="7"/>
        <v>#N/A</v>
      </c>
      <c r="N93" s="33" t="e">
        <f t="shared" si="6"/>
        <v>#N/A</v>
      </c>
      <c r="R93" s="161" t="e">
        <f t="shared" si="8"/>
        <v>#N/A</v>
      </c>
      <c r="S93" s="33" t="e">
        <f t="shared" si="9"/>
        <v>#N/A</v>
      </c>
    </row>
    <row r="94" spans="12:19" x14ac:dyDescent="0.25">
      <c r="L94" s="7" t="e">
        <f>VLOOKUP(A94,'3121% SY'!A:M,'3121% SY'!$M$1,FALSE)</f>
        <v>#N/A</v>
      </c>
      <c r="M94" s="161" t="e">
        <f t="shared" si="7"/>
        <v>#N/A</v>
      </c>
      <c r="N94" s="33" t="e">
        <f t="shared" si="6"/>
        <v>#N/A</v>
      </c>
      <c r="R94" s="161" t="e">
        <f t="shared" si="8"/>
        <v>#N/A</v>
      </c>
      <c r="S94" s="33" t="e">
        <f t="shared" si="9"/>
        <v>#N/A</v>
      </c>
    </row>
    <row r="95" spans="12:19" x14ac:dyDescent="0.25">
      <c r="L95" s="7" t="e">
        <f>VLOOKUP(A95,'3121% SY'!A:M,'3121% SY'!$M$1,FALSE)</f>
        <v>#N/A</v>
      </c>
      <c r="M95" s="161" t="e">
        <f t="shared" si="7"/>
        <v>#N/A</v>
      </c>
      <c r="N95" s="33" t="e">
        <f t="shared" si="6"/>
        <v>#N/A</v>
      </c>
      <c r="R95" s="161" t="e">
        <f t="shared" si="8"/>
        <v>#N/A</v>
      </c>
      <c r="S95" s="33" t="e">
        <f t="shared" si="9"/>
        <v>#N/A</v>
      </c>
    </row>
    <row r="96" spans="12:19" x14ac:dyDescent="0.25">
      <c r="L96" s="7" t="e">
        <f>VLOOKUP(A96,'3121% SY'!A:M,'3121% SY'!$M$1,FALSE)</f>
        <v>#N/A</v>
      </c>
      <c r="M96" s="161" t="e">
        <f t="shared" si="7"/>
        <v>#N/A</v>
      </c>
      <c r="N96" s="33" t="e">
        <f t="shared" si="6"/>
        <v>#N/A</v>
      </c>
      <c r="R96" s="161" t="e">
        <f t="shared" si="8"/>
        <v>#N/A</v>
      </c>
      <c r="S96" s="33" t="e">
        <f t="shared" si="9"/>
        <v>#N/A</v>
      </c>
    </row>
    <row r="97" spans="12:19" x14ac:dyDescent="0.25">
      <c r="L97" s="7" t="e">
        <f>VLOOKUP(A97,'3121% SY'!A:M,'3121% SY'!$M$1,FALSE)</f>
        <v>#N/A</v>
      </c>
      <c r="M97" s="161" t="e">
        <f t="shared" si="7"/>
        <v>#N/A</v>
      </c>
      <c r="N97" s="33" t="e">
        <f t="shared" si="6"/>
        <v>#N/A</v>
      </c>
      <c r="R97" s="161" t="e">
        <f t="shared" si="8"/>
        <v>#N/A</v>
      </c>
      <c r="S97" s="33" t="e">
        <f t="shared" si="9"/>
        <v>#N/A</v>
      </c>
    </row>
    <row r="98" spans="12:19" x14ac:dyDescent="0.25">
      <c r="L98" s="7" t="e">
        <f>VLOOKUP(A98,'3121% SY'!A:M,'3121% SY'!$M$1,FALSE)</f>
        <v>#N/A</v>
      </c>
      <c r="M98" s="161" t="e">
        <f t="shared" si="7"/>
        <v>#N/A</v>
      </c>
      <c r="N98" s="33" t="e">
        <f t="shared" si="6"/>
        <v>#N/A</v>
      </c>
      <c r="R98" s="161" t="e">
        <f t="shared" si="8"/>
        <v>#N/A</v>
      </c>
      <c r="S98" s="33" t="e">
        <f t="shared" si="9"/>
        <v>#N/A</v>
      </c>
    </row>
    <row r="99" spans="12:19" x14ac:dyDescent="0.25">
      <c r="L99" s="7" t="e">
        <f>VLOOKUP(A99,'3121% SY'!A:M,'3121% SY'!$M$1,FALSE)</f>
        <v>#N/A</v>
      </c>
      <c r="M99" s="161" t="e">
        <f t="shared" si="7"/>
        <v>#N/A</v>
      </c>
      <c r="N99" s="33" t="e">
        <f t="shared" si="6"/>
        <v>#N/A</v>
      </c>
      <c r="R99" s="161" t="e">
        <f t="shared" si="8"/>
        <v>#N/A</v>
      </c>
      <c r="S99" s="33" t="e">
        <f t="shared" si="9"/>
        <v>#N/A</v>
      </c>
    </row>
    <row r="100" spans="12:19" x14ac:dyDescent="0.25">
      <c r="L100" s="7" t="e">
        <f>VLOOKUP(A100,'3121% SY'!A:M,'3121% SY'!$M$1,FALSE)</f>
        <v>#N/A</v>
      </c>
      <c r="M100" s="161" t="e">
        <f t="shared" si="7"/>
        <v>#N/A</v>
      </c>
      <c r="N100" s="33" t="e">
        <f t="shared" ref="N100:N131" si="10">SUM(M100,B100:H100)</f>
        <v>#N/A</v>
      </c>
      <c r="R100" s="161" t="e">
        <f t="shared" si="8"/>
        <v>#N/A</v>
      </c>
      <c r="S100" s="33" t="e">
        <f t="shared" si="9"/>
        <v>#N/A</v>
      </c>
    </row>
    <row r="101" spans="12:19" x14ac:dyDescent="0.25">
      <c r="L101" s="7" t="e">
        <f>VLOOKUP(A101,'3121% SY'!A:M,'3121% SY'!$M$1,FALSE)</f>
        <v>#N/A</v>
      </c>
      <c r="M101" s="161" t="e">
        <f t="shared" si="7"/>
        <v>#N/A</v>
      </c>
      <c r="N101" s="33" t="e">
        <f t="shared" si="10"/>
        <v>#N/A</v>
      </c>
      <c r="R101" s="161" t="e">
        <f t="shared" si="8"/>
        <v>#N/A</v>
      </c>
      <c r="S101" s="33" t="e">
        <f t="shared" si="9"/>
        <v>#N/A</v>
      </c>
    </row>
    <row r="102" spans="12:19" x14ac:dyDescent="0.25">
      <c r="L102" s="7" t="e">
        <f>VLOOKUP(A102,'3121% SY'!A:M,'3121% SY'!$M$1,FALSE)</f>
        <v>#N/A</v>
      </c>
      <c r="M102" s="161" t="e">
        <f t="shared" si="7"/>
        <v>#N/A</v>
      </c>
      <c r="N102" s="33" t="e">
        <f t="shared" si="10"/>
        <v>#N/A</v>
      </c>
      <c r="R102" s="161" t="e">
        <f t="shared" si="8"/>
        <v>#N/A</v>
      </c>
      <c r="S102" s="33" t="e">
        <f t="shared" si="9"/>
        <v>#N/A</v>
      </c>
    </row>
    <row r="103" spans="12:19" x14ac:dyDescent="0.25">
      <c r="L103" s="7" t="e">
        <f>VLOOKUP(A103,'3121% SY'!A:M,'3121% SY'!$M$1,FALSE)</f>
        <v>#N/A</v>
      </c>
      <c r="M103" s="161" t="e">
        <f t="shared" si="7"/>
        <v>#N/A</v>
      </c>
      <c r="N103" s="33" t="e">
        <f t="shared" si="10"/>
        <v>#N/A</v>
      </c>
      <c r="R103" s="161" t="e">
        <f t="shared" si="8"/>
        <v>#N/A</v>
      </c>
      <c r="S103" s="33" t="e">
        <f t="shared" si="9"/>
        <v>#N/A</v>
      </c>
    </row>
    <row r="104" spans="12:19" x14ac:dyDescent="0.25">
      <c r="L104" s="7" t="e">
        <f>VLOOKUP(A104,'3121% SY'!A:M,'3121% SY'!$M$1,FALSE)</f>
        <v>#N/A</v>
      </c>
      <c r="M104" s="161" t="e">
        <f t="shared" si="7"/>
        <v>#N/A</v>
      </c>
      <c r="N104" s="33" t="e">
        <f t="shared" si="10"/>
        <v>#N/A</v>
      </c>
      <c r="R104" s="161" t="e">
        <f t="shared" si="8"/>
        <v>#N/A</v>
      </c>
      <c r="S104" s="33" t="e">
        <f t="shared" si="9"/>
        <v>#N/A</v>
      </c>
    </row>
    <row r="105" spans="12:19" x14ac:dyDescent="0.25">
      <c r="L105" s="7" t="e">
        <f>VLOOKUP(A105,'3121% SY'!A:M,'3121% SY'!$M$1,FALSE)</f>
        <v>#N/A</v>
      </c>
      <c r="M105" s="161" t="e">
        <f t="shared" si="7"/>
        <v>#N/A</v>
      </c>
      <c r="N105" s="33" t="e">
        <f t="shared" si="10"/>
        <v>#N/A</v>
      </c>
      <c r="R105" s="161" t="e">
        <f t="shared" si="8"/>
        <v>#N/A</v>
      </c>
      <c r="S105" s="33" t="e">
        <f t="shared" si="9"/>
        <v>#N/A</v>
      </c>
    </row>
    <row r="106" spans="12:19" x14ac:dyDescent="0.25">
      <c r="L106" s="7" t="e">
        <f>VLOOKUP(A106,'3121% SY'!A:M,'3121% SY'!$M$1,FALSE)</f>
        <v>#N/A</v>
      </c>
      <c r="M106" s="161" t="e">
        <f t="shared" si="7"/>
        <v>#N/A</v>
      </c>
      <c r="N106" s="33" t="e">
        <f t="shared" si="10"/>
        <v>#N/A</v>
      </c>
      <c r="R106" s="161" t="e">
        <f t="shared" si="8"/>
        <v>#N/A</v>
      </c>
      <c r="S106" s="33" t="e">
        <f t="shared" si="9"/>
        <v>#N/A</v>
      </c>
    </row>
    <row r="107" spans="12:19" x14ac:dyDescent="0.25">
      <c r="L107" s="7" t="e">
        <f>VLOOKUP(A107,'3121% SY'!A:M,'3121% SY'!$M$1,FALSE)</f>
        <v>#N/A</v>
      </c>
      <c r="M107" s="161" t="e">
        <f t="shared" si="7"/>
        <v>#N/A</v>
      </c>
      <c r="N107" s="33" t="e">
        <f t="shared" si="10"/>
        <v>#N/A</v>
      </c>
      <c r="R107" s="161" t="e">
        <f t="shared" si="8"/>
        <v>#N/A</v>
      </c>
      <c r="S107" s="33" t="e">
        <f t="shared" si="9"/>
        <v>#N/A</v>
      </c>
    </row>
    <row r="108" spans="12:19" x14ac:dyDescent="0.25">
      <c r="L108" s="7" t="e">
        <f>VLOOKUP(A108,'3121% SY'!A:M,'3121% SY'!$M$1,FALSE)</f>
        <v>#N/A</v>
      </c>
      <c r="M108" s="161" t="e">
        <f t="shared" si="7"/>
        <v>#N/A</v>
      </c>
      <c r="N108" s="33" t="e">
        <f t="shared" si="10"/>
        <v>#N/A</v>
      </c>
      <c r="R108" s="161" t="e">
        <f t="shared" si="8"/>
        <v>#N/A</v>
      </c>
      <c r="S108" s="33" t="e">
        <f t="shared" si="9"/>
        <v>#N/A</v>
      </c>
    </row>
    <row r="109" spans="12:19" x14ac:dyDescent="0.25">
      <c r="L109" s="7" t="e">
        <f>VLOOKUP(A109,'3121% SY'!A:M,'3121% SY'!$M$1,FALSE)</f>
        <v>#N/A</v>
      </c>
      <c r="M109" s="161" t="e">
        <f t="shared" si="7"/>
        <v>#N/A</v>
      </c>
      <c r="N109" s="33" t="e">
        <f t="shared" si="10"/>
        <v>#N/A</v>
      </c>
      <c r="R109" s="161" t="e">
        <f t="shared" si="8"/>
        <v>#N/A</v>
      </c>
      <c r="S109" s="33" t="e">
        <f t="shared" si="9"/>
        <v>#N/A</v>
      </c>
    </row>
    <row r="110" spans="12:19" x14ac:dyDescent="0.25">
      <c r="L110" s="7" t="e">
        <f>VLOOKUP(A110,'3121% SY'!A:M,'3121% SY'!$M$1,FALSE)</f>
        <v>#N/A</v>
      </c>
      <c r="M110" s="161" t="e">
        <f t="shared" si="7"/>
        <v>#N/A</v>
      </c>
      <c r="N110" s="33" t="e">
        <f t="shared" si="10"/>
        <v>#N/A</v>
      </c>
      <c r="R110" s="161" t="e">
        <f t="shared" si="8"/>
        <v>#N/A</v>
      </c>
      <c r="S110" s="33" t="e">
        <f t="shared" si="9"/>
        <v>#N/A</v>
      </c>
    </row>
    <row r="111" spans="12:19" x14ac:dyDescent="0.25">
      <c r="L111" s="7" t="e">
        <f>VLOOKUP(A111,'3121% SY'!A:M,'3121% SY'!$M$1,FALSE)</f>
        <v>#N/A</v>
      </c>
      <c r="M111" s="161" t="e">
        <f t="shared" si="7"/>
        <v>#N/A</v>
      </c>
      <c r="N111" s="33" t="e">
        <f t="shared" si="10"/>
        <v>#N/A</v>
      </c>
      <c r="R111" s="161" t="e">
        <f t="shared" si="8"/>
        <v>#N/A</v>
      </c>
      <c r="S111" s="33" t="e">
        <f t="shared" si="9"/>
        <v>#N/A</v>
      </c>
    </row>
    <row r="112" spans="12:19" x14ac:dyDescent="0.25">
      <c r="L112" s="7" t="e">
        <f>VLOOKUP(A112,'3121% SY'!A:M,'3121% SY'!$M$1,FALSE)</f>
        <v>#N/A</v>
      </c>
      <c r="M112" s="161" t="e">
        <f t="shared" si="7"/>
        <v>#N/A</v>
      </c>
      <c r="N112" s="33" t="e">
        <f t="shared" si="10"/>
        <v>#N/A</v>
      </c>
      <c r="R112" s="161" t="e">
        <f t="shared" si="8"/>
        <v>#N/A</v>
      </c>
      <c r="S112" s="33" t="e">
        <f t="shared" si="9"/>
        <v>#N/A</v>
      </c>
    </row>
    <row r="113" spans="12:19" x14ac:dyDescent="0.25">
      <c r="L113" s="7" t="e">
        <f>VLOOKUP(A113,'3121% SY'!A:M,'3121% SY'!$M$1,FALSE)</f>
        <v>#N/A</v>
      </c>
      <c r="M113" s="161" t="e">
        <f t="shared" si="7"/>
        <v>#N/A</v>
      </c>
      <c r="N113" s="33" t="e">
        <f t="shared" si="10"/>
        <v>#N/A</v>
      </c>
      <c r="R113" s="161" t="e">
        <f t="shared" si="8"/>
        <v>#N/A</v>
      </c>
      <c r="S113" s="33" t="e">
        <f t="shared" si="9"/>
        <v>#N/A</v>
      </c>
    </row>
    <row r="114" spans="12:19" x14ac:dyDescent="0.25">
      <c r="L114" s="7" t="e">
        <f>VLOOKUP(A114,'3121% SY'!A:M,'3121% SY'!$M$1,FALSE)</f>
        <v>#N/A</v>
      </c>
      <c r="M114" s="161" t="e">
        <f t="shared" si="7"/>
        <v>#N/A</v>
      </c>
      <c r="N114" s="33" t="e">
        <f t="shared" si="10"/>
        <v>#N/A</v>
      </c>
      <c r="R114" s="161" t="e">
        <f t="shared" si="8"/>
        <v>#N/A</v>
      </c>
      <c r="S114" s="33" t="e">
        <f t="shared" si="9"/>
        <v>#N/A</v>
      </c>
    </row>
    <row r="115" spans="12:19" x14ac:dyDescent="0.25">
      <c r="L115" s="7" t="e">
        <f>VLOOKUP(A115,'3121% SY'!A:M,'3121% SY'!$M$1,FALSE)</f>
        <v>#N/A</v>
      </c>
      <c r="M115" s="161" t="e">
        <f t="shared" si="7"/>
        <v>#N/A</v>
      </c>
      <c r="N115" s="33" t="e">
        <f t="shared" si="10"/>
        <v>#N/A</v>
      </c>
      <c r="R115" s="161" t="e">
        <f t="shared" si="8"/>
        <v>#N/A</v>
      </c>
      <c r="S115" s="33" t="e">
        <f t="shared" si="9"/>
        <v>#N/A</v>
      </c>
    </row>
    <row r="116" spans="12:19" x14ac:dyDescent="0.25">
      <c r="L116" s="7" t="e">
        <f>VLOOKUP(A116,'3121% SY'!A:M,'3121% SY'!$M$1,FALSE)</f>
        <v>#N/A</v>
      </c>
      <c r="M116" s="161" t="e">
        <f t="shared" si="7"/>
        <v>#N/A</v>
      </c>
      <c r="N116" s="33" t="e">
        <f t="shared" si="10"/>
        <v>#N/A</v>
      </c>
      <c r="R116" s="161" t="e">
        <f t="shared" si="8"/>
        <v>#N/A</v>
      </c>
      <c r="S116" s="33" t="e">
        <f t="shared" si="9"/>
        <v>#N/A</v>
      </c>
    </row>
    <row r="117" spans="12:19" x14ac:dyDescent="0.25">
      <c r="L117" s="7" t="e">
        <f>VLOOKUP(A117,'3121% SY'!A:M,'3121% SY'!$M$1,FALSE)</f>
        <v>#N/A</v>
      </c>
      <c r="M117" s="161" t="e">
        <f t="shared" si="7"/>
        <v>#N/A</v>
      </c>
      <c r="N117" s="33" t="e">
        <f t="shared" si="10"/>
        <v>#N/A</v>
      </c>
      <c r="R117" s="161" t="e">
        <f t="shared" si="8"/>
        <v>#N/A</v>
      </c>
      <c r="S117" s="33" t="e">
        <f t="shared" si="9"/>
        <v>#N/A</v>
      </c>
    </row>
    <row r="118" spans="12:19" x14ac:dyDescent="0.25">
      <c r="L118" s="7" t="e">
        <f>VLOOKUP(A118,'3121% SY'!A:M,'3121% SY'!$M$1,FALSE)</f>
        <v>#N/A</v>
      </c>
      <c r="M118" s="161" t="e">
        <f t="shared" si="7"/>
        <v>#N/A</v>
      </c>
      <c r="N118" s="33" t="e">
        <f t="shared" si="10"/>
        <v>#N/A</v>
      </c>
      <c r="R118" s="161" t="e">
        <f t="shared" si="8"/>
        <v>#N/A</v>
      </c>
      <c r="S118" s="33" t="e">
        <f t="shared" si="9"/>
        <v>#N/A</v>
      </c>
    </row>
    <row r="119" spans="12:19" x14ac:dyDescent="0.25">
      <c r="L119" s="7" t="e">
        <f>VLOOKUP(A119,'3121% SY'!A:M,'3121% SY'!$M$1,FALSE)</f>
        <v>#N/A</v>
      </c>
      <c r="M119" s="161" t="e">
        <f t="shared" si="7"/>
        <v>#N/A</v>
      </c>
      <c r="N119" s="33" t="e">
        <f t="shared" si="10"/>
        <v>#N/A</v>
      </c>
      <c r="R119" s="161" t="e">
        <f t="shared" si="8"/>
        <v>#N/A</v>
      </c>
      <c r="S119" s="33" t="e">
        <f t="shared" si="9"/>
        <v>#N/A</v>
      </c>
    </row>
    <row r="120" spans="12:19" x14ac:dyDescent="0.25">
      <c r="L120" s="7" t="e">
        <f>VLOOKUP(A120,'3121% SY'!A:M,'3121% SY'!$M$1,FALSE)</f>
        <v>#N/A</v>
      </c>
      <c r="M120" s="161" t="e">
        <f t="shared" si="7"/>
        <v>#N/A</v>
      </c>
      <c r="N120" s="33" t="e">
        <f t="shared" si="10"/>
        <v>#N/A</v>
      </c>
      <c r="R120" s="161" t="e">
        <f t="shared" si="8"/>
        <v>#N/A</v>
      </c>
      <c r="S120" s="33" t="e">
        <f t="shared" si="9"/>
        <v>#N/A</v>
      </c>
    </row>
    <row r="121" spans="12:19" x14ac:dyDescent="0.25">
      <c r="L121" s="7" t="e">
        <f>VLOOKUP(A121,'3121% SY'!A:M,'3121% SY'!$M$1,FALSE)</f>
        <v>#N/A</v>
      </c>
      <c r="M121" s="161" t="e">
        <f t="shared" si="7"/>
        <v>#N/A</v>
      </c>
      <c r="N121" s="33" t="e">
        <f t="shared" si="10"/>
        <v>#N/A</v>
      </c>
      <c r="R121" s="161" t="e">
        <f t="shared" si="8"/>
        <v>#N/A</v>
      </c>
      <c r="S121" s="33" t="e">
        <f t="shared" si="9"/>
        <v>#N/A</v>
      </c>
    </row>
    <row r="122" spans="12:19" x14ac:dyDescent="0.25">
      <c r="L122" s="7" t="e">
        <f>VLOOKUP(A122,'3121% SY'!A:M,'3121% SY'!$M$1,FALSE)</f>
        <v>#N/A</v>
      </c>
      <c r="M122" s="161" t="e">
        <f t="shared" si="7"/>
        <v>#N/A</v>
      </c>
      <c r="N122" s="33" t="e">
        <f t="shared" si="10"/>
        <v>#N/A</v>
      </c>
      <c r="R122" s="161" t="e">
        <f t="shared" si="8"/>
        <v>#N/A</v>
      </c>
      <c r="S122" s="33" t="e">
        <f t="shared" si="9"/>
        <v>#N/A</v>
      </c>
    </row>
    <row r="123" spans="12:19" x14ac:dyDescent="0.25">
      <c r="L123" s="7" t="e">
        <f>VLOOKUP(A123,'3121% SY'!A:M,'3121% SY'!$M$1,FALSE)</f>
        <v>#N/A</v>
      </c>
      <c r="M123" s="161" t="e">
        <f t="shared" si="7"/>
        <v>#N/A</v>
      </c>
      <c r="N123" s="33" t="e">
        <f t="shared" si="10"/>
        <v>#N/A</v>
      </c>
      <c r="R123" s="161" t="e">
        <f t="shared" ref="R123:R131" si="11">ROUND(Q123*$L123,3)</f>
        <v>#N/A</v>
      </c>
      <c r="S123" s="33" t="e">
        <f t="shared" ref="S123:S131" si="12">SUM(R123,O123:P123)</f>
        <v>#N/A</v>
      </c>
    </row>
    <row r="124" spans="12:19" x14ac:dyDescent="0.25">
      <c r="L124" s="7" t="e">
        <f>VLOOKUP(A124,'3121% SY'!A:M,'3121% SY'!$M$1,FALSE)</f>
        <v>#N/A</v>
      </c>
      <c r="M124" s="161" t="e">
        <f t="shared" si="7"/>
        <v>#N/A</v>
      </c>
      <c r="N124" s="33" t="e">
        <f t="shared" si="10"/>
        <v>#N/A</v>
      </c>
      <c r="R124" s="161" t="e">
        <f t="shared" si="11"/>
        <v>#N/A</v>
      </c>
      <c r="S124" s="33" t="e">
        <f t="shared" si="12"/>
        <v>#N/A</v>
      </c>
    </row>
    <row r="125" spans="12:19" x14ac:dyDescent="0.25">
      <c r="L125" s="7" t="e">
        <f>VLOOKUP(A125,'3121% SY'!A:M,'3121% SY'!$M$1,FALSE)</f>
        <v>#N/A</v>
      </c>
      <c r="M125" s="161" t="e">
        <f t="shared" si="7"/>
        <v>#N/A</v>
      </c>
      <c r="N125" s="33" t="e">
        <f t="shared" si="10"/>
        <v>#N/A</v>
      </c>
      <c r="R125" s="161" t="e">
        <f t="shared" si="11"/>
        <v>#N/A</v>
      </c>
      <c r="S125" s="33" t="e">
        <f t="shared" si="12"/>
        <v>#N/A</v>
      </c>
    </row>
    <row r="126" spans="12:19" x14ac:dyDescent="0.25">
      <c r="L126" s="7" t="e">
        <f>VLOOKUP(A126,'3121% SY'!A:M,'3121% SY'!$M$1,FALSE)</f>
        <v>#N/A</v>
      </c>
      <c r="M126" s="161" t="e">
        <f t="shared" si="7"/>
        <v>#N/A</v>
      </c>
      <c r="N126" s="33" t="e">
        <f t="shared" si="10"/>
        <v>#N/A</v>
      </c>
      <c r="R126" s="161" t="e">
        <f t="shared" si="11"/>
        <v>#N/A</v>
      </c>
      <c r="S126" s="33" t="e">
        <f t="shared" si="12"/>
        <v>#N/A</v>
      </c>
    </row>
    <row r="127" spans="12:19" x14ac:dyDescent="0.25">
      <c r="L127" s="7" t="e">
        <f>VLOOKUP(A127,'3121% SY'!A:M,'3121% SY'!$M$1,FALSE)</f>
        <v>#N/A</v>
      </c>
      <c r="M127" s="161" t="e">
        <f t="shared" si="7"/>
        <v>#N/A</v>
      </c>
      <c r="N127" s="33" t="e">
        <f t="shared" si="10"/>
        <v>#N/A</v>
      </c>
      <c r="R127" s="161" t="e">
        <f t="shared" si="11"/>
        <v>#N/A</v>
      </c>
      <c r="S127" s="33" t="e">
        <f t="shared" si="12"/>
        <v>#N/A</v>
      </c>
    </row>
    <row r="128" spans="12:19" x14ac:dyDescent="0.25">
      <c r="L128" s="7" t="e">
        <f>VLOOKUP(A128,'3121% SY'!A:M,'3121% SY'!$M$1,FALSE)</f>
        <v>#N/A</v>
      </c>
      <c r="M128" s="161" t="e">
        <f t="shared" si="7"/>
        <v>#N/A</v>
      </c>
      <c r="N128" s="33" t="e">
        <f t="shared" si="10"/>
        <v>#N/A</v>
      </c>
      <c r="R128" s="161" t="e">
        <f t="shared" si="11"/>
        <v>#N/A</v>
      </c>
      <c r="S128" s="33" t="e">
        <f t="shared" si="12"/>
        <v>#N/A</v>
      </c>
    </row>
    <row r="129" spans="12:19" x14ac:dyDescent="0.25">
      <c r="L129" s="7" t="e">
        <f>VLOOKUP(A129,'3121% SY'!A:M,'3121% SY'!$M$1,FALSE)</f>
        <v>#N/A</v>
      </c>
      <c r="M129" s="161" t="e">
        <f t="shared" si="7"/>
        <v>#N/A</v>
      </c>
      <c r="N129" s="33" t="e">
        <f t="shared" si="10"/>
        <v>#N/A</v>
      </c>
      <c r="R129" s="161" t="e">
        <f t="shared" si="11"/>
        <v>#N/A</v>
      </c>
      <c r="S129" s="33" t="e">
        <f t="shared" si="12"/>
        <v>#N/A</v>
      </c>
    </row>
    <row r="130" spans="12:19" x14ac:dyDescent="0.25">
      <c r="L130" s="7" t="e">
        <f>VLOOKUP(A130,'3121% SY'!A:M,'3121% SY'!$M$1,FALSE)</f>
        <v>#N/A</v>
      </c>
      <c r="M130" s="161" t="e">
        <f t="shared" si="7"/>
        <v>#N/A</v>
      </c>
      <c r="N130" s="33" t="e">
        <f t="shared" si="10"/>
        <v>#N/A</v>
      </c>
      <c r="R130" s="161" t="e">
        <f t="shared" si="11"/>
        <v>#N/A</v>
      </c>
      <c r="S130" s="33" t="e">
        <f t="shared" si="12"/>
        <v>#N/A</v>
      </c>
    </row>
    <row r="131" spans="12:19" x14ac:dyDescent="0.25">
      <c r="L131" s="7" t="e">
        <f>VLOOKUP(A131,'3121% SY'!A:M,'3121% SY'!$M$1,FALSE)</f>
        <v>#N/A</v>
      </c>
      <c r="M131" s="161" t="e">
        <f t="shared" si="7"/>
        <v>#N/A</v>
      </c>
      <c r="N131" s="33" t="e">
        <f t="shared" si="10"/>
        <v>#N/A</v>
      </c>
      <c r="R131" s="161" t="e">
        <f t="shared" si="11"/>
        <v>#N/A</v>
      </c>
      <c r="S131" s="33" t="e">
        <f t="shared" si="12"/>
        <v>#N/A</v>
      </c>
    </row>
    <row r="132" spans="12:19" x14ac:dyDescent="0.25">
      <c r="L132" s="7" t="e">
        <f>VLOOKUP(A132,'3121% SY'!A:M,'3121% SY'!$M$1,FALSE)</f>
        <v>#N/A</v>
      </c>
      <c r="M132" s="161" t="e">
        <f t="shared" si="7"/>
        <v>#N/A</v>
      </c>
      <c r="N132" s="33" t="e">
        <f t="shared" ref="N132:N151" si="13">SUM(M132,B132:H132)</f>
        <v>#N/A</v>
      </c>
      <c r="R132" s="161" t="e">
        <f t="shared" ref="R132:R151" si="14">ROUND(Q132*$L132,3)</f>
        <v>#N/A</v>
      </c>
      <c r="S132" s="33" t="e">
        <f t="shared" ref="S132:S151" si="15">SUM(R132,O132:P132)</f>
        <v>#N/A</v>
      </c>
    </row>
    <row r="133" spans="12:19" x14ac:dyDescent="0.25">
      <c r="L133" s="7" t="e">
        <f>VLOOKUP(A133,'3121% SY'!A:M,'3121% SY'!$M$1,FALSE)</f>
        <v>#N/A</v>
      </c>
      <c r="M133" s="161" t="e">
        <f t="shared" ref="M133:M151" si="16">ROUND(I133*$L133,3)+ROUND(J133*$L133,3)++ROUND(K133*$L133,3)</f>
        <v>#N/A</v>
      </c>
      <c r="N133" s="33" t="e">
        <f t="shared" si="13"/>
        <v>#N/A</v>
      </c>
      <c r="R133" s="161" t="e">
        <f t="shared" si="14"/>
        <v>#N/A</v>
      </c>
      <c r="S133" s="33" t="e">
        <f t="shared" si="15"/>
        <v>#N/A</v>
      </c>
    </row>
    <row r="134" spans="12:19" x14ac:dyDescent="0.25">
      <c r="L134" s="7" t="e">
        <f>VLOOKUP(A134,'3121% SY'!A:M,'3121% SY'!$M$1,FALSE)</f>
        <v>#N/A</v>
      </c>
      <c r="M134" s="161" t="e">
        <f t="shared" si="16"/>
        <v>#N/A</v>
      </c>
      <c r="N134" s="33" t="e">
        <f t="shared" si="13"/>
        <v>#N/A</v>
      </c>
      <c r="R134" s="161" t="e">
        <f t="shared" si="14"/>
        <v>#N/A</v>
      </c>
      <c r="S134" s="33" t="e">
        <f t="shared" si="15"/>
        <v>#N/A</v>
      </c>
    </row>
    <row r="135" spans="12:19" x14ac:dyDescent="0.25">
      <c r="L135" s="7" t="e">
        <f>VLOOKUP(A135,'3121% SY'!A:M,'3121% SY'!$M$1,FALSE)</f>
        <v>#N/A</v>
      </c>
      <c r="M135" s="161" t="e">
        <f t="shared" si="16"/>
        <v>#N/A</v>
      </c>
      <c r="N135" s="33" t="e">
        <f t="shared" si="13"/>
        <v>#N/A</v>
      </c>
      <c r="R135" s="161" t="e">
        <f t="shared" si="14"/>
        <v>#N/A</v>
      </c>
      <c r="S135" s="33" t="e">
        <f t="shared" si="15"/>
        <v>#N/A</v>
      </c>
    </row>
    <row r="136" spans="12:19" x14ac:dyDescent="0.25">
      <c r="L136" s="7" t="e">
        <f>VLOOKUP(A136,'3121% SY'!A:M,'3121% SY'!$M$1,FALSE)</f>
        <v>#N/A</v>
      </c>
      <c r="M136" s="161" t="e">
        <f t="shared" si="16"/>
        <v>#N/A</v>
      </c>
      <c r="N136" s="33" t="e">
        <f t="shared" si="13"/>
        <v>#N/A</v>
      </c>
      <c r="R136" s="161" t="e">
        <f t="shared" si="14"/>
        <v>#N/A</v>
      </c>
      <c r="S136" s="33" t="e">
        <f t="shared" si="15"/>
        <v>#N/A</v>
      </c>
    </row>
    <row r="137" spans="12:19" x14ac:dyDescent="0.25">
      <c r="L137" s="7" t="e">
        <f>VLOOKUP(A137,'3121% SY'!A:M,'3121% SY'!$M$1,FALSE)</f>
        <v>#N/A</v>
      </c>
      <c r="M137" s="161" t="e">
        <f t="shared" si="16"/>
        <v>#N/A</v>
      </c>
      <c r="N137" s="33" t="e">
        <f t="shared" si="13"/>
        <v>#N/A</v>
      </c>
      <c r="R137" s="161" t="e">
        <f t="shared" si="14"/>
        <v>#N/A</v>
      </c>
      <c r="S137" s="33" t="e">
        <f t="shared" si="15"/>
        <v>#N/A</v>
      </c>
    </row>
    <row r="138" spans="12:19" x14ac:dyDescent="0.25">
      <c r="L138" s="7" t="e">
        <f>VLOOKUP(A138,'3121% SY'!A:M,'3121% SY'!$M$1,FALSE)</f>
        <v>#N/A</v>
      </c>
      <c r="M138" s="161" t="e">
        <f t="shared" si="16"/>
        <v>#N/A</v>
      </c>
      <c r="N138" s="33" t="e">
        <f t="shared" si="13"/>
        <v>#N/A</v>
      </c>
      <c r="R138" s="161" t="e">
        <f t="shared" si="14"/>
        <v>#N/A</v>
      </c>
      <c r="S138" s="33" t="e">
        <f t="shared" si="15"/>
        <v>#N/A</v>
      </c>
    </row>
    <row r="139" spans="12:19" x14ac:dyDescent="0.25">
      <c r="L139" s="7" t="e">
        <f>VLOOKUP(A139,'3121% SY'!A:M,'3121% SY'!$M$1,FALSE)</f>
        <v>#N/A</v>
      </c>
      <c r="M139" s="161" t="e">
        <f t="shared" si="16"/>
        <v>#N/A</v>
      </c>
      <c r="N139" s="33" t="e">
        <f t="shared" si="13"/>
        <v>#N/A</v>
      </c>
      <c r="R139" s="161" t="e">
        <f t="shared" si="14"/>
        <v>#N/A</v>
      </c>
      <c r="S139" s="33" t="e">
        <f t="shared" si="15"/>
        <v>#N/A</v>
      </c>
    </row>
    <row r="140" spans="12:19" x14ac:dyDescent="0.25">
      <c r="L140" s="7" t="e">
        <f>VLOOKUP(A140,'3121% SY'!A:M,'3121% SY'!$M$1,FALSE)</f>
        <v>#N/A</v>
      </c>
      <c r="M140" s="161" t="e">
        <f t="shared" si="16"/>
        <v>#N/A</v>
      </c>
      <c r="N140" s="33" t="e">
        <f t="shared" si="13"/>
        <v>#N/A</v>
      </c>
      <c r="R140" s="161" t="e">
        <f t="shared" si="14"/>
        <v>#N/A</v>
      </c>
      <c r="S140" s="33" t="e">
        <f t="shared" si="15"/>
        <v>#N/A</v>
      </c>
    </row>
    <row r="141" spans="12:19" x14ac:dyDescent="0.25">
      <c r="L141" s="7" t="e">
        <f>VLOOKUP(A141,'3121% SY'!A:M,'3121% SY'!$M$1,FALSE)</f>
        <v>#N/A</v>
      </c>
      <c r="M141" s="161" t="e">
        <f t="shared" si="16"/>
        <v>#N/A</v>
      </c>
      <c r="N141" s="33" t="e">
        <f t="shared" si="13"/>
        <v>#N/A</v>
      </c>
      <c r="R141" s="161" t="e">
        <f t="shared" si="14"/>
        <v>#N/A</v>
      </c>
      <c r="S141" s="33" t="e">
        <f t="shared" si="15"/>
        <v>#N/A</v>
      </c>
    </row>
    <row r="142" spans="12:19" x14ac:dyDescent="0.25">
      <c r="L142" s="7" t="e">
        <f>VLOOKUP(A142,'3121% SY'!A:M,'3121% SY'!$M$1,FALSE)</f>
        <v>#N/A</v>
      </c>
      <c r="M142" s="161" t="e">
        <f t="shared" si="16"/>
        <v>#N/A</v>
      </c>
      <c r="N142" s="33" t="e">
        <f t="shared" si="13"/>
        <v>#N/A</v>
      </c>
      <c r="R142" s="161" t="e">
        <f t="shared" si="14"/>
        <v>#N/A</v>
      </c>
      <c r="S142" s="33" t="e">
        <f t="shared" si="15"/>
        <v>#N/A</v>
      </c>
    </row>
    <row r="143" spans="12:19" x14ac:dyDescent="0.25">
      <c r="L143" s="7" t="e">
        <f>VLOOKUP(A143,'3121% SY'!A:M,'3121% SY'!$M$1,FALSE)</f>
        <v>#N/A</v>
      </c>
      <c r="M143" s="161" t="e">
        <f t="shared" si="16"/>
        <v>#N/A</v>
      </c>
      <c r="N143" s="33" t="e">
        <f t="shared" si="13"/>
        <v>#N/A</v>
      </c>
      <c r="R143" s="161" t="e">
        <f t="shared" si="14"/>
        <v>#N/A</v>
      </c>
      <c r="S143" s="33" t="e">
        <f t="shared" si="15"/>
        <v>#N/A</v>
      </c>
    </row>
    <row r="144" spans="12:19" x14ac:dyDescent="0.25">
      <c r="L144" s="7" t="e">
        <f>VLOOKUP(A144,'3121% SY'!A:M,'3121% SY'!$M$1,FALSE)</f>
        <v>#N/A</v>
      </c>
      <c r="M144" s="161" t="e">
        <f t="shared" si="16"/>
        <v>#N/A</v>
      </c>
      <c r="N144" s="33" t="e">
        <f t="shared" si="13"/>
        <v>#N/A</v>
      </c>
      <c r="R144" s="161" t="e">
        <f t="shared" si="14"/>
        <v>#N/A</v>
      </c>
      <c r="S144" s="33" t="e">
        <f t="shared" si="15"/>
        <v>#N/A</v>
      </c>
    </row>
    <row r="145" spans="12:19" x14ac:dyDescent="0.25">
      <c r="L145" s="7" t="e">
        <f>VLOOKUP(A145,'3121% SY'!A:M,'3121% SY'!$M$1,FALSE)</f>
        <v>#N/A</v>
      </c>
      <c r="M145" s="161" t="e">
        <f t="shared" si="16"/>
        <v>#N/A</v>
      </c>
      <c r="N145" s="33" t="e">
        <f t="shared" si="13"/>
        <v>#N/A</v>
      </c>
      <c r="R145" s="161" t="e">
        <f t="shared" si="14"/>
        <v>#N/A</v>
      </c>
      <c r="S145" s="33" t="e">
        <f t="shared" si="15"/>
        <v>#N/A</v>
      </c>
    </row>
    <row r="146" spans="12:19" x14ac:dyDescent="0.25">
      <c r="L146" s="7" t="e">
        <f>VLOOKUP(A146,'3121% SY'!A:M,'3121% SY'!$M$1,FALSE)</f>
        <v>#N/A</v>
      </c>
      <c r="M146" s="161" t="e">
        <f t="shared" si="16"/>
        <v>#N/A</v>
      </c>
      <c r="N146" s="33" t="e">
        <f t="shared" si="13"/>
        <v>#N/A</v>
      </c>
      <c r="R146" s="161" t="e">
        <f t="shared" si="14"/>
        <v>#N/A</v>
      </c>
      <c r="S146" s="33" t="e">
        <f t="shared" si="15"/>
        <v>#N/A</v>
      </c>
    </row>
    <row r="147" spans="12:19" x14ac:dyDescent="0.25">
      <c r="L147" s="7" t="e">
        <f>VLOOKUP(A147,'3121% SY'!A:M,'3121% SY'!$M$1,FALSE)</f>
        <v>#N/A</v>
      </c>
      <c r="M147" s="161" t="e">
        <f t="shared" si="16"/>
        <v>#N/A</v>
      </c>
      <c r="N147" s="33" t="e">
        <f t="shared" si="13"/>
        <v>#N/A</v>
      </c>
      <c r="R147" s="161" t="e">
        <f t="shared" si="14"/>
        <v>#N/A</v>
      </c>
      <c r="S147" s="33" t="e">
        <f t="shared" si="15"/>
        <v>#N/A</v>
      </c>
    </row>
    <row r="148" spans="12:19" x14ac:dyDescent="0.25">
      <c r="L148" s="7" t="e">
        <f>VLOOKUP(A148,'3121% SY'!A:M,'3121% SY'!$M$1,FALSE)</f>
        <v>#N/A</v>
      </c>
      <c r="M148" s="161" t="e">
        <f t="shared" si="16"/>
        <v>#N/A</v>
      </c>
      <c r="N148" s="33" t="e">
        <f t="shared" si="13"/>
        <v>#N/A</v>
      </c>
      <c r="R148" s="161" t="e">
        <f t="shared" si="14"/>
        <v>#N/A</v>
      </c>
      <c r="S148" s="33" t="e">
        <f t="shared" si="15"/>
        <v>#N/A</v>
      </c>
    </row>
    <row r="149" spans="12:19" x14ac:dyDescent="0.25">
      <c r="L149" s="7" t="e">
        <f>VLOOKUP(A149,'3121% SY'!A:M,'3121% SY'!$M$1,FALSE)</f>
        <v>#N/A</v>
      </c>
      <c r="M149" s="161" t="e">
        <f t="shared" si="16"/>
        <v>#N/A</v>
      </c>
      <c r="N149" s="33" t="e">
        <f t="shared" si="13"/>
        <v>#N/A</v>
      </c>
      <c r="R149" s="161" t="e">
        <f t="shared" si="14"/>
        <v>#N/A</v>
      </c>
      <c r="S149" s="33" t="e">
        <f t="shared" si="15"/>
        <v>#N/A</v>
      </c>
    </row>
    <row r="150" spans="12:19" x14ac:dyDescent="0.25">
      <c r="L150" s="7" t="e">
        <f>VLOOKUP(A150,'3121% SY'!A:M,'3121% SY'!$M$1,FALSE)</f>
        <v>#N/A</v>
      </c>
      <c r="M150" s="161" t="e">
        <f t="shared" si="16"/>
        <v>#N/A</v>
      </c>
      <c r="N150" s="33" t="e">
        <f t="shared" si="13"/>
        <v>#N/A</v>
      </c>
      <c r="R150" s="161" t="e">
        <f t="shared" si="14"/>
        <v>#N/A</v>
      </c>
      <c r="S150" s="33" t="e">
        <f t="shared" si="15"/>
        <v>#N/A</v>
      </c>
    </row>
    <row r="151" spans="12:19" x14ac:dyDescent="0.25">
      <c r="L151" s="7" t="e">
        <f>VLOOKUP(A151,'3121% SY'!A:M,'3121% SY'!$M$1,FALSE)</f>
        <v>#N/A</v>
      </c>
      <c r="M151" s="161" t="e">
        <f t="shared" si="16"/>
        <v>#N/A</v>
      </c>
      <c r="N151" s="33" t="e">
        <f t="shared" si="13"/>
        <v>#N/A</v>
      </c>
      <c r="R151" s="161" t="e">
        <f t="shared" si="14"/>
        <v>#N/A</v>
      </c>
      <c r="S151" s="33" t="e">
        <f t="shared" si="15"/>
        <v>#N/A</v>
      </c>
    </row>
  </sheetData>
  <mergeCells count="1">
    <mergeCell ref="B2:H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CC08C-84E2-43A6-AC5A-EEC266F2F6A0}">
  <sheetPr codeName="Sheet30"/>
  <dimension ref="A1:T151"/>
  <sheetViews>
    <sheetView workbookViewId="0">
      <selection activeCell="L4" sqref="L4:L151"/>
    </sheetView>
  </sheetViews>
  <sheetFormatPr defaultRowHeight="15" x14ac:dyDescent="0.25"/>
  <cols>
    <col min="1" max="1" width="13.140625" bestFit="1" customWidth="1"/>
    <col min="2" max="2" width="12.7109375" bestFit="1" customWidth="1"/>
    <col min="3" max="3" width="13.7109375" bestFit="1" customWidth="1"/>
    <col min="4" max="4" width="13.140625" bestFit="1" customWidth="1"/>
    <col min="5" max="6" width="14.85546875" bestFit="1" customWidth="1"/>
    <col min="7" max="7" width="15.7109375" bestFit="1" customWidth="1"/>
    <col min="8" max="8" width="15.140625" bestFit="1" customWidth="1"/>
    <col min="9" max="9" width="14.85546875" bestFit="1" customWidth="1"/>
    <col min="10" max="10" width="15.7109375" bestFit="1" customWidth="1"/>
    <col min="11" max="11" width="15.140625" bestFit="1" customWidth="1"/>
    <col min="12" max="12" width="12.7109375" bestFit="1" customWidth="1"/>
    <col min="13" max="13" width="17.42578125" bestFit="1" customWidth="1"/>
    <col min="14" max="14" width="12.7109375" bestFit="1" customWidth="1"/>
    <col min="15" max="16" width="16" bestFit="1" customWidth="1"/>
    <col min="17" max="17" width="13.5703125" bestFit="1" customWidth="1"/>
    <col min="18" max="18" width="12.7109375" bestFit="1" customWidth="1"/>
    <col min="19" max="19" width="21" bestFit="1" customWidth="1"/>
    <col min="20" max="43" width="12.7109375" bestFit="1" customWidth="1"/>
  </cols>
  <sheetData>
    <row r="1" spans="1:20" x14ac:dyDescent="0.25">
      <c r="A1" s="87">
        <f>COLUMN(A1)</f>
        <v>1</v>
      </c>
      <c r="B1" s="87">
        <f>COLUMN(B1)</f>
        <v>2</v>
      </c>
      <c r="C1" s="87">
        <f t="shared" ref="C1:S1" si="0">COLUMN(C1)</f>
        <v>3</v>
      </c>
      <c r="D1" s="87">
        <f t="shared" si="0"/>
        <v>4</v>
      </c>
      <c r="E1" s="87">
        <f t="shared" si="0"/>
        <v>5</v>
      </c>
      <c r="F1" s="87">
        <f t="shared" si="0"/>
        <v>6</v>
      </c>
      <c r="G1" s="87">
        <f t="shared" si="0"/>
        <v>7</v>
      </c>
      <c r="H1" s="87">
        <f t="shared" si="0"/>
        <v>8</v>
      </c>
      <c r="I1" s="87">
        <f t="shared" si="0"/>
        <v>9</v>
      </c>
      <c r="J1" s="87">
        <f t="shared" si="0"/>
        <v>10</v>
      </c>
      <c r="K1" s="87">
        <f t="shared" si="0"/>
        <v>11</v>
      </c>
      <c r="L1" s="87">
        <f t="shared" si="0"/>
        <v>12</v>
      </c>
      <c r="M1" s="87">
        <f t="shared" si="0"/>
        <v>13</v>
      </c>
      <c r="N1" s="87">
        <f t="shared" si="0"/>
        <v>14</v>
      </c>
      <c r="O1" s="87">
        <f t="shared" si="0"/>
        <v>15</v>
      </c>
      <c r="P1" s="87">
        <f t="shared" si="0"/>
        <v>16</v>
      </c>
      <c r="Q1" s="87">
        <f t="shared" si="0"/>
        <v>17</v>
      </c>
      <c r="R1" s="87">
        <f t="shared" si="0"/>
        <v>18</v>
      </c>
      <c r="S1" s="87">
        <f t="shared" si="0"/>
        <v>19</v>
      </c>
      <c r="T1" s="87"/>
    </row>
    <row r="2" spans="1:20" x14ac:dyDescent="0.25">
      <c r="A2">
        <f>COUNTA(A4:A150)</f>
        <v>24</v>
      </c>
      <c r="B2" s="290" t="s">
        <v>1054</v>
      </c>
      <c r="C2" s="290"/>
      <c r="D2" s="290"/>
      <c r="E2" s="290"/>
      <c r="F2" s="290"/>
      <c r="G2" s="290"/>
      <c r="H2" s="290"/>
      <c r="I2" s="156"/>
      <c r="J2" s="156"/>
      <c r="K2" s="156"/>
      <c r="N2" s="33" t="e">
        <f>SUM(N5:N150)</f>
        <v>#N/A</v>
      </c>
    </row>
    <row r="3" spans="1:20" x14ac:dyDescent="0.25">
      <c r="A3" s="91" t="s">
        <v>752</v>
      </c>
      <c r="B3" t="s">
        <v>787</v>
      </c>
      <c r="C3" t="s">
        <v>827</v>
      </c>
      <c r="D3" t="s">
        <v>868</v>
      </c>
      <c r="E3" t="s">
        <v>1134</v>
      </c>
      <c r="F3" t="s">
        <v>800</v>
      </c>
      <c r="G3" t="s">
        <v>840</v>
      </c>
      <c r="H3" t="s">
        <v>881</v>
      </c>
      <c r="I3" t="s">
        <v>813</v>
      </c>
      <c r="J3" t="s">
        <v>854</v>
      </c>
      <c r="K3" t="s">
        <v>893</v>
      </c>
      <c r="L3" s="6">
        <v>31.21</v>
      </c>
      <c r="M3" t="str">
        <f>"SpEd Staffed "&amp;$B$2</f>
        <v>SpEd Staffed Occup Therapist</v>
      </c>
      <c r="N3" s="162" t="str">
        <f>"Total "&amp;$B$2</f>
        <v>Total Occup Therapist</v>
      </c>
      <c r="O3" t="s">
        <v>1062</v>
      </c>
      <c r="P3" t="s">
        <v>1063</v>
      </c>
      <c r="Q3" t="s">
        <v>1061</v>
      </c>
      <c r="R3" t="str">
        <f>"SpEd Contracted "&amp;$B$2</f>
        <v>SpEd Contracted Occup Therapist</v>
      </c>
      <c r="S3" s="162" t="str">
        <f>"Total Contracted "&amp;$B$2</f>
        <v>Total Contracted Occup Therapist</v>
      </c>
    </row>
    <row r="4" spans="1:20" x14ac:dyDescent="0.25">
      <c r="A4" s="88" t="s">
        <v>7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5.6000000000000001E-2</v>
      </c>
      <c r="J4">
        <v>0</v>
      </c>
      <c r="K4">
        <v>0</v>
      </c>
      <c r="L4" s="7">
        <f>VLOOKUP(A4,'3121% SY'!A:M,'3121% SY'!$M$1,FALSE)</f>
        <v>0.1179</v>
      </c>
      <c r="M4" s="161">
        <f>ROUND(I4*$L4,3)+ROUND(J4*$L4,3)++ROUND(K4*$L4,3)</f>
        <v>7.0000000000000001E-3</v>
      </c>
      <c r="N4" s="33">
        <f>SUM(M4,B4:H4)</f>
        <v>7.0000000000000001E-3</v>
      </c>
      <c r="R4" s="161">
        <f>ROUND(Q4*$L4,3)</f>
        <v>0</v>
      </c>
      <c r="S4" s="33">
        <f>SUM(R4,O4:P4)</f>
        <v>0</v>
      </c>
    </row>
    <row r="5" spans="1:20" x14ac:dyDescent="0.25">
      <c r="A5" s="88" t="s">
        <v>40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7">
        <f>VLOOKUP(A5,'3121% SY'!A:M,'3121% SY'!$M$1,FALSE)</f>
        <v>0.1794</v>
      </c>
      <c r="M5" s="161">
        <f t="shared" ref="M5:M68" si="1">ROUND(I5*$L5,3)+ROUND(J5*$L5,3)++ROUND(K5*$L5,3)</f>
        <v>0</v>
      </c>
      <c r="N5" s="33">
        <f t="shared" ref="N5:N68" si="2">SUM(M5,B5:H5)</f>
        <v>0</v>
      </c>
      <c r="R5" s="161">
        <f t="shared" ref="R5:R68" si="3">ROUND(Q5*$L5,3)</f>
        <v>0</v>
      </c>
      <c r="S5" s="33">
        <f t="shared" ref="S5:S68" si="4">SUM(R5,O5:P5)</f>
        <v>0</v>
      </c>
    </row>
    <row r="6" spans="1:20" x14ac:dyDescent="0.25">
      <c r="A6" s="88" t="s">
        <v>61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0.57099999999999995</v>
      </c>
      <c r="J6">
        <v>0.14299999999999999</v>
      </c>
      <c r="K6">
        <v>0.28599999999999998</v>
      </c>
      <c r="L6" s="7">
        <f>VLOOKUP(A6,'3121% SY'!A:M,'3121% SY'!$M$1,FALSE)</f>
        <v>0.24629999999999996</v>
      </c>
      <c r="M6" s="161">
        <f t="shared" si="1"/>
        <v>0.246</v>
      </c>
      <c r="N6" s="33">
        <f t="shared" si="2"/>
        <v>0.246</v>
      </c>
      <c r="R6" s="161">
        <f t="shared" si="3"/>
        <v>0</v>
      </c>
      <c r="S6" s="33">
        <f t="shared" si="4"/>
        <v>0</v>
      </c>
    </row>
    <row r="7" spans="1:20" x14ac:dyDescent="0.25">
      <c r="A7" s="88" t="s">
        <v>78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0.26700000000000002</v>
      </c>
      <c r="J7">
        <v>7.2999999999999995E-2</v>
      </c>
      <c r="K7">
        <v>0</v>
      </c>
      <c r="L7" s="7">
        <f>VLOOKUP(A7,'3121% SY'!A:M,'3121% SY'!$M$1,FALSE)</f>
        <v>0.17600000000000005</v>
      </c>
      <c r="M7" s="161">
        <f t="shared" si="1"/>
        <v>0.06</v>
      </c>
      <c r="N7" s="33">
        <f t="shared" si="2"/>
        <v>0.06</v>
      </c>
      <c r="R7" s="161">
        <f t="shared" si="3"/>
        <v>0</v>
      </c>
      <c r="S7" s="33">
        <f t="shared" si="4"/>
        <v>0</v>
      </c>
    </row>
    <row r="8" spans="1:20" x14ac:dyDescent="0.25">
      <c r="A8" s="88" t="s">
        <v>84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0.11</v>
      </c>
      <c r="J8">
        <v>0</v>
      </c>
      <c r="K8">
        <v>0</v>
      </c>
      <c r="L8" s="7">
        <f>VLOOKUP(A8,'3121% SY'!A:M,'3121% SY'!$M$1,FALSE)</f>
        <v>8.9999999999999969E-2</v>
      </c>
      <c r="M8" s="161">
        <f t="shared" si="1"/>
        <v>0.01</v>
      </c>
      <c r="N8" s="33">
        <f t="shared" si="2"/>
        <v>0.01</v>
      </c>
      <c r="R8" s="161">
        <f t="shared" si="3"/>
        <v>0</v>
      </c>
      <c r="S8" s="33">
        <f t="shared" si="4"/>
        <v>0</v>
      </c>
    </row>
    <row r="9" spans="1:20" x14ac:dyDescent="0.25">
      <c r="A9" s="88" t="s">
        <v>87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7">
        <f>VLOOKUP(A9,'3121% SY'!A:M,'3121% SY'!$M$1,FALSE)</f>
        <v>0.18340000000000001</v>
      </c>
      <c r="M9" s="161">
        <f t="shared" si="1"/>
        <v>0</v>
      </c>
      <c r="N9" s="33">
        <f t="shared" si="2"/>
        <v>0</v>
      </c>
      <c r="R9" s="161">
        <f t="shared" si="3"/>
        <v>0</v>
      </c>
      <c r="S9" s="33">
        <f t="shared" si="4"/>
        <v>0</v>
      </c>
    </row>
    <row r="10" spans="1:20" x14ac:dyDescent="0.25">
      <c r="A10" s="88" t="s">
        <v>89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1</v>
      </c>
      <c r="J10">
        <v>0</v>
      </c>
      <c r="K10">
        <v>0</v>
      </c>
      <c r="L10" s="7">
        <f>VLOOKUP(A10,'3121% SY'!A:M,'3121% SY'!$M$1,FALSE)</f>
        <v>0.22170000000000001</v>
      </c>
      <c r="M10" s="161">
        <f t="shared" si="1"/>
        <v>0.222</v>
      </c>
      <c r="N10" s="33">
        <f t="shared" si="2"/>
        <v>0.222</v>
      </c>
      <c r="R10" s="161">
        <f t="shared" si="3"/>
        <v>0</v>
      </c>
      <c r="S10" s="33">
        <f t="shared" si="4"/>
        <v>0</v>
      </c>
    </row>
    <row r="11" spans="1:20" x14ac:dyDescent="0.25">
      <c r="A11" s="88" t="s">
        <v>141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0.46</v>
      </c>
      <c r="J11">
        <v>0</v>
      </c>
      <c r="K11">
        <v>0.14000000000000001</v>
      </c>
      <c r="L11" s="7">
        <f>VLOOKUP(A11,'3121% SY'!A:M,'3121% SY'!$M$1,FALSE)</f>
        <v>0.31479999999999997</v>
      </c>
      <c r="M11" s="161">
        <f t="shared" si="1"/>
        <v>0.189</v>
      </c>
      <c r="N11" s="33">
        <f t="shared" si="2"/>
        <v>0.189</v>
      </c>
      <c r="R11" s="161">
        <f t="shared" si="3"/>
        <v>0</v>
      </c>
      <c r="S11" s="33">
        <f t="shared" si="4"/>
        <v>0</v>
      </c>
    </row>
    <row r="12" spans="1:20" x14ac:dyDescent="0.25">
      <c r="A12" s="88" t="s">
        <v>145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0.6</v>
      </c>
      <c r="J12">
        <v>0.3</v>
      </c>
      <c r="K12">
        <v>0.3</v>
      </c>
      <c r="L12" s="7">
        <f>VLOOKUP(A12,'3121% SY'!A:M,'3121% SY'!$M$1,FALSE)</f>
        <v>0.28620000000000001</v>
      </c>
      <c r="M12" s="161">
        <f t="shared" si="1"/>
        <v>0.34399999999999997</v>
      </c>
      <c r="N12" s="33">
        <f t="shared" si="2"/>
        <v>0.34399999999999997</v>
      </c>
      <c r="R12" s="161">
        <f t="shared" si="3"/>
        <v>0</v>
      </c>
      <c r="S12" s="33">
        <f t="shared" si="4"/>
        <v>0</v>
      </c>
    </row>
    <row r="13" spans="1:20" x14ac:dyDescent="0.25">
      <c r="A13" s="88" t="s">
        <v>146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0.5</v>
      </c>
      <c r="J13">
        <v>0.3</v>
      </c>
      <c r="K13">
        <v>0.2</v>
      </c>
      <c r="L13" s="7">
        <f>VLOOKUP(A13,'3121% SY'!A:M,'3121% SY'!$M$1,FALSE)</f>
        <v>0.25719999999999998</v>
      </c>
      <c r="M13" s="161">
        <f t="shared" si="1"/>
        <v>0.25700000000000001</v>
      </c>
      <c r="N13" s="33">
        <f t="shared" si="2"/>
        <v>0.25700000000000001</v>
      </c>
      <c r="R13" s="161">
        <f t="shared" si="3"/>
        <v>0</v>
      </c>
      <c r="S13" s="33">
        <f t="shared" si="4"/>
        <v>0</v>
      </c>
    </row>
    <row r="14" spans="1:20" x14ac:dyDescent="0.25">
      <c r="A14" s="88" t="s">
        <v>162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7">
        <f>VLOOKUP(A14,'3121% SY'!A:M,'3121% SY'!$M$1,FALSE)</f>
        <v>0.19820000000000004</v>
      </c>
      <c r="M14" s="161">
        <f t="shared" si="1"/>
        <v>0</v>
      </c>
      <c r="N14" s="33">
        <f t="shared" si="2"/>
        <v>0</v>
      </c>
      <c r="R14" s="161">
        <f t="shared" si="3"/>
        <v>0</v>
      </c>
      <c r="S14" s="33">
        <f t="shared" si="4"/>
        <v>0</v>
      </c>
    </row>
    <row r="15" spans="1:20" x14ac:dyDescent="0.25">
      <c r="A15" s="88" t="s">
        <v>163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0.66</v>
      </c>
      <c r="J15">
        <v>0.34</v>
      </c>
      <c r="K15">
        <v>0</v>
      </c>
      <c r="L15" s="7">
        <f>VLOOKUP(A15,'3121% SY'!A:M,'3121% SY'!$M$1,FALSE)</f>
        <v>0.20989999999999998</v>
      </c>
      <c r="M15" s="161">
        <f t="shared" si="1"/>
        <v>0.21000000000000002</v>
      </c>
      <c r="N15" s="33">
        <f t="shared" si="2"/>
        <v>0.21000000000000002</v>
      </c>
      <c r="R15" s="161">
        <f t="shared" si="3"/>
        <v>0</v>
      </c>
      <c r="S15" s="33">
        <f t="shared" si="4"/>
        <v>0</v>
      </c>
    </row>
    <row r="16" spans="1:20" x14ac:dyDescent="0.25">
      <c r="A16" s="88" t="s">
        <v>176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7">
        <f>VLOOKUP(A16,'3121% SY'!A:M,'3121% SY'!$M$1,FALSE)</f>
        <v>0.29900000000000004</v>
      </c>
      <c r="M16" s="161">
        <f t="shared" si="1"/>
        <v>0</v>
      </c>
      <c r="N16" s="33">
        <f t="shared" si="2"/>
        <v>0</v>
      </c>
      <c r="R16" s="161">
        <f t="shared" si="3"/>
        <v>0</v>
      </c>
      <c r="S16" s="33">
        <f t="shared" si="4"/>
        <v>0</v>
      </c>
    </row>
    <row r="17" spans="1:19" x14ac:dyDescent="0.25">
      <c r="A17" s="88" t="s">
        <v>233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7">
        <f>VLOOKUP(A17,'3121% SY'!A:M,'3121% SY'!$M$1,FALSE)</f>
        <v>0.20020000000000004</v>
      </c>
      <c r="M17" s="161">
        <f t="shared" si="1"/>
        <v>0</v>
      </c>
      <c r="N17" s="33">
        <f t="shared" si="2"/>
        <v>0</v>
      </c>
      <c r="R17" s="161">
        <f t="shared" si="3"/>
        <v>0</v>
      </c>
      <c r="S17" s="33">
        <f t="shared" si="4"/>
        <v>0</v>
      </c>
    </row>
    <row r="18" spans="1:19" x14ac:dyDescent="0.25">
      <c r="A18" s="88" t="s">
        <v>250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0.02</v>
      </c>
      <c r="J18">
        <v>0.02</v>
      </c>
      <c r="K18">
        <v>0.02</v>
      </c>
      <c r="L18" s="7">
        <f>VLOOKUP(A18,'3121% SY'!A:M,'3121% SY'!$M$1,FALSE)</f>
        <v>0.15839999999999999</v>
      </c>
      <c r="M18" s="161">
        <f t="shared" si="1"/>
        <v>9.0000000000000011E-3</v>
      </c>
      <c r="N18" s="33">
        <f t="shared" si="2"/>
        <v>9.0000000000000011E-3</v>
      </c>
      <c r="R18" s="161">
        <f t="shared" si="3"/>
        <v>0</v>
      </c>
      <c r="S18" s="33">
        <f t="shared" si="4"/>
        <v>0</v>
      </c>
    </row>
    <row r="19" spans="1:19" x14ac:dyDescent="0.25">
      <c r="A19" s="88" t="s">
        <v>256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0.25</v>
      </c>
      <c r="J19">
        <v>0</v>
      </c>
      <c r="K19">
        <v>0</v>
      </c>
      <c r="L19" s="7">
        <f>VLOOKUP(A19,'3121% SY'!A:M,'3121% SY'!$M$1,FALSE)</f>
        <v>0.23140000000000005</v>
      </c>
      <c r="M19" s="161">
        <f t="shared" si="1"/>
        <v>5.8000000000000003E-2</v>
      </c>
      <c r="N19" s="33">
        <f t="shared" si="2"/>
        <v>5.8000000000000003E-2</v>
      </c>
      <c r="R19" s="161">
        <f t="shared" si="3"/>
        <v>0</v>
      </c>
      <c r="S19" s="33">
        <f t="shared" si="4"/>
        <v>0</v>
      </c>
    </row>
    <row r="20" spans="1:19" x14ac:dyDescent="0.25">
      <c r="A20" s="88" t="s">
        <v>259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0.6</v>
      </c>
      <c r="J20">
        <v>0.2</v>
      </c>
      <c r="K20">
        <v>0.2</v>
      </c>
      <c r="L20" s="7">
        <f>VLOOKUP(A20,'3121% SY'!A:M,'3121% SY'!$M$1,FALSE)</f>
        <v>0.24870000000000003</v>
      </c>
      <c r="M20" s="161">
        <f t="shared" si="1"/>
        <v>0.249</v>
      </c>
      <c r="N20" s="33">
        <f t="shared" si="2"/>
        <v>0.249</v>
      </c>
      <c r="R20" s="161">
        <f t="shared" si="3"/>
        <v>0</v>
      </c>
      <c r="S20" s="33">
        <f t="shared" si="4"/>
        <v>0</v>
      </c>
    </row>
    <row r="21" spans="1:19" x14ac:dyDescent="0.25">
      <c r="A21" s="88" t="s">
        <v>280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0.14000000000000001</v>
      </c>
      <c r="J21">
        <v>0.02</v>
      </c>
      <c r="K21">
        <v>0.06</v>
      </c>
      <c r="L21" s="7">
        <f>VLOOKUP(A21,'3121% SY'!A:M,'3121% SY'!$M$1,FALSE)</f>
        <v>0.18340000000000001</v>
      </c>
      <c r="M21" s="161">
        <f t="shared" si="1"/>
        <v>4.0999999999999995E-2</v>
      </c>
      <c r="N21" s="33">
        <f t="shared" si="2"/>
        <v>4.0999999999999995E-2</v>
      </c>
      <c r="R21" s="161">
        <f t="shared" si="3"/>
        <v>0</v>
      </c>
      <c r="S21" s="33">
        <f t="shared" si="4"/>
        <v>0</v>
      </c>
    </row>
    <row r="22" spans="1:19" x14ac:dyDescent="0.25">
      <c r="A22" s="88" t="s">
        <v>284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0.02</v>
      </c>
      <c r="J22">
        <v>0.02</v>
      </c>
      <c r="K22">
        <v>0</v>
      </c>
      <c r="L22" s="7">
        <f>VLOOKUP(A22,'3121% SY'!A:M,'3121% SY'!$M$1,FALSE)</f>
        <v>0.14729999999999999</v>
      </c>
      <c r="M22" s="161">
        <f t="shared" si="1"/>
        <v>6.0000000000000001E-3</v>
      </c>
      <c r="N22" s="33">
        <f t="shared" si="2"/>
        <v>6.0000000000000001E-3</v>
      </c>
      <c r="R22" s="161">
        <f t="shared" si="3"/>
        <v>0</v>
      </c>
      <c r="S22" s="33">
        <f t="shared" si="4"/>
        <v>0</v>
      </c>
    </row>
    <row r="23" spans="1:19" x14ac:dyDescent="0.25">
      <c r="A23" s="88" t="s">
        <v>289</v>
      </c>
      <c r="B23">
        <v>0</v>
      </c>
      <c r="C23">
        <v>0</v>
      </c>
      <c r="D23">
        <v>0</v>
      </c>
      <c r="E23">
        <v>0</v>
      </c>
      <c r="F23">
        <v>3.5000000000000003E-2</v>
      </c>
      <c r="G23">
        <v>3.5999999999999997E-2</v>
      </c>
      <c r="H23">
        <v>0</v>
      </c>
      <c r="I23">
        <v>0</v>
      </c>
      <c r="J23">
        <v>0</v>
      </c>
      <c r="K23">
        <v>0</v>
      </c>
      <c r="L23" s="7">
        <f>VLOOKUP(A23,'3121% SY'!A:M,'3121% SY'!$M$1,FALSE)</f>
        <v>0.19010000000000005</v>
      </c>
      <c r="M23" s="161">
        <f t="shared" si="1"/>
        <v>0</v>
      </c>
      <c r="N23" s="33">
        <f t="shared" si="2"/>
        <v>7.1000000000000008E-2</v>
      </c>
      <c r="R23" s="161">
        <f t="shared" si="3"/>
        <v>0</v>
      </c>
      <c r="S23" s="33">
        <f t="shared" si="4"/>
        <v>0</v>
      </c>
    </row>
    <row r="24" spans="1:19" x14ac:dyDescent="0.25">
      <c r="A24" s="88" t="s">
        <v>290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7">
        <f>VLOOKUP(A24,'3121% SY'!A:M,'3121% SY'!$M$1,FALSE)</f>
        <v>0.15839999999999999</v>
      </c>
      <c r="M24" s="161">
        <f t="shared" si="1"/>
        <v>0</v>
      </c>
      <c r="N24" s="33">
        <f t="shared" si="2"/>
        <v>0</v>
      </c>
      <c r="R24" s="161">
        <f t="shared" si="3"/>
        <v>0</v>
      </c>
      <c r="S24" s="33">
        <f t="shared" si="4"/>
        <v>0</v>
      </c>
    </row>
    <row r="25" spans="1:19" x14ac:dyDescent="0.25">
      <c r="A25" s="88" t="s">
        <v>302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7">
        <f>VLOOKUP(A25,'3121% SY'!A:M,'3121% SY'!$M$1,FALSE)</f>
        <v>0.21989999999999998</v>
      </c>
      <c r="M25" s="161">
        <f t="shared" si="1"/>
        <v>0</v>
      </c>
      <c r="N25" s="33">
        <f t="shared" si="2"/>
        <v>0</v>
      </c>
      <c r="R25" s="161">
        <f t="shared" si="3"/>
        <v>0</v>
      </c>
      <c r="S25" s="33">
        <f t="shared" si="4"/>
        <v>0</v>
      </c>
    </row>
    <row r="26" spans="1:19" x14ac:dyDescent="0.25">
      <c r="A26" s="88" t="s">
        <v>1098</v>
      </c>
      <c r="L26" s="7" t="e">
        <f>VLOOKUP(A26,'3121% SY'!A:M,'3121% SY'!$M$1,FALSE)</f>
        <v>#N/A</v>
      </c>
      <c r="M26" s="161" t="e">
        <f t="shared" si="1"/>
        <v>#N/A</v>
      </c>
      <c r="N26" s="33" t="e">
        <f t="shared" si="2"/>
        <v>#N/A</v>
      </c>
      <c r="R26" s="161" t="e">
        <f t="shared" si="3"/>
        <v>#N/A</v>
      </c>
      <c r="S26" s="33" t="e">
        <f t="shared" si="4"/>
        <v>#N/A</v>
      </c>
    </row>
    <row r="27" spans="1:19" x14ac:dyDescent="0.25">
      <c r="A27" s="88" t="s">
        <v>753</v>
      </c>
      <c r="B27">
        <v>0</v>
      </c>
      <c r="C27">
        <v>0</v>
      </c>
      <c r="D27">
        <v>0</v>
      </c>
      <c r="E27">
        <v>0</v>
      </c>
      <c r="F27">
        <v>3.5000000000000003E-2</v>
      </c>
      <c r="G27">
        <v>3.5999999999999997E-2</v>
      </c>
      <c r="H27">
        <v>0</v>
      </c>
      <c r="I27">
        <v>5.2539999999999987</v>
      </c>
      <c r="J27">
        <v>1.4160000000000001</v>
      </c>
      <c r="K27">
        <v>1.206</v>
      </c>
      <c r="L27" s="7" t="e">
        <f>VLOOKUP(A27,'3121% SY'!A:M,'3121% SY'!$M$1,FALSE)</f>
        <v>#N/A</v>
      </c>
      <c r="M27" s="161" t="e">
        <f t="shared" si="1"/>
        <v>#N/A</v>
      </c>
      <c r="N27" s="33" t="e">
        <f t="shared" si="2"/>
        <v>#N/A</v>
      </c>
      <c r="R27" s="161" t="e">
        <f t="shared" si="3"/>
        <v>#N/A</v>
      </c>
      <c r="S27" s="33" t="e">
        <f t="shared" si="4"/>
        <v>#N/A</v>
      </c>
    </row>
    <row r="28" spans="1:19" x14ac:dyDescent="0.25">
      <c r="L28" s="7" t="e">
        <f>VLOOKUP(A28,'3121% SY'!A:M,'3121% SY'!$M$1,FALSE)</f>
        <v>#N/A</v>
      </c>
      <c r="M28" s="161" t="e">
        <f t="shared" si="1"/>
        <v>#N/A</v>
      </c>
      <c r="N28" s="33" t="e">
        <f t="shared" si="2"/>
        <v>#N/A</v>
      </c>
      <c r="R28" s="161" t="e">
        <f t="shared" si="3"/>
        <v>#N/A</v>
      </c>
      <c r="S28" s="33" t="e">
        <f t="shared" si="4"/>
        <v>#N/A</v>
      </c>
    </row>
    <row r="29" spans="1:19" x14ac:dyDescent="0.25">
      <c r="L29" s="7" t="e">
        <f>VLOOKUP(A29,'3121% SY'!A:M,'3121% SY'!$M$1,FALSE)</f>
        <v>#N/A</v>
      </c>
      <c r="M29" s="161" t="e">
        <f t="shared" si="1"/>
        <v>#N/A</v>
      </c>
      <c r="N29" s="33" t="e">
        <f t="shared" si="2"/>
        <v>#N/A</v>
      </c>
      <c r="R29" s="161" t="e">
        <f t="shared" si="3"/>
        <v>#N/A</v>
      </c>
      <c r="S29" s="33" t="e">
        <f t="shared" si="4"/>
        <v>#N/A</v>
      </c>
    </row>
    <row r="30" spans="1:19" x14ac:dyDescent="0.25">
      <c r="L30" s="7" t="e">
        <f>VLOOKUP(A30,'3121% SY'!A:M,'3121% SY'!$M$1,FALSE)</f>
        <v>#N/A</v>
      </c>
      <c r="M30" s="161" t="e">
        <f t="shared" si="1"/>
        <v>#N/A</v>
      </c>
      <c r="N30" s="33" t="e">
        <f t="shared" si="2"/>
        <v>#N/A</v>
      </c>
      <c r="R30" s="161" t="e">
        <f t="shared" si="3"/>
        <v>#N/A</v>
      </c>
      <c r="S30" s="33" t="e">
        <f t="shared" si="4"/>
        <v>#N/A</v>
      </c>
    </row>
    <row r="31" spans="1:19" x14ac:dyDescent="0.25">
      <c r="L31" s="7" t="e">
        <f>VLOOKUP(A31,'3121% SY'!A:M,'3121% SY'!$M$1,FALSE)</f>
        <v>#N/A</v>
      </c>
      <c r="M31" s="161" t="e">
        <f t="shared" si="1"/>
        <v>#N/A</v>
      </c>
      <c r="N31" s="33" t="e">
        <f t="shared" si="2"/>
        <v>#N/A</v>
      </c>
      <c r="R31" s="161" t="e">
        <f t="shared" si="3"/>
        <v>#N/A</v>
      </c>
      <c r="S31" s="33" t="e">
        <f t="shared" si="4"/>
        <v>#N/A</v>
      </c>
    </row>
    <row r="32" spans="1:19" x14ac:dyDescent="0.25">
      <c r="L32" s="7" t="e">
        <f>VLOOKUP(A32,'3121% SY'!A:M,'3121% SY'!$M$1,FALSE)</f>
        <v>#N/A</v>
      </c>
      <c r="M32" s="161" t="e">
        <f t="shared" si="1"/>
        <v>#N/A</v>
      </c>
      <c r="N32" s="33" t="e">
        <f t="shared" si="2"/>
        <v>#N/A</v>
      </c>
      <c r="R32" s="161" t="e">
        <f t="shared" si="3"/>
        <v>#N/A</v>
      </c>
      <c r="S32" s="33" t="e">
        <f t="shared" si="4"/>
        <v>#N/A</v>
      </c>
    </row>
    <row r="33" spans="12:19" x14ac:dyDescent="0.25">
      <c r="L33" s="7" t="e">
        <f>VLOOKUP(A33,'3121% SY'!A:M,'3121% SY'!$M$1,FALSE)</f>
        <v>#N/A</v>
      </c>
      <c r="M33" s="161" t="e">
        <f t="shared" si="1"/>
        <v>#N/A</v>
      </c>
      <c r="N33" s="33" t="e">
        <f t="shared" si="2"/>
        <v>#N/A</v>
      </c>
      <c r="R33" s="161" t="e">
        <f t="shared" si="3"/>
        <v>#N/A</v>
      </c>
      <c r="S33" s="33" t="e">
        <f t="shared" si="4"/>
        <v>#N/A</v>
      </c>
    </row>
    <row r="34" spans="12:19" x14ac:dyDescent="0.25">
      <c r="L34" s="7" t="e">
        <f>VLOOKUP(A34,'3121% SY'!A:M,'3121% SY'!$M$1,FALSE)</f>
        <v>#N/A</v>
      </c>
      <c r="M34" s="161" t="e">
        <f t="shared" si="1"/>
        <v>#N/A</v>
      </c>
      <c r="N34" s="33" t="e">
        <f t="shared" si="2"/>
        <v>#N/A</v>
      </c>
      <c r="R34" s="161" t="e">
        <f t="shared" si="3"/>
        <v>#N/A</v>
      </c>
      <c r="S34" s="33" t="e">
        <f t="shared" si="4"/>
        <v>#N/A</v>
      </c>
    </row>
    <row r="35" spans="12:19" x14ac:dyDescent="0.25">
      <c r="L35" s="7" t="e">
        <f>VLOOKUP(A35,'3121% SY'!A:M,'3121% SY'!$M$1,FALSE)</f>
        <v>#N/A</v>
      </c>
      <c r="M35" s="161" t="e">
        <f t="shared" si="1"/>
        <v>#N/A</v>
      </c>
      <c r="N35" s="33" t="e">
        <f t="shared" si="2"/>
        <v>#N/A</v>
      </c>
      <c r="R35" s="161" t="e">
        <f t="shared" si="3"/>
        <v>#N/A</v>
      </c>
      <c r="S35" s="33" t="e">
        <f t="shared" si="4"/>
        <v>#N/A</v>
      </c>
    </row>
    <row r="36" spans="12:19" x14ac:dyDescent="0.25">
      <c r="L36" s="7" t="e">
        <f>VLOOKUP(A36,'3121% SY'!A:M,'3121% SY'!$M$1,FALSE)</f>
        <v>#N/A</v>
      </c>
      <c r="M36" s="161" t="e">
        <f t="shared" si="1"/>
        <v>#N/A</v>
      </c>
      <c r="N36" s="33" t="e">
        <f t="shared" si="2"/>
        <v>#N/A</v>
      </c>
      <c r="R36" s="161" t="e">
        <f t="shared" si="3"/>
        <v>#N/A</v>
      </c>
      <c r="S36" s="33" t="e">
        <f t="shared" si="4"/>
        <v>#N/A</v>
      </c>
    </row>
    <row r="37" spans="12:19" x14ac:dyDescent="0.25">
      <c r="L37" s="7" t="e">
        <f>VLOOKUP(A37,'3121% SY'!A:M,'3121% SY'!$M$1,FALSE)</f>
        <v>#N/A</v>
      </c>
      <c r="M37" s="161" t="e">
        <f t="shared" si="1"/>
        <v>#N/A</v>
      </c>
      <c r="N37" s="33" t="e">
        <f t="shared" si="2"/>
        <v>#N/A</v>
      </c>
      <c r="R37" s="161" t="e">
        <f t="shared" si="3"/>
        <v>#N/A</v>
      </c>
      <c r="S37" s="33" t="e">
        <f t="shared" si="4"/>
        <v>#N/A</v>
      </c>
    </row>
    <row r="38" spans="12:19" x14ac:dyDescent="0.25">
      <c r="L38" s="7" t="e">
        <f>VLOOKUP(A38,'3121% SY'!A:M,'3121% SY'!$M$1,FALSE)</f>
        <v>#N/A</v>
      </c>
      <c r="M38" s="161" t="e">
        <f t="shared" si="1"/>
        <v>#N/A</v>
      </c>
      <c r="N38" s="33" t="e">
        <f t="shared" si="2"/>
        <v>#N/A</v>
      </c>
      <c r="R38" s="161" t="e">
        <f t="shared" si="3"/>
        <v>#N/A</v>
      </c>
      <c r="S38" s="33" t="e">
        <f t="shared" si="4"/>
        <v>#N/A</v>
      </c>
    </row>
    <row r="39" spans="12:19" x14ac:dyDescent="0.25">
      <c r="L39" s="7" t="e">
        <f>VLOOKUP(A39,'3121% SY'!A:M,'3121% SY'!$M$1,FALSE)</f>
        <v>#N/A</v>
      </c>
      <c r="M39" s="161" t="e">
        <f t="shared" si="1"/>
        <v>#N/A</v>
      </c>
      <c r="N39" s="33" t="e">
        <f t="shared" si="2"/>
        <v>#N/A</v>
      </c>
      <c r="R39" s="161" t="e">
        <f t="shared" si="3"/>
        <v>#N/A</v>
      </c>
      <c r="S39" s="33" t="e">
        <f t="shared" si="4"/>
        <v>#N/A</v>
      </c>
    </row>
    <row r="40" spans="12:19" x14ac:dyDescent="0.25">
      <c r="L40" s="7" t="e">
        <f>VLOOKUP(A40,'3121% SY'!A:M,'3121% SY'!$M$1,FALSE)</f>
        <v>#N/A</v>
      </c>
      <c r="M40" s="161" t="e">
        <f t="shared" si="1"/>
        <v>#N/A</v>
      </c>
      <c r="N40" s="33" t="e">
        <f t="shared" si="2"/>
        <v>#N/A</v>
      </c>
      <c r="R40" s="161" t="e">
        <f t="shared" si="3"/>
        <v>#N/A</v>
      </c>
      <c r="S40" s="33" t="e">
        <f t="shared" si="4"/>
        <v>#N/A</v>
      </c>
    </row>
    <row r="41" spans="12:19" x14ac:dyDescent="0.25">
      <c r="L41" s="7" t="e">
        <f>VLOOKUP(A41,'3121% SY'!A:M,'3121% SY'!$M$1,FALSE)</f>
        <v>#N/A</v>
      </c>
      <c r="M41" s="161" t="e">
        <f t="shared" si="1"/>
        <v>#N/A</v>
      </c>
      <c r="N41" s="33" t="e">
        <f t="shared" si="2"/>
        <v>#N/A</v>
      </c>
      <c r="R41" s="161" t="e">
        <f t="shared" si="3"/>
        <v>#N/A</v>
      </c>
      <c r="S41" s="33" t="e">
        <f t="shared" si="4"/>
        <v>#N/A</v>
      </c>
    </row>
    <row r="42" spans="12:19" x14ac:dyDescent="0.25">
      <c r="L42" s="7" t="e">
        <f>VLOOKUP(A42,'3121% SY'!A:M,'3121% SY'!$M$1,FALSE)</f>
        <v>#N/A</v>
      </c>
      <c r="M42" s="161" t="e">
        <f t="shared" si="1"/>
        <v>#N/A</v>
      </c>
      <c r="N42" s="33" t="e">
        <f t="shared" si="2"/>
        <v>#N/A</v>
      </c>
      <c r="R42" s="161" t="e">
        <f t="shared" si="3"/>
        <v>#N/A</v>
      </c>
      <c r="S42" s="33" t="e">
        <f t="shared" si="4"/>
        <v>#N/A</v>
      </c>
    </row>
    <row r="43" spans="12:19" x14ac:dyDescent="0.25">
      <c r="L43" s="7" t="e">
        <f>VLOOKUP(A43,'3121% SY'!A:M,'3121% SY'!$M$1,FALSE)</f>
        <v>#N/A</v>
      </c>
      <c r="M43" s="161" t="e">
        <f t="shared" si="1"/>
        <v>#N/A</v>
      </c>
      <c r="N43" s="33" t="e">
        <f t="shared" si="2"/>
        <v>#N/A</v>
      </c>
      <c r="R43" s="161" t="e">
        <f t="shared" si="3"/>
        <v>#N/A</v>
      </c>
      <c r="S43" s="33" t="e">
        <f t="shared" si="4"/>
        <v>#N/A</v>
      </c>
    </row>
    <row r="44" spans="12:19" x14ac:dyDescent="0.25">
      <c r="L44" s="7" t="e">
        <f>VLOOKUP(A44,'3121% SY'!A:M,'3121% SY'!$M$1,FALSE)</f>
        <v>#N/A</v>
      </c>
      <c r="M44" s="161" t="e">
        <f t="shared" si="1"/>
        <v>#N/A</v>
      </c>
      <c r="N44" s="33" t="e">
        <f t="shared" si="2"/>
        <v>#N/A</v>
      </c>
      <c r="R44" s="161" t="e">
        <f t="shared" si="3"/>
        <v>#N/A</v>
      </c>
      <c r="S44" s="33" t="e">
        <f t="shared" si="4"/>
        <v>#N/A</v>
      </c>
    </row>
    <row r="45" spans="12:19" x14ac:dyDescent="0.25">
      <c r="L45" s="7" t="e">
        <f>VLOOKUP(A45,'3121% SY'!A:M,'3121% SY'!$M$1,FALSE)</f>
        <v>#N/A</v>
      </c>
      <c r="M45" s="161" t="e">
        <f t="shared" si="1"/>
        <v>#N/A</v>
      </c>
      <c r="N45" s="33" t="e">
        <f t="shared" si="2"/>
        <v>#N/A</v>
      </c>
      <c r="R45" s="161" t="e">
        <f t="shared" si="3"/>
        <v>#N/A</v>
      </c>
      <c r="S45" s="33" t="e">
        <f t="shared" si="4"/>
        <v>#N/A</v>
      </c>
    </row>
    <row r="46" spans="12:19" x14ac:dyDescent="0.25">
      <c r="L46" s="7" t="e">
        <f>VLOOKUP(A46,'3121% SY'!A:M,'3121% SY'!$M$1,FALSE)</f>
        <v>#N/A</v>
      </c>
      <c r="M46" s="161" t="e">
        <f t="shared" si="1"/>
        <v>#N/A</v>
      </c>
      <c r="N46" s="33" t="e">
        <f t="shared" si="2"/>
        <v>#N/A</v>
      </c>
      <c r="R46" s="161" t="e">
        <f t="shared" si="3"/>
        <v>#N/A</v>
      </c>
      <c r="S46" s="33" t="e">
        <f t="shared" si="4"/>
        <v>#N/A</v>
      </c>
    </row>
    <row r="47" spans="12:19" x14ac:dyDescent="0.25">
      <c r="L47" s="7" t="e">
        <f>VLOOKUP(A47,'3121% SY'!A:M,'3121% SY'!$M$1,FALSE)</f>
        <v>#N/A</v>
      </c>
      <c r="M47" s="161" t="e">
        <f t="shared" si="1"/>
        <v>#N/A</v>
      </c>
      <c r="N47" s="33" t="e">
        <f t="shared" si="2"/>
        <v>#N/A</v>
      </c>
      <c r="R47" s="161" t="e">
        <f t="shared" si="3"/>
        <v>#N/A</v>
      </c>
      <c r="S47" s="33" t="e">
        <f t="shared" si="4"/>
        <v>#N/A</v>
      </c>
    </row>
    <row r="48" spans="12:19" x14ac:dyDescent="0.25">
      <c r="L48" s="7" t="e">
        <f>VLOOKUP(A48,'3121% SY'!A:M,'3121% SY'!$M$1,FALSE)</f>
        <v>#N/A</v>
      </c>
      <c r="M48" s="161" t="e">
        <f t="shared" si="1"/>
        <v>#N/A</v>
      </c>
      <c r="N48" s="33" t="e">
        <f t="shared" si="2"/>
        <v>#N/A</v>
      </c>
      <c r="R48" s="161" t="e">
        <f t="shared" si="3"/>
        <v>#N/A</v>
      </c>
      <c r="S48" s="33" t="e">
        <f t="shared" si="4"/>
        <v>#N/A</v>
      </c>
    </row>
    <row r="49" spans="12:19" x14ac:dyDescent="0.25">
      <c r="L49" s="7" t="e">
        <f>VLOOKUP(A49,'3121% SY'!A:M,'3121% SY'!$M$1,FALSE)</f>
        <v>#N/A</v>
      </c>
      <c r="M49" s="161" t="e">
        <f t="shared" si="1"/>
        <v>#N/A</v>
      </c>
      <c r="N49" s="33" t="e">
        <f t="shared" si="2"/>
        <v>#N/A</v>
      </c>
      <c r="R49" s="161" t="e">
        <f t="shared" si="3"/>
        <v>#N/A</v>
      </c>
      <c r="S49" s="33" t="e">
        <f t="shared" si="4"/>
        <v>#N/A</v>
      </c>
    </row>
    <row r="50" spans="12:19" x14ac:dyDescent="0.25">
      <c r="L50" s="7" t="e">
        <f>VLOOKUP(A50,'3121% SY'!A:M,'3121% SY'!$M$1,FALSE)</f>
        <v>#N/A</v>
      </c>
      <c r="M50" s="161" t="e">
        <f t="shared" si="1"/>
        <v>#N/A</v>
      </c>
      <c r="N50" s="33" t="e">
        <f t="shared" si="2"/>
        <v>#N/A</v>
      </c>
      <c r="R50" s="161" t="e">
        <f t="shared" si="3"/>
        <v>#N/A</v>
      </c>
      <c r="S50" s="33" t="e">
        <f t="shared" si="4"/>
        <v>#N/A</v>
      </c>
    </row>
    <row r="51" spans="12:19" x14ac:dyDescent="0.25">
      <c r="L51" s="7" t="e">
        <f>VLOOKUP(A51,'3121% SY'!A:M,'3121% SY'!$M$1,FALSE)</f>
        <v>#N/A</v>
      </c>
      <c r="M51" s="161" t="e">
        <f t="shared" si="1"/>
        <v>#N/A</v>
      </c>
      <c r="N51" s="33" t="e">
        <f t="shared" si="2"/>
        <v>#N/A</v>
      </c>
      <c r="R51" s="161" t="e">
        <f t="shared" si="3"/>
        <v>#N/A</v>
      </c>
      <c r="S51" s="33" t="e">
        <f t="shared" si="4"/>
        <v>#N/A</v>
      </c>
    </row>
    <row r="52" spans="12:19" x14ac:dyDescent="0.25">
      <c r="L52" s="7" t="e">
        <f>VLOOKUP(A52,'3121% SY'!A:M,'3121% SY'!$M$1,FALSE)</f>
        <v>#N/A</v>
      </c>
      <c r="M52" s="161" t="e">
        <f t="shared" si="1"/>
        <v>#N/A</v>
      </c>
      <c r="N52" s="33" t="e">
        <f t="shared" si="2"/>
        <v>#N/A</v>
      </c>
      <c r="R52" s="161" t="e">
        <f t="shared" si="3"/>
        <v>#N/A</v>
      </c>
      <c r="S52" s="33" t="e">
        <f t="shared" si="4"/>
        <v>#N/A</v>
      </c>
    </row>
    <row r="53" spans="12:19" x14ac:dyDescent="0.25">
      <c r="L53" s="7" t="e">
        <f>VLOOKUP(A53,'3121% SY'!A:M,'3121% SY'!$M$1,FALSE)</f>
        <v>#N/A</v>
      </c>
      <c r="M53" s="161" t="e">
        <f t="shared" si="1"/>
        <v>#N/A</v>
      </c>
      <c r="N53" s="33" t="e">
        <f t="shared" si="2"/>
        <v>#N/A</v>
      </c>
      <c r="R53" s="161" t="e">
        <f t="shared" si="3"/>
        <v>#N/A</v>
      </c>
      <c r="S53" s="33" t="e">
        <f t="shared" si="4"/>
        <v>#N/A</v>
      </c>
    </row>
    <row r="54" spans="12:19" x14ac:dyDescent="0.25">
      <c r="L54" s="7" t="e">
        <f>VLOOKUP(A54,'3121% SY'!A:M,'3121% SY'!$M$1,FALSE)</f>
        <v>#N/A</v>
      </c>
      <c r="M54" s="161" t="e">
        <f t="shared" si="1"/>
        <v>#N/A</v>
      </c>
      <c r="N54" s="33" t="e">
        <f t="shared" si="2"/>
        <v>#N/A</v>
      </c>
      <c r="R54" s="161" t="e">
        <f t="shared" si="3"/>
        <v>#N/A</v>
      </c>
      <c r="S54" s="33" t="e">
        <f t="shared" si="4"/>
        <v>#N/A</v>
      </c>
    </row>
    <row r="55" spans="12:19" x14ac:dyDescent="0.25">
      <c r="L55" s="7" t="e">
        <f>VLOOKUP(A55,'3121% SY'!A:M,'3121% SY'!$M$1,FALSE)</f>
        <v>#N/A</v>
      </c>
      <c r="M55" s="161" t="e">
        <f t="shared" si="1"/>
        <v>#N/A</v>
      </c>
      <c r="N55" s="33" t="e">
        <f t="shared" si="2"/>
        <v>#N/A</v>
      </c>
      <c r="R55" s="161" t="e">
        <f t="shared" si="3"/>
        <v>#N/A</v>
      </c>
      <c r="S55" s="33" t="e">
        <f t="shared" si="4"/>
        <v>#N/A</v>
      </c>
    </row>
    <row r="56" spans="12:19" x14ac:dyDescent="0.25">
      <c r="L56" s="7" t="e">
        <f>VLOOKUP(A56,'3121% SY'!A:M,'3121% SY'!$M$1,FALSE)</f>
        <v>#N/A</v>
      </c>
      <c r="M56" s="161" t="e">
        <f t="shared" si="1"/>
        <v>#N/A</v>
      </c>
      <c r="N56" s="33" t="e">
        <f t="shared" si="2"/>
        <v>#N/A</v>
      </c>
      <c r="R56" s="161" t="e">
        <f t="shared" si="3"/>
        <v>#N/A</v>
      </c>
      <c r="S56" s="33" t="e">
        <f t="shared" si="4"/>
        <v>#N/A</v>
      </c>
    </row>
    <row r="57" spans="12:19" x14ac:dyDescent="0.25">
      <c r="L57" s="7" t="e">
        <f>VLOOKUP(A57,'3121% SY'!A:M,'3121% SY'!$M$1,FALSE)</f>
        <v>#N/A</v>
      </c>
      <c r="M57" s="161" t="e">
        <f t="shared" si="1"/>
        <v>#N/A</v>
      </c>
      <c r="N57" s="33" t="e">
        <f t="shared" si="2"/>
        <v>#N/A</v>
      </c>
      <c r="R57" s="161" t="e">
        <f t="shared" si="3"/>
        <v>#N/A</v>
      </c>
      <c r="S57" s="33" t="e">
        <f t="shared" si="4"/>
        <v>#N/A</v>
      </c>
    </row>
    <row r="58" spans="12:19" x14ac:dyDescent="0.25">
      <c r="L58" s="7" t="e">
        <f>VLOOKUP(A58,'3121% SY'!A:M,'3121% SY'!$M$1,FALSE)</f>
        <v>#N/A</v>
      </c>
      <c r="M58" s="161" t="e">
        <f t="shared" si="1"/>
        <v>#N/A</v>
      </c>
      <c r="N58" s="33" t="e">
        <f t="shared" si="2"/>
        <v>#N/A</v>
      </c>
      <c r="R58" s="161" t="e">
        <f t="shared" si="3"/>
        <v>#N/A</v>
      </c>
      <c r="S58" s="33" t="e">
        <f t="shared" si="4"/>
        <v>#N/A</v>
      </c>
    </row>
    <row r="59" spans="12:19" x14ac:dyDescent="0.25">
      <c r="L59" s="7" t="e">
        <f>VLOOKUP(A59,'3121% SY'!A:M,'3121% SY'!$M$1,FALSE)</f>
        <v>#N/A</v>
      </c>
      <c r="M59" s="161" t="e">
        <f t="shared" si="1"/>
        <v>#N/A</v>
      </c>
      <c r="N59" s="33" t="e">
        <f t="shared" si="2"/>
        <v>#N/A</v>
      </c>
      <c r="R59" s="161" t="e">
        <f t="shared" si="3"/>
        <v>#N/A</v>
      </c>
      <c r="S59" s="33" t="e">
        <f t="shared" si="4"/>
        <v>#N/A</v>
      </c>
    </row>
    <row r="60" spans="12:19" x14ac:dyDescent="0.25">
      <c r="L60" s="7" t="e">
        <f>VLOOKUP(A60,'3121% SY'!A:M,'3121% SY'!$M$1,FALSE)</f>
        <v>#N/A</v>
      </c>
      <c r="M60" s="161" t="e">
        <f t="shared" si="1"/>
        <v>#N/A</v>
      </c>
      <c r="N60" s="33" t="e">
        <f t="shared" si="2"/>
        <v>#N/A</v>
      </c>
      <c r="R60" s="161" t="e">
        <f t="shared" si="3"/>
        <v>#N/A</v>
      </c>
      <c r="S60" s="33" t="e">
        <f t="shared" si="4"/>
        <v>#N/A</v>
      </c>
    </row>
    <row r="61" spans="12:19" x14ac:dyDescent="0.25">
      <c r="L61" s="7" t="e">
        <f>VLOOKUP(A61,'3121% SY'!A:M,'3121% SY'!$M$1,FALSE)</f>
        <v>#N/A</v>
      </c>
      <c r="M61" s="161" t="e">
        <f t="shared" si="1"/>
        <v>#N/A</v>
      </c>
      <c r="N61" s="33" t="e">
        <f t="shared" si="2"/>
        <v>#N/A</v>
      </c>
      <c r="R61" s="161" t="e">
        <f t="shared" si="3"/>
        <v>#N/A</v>
      </c>
      <c r="S61" s="33" t="e">
        <f t="shared" si="4"/>
        <v>#N/A</v>
      </c>
    </row>
    <row r="62" spans="12:19" x14ac:dyDescent="0.25">
      <c r="L62" s="7" t="e">
        <f>VLOOKUP(A62,'3121% SY'!A:M,'3121% SY'!$M$1,FALSE)</f>
        <v>#N/A</v>
      </c>
      <c r="M62" s="161" t="e">
        <f t="shared" si="1"/>
        <v>#N/A</v>
      </c>
      <c r="N62" s="33" t="e">
        <f t="shared" si="2"/>
        <v>#N/A</v>
      </c>
      <c r="R62" s="161" t="e">
        <f t="shared" si="3"/>
        <v>#N/A</v>
      </c>
      <c r="S62" s="33" t="e">
        <f t="shared" si="4"/>
        <v>#N/A</v>
      </c>
    </row>
    <row r="63" spans="12:19" x14ac:dyDescent="0.25">
      <c r="L63" s="7" t="e">
        <f>VLOOKUP(A63,'3121% SY'!A:M,'3121% SY'!$M$1,FALSE)</f>
        <v>#N/A</v>
      </c>
      <c r="M63" s="161" t="e">
        <f t="shared" si="1"/>
        <v>#N/A</v>
      </c>
      <c r="N63" s="33" t="e">
        <f t="shared" si="2"/>
        <v>#N/A</v>
      </c>
      <c r="R63" s="161" t="e">
        <f t="shared" si="3"/>
        <v>#N/A</v>
      </c>
      <c r="S63" s="33" t="e">
        <f t="shared" si="4"/>
        <v>#N/A</v>
      </c>
    </row>
    <row r="64" spans="12:19" x14ac:dyDescent="0.25">
      <c r="L64" s="7" t="e">
        <f>VLOOKUP(A64,'3121% SY'!A:M,'3121% SY'!$M$1,FALSE)</f>
        <v>#N/A</v>
      </c>
      <c r="M64" s="161" t="e">
        <f t="shared" si="1"/>
        <v>#N/A</v>
      </c>
      <c r="N64" s="33" t="e">
        <f t="shared" si="2"/>
        <v>#N/A</v>
      </c>
      <c r="R64" s="161" t="e">
        <f t="shared" si="3"/>
        <v>#N/A</v>
      </c>
      <c r="S64" s="33" t="e">
        <f t="shared" si="4"/>
        <v>#N/A</v>
      </c>
    </row>
    <row r="65" spans="12:19" x14ac:dyDescent="0.25">
      <c r="L65" s="7" t="e">
        <f>VLOOKUP(A65,'3121% SY'!A:M,'3121% SY'!$M$1,FALSE)</f>
        <v>#N/A</v>
      </c>
      <c r="M65" s="161" t="e">
        <f t="shared" si="1"/>
        <v>#N/A</v>
      </c>
      <c r="N65" s="33" t="e">
        <f t="shared" si="2"/>
        <v>#N/A</v>
      </c>
      <c r="R65" s="161" t="e">
        <f t="shared" si="3"/>
        <v>#N/A</v>
      </c>
      <c r="S65" s="33" t="e">
        <f t="shared" si="4"/>
        <v>#N/A</v>
      </c>
    </row>
    <row r="66" spans="12:19" x14ac:dyDescent="0.25">
      <c r="L66" s="7" t="e">
        <f>VLOOKUP(A66,'3121% SY'!A:M,'3121% SY'!$M$1,FALSE)</f>
        <v>#N/A</v>
      </c>
      <c r="M66" s="161" t="e">
        <f t="shared" si="1"/>
        <v>#N/A</v>
      </c>
      <c r="N66" s="33" t="e">
        <f t="shared" si="2"/>
        <v>#N/A</v>
      </c>
      <c r="R66" s="161" t="e">
        <f t="shared" si="3"/>
        <v>#N/A</v>
      </c>
      <c r="S66" s="33" t="e">
        <f t="shared" si="4"/>
        <v>#N/A</v>
      </c>
    </row>
    <row r="67" spans="12:19" x14ac:dyDescent="0.25">
      <c r="L67" s="7" t="e">
        <f>VLOOKUP(A67,'3121% SY'!A:M,'3121% SY'!$M$1,FALSE)</f>
        <v>#N/A</v>
      </c>
      <c r="M67" s="161" t="e">
        <f t="shared" si="1"/>
        <v>#N/A</v>
      </c>
      <c r="N67" s="33" t="e">
        <f t="shared" si="2"/>
        <v>#N/A</v>
      </c>
      <c r="R67" s="161" t="e">
        <f t="shared" si="3"/>
        <v>#N/A</v>
      </c>
      <c r="S67" s="33" t="e">
        <f t="shared" si="4"/>
        <v>#N/A</v>
      </c>
    </row>
    <row r="68" spans="12:19" x14ac:dyDescent="0.25">
      <c r="L68" s="7" t="e">
        <f>VLOOKUP(A68,'3121% SY'!A:M,'3121% SY'!$M$1,FALSE)</f>
        <v>#N/A</v>
      </c>
      <c r="M68" s="161" t="e">
        <f t="shared" si="1"/>
        <v>#N/A</v>
      </c>
      <c r="N68" s="33" t="e">
        <f t="shared" si="2"/>
        <v>#N/A</v>
      </c>
      <c r="R68" s="161" t="e">
        <f t="shared" si="3"/>
        <v>#N/A</v>
      </c>
      <c r="S68" s="33" t="e">
        <f t="shared" si="4"/>
        <v>#N/A</v>
      </c>
    </row>
    <row r="69" spans="12:19" x14ac:dyDescent="0.25">
      <c r="L69" s="7" t="e">
        <f>VLOOKUP(A69,'3121% SY'!A:M,'3121% SY'!$M$1,FALSE)</f>
        <v>#N/A</v>
      </c>
      <c r="M69" s="161" t="e">
        <f t="shared" ref="M69:M132" si="5">ROUND(I69*$L69,3)+ROUND(J69*$L69,3)++ROUND(K69*$L69,3)</f>
        <v>#N/A</v>
      </c>
      <c r="N69" s="33" t="e">
        <f t="shared" ref="N69:N132" si="6">SUM(M69,B69:H69)</f>
        <v>#N/A</v>
      </c>
      <c r="R69" s="161" t="e">
        <f t="shared" ref="R69:R122" si="7">ROUND(Q69*$L69,3)</f>
        <v>#N/A</v>
      </c>
      <c r="S69" s="33" t="e">
        <f t="shared" ref="S69:S122" si="8">SUM(R69,O69:P69)</f>
        <v>#N/A</v>
      </c>
    </row>
    <row r="70" spans="12:19" x14ac:dyDescent="0.25">
      <c r="L70" s="7" t="e">
        <f>VLOOKUP(A70,'3121% SY'!A:M,'3121% SY'!$M$1,FALSE)</f>
        <v>#N/A</v>
      </c>
      <c r="M70" s="161" t="e">
        <f t="shared" si="5"/>
        <v>#N/A</v>
      </c>
      <c r="N70" s="33" t="e">
        <f t="shared" si="6"/>
        <v>#N/A</v>
      </c>
      <c r="R70" s="161" t="e">
        <f t="shared" si="7"/>
        <v>#N/A</v>
      </c>
      <c r="S70" s="33" t="e">
        <f t="shared" si="8"/>
        <v>#N/A</v>
      </c>
    </row>
    <row r="71" spans="12:19" x14ac:dyDescent="0.25">
      <c r="L71" s="7" t="e">
        <f>VLOOKUP(A71,'3121% SY'!A:M,'3121% SY'!$M$1,FALSE)</f>
        <v>#N/A</v>
      </c>
      <c r="M71" s="161" t="e">
        <f t="shared" si="5"/>
        <v>#N/A</v>
      </c>
      <c r="N71" s="33" t="e">
        <f t="shared" si="6"/>
        <v>#N/A</v>
      </c>
      <c r="R71" s="161" t="e">
        <f t="shared" si="7"/>
        <v>#N/A</v>
      </c>
      <c r="S71" s="33" t="e">
        <f t="shared" si="8"/>
        <v>#N/A</v>
      </c>
    </row>
    <row r="72" spans="12:19" x14ac:dyDescent="0.25">
      <c r="L72" s="7" t="e">
        <f>VLOOKUP(A72,'3121% SY'!A:M,'3121% SY'!$M$1,FALSE)</f>
        <v>#N/A</v>
      </c>
      <c r="M72" s="161" t="e">
        <f t="shared" si="5"/>
        <v>#N/A</v>
      </c>
      <c r="N72" s="33" t="e">
        <f t="shared" si="6"/>
        <v>#N/A</v>
      </c>
      <c r="R72" s="161" t="e">
        <f t="shared" si="7"/>
        <v>#N/A</v>
      </c>
      <c r="S72" s="33" t="e">
        <f t="shared" si="8"/>
        <v>#N/A</v>
      </c>
    </row>
    <row r="73" spans="12:19" x14ac:dyDescent="0.25">
      <c r="L73" s="7" t="e">
        <f>VLOOKUP(A73,'3121% SY'!A:M,'3121% SY'!$M$1,FALSE)</f>
        <v>#N/A</v>
      </c>
      <c r="M73" s="161" t="e">
        <f t="shared" si="5"/>
        <v>#N/A</v>
      </c>
      <c r="N73" s="33" t="e">
        <f t="shared" si="6"/>
        <v>#N/A</v>
      </c>
      <c r="R73" s="161" t="e">
        <f t="shared" si="7"/>
        <v>#N/A</v>
      </c>
      <c r="S73" s="33" t="e">
        <f t="shared" si="8"/>
        <v>#N/A</v>
      </c>
    </row>
    <row r="74" spans="12:19" x14ac:dyDescent="0.25">
      <c r="L74" s="7" t="e">
        <f>VLOOKUP(A74,'3121% SY'!A:M,'3121% SY'!$M$1,FALSE)</f>
        <v>#N/A</v>
      </c>
      <c r="M74" s="161" t="e">
        <f t="shared" si="5"/>
        <v>#N/A</v>
      </c>
      <c r="N74" s="33" t="e">
        <f t="shared" si="6"/>
        <v>#N/A</v>
      </c>
      <c r="R74" s="161" t="e">
        <f t="shared" si="7"/>
        <v>#N/A</v>
      </c>
      <c r="S74" s="33" t="e">
        <f t="shared" si="8"/>
        <v>#N/A</v>
      </c>
    </row>
    <row r="75" spans="12:19" x14ac:dyDescent="0.25">
      <c r="L75" s="7" t="e">
        <f>VLOOKUP(A75,'3121% SY'!A:M,'3121% SY'!$M$1,FALSE)</f>
        <v>#N/A</v>
      </c>
      <c r="M75" s="161" t="e">
        <f t="shared" si="5"/>
        <v>#N/A</v>
      </c>
      <c r="N75" s="33" t="e">
        <f t="shared" si="6"/>
        <v>#N/A</v>
      </c>
      <c r="R75" s="161" t="e">
        <f t="shared" si="7"/>
        <v>#N/A</v>
      </c>
      <c r="S75" s="33" t="e">
        <f t="shared" si="8"/>
        <v>#N/A</v>
      </c>
    </row>
    <row r="76" spans="12:19" x14ac:dyDescent="0.25">
      <c r="L76" s="7" t="e">
        <f>VLOOKUP(A76,'3121% SY'!A:M,'3121% SY'!$M$1,FALSE)</f>
        <v>#N/A</v>
      </c>
      <c r="M76" s="161" t="e">
        <f t="shared" si="5"/>
        <v>#N/A</v>
      </c>
      <c r="N76" s="33" t="e">
        <f t="shared" si="6"/>
        <v>#N/A</v>
      </c>
      <c r="R76" s="161" t="e">
        <f t="shared" si="7"/>
        <v>#N/A</v>
      </c>
      <c r="S76" s="33" t="e">
        <f t="shared" si="8"/>
        <v>#N/A</v>
      </c>
    </row>
    <row r="77" spans="12:19" x14ac:dyDescent="0.25">
      <c r="L77" s="7" t="e">
        <f>VLOOKUP(A77,'3121% SY'!A:M,'3121% SY'!$M$1,FALSE)</f>
        <v>#N/A</v>
      </c>
      <c r="M77" s="161" t="e">
        <f t="shared" si="5"/>
        <v>#N/A</v>
      </c>
      <c r="N77" s="33" t="e">
        <f t="shared" si="6"/>
        <v>#N/A</v>
      </c>
      <c r="R77" s="161" t="e">
        <f t="shared" si="7"/>
        <v>#N/A</v>
      </c>
      <c r="S77" s="33" t="e">
        <f t="shared" si="8"/>
        <v>#N/A</v>
      </c>
    </row>
    <row r="78" spans="12:19" x14ac:dyDescent="0.25">
      <c r="L78" s="7" t="e">
        <f>VLOOKUP(A78,'3121% SY'!A:M,'3121% SY'!$M$1,FALSE)</f>
        <v>#N/A</v>
      </c>
      <c r="M78" s="161" t="e">
        <f t="shared" si="5"/>
        <v>#N/A</v>
      </c>
      <c r="N78" s="33" t="e">
        <f t="shared" si="6"/>
        <v>#N/A</v>
      </c>
      <c r="R78" s="161" t="e">
        <f t="shared" si="7"/>
        <v>#N/A</v>
      </c>
      <c r="S78" s="33" t="e">
        <f t="shared" si="8"/>
        <v>#N/A</v>
      </c>
    </row>
    <row r="79" spans="12:19" x14ac:dyDescent="0.25">
      <c r="L79" s="7" t="e">
        <f>VLOOKUP(A79,'3121% SY'!A:M,'3121% SY'!$M$1,FALSE)</f>
        <v>#N/A</v>
      </c>
      <c r="M79" s="161" t="e">
        <f t="shared" si="5"/>
        <v>#N/A</v>
      </c>
      <c r="N79" s="33" t="e">
        <f t="shared" si="6"/>
        <v>#N/A</v>
      </c>
      <c r="R79" s="161" t="e">
        <f t="shared" si="7"/>
        <v>#N/A</v>
      </c>
      <c r="S79" s="33" t="e">
        <f t="shared" si="8"/>
        <v>#N/A</v>
      </c>
    </row>
    <row r="80" spans="12:19" x14ac:dyDescent="0.25">
      <c r="L80" s="7" t="e">
        <f>VLOOKUP(A80,'3121% SY'!A:M,'3121% SY'!$M$1,FALSE)</f>
        <v>#N/A</v>
      </c>
      <c r="M80" s="161" t="e">
        <f t="shared" si="5"/>
        <v>#N/A</v>
      </c>
      <c r="N80" s="33" t="e">
        <f t="shared" si="6"/>
        <v>#N/A</v>
      </c>
      <c r="R80" s="161" t="e">
        <f t="shared" si="7"/>
        <v>#N/A</v>
      </c>
      <c r="S80" s="33" t="e">
        <f t="shared" si="8"/>
        <v>#N/A</v>
      </c>
    </row>
    <row r="81" spans="12:19" x14ac:dyDescent="0.25">
      <c r="L81" s="7" t="e">
        <f>VLOOKUP(A81,'3121% SY'!A:M,'3121% SY'!$M$1,FALSE)</f>
        <v>#N/A</v>
      </c>
      <c r="M81" s="161" t="e">
        <f t="shared" si="5"/>
        <v>#N/A</v>
      </c>
      <c r="N81" s="33" t="e">
        <f t="shared" si="6"/>
        <v>#N/A</v>
      </c>
      <c r="R81" s="161" t="e">
        <f t="shared" si="7"/>
        <v>#N/A</v>
      </c>
      <c r="S81" s="33" t="e">
        <f t="shared" si="8"/>
        <v>#N/A</v>
      </c>
    </row>
    <row r="82" spans="12:19" x14ac:dyDescent="0.25">
      <c r="L82" s="7" t="e">
        <f>VLOOKUP(A82,'3121% SY'!A:M,'3121% SY'!$M$1,FALSE)</f>
        <v>#N/A</v>
      </c>
      <c r="M82" s="161" t="e">
        <f t="shared" si="5"/>
        <v>#N/A</v>
      </c>
      <c r="N82" s="33" t="e">
        <f t="shared" si="6"/>
        <v>#N/A</v>
      </c>
      <c r="R82" s="161" t="e">
        <f t="shared" si="7"/>
        <v>#N/A</v>
      </c>
      <c r="S82" s="33" t="e">
        <f t="shared" si="8"/>
        <v>#N/A</v>
      </c>
    </row>
    <row r="83" spans="12:19" x14ac:dyDescent="0.25">
      <c r="L83" s="7" t="e">
        <f>VLOOKUP(A83,'3121% SY'!A:M,'3121% SY'!$M$1,FALSE)</f>
        <v>#N/A</v>
      </c>
      <c r="M83" s="161" t="e">
        <f t="shared" si="5"/>
        <v>#N/A</v>
      </c>
      <c r="N83" s="33" t="e">
        <f t="shared" si="6"/>
        <v>#N/A</v>
      </c>
      <c r="R83" s="161" t="e">
        <f t="shared" si="7"/>
        <v>#N/A</v>
      </c>
      <c r="S83" s="33" t="e">
        <f t="shared" si="8"/>
        <v>#N/A</v>
      </c>
    </row>
    <row r="84" spans="12:19" x14ac:dyDescent="0.25">
      <c r="L84" s="7" t="e">
        <f>VLOOKUP(A84,'3121% SY'!A:M,'3121% SY'!$M$1,FALSE)</f>
        <v>#N/A</v>
      </c>
      <c r="M84" s="161" t="e">
        <f t="shared" si="5"/>
        <v>#N/A</v>
      </c>
      <c r="N84" s="33" t="e">
        <f t="shared" si="6"/>
        <v>#N/A</v>
      </c>
      <c r="R84" s="161" t="e">
        <f t="shared" si="7"/>
        <v>#N/A</v>
      </c>
      <c r="S84" s="33" t="e">
        <f t="shared" si="8"/>
        <v>#N/A</v>
      </c>
    </row>
    <row r="85" spans="12:19" x14ac:dyDescent="0.25">
      <c r="L85" s="7" t="e">
        <f>VLOOKUP(A85,'3121% SY'!A:M,'3121% SY'!$M$1,FALSE)</f>
        <v>#N/A</v>
      </c>
      <c r="M85" s="161" t="e">
        <f t="shared" si="5"/>
        <v>#N/A</v>
      </c>
      <c r="N85" s="33" t="e">
        <f t="shared" si="6"/>
        <v>#N/A</v>
      </c>
      <c r="R85" s="161" t="e">
        <f t="shared" si="7"/>
        <v>#N/A</v>
      </c>
      <c r="S85" s="33" t="e">
        <f t="shared" si="8"/>
        <v>#N/A</v>
      </c>
    </row>
    <row r="86" spans="12:19" x14ac:dyDescent="0.25">
      <c r="L86" s="7" t="e">
        <f>VLOOKUP(A86,'3121% SY'!A:M,'3121% SY'!$M$1,FALSE)</f>
        <v>#N/A</v>
      </c>
      <c r="M86" s="161" t="e">
        <f t="shared" si="5"/>
        <v>#N/A</v>
      </c>
      <c r="N86" s="33" t="e">
        <f t="shared" si="6"/>
        <v>#N/A</v>
      </c>
      <c r="R86" s="161" t="e">
        <f t="shared" si="7"/>
        <v>#N/A</v>
      </c>
      <c r="S86" s="33" t="e">
        <f t="shared" si="8"/>
        <v>#N/A</v>
      </c>
    </row>
    <row r="87" spans="12:19" x14ac:dyDescent="0.25">
      <c r="L87" s="7" t="e">
        <f>VLOOKUP(A87,'3121% SY'!A:M,'3121% SY'!$M$1,FALSE)</f>
        <v>#N/A</v>
      </c>
      <c r="M87" s="161" t="e">
        <f t="shared" si="5"/>
        <v>#N/A</v>
      </c>
      <c r="N87" s="33" t="e">
        <f t="shared" si="6"/>
        <v>#N/A</v>
      </c>
      <c r="R87" s="161" t="e">
        <f t="shared" si="7"/>
        <v>#N/A</v>
      </c>
      <c r="S87" s="33" t="e">
        <f t="shared" si="8"/>
        <v>#N/A</v>
      </c>
    </row>
    <row r="88" spans="12:19" x14ac:dyDescent="0.25">
      <c r="L88" s="7" t="e">
        <f>VLOOKUP(A88,'3121% SY'!A:M,'3121% SY'!$M$1,FALSE)</f>
        <v>#N/A</v>
      </c>
      <c r="M88" s="161" t="e">
        <f t="shared" si="5"/>
        <v>#N/A</v>
      </c>
      <c r="N88" s="33" t="e">
        <f t="shared" si="6"/>
        <v>#N/A</v>
      </c>
      <c r="R88" s="161" t="e">
        <f t="shared" si="7"/>
        <v>#N/A</v>
      </c>
      <c r="S88" s="33" t="e">
        <f t="shared" si="8"/>
        <v>#N/A</v>
      </c>
    </row>
    <row r="89" spans="12:19" x14ac:dyDescent="0.25">
      <c r="L89" s="7" t="e">
        <f>VLOOKUP(A89,'3121% SY'!A:M,'3121% SY'!$M$1,FALSE)</f>
        <v>#N/A</v>
      </c>
      <c r="M89" s="161" t="e">
        <f t="shared" si="5"/>
        <v>#N/A</v>
      </c>
      <c r="N89" s="33" t="e">
        <f t="shared" si="6"/>
        <v>#N/A</v>
      </c>
      <c r="R89" s="161" t="e">
        <f t="shared" si="7"/>
        <v>#N/A</v>
      </c>
      <c r="S89" s="33" t="e">
        <f t="shared" si="8"/>
        <v>#N/A</v>
      </c>
    </row>
    <row r="90" spans="12:19" x14ac:dyDescent="0.25">
      <c r="L90" s="7" t="e">
        <f>VLOOKUP(A90,'3121% SY'!A:M,'3121% SY'!$M$1,FALSE)</f>
        <v>#N/A</v>
      </c>
      <c r="M90" s="161" t="e">
        <f t="shared" si="5"/>
        <v>#N/A</v>
      </c>
      <c r="N90" s="33" t="e">
        <f t="shared" si="6"/>
        <v>#N/A</v>
      </c>
      <c r="R90" s="161" t="e">
        <f t="shared" si="7"/>
        <v>#N/A</v>
      </c>
      <c r="S90" s="33" t="e">
        <f t="shared" si="8"/>
        <v>#N/A</v>
      </c>
    </row>
    <row r="91" spans="12:19" x14ac:dyDescent="0.25">
      <c r="L91" s="7" t="e">
        <f>VLOOKUP(A91,'3121% SY'!A:M,'3121% SY'!$M$1,FALSE)</f>
        <v>#N/A</v>
      </c>
      <c r="M91" s="161" t="e">
        <f t="shared" si="5"/>
        <v>#N/A</v>
      </c>
      <c r="N91" s="33" t="e">
        <f t="shared" si="6"/>
        <v>#N/A</v>
      </c>
      <c r="R91" s="161" t="e">
        <f t="shared" si="7"/>
        <v>#N/A</v>
      </c>
      <c r="S91" s="33" t="e">
        <f t="shared" si="8"/>
        <v>#N/A</v>
      </c>
    </row>
    <row r="92" spans="12:19" x14ac:dyDescent="0.25">
      <c r="L92" s="7" t="e">
        <f>VLOOKUP(A92,'3121% SY'!A:M,'3121% SY'!$M$1,FALSE)</f>
        <v>#N/A</v>
      </c>
      <c r="M92" s="161" t="e">
        <f t="shared" si="5"/>
        <v>#N/A</v>
      </c>
      <c r="N92" s="33" t="e">
        <f t="shared" si="6"/>
        <v>#N/A</v>
      </c>
      <c r="R92" s="161" t="e">
        <f t="shared" si="7"/>
        <v>#N/A</v>
      </c>
      <c r="S92" s="33" t="e">
        <f t="shared" si="8"/>
        <v>#N/A</v>
      </c>
    </row>
    <row r="93" spans="12:19" x14ac:dyDescent="0.25">
      <c r="L93" s="7" t="e">
        <f>VLOOKUP(A93,'3121% SY'!A:M,'3121% SY'!$M$1,FALSE)</f>
        <v>#N/A</v>
      </c>
      <c r="M93" s="161" t="e">
        <f t="shared" si="5"/>
        <v>#N/A</v>
      </c>
      <c r="N93" s="33" t="e">
        <f t="shared" si="6"/>
        <v>#N/A</v>
      </c>
      <c r="R93" s="161" t="e">
        <f t="shared" si="7"/>
        <v>#N/A</v>
      </c>
      <c r="S93" s="33" t="e">
        <f t="shared" si="8"/>
        <v>#N/A</v>
      </c>
    </row>
    <row r="94" spans="12:19" x14ac:dyDescent="0.25">
      <c r="L94" s="7" t="e">
        <f>VLOOKUP(A94,'3121% SY'!A:M,'3121% SY'!$M$1,FALSE)</f>
        <v>#N/A</v>
      </c>
      <c r="M94" s="161" t="e">
        <f t="shared" si="5"/>
        <v>#N/A</v>
      </c>
      <c r="N94" s="33" t="e">
        <f t="shared" si="6"/>
        <v>#N/A</v>
      </c>
      <c r="R94" s="161" t="e">
        <f t="shared" si="7"/>
        <v>#N/A</v>
      </c>
      <c r="S94" s="33" t="e">
        <f t="shared" si="8"/>
        <v>#N/A</v>
      </c>
    </row>
    <row r="95" spans="12:19" x14ac:dyDescent="0.25">
      <c r="L95" s="7" t="e">
        <f>VLOOKUP(A95,'3121% SY'!A:M,'3121% SY'!$M$1,FALSE)</f>
        <v>#N/A</v>
      </c>
      <c r="M95" s="161" t="e">
        <f t="shared" si="5"/>
        <v>#N/A</v>
      </c>
      <c r="N95" s="33" t="e">
        <f t="shared" si="6"/>
        <v>#N/A</v>
      </c>
      <c r="R95" s="161" t="e">
        <f t="shared" si="7"/>
        <v>#N/A</v>
      </c>
      <c r="S95" s="33" t="e">
        <f t="shared" si="8"/>
        <v>#N/A</v>
      </c>
    </row>
    <row r="96" spans="12:19" x14ac:dyDescent="0.25">
      <c r="L96" s="7" t="e">
        <f>VLOOKUP(A96,'3121% SY'!A:M,'3121% SY'!$M$1,FALSE)</f>
        <v>#N/A</v>
      </c>
      <c r="M96" s="161" t="e">
        <f t="shared" si="5"/>
        <v>#N/A</v>
      </c>
      <c r="N96" s="33" t="e">
        <f t="shared" si="6"/>
        <v>#N/A</v>
      </c>
      <c r="R96" s="161" t="e">
        <f t="shared" si="7"/>
        <v>#N/A</v>
      </c>
      <c r="S96" s="33" t="e">
        <f t="shared" si="8"/>
        <v>#N/A</v>
      </c>
    </row>
    <row r="97" spans="12:19" x14ac:dyDescent="0.25">
      <c r="L97" s="7" t="e">
        <f>VLOOKUP(A97,'3121% SY'!A:M,'3121% SY'!$M$1,FALSE)</f>
        <v>#N/A</v>
      </c>
      <c r="M97" s="161" t="e">
        <f t="shared" si="5"/>
        <v>#N/A</v>
      </c>
      <c r="N97" s="33" t="e">
        <f t="shared" si="6"/>
        <v>#N/A</v>
      </c>
      <c r="R97" s="161" t="e">
        <f t="shared" si="7"/>
        <v>#N/A</v>
      </c>
      <c r="S97" s="33" t="e">
        <f t="shared" si="8"/>
        <v>#N/A</v>
      </c>
    </row>
    <row r="98" spans="12:19" x14ac:dyDescent="0.25">
      <c r="L98" s="7" t="e">
        <f>VLOOKUP(A98,'3121% SY'!A:M,'3121% SY'!$M$1,FALSE)</f>
        <v>#N/A</v>
      </c>
      <c r="M98" s="161" t="e">
        <f t="shared" si="5"/>
        <v>#N/A</v>
      </c>
      <c r="N98" s="33" t="e">
        <f t="shared" si="6"/>
        <v>#N/A</v>
      </c>
      <c r="R98" s="161" t="e">
        <f t="shared" si="7"/>
        <v>#N/A</v>
      </c>
      <c r="S98" s="33" t="e">
        <f t="shared" si="8"/>
        <v>#N/A</v>
      </c>
    </row>
    <row r="99" spans="12:19" x14ac:dyDescent="0.25">
      <c r="L99" s="7" t="e">
        <f>VLOOKUP(A99,'3121% SY'!A:M,'3121% SY'!$M$1,FALSE)</f>
        <v>#N/A</v>
      </c>
      <c r="M99" s="161" t="e">
        <f t="shared" si="5"/>
        <v>#N/A</v>
      </c>
      <c r="N99" s="33" t="e">
        <f t="shared" si="6"/>
        <v>#N/A</v>
      </c>
      <c r="R99" s="161" t="e">
        <f t="shared" si="7"/>
        <v>#N/A</v>
      </c>
      <c r="S99" s="33" t="e">
        <f t="shared" si="8"/>
        <v>#N/A</v>
      </c>
    </row>
    <row r="100" spans="12:19" x14ac:dyDescent="0.25">
      <c r="L100" s="7" t="e">
        <f>VLOOKUP(A100,'3121% SY'!A:M,'3121% SY'!$M$1,FALSE)</f>
        <v>#N/A</v>
      </c>
      <c r="M100" s="161" t="e">
        <f t="shared" si="5"/>
        <v>#N/A</v>
      </c>
      <c r="N100" s="33" t="e">
        <f t="shared" si="6"/>
        <v>#N/A</v>
      </c>
      <c r="R100" s="161" t="e">
        <f t="shared" si="7"/>
        <v>#N/A</v>
      </c>
      <c r="S100" s="33" t="e">
        <f t="shared" si="8"/>
        <v>#N/A</v>
      </c>
    </row>
    <row r="101" spans="12:19" x14ac:dyDescent="0.25">
      <c r="L101" s="7" t="e">
        <f>VLOOKUP(A101,'3121% SY'!A:M,'3121% SY'!$M$1,FALSE)</f>
        <v>#N/A</v>
      </c>
      <c r="M101" s="161" t="e">
        <f t="shared" si="5"/>
        <v>#N/A</v>
      </c>
      <c r="N101" s="33" t="e">
        <f t="shared" si="6"/>
        <v>#N/A</v>
      </c>
      <c r="R101" s="161" t="e">
        <f t="shared" si="7"/>
        <v>#N/A</v>
      </c>
      <c r="S101" s="33" t="e">
        <f t="shared" si="8"/>
        <v>#N/A</v>
      </c>
    </row>
    <row r="102" spans="12:19" x14ac:dyDescent="0.25">
      <c r="L102" s="7" t="e">
        <f>VLOOKUP(A102,'3121% SY'!A:M,'3121% SY'!$M$1,FALSE)</f>
        <v>#N/A</v>
      </c>
      <c r="M102" s="161" t="e">
        <f t="shared" si="5"/>
        <v>#N/A</v>
      </c>
      <c r="N102" s="33" t="e">
        <f t="shared" si="6"/>
        <v>#N/A</v>
      </c>
      <c r="R102" s="161" t="e">
        <f t="shared" si="7"/>
        <v>#N/A</v>
      </c>
      <c r="S102" s="33" t="e">
        <f t="shared" si="8"/>
        <v>#N/A</v>
      </c>
    </row>
    <row r="103" spans="12:19" x14ac:dyDescent="0.25">
      <c r="L103" s="7" t="e">
        <f>VLOOKUP(A103,'3121% SY'!A:M,'3121% SY'!$M$1,FALSE)</f>
        <v>#N/A</v>
      </c>
      <c r="M103" s="161" t="e">
        <f t="shared" si="5"/>
        <v>#N/A</v>
      </c>
      <c r="N103" s="33" t="e">
        <f t="shared" si="6"/>
        <v>#N/A</v>
      </c>
      <c r="R103" s="161" t="e">
        <f t="shared" si="7"/>
        <v>#N/A</v>
      </c>
      <c r="S103" s="33" t="e">
        <f t="shared" si="8"/>
        <v>#N/A</v>
      </c>
    </row>
    <row r="104" spans="12:19" x14ac:dyDescent="0.25">
      <c r="L104" s="7" t="e">
        <f>VLOOKUP(A104,'3121% SY'!A:M,'3121% SY'!$M$1,FALSE)</f>
        <v>#N/A</v>
      </c>
      <c r="M104" s="161" t="e">
        <f t="shared" si="5"/>
        <v>#N/A</v>
      </c>
      <c r="N104" s="33" t="e">
        <f t="shared" si="6"/>
        <v>#N/A</v>
      </c>
      <c r="R104" s="161" t="e">
        <f t="shared" si="7"/>
        <v>#N/A</v>
      </c>
      <c r="S104" s="33" t="e">
        <f t="shared" si="8"/>
        <v>#N/A</v>
      </c>
    </row>
    <row r="105" spans="12:19" x14ac:dyDescent="0.25">
      <c r="L105" s="7" t="e">
        <f>VLOOKUP(A105,'3121% SY'!A:M,'3121% SY'!$M$1,FALSE)</f>
        <v>#N/A</v>
      </c>
      <c r="M105" s="161" t="e">
        <f t="shared" si="5"/>
        <v>#N/A</v>
      </c>
      <c r="N105" s="33" t="e">
        <f t="shared" si="6"/>
        <v>#N/A</v>
      </c>
      <c r="R105" s="161" t="e">
        <f t="shared" si="7"/>
        <v>#N/A</v>
      </c>
      <c r="S105" s="33" t="e">
        <f t="shared" si="8"/>
        <v>#N/A</v>
      </c>
    </row>
    <row r="106" spans="12:19" x14ac:dyDescent="0.25">
      <c r="L106" s="7" t="e">
        <f>VLOOKUP(A106,'3121% SY'!A:M,'3121% SY'!$M$1,FALSE)</f>
        <v>#N/A</v>
      </c>
      <c r="M106" s="161" t="e">
        <f t="shared" si="5"/>
        <v>#N/A</v>
      </c>
      <c r="N106" s="33" t="e">
        <f t="shared" si="6"/>
        <v>#N/A</v>
      </c>
      <c r="R106" s="161" t="e">
        <f t="shared" si="7"/>
        <v>#N/A</v>
      </c>
      <c r="S106" s="33" t="e">
        <f t="shared" si="8"/>
        <v>#N/A</v>
      </c>
    </row>
    <row r="107" spans="12:19" x14ac:dyDescent="0.25">
      <c r="L107" s="7" t="e">
        <f>VLOOKUP(A107,'3121% SY'!A:M,'3121% SY'!$M$1,FALSE)</f>
        <v>#N/A</v>
      </c>
      <c r="M107" s="161" t="e">
        <f t="shared" si="5"/>
        <v>#N/A</v>
      </c>
      <c r="N107" s="33" t="e">
        <f t="shared" si="6"/>
        <v>#N/A</v>
      </c>
      <c r="R107" s="161" t="e">
        <f t="shared" si="7"/>
        <v>#N/A</v>
      </c>
      <c r="S107" s="33" t="e">
        <f t="shared" si="8"/>
        <v>#N/A</v>
      </c>
    </row>
    <row r="108" spans="12:19" x14ac:dyDescent="0.25">
      <c r="L108" s="7" t="e">
        <f>VLOOKUP(A108,'3121% SY'!A:M,'3121% SY'!$M$1,FALSE)</f>
        <v>#N/A</v>
      </c>
      <c r="M108" s="161" t="e">
        <f t="shared" si="5"/>
        <v>#N/A</v>
      </c>
      <c r="N108" s="33" t="e">
        <f t="shared" si="6"/>
        <v>#N/A</v>
      </c>
      <c r="R108" s="161" t="e">
        <f t="shared" si="7"/>
        <v>#N/A</v>
      </c>
      <c r="S108" s="33" t="e">
        <f t="shared" si="8"/>
        <v>#N/A</v>
      </c>
    </row>
    <row r="109" spans="12:19" x14ac:dyDescent="0.25">
      <c r="L109" s="7" t="e">
        <f>VLOOKUP(A109,'3121% SY'!A:M,'3121% SY'!$M$1,FALSE)</f>
        <v>#N/A</v>
      </c>
      <c r="M109" s="161" t="e">
        <f t="shared" si="5"/>
        <v>#N/A</v>
      </c>
      <c r="N109" s="33" t="e">
        <f t="shared" si="6"/>
        <v>#N/A</v>
      </c>
      <c r="R109" s="161" t="e">
        <f t="shared" si="7"/>
        <v>#N/A</v>
      </c>
      <c r="S109" s="33" t="e">
        <f t="shared" si="8"/>
        <v>#N/A</v>
      </c>
    </row>
    <row r="110" spans="12:19" x14ac:dyDescent="0.25">
      <c r="L110" s="7" t="e">
        <f>VLOOKUP(A110,'3121% SY'!A:M,'3121% SY'!$M$1,FALSE)</f>
        <v>#N/A</v>
      </c>
      <c r="M110" s="161" t="e">
        <f t="shared" si="5"/>
        <v>#N/A</v>
      </c>
      <c r="N110" s="33" t="e">
        <f t="shared" si="6"/>
        <v>#N/A</v>
      </c>
      <c r="R110" s="161" t="e">
        <f t="shared" si="7"/>
        <v>#N/A</v>
      </c>
      <c r="S110" s="33" t="e">
        <f t="shared" si="8"/>
        <v>#N/A</v>
      </c>
    </row>
    <row r="111" spans="12:19" x14ac:dyDescent="0.25">
      <c r="L111" s="7" t="e">
        <f>VLOOKUP(A111,'3121% SY'!A:M,'3121% SY'!$M$1,FALSE)</f>
        <v>#N/A</v>
      </c>
      <c r="M111" s="161" t="e">
        <f t="shared" si="5"/>
        <v>#N/A</v>
      </c>
      <c r="N111" s="33" t="e">
        <f t="shared" si="6"/>
        <v>#N/A</v>
      </c>
      <c r="R111" s="161" t="e">
        <f t="shared" si="7"/>
        <v>#N/A</v>
      </c>
      <c r="S111" s="33" t="e">
        <f t="shared" si="8"/>
        <v>#N/A</v>
      </c>
    </row>
    <row r="112" spans="12:19" x14ac:dyDescent="0.25">
      <c r="L112" s="7" t="e">
        <f>VLOOKUP(A112,'3121% SY'!A:M,'3121% SY'!$M$1,FALSE)</f>
        <v>#N/A</v>
      </c>
      <c r="M112" s="161" t="e">
        <f t="shared" si="5"/>
        <v>#N/A</v>
      </c>
      <c r="N112" s="33" t="e">
        <f t="shared" si="6"/>
        <v>#N/A</v>
      </c>
      <c r="R112" s="161" t="e">
        <f t="shared" si="7"/>
        <v>#N/A</v>
      </c>
      <c r="S112" s="33" t="e">
        <f t="shared" si="8"/>
        <v>#N/A</v>
      </c>
    </row>
    <row r="113" spans="12:19" x14ac:dyDescent="0.25">
      <c r="L113" s="7" t="e">
        <f>VLOOKUP(A113,'3121% SY'!A:M,'3121% SY'!$M$1,FALSE)</f>
        <v>#N/A</v>
      </c>
      <c r="M113" s="161" t="e">
        <f t="shared" si="5"/>
        <v>#N/A</v>
      </c>
      <c r="N113" s="33" t="e">
        <f t="shared" si="6"/>
        <v>#N/A</v>
      </c>
      <c r="R113" s="161" t="e">
        <f t="shared" si="7"/>
        <v>#N/A</v>
      </c>
      <c r="S113" s="33" t="e">
        <f t="shared" si="8"/>
        <v>#N/A</v>
      </c>
    </row>
    <row r="114" spans="12:19" x14ac:dyDescent="0.25">
      <c r="L114" s="7" t="e">
        <f>VLOOKUP(A114,'3121% SY'!A:M,'3121% SY'!$M$1,FALSE)</f>
        <v>#N/A</v>
      </c>
      <c r="M114" s="161" t="e">
        <f t="shared" si="5"/>
        <v>#N/A</v>
      </c>
      <c r="N114" s="33" t="e">
        <f t="shared" si="6"/>
        <v>#N/A</v>
      </c>
      <c r="R114" s="161" t="e">
        <f t="shared" si="7"/>
        <v>#N/A</v>
      </c>
      <c r="S114" s="33" t="e">
        <f t="shared" si="8"/>
        <v>#N/A</v>
      </c>
    </row>
    <row r="115" spans="12:19" x14ac:dyDescent="0.25">
      <c r="L115" s="7" t="e">
        <f>VLOOKUP(A115,'3121% SY'!A:M,'3121% SY'!$M$1,FALSE)</f>
        <v>#N/A</v>
      </c>
      <c r="M115" s="161" t="e">
        <f t="shared" si="5"/>
        <v>#N/A</v>
      </c>
      <c r="N115" s="33" t="e">
        <f t="shared" si="6"/>
        <v>#N/A</v>
      </c>
      <c r="R115" s="161" t="e">
        <f t="shared" si="7"/>
        <v>#N/A</v>
      </c>
      <c r="S115" s="33" t="e">
        <f t="shared" si="8"/>
        <v>#N/A</v>
      </c>
    </row>
    <row r="116" spans="12:19" x14ac:dyDescent="0.25">
      <c r="L116" s="7" t="e">
        <f>VLOOKUP(A116,'3121% SY'!A:M,'3121% SY'!$M$1,FALSE)</f>
        <v>#N/A</v>
      </c>
      <c r="M116" s="161" t="e">
        <f t="shared" si="5"/>
        <v>#N/A</v>
      </c>
      <c r="N116" s="33" t="e">
        <f t="shared" si="6"/>
        <v>#N/A</v>
      </c>
      <c r="R116" s="161" t="e">
        <f t="shared" si="7"/>
        <v>#N/A</v>
      </c>
      <c r="S116" s="33" t="e">
        <f t="shared" si="8"/>
        <v>#N/A</v>
      </c>
    </row>
    <row r="117" spans="12:19" x14ac:dyDescent="0.25">
      <c r="L117" s="7" t="e">
        <f>VLOOKUP(A117,'3121% SY'!A:M,'3121% SY'!$M$1,FALSE)</f>
        <v>#N/A</v>
      </c>
      <c r="M117" s="161" t="e">
        <f t="shared" si="5"/>
        <v>#N/A</v>
      </c>
      <c r="N117" s="33" t="e">
        <f t="shared" si="6"/>
        <v>#N/A</v>
      </c>
      <c r="R117" s="161" t="e">
        <f t="shared" si="7"/>
        <v>#N/A</v>
      </c>
      <c r="S117" s="33" t="e">
        <f t="shared" si="8"/>
        <v>#N/A</v>
      </c>
    </row>
    <row r="118" spans="12:19" x14ac:dyDescent="0.25">
      <c r="L118" s="7" t="e">
        <f>VLOOKUP(A118,'3121% SY'!A:M,'3121% SY'!$M$1,FALSE)</f>
        <v>#N/A</v>
      </c>
      <c r="M118" s="161" t="e">
        <f t="shared" si="5"/>
        <v>#N/A</v>
      </c>
      <c r="N118" s="33" t="e">
        <f t="shared" si="6"/>
        <v>#N/A</v>
      </c>
      <c r="R118" s="161" t="e">
        <f t="shared" si="7"/>
        <v>#N/A</v>
      </c>
      <c r="S118" s="33" t="e">
        <f t="shared" si="8"/>
        <v>#N/A</v>
      </c>
    </row>
    <row r="119" spans="12:19" x14ac:dyDescent="0.25">
      <c r="L119" s="7" t="e">
        <f>VLOOKUP(A119,'3121% SY'!A:M,'3121% SY'!$M$1,FALSE)</f>
        <v>#N/A</v>
      </c>
      <c r="M119" s="161" t="e">
        <f t="shared" si="5"/>
        <v>#N/A</v>
      </c>
      <c r="N119" s="33" t="e">
        <f t="shared" si="6"/>
        <v>#N/A</v>
      </c>
      <c r="R119" s="161" t="e">
        <f t="shared" si="7"/>
        <v>#N/A</v>
      </c>
      <c r="S119" s="33" t="e">
        <f t="shared" si="8"/>
        <v>#N/A</v>
      </c>
    </row>
    <row r="120" spans="12:19" x14ac:dyDescent="0.25">
      <c r="L120" s="7" t="e">
        <f>VLOOKUP(A120,'3121% SY'!A:M,'3121% SY'!$M$1,FALSE)</f>
        <v>#N/A</v>
      </c>
      <c r="M120" s="161" t="e">
        <f t="shared" si="5"/>
        <v>#N/A</v>
      </c>
      <c r="N120" s="33" t="e">
        <f t="shared" si="6"/>
        <v>#N/A</v>
      </c>
      <c r="R120" s="161" t="e">
        <f t="shared" si="7"/>
        <v>#N/A</v>
      </c>
      <c r="S120" s="33" t="e">
        <f t="shared" si="8"/>
        <v>#N/A</v>
      </c>
    </row>
    <row r="121" spans="12:19" x14ac:dyDescent="0.25">
      <c r="L121" s="7" t="e">
        <f>VLOOKUP(A121,'3121% SY'!A:M,'3121% SY'!$M$1,FALSE)</f>
        <v>#N/A</v>
      </c>
      <c r="M121" s="161" t="e">
        <f t="shared" si="5"/>
        <v>#N/A</v>
      </c>
      <c r="N121" s="33" t="e">
        <f t="shared" si="6"/>
        <v>#N/A</v>
      </c>
      <c r="R121" s="161" t="e">
        <f t="shared" si="7"/>
        <v>#N/A</v>
      </c>
      <c r="S121" s="33" t="e">
        <f t="shared" si="8"/>
        <v>#N/A</v>
      </c>
    </row>
    <row r="122" spans="12:19" x14ac:dyDescent="0.25">
      <c r="L122" s="7" t="e">
        <f>VLOOKUP(A122,'3121% SY'!A:M,'3121% SY'!$M$1,FALSE)</f>
        <v>#N/A</v>
      </c>
      <c r="M122" s="161" t="e">
        <f t="shared" si="5"/>
        <v>#N/A</v>
      </c>
      <c r="N122" s="33" t="e">
        <f t="shared" si="6"/>
        <v>#N/A</v>
      </c>
      <c r="R122" s="161" t="e">
        <f t="shared" si="7"/>
        <v>#N/A</v>
      </c>
      <c r="S122" s="33" t="e">
        <f t="shared" si="8"/>
        <v>#N/A</v>
      </c>
    </row>
    <row r="123" spans="12:19" x14ac:dyDescent="0.25">
      <c r="L123" s="7" t="e">
        <f>VLOOKUP(A123,'3121% SY'!A:M,'3121% SY'!$M$1,FALSE)</f>
        <v>#N/A</v>
      </c>
      <c r="M123" s="161" t="e">
        <f t="shared" si="5"/>
        <v>#N/A</v>
      </c>
      <c r="N123" s="33" t="e">
        <f t="shared" si="6"/>
        <v>#N/A</v>
      </c>
      <c r="R123" s="161" t="e">
        <f t="shared" ref="R123:R131" si="9">ROUND(Q123*$L123,3)</f>
        <v>#N/A</v>
      </c>
      <c r="S123" s="33" t="e">
        <f t="shared" ref="S123:S131" si="10">SUM(R123,O123:P123)</f>
        <v>#N/A</v>
      </c>
    </row>
    <row r="124" spans="12:19" x14ac:dyDescent="0.25">
      <c r="L124" s="7" t="e">
        <f>VLOOKUP(A124,'3121% SY'!A:M,'3121% SY'!$M$1,FALSE)</f>
        <v>#N/A</v>
      </c>
      <c r="M124" s="161" t="e">
        <f t="shared" si="5"/>
        <v>#N/A</v>
      </c>
      <c r="N124" s="33" t="e">
        <f t="shared" si="6"/>
        <v>#N/A</v>
      </c>
      <c r="R124" s="161" t="e">
        <f t="shared" si="9"/>
        <v>#N/A</v>
      </c>
      <c r="S124" s="33" t="e">
        <f t="shared" si="10"/>
        <v>#N/A</v>
      </c>
    </row>
    <row r="125" spans="12:19" x14ac:dyDescent="0.25">
      <c r="L125" s="7" t="e">
        <f>VLOOKUP(A125,'3121% SY'!A:M,'3121% SY'!$M$1,FALSE)</f>
        <v>#N/A</v>
      </c>
      <c r="M125" s="161" t="e">
        <f t="shared" si="5"/>
        <v>#N/A</v>
      </c>
      <c r="N125" s="33" t="e">
        <f t="shared" si="6"/>
        <v>#N/A</v>
      </c>
      <c r="R125" s="161" t="e">
        <f t="shared" si="9"/>
        <v>#N/A</v>
      </c>
      <c r="S125" s="33" t="e">
        <f t="shared" si="10"/>
        <v>#N/A</v>
      </c>
    </row>
    <row r="126" spans="12:19" x14ac:dyDescent="0.25">
      <c r="L126" s="7" t="e">
        <f>VLOOKUP(A126,'3121% SY'!A:M,'3121% SY'!$M$1,FALSE)</f>
        <v>#N/A</v>
      </c>
      <c r="M126" s="161" t="e">
        <f t="shared" si="5"/>
        <v>#N/A</v>
      </c>
      <c r="N126" s="33" t="e">
        <f t="shared" si="6"/>
        <v>#N/A</v>
      </c>
      <c r="R126" s="161" t="e">
        <f t="shared" si="9"/>
        <v>#N/A</v>
      </c>
      <c r="S126" s="33" t="e">
        <f t="shared" si="10"/>
        <v>#N/A</v>
      </c>
    </row>
    <row r="127" spans="12:19" x14ac:dyDescent="0.25">
      <c r="L127" s="7" t="e">
        <f>VLOOKUP(A127,'3121% SY'!A:M,'3121% SY'!$M$1,FALSE)</f>
        <v>#N/A</v>
      </c>
      <c r="M127" s="161" t="e">
        <f t="shared" si="5"/>
        <v>#N/A</v>
      </c>
      <c r="N127" s="33" t="e">
        <f t="shared" si="6"/>
        <v>#N/A</v>
      </c>
      <c r="R127" s="161" t="e">
        <f t="shared" si="9"/>
        <v>#N/A</v>
      </c>
      <c r="S127" s="33" t="e">
        <f t="shared" si="10"/>
        <v>#N/A</v>
      </c>
    </row>
    <row r="128" spans="12:19" x14ac:dyDescent="0.25">
      <c r="L128" s="7" t="e">
        <f>VLOOKUP(A128,'3121% SY'!A:M,'3121% SY'!$M$1,FALSE)</f>
        <v>#N/A</v>
      </c>
      <c r="M128" s="161" t="e">
        <f t="shared" si="5"/>
        <v>#N/A</v>
      </c>
      <c r="N128" s="33" t="e">
        <f t="shared" si="6"/>
        <v>#N/A</v>
      </c>
      <c r="R128" s="161" t="e">
        <f t="shared" si="9"/>
        <v>#N/A</v>
      </c>
      <c r="S128" s="33" t="e">
        <f t="shared" si="10"/>
        <v>#N/A</v>
      </c>
    </row>
    <row r="129" spans="12:19" x14ac:dyDescent="0.25">
      <c r="L129" s="7" t="e">
        <f>VLOOKUP(A129,'3121% SY'!A:M,'3121% SY'!$M$1,FALSE)</f>
        <v>#N/A</v>
      </c>
      <c r="M129" s="161" t="e">
        <f t="shared" si="5"/>
        <v>#N/A</v>
      </c>
      <c r="N129" s="33" t="e">
        <f t="shared" si="6"/>
        <v>#N/A</v>
      </c>
      <c r="R129" s="161" t="e">
        <f t="shared" si="9"/>
        <v>#N/A</v>
      </c>
      <c r="S129" s="33" t="e">
        <f t="shared" si="10"/>
        <v>#N/A</v>
      </c>
    </row>
    <row r="130" spans="12:19" x14ac:dyDescent="0.25">
      <c r="L130" s="7" t="e">
        <f>VLOOKUP(A130,'3121% SY'!A:M,'3121% SY'!$M$1,FALSE)</f>
        <v>#N/A</v>
      </c>
      <c r="M130" s="161" t="e">
        <f t="shared" si="5"/>
        <v>#N/A</v>
      </c>
      <c r="N130" s="33" t="e">
        <f t="shared" si="6"/>
        <v>#N/A</v>
      </c>
      <c r="R130" s="161" t="e">
        <f t="shared" si="9"/>
        <v>#N/A</v>
      </c>
      <c r="S130" s="33" t="e">
        <f t="shared" si="10"/>
        <v>#N/A</v>
      </c>
    </row>
    <row r="131" spans="12:19" x14ac:dyDescent="0.25">
      <c r="L131" s="7" t="e">
        <f>VLOOKUP(A131,'3121% SY'!A:M,'3121% SY'!$M$1,FALSE)</f>
        <v>#N/A</v>
      </c>
      <c r="M131" s="161" t="e">
        <f t="shared" si="5"/>
        <v>#N/A</v>
      </c>
      <c r="N131" s="33" t="e">
        <f t="shared" si="6"/>
        <v>#N/A</v>
      </c>
      <c r="R131" s="161" t="e">
        <f t="shared" si="9"/>
        <v>#N/A</v>
      </c>
      <c r="S131" s="33" t="e">
        <f t="shared" si="10"/>
        <v>#N/A</v>
      </c>
    </row>
    <row r="132" spans="12:19" x14ac:dyDescent="0.25">
      <c r="L132" s="7" t="e">
        <f>VLOOKUP(A132,'3121% SY'!A:M,'3121% SY'!$M$1,FALSE)</f>
        <v>#N/A</v>
      </c>
      <c r="M132" s="161" t="e">
        <f t="shared" si="5"/>
        <v>#N/A</v>
      </c>
      <c r="N132" s="33" t="e">
        <f t="shared" si="6"/>
        <v>#N/A</v>
      </c>
      <c r="R132" s="161" t="e">
        <f t="shared" ref="R132:R151" si="11">ROUND(Q132*$L132,3)</f>
        <v>#N/A</v>
      </c>
      <c r="S132" s="33" t="e">
        <f t="shared" ref="S132:S151" si="12">SUM(R132,O132:P132)</f>
        <v>#N/A</v>
      </c>
    </row>
    <row r="133" spans="12:19" x14ac:dyDescent="0.25">
      <c r="L133" s="7" t="e">
        <f>VLOOKUP(A133,'3121% SY'!A:M,'3121% SY'!$M$1,FALSE)</f>
        <v>#N/A</v>
      </c>
      <c r="M133" s="161" t="e">
        <f t="shared" ref="M133:M151" si="13">ROUND(I133*$L133,3)+ROUND(J133*$L133,3)++ROUND(K133*$L133,3)</f>
        <v>#N/A</v>
      </c>
      <c r="N133" s="33" t="e">
        <f t="shared" ref="N133:N151" si="14">SUM(M133,B133:H133)</f>
        <v>#N/A</v>
      </c>
      <c r="R133" s="161" t="e">
        <f t="shared" si="11"/>
        <v>#N/A</v>
      </c>
      <c r="S133" s="33" t="e">
        <f t="shared" si="12"/>
        <v>#N/A</v>
      </c>
    </row>
    <row r="134" spans="12:19" x14ac:dyDescent="0.25">
      <c r="L134" s="7" t="e">
        <f>VLOOKUP(A134,'3121% SY'!A:M,'3121% SY'!$M$1,FALSE)</f>
        <v>#N/A</v>
      </c>
      <c r="M134" s="161" t="e">
        <f t="shared" si="13"/>
        <v>#N/A</v>
      </c>
      <c r="N134" s="33" t="e">
        <f t="shared" si="14"/>
        <v>#N/A</v>
      </c>
      <c r="R134" s="161" t="e">
        <f t="shared" si="11"/>
        <v>#N/A</v>
      </c>
      <c r="S134" s="33" t="e">
        <f t="shared" si="12"/>
        <v>#N/A</v>
      </c>
    </row>
    <row r="135" spans="12:19" x14ac:dyDescent="0.25">
      <c r="L135" s="7" t="e">
        <f>VLOOKUP(A135,'3121% SY'!A:M,'3121% SY'!$M$1,FALSE)</f>
        <v>#N/A</v>
      </c>
      <c r="M135" s="161" t="e">
        <f t="shared" si="13"/>
        <v>#N/A</v>
      </c>
      <c r="N135" s="33" t="e">
        <f t="shared" si="14"/>
        <v>#N/A</v>
      </c>
      <c r="R135" s="161" t="e">
        <f t="shared" si="11"/>
        <v>#N/A</v>
      </c>
      <c r="S135" s="33" t="e">
        <f t="shared" si="12"/>
        <v>#N/A</v>
      </c>
    </row>
    <row r="136" spans="12:19" x14ac:dyDescent="0.25">
      <c r="L136" s="7" t="e">
        <f>VLOOKUP(A136,'3121% SY'!A:M,'3121% SY'!$M$1,FALSE)</f>
        <v>#N/A</v>
      </c>
      <c r="M136" s="161" t="e">
        <f t="shared" si="13"/>
        <v>#N/A</v>
      </c>
      <c r="N136" s="33" t="e">
        <f t="shared" si="14"/>
        <v>#N/A</v>
      </c>
      <c r="R136" s="161" t="e">
        <f t="shared" si="11"/>
        <v>#N/A</v>
      </c>
      <c r="S136" s="33" t="e">
        <f t="shared" si="12"/>
        <v>#N/A</v>
      </c>
    </row>
    <row r="137" spans="12:19" x14ac:dyDescent="0.25">
      <c r="L137" s="7" t="e">
        <f>VLOOKUP(A137,'3121% SY'!A:M,'3121% SY'!$M$1,FALSE)</f>
        <v>#N/A</v>
      </c>
      <c r="M137" s="161" t="e">
        <f t="shared" si="13"/>
        <v>#N/A</v>
      </c>
      <c r="N137" s="33" t="e">
        <f t="shared" si="14"/>
        <v>#N/A</v>
      </c>
      <c r="R137" s="161" t="e">
        <f t="shared" si="11"/>
        <v>#N/A</v>
      </c>
      <c r="S137" s="33" t="e">
        <f t="shared" si="12"/>
        <v>#N/A</v>
      </c>
    </row>
    <row r="138" spans="12:19" x14ac:dyDescent="0.25">
      <c r="L138" s="7" t="e">
        <f>VLOOKUP(A138,'3121% SY'!A:M,'3121% SY'!$M$1,FALSE)</f>
        <v>#N/A</v>
      </c>
      <c r="M138" s="161" t="e">
        <f t="shared" si="13"/>
        <v>#N/A</v>
      </c>
      <c r="N138" s="33" t="e">
        <f t="shared" si="14"/>
        <v>#N/A</v>
      </c>
      <c r="R138" s="161" t="e">
        <f t="shared" si="11"/>
        <v>#N/A</v>
      </c>
      <c r="S138" s="33" t="e">
        <f t="shared" si="12"/>
        <v>#N/A</v>
      </c>
    </row>
    <row r="139" spans="12:19" x14ac:dyDescent="0.25">
      <c r="L139" s="7" t="e">
        <f>VLOOKUP(A139,'3121% SY'!A:M,'3121% SY'!$M$1,FALSE)</f>
        <v>#N/A</v>
      </c>
      <c r="M139" s="161" t="e">
        <f t="shared" si="13"/>
        <v>#N/A</v>
      </c>
      <c r="N139" s="33" t="e">
        <f t="shared" si="14"/>
        <v>#N/A</v>
      </c>
      <c r="R139" s="161" t="e">
        <f t="shared" si="11"/>
        <v>#N/A</v>
      </c>
      <c r="S139" s="33" t="e">
        <f t="shared" si="12"/>
        <v>#N/A</v>
      </c>
    </row>
    <row r="140" spans="12:19" x14ac:dyDescent="0.25">
      <c r="L140" s="7" t="e">
        <f>VLOOKUP(A140,'3121% SY'!A:M,'3121% SY'!$M$1,FALSE)</f>
        <v>#N/A</v>
      </c>
      <c r="M140" s="161" t="e">
        <f t="shared" si="13"/>
        <v>#N/A</v>
      </c>
      <c r="N140" s="33" t="e">
        <f t="shared" si="14"/>
        <v>#N/A</v>
      </c>
      <c r="R140" s="161" t="e">
        <f t="shared" si="11"/>
        <v>#N/A</v>
      </c>
      <c r="S140" s="33" t="e">
        <f t="shared" si="12"/>
        <v>#N/A</v>
      </c>
    </row>
    <row r="141" spans="12:19" x14ac:dyDescent="0.25">
      <c r="L141" s="7" t="e">
        <f>VLOOKUP(A141,'3121% SY'!A:M,'3121% SY'!$M$1,FALSE)</f>
        <v>#N/A</v>
      </c>
      <c r="M141" s="161" t="e">
        <f t="shared" si="13"/>
        <v>#N/A</v>
      </c>
      <c r="N141" s="33" t="e">
        <f t="shared" si="14"/>
        <v>#N/A</v>
      </c>
      <c r="R141" s="161" t="e">
        <f t="shared" si="11"/>
        <v>#N/A</v>
      </c>
      <c r="S141" s="33" t="e">
        <f t="shared" si="12"/>
        <v>#N/A</v>
      </c>
    </row>
    <row r="142" spans="12:19" x14ac:dyDescent="0.25">
      <c r="L142" s="7" t="e">
        <f>VLOOKUP(A142,'3121% SY'!A:M,'3121% SY'!$M$1,FALSE)</f>
        <v>#N/A</v>
      </c>
      <c r="M142" s="161" t="e">
        <f t="shared" si="13"/>
        <v>#N/A</v>
      </c>
      <c r="N142" s="33" t="e">
        <f t="shared" si="14"/>
        <v>#N/A</v>
      </c>
      <c r="R142" s="161" t="e">
        <f t="shared" si="11"/>
        <v>#N/A</v>
      </c>
      <c r="S142" s="33" t="e">
        <f t="shared" si="12"/>
        <v>#N/A</v>
      </c>
    </row>
    <row r="143" spans="12:19" x14ac:dyDescent="0.25">
      <c r="L143" s="7" t="e">
        <f>VLOOKUP(A143,'3121% SY'!A:M,'3121% SY'!$M$1,FALSE)</f>
        <v>#N/A</v>
      </c>
      <c r="M143" s="161" t="e">
        <f t="shared" si="13"/>
        <v>#N/A</v>
      </c>
      <c r="N143" s="33" t="e">
        <f t="shared" si="14"/>
        <v>#N/A</v>
      </c>
      <c r="R143" s="161" t="e">
        <f t="shared" si="11"/>
        <v>#N/A</v>
      </c>
      <c r="S143" s="33" t="e">
        <f t="shared" si="12"/>
        <v>#N/A</v>
      </c>
    </row>
    <row r="144" spans="12:19" x14ac:dyDescent="0.25">
      <c r="L144" s="7" t="e">
        <f>VLOOKUP(A144,'3121% SY'!A:M,'3121% SY'!$M$1,FALSE)</f>
        <v>#N/A</v>
      </c>
      <c r="M144" s="161" t="e">
        <f t="shared" si="13"/>
        <v>#N/A</v>
      </c>
      <c r="N144" s="33" t="e">
        <f t="shared" si="14"/>
        <v>#N/A</v>
      </c>
      <c r="R144" s="161" t="e">
        <f t="shared" si="11"/>
        <v>#N/A</v>
      </c>
      <c r="S144" s="33" t="e">
        <f t="shared" si="12"/>
        <v>#N/A</v>
      </c>
    </row>
    <row r="145" spans="12:19" x14ac:dyDescent="0.25">
      <c r="L145" s="7" t="e">
        <f>VLOOKUP(A145,'3121% SY'!A:M,'3121% SY'!$M$1,FALSE)</f>
        <v>#N/A</v>
      </c>
      <c r="M145" s="161" t="e">
        <f t="shared" si="13"/>
        <v>#N/A</v>
      </c>
      <c r="N145" s="33" t="e">
        <f t="shared" si="14"/>
        <v>#N/A</v>
      </c>
      <c r="R145" s="161" t="e">
        <f t="shared" si="11"/>
        <v>#N/A</v>
      </c>
      <c r="S145" s="33" t="e">
        <f t="shared" si="12"/>
        <v>#N/A</v>
      </c>
    </row>
    <row r="146" spans="12:19" x14ac:dyDescent="0.25">
      <c r="L146" s="7" t="e">
        <f>VLOOKUP(A146,'3121% SY'!A:M,'3121% SY'!$M$1,FALSE)</f>
        <v>#N/A</v>
      </c>
      <c r="M146" s="161" t="e">
        <f t="shared" si="13"/>
        <v>#N/A</v>
      </c>
      <c r="N146" s="33" t="e">
        <f t="shared" si="14"/>
        <v>#N/A</v>
      </c>
      <c r="R146" s="161" t="e">
        <f t="shared" si="11"/>
        <v>#N/A</v>
      </c>
      <c r="S146" s="33" t="e">
        <f t="shared" si="12"/>
        <v>#N/A</v>
      </c>
    </row>
    <row r="147" spans="12:19" x14ac:dyDescent="0.25">
      <c r="L147" s="7" t="e">
        <f>VLOOKUP(A147,'3121% SY'!A:M,'3121% SY'!$M$1,FALSE)</f>
        <v>#N/A</v>
      </c>
      <c r="M147" s="161" t="e">
        <f t="shared" si="13"/>
        <v>#N/A</v>
      </c>
      <c r="N147" s="33" t="e">
        <f t="shared" si="14"/>
        <v>#N/A</v>
      </c>
      <c r="R147" s="161" t="e">
        <f t="shared" si="11"/>
        <v>#N/A</v>
      </c>
      <c r="S147" s="33" t="e">
        <f t="shared" si="12"/>
        <v>#N/A</v>
      </c>
    </row>
    <row r="148" spans="12:19" x14ac:dyDescent="0.25">
      <c r="L148" s="7" t="e">
        <f>VLOOKUP(A148,'3121% SY'!A:M,'3121% SY'!$M$1,FALSE)</f>
        <v>#N/A</v>
      </c>
      <c r="M148" s="161" t="e">
        <f t="shared" si="13"/>
        <v>#N/A</v>
      </c>
      <c r="N148" s="33" t="e">
        <f t="shared" si="14"/>
        <v>#N/A</v>
      </c>
      <c r="R148" s="161" t="e">
        <f t="shared" si="11"/>
        <v>#N/A</v>
      </c>
      <c r="S148" s="33" t="e">
        <f t="shared" si="12"/>
        <v>#N/A</v>
      </c>
    </row>
    <row r="149" spans="12:19" x14ac:dyDescent="0.25">
      <c r="L149" s="7" t="e">
        <f>VLOOKUP(A149,'3121% SY'!A:M,'3121% SY'!$M$1,FALSE)</f>
        <v>#N/A</v>
      </c>
      <c r="M149" s="161" t="e">
        <f t="shared" si="13"/>
        <v>#N/A</v>
      </c>
      <c r="N149" s="33" t="e">
        <f t="shared" si="14"/>
        <v>#N/A</v>
      </c>
      <c r="R149" s="161" t="e">
        <f t="shared" si="11"/>
        <v>#N/A</v>
      </c>
      <c r="S149" s="33" t="e">
        <f t="shared" si="12"/>
        <v>#N/A</v>
      </c>
    </row>
    <row r="150" spans="12:19" x14ac:dyDescent="0.25">
      <c r="L150" s="7" t="e">
        <f>VLOOKUP(A150,'3121% SY'!A:M,'3121% SY'!$M$1,FALSE)</f>
        <v>#N/A</v>
      </c>
      <c r="M150" s="161" t="e">
        <f t="shared" si="13"/>
        <v>#N/A</v>
      </c>
      <c r="N150" s="33" t="e">
        <f t="shared" si="14"/>
        <v>#N/A</v>
      </c>
      <c r="R150" s="161" t="e">
        <f t="shared" si="11"/>
        <v>#N/A</v>
      </c>
      <c r="S150" s="33" t="e">
        <f t="shared" si="12"/>
        <v>#N/A</v>
      </c>
    </row>
    <row r="151" spans="12:19" x14ac:dyDescent="0.25">
      <c r="L151" s="7" t="e">
        <f>VLOOKUP(A151,'3121% SY'!A:M,'3121% SY'!$M$1,FALSE)</f>
        <v>#N/A</v>
      </c>
      <c r="M151" s="161" t="e">
        <f t="shared" si="13"/>
        <v>#N/A</v>
      </c>
      <c r="N151" s="33" t="e">
        <f t="shared" si="14"/>
        <v>#N/A</v>
      </c>
      <c r="R151" s="161" t="e">
        <f t="shared" si="11"/>
        <v>#N/A</v>
      </c>
      <c r="S151" s="33" t="e">
        <f t="shared" si="12"/>
        <v>#N/A</v>
      </c>
    </row>
  </sheetData>
  <mergeCells count="1">
    <mergeCell ref="B2:H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4B2DD-03B3-41EA-A8EC-8491E2D6D85A}">
  <sheetPr codeName="Sheet31"/>
  <dimension ref="A1:T151"/>
  <sheetViews>
    <sheetView workbookViewId="0">
      <selection activeCell="L4" sqref="L4:L151"/>
    </sheetView>
  </sheetViews>
  <sheetFormatPr defaultRowHeight="15" x14ac:dyDescent="0.25"/>
  <cols>
    <col min="1" max="1" width="13.140625" bestFit="1" customWidth="1"/>
    <col min="2" max="2" width="12.7109375" bestFit="1" customWidth="1"/>
    <col min="3" max="3" width="13.7109375" bestFit="1" customWidth="1"/>
    <col min="4" max="4" width="13.140625" bestFit="1" customWidth="1"/>
    <col min="5" max="6" width="14.85546875" bestFit="1" customWidth="1"/>
    <col min="7" max="7" width="15.7109375" bestFit="1" customWidth="1"/>
    <col min="8" max="8" width="15.140625" bestFit="1" customWidth="1"/>
    <col min="9" max="9" width="14.85546875" bestFit="1" customWidth="1"/>
    <col min="10" max="10" width="15.7109375" bestFit="1" customWidth="1"/>
    <col min="11" max="11" width="15.140625" bestFit="1" customWidth="1"/>
    <col min="12" max="12" width="12.7109375" bestFit="1" customWidth="1"/>
    <col min="13" max="13" width="17.42578125" bestFit="1" customWidth="1"/>
    <col min="14" max="14" width="12.7109375" bestFit="1" customWidth="1"/>
    <col min="15" max="16" width="16" bestFit="1" customWidth="1"/>
    <col min="17" max="17" width="13.5703125" bestFit="1" customWidth="1"/>
    <col min="18" max="18" width="12.7109375" bestFit="1" customWidth="1"/>
    <col min="19" max="19" width="21" bestFit="1" customWidth="1"/>
    <col min="20" max="43" width="12.7109375" bestFit="1" customWidth="1"/>
  </cols>
  <sheetData>
    <row r="1" spans="1:20" x14ac:dyDescent="0.25">
      <c r="A1" s="87">
        <f>COLUMN(A1)</f>
        <v>1</v>
      </c>
      <c r="B1" s="87">
        <f>COLUMN(B1)</f>
        <v>2</v>
      </c>
      <c r="C1" s="87">
        <f t="shared" ref="C1:S1" si="0">COLUMN(C1)</f>
        <v>3</v>
      </c>
      <c r="D1" s="87">
        <f t="shared" si="0"/>
        <v>4</v>
      </c>
      <c r="E1" s="87">
        <f t="shared" si="0"/>
        <v>5</v>
      </c>
      <c r="F1" s="87">
        <f t="shared" si="0"/>
        <v>6</v>
      </c>
      <c r="G1" s="87">
        <f t="shared" si="0"/>
        <v>7</v>
      </c>
      <c r="H1" s="87">
        <f t="shared" si="0"/>
        <v>8</v>
      </c>
      <c r="I1" s="87">
        <f t="shared" si="0"/>
        <v>9</v>
      </c>
      <c r="J1" s="87">
        <f t="shared" si="0"/>
        <v>10</v>
      </c>
      <c r="K1" s="87">
        <f t="shared" si="0"/>
        <v>11</v>
      </c>
      <c r="L1" s="87">
        <f t="shared" si="0"/>
        <v>12</v>
      </c>
      <c r="M1" s="87">
        <f t="shared" si="0"/>
        <v>13</v>
      </c>
      <c r="N1" s="87">
        <f t="shared" si="0"/>
        <v>14</v>
      </c>
      <c r="O1" s="87">
        <f t="shared" si="0"/>
        <v>15</v>
      </c>
      <c r="P1" s="87">
        <f t="shared" si="0"/>
        <v>16</v>
      </c>
      <c r="Q1" s="87">
        <f t="shared" si="0"/>
        <v>17</v>
      </c>
      <c r="R1" s="87">
        <f t="shared" si="0"/>
        <v>18</v>
      </c>
      <c r="S1" s="87">
        <f t="shared" si="0"/>
        <v>19</v>
      </c>
      <c r="T1" s="87"/>
    </row>
    <row r="2" spans="1:20" x14ac:dyDescent="0.25">
      <c r="A2">
        <f>COUNTA(A4:A150)</f>
        <v>24</v>
      </c>
      <c r="B2" s="290" t="s">
        <v>719</v>
      </c>
      <c r="C2" s="290"/>
      <c r="D2" s="290"/>
      <c r="E2" s="290"/>
      <c r="F2" s="290"/>
      <c r="G2" s="290"/>
      <c r="H2" s="290"/>
      <c r="I2" s="156"/>
      <c r="J2" s="156"/>
      <c r="K2" s="156"/>
      <c r="N2" s="33" t="e">
        <f>SUM(N5:N150)</f>
        <v>#N/A</v>
      </c>
    </row>
    <row r="3" spans="1:20" x14ac:dyDescent="0.25">
      <c r="A3" s="91" t="s">
        <v>752</v>
      </c>
      <c r="B3" t="s">
        <v>788</v>
      </c>
      <c r="C3" t="s">
        <v>828</v>
      </c>
      <c r="D3" t="s">
        <v>869</v>
      </c>
      <c r="E3" t="s">
        <v>1136</v>
      </c>
      <c r="F3" t="s">
        <v>801</v>
      </c>
      <c r="G3" t="s">
        <v>841</v>
      </c>
      <c r="H3" t="s">
        <v>882</v>
      </c>
      <c r="I3" t="s">
        <v>814</v>
      </c>
      <c r="J3" t="s">
        <v>855</v>
      </c>
      <c r="K3" t="s">
        <v>894</v>
      </c>
      <c r="L3" s="6">
        <v>31.21</v>
      </c>
      <c r="M3" t="str">
        <f>"SpEd Staffed "&amp;$B$2</f>
        <v>SpEd Staffed Social Worker</v>
      </c>
      <c r="N3" s="162" t="str">
        <f>"Total "&amp;$B$2</f>
        <v>Total Social Worker</v>
      </c>
      <c r="O3" t="s">
        <v>1062</v>
      </c>
      <c r="P3" t="s">
        <v>1063</v>
      </c>
      <c r="Q3" t="s">
        <v>1061</v>
      </c>
      <c r="R3" t="str">
        <f>"SpEd Contracted "&amp;$B$2</f>
        <v>SpEd Contracted Social Worker</v>
      </c>
      <c r="S3" s="162" t="str">
        <f>"Total Contracted "&amp;$B$2</f>
        <v>Total Contracted Social Worker</v>
      </c>
    </row>
    <row r="4" spans="1:20" x14ac:dyDescent="0.25">
      <c r="A4" s="88" t="s">
        <v>7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7">
        <f>VLOOKUP(A4,'3121% SY'!A:M,'3121% SY'!$M$1,FALSE)</f>
        <v>0.1179</v>
      </c>
      <c r="M4" s="161">
        <f>ROUND(I4*$L4,3)+ROUND(J4*$L4,3)++ROUND(K4*$L4,3)</f>
        <v>0</v>
      </c>
      <c r="N4" s="33">
        <f>SUM(M4,B4:H4)</f>
        <v>0</v>
      </c>
      <c r="R4" s="161">
        <f>ROUND(Q4*$L4,3)</f>
        <v>0</v>
      </c>
      <c r="S4" s="33">
        <f>SUM(R4,O4:P4)</f>
        <v>0</v>
      </c>
    </row>
    <row r="5" spans="1:20" x14ac:dyDescent="0.25">
      <c r="A5" s="88" t="s">
        <v>40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7">
        <f>VLOOKUP(A5,'3121% SY'!A:M,'3121% SY'!$M$1,FALSE)</f>
        <v>0.1794</v>
      </c>
      <c r="M5" s="161">
        <f t="shared" ref="M5:M68" si="1">ROUND(I5*$L5,3)+ROUND(J5*$L5,3)++ROUND(K5*$L5,3)</f>
        <v>0</v>
      </c>
      <c r="N5" s="33">
        <f t="shared" ref="N5:N68" si="2">SUM(M5,B5:H5)</f>
        <v>0</v>
      </c>
      <c r="R5" s="161">
        <f t="shared" ref="R5:R68" si="3">ROUND(Q5*$L5,3)</f>
        <v>0</v>
      </c>
      <c r="S5" s="33">
        <f t="shared" ref="S5:S68" si="4">SUM(R5,O5:P5)</f>
        <v>0</v>
      </c>
    </row>
    <row r="6" spans="1:20" x14ac:dyDescent="0.25">
      <c r="A6" s="88" t="s">
        <v>61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7">
        <f>VLOOKUP(A6,'3121% SY'!A:M,'3121% SY'!$M$1,FALSE)</f>
        <v>0.24629999999999996</v>
      </c>
      <c r="M6" s="161">
        <f t="shared" si="1"/>
        <v>0</v>
      </c>
      <c r="N6" s="33">
        <f t="shared" si="2"/>
        <v>0</v>
      </c>
      <c r="R6" s="161">
        <f t="shared" si="3"/>
        <v>0</v>
      </c>
      <c r="S6" s="33">
        <f t="shared" si="4"/>
        <v>0</v>
      </c>
    </row>
    <row r="7" spans="1:20" x14ac:dyDescent="0.25">
      <c r="A7" s="88" t="s">
        <v>78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7">
        <f>VLOOKUP(A7,'3121% SY'!A:M,'3121% SY'!$M$1,FALSE)</f>
        <v>0.17600000000000005</v>
      </c>
      <c r="M7" s="161">
        <f t="shared" si="1"/>
        <v>0</v>
      </c>
      <c r="N7" s="33">
        <f t="shared" si="2"/>
        <v>0</v>
      </c>
      <c r="R7" s="161">
        <f t="shared" si="3"/>
        <v>0</v>
      </c>
      <c r="S7" s="33">
        <f t="shared" si="4"/>
        <v>0</v>
      </c>
    </row>
    <row r="8" spans="1:20" x14ac:dyDescent="0.25">
      <c r="A8" s="88" t="s">
        <v>84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7">
        <f>VLOOKUP(A8,'3121% SY'!A:M,'3121% SY'!$M$1,FALSE)</f>
        <v>8.9999999999999969E-2</v>
      </c>
      <c r="M8" s="161">
        <f t="shared" si="1"/>
        <v>0</v>
      </c>
      <c r="N8" s="33">
        <f t="shared" si="2"/>
        <v>0</v>
      </c>
      <c r="R8" s="161">
        <f t="shared" si="3"/>
        <v>0</v>
      </c>
      <c r="S8" s="33">
        <f t="shared" si="4"/>
        <v>0</v>
      </c>
    </row>
    <row r="9" spans="1:20" x14ac:dyDescent="0.25">
      <c r="A9" s="88" t="s">
        <v>87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7">
        <f>VLOOKUP(A9,'3121% SY'!A:M,'3121% SY'!$M$1,FALSE)</f>
        <v>0.18340000000000001</v>
      </c>
      <c r="M9" s="161">
        <f t="shared" si="1"/>
        <v>0</v>
      </c>
      <c r="N9" s="33">
        <f t="shared" si="2"/>
        <v>0</v>
      </c>
      <c r="R9" s="161">
        <f t="shared" si="3"/>
        <v>0</v>
      </c>
      <c r="S9" s="33">
        <f t="shared" si="4"/>
        <v>0</v>
      </c>
    </row>
    <row r="10" spans="1:20" x14ac:dyDescent="0.25">
      <c r="A10" s="88" t="s">
        <v>89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7">
        <f>VLOOKUP(A10,'3121% SY'!A:M,'3121% SY'!$M$1,FALSE)</f>
        <v>0.22170000000000001</v>
      </c>
      <c r="M10" s="161">
        <f t="shared" si="1"/>
        <v>0</v>
      </c>
      <c r="N10" s="33">
        <f t="shared" si="2"/>
        <v>0</v>
      </c>
      <c r="R10" s="161">
        <f t="shared" si="3"/>
        <v>0</v>
      </c>
      <c r="S10" s="33">
        <f t="shared" si="4"/>
        <v>0</v>
      </c>
    </row>
    <row r="11" spans="1:20" x14ac:dyDescent="0.25">
      <c r="A11" s="88" t="s">
        <v>141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7">
        <f>VLOOKUP(A11,'3121% SY'!A:M,'3121% SY'!$M$1,FALSE)</f>
        <v>0.31479999999999997</v>
      </c>
      <c r="M11" s="161">
        <f t="shared" si="1"/>
        <v>0</v>
      </c>
      <c r="N11" s="33">
        <f t="shared" si="2"/>
        <v>0</v>
      </c>
      <c r="R11" s="161">
        <f t="shared" si="3"/>
        <v>0</v>
      </c>
      <c r="S11" s="33">
        <f t="shared" si="4"/>
        <v>0</v>
      </c>
    </row>
    <row r="12" spans="1:20" x14ac:dyDescent="0.25">
      <c r="A12" s="88" t="s">
        <v>145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7">
        <f>VLOOKUP(A12,'3121% SY'!A:M,'3121% SY'!$M$1,FALSE)</f>
        <v>0.28620000000000001</v>
      </c>
      <c r="M12" s="161">
        <f t="shared" si="1"/>
        <v>0</v>
      </c>
      <c r="N12" s="33">
        <f t="shared" si="2"/>
        <v>0</v>
      </c>
      <c r="R12" s="161">
        <f t="shared" si="3"/>
        <v>0</v>
      </c>
      <c r="S12" s="33">
        <f t="shared" si="4"/>
        <v>0</v>
      </c>
    </row>
    <row r="13" spans="1:20" x14ac:dyDescent="0.25">
      <c r="A13" s="88" t="s">
        <v>146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7">
        <f>VLOOKUP(A13,'3121% SY'!A:M,'3121% SY'!$M$1,FALSE)</f>
        <v>0.25719999999999998</v>
      </c>
      <c r="M13" s="161">
        <f t="shared" si="1"/>
        <v>0</v>
      </c>
      <c r="N13" s="33">
        <f t="shared" si="2"/>
        <v>0</v>
      </c>
      <c r="R13" s="161">
        <f t="shared" si="3"/>
        <v>0</v>
      </c>
      <c r="S13" s="33">
        <f t="shared" si="4"/>
        <v>0</v>
      </c>
    </row>
    <row r="14" spans="1:20" x14ac:dyDescent="0.25">
      <c r="A14" s="88" t="s">
        <v>162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7">
        <f>VLOOKUP(A14,'3121% SY'!A:M,'3121% SY'!$M$1,FALSE)</f>
        <v>0.19820000000000004</v>
      </c>
      <c r="M14" s="161">
        <f t="shared" si="1"/>
        <v>0</v>
      </c>
      <c r="N14" s="33">
        <f t="shared" si="2"/>
        <v>0</v>
      </c>
      <c r="R14" s="161">
        <f t="shared" si="3"/>
        <v>0</v>
      </c>
      <c r="S14" s="33">
        <f t="shared" si="4"/>
        <v>0</v>
      </c>
    </row>
    <row r="15" spans="1:20" x14ac:dyDescent="0.25">
      <c r="A15" s="88" t="s">
        <v>163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7">
        <f>VLOOKUP(A15,'3121% SY'!A:M,'3121% SY'!$M$1,FALSE)</f>
        <v>0.20989999999999998</v>
      </c>
      <c r="M15" s="161">
        <f t="shared" si="1"/>
        <v>0</v>
      </c>
      <c r="N15" s="33">
        <f t="shared" si="2"/>
        <v>0</v>
      </c>
      <c r="R15" s="161">
        <f t="shared" si="3"/>
        <v>0</v>
      </c>
      <c r="S15" s="33">
        <f t="shared" si="4"/>
        <v>0</v>
      </c>
    </row>
    <row r="16" spans="1:20" x14ac:dyDescent="0.25">
      <c r="A16" s="88" t="s">
        <v>176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7">
        <f>VLOOKUP(A16,'3121% SY'!A:M,'3121% SY'!$M$1,FALSE)</f>
        <v>0.29900000000000004</v>
      </c>
      <c r="M16" s="161">
        <f t="shared" si="1"/>
        <v>0</v>
      </c>
      <c r="N16" s="33">
        <f t="shared" si="2"/>
        <v>0</v>
      </c>
      <c r="R16" s="161">
        <f t="shared" si="3"/>
        <v>0</v>
      </c>
      <c r="S16" s="33">
        <f t="shared" si="4"/>
        <v>0</v>
      </c>
    </row>
    <row r="17" spans="1:19" x14ac:dyDescent="0.25">
      <c r="A17" s="88" t="s">
        <v>233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7">
        <f>VLOOKUP(A17,'3121% SY'!A:M,'3121% SY'!$M$1,FALSE)</f>
        <v>0.20020000000000004</v>
      </c>
      <c r="M17" s="161">
        <f t="shared" si="1"/>
        <v>0</v>
      </c>
      <c r="N17" s="33">
        <f t="shared" si="2"/>
        <v>0</v>
      </c>
      <c r="R17" s="161">
        <f t="shared" si="3"/>
        <v>0</v>
      </c>
      <c r="S17" s="33">
        <f t="shared" si="4"/>
        <v>0</v>
      </c>
    </row>
    <row r="18" spans="1:19" x14ac:dyDescent="0.25">
      <c r="A18" s="88" t="s">
        <v>250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7">
        <f>VLOOKUP(A18,'3121% SY'!A:M,'3121% SY'!$M$1,FALSE)</f>
        <v>0.15839999999999999</v>
      </c>
      <c r="M18" s="161">
        <f t="shared" si="1"/>
        <v>0</v>
      </c>
      <c r="N18" s="33">
        <f t="shared" si="2"/>
        <v>0</v>
      </c>
      <c r="R18" s="161">
        <f t="shared" si="3"/>
        <v>0</v>
      </c>
      <c r="S18" s="33">
        <f t="shared" si="4"/>
        <v>0</v>
      </c>
    </row>
    <row r="19" spans="1:19" x14ac:dyDescent="0.25">
      <c r="A19" s="88" t="s">
        <v>256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7">
        <f>VLOOKUP(A19,'3121% SY'!A:M,'3121% SY'!$M$1,FALSE)</f>
        <v>0.23140000000000005</v>
      </c>
      <c r="M19" s="161">
        <f t="shared" si="1"/>
        <v>0</v>
      </c>
      <c r="N19" s="33">
        <f t="shared" si="2"/>
        <v>0</v>
      </c>
      <c r="R19" s="161">
        <f t="shared" si="3"/>
        <v>0</v>
      </c>
      <c r="S19" s="33">
        <f t="shared" si="4"/>
        <v>0</v>
      </c>
    </row>
    <row r="20" spans="1:19" x14ac:dyDescent="0.25">
      <c r="A20" s="88" t="s">
        <v>259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7">
        <f>VLOOKUP(A20,'3121% SY'!A:M,'3121% SY'!$M$1,FALSE)</f>
        <v>0.24870000000000003</v>
      </c>
      <c r="M20" s="161">
        <f t="shared" si="1"/>
        <v>0</v>
      </c>
      <c r="N20" s="33">
        <f t="shared" si="2"/>
        <v>0</v>
      </c>
      <c r="R20" s="161">
        <f t="shared" si="3"/>
        <v>0</v>
      </c>
      <c r="S20" s="33">
        <f t="shared" si="4"/>
        <v>0</v>
      </c>
    </row>
    <row r="21" spans="1:19" x14ac:dyDescent="0.25">
      <c r="A21" s="88" t="s">
        <v>280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7">
        <f>VLOOKUP(A21,'3121% SY'!A:M,'3121% SY'!$M$1,FALSE)</f>
        <v>0.18340000000000001</v>
      </c>
      <c r="M21" s="161">
        <f t="shared" si="1"/>
        <v>0</v>
      </c>
      <c r="N21" s="33">
        <f t="shared" si="2"/>
        <v>0</v>
      </c>
      <c r="R21" s="161">
        <f t="shared" si="3"/>
        <v>0</v>
      </c>
      <c r="S21" s="33">
        <f t="shared" si="4"/>
        <v>0</v>
      </c>
    </row>
    <row r="22" spans="1:19" x14ac:dyDescent="0.25">
      <c r="A22" s="88" t="s">
        <v>284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7">
        <f>VLOOKUP(A22,'3121% SY'!A:M,'3121% SY'!$M$1,FALSE)</f>
        <v>0.14729999999999999</v>
      </c>
      <c r="M22" s="161">
        <f t="shared" si="1"/>
        <v>0</v>
      </c>
      <c r="N22" s="33">
        <f t="shared" si="2"/>
        <v>0</v>
      </c>
      <c r="R22" s="161">
        <f t="shared" si="3"/>
        <v>0</v>
      </c>
      <c r="S22" s="33">
        <f t="shared" si="4"/>
        <v>0</v>
      </c>
    </row>
    <row r="23" spans="1:19" x14ac:dyDescent="0.25">
      <c r="A23" s="88" t="s">
        <v>289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7">
        <f>VLOOKUP(A23,'3121% SY'!A:M,'3121% SY'!$M$1,FALSE)</f>
        <v>0.19010000000000005</v>
      </c>
      <c r="M23" s="161">
        <f t="shared" si="1"/>
        <v>0</v>
      </c>
      <c r="N23" s="33">
        <f t="shared" si="2"/>
        <v>0</v>
      </c>
      <c r="R23" s="161">
        <f t="shared" si="3"/>
        <v>0</v>
      </c>
      <c r="S23" s="33">
        <f t="shared" si="4"/>
        <v>0</v>
      </c>
    </row>
    <row r="24" spans="1:19" x14ac:dyDescent="0.25">
      <c r="A24" s="88" t="s">
        <v>290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7">
        <f>VLOOKUP(A24,'3121% SY'!A:M,'3121% SY'!$M$1,FALSE)</f>
        <v>0.15839999999999999</v>
      </c>
      <c r="M24" s="161">
        <f t="shared" si="1"/>
        <v>0</v>
      </c>
      <c r="N24" s="33">
        <f t="shared" si="2"/>
        <v>0</v>
      </c>
      <c r="R24" s="161">
        <f t="shared" si="3"/>
        <v>0</v>
      </c>
      <c r="S24" s="33">
        <f t="shared" si="4"/>
        <v>0</v>
      </c>
    </row>
    <row r="25" spans="1:19" x14ac:dyDescent="0.25">
      <c r="A25" s="88" t="s">
        <v>302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7">
        <f>VLOOKUP(A25,'3121% SY'!A:M,'3121% SY'!$M$1,FALSE)</f>
        <v>0.21989999999999998</v>
      </c>
      <c r="M25" s="161">
        <f t="shared" si="1"/>
        <v>0</v>
      </c>
      <c r="N25" s="33">
        <f t="shared" si="2"/>
        <v>0</v>
      </c>
      <c r="R25" s="161">
        <f t="shared" si="3"/>
        <v>0</v>
      </c>
      <c r="S25" s="33">
        <f t="shared" si="4"/>
        <v>0</v>
      </c>
    </row>
    <row r="26" spans="1:19" x14ac:dyDescent="0.25">
      <c r="A26" s="88" t="s">
        <v>1098</v>
      </c>
      <c r="L26" s="7" t="e">
        <f>VLOOKUP(A26,'3121% SY'!A:M,'3121% SY'!$M$1,FALSE)</f>
        <v>#N/A</v>
      </c>
      <c r="M26" s="161" t="e">
        <f t="shared" si="1"/>
        <v>#N/A</v>
      </c>
      <c r="N26" s="33" t="e">
        <f t="shared" si="2"/>
        <v>#N/A</v>
      </c>
      <c r="R26" s="161" t="e">
        <f t="shared" si="3"/>
        <v>#N/A</v>
      </c>
      <c r="S26" s="33" t="e">
        <f t="shared" si="4"/>
        <v>#N/A</v>
      </c>
    </row>
    <row r="27" spans="1:19" x14ac:dyDescent="0.25">
      <c r="A27" s="88" t="s">
        <v>753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7" t="e">
        <f>VLOOKUP(A27,'3121% SY'!A:M,'3121% SY'!$M$1,FALSE)</f>
        <v>#N/A</v>
      </c>
      <c r="M27" s="161" t="e">
        <f t="shared" si="1"/>
        <v>#N/A</v>
      </c>
      <c r="N27" s="33" t="e">
        <f t="shared" si="2"/>
        <v>#N/A</v>
      </c>
      <c r="R27" s="161" t="e">
        <f t="shared" si="3"/>
        <v>#N/A</v>
      </c>
      <c r="S27" s="33" t="e">
        <f t="shared" si="4"/>
        <v>#N/A</v>
      </c>
    </row>
    <row r="28" spans="1:19" x14ac:dyDescent="0.25">
      <c r="L28" s="7" t="e">
        <f>VLOOKUP(A28,'3121% SY'!A:M,'3121% SY'!$M$1,FALSE)</f>
        <v>#N/A</v>
      </c>
      <c r="M28" s="161" t="e">
        <f t="shared" si="1"/>
        <v>#N/A</v>
      </c>
      <c r="N28" s="33" t="e">
        <f t="shared" si="2"/>
        <v>#N/A</v>
      </c>
      <c r="R28" s="161" t="e">
        <f t="shared" si="3"/>
        <v>#N/A</v>
      </c>
      <c r="S28" s="33" t="e">
        <f t="shared" si="4"/>
        <v>#N/A</v>
      </c>
    </row>
    <row r="29" spans="1:19" x14ac:dyDescent="0.25">
      <c r="L29" s="7" t="e">
        <f>VLOOKUP(A29,'3121% SY'!A:M,'3121% SY'!$M$1,FALSE)</f>
        <v>#N/A</v>
      </c>
      <c r="M29" s="161" t="e">
        <f t="shared" si="1"/>
        <v>#N/A</v>
      </c>
      <c r="N29" s="33" t="e">
        <f t="shared" si="2"/>
        <v>#N/A</v>
      </c>
      <c r="R29" s="161" t="e">
        <f t="shared" si="3"/>
        <v>#N/A</v>
      </c>
      <c r="S29" s="33" t="e">
        <f t="shared" si="4"/>
        <v>#N/A</v>
      </c>
    </row>
    <row r="30" spans="1:19" x14ac:dyDescent="0.25">
      <c r="L30" s="7" t="e">
        <f>VLOOKUP(A30,'3121% SY'!A:M,'3121% SY'!$M$1,FALSE)</f>
        <v>#N/A</v>
      </c>
      <c r="M30" s="161" t="e">
        <f t="shared" si="1"/>
        <v>#N/A</v>
      </c>
      <c r="N30" s="33" t="e">
        <f t="shared" si="2"/>
        <v>#N/A</v>
      </c>
      <c r="R30" s="161" t="e">
        <f t="shared" si="3"/>
        <v>#N/A</v>
      </c>
      <c r="S30" s="33" t="e">
        <f t="shared" si="4"/>
        <v>#N/A</v>
      </c>
    </row>
    <row r="31" spans="1:19" x14ac:dyDescent="0.25">
      <c r="L31" s="7" t="e">
        <f>VLOOKUP(A31,'3121% SY'!A:M,'3121% SY'!$M$1,FALSE)</f>
        <v>#N/A</v>
      </c>
      <c r="M31" s="161" t="e">
        <f t="shared" si="1"/>
        <v>#N/A</v>
      </c>
      <c r="N31" s="33" t="e">
        <f t="shared" si="2"/>
        <v>#N/A</v>
      </c>
      <c r="R31" s="161" t="e">
        <f t="shared" si="3"/>
        <v>#N/A</v>
      </c>
      <c r="S31" s="33" t="e">
        <f t="shared" si="4"/>
        <v>#N/A</v>
      </c>
    </row>
    <row r="32" spans="1:19" x14ac:dyDescent="0.25">
      <c r="L32" s="7" t="e">
        <f>VLOOKUP(A32,'3121% SY'!A:M,'3121% SY'!$M$1,FALSE)</f>
        <v>#N/A</v>
      </c>
      <c r="M32" s="161" t="e">
        <f t="shared" si="1"/>
        <v>#N/A</v>
      </c>
      <c r="N32" s="33" t="e">
        <f t="shared" si="2"/>
        <v>#N/A</v>
      </c>
      <c r="R32" s="161" t="e">
        <f t="shared" si="3"/>
        <v>#N/A</v>
      </c>
      <c r="S32" s="33" t="e">
        <f t="shared" si="4"/>
        <v>#N/A</v>
      </c>
    </row>
    <row r="33" spans="12:19" x14ac:dyDescent="0.25">
      <c r="L33" s="7" t="e">
        <f>VLOOKUP(A33,'3121% SY'!A:M,'3121% SY'!$M$1,FALSE)</f>
        <v>#N/A</v>
      </c>
      <c r="M33" s="161" t="e">
        <f t="shared" si="1"/>
        <v>#N/A</v>
      </c>
      <c r="N33" s="33" t="e">
        <f t="shared" si="2"/>
        <v>#N/A</v>
      </c>
      <c r="R33" s="161" t="e">
        <f t="shared" si="3"/>
        <v>#N/A</v>
      </c>
      <c r="S33" s="33" t="e">
        <f t="shared" si="4"/>
        <v>#N/A</v>
      </c>
    </row>
    <row r="34" spans="12:19" x14ac:dyDescent="0.25">
      <c r="L34" s="7" t="e">
        <f>VLOOKUP(A34,'3121% SY'!A:M,'3121% SY'!$M$1,FALSE)</f>
        <v>#N/A</v>
      </c>
      <c r="M34" s="161" t="e">
        <f t="shared" si="1"/>
        <v>#N/A</v>
      </c>
      <c r="N34" s="33" t="e">
        <f t="shared" si="2"/>
        <v>#N/A</v>
      </c>
      <c r="R34" s="161" t="e">
        <f t="shared" si="3"/>
        <v>#N/A</v>
      </c>
      <c r="S34" s="33" t="e">
        <f t="shared" si="4"/>
        <v>#N/A</v>
      </c>
    </row>
    <row r="35" spans="12:19" x14ac:dyDescent="0.25">
      <c r="L35" s="7" t="e">
        <f>VLOOKUP(A35,'3121% SY'!A:M,'3121% SY'!$M$1,FALSE)</f>
        <v>#N/A</v>
      </c>
      <c r="M35" s="161" t="e">
        <f t="shared" si="1"/>
        <v>#N/A</v>
      </c>
      <c r="N35" s="33" t="e">
        <f t="shared" si="2"/>
        <v>#N/A</v>
      </c>
      <c r="R35" s="161" t="e">
        <f t="shared" si="3"/>
        <v>#N/A</v>
      </c>
      <c r="S35" s="33" t="e">
        <f t="shared" si="4"/>
        <v>#N/A</v>
      </c>
    </row>
    <row r="36" spans="12:19" x14ac:dyDescent="0.25">
      <c r="L36" s="7" t="e">
        <f>VLOOKUP(A36,'3121% SY'!A:M,'3121% SY'!$M$1,FALSE)</f>
        <v>#N/A</v>
      </c>
      <c r="M36" s="161" t="e">
        <f t="shared" si="1"/>
        <v>#N/A</v>
      </c>
      <c r="N36" s="33" t="e">
        <f t="shared" si="2"/>
        <v>#N/A</v>
      </c>
      <c r="R36" s="161" t="e">
        <f t="shared" si="3"/>
        <v>#N/A</v>
      </c>
      <c r="S36" s="33" t="e">
        <f t="shared" si="4"/>
        <v>#N/A</v>
      </c>
    </row>
    <row r="37" spans="12:19" x14ac:dyDescent="0.25">
      <c r="L37" s="7" t="e">
        <f>VLOOKUP(A37,'3121% SY'!A:M,'3121% SY'!$M$1,FALSE)</f>
        <v>#N/A</v>
      </c>
      <c r="M37" s="161" t="e">
        <f t="shared" si="1"/>
        <v>#N/A</v>
      </c>
      <c r="N37" s="33" t="e">
        <f t="shared" si="2"/>
        <v>#N/A</v>
      </c>
      <c r="R37" s="161" t="e">
        <f t="shared" si="3"/>
        <v>#N/A</v>
      </c>
      <c r="S37" s="33" t="e">
        <f t="shared" si="4"/>
        <v>#N/A</v>
      </c>
    </row>
    <row r="38" spans="12:19" x14ac:dyDescent="0.25">
      <c r="L38" s="7" t="e">
        <f>VLOOKUP(A38,'3121% SY'!A:M,'3121% SY'!$M$1,FALSE)</f>
        <v>#N/A</v>
      </c>
      <c r="M38" s="161" t="e">
        <f t="shared" si="1"/>
        <v>#N/A</v>
      </c>
      <c r="N38" s="33" t="e">
        <f t="shared" si="2"/>
        <v>#N/A</v>
      </c>
      <c r="R38" s="161" t="e">
        <f t="shared" si="3"/>
        <v>#N/A</v>
      </c>
      <c r="S38" s="33" t="e">
        <f t="shared" si="4"/>
        <v>#N/A</v>
      </c>
    </row>
    <row r="39" spans="12:19" x14ac:dyDescent="0.25">
      <c r="L39" s="7" t="e">
        <f>VLOOKUP(A39,'3121% SY'!A:M,'3121% SY'!$M$1,FALSE)</f>
        <v>#N/A</v>
      </c>
      <c r="M39" s="161" t="e">
        <f t="shared" si="1"/>
        <v>#N/A</v>
      </c>
      <c r="N39" s="33" t="e">
        <f t="shared" si="2"/>
        <v>#N/A</v>
      </c>
      <c r="R39" s="161" t="e">
        <f t="shared" si="3"/>
        <v>#N/A</v>
      </c>
      <c r="S39" s="33" t="e">
        <f t="shared" si="4"/>
        <v>#N/A</v>
      </c>
    </row>
    <row r="40" spans="12:19" x14ac:dyDescent="0.25">
      <c r="L40" s="7" t="e">
        <f>VLOOKUP(A40,'3121% SY'!A:M,'3121% SY'!$M$1,FALSE)</f>
        <v>#N/A</v>
      </c>
      <c r="M40" s="161" t="e">
        <f t="shared" si="1"/>
        <v>#N/A</v>
      </c>
      <c r="N40" s="33" t="e">
        <f t="shared" si="2"/>
        <v>#N/A</v>
      </c>
      <c r="R40" s="161" t="e">
        <f t="shared" si="3"/>
        <v>#N/A</v>
      </c>
      <c r="S40" s="33" t="e">
        <f t="shared" si="4"/>
        <v>#N/A</v>
      </c>
    </row>
    <row r="41" spans="12:19" x14ac:dyDescent="0.25">
      <c r="L41" s="7" t="e">
        <f>VLOOKUP(A41,'3121% SY'!A:M,'3121% SY'!$M$1,FALSE)</f>
        <v>#N/A</v>
      </c>
      <c r="M41" s="161" t="e">
        <f t="shared" si="1"/>
        <v>#N/A</v>
      </c>
      <c r="N41" s="33" t="e">
        <f t="shared" si="2"/>
        <v>#N/A</v>
      </c>
      <c r="R41" s="161" t="e">
        <f t="shared" si="3"/>
        <v>#N/A</v>
      </c>
      <c r="S41" s="33" t="e">
        <f t="shared" si="4"/>
        <v>#N/A</v>
      </c>
    </row>
    <row r="42" spans="12:19" x14ac:dyDescent="0.25">
      <c r="L42" s="7" t="e">
        <f>VLOOKUP(A42,'3121% SY'!A:M,'3121% SY'!$M$1,FALSE)</f>
        <v>#N/A</v>
      </c>
      <c r="M42" s="161" t="e">
        <f t="shared" si="1"/>
        <v>#N/A</v>
      </c>
      <c r="N42" s="33" t="e">
        <f t="shared" si="2"/>
        <v>#N/A</v>
      </c>
      <c r="R42" s="161" t="e">
        <f t="shared" si="3"/>
        <v>#N/A</v>
      </c>
      <c r="S42" s="33" t="e">
        <f t="shared" si="4"/>
        <v>#N/A</v>
      </c>
    </row>
    <row r="43" spans="12:19" x14ac:dyDescent="0.25">
      <c r="L43" s="7" t="e">
        <f>VLOOKUP(A43,'3121% SY'!A:M,'3121% SY'!$M$1,FALSE)</f>
        <v>#N/A</v>
      </c>
      <c r="M43" s="161" t="e">
        <f t="shared" si="1"/>
        <v>#N/A</v>
      </c>
      <c r="N43" s="33" t="e">
        <f t="shared" si="2"/>
        <v>#N/A</v>
      </c>
      <c r="R43" s="161" t="e">
        <f t="shared" si="3"/>
        <v>#N/A</v>
      </c>
      <c r="S43" s="33" t="e">
        <f t="shared" si="4"/>
        <v>#N/A</v>
      </c>
    </row>
    <row r="44" spans="12:19" x14ac:dyDescent="0.25">
      <c r="L44" s="7" t="e">
        <f>VLOOKUP(A44,'3121% SY'!A:M,'3121% SY'!$M$1,FALSE)</f>
        <v>#N/A</v>
      </c>
      <c r="M44" s="161" t="e">
        <f t="shared" si="1"/>
        <v>#N/A</v>
      </c>
      <c r="N44" s="33" t="e">
        <f t="shared" si="2"/>
        <v>#N/A</v>
      </c>
      <c r="R44" s="161" t="e">
        <f t="shared" si="3"/>
        <v>#N/A</v>
      </c>
      <c r="S44" s="33" t="e">
        <f t="shared" si="4"/>
        <v>#N/A</v>
      </c>
    </row>
    <row r="45" spans="12:19" x14ac:dyDescent="0.25">
      <c r="L45" s="7" t="e">
        <f>VLOOKUP(A45,'3121% SY'!A:M,'3121% SY'!$M$1,FALSE)</f>
        <v>#N/A</v>
      </c>
      <c r="M45" s="161" t="e">
        <f t="shared" si="1"/>
        <v>#N/A</v>
      </c>
      <c r="N45" s="33" t="e">
        <f t="shared" si="2"/>
        <v>#N/A</v>
      </c>
      <c r="R45" s="161" t="e">
        <f t="shared" si="3"/>
        <v>#N/A</v>
      </c>
      <c r="S45" s="33" t="e">
        <f t="shared" si="4"/>
        <v>#N/A</v>
      </c>
    </row>
    <row r="46" spans="12:19" x14ac:dyDescent="0.25">
      <c r="L46" s="7" t="e">
        <f>VLOOKUP(A46,'3121% SY'!A:M,'3121% SY'!$M$1,FALSE)</f>
        <v>#N/A</v>
      </c>
      <c r="M46" s="161" t="e">
        <f t="shared" si="1"/>
        <v>#N/A</v>
      </c>
      <c r="N46" s="33" t="e">
        <f t="shared" si="2"/>
        <v>#N/A</v>
      </c>
      <c r="R46" s="161" t="e">
        <f t="shared" si="3"/>
        <v>#N/A</v>
      </c>
      <c r="S46" s="33" t="e">
        <f t="shared" si="4"/>
        <v>#N/A</v>
      </c>
    </row>
    <row r="47" spans="12:19" x14ac:dyDescent="0.25">
      <c r="L47" s="7" t="e">
        <f>VLOOKUP(A47,'3121% SY'!A:M,'3121% SY'!$M$1,FALSE)</f>
        <v>#N/A</v>
      </c>
      <c r="M47" s="161" t="e">
        <f t="shared" si="1"/>
        <v>#N/A</v>
      </c>
      <c r="N47" s="33" t="e">
        <f t="shared" si="2"/>
        <v>#N/A</v>
      </c>
      <c r="R47" s="161" t="e">
        <f t="shared" si="3"/>
        <v>#N/A</v>
      </c>
      <c r="S47" s="33" t="e">
        <f t="shared" si="4"/>
        <v>#N/A</v>
      </c>
    </row>
    <row r="48" spans="12:19" x14ac:dyDescent="0.25">
      <c r="L48" s="7" t="e">
        <f>VLOOKUP(A48,'3121% SY'!A:M,'3121% SY'!$M$1,FALSE)</f>
        <v>#N/A</v>
      </c>
      <c r="M48" s="161" t="e">
        <f t="shared" si="1"/>
        <v>#N/A</v>
      </c>
      <c r="N48" s="33" t="e">
        <f t="shared" si="2"/>
        <v>#N/A</v>
      </c>
      <c r="R48" s="161" t="e">
        <f t="shared" si="3"/>
        <v>#N/A</v>
      </c>
      <c r="S48" s="33" t="e">
        <f t="shared" si="4"/>
        <v>#N/A</v>
      </c>
    </row>
    <row r="49" spans="12:19" x14ac:dyDescent="0.25">
      <c r="L49" s="7" t="e">
        <f>VLOOKUP(A49,'3121% SY'!A:M,'3121% SY'!$M$1,FALSE)</f>
        <v>#N/A</v>
      </c>
      <c r="M49" s="161" t="e">
        <f t="shared" si="1"/>
        <v>#N/A</v>
      </c>
      <c r="N49" s="33" t="e">
        <f t="shared" si="2"/>
        <v>#N/A</v>
      </c>
      <c r="R49" s="161" t="e">
        <f t="shared" si="3"/>
        <v>#N/A</v>
      </c>
      <c r="S49" s="33" t="e">
        <f t="shared" si="4"/>
        <v>#N/A</v>
      </c>
    </row>
    <row r="50" spans="12:19" x14ac:dyDescent="0.25">
      <c r="L50" s="7" t="e">
        <f>VLOOKUP(A50,'3121% SY'!A:M,'3121% SY'!$M$1,FALSE)</f>
        <v>#N/A</v>
      </c>
      <c r="M50" s="161" t="e">
        <f t="shared" si="1"/>
        <v>#N/A</v>
      </c>
      <c r="N50" s="33" t="e">
        <f t="shared" si="2"/>
        <v>#N/A</v>
      </c>
      <c r="R50" s="161" t="e">
        <f t="shared" si="3"/>
        <v>#N/A</v>
      </c>
      <c r="S50" s="33" t="e">
        <f t="shared" si="4"/>
        <v>#N/A</v>
      </c>
    </row>
    <row r="51" spans="12:19" x14ac:dyDescent="0.25">
      <c r="L51" s="7" t="e">
        <f>VLOOKUP(A51,'3121% SY'!A:M,'3121% SY'!$M$1,FALSE)</f>
        <v>#N/A</v>
      </c>
      <c r="M51" s="161" t="e">
        <f t="shared" si="1"/>
        <v>#N/A</v>
      </c>
      <c r="N51" s="33" t="e">
        <f t="shared" si="2"/>
        <v>#N/A</v>
      </c>
      <c r="R51" s="161" t="e">
        <f t="shared" si="3"/>
        <v>#N/A</v>
      </c>
      <c r="S51" s="33" t="e">
        <f t="shared" si="4"/>
        <v>#N/A</v>
      </c>
    </row>
    <row r="52" spans="12:19" x14ac:dyDescent="0.25">
      <c r="L52" s="7" t="e">
        <f>VLOOKUP(A52,'3121% SY'!A:M,'3121% SY'!$M$1,FALSE)</f>
        <v>#N/A</v>
      </c>
      <c r="M52" s="161" t="e">
        <f t="shared" si="1"/>
        <v>#N/A</v>
      </c>
      <c r="N52" s="33" t="e">
        <f t="shared" si="2"/>
        <v>#N/A</v>
      </c>
      <c r="R52" s="161" t="e">
        <f t="shared" si="3"/>
        <v>#N/A</v>
      </c>
      <c r="S52" s="33" t="e">
        <f t="shared" si="4"/>
        <v>#N/A</v>
      </c>
    </row>
    <row r="53" spans="12:19" x14ac:dyDescent="0.25">
      <c r="L53" s="7" t="e">
        <f>VLOOKUP(A53,'3121% SY'!A:M,'3121% SY'!$M$1,FALSE)</f>
        <v>#N/A</v>
      </c>
      <c r="M53" s="161" t="e">
        <f t="shared" si="1"/>
        <v>#N/A</v>
      </c>
      <c r="N53" s="33" t="e">
        <f t="shared" si="2"/>
        <v>#N/A</v>
      </c>
      <c r="R53" s="161" t="e">
        <f t="shared" si="3"/>
        <v>#N/A</v>
      </c>
      <c r="S53" s="33" t="e">
        <f t="shared" si="4"/>
        <v>#N/A</v>
      </c>
    </row>
    <row r="54" spans="12:19" x14ac:dyDescent="0.25">
      <c r="L54" s="7" t="e">
        <f>VLOOKUP(A54,'3121% SY'!A:M,'3121% SY'!$M$1,FALSE)</f>
        <v>#N/A</v>
      </c>
      <c r="M54" s="161" t="e">
        <f t="shared" si="1"/>
        <v>#N/A</v>
      </c>
      <c r="N54" s="33" t="e">
        <f t="shared" si="2"/>
        <v>#N/A</v>
      </c>
      <c r="R54" s="161" t="e">
        <f t="shared" si="3"/>
        <v>#N/A</v>
      </c>
      <c r="S54" s="33" t="e">
        <f t="shared" si="4"/>
        <v>#N/A</v>
      </c>
    </row>
    <row r="55" spans="12:19" x14ac:dyDescent="0.25">
      <c r="L55" s="7" t="e">
        <f>VLOOKUP(A55,'3121% SY'!A:M,'3121% SY'!$M$1,FALSE)</f>
        <v>#N/A</v>
      </c>
      <c r="M55" s="161" t="e">
        <f t="shared" si="1"/>
        <v>#N/A</v>
      </c>
      <c r="N55" s="33" t="e">
        <f t="shared" si="2"/>
        <v>#N/A</v>
      </c>
      <c r="R55" s="161" t="e">
        <f t="shared" si="3"/>
        <v>#N/A</v>
      </c>
      <c r="S55" s="33" t="e">
        <f t="shared" si="4"/>
        <v>#N/A</v>
      </c>
    </row>
    <row r="56" spans="12:19" x14ac:dyDescent="0.25">
      <c r="L56" s="7" t="e">
        <f>VLOOKUP(A56,'3121% SY'!A:M,'3121% SY'!$M$1,FALSE)</f>
        <v>#N/A</v>
      </c>
      <c r="M56" s="161" t="e">
        <f t="shared" si="1"/>
        <v>#N/A</v>
      </c>
      <c r="N56" s="33" t="e">
        <f t="shared" si="2"/>
        <v>#N/A</v>
      </c>
      <c r="R56" s="161" t="e">
        <f t="shared" si="3"/>
        <v>#N/A</v>
      </c>
      <c r="S56" s="33" t="e">
        <f t="shared" si="4"/>
        <v>#N/A</v>
      </c>
    </row>
    <row r="57" spans="12:19" x14ac:dyDescent="0.25">
      <c r="L57" s="7" t="e">
        <f>VLOOKUP(A57,'3121% SY'!A:M,'3121% SY'!$M$1,FALSE)</f>
        <v>#N/A</v>
      </c>
      <c r="M57" s="161" t="e">
        <f t="shared" si="1"/>
        <v>#N/A</v>
      </c>
      <c r="N57" s="33" t="e">
        <f t="shared" si="2"/>
        <v>#N/A</v>
      </c>
      <c r="R57" s="161" t="e">
        <f t="shared" si="3"/>
        <v>#N/A</v>
      </c>
      <c r="S57" s="33" t="e">
        <f t="shared" si="4"/>
        <v>#N/A</v>
      </c>
    </row>
    <row r="58" spans="12:19" x14ac:dyDescent="0.25">
      <c r="L58" s="7" t="e">
        <f>VLOOKUP(A58,'3121% SY'!A:M,'3121% SY'!$M$1,FALSE)</f>
        <v>#N/A</v>
      </c>
      <c r="M58" s="161" t="e">
        <f t="shared" si="1"/>
        <v>#N/A</v>
      </c>
      <c r="N58" s="33" t="e">
        <f t="shared" si="2"/>
        <v>#N/A</v>
      </c>
      <c r="R58" s="161" t="e">
        <f t="shared" si="3"/>
        <v>#N/A</v>
      </c>
      <c r="S58" s="33" t="e">
        <f t="shared" si="4"/>
        <v>#N/A</v>
      </c>
    </row>
    <row r="59" spans="12:19" x14ac:dyDescent="0.25">
      <c r="L59" s="7" t="e">
        <f>VLOOKUP(A59,'3121% SY'!A:M,'3121% SY'!$M$1,FALSE)</f>
        <v>#N/A</v>
      </c>
      <c r="M59" s="161" t="e">
        <f t="shared" si="1"/>
        <v>#N/A</v>
      </c>
      <c r="N59" s="33" t="e">
        <f t="shared" si="2"/>
        <v>#N/A</v>
      </c>
      <c r="R59" s="161" t="e">
        <f t="shared" si="3"/>
        <v>#N/A</v>
      </c>
      <c r="S59" s="33" t="e">
        <f t="shared" si="4"/>
        <v>#N/A</v>
      </c>
    </row>
    <row r="60" spans="12:19" x14ac:dyDescent="0.25">
      <c r="L60" s="7" t="e">
        <f>VLOOKUP(A60,'3121% SY'!A:M,'3121% SY'!$M$1,FALSE)</f>
        <v>#N/A</v>
      </c>
      <c r="M60" s="161" t="e">
        <f t="shared" si="1"/>
        <v>#N/A</v>
      </c>
      <c r="N60" s="33" t="e">
        <f t="shared" si="2"/>
        <v>#N/A</v>
      </c>
      <c r="R60" s="161" t="e">
        <f t="shared" si="3"/>
        <v>#N/A</v>
      </c>
      <c r="S60" s="33" t="e">
        <f t="shared" si="4"/>
        <v>#N/A</v>
      </c>
    </row>
    <row r="61" spans="12:19" x14ac:dyDescent="0.25">
      <c r="L61" s="7" t="e">
        <f>VLOOKUP(A61,'3121% SY'!A:M,'3121% SY'!$M$1,FALSE)</f>
        <v>#N/A</v>
      </c>
      <c r="M61" s="161" t="e">
        <f t="shared" si="1"/>
        <v>#N/A</v>
      </c>
      <c r="N61" s="33" t="e">
        <f t="shared" si="2"/>
        <v>#N/A</v>
      </c>
      <c r="R61" s="161" t="e">
        <f t="shared" si="3"/>
        <v>#N/A</v>
      </c>
      <c r="S61" s="33" t="e">
        <f t="shared" si="4"/>
        <v>#N/A</v>
      </c>
    </row>
    <row r="62" spans="12:19" x14ac:dyDescent="0.25">
      <c r="L62" s="7" t="e">
        <f>VLOOKUP(A62,'3121% SY'!A:M,'3121% SY'!$M$1,FALSE)</f>
        <v>#N/A</v>
      </c>
      <c r="M62" s="161" t="e">
        <f t="shared" si="1"/>
        <v>#N/A</v>
      </c>
      <c r="N62" s="33" t="e">
        <f t="shared" si="2"/>
        <v>#N/A</v>
      </c>
      <c r="R62" s="161" t="e">
        <f t="shared" si="3"/>
        <v>#N/A</v>
      </c>
      <c r="S62" s="33" t="e">
        <f t="shared" si="4"/>
        <v>#N/A</v>
      </c>
    </row>
    <row r="63" spans="12:19" x14ac:dyDescent="0.25">
      <c r="L63" s="7" t="e">
        <f>VLOOKUP(A63,'3121% SY'!A:M,'3121% SY'!$M$1,FALSE)</f>
        <v>#N/A</v>
      </c>
      <c r="M63" s="161" t="e">
        <f t="shared" si="1"/>
        <v>#N/A</v>
      </c>
      <c r="N63" s="33" t="e">
        <f t="shared" si="2"/>
        <v>#N/A</v>
      </c>
      <c r="R63" s="161" t="e">
        <f t="shared" si="3"/>
        <v>#N/A</v>
      </c>
      <c r="S63" s="33" t="e">
        <f t="shared" si="4"/>
        <v>#N/A</v>
      </c>
    </row>
    <row r="64" spans="12:19" x14ac:dyDescent="0.25">
      <c r="L64" s="7" t="e">
        <f>VLOOKUP(A64,'3121% SY'!A:M,'3121% SY'!$M$1,FALSE)</f>
        <v>#N/A</v>
      </c>
      <c r="M64" s="161" t="e">
        <f t="shared" si="1"/>
        <v>#N/A</v>
      </c>
      <c r="N64" s="33" t="e">
        <f t="shared" si="2"/>
        <v>#N/A</v>
      </c>
      <c r="R64" s="161" t="e">
        <f t="shared" si="3"/>
        <v>#N/A</v>
      </c>
      <c r="S64" s="33" t="e">
        <f t="shared" si="4"/>
        <v>#N/A</v>
      </c>
    </row>
    <row r="65" spans="12:19" x14ac:dyDescent="0.25">
      <c r="L65" s="7" t="e">
        <f>VLOOKUP(A65,'3121% SY'!A:M,'3121% SY'!$M$1,FALSE)</f>
        <v>#N/A</v>
      </c>
      <c r="M65" s="161" t="e">
        <f t="shared" si="1"/>
        <v>#N/A</v>
      </c>
      <c r="N65" s="33" t="e">
        <f t="shared" si="2"/>
        <v>#N/A</v>
      </c>
      <c r="R65" s="161" t="e">
        <f t="shared" si="3"/>
        <v>#N/A</v>
      </c>
      <c r="S65" s="33" t="e">
        <f t="shared" si="4"/>
        <v>#N/A</v>
      </c>
    </row>
    <row r="66" spans="12:19" x14ac:dyDescent="0.25">
      <c r="L66" s="7" t="e">
        <f>VLOOKUP(A66,'3121% SY'!A:M,'3121% SY'!$M$1,FALSE)</f>
        <v>#N/A</v>
      </c>
      <c r="M66" s="161" t="e">
        <f t="shared" si="1"/>
        <v>#N/A</v>
      </c>
      <c r="N66" s="33" t="e">
        <f t="shared" si="2"/>
        <v>#N/A</v>
      </c>
      <c r="R66" s="161" t="e">
        <f t="shared" si="3"/>
        <v>#N/A</v>
      </c>
      <c r="S66" s="33" t="e">
        <f t="shared" si="4"/>
        <v>#N/A</v>
      </c>
    </row>
    <row r="67" spans="12:19" x14ac:dyDescent="0.25">
      <c r="L67" s="7" t="e">
        <f>VLOOKUP(A67,'3121% SY'!A:M,'3121% SY'!$M$1,FALSE)</f>
        <v>#N/A</v>
      </c>
      <c r="M67" s="161" t="e">
        <f t="shared" si="1"/>
        <v>#N/A</v>
      </c>
      <c r="N67" s="33" t="e">
        <f t="shared" si="2"/>
        <v>#N/A</v>
      </c>
      <c r="R67" s="161" t="e">
        <f t="shared" si="3"/>
        <v>#N/A</v>
      </c>
      <c r="S67" s="33" t="e">
        <f t="shared" si="4"/>
        <v>#N/A</v>
      </c>
    </row>
    <row r="68" spans="12:19" x14ac:dyDescent="0.25">
      <c r="L68" s="7" t="e">
        <f>VLOOKUP(A68,'3121% SY'!A:M,'3121% SY'!$M$1,FALSE)</f>
        <v>#N/A</v>
      </c>
      <c r="M68" s="161" t="e">
        <f t="shared" si="1"/>
        <v>#N/A</v>
      </c>
      <c r="N68" s="33" t="e">
        <f t="shared" si="2"/>
        <v>#N/A</v>
      </c>
      <c r="R68" s="161" t="e">
        <f t="shared" si="3"/>
        <v>#N/A</v>
      </c>
      <c r="S68" s="33" t="e">
        <f t="shared" si="4"/>
        <v>#N/A</v>
      </c>
    </row>
    <row r="69" spans="12:19" x14ac:dyDescent="0.25">
      <c r="L69" s="7" t="e">
        <f>VLOOKUP(A69,'3121% SY'!A:M,'3121% SY'!$M$1,FALSE)</f>
        <v>#N/A</v>
      </c>
      <c r="M69" s="161" t="e">
        <f t="shared" ref="M69:M132" si="5">ROUND(I69*$L69,3)+ROUND(J69*$L69,3)++ROUND(K69*$L69,3)</f>
        <v>#N/A</v>
      </c>
      <c r="N69" s="33" t="e">
        <f t="shared" ref="N69:N132" si="6">SUM(M69,B69:H69)</f>
        <v>#N/A</v>
      </c>
      <c r="R69" s="161" t="e">
        <f t="shared" ref="R69:R122" si="7">ROUND(Q69*$L69,3)</f>
        <v>#N/A</v>
      </c>
      <c r="S69" s="33" t="e">
        <f t="shared" ref="S69:S122" si="8">SUM(R69,O69:P69)</f>
        <v>#N/A</v>
      </c>
    </row>
    <row r="70" spans="12:19" x14ac:dyDescent="0.25">
      <c r="L70" s="7" t="e">
        <f>VLOOKUP(A70,'3121% SY'!A:M,'3121% SY'!$M$1,FALSE)</f>
        <v>#N/A</v>
      </c>
      <c r="M70" s="161" t="e">
        <f t="shared" si="5"/>
        <v>#N/A</v>
      </c>
      <c r="N70" s="33" t="e">
        <f t="shared" si="6"/>
        <v>#N/A</v>
      </c>
      <c r="R70" s="161" t="e">
        <f t="shared" si="7"/>
        <v>#N/A</v>
      </c>
      <c r="S70" s="33" t="e">
        <f t="shared" si="8"/>
        <v>#N/A</v>
      </c>
    </row>
    <row r="71" spans="12:19" x14ac:dyDescent="0.25">
      <c r="L71" s="7" t="e">
        <f>VLOOKUP(A71,'3121% SY'!A:M,'3121% SY'!$M$1,FALSE)</f>
        <v>#N/A</v>
      </c>
      <c r="M71" s="161" t="e">
        <f t="shared" si="5"/>
        <v>#N/A</v>
      </c>
      <c r="N71" s="33" t="e">
        <f t="shared" si="6"/>
        <v>#N/A</v>
      </c>
      <c r="R71" s="161" t="e">
        <f t="shared" si="7"/>
        <v>#N/A</v>
      </c>
      <c r="S71" s="33" t="e">
        <f t="shared" si="8"/>
        <v>#N/A</v>
      </c>
    </row>
    <row r="72" spans="12:19" x14ac:dyDescent="0.25">
      <c r="L72" s="7" t="e">
        <f>VLOOKUP(A72,'3121% SY'!A:M,'3121% SY'!$M$1,FALSE)</f>
        <v>#N/A</v>
      </c>
      <c r="M72" s="161" t="e">
        <f t="shared" si="5"/>
        <v>#N/A</v>
      </c>
      <c r="N72" s="33" t="e">
        <f t="shared" si="6"/>
        <v>#N/A</v>
      </c>
      <c r="R72" s="161" t="e">
        <f t="shared" si="7"/>
        <v>#N/A</v>
      </c>
      <c r="S72" s="33" t="e">
        <f t="shared" si="8"/>
        <v>#N/A</v>
      </c>
    </row>
    <row r="73" spans="12:19" x14ac:dyDescent="0.25">
      <c r="L73" s="7" t="e">
        <f>VLOOKUP(A73,'3121% SY'!A:M,'3121% SY'!$M$1,FALSE)</f>
        <v>#N/A</v>
      </c>
      <c r="M73" s="161" t="e">
        <f t="shared" si="5"/>
        <v>#N/A</v>
      </c>
      <c r="N73" s="33" t="e">
        <f t="shared" si="6"/>
        <v>#N/A</v>
      </c>
      <c r="R73" s="161" t="e">
        <f t="shared" si="7"/>
        <v>#N/A</v>
      </c>
      <c r="S73" s="33" t="e">
        <f t="shared" si="8"/>
        <v>#N/A</v>
      </c>
    </row>
    <row r="74" spans="12:19" x14ac:dyDescent="0.25">
      <c r="L74" s="7" t="e">
        <f>VLOOKUP(A74,'3121% SY'!A:M,'3121% SY'!$M$1,FALSE)</f>
        <v>#N/A</v>
      </c>
      <c r="M74" s="161" t="e">
        <f t="shared" si="5"/>
        <v>#N/A</v>
      </c>
      <c r="N74" s="33" t="e">
        <f t="shared" si="6"/>
        <v>#N/A</v>
      </c>
      <c r="R74" s="161" t="e">
        <f t="shared" si="7"/>
        <v>#N/A</v>
      </c>
      <c r="S74" s="33" t="e">
        <f t="shared" si="8"/>
        <v>#N/A</v>
      </c>
    </row>
    <row r="75" spans="12:19" x14ac:dyDescent="0.25">
      <c r="L75" s="7" t="e">
        <f>VLOOKUP(A75,'3121% SY'!A:M,'3121% SY'!$M$1,FALSE)</f>
        <v>#N/A</v>
      </c>
      <c r="M75" s="161" t="e">
        <f t="shared" si="5"/>
        <v>#N/A</v>
      </c>
      <c r="N75" s="33" t="e">
        <f t="shared" si="6"/>
        <v>#N/A</v>
      </c>
      <c r="R75" s="161" t="e">
        <f t="shared" si="7"/>
        <v>#N/A</v>
      </c>
      <c r="S75" s="33" t="e">
        <f t="shared" si="8"/>
        <v>#N/A</v>
      </c>
    </row>
    <row r="76" spans="12:19" x14ac:dyDescent="0.25">
      <c r="L76" s="7" t="e">
        <f>VLOOKUP(A76,'3121% SY'!A:M,'3121% SY'!$M$1,FALSE)</f>
        <v>#N/A</v>
      </c>
      <c r="M76" s="161" t="e">
        <f t="shared" si="5"/>
        <v>#N/A</v>
      </c>
      <c r="N76" s="33" t="e">
        <f t="shared" si="6"/>
        <v>#N/A</v>
      </c>
      <c r="R76" s="161" t="e">
        <f t="shared" si="7"/>
        <v>#N/A</v>
      </c>
      <c r="S76" s="33" t="e">
        <f t="shared" si="8"/>
        <v>#N/A</v>
      </c>
    </row>
    <row r="77" spans="12:19" x14ac:dyDescent="0.25">
      <c r="L77" s="7" t="e">
        <f>VLOOKUP(A77,'3121% SY'!A:M,'3121% SY'!$M$1,FALSE)</f>
        <v>#N/A</v>
      </c>
      <c r="M77" s="161" t="e">
        <f t="shared" si="5"/>
        <v>#N/A</v>
      </c>
      <c r="N77" s="33" t="e">
        <f t="shared" si="6"/>
        <v>#N/A</v>
      </c>
      <c r="R77" s="161" t="e">
        <f t="shared" si="7"/>
        <v>#N/A</v>
      </c>
      <c r="S77" s="33" t="e">
        <f t="shared" si="8"/>
        <v>#N/A</v>
      </c>
    </row>
    <row r="78" spans="12:19" x14ac:dyDescent="0.25">
      <c r="L78" s="7" t="e">
        <f>VLOOKUP(A78,'3121% SY'!A:M,'3121% SY'!$M$1,FALSE)</f>
        <v>#N/A</v>
      </c>
      <c r="M78" s="161" t="e">
        <f t="shared" si="5"/>
        <v>#N/A</v>
      </c>
      <c r="N78" s="33" t="e">
        <f t="shared" si="6"/>
        <v>#N/A</v>
      </c>
      <c r="R78" s="161" t="e">
        <f t="shared" si="7"/>
        <v>#N/A</v>
      </c>
      <c r="S78" s="33" t="e">
        <f t="shared" si="8"/>
        <v>#N/A</v>
      </c>
    </row>
    <row r="79" spans="12:19" x14ac:dyDescent="0.25">
      <c r="L79" s="7" t="e">
        <f>VLOOKUP(A79,'3121% SY'!A:M,'3121% SY'!$M$1,FALSE)</f>
        <v>#N/A</v>
      </c>
      <c r="M79" s="161" t="e">
        <f t="shared" si="5"/>
        <v>#N/A</v>
      </c>
      <c r="N79" s="33" t="e">
        <f t="shared" si="6"/>
        <v>#N/A</v>
      </c>
      <c r="R79" s="161" t="e">
        <f t="shared" si="7"/>
        <v>#N/A</v>
      </c>
      <c r="S79" s="33" t="e">
        <f t="shared" si="8"/>
        <v>#N/A</v>
      </c>
    </row>
    <row r="80" spans="12:19" x14ac:dyDescent="0.25">
      <c r="L80" s="7" t="e">
        <f>VLOOKUP(A80,'3121% SY'!A:M,'3121% SY'!$M$1,FALSE)</f>
        <v>#N/A</v>
      </c>
      <c r="M80" s="161" t="e">
        <f t="shared" si="5"/>
        <v>#N/A</v>
      </c>
      <c r="N80" s="33" t="e">
        <f t="shared" si="6"/>
        <v>#N/A</v>
      </c>
      <c r="R80" s="161" t="e">
        <f t="shared" si="7"/>
        <v>#N/A</v>
      </c>
      <c r="S80" s="33" t="e">
        <f t="shared" si="8"/>
        <v>#N/A</v>
      </c>
    </row>
    <row r="81" spans="12:19" x14ac:dyDescent="0.25">
      <c r="L81" s="7" t="e">
        <f>VLOOKUP(A81,'3121% SY'!A:M,'3121% SY'!$M$1,FALSE)</f>
        <v>#N/A</v>
      </c>
      <c r="M81" s="161" t="e">
        <f t="shared" si="5"/>
        <v>#N/A</v>
      </c>
      <c r="N81" s="33" t="e">
        <f t="shared" si="6"/>
        <v>#N/A</v>
      </c>
      <c r="R81" s="161" t="e">
        <f t="shared" si="7"/>
        <v>#N/A</v>
      </c>
      <c r="S81" s="33" t="e">
        <f t="shared" si="8"/>
        <v>#N/A</v>
      </c>
    </row>
    <row r="82" spans="12:19" x14ac:dyDescent="0.25">
      <c r="L82" s="7" t="e">
        <f>VLOOKUP(A82,'3121% SY'!A:M,'3121% SY'!$M$1,FALSE)</f>
        <v>#N/A</v>
      </c>
      <c r="M82" s="161" t="e">
        <f t="shared" si="5"/>
        <v>#N/A</v>
      </c>
      <c r="N82" s="33" t="e">
        <f t="shared" si="6"/>
        <v>#N/A</v>
      </c>
      <c r="R82" s="161" t="e">
        <f t="shared" si="7"/>
        <v>#N/A</v>
      </c>
      <c r="S82" s="33" t="e">
        <f t="shared" si="8"/>
        <v>#N/A</v>
      </c>
    </row>
    <row r="83" spans="12:19" x14ac:dyDescent="0.25">
      <c r="L83" s="7" t="e">
        <f>VLOOKUP(A83,'3121% SY'!A:M,'3121% SY'!$M$1,FALSE)</f>
        <v>#N/A</v>
      </c>
      <c r="M83" s="161" t="e">
        <f t="shared" si="5"/>
        <v>#N/A</v>
      </c>
      <c r="N83" s="33" t="e">
        <f t="shared" si="6"/>
        <v>#N/A</v>
      </c>
      <c r="R83" s="161" t="e">
        <f t="shared" si="7"/>
        <v>#N/A</v>
      </c>
      <c r="S83" s="33" t="e">
        <f t="shared" si="8"/>
        <v>#N/A</v>
      </c>
    </row>
    <row r="84" spans="12:19" x14ac:dyDescent="0.25">
      <c r="L84" s="7" t="e">
        <f>VLOOKUP(A84,'3121% SY'!A:M,'3121% SY'!$M$1,FALSE)</f>
        <v>#N/A</v>
      </c>
      <c r="M84" s="161" t="e">
        <f t="shared" si="5"/>
        <v>#N/A</v>
      </c>
      <c r="N84" s="33" t="e">
        <f t="shared" si="6"/>
        <v>#N/A</v>
      </c>
      <c r="R84" s="161" t="e">
        <f t="shared" si="7"/>
        <v>#N/A</v>
      </c>
      <c r="S84" s="33" t="e">
        <f t="shared" si="8"/>
        <v>#N/A</v>
      </c>
    </row>
    <row r="85" spans="12:19" x14ac:dyDescent="0.25">
      <c r="L85" s="7" t="e">
        <f>VLOOKUP(A85,'3121% SY'!A:M,'3121% SY'!$M$1,FALSE)</f>
        <v>#N/A</v>
      </c>
      <c r="M85" s="161" t="e">
        <f t="shared" si="5"/>
        <v>#N/A</v>
      </c>
      <c r="N85" s="33" t="e">
        <f t="shared" si="6"/>
        <v>#N/A</v>
      </c>
      <c r="R85" s="161" t="e">
        <f t="shared" si="7"/>
        <v>#N/A</v>
      </c>
      <c r="S85" s="33" t="e">
        <f t="shared" si="8"/>
        <v>#N/A</v>
      </c>
    </row>
    <row r="86" spans="12:19" x14ac:dyDescent="0.25">
      <c r="L86" s="7" t="e">
        <f>VLOOKUP(A86,'3121% SY'!A:M,'3121% SY'!$M$1,FALSE)</f>
        <v>#N/A</v>
      </c>
      <c r="M86" s="161" t="e">
        <f t="shared" si="5"/>
        <v>#N/A</v>
      </c>
      <c r="N86" s="33" t="e">
        <f t="shared" si="6"/>
        <v>#N/A</v>
      </c>
      <c r="R86" s="161" t="e">
        <f t="shared" si="7"/>
        <v>#N/A</v>
      </c>
      <c r="S86" s="33" t="e">
        <f t="shared" si="8"/>
        <v>#N/A</v>
      </c>
    </row>
    <row r="87" spans="12:19" x14ac:dyDescent="0.25">
      <c r="L87" s="7" t="e">
        <f>VLOOKUP(A87,'3121% SY'!A:M,'3121% SY'!$M$1,FALSE)</f>
        <v>#N/A</v>
      </c>
      <c r="M87" s="161" t="e">
        <f t="shared" si="5"/>
        <v>#N/A</v>
      </c>
      <c r="N87" s="33" t="e">
        <f t="shared" si="6"/>
        <v>#N/A</v>
      </c>
      <c r="R87" s="161" t="e">
        <f t="shared" si="7"/>
        <v>#N/A</v>
      </c>
      <c r="S87" s="33" t="e">
        <f t="shared" si="8"/>
        <v>#N/A</v>
      </c>
    </row>
    <row r="88" spans="12:19" x14ac:dyDescent="0.25">
      <c r="L88" s="7" t="e">
        <f>VLOOKUP(A88,'3121% SY'!A:M,'3121% SY'!$M$1,FALSE)</f>
        <v>#N/A</v>
      </c>
      <c r="M88" s="161" t="e">
        <f t="shared" si="5"/>
        <v>#N/A</v>
      </c>
      <c r="N88" s="33" t="e">
        <f t="shared" si="6"/>
        <v>#N/A</v>
      </c>
      <c r="R88" s="161" t="e">
        <f t="shared" si="7"/>
        <v>#N/A</v>
      </c>
      <c r="S88" s="33" t="e">
        <f t="shared" si="8"/>
        <v>#N/A</v>
      </c>
    </row>
    <row r="89" spans="12:19" x14ac:dyDescent="0.25">
      <c r="L89" s="7" t="e">
        <f>VLOOKUP(A89,'3121% SY'!A:M,'3121% SY'!$M$1,FALSE)</f>
        <v>#N/A</v>
      </c>
      <c r="M89" s="161" t="e">
        <f t="shared" si="5"/>
        <v>#N/A</v>
      </c>
      <c r="N89" s="33" t="e">
        <f t="shared" si="6"/>
        <v>#N/A</v>
      </c>
      <c r="R89" s="161" t="e">
        <f t="shared" si="7"/>
        <v>#N/A</v>
      </c>
      <c r="S89" s="33" t="e">
        <f t="shared" si="8"/>
        <v>#N/A</v>
      </c>
    </row>
    <row r="90" spans="12:19" x14ac:dyDescent="0.25">
      <c r="L90" s="7" t="e">
        <f>VLOOKUP(A90,'3121% SY'!A:M,'3121% SY'!$M$1,FALSE)</f>
        <v>#N/A</v>
      </c>
      <c r="M90" s="161" t="e">
        <f t="shared" si="5"/>
        <v>#N/A</v>
      </c>
      <c r="N90" s="33" t="e">
        <f t="shared" si="6"/>
        <v>#N/A</v>
      </c>
      <c r="R90" s="161" t="e">
        <f t="shared" si="7"/>
        <v>#N/A</v>
      </c>
      <c r="S90" s="33" t="e">
        <f t="shared" si="8"/>
        <v>#N/A</v>
      </c>
    </row>
    <row r="91" spans="12:19" x14ac:dyDescent="0.25">
      <c r="L91" s="7" t="e">
        <f>VLOOKUP(A91,'3121% SY'!A:M,'3121% SY'!$M$1,FALSE)</f>
        <v>#N/A</v>
      </c>
      <c r="M91" s="161" t="e">
        <f t="shared" si="5"/>
        <v>#N/A</v>
      </c>
      <c r="N91" s="33" t="e">
        <f t="shared" si="6"/>
        <v>#N/A</v>
      </c>
      <c r="R91" s="161" t="e">
        <f t="shared" si="7"/>
        <v>#N/A</v>
      </c>
      <c r="S91" s="33" t="e">
        <f t="shared" si="8"/>
        <v>#N/A</v>
      </c>
    </row>
    <row r="92" spans="12:19" x14ac:dyDescent="0.25">
      <c r="L92" s="7" t="e">
        <f>VLOOKUP(A92,'3121% SY'!A:M,'3121% SY'!$M$1,FALSE)</f>
        <v>#N/A</v>
      </c>
      <c r="M92" s="161" t="e">
        <f t="shared" si="5"/>
        <v>#N/A</v>
      </c>
      <c r="N92" s="33" t="e">
        <f t="shared" si="6"/>
        <v>#N/A</v>
      </c>
      <c r="R92" s="161" t="e">
        <f t="shared" si="7"/>
        <v>#N/A</v>
      </c>
      <c r="S92" s="33" t="e">
        <f t="shared" si="8"/>
        <v>#N/A</v>
      </c>
    </row>
    <row r="93" spans="12:19" x14ac:dyDescent="0.25">
      <c r="L93" s="7" t="e">
        <f>VLOOKUP(A93,'3121% SY'!A:M,'3121% SY'!$M$1,FALSE)</f>
        <v>#N/A</v>
      </c>
      <c r="M93" s="161" t="e">
        <f t="shared" si="5"/>
        <v>#N/A</v>
      </c>
      <c r="N93" s="33" t="e">
        <f t="shared" si="6"/>
        <v>#N/A</v>
      </c>
      <c r="R93" s="161" t="e">
        <f t="shared" si="7"/>
        <v>#N/A</v>
      </c>
      <c r="S93" s="33" t="e">
        <f t="shared" si="8"/>
        <v>#N/A</v>
      </c>
    </row>
    <row r="94" spans="12:19" x14ac:dyDescent="0.25">
      <c r="L94" s="7" t="e">
        <f>VLOOKUP(A94,'3121% SY'!A:M,'3121% SY'!$M$1,FALSE)</f>
        <v>#N/A</v>
      </c>
      <c r="M94" s="161" t="e">
        <f t="shared" si="5"/>
        <v>#N/A</v>
      </c>
      <c r="N94" s="33" t="e">
        <f t="shared" si="6"/>
        <v>#N/A</v>
      </c>
      <c r="R94" s="161" t="e">
        <f t="shared" si="7"/>
        <v>#N/A</v>
      </c>
      <c r="S94" s="33" t="e">
        <f t="shared" si="8"/>
        <v>#N/A</v>
      </c>
    </row>
    <row r="95" spans="12:19" x14ac:dyDescent="0.25">
      <c r="L95" s="7" t="e">
        <f>VLOOKUP(A95,'3121% SY'!A:M,'3121% SY'!$M$1,FALSE)</f>
        <v>#N/A</v>
      </c>
      <c r="M95" s="161" t="e">
        <f t="shared" si="5"/>
        <v>#N/A</v>
      </c>
      <c r="N95" s="33" t="e">
        <f t="shared" si="6"/>
        <v>#N/A</v>
      </c>
      <c r="R95" s="161" t="e">
        <f t="shared" si="7"/>
        <v>#N/A</v>
      </c>
      <c r="S95" s="33" t="e">
        <f t="shared" si="8"/>
        <v>#N/A</v>
      </c>
    </row>
    <row r="96" spans="12:19" x14ac:dyDescent="0.25">
      <c r="L96" s="7" t="e">
        <f>VLOOKUP(A96,'3121% SY'!A:M,'3121% SY'!$M$1,FALSE)</f>
        <v>#N/A</v>
      </c>
      <c r="M96" s="161" t="e">
        <f t="shared" si="5"/>
        <v>#N/A</v>
      </c>
      <c r="N96" s="33" t="e">
        <f t="shared" si="6"/>
        <v>#N/A</v>
      </c>
      <c r="R96" s="161" t="e">
        <f t="shared" si="7"/>
        <v>#N/A</v>
      </c>
      <c r="S96" s="33" t="e">
        <f t="shared" si="8"/>
        <v>#N/A</v>
      </c>
    </row>
    <row r="97" spans="12:19" x14ac:dyDescent="0.25">
      <c r="L97" s="7" t="e">
        <f>VLOOKUP(A97,'3121% SY'!A:M,'3121% SY'!$M$1,FALSE)</f>
        <v>#N/A</v>
      </c>
      <c r="M97" s="161" t="e">
        <f t="shared" si="5"/>
        <v>#N/A</v>
      </c>
      <c r="N97" s="33" t="e">
        <f t="shared" si="6"/>
        <v>#N/A</v>
      </c>
      <c r="R97" s="161" t="e">
        <f t="shared" si="7"/>
        <v>#N/A</v>
      </c>
      <c r="S97" s="33" t="e">
        <f t="shared" si="8"/>
        <v>#N/A</v>
      </c>
    </row>
    <row r="98" spans="12:19" x14ac:dyDescent="0.25">
      <c r="L98" s="7" t="e">
        <f>VLOOKUP(A98,'3121% SY'!A:M,'3121% SY'!$M$1,FALSE)</f>
        <v>#N/A</v>
      </c>
      <c r="M98" s="161" t="e">
        <f t="shared" si="5"/>
        <v>#N/A</v>
      </c>
      <c r="N98" s="33" t="e">
        <f t="shared" si="6"/>
        <v>#N/A</v>
      </c>
      <c r="R98" s="161" t="e">
        <f t="shared" si="7"/>
        <v>#N/A</v>
      </c>
      <c r="S98" s="33" t="e">
        <f t="shared" si="8"/>
        <v>#N/A</v>
      </c>
    </row>
    <row r="99" spans="12:19" x14ac:dyDescent="0.25">
      <c r="L99" s="7" t="e">
        <f>VLOOKUP(A99,'3121% SY'!A:M,'3121% SY'!$M$1,FALSE)</f>
        <v>#N/A</v>
      </c>
      <c r="M99" s="161" t="e">
        <f t="shared" si="5"/>
        <v>#N/A</v>
      </c>
      <c r="N99" s="33" t="e">
        <f t="shared" si="6"/>
        <v>#N/A</v>
      </c>
      <c r="R99" s="161" t="e">
        <f t="shared" si="7"/>
        <v>#N/A</v>
      </c>
      <c r="S99" s="33" t="e">
        <f t="shared" si="8"/>
        <v>#N/A</v>
      </c>
    </row>
    <row r="100" spans="12:19" x14ac:dyDescent="0.25">
      <c r="L100" s="7" t="e">
        <f>VLOOKUP(A100,'3121% SY'!A:M,'3121% SY'!$M$1,FALSE)</f>
        <v>#N/A</v>
      </c>
      <c r="M100" s="161" t="e">
        <f t="shared" si="5"/>
        <v>#N/A</v>
      </c>
      <c r="N100" s="33" t="e">
        <f t="shared" si="6"/>
        <v>#N/A</v>
      </c>
      <c r="R100" s="161" t="e">
        <f t="shared" si="7"/>
        <v>#N/A</v>
      </c>
      <c r="S100" s="33" t="e">
        <f t="shared" si="8"/>
        <v>#N/A</v>
      </c>
    </row>
    <row r="101" spans="12:19" x14ac:dyDescent="0.25">
      <c r="L101" s="7" t="e">
        <f>VLOOKUP(A101,'3121% SY'!A:M,'3121% SY'!$M$1,FALSE)</f>
        <v>#N/A</v>
      </c>
      <c r="M101" s="161" t="e">
        <f t="shared" si="5"/>
        <v>#N/A</v>
      </c>
      <c r="N101" s="33" t="e">
        <f t="shared" si="6"/>
        <v>#N/A</v>
      </c>
      <c r="R101" s="161" t="e">
        <f t="shared" si="7"/>
        <v>#N/A</v>
      </c>
      <c r="S101" s="33" t="e">
        <f t="shared" si="8"/>
        <v>#N/A</v>
      </c>
    </row>
    <row r="102" spans="12:19" x14ac:dyDescent="0.25">
      <c r="L102" s="7" t="e">
        <f>VLOOKUP(A102,'3121% SY'!A:M,'3121% SY'!$M$1,FALSE)</f>
        <v>#N/A</v>
      </c>
      <c r="M102" s="161" t="e">
        <f t="shared" si="5"/>
        <v>#N/A</v>
      </c>
      <c r="N102" s="33" t="e">
        <f t="shared" si="6"/>
        <v>#N/A</v>
      </c>
      <c r="R102" s="161" t="e">
        <f t="shared" si="7"/>
        <v>#N/A</v>
      </c>
      <c r="S102" s="33" t="e">
        <f t="shared" si="8"/>
        <v>#N/A</v>
      </c>
    </row>
    <row r="103" spans="12:19" x14ac:dyDescent="0.25">
      <c r="L103" s="7" t="e">
        <f>VLOOKUP(A103,'3121% SY'!A:M,'3121% SY'!$M$1,FALSE)</f>
        <v>#N/A</v>
      </c>
      <c r="M103" s="161" t="e">
        <f t="shared" si="5"/>
        <v>#N/A</v>
      </c>
      <c r="N103" s="33" t="e">
        <f t="shared" si="6"/>
        <v>#N/A</v>
      </c>
      <c r="R103" s="161" t="e">
        <f t="shared" si="7"/>
        <v>#N/A</v>
      </c>
      <c r="S103" s="33" t="e">
        <f t="shared" si="8"/>
        <v>#N/A</v>
      </c>
    </row>
    <row r="104" spans="12:19" x14ac:dyDescent="0.25">
      <c r="L104" s="7" t="e">
        <f>VLOOKUP(A104,'3121% SY'!A:M,'3121% SY'!$M$1,FALSE)</f>
        <v>#N/A</v>
      </c>
      <c r="M104" s="161" t="e">
        <f t="shared" si="5"/>
        <v>#N/A</v>
      </c>
      <c r="N104" s="33" t="e">
        <f t="shared" si="6"/>
        <v>#N/A</v>
      </c>
      <c r="R104" s="161" t="e">
        <f t="shared" si="7"/>
        <v>#N/A</v>
      </c>
      <c r="S104" s="33" t="e">
        <f t="shared" si="8"/>
        <v>#N/A</v>
      </c>
    </row>
    <row r="105" spans="12:19" x14ac:dyDescent="0.25">
      <c r="L105" s="7" t="e">
        <f>VLOOKUP(A105,'3121% SY'!A:M,'3121% SY'!$M$1,FALSE)</f>
        <v>#N/A</v>
      </c>
      <c r="M105" s="161" t="e">
        <f t="shared" si="5"/>
        <v>#N/A</v>
      </c>
      <c r="N105" s="33" t="e">
        <f t="shared" si="6"/>
        <v>#N/A</v>
      </c>
      <c r="R105" s="161" t="e">
        <f t="shared" si="7"/>
        <v>#N/A</v>
      </c>
      <c r="S105" s="33" t="e">
        <f t="shared" si="8"/>
        <v>#N/A</v>
      </c>
    </row>
    <row r="106" spans="12:19" x14ac:dyDescent="0.25">
      <c r="L106" s="7" t="e">
        <f>VLOOKUP(A106,'3121% SY'!A:M,'3121% SY'!$M$1,FALSE)</f>
        <v>#N/A</v>
      </c>
      <c r="M106" s="161" t="e">
        <f t="shared" si="5"/>
        <v>#N/A</v>
      </c>
      <c r="N106" s="33" t="e">
        <f t="shared" si="6"/>
        <v>#N/A</v>
      </c>
      <c r="R106" s="161" t="e">
        <f t="shared" si="7"/>
        <v>#N/A</v>
      </c>
      <c r="S106" s="33" t="e">
        <f t="shared" si="8"/>
        <v>#N/A</v>
      </c>
    </row>
    <row r="107" spans="12:19" x14ac:dyDescent="0.25">
      <c r="L107" s="7" t="e">
        <f>VLOOKUP(A107,'3121% SY'!A:M,'3121% SY'!$M$1,FALSE)</f>
        <v>#N/A</v>
      </c>
      <c r="M107" s="161" t="e">
        <f t="shared" si="5"/>
        <v>#N/A</v>
      </c>
      <c r="N107" s="33" t="e">
        <f t="shared" si="6"/>
        <v>#N/A</v>
      </c>
      <c r="R107" s="161" t="e">
        <f t="shared" si="7"/>
        <v>#N/A</v>
      </c>
      <c r="S107" s="33" t="e">
        <f t="shared" si="8"/>
        <v>#N/A</v>
      </c>
    </row>
    <row r="108" spans="12:19" x14ac:dyDescent="0.25">
      <c r="L108" s="7" t="e">
        <f>VLOOKUP(A108,'3121% SY'!A:M,'3121% SY'!$M$1,FALSE)</f>
        <v>#N/A</v>
      </c>
      <c r="M108" s="161" t="e">
        <f t="shared" si="5"/>
        <v>#N/A</v>
      </c>
      <c r="N108" s="33" t="e">
        <f t="shared" si="6"/>
        <v>#N/A</v>
      </c>
      <c r="R108" s="161" t="e">
        <f t="shared" si="7"/>
        <v>#N/A</v>
      </c>
      <c r="S108" s="33" t="e">
        <f t="shared" si="8"/>
        <v>#N/A</v>
      </c>
    </row>
    <row r="109" spans="12:19" x14ac:dyDescent="0.25">
      <c r="L109" s="7" t="e">
        <f>VLOOKUP(A109,'3121% SY'!A:M,'3121% SY'!$M$1,FALSE)</f>
        <v>#N/A</v>
      </c>
      <c r="M109" s="161" t="e">
        <f t="shared" si="5"/>
        <v>#N/A</v>
      </c>
      <c r="N109" s="33" t="e">
        <f t="shared" si="6"/>
        <v>#N/A</v>
      </c>
      <c r="R109" s="161" t="e">
        <f t="shared" si="7"/>
        <v>#N/A</v>
      </c>
      <c r="S109" s="33" t="e">
        <f t="shared" si="8"/>
        <v>#N/A</v>
      </c>
    </row>
    <row r="110" spans="12:19" x14ac:dyDescent="0.25">
      <c r="L110" s="7" t="e">
        <f>VLOOKUP(A110,'3121% SY'!A:M,'3121% SY'!$M$1,FALSE)</f>
        <v>#N/A</v>
      </c>
      <c r="M110" s="161" t="e">
        <f t="shared" si="5"/>
        <v>#N/A</v>
      </c>
      <c r="N110" s="33" t="e">
        <f t="shared" si="6"/>
        <v>#N/A</v>
      </c>
      <c r="R110" s="161" t="e">
        <f t="shared" si="7"/>
        <v>#N/A</v>
      </c>
      <c r="S110" s="33" t="e">
        <f t="shared" si="8"/>
        <v>#N/A</v>
      </c>
    </row>
    <row r="111" spans="12:19" x14ac:dyDescent="0.25">
      <c r="L111" s="7" t="e">
        <f>VLOOKUP(A111,'3121% SY'!A:M,'3121% SY'!$M$1,FALSE)</f>
        <v>#N/A</v>
      </c>
      <c r="M111" s="161" t="e">
        <f t="shared" si="5"/>
        <v>#N/A</v>
      </c>
      <c r="N111" s="33" t="e">
        <f t="shared" si="6"/>
        <v>#N/A</v>
      </c>
      <c r="R111" s="161" t="e">
        <f t="shared" si="7"/>
        <v>#N/A</v>
      </c>
      <c r="S111" s="33" t="e">
        <f t="shared" si="8"/>
        <v>#N/A</v>
      </c>
    </row>
    <row r="112" spans="12:19" x14ac:dyDescent="0.25">
      <c r="L112" s="7" t="e">
        <f>VLOOKUP(A112,'3121% SY'!A:M,'3121% SY'!$M$1,FALSE)</f>
        <v>#N/A</v>
      </c>
      <c r="M112" s="161" t="e">
        <f t="shared" si="5"/>
        <v>#N/A</v>
      </c>
      <c r="N112" s="33" t="e">
        <f t="shared" si="6"/>
        <v>#N/A</v>
      </c>
      <c r="R112" s="161" t="e">
        <f t="shared" si="7"/>
        <v>#N/A</v>
      </c>
      <c r="S112" s="33" t="e">
        <f t="shared" si="8"/>
        <v>#N/A</v>
      </c>
    </row>
    <row r="113" spans="12:19" x14ac:dyDescent="0.25">
      <c r="L113" s="7" t="e">
        <f>VLOOKUP(A113,'3121% SY'!A:M,'3121% SY'!$M$1,FALSE)</f>
        <v>#N/A</v>
      </c>
      <c r="M113" s="161" t="e">
        <f t="shared" si="5"/>
        <v>#N/A</v>
      </c>
      <c r="N113" s="33" t="e">
        <f t="shared" si="6"/>
        <v>#N/A</v>
      </c>
      <c r="R113" s="161" t="e">
        <f t="shared" si="7"/>
        <v>#N/A</v>
      </c>
      <c r="S113" s="33" t="e">
        <f t="shared" si="8"/>
        <v>#N/A</v>
      </c>
    </row>
    <row r="114" spans="12:19" x14ac:dyDescent="0.25">
      <c r="L114" s="7" t="e">
        <f>VLOOKUP(A114,'3121% SY'!A:M,'3121% SY'!$M$1,FALSE)</f>
        <v>#N/A</v>
      </c>
      <c r="M114" s="161" t="e">
        <f t="shared" si="5"/>
        <v>#N/A</v>
      </c>
      <c r="N114" s="33" t="e">
        <f t="shared" si="6"/>
        <v>#N/A</v>
      </c>
      <c r="R114" s="161" t="e">
        <f t="shared" si="7"/>
        <v>#N/A</v>
      </c>
      <c r="S114" s="33" t="e">
        <f t="shared" si="8"/>
        <v>#N/A</v>
      </c>
    </row>
    <row r="115" spans="12:19" x14ac:dyDescent="0.25">
      <c r="L115" s="7" t="e">
        <f>VLOOKUP(A115,'3121% SY'!A:M,'3121% SY'!$M$1,FALSE)</f>
        <v>#N/A</v>
      </c>
      <c r="M115" s="161" t="e">
        <f t="shared" si="5"/>
        <v>#N/A</v>
      </c>
      <c r="N115" s="33" t="e">
        <f t="shared" si="6"/>
        <v>#N/A</v>
      </c>
      <c r="R115" s="161" t="e">
        <f t="shared" si="7"/>
        <v>#N/A</v>
      </c>
      <c r="S115" s="33" t="e">
        <f t="shared" si="8"/>
        <v>#N/A</v>
      </c>
    </row>
    <row r="116" spans="12:19" x14ac:dyDescent="0.25">
      <c r="L116" s="7" t="e">
        <f>VLOOKUP(A116,'3121% SY'!A:M,'3121% SY'!$M$1,FALSE)</f>
        <v>#N/A</v>
      </c>
      <c r="M116" s="161" t="e">
        <f t="shared" si="5"/>
        <v>#N/A</v>
      </c>
      <c r="N116" s="33" t="e">
        <f t="shared" si="6"/>
        <v>#N/A</v>
      </c>
      <c r="R116" s="161" t="e">
        <f t="shared" si="7"/>
        <v>#N/A</v>
      </c>
      <c r="S116" s="33" t="e">
        <f t="shared" si="8"/>
        <v>#N/A</v>
      </c>
    </row>
    <row r="117" spans="12:19" x14ac:dyDescent="0.25">
      <c r="L117" s="7" t="e">
        <f>VLOOKUP(A117,'3121% SY'!A:M,'3121% SY'!$M$1,FALSE)</f>
        <v>#N/A</v>
      </c>
      <c r="M117" s="161" t="e">
        <f t="shared" si="5"/>
        <v>#N/A</v>
      </c>
      <c r="N117" s="33" t="e">
        <f t="shared" si="6"/>
        <v>#N/A</v>
      </c>
      <c r="R117" s="161" t="e">
        <f t="shared" si="7"/>
        <v>#N/A</v>
      </c>
      <c r="S117" s="33" t="e">
        <f t="shared" si="8"/>
        <v>#N/A</v>
      </c>
    </row>
    <row r="118" spans="12:19" x14ac:dyDescent="0.25">
      <c r="L118" s="7" t="e">
        <f>VLOOKUP(A118,'3121% SY'!A:M,'3121% SY'!$M$1,FALSE)</f>
        <v>#N/A</v>
      </c>
      <c r="M118" s="161" t="e">
        <f t="shared" si="5"/>
        <v>#N/A</v>
      </c>
      <c r="N118" s="33" t="e">
        <f t="shared" si="6"/>
        <v>#N/A</v>
      </c>
      <c r="R118" s="161" t="e">
        <f t="shared" si="7"/>
        <v>#N/A</v>
      </c>
      <c r="S118" s="33" t="e">
        <f t="shared" si="8"/>
        <v>#N/A</v>
      </c>
    </row>
    <row r="119" spans="12:19" x14ac:dyDescent="0.25">
      <c r="L119" s="7" t="e">
        <f>VLOOKUP(A119,'3121% SY'!A:M,'3121% SY'!$M$1,FALSE)</f>
        <v>#N/A</v>
      </c>
      <c r="M119" s="161" t="e">
        <f t="shared" si="5"/>
        <v>#N/A</v>
      </c>
      <c r="N119" s="33" t="e">
        <f t="shared" si="6"/>
        <v>#N/A</v>
      </c>
      <c r="R119" s="161" t="e">
        <f t="shared" si="7"/>
        <v>#N/A</v>
      </c>
      <c r="S119" s="33" t="e">
        <f t="shared" si="8"/>
        <v>#N/A</v>
      </c>
    </row>
    <row r="120" spans="12:19" x14ac:dyDescent="0.25">
      <c r="L120" s="7" t="e">
        <f>VLOOKUP(A120,'3121% SY'!A:M,'3121% SY'!$M$1,FALSE)</f>
        <v>#N/A</v>
      </c>
      <c r="M120" s="161" t="e">
        <f t="shared" si="5"/>
        <v>#N/A</v>
      </c>
      <c r="N120" s="33" t="e">
        <f t="shared" si="6"/>
        <v>#N/A</v>
      </c>
      <c r="R120" s="161" t="e">
        <f t="shared" si="7"/>
        <v>#N/A</v>
      </c>
      <c r="S120" s="33" t="e">
        <f t="shared" si="8"/>
        <v>#N/A</v>
      </c>
    </row>
    <row r="121" spans="12:19" x14ac:dyDescent="0.25">
      <c r="L121" s="7" t="e">
        <f>VLOOKUP(A121,'3121% SY'!A:M,'3121% SY'!$M$1,FALSE)</f>
        <v>#N/A</v>
      </c>
      <c r="M121" s="161" t="e">
        <f t="shared" si="5"/>
        <v>#N/A</v>
      </c>
      <c r="N121" s="33" t="e">
        <f t="shared" si="6"/>
        <v>#N/A</v>
      </c>
      <c r="R121" s="161" t="e">
        <f t="shared" si="7"/>
        <v>#N/A</v>
      </c>
      <c r="S121" s="33" t="e">
        <f t="shared" si="8"/>
        <v>#N/A</v>
      </c>
    </row>
    <row r="122" spans="12:19" x14ac:dyDescent="0.25">
      <c r="L122" s="7" t="e">
        <f>VLOOKUP(A122,'3121% SY'!A:M,'3121% SY'!$M$1,FALSE)</f>
        <v>#N/A</v>
      </c>
      <c r="M122" s="161" t="e">
        <f t="shared" si="5"/>
        <v>#N/A</v>
      </c>
      <c r="N122" s="33" t="e">
        <f t="shared" si="6"/>
        <v>#N/A</v>
      </c>
      <c r="R122" s="161" t="e">
        <f t="shared" si="7"/>
        <v>#N/A</v>
      </c>
      <c r="S122" s="33" t="e">
        <f t="shared" si="8"/>
        <v>#N/A</v>
      </c>
    </row>
    <row r="123" spans="12:19" x14ac:dyDescent="0.25">
      <c r="L123" s="7" t="e">
        <f>VLOOKUP(A123,'3121% SY'!A:M,'3121% SY'!$M$1,FALSE)</f>
        <v>#N/A</v>
      </c>
      <c r="M123" s="161" t="e">
        <f t="shared" si="5"/>
        <v>#N/A</v>
      </c>
      <c r="N123" s="33" t="e">
        <f t="shared" si="6"/>
        <v>#N/A</v>
      </c>
      <c r="R123" s="161" t="e">
        <f t="shared" ref="R123:R131" si="9">ROUND(Q123*$L123,3)</f>
        <v>#N/A</v>
      </c>
      <c r="S123" s="33" t="e">
        <f t="shared" ref="S123:S131" si="10">SUM(R123,O123:P123)</f>
        <v>#N/A</v>
      </c>
    </row>
    <row r="124" spans="12:19" x14ac:dyDescent="0.25">
      <c r="L124" s="7" t="e">
        <f>VLOOKUP(A124,'3121% SY'!A:M,'3121% SY'!$M$1,FALSE)</f>
        <v>#N/A</v>
      </c>
      <c r="M124" s="161" t="e">
        <f t="shared" si="5"/>
        <v>#N/A</v>
      </c>
      <c r="N124" s="33" t="e">
        <f t="shared" si="6"/>
        <v>#N/A</v>
      </c>
      <c r="R124" s="161" t="e">
        <f t="shared" si="9"/>
        <v>#N/A</v>
      </c>
      <c r="S124" s="33" t="e">
        <f t="shared" si="10"/>
        <v>#N/A</v>
      </c>
    </row>
    <row r="125" spans="12:19" x14ac:dyDescent="0.25">
      <c r="L125" s="7" t="e">
        <f>VLOOKUP(A125,'3121% SY'!A:M,'3121% SY'!$M$1,FALSE)</f>
        <v>#N/A</v>
      </c>
      <c r="M125" s="161" t="e">
        <f t="shared" si="5"/>
        <v>#N/A</v>
      </c>
      <c r="N125" s="33" t="e">
        <f t="shared" si="6"/>
        <v>#N/A</v>
      </c>
      <c r="R125" s="161" t="e">
        <f t="shared" si="9"/>
        <v>#N/A</v>
      </c>
      <c r="S125" s="33" t="e">
        <f t="shared" si="10"/>
        <v>#N/A</v>
      </c>
    </row>
    <row r="126" spans="12:19" x14ac:dyDescent="0.25">
      <c r="L126" s="7" t="e">
        <f>VLOOKUP(A126,'3121% SY'!A:M,'3121% SY'!$M$1,FALSE)</f>
        <v>#N/A</v>
      </c>
      <c r="M126" s="161" t="e">
        <f t="shared" si="5"/>
        <v>#N/A</v>
      </c>
      <c r="N126" s="33" t="e">
        <f t="shared" si="6"/>
        <v>#N/A</v>
      </c>
      <c r="R126" s="161" t="e">
        <f t="shared" si="9"/>
        <v>#N/A</v>
      </c>
      <c r="S126" s="33" t="e">
        <f t="shared" si="10"/>
        <v>#N/A</v>
      </c>
    </row>
    <row r="127" spans="12:19" x14ac:dyDescent="0.25">
      <c r="L127" s="7" t="e">
        <f>VLOOKUP(A127,'3121% SY'!A:M,'3121% SY'!$M$1,FALSE)</f>
        <v>#N/A</v>
      </c>
      <c r="M127" s="161" t="e">
        <f t="shared" si="5"/>
        <v>#N/A</v>
      </c>
      <c r="N127" s="33" t="e">
        <f t="shared" si="6"/>
        <v>#N/A</v>
      </c>
      <c r="R127" s="161" t="e">
        <f t="shared" si="9"/>
        <v>#N/A</v>
      </c>
      <c r="S127" s="33" t="e">
        <f t="shared" si="10"/>
        <v>#N/A</v>
      </c>
    </row>
    <row r="128" spans="12:19" x14ac:dyDescent="0.25">
      <c r="L128" s="7" t="e">
        <f>VLOOKUP(A128,'3121% SY'!A:M,'3121% SY'!$M$1,FALSE)</f>
        <v>#N/A</v>
      </c>
      <c r="M128" s="161" t="e">
        <f t="shared" si="5"/>
        <v>#N/A</v>
      </c>
      <c r="N128" s="33" t="e">
        <f t="shared" si="6"/>
        <v>#N/A</v>
      </c>
      <c r="R128" s="161" t="e">
        <f t="shared" si="9"/>
        <v>#N/A</v>
      </c>
      <c r="S128" s="33" t="e">
        <f t="shared" si="10"/>
        <v>#N/A</v>
      </c>
    </row>
    <row r="129" spans="12:19" x14ac:dyDescent="0.25">
      <c r="L129" s="7" t="e">
        <f>VLOOKUP(A129,'3121% SY'!A:M,'3121% SY'!$M$1,FALSE)</f>
        <v>#N/A</v>
      </c>
      <c r="M129" s="161" t="e">
        <f t="shared" si="5"/>
        <v>#N/A</v>
      </c>
      <c r="N129" s="33" t="e">
        <f t="shared" si="6"/>
        <v>#N/A</v>
      </c>
      <c r="R129" s="161" t="e">
        <f t="shared" si="9"/>
        <v>#N/A</v>
      </c>
      <c r="S129" s="33" t="e">
        <f t="shared" si="10"/>
        <v>#N/A</v>
      </c>
    </row>
    <row r="130" spans="12:19" x14ac:dyDescent="0.25">
      <c r="L130" s="7" t="e">
        <f>VLOOKUP(A130,'3121% SY'!A:M,'3121% SY'!$M$1,FALSE)</f>
        <v>#N/A</v>
      </c>
      <c r="M130" s="161" t="e">
        <f t="shared" si="5"/>
        <v>#N/A</v>
      </c>
      <c r="N130" s="33" t="e">
        <f t="shared" si="6"/>
        <v>#N/A</v>
      </c>
      <c r="R130" s="161" t="e">
        <f t="shared" si="9"/>
        <v>#N/A</v>
      </c>
      <c r="S130" s="33" t="e">
        <f t="shared" si="10"/>
        <v>#N/A</v>
      </c>
    </row>
    <row r="131" spans="12:19" x14ac:dyDescent="0.25">
      <c r="L131" s="7" t="e">
        <f>VLOOKUP(A131,'3121% SY'!A:M,'3121% SY'!$M$1,FALSE)</f>
        <v>#N/A</v>
      </c>
      <c r="M131" s="161" t="e">
        <f t="shared" si="5"/>
        <v>#N/A</v>
      </c>
      <c r="N131" s="33" t="e">
        <f t="shared" si="6"/>
        <v>#N/A</v>
      </c>
      <c r="R131" s="161" t="e">
        <f t="shared" si="9"/>
        <v>#N/A</v>
      </c>
      <c r="S131" s="33" t="e">
        <f t="shared" si="10"/>
        <v>#N/A</v>
      </c>
    </row>
    <row r="132" spans="12:19" x14ac:dyDescent="0.25">
      <c r="L132" s="7" t="e">
        <f>VLOOKUP(A132,'3121% SY'!A:M,'3121% SY'!$M$1,FALSE)</f>
        <v>#N/A</v>
      </c>
      <c r="M132" s="161" t="e">
        <f t="shared" si="5"/>
        <v>#N/A</v>
      </c>
      <c r="N132" s="33" t="e">
        <f t="shared" si="6"/>
        <v>#N/A</v>
      </c>
      <c r="R132" s="161" t="e">
        <f t="shared" ref="R132:R151" si="11">ROUND(Q132*$L132,3)</f>
        <v>#N/A</v>
      </c>
      <c r="S132" s="33" t="e">
        <f t="shared" ref="S132:S151" si="12">SUM(R132,O132:P132)</f>
        <v>#N/A</v>
      </c>
    </row>
    <row r="133" spans="12:19" x14ac:dyDescent="0.25">
      <c r="L133" s="7" t="e">
        <f>VLOOKUP(A133,'3121% SY'!A:M,'3121% SY'!$M$1,FALSE)</f>
        <v>#N/A</v>
      </c>
      <c r="M133" s="161" t="e">
        <f t="shared" ref="M133:M151" si="13">ROUND(I133*$L133,3)+ROUND(J133*$L133,3)++ROUND(K133*$L133,3)</f>
        <v>#N/A</v>
      </c>
      <c r="N133" s="33" t="e">
        <f t="shared" ref="N133:N151" si="14">SUM(M133,B133:H133)</f>
        <v>#N/A</v>
      </c>
      <c r="R133" s="161" t="e">
        <f t="shared" si="11"/>
        <v>#N/A</v>
      </c>
      <c r="S133" s="33" t="e">
        <f t="shared" si="12"/>
        <v>#N/A</v>
      </c>
    </row>
    <row r="134" spans="12:19" x14ac:dyDescent="0.25">
      <c r="L134" s="7" t="e">
        <f>VLOOKUP(A134,'3121% SY'!A:M,'3121% SY'!$M$1,FALSE)</f>
        <v>#N/A</v>
      </c>
      <c r="M134" s="161" t="e">
        <f t="shared" si="13"/>
        <v>#N/A</v>
      </c>
      <c r="N134" s="33" t="e">
        <f t="shared" si="14"/>
        <v>#N/A</v>
      </c>
      <c r="R134" s="161" t="e">
        <f t="shared" si="11"/>
        <v>#N/A</v>
      </c>
      <c r="S134" s="33" t="e">
        <f t="shared" si="12"/>
        <v>#N/A</v>
      </c>
    </row>
    <row r="135" spans="12:19" x14ac:dyDescent="0.25">
      <c r="L135" s="7" t="e">
        <f>VLOOKUP(A135,'3121% SY'!A:M,'3121% SY'!$M$1,FALSE)</f>
        <v>#N/A</v>
      </c>
      <c r="M135" s="161" t="e">
        <f t="shared" si="13"/>
        <v>#N/A</v>
      </c>
      <c r="N135" s="33" t="e">
        <f t="shared" si="14"/>
        <v>#N/A</v>
      </c>
      <c r="R135" s="161" t="e">
        <f t="shared" si="11"/>
        <v>#N/A</v>
      </c>
      <c r="S135" s="33" t="e">
        <f t="shared" si="12"/>
        <v>#N/A</v>
      </c>
    </row>
    <row r="136" spans="12:19" x14ac:dyDescent="0.25">
      <c r="L136" s="7" t="e">
        <f>VLOOKUP(A136,'3121% SY'!A:M,'3121% SY'!$M$1,FALSE)</f>
        <v>#N/A</v>
      </c>
      <c r="M136" s="161" t="e">
        <f t="shared" si="13"/>
        <v>#N/A</v>
      </c>
      <c r="N136" s="33" t="e">
        <f t="shared" si="14"/>
        <v>#N/A</v>
      </c>
      <c r="R136" s="161" t="e">
        <f t="shared" si="11"/>
        <v>#N/A</v>
      </c>
      <c r="S136" s="33" t="e">
        <f t="shared" si="12"/>
        <v>#N/A</v>
      </c>
    </row>
    <row r="137" spans="12:19" x14ac:dyDescent="0.25">
      <c r="L137" s="7" t="e">
        <f>VLOOKUP(A137,'3121% SY'!A:M,'3121% SY'!$M$1,FALSE)</f>
        <v>#N/A</v>
      </c>
      <c r="M137" s="161" t="e">
        <f t="shared" si="13"/>
        <v>#N/A</v>
      </c>
      <c r="N137" s="33" t="e">
        <f t="shared" si="14"/>
        <v>#N/A</v>
      </c>
      <c r="R137" s="161" t="e">
        <f t="shared" si="11"/>
        <v>#N/A</v>
      </c>
      <c r="S137" s="33" t="e">
        <f t="shared" si="12"/>
        <v>#N/A</v>
      </c>
    </row>
    <row r="138" spans="12:19" x14ac:dyDescent="0.25">
      <c r="L138" s="7" t="e">
        <f>VLOOKUP(A138,'3121% SY'!A:M,'3121% SY'!$M$1,FALSE)</f>
        <v>#N/A</v>
      </c>
      <c r="M138" s="161" t="e">
        <f t="shared" si="13"/>
        <v>#N/A</v>
      </c>
      <c r="N138" s="33" t="e">
        <f t="shared" si="14"/>
        <v>#N/A</v>
      </c>
      <c r="R138" s="161" t="e">
        <f t="shared" si="11"/>
        <v>#N/A</v>
      </c>
      <c r="S138" s="33" t="e">
        <f t="shared" si="12"/>
        <v>#N/A</v>
      </c>
    </row>
    <row r="139" spans="12:19" x14ac:dyDescent="0.25">
      <c r="L139" s="7" t="e">
        <f>VLOOKUP(A139,'3121% SY'!A:M,'3121% SY'!$M$1,FALSE)</f>
        <v>#N/A</v>
      </c>
      <c r="M139" s="161" t="e">
        <f t="shared" si="13"/>
        <v>#N/A</v>
      </c>
      <c r="N139" s="33" t="e">
        <f t="shared" si="14"/>
        <v>#N/A</v>
      </c>
      <c r="R139" s="161" t="e">
        <f t="shared" si="11"/>
        <v>#N/A</v>
      </c>
      <c r="S139" s="33" t="e">
        <f t="shared" si="12"/>
        <v>#N/A</v>
      </c>
    </row>
    <row r="140" spans="12:19" x14ac:dyDescent="0.25">
      <c r="L140" s="7" t="e">
        <f>VLOOKUP(A140,'3121% SY'!A:M,'3121% SY'!$M$1,FALSE)</f>
        <v>#N/A</v>
      </c>
      <c r="M140" s="161" t="e">
        <f t="shared" si="13"/>
        <v>#N/A</v>
      </c>
      <c r="N140" s="33" t="e">
        <f t="shared" si="14"/>
        <v>#N/A</v>
      </c>
      <c r="R140" s="161" t="e">
        <f t="shared" si="11"/>
        <v>#N/A</v>
      </c>
      <c r="S140" s="33" t="e">
        <f t="shared" si="12"/>
        <v>#N/A</v>
      </c>
    </row>
    <row r="141" spans="12:19" x14ac:dyDescent="0.25">
      <c r="L141" s="7" t="e">
        <f>VLOOKUP(A141,'3121% SY'!A:M,'3121% SY'!$M$1,FALSE)</f>
        <v>#N/A</v>
      </c>
      <c r="M141" s="161" t="e">
        <f t="shared" si="13"/>
        <v>#N/A</v>
      </c>
      <c r="N141" s="33" t="e">
        <f t="shared" si="14"/>
        <v>#N/A</v>
      </c>
      <c r="R141" s="161" t="e">
        <f t="shared" si="11"/>
        <v>#N/A</v>
      </c>
      <c r="S141" s="33" t="e">
        <f t="shared" si="12"/>
        <v>#N/A</v>
      </c>
    </row>
    <row r="142" spans="12:19" x14ac:dyDescent="0.25">
      <c r="L142" s="7" t="e">
        <f>VLOOKUP(A142,'3121% SY'!A:M,'3121% SY'!$M$1,FALSE)</f>
        <v>#N/A</v>
      </c>
      <c r="M142" s="161" t="e">
        <f t="shared" si="13"/>
        <v>#N/A</v>
      </c>
      <c r="N142" s="33" t="e">
        <f t="shared" si="14"/>
        <v>#N/A</v>
      </c>
      <c r="R142" s="161" t="e">
        <f t="shared" si="11"/>
        <v>#N/A</v>
      </c>
      <c r="S142" s="33" t="e">
        <f t="shared" si="12"/>
        <v>#N/A</v>
      </c>
    </row>
    <row r="143" spans="12:19" x14ac:dyDescent="0.25">
      <c r="L143" s="7" t="e">
        <f>VLOOKUP(A143,'3121% SY'!A:M,'3121% SY'!$M$1,FALSE)</f>
        <v>#N/A</v>
      </c>
      <c r="M143" s="161" t="e">
        <f t="shared" si="13"/>
        <v>#N/A</v>
      </c>
      <c r="N143" s="33" t="e">
        <f t="shared" si="14"/>
        <v>#N/A</v>
      </c>
      <c r="R143" s="161" t="e">
        <f t="shared" si="11"/>
        <v>#N/A</v>
      </c>
      <c r="S143" s="33" t="e">
        <f t="shared" si="12"/>
        <v>#N/A</v>
      </c>
    </row>
    <row r="144" spans="12:19" x14ac:dyDescent="0.25">
      <c r="L144" s="7" t="e">
        <f>VLOOKUP(A144,'3121% SY'!A:M,'3121% SY'!$M$1,FALSE)</f>
        <v>#N/A</v>
      </c>
      <c r="M144" s="161" t="e">
        <f t="shared" si="13"/>
        <v>#N/A</v>
      </c>
      <c r="N144" s="33" t="e">
        <f t="shared" si="14"/>
        <v>#N/A</v>
      </c>
      <c r="R144" s="161" t="e">
        <f t="shared" si="11"/>
        <v>#N/A</v>
      </c>
      <c r="S144" s="33" t="e">
        <f t="shared" si="12"/>
        <v>#N/A</v>
      </c>
    </row>
    <row r="145" spans="12:19" x14ac:dyDescent="0.25">
      <c r="L145" s="7" t="e">
        <f>VLOOKUP(A145,'3121% SY'!A:M,'3121% SY'!$M$1,FALSE)</f>
        <v>#N/A</v>
      </c>
      <c r="M145" s="161" t="e">
        <f t="shared" si="13"/>
        <v>#N/A</v>
      </c>
      <c r="N145" s="33" t="e">
        <f t="shared" si="14"/>
        <v>#N/A</v>
      </c>
      <c r="R145" s="161" t="e">
        <f t="shared" si="11"/>
        <v>#N/A</v>
      </c>
      <c r="S145" s="33" t="e">
        <f t="shared" si="12"/>
        <v>#N/A</v>
      </c>
    </row>
    <row r="146" spans="12:19" x14ac:dyDescent="0.25">
      <c r="L146" s="7" t="e">
        <f>VLOOKUP(A146,'3121% SY'!A:M,'3121% SY'!$M$1,FALSE)</f>
        <v>#N/A</v>
      </c>
      <c r="M146" s="161" t="e">
        <f t="shared" si="13"/>
        <v>#N/A</v>
      </c>
      <c r="N146" s="33" t="e">
        <f t="shared" si="14"/>
        <v>#N/A</v>
      </c>
      <c r="R146" s="161" t="e">
        <f t="shared" si="11"/>
        <v>#N/A</v>
      </c>
      <c r="S146" s="33" t="e">
        <f t="shared" si="12"/>
        <v>#N/A</v>
      </c>
    </row>
    <row r="147" spans="12:19" x14ac:dyDescent="0.25">
      <c r="L147" s="7" t="e">
        <f>VLOOKUP(A147,'3121% SY'!A:M,'3121% SY'!$M$1,FALSE)</f>
        <v>#N/A</v>
      </c>
      <c r="M147" s="161" t="e">
        <f t="shared" si="13"/>
        <v>#N/A</v>
      </c>
      <c r="N147" s="33" t="e">
        <f t="shared" si="14"/>
        <v>#N/A</v>
      </c>
      <c r="R147" s="161" t="e">
        <f t="shared" si="11"/>
        <v>#N/A</v>
      </c>
      <c r="S147" s="33" t="e">
        <f t="shared" si="12"/>
        <v>#N/A</v>
      </c>
    </row>
    <row r="148" spans="12:19" x14ac:dyDescent="0.25">
      <c r="L148" s="7" t="e">
        <f>VLOOKUP(A148,'3121% SY'!A:M,'3121% SY'!$M$1,FALSE)</f>
        <v>#N/A</v>
      </c>
      <c r="M148" s="161" t="e">
        <f t="shared" si="13"/>
        <v>#N/A</v>
      </c>
      <c r="N148" s="33" t="e">
        <f t="shared" si="14"/>
        <v>#N/A</v>
      </c>
      <c r="R148" s="161" t="e">
        <f t="shared" si="11"/>
        <v>#N/A</v>
      </c>
      <c r="S148" s="33" t="e">
        <f t="shared" si="12"/>
        <v>#N/A</v>
      </c>
    </row>
    <row r="149" spans="12:19" x14ac:dyDescent="0.25">
      <c r="L149" s="7" t="e">
        <f>VLOOKUP(A149,'3121% SY'!A:M,'3121% SY'!$M$1,FALSE)</f>
        <v>#N/A</v>
      </c>
      <c r="M149" s="161" t="e">
        <f t="shared" si="13"/>
        <v>#N/A</v>
      </c>
      <c r="N149" s="33" t="e">
        <f t="shared" si="14"/>
        <v>#N/A</v>
      </c>
      <c r="R149" s="161" t="e">
        <f t="shared" si="11"/>
        <v>#N/A</v>
      </c>
      <c r="S149" s="33" t="e">
        <f t="shared" si="12"/>
        <v>#N/A</v>
      </c>
    </row>
    <row r="150" spans="12:19" x14ac:dyDescent="0.25">
      <c r="L150" s="7" t="e">
        <f>VLOOKUP(A150,'3121% SY'!A:M,'3121% SY'!$M$1,FALSE)</f>
        <v>#N/A</v>
      </c>
      <c r="M150" s="161" t="e">
        <f t="shared" si="13"/>
        <v>#N/A</v>
      </c>
      <c r="N150" s="33" t="e">
        <f t="shared" si="14"/>
        <v>#N/A</v>
      </c>
      <c r="R150" s="161" t="e">
        <f t="shared" si="11"/>
        <v>#N/A</v>
      </c>
      <c r="S150" s="33" t="e">
        <f t="shared" si="12"/>
        <v>#N/A</v>
      </c>
    </row>
    <row r="151" spans="12:19" x14ac:dyDescent="0.25">
      <c r="L151" s="7" t="e">
        <f>VLOOKUP(A151,'3121% SY'!A:M,'3121% SY'!$M$1,FALSE)</f>
        <v>#N/A</v>
      </c>
      <c r="M151" s="161" t="e">
        <f t="shared" si="13"/>
        <v>#N/A</v>
      </c>
      <c r="N151" s="33" t="e">
        <f t="shared" si="14"/>
        <v>#N/A</v>
      </c>
      <c r="R151" s="161" t="e">
        <f t="shared" si="11"/>
        <v>#N/A</v>
      </c>
      <c r="S151" s="33" t="e">
        <f t="shared" si="12"/>
        <v>#N/A</v>
      </c>
    </row>
  </sheetData>
  <mergeCells count="1">
    <mergeCell ref="B2:H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4744B-BFCB-41E2-99CB-B82AE29B59D5}">
  <sheetPr codeName="Sheet32"/>
  <dimension ref="A1:T151"/>
  <sheetViews>
    <sheetView workbookViewId="0">
      <selection activeCell="L4" sqref="L4:L151"/>
    </sheetView>
  </sheetViews>
  <sheetFormatPr defaultRowHeight="15" x14ac:dyDescent="0.25"/>
  <cols>
    <col min="1" max="1" width="13.140625" bestFit="1" customWidth="1"/>
    <col min="2" max="2" width="12.7109375" bestFit="1" customWidth="1"/>
    <col min="3" max="3" width="13.7109375" bestFit="1" customWidth="1"/>
    <col min="4" max="4" width="13.140625" bestFit="1" customWidth="1"/>
    <col min="5" max="6" width="14.85546875" bestFit="1" customWidth="1"/>
    <col min="7" max="7" width="15.7109375" bestFit="1" customWidth="1"/>
    <col min="8" max="8" width="15.140625" bestFit="1" customWidth="1"/>
    <col min="9" max="9" width="14.85546875" bestFit="1" customWidth="1"/>
    <col min="10" max="10" width="15.7109375" bestFit="1" customWidth="1"/>
    <col min="11" max="11" width="15.140625" bestFit="1" customWidth="1"/>
    <col min="12" max="12" width="12.7109375" bestFit="1" customWidth="1"/>
    <col min="13" max="13" width="17.42578125" bestFit="1" customWidth="1"/>
    <col min="14" max="14" width="12.7109375" bestFit="1" customWidth="1"/>
    <col min="15" max="16" width="16" bestFit="1" customWidth="1"/>
    <col min="17" max="17" width="13.5703125" bestFit="1" customWidth="1"/>
    <col min="18" max="18" width="12.7109375" bestFit="1" customWidth="1"/>
    <col min="19" max="19" width="21" bestFit="1" customWidth="1"/>
    <col min="20" max="43" width="12.7109375" bestFit="1" customWidth="1"/>
  </cols>
  <sheetData>
    <row r="1" spans="1:20" x14ac:dyDescent="0.25">
      <c r="A1" s="87">
        <f>COLUMN(A1)</f>
        <v>1</v>
      </c>
      <c r="B1" s="87">
        <f>COLUMN(B1)</f>
        <v>2</v>
      </c>
      <c r="C1" s="87">
        <f t="shared" ref="C1:S1" si="0">COLUMN(C1)</f>
        <v>3</v>
      </c>
      <c r="D1" s="87">
        <f t="shared" si="0"/>
        <v>4</v>
      </c>
      <c r="E1" s="87">
        <f t="shared" si="0"/>
        <v>5</v>
      </c>
      <c r="F1" s="87">
        <f t="shared" si="0"/>
        <v>6</v>
      </c>
      <c r="G1" s="87">
        <f t="shared" si="0"/>
        <v>7</v>
      </c>
      <c r="H1" s="87">
        <f t="shared" si="0"/>
        <v>8</v>
      </c>
      <c r="I1" s="87">
        <f t="shared" si="0"/>
        <v>9</v>
      </c>
      <c r="J1" s="87">
        <f t="shared" si="0"/>
        <v>10</v>
      </c>
      <c r="K1" s="87">
        <f t="shared" si="0"/>
        <v>11</v>
      </c>
      <c r="L1" s="87">
        <f t="shared" si="0"/>
        <v>12</v>
      </c>
      <c r="M1" s="87">
        <f t="shared" si="0"/>
        <v>13</v>
      </c>
      <c r="N1" s="87">
        <f t="shared" si="0"/>
        <v>14</v>
      </c>
      <c r="O1" s="87">
        <f t="shared" si="0"/>
        <v>15</v>
      </c>
      <c r="P1" s="87">
        <f t="shared" si="0"/>
        <v>16</v>
      </c>
      <c r="Q1" s="87">
        <f t="shared" si="0"/>
        <v>17</v>
      </c>
      <c r="R1" s="87">
        <f t="shared" si="0"/>
        <v>18</v>
      </c>
      <c r="S1" s="87">
        <f t="shared" si="0"/>
        <v>19</v>
      </c>
      <c r="T1" s="87"/>
    </row>
    <row r="2" spans="1:20" x14ac:dyDescent="0.25">
      <c r="A2">
        <f>COUNTA(A4:A150)</f>
        <v>24</v>
      </c>
      <c r="B2" s="290" t="s">
        <v>1055</v>
      </c>
      <c r="C2" s="290"/>
      <c r="D2" s="290"/>
      <c r="E2" s="290"/>
      <c r="F2" s="290"/>
      <c r="G2" s="290"/>
      <c r="H2" s="290"/>
      <c r="I2" s="156"/>
      <c r="J2" s="156"/>
      <c r="K2" s="156"/>
      <c r="M2">
        <f>ROUND(I6*$L6,3)</f>
        <v>0.41099999999999998</v>
      </c>
      <c r="N2" s="33" t="e">
        <f>SUM(N5:N150)</f>
        <v>#N/A</v>
      </c>
    </row>
    <row r="3" spans="1:20" x14ac:dyDescent="0.25">
      <c r="A3" s="91" t="s">
        <v>752</v>
      </c>
      <c r="B3" t="s">
        <v>789</v>
      </c>
      <c r="C3" t="s">
        <v>829</v>
      </c>
      <c r="D3" t="s">
        <v>870</v>
      </c>
      <c r="E3" t="s">
        <v>1135</v>
      </c>
      <c r="F3" t="s">
        <v>802</v>
      </c>
      <c r="G3" t="s">
        <v>842</v>
      </c>
      <c r="H3" t="s">
        <v>883</v>
      </c>
      <c r="I3" t="s">
        <v>815</v>
      </c>
      <c r="J3" t="s">
        <v>856</v>
      </c>
      <c r="K3" t="s">
        <v>895</v>
      </c>
      <c r="L3" s="6">
        <v>31.21</v>
      </c>
      <c r="M3" t="str">
        <f>"SpEd Staffed "&amp;$B$2</f>
        <v>SpEd Staffed Speech, Lang Path / Audio</v>
      </c>
      <c r="N3" s="162" t="str">
        <f>"Total "&amp;$B$2</f>
        <v>Total Speech, Lang Path / Audio</v>
      </c>
      <c r="O3" t="s">
        <v>1062</v>
      </c>
      <c r="P3" t="s">
        <v>1063</v>
      </c>
      <c r="Q3" t="s">
        <v>1061</v>
      </c>
      <c r="R3" t="str">
        <f>"SpEd Contracted "&amp;$B$2</f>
        <v>SpEd Contracted Speech, Lang Path / Audio</v>
      </c>
      <c r="S3" s="162" t="str">
        <f>"Total Contracted "&amp;$B$2</f>
        <v>Total Contracted Speech, Lang Path / Audio</v>
      </c>
    </row>
    <row r="4" spans="1:20" x14ac:dyDescent="0.25">
      <c r="A4" s="88" t="s">
        <v>7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3.2000000000000001E-2</v>
      </c>
      <c r="J4">
        <v>3.1E-2</v>
      </c>
      <c r="K4">
        <v>3.1E-2</v>
      </c>
      <c r="L4" s="7">
        <f>VLOOKUP(A4,'3121% SY'!A:M,'3121% SY'!$M$1,FALSE)</f>
        <v>0.1179</v>
      </c>
      <c r="M4" s="161">
        <f>ROUND(I4*$L4,3)+ROUND(J4*$L4,3)++ROUND(K4*$L4,3)</f>
        <v>1.2E-2</v>
      </c>
      <c r="N4" s="33">
        <f>SUM(M4,B4:H4)</f>
        <v>1.2E-2</v>
      </c>
      <c r="R4" s="161">
        <f>ROUND(Q4*$L4,3)</f>
        <v>0</v>
      </c>
      <c r="S4" s="33">
        <f>SUM(R4,O4:P4)</f>
        <v>0</v>
      </c>
    </row>
    <row r="5" spans="1:20" x14ac:dyDescent="0.25">
      <c r="A5" s="88" t="s">
        <v>40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7">
        <f>VLOOKUP(A5,'3121% SY'!A:M,'3121% SY'!$M$1,FALSE)</f>
        <v>0.1794</v>
      </c>
      <c r="M5" s="161">
        <f t="shared" ref="M5:M68" si="1">ROUND(I5*$L5,3)+ROUND(J5*$L5,3)++ROUND(K5*$L5,3)</f>
        <v>0</v>
      </c>
      <c r="N5" s="33">
        <f t="shared" ref="N5:N68" si="2">SUM(M5,B5:H5)</f>
        <v>0</v>
      </c>
      <c r="R5" s="161">
        <f t="shared" ref="R5:R68" si="3">ROUND(Q5*$L5,3)</f>
        <v>0</v>
      </c>
      <c r="S5" s="33">
        <f t="shared" ref="S5:S68" si="4">SUM(R5,O5:P5)</f>
        <v>0</v>
      </c>
    </row>
    <row r="6" spans="1:20" x14ac:dyDescent="0.25">
      <c r="A6" s="88" t="s">
        <v>61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1.667</v>
      </c>
      <c r="J6">
        <v>0</v>
      </c>
      <c r="K6">
        <v>0.33300000000000002</v>
      </c>
      <c r="L6" s="7">
        <f>VLOOKUP(A6,'3121% SY'!A:M,'3121% SY'!$M$1,FALSE)</f>
        <v>0.24629999999999996</v>
      </c>
      <c r="M6" s="161">
        <f>ROUND(I6*$L6,3)+ROUND(J6*$L6,3)++ROUND(K6*$L6,3)</f>
        <v>0.49299999999999999</v>
      </c>
      <c r="N6" s="33">
        <f>SUM(M6,B6:H6)</f>
        <v>0.49299999999999999</v>
      </c>
      <c r="R6" s="161">
        <f t="shared" si="3"/>
        <v>0</v>
      </c>
      <c r="S6" s="33">
        <f t="shared" si="4"/>
        <v>0</v>
      </c>
    </row>
    <row r="7" spans="1:20" x14ac:dyDescent="0.25">
      <c r="A7" s="88" t="s">
        <v>78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0.35399999999999998</v>
      </c>
      <c r="J7">
        <v>9.6000000000000002E-2</v>
      </c>
      <c r="K7">
        <v>0</v>
      </c>
      <c r="L7" s="7">
        <f>VLOOKUP(A7,'3121% SY'!A:M,'3121% SY'!$M$1,FALSE)</f>
        <v>0.17600000000000005</v>
      </c>
      <c r="M7" s="161">
        <f t="shared" si="1"/>
        <v>7.9000000000000001E-2</v>
      </c>
      <c r="N7" s="33">
        <f t="shared" si="2"/>
        <v>7.9000000000000001E-2</v>
      </c>
      <c r="R7" s="161">
        <f t="shared" si="3"/>
        <v>0</v>
      </c>
      <c r="S7" s="33">
        <f t="shared" si="4"/>
        <v>0</v>
      </c>
    </row>
    <row r="8" spans="1:20" x14ac:dyDescent="0.25">
      <c r="A8" s="88" t="s">
        <v>84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0.20599999999999999</v>
      </c>
      <c r="J8">
        <v>0</v>
      </c>
      <c r="K8">
        <v>0</v>
      </c>
      <c r="L8" s="7">
        <f>VLOOKUP(A8,'3121% SY'!A:M,'3121% SY'!$M$1,FALSE)</f>
        <v>8.9999999999999969E-2</v>
      </c>
      <c r="M8" s="161">
        <f t="shared" si="1"/>
        <v>1.9E-2</v>
      </c>
      <c r="N8" s="33">
        <f t="shared" si="2"/>
        <v>1.9E-2</v>
      </c>
      <c r="R8" s="161">
        <f t="shared" si="3"/>
        <v>0</v>
      </c>
      <c r="S8" s="33">
        <f t="shared" si="4"/>
        <v>0</v>
      </c>
    </row>
    <row r="9" spans="1:20" x14ac:dyDescent="0.25">
      <c r="A9" s="88" t="s">
        <v>87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0.4</v>
      </c>
      <c r="J9">
        <v>0</v>
      </c>
      <c r="K9">
        <v>0</v>
      </c>
      <c r="L9" s="7">
        <f>VLOOKUP(A9,'3121% SY'!A:M,'3121% SY'!$M$1,FALSE)</f>
        <v>0.18340000000000001</v>
      </c>
      <c r="M9" s="161">
        <f t="shared" si="1"/>
        <v>7.2999999999999995E-2</v>
      </c>
      <c r="N9" s="33">
        <f t="shared" si="2"/>
        <v>7.2999999999999995E-2</v>
      </c>
      <c r="R9" s="161">
        <f t="shared" si="3"/>
        <v>0</v>
      </c>
      <c r="S9" s="33">
        <f t="shared" si="4"/>
        <v>0</v>
      </c>
    </row>
    <row r="10" spans="1:20" x14ac:dyDescent="0.25">
      <c r="A10" s="88" t="s">
        <v>89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0.6</v>
      </c>
      <c r="J10">
        <v>0</v>
      </c>
      <c r="K10">
        <v>0</v>
      </c>
      <c r="L10" s="7">
        <f>VLOOKUP(A10,'3121% SY'!A:M,'3121% SY'!$M$1,FALSE)</f>
        <v>0.22170000000000001</v>
      </c>
      <c r="M10" s="161">
        <f t="shared" si="1"/>
        <v>0.13300000000000001</v>
      </c>
      <c r="N10" s="33">
        <f t="shared" si="2"/>
        <v>0.13300000000000001</v>
      </c>
      <c r="R10" s="161">
        <f t="shared" si="3"/>
        <v>0</v>
      </c>
      <c r="S10" s="33">
        <f t="shared" si="4"/>
        <v>0</v>
      </c>
    </row>
    <row r="11" spans="1:20" x14ac:dyDescent="0.25">
      <c r="A11" s="88" t="s">
        <v>141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0.6</v>
      </c>
      <c r="J11">
        <v>0.2</v>
      </c>
      <c r="K11">
        <v>0.4</v>
      </c>
      <c r="L11" s="7">
        <f>VLOOKUP(A11,'3121% SY'!A:M,'3121% SY'!$M$1,FALSE)</f>
        <v>0.31479999999999997</v>
      </c>
      <c r="M11" s="161">
        <f t="shared" si="1"/>
        <v>0.378</v>
      </c>
      <c r="N11" s="33">
        <f t="shared" si="2"/>
        <v>0.378</v>
      </c>
      <c r="R11" s="161">
        <f t="shared" si="3"/>
        <v>0</v>
      </c>
      <c r="S11" s="33">
        <f t="shared" si="4"/>
        <v>0</v>
      </c>
    </row>
    <row r="12" spans="1:20" x14ac:dyDescent="0.25">
      <c r="A12" s="88" t="s">
        <v>145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0.7</v>
      </c>
      <c r="J12">
        <v>0.35</v>
      </c>
      <c r="K12">
        <v>0.35</v>
      </c>
      <c r="L12" s="7">
        <f>VLOOKUP(A12,'3121% SY'!A:M,'3121% SY'!$M$1,FALSE)</f>
        <v>0.28620000000000001</v>
      </c>
      <c r="M12" s="161">
        <f t="shared" si="1"/>
        <v>0.4</v>
      </c>
      <c r="N12" s="33">
        <f t="shared" si="2"/>
        <v>0.4</v>
      </c>
      <c r="R12" s="161">
        <f t="shared" si="3"/>
        <v>0</v>
      </c>
      <c r="S12" s="33">
        <f t="shared" si="4"/>
        <v>0</v>
      </c>
    </row>
    <row r="13" spans="1:20" x14ac:dyDescent="0.25">
      <c r="A13" s="88" t="s">
        <v>146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1</v>
      </c>
      <c r="J13">
        <v>0.6</v>
      </c>
      <c r="K13">
        <v>0.6</v>
      </c>
      <c r="L13" s="7">
        <f>VLOOKUP(A13,'3121% SY'!A:M,'3121% SY'!$M$1,FALSE)</f>
        <v>0.25719999999999998</v>
      </c>
      <c r="M13" s="161">
        <f t="shared" si="1"/>
        <v>0.56500000000000006</v>
      </c>
      <c r="N13" s="33">
        <f t="shared" si="2"/>
        <v>0.56500000000000006</v>
      </c>
      <c r="R13" s="161">
        <f t="shared" si="3"/>
        <v>0</v>
      </c>
      <c r="S13" s="33">
        <f t="shared" si="4"/>
        <v>0</v>
      </c>
    </row>
    <row r="14" spans="1:20" x14ac:dyDescent="0.25">
      <c r="A14" s="88" t="s">
        <v>162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7">
        <f>VLOOKUP(A14,'3121% SY'!A:M,'3121% SY'!$M$1,FALSE)</f>
        <v>0.19820000000000004</v>
      </c>
      <c r="M14" s="161">
        <f t="shared" si="1"/>
        <v>0</v>
      </c>
      <c r="N14" s="33">
        <f t="shared" si="2"/>
        <v>0</v>
      </c>
      <c r="R14" s="161">
        <f t="shared" si="3"/>
        <v>0</v>
      </c>
      <c r="S14" s="33">
        <f t="shared" si="4"/>
        <v>0</v>
      </c>
    </row>
    <row r="15" spans="1:20" x14ac:dyDescent="0.25">
      <c r="A15" s="88" t="s">
        <v>163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1</v>
      </c>
      <c r="J15">
        <v>0.7</v>
      </c>
      <c r="K15">
        <v>0</v>
      </c>
      <c r="L15" s="7">
        <f>VLOOKUP(A15,'3121% SY'!A:M,'3121% SY'!$M$1,FALSE)</f>
        <v>0.20989999999999998</v>
      </c>
      <c r="M15" s="161">
        <f t="shared" si="1"/>
        <v>0.35699999999999998</v>
      </c>
      <c r="N15" s="33">
        <f t="shared" si="2"/>
        <v>0.35699999999999998</v>
      </c>
      <c r="R15" s="161">
        <f t="shared" si="3"/>
        <v>0</v>
      </c>
      <c r="S15" s="33">
        <f t="shared" si="4"/>
        <v>0</v>
      </c>
    </row>
    <row r="16" spans="1:20" x14ac:dyDescent="0.25">
      <c r="A16" s="88" t="s">
        <v>176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0.57499999999999996</v>
      </c>
      <c r="J16">
        <v>7.1999999999999995E-2</v>
      </c>
      <c r="K16">
        <v>7.1999999999999995E-2</v>
      </c>
      <c r="L16" s="7">
        <f>VLOOKUP(A16,'3121% SY'!A:M,'3121% SY'!$M$1,FALSE)</f>
        <v>0.29900000000000004</v>
      </c>
      <c r="M16" s="161">
        <f t="shared" si="1"/>
        <v>0.21599999999999997</v>
      </c>
      <c r="N16" s="33">
        <f t="shared" si="2"/>
        <v>0.21599999999999997</v>
      </c>
      <c r="R16" s="161">
        <f t="shared" si="3"/>
        <v>0</v>
      </c>
      <c r="S16" s="33">
        <f t="shared" si="4"/>
        <v>0</v>
      </c>
    </row>
    <row r="17" spans="1:19" x14ac:dyDescent="0.25">
      <c r="A17" s="88" t="s">
        <v>233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7">
        <f>VLOOKUP(A17,'3121% SY'!A:M,'3121% SY'!$M$1,FALSE)</f>
        <v>0.20020000000000004</v>
      </c>
      <c r="M17" s="161">
        <f t="shared" si="1"/>
        <v>0</v>
      </c>
      <c r="N17" s="33">
        <f t="shared" si="2"/>
        <v>0</v>
      </c>
      <c r="R17" s="161">
        <f t="shared" si="3"/>
        <v>0</v>
      </c>
      <c r="S17" s="33">
        <f t="shared" si="4"/>
        <v>0</v>
      </c>
    </row>
    <row r="18" spans="1:19" x14ac:dyDescent="0.25">
      <c r="A18" s="88" t="s">
        <v>250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0.08</v>
      </c>
      <c r="J18">
        <v>0.08</v>
      </c>
      <c r="K18">
        <v>0.08</v>
      </c>
      <c r="L18" s="7">
        <f>VLOOKUP(A18,'3121% SY'!A:M,'3121% SY'!$M$1,FALSE)</f>
        <v>0.15839999999999999</v>
      </c>
      <c r="M18" s="161">
        <f t="shared" si="1"/>
        <v>3.9E-2</v>
      </c>
      <c r="N18" s="33">
        <f t="shared" si="2"/>
        <v>3.9E-2</v>
      </c>
      <c r="R18" s="161">
        <f t="shared" si="3"/>
        <v>0</v>
      </c>
      <c r="S18" s="33">
        <f t="shared" si="4"/>
        <v>0</v>
      </c>
    </row>
    <row r="19" spans="1:19" x14ac:dyDescent="0.25">
      <c r="A19" s="88" t="s">
        <v>256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0.5</v>
      </c>
      <c r="J19">
        <v>0.25</v>
      </c>
      <c r="K19">
        <v>0</v>
      </c>
      <c r="L19" s="7">
        <f>VLOOKUP(A19,'3121% SY'!A:M,'3121% SY'!$M$1,FALSE)</f>
        <v>0.23140000000000005</v>
      </c>
      <c r="M19" s="161">
        <f t="shared" si="1"/>
        <v>0.17400000000000002</v>
      </c>
      <c r="N19" s="33">
        <f t="shared" si="2"/>
        <v>0.17400000000000002</v>
      </c>
      <c r="R19" s="161">
        <f t="shared" si="3"/>
        <v>0</v>
      </c>
      <c r="S19" s="33">
        <f t="shared" si="4"/>
        <v>0</v>
      </c>
    </row>
    <row r="20" spans="1:19" x14ac:dyDescent="0.25">
      <c r="A20" s="88" t="s">
        <v>259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1.35</v>
      </c>
      <c r="J20">
        <v>0.69199999999999995</v>
      </c>
      <c r="K20">
        <v>0.51800000000000002</v>
      </c>
      <c r="L20" s="7">
        <f>VLOOKUP(A20,'3121% SY'!A:M,'3121% SY'!$M$1,FALSE)</f>
        <v>0.24870000000000003</v>
      </c>
      <c r="M20" s="161">
        <f t="shared" si="1"/>
        <v>0.63700000000000001</v>
      </c>
      <c r="N20" s="33">
        <f t="shared" si="2"/>
        <v>0.63700000000000001</v>
      </c>
      <c r="R20" s="161">
        <f t="shared" si="3"/>
        <v>0</v>
      </c>
      <c r="S20" s="33">
        <f t="shared" si="4"/>
        <v>0</v>
      </c>
    </row>
    <row r="21" spans="1:19" x14ac:dyDescent="0.25">
      <c r="A21" s="88" t="s">
        <v>280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7">
        <f>VLOOKUP(A21,'3121% SY'!A:M,'3121% SY'!$M$1,FALSE)</f>
        <v>0.18340000000000001</v>
      </c>
      <c r="M21" s="161">
        <f t="shared" si="1"/>
        <v>0</v>
      </c>
      <c r="N21" s="33">
        <f t="shared" si="2"/>
        <v>0</v>
      </c>
      <c r="R21" s="161">
        <f t="shared" si="3"/>
        <v>0</v>
      </c>
      <c r="S21" s="33">
        <f t="shared" si="4"/>
        <v>0</v>
      </c>
    </row>
    <row r="22" spans="1:19" x14ac:dyDescent="0.25">
      <c r="A22" s="88" t="s">
        <v>284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0.47</v>
      </c>
      <c r="J22">
        <v>0</v>
      </c>
      <c r="K22">
        <v>0</v>
      </c>
      <c r="L22" s="7">
        <f>VLOOKUP(A22,'3121% SY'!A:M,'3121% SY'!$M$1,FALSE)</f>
        <v>0.14729999999999999</v>
      </c>
      <c r="M22" s="161">
        <f t="shared" si="1"/>
        <v>6.9000000000000006E-2</v>
      </c>
      <c r="N22" s="33">
        <f t="shared" si="2"/>
        <v>6.9000000000000006E-2</v>
      </c>
      <c r="R22" s="161">
        <f t="shared" si="3"/>
        <v>0</v>
      </c>
      <c r="S22" s="33">
        <f t="shared" si="4"/>
        <v>0</v>
      </c>
    </row>
    <row r="23" spans="1:19" x14ac:dyDescent="0.25">
      <c r="A23" s="88" t="s">
        <v>289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0.14299999999999999</v>
      </c>
      <c r="J23">
        <v>0.14299999999999999</v>
      </c>
      <c r="K23">
        <v>0</v>
      </c>
      <c r="L23" s="7">
        <f>VLOOKUP(A23,'3121% SY'!A:M,'3121% SY'!$M$1,FALSE)</f>
        <v>0.19010000000000005</v>
      </c>
      <c r="M23" s="161">
        <f t="shared" si="1"/>
        <v>5.3999999999999999E-2</v>
      </c>
      <c r="N23" s="33">
        <f t="shared" si="2"/>
        <v>5.3999999999999999E-2</v>
      </c>
      <c r="R23" s="161">
        <f t="shared" si="3"/>
        <v>0</v>
      </c>
      <c r="S23" s="33">
        <f t="shared" si="4"/>
        <v>0</v>
      </c>
    </row>
    <row r="24" spans="1:19" x14ac:dyDescent="0.25">
      <c r="A24" s="88" t="s">
        <v>290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7">
        <f>VLOOKUP(A24,'3121% SY'!A:M,'3121% SY'!$M$1,FALSE)</f>
        <v>0.15839999999999999</v>
      </c>
      <c r="M24" s="161">
        <f t="shared" si="1"/>
        <v>0</v>
      </c>
      <c r="N24" s="33">
        <f t="shared" si="2"/>
        <v>0</v>
      </c>
      <c r="R24" s="161">
        <f t="shared" si="3"/>
        <v>0</v>
      </c>
      <c r="S24" s="33">
        <f t="shared" si="4"/>
        <v>0</v>
      </c>
    </row>
    <row r="25" spans="1:19" x14ac:dyDescent="0.25">
      <c r="A25" s="88" t="s">
        <v>302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7">
        <f>VLOOKUP(A25,'3121% SY'!A:M,'3121% SY'!$M$1,FALSE)</f>
        <v>0.21989999999999998</v>
      </c>
      <c r="M25" s="161">
        <f t="shared" si="1"/>
        <v>0</v>
      </c>
      <c r="N25" s="33">
        <f t="shared" si="2"/>
        <v>0</v>
      </c>
      <c r="R25" s="161">
        <f t="shared" si="3"/>
        <v>0</v>
      </c>
      <c r="S25" s="33">
        <f t="shared" si="4"/>
        <v>0</v>
      </c>
    </row>
    <row r="26" spans="1:19" x14ac:dyDescent="0.25">
      <c r="A26" s="88" t="s">
        <v>1098</v>
      </c>
      <c r="L26" s="7" t="e">
        <f>VLOOKUP(A26,'3121% SY'!A:M,'3121% SY'!$M$1,FALSE)</f>
        <v>#N/A</v>
      </c>
      <c r="M26" s="161" t="e">
        <f t="shared" si="1"/>
        <v>#N/A</v>
      </c>
      <c r="N26" s="33" t="e">
        <f t="shared" si="2"/>
        <v>#N/A</v>
      </c>
      <c r="R26" s="161" t="e">
        <f t="shared" si="3"/>
        <v>#N/A</v>
      </c>
      <c r="S26" s="33" t="e">
        <f t="shared" si="4"/>
        <v>#N/A</v>
      </c>
    </row>
    <row r="27" spans="1:19" x14ac:dyDescent="0.25">
      <c r="A27" s="88" t="s">
        <v>753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9.6770000000000014</v>
      </c>
      <c r="J27">
        <v>3.2139999999999995</v>
      </c>
      <c r="K27">
        <v>2.3840000000000003</v>
      </c>
      <c r="L27" s="7" t="e">
        <f>VLOOKUP(A27,'3121% SY'!A:M,'3121% SY'!$M$1,FALSE)</f>
        <v>#N/A</v>
      </c>
      <c r="M27" s="161" t="e">
        <f t="shared" si="1"/>
        <v>#N/A</v>
      </c>
      <c r="N27" s="33" t="e">
        <f t="shared" si="2"/>
        <v>#N/A</v>
      </c>
      <c r="R27" s="161" t="e">
        <f t="shared" si="3"/>
        <v>#N/A</v>
      </c>
      <c r="S27" s="33" t="e">
        <f t="shared" si="4"/>
        <v>#N/A</v>
      </c>
    </row>
    <row r="28" spans="1:19" x14ac:dyDescent="0.25">
      <c r="L28" s="7" t="e">
        <f>VLOOKUP(A28,'3121% SY'!A:M,'3121% SY'!$M$1,FALSE)</f>
        <v>#N/A</v>
      </c>
      <c r="M28" s="161" t="e">
        <f t="shared" si="1"/>
        <v>#N/A</v>
      </c>
      <c r="N28" s="33" t="e">
        <f t="shared" si="2"/>
        <v>#N/A</v>
      </c>
      <c r="R28" s="161" t="e">
        <f t="shared" si="3"/>
        <v>#N/A</v>
      </c>
      <c r="S28" s="33" t="e">
        <f t="shared" si="4"/>
        <v>#N/A</v>
      </c>
    </row>
    <row r="29" spans="1:19" x14ac:dyDescent="0.25">
      <c r="L29" s="7" t="e">
        <f>VLOOKUP(A29,'3121% SY'!A:M,'3121% SY'!$M$1,FALSE)</f>
        <v>#N/A</v>
      </c>
      <c r="M29" s="161" t="e">
        <f t="shared" si="1"/>
        <v>#N/A</v>
      </c>
      <c r="N29" s="33" t="e">
        <f t="shared" si="2"/>
        <v>#N/A</v>
      </c>
      <c r="R29" s="161" t="e">
        <f t="shared" si="3"/>
        <v>#N/A</v>
      </c>
      <c r="S29" s="33" t="e">
        <f t="shared" si="4"/>
        <v>#N/A</v>
      </c>
    </row>
    <row r="30" spans="1:19" x14ac:dyDescent="0.25">
      <c r="L30" s="7" t="e">
        <f>VLOOKUP(A30,'3121% SY'!A:M,'3121% SY'!$M$1,FALSE)</f>
        <v>#N/A</v>
      </c>
      <c r="M30" s="161" t="e">
        <f t="shared" si="1"/>
        <v>#N/A</v>
      </c>
      <c r="N30" s="33" t="e">
        <f t="shared" si="2"/>
        <v>#N/A</v>
      </c>
      <c r="R30" s="161" t="e">
        <f t="shared" si="3"/>
        <v>#N/A</v>
      </c>
      <c r="S30" s="33" t="e">
        <f t="shared" si="4"/>
        <v>#N/A</v>
      </c>
    </row>
    <row r="31" spans="1:19" x14ac:dyDescent="0.25">
      <c r="L31" s="7" t="e">
        <f>VLOOKUP(A31,'3121% SY'!A:M,'3121% SY'!$M$1,FALSE)</f>
        <v>#N/A</v>
      </c>
      <c r="M31" s="161" t="e">
        <f t="shared" si="1"/>
        <v>#N/A</v>
      </c>
      <c r="N31" s="33" t="e">
        <f t="shared" si="2"/>
        <v>#N/A</v>
      </c>
      <c r="R31" s="161" t="e">
        <f t="shared" si="3"/>
        <v>#N/A</v>
      </c>
      <c r="S31" s="33" t="e">
        <f t="shared" si="4"/>
        <v>#N/A</v>
      </c>
    </row>
    <row r="32" spans="1:19" x14ac:dyDescent="0.25">
      <c r="L32" s="7" t="e">
        <f>VLOOKUP(A32,'3121% SY'!A:M,'3121% SY'!$M$1,FALSE)</f>
        <v>#N/A</v>
      </c>
      <c r="M32" s="161" t="e">
        <f t="shared" si="1"/>
        <v>#N/A</v>
      </c>
      <c r="N32" s="33" t="e">
        <f t="shared" si="2"/>
        <v>#N/A</v>
      </c>
      <c r="R32" s="161" t="e">
        <f t="shared" si="3"/>
        <v>#N/A</v>
      </c>
      <c r="S32" s="33" t="e">
        <f t="shared" si="4"/>
        <v>#N/A</v>
      </c>
    </row>
    <row r="33" spans="12:19" x14ac:dyDescent="0.25">
      <c r="L33" s="7" t="e">
        <f>VLOOKUP(A33,'3121% SY'!A:M,'3121% SY'!$M$1,FALSE)</f>
        <v>#N/A</v>
      </c>
      <c r="M33" s="161" t="e">
        <f t="shared" si="1"/>
        <v>#N/A</v>
      </c>
      <c r="N33" s="33" t="e">
        <f t="shared" si="2"/>
        <v>#N/A</v>
      </c>
      <c r="R33" s="161" t="e">
        <f t="shared" si="3"/>
        <v>#N/A</v>
      </c>
      <c r="S33" s="33" t="e">
        <f t="shared" si="4"/>
        <v>#N/A</v>
      </c>
    </row>
    <row r="34" spans="12:19" x14ac:dyDescent="0.25">
      <c r="L34" s="7" t="e">
        <f>VLOOKUP(A34,'3121% SY'!A:M,'3121% SY'!$M$1,FALSE)</f>
        <v>#N/A</v>
      </c>
      <c r="M34" s="161" t="e">
        <f t="shared" si="1"/>
        <v>#N/A</v>
      </c>
      <c r="N34" s="33" t="e">
        <f t="shared" si="2"/>
        <v>#N/A</v>
      </c>
      <c r="R34" s="161" t="e">
        <f t="shared" si="3"/>
        <v>#N/A</v>
      </c>
      <c r="S34" s="33" t="e">
        <f t="shared" si="4"/>
        <v>#N/A</v>
      </c>
    </row>
    <row r="35" spans="12:19" x14ac:dyDescent="0.25">
      <c r="L35" s="7" t="e">
        <f>VLOOKUP(A35,'3121% SY'!A:M,'3121% SY'!$M$1,FALSE)</f>
        <v>#N/A</v>
      </c>
      <c r="M35" s="161" t="e">
        <f t="shared" si="1"/>
        <v>#N/A</v>
      </c>
      <c r="N35" s="33" t="e">
        <f t="shared" si="2"/>
        <v>#N/A</v>
      </c>
      <c r="R35" s="161" t="e">
        <f t="shared" si="3"/>
        <v>#N/A</v>
      </c>
      <c r="S35" s="33" t="e">
        <f t="shared" si="4"/>
        <v>#N/A</v>
      </c>
    </row>
    <row r="36" spans="12:19" x14ac:dyDescent="0.25">
      <c r="L36" s="7" t="e">
        <f>VLOOKUP(A36,'3121% SY'!A:M,'3121% SY'!$M$1,FALSE)</f>
        <v>#N/A</v>
      </c>
      <c r="M36" s="161" t="e">
        <f t="shared" si="1"/>
        <v>#N/A</v>
      </c>
      <c r="N36" s="33" t="e">
        <f t="shared" si="2"/>
        <v>#N/A</v>
      </c>
      <c r="R36" s="161" t="e">
        <f t="shared" si="3"/>
        <v>#N/A</v>
      </c>
      <c r="S36" s="33" t="e">
        <f t="shared" si="4"/>
        <v>#N/A</v>
      </c>
    </row>
    <row r="37" spans="12:19" x14ac:dyDescent="0.25">
      <c r="L37" s="7" t="e">
        <f>VLOOKUP(A37,'3121% SY'!A:M,'3121% SY'!$M$1,FALSE)</f>
        <v>#N/A</v>
      </c>
      <c r="M37" s="161" t="e">
        <f t="shared" si="1"/>
        <v>#N/A</v>
      </c>
      <c r="N37" s="33" t="e">
        <f t="shared" si="2"/>
        <v>#N/A</v>
      </c>
      <c r="R37" s="161" t="e">
        <f t="shared" si="3"/>
        <v>#N/A</v>
      </c>
      <c r="S37" s="33" t="e">
        <f t="shared" si="4"/>
        <v>#N/A</v>
      </c>
    </row>
    <row r="38" spans="12:19" x14ac:dyDescent="0.25">
      <c r="L38" s="7" t="e">
        <f>VLOOKUP(A38,'3121% SY'!A:M,'3121% SY'!$M$1,FALSE)</f>
        <v>#N/A</v>
      </c>
      <c r="M38" s="161" t="e">
        <f t="shared" si="1"/>
        <v>#N/A</v>
      </c>
      <c r="N38" s="33" t="e">
        <f t="shared" si="2"/>
        <v>#N/A</v>
      </c>
      <c r="R38" s="161" t="e">
        <f t="shared" si="3"/>
        <v>#N/A</v>
      </c>
      <c r="S38" s="33" t="e">
        <f t="shared" si="4"/>
        <v>#N/A</v>
      </c>
    </row>
    <row r="39" spans="12:19" x14ac:dyDescent="0.25">
      <c r="L39" s="7" t="e">
        <f>VLOOKUP(A39,'3121% SY'!A:M,'3121% SY'!$M$1,FALSE)</f>
        <v>#N/A</v>
      </c>
      <c r="M39" s="161" t="e">
        <f t="shared" si="1"/>
        <v>#N/A</v>
      </c>
      <c r="N39" s="33" t="e">
        <f t="shared" si="2"/>
        <v>#N/A</v>
      </c>
      <c r="R39" s="161" t="e">
        <f t="shared" si="3"/>
        <v>#N/A</v>
      </c>
      <c r="S39" s="33" t="e">
        <f t="shared" si="4"/>
        <v>#N/A</v>
      </c>
    </row>
    <row r="40" spans="12:19" x14ac:dyDescent="0.25">
      <c r="L40" s="7" t="e">
        <f>VLOOKUP(A40,'3121% SY'!A:M,'3121% SY'!$M$1,FALSE)</f>
        <v>#N/A</v>
      </c>
      <c r="M40" s="161" t="e">
        <f t="shared" si="1"/>
        <v>#N/A</v>
      </c>
      <c r="N40" s="33" t="e">
        <f t="shared" si="2"/>
        <v>#N/A</v>
      </c>
      <c r="R40" s="161" t="e">
        <f t="shared" si="3"/>
        <v>#N/A</v>
      </c>
      <c r="S40" s="33" t="e">
        <f t="shared" si="4"/>
        <v>#N/A</v>
      </c>
    </row>
    <row r="41" spans="12:19" x14ac:dyDescent="0.25">
      <c r="L41" s="7" t="e">
        <f>VLOOKUP(A41,'3121% SY'!A:M,'3121% SY'!$M$1,FALSE)</f>
        <v>#N/A</v>
      </c>
      <c r="M41" s="161" t="e">
        <f t="shared" si="1"/>
        <v>#N/A</v>
      </c>
      <c r="N41" s="33" t="e">
        <f t="shared" si="2"/>
        <v>#N/A</v>
      </c>
      <c r="R41" s="161" t="e">
        <f t="shared" si="3"/>
        <v>#N/A</v>
      </c>
      <c r="S41" s="33" t="e">
        <f t="shared" si="4"/>
        <v>#N/A</v>
      </c>
    </row>
    <row r="42" spans="12:19" x14ac:dyDescent="0.25">
      <c r="L42" s="7" t="e">
        <f>VLOOKUP(A42,'3121% SY'!A:M,'3121% SY'!$M$1,FALSE)</f>
        <v>#N/A</v>
      </c>
      <c r="M42" s="161" t="e">
        <f t="shared" si="1"/>
        <v>#N/A</v>
      </c>
      <c r="N42" s="33" t="e">
        <f t="shared" si="2"/>
        <v>#N/A</v>
      </c>
      <c r="R42" s="161" t="e">
        <f t="shared" si="3"/>
        <v>#N/A</v>
      </c>
      <c r="S42" s="33" t="e">
        <f t="shared" si="4"/>
        <v>#N/A</v>
      </c>
    </row>
    <row r="43" spans="12:19" x14ac:dyDescent="0.25">
      <c r="L43" s="7" t="e">
        <f>VLOOKUP(A43,'3121% SY'!A:M,'3121% SY'!$M$1,FALSE)</f>
        <v>#N/A</v>
      </c>
      <c r="M43" s="161" t="e">
        <f t="shared" si="1"/>
        <v>#N/A</v>
      </c>
      <c r="N43" s="33" t="e">
        <f t="shared" si="2"/>
        <v>#N/A</v>
      </c>
      <c r="R43" s="161" t="e">
        <f t="shared" si="3"/>
        <v>#N/A</v>
      </c>
      <c r="S43" s="33" t="e">
        <f t="shared" si="4"/>
        <v>#N/A</v>
      </c>
    </row>
    <row r="44" spans="12:19" x14ac:dyDescent="0.25">
      <c r="L44" s="7" t="e">
        <f>VLOOKUP(A44,'3121% SY'!A:M,'3121% SY'!$M$1,FALSE)</f>
        <v>#N/A</v>
      </c>
      <c r="M44" s="161" t="e">
        <f t="shared" si="1"/>
        <v>#N/A</v>
      </c>
      <c r="N44" s="33" t="e">
        <f t="shared" si="2"/>
        <v>#N/A</v>
      </c>
      <c r="R44" s="161" t="e">
        <f t="shared" si="3"/>
        <v>#N/A</v>
      </c>
      <c r="S44" s="33" t="e">
        <f t="shared" si="4"/>
        <v>#N/A</v>
      </c>
    </row>
    <row r="45" spans="12:19" x14ac:dyDescent="0.25">
      <c r="L45" s="7" t="e">
        <f>VLOOKUP(A45,'3121% SY'!A:M,'3121% SY'!$M$1,FALSE)</f>
        <v>#N/A</v>
      </c>
      <c r="M45" s="161" t="e">
        <f t="shared" si="1"/>
        <v>#N/A</v>
      </c>
      <c r="N45" s="33" t="e">
        <f t="shared" si="2"/>
        <v>#N/A</v>
      </c>
      <c r="R45" s="161" t="e">
        <f t="shared" si="3"/>
        <v>#N/A</v>
      </c>
      <c r="S45" s="33" t="e">
        <f t="shared" si="4"/>
        <v>#N/A</v>
      </c>
    </row>
    <row r="46" spans="12:19" x14ac:dyDescent="0.25">
      <c r="L46" s="7" t="e">
        <f>VLOOKUP(A46,'3121% SY'!A:M,'3121% SY'!$M$1,FALSE)</f>
        <v>#N/A</v>
      </c>
      <c r="M46" s="161" t="e">
        <f t="shared" si="1"/>
        <v>#N/A</v>
      </c>
      <c r="N46" s="33" t="e">
        <f t="shared" si="2"/>
        <v>#N/A</v>
      </c>
      <c r="R46" s="161" t="e">
        <f t="shared" si="3"/>
        <v>#N/A</v>
      </c>
      <c r="S46" s="33" t="e">
        <f t="shared" si="4"/>
        <v>#N/A</v>
      </c>
    </row>
    <row r="47" spans="12:19" x14ac:dyDescent="0.25">
      <c r="L47" s="7" t="e">
        <f>VLOOKUP(A47,'3121% SY'!A:M,'3121% SY'!$M$1,FALSE)</f>
        <v>#N/A</v>
      </c>
      <c r="M47" s="161" t="e">
        <f t="shared" si="1"/>
        <v>#N/A</v>
      </c>
      <c r="N47" s="33" t="e">
        <f t="shared" si="2"/>
        <v>#N/A</v>
      </c>
      <c r="R47" s="161" t="e">
        <f t="shared" si="3"/>
        <v>#N/A</v>
      </c>
      <c r="S47" s="33" t="e">
        <f t="shared" si="4"/>
        <v>#N/A</v>
      </c>
    </row>
    <row r="48" spans="12:19" x14ac:dyDescent="0.25">
      <c r="L48" s="7" t="e">
        <f>VLOOKUP(A48,'3121% SY'!A:M,'3121% SY'!$M$1,FALSE)</f>
        <v>#N/A</v>
      </c>
      <c r="M48" s="161" t="e">
        <f t="shared" si="1"/>
        <v>#N/A</v>
      </c>
      <c r="N48" s="33" t="e">
        <f t="shared" si="2"/>
        <v>#N/A</v>
      </c>
      <c r="R48" s="161" t="e">
        <f t="shared" si="3"/>
        <v>#N/A</v>
      </c>
      <c r="S48" s="33" t="e">
        <f t="shared" si="4"/>
        <v>#N/A</v>
      </c>
    </row>
    <row r="49" spans="12:19" x14ac:dyDescent="0.25">
      <c r="L49" s="7" t="e">
        <f>VLOOKUP(A49,'3121% SY'!A:M,'3121% SY'!$M$1,FALSE)</f>
        <v>#N/A</v>
      </c>
      <c r="M49" s="161" t="e">
        <f t="shared" si="1"/>
        <v>#N/A</v>
      </c>
      <c r="N49" s="33" t="e">
        <f t="shared" si="2"/>
        <v>#N/A</v>
      </c>
      <c r="R49" s="161" t="e">
        <f t="shared" si="3"/>
        <v>#N/A</v>
      </c>
      <c r="S49" s="33" t="e">
        <f t="shared" si="4"/>
        <v>#N/A</v>
      </c>
    </row>
    <row r="50" spans="12:19" x14ac:dyDescent="0.25">
      <c r="L50" s="7" t="e">
        <f>VLOOKUP(A50,'3121% SY'!A:M,'3121% SY'!$M$1,FALSE)</f>
        <v>#N/A</v>
      </c>
      <c r="M50" s="161" t="e">
        <f t="shared" si="1"/>
        <v>#N/A</v>
      </c>
      <c r="N50" s="33" t="e">
        <f t="shared" si="2"/>
        <v>#N/A</v>
      </c>
      <c r="R50" s="161" t="e">
        <f t="shared" si="3"/>
        <v>#N/A</v>
      </c>
      <c r="S50" s="33" t="e">
        <f t="shared" si="4"/>
        <v>#N/A</v>
      </c>
    </row>
    <row r="51" spans="12:19" x14ac:dyDescent="0.25">
      <c r="L51" s="7" t="e">
        <f>VLOOKUP(A51,'3121% SY'!A:M,'3121% SY'!$M$1,FALSE)</f>
        <v>#N/A</v>
      </c>
      <c r="M51" s="161" t="e">
        <f t="shared" si="1"/>
        <v>#N/A</v>
      </c>
      <c r="N51" s="33" t="e">
        <f t="shared" si="2"/>
        <v>#N/A</v>
      </c>
      <c r="R51" s="161" t="e">
        <f t="shared" si="3"/>
        <v>#N/A</v>
      </c>
      <c r="S51" s="33" t="e">
        <f t="shared" si="4"/>
        <v>#N/A</v>
      </c>
    </row>
    <row r="52" spans="12:19" x14ac:dyDescent="0.25">
      <c r="L52" s="7" t="e">
        <f>VLOOKUP(A52,'3121% SY'!A:M,'3121% SY'!$M$1,FALSE)</f>
        <v>#N/A</v>
      </c>
      <c r="M52" s="161" t="e">
        <f t="shared" si="1"/>
        <v>#N/A</v>
      </c>
      <c r="N52" s="33" t="e">
        <f t="shared" si="2"/>
        <v>#N/A</v>
      </c>
      <c r="R52" s="161" t="e">
        <f t="shared" si="3"/>
        <v>#N/A</v>
      </c>
      <c r="S52" s="33" t="e">
        <f t="shared" si="4"/>
        <v>#N/A</v>
      </c>
    </row>
    <row r="53" spans="12:19" x14ac:dyDescent="0.25">
      <c r="L53" s="7" t="e">
        <f>VLOOKUP(A53,'3121% SY'!A:M,'3121% SY'!$M$1,FALSE)</f>
        <v>#N/A</v>
      </c>
      <c r="M53" s="161" t="e">
        <f t="shared" si="1"/>
        <v>#N/A</v>
      </c>
      <c r="N53" s="33" t="e">
        <f t="shared" si="2"/>
        <v>#N/A</v>
      </c>
      <c r="R53" s="161" t="e">
        <f t="shared" si="3"/>
        <v>#N/A</v>
      </c>
      <c r="S53" s="33" t="e">
        <f t="shared" si="4"/>
        <v>#N/A</v>
      </c>
    </row>
    <row r="54" spans="12:19" x14ac:dyDescent="0.25">
      <c r="L54" s="7" t="e">
        <f>VLOOKUP(A54,'3121% SY'!A:M,'3121% SY'!$M$1,FALSE)</f>
        <v>#N/A</v>
      </c>
      <c r="M54" s="161" t="e">
        <f t="shared" si="1"/>
        <v>#N/A</v>
      </c>
      <c r="N54" s="33" t="e">
        <f t="shared" si="2"/>
        <v>#N/A</v>
      </c>
      <c r="R54" s="161" t="e">
        <f t="shared" si="3"/>
        <v>#N/A</v>
      </c>
      <c r="S54" s="33" t="e">
        <f t="shared" si="4"/>
        <v>#N/A</v>
      </c>
    </row>
    <row r="55" spans="12:19" x14ac:dyDescent="0.25">
      <c r="L55" s="7" t="e">
        <f>VLOOKUP(A55,'3121% SY'!A:M,'3121% SY'!$M$1,FALSE)</f>
        <v>#N/A</v>
      </c>
      <c r="M55" s="161" t="e">
        <f t="shared" si="1"/>
        <v>#N/A</v>
      </c>
      <c r="N55" s="33" t="e">
        <f t="shared" si="2"/>
        <v>#N/A</v>
      </c>
      <c r="R55" s="161" t="e">
        <f t="shared" si="3"/>
        <v>#N/A</v>
      </c>
      <c r="S55" s="33" t="e">
        <f t="shared" si="4"/>
        <v>#N/A</v>
      </c>
    </row>
    <row r="56" spans="12:19" x14ac:dyDescent="0.25">
      <c r="L56" s="7" t="e">
        <f>VLOOKUP(A56,'3121% SY'!A:M,'3121% SY'!$M$1,FALSE)</f>
        <v>#N/A</v>
      </c>
      <c r="M56" s="161" t="e">
        <f t="shared" si="1"/>
        <v>#N/A</v>
      </c>
      <c r="N56" s="33" t="e">
        <f t="shared" si="2"/>
        <v>#N/A</v>
      </c>
      <c r="R56" s="161" t="e">
        <f t="shared" si="3"/>
        <v>#N/A</v>
      </c>
      <c r="S56" s="33" t="e">
        <f t="shared" si="4"/>
        <v>#N/A</v>
      </c>
    </row>
    <row r="57" spans="12:19" x14ac:dyDescent="0.25">
      <c r="L57" s="7" t="e">
        <f>VLOOKUP(A57,'3121% SY'!A:M,'3121% SY'!$M$1,FALSE)</f>
        <v>#N/A</v>
      </c>
      <c r="M57" s="161" t="e">
        <f t="shared" si="1"/>
        <v>#N/A</v>
      </c>
      <c r="N57" s="33" t="e">
        <f t="shared" si="2"/>
        <v>#N/A</v>
      </c>
      <c r="R57" s="161" t="e">
        <f t="shared" si="3"/>
        <v>#N/A</v>
      </c>
      <c r="S57" s="33" t="e">
        <f t="shared" si="4"/>
        <v>#N/A</v>
      </c>
    </row>
    <row r="58" spans="12:19" x14ac:dyDescent="0.25">
      <c r="L58" s="7" t="e">
        <f>VLOOKUP(A58,'3121% SY'!A:M,'3121% SY'!$M$1,FALSE)</f>
        <v>#N/A</v>
      </c>
      <c r="M58" s="161" t="e">
        <f t="shared" si="1"/>
        <v>#N/A</v>
      </c>
      <c r="N58" s="33" t="e">
        <f t="shared" si="2"/>
        <v>#N/A</v>
      </c>
      <c r="R58" s="161" t="e">
        <f t="shared" si="3"/>
        <v>#N/A</v>
      </c>
      <c r="S58" s="33" t="e">
        <f t="shared" si="4"/>
        <v>#N/A</v>
      </c>
    </row>
    <row r="59" spans="12:19" x14ac:dyDescent="0.25">
      <c r="L59" s="7" t="e">
        <f>VLOOKUP(A59,'3121% SY'!A:M,'3121% SY'!$M$1,FALSE)</f>
        <v>#N/A</v>
      </c>
      <c r="M59" s="161" t="e">
        <f t="shared" si="1"/>
        <v>#N/A</v>
      </c>
      <c r="N59" s="33" t="e">
        <f t="shared" si="2"/>
        <v>#N/A</v>
      </c>
      <c r="R59" s="161" t="e">
        <f t="shared" si="3"/>
        <v>#N/A</v>
      </c>
      <c r="S59" s="33" t="e">
        <f t="shared" si="4"/>
        <v>#N/A</v>
      </c>
    </row>
    <row r="60" spans="12:19" x14ac:dyDescent="0.25">
      <c r="L60" s="7" t="e">
        <f>VLOOKUP(A60,'3121% SY'!A:M,'3121% SY'!$M$1,FALSE)</f>
        <v>#N/A</v>
      </c>
      <c r="M60" s="161" t="e">
        <f t="shared" si="1"/>
        <v>#N/A</v>
      </c>
      <c r="N60" s="33" t="e">
        <f t="shared" si="2"/>
        <v>#N/A</v>
      </c>
      <c r="R60" s="161" t="e">
        <f t="shared" si="3"/>
        <v>#N/A</v>
      </c>
      <c r="S60" s="33" t="e">
        <f t="shared" si="4"/>
        <v>#N/A</v>
      </c>
    </row>
    <row r="61" spans="12:19" x14ac:dyDescent="0.25">
      <c r="L61" s="7" t="e">
        <f>VLOOKUP(A61,'3121% SY'!A:M,'3121% SY'!$M$1,FALSE)</f>
        <v>#N/A</v>
      </c>
      <c r="M61" s="161" t="e">
        <f t="shared" si="1"/>
        <v>#N/A</v>
      </c>
      <c r="N61" s="33" t="e">
        <f t="shared" si="2"/>
        <v>#N/A</v>
      </c>
      <c r="R61" s="161" t="e">
        <f t="shared" si="3"/>
        <v>#N/A</v>
      </c>
      <c r="S61" s="33" t="e">
        <f t="shared" si="4"/>
        <v>#N/A</v>
      </c>
    </row>
    <row r="62" spans="12:19" x14ac:dyDescent="0.25">
      <c r="L62" s="7" t="e">
        <f>VLOOKUP(A62,'3121% SY'!A:M,'3121% SY'!$M$1,FALSE)</f>
        <v>#N/A</v>
      </c>
      <c r="M62" s="161" t="e">
        <f t="shared" si="1"/>
        <v>#N/A</v>
      </c>
      <c r="N62" s="33" t="e">
        <f t="shared" si="2"/>
        <v>#N/A</v>
      </c>
      <c r="R62" s="161" t="e">
        <f t="shared" si="3"/>
        <v>#N/A</v>
      </c>
      <c r="S62" s="33" t="e">
        <f t="shared" si="4"/>
        <v>#N/A</v>
      </c>
    </row>
    <row r="63" spans="12:19" x14ac:dyDescent="0.25">
      <c r="L63" s="7" t="e">
        <f>VLOOKUP(A63,'3121% SY'!A:M,'3121% SY'!$M$1,FALSE)</f>
        <v>#N/A</v>
      </c>
      <c r="M63" s="161" t="e">
        <f t="shared" si="1"/>
        <v>#N/A</v>
      </c>
      <c r="N63" s="33" t="e">
        <f t="shared" si="2"/>
        <v>#N/A</v>
      </c>
      <c r="R63" s="161" t="e">
        <f t="shared" si="3"/>
        <v>#N/A</v>
      </c>
      <c r="S63" s="33" t="e">
        <f t="shared" si="4"/>
        <v>#N/A</v>
      </c>
    </row>
    <row r="64" spans="12:19" x14ac:dyDescent="0.25">
      <c r="L64" s="7" t="e">
        <f>VLOOKUP(A64,'3121% SY'!A:M,'3121% SY'!$M$1,FALSE)</f>
        <v>#N/A</v>
      </c>
      <c r="M64" s="161" t="e">
        <f t="shared" si="1"/>
        <v>#N/A</v>
      </c>
      <c r="N64" s="33" t="e">
        <f t="shared" si="2"/>
        <v>#N/A</v>
      </c>
      <c r="R64" s="161" t="e">
        <f t="shared" si="3"/>
        <v>#N/A</v>
      </c>
      <c r="S64" s="33" t="e">
        <f t="shared" si="4"/>
        <v>#N/A</v>
      </c>
    </row>
    <row r="65" spans="12:19" x14ac:dyDescent="0.25">
      <c r="L65" s="7" t="e">
        <f>VLOOKUP(A65,'3121% SY'!A:M,'3121% SY'!$M$1,FALSE)</f>
        <v>#N/A</v>
      </c>
      <c r="M65" s="161" t="e">
        <f t="shared" si="1"/>
        <v>#N/A</v>
      </c>
      <c r="N65" s="33" t="e">
        <f t="shared" si="2"/>
        <v>#N/A</v>
      </c>
      <c r="R65" s="161" t="e">
        <f t="shared" si="3"/>
        <v>#N/A</v>
      </c>
      <c r="S65" s="33" t="e">
        <f t="shared" si="4"/>
        <v>#N/A</v>
      </c>
    </row>
    <row r="66" spans="12:19" x14ac:dyDescent="0.25">
      <c r="L66" s="7" t="e">
        <f>VLOOKUP(A66,'3121% SY'!A:M,'3121% SY'!$M$1,FALSE)</f>
        <v>#N/A</v>
      </c>
      <c r="M66" s="161" t="e">
        <f t="shared" si="1"/>
        <v>#N/A</v>
      </c>
      <c r="N66" s="33" t="e">
        <f t="shared" si="2"/>
        <v>#N/A</v>
      </c>
      <c r="R66" s="161" t="e">
        <f t="shared" si="3"/>
        <v>#N/A</v>
      </c>
      <c r="S66" s="33" t="e">
        <f t="shared" si="4"/>
        <v>#N/A</v>
      </c>
    </row>
    <row r="67" spans="12:19" x14ac:dyDescent="0.25">
      <c r="L67" s="7" t="e">
        <f>VLOOKUP(A67,'3121% SY'!A:M,'3121% SY'!$M$1,FALSE)</f>
        <v>#N/A</v>
      </c>
      <c r="M67" s="161" t="e">
        <f t="shared" si="1"/>
        <v>#N/A</v>
      </c>
      <c r="N67" s="33" t="e">
        <f t="shared" si="2"/>
        <v>#N/A</v>
      </c>
      <c r="R67" s="161" t="e">
        <f t="shared" si="3"/>
        <v>#N/A</v>
      </c>
      <c r="S67" s="33" t="e">
        <f t="shared" si="4"/>
        <v>#N/A</v>
      </c>
    </row>
    <row r="68" spans="12:19" x14ac:dyDescent="0.25">
      <c r="L68" s="7" t="e">
        <f>VLOOKUP(A68,'3121% SY'!A:M,'3121% SY'!$M$1,FALSE)</f>
        <v>#N/A</v>
      </c>
      <c r="M68" s="161" t="e">
        <f t="shared" si="1"/>
        <v>#N/A</v>
      </c>
      <c r="N68" s="33" t="e">
        <f t="shared" si="2"/>
        <v>#N/A</v>
      </c>
      <c r="R68" s="161" t="e">
        <f t="shared" si="3"/>
        <v>#N/A</v>
      </c>
      <c r="S68" s="33" t="e">
        <f t="shared" si="4"/>
        <v>#N/A</v>
      </c>
    </row>
    <row r="69" spans="12:19" x14ac:dyDescent="0.25">
      <c r="L69" s="7" t="e">
        <f>VLOOKUP(A69,'3121% SY'!A:M,'3121% SY'!$M$1,FALSE)</f>
        <v>#N/A</v>
      </c>
      <c r="M69" s="161" t="e">
        <f t="shared" ref="M69:M132" si="5">ROUND(I69*$L69,3)+ROUND(J69*$L69,3)++ROUND(K69*$L69,3)</f>
        <v>#N/A</v>
      </c>
      <c r="N69" s="33" t="e">
        <f t="shared" ref="N69:N132" si="6">SUM(M69,B69:H69)</f>
        <v>#N/A</v>
      </c>
      <c r="R69" s="161" t="e">
        <f t="shared" ref="R69:R122" si="7">ROUND(Q69*$L69,3)</f>
        <v>#N/A</v>
      </c>
      <c r="S69" s="33" t="e">
        <f t="shared" ref="S69:S122" si="8">SUM(R69,O69:P69)</f>
        <v>#N/A</v>
      </c>
    </row>
    <row r="70" spans="12:19" x14ac:dyDescent="0.25">
      <c r="L70" s="7" t="e">
        <f>VLOOKUP(A70,'3121% SY'!A:M,'3121% SY'!$M$1,FALSE)</f>
        <v>#N/A</v>
      </c>
      <c r="M70" s="161" t="e">
        <f t="shared" si="5"/>
        <v>#N/A</v>
      </c>
      <c r="N70" s="33" t="e">
        <f t="shared" si="6"/>
        <v>#N/A</v>
      </c>
      <c r="R70" s="161" t="e">
        <f t="shared" si="7"/>
        <v>#N/A</v>
      </c>
      <c r="S70" s="33" t="e">
        <f t="shared" si="8"/>
        <v>#N/A</v>
      </c>
    </row>
    <row r="71" spans="12:19" x14ac:dyDescent="0.25">
      <c r="L71" s="7" t="e">
        <f>VLOOKUP(A71,'3121% SY'!A:M,'3121% SY'!$M$1,FALSE)</f>
        <v>#N/A</v>
      </c>
      <c r="M71" s="161" t="e">
        <f t="shared" si="5"/>
        <v>#N/A</v>
      </c>
      <c r="N71" s="33" t="e">
        <f t="shared" si="6"/>
        <v>#N/A</v>
      </c>
      <c r="R71" s="161" t="e">
        <f t="shared" si="7"/>
        <v>#N/A</v>
      </c>
      <c r="S71" s="33" t="e">
        <f t="shared" si="8"/>
        <v>#N/A</v>
      </c>
    </row>
    <row r="72" spans="12:19" x14ac:dyDescent="0.25">
      <c r="L72" s="7" t="e">
        <f>VLOOKUP(A72,'3121% SY'!A:M,'3121% SY'!$M$1,FALSE)</f>
        <v>#N/A</v>
      </c>
      <c r="M72" s="161" t="e">
        <f t="shared" si="5"/>
        <v>#N/A</v>
      </c>
      <c r="N72" s="33" t="e">
        <f t="shared" si="6"/>
        <v>#N/A</v>
      </c>
      <c r="R72" s="161" t="e">
        <f t="shared" si="7"/>
        <v>#N/A</v>
      </c>
      <c r="S72" s="33" t="e">
        <f t="shared" si="8"/>
        <v>#N/A</v>
      </c>
    </row>
    <row r="73" spans="12:19" x14ac:dyDescent="0.25">
      <c r="L73" s="7" t="e">
        <f>VLOOKUP(A73,'3121% SY'!A:M,'3121% SY'!$M$1,FALSE)</f>
        <v>#N/A</v>
      </c>
      <c r="M73" s="161" t="e">
        <f t="shared" si="5"/>
        <v>#N/A</v>
      </c>
      <c r="N73" s="33" t="e">
        <f t="shared" si="6"/>
        <v>#N/A</v>
      </c>
      <c r="R73" s="161" t="e">
        <f t="shared" si="7"/>
        <v>#N/A</v>
      </c>
      <c r="S73" s="33" t="e">
        <f t="shared" si="8"/>
        <v>#N/A</v>
      </c>
    </row>
    <row r="74" spans="12:19" x14ac:dyDescent="0.25">
      <c r="L74" s="7" t="e">
        <f>VLOOKUP(A74,'3121% SY'!A:M,'3121% SY'!$M$1,FALSE)</f>
        <v>#N/A</v>
      </c>
      <c r="M74" s="161" t="e">
        <f t="shared" si="5"/>
        <v>#N/A</v>
      </c>
      <c r="N74" s="33" t="e">
        <f t="shared" si="6"/>
        <v>#N/A</v>
      </c>
      <c r="R74" s="161" t="e">
        <f t="shared" si="7"/>
        <v>#N/A</v>
      </c>
      <c r="S74" s="33" t="e">
        <f t="shared" si="8"/>
        <v>#N/A</v>
      </c>
    </row>
    <row r="75" spans="12:19" x14ac:dyDescent="0.25">
      <c r="L75" s="7" t="e">
        <f>VLOOKUP(A75,'3121% SY'!A:M,'3121% SY'!$M$1,FALSE)</f>
        <v>#N/A</v>
      </c>
      <c r="M75" s="161" t="e">
        <f t="shared" si="5"/>
        <v>#N/A</v>
      </c>
      <c r="N75" s="33" t="e">
        <f t="shared" si="6"/>
        <v>#N/A</v>
      </c>
      <c r="R75" s="161" t="e">
        <f t="shared" si="7"/>
        <v>#N/A</v>
      </c>
      <c r="S75" s="33" t="e">
        <f t="shared" si="8"/>
        <v>#N/A</v>
      </c>
    </row>
    <row r="76" spans="12:19" x14ac:dyDescent="0.25">
      <c r="L76" s="7" t="e">
        <f>VLOOKUP(A76,'3121% SY'!A:M,'3121% SY'!$M$1,FALSE)</f>
        <v>#N/A</v>
      </c>
      <c r="M76" s="161" t="e">
        <f t="shared" si="5"/>
        <v>#N/A</v>
      </c>
      <c r="N76" s="33" t="e">
        <f t="shared" si="6"/>
        <v>#N/A</v>
      </c>
      <c r="R76" s="161" t="e">
        <f t="shared" si="7"/>
        <v>#N/A</v>
      </c>
      <c r="S76" s="33" t="e">
        <f t="shared" si="8"/>
        <v>#N/A</v>
      </c>
    </row>
    <row r="77" spans="12:19" x14ac:dyDescent="0.25">
      <c r="L77" s="7" t="e">
        <f>VLOOKUP(A77,'3121% SY'!A:M,'3121% SY'!$M$1,FALSE)</f>
        <v>#N/A</v>
      </c>
      <c r="M77" s="161" t="e">
        <f t="shared" si="5"/>
        <v>#N/A</v>
      </c>
      <c r="N77" s="33" t="e">
        <f t="shared" si="6"/>
        <v>#N/A</v>
      </c>
      <c r="R77" s="161" t="e">
        <f t="shared" si="7"/>
        <v>#N/A</v>
      </c>
      <c r="S77" s="33" t="e">
        <f t="shared" si="8"/>
        <v>#N/A</v>
      </c>
    </row>
    <row r="78" spans="12:19" x14ac:dyDescent="0.25">
      <c r="L78" s="7" t="e">
        <f>VLOOKUP(A78,'3121% SY'!A:M,'3121% SY'!$M$1,FALSE)</f>
        <v>#N/A</v>
      </c>
      <c r="M78" s="161" t="e">
        <f t="shared" si="5"/>
        <v>#N/A</v>
      </c>
      <c r="N78" s="33" t="e">
        <f t="shared" si="6"/>
        <v>#N/A</v>
      </c>
      <c r="R78" s="161" t="e">
        <f t="shared" si="7"/>
        <v>#N/A</v>
      </c>
      <c r="S78" s="33" t="e">
        <f t="shared" si="8"/>
        <v>#N/A</v>
      </c>
    </row>
    <row r="79" spans="12:19" x14ac:dyDescent="0.25">
      <c r="L79" s="7" t="e">
        <f>VLOOKUP(A79,'3121% SY'!A:M,'3121% SY'!$M$1,FALSE)</f>
        <v>#N/A</v>
      </c>
      <c r="M79" s="161" t="e">
        <f t="shared" si="5"/>
        <v>#N/A</v>
      </c>
      <c r="N79" s="33" t="e">
        <f t="shared" si="6"/>
        <v>#N/A</v>
      </c>
      <c r="R79" s="161" t="e">
        <f t="shared" si="7"/>
        <v>#N/A</v>
      </c>
      <c r="S79" s="33" t="e">
        <f t="shared" si="8"/>
        <v>#N/A</v>
      </c>
    </row>
    <row r="80" spans="12:19" x14ac:dyDescent="0.25">
      <c r="L80" s="7" t="e">
        <f>VLOOKUP(A80,'3121% SY'!A:M,'3121% SY'!$M$1,FALSE)</f>
        <v>#N/A</v>
      </c>
      <c r="M80" s="161" t="e">
        <f t="shared" si="5"/>
        <v>#N/A</v>
      </c>
      <c r="N80" s="33" t="e">
        <f t="shared" si="6"/>
        <v>#N/A</v>
      </c>
      <c r="R80" s="161" t="e">
        <f t="shared" si="7"/>
        <v>#N/A</v>
      </c>
      <c r="S80" s="33" t="e">
        <f t="shared" si="8"/>
        <v>#N/A</v>
      </c>
    </row>
    <row r="81" spans="12:19" x14ac:dyDescent="0.25">
      <c r="L81" s="7" t="e">
        <f>VLOOKUP(A81,'3121% SY'!A:M,'3121% SY'!$M$1,FALSE)</f>
        <v>#N/A</v>
      </c>
      <c r="M81" s="161" t="e">
        <f t="shared" si="5"/>
        <v>#N/A</v>
      </c>
      <c r="N81" s="33" t="e">
        <f t="shared" si="6"/>
        <v>#N/A</v>
      </c>
      <c r="R81" s="161" t="e">
        <f t="shared" si="7"/>
        <v>#N/A</v>
      </c>
      <c r="S81" s="33" t="e">
        <f t="shared" si="8"/>
        <v>#N/A</v>
      </c>
    </row>
    <row r="82" spans="12:19" x14ac:dyDescent="0.25">
      <c r="L82" s="7" t="e">
        <f>VLOOKUP(A82,'3121% SY'!A:M,'3121% SY'!$M$1,FALSE)</f>
        <v>#N/A</v>
      </c>
      <c r="M82" s="161" t="e">
        <f t="shared" si="5"/>
        <v>#N/A</v>
      </c>
      <c r="N82" s="33" t="e">
        <f t="shared" si="6"/>
        <v>#N/A</v>
      </c>
      <c r="R82" s="161" t="e">
        <f t="shared" si="7"/>
        <v>#N/A</v>
      </c>
      <c r="S82" s="33" t="e">
        <f t="shared" si="8"/>
        <v>#N/A</v>
      </c>
    </row>
    <row r="83" spans="12:19" x14ac:dyDescent="0.25">
      <c r="L83" s="7" t="e">
        <f>VLOOKUP(A83,'3121% SY'!A:M,'3121% SY'!$M$1,FALSE)</f>
        <v>#N/A</v>
      </c>
      <c r="M83" s="161" t="e">
        <f t="shared" si="5"/>
        <v>#N/A</v>
      </c>
      <c r="N83" s="33" t="e">
        <f t="shared" si="6"/>
        <v>#N/A</v>
      </c>
      <c r="R83" s="161" t="e">
        <f t="shared" si="7"/>
        <v>#N/A</v>
      </c>
      <c r="S83" s="33" t="e">
        <f t="shared" si="8"/>
        <v>#N/A</v>
      </c>
    </row>
    <row r="84" spans="12:19" x14ac:dyDescent="0.25">
      <c r="L84" s="7" t="e">
        <f>VLOOKUP(A84,'3121% SY'!A:M,'3121% SY'!$M$1,FALSE)</f>
        <v>#N/A</v>
      </c>
      <c r="M84" s="161" t="e">
        <f t="shared" si="5"/>
        <v>#N/A</v>
      </c>
      <c r="N84" s="33" t="e">
        <f t="shared" si="6"/>
        <v>#N/A</v>
      </c>
      <c r="R84" s="161" t="e">
        <f t="shared" si="7"/>
        <v>#N/A</v>
      </c>
      <c r="S84" s="33" t="e">
        <f t="shared" si="8"/>
        <v>#N/A</v>
      </c>
    </row>
    <row r="85" spans="12:19" x14ac:dyDescent="0.25">
      <c r="L85" s="7" t="e">
        <f>VLOOKUP(A85,'3121% SY'!A:M,'3121% SY'!$M$1,FALSE)</f>
        <v>#N/A</v>
      </c>
      <c r="M85" s="161" t="e">
        <f t="shared" si="5"/>
        <v>#N/A</v>
      </c>
      <c r="N85" s="33" t="e">
        <f t="shared" si="6"/>
        <v>#N/A</v>
      </c>
      <c r="R85" s="161" t="e">
        <f t="shared" si="7"/>
        <v>#N/A</v>
      </c>
      <c r="S85" s="33" t="e">
        <f t="shared" si="8"/>
        <v>#N/A</v>
      </c>
    </row>
    <row r="86" spans="12:19" x14ac:dyDescent="0.25">
      <c r="L86" s="7" t="e">
        <f>VLOOKUP(A86,'3121% SY'!A:M,'3121% SY'!$M$1,FALSE)</f>
        <v>#N/A</v>
      </c>
      <c r="M86" s="161" t="e">
        <f t="shared" si="5"/>
        <v>#N/A</v>
      </c>
      <c r="N86" s="33" t="e">
        <f t="shared" si="6"/>
        <v>#N/A</v>
      </c>
      <c r="R86" s="161" t="e">
        <f t="shared" si="7"/>
        <v>#N/A</v>
      </c>
      <c r="S86" s="33" t="e">
        <f t="shared" si="8"/>
        <v>#N/A</v>
      </c>
    </row>
    <row r="87" spans="12:19" x14ac:dyDescent="0.25">
      <c r="L87" s="7" t="e">
        <f>VLOOKUP(A87,'3121% SY'!A:M,'3121% SY'!$M$1,FALSE)</f>
        <v>#N/A</v>
      </c>
      <c r="M87" s="161" t="e">
        <f t="shared" si="5"/>
        <v>#N/A</v>
      </c>
      <c r="N87" s="33" t="e">
        <f t="shared" si="6"/>
        <v>#N/A</v>
      </c>
      <c r="R87" s="161" t="e">
        <f t="shared" si="7"/>
        <v>#N/A</v>
      </c>
      <c r="S87" s="33" t="e">
        <f t="shared" si="8"/>
        <v>#N/A</v>
      </c>
    </row>
    <row r="88" spans="12:19" x14ac:dyDescent="0.25">
      <c r="L88" s="7" t="e">
        <f>VLOOKUP(A88,'3121% SY'!A:M,'3121% SY'!$M$1,FALSE)</f>
        <v>#N/A</v>
      </c>
      <c r="M88" s="161" t="e">
        <f t="shared" si="5"/>
        <v>#N/A</v>
      </c>
      <c r="N88" s="33" t="e">
        <f t="shared" si="6"/>
        <v>#N/A</v>
      </c>
      <c r="R88" s="161" t="e">
        <f t="shared" si="7"/>
        <v>#N/A</v>
      </c>
      <c r="S88" s="33" t="e">
        <f t="shared" si="8"/>
        <v>#N/A</v>
      </c>
    </row>
    <row r="89" spans="12:19" x14ac:dyDescent="0.25">
      <c r="L89" s="7" t="e">
        <f>VLOOKUP(A89,'3121% SY'!A:M,'3121% SY'!$M$1,FALSE)</f>
        <v>#N/A</v>
      </c>
      <c r="M89" s="161" t="e">
        <f t="shared" si="5"/>
        <v>#N/A</v>
      </c>
      <c r="N89" s="33" t="e">
        <f t="shared" si="6"/>
        <v>#N/A</v>
      </c>
      <c r="R89" s="161" t="e">
        <f t="shared" si="7"/>
        <v>#N/A</v>
      </c>
      <c r="S89" s="33" t="e">
        <f t="shared" si="8"/>
        <v>#N/A</v>
      </c>
    </row>
    <row r="90" spans="12:19" x14ac:dyDescent="0.25">
      <c r="L90" s="7" t="e">
        <f>VLOOKUP(A90,'3121% SY'!A:M,'3121% SY'!$M$1,FALSE)</f>
        <v>#N/A</v>
      </c>
      <c r="M90" s="161" t="e">
        <f t="shared" si="5"/>
        <v>#N/A</v>
      </c>
      <c r="N90" s="33" t="e">
        <f t="shared" si="6"/>
        <v>#N/A</v>
      </c>
      <c r="R90" s="161" t="e">
        <f t="shared" si="7"/>
        <v>#N/A</v>
      </c>
      <c r="S90" s="33" t="e">
        <f t="shared" si="8"/>
        <v>#N/A</v>
      </c>
    </row>
    <row r="91" spans="12:19" x14ac:dyDescent="0.25">
      <c r="L91" s="7" t="e">
        <f>VLOOKUP(A91,'3121% SY'!A:M,'3121% SY'!$M$1,FALSE)</f>
        <v>#N/A</v>
      </c>
      <c r="M91" s="161" t="e">
        <f t="shared" si="5"/>
        <v>#N/A</v>
      </c>
      <c r="N91" s="33" t="e">
        <f t="shared" si="6"/>
        <v>#N/A</v>
      </c>
      <c r="R91" s="161" t="e">
        <f t="shared" si="7"/>
        <v>#N/A</v>
      </c>
      <c r="S91" s="33" t="e">
        <f t="shared" si="8"/>
        <v>#N/A</v>
      </c>
    </row>
    <row r="92" spans="12:19" x14ac:dyDescent="0.25">
      <c r="L92" s="7" t="e">
        <f>VLOOKUP(A92,'3121% SY'!A:M,'3121% SY'!$M$1,FALSE)</f>
        <v>#N/A</v>
      </c>
      <c r="M92" s="161" t="e">
        <f t="shared" si="5"/>
        <v>#N/A</v>
      </c>
      <c r="N92" s="33" t="e">
        <f t="shared" si="6"/>
        <v>#N/A</v>
      </c>
      <c r="R92" s="161" t="e">
        <f t="shared" si="7"/>
        <v>#N/A</v>
      </c>
      <c r="S92" s="33" t="e">
        <f t="shared" si="8"/>
        <v>#N/A</v>
      </c>
    </row>
    <row r="93" spans="12:19" x14ac:dyDescent="0.25">
      <c r="L93" s="7" t="e">
        <f>VLOOKUP(A93,'3121% SY'!A:M,'3121% SY'!$M$1,FALSE)</f>
        <v>#N/A</v>
      </c>
      <c r="M93" s="161" t="e">
        <f t="shared" si="5"/>
        <v>#N/A</v>
      </c>
      <c r="N93" s="33" t="e">
        <f t="shared" si="6"/>
        <v>#N/A</v>
      </c>
      <c r="R93" s="161" t="e">
        <f t="shared" si="7"/>
        <v>#N/A</v>
      </c>
      <c r="S93" s="33" t="e">
        <f t="shared" si="8"/>
        <v>#N/A</v>
      </c>
    </row>
    <row r="94" spans="12:19" x14ac:dyDescent="0.25">
      <c r="L94" s="7" t="e">
        <f>VLOOKUP(A94,'3121% SY'!A:M,'3121% SY'!$M$1,FALSE)</f>
        <v>#N/A</v>
      </c>
      <c r="M94" s="161" t="e">
        <f t="shared" si="5"/>
        <v>#N/A</v>
      </c>
      <c r="N94" s="33" t="e">
        <f t="shared" si="6"/>
        <v>#N/A</v>
      </c>
      <c r="R94" s="161" t="e">
        <f t="shared" si="7"/>
        <v>#N/A</v>
      </c>
      <c r="S94" s="33" t="e">
        <f t="shared" si="8"/>
        <v>#N/A</v>
      </c>
    </row>
    <row r="95" spans="12:19" x14ac:dyDescent="0.25">
      <c r="L95" s="7" t="e">
        <f>VLOOKUP(A95,'3121% SY'!A:M,'3121% SY'!$M$1,FALSE)</f>
        <v>#N/A</v>
      </c>
      <c r="M95" s="161" t="e">
        <f t="shared" si="5"/>
        <v>#N/A</v>
      </c>
      <c r="N95" s="33" t="e">
        <f t="shared" si="6"/>
        <v>#N/A</v>
      </c>
      <c r="R95" s="161" t="e">
        <f t="shared" si="7"/>
        <v>#N/A</v>
      </c>
      <c r="S95" s="33" t="e">
        <f t="shared" si="8"/>
        <v>#N/A</v>
      </c>
    </row>
    <row r="96" spans="12:19" x14ac:dyDescent="0.25">
      <c r="L96" s="7" t="e">
        <f>VLOOKUP(A96,'3121% SY'!A:M,'3121% SY'!$M$1,FALSE)</f>
        <v>#N/A</v>
      </c>
      <c r="M96" s="161" t="e">
        <f t="shared" si="5"/>
        <v>#N/A</v>
      </c>
      <c r="N96" s="33" t="e">
        <f t="shared" si="6"/>
        <v>#N/A</v>
      </c>
      <c r="R96" s="161" t="e">
        <f t="shared" si="7"/>
        <v>#N/A</v>
      </c>
      <c r="S96" s="33" t="e">
        <f t="shared" si="8"/>
        <v>#N/A</v>
      </c>
    </row>
    <row r="97" spans="12:19" x14ac:dyDescent="0.25">
      <c r="L97" s="7" t="e">
        <f>VLOOKUP(A97,'3121% SY'!A:M,'3121% SY'!$M$1,FALSE)</f>
        <v>#N/A</v>
      </c>
      <c r="M97" s="161" t="e">
        <f t="shared" si="5"/>
        <v>#N/A</v>
      </c>
      <c r="N97" s="33" t="e">
        <f t="shared" si="6"/>
        <v>#N/A</v>
      </c>
      <c r="R97" s="161" t="e">
        <f t="shared" si="7"/>
        <v>#N/A</v>
      </c>
      <c r="S97" s="33" t="e">
        <f t="shared" si="8"/>
        <v>#N/A</v>
      </c>
    </row>
    <row r="98" spans="12:19" x14ac:dyDescent="0.25">
      <c r="L98" s="7" t="e">
        <f>VLOOKUP(A98,'3121% SY'!A:M,'3121% SY'!$M$1,FALSE)</f>
        <v>#N/A</v>
      </c>
      <c r="M98" s="161" t="e">
        <f t="shared" si="5"/>
        <v>#N/A</v>
      </c>
      <c r="N98" s="33" t="e">
        <f t="shared" si="6"/>
        <v>#N/A</v>
      </c>
      <c r="R98" s="161" t="e">
        <f t="shared" si="7"/>
        <v>#N/A</v>
      </c>
      <c r="S98" s="33" t="e">
        <f t="shared" si="8"/>
        <v>#N/A</v>
      </c>
    </row>
    <row r="99" spans="12:19" x14ac:dyDescent="0.25">
      <c r="L99" s="7" t="e">
        <f>VLOOKUP(A99,'3121% SY'!A:M,'3121% SY'!$M$1,FALSE)</f>
        <v>#N/A</v>
      </c>
      <c r="M99" s="161" t="e">
        <f t="shared" si="5"/>
        <v>#N/A</v>
      </c>
      <c r="N99" s="33" t="e">
        <f t="shared" si="6"/>
        <v>#N/A</v>
      </c>
      <c r="R99" s="161" t="e">
        <f t="shared" si="7"/>
        <v>#N/A</v>
      </c>
      <c r="S99" s="33" t="e">
        <f t="shared" si="8"/>
        <v>#N/A</v>
      </c>
    </row>
    <row r="100" spans="12:19" x14ac:dyDescent="0.25">
      <c r="L100" s="7" t="e">
        <f>VLOOKUP(A100,'3121% SY'!A:M,'3121% SY'!$M$1,FALSE)</f>
        <v>#N/A</v>
      </c>
      <c r="M100" s="161" t="e">
        <f t="shared" si="5"/>
        <v>#N/A</v>
      </c>
      <c r="N100" s="33" t="e">
        <f t="shared" si="6"/>
        <v>#N/A</v>
      </c>
      <c r="R100" s="161" t="e">
        <f t="shared" si="7"/>
        <v>#N/A</v>
      </c>
      <c r="S100" s="33" t="e">
        <f t="shared" si="8"/>
        <v>#N/A</v>
      </c>
    </row>
    <row r="101" spans="12:19" x14ac:dyDescent="0.25">
      <c r="L101" s="7" t="e">
        <f>VLOOKUP(A101,'3121% SY'!A:M,'3121% SY'!$M$1,FALSE)</f>
        <v>#N/A</v>
      </c>
      <c r="M101" s="161" t="e">
        <f t="shared" si="5"/>
        <v>#N/A</v>
      </c>
      <c r="N101" s="33" t="e">
        <f t="shared" si="6"/>
        <v>#N/A</v>
      </c>
      <c r="R101" s="161" t="e">
        <f t="shared" si="7"/>
        <v>#N/A</v>
      </c>
      <c r="S101" s="33" t="e">
        <f t="shared" si="8"/>
        <v>#N/A</v>
      </c>
    </row>
    <row r="102" spans="12:19" x14ac:dyDescent="0.25">
      <c r="L102" s="7" t="e">
        <f>VLOOKUP(A102,'3121% SY'!A:M,'3121% SY'!$M$1,FALSE)</f>
        <v>#N/A</v>
      </c>
      <c r="M102" s="161" t="e">
        <f t="shared" si="5"/>
        <v>#N/A</v>
      </c>
      <c r="N102" s="33" t="e">
        <f t="shared" si="6"/>
        <v>#N/A</v>
      </c>
      <c r="R102" s="161" t="e">
        <f t="shared" si="7"/>
        <v>#N/A</v>
      </c>
      <c r="S102" s="33" t="e">
        <f t="shared" si="8"/>
        <v>#N/A</v>
      </c>
    </row>
    <row r="103" spans="12:19" x14ac:dyDescent="0.25">
      <c r="L103" s="7" t="e">
        <f>VLOOKUP(A103,'3121% SY'!A:M,'3121% SY'!$M$1,FALSE)</f>
        <v>#N/A</v>
      </c>
      <c r="M103" s="161" t="e">
        <f t="shared" si="5"/>
        <v>#N/A</v>
      </c>
      <c r="N103" s="33" t="e">
        <f t="shared" si="6"/>
        <v>#N/A</v>
      </c>
      <c r="R103" s="161" t="e">
        <f t="shared" si="7"/>
        <v>#N/A</v>
      </c>
      <c r="S103" s="33" t="e">
        <f t="shared" si="8"/>
        <v>#N/A</v>
      </c>
    </row>
    <row r="104" spans="12:19" x14ac:dyDescent="0.25">
      <c r="L104" s="7" t="e">
        <f>VLOOKUP(A104,'3121% SY'!A:M,'3121% SY'!$M$1,FALSE)</f>
        <v>#N/A</v>
      </c>
      <c r="M104" s="161" t="e">
        <f t="shared" si="5"/>
        <v>#N/A</v>
      </c>
      <c r="N104" s="33" t="e">
        <f t="shared" si="6"/>
        <v>#N/A</v>
      </c>
      <c r="R104" s="161" t="e">
        <f t="shared" si="7"/>
        <v>#N/A</v>
      </c>
      <c r="S104" s="33" t="e">
        <f t="shared" si="8"/>
        <v>#N/A</v>
      </c>
    </row>
    <row r="105" spans="12:19" x14ac:dyDescent="0.25">
      <c r="L105" s="7" t="e">
        <f>VLOOKUP(A105,'3121% SY'!A:M,'3121% SY'!$M$1,FALSE)</f>
        <v>#N/A</v>
      </c>
      <c r="M105" s="161" t="e">
        <f t="shared" si="5"/>
        <v>#N/A</v>
      </c>
      <c r="N105" s="33" t="e">
        <f t="shared" si="6"/>
        <v>#N/A</v>
      </c>
      <c r="R105" s="161" t="e">
        <f t="shared" si="7"/>
        <v>#N/A</v>
      </c>
      <c r="S105" s="33" t="e">
        <f t="shared" si="8"/>
        <v>#N/A</v>
      </c>
    </row>
    <row r="106" spans="12:19" x14ac:dyDescent="0.25">
      <c r="L106" s="7" t="e">
        <f>VLOOKUP(A106,'3121% SY'!A:M,'3121% SY'!$M$1,FALSE)</f>
        <v>#N/A</v>
      </c>
      <c r="M106" s="161" t="e">
        <f t="shared" si="5"/>
        <v>#N/A</v>
      </c>
      <c r="N106" s="33" t="e">
        <f t="shared" si="6"/>
        <v>#N/A</v>
      </c>
      <c r="R106" s="161" t="e">
        <f t="shared" si="7"/>
        <v>#N/A</v>
      </c>
      <c r="S106" s="33" t="e">
        <f t="shared" si="8"/>
        <v>#N/A</v>
      </c>
    </row>
    <row r="107" spans="12:19" x14ac:dyDescent="0.25">
      <c r="L107" s="7" t="e">
        <f>VLOOKUP(A107,'3121% SY'!A:M,'3121% SY'!$M$1,FALSE)</f>
        <v>#N/A</v>
      </c>
      <c r="M107" s="161" t="e">
        <f t="shared" si="5"/>
        <v>#N/A</v>
      </c>
      <c r="N107" s="33" t="e">
        <f t="shared" si="6"/>
        <v>#N/A</v>
      </c>
      <c r="R107" s="161" t="e">
        <f t="shared" si="7"/>
        <v>#N/A</v>
      </c>
      <c r="S107" s="33" t="e">
        <f t="shared" si="8"/>
        <v>#N/A</v>
      </c>
    </row>
    <row r="108" spans="12:19" x14ac:dyDescent="0.25">
      <c r="L108" s="7" t="e">
        <f>VLOOKUP(A108,'3121% SY'!A:M,'3121% SY'!$M$1,FALSE)</f>
        <v>#N/A</v>
      </c>
      <c r="M108" s="161" t="e">
        <f t="shared" si="5"/>
        <v>#N/A</v>
      </c>
      <c r="N108" s="33" t="e">
        <f t="shared" si="6"/>
        <v>#N/A</v>
      </c>
      <c r="R108" s="161" t="e">
        <f t="shared" si="7"/>
        <v>#N/A</v>
      </c>
      <c r="S108" s="33" t="e">
        <f t="shared" si="8"/>
        <v>#N/A</v>
      </c>
    </row>
    <row r="109" spans="12:19" x14ac:dyDescent="0.25">
      <c r="L109" s="7" t="e">
        <f>VLOOKUP(A109,'3121% SY'!A:M,'3121% SY'!$M$1,FALSE)</f>
        <v>#N/A</v>
      </c>
      <c r="M109" s="161" t="e">
        <f t="shared" si="5"/>
        <v>#N/A</v>
      </c>
      <c r="N109" s="33" t="e">
        <f t="shared" si="6"/>
        <v>#N/A</v>
      </c>
      <c r="R109" s="161" t="e">
        <f t="shared" si="7"/>
        <v>#N/A</v>
      </c>
      <c r="S109" s="33" t="e">
        <f t="shared" si="8"/>
        <v>#N/A</v>
      </c>
    </row>
    <row r="110" spans="12:19" x14ac:dyDescent="0.25">
      <c r="L110" s="7" t="e">
        <f>VLOOKUP(A110,'3121% SY'!A:M,'3121% SY'!$M$1,FALSE)</f>
        <v>#N/A</v>
      </c>
      <c r="M110" s="161" t="e">
        <f t="shared" si="5"/>
        <v>#N/A</v>
      </c>
      <c r="N110" s="33" t="e">
        <f t="shared" si="6"/>
        <v>#N/A</v>
      </c>
      <c r="R110" s="161" t="e">
        <f t="shared" si="7"/>
        <v>#N/A</v>
      </c>
      <c r="S110" s="33" t="e">
        <f t="shared" si="8"/>
        <v>#N/A</v>
      </c>
    </row>
    <row r="111" spans="12:19" x14ac:dyDescent="0.25">
      <c r="L111" s="7" t="e">
        <f>VLOOKUP(A111,'3121% SY'!A:M,'3121% SY'!$M$1,FALSE)</f>
        <v>#N/A</v>
      </c>
      <c r="M111" s="161" t="e">
        <f t="shared" si="5"/>
        <v>#N/A</v>
      </c>
      <c r="N111" s="33" t="e">
        <f t="shared" si="6"/>
        <v>#N/A</v>
      </c>
      <c r="R111" s="161" t="e">
        <f t="shared" si="7"/>
        <v>#N/A</v>
      </c>
      <c r="S111" s="33" t="e">
        <f t="shared" si="8"/>
        <v>#N/A</v>
      </c>
    </row>
    <row r="112" spans="12:19" x14ac:dyDescent="0.25">
      <c r="L112" s="7" t="e">
        <f>VLOOKUP(A112,'3121% SY'!A:M,'3121% SY'!$M$1,FALSE)</f>
        <v>#N/A</v>
      </c>
      <c r="M112" s="161" t="e">
        <f t="shared" si="5"/>
        <v>#N/A</v>
      </c>
      <c r="N112" s="33" t="e">
        <f t="shared" si="6"/>
        <v>#N/A</v>
      </c>
      <c r="R112" s="161" t="e">
        <f t="shared" si="7"/>
        <v>#N/A</v>
      </c>
      <c r="S112" s="33" t="e">
        <f t="shared" si="8"/>
        <v>#N/A</v>
      </c>
    </row>
    <row r="113" spans="12:19" x14ac:dyDescent="0.25">
      <c r="L113" s="7" t="e">
        <f>VLOOKUP(A113,'3121% SY'!A:M,'3121% SY'!$M$1,FALSE)</f>
        <v>#N/A</v>
      </c>
      <c r="M113" s="161" t="e">
        <f t="shared" si="5"/>
        <v>#N/A</v>
      </c>
      <c r="N113" s="33" t="e">
        <f t="shared" si="6"/>
        <v>#N/A</v>
      </c>
      <c r="R113" s="161" t="e">
        <f t="shared" si="7"/>
        <v>#N/A</v>
      </c>
      <c r="S113" s="33" t="e">
        <f t="shared" si="8"/>
        <v>#N/A</v>
      </c>
    </row>
    <row r="114" spans="12:19" x14ac:dyDescent="0.25">
      <c r="L114" s="7" t="e">
        <f>VLOOKUP(A114,'3121% SY'!A:M,'3121% SY'!$M$1,FALSE)</f>
        <v>#N/A</v>
      </c>
      <c r="M114" s="161" t="e">
        <f t="shared" si="5"/>
        <v>#N/A</v>
      </c>
      <c r="N114" s="33" t="e">
        <f t="shared" si="6"/>
        <v>#N/A</v>
      </c>
      <c r="R114" s="161" t="e">
        <f t="shared" si="7"/>
        <v>#N/A</v>
      </c>
      <c r="S114" s="33" t="e">
        <f t="shared" si="8"/>
        <v>#N/A</v>
      </c>
    </row>
    <row r="115" spans="12:19" x14ac:dyDescent="0.25">
      <c r="L115" s="7" t="e">
        <f>VLOOKUP(A115,'3121% SY'!A:M,'3121% SY'!$M$1,FALSE)</f>
        <v>#N/A</v>
      </c>
      <c r="M115" s="161" t="e">
        <f t="shared" si="5"/>
        <v>#N/A</v>
      </c>
      <c r="N115" s="33" t="e">
        <f t="shared" si="6"/>
        <v>#N/A</v>
      </c>
      <c r="R115" s="161" t="e">
        <f t="shared" si="7"/>
        <v>#N/A</v>
      </c>
      <c r="S115" s="33" t="e">
        <f t="shared" si="8"/>
        <v>#N/A</v>
      </c>
    </row>
    <row r="116" spans="12:19" x14ac:dyDescent="0.25">
      <c r="L116" s="7" t="e">
        <f>VLOOKUP(A116,'3121% SY'!A:M,'3121% SY'!$M$1,FALSE)</f>
        <v>#N/A</v>
      </c>
      <c r="M116" s="161" t="e">
        <f t="shared" si="5"/>
        <v>#N/A</v>
      </c>
      <c r="N116" s="33" t="e">
        <f t="shared" si="6"/>
        <v>#N/A</v>
      </c>
      <c r="R116" s="161" t="e">
        <f t="shared" si="7"/>
        <v>#N/A</v>
      </c>
      <c r="S116" s="33" t="e">
        <f t="shared" si="8"/>
        <v>#N/A</v>
      </c>
    </row>
    <row r="117" spans="12:19" x14ac:dyDescent="0.25">
      <c r="L117" s="7" t="e">
        <f>VLOOKUP(A117,'3121% SY'!A:M,'3121% SY'!$M$1,FALSE)</f>
        <v>#N/A</v>
      </c>
      <c r="M117" s="161" t="e">
        <f t="shared" si="5"/>
        <v>#N/A</v>
      </c>
      <c r="N117" s="33" t="e">
        <f t="shared" si="6"/>
        <v>#N/A</v>
      </c>
      <c r="R117" s="161" t="e">
        <f t="shared" si="7"/>
        <v>#N/A</v>
      </c>
      <c r="S117" s="33" t="e">
        <f t="shared" si="8"/>
        <v>#N/A</v>
      </c>
    </row>
    <row r="118" spans="12:19" x14ac:dyDescent="0.25">
      <c r="L118" s="7" t="e">
        <f>VLOOKUP(A118,'3121% SY'!A:M,'3121% SY'!$M$1,FALSE)</f>
        <v>#N/A</v>
      </c>
      <c r="M118" s="161" t="e">
        <f t="shared" si="5"/>
        <v>#N/A</v>
      </c>
      <c r="N118" s="33" t="e">
        <f t="shared" si="6"/>
        <v>#N/A</v>
      </c>
      <c r="R118" s="161" t="e">
        <f t="shared" si="7"/>
        <v>#N/A</v>
      </c>
      <c r="S118" s="33" t="e">
        <f t="shared" si="8"/>
        <v>#N/A</v>
      </c>
    </row>
    <row r="119" spans="12:19" x14ac:dyDescent="0.25">
      <c r="L119" s="7" t="e">
        <f>VLOOKUP(A119,'3121% SY'!A:M,'3121% SY'!$M$1,FALSE)</f>
        <v>#N/A</v>
      </c>
      <c r="M119" s="161" t="e">
        <f t="shared" si="5"/>
        <v>#N/A</v>
      </c>
      <c r="N119" s="33" t="e">
        <f t="shared" si="6"/>
        <v>#N/A</v>
      </c>
      <c r="R119" s="161" t="e">
        <f t="shared" si="7"/>
        <v>#N/A</v>
      </c>
      <c r="S119" s="33" t="e">
        <f t="shared" si="8"/>
        <v>#N/A</v>
      </c>
    </row>
    <row r="120" spans="12:19" x14ac:dyDescent="0.25">
      <c r="L120" s="7" t="e">
        <f>VLOOKUP(A120,'3121% SY'!A:M,'3121% SY'!$M$1,FALSE)</f>
        <v>#N/A</v>
      </c>
      <c r="M120" s="161" t="e">
        <f t="shared" si="5"/>
        <v>#N/A</v>
      </c>
      <c r="N120" s="33" t="e">
        <f t="shared" si="6"/>
        <v>#N/A</v>
      </c>
      <c r="R120" s="161" t="e">
        <f t="shared" si="7"/>
        <v>#N/A</v>
      </c>
      <c r="S120" s="33" t="e">
        <f t="shared" si="8"/>
        <v>#N/A</v>
      </c>
    </row>
    <row r="121" spans="12:19" x14ac:dyDescent="0.25">
      <c r="L121" s="7" t="e">
        <f>VLOOKUP(A121,'3121% SY'!A:M,'3121% SY'!$M$1,FALSE)</f>
        <v>#N/A</v>
      </c>
      <c r="M121" s="161" t="e">
        <f t="shared" si="5"/>
        <v>#N/A</v>
      </c>
      <c r="N121" s="33" t="e">
        <f t="shared" si="6"/>
        <v>#N/A</v>
      </c>
      <c r="R121" s="161" t="e">
        <f t="shared" si="7"/>
        <v>#N/A</v>
      </c>
      <c r="S121" s="33" t="e">
        <f t="shared" si="8"/>
        <v>#N/A</v>
      </c>
    </row>
    <row r="122" spans="12:19" x14ac:dyDescent="0.25">
      <c r="L122" s="7" t="e">
        <f>VLOOKUP(A122,'3121% SY'!A:M,'3121% SY'!$M$1,FALSE)</f>
        <v>#N/A</v>
      </c>
      <c r="M122" s="161" t="e">
        <f t="shared" si="5"/>
        <v>#N/A</v>
      </c>
      <c r="N122" s="33" t="e">
        <f t="shared" si="6"/>
        <v>#N/A</v>
      </c>
      <c r="R122" s="161" t="e">
        <f t="shared" si="7"/>
        <v>#N/A</v>
      </c>
      <c r="S122" s="33" t="e">
        <f t="shared" si="8"/>
        <v>#N/A</v>
      </c>
    </row>
    <row r="123" spans="12:19" x14ac:dyDescent="0.25">
      <c r="L123" s="7" t="e">
        <f>VLOOKUP(A123,'3121% SY'!A:M,'3121% SY'!$M$1,FALSE)</f>
        <v>#N/A</v>
      </c>
      <c r="M123" s="161" t="e">
        <f t="shared" si="5"/>
        <v>#N/A</v>
      </c>
      <c r="N123" s="33" t="e">
        <f t="shared" si="6"/>
        <v>#N/A</v>
      </c>
      <c r="R123" s="161" t="e">
        <f t="shared" ref="R123:R131" si="9">ROUND(Q123*$L123,3)</f>
        <v>#N/A</v>
      </c>
      <c r="S123" s="33" t="e">
        <f t="shared" ref="S123:S131" si="10">SUM(R123,O123:P123)</f>
        <v>#N/A</v>
      </c>
    </row>
    <row r="124" spans="12:19" x14ac:dyDescent="0.25">
      <c r="L124" s="7" t="e">
        <f>VLOOKUP(A124,'3121% SY'!A:M,'3121% SY'!$M$1,FALSE)</f>
        <v>#N/A</v>
      </c>
      <c r="M124" s="161" t="e">
        <f t="shared" si="5"/>
        <v>#N/A</v>
      </c>
      <c r="N124" s="33" t="e">
        <f t="shared" si="6"/>
        <v>#N/A</v>
      </c>
      <c r="R124" s="161" t="e">
        <f t="shared" si="9"/>
        <v>#N/A</v>
      </c>
      <c r="S124" s="33" t="e">
        <f t="shared" si="10"/>
        <v>#N/A</v>
      </c>
    </row>
    <row r="125" spans="12:19" x14ac:dyDescent="0.25">
      <c r="L125" s="7" t="e">
        <f>VLOOKUP(A125,'3121% SY'!A:M,'3121% SY'!$M$1,FALSE)</f>
        <v>#N/A</v>
      </c>
      <c r="M125" s="161" t="e">
        <f t="shared" si="5"/>
        <v>#N/A</v>
      </c>
      <c r="N125" s="33" t="e">
        <f t="shared" si="6"/>
        <v>#N/A</v>
      </c>
      <c r="R125" s="161" t="e">
        <f t="shared" si="9"/>
        <v>#N/A</v>
      </c>
      <c r="S125" s="33" t="e">
        <f t="shared" si="10"/>
        <v>#N/A</v>
      </c>
    </row>
    <row r="126" spans="12:19" x14ac:dyDescent="0.25">
      <c r="L126" s="7" t="e">
        <f>VLOOKUP(A126,'3121% SY'!A:M,'3121% SY'!$M$1,FALSE)</f>
        <v>#N/A</v>
      </c>
      <c r="M126" s="161" t="e">
        <f t="shared" si="5"/>
        <v>#N/A</v>
      </c>
      <c r="N126" s="33" t="e">
        <f t="shared" si="6"/>
        <v>#N/A</v>
      </c>
      <c r="R126" s="161" t="e">
        <f t="shared" si="9"/>
        <v>#N/A</v>
      </c>
      <c r="S126" s="33" t="e">
        <f t="shared" si="10"/>
        <v>#N/A</v>
      </c>
    </row>
    <row r="127" spans="12:19" x14ac:dyDescent="0.25">
      <c r="L127" s="7" t="e">
        <f>VLOOKUP(A127,'3121% SY'!A:M,'3121% SY'!$M$1,FALSE)</f>
        <v>#N/A</v>
      </c>
      <c r="M127" s="161" t="e">
        <f t="shared" si="5"/>
        <v>#N/A</v>
      </c>
      <c r="N127" s="33" t="e">
        <f t="shared" si="6"/>
        <v>#N/A</v>
      </c>
      <c r="R127" s="161" t="e">
        <f t="shared" si="9"/>
        <v>#N/A</v>
      </c>
      <c r="S127" s="33" t="e">
        <f t="shared" si="10"/>
        <v>#N/A</v>
      </c>
    </row>
    <row r="128" spans="12:19" x14ac:dyDescent="0.25">
      <c r="L128" s="7" t="e">
        <f>VLOOKUP(A128,'3121% SY'!A:M,'3121% SY'!$M$1,FALSE)</f>
        <v>#N/A</v>
      </c>
      <c r="M128" s="161" t="e">
        <f t="shared" si="5"/>
        <v>#N/A</v>
      </c>
      <c r="N128" s="33" t="e">
        <f t="shared" si="6"/>
        <v>#N/A</v>
      </c>
      <c r="R128" s="161" t="e">
        <f t="shared" si="9"/>
        <v>#N/A</v>
      </c>
      <c r="S128" s="33" t="e">
        <f t="shared" si="10"/>
        <v>#N/A</v>
      </c>
    </row>
    <row r="129" spans="12:19" x14ac:dyDescent="0.25">
      <c r="L129" s="7" t="e">
        <f>VLOOKUP(A129,'3121% SY'!A:M,'3121% SY'!$M$1,FALSE)</f>
        <v>#N/A</v>
      </c>
      <c r="M129" s="161" t="e">
        <f t="shared" si="5"/>
        <v>#N/A</v>
      </c>
      <c r="N129" s="33" t="e">
        <f t="shared" si="6"/>
        <v>#N/A</v>
      </c>
      <c r="R129" s="161" t="e">
        <f t="shared" si="9"/>
        <v>#N/A</v>
      </c>
      <c r="S129" s="33" t="e">
        <f t="shared" si="10"/>
        <v>#N/A</v>
      </c>
    </row>
    <row r="130" spans="12:19" x14ac:dyDescent="0.25">
      <c r="L130" s="7" t="e">
        <f>VLOOKUP(A130,'3121% SY'!A:M,'3121% SY'!$M$1,FALSE)</f>
        <v>#N/A</v>
      </c>
      <c r="M130" s="161" t="e">
        <f t="shared" si="5"/>
        <v>#N/A</v>
      </c>
      <c r="N130" s="33" t="e">
        <f t="shared" si="6"/>
        <v>#N/A</v>
      </c>
      <c r="R130" s="161" t="e">
        <f t="shared" si="9"/>
        <v>#N/A</v>
      </c>
      <c r="S130" s="33" t="e">
        <f t="shared" si="10"/>
        <v>#N/A</v>
      </c>
    </row>
    <row r="131" spans="12:19" x14ac:dyDescent="0.25">
      <c r="L131" s="7" t="e">
        <f>VLOOKUP(A131,'3121% SY'!A:M,'3121% SY'!$M$1,FALSE)</f>
        <v>#N/A</v>
      </c>
      <c r="M131" s="161" t="e">
        <f t="shared" si="5"/>
        <v>#N/A</v>
      </c>
      <c r="N131" s="33" t="e">
        <f t="shared" si="6"/>
        <v>#N/A</v>
      </c>
      <c r="R131" s="161" t="e">
        <f t="shared" si="9"/>
        <v>#N/A</v>
      </c>
      <c r="S131" s="33" t="e">
        <f t="shared" si="10"/>
        <v>#N/A</v>
      </c>
    </row>
    <row r="132" spans="12:19" x14ac:dyDescent="0.25">
      <c r="L132" s="7" t="e">
        <f>VLOOKUP(A132,'3121% SY'!A:M,'3121% SY'!$M$1,FALSE)</f>
        <v>#N/A</v>
      </c>
      <c r="M132" s="161" t="e">
        <f t="shared" si="5"/>
        <v>#N/A</v>
      </c>
      <c r="N132" s="33" t="e">
        <f t="shared" si="6"/>
        <v>#N/A</v>
      </c>
      <c r="R132" s="161" t="e">
        <f t="shared" ref="R132:R151" si="11">ROUND(Q132*$L132,3)</f>
        <v>#N/A</v>
      </c>
      <c r="S132" s="33" t="e">
        <f t="shared" ref="S132:S151" si="12">SUM(R132,O132:P132)</f>
        <v>#N/A</v>
      </c>
    </row>
    <row r="133" spans="12:19" x14ac:dyDescent="0.25">
      <c r="L133" s="7" t="e">
        <f>VLOOKUP(A133,'3121% SY'!A:M,'3121% SY'!$M$1,FALSE)</f>
        <v>#N/A</v>
      </c>
      <c r="M133" s="161" t="e">
        <f t="shared" ref="M133:M151" si="13">ROUND(I133*$L133,3)+ROUND(J133*$L133,3)++ROUND(K133*$L133,3)</f>
        <v>#N/A</v>
      </c>
      <c r="N133" s="33" t="e">
        <f t="shared" ref="N133:N151" si="14">SUM(M133,B133:H133)</f>
        <v>#N/A</v>
      </c>
      <c r="R133" s="161" t="e">
        <f t="shared" si="11"/>
        <v>#N/A</v>
      </c>
      <c r="S133" s="33" t="e">
        <f t="shared" si="12"/>
        <v>#N/A</v>
      </c>
    </row>
    <row r="134" spans="12:19" x14ac:dyDescent="0.25">
      <c r="L134" s="7" t="e">
        <f>VLOOKUP(A134,'3121% SY'!A:M,'3121% SY'!$M$1,FALSE)</f>
        <v>#N/A</v>
      </c>
      <c r="M134" s="161" t="e">
        <f t="shared" si="13"/>
        <v>#N/A</v>
      </c>
      <c r="N134" s="33" t="e">
        <f t="shared" si="14"/>
        <v>#N/A</v>
      </c>
      <c r="R134" s="161" t="e">
        <f t="shared" si="11"/>
        <v>#N/A</v>
      </c>
      <c r="S134" s="33" t="e">
        <f t="shared" si="12"/>
        <v>#N/A</v>
      </c>
    </row>
    <row r="135" spans="12:19" x14ac:dyDescent="0.25">
      <c r="L135" s="7" t="e">
        <f>VLOOKUP(A135,'3121% SY'!A:M,'3121% SY'!$M$1,FALSE)</f>
        <v>#N/A</v>
      </c>
      <c r="M135" s="161" t="e">
        <f t="shared" si="13"/>
        <v>#N/A</v>
      </c>
      <c r="N135" s="33" t="e">
        <f t="shared" si="14"/>
        <v>#N/A</v>
      </c>
      <c r="R135" s="161" t="e">
        <f t="shared" si="11"/>
        <v>#N/A</v>
      </c>
      <c r="S135" s="33" t="e">
        <f t="shared" si="12"/>
        <v>#N/A</v>
      </c>
    </row>
    <row r="136" spans="12:19" x14ac:dyDescent="0.25">
      <c r="L136" s="7" t="e">
        <f>VLOOKUP(A136,'3121% SY'!A:M,'3121% SY'!$M$1,FALSE)</f>
        <v>#N/A</v>
      </c>
      <c r="M136" s="161" t="e">
        <f t="shared" si="13"/>
        <v>#N/A</v>
      </c>
      <c r="N136" s="33" t="e">
        <f t="shared" si="14"/>
        <v>#N/A</v>
      </c>
      <c r="R136" s="161" t="e">
        <f t="shared" si="11"/>
        <v>#N/A</v>
      </c>
      <c r="S136" s="33" t="e">
        <f t="shared" si="12"/>
        <v>#N/A</v>
      </c>
    </row>
    <row r="137" spans="12:19" x14ac:dyDescent="0.25">
      <c r="L137" s="7" t="e">
        <f>VLOOKUP(A137,'3121% SY'!A:M,'3121% SY'!$M$1,FALSE)</f>
        <v>#N/A</v>
      </c>
      <c r="M137" s="161" t="e">
        <f t="shared" si="13"/>
        <v>#N/A</v>
      </c>
      <c r="N137" s="33" t="e">
        <f t="shared" si="14"/>
        <v>#N/A</v>
      </c>
      <c r="R137" s="161" t="e">
        <f t="shared" si="11"/>
        <v>#N/A</v>
      </c>
      <c r="S137" s="33" t="e">
        <f t="shared" si="12"/>
        <v>#N/A</v>
      </c>
    </row>
    <row r="138" spans="12:19" x14ac:dyDescent="0.25">
      <c r="L138" s="7" t="e">
        <f>VLOOKUP(A138,'3121% SY'!A:M,'3121% SY'!$M$1,FALSE)</f>
        <v>#N/A</v>
      </c>
      <c r="M138" s="161" t="e">
        <f t="shared" si="13"/>
        <v>#N/A</v>
      </c>
      <c r="N138" s="33" t="e">
        <f t="shared" si="14"/>
        <v>#N/A</v>
      </c>
      <c r="R138" s="161" t="e">
        <f t="shared" si="11"/>
        <v>#N/A</v>
      </c>
      <c r="S138" s="33" t="e">
        <f t="shared" si="12"/>
        <v>#N/A</v>
      </c>
    </row>
    <row r="139" spans="12:19" x14ac:dyDescent="0.25">
      <c r="L139" s="7" t="e">
        <f>VLOOKUP(A139,'3121% SY'!A:M,'3121% SY'!$M$1,FALSE)</f>
        <v>#N/A</v>
      </c>
      <c r="M139" s="161" t="e">
        <f t="shared" si="13"/>
        <v>#N/A</v>
      </c>
      <c r="N139" s="33" t="e">
        <f t="shared" si="14"/>
        <v>#N/A</v>
      </c>
      <c r="R139" s="161" t="e">
        <f t="shared" si="11"/>
        <v>#N/A</v>
      </c>
      <c r="S139" s="33" t="e">
        <f t="shared" si="12"/>
        <v>#N/A</v>
      </c>
    </row>
    <row r="140" spans="12:19" x14ac:dyDescent="0.25">
      <c r="L140" s="7" t="e">
        <f>VLOOKUP(A140,'3121% SY'!A:M,'3121% SY'!$M$1,FALSE)</f>
        <v>#N/A</v>
      </c>
      <c r="M140" s="161" t="e">
        <f t="shared" si="13"/>
        <v>#N/A</v>
      </c>
      <c r="N140" s="33" t="e">
        <f t="shared" si="14"/>
        <v>#N/A</v>
      </c>
      <c r="R140" s="161" t="e">
        <f t="shared" si="11"/>
        <v>#N/A</v>
      </c>
      <c r="S140" s="33" t="e">
        <f t="shared" si="12"/>
        <v>#N/A</v>
      </c>
    </row>
    <row r="141" spans="12:19" x14ac:dyDescent="0.25">
      <c r="L141" s="7" t="e">
        <f>VLOOKUP(A141,'3121% SY'!A:M,'3121% SY'!$M$1,FALSE)</f>
        <v>#N/A</v>
      </c>
      <c r="M141" s="161" t="e">
        <f t="shared" si="13"/>
        <v>#N/A</v>
      </c>
      <c r="N141" s="33" t="e">
        <f t="shared" si="14"/>
        <v>#N/A</v>
      </c>
      <c r="R141" s="161" t="e">
        <f t="shared" si="11"/>
        <v>#N/A</v>
      </c>
      <c r="S141" s="33" t="e">
        <f t="shared" si="12"/>
        <v>#N/A</v>
      </c>
    </row>
    <row r="142" spans="12:19" x14ac:dyDescent="0.25">
      <c r="L142" s="7" t="e">
        <f>VLOOKUP(A142,'3121% SY'!A:M,'3121% SY'!$M$1,FALSE)</f>
        <v>#N/A</v>
      </c>
      <c r="M142" s="161" t="e">
        <f t="shared" si="13"/>
        <v>#N/A</v>
      </c>
      <c r="N142" s="33" t="e">
        <f t="shared" si="14"/>
        <v>#N/A</v>
      </c>
      <c r="R142" s="161" t="e">
        <f t="shared" si="11"/>
        <v>#N/A</v>
      </c>
      <c r="S142" s="33" t="e">
        <f t="shared" si="12"/>
        <v>#N/A</v>
      </c>
    </row>
    <row r="143" spans="12:19" x14ac:dyDescent="0.25">
      <c r="L143" s="7" t="e">
        <f>VLOOKUP(A143,'3121% SY'!A:M,'3121% SY'!$M$1,FALSE)</f>
        <v>#N/A</v>
      </c>
      <c r="M143" s="161" t="e">
        <f t="shared" si="13"/>
        <v>#N/A</v>
      </c>
      <c r="N143" s="33" t="e">
        <f t="shared" si="14"/>
        <v>#N/A</v>
      </c>
      <c r="R143" s="161" t="e">
        <f t="shared" si="11"/>
        <v>#N/A</v>
      </c>
      <c r="S143" s="33" t="e">
        <f t="shared" si="12"/>
        <v>#N/A</v>
      </c>
    </row>
    <row r="144" spans="12:19" x14ac:dyDescent="0.25">
      <c r="L144" s="7" t="e">
        <f>VLOOKUP(A144,'3121% SY'!A:M,'3121% SY'!$M$1,FALSE)</f>
        <v>#N/A</v>
      </c>
      <c r="M144" s="161" t="e">
        <f t="shared" si="13"/>
        <v>#N/A</v>
      </c>
      <c r="N144" s="33" t="e">
        <f t="shared" si="14"/>
        <v>#N/A</v>
      </c>
      <c r="R144" s="161" t="e">
        <f t="shared" si="11"/>
        <v>#N/A</v>
      </c>
      <c r="S144" s="33" t="e">
        <f t="shared" si="12"/>
        <v>#N/A</v>
      </c>
    </row>
    <row r="145" spans="12:19" x14ac:dyDescent="0.25">
      <c r="L145" s="7" t="e">
        <f>VLOOKUP(A145,'3121% SY'!A:M,'3121% SY'!$M$1,FALSE)</f>
        <v>#N/A</v>
      </c>
      <c r="M145" s="161" t="e">
        <f t="shared" si="13"/>
        <v>#N/A</v>
      </c>
      <c r="N145" s="33" t="e">
        <f t="shared" si="14"/>
        <v>#N/A</v>
      </c>
      <c r="R145" s="161" t="e">
        <f t="shared" si="11"/>
        <v>#N/A</v>
      </c>
      <c r="S145" s="33" t="e">
        <f t="shared" si="12"/>
        <v>#N/A</v>
      </c>
    </row>
    <row r="146" spans="12:19" x14ac:dyDescent="0.25">
      <c r="L146" s="7" t="e">
        <f>VLOOKUP(A146,'3121% SY'!A:M,'3121% SY'!$M$1,FALSE)</f>
        <v>#N/A</v>
      </c>
      <c r="M146" s="161" t="e">
        <f t="shared" si="13"/>
        <v>#N/A</v>
      </c>
      <c r="N146" s="33" t="e">
        <f t="shared" si="14"/>
        <v>#N/A</v>
      </c>
      <c r="R146" s="161" t="e">
        <f t="shared" si="11"/>
        <v>#N/A</v>
      </c>
      <c r="S146" s="33" t="e">
        <f t="shared" si="12"/>
        <v>#N/A</v>
      </c>
    </row>
    <row r="147" spans="12:19" x14ac:dyDescent="0.25">
      <c r="L147" s="7" t="e">
        <f>VLOOKUP(A147,'3121% SY'!A:M,'3121% SY'!$M$1,FALSE)</f>
        <v>#N/A</v>
      </c>
      <c r="M147" s="161" t="e">
        <f t="shared" si="13"/>
        <v>#N/A</v>
      </c>
      <c r="N147" s="33" t="e">
        <f t="shared" si="14"/>
        <v>#N/A</v>
      </c>
      <c r="R147" s="161" t="e">
        <f t="shared" si="11"/>
        <v>#N/A</v>
      </c>
      <c r="S147" s="33" t="e">
        <f t="shared" si="12"/>
        <v>#N/A</v>
      </c>
    </row>
    <row r="148" spans="12:19" x14ac:dyDescent="0.25">
      <c r="L148" s="7" t="e">
        <f>VLOOKUP(A148,'3121% SY'!A:M,'3121% SY'!$M$1,FALSE)</f>
        <v>#N/A</v>
      </c>
      <c r="M148" s="161" t="e">
        <f t="shared" si="13"/>
        <v>#N/A</v>
      </c>
      <c r="N148" s="33" t="e">
        <f t="shared" si="14"/>
        <v>#N/A</v>
      </c>
      <c r="R148" s="161" t="e">
        <f t="shared" si="11"/>
        <v>#N/A</v>
      </c>
      <c r="S148" s="33" t="e">
        <f t="shared" si="12"/>
        <v>#N/A</v>
      </c>
    </row>
    <row r="149" spans="12:19" x14ac:dyDescent="0.25">
      <c r="L149" s="7" t="e">
        <f>VLOOKUP(A149,'3121% SY'!A:M,'3121% SY'!$M$1,FALSE)</f>
        <v>#N/A</v>
      </c>
      <c r="M149" s="161" t="e">
        <f t="shared" si="13"/>
        <v>#N/A</v>
      </c>
      <c r="N149" s="33" t="e">
        <f t="shared" si="14"/>
        <v>#N/A</v>
      </c>
      <c r="R149" s="161" t="e">
        <f t="shared" si="11"/>
        <v>#N/A</v>
      </c>
      <c r="S149" s="33" t="e">
        <f t="shared" si="12"/>
        <v>#N/A</v>
      </c>
    </row>
    <row r="150" spans="12:19" x14ac:dyDescent="0.25">
      <c r="L150" s="7" t="e">
        <f>VLOOKUP(A150,'3121% SY'!A:M,'3121% SY'!$M$1,FALSE)</f>
        <v>#N/A</v>
      </c>
      <c r="M150" s="161" t="e">
        <f t="shared" si="13"/>
        <v>#N/A</v>
      </c>
      <c r="N150" s="33" t="e">
        <f t="shared" si="14"/>
        <v>#N/A</v>
      </c>
      <c r="R150" s="161" t="e">
        <f t="shared" si="11"/>
        <v>#N/A</v>
      </c>
      <c r="S150" s="33" t="e">
        <f t="shared" si="12"/>
        <v>#N/A</v>
      </c>
    </row>
    <row r="151" spans="12:19" x14ac:dyDescent="0.25">
      <c r="L151" s="7" t="e">
        <f>VLOOKUP(A151,'3121% SY'!A:M,'3121% SY'!$M$1,FALSE)</f>
        <v>#N/A</v>
      </c>
      <c r="M151" s="161" t="e">
        <f t="shared" si="13"/>
        <v>#N/A</v>
      </c>
      <c r="N151" s="33" t="e">
        <f t="shared" si="14"/>
        <v>#N/A</v>
      </c>
      <c r="R151" s="161" t="e">
        <f t="shared" si="11"/>
        <v>#N/A</v>
      </c>
      <c r="S151" s="33" t="e">
        <f t="shared" si="12"/>
        <v>#N/A</v>
      </c>
    </row>
  </sheetData>
  <mergeCells count="1">
    <mergeCell ref="B2:H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A76B9-DAF5-4C36-8DC9-72F5E66C2F37}">
  <sheetPr codeName="Sheet33"/>
  <dimension ref="A1:T151"/>
  <sheetViews>
    <sheetView workbookViewId="0">
      <selection activeCell="L4" sqref="L4:L151"/>
    </sheetView>
  </sheetViews>
  <sheetFormatPr defaultRowHeight="15" x14ac:dyDescent="0.25"/>
  <cols>
    <col min="1" max="1" width="13.140625" bestFit="1" customWidth="1"/>
    <col min="2" max="2" width="12.7109375" bestFit="1" customWidth="1"/>
    <col min="3" max="3" width="13.7109375" bestFit="1" customWidth="1"/>
    <col min="4" max="4" width="13.140625" bestFit="1" customWidth="1"/>
    <col min="5" max="6" width="14.85546875" bestFit="1" customWidth="1"/>
    <col min="7" max="7" width="15.7109375" bestFit="1" customWidth="1"/>
    <col min="8" max="8" width="15.140625" bestFit="1" customWidth="1"/>
    <col min="9" max="9" width="14.85546875" bestFit="1" customWidth="1"/>
    <col min="10" max="10" width="15.7109375" bestFit="1" customWidth="1"/>
    <col min="11" max="11" width="15.140625" bestFit="1" customWidth="1"/>
    <col min="12" max="12" width="12.7109375" bestFit="1" customWidth="1"/>
    <col min="13" max="13" width="17.42578125" bestFit="1" customWidth="1"/>
    <col min="14" max="14" width="12.7109375" bestFit="1" customWidth="1"/>
    <col min="15" max="16" width="16" bestFit="1" customWidth="1"/>
    <col min="17" max="17" width="13.5703125" bestFit="1" customWidth="1"/>
    <col min="18" max="18" width="12.7109375" bestFit="1" customWidth="1"/>
    <col min="19" max="19" width="21" bestFit="1" customWidth="1"/>
    <col min="20" max="43" width="12.7109375" bestFit="1" customWidth="1"/>
  </cols>
  <sheetData>
    <row r="1" spans="1:20" x14ac:dyDescent="0.25">
      <c r="A1" s="87">
        <f>COLUMN(A1)</f>
        <v>1</v>
      </c>
      <c r="B1" s="87">
        <f>COLUMN(B1)</f>
        <v>2</v>
      </c>
      <c r="C1" s="87">
        <f t="shared" ref="C1:S1" si="0">COLUMN(C1)</f>
        <v>3</v>
      </c>
      <c r="D1" s="87">
        <f t="shared" si="0"/>
        <v>4</v>
      </c>
      <c r="E1" s="87">
        <f t="shared" si="0"/>
        <v>5</v>
      </c>
      <c r="F1" s="87">
        <f t="shared" si="0"/>
        <v>6</v>
      </c>
      <c r="G1" s="87">
        <f t="shared" si="0"/>
        <v>7</v>
      </c>
      <c r="H1" s="87">
        <f t="shared" si="0"/>
        <v>8</v>
      </c>
      <c r="I1" s="87">
        <f t="shared" si="0"/>
        <v>9</v>
      </c>
      <c r="J1" s="87">
        <f t="shared" si="0"/>
        <v>10</v>
      </c>
      <c r="K1" s="87">
        <f t="shared" si="0"/>
        <v>11</v>
      </c>
      <c r="L1" s="87">
        <f t="shared" si="0"/>
        <v>12</v>
      </c>
      <c r="M1" s="87">
        <f t="shared" si="0"/>
        <v>13</v>
      </c>
      <c r="N1" s="87">
        <f t="shared" si="0"/>
        <v>14</v>
      </c>
      <c r="O1" s="87">
        <f t="shared" si="0"/>
        <v>15</v>
      </c>
      <c r="P1" s="87">
        <f t="shared" si="0"/>
        <v>16</v>
      </c>
      <c r="Q1" s="87">
        <f t="shared" si="0"/>
        <v>17</v>
      </c>
      <c r="R1" s="87">
        <f t="shared" si="0"/>
        <v>18</v>
      </c>
      <c r="S1" s="87">
        <f t="shared" si="0"/>
        <v>19</v>
      </c>
      <c r="T1" s="87"/>
    </row>
    <row r="2" spans="1:20" x14ac:dyDescent="0.25">
      <c r="A2">
        <f>COUNTA(A4:A150)</f>
        <v>24</v>
      </c>
      <c r="B2" s="290" t="s">
        <v>720</v>
      </c>
      <c r="C2" s="290"/>
      <c r="D2" s="290"/>
      <c r="E2" s="290"/>
      <c r="F2" s="290"/>
      <c r="G2" s="290"/>
      <c r="H2" s="290"/>
      <c r="I2" s="156"/>
      <c r="J2" s="156"/>
      <c r="K2" s="156"/>
      <c r="N2" s="33" t="e">
        <f>SUM(N5:N150)</f>
        <v>#N/A</v>
      </c>
    </row>
    <row r="3" spans="1:20" x14ac:dyDescent="0.25">
      <c r="A3" s="91" t="s">
        <v>752</v>
      </c>
      <c r="B3" t="s">
        <v>790</v>
      </c>
      <c r="C3" t="s">
        <v>830</v>
      </c>
      <c r="D3" t="s">
        <v>871</v>
      </c>
      <c r="E3" t="s">
        <v>1137</v>
      </c>
      <c r="F3" t="s">
        <v>803</v>
      </c>
      <c r="G3" t="s">
        <v>843</v>
      </c>
      <c r="H3" t="s">
        <v>884</v>
      </c>
      <c r="I3" t="s">
        <v>816</v>
      </c>
      <c r="J3" t="s">
        <v>857</v>
      </c>
      <c r="K3" t="s">
        <v>896</v>
      </c>
      <c r="L3" s="6">
        <v>31.21</v>
      </c>
      <c r="M3" t="str">
        <f>"SpEd Staffed "&amp;$B$2</f>
        <v>SpEd Staffed Psychologist</v>
      </c>
      <c r="N3" s="162" t="str">
        <f>"Total "&amp;$B$2</f>
        <v>Total Psychologist</v>
      </c>
      <c r="O3" t="s">
        <v>1062</v>
      </c>
      <c r="P3" t="s">
        <v>1063</v>
      </c>
      <c r="Q3" t="s">
        <v>1061</v>
      </c>
      <c r="R3" t="str">
        <f>"SpEd Contracted "&amp;$B$2</f>
        <v>SpEd Contracted Psychologist</v>
      </c>
      <c r="S3" s="162" t="str">
        <f>"Total Contracted "&amp;$B$2</f>
        <v>Total Contracted Psychologist</v>
      </c>
    </row>
    <row r="4" spans="1:20" x14ac:dyDescent="0.25">
      <c r="A4" s="88" t="s">
        <v>7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0.01</v>
      </c>
      <c r="J4">
        <v>8.9999999999999993E-3</v>
      </c>
      <c r="K4">
        <v>8.9999999999999993E-3</v>
      </c>
      <c r="L4" s="7">
        <f>VLOOKUP(A4,'3121% SY'!A:M,'3121% SY'!$M$1,FALSE)</f>
        <v>0.1179</v>
      </c>
      <c r="M4" s="161">
        <f>ROUND(I4*$L4,3)+ROUND(J4*$L4,3)++ROUND(K4*$L4,3)</f>
        <v>3.0000000000000001E-3</v>
      </c>
      <c r="N4" s="33">
        <f>SUM(M4,B4:H4)</f>
        <v>3.0000000000000001E-3</v>
      </c>
      <c r="R4" s="161">
        <f>ROUND(Q4*$L4,3)</f>
        <v>0</v>
      </c>
      <c r="S4" s="33">
        <f>SUM(R4,O4:P4)</f>
        <v>0</v>
      </c>
    </row>
    <row r="5" spans="1:20" x14ac:dyDescent="0.25">
      <c r="A5" s="88" t="s">
        <v>40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7">
        <f>VLOOKUP(A5,'3121% SY'!A:M,'3121% SY'!$M$1,FALSE)</f>
        <v>0.1794</v>
      </c>
      <c r="M5" s="161">
        <f t="shared" ref="M5:M68" si="1">ROUND(I5*$L5,3)+ROUND(J5*$L5,3)++ROUND(K5*$L5,3)</f>
        <v>0</v>
      </c>
      <c r="N5" s="33">
        <f t="shared" ref="N5:N68" si="2">SUM(M5,B5:H5)</f>
        <v>0</v>
      </c>
      <c r="R5" s="161">
        <f t="shared" ref="R5:R68" si="3">ROUND(Q5*$L5,3)</f>
        <v>0</v>
      </c>
      <c r="S5" s="33">
        <f t="shared" ref="S5:S68" si="4">SUM(R5,O5:P5)</f>
        <v>0</v>
      </c>
    </row>
    <row r="6" spans="1:20" x14ac:dyDescent="0.25">
      <c r="A6" s="88" t="s">
        <v>61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0.57099999999999995</v>
      </c>
      <c r="J6">
        <v>0.14299999999999999</v>
      </c>
      <c r="K6">
        <v>0.28599999999999998</v>
      </c>
      <c r="L6" s="7">
        <f>VLOOKUP(A6,'3121% SY'!A:M,'3121% SY'!$M$1,FALSE)</f>
        <v>0.24629999999999996</v>
      </c>
      <c r="M6" s="161">
        <f t="shared" si="1"/>
        <v>0.246</v>
      </c>
      <c r="N6" s="33">
        <f t="shared" si="2"/>
        <v>0.246</v>
      </c>
      <c r="R6" s="161">
        <f t="shared" si="3"/>
        <v>0</v>
      </c>
      <c r="S6" s="33">
        <f t="shared" si="4"/>
        <v>0</v>
      </c>
    </row>
    <row r="7" spans="1:20" x14ac:dyDescent="0.25">
      <c r="A7" s="88" t="s">
        <v>78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0.35399999999999998</v>
      </c>
      <c r="J7">
        <v>9.6000000000000002E-2</v>
      </c>
      <c r="K7">
        <v>0</v>
      </c>
      <c r="L7" s="7">
        <f>VLOOKUP(A7,'3121% SY'!A:M,'3121% SY'!$M$1,FALSE)</f>
        <v>0.17600000000000005</v>
      </c>
      <c r="M7" s="161">
        <f t="shared" si="1"/>
        <v>7.9000000000000001E-2</v>
      </c>
      <c r="N7" s="33">
        <f t="shared" si="2"/>
        <v>7.9000000000000001E-2</v>
      </c>
      <c r="R7" s="161">
        <f t="shared" si="3"/>
        <v>0</v>
      </c>
      <c r="S7" s="33">
        <f t="shared" si="4"/>
        <v>0</v>
      </c>
    </row>
    <row r="8" spans="1:20" x14ac:dyDescent="0.25">
      <c r="A8" s="88" t="s">
        <v>84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0.12</v>
      </c>
      <c r="J8">
        <v>0</v>
      </c>
      <c r="K8">
        <v>0</v>
      </c>
      <c r="L8" s="7">
        <f>VLOOKUP(A8,'3121% SY'!A:M,'3121% SY'!$M$1,FALSE)</f>
        <v>8.9999999999999969E-2</v>
      </c>
      <c r="M8" s="161">
        <f t="shared" si="1"/>
        <v>1.0999999999999999E-2</v>
      </c>
      <c r="N8" s="33">
        <f t="shared" si="2"/>
        <v>1.0999999999999999E-2</v>
      </c>
      <c r="R8" s="161">
        <f t="shared" si="3"/>
        <v>0</v>
      </c>
      <c r="S8" s="33">
        <f t="shared" si="4"/>
        <v>0</v>
      </c>
    </row>
    <row r="9" spans="1:20" x14ac:dyDescent="0.25">
      <c r="A9" s="88" t="s">
        <v>87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7">
        <f>VLOOKUP(A9,'3121% SY'!A:M,'3121% SY'!$M$1,FALSE)</f>
        <v>0.18340000000000001</v>
      </c>
      <c r="M9" s="161">
        <f t="shared" si="1"/>
        <v>0</v>
      </c>
      <c r="N9" s="33">
        <f t="shared" si="2"/>
        <v>0</v>
      </c>
      <c r="R9" s="161">
        <f t="shared" si="3"/>
        <v>0</v>
      </c>
      <c r="S9" s="33">
        <f t="shared" si="4"/>
        <v>0</v>
      </c>
    </row>
    <row r="10" spans="1:20" x14ac:dyDescent="0.25">
      <c r="A10" s="88" t="s">
        <v>89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7">
        <f>VLOOKUP(A10,'3121% SY'!A:M,'3121% SY'!$M$1,FALSE)</f>
        <v>0.22170000000000001</v>
      </c>
      <c r="M10" s="161">
        <f t="shared" si="1"/>
        <v>0</v>
      </c>
      <c r="N10" s="33">
        <f t="shared" si="2"/>
        <v>0</v>
      </c>
      <c r="R10" s="161">
        <f t="shared" si="3"/>
        <v>0</v>
      </c>
      <c r="S10" s="33">
        <f t="shared" si="4"/>
        <v>0</v>
      </c>
    </row>
    <row r="11" spans="1:20" x14ac:dyDescent="0.25">
      <c r="A11" s="88" t="s">
        <v>141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7">
        <f>VLOOKUP(A11,'3121% SY'!A:M,'3121% SY'!$M$1,FALSE)</f>
        <v>0.31479999999999997</v>
      </c>
      <c r="M11" s="161">
        <f t="shared" si="1"/>
        <v>0</v>
      </c>
      <c r="N11" s="33">
        <f t="shared" si="2"/>
        <v>0</v>
      </c>
      <c r="R11" s="161">
        <f t="shared" si="3"/>
        <v>0</v>
      </c>
      <c r="S11" s="33">
        <f t="shared" si="4"/>
        <v>0</v>
      </c>
    </row>
    <row r="12" spans="1:20" x14ac:dyDescent="0.25">
      <c r="A12" s="88" t="s">
        <v>145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0.6</v>
      </c>
      <c r="J12">
        <v>0.15</v>
      </c>
      <c r="K12">
        <v>0.25</v>
      </c>
      <c r="L12" s="7">
        <f>VLOOKUP(A12,'3121% SY'!A:M,'3121% SY'!$M$1,FALSE)</f>
        <v>0.28620000000000001</v>
      </c>
      <c r="M12" s="161">
        <f t="shared" si="1"/>
        <v>0.28699999999999998</v>
      </c>
      <c r="N12" s="33">
        <f t="shared" si="2"/>
        <v>0.28699999999999998</v>
      </c>
      <c r="R12" s="161">
        <f t="shared" si="3"/>
        <v>0</v>
      </c>
      <c r="S12" s="33">
        <f t="shared" si="4"/>
        <v>0</v>
      </c>
    </row>
    <row r="13" spans="1:20" x14ac:dyDescent="0.25">
      <c r="A13" s="88" t="s">
        <v>146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0.5</v>
      </c>
      <c r="J13">
        <v>0.3</v>
      </c>
      <c r="K13">
        <v>0.2</v>
      </c>
      <c r="L13" s="7">
        <f>VLOOKUP(A13,'3121% SY'!A:M,'3121% SY'!$M$1,FALSE)</f>
        <v>0.25719999999999998</v>
      </c>
      <c r="M13" s="161">
        <f t="shared" si="1"/>
        <v>0.25700000000000001</v>
      </c>
      <c r="N13" s="33">
        <f t="shared" si="2"/>
        <v>0.25700000000000001</v>
      </c>
      <c r="R13" s="161">
        <f t="shared" si="3"/>
        <v>0</v>
      </c>
      <c r="S13" s="33">
        <f t="shared" si="4"/>
        <v>0</v>
      </c>
    </row>
    <row r="14" spans="1:20" x14ac:dyDescent="0.25">
      <c r="A14" s="88" t="s">
        <v>162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7">
        <f>VLOOKUP(A14,'3121% SY'!A:M,'3121% SY'!$M$1,FALSE)</f>
        <v>0.19820000000000004</v>
      </c>
      <c r="M14" s="161">
        <f t="shared" si="1"/>
        <v>0</v>
      </c>
      <c r="N14" s="33">
        <f t="shared" si="2"/>
        <v>0</v>
      </c>
      <c r="R14" s="161">
        <f t="shared" si="3"/>
        <v>0</v>
      </c>
      <c r="S14" s="33">
        <f t="shared" si="4"/>
        <v>0</v>
      </c>
    </row>
    <row r="15" spans="1:20" x14ac:dyDescent="0.25">
      <c r="A15" s="88" t="s">
        <v>163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0.66</v>
      </c>
      <c r="J15">
        <v>0.34</v>
      </c>
      <c r="K15">
        <v>0</v>
      </c>
      <c r="L15" s="7">
        <f>VLOOKUP(A15,'3121% SY'!A:M,'3121% SY'!$M$1,FALSE)</f>
        <v>0.20989999999999998</v>
      </c>
      <c r="M15" s="161">
        <f t="shared" si="1"/>
        <v>0.21000000000000002</v>
      </c>
      <c r="N15" s="33">
        <f t="shared" si="2"/>
        <v>0.21000000000000002</v>
      </c>
      <c r="R15" s="161">
        <f t="shared" si="3"/>
        <v>0</v>
      </c>
      <c r="S15" s="33">
        <f t="shared" si="4"/>
        <v>0</v>
      </c>
    </row>
    <row r="16" spans="1:20" x14ac:dyDescent="0.25">
      <c r="A16" s="88" t="s">
        <v>176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0.2</v>
      </c>
      <c r="J16">
        <v>2.5000000000000001E-2</v>
      </c>
      <c r="K16">
        <v>2.5000000000000001E-2</v>
      </c>
      <c r="L16" s="7">
        <f>VLOOKUP(A16,'3121% SY'!A:M,'3121% SY'!$M$1,FALSE)</f>
        <v>0.29900000000000004</v>
      </c>
      <c r="M16" s="161">
        <f t="shared" si="1"/>
        <v>7.400000000000001E-2</v>
      </c>
      <c r="N16" s="33">
        <f t="shared" si="2"/>
        <v>7.400000000000001E-2</v>
      </c>
      <c r="R16" s="161">
        <f t="shared" si="3"/>
        <v>0</v>
      </c>
      <c r="S16" s="33">
        <f t="shared" si="4"/>
        <v>0</v>
      </c>
    </row>
    <row r="17" spans="1:19" x14ac:dyDescent="0.25">
      <c r="A17" s="88" t="s">
        <v>233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7">
        <f>VLOOKUP(A17,'3121% SY'!A:M,'3121% SY'!$M$1,FALSE)</f>
        <v>0.20020000000000004</v>
      </c>
      <c r="M17" s="161">
        <f t="shared" si="1"/>
        <v>0</v>
      </c>
      <c r="N17" s="33">
        <f t="shared" si="2"/>
        <v>0</v>
      </c>
      <c r="R17" s="161">
        <f t="shared" si="3"/>
        <v>0</v>
      </c>
      <c r="S17" s="33">
        <f t="shared" si="4"/>
        <v>0</v>
      </c>
    </row>
    <row r="18" spans="1:19" x14ac:dyDescent="0.25">
      <c r="A18" s="88" t="s">
        <v>250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7">
        <f>VLOOKUP(A18,'3121% SY'!A:M,'3121% SY'!$M$1,FALSE)</f>
        <v>0.15839999999999999</v>
      </c>
      <c r="M18" s="161">
        <f t="shared" si="1"/>
        <v>0</v>
      </c>
      <c r="N18" s="33">
        <f t="shared" si="2"/>
        <v>0</v>
      </c>
      <c r="R18" s="161">
        <f t="shared" si="3"/>
        <v>0</v>
      </c>
      <c r="S18" s="33">
        <f t="shared" si="4"/>
        <v>0</v>
      </c>
    </row>
    <row r="19" spans="1:19" x14ac:dyDescent="0.25">
      <c r="A19" s="88" t="s">
        <v>256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0.33</v>
      </c>
      <c r="J19">
        <v>0.33</v>
      </c>
      <c r="K19">
        <v>0.34</v>
      </c>
      <c r="L19" s="7">
        <f>VLOOKUP(A19,'3121% SY'!A:M,'3121% SY'!$M$1,FALSE)</f>
        <v>0.23140000000000005</v>
      </c>
      <c r="M19" s="161">
        <f t="shared" si="1"/>
        <v>0.23099999999999998</v>
      </c>
      <c r="N19" s="33">
        <f t="shared" si="2"/>
        <v>0.23099999999999998</v>
      </c>
      <c r="R19" s="161">
        <f t="shared" si="3"/>
        <v>0</v>
      </c>
      <c r="S19" s="33">
        <f t="shared" si="4"/>
        <v>0</v>
      </c>
    </row>
    <row r="20" spans="1:19" x14ac:dyDescent="0.25">
      <c r="A20" s="88" t="s">
        <v>259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1</v>
      </c>
      <c r="J20">
        <v>0</v>
      </c>
      <c r="K20">
        <v>1</v>
      </c>
      <c r="L20" s="7">
        <f>VLOOKUP(A20,'3121% SY'!A:M,'3121% SY'!$M$1,FALSE)</f>
        <v>0.24870000000000003</v>
      </c>
      <c r="M20" s="161">
        <f t="shared" si="1"/>
        <v>0.498</v>
      </c>
      <c r="N20" s="33">
        <f t="shared" si="2"/>
        <v>0.498</v>
      </c>
      <c r="R20" s="161">
        <f t="shared" si="3"/>
        <v>0</v>
      </c>
      <c r="S20" s="33">
        <f t="shared" si="4"/>
        <v>0</v>
      </c>
    </row>
    <row r="21" spans="1:19" x14ac:dyDescent="0.25">
      <c r="A21" s="88" t="s">
        <v>280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0.24</v>
      </c>
      <c r="J21">
        <v>0.08</v>
      </c>
      <c r="K21">
        <v>0.19</v>
      </c>
      <c r="L21" s="7">
        <f>VLOOKUP(A21,'3121% SY'!A:M,'3121% SY'!$M$1,FALSE)</f>
        <v>0.18340000000000001</v>
      </c>
      <c r="M21" s="161">
        <f t="shared" si="1"/>
        <v>9.4E-2</v>
      </c>
      <c r="N21" s="33">
        <f t="shared" si="2"/>
        <v>9.4E-2</v>
      </c>
      <c r="R21" s="161">
        <f t="shared" si="3"/>
        <v>0</v>
      </c>
      <c r="S21" s="33">
        <f t="shared" si="4"/>
        <v>0</v>
      </c>
    </row>
    <row r="22" spans="1:19" x14ac:dyDescent="0.25">
      <c r="A22" s="88" t="s">
        <v>284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0.14000000000000001</v>
      </c>
      <c r="J22">
        <v>0.02</v>
      </c>
      <c r="K22">
        <v>0.03</v>
      </c>
      <c r="L22" s="7">
        <f>VLOOKUP(A22,'3121% SY'!A:M,'3121% SY'!$M$1,FALSE)</f>
        <v>0.14729999999999999</v>
      </c>
      <c r="M22" s="161">
        <f t="shared" si="1"/>
        <v>2.8000000000000001E-2</v>
      </c>
      <c r="N22" s="33">
        <f t="shared" si="2"/>
        <v>2.8000000000000001E-2</v>
      </c>
      <c r="R22" s="161">
        <f t="shared" si="3"/>
        <v>0</v>
      </c>
      <c r="S22" s="33">
        <f t="shared" si="4"/>
        <v>0</v>
      </c>
    </row>
    <row r="23" spans="1:19" x14ac:dyDescent="0.25">
      <c r="A23" s="88" t="s">
        <v>289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7">
        <f>VLOOKUP(A23,'3121% SY'!A:M,'3121% SY'!$M$1,FALSE)</f>
        <v>0.19010000000000005</v>
      </c>
      <c r="M23" s="161">
        <f t="shared" si="1"/>
        <v>0</v>
      </c>
      <c r="N23" s="33">
        <f t="shared" si="2"/>
        <v>0</v>
      </c>
      <c r="R23" s="161">
        <f t="shared" si="3"/>
        <v>0</v>
      </c>
      <c r="S23" s="33">
        <f t="shared" si="4"/>
        <v>0</v>
      </c>
    </row>
    <row r="24" spans="1:19" x14ac:dyDescent="0.25">
      <c r="A24" s="88" t="s">
        <v>290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7">
        <f>VLOOKUP(A24,'3121% SY'!A:M,'3121% SY'!$M$1,FALSE)</f>
        <v>0.15839999999999999</v>
      </c>
      <c r="M24" s="161">
        <f t="shared" si="1"/>
        <v>0</v>
      </c>
      <c r="N24" s="33">
        <f t="shared" si="2"/>
        <v>0</v>
      </c>
      <c r="R24" s="161">
        <f t="shared" si="3"/>
        <v>0</v>
      </c>
      <c r="S24" s="33">
        <f t="shared" si="4"/>
        <v>0</v>
      </c>
    </row>
    <row r="25" spans="1:19" x14ac:dyDescent="0.25">
      <c r="A25" s="88" t="s">
        <v>302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7">
        <f>VLOOKUP(A25,'3121% SY'!A:M,'3121% SY'!$M$1,FALSE)</f>
        <v>0.21989999999999998</v>
      </c>
      <c r="M25" s="161">
        <f t="shared" si="1"/>
        <v>0</v>
      </c>
      <c r="N25" s="33">
        <f t="shared" si="2"/>
        <v>0</v>
      </c>
      <c r="R25" s="161">
        <f t="shared" si="3"/>
        <v>0</v>
      </c>
      <c r="S25" s="33">
        <f t="shared" si="4"/>
        <v>0</v>
      </c>
    </row>
    <row r="26" spans="1:19" x14ac:dyDescent="0.25">
      <c r="A26" s="88" t="s">
        <v>1098</v>
      </c>
      <c r="L26" s="7" t="e">
        <f>VLOOKUP(A26,'3121% SY'!A:M,'3121% SY'!$M$1,FALSE)</f>
        <v>#N/A</v>
      </c>
      <c r="M26" s="161" t="e">
        <f t="shared" si="1"/>
        <v>#N/A</v>
      </c>
      <c r="N26" s="33" t="e">
        <f t="shared" si="2"/>
        <v>#N/A</v>
      </c>
      <c r="R26" s="161" t="e">
        <f t="shared" si="3"/>
        <v>#N/A</v>
      </c>
      <c r="S26" s="33" t="e">
        <f t="shared" si="4"/>
        <v>#N/A</v>
      </c>
    </row>
    <row r="27" spans="1:19" x14ac:dyDescent="0.25">
      <c r="A27" s="88" t="s">
        <v>753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4.7250000000000005</v>
      </c>
      <c r="J27">
        <v>1.4930000000000001</v>
      </c>
      <c r="K27">
        <v>2.3299999999999996</v>
      </c>
      <c r="L27" s="7" t="e">
        <f>VLOOKUP(A27,'3121% SY'!A:M,'3121% SY'!$M$1,FALSE)</f>
        <v>#N/A</v>
      </c>
      <c r="M27" s="161" t="e">
        <f t="shared" si="1"/>
        <v>#N/A</v>
      </c>
      <c r="N27" s="33" t="e">
        <f t="shared" si="2"/>
        <v>#N/A</v>
      </c>
      <c r="R27" s="161" t="e">
        <f t="shared" si="3"/>
        <v>#N/A</v>
      </c>
      <c r="S27" s="33" t="e">
        <f t="shared" si="4"/>
        <v>#N/A</v>
      </c>
    </row>
    <row r="28" spans="1:19" x14ac:dyDescent="0.25">
      <c r="L28" s="7" t="e">
        <f>VLOOKUP(A28,'3121% SY'!A:M,'3121% SY'!$M$1,FALSE)</f>
        <v>#N/A</v>
      </c>
      <c r="M28" s="161" t="e">
        <f t="shared" si="1"/>
        <v>#N/A</v>
      </c>
      <c r="N28" s="33" t="e">
        <f t="shared" si="2"/>
        <v>#N/A</v>
      </c>
      <c r="R28" s="161" t="e">
        <f t="shared" si="3"/>
        <v>#N/A</v>
      </c>
      <c r="S28" s="33" t="e">
        <f t="shared" si="4"/>
        <v>#N/A</v>
      </c>
    </row>
    <row r="29" spans="1:19" x14ac:dyDescent="0.25">
      <c r="L29" s="7" t="e">
        <f>VLOOKUP(A29,'3121% SY'!A:M,'3121% SY'!$M$1,FALSE)</f>
        <v>#N/A</v>
      </c>
      <c r="M29" s="161" t="e">
        <f t="shared" si="1"/>
        <v>#N/A</v>
      </c>
      <c r="N29" s="33" t="e">
        <f t="shared" si="2"/>
        <v>#N/A</v>
      </c>
      <c r="R29" s="161" t="e">
        <f t="shared" si="3"/>
        <v>#N/A</v>
      </c>
      <c r="S29" s="33" t="e">
        <f t="shared" si="4"/>
        <v>#N/A</v>
      </c>
    </row>
    <row r="30" spans="1:19" x14ac:dyDescent="0.25">
      <c r="L30" s="7" t="e">
        <f>VLOOKUP(A30,'3121% SY'!A:M,'3121% SY'!$M$1,FALSE)</f>
        <v>#N/A</v>
      </c>
      <c r="M30" s="161" t="e">
        <f t="shared" si="1"/>
        <v>#N/A</v>
      </c>
      <c r="N30" s="33" t="e">
        <f t="shared" si="2"/>
        <v>#N/A</v>
      </c>
      <c r="R30" s="161" t="e">
        <f t="shared" si="3"/>
        <v>#N/A</v>
      </c>
      <c r="S30" s="33" t="e">
        <f t="shared" si="4"/>
        <v>#N/A</v>
      </c>
    </row>
    <row r="31" spans="1:19" x14ac:dyDescent="0.25">
      <c r="L31" s="7" t="e">
        <f>VLOOKUP(A31,'3121% SY'!A:M,'3121% SY'!$M$1,FALSE)</f>
        <v>#N/A</v>
      </c>
      <c r="M31" s="161" t="e">
        <f t="shared" si="1"/>
        <v>#N/A</v>
      </c>
      <c r="N31" s="33" t="e">
        <f t="shared" si="2"/>
        <v>#N/A</v>
      </c>
      <c r="R31" s="161" t="e">
        <f t="shared" si="3"/>
        <v>#N/A</v>
      </c>
      <c r="S31" s="33" t="e">
        <f t="shared" si="4"/>
        <v>#N/A</v>
      </c>
    </row>
    <row r="32" spans="1:19" x14ac:dyDescent="0.25">
      <c r="L32" s="7" t="e">
        <f>VLOOKUP(A32,'3121% SY'!A:M,'3121% SY'!$M$1,FALSE)</f>
        <v>#N/A</v>
      </c>
      <c r="M32" s="161" t="e">
        <f t="shared" si="1"/>
        <v>#N/A</v>
      </c>
      <c r="N32" s="33" t="e">
        <f t="shared" si="2"/>
        <v>#N/A</v>
      </c>
      <c r="R32" s="161" t="e">
        <f t="shared" si="3"/>
        <v>#N/A</v>
      </c>
      <c r="S32" s="33" t="e">
        <f t="shared" si="4"/>
        <v>#N/A</v>
      </c>
    </row>
    <row r="33" spans="12:19" x14ac:dyDescent="0.25">
      <c r="L33" s="7" t="e">
        <f>VLOOKUP(A33,'3121% SY'!A:M,'3121% SY'!$M$1,FALSE)</f>
        <v>#N/A</v>
      </c>
      <c r="M33" s="161" t="e">
        <f t="shared" si="1"/>
        <v>#N/A</v>
      </c>
      <c r="N33" s="33" t="e">
        <f t="shared" si="2"/>
        <v>#N/A</v>
      </c>
      <c r="R33" s="161" t="e">
        <f t="shared" si="3"/>
        <v>#N/A</v>
      </c>
      <c r="S33" s="33" t="e">
        <f t="shared" si="4"/>
        <v>#N/A</v>
      </c>
    </row>
    <row r="34" spans="12:19" x14ac:dyDescent="0.25">
      <c r="L34" s="7" t="e">
        <f>VLOOKUP(A34,'3121% SY'!A:M,'3121% SY'!$M$1,FALSE)</f>
        <v>#N/A</v>
      </c>
      <c r="M34" s="161" t="e">
        <f t="shared" si="1"/>
        <v>#N/A</v>
      </c>
      <c r="N34" s="33" t="e">
        <f t="shared" si="2"/>
        <v>#N/A</v>
      </c>
      <c r="R34" s="161" t="e">
        <f t="shared" si="3"/>
        <v>#N/A</v>
      </c>
      <c r="S34" s="33" t="e">
        <f t="shared" si="4"/>
        <v>#N/A</v>
      </c>
    </row>
    <row r="35" spans="12:19" x14ac:dyDescent="0.25">
      <c r="L35" s="7" t="e">
        <f>VLOOKUP(A35,'3121% SY'!A:M,'3121% SY'!$M$1,FALSE)</f>
        <v>#N/A</v>
      </c>
      <c r="M35" s="161" t="e">
        <f t="shared" si="1"/>
        <v>#N/A</v>
      </c>
      <c r="N35" s="33" t="e">
        <f t="shared" si="2"/>
        <v>#N/A</v>
      </c>
      <c r="R35" s="161" t="e">
        <f t="shared" si="3"/>
        <v>#N/A</v>
      </c>
      <c r="S35" s="33" t="e">
        <f t="shared" si="4"/>
        <v>#N/A</v>
      </c>
    </row>
    <row r="36" spans="12:19" x14ac:dyDescent="0.25">
      <c r="L36" s="7" t="e">
        <f>VLOOKUP(A36,'3121% SY'!A:M,'3121% SY'!$M$1,FALSE)</f>
        <v>#N/A</v>
      </c>
      <c r="M36" s="161" t="e">
        <f t="shared" si="1"/>
        <v>#N/A</v>
      </c>
      <c r="N36" s="33" t="e">
        <f t="shared" si="2"/>
        <v>#N/A</v>
      </c>
      <c r="R36" s="161" t="e">
        <f t="shared" si="3"/>
        <v>#N/A</v>
      </c>
      <c r="S36" s="33" t="e">
        <f t="shared" si="4"/>
        <v>#N/A</v>
      </c>
    </row>
    <row r="37" spans="12:19" x14ac:dyDescent="0.25">
      <c r="L37" s="7" t="e">
        <f>VLOOKUP(A37,'3121% SY'!A:M,'3121% SY'!$M$1,FALSE)</f>
        <v>#N/A</v>
      </c>
      <c r="M37" s="161" t="e">
        <f t="shared" si="1"/>
        <v>#N/A</v>
      </c>
      <c r="N37" s="33" t="e">
        <f t="shared" si="2"/>
        <v>#N/A</v>
      </c>
      <c r="R37" s="161" t="e">
        <f t="shared" si="3"/>
        <v>#N/A</v>
      </c>
      <c r="S37" s="33" t="e">
        <f t="shared" si="4"/>
        <v>#N/A</v>
      </c>
    </row>
    <row r="38" spans="12:19" x14ac:dyDescent="0.25">
      <c r="L38" s="7" t="e">
        <f>VLOOKUP(A38,'3121% SY'!A:M,'3121% SY'!$M$1,FALSE)</f>
        <v>#N/A</v>
      </c>
      <c r="M38" s="161" t="e">
        <f t="shared" si="1"/>
        <v>#N/A</v>
      </c>
      <c r="N38" s="33" t="e">
        <f t="shared" si="2"/>
        <v>#N/A</v>
      </c>
      <c r="R38" s="161" t="e">
        <f t="shared" si="3"/>
        <v>#N/A</v>
      </c>
      <c r="S38" s="33" t="e">
        <f t="shared" si="4"/>
        <v>#N/A</v>
      </c>
    </row>
    <row r="39" spans="12:19" x14ac:dyDescent="0.25">
      <c r="L39" s="7" t="e">
        <f>VLOOKUP(A39,'3121% SY'!A:M,'3121% SY'!$M$1,FALSE)</f>
        <v>#N/A</v>
      </c>
      <c r="M39" s="161" t="e">
        <f t="shared" si="1"/>
        <v>#N/A</v>
      </c>
      <c r="N39" s="33" t="e">
        <f t="shared" si="2"/>
        <v>#N/A</v>
      </c>
      <c r="R39" s="161" t="e">
        <f t="shared" si="3"/>
        <v>#N/A</v>
      </c>
      <c r="S39" s="33" t="e">
        <f t="shared" si="4"/>
        <v>#N/A</v>
      </c>
    </row>
    <row r="40" spans="12:19" x14ac:dyDescent="0.25">
      <c r="L40" s="7" t="e">
        <f>VLOOKUP(A40,'3121% SY'!A:M,'3121% SY'!$M$1,FALSE)</f>
        <v>#N/A</v>
      </c>
      <c r="M40" s="161" t="e">
        <f t="shared" si="1"/>
        <v>#N/A</v>
      </c>
      <c r="N40" s="33" t="e">
        <f t="shared" si="2"/>
        <v>#N/A</v>
      </c>
      <c r="R40" s="161" t="e">
        <f t="shared" si="3"/>
        <v>#N/A</v>
      </c>
      <c r="S40" s="33" t="e">
        <f t="shared" si="4"/>
        <v>#N/A</v>
      </c>
    </row>
    <row r="41" spans="12:19" x14ac:dyDescent="0.25">
      <c r="L41" s="7" t="e">
        <f>VLOOKUP(A41,'3121% SY'!A:M,'3121% SY'!$M$1,FALSE)</f>
        <v>#N/A</v>
      </c>
      <c r="M41" s="161" t="e">
        <f t="shared" si="1"/>
        <v>#N/A</v>
      </c>
      <c r="N41" s="33" t="e">
        <f t="shared" si="2"/>
        <v>#N/A</v>
      </c>
      <c r="R41" s="161" t="e">
        <f t="shared" si="3"/>
        <v>#N/A</v>
      </c>
      <c r="S41" s="33" t="e">
        <f t="shared" si="4"/>
        <v>#N/A</v>
      </c>
    </row>
    <row r="42" spans="12:19" x14ac:dyDescent="0.25">
      <c r="L42" s="7" t="e">
        <f>VLOOKUP(A42,'3121% SY'!A:M,'3121% SY'!$M$1,FALSE)</f>
        <v>#N/A</v>
      </c>
      <c r="M42" s="161" t="e">
        <f t="shared" si="1"/>
        <v>#N/A</v>
      </c>
      <c r="N42" s="33" t="e">
        <f t="shared" si="2"/>
        <v>#N/A</v>
      </c>
      <c r="R42" s="161" t="e">
        <f t="shared" si="3"/>
        <v>#N/A</v>
      </c>
      <c r="S42" s="33" t="e">
        <f t="shared" si="4"/>
        <v>#N/A</v>
      </c>
    </row>
    <row r="43" spans="12:19" x14ac:dyDescent="0.25">
      <c r="L43" s="7" t="e">
        <f>VLOOKUP(A43,'3121% SY'!A:M,'3121% SY'!$M$1,FALSE)</f>
        <v>#N/A</v>
      </c>
      <c r="M43" s="161" t="e">
        <f t="shared" si="1"/>
        <v>#N/A</v>
      </c>
      <c r="N43" s="33" t="e">
        <f t="shared" si="2"/>
        <v>#N/A</v>
      </c>
      <c r="R43" s="161" t="e">
        <f t="shared" si="3"/>
        <v>#N/A</v>
      </c>
      <c r="S43" s="33" t="e">
        <f t="shared" si="4"/>
        <v>#N/A</v>
      </c>
    </row>
    <row r="44" spans="12:19" x14ac:dyDescent="0.25">
      <c r="L44" s="7" t="e">
        <f>VLOOKUP(A44,'3121% SY'!A:M,'3121% SY'!$M$1,FALSE)</f>
        <v>#N/A</v>
      </c>
      <c r="M44" s="161" t="e">
        <f t="shared" si="1"/>
        <v>#N/A</v>
      </c>
      <c r="N44" s="33" t="e">
        <f t="shared" si="2"/>
        <v>#N/A</v>
      </c>
      <c r="R44" s="161" t="e">
        <f t="shared" si="3"/>
        <v>#N/A</v>
      </c>
      <c r="S44" s="33" t="e">
        <f t="shared" si="4"/>
        <v>#N/A</v>
      </c>
    </row>
    <row r="45" spans="12:19" x14ac:dyDescent="0.25">
      <c r="L45" s="7" t="e">
        <f>VLOOKUP(A45,'3121% SY'!A:M,'3121% SY'!$M$1,FALSE)</f>
        <v>#N/A</v>
      </c>
      <c r="M45" s="161" t="e">
        <f t="shared" si="1"/>
        <v>#N/A</v>
      </c>
      <c r="N45" s="33" t="e">
        <f t="shared" si="2"/>
        <v>#N/A</v>
      </c>
      <c r="R45" s="161" t="e">
        <f t="shared" si="3"/>
        <v>#N/A</v>
      </c>
      <c r="S45" s="33" t="e">
        <f t="shared" si="4"/>
        <v>#N/A</v>
      </c>
    </row>
    <row r="46" spans="12:19" x14ac:dyDescent="0.25">
      <c r="L46" s="7" t="e">
        <f>VLOOKUP(A46,'3121% SY'!A:M,'3121% SY'!$M$1,FALSE)</f>
        <v>#N/A</v>
      </c>
      <c r="M46" s="161" t="e">
        <f t="shared" si="1"/>
        <v>#N/A</v>
      </c>
      <c r="N46" s="33" t="e">
        <f t="shared" si="2"/>
        <v>#N/A</v>
      </c>
      <c r="R46" s="161" t="e">
        <f t="shared" si="3"/>
        <v>#N/A</v>
      </c>
      <c r="S46" s="33" t="e">
        <f t="shared" si="4"/>
        <v>#N/A</v>
      </c>
    </row>
    <row r="47" spans="12:19" x14ac:dyDescent="0.25">
      <c r="L47" s="7" t="e">
        <f>VLOOKUP(A47,'3121% SY'!A:M,'3121% SY'!$M$1,FALSE)</f>
        <v>#N/A</v>
      </c>
      <c r="M47" s="161" t="e">
        <f t="shared" si="1"/>
        <v>#N/A</v>
      </c>
      <c r="N47" s="33" t="e">
        <f t="shared" si="2"/>
        <v>#N/A</v>
      </c>
      <c r="R47" s="161" t="e">
        <f t="shared" si="3"/>
        <v>#N/A</v>
      </c>
      <c r="S47" s="33" t="e">
        <f t="shared" si="4"/>
        <v>#N/A</v>
      </c>
    </row>
    <row r="48" spans="12:19" x14ac:dyDescent="0.25">
      <c r="L48" s="7" t="e">
        <f>VLOOKUP(A48,'3121% SY'!A:M,'3121% SY'!$M$1,FALSE)</f>
        <v>#N/A</v>
      </c>
      <c r="M48" s="161" t="e">
        <f t="shared" si="1"/>
        <v>#N/A</v>
      </c>
      <c r="N48" s="33" t="e">
        <f t="shared" si="2"/>
        <v>#N/A</v>
      </c>
      <c r="R48" s="161" t="e">
        <f t="shared" si="3"/>
        <v>#N/A</v>
      </c>
      <c r="S48" s="33" t="e">
        <f t="shared" si="4"/>
        <v>#N/A</v>
      </c>
    </row>
    <row r="49" spans="12:19" x14ac:dyDescent="0.25">
      <c r="L49" s="7" t="e">
        <f>VLOOKUP(A49,'3121% SY'!A:M,'3121% SY'!$M$1,FALSE)</f>
        <v>#N/A</v>
      </c>
      <c r="M49" s="161" t="e">
        <f t="shared" si="1"/>
        <v>#N/A</v>
      </c>
      <c r="N49" s="33" t="e">
        <f t="shared" si="2"/>
        <v>#N/A</v>
      </c>
      <c r="R49" s="161" t="e">
        <f t="shared" si="3"/>
        <v>#N/A</v>
      </c>
      <c r="S49" s="33" t="e">
        <f t="shared" si="4"/>
        <v>#N/A</v>
      </c>
    </row>
    <row r="50" spans="12:19" x14ac:dyDescent="0.25">
      <c r="L50" s="7" t="e">
        <f>VLOOKUP(A50,'3121% SY'!A:M,'3121% SY'!$M$1,FALSE)</f>
        <v>#N/A</v>
      </c>
      <c r="M50" s="161" t="e">
        <f t="shared" si="1"/>
        <v>#N/A</v>
      </c>
      <c r="N50" s="33" t="e">
        <f t="shared" si="2"/>
        <v>#N/A</v>
      </c>
      <c r="R50" s="161" t="e">
        <f t="shared" si="3"/>
        <v>#N/A</v>
      </c>
      <c r="S50" s="33" t="e">
        <f t="shared" si="4"/>
        <v>#N/A</v>
      </c>
    </row>
    <row r="51" spans="12:19" x14ac:dyDescent="0.25">
      <c r="L51" s="7" t="e">
        <f>VLOOKUP(A51,'3121% SY'!A:M,'3121% SY'!$M$1,FALSE)</f>
        <v>#N/A</v>
      </c>
      <c r="M51" s="161" t="e">
        <f t="shared" si="1"/>
        <v>#N/A</v>
      </c>
      <c r="N51" s="33" t="e">
        <f t="shared" si="2"/>
        <v>#N/A</v>
      </c>
      <c r="R51" s="161" t="e">
        <f t="shared" si="3"/>
        <v>#N/A</v>
      </c>
      <c r="S51" s="33" t="e">
        <f t="shared" si="4"/>
        <v>#N/A</v>
      </c>
    </row>
    <row r="52" spans="12:19" x14ac:dyDescent="0.25">
      <c r="L52" s="7" t="e">
        <f>VLOOKUP(A52,'3121% SY'!A:M,'3121% SY'!$M$1,FALSE)</f>
        <v>#N/A</v>
      </c>
      <c r="M52" s="161" t="e">
        <f t="shared" si="1"/>
        <v>#N/A</v>
      </c>
      <c r="N52" s="33" t="e">
        <f t="shared" si="2"/>
        <v>#N/A</v>
      </c>
      <c r="R52" s="161" t="e">
        <f t="shared" si="3"/>
        <v>#N/A</v>
      </c>
      <c r="S52" s="33" t="e">
        <f t="shared" si="4"/>
        <v>#N/A</v>
      </c>
    </row>
    <row r="53" spans="12:19" x14ac:dyDescent="0.25">
      <c r="L53" s="7" t="e">
        <f>VLOOKUP(A53,'3121% SY'!A:M,'3121% SY'!$M$1,FALSE)</f>
        <v>#N/A</v>
      </c>
      <c r="M53" s="161" t="e">
        <f t="shared" si="1"/>
        <v>#N/A</v>
      </c>
      <c r="N53" s="33" t="e">
        <f t="shared" si="2"/>
        <v>#N/A</v>
      </c>
      <c r="R53" s="161" t="e">
        <f t="shared" si="3"/>
        <v>#N/A</v>
      </c>
      <c r="S53" s="33" t="e">
        <f t="shared" si="4"/>
        <v>#N/A</v>
      </c>
    </row>
    <row r="54" spans="12:19" x14ac:dyDescent="0.25">
      <c r="L54" s="7" t="e">
        <f>VLOOKUP(A54,'3121% SY'!A:M,'3121% SY'!$M$1,FALSE)</f>
        <v>#N/A</v>
      </c>
      <c r="M54" s="161" t="e">
        <f t="shared" si="1"/>
        <v>#N/A</v>
      </c>
      <c r="N54" s="33" t="e">
        <f t="shared" si="2"/>
        <v>#N/A</v>
      </c>
      <c r="R54" s="161" t="e">
        <f t="shared" si="3"/>
        <v>#N/A</v>
      </c>
      <c r="S54" s="33" t="e">
        <f t="shared" si="4"/>
        <v>#N/A</v>
      </c>
    </row>
    <row r="55" spans="12:19" x14ac:dyDescent="0.25">
      <c r="L55" s="7" t="e">
        <f>VLOOKUP(A55,'3121% SY'!A:M,'3121% SY'!$M$1,FALSE)</f>
        <v>#N/A</v>
      </c>
      <c r="M55" s="161" t="e">
        <f t="shared" si="1"/>
        <v>#N/A</v>
      </c>
      <c r="N55" s="33" t="e">
        <f t="shared" si="2"/>
        <v>#N/A</v>
      </c>
      <c r="R55" s="161" t="e">
        <f t="shared" si="3"/>
        <v>#N/A</v>
      </c>
      <c r="S55" s="33" t="e">
        <f t="shared" si="4"/>
        <v>#N/A</v>
      </c>
    </row>
    <row r="56" spans="12:19" x14ac:dyDescent="0.25">
      <c r="L56" s="7" t="e">
        <f>VLOOKUP(A56,'3121% SY'!A:M,'3121% SY'!$M$1,FALSE)</f>
        <v>#N/A</v>
      </c>
      <c r="M56" s="161" t="e">
        <f t="shared" si="1"/>
        <v>#N/A</v>
      </c>
      <c r="N56" s="33" t="e">
        <f t="shared" si="2"/>
        <v>#N/A</v>
      </c>
      <c r="R56" s="161" t="e">
        <f t="shared" si="3"/>
        <v>#N/A</v>
      </c>
      <c r="S56" s="33" t="e">
        <f t="shared" si="4"/>
        <v>#N/A</v>
      </c>
    </row>
    <row r="57" spans="12:19" x14ac:dyDescent="0.25">
      <c r="L57" s="7" t="e">
        <f>VLOOKUP(A57,'3121% SY'!A:M,'3121% SY'!$M$1,FALSE)</f>
        <v>#N/A</v>
      </c>
      <c r="M57" s="161" t="e">
        <f t="shared" si="1"/>
        <v>#N/A</v>
      </c>
      <c r="N57" s="33" t="e">
        <f t="shared" si="2"/>
        <v>#N/A</v>
      </c>
      <c r="R57" s="161" t="e">
        <f t="shared" si="3"/>
        <v>#N/A</v>
      </c>
      <c r="S57" s="33" t="e">
        <f t="shared" si="4"/>
        <v>#N/A</v>
      </c>
    </row>
    <row r="58" spans="12:19" x14ac:dyDescent="0.25">
      <c r="L58" s="7" t="e">
        <f>VLOOKUP(A58,'3121% SY'!A:M,'3121% SY'!$M$1,FALSE)</f>
        <v>#N/A</v>
      </c>
      <c r="M58" s="161" t="e">
        <f t="shared" si="1"/>
        <v>#N/A</v>
      </c>
      <c r="N58" s="33" t="e">
        <f t="shared" si="2"/>
        <v>#N/A</v>
      </c>
      <c r="R58" s="161" t="e">
        <f t="shared" si="3"/>
        <v>#N/A</v>
      </c>
      <c r="S58" s="33" t="e">
        <f t="shared" si="4"/>
        <v>#N/A</v>
      </c>
    </row>
    <row r="59" spans="12:19" x14ac:dyDescent="0.25">
      <c r="L59" s="7" t="e">
        <f>VLOOKUP(A59,'3121% SY'!A:M,'3121% SY'!$M$1,FALSE)</f>
        <v>#N/A</v>
      </c>
      <c r="M59" s="161" t="e">
        <f t="shared" si="1"/>
        <v>#N/A</v>
      </c>
      <c r="N59" s="33" t="e">
        <f t="shared" si="2"/>
        <v>#N/A</v>
      </c>
      <c r="R59" s="161" t="e">
        <f t="shared" si="3"/>
        <v>#N/A</v>
      </c>
      <c r="S59" s="33" t="e">
        <f t="shared" si="4"/>
        <v>#N/A</v>
      </c>
    </row>
    <row r="60" spans="12:19" x14ac:dyDescent="0.25">
      <c r="L60" s="7" t="e">
        <f>VLOOKUP(A60,'3121% SY'!A:M,'3121% SY'!$M$1,FALSE)</f>
        <v>#N/A</v>
      </c>
      <c r="M60" s="161" t="e">
        <f t="shared" si="1"/>
        <v>#N/A</v>
      </c>
      <c r="N60" s="33" t="e">
        <f t="shared" si="2"/>
        <v>#N/A</v>
      </c>
      <c r="R60" s="161" t="e">
        <f t="shared" si="3"/>
        <v>#N/A</v>
      </c>
      <c r="S60" s="33" t="e">
        <f t="shared" si="4"/>
        <v>#N/A</v>
      </c>
    </row>
    <row r="61" spans="12:19" x14ac:dyDescent="0.25">
      <c r="L61" s="7" t="e">
        <f>VLOOKUP(A61,'3121% SY'!A:M,'3121% SY'!$M$1,FALSE)</f>
        <v>#N/A</v>
      </c>
      <c r="M61" s="161" t="e">
        <f t="shared" si="1"/>
        <v>#N/A</v>
      </c>
      <c r="N61" s="33" t="e">
        <f t="shared" si="2"/>
        <v>#N/A</v>
      </c>
      <c r="R61" s="161" t="e">
        <f t="shared" si="3"/>
        <v>#N/A</v>
      </c>
      <c r="S61" s="33" t="e">
        <f t="shared" si="4"/>
        <v>#N/A</v>
      </c>
    </row>
    <row r="62" spans="12:19" x14ac:dyDescent="0.25">
      <c r="L62" s="7" t="e">
        <f>VLOOKUP(A62,'3121% SY'!A:M,'3121% SY'!$M$1,FALSE)</f>
        <v>#N/A</v>
      </c>
      <c r="M62" s="161" t="e">
        <f t="shared" si="1"/>
        <v>#N/A</v>
      </c>
      <c r="N62" s="33" t="e">
        <f t="shared" si="2"/>
        <v>#N/A</v>
      </c>
      <c r="R62" s="161" t="e">
        <f t="shared" si="3"/>
        <v>#N/A</v>
      </c>
      <c r="S62" s="33" t="e">
        <f t="shared" si="4"/>
        <v>#N/A</v>
      </c>
    </row>
    <row r="63" spans="12:19" x14ac:dyDescent="0.25">
      <c r="L63" s="7" t="e">
        <f>VLOOKUP(A63,'3121% SY'!A:M,'3121% SY'!$M$1,FALSE)</f>
        <v>#N/A</v>
      </c>
      <c r="M63" s="161" t="e">
        <f t="shared" si="1"/>
        <v>#N/A</v>
      </c>
      <c r="N63" s="33" t="e">
        <f t="shared" si="2"/>
        <v>#N/A</v>
      </c>
      <c r="R63" s="161" t="e">
        <f t="shared" si="3"/>
        <v>#N/A</v>
      </c>
      <c r="S63" s="33" t="e">
        <f t="shared" si="4"/>
        <v>#N/A</v>
      </c>
    </row>
    <row r="64" spans="12:19" x14ac:dyDescent="0.25">
      <c r="L64" s="7" t="e">
        <f>VLOOKUP(A64,'3121% SY'!A:M,'3121% SY'!$M$1,FALSE)</f>
        <v>#N/A</v>
      </c>
      <c r="M64" s="161" t="e">
        <f t="shared" si="1"/>
        <v>#N/A</v>
      </c>
      <c r="N64" s="33" t="e">
        <f t="shared" si="2"/>
        <v>#N/A</v>
      </c>
      <c r="R64" s="161" t="e">
        <f t="shared" si="3"/>
        <v>#N/A</v>
      </c>
      <c r="S64" s="33" t="e">
        <f t="shared" si="4"/>
        <v>#N/A</v>
      </c>
    </row>
    <row r="65" spans="12:19" x14ac:dyDescent="0.25">
      <c r="L65" s="7" t="e">
        <f>VLOOKUP(A65,'3121% SY'!A:M,'3121% SY'!$M$1,FALSE)</f>
        <v>#N/A</v>
      </c>
      <c r="M65" s="161" t="e">
        <f t="shared" si="1"/>
        <v>#N/A</v>
      </c>
      <c r="N65" s="33" t="e">
        <f t="shared" si="2"/>
        <v>#N/A</v>
      </c>
      <c r="R65" s="161" t="e">
        <f t="shared" si="3"/>
        <v>#N/A</v>
      </c>
      <c r="S65" s="33" t="e">
        <f t="shared" si="4"/>
        <v>#N/A</v>
      </c>
    </row>
    <row r="66" spans="12:19" x14ac:dyDescent="0.25">
      <c r="L66" s="7" t="e">
        <f>VLOOKUP(A66,'3121% SY'!A:M,'3121% SY'!$M$1,FALSE)</f>
        <v>#N/A</v>
      </c>
      <c r="M66" s="161" t="e">
        <f t="shared" si="1"/>
        <v>#N/A</v>
      </c>
      <c r="N66" s="33" t="e">
        <f t="shared" si="2"/>
        <v>#N/A</v>
      </c>
      <c r="R66" s="161" t="e">
        <f t="shared" si="3"/>
        <v>#N/A</v>
      </c>
      <c r="S66" s="33" t="e">
        <f t="shared" si="4"/>
        <v>#N/A</v>
      </c>
    </row>
    <row r="67" spans="12:19" x14ac:dyDescent="0.25">
      <c r="L67" s="7" t="e">
        <f>VLOOKUP(A67,'3121% SY'!A:M,'3121% SY'!$M$1,FALSE)</f>
        <v>#N/A</v>
      </c>
      <c r="M67" s="161" t="e">
        <f t="shared" si="1"/>
        <v>#N/A</v>
      </c>
      <c r="N67" s="33" t="e">
        <f t="shared" si="2"/>
        <v>#N/A</v>
      </c>
      <c r="R67" s="161" t="e">
        <f t="shared" si="3"/>
        <v>#N/A</v>
      </c>
      <c r="S67" s="33" t="e">
        <f t="shared" si="4"/>
        <v>#N/A</v>
      </c>
    </row>
    <row r="68" spans="12:19" x14ac:dyDescent="0.25">
      <c r="L68" s="7" t="e">
        <f>VLOOKUP(A68,'3121% SY'!A:M,'3121% SY'!$M$1,FALSE)</f>
        <v>#N/A</v>
      </c>
      <c r="M68" s="161" t="e">
        <f t="shared" si="1"/>
        <v>#N/A</v>
      </c>
      <c r="N68" s="33" t="e">
        <f t="shared" si="2"/>
        <v>#N/A</v>
      </c>
      <c r="R68" s="161" t="e">
        <f t="shared" si="3"/>
        <v>#N/A</v>
      </c>
      <c r="S68" s="33" t="e">
        <f t="shared" si="4"/>
        <v>#N/A</v>
      </c>
    </row>
    <row r="69" spans="12:19" x14ac:dyDescent="0.25">
      <c r="L69" s="7" t="e">
        <f>VLOOKUP(A69,'3121% SY'!A:M,'3121% SY'!$M$1,FALSE)</f>
        <v>#N/A</v>
      </c>
      <c r="M69" s="161" t="e">
        <f t="shared" ref="M69:M132" si="5">ROUND(I69*$L69,3)+ROUND(J69*$L69,3)++ROUND(K69*$L69,3)</f>
        <v>#N/A</v>
      </c>
      <c r="N69" s="33" t="e">
        <f t="shared" ref="N69:N132" si="6">SUM(M69,B69:H69)</f>
        <v>#N/A</v>
      </c>
      <c r="R69" s="161" t="e">
        <f t="shared" ref="R69:R122" si="7">ROUND(Q69*$L69,3)</f>
        <v>#N/A</v>
      </c>
      <c r="S69" s="33" t="e">
        <f t="shared" ref="S69:S122" si="8">SUM(R69,O69:P69)</f>
        <v>#N/A</v>
      </c>
    </row>
    <row r="70" spans="12:19" x14ac:dyDescent="0.25">
      <c r="L70" s="7" t="e">
        <f>VLOOKUP(A70,'3121% SY'!A:M,'3121% SY'!$M$1,FALSE)</f>
        <v>#N/A</v>
      </c>
      <c r="M70" s="161" t="e">
        <f t="shared" si="5"/>
        <v>#N/A</v>
      </c>
      <c r="N70" s="33" t="e">
        <f t="shared" si="6"/>
        <v>#N/A</v>
      </c>
      <c r="R70" s="161" t="e">
        <f t="shared" si="7"/>
        <v>#N/A</v>
      </c>
      <c r="S70" s="33" t="e">
        <f t="shared" si="8"/>
        <v>#N/A</v>
      </c>
    </row>
    <row r="71" spans="12:19" x14ac:dyDescent="0.25">
      <c r="L71" s="7" t="e">
        <f>VLOOKUP(A71,'3121% SY'!A:M,'3121% SY'!$M$1,FALSE)</f>
        <v>#N/A</v>
      </c>
      <c r="M71" s="161" t="e">
        <f t="shared" si="5"/>
        <v>#N/A</v>
      </c>
      <c r="N71" s="33" t="e">
        <f t="shared" si="6"/>
        <v>#N/A</v>
      </c>
      <c r="R71" s="161" t="e">
        <f t="shared" si="7"/>
        <v>#N/A</v>
      </c>
      <c r="S71" s="33" t="e">
        <f t="shared" si="8"/>
        <v>#N/A</v>
      </c>
    </row>
    <row r="72" spans="12:19" x14ac:dyDescent="0.25">
      <c r="L72" s="7" t="e">
        <f>VLOOKUP(A72,'3121% SY'!A:M,'3121% SY'!$M$1,FALSE)</f>
        <v>#N/A</v>
      </c>
      <c r="M72" s="161" t="e">
        <f t="shared" si="5"/>
        <v>#N/A</v>
      </c>
      <c r="N72" s="33" t="e">
        <f t="shared" si="6"/>
        <v>#N/A</v>
      </c>
      <c r="R72" s="161" t="e">
        <f t="shared" si="7"/>
        <v>#N/A</v>
      </c>
      <c r="S72" s="33" t="e">
        <f t="shared" si="8"/>
        <v>#N/A</v>
      </c>
    </row>
    <row r="73" spans="12:19" x14ac:dyDescent="0.25">
      <c r="L73" s="7" t="e">
        <f>VLOOKUP(A73,'3121% SY'!A:M,'3121% SY'!$M$1,FALSE)</f>
        <v>#N/A</v>
      </c>
      <c r="M73" s="161" t="e">
        <f t="shared" si="5"/>
        <v>#N/A</v>
      </c>
      <c r="N73" s="33" t="e">
        <f t="shared" si="6"/>
        <v>#N/A</v>
      </c>
      <c r="R73" s="161" t="e">
        <f t="shared" si="7"/>
        <v>#N/A</v>
      </c>
      <c r="S73" s="33" t="e">
        <f t="shared" si="8"/>
        <v>#N/A</v>
      </c>
    </row>
    <row r="74" spans="12:19" x14ac:dyDescent="0.25">
      <c r="L74" s="7" t="e">
        <f>VLOOKUP(A74,'3121% SY'!A:M,'3121% SY'!$M$1,FALSE)</f>
        <v>#N/A</v>
      </c>
      <c r="M74" s="161" t="e">
        <f t="shared" si="5"/>
        <v>#N/A</v>
      </c>
      <c r="N74" s="33" t="e">
        <f t="shared" si="6"/>
        <v>#N/A</v>
      </c>
      <c r="R74" s="161" t="e">
        <f t="shared" si="7"/>
        <v>#N/A</v>
      </c>
      <c r="S74" s="33" t="e">
        <f t="shared" si="8"/>
        <v>#N/A</v>
      </c>
    </row>
    <row r="75" spans="12:19" x14ac:dyDescent="0.25">
      <c r="L75" s="7" t="e">
        <f>VLOOKUP(A75,'3121% SY'!A:M,'3121% SY'!$M$1,FALSE)</f>
        <v>#N/A</v>
      </c>
      <c r="M75" s="161" t="e">
        <f t="shared" si="5"/>
        <v>#N/A</v>
      </c>
      <c r="N75" s="33" t="e">
        <f t="shared" si="6"/>
        <v>#N/A</v>
      </c>
      <c r="R75" s="161" t="e">
        <f t="shared" si="7"/>
        <v>#N/A</v>
      </c>
      <c r="S75" s="33" t="e">
        <f t="shared" si="8"/>
        <v>#N/A</v>
      </c>
    </row>
    <row r="76" spans="12:19" x14ac:dyDescent="0.25">
      <c r="L76" s="7" t="e">
        <f>VLOOKUP(A76,'3121% SY'!A:M,'3121% SY'!$M$1,FALSE)</f>
        <v>#N/A</v>
      </c>
      <c r="M76" s="161" t="e">
        <f t="shared" si="5"/>
        <v>#N/A</v>
      </c>
      <c r="N76" s="33" t="e">
        <f t="shared" si="6"/>
        <v>#N/A</v>
      </c>
      <c r="R76" s="161" t="e">
        <f t="shared" si="7"/>
        <v>#N/A</v>
      </c>
      <c r="S76" s="33" t="e">
        <f t="shared" si="8"/>
        <v>#N/A</v>
      </c>
    </row>
    <row r="77" spans="12:19" x14ac:dyDescent="0.25">
      <c r="L77" s="7" t="e">
        <f>VLOOKUP(A77,'3121% SY'!A:M,'3121% SY'!$M$1,FALSE)</f>
        <v>#N/A</v>
      </c>
      <c r="M77" s="161" t="e">
        <f t="shared" si="5"/>
        <v>#N/A</v>
      </c>
      <c r="N77" s="33" t="e">
        <f t="shared" si="6"/>
        <v>#N/A</v>
      </c>
      <c r="R77" s="161" t="e">
        <f t="shared" si="7"/>
        <v>#N/A</v>
      </c>
      <c r="S77" s="33" t="e">
        <f t="shared" si="8"/>
        <v>#N/A</v>
      </c>
    </row>
    <row r="78" spans="12:19" x14ac:dyDescent="0.25">
      <c r="L78" s="7" t="e">
        <f>VLOOKUP(A78,'3121% SY'!A:M,'3121% SY'!$M$1,FALSE)</f>
        <v>#N/A</v>
      </c>
      <c r="M78" s="161" t="e">
        <f t="shared" si="5"/>
        <v>#N/A</v>
      </c>
      <c r="N78" s="33" t="e">
        <f t="shared" si="6"/>
        <v>#N/A</v>
      </c>
      <c r="R78" s="161" t="e">
        <f t="shared" si="7"/>
        <v>#N/A</v>
      </c>
      <c r="S78" s="33" t="e">
        <f t="shared" si="8"/>
        <v>#N/A</v>
      </c>
    </row>
    <row r="79" spans="12:19" x14ac:dyDescent="0.25">
      <c r="L79" s="7" t="e">
        <f>VLOOKUP(A79,'3121% SY'!A:M,'3121% SY'!$M$1,FALSE)</f>
        <v>#N/A</v>
      </c>
      <c r="M79" s="161" t="e">
        <f t="shared" si="5"/>
        <v>#N/A</v>
      </c>
      <c r="N79" s="33" t="e">
        <f t="shared" si="6"/>
        <v>#N/A</v>
      </c>
      <c r="R79" s="161" t="e">
        <f t="shared" si="7"/>
        <v>#N/A</v>
      </c>
      <c r="S79" s="33" t="e">
        <f t="shared" si="8"/>
        <v>#N/A</v>
      </c>
    </row>
    <row r="80" spans="12:19" x14ac:dyDescent="0.25">
      <c r="L80" s="7" t="e">
        <f>VLOOKUP(A80,'3121% SY'!A:M,'3121% SY'!$M$1,FALSE)</f>
        <v>#N/A</v>
      </c>
      <c r="M80" s="161" t="e">
        <f t="shared" si="5"/>
        <v>#N/A</v>
      </c>
      <c r="N80" s="33" t="e">
        <f t="shared" si="6"/>
        <v>#N/A</v>
      </c>
      <c r="R80" s="161" t="e">
        <f t="shared" si="7"/>
        <v>#N/A</v>
      </c>
      <c r="S80" s="33" t="e">
        <f t="shared" si="8"/>
        <v>#N/A</v>
      </c>
    </row>
    <row r="81" spans="12:19" x14ac:dyDescent="0.25">
      <c r="L81" s="7" t="e">
        <f>VLOOKUP(A81,'3121% SY'!A:M,'3121% SY'!$M$1,FALSE)</f>
        <v>#N/A</v>
      </c>
      <c r="M81" s="161" t="e">
        <f t="shared" si="5"/>
        <v>#N/A</v>
      </c>
      <c r="N81" s="33" t="e">
        <f t="shared" si="6"/>
        <v>#N/A</v>
      </c>
      <c r="R81" s="161" t="e">
        <f t="shared" si="7"/>
        <v>#N/A</v>
      </c>
      <c r="S81" s="33" t="e">
        <f t="shared" si="8"/>
        <v>#N/A</v>
      </c>
    </row>
    <row r="82" spans="12:19" x14ac:dyDescent="0.25">
      <c r="L82" s="7" t="e">
        <f>VLOOKUP(A82,'3121% SY'!A:M,'3121% SY'!$M$1,FALSE)</f>
        <v>#N/A</v>
      </c>
      <c r="M82" s="161" t="e">
        <f t="shared" si="5"/>
        <v>#N/A</v>
      </c>
      <c r="N82" s="33" t="e">
        <f t="shared" si="6"/>
        <v>#N/A</v>
      </c>
      <c r="R82" s="161" t="e">
        <f t="shared" si="7"/>
        <v>#N/A</v>
      </c>
      <c r="S82" s="33" t="e">
        <f t="shared" si="8"/>
        <v>#N/A</v>
      </c>
    </row>
    <row r="83" spans="12:19" x14ac:dyDescent="0.25">
      <c r="L83" s="7" t="e">
        <f>VLOOKUP(A83,'3121% SY'!A:M,'3121% SY'!$M$1,FALSE)</f>
        <v>#N/A</v>
      </c>
      <c r="M83" s="161" t="e">
        <f t="shared" si="5"/>
        <v>#N/A</v>
      </c>
      <c r="N83" s="33" t="e">
        <f t="shared" si="6"/>
        <v>#N/A</v>
      </c>
      <c r="R83" s="161" t="e">
        <f t="shared" si="7"/>
        <v>#N/A</v>
      </c>
      <c r="S83" s="33" t="e">
        <f t="shared" si="8"/>
        <v>#N/A</v>
      </c>
    </row>
    <row r="84" spans="12:19" x14ac:dyDescent="0.25">
      <c r="L84" s="7" t="e">
        <f>VLOOKUP(A84,'3121% SY'!A:M,'3121% SY'!$M$1,FALSE)</f>
        <v>#N/A</v>
      </c>
      <c r="M84" s="161" t="e">
        <f t="shared" si="5"/>
        <v>#N/A</v>
      </c>
      <c r="N84" s="33" t="e">
        <f t="shared" si="6"/>
        <v>#N/A</v>
      </c>
      <c r="R84" s="161" t="e">
        <f t="shared" si="7"/>
        <v>#N/A</v>
      </c>
      <c r="S84" s="33" t="e">
        <f t="shared" si="8"/>
        <v>#N/A</v>
      </c>
    </row>
    <row r="85" spans="12:19" x14ac:dyDescent="0.25">
      <c r="L85" s="7" t="e">
        <f>VLOOKUP(A85,'3121% SY'!A:M,'3121% SY'!$M$1,FALSE)</f>
        <v>#N/A</v>
      </c>
      <c r="M85" s="161" t="e">
        <f t="shared" si="5"/>
        <v>#N/A</v>
      </c>
      <c r="N85" s="33" t="e">
        <f t="shared" si="6"/>
        <v>#N/A</v>
      </c>
      <c r="R85" s="161" t="e">
        <f t="shared" si="7"/>
        <v>#N/A</v>
      </c>
      <c r="S85" s="33" t="e">
        <f t="shared" si="8"/>
        <v>#N/A</v>
      </c>
    </row>
    <row r="86" spans="12:19" x14ac:dyDescent="0.25">
      <c r="L86" s="7" t="e">
        <f>VLOOKUP(A86,'3121% SY'!A:M,'3121% SY'!$M$1,FALSE)</f>
        <v>#N/A</v>
      </c>
      <c r="M86" s="161" t="e">
        <f t="shared" si="5"/>
        <v>#N/A</v>
      </c>
      <c r="N86" s="33" t="e">
        <f t="shared" si="6"/>
        <v>#N/A</v>
      </c>
      <c r="R86" s="161" t="e">
        <f t="shared" si="7"/>
        <v>#N/A</v>
      </c>
      <c r="S86" s="33" t="e">
        <f t="shared" si="8"/>
        <v>#N/A</v>
      </c>
    </row>
    <row r="87" spans="12:19" x14ac:dyDescent="0.25">
      <c r="L87" s="7" t="e">
        <f>VLOOKUP(A87,'3121% SY'!A:M,'3121% SY'!$M$1,FALSE)</f>
        <v>#N/A</v>
      </c>
      <c r="M87" s="161" t="e">
        <f t="shared" si="5"/>
        <v>#N/A</v>
      </c>
      <c r="N87" s="33" t="e">
        <f t="shared" si="6"/>
        <v>#N/A</v>
      </c>
      <c r="R87" s="161" t="e">
        <f t="shared" si="7"/>
        <v>#N/A</v>
      </c>
      <c r="S87" s="33" t="e">
        <f t="shared" si="8"/>
        <v>#N/A</v>
      </c>
    </row>
    <row r="88" spans="12:19" x14ac:dyDescent="0.25">
      <c r="L88" s="7" t="e">
        <f>VLOOKUP(A88,'3121% SY'!A:M,'3121% SY'!$M$1,FALSE)</f>
        <v>#N/A</v>
      </c>
      <c r="M88" s="161" t="e">
        <f t="shared" si="5"/>
        <v>#N/A</v>
      </c>
      <c r="N88" s="33" t="e">
        <f t="shared" si="6"/>
        <v>#N/A</v>
      </c>
      <c r="R88" s="161" t="e">
        <f t="shared" si="7"/>
        <v>#N/A</v>
      </c>
      <c r="S88" s="33" t="e">
        <f t="shared" si="8"/>
        <v>#N/A</v>
      </c>
    </row>
    <row r="89" spans="12:19" x14ac:dyDescent="0.25">
      <c r="L89" s="7" t="e">
        <f>VLOOKUP(A89,'3121% SY'!A:M,'3121% SY'!$M$1,FALSE)</f>
        <v>#N/A</v>
      </c>
      <c r="M89" s="161" t="e">
        <f t="shared" si="5"/>
        <v>#N/A</v>
      </c>
      <c r="N89" s="33" t="e">
        <f t="shared" si="6"/>
        <v>#N/A</v>
      </c>
      <c r="R89" s="161" t="e">
        <f t="shared" si="7"/>
        <v>#N/A</v>
      </c>
      <c r="S89" s="33" t="e">
        <f t="shared" si="8"/>
        <v>#N/A</v>
      </c>
    </row>
    <row r="90" spans="12:19" x14ac:dyDescent="0.25">
      <c r="L90" s="7" t="e">
        <f>VLOOKUP(A90,'3121% SY'!A:M,'3121% SY'!$M$1,FALSE)</f>
        <v>#N/A</v>
      </c>
      <c r="M90" s="161" t="e">
        <f t="shared" si="5"/>
        <v>#N/A</v>
      </c>
      <c r="N90" s="33" t="e">
        <f t="shared" si="6"/>
        <v>#N/A</v>
      </c>
      <c r="R90" s="161" t="e">
        <f t="shared" si="7"/>
        <v>#N/A</v>
      </c>
      <c r="S90" s="33" t="e">
        <f t="shared" si="8"/>
        <v>#N/A</v>
      </c>
    </row>
    <row r="91" spans="12:19" x14ac:dyDescent="0.25">
      <c r="L91" s="7" t="e">
        <f>VLOOKUP(A91,'3121% SY'!A:M,'3121% SY'!$M$1,FALSE)</f>
        <v>#N/A</v>
      </c>
      <c r="M91" s="161" t="e">
        <f t="shared" si="5"/>
        <v>#N/A</v>
      </c>
      <c r="N91" s="33" t="e">
        <f t="shared" si="6"/>
        <v>#N/A</v>
      </c>
      <c r="R91" s="161" t="e">
        <f t="shared" si="7"/>
        <v>#N/A</v>
      </c>
      <c r="S91" s="33" t="e">
        <f t="shared" si="8"/>
        <v>#N/A</v>
      </c>
    </row>
    <row r="92" spans="12:19" x14ac:dyDescent="0.25">
      <c r="L92" s="7" t="e">
        <f>VLOOKUP(A92,'3121% SY'!A:M,'3121% SY'!$M$1,FALSE)</f>
        <v>#N/A</v>
      </c>
      <c r="M92" s="161" t="e">
        <f t="shared" si="5"/>
        <v>#N/A</v>
      </c>
      <c r="N92" s="33" t="e">
        <f t="shared" si="6"/>
        <v>#N/A</v>
      </c>
      <c r="R92" s="161" t="e">
        <f t="shared" si="7"/>
        <v>#N/A</v>
      </c>
      <c r="S92" s="33" t="e">
        <f t="shared" si="8"/>
        <v>#N/A</v>
      </c>
    </row>
    <row r="93" spans="12:19" x14ac:dyDescent="0.25">
      <c r="L93" s="7" t="e">
        <f>VLOOKUP(A93,'3121% SY'!A:M,'3121% SY'!$M$1,FALSE)</f>
        <v>#N/A</v>
      </c>
      <c r="M93" s="161" t="e">
        <f t="shared" si="5"/>
        <v>#N/A</v>
      </c>
      <c r="N93" s="33" t="e">
        <f t="shared" si="6"/>
        <v>#N/A</v>
      </c>
      <c r="R93" s="161" t="e">
        <f t="shared" si="7"/>
        <v>#N/A</v>
      </c>
      <c r="S93" s="33" t="e">
        <f t="shared" si="8"/>
        <v>#N/A</v>
      </c>
    </row>
    <row r="94" spans="12:19" x14ac:dyDescent="0.25">
      <c r="L94" s="7" t="e">
        <f>VLOOKUP(A94,'3121% SY'!A:M,'3121% SY'!$M$1,FALSE)</f>
        <v>#N/A</v>
      </c>
      <c r="M94" s="161" t="e">
        <f t="shared" si="5"/>
        <v>#N/A</v>
      </c>
      <c r="N94" s="33" t="e">
        <f t="shared" si="6"/>
        <v>#N/A</v>
      </c>
      <c r="R94" s="161" t="e">
        <f t="shared" si="7"/>
        <v>#N/A</v>
      </c>
      <c r="S94" s="33" t="e">
        <f t="shared" si="8"/>
        <v>#N/A</v>
      </c>
    </row>
    <row r="95" spans="12:19" x14ac:dyDescent="0.25">
      <c r="L95" s="7" t="e">
        <f>VLOOKUP(A95,'3121% SY'!A:M,'3121% SY'!$M$1,FALSE)</f>
        <v>#N/A</v>
      </c>
      <c r="M95" s="161" t="e">
        <f t="shared" si="5"/>
        <v>#N/A</v>
      </c>
      <c r="N95" s="33" t="e">
        <f t="shared" si="6"/>
        <v>#N/A</v>
      </c>
      <c r="R95" s="161" t="e">
        <f t="shared" si="7"/>
        <v>#N/A</v>
      </c>
      <c r="S95" s="33" t="e">
        <f t="shared" si="8"/>
        <v>#N/A</v>
      </c>
    </row>
    <row r="96" spans="12:19" x14ac:dyDescent="0.25">
      <c r="L96" s="7" t="e">
        <f>VLOOKUP(A96,'3121% SY'!A:M,'3121% SY'!$M$1,FALSE)</f>
        <v>#N/A</v>
      </c>
      <c r="M96" s="161" t="e">
        <f t="shared" si="5"/>
        <v>#N/A</v>
      </c>
      <c r="N96" s="33" t="e">
        <f t="shared" si="6"/>
        <v>#N/A</v>
      </c>
      <c r="R96" s="161" t="e">
        <f t="shared" si="7"/>
        <v>#N/A</v>
      </c>
      <c r="S96" s="33" t="e">
        <f t="shared" si="8"/>
        <v>#N/A</v>
      </c>
    </row>
    <row r="97" spans="12:19" x14ac:dyDescent="0.25">
      <c r="L97" s="7" t="e">
        <f>VLOOKUP(A97,'3121% SY'!A:M,'3121% SY'!$M$1,FALSE)</f>
        <v>#N/A</v>
      </c>
      <c r="M97" s="161" t="e">
        <f t="shared" si="5"/>
        <v>#N/A</v>
      </c>
      <c r="N97" s="33" t="e">
        <f t="shared" si="6"/>
        <v>#N/A</v>
      </c>
      <c r="R97" s="161" t="e">
        <f t="shared" si="7"/>
        <v>#N/A</v>
      </c>
      <c r="S97" s="33" t="e">
        <f t="shared" si="8"/>
        <v>#N/A</v>
      </c>
    </row>
    <row r="98" spans="12:19" x14ac:dyDescent="0.25">
      <c r="L98" s="7" t="e">
        <f>VLOOKUP(A98,'3121% SY'!A:M,'3121% SY'!$M$1,FALSE)</f>
        <v>#N/A</v>
      </c>
      <c r="M98" s="161" t="e">
        <f t="shared" si="5"/>
        <v>#N/A</v>
      </c>
      <c r="N98" s="33" t="e">
        <f t="shared" si="6"/>
        <v>#N/A</v>
      </c>
      <c r="R98" s="161" t="e">
        <f t="shared" si="7"/>
        <v>#N/A</v>
      </c>
      <c r="S98" s="33" t="e">
        <f t="shared" si="8"/>
        <v>#N/A</v>
      </c>
    </row>
    <row r="99" spans="12:19" x14ac:dyDescent="0.25">
      <c r="L99" s="7" t="e">
        <f>VLOOKUP(A99,'3121% SY'!A:M,'3121% SY'!$M$1,FALSE)</f>
        <v>#N/A</v>
      </c>
      <c r="M99" s="161" t="e">
        <f t="shared" si="5"/>
        <v>#N/A</v>
      </c>
      <c r="N99" s="33" t="e">
        <f t="shared" si="6"/>
        <v>#N/A</v>
      </c>
      <c r="R99" s="161" t="e">
        <f t="shared" si="7"/>
        <v>#N/A</v>
      </c>
      <c r="S99" s="33" t="e">
        <f t="shared" si="8"/>
        <v>#N/A</v>
      </c>
    </row>
    <row r="100" spans="12:19" x14ac:dyDescent="0.25">
      <c r="L100" s="7" t="e">
        <f>VLOOKUP(A100,'3121% SY'!A:M,'3121% SY'!$M$1,FALSE)</f>
        <v>#N/A</v>
      </c>
      <c r="M100" s="161" t="e">
        <f t="shared" si="5"/>
        <v>#N/A</v>
      </c>
      <c r="N100" s="33" t="e">
        <f t="shared" si="6"/>
        <v>#N/A</v>
      </c>
      <c r="R100" s="161" t="e">
        <f t="shared" si="7"/>
        <v>#N/A</v>
      </c>
      <c r="S100" s="33" t="e">
        <f t="shared" si="8"/>
        <v>#N/A</v>
      </c>
    </row>
    <row r="101" spans="12:19" x14ac:dyDescent="0.25">
      <c r="L101" s="7" t="e">
        <f>VLOOKUP(A101,'3121% SY'!A:M,'3121% SY'!$M$1,FALSE)</f>
        <v>#N/A</v>
      </c>
      <c r="M101" s="161" t="e">
        <f t="shared" si="5"/>
        <v>#N/A</v>
      </c>
      <c r="N101" s="33" t="e">
        <f t="shared" si="6"/>
        <v>#N/A</v>
      </c>
      <c r="R101" s="161" t="e">
        <f t="shared" si="7"/>
        <v>#N/A</v>
      </c>
      <c r="S101" s="33" t="e">
        <f t="shared" si="8"/>
        <v>#N/A</v>
      </c>
    </row>
    <row r="102" spans="12:19" x14ac:dyDescent="0.25">
      <c r="L102" s="7" t="e">
        <f>VLOOKUP(A102,'3121% SY'!A:M,'3121% SY'!$M$1,FALSE)</f>
        <v>#N/A</v>
      </c>
      <c r="M102" s="161" t="e">
        <f t="shared" si="5"/>
        <v>#N/A</v>
      </c>
      <c r="N102" s="33" t="e">
        <f t="shared" si="6"/>
        <v>#N/A</v>
      </c>
      <c r="R102" s="161" t="e">
        <f t="shared" si="7"/>
        <v>#N/A</v>
      </c>
      <c r="S102" s="33" t="e">
        <f t="shared" si="8"/>
        <v>#N/A</v>
      </c>
    </row>
    <row r="103" spans="12:19" x14ac:dyDescent="0.25">
      <c r="L103" s="7" t="e">
        <f>VLOOKUP(A103,'3121% SY'!A:M,'3121% SY'!$M$1,FALSE)</f>
        <v>#N/A</v>
      </c>
      <c r="M103" s="161" t="e">
        <f t="shared" si="5"/>
        <v>#N/A</v>
      </c>
      <c r="N103" s="33" t="e">
        <f t="shared" si="6"/>
        <v>#N/A</v>
      </c>
      <c r="R103" s="161" t="e">
        <f t="shared" si="7"/>
        <v>#N/A</v>
      </c>
      <c r="S103" s="33" t="e">
        <f t="shared" si="8"/>
        <v>#N/A</v>
      </c>
    </row>
    <row r="104" spans="12:19" x14ac:dyDescent="0.25">
      <c r="L104" s="7" t="e">
        <f>VLOOKUP(A104,'3121% SY'!A:M,'3121% SY'!$M$1,FALSE)</f>
        <v>#N/A</v>
      </c>
      <c r="M104" s="161" t="e">
        <f t="shared" si="5"/>
        <v>#N/A</v>
      </c>
      <c r="N104" s="33" t="e">
        <f t="shared" si="6"/>
        <v>#N/A</v>
      </c>
      <c r="R104" s="161" t="e">
        <f t="shared" si="7"/>
        <v>#N/A</v>
      </c>
      <c r="S104" s="33" t="e">
        <f t="shared" si="8"/>
        <v>#N/A</v>
      </c>
    </row>
    <row r="105" spans="12:19" x14ac:dyDescent="0.25">
      <c r="L105" s="7" t="e">
        <f>VLOOKUP(A105,'3121% SY'!A:M,'3121% SY'!$M$1,FALSE)</f>
        <v>#N/A</v>
      </c>
      <c r="M105" s="161" t="e">
        <f t="shared" si="5"/>
        <v>#N/A</v>
      </c>
      <c r="N105" s="33" t="e">
        <f t="shared" si="6"/>
        <v>#N/A</v>
      </c>
      <c r="R105" s="161" t="e">
        <f t="shared" si="7"/>
        <v>#N/A</v>
      </c>
      <c r="S105" s="33" t="e">
        <f t="shared" si="8"/>
        <v>#N/A</v>
      </c>
    </row>
    <row r="106" spans="12:19" x14ac:dyDescent="0.25">
      <c r="L106" s="7" t="e">
        <f>VLOOKUP(A106,'3121% SY'!A:M,'3121% SY'!$M$1,FALSE)</f>
        <v>#N/A</v>
      </c>
      <c r="M106" s="161" t="e">
        <f t="shared" si="5"/>
        <v>#N/A</v>
      </c>
      <c r="N106" s="33" t="e">
        <f t="shared" si="6"/>
        <v>#N/A</v>
      </c>
      <c r="R106" s="161" t="e">
        <f t="shared" si="7"/>
        <v>#N/A</v>
      </c>
      <c r="S106" s="33" t="e">
        <f t="shared" si="8"/>
        <v>#N/A</v>
      </c>
    </row>
    <row r="107" spans="12:19" x14ac:dyDescent="0.25">
      <c r="L107" s="7" t="e">
        <f>VLOOKUP(A107,'3121% SY'!A:M,'3121% SY'!$M$1,FALSE)</f>
        <v>#N/A</v>
      </c>
      <c r="M107" s="161" t="e">
        <f t="shared" si="5"/>
        <v>#N/A</v>
      </c>
      <c r="N107" s="33" t="e">
        <f t="shared" si="6"/>
        <v>#N/A</v>
      </c>
      <c r="R107" s="161" t="e">
        <f t="shared" si="7"/>
        <v>#N/A</v>
      </c>
      <c r="S107" s="33" t="e">
        <f t="shared" si="8"/>
        <v>#N/A</v>
      </c>
    </row>
    <row r="108" spans="12:19" x14ac:dyDescent="0.25">
      <c r="L108" s="7" t="e">
        <f>VLOOKUP(A108,'3121% SY'!A:M,'3121% SY'!$M$1,FALSE)</f>
        <v>#N/A</v>
      </c>
      <c r="M108" s="161" t="e">
        <f t="shared" si="5"/>
        <v>#N/A</v>
      </c>
      <c r="N108" s="33" t="e">
        <f t="shared" si="6"/>
        <v>#N/A</v>
      </c>
      <c r="R108" s="161" t="e">
        <f t="shared" si="7"/>
        <v>#N/A</v>
      </c>
      <c r="S108" s="33" t="e">
        <f t="shared" si="8"/>
        <v>#N/A</v>
      </c>
    </row>
    <row r="109" spans="12:19" x14ac:dyDescent="0.25">
      <c r="L109" s="7" t="e">
        <f>VLOOKUP(A109,'3121% SY'!A:M,'3121% SY'!$M$1,FALSE)</f>
        <v>#N/A</v>
      </c>
      <c r="M109" s="161" t="e">
        <f t="shared" si="5"/>
        <v>#N/A</v>
      </c>
      <c r="N109" s="33" t="e">
        <f t="shared" si="6"/>
        <v>#N/A</v>
      </c>
      <c r="R109" s="161" t="e">
        <f t="shared" si="7"/>
        <v>#N/A</v>
      </c>
      <c r="S109" s="33" t="e">
        <f t="shared" si="8"/>
        <v>#N/A</v>
      </c>
    </row>
    <row r="110" spans="12:19" x14ac:dyDescent="0.25">
      <c r="L110" s="7" t="e">
        <f>VLOOKUP(A110,'3121% SY'!A:M,'3121% SY'!$M$1,FALSE)</f>
        <v>#N/A</v>
      </c>
      <c r="M110" s="161" t="e">
        <f t="shared" si="5"/>
        <v>#N/A</v>
      </c>
      <c r="N110" s="33" t="e">
        <f t="shared" si="6"/>
        <v>#N/A</v>
      </c>
      <c r="R110" s="161" t="e">
        <f t="shared" si="7"/>
        <v>#N/A</v>
      </c>
      <c r="S110" s="33" t="e">
        <f t="shared" si="8"/>
        <v>#N/A</v>
      </c>
    </row>
    <row r="111" spans="12:19" x14ac:dyDescent="0.25">
      <c r="L111" s="7" t="e">
        <f>VLOOKUP(A111,'3121% SY'!A:M,'3121% SY'!$M$1,FALSE)</f>
        <v>#N/A</v>
      </c>
      <c r="M111" s="161" t="e">
        <f t="shared" si="5"/>
        <v>#N/A</v>
      </c>
      <c r="N111" s="33" t="e">
        <f t="shared" si="6"/>
        <v>#N/A</v>
      </c>
      <c r="R111" s="161" t="e">
        <f t="shared" si="7"/>
        <v>#N/A</v>
      </c>
      <c r="S111" s="33" t="e">
        <f t="shared" si="8"/>
        <v>#N/A</v>
      </c>
    </row>
    <row r="112" spans="12:19" x14ac:dyDescent="0.25">
      <c r="L112" s="7" t="e">
        <f>VLOOKUP(A112,'3121% SY'!A:M,'3121% SY'!$M$1,FALSE)</f>
        <v>#N/A</v>
      </c>
      <c r="M112" s="161" t="e">
        <f t="shared" si="5"/>
        <v>#N/A</v>
      </c>
      <c r="N112" s="33" t="e">
        <f t="shared" si="6"/>
        <v>#N/A</v>
      </c>
      <c r="R112" s="161" t="e">
        <f t="shared" si="7"/>
        <v>#N/A</v>
      </c>
      <c r="S112" s="33" t="e">
        <f t="shared" si="8"/>
        <v>#N/A</v>
      </c>
    </row>
    <row r="113" spans="12:19" x14ac:dyDescent="0.25">
      <c r="L113" s="7" t="e">
        <f>VLOOKUP(A113,'3121% SY'!A:M,'3121% SY'!$M$1,FALSE)</f>
        <v>#N/A</v>
      </c>
      <c r="M113" s="161" t="e">
        <f t="shared" si="5"/>
        <v>#N/A</v>
      </c>
      <c r="N113" s="33" t="e">
        <f t="shared" si="6"/>
        <v>#N/A</v>
      </c>
      <c r="R113" s="161" t="e">
        <f t="shared" si="7"/>
        <v>#N/A</v>
      </c>
      <c r="S113" s="33" t="e">
        <f t="shared" si="8"/>
        <v>#N/A</v>
      </c>
    </row>
    <row r="114" spans="12:19" x14ac:dyDescent="0.25">
      <c r="L114" s="7" t="e">
        <f>VLOOKUP(A114,'3121% SY'!A:M,'3121% SY'!$M$1,FALSE)</f>
        <v>#N/A</v>
      </c>
      <c r="M114" s="161" t="e">
        <f t="shared" si="5"/>
        <v>#N/A</v>
      </c>
      <c r="N114" s="33" t="e">
        <f t="shared" si="6"/>
        <v>#N/A</v>
      </c>
      <c r="R114" s="161" t="e">
        <f t="shared" si="7"/>
        <v>#N/A</v>
      </c>
      <c r="S114" s="33" t="e">
        <f t="shared" si="8"/>
        <v>#N/A</v>
      </c>
    </row>
    <row r="115" spans="12:19" x14ac:dyDescent="0.25">
      <c r="L115" s="7" t="e">
        <f>VLOOKUP(A115,'3121% SY'!A:M,'3121% SY'!$M$1,FALSE)</f>
        <v>#N/A</v>
      </c>
      <c r="M115" s="161" t="e">
        <f t="shared" si="5"/>
        <v>#N/A</v>
      </c>
      <c r="N115" s="33" t="e">
        <f t="shared" si="6"/>
        <v>#N/A</v>
      </c>
      <c r="R115" s="161" t="e">
        <f t="shared" si="7"/>
        <v>#N/A</v>
      </c>
      <c r="S115" s="33" t="e">
        <f t="shared" si="8"/>
        <v>#N/A</v>
      </c>
    </row>
    <row r="116" spans="12:19" x14ac:dyDescent="0.25">
      <c r="L116" s="7" t="e">
        <f>VLOOKUP(A116,'3121% SY'!A:M,'3121% SY'!$M$1,FALSE)</f>
        <v>#N/A</v>
      </c>
      <c r="M116" s="161" t="e">
        <f t="shared" si="5"/>
        <v>#N/A</v>
      </c>
      <c r="N116" s="33" t="e">
        <f t="shared" si="6"/>
        <v>#N/A</v>
      </c>
      <c r="R116" s="161" t="e">
        <f t="shared" si="7"/>
        <v>#N/A</v>
      </c>
      <c r="S116" s="33" t="e">
        <f t="shared" si="8"/>
        <v>#N/A</v>
      </c>
    </row>
    <row r="117" spans="12:19" x14ac:dyDescent="0.25">
      <c r="L117" s="7" t="e">
        <f>VLOOKUP(A117,'3121% SY'!A:M,'3121% SY'!$M$1,FALSE)</f>
        <v>#N/A</v>
      </c>
      <c r="M117" s="161" t="e">
        <f t="shared" si="5"/>
        <v>#N/A</v>
      </c>
      <c r="N117" s="33" t="e">
        <f t="shared" si="6"/>
        <v>#N/A</v>
      </c>
      <c r="R117" s="161" t="e">
        <f t="shared" si="7"/>
        <v>#N/A</v>
      </c>
      <c r="S117" s="33" t="e">
        <f t="shared" si="8"/>
        <v>#N/A</v>
      </c>
    </row>
    <row r="118" spans="12:19" x14ac:dyDescent="0.25">
      <c r="L118" s="7" t="e">
        <f>VLOOKUP(A118,'3121% SY'!A:M,'3121% SY'!$M$1,FALSE)</f>
        <v>#N/A</v>
      </c>
      <c r="M118" s="161" t="e">
        <f t="shared" si="5"/>
        <v>#N/A</v>
      </c>
      <c r="N118" s="33" t="e">
        <f t="shared" si="6"/>
        <v>#N/A</v>
      </c>
      <c r="R118" s="161" t="e">
        <f t="shared" si="7"/>
        <v>#N/A</v>
      </c>
      <c r="S118" s="33" t="e">
        <f t="shared" si="8"/>
        <v>#N/A</v>
      </c>
    </row>
    <row r="119" spans="12:19" x14ac:dyDescent="0.25">
      <c r="L119" s="7" t="e">
        <f>VLOOKUP(A119,'3121% SY'!A:M,'3121% SY'!$M$1,FALSE)</f>
        <v>#N/A</v>
      </c>
      <c r="M119" s="161" t="e">
        <f t="shared" si="5"/>
        <v>#N/A</v>
      </c>
      <c r="N119" s="33" t="e">
        <f t="shared" si="6"/>
        <v>#N/A</v>
      </c>
      <c r="R119" s="161" t="e">
        <f t="shared" si="7"/>
        <v>#N/A</v>
      </c>
      <c r="S119" s="33" t="e">
        <f t="shared" si="8"/>
        <v>#N/A</v>
      </c>
    </row>
    <row r="120" spans="12:19" x14ac:dyDescent="0.25">
      <c r="L120" s="7" t="e">
        <f>VLOOKUP(A120,'3121% SY'!A:M,'3121% SY'!$M$1,FALSE)</f>
        <v>#N/A</v>
      </c>
      <c r="M120" s="161" t="e">
        <f t="shared" si="5"/>
        <v>#N/A</v>
      </c>
      <c r="N120" s="33" t="e">
        <f t="shared" si="6"/>
        <v>#N/A</v>
      </c>
      <c r="R120" s="161" t="e">
        <f t="shared" si="7"/>
        <v>#N/A</v>
      </c>
      <c r="S120" s="33" t="e">
        <f t="shared" si="8"/>
        <v>#N/A</v>
      </c>
    </row>
    <row r="121" spans="12:19" x14ac:dyDescent="0.25">
      <c r="L121" s="7" t="e">
        <f>VLOOKUP(A121,'3121% SY'!A:M,'3121% SY'!$M$1,FALSE)</f>
        <v>#N/A</v>
      </c>
      <c r="M121" s="161" t="e">
        <f t="shared" si="5"/>
        <v>#N/A</v>
      </c>
      <c r="N121" s="33" t="e">
        <f t="shared" si="6"/>
        <v>#N/A</v>
      </c>
      <c r="R121" s="161" t="e">
        <f t="shared" si="7"/>
        <v>#N/A</v>
      </c>
      <c r="S121" s="33" t="e">
        <f t="shared" si="8"/>
        <v>#N/A</v>
      </c>
    </row>
    <row r="122" spans="12:19" x14ac:dyDescent="0.25">
      <c r="L122" s="7" t="e">
        <f>VLOOKUP(A122,'3121% SY'!A:M,'3121% SY'!$M$1,FALSE)</f>
        <v>#N/A</v>
      </c>
      <c r="M122" s="161" t="e">
        <f t="shared" si="5"/>
        <v>#N/A</v>
      </c>
      <c r="N122" s="33" t="e">
        <f t="shared" si="6"/>
        <v>#N/A</v>
      </c>
      <c r="R122" s="161" t="e">
        <f t="shared" si="7"/>
        <v>#N/A</v>
      </c>
      <c r="S122" s="33" t="e">
        <f t="shared" si="8"/>
        <v>#N/A</v>
      </c>
    </row>
    <row r="123" spans="12:19" x14ac:dyDescent="0.25">
      <c r="L123" s="7" t="e">
        <f>VLOOKUP(A123,'3121% SY'!A:M,'3121% SY'!$M$1,FALSE)</f>
        <v>#N/A</v>
      </c>
      <c r="M123" s="161" t="e">
        <f t="shared" si="5"/>
        <v>#N/A</v>
      </c>
      <c r="N123" s="33" t="e">
        <f t="shared" si="6"/>
        <v>#N/A</v>
      </c>
      <c r="R123" s="161" t="e">
        <f t="shared" ref="R123:R131" si="9">ROUND(Q123*$L123,3)</f>
        <v>#N/A</v>
      </c>
      <c r="S123" s="33" t="e">
        <f t="shared" ref="S123:S131" si="10">SUM(R123,O123:P123)</f>
        <v>#N/A</v>
      </c>
    </row>
    <row r="124" spans="12:19" x14ac:dyDescent="0.25">
      <c r="L124" s="7" t="e">
        <f>VLOOKUP(A124,'3121% SY'!A:M,'3121% SY'!$M$1,FALSE)</f>
        <v>#N/A</v>
      </c>
      <c r="M124" s="161" t="e">
        <f t="shared" si="5"/>
        <v>#N/A</v>
      </c>
      <c r="N124" s="33" t="e">
        <f t="shared" si="6"/>
        <v>#N/A</v>
      </c>
      <c r="R124" s="161" t="e">
        <f t="shared" si="9"/>
        <v>#N/A</v>
      </c>
      <c r="S124" s="33" t="e">
        <f t="shared" si="10"/>
        <v>#N/A</v>
      </c>
    </row>
    <row r="125" spans="12:19" x14ac:dyDescent="0.25">
      <c r="L125" s="7" t="e">
        <f>VLOOKUP(A125,'3121% SY'!A:M,'3121% SY'!$M$1,FALSE)</f>
        <v>#N/A</v>
      </c>
      <c r="M125" s="161" t="e">
        <f t="shared" si="5"/>
        <v>#N/A</v>
      </c>
      <c r="N125" s="33" t="e">
        <f t="shared" si="6"/>
        <v>#N/A</v>
      </c>
      <c r="R125" s="161" t="e">
        <f t="shared" si="9"/>
        <v>#N/A</v>
      </c>
      <c r="S125" s="33" t="e">
        <f t="shared" si="10"/>
        <v>#N/A</v>
      </c>
    </row>
    <row r="126" spans="12:19" x14ac:dyDescent="0.25">
      <c r="L126" s="7" t="e">
        <f>VLOOKUP(A126,'3121% SY'!A:M,'3121% SY'!$M$1,FALSE)</f>
        <v>#N/A</v>
      </c>
      <c r="M126" s="161" t="e">
        <f t="shared" si="5"/>
        <v>#N/A</v>
      </c>
      <c r="N126" s="33" t="e">
        <f t="shared" si="6"/>
        <v>#N/A</v>
      </c>
      <c r="R126" s="161" t="e">
        <f t="shared" si="9"/>
        <v>#N/A</v>
      </c>
      <c r="S126" s="33" t="e">
        <f t="shared" si="10"/>
        <v>#N/A</v>
      </c>
    </row>
    <row r="127" spans="12:19" x14ac:dyDescent="0.25">
      <c r="L127" s="7" t="e">
        <f>VLOOKUP(A127,'3121% SY'!A:M,'3121% SY'!$M$1,FALSE)</f>
        <v>#N/A</v>
      </c>
      <c r="M127" s="161" t="e">
        <f t="shared" si="5"/>
        <v>#N/A</v>
      </c>
      <c r="N127" s="33" t="e">
        <f t="shared" si="6"/>
        <v>#N/A</v>
      </c>
      <c r="R127" s="161" t="e">
        <f t="shared" si="9"/>
        <v>#N/A</v>
      </c>
      <c r="S127" s="33" t="e">
        <f t="shared" si="10"/>
        <v>#N/A</v>
      </c>
    </row>
    <row r="128" spans="12:19" x14ac:dyDescent="0.25">
      <c r="L128" s="7" t="e">
        <f>VLOOKUP(A128,'3121% SY'!A:M,'3121% SY'!$M$1,FALSE)</f>
        <v>#N/A</v>
      </c>
      <c r="M128" s="161" t="e">
        <f t="shared" si="5"/>
        <v>#N/A</v>
      </c>
      <c r="N128" s="33" t="e">
        <f t="shared" si="6"/>
        <v>#N/A</v>
      </c>
      <c r="R128" s="161" t="e">
        <f t="shared" si="9"/>
        <v>#N/A</v>
      </c>
      <c r="S128" s="33" t="e">
        <f t="shared" si="10"/>
        <v>#N/A</v>
      </c>
    </row>
    <row r="129" spans="12:19" x14ac:dyDescent="0.25">
      <c r="L129" s="7" t="e">
        <f>VLOOKUP(A129,'3121% SY'!A:M,'3121% SY'!$M$1,FALSE)</f>
        <v>#N/A</v>
      </c>
      <c r="M129" s="161" t="e">
        <f t="shared" si="5"/>
        <v>#N/A</v>
      </c>
      <c r="N129" s="33" t="e">
        <f t="shared" si="6"/>
        <v>#N/A</v>
      </c>
      <c r="R129" s="161" t="e">
        <f t="shared" si="9"/>
        <v>#N/A</v>
      </c>
      <c r="S129" s="33" t="e">
        <f t="shared" si="10"/>
        <v>#N/A</v>
      </c>
    </row>
    <row r="130" spans="12:19" x14ac:dyDescent="0.25">
      <c r="L130" s="7" t="e">
        <f>VLOOKUP(A130,'3121% SY'!A:M,'3121% SY'!$M$1,FALSE)</f>
        <v>#N/A</v>
      </c>
      <c r="M130" s="161" t="e">
        <f t="shared" si="5"/>
        <v>#N/A</v>
      </c>
      <c r="N130" s="33" t="e">
        <f t="shared" si="6"/>
        <v>#N/A</v>
      </c>
      <c r="R130" s="161" t="e">
        <f t="shared" si="9"/>
        <v>#N/A</v>
      </c>
      <c r="S130" s="33" t="e">
        <f t="shared" si="10"/>
        <v>#N/A</v>
      </c>
    </row>
    <row r="131" spans="12:19" x14ac:dyDescent="0.25">
      <c r="L131" s="7" t="e">
        <f>VLOOKUP(A131,'3121% SY'!A:M,'3121% SY'!$M$1,FALSE)</f>
        <v>#N/A</v>
      </c>
      <c r="M131" s="161" t="e">
        <f t="shared" si="5"/>
        <v>#N/A</v>
      </c>
      <c r="N131" s="33" t="e">
        <f t="shared" si="6"/>
        <v>#N/A</v>
      </c>
      <c r="R131" s="161" t="e">
        <f t="shared" si="9"/>
        <v>#N/A</v>
      </c>
      <c r="S131" s="33" t="e">
        <f t="shared" si="10"/>
        <v>#N/A</v>
      </c>
    </row>
    <row r="132" spans="12:19" x14ac:dyDescent="0.25">
      <c r="L132" s="7" t="e">
        <f>VLOOKUP(A132,'3121% SY'!A:M,'3121% SY'!$M$1,FALSE)</f>
        <v>#N/A</v>
      </c>
      <c r="M132" s="161" t="e">
        <f t="shared" si="5"/>
        <v>#N/A</v>
      </c>
      <c r="N132" s="33" t="e">
        <f t="shared" si="6"/>
        <v>#N/A</v>
      </c>
      <c r="R132" s="161" t="e">
        <f t="shared" ref="R132:R151" si="11">ROUND(Q132*$L132,3)</f>
        <v>#N/A</v>
      </c>
      <c r="S132" s="33" t="e">
        <f t="shared" ref="S132:S151" si="12">SUM(R132,O132:P132)</f>
        <v>#N/A</v>
      </c>
    </row>
    <row r="133" spans="12:19" x14ac:dyDescent="0.25">
      <c r="L133" s="7" t="e">
        <f>VLOOKUP(A133,'3121% SY'!A:M,'3121% SY'!$M$1,FALSE)</f>
        <v>#N/A</v>
      </c>
      <c r="M133" s="161" t="e">
        <f t="shared" ref="M133:M151" si="13">ROUND(I133*$L133,3)+ROUND(J133*$L133,3)++ROUND(K133*$L133,3)</f>
        <v>#N/A</v>
      </c>
      <c r="N133" s="33" t="e">
        <f t="shared" ref="N133:N151" si="14">SUM(M133,B133:H133)</f>
        <v>#N/A</v>
      </c>
      <c r="R133" s="161" t="e">
        <f t="shared" si="11"/>
        <v>#N/A</v>
      </c>
      <c r="S133" s="33" t="e">
        <f t="shared" si="12"/>
        <v>#N/A</v>
      </c>
    </row>
    <row r="134" spans="12:19" x14ac:dyDescent="0.25">
      <c r="L134" s="7" t="e">
        <f>VLOOKUP(A134,'3121% SY'!A:M,'3121% SY'!$M$1,FALSE)</f>
        <v>#N/A</v>
      </c>
      <c r="M134" s="161" t="e">
        <f t="shared" si="13"/>
        <v>#N/A</v>
      </c>
      <c r="N134" s="33" t="e">
        <f t="shared" si="14"/>
        <v>#N/A</v>
      </c>
      <c r="R134" s="161" t="e">
        <f t="shared" si="11"/>
        <v>#N/A</v>
      </c>
      <c r="S134" s="33" t="e">
        <f t="shared" si="12"/>
        <v>#N/A</v>
      </c>
    </row>
    <row r="135" spans="12:19" x14ac:dyDescent="0.25">
      <c r="L135" s="7" t="e">
        <f>VLOOKUP(A135,'3121% SY'!A:M,'3121% SY'!$M$1,FALSE)</f>
        <v>#N/A</v>
      </c>
      <c r="M135" s="161" t="e">
        <f t="shared" si="13"/>
        <v>#N/A</v>
      </c>
      <c r="N135" s="33" t="e">
        <f t="shared" si="14"/>
        <v>#N/A</v>
      </c>
      <c r="R135" s="161" t="e">
        <f t="shared" si="11"/>
        <v>#N/A</v>
      </c>
      <c r="S135" s="33" t="e">
        <f t="shared" si="12"/>
        <v>#N/A</v>
      </c>
    </row>
    <row r="136" spans="12:19" x14ac:dyDescent="0.25">
      <c r="L136" s="7" t="e">
        <f>VLOOKUP(A136,'3121% SY'!A:M,'3121% SY'!$M$1,FALSE)</f>
        <v>#N/A</v>
      </c>
      <c r="M136" s="161" t="e">
        <f t="shared" si="13"/>
        <v>#N/A</v>
      </c>
      <c r="N136" s="33" t="e">
        <f t="shared" si="14"/>
        <v>#N/A</v>
      </c>
      <c r="R136" s="161" t="e">
        <f t="shared" si="11"/>
        <v>#N/A</v>
      </c>
      <c r="S136" s="33" t="e">
        <f t="shared" si="12"/>
        <v>#N/A</v>
      </c>
    </row>
    <row r="137" spans="12:19" x14ac:dyDescent="0.25">
      <c r="L137" s="7" t="e">
        <f>VLOOKUP(A137,'3121% SY'!A:M,'3121% SY'!$M$1,FALSE)</f>
        <v>#N/A</v>
      </c>
      <c r="M137" s="161" t="e">
        <f t="shared" si="13"/>
        <v>#N/A</v>
      </c>
      <c r="N137" s="33" t="e">
        <f t="shared" si="14"/>
        <v>#N/A</v>
      </c>
      <c r="R137" s="161" t="e">
        <f t="shared" si="11"/>
        <v>#N/A</v>
      </c>
      <c r="S137" s="33" t="e">
        <f t="shared" si="12"/>
        <v>#N/A</v>
      </c>
    </row>
    <row r="138" spans="12:19" x14ac:dyDescent="0.25">
      <c r="L138" s="7" t="e">
        <f>VLOOKUP(A138,'3121% SY'!A:M,'3121% SY'!$M$1,FALSE)</f>
        <v>#N/A</v>
      </c>
      <c r="M138" s="161" t="e">
        <f t="shared" si="13"/>
        <v>#N/A</v>
      </c>
      <c r="N138" s="33" t="e">
        <f t="shared" si="14"/>
        <v>#N/A</v>
      </c>
      <c r="R138" s="161" t="e">
        <f t="shared" si="11"/>
        <v>#N/A</v>
      </c>
      <c r="S138" s="33" t="e">
        <f t="shared" si="12"/>
        <v>#N/A</v>
      </c>
    </row>
    <row r="139" spans="12:19" x14ac:dyDescent="0.25">
      <c r="L139" s="7" t="e">
        <f>VLOOKUP(A139,'3121% SY'!A:M,'3121% SY'!$M$1,FALSE)</f>
        <v>#N/A</v>
      </c>
      <c r="M139" s="161" t="e">
        <f t="shared" si="13"/>
        <v>#N/A</v>
      </c>
      <c r="N139" s="33" t="e">
        <f t="shared" si="14"/>
        <v>#N/A</v>
      </c>
      <c r="R139" s="161" t="e">
        <f t="shared" si="11"/>
        <v>#N/A</v>
      </c>
      <c r="S139" s="33" t="e">
        <f t="shared" si="12"/>
        <v>#N/A</v>
      </c>
    </row>
    <row r="140" spans="12:19" x14ac:dyDescent="0.25">
      <c r="L140" s="7" t="e">
        <f>VLOOKUP(A140,'3121% SY'!A:M,'3121% SY'!$M$1,FALSE)</f>
        <v>#N/A</v>
      </c>
      <c r="M140" s="161" t="e">
        <f t="shared" si="13"/>
        <v>#N/A</v>
      </c>
      <c r="N140" s="33" t="e">
        <f t="shared" si="14"/>
        <v>#N/A</v>
      </c>
      <c r="R140" s="161" t="e">
        <f t="shared" si="11"/>
        <v>#N/A</v>
      </c>
      <c r="S140" s="33" t="e">
        <f t="shared" si="12"/>
        <v>#N/A</v>
      </c>
    </row>
    <row r="141" spans="12:19" x14ac:dyDescent="0.25">
      <c r="L141" s="7" t="e">
        <f>VLOOKUP(A141,'3121% SY'!A:M,'3121% SY'!$M$1,FALSE)</f>
        <v>#N/A</v>
      </c>
      <c r="M141" s="161" t="e">
        <f t="shared" si="13"/>
        <v>#N/A</v>
      </c>
      <c r="N141" s="33" t="e">
        <f t="shared" si="14"/>
        <v>#N/A</v>
      </c>
      <c r="R141" s="161" t="e">
        <f t="shared" si="11"/>
        <v>#N/A</v>
      </c>
      <c r="S141" s="33" t="e">
        <f t="shared" si="12"/>
        <v>#N/A</v>
      </c>
    </row>
    <row r="142" spans="12:19" x14ac:dyDescent="0.25">
      <c r="L142" s="7" t="e">
        <f>VLOOKUP(A142,'3121% SY'!A:M,'3121% SY'!$M$1,FALSE)</f>
        <v>#N/A</v>
      </c>
      <c r="M142" s="161" t="e">
        <f t="shared" si="13"/>
        <v>#N/A</v>
      </c>
      <c r="N142" s="33" t="e">
        <f t="shared" si="14"/>
        <v>#N/A</v>
      </c>
      <c r="R142" s="161" t="e">
        <f t="shared" si="11"/>
        <v>#N/A</v>
      </c>
      <c r="S142" s="33" t="e">
        <f t="shared" si="12"/>
        <v>#N/A</v>
      </c>
    </row>
    <row r="143" spans="12:19" x14ac:dyDescent="0.25">
      <c r="L143" s="7" t="e">
        <f>VLOOKUP(A143,'3121% SY'!A:M,'3121% SY'!$M$1,FALSE)</f>
        <v>#N/A</v>
      </c>
      <c r="M143" s="161" t="e">
        <f t="shared" si="13"/>
        <v>#N/A</v>
      </c>
      <c r="N143" s="33" t="e">
        <f t="shared" si="14"/>
        <v>#N/A</v>
      </c>
      <c r="R143" s="161" t="e">
        <f t="shared" si="11"/>
        <v>#N/A</v>
      </c>
      <c r="S143" s="33" t="e">
        <f t="shared" si="12"/>
        <v>#N/A</v>
      </c>
    </row>
    <row r="144" spans="12:19" x14ac:dyDescent="0.25">
      <c r="L144" s="7" t="e">
        <f>VLOOKUP(A144,'3121% SY'!A:M,'3121% SY'!$M$1,FALSE)</f>
        <v>#N/A</v>
      </c>
      <c r="M144" s="161" t="e">
        <f t="shared" si="13"/>
        <v>#N/A</v>
      </c>
      <c r="N144" s="33" t="e">
        <f t="shared" si="14"/>
        <v>#N/A</v>
      </c>
      <c r="R144" s="161" t="e">
        <f t="shared" si="11"/>
        <v>#N/A</v>
      </c>
      <c r="S144" s="33" t="e">
        <f t="shared" si="12"/>
        <v>#N/A</v>
      </c>
    </row>
    <row r="145" spans="12:19" x14ac:dyDescent="0.25">
      <c r="L145" s="7" t="e">
        <f>VLOOKUP(A145,'3121% SY'!A:M,'3121% SY'!$M$1,FALSE)</f>
        <v>#N/A</v>
      </c>
      <c r="M145" s="161" t="e">
        <f t="shared" si="13"/>
        <v>#N/A</v>
      </c>
      <c r="N145" s="33" t="e">
        <f t="shared" si="14"/>
        <v>#N/A</v>
      </c>
      <c r="R145" s="161" t="e">
        <f t="shared" si="11"/>
        <v>#N/A</v>
      </c>
      <c r="S145" s="33" t="e">
        <f t="shared" si="12"/>
        <v>#N/A</v>
      </c>
    </row>
    <row r="146" spans="12:19" x14ac:dyDescent="0.25">
      <c r="L146" s="7" t="e">
        <f>VLOOKUP(A146,'3121% SY'!A:M,'3121% SY'!$M$1,FALSE)</f>
        <v>#N/A</v>
      </c>
      <c r="M146" s="161" t="e">
        <f t="shared" si="13"/>
        <v>#N/A</v>
      </c>
      <c r="N146" s="33" t="e">
        <f t="shared" si="14"/>
        <v>#N/A</v>
      </c>
      <c r="R146" s="161" t="e">
        <f t="shared" si="11"/>
        <v>#N/A</v>
      </c>
      <c r="S146" s="33" t="e">
        <f t="shared" si="12"/>
        <v>#N/A</v>
      </c>
    </row>
    <row r="147" spans="12:19" x14ac:dyDescent="0.25">
      <c r="L147" s="7" t="e">
        <f>VLOOKUP(A147,'3121% SY'!A:M,'3121% SY'!$M$1,FALSE)</f>
        <v>#N/A</v>
      </c>
      <c r="M147" s="161" t="e">
        <f t="shared" si="13"/>
        <v>#N/A</v>
      </c>
      <c r="N147" s="33" t="e">
        <f t="shared" si="14"/>
        <v>#N/A</v>
      </c>
      <c r="R147" s="161" t="e">
        <f t="shared" si="11"/>
        <v>#N/A</v>
      </c>
      <c r="S147" s="33" t="e">
        <f t="shared" si="12"/>
        <v>#N/A</v>
      </c>
    </row>
    <row r="148" spans="12:19" x14ac:dyDescent="0.25">
      <c r="L148" s="7" t="e">
        <f>VLOOKUP(A148,'3121% SY'!A:M,'3121% SY'!$M$1,FALSE)</f>
        <v>#N/A</v>
      </c>
      <c r="M148" s="161" t="e">
        <f t="shared" si="13"/>
        <v>#N/A</v>
      </c>
      <c r="N148" s="33" t="e">
        <f t="shared" si="14"/>
        <v>#N/A</v>
      </c>
      <c r="R148" s="161" t="e">
        <f t="shared" si="11"/>
        <v>#N/A</v>
      </c>
      <c r="S148" s="33" t="e">
        <f t="shared" si="12"/>
        <v>#N/A</v>
      </c>
    </row>
    <row r="149" spans="12:19" x14ac:dyDescent="0.25">
      <c r="L149" s="7" t="e">
        <f>VLOOKUP(A149,'3121% SY'!A:M,'3121% SY'!$M$1,FALSE)</f>
        <v>#N/A</v>
      </c>
      <c r="M149" s="161" t="e">
        <f t="shared" si="13"/>
        <v>#N/A</v>
      </c>
      <c r="N149" s="33" t="e">
        <f t="shared" si="14"/>
        <v>#N/A</v>
      </c>
      <c r="R149" s="161" t="e">
        <f t="shared" si="11"/>
        <v>#N/A</v>
      </c>
      <c r="S149" s="33" t="e">
        <f t="shared" si="12"/>
        <v>#N/A</v>
      </c>
    </row>
    <row r="150" spans="12:19" x14ac:dyDescent="0.25">
      <c r="L150" s="7" t="e">
        <f>VLOOKUP(A150,'3121% SY'!A:M,'3121% SY'!$M$1,FALSE)</f>
        <v>#N/A</v>
      </c>
      <c r="M150" s="161" t="e">
        <f t="shared" si="13"/>
        <v>#N/A</v>
      </c>
      <c r="N150" s="33" t="e">
        <f t="shared" si="14"/>
        <v>#N/A</v>
      </c>
      <c r="R150" s="161" t="e">
        <f t="shared" si="11"/>
        <v>#N/A</v>
      </c>
      <c r="S150" s="33" t="e">
        <f t="shared" si="12"/>
        <v>#N/A</v>
      </c>
    </row>
    <row r="151" spans="12:19" x14ac:dyDescent="0.25">
      <c r="L151" s="7" t="e">
        <f>VLOOKUP(A151,'3121% SY'!A:M,'3121% SY'!$M$1,FALSE)</f>
        <v>#N/A</v>
      </c>
      <c r="M151" s="161" t="e">
        <f t="shared" si="13"/>
        <v>#N/A</v>
      </c>
      <c r="N151" s="33" t="e">
        <f t="shared" si="14"/>
        <v>#N/A</v>
      </c>
      <c r="R151" s="161" t="e">
        <f t="shared" si="11"/>
        <v>#N/A</v>
      </c>
      <c r="S151" s="33" t="e">
        <f t="shared" si="12"/>
        <v>#N/A</v>
      </c>
    </row>
  </sheetData>
  <mergeCells count="1">
    <mergeCell ref="B2:H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5" tint="0.59999389629810485"/>
  </sheetPr>
  <dimension ref="A1:O27"/>
  <sheetViews>
    <sheetView zoomScaleNormal="100" workbookViewId="0">
      <selection activeCell="C4" sqref="C4"/>
    </sheetView>
  </sheetViews>
  <sheetFormatPr defaultRowHeight="15" x14ac:dyDescent="0.25"/>
  <cols>
    <col min="1" max="1" width="6" bestFit="1" customWidth="1"/>
    <col min="2" max="2" width="3.42578125" customWidth="1"/>
    <col min="3" max="3" width="34.7109375" customWidth="1"/>
    <col min="4" max="4" width="13.5703125" customWidth="1"/>
    <col min="5" max="5" width="13.28515625" customWidth="1"/>
    <col min="6" max="6" width="13" customWidth="1"/>
    <col min="7" max="7" width="11.42578125" customWidth="1"/>
    <col min="8" max="8" width="15.42578125" customWidth="1"/>
    <col min="9" max="9" width="17.42578125" customWidth="1"/>
    <col min="10" max="10" width="15.5703125" bestFit="1" customWidth="1"/>
    <col min="11" max="11" width="12.5703125" bestFit="1" customWidth="1"/>
    <col min="12" max="12" width="12.42578125" bestFit="1" customWidth="1"/>
    <col min="13" max="13" width="15.5703125" customWidth="1"/>
    <col min="14" max="14" width="15.42578125" bestFit="1" customWidth="1"/>
    <col min="15" max="15" width="13" customWidth="1"/>
    <col min="16" max="16" width="11.5703125" customWidth="1"/>
    <col min="17" max="17" width="9.5703125" bestFit="1" customWidth="1"/>
    <col min="18" max="18" width="11.42578125" customWidth="1"/>
    <col min="19" max="19" width="12.28515625" customWidth="1"/>
    <col min="20" max="20" width="14.5703125" customWidth="1"/>
    <col min="21" max="21" width="12.5703125" customWidth="1"/>
    <col min="22" max="22" width="14.7109375" customWidth="1"/>
    <col min="23" max="23" width="16.42578125" customWidth="1"/>
    <col min="24" max="24" width="14.42578125" customWidth="1"/>
    <col min="25" max="25" width="21.7109375" customWidth="1"/>
  </cols>
  <sheetData>
    <row r="1" spans="1:15" ht="23.25" x14ac:dyDescent="0.35">
      <c r="A1" s="16" t="str">
        <f>VLOOKUP(C4,'3121% SY'!$B:$C,2,FALSE)</f>
        <v>14005</v>
      </c>
      <c r="B1" s="16"/>
      <c r="C1" s="289" t="s">
        <v>1618</v>
      </c>
      <c r="D1" s="289"/>
      <c r="E1" s="289"/>
      <c r="F1" s="289"/>
      <c r="G1" s="289"/>
      <c r="H1" s="289"/>
      <c r="I1" s="289"/>
      <c r="J1" s="289"/>
      <c r="K1" s="289"/>
    </row>
    <row r="2" spans="1:15" ht="10.35" customHeight="1" x14ac:dyDescent="0.35">
      <c r="C2" s="12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5" ht="15" customHeight="1" thickBot="1" x14ac:dyDescent="0.3">
      <c r="C3" s="8" t="str">
        <f>CONCATENATE("1. Select a school district in the dropdown menu for ",,Instructions!E72, " Student FTE, Teacher FTE and 3121% data to be filled into associated calculator sheets")</f>
        <v>1. Select a school district in the dropdown menu for January Student FTE, Teacher FTE and 3121% data to be filled into associated calculator sheets</v>
      </c>
    </row>
    <row r="4" spans="1:15" ht="26.25" customHeight="1" thickBot="1" x14ac:dyDescent="0.3">
      <c r="C4" s="117" t="s">
        <v>371</v>
      </c>
      <c r="D4" s="118" t="s">
        <v>640</v>
      </c>
    </row>
    <row r="5" spans="1:15" ht="15.75" x14ac:dyDescent="0.25">
      <c r="D5" s="8"/>
    </row>
    <row r="6" spans="1:15" ht="45" x14ac:dyDescent="0.25">
      <c r="D6" s="3" t="s">
        <v>679</v>
      </c>
      <c r="E6" s="3" t="s">
        <v>700</v>
      </c>
      <c r="F6" s="58" t="s">
        <v>708</v>
      </c>
    </row>
    <row r="7" spans="1:15" x14ac:dyDescent="0.25">
      <c r="C7" s="22" t="s">
        <v>705</v>
      </c>
      <c r="D7" s="106">
        <f>'2024-25 Elementary Calculator'!P26</f>
        <v>7.09</v>
      </c>
      <c r="E7" s="49">
        <f>'2024-25 Elementary Calculator'!R26</f>
        <v>7.7519999999999989</v>
      </c>
      <c r="F7" s="56">
        <f>D7-E7</f>
        <v>-0.66199999999999903</v>
      </c>
    </row>
    <row r="8" spans="1:15" x14ac:dyDescent="0.25">
      <c r="C8" s="22" t="s">
        <v>706</v>
      </c>
      <c r="D8" s="106">
        <f>'2024-25 Middle Calculator'!N26</f>
        <v>2.2000000000000002</v>
      </c>
      <c r="E8" s="49">
        <f>'2024-25 Middle Calculator'!P26</f>
        <v>2.1670000000000003</v>
      </c>
      <c r="F8" s="56">
        <f t="shared" ref="F8:F9" si="0">D8-E8</f>
        <v>3.2999999999999918E-2</v>
      </c>
    </row>
    <row r="9" spans="1:15" x14ac:dyDescent="0.25">
      <c r="C9" s="22" t="s">
        <v>707</v>
      </c>
      <c r="D9" s="107">
        <f>'2024-25 High Calculator'!N26</f>
        <v>6.8780000000000001</v>
      </c>
      <c r="E9" s="49">
        <f>'2024-25 High Calculator'!P26</f>
        <v>4.6309999999999993</v>
      </c>
      <c r="F9" s="56">
        <f t="shared" si="0"/>
        <v>2.2470000000000008</v>
      </c>
    </row>
    <row r="10" spans="1:15" ht="15.75" thickBot="1" x14ac:dyDescent="0.3">
      <c r="C10" s="22" t="s">
        <v>606</v>
      </c>
      <c r="D10" s="108">
        <f>SUM(D7:D9)</f>
        <v>16.167999999999999</v>
      </c>
      <c r="E10" s="55">
        <f>SUM(E7:E9)</f>
        <v>14.549999999999997</v>
      </c>
      <c r="F10" s="57">
        <f>D10-E10</f>
        <v>1.6180000000000021</v>
      </c>
    </row>
    <row r="11" spans="1:15" ht="15.75" thickTop="1" x14ac:dyDescent="0.25">
      <c r="B11" s="22"/>
      <c r="C11" s="22"/>
      <c r="D11" s="22"/>
      <c r="E11" s="22"/>
      <c r="F11" s="22"/>
    </row>
    <row r="12" spans="1:15" x14ac:dyDescent="0.25">
      <c r="B12" s="22"/>
      <c r="E12" s="22"/>
      <c r="F12" s="46" t="s">
        <v>780</v>
      </c>
      <c r="G12" s="25"/>
      <c r="H12" t="s">
        <v>760</v>
      </c>
    </row>
    <row r="13" spans="1:15" x14ac:dyDescent="0.25">
      <c r="D13" s="22" t="s">
        <v>1089</v>
      </c>
      <c r="E13" s="67">
        <f>IF(ROUND($G13*$F$10,3)&gt;0,0,ROUND($G13*$F$10,3))</f>
        <v>0</v>
      </c>
      <c r="F13" s="97">
        <f>ROUND(CIS_Inc*(VLOOKUP($A$1,'K3 District Data as of Jan 2025'!$A$3:$O$322,MATCH("Reg",'K3 District Data as of Jan 2025'!$2:$2,0),FALSE)+VLOOKUP($A$1,'K3 District Data as of Jan 2025'!$A$3:$O$322,MATCH("Exp",'K3 District Data as of Jan 2025'!$2:$2,0),FALSE))*E13,2)+ROUND((E13*CIS_Ins_Inc),2)+ROUND((CIS_Base*VLOOKUP($A$1,'K3 District Data as of Jan 2025'!$A$3:$O$322,MATCH("Reg base",'K3 District Data as of Jan 2025'!$2:$2,0),FALSE)*E13)*CIS_Ben_Base,2)+ROUND((ROUND(CIS_Inc*(VLOOKUP($A$1,'K3 District Data as of Jan 2025'!$A$3:$O$322,MATCH("Reg",'K3 District Data as of Jan 2025'!$2:$2,0),FALSE)+VLOOKUP($A$1,'K3 District Data as of Jan 2025'!$A$3:$O$322,MATCH("Exp",'K3 District Data as of Jan 2025'!$2:$2,0),FALSE))*E13,2)-ROUND(CIS_Base*VLOOKUP($A$1,'K3 District Data as of Jan 2025'!$A$3:$O$322,MATCH("Reg base",'K3 District Data as of Jan 2025'!$2:$2,0),FALSE)*E13,2))*CIS_Ben_Inc+((CIS_Inc*(VLOOKUP($A$1,'K3 District Data as of Jan 2025'!$A$3:$O$322,MATCH("Reg",'K3 District Data as of Jan 2025'!$2:$2,0),FALSE)+VLOOKUP($A$1,'K3 District Data as of Jan 2025'!$A$3:$O$322,MATCH("Exp",'K3 District Data as of Jan 2025'!$2:$2,0),FALSE))*E13)/180)*3+(((CIS_Inc*(VLOOKUP($A$1,'K3 District Data as of Jan 2025'!$A$3:$O$322,MATCH("Reg",'K3 District Data as of Jan 2025'!$2:$2,0),FALSE)+VLOOKUP($A$1,'K3 District Data as of Jan 2025'!$A$3:$O$322,MATCH("Exp",'K3 District Data as of Jan 2025'!$2:$2,0),FALSE))*E13)/180)*3)*CIS_Ben_Inc,2)</f>
        <v>0</v>
      </c>
      <c r="G13" s="70">
        <f>ROUND(SUM('2024-25 Elementary Calculator'!Q12:Q21,'2024-25 Middle Calculator'!O12:O21,'2024-25 High Calculator'!O12:O21)/SUM('2024-25 Elementary Calculator'!Q26,'2024-25 Middle Calculator'!O26,'2024-25 High Calculator'!O26),2)</f>
        <v>0.96</v>
      </c>
      <c r="H13" s="77" t="s">
        <v>710</v>
      </c>
      <c r="I13" s="25"/>
    </row>
    <row r="14" spans="1:15" x14ac:dyDescent="0.25">
      <c r="D14" s="22" t="s">
        <v>1090</v>
      </c>
      <c r="E14" s="68">
        <f>IF(ROUND($G14*$F$10,3)&gt;0,0,ROUND($G14*$F$10,3))</f>
        <v>0</v>
      </c>
      <c r="F14" s="98">
        <f>ROUND(CLS_Inc*VLOOKUP($A$1,'K3 District Data as of Jan 2025'!$A$3:$O$322,MATCH("Reg base",'K3 District Data as of Jan 2025'!$2:$2,0),FALSE)*E14,2)+ROUND((E14*CLS_Ins_Inc),2)+ROUND((CLS_Base*VLOOKUP($A$1,'K3 District Data as of Jan 2025'!$A$3:$O$322,MATCH("Reg base",'K3 District Data as of Jan 2025'!$2:$2,0),FALSE)*E14)*CLS_Ben_Base,2)+ROUND((ROUND(CLS_Inc*VLOOKUP($A$1,'K3 District Data as of Jan 2025'!$A$3:$O$322,MATCH("Reg base",'K3 District Data as of Jan 2025'!$2:$2,0),FALSE)*E14,2)-ROUND(CLS_Base*VLOOKUP($A$1,'K3 District Data as of Jan 2025'!$A$3:$O$322,MATCH("Reg base",'K3 District Data as of Jan 2025'!$2:$2,0),FALSE)*E14,2))*CLS_Ben_Inc,2)</f>
        <v>0</v>
      </c>
      <c r="G14" s="70">
        <f>ROUND(SUM('2024-25 Elementary Calculator'!Q22:Q25,'2024-25 Middle Calculator'!O22:O25,'2024-25 High Calculator'!O22:O25)/SUM('2024-25 Elementary Calculator'!Q26,'2024-25 Middle Calculator'!O26,'2024-25 High Calculator'!O26),2)</f>
        <v>0.04</v>
      </c>
      <c r="H14" s="77" t="s">
        <v>711</v>
      </c>
    </row>
    <row r="15" spans="1:15" x14ac:dyDescent="0.25">
      <c r="C15" s="2"/>
      <c r="E15" s="69">
        <f>SUM(E13:E14)</f>
        <v>0</v>
      </c>
      <c r="F15" s="66">
        <f>SUM(F13:F14)</f>
        <v>0</v>
      </c>
      <c r="G15" s="25"/>
      <c r="O15" s="25"/>
    </row>
    <row r="17" spans="5:12" x14ac:dyDescent="0.25">
      <c r="E17" s="25"/>
      <c r="F17" s="25"/>
      <c r="G17" s="25"/>
      <c r="H17" s="25"/>
      <c r="I17" s="25"/>
      <c r="J17" s="25"/>
      <c r="K17" s="25"/>
      <c r="L17" s="23"/>
    </row>
    <row r="18" spans="5:12" x14ac:dyDescent="0.25">
      <c r="I18" s="38"/>
      <c r="K18" s="38"/>
    </row>
    <row r="21" spans="5:12" x14ac:dyDescent="0.25">
      <c r="K21" s="25"/>
    </row>
    <row r="23" spans="5:12" x14ac:dyDescent="0.25">
      <c r="K23" s="25"/>
    </row>
    <row r="24" spans="5:12" x14ac:dyDescent="0.25">
      <c r="K24" s="25"/>
    </row>
    <row r="25" spans="5:12" x14ac:dyDescent="0.25">
      <c r="K25" s="35"/>
    </row>
    <row r="26" spans="5:12" x14ac:dyDescent="0.25">
      <c r="K26" s="25"/>
    </row>
    <row r="27" spans="5:12" x14ac:dyDescent="0.25">
      <c r="F27" s="25"/>
      <c r="G27" s="25"/>
      <c r="H27" s="25"/>
      <c r="I27" s="25"/>
      <c r="J27" s="23"/>
      <c r="K27" s="23"/>
    </row>
  </sheetData>
  <sheetProtection formatCells="0" formatColumns="0" formatRows="0"/>
  <mergeCells count="1">
    <mergeCell ref="C1:K1"/>
  </mergeCells>
  <pageMargins left="0.25" right="0.25" top="0.75" bottom="0.75" header="0.3" footer="0.3"/>
  <pageSetup scale="68" orientation="landscape" r:id="rId1"/>
  <colBreaks count="1" manualBreakCount="1">
    <brk id="14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'3121% SY'!$B$3:$B$324</xm:f>
          </x14:formula1>
          <xm:sqref>C4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4A7C3-0845-4A80-B7E8-C425C320C829}">
  <sheetPr codeName="Sheet34"/>
  <dimension ref="A1:T151"/>
  <sheetViews>
    <sheetView workbookViewId="0">
      <selection activeCell="L4" sqref="L4:L151"/>
    </sheetView>
  </sheetViews>
  <sheetFormatPr defaultRowHeight="15" x14ac:dyDescent="0.25"/>
  <cols>
    <col min="1" max="1" width="13.140625" bestFit="1" customWidth="1"/>
    <col min="2" max="2" width="12.7109375" bestFit="1" customWidth="1"/>
    <col min="3" max="3" width="13.7109375" bestFit="1" customWidth="1"/>
    <col min="4" max="4" width="13.140625" bestFit="1" customWidth="1"/>
    <col min="5" max="6" width="14.85546875" bestFit="1" customWidth="1"/>
    <col min="7" max="7" width="15.7109375" bestFit="1" customWidth="1"/>
    <col min="8" max="8" width="15.140625" bestFit="1" customWidth="1"/>
    <col min="9" max="9" width="14.85546875" bestFit="1" customWidth="1"/>
    <col min="10" max="10" width="15.7109375" bestFit="1" customWidth="1"/>
    <col min="11" max="11" width="15.140625" bestFit="1" customWidth="1"/>
    <col min="12" max="12" width="12.7109375" bestFit="1" customWidth="1"/>
    <col min="13" max="13" width="17.42578125" bestFit="1" customWidth="1"/>
    <col min="14" max="14" width="12.7109375" bestFit="1" customWidth="1"/>
    <col min="15" max="16" width="16" bestFit="1" customWidth="1"/>
    <col min="17" max="17" width="13.5703125" bestFit="1" customWidth="1"/>
    <col min="18" max="18" width="12.7109375" bestFit="1" customWidth="1"/>
    <col min="19" max="19" width="21" bestFit="1" customWidth="1"/>
    <col min="20" max="43" width="12.7109375" bestFit="1" customWidth="1"/>
  </cols>
  <sheetData>
    <row r="1" spans="1:20" x14ac:dyDescent="0.25">
      <c r="A1" s="87">
        <f>COLUMN(A1)</f>
        <v>1</v>
      </c>
      <c r="B1" s="87">
        <f>COLUMN(B1)</f>
        <v>2</v>
      </c>
      <c r="C1" s="87">
        <f t="shared" ref="C1:S1" si="0">COLUMN(C1)</f>
        <v>3</v>
      </c>
      <c r="D1" s="87">
        <f t="shared" si="0"/>
        <v>4</v>
      </c>
      <c r="E1" s="87">
        <f t="shared" si="0"/>
        <v>5</v>
      </c>
      <c r="F1" s="87">
        <f t="shared" si="0"/>
        <v>6</v>
      </c>
      <c r="G1" s="87">
        <f t="shared" si="0"/>
        <v>7</v>
      </c>
      <c r="H1" s="87">
        <f t="shared" si="0"/>
        <v>8</v>
      </c>
      <c r="I1" s="87">
        <f t="shared" si="0"/>
        <v>9</v>
      </c>
      <c r="J1" s="87">
        <f t="shared" si="0"/>
        <v>10</v>
      </c>
      <c r="K1" s="87">
        <f t="shared" si="0"/>
        <v>11</v>
      </c>
      <c r="L1" s="87">
        <f t="shared" si="0"/>
        <v>12</v>
      </c>
      <c r="M1" s="87">
        <f t="shared" si="0"/>
        <v>13</v>
      </c>
      <c r="N1" s="87">
        <f t="shared" si="0"/>
        <v>14</v>
      </c>
      <c r="O1" s="87">
        <f t="shared" si="0"/>
        <v>15</v>
      </c>
      <c r="P1" s="87">
        <f t="shared" si="0"/>
        <v>16</v>
      </c>
      <c r="Q1" s="87">
        <f t="shared" si="0"/>
        <v>17</v>
      </c>
      <c r="R1" s="87">
        <f t="shared" si="0"/>
        <v>18</v>
      </c>
      <c r="S1" s="87">
        <f t="shared" si="0"/>
        <v>19</v>
      </c>
      <c r="T1" s="87"/>
    </row>
    <row r="2" spans="1:20" x14ac:dyDescent="0.25">
      <c r="A2">
        <f>COUNTA(A4:A150)</f>
        <v>24</v>
      </c>
      <c r="B2" s="290" t="s">
        <v>1040</v>
      </c>
      <c r="C2" s="290"/>
      <c r="D2" s="290"/>
      <c r="E2" s="290"/>
      <c r="F2" s="290"/>
      <c r="G2" s="290"/>
      <c r="H2" s="290"/>
      <c r="I2" s="156"/>
      <c r="J2" s="156"/>
      <c r="K2" s="156"/>
      <c r="N2" s="33" t="e">
        <f>SUM(N5:N150)</f>
        <v>#N/A</v>
      </c>
    </row>
    <row r="3" spans="1:20" x14ac:dyDescent="0.25">
      <c r="A3" s="91" t="s">
        <v>752</v>
      </c>
      <c r="B3" t="s">
        <v>791</v>
      </c>
      <c r="C3" t="s">
        <v>831</v>
      </c>
      <c r="D3" t="s">
        <v>872</v>
      </c>
      <c r="E3" t="s">
        <v>1138</v>
      </c>
      <c r="F3" t="s">
        <v>805</v>
      </c>
      <c r="G3" t="s">
        <v>844</v>
      </c>
      <c r="H3" t="s">
        <v>885</v>
      </c>
      <c r="I3" t="s">
        <v>817</v>
      </c>
      <c r="J3" t="s">
        <v>858</v>
      </c>
      <c r="K3" t="s">
        <v>897</v>
      </c>
      <c r="L3" s="6">
        <v>31.21</v>
      </c>
      <c r="M3" t="str">
        <f>"SpEd Staffed "&amp;$B$2</f>
        <v>SpEd Staffed Nurses</v>
      </c>
      <c r="N3" s="162" t="str">
        <f>"Total "&amp;$B$2</f>
        <v>Total Nurses</v>
      </c>
      <c r="O3" t="s">
        <v>1062</v>
      </c>
      <c r="P3" t="s">
        <v>1063</v>
      </c>
      <c r="Q3" t="s">
        <v>1061</v>
      </c>
      <c r="R3" t="str">
        <f>"SpEd Contracted "&amp;$B$2</f>
        <v>SpEd Contracted Nurses</v>
      </c>
      <c r="S3" s="162" t="str">
        <f>"Total Contracted "&amp;$B$2</f>
        <v>Total Contracted Nurses</v>
      </c>
    </row>
    <row r="4" spans="1:20" x14ac:dyDescent="0.25">
      <c r="A4" s="88" t="s">
        <v>7</v>
      </c>
      <c r="B4">
        <v>4.9000000000000002E-2</v>
      </c>
      <c r="C4">
        <v>4.9000000000000002E-2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7">
        <f>VLOOKUP(A4,'3121% SY'!A:M,'3121% SY'!$M$1,FALSE)</f>
        <v>0.1179</v>
      </c>
      <c r="M4" s="161">
        <f>ROUND(I4*$L4,3)+ROUND(J4*$L4,3)++ROUND(K4*$L4,3)</f>
        <v>0</v>
      </c>
      <c r="N4" s="33">
        <f>SUM(M4,B4:H4)</f>
        <v>9.8000000000000004E-2</v>
      </c>
      <c r="R4" s="161">
        <f>ROUND(Q4*$L4,3)</f>
        <v>0</v>
      </c>
      <c r="S4" s="33">
        <f>SUM(R4,O4:P4)</f>
        <v>0</v>
      </c>
    </row>
    <row r="5" spans="1:20" x14ac:dyDescent="0.25">
      <c r="A5" s="88" t="s">
        <v>40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7">
        <f>VLOOKUP(A5,'3121% SY'!A:M,'3121% SY'!$M$1,FALSE)</f>
        <v>0.1794</v>
      </c>
      <c r="M5" s="161">
        <f t="shared" ref="M5:M68" si="1">ROUND(I5*$L5,3)+ROUND(J5*$L5,3)++ROUND(K5*$L5,3)</f>
        <v>0</v>
      </c>
      <c r="N5" s="33">
        <f t="shared" ref="N5:N68" si="2">SUM(M5,B5:H5)</f>
        <v>0</v>
      </c>
      <c r="R5" s="161">
        <f t="shared" ref="R5:R68" si="3">ROUND(Q5*$L5,3)</f>
        <v>0</v>
      </c>
      <c r="S5" s="33">
        <f t="shared" ref="S5:S68" si="4">SUM(R5,O5:P5)</f>
        <v>0</v>
      </c>
    </row>
    <row r="6" spans="1:20" x14ac:dyDescent="0.25">
      <c r="A6" s="88" t="s">
        <v>61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0.57099999999999995</v>
      </c>
      <c r="J6">
        <v>0.14299999999999999</v>
      </c>
      <c r="K6">
        <v>0.28599999999999998</v>
      </c>
      <c r="L6" s="7">
        <f>VLOOKUP(A6,'3121% SY'!A:M,'3121% SY'!$M$1,FALSE)</f>
        <v>0.24629999999999996</v>
      </c>
      <c r="M6" s="161">
        <f t="shared" si="1"/>
        <v>0.246</v>
      </c>
      <c r="N6" s="33">
        <f t="shared" si="2"/>
        <v>0.246</v>
      </c>
      <c r="R6" s="161">
        <f t="shared" si="3"/>
        <v>0</v>
      </c>
      <c r="S6" s="33">
        <f t="shared" si="4"/>
        <v>0</v>
      </c>
    </row>
    <row r="7" spans="1:20" x14ac:dyDescent="0.25">
      <c r="A7" s="88" t="s">
        <v>78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0.11</v>
      </c>
      <c r="J7">
        <v>0.03</v>
      </c>
      <c r="K7">
        <v>0</v>
      </c>
      <c r="L7" s="7">
        <f>VLOOKUP(A7,'3121% SY'!A:M,'3121% SY'!$M$1,FALSE)</f>
        <v>0.17600000000000005</v>
      </c>
      <c r="M7" s="161">
        <f t="shared" si="1"/>
        <v>2.4E-2</v>
      </c>
      <c r="N7" s="33">
        <f t="shared" si="2"/>
        <v>2.4E-2</v>
      </c>
      <c r="R7" s="161">
        <f t="shared" si="3"/>
        <v>0</v>
      </c>
      <c r="S7" s="33">
        <f t="shared" si="4"/>
        <v>0</v>
      </c>
    </row>
    <row r="8" spans="1:20" x14ac:dyDescent="0.25">
      <c r="A8" s="88" t="s">
        <v>84</v>
      </c>
      <c r="B8">
        <v>0.2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7">
        <f>VLOOKUP(A8,'3121% SY'!A:M,'3121% SY'!$M$1,FALSE)</f>
        <v>8.9999999999999969E-2</v>
      </c>
      <c r="M8" s="161">
        <f t="shared" si="1"/>
        <v>0</v>
      </c>
      <c r="N8" s="33">
        <f t="shared" si="2"/>
        <v>0.2</v>
      </c>
      <c r="R8" s="161">
        <f t="shared" si="3"/>
        <v>0</v>
      </c>
      <c r="S8" s="33">
        <f t="shared" si="4"/>
        <v>0</v>
      </c>
    </row>
    <row r="9" spans="1:20" x14ac:dyDescent="0.25">
      <c r="A9" s="88" t="s">
        <v>87</v>
      </c>
      <c r="B9">
        <v>0.108</v>
      </c>
      <c r="C9">
        <v>0.03</v>
      </c>
      <c r="D9">
        <v>6.2E-2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7">
        <f>VLOOKUP(A9,'3121% SY'!A:M,'3121% SY'!$M$1,FALSE)</f>
        <v>0.18340000000000001</v>
      </c>
      <c r="M9" s="161">
        <f t="shared" si="1"/>
        <v>0</v>
      </c>
      <c r="N9" s="33">
        <f t="shared" si="2"/>
        <v>0.2</v>
      </c>
      <c r="R9" s="161">
        <f t="shared" si="3"/>
        <v>0</v>
      </c>
      <c r="S9" s="33">
        <f t="shared" si="4"/>
        <v>0</v>
      </c>
    </row>
    <row r="10" spans="1:20" x14ac:dyDescent="0.25">
      <c r="A10" s="88" t="s">
        <v>89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7">
        <f>VLOOKUP(A10,'3121% SY'!A:M,'3121% SY'!$M$1,FALSE)</f>
        <v>0.22170000000000001</v>
      </c>
      <c r="M10" s="161">
        <f t="shared" si="1"/>
        <v>0</v>
      </c>
      <c r="N10" s="33">
        <f t="shared" si="2"/>
        <v>0</v>
      </c>
      <c r="R10" s="161">
        <f t="shared" si="3"/>
        <v>0</v>
      </c>
      <c r="S10" s="33">
        <f t="shared" si="4"/>
        <v>0</v>
      </c>
    </row>
    <row r="11" spans="1:20" x14ac:dyDescent="0.25">
      <c r="A11" s="88" t="s">
        <v>141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7">
        <f>VLOOKUP(A11,'3121% SY'!A:M,'3121% SY'!$M$1,FALSE)</f>
        <v>0.31479999999999997</v>
      </c>
      <c r="M11" s="161">
        <f t="shared" si="1"/>
        <v>0</v>
      </c>
      <c r="N11" s="33">
        <f t="shared" si="2"/>
        <v>0</v>
      </c>
      <c r="R11" s="161">
        <f t="shared" si="3"/>
        <v>0</v>
      </c>
      <c r="S11" s="33">
        <f t="shared" si="4"/>
        <v>0</v>
      </c>
    </row>
    <row r="12" spans="1:20" x14ac:dyDescent="0.25">
      <c r="A12" s="88" t="s">
        <v>145</v>
      </c>
      <c r="B12">
        <v>0.27</v>
      </c>
      <c r="C12">
        <v>0.27</v>
      </c>
      <c r="D12">
        <v>0.27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7">
        <f>VLOOKUP(A12,'3121% SY'!A:M,'3121% SY'!$M$1,FALSE)</f>
        <v>0.28620000000000001</v>
      </c>
      <c r="M12" s="161">
        <f t="shared" si="1"/>
        <v>0</v>
      </c>
      <c r="N12" s="33">
        <f t="shared" si="2"/>
        <v>0.81</v>
      </c>
      <c r="R12" s="161">
        <f t="shared" si="3"/>
        <v>0</v>
      </c>
      <c r="S12" s="33">
        <f t="shared" si="4"/>
        <v>0</v>
      </c>
    </row>
    <row r="13" spans="1:20" x14ac:dyDescent="0.25">
      <c r="A13" s="88" t="s">
        <v>146</v>
      </c>
      <c r="B13">
        <v>1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7">
        <f>VLOOKUP(A13,'3121% SY'!A:M,'3121% SY'!$M$1,FALSE)</f>
        <v>0.25719999999999998</v>
      </c>
      <c r="M13" s="161">
        <f t="shared" si="1"/>
        <v>0</v>
      </c>
      <c r="N13" s="33">
        <f t="shared" si="2"/>
        <v>1</v>
      </c>
      <c r="R13" s="161">
        <f t="shared" si="3"/>
        <v>0</v>
      </c>
      <c r="S13" s="33">
        <f t="shared" si="4"/>
        <v>0</v>
      </c>
    </row>
    <row r="14" spans="1:20" x14ac:dyDescent="0.25">
      <c r="A14" s="88" t="s">
        <v>162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7">
        <f>VLOOKUP(A14,'3121% SY'!A:M,'3121% SY'!$M$1,FALSE)</f>
        <v>0.19820000000000004</v>
      </c>
      <c r="M14" s="161">
        <f t="shared" si="1"/>
        <v>0</v>
      </c>
      <c r="N14" s="33">
        <f t="shared" si="2"/>
        <v>0</v>
      </c>
      <c r="R14" s="161">
        <f t="shared" si="3"/>
        <v>0</v>
      </c>
      <c r="S14" s="33">
        <f t="shared" si="4"/>
        <v>0</v>
      </c>
    </row>
    <row r="15" spans="1:20" x14ac:dyDescent="0.25">
      <c r="A15" s="88" t="s">
        <v>163</v>
      </c>
      <c r="B15">
        <v>0.46</v>
      </c>
      <c r="C15">
        <v>0.46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7">
        <f>VLOOKUP(A15,'3121% SY'!A:M,'3121% SY'!$M$1,FALSE)</f>
        <v>0.20989999999999998</v>
      </c>
      <c r="M15" s="161">
        <f t="shared" si="1"/>
        <v>0</v>
      </c>
      <c r="N15" s="33">
        <f t="shared" si="2"/>
        <v>0.92</v>
      </c>
      <c r="R15" s="161">
        <f t="shared" si="3"/>
        <v>0</v>
      </c>
      <c r="S15" s="33">
        <f t="shared" si="4"/>
        <v>0</v>
      </c>
    </row>
    <row r="16" spans="1:20" x14ac:dyDescent="0.25">
      <c r="A16" s="88" t="s">
        <v>176</v>
      </c>
      <c r="B16">
        <v>0.26700000000000002</v>
      </c>
      <c r="C16">
        <v>3.3000000000000002E-2</v>
      </c>
      <c r="D16">
        <v>3.3000000000000002E-2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7">
        <f>VLOOKUP(A16,'3121% SY'!A:M,'3121% SY'!$M$1,FALSE)</f>
        <v>0.29900000000000004</v>
      </c>
      <c r="M16" s="161">
        <f t="shared" si="1"/>
        <v>0</v>
      </c>
      <c r="N16" s="33">
        <f t="shared" si="2"/>
        <v>0.33300000000000007</v>
      </c>
      <c r="R16" s="161">
        <f t="shared" si="3"/>
        <v>0</v>
      </c>
      <c r="S16" s="33">
        <f t="shared" si="4"/>
        <v>0</v>
      </c>
    </row>
    <row r="17" spans="1:19" x14ac:dyDescent="0.25">
      <c r="A17" s="88" t="s">
        <v>233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7">
        <f>VLOOKUP(A17,'3121% SY'!A:M,'3121% SY'!$M$1,FALSE)</f>
        <v>0.20020000000000004</v>
      </c>
      <c r="M17" s="161">
        <f t="shared" si="1"/>
        <v>0</v>
      </c>
      <c r="N17" s="33">
        <f t="shared" si="2"/>
        <v>0</v>
      </c>
      <c r="R17" s="161">
        <f t="shared" si="3"/>
        <v>0</v>
      </c>
      <c r="S17" s="33">
        <f t="shared" si="4"/>
        <v>0</v>
      </c>
    </row>
    <row r="18" spans="1:19" x14ac:dyDescent="0.25">
      <c r="A18" s="88" t="s">
        <v>250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7">
        <f>VLOOKUP(A18,'3121% SY'!A:M,'3121% SY'!$M$1,FALSE)</f>
        <v>0.15839999999999999</v>
      </c>
      <c r="M18" s="161">
        <f t="shared" si="1"/>
        <v>0</v>
      </c>
      <c r="N18" s="33">
        <f t="shared" si="2"/>
        <v>0</v>
      </c>
      <c r="R18" s="161">
        <f t="shared" si="3"/>
        <v>0</v>
      </c>
      <c r="S18" s="33">
        <f t="shared" si="4"/>
        <v>0</v>
      </c>
    </row>
    <row r="19" spans="1:19" x14ac:dyDescent="0.25">
      <c r="A19" s="88" t="s">
        <v>256</v>
      </c>
      <c r="B19">
        <v>0.17</v>
      </c>
      <c r="C19">
        <v>0.17</v>
      </c>
      <c r="D19">
        <v>0.18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7">
        <f>VLOOKUP(A19,'3121% SY'!A:M,'3121% SY'!$M$1,FALSE)</f>
        <v>0.23140000000000005</v>
      </c>
      <c r="M19" s="161">
        <f t="shared" si="1"/>
        <v>0</v>
      </c>
      <c r="N19" s="33">
        <f t="shared" si="2"/>
        <v>0.52</v>
      </c>
      <c r="R19" s="161">
        <f t="shared" si="3"/>
        <v>0</v>
      </c>
      <c r="S19" s="33">
        <f t="shared" si="4"/>
        <v>0</v>
      </c>
    </row>
    <row r="20" spans="1:19" x14ac:dyDescent="0.25">
      <c r="A20" s="88" t="s">
        <v>259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7">
        <f>VLOOKUP(A20,'3121% SY'!A:M,'3121% SY'!$M$1,FALSE)</f>
        <v>0.24870000000000003</v>
      </c>
      <c r="M20" s="161">
        <f t="shared" si="1"/>
        <v>0</v>
      </c>
      <c r="N20" s="33">
        <f t="shared" si="2"/>
        <v>0</v>
      </c>
      <c r="R20" s="161">
        <f t="shared" si="3"/>
        <v>0</v>
      </c>
      <c r="S20" s="33">
        <f t="shared" si="4"/>
        <v>0</v>
      </c>
    </row>
    <row r="21" spans="1:19" x14ac:dyDescent="0.25">
      <c r="A21" s="88" t="s">
        <v>280</v>
      </c>
      <c r="B21">
        <v>0.65</v>
      </c>
      <c r="C21">
        <v>0.18</v>
      </c>
      <c r="D21">
        <v>0.37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7">
        <f>VLOOKUP(A21,'3121% SY'!A:M,'3121% SY'!$M$1,FALSE)</f>
        <v>0.18340000000000001</v>
      </c>
      <c r="M21" s="161">
        <f t="shared" si="1"/>
        <v>0</v>
      </c>
      <c r="N21" s="33">
        <f t="shared" si="2"/>
        <v>1.2000000000000002</v>
      </c>
      <c r="R21" s="161">
        <f t="shared" si="3"/>
        <v>0</v>
      </c>
      <c r="S21" s="33">
        <f t="shared" si="4"/>
        <v>0</v>
      </c>
    </row>
    <row r="22" spans="1:19" x14ac:dyDescent="0.25">
      <c r="A22" s="88" t="s">
        <v>284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0.28999999999999998</v>
      </c>
      <c r="J22">
        <v>0.04</v>
      </c>
      <c r="K22">
        <v>7.0000000000000007E-2</v>
      </c>
      <c r="L22" s="7">
        <f>VLOOKUP(A22,'3121% SY'!A:M,'3121% SY'!$M$1,FALSE)</f>
        <v>0.14729999999999999</v>
      </c>
      <c r="M22" s="161">
        <f t="shared" si="1"/>
        <v>5.8999999999999997E-2</v>
      </c>
      <c r="N22" s="33">
        <f t="shared" si="2"/>
        <v>5.8999999999999997E-2</v>
      </c>
      <c r="R22" s="161">
        <f t="shared" si="3"/>
        <v>0</v>
      </c>
      <c r="S22" s="33">
        <f t="shared" si="4"/>
        <v>0</v>
      </c>
    </row>
    <row r="23" spans="1:19" x14ac:dyDescent="0.25">
      <c r="A23" s="88" t="s">
        <v>289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7">
        <f>VLOOKUP(A23,'3121% SY'!A:M,'3121% SY'!$M$1,FALSE)</f>
        <v>0.19010000000000005</v>
      </c>
      <c r="M23" s="161">
        <f t="shared" si="1"/>
        <v>0</v>
      </c>
      <c r="N23" s="33">
        <f t="shared" si="2"/>
        <v>0</v>
      </c>
      <c r="R23" s="161">
        <f t="shared" si="3"/>
        <v>0</v>
      </c>
      <c r="S23" s="33">
        <f t="shared" si="4"/>
        <v>0</v>
      </c>
    </row>
    <row r="24" spans="1:19" x14ac:dyDescent="0.25">
      <c r="A24" s="88" t="s">
        <v>290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7">
        <f>VLOOKUP(A24,'3121% SY'!A:M,'3121% SY'!$M$1,FALSE)</f>
        <v>0.15839999999999999</v>
      </c>
      <c r="M24" s="161">
        <f t="shared" si="1"/>
        <v>0</v>
      </c>
      <c r="N24" s="33">
        <f t="shared" si="2"/>
        <v>0</v>
      </c>
      <c r="R24" s="161">
        <f t="shared" si="3"/>
        <v>0</v>
      </c>
      <c r="S24" s="33">
        <f t="shared" si="4"/>
        <v>0</v>
      </c>
    </row>
    <row r="25" spans="1:19" x14ac:dyDescent="0.25">
      <c r="A25" s="88" t="s">
        <v>302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7">
        <f>VLOOKUP(A25,'3121% SY'!A:M,'3121% SY'!$M$1,FALSE)</f>
        <v>0.21989999999999998</v>
      </c>
      <c r="M25" s="161">
        <f t="shared" si="1"/>
        <v>0</v>
      </c>
      <c r="N25" s="33">
        <f t="shared" si="2"/>
        <v>0</v>
      </c>
      <c r="R25" s="161">
        <f t="shared" si="3"/>
        <v>0</v>
      </c>
      <c r="S25" s="33">
        <f t="shared" si="4"/>
        <v>0</v>
      </c>
    </row>
    <row r="26" spans="1:19" x14ac:dyDescent="0.25">
      <c r="A26" s="88" t="s">
        <v>1098</v>
      </c>
      <c r="L26" s="7" t="e">
        <f>VLOOKUP(A26,'3121% SY'!A:M,'3121% SY'!$M$1,FALSE)</f>
        <v>#N/A</v>
      </c>
      <c r="M26" s="161" t="e">
        <f t="shared" si="1"/>
        <v>#N/A</v>
      </c>
      <c r="N26" s="33" t="e">
        <f t="shared" si="2"/>
        <v>#N/A</v>
      </c>
      <c r="R26" s="161" t="e">
        <f t="shared" si="3"/>
        <v>#N/A</v>
      </c>
      <c r="S26" s="33" t="e">
        <f t="shared" si="4"/>
        <v>#N/A</v>
      </c>
    </row>
    <row r="27" spans="1:19" x14ac:dyDescent="0.25">
      <c r="A27" s="88" t="s">
        <v>753</v>
      </c>
      <c r="B27">
        <v>3.1739999999999999</v>
      </c>
      <c r="C27">
        <v>1.1919999999999999</v>
      </c>
      <c r="D27">
        <v>0.91499999999999992</v>
      </c>
      <c r="E27">
        <v>0</v>
      </c>
      <c r="F27">
        <v>0</v>
      </c>
      <c r="G27">
        <v>0</v>
      </c>
      <c r="H27">
        <v>0</v>
      </c>
      <c r="I27">
        <v>0.97099999999999986</v>
      </c>
      <c r="J27">
        <v>0.21299999999999999</v>
      </c>
      <c r="K27">
        <v>0.35599999999999998</v>
      </c>
      <c r="L27" s="7" t="e">
        <f>VLOOKUP(A27,'3121% SY'!A:M,'3121% SY'!$M$1,FALSE)</f>
        <v>#N/A</v>
      </c>
      <c r="M27" s="161" t="e">
        <f t="shared" si="1"/>
        <v>#N/A</v>
      </c>
      <c r="N27" s="33" t="e">
        <f t="shared" si="2"/>
        <v>#N/A</v>
      </c>
      <c r="R27" s="161" t="e">
        <f t="shared" si="3"/>
        <v>#N/A</v>
      </c>
      <c r="S27" s="33" t="e">
        <f t="shared" si="4"/>
        <v>#N/A</v>
      </c>
    </row>
    <row r="28" spans="1:19" x14ac:dyDescent="0.25">
      <c r="L28" s="7" t="e">
        <f>VLOOKUP(A28,'3121% SY'!A:M,'3121% SY'!$M$1,FALSE)</f>
        <v>#N/A</v>
      </c>
      <c r="M28" s="161" t="e">
        <f t="shared" si="1"/>
        <v>#N/A</v>
      </c>
      <c r="N28" s="33" t="e">
        <f t="shared" si="2"/>
        <v>#N/A</v>
      </c>
      <c r="R28" s="161" t="e">
        <f t="shared" si="3"/>
        <v>#N/A</v>
      </c>
      <c r="S28" s="33" t="e">
        <f t="shared" si="4"/>
        <v>#N/A</v>
      </c>
    </row>
    <row r="29" spans="1:19" x14ac:dyDescent="0.25">
      <c r="L29" s="7" t="e">
        <f>VLOOKUP(A29,'3121% SY'!A:M,'3121% SY'!$M$1,FALSE)</f>
        <v>#N/A</v>
      </c>
      <c r="M29" s="161" t="e">
        <f t="shared" si="1"/>
        <v>#N/A</v>
      </c>
      <c r="N29" s="33" t="e">
        <f t="shared" si="2"/>
        <v>#N/A</v>
      </c>
      <c r="R29" s="161" t="e">
        <f t="shared" si="3"/>
        <v>#N/A</v>
      </c>
      <c r="S29" s="33" t="e">
        <f t="shared" si="4"/>
        <v>#N/A</v>
      </c>
    </row>
    <row r="30" spans="1:19" x14ac:dyDescent="0.25">
      <c r="L30" s="7" t="e">
        <f>VLOOKUP(A30,'3121% SY'!A:M,'3121% SY'!$M$1,FALSE)</f>
        <v>#N/A</v>
      </c>
      <c r="M30" s="161" t="e">
        <f t="shared" si="1"/>
        <v>#N/A</v>
      </c>
      <c r="N30" s="33" t="e">
        <f t="shared" si="2"/>
        <v>#N/A</v>
      </c>
      <c r="R30" s="161" t="e">
        <f t="shared" si="3"/>
        <v>#N/A</v>
      </c>
      <c r="S30" s="33" t="e">
        <f t="shared" si="4"/>
        <v>#N/A</v>
      </c>
    </row>
    <row r="31" spans="1:19" x14ac:dyDescent="0.25">
      <c r="L31" s="7" t="e">
        <f>VLOOKUP(A31,'3121% SY'!A:M,'3121% SY'!$M$1,FALSE)</f>
        <v>#N/A</v>
      </c>
      <c r="M31" s="161" t="e">
        <f t="shared" si="1"/>
        <v>#N/A</v>
      </c>
      <c r="N31" s="33" t="e">
        <f t="shared" si="2"/>
        <v>#N/A</v>
      </c>
      <c r="R31" s="161" t="e">
        <f t="shared" si="3"/>
        <v>#N/A</v>
      </c>
      <c r="S31" s="33" t="e">
        <f t="shared" si="4"/>
        <v>#N/A</v>
      </c>
    </row>
    <row r="32" spans="1:19" x14ac:dyDescent="0.25">
      <c r="L32" s="7" t="e">
        <f>VLOOKUP(A32,'3121% SY'!A:M,'3121% SY'!$M$1,FALSE)</f>
        <v>#N/A</v>
      </c>
      <c r="M32" s="161" t="e">
        <f t="shared" si="1"/>
        <v>#N/A</v>
      </c>
      <c r="N32" s="33" t="e">
        <f t="shared" si="2"/>
        <v>#N/A</v>
      </c>
      <c r="R32" s="161" t="e">
        <f t="shared" si="3"/>
        <v>#N/A</v>
      </c>
      <c r="S32" s="33" t="e">
        <f t="shared" si="4"/>
        <v>#N/A</v>
      </c>
    </row>
    <row r="33" spans="12:19" x14ac:dyDescent="0.25">
      <c r="L33" s="7" t="e">
        <f>VLOOKUP(A33,'3121% SY'!A:M,'3121% SY'!$M$1,FALSE)</f>
        <v>#N/A</v>
      </c>
      <c r="M33" s="161" t="e">
        <f t="shared" si="1"/>
        <v>#N/A</v>
      </c>
      <c r="N33" s="33" t="e">
        <f t="shared" si="2"/>
        <v>#N/A</v>
      </c>
      <c r="R33" s="161" t="e">
        <f t="shared" si="3"/>
        <v>#N/A</v>
      </c>
      <c r="S33" s="33" t="e">
        <f t="shared" si="4"/>
        <v>#N/A</v>
      </c>
    </row>
    <row r="34" spans="12:19" x14ac:dyDescent="0.25">
      <c r="L34" s="7" t="e">
        <f>VLOOKUP(A34,'3121% SY'!A:M,'3121% SY'!$M$1,FALSE)</f>
        <v>#N/A</v>
      </c>
      <c r="M34" s="161" t="e">
        <f t="shared" si="1"/>
        <v>#N/A</v>
      </c>
      <c r="N34" s="33" t="e">
        <f t="shared" si="2"/>
        <v>#N/A</v>
      </c>
      <c r="R34" s="161" t="e">
        <f t="shared" si="3"/>
        <v>#N/A</v>
      </c>
      <c r="S34" s="33" t="e">
        <f t="shared" si="4"/>
        <v>#N/A</v>
      </c>
    </row>
    <row r="35" spans="12:19" x14ac:dyDescent="0.25">
      <c r="L35" s="7" t="e">
        <f>VLOOKUP(A35,'3121% SY'!A:M,'3121% SY'!$M$1,FALSE)</f>
        <v>#N/A</v>
      </c>
      <c r="M35" s="161" t="e">
        <f t="shared" si="1"/>
        <v>#N/A</v>
      </c>
      <c r="N35" s="33" t="e">
        <f t="shared" si="2"/>
        <v>#N/A</v>
      </c>
      <c r="R35" s="161" t="e">
        <f t="shared" si="3"/>
        <v>#N/A</v>
      </c>
      <c r="S35" s="33" t="e">
        <f t="shared" si="4"/>
        <v>#N/A</v>
      </c>
    </row>
    <row r="36" spans="12:19" x14ac:dyDescent="0.25">
      <c r="L36" s="7" t="e">
        <f>VLOOKUP(A36,'3121% SY'!A:M,'3121% SY'!$M$1,FALSE)</f>
        <v>#N/A</v>
      </c>
      <c r="M36" s="161" t="e">
        <f t="shared" si="1"/>
        <v>#N/A</v>
      </c>
      <c r="N36" s="33" t="e">
        <f t="shared" si="2"/>
        <v>#N/A</v>
      </c>
      <c r="R36" s="161" t="e">
        <f t="shared" si="3"/>
        <v>#N/A</v>
      </c>
      <c r="S36" s="33" t="e">
        <f t="shared" si="4"/>
        <v>#N/A</v>
      </c>
    </row>
    <row r="37" spans="12:19" x14ac:dyDescent="0.25">
      <c r="L37" s="7" t="e">
        <f>VLOOKUP(A37,'3121% SY'!A:M,'3121% SY'!$M$1,FALSE)</f>
        <v>#N/A</v>
      </c>
      <c r="M37" s="161" t="e">
        <f t="shared" si="1"/>
        <v>#N/A</v>
      </c>
      <c r="N37" s="33" t="e">
        <f t="shared" si="2"/>
        <v>#N/A</v>
      </c>
      <c r="R37" s="161" t="e">
        <f t="shared" si="3"/>
        <v>#N/A</v>
      </c>
      <c r="S37" s="33" t="e">
        <f t="shared" si="4"/>
        <v>#N/A</v>
      </c>
    </row>
    <row r="38" spans="12:19" x14ac:dyDescent="0.25">
      <c r="L38" s="7" t="e">
        <f>VLOOKUP(A38,'3121% SY'!A:M,'3121% SY'!$M$1,FALSE)</f>
        <v>#N/A</v>
      </c>
      <c r="M38" s="161" t="e">
        <f t="shared" si="1"/>
        <v>#N/A</v>
      </c>
      <c r="N38" s="33" t="e">
        <f t="shared" si="2"/>
        <v>#N/A</v>
      </c>
      <c r="R38" s="161" t="e">
        <f t="shared" si="3"/>
        <v>#N/A</v>
      </c>
      <c r="S38" s="33" t="e">
        <f t="shared" si="4"/>
        <v>#N/A</v>
      </c>
    </row>
    <row r="39" spans="12:19" x14ac:dyDescent="0.25">
      <c r="L39" s="7" t="e">
        <f>VLOOKUP(A39,'3121% SY'!A:M,'3121% SY'!$M$1,FALSE)</f>
        <v>#N/A</v>
      </c>
      <c r="M39" s="161" t="e">
        <f t="shared" si="1"/>
        <v>#N/A</v>
      </c>
      <c r="N39" s="33" t="e">
        <f t="shared" si="2"/>
        <v>#N/A</v>
      </c>
      <c r="R39" s="161" t="e">
        <f t="shared" si="3"/>
        <v>#N/A</v>
      </c>
      <c r="S39" s="33" t="e">
        <f t="shared" si="4"/>
        <v>#N/A</v>
      </c>
    </row>
    <row r="40" spans="12:19" x14ac:dyDescent="0.25">
      <c r="L40" s="7" t="e">
        <f>VLOOKUP(A40,'3121% SY'!A:M,'3121% SY'!$M$1,FALSE)</f>
        <v>#N/A</v>
      </c>
      <c r="M40" s="161" t="e">
        <f t="shared" si="1"/>
        <v>#N/A</v>
      </c>
      <c r="N40" s="33" t="e">
        <f t="shared" si="2"/>
        <v>#N/A</v>
      </c>
      <c r="R40" s="161" t="e">
        <f t="shared" si="3"/>
        <v>#N/A</v>
      </c>
      <c r="S40" s="33" t="e">
        <f t="shared" si="4"/>
        <v>#N/A</v>
      </c>
    </row>
    <row r="41" spans="12:19" x14ac:dyDescent="0.25">
      <c r="L41" s="7" t="e">
        <f>VLOOKUP(A41,'3121% SY'!A:M,'3121% SY'!$M$1,FALSE)</f>
        <v>#N/A</v>
      </c>
      <c r="M41" s="161" t="e">
        <f t="shared" si="1"/>
        <v>#N/A</v>
      </c>
      <c r="N41" s="33" t="e">
        <f t="shared" si="2"/>
        <v>#N/A</v>
      </c>
      <c r="R41" s="161" t="e">
        <f t="shared" si="3"/>
        <v>#N/A</v>
      </c>
      <c r="S41" s="33" t="e">
        <f t="shared" si="4"/>
        <v>#N/A</v>
      </c>
    </row>
    <row r="42" spans="12:19" x14ac:dyDescent="0.25">
      <c r="L42" s="7" t="e">
        <f>VLOOKUP(A42,'3121% SY'!A:M,'3121% SY'!$M$1,FALSE)</f>
        <v>#N/A</v>
      </c>
      <c r="M42" s="161" t="e">
        <f t="shared" si="1"/>
        <v>#N/A</v>
      </c>
      <c r="N42" s="33" t="e">
        <f t="shared" si="2"/>
        <v>#N/A</v>
      </c>
      <c r="R42" s="161" t="e">
        <f t="shared" si="3"/>
        <v>#N/A</v>
      </c>
      <c r="S42" s="33" t="e">
        <f t="shared" si="4"/>
        <v>#N/A</v>
      </c>
    </row>
    <row r="43" spans="12:19" x14ac:dyDescent="0.25">
      <c r="L43" s="7" t="e">
        <f>VLOOKUP(A43,'3121% SY'!A:M,'3121% SY'!$M$1,FALSE)</f>
        <v>#N/A</v>
      </c>
      <c r="M43" s="161" t="e">
        <f t="shared" si="1"/>
        <v>#N/A</v>
      </c>
      <c r="N43" s="33" t="e">
        <f t="shared" si="2"/>
        <v>#N/A</v>
      </c>
      <c r="R43" s="161" t="e">
        <f t="shared" si="3"/>
        <v>#N/A</v>
      </c>
      <c r="S43" s="33" t="e">
        <f t="shared" si="4"/>
        <v>#N/A</v>
      </c>
    </row>
    <row r="44" spans="12:19" x14ac:dyDescent="0.25">
      <c r="L44" s="7" t="e">
        <f>VLOOKUP(A44,'3121% SY'!A:M,'3121% SY'!$M$1,FALSE)</f>
        <v>#N/A</v>
      </c>
      <c r="M44" s="161" t="e">
        <f t="shared" si="1"/>
        <v>#N/A</v>
      </c>
      <c r="N44" s="33" t="e">
        <f t="shared" si="2"/>
        <v>#N/A</v>
      </c>
      <c r="R44" s="161" t="e">
        <f t="shared" si="3"/>
        <v>#N/A</v>
      </c>
      <c r="S44" s="33" t="e">
        <f t="shared" si="4"/>
        <v>#N/A</v>
      </c>
    </row>
    <row r="45" spans="12:19" x14ac:dyDescent="0.25">
      <c r="L45" s="7" t="e">
        <f>VLOOKUP(A45,'3121% SY'!A:M,'3121% SY'!$M$1,FALSE)</f>
        <v>#N/A</v>
      </c>
      <c r="M45" s="161" t="e">
        <f t="shared" si="1"/>
        <v>#N/A</v>
      </c>
      <c r="N45" s="33" t="e">
        <f t="shared" si="2"/>
        <v>#N/A</v>
      </c>
      <c r="R45" s="161" t="e">
        <f t="shared" si="3"/>
        <v>#N/A</v>
      </c>
      <c r="S45" s="33" t="e">
        <f t="shared" si="4"/>
        <v>#N/A</v>
      </c>
    </row>
    <row r="46" spans="12:19" x14ac:dyDescent="0.25">
      <c r="L46" s="7" t="e">
        <f>VLOOKUP(A46,'3121% SY'!A:M,'3121% SY'!$M$1,FALSE)</f>
        <v>#N/A</v>
      </c>
      <c r="M46" s="161" t="e">
        <f t="shared" si="1"/>
        <v>#N/A</v>
      </c>
      <c r="N46" s="33" t="e">
        <f t="shared" si="2"/>
        <v>#N/A</v>
      </c>
      <c r="R46" s="161" t="e">
        <f t="shared" si="3"/>
        <v>#N/A</v>
      </c>
      <c r="S46" s="33" t="e">
        <f t="shared" si="4"/>
        <v>#N/A</v>
      </c>
    </row>
    <row r="47" spans="12:19" x14ac:dyDescent="0.25">
      <c r="L47" s="7" t="e">
        <f>VLOOKUP(A47,'3121% SY'!A:M,'3121% SY'!$M$1,FALSE)</f>
        <v>#N/A</v>
      </c>
      <c r="M47" s="161" t="e">
        <f t="shared" si="1"/>
        <v>#N/A</v>
      </c>
      <c r="N47" s="33" t="e">
        <f t="shared" si="2"/>
        <v>#N/A</v>
      </c>
      <c r="R47" s="161" t="e">
        <f t="shared" si="3"/>
        <v>#N/A</v>
      </c>
      <c r="S47" s="33" t="e">
        <f t="shared" si="4"/>
        <v>#N/A</v>
      </c>
    </row>
    <row r="48" spans="12:19" x14ac:dyDescent="0.25">
      <c r="L48" s="7" t="e">
        <f>VLOOKUP(A48,'3121% SY'!A:M,'3121% SY'!$M$1,FALSE)</f>
        <v>#N/A</v>
      </c>
      <c r="M48" s="161" t="e">
        <f t="shared" si="1"/>
        <v>#N/A</v>
      </c>
      <c r="N48" s="33" t="e">
        <f t="shared" si="2"/>
        <v>#N/A</v>
      </c>
      <c r="R48" s="161" t="e">
        <f t="shared" si="3"/>
        <v>#N/A</v>
      </c>
      <c r="S48" s="33" t="e">
        <f t="shared" si="4"/>
        <v>#N/A</v>
      </c>
    </row>
    <row r="49" spans="12:19" x14ac:dyDescent="0.25">
      <c r="L49" s="7" t="e">
        <f>VLOOKUP(A49,'3121% SY'!A:M,'3121% SY'!$M$1,FALSE)</f>
        <v>#N/A</v>
      </c>
      <c r="M49" s="161" t="e">
        <f t="shared" si="1"/>
        <v>#N/A</v>
      </c>
      <c r="N49" s="33" t="e">
        <f t="shared" si="2"/>
        <v>#N/A</v>
      </c>
      <c r="R49" s="161" t="e">
        <f t="shared" si="3"/>
        <v>#N/A</v>
      </c>
      <c r="S49" s="33" t="e">
        <f t="shared" si="4"/>
        <v>#N/A</v>
      </c>
    </row>
    <row r="50" spans="12:19" x14ac:dyDescent="0.25">
      <c r="L50" s="7" t="e">
        <f>VLOOKUP(A50,'3121% SY'!A:M,'3121% SY'!$M$1,FALSE)</f>
        <v>#N/A</v>
      </c>
      <c r="M50" s="161" t="e">
        <f t="shared" si="1"/>
        <v>#N/A</v>
      </c>
      <c r="N50" s="33" t="e">
        <f t="shared" si="2"/>
        <v>#N/A</v>
      </c>
      <c r="R50" s="161" t="e">
        <f t="shared" si="3"/>
        <v>#N/A</v>
      </c>
      <c r="S50" s="33" t="e">
        <f t="shared" si="4"/>
        <v>#N/A</v>
      </c>
    </row>
    <row r="51" spans="12:19" x14ac:dyDescent="0.25">
      <c r="L51" s="7" t="e">
        <f>VLOOKUP(A51,'3121% SY'!A:M,'3121% SY'!$M$1,FALSE)</f>
        <v>#N/A</v>
      </c>
      <c r="M51" s="161" t="e">
        <f t="shared" si="1"/>
        <v>#N/A</v>
      </c>
      <c r="N51" s="33" t="e">
        <f t="shared" si="2"/>
        <v>#N/A</v>
      </c>
      <c r="R51" s="161" t="e">
        <f t="shared" si="3"/>
        <v>#N/A</v>
      </c>
      <c r="S51" s="33" t="e">
        <f t="shared" si="4"/>
        <v>#N/A</v>
      </c>
    </row>
    <row r="52" spans="12:19" x14ac:dyDescent="0.25">
      <c r="L52" s="7" t="e">
        <f>VLOOKUP(A52,'3121% SY'!A:M,'3121% SY'!$M$1,FALSE)</f>
        <v>#N/A</v>
      </c>
      <c r="M52" s="161" t="e">
        <f t="shared" si="1"/>
        <v>#N/A</v>
      </c>
      <c r="N52" s="33" t="e">
        <f t="shared" si="2"/>
        <v>#N/A</v>
      </c>
      <c r="R52" s="161" t="e">
        <f t="shared" si="3"/>
        <v>#N/A</v>
      </c>
      <c r="S52" s="33" t="e">
        <f t="shared" si="4"/>
        <v>#N/A</v>
      </c>
    </row>
    <row r="53" spans="12:19" x14ac:dyDescent="0.25">
      <c r="L53" s="7" t="e">
        <f>VLOOKUP(A53,'3121% SY'!A:M,'3121% SY'!$M$1,FALSE)</f>
        <v>#N/A</v>
      </c>
      <c r="M53" s="161" t="e">
        <f t="shared" si="1"/>
        <v>#N/A</v>
      </c>
      <c r="N53" s="33" t="e">
        <f t="shared" si="2"/>
        <v>#N/A</v>
      </c>
      <c r="R53" s="161" t="e">
        <f t="shared" si="3"/>
        <v>#N/A</v>
      </c>
      <c r="S53" s="33" t="e">
        <f t="shared" si="4"/>
        <v>#N/A</v>
      </c>
    </row>
    <row r="54" spans="12:19" x14ac:dyDescent="0.25">
      <c r="L54" s="7" t="e">
        <f>VLOOKUP(A54,'3121% SY'!A:M,'3121% SY'!$M$1,FALSE)</f>
        <v>#N/A</v>
      </c>
      <c r="M54" s="161" t="e">
        <f t="shared" si="1"/>
        <v>#N/A</v>
      </c>
      <c r="N54" s="33" t="e">
        <f t="shared" si="2"/>
        <v>#N/A</v>
      </c>
      <c r="R54" s="161" t="e">
        <f t="shared" si="3"/>
        <v>#N/A</v>
      </c>
      <c r="S54" s="33" t="e">
        <f t="shared" si="4"/>
        <v>#N/A</v>
      </c>
    </row>
    <row r="55" spans="12:19" x14ac:dyDescent="0.25">
      <c r="L55" s="7" t="e">
        <f>VLOOKUP(A55,'3121% SY'!A:M,'3121% SY'!$M$1,FALSE)</f>
        <v>#N/A</v>
      </c>
      <c r="M55" s="161" t="e">
        <f t="shared" si="1"/>
        <v>#N/A</v>
      </c>
      <c r="N55" s="33" t="e">
        <f t="shared" si="2"/>
        <v>#N/A</v>
      </c>
      <c r="R55" s="161" t="e">
        <f t="shared" si="3"/>
        <v>#N/A</v>
      </c>
      <c r="S55" s="33" t="e">
        <f t="shared" si="4"/>
        <v>#N/A</v>
      </c>
    </row>
    <row r="56" spans="12:19" x14ac:dyDescent="0.25">
      <c r="L56" s="7" t="e">
        <f>VLOOKUP(A56,'3121% SY'!A:M,'3121% SY'!$M$1,FALSE)</f>
        <v>#N/A</v>
      </c>
      <c r="M56" s="161" t="e">
        <f t="shared" si="1"/>
        <v>#N/A</v>
      </c>
      <c r="N56" s="33" t="e">
        <f t="shared" si="2"/>
        <v>#N/A</v>
      </c>
      <c r="R56" s="161" t="e">
        <f t="shared" si="3"/>
        <v>#N/A</v>
      </c>
      <c r="S56" s="33" t="e">
        <f t="shared" si="4"/>
        <v>#N/A</v>
      </c>
    </row>
    <row r="57" spans="12:19" x14ac:dyDescent="0.25">
      <c r="L57" s="7" t="e">
        <f>VLOOKUP(A57,'3121% SY'!A:M,'3121% SY'!$M$1,FALSE)</f>
        <v>#N/A</v>
      </c>
      <c r="M57" s="161" t="e">
        <f t="shared" si="1"/>
        <v>#N/A</v>
      </c>
      <c r="N57" s="33" t="e">
        <f t="shared" si="2"/>
        <v>#N/A</v>
      </c>
      <c r="R57" s="161" t="e">
        <f t="shared" si="3"/>
        <v>#N/A</v>
      </c>
      <c r="S57" s="33" t="e">
        <f t="shared" si="4"/>
        <v>#N/A</v>
      </c>
    </row>
    <row r="58" spans="12:19" x14ac:dyDescent="0.25">
      <c r="L58" s="7" t="e">
        <f>VLOOKUP(A58,'3121% SY'!A:M,'3121% SY'!$M$1,FALSE)</f>
        <v>#N/A</v>
      </c>
      <c r="M58" s="161" t="e">
        <f t="shared" si="1"/>
        <v>#N/A</v>
      </c>
      <c r="N58" s="33" t="e">
        <f t="shared" si="2"/>
        <v>#N/A</v>
      </c>
      <c r="R58" s="161" t="e">
        <f t="shared" si="3"/>
        <v>#N/A</v>
      </c>
      <c r="S58" s="33" t="e">
        <f t="shared" si="4"/>
        <v>#N/A</v>
      </c>
    </row>
    <row r="59" spans="12:19" x14ac:dyDescent="0.25">
      <c r="L59" s="7" t="e">
        <f>VLOOKUP(A59,'3121% SY'!A:M,'3121% SY'!$M$1,FALSE)</f>
        <v>#N/A</v>
      </c>
      <c r="M59" s="161" t="e">
        <f t="shared" si="1"/>
        <v>#N/A</v>
      </c>
      <c r="N59" s="33" t="e">
        <f t="shared" si="2"/>
        <v>#N/A</v>
      </c>
      <c r="R59" s="161" t="e">
        <f t="shared" si="3"/>
        <v>#N/A</v>
      </c>
      <c r="S59" s="33" t="e">
        <f t="shared" si="4"/>
        <v>#N/A</v>
      </c>
    </row>
    <row r="60" spans="12:19" x14ac:dyDescent="0.25">
      <c r="L60" s="7" t="e">
        <f>VLOOKUP(A60,'3121% SY'!A:M,'3121% SY'!$M$1,FALSE)</f>
        <v>#N/A</v>
      </c>
      <c r="M60" s="161" t="e">
        <f t="shared" si="1"/>
        <v>#N/A</v>
      </c>
      <c r="N60" s="33" t="e">
        <f t="shared" si="2"/>
        <v>#N/A</v>
      </c>
      <c r="R60" s="161" t="e">
        <f t="shared" si="3"/>
        <v>#N/A</v>
      </c>
      <c r="S60" s="33" t="e">
        <f t="shared" si="4"/>
        <v>#N/A</v>
      </c>
    </row>
    <row r="61" spans="12:19" x14ac:dyDescent="0.25">
      <c r="L61" s="7" t="e">
        <f>VLOOKUP(A61,'3121% SY'!A:M,'3121% SY'!$M$1,FALSE)</f>
        <v>#N/A</v>
      </c>
      <c r="M61" s="161" t="e">
        <f t="shared" si="1"/>
        <v>#N/A</v>
      </c>
      <c r="N61" s="33" t="e">
        <f t="shared" si="2"/>
        <v>#N/A</v>
      </c>
      <c r="R61" s="161" t="e">
        <f t="shared" si="3"/>
        <v>#N/A</v>
      </c>
      <c r="S61" s="33" t="e">
        <f t="shared" si="4"/>
        <v>#N/A</v>
      </c>
    </row>
    <row r="62" spans="12:19" x14ac:dyDescent="0.25">
      <c r="L62" s="7" t="e">
        <f>VLOOKUP(A62,'3121% SY'!A:M,'3121% SY'!$M$1,FALSE)</f>
        <v>#N/A</v>
      </c>
      <c r="M62" s="161" t="e">
        <f t="shared" si="1"/>
        <v>#N/A</v>
      </c>
      <c r="N62" s="33" t="e">
        <f t="shared" si="2"/>
        <v>#N/A</v>
      </c>
      <c r="R62" s="161" t="e">
        <f t="shared" si="3"/>
        <v>#N/A</v>
      </c>
      <c r="S62" s="33" t="e">
        <f t="shared" si="4"/>
        <v>#N/A</v>
      </c>
    </row>
    <row r="63" spans="12:19" x14ac:dyDescent="0.25">
      <c r="L63" s="7" t="e">
        <f>VLOOKUP(A63,'3121% SY'!A:M,'3121% SY'!$M$1,FALSE)</f>
        <v>#N/A</v>
      </c>
      <c r="M63" s="161" t="e">
        <f t="shared" si="1"/>
        <v>#N/A</v>
      </c>
      <c r="N63" s="33" t="e">
        <f t="shared" si="2"/>
        <v>#N/A</v>
      </c>
      <c r="R63" s="161" t="e">
        <f t="shared" si="3"/>
        <v>#N/A</v>
      </c>
      <c r="S63" s="33" t="e">
        <f t="shared" si="4"/>
        <v>#N/A</v>
      </c>
    </row>
    <row r="64" spans="12:19" x14ac:dyDescent="0.25">
      <c r="L64" s="7" t="e">
        <f>VLOOKUP(A64,'3121% SY'!A:M,'3121% SY'!$M$1,FALSE)</f>
        <v>#N/A</v>
      </c>
      <c r="M64" s="161" t="e">
        <f t="shared" si="1"/>
        <v>#N/A</v>
      </c>
      <c r="N64" s="33" t="e">
        <f t="shared" si="2"/>
        <v>#N/A</v>
      </c>
      <c r="R64" s="161" t="e">
        <f t="shared" si="3"/>
        <v>#N/A</v>
      </c>
      <c r="S64" s="33" t="e">
        <f t="shared" si="4"/>
        <v>#N/A</v>
      </c>
    </row>
    <row r="65" spans="12:19" x14ac:dyDescent="0.25">
      <c r="L65" s="7" t="e">
        <f>VLOOKUP(A65,'3121% SY'!A:M,'3121% SY'!$M$1,FALSE)</f>
        <v>#N/A</v>
      </c>
      <c r="M65" s="161" t="e">
        <f t="shared" si="1"/>
        <v>#N/A</v>
      </c>
      <c r="N65" s="33" t="e">
        <f t="shared" si="2"/>
        <v>#N/A</v>
      </c>
      <c r="R65" s="161" t="e">
        <f t="shared" si="3"/>
        <v>#N/A</v>
      </c>
      <c r="S65" s="33" t="e">
        <f t="shared" si="4"/>
        <v>#N/A</v>
      </c>
    </row>
    <row r="66" spans="12:19" x14ac:dyDescent="0.25">
      <c r="L66" s="7" t="e">
        <f>VLOOKUP(A66,'3121% SY'!A:M,'3121% SY'!$M$1,FALSE)</f>
        <v>#N/A</v>
      </c>
      <c r="M66" s="161" t="e">
        <f t="shared" si="1"/>
        <v>#N/A</v>
      </c>
      <c r="N66" s="33" t="e">
        <f t="shared" si="2"/>
        <v>#N/A</v>
      </c>
      <c r="R66" s="161" t="e">
        <f t="shared" si="3"/>
        <v>#N/A</v>
      </c>
      <c r="S66" s="33" t="e">
        <f t="shared" si="4"/>
        <v>#N/A</v>
      </c>
    </row>
    <row r="67" spans="12:19" x14ac:dyDescent="0.25">
      <c r="L67" s="7" t="e">
        <f>VLOOKUP(A67,'3121% SY'!A:M,'3121% SY'!$M$1,FALSE)</f>
        <v>#N/A</v>
      </c>
      <c r="M67" s="161" t="e">
        <f t="shared" si="1"/>
        <v>#N/A</v>
      </c>
      <c r="N67" s="33" t="e">
        <f t="shared" si="2"/>
        <v>#N/A</v>
      </c>
      <c r="R67" s="161" t="e">
        <f t="shared" si="3"/>
        <v>#N/A</v>
      </c>
      <c r="S67" s="33" t="e">
        <f t="shared" si="4"/>
        <v>#N/A</v>
      </c>
    </row>
    <row r="68" spans="12:19" x14ac:dyDescent="0.25">
      <c r="L68" s="7" t="e">
        <f>VLOOKUP(A68,'3121% SY'!A:M,'3121% SY'!$M$1,FALSE)</f>
        <v>#N/A</v>
      </c>
      <c r="M68" s="161" t="e">
        <f t="shared" si="1"/>
        <v>#N/A</v>
      </c>
      <c r="N68" s="33" t="e">
        <f t="shared" si="2"/>
        <v>#N/A</v>
      </c>
      <c r="R68" s="161" t="e">
        <f t="shared" si="3"/>
        <v>#N/A</v>
      </c>
      <c r="S68" s="33" t="e">
        <f t="shared" si="4"/>
        <v>#N/A</v>
      </c>
    </row>
    <row r="69" spans="12:19" x14ac:dyDescent="0.25">
      <c r="L69" s="7" t="e">
        <f>VLOOKUP(A69,'3121% SY'!A:M,'3121% SY'!$M$1,FALSE)</f>
        <v>#N/A</v>
      </c>
      <c r="M69" s="161" t="e">
        <f t="shared" ref="M69:M131" si="5">ROUND(I69*$L69,3)+ROUND(J69*$L69,3)++ROUND(K69*$L69,3)</f>
        <v>#N/A</v>
      </c>
      <c r="N69" s="33" t="e">
        <f t="shared" ref="N69:N131" si="6">SUM(M69,B69:H69)</f>
        <v>#N/A</v>
      </c>
      <c r="R69" s="161" t="e">
        <f t="shared" ref="R69:R122" si="7">ROUND(Q69*$L69,3)</f>
        <v>#N/A</v>
      </c>
      <c r="S69" s="33" t="e">
        <f t="shared" ref="S69:S122" si="8">SUM(R69,O69:P69)</f>
        <v>#N/A</v>
      </c>
    </row>
    <row r="70" spans="12:19" x14ac:dyDescent="0.25">
      <c r="L70" s="7" t="e">
        <f>VLOOKUP(A70,'3121% SY'!A:M,'3121% SY'!$M$1,FALSE)</f>
        <v>#N/A</v>
      </c>
      <c r="M70" s="161" t="e">
        <f t="shared" si="5"/>
        <v>#N/A</v>
      </c>
      <c r="N70" s="33" t="e">
        <f t="shared" si="6"/>
        <v>#N/A</v>
      </c>
      <c r="R70" s="161" t="e">
        <f t="shared" si="7"/>
        <v>#N/A</v>
      </c>
      <c r="S70" s="33" t="e">
        <f t="shared" si="8"/>
        <v>#N/A</v>
      </c>
    </row>
    <row r="71" spans="12:19" x14ac:dyDescent="0.25">
      <c r="L71" s="7" t="e">
        <f>VLOOKUP(A71,'3121% SY'!A:M,'3121% SY'!$M$1,FALSE)</f>
        <v>#N/A</v>
      </c>
      <c r="M71" s="161" t="e">
        <f t="shared" si="5"/>
        <v>#N/A</v>
      </c>
      <c r="N71" s="33" t="e">
        <f t="shared" si="6"/>
        <v>#N/A</v>
      </c>
      <c r="R71" s="161" t="e">
        <f t="shared" si="7"/>
        <v>#N/A</v>
      </c>
      <c r="S71" s="33" t="e">
        <f t="shared" si="8"/>
        <v>#N/A</v>
      </c>
    </row>
    <row r="72" spans="12:19" x14ac:dyDescent="0.25">
      <c r="L72" s="7" t="e">
        <f>VLOOKUP(A72,'3121% SY'!A:M,'3121% SY'!$M$1,FALSE)</f>
        <v>#N/A</v>
      </c>
      <c r="M72" s="161" t="e">
        <f t="shared" si="5"/>
        <v>#N/A</v>
      </c>
      <c r="N72" s="33" t="e">
        <f t="shared" si="6"/>
        <v>#N/A</v>
      </c>
      <c r="R72" s="161" t="e">
        <f t="shared" si="7"/>
        <v>#N/A</v>
      </c>
      <c r="S72" s="33" t="e">
        <f t="shared" si="8"/>
        <v>#N/A</v>
      </c>
    </row>
    <row r="73" spans="12:19" x14ac:dyDescent="0.25">
      <c r="L73" s="7" t="e">
        <f>VLOOKUP(A73,'3121% SY'!A:M,'3121% SY'!$M$1,FALSE)</f>
        <v>#N/A</v>
      </c>
      <c r="M73" s="161" t="e">
        <f t="shared" si="5"/>
        <v>#N/A</v>
      </c>
      <c r="N73" s="33" t="e">
        <f t="shared" si="6"/>
        <v>#N/A</v>
      </c>
      <c r="R73" s="161" t="e">
        <f t="shared" si="7"/>
        <v>#N/A</v>
      </c>
      <c r="S73" s="33" t="e">
        <f t="shared" si="8"/>
        <v>#N/A</v>
      </c>
    </row>
    <row r="74" spans="12:19" x14ac:dyDescent="0.25">
      <c r="L74" s="7" t="e">
        <f>VLOOKUP(A74,'3121% SY'!A:M,'3121% SY'!$M$1,FALSE)</f>
        <v>#N/A</v>
      </c>
      <c r="M74" s="161" t="e">
        <f t="shared" si="5"/>
        <v>#N/A</v>
      </c>
      <c r="N74" s="33" t="e">
        <f t="shared" si="6"/>
        <v>#N/A</v>
      </c>
      <c r="R74" s="161" t="e">
        <f t="shared" si="7"/>
        <v>#N/A</v>
      </c>
      <c r="S74" s="33" t="e">
        <f t="shared" si="8"/>
        <v>#N/A</v>
      </c>
    </row>
    <row r="75" spans="12:19" x14ac:dyDescent="0.25">
      <c r="L75" s="7" t="e">
        <f>VLOOKUP(A75,'3121% SY'!A:M,'3121% SY'!$M$1,FALSE)</f>
        <v>#N/A</v>
      </c>
      <c r="M75" s="161" t="e">
        <f t="shared" si="5"/>
        <v>#N/A</v>
      </c>
      <c r="N75" s="33" t="e">
        <f t="shared" si="6"/>
        <v>#N/A</v>
      </c>
      <c r="R75" s="161" t="e">
        <f t="shared" si="7"/>
        <v>#N/A</v>
      </c>
      <c r="S75" s="33" t="e">
        <f t="shared" si="8"/>
        <v>#N/A</v>
      </c>
    </row>
    <row r="76" spans="12:19" x14ac:dyDescent="0.25">
      <c r="L76" s="7" t="e">
        <f>VLOOKUP(A76,'3121% SY'!A:M,'3121% SY'!$M$1,FALSE)</f>
        <v>#N/A</v>
      </c>
      <c r="M76" s="161" t="e">
        <f t="shared" si="5"/>
        <v>#N/A</v>
      </c>
      <c r="N76" s="33" t="e">
        <f t="shared" si="6"/>
        <v>#N/A</v>
      </c>
      <c r="R76" s="161" t="e">
        <f t="shared" si="7"/>
        <v>#N/A</v>
      </c>
      <c r="S76" s="33" t="e">
        <f t="shared" si="8"/>
        <v>#N/A</v>
      </c>
    </row>
    <row r="77" spans="12:19" x14ac:dyDescent="0.25">
      <c r="L77" s="7" t="e">
        <f>VLOOKUP(A77,'3121% SY'!A:M,'3121% SY'!$M$1,FALSE)</f>
        <v>#N/A</v>
      </c>
      <c r="M77" s="161" t="e">
        <f t="shared" si="5"/>
        <v>#N/A</v>
      </c>
      <c r="N77" s="33" t="e">
        <f t="shared" si="6"/>
        <v>#N/A</v>
      </c>
      <c r="R77" s="161" t="e">
        <f t="shared" si="7"/>
        <v>#N/A</v>
      </c>
      <c r="S77" s="33" t="e">
        <f t="shared" si="8"/>
        <v>#N/A</v>
      </c>
    </row>
    <row r="78" spans="12:19" x14ac:dyDescent="0.25">
      <c r="L78" s="7" t="e">
        <f>VLOOKUP(A78,'3121% SY'!A:M,'3121% SY'!$M$1,FALSE)</f>
        <v>#N/A</v>
      </c>
      <c r="M78" s="161" t="e">
        <f t="shared" si="5"/>
        <v>#N/A</v>
      </c>
      <c r="N78" s="33" t="e">
        <f t="shared" si="6"/>
        <v>#N/A</v>
      </c>
      <c r="R78" s="161" t="e">
        <f t="shared" si="7"/>
        <v>#N/A</v>
      </c>
      <c r="S78" s="33" t="e">
        <f t="shared" si="8"/>
        <v>#N/A</v>
      </c>
    </row>
    <row r="79" spans="12:19" x14ac:dyDescent="0.25">
      <c r="L79" s="7" t="e">
        <f>VLOOKUP(A79,'3121% SY'!A:M,'3121% SY'!$M$1,FALSE)</f>
        <v>#N/A</v>
      </c>
      <c r="M79" s="161" t="e">
        <f t="shared" si="5"/>
        <v>#N/A</v>
      </c>
      <c r="N79" s="33" t="e">
        <f t="shared" si="6"/>
        <v>#N/A</v>
      </c>
      <c r="R79" s="161" t="e">
        <f t="shared" si="7"/>
        <v>#N/A</v>
      </c>
      <c r="S79" s="33" t="e">
        <f t="shared" si="8"/>
        <v>#N/A</v>
      </c>
    </row>
    <row r="80" spans="12:19" x14ac:dyDescent="0.25">
      <c r="L80" s="7" t="e">
        <f>VLOOKUP(A80,'3121% SY'!A:M,'3121% SY'!$M$1,FALSE)</f>
        <v>#N/A</v>
      </c>
      <c r="M80" s="161" t="e">
        <f t="shared" si="5"/>
        <v>#N/A</v>
      </c>
      <c r="N80" s="33" t="e">
        <f t="shared" si="6"/>
        <v>#N/A</v>
      </c>
      <c r="R80" s="161" t="e">
        <f t="shared" si="7"/>
        <v>#N/A</v>
      </c>
      <c r="S80" s="33" t="e">
        <f t="shared" si="8"/>
        <v>#N/A</v>
      </c>
    </row>
    <row r="81" spans="12:19" x14ac:dyDescent="0.25">
      <c r="L81" s="7" t="e">
        <f>VLOOKUP(A81,'3121% SY'!A:M,'3121% SY'!$M$1,FALSE)</f>
        <v>#N/A</v>
      </c>
      <c r="M81" s="161" t="e">
        <f t="shared" si="5"/>
        <v>#N/A</v>
      </c>
      <c r="N81" s="33" t="e">
        <f t="shared" si="6"/>
        <v>#N/A</v>
      </c>
      <c r="R81" s="161" t="e">
        <f t="shared" si="7"/>
        <v>#N/A</v>
      </c>
      <c r="S81" s="33" t="e">
        <f t="shared" si="8"/>
        <v>#N/A</v>
      </c>
    </row>
    <row r="82" spans="12:19" x14ac:dyDescent="0.25">
      <c r="L82" s="7" t="e">
        <f>VLOOKUP(A82,'3121% SY'!A:M,'3121% SY'!$M$1,FALSE)</f>
        <v>#N/A</v>
      </c>
      <c r="M82" s="161" t="e">
        <f t="shared" si="5"/>
        <v>#N/A</v>
      </c>
      <c r="N82" s="33" t="e">
        <f t="shared" si="6"/>
        <v>#N/A</v>
      </c>
      <c r="R82" s="161" t="e">
        <f t="shared" si="7"/>
        <v>#N/A</v>
      </c>
      <c r="S82" s="33" t="e">
        <f t="shared" si="8"/>
        <v>#N/A</v>
      </c>
    </row>
    <row r="83" spans="12:19" x14ac:dyDescent="0.25">
      <c r="L83" s="7" t="e">
        <f>VLOOKUP(A83,'3121% SY'!A:M,'3121% SY'!$M$1,FALSE)</f>
        <v>#N/A</v>
      </c>
      <c r="M83" s="161" t="e">
        <f t="shared" si="5"/>
        <v>#N/A</v>
      </c>
      <c r="N83" s="33" t="e">
        <f t="shared" si="6"/>
        <v>#N/A</v>
      </c>
      <c r="R83" s="161" t="e">
        <f t="shared" si="7"/>
        <v>#N/A</v>
      </c>
      <c r="S83" s="33" t="e">
        <f t="shared" si="8"/>
        <v>#N/A</v>
      </c>
    </row>
    <row r="84" spans="12:19" x14ac:dyDescent="0.25">
      <c r="L84" s="7" t="e">
        <f>VLOOKUP(A84,'3121% SY'!A:M,'3121% SY'!$M$1,FALSE)</f>
        <v>#N/A</v>
      </c>
      <c r="M84" s="161" t="e">
        <f t="shared" si="5"/>
        <v>#N/A</v>
      </c>
      <c r="N84" s="33" t="e">
        <f t="shared" si="6"/>
        <v>#N/A</v>
      </c>
      <c r="R84" s="161" t="e">
        <f t="shared" si="7"/>
        <v>#N/A</v>
      </c>
      <c r="S84" s="33" t="e">
        <f t="shared" si="8"/>
        <v>#N/A</v>
      </c>
    </row>
    <row r="85" spans="12:19" x14ac:dyDescent="0.25">
      <c r="L85" s="7" t="e">
        <f>VLOOKUP(A85,'3121% SY'!A:M,'3121% SY'!$M$1,FALSE)</f>
        <v>#N/A</v>
      </c>
      <c r="M85" s="161" t="e">
        <f t="shared" si="5"/>
        <v>#N/A</v>
      </c>
      <c r="N85" s="33" t="e">
        <f t="shared" si="6"/>
        <v>#N/A</v>
      </c>
      <c r="R85" s="161" t="e">
        <f t="shared" si="7"/>
        <v>#N/A</v>
      </c>
      <c r="S85" s="33" t="e">
        <f t="shared" si="8"/>
        <v>#N/A</v>
      </c>
    </row>
    <row r="86" spans="12:19" x14ac:dyDescent="0.25">
      <c r="L86" s="7" t="e">
        <f>VLOOKUP(A86,'3121% SY'!A:M,'3121% SY'!$M$1,FALSE)</f>
        <v>#N/A</v>
      </c>
      <c r="M86" s="161" t="e">
        <f t="shared" si="5"/>
        <v>#N/A</v>
      </c>
      <c r="N86" s="33" t="e">
        <f t="shared" si="6"/>
        <v>#N/A</v>
      </c>
      <c r="R86" s="161" t="e">
        <f t="shared" si="7"/>
        <v>#N/A</v>
      </c>
      <c r="S86" s="33" t="e">
        <f t="shared" si="8"/>
        <v>#N/A</v>
      </c>
    </row>
    <row r="87" spans="12:19" x14ac:dyDescent="0.25">
      <c r="L87" s="7" t="e">
        <f>VLOOKUP(A87,'3121% SY'!A:M,'3121% SY'!$M$1,FALSE)</f>
        <v>#N/A</v>
      </c>
      <c r="M87" s="161" t="e">
        <f t="shared" si="5"/>
        <v>#N/A</v>
      </c>
      <c r="N87" s="33" t="e">
        <f t="shared" si="6"/>
        <v>#N/A</v>
      </c>
      <c r="R87" s="161" t="e">
        <f t="shared" si="7"/>
        <v>#N/A</v>
      </c>
      <c r="S87" s="33" t="e">
        <f t="shared" si="8"/>
        <v>#N/A</v>
      </c>
    </row>
    <row r="88" spans="12:19" x14ac:dyDescent="0.25">
      <c r="L88" s="7" t="e">
        <f>VLOOKUP(A88,'3121% SY'!A:M,'3121% SY'!$M$1,FALSE)</f>
        <v>#N/A</v>
      </c>
      <c r="M88" s="161" t="e">
        <f t="shared" si="5"/>
        <v>#N/A</v>
      </c>
      <c r="N88" s="33" t="e">
        <f t="shared" si="6"/>
        <v>#N/A</v>
      </c>
      <c r="R88" s="161" t="e">
        <f t="shared" si="7"/>
        <v>#N/A</v>
      </c>
      <c r="S88" s="33" t="e">
        <f t="shared" si="8"/>
        <v>#N/A</v>
      </c>
    </row>
    <row r="89" spans="12:19" x14ac:dyDescent="0.25">
      <c r="L89" s="7" t="e">
        <f>VLOOKUP(A89,'3121% SY'!A:M,'3121% SY'!$M$1,FALSE)</f>
        <v>#N/A</v>
      </c>
      <c r="M89" s="161" t="e">
        <f t="shared" si="5"/>
        <v>#N/A</v>
      </c>
      <c r="N89" s="33" t="e">
        <f t="shared" si="6"/>
        <v>#N/A</v>
      </c>
      <c r="R89" s="161" t="e">
        <f t="shared" si="7"/>
        <v>#N/A</v>
      </c>
      <c r="S89" s="33" t="e">
        <f t="shared" si="8"/>
        <v>#N/A</v>
      </c>
    </row>
    <row r="90" spans="12:19" x14ac:dyDescent="0.25">
      <c r="L90" s="7" t="e">
        <f>VLOOKUP(A90,'3121% SY'!A:M,'3121% SY'!$M$1,FALSE)</f>
        <v>#N/A</v>
      </c>
      <c r="M90" s="161" t="e">
        <f t="shared" si="5"/>
        <v>#N/A</v>
      </c>
      <c r="N90" s="33" t="e">
        <f t="shared" si="6"/>
        <v>#N/A</v>
      </c>
      <c r="R90" s="161" t="e">
        <f t="shared" si="7"/>
        <v>#N/A</v>
      </c>
      <c r="S90" s="33" t="e">
        <f t="shared" si="8"/>
        <v>#N/A</v>
      </c>
    </row>
    <row r="91" spans="12:19" x14ac:dyDescent="0.25">
      <c r="L91" s="7" t="e">
        <f>VLOOKUP(A91,'3121% SY'!A:M,'3121% SY'!$M$1,FALSE)</f>
        <v>#N/A</v>
      </c>
      <c r="M91" s="161" t="e">
        <f t="shared" si="5"/>
        <v>#N/A</v>
      </c>
      <c r="N91" s="33" t="e">
        <f t="shared" si="6"/>
        <v>#N/A</v>
      </c>
      <c r="R91" s="161" t="e">
        <f t="shared" si="7"/>
        <v>#N/A</v>
      </c>
      <c r="S91" s="33" t="e">
        <f t="shared" si="8"/>
        <v>#N/A</v>
      </c>
    </row>
    <row r="92" spans="12:19" x14ac:dyDescent="0.25">
      <c r="L92" s="7" t="e">
        <f>VLOOKUP(A92,'3121% SY'!A:M,'3121% SY'!$M$1,FALSE)</f>
        <v>#N/A</v>
      </c>
      <c r="M92" s="161" t="e">
        <f t="shared" si="5"/>
        <v>#N/A</v>
      </c>
      <c r="N92" s="33" t="e">
        <f t="shared" si="6"/>
        <v>#N/A</v>
      </c>
      <c r="R92" s="161" t="e">
        <f t="shared" si="7"/>
        <v>#N/A</v>
      </c>
      <c r="S92" s="33" t="e">
        <f t="shared" si="8"/>
        <v>#N/A</v>
      </c>
    </row>
    <row r="93" spans="12:19" x14ac:dyDescent="0.25">
      <c r="L93" s="7" t="e">
        <f>VLOOKUP(A93,'3121% SY'!A:M,'3121% SY'!$M$1,FALSE)</f>
        <v>#N/A</v>
      </c>
      <c r="M93" s="161" t="e">
        <f t="shared" si="5"/>
        <v>#N/A</v>
      </c>
      <c r="N93" s="33" t="e">
        <f t="shared" si="6"/>
        <v>#N/A</v>
      </c>
      <c r="R93" s="161" t="e">
        <f t="shared" si="7"/>
        <v>#N/A</v>
      </c>
      <c r="S93" s="33" t="e">
        <f t="shared" si="8"/>
        <v>#N/A</v>
      </c>
    </row>
    <row r="94" spans="12:19" x14ac:dyDescent="0.25">
      <c r="L94" s="7" t="e">
        <f>VLOOKUP(A94,'3121% SY'!A:M,'3121% SY'!$M$1,FALSE)</f>
        <v>#N/A</v>
      </c>
      <c r="M94" s="161" t="e">
        <f t="shared" si="5"/>
        <v>#N/A</v>
      </c>
      <c r="N94" s="33" t="e">
        <f t="shared" si="6"/>
        <v>#N/A</v>
      </c>
      <c r="R94" s="161" t="e">
        <f t="shared" si="7"/>
        <v>#N/A</v>
      </c>
      <c r="S94" s="33" t="e">
        <f t="shared" si="8"/>
        <v>#N/A</v>
      </c>
    </row>
    <row r="95" spans="12:19" x14ac:dyDescent="0.25">
      <c r="L95" s="7" t="e">
        <f>VLOOKUP(A95,'3121% SY'!A:M,'3121% SY'!$M$1,FALSE)</f>
        <v>#N/A</v>
      </c>
      <c r="M95" s="161" t="e">
        <f t="shared" si="5"/>
        <v>#N/A</v>
      </c>
      <c r="N95" s="33" t="e">
        <f t="shared" si="6"/>
        <v>#N/A</v>
      </c>
      <c r="R95" s="161" t="e">
        <f t="shared" si="7"/>
        <v>#N/A</v>
      </c>
      <c r="S95" s="33" t="e">
        <f t="shared" si="8"/>
        <v>#N/A</v>
      </c>
    </row>
    <row r="96" spans="12:19" x14ac:dyDescent="0.25">
      <c r="L96" s="7" t="e">
        <f>VLOOKUP(A96,'3121% SY'!A:M,'3121% SY'!$M$1,FALSE)</f>
        <v>#N/A</v>
      </c>
      <c r="M96" s="161" t="e">
        <f t="shared" si="5"/>
        <v>#N/A</v>
      </c>
      <c r="N96" s="33" t="e">
        <f t="shared" si="6"/>
        <v>#N/A</v>
      </c>
      <c r="R96" s="161" t="e">
        <f t="shared" si="7"/>
        <v>#N/A</v>
      </c>
      <c r="S96" s="33" t="e">
        <f t="shared" si="8"/>
        <v>#N/A</v>
      </c>
    </row>
    <row r="97" spans="12:19" x14ac:dyDescent="0.25">
      <c r="L97" s="7" t="e">
        <f>VLOOKUP(A97,'3121% SY'!A:M,'3121% SY'!$M$1,FALSE)</f>
        <v>#N/A</v>
      </c>
      <c r="M97" s="161" t="e">
        <f t="shared" si="5"/>
        <v>#N/A</v>
      </c>
      <c r="N97" s="33" t="e">
        <f t="shared" si="6"/>
        <v>#N/A</v>
      </c>
      <c r="R97" s="161" t="e">
        <f t="shared" si="7"/>
        <v>#N/A</v>
      </c>
      <c r="S97" s="33" t="e">
        <f t="shared" si="8"/>
        <v>#N/A</v>
      </c>
    </row>
    <row r="98" spans="12:19" x14ac:dyDescent="0.25">
      <c r="L98" s="7" t="e">
        <f>VLOOKUP(A98,'3121% SY'!A:M,'3121% SY'!$M$1,FALSE)</f>
        <v>#N/A</v>
      </c>
      <c r="M98" s="161" t="e">
        <f t="shared" si="5"/>
        <v>#N/A</v>
      </c>
      <c r="N98" s="33" t="e">
        <f t="shared" si="6"/>
        <v>#N/A</v>
      </c>
      <c r="R98" s="161" t="e">
        <f t="shared" si="7"/>
        <v>#N/A</v>
      </c>
      <c r="S98" s="33" t="e">
        <f t="shared" si="8"/>
        <v>#N/A</v>
      </c>
    </row>
    <row r="99" spans="12:19" x14ac:dyDescent="0.25">
      <c r="L99" s="7" t="e">
        <f>VLOOKUP(A99,'3121% SY'!A:M,'3121% SY'!$M$1,FALSE)</f>
        <v>#N/A</v>
      </c>
      <c r="M99" s="161" t="e">
        <f t="shared" si="5"/>
        <v>#N/A</v>
      </c>
      <c r="N99" s="33" t="e">
        <f t="shared" si="6"/>
        <v>#N/A</v>
      </c>
      <c r="R99" s="161" t="e">
        <f t="shared" si="7"/>
        <v>#N/A</v>
      </c>
      <c r="S99" s="33" t="e">
        <f t="shared" si="8"/>
        <v>#N/A</v>
      </c>
    </row>
    <row r="100" spans="12:19" x14ac:dyDescent="0.25">
      <c r="L100" s="7" t="e">
        <f>VLOOKUP(A100,'3121% SY'!A:M,'3121% SY'!$M$1,FALSE)</f>
        <v>#N/A</v>
      </c>
      <c r="M100" s="161" t="e">
        <f t="shared" si="5"/>
        <v>#N/A</v>
      </c>
      <c r="N100" s="33" t="e">
        <f t="shared" si="6"/>
        <v>#N/A</v>
      </c>
      <c r="R100" s="161" t="e">
        <f t="shared" si="7"/>
        <v>#N/A</v>
      </c>
      <c r="S100" s="33" t="e">
        <f t="shared" si="8"/>
        <v>#N/A</v>
      </c>
    </row>
    <row r="101" spans="12:19" x14ac:dyDescent="0.25">
      <c r="L101" s="7" t="e">
        <f>VLOOKUP(A101,'3121% SY'!A:M,'3121% SY'!$M$1,FALSE)</f>
        <v>#N/A</v>
      </c>
      <c r="M101" s="161" t="e">
        <f t="shared" si="5"/>
        <v>#N/A</v>
      </c>
      <c r="N101" s="33" t="e">
        <f t="shared" si="6"/>
        <v>#N/A</v>
      </c>
      <c r="R101" s="161" t="e">
        <f t="shared" si="7"/>
        <v>#N/A</v>
      </c>
      <c r="S101" s="33" t="e">
        <f t="shared" si="8"/>
        <v>#N/A</v>
      </c>
    </row>
    <row r="102" spans="12:19" x14ac:dyDescent="0.25">
      <c r="L102" s="7" t="e">
        <f>VLOOKUP(A102,'3121% SY'!A:M,'3121% SY'!$M$1,FALSE)</f>
        <v>#N/A</v>
      </c>
      <c r="M102" s="161" t="e">
        <f t="shared" si="5"/>
        <v>#N/A</v>
      </c>
      <c r="N102" s="33" t="e">
        <f t="shared" si="6"/>
        <v>#N/A</v>
      </c>
      <c r="R102" s="161" t="e">
        <f t="shared" si="7"/>
        <v>#N/A</v>
      </c>
      <c r="S102" s="33" t="e">
        <f t="shared" si="8"/>
        <v>#N/A</v>
      </c>
    </row>
    <row r="103" spans="12:19" x14ac:dyDescent="0.25">
      <c r="L103" s="7" t="e">
        <f>VLOOKUP(A103,'3121% SY'!A:M,'3121% SY'!$M$1,FALSE)</f>
        <v>#N/A</v>
      </c>
      <c r="M103" s="161" t="e">
        <f t="shared" si="5"/>
        <v>#N/A</v>
      </c>
      <c r="N103" s="33" t="e">
        <f t="shared" si="6"/>
        <v>#N/A</v>
      </c>
      <c r="R103" s="161" t="e">
        <f t="shared" si="7"/>
        <v>#N/A</v>
      </c>
      <c r="S103" s="33" t="e">
        <f t="shared" si="8"/>
        <v>#N/A</v>
      </c>
    </row>
    <row r="104" spans="12:19" x14ac:dyDescent="0.25">
      <c r="L104" s="7" t="e">
        <f>VLOOKUP(A104,'3121% SY'!A:M,'3121% SY'!$M$1,FALSE)</f>
        <v>#N/A</v>
      </c>
      <c r="M104" s="161" t="e">
        <f t="shared" si="5"/>
        <v>#N/A</v>
      </c>
      <c r="N104" s="33" t="e">
        <f t="shared" si="6"/>
        <v>#N/A</v>
      </c>
      <c r="R104" s="161" t="e">
        <f t="shared" si="7"/>
        <v>#N/A</v>
      </c>
      <c r="S104" s="33" t="e">
        <f t="shared" si="8"/>
        <v>#N/A</v>
      </c>
    </row>
    <row r="105" spans="12:19" x14ac:dyDescent="0.25">
      <c r="L105" s="7" t="e">
        <f>VLOOKUP(A105,'3121% SY'!A:M,'3121% SY'!$M$1,FALSE)</f>
        <v>#N/A</v>
      </c>
      <c r="M105" s="161" t="e">
        <f t="shared" si="5"/>
        <v>#N/A</v>
      </c>
      <c r="N105" s="33" t="e">
        <f t="shared" si="6"/>
        <v>#N/A</v>
      </c>
      <c r="R105" s="161" t="e">
        <f t="shared" si="7"/>
        <v>#N/A</v>
      </c>
      <c r="S105" s="33" t="e">
        <f t="shared" si="8"/>
        <v>#N/A</v>
      </c>
    </row>
    <row r="106" spans="12:19" x14ac:dyDescent="0.25">
      <c r="L106" s="7" t="e">
        <f>VLOOKUP(A106,'3121% SY'!A:M,'3121% SY'!$M$1,FALSE)</f>
        <v>#N/A</v>
      </c>
      <c r="M106" s="161" t="e">
        <f t="shared" si="5"/>
        <v>#N/A</v>
      </c>
      <c r="N106" s="33" t="e">
        <f t="shared" si="6"/>
        <v>#N/A</v>
      </c>
      <c r="R106" s="161" t="e">
        <f t="shared" si="7"/>
        <v>#N/A</v>
      </c>
      <c r="S106" s="33" t="e">
        <f t="shared" si="8"/>
        <v>#N/A</v>
      </c>
    </row>
    <row r="107" spans="12:19" x14ac:dyDescent="0.25">
      <c r="L107" s="7" t="e">
        <f>VLOOKUP(A107,'3121% SY'!A:M,'3121% SY'!$M$1,FALSE)</f>
        <v>#N/A</v>
      </c>
      <c r="M107" s="161" t="e">
        <f t="shared" si="5"/>
        <v>#N/A</v>
      </c>
      <c r="N107" s="33" t="e">
        <f t="shared" si="6"/>
        <v>#N/A</v>
      </c>
      <c r="R107" s="161" t="e">
        <f t="shared" si="7"/>
        <v>#N/A</v>
      </c>
      <c r="S107" s="33" t="e">
        <f t="shared" si="8"/>
        <v>#N/A</v>
      </c>
    </row>
    <row r="108" spans="12:19" x14ac:dyDescent="0.25">
      <c r="L108" s="7" t="e">
        <f>VLOOKUP(A108,'3121% SY'!A:M,'3121% SY'!$M$1,FALSE)</f>
        <v>#N/A</v>
      </c>
      <c r="M108" s="161" t="e">
        <f t="shared" si="5"/>
        <v>#N/A</v>
      </c>
      <c r="N108" s="33" t="e">
        <f t="shared" si="6"/>
        <v>#N/A</v>
      </c>
      <c r="R108" s="161" t="e">
        <f t="shared" si="7"/>
        <v>#N/A</v>
      </c>
      <c r="S108" s="33" t="e">
        <f t="shared" si="8"/>
        <v>#N/A</v>
      </c>
    </row>
    <row r="109" spans="12:19" x14ac:dyDescent="0.25">
      <c r="L109" s="7" t="e">
        <f>VLOOKUP(A109,'3121% SY'!A:M,'3121% SY'!$M$1,FALSE)</f>
        <v>#N/A</v>
      </c>
      <c r="M109" s="161" t="e">
        <f t="shared" si="5"/>
        <v>#N/A</v>
      </c>
      <c r="N109" s="33" t="e">
        <f t="shared" si="6"/>
        <v>#N/A</v>
      </c>
      <c r="R109" s="161" t="e">
        <f t="shared" si="7"/>
        <v>#N/A</v>
      </c>
      <c r="S109" s="33" t="e">
        <f t="shared" si="8"/>
        <v>#N/A</v>
      </c>
    </row>
    <row r="110" spans="12:19" x14ac:dyDescent="0.25">
      <c r="L110" s="7" t="e">
        <f>VLOOKUP(A110,'3121% SY'!A:M,'3121% SY'!$M$1,FALSE)</f>
        <v>#N/A</v>
      </c>
      <c r="M110" s="161" t="e">
        <f t="shared" si="5"/>
        <v>#N/A</v>
      </c>
      <c r="N110" s="33" t="e">
        <f t="shared" si="6"/>
        <v>#N/A</v>
      </c>
      <c r="R110" s="161" t="e">
        <f t="shared" si="7"/>
        <v>#N/A</v>
      </c>
      <c r="S110" s="33" t="e">
        <f t="shared" si="8"/>
        <v>#N/A</v>
      </c>
    </row>
    <row r="111" spans="12:19" x14ac:dyDescent="0.25">
      <c r="L111" s="7" t="e">
        <f>VLOOKUP(A111,'3121% SY'!A:M,'3121% SY'!$M$1,FALSE)</f>
        <v>#N/A</v>
      </c>
      <c r="M111" s="161" t="e">
        <f t="shared" si="5"/>
        <v>#N/A</v>
      </c>
      <c r="N111" s="33" t="e">
        <f t="shared" si="6"/>
        <v>#N/A</v>
      </c>
      <c r="R111" s="161" t="e">
        <f t="shared" si="7"/>
        <v>#N/A</v>
      </c>
      <c r="S111" s="33" t="e">
        <f t="shared" si="8"/>
        <v>#N/A</v>
      </c>
    </row>
    <row r="112" spans="12:19" x14ac:dyDescent="0.25">
      <c r="L112" s="7" t="e">
        <f>VLOOKUP(A112,'3121% SY'!A:M,'3121% SY'!$M$1,FALSE)</f>
        <v>#N/A</v>
      </c>
      <c r="M112" s="161" t="e">
        <f t="shared" si="5"/>
        <v>#N/A</v>
      </c>
      <c r="N112" s="33" t="e">
        <f t="shared" si="6"/>
        <v>#N/A</v>
      </c>
      <c r="R112" s="161" t="e">
        <f t="shared" si="7"/>
        <v>#N/A</v>
      </c>
      <c r="S112" s="33" t="e">
        <f t="shared" si="8"/>
        <v>#N/A</v>
      </c>
    </row>
    <row r="113" spans="12:19" x14ac:dyDescent="0.25">
      <c r="L113" s="7" t="e">
        <f>VLOOKUP(A113,'3121% SY'!A:M,'3121% SY'!$M$1,FALSE)</f>
        <v>#N/A</v>
      </c>
      <c r="M113" s="161" t="e">
        <f t="shared" si="5"/>
        <v>#N/A</v>
      </c>
      <c r="N113" s="33" t="e">
        <f t="shared" si="6"/>
        <v>#N/A</v>
      </c>
      <c r="R113" s="161" t="e">
        <f t="shared" si="7"/>
        <v>#N/A</v>
      </c>
      <c r="S113" s="33" t="e">
        <f t="shared" si="8"/>
        <v>#N/A</v>
      </c>
    </row>
    <row r="114" spans="12:19" x14ac:dyDescent="0.25">
      <c r="L114" s="7" t="e">
        <f>VLOOKUP(A114,'3121% SY'!A:M,'3121% SY'!$M$1,FALSE)</f>
        <v>#N/A</v>
      </c>
      <c r="M114" s="161" t="e">
        <f t="shared" si="5"/>
        <v>#N/A</v>
      </c>
      <c r="N114" s="33" t="e">
        <f t="shared" si="6"/>
        <v>#N/A</v>
      </c>
      <c r="R114" s="161" t="e">
        <f t="shared" si="7"/>
        <v>#N/A</v>
      </c>
      <c r="S114" s="33" t="e">
        <f t="shared" si="8"/>
        <v>#N/A</v>
      </c>
    </row>
    <row r="115" spans="12:19" x14ac:dyDescent="0.25">
      <c r="L115" s="7" t="e">
        <f>VLOOKUP(A115,'3121% SY'!A:M,'3121% SY'!$M$1,FALSE)</f>
        <v>#N/A</v>
      </c>
      <c r="M115" s="161" t="e">
        <f t="shared" si="5"/>
        <v>#N/A</v>
      </c>
      <c r="N115" s="33" t="e">
        <f t="shared" si="6"/>
        <v>#N/A</v>
      </c>
      <c r="R115" s="161" t="e">
        <f t="shared" si="7"/>
        <v>#N/A</v>
      </c>
      <c r="S115" s="33" t="e">
        <f t="shared" si="8"/>
        <v>#N/A</v>
      </c>
    </row>
    <row r="116" spans="12:19" x14ac:dyDescent="0.25">
      <c r="L116" s="7" t="e">
        <f>VLOOKUP(A116,'3121% SY'!A:M,'3121% SY'!$M$1,FALSE)</f>
        <v>#N/A</v>
      </c>
      <c r="M116" s="161" t="e">
        <f t="shared" si="5"/>
        <v>#N/A</v>
      </c>
      <c r="N116" s="33" t="e">
        <f t="shared" si="6"/>
        <v>#N/A</v>
      </c>
      <c r="R116" s="161" t="e">
        <f t="shared" si="7"/>
        <v>#N/A</v>
      </c>
      <c r="S116" s="33" t="e">
        <f t="shared" si="8"/>
        <v>#N/A</v>
      </c>
    </row>
    <row r="117" spans="12:19" x14ac:dyDescent="0.25">
      <c r="L117" s="7" t="e">
        <f>VLOOKUP(A117,'3121% SY'!A:M,'3121% SY'!$M$1,FALSE)</f>
        <v>#N/A</v>
      </c>
      <c r="M117" s="161" t="e">
        <f t="shared" si="5"/>
        <v>#N/A</v>
      </c>
      <c r="N117" s="33" t="e">
        <f t="shared" si="6"/>
        <v>#N/A</v>
      </c>
      <c r="R117" s="161" t="e">
        <f t="shared" si="7"/>
        <v>#N/A</v>
      </c>
      <c r="S117" s="33" t="e">
        <f t="shared" si="8"/>
        <v>#N/A</v>
      </c>
    </row>
    <row r="118" spans="12:19" x14ac:dyDescent="0.25">
      <c r="L118" s="7" t="e">
        <f>VLOOKUP(A118,'3121% SY'!A:M,'3121% SY'!$M$1,FALSE)</f>
        <v>#N/A</v>
      </c>
      <c r="M118" s="161" t="e">
        <f t="shared" si="5"/>
        <v>#N/A</v>
      </c>
      <c r="N118" s="33" t="e">
        <f t="shared" si="6"/>
        <v>#N/A</v>
      </c>
      <c r="R118" s="161" t="e">
        <f t="shared" si="7"/>
        <v>#N/A</v>
      </c>
      <c r="S118" s="33" t="e">
        <f t="shared" si="8"/>
        <v>#N/A</v>
      </c>
    </row>
    <row r="119" spans="12:19" x14ac:dyDescent="0.25">
      <c r="L119" s="7" t="e">
        <f>VLOOKUP(A119,'3121% SY'!A:M,'3121% SY'!$M$1,FALSE)</f>
        <v>#N/A</v>
      </c>
      <c r="M119" s="161" t="e">
        <f t="shared" si="5"/>
        <v>#N/A</v>
      </c>
      <c r="N119" s="33" t="e">
        <f t="shared" si="6"/>
        <v>#N/A</v>
      </c>
      <c r="R119" s="161" t="e">
        <f t="shared" si="7"/>
        <v>#N/A</v>
      </c>
      <c r="S119" s="33" t="e">
        <f t="shared" si="8"/>
        <v>#N/A</v>
      </c>
    </row>
    <row r="120" spans="12:19" x14ac:dyDescent="0.25">
      <c r="L120" s="7" t="e">
        <f>VLOOKUP(A120,'3121% SY'!A:M,'3121% SY'!$M$1,FALSE)</f>
        <v>#N/A</v>
      </c>
      <c r="M120" s="161" t="e">
        <f t="shared" si="5"/>
        <v>#N/A</v>
      </c>
      <c r="N120" s="33" t="e">
        <f t="shared" si="6"/>
        <v>#N/A</v>
      </c>
      <c r="R120" s="161" t="e">
        <f t="shared" si="7"/>
        <v>#N/A</v>
      </c>
      <c r="S120" s="33" t="e">
        <f t="shared" si="8"/>
        <v>#N/A</v>
      </c>
    </row>
    <row r="121" spans="12:19" x14ac:dyDescent="0.25">
      <c r="L121" s="7" t="e">
        <f>VLOOKUP(A121,'3121% SY'!A:M,'3121% SY'!$M$1,FALSE)</f>
        <v>#N/A</v>
      </c>
      <c r="M121" s="161" t="e">
        <f t="shared" si="5"/>
        <v>#N/A</v>
      </c>
      <c r="N121" s="33" t="e">
        <f t="shared" si="6"/>
        <v>#N/A</v>
      </c>
      <c r="R121" s="161" t="e">
        <f t="shared" si="7"/>
        <v>#N/A</v>
      </c>
      <c r="S121" s="33" t="e">
        <f t="shared" si="8"/>
        <v>#N/A</v>
      </c>
    </row>
    <row r="122" spans="12:19" x14ac:dyDescent="0.25">
      <c r="L122" s="7" t="e">
        <f>VLOOKUP(A122,'3121% SY'!A:M,'3121% SY'!$M$1,FALSE)</f>
        <v>#N/A</v>
      </c>
      <c r="M122" s="161" t="e">
        <f t="shared" si="5"/>
        <v>#N/A</v>
      </c>
      <c r="N122" s="33" t="e">
        <f t="shared" si="6"/>
        <v>#N/A</v>
      </c>
      <c r="R122" s="161" t="e">
        <f t="shared" si="7"/>
        <v>#N/A</v>
      </c>
      <c r="S122" s="33" t="e">
        <f t="shared" si="8"/>
        <v>#N/A</v>
      </c>
    </row>
    <row r="123" spans="12:19" x14ac:dyDescent="0.25">
      <c r="L123" s="7" t="e">
        <f>VLOOKUP(A123,'3121% SY'!A:M,'3121% SY'!$M$1,FALSE)</f>
        <v>#N/A</v>
      </c>
      <c r="M123" s="161" t="e">
        <f t="shared" si="5"/>
        <v>#N/A</v>
      </c>
      <c r="N123" s="33" t="e">
        <f t="shared" si="6"/>
        <v>#N/A</v>
      </c>
      <c r="R123" s="161" t="e">
        <f t="shared" ref="R123:R131" si="9">ROUND(Q123*$L123,3)</f>
        <v>#N/A</v>
      </c>
      <c r="S123" s="33" t="e">
        <f t="shared" ref="S123:S131" si="10">SUM(R123,O123:P123)</f>
        <v>#N/A</v>
      </c>
    </row>
    <row r="124" spans="12:19" x14ac:dyDescent="0.25">
      <c r="L124" s="7" t="e">
        <f>VLOOKUP(A124,'3121% SY'!A:M,'3121% SY'!$M$1,FALSE)</f>
        <v>#N/A</v>
      </c>
      <c r="M124" s="161" t="e">
        <f t="shared" si="5"/>
        <v>#N/A</v>
      </c>
      <c r="N124" s="33" t="e">
        <f t="shared" si="6"/>
        <v>#N/A</v>
      </c>
      <c r="R124" s="161" t="e">
        <f t="shared" si="9"/>
        <v>#N/A</v>
      </c>
      <c r="S124" s="33" t="e">
        <f t="shared" si="10"/>
        <v>#N/A</v>
      </c>
    </row>
    <row r="125" spans="12:19" x14ac:dyDescent="0.25">
      <c r="L125" s="7" t="e">
        <f>VLOOKUP(A125,'3121% SY'!A:M,'3121% SY'!$M$1,FALSE)</f>
        <v>#N/A</v>
      </c>
      <c r="M125" s="161" t="e">
        <f t="shared" si="5"/>
        <v>#N/A</v>
      </c>
      <c r="N125" s="33" t="e">
        <f t="shared" si="6"/>
        <v>#N/A</v>
      </c>
      <c r="R125" s="161" t="e">
        <f t="shared" si="9"/>
        <v>#N/A</v>
      </c>
      <c r="S125" s="33" t="e">
        <f t="shared" si="10"/>
        <v>#N/A</v>
      </c>
    </row>
    <row r="126" spans="12:19" x14ac:dyDescent="0.25">
      <c r="L126" s="7" t="e">
        <f>VLOOKUP(A126,'3121% SY'!A:M,'3121% SY'!$M$1,FALSE)</f>
        <v>#N/A</v>
      </c>
      <c r="M126" s="161" t="e">
        <f t="shared" si="5"/>
        <v>#N/A</v>
      </c>
      <c r="N126" s="33" t="e">
        <f t="shared" si="6"/>
        <v>#N/A</v>
      </c>
      <c r="R126" s="161" t="e">
        <f t="shared" si="9"/>
        <v>#N/A</v>
      </c>
      <c r="S126" s="33" t="e">
        <f t="shared" si="10"/>
        <v>#N/A</v>
      </c>
    </row>
    <row r="127" spans="12:19" x14ac:dyDescent="0.25">
      <c r="L127" s="7" t="e">
        <f>VLOOKUP(A127,'3121% SY'!A:M,'3121% SY'!$M$1,FALSE)</f>
        <v>#N/A</v>
      </c>
      <c r="M127" s="161" t="e">
        <f t="shared" si="5"/>
        <v>#N/A</v>
      </c>
      <c r="N127" s="33" t="e">
        <f t="shared" si="6"/>
        <v>#N/A</v>
      </c>
      <c r="R127" s="161" t="e">
        <f t="shared" si="9"/>
        <v>#N/A</v>
      </c>
      <c r="S127" s="33" t="e">
        <f t="shared" si="10"/>
        <v>#N/A</v>
      </c>
    </row>
    <row r="128" spans="12:19" x14ac:dyDescent="0.25">
      <c r="L128" s="7" t="e">
        <f>VLOOKUP(A128,'3121% SY'!A:M,'3121% SY'!$M$1,FALSE)</f>
        <v>#N/A</v>
      </c>
      <c r="M128" s="161" t="e">
        <f t="shared" si="5"/>
        <v>#N/A</v>
      </c>
      <c r="N128" s="33" t="e">
        <f t="shared" si="6"/>
        <v>#N/A</v>
      </c>
      <c r="R128" s="161" t="e">
        <f t="shared" si="9"/>
        <v>#N/A</v>
      </c>
      <c r="S128" s="33" t="e">
        <f t="shared" si="10"/>
        <v>#N/A</v>
      </c>
    </row>
    <row r="129" spans="12:19" x14ac:dyDescent="0.25">
      <c r="L129" s="7" t="e">
        <f>VLOOKUP(A129,'3121% SY'!A:M,'3121% SY'!$M$1,FALSE)</f>
        <v>#N/A</v>
      </c>
      <c r="M129" s="161" t="e">
        <f t="shared" si="5"/>
        <v>#N/A</v>
      </c>
      <c r="N129" s="33" t="e">
        <f t="shared" si="6"/>
        <v>#N/A</v>
      </c>
      <c r="R129" s="161" t="e">
        <f t="shared" si="9"/>
        <v>#N/A</v>
      </c>
      <c r="S129" s="33" t="e">
        <f t="shared" si="10"/>
        <v>#N/A</v>
      </c>
    </row>
    <row r="130" spans="12:19" x14ac:dyDescent="0.25">
      <c r="L130" s="7" t="e">
        <f>VLOOKUP(A130,'3121% SY'!A:M,'3121% SY'!$M$1,FALSE)</f>
        <v>#N/A</v>
      </c>
      <c r="M130" s="161" t="e">
        <f t="shared" si="5"/>
        <v>#N/A</v>
      </c>
      <c r="N130" s="33" t="e">
        <f t="shared" si="6"/>
        <v>#N/A</v>
      </c>
      <c r="R130" s="161" t="e">
        <f t="shared" si="9"/>
        <v>#N/A</v>
      </c>
      <c r="S130" s="33" t="e">
        <f t="shared" si="10"/>
        <v>#N/A</v>
      </c>
    </row>
    <row r="131" spans="12:19" x14ac:dyDescent="0.25">
      <c r="L131" s="7" t="e">
        <f>VLOOKUP(A131,'3121% SY'!A:M,'3121% SY'!$M$1,FALSE)</f>
        <v>#N/A</v>
      </c>
      <c r="M131" s="161" t="e">
        <f t="shared" si="5"/>
        <v>#N/A</v>
      </c>
      <c r="N131" s="33" t="e">
        <f t="shared" si="6"/>
        <v>#N/A</v>
      </c>
      <c r="R131" s="161" t="e">
        <f t="shared" si="9"/>
        <v>#N/A</v>
      </c>
      <c r="S131" s="33" t="e">
        <f t="shared" si="10"/>
        <v>#N/A</v>
      </c>
    </row>
    <row r="132" spans="12:19" x14ac:dyDescent="0.25">
      <c r="L132" s="7" t="e">
        <f>VLOOKUP(A132,'3121% SY'!A:M,'3121% SY'!$M$1,FALSE)</f>
        <v>#N/A</v>
      </c>
    </row>
    <row r="133" spans="12:19" x14ac:dyDescent="0.25">
      <c r="L133" s="7" t="e">
        <f>VLOOKUP(A133,'3121% SY'!A:M,'3121% SY'!$M$1,FALSE)</f>
        <v>#N/A</v>
      </c>
    </row>
    <row r="134" spans="12:19" x14ac:dyDescent="0.25">
      <c r="L134" s="7" t="e">
        <f>VLOOKUP(A134,'3121% SY'!A:M,'3121% SY'!$M$1,FALSE)</f>
        <v>#N/A</v>
      </c>
    </row>
    <row r="135" spans="12:19" x14ac:dyDescent="0.25">
      <c r="L135" s="7" t="e">
        <f>VLOOKUP(A135,'3121% SY'!A:M,'3121% SY'!$M$1,FALSE)</f>
        <v>#N/A</v>
      </c>
    </row>
    <row r="136" spans="12:19" x14ac:dyDescent="0.25">
      <c r="L136" s="7" t="e">
        <f>VLOOKUP(A136,'3121% SY'!A:M,'3121% SY'!$M$1,FALSE)</f>
        <v>#N/A</v>
      </c>
    </row>
    <row r="137" spans="12:19" x14ac:dyDescent="0.25">
      <c r="L137" s="7" t="e">
        <f>VLOOKUP(A137,'3121% SY'!A:M,'3121% SY'!$M$1,FALSE)</f>
        <v>#N/A</v>
      </c>
    </row>
    <row r="138" spans="12:19" x14ac:dyDescent="0.25">
      <c r="L138" s="7" t="e">
        <f>VLOOKUP(A138,'3121% SY'!A:M,'3121% SY'!$M$1,FALSE)</f>
        <v>#N/A</v>
      </c>
    </row>
    <row r="139" spans="12:19" x14ac:dyDescent="0.25">
      <c r="L139" s="7" t="e">
        <f>VLOOKUP(A139,'3121% SY'!A:M,'3121% SY'!$M$1,FALSE)</f>
        <v>#N/A</v>
      </c>
    </row>
    <row r="140" spans="12:19" x14ac:dyDescent="0.25">
      <c r="L140" s="7" t="e">
        <f>VLOOKUP(A140,'3121% SY'!A:M,'3121% SY'!$M$1,FALSE)</f>
        <v>#N/A</v>
      </c>
    </row>
    <row r="141" spans="12:19" x14ac:dyDescent="0.25">
      <c r="L141" s="7" t="e">
        <f>VLOOKUP(A141,'3121% SY'!A:M,'3121% SY'!$M$1,FALSE)</f>
        <v>#N/A</v>
      </c>
    </row>
    <row r="142" spans="12:19" x14ac:dyDescent="0.25">
      <c r="L142" s="7" t="e">
        <f>VLOOKUP(A142,'3121% SY'!A:M,'3121% SY'!$M$1,FALSE)</f>
        <v>#N/A</v>
      </c>
    </row>
    <row r="143" spans="12:19" x14ac:dyDescent="0.25">
      <c r="L143" s="7" t="e">
        <f>VLOOKUP(A143,'3121% SY'!A:M,'3121% SY'!$M$1,FALSE)</f>
        <v>#N/A</v>
      </c>
    </row>
    <row r="144" spans="12:19" x14ac:dyDescent="0.25">
      <c r="L144" s="7" t="e">
        <f>VLOOKUP(A144,'3121% SY'!A:M,'3121% SY'!$M$1,FALSE)</f>
        <v>#N/A</v>
      </c>
    </row>
    <row r="145" spans="12:12" x14ac:dyDescent="0.25">
      <c r="L145" s="7" t="e">
        <f>VLOOKUP(A145,'3121% SY'!A:M,'3121% SY'!$M$1,FALSE)</f>
        <v>#N/A</v>
      </c>
    </row>
    <row r="146" spans="12:12" x14ac:dyDescent="0.25">
      <c r="L146" s="7" t="e">
        <f>VLOOKUP(A146,'3121% SY'!A:M,'3121% SY'!$M$1,FALSE)</f>
        <v>#N/A</v>
      </c>
    </row>
    <row r="147" spans="12:12" x14ac:dyDescent="0.25">
      <c r="L147" s="7" t="e">
        <f>VLOOKUP(A147,'3121% SY'!A:M,'3121% SY'!$M$1,FALSE)</f>
        <v>#N/A</v>
      </c>
    </row>
    <row r="148" spans="12:12" x14ac:dyDescent="0.25">
      <c r="L148" s="7" t="e">
        <f>VLOOKUP(A148,'3121% SY'!A:M,'3121% SY'!$M$1,FALSE)</f>
        <v>#N/A</v>
      </c>
    </row>
    <row r="149" spans="12:12" x14ac:dyDescent="0.25">
      <c r="L149" s="7" t="e">
        <f>VLOOKUP(A149,'3121% SY'!A:M,'3121% SY'!$M$1,FALSE)</f>
        <v>#N/A</v>
      </c>
    </row>
    <row r="150" spans="12:12" x14ac:dyDescent="0.25">
      <c r="L150" s="7" t="e">
        <f>VLOOKUP(A150,'3121% SY'!A:M,'3121% SY'!$M$1,FALSE)</f>
        <v>#N/A</v>
      </c>
    </row>
    <row r="151" spans="12:12" x14ac:dyDescent="0.25">
      <c r="L151" s="7" t="e">
        <f>VLOOKUP(A151,'3121% SY'!A:M,'3121% SY'!$M$1,FALSE)</f>
        <v>#N/A</v>
      </c>
    </row>
  </sheetData>
  <mergeCells count="1">
    <mergeCell ref="B2:H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9F990-8217-4FDB-9C05-969D5AC49750}">
  <sheetPr codeName="Sheet35"/>
  <dimension ref="A1:T151"/>
  <sheetViews>
    <sheetView workbookViewId="0">
      <selection activeCell="L4" sqref="L4:L151"/>
    </sheetView>
  </sheetViews>
  <sheetFormatPr defaultRowHeight="15" x14ac:dyDescent="0.25"/>
  <cols>
    <col min="1" max="1" width="13.140625" bestFit="1" customWidth="1"/>
    <col min="2" max="2" width="12.7109375" bestFit="1" customWidth="1"/>
    <col min="3" max="3" width="13.7109375" bestFit="1" customWidth="1"/>
    <col min="4" max="4" width="13.140625" bestFit="1" customWidth="1"/>
    <col min="5" max="6" width="14.85546875" bestFit="1" customWidth="1"/>
    <col min="7" max="7" width="15.7109375" bestFit="1" customWidth="1"/>
    <col min="8" max="8" width="15.140625" bestFit="1" customWidth="1"/>
    <col min="9" max="9" width="14.85546875" bestFit="1" customWidth="1"/>
    <col min="10" max="10" width="15.7109375" bestFit="1" customWidth="1"/>
    <col min="11" max="11" width="15.140625" bestFit="1" customWidth="1"/>
    <col min="12" max="12" width="12.7109375" bestFit="1" customWidth="1"/>
    <col min="13" max="13" width="17.42578125" bestFit="1" customWidth="1"/>
    <col min="14" max="14" width="12.7109375" bestFit="1" customWidth="1"/>
    <col min="15" max="16" width="16" bestFit="1" customWidth="1"/>
    <col min="17" max="17" width="13.5703125" bestFit="1" customWidth="1"/>
    <col min="18" max="18" width="12.7109375" bestFit="1" customWidth="1"/>
    <col min="19" max="19" width="21" bestFit="1" customWidth="1"/>
    <col min="20" max="43" width="12.7109375" bestFit="1" customWidth="1"/>
  </cols>
  <sheetData>
    <row r="1" spans="1:20" x14ac:dyDescent="0.25">
      <c r="A1" s="87">
        <f>COLUMN(A1)</f>
        <v>1</v>
      </c>
      <c r="B1" s="87">
        <f>COLUMN(B1)</f>
        <v>2</v>
      </c>
      <c r="C1" s="87">
        <f t="shared" ref="C1:S1" si="0">COLUMN(C1)</f>
        <v>3</v>
      </c>
      <c r="D1" s="87">
        <f t="shared" si="0"/>
        <v>4</v>
      </c>
      <c r="E1" s="87">
        <f t="shared" si="0"/>
        <v>5</v>
      </c>
      <c r="F1" s="87">
        <f t="shared" si="0"/>
        <v>6</v>
      </c>
      <c r="G1" s="87">
        <f t="shared" si="0"/>
        <v>7</v>
      </c>
      <c r="H1" s="87">
        <f t="shared" si="0"/>
        <v>8</v>
      </c>
      <c r="I1" s="87">
        <f t="shared" si="0"/>
        <v>9</v>
      </c>
      <c r="J1" s="87">
        <f t="shared" si="0"/>
        <v>10</v>
      </c>
      <c r="K1" s="87">
        <f t="shared" si="0"/>
        <v>11</v>
      </c>
      <c r="L1" s="87">
        <f t="shared" si="0"/>
        <v>12</v>
      </c>
      <c r="M1" s="87">
        <f t="shared" si="0"/>
        <v>13</v>
      </c>
      <c r="N1" s="87">
        <f t="shared" si="0"/>
        <v>14</v>
      </c>
      <c r="O1" s="87">
        <f t="shared" si="0"/>
        <v>15</v>
      </c>
      <c r="P1" s="87">
        <f t="shared" si="0"/>
        <v>16</v>
      </c>
      <c r="Q1" s="87">
        <f t="shared" si="0"/>
        <v>17</v>
      </c>
      <c r="R1" s="87">
        <f t="shared" si="0"/>
        <v>18</v>
      </c>
      <c r="S1" s="87">
        <f t="shared" si="0"/>
        <v>19</v>
      </c>
      <c r="T1" s="87"/>
    </row>
    <row r="2" spans="1:20" x14ac:dyDescent="0.25">
      <c r="A2">
        <f>COUNTA(A4:A131)</f>
        <v>24</v>
      </c>
      <c r="B2" s="290" t="s">
        <v>1056</v>
      </c>
      <c r="C2" s="290"/>
      <c r="D2" s="290"/>
      <c r="E2" s="290"/>
      <c r="F2" s="290"/>
      <c r="G2" s="290"/>
      <c r="H2" s="290"/>
      <c r="I2" s="156"/>
      <c r="J2" s="156"/>
      <c r="K2" s="156"/>
      <c r="N2" s="33" t="e">
        <f>SUM(N5:N150)</f>
        <v>#N/A</v>
      </c>
    </row>
    <row r="3" spans="1:20" x14ac:dyDescent="0.25">
      <c r="A3" s="91" t="s">
        <v>752</v>
      </c>
      <c r="B3" t="s">
        <v>792</v>
      </c>
      <c r="C3" t="s">
        <v>832</v>
      </c>
      <c r="D3" t="s">
        <v>873</v>
      </c>
      <c r="E3" t="s">
        <v>1139</v>
      </c>
      <c r="F3" t="s">
        <v>804</v>
      </c>
      <c r="G3" t="s">
        <v>845</v>
      </c>
      <c r="H3" t="s">
        <v>886</v>
      </c>
      <c r="I3" t="s">
        <v>818</v>
      </c>
      <c r="J3" t="s">
        <v>859</v>
      </c>
      <c r="K3" t="s">
        <v>898</v>
      </c>
      <c r="L3" s="6">
        <v>31.21</v>
      </c>
      <c r="M3" t="str">
        <f>"SpEd Staffed "&amp;$B$2</f>
        <v>SpEd Staffed Pysical Therapist</v>
      </c>
      <c r="N3" s="162" t="str">
        <f>"Total "&amp;$B$2</f>
        <v>Total Pysical Therapist</v>
      </c>
      <c r="O3" t="s">
        <v>1062</v>
      </c>
      <c r="P3" t="s">
        <v>1063</v>
      </c>
      <c r="Q3" t="s">
        <v>1061</v>
      </c>
      <c r="R3" t="str">
        <f>"SpEd Contracted "&amp;$B$2</f>
        <v>SpEd Contracted Pysical Therapist</v>
      </c>
      <c r="S3" s="162" t="str">
        <f>"Total Contracted "&amp;$B$2</f>
        <v>Total Contracted Pysical Therapist</v>
      </c>
    </row>
    <row r="4" spans="1:20" x14ac:dyDescent="0.25">
      <c r="A4" s="88" t="s">
        <v>7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7">
        <f>VLOOKUP(A4,'3121% SY'!A:M,'3121% SY'!$M$1,FALSE)</f>
        <v>0.1179</v>
      </c>
      <c r="M4" s="161">
        <f>ROUND(I4*$L4,3)+ROUND(J4*$L4,3)++ROUND(K4*$L4,3)</f>
        <v>0</v>
      </c>
      <c r="N4" s="33">
        <f>SUM(M4,B4:H4)</f>
        <v>0</v>
      </c>
      <c r="R4" s="161">
        <f>ROUND(Q4*$L4,3)</f>
        <v>0</v>
      </c>
      <c r="S4" s="33">
        <f>SUM(R4,O4:P4)</f>
        <v>0</v>
      </c>
    </row>
    <row r="5" spans="1:20" x14ac:dyDescent="0.25">
      <c r="A5" s="88" t="s">
        <v>40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7">
        <f>VLOOKUP(A5,'3121% SY'!A:M,'3121% SY'!$M$1,FALSE)</f>
        <v>0.1794</v>
      </c>
      <c r="M5" s="161">
        <f t="shared" ref="M5:M68" si="1">ROUND(I5*$L5,3)+ROUND(J5*$L5,3)++ROUND(K5*$L5,3)</f>
        <v>0</v>
      </c>
      <c r="N5" s="33">
        <f t="shared" ref="N5:N68" si="2">SUM(M5,B5:H5)</f>
        <v>0</v>
      </c>
      <c r="R5" s="161">
        <f t="shared" ref="R5:R68" si="3">ROUND(Q5*$L5,3)</f>
        <v>0</v>
      </c>
      <c r="S5" s="33">
        <f t="shared" ref="S5:S68" si="4">SUM(R5,O5:P5)</f>
        <v>0</v>
      </c>
    </row>
    <row r="6" spans="1:20" x14ac:dyDescent="0.25">
      <c r="A6" s="88" t="s">
        <v>61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0.57099999999999995</v>
      </c>
      <c r="J6">
        <v>0.14299999999999999</v>
      </c>
      <c r="K6">
        <v>0.28599999999999998</v>
      </c>
      <c r="L6" s="7">
        <f>VLOOKUP(A6,'3121% SY'!A:M,'3121% SY'!$M$1,FALSE)</f>
        <v>0.24629999999999996</v>
      </c>
      <c r="M6" s="161">
        <f t="shared" si="1"/>
        <v>0.246</v>
      </c>
      <c r="N6" s="33">
        <f t="shared" si="2"/>
        <v>0.246</v>
      </c>
      <c r="R6" s="161">
        <f t="shared" si="3"/>
        <v>0</v>
      </c>
      <c r="S6" s="33">
        <f t="shared" si="4"/>
        <v>0</v>
      </c>
    </row>
    <row r="7" spans="1:20" x14ac:dyDescent="0.25">
      <c r="A7" s="88" t="s">
        <v>78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0.17299999999999999</v>
      </c>
      <c r="J7">
        <v>4.7E-2</v>
      </c>
      <c r="K7">
        <v>0</v>
      </c>
      <c r="L7" s="7">
        <f>VLOOKUP(A7,'3121% SY'!A:M,'3121% SY'!$M$1,FALSE)</f>
        <v>0.17600000000000005</v>
      </c>
      <c r="M7" s="161">
        <f t="shared" si="1"/>
        <v>3.7999999999999999E-2</v>
      </c>
      <c r="N7" s="33">
        <f t="shared" si="2"/>
        <v>3.7999999999999999E-2</v>
      </c>
      <c r="R7" s="161">
        <f t="shared" si="3"/>
        <v>0</v>
      </c>
      <c r="S7" s="33">
        <f t="shared" si="4"/>
        <v>0</v>
      </c>
    </row>
    <row r="8" spans="1:20" x14ac:dyDescent="0.25">
      <c r="A8" s="88" t="s">
        <v>84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7">
        <f>VLOOKUP(A8,'3121% SY'!A:M,'3121% SY'!$M$1,FALSE)</f>
        <v>8.9999999999999969E-2</v>
      </c>
      <c r="M8" s="161">
        <f t="shared" si="1"/>
        <v>0</v>
      </c>
      <c r="N8" s="33">
        <f t="shared" si="2"/>
        <v>0</v>
      </c>
      <c r="R8" s="161">
        <f t="shared" si="3"/>
        <v>0</v>
      </c>
      <c r="S8" s="33">
        <f t="shared" si="4"/>
        <v>0</v>
      </c>
    </row>
    <row r="9" spans="1:20" x14ac:dyDescent="0.25">
      <c r="A9" s="88" t="s">
        <v>87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7">
        <f>VLOOKUP(A9,'3121% SY'!A:M,'3121% SY'!$M$1,FALSE)</f>
        <v>0.18340000000000001</v>
      </c>
      <c r="M9" s="161">
        <f t="shared" si="1"/>
        <v>0</v>
      </c>
      <c r="N9" s="33">
        <f t="shared" si="2"/>
        <v>0</v>
      </c>
      <c r="R9" s="161">
        <f t="shared" si="3"/>
        <v>0</v>
      </c>
      <c r="S9" s="33">
        <f t="shared" si="4"/>
        <v>0</v>
      </c>
    </row>
    <row r="10" spans="1:20" x14ac:dyDescent="0.25">
      <c r="A10" s="88" t="s">
        <v>89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7">
        <f>VLOOKUP(A10,'3121% SY'!A:M,'3121% SY'!$M$1,FALSE)</f>
        <v>0.22170000000000001</v>
      </c>
      <c r="M10" s="161">
        <f t="shared" si="1"/>
        <v>0</v>
      </c>
      <c r="N10" s="33">
        <f t="shared" si="2"/>
        <v>0</v>
      </c>
      <c r="R10" s="161">
        <f t="shared" si="3"/>
        <v>0</v>
      </c>
      <c r="S10" s="33">
        <f t="shared" si="4"/>
        <v>0</v>
      </c>
    </row>
    <row r="11" spans="1:20" x14ac:dyDescent="0.25">
      <c r="A11" s="88" t="s">
        <v>141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0.2</v>
      </c>
      <c r="J11">
        <v>0</v>
      </c>
      <c r="K11">
        <v>0</v>
      </c>
      <c r="L11" s="7">
        <f>VLOOKUP(A11,'3121% SY'!A:M,'3121% SY'!$M$1,FALSE)</f>
        <v>0.31479999999999997</v>
      </c>
      <c r="M11" s="161">
        <f t="shared" si="1"/>
        <v>6.3E-2</v>
      </c>
      <c r="N11" s="33">
        <f t="shared" si="2"/>
        <v>6.3E-2</v>
      </c>
      <c r="R11" s="161">
        <f t="shared" si="3"/>
        <v>0</v>
      </c>
      <c r="S11" s="33">
        <f t="shared" si="4"/>
        <v>0</v>
      </c>
    </row>
    <row r="12" spans="1:20" x14ac:dyDescent="0.25">
      <c r="A12" s="88" t="s">
        <v>145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0.25</v>
      </c>
      <c r="J12">
        <v>0</v>
      </c>
      <c r="K12">
        <v>0</v>
      </c>
      <c r="L12" s="7">
        <f>VLOOKUP(A12,'3121% SY'!A:M,'3121% SY'!$M$1,FALSE)</f>
        <v>0.28620000000000001</v>
      </c>
      <c r="M12" s="161">
        <f t="shared" si="1"/>
        <v>7.1999999999999995E-2</v>
      </c>
      <c r="N12" s="33">
        <f t="shared" si="2"/>
        <v>7.1999999999999995E-2</v>
      </c>
      <c r="R12" s="161">
        <f t="shared" si="3"/>
        <v>0</v>
      </c>
      <c r="S12" s="33">
        <f t="shared" si="4"/>
        <v>0</v>
      </c>
    </row>
    <row r="13" spans="1:20" x14ac:dyDescent="0.25">
      <c r="A13" s="88" t="s">
        <v>146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0.125</v>
      </c>
      <c r="J13">
        <v>0</v>
      </c>
      <c r="K13">
        <v>0</v>
      </c>
      <c r="L13" s="7">
        <f>VLOOKUP(A13,'3121% SY'!A:M,'3121% SY'!$M$1,FALSE)</f>
        <v>0.25719999999999998</v>
      </c>
      <c r="M13" s="161">
        <f t="shared" si="1"/>
        <v>3.2000000000000001E-2</v>
      </c>
      <c r="N13" s="33">
        <f t="shared" si="2"/>
        <v>3.2000000000000001E-2</v>
      </c>
      <c r="R13" s="161">
        <f t="shared" si="3"/>
        <v>0</v>
      </c>
      <c r="S13" s="33">
        <f t="shared" si="4"/>
        <v>0</v>
      </c>
    </row>
    <row r="14" spans="1:20" x14ac:dyDescent="0.25">
      <c r="A14" s="88" t="s">
        <v>162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7">
        <f>VLOOKUP(A14,'3121% SY'!A:M,'3121% SY'!$M$1,FALSE)</f>
        <v>0.19820000000000004</v>
      </c>
      <c r="M14" s="161">
        <f t="shared" si="1"/>
        <v>0</v>
      </c>
      <c r="N14" s="33">
        <f t="shared" si="2"/>
        <v>0</v>
      </c>
      <c r="R14" s="161">
        <f t="shared" si="3"/>
        <v>0</v>
      </c>
      <c r="S14" s="33">
        <f t="shared" si="4"/>
        <v>0</v>
      </c>
    </row>
    <row r="15" spans="1:20" x14ac:dyDescent="0.25">
      <c r="A15" s="88" t="s">
        <v>163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0.125</v>
      </c>
      <c r="J15">
        <v>0.125</v>
      </c>
      <c r="K15">
        <v>0</v>
      </c>
      <c r="L15" s="7">
        <f>VLOOKUP(A15,'3121% SY'!A:M,'3121% SY'!$M$1,FALSE)</f>
        <v>0.20989999999999998</v>
      </c>
      <c r="M15" s="161">
        <f t="shared" si="1"/>
        <v>5.1999999999999998E-2</v>
      </c>
      <c r="N15" s="33">
        <f t="shared" si="2"/>
        <v>5.1999999999999998E-2</v>
      </c>
      <c r="R15" s="161">
        <f t="shared" si="3"/>
        <v>0</v>
      </c>
      <c r="S15" s="33">
        <f t="shared" si="4"/>
        <v>0</v>
      </c>
    </row>
    <row r="16" spans="1:20" x14ac:dyDescent="0.25">
      <c r="A16" s="88" t="s">
        <v>176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0.25</v>
      </c>
      <c r="J16">
        <v>3.1E-2</v>
      </c>
      <c r="K16">
        <v>3.1E-2</v>
      </c>
      <c r="L16" s="7">
        <f>VLOOKUP(A16,'3121% SY'!A:M,'3121% SY'!$M$1,FALSE)</f>
        <v>0.29900000000000004</v>
      </c>
      <c r="M16" s="161">
        <f t="shared" si="1"/>
        <v>9.2999999999999985E-2</v>
      </c>
      <c r="N16" s="33">
        <f t="shared" si="2"/>
        <v>9.2999999999999985E-2</v>
      </c>
      <c r="R16" s="161">
        <f t="shared" si="3"/>
        <v>0</v>
      </c>
      <c r="S16" s="33">
        <f t="shared" si="4"/>
        <v>0</v>
      </c>
    </row>
    <row r="17" spans="1:19" x14ac:dyDescent="0.25">
      <c r="A17" s="88" t="s">
        <v>233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7">
        <f>VLOOKUP(A17,'3121% SY'!A:M,'3121% SY'!$M$1,FALSE)</f>
        <v>0.20020000000000004</v>
      </c>
      <c r="M17" s="161">
        <f t="shared" si="1"/>
        <v>0</v>
      </c>
      <c r="N17" s="33">
        <f t="shared" si="2"/>
        <v>0</v>
      </c>
      <c r="R17" s="161">
        <f t="shared" si="3"/>
        <v>0</v>
      </c>
      <c r="S17" s="33">
        <f t="shared" si="4"/>
        <v>0</v>
      </c>
    </row>
    <row r="18" spans="1:19" x14ac:dyDescent="0.25">
      <c r="A18" s="88" t="s">
        <v>250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7">
        <f>VLOOKUP(A18,'3121% SY'!A:M,'3121% SY'!$M$1,FALSE)</f>
        <v>0.15839999999999999</v>
      </c>
      <c r="M18" s="161">
        <f t="shared" si="1"/>
        <v>0</v>
      </c>
      <c r="N18" s="33">
        <f t="shared" si="2"/>
        <v>0</v>
      </c>
      <c r="R18" s="161">
        <f t="shared" si="3"/>
        <v>0</v>
      </c>
      <c r="S18" s="33">
        <f t="shared" si="4"/>
        <v>0</v>
      </c>
    </row>
    <row r="19" spans="1:19" x14ac:dyDescent="0.25">
      <c r="A19" s="88" t="s">
        <v>256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0.1</v>
      </c>
      <c r="J19">
        <v>0.1</v>
      </c>
      <c r="K19">
        <v>0.1</v>
      </c>
      <c r="L19" s="7">
        <f>VLOOKUP(A19,'3121% SY'!A:M,'3121% SY'!$M$1,FALSE)</f>
        <v>0.23140000000000005</v>
      </c>
      <c r="M19" s="161">
        <f t="shared" si="1"/>
        <v>6.9000000000000006E-2</v>
      </c>
      <c r="N19" s="33">
        <f t="shared" si="2"/>
        <v>6.9000000000000006E-2</v>
      </c>
      <c r="R19" s="161">
        <f t="shared" si="3"/>
        <v>0</v>
      </c>
      <c r="S19" s="33">
        <f t="shared" si="4"/>
        <v>0</v>
      </c>
    </row>
    <row r="20" spans="1:19" x14ac:dyDescent="0.25">
      <c r="A20" s="88" t="s">
        <v>259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7">
        <f>VLOOKUP(A20,'3121% SY'!A:M,'3121% SY'!$M$1,FALSE)</f>
        <v>0.24870000000000003</v>
      </c>
      <c r="M20" s="161">
        <f t="shared" si="1"/>
        <v>0</v>
      </c>
      <c r="N20" s="33">
        <f t="shared" si="2"/>
        <v>0</v>
      </c>
      <c r="R20" s="161">
        <f t="shared" si="3"/>
        <v>0</v>
      </c>
      <c r="S20" s="33">
        <f t="shared" si="4"/>
        <v>0</v>
      </c>
    </row>
    <row r="21" spans="1:19" x14ac:dyDescent="0.25">
      <c r="A21" s="88" t="s">
        <v>280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0.06</v>
      </c>
      <c r="J21">
        <v>0</v>
      </c>
      <c r="K21">
        <v>0.04</v>
      </c>
      <c r="L21" s="7">
        <f>VLOOKUP(A21,'3121% SY'!A:M,'3121% SY'!$M$1,FALSE)</f>
        <v>0.18340000000000001</v>
      </c>
      <c r="M21" s="161">
        <f t="shared" si="1"/>
        <v>1.7999999999999999E-2</v>
      </c>
      <c r="N21" s="33">
        <f t="shared" si="2"/>
        <v>1.7999999999999999E-2</v>
      </c>
      <c r="R21" s="161">
        <f t="shared" si="3"/>
        <v>0</v>
      </c>
      <c r="S21" s="33">
        <f t="shared" si="4"/>
        <v>0</v>
      </c>
    </row>
    <row r="22" spans="1:19" x14ac:dyDescent="0.25">
      <c r="A22" s="88" t="s">
        <v>284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7">
        <f>VLOOKUP(A22,'3121% SY'!A:M,'3121% SY'!$M$1,FALSE)</f>
        <v>0.14729999999999999</v>
      </c>
      <c r="M22" s="161">
        <f t="shared" si="1"/>
        <v>0</v>
      </c>
      <c r="N22" s="33">
        <f t="shared" si="2"/>
        <v>0</v>
      </c>
      <c r="R22" s="161">
        <f t="shared" si="3"/>
        <v>0</v>
      </c>
      <c r="S22" s="33">
        <f t="shared" si="4"/>
        <v>0</v>
      </c>
    </row>
    <row r="23" spans="1:19" x14ac:dyDescent="0.25">
      <c r="A23" s="88" t="s">
        <v>289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7">
        <f>VLOOKUP(A23,'3121% SY'!A:M,'3121% SY'!$M$1,FALSE)</f>
        <v>0.19010000000000005</v>
      </c>
      <c r="M23" s="161">
        <f t="shared" si="1"/>
        <v>0</v>
      </c>
      <c r="N23" s="33">
        <f t="shared" si="2"/>
        <v>0</v>
      </c>
      <c r="R23" s="161">
        <f t="shared" si="3"/>
        <v>0</v>
      </c>
      <c r="S23" s="33">
        <f t="shared" si="4"/>
        <v>0</v>
      </c>
    </row>
    <row r="24" spans="1:19" x14ac:dyDescent="0.25">
      <c r="A24" s="88" t="s">
        <v>290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7">
        <f>VLOOKUP(A24,'3121% SY'!A:M,'3121% SY'!$M$1,FALSE)</f>
        <v>0.15839999999999999</v>
      </c>
      <c r="M24" s="161">
        <f t="shared" si="1"/>
        <v>0</v>
      </c>
      <c r="N24" s="33">
        <f t="shared" si="2"/>
        <v>0</v>
      </c>
      <c r="R24" s="161">
        <f t="shared" si="3"/>
        <v>0</v>
      </c>
      <c r="S24" s="33">
        <f t="shared" si="4"/>
        <v>0</v>
      </c>
    </row>
    <row r="25" spans="1:19" x14ac:dyDescent="0.25">
      <c r="A25" s="88" t="s">
        <v>302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7">
        <f>VLOOKUP(A25,'3121% SY'!A:M,'3121% SY'!$M$1,FALSE)</f>
        <v>0.21989999999999998</v>
      </c>
      <c r="M25" s="161">
        <f t="shared" si="1"/>
        <v>0</v>
      </c>
      <c r="N25" s="33">
        <f t="shared" si="2"/>
        <v>0</v>
      </c>
      <c r="R25" s="161">
        <f t="shared" si="3"/>
        <v>0</v>
      </c>
      <c r="S25" s="33">
        <f t="shared" si="4"/>
        <v>0</v>
      </c>
    </row>
    <row r="26" spans="1:19" x14ac:dyDescent="0.25">
      <c r="A26" s="88" t="s">
        <v>1098</v>
      </c>
      <c r="L26" s="7" t="e">
        <f>VLOOKUP(A26,'3121% SY'!A:M,'3121% SY'!$M$1,FALSE)</f>
        <v>#N/A</v>
      </c>
      <c r="M26" s="161" t="e">
        <f t="shared" si="1"/>
        <v>#N/A</v>
      </c>
      <c r="N26" s="33" t="e">
        <f t="shared" si="2"/>
        <v>#N/A</v>
      </c>
      <c r="R26" s="161" t="e">
        <f t="shared" si="3"/>
        <v>#N/A</v>
      </c>
      <c r="S26" s="33" t="e">
        <f t="shared" si="4"/>
        <v>#N/A</v>
      </c>
    </row>
    <row r="27" spans="1:19" x14ac:dyDescent="0.25">
      <c r="A27" s="88" t="s">
        <v>753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1.8540000000000001</v>
      </c>
      <c r="J27">
        <v>0.44599999999999995</v>
      </c>
      <c r="K27">
        <v>0.45699999999999991</v>
      </c>
      <c r="L27" s="7" t="e">
        <f>VLOOKUP(A27,'3121% SY'!A:M,'3121% SY'!$M$1,FALSE)</f>
        <v>#N/A</v>
      </c>
      <c r="M27" s="161" t="e">
        <f t="shared" si="1"/>
        <v>#N/A</v>
      </c>
      <c r="N27" s="33" t="e">
        <f t="shared" si="2"/>
        <v>#N/A</v>
      </c>
      <c r="R27" s="161" t="e">
        <f t="shared" si="3"/>
        <v>#N/A</v>
      </c>
      <c r="S27" s="33" t="e">
        <f t="shared" si="4"/>
        <v>#N/A</v>
      </c>
    </row>
    <row r="28" spans="1:19" x14ac:dyDescent="0.25">
      <c r="L28" s="7" t="e">
        <f>VLOOKUP(A28,'3121% SY'!A:M,'3121% SY'!$M$1,FALSE)</f>
        <v>#N/A</v>
      </c>
      <c r="M28" s="161" t="e">
        <f t="shared" si="1"/>
        <v>#N/A</v>
      </c>
      <c r="N28" s="33" t="e">
        <f t="shared" si="2"/>
        <v>#N/A</v>
      </c>
      <c r="R28" s="161" t="e">
        <f t="shared" si="3"/>
        <v>#N/A</v>
      </c>
      <c r="S28" s="33" t="e">
        <f t="shared" si="4"/>
        <v>#N/A</v>
      </c>
    </row>
    <row r="29" spans="1:19" x14ac:dyDescent="0.25">
      <c r="L29" s="7" t="e">
        <f>VLOOKUP(A29,'3121% SY'!A:M,'3121% SY'!$M$1,FALSE)</f>
        <v>#N/A</v>
      </c>
      <c r="M29" s="161" t="e">
        <f t="shared" si="1"/>
        <v>#N/A</v>
      </c>
      <c r="N29" s="33" t="e">
        <f t="shared" si="2"/>
        <v>#N/A</v>
      </c>
      <c r="R29" s="161" t="e">
        <f t="shared" si="3"/>
        <v>#N/A</v>
      </c>
      <c r="S29" s="33" t="e">
        <f t="shared" si="4"/>
        <v>#N/A</v>
      </c>
    </row>
    <row r="30" spans="1:19" x14ac:dyDescent="0.25">
      <c r="L30" s="7" t="e">
        <f>VLOOKUP(A30,'3121% SY'!A:M,'3121% SY'!$M$1,FALSE)</f>
        <v>#N/A</v>
      </c>
      <c r="M30" s="161" t="e">
        <f t="shared" si="1"/>
        <v>#N/A</v>
      </c>
      <c r="N30" s="33" t="e">
        <f t="shared" si="2"/>
        <v>#N/A</v>
      </c>
      <c r="R30" s="161" t="e">
        <f t="shared" si="3"/>
        <v>#N/A</v>
      </c>
      <c r="S30" s="33" t="e">
        <f t="shared" si="4"/>
        <v>#N/A</v>
      </c>
    </row>
    <row r="31" spans="1:19" x14ac:dyDescent="0.25">
      <c r="L31" s="7" t="e">
        <f>VLOOKUP(A31,'3121% SY'!A:M,'3121% SY'!$M$1,FALSE)</f>
        <v>#N/A</v>
      </c>
      <c r="M31" s="161" t="e">
        <f t="shared" si="1"/>
        <v>#N/A</v>
      </c>
      <c r="N31" s="33" t="e">
        <f t="shared" si="2"/>
        <v>#N/A</v>
      </c>
      <c r="R31" s="161" t="e">
        <f t="shared" si="3"/>
        <v>#N/A</v>
      </c>
      <c r="S31" s="33" t="e">
        <f t="shared" si="4"/>
        <v>#N/A</v>
      </c>
    </row>
    <row r="32" spans="1:19" x14ac:dyDescent="0.25">
      <c r="L32" s="7" t="e">
        <f>VLOOKUP(A32,'3121% SY'!A:M,'3121% SY'!$M$1,FALSE)</f>
        <v>#N/A</v>
      </c>
      <c r="M32" s="161" t="e">
        <f t="shared" si="1"/>
        <v>#N/A</v>
      </c>
      <c r="N32" s="33" t="e">
        <f t="shared" si="2"/>
        <v>#N/A</v>
      </c>
      <c r="R32" s="161" t="e">
        <f t="shared" si="3"/>
        <v>#N/A</v>
      </c>
      <c r="S32" s="33" t="e">
        <f t="shared" si="4"/>
        <v>#N/A</v>
      </c>
    </row>
    <row r="33" spans="12:19" x14ac:dyDescent="0.25">
      <c r="L33" s="7" t="e">
        <f>VLOOKUP(A33,'3121% SY'!A:M,'3121% SY'!$M$1,FALSE)</f>
        <v>#N/A</v>
      </c>
      <c r="M33" s="161" t="e">
        <f t="shared" si="1"/>
        <v>#N/A</v>
      </c>
      <c r="N33" s="33" t="e">
        <f t="shared" si="2"/>
        <v>#N/A</v>
      </c>
      <c r="R33" s="161" t="e">
        <f t="shared" si="3"/>
        <v>#N/A</v>
      </c>
      <c r="S33" s="33" t="e">
        <f t="shared" si="4"/>
        <v>#N/A</v>
      </c>
    </row>
    <row r="34" spans="12:19" x14ac:dyDescent="0.25">
      <c r="L34" s="7" t="e">
        <f>VLOOKUP(A34,'3121% SY'!A:M,'3121% SY'!$M$1,FALSE)</f>
        <v>#N/A</v>
      </c>
      <c r="M34" s="161" t="e">
        <f t="shared" si="1"/>
        <v>#N/A</v>
      </c>
      <c r="N34" s="33" t="e">
        <f t="shared" si="2"/>
        <v>#N/A</v>
      </c>
      <c r="R34" s="161" t="e">
        <f t="shared" si="3"/>
        <v>#N/A</v>
      </c>
      <c r="S34" s="33" t="e">
        <f t="shared" si="4"/>
        <v>#N/A</v>
      </c>
    </row>
    <row r="35" spans="12:19" x14ac:dyDescent="0.25">
      <c r="L35" s="7" t="e">
        <f>VLOOKUP(A35,'3121% SY'!A:M,'3121% SY'!$M$1,FALSE)</f>
        <v>#N/A</v>
      </c>
      <c r="M35" s="161" t="e">
        <f t="shared" si="1"/>
        <v>#N/A</v>
      </c>
      <c r="N35" s="33" t="e">
        <f t="shared" si="2"/>
        <v>#N/A</v>
      </c>
      <c r="R35" s="161" t="e">
        <f t="shared" si="3"/>
        <v>#N/A</v>
      </c>
      <c r="S35" s="33" t="e">
        <f t="shared" si="4"/>
        <v>#N/A</v>
      </c>
    </row>
    <row r="36" spans="12:19" x14ac:dyDescent="0.25">
      <c r="L36" s="7" t="e">
        <f>VLOOKUP(A36,'3121% SY'!A:M,'3121% SY'!$M$1,FALSE)</f>
        <v>#N/A</v>
      </c>
      <c r="M36" s="161" t="e">
        <f t="shared" si="1"/>
        <v>#N/A</v>
      </c>
      <c r="N36" s="33" t="e">
        <f t="shared" si="2"/>
        <v>#N/A</v>
      </c>
      <c r="R36" s="161" t="e">
        <f t="shared" si="3"/>
        <v>#N/A</v>
      </c>
      <c r="S36" s="33" t="e">
        <f t="shared" si="4"/>
        <v>#N/A</v>
      </c>
    </row>
    <row r="37" spans="12:19" x14ac:dyDescent="0.25">
      <c r="L37" s="7" t="e">
        <f>VLOOKUP(A37,'3121% SY'!A:M,'3121% SY'!$M$1,FALSE)</f>
        <v>#N/A</v>
      </c>
      <c r="M37" s="161" t="e">
        <f t="shared" si="1"/>
        <v>#N/A</v>
      </c>
      <c r="N37" s="33" t="e">
        <f t="shared" si="2"/>
        <v>#N/A</v>
      </c>
      <c r="R37" s="161" t="e">
        <f t="shared" si="3"/>
        <v>#N/A</v>
      </c>
      <c r="S37" s="33" t="e">
        <f t="shared" si="4"/>
        <v>#N/A</v>
      </c>
    </row>
    <row r="38" spans="12:19" x14ac:dyDescent="0.25">
      <c r="L38" s="7" t="e">
        <f>VLOOKUP(A38,'3121% SY'!A:M,'3121% SY'!$M$1,FALSE)</f>
        <v>#N/A</v>
      </c>
      <c r="M38" s="161" t="e">
        <f t="shared" si="1"/>
        <v>#N/A</v>
      </c>
      <c r="N38" s="33" t="e">
        <f t="shared" si="2"/>
        <v>#N/A</v>
      </c>
      <c r="R38" s="161" t="e">
        <f t="shared" si="3"/>
        <v>#N/A</v>
      </c>
      <c r="S38" s="33" t="e">
        <f t="shared" si="4"/>
        <v>#N/A</v>
      </c>
    </row>
    <row r="39" spans="12:19" x14ac:dyDescent="0.25">
      <c r="L39" s="7" t="e">
        <f>VLOOKUP(A39,'3121% SY'!A:M,'3121% SY'!$M$1,FALSE)</f>
        <v>#N/A</v>
      </c>
      <c r="M39" s="161" t="e">
        <f t="shared" si="1"/>
        <v>#N/A</v>
      </c>
      <c r="N39" s="33" t="e">
        <f t="shared" si="2"/>
        <v>#N/A</v>
      </c>
      <c r="R39" s="161" t="e">
        <f t="shared" si="3"/>
        <v>#N/A</v>
      </c>
      <c r="S39" s="33" t="e">
        <f t="shared" si="4"/>
        <v>#N/A</v>
      </c>
    </row>
    <row r="40" spans="12:19" x14ac:dyDescent="0.25">
      <c r="L40" s="7" t="e">
        <f>VLOOKUP(A40,'3121% SY'!A:M,'3121% SY'!$M$1,FALSE)</f>
        <v>#N/A</v>
      </c>
      <c r="M40" s="161" t="e">
        <f t="shared" si="1"/>
        <v>#N/A</v>
      </c>
      <c r="N40" s="33" t="e">
        <f t="shared" si="2"/>
        <v>#N/A</v>
      </c>
      <c r="R40" s="161" t="e">
        <f t="shared" si="3"/>
        <v>#N/A</v>
      </c>
      <c r="S40" s="33" t="e">
        <f t="shared" si="4"/>
        <v>#N/A</v>
      </c>
    </row>
    <row r="41" spans="12:19" x14ac:dyDescent="0.25">
      <c r="L41" s="7" t="e">
        <f>VLOOKUP(A41,'3121% SY'!A:M,'3121% SY'!$M$1,FALSE)</f>
        <v>#N/A</v>
      </c>
      <c r="M41" s="161" t="e">
        <f t="shared" si="1"/>
        <v>#N/A</v>
      </c>
      <c r="N41" s="33" t="e">
        <f t="shared" si="2"/>
        <v>#N/A</v>
      </c>
      <c r="R41" s="161" t="e">
        <f t="shared" si="3"/>
        <v>#N/A</v>
      </c>
      <c r="S41" s="33" t="e">
        <f t="shared" si="4"/>
        <v>#N/A</v>
      </c>
    </row>
    <row r="42" spans="12:19" x14ac:dyDescent="0.25">
      <c r="L42" s="7" t="e">
        <f>VLOOKUP(A42,'3121% SY'!A:M,'3121% SY'!$M$1,FALSE)</f>
        <v>#N/A</v>
      </c>
      <c r="M42" s="161" t="e">
        <f t="shared" si="1"/>
        <v>#N/A</v>
      </c>
      <c r="N42" s="33" t="e">
        <f t="shared" si="2"/>
        <v>#N/A</v>
      </c>
      <c r="R42" s="161" t="e">
        <f t="shared" si="3"/>
        <v>#N/A</v>
      </c>
      <c r="S42" s="33" t="e">
        <f t="shared" si="4"/>
        <v>#N/A</v>
      </c>
    </row>
    <row r="43" spans="12:19" x14ac:dyDescent="0.25">
      <c r="L43" s="7" t="e">
        <f>VLOOKUP(A43,'3121% SY'!A:M,'3121% SY'!$M$1,FALSE)</f>
        <v>#N/A</v>
      </c>
      <c r="M43" s="161" t="e">
        <f t="shared" si="1"/>
        <v>#N/A</v>
      </c>
      <c r="N43" s="33" t="e">
        <f t="shared" si="2"/>
        <v>#N/A</v>
      </c>
      <c r="R43" s="161" t="e">
        <f t="shared" si="3"/>
        <v>#N/A</v>
      </c>
      <c r="S43" s="33" t="e">
        <f t="shared" si="4"/>
        <v>#N/A</v>
      </c>
    </row>
    <row r="44" spans="12:19" x14ac:dyDescent="0.25">
      <c r="L44" s="7" t="e">
        <f>VLOOKUP(A44,'3121% SY'!A:M,'3121% SY'!$M$1,FALSE)</f>
        <v>#N/A</v>
      </c>
      <c r="M44" s="161" t="e">
        <f t="shared" si="1"/>
        <v>#N/A</v>
      </c>
      <c r="N44" s="33" t="e">
        <f t="shared" si="2"/>
        <v>#N/A</v>
      </c>
      <c r="R44" s="161" t="e">
        <f t="shared" si="3"/>
        <v>#N/A</v>
      </c>
      <c r="S44" s="33" t="e">
        <f t="shared" si="4"/>
        <v>#N/A</v>
      </c>
    </row>
    <row r="45" spans="12:19" x14ac:dyDescent="0.25">
      <c r="L45" s="7" t="e">
        <f>VLOOKUP(A45,'3121% SY'!A:M,'3121% SY'!$M$1,FALSE)</f>
        <v>#N/A</v>
      </c>
      <c r="M45" s="161" t="e">
        <f t="shared" si="1"/>
        <v>#N/A</v>
      </c>
      <c r="N45" s="33" t="e">
        <f t="shared" si="2"/>
        <v>#N/A</v>
      </c>
      <c r="R45" s="161" t="e">
        <f t="shared" si="3"/>
        <v>#N/A</v>
      </c>
      <c r="S45" s="33" t="e">
        <f t="shared" si="4"/>
        <v>#N/A</v>
      </c>
    </row>
    <row r="46" spans="12:19" x14ac:dyDescent="0.25">
      <c r="L46" s="7" t="e">
        <f>VLOOKUP(A46,'3121% SY'!A:M,'3121% SY'!$M$1,FALSE)</f>
        <v>#N/A</v>
      </c>
      <c r="M46" s="161" t="e">
        <f t="shared" si="1"/>
        <v>#N/A</v>
      </c>
      <c r="N46" s="33" t="e">
        <f t="shared" si="2"/>
        <v>#N/A</v>
      </c>
      <c r="R46" s="161" t="e">
        <f t="shared" si="3"/>
        <v>#N/A</v>
      </c>
      <c r="S46" s="33" t="e">
        <f t="shared" si="4"/>
        <v>#N/A</v>
      </c>
    </row>
    <row r="47" spans="12:19" x14ac:dyDescent="0.25">
      <c r="L47" s="7" t="e">
        <f>VLOOKUP(A47,'3121% SY'!A:M,'3121% SY'!$M$1,FALSE)</f>
        <v>#N/A</v>
      </c>
      <c r="M47" s="161" t="e">
        <f t="shared" si="1"/>
        <v>#N/A</v>
      </c>
      <c r="N47" s="33" t="e">
        <f t="shared" si="2"/>
        <v>#N/A</v>
      </c>
      <c r="R47" s="161" t="e">
        <f t="shared" si="3"/>
        <v>#N/A</v>
      </c>
      <c r="S47" s="33" t="e">
        <f t="shared" si="4"/>
        <v>#N/A</v>
      </c>
    </row>
    <row r="48" spans="12:19" x14ac:dyDescent="0.25">
      <c r="L48" s="7" t="e">
        <f>VLOOKUP(A48,'3121% SY'!A:M,'3121% SY'!$M$1,FALSE)</f>
        <v>#N/A</v>
      </c>
      <c r="M48" s="161" t="e">
        <f t="shared" si="1"/>
        <v>#N/A</v>
      </c>
      <c r="N48" s="33" t="e">
        <f t="shared" si="2"/>
        <v>#N/A</v>
      </c>
      <c r="R48" s="161" t="e">
        <f t="shared" si="3"/>
        <v>#N/A</v>
      </c>
      <c r="S48" s="33" t="e">
        <f t="shared" si="4"/>
        <v>#N/A</v>
      </c>
    </row>
    <row r="49" spans="12:19" x14ac:dyDescent="0.25">
      <c r="L49" s="7" t="e">
        <f>VLOOKUP(A49,'3121% SY'!A:M,'3121% SY'!$M$1,FALSE)</f>
        <v>#N/A</v>
      </c>
      <c r="M49" s="161" t="e">
        <f t="shared" si="1"/>
        <v>#N/A</v>
      </c>
      <c r="N49" s="33" t="e">
        <f t="shared" si="2"/>
        <v>#N/A</v>
      </c>
      <c r="R49" s="161" t="e">
        <f t="shared" si="3"/>
        <v>#N/A</v>
      </c>
      <c r="S49" s="33" t="e">
        <f t="shared" si="4"/>
        <v>#N/A</v>
      </c>
    </row>
    <row r="50" spans="12:19" x14ac:dyDescent="0.25">
      <c r="L50" s="7" t="e">
        <f>VLOOKUP(A50,'3121% SY'!A:M,'3121% SY'!$M$1,FALSE)</f>
        <v>#N/A</v>
      </c>
      <c r="M50" s="161" t="e">
        <f t="shared" si="1"/>
        <v>#N/A</v>
      </c>
      <c r="N50" s="33" t="e">
        <f t="shared" si="2"/>
        <v>#N/A</v>
      </c>
      <c r="R50" s="161" t="e">
        <f t="shared" si="3"/>
        <v>#N/A</v>
      </c>
      <c r="S50" s="33" t="e">
        <f t="shared" si="4"/>
        <v>#N/A</v>
      </c>
    </row>
    <row r="51" spans="12:19" x14ac:dyDescent="0.25">
      <c r="L51" s="7" t="e">
        <f>VLOOKUP(A51,'3121% SY'!A:M,'3121% SY'!$M$1,FALSE)</f>
        <v>#N/A</v>
      </c>
      <c r="M51" s="161" t="e">
        <f t="shared" si="1"/>
        <v>#N/A</v>
      </c>
      <c r="N51" s="33" t="e">
        <f t="shared" si="2"/>
        <v>#N/A</v>
      </c>
      <c r="R51" s="161" t="e">
        <f t="shared" si="3"/>
        <v>#N/A</v>
      </c>
      <c r="S51" s="33" t="e">
        <f t="shared" si="4"/>
        <v>#N/A</v>
      </c>
    </row>
    <row r="52" spans="12:19" x14ac:dyDescent="0.25">
      <c r="L52" s="7" t="e">
        <f>VLOOKUP(A52,'3121% SY'!A:M,'3121% SY'!$M$1,FALSE)</f>
        <v>#N/A</v>
      </c>
      <c r="M52" s="161" t="e">
        <f t="shared" si="1"/>
        <v>#N/A</v>
      </c>
      <c r="N52" s="33" t="e">
        <f t="shared" si="2"/>
        <v>#N/A</v>
      </c>
      <c r="R52" s="161" t="e">
        <f t="shared" si="3"/>
        <v>#N/A</v>
      </c>
      <c r="S52" s="33" t="e">
        <f t="shared" si="4"/>
        <v>#N/A</v>
      </c>
    </row>
    <row r="53" spans="12:19" x14ac:dyDescent="0.25">
      <c r="L53" s="7" t="e">
        <f>VLOOKUP(A53,'3121% SY'!A:M,'3121% SY'!$M$1,FALSE)</f>
        <v>#N/A</v>
      </c>
      <c r="M53" s="161" t="e">
        <f t="shared" si="1"/>
        <v>#N/A</v>
      </c>
      <c r="N53" s="33" t="e">
        <f t="shared" si="2"/>
        <v>#N/A</v>
      </c>
      <c r="R53" s="161" t="e">
        <f t="shared" si="3"/>
        <v>#N/A</v>
      </c>
      <c r="S53" s="33" t="e">
        <f t="shared" si="4"/>
        <v>#N/A</v>
      </c>
    </row>
    <row r="54" spans="12:19" x14ac:dyDescent="0.25">
      <c r="L54" s="7" t="e">
        <f>VLOOKUP(A54,'3121% SY'!A:M,'3121% SY'!$M$1,FALSE)</f>
        <v>#N/A</v>
      </c>
      <c r="M54" s="161" t="e">
        <f t="shared" si="1"/>
        <v>#N/A</v>
      </c>
      <c r="N54" s="33" t="e">
        <f t="shared" si="2"/>
        <v>#N/A</v>
      </c>
      <c r="R54" s="161" t="e">
        <f t="shared" si="3"/>
        <v>#N/A</v>
      </c>
      <c r="S54" s="33" t="e">
        <f t="shared" si="4"/>
        <v>#N/A</v>
      </c>
    </row>
    <row r="55" spans="12:19" x14ac:dyDescent="0.25">
      <c r="L55" s="7" t="e">
        <f>VLOOKUP(A55,'3121% SY'!A:M,'3121% SY'!$M$1,FALSE)</f>
        <v>#N/A</v>
      </c>
      <c r="M55" s="161" t="e">
        <f t="shared" si="1"/>
        <v>#N/A</v>
      </c>
      <c r="N55" s="33" t="e">
        <f t="shared" si="2"/>
        <v>#N/A</v>
      </c>
      <c r="R55" s="161" t="e">
        <f t="shared" si="3"/>
        <v>#N/A</v>
      </c>
      <c r="S55" s="33" t="e">
        <f t="shared" si="4"/>
        <v>#N/A</v>
      </c>
    </row>
    <row r="56" spans="12:19" x14ac:dyDescent="0.25">
      <c r="L56" s="7" t="e">
        <f>VLOOKUP(A56,'3121% SY'!A:M,'3121% SY'!$M$1,FALSE)</f>
        <v>#N/A</v>
      </c>
      <c r="M56" s="161" t="e">
        <f t="shared" si="1"/>
        <v>#N/A</v>
      </c>
      <c r="N56" s="33" t="e">
        <f t="shared" si="2"/>
        <v>#N/A</v>
      </c>
      <c r="R56" s="161" t="e">
        <f t="shared" si="3"/>
        <v>#N/A</v>
      </c>
      <c r="S56" s="33" t="e">
        <f t="shared" si="4"/>
        <v>#N/A</v>
      </c>
    </row>
    <row r="57" spans="12:19" x14ac:dyDescent="0.25">
      <c r="L57" s="7" t="e">
        <f>VLOOKUP(A57,'3121% SY'!A:M,'3121% SY'!$M$1,FALSE)</f>
        <v>#N/A</v>
      </c>
      <c r="M57" s="161" t="e">
        <f t="shared" si="1"/>
        <v>#N/A</v>
      </c>
      <c r="N57" s="33" t="e">
        <f t="shared" si="2"/>
        <v>#N/A</v>
      </c>
      <c r="R57" s="161" t="e">
        <f t="shared" si="3"/>
        <v>#N/A</v>
      </c>
      <c r="S57" s="33" t="e">
        <f t="shared" si="4"/>
        <v>#N/A</v>
      </c>
    </row>
    <row r="58" spans="12:19" x14ac:dyDescent="0.25">
      <c r="L58" s="7" t="e">
        <f>VLOOKUP(A58,'3121% SY'!A:M,'3121% SY'!$M$1,FALSE)</f>
        <v>#N/A</v>
      </c>
      <c r="M58" s="161" t="e">
        <f t="shared" si="1"/>
        <v>#N/A</v>
      </c>
      <c r="N58" s="33" t="e">
        <f t="shared" si="2"/>
        <v>#N/A</v>
      </c>
      <c r="R58" s="161" t="e">
        <f t="shared" si="3"/>
        <v>#N/A</v>
      </c>
      <c r="S58" s="33" t="e">
        <f t="shared" si="4"/>
        <v>#N/A</v>
      </c>
    </row>
    <row r="59" spans="12:19" x14ac:dyDescent="0.25">
      <c r="L59" s="7" t="e">
        <f>VLOOKUP(A59,'3121% SY'!A:M,'3121% SY'!$M$1,FALSE)</f>
        <v>#N/A</v>
      </c>
      <c r="M59" s="161" t="e">
        <f t="shared" si="1"/>
        <v>#N/A</v>
      </c>
      <c r="N59" s="33" t="e">
        <f t="shared" si="2"/>
        <v>#N/A</v>
      </c>
      <c r="R59" s="161" t="e">
        <f t="shared" si="3"/>
        <v>#N/A</v>
      </c>
      <c r="S59" s="33" t="e">
        <f t="shared" si="4"/>
        <v>#N/A</v>
      </c>
    </row>
    <row r="60" spans="12:19" x14ac:dyDescent="0.25">
      <c r="L60" s="7" t="e">
        <f>VLOOKUP(A60,'3121% SY'!A:M,'3121% SY'!$M$1,FALSE)</f>
        <v>#N/A</v>
      </c>
      <c r="M60" s="161" t="e">
        <f t="shared" si="1"/>
        <v>#N/A</v>
      </c>
      <c r="N60" s="33" t="e">
        <f t="shared" si="2"/>
        <v>#N/A</v>
      </c>
      <c r="R60" s="161" t="e">
        <f t="shared" si="3"/>
        <v>#N/A</v>
      </c>
      <c r="S60" s="33" t="e">
        <f t="shared" si="4"/>
        <v>#N/A</v>
      </c>
    </row>
    <row r="61" spans="12:19" x14ac:dyDescent="0.25">
      <c r="L61" s="7" t="e">
        <f>VLOOKUP(A61,'3121% SY'!A:M,'3121% SY'!$M$1,FALSE)</f>
        <v>#N/A</v>
      </c>
      <c r="M61" s="161" t="e">
        <f t="shared" si="1"/>
        <v>#N/A</v>
      </c>
      <c r="N61" s="33" t="e">
        <f t="shared" si="2"/>
        <v>#N/A</v>
      </c>
      <c r="R61" s="161" t="e">
        <f t="shared" si="3"/>
        <v>#N/A</v>
      </c>
      <c r="S61" s="33" t="e">
        <f t="shared" si="4"/>
        <v>#N/A</v>
      </c>
    </row>
    <row r="62" spans="12:19" x14ac:dyDescent="0.25">
      <c r="L62" s="7" t="e">
        <f>VLOOKUP(A62,'3121% SY'!A:M,'3121% SY'!$M$1,FALSE)</f>
        <v>#N/A</v>
      </c>
      <c r="M62" s="161" t="e">
        <f t="shared" si="1"/>
        <v>#N/A</v>
      </c>
      <c r="N62" s="33" t="e">
        <f t="shared" si="2"/>
        <v>#N/A</v>
      </c>
      <c r="R62" s="161" t="e">
        <f t="shared" si="3"/>
        <v>#N/A</v>
      </c>
      <c r="S62" s="33" t="e">
        <f t="shared" si="4"/>
        <v>#N/A</v>
      </c>
    </row>
    <row r="63" spans="12:19" x14ac:dyDescent="0.25">
      <c r="L63" s="7" t="e">
        <f>VLOOKUP(A63,'3121% SY'!A:M,'3121% SY'!$M$1,FALSE)</f>
        <v>#N/A</v>
      </c>
      <c r="M63" s="161" t="e">
        <f t="shared" si="1"/>
        <v>#N/A</v>
      </c>
      <c r="N63" s="33" t="e">
        <f t="shared" si="2"/>
        <v>#N/A</v>
      </c>
      <c r="R63" s="161" t="e">
        <f t="shared" si="3"/>
        <v>#N/A</v>
      </c>
      <c r="S63" s="33" t="e">
        <f t="shared" si="4"/>
        <v>#N/A</v>
      </c>
    </row>
    <row r="64" spans="12:19" x14ac:dyDescent="0.25">
      <c r="L64" s="7" t="e">
        <f>VLOOKUP(A64,'3121% SY'!A:M,'3121% SY'!$M$1,FALSE)</f>
        <v>#N/A</v>
      </c>
      <c r="M64" s="161" t="e">
        <f t="shared" si="1"/>
        <v>#N/A</v>
      </c>
      <c r="N64" s="33" t="e">
        <f t="shared" si="2"/>
        <v>#N/A</v>
      </c>
      <c r="R64" s="161" t="e">
        <f t="shared" si="3"/>
        <v>#N/A</v>
      </c>
      <c r="S64" s="33" t="e">
        <f t="shared" si="4"/>
        <v>#N/A</v>
      </c>
    </row>
    <row r="65" spans="12:19" x14ac:dyDescent="0.25">
      <c r="L65" s="7" t="e">
        <f>VLOOKUP(A65,'3121% SY'!A:M,'3121% SY'!$M$1,FALSE)</f>
        <v>#N/A</v>
      </c>
      <c r="M65" s="161" t="e">
        <f t="shared" si="1"/>
        <v>#N/A</v>
      </c>
      <c r="N65" s="33" t="e">
        <f t="shared" si="2"/>
        <v>#N/A</v>
      </c>
      <c r="R65" s="161" t="e">
        <f t="shared" si="3"/>
        <v>#N/A</v>
      </c>
      <c r="S65" s="33" t="e">
        <f t="shared" si="4"/>
        <v>#N/A</v>
      </c>
    </row>
    <row r="66" spans="12:19" x14ac:dyDescent="0.25">
      <c r="L66" s="7" t="e">
        <f>VLOOKUP(A66,'3121% SY'!A:M,'3121% SY'!$M$1,FALSE)</f>
        <v>#N/A</v>
      </c>
      <c r="M66" s="161" t="e">
        <f t="shared" si="1"/>
        <v>#N/A</v>
      </c>
      <c r="N66" s="33" t="e">
        <f t="shared" si="2"/>
        <v>#N/A</v>
      </c>
      <c r="R66" s="161" t="e">
        <f t="shared" si="3"/>
        <v>#N/A</v>
      </c>
      <c r="S66" s="33" t="e">
        <f t="shared" si="4"/>
        <v>#N/A</v>
      </c>
    </row>
    <row r="67" spans="12:19" x14ac:dyDescent="0.25">
      <c r="L67" s="7" t="e">
        <f>VLOOKUP(A67,'3121% SY'!A:M,'3121% SY'!$M$1,FALSE)</f>
        <v>#N/A</v>
      </c>
      <c r="M67" s="161" t="e">
        <f t="shared" si="1"/>
        <v>#N/A</v>
      </c>
      <c r="N67" s="33" t="e">
        <f t="shared" si="2"/>
        <v>#N/A</v>
      </c>
      <c r="R67" s="161" t="e">
        <f t="shared" si="3"/>
        <v>#N/A</v>
      </c>
      <c r="S67" s="33" t="e">
        <f t="shared" si="4"/>
        <v>#N/A</v>
      </c>
    </row>
    <row r="68" spans="12:19" x14ac:dyDescent="0.25">
      <c r="L68" s="7" t="e">
        <f>VLOOKUP(A68,'3121% SY'!A:M,'3121% SY'!$M$1,FALSE)</f>
        <v>#N/A</v>
      </c>
      <c r="M68" s="161" t="e">
        <f t="shared" si="1"/>
        <v>#N/A</v>
      </c>
      <c r="N68" s="33" t="e">
        <f t="shared" si="2"/>
        <v>#N/A</v>
      </c>
      <c r="R68" s="161" t="e">
        <f t="shared" si="3"/>
        <v>#N/A</v>
      </c>
      <c r="S68" s="33" t="e">
        <f t="shared" si="4"/>
        <v>#N/A</v>
      </c>
    </row>
    <row r="69" spans="12:19" x14ac:dyDescent="0.25">
      <c r="L69" s="7" t="e">
        <f>VLOOKUP(A69,'3121% SY'!A:M,'3121% SY'!$M$1,FALSE)</f>
        <v>#N/A</v>
      </c>
      <c r="M69" s="161" t="e">
        <f t="shared" ref="M69:M131" si="5">ROUND(I69*$L69,3)+ROUND(J69*$L69,3)++ROUND(K69*$L69,3)</f>
        <v>#N/A</v>
      </c>
      <c r="N69" s="33" t="e">
        <f t="shared" ref="N69:N131" si="6">SUM(M69,B69:H69)</f>
        <v>#N/A</v>
      </c>
      <c r="R69" s="161" t="e">
        <f t="shared" ref="R69:R122" si="7">ROUND(Q69*$L69,3)</f>
        <v>#N/A</v>
      </c>
      <c r="S69" s="33" t="e">
        <f t="shared" ref="S69:S122" si="8">SUM(R69,O69:P69)</f>
        <v>#N/A</v>
      </c>
    </row>
    <row r="70" spans="12:19" x14ac:dyDescent="0.25">
      <c r="L70" s="7" t="e">
        <f>VLOOKUP(A70,'3121% SY'!A:M,'3121% SY'!$M$1,FALSE)</f>
        <v>#N/A</v>
      </c>
      <c r="M70" s="161" t="e">
        <f t="shared" si="5"/>
        <v>#N/A</v>
      </c>
      <c r="N70" s="33" t="e">
        <f t="shared" si="6"/>
        <v>#N/A</v>
      </c>
      <c r="R70" s="161" t="e">
        <f t="shared" si="7"/>
        <v>#N/A</v>
      </c>
      <c r="S70" s="33" t="e">
        <f t="shared" si="8"/>
        <v>#N/A</v>
      </c>
    </row>
    <row r="71" spans="12:19" x14ac:dyDescent="0.25">
      <c r="L71" s="7" t="e">
        <f>VLOOKUP(A71,'3121% SY'!A:M,'3121% SY'!$M$1,FALSE)</f>
        <v>#N/A</v>
      </c>
      <c r="M71" s="161" t="e">
        <f t="shared" si="5"/>
        <v>#N/A</v>
      </c>
      <c r="N71" s="33" t="e">
        <f t="shared" si="6"/>
        <v>#N/A</v>
      </c>
      <c r="R71" s="161" t="e">
        <f t="shared" si="7"/>
        <v>#N/A</v>
      </c>
      <c r="S71" s="33" t="e">
        <f t="shared" si="8"/>
        <v>#N/A</v>
      </c>
    </row>
    <row r="72" spans="12:19" x14ac:dyDescent="0.25">
      <c r="L72" s="7" t="e">
        <f>VLOOKUP(A72,'3121% SY'!A:M,'3121% SY'!$M$1,FALSE)</f>
        <v>#N/A</v>
      </c>
      <c r="M72" s="161" t="e">
        <f t="shared" si="5"/>
        <v>#N/A</v>
      </c>
      <c r="N72" s="33" t="e">
        <f t="shared" si="6"/>
        <v>#N/A</v>
      </c>
      <c r="R72" s="161" t="e">
        <f t="shared" si="7"/>
        <v>#N/A</v>
      </c>
      <c r="S72" s="33" t="e">
        <f t="shared" si="8"/>
        <v>#N/A</v>
      </c>
    </row>
    <row r="73" spans="12:19" x14ac:dyDescent="0.25">
      <c r="L73" s="7" t="e">
        <f>VLOOKUP(A73,'3121% SY'!A:M,'3121% SY'!$M$1,FALSE)</f>
        <v>#N/A</v>
      </c>
      <c r="M73" s="161" t="e">
        <f t="shared" si="5"/>
        <v>#N/A</v>
      </c>
      <c r="N73" s="33" t="e">
        <f t="shared" si="6"/>
        <v>#N/A</v>
      </c>
      <c r="R73" s="161" t="e">
        <f t="shared" si="7"/>
        <v>#N/A</v>
      </c>
      <c r="S73" s="33" t="e">
        <f t="shared" si="8"/>
        <v>#N/A</v>
      </c>
    </row>
    <row r="74" spans="12:19" x14ac:dyDescent="0.25">
      <c r="L74" s="7" t="e">
        <f>VLOOKUP(A74,'3121% SY'!A:M,'3121% SY'!$M$1,FALSE)</f>
        <v>#N/A</v>
      </c>
      <c r="M74" s="161" t="e">
        <f t="shared" si="5"/>
        <v>#N/A</v>
      </c>
      <c r="N74" s="33" t="e">
        <f t="shared" si="6"/>
        <v>#N/A</v>
      </c>
      <c r="R74" s="161" t="e">
        <f t="shared" si="7"/>
        <v>#N/A</v>
      </c>
      <c r="S74" s="33" t="e">
        <f t="shared" si="8"/>
        <v>#N/A</v>
      </c>
    </row>
    <row r="75" spans="12:19" x14ac:dyDescent="0.25">
      <c r="L75" s="7" t="e">
        <f>VLOOKUP(A75,'3121% SY'!A:M,'3121% SY'!$M$1,FALSE)</f>
        <v>#N/A</v>
      </c>
      <c r="M75" s="161" t="e">
        <f t="shared" si="5"/>
        <v>#N/A</v>
      </c>
      <c r="N75" s="33" t="e">
        <f t="shared" si="6"/>
        <v>#N/A</v>
      </c>
      <c r="R75" s="161" t="e">
        <f t="shared" si="7"/>
        <v>#N/A</v>
      </c>
      <c r="S75" s="33" t="e">
        <f t="shared" si="8"/>
        <v>#N/A</v>
      </c>
    </row>
    <row r="76" spans="12:19" x14ac:dyDescent="0.25">
      <c r="L76" s="7" t="e">
        <f>VLOOKUP(A76,'3121% SY'!A:M,'3121% SY'!$M$1,FALSE)</f>
        <v>#N/A</v>
      </c>
      <c r="M76" s="161" t="e">
        <f t="shared" si="5"/>
        <v>#N/A</v>
      </c>
      <c r="N76" s="33" t="e">
        <f t="shared" si="6"/>
        <v>#N/A</v>
      </c>
      <c r="R76" s="161" t="e">
        <f t="shared" si="7"/>
        <v>#N/A</v>
      </c>
      <c r="S76" s="33" t="e">
        <f t="shared" si="8"/>
        <v>#N/A</v>
      </c>
    </row>
    <row r="77" spans="12:19" x14ac:dyDescent="0.25">
      <c r="L77" s="7" t="e">
        <f>VLOOKUP(A77,'3121% SY'!A:M,'3121% SY'!$M$1,FALSE)</f>
        <v>#N/A</v>
      </c>
      <c r="M77" s="161" t="e">
        <f t="shared" si="5"/>
        <v>#N/A</v>
      </c>
      <c r="N77" s="33" t="e">
        <f t="shared" si="6"/>
        <v>#N/A</v>
      </c>
      <c r="R77" s="161" t="e">
        <f t="shared" si="7"/>
        <v>#N/A</v>
      </c>
      <c r="S77" s="33" t="e">
        <f t="shared" si="8"/>
        <v>#N/A</v>
      </c>
    </row>
    <row r="78" spans="12:19" x14ac:dyDescent="0.25">
      <c r="L78" s="7" t="e">
        <f>VLOOKUP(A78,'3121% SY'!A:M,'3121% SY'!$M$1,FALSE)</f>
        <v>#N/A</v>
      </c>
      <c r="M78" s="161" t="e">
        <f t="shared" si="5"/>
        <v>#N/A</v>
      </c>
      <c r="N78" s="33" t="e">
        <f t="shared" si="6"/>
        <v>#N/A</v>
      </c>
      <c r="R78" s="161" t="e">
        <f t="shared" si="7"/>
        <v>#N/A</v>
      </c>
      <c r="S78" s="33" t="e">
        <f t="shared" si="8"/>
        <v>#N/A</v>
      </c>
    </row>
    <row r="79" spans="12:19" x14ac:dyDescent="0.25">
      <c r="L79" s="7" t="e">
        <f>VLOOKUP(A79,'3121% SY'!A:M,'3121% SY'!$M$1,FALSE)</f>
        <v>#N/A</v>
      </c>
      <c r="M79" s="161" t="e">
        <f t="shared" si="5"/>
        <v>#N/A</v>
      </c>
      <c r="N79" s="33" t="e">
        <f t="shared" si="6"/>
        <v>#N/A</v>
      </c>
      <c r="R79" s="161" t="e">
        <f t="shared" si="7"/>
        <v>#N/A</v>
      </c>
      <c r="S79" s="33" t="e">
        <f t="shared" si="8"/>
        <v>#N/A</v>
      </c>
    </row>
    <row r="80" spans="12:19" x14ac:dyDescent="0.25">
      <c r="L80" s="7" t="e">
        <f>VLOOKUP(A80,'3121% SY'!A:M,'3121% SY'!$M$1,FALSE)</f>
        <v>#N/A</v>
      </c>
      <c r="M80" s="161" t="e">
        <f t="shared" si="5"/>
        <v>#N/A</v>
      </c>
      <c r="N80" s="33" t="e">
        <f t="shared" si="6"/>
        <v>#N/A</v>
      </c>
      <c r="R80" s="161" t="e">
        <f t="shared" si="7"/>
        <v>#N/A</v>
      </c>
      <c r="S80" s="33" t="e">
        <f t="shared" si="8"/>
        <v>#N/A</v>
      </c>
    </row>
    <row r="81" spans="12:19" x14ac:dyDescent="0.25">
      <c r="L81" s="7" t="e">
        <f>VLOOKUP(A81,'3121% SY'!A:M,'3121% SY'!$M$1,FALSE)</f>
        <v>#N/A</v>
      </c>
      <c r="M81" s="161" t="e">
        <f t="shared" si="5"/>
        <v>#N/A</v>
      </c>
      <c r="N81" s="33" t="e">
        <f t="shared" si="6"/>
        <v>#N/A</v>
      </c>
      <c r="R81" s="161" t="e">
        <f t="shared" si="7"/>
        <v>#N/A</v>
      </c>
      <c r="S81" s="33" t="e">
        <f t="shared" si="8"/>
        <v>#N/A</v>
      </c>
    </row>
    <row r="82" spans="12:19" x14ac:dyDescent="0.25">
      <c r="L82" s="7" t="e">
        <f>VLOOKUP(A82,'3121% SY'!A:M,'3121% SY'!$M$1,FALSE)</f>
        <v>#N/A</v>
      </c>
      <c r="M82" s="161" t="e">
        <f t="shared" si="5"/>
        <v>#N/A</v>
      </c>
      <c r="N82" s="33" t="e">
        <f t="shared" si="6"/>
        <v>#N/A</v>
      </c>
      <c r="R82" s="161" t="e">
        <f t="shared" si="7"/>
        <v>#N/A</v>
      </c>
      <c r="S82" s="33" t="e">
        <f t="shared" si="8"/>
        <v>#N/A</v>
      </c>
    </row>
    <row r="83" spans="12:19" x14ac:dyDescent="0.25">
      <c r="L83" s="7" t="e">
        <f>VLOOKUP(A83,'3121% SY'!A:M,'3121% SY'!$M$1,FALSE)</f>
        <v>#N/A</v>
      </c>
      <c r="M83" s="161" t="e">
        <f t="shared" si="5"/>
        <v>#N/A</v>
      </c>
      <c r="N83" s="33" t="e">
        <f t="shared" si="6"/>
        <v>#N/A</v>
      </c>
      <c r="R83" s="161" t="e">
        <f t="shared" si="7"/>
        <v>#N/A</v>
      </c>
      <c r="S83" s="33" t="e">
        <f t="shared" si="8"/>
        <v>#N/A</v>
      </c>
    </row>
    <row r="84" spans="12:19" x14ac:dyDescent="0.25">
      <c r="L84" s="7" t="e">
        <f>VLOOKUP(A84,'3121% SY'!A:M,'3121% SY'!$M$1,FALSE)</f>
        <v>#N/A</v>
      </c>
      <c r="M84" s="161" t="e">
        <f t="shared" si="5"/>
        <v>#N/A</v>
      </c>
      <c r="N84" s="33" t="e">
        <f t="shared" si="6"/>
        <v>#N/A</v>
      </c>
      <c r="R84" s="161" t="e">
        <f t="shared" si="7"/>
        <v>#N/A</v>
      </c>
      <c r="S84" s="33" t="e">
        <f t="shared" si="8"/>
        <v>#N/A</v>
      </c>
    </row>
    <row r="85" spans="12:19" x14ac:dyDescent="0.25">
      <c r="L85" s="7" t="e">
        <f>VLOOKUP(A85,'3121% SY'!A:M,'3121% SY'!$M$1,FALSE)</f>
        <v>#N/A</v>
      </c>
      <c r="M85" s="161" t="e">
        <f t="shared" si="5"/>
        <v>#N/A</v>
      </c>
      <c r="N85" s="33" t="e">
        <f t="shared" si="6"/>
        <v>#N/A</v>
      </c>
      <c r="R85" s="161" t="e">
        <f t="shared" si="7"/>
        <v>#N/A</v>
      </c>
      <c r="S85" s="33" t="e">
        <f t="shared" si="8"/>
        <v>#N/A</v>
      </c>
    </row>
    <row r="86" spans="12:19" x14ac:dyDescent="0.25">
      <c r="L86" s="7" t="e">
        <f>VLOOKUP(A86,'3121% SY'!A:M,'3121% SY'!$M$1,FALSE)</f>
        <v>#N/A</v>
      </c>
      <c r="M86" s="161" t="e">
        <f t="shared" si="5"/>
        <v>#N/A</v>
      </c>
      <c r="N86" s="33" t="e">
        <f t="shared" si="6"/>
        <v>#N/A</v>
      </c>
      <c r="R86" s="161" t="e">
        <f t="shared" si="7"/>
        <v>#N/A</v>
      </c>
      <c r="S86" s="33" t="e">
        <f t="shared" si="8"/>
        <v>#N/A</v>
      </c>
    </row>
    <row r="87" spans="12:19" x14ac:dyDescent="0.25">
      <c r="L87" s="7" t="e">
        <f>VLOOKUP(A87,'3121% SY'!A:M,'3121% SY'!$M$1,FALSE)</f>
        <v>#N/A</v>
      </c>
      <c r="M87" s="161" t="e">
        <f t="shared" si="5"/>
        <v>#N/A</v>
      </c>
      <c r="N87" s="33" t="e">
        <f t="shared" si="6"/>
        <v>#N/A</v>
      </c>
      <c r="R87" s="161" t="e">
        <f t="shared" si="7"/>
        <v>#N/A</v>
      </c>
      <c r="S87" s="33" t="e">
        <f t="shared" si="8"/>
        <v>#N/A</v>
      </c>
    </row>
    <row r="88" spans="12:19" x14ac:dyDescent="0.25">
      <c r="L88" s="7" t="e">
        <f>VLOOKUP(A88,'3121% SY'!A:M,'3121% SY'!$M$1,FALSE)</f>
        <v>#N/A</v>
      </c>
      <c r="M88" s="161" t="e">
        <f t="shared" si="5"/>
        <v>#N/A</v>
      </c>
      <c r="N88" s="33" t="e">
        <f t="shared" si="6"/>
        <v>#N/A</v>
      </c>
      <c r="R88" s="161" t="e">
        <f t="shared" si="7"/>
        <v>#N/A</v>
      </c>
      <c r="S88" s="33" t="e">
        <f t="shared" si="8"/>
        <v>#N/A</v>
      </c>
    </row>
    <row r="89" spans="12:19" x14ac:dyDescent="0.25">
      <c r="L89" s="7" t="e">
        <f>VLOOKUP(A89,'3121% SY'!A:M,'3121% SY'!$M$1,FALSE)</f>
        <v>#N/A</v>
      </c>
      <c r="M89" s="161" t="e">
        <f t="shared" si="5"/>
        <v>#N/A</v>
      </c>
      <c r="N89" s="33" t="e">
        <f t="shared" si="6"/>
        <v>#N/A</v>
      </c>
      <c r="R89" s="161" t="e">
        <f t="shared" si="7"/>
        <v>#N/A</v>
      </c>
      <c r="S89" s="33" t="e">
        <f t="shared" si="8"/>
        <v>#N/A</v>
      </c>
    </row>
    <row r="90" spans="12:19" x14ac:dyDescent="0.25">
      <c r="L90" s="7" t="e">
        <f>VLOOKUP(A90,'3121% SY'!A:M,'3121% SY'!$M$1,FALSE)</f>
        <v>#N/A</v>
      </c>
      <c r="M90" s="161" t="e">
        <f t="shared" si="5"/>
        <v>#N/A</v>
      </c>
      <c r="N90" s="33" t="e">
        <f t="shared" si="6"/>
        <v>#N/A</v>
      </c>
      <c r="R90" s="161" t="e">
        <f t="shared" si="7"/>
        <v>#N/A</v>
      </c>
      <c r="S90" s="33" t="e">
        <f t="shared" si="8"/>
        <v>#N/A</v>
      </c>
    </row>
    <row r="91" spans="12:19" x14ac:dyDescent="0.25">
      <c r="L91" s="7" t="e">
        <f>VLOOKUP(A91,'3121% SY'!A:M,'3121% SY'!$M$1,FALSE)</f>
        <v>#N/A</v>
      </c>
      <c r="M91" s="161" t="e">
        <f t="shared" si="5"/>
        <v>#N/A</v>
      </c>
      <c r="N91" s="33" t="e">
        <f t="shared" si="6"/>
        <v>#N/A</v>
      </c>
      <c r="R91" s="161" t="e">
        <f t="shared" si="7"/>
        <v>#N/A</v>
      </c>
      <c r="S91" s="33" t="e">
        <f t="shared" si="8"/>
        <v>#N/A</v>
      </c>
    </row>
    <row r="92" spans="12:19" x14ac:dyDescent="0.25">
      <c r="L92" s="7" t="e">
        <f>VLOOKUP(A92,'3121% SY'!A:M,'3121% SY'!$M$1,FALSE)</f>
        <v>#N/A</v>
      </c>
      <c r="M92" s="161" t="e">
        <f t="shared" si="5"/>
        <v>#N/A</v>
      </c>
      <c r="N92" s="33" t="e">
        <f t="shared" si="6"/>
        <v>#N/A</v>
      </c>
      <c r="R92" s="161" t="e">
        <f t="shared" si="7"/>
        <v>#N/A</v>
      </c>
      <c r="S92" s="33" t="e">
        <f t="shared" si="8"/>
        <v>#N/A</v>
      </c>
    </row>
    <row r="93" spans="12:19" x14ac:dyDescent="0.25">
      <c r="L93" s="7" t="e">
        <f>VLOOKUP(A93,'3121% SY'!A:M,'3121% SY'!$M$1,FALSE)</f>
        <v>#N/A</v>
      </c>
      <c r="M93" s="161" t="e">
        <f t="shared" si="5"/>
        <v>#N/A</v>
      </c>
      <c r="N93" s="33" t="e">
        <f t="shared" si="6"/>
        <v>#N/A</v>
      </c>
      <c r="R93" s="161" t="e">
        <f t="shared" si="7"/>
        <v>#N/A</v>
      </c>
      <c r="S93" s="33" t="e">
        <f t="shared" si="8"/>
        <v>#N/A</v>
      </c>
    </row>
    <row r="94" spans="12:19" x14ac:dyDescent="0.25">
      <c r="L94" s="7" t="e">
        <f>VLOOKUP(A94,'3121% SY'!A:M,'3121% SY'!$M$1,FALSE)</f>
        <v>#N/A</v>
      </c>
      <c r="M94" s="161" t="e">
        <f t="shared" si="5"/>
        <v>#N/A</v>
      </c>
      <c r="N94" s="33" t="e">
        <f t="shared" si="6"/>
        <v>#N/A</v>
      </c>
      <c r="R94" s="161" t="e">
        <f t="shared" si="7"/>
        <v>#N/A</v>
      </c>
      <c r="S94" s="33" t="e">
        <f t="shared" si="8"/>
        <v>#N/A</v>
      </c>
    </row>
    <row r="95" spans="12:19" x14ac:dyDescent="0.25">
      <c r="L95" s="7" t="e">
        <f>VLOOKUP(A95,'3121% SY'!A:M,'3121% SY'!$M$1,FALSE)</f>
        <v>#N/A</v>
      </c>
      <c r="M95" s="161" t="e">
        <f t="shared" si="5"/>
        <v>#N/A</v>
      </c>
      <c r="N95" s="33" t="e">
        <f t="shared" si="6"/>
        <v>#N/A</v>
      </c>
      <c r="R95" s="161" t="e">
        <f t="shared" si="7"/>
        <v>#N/A</v>
      </c>
      <c r="S95" s="33" t="e">
        <f t="shared" si="8"/>
        <v>#N/A</v>
      </c>
    </row>
    <row r="96" spans="12:19" x14ac:dyDescent="0.25">
      <c r="L96" s="7" t="e">
        <f>VLOOKUP(A96,'3121% SY'!A:M,'3121% SY'!$M$1,FALSE)</f>
        <v>#N/A</v>
      </c>
      <c r="M96" s="161" t="e">
        <f t="shared" si="5"/>
        <v>#N/A</v>
      </c>
      <c r="N96" s="33" t="e">
        <f t="shared" si="6"/>
        <v>#N/A</v>
      </c>
      <c r="R96" s="161" t="e">
        <f t="shared" si="7"/>
        <v>#N/A</v>
      </c>
      <c r="S96" s="33" t="e">
        <f t="shared" si="8"/>
        <v>#N/A</v>
      </c>
    </row>
    <row r="97" spans="12:19" x14ac:dyDescent="0.25">
      <c r="L97" s="7" t="e">
        <f>VLOOKUP(A97,'3121% SY'!A:M,'3121% SY'!$M$1,FALSE)</f>
        <v>#N/A</v>
      </c>
      <c r="M97" s="161" t="e">
        <f t="shared" si="5"/>
        <v>#N/A</v>
      </c>
      <c r="N97" s="33" t="e">
        <f t="shared" si="6"/>
        <v>#N/A</v>
      </c>
      <c r="R97" s="161" t="e">
        <f t="shared" si="7"/>
        <v>#N/A</v>
      </c>
      <c r="S97" s="33" t="e">
        <f t="shared" si="8"/>
        <v>#N/A</v>
      </c>
    </row>
    <row r="98" spans="12:19" x14ac:dyDescent="0.25">
      <c r="L98" s="7" t="e">
        <f>VLOOKUP(A98,'3121% SY'!A:M,'3121% SY'!$M$1,FALSE)</f>
        <v>#N/A</v>
      </c>
      <c r="M98" s="161" t="e">
        <f t="shared" si="5"/>
        <v>#N/A</v>
      </c>
      <c r="N98" s="33" t="e">
        <f t="shared" si="6"/>
        <v>#N/A</v>
      </c>
      <c r="R98" s="161" t="e">
        <f t="shared" si="7"/>
        <v>#N/A</v>
      </c>
      <c r="S98" s="33" t="e">
        <f t="shared" si="8"/>
        <v>#N/A</v>
      </c>
    </row>
    <row r="99" spans="12:19" x14ac:dyDescent="0.25">
      <c r="L99" s="7" t="e">
        <f>VLOOKUP(A99,'3121% SY'!A:M,'3121% SY'!$M$1,FALSE)</f>
        <v>#N/A</v>
      </c>
      <c r="M99" s="161" t="e">
        <f t="shared" si="5"/>
        <v>#N/A</v>
      </c>
      <c r="N99" s="33" t="e">
        <f t="shared" si="6"/>
        <v>#N/A</v>
      </c>
      <c r="R99" s="161" t="e">
        <f t="shared" si="7"/>
        <v>#N/A</v>
      </c>
      <c r="S99" s="33" t="e">
        <f t="shared" si="8"/>
        <v>#N/A</v>
      </c>
    </row>
    <row r="100" spans="12:19" x14ac:dyDescent="0.25">
      <c r="L100" s="7" t="e">
        <f>VLOOKUP(A100,'3121% SY'!A:M,'3121% SY'!$M$1,FALSE)</f>
        <v>#N/A</v>
      </c>
      <c r="M100" s="161" t="e">
        <f t="shared" si="5"/>
        <v>#N/A</v>
      </c>
      <c r="N100" s="33" t="e">
        <f t="shared" si="6"/>
        <v>#N/A</v>
      </c>
      <c r="R100" s="161" t="e">
        <f t="shared" si="7"/>
        <v>#N/A</v>
      </c>
      <c r="S100" s="33" t="e">
        <f t="shared" si="8"/>
        <v>#N/A</v>
      </c>
    </row>
    <row r="101" spans="12:19" x14ac:dyDescent="0.25">
      <c r="L101" s="7" t="e">
        <f>VLOOKUP(A101,'3121% SY'!A:M,'3121% SY'!$M$1,FALSE)</f>
        <v>#N/A</v>
      </c>
      <c r="M101" s="161" t="e">
        <f t="shared" si="5"/>
        <v>#N/A</v>
      </c>
      <c r="N101" s="33" t="e">
        <f t="shared" si="6"/>
        <v>#N/A</v>
      </c>
      <c r="R101" s="161" t="e">
        <f t="shared" si="7"/>
        <v>#N/A</v>
      </c>
      <c r="S101" s="33" t="e">
        <f t="shared" si="8"/>
        <v>#N/A</v>
      </c>
    </row>
    <row r="102" spans="12:19" x14ac:dyDescent="0.25">
      <c r="L102" s="7" t="e">
        <f>VLOOKUP(A102,'3121% SY'!A:M,'3121% SY'!$M$1,FALSE)</f>
        <v>#N/A</v>
      </c>
      <c r="M102" s="161" t="e">
        <f t="shared" si="5"/>
        <v>#N/A</v>
      </c>
      <c r="N102" s="33" t="e">
        <f t="shared" si="6"/>
        <v>#N/A</v>
      </c>
      <c r="R102" s="161" t="e">
        <f t="shared" si="7"/>
        <v>#N/A</v>
      </c>
      <c r="S102" s="33" t="e">
        <f t="shared" si="8"/>
        <v>#N/A</v>
      </c>
    </row>
    <row r="103" spans="12:19" x14ac:dyDescent="0.25">
      <c r="L103" s="7" t="e">
        <f>VLOOKUP(A103,'3121% SY'!A:M,'3121% SY'!$M$1,FALSE)</f>
        <v>#N/A</v>
      </c>
      <c r="M103" s="161" t="e">
        <f t="shared" si="5"/>
        <v>#N/A</v>
      </c>
      <c r="N103" s="33" t="e">
        <f t="shared" si="6"/>
        <v>#N/A</v>
      </c>
      <c r="R103" s="161" t="e">
        <f t="shared" si="7"/>
        <v>#N/A</v>
      </c>
      <c r="S103" s="33" t="e">
        <f t="shared" si="8"/>
        <v>#N/A</v>
      </c>
    </row>
    <row r="104" spans="12:19" x14ac:dyDescent="0.25">
      <c r="L104" s="7" t="e">
        <f>VLOOKUP(A104,'3121% SY'!A:M,'3121% SY'!$M$1,FALSE)</f>
        <v>#N/A</v>
      </c>
      <c r="M104" s="161" t="e">
        <f t="shared" si="5"/>
        <v>#N/A</v>
      </c>
      <c r="N104" s="33" t="e">
        <f t="shared" si="6"/>
        <v>#N/A</v>
      </c>
      <c r="R104" s="161" t="e">
        <f t="shared" si="7"/>
        <v>#N/A</v>
      </c>
      <c r="S104" s="33" t="e">
        <f t="shared" si="8"/>
        <v>#N/A</v>
      </c>
    </row>
    <row r="105" spans="12:19" x14ac:dyDescent="0.25">
      <c r="L105" s="7" t="e">
        <f>VLOOKUP(A105,'3121% SY'!A:M,'3121% SY'!$M$1,FALSE)</f>
        <v>#N/A</v>
      </c>
      <c r="M105" s="161" t="e">
        <f t="shared" si="5"/>
        <v>#N/A</v>
      </c>
      <c r="N105" s="33" t="e">
        <f t="shared" si="6"/>
        <v>#N/A</v>
      </c>
      <c r="R105" s="161" t="e">
        <f t="shared" si="7"/>
        <v>#N/A</v>
      </c>
      <c r="S105" s="33" t="e">
        <f t="shared" si="8"/>
        <v>#N/A</v>
      </c>
    </row>
    <row r="106" spans="12:19" x14ac:dyDescent="0.25">
      <c r="L106" s="7" t="e">
        <f>VLOOKUP(A106,'3121% SY'!A:M,'3121% SY'!$M$1,FALSE)</f>
        <v>#N/A</v>
      </c>
      <c r="M106" s="161" t="e">
        <f t="shared" si="5"/>
        <v>#N/A</v>
      </c>
      <c r="N106" s="33" t="e">
        <f t="shared" si="6"/>
        <v>#N/A</v>
      </c>
      <c r="R106" s="161" t="e">
        <f t="shared" si="7"/>
        <v>#N/A</v>
      </c>
      <c r="S106" s="33" t="e">
        <f t="shared" si="8"/>
        <v>#N/A</v>
      </c>
    </row>
    <row r="107" spans="12:19" x14ac:dyDescent="0.25">
      <c r="L107" s="7" t="e">
        <f>VLOOKUP(A107,'3121% SY'!A:M,'3121% SY'!$M$1,FALSE)</f>
        <v>#N/A</v>
      </c>
      <c r="M107" s="161" t="e">
        <f t="shared" si="5"/>
        <v>#N/A</v>
      </c>
      <c r="N107" s="33" t="e">
        <f t="shared" si="6"/>
        <v>#N/A</v>
      </c>
      <c r="R107" s="161" t="e">
        <f t="shared" si="7"/>
        <v>#N/A</v>
      </c>
      <c r="S107" s="33" t="e">
        <f t="shared" si="8"/>
        <v>#N/A</v>
      </c>
    </row>
    <row r="108" spans="12:19" x14ac:dyDescent="0.25">
      <c r="L108" s="7" t="e">
        <f>VLOOKUP(A108,'3121% SY'!A:M,'3121% SY'!$M$1,FALSE)</f>
        <v>#N/A</v>
      </c>
      <c r="M108" s="161" t="e">
        <f t="shared" si="5"/>
        <v>#N/A</v>
      </c>
      <c r="N108" s="33" t="e">
        <f t="shared" si="6"/>
        <v>#N/A</v>
      </c>
      <c r="R108" s="161" t="e">
        <f t="shared" si="7"/>
        <v>#N/A</v>
      </c>
      <c r="S108" s="33" t="e">
        <f t="shared" si="8"/>
        <v>#N/A</v>
      </c>
    </row>
    <row r="109" spans="12:19" x14ac:dyDescent="0.25">
      <c r="L109" s="7" t="e">
        <f>VLOOKUP(A109,'3121% SY'!A:M,'3121% SY'!$M$1,FALSE)</f>
        <v>#N/A</v>
      </c>
      <c r="M109" s="161" t="e">
        <f t="shared" si="5"/>
        <v>#N/A</v>
      </c>
      <c r="N109" s="33" t="e">
        <f t="shared" si="6"/>
        <v>#N/A</v>
      </c>
      <c r="R109" s="161" t="e">
        <f t="shared" si="7"/>
        <v>#N/A</v>
      </c>
      <c r="S109" s="33" t="e">
        <f t="shared" si="8"/>
        <v>#N/A</v>
      </c>
    </row>
    <row r="110" spans="12:19" x14ac:dyDescent="0.25">
      <c r="L110" s="7" t="e">
        <f>VLOOKUP(A110,'3121% SY'!A:M,'3121% SY'!$M$1,FALSE)</f>
        <v>#N/A</v>
      </c>
      <c r="M110" s="161" t="e">
        <f t="shared" si="5"/>
        <v>#N/A</v>
      </c>
      <c r="N110" s="33" t="e">
        <f t="shared" si="6"/>
        <v>#N/A</v>
      </c>
      <c r="R110" s="161" t="e">
        <f t="shared" si="7"/>
        <v>#N/A</v>
      </c>
      <c r="S110" s="33" t="e">
        <f t="shared" si="8"/>
        <v>#N/A</v>
      </c>
    </row>
    <row r="111" spans="12:19" x14ac:dyDescent="0.25">
      <c r="L111" s="7" t="e">
        <f>VLOOKUP(A111,'3121% SY'!A:M,'3121% SY'!$M$1,FALSE)</f>
        <v>#N/A</v>
      </c>
      <c r="M111" s="161" t="e">
        <f t="shared" si="5"/>
        <v>#N/A</v>
      </c>
      <c r="N111" s="33" t="e">
        <f t="shared" si="6"/>
        <v>#N/A</v>
      </c>
      <c r="R111" s="161" t="e">
        <f t="shared" si="7"/>
        <v>#N/A</v>
      </c>
      <c r="S111" s="33" t="e">
        <f t="shared" si="8"/>
        <v>#N/A</v>
      </c>
    </row>
    <row r="112" spans="12:19" x14ac:dyDescent="0.25">
      <c r="L112" s="7" t="e">
        <f>VLOOKUP(A112,'3121% SY'!A:M,'3121% SY'!$M$1,FALSE)</f>
        <v>#N/A</v>
      </c>
      <c r="M112" s="161" t="e">
        <f t="shared" si="5"/>
        <v>#N/A</v>
      </c>
      <c r="N112" s="33" t="e">
        <f t="shared" si="6"/>
        <v>#N/A</v>
      </c>
      <c r="R112" s="161" t="e">
        <f t="shared" si="7"/>
        <v>#N/A</v>
      </c>
      <c r="S112" s="33" t="e">
        <f t="shared" si="8"/>
        <v>#N/A</v>
      </c>
    </row>
    <row r="113" spans="12:19" x14ac:dyDescent="0.25">
      <c r="L113" s="7" t="e">
        <f>VLOOKUP(A113,'3121% SY'!A:M,'3121% SY'!$M$1,FALSE)</f>
        <v>#N/A</v>
      </c>
      <c r="M113" s="161" t="e">
        <f t="shared" si="5"/>
        <v>#N/A</v>
      </c>
      <c r="N113" s="33" t="e">
        <f t="shared" si="6"/>
        <v>#N/A</v>
      </c>
      <c r="R113" s="161" t="e">
        <f t="shared" si="7"/>
        <v>#N/A</v>
      </c>
      <c r="S113" s="33" t="e">
        <f t="shared" si="8"/>
        <v>#N/A</v>
      </c>
    </row>
    <row r="114" spans="12:19" x14ac:dyDescent="0.25">
      <c r="L114" s="7" t="e">
        <f>VLOOKUP(A114,'3121% SY'!A:M,'3121% SY'!$M$1,FALSE)</f>
        <v>#N/A</v>
      </c>
      <c r="M114" s="161" t="e">
        <f t="shared" si="5"/>
        <v>#N/A</v>
      </c>
      <c r="N114" s="33" t="e">
        <f t="shared" si="6"/>
        <v>#N/A</v>
      </c>
      <c r="R114" s="161" t="e">
        <f t="shared" si="7"/>
        <v>#N/A</v>
      </c>
      <c r="S114" s="33" t="e">
        <f t="shared" si="8"/>
        <v>#N/A</v>
      </c>
    </row>
    <row r="115" spans="12:19" x14ac:dyDescent="0.25">
      <c r="L115" s="7" t="e">
        <f>VLOOKUP(A115,'3121% SY'!A:M,'3121% SY'!$M$1,FALSE)</f>
        <v>#N/A</v>
      </c>
      <c r="M115" s="161" t="e">
        <f t="shared" si="5"/>
        <v>#N/A</v>
      </c>
      <c r="N115" s="33" t="e">
        <f t="shared" si="6"/>
        <v>#N/A</v>
      </c>
      <c r="R115" s="161" t="e">
        <f t="shared" si="7"/>
        <v>#N/A</v>
      </c>
      <c r="S115" s="33" t="e">
        <f t="shared" si="8"/>
        <v>#N/A</v>
      </c>
    </row>
    <row r="116" spans="12:19" x14ac:dyDescent="0.25">
      <c r="L116" s="7" t="e">
        <f>VLOOKUP(A116,'3121% SY'!A:M,'3121% SY'!$M$1,FALSE)</f>
        <v>#N/A</v>
      </c>
      <c r="M116" s="161" t="e">
        <f t="shared" si="5"/>
        <v>#N/A</v>
      </c>
      <c r="N116" s="33" t="e">
        <f t="shared" si="6"/>
        <v>#N/A</v>
      </c>
      <c r="R116" s="161" t="e">
        <f t="shared" si="7"/>
        <v>#N/A</v>
      </c>
      <c r="S116" s="33" t="e">
        <f t="shared" si="8"/>
        <v>#N/A</v>
      </c>
    </row>
    <row r="117" spans="12:19" x14ac:dyDescent="0.25">
      <c r="L117" s="7" t="e">
        <f>VLOOKUP(A117,'3121% SY'!A:M,'3121% SY'!$M$1,FALSE)</f>
        <v>#N/A</v>
      </c>
      <c r="M117" s="161" t="e">
        <f t="shared" si="5"/>
        <v>#N/A</v>
      </c>
      <c r="N117" s="33" t="e">
        <f t="shared" si="6"/>
        <v>#N/A</v>
      </c>
      <c r="R117" s="161" t="e">
        <f t="shared" si="7"/>
        <v>#N/A</v>
      </c>
      <c r="S117" s="33" t="e">
        <f t="shared" si="8"/>
        <v>#N/A</v>
      </c>
    </row>
    <row r="118" spans="12:19" x14ac:dyDescent="0.25">
      <c r="L118" s="7" t="e">
        <f>VLOOKUP(A118,'3121% SY'!A:M,'3121% SY'!$M$1,FALSE)</f>
        <v>#N/A</v>
      </c>
      <c r="M118" s="161" t="e">
        <f t="shared" si="5"/>
        <v>#N/A</v>
      </c>
      <c r="N118" s="33" t="e">
        <f t="shared" si="6"/>
        <v>#N/A</v>
      </c>
      <c r="R118" s="161" t="e">
        <f t="shared" si="7"/>
        <v>#N/A</v>
      </c>
      <c r="S118" s="33" t="e">
        <f t="shared" si="8"/>
        <v>#N/A</v>
      </c>
    </row>
    <row r="119" spans="12:19" x14ac:dyDescent="0.25">
      <c r="L119" s="7" t="e">
        <f>VLOOKUP(A119,'3121% SY'!A:M,'3121% SY'!$M$1,FALSE)</f>
        <v>#N/A</v>
      </c>
      <c r="M119" s="161" t="e">
        <f t="shared" si="5"/>
        <v>#N/A</v>
      </c>
      <c r="N119" s="33" t="e">
        <f t="shared" si="6"/>
        <v>#N/A</v>
      </c>
      <c r="R119" s="161" t="e">
        <f t="shared" si="7"/>
        <v>#N/A</v>
      </c>
      <c r="S119" s="33" t="e">
        <f t="shared" si="8"/>
        <v>#N/A</v>
      </c>
    </row>
    <row r="120" spans="12:19" x14ac:dyDescent="0.25">
      <c r="L120" s="7" t="e">
        <f>VLOOKUP(A120,'3121% SY'!A:M,'3121% SY'!$M$1,FALSE)</f>
        <v>#N/A</v>
      </c>
      <c r="M120" s="161" t="e">
        <f t="shared" si="5"/>
        <v>#N/A</v>
      </c>
      <c r="N120" s="33" t="e">
        <f t="shared" si="6"/>
        <v>#N/A</v>
      </c>
      <c r="R120" s="161" t="e">
        <f t="shared" si="7"/>
        <v>#N/A</v>
      </c>
      <c r="S120" s="33" t="e">
        <f t="shared" si="8"/>
        <v>#N/A</v>
      </c>
    </row>
    <row r="121" spans="12:19" x14ac:dyDescent="0.25">
      <c r="L121" s="7" t="e">
        <f>VLOOKUP(A121,'3121% SY'!A:M,'3121% SY'!$M$1,FALSE)</f>
        <v>#N/A</v>
      </c>
      <c r="M121" s="161" t="e">
        <f t="shared" si="5"/>
        <v>#N/A</v>
      </c>
      <c r="N121" s="33" t="e">
        <f t="shared" si="6"/>
        <v>#N/A</v>
      </c>
      <c r="R121" s="161" t="e">
        <f t="shared" si="7"/>
        <v>#N/A</v>
      </c>
      <c r="S121" s="33" t="e">
        <f t="shared" si="8"/>
        <v>#N/A</v>
      </c>
    </row>
    <row r="122" spans="12:19" x14ac:dyDescent="0.25">
      <c r="L122" s="7" t="e">
        <f>VLOOKUP(A122,'3121% SY'!A:M,'3121% SY'!$M$1,FALSE)</f>
        <v>#N/A</v>
      </c>
      <c r="M122" s="161" t="e">
        <f t="shared" si="5"/>
        <v>#N/A</v>
      </c>
      <c r="N122" s="33" t="e">
        <f t="shared" si="6"/>
        <v>#N/A</v>
      </c>
      <c r="R122" s="161" t="e">
        <f t="shared" si="7"/>
        <v>#N/A</v>
      </c>
      <c r="S122" s="33" t="e">
        <f t="shared" si="8"/>
        <v>#N/A</v>
      </c>
    </row>
    <row r="123" spans="12:19" x14ac:dyDescent="0.25">
      <c r="L123" s="7" t="e">
        <f>VLOOKUP(A123,'3121% SY'!A:M,'3121% SY'!$M$1,FALSE)</f>
        <v>#N/A</v>
      </c>
      <c r="M123" s="161" t="e">
        <f t="shared" si="5"/>
        <v>#N/A</v>
      </c>
      <c r="N123" s="33" t="e">
        <f t="shared" si="6"/>
        <v>#N/A</v>
      </c>
      <c r="R123" s="161" t="e">
        <f t="shared" ref="R123:R131" si="9">ROUND(Q123*$L123,3)</f>
        <v>#N/A</v>
      </c>
      <c r="S123" s="33" t="e">
        <f t="shared" ref="S123:S131" si="10">SUM(R123,O123:P123)</f>
        <v>#N/A</v>
      </c>
    </row>
    <row r="124" spans="12:19" x14ac:dyDescent="0.25">
      <c r="L124" s="7" t="e">
        <f>VLOOKUP(A124,'3121% SY'!A:M,'3121% SY'!$M$1,FALSE)</f>
        <v>#N/A</v>
      </c>
      <c r="M124" s="161" t="e">
        <f t="shared" si="5"/>
        <v>#N/A</v>
      </c>
      <c r="N124" s="33" t="e">
        <f t="shared" si="6"/>
        <v>#N/A</v>
      </c>
      <c r="R124" s="161" t="e">
        <f t="shared" si="9"/>
        <v>#N/A</v>
      </c>
      <c r="S124" s="33" t="e">
        <f t="shared" si="10"/>
        <v>#N/A</v>
      </c>
    </row>
    <row r="125" spans="12:19" x14ac:dyDescent="0.25">
      <c r="L125" s="7" t="e">
        <f>VLOOKUP(A125,'3121% SY'!A:M,'3121% SY'!$M$1,FALSE)</f>
        <v>#N/A</v>
      </c>
      <c r="M125" s="161" t="e">
        <f t="shared" si="5"/>
        <v>#N/A</v>
      </c>
      <c r="N125" s="33" t="e">
        <f t="shared" si="6"/>
        <v>#N/A</v>
      </c>
      <c r="R125" s="161" t="e">
        <f t="shared" si="9"/>
        <v>#N/A</v>
      </c>
      <c r="S125" s="33" t="e">
        <f t="shared" si="10"/>
        <v>#N/A</v>
      </c>
    </row>
    <row r="126" spans="12:19" x14ac:dyDescent="0.25">
      <c r="L126" s="7" t="e">
        <f>VLOOKUP(A126,'3121% SY'!A:M,'3121% SY'!$M$1,FALSE)</f>
        <v>#N/A</v>
      </c>
      <c r="M126" s="161" t="e">
        <f t="shared" si="5"/>
        <v>#N/A</v>
      </c>
      <c r="N126" s="33" t="e">
        <f t="shared" si="6"/>
        <v>#N/A</v>
      </c>
      <c r="R126" s="161" t="e">
        <f t="shared" si="9"/>
        <v>#N/A</v>
      </c>
      <c r="S126" s="33" t="e">
        <f t="shared" si="10"/>
        <v>#N/A</v>
      </c>
    </row>
    <row r="127" spans="12:19" x14ac:dyDescent="0.25">
      <c r="L127" s="7" t="e">
        <f>VLOOKUP(A127,'3121% SY'!A:M,'3121% SY'!$M$1,FALSE)</f>
        <v>#N/A</v>
      </c>
      <c r="M127" s="161" t="e">
        <f t="shared" si="5"/>
        <v>#N/A</v>
      </c>
      <c r="N127" s="33" t="e">
        <f t="shared" si="6"/>
        <v>#N/A</v>
      </c>
      <c r="R127" s="161" t="e">
        <f t="shared" si="9"/>
        <v>#N/A</v>
      </c>
      <c r="S127" s="33" t="e">
        <f t="shared" si="10"/>
        <v>#N/A</v>
      </c>
    </row>
    <row r="128" spans="12:19" x14ac:dyDescent="0.25">
      <c r="L128" s="7" t="e">
        <f>VLOOKUP(A128,'3121% SY'!A:M,'3121% SY'!$M$1,FALSE)</f>
        <v>#N/A</v>
      </c>
      <c r="M128" s="161" t="e">
        <f t="shared" si="5"/>
        <v>#N/A</v>
      </c>
      <c r="N128" s="33" t="e">
        <f t="shared" si="6"/>
        <v>#N/A</v>
      </c>
      <c r="R128" s="161" t="e">
        <f t="shared" si="9"/>
        <v>#N/A</v>
      </c>
      <c r="S128" s="33" t="e">
        <f t="shared" si="10"/>
        <v>#N/A</v>
      </c>
    </row>
    <row r="129" spans="12:19" x14ac:dyDescent="0.25">
      <c r="L129" s="7" t="e">
        <f>VLOOKUP(A129,'3121% SY'!A:M,'3121% SY'!$M$1,FALSE)</f>
        <v>#N/A</v>
      </c>
      <c r="M129" s="161" t="e">
        <f t="shared" si="5"/>
        <v>#N/A</v>
      </c>
      <c r="N129" s="33" t="e">
        <f t="shared" si="6"/>
        <v>#N/A</v>
      </c>
      <c r="R129" s="161" t="e">
        <f t="shared" si="9"/>
        <v>#N/A</v>
      </c>
      <c r="S129" s="33" t="e">
        <f t="shared" si="10"/>
        <v>#N/A</v>
      </c>
    </row>
    <row r="130" spans="12:19" x14ac:dyDescent="0.25">
      <c r="L130" s="7" t="e">
        <f>VLOOKUP(A130,'3121% SY'!A:M,'3121% SY'!$M$1,FALSE)</f>
        <v>#N/A</v>
      </c>
      <c r="M130" s="161" t="e">
        <f t="shared" si="5"/>
        <v>#N/A</v>
      </c>
      <c r="N130" s="33" t="e">
        <f t="shared" si="6"/>
        <v>#N/A</v>
      </c>
      <c r="R130" s="161" t="e">
        <f t="shared" si="9"/>
        <v>#N/A</v>
      </c>
      <c r="S130" s="33" t="e">
        <f t="shared" si="10"/>
        <v>#N/A</v>
      </c>
    </row>
    <row r="131" spans="12:19" x14ac:dyDescent="0.25">
      <c r="L131" s="7" t="e">
        <f>VLOOKUP(A131,'3121% SY'!A:M,'3121% SY'!$M$1,FALSE)</f>
        <v>#N/A</v>
      </c>
      <c r="M131" s="161" t="e">
        <f t="shared" si="5"/>
        <v>#N/A</v>
      </c>
      <c r="N131" s="33" t="e">
        <f t="shared" si="6"/>
        <v>#N/A</v>
      </c>
      <c r="R131" s="161" t="e">
        <f t="shared" si="9"/>
        <v>#N/A</v>
      </c>
      <c r="S131" s="33" t="e">
        <f t="shared" si="10"/>
        <v>#N/A</v>
      </c>
    </row>
    <row r="132" spans="12:19" x14ac:dyDescent="0.25">
      <c r="L132" s="7" t="e">
        <f>VLOOKUP(A132,'3121% SY'!A:M,'3121% SY'!$M$1,FALSE)</f>
        <v>#N/A</v>
      </c>
    </row>
    <row r="133" spans="12:19" x14ac:dyDescent="0.25">
      <c r="L133" s="7" t="e">
        <f>VLOOKUP(A133,'3121% SY'!A:M,'3121% SY'!$M$1,FALSE)</f>
        <v>#N/A</v>
      </c>
    </row>
    <row r="134" spans="12:19" x14ac:dyDescent="0.25">
      <c r="L134" s="7" t="e">
        <f>VLOOKUP(A134,'3121% SY'!A:M,'3121% SY'!$M$1,FALSE)</f>
        <v>#N/A</v>
      </c>
    </row>
    <row r="135" spans="12:19" x14ac:dyDescent="0.25">
      <c r="L135" s="7" t="e">
        <f>VLOOKUP(A135,'3121% SY'!A:M,'3121% SY'!$M$1,FALSE)</f>
        <v>#N/A</v>
      </c>
    </row>
    <row r="136" spans="12:19" x14ac:dyDescent="0.25">
      <c r="L136" s="7" t="e">
        <f>VLOOKUP(A136,'3121% SY'!A:M,'3121% SY'!$M$1,FALSE)</f>
        <v>#N/A</v>
      </c>
    </row>
    <row r="137" spans="12:19" x14ac:dyDescent="0.25">
      <c r="L137" s="7" t="e">
        <f>VLOOKUP(A137,'3121% SY'!A:M,'3121% SY'!$M$1,FALSE)</f>
        <v>#N/A</v>
      </c>
    </row>
    <row r="138" spans="12:19" x14ac:dyDescent="0.25">
      <c r="L138" s="7" t="e">
        <f>VLOOKUP(A138,'3121% SY'!A:M,'3121% SY'!$M$1,FALSE)</f>
        <v>#N/A</v>
      </c>
    </row>
    <row r="139" spans="12:19" x14ac:dyDescent="0.25">
      <c r="L139" s="7" t="e">
        <f>VLOOKUP(A139,'3121% SY'!A:M,'3121% SY'!$M$1,FALSE)</f>
        <v>#N/A</v>
      </c>
    </row>
    <row r="140" spans="12:19" x14ac:dyDescent="0.25">
      <c r="L140" s="7" t="e">
        <f>VLOOKUP(A140,'3121% SY'!A:M,'3121% SY'!$M$1,FALSE)</f>
        <v>#N/A</v>
      </c>
    </row>
    <row r="141" spans="12:19" x14ac:dyDescent="0.25">
      <c r="L141" s="7" t="e">
        <f>VLOOKUP(A141,'3121% SY'!A:M,'3121% SY'!$M$1,FALSE)</f>
        <v>#N/A</v>
      </c>
    </row>
    <row r="142" spans="12:19" x14ac:dyDescent="0.25">
      <c r="L142" s="7" t="e">
        <f>VLOOKUP(A142,'3121% SY'!A:M,'3121% SY'!$M$1,FALSE)</f>
        <v>#N/A</v>
      </c>
    </row>
    <row r="143" spans="12:19" x14ac:dyDescent="0.25">
      <c r="L143" s="7" t="e">
        <f>VLOOKUP(A143,'3121% SY'!A:M,'3121% SY'!$M$1,FALSE)</f>
        <v>#N/A</v>
      </c>
    </row>
    <row r="144" spans="12:19" x14ac:dyDescent="0.25">
      <c r="L144" s="7" t="e">
        <f>VLOOKUP(A144,'3121% SY'!A:M,'3121% SY'!$M$1,FALSE)</f>
        <v>#N/A</v>
      </c>
    </row>
    <row r="145" spans="12:12" x14ac:dyDescent="0.25">
      <c r="L145" s="7" t="e">
        <f>VLOOKUP(A145,'3121% SY'!A:M,'3121% SY'!$M$1,FALSE)</f>
        <v>#N/A</v>
      </c>
    </row>
    <row r="146" spans="12:12" x14ac:dyDescent="0.25">
      <c r="L146" s="7" t="e">
        <f>VLOOKUP(A146,'3121% SY'!A:M,'3121% SY'!$M$1,FALSE)</f>
        <v>#N/A</v>
      </c>
    </row>
    <row r="147" spans="12:12" x14ac:dyDescent="0.25">
      <c r="L147" s="7" t="e">
        <f>VLOOKUP(A147,'3121% SY'!A:M,'3121% SY'!$M$1,FALSE)</f>
        <v>#N/A</v>
      </c>
    </row>
    <row r="148" spans="12:12" x14ac:dyDescent="0.25">
      <c r="L148" s="7" t="e">
        <f>VLOOKUP(A148,'3121% SY'!A:M,'3121% SY'!$M$1,FALSE)</f>
        <v>#N/A</v>
      </c>
    </row>
    <row r="149" spans="12:12" x14ac:dyDescent="0.25">
      <c r="L149" s="7" t="e">
        <f>VLOOKUP(A149,'3121% SY'!A:M,'3121% SY'!$M$1,FALSE)</f>
        <v>#N/A</v>
      </c>
    </row>
    <row r="150" spans="12:12" x14ac:dyDescent="0.25">
      <c r="L150" s="7" t="e">
        <f>VLOOKUP(A150,'3121% SY'!A:M,'3121% SY'!$M$1,FALSE)</f>
        <v>#N/A</v>
      </c>
    </row>
    <row r="151" spans="12:12" x14ac:dyDescent="0.25">
      <c r="L151" s="7" t="e">
        <f>VLOOKUP(A151,'3121% SY'!A:M,'3121% SY'!$M$1,FALSE)</f>
        <v>#N/A</v>
      </c>
    </row>
  </sheetData>
  <mergeCells count="1">
    <mergeCell ref="B2:H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9629B-BC41-4F99-B896-5A29C76C0F0F}">
  <sheetPr codeName="Sheet36"/>
  <dimension ref="A1:T151"/>
  <sheetViews>
    <sheetView workbookViewId="0">
      <selection activeCell="L4" sqref="L4:L151"/>
    </sheetView>
  </sheetViews>
  <sheetFormatPr defaultRowHeight="15" x14ac:dyDescent="0.25"/>
  <cols>
    <col min="1" max="1" width="13.140625" bestFit="1" customWidth="1"/>
    <col min="2" max="2" width="12.7109375" bestFit="1" customWidth="1"/>
    <col min="3" max="3" width="13.7109375" bestFit="1" customWidth="1"/>
    <col min="4" max="4" width="13.140625" bestFit="1" customWidth="1"/>
    <col min="5" max="6" width="14.85546875" bestFit="1" customWidth="1"/>
    <col min="7" max="7" width="15.7109375" bestFit="1" customWidth="1"/>
    <col min="8" max="8" width="15.140625" bestFit="1" customWidth="1"/>
    <col min="9" max="9" width="14.85546875" bestFit="1" customWidth="1"/>
    <col min="10" max="10" width="15.7109375" bestFit="1" customWidth="1"/>
    <col min="11" max="11" width="15.140625" bestFit="1" customWidth="1"/>
    <col min="12" max="12" width="12.7109375" bestFit="1" customWidth="1"/>
    <col min="13" max="13" width="17.42578125" bestFit="1" customWidth="1"/>
    <col min="14" max="14" width="12.7109375" bestFit="1" customWidth="1"/>
    <col min="15" max="16" width="16" bestFit="1" customWidth="1"/>
    <col min="17" max="17" width="13.5703125" bestFit="1" customWidth="1"/>
    <col min="18" max="18" width="12.7109375" bestFit="1" customWidth="1"/>
    <col min="19" max="19" width="21" bestFit="1" customWidth="1"/>
    <col min="20" max="43" width="12.7109375" bestFit="1" customWidth="1"/>
  </cols>
  <sheetData>
    <row r="1" spans="1:20" x14ac:dyDescent="0.25">
      <c r="A1" s="87">
        <f>COLUMN(A1)</f>
        <v>1</v>
      </c>
      <c r="B1" s="87">
        <f>COLUMN(B1)</f>
        <v>2</v>
      </c>
      <c r="C1" s="87">
        <f t="shared" ref="C1:S1" si="0">COLUMN(C1)</f>
        <v>3</v>
      </c>
      <c r="D1" s="87">
        <f t="shared" si="0"/>
        <v>4</v>
      </c>
      <c r="E1" s="87">
        <f t="shared" si="0"/>
        <v>5</v>
      </c>
      <c r="F1" s="87">
        <f t="shared" si="0"/>
        <v>6</v>
      </c>
      <c r="G1" s="87">
        <f t="shared" si="0"/>
        <v>7</v>
      </c>
      <c r="H1" s="87">
        <f t="shared" si="0"/>
        <v>8</v>
      </c>
      <c r="I1" s="87">
        <f t="shared" si="0"/>
        <v>9</v>
      </c>
      <c r="J1" s="87">
        <f t="shared" si="0"/>
        <v>10</v>
      </c>
      <c r="K1" s="87">
        <f t="shared" si="0"/>
        <v>11</v>
      </c>
      <c r="L1" s="87">
        <f t="shared" si="0"/>
        <v>12</v>
      </c>
      <c r="M1" s="87">
        <f t="shared" si="0"/>
        <v>13</v>
      </c>
      <c r="N1" s="87">
        <f t="shared" si="0"/>
        <v>14</v>
      </c>
      <c r="O1" s="87">
        <f t="shared" si="0"/>
        <v>15</v>
      </c>
      <c r="P1" s="87">
        <f t="shared" si="0"/>
        <v>16</v>
      </c>
      <c r="Q1" s="87">
        <f t="shared" si="0"/>
        <v>17</v>
      </c>
      <c r="R1" s="87">
        <f t="shared" si="0"/>
        <v>18</v>
      </c>
      <c r="S1" s="87">
        <f t="shared" si="0"/>
        <v>19</v>
      </c>
      <c r="T1" s="87"/>
    </row>
    <row r="2" spans="1:20" x14ac:dyDescent="0.25">
      <c r="A2">
        <f>COUNTA(A4:A131)</f>
        <v>24</v>
      </c>
      <c r="B2" s="290" t="s">
        <v>681</v>
      </c>
      <c r="C2" s="290"/>
      <c r="D2" s="290"/>
      <c r="E2" s="290"/>
      <c r="F2" s="290"/>
      <c r="G2" s="290"/>
      <c r="H2" s="290"/>
      <c r="I2" s="156"/>
      <c r="J2" s="156"/>
      <c r="K2" s="156"/>
      <c r="N2" s="33" t="e">
        <f>SUM(N5:N150)</f>
        <v>#N/A</v>
      </c>
    </row>
    <row r="3" spans="1:20" x14ac:dyDescent="0.25">
      <c r="A3" s="91" t="s">
        <v>752</v>
      </c>
      <c r="B3" t="s">
        <v>793</v>
      </c>
      <c r="C3" t="s">
        <v>833</v>
      </c>
      <c r="D3" t="s">
        <v>874</v>
      </c>
      <c r="E3" t="s">
        <v>1140</v>
      </c>
      <c r="F3" t="s">
        <v>806</v>
      </c>
      <c r="G3" t="s">
        <v>846</v>
      </c>
      <c r="H3" t="s">
        <v>887</v>
      </c>
      <c r="I3" t="s">
        <v>819</v>
      </c>
      <c r="J3" t="s">
        <v>860</v>
      </c>
      <c r="K3" t="s">
        <v>899</v>
      </c>
      <c r="L3" s="6">
        <v>31.21</v>
      </c>
      <c r="M3" t="str">
        <f>"SpEd Staffed "&amp;$B$2</f>
        <v>SpEd Staffed Behavior Analyst</v>
      </c>
      <c r="N3" s="162" t="str">
        <f>"Total "&amp;$B$2</f>
        <v>Total Behavior Analyst</v>
      </c>
      <c r="O3" t="s">
        <v>1062</v>
      </c>
      <c r="P3" t="s">
        <v>1063</v>
      </c>
      <c r="Q3" t="s">
        <v>1061</v>
      </c>
      <c r="R3" t="str">
        <f>"SpEd Contracted "&amp;$B$2</f>
        <v>SpEd Contracted Behavior Analyst</v>
      </c>
      <c r="S3" s="162" t="str">
        <f>"Total Contracted "&amp;$B$2</f>
        <v>Total Contracted Behavior Analyst</v>
      </c>
    </row>
    <row r="4" spans="1:20" x14ac:dyDescent="0.25">
      <c r="A4" s="88" t="s">
        <v>7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7">
        <f>VLOOKUP(A4,'3121% SY'!A:M,'3121% SY'!$M$1,FALSE)</f>
        <v>0.1179</v>
      </c>
      <c r="M4" s="161">
        <f>ROUND(I4*$L4,3)+ROUND(J4*$L4,3)++ROUND(K4*$L4,3)</f>
        <v>0</v>
      </c>
      <c r="N4" s="33">
        <f>SUM(M4,B4:H4)</f>
        <v>0</v>
      </c>
      <c r="R4" s="161">
        <f>ROUND(Q4*$L4,3)</f>
        <v>0</v>
      </c>
      <c r="S4" s="33">
        <f>SUM(R4,O4:P4)</f>
        <v>0</v>
      </c>
    </row>
    <row r="5" spans="1:20" x14ac:dyDescent="0.25">
      <c r="A5" s="88" t="s">
        <v>40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7">
        <f>VLOOKUP(A5,'3121% SY'!A:M,'3121% SY'!$M$1,FALSE)</f>
        <v>0.1794</v>
      </c>
      <c r="M5" s="161">
        <f t="shared" ref="M5:M68" si="1">ROUND(I5*$L5,3)+ROUND(J5*$L5,3)++ROUND(K5*$L5,3)</f>
        <v>0</v>
      </c>
      <c r="N5" s="33">
        <f t="shared" ref="N5:N68" si="2">SUM(M5,B5:H5)</f>
        <v>0</v>
      </c>
      <c r="R5" s="161">
        <f t="shared" ref="R5:R68" si="3">ROUND(Q5*$L5,3)</f>
        <v>0</v>
      </c>
      <c r="S5" s="33">
        <f t="shared" ref="S5:S68" si="4">SUM(R5,O5:P5)</f>
        <v>0</v>
      </c>
    </row>
    <row r="6" spans="1:20" x14ac:dyDescent="0.25">
      <c r="A6" s="88" t="s">
        <v>61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7">
        <f>VLOOKUP(A6,'3121% SY'!A:M,'3121% SY'!$M$1,FALSE)</f>
        <v>0.24629999999999996</v>
      </c>
      <c r="M6" s="161">
        <f t="shared" si="1"/>
        <v>0</v>
      </c>
      <c r="N6" s="33">
        <f t="shared" si="2"/>
        <v>0</v>
      </c>
      <c r="R6" s="161">
        <f t="shared" si="3"/>
        <v>0</v>
      </c>
      <c r="S6" s="33">
        <f t="shared" si="4"/>
        <v>0</v>
      </c>
    </row>
    <row r="7" spans="1:20" x14ac:dyDescent="0.25">
      <c r="A7" s="88" t="s">
        <v>78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7">
        <f>VLOOKUP(A7,'3121% SY'!A:M,'3121% SY'!$M$1,FALSE)</f>
        <v>0.17600000000000005</v>
      </c>
      <c r="M7" s="161">
        <f t="shared" si="1"/>
        <v>0</v>
      </c>
      <c r="N7" s="33">
        <f t="shared" si="2"/>
        <v>0</v>
      </c>
      <c r="R7" s="161">
        <f t="shared" si="3"/>
        <v>0</v>
      </c>
      <c r="S7" s="33">
        <f t="shared" si="4"/>
        <v>0</v>
      </c>
    </row>
    <row r="8" spans="1:20" x14ac:dyDescent="0.25">
      <c r="A8" s="88" t="s">
        <v>84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7">
        <f>VLOOKUP(A8,'3121% SY'!A:M,'3121% SY'!$M$1,FALSE)</f>
        <v>8.9999999999999969E-2</v>
      </c>
      <c r="M8" s="161">
        <f t="shared" si="1"/>
        <v>0</v>
      </c>
      <c r="N8" s="33">
        <f t="shared" si="2"/>
        <v>0</v>
      </c>
      <c r="R8" s="161">
        <f t="shared" si="3"/>
        <v>0</v>
      </c>
      <c r="S8" s="33">
        <f t="shared" si="4"/>
        <v>0</v>
      </c>
    </row>
    <row r="9" spans="1:20" x14ac:dyDescent="0.25">
      <c r="A9" s="88" t="s">
        <v>87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7">
        <f>VLOOKUP(A9,'3121% SY'!A:M,'3121% SY'!$M$1,FALSE)</f>
        <v>0.18340000000000001</v>
      </c>
      <c r="M9" s="161">
        <f t="shared" si="1"/>
        <v>0</v>
      </c>
      <c r="N9" s="33">
        <f t="shared" si="2"/>
        <v>0</v>
      </c>
      <c r="R9" s="161">
        <f t="shared" si="3"/>
        <v>0</v>
      </c>
      <c r="S9" s="33">
        <f t="shared" si="4"/>
        <v>0</v>
      </c>
    </row>
    <row r="10" spans="1:20" x14ac:dyDescent="0.25">
      <c r="A10" s="88" t="s">
        <v>89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7">
        <f>VLOOKUP(A10,'3121% SY'!A:M,'3121% SY'!$M$1,FALSE)</f>
        <v>0.22170000000000001</v>
      </c>
      <c r="M10" s="161">
        <f t="shared" si="1"/>
        <v>0</v>
      </c>
      <c r="N10" s="33">
        <f t="shared" si="2"/>
        <v>0</v>
      </c>
      <c r="R10" s="161">
        <f t="shared" si="3"/>
        <v>0</v>
      </c>
      <c r="S10" s="33">
        <f t="shared" si="4"/>
        <v>0</v>
      </c>
    </row>
    <row r="11" spans="1:20" x14ac:dyDescent="0.25">
      <c r="A11" s="88" t="s">
        <v>141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7">
        <f>VLOOKUP(A11,'3121% SY'!A:M,'3121% SY'!$M$1,FALSE)</f>
        <v>0.31479999999999997</v>
      </c>
      <c r="M11" s="161">
        <f t="shared" si="1"/>
        <v>0</v>
      </c>
      <c r="N11" s="33">
        <f t="shared" si="2"/>
        <v>0</v>
      </c>
      <c r="R11" s="161">
        <f t="shared" si="3"/>
        <v>0</v>
      </c>
      <c r="S11" s="33">
        <f t="shared" si="4"/>
        <v>0</v>
      </c>
    </row>
    <row r="12" spans="1:20" x14ac:dyDescent="0.25">
      <c r="A12" s="88" t="s">
        <v>145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7">
        <f>VLOOKUP(A12,'3121% SY'!A:M,'3121% SY'!$M$1,FALSE)</f>
        <v>0.28620000000000001</v>
      </c>
      <c r="M12" s="161">
        <f t="shared" si="1"/>
        <v>0</v>
      </c>
      <c r="N12" s="33">
        <f t="shared" si="2"/>
        <v>0</v>
      </c>
      <c r="R12" s="161">
        <f t="shared" si="3"/>
        <v>0</v>
      </c>
      <c r="S12" s="33">
        <f t="shared" si="4"/>
        <v>0</v>
      </c>
    </row>
    <row r="13" spans="1:20" x14ac:dyDescent="0.25">
      <c r="A13" s="88" t="s">
        <v>146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7">
        <f>VLOOKUP(A13,'3121% SY'!A:M,'3121% SY'!$M$1,FALSE)</f>
        <v>0.25719999999999998</v>
      </c>
      <c r="M13" s="161">
        <f t="shared" si="1"/>
        <v>0</v>
      </c>
      <c r="N13" s="33">
        <f t="shared" si="2"/>
        <v>0</v>
      </c>
      <c r="R13" s="161">
        <f t="shared" si="3"/>
        <v>0</v>
      </c>
      <c r="S13" s="33">
        <f t="shared" si="4"/>
        <v>0</v>
      </c>
    </row>
    <row r="14" spans="1:20" x14ac:dyDescent="0.25">
      <c r="A14" s="88" t="s">
        <v>162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7">
        <f>VLOOKUP(A14,'3121% SY'!A:M,'3121% SY'!$M$1,FALSE)</f>
        <v>0.19820000000000004</v>
      </c>
      <c r="M14" s="161">
        <f t="shared" si="1"/>
        <v>0</v>
      </c>
      <c r="N14" s="33">
        <f t="shared" si="2"/>
        <v>0</v>
      </c>
      <c r="R14" s="161">
        <f t="shared" si="3"/>
        <v>0</v>
      </c>
      <c r="S14" s="33">
        <f t="shared" si="4"/>
        <v>0</v>
      </c>
    </row>
    <row r="15" spans="1:20" x14ac:dyDescent="0.25">
      <c r="A15" s="88" t="s">
        <v>163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7">
        <f>VLOOKUP(A15,'3121% SY'!A:M,'3121% SY'!$M$1,FALSE)</f>
        <v>0.20989999999999998</v>
      </c>
      <c r="M15" s="161">
        <f t="shared" si="1"/>
        <v>0</v>
      </c>
      <c r="N15" s="33">
        <f t="shared" si="2"/>
        <v>0</v>
      </c>
      <c r="R15" s="161">
        <f t="shared" si="3"/>
        <v>0</v>
      </c>
      <c r="S15" s="33">
        <f t="shared" si="4"/>
        <v>0</v>
      </c>
    </row>
    <row r="16" spans="1:20" x14ac:dyDescent="0.25">
      <c r="A16" s="88" t="s">
        <v>176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7">
        <f>VLOOKUP(A16,'3121% SY'!A:M,'3121% SY'!$M$1,FALSE)</f>
        <v>0.29900000000000004</v>
      </c>
      <c r="M16" s="161">
        <f t="shared" si="1"/>
        <v>0</v>
      </c>
      <c r="N16" s="33">
        <f t="shared" si="2"/>
        <v>0</v>
      </c>
      <c r="R16" s="161">
        <f t="shared" si="3"/>
        <v>0</v>
      </c>
      <c r="S16" s="33">
        <f t="shared" si="4"/>
        <v>0</v>
      </c>
    </row>
    <row r="17" spans="1:19" x14ac:dyDescent="0.25">
      <c r="A17" s="88" t="s">
        <v>233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7">
        <f>VLOOKUP(A17,'3121% SY'!A:M,'3121% SY'!$M$1,FALSE)</f>
        <v>0.20020000000000004</v>
      </c>
      <c r="M17" s="161">
        <f t="shared" si="1"/>
        <v>0</v>
      </c>
      <c r="N17" s="33">
        <f t="shared" si="2"/>
        <v>0</v>
      </c>
      <c r="R17" s="161">
        <f t="shared" si="3"/>
        <v>0</v>
      </c>
      <c r="S17" s="33">
        <f t="shared" si="4"/>
        <v>0</v>
      </c>
    </row>
    <row r="18" spans="1:19" x14ac:dyDescent="0.25">
      <c r="A18" s="88" t="s">
        <v>250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7">
        <f>VLOOKUP(A18,'3121% SY'!A:M,'3121% SY'!$M$1,FALSE)</f>
        <v>0.15839999999999999</v>
      </c>
      <c r="M18" s="161">
        <f t="shared" si="1"/>
        <v>0</v>
      </c>
      <c r="N18" s="33">
        <f t="shared" si="2"/>
        <v>0</v>
      </c>
      <c r="R18" s="161">
        <f t="shared" si="3"/>
        <v>0</v>
      </c>
      <c r="S18" s="33">
        <f t="shared" si="4"/>
        <v>0</v>
      </c>
    </row>
    <row r="19" spans="1:19" x14ac:dyDescent="0.25">
      <c r="A19" s="88" t="s">
        <v>256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7">
        <f>VLOOKUP(A19,'3121% SY'!A:M,'3121% SY'!$M$1,FALSE)</f>
        <v>0.23140000000000005</v>
      </c>
      <c r="M19" s="161">
        <f t="shared" si="1"/>
        <v>0</v>
      </c>
      <c r="N19" s="33">
        <f t="shared" si="2"/>
        <v>0</v>
      </c>
      <c r="R19" s="161">
        <f t="shared" si="3"/>
        <v>0</v>
      </c>
      <c r="S19" s="33">
        <f t="shared" si="4"/>
        <v>0</v>
      </c>
    </row>
    <row r="20" spans="1:19" x14ac:dyDescent="0.25">
      <c r="A20" s="88" t="s">
        <v>259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1.05</v>
      </c>
      <c r="L20" s="7">
        <f>VLOOKUP(A20,'3121% SY'!A:M,'3121% SY'!$M$1,FALSE)</f>
        <v>0.24870000000000003</v>
      </c>
      <c r="M20" s="161">
        <f t="shared" si="1"/>
        <v>0.26100000000000001</v>
      </c>
      <c r="N20" s="33">
        <f t="shared" si="2"/>
        <v>0.26100000000000001</v>
      </c>
      <c r="R20" s="161">
        <f t="shared" si="3"/>
        <v>0</v>
      </c>
      <c r="S20" s="33">
        <f t="shared" si="4"/>
        <v>0</v>
      </c>
    </row>
    <row r="21" spans="1:19" x14ac:dyDescent="0.25">
      <c r="A21" s="88" t="s">
        <v>280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7">
        <f>VLOOKUP(A21,'3121% SY'!A:M,'3121% SY'!$M$1,FALSE)</f>
        <v>0.18340000000000001</v>
      </c>
      <c r="M21" s="161">
        <f t="shared" si="1"/>
        <v>0</v>
      </c>
      <c r="N21" s="33">
        <f t="shared" si="2"/>
        <v>0</v>
      </c>
      <c r="R21" s="161">
        <f t="shared" si="3"/>
        <v>0</v>
      </c>
      <c r="S21" s="33">
        <f t="shared" si="4"/>
        <v>0</v>
      </c>
    </row>
    <row r="22" spans="1:19" x14ac:dyDescent="0.25">
      <c r="A22" s="88" t="s">
        <v>284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7">
        <f>VLOOKUP(A22,'3121% SY'!A:M,'3121% SY'!$M$1,FALSE)</f>
        <v>0.14729999999999999</v>
      </c>
      <c r="M22" s="161">
        <f t="shared" si="1"/>
        <v>0</v>
      </c>
      <c r="N22" s="33">
        <f t="shared" si="2"/>
        <v>0</v>
      </c>
      <c r="R22" s="161">
        <f t="shared" si="3"/>
        <v>0</v>
      </c>
      <c r="S22" s="33">
        <f t="shared" si="4"/>
        <v>0</v>
      </c>
    </row>
    <row r="23" spans="1:19" x14ac:dyDescent="0.25">
      <c r="A23" s="88" t="s">
        <v>289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0.11</v>
      </c>
      <c r="J23">
        <v>0.111</v>
      </c>
      <c r="K23">
        <v>0</v>
      </c>
      <c r="L23" s="7">
        <f>VLOOKUP(A23,'3121% SY'!A:M,'3121% SY'!$M$1,FALSE)</f>
        <v>0.19010000000000005</v>
      </c>
      <c r="M23" s="161">
        <f t="shared" si="1"/>
        <v>4.2000000000000003E-2</v>
      </c>
      <c r="N23" s="33">
        <f t="shared" si="2"/>
        <v>4.2000000000000003E-2</v>
      </c>
      <c r="R23" s="161">
        <f t="shared" si="3"/>
        <v>0</v>
      </c>
      <c r="S23" s="33">
        <f t="shared" si="4"/>
        <v>0</v>
      </c>
    </row>
    <row r="24" spans="1:19" x14ac:dyDescent="0.25">
      <c r="A24" s="88" t="s">
        <v>290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0.15</v>
      </c>
      <c r="L24" s="7">
        <f>VLOOKUP(A24,'3121% SY'!A:M,'3121% SY'!$M$1,FALSE)</f>
        <v>0.15839999999999999</v>
      </c>
      <c r="M24" s="161">
        <f t="shared" si="1"/>
        <v>2.4E-2</v>
      </c>
      <c r="N24" s="33">
        <f t="shared" si="2"/>
        <v>2.4E-2</v>
      </c>
      <c r="R24" s="161">
        <f t="shared" si="3"/>
        <v>0</v>
      </c>
      <c r="S24" s="33">
        <f t="shared" si="4"/>
        <v>0</v>
      </c>
    </row>
    <row r="25" spans="1:19" x14ac:dyDescent="0.25">
      <c r="A25" s="88" t="s">
        <v>302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7">
        <f>VLOOKUP(A25,'3121% SY'!A:M,'3121% SY'!$M$1,FALSE)</f>
        <v>0.21989999999999998</v>
      </c>
      <c r="M25" s="161">
        <f t="shared" si="1"/>
        <v>0</v>
      </c>
      <c r="N25" s="33">
        <f t="shared" si="2"/>
        <v>0</v>
      </c>
      <c r="R25" s="161">
        <f t="shared" si="3"/>
        <v>0</v>
      </c>
      <c r="S25" s="33">
        <f t="shared" si="4"/>
        <v>0</v>
      </c>
    </row>
    <row r="26" spans="1:19" x14ac:dyDescent="0.25">
      <c r="A26" s="88" t="s">
        <v>1098</v>
      </c>
      <c r="L26" s="7" t="e">
        <f>VLOOKUP(A26,'3121% SY'!A:M,'3121% SY'!$M$1,FALSE)</f>
        <v>#N/A</v>
      </c>
      <c r="M26" s="161" t="e">
        <f t="shared" si="1"/>
        <v>#N/A</v>
      </c>
      <c r="N26" s="33" t="e">
        <f t="shared" si="2"/>
        <v>#N/A</v>
      </c>
      <c r="R26" s="161" t="e">
        <f t="shared" si="3"/>
        <v>#N/A</v>
      </c>
      <c r="S26" s="33" t="e">
        <f t="shared" si="4"/>
        <v>#N/A</v>
      </c>
    </row>
    <row r="27" spans="1:19" x14ac:dyDescent="0.25">
      <c r="A27" s="88" t="s">
        <v>753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0.11</v>
      </c>
      <c r="J27">
        <v>0.111</v>
      </c>
      <c r="K27">
        <v>1.2</v>
      </c>
      <c r="L27" s="7" t="e">
        <f>VLOOKUP(A27,'3121% SY'!A:M,'3121% SY'!$M$1,FALSE)</f>
        <v>#N/A</v>
      </c>
      <c r="M27" s="161" t="e">
        <f t="shared" si="1"/>
        <v>#N/A</v>
      </c>
      <c r="N27" s="33" t="e">
        <f t="shared" si="2"/>
        <v>#N/A</v>
      </c>
      <c r="R27" s="161" t="e">
        <f t="shared" si="3"/>
        <v>#N/A</v>
      </c>
      <c r="S27" s="33" t="e">
        <f t="shared" si="4"/>
        <v>#N/A</v>
      </c>
    </row>
    <row r="28" spans="1:19" x14ac:dyDescent="0.25">
      <c r="L28" s="7" t="e">
        <f>VLOOKUP(A28,'3121% SY'!A:M,'3121% SY'!$M$1,FALSE)</f>
        <v>#N/A</v>
      </c>
      <c r="M28" s="161" t="e">
        <f t="shared" si="1"/>
        <v>#N/A</v>
      </c>
      <c r="N28" s="33" t="e">
        <f t="shared" si="2"/>
        <v>#N/A</v>
      </c>
      <c r="R28" s="161" t="e">
        <f t="shared" si="3"/>
        <v>#N/A</v>
      </c>
      <c r="S28" s="33" t="e">
        <f t="shared" si="4"/>
        <v>#N/A</v>
      </c>
    </row>
    <row r="29" spans="1:19" x14ac:dyDescent="0.25">
      <c r="L29" s="7" t="e">
        <f>VLOOKUP(A29,'3121% SY'!A:M,'3121% SY'!$M$1,FALSE)</f>
        <v>#N/A</v>
      </c>
      <c r="M29" s="161" t="e">
        <f t="shared" si="1"/>
        <v>#N/A</v>
      </c>
      <c r="N29" s="33" t="e">
        <f t="shared" si="2"/>
        <v>#N/A</v>
      </c>
      <c r="R29" s="161" t="e">
        <f t="shared" si="3"/>
        <v>#N/A</v>
      </c>
      <c r="S29" s="33" t="e">
        <f t="shared" si="4"/>
        <v>#N/A</v>
      </c>
    </row>
    <row r="30" spans="1:19" x14ac:dyDescent="0.25">
      <c r="L30" s="7" t="e">
        <f>VLOOKUP(A30,'3121% SY'!A:M,'3121% SY'!$M$1,FALSE)</f>
        <v>#N/A</v>
      </c>
      <c r="M30" s="161" t="e">
        <f t="shared" si="1"/>
        <v>#N/A</v>
      </c>
      <c r="N30" s="33" t="e">
        <f t="shared" si="2"/>
        <v>#N/A</v>
      </c>
      <c r="R30" s="161" t="e">
        <f t="shared" si="3"/>
        <v>#N/A</v>
      </c>
      <c r="S30" s="33" t="e">
        <f t="shared" si="4"/>
        <v>#N/A</v>
      </c>
    </row>
    <row r="31" spans="1:19" x14ac:dyDescent="0.25">
      <c r="L31" s="7" t="e">
        <f>VLOOKUP(A31,'3121% SY'!A:M,'3121% SY'!$M$1,FALSE)</f>
        <v>#N/A</v>
      </c>
      <c r="M31" s="161" t="e">
        <f t="shared" si="1"/>
        <v>#N/A</v>
      </c>
      <c r="N31" s="33" t="e">
        <f t="shared" si="2"/>
        <v>#N/A</v>
      </c>
      <c r="R31" s="161" t="e">
        <f t="shared" si="3"/>
        <v>#N/A</v>
      </c>
      <c r="S31" s="33" t="e">
        <f t="shared" si="4"/>
        <v>#N/A</v>
      </c>
    </row>
    <row r="32" spans="1:19" x14ac:dyDescent="0.25">
      <c r="L32" s="7" t="e">
        <f>VLOOKUP(A32,'3121% SY'!A:M,'3121% SY'!$M$1,FALSE)</f>
        <v>#N/A</v>
      </c>
      <c r="M32" s="161" t="e">
        <f t="shared" si="1"/>
        <v>#N/A</v>
      </c>
      <c r="N32" s="33" t="e">
        <f t="shared" si="2"/>
        <v>#N/A</v>
      </c>
      <c r="R32" s="161" t="e">
        <f t="shared" si="3"/>
        <v>#N/A</v>
      </c>
      <c r="S32" s="33" t="e">
        <f t="shared" si="4"/>
        <v>#N/A</v>
      </c>
    </row>
    <row r="33" spans="12:19" x14ac:dyDescent="0.25">
      <c r="L33" s="7" t="e">
        <f>VLOOKUP(A33,'3121% SY'!A:M,'3121% SY'!$M$1,FALSE)</f>
        <v>#N/A</v>
      </c>
      <c r="M33" s="161" t="e">
        <f t="shared" si="1"/>
        <v>#N/A</v>
      </c>
      <c r="N33" s="33" t="e">
        <f t="shared" si="2"/>
        <v>#N/A</v>
      </c>
      <c r="R33" s="161" t="e">
        <f t="shared" si="3"/>
        <v>#N/A</v>
      </c>
      <c r="S33" s="33" t="e">
        <f t="shared" si="4"/>
        <v>#N/A</v>
      </c>
    </row>
    <row r="34" spans="12:19" x14ac:dyDescent="0.25">
      <c r="L34" s="7" t="e">
        <f>VLOOKUP(A34,'3121% SY'!A:M,'3121% SY'!$M$1,FALSE)</f>
        <v>#N/A</v>
      </c>
      <c r="M34" s="161" t="e">
        <f t="shared" si="1"/>
        <v>#N/A</v>
      </c>
      <c r="N34" s="33" t="e">
        <f t="shared" si="2"/>
        <v>#N/A</v>
      </c>
      <c r="R34" s="161" t="e">
        <f t="shared" si="3"/>
        <v>#N/A</v>
      </c>
      <c r="S34" s="33" t="e">
        <f t="shared" si="4"/>
        <v>#N/A</v>
      </c>
    </row>
    <row r="35" spans="12:19" x14ac:dyDescent="0.25">
      <c r="L35" s="7" t="e">
        <f>VLOOKUP(A35,'3121% SY'!A:M,'3121% SY'!$M$1,FALSE)</f>
        <v>#N/A</v>
      </c>
      <c r="M35" s="161" t="e">
        <f t="shared" si="1"/>
        <v>#N/A</v>
      </c>
      <c r="N35" s="33" t="e">
        <f t="shared" si="2"/>
        <v>#N/A</v>
      </c>
      <c r="R35" s="161" t="e">
        <f t="shared" si="3"/>
        <v>#N/A</v>
      </c>
      <c r="S35" s="33" t="e">
        <f t="shared" si="4"/>
        <v>#N/A</v>
      </c>
    </row>
    <row r="36" spans="12:19" x14ac:dyDescent="0.25">
      <c r="L36" s="7" t="e">
        <f>VLOOKUP(A36,'3121% SY'!A:M,'3121% SY'!$M$1,FALSE)</f>
        <v>#N/A</v>
      </c>
      <c r="M36" s="161" t="e">
        <f t="shared" si="1"/>
        <v>#N/A</v>
      </c>
      <c r="N36" s="33" t="e">
        <f t="shared" si="2"/>
        <v>#N/A</v>
      </c>
      <c r="R36" s="161" t="e">
        <f t="shared" si="3"/>
        <v>#N/A</v>
      </c>
      <c r="S36" s="33" t="e">
        <f t="shared" si="4"/>
        <v>#N/A</v>
      </c>
    </row>
    <row r="37" spans="12:19" x14ac:dyDescent="0.25">
      <c r="L37" s="7" t="e">
        <f>VLOOKUP(A37,'3121% SY'!A:M,'3121% SY'!$M$1,FALSE)</f>
        <v>#N/A</v>
      </c>
      <c r="M37" s="161" t="e">
        <f t="shared" si="1"/>
        <v>#N/A</v>
      </c>
      <c r="N37" s="33" t="e">
        <f t="shared" si="2"/>
        <v>#N/A</v>
      </c>
      <c r="R37" s="161" t="e">
        <f t="shared" si="3"/>
        <v>#N/A</v>
      </c>
      <c r="S37" s="33" t="e">
        <f t="shared" si="4"/>
        <v>#N/A</v>
      </c>
    </row>
    <row r="38" spans="12:19" x14ac:dyDescent="0.25">
      <c r="L38" s="7" t="e">
        <f>VLOOKUP(A38,'3121% SY'!A:M,'3121% SY'!$M$1,FALSE)</f>
        <v>#N/A</v>
      </c>
      <c r="M38" s="161" t="e">
        <f t="shared" si="1"/>
        <v>#N/A</v>
      </c>
      <c r="N38" s="33" t="e">
        <f t="shared" si="2"/>
        <v>#N/A</v>
      </c>
      <c r="R38" s="161" t="e">
        <f t="shared" si="3"/>
        <v>#N/A</v>
      </c>
      <c r="S38" s="33" t="e">
        <f t="shared" si="4"/>
        <v>#N/A</v>
      </c>
    </row>
    <row r="39" spans="12:19" x14ac:dyDescent="0.25">
      <c r="L39" s="7" t="e">
        <f>VLOOKUP(A39,'3121% SY'!A:M,'3121% SY'!$M$1,FALSE)</f>
        <v>#N/A</v>
      </c>
      <c r="M39" s="161" t="e">
        <f t="shared" si="1"/>
        <v>#N/A</v>
      </c>
      <c r="N39" s="33" t="e">
        <f t="shared" si="2"/>
        <v>#N/A</v>
      </c>
      <c r="R39" s="161" t="e">
        <f t="shared" si="3"/>
        <v>#N/A</v>
      </c>
      <c r="S39" s="33" t="e">
        <f t="shared" si="4"/>
        <v>#N/A</v>
      </c>
    </row>
    <row r="40" spans="12:19" x14ac:dyDescent="0.25">
      <c r="L40" s="7" t="e">
        <f>VLOOKUP(A40,'3121% SY'!A:M,'3121% SY'!$M$1,FALSE)</f>
        <v>#N/A</v>
      </c>
      <c r="M40" s="161" t="e">
        <f t="shared" si="1"/>
        <v>#N/A</v>
      </c>
      <c r="N40" s="33" t="e">
        <f t="shared" si="2"/>
        <v>#N/A</v>
      </c>
      <c r="R40" s="161" t="e">
        <f t="shared" si="3"/>
        <v>#N/A</v>
      </c>
      <c r="S40" s="33" t="e">
        <f t="shared" si="4"/>
        <v>#N/A</v>
      </c>
    </row>
    <row r="41" spans="12:19" x14ac:dyDescent="0.25">
      <c r="L41" s="7" t="e">
        <f>VLOOKUP(A41,'3121% SY'!A:M,'3121% SY'!$M$1,FALSE)</f>
        <v>#N/A</v>
      </c>
      <c r="M41" s="161" t="e">
        <f t="shared" si="1"/>
        <v>#N/A</v>
      </c>
      <c r="N41" s="33" t="e">
        <f t="shared" si="2"/>
        <v>#N/A</v>
      </c>
      <c r="R41" s="161" t="e">
        <f t="shared" si="3"/>
        <v>#N/A</v>
      </c>
      <c r="S41" s="33" t="e">
        <f t="shared" si="4"/>
        <v>#N/A</v>
      </c>
    </row>
    <row r="42" spans="12:19" x14ac:dyDescent="0.25">
      <c r="L42" s="7" t="e">
        <f>VLOOKUP(A42,'3121% SY'!A:M,'3121% SY'!$M$1,FALSE)</f>
        <v>#N/A</v>
      </c>
      <c r="M42" s="161" t="e">
        <f t="shared" si="1"/>
        <v>#N/A</v>
      </c>
      <c r="N42" s="33" t="e">
        <f t="shared" si="2"/>
        <v>#N/A</v>
      </c>
      <c r="R42" s="161" t="e">
        <f t="shared" si="3"/>
        <v>#N/A</v>
      </c>
      <c r="S42" s="33" t="e">
        <f t="shared" si="4"/>
        <v>#N/A</v>
      </c>
    </row>
    <row r="43" spans="12:19" x14ac:dyDescent="0.25">
      <c r="L43" s="7" t="e">
        <f>VLOOKUP(A43,'3121% SY'!A:M,'3121% SY'!$M$1,FALSE)</f>
        <v>#N/A</v>
      </c>
      <c r="M43" s="161" t="e">
        <f t="shared" si="1"/>
        <v>#N/A</v>
      </c>
      <c r="N43" s="33" t="e">
        <f t="shared" si="2"/>
        <v>#N/A</v>
      </c>
      <c r="R43" s="161" t="e">
        <f t="shared" si="3"/>
        <v>#N/A</v>
      </c>
      <c r="S43" s="33" t="e">
        <f t="shared" si="4"/>
        <v>#N/A</v>
      </c>
    </row>
    <row r="44" spans="12:19" x14ac:dyDescent="0.25">
      <c r="L44" s="7" t="e">
        <f>VLOOKUP(A44,'3121% SY'!A:M,'3121% SY'!$M$1,FALSE)</f>
        <v>#N/A</v>
      </c>
      <c r="M44" s="161" t="e">
        <f t="shared" si="1"/>
        <v>#N/A</v>
      </c>
      <c r="N44" s="33" t="e">
        <f t="shared" si="2"/>
        <v>#N/A</v>
      </c>
      <c r="R44" s="161" t="e">
        <f t="shared" si="3"/>
        <v>#N/A</v>
      </c>
      <c r="S44" s="33" t="e">
        <f t="shared" si="4"/>
        <v>#N/A</v>
      </c>
    </row>
    <row r="45" spans="12:19" x14ac:dyDescent="0.25">
      <c r="L45" s="7" t="e">
        <f>VLOOKUP(A45,'3121% SY'!A:M,'3121% SY'!$M$1,FALSE)</f>
        <v>#N/A</v>
      </c>
      <c r="M45" s="161" t="e">
        <f t="shared" si="1"/>
        <v>#N/A</v>
      </c>
      <c r="N45" s="33" t="e">
        <f t="shared" si="2"/>
        <v>#N/A</v>
      </c>
      <c r="R45" s="161" t="e">
        <f t="shared" si="3"/>
        <v>#N/A</v>
      </c>
      <c r="S45" s="33" t="e">
        <f t="shared" si="4"/>
        <v>#N/A</v>
      </c>
    </row>
    <row r="46" spans="12:19" x14ac:dyDescent="0.25">
      <c r="L46" s="7" t="e">
        <f>VLOOKUP(A46,'3121% SY'!A:M,'3121% SY'!$M$1,FALSE)</f>
        <v>#N/A</v>
      </c>
      <c r="M46" s="161" t="e">
        <f t="shared" si="1"/>
        <v>#N/A</v>
      </c>
      <c r="N46" s="33" t="e">
        <f t="shared" si="2"/>
        <v>#N/A</v>
      </c>
      <c r="R46" s="161" t="e">
        <f t="shared" si="3"/>
        <v>#N/A</v>
      </c>
      <c r="S46" s="33" t="e">
        <f t="shared" si="4"/>
        <v>#N/A</v>
      </c>
    </row>
    <row r="47" spans="12:19" x14ac:dyDescent="0.25">
      <c r="L47" s="7" t="e">
        <f>VLOOKUP(A47,'3121% SY'!A:M,'3121% SY'!$M$1,FALSE)</f>
        <v>#N/A</v>
      </c>
      <c r="M47" s="161" t="e">
        <f t="shared" si="1"/>
        <v>#N/A</v>
      </c>
      <c r="N47" s="33" t="e">
        <f t="shared" si="2"/>
        <v>#N/A</v>
      </c>
      <c r="R47" s="161" t="e">
        <f t="shared" si="3"/>
        <v>#N/A</v>
      </c>
      <c r="S47" s="33" t="e">
        <f t="shared" si="4"/>
        <v>#N/A</v>
      </c>
    </row>
    <row r="48" spans="12:19" x14ac:dyDescent="0.25">
      <c r="L48" s="7" t="e">
        <f>VLOOKUP(A48,'3121% SY'!A:M,'3121% SY'!$M$1,FALSE)</f>
        <v>#N/A</v>
      </c>
      <c r="M48" s="161" t="e">
        <f t="shared" si="1"/>
        <v>#N/A</v>
      </c>
      <c r="N48" s="33" t="e">
        <f t="shared" si="2"/>
        <v>#N/A</v>
      </c>
      <c r="R48" s="161" t="e">
        <f t="shared" si="3"/>
        <v>#N/A</v>
      </c>
      <c r="S48" s="33" t="e">
        <f t="shared" si="4"/>
        <v>#N/A</v>
      </c>
    </row>
    <row r="49" spans="12:19" x14ac:dyDescent="0.25">
      <c r="L49" s="7" t="e">
        <f>VLOOKUP(A49,'3121% SY'!A:M,'3121% SY'!$M$1,FALSE)</f>
        <v>#N/A</v>
      </c>
      <c r="M49" s="161" t="e">
        <f t="shared" si="1"/>
        <v>#N/A</v>
      </c>
      <c r="N49" s="33" t="e">
        <f t="shared" si="2"/>
        <v>#N/A</v>
      </c>
      <c r="R49" s="161" t="e">
        <f t="shared" si="3"/>
        <v>#N/A</v>
      </c>
      <c r="S49" s="33" t="e">
        <f t="shared" si="4"/>
        <v>#N/A</v>
      </c>
    </row>
    <row r="50" spans="12:19" x14ac:dyDescent="0.25">
      <c r="L50" s="7" t="e">
        <f>VLOOKUP(A50,'3121% SY'!A:M,'3121% SY'!$M$1,FALSE)</f>
        <v>#N/A</v>
      </c>
      <c r="M50" s="161" t="e">
        <f t="shared" si="1"/>
        <v>#N/A</v>
      </c>
      <c r="N50" s="33" t="e">
        <f t="shared" si="2"/>
        <v>#N/A</v>
      </c>
      <c r="R50" s="161" t="e">
        <f t="shared" si="3"/>
        <v>#N/A</v>
      </c>
      <c r="S50" s="33" t="e">
        <f t="shared" si="4"/>
        <v>#N/A</v>
      </c>
    </row>
    <row r="51" spans="12:19" x14ac:dyDescent="0.25">
      <c r="L51" s="7" t="e">
        <f>VLOOKUP(A51,'3121% SY'!A:M,'3121% SY'!$M$1,FALSE)</f>
        <v>#N/A</v>
      </c>
      <c r="M51" s="161" t="e">
        <f t="shared" si="1"/>
        <v>#N/A</v>
      </c>
      <c r="N51" s="33" t="e">
        <f t="shared" si="2"/>
        <v>#N/A</v>
      </c>
      <c r="R51" s="161" t="e">
        <f t="shared" si="3"/>
        <v>#N/A</v>
      </c>
      <c r="S51" s="33" t="e">
        <f t="shared" si="4"/>
        <v>#N/A</v>
      </c>
    </row>
    <row r="52" spans="12:19" x14ac:dyDescent="0.25">
      <c r="L52" s="7" t="e">
        <f>VLOOKUP(A52,'3121% SY'!A:M,'3121% SY'!$M$1,FALSE)</f>
        <v>#N/A</v>
      </c>
      <c r="M52" s="161" t="e">
        <f t="shared" si="1"/>
        <v>#N/A</v>
      </c>
      <c r="N52" s="33" t="e">
        <f t="shared" si="2"/>
        <v>#N/A</v>
      </c>
      <c r="R52" s="161" t="e">
        <f t="shared" si="3"/>
        <v>#N/A</v>
      </c>
      <c r="S52" s="33" t="e">
        <f t="shared" si="4"/>
        <v>#N/A</v>
      </c>
    </row>
    <row r="53" spans="12:19" x14ac:dyDescent="0.25">
      <c r="L53" s="7" t="e">
        <f>VLOOKUP(A53,'3121% SY'!A:M,'3121% SY'!$M$1,FALSE)</f>
        <v>#N/A</v>
      </c>
      <c r="M53" s="161" t="e">
        <f t="shared" si="1"/>
        <v>#N/A</v>
      </c>
      <c r="N53" s="33" t="e">
        <f t="shared" si="2"/>
        <v>#N/A</v>
      </c>
      <c r="R53" s="161" t="e">
        <f t="shared" si="3"/>
        <v>#N/A</v>
      </c>
      <c r="S53" s="33" t="e">
        <f t="shared" si="4"/>
        <v>#N/A</v>
      </c>
    </row>
    <row r="54" spans="12:19" x14ac:dyDescent="0.25">
      <c r="L54" s="7" t="e">
        <f>VLOOKUP(A54,'3121% SY'!A:M,'3121% SY'!$M$1,FALSE)</f>
        <v>#N/A</v>
      </c>
      <c r="M54" s="161" t="e">
        <f t="shared" si="1"/>
        <v>#N/A</v>
      </c>
      <c r="N54" s="33" t="e">
        <f t="shared" si="2"/>
        <v>#N/A</v>
      </c>
      <c r="R54" s="161" t="e">
        <f t="shared" si="3"/>
        <v>#N/A</v>
      </c>
      <c r="S54" s="33" t="e">
        <f t="shared" si="4"/>
        <v>#N/A</v>
      </c>
    </row>
    <row r="55" spans="12:19" x14ac:dyDescent="0.25">
      <c r="L55" s="7" t="e">
        <f>VLOOKUP(A55,'3121% SY'!A:M,'3121% SY'!$M$1,FALSE)</f>
        <v>#N/A</v>
      </c>
      <c r="M55" s="161" t="e">
        <f t="shared" si="1"/>
        <v>#N/A</v>
      </c>
      <c r="N55" s="33" t="e">
        <f t="shared" si="2"/>
        <v>#N/A</v>
      </c>
      <c r="R55" s="161" t="e">
        <f t="shared" si="3"/>
        <v>#N/A</v>
      </c>
      <c r="S55" s="33" t="e">
        <f t="shared" si="4"/>
        <v>#N/A</v>
      </c>
    </row>
    <row r="56" spans="12:19" x14ac:dyDescent="0.25">
      <c r="L56" s="7" t="e">
        <f>VLOOKUP(A56,'3121% SY'!A:M,'3121% SY'!$M$1,FALSE)</f>
        <v>#N/A</v>
      </c>
      <c r="M56" s="161" t="e">
        <f t="shared" si="1"/>
        <v>#N/A</v>
      </c>
      <c r="N56" s="33" t="e">
        <f t="shared" si="2"/>
        <v>#N/A</v>
      </c>
      <c r="R56" s="161" t="e">
        <f t="shared" si="3"/>
        <v>#N/A</v>
      </c>
      <c r="S56" s="33" t="e">
        <f t="shared" si="4"/>
        <v>#N/A</v>
      </c>
    </row>
    <row r="57" spans="12:19" x14ac:dyDescent="0.25">
      <c r="L57" s="7" t="e">
        <f>VLOOKUP(A57,'3121% SY'!A:M,'3121% SY'!$M$1,FALSE)</f>
        <v>#N/A</v>
      </c>
      <c r="M57" s="161" t="e">
        <f t="shared" si="1"/>
        <v>#N/A</v>
      </c>
      <c r="N57" s="33" t="e">
        <f t="shared" si="2"/>
        <v>#N/A</v>
      </c>
      <c r="R57" s="161" t="e">
        <f t="shared" si="3"/>
        <v>#N/A</v>
      </c>
      <c r="S57" s="33" t="e">
        <f t="shared" si="4"/>
        <v>#N/A</v>
      </c>
    </row>
    <row r="58" spans="12:19" x14ac:dyDescent="0.25">
      <c r="L58" s="7" t="e">
        <f>VLOOKUP(A58,'3121% SY'!A:M,'3121% SY'!$M$1,FALSE)</f>
        <v>#N/A</v>
      </c>
      <c r="M58" s="161" t="e">
        <f t="shared" si="1"/>
        <v>#N/A</v>
      </c>
      <c r="N58" s="33" t="e">
        <f t="shared" si="2"/>
        <v>#N/A</v>
      </c>
      <c r="R58" s="161" t="e">
        <f t="shared" si="3"/>
        <v>#N/A</v>
      </c>
      <c r="S58" s="33" t="e">
        <f t="shared" si="4"/>
        <v>#N/A</v>
      </c>
    </row>
    <row r="59" spans="12:19" x14ac:dyDescent="0.25">
      <c r="L59" s="7" t="e">
        <f>VLOOKUP(A59,'3121% SY'!A:M,'3121% SY'!$M$1,FALSE)</f>
        <v>#N/A</v>
      </c>
      <c r="M59" s="161" t="e">
        <f t="shared" si="1"/>
        <v>#N/A</v>
      </c>
      <c r="N59" s="33" t="e">
        <f t="shared" si="2"/>
        <v>#N/A</v>
      </c>
      <c r="R59" s="161" t="e">
        <f t="shared" si="3"/>
        <v>#N/A</v>
      </c>
      <c r="S59" s="33" t="e">
        <f t="shared" si="4"/>
        <v>#N/A</v>
      </c>
    </row>
    <row r="60" spans="12:19" x14ac:dyDescent="0.25">
      <c r="L60" s="7" t="e">
        <f>VLOOKUP(A60,'3121% SY'!A:M,'3121% SY'!$M$1,FALSE)</f>
        <v>#N/A</v>
      </c>
      <c r="M60" s="161" t="e">
        <f t="shared" si="1"/>
        <v>#N/A</v>
      </c>
      <c r="N60" s="33" t="e">
        <f t="shared" si="2"/>
        <v>#N/A</v>
      </c>
      <c r="R60" s="161" t="e">
        <f t="shared" si="3"/>
        <v>#N/A</v>
      </c>
      <c r="S60" s="33" t="e">
        <f t="shared" si="4"/>
        <v>#N/A</v>
      </c>
    </row>
    <row r="61" spans="12:19" x14ac:dyDescent="0.25">
      <c r="L61" s="7" t="e">
        <f>VLOOKUP(A61,'3121% SY'!A:M,'3121% SY'!$M$1,FALSE)</f>
        <v>#N/A</v>
      </c>
      <c r="M61" s="161" t="e">
        <f t="shared" si="1"/>
        <v>#N/A</v>
      </c>
      <c r="N61" s="33" t="e">
        <f t="shared" si="2"/>
        <v>#N/A</v>
      </c>
      <c r="R61" s="161" t="e">
        <f t="shared" si="3"/>
        <v>#N/A</v>
      </c>
      <c r="S61" s="33" t="e">
        <f t="shared" si="4"/>
        <v>#N/A</v>
      </c>
    </row>
    <row r="62" spans="12:19" x14ac:dyDescent="0.25">
      <c r="L62" s="7" t="e">
        <f>VLOOKUP(A62,'3121% SY'!A:M,'3121% SY'!$M$1,FALSE)</f>
        <v>#N/A</v>
      </c>
      <c r="M62" s="161" t="e">
        <f t="shared" si="1"/>
        <v>#N/A</v>
      </c>
      <c r="N62" s="33" t="e">
        <f t="shared" si="2"/>
        <v>#N/A</v>
      </c>
      <c r="R62" s="161" t="e">
        <f t="shared" si="3"/>
        <v>#N/A</v>
      </c>
      <c r="S62" s="33" t="e">
        <f t="shared" si="4"/>
        <v>#N/A</v>
      </c>
    </row>
    <row r="63" spans="12:19" x14ac:dyDescent="0.25">
      <c r="L63" s="7" t="e">
        <f>VLOOKUP(A63,'3121% SY'!A:M,'3121% SY'!$M$1,FALSE)</f>
        <v>#N/A</v>
      </c>
      <c r="M63" s="161" t="e">
        <f t="shared" si="1"/>
        <v>#N/A</v>
      </c>
      <c r="N63" s="33" t="e">
        <f t="shared" si="2"/>
        <v>#N/A</v>
      </c>
      <c r="R63" s="161" t="e">
        <f t="shared" si="3"/>
        <v>#N/A</v>
      </c>
      <c r="S63" s="33" t="e">
        <f t="shared" si="4"/>
        <v>#N/A</v>
      </c>
    </row>
    <row r="64" spans="12:19" x14ac:dyDescent="0.25">
      <c r="L64" s="7" t="e">
        <f>VLOOKUP(A64,'3121% SY'!A:M,'3121% SY'!$M$1,FALSE)</f>
        <v>#N/A</v>
      </c>
      <c r="M64" s="161" t="e">
        <f t="shared" si="1"/>
        <v>#N/A</v>
      </c>
      <c r="N64" s="33" t="e">
        <f t="shared" si="2"/>
        <v>#N/A</v>
      </c>
      <c r="R64" s="161" t="e">
        <f t="shared" si="3"/>
        <v>#N/A</v>
      </c>
      <c r="S64" s="33" t="e">
        <f t="shared" si="4"/>
        <v>#N/A</v>
      </c>
    </row>
    <row r="65" spans="12:19" x14ac:dyDescent="0.25">
      <c r="L65" s="7" t="e">
        <f>VLOOKUP(A65,'3121% SY'!A:M,'3121% SY'!$M$1,FALSE)</f>
        <v>#N/A</v>
      </c>
      <c r="M65" s="161" t="e">
        <f t="shared" si="1"/>
        <v>#N/A</v>
      </c>
      <c r="N65" s="33" t="e">
        <f t="shared" si="2"/>
        <v>#N/A</v>
      </c>
      <c r="R65" s="161" t="e">
        <f t="shared" si="3"/>
        <v>#N/A</v>
      </c>
      <c r="S65" s="33" t="e">
        <f t="shared" si="4"/>
        <v>#N/A</v>
      </c>
    </row>
    <row r="66" spans="12:19" x14ac:dyDescent="0.25">
      <c r="L66" s="7" t="e">
        <f>VLOOKUP(A66,'3121% SY'!A:M,'3121% SY'!$M$1,FALSE)</f>
        <v>#N/A</v>
      </c>
      <c r="M66" s="161" t="e">
        <f t="shared" si="1"/>
        <v>#N/A</v>
      </c>
      <c r="N66" s="33" t="e">
        <f t="shared" si="2"/>
        <v>#N/A</v>
      </c>
      <c r="R66" s="161" t="e">
        <f t="shared" si="3"/>
        <v>#N/A</v>
      </c>
      <c r="S66" s="33" t="e">
        <f t="shared" si="4"/>
        <v>#N/A</v>
      </c>
    </row>
    <row r="67" spans="12:19" x14ac:dyDescent="0.25">
      <c r="L67" s="7" t="e">
        <f>VLOOKUP(A67,'3121% SY'!A:M,'3121% SY'!$M$1,FALSE)</f>
        <v>#N/A</v>
      </c>
      <c r="M67" s="161" t="e">
        <f t="shared" si="1"/>
        <v>#N/A</v>
      </c>
      <c r="N67" s="33" t="e">
        <f t="shared" si="2"/>
        <v>#N/A</v>
      </c>
      <c r="R67" s="161" t="e">
        <f t="shared" si="3"/>
        <v>#N/A</v>
      </c>
      <c r="S67" s="33" t="e">
        <f t="shared" si="4"/>
        <v>#N/A</v>
      </c>
    </row>
    <row r="68" spans="12:19" x14ac:dyDescent="0.25">
      <c r="L68" s="7" t="e">
        <f>VLOOKUP(A68,'3121% SY'!A:M,'3121% SY'!$M$1,FALSE)</f>
        <v>#N/A</v>
      </c>
      <c r="M68" s="161" t="e">
        <f t="shared" si="1"/>
        <v>#N/A</v>
      </c>
      <c r="N68" s="33" t="e">
        <f t="shared" si="2"/>
        <v>#N/A</v>
      </c>
      <c r="R68" s="161" t="e">
        <f t="shared" si="3"/>
        <v>#N/A</v>
      </c>
      <c r="S68" s="33" t="e">
        <f t="shared" si="4"/>
        <v>#N/A</v>
      </c>
    </row>
    <row r="69" spans="12:19" x14ac:dyDescent="0.25">
      <c r="L69" s="7" t="e">
        <f>VLOOKUP(A69,'3121% SY'!A:M,'3121% SY'!$M$1,FALSE)</f>
        <v>#N/A</v>
      </c>
      <c r="M69" s="161" t="e">
        <f t="shared" ref="M69:M131" si="5">ROUND(I69*$L69,3)+ROUND(J69*$L69,3)++ROUND(K69*$L69,3)</f>
        <v>#N/A</v>
      </c>
      <c r="N69" s="33" t="e">
        <f t="shared" ref="N69:N131" si="6">SUM(M69,B69:H69)</f>
        <v>#N/A</v>
      </c>
      <c r="R69" s="161" t="e">
        <f t="shared" ref="R69:R122" si="7">ROUND(Q69*$L69,3)</f>
        <v>#N/A</v>
      </c>
      <c r="S69" s="33" t="e">
        <f t="shared" ref="S69:S122" si="8">SUM(R69,O69:P69)</f>
        <v>#N/A</v>
      </c>
    </row>
    <row r="70" spans="12:19" x14ac:dyDescent="0.25">
      <c r="L70" s="7" t="e">
        <f>VLOOKUP(A70,'3121% SY'!A:M,'3121% SY'!$M$1,FALSE)</f>
        <v>#N/A</v>
      </c>
      <c r="M70" s="161" t="e">
        <f t="shared" si="5"/>
        <v>#N/A</v>
      </c>
      <c r="N70" s="33" t="e">
        <f t="shared" si="6"/>
        <v>#N/A</v>
      </c>
      <c r="R70" s="161" t="e">
        <f t="shared" si="7"/>
        <v>#N/A</v>
      </c>
      <c r="S70" s="33" t="e">
        <f t="shared" si="8"/>
        <v>#N/A</v>
      </c>
    </row>
    <row r="71" spans="12:19" x14ac:dyDescent="0.25">
      <c r="L71" s="7" t="e">
        <f>VLOOKUP(A71,'3121% SY'!A:M,'3121% SY'!$M$1,FALSE)</f>
        <v>#N/A</v>
      </c>
      <c r="M71" s="161" t="e">
        <f t="shared" si="5"/>
        <v>#N/A</v>
      </c>
      <c r="N71" s="33" t="e">
        <f t="shared" si="6"/>
        <v>#N/A</v>
      </c>
      <c r="R71" s="161" t="e">
        <f t="shared" si="7"/>
        <v>#N/A</v>
      </c>
      <c r="S71" s="33" t="e">
        <f t="shared" si="8"/>
        <v>#N/A</v>
      </c>
    </row>
    <row r="72" spans="12:19" x14ac:dyDescent="0.25">
      <c r="L72" s="7" t="e">
        <f>VLOOKUP(A72,'3121% SY'!A:M,'3121% SY'!$M$1,FALSE)</f>
        <v>#N/A</v>
      </c>
      <c r="M72" s="161" t="e">
        <f t="shared" si="5"/>
        <v>#N/A</v>
      </c>
      <c r="N72" s="33" t="e">
        <f t="shared" si="6"/>
        <v>#N/A</v>
      </c>
      <c r="R72" s="161" t="e">
        <f t="shared" si="7"/>
        <v>#N/A</v>
      </c>
      <c r="S72" s="33" t="e">
        <f t="shared" si="8"/>
        <v>#N/A</v>
      </c>
    </row>
    <row r="73" spans="12:19" x14ac:dyDescent="0.25">
      <c r="L73" s="7" t="e">
        <f>VLOOKUP(A73,'3121% SY'!A:M,'3121% SY'!$M$1,FALSE)</f>
        <v>#N/A</v>
      </c>
      <c r="M73" s="161" t="e">
        <f t="shared" si="5"/>
        <v>#N/A</v>
      </c>
      <c r="N73" s="33" t="e">
        <f t="shared" si="6"/>
        <v>#N/A</v>
      </c>
      <c r="R73" s="161" t="e">
        <f t="shared" si="7"/>
        <v>#N/A</v>
      </c>
      <c r="S73" s="33" t="e">
        <f t="shared" si="8"/>
        <v>#N/A</v>
      </c>
    </row>
    <row r="74" spans="12:19" x14ac:dyDescent="0.25">
      <c r="L74" s="7" t="e">
        <f>VLOOKUP(A74,'3121% SY'!A:M,'3121% SY'!$M$1,FALSE)</f>
        <v>#N/A</v>
      </c>
      <c r="M74" s="161" t="e">
        <f t="shared" si="5"/>
        <v>#N/A</v>
      </c>
      <c r="N74" s="33" t="e">
        <f t="shared" si="6"/>
        <v>#N/A</v>
      </c>
      <c r="R74" s="161" t="e">
        <f t="shared" si="7"/>
        <v>#N/A</v>
      </c>
      <c r="S74" s="33" t="e">
        <f t="shared" si="8"/>
        <v>#N/A</v>
      </c>
    </row>
    <row r="75" spans="12:19" x14ac:dyDescent="0.25">
      <c r="L75" s="7" t="e">
        <f>VLOOKUP(A75,'3121% SY'!A:M,'3121% SY'!$M$1,FALSE)</f>
        <v>#N/A</v>
      </c>
      <c r="M75" s="161" t="e">
        <f t="shared" si="5"/>
        <v>#N/A</v>
      </c>
      <c r="N75" s="33" t="e">
        <f t="shared" si="6"/>
        <v>#N/A</v>
      </c>
      <c r="R75" s="161" t="e">
        <f t="shared" si="7"/>
        <v>#N/A</v>
      </c>
      <c r="S75" s="33" t="e">
        <f t="shared" si="8"/>
        <v>#N/A</v>
      </c>
    </row>
    <row r="76" spans="12:19" x14ac:dyDescent="0.25">
      <c r="L76" s="7" t="e">
        <f>VLOOKUP(A76,'3121% SY'!A:M,'3121% SY'!$M$1,FALSE)</f>
        <v>#N/A</v>
      </c>
      <c r="M76" s="161" t="e">
        <f t="shared" si="5"/>
        <v>#N/A</v>
      </c>
      <c r="N76" s="33" t="e">
        <f t="shared" si="6"/>
        <v>#N/A</v>
      </c>
      <c r="R76" s="161" t="e">
        <f t="shared" si="7"/>
        <v>#N/A</v>
      </c>
      <c r="S76" s="33" t="e">
        <f t="shared" si="8"/>
        <v>#N/A</v>
      </c>
    </row>
    <row r="77" spans="12:19" x14ac:dyDescent="0.25">
      <c r="L77" s="7" t="e">
        <f>VLOOKUP(A77,'3121% SY'!A:M,'3121% SY'!$M$1,FALSE)</f>
        <v>#N/A</v>
      </c>
      <c r="M77" s="161" t="e">
        <f t="shared" si="5"/>
        <v>#N/A</v>
      </c>
      <c r="N77" s="33" t="e">
        <f t="shared" si="6"/>
        <v>#N/A</v>
      </c>
      <c r="R77" s="161" t="e">
        <f t="shared" si="7"/>
        <v>#N/A</v>
      </c>
      <c r="S77" s="33" t="e">
        <f t="shared" si="8"/>
        <v>#N/A</v>
      </c>
    </row>
    <row r="78" spans="12:19" x14ac:dyDescent="0.25">
      <c r="L78" s="7" t="e">
        <f>VLOOKUP(A78,'3121% SY'!A:M,'3121% SY'!$M$1,FALSE)</f>
        <v>#N/A</v>
      </c>
      <c r="M78" s="161" t="e">
        <f t="shared" si="5"/>
        <v>#N/A</v>
      </c>
      <c r="N78" s="33" t="e">
        <f t="shared" si="6"/>
        <v>#N/A</v>
      </c>
      <c r="R78" s="161" t="e">
        <f t="shared" si="7"/>
        <v>#N/A</v>
      </c>
      <c r="S78" s="33" t="e">
        <f t="shared" si="8"/>
        <v>#N/A</v>
      </c>
    </row>
    <row r="79" spans="12:19" x14ac:dyDescent="0.25">
      <c r="L79" s="7" t="e">
        <f>VLOOKUP(A79,'3121% SY'!A:M,'3121% SY'!$M$1,FALSE)</f>
        <v>#N/A</v>
      </c>
      <c r="M79" s="161" t="e">
        <f t="shared" si="5"/>
        <v>#N/A</v>
      </c>
      <c r="N79" s="33" t="e">
        <f t="shared" si="6"/>
        <v>#N/A</v>
      </c>
      <c r="R79" s="161" t="e">
        <f t="shared" si="7"/>
        <v>#N/A</v>
      </c>
      <c r="S79" s="33" t="e">
        <f t="shared" si="8"/>
        <v>#N/A</v>
      </c>
    </row>
    <row r="80" spans="12:19" x14ac:dyDescent="0.25">
      <c r="L80" s="7" t="e">
        <f>VLOOKUP(A80,'3121% SY'!A:M,'3121% SY'!$M$1,FALSE)</f>
        <v>#N/A</v>
      </c>
      <c r="M80" s="161" t="e">
        <f t="shared" si="5"/>
        <v>#N/A</v>
      </c>
      <c r="N80" s="33" t="e">
        <f t="shared" si="6"/>
        <v>#N/A</v>
      </c>
      <c r="R80" s="161" t="e">
        <f t="shared" si="7"/>
        <v>#N/A</v>
      </c>
      <c r="S80" s="33" t="e">
        <f t="shared" si="8"/>
        <v>#N/A</v>
      </c>
    </row>
    <row r="81" spans="12:19" x14ac:dyDescent="0.25">
      <c r="L81" s="7" t="e">
        <f>VLOOKUP(A81,'3121% SY'!A:M,'3121% SY'!$M$1,FALSE)</f>
        <v>#N/A</v>
      </c>
      <c r="M81" s="161" t="e">
        <f t="shared" si="5"/>
        <v>#N/A</v>
      </c>
      <c r="N81" s="33" t="e">
        <f t="shared" si="6"/>
        <v>#N/A</v>
      </c>
      <c r="R81" s="161" t="e">
        <f t="shared" si="7"/>
        <v>#N/A</v>
      </c>
      <c r="S81" s="33" t="e">
        <f t="shared" si="8"/>
        <v>#N/A</v>
      </c>
    </row>
    <row r="82" spans="12:19" x14ac:dyDescent="0.25">
      <c r="L82" s="7" t="e">
        <f>VLOOKUP(A82,'3121% SY'!A:M,'3121% SY'!$M$1,FALSE)</f>
        <v>#N/A</v>
      </c>
      <c r="M82" s="161" t="e">
        <f t="shared" si="5"/>
        <v>#N/A</v>
      </c>
      <c r="N82" s="33" t="e">
        <f t="shared" si="6"/>
        <v>#N/A</v>
      </c>
      <c r="R82" s="161" t="e">
        <f t="shared" si="7"/>
        <v>#N/A</v>
      </c>
      <c r="S82" s="33" t="e">
        <f t="shared" si="8"/>
        <v>#N/A</v>
      </c>
    </row>
    <row r="83" spans="12:19" x14ac:dyDescent="0.25">
      <c r="L83" s="7" t="e">
        <f>VLOOKUP(A83,'3121% SY'!A:M,'3121% SY'!$M$1,FALSE)</f>
        <v>#N/A</v>
      </c>
      <c r="M83" s="161" t="e">
        <f t="shared" si="5"/>
        <v>#N/A</v>
      </c>
      <c r="N83" s="33" t="e">
        <f t="shared" si="6"/>
        <v>#N/A</v>
      </c>
      <c r="R83" s="161" t="e">
        <f t="shared" si="7"/>
        <v>#N/A</v>
      </c>
      <c r="S83" s="33" t="e">
        <f t="shared" si="8"/>
        <v>#N/A</v>
      </c>
    </row>
    <row r="84" spans="12:19" x14ac:dyDescent="0.25">
      <c r="L84" s="7" t="e">
        <f>VLOOKUP(A84,'3121% SY'!A:M,'3121% SY'!$M$1,FALSE)</f>
        <v>#N/A</v>
      </c>
      <c r="M84" s="161" t="e">
        <f t="shared" si="5"/>
        <v>#N/A</v>
      </c>
      <c r="N84" s="33" t="e">
        <f t="shared" si="6"/>
        <v>#N/A</v>
      </c>
      <c r="R84" s="161" t="e">
        <f t="shared" si="7"/>
        <v>#N/A</v>
      </c>
      <c r="S84" s="33" t="e">
        <f t="shared" si="8"/>
        <v>#N/A</v>
      </c>
    </row>
    <row r="85" spans="12:19" x14ac:dyDescent="0.25">
      <c r="L85" s="7" t="e">
        <f>VLOOKUP(A85,'3121% SY'!A:M,'3121% SY'!$M$1,FALSE)</f>
        <v>#N/A</v>
      </c>
      <c r="M85" s="161" t="e">
        <f t="shared" si="5"/>
        <v>#N/A</v>
      </c>
      <c r="N85" s="33" t="e">
        <f t="shared" si="6"/>
        <v>#N/A</v>
      </c>
      <c r="R85" s="161" t="e">
        <f t="shared" si="7"/>
        <v>#N/A</v>
      </c>
      <c r="S85" s="33" t="e">
        <f t="shared" si="8"/>
        <v>#N/A</v>
      </c>
    </row>
    <row r="86" spans="12:19" x14ac:dyDescent="0.25">
      <c r="L86" s="7" t="e">
        <f>VLOOKUP(A86,'3121% SY'!A:M,'3121% SY'!$M$1,FALSE)</f>
        <v>#N/A</v>
      </c>
      <c r="M86" s="161" t="e">
        <f t="shared" si="5"/>
        <v>#N/A</v>
      </c>
      <c r="N86" s="33" t="e">
        <f t="shared" si="6"/>
        <v>#N/A</v>
      </c>
      <c r="R86" s="161" t="e">
        <f t="shared" si="7"/>
        <v>#N/A</v>
      </c>
      <c r="S86" s="33" t="e">
        <f t="shared" si="8"/>
        <v>#N/A</v>
      </c>
    </row>
    <row r="87" spans="12:19" x14ac:dyDescent="0.25">
      <c r="L87" s="7" t="e">
        <f>VLOOKUP(A87,'3121% SY'!A:M,'3121% SY'!$M$1,FALSE)</f>
        <v>#N/A</v>
      </c>
      <c r="M87" s="161" t="e">
        <f t="shared" si="5"/>
        <v>#N/A</v>
      </c>
      <c r="N87" s="33" t="e">
        <f t="shared" si="6"/>
        <v>#N/A</v>
      </c>
      <c r="R87" s="161" t="e">
        <f t="shared" si="7"/>
        <v>#N/A</v>
      </c>
      <c r="S87" s="33" t="e">
        <f t="shared" si="8"/>
        <v>#N/A</v>
      </c>
    </row>
    <row r="88" spans="12:19" x14ac:dyDescent="0.25">
      <c r="L88" s="7" t="e">
        <f>VLOOKUP(A88,'3121% SY'!A:M,'3121% SY'!$M$1,FALSE)</f>
        <v>#N/A</v>
      </c>
      <c r="M88" s="161" t="e">
        <f t="shared" si="5"/>
        <v>#N/A</v>
      </c>
      <c r="N88" s="33" t="e">
        <f t="shared" si="6"/>
        <v>#N/A</v>
      </c>
      <c r="R88" s="161" t="e">
        <f t="shared" si="7"/>
        <v>#N/A</v>
      </c>
      <c r="S88" s="33" t="e">
        <f t="shared" si="8"/>
        <v>#N/A</v>
      </c>
    </row>
    <row r="89" spans="12:19" x14ac:dyDescent="0.25">
      <c r="L89" s="7" t="e">
        <f>VLOOKUP(A89,'3121% SY'!A:M,'3121% SY'!$M$1,FALSE)</f>
        <v>#N/A</v>
      </c>
      <c r="M89" s="161" t="e">
        <f t="shared" si="5"/>
        <v>#N/A</v>
      </c>
      <c r="N89" s="33" t="e">
        <f t="shared" si="6"/>
        <v>#N/A</v>
      </c>
      <c r="R89" s="161" t="e">
        <f t="shared" si="7"/>
        <v>#N/A</v>
      </c>
      <c r="S89" s="33" t="e">
        <f t="shared" si="8"/>
        <v>#N/A</v>
      </c>
    </row>
    <row r="90" spans="12:19" x14ac:dyDescent="0.25">
      <c r="L90" s="7" t="e">
        <f>VLOOKUP(A90,'3121% SY'!A:M,'3121% SY'!$M$1,FALSE)</f>
        <v>#N/A</v>
      </c>
      <c r="M90" s="161" t="e">
        <f t="shared" si="5"/>
        <v>#N/A</v>
      </c>
      <c r="N90" s="33" t="e">
        <f t="shared" si="6"/>
        <v>#N/A</v>
      </c>
      <c r="R90" s="161" t="e">
        <f t="shared" si="7"/>
        <v>#N/A</v>
      </c>
      <c r="S90" s="33" t="e">
        <f t="shared" si="8"/>
        <v>#N/A</v>
      </c>
    </row>
    <row r="91" spans="12:19" x14ac:dyDescent="0.25">
      <c r="L91" s="7" t="e">
        <f>VLOOKUP(A91,'3121% SY'!A:M,'3121% SY'!$M$1,FALSE)</f>
        <v>#N/A</v>
      </c>
      <c r="M91" s="161" t="e">
        <f t="shared" si="5"/>
        <v>#N/A</v>
      </c>
      <c r="N91" s="33" t="e">
        <f t="shared" si="6"/>
        <v>#N/A</v>
      </c>
      <c r="R91" s="161" t="e">
        <f t="shared" si="7"/>
        <v>#N/A</v>
      </c>
      <c r="S91" s="33" t="e">
        <f t="shared" si="8"/>
        <v>#N/A</v>
      </c>
    </row>
    <row r="92" spans="12:19" x14ac:dyDescent="0.25">
      <c r="L92" s="7" t="e">
        <f>VLOOKUP(A92,'3121% SY'!A:M,'3121% SY'!$M$1,FALSE)</f>
        <v>#N/A</v>
      </c>
      <c r="M92" s="161" t="e">
        <f t="shared" si="5"/>
        <v>#N/A</v>
      </c>
      <c r="N92" s="33" t="e">
        <f t="shared" si="6"/>
        <v>#N/A</v>
      </c>
      <c r="R92" s="161" t="e">
        <f t="shared" si="7"/>
        <v>#N/A</v>
      </c>
      <c r="S92" s="33" t="e">
        <f t="shared" si="8"/>
        <v>#N/A</v>
      </c>
    </row>
    <row r="93" spans="12:19" x14ac:dyDescent="0.25">
      <c r="L93" s="7" t="e">
        <f>VLOOKUP(A93,'3121% SY'!A:M,'3121% SY'!$M$1,FALSE)</f>
        <v>#N/A</v>
      </c>
      <c r="M93" s="161" t="e">
        <f t="shared" si="5"/>
        <v>#N/A</v>
      </c>
      <c r="N93" s="33" t="e">
        <f t="shared" si="6"/>
        <v>#N/A</v>
      </c>
      <c r="R93" s="161" t="e">
        <f t="shared" si="7"/>
        <v>#N/A</v>
      </c>
      <c r="S93" s="33" t="e">
        <f t="shared" si="8"/>
        <v>#N/A</v>
      </c>
    </row>
    <row r="94" spans="12:19" x14ac:dyDescent="0.25">
      <c r="L94" s="7" t="e">
        <f>VLOOKUP(A94,'3121% SY'!A:M,'3121% SY'!$M$1,FALSE)</f>
        <v>#N/A</v>
      </c>
      <c r="M94" s="161" t="e">
        <f t="shared" si="5"/>
        <v>#N/A</v>
      </c>
      <c r="N94" s="33" t="e">
        <f t="shared" si="6"/>
        <v>#N/A</v>
      </c>
      <c r="R94" s="161" t="e">
        <f t="shared" si="7"/>
        <v>#N/A</v>
      </c>
      <c r="S94" s="33" t="e">
        <f t="shared" si="8"/>
        <v>#N/A</v>
      </c>
    </row>
    <row r="95" spans="12:19" x14ac:dyDescent="0.25">
      <c r="L95" s="7" t="e">
        <f>VLOOKUP(A95,'3121% SY'!A:M,'3121% SY'!$M$1,FALSE)</f>
        <v>#N/A</v>
      </c>
      <c r="M95" s="161" t="e">
        <f t="shared" si="5"/>
        <v>#N/A</v>
      </c>
      <c r="N95" s="33" t="e">
        <f t="shared" si="6"/>
        <v>#N/A</v>
      </c>
      <c r="R95" s="161" t="e">
        <f t="shared" si="7"/>
        <v>#N/A</v>
      </c>
      <c r="S95" s="33" t="e">
        <f t="shared" si="8"/>
        <v>#N/A</v>
      </c>
    </row>
    <row r="96" spans="12:19" x14ac:dyDescent="0.25">
      <c r="L96" s="7" t="e">
        <f>VLOOKUP(A96,'3121% SY'!A:M,'3121% SY'!$M$1,FALSE)</f>
        <v>#N/A</v>
      </c>
      <c r="M96" s="161" t="e">
        <f t="shared" si="5"/>
        <v>#N/A</v>
      </c>
      <c r="N96" s="33" t="e">
        <f t="shared" si="6"/>
        <v>#N/A</v>
      </c>
      <c r="R96" s="161" t="e">
        <f t="shared" si="7"/>
        <v>#N/A</v>
      </c>
      <c r="S96" s="33" t="e">
        <f t="shared" si="8"/>
        <v>#N/A</v>
      </c>
    </row>
    <row r="97" spans="12:19" x14ac:dyDescent="0.25">
      <c r="L97" s="7" t="e">
        <f>VLOOKUP(A97,'3121% SY'!A:M,'3121% SY'!$M$1,FALSE)</f>
        <v>#N/A</v>
      </c>
      <c r="M97" s="161" t="e">
        <f t="shared" si="5"/>
        <v>#N/A</v>
      </c>
      <c r="N97" s="33" t="e">
        <f t="shared" si="6"/>
        <v>#N/A</v>
      </c>
      <c r="R97" s="161" t="e">
        <f t="shared" si="7"/>
        <v>#N/A</v>
      </c>
      <c r="S97" s="33" t="e">
        <f t="shared" si="8"/>
        <v>#N/A</v>
      </c>
    </row>
    <row r="98" spans="12:19" x14ac:dyDescent="0.25">
      <c r="L98" s="7" t="e">
        <f>VLOOKUP(A98,'3121% SY'!A:M,'3121% SY'!$M$1,FALSE)</f>
        <v>#N/A</v>
      </c>
      <c r="M98" s="161" t="e">
        <f t="shared" si="5"/>
        <v>#N/A</v>
      </c>
      <c r="N98" s="33" t="e">
        <f t="shared" si="6"/>
        <v>#N/A</v>
      </c>
      <c r="R98" s="161" t="e">
        <f t="shared" si="7"/>
        <v>#N/A</v>
      </c>
      <c r="S98" s="33" t="e">
        <f t="shared" si="8"/>
        <v>#N/A</v>
      </c>
    </row>
    <row r="99" spans="12:19" x14ac:dyDescent="0.25">
      <c r="L99" s="7" t="e">
        <f>VLOOKUP(A99,'3121% SY'!A:M,'3121% SY'!$M$1,FALSE)</f>
        <v>#N/A</v>
      </c>
      <c r="M99" s="161" t="e">
        <f t="shared" si="5"/>
        <v>#N/A</v>
      </c>
      <c r="N99" s="33" t="e">
        <f t="shared" si="6"/>
        <v>#N/A</v>
      </c>
      <c r="R99" s="161" t="e">
        <f t="shared" si="7"/>
        <v>#N/A</v>
      </c>
      <c r="S99" s="33" t="e">
        <f t="shared" si="8"/>
        <v>#N/A</v>
      </c>
    </row>
    <row r="100" spans="12:19" x14ac:dyDescent="0.25">
      <c r="L100" s="7" t="e">
        <f>VLOOKUP(A100,'3121% SY'!A:M,'3121% SY'!$M$1,FALSE)</f>
        <v>#N/A</v>
      </c>
      <c r="M100" s="161" t="e">
        <f t="shared" si="5"/>
        <v>#N/A</v>
      </c>
      <c r="N100" s="33" t="e">
        <f t="shared" si="6"/>
        <v>#N/A</v>
      </c>
      <c r="R100" s="161" t="e">
        <f t="shared" si="7"/>
        <v>#N/A</v>
      </c>
      <c r="S100" s="33" t="e">
        <f t="shared" si="8"/>
        <v>#N/A</v>
      </c>
    </row>
    <row r="101" spans="12:19" x14ac:dyDescent="0.25">
      <c r="L101" s="7" t="e">
        <f>VLOOKUP(A101,'3121% SY'!A:M,'3121% SY'!$M$1,FALSE)</f>
        <v>#N/A</v>
      </c>
      <c r="M101" s="161" t="e">
        <f t="shared" si="5"/>
        <v>#N/A</v>
      </c>
      <c r="N101" s="33" t="e">
        <f t="shared" si="6"/>
        <v>#N/A</v>
      </c>
      <c r="R101" s="161" t="e">
        <f t="shared" si="7"/>
        <v>#N/A</v>
      </c>
      <c r="S101" s="33" t="e">
        <f t="shared" si="8"/>
        <v>#N/A</v>
      </c>
    </row>
    <row r="102" spans="12:19" x14ac:dyDescent="0.25">
      <c r="L102" s="7" t="e">
        <f>VLOOKUP(A102,'3121% SY'!A:M,'3121% SY'!$M$1,FALSE)</f>
        <v>#N/A</v>
      </c>
      <c r="M102" s="161" t="e">
        <f t="shared" si="5"/>
        <v>#N/A</v>
      </c>
      <c r="N102" s="33" t="e">
        <f t="shared" si="6"/>
        <v>#N/A</v>
      </c>
      <c r="R102" s="161" t="e">
        <f t="shared" si="7"/>
        <v>#N/A</v>
      </c>
      <c r="S102" s="33" t="e">
        <f t="shared" si="8"/>
        <v>#N/A</v>
      </c>
    </row>
    <row r="103" spans="12:19" x14ac:dyDescent="0.25">
      <c r="L103" s="7" t="e">
        <f>VLOOKUP(A103,'3121% SY'!A:M,'3121% SY'!$M$1,FALSE)</f>
        <v>#N/A</v>
      </c>
      <c r="M103" s="161" t="e">
        <f t="shared" si="5"/>
        <v>#N/A</v>
      </c>
      <c r="N103" s="33" t="e">
        <f t="shared" si="6"/>
        <v>#N/A</v>
      </c>
      <c r="R103" s="161" t="e">
        <f t="shared" si="7"/>
        <v>#N/A</v>
      </c>
      <c r="S103" s="33" t="e">
        <f t="shared" si="8"/>
        <v>#N/A</v>
      </c>
    </row>
    <row r="104" spans="12:19" x14ac:dyDescent="0.25">
      <c r="L104" s="7" t="e">
        <f>VLOOKUP(A104,'3121% SY'!A:M,'3121% SY'!$M$1,FALSE)</f>
        <v>#N/A</v>
      </c>
      <c r="M104" s="161" t="e">
        <f t="shared" si="5"/>
        <v>#N/A</v>
      </c>
      <c r="N104" s="33" t="e">
        <f t="shared" si="6"/>
        <v>#N/A</v>
      </c>
      <c r="R104" s="161" t="e">
        <f t="shared" si="7"/>
        <v>#N/A</v>
      </c>
      <c r="S104" s="33" t="e">
        <f t="shared" si="8"/>
        <v>#N/A</v>
      </c>
    </row>
    <row r="105" spans="12:19" x14ac:dyDescent="0.25">
      <c r="L105" s="7" t="e">
        <f>VLOOKUP(A105,'3121% SY'!A:M,'3121% SY'!$M$1,FALSE)</f>
        <v>#N/A</v>
      </c>
      <c r="M105" s="161" t="e">
        <f t="shared" si="5"/>
        <v>#N/A</v>
      </c>
      <c r="N105" s="33" t="e">
        <f t="shared" si="6"/>
        <v>#N/A</v>
      </c>
      <c r="R105" s="161" t="e">
        <f t="shared" si="7"/>
        <v>#N/A</v>
      </c>
      <c r="S105" s="33" t="e">
        <f t="shared" si="8"/>
        <v>#N/A</v>
      </c>
    </row>
    <row r="106" spans="12:19" x14ac:dyDescent="0.25">
      <c r="L106" s="7" t="e">
        <f>VLOOKUP(A106,'3121% SY'!A:M,'3121% SY'!$M$1,FALSE)</f>
        <v>#N/A</v>
      </c>
      <c r="M106" s="161" t="e">
        <f t="shared" si="5"/>
        <v>#N/A</v>
      </c>
      <c r="N106" s="33" t="e">
        <f t="shared" si="6"/>
        <v>#N/A</v>
      </c>
      <c r="R106" s="161" t="e">
        <f t="shared" si="7"/>
        <v>#N/A</v>
      </c>
      <c r="S106" s="33" t="e">
        <f t="shared" si="8"/>
        <v>#N/A</v>
      </c>
    </row>
    <row r="107" spans="12:19" x14ac:dyDescent="0.25">
      <c r="L107" s="7" t="e">
        <f>VLOOKUP(A107,'3121% SY'!A:M,'3121% SY'!$M$1,FALSE)</f>
        <v>#N/A</v>
      </c>
      <c r="M107" s="161" t="e">
        <f t="shared" si="5"/>
        <v>#N/A</v>
      </c>
      <c r="N107" s="33" t="e">
        <f t="shared" si="6"/>
        <v>#N/A</v>
      </c>
      <c r="R107" s="161" t="e">
        <f t="shared" si="7"/>
        <v>#N/A</v>
      </c>
      <c r="S107" s="33" t="e">
        <f t="shared" si="8"/>
        <v>#N/A</v>
      </c>
    </row>
    <row r="108" spans="12:19" x14ac:dyDescent="0.25">
      <c r="L108" s="7" t="e">
        <f>VLOOKUP(A108,'3121% SY'!A:M,'3121% SY'!$M$1,FALSE)</f>
        <v>#N/A</v>
      </c>
      <c r="M108" s="161" t="e">
        <f t="shared" si="5"/>
        <v>#N/A</v>
      </c>
      <c r="N108" s="33" t="e">
        <f t="shared" si="6"/>
        <v>#N/A</v>
      </c>
      <c r="R108" s="161" t="e">
        <f t="shared" si="7"/>
        <v>#N/A</v>
      </c>
      <c r="S108" s="33" t="e">
        <f t="shared" si="8"/>
        <v>#N/A</v>
      </c>
    </row>
    <row r="109" spans="12:19" x14ac:dyDescent="0.25">
      <c r="L109" s="7" t="e">
        <f>VLOOKUP(A109,'3121% SY'!A:M,'3121% SY'!$M$1,FALSE)</f>
        <v>#N/A</v>
      </c>
      <c r="M109" s="161" t="e">
        <f t="shared" si="5"/>
        <v>#N/A</v>
      </c>
      <c r="N109" s="33" t="e">
        <f t="shared" si="6"/>
        <v>#N/A</v>
      </c>
      <c r="R109" s="161" t="e">
        <f t="shared" si="7"/>
        <v>#N/A</v>
      </c>
      <c r="S109" s="33" t="e">
        <f t="shared" si="8"/>
        <v>#N/A</v>
      </c>
    </row>
    <row r="110" spans="12:19" x14ac:dyDescent="0.25">
      <c r="L110" s="7" t="e">
        <f>VLOOKUP(A110,'3121% SY'!A:M,'3121% SY'!$M$1,FALSE)</f>
        <v>#N/A</v>
      </c>
      <c r="M110" s="161" t="e">
        <f t="shared" si="5"/>
        <v>#N/A</v>
      </c>
      <c r="N110" s="33" t="e">
        <f t="shared" si="6"/>
        <v>#N/A</v>
      </c>
      <c r="R110" s="161" t="e">
        <f t="shared" si="7"/>
        <v>#N/A</v>
      </c>
      <c r="S110" s="33" t="e">
        <f t="shared" si="8"/>
        <v>#N/A</v>
      </c>
    </row>
    <row r="111" spans="12:19" x14ac:dyDescent="0.25">
      <c r="L111" s="7" t="e">
        <f>VLOOKUP(A111,'3121% SY'!A:M,'3121% SY'!$M$1,FALSE)</f>
        <v>#N/A</v>
      </c>
      <c r="M111" s="161" t="e">
        <f t="shared" si="5"/>
        <v>#N/A</v>
      </c>
      <c r="N111" s="33" t="e">
        <f t="shared" si="6"/>
        <v>#N/A</v>
      </c>
      <c r="R111" s="161" t="e">
        <f t="shared" si="7"/>
        <v>#N/A</v>
      </c>
      <c r="S111" s="33" t="e">
        <f t="shared" si="8"/>
        <v>#N/A</v>
      </c>
    </row>
    <row r="112" spans="12:19" x14ac:dyDescent="0.25">
      <c r="L112" s="7" t="e">
        <f>VLOOKUP(A112,'3121% SY'!A:M,'3121% SY'!$M$1,FALSE)</f>
        <v>#N/A</v>
      </c>
      <c r="M112" s="161" t="e">
        <f t="shared" si="5"/>
        <v>#N/A</v>
      </c>
      <c r="N112" s="33" t="e">
        <f t="shared" si="6"/>
        <v>#N/A</v>
      </c>
      <c r="R112" s="161" t="e">
        <f t="shared" si="7"/>
        <v>#N/A</v>
      </c>
      <c r="S112" s="33" t="e">
        <f t="shared" si="8"/>
        <v>#N/A</v>
      </c>
    </row>
    <row r="113" spans="12:19" x14ac:dyDescent="0.25">
      <c r="L113" s="7" t="e">
        <f>VLOOKUP(A113,'3121% SY'!A:M,'3121% SY'!$M$1,FALSE)</f>
        <v>#N/A</v>
      </c>
      <c r="M113" s="161" t="e">
        <f t="shared" si="5"/>
        <v>#N/A</v>
      </c>
      <c r="N113" s="33" t="e">
        <f t="shared" si="6"/>
        <v>#N/A</v>
      </c>
      <c r="R113" s="161" t="e">
        <f t="shared" si="7"/>
        <v>#N/A</v>
      </c>
      <c r="S113" s="33" t="e">
        <f t="shared" si="8"/>
        <v>#N/A</v>
      </c>
    </row>
    <row r="114" spans="12:19" x14ac:dyDescent="0.25">
      <c r="L114" s="7" t="e">
        <f>VLOOKUP(A114,'3121% SY'!A:M,'3121% SY'!$M$1,FALSE)</f>
        <v>#N/A</v>
      </c>
      <c r="M114" s="161" t="e">
        <f t="shared" si="5"/>
        <v>#N/A</v>
      </c>
      <c r="N114" s="33" t="e">
        <f t="shared" si="6"/>
        <v>#N/A</v>
      </c>
      <c r="R114" s="161" t="e">
        <f t="shared" si="7"/>
        <v>#N/A</v>
      </c>
      <c r="S114" s="33" t="e">
        <f t="shared" si="8"/>
        <v>#N/A</v>
      </c>
    </row>
    <row r="115" spans="12:19" x14ac:dyDescent="0.25">
      <c r="L115" s="7" t="e">
        <f>VLOOKUP(A115,'3121% SY'!A:M,'3121% SY'!$M$1,FALSE)</f>
        <v>#N/A</v>
      </c>
      <c r="M115" s="161" t="e">
        <f t="shared" si="5"/>
        <v>#N/A</v>
      </c>
      <c r="N115" s="33" t="e">
        <f t="shared" si="6"/>
        <v>#N/A</v>
      </c>
      <c r="R115" s="161" t="e">
        <f t="shared" si="7"/>
        <v>#N/A</v>
      </c>
      <c r="S115" s="33" t="e">
        <f t="shared" si="8"/>
        <v>#N/A</v>
      </c>
    </row>
    <row r="116" spans="12:19" x14ac:dyDescent="0.25">
      <c r="L116" s="7" t="e">
        <f>VLOOKUP(A116,'3121% SY'!A:M,'3121% SY'!$M$1,FALSE)</f>
        <v>#N/A</v>
      </c>
      <c r="M116" s="161" t="e">
        <f t="shared" si="5"/>
        <v>#N/A</v>
      </c>
      <c r="N116" s="33" t="e">
        <f t="shared" si="6"/>
        <v>#N/A</v>
      </c>
      <c r="R116" s="161" t="e">
        <f t="shared" si="7"/>
        <v>#N/A</v>
      </c>
      <c r="S116" s="33" t="e">
        <f t="shared" si="8"/>
        <v>#N/A</v>
      </c>
    </row>
    <row r="117" spans="12:19" x14ac:dyDescent="0.25">
      <c r="L117" s="7" t="e">
        <f>VLOOKUP(A117,'3121% SY'!A:M,'3121% SY'!$M$1,FALSE)</f>
        <v>#N/A</v>
      </c>
      <c r="M117" s="161" t="e">
        <f t="shared" si="5"/>
        <v>#N/A</v>
      </c>
      <c r="N117" s="33" t="e">
        <f t="shared" si="6"/>
        <v>#N/A</v>
      </c>
      <c r="R117" s="161" t="e">
        <f t="shared" si="7"/>
        <v>#N/A</v>
      </c>
      <c r="S117" s="33" t="e">
        <f t="shared" si="8"/>
        <v>#N/A</v>
      </c>
    </row>
    <row r="118" spans="12:19" x14ac:dyDescent="0.25">
      <c r="L118" s="7" t="e">
        <f>VLOOKUP(A118,'3121% SY'!A:M,'3121% SY'!$M$1,FALSE)</f>
        <v>#N/A</v>
      </c>
      <c r="M118" s="161" t="e">
        <f t="shared" si="5"/>
        <v>#N/A</v>
      </c>
      <c r="N118" s="33" t="e">
        <f t="shared" si="6"/>
        <v>#N/A</v>
      </c>
      <c r="R118" s="161" t="e">
        <f t="shared" si="7"/>
        <v>#N/A</v>
      </c>
      <c r="S118" s="33" t="e">
        <f t="shared" si="8"/>
        <v>#N/A</v>
      </c>
    </row>
    <row r="119" spans="12:19" x14ac:dyDescent="0.25">
      <c r="L119" s="7" t="e">
        <f>VLOOKUP(A119,'3121% SY'!A:M,'3121% SY'!$M$1,FALSE)</f>
        <v>#N/A</v>
      </c>
      <c r="M119" s="161" t="e">
        <f t="shared" si="5"/>
        <v>#N/A</v>
      </c>
      <c r="N119" s="33" t="e">
        <f t="shared" si="6"/>
        <v>#N/A</v>
      </c>
      <c r="R119" s="161" t="e">
        <f t="shared" si="7"/>
        <v>#N/A</v>
      </c>
      <c r="S119" s="33" t="e">
        <f t="shared" si="8"/>
        <v>#N/A</v>
      </c>
    </row>
    <row r="120" spans="12:19" x14ac:dyDescent="0.25">
      <c r="L120" s="7" t="e">
        <f>VLOOKUP(A120,'3121% SY'!A:M,'3121% SY'!$M$1,FALSE)</f>
        <v>#N/A</v>
      </c>
      <c r="M120" s="161" t="e">
        <f t="shared" si="5"/>
        <v>#N/A</v>
      </c>
      <c r="N120" s="33" t="e">
        <f t="shared" si="6"/>
        <v>#N/A</v>
      </c>
      <c r="R120" s="161" t="e">
        <f t="shared" si="7"/>
        <v>#N/A</v>
      </c>
      <c r="S120" s="33" t="e">
        <f t="shared" si="8"/>
        <v>#N/A</v>
      </c>
    </row>
    <row r="121" spans="12:19" x14ac:dyDescent="0.25">
      <c r="L121" s="7" t="e">
        <f>VLOOKUP(A121,'3121% SY'!A:M,'3121% SY'!$M$1,FALSE)</f>
        <v>#N/A</v>
      </c>
      <c r="M121" s="161" t="e">
        <f t="shared" si="5"/>
        <v>#N/A</v>
      </c>
      <c r="N121" s="33" t="e">
        <f t="shared" si="6"/>
        <v>#N/A</v>
      </c>
      <c r="R121" s="161" t="e">
        <f t="shared" si="7"/>
        <v>#N/A</v>
      </c>
      <c r="S121" s="33" t="e">
        <f t="shared" si="8"/>
        <v>#N/A</v>
      </c>
    </row>
    <row r="122" spans="12:19" x14ac:dyDescent="0.25">
      <c r="L122" s="7" t="e">
        <f>VLOOKUP(A122,'3121% SY'!A:M,'3121% SY'!$M$1,FALSE)</f>
        <v>#N/A</v>
      </c>
      <c r="M122" s="161" t="e">
        <f t="shared" si="5"/>
        <v>#N/A</v>
      </c>
      <c r="N122" s="33" t="e">
        <f t="shared" si="6"/>
        <v>#N/A</v>
      </c>
      <c r="R122" s="161" t="e">
        <f t="shared" si="7"/>
        <v>#N/A</v>
      </c>
      <c r="S122" s="33" t="e">
        <f t="shared" si="8"/>
        <v>#N/A</v>
      </c>
    </row>
    <row r="123" spans="12:19" x14ac:dyDescent="0.25">
      <c r="L123" s="7" t="e">
        <f>VLOOKUP(A123,'3121% SY'!A:M,'3121% SY'!$M$1,FALSE)</f>
        <v>#N/A</v>
      </c>
      <c r="M123" s="161" t="e">
        <f t="shared" si="5"/>
        <v>#N/A</v>
      </c>
      <c r="N123" s="33" t="e">
        <f t="shared" si="6"/>
        <v>#N/A</v>
      </c>
      <c r="R123" s="161" t="e">
        <f t="shared" ref="R123:R131" si="9">ROUND(Q123*$L123,3)</f>
        <v>#N/A</v>
      </c>
      <c r="S123" s="33" t="e">
        <f t="shared" ref="S123:S131" si="10">SUM(R123,O123:P123)</f>
        <v>#N/A</v>
      </c>
    </row>
    <row r="124" spans="12:19" x14ac:dyDescent="0.25">
      <c r="L124" s="7" t="e">
        <f>VLOOKUP(A124,'3121% SY'!A:M,'3121% SY'!$M$1,FALSE)</f>
        <v>#N/A</v>
      </c>
      <c r="M124" s="161" t="e">
        <f t="shared" si="5"/>
        <v>#N/A</v>
      </c>
      <c r="N124" s="33" t="e">
        <f t="shared" si="6"/>
        <v>#N/A</v>
      </c>
      <c r="R124" s="161" t="e">
        <f t="shared" si="9"/>
        <v>#N/A</v>
      </c>
      <c r="S124" s="33" t="e">
        <f t="shared" si="10"/>
        <v>#N/A</v>
      </c>
    </row>
    <row r="125" spans="12:19" x14ac:dyDescent="0.25">
      <c r="L125" s="7" t="e">
        <f>VLOOKUP(A125,'3121% SY'!A:M,'3121% SY'!$M$1,FALSE)</f>
        <v>#N/A</v>
      </c>
      <c r="M125" s="161" t="e">
        <f t="shared" si="5"/>
        <v>#N/A</v>
      </c>
      <c r="N125" s="33" t="e">
        <f t="shared" si="6"/>
        <v>#N/A</v>
      </c>
      <c r="R125" s="161" t="e">
        <f t="shared" si="9"/>
        <v>#N/A</v>
      </c>
      <c r="S125" s="33" t="e">
        <f t="shared" si="10"/>
        <v>#N/A</v>
      </c>
    </row>
    <row r="126" spans="12:19" x14ac:dyDescent="0.25">
      <c r="L126" s="7" t="e">
        <f>VLOOKUP(A126,'3121% SY'!A:M,'3121% SY'!$M$1,FALSE)</f>
        <v>#N/A</v>
      </c>
      <c r="M126" s="161" t="e">
        <f t="shared" si="5"/>
        <v>#N/A</v>
      </c>
      <c r="N126" s="33" t="e">
        <f t="shared" si="6"/>
        <v>#N/A</v>
      </c>
      <c r="R126" s="161" t="e">
        <f t="shared" si="9"/>
        <v>#N/A</v>
      </c>
      <c r="S126" s="33" t="e">
        <f t="shared" si="10"/>
        <v>#N/A</v>
      </c>
    </row>
    <row r="127" spans="12:19" x14ac:dyDescent="0.25">
      <c r="L127" s="7" t="e">
        <f>VLOOKUP(A127,'3121% SY'!A:M,'3121% SY'!$M$1,FALSE)</f>
        <v>#N/A</v>
      </c>
      <c r="M127" s="161" t="e">
        <f t="shared" si="5"/>
        <v>#N/A</v>
      </c>
      <c r="N127" s="33" t="e">
        <f t="shared" si="6"/>
        <v>#N/A</v>
      </c>
      <c r="R127" s="161" t="e">
        <f t="shared" si="9"/>
        <v>#N/A</v>
      </c>
      <c r="S127" s="33" t="e">
        <f t="shared" si="10"/>
        <v>#N/A</v>
      </c>
    </row>
    <row r="128" spans="12:19" x14ac:dyDescent="0.25">
      <c r="L128" s="7" t="e">
        <f>VLOOKUP(A128,'3121% SY'!A:M,'3121% SY'!$M$1,FALSE)</f>
        <v>#N/A</v>
      </c>
      <c r="M128" s="161" t="e">
        <f t="shared" si="5"/>
        <v>#N/A</v>
      </c>
      <c r="N128" s="33" t="e">
        <f t="shared" si="6"/>
        <v>#N/A</v>
      </c>
      <c r="R128" s="161" t="e">
        <f t="shared" si="9"/>
        <v>#N/A</v>
      </c>
      <c r="S128" s="33" t="e">
        <f t="shared" si="10"/>
        <v>#N/A</v>
      </c>
    </row>
    <row r="129" spans="12:19" x14ac:dyDescent="0.25">
      <c r="L129" s="7" t="e">
        <f>VLOOKUP(A129,'3121% SY'!A:M,'3121% SY'!$M$1,FALSE)</f>
        <v>#N/A</v>
      </c>
      <c r="M129" s="161" t="e">
        <f t="shared" si="5"/>
        <v>#N/A</v>
      </c>
      <c r="N129" s="33" t="e">
        <f t="shared" si="6"/>
        <v>#N/A</v>
      </c>
      <c r="R129" s="161" t="e">
        <f t="shared" si="9"/>
        <v>#N/A</v>
      </c>
      <c r="S129" s="33" t="e">
        <f t="shared" si="10"/>
        <v>#N/A</v>
      </c>
    </row>
    <row r="130" spans="12:19" x14ac:dyDescent="0.25">
      <c r="L130" s="7" t="e">
        <f>VLOOKUP(A130,'3121% SY'!A:M,'3121% SY'!$M$1,FALSE)</f>
        <v>#N/A</v>
      </c>
      <c r="M130" s="161" t="e">
        <f t="shared" si="5"/>
        <v>#N/A</v>
      </c>
      <c r="N130" s="33" t="e">
        <f t="shared" si="6"/>
        <v>#N/A</v>
      </c>
      <c r="R130" s="161" t="e">
        <f t="shared" si="9"/>
        <v>#N/A</v>
      </c>
      <c r="S130" s="33" t="e">
        <f t="shared" si="10"/>
        <v>#N/A</v>
      </c>
    </row>
    <row r="131" spans="12:19" x14ac:dyDescent="0.25">
      <c r="L131" s="7" t="e">
        <f>VLOOKUP(A131,'3121% SY'!A:M,'3121% SY'!$M$1,FALSE)</f>
        <v>#N/A</v>
      </c>
      <c r="M131" s="161" t="e">
        <f t="shared" si="5"/>
        <v>#N/A</v>
      </c>
      <c r="N131" s="33" t="e">
        <f t="shared" si="6"/>
        <v>#N/A</v>
      </c>
      <c r="R131" s="161" t="e">
        <f t="shared" si="9"/>
        <v>#N/A</v>
      </c>
      <c r="S131" s="33" t="e">
        <f t="shared" si="10"/>
        <v>#N/A</v>
      </c>
    </row>
    <row r="132" spans="12:19" x14ac:dyDescent="0.25">
      <c r="L132" s="7" t="e">
        <f>VLOOKUP(A132,'3121% SY'!A:M,'3121% SY'!$M$1,FALSE)</f>
        <v>#N/A</v>
      </c>
    </row>
    <row r="133" spans="12:19" x14ac:dyDescent="0.25">
      <c r="L133" s="7" t="e">
        <f>VLOOKUP(A133,'3121% SY'!A:M,'3121% SY'!$M$1,FALSE)</f>
        <v>#N/A</v>
      </c>
    </row>
    <row r="134" spans="12:19" x14ac:dyDescent="0.25">
      <c r="L134" s="7" t="e">
        <f>VLOOKUP(A134,'3121% SY'!A:M,'3121% SY'!$M$1,FALSE)</f>
        <v>#N/A</v>
      </c>
    </row>
    <row r="135" spans="12:19" x14ac:dyDescent="0.25">
      <c r="L135" s="7" t="e">
        <f>VLOOKUP(A135,'3121% SY'!A:M,'3121% SY'!$M$1,FALSE)</f>
        <v>#N/A</v>
      </c>
    </row>
    <row r="136" spans="12:19" x14ac:dyDescent="0.25">
      <c r="L136" s="7" t="e">
        <f>VLOOKUP(A136,'3121% SY'!A:M,'3121% SY'!$M$1,FALSE)</f>
        <v>#N/A</v>
      </c>
    </row>
    <row r="137" spans="12:19" x14ac:dyDescent="0.25">
      <c r="L137" s="7" t="e">
        <f>VLOOKUP(A137,'3121% SY'!A:M,'3121% SY'!$M$1,FALSE)</f>
        <v>#N/A</v>
      </c>
    </row>
    <row r="138" spans="12:19" x14ac:dyDescent="0.25">
      <c r="L138" s="7" t="e">
        <f>VLOOKUP(A138,'3121% SY'!A:M,'3121% SY'!$M$1,FALSE)</f>
        <v>#N/A</v>
      </c>
    </row>
    <row r="139" spans="12:19" x14ac:dyDescent="0.25">
      <c r="L139" s="7" t="e">
        <f>VLOOKUP(A139,'3121% SY'!A:M,'3121% SY'!$M$1,FALSE)</f>
        <v>#N/A</v>
      </c>
    </row>
    <row r="140" spans="12:19" x14ac:dyDescent="0.25">
      <c r="L140" s="7" t="e">
        <f>VLOOKUP(A140,'3121% SY'!A:M,'3121% SY'!$M$1,FALSE)</f>
        <v>#N/A</v>
      </c>
    </row>
    <row r="141" spans="12:19" x14ac:dyDescent="0.25">
      <c r="L141" s="7" t="e">
        <f>VLOOKUP(A141,'3121% SY'!A:M,'3121% SY'!$M$1,FALSE)</f>
        <v>#N/A</v>
      </c>
    </row>
    <row r="142" spans="12:19" x14ac:dyDescent="0.25">
      <c r="L142" s="7" t="e">
        <f>VLOOKUP(A142,'3121% SY'!A:M,'3121% SY'!$M$1,FALSE)</f>
        <v>#N/A</v>
      </c>
    </row>
    <row r="143" spans="12:19" x14ac:dyDescent="0.25">
      <c r="L143" s="7" t="e">
        <f>VLOOKUP(A143,'3121% SY'!A:M,'3121% SY'!$M$1,FALSE)</f>
        <v>#N/A</v>
      </c>
    </row>
    <row r="144" spans="12:19" x14ac:dyDescent="0.25">
      <c r="L144" s="7" t="e">
        <f>VLOOKUP(A144,'3121% SY'!A:M,'3121% SY'!$M$1,FALSE)</f>
        <v>#N/A</v>
      </c>
    </row>
    <row r="145" spans="12:12" x14ac:dyDescent="0.25">
      <c r="L145" s="7" t="e">
        <f>VLOOKUP(A145,'3121% SY'!A:M,'3121% SY'!$M$1,FALSE)</f>
        <v>#N/A</v>
      </c>
    </row>
    <row r="146" spans="12:12" x14ac:dyDescent="0.25">
      <c r="L146" s="7" t="e">
        <f>VLOOKUP(A146,'3121% SY'!A:M,'3121% SY'!$M$1,FALSE)</f>
        <v>#N/A</v>
      </c>
    </row>
    <row r="147" spans="12:12" x14ac:dyDescent="0.25">
      <c r="L147" s="7" t="e">
        <f>VLOOKUP(A147,'3121% SY'!A:M,'3121% SY'!$M$1,FALSE)</f>
        <v>#N/A</v>
      </c>
    </row>
    <row r="148" spans="12:12" x14ac:dyDescent="0.25">
      <c r="L148" s="7" t="e">
        <f>VLOOKUP(A148,'3121% SY'!A:M,'3121% SY'!$M$1,FALSE)</f>
        <v>#N/A</v>
      </c>
    </row>
    <row r="149" spans="12:12" x14ac:dyDescent="0.25">
      <c r="L149" s="7" t="e">
        <f>VLOOKUP(A149,'3121% SY'!A:M,'3121% SY'!$M$1,FALSE)</f>
        <v>#N/A</v>
      </c>
    </row>
    <row r="150" spans="12:12" x14ac:dyDescent="0.25">
      <c r="L150" s="7" t="e">
        <f>VLOOKUP(A150,'3121% SY'!A:M,'3121% SY'!$M$1,FALSE)</f>
        <v>#N/A</v>
      </c>
    </row>
    <row r="151" spans="12:12" x14ac:dyDescent="0.25">
      <c r="L151" s="7" t="e">
        <f>VLOOKUP(A151,'3121% SY'!A:M,'3121% SY'!$M$1,FALSE)</f>
        <v>#N/A</v>
      </c>
    </row>
  </sheetData>
  <mergeCells count="1">
    <mergeCell ref="B2:H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CFCE6-C7D9-496C-925F-83FB09266AE0}">
  <sheetPr codeName="Sheet37"/>
  <dimension ref="A1:T151"/>
  <sheetViews>
    <sheetView workbookViewId="0">
      <selection activeCell="L4" sqref="L4:L151"/>
    </sheetView>
  </sheetViews>
  <sheetFormatPr defaultRowHeight="15" x14ac:dyDescent="0.25"/>
  <cols>
    <col min="1" max="1" width="13.140625" bestFit="1" customWidth="1"/>
    <col min="2" max="2" width="12.7109375" bestFit="1" customWidth="1"/>
    <col min="3" max="3" width="13.7109375" bestFit="1" customWidth="1"/>
    <col min="4" max="4" width="13.140625" bestFit="1" customWidth="1"/>
    <col min="5" max="6" width="14.85546875" bestFit="1" customWidth="1"/>
    <col min="7" max="7" width="15.7109375" bestFit="1" customWidth="1"/>
    <col min="8" max="8" width="15.140625" bestFit="1" customWidth="1"/>
    <col min="9" max="9" width="14.85546875" bestFit="1" customWidth="1"/>
    <col min="10" max="10" width="15.7109375" bestFit="1" customWidth="1"/>
    <col min="11" max="11" width="15.140625" bestFit="1" customWidth="1"/>
    <col min="12" max="12" width="12.7109375" bestFit="1" customWidth="1"/>
    <col min="13" max="13" width="17.42578125" bestFit="1" customWidth="1"/>
    <col min="14" max="14" width="12.7109375" bestFit="1" customWidth="1"/>
    <col min="15" max="16" width="16" bestFit="1" customWidth="1"/>
    <col min="17" max="17" width="13.5703125" bestFit="1" customWidth="1"/>
    <col min="18" max="18" width="12.7109375" bestFit="1" customWidth="1"/>
    <col min="19" max="19" width="21" bestFit="1" customWidth="1"/>
    <col min="20" max="43" width="12.7109375" bestFit="1" customWidth="1"/>
  </cols>
  <sheetData>
    <row r="1" spans="1:20" x14ac:dyDescent="0.25">
      <c r="A1" s="87">
        <f>COLUMN(A1)</f>
        <v>1</v>
      </c>
      <c r="B1" s="87">
        <f>COLUMN(B1)</f>
        <v>2</v>
      </c>
      <c r="C1" s="87">
        <f t="shared" ref="C1:S1" si="0">COLUMN(C1)</f>
        <v>3</v>
      </c>
      <c r="D1" s="87">
        <f t="shared" si="0"/>
        <v>4</v>
      </c>
      <c r="E1" s="87">
        <f t="shared" si="0"/>
        <v>5</v>
      </c>
      <c r="F1" s="87">
        <f t="shared" si="0"/>
        <v>6</v>
      </c>
      <c r="G1" s="87">
        <f t="shared" si="0"/>
        <v>7</v>
      </c>
      <c r="H1" s="87">
        <f t="shared" si="0"/>
        <v>8</v>
      </c>
      <c r="I1" s="87">
        <f t="shared" si="0"/>
        <v>9</v>
      </c>
      <c r="J1" s="87">
        <f t="shared" si="0"/>
        <v>10</v>
      </c>
      <c r="K1" s="87">
        <f t="shared" si="0"/>
        <v>11</v>
      </c>
      <c r="L1" s="87">
        <f t="shared" si="0"/>
        <v>12</v>
      </c>
      <c r="M1" s="87">
        <f t="shared" si="0"/>
        <v>13</v>
      </c>
      <c r="N1" s="87">
        <f t="shared" si="0"/>
        <v>14</v>
      </c>
      <c r="O1" s="87">
        <f t="shared" si="0"/>
        <v>15</v>
      </c>
      <c r="P1" s="87">
        <f t="shared" si="0"/>
        <v>16</v>
      </c>
      <c r="Q1" s="87">
        <f t="shared" si="0"/>
        <v>17</v>
      </c>
      <c r="R1" s="87">
        <f t="shared" si="0"/>
        <v>18</v>
      </c>
      <c r="S1" s="87">
        <f t="shared" si="0"/>
        <v>19</v>
      </c>
      <c r="T1" s="87"/>
    </row>
    <row r="2" spans="1:20" x14ac:dyDescent="0.25">
      <c r="A2">
        <f>COUNTA(A4:A131)</f>
        <v>24</v>
      </c>
      <c r="B2" s="290" t="s">
        <v>723</v>
      </c>
      <c r="C2" s="290"/>
      <c r="D2" s="290"/>
      <c r="E2" s="290"/>
      <c r="F2" s="290"/>
      <c r="G2" s="290"/>
      <c r="H2" s="290"/>
      <c r="I2" s="156"/>
      <c r="J2" s="156"/>
      <c r="K2" s="156"/>
      <c r="N2" s="33" t="e">
        <f>SUM(N5:N150)</f>
        <v>#N/A</v>
      </c>
    </row>
    <row r="3" spans="1:20" x14ac:dyDescent="0.25">
      <c r="A3" s="91" t="s">
        <v>752</v>
      </c>
      <c r="B3" t="s">
        <v>794</v>
      </c>
      <c r="C3" t="s">
        <v>834</v>
      </c>
      <c r="D3" t="s">
        <v>875</v>
      </c>
      <c r="E3" t="s">
        <v>1141</v>
      </c>
      <c r="F3" t="s">
        <v>807</v>
      </c>
      <c r="G3" t="s">
        <v>847</v>
      </c>
      <c r="H3" t="s">
        <v>888</v>
      </c>
      <c r="I3" t="s">
        <v>820</v>
      </c>
      <c r="J3" t="s">
        <v>865</v>
      </c>
      <c r="K3" t="s">
        <v>900</v>
      </c>
      <c r="L3" s="6">
        <v>31.21</v>
      </c>
      <c r="M3" t="str">
        <f>"SpEd Staffed "&amp;$B$2</f>
        <v>SpEd Staffed Contractor ESA</v>
      </c>
      <c r="N3" s="162" t="str">
        <f>"Total "&amp;$B$2</f>
        <v>Total Contractor ESA</v>
      </c>
      <c r="O3" t="s">
        <v>1062</v>
      </c>
      <c r="P3" t="s">
        <v>1063</v>
      </c>
      <c r="Q3" t="s">
        <v>1061</v>
      </c>
      <c r="R3" t="str">
        <f>"SpEd Contracted "&amp;$B$2</f>
        <v>SpEd Contracted Contractor ESA</v>
      </c>
      <c r="S3" s="162" t="str">
        <f>"Total Contracted "&amp;$B$2</f>
        <v>Total Contracted Contractor ESA</v>
      </c>
    </row>
    <row r="4" spans="1:20" x14ac:dyDescent="0.25">
      <c r="A4" s="88" t="s">
        <v>7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7">
        <f>VLOOKUP(A4,'3121% SY'!A:M,'3121% SY'!$M$1,FALSE)</f>
        <v>0.1179</v>
      </c>
      <c r="M4" s="161">
        <f>ROUND(I4*$L4,3)+ROUND(J4*$L4,3)++ROUND(K4*$L4,3)</f>
        <v>0</v>
      </c>
      <c r="N4" s="33">
        <f>SUM(M4,B4:H4)</f>
        <v>0</v>
      </c>
      <c r="R4" s="161">
        <f>ROUND(Q4*$L4,3)</f>
        <v>0</v>
      </c>
      <c r="S4" s="33">
        <f>SUM(R4,O4:P4)</f>
        <v>0</v>
      </c>
    </row>
    <row r="5" spans="1:20" x14ac:dyDescent="0.25">
      <c r="A5" s="88" t="s">
        <v>40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7">
        <f>VLOOKUP(A5,'3121% SY'!A:M,'3121% SY'!$M$1,FALSE)</f>
        <v>0.1794</v>
      </c>
      <c r="M5" s="161">
        <f t="shared" ref="M5:M68" si="1">ROUND(I5*$L5,3)+ROUND(J5*$L5,3)++ROUND(K5*$L5,3)</f>
        <v>0</v>
      </c>
      <c r="N5" s="33">
        <f t="shared" ref="N5:N68" si="2">SUM(M5,B5:H5)</f>
        <v>0</v>
      </c>
      <c r="R5" s="161">
        <f t="shared" ref="R5:R68" si="3">ROUND(Q5*$L5,3)</f>
        <v>0</v>
      </c>
      <c r="S5" s="33">
        <f t="shared" ref="S5:S68" si="4">SUM(R5,O5:P5)</f>
        <v>0</v>
      </c>
    </row>
    <row r="6" spans="1:20" x14ac:dyDescent="0.25">
      <c r="A6" s="88" t="s">
        <v>61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7">
        <f>VLOOKUP(A6,'3121% SY'!A:M,'3121% SY'!$M$1,FALSE)</f>
        <v>0.24629999999999996</v>
      </c>
      <c r="M6" s="161">
        <f t="shared" si="1"/>
        <v>0</v>
      </c>
      <c r="N6" s="33">
        <f t="shared" si="2"/>
        <v>0</v>
      </c>
      <c r="R6" s="161">
        <f t="shared" si="3"/>
        <v>0</v>
      </c>
      <c r="S6" s="33">
        <f t="shared" si="4"/>
        <v>0</v>
      </c>
    </row>
    <row r="7" spans="1:20" x14ac:dyDescent="0.25">
      <c r="A7" s="88" t="s">
        <v>78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7">
        <f>VLOOKUP(A7,'3121% SY'!A:M,'3121% SY'!$M$1,FALSE)</f>
        <v>0.17600000000000005</v>
      </c>
      <c r="M7" s="161">
        <f t="shared" si="1"/>
        <v>0</v>
      </c>
      <c r="N7" s="33">
        <f t="shared" si="2"/>
        <v>0</v>
      </c>
      <c r="R7" s="161">
        <f t="shared" si="3"/>
        <v>0</v>
      </c>
      <c r="S7" s="33">
        <f t="shared" si="4"/>
        <v>0</v>
      </c>
    </row>
    <row r="8" spans="1:20" x14ac:dyDescent="0.25">
      <c r="A8" s="88" t="s">
        <v>84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1.21</v>
      </c>
      <c r="J8">
        <v>0</v>
      </c>
      <c r="K8">
        <v>0</v>
      </c>
      <c r="L8" s="7">
        <f>VLOOKUP(A8,'3121% SY'!A:M,'3121% SY'!$M$1,FALSE)</f>
        <v>8.9999999999999969E-2</v>
      </c>
      <c r="M8" s="161">
        <f t="shared" si="1"/>
        <v>0.109</v>
      </c>
      <c r="N8" s="33">
        <f t="shared" si="2"/>
        <v>0.109</v>
      </c>
      <c r="R8" s="161">
        <f t="shared" si="3"/>
        <v>0</v>
      </c>
      <c r="S8" s="33">
        <f t="shared" si="4"/>
        <v>0</v>
      </c>
    </row>
    <row r="9" spans="1:20" x14ac:dyDescent="0.25">
      <c r="A9" s="88" t="s">
        <v>87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7">
        <f>VLOOKUP(A9,'3121% SY'!A:M,'3121% SY'!$M$1,FALSE)</f>
        <v>0.18340000000000001</v>
      </c>
      <c r="M9" s="161">
        <f t="shared" si="1"/>
        <v>0</v>
      </c>
      <c r="N9" s="33">
        <f t="shared" si="2"/>
        <v>0</v>
      </c>
      <c r="R9" s="161">
        <f t="shared" si="3"/>
        <v>0</v>
      </c>
      <c r="S9" s="33">
        <f t="shared" si="4"/>
        <v>0</v>
      </c>
    </row>
    <row r="10" spans="1:20" x14ac:dyDescent="0.25">
      <c r="A10" s="88" t="s">
        <v>89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7">
        <f>VLOOKUP(A10,'3121% SY'!A:M,'3121% SY'!$M$1,FALSE)</f>
        <v>0.22170000000000001</v>
      </c>
      <c r="M10" s="161">
        <f t="shared" si="1"/>
        <v>0</v>
      </c>
      <c r="N10" s="33">
        <f t="shared" si="2"/>
        <v>0</v>
      </c>
      <c r="R10" s="161">
        <f t="shared" si="3"/>
        <v>0</v>
      </c>
      <c r="S10" s="33">
        <f t="shared" si="4"/>
        <v>0</v>
      </c>
    </row>
    <row r="11" spans="1:20" x14ac:dyDescent="0.25">
      <c r="A11" s="88" t="s">
        <v>141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7">
        <f>VLOOKUP(A11,'3121% SY'!A:M,'3121% SY'!$M$1,FALSE)</f>
        <v>0.31479999999999997</v>
      </c>
      <c r="M11" s="161">
        <f t="shared" si="1"/>
        <v>0</v>
      </c>
      <c r="N11" s="33">
        <f t="shared" si="2"/>
        <v>0</v>
      </c>
      <c r="R11" s="161">
        <f t="shared" si="3"/>
        <v>0</v>
      </c>
      <c r="S11" s="33">
        <f t="shared" si="4"/>
        <v>0</v>
      </c>
    </row>
    <row r="12" spans="1:20" x14ac:dyDescent="0.25">
      <c r="A12" s="88" t="s">
        <v>145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7">
        <f>VLOOKUP(A12,'3121% SY'!A:M,'3121% SY'!$M$1,FALSE)</f>
        <v>0.28620000000000001</v>
      </c>
      <c r="M12" s="161">
        <f t="shared" si="1"/>
        <v>0</v>
      </c>
      <c r="N12" s="33">
        <f t="shared" si="2"/>
        <v>0</v>
      </c>
      <c r="R12" s="161">
        <f t="shared" si="3"/>
        <v>0</v>
      </c>
      <c r="S12" s="33">
        <f t="shared" si="4"/>
        <v>0</v>
      </c>
    </row>
    <row r="13" spans="1:20" x14ac:dyDescent="0.25">
      <c r="A13" s="88" t="s">
        <v>146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7">
        <f>VLOOKUP(A13,'3121% SY'!A:M,'3121% SY'!$M$1,FALSE)</f>
        <v>0.25719999999999998</v>
      </c>
      <c r="M13" s="161">
        <f t="shared" si="1"/>
        <v>0</v>
      </c>
      <c r="N13" s="33">
        <f t="shared" si="2"/>
        <v>0</v>
      </c>
      <c r="R13" s="161">
        <f t="shared" si="3"/>
        <v>0</v>
      </c>
      <c r="S13" s="33">
        <f t="shared" si="4"/>
        <v>0</v>
      </c>
    </row>
    <row r="14" spans="1:20" x14ac:dyDescent="0.25">
      <c r="A14" s="88" t="s">
        <v>162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7">
        <f>VLOOKUP(A14,'3121% SY'!A:M,'3121% SY'!$M$1,FALSE)</f>
        <v>0.19820000000000004</v>
      </c>
      <c r="M14" s="161">
        <f t="shared" si="1"/>
        <v>0</v>
      </c>
      <c r="N14" s="33">
        <f t="shared" si="2"/>
        <v>0</v>
      </c>
      <c r="R14" s="161">
        <f t="shared" si="3"/>
        <v>0</v>
      </c>
      <c r="S14" s="33">
        <f t="shared" si="4"/>
        <v>0</v>
      </c>
    </row>
    <row r="15" spans="1:20" x14ac:dyDescent="0.25">
      <c r="A15" s="88" t="s">
        <v>163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7">
        <f>VLOOKUP(A15,'3121% SY'!A:M,'3121% SY'!$M$1,FALSE)</f>
        <v>0.20989999999999998</v>
      </c>
      <c r="M15" s="161">
        <f t="shared" si="1"/>
        <v>0</v>
      </c>
      <c r="N15" s="33">
        <f t="shared" si="2"/>
        <v>0</v>
      </c>
      <c r="R15" s="161">
        <f t="shared" si="3"/>
        <v>0</v>
      </c>
      <c r="S15" s="33">
        <f t="shared" si="4"/>
        <v>0</v>
      </c>
    </row>
    <row r="16" spans="1:20" x14ac:dyDescent="0.25">
      <c r="A16" s="88" t="s">
        <v>176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7">
        <f>VLOOKUP(A16,'3121% SY'!A:M,'3121% SY'!$M$1,FALSE)</f>
        <v>0.29900000000000004</v>
      </c>
      <c r="M16" s="161">
        <f t="shared" si="1"/>
        <v>0</v>
      </c>
      <c r="N16" s="33">
        <f t="shared" si="2"/>
        <v>0</v>
      </c>
      <c r="R16" s="161">
        <f t="shared" si="3"/>
        <v>0</v>
      </c>
      <c r="S16" s="33">
        <f t="shared" si="4"/>
        <v>0</v>
      </c>
    </row>
    <row r="17" spans="1:19" x14ac:dyDescent="0.25">
      <c r="A17" s="88" t="s">
        <v>233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7">
        <f>VLOOKUP(A17,'3121% SY'!A:M,'3121% SY'!$M$1,FALSE)</f>
        <v>0.20020000000000004</v>
      </c>
      <c r="M17" s="161">
        <f t="shared" si="1"/>
        <v>0</v>
      </c>
      <c r="N17" s="33">
        <f t="shared" si="2"/>
        <v>0</v>
      </c>
      <c r="R17" s="161">
        <f t="shared" si="3"/>
        <v>0</v>
      </c>
      <c r="S17" s="33">
        <f t="shared" si="4"/>
        <v>0</v>
      </c>
    </row>
    <row r="18" spans="1:19" x14ac:dyDescent="0.25">
      <c r="A18" s="88" t="s">
        <v>250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7">
        <f>VLOOKUP(A18,'3121% SY'!A:M,'3121% SY'!$M$1,FALSE)</f>
        <v>0.15839999999999999</v>
      </c>
      <c r="M18" s="161">
        <f t="shared" si="1"/>
        <v>0</v>
      </c>
      <c r="N18" s="33">
        <f t="shared" si="2"/>
        <v>0</v>
      </c>
      <c r="R18" s="161">
        <f t="shared" si="3"/>
        <v>0</v>
      </c>
      <c r="S18" s="33">
        <f t="shared" si="4"/>
        <v>0</v>
      </c>
    </row>
    <row r="19" spans="1:19" x14ac:dyDescent="0.25">
      <c r="A19" s="88" t="s">
        <v>256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7">
        <f>VLOOKUP(A19,'3121% SY'!A:M,'3121% SY'!$M$1,FALSE)</f>
        <v>0.23140000000000005</v>
      </c>
      <c r="M19" s="161">
        <f t="shared" si="1"/>
        <v>0</v>
      </c>
      <c r="N19" s="33">
        <f t="shared" si="2"/>
        <v>0</v>
      </c>
      <c r="R19" s="161">
        <f t="shared" si="3"/>
        <v>0</v>
      </c>
      <c r="S19" s="33">
        <f t="shared" si="4"/>
        <v>0</v>
      </c>
    </row>
    <row r="20" spans="1:19" x14ac:dyDescent="0.25">
      <c r="A20" s="88" t="s">
        <v>259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7">
        <f>VLOOKUP(A20,'3121% SY'!A:M,'3121% SY'!$M$1,FALSE)</f>
        <v>0.24870000000000003</v>
      </c>
      <c r="M20" s="161">
        <f t="shared" si="1"/>
        <v>0</v>
      </c>
      <c r="N20" s="33">
        <f t="shared" si="2"/>
        <v>0</v>
      </c>
      <c r="R20" s="161">
        <f t="shared" si="3"/>
        <v>0</v>
      </c>
      <c r="S20" s="33">
        <f t="shared" si="4"/>
        <v>0</v>
      </c>
    </row>
    <row r="21" spans="1:19" x14ac:dyDescent="0.25">
      <c r="A21" s="88" t="s">
        <v>280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7">
        <f>VLOOKUP(A21,'3121% SY'!A:M,'3121% SY'!$M$1,FALSE)</f>
        <v>0.18340000000000001</v>
      </c>
      <c r="M21" s="161">
        <f t="shared" si="1"/>
        <v>0</v>
      </c>
      <c r="N21" s="33">
        <f t="shared" si="2"/>
        <v>0</v>
      </c>
      <c r="R21" s="161">
        <f t="shared" si="3"/>
        <v>0</v>
      </c>
      <c r="S21" s="33">
        <f t="shared" si="4"/>
        <v>0</v>
      </c>
    </row>
    <row r="22" spans="1:19" x14ac:dyDescent="0.25">
      <c r="A22" s="88" t="s">
        <v>284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7">
        <f>VLOOKUP(A22,'3121% SY'!A:M,'3121% SY'!$M$1,FALSE)</f>
        <v>0.14729999999999999</v>
      </c>
      <c r="M22" s="161">
        <f t="shared" si="1"/>
        <v>0</v>
      </c>
      <c r="N22" s="33">
        <f t="shared" si="2"/>
        <v>0</v>
      </c>
      <c r="R22" s="161">
        <f t="shared" si="3"/>
        <v>0</v>
      </c>
      <c r="S22" s="33">
        <f t="shared" si="4"/>
        <v>0</v>
      </c>
    </row>
    <row r="23" spans="1:19" x14ac:dyDescent="0.25">
      <c r="A23" s="88" t="s">
        <v>289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7">
        <f>VLOOKUP(A23,'3121% SY'!A:M,'3121% SY'!$M$1,FALSE)</f>
        <v>0.19010000000000005</v>
      </c>
      <c r="M23" s="161">
        <f t="shared" si="1"/>
        <v>0</v>
      </c>
      <c r="N23" s="33">
        <f t="shared" si="2"/>
        <v>0</v>
      </c>
      <c r="R23" s="161">
        <f t="shared" si="3"/>
        <v>0</v>
      </c>
      <c r="S23" s="33">
        <f t="shared" si="4"/>
        <v>0</v>
      </c>
    </row>
    <row r="24" spans="1:19" x14ac:dyDescent="0.25">
      <c r="A24" s="88" t="s">
        <v>290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7">
        <f>VLOOKUP(A24,'3121% SY'!A:M,'3121% SY'!$M$1,FALSE)</f>
        <v>0.15839999999999999</v>
      </c>
      <c r="M24" s="161">
        <f t="shared" si="1"/>
        <v>0</v>
      </c>
      <c r="N24" s="33">
        <f t="shared" si="2"/>
        <v>0</v>
      </c>
      <c r="R24" s="161">
        <f t="shared" si="3"/>
        <v>0</v>
      </c>
      <c r="S24" s="33">
        <f t="shared" si="4"/>
        <v>0</v>
      </c>
    </row>
    <row r="25" spans="1:19" x14ac:dyDescent="0.25">
      <c r="A25" s="88" t="s">
        <v>302</v>
      </c>
      <c r="B25">
        <v>2</v>
      </c>
      <c r="C25">
        <v>3</v>
      </c>
      <c r="D25">
        <v>2</v>
      </c>
      <c r="E25">
        <v>0</v>
      </c>
      <c r="F25">
        <v>0</v>
      </c>
      <c r="G25">
        <v>0</v>
      </c>
      <c r="H25">
        <v>0</v>
      </c>
      <c r="I25">
        <v>2.4950000000000001</v>
      </c>
      <c r="J25">
        <v>1.4950000000000001</v>
      </c>
      <c r="K25">
        <v>1.4950000000000001</v>
      </c>
      <c r="L25" s="7">
        <f>VLOOKUP(A25,'3121% SY'!A:M,'3121% SY'!$M$1,FALSE)</f>
        <v>0.21989999999999998</v>
      </c>
      <c r="M25" s="161">
        <f t="shared" si="1"/>
        <v>1.2070000000000001</v>
      </c>
      <c r="N25" s="33">
        <f t="shared" si="2"/>
        <v>8.2070000000000007</v>
      </c>
      <c r="R25" s="161">
        <f t="shared" si="3"/>
        <v>0</v>
      </c>
      <c r="S25" s="33">
        <f t="shared" si="4"/>
        <v>0</v>
      </c>
    </row>
    <row r="26" spans="1:19" x14ac:dyDescent="0.25">
      <c r="A26" s="88" t="s">
        <v>1098</v>
      </c>
      <c r="L26" s="7" t="e">
        <f>VLOOKUP(A26,'3121% SY'!A:M,'3121% SY'!$M$1,FALSE)</f>
        <v>#N/A</v>
      </c>
      <c r="M26" s="161" t="e">
        <f t="shared" si="1"/>
        <v>#N/A</v>
      </c>
      <c r="N26" s="33" t="e">
        <f t="shared" si="2"/>
        <v>#N/A</v>
      </c>
      <c r="R26" s="161" t="e">
        <f t="shared" si="3"/>
        <v>#N/A</v>
      </c>
      <c r="S26" s="33" t="e">
        <f t="shared" si="4"/>
        <v>#N/A</v>
      </c>
    </row>
    <row r="27" spans="1:19" x14ac:dyDescent="0.25">
      <c r="A27" s="88" t="s">
        <v>753</v>
      </c>
      <c r="B27">
        <v>2</v>
      </c>
      <c r="C27">
        <v>3</v>
      </c>
      <c r="D27">
        <v>2</v>
      </c>
      <c r="E27">
        <v>0</v>
      </c>
      <c r="F27">
        <v>0</v>
      </c>
      <c r="G27">
        <v>0</v>
      </c>
      <c r="H27">
        <v>0</v>
      </c>
      <c r="I27">
        <v>3.7050000000000001</v>
      </c>
      <c r="J27">
        <v>1.4950000000000001</v>
      </c>
      <c r="K27">
        <v>1.4950000000000001</v>
      </c>
      <c r="L27" s="7" t="e">
        <f>VLOOKUP(A27,'3121% SY'!A:M,'3121% SY'!$M$1,FALSE)</f>
        <v>#N/A</v>
      </c>
      <c r="M27" s="161" t="e">
        <f t="shared" si="1"/>
        <v>#N/A</v>
      </c>
      <c r="N27" s="33" t="e">
        <f t="shared" si="2"/>
        <v>#N/A</v>
      </c>
      <c r="R27" s="161" t="e">
        <f t="shared" si="3"/>
        <v>#N/A</v>
      </c>
      <c r="S27" s="33" t="e">
        <f t="shared" si="4"/>
        <v>#N/A</v>
      </c>
    </row>
    <row r="28" spans="1:19" x14ac:dyDescent="0.25">
      <c r="L28" s="7" t="e">
        <f>VLOOKUP(A28,'3121% SY'!A:M,'3121% SY'!$M$1,FALSE)</f>
        <v>#N/A</v>
      </c>
      <c r="M28" s="161" t="e">
        <f t="shared" si="1"/>
        <v>#N/A</v>
      </c>
      <c r="N28" s="33" t="e">
        <f t="shared" si="2"/>
        <v>#N/A</v>
      </c>
      <c r="R28" s="161" t="e">
        <f t="shared" si="3"/>
        <v>#N/A</v>
      </c>
      <c r="S28" s="33" t="e">
        <f t="shared" si="4"/>
        <v>#N/A</v>
      </c>
    </row>
    <row r="29" spans="1:19" x14ac:dyDescent="0.25">
      <c r="L29" s="7" t="e">
        <f>VLOOKUP(A29,'3121% SY'!A:M,'3121% SY'!$M$1,FALSE)</f>
        <v>#N/A</v>
      </c>
      <c r="M29" s="161" t="e">
        <f t="shared" si="1"/>
        <v>#N/A</v>
      </c>
      <c r="N29" s="33" t="e">
        <f t="shared" si="2"/>
        <v>#N/A</v>
      </c>
      <c r="R29" s="161" t="e">
        <f t="shared" si="3"/>
        <v>#N/A</v>
      </c>
      <c r="S29" s="33" t="e">
        <f t="shared" si="4"/>
        <v>#N/A</v>
      </c>
    </row>
    <row r="30" spans="1:19" x14ac:dyDescent="0.25">
      <c r="L30" s="7" t="e">
        <f>VLOOKUP(A30,'3121% SY'!A:M,'3121% SY'!$M$1,FALSE)</f>
        <v>#N/A</v>
      </c>
      <c r="M30" s="161" t="e">
        <f t="shared" si="1"/>
        <v>#N/A</v>
      </c>
      <c r="N30" s="33" t="e">
        <f t="shared" si="2"/>
        <v>#N/A</v>
      </c>
      <c r="R30" s="161" t="e">
        <f t="shared" si="3"/>
        <v>#N/A</v>
      </c>
      <c r="S30" s="33" t="e">
        <f t="shared" si="4"/>
        <v>#N/A</v>
      </c>
    </row>
    <row r="31" spans="1:19" x14ac:dyDescent="0.25">
      <c r="L31" s="7" t="e">
        <f>VLOOKUP(A31,'3121% SY'!A:M,'3121% SY'!$M$1,FALSE)</f>
        <v>#N/A</v>
      </c>
      <c r="M31" s="161" t="e">
        <f t="shared" si="1"/>
        <v>#N/A</v>
      </c>
      <c r="N31" s="33" t="e">
        <f t="shared" si="2"/>
        <v>#N/A</v>
      </c>
      <c r="R31" s="161" t="e">
        <f t="shared" si="3"/>
        <v>#N/A</v>
      </c>
      <c r="S31" s="33" t="e">
        <f t="shared" si="4"/>
        <v>#N/A</v>
      </c>
    </row>
    <row r="32" spans="1:19" x14ac:dyDescent="0.25">
      <c r="L32" s="7" t="e">
        <f>VLOOKUP(A32,'3121% SY'!A:M,'3121% SY'!$M$1,FALSE)</f>
        <v>#N/A</v>
      </c>
      <c r="M32" s="161" t="e">
        <f t="shared" si="1"/>
        <v>#N/A</v>
      </c>
      <c r="N32" s="33" t="e">
        <f t="shared" si="2"/>
        <v>#N/A</v>
      </c>
      <c r="R32" s="161" t="e">
        <f t="shared" si="3"/>
        <v>#N/A</v>
      </c>
      <c r="S32" s="33" t="e">
        <f t="shared" si="4"/>
        <v>#N/A</v>
      </c>
    </row>
    <row r="33" spans="12:19" x14ac:dyDescent="0.25">
      <c r="L33" s="7" t="e">
        <f>VLOOKUP(A33,'3121% SY'!A:M,'3121% SY'!$M$1,FALSE)</f>
        <v>#N/A</v>
      </c>
      <c r="M33" s="161" t="e">
        <f t="shared" si="1"/>
        <v>#N/A</v>
      </c>
      <c r="N33" s="33" t="e">
        <f t="shared" si="2"/>
        <v>#N/A</v>
      </c>
      <c r="R33" s="161" t="e">
        <f t="shared" si="3"/>
        <v>#N/A</v>
      </c>
      <c r="S33" s="33" t="e">
        <f t="shared" si="4"/>
        <v>#N/A</v>
      </c>
    </row>
    <row r="34" spans="12:19" x14ac:dyDescent="0.25">
      <c r="L34" s="7" t="e">
        <f>VLOOKUP(A34,'3121% SY'!A:M,'3121% SY'!$M$1,FALSE)</f>
        <v>#N/A</v>
      </c>
      <c r="M34" s="161" t="e">
        <f t="shared" si="1"/>
        <v>#N/A</v>
      </c>
      <c r="N34" s="33" t="e">
        <f t="shared" si="2"/>
        <v>#N/A</v>
      </c>
      <c r="R34" s="161" t="e">
        <f t="shared" si="3"/>
        <v>#N/A</v>
      </c>
      <c r="S34" s="33" t="e">
        <f t="shared" si="4"/>
        <v>#N/A</v>
      </c>
    </row>
    <row r="35" spans="12:19" x14ac:dyDescent="0.25">
      <c r="L35" s="7" t="e">
        <f>VLOOKUP(A35,'3121% SY'!A:M,'3121% SY'!$M$1,FALSE)</f>
        <v>#N/A</v>
      </c>
      <c r="M35" s="161" t="e">
        <f t="shared" si="1"/>
        <v>#N/A</v>
      </c>
      <c r="N35" s="33" t="e">
        <f t="shared" si="2"/>
        <v>#N/A</v>
      </c>
      <c r="R35" s="161" t="e">
        <f t="shared" si="3"/>
        <v>#N/A</v>
      </c>
      <c r="S35" s="33" t="e">
        <f t="shared" si="4"/>
        <v>#N/A</v>
      </c>
    </row>
    <row r="36" spans="12:19" x14ac:dyDescent="0.25">
      <c r="L36" s="7" t="e">
        <f>VLOOKUP(A36,'3121% SY'!A:M,'3121% SY'!$M$1,FALSE)</f>
        <v>#N/A</v>
      </c>
      <c r="M36" s="161" t="e">
        <f t="shared" si="1"/>
        <v>#N/A</v>
      </c>
      <c r="N36" s="33" t="e">
        <f t="shared" si="2"/>
        <v>#N/A</v>
      </c>
      <c r="R36" s="161" t="e">
        <f t="shared" si="3"/>
        <v>#N/A</v>
      </c>
      <c r="S36" s="33" t="e">
        <f t="shared" si="4"/>
        <v>#N/A</v>
      </c>
    </row>
    <row r="37" spans="12:19" x14ac:dyDescent="0.25">
      <c r="L37" s="7" t="e">
        <f>VLOOKUP(A37,'3121% SY'!A:M,'3121% SY'!$M$1,FALSE)</f>
        <v>#N/A</v>
      </c>
      <c r="M37" s="161" t="e">
        <f t="shared" si="1"/>
        <v>#N/A</v>
      </c>
      <c r="N37" s="33" t="e">
        <f t="shared" si="2"/>
        <v>#N/A</v>
      </c>
      <c r="R37" s="161" t="e">
        <f t="shared" si="3"/>
        <v>#N/A</v>
      </c>
      <c r="S37" s="33" t="e">
        <f t="shared" si="4"/>
        <v>#N/A</v>
      </c>
    </row>
    <row r="38" spans="12:19" x14ac:dyDescent="0.25">
      <c r="L38" s="7" t="e">
        <f>VLOOKUP(A38,'3121% SY'!A:M,'3121% SY'!$M$1,FALSE)</f>
        <v>#N/A</v>
      </c>
      <c r="M38" s="161" t="e">
        <f t="shared" si="1"/>
        <v>#N/A</v>
      </c>
      <c r="N38" s="33" t="e">
        <f t="shared" si="2"/>
        <v>#N/A</v>
      </c>
      <c r="R38" s="161" t="e">
        <f t="shared" si="3"/>
        <v>#N/A</v>
      </c>
      <c r="S38" s="33" t="e">
        <f t="shared" si="4"/>
        <v>#N/A</v>
      </c>
    </row>
    <row r="39" spans="12:19" x14ac:dyDescent="0.25">
      <c r="L39" s="7" t="e">
        <f>VLOOKUP(A39,'3121% SY'!A:M,'3121% SY'!$M$1,FALSE)</f>
        <v>#N/A</v>
      </c>
      <c r="M39" s="161" t="e">
        <f t="shared" si="1"/>
        <v>#N/A</v>
      </c>
      <c r="N39" s="33" t="e">
        <f t="shared" si="2"/>
        <v>#N/A</v>
      </c>
      <c r="R39" s="161" t="e">
        <f t="shared" si="3"/>
        <v>#N/A</v>
      </c>
      <c r="S39" s="33" t="e">
        <f t="shared" si="4"/>
        <v>#N/A</v>
      </c>
    </row>
    <row r="40" spans="12:19" x14ac:dyDescent="0.25">
      <c r="L40" s="7" t="e">
        <f>VLOOKUP(A40,'3121% SY'!A:M,'3121% SY'!$M$1,FALSE)</f>
        <v>#N/A</v>
      </c>
      <c r="M40" s="161" t="e">
        <f t="shared" si="1"/>
        <v>#N/A</v>
      </c>
      <c r="N40" s="33" t="e">
        <f t="shared" si="2"/>
        <v>#N/A</v>
      </c>
      <c r="R40" s="161" t="e">
        <f t="shared" si="3"/>
        <v>#N/A</v>
      </c>
      <c r="S40" s="33" t="e">
        <f t="shared" si="4"/>
        <v>#N/A</v>
      </c>
    </row>
    <row r="41" spans="12:19" x14ac:dyDescent="0.25">
      <c r="L41" s="7" t="e">
        <f>VLOOKUP(A41,'3121% SY'!A:M,'3121% SY'!$M$1,FALSE)</f>
        <v>#N/A</v>
      </c>
      <c r="M41" s="161" t="e">
        <f t="shared" si="1"/>
        <v>#N/A</v>
      </c>
      <c r="N41" s="33" t="e">
        <f t="shared" si="2"/>
        <v>#N/A</v>
      </c>
      <c r="R41" s="161" t="e">
        <f t="shared" si="3"/>
        <v>#N/A</v>
      </c>
      <c r="S41" s="33" t="e">
        <f t="shared" si="4"/>
        <v>#N/A</v>
      </c>
    </row>
    <row r="42" spans="12:19" x14ac:dyDescent="0.25">
      <c r="L42" s="7" t="e">
        <f>VLOOKUP(A42,'3121% SY'!A:M,'3121% SY'!$M$1,FALSE)</f>
        <v>#N/A</v>
      </c>
      <c r="M42" s="161" t="e">
        <f t="shared" si="1"/>
        <v>#N/A</v>
      </c>
      <c r="N42" s="33" t="e">
        <f t="shared" si="2"/>
        <v>#N/A</v>
      </c>
      <c r="R42" s="161" t="e">
        <f t="shared" si="3"/>
        <v>#N/A</v>
      </c>
      <c r="S42" s="33" t="e">
        <f t="shared" si="4"/>
        <v>#N/A</v>
      </c>
    </row>
    <row r="43" spans="12:19" x14ac:dyDescent="0.25">
      <c r="L43" s="7" t="e">
        <f>VLOOKUP(A43,'3121% SY'!A:M,'3121% SY'!$M$1,FALSE)</f>
        <v>#N/A</v>
      </c>
      <c r="M43" s="161" t="e">
        <f t="shared" si="1"/>
        <v>#N/A</v>
      </c>
      <c r="N43" s="33" t="e">
        <f t="shared" si="2"/>
        <v>#N/A</v>
      </c>
      <c r="R43" s="161" t="e">
        <f t="shared" si="3"/>
        <v>#N/A</v>
      </c>
      <c r="S43" s="33" t="e">
        <f t="shared" si="4"/>
        <v>#N/A</v>
      </c>
    </row>
    <row r="44" spans="12:19" x14ac:dyDescent="0.25">
      <c r="L44" s="7" t="e">
        <f>VLOOKUP(A44,'3121% SY'!A:M,'3121% SY'!$M$1,FALSE)</f>
        <v>#N/A</v>
      </c>
      <c r="M44" s="161" t="e">
        <f t="shared" si="1"/>
        <v>#N/A</v>
      </c>
      <c r="N44" s="33" t="e">
        <f t="shared" si="2"/>
        <v>#N/A</v>
      </c>
      <c r="R44" s="161" t="e">
        <f t="shared" si="3"/>
        <v>#N/A</v>
      </c>
      <c r="S44" s="33" t="e">
        <f t="shared" si="4"/>
        <v>#N/A</v>
      </c>
    </row>
    <row r="45" spans="12:19" x14ac:dyDescent="0.25">
      <c r="L45" s="7" t="e">
        <f>VLOOKUP(A45,'3121% SY'!A:M,'3121% SY'!$M$1,FALSE)</f>
        <v>#N/A</v>
      </c>
      <c r="M45" s="161" t="e">
        <f t="shared" si="1"/>
        <v>#N/A</v>
      </c>
      <c r="N45" s="33" t="e">
        <f t="shared" si="2"/>
        <v>#N/A</v>
      </c>
      <c r="R45" s="161" t="e">
        <f t="shared" si="3"/>
        <v>#N/A</v>
      </c>
      <c r="S45" s="33" t="e">
        <f t="shared" si="4"/>
        <v>#N/A</v>
      </c>
    </row>
    <row r="46" spans="12:19" x14ac:dyDescent="0.25">
      <c r="L46" s="7" t="e">
        <f>VLOOKUP(A46,'3121% SY'!A:M,'3121% SY'!$M$1,FALSE)</f>
        <v>#N/A</v>
      </c>
      <c r="M46" s="161" t="e">
        <f t="shared" si="1"/>
        <v>#N/A</v>
      </c>
      <c r="N46" s="33" t="e">
        <f t="shared" si="2"/>
        <v>#N/A</v>
      </c>
      <c r="R46" s="161" t="e">
        <f t="shared" si="3"/>
        <v>#N/A</v>
      </c>
      <c r="S46" s="33" t="e">
        <f t="shared" si="4"/>
        <v>#N/A</v>
      </c>
    </row>
    <row r="47" spans="12:19" x14ac:dyDescent="0.25">
      <c r="L47" s="7" t="e">
        <f>VLOOKUP(A47,'3121% SY'!A:M,'3121% SY'!$M$1,FALSE)</f>
        <v>#N/A</v>
      </c>
      <c r="M47" s="161" t="e">
        <f t="shared" si="1"/>
        <v>#N/A</v>
      </c>
      <c r="N47" s="33" t="e">
        <f t="shared" si="2"/>
        <v>#N/A</v>
      </c>
      <c r="R47" s="161" t="e">
        <f t="shared" si="3"/>
        <v>#N/A</v>
      </c>
      <c r="S47" s="33" t="e">
        <f t="shared" si="4"/>
        <v>#N/A</v>
      </c>
    </row>
    <row r="48" spans="12:19" x14ac:dyDescent="0.25">
      <c r="L48" s="7" t="e">
        <f>VLOOKUP(A48,'3121% SY'!A:M,'3121% SY'!$M$1,FALSE)</f>
        <v>#N/A</v>
      </c>
      <c r="M48" s="161" t="e">
        <f t="shared" si="1"/>
        <v>#N/A</v>
      </c>
      <c r="N48" s="33" t="e">
        <f t="shared" si="2"/>
        <v>#N/A</v>
      </c>
      <c r="R48" s="161" t="e">
        <f t="shared" si="3"/>
        <v>#N/A</v>
      </c>
      <c r="S48" s="33" t="e">
        <f t="shared" si="4"/>
        <v>#N/A</v>
      </c>
    </row>
    <row r="49" spans="12:19" x14ac:dyDescent="0.25">
      <c r="L49" s="7" t="e">
        <f>VLOOKUP(A49,'3121% SY'!A:M,'3121% SY'!$M$1,FALSE)</f>
        <v>#N/A</v>
      </c>
      <c r="M49" s="161" t="e">
        <f t="shared" si="1"/>
        <v>#N/A</v>
      </c>
      <c r="N49" s="33" t="e">
        <f t="shared" si="2"/>
        <v>#N/A</v>
      </c>
      <c r="R49" s="161" t="e">
        <f t="shared" si="3"/>
        <v>#N/A</v>
      </c>
      <c r="S49" s="33" t="e">
        <f t="shared" si="4"/>
        <v>#N/A</v>
      </c>
    </row>
    <row r="50" spans="12:19" x14ac:dyDescent="0.25">
      <c r="L50" s="7" t="e">
        <f>VLOOKUP(A50,'3121% SY'!A:M,'3121% SY'!$M$1,FALSE)</f>
        <v>#N/A</v>
      </c>
      <c r="M50" s="161" t="e">
        <f t="shared" si="1"/>
        <v>#N/A</v>
      </c>
      <c r="N50" s="33" t="e">
        <f t="shared" si="2"/>
        <v>#N/A</v>
      </c>
      <c r="R50" s="161" t="e">
        <f t="shared" si="3"/>
        <v>#N/A</v>
      </c>
      <c r="S50" s="33" t="e">
        <f t="shared" si="4"/>
        <v>#N/A</v>
      </c>
    </row>
    <row r="51" spans="12:19" x14ac:dyDescent="0.25">
      <c r="L51" s="7" t="e">
        <f>VLOOKUP(A51,'3121% SY'!A:M,'3121% SY'!$M$1,FALSE)</f>
        <v>#N/A</v>
      </c>
      <c r="M51" s="161" t="e">
        <f t="shared" si="1"/>
        <v>#N/A</v>
      </c>
      <c r="N51" s="33" t="e">
        <f t="shared" si="2"/>
        <v>#N/A</v>
      </c>
      <c r="R51" s="161" t="e">
        <f t="shared" si="3"/>
        <v>#N/A</v>
      </c>
      <c r="S51" s="33" t="e">
        <f t="shared" si="4"/>
        <v>#N/A</v>
      </c>
    </row>
    <row r="52" spans="12:19" x14ac:dyDescent="0.25">
      <c r="L52" s="7" t="e">
        <f>VLOOKUP(A52,'3121% SY'!A:M,'3121% SY'!$M$1,FALSE)</f>
        <v>#N/A</v>
      </c>
      <c r="M52" s="161" t="e">
        <f t="shared" si="1"/>
        <v>#N/A</v>
      </c>
      <c r="N52" s="33" t="e">
        <f t="shared" si="2"/>
        <v>#N/A</v>
      </c>
      <c r="R52" s="161" t="e">
        <f t="shared" si="3"/>
        <v>#N/A</v>
      </c>
      <c r="S52" s="33" t="e">
        <f t="shared" si="4"/>
        <v>#N/A</v>
      </c>
    </row>
    <row r="53" spans="12:19" x14ac:dyDescent="0.25">
      <c r="L53" s="7" t="e">
        <f>VLOOKUP(A53,'3121% SY'!A:M,'3121% SY'!$M$1,FALSE)</f>
        <v>#N/A</v>
      </c>
      <c r="M53" s="161" t="e">
        <f t="shared" si="1"/>
        <v>#N/A</v>
      </c>
      <c r="N53" s="33" t="e">
        <f t="shared" si="2"/>
        <v>#N/A</v>
      </c>
      <c r="R53" s="161" t="e">
        <f t="shared" si="3"/>
        <v>#N/A</v>
      </c>
      <c r="S53" s="33" t="e">
        <f t="shared" si="4"/>
        <v>#N/A</v>
      </c>
    </row>
    <row r="54" spans="12:19" x14ac:dyDescent="0.25">
      <c r="L54" s="7" t="e">
        <f>VLOOKUP(A54,'3121% SY'!A:M,'3121% SY'!$M$1,FALSE)</f>
        <v>#N/A</v>
      </c>
      <c r="M54" s="161" t="e">
        <f t="shared" si="1"/>
        <v>#N/A</v>
      </c>
      <c r="N54" s="33" t="e">
        <f t="shared" si="2"/>
        <v>#N/A</v>
      </c>
      <c r="R54" s="161" t="e">
        <f t="shared" si="3"/>
        <v>#N/A</v>
      </c>
      <c r="S54" s="33" t="e">
        <f t="shared" si="4"/>
        <v>#N/A</v>
      </c>
    </row>
    <row r="55" spans="12:19" x14ac:dyDescent="0.25">
      <c r="L55" s="7" t="e">
        <f>VLOOKUP(A55,'3121% SY'!A:M,'3121% SY'!$M$1,FALSE)</f>
        <v>#N/A</v>
      </c>
      <c r="M55" s="161" t="e">
        <f t="shared" si="1"/>
        <v>#N/A</v>
      </c>
      <c r="N55" s="33" t="e">
        <f t="shared" si="2"/>
        <v>#N/A</v>
      </c>
      <c r="R55" s="161" t="e">
        <f t="shared" si="3"/>
        <v>#N/A</v>
      </c>
      <c r="S55" s="33" t="e">
        <f t="shared" si="4"/>
        <v>#N/A</v>
      </c>
    </row>
    <row r="56" spans="12:19" x14ac:dyDescent="0.25">
      <c r="L56" s="7" t="e">
        <f>VLOOKUP(A56,'3121% SY'!A:M,'3121% SY'!$M$1,FALSE)</f>
        <v>#N/A</v>
      </c>
      <c r="M56" s="161" t="e">
        <f t="shared" si="1"/>
        <v>#N/A</v>
      </c>
      <c r="N56" s="33" t="e">
        <f t="shared" si="2"/>
        <v>#N/A</v>
      </c>
      <c r="R56" s="161" t="e">
        <f t="shared" si="3"/>
        <v>#N/A</v>
      </c>
      <c r="S56" s="33" t="e">
        <f t="shared" si="4"/>
        <v>#N/A</v>
      </c>
    </row>
    <row r="57" spans="12:19" x14ac:dyDescent="0.25">
      <c r="L57" s="7" t="e">
        <f>VLOOKUP(A57,'3121% SY'!A:M,'3121% SY'!$M$1,FALSE)</f>
        <v>#N/A</v>
      </c>
      <c r="M57" s="161" t="e">
        <f t="shared" si="1"/>
        <v>#N/A</v>
      </c>
      <c r="N57" s="33" t="e">
        <f t="shared" si="2"/>
        <v>#N/A</v>
      </c>
      <c r="R57" s="161" t="e">
        <f t="shared" si="3"/>
        <v>#N/A</v>
      </c>
      <c r="S57" s="33" t="e">
        <f t="shared" si="4"/>
        <v>#N/A</v>
      </c>
    </row>
    <row r="58" spans="12:19" x14ac:dyDescent="0.25">
      <c r="L58" s="7" t="e">
        <f>VLOOKUP(A58,'3121% SY'!A:M,'3121% SY'!$M$1,FALSE)</f>
        <v>#N/A</v>
      </c>
      <c r="M58" s="161" t="e">
        <f t="shared" si="1"/>
        <v>#N/A</v>
      </c>
      <c r="N58" s="33" t="e">
        <f t="shared" si="2"/>
        <v>#N/A</v>
      </c>
      <c r="R58" s="161" t="e">
        <f t="shared" si="3"/>
        <v>#N/A</v>
      </c>
      <c r="S58" s="33" t="e">
        <f t="shared" si="4"/>
        <v>#N/A</v>
      </c>
    </row>
    <row r="59" spans="12:19" x14ac:dyDescent="0.25">
      <c r="L59" s="7" t="e">
        <f>VLOOKUP(A59,'3121% SY'!A:M,'3121% SY'!$M$1,FALSE)</f>
        <v>#N/A</v>
      </c>
      <c r="M59" s="161" t="e">
        <f t="shared" si="1"/>
        <v>#N/A</v>
      </c>
      <c r="N59" s="33" t="e">
        <f t="shared" si="2"/>
        <v>#N/A</v>
      </c>
      <c r="R59" s="161" t="e">
        <f t="shared" si="3"/>
        <v>#N/A</v>
      </c>
      <c r="S59" s="33" t="e">
        <f t="shared" si="4"/>
        <v>#N/A</v>
      </c>
    </row>
    <row r="60" spans="12:19" x14ac:dyDescent="0.25">
      <c r="L60" s="7" t="e">
        <f>VLOOKUP(A60,'3121% SY'!A:M,'3121% SY'!$M$1,FALSE)</f>
        <v>#N/A</v>
      </c>
      <c r="M60" s="161" t="e">
        <f t="shared" si="1"/>
        <v>#N/A</v>
      </c>
      <c r="N60" s="33" t="e">
        <f t="shared" si="2"/>
        <v>#N/A</v>
      </c>
      <c r="R60" s="161" t="e">
        <f t="shared" si="3"/>
        <v>#N/A</v>
      </c>
      <c r="S60" s="33" t="e">
        <f t="shared" si="4"/>
        <v>#N/A</v>
      </c>
    </row>
    <row r="61" spans="12:19" x14ac:dyDescent="0.25">
      <c r="L61" s="7" t="e">
        <f>VLOOKUP(A61,'3121% SY'!A:M,'3121% SY'!$M$1,FALSE)</f>
        <v>#N/A</v>
      </c>
      <c r="M61" s="161" t="e">
        <f t="shared" si="1"/>
        <v>#N/A</v>
      </c>
      <c r="N61" s="33" t="e">
        <f t="shared" si="2"/>
        <v>#N/A</v>
      </c>
      <c r="R61" s="161" t="e">
        <f t="shared" si="3"/>
        <v>#N/A</v>
      </c>
      <c r="S61" s="33" t="e">
        <f t="shared" si="4"/>
        <v>#N/A</v>
      </c>
    </row>
    <row r="62" spans="12:19" x14ac:dyDescent="0.25">
      <c r="L62" s="7" t="e">
        <f>VLOOKUP(A62,'3121% SY'!A:M,'3121% SY'!$M$1,FALSE)</f>
        <v>#N/A</v>
      </c>
      <c r="M62" s="161" t="e">
        <f t="shared" si="1"/>
        <v>#N/A</v>
      </c>
      <c r="N62" s="33" t="e">
        <f t="shared" si="2"/>
        <v>#N/A</v>
      </c>
      <c r="R62" s="161" t="e">
        <f t="shared" si="3"/>
        <v>#N/A</v>
      </c>
      <c r="S62" s="33" t="e">
        <f t="shared" si="4"/>
        <v>#N/A</v>
      </c>
    </row>
    <row r="63" spans="12:19" x14ac:dyDescent="0.25">
      <c r="L63" s="7" t="e">
        <f>VLOOKUP(A63,'3121% SY'!A:M,'3121% SY'!$M$1,FALSE)</f>
        <v>#N/A</v>
      </c>
      <c r="M63" s="161" t="e">
        <f t="shared" si="1"/>
        <v>#N/A</v>
      </c>
      <c r="N63" s="33" t="e">
        <f t="shared" si="2"/>
        <v>#N/A</v>
      </c>
      <c r="R63" s="161" t="e">
        <f t="shared" si="3"/>
        <v>#N/A</v>
      </c>
      <c r="S63" s="33" t="e">
        <f t="shared" si="4"/>
        <v>#N/A</v>
      </c>
    </row>
    <row r="64" spans="12:19" x14ac:dyDescent="0.25">
      <c r="L64" s="7" t="e">
        <f>VLOOKUP(A64,'3121% SY'!A:M,'3121% SY'!$M$1,FALSE)</f>
        <v>#N/A</v>
      </c>
      <c r="M64" s="161" t="e">
        <f t="shared" si="1"/>
        <v>#N/A</v>
      </c>
      <c r="N64" s="33" t="e">
        <f t="shared" si="2"/>
        <v>#N/A</v>
      </c>
      <c r="R64" s="161" t="e">
        <f t="shared" si="3"/>
        <v>#N/A</v>
      </c>
      <c r="S64" s="33" t="e">
        <f t="shared" si="4"/>
        <v>#N/A</v>
      </c>
    </row>
    <row r="65" spans="12:19" x14ac:dyDescent="0.25">
      <c r="L65" s="7" t="e">
        <f>VLOOKUP(A65,'3121% SY'!A:M,'3121% SY'!$M$1,FALSE)</f>
        <v>#N/A</v>
      </c>
      <c r="M65" s="161" t="e">
        <f t="shared" si="1"/>
        <v>#N/A</v>
      </c>
      <c r="N65" s="33" t="e">
        <f t="shared" si="2"/>
        <v>#N/A</v>
      </c>
      <c r="R65" s="161" t="e">
        <f t="shared" si="3"/>
        <v>#N/A</v>
      </c>
      <c r="S65" s="33" t="e">
        <f t="shared" si="4"/>
        <v>#N/A</v>
      </c>
    </row>
    <row r="66" spans="12:19" x14ac:dyDescent="0.25">
      <c r="L66" s="7" t="e">
        <f>VLOOKUP(A66,'3121% SY'!A:M,'3121% SY'!$M$1,FALSE)</f>
        <v>#N/A</v>
      </c>
      <c r="M66" s="161" t="e">
        <f t="shared" si="1"/>
        <v>#N/A</v>
      </c>
      <c r="N66" s="33" t="e">
        <f t="shared" si="2"/>
        <v>#N/A</v>
      </c>
      <c r="R66" s="161" t="e">
        <f t="shared" si="3"/>
        <v>#N/A</v>
      </c>
      <c r="S66" s="33" t="e">
        <f t="shared" si="4"/>
        <v>#N/A</v>
      </c>
    </row>
    <row r="67" spans="12:19" x14ac:dyDescent="0.25">
      <c r="L67" s="7" t="e">
        <f>VLOOKUP(A67,'3121% SY'!A:M,'3121% SY'!$M$1,FALSE)</f>
        <v>#N/A</v>
      </c>
      <c r="M67" s="161" t="e">
        <f t="shared" si="1"/>
        <v>#N/A</v>
      </c>
      <c r="N67" s="33" t="e">
        <f t="shared" si="2"/>
        <v>#N/A</v>
      </c>
      <c r="R67" s="161" t="e">
        <f t="shared" si="3"/>
        <v>#N/A</v>
      </c>
      <c r="S67" s="33" t="e">
        <f t="shared" si="4"/>
        <v>#N/A</v>
      </c>
    </row>
    <row r="68" spans="12:19" x14ac:dyDescent="0.25">
      <c r="L68" s="7" t="e">
        <f>VLOOKUP(A68,'3121% SY'!A:M,'3121% SY'!$M$1,FALSE)</f>
        <v>#N/A</v>
      </c>
      <c r="M68" s="161" t="e">
        <f t="shared" si="1"/>
        <v>#N/A</v>
      </c>
      <c r="N68" s="33" t="e">
        <f t="shared" si="2"/>
        <v>#N/A</v>
      </c>
      <c r="R68" s="161" t="e">
        <f t="shared" si="3"/>
        <v>#N/A</v>
      </c>
      <c r="S68" s="33" t="e">
        <f t="shared" si="4"/>
        <v>#N/A</v>
      </c>
    </row>
    <row r="69" spans="12:19" x14ac:dyDescent="0.25">
      <c r="L69" s="7" t="e">
        <f>VLOOKUP(A69,'3121% SY'!A:M,'3121% SY'!$M$1,FALSE)</f>
        <v>#N/A</v>
      </c>
      <c r="M69" s="161" t="e">
        <f t="shared" ref="M69:M131" si="5">ROUND(I69*$L69,3)+ROUND(J69*$L69,3)++ROUND(K69*$L69,3)</f>
        <v>#N/A</v>
      </c>
      <c r="N69" s="33" t="e">
        <f t="shared" ref="N69:N131" si="6">SUM(M69,B69:H69)</f>
        <v>#N/A</v>
      </c>
      <c r="R69" s="161" t="e">
        <f t="shared" ref="R69:R122" si="7">ROUND(Q69*$L69,3)</f>
        <v>#N/A</v>
      </c>
      <c r="S69" s="33" t="e">
        <f t="shared" ref="S69:S122" si="8">SUM(R69,O69:P69)</f>
        <v>#N/A</v>
      </c>
    </row>
    <row r="70" spans="12:19" x14ac:dyDescent="0.25">
      <c r="L70" s="7" t="e">
        <f>VLOOKUP(A70,'3121% SY'!A:M,'3121% SY'!$M$1,FALSE)</f>
        <v>#N/A</v>
      </c>
      <c r="M70" s="161" t="e">
        <f t="shared" si="5"/>
        <v>#N/A</v>
      </c>
      <c r="N70" s="33" t="e">
        <f t="shared" si="6"/>
        <v>#N/A</v>
      </c>
      <c r="R70" s="161" t="e">
        <f t="shared" si="7"/>
        <v>#N/A</v>
      </c>
      <c r="S70" s="33" t="e">
        <f t="shared" si="8"/>
        <v>#N/A</v>
      </c>
    </row>
    <row r="71" spans="12:19" x14ac:dyDescent="0.25">
      <c r="L71" s="7" t="e">
        <f>VLOOKUP(A71,'3121% SY'!A:M,'3121% SY'!$M$1,FALSE)</f>
        <v>#N/A</v>
      </c>
      <c r="M71" s="161" t="e">
        <f t="shared" si="5"/>
        <v>#N/A</v>
      </c>
      <c r="N71" s="33" t="e">
        <f t="shared" si="6"/>
        <v>#N/A</v>
      </c>
      <c r="R71" s="161" t="e">
        <f t="shared" si="7"/>
        <v>#N/A</v>
      </c>
      <c r="S71" s="33" t="e">
        <f t="shared" si="8"/>
        <v>#N/A</v>
      </c>
    </row>
    <row r="72" spans="12:19" x14ac:dyDescent="0.25">
      <c r="L72" s="7" t="e">
        <f>VLOOKUP(A72,'3121% SY'!A:M,'3121% SY'!$M$1,FALSE)</f>
        <v>#N/A</v>
      </c>
      <c r="M72" s="161" t="e">
        <f t="shared" si="5"/>
        <v>#N/A</v>
      </c>
      <c r="N72" s="33" t="e">
        <f t="shared" si="6"/>
        <v>#N/A</v>
      </c>
      <c r="R72" s="161" t="e">
        <f t="shared" si="7"/>
        <v>#N/A</v>
      </c>
      <c r="S72" s="33" t="e">
        <f t="shared" si="8"/>
        <v>#N/A</v>
      </c>
    </row>
    <row r="73" spans="12:19" x14ac:dyDescent="0.25">
      <c r="L73" s="7" t="e">
        <f>VLOOKUP(A73,'3121% SY'!A:M,'3121% SY'!$M$1,FALSE)</f>
        <v>#N/A</v>
      </c>
      <c r="M73" s="161" t="e">
        <f t="shared" si="5"/>
        <v>#N/A</v>
      </c>
      <c r="N73" s="33" t="e">
        <f t="shared" si="6"/>
        <v>#N/A</v>
      </c>
      <c r="R73" s="161" t="e">
        <f t="shared" si="7"/>
        <v>#N/A</v>
      </c>
      <c r="S73" s="33" t="e">
        <f t="shared" si="8"/>
        <v>#N/A</v>
      </c>
    </row>
    <row r="74" spans="12:19" x14ac:dyDescent="0.25">
      <c r="L74" s="7" t="e">
        <f>VLOOKUP(A74,'3121% SY'!A:M,'3121% SY'!$M$1,FALSE)</f>
        <v>#N/A</v>
      </c>
      <c r="M74" s="161" t="e">
        <f t="shared" si="5"/>
        <v>#N/A</v>
      </c>
      <c r="N74" s="33" t="e">
        <f t="shared" si="6"/>
        <v>#N/A</v>
      </c>
      <c r="R74" s="161" t="e">
        <f t="shared" si="7"/>
        <v>#N/A</v>
      </c>
      <c r="S74" s="33" t="e">
        <f t="shared" si="8"/>
        <v>#N/A</v>
      </c>
    </row>
    <row r="75" spans="12:19" x14ac:dyDescent="0.25">
      <c r="L75" s="7" t="e">
        <f>VLOOKUP(A75,'3121% SY'!A:M,'3121% SY'!$M$1,FALSE)</f>
        <v>#N/A</v>
      </c>
      <c r="M75" s="161" t="e">
        <f t="shared" si="5"/>
        <v>#N/A</v>
      </c>
      <c r="N75" s="33" t="e">
        <f t="shared" si="6"/>
        <v>#N/A</v>
      </c>
      <c r="R75" s="161" t="e">
        <f t="shared" si="7"/>
        <v>#N/A</v>
      </c>
      <c r="S75" s="33" t="e">
        <f t="shared" si="8"/>
        <v>#N/A</v>
      </c>
    </row>
    <row r="76" spans="12:19" x14ac:dyDescent="0.25">
      <c r="L76" s="7" t="e">
        <f>VLOOKUP(A76,'3121% SY'!A:M,'3121% SY'!$M$1,FALSE)</f>
        <v>#N/A</v>
      </c>
      <c r="M76" s="161" t="e">
        <f t="shared" si="5"/>
        <v>#N/A</v>
      </c>
      <c r="N76" s="33" t="e">
        <f t="shared" si="6"/>
        <v>#N/A</v>
      </c>
      <c r="R76" s="161" t="e">
        <f t="shared" si="7"/>
        <v>#N/A</v>
      </c>
      <c r="S76" s="33" t="e">
        <f t="shared" si="8"/>
        <v>#N/A</v>
      </c>
    </row>
    <row r="77" spans="12:19" x14ac:dyDescent="0.25">
      <c r="L77" s="7" t="e">
        <f>VLOOKUP(A77,'3121% SY'!A:M,'3121% SY'!$M$1,FALSE)</f>
        <v>#N/A</v>
      </c>
      <c r="M77" s="161" t="e">
        <f t="shared" si="5"/>
        <v>#N/A</v>
      </c>
      <c r="N77" s="33" t="e">
        <f t="shared" si="6"/>
        <v>#N/A</v>
      </c>
      <c r="R77" s="161" t="e">
        <f t="shared" si="7"/>
        <v>#N/A</v>
      </c>
      <c r="S77" s="33" t="e">
        <f t="shared" si="8"/>
        <v>#N/A</v>
      </c>
    </row>
    <row r="78" spans="12:19" x14ac:dyDescent="0.25">
      <c r="L78" s="7" t="e">
        <f>VLOOKUP(A78,'3121% SY'!A:M,'3121% SY'!$M$1,FALSE)</f>
        <v>#N/A</v>
      </c>
      <c r="M78" s="161" t="e">
        <f t="shared" si="5"/>
        <v>#N/A</v>
      </c>
      <c r="N78" s="33" t="e">
        <f t="shared" si="6"/>
        <v>#N/A</v>
      </c>
      <c r="R78" s="161" t="e">
        <f t="shared" si="7"/>
        <v>#N/A</v>
      </c>
      <c r="S78" s="33" t="e">
        <f t="shared" si="8"/>
        <v>#N/A</v>
      </c>
    </row>
    <row r="79" spans="12:19" x14ac:dyDescent="0.25">
      <c r="L79" s="7" t="e">
        <f>VLOOKUP(A79,'3121% SY'!A:M,'3121% SY'!$M$1,FALSE)</f>
        <v>#N/A</v>
      </c>
      <c r="M79" s="161" t="e">
        <f t="shared" si="5"/>
        <v>#N/A</v>
      </c>
      <c r="N79" s="33" t="e">
        <f t="shared" si="6"/>
        <v>#N/A</v>
      </c>
      <c r="R79" s="161" t="e">
        <f t="shared" si="7"/>
        <v>#N/A</v>
      </c>
      <c r="S79" s="33" t="e">
        <f t="shared" si="8"/>
        <v>#N/A</v>
      </c>
    </row>
    <row r="80" spans="12:19" x14ac:dyDescent="0.25">
      <c r="L80" s="7" t="e">
        <f>VLOOKUP(A80,'3121% SY'!A:M,'3121% SY'!$M$1,FALSE)</f>
        <v>#N/A</v>
      </c>
      <c r="M80" s="161" t="e">
        <f t="shared" si="5"/>
        <v>#N/A</v>
      </c>
      <c r="N80" s="33" t="e">
        <f t="shared" si="6"/>
        <v>#N/A</v>
      </c>
      <c r="R80" s="161" t="e">
        <f t="shared" si="7"/>
        <v>#N/A</v>
      </c>
      <c r="S80" s="33" t="e">
        <f t="shared" si="8"/>
        <v>#N/A</v>
      </c>
    </row>
    <row r="81" spans="12:19" x14ac:dyDescent="0.25">
      <c r="L81" s="7" t="e">
        <f>VLOOKUP(A81,'3121% SY'!A:M,'3121% SY'!$M$1,FALSE)</f>
        <v>#N/A</v>
      </c>
      <c r="M81" s="161" t="e">
        <f t="shared" si="5"/>
        <v>#N/A</v>
      </c>
      <c r="N81" s="33" t="e">
        <f t="shared" si="6"/>
        <v>#N/A</v>
      </c>
      <c r="R81" s="161" t="e">
        <f t="shared" si="7"/>
        <v>#N/A</v>
      </c>
      <c r="S81" s="33" t="e">
        <f t="shared" si="8"/>
        <v>#N/A</v>
      </c>
    </row>
    <row r="82" spans="12:19" x14ac:dyDescent="0.25">
      <c r="L82" s="7" t="e">
        <f>VLOOKUP(A82,'3121% SY'!A:M,'3121% SY'!$M$1,FALSE)</f>
        <v>#N/A</v>
      </c>
      <c r="M82" s="161" t="e">
        <f t="shared" si="5"/>
        <v>#N/A</v>
      </c>
      <c r="N82" s="33" t="e">
        <f t="shared" si="6"/>
        <v>#N/A</v>
      </c>
      <c r="R82" s="161" t="e">
        <f t="shared" si="7"/>
        <v>#N/A</v>
      </c>
      <c r="S82" s="33" t="e">
        <f t="shared" si="8"/>
        <v>#N/A</v>
      </c>
    </row>
    <row r="83" spans="12:19" x14ac:dyDescent="0.25">
      <c r="L83" s="7" t="e">
        <f>VLOOKUP(A83,'3121% SY'!A:M,'3121% SY'!$M$1,FALSE)</f>
        <v>#N/A</v>
      </c>
      <c r="M83" s="161" t="e">
        <f t="shared" si="5"/>
        <v>#N/A</v>
      </c>
      <c r="N83" s="33" t="e">
        <f t="shared" si="6"/>
        <v>#N/A</v>
      </c>
      <c r="R83" s="161" t="e">
        <f t="shared" si="7"/>
        <v>#N/A</v>
      </c>
      <c r="S83" s="33" t="e">
        <f t="shared" si="8"/>
        <v>#N/A</v>
      </c>
    </row>
    <row r="84" spans="12:19" x14ac:dyDescent="0.25">
      <c r="L84" s="7" t="e">
        <f>VLOOKUP(A84,'3121% SY'!A:M,'3121% SY'!$M$1,FALSE)</f>
        <v>#N/A</v>
      </c>
      <c r="M84" s="161" t="e">
        <f t="shared" si="5"/>
        <v>#N/A</v>
      </c>
      <c r="N84" s="33" t="e">
        <f t="shared" si="6"/>
        <v>#N/A</v>
      </c>
      <c r="R84" s="161" t="e">
        <f t="shared" si="7"/>
        <v>#N/A</v>
      </c>
      <c r="S84" s="33" t="e">
        <f t="shared" si="8"/>
        <v>#N/A</v>
      </c>
    </row>
    <row r="85" spans="12:19" x14ac:dyDescent="0.25">
      <c r="L85" s="7" t="e">
        <f>VLOOKUP(A85,'3121% SY'!A:M,'3121% SY'!$M$1,FALSE)</f>
        <v>#N/A</v>
      </c>
      <c r="M85" s="161" t="e">
        <f t="shared" si="5"/>
        <v>#N/A</v>
      </c>
      <c r="N85" s="33" t="e">
        <f t="shared" si="6"/>
        <v>#N/A</v>
      </c>
      <c r="R85" s="161" t="e">
        <f t="shared" si="7"/>
        <v>#N/A</v>
      </c>
      <c r="S85" s="33" t="e">
        <f t="shared" si="8"/>
        <v>#N/A</v>
      </c>
    </row>
    <row r="86" spans="12:19" x14ac:dyDescent="0.25">
      <c r="L86" s="7" t="e">
        <f>VLOOKUP(A86,'3121% SY'!A:M,'3121% SY'!$M$1,FALSE)</f>
        <v>#N/A</v>
      </c>
      <c r="M86" s="161" t="e">
        <f t="shared" si="5"/>
        <v>#N/A</v>
      </c>
      <c r="N86" s="33" t="e">
        <f t="shared" si="6"/>
        <v>#N/A</v>
      </c>
      <c r="R86" s="161" t="e">
        <f t="shared" si="7"/>
        <v>#N/A</v>
      </c>
      <c r="S86" s="33" t="e">
        <f t="shared" si="8"/>
        <v>#N/A</v>
      </c>
    </row>
    <row r="87" spans="12:19" x14ac:dyDescent="0.25">
      <c r="L87" s="7" t="e">
        <f>VLOOKUP(A87,'3121% SY'!A:M,'3121% SY'!$M$1,FALSE)</f>
        <v>#N/A</v>
      </c>
      <c r="M87" s="161" t="e">
        <f t="shared" si="5"/>
        <v>#N/A</v>
      </c>
      <c r="N87" s="33" t="e">
        <f t="shared" si="6"/>
        <v>#N/A</v>
      </c>
      <c r="R87" s="161" t="e">
        <f t="shared" si="7"/>
        <v>#N/A</v>
      </c>
      <c r="S87" s="33" t="e">
        <f t="shared" si="8"/>
        <v>#N/A</v>
      </c>
    </row>
    <row r="88" spans="12:19" x14ac:dyDescent="0.25">
      <c r="L88" s="7" t="e">
        <f>VLOOKUP(A88,'3121% SY'!A:M,'3121% SY'!$M$1,FALSE)</f>
        <v>#N/A</v>
      </c>
      <c r="M88" s="161" t="e">
        <f t="shared" si="5"/>
        <v>#N/A</v>
      </c>
      <c r="N88" s="33" t="e">
        <f t="shared" si="6"/>
        <v>#N/A</v>
      </c>
      <c r="R88" s="161" t="e">
        <f t="shared" si="7"/>
        <v>#N/A</v>
      </c>
      <c r="S88" s="33" t="e">
        <f t="shared" si="8"/>
        <v>#N/A</v>
      </c>
    </row>
    <row r="89" spans="12:19" x14ac:dyDescent="0.25">
      <c r="L89" s="7" t="e">
        <f>VLOOKUP(A89,'3121% SY'!A:M,'3121% SY'!$M$1,FALSE)</f>
        <v>#N/A</v>
      </c>
      <c r="M89" s="161" t="e">
        <f t="shared" si="5"/>
        <v>#N/A</v>
      </c>
      <c r="N89" s="33" t="e">
        <f t="shared" si="6"/>
        <v>#N/A</v>
      </c>
      <c r="R89" s="161" t="e">
        <f t="shared" si="7"/>
        <v>#N/A</v>
      </c>
      <c r="S89" s="33" t="e">
        <f t="shared" si="8"/>
        <v>#N/A</v>
      </c>
    </row>
    <row r="90" spans="12:19" x14ac:dyDescent="0.25">
      <c r="L90" s="7" t="e">
        <f>VLOOKUP(A90,'3121% SY'!A:M,'3121% SY'!$M$1,FALSE)</f>
        <v>#N/A</v>
      </c>
      <c r="M90" s="161" t="e">
        <f t="shared" si="5"/>
        <v>#N/A</v>
      </c>
      <c r="N90" s="33" t="e">
        <f t="shared" si="6"/>
        <v>#N/A</v>
      </c>
      <c r="R90" s="161" t="e">
        <f t="shared" si="7"/>
        <v>#N/A</v>
      </c>
      <c r="S90" s="33" t="e">
        <f t="shared" si="8"/>
        <v>#N/A</v>
      </c>
    </row>
    <row r="91" spans="12:19" x14ac:dyDescent="0.25">
      <c r="L91" s="7" t="e">
        <f>VLOOKUP(A91,'3121% SY'!A:M,'3121% SY'!$M$1,FALSE)</f>
        <v>#N/A</v>
      </c>
      <c r="M91" s="161" t="e">
        <f t="shared" si="5"/>
        <v>#N/A</v>
      </c>
      <c r="N91" s="33" t="e">
        <f t="shared" si="6"/>
        <v>#N/A</v>
      </c>
      <c r="R91" s="161" t="e">
        <f t="shared" si="7"/>
        <v>#N/A</v>
      </c>
      <c r="S91" s="33" t="e">
        <f t="shared" si="8"/>
        <v>#N/A</v>
      </c>
    </row>
    <row r="92" spans="12:19" x14ac:dyDescent="0.25">
      <c r="L92" s="7" t="e">
        <f>VLOOKUP(A92,'3121% SY'!A:M,'3121% SY'!$M$1,FALSE)</f>
        <v>#N/A</v>
      </c>
      <c r="M92" s="161" t="e">
        <f t="shared" si="5"/>
        <v>#N/A</v>
      </c>
      <c r="N92" s="33" t="e">
        <f t="shared" si="6"/>
        <v>#N/A</v>
      </c>
      <c r="R92" s="161" t="e">
        <f t="shared" si="7"/>
        <v>#N/A</v>
      </c>
      <c r="S92" s="33" t="e">
        <f t="shared" si="8"/>
        <v>#N/A</v>
      </c>
    </row>
    <row r="93" spans="12:19" x14ac:dyDescent="0.25">
      <c r="L93" s="7" t="e">
        <f>VLOOKUP(A93,'3121% SY'!A:M,'3121% SY'!$M$1,FALSE)</f>
        <v>#N/A</v>
      </c>
      <c r="M93" s="161" t="e">
        <f t="shared" si="5"/>
        <v>#N/A</v>
      </c>
      <c r="N93" s="33" t="e">
        <f t="shared" si="6"/>
        <v>#N/A</v>
      </c>
      <c r="R93" s="161" t="e">
        <f t="shared" si="7"/>
        <v>#N/A</v>
      </c>
      <c r="S93" s="33" t="e">
        <f t="shared" si="8"/>
        <v>#N/A</v>
      </c>
    </row>
    <row r="94" spans="12:19" x14ac:dyDescent="0.25">
      <c r="L94" s="7" t="e">
        <f>VLOOKUP(A94,'3121% SY'!A:M,'3121% SY'!$M$1,FALSE)</f>
        <v>#N/A</v>
      </c>
      <c r="M94" s="161" t="e">
        <f t="shared" si="5"/>
        <v>#N/A</v>
      </c>
      <c r="N94" s="33" t="e">
        <f t="shared" si="6"/>
        <v>#N/A</v>
      </c>
      <c r="R94" s="161" t="e">
        <f t="shared" si="7"/>
        <v>#N/A</v>
      </c>
      <c r="S94" s="33" t="e">
        <f t="shared" si="8"/>
        <v>#N/A</v>
      </c>
    </row>
    <row r="95" spans="12:19" x14ac:dyDescent="0.25">
      <c r="L95" s="7" t="e">
        <f>VLOOKUP(A95,'3121% SY'!A:M,'3121% SY'!$M$1,FALSE)</f>
        <v>#N/A</v>
      </c>
      <c r="M95" s="161" t="e">
        <f t="shared" si="5"/>
        <v>#N/A</v>
      </c>
      <c r="N95" s="33" t="e">
        <f t="shared" si="6"/>
        <v>#N/A</v>
      </c>
      <c r="R95" s="161" t="e">
        <f t="shared" si="7"/>
        <v>#N/A</v>
      </c>
      <c r="S95" s="33" t="e">
        <f t="shared" si="8"/>
        <v>#N/A</v>
      </c>
    </row>
    <row r="96" spans="12:19" x14ac:dyDescent="0.25">
      <c r="L96" s="7" t="e">
        <f>VLOOKUP(A96,'3121% SY'!A:M,'3121% SY'!$M$1,FALSE)</f>
        <v>#N/A</v>
      </c>
      <c r="M96" s="161" t="e">
        <f t="shared" si="5"/>
        <v>#N/A</v>
      </c>
      <c r="N96" s="33" t="e">
        <f t="shared" si="6"/>
        <v>#N/A</v>
      </c>
      <c r="R96" s="161" t="e">
        <f t="shared" si="7"/>
        <v>#N/A</v>
      </c>
      <c r="S96" s="33" t="e">
        <f t="shared" si="8"/>
        <v>#N/A</v>
      </c>
    </row>
    <row r="97" spans="12:19" x14ac:dyDescent="0.25">
      <c r="L97" s="7" t="e">
        <f>VLOOKUP(A97,'3121% SY'!A:M,'3121% SY'!$M$1,FALSE)</f>
        <v>#N/A</v>
      </c>
      <c r="M97" s="161" t="e">
        <f t="shared" si="5"/>
        <v>#N/A</v>
      </c>
      <c r="N97" s="33" t="e">
        <f t="shared" si="6"/>
        <v>#N/A</v>
      </c>
      <c r="R97" s="161" t="e">
        <f t="shared" si="7"/>
        <v>#N/A</v>
      </c>
      <c r="S97" s="33" t="e">
        <f t="shared" si="8"/>
        <v>#N/A</v>
      </c>
    </row>
    <row r="98" spans="12:19" x14ac:dyDescent="0.25">
      <c r="L98" s="7" t="e">
        <f>VLOOKUP(A98,'3121% SY'!A:M,'3121% SY'!$M$1,FALSE)</f>
        <v>#N/A</v>
      </c>
      <c r="M98" s="161" t="e">
        <f t="shared" si="5"/>
        <v>#N/A</v>
      </c>
      <c r="N98" s="33" t="e">
        <f t="shared" si="6"/>
        <v>#N/A</v>
      </c>
      <c r="R98" s="161" t="e">
        <f t="shared" si="7"/>
        <v>#N/A</v>
      </c>
      <c r="S98" s="33" t="e">
        <f t="shared" si="8"/>
        <v>#N/A</v>
      </c>
    </row>
    <row r="99" spans="12:19" x14ac:dyDescent="0.25">
      <c r="L99" s="7" t="e">
        <f>VLOOKUP(A99,'3121% SY'!A:M,'3121% SY'!$M$1,FALSE)</f>
        <v>#N/A</v>
      </c>
      <c r="M99" s="161" t="e">
        <f t="shared" si="5"/>
        <v>#N/A</v>
      </c>
      <c r="N99" s="33" t="e">
        <f t="shared" si="6"/>
        <v>#N/A</v>
      </c>
      <c r="R99" s="161" t="e">
        <f t="shared" si="7"/>
        <v>#N/A</v>
      </c>
      <c r="S99" s="33" t="e">
        <f t="shared" si="8"/>
        <v>#N/A</v>
      </c>
    </row>
    <row r="100" spans="12:19" x14ac:dyDescent="0.25">
      <c r="L100" s="7" t="e">
        <f>VLOOKUP(A100,'3121% SY'!A:M,'3121% SY'!$M$1,FALSE)</f>
        <v>#N/A</v>
      </c>
      <c r="M100" s="161" t="e">
        <f t="shared" si="5"/>
        <v>#N/A</v>
      </c>
      <c r="N100" s="33" t="e">
        <f t="shared" si="6"/>
        <v>#N/A</v>
      </c>
      <c r="R100" s="161" t="e">
        <f t="shared" si="7"/>
        <v>#N/A</v>
      </c>
      <c r="S100" s="33" t="e">
        <f t="shared" si="8"/>
        <v>#N/A</v>
      </c>
    </row>
    <row r="101" spans="12:19" x14ac:dyDescent="0.25">
      <c r="L101" s="7" t="e">
        <f>VLOOKUP(A101,'3121% SY'!A:M,'3121% SY'!$M$1,FALSE)</f>
        <v>#N/A</v>
      </c>
      <c r="M101" s="161" t="e">
        <f t="shared" si="5"/>
        <v>#N/A</v>
      </c>
      <c r="N101" s="33" t="e">
        <f t="shared" si="6"/>
        <v>#N/A</v>
      </c>
      <c r="R101" s="161" t="e">
        <f t="shared" si="7"/>
        <v>#N/A</v>
      </c>
      <c r="S101" s="33" t="e">
        <f t="shared" si="8"/>
        <v>#N/A</v>
      </c>
    </row>
    <row r="102" spans="12:19" x14ac:dyDescent="0.25">
      <c r="L102" s="7" t="e">
        <f>VLOOKUP(A102,'3121% SY'!A:M,'3121% SY'!$M$1,FALSE)</f>
        <v>#N/A</v>
      </c>
      <c r="M102" s="161" t="e">
        <f t="shared" si="5"/>
        <v>#N/A</v>
      </c>
      <c r="N102" s="33" t="e">
        <f t="shared" si="6"/>
        <v>#N/A</v>
      </c>
      <c r="R102" s="161" t="e">
        <f t="shared" si="7"/>
        <v>#N/A</v>
      </c>
      <c r="S102" s="33" t="e">
        <f t="shared" si="8"/>
        <v>#N/A</v>
      </c>
    </row>
    <row r="103" spans="12:19" x14ac:dyDescent="0.25">
      <c r="L103" s="7" t="e">
        <f>VLOOKUP(A103,'3121% SY'!A:M,'3121% SY'!$M$1,FALSE)</f>
        <v>#N/A</v>
      </c>
      <c r="M103" s="161" t="e">
        <f t="shared" si="5"/>
        <v>#N/A</v>
      </c>
      <c r="N103" s="33" t="e">
        <f t="shared" si="6"/>
        <v>#N/A</v>
      </c>
      <c r="R103" s="161" t="e">
        <f t="shared" si="7"/>
        <v>#N/A</v>
      </c>
      <c r="S103" s="33" t="e">
        <f t="shared" si="8"/>
        <v>#N/A</v>
      </c>
    </row>
    <row r="104" spans="12:19" x14ac:dyDescent="0.25">
      <c r="L104" s="7" t="e">
        <f>VLOOKUP(A104,'3121% SY'!A:M,'3121% SY'!$M$1,FALSE)</f>
        <v>#N/A</v>
      </c>
      <c r="M104" s="161" t="e">
        <f t="shared" si="5"/>
        <v>#N/A</v>
      </c>
      <c r="N104" s="33" t="e">
        <f t="shared" si="6"/>
        <v>#N/A</v>
      </c>
      <c r="R104" s="161" t="e">
        <f t="shared" si="7"/>
        <v>#N/A</v>
      </c>
      <c r="S104" s="33" t="e">
        <f t="shared" si="8"/>
        <v>#N/A</v>
      </c>
    </row>
    <row r="105" spans="12:19" x14ac:dyDescent="0.25">
      <c r="L105" s="7" t="e">
        <f>VLOOKUP(A105,'3121% SY'!A:M,'3121% SY'!$M$1,FALSE)</f>
        <v>#N/A</v>
      </c>
      <c r="M105" s="161" t="e">
        <f t="shared" si="5"/>
        <v>#N/A</v>
      </c>
      <c r="N105" s="33" t="e">
        <f t="shared" si="6"/>
        <v>#N/A</v>
      </c>
      <c r="R105" s="161" t="e">
        <f t="shared" si="7"/>
        <v>#N/A</v>
      </c>
      <c r="S105" s="33" t="e">
        <f t="shared" si="8"/>
        <v>#N/A</v>
      </c>
    </row>
    <row r="106" spans="12:19" x14ac:dyDescent="0.25">
      <c r="L106" s="7" t="e">
        <f>VLOOKUP(A106,'3121% SY'!A:M,'3121% SY'!$M$1,FALSE)</f>
        <v>#N/A</v>
      </c>
      <c r="M106" s="161" t="e">
        <f t="shared" si="5"/>
        <v>#N/A</v>
      </c>
      <c r="N106" s="33" t="e">
        <f t="shared" si="6"/>
        <v>#N/A</v>
      </c>
      <c r="R106" s="161" t="e">
        <f t="shared" si="7"/>
        <v>#N/A</v>
      </c>
      <c r="S106" s="33" t="e">
        <f t="shared" si="8"/>
        <v>#N/A</v>
      </c>
    </row>
    <row r="107" spans="12:19" x14ac:dyDescent="0.25">
      <c r="L107" s="7" t="e">
        <f>VLOOKUP(A107,'3121% SY'!A:M,'3121% SY'!$M$1,FALSE)</f>
        <v>#N/A</v>
      </c>
      <c r="M107" s="161" t="e">
        <f t="shared" si="5"/>
        <v>#N/A</v>
      </c>
      <c r="N107" s="33" t="e">
        <f t="shared" si="6"/>
        <v>#N/A</v>
      </c>
      <c r="R107" s="161" t="e">
        <f t="shared" si="7"/>
        <v>#N/A</v>
      </c>
      <c r="S107" s="33" t="e">
        <f t="shared" si="8"/>
        <v>#N/A</v>
      </c>
    </row>
    <row r="108" spans="12:19" x14ac:dyDescent="0.25">
      <c r="L108" s="7" t="e">
        <f>VLOOKUP(A108,'3121% SY'!A:M,'3121% SY'!$M$1,FALSE)</f>
        <v>#N/A</v>
      </c>
      <c r="M108" s="161" t="e">
        <f t="shared" si="5"/>
        <v>#N/A</v>
      </c>
      <c r="N108" s="33" t="e">
        <f t="shared" si="6"/>
        <v>#N/A</v>
      </c>
      <c r="R108" s="161" t="e">
        <f t="shared" si="7"/>
        <v>#N/A</v>
      </c>
      <c r="S108" s="33" t="e">
        <f t="shared" si="8"/>
        <v>#N/A</v>
      </c>
    </row>
    <row r="109" spans="12:19" x14ac:dyDescent="0.25">
      <c r="L109" s="7" t="e">
        <f>VLOOKUP(A109,'3121% SY'!A:M,'3121% SY'!$M$1,FALSE)</f>
        <v>#N/A</v>
      </c>
      <c r="M109" s="161" t="e">
        <f t="shared" si="5"/>
        <v>#N/A</v>
      </c>
      <c r="N109" s="33" t="e">
        <f t="shared" si="6"/>
        <v>#N/A</v>
      </c>
      <c r="R109" s="161" t="e">
        <f t="shared" si="7"/>
        <v>#N/A</v>
      </c>
      <c r="S109" s="33" t="e">
        <f t="shared" si="8"/>
        <v>#N/A</v>
      </c>
    </row>
    <row r="110" spans="12:19" x14ac:dyDescent="0.25">
      <c r="L110" s="7" t="e">
        <f>VLOOKUP(A110,'3121% SY'!A:M,'3121% SY'!$M$1,FALSE)</f>
        <v>#N/A</v>
      </c>
      <c r="M110" s="161" t="e">
        <f t="shared" si="5"/>
        <v>#N/A</v>
      </c>
      <c r="N110" s="33" t="e">
        <f t="shared" si="6"/>
        <v>#N/A</v>
      </c>
      <c r="R110" s="161" t="e">
        <f t="shared" si="7"/>
        <v>#N/A</v>
      </c>
      <c r="S110" s="33" t="e">
        <f t="shared" si="8"/>
        <v>#N/A</v>
      </c>
    </row>
    <row r="111" spans="12:19" x14ac:dyDescent="0.25">
      <c r="L111" s="7" t="e">
        <f>VLOOKUP(A111,'3121% SY'!A:M,'3121% SY'!$M$1,FALSE)</f>
        <v>#N/A</v>
      </c>
      <c r="M111" s="161" t="e">
        <f t="shared" si="5"/>
        <v>#N/A</v>
      </c>
      <c r="N111" s="33" t="e">
        <f t="shared" si="6"/>
        <v>#N/A</v>
      </c>
      <c r="R111" s="161" t="e">
        <f t="shared" si="7"/>
        <v>#N/A</v>
      </c>
      <c r="S111" s="33" t="e">
        <f t="shared" si="8"/>
        <v>#N/A</v>
      </c>
    </row>
    <row r="112" spans="12:19" x14ac:dyDescent="0.25">
      <c r="L112" s="7" t="e">
        <f>VLOOKUP(A112,'3121% SY'!A:M,'3121% SY'!$M$1,FALSE)</f>
        <v>#N/A</v>
      </c>
      <c r="M112" s="161" t="e">
        <f t="shared" si="5"/>
        <v>#N/A</v>
      </c>
      <c r="N112" s="33" t="e">
        <f t="shared" si="6"/>
        <v>#N/A</v>
      </c>
      <c r="R112" s="161" t="e">
        <f t="shared" si="7"/>
        <v>#N/A</v>
      </c>
      <c r="S112" s="33" t="e">
        <f t="shared" si="8"/>
        <v>#N/A</v>
      </c>
    </row>
    <row r="113" spans="12:19" x14ac:dyDescent="0.25">
      <c r="L113" s="7" t="e">
        <f>VLOOKUP(A113,'3121% SY'!A:M,'3121% SY'!$M$1,FALSE)</f>
        <v>#N/A</v>
      </c>
      <c r="M113" s="161" t="e">
        <f t="shared" si="5"/>
        <v>#N/A</v>
      </c>
      <c r="N113" s="33" t="e">
        <f t="shared" si="6"/>
        <v>#N/A</v>
      </c>
      <c r="R113" s="161" t="e">
        <f t="shared" si="7"/>
        <v>#N/A</v>
      </c>
      <c r="S113" s="33" t="e">
        <f t="shared" si="8"/>
        <v>#N/A</v>
      </c>
    </row>
    <row r="114" spans="12:19" x14ac:dyDescent="0.25">
      <c r="L114" s="7" t="e">
        <f>VLOOKUP(A114,'3121% SY'!A:M,'3121% SY'!$M$1,FALSE)</f>
        <v>#N/A</v>
      </c>
      <c r="M114" s="161" t="e">
        <f t="shared" si="5"/>
        <v>#N/A</v>
      </c>
      <c r="N114" s="33" t="e">
        <f t="shared" si="6"/>
        <v>#N/A</v>
      </c>
      <c r="R114" s="161" t="e">
        <f t="shared" si="7"/>
        <v>#N/A</v>
      </c>
      <c r="S114" s="33" t="e">
        <f t="shared" si="8"/>
        <v>#N/A</v>
      </c>
    </row>
    <row r="115" spans="12:19" x14ac:dyDescent="0.25">
      <c r="L115" s="7" t="e">
        <f>VLOOKUP(A115,'3121% SY'!A:M,'3121% SY'!$M$1,FALSE)</f>
        <v>#N/A</v>
      </c>
      <c r="M115" s="161" t="e">
        <f t="shared" si="5"/>
        <v>#N/A</v>
      </c>
      <c r="N115" s="33" t="e">
        <f t="shared" si="6"/>
        <v>#N/A</v>
      </c>
      <c r="R115" s="161" t="e">
        <f t="shared" si="7"/>
        <v>#N/A</v>
      </c>
      <c r="S115" s="33" t="e">
        <f t="shared" si="8"/>
        <v>#N/A</v>
      </c>
    </row>
    <row r="116" spans="12:19" x14ac:dyDescent="0.25">
      <c r="L116" s="7" t="e">
        <f>VLOOKUP(A116,'3121% SY'!A:M,'3121% SY'!$M$1,FALSE)</f>
        <v>#N/A</v>
      </c>
      <c r="M116" s="161" t="e">
        <f t="shared" si="5"/>
        <v>#N/A</v>
      </c>
      <c r="N116" s="33" t="e">
        <f t="shared" si="6"/>
        <v>#N/A</v>
      </c>
      <c r="R116" s="161" t="e">
        <f t="shared" si="7"/>
        <v>#N/A</v>
      </c>
      <c r="S116" s="33" t="e">
        <f t="shared" si="8"/>
        <v>#N/A</v>
      </c>
    </row>
    <row r="117" spans="12:19" x14ac:dyDescent="0.25">
      <c r="L117" s="7" t="e">
        <f>VLOOKUP(A117,'3121% SY'!A:M,'3121% SY'!$M$1,FALSE)</f>
        <v>#N/A</v>
      </c>
      <c r="M117" s="161" t="e">
        <f t="shared" si="5"/>
        <v>#N/A</v>
      </c>
      <c r="N117" s="33" t="e">
        <f t="shared" si="6"/>
        <v>#N/A</v>
      </c>
      <c r="R117" s="161" t="e">
        <f t="shared" si="7"/>
        <v>#N/A</v>
      </c>
      <c r="S117" s="33" t="e">
        <f t="shared" si="8"/>
        <v>#N/A</v>
      </c>
    </row>
    <row r="118" spans="12:19" x14ac:dyDescent="0.25">
      <c r="L118" s="7" t="e">
        <f>VLOOKUP(A118,'3121% SY'!A:M,'3121% SY'!$M$1,FALSE)</f>
        <v>#N/A</v>
      </c>
      <c r="M118" s="161" t="e">
        <f t="shared" si="5"/>
        <v>#N/A</v>
      </c>
      <c r="N118" s="33" t="e">
        <f t="shared" si="6"/>
        <v>#N/A</v>
      </c>
      <c r="R118" s="161" t="e">
        <f t="shared" si="7"/>
        <v>#N/A</v>
      </c>
      <c r="S118" s="33" t="e">
        <f t="shared" si="8"/>
        <v>#N/A</v>
      </c>
    </row>
    <row r="119" spans="12:19" x14ac:dyDescent="0.25">
      <c r="L119" s="7" t="e">
        <f>VLOOKUP(A119,'3121% SY'!A:M,'3121% SY'!$M$1,FALSE)</f>
        <v>#N/A</v>
      </c>
      <c r="M119" s="161" t="e">
        <f t="shared" si="5"/>
        <v>#N/A</v>
      </c>
      <c r="N119" s="33" t="e">
        <f t="shared" si="6"/>
        <v>#N/A</v>
      </c>
      <c r="R119" s="161" t="e">
        <f t="shared" si="7"/>
        <v>#N/A</v>
      </c>
      <c r="S119" s="33" t="e">
        <f t="shared" si="8"/>
        <v>#N/A</v>
      </c>
    </row>
    <row r="120" spans="12:19" x14ac:dyDescent="0.25">
      <c r="L120" s="7" t="e">
        <f>VLOOKUP(A120,'3121% SY'!A:M,'3121% SY'!$M$1,FALSE)</f>
        <v>#N/A</v>
      </c>
      <c r="M120" s="161" t="e">
        <f t="shared" si="5"/>
        <v>#N/A</v>
      </c>
      <c r="N120" s="33" t="e">
        <f t="shared" si="6"/>
        <v>#N/A</v>
      </c>
      <c r="R120" s="161" t="e">
        <f t="shared" si="7"/>
        <v>#N/A</v>
      </c>
      <c r="S120" s="33" t="e">
        <f t="shared" si="8"/>
        <v>#N/A</v>
      </c>
    </row>
    <row r="121" spans="12:19" x14ac:dyDescent="0.25">
      <c r="L121" s="7" t="e">
        <f>VLOOKUP(A121,'3121% SY'!A:M,'3121% SY'!$M$1,FALSE)</f>
        <v>#N/A</v>
      </c>
      <c r="M121" s="161" t="e">
        <f t="shared" si="5"/>
        <v>#N/A</v>
      </c>
      <c r="N121" s="33" t="e">
        <f t="shared" si="6"/>
        <v>#N/A</v>
      </c>
      <c r="R121" s="161" t="e">
        <f t="shared" si="7"/>
        <v>#N/A</v>
      </c>
      <c r="S121" s="33" t="e">
        <f t="shared" si="8"/>
        <v>#N/A</v>
      </c>
    </row>
    <row r="122" spans="12:19" x14ac:dyDescent="0.25">
      <c r="L122" s="7" t="e">
        <f>VLOOKUP(A122,'3121% SY'!A:M,'3121% SY'!$M$1,FALSE)</f>
        <v>#N/A</v>
      </c>
      <c r="M122" s="161" t="e">
        <f t="shared" si="5"/>
        <v>#N/A</v>
      </c>
      <c r="N122" s="33" t="e">
        <f t="shared" si="6"/>
        <v>#N/A</v>
      </c>
      <c r="R122" s="161" t="e">
        <f t="shared" si="7"/>
        <v>#N/A</v>
      </c>
      <c r="S122" s="33" t="e">
        <f t="shared" si="8"/>
        <v>#N/A</v>
      </c>
    </row>
    <row r="123" spans="12:19" x14ac:dyDescent="0.25">
      <c r="L123" s="7" t="e">
        <f>VLOOKUP(A123,'3121% SY'!A:M,'3121% SY'!$M$1,FALSE)</f>
        <v>#N/A</v>
      </c>
      <c r="M123" s="161" t="e">
        <f t="shared" si="5"/>
        <v>#N/A</v>
      </c>
      <c r="N123" s="33" t="e">
        <f t="shared" si="6"/>
        <v>#N/A</v>
      </c>
      <c r="R123" s="161" t="e">
        <f t="shared" ref="R123:R131" si="9">ROUND(Q123*$L123,3)</f>
        <v>#N/A</v>
      </c>
      <c r="S123" s="33" t="e">
        <f t="shared" ref="S123:S131" si="10">SUM(R123,O123:P123)</f>
        <v>#N/A</v>
      </c>
    </row>
    <row r="124" spans="12:19" x14ac:dyDescent="0.25">
      <c r="L124" s="7" t="e">
        <f>VLOOKUP(A124,'3121% SY'!A:M,'3121% SY'!$M$1,FALSE)</f>
        <v>#N/A</v>
      </c>
      <c r="M124" s="161" t="e">
        <f t="shared" si="5"/>
        <v>#N/A</v>
      </c>
      <c r="N124" s="33" t="e">
        <f t="shared" si="6"/>
        <v>#N/A</v>
      </c>
      <c r="R124" s="161" t="e">
        <f t="shared" si="9"/>
        <v>#N/A</v>
      </c>
      <c r="S124" s="33" t="e">
        <f t="shared" si="10"/>
        <v>#N/A</v>
      </c>
    </row>
    <row r="125" spans="12:19" x14ac:dyDescent="0.25">
      <c r="L125" s="7" t="e">
        <f>VLOOKUP(A125,'3121% SY'!A:M,'3121% SY'!$M$1,FALSE)</f>
        <v>#N/A</v>
      </c>
      <c r="M125" s="161" t="e">
        <f t="shared" si="5"/>
        <v>#N/A</v>
      </c>
      <c r="N125" s="33" t="e">
        <f t="shared" si="6"/>
        <v>#N/A</v>
      </c>
      <c r="R125" s="161" t="e">
        <f t="shared" si="9"/>
        <v>#N/A</v>
      </c>
      <c r="S125" s="33" t="e">
        <f t="shared" si="10"/>
        <v>#N/A</v>
      </c>
    </row>
    <row r="126" spans="12:19" x14ac:dyDescent="0.25">
      <c r="L126" s="7" t="e">
        <f>VLOOKUP(A126,'3121% SY'!A:M,'3121% SY'!$M$1,FALSE)</f>
        <v>#N/A</v>
      </c>
      <c r="M126" s="161" t="e">
        <f t="shared" si="5"/>
        <v>#N/A</v>
      </c>
      <c r="N126" s="33" t="e">
        <f t="shared" si="6"/>
        <v>#N/A</v>
      </c>
      <c r="R126" s="161" t="e">
        <f t="shared" si="9"/>
        <v>#N/A</v>
      </c>
      <c r="S126" s="33" t="e">
        <f t="shared" si="10"/>
        <v>#N/A</v>
      </c>
    </row>
    <row r="127" spans="12:19" x14ac:dyDescent="0.25">
      <c r="L127" s="7" t="e">
        <f>VLOOKUP(A127,'3121% SY'!A:M,'3121% SY'!$M$1,FALSE)</f>
        <v>#N/A</v>
      </c>
      <c r="M127" s="161" t="e">
        <f t="shared" si="5"/>
        <v>#N/A</v>
      </c>
      <c r="N127" s="33" t="e">
        <f t="shared" si="6"/>
        <v>#N/A</v>
      </c>
      <c r="R127" s="161" t="e">
        <f t="shared" si="9"/>
        <v>#N/A</v>
      </c>
      <c r="S127" s="33" t="e">
        <f t="shared" si="10"/>
        <v>#N/A</v>
      </c>
    </row>
    <row r="128" spans="12:19" x14ac:dyDescent="0.25">
      <c r="L128" s="7" t="e">
        <f>VLOOKUP(A128,'3121% SY'!A:M,'3121% SY'!$M$1,FALSE)</f>
        <v>#N/A</v>
      </c>
      <c r="M128" s="161" t="e">
        <f t="shared" si="5"/>
        <v>#N/A</v>
      </c>
      <c r="N128" s="33" t="e">
        <f t="shared" si="6"/>
        <v>#N/A</v>
      </c>
      <c r="R128" s="161" t="e">
        <f t="shared" si="9"/>
        <v>#N/A</v>
      </c>
      <c r="S128" s="33" t="e">
        <f t="shared" si="10"/>
        <v>#N/A</v>
      </c>
    </row>
    <row r="129" spans="12:19" x14ac:dyDescent="0.25">
      <c r="L129" s="7" t="e">
        <f>VLOOKUP(A129,'3121% SY'!A:M,'3121% SY'!$M$1,FALSE)</f>
        <v>#N/A</v>
      </c>
      <c r="M129" s="161" t="e">
        <f t="shared" si="5"/>
        <v>#N/A</v>
      </c>
      <c r="N129" s="33" t="e">
        <f t="shared" si="6"/>
        <v>#N/A</v>
      </c>
      <c r="R129" s="161" t="e">
        <f t="shared" si="9"/>
        <v>#N/A</v>
      </c>
      <c r="S129" s="33" t="e">
        <f t="shared" si="10"/>
        <v>#N/A</v>
      </c>
    </row>
    <row r="130" spans="12:19" x14ac:dyDescent="0.25">
      <c r="L130" s="7" t="e">
        <f>VLOOKUP(A130,'3121% SY'!A:M,'3121% SY'!$M$1,FALSE)</f>
        <v>#N/A</v>
      </c>
      <c r="M130" s="161" t="e">
        <f t="shared" si="5"/>
        <v>#N/A</v>
      </c>
      <c r="N130" s="33" t="e">
        <f t="shared" si="6"/>
        <v>#N/A</v>
      </c>
      <c r="R130" s="161" t="e">
        <f t="shared" si="9"/>
        <v>#N/A</v>
      </c>
      <c r="S130" s="33" t="e">
        <f t="shared" si="10"/>
        <v>#N/A</v>
      </c>
    </row>
    <row r="131" spans="12:19" x14ac:dyDescent="0.25">
      <c r="L131" s="7" t="e">
        <f>VLOOKUP(A131,'3121% SY'!A:M,'3121% SY'!$M$1,FALSE)</f>
        <v>#N/A</v>
      </c>
      <c r="M131" s="161" t="e">
        <f t="shared" si="5"/>
        <v>#N/A</v>
      </c>
      <c r="N131" s="33" t="e">
        <f t="shared" si="6"/>
        <v>#N/A</v>
      </c>
      <c r="R131" s="161" t="e">
        <f t="shared" si="9"/>
        <v>#N/A</v>
      </c>
      <c r="S131" s="33" t="e">
        <f t="shared" si="10"/>
        <v>#N/A</v>
      </c>
    </row>
    <row r="132" spans="12:19" x14ac:dyDescent="0.25">
      <c r="L132" s="7" t="e">
        <f>VLOOKUP(A132,'3121% SY'!A:M,'3121% SY'!$M$1,FALSE)</f>
        <v>#N/A</v>
      </c>
    </row>
    <row r="133" spans="12:19" x14ac:dyDescent="0.25">
      <c r="L133" s="7" t="e">
        <f>VLOOKUP(A133,'3121% SY'!A:M,'3121% SY'!$M$1,FALSE)</f>
        <v>#N/A</v>
      </c>
    </row>
    <row r="134" spans="12:19" x14ac:dyDescent="0.25">
      <c r="L134" s="7" t="e">
        <f>VLOOKUP(A134,'3121% SY'!A:M,'3121% SY'!$M$1,FALSE)</f>
        <v>#N/A</v>
      </c>
    </row>
    <row r="135" spans="12:19" x14ac:dyDescent="0.25">
      <c r="L135" s="7" t="e">
        <f>VLOOKUP(A135,'3121% SY'!A:M,'3121% SY'!$M$1,FALSE)</f>
        <v>#N/A</v>
      </c>
    </row>
    <row r="136" spans="12:19" x14ac:dyDescent="0.25">
      <c r="L136" s="7" t="e">
        <f>VLOOKUP(A136,'3121% SY'!A:M,'3121% SY'!$M$1,FALSE)</f>
        <v>#N/A</v>
      </c>
    </row>
    <row r="137" spans="12:19" x14ac:dyDescent="0.25">
      <c r="L137" s="7" t="e">
        <f>VLOOKUP(A137,'3121% SY'!A:M,'3121% SY'!$M$1,FALSE)</f>
        <v>#N/A</v>
      </c>
    </row>
    <row r="138" spans="12:19" x14ac:dyDescent="0.25">
      <c r="L138" s="7" t="e">
        <f>VLOOKUP(A138,'3121% SY'!A:M,'3121% SY'!$M$1,FALSE)</f>
        <v>#N/A</v>
      </c>
    </row>
    <row r="139" spans="12:19" x14ac:dyDescent="0.25">
      <c r="L139" s="7" t="e">
        <f>VLOOKUP(A139,'3121% SY'!A:M,'3121% SY'!$M$1,FALSE)</f>
        <v>#N/A</v>
      </c>
    </row>
    <row r="140" spans="12:19" x14ac:dyDescent="0.25">
      <c r="L140" s="7" t="e">
        <f>VLOOKUP(A140,'3121% SY'!A:M,'3121% SY'!$M$1,FALSE)</f>
        <v>#N/A</v>
      </c>
    </row>
    <row r="141" spans="12:19" x14ac:dyDescent="0.25">
      <c r="L141" s="7" t="e">
        <f>VLOOKUP(A141,'3121% SY'!A:M,'3121% SY'!$M$1,FALSE)</f>
        <v>#N/A</v>
      </c>
    </row>
    <row r="142" spans="12:19" x14ac:dyDescent="0.25">
      <c r="L142" s="7" t="e">
        <f>VLOOKUP(A142,'3121% SY'!A:M,'3121% SY'!$M$1,FALSE)</f>
        <v>#N/A</v>
      </c>
    </row>
    <row r="143" spans="12:19" x14ac:dyDescent="0.25">
      <c r="L143" s="7" t="e">
        <f>VLOOKUP(A143,'3121% SY'!A:M,'3121% SY'!$M$1,FALSE)</f>
        <v>#N/A</v>
      </c>
    </row>
    <row r="144" spans="12:19" x14ac:dyDescent="0.25">
      <c r="L144" s="7" t="e">
        <f>VLOOKUP(A144,'3121% SY'!A:M,'3121% SY'!$M$1,FALSE)</f>
        <v>#N/A</v>
      </c>
    </row>
    <row r="145" spans="12:12" x14ac:dyDescent="0.25">
      <c r="L145" s="7" t="e">
        <f>VLOOKUP(A145,'3121% SY'!A:M,'3121% SY'!$M$1,FALSE)</f>
        <v>#N/A</v>
      </c>
    </row>
    <row r="146" spans="12:12" x14ac:dyDescent="0.25">
      <c r="L146" s="7" t="e">
        <f>VLOOKUP(A146,'3121% SY'!A:M,'3121% SY'!$M$1,FALSE)</f>
        <v>#N/A</v>
      </c>
    </row>
    <row r="147" spans="12:12" x14ac:dyDescent="0.25">
      <c r="L147" s="7" t="e">
        <f>VLOOKUP(A147,'3121% SY'!A:M,'3121% SY'!$M$1,FALSE)</f>
        <v>#N/A</v>
      </c>
    </row>
    <row r="148" spans="12:12" x14ac:dyDescent="0.25">
      <c r="L148" s="7" t="e">
        <f>VLOOKUP(A148,'3121% SY'!A:M,'3121% SY'!$M$1,FALSE)</f>
        <v>#N/A</v>
      </c>
    </row>
    <row r="149" spans="12:12" x14ac:dyDescent="0.25">
      <c r="L149" s="7" t="e">
        <f>VLOOKUP(A149,'3121% SY'!A:M,'3121% SY'!$M$1,FALSE)</f>
        <v>#N/A</v>
      </c>
    </row>
    <row r="150" spans="12:12" x14ac:dyDescent="0.25">
      <c r="L150" s="7" t="e">
        <f>VLOOKUP(A150,'3121% SY'!A:M,'3121% SY'!$M$1,FALSE)</f>
        <v>#N/A</v>
      </c>
    </row>
    <row r="151" spans="12:12" x14ac:dyDescent="0.25">
      <c r="L151" s="7" t="e">
        <f>VLOOKUP(A151,'3121% SY'!A:M,'3121% SY'!$M$1,FALSE)</f>
        <v>#N/A</v>
      </c>
    </row>
  </sheetData>
  <mergeCells count="1">
    <mergeCell ref="B2:H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8F14A-C4CB-4672-8241-B41D438E6AAB}">
  <sheetPr codeName="Sheet38"/>
  <dimension ref="A1:T151"/>
  <sheetViews>
    <sheetView workbookViewId="0">
      <selection activeCell="L4" sqref="L4:L151"/>
    </sheetView>
  </sheetViews>
  <sheetFormatPr defaultRowHeight="15" x14ac:dyDescent="0.25"/>
  <cols>
    <col min="1" max="1" width="13.140625" bestFit="1" customWidth="1"/>
    <col min="2" max="2" width="12.7109375" bestFit="1" customWidth="1"/>
    <col min="3" max="3" width="13.7109375" bestFit="1" customWidth="1"/>
    <col min="4" max="4" width="13.140625" bestFit="1" customWidth="1"/>
    <col min="5" max="6" width="14.85546875" bestFit="1" customWidth="1"/>
    <col min="7" max="7" width="15.7109375" bestFit="1" customWidth="1"/>
    <col min="8" max="8" width="15.140625" bestFit="1" customWidth="1"/>
    <col min="9" max="9" width="14.85546875" bestFit="1" customWidth="1"/>
    <col min="10" max="10" width="15.7109375" bestFit="1" customWidth="1"/>
    <col min="11" max="11" width="15.140625" bestFit="1" customWidth="1"/>
    <col min="12" max="12" width="12.7109375" bestFit="1" customWidth="1"/>
    <col min="13" max="13" width="17.42578125" bestFit="1" customWidth="1"/>
    <col min="14" max="14" width="12.7109375" bestFit="1" customWidth="1"/>
    <col min="15" max="16" width="16" bestFit="1" customWidth="1"/>
    <col min="17" max="17" width="13.5703125" bestFit="1" customWidth="1"/>
    <col min="18" max="18" width="12.7109375" bestFit="1" customWidth="1"/>
    <col min="19" max="19" width="21" bestFit="1" customWidth="1"/>
    <col min="20" max="43" width="12.7109375" bestFit="1" customWidth="1"/>
  </cols>
  <sheetData>
    <row r="1" spans="1:20" x14ac:dyDescent="0.25">
      <c r="A1" s="87">
        <f>COLUMN(A1)</f>
        <v>1</v>
      </c>
      <c r="B1" s="87">
        <f>COLUMN(B1)</f>
        <v>2</v>
      </c>
      <c r="C1" s="87">
        <f t="shared" ref="C1:S1" si="0">COLUMN(C1)</f>
        <v>3</v>
      </c>
      <c r="D1" s="87">
        <f t="shared" si="0"/>
        <v>4</v>
      </c>
      <c r="E1" s="87">
        <f t="shared" si="0"/>
        <v>5</v>
      </c>
      <c r="F1" s="87">
        <f t="shared" si="0"/>
        <v>6</v>
      </c>
      <c r="G1" s="87">
        <f t="shared" si="0"/>
        <v>7</v>
      </c>
      <c r="H1" s="87">
        <f t="shared" si="0"/>
        <v>8</v>
      </c>
      <c r="I1" s="87">
        <f t="shared" si="0"/>
        <v>9</v>
      </c>
      <c r="J1" s="87">
        <f t="shared" si="0"/>
        <v>10</v>
      </c>
      <c r="K1" s="87">
        <f t="shared" si="0"/>
        <v>11</v>
      </c>
      <c r="L1" s="87">
        <f t="shared" si="0"/>
        <v>12</v>
      </c>
      <c r="M1" s="87">
        <f t="shared" si="0"/>
        <v>13</v>
      </c>
      <c r="N1" s="87">
        <f t="shared" si="0"/>
        <v>14</v>
      </c>
      <c r="O1" s="87">
        <f t="shared" si="0"/>
        <v>15</v>
      </c>
      <c r="P1" s="87">
        <f t="shared" si="0"/>
        <v>16</v>
      </c>
      <c r="Q1" s="87">
        <f t="shared" si="0"/>
        <v>17</v>
      </c>
      <c r="R1" s="87">
        <f t="shared" si="0"/>
        <v>18</v>
      </c>
      <c r="S1" s="87">
        <f t="shared" si="0"/>
        <v>19</v>
      </c>
      <c r="T1" s="87"/>
    </row>
    <row r="2" spans="1:20" x14ac:dyDescent="0.25">
      <c r="A2">
        <f>COUNTA(A4:A131)</f>
        <v>24</v>
      </c>
      <c r="B2" s="290" t="s">
        <v>1065</v>
      </c>
      <c r="C2" s="290"/>
      <c r="D2" s="290"/>
      <c r="E2" s="290"/>
      <c r="F2" s="290"/>
      <c r="G2" s="290"/>
      <c r="H2" s="290"/>
      <c r="I2" s="156"/>
      <c r="J2" s="156"/>
      <c r="K2" s="156"/>
      <c r="N2" s="33" t="e">
        <f>SUM(N4:N150)</f>
        <v>#N/A</v>
      </c>
    </row>
    <row r="3" spans="1:20" x14ac:dyDescent="0.25">
      <c r="A3" s="91" t="s">
        <v>752</v>
      </c>
      <c r="B3" t="s">
        <v>795</v>
      </c>
      <c r="C3" t="s">
        <v>835</v>
      </c>
      <c r="D3" t="s">
        <v>876</v>
      </c>
      <c r="E3" t="s">
        <v>1142</v>
      </c>
      <c r="F3" t="s">
        <v>808</v>
      </c>
      <c r="G3" t="s">
        <v>848</v>
      </c>
      <c r="H3" t="s">
        <v>889</v>
      </c>
      <c r="I3" t="s">
        <v>821</v>
      </c>
      <c r="J3" t="s">
        <v>864</v>
      </c>
      <c r="K3" t="s">
        <v>901</v>
      </c>
      <c r="L3" s="6">
        <v>31.21</v>
      </c>
      <c r="M3" t="str">
        <f>"SpEd Staffed "&amp;$B$2</f>
        <v>SpEd Staffed Family Engag</v>
      </c>
      <c r="N3" s="162" t="str">
        <f>"Total "&amp;$B$2</f>
        <v>Total Family Engag</v>
      </c>
      <c r="O3" t="s">
        <v>1062</v>
      </c>
      <c r="P3" t="s">
        <v>1063</v>
      </c>
      <c r="Q3" t="s">
        <v>1061</v>
      </c>
      <c r="R3" t="str">
        <f>"SpEd Contracted "&amp;$B$2</f>
        <v>SpEd Contracted Family Engag</v>
      </c>
      <c r="S3" s="162" t="str">
        <f>"Total Contracted "&amp;$B$2</f>
        <v>Total Contracted Family Engag</v>
      </c>
    </row>
    <row r="4" spans="1:20" x14ac:dyDescent="0.25">
      <c r="A4" s="88" t="s">
        <v>7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7">
        <f>VLOOKUP(A4,'3121% SY'!A:M,'3121% SY'!$M$1,FALSE)</f>
        <v>0.1179</v>
      </c>
      <c r="M4" s="161">
        <f>ROUND(I4*$L4,3)+ROUND(J4*$L4,3)++ROUND(K4*$L4,3)</f>
        <v>0</v>
      </c>
      <c r="N4" s="33">
        <f>SUM(M4,B4:H4)</f>
        <v>0</v>
      </c>
      <c r="R4" s="161">
        <f>ROUND(Q4*$L4,3)</f>
        <v>0</v>
      </c>
      <c r="S4" s="33">
        <f>SUM(R4,O4:P4)</f>
        <v>0</v>
      </c>
    </row>
    <row r="5" spans="1:20" x14ac:dyDescent="0.25">
      <c r="A5" s="88" t="s">
        <v>40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7">
        <f>VLOOKUP(A5,'3121% SY'!A:M,'3121% SY'!$M$1,FALSE)</f>
        <v>0.1794</v>
      </c>
      <c r="M5" s="161">
        <f t="shared" ref="M5:M68" si="1">ROUND(I5*$L5,3)+ROUND(J5*$L5,3)++ROUND(K5*$L5,3)</f>
        <v>0</v>
      </c>
      <c r="N5" s="33">
        <f t="shared" ref="N5:N68" si="2">SUM(M5,B5:H5)</f>
        <v>0</v>
      </c>
      <c r="R5" s="161">
        <f t="shared" ref="R5:R68" si="3">ROUND(Q5*$L5,3)</f>
        <v>0</v>
      </c>
      <c r="S5" s="33">
        <f t="shared" ref="S5:S68" si="4">SUM(R5,O5:P5)</f>
        <v>0</v>
      </c>
    </row>
    <row r="6" spans="1:20" x14ac:dyDescent="0.25">
      <c r="A6" s="88" t="s">
        <v>61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7">
        <f>VLOOKUP(A6,'3121% SY'!A:M,'3121% SY'!$M$1,FALSE)</f>
        <v>0.24629999999999996</v>
      </c>
      <c r="M6" s="161">
        <f t="shared" si="1"/>
        <v>0</v>
      </c>
      <c r="N6" s="33">
        <f t="shared" si="2"/>
        <v>0</v>
      </c>
      <c r="R6" s="161">
        <f t="shared" si="3"/>
        <v>0</v>
      </c>
      <c r="S6" s="33">
        <f t="shared" si="4"/>
        <v>0</v>
      </c>
    </row>
    <row r="7" spans="1:20" x14ac:dyDescent="0.25">
      <c r="A7" s="88" t="s">
        <v>78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7">
        <f>VLOOKUP(A7,'3121% SY'!A:M,'3121% SY'!$M$1,FALSE)</f>
        <v>0.17600000000000005</v>
      </c>
      <c r="M7" s="161">
        <f t="shared" si="1"/>
        <v>0</v>
      </c>
      <c r="N7" s="33">
        <f t="shared" si="2"/>
        <v>0</v>
      </c>
      <c r="R7" s="161">
        <f t="shared" si="3"/>
        <v>0</v>
      </c>
      <c r="S7" s="33">
        <f t="shared" si="4"/>
        <v>0</v>
      </c>
    </row>
    <row r="8" spans="1:20" x14ac:dyDescent="0.25">
      <c r="A8" s="88" t="s">
        <v>84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7">
        <f>VLOOKUP(A8,'3121% SY'!A:M,'3121% SY'!$M$1,FALSE)</f>
        <v>8.9999999999999969E-2</v>
      </c>
      <c r="M8" s="161">
        <f t="shared" si="1"/>
        <v>0</v>
      </c>
      <c r="N8" s="33">
        <f t="shared" si="2"/>
        <v>0</v>
      </c>
      <c r="R8" s="161">
        <f t="shared" si="3"/>
        <v>0</v>
      </c>
      <c r="S8" s="33">
        <f t="shared" si="4"/>
        <v>0</v>
      </c>
    </row>
    <row r="9" spans="1:20" x14ac:dyDescent="0.25">
      <c r="A9" s="88" t="s">
        <v>87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7">
        <f>VLOOKUP(A9,'3121% SY'!A:M,'3121% SY'!$M$1,FALSE)</f>
        <v>0.18340000000000001</v>
      </c>
      <c r="M9" s="161">
        <f t="shared" si="1"/>
        <v>0</v>
      </c>
      <c r="N9" s="33">
        <f t="shared" si="2"/>
        <v>0</v>
      </c>
      <c r="R9" s="161">
        <f t="shared" si="3"/>
        <v>0</v>
      </c>
      <c r="S9" s="33">
        <f t="shared" si="4"/>
        <v>0</v>
      </c>
    </row>
    <row r="10" spans="1:20" x14ac:dyDescent="0.25">
      <c r="A10" s="88" t="s">
        <v>89</v>
      </c>
      <c r="B10">
        <v>0</v>
      </c>
      <c r="C10">
        <v>1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7">
        <f>VLOOKUP(A10,'3121% SY'!A:M,'3121% SY'!$M$1,FALSE)</f>
        <v>0.22170000000000001</v>
      </c>
      <c r="M10" s="161">
        <f t="shared" si="1"/>
        <v>0</v>
      </c>
      <c r="N10" s="33">
        <f t="shared" si="2"/>
        <v>1</v>
      </c>
      <c r="R10" s="161">
        <f t="shared" si="3"/>
        <v>0</v>
      </c>
      <c r="S10" s="33">
        <f t="shared" si="4"/>
        <v>0</v>
      </c>
    </row>
    <row r="11" spans="1:20" x14ac:dyDescent="0.25">
      <c r="A11" s="88" t="s">
        <v>141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7">
        <f>VLOOKUP(A11,'3121% SY'!A:M,'3121% SY'!$M$1,FALSE)</f>
        <v>0.31479999999999997</v>
      </c>
      <c r="M11" s="161">
        <f t="shared" si="1"/>
        <v>0</v>
      </c>
      <c r="N11" s="33">
        <f t="shared" si="2"/>
        <v>0</v>
      </c>
      <c r="R11" s="161">
        <f t="shared" si="3"/>
        <v>0</v>
      </c>
      <c r="S11" s="33">
        <f t="shared" si="4"/>
        <v>0</v>
      </c>
    </row>
    <row r="12" spans="1:20" x14ac:dyDescent="0.25">
      <c r="A12" s="88" t="s">
        <v>145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7">
        <f>VLOOKUP(A12,'3121% SY'!A:M,'3121% SY'!$M$1,FALSE)</f>
        <v>0.28620000000000001</v>
      </c>
      <c r="M12" s="161">
        <f t="shared" si="1"/>
        <v>0</v>
      </c>
      <c r="N12" s="33">
        <f t="shared" si="2"/>
        <v>0</v>
      </c>
      <c r="R12" s="161">
        <f t="shared" si="3"/>
        <v>0</v>
      </c>
      <c r="S12" s="33">
        <f t="shared" si="4"/>
        <v>0</v>
      </c>
    </row>
    <row r="13" spans="1:20" x14ac:dyDescent="0.25">
      <c r="A13" s="88" t="s">
        <v>146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7">
        <f>VLOOKUP(A13,'3121% SY'!A:M,'3121% SY'!$M$1,FALSE)</f>
        <v>0.25719999999999998</v>
      </c>
      <c r="M13" s="161">
        <f t="shared" si="1"/>
        <v>0</v>
      </c>
      <c r="N13" s="33">
        <f t="shared" si="2"/>
        <v>0</v>
      </c>
      <c r="R13" s="161">
        <f t="shared" si="3"/>
        <v>0</v>
      </c>
      <c r="S13" s="33">
        <f t="shared" si="4"/>
        <v>0</v>
      </c>
    </row>
    <row r="14" spans="1:20" x14ac:dyDescent="0.25">
      <c r="A14" s="88" t="s">
        <v>162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7">
        <f>VLOOKUP(A14,'3121% SY'!A:M,'3121% SY'!$M$1,FALSE)</f>
        <v>0.19820000000000004</v>
      </c>
      <c r="M14" s="161">
        <f t="shared" si="1"/>
        <v>0</v>
      </c>
      <c r="N14" s="33">
        <f t="shared" si="2"/>
        <v>0</v>
      </c>
      <c r="R14" s="161">
        <f t="shared" si="3"/>
        <v>0</v>
      </c>
      <c r="S14" s="33">
        <f t="shared" si="4"/>
        <v>0</v>
      </c>
    </row>
    <row r="15" spans="1:20" x14ac:dyDescent="0.25">
      <c r="A15" s="88" t="s">
        <v>163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7">
        <f>VLOOKUP(A15,'3121% SY'!A:M,'3121% SY'!$M$1,FALSE)</f>
        <v>0.20989999999999998</v>
      </c>
      <c r="M15" s="161">
        <f t="shared" si="1"/>
        <v>0</v>
      </c>
      <c r="N15" s="33">
        <f t="shared" si="2"/>
        <v>0</v>
      </c>
      <c r="R15" s="161">
        <f t="shared" si="3"/>
        <v>0</v>
      </c>
      <c r="S15" s="33">
        <f t="shared" si="4"/>
        <v>0</v>
      </c>
    </row>
    <row r="16" spans="1:20" x14ac:dyDescent="0.25">
      <c r="A16" s="88" t="s">
        <v>176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7">
        <f>VLOOKUP(A16,'3121% SY'!A:M,'3121% SY'!$M$1,FALSE)</f>
        <v>0.29900000000000004</v>
      </c>
      <c r="M16" s="161">
        <f t="shared" si="1"/>
        <v>0</v>
      </c>
      <c r="N16" s="33">
        <f t="shared" si="2"/>
        <v>0</v>
      </c>
      <c r="R16" s="161">
        <f t="shared" si="3"/>
        <v>0</v>
      </c>
      <c r="S16" s="33">
        <f t="shared" si="4"/>
        <v>0</v>
      </c>
    </row>
    <row r="17" spans="1:19" x14ac:dyDescent="0.25">
      <c r="A17" s="88" t="s">
        <v>233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7">
        <f>VLOOKUP(A17,'3121% SY'!A:M,'3121% SY'!$M$1,FALSE)</f>
        <v>0.20020000000000004</v>
      </c>
      <c r="M17" s="161">
        <f t="shared" si="1"/>
        <v>0</v>
      </c>
      <c r="N17" s="33">
        <f t="shared" si="2"/>
        <v>0</v>
      </c>
      <c r="R17" s="161">
        <f t="shared" si="3"/>
        <v>0</v>
      </c>
      <c r="S17" s="33">
        <f t="shared" si="4"/>
        <v>0</v>
      </c>
    </row>
    <row r="18" spans="1:19" x14ac:dyDescent="0.25">
      <c r="A18" s="88" t="s">
        <v>250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7">
        <f>VLOOKUP(A18,'3121% SY'!A:M,'3121% SY'!$M$1,FALSE)</f>
        <v>0.15839999999999999</v>
      </c>
      <c r="M18" s="161">
        <f t="shared" si="1"/>
        <v>0</v>
      </c>
      <c r="N18" s="33">
        <f t="shared" si="2"/>
        <v>0</v>
      </c>
      <c r="R18" s="161">
        <f t="shared" si="3"/>
        <v>0</v>
      </c>
      <c r="S18" s="33">
        <f t="shared" si="4"/>
        <v>0</v>
      </c>
    </row>
    <row r="19" spans="1:19" x14ac:dyDescent="0.25">
      <c r="A19" s="88" t="s">
        <v>256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7">
        <f>VLOOKUP(A19,'3121% SY'!A:M,'3121% SY'!$M$1,FALSE)</f>
        <v>0.23140000000000005</v>
      </c>
      <c r="M19" s="161">
        <f t="shared" si="1"/>
        <v>0</v>
      </c>
      <c r="N19" s="33">
        <f t="shared" si="2"/>
        <v>0</v>
      </c>
      <c r="R19" s="161">
        <f t="shared" si="3"/>
        <v>0</v>
      </c>
      <c r="S19" s="33">
        <f t="shared" si="4"/>
        <v>0</v>
      </c>
    </row>
    <row r="20" spans="1:19" x14ac:dyDescent="0.25">
      <c r="A20" s="88" t="s">
        <v>259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7">
        <f>VLOOKUP(A20,'3121% SY'!A:M,'3121% SY'!$M$1,FALSE)</f>
        <v>0.24870000000000003</v>
      </c>
      <c r="M20" s="161">
        <f t="shared" si="1"/>
        <v>0</v>
      </c>
      <c r="N20" s="33">
        <f t="shared" si="2"/>
        <v>0</v>
      </c>
      <c r="R20" s="161">
        <f t="shared" si="3"/>
        <v>0</v>
      </c>
      <c r="S20" s="33">
        <f t="shared" si="4"/>
        <v>0</v>
      </c>
    </row>
    <row r="21" spans="1:19" x14ac:dyDescent="0.25">
      <c r="A21" s="88" t="s">
        <v>280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7">
        <f>VLOOKUP(A21,'3121% SY'!A:M,'3121% SY'!$M$1,FALSE)</f>
        <v>0.18340000000000001</v>
      </c>
      <c r="M21" s="161">
        <f t="shared" si="1"/>
        <v>0</v>
      </c>
      <c r="N21" s="33">
        <f t="shared" si="2"/>
        <v>0</v>
      </c>
      <c r="R21" s="161">
        <f t="shared" si="3"/>
        <v>0</v>
      </c>
      <c r="S21" s="33">
        <f t="shared" si="4"/>
        <v>0</v>
      </c>
    </row>
    <row r="22" spans="1:19" x14ac:dyDescent="0.25">
      <c r="A22" s="88" t="s">
        <v>284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7">
        <f>VLOOKUP(A22,'3121% SY'!A:M,'3121% SY'!$M$1,FALSE)</f>
        <v>0.14729999999999999</v>
      </c>
      <c r="M22" s="161">
        <f t="shared" si="1"/>
        <v>0</v>
      </c>
      <c r="N22" s="33">
        <f t="shared" si="2"/>
        <v>0</v>
      </c>
      <c r="R22" s="161">
        <f t="shared" si="3"/>
        <v>0</v>
      </c>
      <c r="S22" s="33">
        <f t="shared" si="4"/>
        <v>0</v>
      </c>
    </row>
    <row r="23" spans="1:19" x14ac:dyDescent="0.25">
      <c r="A23" s="88" t="s">
        <v>289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7">
        <f>VLOOKUP(A23,'3121% SY'!A:M,'3121% SY'!$M$1,FALSE)</f>
        <v>0.19010000000000005</v>
      </c>
      <c r="M23" s="161">
        <f t="shared" si="1"/>
        <v>0</v>
      </c>
      <c r="N23" s="33">
        <f t="shared" si="2"/>
        <v>0</v>
      </c>
      <c r="R23" s="161">
        <f t="shared" si="3"/>
        <v>0</v>
      </c>
      <c r="S23" s="33">
        <f t="shared" si="4"/>
        <v>0</v>
      </c>
    </row>
    <row r="24" spans="1:19" x14ac:dyDescent="0.25">
      <c r="A24" s="88" t="s">
        <v>290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7">
        <f>VLOOKUP(A24,'3121% SY'!A:M,'3121% SY'!$M$1,FALSE)</f>
        <v>0.15839999999999999</v>
      </c>
      <c r="M24" s="161">
        <f t="shared" si="1"/>
        <v>0</v>
      </c>
      <c r="N24" s="33">
        <f t="shared" si="2"/>
        <v>0</v>
      </c>
      <c r="R24" s="161">
        <f t="shared" si="3"/>
        <v>0</v>
      </c>
      <c r="S24" s="33">
        <f t="shared" si="4"/>
        <v>0</v>
      </c>
    </row>
    <row r="25" spans="1:19" x14ac:dyDescent="0.25">
      <c r="A25" s="88" t="s">
        <v>302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7">
        <f>VLOOKUP(A25,'3121% SY'!A:M,'3121% SY'!$M$1,FALSE)</f>
        <v>0.21989999999999998</v>
      </c>
      <c r="M25" s="161">
        <f t="shared" si="1"/>
        <v>0</v>
      </c>
      <c r="N25" s="33">
        <f t="shared" si="2"/>
        <v>0</v>
      </c>
      <c r="R25" s="161">
        <f t="shared" si="3"/>
        <v>0</v>
      </c>
      <c r="S25" s="33">
        <f t="shared" si="4"/>
        <v>0</v>
      </c>
    </row>
    <row r="26" spans="1:19" x14ac:dyDescent="0.25">
      <c r="A26" s="88" t="s">
        <v>1098</v>
      </c>
      <c r="L26" s="7" t="e">
        <f>VLOOKUP(A26,'3121% SY'!A:M,'3121% SY'!$M$1,FALSE)</f>
        <v>#N/A</v>
      </c>
      <c r="M26" s="161" t="e">
        <f t="shared" si="1"/>
        <v>#N/A</v>
      </c>
      <c r="N26" s="33" t="e">
        <f t="shared" si="2"/>
        <v>#N/A</v>
      </c>
      <c r="R26" s="161" t="e">
        <f t="shared" si="3"/>
        <v>#N/A</v>
      </c>
      <c r="S26" s="33" t="e">
        <f t="shared" si="4"/>
        <v>#N/A</v>
      </c>
    </row>
    <row r="27" spans="1:19" x14ac:dyDescent="0.25">
      <c r="A27" s="88" t="s">
        <v>753</v>
      </c>
      <c r="B27">
        <v>0</v>
      </c>
      <c r="C27">
        <v>1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7" t="e">
        <f>VLOOKUP(A27,'3121% SY'!A:M,'3121% SY'!$M$1,FALSE)</f>
        <v>#N/A</v>
      </c>
      <c r="M27" s="161" t="e">
        <f t="shared" si="1"/>
        <v>#N/A</v>
      </c>
      <c r="N27" s="33" t="e">
        <f t="shared" si="2"/>
        <v>#N/A</v>
      </c>
      <c r="R27" s="161" t="e">
        <f t="shared" si="3"/>
        <v>#N/A</v>
      </c>
      <c r="S27" s="33" t="e">
        <f t="shared" si="4"/>
        <v>#N/A</v>
      </c>
    </row>
    <row r="28" spans="1:19" x14ac:dyDescent="0.25">
      <c r="L28" s="7" t="e">
        <f>VLOOKUP(A28,'3121% SY'!A:M,'3121% SY'!$M$1,FALSE)</f>
        <v>#N/A</v>
      </c>
      <c r="M28" s="161" t="e">
        <f t="shared" si="1"/>
        <v>#N/A</v>
      </c>
      <c r="N28" s="33" t="e">
        <f t="shared" si="2"/>
        <v>#N/A</v>
      </c>
      <c r="R28" s="161" t="e">
        <f t="shared" si="3"/>
        <v>#N/A</v>
      </c>
      <c r="S28" s="33" t="e">
        <f t="shared" si="4"/>
        <v>#N/A</v>
      </c>
    </row>
    <row r="29" spans="1:19" x14ac:dyDescent="0.25">
      <c r="L29" s="7" t="e">
        <f>VLOOKUP(A29,'3121% SY'!A:M,'3121% SY'!$M$1,FALSE)</f>
        <v>#N/A</v>
      </c>
      <c r="M29" s="161" t="e">
        <f t="shared" si="1"/>
        <v>#N/A</v>
      </c>
      <c r="N29" s="33" t="e">
        <f t="shared" si="2"/>
        <v>#N/A</v>
      </c>
      <c r="R29" s="161" t="e">
        <f t="shared" si="3"/>
        <v>#N/A</v>
      </c>
      <c r="S29" s="33" t="e">
        <f t="shared" si="4"/>
        <v>#N/A</v>
      </c>
    </row>
    <row r="30" spans="1:19" x14ac:dyDescent="0.25">
      <c r="L30" s="7" t="e">
        <f>VLOOKUP(A30,'3121% SY'!A:M,'3121% SY'!$M$1,FALSE)</f>
        <v>#N/A</v>
      </c>
      <c r="M30" s="161" t="e">
        <f t="shared" si="1"/>
        <v>#N/A</v>
      </c>
      <c r="N30" s="33" t="e">
        <f t="shared" si="2"/>
        <v>#N/A</v>
      </c>
      <c r="R30" s="161" t="e">
        <f t="shared" si="3"/>
        <v>#N/A</v>
      </c>
      <c r="S30" s="33" t="e">
        <f t="shared" si="4"/>
        <v>#N/A</v>
      </c>
    </row>
    <row r="31" spans="1:19" x14ac:dyDescent="0.25">
      <c r="L31" s="7" t="e">
        <f>VLOOKUP(A31,'3121% SY'!A:M,'3121% SY'!$M$1,FALSE)</f>
        <v>#N/A</v>
      </c>
      <c r="M31" s="161" t="e">
        <f t="shared" si="1"/>
        <v>#N/A</v>
      </c>
      <c r="N31" s="33" t="e">
        <f t="shared" si="2"/>
        <v>#N/A</v>
      </c>
      <c r="R31" s="161" t="e">
        <f t="shared" si="3"/>
        <v>#N/A</v>
      </c>
      <c r="S31" s="33" t="e">
        <f t="shared" si="4"/>
        <v>#N/A</v>
      </c>
    </row>
    <row r="32" spans="1:19" x14ac:dyDescent="0.25">
      <c r="L32" s="7" t="e">
        <f>VLOOKUP(A32,'3121% SY'!A:M,'3121% SY'!$M$1,FALSE)</f>
        <v>#N/A</v>
      </c>
      <c r="M32" s="161" t="e">
        <f t="shared" si="1"/>
        <v>#N/A</v>
      </c>
      <c r="N32" s="33" t="e">
        <f t="shared" si="2"/>
        <v>#N/A</v>
      </c>
      <c r="R32" s="161" t="e">
        <f t="shared" si="3"/>
        <v>#N/A</v>
      </c>
      <c r="S32" s="33" t="e">
        <f t="shared" si="4"/>
        <v>#N/A</v>
      </c>
    </row>
    <row r="33" spans="12:19" x14ac:dyDescent="0.25">
      <c r="L33" s="7" t="e">
        <f>VLOOKUP(A33,'3121% SY'!A:M,'3121% SY'!$M$1,FALSE)</f>
        <v>#N/A</v>
      </c>
      <c r="M33" s="161" t="e">
        <f t="shared" si="1"/>
        <v>#N/A</v>
      </c>
      <c r="N33" s="33" t="e">
        <f t="shared" si="2"/>
        <v>#N/A</v>
      </c>
      <c r="R33" s="161" t="e">
        <f t="shared" si="3"/>
        <v>#N/A</v>
      </c>
      <c r="S33" s="33" t="e">
        <f t="shared" si="4"/>
        <v>#N/A</v>
      </c>
    </row>
    <row r="34" spans="12:19" x14ac:dyDescent="0.25">
      <c r="L34" s="7" t="e">
        <f>VLOOKUP(A34,'3121% SY'!A:M,'3121% SY'!$M$1,FALSE)</f>
        <v>#N/A</v>
      </c>
      <c r="M34" s="161" t="e">
        <f t="shared" si="1"/>
        <v>#N/A</v>
      </c>
      <c r="N34" s="33" t="e">
        <f t="shared" si="2"/>
        <v>#N/A</v>
      </c>
      <c r="R34" s="161" t="e">
        <f t="shared" si="3"/>
        <v>#N/A</v>
      </c>
      <c r="S34" s="33" t="e">
        <f t="shared" si="4"/>
        <v>#N/A</v>
      </c>
    </row>
    <row r="35" spans="12:19" x14ac:dyDescent="0.25">
      <c r="L35" s="7" t="e">
        <f>VLOOKUP(A35,'3121% SY'!A:M,'3121% SY'!$M$1,FALSE)</f>
        <v>#N/A</v>
      </c>
      <c r="M35" s="161" t="e">
        <f t="shared" si="1"/>
        <v>#N/A</v>
      </c>
      <c r="N35" s="33" t="e">
        <f t="shared" si="2"/>
        <v>#N/A</v>
      </c>
      <c r="R35" s="161" t="e">
        <f t="shared" si="3"/>
        <v>#N/A</v>
      </c>
      <c r="S35" s="33" t="e">
        <f t="shared" si="4"/>
        <v>#N/A</v>
      </c>
    </row>
    <row r="36" spans="12:19" x14ac:dyDescent="0.25">
      <c r="L36" s="7" t="e">
        <f>VLOOKUP(A36,'3121% SY'!A:M,'3121% SY'!$M$1,FALSE)</f>
        <v>#N/A</v>
      </c>
      <c r="M36" s="161" t="e">
        <f t="shared" si="1"/>
        <v>#N/A</v>
      </c>
      <c r="N36" s="33" t="e">
        <f t="shared" si="2"/>
        <v>#N/A</v>
      </c>
      <c r="R36" s="161" t="e">
        <f t="shared" si="3"/>
        <v>#N/A</v>
      </c>
      <c r="S36" s="33" t="e">
        <f t="shared" si="4"/>
        <v>#N/A</v>
      </c>
    </row>
    <row r="37" spans="12:19" x14ac:dyDescent="0.25">
      <c r="L37" s="7" t="e">
        <f>VLOOKUP(A37,'3121% SY'!A:M,'3121% SY'!$M$1,FALSE)</f>
        <v>#N/A</v>
      </c>
      <c r="M37" s="161" t="e">
        <f t="shared" si="1"/>
        <v>#N/A</v>
      </c>
      <c r="N37" s="33" t="e">
        <f t="shared" si="2"/>
        <v>#N/A</v>
      </c>
      <c r="R37" s="161" t="e">
        <f t="shared" si="3"/>
        <v>#N/A</v>
      </c>
      <c r="S37" s="33" t="e">
        <f t="shared" si="4"/>
        <v>#N/A</v>
      </c>
    </row>
    <row r="38" spans="12:19" x14ac:dyDescent="0.25">
      <c r="L38" s="7" t="e">
        <f>VLOOKUP(A38,'3121% SY'!A:M,'3121% SY'!$M$1,FALSE)</f>
        <v>#N/A</v>
      </c>
      <c r="M38" s="161" t="e">
        <f t="shared" si="1"/>
        <v>#N/A</v>
      </c>
      <c r="N38" s="33" t="e">
        <f t="shared" si="2"/>
        <v>#N/A</v>
      </c>
      <c r="R38" s="161" t="e">
        <f t="shared" si="3"/>
        <v>#N/A</v>
      </c>
      <c r="S38" s="33" t="e">
        <f t="shared" si="4"/>
        <v>#N/A</v>
      </c>
    </row>
    <row r="39" spans="12:19" x14ac:dyDescent="0.25">
      <c r="L39" s="7" t="e">
        <f>VLOOKUP(A39,'3121% SY'!A:M,'3121% SY'!$M$1,FALSE)</f>
        <v>#N/A</v>
      </c>
      <c r="M39" s="161" t="e">
        <f t="shared" si="1"/>
        <v>#N/A</v>
      </c>
      <c r="N39" s="33" t="e">
        <f t="shared" si="2"/>
        <v>#N/A</v>
      </c>
      <c r="R39" s="161" t="e">
        <f t="shared" si="3"/>
        <v>#N/A</v>
      </c>
      <c r="S39" s="33" t="e">
        <f t="shared" si="4"/>
        <v>#N/A</v>
      </c>
    </row>
    <row r="40" spans="12:19" x14ac:dyDescent="0.25">
      <c r="L40" s="7" t="e">
        <f>VLOOKUP(A40,'3121% SY'!A:M,'3121% SY'!$M$1,FALSE)</f>
        <v>#N/A</v>
      </c>
      <c r="M40" s="161" t="e">
        <f t="shared" si="1"/>
        <v>#N/A</v>
      </c>
      <c r="N40" s="33" t="e">
        <f t="shared" si="2"/>
        <v>#N/A</v>
      </c>
      <c r="R40" s="161" t="e">
        <f t="shared" si="3"/>
        <v>#N/A</v>
      </c>
      <c r="S40" s="33" t="e">
        <f t="shared" si="4"/>
        <v>#N/A</v>
      </c>
    </row>
    <row r="41" spans="12:19" x14ac:dyDescent="0.25">
      <c r="L41" s="7" t="e">
        <f>VLOOKUP(A41,'3121% SY'!A:M,'3121% SY'!$M$1,FALSE)</f>
        <v>#N/A</v>
      </c>
      <c r="M41" s="161" t="e">
        <f t="shared" si="1"/>
        <v>#N/A</v>
      </c>
      <c r="N41" s="33" t="e">
        <f t="shared" si="2"/>
        <v>#N/A</v>
      </c>
      <c r="R41" s="161" t="e">
        <f t="shared" si="3"/>
        <v>#N/A</v>
      </c>
      <c r="S41" s="33" t="e">
        <f t="shared" si="4"/>
        <v>#N/A</v>
      </c>
    </row>
    <row r="42" spans="12:19" x14ac:dyDescent="0.25">
      <c r="L42" s="7" t="e">
        <f>VLOOKUP(A42,'3121% SY'!A:M,'3121% SY'!$M$1,FALSE)</f>
        <v>#N/A</v>
      </c>
      <c r="M42" s="161" t="e">
        <f t="shared" si="1"/>
        <v>#N/A</v>
      </c>
      <c r="N42" s="33" t="e">
        <f t="shared" si="2"/>
        <v>#N/A</v>
      </c>
      <c r="R42" s="161" t="e">
        <f t="shared" si="3"/>
        <v>#N/A</v>
      </c>
      <c r="S42" s="33" t="e">
        <f t="shared" si="4"/>
        <v>#N/A</v>
      </c>
    </row>
    <row r="43" spans="12:19" x14ac:dyDescent="0.25">
      <c r="L43" s="7" t="e">
        <f>VLOOKUP(A43,'3121% SY'!A:M,'3121% SY'!$M$1,FALSE)</f>
        <v>#N/A</v>
      </c>
      <c r="M43" s="161" t="e">
        <f t="shared" si="1"/>
        <v>#N/A</v>
      </c>
      <c r="N43" s="33" t="e">
        <f t="shared" si="2"/>
        <v>#N/A</v>
      </c>
      <c r="R43" s="161" t="e">
        <f t="shared" si="3"/>
        <v>#N/A</v>
      </c>
      <c r="S43" s="33" t="e">
        <f t="shared" si="4"/>
        <v>#N/A</v>
      </c>
    </row>
    <row r="44" spans="12:19" x14ac:dyDescent="0.25">
      <c r="L44" s="7" t="e">
        <f>VLOOKUP(A44,'3121% SY'!A:M,'3121% SY'!$M$1,FALSE)</f>
        <v>#N/A</v>
      </c>
      <c r="M44" s="161" t="e">
        <f t="shared" si="1"/>
        <v>#N/A</v>
      </c>
      <c r="N44" s="33" t="e">
        <f t="shared" si="2"/>
        <v>#N/A</v>
      </c>
      <c r="R44" s="161" t="e">
        <f t="shared" si="3"/>
        <v>#N/A</v>
      </c>
      <c r="S44" s="33" t="e">
        <f t="shared" si="4"/>
        <v>#N/A</v>
      </c>
    </row>
    <row r="45" spans="12:19" x14ac:dyDescent="0.25">
      <c r="L45" s="7" t="e">
        <f>VLOOKUP(A45,'3121% SY'!A:M,'3121% SY'!$M$1,FALSE)</f>
        <v>#N/A</v>
      </c>
      <c r="M45" s="161" t="e">
        <f t="shared" si="1"/>
        <v>#N/A</v>
      </c>
      <c r="N45" s="33" t="e">
        <f t="shared" si="2"/>
        <v>#N/A</v>
      </c>
      <c r="R45" s="161" t="e">
        <f t="shared" si="3"/>
        <v>#N/A</v>
      </c>
      <c r="S45" s="33" t="e">
        <f t="shared" si="4"/>
        <v>#N/A</v>
      </c>
    </row>
    <row r="46" spans="12:19" x14ac:dyDescent="0.25">
      <c r="L46" s="7" t="e">
        <f>VLOOKUP(A46,'3121% SY'!A:M,'3121% SY'!$M$1,FALSE)</f>
        <v>#N/A</v>
      </c>
      <c r="M46" s="161" t="e">
        <f t="shared" si="1"/>
        <v>#N/A</v>
      </c>
      <c r="N46" s="33" t="e">
        <f t="shared" si="2"/>
        <v>#N/A</v>
      </c>
      <c r="R46" s="161" t="e">
        <f t="shared" si="3"/>
        <v>#N/A</v>
      </c>
      <c r="S46" s="33" t="e">
        <f t="shared" si="4"/>
        <v>#N/A</v>
      </c>
    </row>
    <row r="47" spans="12:19" x14ac:dyDescent="0.25">
      <c r="L47" s="7" t="e">
        <f>VLOOKUP(A47,'3121% SY'!A:M,'3121% SY'!$M$1,FALSE)</f>
        <v>#N/A</v>
      </c>
      <c r="M47" s="161" t="e">
        <f t="shared" si="1"/>
        <v>#N/A</v>
      </c>
      <c r="N47" s="33" t="e">
        <f t="shared" si="2"/>
        <v>#N/A</v>
      </c>
      <c r="R47" s="161" t="e">
        <f t="shared" si="3"/>
        <v>#N/A</v>
      </c>
      <c r="S47" s="33" t="e">
        <f t="shared" si="4"/>
        <v>#N/A</v>
      </c>
    </row>
    <row r="48" spans="12:19" x14ac:dyDescent="0.25">
      <c r="L48" s="7" t="e">
        <f>VLOOKUP(A48,'3121% SY'!A:M,'3121% SY'!$M$1,FALSE)</f>
        <v>#N/A</v>
      </c>
      <c r="M48" s="161" t="e">
        <f t="shared" si="1"/>
        <v>#N/A</v>
      </c>
      <c r="N48" s="33" t="e">
        <f t="shared" si="2"/>
        <v>#N/A</v>
      </c>
      <c r="R48" s="161" t="e">
        <f t="shared" si="3"/>
        <v>#N/A</v>
      </c>
      <c r="S48" s="33" t="e">
        <f t="shared" si="4"/>
        <v>#N/A</v>
      </c>
    </row>
    <row r="49" spans="12:19" x14ac:dyDescent="0.25">
      <c r="L49" s="7" t="e">
        <f>VLOOKUP(A49,'3121% SY'!A:M,'3121% SY'!$M$1,FALSE)</f>
        <v>#N/A</v>
      </c>
      <c r="M49" s="161" t="e">
        <f t="shared" si="1"/>
        <v>#N/A</v>
      </c>
      <c r="N49" s="33" t="e">
        <f t="shared" si="2"/>
        <v>#N/A</v>
      </c>
      <c r="R49" s="161" t="e">
        <f t="shared" si="3"/>
        <v>#N/A</v>
      </c>
      <c r="S49" s="33" t="e">
        <f t="shared" si="4"/>
        <v>#N/A</v>
      </c>
    </row>
    <row r="50" spans="12:19" x14ac:dyDescent="0.25">
      <c r="L50" s="7" t="e">
        <f>VLOOKUP(A50,'3121% SY'!A:M,'3121% SY'!$M$1,FALSE)</f>
        <v>#N/A</v>
      </c>
      <c r="M50" s="161" t="e">
        <f t="shared" si="1"/>
        <v>#N/A</v>
      </c>
      <c r="N50" s="33" t="e">
        <f t="shared" si="2"/>
        <v>#N/A</v>
      </c>
      <c r="R50" s="161" t="e">
        <f t="shared" si="3"/>
        <v>#N/A</v>
      </c>
      <c r="S50" s="33" t="e">
        <f t="shared" si="4"/>
        <v>#N/A</v>
      </c>
    </row>
    <row r="51" spans="12:19" x14ac:dyDescent="0.25">
      <c r="L51" s="7" t="e">
        <f>VLOOKUP(A51,'3121% SY'!A:M,'3121% SY'!$M$1,FALSE)</f>
        <v>#N/A</v>
      </c>
      <c r="M51" s="161" t="e">
        <f t="shared" si="1"/>
        <v>#N/A</v>
      </c>
      <c r="N51" s="33" t="e">
        <f t="shared" si="2"/>
        <v>#N/A</v>
      </c>
      <c r="R51" s="161" t="e">
        <f t="shared" si="3"/>
        <v>#N/A</v>
      </c>
      <c r="S51" s="33" t="e">
        <f t="shared" si="4"/>
        <v>#N/A</v>
      </c>
    </row>
    <row r="52" spans="12:19" x14ac:dyDescent="0.25">
      <c r="L52" s="7" t="e">
        <f>VLOOKUP(A52,'3121% SY'!A:M,'3121% SY'!$M$1,FALSE)</f>
        <v>#N/A</v>
      </c>
      <c r="M52" s="161" t="e">
        <f t="shared" si="1"/>
        <v>#N/A</v>
      </c>
      <c r="N52" s="33" t="e">
        <f t="shared" si="2"/>
        <v>#N/A</v>
      </c>
      <c r="R52" s="161" t="e">
        <f t="shared" si="3"/>
        <v>#N/A</v>
      </c>
      <c r="S52" s="33" t="e">
        <f t="shared" si="4"/>
        <v>#N/A</v>
      </c>
    </row>
    <row r="53" spans="12:19" x14ac:dyDescent="0.25">
      <c r="L53" s="7" t="e">
        <f>VLOOKUP(A53,'3121% SY'!A:M,'3121% SY'!$M$1,FALSE)</f>
        <v>#N/A</v>
      </c>
      <c r="M53" s="161" t="e">
        <f t="shared" si="1"/>
        <v>#N/A</v>
      </c>
      <c r="N53" s="33" t="e">
        <f t="shared" si="2"/>
        <v>#N/A</v>
      </c>
      <c r="R53" s="161" t="e">
        <f t="shared" si="3"/>
        <v>#N/A</v>
      </c>
      <c r="S53" s="33" t="e">
        <f t="shared" si="4"/>
        <v>#N/A</v>
      </c>
    </row>
    <row r="54" spans="12:19" x14ac:dyDescent="0.25">
      <c r="L54" s="7" t="e">
        <f>VLOOKUP(A54,'3121% SY'!A:M,'3121% SY'!$M$1,FALSE)</f>
        <v>#N/A</v>
      </c>
      <c r="M54" s="161" t="e">
        <f t="shared" si="1"/>
        <v>#N/A</v>
      </c>
      <c r="N54" s="33" t="e">
        <f t="shared" si="2"/>
        <v>#N/A</v>
      </c>
      <c r="R54" s="161" t="e">
        <f t="shared" si="3"/>
        <v>#N/A</v>
      </c>
      <c r="S54" s="33" t="e">
        <f t="shared" si="4"/>
        <v>#N/A</v>
      </c>
    </row>
    <row r="55" spans="12:19" x14ac:dyDescent="0.25">
      <c r="L55" s="7" t="e">
        <f>VLOOKUP(A55,'3121% SY'!A:M,'3121% SY'!$M$1,FALSE)</f>
        <v>#N/A</v>
      </c>
      <c r="M55" s="161" t="e">
        <f t="shared" si="1"/>
        <v>#N/A</v>
      </c>
      <c r="N55" s="33" t="e">
        <f t="shared" si="2"/>
        <v>#N/A</v>
      </c>
      <c r="R55" s="161" t="e">
        <f t="shared" si="3"/>
        <v>#N/A</v>
      </c>
      <c r="S55" s="33" t="e">
        <f t="shared" si="4"/>
        <v>#N/A</v>
      </c>
    </row>
    <row r="56" spans="12:19" x14ac:dyDescent="0.25">
      <c r="L56" s="7" t="e">
        <f>VLOOKUP(A56,'3121% SY'!A:M,'3121% SY'!$M$1,FALSE)</f>
        <v>#N/A</v>
      </c>
      <c r="M56" s="161" t="e">
        <f t="shared" si="1"/>
        <v>#N/A</v>
      </c>
      <c r="N56" s="33" t="e">
        <f t="shared" si="2"/>
        <v>#N/A</v>
      </c>
      <c r="R56" s="161" t="e">
        <f t="shared" si="3"/>
        <v>#N/A</v>
      </c>
      <c r="S56" s="33" t="e">
        <f t="shared" si="4"/>
        <v>#N/A</v>
      </c>
    </row>
    <row r="57" spans="12:19" x14ac:dyDescent="0.25">
      <c r="L57" s="7" t="e">
        <f>VLOOKUP(A57,'3121% SY'!A:M,'3121% SY'!$M$1,FALSE)</f>
        <v>#N/A</v>
      </c>
      <c r="M57" s="161" t="e">
        <f t="shared" si="1"/>
        <v>#N/A</v>
      </c>
      <c r="N57" s="33" t="e">
        <f t="shared" si="2"/>
        <v>#N/A</v>
      </c>
      <c r="R57" s="161" t="e">
        <f t="shared" si="3"/>
        <v>#N/A</v>
      </c>
      <c r="S57" s="33" t="e">
        <f t="shared" si="4"/>
        <v>#N/A</v>
      </c>
    </row>
    <row r="58" spans="12:19" x14ac:dyDescent="0.25">
      <c r="L58" s="7" t="e">
        <f>VLOOKUP(A58,'3121% SY'!A:M,'3121% SY'!$M$1,FALSE)</f>
        <v>#N/A</v>
      </c>
      <c r="M58" s="161" t="e">
        <f t="shared" si="1"/>
        <v>#N/A</v>
      </c>
      <c r="N58" s="33" t="e">
        <f t="shared" si="2"/>
        <v>#N/A</v>
      </c>
      <c r="R58" s="161" t="e">
        <f t="shared" si="3"/>
        <v>#N/A</v>
      </c>
      <c r="S58" s="33" t="e">
        <f t="shared" si="4"/>
        <v>#N/A</v>
      </c>
    </row>
    <row r="59" spans="12:19" x14ac:dyDescent="0.25">
      <c r="L59" s="7" t="e">
        <f>VLOOKUP(A59,'3121% SY'!A:M,'3121% SY'!$M$1,FALSE)</f>
        <v>#N/A</v>
      </c>
      <c r="M59" s="161" t="e">
        <f t="shared" si="1"/>
        <v>#N/A</v>
      </c>
      <c r="N59" s="33" t="e">
        <f t="shared" si="2"/>
        <v>#N/A</v>
      </c>
      <c r="R59" s="161" t="e">
        <f t="shared" si="3"/>
        <v>#N/A</v>
      </c>
      <c r="S59" s="33" t="e">
        <f t="shared" si="4"/>
        <v>#N/A</v>
      </c>
    </row>
    <row r="60" spans="12:19" x14ac:dyDescent="0.25">
      <c r="L60" s="7" t="e">
        <f>VLOOKUP(A60,'3121% SY'!A:M,'3121% SY'!$M$1,FALSE)</f>
        <v>#N/A</v>
      </c>
      <c r="M60" s="161" t="e">
        <f t="shared" si="1"/>
        <v>#N/A</v>
      </c>
      <c r="N60" s="33" t="e">
        <f t="shared" si="2"/>
        <v>#N/A</v>
      </c>
      <c r="R60" s="161" t="e">
        <f t="shared" si="3"/>
        <v>#N/A</v>
      </c>
      <c r="S60" s="33" t="e">
        <f t="shared" si="4"/>
        <v>#N/A</v>
      </c>
    </row>
    <row r="61" spans="12:19" x14ac:dyDescent="0.25">
      <c r="L61" s="7" t="e">
        <f>VLOOKUP(A61,'3121% SY'!A:M,'3121% SY'!$M$1,FALSE)</f>
        <v>#N/A</v>
      </c>
      <c r="M61" s="161" t="e">
        <f t="shared" si="1"/>
        <v>#N/A</v>
      </c>
      <c r="N61" s="33" t="e">
        <f t="shared" si="2"/>
        <v>#N/A</v>
      </c>
      <c r="R61" s="161" t="e">
        <f t="shared" si="3"/>
        <v>#N/A</v>
      </c>
      <c r="S61" s="33" t="e">
        <f t="shared" si="4"/>
        <v>#N/A</v>
      </c>
    </row>
    <row r="62" spans="12:19" x14ac:dyDescent="0.25">
      <c r="L62" s="7" t="e">
        <f>VLOOKUP(A62,'3121% SY'!A:M,'3121% SY'!$M$1,FALSE)</f>
        <v>#N/A</v>
      </c>
      <c r="M62" s="161" t="e">
        <f t="shared" si="1"/>
        <v>#N/A</v>
      </c>
      <c r="N62" s="33" t="e">
        <f t="shared" si="2"/>
        <v>#N/A</v>
      </c>
      <c r="R62" s="161" t="e">
        <f t="shared" si="3"/>
        <v>#N/A</v>
      </c>
      <c r="S62" s="33" t="e">
        <f t="shared" si="4"/>
        <v>#N/A</v>
      </c>
    </row>
    <row r="63" spans="12:19" x14ac:dyDescent="0.25">
      <c r="L63" s="7" t="e">
        <f>VLOOKUP(A63,'3121% SY'!A:M,'3121% SY'!$M$1,FALSE)</f>
        <v>#N/A</v>
      </c>
      <c r="M63" s="161" t="e">
        <f t="shared" si="1"/>
        <v>#N/A</v>
      </c>
      <c r="N63" s="33" t="e">
        <f t="shared" si="2"/>
        <v>#N/A</v>
      </c>
      <c r="R63" s="161" t="e">
        <f t="shared" si="3"/>
        <v>#N/A</v>
      </c>
      <c r="S63" s="33" t="e">
        <f t="shared" si="4"/>
        <v>#N/A</v>
      </c>
    </row>
    <row r="64" spans="12:19" x14ac:dyDescent="0.25">
      <c r="L64" s="7" t="e">
        <f>VLOOKUP(A64,'3121% SY'!A:M,'3121% SY'!$M$1,FALSE)</f>
        <v>#N/A</v>
      </c>
      <c r="M64" s="161" t="e">
        <f t="shared" si="1"/>
        <v>#N/A</v>
      </c>
      <c r="N64" s="33" t="e">
        <f t="shared" si="2"/>
        <v>#N/A</v>
      </c>
      <c r="R64" s="161" t="e">
        <f t="shared" si="3"/>
        <v>#N/A</v>
      </c>
      <c r="S64" s="33" t="e">
        <f t="shared" si="4"/>
        <v>#N/A</v>
      </c>
    </row>
    <row r="65" spans="12:19" x14ac:dyDescent="0.25">
      <c r="L65" s="7" t="e">
        <f>VLOOKUP(A65,'3121% SY'!A:M,'3121% SY'!$M$1,FALSE)</f>
        <v>#N/A</v>
      </c>
      <c r="M65" s="161" t="e">
        <f t="shared" si="1"/>
        <v>#N/A</v>
      </c>
      <c r="N65" s="33" t="e">
        <f t="shared" si="2"/>
        <v>#N/A</v>
      </c>
      <c r="R65" s="161" t="e">
        <f t="shared" si="3"/>
        <v>#N/A</v>
      </c>
      <c r="S65" s="33" t="e">
        <f t="shared" si="4"/>
        <v>#N/A</v>
      </c>
    </row>
    <row r="66" spans="12:19" x14ac:dyDescent="0.25">
      <c r="L66" s="7" t="e">
        <f>VLOOKUP(A66,'3121% SY'!A:M,'3121% SY'!$M$1,FALSE)</f>
        <v>#N/A</v>
      </c>
      <c r="M66" s="161" t="e">
        <f t="shared" si="1"/>
        <v>#N/A</v>
      </c>
      <c r="N66" s="33" t="e">
        <f t="shared" si="2"/>
        <v>#N/A</v>
      </c>
      <c r="R66" s="161" t="e">
        <f t="shared" si="3"/>
        <v>#N/A</v>
      </c>
      <c r="S66" s="33" t="e">
        <f t="shared" si="4"/>
        <v>#N/A</v>
      </c>
    </row>
    <row r="67" spans="12:19" x14ac:dyDescent="0.25">
      <c r="L67" s="7" t="e">
        <f>VLOOKUP(A67,'3121% SY'!A:M,'3121% SY'!$M$1,FALSE)</f>
        <v>#N/A</v>
      </c>
      <c r="M67" s="161" t="e">
        <f t="shared" si="1"/>
        <v>#N/A</v>
      </c>
      <c r="N67" s="33" t="e">
        <f t="shared" si="2"/>
        <v>#N/A</v>
      </c>
      <c r="R67" s="161" t="e">
        <f t="shared" si="3"/>
        <v>#N/A</v>
      </c>
      <c r="S67" s="33" t="e">
        <f t="shared" si="4"/>
        <v>#N/A</v>
      </c>
    </row>
    <row r="68" spans="12:19" x14ac:dyDescent="0.25">
      <c r="L68" s="7" t="e">
        <f>VLOOKUP(A68,'3121% SY'!A:M,'3121% SY'!$M$1,FALSE)</f>
        <v>#N/A</v>
      </c>
      <c r="M68" s="161" t="e">
        <f t="shared" si="1"/>
        <v>#N/A</v>
      </c>
      <c r="N68" s="33" t="e">
        <f t="shared" si="2"/>
        <v>#N/A</v>
      </c>
      <c r="R68" s="161" t="e">
        <f t="shared" si="3"/>
        <v>#N/A</v>
      </c>
      <c r="S68" s="33" t="e">
        <f t="shared" si="4"/>
        <v>#N/A</v>
      </c>
    </row>
    <row r="69" spans="12:19" x14ac:dyDescent="0.25">
      <c r="L69" s="7" t="e">
        <f>VLOOKUP(A69,'3121% SY'!A:M,'3121% SY'!$M$1,FALSE)</f>
        <v>#N/A</v>
      </c>
      <c r="M69" s="161" t="e">
        <f t="shared" ref="M69:M131" si="5">ROUND(I69*$L69,3)+ROUND(J69*$L69,3)++ROUND(K69*$L69,3)</f>
        <v>#N/A</v>
      </c>
      <c r="N69" s="33" t="e">
        <f t="shared" ref="N69:N131" si="6">SUM(M69,B69:H69)</f>
        <v>#N/A</v>
      </c>
      <c r="R69" s="161" t="e">
        <f t="shared" ref="R69:R122" si="7">ROUND(Q69*$L69,3)</f>
        <v>#N/A</v>
      </c>
      <c r="S69" s="33" t="e">
        <f t="shared" ref="S69:S122" si="8">SUM(R69,O69:P69)</f>
        <v>#N/A</v>
      </c>
    </row>
    <row r="70" spans="12:19" x14ac:dyDescent="0.25">
      <c r="L70" s="7" t="e">
        <f>VLOOKUP(A70,'3121% SY'!A:M,'3121% SY'!$M$1,FALSE)</f>
        <v>#N/A</v>
      </c>
      <c r="M70" s="161" t="e">
        <f t="shared" si="5"/>
        <v>#N/A</v>
      </c>
      <c r="N70" s="33" t="e">
        <f t="shared" si="6"/>
        <v>#N/A</v>
      </c>
      <c r="R70" s="161" t="e">
        <f t="shared" si="7"/>
        <v>#N/A</v>
      </c>
      <c r="S70" s="33" t="e">
        <f t="shared" si="8"/>
        <v>#N/A</v>
      </c>
    </row>
    <row r="71" spans="12:19" x14ac:dyDescent="0.25">
      <c r="L71" s="7" t="e">
        <f>VLOOKUP(A71,'3121% SY'!A:M,'3121% SY'!$M$1,FALSE)</f>
        <v>#N/A</v>
      </c>
      <c r="M71" s="161" t="e">
        <f t="shared" si="5"/>
        <v>#N/A</v>
      </c>
      <c r="N71" s="33" t="e">
        <f t="shared" si="6"/>
        <v>#N/A</v>
      </c>
      <c r="R71" s="161" t="e">
        <f t="shared" si="7"/>
        <v>#N/A</v>
      </c>
      <c r="S71" s="33" t="e">
        <f t="shared" si="8"/>
        <v>#N/A</v>
      </c>
    </row>
    <row r="72" spans="12:19" x14ac:dyDescent="0.25">
      <c r="L72" s="7" t="e">
        <f>VLOOKUP(A72,'3121% SY'!A:M,'3121% SY'!$M$1,FALSE)</f>
        <v>#N/A</v>
      </c>
      <c r="M72" s="161" t="e">
        <f t="shared" si="5"/>
        <v>#N/A</v>
      </c>
      <c r="N72" s="33" t="e">
        <f t="shared" si="6"/>
        <v>#N/A</v>
      </c>
      <c r="R72" s="161" t="e">
        <f t="shared" si="7"/>
        <v>#N/A</v>
      </c>
      <c r="S72" s="33" t="e">
        <f t="shared" si="8"/>
        <v>#N/A</v>
      </c>
    </row>
    <row r="73" spans="12:19" x14ac:dyDescent="0.25">
      <c r="L73" s="7" t="e">
        <f>VLOOKUP(A73,'3121% SY'!A:M,'3121% SY'!$M$1,FALSE)</f>
        <v>#N/A</v>
      </c>
      <c r="M73" s="161" t="e">
        <f t="shared" si="5"/>
        <v>#N/A</v>
      </c>
      <c r="N73" s="33" t="e">
        <f t="shared" si="6"/>
        <v>#N/A</v>
      </c>
      <c r="R73" s="161" t="e">
        <f t="shared" si="7"/>
        <v>#N/A</v>
      </c>
      <c r="S73" s="33" t="e">
        <f t="shared" si="8"/>
        <v>#N/A</v>
      </c>
    </row>
    <row r="74" spans="12:19" x14ac:dyDescent="0.25">
      <c r="L74" s="7" t="e">
        <f>VLOOKUP(A74,'3121% SY'!A:M,'3121% SY'!$M$1,FALSE)</f>
        <v>#N/A</v>
      </c>
      <c r="M74" s="161" t="e">
        <f t="shared" si="5"/>
        <v>#N/A</v>
      </c>
      <c r="N74" s="33" t="e">
        <f t="shared" si="6"/>
        <v>#N/A</v>
      </c>
      <c r="R74" s="161" t="e">
        <f t="shared" si="7"/>
        <v>#N/A</v>
      </c>
      <c r="S74" s="33" t="e">
        <f t="shared" si="8"/>
        <v>#N/A</v>
      </c>
    </row>
    <row r="75" spans="12:19" x14ac:dyDescent="0.25">
      <c r="L75" s="7" t="e">
        <f>VLOOKUP(A75,'3121% SY'!A:M,'3121% SY'!$M$1,FALSE)</f>
        <v>#N/A</v>
      </c>
      <c r="M75" s="161" t="e">
        <f t="shared" si="5"/>
        <v>#N/A</v>
      </c>
      <c r="N75" s="33" t="e">
        <f t="shared" si="6"/>
        <v>#N/A</v>
      </c>
      <c r="R75" s="161" t="e">
        <f t="shared" si="7"/>
        <v>#N/A</v>
      </c>
      <c r="S75" s="33" t="e">
        <f t="shared" si="8"/>
        <v>#N/A</v>
      </c>
    </row>
    <row r="76" spans="12:19" x14ac:dyDescent="0.25">
      <c r="L76" s="7" t="e">
        <f>VLOOKUP(A76,'3121% SY'!A:M,'3121% SY'!$M$1,FALSE)</f>
        <v>#N/A</v>
      </c>
      <c r="M76" s="161" t="e">
        <f t="shared" si="5"/>
        <v>#N/A</v>
      </c>
      <c r="N76" s="33" t="e">
        <f t="shared" si="6"/>
        <v>#N/A</v>
      </c>
      <c r="R76" s="161" t="e">
        <f t="shared" si="7"/>
        <v>#N/A</v>
      </c>
      <c r="S76" s="33" t="e">
        <f t="shared" si="8"/>
        <v>#N/A</v>
      </c>
    </row>
    <row r="77" spans="12:19" x14ac:dyDescent="0.25">
      <c r="L77" s="7" t="e">
        <f>VLOOKUP(A77,'3121% SY'!A:M,'3121% SY'!$M$1,FALSE)</f>
        <v>#N/A</v>
      </c>
      <c r="M77" s="161" t="e">
        <f t="shared" si="5"/>
        <v>#N/A</v>
      </c>
      <c r="N77" s="33" t="e">
        <f t="shared" si="6"/>
        <v>#N/A</v>
      </c>
      <c r="R77" s="161" t="e">
        <f t="shared" si="7"/>
        <v>#N/A</v>
      </c>
      <c r="S77" s="33" t="e">
        <f t="shared" si="8"/>
        <v>#N/A</v>
      </c>
    </row>
    <row r="78" spans="12:19" x14ac:dyDescent="0.25">
      <c r="L78" s="7" t="e">
        <f>VLOOKUP(A78,'3121% SY'!A:M,'3121% SY'!$M$1,FALSE)</f>
        <v>#N/A</v>
      </c>
      <c r="M78" s="161" t="e">
        <f t="shared" si="5"/>
        <v>#N/A</v>
      </c>
      <c r="N78" s="33" t="e">
        <f t="shared" si="6"/>
        <v>#N/A</v>
      </c>
      <c r="R78" s="161" t="e">
        <f t="shared" si="7"/>
        <v>#N/A</v>
      </c>
      <c r="S78" s="33" t="e">
        <f t="shared" si="8"/>
        <v>#N/A</v>
      </c>
    </row>
    <row r="79" spans="12:19" x14ac:dyDescent="0.25">
      <c r="L79" s="7" t="e">
        <f>VLOOKUP(A79,'3121% SY'!A:M,'3121% SY'!$M$1,FALSE)</f>
        <v>#N/A</v>
      </c>
      <c r="M79" s="161" t="e">
        <f t="shared" si="5"/>
        <v>#N/A</v>
      </c>
      <c r="N79" s="33" t="e">
        <f t="shared" si="6"/>
        <v>#N/A</v>
      </c>
      <c r="R79" s="161" t="e">
        <f t="shared" si="7"/>
        <v>#N/A</v>
      </c>
      <c r="S79" s="33" t="e">
        <f t="shared" si="8"/>
        <v>#N/A</v>
      </c>
    </row>
    <row r="80" spans="12:19" x14ac:dyDescent="0.25">
      <c r="L80" s="7" t="e">
        <f>VLOOKUP(A80,'3121% SY'!A:M,'3121% SY'!$M$1,FALSE)</f>
        <v>#N/A</v>
      </c>
      <c r="M80" s="161" t="e">
        <f t="shared" si="5"/>
        <v>#N/A</v>
      </c>
      <c r="N80" s="33" t="e">
        <f t="shared" si="6"/>
        <v>#N/A</v>
      </c>
      <c r="R80" s="161" t="e">
        <f t="shared" si="7"/>
        <v>#N/A</v>
      </c>
      <c r="S80" s="33" t="e">
        <f t="shared" si="8"/>
        <v>#N/A</v>
      </c>
    </row>
    <row r="81" spans="12:19" x14ac:dyDescent="0.25">
      <c r="L81" s="7" t="e">
        <f>VLOOKUP(A81,'3121% SY'!A:M,'3121% SY'!$M$1,FALSE)</f>
        <v>#N/A</v>
      </c>
      <c r="M81" s="161" t="e">
        <f t="shared" si="5"/>
        <v>#N/A</v>
      </c>
      <c r="N81" s="33" t="e">
        <f t="shared" si="6"/>
        <v>#N/A</v>
      </c>
      <c r="R81" s="161" t="e">
        <f t="shared" si="7"/>
        <v>#N/A</v>
      </c>
      <c r="S81" s="33" t="e">
        <f t="shared" si="8"/>
        <v>#N/A</v>
      </c>
    </row>
    <row r="82" spans="12:19" x14ac:dyDescent="0.25">
      <c r="L82" s="7" t="e">
        <f>VLOOKUP(A82,'3121% SY'!A:M,'3121% SY'!$M$1,FALSE)</f>
        <v>#N/A</v>
      </c>
      <c r="M82" s="161" t="e">
        <f t="shared" si="5"/>
        <v>#N/A</v>
      </c>
      <c r="N82" s="33" t="e">
        <f t="shared" si="6"/>
        <v>#N/A</v>
      </c>
      <c r="R82" s="161" t="e">
        <f t="shared" si="7"/>
        <v>#N/A</v>
      </c>
      <c r="S82" s="33" t="e">
        <f t="shared" si="8"/>
        <v>#N/A</v>
      </c>
    </row>
    <row r="83" spans="12:19" x14ac:dyDescent="0.25">
      <c r="L83" s="7" t="e">
        <f>VLOOKUP(A83,'3121% SY'!A:M,'3121% SY'!$M$1,FALSE)</f>
        <v>#N/A</v>
      </c>
      <c r="M83" s="161" t="e">
        <f t="shared" si="5"/>
        <v>#N/A</v>
      </c>
      <c r="N83" s="33" t="e">
        <f t="shared" si="6"/>
        <v>#N/A</v>
      </c>
      <c r="R83" s="161" t="e">
        <f t="shared" si="7"/>
        <v>#N/A</v>
      </c>
      <c r="S83" s="33" t="e">
        <f t="shared" si="8"/>
        <v>#N/A</v>
      </c>
    </row>
    <row r="84" spans="12:19" x14ac:dyDescent="0.25">
      <c r="L84" s="7" t="e">
        <f>VLOOKUP(A84,'3121% SY'!A:M,'3121% SY'!$M$1,FALSE)</f>
        <v>#N/A</v>
      </c>
      <c r="M84" s="161" t="e">
        <f t="shared" si="5"/>
        <v>#N/A</v>
      </c>
      <c r="N84" s="33" t="e">
        <f t="shared" si="6"/>
        <v>#N/A</v>
      </c>
      <c r="R84" s="161" t="e">
        <f t="shared" si="7"/>
        <v>#N/A</v>
      </c>
      <c r="S84" s="33" t="e">
        <f t="shared" si="8"/>
        <v>#N/A</v>
      </c>
    </row>
    <row r="85" spans="12:19" x14ac:dyDescent="0.25">
      <c r="L85" s="7" t="e">
        <f>VLOOKUP(A85,'3121% SY'!A:M,'3121% SY'!$M$1,FALSE)</f>
        <v>#N/A</v>
      </c>
      <c r="M85" s="161" t="e">
        <f t="shared" si="5"/>
        <v>#N/A</v>
      </c>
      <c r="N85" s="33" t="e">
        <f t="shared" si="6"/>
        <v>#N/A</v>
      </c>
      <c r="R85" s="161" t="e">
        <f t="shared" si="7"/>
        <v>#N/A</v>
      </c>
      <c r="S85" s="33" t="e">
        <f t="shared" si="8"/>
        <v>#N/A</v>
      </c>
    </row>
    <row r="86" spans="12:19" x14ac:dyDescent="0.25">
      <c r="L86" s="7" t="e">
        <f>VLOOKUP(A86,'3121% SY'!A:M,'3121% SY'!$M$1,FALSE)</f>
        <v>#N/A</v>
      </c>
      <c r="M86" s="161" t="e">
        <f t="shared" si="5"/>
        <v>#N/A</v>
      </c>
      <c r="N86" s="33" t="e">
        <f t="shared" si="6"/>
        <v>#N/A</v>
      </c>
      <c r="R86" s="161" t="e">
        <f t="shared" si="7"/>
        <v>#N/A</v>
      </c>
      <c r="S86" s="33" t="e">
        <f t="shared" si="8"/>
        <v>#N/A</v>
      </c>
    </row>
    <row r="87" spans="12:19" x14ac:dyDescent="0.25">
      <c r="L87" s="7" t="e">
        <f>VLOOKUP(A87,'3121% SY'!A:M,'3121% SY'!$M$1,FALSE)</f>
        <v>#N/A</v>
      </c>
      <c r="M87" s="161" t="e">
        <f t="shared" si="5"/>
        <v>#N/A</v>
      </c>
      <c r="N87" s="33" t="e">
        <f t="shared" si="6"/>
        <v>#N/A</v>
      </c>
      <c r="R87" s="161" t="e">
        <f t="shared" si="7"/>
        <v>#N/A</v>
      </c>
      <c r="S87" s="33" t="e">
        <f t="shared" si="8"/>
        <v>#N/A</v>
      </c>
    </row>
    <row r="88" spans="12:19" x14ac:dyDescent="0.25">
      <c r="L88" s="7" t="e">
        <f>VLOOKUP(A88,'3121% SY'!A:M,'3121% SY'!$M$1,FALSE)</f>
        <v>#N/A</v>
      </c>
      <c r="M88" s="161" t="e">
        <f t="shared" si="5"/>
        <v>#N/A</v>
      </c>
      <c r="N88" s="33" t="e">
        <f t="shared" si="6"/>
        <v>#N/A</v>
      </c>
      <c r="R88" s="161" t="e">
        <f t="shared" si="7"/>
        <v>#N/A</v>
      </c>
      <c r="S88" s="33" t="e">
        <f t="shared" si="8"/>
        <v>#N/A</v>
      </c>
    </row>
    <row r="89" spans="12:19" x14ac:dyDescent="0.25">
      <c r="L89" s="7" t="e">
        <f>VLOOKUP(A89,'3121% SY'!A:M,'3121% SY'!$M$1,FALSE)</f>
        <v>#N/A</v>
      </c>
      <c r="M89" s="161" t="e">
        <f t="shared" si="5"/>
        <v>#N/A</v>
      </c>
      <c r="N89" s="33" t="e">
        <f t="shared" si="6"/>
        <v>#N/A</v>
      </c>
      <c r="R89" s="161" t="e">
        <f t="shared" si="7"/>
        <v>#N/A</v>
      </c>
      <c r="S89" s="33" t="e">
        <f t="shared" si="8"/>
        <v>#N/A</v>
      </c>
    </row>
    <row r="90" spans="12:19" x14ac:dyDescent="0.25">
      <c r="L90" s="7" t="e">
        <f>VLOOKUP(A90,'3121% SY'!A:M,'3121% SY'!$M$1,FALSE)</f>
        <v>#N/A</v>
      </c>
      <c r="M90" s="161" t="e">
        <f t="shared" si="5"/>
        <v>#N/A</v>
      </c>
      <c r="N90" s="33" t="e">
        <f t="shared" si="6"/>
        <v>#N/A</v>
      </c>
      <c r="R90" s="161" t="e">
        <f t="shared" si="7"/>
        <v>#N/A</v>
      </c>
      <c r="S90" s="33" t="e">
        <f t="shared" si="8"/>
        <v>#N/A</v>
      </c>
    </row>
    <row r="91" spans="12:19" x14ac:dyDescent="0.25">
      <c r="L91" s="7" t="e">
        <f>VLOOKUP(A91,'3121% SY'!A:M,'3121% SY'!$M$1,FALSE)</f>
        <v>#N/A</v>
      </c>
      <c r="M91" s="161" t="e">
        <f t="shared" si="5"/>
        <v>#N/A</v>
      </c>
      <c r="N91" s="33" t="e">
        <f t="shared" si="6"/>
        <v>#N/A</v>
      </c>
      <c r="R91" s="161" t="e">
        <f t="shared" si="7"/>
        <v>#N/A</v>
      </c>
      <c r="S91" s="33" t="e">
        <f t="shared" si="8"/>
        <v>#N/A</v>
      </c>
    </row>
    <row r="92" spans="12:19" x14ac:dyDescent="0.25">
      <c r="L92" s="7" t="e">
        <f>VLOOKUP(A92,'3121% SY'!A:M,'3121% SY'!$M$1,FALSE)</f>
        <v>#N/A</v>
      </c>
      <c r="M92" s="161" t="e">
        <f t="shared" si="5"/>
        <v>#N/A</v>
      </c>
      <c r="N92" s="33" t="e">
        <f t="shared" si="6"/>
        <v>#N/A</v>
      </c>
      <c r="R92" s="161" t="e">
        <f t="shared" si="7"/>
        <v>#N/A</v>
      </c>
      <c r="S92" s="33" t="e">
        <f t="shared" si="8"/>
        <v>#N/A</v>
      </c>
    </row>
    <row r="93" spans="12:19" x14ac:dyDescent="0.25">
      <c r="L93" s="7" t="e">
        <f>VLOOKUP(A93,'3121% SY'!A:M,'3121% SY'!$M$1,FALSE)</f>
        <v>#N/A</v>
      </c>
      <c r="M93" s="161" t="e">
        <f t="shared" si="5"/>
        <v>#N/A</v>
      </c>
      <c r="N93" s="33" t="e">
        <f t="shared" si="6"/>
        <v>#N/A</v>
      </c>
      <c r="R93" s="161" t="e">
        <f t="shared" si="7"/>
        <v>#N/A</v>
      </c>
      <c r="S93" s="33" t="e">
        <f t="shared" si="8"/>
        <v>#N/A</v>
      </c>
    </row>
    <row r="94" spans="12:19" x14ac:dyDescent="0.25">
      <c r="L94" s="7" t="e">
        <f>VLOOKUP(A94,'3121% SY'!A:M,'3121% SY'!$M$1,FALSE)</f>
        <v>#N/A</v>
      </c>
      <c r="M94" s="161" t="e">
        <f t="shared" si="5"/>
        <v>#N/A</v>
      </c>
      <c r="N94" s="33" t="e">
        <f t="shared" si="6"/>
        <v>#N/A</v>
      </c>
      <c r="R94" s="161" t="e">
        <f t="shared" si="7"/>
        <v>#N/A</v>
      </c>
      <c r="S94" s="33" t="e">
        <f t="shared" si="8"/>
        <v>#N/A</v>
      </c>
    </row>
    <row r="95" spans="12:19" x14ac:dyDescent="0.25">
      <c r="L95" s="7" t="e">
        <f>VLOOKUP(A95,'3121% SY'!A:M,'3121% SY'!$M$1,FALSE)</f>
        <v>#N/A</v>
      </c>
      <c r="M95" s="161" t="e">
        <f t="shared" si="5"/>
        <v>#N/A</v>
      </c>
      <c r="N95" s="33" t="e">
        <f t="shared" si="6"/>
        <v>#N/A</v>
      </c>
      <c r="R95" s="161" t="e">
        <f t="shared" si="7"/>
        <v>#N/A</v>
      </c>
      <c r="S95" s="33" t="e">
        <f t="shared" si="8"/>
        <v>#N/A</v>
      </c>
    </row>
    <row r="96" spans="12:19" x14ac:dyDescent="0.25">
      <c r="L96" s="7" t="e">
        <f>VLOOKUP(A96,'3121% SY'!A:M,'3121% SY'!$M$1,FALSE)</f>
        <v>#N/A</v>
      </c>
      <c r="M96" s="161" t="e">
        <f t="shared" si="5"/>
        <v>#N/A</v>
      </c>
      <c r="N96" s="33" t="e">
        <f t="shared" si="6"/>
        <v>#N/A</v>
      </c>
      <c r="R96" s="161" t="e">
        <f t="shared" si="7"/>
        <v>#N/A</v>
      </c>
      <c r="S96" s="33" t="e">
        <f t="shared" si="8"/>
        <v>#N/A</v>
      </c>
    </row>
    <row r="97" spans="12:19" x14ac:dyDescent="0.25">
      <c r="L97" s="7" t="e">
        <f>VLOOKUP(A97,'3121% SY'!A:M,'3121% SY'!$M$1,FALSE)</f>
        <v>#N/A</v>
      </c>
      <c r="M97" s="161" t="e">
        <f t="shared" si="5"/>
        <v>#N/A</v>
      </c>
      <c r="N97" s="33" t="e">
        <f t="shared" si="6"/>
        <v>#N/A</v>
      </c>
      <c r="R97" s="161" t="e">
        <f t="shared" si="7"/>
        <v>#N/A</v>
      </c>
      <c r="S97" s="33" t="e">
        <f t="shared" si="8"/>
        <v>#N/A</v>
      </c>
    </row>
    <row r="98" spans="12:19" x14ac:dyDescent="0.25">
      <c r="L98" s="7" t="e">
        <f>VLOOKUP(A98,'3121% SY'!A:M,'3121% SY'!$M$1,FALSE)</f>
        <v>#N/A</v>
      </c>
      <c r="M98" s="161" t="e">
        <f t="shared" si="5"/>
        <v>#N/A</v>
      </c>
      <c r="N98" s="33" t="e">
        <f t="shared" si="6"/>
        <v>#N/A</v>
      </c>
      <c r="R98" s="161" t="e">
        <f t="shared" si="7"/>
        <v>#N/A</v>
      </c>
      <c r="S98" s="33" t="e">
        <f t="shared" si="8"/>
        <v>#N/A</v>
      </c>
    </row>
    <row r="99" spans="12:19" x14ac:dyDescent="0.25">
      <c r="L99" s="7" t="e">
        <f>VLOOKUP(A99,'3121% SY'!A:M,'3121% SY'!$M$1,FALSE)</f>
        <v>#N/A</v>
      </c>
      <c r="M99" s="161" t="e">
        <f t="shared" si="5"/>
        <v>#N/A</v>
      </c>
      <c r="N99" s="33" t="e">
        <f t="shared" si="6"/>
        <v>#N/A</v>
      </c>
      <c r="R99" s="161" t="e">
        <f t="shared" si="7"/>
        <v>#N/A</v>
      </c>
      <c r="S99" s="33" t="e">
        <f t="shared" si="8"/>
        <v>#N/A</v>
      </c>
    </row>
    <row r="100" spans="12:19" x14ac:dyDescent="0.25">
      <c r="L100" s="7" t="e">
        <f>VLOOKUP(A100,'3121% SY'!A:M,'3121% SY'!$M$1,FALSE)</f>
        <v>#N/A</v>
      </c>
      <c r="M100" s="161" t="e">
        <f t="shared" si="5"/>
        <v>#N/A</v>
      </c>
      <c r="N100" s="33" t="e">
        <f t="shared" si="6"/>
        <v>#N/A</v>
      </c>
      <c r="R100" s="161" t="e">
        <f t="shared" si="7"/>
        <v>#N/A</v>
      </c>
      <c r="S100" s="33" t="e">
        <f t="shared" si="8"/>
        <v>#N/A</v>
      </c>
    </row>
    <row r="101" spans="12:19" x14ac:dyDescent="0.25">
      <c r="L101" s="7" t="e">
        <f>VLOOKUP(A101,'3121% SY'!A:M,'3121% SY'!$M$1,FALSE)</f>
        <v>#N/A</v>
      </c>
      <c r="M101" s="161" t="e">
        <f t="shared" si="5"/>
        <v>#N/A</v>
      </c>
      <c r="N101" s="33" t="e">
        <f t="shared" si="6"/>
        <v>#N/A</v>
      </c>
      <c r="R101" s="161" t="e">
        <f t="shared" si="7"/>
        <v>#N/A</v>
      </c>
      <c r="S101" s="33" t="e">
        <f t="shared" si="8"/>
        <v>#N/A</v>
      </c>
    </row>
    <row r="102" spans="12:19" x14ac:dyDescent="0.25">
      <c r="L102" s="7" t="e">
        <f>VLOOKUP(A102,'3121% SY'!A:M,'3121% SY'!$M$1,FALSE)</f>
        <v>#N/A</v>
      </c>
      <c r="M102" s="161" t="e">
        <f t="shared" si="5"/>
        <v>#N/A</v>
      </c>
      <c r="N102" s="33" t="e">
        <f t="shared" si="6"/>
        <v>#N/A</v>
      </c>
      <c r="R102" s="161" t="e">
        <f t="shared" si="7"/>
        <v>#N/A</v>
      </c>
      <c r="S102" s="33" t="e">
        <f t="shared" si="8"/>
        <v>#N/A</v>
      </c>
    </row>
    <row r="103" spans="12:19" x14ac:dyDescent="0.25">
      <c r="L103" s="7" t="e">
        <f>VLOOKUP(A103,'3121% SY'!A:M,'3121% SY'!$M$1,FALSE)</f>
        <v>#N/A</v>
      </c>
      <c r="M103" s="161" t="e">
        <f t="shared" si="5"/>
        <v>#N/A</v>
      </c>
      <c r="N103" s="33" t="e">
        <f t="shared" si="6"/>
        <v>#N/A</v>
      </c>
      <c r="R103" s="161" t="e">
        <f t="shared" si="7"/>
        <v>#N/A</v>
      </c>
      <c r="S103" s="33" t="e">
        <f t="shared" si="8"/>
        <v>#N/A</v>
      </c>
    </row>
    <row r="104" spans="12:19" x14ac:dyDescent="0.25">
      <c r="L104" s="7" t="e">
        <f>VLOOKUP(A104,'3121% SY'!A:M,'3121% SY'!$M$1,FALSE)</f>
        <v>#N/A</v>
      </c>
      <c r="M104" s="161" t="e">
        <f t="shared" si="5"/>
        <v>#N/A</v>
      </c>
      <c r="N104" s="33" t="e">
        <f t="shared" si="6"/>
        <v>#N/A</v>
      </c>
      <c r="R104" s="161" t="e">
        <f t="shared" si="7"/>
        <v>#N/A</v>
      </c>
      <c r="S104" s="33" t="e">
        <f t="shared" si="8"/>
        <v>#N/A</v>
      </c>
    </row>
    <row r="105" spans="12:19" x14ac:dyDescent="0.25">
      <c r="L105" s="7" t="e">
        <f>VLOOKUP(A105,'3121% SY'!A:M,'3121% SY'!$M$1,FALSE)</f>
        <v>#N/A</v>
      </c>
      <c r="M105" s="161" t="e">
        <f t="shared" si="5"/>
        <v>#N/A</v>
      </c>
      <c r="N105" s="33" t="e">
        <f t="shared" si="6"/>
        <v>#N/A</v>
      </c>
      <c r="R105" s="161" t="e">
        <f t="shared" si="7"/>
        <v>#N/A</v>
      </c>
      <c r="S105" s="33" t="e">
        <f t="shared" si="8"/>
        <v>#N/A</v>
      </c>
    </row>
    <row r="106" spans="12:19" x14ac:dyDescent="0.25">
      <c r="L106" s="7" t="e">
        <f>VLOOKUP(A106,'3121% SY'!A:M,'3121% SY'!$M$1,FALSE)</f>
        <v>#N/A</v>
      </c>
      <c r="M106" s="161" t="e">
        <f t="shared" si="5"/>
        <v>#N/A</v>
      </c>
      <c r="N106" s="33" t="e">
        <f t="shared" si="6"/>
        <v>#N/A</v>
      </c>
      <c r="R106" s="161" t="e">
        <f t="shared" si="7"/>
        <v>#N/A</v>
      </c>
      <c r="S106" s="33" t="e">
        <f t="shared" si="8"/>
        <v>#N/A</v>
      </c>
    </row>
    <row r="107" spans="12:19" x14ac:dyDescent="0.25">
      <c r="L107" s="7" t="e">
        <f>VLOOKUP(A107,'3121% SY'!A:M,'3121% SY'!$M$1,FALSE)</f>
        <v>#N/A</v>
      </c>
      <c r="M107" s="161" t="e">
        <f t="shared" si="5"/>
        <v>#N/A</v>
      </c>
      <c r="N107" s="33" t="e">
        <f t="shared" si="6"/>
        <v>#N/A</v>
      </c>
      <c r="R107" s="161" t="e">
        <f t="shared" si="7"/>
        <v>#N/A</v>
      </c>
      <c r="S107" s="33" t="e">
        <f t="shared" si="8"/>
        <v>#N/A</v>
      </c>
    </row>
    <row r="108" spans="12:19" x14ac:dyDescent="0.25">
      <c r="L108" s="7" t="e">
        <f>VLOOKUP(A108,'3121% SY'!A:M,'3121% SY'!$M$1,FALSE)</f>
        <v>#N/A</v>
      </c>
      <c r="M108" s="161" t="e">
        <f t="shared" si="5"/>
        <v>#N/A</v>
      </c>
      <c r="N108" s="33" t="e">
        <f t="shared" si="6"/>
        <v>#N/A</v>
      </c>
      <c r="R108" s="161" t="e">
        <f t="shared" si="7"/>
        <v>#N/A</v>
      </c>
      <c r="S108" s="33" t="e">
        <f t="shared" si="8"/>
        <v>#N/A</v>
      </c>
    </row>
    <row r="109" spans="12:19" x14ac:dyDescent="0.25">
      <c r="L109" s="7" t="e">
        <f>VLOOKUP(A109,'3121% SY'!A:M,'3121% SY'!$M$1,FALSE)</f>
        <v>#N/A</v>
      </c>
      <c r="M109" s="161" t="e">
        <f t="shared" si="5"/>
        <v>#N/A</v>
      </c>
      <c r="N109" s="33" t="e">
        <f t="shared" si="6"/>
        <v>#N/A</v>
      </c>
      <c r="R109" s="161" t="e">
        <f t="shared" si="7"/>
        <v>#N/A</v>
      </c>
      <c r="S109" s="33" t="e">
        <f t="shared" si="8"/>
        <v>#N/A</v>
      </c>
    </row>
    <row r="110" spans="12:19" x14ac:dyDescent="0.25">
      <c r="L110" s="7" t="e">
        <f>VLOOKUP(A110,'3121% SY'!A:M,'3121% SY'!$M$1,FALSE)</f>
        <v>#N/A</v>
      </c>
      <c r="M110" s="161" t="e">
        <f t="shared" si="5"/>
        <v>#N/A</v>
      </c>
      <c r="N110" s="33" t="e">
        <f t="shared" si="6"/>
        <v>#N/A</v>
      </c>
      <c r="R110" s="161" t="e">
        <f t="shared" si="7"/>
        <v>#N/A</v>
      </c>
      <c r="S110" s="33" t="e">
        <f t="shared" si="8"/>
        <v>#N/A</v>
      </c>
    </row>
    <row r="111" spans="12:19" x14ac:dyDescent="0.25">
      <c r="L111" s="7" t="e">
        <f>VLOOKUP(A111,'3121% SY'!A:M,'3121% SY'!$M$1,FALSE)</f>
        <v>#N/A</v>
      </c>
      <c r="M111" s="161" t="e">
        <f t="shared" si="5"/>
        <v>#N/A</v>
      </c>
      <c r="N111" s="33" t="e">
        <f t="shared" si="6"/>
        <v>#N/A</v>
      </c>
      <c r="R111" s="161" t="e">
        <f t="shared" si="7"/>
        <v>#N/A</v>
      </c>
      <c r="S111" s="33" t="e">
        <f t="shared" si="8"/>
        <v>#N/A</v>
      </c>
    </row>
    <row r="112" spans="12:19" x14ac:dyDescent="0.25">
      <c r="L112" s="7" t="e">
        <f>VLOOKUP(A112,'3121% SY'!A:M,'3121% SY'!$M$1,FALSE)</f>
        <v>#N/A</v>
      </c>
      <c r="M112" s="161" t="e">
        <f t="shared" si="5"/>
        <v>#N/A</v>
      </c>
      <c r="N112" s="33" t="e">
        <f t="shared" si="6"/>
        <v>#N/A</v>
      </c>
      <c r="R112" s="161" t="e">
        <f t="shared" si="7"/>
        <v>#N/A</v>
      </c>
      <c r="S112" s="33" t="e">
        <f t="shared" si="8"/>
        <v>#N/A</v>
      </c>
    </row>
    <row r="113" spans="12:19" x14ac:dyDescent="0.25">
      <c r="L113" s="7" t="e">
        <f>VLOOKUP(A113,'3121% SY'!A:M,'3121% SY'!$M$1,FALSE)</f>
        <v>#N/A</v>
      </c>
      <c r="M113" s="161" t="e">
        <f t="shared" si="5"/>
        <v>#N/A</v>
      </c>
      <c r="N113" s="33" t="e">
        <f t="shared" si="6"/>
        <v>#N/A</v>
      </c>
      <c r="R113" s="161" t="e">
        <f t="shared" si="7"/>
        <v>#N/A</v>
      </c>
      <c r="S113" s="33" t="e">
        <f t="shared" si="8"/>
        <v>#N/A</v>
      </c>
    </row>
    <row r="114" spans="12:19" x14ac:dyDescent="0.25">
      <c r="L114" s="7" t="e">
        <f>VLOOKUP(A114,'3121% SY'!A:M,'3121% SY'!$M$1,FALSE)</f>
        <v>#N/A</v>
      </c>
      <c r="M114" s="161" t="e">
        <f t="shared" si="5"/>
        <v>#N/A</v>
      </c>
      <c r="N114" s="33" t="e">
        <f t="shared" si="6"/>
        <v>#N/A</v>
      </c>
      <c r="R114" s="161" t="e">
        <f t="shared" si="7"/>
        <v>#N/A</v>
      </c>
      <c r="S114" s="33" t="e">
        <f t="shared" si="8"/>
        <v>#N/A</v>
      </c>
    </row>
    <row r="115" spans="12:19" x14ac:dyDescent="0.25">
      <c r="L115" s="7" t="e">
        <f>VLOOKUP(A115,'3121% SY'!A:M,'3121% SY'!$M$1,FALSE)</f>
        <v>#N/A</v>
      </c>
      <c r="M115" s="161" t="e">
        <f t="shared" si="5"/>
        <v>#N/A</v>
      </c>
      <c r="N115" s="33" t="e">
        <f t="shared" si="6"/>
        <v>#N/A</v>
      </c>
      <c r="R115" s="161" t="e">
        <f t="shared" si="7"/>
        <v>#N/A</v>
      </c>
      <c r="S115" s="33" t="e">
        <f t="shared" si="8"/>
        <v>#N/A</v>
      </c>
    </row>
    <row r="116" spans="12:19" x14ac:dyDescent="0.25">
      <c r="L116" s="7" t="e">
        <f>VLOOKUP(A116,'3121% SY'!A:M,'3121% SY'!$M$1,FALSE)</f>
        <v>#N/A</v>
      </c>
      <c r="M116" s="161" t="e">
        <f t="shared" si="5"/>
        <v>#N/A</v>
      </c>
      <c r="N116" s="33" t="e">
        <f t="shared" si="6"/>
        <v>#N/A</v>
      </c>
      <c r="R116" s="161" t="e">
        <f t="shared" si="7"/>
        <v>#N/A</v>
      </c>
      <c r="S116" s="33" t="e">
        <f t="shared" si="8"/>
        <v>#N/A</v>
      </c>
    </row>
    <row r="117" spans="12:19" x14ac:dyDescent="0.25">
      <c r="L117" s="7" t="e">
        <f>VLOOKUP(A117,'3121% SY'!A:M,'3121% SY'!$M$1,FALSE)</f>
        <v>#N/A</v>
      </c>
      <c r="M117" s="161" t="e">
        <f t="shared" si="5"/>
        <v>#N/A</v>
      </c>
      <c r="N117" s="33" t="e">
        <f t="shared" si="6"/>
        <v>#N/A</v>
      </c>
      <c r="R117" s="161" t="e">
        <f t="shared" si="7"/>
        <v>#N/A</v>
      </c>
      <c r="S117" s="33" t="e">
        <f t="shared" si="8"/>
        <v>#N/A</v>
      </c>
    </row>
    <row r="118" spans="12:19" x14ac:dyDescent="0.25">
      <c r="L118" s="7" t="e">
        <f>VLOOKUP(A118,'3121% SY'!A:M,'3121% SY'!$M$1,FALSE)</f>
        <v>#N/A</v>
      </c>
      <c r="M118" s="161" t="e">
        <f t="shared" si="5"/>
        <v>#N/A</v>
      </c>
      <c r="N118" s="33" t="e">
        <f t="shared" si="6"/>
        <v>#N/A</v>
      </c>
      <c r="R118" s="161" t="e">
        <f t="shared" si="7"/>
        <v>#N/A</v>
      </c>
      <c r="S118" s="33" t="e">
        <f t="shared" si="8"/>
        <v>#N/A</v>
      </c>
    </row>
    <row r="119" spans="12:19" x14ac:dyDescent="0.25">
      <c r="L119" s="7" t="e">
        <f>VLOOKUP(A119,'3121% SY'!A:M,'3121% SY'!$M$1,FALSE)</f>
        <v>#N/A</v>
      </c>
      <c r="M119" s="161" t="e">
        <f t="shared" si="5"/>
        <v>#N/A</v>
      </c>
      <c r="N119" s="33" t="e">
        <f t="shared" si="6"/>
        <v>#N/A</v>
      </c>
      <c r="R119" s="161" t="e">
        <f t="shared" si="7"/>
        <v>#N/A</v>
      </c>
      <c r="S119" s="33" t="e">
        <f t="shared" si="8"/>
        <v>#N/A</v>
      </c>
    </row>
    <row r="120" spans="12:19" x14ac:dyDescent="0.25">
      <c r="L120" s="7" t="e">
        <f>VLOOKUP(A120,'3121% SY'!A:M,'3121% SY'!$M$1,FALSE)</f>
        <v>#N/A</v>
      </c>
      <c r="M120" s="161" t="e">
        <f t="shared" si="5"/>
        <v>#N/A</v>
      </c>
      <c r="N120" s="33" t="e">
        <f t="shared" si="6"/>
        <v>#N/A</v>
      </c>
      <c r="R120" s="161" t="e">
        <f t="shared" si="7"/>
        <v>#N/A</v>
      </c>
      <c r="S120" s="33" t="e">
        <f t="shared" si="8"/>
        <v>#N/A</v>
      </c>
    </row>
    <row r="121" spans="12:19" x14ac:dyDescent="0.25">
      <c r="L121" s="7" t="e">
        <f>VLOOKUP(A121,'3121% SY'!A:M,'3121% SY'!$M$1,FALSE)</f>
        <v>#N/A</v>
      </c>
      <c r="M121" s="161" t="e">
        <f t="shared" si="5"/>
        <v>#N/A</v>
      </c>
      <c r="N121" s="33" t="e">
        <f t="shared" si="6"/>
        <v>#N/A</v>
      </c>
      <c r="R121" s="161" t="e">
        <f t="shared" si="7"/>
        <v>#N/A</v>
      </c>
      <c r="S121" s="33" t="e">
        <f t="shared" si="8"/>
        <v>#N/A</v>
      </c>
    </row>
    <row r="122" spans="12:19" x14ac:dyDescent="0.25">
      <c r="L122" s="7" t="e">
        <f>VLOOKUP(A122,'3121% SY'!A:M,'3121% SY'!$M$1,FALSE)</f>
        <v>#N/A</v>
      </c>
      <c r="M122" s="161" t="e">
        <f t="shared" si="5"/>
        <v>#N/A</v>
      </c>
      <c r="N122" s="33" t="e">
        <f t="shared" si="6"/>
        <v>#N/A</v>
      </c>
      <c r="R122" s="161" t="e">
        <f t="shared" si="7"/>
        <v>#N/A</v>
      </c>
      <c r="S122" s="33" t="e">
        <f t="shared" si="8"/>
        <v>#N/A</v>
      </c>
    </row>
    <row r="123" spans="12:19" x14ac:dyDescent="0.25">
      <c r="L123" s="7" t="e">
        <f>VLOOKUP(A123,'3121% SY'!A:M,'3121% SY'!$M$1,FALSE)</f>
        <v>#N/A</v>
      </c>
      <c r="M123" s="161" t="e">
        <f t="shared" si="5"/>
        <v>#N/A</v>
      </c>
      <c r="N123" s="33" t="e">
        <f t="shared" si="6"/>
        <v>#N/A</v>
      </c>
      <c r="R123" s="161" t="e">
        <f t="shared" ref="R123:R131" si="9">ROUND(Q123*$L123,3)</f>
        <v>#N/A</v>
      </c>
      <c r="S123" s="33" t="e">
        <f t="shared" ref="S123:S131" si="10">SUM(R123,O123:P123)</f>
        <v>#N/A</v>
      </c>
    </row>
    <row r="124" spans="12:19" x14ac:dyDescent="0.25">
      <c r="L124" s="7" t="e">
        <f>VLOOKUP(A124,'3121% SY'!A:M,'3121% SY'!$M$1,FALSE)</f>
        <v>#N/A</v>
      </c>
      <c r="M124" s="161" t="e">
        <f t="shared" si="5"/>
        <v>#N/A</v>
      </c>
      <c r="N124" s="33" t="e">
        <f t="shared" si="6"/>
        <v>#N/A</v>
      </c>
      <c r="R124" s="161" t="e">
        <f t="shared" si="9"/>
        <v>#N/A</v>
      </c>
      <c r="S124" s="33" t="e">
        <f t="shared" si="10"/>
        <v>#N/A</v>
      </c>
    </row>
    <row r="125" spans="12:19" x14ac:dyDescent="0.25">
      <c r="L125" s="7" t="e">
        <f>VLOOKUP(A125,'3121% SY'!A:M,'3121% SY'!$M$1,FALSE)</f>
        <v>#N/A</v>
      </c>
      <c r="M125" s="161" t="e">
        <f t="shared" si="5"/>
        <v>#N/A</v>
      </c>
      <c r="N125" s="33" t="e">
        <f t="shared" si="6"/>
        <v>#N/A</v>
      </c>
      <c r="R125" s="161" t="e">
        <f t="shared" si="9"/>
        <v>#N/A</v>
      </c>
      <c r="S125" s="33" t="e">
        <f t="shared" si="10"/>
        <v>#N/A</v>
      </c>
    </row>
    <row r="126" spans="12:19" x14ac:dyDescent="0.25">
      <c r="L126" s="7" t="e">
        <f>VLOOKUP(A126,'3121% SY'!A:M,'3121% SY'!$M$1,FALSE)</f>
        <v>#N/A</v>
      </c>
      <c r="M126" s="161" t="e">
        <f t="shared" si="5"/>
        <v>#N/A</v>
      </c>
      <c r="N126" s="33" t="e">
        <f t="shared" si="6"/>
        <v>#N/A</v>
      </c>
      <c r="R126" s="161" t="e">
        <f t="shared" si="9"/>
        <v>#N/A</v>
      </c>
      <c r="S126" s="33" t="e">
        <f t="shared" si="10"/>
        <v>#N/A</v>
      </c>
    </row>
    <row r="127" spans="12:19" x14ac:dyDescent="0.25">
      <c r="L127" s="7" t="e">
        <f>VLOOKUP(A127,'3121% SY'!A:M,'3121% SY'!$M$1,FALSE)</f>
        <v>#N/A</v>
      </c>
      <c r="M127" s="161" t="e">
        <f t="shared" si="5"/>
        <v>#N/A</v>
      </c>
      <c r="N127" s="33" t="e">
        <f t="shared" si="6"/>
        <v>#N/A</v>
      </c>
      <c r="R127" s="161" t="e">
        <f t="shared" si="9"/>
        <v>#N/A</v>
      </c>
      <c r="S127" s="33" t="e">
        <f t="shared" si="10"/>
        <v>#N/A</v>
      </c>
    </row>
    <row r="128" spans="12:19" x14ac:dyDescent="0.25">
      <c r="L128" s="7" t="e">
        <f>VLOOKUP(A128,'3121% SY'!A:M,'3121% SY'!$M$1,FALSE)</f>
        <v>#N/A</v>
      </c>
      <c r="M128" s="161" t="e">
        <f t="shared" si="5"/>
        <v>#N/A</v>
      </c>
      <c r="N128" s="33" t="e">
        <f t="shared" si="6"/>
        <v>#N/A</v>
      </c>
      <c r="R128" s="161" t="e">
        <f t="shared" si="9"/>
        <v>#N/A</v>
      </c>
      <c r="S128" s="33" t="e">
        <f t="shared" si="10"/>
        <v>#N/A</v>
      </c>
    </row>
    <row r="129" spans="12:19" x14ac:dyDescent="0.25">
      <c r="L129" s="7" t="e">
        <f>VLOOKUP(A129,'3121% SY'!A:M,'3121% SY'!$M$1,FALSE)</f>
        <v>#N/A</v>
      </c>
      <c r="M129" s="161" t="e">
        <f t="shared" si="5"/>
        <v>#N/A</v>
      </c>
      <c r="N129" s="33" t="e">
        <f t="shared" si="6"/>
        <v>#N/A</v>
      </c>
      <c r="R129" s="161" t="e">
        <f t="shared" si="9"/>
        <v>#N/A</v>
      </c>
      <c r="S129" s="33" t="e">
        <f t="shared" si="10"/>
        <v>#N/A</v>
      </c>
    </row>
    <row r="130" spans="12:19" x14ac:dyDescent="0.25">
      <c r="L130" s="7" t="e">
        <f>VLOOKUP(A130,'3121% SY'!A:M,'3121% SY'!$M$1,FALSE)</f>
        <v>#N/A</v>
      </c>
      <c r="M130" s="161" t="e">
        <f t="shared" si="5"/>
        <v>#N/A</v>
      </c>
      <c r="N130" s="33" t="e">
        <f t="shared" si="6"/>
        <v>#N/A</v>
      </c>
      <c r="R130" s="161" t="e">
        <f t="shared" si="9"/>
        <v>#N/A</v>
      </c>
      <c r="S130" s="33" t="e">
        <f t="shared" si="10"/>
        <v>#N/A</v>
      </c>
    </row>
    <row r="131" spans="12:19" x14ac:dyDescent="0.25">
      <c r="L131" s="7" t="e">
        <f>VLOOKUP(A131,'3121% SY'!A:M,'3121% SY'!$M$1,FALSE)</f>
        <v>#N/A</v>
      </c>
      <c r="M131" s="161" t="e">
        <f t="shared" si="5"/>
        <v>#N/A</v>
      </c>
      <c r="N131" s="33" t="e">
        <f t="shared" si="6"/>
        <v>#N/A</v>
      </c>
      <c r="R131" s="161" t="e">
        <f t="shared" si="9"/>
        <v>#N/A</v>
      </c>
      <c r="S131" s="33" t="e">
        <f t="shared" si="10"/>
        <v>#N/A</v>
      </c>
    </row>
    <row r="132" spans="12:19" x14ac:dyDescent="0.25">
      <c r="L132" s="7" t="e">
        <f>VLOOKUP(A132,'3121% SY'!A:M,'3121% SY'!$M$1,FALSE)</f>
        <v>#N/A</v>
      </c>
    </row>
    <row r="133" spans="12:19" x14ac:dyDescent="0.25">
      <c r="L133" s="7" t="e">
        <f>VLOOKUP(A133,'3121% SY'!A:M,'3121% SY'!$M$1,FALSE)</f>
        <v>#N/A</v>
      </c>
    </row>
    <row r="134" spans="12:19" x14ac:dyDescent="0.25">
      <c r="L134" s="7" t="e">
        <f>VLOOKUP(A134,'3121% SY'!A:M,'3121% SY'!$M$1,FALSE)</f>
        <v>#N/A</v>
      </c>
    </row>
    <row r="135" spans="12:19" x14ac:dyDescent="0.25">
      <c r="L135" s="7" t="e">
        <f>VLOOKUP(A135,'3121% SY'!A:M,'3121% SY'!$M$1,FALSE)</f>
        <v>#N/A</v>
      </c>
    </row>
    <row r="136" spans="12:19" x14ac:dyDescent="0.25">
      <c r="L136" s="7" t="e">
        <f>VLOOKUP(A136,'3121% SY'!A:M,'3121% SY'!$M$1,FALSE)</f>
        <v>#N/A</v>
      </c>
    </row>
    <row r="137" spans="12:19" x14ac:dyDescent="0.25">
      <c r="L137" s="7" t="e">
        <f>VLOOKUP(A137,'3121% SY'!A:M,'3121% SY'!$M$1,FALSE)</f>
        <v>#N/A</v>
      </c>
    </row>
    <row r="138" spans="12:19" x14ac:dyDescent="0.25">
      <c r="L138" s="7" t="e">
        <f>VLOOKUP(A138,'3121% SY'!A:M,'3121% SY'!$M$1,FALSE)</f>
        <v>#N/A</v>
      </c>
    </row>
    <row r="139" spans="12:19" x14ac:dyDescent="0.25">
      <c r="L139" s="7" t="e">
        <f>VLOOKUP(A139,'3121% SY'!A:M,'3121% SY'!$M$1,FALSE)</f>
        <v>#N/A</v>
      </c>
    </row>
    <row r="140" spans="12:19" x14ac:dyDescent="0.25">
      <c r="L140" s="7" t="e">
        <f>VLOOKUP(A140,'3121% SY'!A:M,'3121% SY'!$M$1,FALSE)</f>
        <v>#N/A</v>
      </c>
    </row>
    <row r="141" spans="12:19" x14ac:dyDescent="0.25">
      <c r="L141" s="7" t="e">
        <f>VLOOKUP(A141,'3121% SY'!A:M,'3121% SY'!$M$1,FALSE)</f>
        <v>#N/A</v>
      </c>
    </row>
    <row r="142" spans="12:19" x14ac:dyDescent="0.25">
      <c r="L142" s="7" t="e">
        <f>VLOOKUP(A142,'3121% SY'!A:M,'3121% SY'!$M$1,FALSE)</f>
        <v>#N/A</v>
      </c>
    </row>
    <row r="143" spans="12:19" x14ac:dyDescent="0.25">
      <c r="L143" s="7" t="e">
        <f>VLOOKUP(A143,'3121% SY'!A:M,'3121% SY'!$M$1,FALSE)</f>
        <v>#N/A</v>
      </c>
    </row>
    <row r="144" spans="12:19" x14ac:dyDescent="0.25">
      <c r="L144" s="7" t="e">
        <f>VLOOKUP(A144,'3121% SY'!A:M,'3121% SY'!$M$1,FALSE)</f>
        <v>#N/A</v>
      </c>
    </row>
    <row r="145" spans="12:12" x14ac:dyDescent="0.25">
      <c r="L145" s="7" t="e">
        <f>VLOOKUP(A145,'3121% SY'!A:M,'3121% SY'!$M$1,FALSE)</f>
        <v>#N/A</v>
      </c>
    </row>
    <row r="146" spans="12:12" x14ac:dyDescent="0.25">
      <c r="L146" s="7" t="e">
        <f>VLOOKUP(A146,'3121% SY'!A:M,'3121% SY'!$M$1,FALSE)</f>
        <v>#N/A</v>
      </c>
    </row>
    <row r="147" spans="12:12" x14ac:dyDescent="0.25">
      <c r="L147" s="7" t="e">
        <f>VLOOKUP(A147,'3121% SY'!A:M,'3121% SY'!$M$1,FALSE)</f>
        <v>#N/A</v>
      </c>
    </row>
    <row r="148" spans="12:12" x14ac:dyDescent="0.25">
      <c r="L148" s="7" t="e">
        <f>VLOOKUP(A148,'3121% SY'!A:M,'3121% SY'!$M$1,FALSE)</f>
        <v>#N/A</v>
      </c>
    </row>
    <row r="149" spans="12:12" x14ac:dyDescent="0.25">
      <c r="L149" s="7" t="e">
        <f>VLOOKUP(A149,'3121% SY'!A:M,'3121% SY'!$M$1,FALSE)</f>
        <v>#N/A</v>
      </c>
    </row>
    <row r="150" spans="12:12" x14ac:dyDescent="0.25">
      <c r="L150" s="7" t="e">
        <f>VLOOKUP(A150,'3121% SY'!A:M,'3121% SY'!$M$1,FALSE)</f>
        <v>#N/A</v>
      </c>
    </row>
    <row r="151" spans="12:12" x14ac:dyDescent="0.25">
      <c r="L151" s="7" t="e">
        <f>VLOOKUP(A151,'3121% SY'!A:M,'3121% SY'!$M$1,FALSE)</f>
        <v>#N/A</v>
      </c>
    </row>
  </sheetData>
  <mergeCells count="1">
    <mergeCell ref="B2:H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C183D-4DFD-43BA-A894-891B0C94938E}">
  <sheetPr codeName="Sheet39"/>
  <dimension ref="A1:T151"/>
  <sheetViews>
    <sheetView workbookViewId="0">
      <selection activeCell="L4" sqref="L4:L151"/>
    </sheetView>
  </sheetViews>
  <sheetFormatPr defaultRowHeight="15" x14ac:dyDescent="0.25"/>
  <cols>
    <col min="1" max="1" width="13.140625" bestFit="1" customWidth="1"/>
    <col min="2" max="2" width="12.7109375" bestFit="1" customWidth="1"/>
    <col min="3" max="3" width="13.7109375" bestFit="1" customWidth="1"/>
    <col min="4" max="4" width="13.140625" bestFit="1" customWidth="1"/>
    <col min="5" max="6" width="14.85546875" bestFit="1" customWidth="1"/>
    <col min="7" max="7" width="15.7109375" bestFit="1" customWidth="1"/>
    <col min="8" max="8" width="15.140625" bestFit="1" customWidth="1"/>
    <col min="9" max="9" width="14.85546875" bestFit="1" customWidth="1"/>
    <col min="10" max="10" width="15.7109375" bestFit="1" customWidth="1"/>
    <col min="11" max="11" width="15.140625" bestFit="1" customWidth="1"/>
    <col min="12" max="12" width="12.7109375" bestFit="1" customWidth="1"/>
    <col min="13" max="13" width="17.42578125" bestFit="1" customWidth="1"/>
    <col min="14" max="14" width="12.7109375" bestFit="1" customWidth="1"/>
    <col min="15" max="16" width="16" bestFit="1" customWidth="1"/>
    <col min="17" max="17" width="13.5703125" bestFit="1" customWidth="1"/>
    <col min="18" max="18" width="12.7109375" bestFit="1" customWidth="1"/>
    <col min="19" max="19" width="21" bestFit="1" customWidth="1"/>
    <col min="20" max="43" width="12.7109375" bestFit="1" customWidth="1"/>
  </cols>
  <sheetData>
    <row r="1" spans="1:20" x14ac:dyDescent="0.25">
      <c r="A1" s="87">
        <f>COLUMN(A1)</f>
        <v>1</v>
      </c>
      <c r="B1" s="87">
        <f>COLUMN(B1)</f>
        <v>2</v>
      </c>
      <c r="C1" s="87">
        <f t="shared" ref="C1:S1" si="0">COLUMN(C1)</f>
        <v>3</v>
      </c>
      <c r="D1" s="87">
        <f t="shared" si="0"/>
        <v>4</v>
      </c>
      <c r="E1" s="87">
        <f t="shared" si="0"/>
        <v>5</v>
      </c>
      <c r="F1" s="87">
        <f t="shared" si="0"/>
        <v>6</v>
      </c>
      <c r="G1" s="87">
        <f t="shared" si="0"/>
        <v>7</v>
      </c>
      <c r="H1" s="87">
        <f t="shared" si="0"/>
        <v>8</v>
      </c>
      <c r="I1" s="87">
        <f t="shared" si="0"/>
        <v>9</v>
      </c>
      <c r="J1" s="87">
        <f t="shared" si="0"/>
        <v>10</v>
      </c>
      <c r="K1" s="87">
        <f t="shared" si="0"/>
        <v>11</v>
      </c>
      <c r="L1" s="87">
        <f t="shared" si="0"/>
        <v>12</v>
      </c>
      <c r="M1" s="87">
        <f t="shared" si="0"/>
        <v>13</v>
      </c>
      <c r="N1" s="87">
        <f t="shared" si="0"/>
        <v>14</v>
      </c>
      <c r="O1" s="87">
        <f t="shared" si="0"/>
        <v>15</v>
      </c>
      <c r="P1" s="87">
        <f t="shared" si="0"/>
        <v>16</v>
      </c>
      <c r="Q1" s="87">
        <f t="shared" si="0"/>
        <v>17</v>
      </c>
      <c r="R1" s="87">
        <f t="shared" si="0"/>
        <v>18</v>
      </c>
      <c r="S1" s="87">
        <f t="shared" si="0"/>
        <v>19</v>
      </c>
      <c r="T1" s="87"/>
    </row>
    <row r="2" spans="1:20" x14ac:dyDescent="0.25">
      <c r="A2">
        <f>COUNTA(A4:A131)</f>
        <v>24</v>
      </c>
      <c r="B2" s="290" t="s">
        <v>1249</v>
      </c>
      <c r="C2" s="290"/>
      <c r="D2" s="290"/>
      <c r="E2" s="290"/>
      <c r="F2" s="290"/>
      <c r="G2" s="290"/>
      <c r="H2" s="290"/>
      <c r="I2" s="156"/>
      <c r="J2" s="156"/>
      <c r="K2" s="156"/>
      <c r="N2" s="33" t="e">
        <f>SUM(N5:N150)</f>
        <v>#N/A</v>
      </c>
    </row>
    <row r="3" spans="1:20" x14ac:dyDescent="0.25">
      <c r="A3" s="91" t="s">
        <v>752</v>
      </c>
      <c r="B3" t="s">
        <v>796</v>
      </c>
      <c r="C3" t="s">
        <v>836</v>
      </c>
      <c r="D3" t="s">
        <v>877</v>
      </c>
      <c r="E3" t="s">
        <v>1143</v>
      </c>
      <c r="F3" t="s">
        <v>809</v>
      </c>
      <c r="G3" t="s">
        <v>849</v>
      </c>
      <c r="H3" t="s">
        <v>890</v>
      </c>
      <c r="I3" t="s">
        <v>822</v>
      </c>
      <c r="J3" t="s">
        <v>861</v>
      </c>
      <c r="K3" t="s">
        <v>902</v>
      </c>
      <c r="L3" s="6">
        <v>31.21</v>
      </c>
      <c r="M3" t="str">
        <f>"SpEd Staffed "&amp;$B$2</f>
        <v>SpEd Staffed Pupil Mgt</v>
      </c>
      <c r="N3" s="162" t="str">
        <f>"Total "&amp;$B$2</f>
        <v>Total Pupil Mgt</v>
      </c>
      <c r="O3" t="s">
        <v>1062</v>
      </c>
      <c r="P3" t="s">
        <v>1063</v>
      </c>
      <c r="Q3" t="s">
        <v>1061</v>
      </c>
      <c r="R3" t="str">
        <f>"SpEd Contracted "&amp;$B$2</f>
        <v>SpEd Contracted Pupil Mgt</v>
      </c>
      <c r="S3" s="162" t="str">
        <f>"Total Contracted "&amp;$B$2</f>
        <v>Total Contracted Pupil Mgt</v>
      </c>
    </row>
    <row r="4" spans="1:20" x14ac:dyDescent="0.25">
      <c r="A4" s="88" t="s">
        <v>7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7">
        <f>VLOOKUP(A4,'3121% SY'!A:M,'3121% SY'!$M$1,FALSE)</f>
        <v>0.1179</v>
      </c>
      <c r="M4" s="161">
        <f>ROUND(I4*$L4,3)+ROUND(J4*$L4,3)++ROUND(K4*$L4,3)</f>
        <v>0</v>
      </c>
      <c r="N4" s="33">
        <f>SUM(M4,B4:H4)</f>
        <v>0</v>
      </c>
      <c r="R4" s="161">
        <f>ROUND(Q4*$L4,3)</f>
        <v>0</v>
      </c>
      <c r="S4" s="33">
        <f>SUM(R4,O4:P4)</f>
        <v>0</v>
      </c>
    </row>
    <row r="5" spans="1:20" x14ac:dyDescent="0.25">
      <c r="A5" s="88" t="s">
        <v>40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7">
        <f>VLOOKUP(A5,'3121% SY'!A:M,'3121% SY'!$M$1,FALSE)</f>
        <v>0.1794</v>
      </c>
      <c r="M5" s="161">
        <f t="shared" ref="M5:M68" si="1">ROUND(I5*$L5,3)+ROUND(J5*$L5,3)++ROUND(K5*$L5,3)</f>
        <v>0</v>
      </c>
      <c r="N5" s="33">
        <f t="shared" ref="N5:N68" si="2">SUM(M5,B5:H5)</f>
        <v>0</v>
      </c>
      <c r="R5" s="161">
        <f t="shared" ref="R5:R68" si="3">ROUND(Q5*$L5,3)</f>
        <v>0</v>
      </c>
      <c r="S5" s="33">
        <f t="shared" ref="S5:S68" si="4">SUM(R5,O5:P5)</f>
        <v>0</v>
      </c>
    </row>
    <row r="6" spans="1:20" x14ac:dyDescent="0.25">
      <c r="A6" s="88" t="s">
        <v>61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7">
        <f>VLOOKUP(A6,'3121% SY'!A:M,'3121% SY'!$M$1,FALSE)</f>
        <v>0.24629999999999996</v>
      </c>
      <c r="M6" s="161">
        <f t="shared" si="1"/>
        <v>0</v>
      </c>
      <c r="N6" s="33">
        <f t="shared" si="2"/>
        <v>0</v>
      </c>
      <c r="R6" s="161">
        <f t="shared" si="3"/>
        <v>0</v>
      </c>
      <c r="S6" s="33">
        <f t="shared" si="4"/>
        <v>0</v>
      </c>
    </row>
    <row r="7" spans="1:20" x14ac:dyDescent="0.25">
      <c r="A7" s="88" t="s">
        <v>78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7">
        <f>VLOOKUP(A7,'3121% SY'!A:M,'3121% SY'!$M$1,FALSE)</f>
        <v>0.17600000000000005</v>
      </c>
      <c r="M7" s="161">
        <f t="shared" si="1"/>
        <v>0</v>
      </c>
      <c r="N7" s="33">
        <f t="shared" si="2"/>
        <v>0</v>
      </c>
      <c r="R7" s="161">
        <f t="shared" si="3"/>
        <v>0</v>
      </c>
      <c r="S7" s="33">
        <f t="shared" si="4"/>
        <v>0</v>
      </c>
    </row>
    <row r="8" spans="1:20" x14ac:dyDescent="0.25">
      <c r="A8" s="88" t="s">
        <v>84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7">
        <f>VLOOKUP(A8,'3121% SY'!A:M,'3121% SY'!$M$1,FALSE)</f>
        <v>8.9999999999999969E-2</v>
      </c>
      <c r="M8" s="161">
        <f t="shared" si="1"/>
        <v>0</v>
      </c>
      <c r="N8" s="33">
        <f t="shared" si="2"/>
        <v>0</v>
      </c>
      <c r="R8" s="161">
        <f t="shared" si="3"/>
        <v>0</v>
      </c>
      <c r="S8" s="33">
        <f t="shared" si="4"/>
        <v>0</v>
      </c>
    </row>
    <row r="9" spans="1:20" x14ac:dyDescent="0.25">
      <c r="A9" s="88" t="s">
        <v>87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7">
        <f>VLOOKUP(A9,'3121% SY'!A:M,'3121% SY'!$M$1,FALSE)</f>
        <v>0.18340000000000001</v>
      </c>
      <c r="M9" s="161">
        <f t="shared" si="1"/>
        <v>0</v>
      </c>
      <c r="N9" s="33">
        <f t="shared" si="2"/>
        <v>0</v>
      </c>
      <c r="R9" s="161">
        <f t="shared" si="3"/>
        <v>0</v>
      </c>
      <c r="S9" s="33">
        <f t="shared" si="4"/>
        <v>0</v>
      </c>
    </row>
    <row r="10" spans="1:20" x14ac:dyDescent="0.25">
      <c r="A10" s="88" t="s">
        <v>89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7">
        <f>VLOOKUP(A10,'3121% SY'!A:M,'3121% SY'!$M$1,FALSE)</f>
        <v>0.22170000000000001</v>
      </c>
      <c r="M10" s="161">
        <f t="shared" si="1"/>
        <v>0</v>
      </c>
      <c r="N10" s="33">
        <f t="shared" si="2"/>
        <v>0</v>
      </c>
      <c r="R10" s="161">
        <f t="shared" si="3"/>
        <v>0</v>
      </c>
      <c r="S10" s="33">
        <f t="shared" si="4"/>
        <v>0</v>
      </c>
    </row>
    <row r="11" spans="1:20" x14ac:dyDescent="0.25">
      <c r="A11" s="88" t="s">
        <v>141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7">
        <f>VLOOKUP(A11,'3121% SY'!A:M,'3121% SY'!$M$1,FALSE)</f>
        <v>0.31479999999999997</v>
      </c>
      <c r="M11" s="161">
        <f t="shared" si="1"/>
        <v>0</v>
      </c>
      <c r="N11" s="33">
        <f t="shared" si="2"/>
        <v>0</v>
      </c>
      <c r="R11" s="161">
        <f t="shared" si="3"/>
        <v>0</v>
      </c>
      <c r="S11" s="33">
        <f t="shared" si="4"/>
        <v>0</v>
      </c>
    </row>
    <row r="12" spans="1:20" x14ac:dyDescent="0.25">
      <c r="A12" s="88" t="s">
        <v>145</v>
      </c>
      <c r="B12">
        <v>0.32</v>
      </c>
      <c r="C12">
        <v>0.32</v>
      </c>
      <c r="D12">
        <v>0</v>
      </c>
      <c r="E12">
        <v>0</v>
      </c>
      <c r="F12">
        <v>0</v>
      </c>
      <c r="G12">
        <v>0</v>
      </c>
      <c r="H12">
        <v>0</v>
      </c>
      <c r="I12">
        <v>0.16</v>
      </c>
      <c r="J12">
        <v>0.16</v>
      </c>
      <c r="K12">
        <v>0.16</v>
      </c>
      <c r="L12" s="7">
        <f>VLOOKUP(A12,'3121% SY'!A:M,'3121% SY'!$M$1,FALSE)</f>
        <v>0.28620000000000001</v>
      </c>
      <c r="M12" s="161">
        <f t="shared" si="1"/>
        <v>0.13800000000000001</v>
      </c>
      <c r="N12" s="33">
        <f t="shared" si="2"/>
        <v>0.77800000000000002</v>
      </c>
      <c r="R12" s="161">
        <f t="shared" si="3"/>
        <v>0</v>
      </c>
      <c r="S12" s="33">
        <f t="shared" si="4"/>
        <v>0</v>
      </c>
    </row>
    <row r="13" spans="1:20" x14ac:dyDescent="0.25">
      <c r="A13" s="88" t="s">
        <v>146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7">
        <f>VLOOKUP(A13,'3121% SY'!A:M,'3121% SY'!$M$1,FALSE)</f>
        <v>0.25719999999999998</v>
      </c>
      <c r="M13" s="161">
        <f t="shared" si="1"/>
        <v>0</v>
      </c>
      <c r="N13" s="33">
        <f t="shared" si="2"/>
        <v>0</v>
      </c>
      <c r="R13" s="161">
        <f t="shared" si="3"/>
        <v>0</v>
      </c>
      <c r="S13" s="33">
        <f t="shared" si="4"/>
        <v>0</v>
      </c>
    </row>
    <row r="14" spans="1:20" x14ac:dyDescent="0.25">
      <c r="A14" s="88" t="s">
        <v>162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7">
        <f>VLOOKUP(A14,'3121% SY'!A:M,'3121% SY'!$M$1,FALSE)</f>
        <v>0.19820000000000004</v>
      </c>
      <c r="M14" s="161">
        <f t="shared" si="1"/>
        <v>0</v>
      </c>
      <c r="N14" s="33">
        <f t="shared" si="2"/>
        <v>0</v>
      </c>
      <c r="R14" s="161">
        <f t="shared" si="3"/>
        <v>0</v>
      </c>
      <c r="S14" s="33">
        <f t="shared" si="4"/>
        <v>0</v>
      </c>
    </row>
    <row r="15" spans="1:20" x14ac:dyDescent="0.25">
      <c r="A15" s="88" t="s">
        <v>163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0.46</v>
      </c>
      <c r="J15">
        <v>0</v>
      </c>
      <c r="K15">
        <v>0</v>
      </c>
      <c r="L15" s="7">
        <f>VLOOKUP(A15,'3121% SY'!A:M,'3121% SY'!$M$1,FALSE)</f>
        <v>0.20989999999999998</v>
      </c>
      <c r="M15" s="161">
        <f t="shared" si="1"/>
        <v>9.7000000000000003E-2</v>
      </c>
      <c r="N15" s="33">
        <f t="shared" si="2"/>
        <v>9.7000000000000003E-2</v>
      </c>
      <c r="R15" s="161">
        <f t="shared" si="3"/>
        <v>0</v>
      </c>
      <c r="S15" s="33">
        <f t="shared" si="4"/>
        <v>0</v>
      </c>
    </row>
    <row r="16" spans="1:20" x14ac:dyDescent="0.25">
      <c r="A16" s="88" t="s">
        <v>176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7">
        <f>VLOOKUP(A16,'3121% SY'!A:M,'3121% SY'!$M$1,FALSE)</f>
        <v>0.29900000000000004</v>
      </c>
      <c r="M16" s="161">
        <f t="shared" si="1"/>
        <v>0</v>
      </c>
      <c r="N16" s="33">
        <f t="shared" si="2"/>
        <v>0</v>
      </c>
      <c r="R16" s="161">
        <f t="shared" si="3"/>
        <v>0</v>
      </c>
      <c r="S16" s="33">
        <f t="shared" si="4"/>
        <v>0</v>
      </c>
    </row>
    <row r="17" spans="1:19" x14ac:dyDescent="0.25">
      <c r="A17" s="88" t="s">
        <v>233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7">
        <f>VLOOKUP(A17,'3121% SY'!A:M,'3121% SY'!$M$1,FALSE)</f>
        <v>0.20020000000000004</v>
      </c>
      <c r="M17" s="161">
        <f t="shared" si="1"/>
        <v>0</v>
      </c>
      <c r="N17" s="33">
        <f t="shared" si="2"/>
        <v>0</v>
      </c>
      <c r="R17" s="161">
        <f t="shared" si="3"/>
        <v>0</v>
      </c>
      <c r="S17" s="33">
        <f t="shared" si="4"/>
        <v>0</v>
      </c>
    </row>
    <row r="18" spans="1:19" x14ac:dyDescent="0.25">
      <c r="A18" s="88" t="s">
        <v>250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7">
        <f>VLOOKUP(A18,'3121% SY'!A:M,'3121% SY'!$M$1,FALSE)</f>
        <v>0.15839999999999999</v>
      </c>
      <c r="M18" s="161">
        <f t="shared" si="1"/>
        <v>0</v>
      </c>
      <c r="N18" s="33">
        <f t="shared" si="2"/>
        <v>0</v>
      </c>
      <c r="R18" s="161">
        <f t="shared" si="3"/>
        <v>0</v>
      </c>
      <c r="S18" s="33">
        <f t="shared" si="4"/>
        <v>0</v>
      </c>
    </row>
    <row r="19" spans="1:19" x14ac:dyDescent="0.25">
      <c r="A19" s="88" t="s">
        <v>256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7">
        <f>VLOOKUP(A19,'3121% SY'!A:M,'3121% SY'!$M$1,FALSE)</f>
        <v>0.23140000000000005</v>
      </c>
      <c r="M19" s="161">
        <f t="shared" si="1"/>
        <v>0</v>
      </c>
      <c r="N19" s="33">
        <f t="shared" si="2"/>
        <v>0</v>
      </c>
      <c r="R19" s="161">
        <f t="shared" si="3"/>
        <v>0</v>
      </c>
      <c r="S19" s="33">
        <f t="shared" si="4"/>
        <v>0</v>
      </c>
    </row>
    <row r="20" spans="1:19" x14ac:dyDescent="0.25">
      <c r="A20" s="88" t="s">
        <v>259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7">
        <f>VLOOKUP(A20,'3121% SY'!A:M,'3121% SY'!$M$1,FALSE)</f>
        <v>0.24870000000000003</v>
      </c>
      <c r="M20" s="161">
        <f t="shared" si="1"/>
        <v>0</v>
      </c>
      <c r="N20" s="33">
        <f t="shared" si="2"/>
        <v>0</v>
      </c>
      <c r="R20" s="161">
        <f t="shared" si="3"/>
        <v>0</v>
      </c>
      <c r="S20" s="33">
        <f t="shared" si="4"/>
        <v>0</v>
      </c>
    </row>
    <row r="21" spans="1:19" x14ac:dyDescent="0.25">
      <c r="A21" s="88" t="s">
        <v>280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7">
        <f>VLOOKUP(A21,'3121% SY'!A:M,'3121% SY'!$M$1,FALSE)</f>
        <v>0.18340000000000001</v>
      </c>
      <c r="M21" s="161">
        <f t="shared" si="1"/>
        <v>0</v>
      </c>
      <c r="N21" s="33">
        <f t="shared" si="2"/>
        <v>0</v>
      </c>
      <c r="R21" s="161">
        <f t="shared" si="3"/>
        <v>0</v>
      </c>
      <c r="S21" s="33">
        <f t="shared" si="4"/>
        <v>0</v>
      </c>
    </row>
    <row r="22" spans="1:19" x14ac:dyDescent="0.25">
      <c r="A22" s="88" t="s">
        <v>284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7">
        <f>VLOOKUP(A22,'3121% SY'!A:M,'3121% SY'!$M$1,FALSE)</f>
        <v>0.14729999999999999</v>
      </c>
      <c r="M22" s="161">
        <f t="shared" si="1"/>
        <v>0</v>
      </c>
      <c r="N22" s="33">
        <f t="shared" si="2"/>
        <v>0</v>
      </c>
      <c r="R22" s="161">
        <f t="shared" si="3"/>
        <v>0</v>
      </c>
      <c r="S22" s="33">
        <f t="shared" si="4"/>
        <v>0</v>
      </c>
    </row>
    <row r="23" spans="1:19" x14ac:dyDescent="0.25">
      <c r="A23" s="88" t="s">
        <v>289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7">
        <f>VLOOKUP(A23,'3121% SY'!A:M,'3121% SY'!$M$1,FALSE)</f>
        <v>0.19010000000000005</v>
      </c>
      <c r="M23" s="161">
        <f t="shared" si="1"/>
        <v>0</v>
      </c>
      <c r="N23" s="33">
        <f t="shared" si="2"/>
        <v>0</v>
      </c>
      <c r="R23" s="161">
        <f t="shared" si="3"/>
        <v>0</v>
      </c>
      <c r="S23" s="33">
        <f t="shared" si="4"/>
        <v>0</v>
      </c>
    </row>
    <row r="24" spans="1:19" x14ac:dyDescent="0.25">
      <c r="A24" s="88" t="s">
        <v>290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7">
        <f>VLOOKUP(A24,'3121% SY'!A:M,'3121% SY'!$M$1,FALSE)</f>
        <v>0.15839999999999999</v>
      </c>
      <c r="M24" s="161">
        <f t="shared" si="1"/>
        <v>0</v>
      </c>
      <c r="N24" s="33">
        <f t="shared" si="2"/>
        <v>0</v>
      </c>
      <c r="R24" s="161">
        <f t="shared" si="3"/>
        <v>0</v>
      </c>
      <c r="S24" s="33">
        <f t="shared" si="4"/>
        <v>0</v>
      </c>
    </row>
    <row r="25" spans="1:19" x14ac:dyDescent="0.25">
      <c r="A25" s="88" t="s">
        <v>302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7">
        <f>VLOOKUP(A25,'3121% SY'!A:M,'3121% SY'!$M$1,FALSE)</f>
        <v>0.21989999999999998</v>
      </c>
      <c r="M25" s="161">
        <f t="shared" si="1"/>
        <v>0</v>
      </c>
      <c r="N25" s="33">
        <f t="shared" si="2"/>
        <v>0</v>
      </c>
      <c r="R25" s="161">
        <f t="shared" si="3"/>
        <v>0</v>
      </c>
      <c r="S25" s="33">
        <f t="shared" si="4"/>
        <v>0</v>
      </c>
    </row>
    <row r="26" spans="1:19" x14ac:dyDescent="0.25">
      <c r="A26" s="88" t="s">
        <v>1098</v>
      </c>
      <c r="L26" s="7" t="e">
        <f>VLOOKUP(A26,'3121% SY'!A:M,'3121% SY'!$M$1,FALSE)</f>
        <v>#N/A</v>
      </c>
      <c r="M26" s="161" t="e">
        <f t="shared" si="1"/>
        <v>#N/A</v>
      </c>
      <c r="N26" s="33" t="e">
        <f t="shared" si="2"/>
        <v>#N/A</v>
      </c>
      <c r="R26" s="161" t="e">
        <f t="shared" si="3"/>
        <v>#N/A</v>
      </c>
      <c r="S26" s="33" t="e">
        <f t="shared" si="4"/>
        <v>#N/A</v>
      </c>
    </row>
    <row r="27" spans="1:19" x14ac:dyDescent="0.25">
      <c r="A27" s="88" t="s">
        <v>753</v>
      </c>
      <c r="B27">
        <v>0.32</v>
      </c>
      <c r="C27">
        <v>0.32</v>
      </c>
      <c r="D27">
        <v>0</v>
      </c>
      <c r="E27">
        <v>0</v>
      </c>
      <c r="F27">
        <v>0</v>
      </c>
      <c r="G27">
        <v>0</v>
      </c>
      <c r="H27">
        <v>0</v>
      </c>
      <c r="I27">
        <v>0.62</v>
      </c>
      <c r="J27">
        <v>0.16</v>
      </c>
      <c r="K27">
        <v>0.16</v>
      </c>
      <c r="L27" s="7" t="e">
        <f>VLOOKUP(A27,'3121% SY'!A:M,'3121% SY'!$M$1,FALSE)</f>
        <v>#N/A</v>
      </c>
      <c r="M27" s="161" t="e">
        <f t="shared" si="1"/>
        <v>#N/A</v>
      </c>
      <c r="N27" s="33" t="e">
        <f t="shared" si="2"/>
        <v>#N/A</v>
      </c>
      <c r="R27" s="161" t="e">
        <f t="shared" si="3"/>
        <v>#N/A</v>
      </c>
      <c r="S27" s="33" t="e">
        <f t="shared" si="4"/>
        <v>#N/A</v>
      </c>
    </row>
    <row r="28" spans="1:19" x14ac:dyDescent="0.25">
      <c r="L28" s="7" t="e">
        <f>VLOOKUP(A28,'3121% SY'!A:M,'3121% SY'!$M$1,FALSE)</f>
        <v>#N/A</v>
      </c>
      <c r="M28" s="161" t="e">
        <f t="shared" si="1"/>
        <v>#N/A</v>
      </c>
      <c r="N28" s="33" t="e">
        <f t="shared" si="2"/>
        <v>#N/A</v>
      </c>
      <c r="R28" s="161" t="e">
        <f t="shared" si="3"/>
        <v>#N/A</v>
      </c>
      <c r="S28" s="33" t="e">
        <f t="shared" si="4"/>
        <v>#N/A</v>
      </c>
    </row>
    <row r="29" spans="1:19" x14ac:dyDescent="0.25">
      <c r="L29" s="7" t="e">
        <f>VLOOKUP(A29,'3121% SY'!A:M,'3121% SY'!$M$1,FALSE)</f>
        <v>#N/A</v>
      </c>
      <c r="M29" s="161" t="e">
        <f t="shared" si="1"/>
        <v>#N/A</v>
      </c>
      <c r="N29" s="33" t="e">
        <f t="shared" si="2"/>
        <v>#N/A</v>
      </c>
      <c r="R29" s="161" t="e">
        <f t="shared" si="3"/>
        <v>#N/A</v>
      </c>
      <c r="S29" s="33" t="e">
        <f t="shared" si="4"/>
        <v>#N/A</v>
      </c>
    </row>
    <row r="30" spans="1:19" x14ac:dyDescent="0.25">
      <c r="L30" s="7" t="e">
        <f>VLOOKUP(A30,'3121% SY'!A:M,'3121% SY'!$M$1,FALSE)</f>
        <v>#N/A</v>
      </c>
      <c r="M30" s="161" t="e">
        <f t="shared" si="1"/>
        <v>#N/A</v>
      </c>
      <c r="N30" s="33" t="e">
        <f t="shared" si="2"/>
        <v>#N/A</v>
      </c>
      <c r="R30" s="161" t="e">
        <f t="shared" si="3"/>
        <v>#N/A</v>
      </c>
      <c r="S30" s="33" t="e">
        <f t="shared" si="4"/>
        <v>#N/A</v>
      </c>
    </row>
    <row r="31" spans="1:19" x14ac:dyDescent="0.25">
      <c r="L31" s="7" t="e">
        <f>VLOOKUP(A31,'3121% SY'!A:M,'3121% SY'!$M$1,FALSE)</f>
        <v>#N/A</v>
      </c>
      <c r="M31" s="161" t="e">
        <f t="shared" si="1"/>
        <v>#N/A</v>
      </c>
      <c r="N31" s="33" t="e">
        <f t="shared" si="2"/>
        <v>#N/A</v>
      </c>
      <c r="R31" s="161" t="e">
        <f t="shared" si="3"/>
        <v>#N/A</v>
      </c>
      <c r="S31" s="33" t="e">
        <f t="shared" si="4"/>
        <v>#N/A</v>
      </c>
    </row>
    <row r="32" spans="1:19" x14ac:dyDescent="0.25">
      <c r="L32" s="7" t="e">
        <f>VLOOKUP(A32,'3121% SY'!A:M,'3121% SY'!$M$1,FALSE)</f>
        <v>#N/A</v>
      </c>
      <c r="M32" s="161" t="e">
        <f t="shared" si="1"/>
        <v>#N/A</v>
      </c>
      <c r="N32" s="33" t="e">
        <f t="shared" si="2"/>
        <v>#N/A</v>
      </c>
      <c r="R32" s="161" t="e">
        <f t="shared" si="3"/>
        <v>#N/A</v>
      </c>
      <c r="S32" s="33" t="e">
        <f t="shared" si="4"/>
        <v>#N/A</v>
      </c>
    </row>
    <row r="33" spans="12:19" x14ac:dyDescent="0.25">
      <c r="L33" s="7" t="e">
        <f>VLOOKUP(A33,'3121% SY'!A:M,'3121% SY'!$M$1,FALSE)</f>
        <v>#N/A</v>
      </c>
      <c r="M33" s="161" t="e">
        <f t="shared" si="1"/>
        <v>#N/A</v>
      </c>
      <c r="N33" s="33" t="e">
        <f t="shared" si="2"/>
        <v>#N/A</v>
      </c>
      <c r="R33" s="161" t="e">
        <f t="shared" si="3"/>
        <v>#N/A</v>
      </c>
      <c r="S33" s="33" t="e">
        <f t="shared" si="4"/>
        <v>#N/A</v>
      </c>
    </row>
    <row r="34" spans="12:19" x14ac:dyDescent="0.25">
      <c r="L34" s="7" t="e">
        <f>VLOOKUP(A34,'3121% SY'!A:M,'3121% SY'!$M$1,FALSE)</f>
        <v>#N/A</v>
      </c>
      <c r="M34" s="161" t="e">
        <f t="shared" si="1"/>
        <v>#N/A</v>
      </c>
      <c r="N34" s="33" t="e">
        <f t="shared" si="2"/>
        <v>#N/A</v>
      </c>
      <c r="R34" s="161" t="e">
        <f t="shared" si="3"/>
        <v>#N/A</v>
      </c>
      <c r="S34" s="33" t="e">
        <f t="shared" si="4"/>
        <v>#N/A</v>
      </c>
    </row>
    <row r="35" spans="12:19" x14ac:dyDescent="0.25">
      <c r="L35" s="7" t="e">
        <f>VLOOKUP(A35,'3121% SY'!A:M,'3121% SY'!$M$1,FALSE)</f>
        <v>#N/A</v>
      </c>
      <c r="M35" s="161" t="e">
        <f t="shared" si="1"/>
        <v>#N/A</v>
      </c>
      <c r="N35" s="33" t="e">
        <f t="shared" si="2"/>
        <v>#N/A</v>
      </c>
      <c r="R35" s="161" t="e">
        <f t="shared" si="3"/>
        <v>#N/A</v>
      </c>
      <c r="S35" s="33" t="e">
        <f t="shared" si="4"/>
        <v>#N/A</v>
      </c>
    </row>
    <row r="36" spans="12:19" x14ac:dyDescent="0.25">
      <c r="L36" s="7" t="e">
        <f>VLOOKUP(A36,'3121% SY'!A:M,'3121% SY'!$M$1,FALSE)</f>
        <v>#N/A</v>
      </c>
      <c r="M36" s="161" t="e">
        <f t="shared" si="1"/>
        <v>#N/A</v>
      </c>
      <c r="N36" s="33" t="e">
        <f t="shared" si="2"/>
        <v>#N/A</v>
      </c>
      <c r="R36" s="161" t="e">
        <f t="shared" si="3"/>
        <v>#N/A</v>
      </c>
      <c r="S36" s="33" t="e">
        <f t="shared" si="4"/>
        <v>#N/A</v>
      </c>
    </row>
    <row r="37" spans="12:19" x14ac:dyDescent="0.25">
      <c r="L37" s="7" t="e">
        <f>VLOOKUP(A37,'3121% SY'!A:M,'3121% SY'!$M$1,FALSE)</f>
        <v>#N/A</v>
      </c>
      <c r="M37" s="161" t="e">
        <f t="shared" si="1"/>
        <v>#N/A</v>
      </c>
      <c r="N37" s="33" t="e">
        <f t="shared" si="2"/>
        <v>#N/A</v>
      </c>
      <c r="R37" s="161" t="e">
        <f t="shared" si="3"/>
        <v>#N/A</v>
      </c>
      <c r="S37" s="33" t="e">
        <f t="shared" si="4"/>
        <v>#N/A</v>
      </c>
    </row>
    <row r="38" spans="12:19" x14ac:dyDescent="0.25">
      <c r="L38" s="7" t="e">
        <f>VLOOKUP(A38,'3121% SY'!A:M,'3121% SY'!$M$1,FALSE)</f>
        <v>#N/A</v>
      </c>
      <c r="M38" s="161" t="e">
        <f t="shared" si="1"/>
        <v>#N/A</v>
      </c>
      <c r="N38" s="33" t="e">
        <f t="shared" si="2"/>
        <v>#N/A</v>
      </c>
      <c r="R38" s="161" t="e">
        <f t="shared" si="3"/>
        <v>#N/A</v>
      </c>
      <c r="S38" s="33" t="e">
        <f t="shared" si="4"/>
        <v>#N/A</v>
      </c>
    </row>
    <row r="39" spans="12:19" x14ac:dyDescent="0.25">
      <c r="L39" s="7" t="e">
        <f>VLOOKUP(A39,'3121% SY'!A:M,'3121% SY'!$M$1,FALSE)</f>
        <v>#N/A</v>
      </c>
      <c r="M39" s="161" t="e">
        <f t="shared" si="1"/>
        <v>#N/A</v>
      </c>
      <c r="N39" s="33" t="e">
        <f t="shared" si="2"/>
        <v>#N/A</v>
      </c>
      <c r="R39" s="161" t="e">
        <f t="shared" si="3"/>
        <v>#N/A</v>
      </c>
      <c r="S39" s="33" t="e">
        <f t="shared" si="4"/>
        <v>#N/A</v>
      </c>
    </row>
    <row r="40" spans="12:19" x14ac:dyDescent="0.25">
      <c r="L40" s="7" t="e">
        <f>VLOOKUP(A40,'3121% SY'!A:M,'3121% SY'!$M$1,FALSE)</f>
        <v>#N/A</v>
      </c>
      <c r="M40" s="161" t="e">
        <f t="shared" si="1"/>
        <v>#N/A</v>
      </c>
      <c r="N40" s="33" t="e">
        <f t="shared" si="2"/>
        <v>#N/A</v>
      </c>
      <c r="R40" s="161" t="e">
        <f t="shared" si="3"/>
        <v>#N/A</v>
      </c>
      <c r="S40" s="33" t="e">
        <f t="shared" si="4"/>
        <v>#N/A</v>
      </c>
    </row>
    <row r="41" spans="12:19" x14ac:dyDescent="0.25">
      <c r="L41" s="7" t="e">
        <f>VLOOKUP(A41,'3121% SY'!A:M,'3121% SY'!$M$1,FALSE)</f>
        <v>#N/A</v>
      </c>
      <c r="M41" s="161" t="e">
        <f t="shared" si="1"/>
        <v>#N/A</v>
      </c>
      <c r="N41" s="33" t="e">
        <f t="shared" si="2"/>
        <v>#N/A</v>
      </c>
      <c r="R41" s="161" t="e">
        <f t="shared" si="3"/>
        <v>#N/A</v>
      </c>
      <c r="S41" s="33" t="e">
        <f t="shared" si="4"/>
        <v>#N/A</v>
      </c>
    </row>
    <row r="42" spans="12:19" x14ac:dyDescent="0.25">
      <c r="L42" s="7" t="e">
        <f>VLOOKUP(A42,'3121% SY'!A:M,'3121% SY'!$M$1,FALSE)</f>
        <v>#N/A</v>
      </c>
      <c r="M42" s="161" t="e">
        <f t="shared" si="1"/>
        <v>#N/A</v>
      </c>
      <c r="N42" s="33" t="e">
        <f t="shared" si="2"/>
        <v>#N/A</v>
      </c>
      <c r="R42" s="161" t="e">
        <f t="shared" si="3"/>
        <v>#N/A</v>
      </c>
      <c r="S42" s="33" t="e">
        <f t="shared" si="4"/>
        <v>#N/A</v>
      </c>
    </row>
    <row r="43" spans="12:19" x14ac:dyDescent="0.25">
      <c r="L43" s="7" t="e">
        <f>VLOOKUP(A43,'3121% SY'!A:M,'3121% SY'!$M$1,FALSE)</f>
        <v>#N/A</v>
      </c>
      <c r="M43" s="161" t="e">
        <f t="shared" si="1"/>
        <v>#N/A</v>
      </c>
      <c r="N43" s="33" t="e">
        <f t="shared" si="2"/>
        <v>#N/A</v>
      </c>
      <c r="R43" s="161" t="e">
        <f t="shared" si="3"/>
        <v>#N/A</v>
      </c>
      <c r="S43" s="33" t="e">
        <f t="shared" si="4"/>
        <v>#N/A</v>
      </c>
    </row>
    <row r="44" spans="12:19" x14ac:dyDescent="0.25">
      <c r="L44" s="7" t="e">
        <f>VLOOKUP(A44,'3121% SY'!A:M,'3121% SY'!$M$1,FALSE)</f>
        <v>#N/A</v>
      </c>
      <c r="M44" s="161" t="e">
        <f t="shared" si="1"/>
        <v>#N/A</v>
      </c>
      <c r="N44" s="33" t="e">
        <f t="shared" si="2"/>
        <v>#N/A</v>
      </c>
      <c r="R44" s="161" t="e">
        <f t="shared" si="3"/>
        <v>#N/A</v>
      </c>
      <c r="S44" s="33" t="e">
        <f t="shared" si="4"/>
        <v>#N/A</v>
      </c>
    </row>
    <row r="45" spans="12:19" x14ac:dyDescent="0.25">
      <c r="L45" s="7" t="e">
        <f>VLOOKUP(A45,'3121% SY'!A:M,'3121% SY'!$M$1,FALSE)</f>
        <v>#N/A</v>
      </c>
      <c r="M45" s="161" t="e">
        <f t="shared" si="1"/>
        <v>#N/A</v>
      </c>
      <c r="N45" s="33" t="e">
        <f t="shared" si="2"/>
        <v>#N/A</v>
      </c>
      <c r="R45" s="161" t="e">
        <f t="shared" si="3"/>
        <v>#N/A</v>
      </c>
      <c r="S45" s="33" t="e">
        <f t="shared" si="4"/>
        <v>#N/A</v>
      </c>
    </row>
    <row r="46" spans="12:19" x14ac:dyDescent="0.25">
      <c r="L46" s="7" t="e">
        <f>VLOOKUP(A46,'3121% SY'!A:M,'3121% SY'!$M$1,FALSE)</f>
        <v>#N/A</v>
      </c>
      <c r="M46" s="161" t="e">
        <f t="shared" si="1"/>
        <v>#N/A</v>
      </c>
      <c r="N46" s="33" t="e">
        <f t="shared" si="2"/>
        <v>#N/A</v>
      </c>
      <c r="R46" s="161" t="e">
        <f t="shared" si="3"/>
        <v>#N/A</v>
      </c>
      <c r="S46" s="33" t="e">
        <f t="shared" si="4"/>
        <v>#N/A</v>
      </c>
    </row>
    <row r="47" spans="12:19" x14ac:dyDescent="0.25">
      <c r="L47" s="7" t="e">
        <f>VLOOKUP(A47,'3121% SY'!A:M,'3121% SY'!$M$1,FALSE)</f>
        <v>#N/A</v>
      </c>
      <c r="M47" s="161" t="e">
        <f t="shared" si="1"/>
        <v>#N/A</v>
      </c>
      <c r="N47" s="33" t="e">
        <f t="shared" si="2"/>
        <v>#N/A</v>
      </c>
      <c r="R47" s="161" t="e">
        <f t="shared" si="3"/>
        <v>#N/A</v>
      </c>
      <c r="S47" s="33" t="e">
        <f t="shared" si="4"/>
        <v>#N/A</v>
      </c>
    </row>
    <row r="48" spans="12:19" x14ac:dyDescent="0.25">
      <c r="L48" s="7" t="e">
        <f>VLOOKUP(A48,'3121% SY'!A:M,'3121% SY'!$M$1,FALSE)</f>
        <v>#N/A</v>
      </c>
      <c r="M48" s="161" t="e">
        <f t="shared" si="1"/>
        <v>#N/A</v>
      </c>
      <c r="N48" s="33" t="e">
        <f t="shared" si="2"/>
        <v>#N/A</v>
      </c>
      <c r="R48" s="161" t="e">
        <f t="shared" si="3"/>
        <v>#N/A</v>
      </c>
      <c r="S48" s="33" t="e">
        <f t="shared" si="4"/>
        <v>#N/A</v>
      </c>
    </row>
    <row r="49" spans="12:19" x14ac:dyDescent="0.25">
      <c r="L49" s="7" t="e">
        <f>VLOOKUP(A49,'3121% SY'!A:M,'3121% SY'!$M$1,FALSE)</f>
        <v>#N/A</v>
      </c>
      <c r="M49" s="161" t="e">
        <f t="shared" si="1"/>
        <v>#N/A</v>
      </c>
      <c r="N49" s="33" t="e">
        <f t="shared" si="2"/>
        <v>#N/A</v>
      </c>
      <c r="R49" s="161" t="e">
        <f t="shared" si="3"/>
        <v>#N/A</v>
      </c>
      <c r="S49" s="33" t="e">
        <f t="shared" si="4"/>
        <v>#N/A</v>
      </c>
    </row>
    <row r="50" spans="12:19" x14ac:dyDescent="0.25">
      <c r="L50" s="7" t="e">
        <f>VLOOKUP(A50,'3121% SY'!A:M,'3121% SY'!$M$1,FALSE)</f>
        <v>#N/A</v>
      </c>
      <c r="M50" s="161" t="e">
        <f t="shared" si="1"/>
        <v>#N/A</v>
      </c>
      <c r="N50" s="33" t="e">
        <f t="shared" si="2"/>
        <v>#N/A</v>
      </c>
      <c r="R50" s="161" t="e">
        <f t="shared" si="3"/>
        <v>#N/A</v>
      </c>
      <c r="S50" s="33" t="e">
        <f t="shared" si="4"/>
        <v>#N/A</v>
      </c>
    </row>
    <row r="51" spans="12:19" x14ac:dyDescent="0.25">
      <c r="L51" s="7" t="e">
        <f>VLOOKUP(A51,'3121% SY'!A:M,'3121% SY'!$M$1,FALSE)</f>
        <v>#N/A</v>
      </c>
      <c r="M51" s="161" t="e">
        <f t="shared" si="1"/>
        <v>#N/A</v>
      </c>
      <c r="N51" s="33" t="e">
        <f t="shared" si="2"/>
        <v>#N/A</v>
      </c>
      <c r="R51" s="161" t="e">
        <f t="shared" si="3"/>
        <v>#N/A</v>
      </c>
      <c r="S51" s="33" t="e">
        <f t="shared" si="4"/>
        <v>#N/A</v>
      </c>
    </row>
    <row r="52" spans="12:19" x14ac:dyDescent="0.25">
      <c r="L52" s="7" t="e">
        <f>VLOOKUP(A52,'3121% SY'!A:M,'3121% SY'!$M$1,FALSE)</f>
        <v>#N/A</v>
      </c>
      <c r="M52" s="161" t="e">
        <f t="shared" si="1"/>
        <v>#N/A</v>
      </c>
      <c r="N52" s="33" t="e">
        <f t="shared" si="2"/>
        <v>#N/A</v>
      </c>
      <c r="R52" s="161" t="e">
        <f t="shared" si="3"/>
        <v>#N/A</v>
      </c>
      <c r="S52" s="33" t="e">
        <f t="shared" si="4"/>
        <v>#N/A</v>
      </c>
    </row>
    <row r="53" spans="12:19" x14ac:dyDescent="0.25">
      <c r="L53" s="7" t="e">
        <f>VLOOKUP(A53,'3121% SY'!A:M,'3121% SY'!$M$1,FALSE)</f>
        <v>#N/A</v>
      </c>
      <c r="M53" s="161" t="e">
        <f t="shared" si="1"/>
        <v>#N/A</v>
      </c>
      <c r="N53" s="33" t="e">
        <f t="shared" si="2"/>
        <v>#N/A</v>
      </c>
      <c r="R53" s="161" t="e">
        <f t="shared" si="3"/>
        <v>#N/A</v>
      </c>
      <c r="S53" s="33" t="e">
        <f t="shared" si="4"/>
        <v>#N/A</v>
      </c>
    </row>
    <row r="54" spans="12:19" x14ac:dyDescent="0.25">
      <c r="L54" s="7" t="e">
        <f>VLOOKUP(A54,'3121% SY'!A:M,'3121% SY'!$M$1,FALSE)</f>
        <v>#N/A</v>
      </c>
      <c r="M54" s="161" t="e">
        <f t="shared" si="1"/>
        <v>#N/A</v>
      </c>
      <c r="N54" s="33" t="e">
        <f t="shared" si="2"/>
        <v>#N/A</v>
      </c>
      <c r="R54" s="161" t="e">
        <f t="shared" si="3"/>
        <v>#N/A</v>
      </c>
      <c r="S54" s="33" t="e">
        <f t="shared" si="4"/>
        <v>#N/A</v>
      </c>
    </row>
    <row r="55" spans="12:19" x14ac:dyDescent="0.25">
      <c r="L55" s="7" t="e">
        <f>VLOOKUP(A55,'3121% SY'!A:M,'3121% SY'!$M$1,FALSE)</f>
        <v>#N/A</v>
      </c>
      <c r="M55" s="161" t="e">
        <f t="shared" si="1"/>
        <v>#N/A</v>
      </c>
      <c r="N55" s="33" t="e">
        <f t="shared" si="2"/>
        <v>#N/A</v>
      </c>
      <c r="R55" s="161" t="e">
        <f t="shared" si="3"/>
        <v>#N/A</v>
      </c>
      <c r="S55" s="33" t="e">
        <f t="shared" si="4"/>
        <v>#N/A</v>
      </c>
    </row>
    <row r="56" spans="12:19" x14ac:dyDescent="0.25">
      <c r="L56" s="7" t="e">
        <f>VLOOKUP(A56,'3121% SY'!A:M,'3121% SY'!$M$1,FALSE)</f>
        <v>#N/A</v>
      </c>
      <c r="M56" s="161" t="e">
        <f t="shared" si="1"/>
        <v>#N/A</v>
      </c>
      <c r="N56" s="33" t="e">
        <f t="shared" si="2"/>
        <v>#N/A</v>
      </c>
      <c r="R56" s="161" t="e">
        <f t="shared" si="3"/>
        <v>#N/A</v>
      </c>
      <c r="S56" s="33" t="e">
        <f t="shared" si="4"/>
        <v>#N/A</v>
      </c>
    </row>
    <row r="57" spans="12:19" x14ac:dyDescent="0.25">
      <c r="L57" s="7" t="e">
        <f>VLOOKUP(A57,'3121% SY'!A:M,'3121% SY'!$M$1,FALSE)</f>
        <v>#N/A</v>
      </c>
      <c r="M57" s="161" t="e">
        <f t="shared" si="1"/>
        <v>#N/A</v>
      </c>
      <c r="N57" s="33" t="e">
        <f t="shared" si="2"/>
        <v>#N/A</v>
      </c>
      <c r="R57" s="161" t="e">
        <f t="shared" si="3"/>
        <v>#N/A</v>
      </c>
      <c r="S57" s="33" t="e">
        <f t="shared" si="4"/>
        <v>#N/A</v>
      </c>
    </row>
    <row r="58" spans="12:19" x14ac:dyDescent="0.25">
      <c r="L58" s="7" t="e">
        <f>VLOOKUP(A58,'3121% SY'!A:M,'3121% SY'!$M$1,FALSE)</f>
        <v>#N/A</v>
      </c>
      <c r="M58" s="161" t="e">
        <f t="shared" si="1"/>
        <v>#N/A</v>
      </c>
      <c r="N58" s="33" t="e">
        <f t="shared" si="2"/>
        <v>#N/A</v>
      </c>
      <c r="R58" s="161" t="e">
        <f t="shared" si="3"/>
        <v>#N/A</v>
      </c>
      <c r="S58" s="33" t="e">
        <f t="shared" si="4"/>
        <v>#N/A</v>
      </c>
    </row>
    <row r="59" spans="12:19" x14ac:dyDescent="0.25">
      <c r="L59" s="7" t="e">
        <f>VLOOKUP(A59,'3121% SY'!A:M,'3121% SY'!$M$1,FALSE)</f>
        <v>#N/A</v>
      </c>
      <c r="M59" s="161" t="e">
        <f t="shared" si="1"/>
        <v>#N/A</v>
      </c>
      <c r="N59" s="33" t="e">
        <f t="shared" si="2"/>
        <v>#N/A</v>
      </c>
      <c r="R59" s="161" t="e">
        <f t="shared" si="3"/>
        <v>#N/A</v>
      </c>
      <c r="S59" s="33" t="e">
        <f t="shared" si="4"/>
        <v>#N/A</v>
      </c>
    </row>
    <row r="60" spans="12:19" x14ac:dyDescent="0.25">
      <c r="L60" s="7" t="e">
        <f>VLOOKUP(A60,'3121% SY'!A:M,'3121% SY'!$M$1,FALSE)</f>
        <v>#N/A</v>
      </c>
      <c r="M60" s="161" t="e">
        <f t="shared" si="1"/>
        <v>#N/A</v>
      </c>
      <c r="N60" s="33" t="e">
        <f t="shared" si="2"/>
        <v>#N/A</v>
      </c>
      <c r="R60" s="161" t="e">
        <f t="shared" si="3"/>
        <v>#N/A</v>
      </c>
      <c r="S60" s="33" t="e">
        <f t="shared" si="4"/>
        <v>#N/A</v>
      </c>
    </row>
    <row r="61" spans="12:19" x14ac:dyDescent="0.25">
      <c r="L61" s="7" t="e">
        <f>VLOOKUP(A61,'3121% SY'!A:M,'3121% SY'!$M$1,FALSE)</f>
        <v>#N/A</v>
      </c>
      <c r="M61" s="161" t="e">
        <f t="shared" si="1"/>
        <v>#N/A</v>
      </c>
      <c r="N61" s="33" t="e">
        <f t="shared" si="2"/>
        <v>#N/A</v>
      </c>
      <c r="R61" s="161" t="e">
        <f t="shared" si="3"/>
        <v>#N/A</v>
      </c>
      <c r="S61" s="33" t="e">
        <f t="shared" si="4"/>
        <v>#N/A</v>
      </c>
    </row>
    <row r="62" spans="12:19" x14ac:dyDescent="0.25">
      <c r="L62" s="7" t="e">
        <f>VLOOKUP(A62,'3121% SY'!A:M,'3121% SY'!$M$1,FALSE)</f>
        <v>#N/A</v>
      </c>
      <c r="M62" s="161" t="e">
        <f t="shared" si="1"/>
        <v>#N/A</v>
      </c>
      <c r="N62" s="33" t="e">
        <f t="shared" si="2"/>
        <v>#N/A</v>
      </c>
      <c r="R62" s="161" t="e">
        <f t="shared" si="3"/>
        <v>#N/A</v>
      </c>
      <c r="S62" s="33" t="e">
        <f t="shared" si="4"/>
        <v>#N/A</v>
      </c>
    </row>
    <row r="63" spans="12:19" x14ac:dyDescent="0.25">
      <c r="L63" s="7" t="e">
        <f>VLOOKUP(A63,'3121% SY'!A:M,'3121% SY'!$M$1,FALSE)</f>
        <v>#N/A</v>
      </c>
      <c r="M63" s="161" t="e">
        <f t="shared" si="1"/>
        <v>#N/A</v>
      </c>
      <c r="N63" s="33" t="e">
        <f t="shared" si="2"/>
        <v>#N/A</v>
      </c>
      <c r="R63" s="161" t="e">
        <f t="shared" si="3"/>
        <v>#N/A</v>
      </c>
      <c r="S63" s="33" t="e">
        <f t="shared" si="4"/>
        <v>#N/A</v>
      </c>
    </row>
    <row r="64" spans="12:19" x14ac:dyDescent="0.25">
      <c r="L64" s="7" t="e">
        <f>VLOOKUP(A64,'3121% SY'!A:M,'3121% SY'!$M$1,FALSE)</f>
        <v>#N/A</v>
      </c>
      <c r="M64" s="161" t="e">
        <f t="shared" si="1"/>
        <v>#N/A</v>
      </c>
      <c r="N64" s="33" t="e">
        <f t="shared" si="2"/>
        <v>#N/A</v>
      </c>
      <c r="R64" s="161" t="e">
        <f t="shared" si="3"/>
        <v>#N/A</v>
      </c>
      <c r="S64" s="33" t="e">
        <f t="shared" si="4"/>
        <v>#N/A</v>
      </c>
    </row>
    <row r="65" spans="12:19" x14ac:dyDescent="0.25">
      <c r="L65" s="7" t="e">
        <f>VLOOKUP(A65,'3121% SY'!A:M,'3121% SY'!$M$1,FALSE)</f>
        <v>#N/A</v>
      </c>
      <c r="M65" s="161" t="e">
        <f t="shared" si="1"/>
        <v>#N/A</v>
      </c>
      <c r="N65" s="33" t="e">
        <f t="shared" si="2"/>
        <v>#N/A</v>
      </c>
      <c r="R65" s="161" t="e">
        <f t="shared" si="3"/>
        <v>#N/A</v>
      </c>
      <c r="S65" s="33" t="e">
        <f t="shared" si="4"/>
        <v>#N/A</v>
      </c>
    </row>
    <row r="66" spans="12:19" x14ac:dyDescent="0.25">
      <c r="L66" s="7" t="e">
        <f>VLOOKUP(A66,'3121% SY'!A:M,'3121% SY'!$M$1,FALSE)</f>
        <v>#N/A</v>
      </c>
      <c r="M66" s="161" t="e">
        <f t="shared" si="1"/>
        <v>#N/A</v>
      </c>
      <c r="N66" s="33" t="e">
        <f t="shared" si="2"/>
        <v>#N/A</v>
      </c>
      <c r="R66" s="161" t="e">
        <f t="shared" si="3"/>
        <v>#N/A</v>
      </c>
      <c r="S66" s="33" t="e">
        <f t="shared" si="4"/>
        <v>#N/A</v>
      </c>
    </row>
    <row r="67" spans="12:19" x14ac:dyDescent="0.25">
      <c r="L67" s="7" t="e">
        <f>VLOOKUP(A67,'3121% SY'!A:M,'3121% SY'!$M$1,FALSE)</f>
        <v>#N/A</v>
      </c>
      <c r="M67" s="161" t="e">
        <f t="shared" si="1"/>
        <v>#N/A</v>
      </c>
      <c r="N67" s="33" t="e">
        <f t="shared" si="2"/>
        <v>#N/A</v>
      </c>
      <c r="R67" s="161" t="e">
        <f t="shared" si="3"/>
        <v>#N/A</v>
      </c>
      <c r="S67" s="33" t="e">
        <f t="shared" si="4"/>
        <v>#N/A</v>
      </c>
    </row>
    <row r="68" spans="12:19" x14ac:dyDescent="0.25">
      <c r="L68" s="7" t="e">
        <f>VLOOKUP(A68,'3121% SY'!A:M,'3121% SY'!$M$1,FALSE)</f>
        <v>#N/A</v>
      </c>
      <c r="M68" s="161" t="e">
        <f t="shared" si="1"/>
        <v>#N/A</v>
      </c>
      <c r="N68" s="33" t="e">
        <f t="shared" si="2"/>
        <v>#N/A</v>
      </c>
      <c r="R68" s="161" t="e">
        <f t="shared" si="3"/>
        <v>#N/A</v>
      </c>
      <c r="S68" s="33" t="e">
        <f t="shared" si="4"/>
        <v>#N/A</v>
      </c>
    </row>
    <row r="69" spans="12:19" x14ac:dyDescent="0.25">
      <c r="L69" s="7" t="e">
        <f>VLOOKUP(A69,'3121% SY'!A:M,'3121% SY'!$M$1,FALSE)</f>
        <v>#N/A</v>
      </c>
      <c r="M69" s="161" t="e">
        <f t="shared" ref="M69:M131" si="5">ROUND(I69*$L69,3)+ROUND(J69*$L69,3)++ROUND(K69*$L69,3)</f>
        <v>#N/A</v>
      </c>
      <c r="N69" s="33" t="e">
        <f t="shared" ref="N69:N131" si="6">SUM(M69,B69:H69)</f>
        <v>#N/A</v>
      </c>
      <c r="R69" s="161" t="e">
        <f t="shared" ref="R69:R122" si="7">ROUND(Q69*$L69,3)</f>
        <v>#N/A</v>
      </c>
      <c r="S69" s="33" t="e">
        <f t="shared" ref="S69:S122" si="8">SUM(R69,O69:P69)</f>
        <v>#N/A</v>
      </c>
    </row>
    <row r="70" spans="12:19" x14ac:dyDescent="0.25">
      <c r="L70" s="7" t="e">
        <f>VLOOKUP(A70,'3121% SY'!A:M,'3121% SY'!$M$1,FALSE)</f>
        <v>#N/A</v>
      </c>
      <c r="M70" s="161" t="e">
        <f t="shared" si="5"/>
        <v>#N/A</v>
      </c>
      <c r="N70" s="33" t="e">
        <f t="shared" si="6"/>
        <v>#N/A</v>
      </c>
      <c r="R70" s="161" t="e">
        <f t="shared" si="7"/>
        <v>#N/A</v>
      </c>
      <c r="S70" s="33" t="e">
        <f t="shared" si="8"/>
        <v>#N/A</v>
      </c>
    </row>
    <row r="71" spans="12:19" x14ac:dyDescent="0.25">
      <c r="L71" s="7" t="e">
        <f>VLOOKUP(A71,'3121% SY'!A:M,'3121% SY'!$M$1,FALSE)</f>
        <v>#N/A</v>
      </c>
      <c r="M71" s="161" t="e">
        <f t="shared" si="5"/>
        <v>#N/A</v>
      </c>
      <c r="N71" s="33" t="e">
        <f t="shared" si="6"/>
        <v>#N/A</v>
      </c>
      <c r="R71" s="161" t="e">
        <f t="shared" si="7"/>
        <v>#N/A</v>
      </c>
      <c r="S71" s="33" t="e">
        <f t="shared" si="8"/>
        <v>#N/A</v>
      </c>
    </row>
    <row r="72" spans="12:19" x14ac:dyDescent="0.25">
      <c r="L72" s="7" t="e">
        <f>VLOOKUP(A72,'3121% SY'!A:M,'3121% SY'!$M$1,FALSE)</f>
        <v>#N/A</v>
      </c>
      <c r="M72" s="161" t="e">
        <f t="shared" si="5"/>
        <v>#N/A</v>
      </c>
      <c r="N72" s="33" t="e">
        <f t="shared" si="6"/>
        <v>#N/A</v>
      </c>
      <c r="R72" s="161" t="e">
        <f t="shared" si="7"/>
        <v>#N/A</v>
      </c>
      <c r="S72" s="33" t="e">
        <f t="shared" si="8"/>
        <v>#N/A</v>
      </c>
    </row>
    <row r="73" spans="12:19" x14ac:dyDescent="0.25">
      <c r="L73" s="7" t="e">
        <f>VLOOKUP(A73,'3121% SY'!A:M,'3121% SY'!$M$1,FALSE)</f>
        <v>#N/A</v>
      </c>
      <c r="M73" s="161" t="e">
        <f t="shared" si="5"/>
        <v>#N/A</v>
      </c>
      <c r="N73" s="33" t="e">
        <f t="shared" si="6"/>
        <v>#N/A</v>
      </c>
      <c r="R73" s="161" t="e">
        <f t="shared" si="7"/>
        <v>#N/A</v>
      </c>
      <c r="S73" s="33" t="e">
        <f t="shared" si="8"/>
        <v>#N/A</v>
      </c>
    </row>
    <row r="74" spans="12:19" x14ac:dyDescent="0.25">
      <c r="L74" s="7" t="e">
        <f>VLOOKUP(A74,'3121% SY'!A:M,'3121% SY'!$M$1,FALSE)</f>
        <v>#N/A</v>
      </c>
      <c r="M74" s="161" t="e">
        <f t="shared" si="5"/>
        <v>#N/A</v>
      </c>
      <c r="N74" s="33" t="e">
        <f t="shared" si="6"/>
        <v>#N/A</v>
      </c>
      <c r="R74" s="161" t="e">
        <f t="shared" si="7"/>
        <v>#N/A</v>
      </c>
      <c r="S74" s="33" t="e">
        <f t="shared" si="8"/>
        <v>#N/A</v>
      </c>
    </row>
    <row r="75" spans="12:19" x14ac:dyDescent="0.25">
      <c r="L75" s="7" t="e">
        <f>VLOOKUP(A75,'3121% SY'!A:M,'3121% SY'!$M$1,FALSE)</f>
        <v>#N/A</v>
      </c>
      <c r="M75" s="161" t="e">
        <f t="shared" si="5"/>
        <v>#N/A</v>
      </c>
      <c r="N75" s="33" t="e">
        <f t="shared" si="6"/>
        <v>#N/A</v>
      </c>
      <c r="R75" s="161" t="e">
        <f t="shared" si="7"/>
        <v>#N/A</v>
      </c>
      <c r="S75" s="33" t="e">
        <f t="shared" si="8"/>
        <v>#N/A</v>
      </c>
    </row>
    <row r="76" spans="12:19" x14ac:dyDescent="0.25">
      <c r="L76" s="7" t="e">
        <f>VLOOKUP(A76,'3121% SY'!A:M,'3121% SY'!$M$1,FALSE)</f>
        <v>#N/A</v>
      </c>
      <c r="M76" s="161" t="e">
        <f t="shared" si="5"/>
        <v>#N/A</v>
      </c>
      <c r="N76" s="33" t="e">
        <f t="shared" si="6"/>
        <v>#N/A</v>
      </c>
      <c r="R76" s="161" t="e">
        <f t="shared" si="7"/>
        <v>#N/A</v>
      </c>
      <c r="S76" s="33" t="e">
        <f t="shared" si="8"/>
        <v>#N/A</v>
      </c>
    </row>
    <row r="77" spans="12:19" x14ac:dyDescent="0.25">
      <c r="L77" s="7" t="e">
        <f>VLOOKUP(A77,'3121% SY'!A:M,'3121% SY'!$M$1,FALSE)</f>
        <v>#N/A</v>
      </c>
      <c r="M77" s="161" t="e">
        <f t="shared" si="5"/>
        <v>#N/A</v>
      </c>
      <c r="N77" s="33" t="e">
        <f t="shared" si="6"/>
        <v>#N/A</v>
      </c>
      <c r="R77" s="161" t="e">
        <f t="shared" si="7"/>
        <v>#N/A</v>
      </c>
      <c r="S77" s="33" t="e">
        <f t="shared" si="8"/>
        <v>#N/A</v>
      </c>
    </row>
    <row r="78" spans="12:19" x14ac:dyDescent="0.25">
      <c r="L78" s="7" t="e">
        <f>VLOOKUP(A78,'3121% SY'!A:M,'3121% SY'!$M$1,FALSE)</f>
        <v>#N/A</v>
      </c>
      <c r="M78" s="161" t="e">
        <f t="shared" si="5"/>
        <v>#N/A</v>
      </c>
      <c r="N78" s="33" t="e">
        <f t="shared" si="6"/>
        <v>#N/A</v>
      </c>
      <c r="R78" s="161" t="e">
        <f t="shared" si="7"/>
        <v>#N/A</v>
      </c>
      <c r="S78" s="33" t="e">
        <f t="shared" si="8"/>
        <v>#N/A</v>
      </c>
    </row>
    <row r="79" spans="12:19" x14ac:dyDescent="0.25">
      <c r="L79" s="7" t="e">
        <f>VLOOKUP(A79,'3121% SY'!A:M,'3121% SY'!$M$1,FALSE)</f>
        <v>#N/A</v>
      </c>
      <c r="M79" s="161" t="e">
        <f t="shared" si="5"/>
        <v>#N/A</v>
      </c>
      <c r="N79" s="33" t="e">
        <f t="shared" si="6"/>
        <v>#N/A</v>
      </c>
      <c r="R79" s="161" t="e">
        <f t="shared" si="7"/>
        <v>#N/A</v>
      </c>
      <c r="S79" s="33" t="e">
        <f t="shared" si="8"/>
        <v>#N/A</v>
      </c>
    </row>
    <row r="80" spans="12:19" x14ac:dyDescent="0.25">
      <c r="L80" s="7" t="e">
        <f>VLOOKUP(A80,'3121% SY'!A:M,'3121% SY'!$M$1,FALSE)</f>
        <v>#N/A</v>
      </c>
      <c r="M80" s="161" t="e">
        <f t="shared" si="5"/>
        <v>#N/A</v>
      </c>
      <c r="N80" s="33" t="e">
        <f t="shared" si="6"/>
        <v>#N/A</v>
      </c>
      <c r="R80" s="161" t="e">
        <f t="shared" si="7"/>
        <v>#N/A</v>
      </c>
      <c r="S80" s="33" t="e">
        <f t="shared" si="8"/>
        <v>#N/A</v>
      </c>
    </row>
    <row r="81" spans="12:19" x14ac:dyDescent="0.25">
      <c r="L81" s="7" t="e">
        <f>VLOOKUP(A81,'3121% SY'!A:M,'3121% SY'!$M$1,FALSE)</f>
        <v>#N/A</v>
      </c>
      <c r="M81" s="161" t="e">
        <f t="shared" si="5"/>
        <v>#N/A</v>
      </c>
      <c r="N81" s="33" t="e">
        <f t="shared" si="6"/>
        <v>#N/A</v>
      </c>
      <c r="R81" s="161" t="e">
        <f t="shared" si="7"/>
        <v>#N/A</v>
      </c>
      <c r="S81" s="33" t="e">
        <f t="shared" si="8"/>
        <v>#N/A</v>
      </c>
    </row>
    <row r="82" spans="12:19" x14ac:dyDescent="0.25">
      <c r="L82" s="7" t="e">
        <f>VLOOKUP(A82,'3121% SY'!A:M,'3121% SY'!$M$1,FALSE)</f>
        <v>#N/A</v>
      </c>
      <c r="M82" s="161" t="e">
        <f t="shared" si="5"/>
        <v>#N/A</v>
      </c>
      <c r="N82" s="33" t="e">
        <f t="shared" si="6"/>
        <v>#N/A</v>
      </c>
      <c r="R82" s="161" t="e">
        <f t="shared" si="7"/>
        <v>#N/A</v>
      </c>
      <c r="S82" s="33" t="e">
        <f t="shared" si="8"/>
        <v>#N/A</v>
      </c>
    </row>
    <row r="83" spans="12:19" x14ac:dyDescent="0.25">
      <c r="L83" s="7" t="e">
        <f>VLOOKUP(A83,'3121% SY'!A:M,'3121% SY'!$M$1,FALSE)</f>
        <v>#N/A</v>
      </c>
      <c r="M83" s="161" t="e">
        <f t="shared" si="5"/>
        <v>#N/A</v>
      </c>
      <c r="N83" s="33" t="e">
        <f t="shared" si="6"/>
        <v>#N/A</v>
      </c>
      <c r="R83" s="161" t="e">
        <f t="shared" si="7"/>
        <v>#N/A</v>
      </c>
      <c r="S83" s="33" t="e">
        <f t="shared" si="8"/>
        <v>#N/A</v>
      </c>
    </row>
    <row r="84" spans="12:19" x14ac:dyDescent="0.25">
      <c r="L84" s="7" t="e">
        <f>VLOOKUP(A84,'3121% SY'!A:M,'3121% SY'!$M$1,FALSE)</f>
        <v>#N/A</v>
      </c>
      <c r="M84" s="161" t="e">
        <f t="shared" si="5"/>
        <v>#N/A</v>
      </c>
      <c r="N84" s="33" t="e">
        <f t="shared" si="6"/>
        <v>#N/A</v>
      </c>
      <c r="R84" s="161" t="e">
        <f t="shared" si="7"/>
        <v>#N/A</v>
      </c>
      <c r="S84" s="33" t="e">
        <f t="shared" si="8"/>
        <v>#N/A</v>
      </c>
    </row>
    <row r="85" spans="12:19" x14ac:dyDescent="0.25">
      <c r="L85" s="7" t="e">
        <f>VLOOKUP(A85,'3121% SY'!A:M,'3121% SY'!$M$1,FALSE)</f>
        <v>#N/A</v>
      </c>
      <c r="M85" s="161" t="e">
        <f t="shared" si="5"/>
        <v>#N/A</v>
      </c>
      <c r="N85" s="33" t="e">
        <f t="shared" si="6"/>
        <v>#N/A</v>
      </c>
      <c r="R85" s="161" t="e">
        <f t="shared" si="7"/>
        <v>#N/A</v>
      </c>
      <c r="S85" s="33" t="e">
        <f t="shared" si="8"/>
        <v>#N/A</v>
      </c>
    </row>
    <row r="86" spans="12:19" x14ac:dyDescent="0.25">
      <c r="L86" s="7" t="e">
        <f>VLOOKUP(A86,'3121% SY'!A:M,'3121% SY'!$M$1,FALSE)</f>
        <v>#N/A</v>
      </c>
      <c r="M86" s="161" t="e">
        <f t="shared" si="5"/>
        <v>#N/A</v>
      </c>
      <c r="N86" s="33" t="e">
        <f t="shared" si="6"/>
        <v>#N/A</v>
      </c>
      <c r="R86" s="161" t="e">
        <f t="shared" si="7"/>
        <v>#N/A</v>
      </c>
      <c r="S86" s="33" t="e">
        <f t="shared" si="8"/>
        <v>#N/A</v>
      </c>
    </row>
    <row r="87" spans="12:19" x14ac:dyDescent="0.25">
      <c r="L87" s="7" t="e">
        <f>VLOOKUP(A87,'3121% SY'!A:M,'3121% SY'!$M$1,FALSE)</f>
        <v>#N/A</v>
      </c>
      <c r="M87" s="161" t="e">
        <f t="shared" si="5"/>
        <v>#N/A</v>
      </c>
      <c r="N87" s="33" t="e">
        <f t="shared" si="6"/>
        <v>#N/A</v>
      </c>
      <c r="R87" s="161" t="e">
        <f t="shared" si="7"/>
        <v>#N/A</v>
      </c>
      <c r="S87" s="33" t="e">
        <f t="shared" si="8"/>
        <v>#N/A</v>
      </c>
    </row>
    <row r="88" spans="12:19" x14ac:dyDescent="0.25">
      <c r="L88" s="7" t="e">
        <f>VLOOKUP(A88,'3121% SY'!A:M,'3121% SY'!$M$1,FALSE)</f>
        <v>#N/A</v>
      </c>
      <c r="M88" s="161" t="e">
        <f t="shared" si="5"/>
        <v>#N/A</v>
      </c>
      <c r="N88" s="33" t="e">
        <f t="shared" si="6"/>
        <v>#N/A</v>
      </c>
      <c r="R88" s="161" t="e">
        <f t="shared" si="7"/>
        <v>#N/A</v>
      </c>
      <c r="S88" s="33" t="e">
        <f t="shared" si="8"/>
        <v>#N/A</v>
      </c>
    </row>
    <row r="89" spans="12:19" x14ac:dyDescent="0.25">
      <c r="L89" s="7" t="e">
        <f>VLOOKUP(A89,'3121% SY'!A:M,'3121% SY'!$M$1,FALSE)</f>
        <v>#N/A</v>
      </c>
      <c r="M89" s="161" t="e">
        <f t="shared" si="5"/>
        <v>#N/A</v>
      </c>
      <c r="N89" s="33" t="e">
        <f t="shared" si="6"/>
        <v>#N/A</v>
      </c>
      <c r="R89" s="161" t="e">
        <f t="shared" si="7"/>
        <v>#N/A</v>
      </c>
      <c r="S89" s="33" t="e">
        <f t="shared" si="8"/>
        <v>#N/A</v>
      </c>
    </row>
    <row r="90" spans="12:19" x14ac:dyDescent="0.25">
      <c r="L90" s="7" t="e">
        <f>VLOOKUP(A90,'3121% SY'!A:M,'3121% SY'!$M$1,FALSE)</f>
        <v>#N/A</v>
      </c>
      <c r="M90" s="161" t="e">
        <f t="shared" si="5"/>
        <v>#N/A</v>
      </c>
      <c r="N90" s="33" t="e">
        <f t="shared" si="6"/>
        <v>#N/A</v>
      </c>
      <c r="R90" s="161" t="e">
        <f t="shared" si="7"/>
        <v>#N/A</v>
      </c>
      <c r="S90" s="33" t="e">
        <f t="shared" si="8"/>
        <v>#N/A</v>
      </c>
    </row>
    <row r="91" spans="12:19" x14ac:dyDescent="0.25">
      <c r="L91" s="7" t="e">
        <f>VLOOKUP(A91,'3121% SY'!A:M,'3121% SY'!$M$1,FALSE)</f>
        <v>#N/A</v>
      </c>
      <c r="M91" s="161" t="e">
        <f t="shared" si="5"/>
        <v>#N/A</v>
      </c>
      <c r="N91" s="33" t="e">
        <f t="shared" si="6"/>
        <v>#N/A</v>
      </c>
      <c r="R91" s="161" t="e">
        <f t="shared" si="7"/>
        <v>#N/A</v>
      </c>
      <c r="S91" s="33" t="e">
        <f t="shared" si="8"/>
        <v>#N/A</v>
      </c>
    </row>
    <row r="92" spans="12:19" x14ac:dyDescent="0.25">
      <c r="L92" s="7" t="e">
        <f>VLOOKUP(A92,'3121% SY'!A:M,'3121% SY'!$M$1,FALSE)</f>
        <v>#N/A</v>
      </c>
      <c r="M92" s="161" t="e">
        <f t="shared" si="5"/>
        <v>#N/A</v>
      </c>
      <c r="N92" s="33" t="e">
        <f t="shared" si="6"/>
        <v>#N/A</v>
      </c>
      <c r="R92" s="161" t="e">
        <f t="shared" si="7"/>
        <v>#N/A</v>
      </c>
      <c r="S92" s="33" t="e">
        <f t="shared" si="8"/>
        <v>#N/A</v>
      </c>
    </row>
    <row r="93" spans="12:19" x14ac:dyDescent="0.25">
      <c r="L93" s="7" t="e">
        <f>VLOOKUP(A93,'3121% SY'!A:M,'3121% SY'!$M$1,FALSE)</f>
        <v>#N/A</v>
      </c>
      <c r="M93" s="161" t="e">
        <f t="shared" si="5"/>
        <v>#N/A</v>
      </c>
      <c r="N93" s="33" t="e">
        <f t="shared" si="6"/>
        <v>#N/A</v>
      </c>
      <c r="R93" s="161" t="e">
        <f t="shared" si="7"/>
        <v>#N/A</v>
      </c>
      <c r="S93" s="33" t="e">
        <f t="shared" si="8"/>
        <v>#N/A</v>
      </c>
    </row>
    <row r="94" spans="12:19" x14ac:dyDescent="0.25">
      <c r="L94" s="7" t="e">
        <f>VLOOKUP(A94,'3121% SY'!A:M,'3121% SY'!$M$1,FALSE)</f>
        <v>#N/A</v>
      </c>
      <c r="M94" s="161" t="e">
        <f t="shared" si="5"/>
        <v>#N/A</v>
      </c>
      <c r="N94" s="33" t="e">
        <f t="shared" si="6"/>
        <v>#N/A</v>
      </c>
      <c r="R94" s="161" t="e">
        <f t="shared" si="7"/>
        <v>#N/A</v>
      </c>
      <c r="S94" s="33" t="e">
        <f t="shared" si="8"/>
        <v>#N/A</v>
      </c>
    </row>
    <row r="95" spans="12:19" x14ac:dyDescent="0.25">
      <c r="L95" s="7" t="e">
        <f>VLOOKUP(A95,'3121% SY'!A:M,'3121% SY'!$M$1,FALSE)</f>
        <v>#N/A</v>
      </c>
      <c r="M95" s="161" t="e">
        <f t="shared" si="5"/>
        <v>#N/A</v>
      </c>
      <c r="N95" s="33" t="e">
        <f t="shared" si="6"/>
        <v>#N/A</v>
      </c>
      <c r="R95" s="161" t="e">
        <f t="shared" si="7"/>
        <v>#N/A</v>
      </c>
      <c r="S95" s="33" t="e">
        <f t="shared" si="8"/>
        <v>#N/A</v>
      </c>
    </row>
    <row r="96" spans="12:19" x14ac:dyDescent="0.25">
      <c r="L96" s="7" t="e">
        <f>VLOOKUP(A96,'3121% SY'!A:M,'3121% SY'!$M$1,FALSE)</f>
        <v>#N/A</v>
      </c>
      <c r="M96" s="161" t="e">
        <f t="shared" si="5"/>
        <v>#N/A</v>
      </c>
      <c r="N96" s="33" t="e">
        <f t="shared" si="6"/>
        <v>#N/A</v>
      </c>
      <c r="R96" s="161" t="e">
        <f t="shared" si="7"/>
        <v>#N/A</v>
      </c>
      <c r="S96" s="33" t="e">
        <f t="shared" si="8"/>
        <v>#N/A</v>
      </c>
    </row>
    <row r="97" spans="12:19" x14ac:dyDescent="0.25">
      <c r="L97" s="7" t="e">
        <f>VLOOKUP(A97,'3121% SY'!A:M,'3121% SY'!$M$1,FALSE)</f>
        <v>#N/A</v>
      </c>
      <c r="M97" s="161" t="e">
        <f t="shared" si="5"/>
        <v>#N/A</v>
      </c>
      <c r="N97" s="33" t="e">
        <f t="shared" si="6"/>
        <v>#N/A</v>
      </c>
      <c r="R97" s="161" t="e">
        <f t="shared" si="7"/>
        <v>#N/A</v>
      </c>
      <c r="S97" s="33" t="e">
        <f t="shared" si="8"/>
        <v>#N/A</v>
      </c>
    </row>
    <row r="98" spans="12:19" x14ac:dyDescent="0.25">
      <c r="L98" s="7" t="e">
        <f>VLOOKUP(A98,'3121% SY'!A:M,'3121% SY'!$M$1,FALSE)</f>
        <v>#N/A</v>
      </c>
      <c r="M98" s="161" t="e">
        <f t="shared" si="5"/>
        <v>#N/A</v>
      </c>
      <c r="N98" s="33" t="e">
        <f t="shared" si="6"/>
        <v>#N/A</v>
      </c>
      <c r="R98" s="161" t="e">
        <f t="shared" si="7"/>
        <v>#N/A</v>
      </c>
      <c r="S98" s="33" t="e">
        <f t="shared" si="8"/>
        <v>#N/A</v>
      </c>
    </row>
    <row r="99" spans="12:19" x14ac:dyDescent="0.25">
      <c r="L99" s="7" t="e">
        <f>VLOOKUP(A99,'3121% SY'!A:M,'3121% SY'!$M$1,FALSE)</f>
        <v>#N/A</v>
      </c>
      <c r="M99" s="161" t="e">
        <f t="shared" si="5"/>
        <v>#N/A</v>
      </c>
      <c r="N99" s="33" t="e">
        <f t="shared" si="6"/>
        <v>#N/A</v>
      </c>
      <c r="R99" s="161" t="e">
        <f t="shared" si="7"/>
        <v>#N/A</v>
      </c>
      <c r="S99" s="33" t="e">
        <f t="shared" si="8"/>
        <v>#N/A</v>
      </c>
    </row>
    <row r="100" spans="12:19" x14ac:dyDescent="0.25">
      <c r="L100" s="7" t="e">
        <f>VLOOKUP(A100,'3121% SY'!A:M,'3121% SY'!$M$1,FALSE)</f>
        <v>#N/A</v>
      </c>
      <c r="M100" s="161" t="e">
        <f t="shared" si="5"/>
        <v>#N/A</v>
      </c>
      <c r="N100" s="33" t="e">
        <f t="shared" si="6"/>
        <v>#N/A</v>
      </c>
      <c r="R100" s="161" t="e">
        <f t="shared" si="7"/>
        <v>#N/A</v>
      </c>
      <c r="S100" s="33" t="e">
        <f t="shared" si="8"/>
        <v>#N/A</v>
      </c>
    </row>
    <row r="101" spans="12:19" x14ac:dyDescent="0.25">
      <c r="L101" s="7" t="e">
        <f>VLOOKUP(A101,'3121% SY'!A:M,'3121% SY'!$M$1,FALSE)</f>
        <v>#N/A</v>
      </c>
      <c r="M101" s="161" t="e">
        <f t="shared" si="5"/>
        <v>#N/A</v>
      </c>
      <c r="N101" s="33" t="e">
        <f t="shared" si="6"/>
        <v>#N/A</v>
      </c>
      <c r="R101" s="161" t="e">
        <f t="shared" si="7"/>
        <v>#N/A</v>
      </c>
      <c r="S101" s="33" t="e">
        <f t="shared" si="8"/>
        <v>#N/A</v>
      </c>
    </row>
    <row r="102" spans="12:19" x14ac:dyDescent="0.25">
      <c r="L102" s="7" t="e">
        <f>VLOOKUP(A102,'3121% SY'!A:M,'3121% SY'!$M$1,FALSE)</f>
        <v>#N/A</v>
      </c>
      <c r="M102" s="161" t="e">
        <f t="shared" si="5"/>
        <v>#N/A</v>
      </c>
      <c r="N102" s="33" t="e">
        <f t="shared" si="6"/>
        <v>#N/A</v>
      </c>
      <c r="R102" s="161" t="e">
        <f t="shared" si="7"/>
        <v>#N/A</v>
      </c>
      <c r="S102" s="33" t="e">
        <f t="shared" si="8"/>
        <v>#N/A</v>
      </c>
    </row>
    <row r="103" spans="12:19" x14ac:dyDescent="0.25">
      <c r="L103" s="7" t="e">
        <f>VLOOKUP(A103,'3121% SY'!A:M,'3121% SY'!$M$1,FALSE)</f>
        <v>#N/A</v>
      </c>
      <c r="M103" s="161" t="e">
        <f t="shared" si="5"/>
        <v>#N/A</v>
      </c>
      <c r="N103" s="33" t="e">
        <f t="shared" si="6"/>
        <v>#N/A</v>
      </c>
      <c r="R103" s="161" t="e">
        <f t="shared" si="7"/>
        <v>#N/A</v>
      </c>
      <c r="S103" s="33" t="e">
        <f t="shared" si="8"/>
        <v>#N/A</v>
      </c>
    </row>
    <row r="104" spans="12:19" x14ac:dyDescent="0.25">
      <c r="L104" s="7" t="e">
        <f>VLOOKUP(A104,'3121% SY'!A:M,'3121% SY'!$M$1,FALSE)</f>
        <v>#N/A</v>
      </c>
      <c r="M104" s="161" t="e">
        <f t="shared" si="5"/>
        <v>#N/A</v>
      </c>
      <c r="N104" s="33" t="e">
        <f t="shared" si="6"/>
        <v>#N/A</v>
      </c>
      <c r="R104" s="161" t="e">
        <f t="shared" si="7"/>
        <v>#N/A</v>
      </c>
      <c r="S104" s="33" t="e">
        <f t="shared" si="8"/>
        <v>#N/A</v>
      </c>
    </row>
    <row r="105" spans="12:19" x14ac:dyDescent="0.25">
      <c r="L105" s="7" t="e">
        <f>VLOOKUP(A105,'3121% SY'!A:M,'3121% SY'!$M$1,FALSE)</f>
        <v>#N/A</v>
      </c>
      <c r="M105" s="161" t="e">
        <f t="shared" si="5"/>
        <v>#N/A</v>
      </c>
      <c r="N105" s="33" t="e">
        <f t="shared" si="6"/>
        <v>#N/A</v>
      </c>
      <c r="R105" s="161" t="e">
        <f t="shared" si="7"/>
        <v>#N/A</v>
      </c>
      <c r="S105" s="33" t="e">
        <f t="shared" si="8"/>
        <v>#N/A</v>
      </c>
    </row>
    <row r="106" spans="12:19" x14ac:dyDescent="0.25">
      <c r="L106" s="7" t="e">
        <f>VLOOKUP(A106,'3121% SY'!A:M,'3121% SY'!$M$1,FALSE)</f>
        <v>#N/A</v>
      </c>
      <c r="M106" s="161" t="e">
        <f t="shared" si="5"/>
        <v>#N/A</v>
      </c>
      <c r="N106" s="33" t="e">
        <f t="shared" si="6"/>
        <v>#N/A</v>
      </c>
      <c r="R106" s="161" t="e">
        <f t="shared" si="7"/>
        <v>#N/A</v>
      </c>
      <c r="S106" s="33" t="e">
        <f t="shared" si="8"/>
        <v>#N/A</v>
      </c>
    </row>
    <row r="107" spans="12:19" x14ac:dyDescent="0.25">
      <c r="L107" s="7" t="e">
        <f>VLOOKUP(A107,'3121% SY'!A:M,'3121% SY'!$M$1,FALSE)</f>
        <v>#N/A</v>
      </c>
      <c r="M107" s="161" t="e">
        <f t="shared" si="5"/>
        <v>#N/A</v>
      </c>
      <c r="N107" s="33" t="e">
        <f t="shared" si="6"/>
        <v>#N/A</v>
      </c>
      <c r="R107" s="161" t="e">
        <f t="shared" si="7"/>
        <v>#N/A</v>
      </c>
      <c r="S107" s="33" t="e">
        <f t="shared" si="8"/>
        <v>#N/A</v>
      </c>
    </row>
    <row r="108" spans="12:19" x14ac:dyDescent="0.25">
      <c r="L108" s="7" t="e">
        <f>VLOOKUP(A108,'3121% SY'!A:M,'3121% SY'!$M$1,FALSE)</f>
        <v>#N/A</v>
      </c>
      <c r="M108" s="161" t="e">
        <f t="shared" si="5"/>
        <v>#N/A</v>
      </c>
      <c r="N108" s="33" t="e">
        <f t="shared" si="6"/>
        <v>#N/A</v>
      </c>
      <c r="R108" s="161" t="e">
        <f t="shared" si="7"/>
        <v>#N/A</v>
      </c>
      <c r="S108" s="33" t="e">
        <f t="shared" si="8"/>
        <v>#N/A</v>
      </c>
    </row>
    <row r="109" spans="12:19" x14ac:dyDescent="0.25">
      <c r="L109" s="7" t="e">
        <f>VLOOKUP(A109,'3121% SY'!A:M,'3121% SY'!$M$1,FALSE)</f>
        <v>#N/A</v>
      </c>
      <c r="M109" s="161" t="e">
        <f t="shared" si="5"/>
        <v>#N/A</v>
      </c>
      <c r="N109" s="33" t="e">
        <f t="shared" si="6"/>
        <v>#N/A</v>
      </c>
      <c r="R109" s="161" t="e">
        <f t="shared" si="7"/>
        <v>#N/A</v>
      </c>
      <c r="S109" s="33" t="e">
        <f t="shared" si="8"/>
        <v>#N/A</v>
      </c>
    </row>
    <row r="110" spans="12:19" x14ac:dyDescent="0.25">
      <c r="L110" s="7" t="e">
        <f>VLOOKUP(A110,'3121% SY'!A:M,'3121% SY'!$M$1,FALSE)</f>
        <v>#N/A</v>
      </c>
      <c r="M110" s="161" t="e">
        <f t="shared" si="5"/>
        <v>#N/A</v>
      </c>
      <c r="N110" s="33" t="e">
        <f t="shared" si="6"/>
        <v>#N/A</v>
      </c>
      <c r="R110" s="161" t="e">
        <f t="shared" si="7"/>
        <v>#N/A</v>
      </c>
      <c r="S110" s="33" t="e">
        <f t="shared" si="8"/>
        <v>#N/A</v>
      </c>
    </row>
    <row r="111" spans="12:19" x14ac:dyDescent="0.25">
      <c r="L111" s="7" t="e">
        <f>VLOOKUP(A111,'3121% SY'!A:M,'3121% SY'!$M$1,FALSE)</f>
        <v>#N/A</v>
      </c>
      <c r="M111" s="161" t="e">
        <f t="shared" si="5"/>
        <v>#N/A</v>
      </c>
      <c r="N111" s="33" t="e">
        <f t="shared" si="6"/>
        <v>#N/A</v>
      </c>
      <c r="R111" s="161" t="e">
        <f t="shared" si="7"/>
        <v>#N/A</v>
      </c>
      <c r="S111" s="33" t="e">
        <f t="shared" si="8"/>
        <v>#N/A</v>
      </c>
    </row>
    <row r="112" spans="12:19" x14ac:dyDescent="0.25">
      <c r="L112" s="7" t="e">
        <f>VLOOKUP(A112,'3121% SY'!A:M,'3121% SY'!$M$1,FALSE)</f>
        <v>#N/A</v>
      </c>
      <c r="M112" s="161" t="e">
        <f t="shared" si="5"/>
        <v>#N/A</v>
      </c>
      <c r="N112" s="33" t="e">
        <f t="shared" si="6"/>
        <v>#N/A</v>
      </c>
      <c r="R112" s="161" t="e">
        <f t="shared" si="7"/>
        <v>#N/A</v>
      </c>
      <c r="S112" s="33" t="e">
        <f t="shared" si="8"/>
        <v>#N/A</v>
      </c>
    </row>
    <row r="113" spans="12:19" x14ac:dyDescent="0.25">
      <c r="L113" s="7" t="e">
        <f>VLOOKUP(A113,'3121% SY'!A:M,'3121% SY'!$M$1,FALSE)</f>
        <v>#N/A</v>
      </c>
      <c r="M113" s="161" t="e">
        <f t="shared" si="5"/>
        <v>#N/A</v>
      </c>
      <c r="N113" s="33" t="e">
        <f t="shared" si="6"/>
        <v>#N/A</v>
      </c>
      <c r="R113" s="161" t="e">
        <f t="shared" si="7"/>
        <v>#N/A</v>
      </c>
      <c r="S113" s="33" t="e">
        <f t="shared" si="8"/>
        <v>#N/A</v>
      </c>
    </row>
    <row r="114" spans="12:19" x14ac:dyDescent="0.25">
      <c r="L114" s="7" t="e">
        <f>VLOOKUP(A114,'3121% SY'!A:M,'3121% SY'!$M$1,FALSE)</f>
        <v>#N/A</v>
      </c>
      <c r="M114" s="161" t="e">
        <f t="shared" si="5"/>
        <v>#N/A</v>
      </c>
      <c r="N114" s="33" t="e">
        <f t="shared" si="6"/>
        <v>#N/A</v>
      </c>
      <c r="R114" s="161" t="e">
        <f t="shared" si="7"/>
        <v>#N/A</v>
      </c>
      <c r="S114" s="33" t="e">
        <f t="shared" si="8"/>
        <v>#N/A</v>
      </c>
    </row>
    <row r="115" spans="12:19" x14ac:dyDescent="0.25">
      <c r="L115" s="7" t="e">
        <f>VLOOKUP(A115,'3121% SY'!A:M,'3121% SY'!$M$1,FALSE)</f>
        <v>#N/A</v>
      </c>
      <c r="M115" s="161" t="e">
        <f t="shared" si="5"/>
        <v>#N/A</v>
      </c>
      <c r="N115" s="33" t="e">
        <f t="shared" si="6"/>
        <v>#N/A</v>
      </c>
      <c r="R115" s="161" t="e">
        <f t="shared" si="7"/>
        <v>#N/A</v>
      </c>
      <c r="S115" s="33" t="e">
        <f t="shared" si="8"/>
        <v>#N/A</v>
      </c>
    </row>
    <row r="116" spans="12:19" x14ac:dyDescent="0.25">
      <c r="L116" s="7" t="e">
        <f>VLOOKUP(A116,'3121% SY'!A:M,'3121% SY'!$M$1,FALSE)</f>
        <v>#N/A</v>
      </c>
      <c r="M116" s="161" t="e">
        <f t="shared" si="5"/>
        <v>#N/A</v>
      </c>
      <c r="N116" s="33" t="e">
        <f t="shared" si="6"/>
        <v>#N/A</v>
      </c>
      <c r="R116" s="161" t="e">
        <f t="shared" si="7"/>
        <v>#N/A</v>
      </c>
      <c r="S116" s="33" t="e">
        <f t="shared" si="8"/>
        <v>#N/A</v>
      </c>
    </row>
    <row r="117" spans="12:19" x14ac:dyDescent="0.25">
      <c r="L117" s="7" t="e">
        <f>VLOOKUP(A117,'3121% SY'!A:M,'3121% SY'!$M$1,FALSE)</f>
        <v>#N/A</v>
      </c>
      <c r="M117" s="161" t="e">
        <f t="shared" si="5"/>
        <v>#N/A</v>
      </c>
      <c r="N117" s="33" t="e">
        <f t="shared" si="6"/>
        <v>#N/A</v>
      </c>
      <c r="R117" s="161" t="e">
        <f t="shared" si="7"/>
        <v>#N/A</v>
      </c>
      <c r="S117" s="33" t="e">
        <f t="shared" si="8"/>
        <v>#N/A</v>
      </c>
    </row>
    <row r="118" spans="12:19" x14ac:dyDescent="0.25">
      <c r="L118" s="7" t="e">
        <f>VLOOKUP(A118,'3121% SY'!A:M,'3121% SY'!$M$1,FALSE)</f>
        <v>#N/A</v>
      </c>
      <c r="M118" s="161" t="e">
        <f t="shared" si="5"/>
        <v>#N/A</v>
      </c>
      <c r="N118" s="33" t="e">
        <f t="shared" si="6"/>
        <v>#N/A</v>
      </c>
      <c r="R118" s="161" t="e">
        <f t="shared" si="7"/>
        <v>#N/A</v>
      </c>
      <c r="S118" s="33" t="e">
        <f t="shared" si="8"/>
        <v>#N/A</v>
      </c>
    </row>
    <row r="119" spans="12:19" x14ac:dyDescent="0.25">
      <c r="L119" s="7" t="e">
        <f>VLOOKUP(A119,'3121% SY'!A:M,'3121% SY'!$M$1,FALSE)</f>
        <v>#N/A</v>
      </c>
      <c r="M119" s="161" t="e">
        <f t="shared" si="5"/>
        <v>#N/A</v>
      </c>
      <c r="N119" s="33" t="e">
        <f t="shared" si="6"/>
        <v>#N/A</v>
      </c>
      <c r="R119" s="161" t="e">
        <f t="shared" si="7"/>
        <v>#N/A</v>
      </c>
      <c r="S119" s="33" t="e">
        <f t="shared" si="8"/>
        <v>#N/A</v>
      </c>
    </row>
    <row r="120" spans="12:19" x14ac:dyDescent="0.25">
      <c r="L120" s="7" t="e">
        <f>VLOOKUP(A120,'3121% SY'!A:M,'3121% SY'!$M$1,FALSE)</f>
        <v>#N/A</v>
      </c>
      <c r="M120" s="161" t="e">
        <f t="shared" si="5"/>
        <v>#N/A</v>
      </c>
      <c r="N120" s="33" t="e">
        <f t="shared" si="6"/>
        <v>#N/A</v>
      </c>
      <c r="R120" s="161" t="e">
        <f t="shared" si="7"/>
        <v>#N/A</v>
      </c>
      <c r="S120" s="33" t="e">
        <f t="shared" si="8"/>
        <v>#N/A</v>
      </c>
    </row>
    <row r="121" spans="12:19" x14ac:dyDescent="0.25">
      <c r="L121" s="7" t="e">
        <f>VLOOKUP(A121,'3121% SY'!A:M,'3121% SY'!$M$1,FALSE)</f>
        <v>#N/A</v>
      </c>
      <c r="M121" s="161" t="e">
        <f t="shared" si="5"/>
        <v>#N/A</v>
      </c>
      <c r="N121" s="33" t="e">
        <f t="shared" si="6"/>
        <v>#N/A</v>
      </c>
      <c r="R121" s="161" t="e">
        <f t="shared" si="7"/>
        <v>#N/A</v>
      </c>
      <c r="S121" s="33" t="e">
        <f t="shared" si="8"/>
        <v>#N/A</v>
      </c>
    </row>
    <row r="122" spans="12:19" x14ac:dyDescent="0.25">
      <c r="L122" s="7" t="e">
        <f>VLOOKUP(A122,'3121% SY'!A:M,'3121% SY'!$M$1,FALSE)</f>
        <v>#N/A</v>
      </c>
      <c r="M122" s="161" t="e">
        <f t="shared" si="5"/>
        <v>#N/A</v>
      </c>
      <c r="N122" s="33" t="e">
        <f t="shared" si="6"/>
        <v>#N/A</v>
      </c>
      <c r="R122" s="161" t="e">
        <f t="shared" si="7"/>
        <v>#N/A</v>
      </c>
      <c r="S122" s="33" t="e">
        <f t="shared" si="8"/>
        <v>#N/A</v>
      </c>
    </row>
    <row r="123" spans="12:19" x14ac:dyDescent="0.25">
      <c r="L123" s="7" t="e">
        <f>VLOOKUP(A123,'3121% SY'!A:M,'3121% SY'!$M$1,FALSE)</f>
        <v>#N/A</v>
      </c>
      <c r="M123" s="161" t="e">
        <f t="shared" si="5"/>
        <v>#N/A</v>
      </c>
      <c r="N123" s="33" t="e">
        <f t="shared" si="6"/>
        <v>#N/A</v>
      </c>
      <c r="R123" s="161" t="e">
        <f t="shared" ref="R123:R131" si="9">ROUND(Q123*$L123,3)</f>
        <v>#N/A</v>
      </c>
      <c r="S123" s="33" t="e">
        <f t="shared" ref="S123:S131" si="10">SUM(R123,O123:P123)</f>
        <v>#N/A</v>
      </c>
    </row>
    <row r="124" spans="12:19" x14ac:dyDescent="0.25">
      <c r="L124" s="7" t="e">
        <f>VLOOKUP(A124,'3121% SY'!A:M,'3121% SY'!$M$1,FALSE)</f>
        <v>#N/A</v>
      </c>
      <c r="M124" s="161" t="e">
        <f t="shared" si="5"/>
        <v>#N/A</v>
      </c>
      <c r="N124" s="33" t="e">
        <f t="shared" si="6"/>
        <v>#N/A</v>
      </c>
      <c r="R124" s="161" t="e">
        <f t="shared" si="9"/>
        <v>#N/A</v>
      </c>
      <c r="S124" s="33" t="e">
        <f t="shared" si="10"/>
        <v>#N/A</v>
      </c>
    </row>
    <row r="125" spans="12:19" x14ac:dyDescent="0.25">
      <c r="L125" s="7" t="e">
        <f>VLOOKUP(A125,'3121% SY'!A:M,'3121% SY'!$M$1,FALSE)</f>
        <v>#N/A</v>
      </c>
      <c r="M125" s="161" t="e">
        <f t="shared" si="5"/>
        <v>#N/A</v>
      </c>
      <c r="N125" s="33" t="e">
        <f t="shared" si="6"/>
        <v>#N/A</v>
      </c>
      <c r="R125" s="161" t="e">
        <f t="shared" si="9"/>
        <v>#N/A</v>
      </c>
      <c r="S125" s="33" t="e">
        <f t="shared" si="10"/>
        <v>#N/A</v>
      </c>
    </row>
    <row r="126" spans="12:19" x14ac:dyDescent="0.25">
      <c r="L126" s="7" t="e">
        <f>VLOOKUP(A126,'3121% SY'!A:M,'3121% SY'!$M$1,FALSE)</f>
        <v>#N/A</v>
      </c>
      <c r="M126" s="161" t="e">
        <f t="shared" si="5"/>
        <v>#N/A</v>
      </c>
      <c r="N126" s="33" t="e">
        <f t="shared" si="6"/>
        <v>#N/A</v>
      </c>
      <c r="R126" s="161" t="e">
        <f t="shared" si="9"/>
        <v>#N/A</v>
      </c>
      <c r="S126" s="33" t="e">
        <f t="shared" si="10"/>
        <v>#N/A</v>
      </c>
    </row>
    <row r="127" spans="12:19" x14ac:dyDescent="0.25">
      <c r="L127" s="7" t="e">
        <f>VLOOKUP(A127,'3121% SY'!A:M,'3121% SY'!$M$1,FALSE)</f>
        <v>#N/A</v>
      </c>
      <c r="M127" s="161" t="e">
        <f t="shared" si="5"/>
        <v>#N/A</v>
      </c>
      <c r="N127" s="33" t="e">
        <f t="shared" si="6"/>
        <v>#N/A</v>
      </c>
      <c r="R127" s="161" t="e">
        <f t="shared" si="9"/>
        <v>#N/A</v>
      </c>
      <c r="S127" s="33" t="e">
        <f t="shared" si="10"/>
        <v>#N/A</v>
      </c>
    </row>
    <row r="128" spans="12:19" x14ac:dyDescent="0.25">
      <c r="L128" s="7" t="e">
        <f>VLOOKUP(A128,'3121% SY'!A:M,'3121% SY'!$M$1,FALSE)</f>
        <v>#N/A</v>
      </c>
      <c r="M128" s="161" t="e">
        <f t="shared" si="5"/>
        <v>#N/A</v>
      </c>
      <c r="N128" s="33" t="e">
        <f t="shared" si="6"/>
        <v>#N/A</v>
      </c>
      <c r="R128" s="161" t="e">
        <f t="shared" si="9"/>
        <v>#N/A</v>
      </c>
      <c r="S128" s="33" t="e">
        <f t="shared" si="10"/>
        <v>#N/A</v>
      </c>
    </row>
    <row r="129" spans="12:19" x14ac:dyDescent="0.25">
      <c r="L129" s="7" t="e">
        <f>VLOOKUP(A129,'3121% SY'!A:M,'3121% SY'!$M$1,FALSE)</f>
        <v>#N/A</v>
      </c>
      <c r="M129" s="161" t="e">
        <f t="shared" si="5"/>
        <v>#N/A</v>
      </c>
      <c r="N129" s="33" t="e">
        <f t="shared" si="6"/>
        <v>#N/A</v>
      </c>
      <c r="R129" s="161" t="e">
        <f t="shared" si="9"/>
        <v>#N/A</v>
      </c>
      <c r="S129" s="33" t="e">
        <f t="shared" si="10"/>
        <v>#N/A</v>
      </c>
    </row>
    <row r="130" spans="12:19" x14ac:dyDescent="0.25">
      <c r="L130" s="7" t="e">
        <f>VLOOKUP(A130,'3121% SY'!A:M,'3121% SY'!$M$1,FALSE)</f>
        <v>#N/A</v>
      </c>
      <c r="M130" s="161" t="e">
        <f t="shared" si="5"/>
        <v>#N/A</v>
      </c>
      <c r="N130" s="33" t="e">
        <f t="shared" si="6"/>
        <v>#N/A</v>
      </c>
      <c r="R130" s="161" t="e">
        <f t="shared" si="9"/>
        <v>#N/A</v>
      </c>
      <c r="S130" s="33" t="e">
        <f t="shared" si="10"/>
        <v>#N/A</v>
      </c>
    </row>
    <row r="131" spans="12:19" x14ac:dyDescent="0.25">
      <c r="L131" s="7" t="e">
        <f>VLOOKUP(A131,'3121% SY'!A:M,'3121% SY'!$M$1,FALSE)</f>
        <v>#N/A</v>
      </c>
      <c r="M131" s="161" t="e">
        <f t="shared" si="5"/>
        <v>#N/A</v>
      </c>
      <c r="N131" s="33" t="e">
        <f t="shared" si="6"/>
        <v>#N/A</v>
      </c>
      <c r="R131" s="161" t="e">
        <f t="shared" si="9"/>
        <v>#N/A</v>
      </c>
      <c r="S131" s="33" t="e">
        <f t="shared" si="10"/>
        <v>#N/A</v>
      </c>
    </row>
    <row r="132" spans="12:19" x14ac:dyDescent="0.25">
      <c r="L132" s="7" t="e">
        <f>VLOOKUP(A132,'3121% SY'!A:M,'3121% SY'!$M$1,FALSE)</f>
        <v>#N/A</v>
      </c>
    </row>
    <row r="133" spans="12:19" x14ac:dyDescent="0.25">
      <c r="L133" s="7" t="e">
        <f>VLOOKUP(A133,'3121% SY'!A:M,'3121% SY'!$M$1,FALSE)</f>
        <v>#N/A</v>
      </c>
    </row>
    <row r="134" spans="12:19" x14ac:dyDescent="0.25">
      <c r="L134" s="7" t="e">
        <f>VLOOKUP(A134,'3121% SY'!A:M,'3121% SY'!$M$1,FALSE)</f>
        <v>#N/A</v>
      </c>
    </row>
    <row r="135" spans="12:19" x14ac:dyDescent="0.25">
      <c r="L135" s="7" t="e">
        <f>VLOOKUP(A135,'3121% SY'!A:M,'3121% SY'!$M$1,FALSE)</f>
        <v>#N/A</v>
      </c>
    </row>
    <row r="136" spans="12:19" x14ac:dyDescent="0.25">
      <c r="L136" s="7" t="e">
        <f>VLOOKUP(A136,'3121% SY'!A:M,'3121% SY'!$M$1,FALSE)</f>
        <v>#N/A</v>
      </c>
    </row>
    <row r="137" spans="12:19" x14ac:dyDescent="0.25">
      <c r="L137" s="7" t="e">
        <f>VLOOKUP(A137,'3121% SY'!A:M,'3121% SY'!$M$1,FALSE)</f>
        <v>#N/A</v>
      </c>
    </row>
    <row r="138" spans="12:19" x14ac:dyDescent="0.25">
      <c r="L138" s="7" t="e">
        <f>VLOOKUP(A138,'3121% SY'!A:M,'3121% SY'!$M$1,FALSE)</f>
        <v>#N/A</v>
      </c>
    </row>
    <row r="139" spans="12:19" x14ac:dyDescent="0.25">
      <c r="L139" s="7" t="e">
        <f>VLOOKUP(A139,'3121% SY'!A:M,'3121% SY'!$M$1,FALSE)</f>
        <v>#N/A</v>
      </c>
    </row>
    <row r="140" spans="12:19" x14ac:dyDescent="0.25">
      <c r="L140" s="7" t="e">
        <f>VLOOKUP(A140,'3121% SY'!A:M,'3121% SY'!$M$1,FALSE)</f>
        <v>#N/A</v>
      </c>
    </row>
    <row r="141" spans="12:19" x14ac:dyDescent="0.25">
      <c r="L141" s="7" t="e">
        <f>VLOOKUP(A141,'3121% SY'!A:M,'3121% SY'!$M$1,FALSE)</f>
        <v>#N/A</v>
      </c>
    </row>
    <row r="142" spans="12:19" x14ac:dyDescent="0.25">
      <c r="L142" s="7" t="e">
        <f>VLOOKUP(A142,'3121% SY'!A:M,'3121% SY'!$M$1,FALSE)</f>
        <v>#N/A</v>
      </c>
    </row>
    <row r="143" spans="12:19" x14ac:dyDescent="0.25">
      <c r="L143" s="7" t="e">
        <f>VLOOKUP(A143,'3121% SY'!A:M,'3121% SY'!$M$1,FALSE)</f>
        <v>#N/A</v>
      </c>
    </row>
    <row r="144" spans="12:19" x14ac:dyDescent="0.25">
      <c r="L144" s="7" t="e">
        <f>VLOOKUP(A144,'3121% SY'!A:M,'3121% SY'!$M$1,FALSE)</f>
        <v>#N/A</v>
      </c>
    </row>
    <row r="145" spans="12:12" x14ac:dyDescent="0.25">
      <c r="L145" s="7" t="e">
        <f>VLOOKUP(A145,'3121% SY'!A:M,'3121% SY'!$M$1,FALSE)</f>
        <v>#N/A</v>
      </c>
    </row>
    <row r="146" spans="12:12" x14ac:dyDescent="0.25">
      <c r="L146" s="7" t="e">
        <f>VLOOKUP(A146,'3121% SY'!A:M,'3121% SY'!$M$1,FALSE)</f>
        <v>#N/A</v>
      </c>
    </row>
    <row r="147" spans="12:12" x14ac:dyDescent="0.25">
      <c r="L147" s="7" t="e">
        <f>VLOOKUP(A147,'3121% SY'!A:M,'3121% SY'!$M$1,FALSE)</f>
        <v>#N/A</v>
      </c>
    </row>
    <row r="148" spans="12:12" x14ac:dyDescent="0.25">
      <c r="L148" s="7" t="e">
        <f>VLOOKUP(A148,'3121% SY'!A:M,'3121% SY'!$M$1,FALSE)</f>
        <v>#N/A</v>
      </c>
    </row>
    <row r="149" spans="12:12" x14ac:dyDescent="0.25">
      <c r="L149" s="7" t="e">
        <f>VLOOKUP(A149,'3121% SY'!A:M,'3121% SY'!$M$1,FALSE)</f>
        <v>#N/A</v>
      </c>
    </row>
    <row r="150" spans="12:12" x14ac:dyDescent="0.25">
      <c r="L150" s="7" t="e">
        <f>VLOOKUP(A150,'3121% SY'!A:M,'3121% SY'!$M$1,FALSE)</f>
        <v>#N/A</v>
      </c>
    </row>
    <row r="151" spans="12:12" x14ac:dyDescent="0.25">
      <c r="L151" s="7" t="e">
        <f>VLOOKUP(A151,'3121% SY'!A:M,'3121% SY'!$M$1,FALSE)</f>
        <v>#N/A</v>
      </c>
    </row>
  </sheetData>
  <mergeCells count="1">
    <mergeCell ref="B2:H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81139-6CB1-4A65-8E59-0B34CF092D4E}">
  <sheetPr codeName="Sheet40"/>
  <dimension ref="A1:T151"/>
  <sheetViews>
    <sheetView workbookViewId="0">
      <selection activeCell="L4" sqref="L4:L151"/>
    </sheetView>
  </sheetViews>
  <sheetFormatPr defaultRowHeight="15" x14ac:dyDescent="0.25"/>
  <cols>
    <col min="1" max="1" width="13.140625" bestFit="1" customWidth="1"/>
    <col min="2" max="2" width="12.7109375" bestFit="1" customWidth="1"/>
    <col min="3" max="3" width="13.7109375" bestFit="1" customWidth="1"/>
    <col min="4" max="4" width="13.140625" bestFit="1" customWidth="1"/>
    <col min="5" max="6" width="14.85546875" bestFit="1" customWidth="1"/>
    <col min="7" max="7" width="15.7109375" bestFit="1" customWidth="1"/>
    <col min="8" max="8" width="15.140625" bestFit="1" customWidth="1"/>
    <col min="9" max="9" width="14.85546875" bestFit="1" customWidth="1"/>
    <col min="10" max="10" width="15.7109375" bestFit="1" customWidth="1"/>
    <col min="11" max="11" width="15.140625" bestFit="1" customWidth="1"/>
    <col min="12" max="12" width="12.7109375" bestFit="1" customWidth="1"/>
    <col min="13" max="13" width="17.42578125" bestFit="1" customWidth="1"/>
    <col min="14" max="14" width="12.7109375" bestFit="1" customWidth="1"/>
    <col min="15" max="16" width="16" bestFit="1" customWidth="1"/>
    <col min="17" max="17" width="13.5703125" bestFit="1" customWidth="1"/>
    <col min="18" max="18" width="12.7109375" bestFit="1" customWidth="1"/>
    <col min="19" max="19" width="21" bestFit="1" customWidth="1"/>
    <col min="20" max="43" width="12.7109375" bestFit="1" customWidth="1"/>
  </cols>
  <sheetData>
    <row r="1" spans="1:20" x14ac:dyDescent="0.25">
      <c r="A1" s="87">
        <f>COLUMN(A1)</f>
        <v>1</v>
      </c>
      <c r="B1" s="87">
        <f>COLUMN(B1)</f>
        <v>2</v>
      </c>
      <c r="C1" s="87">
        <f t="shared" ref="C1:S1" si="0">COLUMN(C1)</f>
        <v>3</v>
      </c>
      <c r="D1" s="87">
        <f t="shared" si="0"/>
        <v>4</v>
      </c>
      <c r="E1" s="87">
        <f t="shared" si="0"/>
        <v>5</v>
      </c>
      <c r="F1" s="87">
        <f t="shared" si="0"/>
        <v>6</v>
      </c>
      <c r="G1" s="87">
        <f t="shared" si="0"/>
        <v>7</v>
      </c>
      <c r="H1" s="87">
        <f t="shared" si="0"/>
        <v>8</v>
      </c>
      <c r="I1" s="87">
        <f t="shared" si="0"/>
        <v>9</v>
      </c>
      <c r="J1" s="87">
        <f t="shared" si="0"/>
        <v>10</v>
      </c>
      <c r="K1" s="87">
        <f t="shared" si="0"/>
        <v>11</v>
      </c>
      <c r="L1" s="87">
        <f t="shared" si="0"/>
        <v>12</v>
      </c>
      <c r="M1" s="87">
        <f t="shared" si="0"/>
        <v>13</v>
      </c>
      <c r="N1" s="87">
        <f t="shared" si="0"/>
        <v>14</v>
      </c>
      <c r="O1" s="87">
        <f t="shared" si="0"/>
        <v>15</v>
      </c>
      <c r="P1" s="87">
        <f t="shared" si="0"/>
        <v>16</v>
      </c>
      <c r="Q1" s="87">
        <f t="shared" si="0"/>
        <v>17</v>
      </c>
      <c r="R1" s="87">
        <f t="shared" si="0"/>
        <v>18</v>
      </c>
      <c r="S1" s="87">
        <f t="shared" si="0"/>
        <v>19</v>
      </c>
      <c r="T1" s="87"/>
    </row>
    <row r="2" spans="1:20" x14ac:dyDescent="0.25">
      <c r="A2">
        <f>COUNTA(A4:A131)</f>
        <v>24</v>
      </c>
      <c r="B2" s="290" t="s">
        <v>1066</v>
      </c>
      <c r="C2" s="290"/>
      <c r="D2" s="290"/>
      <c r="E2" s="290"/>
      <c r="F2" s="290"/>
      <c r="G2" s="290"/>
      <c r="H2" s="290"/>
      <c r="I2" s="156"/>
      <c r="J2" s="156"/>
      <c r="K2" s="156"/>
      <c r="N2" s="33" t="e">
        <f>SUM(N5:N150)</f>
        <v>#N/A</v>
      </c>
    </row>
    <row r="3" spans="1:20" x14ac:dyDescent="0.25">
      <c r="A3" s="91" t="s">
        <v>752</v>
      </c>
      <c r="B3" t="s">
        <v>797</v>
      </c>
      <c r="C3" t="s">
        <v>1060</v>
      </c>
      <c r="D3" t="s">
        <v>878</v>
      </c>
      <c r="E3" t="s">
        <v>1144</v>
      </c>
      <c r="F3" t="s">
        <v>810</v>
      </c>
      <c r="G3" t="s">
        <v>850</v>
      </c>
      <c r="H3" t="s">
        <v>891</v>
      </c>
      <c r="I3" t="s">
        <v>823</v>
      </c>
      <c r="J3" t="s">
        <v>862</v>
      </c>
      <c r="K3" t="s">
        <v>903</v>
      </c>
      <c r="L3" s="6">
        <v>31.21</v>
      </c>
      <c r="M3" t="str">
        <f>"SpEd Staffed "&amp;$B$2</f>
        <v>SpEd Staffed Health Svcs</v>
      </c>
      <c r="N3" s="162" t="str">
        <f>"Total "&amp;$B$2</f>
        <v>Total Health Svcs</v>
      </c>
      <c r="O3" t="s">
        <v>1062</v>
      </c>
      <c r="P3" t="s">
        <v>1063</v>
      </c>
      <c r="Q3" t="s">
        <v>1061</v>
      </c>
      <c r="R3" t="str">
        <f>"SpEd Contracted "&amp;$B$2</f>
        <v>SpEd Contracted Health Svcs</v>
      </c>
      <c r="S3" s="162" t="str">
        <f>"Total Contracted "&amp;$B$2</f>
        <v>Total Contracted Health Svcs</v>
      </c>
    </row>
    <row r="4" spans="1:20" x14ac:dyDescent="0.25">
      <c r="A4" s="88" t="s">
        <v>7</v>
      </c>
      <c r="B4">
        <v>0</v>
      </c>
      <c r="C4">
        <v>4.9000000000000002E-2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7">
        <f>VLOOKUP(A4,'3121% SY'!A:M,'3121% SY'!$M$1,FALSE)</f>
        <v>0.1179</v>
      </c>
      <c r="M4" s="161">
        <f>ROUND(I4*$L4,3)+ROUND(J4*$L4,3)++ROUND(K4*$L4,3)</f>
        <v>0</v>
      </c>
      <c r="N4" s="33">
        <f>SUM(M4,B4:H4)</f>
        <v>4.9000000000000002E-2</v>
      </c>
      <c r="R4" s="161">
        <f>ROUND(Q4*$L4,3)</f>
        <v>0</v>
      </c>
      <c r="S4" s="33">
        <f>SUM(R4,O4:P4)</f>
        <v>0</v>
      </c>
    </row>
    <row r="5" spans="1:20" x14ac:dyDescent="0.25">
      <c r="A5" s="88" t="s">
        <v>40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7">
        <f>VLOOKUP(A5,'3121% SY'!A:M,'3121% SY'!$M$1,FALSE)</f>
        <v>0.1794</v>
      </c>
      <c r="M5" s="161">
        <f t="shared" ref="M5:M68" si="1">ROUND(I5*$L5,3)+ROUND(J5*$L5,3)++ROUND(K5*$L5,3)</f>
        <v>0</v>
      </c>
      <c r="N5" s="33">
        <f t="shared" ref="N5:N68" si="2">SUM(M5,B5:H5)</f>
        <v>0</v>
      </c>
      <c r="R5" s="161">
        <f t="shared" ref="R5:R68" si="3">ROUND(Q5*$L5,3)</f>
        <v>0</v>
      </c>
      <c r="S5" s="33">
        <f t="shared" ref="S5:S68" si="4">SUM(R5,O5:P5)</f>
        <v>0</v>
      </c>
    </row>
    <row r="6" spans="1:20" x14ac:dyDescent="0.25">
      <c r="A6" s="88" t="s">
        <v>61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</v>
      </c>
      <c r="J6">
        <v>0</v>
      </c>
      <c r="K6">
        <v>0</v>
      </c>
      <c r="L6" s="7">
        <f>VLOOKUP(A6,'3121% SY'!A:M,'3121% SY'!$M$1,FALSE)</f>
        <v>0.24629999999999996</v>
      </c>
      <c r="M6" s="161">
        <f t="shared" si="1"/>
        <v>0.246</v>
      </c>
      <c r="N6" s="33">
        <f t="shared" si="2"/>
        <v>0.246</v>
      </c>
      <c r="R6" s="161">
        <f t="shared" si="3"/>
        <v>0</v>
      </c>
      <c r="S6" s="33">
        <f t="shared" si="4"/>
        <v>0</v>
      </c>
    </row>
    <row r="7" spans="1:20" x14ac:dyDescent="0.25">
      <c r="A7" s="88" t="s">
        <v>78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7">
        <f>VLOOKUP(A7,'3121% SY'!A:M,'3121% SY'!$M$1,FALSE)</f>
        <v>0.17600000000000005</v>
      </c>
      <c r="M7" s="161">
        <f t="shared" si="1"/>
        <v>0</v>
      </c>
      <c r="N7" s="33">
        <f t="shared" si="2"/>
        <v>0</v>
      </c>
      <c r="R7" s="161">
        <f t="shared" si="3"/>
        <v>0</v>
      </c>
      <c r="S7" s="33">
        <f t="shared" si="4"/>
        <v>0</v>
      </c>
    </row>
    <row r="8" spans="1:20" x14ac:dyDescent="0.25">
      <c r="A8" s="88" t="s">
        <v>84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7">
        <f>VLOOKUP(A8,'3121% SY'!A:M,'3121% SY'!$M$1,FALSE)</f>
        <v>8.9999999999999969E-2</v>
      </c>
      <c r="M8" s="161">
        <f t="shared" si="1"/>
        <v>0</v>
      </c>
      <c r="N8" s="33">
        <f t="shared" si="2"/>
        <v>0</v>
      </c>
      <c r="R8" s="161">
        <f t="shared" si="3"/>
        <v>0</v>
      </c>
      <c r="S8" s="33">
        <f t="shared" si="4"/>
        <v>0</v>
      </c>
    </row>
    <row r="9" spans="1:20" x14ac:dyDescent="0.25">
      <c r="A9" s="88" t="s">
        <v>87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7">
        <f>VLOOKUP(A9,'3121% SY'!A:M,'3121% SY'!$M$1,FALSE)</f>
        <v>0.18340000000000001</v>
      </c>
      <c r="M9" s="161">
        <f t="shared" si="1"/>
        <v>0</v>
      </c>
      <c r="N9" s="33">
        <f t="shared" si="2"/>
        <v>0</v>
      </c>
      <c r="R9" s="161">
        <f t="shared" si="3"/>
        <v>0</v>
      </c>
      <c r="S9" s="33">
        <f t="shared" si="4"/>
        <v>0</v>
      </c>
    </row>
    <row r="10" spans="1:20" x14ac:dyDescent="0.25">
      <c r="A10" s="88" t="s">
        <v>89</v>
      </c>
      <c r="B10">
        <v>0.5</v>
      </c>
      <c r="C10">
        <v>0</v>
      </c>
      <c r="D10">
        <v>0.5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7">
        <f>VLOOKUP(A10,'3121% SY'!A:M,'3121% SY'!$M$1,FALSE)</f>
        <v>0.22170000000000001</v>
      </c>
      <c r="M10" s="161">
        <f t="shared" si="1"/>
        <v>0</v>
      </c>
      <c r="N10" s="33">
        <f t="shared" si="2"/>
        <v>1</v>
      </c>
      <c r="R10" s="161">
        <f t="shared" si="3"/>
        <v>0</v>
      </c>
      <c r="S10" s="33">
        <f t="shared" si="4"/>
        <v>0</v>
      </c>
    </row>
    <row r="11" spans="1:20" x14ac:dyDescent="0.25">
      <c r="A11" s="88" t="s">
        <v>141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7">
        <f>VLOOKUP(A11,'3121% SY'!A:M,'3121% SY'!$M$1,FALSE)</f>
        <v>0.31479999999999997</v>
      </c>
      <c r="M11" s="161">
        <f t="shared" si="1"/>
        <v>0</v>
      </c>
      <c r="N11" s="33">
        <f t="shared" si="2"/>
        <v>0</v>
      </c>
      <c r="R11" s="161">
        <f t="shared" si="3"/>
        <v>0</v>
      </c>
      <c r="S11" s="33">
        <f t="shared" si="4"/>
        <v>0</v>
      </c>
    </row>
    <row r="12" spans="1:20" x14ac:dyDescent="0.25">
      <c r="A12" s="88" t="s">
        <v>145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7">
        <f>VLOOKUP(A12,'3121% SY'!A:M,'3121% SY'!$M$1,FALSE)</f>
        <v>0.28620000000000001</v>
      </c>
      <c r="M12" s="161">
        <f t="shared" si="1"/>
        <v>0</v>
      </c>
      <c r="N12" s="33">
        <f t="shared" si="2"/>
        <v>0</v>
      </c>
      <c r="R12" s="161">
        <f t="shared" si="3"/>
        <v>0</v>
      </c>
      <c r="S12" s="33">
        <f t="shared" si="4"/>
        <v>0</v>
      </c>
    </row>
    <row r="13" spans="1:20" x14ac:dyDescent="0.25">
      <c r="A13" s="88" t="s">
        <v>146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7">
        <f>VLOOKUP(A13,'3121% SY'!A:M,'3121% SY'!$M$1,FALSE)</f>
        <v>0.25719999999999998</v>
      </c>
      <c r="M13" s="161">
        <f t="shared" si="1"/>
        <v>0</v>
      </c>
      <c r="N13" s="33">
        <f t="shared" si="2"/>
        <v>0</v>
      </c>
      <c r="R13" s="161">
        <f t="shared" si="3"/>
        <v>0</v>
      </c>
      <c r="S13" s="33">
        <f t="shared" si="4"/>
        <v>0</v>
      </c>
    </row>
    <row r="14" spans="1:20" x14ac:dyDescent="0.25">
      <c r="A14" s="88" t="s">
        <v>162</v>
      </c>
      <c r="B14">
        <v>0.25</v>
      </c>
      <c r="C14">
        <v>9.2999999999999999E-2</v>
      </c>
      <c r="D14">
        <v>0.107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7">
        <f>VLOOKUP(A14,'3121% SY'!A:M,'3121% SY'!$M$1,FALSE)</f>
        <v>0.19820000000000004</v>
      </c>
      <c r="M14" s="161">
        <f t="shared" si="1"/>
        <v>0</v>
      </c>
      <c r="N14" s="33">
        <f t="shared" si="2"/>
        <v>0.44999999999999996</v>
      </c>
      <c r="R14" s="161">
        <f t="shared" si="3"/>
        <v>0</v>
      </c>
      <c r="S14" s="33">
        <f t="shared" si="4"/>
        <v>0</v>
      </c>
    </row>
    <row r="15" spans="1:20" x14ac:dyDescent="0.25">
      <c r="A15" s="88" t="s">
        <v>163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7">
        <f>VLOOKUP(A15,'3121% SY'!A:M,'3121% SY'!$M$1,FALSE)</f>
        <v>0.20989999999999998</v>
      </c>
      <c r="M15" s="161">
        <f t="shared" si="1"/>
        <v>0</v>
      </c>
      <c r="N15" s="33">
        <f t="shared" si="2"/>
        <v>0</v>
      </c>
      <c r="R15" s="161">
        <f t="shared" si="3"/>
        <v>0</v>
      </c>
      <c r="S15" s="33">
        <f t="shared" si="4"/>
        <v>0</v>
      </c>
    </row>
    <row r="16" spans="1:20" x14ac:dyDescent="0.25">
      <c r="A16" s="88" t="s">
        <v>176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7">
        <f>VLOOKUP(A16,'3121% SY'!A:M,'3121% SY'!$M$1,FALSE)</f>
        <v>0.29900000000000004</v>
      </c>
      <c r="M16" s="161">
        <f t="shared" si="1"/>
        <v>0</v>
      </c>
      <c r="N16" s="33">
        <f t="shared" si="2"/>
        <v>0</v>
      </c>
      <c r="R16" s="161">
        <f t="shared" si="3"/>
        <v>0</v>
      </c>
      <c r="S16" s="33">
        <f t="shared" si="4"/>
        <v>0</v>
      </c>
    </row>
    <row r="17" spans="1:19" x14ac:dyDescent="0.25">
      <c r="A17" s="88" t="s">
        <v>233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7">
        <f>VLOOKUP(A17,'3121% SY'!A:M,'3121% SY'!$M$1,FALSE)</f>
        <v>0.20020000000000004</v>
      </c>
      <c r="M17" s="161">
        <f t="shared" si="1"/>
        <v>0</v>
      </c>
      <c r="N17" s="33">
        <f t="shared" si="2"/>
        <v>0</v>
      </c>
      <c r="R17" s="161">
        <f t="shared" si="3"/>
        <v>0</v>
      </c>
      <c r="S17" s="33">
        <f t="shared" si="4"/>
        <v>0</v>
      </c>
    </row>
    <row r="18" spans="1:19" x14ac:dyDescent="0.25">
      <c r="A18" s="88" t="s">
        <v>250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7">
        <f>VLOOKUP(A18,'3121% SY'!A:M,'3121% SY'!$M$1,FALSE)</f>
        <v>0.15839999999999999</v>
      </c>
      <c r="M18" s="161">
        <f t="shared" si="1"/>
        <v>0</v>
      </c>
      <c r="N18" s="33">
        <f t="shared" si="2"/>
        <v>0</v>
      </c>
      <c r="R18" s="161">
        <f t="shared" si="3"/>
        <v>0</v>
      </c>
      <c r="S18" s="33">
        <f t="shared" si="4"/>
        <v>0</v>
      </c>
    </row>
    <row r="19" spans="1:19" x14ac:dyDescent="0.25">
      <c r="A19" s="88" t="s">
        <v>256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7">
        <f>VLOOKUP(A19,'3121% SY'!A:M,'3121% SY'!$M$1,FALSE)</f>
        <v>0.23140000000000005</v>
      </c>
      <c r="M19" s="161">
        <f t="shared" si="1"/>
        <v>0</v>
      </c>
      <c r="N19" s="33">
        <f t="shared" si="2"/>
        <v>0</v>
      </c>
      <c r="R19" s="161">
        <f t="shared" si="3"/>
        <v>0</v>
      </c>
      <c r="S19" s="33">
        <f t="shared" si="4"/>
        <v>0</v>
      </c>
    </row>
    <row r="20" spans="1:19" x14ac:dyDescent="0.25">
      <c r="A20" s="88" t="s">
        <v>259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7">
        <f>VLOOKUP(A20,'3121% SY'!A:M,'3121% SY'!$M$1,FALSE)</f>
        <v>0.24870000000000003</v>
      </c>
      <c r="M20" s="161">
        <f t="shared" si="1"/>
        <v>0</v>
      </c>
      <c r="N20" s="33">
        <f t="shared" si="2"/>
        <v>0</v>
      </c>
      <c r="R20" s="161">
        <f t="shared" si="3"/>
        <v>0</v>
      </c>
      <c r="S20" s="33">
        <f t="shared" si="4"/>
        <v>0</v>
      </c>
    </row>
    <row r="21" spans="1:19" x14ac:dyDescent="0.25">
      <c r="A21" s="88" t="s">
        <v>280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7">
        <f>VLOOKUP(A21,'3121% SY'!A:M,'3121% SY'!$M$1,FALSE)</f>
        <v>0.18340000000000001</v>
      </c>
      <c r="M21" s="161">
        <f t="shared" si="1"/>
        <v>0</v>
      </c>
      <c r="N21" s="33">
        <f t="shared" si="2"/>
        <v>0</v>
      </c>
      <c r="R21" s="161">
        <f t="shared" si="3"/>
        <v>0</v>
      </c>
      <c r="S21" s="33">
        <f t="shared" si="4"/>
        <v>0</v>
      </c>
    </row>
    <row r="22" spans="1:19" x14ac:dyDescent="0.25">
      <c r="A22" s="88" t="s">
        <v>284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7">
        <f>VLOOKUP(A22,'3121% SY'!A:M,'3121% SY'!$M$1,FALSE)</f>
        <v>0.14729999999999999</v>
      </c>
      <c r="M22" s="161">
        <f t="shared" si="1"/>
        <v>0</v>
      </c>
      <c r="N22" s="33">
        <f t="shared" si="2"/>
        <v>0</v>
      </c>
      <c r="R22" s="161">
        <f t="shared" si="3"/>
        <v>0</v>
      </c>
      <c r="S22" s="33">
        <f t="shared" si="4"/>
        <v>0</v>
      </c>
    </row>
    <row r="23" spans="1:19" x14ac:dyDescent="0.25">
      <c r="A23" s="88" t="s">
        <v>289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7">
        <f>VLOOKUP(A23,'3121% SY'!A:M,'3121% SY'!$M$1,FALSE)</f>
        <v>0.19010000000000005</v>
      </c>
      <c r="M23" s="161">
        <f t="shared" si="1"/>
        <v>0</v>
      </c>
      <c r="N23" s="33">
        <f t="shared" si="2"/>
        <v>0</v>
      </c>
      <c r="R23" s="161">
        <f t="shared" si="3"/>
        <v>0</v>
      </c>
      <c r="S23" s="33">
        <f t="shared" si="4"/>
        <v>0</v>
      </c>
    </row>
    <row r="24" spans="1:19" x14ac:dyDescent="0.25">
      <c r="A24" s="88" t="s">
        <v>290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7">
        <f>VLOOKUP(A24,'3121% SY'!A:M,'3121% SY'!$M$1,FALSE)</f>
        <v>0.15839999999999999</v>
      </c>
      <c r="M24" s="161">
        <f t="shared" si="1"/>
        <v>0</v>
      </c>
      <c r="N24" s="33">
        <f t="shared" si="2"/>
        <v>0</v>
      </c>
      <c r="R24" s="161">
        <f t="shared" si="3"/>
        <v>0</v>
      </c>
      <c r="S24" s="33">
        <f t="shared" si="4"/>
        <v>0</v>
      </c>
    </row>
    <row r="25" spans="1:19" x14ac:dyDescent="0.25">
      <c r="A25" s="88" t="s">
        <v>302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7">
        <f>VLOOKUP(A25,'3121% SY'!A:M,'3121% SY'!$M$1,FALSE)</f>
        <v>0.21989999999999998</v>
      </c>
      <c r="M25" s="161">
        <f t="shared" si="1"/>
        <v>0</v>
      </c>
      <c r="N25" s="33">
        <f t="shared" si="2"/>
        <v>0</v>
      </c>
      <c r="R25" s="161">
        <f t="shared" si="3"/>
        <v>0</v>
      </c>
      <c r="S25" s="33">
        <f t="shared" si="4"/>
        <v>0</v>
      </c>
    </row>
    <row r="26" spans="1:19" x14ac:dyDescent="0.25">
      <c r="A26" s="88" t="s">
        <v>1098</v>
      </c>
      <c r="L26" s="7" t="e">
        <f>VLOOKUP(A26,'3121% SY'!A:M,'3121% SY'!$M$1,FALSE)</f>
        <v>#N/A</v>
      </c>
      <c r="M26" s="161" t="e">
        <f t="shared" si="1"/>
        <v>#N/A</v>
      </c>
      <c r="N26" s="33" t="e">
        <f t="shared" si="2"/>
        <v>#N/A</v>
      </c>
      <c r="R26" s="161" t="e">
        <f t="shared" si="3"/>
        <v>#N/A</v>
      </c>
      <c r="S26" s="33" t="e">
        <f t="shared" si="4"/>
        <v>#N/A</v>
      </c>
    </row>
    <row r="27" spans="1:19" x14ac:dyDescent="0.25">
      <c r="A27" s="88" t="s">
        <v>753</v>
      </c>
      <c r="B27">
        <v>0.75</v>
      </c>
      <c r="C27">
        <v>0.14200000000000002</v>
      </c>
      <c r="D27">
        <v>0.60699999999999998</v>
      </c>
      <c r="E27">
        <v>0</v>
      </c>
      <c r="F27">
        <v>0</v>
      </c>
      <c r="G27">
        <v>0</v>
      </c>
      <c r="H27">
        <v>0</v>
      </c>
      <c r="I27">
        <v>1</v>
      </c>
      <c r="J27">
        <v>0</v>
      </c>
      <c r="K27">
        <v>0</v>
      </c>
      <c r="L27" s="7" t="e">
        <f>VLOOKUP(A27,'3121% SY'!A:M,'3121% SY'!$M$1,FALSE)</f>
        <v>#N/A</v>
      </c>
      <c r="M27" s="161" t="e">
        <f t="shared" si="1"/>
        <v>#N/A</v>
      </c>
      <c r="N27" s="33" t="e">
        <f t="shared" si="2"/>
        <v>#N/A</v>
      </c>
      <c r="R27" s="161" t="e">
        <f t="shared" si="3"/>
        <v>#N/A</v>
      </c>
      <c r="S27" s="33" t="e">
        <f t="shared" si="4"/>
        <v>#N/A</v>
      </c>
    </row>
    <row r="28" spans="1:19" x14ac:dyDescent="0.25">
      <c r="L28" s="7" t="e">
        <f>VLOOKUP(A28,'3121% SY'!A:M,'3121% SY'!$M$1,FALSE)</f>
        <v>#N/A</v>
      </c>
      <c r="M28" s="161" t="e">
        <f t="shared" si="1"/>
        <v>#N/A</v>
      </c>
      <c r="N28" s="33" t="e">
        <f t="shared" si="2"/>
        <v>#N/A</v>
      </c>
      <c r="R28" s="161" t="e">
        <f t="shared" si="3"/>
        <v>#N/A</v>
      </c>
      <c r="S28" s="33" t="e">
        <f t="shared" si="4"/>
        <v>#N/A</v>
      </c>
    </row>
    <row r="29" spans="1:19" x14ac:dyDescent="0.25">
      <c r="L29" s="7" t="e">
        <f>VLOOKUP(A29,'3121% SY'!A:M,'3121% SY'!$M$1,FALSE)</f>
        <v>#N/A</v>
      </c>
      <c r="M29" s="161" t="e">
        <f t="shared" si="1"/>
        <v>#N/A</v>
      </c>
      <c r="N29" s="33" t="e">
        <f t="shared" si="2"/>
        <v>#N/A</v>
      </c>
      <c r="R29" s="161" t="e">
        <f t="shared" si="3"/>
        <v>#N/A</v>
      </c>
      <c r="S29" s="33" t="e">
        <f t="shared" si="4"/>
        <v>#N/A</v>
      </c>
    </row>
    <row r="30" spans="1:19" x14ac:dyDescent="0.25">
      <c r="L30" s="7" t="e">
        <f>VLOOKUP(A30,'3121% SY'!A:M,'3121% SY'!$M$1,FALSE)</f>
        <v>#N/A</v>
      </c>
      <c r="M30" s="161" t="e">
        <f t="shared" si="1"/>
        <v>#N/A</v>
      </c>
      <c r="N30" s="33" t="e">
        <f t="shared" si="2"/>
        <v>#N/A</v>
      </c>
      <c r="R30" s="161" t="e">
        <f t="shared" si="3"/>
        <v>#N/A</v>
      </c>
      <c r="S30" s="33" t="e">
        <f t="shared" si="4"/>
        <v>#N/A</v>
      </c>
    </row>
    <row r="31" spans="1:19" x14ac:dyDescent="0.25">
      <c r="L31" s="7" t="e">
        <f>VLOOKUP(A31,'3121% SY'!A:M,'3121% SY'!$M$1,FALSE)</f>
        <v>#N/A</v>
      </c>
      <c r="M31" s="161" t="e">
        <f t="shared" si="1"/>
        <v>#N/A</v>
      </c>
      <c r="N31" s="33" t="e">
        <f t="shared" si="2"/>
        <v>#N/A</v>
      </c>
      <c r="R31" s="161" t="e">
        <f t="shared" si="3"/>
        <v>#N/A</v>
      </c>
      <c r="S31" s="33" t="e">
        <f t="shared" si="4"/>
        <v>#N/A</v>
      </c>
    </row>
    <row r="32" spans="1:19" x14ac:dyDescent="0.25">
      <c r="L32" s="7" t="e">
        <f>VLOOKUP(A32,'3121% SY'!A:M,'3121% SY'!$M$1,FALSE)</f>
        <v>#N/A</v>
      </c>
      <c r="M32" s="161" t="e">
        <f t="shared" si="1"/>
        <v>#N/A</v>
      </c>
      <c r="N32" s="33" t="e">
        <f t="shared" si="2"/>
        <v>#N/A</v>
      </c>
      <c r="R32" s="161" t="e">
        <f t="shared" si="3"/>
        <v>#N/A</v>
      </c>
      <c r="S32" s="33" t="e">
        <f t="shared" si="4"/>
        <v>#N/A</v>
      </c>
    </row>
    <row r="33" spans="12:19" x14ac:dyDescent="0.25">
      <c r="L33" s="7" t="e">
        <f>VLOOKUP(A33,'3121% SY'!A:M,'3121% SY'!$M$1,FALSE)</f>
        <v>#N/A</v>
      </c>
      <c r="M33" s="161" t="e">
        <f t="shared" si="1"/>
        <v>#N/A</v>
      </c>
      <c r="N33" s="33" t="e">
        <f t="shared" si="2"/>
        <v>#N/A</v>
      </c>
      <c r="R33" s="161" t="e">
        <f t="shared" si="3"/>
        <v>#N/A</v>
      </c>
      <c r="S33" s="33" t="e">
        <f t="shared" si="4"/>
        <v>#N/A</v>
      </c>
    </row>
    <row r="34" spans="12:19" x14ac:dyDescent="0.25">
      <c r="L34" s="7" t="e">
        <f>VLOOKUP(A34,'3121% SY'!A:M,'3121% SY'!$M$1,FALSE)</f>
        <v>#N/A</v>
      </c>
      <c r="M34" s="161" t="e">
        <f t="shared" si="1"/>
        <v>#N/A</v>
      </c>
      <c r="N34" s="33" t="e">
        <f t="shared" si="2"/>
        <v>#N/A</v>
      </c>
      <c r="R34" s="161" t="e">
        <f t="shared" si="3"/>
        <v>#N/A</v>
      </c>
      <c r="S34" s="33" t="e">
        <f t="shared" si="4"/>
        <v>#N/A</v>
      </c>
    </row>
    <row r="35" spans="12:19" x14ac:dyDescent="0.25">
      <c r="L35" s="7" t="e">
        <f>VLOOKUP(A35,'3121% SY'!A:M,'3121% SY'!$M$1,FALSE)</f>
        <v>#N/A</v>
      </c>
      <c r="M35" s="161" t="e">
        <f t="shared" si="1"/>
        <v>#N/A</v>
      </c>
      <c r="N35" s="33" t="e">
        <f t="shared" si="2"/>
        <v>#N/A</v>
      </c>
      <c r="R35" s="161" t="e">
        <f t="shared" si="3"/>
        <v>#N/A</v>
      </c>
      <c r="S35" s="33" t="e">
        <f t="shared" si="4"/>
        <v>#N/A</v>
      </c>
    </row>
    <row r="36" spans="12:19" x14ac:dyDescent="0.25">
      <c r="L36" s="7" t="e">
        <f>VLOOKUP(A36,'3121% SY'!A:M,'3121% SY'!$M$1,FALSE)</f>
        <v>#N/A</v>
      </c>
      <c r="M36" s="161" t="e">
        <f t="shared" si="1"/>
        <v>#N/A</v>
      </c>
      <c r="N36" s="33" t="e">
        <f t="shared" si="2"/>
        <v>#N/A</v>
      </c>
      <c r="R36" s="161" t="e">
        <f t="shared" si="3"/>
        <v>#N/A</v>
      </c>
      <c r="S36" s="33" t="e">
        <f t="shared" si="4"/>
        <v>#N/A</v>
      </c>
    </row>
    <row r="37" spans="12:19" x14ac:dyDescent="0.25">
      <c r="L37" s="7" t="e">
        <f>VLOOKUP(A37,'3121% SY'!A:M,'3121% SY'!$M$1,FALSE)</f>
        <v>#N/A</v>
      </c>
      <c r="M37" s="161" t="e">
        <f t="shared" si="1"/>
        <v>#N/A</v>
      </c>
      <c r="N37" s="33" t="e">
        <f t="shared" si="2"/>
        <v>#N/A</v>
      </c>
      <c r="R37" s="161" t="e">
        <f t="shared" si="3"/>
        <v>#N/A</v>
      </c>
      <c r="S37" s="33" t="e">
        <f t="shared" si="4"/>
        <v>#N/A</v>
      </c>
    </row>
    <row r="38" spans="12:19" x14ac:dyDescent="0.25">
      <c r="L38" s="7" t="e">
        <f>VLOOKUP(A38,'3121% SY'!A:M,'3121% SY'!$M$1,FALSE)</f>
        <v>#N/A</v>
      </c>
      <c r="M38" s="161" t="e">
        <f t="shared" si="1"/>
        <v>#N/A</v>
      </c>
      <c r="N38" s="33" t="e">
        <f t="shared" si="2"/>
        <v>#N/A</v>
      </c>
      <c r="R38" s="161" t="e">
        <f t="shared" si="3"/>
        <v>#N/A</v>
      </c>
      <c r="S38" s="33" t="e">
        <f t="shared" si="4"/>
        <v>#N/A</v>
      </c>
    </row>
    <row r="39" spans="12:19" x14ac:dyDescent="0.25">
      <c r="L39" s="7" t="e">
        <f>VLOOKUP(A39,'3121% SY'!A:M,'3121% SY'!$M$1,FALSE)</f>
        <v>#N/A</v>
      </c>
      <c r="M39" s="161" t="e">
        <f t="shared" si="1"/>
        <v>#N/A</v>
      </c>
      <c r="N39" s="33" t="e">
        <f t="shared" si="2"/>
        <v>#N/A</v>
      </c>
      <c r="R39" s="161" t="e">
        <f t="shared" si="3"/>
        <v>#N/A</v>
      </c>
      <c r="S39" s="33" t="e">
        <f t="shared" si="4"/>
        <v>#N/A</v>
      </c>
    </row>
    <row r="40" spans="12:19" x14ac:dyDescent="0.25">
      <c r="L40" s="7" t="e">
        <f>VLOOKUP(A40,'3121% SY'!A:M,'3121% SY'!$M$1,FALSE)</f>
        <v>#N/A</v>
      </c>
      <c r="M40" s="161" t="e">
        <f t="shared" si="1"/>
        <v>#N/A</v>
      </c>
      <c r="N40" s="33" t="e">
        <f t="shared" si="2"/>
        <v>#N/A</v>
      </c>
      <c r="R40" s="161" t="e">
        <f t="shared" si="3"/>
        <v>#N/A</v>
      </c>
      <c r="S40" s="33" t="e">
        <f t="shared" si="4"/>
        <v>#N/A</v>
      </c>
    </row>
    <row r="41" spans="12:19" x14ac:dyDescent="0.25">
      <c r="L41" s="7" t="e">
        <f>VLOOKUP(A41,'3121% SY'!A:M,'3121% SY'!$M$1,FALSE)</f>
        <v>#N/A</v>
      </c>
      <c r="M41" s="161" t="e">
        <f t="shared" si="1"/>
        <v>#N/A</v>
      </c>
      <c r="N41" s="33" t="e">
        <f t="shared" si="2"/>
        <v>#N/A</v>
      </c>
      <c r="R41" s="161" t="e">
        <f t="shared" si="3"/>
        <v>#N/A</v>
      </c>
      <c r="S41" s="33" t="e">
        <f t="shared" si="4"/>
        <v>#N/A</v>
      </c>
    </row>
    <row r="42" spans="12:19" x14ac:dyDescent="0.25">
      <c r="L42" s="7" t="e">
        <f>VLOOKUP(A42,'3121% SY'!A:M,'3121% SY'!$M$1,FALSE)</f>
        <v>#N/A</v>
      </c>
      <c r="M42" s="161" t="e">
        <f t="shared" si="1"/>
        <v>#N/A</v>
      </c>
      <c r="N42" s="33" t="e">
        <f t="shared" si="2"/>
        <v>#N/A</v>
      </c>
      <c r="R42" s="161" t="e">
        <f t="shared" si="3"/>
        <v>#N/A</v>
      </c>
      <c r="S42" s="33" t="e">
        <f t="shared" si="4"/>
        <v>#N/A</v>
      </c>
    </row>
    <row r="43" spans="12:19" x14ac:dyDescent="0.25">
      <c r="L43" s="7" t="e">
        <f>VLOOKUP(A43,'3121% SY'!A:M,'3121% SY'!$M$1,FALSE)</f>
        <v>#N/A</v>
      </c>
      <c r="M43" s="161" t="e">
        <f t="shared" si="1"/>
        <v>#N/A</v>
      </c>
      <c r="N43" s="33" t="e">
        <f t="shared" si="2"/>
        <v>#N/A</v>
      </c>
      <c r="R43" s="161" t="e">
        <f t="shared" si="3"/>
        <v>#N/A</v>
      </c>
      <c r="S43" s="33" t="e">
        <f t="shared" si="4"/>
        <v>#N/A</v>
      </c>
    </row>
    <row r="44" spans="12:19" x14ac:dyDescent="0.25">
      <c r="L44" s="7" t="e">
        <f>VLOOKUP(A44,'3121% SY'!A:M,'3121% SY'!$M$1,FALSE)</f>
        <v>#N/A</v>
      </c>
      <c r="M44" s="161" t="e">
        <f t="shared" si="1"/>
        <v>#N/A</v>
      </c>
      <c r="N44" s="33" t="e">
        <f t="shared" si="2"/>
        <v>#N/A</v>
      </c>
      <c r="R44" s="161" t="e">
        <f t="shared" si="3"/>
        <v>#N/A</v>
      </c>
      <c r="S44" s="33" t="e">
        <f t="shared" si="4"/>
        <v>#N/A</v>
      </c>
    </row>
    <row r="45" spans="12:19" x14ac:dyDescent="0.25">
      <c r="L45" s="7" t="e">
        <f>VLOOKUP(A45,'3121% SY'!A:M,'3121% SY'!$M$1,FALSE)</f>
        <v>#N/A</v>
      </c>
      <c r="M45" s="161" t="e">
        <f t="shared" si="1"/>
        <v>#N/A</v>
      </c>
      <c r="N45" s="33" t="e">
        <f t="shared" si="2"/>
        <v>#N/A</v>
      </c>
      <c r="R45" s="161" t="e">
        <f t="shared" si="3"/>
        <v>#N/A</v>
      </c>
      <c r="S45" s="33" t="e">
        <f t="shared" si="4"/>
        <v>#N/A</v>
      </c>
    </row>
    <row r="46" spans="12:19" x14ac:dyDescent="0.25">
      <c r="L46" s="7" t="e">
        <f>VLOOKUP(A46,'3121% SY'!A:M,'3121% SY'!$M$1,FALSE)</f>
        <v>#N/A</v>
      </c>
      <c r="M46" s="161" t="e">
        <f t="shared" si="1"/>
        <v>#N/A</v>
      </c>
      <c r="N46" s="33" t="e">
        <f t="shared" si="2"/>
        <v>#N/A</v>
      </c>
      <c r="R46" s="161" t="e">
        <f t="shared" si="3"/>
        <v>#N/A</v>
      </c>
      <c r="S46" s="33" t="e">
        <f t="shared" si="4"/>
        <v>#N/A</v>
      </c>
    </row>
    <row r="47" spans="12:19" x14ac:dyDescent="0.25">
      <c r="L47" s="7" t="e">
        <f>VLOOKUP(A47,'3121% SY'!A:M,'3121% SY'!$M$1,FALSE)</f>
        <v>#N/A</v>
      </c>
      <c r="M47" s="161" t="e">
        <f t="shared" si="1"/>
        <v>#N/A</v>
      </c>
      <c r="N47" s="33" t="e">
        <f t="shared" si="2"/>
        <v>#N/A</v>
      </c>
      <c r="R47" s="161" t="e">
        <f t="shared" si="3"/>
        <v>#N/A</v>
      </c>
      <c r="S47" s="33" t="e">
        <f t="shared" si="4"/>
        <v>#N/A</v>
      </c>
    </row>
    <row r="48" spans="12:19" x14ac:dyDescent="0.25">
      <c r="L48" s="7" t="e">
        <f>VLOOKUP(A48,'3121% SY'!A:M,'3121% SY'!$M$1,FALSE)</f>
        <v>#N/A</v>
      </c>
      <c r="M48" s="161" t="e">
        <f t="shared" si="1"/>
        <v>#N/A</v>
      </c>
      <c r="N48" s="33" t="e">
        <f t="shared" si="2"/>
        <v>#N/A</v>
      </c>
      <c r="R48" s="161" t="e">
        <f t="shared" si="3"/>
        <v>#N/A</v>
      </c>
      <c r="S48" s="33" t="e">
        <f t="shared" si="4"/>
        <v>#N/A</v>
      </c>
    </row>
    <row r="49" spans="12:19" x14ac:dyDescent="0.25">
      <c r="L49" s="7" t="e">
        <f>VLOOKUP(A49,'3121% SY'!A:M,'3121% SY'!$M$1,FALSE)</f>
        <v>#N/A</v>
      </c>
      <c r="M49" s="161" t="e">
        <f t="shared" si="1"/>
        <v>#N/A</v>
      </c>
      <c r="N49" s="33" t="e">
        <f t="shared" si="2"/>
        <v>#N/A</v>
      </c>
      <c r="R49" s="161" t="e">
        <f t="shared" si="3"/>
        <v>#N/A</v>
      </c>
      <c r="S49" s="33" t="e">
        <f t="shared" si="4"/>
        <v>#N/A</v>
      </c>
    </row>
    <row r="50" spans="12:19" x14ac:dyDescent="0.25">
      <c r="L50" s="7" t="e">
        <f>VLOOKUP(A50,'3121% SY'!A:M,'3121% SY'!$M$1,FALSE)</f>
        <v>#N/A</v>
      </c>
      <c r="M50" s="161" t="e">
        <f t="shared" si="1"/>
        <v>#N/A</v>
      </c>
      <c r="N50" s="33" t="e">
        <f t="shared" si="2"/>
        <v>#N/A</v>
      </c>
      <c r="R50" s="161" t="e">
        <f t="shared" si="3"/>
        <v>#N/A</v>
      </c>
      <c r="S50" s="33" t="e">
        <f t="shared" si="4"/>
        <v>#N/A</v>
      </c>
    </row>
    <row r="51" spans="12:19" x14ac:dyDescent="0.25">
      <c r="L51" s="7" t="e">
        <f>VLOOKUP(A51,'3121% SY'!A:M,'3121% SY'!$M$1,FALSE)</f>
        <v>#N/A</v>
      </c>
      <c r="M51" s="161" t="e">
        <f t="shared" si="1"/>
        <v>#N/A</v>
      </c>
      <c r="N51" s="33" t="e">
        <f t="shared" si="2"/>
        <v>#N/A</v>
      </c>
      <c r="R51" s="161" t="e">
        <f t="shared" si="3"/>
        <v>#N/A</v>
      </c>
      <c r="S51" s="33" t="e">
        <f t="shared" si="4"/>
        <v>#N/A</v>
      </c>
    </row>
    <row r="52" spans="12:19" x14ac:dyDescent="0.25">
      <c r="L52" s="7" t="e">
        <f>VLOOKUP(A52,'3121% SY'!A:M,'3121% SY'!$M$1,FALSE)</f>
        <v>#N/A</v>
      </c>
      <c r="M52" s="161" t="e">
        <f t="shared" si="1"/>
        <v>#N/A</v>
      </c>
      <c r="N52" s="33" t="e">
        <f t="shared" si="2"/>
        <v>#N/A</v>
      </c>
      <c r="R52" s="161" t="e">
        <f t="shared" si="3"/>
        <v>#N/A</v>
      </c>
      <c r="S52" s="33" t="e">
        <f t="shared" si="4"/>
        <v>#N/A</v>
      </c>
    </row>
    <row r="53" spans="12:19" x14ac:dyDescent="0.25">
      <c r="L53" s="7" t="e">
        <f>VLOOKUP(A53,'3121% SY'!A:M,'3121% SY'!$M$1,FALSE)</f>
        <v>#N/A</v>
      </c>
      <c r="M53" s="161" t="e">
        <f t="shared" si="1"/>
        <v>#N/A</v>
      </c>
      <c r="N53" s="33" t="e">
        <f t="shared" si="2"/>
        <v>#N/A</v>
      </c>
      <c r="R53" s="161" t="e">
        <f t="shared" si="3"/>
        <v>#N/A</v>
      </c>
      <c r="S53" s="33" t="e">
        <f t="shared" si="4"/>
        <v>#N/A</v>
      </c>
    </row>
    <row r="54" spans="12:19" x14ac:dyDescent="0.25">
      <c r="L54" s="7" t="e">
        <f>VLOOKUP(A54,'3121% SY'!A:M,'3121% SY'!$M$1,FALSE)</f>
        <v>#N/A</v>
      </c>
      <c r="M54" s="161" t="e">
        <f t="shared" si="1"/>
        <v>#N/A</v>
      </c>
      <c r="N54" s="33" t="e">
        <f t="shared" si="2"/>
        <v>#N/A</v>
      </c>
      <c r="R54" s="161" t="e">
        <f t="shared" si="3"/>
        <v>#N/A</v>
      </c>
      <c r="S54" s="33" t="e">
        <f t="shared" si="4"/>
        <v>#N/A</v>
      </c>
    </row>
    <row r="55" spans="12:19" x14ac:dyDescent="0.25">
      <c r="L55" s="7" t="e">
        <f>VLOOKUP(A55,'3121% SY'!A:M,'3121% SY'!$M$1,FALSE)</f>
        <v>#N/A</v>
      </c>
      <c r="M55" s="161" t="e">
        <f t="shared" si="1"/>
        <v>#N/A</v>
      </c>
      <c r="N55" s="33" t="e">
        <f t="shared" si="2"/>
        <v>#N/A</v>
      </c>
      <c r="R55" s="161" t="e">
        <f t="shared" si="3"/>
        <v>#N/A</v>
      </c>
      <c r="S55" s="33" t="e">
        <f t="shared" si="4"/>
        <v>#N/A</v>
      </c>
    </row>
    <row r="56" spans="12:19" x14ac:dyDescent="0.25">
      <c r="L56" s="7" t="e">
        <f>VLOOKUP(A56,'3121% SY'!A:M,'3121% SY'!$M$1,FALSE)</f>
        <v>#N/A</v>
      </c>
      <c r="M56" s="161" t="e">
        <f t="shared" si="1"/>
        <v>#N/A</v>
      </c>
      <c r="N56" s="33" t="e">
        <f t="shared" si="2"/>
        <v>#N/A</v>
      </c>
      <c r="R56" s="161" t="e">
        <f t="shared" si="3"/>
        <v>#N/A</v>
      </c>
      <c r="S56" s="33" t="e">
        <f t="shared" si="4"/>
        <v>#N/A</v>
      </c>
    </row>
    <row r="57" spans="12:19" x14ac:dyDescent="0.25">
      <c r="L57" s="7" t="e">
        <f>VLOOKUP(A57,'3121% SY'!A:M,'3121% SY'!$M$1,FALSE)</f>
        <v>#N/A</v>
      </c>
      <c r="M57" s="161" t="e">
        <f t="shared" si="1"/>
        <v>#N/A</v>
      </c>
      <c r="N57" s="33" t="e">
        <f t="shared" si="2"/>
        <v>#N/A</v>
      </c>
      <c r="R57" s="161" t="e">
        <f t="shared" si="3"/>
        <v>#N/A</v>
      </c>
      <c r="S57" s="33" t="e">
        <f t="shared" si="4"/>
        <v>#N/A</v>
      </c>
    </row>
    <row r="58" spans="12:19" x14ac:dyDescent="0.25">
      <c r="L58" s="7" t="e">
        <f>VLOOKUP(A58,'3121% SY'!A:M,'3121% SY'!$M$1,FALSE)</f>
        <v>#N/A</v>
      </c>
      <c r="M58" s="161" t="e">
        <f t="shared" si="1"/>
        <v>#N/A</v>
      </c>
      <c r="N58" s="33" t="e">
        <f t="shared" si="2"/>
        <v>#N/A</v>
      </c>
      <c r="R58" s="161" t="e">
        <f t="shared" si="3"/>
        <v>#N/A</v>
      </c>
      <c r="S58" s="33" t="e">
        <f t="shared" si="4"/>
        <v>#N/A</v>
      </c>
    </row>
    <row r="59" spans="12:19" x14ac:dyDescent="0.25">
      <c r="L59" s="7" t="e">
        <f>VLOOKUP(A59,'3121% SY'!A:M,'3121% SY'!$M$1,FALSE)</f>
        <v>#N/A</v>
      </c>
      <c r="M59" s="161" t="e">
        <f t="shared" si="1"/>
        <v>#N/A</v>
      </c>
      <c r="N59" s="33" t="e">
        <f t="shared" si="2"/>
        <v>#N/A</v>
      </c>
      <c r="R59" s="161" t="e">
        <f t="shared" si="3"/>
        <v>#N/A</v>
      </c>
      <c r="S59" s="33" t="e">
        <f t="shared" si="4"/>
        <v>#N/A</v>
      </c>
    </row>
    <row r="60" spans="12:19" x14ac:dyDescent="0.25">
      <c r="L60" s="7" t="e">
        <f>VLOOKUP(A60,'3121% SY'!A:M,'3121% SY'!$M$1,FALSE)</f>
        <v>#N/A</v>
      </c>
      <c r="M60" s="161" t="e">
        <f t="shared" si="1"/>
        <v>#N/A</v>
      </c>
      <c r="N60" s="33" t="e">
        <f t="shared" si="2"/>
        <v>#N/A</v>
      </c>
      <c r="R60" s="161" t="e">
        <f t="shared" si="3"/>
        <v>#N/A</v>
      </c>
      <c r="S60" s="33" t="e">
        <f t="shared" si="4"/>
        <v>#N/A</v>
      </c>
    </row>
    <row r="61" spans="12:19" x14ac:dyDescent="0.25">
      <c r="L61" s="7" t="e">
        <f>VLOOKUP(A61,'3121% SY'!A:M,'3121% SY'!$M$1,FALSE)</f>
        <v>#N/A</v>
      </c>
      <c r="M61" s="161" t="e">
        <f t="shared" si="1"/>
        <v>#N/A</v>
      </c>
      <c r="N61" s="33" t="e">
        <f t="shared" si="2"/>
        <v>#N/A</v>
      </c>
      <c r="R61" s="161" t="e">
        <f t="shared" si="3"/>
        <v>#N/A</v>
      </c>
      <c r="S61" s="33" t="e">
        <f t="shared" si="4"/>
        <v>#N/A</v>
      </c>
    </row>
    <row r="62" spans="12:19" x14ac:dyDescent="0.25">
      <c r="L62" s="7" t="e">
        <f>VLOOKUP(A62,'3121% SY'!A:M,'3121% SY'!$M$1,FALSE)</f>
        <v>#N/A</v>
      </c>
      <c r="M62" s="161" t="e">
        <f t="shared" si="1"/>
        <v>#N/A</v>
      </c>
      <c r="N62" s="33" t="e">
        <f t="shared" si="2"/>
        <v>#N/A</v>
      </c>
      <c r="R62" s="161" t="e">
        <f t="shared" si="3"/>
        <v>#N/A</v>
      </c>
      <c r="S62" s="33" t="e">
        <f t="shared" si="4"/>
        <v>#N/A</v>
      </c>
    </row>
    <row r="63" spans="12:19" x14ac:dyDescent="0.25">
      <c r="L63" s="7" t="e">
        <f>VLOOKUP(A63,'3121% SY'!A:M,'3121% SY'!$M$1,FALSE)</f>
        <v>#N/A</v>
      </c>
      <c r="M63" s="161" t="e">
        <f t="shared" si="1"/>
        <v>#N/A</v>
      </c>
      <c r="N63" s="33" t="e">
        <f t="shared" si="2"/>
        <v>#N/A</v>
      </c>
      <c r="R63" s="161" t="e">
        <f t="shared" si="3"/>
        <v>#N/A</v>
      </c>
      <c r="S63" s="33" t="e">
        <f t="shared" si="4"/>
        <v>#N/A</v>
      </c>
    </row>
    <row r="64" spans="12:19" x14ac:dyDescent="0.25">
      <c r="L64" s="7" t="e">
        <f>VLOOKUP(A64,'3121% SY'!A:M,'3121% SY'!$M$1,FALSE)</f>
        <v>#N/A</v>
      </c>
      <c r="M64" s="161" t="e">
        <f t="shared" si="1"/>
        <v>#N/A</v>
      </c>
      <c r="N64" s="33" t="e">
        <f t="shared" si="2"/>
        <v>#N/A</v>
      </c>
      <c r="R64" s="161" t="e">
        <f t="shared" si="3"/>
        <v>#N/A</v>
      </c>
      <c r="S64" s="33" t="e">
        <f t="shared" si="4"/>
        <v>#N/A</v>
      </c>
    </row>
    <row r="65" spans="12:19" x14ac:dyDescent="0.25">
      <c r="L65" s="7" t="e">
        <f>VLOOKUP(A65,'3121% SY'!A:M,'3121% SY'!$M$1,FALSE)</f>
        <v>#N/A</v>
      </c>
      <c r="M65" s="161" t="e">
        <f t="shared" si="1"/>
        <v>#N/A</v>
      </c>
      <c r="N65" s="33" t="e">
        <f t="shared" si="2"/>
        <v>#N/A</v>
      </c>
      <c r="R65" s="161" t="e">
        <f t="shared" si="3"/>
        <v>#N/A</v>
      </c>
      <c r="S65" s="33" t="e">
        <f t="shared" si="4"/>
        <v>#N/A</v>
      </c>
    </row>
    <row r="66" spans="12:19" x14ac:dyDescent="0.25">
      <c r="L66" s="7" t="e">
        <f>VLOOKUP(A66,'3121% SY'!A:M,'3121% SY'!$M$1,FALSE)</f>
        <v>#N/A</v>
      </c>
      <c r="M66" s="161" t="e">
        <f t="shared" si="1"/>
        <v>#N/A</v>
      </c>
      <c r="N66" s="33" t="e">
        <f t="shared" si="2"/>
        <v>#N/A</v>
      </c>
      <c r="R66" s="161" t="e">
        <f t="shared" si="3"/>
        <v>#N/A</v>
      </c>
      <c r="S66" s="33" t="e">
        <f t="shared" si="4"/>
        <v>#N/A</v>
      </c>
    </row>
    <row r="67" spans="12:19" x14ac:dyDescent="0.25">
      <c r="L67" s="7" t="e">
        <f>VLOOKUP(A67,'3121% SY'!A:M,'3121% SY'!$M$1,FALSE)</f>
        <v>#N/A</v>
      </c>
      <c r="M67" s="161" t="e">
        <f t="shared" si="1"/>
        <v>#N/A</v>
      </c>
      <c r="N67" s="33" t="e">
        <f t="shared" si="2"/>
        <v>#N/A</v>
      </c>
      <c r="R67" s="161" t="e">
        <f t="shared" si="3"/>
        <v>#N/A</v>
      </c>
      <c r="S67" s="33" t="e">
        <f t="shared" si="4"/>
        <v>#N/A</v>
      </c>
    </row>
    <row r="68" spans="12:19" x14ac:dyDescent="0.25">
      <c r="L68" s="7" t="e">
        <f>VLOOKUP(A68,'3121% SY'!A:M,'3121% SY'!$M$1,FALSE)</f>
        <v>#N/A</v>
      </c>
      <c r="M68" s="161" t="e">
        <f t="shared" si="1"/>
        <v>#N/A</v>
      </c>
      <c r="N68" s="33" t="e">
        <f t="shared" si="2"/>
        <v>#N/A</v>
      </c>
      <c r="R68" s="161" t="e">
        <f t="shared" si="3"/>
        <v>#N/A</v>
      </c>
      <c r="S68" s="33" t="e">
        <f t="shared" si="4"/>
        <v>#N/A</v>
      </c>
    </row>
    <row r="69" spans="12:19" x14ac:dyDescent="0.25">
      <c r="L69" s="7" t="e">
        <f>VLOOKUP(A69,'3121% SY'!A:M,'3121% SY'!$M$1,FALSE)</f>
        <v>#N/A</v>
      </c>
      <c r="M69" s="161" t="e">
        <f t="shared" ref="M69:M131" si="5">ROUND(I69*$L69,3)+ROUND(J69*$L69,3)++ROUND(K69*$L69,3)</f>
        <v>#N/A</v>
      </c>
      <c r="N69" s="33" t="e">
        <f t="shared" ref="N69:N131" si="6">SUM(M69,B69:H69)</f>
        <v>#N/A</v>
      </c>
      <c r="R69" s="161" t="e">
        <f t="shared" ref="R69:R122" si="7">ROUND(Q69*$L69,3)</f>
        <v>#N/A</v>
      </c>
      <c r="S69" s="33" t="e">
        <f t="shared" ref="S69:S122" si="8">SUM(R69,O69:P69)</f>
        <v>#N/A</v>
      </c>
    </row>
    <row r="70" spans="12:19" x14ac:dyDescent="0.25">
      <c r="L70" s="7" t="e">
        <f>VLOOKUP(A70,'3121% SY'!A:M,'3121% SY'!$M$1,FALSE)</f>
        <v>#N/A</v>
      </c>
      <c r="M70" s="161" t="e">
        <f t="shared" si="5"/>
        <v>#N/A</v>
      </c>
      <c r="N70" s="33" t="e">
        <f t="shared" si="6"/>
        <v>#N/A</v>
      </c>
      <c r="R70" s="161" t="e">
        <f t="shared" si="7"/>
        <v>#N/A</v>
      </c>
      <c r="S70" s="33" t="e">
        <f t="shared" si="8"/>
        <v>#N/A</v>
      </c>
    </row>
    <row r="71" spans="12:19" x14ac:dyDescent="0.25">
      <c r="L71" s="7" t="e">
        <f>VLOOKUP(A71,'3121% SY'!A:M,'3121% SY'!$M$1,FALSE)</f>
        <v>#N/A</v>
      </c>
      <c r="M71" s="161" t="e">
        <f t="shared" si="5"/>
        <v>#N/A</v>
      </c>
      <c r="N71" s="33" t="e">
        <f t="shared" si="6"/>
        <v>#N/A</v>
      </c>
      <c r="R71" s="161" t="e">
        <f t="shared" si="7"/>
        <v>#N/A</v>
      </c>
      <c r="S71" s="33" t="e">
        <f t="shared" si="8"/>
        <v>#N/A</v>
      </c>
    </row>
    <row r="72" spans="12:19" x14ac:dyDescent="0.25">
      <c r="L72" s="7" t="e">
        <f>VLOOKUP(A72,'3121% SY'!A:M,'3121% SY'!$M$1,FALSE)</f>
        <v>#N/A</v>
      </c>
      <c r="M72" s="161" t="e">
        <f t="shared" si="5"/>
        <v>#N/A</v>
      </c>
      <c r="N72" s="33" t="e">
        <f t="shared" si="6"/>
        <v>#N/A</v>
      </c>
      <c r="R72" s="161" t="e">
        <f t="shared" si="7"/>
        <v>#N/A</v>
      </c>
      <c r="S72" s="33" t="e">
        <f t="shared" si="8"/>
        <v>#N/A</v>
      </c>
    </row>
    <row r="73" spans="12:19" x14ac:dyDescent="0.25">
      <c r="L73" s="7" t="e">
        <f>VLOOKUP(A73,'3121% SY'!A:M,'3121% SY'!$M$1,FALSE)</f>
        <v>#N/A</v>
      </c>
      <c r="M73" s="161" t="e">
        <f t="shared" si="5"/>
        <v>#N/A</v>
      </c>
      <c r="N73" s="33" t="e">
        <f t="shared" si="6"/>
        <v>#N/A</v>
      </c>
      <c r="R73" s="161" t="e">
        <f t="shared" si="7"/>
        <v>#N/A</v>
      </c>
      <c r="S73" s="33" t="e">
        <f t="shared" si="8"/>
        <v>#N/A</v>
      </c>
    </row>
    <row r="74" spans="12:19" x14ac:dyDescent="0.25">
      <c r="L74" s="7" t="e">
        <f>VLOOKUP(A74,'3121% SY'!A:M,'3121% SY'!$M$1,FALSE)</f>
        <v>#N/A</v>
      </c>
      <c r="M74" s="161" t="e">
        <f t="shared" si="5"/>
        <v>#N/A</v>
      </c>
      <c r="N74" s="33" t="e">
        <f t="shared" si="6"/>
        <v>#N/A</v>
      </c>
      <c r="R74" s="161" t="e">
        <f t="shared" si="7"/>
        <v>#N/A</v>
      </c>
      <c r="S74" s="33" t="e">
        <f t="shared" si="8"/>
        <v>#N/A</v>
      </c>
    </row>
    <row r="75" spans="12:19" x14ac:dyDescent="0.25">
      <c r="L75" s="7" t="e">
        <f>VLOOKUP(A75,'3121% SY'!A:M,'3121% SY'!$M$1,FALSE)</f>
        <v>#N/A</v>
      </c>
      <c r="M75" s="161" t="e">
        <f t="shared" si="5"/>
        <v>#N/A</v>
      </c>
      <c r="N75" s="33" t="e">
        <f t="shared" si="6"/>
        <v>#N/A</v>
      </c>
      <c r="R75" s="161" t="e">
        <f t="shared" si="7"/>
        <v>#N/A</v>
      </c>
      <c r="S75" s="33" t="e">
        <f t="shared" si="8"/>
        <v>#N/A</v>
      </c>
    </row>
    <row r="76" spans="12:19" x14ac:dyDescent="0.25">
      <c r="L76" s="7" t="e">
        <f>VLOOKUP(A76,'3121% SY'!A:M,'3121% SY'!$M$1,FALSE)</f>
        <v>#N/A</v>
      </c>
      <c r="M76" s="161" t="e">
        <f t="shared" si="5"/>
        <v>#N/A</v>
      </c>
      <c r="N76" s="33" t="e">
        <f t="shared" si="6"/>
        <v>#N/A</v>
      </c>
      <c r="R76" s="161" t="e">
        <f t="shared" si="7"/>
        <v>#N/A</v>
      </c>
      <c r="S76" s="33" t="e">
        <f t="shared" si="8"/>
        <v>#N/A</v>
      </c>
    </row>
    <row r="77" spans="12:19" x14ac:dyDescent="0.25">
      <c r="L77" s="7" t="e">
        <f>VLOOKUP(A77,'3121% SY'!A:M,'3121% SY'!$M$1,FALSE)</f>
        <v>#N/A</v>
      </c>
      <c r="M77" s="161" t="e">
        <f t="shared" si="5"/>
        <v>#N/A</v>
      </c>
      <c r="N77" s="33" t="e">
        <f t="shared" si="6"/>
        <v>#N/A</v>
      </c>
      <c r="R77" s="161" t="e">
        <f t="shared" si="7"/>
        <v>#N/A</v>
      </c>
      <c r="S77" s="33" t="e">
        <f t="shared" si="8"/>
        <v>#N/A</v>
      </c>
    </row>
    <row r="78" spans="12:19" x14ac:dyDescent="0.25">
      <c r="L78" s="7" t="e">
        <f>VLOOKUP(A78,'3121% SY'!A:M,'3121% SY'!$M$1,FALSE)</f>
        <v>#N/A</v>
      </c>
      <c r="M78" s="161" t="e">
        <f t="shared" si="5"/>
        <v>#N/A</v>
      </c>
      <c r="N78" s="33" t="e">
        <f t="shared" si="6"/>
        <v>#N/A</v>
      </c>
      <c r="R78" s="161" t="e">
        <f t="shared" si="7"/>
        <v>#N/A</v>
      </c>
      <c r="S78" s="33" t="e">
        <f t="shared" si="8"/>
        <v>#N/A</v>
      </c>
    </row>
    <row r="79" spans="12:19" x14ac:dyDescent="0.25">
      <c r="L79" s="7" t="e">
        <f>VLOOKUP(A79,'3121% SY'!A:M,'3121% SY'!$M$1,FALSE)</f>
        <v>#N/A</v>
      </c>
      <c r="M79" s="161" t="e">
        <f t="shared" si="5"/>
        <v>#N/A</v>
      </c>
      <c r="N79" s="33" t="e">
        <f t="shared" si="6"/>
        <v>#N/A</v>
      </c>
      <c r="R79" s="161" t="e">
        <f t="shared" si="7"/>
        <v>#N/A</v>
      </c>
      <c r="S79" s="33" t="e">
        <f t="shared" si="8"/>
        <v>#N/A</v>
      </c>
    </row>
    <row r="80" spans="12:19" x14ac:dyDescent="0.25">
      <c r="L80" s="7" t="e">
        <f>VLOOKUP(A80,'3121% SY'!A:M,'3121% SY'!$M$1,FALSE)</f>
        <v>#N/A</v>
      </c>
      <c r="M80" s="161" t="e">
        <f t="shared" si="5"/>
        <v>#N/A</v>
      </c>
      <c r="N80" s="33" t="e">
        <f t="shared" si="6"/>
        <v>#N/A</v>
      </c>
      <c r="R80" s="161" t="e">
        <f t="shared" si="7"/>
        <v>#N/A</v>
      </c>
      <c r="S80" s="33" t="e">
        <f t="shared" si="8"/>
        <v>#N/A</v>
      </c>
    </row>
    <row r="81" spans="12:19" x14ac:dyDescent="0.25">
      <c r="L81" s="7" t="e">
        <f>VLOOKUP(A81,'3121% SY'!A:M,'3121% SY'!$M$1,FALSE)</f>
        <v>#N/A</v>
      </c>
      <c r="M81" s="161" t="e">
        <f t="shared" si="5"/>
        <v>#N/A</v>
      </c>
      <c r="N81" s="33" t="e">
        <f t="shared" si="6"/>
        <v>#N/A</v>
      </c>
      <c r="R81" s="161" t="e">
        <f t="shared" si="7"/>
        <v>#N/A</v>
      </c>
      <c r="S81" s="33" t="e">
        <f t="shared" si="8"/>
        <v>#N/A</v>
      </c>
    </row>
    <row r="82" spans="12:19" x14ac:dyDescent="0.25">
      <c r="L82" s="7" t="e">
        <f>VLOOKUP(A82,'3121% SY'!A:M,'3121% SY'!$M$1,FALSE)</f>
        <v>#N/A</v>
      </c>
      <c r="M82" s="161" t="e">
        <f t="shared" si="5"/>
        <v>#N/A</v>
      </c>
      <c r="N82" s="33" t="e">
        <f t="shared" si="6"/>
        <v>#N/A</v>
      </c>
      <c r="R82" s="161" t="e">
        <f t="shared" si="7"/>
        <v>#N/A</v>
      </c>
      <c r="S82" s="33" t="e">
        <f t="shared" si="8"/>
        <v>#N/A</v>
      </c>
    </row>
    <row r="83" spans="12:19" x14ac:dyDescent="0.25">
      <c r="L83" s="7" t="e">
        <f>VLOOKUP(A83,'3121% SY'!A:M,'3121% SY'!$M$1,FALSE)</f>
        <v>#N/A</v>
      </c>
      <c r="M83" s="161" t="e">
        <f t="shared" si="5"/>
        <v>#N/A</v>
      </c>
      <c r="N83" s="33" t="e">
        <f t="shared" si="6"/>
        <v>#N/A</v>
      </c>
      <c r="R83" s="161" t="e">
        <f t="shared" si="7"/>
        <v>#N/A</v>
      </c>
      <c r="S83" s="33" t="e">
        <f t="shared" si="8"/>
        <v>#N/A</v>
      </c>
    </row>
    <row r="84" spans="12:19" x14ac:dyDescent="0.25">
      <c r="L84" s="7" t="e">
        <f>VLOOKUP(A84,'3121% SY'!A:M,'3121% SY'!$M$1,FALSE)</f>
        <v>#N/A</v>
      </c>
      <c r="M84" s="161" t="e">
        <f t="shared" si="5"/>
        <v>#N/A</v>
      </c>
      <c r="N84" s="33" t="e">
        <f t="shared" si="6"/>
        <v>#N/A</v>
      </c>
      <c r="R84" s="161" t="e">
        <f t="shared" si="7"/>
        <v>#N/A</v>
      </c>
      <c r="S84" s="33" t="e">
        <f t="shared" si="8"/>
        <v>#N/A</v>
      </c>
    </row>
    <row r="85" spans="12:19" x14ac:dyDescent="0.25">
      <c r="L85" s="7" t="e">
        <f>VLOOKUP(A85,'3121% SY'!A:M,'3121% SY'!$M$1,FALSE)</f>
        <v>#N/A</v>
      </c>
      <c r="M85" s="161" t="e">
        <f t="shared" si="5"/>
        <v>#N/A</v>
      </c>
      <c r="N85" s="33" t="e">
        <f t="shared" si="6"/>
        <v>#N/A</v>
      </c>
      <c r="R85" s="161" t="e">
        <f t="shared" si="7"/>
        <v>#N/A</v>
      </c>
      <c r="S85" s="33" t="e">
        <f t="shared" si="8"/>
        <v>#N/A</v>
      </c>
    </row>
    <row r="86" spans="12:19" x14ac:dyDescent="0.25">
      <c r="L86" s="7" t="e">
        <f>VLOOKUP(A86,'3121% SY'!A:M,'3121% SY'!$M$1,FALSE)</f>
        <v>#N/A</v>
      </c>
      <c r="M86" s="161" t="e">
        <f t="shared" si="5"/>
        <v>#N/A</v>
      </c>
      <c r="N86" s="33" t="e">
        <f t="shared" si="6"/>
        <v>#N/A</v>
      </c>
      <c r="R86" s="161" t="e">
        <f t="shared" si="7"/>
        <v>#N/A</v>
      </c>
      <c r="S86" s="33" t="e">
        <f t="shared" si="8"/>
        <v>#N/A</v>
      </c>
    </row>
    <row r="87" spans="12:19" x14ac:dyDescent="0.25">
      <c r="L87" s="7" t="e">
        <f>VLOOKUP(A87,'3121% SY'!A:M,'3121% SY'!$M$1,FALSE)</f>
        <v>#N/A</v>
      </c>
      <c r="M87" s="161" t="e">
        <f t="shared" si="5"/>
        <v>#N/A</v>
      </c>
      <c r="N87" s="33" t="e">
        <f t="shared" si="6"/>
        <v>#N/A</v>
      </c>
      <c r="R87" s="161" t="e">
        <f t="shared" si="7"/>
        <v>#N/A</v>
      </c>
      <c r="S87" s="33" t="e">
        <f t="shared" si="8"/>
        <v>#N/A</v>
      </c>
    </row>
    <row r="88" spans="12:19" x14ac:dyDescent="0.25">
      <c r="L88" s="7" t="e">
        <f>VLOOKUP(A88,'3121% SY'!A:M,'3121% SY'!$M$1,FALSE)</f>
        <v>#N/A</v>
      </c>
      <c r="M88" s="161" t="e">
        <f t="shared" si="5"/>
        <v>#N/A</v>
      </c>
      <c r="N88" s="33" t="e">
        <f t="shared" si="6"/>
        <v>#N/A</v>
      </c>
      <c r="R88" s="161" t="e">
        <f t="shared" si="7"/>
        <v>#N/A</v>
      </c>
      <c r="S88" s="33" t="e">
        <f t="shared" si="8"/>
        <v>#N/A</v>
      </c>
    </row>
    <row r="89" spans="12:19" x14ac:dyDescent="0.25">
      <c r="L89" s="7" t="e">
        <f>VLOOKUP(A89,'3121% SY'!A:M,'3121% SY'!$M$1,FALSE)</f>
        <v>#N/A</v>
      </c>
      <c r="M89" s="161" t="e">
        <f t="shared" si="5"/>
        <v>#N/A</v>
      </c>
      <c r="N89" s="33" t="e">
        <f t="shared" si="6"/>
        <v>#N/A</v>
      </c>
      <c r="R89" s="161" t="e">
        <f t="shared" si="7"/>
        <v>#N/A</v>
      </c>
      <c r="S89" s="33" t="e">
        <f t="shared" si="8"/>
        <v>#N/A</v>
      </c>
    </row>
    <row r="90" spans="12:19" x14ac:dyDescent="0.25">
      <c r="L90" s="7" t="e">
        <f>VLOOKUP(A90,'3121% SY'!A:M,'3121% SY'!$M$1,FALSE)</f>
        <v>#N/A</v>
      </c>
      <c r="M90" s="161" t="e">
        <f t="shared" si="5"/>
        <v>#N/A</v>
      </c>
      <c r="N90" s="33" t="e">
        <f t="shared" si="6"/>
        <v>#N/A</v>
      </c>
      <c r="R90" s="161" t="e">
        <f t="shared" si="7"/>
        <v>#N/A</v>
      </c>
      <c r="S90" s="33" t="e">
        <f t="shared" si="8"/>
        <v>#N/A</v>
      </c>
    </row>
    <row r="91" spans="12:19" x14ac:dyDescent="0.25">
      <c r="L91" s="7" t="e">
        <f>VLOOKUP(A91,'3121% SY'!A:M,'3121% SY'!$M$1,FALSE)</f>
        <v>#N/A</v>
      </c>
      <c r="M91" s="161" t="e">
        <f t="shared" si="5"/>
        <v>#N/A</v>
      </c>
      <c r="N91" s="33" t="e">
        <f t="shared" si="6"/>
        <v>#N/A</v>
      </c>
      <c r="R91" s="161" t="e">
        <f t="shared" si="7"/>
        <v>#N/A</v>
      </c>
      <c r="S91" s="33" t="e">
        <f t="shared" si="8"/>
        <v>#N/A</v>
      </c>
    </row>
    <row r="92" spans="12:19" x14ac:dyDescent="0.25">
      <c r="L92" s="7" t="e">
        <f>VLOOKUP(A92,'3121% SY'!A:M,'3121% SY'!$M$1,FALSE)</f>
        <v>#N/A</v>
      </c>
      <c r="M92" s="161" t="e">
        <f t="shared" si="5"/>
        <v>#N/A</v>
      </c>
      <c r="N92" s="33" t="e">
        <f t="shared" si="6"/>
        <v>#N/A</v>
      </c>
      <c r="R92" s="161" t="e">
        <f t="shared" si="7"/>
        <v>#N/A</v>
      </c>
      <c r="S92" s="33" t="e">
        <f t="shared" si="8"/>
        <v>#N/A</v>
      </c>
    </row>
    <row r="93" spans="12:19" x14ac:dyDescent="0.25">
      <c r="L93" s="7" t="e">
        <f>VLOOKUP(A93,'3121% SY'!A:M,'3121% SY'!$M$1,FALSE)</f>
        <v>#N/A</v>
      </c>
      <c r="M93" s="161" t="e">
        <f t="shared" si="5"/>
        <v>#N/A</v>
      </c>
      <c r="N93" s="33" t="e">
        <f t="shared" si="6"/>
        <v>#N/A</v>
      </c>
      <c r="R93" s="161" t="e">
        <f t="shared" si="7"/>
        <v>#N/A</v>
      </c>
      <c r="S93" s="33" t="e">
        <f t="shared" si="8"/>
        <v>#N/A</v>
      </c>
    </row>
    <row r="94" spans="12:19" x14ac:dyDescent="0.25">
      <c r="L94" s="7" t="e">
        <f>VLOOKUP(A94,'3121% SY'!A:M,'3121% SY'!$M$1,FALSE)</f>
        <v>#N/A</v>
      </c>
      <c r="M94" s="161" t="e">
        <f t="shared" si="5"/>
        <v>#N/A</v>
      </c>
      <c r="N94" s="33" t="e">
        <f t="shared" si="6"/>
        <v>#N/A</v>
      </c>
      <c r="R94" s="161" t="e">
        <f t="shared" si="7"/>
        <v>#N/A</v>
      </c>
      <c r="S94" s="33" t="e">
        <f t="shared" si="8"/>
        <v>#N/A</v>
      </c>
    </row>
    <row r="95" spans="12:19" x14ac:dyDescent="0.25">
      <c r="L95" s="7" t="e">
        <f>VLOOKUP(A95,'3121% SY'!A:M,'3121% SY'!$M$1,FALSE)</f>
        <v>#N/A</v>
      </c>
      <c r="M95" s="161" t="e">
        <f t="shared" si="5"/>
        <v>#N/A</v>
      </c>
      <c r="N95" s="33" t="e">
        <f t="shared" si="6"/>
        <v>#N/A</v>
      </c>
      <c r="R95" s="161" t="e">
        <f t="shared" si="7"/>
        <v>#N/A</v>
      </c>
      <c r="S95" s="33" t="e">
        <f t="shared" si="8"/>
        <v>#N/A</v>
      </c>
    </row>
    <row r="96" spans="12:19" x14ac:dyDescent="0.25">
      <c r="L96" s="7" t="e">
        <f>VLOOKUP(A96,'3121% SY'!A:M,'3121% SY'!$M$1,FALSE)</f>
        <v>#N/A</v>
      </c>
      <c r="M96" s="161" t="e">
        <f t="shared" si="5"/>
        <v>#N/A</v>
      </c>
      <c r="N96" s="33" t="e">
        <f t="shared" si="6"/>
        <v>#N/A</v>
      </c>
      <c r="R96" s="161" t="e">
        <f t="shared" si="7"/>
        <v>#N/A</v>
      </c>
      <c r="S96" s="33" t="e">
        <f t="shared" si="8"/>
        <v>#N/A</v>
      </c>
    </row>
    <row r="97" spans="12:19" x14ac:dyDescent="0.25">
      <c r="L97" s="7" t="e">
        <f>VLOOKUP(A97,'3121% SY'!A:M,'3121% SY'!$M$1,FALSE)</f>
        <v>#N/A</v>
      </c>
      <c r="M97" s="161" t="e">
        <f t="shared" si="5"/>
        <v>#N/A</v>
      </c>
      <c r="N97" s="33" t="e">
        <f t="shared" si="6"/>
        <v>#N/A</v>
      </c>
      <c r="R97" s="161" t="e">
        <f t="shared" si="7"/>
        <v>#N/A</v>
      </c>
      <c r="S97" s="33" t="e">
        <f t="shared" si="8"/>
        <v>#N/A</v>
      </c>
    </row>
    <row r="98" spans="12:19" x14ac:dyDescent="0.25">
      <c r="L98" s="7" t="e">
        <f>VLOOKUP(A98,'3121% SY'!A:M,'3121% SY'!$M$1,FALSE)</f>
        <v>#N/A</v>
      </c>
      <c r="M98" s="161" t="e">
        <f t="shared" si="5"/>
        <v>#N/A</v>
      </c>
      <c r="N98" s="33" t="e">
        <f t="shared" si="6"/>
        <v>#N/A</v>
      </c>
      <c r="R98" s="161" t="e">
        <f t="shared" si="7"/>
        <v>#N/A</v>
      </c>
      <c r="S98" s="33" t="e">
        <f t="shared" si="8"/>
        <v>#N/A</v>
      </c>
    </row>
    <row r="99" spans="12:19" x14ac:dyDescent="0.25">
      <c r="L99" s="7" t="e">
        <f>VLOOKUP(A99,'3121% SY'!A:M,'3121% SY'!$M$1,FALSE)</f>
        <v>#N/A</v>
      </c>
      <c r="M99" s="161" t="e">
        <f t="shared" si="5"/>
        <v>#N/A</v>
      </c>
      <c r="N99" s="33" t="e">
        <f t="shared" si="6"/>
        <v>#N/A</v>
      </c>
      <c r="R99" s="161" t="e">
        <f t="shared" si="7"/>
        <v>#N/A</v>
      </c>
      <c r="S99" s="33" t="e">
        <f t="shared" si="8"/>
        <v>#N/A</v>
      </c>
    </row>
    <row r="100" spans="12:19" x14ac:dyDescent="0.25">
      <c r="L100" s="7" t="e">
        <f>VLOOKUP(A100,'3121% SY'!A:M,'3121% SY'!$M$1,FALSE)</f>
        <v>#N/A</v>
      </c>
      <c r="M100" s="161" t="e">
        <f t="shared" si="5"/>
        <v>#N/A</v>
      </c>
      <c r="N100" s="33" t="e">
        <f t="shared" si="6"/>
        <v>#N/A</v>
      </c>
      <c r="R100" s="161" t="e">
        <f t="shared" si="7"/>
        <v>#N/A</v>
      </c>
      <c r="S100" s="33" t="e">
        <f t="shared" si="8"/>
        <v>#N/A</v>
      </c>
    </row>
    <row r="101" spans="12:19" x14ac:dyDescent="0.25">
      <c r="L101" s="7" t="e">
        <f>VLOOKUP(A101,'3121% SY'!A:M,'3121% SY'!$M$1,FALSE)</f>
        <v>#N/A</v>
      </c>
      <c r="M101" s="161" t="e">
        <f t="shared" si="5"/>
        <v>#N/A</v>
      </c>
      <c r="N101" s="33" t="e">
        <f t="shared" si="6"/>
        <v>#N/A</v>
      </c>
      <c r="R101" s="161" t="e">
        <f t="shared" si="7"/>
        <v>#N/A</v>
      </c>
      <c r="S101" s="33" t="e">
        <f t="shared" si="8"/>
        <v>#N/A</v>
      </c>
    </row>
    <row r="102" spans="12:19" x14ac:dyDescent="0.25">
      <c r="L102" s="7" t="e">
        <f>VLOOKUP(A102,'3121% SY'!A:M,'3121% SY'!$M$1,FALSE)</f>
        <v>#N/A</v>
      </c>
      <c r="M102" s="161" t="e">
        <f t="shared" si="5"/>
        <v>#N/A</v>
      </c>
      <c r="N102" s="33" t="e">
        <f t="shared" si="6"/>
        <v>#N/A</v>
      </c>
      <c r="R102" s="161" t="e">
        <f t="shared" si="7"/>
        <v>#N/A</v>
      </c>
      <c r="S102" s="33" t="e">
        <f t="shared" si="8"/>
        <v>#N/A</v>
      </c>
    </row>
    <row r="103" spans="12:19" x14ac:dyDescent="0.25">
      <c r="L103" s="7" t="e">
        <f>VLOOKUP(A103,'3121% SY'!A:M,'3121% SY'!$M$1,FALSE)</f>
        <v>#N/A</v>
      </c>
      <c r="M103" s="161" t="e">
        <f t="shared" si="5"/>
        <v>#N/A</v>
      </c>
      <c r="N103" s="33" t="e">
        <f t="shared" si="6"/>
        <v>#N/A</v>
      </c>
      <c r="R103" s="161" t="e">
        <f t="shared" si="7"/>
        <v>#N/A</v>
      </c>
      <c r="S103" s="33" t="e">
        <f t="shared" si="8"/>
        <v>#N/A</v>
      </c>
    </row>
    <row r="104" spans="12:19" x14ac:dyDescent="0.25">
      <c r="L104" s="7" t="e">
        <f>VLOOKUP(A104,'3121% SY'!A:M,'3121% SY'!$M$1,FALSE)</f>
        <v>#N/A</v>
      </c>
      <c r="M104" s="161" t="e">
        <f t="shared" si="5"/>
        <v>#N/A</v>
      </c>
      <c r="N104" s="33" t="e">
        <f t="shared" si="6"/>
        <v>#N/A</v>
      </c>
      <c r="R104" s="161" t="e">
        <f t="shared" si="7"/>
        <v>#N/A</v>
      </c>
      <c r="S104" s="33" t="e">
        <f t="shared" si="8"/>
        <v>#N/A</v>
      </c>
    </row>
    <row r="105" spans="12:19" x14ac:dyDescent="0.25">
      <c r="L105" s="7" t="e">
        <f>VLOOKUP(A105,'3121% SY'!A:M,'3121% SY'!$M$1,FALSE)</f>
        <v>#N/A</v>
      </c>
      <c r="M105" s="161" t="e">
        <f t="shared" si="5"/>
        <v>#N/A</v>
      </c>
      <c r="N105" s="33" t="e">
        <f t="shared" si="6"/>
        <v>#N/A</v>
      </c>
      <c r="R105" s="161" t="e">
        <f t="shared" si="7"/>
        <v>#N/A</v>
      </c>
      <c r="S105" s="33" t="e">
        <f t="shared" si="8"/>
        <v>#N/A</v>
      </c>
    </row>
    <row r="106" spans="12:19" x14ac:dyDescent="0.25">
      <c r="L106" s="7" t="e">
        <f>VLOOKUP(A106,'3121% SY'!A:M,'3121% SY'!$M$1,FALSE)</f>
        <v>#N/A</v>
      </c>
      <c r="M106" s="161" t="e">
        <f t="shared" si="5"/>
        <v>#N/A</v>
      </c>
      <c r="N106" s="33" t="e">
        <f t="shared" si="6"/>
        <v>#N/A</v>
      </c>
      <c r="R106" s="161" t="e">
        <f t="shared" si="7"/>
        <v>#N/A</v>
      </c>
      <c r="S106" s="33" t="e">
        <f t="shared" si="8"/>
        <v>#N/A</v>
      </c>
    </row>
    <row r="107" spans="12:19" x14ac:dyDescent="0.25">
      <c r="L107" s="7" t="e">
        <f>VLOOKUP(A107,'3121% SY'!A:M,'3121% SY'!$M$1,FALSE)</f>
        <v>#N/A</v>
      </c>
      <c r="M107" s="161" t="e">
        <f t="shared" si="5"/>
        <v>#N/A</v>
      </c>
      <c r="N107" s="33" t="e">
        <f t="shared" si="6"/>
        <v>#N/A</v>
      </c>
      <c r="R107" s="161" t="e">
        <f t="shared" si="7"/>
        <v>#N/A</v>
      </c>
      <c r="S107" s="33" t="e">
        <f t="shared" si="8"/>
        <v>#N/A</v>
      </c>
    </row>
    <row r="108" spans="12:19" x14ac:dyDescent="0.25">
      <c r="L108" s="7" t="e">
        <f>VLOOKUP(A108,'3121% SY'!A:M,'3121% SY'!$M$1,FALSE)</f>
        <v>#N/A</v>
      </c>
      <c r="M108" s="161" t="e">
        <f t="shared" si="5"/>
        <v>#N/A</v>
      </c>
      <c r="N108" s="33" t="e">
        <f t="shared" si="6"/>
        <v>#N/A</v>
      </c>
      <c r="R108" s="161" t="e">
        <f t="shared" si="7"/>
        <v>#N/A</v>
      </c>
      <c r="S108" s="33" t="e">
        <f t="shared" si="8"/>
        <v>#N/A</v>
      </c>
    </row>
    <row r="109" spans="12:19" x14ac:dyDescent="0.25">
      <c r="L109" s="7" t="e">
        <f>VLOOKUP(A109,'3121% SY'!A:M,'3121% SY'!$M$1,FALSE)</f>
        <v>#N/A</v>
      </c>
      <c r="M109" s="161" t="e">
        <f t="shared" si="5"/>
        <v>#N/A</v>
      </c>
      <c r="N109" s="33" t="e">
        <f t="shared" si="6"/>
        <v>#N/A</v>
      </c>
      <c r="R109" s="161" t="e">
        <f t="shared" si="7"/>
        <v>#N/A</v>
      </c>
      <c r="S109" s="33" t="e">
        <f t="shared" si="8"/>
        <v>#N/A</v>
      </c>
    </row>
    <row r="110" spans="12:19" x14ac:dyDescent="0.25">
      <c r="L110" s="7" t="e">
        <f>VLOOKUP(A110,'3121% SY'!A:M,'3121% SY'!$M$1,FALSE)</f>
        <v>#N/A</v>
      </c>
      <c r="M110" s="161" t="e">
        <f t="shared" si="5"/>
        <v>#N/A</v>
      </c>
      <c r="N110" s="33" t="e">
        <f t="shared" si="6"/>
        <v>#N/A</v>
      </c>
      <c r="R110" s="161" t="e">
        <f t="shared" si="7"/>
        <v>#N/A</v>
      </c>
      <c r="S110" s="33" t="e">
        <f t="shared" si="8"/>
        <v>#N/A</v>
      </c>
    </row>
    <row r="111" spans="12:19" x14ac:dyDescent="0.25">
      <c r="L111" s="7" t="e">
        <f>VLOOKUP(A111,'3121% SY'!A:M,'3121% SY'!$M$1,FALSE)</f>
        <v>#N/A</v>
      </c>
      <c r="M111" s="161" t="e">
        <f t="shared" si="5"/>
        <v>#N/A</v>
      </c>
      <c r="N111" s="33" t="e">
        <f t="shared" si="6"/>
        <v>#N/A</v>
      </c>
      <c r="R111" s="161" t="e">
        <f t="shared" si="7"/>
        <v>#N/A</v>
      </c>
      <c r="S111" s="33" t="e">
        <f t="shared" si="8"/>
        <v>#N/A</v>
      </c>
    </row>
    <row r="112" spans="12:19" x14ac:dyDescent="0.25">
      <c r="L112" s="7" t="e">
        <f>VLOOKUP(A112,'3121% SY'!A:M,'3121% SY'!$M$1,FALSE)</f>
        <v>#N/A</v>
      </c>
      <c r="M112" s="161" t="e">
        <f t="shared" si="5"/>
        <v>#N/A</v>
      </c>
      <c r="N112" s="33" t="e">
        <f t="shared" si="6"/>
        <v>#N/A</v>
      </c>
      <c r="R112" s="161" t="e">
        <f t="shared" si="7"/>
        <v>#N/A</v>
      </c>
      <c r="S112" s="33" t="e">
        <f t="shared" si="8"/>
        <v>#N/A</v>
      </c>
    </row>
    <row r="113" spans="12:19" x14ac:dyDescent="0.25">
      <c r="L113" s="7" t="e">
        <f>VLOOKUP(A113,'3121% SY'!A:M,'3121% SY'!$M$1,FALSE)</f>
        <v>#N/A</v>
      </c>
      <c r="M113" s="161" t="e">
        <f t="shared" si="5"/>
        <v>#N/A</v>
      </c>
      <c r="N113" s="33" t="e">
        <f t="shared" si="6"/>
        <v>#N/A</v>
      </c>
      <c r="R113" s="161" t="e">
        <f t="shared" si="7"/>
        <v>#N/A</v>
      </c>
      <c r="S113" s="33" t="e">
        <f t="shared" si="8"/>
        <v>#N/A</v>
      </c>
    </row>
    <row r="114" spans="12:19" x14ac:dyDescent="0.25">
      <c r="L114" s="7" t="e">
        <f>VLOOKUP(A114,'3121% SY'!A:M,'3121% SY'!$M$1,FALSE)</f>
        <v>#N/A</v>
      </c>
      <c r="M114" s="161" t="e">
        <f t="shared" si="5"/>
        <v>#N/A</v>
      </c>
      <c r="N114" s="33" t="e">
        <f t="shared" si="6"/>
        <v>#N/A</v>
      </c>
      <c r="R114" s="161" t="e">
        <f t="shared" si="7"/>
        <v>#N/A</v>
      </c>
      <c r="S114" s="33" t="e">
        <f t="shared" si="8"/>
        <v>#N/A</v>
      </c>
    </row>
    <row r="115" spans="12:19" x14ac:dyDescent="0.25">
      <c r="L115" s="7" t="e">
        <f>VLOOKUP(A115,'3121% SY'!A:M,'3121% SY'!$M$1,FALSE)</f>
        <v>#N/A</v>
      </c>
      <c r="M115" s="161" t="e">
        <f t="shared" si="5"/>
        <v>#N/A</v>
      </c>
      <c r="N115" s="33" t="e">
        <f t="shared" si="6"/>
        <v>#N/A</v>
      </c>
      <c r="R115" s="161" t="e">
        <f t="shared" si="7"/>
        <v>#N/A</v>
      </c>
      <c r="S115" s="33" t="e">
        <f t="shared" si="8"/>
        <v>#N/A</v>
      </c>
    </row>
    <row r="116" spans="12:19" x14ac:dyDescent="0.25">
      <c r="L116" s="7" t="e">
        <f>VLOOKUP(A116,'3121% SY'!A:M,'3121% SY'!$M$1,FALSE)</f>
        <v>#N/A</v>
      </c>
      <c r="M116" s="161" t="e">
        <f t="shared" si="5"/>
        <v>#N/A</v>
      </c>
      <c r="N116" s="33" t="e">
        <f t="shared" si="6"/>
        <v>#N/A</v>
      </c>
      <c r="R116" s="161" t="e">
        <f t="shared" si="7"/>
        <v>#N/A</v>
      </c>
      <c r="S116" s="33" t="e">
        <f t="shared" si="8"/>
        <v>#N/A</v>
      </c>
    </row>
    <row r="117" spans="12:19" x14ac:dyDescent="0.25">
      <c r="L117" s="7" t="e">
        <f>VLOOKUP(A117,'3121% SY'!A:M,'3121% SY'!$M$1,FALSE)</f>
        <v>#N/A</v>
      </c>
      <c r="M117" s="161" t="e">
        <f t="shared" si="5"/>
        <v>#N/A</v>
      </c>
      <c r="N117" s="33" t="e">
        <f t="shared" si="6"/>
        <v>#N/A</v>
      </c>
      <c r="R117" s="161" t="e">
        <f t="shared" si="7"/>
        <v>#N/A</v>
      </c>
      <c r="S117" s="33" t="e">
        <f t="shared" si="8"/>
        <v>#N/A</v>
      </c>
    </row>
    <row r="118" spans="12:19" x14ac:dyDescent="0.25">
      <c r="L118" s="7" t="e">
        <f>VLOOKUP(A118,'3121% SY'!A:M,'3121% SY'!$M$1,FALSE)</f>
        <v>#N/A</v>
      </c>
      <c r="M118" s="161" t="e">
        <f t="shared" si="5"/>
        <v>#N/A</v>
      </c>
      <c r="N118" s="33" t="e">
        <f t="shared" si="6"/>
        <v>#N/A</v>
      </c>
      <c r="R118" s="161" t="e">
        <f t="shared" si="7"/>
        <v>#N/A</v>
      </c>
      <c r="S118" s="33" t="e">
        <f t="shared" si="8"/>
        <v>#N/A</v>
      </c>
    </row>
    <row r="119" spans="12:19" x14ac:dyDescent="0.25">
      <c r="L119" s="7" t="e">
        <f>VLOOKUP(A119,'3121% SY'!A:M,'3121% SY'!$M$1,FALSE)</f>
        <v>#N/A</v>
      </c>
      <c r="M119" s="161" t="e">
        <f t="shared" si="5"/>
        <v>#N/A</v>
      </c>
      <c r="N119" s="33" t="e">
        <f t="shared" si="6"/>
        <v>#N/A</v>
      </c>
      <c r="R119" s="161" t="e">
        <f t="shared" si="7"/>
        <v>#N/A</v>
      </c>
      <c r="S119" s="33" t="e">
        <f t="shared" si="8"/>
        <v>#N/A</v>
      </c>
    </row>
    <row r="120" spans="12:19" x14ac:dyDescent="0.25">
      <c r="L120" s="7" t="e">
        <f>VLOOKUP(A120,'3121% SY'!A:M,'3121% SY'!$M$1,FALSE)</f>
        <v>#N/A</v>
      </c>
      <c r="M120" s="161" t="e">
        <f t="shared" si="5"/>
        <v>#N/A</v>
      </c>
      <c r="N120" s="33" t="e">
        <f t="shared" si="6"/>
        <v>#N/A</v>
      </c>
      <c r="R120" s="161" t="e">
        <f t="shared" si="7"/>
        <v>#N/A</v>
      </c>
      <c r="S120" s="33" t="e">
        <f t="shared" si="8"/>
        <v>#N/A</v>
      </c>
    </row>
    <row r="121" spans="12:19" x14ac:dyDescent="0.25">
      <c r="L121" s="7" t="e">
        <f>VLOOKUP(A121,'3121% SY'!A:M,'3121% SY'!$M$1,FALSE)</f>
        <v>#N/A</v>
      </c>
      <c r="M121" s="161" t="e">
        <f t="shared" si="5"/>
        <v>#N/A</v>
      </c>
      <c r="N121" s="33" t="e">
        <f t="shared" si="6"/>
        <v>#N/A</v>
      </c>
      <c r="R121" s="161" t="e">
        <f t="shared" si="7"/>
        <v>#N/A</v>
      </c>
      <c r="S121" s="33" t="e">
        <f t="shared" si="8"/>
        <v>#N/A</v>
      </c>
    </row>
    <row r="122" spans="12:19" x14ac:dyDescent="0.25">
      <c r="L122" s="7" t="e">
        <f>VLOOKUP(A122,'3121% SY'!A:M,'3121% SY'!$M$1,FALSE)</f>
        <v>#N/A</v>
      </c>
      <c r="M122" s="161" t="e">
        <f t="shared" si="5"/>
        <v>#N/A</v>
      </c>
      <c r="N122" s="33" t="e">
        <f t="shared" si="6"/>
        <v>#N/A</v>
      </c>
      <c r="R122" s="161" t="e">
        <f t="shared" si="7"/>
        <v>#N/A</v>
      </c>
      <c r="S122" s="33" t="e">
        <f t="shared" si="8"/>
        <v>#N/A</v>
      </c>
    </row>
    <row r="123" spans="12:19" x14ac:dyDescent="0.25">
      <c r="L123" s="7" t="e">
        <f>VLOOKUP(A123,'3121% SY'!A:M,'3121% SY'!$M$1,FALSE)</f>
        <v>#N/A</v>
      </c>
      <c r="M123" s="161" t="e">
        <f t="shared" si="5"/>
        <v>#N/A</v>
      </c>
      <c r="N123" s="33" t="e">
        <f t="shared" si="6"/>
        <v>#N/A</v>
      </c>
      <c r="R123" s="161" t="e">
        <f t="shared" ref="R123:R131" si="9">ROUND(Q123*$L123,3)</f>
        <v>#N/A</v>
      </c>
      <c r="S123" s="33" t="e">
        <f t="shared" ref="S123:S131" si="10">SUM(R123,O123:P123)</f>
        <v>#N/A</v>
      </c>
    </row>
    <row r="124" spans="12:19" x14ac:dyDescent="0.25">
      <c r="L124" s="7" t="e">
        <f>VLOOKUP(A124,'3121% SY'!A:M,'3121% SY'!$M$1,FALSE)</f>
        <v>#N/A</v>
      </c>
      <c r="M124" s="161" t="e">
        <f t="shared" si="5"/>
        <v>#N/A</v>
      </c>
      <c r="N124" s="33" t="e">
        <f t="shared" si="6"/>
        <v>#N/A</v>
      </c>
      <c r="R124" s="161" t="e">
        <f t="shared" si="9"/>
        <v>#N/A</v>
      </c>
      <c r="S124" s="33" t="e">
        <f t="shared" si="10"/>
        <v>#N/A</v>
      </c>
    </row>
    <row r="125" spans="12:19" x14ac:dyDescent="0.25">
      <c r="L125" s="7" t="e">
        <f>VLOOKUP(A125,'3121% SY'!A:M,'3121% SY'!$M$1,FALSE)</f>
        <v>#N/A</v>
      </c>
      <c r="M125" s="161" t="e">
        <f t="shared" si="5"/>
        <v>#N/A</v>
      </c>
      <c r="N125" s="33" t="e">
        <f t="shared" si="6"/>
        <v>#N/A</v>
      </c>
      <c r="R125" s="161" t="e">
        <f t="shared" si="9"/>
        <v>#N/A</v>
      </c>
      <c r="S125" s="33" t="e">
        <f t="shared" si="10"/>
        <v>#N/A</v>
      </c>
    </row>
    <row r="126" spans="12:19" x14ac:dyDescent="0.25">
      <c r="L126" s="7" t="e">
        <f>VLOOKUP(A126,'3121% SY'!A:M,'3121% SY'!$M$1,FALSE)</f>
        <v>#N/A</v>
      </c>
      <c r="M126" s="161" t="e">
        <f t="shared" si="5"/>
        <v>#N/A</v>
      </c>
      <c r="N126" s="33" t="e">
        <f t="shared" si="6"/>
        <v>#N/A</v>
      </c>
      <c r="R126" s="161" t="e">
        <f t="shared" si="9"/>
        <v>#N/A</v>
      </c>
      <c r="S126" s="33" t="e">
        <f t="shared" si="10"/>
        <v>#N/A</v>
      </c>
    </row>
    <row r="127" spans="12:19" x14ac:dyDescent="0.25">
      <c r="L127" s="7" t="e">
        <f>VLOOKUP(A127,'3121% SY'!A:M,'3121% SY'!$M$1,FALSE)</f>
        <v>#N/A</v>
      </c>
      <c r="M127" s="161" t="e">
        <f t="shared" si="5"/>
        <v>#N/A</v>
      </c>
      <c r="N127" s="33" t="e">
        <f t="shared" si="6"/>
        <v>#N/A</v>
      </c>
      <c r="R127" s="161" t="e">
        <f t="shared" si="9"/>
        <v>#N/A</v>
      </c>
      <c r="S127" s="33" t="e">
        <f t="shared" si="10"/>
        <v>#N/A</v>
      </c>
    </row>
    <row r="128" spans="12:19" x14ac:dyDescent="0.25">
      <c r="L128" s="7" t="e">
        <f>VLOOKUP(A128,'3121% SY'!A:M,'3121% SY'!$M$1,FALSE)</f>
        <v>#N/A</v>
      </c>
      <c r="M128" s="161" t="e">
        <f t="shared" si="5"/>
        <v>#N/A</v>
      </c>
      <c r="N128" s="33" t="e">
        <f t="shared" si="6"/>
        <v>#N/A</v>
      </c>
      <c r="R128" s="161" t="e">
        <f t="shared" si="9"/>
        <v>#N/A</v>
      </c>
      <c r="S128" s="33" t="e">
        <f t="shared" si="10"/>
        <v>#N/A</v>
      </c>
    </row>
    <row r="129" spans="12:19" x14ac:dyDescent="0.25">
      <c r="L129" s="7" t="e">
        <f>VLOOKUP(A129,'3121% SY'!A:M,'3121% SY'!$M$1,FALSE)</f>
        <v>#N/A</v>
      </c>
      <c r="M129" s="161" t="e">
        <f t="shared" si="5"/>
        <v>#N/A</v>
      </c>
      <c r="N129" s="33" t="e">
        <f t="shared" si="6"/>
        <v>#N/A</v>
      </c>
      <c r="R129" s="161" t="e">
        <f t="shared" si="9"/>
        <v>#N/A</v>
      </c>
      <c r="S129" s="33" t="e">
        <f t="shared" si="10"/>
        <v>#N/A</v>
      </c>
    </row>
    <row r="130" spans="12:19" x14ac:dyDescent="0.25">
      <c r="L130" s="7" t="e">
        <f>VLOOKUP(A130,'3121% SY'!A:M,'3121% SY'!$M$1,FALSE)</f>
        <v>#N/A</v>
      </c>
      <c r="M130" s="161" t="e">
        <f t="shared" si="5"/>
        <v>#N/A</v>
      </c>
      <c r="N130" s="33" t="e">
        <f t="shared" si="6"/>
        <v>#N/A</v>
      </c>
      <c r="R130" s="161" t="e">
        <f t="shared" si="9"/>
        <v>#N/A</v>
      </c>
      <c r="S130" s="33" t="e">
        <f t="shared" si="10"/>
        <v>#N/A</v>
      </c>
    </row>
    <row r="131" spans="12:19" x14ac:dyDescent="0.25">
      <c r="L131" s="7" t="e">
        <f>VLOOKUP(A131,'3121% SY'!A:M,'3121% SY'!$M$1,FALSE)</f>
        <v>#N/A</v>
      </c>
      <c r="M131" s="161" t="e">
        <f t="shared" si="5"/>
        <v>#N/A</v>
      </c>
      <c r="N131" s="33" t="e">
        <f t="shared" si="6"/>
        <v>#N/A</v>
      </c>
      <c r="R131" s="161" t="e">
        <f t="shared" si="9"/>
        <v>#N/A</v>
      </c>
      <c r="S131" s="33" t="e">
        <f t="shared" si="10"/>
        <v>#N/A</v>
      </c>
    </row>
    <row r="132" spans="12:19" x14ac:dyDescent="0.25">
      <c r="L132" s="7" t="e">
        <f>VLOOKUP(A132,'3121% SY'!A:M,'3121% SY'!$M$1,FALSE)</f>
        <v>#N/A</v>
      </c>
    </row>
    <row r="133" spans="12:19" x14ac:dyDescent="0.25">
      <c r="L133" s="7" t="e">
        <f>VLOOKUP(A133,'3121% SY'!A:M,'3121% SY'!$M$1,FALSE)</f>
        <v>#N/A</v>
      </c>
    </row>
    <row r="134" spans="12:19" x14ac:dyDescent="0.25">
      <c r="L134" s="7" t="e">
        <f>VLOOKUP(A134,'3121% SY'!A:M,'3121% SY'!$M$1,FALSE)</f>
        <v>#N/A</v>
      </c>
    </row>
    <row r="135" spans="12:19" x14ac:dyDescent="0.25">
      <c r="L135" s="7" t="e">
        <f>VLOOKUP(A135,'3121% SY'!A:M,'3121% SY'!$M$1,FALSE)</f>
        <v>#N/A</v>
      </c>
    </row>
    <row r="136" spans="12:19" x14ac:dyDescent="0.25">
      <c r="L136" s="7" t="e">
        <f>VLOOKUP(A136,'3121% SY'!A:M,'3121% SY'!$M$1,FALSE)</f>
        <v>#N/A</v>
      </c>
    </row>
    <row r="137" spans="12:19" x14ac:dyDescent="0.25">
      <c r="L137" s="7" t="e">
        <f>VLOOKUP(A137,'3121% SY'!A:M,'3121% SY'!$M$1,FALSE)</f>
        <v>#N/A</v>
      </c>
    </row>
    <row r="138" spans="12:19" x14ac:dyDescent="0.25">
      <c r="L138" s="7" t="e">
        <f>VLOOKUP(A138,'3121% SY'!A:M,'3121% SY'!$M$1,FALSE)</f>
        <v>#N/A</v>
      </c>
    </row>
    <row r="139" spans="12:19" x14ac:dyDescent="0.25">
      <c r="L139" s="7" t="e">
        <f>VLOOKUP(A139,'3121% SY'!A:M,'3121% SY'!$M$1,FALSE)</f>
        <v>#N/A</v>
      </c>
    </row>
    <row r="140" spans="12:19" x14ac:dyDescent="0.25">
      <c r="L140" s="7" t="e">
        <f>VLOOKUP(A140,'3121% SY'!A:M,'3121% SY'!$M$1,FALSE)</f>
        <v>#N/A</v>
      </c>
    </row>
    <row r="141" spans="12:19" x14ac:dyDescent="0.25">
      <c r="L141" s="7" t="e">
        <f>VLOOKUP(A141,'3121% SY'!A:M,'3121% SY'!$M$1,FALSE)</f>
        <v>#N/A</v>
      </c>
    </row>
    <row r="142" spans="12:19" x14ac:dyDescent="0.25">
      <c r="L142" s="7" t="e">
        <f>VLOOKUP(A142,'3121% SY'!A:M,'3121% SY'!$M$1,FALSE)</f>
        <v>#N/A</v>
      </c>
    </row>
    <row r="143" spans="12:19" x14ac:dyDescent="0.25">
      <c r="L143" s="7" t="e">
        <f>VLOOKUP(A143,'3121% SY'!A:M,'3121% SY'!$M$1,FALSE)</f>
        <v>#N/A</v>
      </c>
    </row>
    <row r="144" spans="12:19" x14ac:dyDescent="0.25">
      <c r="L144" s="7" t="e">
        <f>VLOOKUP(A144,'3121% SY'!A:M,'3121% SY'!$M$1,FALSE)</f>
        <v>#N/A</v>
      </c>
    </row>
    <row r="145" spans="12:12" x14ac:dyDescent="0.25">
      <c r="L145" s="7" t="e">
        <f>VLOOKUP(A145,'3121% SY'!A:M,'3121% SY'!$M$1,FALSE)</f>
        <v>#N/A</v>
      </c>
    </row>
    <row r="146" spans="12:12" x14ac:dyDescent="0.25">
      <c r="L146" s="7" t="e">
        <f>VLOOKUP(A146,'3121% SY'!A:M,'3121% SY'!$M$1,FALSE)</f>
        <v>#N/A</v>
      </c>
    </row>
    <row r="147" spans="12:12" x14ac:dyDescent="0.25">
      <c r="L147" s="7" t="e">
        <f>VLOOKUP(A147,'3121% SY'!A:M,'3121% SY'!$M$1,FALSE)</f>
        <v>#N/A</v>
      </c>
    </row>
    <row r="148" spans="12:12" x14ac:dyDescent="0.25">
      <c r="L148" s="7" t="e">
        <f>VLOOKUP(A148,'3121% SY'!A:M,'3121% SY'!$M$1,FALSE)</f>
        <v>#N/A</v>
      </c>
    </row>
    <row r="149" spans="12:12" x14ac:dyDescent="0.25">
      <c r="L149" s="7" t="e">
        <f>VLOOKUP(A149,'3121% SY'!A:M,'3121% SY'!$M$1,FALSE)</f>
        <v>#N/A</v>
      </c>
    </row>
    <row r="150" spans="12:12" x14ac:dyDescent="0.25">
      <c r="L150" s="7" t="e">
        <f>VLOOKUP(A150,'3121% SY'!A:M,'3121% SY'!$M$1,FALSE)</f>
        <v>#N/A</v>
      </c>
    </row>
    <row r="151" spans="12:12" x14ac:dyDescent="0.25">
      <c r="L151" s="7" t="e">
        <f>VLOOKUP(A151,'3121% SY'!A:M,'3121% SY'!$M$1,FALSE)</f>
        <v>#N/A</v>
      </c>
    </row>
  </sheetData>
  <mergeCells count="1">
    <mergeCell ref="B2:H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AF05D-7671-46DB-9010-0846478095B8}">
  <dimension ref="A1:T151"/>
  <sheetViews>
    <sheetView workbookViewId="0">
      <selection activeCell="L4" sqref="L4:L151"/>
    </sheetView>
  </sheetViews>
  <sheetFormatPr defaultRowHeight="15" x14ac:dyDescent="0.25"/>
  <cols>
    <col min="1" max="1" width="13.140625" bestFit="1" customWidth="1"/>
    <col min="2" max="2" width="12.7109375" bestFit="1" customWidth="1"/>
    <col min="3" max="3" width="13.7109375" bestFit="1" customWidth="1"/>
    <col min="4" max="4" width="13.140625" bestFit="1" customWidth="1"/>
    <col min="5" max="5" width="14.85546875" bestFit="1" customWidth="1"/>
    <col min="6" max="6" width="15.7109375" bestFit="1" customWidth="1"/>
    <col min="7" max="7" width="15.140625" bestFit="1" customWidth="1"/>
    <col min="8" max="8" width="14.85546875" bestFit="1" customWidth="1"/>
    <col min="9" max="9" width="15.7109375" bestFit="1" customWidth="1"/>
    <col min="10" max="10" width="15.140625" bestFit="1" customWidth="1"/>
    <col min="11" max="11" width="14.85546875" bestFit="1" customWidth="1"/>
    <col min="12" max="12" width="12.7109375" bestFit="1" customWidth="1"/>
    <col min="13" max="13" width="17.42578125" bestFit="1" customWidth="1"/>
    <col min="14" max="14" width="12.7109375" bestFit="1" customWidth="1"/>
    <col min="15" max="16" width="16" bestFit="1" customWidth="1"/>
    <col min="17" max="17" width="13.5703125" bestFit="1" customWidth="1"/>
    <col min="18" max="18" width="12.7109375" bestFit="1" customWidth="1"/>
    <col min="19" max="19" width="21" bestFit="1" customWidth="1"/>
    <col min="20" max="43" width="12.7109375" bestFit="1" customWidth="1"/>
  </cols>
  <sheetData>
    <row r="1" spans="1:20" x14ac:dyDescent="0.25">
      <c r="A1" s="87">
        <f>COLUMN(A1)</f>
        <v>1</v>
      </c>
      <c r="B1" s="87">
        <f>COLUMN(B1)</f>
        <v>2</v>
      </c>
      <c r="C1" s="87">
        <f t="shared" ref="C1:S1" si="0">COLUMN(C1)</f>
        <v>3</v>
      </c>
      <c r="D1" s="87">
        <f t="shared" si="0"/>
        <v>4</v>
      </c>
      <c r="E1" s="87">
        <f t="shared" si="0"/>
        <v>5</v>
      </c>
      <c r="F1" s="87">
        <f t="shared" si="0"/>
        <v>6</v>
      </c>
      <c r="G1" s="87">
        <f t="shared" si="0"/>
        <v>7</v>
      </c>
      <c r="H1" s="87">
        <f t="shared" si="0"/>
        <v>8</v>
      </c>
      <c r="I1" s="87">
        <f t="shared" si="0"/>
        <v>9</v>
      </c>
      <c r="J1" s="87">
        <f t="shared" si="0"/>
        <v>10</v>
      </c>
      <c r="K1" s="87">
        <f t="shared" si="0"/>
        <v>11</v>
      </c>
      <c r="L1" s="87">
        <f t="shared" si="0"/>
        <v>12</v>
      </c>
      <c r="M1" s="87">
        <f t="shared" si="0"/>
        <v>13</v>
      </c>
      <c r="N1" s="87">
        <f t="shared" si="0"/>
        <v>14</v>
      </c>
      <c r="O1" s="87">
        <f t="shared" si="0"/>
        <v>15</v>
      </c>
      <c r="P1" s="87">
        <f t="shared" si="0"/>
        <v>16</v>
      </c>
      <c r="Q1" s="87">
        <f t="shared" si="0"/>
        <v>17</v>
      </c>
      <c r="R1" s="87">
        <f t="shared" si="0"/>
        <v>18</v>
      </c>
      <c r="S1" s="87">
        <f t="shared" si="0"/>
        <v>19</v>
      </c>
      <c r="T1" s="87"/>
    </row>
    <row r="2" spans="1:20" x14ac:dyDescent="0.25">
      <c r="A2">
        <f>COUNTA(A4:A131)</f>
        <v>24</v>
      </c>
      <c r="B2" s="290" t="s">
        <v>1058</v>
      </c>
      <c r="C2" s="290"/>
      <c r="D2" s="290"/>
      <c r="E2" s="290"/>
      <c r="F2" s="290"/>
      <c r="G2" s="290"/>
      <c r="H2" s="290"/>
      <c r="I2" s="156"/>
      <c r="J2" s="156"/>
      <c r="K2" s="156"/>
      <c r="N2" s="33" t="e">
        <f>SUM(N5:N150)</f>
        <v>#N/A</v>
      </c>
    </row>
    <row r="3" spans="1:20" x14ac:dyDescent="0.25">
      <c r="A3" s="91" t="s">
        <v>752</v>
      </c>
      <c r="B3" t="s">
        <v>1165</v>
      </c>
      <c r="C3" t="s">
        <v>1174</v>
      </c>
      <c r="D3" t="s">
        <v>1177</v>
      </c>
      <c r="E3" t="s">
        <v>1171</v>
      </c>
      <c r="F3" t="s">
        <v>1175</v>
      </c>
      <c r="G3" t="s">
        <v>1178</v>
      </c>
      <c r="H3" t="s">
        <v>1172</v>
      </c>
      <c r="I3" t="s">
        <v>1176</v>
      </c>
      <c r="J3" t="s">
        <v>1179</v>
      </c>
      <c r="K3" t="s">
        <v>1173</v>
      </c>
      <c r="L3" s="6">
        <v>31.21</v>
      </c>
      <c r="M3" t="str">
        <f>"SpEd Staffed "&amp;$B$2</f>
        <v>SpEd Staffed Pupil Safety</v>
      </c>
      <c r="N3" s="162" t="str">
        <f>"Total "&amp;$B$2</f>
        <v>Total Pupil Safety</v>
      </c>
      <c r="O3" t="s">
        <v>1062</v>
      </c>
      <c r="P3" t="s">
        <v>1063</v>
      </c>
      <c r="Q3" t="s">
        <v>1061</v>
      </c>
      <c r="R3" t="str">
        <f>"SpEd Contracted "&amp;$B$2</f>
        <v>SpEd Contracted Pupil Safety</v>
      </c>
      <c r="S3" s="162" t="str">
        <f>"Total Contracted "&amp;$B$2</f>
        <v>Total Contracted Pupil Safety</v>
      </c>
    </row>
    <row r="4" spans="1:20" x14ac:dyDescent="0.25">
      <c r="A4" s="88" t="s">
        <v>7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7">
        <f>VLOOKUP(A4,'3121% SY'!A:M,'3121% SY'!$M$1,FALSE)</f>
        <v>0.1179</v>
      </c>
      <c r="M4" s="161">
        <f>ROUND(I4*$L4,3)+ROUND(J4*$L4,3)++ROUND(K4*$L4,3)</f>
        <v>0</v>
      </c>
      <c r="N4" s="33">
        <f>SUM(M4,B4:H4)</f>
        <v>0</v>
      </c>
      <c r="R4" s="161">
        <f>ROUND(Q4*$L4,3)</f>
        <v>0</v>
      </c>
      <c r="S4" s="33">
        <f>SUM(R4,O4:P4)</f>
        <v>0</v>
      </c>
    </row>
    <row r="5" spans="1:20" x14ac:dyDescent="0.25">
      <c r="A5" s="88" t="s">
        <v>40</v>
      </c>
      <c r="B5">
        <v>0</v>
      </c>
      <c r="C5">
        <v>0</v>
      </c>
      <c r="D5">
        <v>0</v>
      </c>
      <c r="E5">
        <v>0.5</v>
      </c>
      <c r="F5">
        <v>0.5</v>
      </c>
      <c r="G5">
        <v>2</v>
      </c>
      <c r="H5">
        <v>0</v>
      </c>
      <c r="I5">
        <v>0</v>
      </c>
      <c r="J5">
        <v>0</v>
      </c>
      <c r="K5">
        <v>0</v>
      </c>
      <c r="L5" s="7">
        <f>VLOOKUP(A5,'3121% SY'!A:M,'3121% SY'!$M$1,FALSE)</f>
        <v>0.1794</v>
      </c>
      <c r="M5" s="161">
        <f t="shared" ref="M5:M68" si="1">ROUND(I5*$L5,3)+ROUND(J5*$L5,3)++ROUND(K5*$L5,3)</f>
        <v>0</v>
      </c>
      <c r="N5" s="33">
        <f t="shared" ref="N5:N68" si="2">SUM(M5,B5:H5)</f>
        <v>3</v>
      </c>
      <c r="R5" s="161">
        <f t="shared" ref="R5:R68" si="3">ROUND(Q5*$L5,3)</f>
        <v>0</v>
      </c>
      <c r="S5" s="33">
        <f t="shared" ref="S5:S68" si="4">SUM(R5,O5:P5)</f>
        <v>0</v>
      </c>
    </row>
    <row r="6" spans="1:20" x14ac:dyDescent="0.25">
      <c r="A6" s="88" t="s">
        <v>61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7">
        <f>VLOOKUP(A6,'3121% SY'!A:M,'3121% SY'!$M$1,FALSE)</f>
        <v>0.24629999999999996</v>
      </c>
      <c r="M6" s="161">
        <f t="shared" si="1"/>
        <v>0</v>
      </c>
      <c r="N6" s="33">
        <f t="shared" si="2"/>
        <v>0</v>
      </c>
      <c r="R6" s="161">
        <f t="shared" si="3"/>
        <v>0</v>
      </c>
      <c r="S6" s="33">
        <f t="shared" si="4"/>
        <v>0</v>
      </c>
    </row>
    <row r="7" spans="1:20" x14ac:dyDescent="0.25">
      <c r="A7" s="88" t="s">
        <v>78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7">
        <f>VLOOKUP(A7,'3121% SY'!A:M,'3121% SY'!$M$1,FALSE)</f>
        <v>0.17600000000000005</v>
      </c>
      <c r="M7" s="161">
        <f t="shared" si="1"/>
        <v>0</v>
      </c>
      <c r="N7" s="33">
        <f t="shared" si="2"/>
        <v>0</v>
      </c>
      <c r="R7" s="161">
        <f t="shared" si="3"/>
        <v>0</v>
      </c>
      <c r="S7" s="33">
        <f t="shared" si="4"/>
        <v>0</v>
      </c>
    </row>
    <row r="8" spans="1:20" x14ac:dyDescent="0.25">
      <c r="A8" s="88" t="s">
        <v>84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7">
        <f>VLOOKUP(A8,'3121% SY'!A:M,'3121% SY'!$M$1,FALSE)</f>
        <v>8.9999999999999969E-2</v>
      </c>
      <c r="M8" s="161">
        <f t="shared" si="1"/>
        <v>0</v>
      </c>
      <c r="N8" s="33">
        <f t="shared" si="2"/>
        <v>0</v>
      </c>
      <c r="R8" s="161">
        <f t="shared" si="3"/>
        <v>0</v>
      </c>
      <c r="S8" s="33">
        <f t="shared" si="4"/>
        <v>0</v>
      </c>
    </row>
    <row r="9" spans="1:20" x14ac:dyDescent="0.25">
      <c r="A9" s="88" t="s">
        <v>87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7">
        <f>VLOOKUP(A9,'3121% SY'!A:M,'3121% SY'!$M$1,FALSE)</f>
        <v>0.18340000000000001</v>
      </c>
      <c r="M9" s="161">
        <f t="shared" si="1"/>
        <v>0</v>
      </c>
      <c r="N9" s="33">
        <f t="shared" si="2"/>
        <v>0</v>
      </c>
      <c r="R9" s="161">
        <f t="shared" si="3"/>
        <v>0</v>
      </c>
      <c r="S9" s="33">
        <f t="shared" si="4"/>
        <v>0</v>
      </c>
    </row>
    <row r="10" spans="1:20" x14ac:dyDescent="0.25">
      <c r="A10" s="88" t="s">
        <v>89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7">
        <f>VLOOKUP(A10,'3121% SY'!A:M,'3121% SY'!$M$1,FALSE)</f>
        <v>0.22170000000000001</v>
      </c>
      <c r="M10" s="161">
        <f t="shared" si="1"/>
        <v>0</v>
      </c>
      <c r="N10" s="33">
        <f t="shared" si="2"/>
        <v>0</v>
      </c>
      <c r="R10" s="161">
        <f t="shared" si="3"/>
        <v>0</v>
      </c>
      <c r="S10" s="33">
        <f t="shared" si="4"/>
        <v>0</v>
      </c>
    </row>
    <row r="11" spans="1:20" x14ac:dyDescent="0.25">
      <c r="A11" s="88" t="s">
        <v>141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7">
        <f>VLOOKUP(A11,'3121% SY'!A:M,'3121% SY'!$M$1,FALSE)</f>
        <v>0.31479999999999997</v>
      </c>
      <c r="M11" s="161">
        <f t="shared" si="1"/>
        <v>0</v>
      </c>
      <c r="N11" s="33">
        <f t="shared" si="2"/>
        <v>0</v>
      </c>
      <c r="R11" s="161">
        <f t="shared" si="3"/>
        <v>0</v>
      </c>
      <c r="S11" s="33">
        <f t="shared" si="4"/>
        <v>0</v>
      </c>
    </row>
    <row r="12" spans="1:20" x14ac:dyDescent="0.25">
      <c r="A12" s="88" t="s">
        <v>145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7">
        <f>VLOOKUP(A12,'3121% SY'!A:M,'3121% SY'!$M$1,FALSE)</f>
        <v>0.28620000000000001</v>
      </c>
      <c r="M12" s="161">
        <f t="shared" si="1"/>
        <v>0</v>
      </c>
      <c r="N12" s="33">
        <f t="shared" si="2"/>
        <v>0</v>
      </c>
      <c r="R12" s="161">
        <f t="shared" si="3"/>
        <v>0</v>
      </c>
      <c r="S12" s="33">
        <f t="shared" si="4"/>
        <v>0</v>
      </c>
    </row>
    <row r="13" spans="1:20" x14ac:dyDescent="0.25">
      <c r="A13" s="88" t="s">
        <v>146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7">
        <f>VLOOKUP(A13,'3121% SY'!A:M,'3121% SY'!$M$1,FALSE)</f>
        <v>0.25719999999999998</v>
      </c>
      <c r="M13" s="161">
        <f t="shared" si="1"/>
        <v>0</v>
      </c>
      <c r="N13" s="33">
        <f t="shared" si="2"/>
        <v>0</v>
      </c>
      <c r="R13" s="161">
        <f t="shared" si="3"/>
        <v>0</v>
      </c>
      <c r="S13" s="33">
        <f t="shared" si="4"/>
        <v>0</v>
      </c>
    </row>
    <row r="14" spans="1:20" x14ac:dyDescent="0.25">
      <c r="A14" s="88" t="s">
        <v>162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7">
        <f>VLOOKUP(A14,'3121% SY'!A:M,'3121% SY'!$M$1,FALSE)</f>
        <v>0.19820000000000004</v>
      </c>
      <c r="M14" s="161">
        <f t="shared" si="1"/>
        <v>0</v>
      </c>
      <c r="N14" s="33">
        <f t="shared" si="2"/>
        <v>0</v>
      </c>
      <c r="R14" s="161">
        <f t="shared" si="3"/>
        <v>0</v>
      </c>
      <c r="S14" s="33">
        <f t="shared" si="4"/>
        <v>0</v>
      </c>
    </row>
    <row r="15" spans="1:20" x14ac:dyDescent="0.25">
      <c r="A15" s="88" t="s">
        <v>163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7">
        <f>VLOOKUP(A15,'3121% SY'!A:M,'3121% SY'!$M$1,FALSE)</f>
        <v>0.20989999999999998</v>
      </c>
      <c r="M15" s="161">
        <f t="shared" si="1"/>
        <v>0</v>
      </c>
      <c r="N15" s="33">
        <f t="shared" si="2"/>
        <v>0</v>
      </c>
      <c r="R15" s="161">
        <f t="shared" si="3"/>
        <v>0</v>
      </c>
      <c r="S15" s="33">
        <f t="shared" si="4"/>
        <v>0</v>
      </c>
    </row>
    <row r="16" spans="1:20" x14ac:dyDescent="0.25">
      <c r="A16" s="88" t="s">
        <v>176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7">
        <f>VLOOKUP(A16,'3121% SY'!A:M,'3121% SY'!$M$1,FALSE)</f>
        <v>0.29900000000000004</v>
      </c>
      <c r="M16" s="161">
        <f t="shared" si="1"/>
        <v>0</v>
      </c>
      <c r="N16" s="33">
        <f t="shared" si="2"/>
        <v>0</v>
      </c>
      <c r="R16" s="161">
        <f t="shared" si="3"/>
        <v>0</v>
      </c>
      <c r="S16" s="33">
        <f t="shared" si="4"/>
        <v>0</v>
      </c>
    </row>
    <row r="17" spans="1:19" x14ac:dyDescent="0.25">
      <c r="A17" s="88" t="s">
        <v>233</v>
      </c>
      <c r="B17">
        <v>0</v>
      </c>
      <c r="C17">
        <v>0</v>
      </c>
      <c r="D17">
        <v>0</v>
      </c>
      <c r="E17">
        <v>0.2</v>
      </c>
      <c r="F17">
        <v>0.2</v>
      </c>
      <c r="G17">
        <v>0.4</v>
      </c>
      <c r="H17">
        <v>0</v>
      </c>
      <c r="I17">
        <v>0</v>
      </c>
      <c r="J17">
        <v>0</v>
      </c>
      <c r="K17">
        <v>0</v>
      </c>
      <c r="L17" s="7">
        <f>VLOOKUP(A17,'3121% SY'!A:M,'3121% SY'!$M$1,FALSE)</f>
        <v>0.20020000000000004</v>
      </c>
      <c r="M17" s="161">
        <f t="shared" si="1"/>
        <v>0</v>
      </c>
      <c r="N17" s="33">
        <f t="shared" si="2"/>
        <v>0.8</v>
      </c>
      <c r="R17" s="161">
        <f t="shared" si="3"/>
        <v>0</v>
      </c>
      <c r="S17" s="33">
        <f t="shared" si="4"/>
        <v>0</v>
      </c>
    </row>
    <row r="18" spans="1:19" x14ac:dyDescent="0.25">
      <c r="A18" s="88" t="s">
        <v>250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7">
        <f>VLOOKUP(A18,'3121% SY'!A:M,'3121% SY'!$M$1,FALSE)</f>
        <v>0.15839999999999999</v>
      </c>
      <c r="M18" s="161">
        <f t="shared" si="1"/>
        <v>0</v>
      </c>
      <c r="N18" s="33">
        <f t="shared" si="2"/>
        <v>0</v>
      </c>
      <c r="R18" s="161">
        <f t="shared" si="3"/>
        <v>0</v>
      </c>
      <c r="S18" s="33">
        <f t="shared" si="4"/>
        <v>0</v>
      </c>
    </row>
    <row r="19" spans="1:19" x14ac:dyDescent="0.25">
      <c r="A19" s="88" t="s">
        <v>256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7">
        <f>VLOOKUP(A19,'3121% SY'!A:M,'3121% SY'!$M$1,FALSE)</f>
        <v>0.23140000000000005</v>
      </c>
      <c r="M19" s="161">
        <f t="shared" si="1"/>
        <v>0</v>
      </c>
      <c r="N19" s="33">
        <f t="shared" si="2"/>
        <v>0</v>
      </c>
      <c r="R19" s="161">
        <f t="shared" si="3"/>
        <v>0</v>
      </c>
      <c r="S19" s="33">
        <f t="shared" si="4"/>
        <v>0</v>
      </c>
    </row>
    <row r="20" spans="1:19" x14ac:dyDescent="0.25">
      <c r="A20" s="88" t="s">
        <v>259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7">
        <f>VLOOKUP(A20,'3121% SY'!A:M,'3121% SY'!$M$1,FALSE)</f>
        <v>0.24870000000000003</v>
      </c>
      <c r="M20" s="161">
        <f t="shared" si="1"/>
        <v>0</v>
      </c>
      <c r="N20" s="33">
        <f t="shared" si="2"/>
        <v>0</v>
      </c>
      <c r="R20" s="161">
        <f t="shared" si="3"/>
        <v>0</v>
      </c>
      <c r="S20" s="33">
        <f t="shared" si="4"/>
        <v>0</v>
      </c>
    </row>
    <row r="21" spans="1:19" x14ac:dyDescent="0.25">
      <c r="A21" s="88" t="s">
        <v>280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7">
        <f>VLOOKUP(A21,'3121% SY'!A:M,'3121% SY'!$M$1,FALSE)</f>
        <v>0.18340000000000001</v>
      </c>
      <c r="M21" s="161">
        <f t="shared" si="1"/>
        <v>0</v>
      </c>
      <c r="N21" s="33">
        <f t="shared" si="2"/>
        <v>0</v>
      </c>
      <c r="R21" s="161">
        <f t="shared" si="3"/>
        <v>0</v>
      </c>
      <c r="S21" s="33">
        <f t="shared" si="4"/>
        <v>0</v>
      </c>
    </row>
    <row r="22" spans="1:19" x14ac:dyDescent="0.25">
      <c r="A22" s="88" t="s">
        <v>284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7">
        <f>VLOOKUP(A22,'3121% SY'!A:M,'3121% SY'!$M$1,FALSE)</f>
        <v>0.14729999999999999</v>
      </c>
      <c r="M22" s="161">
        <f t="shared" si="1"/>
        <v>0</v>
      </c>
      <c r="N22" s="33">
        <f t="shared" si="2"/>
        <v>0</v>
      </c>
      <c r="R22" s="161">
        <f t="shared" si="3"/>
        <v>0</v>
      </c>
      <c r="S22" s="33">
        <f t="shared" si="4"/>
        <v>0</v>
      </c>
    </row>
    <row r="23" spans="1:19" x14ac:dyDescent="0.25">
      <c r="A23" s="88" t="s">
        <v>289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7">
        <f>VLOOKUP(A23,'3121% SY'!A:M,'3121% SY'!$M$1,FALSE)</f>
        <v>0.19010000000000005</v>
      </c>
      <c r="M23" s="161">
        <f t="shared" si="1"/>
        <v>0</v>
      </c>
      <c r="N23" s="33">
        <f t="shared" si="2"/>
        <v>0</v>
      </c>
      <c r="R23" s="161">
        <f t="shared" si="3"/>
        <v>0</v>
      </c>
      <c r="S23" s="33">
        <f t="shared" si="4"/>
        <v>0</v>
      </c>
    </row>
    <row r="24" spans="1:19" x14ac:dyDescent="0.25">
      <c r="A24" s="88" t="s">
        <v>290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7">
        <f>VLOOKUP(A24,'3121% SY'!A:M,'3121% SY'!$M$1,FALSE)</f>
        <v>0.15839999999999999</v>
      </c>
      <c r="M24" s="161">
        <f t="shared" si="1"/>
        <v>0</v>
      </c>
      <c r="N24" s="33">
        <f t="shared" si="2"/>
        <v>0</v>
      </c>
      <c r="R24" s="161">
        <f t="shared" si="3"/>
        <v>0</v>
      </c>
      <c r="S24" s="33">
        <f t="shared" si="4"/>
        <v>0</v>
      </c>
    </row>
    <row r="25" spans="1:19" x14ac:dyDescent="0.25">
      <c r="A25" s="88" t="s">
        <v>302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7">
        <f>VLOOKUP(A25,'3121% SY'!A:M,'3121% SY'!$M$1,FALSE)</f>
        <v>0.21989999999999998</v>
      </c>
      <c r="M25" s="161">
        <f t="shared" si="1"/>
        <v>0</v>
      </c>
      <c r="N25" s="33">
        <f t="shared" si="2"/>
        <v>0</v>
      </c>
      <c r="R25" s="161">
        <f t="shared" si="3"/>
        <v>0</v>
      </c>
      <c r="S25" s="33">
        <f t="shared" si="4"/>
        <v>0</v>
      </c>
    </row>
    <row r="26" spans="1:19" x14ac:dyDescent="0.25">
      <c r="A26" s="88" t="s">
        <v>1098</v>
      </c>
      <c r="L26" s="7" t="e">
        <f>VLOOKUP(A26,'3121% SY'!A:M,'3121% SY'!$M$1,FALSE)</f>
        <v>#N/A</v>
      </c>
      <c r="M26" s="161" t="e">
        <f t="shared" si="1"/>
        <v>#N/A</v>
      </c>
      <c r="N26" s="33" t="e">
        <f t="shared" si="2"/>
        <v>#N/A</v>
      </c>
      <c r="R26" s="161" t="e">
        <f t="shared" si="3"/>
        <v>#N/A</v>
      </c>
      <c r="S26" s="33" t="e">
        <f t="shared" si="4"/>
        <v>#N/A</v>
      </c>
    </row>
    <row r="27" spans="1:19" x14ac:dyDescent="0.25">
      <c r="A27" s="88" t="s">
        <v>753</v>
      </c>
      <c r="B27">
        <v>0</v>
      </c>
      <c r="C27">
        <v>0</v>
      </c>
      <c r="D27">
        <v>0</v>
      </c>
      <c r="E27">
        <v>0.7</v>
      </c>
      <c r="F27">
        <v>0.7</v>
      </c>
      <c r="G27">
        <v>2.4</v>
      </c>
      <c r="H27">
        <v>0</v>
      </c>
      <c r="I27">
        <v>0</v>
      </c>
      <c r="J27">
        <v>0</v>
      </c>
      <c r="K27">
        <v>0</v>
      </c>
      <c r="L27" s="7" t="e">
        <f>VLOOKUP(A27,'3121% SY'!A:M,'3121% SY'!$M$1,FALSE)</f>
        <v>#N/A</v>
      </c>
      <c r="M27" s="161" t="e">
        <f t="shared" si="1"/>
        <v>#N/A</v>
      </c>
      <c r="N27" s="33" t="e">
        <f t="shared" si="2"/>
        <v>#N/A</v>
      </c>
      <c r="R27" s="161" t="e">
        <f t="shared" si="3"/>
        <v>#N/A</v>
      </c>
      <c r="S27" s="33" t="e">
        <f t="shared" si="4"/>
        <v>#N/A</v>
      </c>
    </row>
    <row r="28" spans="1:19" x14ac:dyDescent="0.25">
      <c r="L28" s="7" t="e">
        <f>VLOOKUP(A28,'3121% SY'!A:M,'3121% SY'!$M$1,FALSE)</f>
        <v>#N/A</v>
      </c>
      <c r="M28" s="161" t="e">
        <f t="shared" si="1"/>
        <v>#N/A</v>
      </c>
      <c r="N28" s="33" t="e">
        <f t="shared" si="2"/>
        <v>#N/A</v>
      </c>
      <c r="R28" s="161" t="e">
        <f t="shared" si="3"/>
        <v>#N/A</v>
      </c>
      <c r="S28" s="33" t="e">
        <f t="shared" si="4"/>
        <v>#N/A</v>
      </c>
    </row>
    <row r="29" spans="1:19" x14ac:dyDescent="0.25">
      <c r="L29" s="7" t="e">
        <f>VLOOKUP(A29,'3121% SY'!A:M,'3121% SY'!$M$1,FALSE)</f>
        <v>#N/A</v>
      </c>
      <c r="M29" s="161" t="e">
        <f t="shared" si="1"/>
        <v>#N/A</v>
      </c>
      <c r="N29" s="33" t="e">
        <f t="shared" si="2"/>
        <v>#N/A</v>
      </c>
      <c r="R29" s="161" t="e">
        <f t="shared" si="3"/>
        <v>#N/A</v>
      </c>
      <c r="S29" s="33" t="e">
        <f t="shared" si="4"/>
        <v>#N/A</v>
      </c>
    </row>
    <row r="30" spans="1:19" x14ac:dyDescent="0.25">
      <c r="L30" s="7" t="e">
        <f>VLOOKUP(A30,'3121% SY'!A:M,'3121% SY'!$M$1,FALSE)</f>
        <v>#N/A</v>
      </c>
      <c r="M30" s="161" t="e">
        <f t="shared" si="1"/>
        <v>#N/A</v>
      </c>
      <c r="N30" s="33" t="e">
        <f t="shared" si="2"/>
        <v>#N/A</v>
      </c>
      <c r="R30" s="161" t="e">
        <f t="shared" si="3"/>
        <v>#N/A</v>
      </c>
      <c r="S30" s="33" t="e">
        <f t="shared" si="4"/>
        <v>#N/A</v>
      </c>
    </row>
    <row r="31" spans="1:19" x14ac:dyDescent="0.25">
      <c r="L31" s="7" t="e">
        <f>VLOOKUP(A31,'3121% SY'!A:M,'3121% SY'!$M$1,FALSE)</f>
        <v>#N/A</v>
      </c>
      <c r="M31" s="161" t="e">
        <f t="shared" si="1"/>
        <v>#N/A</v>
      </c>
      <c r="N31" s="33" t="e">
        <f t="shared" si="2"/>
        <v>#N/A</v>
      </c>
      <c r="R31" s="161" t="e">
        <f t="shared" si="3"/>
        <v>#N/A</v>
      </c>
      <c r="S31" s="33" t="e">
        <f t="shared" si="4"/>
        <v>#N/A</v>
      </c>
    </row>
    <row r="32" spans="1:19" x14ac:dyDescent="0.25">
      <c r="L32" s="7" t="e">
        <f>VLOOKUP(A32,'3121% SY'!A:M,'3121% SY'!$M$1,FALSE)</f>
        <v>#N/A</v>
      </c>
      <c r="M32" s="161" t="e">
        <f t="shared" si="1"/>
        <v>#N/A</v>
      </c>
      <c r="N32" s="33" t="e">
        <f t="shared" si="2"/>
        <v>#N/A</v>
      </c>
      <c r="R32" s="161" t="e">
        <f t="shared" si="3"/>
        <v>#N/A</v>
      </c>
      <c r="S32" s="33" t="e">
        <f t="shared" si="4"/>
        <v>#N/A</v>
      </c>
    </row>
    <row r="33" spans="12:19" x14ac:dyDescent="0.25">
      <c r="L33" s="7" t="e">
        <f>VLOOKUP(A33,'3121% SY'!A:M,'3121% SY'!$M$1,FALSE)</f>
        <v>#N/A</v>
      </c>
      <c r="M33" s="161" t="e">
        <f t="shared" si="1"/>
        <v>#N/A</v>
      </c>
      <c r="N33" s="33" t="e">
        <f t="shared" si="2"/>
        <v>#N/A</v>
      </c>
      <c r="R33" s="161" t="e">
        <f t="shared" si="3"/>
        <v>#N/A</v>
      </c>
      <c r="S33" s="33" t="e">
        <f t="shared" si="4"/>
        <v>#N/A</v>
      </c>
    </row>
    <row r="34" spans="12:19" x14ac:dyDescent="0.25">
      <c r="L34" s="7" t="e">
        <f>VLOOKUP(A34,'3121% SY'!A:M,'3121% SY'!$M$1,FALSE)</f>
        <v>#N/A</v>
      </c>
      <c r="M34" s="161" t="e">
        <f t="shared" si="1"/>
        <v>#N/A</v>
      </c>
      <c r="N34" s="33" t="e">
        <f t="shared" si="2"/>
        <v>#N/A</v>
      </c>
      <c r="R34" s="161" t="e">
        <f t="shared" si="3"/>
        <v>#N/A</v>
      </c>
      <c r="S34" s="33" t="e">
        <f t="shared" si="4"/>
        <v>#N/A</v>
      </c>
    </row>
    <row r="35" spans="12:19" x14ac:dyDescent="0.25">
      <c r="L35" s="7" t="e">
        <f>VLOOKUP(A35,'3121% SY'!A:M,'3121% SY'!$M$1,FALSE)</f>
        <v>#N/A</v>
      </c>
      <c r="M35" s="161" t="e">
        <f t="shared" si="1"/>
        <v>#N/A</v>
      </c>
      <c r="N35" s="33" t="e">
        <f t="shared" si="2"/>
        <v>#N/A</v>
      </c>
      <c r="R35" s="161" t="e">
        <f t="shared" si="3"/>
        <v>#N/A</v>
      </c>
      <c r="S35" s="33" t="e">
        <f t="shared" si="4"/>
        <v>#N/A</v>
      </c>
    </row>
    <row r="36" spans="12:19" x14ac:dyDescent="0.25">
      <c r="L36" s="7" t="e">
        <f>VLOOKUP(A36,'3121% SY'!A:M,'3121% SY'!$M$1,FALSE)</f>
        <v>#N/A</v>
      </c>
      <c r="M36" s="161" t="e">
        <f t="shared" si="1"/>
        <v>#N/A</v>
      </c>
      <c r="N36" s="33" t="e">
        <f t="shared" si="2"/>
        <v>#N/A</v>
      </c>
      <c r="R36" s="161" t="e">
        <f t="shared" si="3"/>
        <v>#N/A</v>
      </c>
      <c r="S36" s="33" t="e">
        <f t="shared" si="4"/>
        <v>#N/A</v>
      </c>
    </row>
    <row r="37" spans="12:19" x14ac:dyDescent="0.25">
      <c r="L37" s="7" t="e">
        <f>VLOOKUP(A37,'3121% SY'!A:M,'3121% SY'!$M$1,FALSE)</f>
        <v>#N/A</v>
      </c>
      <c r="M37" s="161" t="e">
        <f t="shared" si="1"/>
        <v>#N/A</v>
      </c>
      <c r="N37" s="33" t="e">
        <f t="shared" si="2"/>
        <v>#N/A</v>
      </c>
      <c r="R37" s="161" t="e">
        <f t="shared" si="3"/>
        <v>#N/A</v>
      </c>
      <c r="S37" s="33" t="e">
        <f t="shared" si="4"/>
        <v>#N/A</v>
      </c>
    </row>
    <row r="38" spans="12:19" x14ac:dyDescent="0.25">
      <c r="L38" s="7" t="e">
        <f>VLOOKUP(A38,'3121% SY'!A:M,'3121% SY'!$M$1,FALSE)</f>
        <v>#N/A</v>
      </c>
      <c r="M38" s="161" t="e">
        <f t="shared" si="1"/>
        <v>#N/A</v>
      </c>
      <c r="N38" s="33" t="e">
        <f t="shared" si="2"/>
        <v>#N/A</v>
      </c>
      <c r="R38" s="161" t="e">
        <f t="shared" si="3"/>
        <v>#N/A</v>
      </c>
      <c r="S38" s="33" t="e">
        <f t="shared" si="4"/>
        <v>#N/A</v>
      </c>
    </row>
    <row r="39" spans="12:19" x14ac:dyDescent="0.25">
      <c r="L39" s="7" t="e">
        <f>VLOOKUP(A39,'3121% SY'!A:M,'3121% SY'!$M$1,FALSE)</f>
        <v>#N/A</v>
      </c>
      <c r="M39" s="161" t="e">
        <f t="shared" si="1"/>
        <v>#N/A</v>
      </c>
      <c r="N39" s="33" t="e">
        <f t="shared" si="2"/>
        <v>#N/A</v>
      </c>
      <c r="R39" s="161" t="e">
        <f t="shared" si="3"/>
        <v>#N/A</v>
      </c>
      <c r="S39" s="33" t="e">
        <f t="shared" si="4"/>
        <v>#N/A</v>
      </c>
    </row>
    <row r="40" spans="12:19" x14ac:dyDescent="0.25">
      <c r="L40" s="7" t="e">
        <f>VLOOKUP(A40,'3121% SY'!A:M,'3121% SY'!$M$1,FALSE)</f>
        <v>#N/A</v>
      </c>
      <c r="M40" s="161" t="e">
        <f t="shared" si="1"/>
        <v>#N/A</v>
      </c>
      <c r="N40" s="33" t="e">
        <f t="shared" si="2"/>
        <v>#N/A</v>
      </c>
      <c r="R40" s="161" t="e">
        <f t="shared" si="3"/>
        <v>#N/A</v>
      </c>
      <c r="S40" s="33" t="e">
        <f t="shared" si="4"/>
        <v>#N/A</v>
      </c>
    </row>
    <row r="41" spans="12:19" x14ac:dyDescent="0.25">
      <c r="L41" s="7" t="e">
        <f>VLOOKUP(A41,'3121% SY'!A:M,'3121% SY'!$M$1,FALSE)</f>
        <v>#N/A</v>
      </c>
      <c r="M41" s="161" t="e">
        <f t="shared" si="1"/>
        <v>#N/A</v>
      </c>
      <c r="N41" s="33" t="e">
        <f t="shared" si="2"/>
        <v>#N/A</v>
      </c>
      <c r="R41" s="161" t="e">
        <f t="shared" si="3"/>
        <v>#N/A</v>
      </c>
      <c r="S41" s="33" t="e">
        <f t="shared" si="4"/>
        <v>#N/A</v>
      </c>
    </row>
    <row r="42" spans="12:19" x14ac:dyDescent="0.25">
      <c r="L42" s="7" t="e">
        <f>VLOOKUP(A42,'3121% SY'!A:M,'3121% SY'!$M$1,FALSE)</f>
        <v>#N/A</v>
      </c>
      <c r="M42" s="161" t="e">
        <f t="shared" si="1"/>
        <v>#N/A</v>
      </c>
      <c r="N42" s="33" t="e">
        <f t="shared" si="2"/>
        <v>#N/A</v>
      </c>
      <c r="R42" s="161" t="e">
        <f t="shared" si="3"/>
        <v>#N/A</v>
      </c>
      <c r="S42" s="33" t="e">
        <f t="shared" si="4"/>
        <v>#N/A</v>
      </c>
    </row>
    <row r="43" spans="12:19" x14ac:dyDescent="0.25">
      <c r="L43" s="7" t="e">
        <f>VLOOKUP(A43,'3121% SY'!A:M,'3121% SY'!$M$1,FALSE)</f>
        <v>#N/A</v>
      </c>
      <c r="M43" s="161" t="e">
        <f t="shared" si="1"/>
        <v>#N/A</v>
      </c>
      <c r="N43" s="33" t="e">
        <f t="shared" si="2"/>
        <v>#N/A</v>
      </c>
      <c r="R43" s="161" t="e">
        <f t="shared" si="3"/>
        <v>#N/A</v>
      </c>
      <c r="S43" s="33" t="e">
        <f t="shared" si="4"/>
        <v>#N/A</v>
      </c>
    </row>
    <row r="44" spans="12:19" x14ac:dyDescent="0.25">
      <c r="L44" s="7" t="e">
        <f>VLOOKUP(A44,'3121% SY'!A:M,'3121% SY'!$M$1,FALSE)</f>
        <v>#N/A</v>
      </c>
      <c r="M44" s="161" t="e">
        <f t="shared" si="1"/>
        <v>#N/A</v>
      </c>
      <c r="N44" s="33" t="e">
        <f t="shared" si="2"/>
        <v>#N/A</v>
      </c>
      <c r="R44" s="161" t="e">
        <f t="shared" si="3"/>
        <v>#N/A</v>
      </c>
      <c r="S44" s="33" t="e">
        <f t="shared" si="4"/>
        <v>#N/A</v>
      </c>
    </row>
    <row r="45" spans="12:19" x14ac:dyDescent="0.25">
      <c r="L45" s="7" t="e">
        <f>VLOOKUP(A45,'3121% SY'!A:M,'3121% SY'!$M$1,FALSE)</f>
        <v>#N/A</v>
      </c>
      <c r="M45" s="161" t="e">
        <f t="shared" si="1"/>
        <v>#N/A</v>
      </c>
      <c r="N45" s="33" t="e">
        <f t="shared" si="2"/>
        <v>#N/A</v>
      </c>
      <c r="R45" s="161" t="e">
        <f t="shared" si="3"/>
        <v>#N/A</v>
      </c>
      <c r="S45" s="33" t="e">
        <f t="shared" si="4"/>
        <v>#N/A</v>
      </c>
    </row>
    <row r="46" spans="12:19" x14ac:dyDescent="0.25">
      <c r="L46" s="7" t="e">
        <f>VLOOKUP(A46,'3121% SY'!A:M,'3121% SY'!$M$1,FALSE)</f>
        <v>#N/A</v>
      </c>
      <c r="M46" s="161" t="e">
        <f t="shared" si="1"/>
        <v>#N/A</v>
      </c>
      <c r="N46" s="33" t="e">
        <f t="shared" si="2"/>
        <v>#N/A</v>
      </c>
      <c r="R46" s="161" t="e">
        <f t="shared" si="3"/>
        <v>#N/A</v>
      </c>
      <c r="S46" s="33" t="e">
        <f t="shared" si="4"/>
        <v>#N/A</v>
      </c>
    </row>
    <row r="47" spans="12:19" x14ac:dyDescent="0.25">
      <c r="L47" s="7" t="e">
        <f>VLOOKUP(A47,'3121% SY'!A:M,'3121% SY'!$M$1,FALSE)</f>
        <v>#N/A</v>
      </c>
      <c r="M47" s="161" t="e">
        <f t="shared" si="1"/>
        <v>#N/A</v>
      </c>
      <c r="N47" s="33" t="e">
        <f t="shared" si="2"/>
        <v>#N/A</v>
      </c>
      <c r="R47" s="161" t="e">
        <f t="shared" si="3"/>
        <v>#N/A</v>
      </c>
      <c r="S47" s="33" t="e">
        <f t="shared" si="4"/>
        <v>#N/A</v>
      </c>
    </row>
    <row r="48" spans="12:19" x14ac:dyDescent="0.25">
      <c r="L48" s="7" t="e">
        <f>VLOOKUP(A48,'3121% SY'!A:M,'3121% SY'!$M$1,FALSE)</f>
        <v>#N/A</v>
      </c>
      <c r="M48" s="161" t="e">
        <f t="shared" si="1"/>
        <v>#N/A</v>
      </c>
      <c r="N48" s="33" t="e">
        <f t="shared" si="2"/>
        <v>#N/A</v>
      </c>
      <c r="R48" s="161" t="e">
        <f t="shared" si="3"/>
        <v>#N/A</v>
      </c>
      <c r="S48" s="33" t="e">
        <f t="shared" si="4"/>
        <v>#N/A</v>
      </c>
    </row>
    <row r="49" spans="12:19" x14ac:dyDescent="0.25">
      <c r="L49" s="7" t="e">
        <f>VLOOKUP(A49,'3121% SY'!A:M,'3121% SY'!$M$1,FALSE)</f>
        <v>#N/A</v>
      </c>
      <c r="M49" s="161" t="e">
        <f t="shared" si="1"/>
        <v>#N/A</v>
      </c>
      <c r="N49" s="33" t="e">
        <f t="shared" si="2"/>
        <v>#N/A</v>
      </c>
      <c r="R49" s="161" t="e">
        <f t="shared" si="3"/>
        <v>#N/A</v>
      </c>
      <c r="S49" s="33" t="e">
        <f t="shared" si="4"/>
        <v>#N/A</v>
      </c>
    </row>
    <row r="50" spans="12:19" x14ac:dyDescent="0.25">
      <c r="L50" s="7" t="e">
        <f>VLOOKUP(A50,'3121% SY'!A:M,'3121% SY'!$M$1,FALSE)</f>
        <v>#N/A</v>
      </c>
      <c r="M50" s="161" t="e">
        <f t="shared" si="1"/>
        <v>#N/A</v>
      </c>
      <c r="N50" s="33" t="e">
        <f t="shared" si="2"/>
        <v>#N/A</v>
      </c>
      <c r="R50" s="161" t="e">
        <f t="shared" si="3"/>
        <v>#N/A</v>
      </c>
      <c r="S50" s="33" t="e">
        <f t="shared" si="4"/>
        <v>#N/A</v>
      </c>
    </row>
    <row r="51" spans="12:19" x14ac:dyDescent="0.25">
      <c r="L51" s="7" t="e">
        <f>VLOOKUP(A51,'3121% SY'!A:M,'3121% SY'!$M$1,FALSE)</f>
        <v>#N/A</v>
      </c>
      <c r="M51" s="161" t="e">
        <f t="shared" si="1"/>
        <v>#N/A</v>
      </c>
      <c r="N51" s="33" t="e">
        <f t="shared" si="2"/>
        <v>#N/A</v>
      </c>
      <c r="R51" s="161" t="e">
        <f t="shared" si="3"/>
        <v>#N/A</v>
      </c>
      <c r="S51" s="33" t="e">
        <f t="shared" si="4"/>
        <v>#N/A</v>
      </c>
    </row>
    <row r="52" spans="12:19" x14ac:dyDescent="0.25">
      <c r="L52" s="7" t="e">
        <f>VLOOKUP(A52,'3121% SY'!A:M,'3121% SY'!$M$1,FALSE)</f>
        <v>#N/A</v>
      </c>
      <c r="M52" s="161" t="e">
        <f t="shared" si="1"/>
        <v>#N/A</v>
      </c>
      <c r="N52" s="33" t="e">
        <f t="shared" si="2"/>
        <v>#N/A</v>
      </c>
      <c r="R52" s="161" t="e">
        <f t="shared" si="3"/>
        <v>#N/A</v>
      </c>
      <c r="S52" s="33" t="e">
        <f t="shared" si="4"/>
        <v>#N/A</v>
      </c>
    </row>
    <row r="53" spans="12:19" x14ac:dyDescent="0.25">
      <c r="L53" s="7" t="e">
        <f>VLOOKUP(A53,'3121% SY'!A:M,'3121% SY'!$M$1,FALSE)</f>
        <v>#N/A</v>
      </c>
      <c r="M53" s="161" t="e">
        <f t="shared" si="1"/>
        <v>#N/A</v>
      </c>
      <c r="N53" s="33" t="e">
        <f t="shared" si="2"/>
        <v>#N/A</v>
      </c>
      <c r="R53" s="161" t="e">
        <f t="shared" si="3"/>
        <v>#N/A</v>
      </c>
      <c r="S53" s="33" t="e">
        <f t="shared" si="4"/>
        <v>#N/A</v>
      </c>
    </row>
    <row r="54" spans="12:19" x14ac:dyDescent="0.25">
      <c r="L54" s="7" t="e">
        <f>VLOOKUP(A54,'3121% SY'!A:M,'3121% SY'!$M$1,FALSE)</f>
        <v>#N/A</v>
      </c>
      <c r="M54" s="161" t="e">
        <f t="shared" si="1"/>
        <v>#N/A</v>
      </c>
      <c r="N54" s="33" t="e">
        <f t="shared" si="2"/>
        <v>#N/A</v>
      </c>
      <c r="R54" s="161" t="e">
        <f t="shared" si="3"/>
        <v>#N/A</v>
      </c>
      <c r="S54" s="33" t="e">
        <f t="shared" si="4"/>
        <v>#N/A</v>
      </c>
    </row>
    <row r="55" spans="12:19" x14ac:dyDescent="0.25">
      <c r="L55" s="7" t="e">
        <f>VLOOKUP(A55,'3121% SY'!A:M,'3121% SY'!$M$1,FALSE)</f>
        <v>#N/A</v>
      </c>
      <c r="M55" s="161" t="e">
        <f t="shared" si="1"/>
        <v>#N/A</v>
      </c>
      <c r="N55" s="33" t="e">
        <f t="shared" si="2"/>
        <v>#N/A</v>
      </c>
      <c r="R55" s="161" t="e">
        <f t="shared" si="3"/>
        <v>#N/A</v>
      </c>
      <c r="S55" s="33" t="e">
        <f t="shared" si="4"/>
        <v>#N/A</v>
      </c>
    </row>
    <row r="56" spans="12:19" x14ac:dyDescent="0.25">
      <c r="L56" s="7" t="e">
        <f>VLOOKUP(A56,'3121% SY'!A:M,'3121% SY'!$M$1,FALSE)</f>
        <v>#N/A</v>
      </c>
      <c r="M56" s="161" t="e">
        <f t="shared" si="1"/>
        <v>#N/A</v>
      </c>
      <c r="N56" s="33" t="e">
        <f t="shared" si="2"/>
        <v>#N/A</v>
      </c>
      <c r="R56" s="161" t="e">
        <f t="shared" si="3"/>
        <v>#N/A</v>
      </c>
      <c r="S56" s="33" t="e">
        <f t="shared" si="4"/>
        <v>#N/A</v>
      </c>
    </row>
    <row r="57" spans="12:19" x14ac:dyDescent="0.25">
      <c r="L57" s="7" t="e">
        <f>VLOOKUP(A57,'3121% SY'!A:M,'3121% SY'!$M$1,FALSE)</f>
        <v>#N/A</v>
      </c>
      <c r="M57" s="161" t="e">
        <f t="shared" si="1"/>
        <v>#N/A</v>
      </c>
      <c r="N57" s="33" t="e">
        <f t="shared" si="2"/>
        <v>#N/A</v>
      </c>
      <c r="R57" s="161" t="e">
        <f t="shared" si="3"/>
        <v>#N/A</v>
      </c>
      <c r="S57" s="33" t="e">
        <f t="shared" si="4"/>
        <v>#N/A</v>
      </c>
    </row>
    <row r="58" spans="12:19" x14ac:dyDescent="0.25">
      <c r="L58" s="7" t="e">
        <f>VLOOKUP(A58,'3121% SY'!A:M,'3121% SY'!$M$1,FALSE)</f>
        <v>#N/A</v>
      </c>
      <c r="M58" s="161" t="e">
        <f t="shared" si="1"/>
        <v>#N/A</v>
      </c>
      <c r="N58" s="33" t="e">
        <f t="shared" si="2"/>
        <v>#N/A</v>
      </c>
      <c r="R58" s="161" t="e">
        <f t="shared" si="3"/>
        <v>#N/A</v>
      </c>
      <c r="S58" s="33" t="e">
        <f t="shared" si="4"/>
        <v>#N/A</v>
      </c>
    </row>
    <row r="59" spans="12:19" x14ac:dyDescent="0.25">
      <c r="L59" s="7" t="e">
        <f>VLOOKUP(A59,'3121% SY'!A:M,'3121% SY'!$M$1,FALSE)</f>
        <v>#N/A</v>
      </c>
      <c r="M59" s="161" t="e">
        <f t="shared" si="1"/>
        <v>#N/A</v>
      </c>
      <c r="N59" s="33" t="e">
        <f t="shared" si="2"/>
        <v>#N/A</v>
      </c>
      <c r="R59" s="161" t="e">
        <f t="shared" si="3"/>
        <v>#N/A</v>
      </c>
      <c r="S59" s="33" t="e">
        <f t="shared" si="4"/>
        <v>#N/A</v>
      </c>
    </row>
    <row r="60" spans="12:19" x14ac:dyDescent="0.25">
      <c r="L60" s="7" t="e">
        <f>VLOOKUP(A60,'3121% SY'!A:M,'3121% SY'!$M$1,FALSE)</f>
        <v>#N/A</v>
      </c>
      <c r="M60" s="161" t="e">
        <f t="shared" si="1"/>
        <v>#N/A</v>
      </c>
      <c r="N60" s="33" t="e">
        <f t="shared" si="2"/>
        <v>#N/A</v>
      </c>
      <c r="R60" s="161" t="e">
        <f t="shared" si="3"/>
        <v>#N/A</v>
      </c>
      <c r="S60" s="33" t="e">
        <f t="shared" si="4"/>
        <v>#N/A</v>
      </c>
    </row>
    <row r="61" spans="12:19" x14ac:dyDescent="0.25">
      <c r="L61" s="7" t="e">
        <f>VLOOKUP(A61,'3121% SY'!A:M,'3121% SY'!$M$1,FALSE)</f>
        <v>#N/A</v>
      </c>
      <c r="M61" s="161" t="e">
        <f t="shared" si="1"/>
        <v>#N/A</v>
      </c>
      <c r="N61" s="33" t="e">
        <f t="shared" si="2"/>
        <v>#N/A</v>
      </c>
      <c r="R61" s="161" t="e">
        <f t="shared" si="3"/>
        <v>#N/A</v>
      </c>
      <c r="S61" s="33" t="e">
        <f t="shared" si="4"/>
        <v>#N/A</v>
      </c>
    </row>
    <row r="62" spans="12:19" x14ac:dyDescent="0.25">
      <c r="L62" s="7" t="e">
        <f>VLOOKUP(A62,'3121% SY'!A:M,'3121% SY'!$M$1,FALSE)</f>
        <v>#N/A</v>
      </c>
      <c r="M62" s="161" t="e">
        <f t="shared" si="1"/>
        <v>#N/A</v>
      </c>
      <c r="N62" s="33" t="e">
        <f t="shared" si="2"/>
        <v>#N/A</v>
      </c>
      <c r="R62" s="161" t="e">
        <f t="shared" si="3"/>
        <v>#N/A</v>
      </c>
      <c r="S62" s="33" t="e">
        <f t="shared" si="4"/>
        <v>#N/A</v>
      </c>
    </row>
    <row r="63" spans="12:19" x14ac:dyDescent="0.25">
      <c r="L63" s="7" t="e">
        <f>VLOOKUP(A63,'3121% SY'!A:M,'3121% SY'!$M$1,FALSE)</f>
        <v>#N/A</v>
      </c>
      <c r="M63" s="161" t="e">
        <f t="shared" si="1"/>
        <v>#N/A</v>
      </c>
      <c r="N63" s="33" t="e">
        <f t="shared" si="2"/>
        <v>#N/A</v>
      </c>
      <c r="R63" s="161" t="e">
        <f t="shared" si="3"/>
        <v>#N/A</v>
      </c>
      <c r="S63" s="33" t="e">
        <f t="shared" si="4"/>
        <v>#N/A</v>
      </c>
    </row>
    <row r="64" spans="12:19" x14ac:dyDescent="0.25">
      <c r="L64" s="7" t="e">
        <f>VLOOKUP(A64,'3121% SY'!A:M,'3121% SY'!$M$1,FALSE)</f>
        <v>#N/A</v>
      </c>
      <c r="M64" s="161" t="e">
        <f t="shared" si="1"/>
        <v>#N/A</v>
      </c>
      <c r="N64" s="33" t="e">
        <f t="shared" si="2"/>
        <v>#N/A</v>
      </c>
      <c r="R64" s="161" t="e">
        <f t="shared" si="3"/>
        <v>#N/A</v>
      </c>
      <c r="S64" s="33" t="e">
        <f t="shared" si="4"/>
        <v>#N/A</v>
      </c>
    </row>
    <row r="65" spans="12:19" x14ac:dyDescent="0.25">
      <c r="L65" s="7" t="e">
        <f>VLOOKUP(A65,'3121% SY'!A:M,'3121% SY'!$M$1,FALSE)</f>
        <v>#N/A</v>
      </c>
      <c r="M65" s="161" t="e">
        <f t="shared" si="1"/>
        <v>#N/A</v>
      </c>
      <c r="N65" s="33" t="e">
        <f t="shared" si="2"/>
        <v>#N/A</v>
      </c>
      <c r="R65" s="161" t="e">
        <f t="shared" si="3"/>
        <v>#N/A</v>
      </c>
      <c r="S65" s="33" t="e">
        <f t="shared" si="4"/>
        <v>#N/A</v>
      </c>
    </row>
    <row r="66" spans="12:19" x14ac:dyDescent="0.25">
      <c r="L66" s="7" t="e">
        <f>VLOOKUP(A66,'3121% SY'!A:M,'3121% SY'!$M$1,FALSE)</f>
        <v>#N/A</v>
      </c>
      <c r="M66" s="161" t="e">
        <f t="shared" si="1"/>
        <v>#N/A</v>
      </c>
      <c r="N66" s="33" t="e">
        <f t="shared" si="2"/>
        <v>#N/A</v>
      </c>
      <c r="R66" s="161" t="e">
        <f t="shared" si="3"/>
        <v>#N/A</v>
      </c>
      <c r="S66" s="33" t="e">
        <f t="shared" si="4"/>
        <v>#N/A</v>
      </c>
    </row>
    <row r="67" spans="12:19" x14ac:dyDescent="0.25">
      <c r="L67" s="7" t="e">
        <f>VLOOKUP(A67,'3121% SY'!A:M,'3121% SY'!$M$1,FALSE)</f>
        <v>#N/A</v>
      </c>
      <c r="M67" s="161" t="e">
        <f t="shared" si="1"/>
        <v>#N/A</v>
      </c>
      <c r="N67" s="33" t="e">
        <f t="shared" si="2"/>
        <v>#N/A</v>
      </c>
      <c r="R67" s="161" t="e">
        <f t="shared" si="3"/>
        <v>#N/A</v>
      </c>
      <c r="S67" s="33" t="e">
        <f t="shared" si="4"/>
        <v>#N/A</v>
      </c>
    </row>
    <row r="68" spans="12:19" x14ac:dyDescent="0.25">
      <c r="L68" s="7" t="e">
        <f>VLOOKUP(A68,'3121% SY'!A:M,'3121% SY'!$M$1,FALSE)</f>
        <v>#N/A</v>
      </c>
      <c r="M68" s="161" t="e">
        <f t="shared" si="1"/>
        <v>#N/A</v>
      </c>
      <c r="N68" s="33" t="e">
        <f t="shared" si="2"/>
        <v>#N/A</v>
      </c>
      <c r="R68" s="161" t="e">
        <f t="shared" si="3"/>
        <v>#N/A</v>
      </c>
      <c r="S68" s="33" t="e">
        <f t="shared" si="4"/>
        <v>#N/A</v>
      </c>
    </row>
    <row r="69" spans="12:19" x14ac:dyDescent="0.25">
      <c r="L69" s="7" t="e">
        <f>VLOOKUP(A69,'3121% SY'!A:M,'3121% SY'!$M$1,FALSE)</f>
        <v>#N/A</v>
      </c>
      <c r="M69" s="161" t="e">
        <f t="shared" ref="M69:M131" si="5">ROUND(I69*$L69,3)+ROUND(J69*$L69,3)++ROUND(K69*$L69,3)</f>
        <v>#N/A</v>
      </c>
      <c r="N69" s="33" t="e">
        <f t="shared" ref="N69:N131" si="6">SUM(M69,B69:H69)</f>
        <v>#N/A</v>
      </c>
      <c r="R69" s="161" t="e">
        <f t="shared" ref="R69:R131" si="7">ROUND(Q69*$L69,3)</f>
        <v>#N/A</v>
      </c>
      <c r="S69" s="33" t="e">
        <f t="shared" ref="S69:S131" si="8">SUM(R69,O69:P69)</f>
        <v>#N/A</v>
      </c>
    </row>
    <row r="70" spans="12:19" x14ac:dyDescent="0.25">
      <c r="L70" s="7" t="e">
        <f>VLOOKUP(A70,'3121% SY'!A:M,'3121% SY'!$M$1,FALSE)</f>
        <v>#N/A</v>
      </c>
      <c r="M70" s="161" t="e">
        <f t="shared" si="5"/>
        <v>#N/A</v>
      </c>
      <c r="N70" s="33" t="e">
        <f t="shared" si="6"/>
        <v>#N/A</v>
      </c>
      <c r="R70" s="161" t="e">
        <f t="shared" si="7"/>
        <v>#N/A</v>
      </c>
      <c r="S70" s="33" t="e">
        <f t="shared" si="8"/>
        <v>#N/A</v>
      </c>
    </row>
    <row r="71" spans="12:19" x14ac:dyDescent="0.25">
      <c r="L71" s="7" t="e">
        <f>VLOOKUP(A71,'3121% SY'!A:M,'3121% SY'!$M$1,FALSE)</f>
        <v>#N/A</v>
      </c>
      <c r="M71" s="161" t="e">
        <f t="shared" si="5"/>
        <v>#N/A</v>
      </c>
      <c r="N71" s="33" t="e">
        <f t="shared" si="6"/>
        <v>#N/A</v>
      </c>
      <c r="R71" s="161" t="e">
        <f t="shared" si="7"/>
        <v>#N/A</v>
      </c>
      <c r="S71" s="33" t="e">
        <f t="shared" si="8"/>
        <v>#N/A</v>
      </c>
    </row>
    <row r="72" spans="12:19" x14ac:dyDescent="0.25">
      <c r="L72" s="7" t="e">
        <f>VLOOKUP(A72,'3121% SY'!A:M,'3121% SY'!$M$1,FALSE)</f>
        <v>#N/A</v>
      </c>
      <c r="M72" s="161" t="e">
        <f t="shared" si="5"/>
        <v>#N/A</v>
      </c>
      <c r="N72" s="33" t="e">
        <f t="shared" si="6"/>
        <v>#N/A</v>
      </c>
      <c r="R72" s="161" t="e">
        <f t="shared" si="7"/>
        <v>#N/A</v>
      </c>
      <c r="S72" s="33" t="e">
        <f t="shared" si="8"/>
        <v>#N/A</v>
      </c>
    </row>
    <row r="73" spans="12:19" x14ac:dyDescent="0.25">
      <c r="L73" s="7" t="e">
        <f>VLOOKUP(A73,'3121% SY'!A:M,'3121% SY'!$M$1,FALSE)</f>
        <v>#N/A</v>
      </c>
      <c r="M73" s="161" t="e">
        <f t="shared" si="5"/>
        <v>#N/A</v>
      </c>
      <c r="N73" s="33" t="e">
        <f t="shared" si="6"/>
        <v>#N/A</v>
      </c>
      <c r="R73" s="161" t="e">
        <f t="shared" si="7"/>
        <v>#N/A</v>
      </c>
      <c r="S73" s="33" t="e">
        <f t="shared" si="8"/>
        <v>#N/A</v>
      </c>
    </row>
    <row r="74" spans="12:19" x14ac:dyDescent="0.25">
      <c r="L74" s="7" t="e">
        <f>VLOOKUP(A74,'3121% SY'!A:M,'3121% SY'!$M$1,FALSE)</f>
        <v>#N/A</v>
      </c>
      <c r="M74" s="161" t="e">
        <f t="shared" si="5"/>
        <v>#N/A</v>
      </c>
      <c r="N74" s="33" t="e">
        <f t="shared" si="6"/>
        <v>#N/A</v>
      </c>
      <c r="R74" s="161" t="e">
        <f t="shared" si="7"/>
        <v>#N/A</v>
      </c>
      <c r="S74" s="33" t="e">
        <f t="shared" si="8"/>
        <v>#N/A</v>
      </c>
    </row>
    <row r="75" spans="12:19" x14ac:dyDescent="0.25">
      <c r="L75" s="7" t="e">
        <f>VLOOKUP(A75,'3121% SY'!A:M,'3121% SY'!$M$1,FALSE)</f>
        <v>#N/A</v>
      </c>
      <c r="M75" s="161" t="e">
        <f t="shared" si="5"/>
        <v>#N/A</v>
      </c>
      <c r="N75" s="33" t="e">
        <f t="shared" si="6"/>
        <v>#N/A</v>
      </c>
      <c r="R75" s="161" t="e">
        <f t="shared" si="7"/>
        <v>#N/A</v>
      </c>
      <c r="S75" s="33" t="e">
        <f t="shared" si="8"/>
        <v>#N/A</v>
      </c>
    </row>
    <row r="76" spans="12:19" x14ac:dyDescent="0.25">
      <c r="L76" s="7" t="e">
        <f>VLOOKUP(A76,'3121% SY'!A:M,'3121% SY'!$M$1,FALSE)</f>
        <v>#N/A</v>
      </c>
      <c r="M76" s="161" t="e">
        <f t="shared" si="5"/>
        <v>#N/A</v>
      </c>
      <c r="N76" s="33" t="e">
        <f t="shared" si="6"/>
        <v>#N/A</v>
      </c>
      <c r="R76" s="161" t="e">
        <f t="shared" si="7"/>
        <v>#N/A</v>
      </c>
      <c r="S76" s="33" t="e">
        <f t="shared" si="8"/>
        <v>#N/A</v>
      </c>
    </row>
    <row r="77" spans="12:19" x14ac:dyDescent="0.25">
      <c r="L77" s="7" t="e">
        <f>VLOOKUP(A77,'3121% SY'!A:M,'3121% SY'!$M$1,FALSE)</f>
        <v>#N/A</v>
      </c>
      <c r="M77" s="161" t="e">
        <f t="shared" si="5"/>
        <v>#N/A</v>
      </c>
      <c r="N77" s="33" t="e">
        <f t="shared" si="6"/>
        <v>#N/A</v>
      </c>
      <c r="R77" s="161" t="e">
        <f t="shared" si="7"/>
        <v>#N/A</v>
      </c>
      <c r="S77" s="33" t="e">
        <f t="shared" si="8"/>
        <v>#N/A</v>
      </c>
    </row>
    <row r="78" spans="12:19" x14ac:dyDescent="0.25">
      <c r="L78" s="7" t="e">
        <f>VLOOKUP(A78,'3121% SY'!A:M,'3121% SY'!$M$1,FALSE)</f>
        <v>#N/A</v>
      </c>
      <c r="M78" s="161" t="e">
        <f t="shared" si="5"/>
        <v>#N/A</v>
      </c>
      <c r="N78" s="33" t="e">
        <f t="shared" si="6"/>
        <v>#N/A</v>
      </c>
      <c r="R78" s="161" t="e">
        <f t="shared" si="7"/>
        <v>#N/A</v>
      </c>
      <c r="S78" s="33" t="e">
        <f t="shared" si="8"/>
        <v>#N/A</v>
      </c>
    </row>
    <row r="79" spans="12:19" x14ac:dyDescent="0.25">
      <c r="L79" s="7" t="e">
        <f>VLOOKUP(A79,'3121% SY'!A:M,'3121% SY'!$M$1,FALSE)</f>
        <v>#N/A</v>
      </c>
      <c r="M79" s="161" t="e">
        <f t="shared" si="5"/>
        <v>#N/A</v>
      </c>
      <c r="N79" s="33" t="e">
        <f t="shared" si="6"/>
        <v>#N/A</v>
      </c>
      <c r="R79" s="161" t="e">
        <f t="shared" si="7"/>
        <v>#N/A</v>
      </c>
      <c r="S79" s="33" t="e">
        <f t="shared" si="8"/>
        <v>#N/A</v>
      </c>
    </row>
    <row r="80" spans="12:19" x14ac:dyDescent="0.25">
      <c r="L80" s="7" t="e">
        <f>VLOOKUP(A80,'3121% SY'!A:M,'3121% SY'!$M$1,FALSE)</f>
        <v>#N/A</v>
      </c>
      <c r="M80" s="161" t="e">
        <f t="shared" si="5"/>
        <v>#N/A</v>
      </c>
      <c r="N80" s="33" t="e">
        <f t="shared" si="6"/>
        <v>#N/A</v>
      </c>
      <c r="R80" s="161" t="e">
        <f t="shared" si="7"/>
        <v>#N/A</v>
      </c>
      <c r="S80" s="33" t="e">
        <f t="shared" si="8"/>
        <v>#N/A</v>
      </c>
    </row>
    <row r="81" spans="12:19" x14ac:dyDescent="0.25">
      <c r="L81" s="7" t="e">
        <f>VLOOKUP(A81,'3121% SY'!A:M,'3121% SY'!$M$1,FALSE)</f>
        <v>#N/A</v>
      </c>
      <c r="M81" s="161" t="e">
        <f t="shared" si="5"/>
        <v>#N/A</v>
      </c>
      <c r="N81" s="33" t="e">
        <f t="shared" si="6"/>
        <v>#N/A</v>
      </c>
      <c r="R81" s="161" t="e">
        <f t="shared" si="7"/>
        <v>#N/A</v>
      </c>
      <c r="S81" s="33" t="e">
        <f t="shared" si="8"/>
        <v>#N/A</v>
      </c>
    </row>
    <row r="82" spans="12:19" x14ac:dyDescent="0.25">
      <c r="L82" s="7" t="e">
        <f>VLOOKUP(A82,'3121% SY'!A:M,'3121% SY'!$M$1,FALSE)</f>
        <v>#N/A</v>
      </c>
      <c r="M82" s="161" t="e">
        <f t="shared" si="5"/>
        <v>#N/A</v>
      </c>
      <c r="N82" s="33" t="e">
        <f t="shared" si="6"/>
        <v>#N/A</v>
      </c>
      <c r="R82" s="161" t="e">
        <f t="shared" si="7"/>
        <v>#N/A</v>
      </c>
      <c r="S82" s="33" t="e">
        <f t="shared" si="8"/>
        <v>#N/A</v>
      </c>
    </row>
    <row r="83" spans="12:19" x14ac:dyDescent="0.25">
      <c r="L83" s="7" t="e">
        <f>VLOOKUP(A83,'3121% SY'!A:M,'3121% SY'!$M$1,FALSE)</f>
        <v>#N/A</v>
      </c>
      <c r="M83" s="161" t="e">
        <f t="shared" si="5"/>
        <v>#N/A</v>
      </c>
      <c r="N83" s="33" t="e">
        <f t="shared" si="6"/>
        <v>#N/A</v>
      </c>
      <c r="R83" s="161" t="e">
        <f t="shared" si="7"/>
        <v>#N/A</v>
      </c>
      <c r="S83" s="33" t="e">
        <f t="shared" si="8"/>
        <v>#N/A</v>
      </c>
    </row>
    <row r="84" spans="12:19" x14ac:dyDescent="0.25">
      <c r="L84" s="7" t="e">
        <f>VLOOKUP(A84,'3121% SY'!A:M,'3121% SY'!$M$1,FALSE)</f>
        <v>#N/A</v>
      </c>
      <c r="M84" s="161" t="e">
        <f t="shared" si="5"/>
        <v>#N/A</v>
      </c>
      <c r="N84" s="33" t="e">
        <f t="shared" si="6"/>
        <v>#N/A</v>
      </c>
      <c r="R84" s="161" t="e">
        <f t="shared" si="7"/>
        <v>#N/A</v>
      </c>
      <c r="S84" s="33" t="e">
        <f t="shared" si="8"/>
        <v>#N/A</v>
      </c>
    </row>
    <row r="85" spans="12:19" x14ac:dyDescent="0.25">
      <c r="L85" s="7" t="e">
        <f>VLOOKUP(A85,'3121% SY'!A:M,'3121% SY'!$M$1,FALSE)</f>
        <v>#N/A</v>
      </c>
      <c r="M85" s="161" t="e">
        <f t="shared" si="5"/>
        <v>#N/A</v>
      </c>
      <c r="N85" s="33" t="e">
        <f t="shared" si="6"/>
        <v>#N/A</v>
      </c>
      <c r="R85" s="161" t="e">
        <f t="shared" si="7"/>
        <v>#N/A</v>
      </c>
      <c r="S85" s="33" t="e">
        <f t="shared" si="8"/>
        <v>#N/A</v>
      </c>
    </row>
    <row r="86" spans="12:19" x14ac:dyDescent="0.25">
      <c r="L86" s="7" t="e">
        <f>VLOOKUP(A86,'3121% SY'!A:M,'3121% SY'!$M$1,FALSE)</f>
        <v>#N/A</v>
      </c>
      <c r="M86" s="161" t="e">
        <f t="shared" si="5"/>
        <v>#N/A</v>
      </c>
      <c r="N86" s="33" t="e">
        <f t="shared" si="6"/>
        <v>#N/A</v>
      </c>
      <c r="R86" s="161" t="e">
        <f t="shared" si="7"/>
        <v>#N/A</v>
      </c>
      <c r="S86" s="33" t="e">
        <f t="shared" si="8"/>
        <v>#N/A</v>
      </c>
    </row>
    <row r="87" spans="12:19" x14ac:dyDescent="0.25">
      <c r="L87" s="7" t="e">
        <f>VLOOKUP(A87,'3121% SY'!A:M,'3121% SY'!$M$1,FALSE)</f>
        <v>#N/A</v>
      </c>
      <c r="M87" s="161" t="e">
        <f t="shared" si="5"/>
        <v>#N/A</v>
      </c>
      <c r="N87" s="33" t="e">
        <f t="shared" si="6"/>
        <v>#N/A</v>
      </c>
      <c r="R87" s="161" t="e">
        <f t="shared" si="7"/>
        <v>#N/A</v>
      </c>
      <c r="S87" s="33" t="e">
        <f t="shared" si="8"/>
        <v>#N/A</v>
      </c>
    </row>
    <row r="88" spans="12:19" x14ac:dyDescent="0.25">
      <c r="L88" s="7" t="e">
        <f>VLOOKUP(A88,'3121% SY'!A:M,'3121% SY'!$M$1,FALSE)</f>
        <v>#N/A</v>
      </c>
      <c r="M88" s="161" t="e">
        <f t="shared" si="5"/>
        <v>#N/A</v>
      </c>
      <c r="N88" s="33" t="e">
        <f t="shared" si="6"/>
        <v>#N/A</v>
      </c>
      <c r="R88" s="161" t="e">
        <f t="shared" si="7"/>
        <v>#N/A</v>
      </c>
      <c r="S88" s="33" t="e">
        <f t="shared" si="8"/>
        <v>#N/A</v>
      </c>
    </row>
    <row r="89" spans="12:19" x14ac:dyDescent="0.25">
      <c r="L89" s="7" t="e">
        <f>VLOOKUP(A89,'3121% SY'!A:M,'3121% SY'!$M$1,FALSE)</f>
        <v>#N/A</v>
      </c>
      <c r="M89" s="161" t="e">
        <f t="shared" si="5"/>
        <v>#N/A</v>
      </c>
      <c r="N89" s="33" t="e">
        <f t="shared" si="6"/>
        <v>#N/A</v>
      </c>
      <c r="R89" s="161" t="e">
        <f t="shared" si="7"/>
        <v>#N/A</v>
      </c>
      <c r="S89" s="33" t="e">
        <f t="shared" si="8"/>
        <v>#N/A</v>
      </c>
    </row>
    <row r="90" spans="12:19" x14ac:dyDescent="0.25">
      <c r="L90" s="7" t="e">
        <f>VLOOKUP(A90,'3121% SY'!A:M,'3121% SY'!$M$1,FALSE)</f>
        <v>#N/A</v>
      </c>
      <c r="M90" s="161" t="e">
        <f t="shared" si="5"/>
        <v>#N/A</v>
      </c>
      <c r="N90" s="33" t="e">
        <f t="shared" si="6"/>
        <v>#N/A</v>
      </c>
      <c r="R90" s="161" t="e">
        <f t="shared" si="7"/>
        <v>#N/A</v>
      </c>
      <c r="S90" s="33" t="e">
        <f t="shared" si="8"/>
        <v>#N/A</v>
      </c>
    </row>
    <row r="91" spans="12:19" x14ac:dyDescent="0.25">
      <c r="L91" s="7" t="e">
        <f>VLOOKUP(A91,'3121% SY'!A:M,'3121% SY'!$M$1,FALSE)</f>
        <v>#N/A</v>
      </c>
      <c r="M91" s="161" t="e">
        <f t="shared" si="5"/>
        <v>#N/A</v>
      </c>
      <c r="N91" s="33" t="e">
        <f t="shared" si="6"/>
        <v>#N/A</v>
      </c>
      <c r="R91" s="161" t="e">
        <f t="shared" si="7"/>
        <v>#N/A</v>
      </c>
      <c r="S91" s="33" t="e">
        <f t="shared" si="8"/>
        <v>#N/A</v>
      </c>
    </row>
    <row r="92" spans="12:19" x14ac:dyDescent="0.25">
      <c r="L92" s="7" t="e">
        <f>VLOOKUP(A92,'3121% SY'!A:M,'3121% SY'!$M$1,FALSE)</f>
        <v>#N/A</v>
      </c>
      <c r="M92" s="161" t="e">
        <f t="shared" si="5"/>
        <v>#N/A</v>
      </c>
      <c r="N92" s="33" t="e">
        <f t="shared" si="6"/>
        <v>#N/A</v>
      </c>
      <c r="R92" s="161" t="e">
        <f t="shared" si="7"/>
        <v>#N/A</v>
      </c>
      <c r="S92" s="33" t="e">
        <f t="shared" si="8"/>
        <v>#N/A</v>
      </c>
    </row>
    <row r="93" spans="12:19" x14ac:dyDescent="0.25">
      <c r="L93" s="7" t="e">
        <f>VLOOKUP(A93,'3121% SY'!A:M,'3121% SY'!$M$1,FALSE)</f>
        <v>#N/A</v>
      </c>
      <c r="M93" s="161" t="e">
        <f t="shared" si="5"/>
        <v>#N/A</v>
      </c>
      <c r="N93" s="33" t="e">
        <f t="shared" si="6"/>
        <v>#N/A</v>
      </c>
      <c r="R93" s="161" t="e">
        <f t="shared" si="7"/>
        <v>#N/A</v>
      </c>
      <c r="S93" s="33" t="e">
        <f t="shared" si="8"/>
        <v>#N/A</v>
      </c>
    </row>
    <row r="94" spans="12:19" x14ac:dyDescent="0.25">
      <c r="L94" s="7" t="e">
        <f>VLOOKUP(A94,'3121% SY'!A:M,'3121% SY'!$M$1,FALSE)</f>
        <v>#N/A</v>
      </c>
      <c r="M94" s="161" t="e">
        <f t="shared" si="5"/>
        <v>#N/A</v>
      </c>
      <c r="N94" s="33" t="e">
        <f t="shared" si="6"/>
        <v>#N/A</v>
      </c>
      <c r="R94" s="161" t="e">
        <f t="shared" si="7"/>
        <v>#N/A</v>
      </c>
      <c r="S94" s="33" t="e">
        <f t="shared" si="8"/>
        <v>#N/A</v>
      </c>
    </row>
    <row r="95" spans="12:19" x14ac:dyDescent="0.25">
      <c r="L95" s="7" t="e">
        <f>VLOOKUP(A95,'3121% SY'!A:M,'3121% SY'!$M$1,FALSE)</f>
        <v>#N/A</v>
      </c>
      <c r="M95" s="161" t="e">
        <f t="shared" si="5"/>
        <v>#N/A</v>
      </c>
      <c r="N95" s="33" t="e">
        <f t="shared" si="6"/>
        <v>#N/A</v>
      </c>
      <c r="R95" s="161" t="e">
        <f t="shared" si="7"/>
        <v>#N/A</v>
      </c>
      <c r="S95" s="33" t="e">
        <f t="shared" si="8"/>
        <v>#N/A</v>
      </c>
    </row>
    <row r="96" spans="12:19" x14ac:dyDescent="0.25">
      <c r="L96" s="7" t="e">
        <f>VLOOKUP(A96,'3121% SY'!A:M,'3121% SY'!$M$1,FALSE)</f>
        <v>#N/A</v>
      </c>
      <c r="M96" s="161" t="e">
        <f t="shared" si="5"/>
        <v>#N/A</v>
      </c>
      <c r="N96" s="33" t="e">
        <f t="shared" si="6"/>
        <v>#N/A</v>
      </c>
      <c r="R96" s="161" t="e">
        <f t="shared" si="7"/>
        <v>#N/A</v>
      </c>
      <c r="S96" s="33" t="e">
        <f t="shared" si="8"/>
        <v>#N/A</v>
      </c>
    </row>
    <row r="97" spans="12:19" x14ac:dyDescent="0.25">
      <c r="L97" s="7" t="e">
        <f>VLOOKUP(A97,'3121% SY'!A:M,'3121% SY'!$M$1,FALSE)</f>
        <v>#N/A</v>
      </c>
      <c r="M97" s="161" t="e">
        <f t="shared" si="5"/>
        <v>#N/A</v>
      </c>
      <c r="N97" s="33" t="e">
        <f t="shared" si="6"/>
        <v>#N/A</v>
      </c>
      <c r="R97" s="161" t="e">
        <f t="shared" si="7"/>
        <v>#N/A</v>
      </c>
      <c r="S97" s="33" t="e">
        <f t="shared" si="8"/>
        <v>#N/A</v>
      </c>
    </row>
    <row r="98" spans="12:19" x14ac:dyDescent="0.25">
      <c r="L98" s="7" t="e">
        <f>VLOOKUP(A98,'3121% SY'!A:M,'3121% SY'!$M$1,FALSE)</f>
        <v>#N/A</v>
      </c>
      <c r="M98" s="161" t="e">
        <f t="shared" si="5"/>
        <v>#N/A</v>
      </c>
      <c r="N98" s="33" t="e">
        <f t="shared" si="6"/>
        <v>#N/A</v>
      </c>
      <c r="R98" s="161" t="e">
        <f t="shared" si="7"/>
        <v>#N/A</v>
      </c>
      <c r="S98" s="33" t="e">
        <f t="shared" si="8"/>
        <v>#N/A</v>
      </c>
    </row>
    <row r="99" spans="12:19" x14ac:dyDescent="0.25">
      <c r="L99" s="7" t="e">
        <f>VLOOKUP(A99,'3121% SY'!A:M,'3121% SY'!$M$1,FALSE)</f>
        <v>#N/A</v>
      </c>
      <c r="M99" s="161" t="e">
        <f t="shared" si="5"/>
        <v>#N/A</v>
      </c>
      <c r="N99" s="33" t="e">
        <f t="shared" si="6"/>
        <v>#N/A</v>
      </c>
      <c r="R99" s="161" t="e">
        <f t="shared" si="7"/>
        <v>#N/A</v>
      </c>
      <c r="S99" s="33" t="e">
        <f t="shared" si="8"/>
        <v>#N/A</v>
      </c>
    </row>
    <row r="100" spans="12:19" x14ac:dyDescent="0.25">
      <c r="L100" s="7" t="e">
        <f>VLOOKUP(A100,'3121% SY'!A:M,'3121% SY'!$M$1,FALSE)</f>
        <v>#N/A</v>
      </c>
      <c r="M100" s="161" t="e">
        <f t="shared" si="5"/>
        <v>#N/A</v>
      </c>
      <c r="N100" s="33" t="e">
        <f t="shared" si="6"/>
        <v>#N/A</v>
      </c>
      <c r="R100" s="161" t="e">
        <f t="shared" si="7"/>
        <v>#N/A</v>
      </c>
      <c r="S100" s="33" t="e">
        <f t="shared" si="8"/>
        <v>#N/A</v>
      </c>
    </row>
    <row r="101" spans="12:19" x14ac:dyDescent="0.25">
      <c r="L101" s="7" t="e">
        <f>VLOOKUP(A101,'3121% SY'!A:M,'3121% SY'!$M$1,FALSE)</f>
        <v>#N/A</v>
      </c>
      <c r="M101" s="161" t="e">
        <f t="shared" si="5"/>
        <v>#N/A</v>
      </c>
      <c r="N101" s="33" t="e">
        <f t="shared" si="6"/>
        <v>#N/A</v>
      </c>
      <c r="R101" s="161" t="e">
        <f t="shared" si="7"/>
        <v>#N/A</v>
      </c>
      <c r="S101" s="33" t="e">
        <f t="shared" si="8"/>
        <v>#N/A</v>
      </c>
    </row>
    <row r="102" spans="12:19" x14ac:dyDescent="0.25">
      <c r="L102" s="7" t="e">
        <f>VLOOKUP(A102,'3121% SY'!A:M,'3121% SY'!$M$1,FALSE)</f>
        <v>#N/A</v>
      </c>
      <c r="M102" s="161" t="e">
        <f t="shared" si="5"/>
        <v>#N/A</v>
      </c>
      <c r="N102" s="33" t="e">
        <f t="shared" si="6"/>
        <v>#N/A</v>
      </c>
      <c r="R102" s="161" t="e">
        <f t="shared" si="7"/>
        <v>#N/A</v>
      </c>
      <c r="S102" s="33" t="e">
        <f t="shared" si="8"/>
        <v>#N/A</v>
      </c>
    </row>
    <row r="103" spans="12:19" x14ac:dyDescent="0.25">
      <c r="L103" s="7" t="e">
        <f>VLOOKUP(A103,'3121% SY'!A:M,'3121% SY'!$M$1,FALSE)</f>
        <v>#N/A</v>
      </c>
      <c r="M103" s="161" t="e">
        <f t="shared" si="5"/>
        <v>#N/A</v>
      </c>
      <c r="N103" s="33" t="e">
        <f t="shared" si="6"/>
        <v>#N/A</v>
      </c>
      <c r="R103" s="161" t="e">
        <f t="shared" si="7"/>
        <v>#N/A</v>
      </c>
      <c r="S103" s="33" t="e">
        <f t="shared" si="8"/>
        <v>#N/A</v>
      </c>
    </row>
    <row r="104" spans="12:19" x14ac:dyDescent="0.25">
      <c r="L104" s="7" t="e">
        <f>VLOOKUP(A104,'3121% SY'!A:M,'3121% SY'!$M$1,FALSE)</f>
        <v>#N/A</v>
      </c>
      <c r="M104" s="161" t="e">
        <f t="shared" si="5"/>
        <v>#N/A</v>
      </c>
      <c r="N104" s="33" t="e">
        <f t="shared" si="6"/>
        <v>#N/A</v>
      </c>
      <c r="R104" s="161" t="e">
        <f t="shared" si="7"/>
        <v>#N/A</v>
      </c>
      <c r="S104" s="33" t="e">
        <f t="shared" si="8"/>
        <v>#N/A</v>
      </c>
    </row>
    <row r="105" spans="12:19" x14ac:dyDescent="0.25">
      <c r="L105" s="7" t="e">
        <f>VLOOKUP(A105,'3121% SY'!A:M,'3121% SY'!$M$1,FALSE)</f>
        <v>#N/A</v>
      </c>
      <c r="M105" s="161" t="e">
        <f t="shared" si="5"/>
        <v>#N/A</v>
      </c>
      <c r="N105" s="33" t="e">
        <f t="shared" si="6"/>
        <v>#N/A</v>
      </c>
      <c r="R105" s="161" t="e">
        <f t="shared" si="7"/>
        <v>#N/A</v>
      </c>
      <c r="S105" s="33" t="e">
        <f t="shared" si="8"/>
        <v>#N/A</v>
      </c>
    </row>
    <row r="106" spans="12:19" x14ac:dyDescent="0.25">
      <c r="L106" s="7" t="e">
        <f>VLOOKUP(A106,'3121% SY'!A:M,'3121% SY'!$M$1,FALSE)</f>
        <v>#N/A</v>
      </c>
      <c r="M106" s="161" t="e">
        <f t="shared" si="5"/>
        <v>#N/A</v>
      </c>
      <c r="N106" s="33" t="e">
        <f t="shared" si="6"/>
        <v>#N/A</v>
      </c>
      <c r="R106" s="161" t="e">
        <f t="shared" si="7"/>
        <v>#N/A</v>
      </c>
      <c r="S106" s="33" t="e">
        <f t="shared" si="8"/>
        <v>#N/A</v>
      </c>
    </row>
    <row r="107" spans="12:19" x14ac:dyDescent="0.25">
      <c r="L107" s="7" t="e">
        <f>VLOOKUP(A107,'3121% SY'!A:M,'3121% SY'!$M$1,FALSE)</f>
        <v>#N/A</v>
      </c>
      <c r="M107" s="161" t="e">
        <f t="shared" si="5"/>
        <v>#N/A</v>
      </c>
      <c r="N107" s="33" t="e">
        <f t="shared" si="6"/>
        <v>#N/A</v>
      </c>
      <c r="R107" s="161" t="e">
        <f t="shared" si="7"/>
        <v>#N/A</v>
      </c>
      <c r="S107" s="33" t="e">
        <f t="shared" si="8"/>
        <v>#N/A</v>
      </c>
    </row>
    <row r="108" spans="12:19" x14ac:dyDescent="0.25">
      <c r="L108" s="7" t="e">
        <f>VLOOKUP(A108,'3121% SY'!A:M,'3121% SY'!$M$1,FALSE)</f>
        <v>#N/A</v>
      </c>
      <c r="M108" s="161" t="e">
        <f t="shared" si="5"/>
        <v>#N/A</v>
      </c>
      <c r="N108" s="33" t="e">
        <f t="shared" si="6"/>
        <v>#N/A</v>
      </c>
      <c r="R108" s="161" t="e">
        <f t="shared" si="7"/>
        <v>#N/A</v>
      </c>
      <c r="S108" s="33" t="e">
        <f t="shared" si="8"/>
        <v>#N/A</v>
      </c>
    </row>
    <row r="109" spans="12:19" x14ac:dyDescent="0.25">
      <c r="L109" s="7" t="e">
        <f>VLOOKUP(A109,'3121% SY'!A:M,'3121% SY'!$M$1,FALSE)</f>
        <v>#N/A</v>
      </c>
      <c r="M109" s="161" t="e">
        <f t="shared" si="5"/>
        <v>#N/A</v>
      </c>
      <c r="N109" s="33" t="e">
        <f t="shared" si="6"/>
        <v>#N/A</v>
      </c>
      <c r="R109" s="161" t="e">
        <f t="shared" si="7"/>
        <v>#N/A</v>
      </c>
      <c r="S109" s="33" t="e">
        <f t="shared" si="8"/>
        <v>#N/A</v>
      </c>
    </row>
    <row r="110" spans="12:19" x14ac:dyDescent="0.25">
      <c r="L110" s="7" t="e">
        <f>VLOOKUP(A110,'3121% SY'!A:M,'3121% SY'!$M$1,FALSE)</f>
        <v>#N/A</v>
      </c>
      <c r="M110" s="161" t="e">
        <f t="shared" si="5"/>
        <v>#N/A</v>
      </c>
      <c r="N110" s="33" t="e">
        <f t="shared" si="6"/>
        <v>#N/A</v>
      </c>
      <c r="R110" s="161" t="e">
        <f t="shared" si="7"/>
        <v>#N/A</v>
      </c>
      <c r="S110" s="33" t="e">
        <f t="shared" si="8"/>
        <v>#N/A</v>
      </c>
    </row>
    <row r="111" spans="12:19" x14ac:dyDescent="0.25">
      <c r="L111" s="7" t="e">
        <f>VLOOKUP(A111,'3121% SY'!A:M,'3121% SY'!$M$1,FALSE)</f>
        <v>#N/A</v>
      </c>
      <c r="M111" s="161" t="e">
        <f t="shared" si="5"/>
        <v>#N/A</v>
      </c>
      <c r="N111" s="33" t="e">
        <f t="shared" si="6"/>
        <v>#N/A</v>
      </c>
      <c r="R111" s="161" t="e">
        <f t="shared" si="7"/>
        <v>#N/A</v>
      </c>
      <c r="S111" s="33" t="e">
        <f t="shared" si="8"/>
        <v>#N/A</v>
      </c>
    </row>
    <row r="112" spans="12:19" x14ac:dyDescent="0.25">
      <c r="L112" s="7" t="e">
        <f>VLOOKUP(A112,'3121% SY'!A:M,'3121% SY'!$M$1,FALSE)</f>
        <v>#N/A</v>
      </c>
      <c r="M112" s="161" t="e">
        <f t="shared" si="5"/>
        <v>#N/A</v>
      </c>
      <c r="N112" s="33" t="e">
        <f t="shared" si="6"/>
        <v>#N/A</v>
      </c>
      <c r="R112" s="161" t="e">
        <f t="shared" si="7"/>
        <v>#N/A</v>
      </c>
      <c r="S112" s="33" t="e">
        <f t="shared" si="8"/>
        <v>#N/A</v>
      </c>
    </row>
    <row r="113" spans="12:19" x14ac:dyDescent="0.25">
      <c r="L113" s="7" t="e">
        <f>VLOOKUP(A113,'3121% SY'!A:M,'3121% SY'!$M$1,FALSE)</f>
        <v>#N/A</v>
      </c>
      <c r="M113" s="161" t="e">
        <f t="shared" si="5"/>
        <v>#N/A</v>
      </c>
      <c r="N113" s="33" t="e">
        <f t="shared" si="6"/>
        <v>#N/A</v>
      </c>
      <c r="R113" s="161" t="e">
        <f t="shared" si="7"/>
        <v>#N/A</v>
      </c>
      <c r="S113" s="33" t="e">
        <f t="shared" si="8"/>
        <v>#N/A</v>
      </c>
    </row>
    <row r="114" spans="12:19" x14ac:dyDescent="0.25">
      <c r="L114" s="7" t="e">
        <f>VLOOKUP(A114,'3121% SY'!A:M,'3121% SY'!$M$1,FALSE)</f>
        <v>#N/A</v>
      </c>
      <c r="M114" s="161" t="e">
        <f t="shared" si="5"/>
        <v>#N/A</v>
      </c>
      <c r="N114" s="33" t="e">
        <f t="shared" si="6"/>
        <v>#N/A</v>
      </c>
      <c r="R114" s="161" t="e">
        <f t="shared" si="7"/>
        <v>#N/A</v>
      </c>
      <c r="S114" s="33" t="e">
        <f t="shared" si="8"/>
        <v>#N/A</v>
      </c>
    </row>
    <row r="115" spans="12:19" x14ac:dyDescent="0.25">
      <c r="L115" s="7" t="e">
        <f>VLOOKUP(A115,'3121% SY'!A:M,'3121% SY'!$M$1,FALSE)</f>
        <v>#N/A</v>
      </c>
      <c r="M115" s="161" t="e">
        <f t="shared" si="5"/>
        <v>#N/A</v>
      </c>
      <c r="N115" s="33" t="e">
        <f t="shared" si="6"/>
        <v>#N/A</v>
      </c>
      <c r="R115" s="161" t="e">
        <f t="shared" si="7"/>
        <v>#N/A</v>
      </c>
      <c r="S115" s="33" t="e">
        <f t="shared" si="8"/>
        <v>#N/A</v>
      </c>
    </row>
    <row r="116" spans="12:19" x14ac:dyDescent="0.25">
      <c r="L116" s="7" t="e">
        <f>VLOOKUP(A116,'3121% SY'!A:M,'3121% SY'!$M$1,FALSE)</f>
        <v>#N/A</v>
      </c>
      <c r="M116" s="161" t="e">
        <f t="shared" si="5"/>
        <v>#N/A</v>
      </c>
      <c r="N116" s="33" t="e">
        <f t="shared" si="6"/>
        <v>#N/A</v>
      </c>
      <c r="R116" s="161" t="e">
        <f t="shared" si="7"/>
        <v>#N/A</v>
      </c>
      <c r="S116" s="33" t="e">
        <f t="shared" si="8"/>
        <v>#N/A</v>
      </c>
    </row>
    <row r="117" spans="12:19" x14ac:dyDescent="0.25">
      <c r="L117" s="7" t="e">
        <f>VLOOKUP(A117,'3121% SY'!A:M,'3121% SY'!$M$1,FALSE)</f>
        <v>#N/A</v>
      </c>
      <c r="M117" s="161" t="e">
        <f t="shared" si="5"/>
        <v>#N/A</v>
      </c>
      <c r="N117" s="33" t="e">
        <f t="shared" si="6"/>
        <v>#N/A</v>
      </c>
      <c r="R117" s="161" t="e">
        <f t="shared" si="7"/>
        <v>#N/A</v>
      </c>
      <c r="S117" s="33" t="e">
        <f t="shared" si="8"/>
        <v>#N/A</v>
      </c>
    </row>
    <row r="118" spans="12:19" x14ac:dyDescent="0.25">
      <c r="L118" s="7" t="e">
        <f>VLOOKUP(A118,'3121% SY'!A:M,'3121% SY'!$M$1,FALSE)</f>
        <v>#N/A</v>
      </c>
      <c r="M118" s="161" t="e">
        <f t="shared" si="5"/>
        <v>#N/A</v>
      </c>
      <c r="N118" s="33" t="e">
        <f t="shared" si="6"/>
        <v>#N/A</v>
      </c>
      <c r="R118" s="161" t="e">
        <f t="shared" si="7"/>
        <v>#N/A</v>
      </c>
      <c r="S118" s="33" t="e">
        <f t="shared" si="8"/>
        <v>#N/A</v>
      </c>
    </row>
    <row r="119" spans="12:19" x14ac:dyDescent="0.25">
      <c r="L119" s="7" t="e">
        <f>VLOOKUP(A119,'3121% SY'!A:M,'3121% SY'!$M$1,FALSE)</f>
        <v>#N/A</v>
      </c>
      <c r="M119" s="161" t="e">
        <f t="shared" si="5"/>
        <v>#N/A</v>
      </c>
      <c r="N119" s="33" t="e">
        <f t="shared" si="6"/>
        <v>#N/A</v>
      </c>
      <c r="R119" s="161" t="e">
        <f t="shared" si="7"/>
        <v>#N/A</v>
      </c>
      <c r="S119" s="33" t="e">
        <f t="shared" si="8"/>
        <v>#N/A</v>
      </c>
    </row>
    <row r="120" spans="12:19" x14ac:dyDescent="0.25">
      <c r="L120" s="7" t="e">
        <f>VLOOKUP(A120,'3121% SY'!A:M,'3121% SY'!$M$1,FALSE)</f>
        <v>#N/A</v>
      </c>
      <c r="M120" s="161" t="e">
        <f t="shared" si="5"/>
        <v>#N/A</v>
      </c>
      <c r="N120" s="33" t="e">
        <f t="shared" si="6"/>
        <v>#N/A</v>
      </c>
      <c r="R120" s="161" t="e">
        <f t="shared" si="7"/>
        <v>#N/A</v>
      </c>
      <c r="S120" s="33" t="e">
        <f t="shared" si="8"/>
        <v>#N/A</v>
      </c>
    </row>
    <row r="121" spans="12:19" x14ac:dyDescent="0.25">
      <c r="L121" s="7" t="e">
        <f>VLOOKUP(A121,'3121% SY'!A:M,'3121% SY'!$M$1,FALSE)</f>
        <v>#N/A</v>
      </c>
      <c r="M121" s="161" t="e">
        <f t="shared" si="5"/>
        <v>#N/A</v>
      </c>
      <c r="N121" s="33" t="e">
        <f t="shared" si="6"/>
        <v>#N/A</v>
      </c>
      <c r="R121" s="161" t="e">
        <f t="shared" si="7"/>
        <v>#N/A</v>
      </c>
      <c r="S121" s="33" t="e">
        <f t="shared" si="8"/>
        <v>#N/A</v>
      </c>
    </row>
    <row r="122" spans="12:19" x14ac:dyDescent="0.25">
      <c r="L122" s="7" t="e">
        <f>VLOOKUP(A122,'3121% SY'!A:M,'3121% SY'!$M$1,FALSE)</f>
        <v>#N/A</v>
      </c>
      <c r="M122" s="161" t="e">
        <f t="shared" si="5"/>
        <v>#N/A</v>
      </c>
      <c r="N122" s="33" t="e">
        <f t="shared" si="6"/>
        <v>#N/A</v>
      </c>
      <c r="R122" s="161" t="e">
        <f t="shared" si="7"/>
        <v>#N/A</v>
      </c>
      <c r="S122" s="33" t="e">
        <f t="shared" si="8"/>
        <v>#N/A</v>
      </c>
    </row>
    <row r="123" spans="12:19" x14ac:dyDescent="0.25">
      <c r="L123" s="7" t="e">
        <f>VLOOKUP(A123,'3121% SY'!A:M,'3121% SY'!$M$1,FALSE)</f>
        <v>#N/A</v>
      </c>
      <c r="M123" s="161" t="e">
        <f t="shared" si="5"/>
        <v>#N/A</v>
      </c>
      <c r="N123" s="33" t="e">
        <f t="shared" si="6"/>
        <v>#N/A</v>
      </c>
      <c r="R123" s="161" t="e">
        <f t="shared" si="7"/>
        <v>#N/A</v>
      </c>
      <c r="S123" s="33" t="e">
        <f t="shared" si="8"/>
        <v>#N/A</v>
      </c>
    </row>
    <row r="124" spans="12:19" x14ac:dyDescent="0.25">
      <c r="L124" s="7" t="e">
        <f>VLOOKUP(A124,'3121% SY'!A:M,'3121% SY'!$M$1,FALSE)</f>
        <v>#N/A</v>
      </c>
      <c r="M124" s="161" t="e">
        <f t="shared" si="5"/>
        <v>#N/A</v>
      </c>
      <c r="N124" s="33" t="e">
        <f t="shared" si="6"/>
        <v>#N/A</v>
      </c>
      <c r="R124" s="161" t="e">
        <f t="shared" si="7"/>
        <v>#N/A</v>
      </c>
      <c r="S124" s="33" t="e">
        <f t="shared" si="8"/>
        <v>#N/A</v>
      </c>
    </row>
    <row r="125" spans="12:19" x14ac:dyDescent="0.25">
      <c r="L125" s="7" t="e">
        <f>VLOOKUP(A125,'3121% SY'!A:M,'3121% SY'!$M$1,FALSE)</f>
        <v>#N/A</v>
      </c>
      <c r="M125" s="161" t="e">
        <f t="shared" si="5"/>
        <v>#N/A</v>
      </c>
      <c r="N125" s="33" t="e">
        <f t="shared" si="6"/>
        <v>#N/A</v>
      </c>
      <c r="R125" s="161" t="e">
        <f t="shared" si="7"/>
        <v>#N/A</v>
      </c>
      <c r="S125" s="33" t="e">
        <f t="shared" si="8"/>
        <v>#N/A</v>
      </c>
    </row>
    <row r="126" spans="12:19" x14ac:dyDescent="0.25">
      <c r="L126" s="7" t="e">
        <f>VLOOKUP(A126,'3121% SY'!A:M,'3121% SY'!$M$1,FALSE)</f>
        <v>#N/A</v>
      </c>
      <c r="M126" s="161" t="e">
        <f t="shared" si="5"/>
        <v>#N/A</v>
      </c>
      <c r="N126" s="33" t="e">
        <f t="shared" si="6"/>
        <v>#N/A</v>
      </c>
      <c r="R126" s="161" t="e">
        <f t="shared" si="7"/>
        <v>#N/A</v>
      </c>
      <c r="S126" s="33" t="e">
        <f t="shared" si="8"/>
        <v>#N/A</v>
      </c>
    </row>
    <row r="127" spans="12:19" x14ac:dyDescent="0.25">
      <c r="L127" s="7" t="e">
        <f>VLOOKUP(A127,'3121% SY'!A:M,'3121% SY'!$M$1,FALSE)</f>
        <v>#N/A</v>
      </c>
      <c r="M127" s="161" t="e">
        <f t="shared" si="5"/>
        <v>#N/A</v>
      </c>
      <c r="N127" s="33" t="e">
        <f t="shared" si="6"/>
        <v>#N/A</v>
      </c>
      <c r="R127" s="161" t="e">
        <f t="shared" si="7"/>
        <v>#N/A</v>
      </c>
      <c r="S127" s="33" t="e">
        <f t="shared" si="8"/>
        <v>#N/A</v>
      </c>
    </row>
    <row r="128" spans="12:19" x14ac:dyDescent="0.25">
      <c r="L128" s="7" t="e">
        <f>VLOOKUP(A128,'3121% SY'!A:M,'3121% SY'!$M$1,FALSE)</f>
        <v>#N/A</v>
      </c>
      <c r="M128" s="161" t="e">
        <f t="shared" si="5"/>
        <v>#N/A</v>
      </c>
      <c r="N128" s="33" t="e">
        <f t="shared" si="6"/>
        <v>#N/A</v>
      </c>
      <c r="R128" s="161" t="e">
        <f t="shared" si="7"/>
        <v>#N/A</v>
      </c>
      <c r="S128" s="33" t="e">
        <f t="shared" si="8"/>
        <v>#N/A</v>
      </c>
    </row>
    <row r="129" spans="12:19" x14ac:dyDescent="0.25">
      <c r="L129" s="7" t="e">
        <f>VLOOKUP(A129,'3121% SY'!A:M,'3121% SY'!$M$1,FALSE)</f>
        <v>#N/A</v>
      </c>
      <c r="M129" s="161" t="e">
        <f t="shared" si="5"/>
        <v>#N/A</v>
      </c>
      <c r="N129" s="33" t="e">
        <f t="shared" si="6"/>
        <v>#N/A</v>
      </c>
      <c r="R129" s="161" t="e">
        <f t="shared" si="7"/>
        <v>#N/A</v>
      </c>
      <c r="S129" s="33" t="e">
        <f t="shared" si="8"/>
        <v>#N/A</v>
      </c>
    </row>
    <row r="130" spans="12:19" x14ac:dyDescent="0.25">
      <c r="L130" s="7" t="e">
        <f>VLOOKUP(A130,'3121% SY'!A:M,'3121% SY'!$M$1,FALSE)</f>
        <v>#N/A</v>
      </c>
      <c r="M130" s="161" t="e">
        <f t="shared" si="5"/>
        <v>#N/A</v>
      </c>
      <c r="N130" s="33" t="e">
        <f t="shared" si="6"/>
        <v>#N/A</v>
      </c>
      <c r="R130" s="161" t="e">
        <f t="shared" si="7"/>
        <v>#N/A</v>
      </c>
      <c r="S130" s="33" t="e">
        <f t="shared" si="8"/>
        <v>#N/A</v>
      </c>
    </row>
    <row r="131" spans="12:19" x14ac:dyDescent="0.25">
      <c r="L131" s="7" t="e">
        <f>VLOOKUP(A131,'3121% SY'!A:M,'3121% SY'!$M$1,FALSE)</f>
        <v>#N/A</v>
      </c>
      <c r="M131" s="161" t="e">
        <f t="shared" si="5"/>
        <v>#N/A</v>
      </c>
      <c r="N131" s="33" t="e">
        <f t="shared" si="6"/>
        <v>#N/A</v>
      </c>
      <c r="R131" s="161" t="e">
        <f t="shared" si="7"/>
        <v>#N/A</v>
      </c>
      <c r="S131" s="33" t="e">
        <f t="shared" si="8"/>
        <v>#N/A</v>
      </c>
    </row>
    <row r="132" spans="12:19" x14ac:dyDescent="0.25">
      <c r="L132" s="7" t="e">
        <f>VLOOKUP(A132,'3121% SY'!A:M,'3121% SY'!$M$1,FALSE)</f>
        <v>#N/A</v>
      </c>
    </row>
    <row r="133" spans="12:19" x14ac:dyDescent="0.25">
      <c r="L133" s="7" t="e">
        <f>VLOOKUP(A133,'3121% SY'!A:M,'3121% SY'!$M$1,FALSE)</f>
        <v>#N/A</v>
      </c>
    </row>
    <row r="134" spans="12:19" x14ac:dyDescent="0.25">
      <c r="L134" s="7" t="e">
        <f>VLOOKUP(A134,'3121% SY'!A:M,'3121% SY'!$M$1,FALSE)</f>
        <v>#N/A</v>
      </c>
    </row>
    <row r="135" spans="12:19" x14ac:dyDescent="0.25">
      <c r="L135" s="7" t="e">
        <f>VLOOKUP(A135,'3121% SY'!A:M,'3121% SY'!$M$1,FALSE)</f>
        <v>#N/A</v>
      </c>
    </row>
    <row r="136" spans="12:19" x14ac:dyDescent="0.25">
      <c r="L136" s="7" t="e">
        <f>VLOOKUP(A136,'3121% SY'!A:M,'3121% SY'!$M$1,FALSE)</f>
        <v>#N/A</v>
      </c>
    </row>
    <row r="137" spans="12:19" x14ac:dyDescent="0.25">
      <c r="L137" s="7" t="e">
        <f>VLOOKUP(A137,'3121% SY'!A:M,'3121% SY'!$M$1,FALSE)</f>
        <v>#N/A</v>
      </c>
    </row>
    <row r="138" spans="12:19" x14ac:dyDescent="0.25">
      <c r="L138" s="7" t="e">
        <f>VLOOKUP(A138,'3121% SY'!A:M,'3121% SY'!$M$1,FALSE)</f>
        <v>#N/A</v>
      </c>
    </row>
    <row r="139" spans="12:19" x14ac:dyDescent="0.25">
      <c r="L139" s="7" t="e">
        <f>VLOOKUP(A139,'3121% SY'!A:M,'3121% SY'!$M$1,FALSE)</f>
        <v>#N/A</v>
      </c>
    </row>
    <row r="140" spans="12:19" x14ac:dyDescent="0.25">
      <c r="L140" s="7" t="e">
        <f>VLOOKUP(A140,'3121% SY'!A:M,'3121% SY'!$M$1,FALSE)</f>
        <v>#N/A</v>
      </c>
    </row>
    <row r="141" spans="12:19" x14ac:dyDescent="0.25">
      <c r="L141" s="7" t="e">
        <f>VLOOKUP(A141,'3121% SY'!A:M,'3121% SY'!$M$1,FALSE)</f>
        <v>#N/A</v>
      </c>
    </row>
    <row r="142" spans="12:19" x14ac:dyDescent="0.25">
      <c r="L142" s="7" t="e">
        <f>VLOOKUP(A142,'3121% SY'!A:M,'3121% SY'!$M$1,FALSE)</f>
        <v>#N/A</v>
      </c>
    </row>
    <row r="143" spans="12:19" x14ac:dyDescent="0.25">
      <c r="L143" s="7" t="e">
        <f>VLOOKUP(A143,'3121% SY'!A:M,'3121% SY'!$M$1,FALSE)</f>
        <v>#N/A</v>
      </c>
    </row>
    <row r="144" spans="12:19" x14ac:dyDescent="0.25">
      <c r="L144" s="7" t="e">
        <f>VLOOKUP(A144,'3121% SY'!A:M,'3121% SY'!$M$1,FALSE)</f>
        <v>#N/A</v>
      </c>
    </row>
    <row r="145" spans="12:12" x14ac:dyDescent="0.25">
      <c r="L145" s="7" t="e">
        <f>VLOOKUP(A145,'3121% SY'!A:M,'3121% SY'!$M$1,FALSE)</f>
        <v>#N/A</v>
      </c>
    </row>
    <row r="146" spans="12:12" x14ac:dyDescent="0.25">
      <c r="L146" s="7" t="e">
        <f>VLOOKUP(A146,'3121% SY'!A:M,'3121% SY'!$M$1,FALSE)</f>
        <v>#N/A</v>
      </c>
    </row>
    <row r="147" spans="12:12" x14ac:dyDescent="0.25">
      <c r="L147" s="7" t="e">
        <f>VLOOKUP(A147,'3121% SY'!A:M,'3121% SY'!$M$1,FALSE)</f>
        <v>#N/A</v>
      </c>
    </row>
    <row r="148" spans="12:12" x14ac:dyDescent="0.25">
      <c r="L148" s="7" t="e">
        <f>VLOOKUP(A148,'3121% SY'!A:M,'3121% SY'!$M$1,FALSE)</f>
        <v>#N/A</v>
      </c>
    </row>
    <row r="149" spans="12:12" x14ac:dyDescent="0.25">
      <c r="L149" s="7" t="e">
        <f>VLOOKUP(A149,'3121% SY'!A:M,'3121% SY'!$M$1,FALSE)</f>
        <v>#N/A</v>
      </c>
    </row>
    <row r="150" spans="12:12" x14ac:dyDescent="0.25">
      <c r="L150" s="7" t="e">
        <f>VLOOKUP(A150,'3121% SY'!A:M,'3121% SY'!$M$1,FALSE)</f>
        <v>#N/A</v>
      </c>
    </row>
    <row r="151" spans="12:12" x14ac:dyDescent="0.25">
      <c r="L151" s="7" t="e">
        <f>VLOOKUP(A151,'3121% SY'!A:M,'3121% SY'!$M$1,FALSE)</f>
        <v>#N/A</v>
      </c>
    </row>
  </sheetData>
  <mergeCells count="1">
    <mergeCell ref="B2:H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0.59999389629810485"/>
  </sheetPr>
  <dimension ref="A1:Y50"/>
  <sheetViews>
    <sheetView zoomScaleNormal="100" workbookViewId="0"/>
  </sheetViews>
  <sheetFormatPr defaultRowHeight="15" x14ac:dyDescent="0.25"/>
  <cols>
    <col min="1" max="1" width="7.42578125" customWidth="1"/>
    <col min="2" max="2" width="7.7109375" customWidth="1"/>
    <col min="3" max="3" width="31.42578125" customWidth="1"/>
    <col min="4" max="4" width="14.28515625" customWidth="1"/>
    <col min="5" max="7" width="10.5703125" bestFit="1" customWidth="1"/>
    <col min="8" max="8" width="11.42578125" customWidth="1"/>
    <col min="9" max="9" width="7.28515625" bestFit="1" customWidth="1"/>
    <col min="10" max="10" width="13.5703125" customWidth="1"/>
    <col min="11" max="11" width="13.7109375" customWidth="1"/>
    <col min="12" max="12" width="13" customWidth="1"/>
    <col min="13" max="13" width="13.140625" customWidth="1"/>
    <col min="14" max="14" width="13" customWidth="1"/>
    <col min="15" max="15" width="12.42578125" customWidth="1"/>
    <col min="16" max="16" width="13.7109375" customWidth="1"/>
    <col min="17" max="17" width="12.5703125" bestFit="1" customWidth="1"/>
    <col min="18" max="18" width="20.5703125" bestFit="1" customWidth="1"/>
    <col min="19" max="19" width="7" bestFit="1" customWidth="1"/>
    <col min="20" max="20" width="10.28515625" hidden="1" customWidth="1"/>
    <col min="21" max="21" width="13.42578125" hidden="1" customWidth="1"/>
    <col min="22" max="22" width="8.5703125" hidden="1" customWidth="1"/>
    <col min="23" max="23" width="11.5703125" hidden="1" customWidth="1"/>
    <col min="24" max="24" width="9.5703125" hidden="1" customWidth="1"/>
    <col min="25" max="25" width="11.42578125" hidden="1" customWidth="1"/>
    <col min="26" max="26" width="12.28515625" customWidth="1"/>
    <col min="27" max="27" width="14.5703125" customWidth="1"/>
    <col min="28" max="28" width="12.5703125" customWidth="1"/>
    <col min="29" max="29" width="14.7109375" customWidth="1"/>
    <col min="30" max="30" width="16.42578125" customWidth="1"/>
    <col min="31" max="31" width="14.42578125" customWidth="1"/>
    <col min="32" max="32" width="21.7109375" customWidth="1"/>
  </cols>
  <sheetData>
    <row r="1" spans="1:25" ht="23.25" x14ac:dyDescent="0.35">
      <c r="A1" s="16" t="str">
        <f>'2024-25 PSES Compliance'!A1</f>
        <v>14005</v>
      </c>
      <c r="B1" s="16"/>
      <c r="C1" s="289" t="str">
        <f>'2024-25 K3Class Size Compliance'!B1</f>
        <v>This tab has been pre-loaded with all January data for the 2024-25 school year.</v>
      </c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</row>
    <row r="2" spans="1:25" ht="10.35" customHeight="1" x14ac:dyDescent="0.35">
      <c r="D2" s="12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</row>
    <row r="3" spans="1:25" ht="21" x14ac:dyDescent="0.35">
      <c r="C3" s="9" t="s">
        <v>1615</v>
      </c>
    </row>
    <row r="4" spans="1:25" ht="13.35" customHeight="1" x14ac:dyDescent="0.35">
      <c r="C4" s="9"/>
    </row>
    <row r="5" spans="1:25" x14ac:dyDescent="0.25">
      <c r="C5" s="121" t="str">
        <f>'2024-25 PSES Compliance'!C4</f>
        <v>Aberdeen School District</v>
      </c>
      <c r="E5" s="26"/>
    </row>
    <row r="6" spans="1:25" ht="15" customHeight="1" x14ac:dyDescent="0.25">
      <c r="C6" s="8" t="str">
        <f>"Select district on '2024-25 PSES Compliance' sheet for "&amp;Instructions!E72 &amp;" Student FTE, Teacher FTE and 3121% data to be filled"</f>
        <v>Select district on '2024-25 PSES Compliance' sheet for January Student FTE, Teacher FTE and 3121% data to be filled</v>
      </c>
    </row>
    <row r="7" spans="1:25" ht="15.75" x14ac:dyDescent="0.25">
      <c r="C7" s="8" t="s">
        <v>1619</v>
      </c>
    </row>
    <row r="8" spans="1:25" x14ac:dyDescent="0.25">
      <c r="E8" s="2"/>
      <c r="F8" s="2"/>
      <c r="G8" s="2"/>
      <c r="H8" s="1"/>
      <c r="I8" s="1"/>
      <c r="J8" s="1"/>
      <c r="K8" s="1"/>
      <c r="L8" s="1"/>
      <c r="M8" s="1"/>
      <c r="N8" s="1"/>
      <c r="O8" s="1"/>
    </row>
    <row r="9" spans="1:25" ht="15.75" x14ac:dyDescent="0.25">
      <c r="C9" s="8" t="s">
        <v>758</v>
      </c>
      <c r="E9" s="125"/>
      <c r="F9" s="239"/>
      <c r="G9" s="240"/>
      <c r="H9" s="240"/>
      <c r="I9" s="241"/>
      <c r="J9" s="43"/>
      <c r="K9" s="125"/>
      <c r="L9" s="125"/>
      <c r="M9" s="43"/>
      <c r="N9" s="43"/>
      <c r="O9" s="77"/>
    </row>
    <row r="10" spans="1:25" ht="75" x14ac:dyDescent="0.25">
      <c r="A10" s="24" t="s">
        <v>712</v>
      </c>
      <c r="B10" s="24" t="s">
        <v>725</v>
      </c>
      <c r="C10" t="s">
        <v>724</v>
      </c>
      <c r="D10" s="3" t="str">
        <f>CONCATENATE(Instructions!E72," TK-6 Student FTE")</f>
        <v>January TK-6 Student FTE</v>
      </c>
      <c r="E10" s="3" t="s">
        <v>677</v>
      </c>
      <c r="F10" s="3" t="s">
        <v>1148</v>
      </c>
      <c r="G10" s="3" t="s">
        <v>726</v>
      </c>
      <c r="H10" s="3" t="s">
        <v>678</v>
      </c>
      <c r="I10" s="4">
        <v>31.21</v>
      </c>
      <c r="J10" s="3" t="s">
        <v>697</v>
      </c>
      <c r="K10" s="3" t="s">
        <v>774</v>
      </c>
      <c r="L10" s="3" t="s">
        <v>1149</v>
      </c>
      <c r="M10" s="3" t="s">
        <v>775</v>
      </c>
      <c r="N10" s="3" t="s">
        <v>776</v>
      </c>
      <c r="O10" s="3" t="s">
        <v>777</v>
      </c>
      <c r="P10" s="59" t="s">
        <v>679</v>
      </c>
      <c r="Q10" s="71" t="s">
        <v>700</v>
      </c>
      <c r="R10" s="75" t="s">
        <v>702</v>
      </c>
      <c r="T10" s="77"/>
    </row>
    <row r="11" spans="1:25" x14ac:dyDescent="0.25">
      <c r="D11" s="18">
        <f>VLOOKUP($A$1,PSESEnroll,'Enroll Data as of January 2025'!C$1,FALSE)</f>
        <v>1439.3000000000002</v>
      </c>
      <c r="E11" s="79"/>
      <c r="F11" s="79"/>
      <c r="G11" s="79"/>
      <c r="H11" s="79"/>
      <c r="I11" s="80"/>
      <c r="J11" s="79"/>
      <c r="K11" s="79"/>
      <c r="L11" s="79"/>
      <c r="M11" s="79"/>
      <c r="N11" s="79"/>
      <c r="O11" s="79"/>
      <c r="P11" s="81"/>
      <c r="Q11" s="82"/>
      <c r="R11" s="83"/>
      <c r="T11" s="77"/>
    </row>
    <row r="12" spans="1:25" x14ac:dyDescent="0.25">
      <c r="A12" s="99" t="s">
        <v>747</v>
      </c>
      <c r="B12" s="22" t="s">
        <v>717</v>
      </c>
      <c r="C12" s="22" t="s">
        <v>716</v>
      </c>
      <c r="E12" s="40">
        <f>IFERROR(VLOOKUP($A$1,ElemStaff01,MATCH($A12,Elem!$A$3:$O$3),FALSE),0)</f>
        <v>0</v>
      </c>
      <c r="F12" s="40">
        <f>IFERROR(VLOOKUP($A$1,ElemStaff09,MATCH($A12,Elem!$S$3:$AG$3),FALSE),0)</f>
        <v>0</v>
      </c>
      <c r="G12" s="40">
        <f>IFERROR(VLOOKUP($A$1,ElemStaff97,MATCH($A12,Elem!$AK$3:$AY$3),FALSE),0)</f>
        <v>0</v>
      </c>
      <c r="H12" s="40">
        <f>IFERROR(VLOOKUP($A$1,ElemStaff21,MATCH($A12,Elem!$BC$3:$BQ$3),FALSE),0)</f>
        <v>0</v>
      </c>
      <c r="I12" s="120">
        <f>VLOOKUP($A$1,'3121% SY'!$A:$M,'3121% SY'!M$1,FALSE)</f>
        <v>0.26870000000000005</v>
      </c>
      <c r="J12" s="73">
        <f>ROUND(H12*$I$12,3)</f>
        <v>0</v>
      </c>
      <c r="K12" s="40">
        <f>IFERROR(VLOOKUP($A$1,Elem_Prog01_Supp,2,FALSE),0)</f>
        <v>0</v>
      </c>
      <c r="L12" s="40">
        <f>IFERROR(VLOOKUP($A$1,Elem_Prog09_Supp,2,FALSE),0)</f>
        <v>0</v>
      </c>
      <c r="M12" s="40">
        <f>IFERROR(VLOOKUP($A$1,Elem_Prog97_Supp,2,FALSE),0)</f>
        <v>0</v>
      </c>
      <c r="N12" s="40">
        <f>IFERROR(VLOOKUP($A$1,Elem_Prog21_Supp,2,FALSE),0)</f>
        <v>0</v>
      </c>
      <c r="O12" s="73">
        <f>ROUND(N12*$I$12,3)</f>
        <v>0</v>
      </c>
      <c r="P12" s="100">
        <f>E12+F12+G12+J12+K12+L12+M12+O12</f>
        <v>0</v>
      </c>
      <c r="Q12" s="73">
        <v>0</v>
      </c>
      <c r="R12" s="101">
        <f>ROUND($D$11*Q12/400,3)</f>
        <v>0</v>
      </c>
      <c r="T12" s="207">
        <f>P12+'2024-25 Middle Calculator'!N12+'2024-25 High Calculator'!N12</f>
        <v>0</v>
      </c>
      <c r="U12" s="207">
        <f>Q12+'2024-25 Middle Calculator'!O12+'2024-25 High Calculator'!O12</f>
        <v>0</v>
      </c>
      <c r="V12" s="207">
        <f>R12+'2024-25 Middle Calculator'!P12+'2024-25 High Calculator'!P12</f>
        <v>0</v>
      </c>
      <c r="W12" s="207">
        <f>'2024-25 Middle Calculator'!O12</f>
        <v>0</v>
      </c>
      <c r="X12" s="207">
        <f>'2024-25 High Calculator'!O12</f>
        <v>0</v>
      </c>
      <c r="Y12" s="207"/>
    </row>
    <row r="13" spans="1:25" x14ac:dyDescent="0.25">
      <c r="A13" s="99" t="s">
        <v>736</v>
      </c>
      <c r="B13" s="22" t="s">
        <v>717</v>
      </c>
      <c r="C13" s="22" t="s">
        <v>729</v>
      </c>
      <c r="E13" s="40">
        <f>IFERROR(VLOOKUP($A$1,ElemStaff01,MATCH($A13,Elem!$A$3:$O$3),FALSE),0)</f>
        <v>3.25</v>
      </c>
      <c r="F13" s="40">
        <f>IFERROR(VLOOKUP($A$1,ElemStaff09,MATCH($A13,Elem!$S$3:$AG$3),FALSE),0)</f>
        <v>0</v>
      </c>
      <c r="G13" s="40">
        <f>IFERROR(VLOOKUP($A$1,ElemStaff97,MATCH($A13,Elem!$AK$3:$AY$3),FALSE),0)</f>
        <v>0</v>
      </c>
      <c r="H13" s="40">
        <f>IFERROR(VLOOKUP($A$1,ElemStaff21,MATCH($A13,Elem!$BC$3:$BQ$3),FALSE),0)</f>
        <v>0</v>
      </c>
      <c r="J13" s="72">
        <f t="shared" ref="J13:J23" si="0">ROUND(H13*$I$12,3)</f>
        <v>0</v>
      </c>
      <c r="K13" s="40">
        <f>IFERROR(VLOOKUP($A$1,Elem_Prog01_Supp,3,FALSE),0)</f>
        <v>0</v>
      </c>
      <c r="L13" s="40">
        <f>IFERROR(VLOOKUP($A$1,Elem_Prog09_Supp,3,FALSE),0)</f>
        <v>0</v>
      </c>
      <c r="M13" s="40">
        <f>IFERROR(VLOOKUP($A$1,Elem_Prog97_Supp,3,FALSE),0)</f>
        <v>0</v>
      </c>
      <c r="N13" s="40">
        <f>IFERROR(VLOOKUP($A$1,Elem_Prog21_Supp,3,FALSE),0)</f>
        <v>0</v>
      </c>
      <c r="O13" s="73">
        <f t="shared" ref="O13:O23" si="1">ROUND(N13*$I$12,3)</f>
        <v>0</v>
      </c>
      <c r="P13" s="100">
        <f>E13+F13+G13+J13+K13+L13+M13+O13</f>
        <v>3.25</v>
      </c>
      <c r="Q13" s="72">
        <v>0.99299999999999999</v>
      </c>
      <c r="R13" s="49">
        <f>ROUND($D$11*Q13/400,3)</f>
        <v>3.573</v>
      </c>
      <c r="T13" s="207">
        <f>P13+'2024-25 Middle Calculator'!N13+'2024-25 High Calculator'!N13</f>
        <v>8.7439999999999998</v>
      </c>
      <c r="U13" s="207">
        <f>Q13+'2024-25 Middle Calculator'!O13+'2024-25 High Calculator'!O13</f>
        <v>5.7480000000000002</v>
      </c>
      <c r="V13" s="207">
        <f>R13+'2024-25 Middle Calculator'!P13+'2024-25 High Calculator'!P13</f>
        <v>8.2639999999999993</v>
      </c>
      <c r="W13" s="207">
        <f>'2024-25 Middle Calculator'!O13</f>
        <v>1.716</v>
      </c>
      <c r="X13" s="207">
        <f>'2024-25 High Calculator'!O13</f>
        <v>3.0390000000000001</v>
      </c>
      <c r="Y13" s="207"/>
    </row>
    <row r="14" spans="1:25" x14ac:dyDescent="0.25">
      <c r="A14" s="99" t="s">
        <v>738</v>
      </c>
      <c r="B14" s="22" t="s">
        <v>717</v>
      </c>
      <c r="C14" s="22" t="s">
        <v>680</v>
      </c>
      <c r="E14" s="40">
        <f>IFERROR(VLOOKUP($A$1,ElemStaff01,MATCH($A14,Elem!$A$3:$O$3),FALSE),0)</f>
        <v>0</v>
      </c>
      <c r="F14" s="40">
        <f>IFERROR(VLOOKUP($A$1,ElemStaff09,MATCH($A14,Elem!$S$3:$AG$3),FALSE),0)</f>
        <v>0</v>
      </c>
      <c r="G14" s="40">
        <f>IFERROR(VLOOKUP($A$1,ElemStaff97,MATCH($A14,Elem!$AK$3:$AY$3),FALSE),0)</f>
        <v>0</v>
      </c>
      <c r="H14" s="40">
        <f>IFERROR(VLOOKUP($A$1,ElemStaff21,MATCH($A14,Elem!$BC$3:$BQ$3),FALSE),0)</f>
        <v>0</v>
      </c>
      <c r="I14" s="84"/>
      <c r="J14" s="73">
        <f t="shared" si="0"/>
        <v>0</v>
      </c>
      <c r="K14" s="40">
        <f>IFERROR(VLOOKUP($A$1,Elem_Prog01_Supp,4,FALSE),0)</f>
        <v>0</v>
      </c>
      <c r="L14" s="40">
        <f>IFERROR(VLOOKUP($A$1,Elem_Prog09_Supp,4,FALSE),0)</f>
        <v>0</v>
      </c>
      <c r="M14" s="40">
        <f>IFERROR(VLOOKUP($A$1,Elem_Prog97_Supp,4,FALSE),0)</f>
        <v>0</v>
      </c>
      <c r="N14" s="40">
        <f>IFERROR(VLOOKUP($A$1,Elem_Prog21_Supp,4,FALSE),0)</f>
        <v>0</v>
      </c>
      <c r="O14" s="73">
        <f>ROUND(N14*$I$12,3)</f>
        <v>0</v>
      </c>
      <c r="P14" s="100">
        <f>E14+F14+G14+J14+K14+L14+M14+O14</f>
        <v>0</v>
      </c>
      <c r="Q14" s="73">
        <v>0</v>
      </c>
      <c r="R14" s="101">
        <f t="shared" ref="R14:R17" si="2">ROUND($D$11*Q14/400,3)</f>
        <v>0</v>
      </c>
      <c r="T14" s="207">
        <f>P14+'2024-25 Middle Calculator'!N14+'2024-25 High Calculator'!N14</f>
        <v>0</v>
      </c>
      <c r="U14" s="207">
        <f>Q14+'2024-25 Middle Calculator'!O14+'2024-25 High Calculator'!O14</f>
        <v>0</v>
      </c>
      <c r="V14" s="207">
        <f>R14+'2024-25 Middle Calculator'!P14+'2024-25 High Calculator'!P14</f>
        <v>0</v>
      </c>
      <c r="W14" s="207">
        <f>'2024-25 Middle Calculator'!O14</f>
        <v>0</v>
      </c>
      <c r="X14" s="207">
        <f>'2024-25 High Calculator'!O14</f>
        <v>0</v>
      </c>
      <c r="Y14" s="207"/>
    </row>
    <row r="15" spans="1:25" x14ac:dyDescent="0.25">
      <c r="A15" s="99" t="s">
        <v>744</v>
      </c>
      <c r="B15" s="22" t="s">
        <v>717</v>
      </c>
      <c r="C15" s="22" t="s">
        <v>719</v>
      </c>
      <c r="E15" s="40">
        <f>IFERROR(VLOOKUP($A$1,ElemStaff01,MATCH($A15,Elem!$A$3:$O$3),FALSE),0)</f>
        <v>0</v>
      </c>
      <c r="F15" s="40">
        <f>IFERROR(VLOOKUP($A$1,ElemStaff09,MATCH($A15,Elem!$S$3:$AG$3),FALSE),0)</f>
        <v>0</v>
      </c>
      <c r="G15" s="40">
        <f>IFERROR(VLOOKUP($A$1,ElemStaff97,MATCH($A15,Elem!$AK$3:$AY$3),FALSE),0)</f>
        <v>0</v>
      </c>
      <c r="H15" s="40">
        <f>IFERROR(VLOOKUP($A$1,ElemStaff21,MATCH($A15,Elem!$BC$3:$BQ$3),FALSE),0)</f>
        <v>0</v>
      </c>
      <c r="J15" s="72">
        <f t="shared" si="0"/>
        <v>0</v>
      </c>
      <c r="K15" s="40">
        <f>IFERROR(VLOOKUP($A$1,Elem_Prog01_Supp,5,FALSE),0)</f>
        <v>0</v>
      </c>
      <c r="L15" s="40">
        <f>IFERROR(VLOOKUP($A$1,Elem_Prog09_Supp,5,FALSE),0)</f>
        <v>0</v>
      </c>
      <c r="M15" s="40">
        <f>IFERROR(VLOOKUP($A$1,Elem_Prog97_Supp,5,FALSE),0)</f>
        <v>0</v>
      </c>
      <c r="N15" s="40">
        <f>IFERROR(VLOOKUP($A$1,Elem_Prog21_Supp,5,FALSE),0)</f>
        <v>0</v>
      </c>
      <c r="O15" s="73">
        <f t="shared" si="1"/>
        <v>0</v>
      </c>
      <c r="P15" s="100">
        <f t="shared" ref="P15:P23" si="3">E15+F15+G15+J15+K15+L15+M15+O15</f>
        <v>0</v>
      </c>
      <c r="Q15" s="72">
        <v>0.311</v>
      </c>
      <c r="R15" s="49">
        <f t="shared" si="2"/>
        <v>1.119</v>
      </c>
      <c r="T15" s="207">
        <f>P15+'2024-25 Middle Calculator'!N15+'2024-25 High Calculator'!N15</f>
        <v>0</v>
      </c>
      <c r="U15" s="207">
        <f>Q15+'2024-25 Middle Calculator'!O15+'2024-25 High Calculator'!O15</f>
        <v>0.52600000000000002</v>
      </c>
      <c r="V15" s="207">
        <f>R15+'2024-25 Middle Calculator'!P15+'2024-25 High Calculator'!P15</f>
        <v>1.3280000000000001</v>
      </c>
      <c r="W15" s="207">
        <f>'2024-25 Middle Calculator'!O15</f>
        <v>8.7999999999999995E-2</v>
      </c>
      <c r="X15" s="207">
        <f>'2024-25 High Calculator'!O15</f>
        <v>0.127</v>
      </c>
      <c r="Y15" s="207"/>
    </row>
    <row r="16" spans="1:25" x14ac:dyDescent="0.25">
      <c r="A16" s="99" t="s">
        <v>739</v>
      </c>
      <c r="B16" s="22" t="s">
        <v>717</v>
      </c>
      <c r="C16" s="22" t="s">
        <v>718</v>
      </c>
      <c r="E16" s="40">
        <f>IFERROR(VLOOKUP($A$1,ElemStaff01,MATCH($A16,Elem!$A$3:$O$3),FALSE),0)</f>
        <v>0</v>
      </c>
      <c r="F16" s="40">
        <f>IFERROR(VLOOKUP($A$1,ElemStaff09,MATCH($A16,Elem!$S$3:$AG$3),FALSE),0)</f>
        <v>0</v>
      </c>
      <c r="G16" s="40">
        <f>IFERROR(VLOOKUP($A$1,ElemStaff97,MATCH($A16,Elem!$AK$3:$AY$3),FALSE),0)</f>
        <v>0</v>
      </c>
      <c r="H16" s="40">
        <f>IFERROR(VLOOKUP($A$1,ElemStaff21,MATCH($A16,Elem!$BC$3:$BQ$3),FALSE),0)</f>
        <v>0.436</v>
      </c>
      <c r="I16" s="84"/>
      <c r="J16" s="73">
        <f t="shared" si="0"/>
        <v>0.11700000000000001</v>
      </c>
      <c r="K16" s="40">
        <f>IFERROR(VLOOKUP($A$1,Elem_Prog01_Supp,6,FALSE),0)</f>
        <v>0</v>
      </c>
      <c r="L16" s="40">
        <f>IFERROR(VLOOKUP($A$1,Elem_Prog09_Supp,6,FALSE),0)</f>
        <v>0</v>
      </c>
      <c r="M16" s="40">
        <f>IFERROR(VLOOKUP($A$1,Elem_Prog97_Supp,6,FALSE),0)</f>
        <v>0</v>
      </c>
      <c r="N16" s="40">
        <f>IFERROR(VLOOKUP($A$1,Elem_Prog21_Supp,6,FALSE),0)</f>
        <v>0</v>
      </c>
      <c r="O16" s="73">
        <f t="shared" si="1"/>
        <v>0</v>
      </c>
      <c r="P16" s="100">
        <f t="shared" si="3"/>
        <v>0.11700000000000001</v>
      </c>
      <c r="Q16" s="73">
        <v>0</v>
      </c>
      <c r="R16" s="101">
        <f t="shared" si="2"/>
        <v>0</v>
      </c>
      <c r="T16" s="207">
        <f>P16+'2024-25 Middle Calculator'!N16+'2024-25 High Calculator'!N16</f>
        <v>0.11700000000000001</v>
      </c>
      <c r="U16" s="207">
        <f>Q16+'2024-25 Middle Calculator'!O16+'2024-25 High Calculator'!O16</f>
        <v>0</v>
      </c>
      <c r="V16" s="207">
        <f>R16+'2024-25 Middle Calculator'!P16+'2024-25 High Calculator'!P16</f>
        <v>0</v>
      </c>
      <c r="W16" s="207">
        <f>'2024-25 Middle Calculator'!O16</f>
        <v>0</v>
      </c>
      <c r="X16" s="207">
        <f>'2024-25 High Calculator'!O16</f>
        <v>0</v>
      </c>
      <c r="Y16" s="207"/>
    </row>
    <row r="17" spans="1:25" x14ac:dyDescent="0.25">
      <c r="A17" s="99" t="s">
        <v>740</v>
      </c>
      <c r="B17" s="22" t="s">
        <v>717</v>
      </c>
      <c r="C17" s="22" t="s">
        <v>720</v>
      </c>
      <c r="E17" s="40">
        <f>IFERROR(VLOOKUP($A$1,ElemStaff01,MATCH($A17,Elem!$A$3:$O$3),FALSE),0)</f>
        <v>0</v>
      </c>
      <c r="F17" s="40">
        <f>IFERROR(VLOOKUP($A$1,ElemStaff09,MATCH($A17,Elem!$S$3:$AG$3),FALSE),0)</f>
        <v>0</v>
      </c>
      <c r="G17" s="40">
        <f>IFERROR(VLOOKUP($A$1,ElemStaff97,MATCH($A17,Elem!$AK$3:$AY$3),FALSE),0)</f>
        <v>0</v>
      </c>
      <c r="H17" s="40">
        <f>IFERROR(VLOOKUP($A$1,ElemStaff21,MATCH($A17,Elem!$BC$3:$BQ$3),FALSE),0)</f>
        <v>0</v>
      </c>
      <c r="J17" s="73">
        <f t="shared" si="0"/>
        <v>0</v>
      </c>
      <c r="K17" s="40">
        <f>IFERROR(VLOOKUP($A$1,Elem_Prog01_Supp,7,FALSE),0)</f>
        <v>0</v>
      </c>
      <c r="L17" s="40">
        <f>IFERROR(VLOOKUP($A$1,Elem_Prog09_Supp,7,FALSE),0)</f>
        <v>0</v>
      </c>
      <c r="M17" s="40">
        <f>IFERROR(VLOOKUP($A$1,Elem_Prog97_Supp,7,FALSE),0)</f>
        <v>0</v>
      </c>
      <c r="N17" s="40">
        <f>IFERROR(VLOOKUP($A$1,Elem_Prog21_Supp,7,FALSE),0)</f>
        <v>0</v>
      </c>
      <c r="O17" s="73">
        <f t="shared" si="1"/>
        <v>0</v>
      </c>
      <c r="P17" s="100">
        <f t="shared" si="3"/>
        <v>0</v>
      </c>
      <c r="Q17" s="73">
        <v>0.104</v>
      </c>
      <c r="R17" s="101">
        <f t="shared" si="2"/>
        <v>0.374</v>
      </c>
      <c r="T17" s="207">
        <f>P17+'2024-25 Middle Calculator'!N17+'2024-25 High Calculator'!N17</f>
        <v>0.04</v>
      </c>
      <c r="U17" s="207">
        <f>Q17+'2024-25 Middle Calculator'!O17+'2024-25 High Calculator'!O17</f>
        <v>0.17699999999999999</v>
      </c>
      <c r="V17" s="207">
        <f>R17+'2024-25 Middle Calculator'!P17+'2024-25 High Calculator'!P17</f>
        <v>0.44700000000000001</v>
      </c>
      <c r="W17" s="207">
        <f>'2024-25 Middle Calculator'!O17</f>
        <v>2.4E-2</v>
      </c>
      <c r="X17" s="207">
        <f>'2024-25 High Calculator'!O17</f>
        <v>4.9000000000000002E-2</v>
      </c>
      <c r="Y17" s="207"/>
    </row>
    <row r="18" spans="1:25" x14ac:dyDescent="0.25">
      <c r="A18" s="99" t="s">
        <v>742</v>
      </c>
      <c r="B18" s="22" t="s">
        <v>717</v>
      </c>
      <c r="C18" s="22" t="s">
        <v>721</v>
      </c>
      <c r="E18" s="40">
        <f>IFERROR(VLOOKUP($A$1,ElemStaff01,MATCH($A18,Elem!$A$3:$O$3),FALSE),0)</f>
        <v>0</v>
      </c>
      <c r="F18" s="40">
        <f>IFERROR(VLOOKUP($A$1,ElemStaff09,MATCH($A18,Elem!$S$3:$AG$3),FALSE),0)</f>
        <v>0</v>
      </c>
      <c r="G18" s="40">
        <f>IFERROR(VLOOKUP($A$1,ElemStaff97,MATCH($A18,Elem!$AK$3:$AY$3),FALSE),0)</f>
        <v>0</v>
      </c>
      <c r="H18" s="40">
        <f>IFERROR(VLOOKUP($A$1,ElemStaff21,MATCH($A18,Elem!$BC$3:$BQ$3),FALSE),0)</f>
        <v>0</v>
      </c>
      <c r="J18" s="72">
        <f t="shared" si="0"/>
        <v>0</v>
      </c>
      <c r="K18" s="40">
        <f>IFERROR(VLOOKUP($A$1,Elem_Prog01_Supp,8,FALSE),0)</f>
        <v>0</v>
      </c>
      <c r="L18" s="40">
        <f>IFERROR(VLOOKUP($A$1,Elem_Prog09_Supp,8,FALSE),0)</f>
        <v>0</v>
      </c>
      <c r="M18" s="40">
        <f>IFERROR(VLOOKUP($A$1,Elem_Prog97_Supp,8,FALSE),0)</f>
        <v>0</v>
      </c>
      <c r="N18" s="40">
        <f>IFERROR(VLOOKUP($A$1,Elem_Prog21_Supp,8,FALSE),0)</f>
        <v>0</v>
      </c>
      <c r="O18" s="73">
        <f t="shared" si="1"/>
        <v>0</v>
      </c>
      <c r="P18" s="100">
        <f t="shared" si="3"/>
        <v>0</v>
      </c>
      <c r="Q18" s="72">
        <v>0.58499999999999996</v>
      </c>
      <c r="R18" s="49">
        <f t="shared" ref="R18" si="4">ROUND($D$11*Q18/400,3)</f>
        <v>2.105</v>
      </c>
      <c r="T18" s="207">
        <f>P18+'2024-25 Middle Calculator'!N18+'2024-25 High Calculator'!N18</f>
        <v>0</v>
      </c>
      <c r="U18" s="207">
        <f>Q18+'2024-25 Middle Calculator'!O18+'2024-25 High Calculator'!O18</f>
        <v>2.2969999999999997</v>
      </c>
      <c r="V18" s="207">
        <f>R18+'2024-25 Middle Calculator'!P18+'2024-25 High Calculator'!P18</f>
        <v>3.7030000000000003</v>
      </c>
      <c r="W18" s="207">
        <f>'2024-25 Middle Calculator'!O18</f>
        <v>0.88800000000000001</v>
      </c>
      <c r="X18" s="207">
        <f>'2024-25 High Calculator'!O18</f>
        <v>0.82399999999999995</v>
      </c>
      <c r="Y18" s="207">
        <f>SUM(Q13:Q18,W13:X18)</f>
        <v>8.7480000000000011</v>
      </c>
    </row>
    <row r="19" spans="1:25" x14ac:dyDescent="0.25">
      <c r="A19" s="99" t="s">
        <v>743</v>
      </c>
      <c r="B19" s="22" t="s">
        <v>717</v>
      </c>
      <c r="C19" s="22" t="s">
        <v>722</v>
      </c>
      <c r="E19" s="40">
        <f>IFERROR(VLOOKUP($A$1,ElemStaff01,MATCH($A19,Elem!$A$3:$O$3),FALSE),0)</f>
        <v>0</v>
      </c>
      <c r="F19" s="40">
        <f>IFERROR(VLOOKUP($A$1,ElemStaff09,MATCH($A19,Elem!$S$3:$AG$3),FALSE),0)</f>
        <v>0</v>
      </c>
      <c r="G19" s="40">
        <f>IFERROR(VLOOKUP($A$1,ElemStaff97,MATCH($A19,Elem!$AK$3:$AY$3),FALSE),0)</f>
        <v>0</v>
      </c>
      <c r="H19" s="40">
        <f>IFERROR(VLOOKUP($A$1,ElemStaff21,MATCH($A19,Elem!$BC$3:$BQ$3),FALSE),0)</f>
        <v>0</v>
      </c>
      <c r="I19" s="84"/>
      <c r="J19" s="73">
        <f t="shared" si="0"/>
        <v>0</v>
      </c>
      <c r="K19" s="40">
        <f>IFERROR(VLOOKUP($A$1,Elem_Prog01_Supp,9,FALSE),0)</f>
        <v>0</v>
      </c>
      <c r="L19" s="40">
        <f>IFERROR(VLOOKUP($A$1,Elem_Prog09_Supp,9,FALSE),0)</f>
        <v>0</v>
      </c>
      <c r="M19" s="40">
        <f>IFERROR(VLOOKUP($A$1,Elem_Prog97_Supp,9,FALSE),0)</f>
        <v>0</v>
      </c>
      <c r="N19" s="40">
        <f>IFERROR(VLOOKUP($A$1,Elem_Prog21_Supp,9,FALSE),0)</f>
        <v>0</v>
      </c>
      <c r="O19" s="73">
        <f t="shared" si="1"/>
        <v>0</v>
      </c>
      <c r="P19" s="100">
        <f t="shared" si="3"/>
        <v>0</v>
      </c>
      <c r="Q19" s="73">
        <v>0</v>
      </c>
      <c r="R19" s="101">
        <f t="shared" ref="R19:R23" si="5">ROUND($D$11*Q19/400,3)</f>
        <v>0</v>
      </c>
      <c r="T19" s="207">
        <f>P19+'2024-25 Middle Calculator'!N19+'2024-25 High Calculator'!N19</f>
        <v>0</v>
      </c>
      <c r="U19" s="207">
        <f>Q19+'2024-25 Middle Calculator'!O19+'2024-25 High Calculator'!O19</f>
        <v>0</v>
      </c>
      <c r="V19" s="207">
        <f>R19+'2024-25 Middle Calculator'!P19+'2024-25 High Calculator'!P19</f>
        <v>0</v>
      </c>
      <c r="W19" s="207">
        <f>'2024-25 Middle Calculator'!O19</f>
        <v>0</v>
      </c>
      <c r="X19" s="207">
        <f>'2024-25 High Calculator'!O19</f>
        <v>0</v>
      </c>
      <c r="Y19" s="207"/>
    </row>
    <row r="20" spans="1:25" x14ac:dyDescent="0.25">
      <c r="A20" s="99" t="s">
        <v>746</v>
      </c>
      <c r="B20" s="22" t="s">
        <v>717</v>
      </c>
      <c r="C20" s="22" t="s">
        <v>681</v>
      </c>
      <c r="E20" s="40">
        <f>IFERROR(VLOOKUP($A$1,ElemStaff01,MATCH($A20,Elem!$A$3:$O$3),FALSE),0)</f>
        <v>0</v>
      </c>
      <c r="F20" s="40">
        <f>IFERROR(VLOOKUP($A$1,ElemStaff09,MATCH($A20,Elem!$S$3:$AG$3),FALSE),0)</f>
        <v>0</v>
      </c>
      <c r="G20" s="40">
        <f>IFERROR(VLOOKUP($A$1,ElemStaff97,MATCH($A20,Elem!$AK$3:$AY$3),FALSE),0)</f>
        <v>0</v>
      </c>
      <c r="H20" s="40">
        <f>IFERROR(VLOOKUP($A$1,ElemStaff21,MATCH($A20,Elem!$BC$3:$BQ$3),FALSE),0)</f>
        <v>0</v>
      </c>
      <c r="I20" s="84"/>
      <c r="J20" s="73">
        <f t="shared" si="0"/>
        <v>0</v>
      </c>
      <c r="K20" s="40">
        <f>IFERROR(VLOOKUP($A$1,Elem_Prog01_Supp,10,FALSE),0)</f>
        <v>0</v>
      </c>
      <c r="L20" s="40">
        <f>IFERROR(VLOOKUP($A$1,Elem_Prog09_Supp,10,FALSE),0)</f>
        <v>0</v>
      </c>
      <c r="M20" s="40">
        <f>IFERROR(VLOOKUP($A$1,Elem_Prog97_Supp,10,FALSE),0)</f>
        <v>0</v>
      </c>
      <c r="N20" s="40">
        <f>IFERROR(VLOOKUP($A$1,Elem_Prog21_Supp,10,FALSE),0)</f>
        <v>0</v>
      </c>
      <c r="O20" s="73">
        <f t="shared" si="1"/>
        <v>0</v>
      </c>
      <c r="P20" s="100">
        <f t="shared" si="3"/>
        <v>0</v>
      </c>
      <c r="Q20" s="73">
        <v>0</v>
      </c>
      <c r="R20" s="101">
        <f t="shared" si="5"/>
        <v>0</v>
      </c>
      <c r="T20" s="207">
        <f>P20+'2024-25 Middle Calculator'!N20+'2024-25 High Calculator'!N20</f>
        <v>0</v>
      </c>
      <c r="U20" s="207">
        <f>Q20+'2024-25 Middle Calculator'!O20+'2024-25 High Calculator'!O20</f>
        <v>0</v>
      </c>
      <c r="V20" s="207">
        <f>R20+'2024-25 Middle Calculator'!P20+'2024-25 High Calculator'!P20</f>
        <v>0</v>
      </c>
      <c r="W20" s="207">
        <f>'2024-25 Middle Calculator'!O20</f>
        <v>0</v>
      </c>
      <c r="X20" s="207">
        <f>'2024-25 High Calculator'!O20</f>
        <v>0</v>
      </c>
      <c r="Y20" s="207"/>
    </row>
    <row r="21" spans="1:25" x14ac:dyDescent="0.25">
      <c r="A21" s="99" t="s">
        <v>745</v>
      </c>
      <c r="B21" s="22" t="s">
        <v>717</v>
      </c>
      <c r="C21" s="22" t="s">
        <v>723</v>
      </c>
      <c r="E21" s="40">
        <f>IFERROR(VLOOKUP($A$1,ElemStaff01,MATCH($A21,Elem!$A$3:$O$3),FALSE),0)</f>
        <v>0</v>
      </c>
      <c r="F21" s="40">
        <f>IFERROR(VLOOKUP($A$1,ElemStaff09,MATCH($A21,Elem!$S$3:$AG$3),FALSE),0)</f>
        <v>0</v>
      </c>
      <c r="G21" s="40">
        <f>IFERROR(VLOOKUP($A$1,ElemStaff97,MATCH($A21,Elem!$AK$3:$AY$3),FALSE),0)</f>
        <v>0</v>
      </c>
      <c r="H21" s="40">
        <f>IFERROR(VLOOKUP($A$1,ElemStaff21,MATCH($A21,Elem!$BC$3:$BQ$3),FALSE),0)</f>
        <v>12</v>
      </c>
      <c r="J21" s="73">
        <f t="shared" si="0"/>
        <v>3.2240000000000002</v>
      </c>
      <c r="K21" s="40">
        <f>IFERROR(VLOOKUP($A$1,Elem_Prog01_Supp,11,FALSE),0)</f>
        <v>0</v>
      </c>
      <c r="L21" s="40">
        <f>IFERROR(VLOOKUP($A$1,Elem_Prog09_Supp,11,FALSE),0)</f>
        <v>0</v>
      </c>
      <c r="M21" s="40">
        <f>IFERROR(VLOOKUP($A$1,Elem_Prog97_Supp,11,FALSE),0)</f>
        <v>0</v>
      </c>
      <c r="N21" s="40">
        <f>IFERROR(VLOOKUP($A$1,Elem_Prog21_Supp,11,FALSE),0)</f>
        <v>0</v>
      </c>
      <c r="O21" s="73">
        <f t="shared" si="1"/>
        <v>0</v>
      </c>
      <c r="P21" s="100">
        <f t="shared" si="3"/>
        <v>3.2240000000000002</v>
      </c>
      <c r="Q21" s="73">
        <v>0</v>
      </c>
      <c r="R21" s="101">
        <f t="shared" si="5"/>
        <v>0</v>
      </c>
      <c r="S21" s="33"/>
      <c r="T21" s="207">
        <f>P21+'2024-25 Middle Calculator'!N21+'2024-25 High Calculator'!N21</f>
        <v>3.2240000000000002</v>
      </c>
      <c r="U21" s="207">
        <f>Q21+'2024-25 Middle Calculator'!O21+'2024-25 High Calculator'!O21</f>
        <v>0</v>
      </c>
      <c r="V21" s="207">
        <f>R21+'2024-25 Middle Calculator'!P21+'2024-25 High Calculator'!P21</f>
        <v>0</v>
      </c>
      <c r="W21" s="207">
        <f>'2024-25 Middle Calculator'!O21</f>
        <v>0</v>
      </c>
      <c r="X21" s="207">
        <f>'2024-25 High Calculator'!O21</f>
        <v>0</v>
      </c>
      <c r="Y21" s="207"/>
    </row>
    <row r="22" spans="1:25" x14ac:dyDescent="0.25">
      <c r="A22">
        <v>96</v>
      </c>
      <c r="B22" s="99" t="s">
        <v>737</v>
      </c>
      <c r="C22" s="22" t="s">
        <v>727</v>
      </c>
      <c r="E22" s="40">
        <f>IFERROR(VLOOKUP($A$1,ElemStaff01,MATCH($B22,Elem!$A$3:$O$3),FALSE),0)</f>
        <v>0.499</v>
      </c>
      <c r="F22" s="40">
        <f>IFERROR(VLOOKUP($A$1,ElemStaff09,MATCH($B22,Elem!$S$3:$AG$3),FALSE),0)</f>
        <v>0</v>
      </c>
      <c r="G22" s="40">
        <f>IFERROR(VLOOKUP($A$1,ElemStaff97,MATCH($B22,Elem!$AK$3:$AY$3),FALSE),0)</f>
        <v>0</v>
      </c>
      <c r="H22" s="40">
        <f>IFERROR(VLOOKUP($A$1,ElemStaff21,MATCH($B22,Elem!$BC$3:$BQ$3),FALSE),0)</f>
        <v>0</v>
      </c>
      <c r="J22" s="73">
        <f t="shared" si="0"/>
        <v>0</v>
      </c>
      <c r="K22" s="40">
        <f>IFERROR(VLOOKUP($A$1,Elem_Prog01_Supp,12,FALSE),0)</f>
        <v>0</v>
      </c>
      <c r="L22" s="40">
        <f>IFERROR(VLOOKUP($A$1,Elem_Prog09_Supp,12,FALSE),0)</f>
        <v>0</v>
      </c>
      <c r="M22" s="40">
        <f>IFERROR(VLOOKUP($A$1,Elem_Prog97_Supp,12,FALSE),0)</f>
        <v>0</v>
      </c>
      <c r="N22" s="40">
        <f>IFERROR(VLOOKUP($A$1,Elem_Prog21_Supp,12,FALSE),0)</f>
        <v>0</v>
      </c>
      <c r="O22" s="73">
        <f t="shared" si="1"/>
        <v>0</v>
      </c>
      <c r="P22" s="100">
        <f t="shared" si="3"/>
        <v>0.499</v>
      </c>
      <c r="Q22" s="74">
        <v>8.2500000000000004E-2</v>
      </c>
      <c r="R22" s="101">
        <f>ROUND($D$11*Q22/400,3)</f>
        <v>0.29699999999999999</v>
      </c>
      <c r="S22" s="33"/>
      <c r="T22" s="207">
        <f>P22+'2024-25 Middle Calculator'!N22+'2024-25 High Calculator'!N22</f>
        <v>0.499</v>
      </c>
      <c r="U22" s="207">
        <f>Q22+'2024-25 Middle Calculator'!O22+'2024-25 High Calculator'!O22</f>
        <v>8.2500000000000004E-2</v>
      </c>
      <c r="V22" s="207">
        <f>R22+'2024-25 Middle Calculator'!P22+'2024-25 High Calculator'!P22</f>
        <v>0.29699999999999999</v>
      </c>
      <c r="W22" s="207">
        <f>'2024-25 Middle Calculator'!O22</f>
        <v>0</v>
      </c>
      <c r="X22" s="207">
        <f>'2024-25 High Calculator'!O22</f>
        <v>0</v>
      </c>
      <c r="Y22" s="207"/>
    </row>
    <row r="23" spans="1:25" x14ac:dyDescent="0.25">
      <c r="A23" s="85" t="s">
        <v>728</v>
      </c>
      <c r="B23" s="99" t="s">
        <v>732</v>
      </c>
      <c r="C23" s="22" t="s">
        <v>1158</v>
      </c>
      <c r="E23" s="40">
        <f>IFERROR(VLOOKUP($A$1,ElemStaff01,MATCH($B23,Elem!$A$3:$O$3),FALSE),0)</f>
        <v>0</v>
      </c>
      <c r="F23" s="40">
        <f>IFERROR(VLOOKUP($A$1,ElemStaff09,MATCH($B23,Elem!$S$3:$AG$3),FALSE),0)</f>
        <v>0</v>
      </c>
      <c r="G23" s="40">
        <f>IFERROR(VLOOKUP($A$1,ElemStaff97,MATCH($B23,Elem!$AK$3:$AY$3),FALSE),0)</f>
        <v>0</v>
      </c>
      <c r="H23" s="40">
        <f>IFERROR(VLOOKUP($A$1,ElemStaff21,MATCH($B23,Elem!$BC$3:$BQ$3),FALSE),0)</f>
        <v>0</v>
      </c>
      <c r="J23" s="73">
        <f t="shared" si="0"/>
        <v>0</v>
      </c>
      <c r="K23" s="40">
        <f>IFERROR(VLOOKUP($A$1,Elem_Prog01_Supp,13,FALSE),0)</f>
        <v>0</v>
      </c>
      <c r="L23" s="40">
        <f>IFERROR(VLOOKUP($A$1,Elem_Prog09_Supp,13,FALSE),0)</f>
        <v>0</v>
      </c>
      <c r="M23" s="40">
        <f>IFERROR(VLOOKUP($A$1,Elem_Prog97_Supp,13,FALSE),0)</f>
        <v>0</v>
      </c>
      <c r="N23" s="40">
        <f>IFERROR(VLOOKUP($A$1,Elem_Prog21_Supp,13,FALSE),0)</f>
        <v>0</v>
      </c>
      <c r="O23" s="73">
        <f t="shared" si="1"/>
        <v>0</v>
      </c>
      <c r="P23" s="100">
        <f t="shared" si="3"/>
        <v>0</v>
      </c>
      <c r="Q23" s="73">
        <v>7.9000000000000001E-2</v>
      </c>
      <c r="R23" s="102">
        <f t="shared" si="5"/>
        <v>0.28399999999999997</v>
      </c>
      <c r="T23" s="207">
        <f>P23+'2024-25 Middle Calculator'!N23+'2024-25 High Calculator'!N23</f>
        <v>0</v>
      </c>
      <c r="U23" s="207">
        <f>Q23+'2024-25 Middle Calculator'!O23+'2024-25 High Calculator'!O23</f>
        <v>0.31199999999999994</v>
      </c>
      <c r="V23" s="207">
        <f>R23+'2024-25 Middle Calculator'!P23+'2024-25 High Calculator'!P23</f>
        <v>0.51100000000000001</v>
      </c>
      <c r="W23" s="207">
        <f>'2024-25 Middle Calculator'!O23</f>
        <v>9.1999999999999998E-2</v>
      </c>
      <c r="X23" s="207">
        <f>'2024-25 High Calculator'!O23</f>
        <v>0.14099999999999999</v>
      </c>
      <c r="Y23" s="207">
        <f>SUM(Q22:Q23,W22:X23)</f>
        <v>0.39449999999999996</v>
      </c>
    </row>
    <row r="24" spans="1:25" x14ac:dyDescent="0.25">
      <c r="A24" s="85" t="s">
        <v>728</v>
      </c>
      <c r="B24" s="99" t="s">
        <v>733</v>
      </c>
      <c r="C24" s="22" t="s">
        <v>730</v>
      </c>
      <c r="E24" s="40">
        <f>IFERROR(VLOOKUP($A$1,ElemStaff01,MATCH($B24,Elem!$A$3:$O$3),FALSE),0)</f>
        <v>0</v>
      </c>
      <c r="F24" s="40">
        <f>IFERROR(VLOOKUP($A$1,ElemStaff09,MATCH($B24,Elem!$S$3:$AG$3),FALSE),0)</f>
        <v>0</v>
      </c>
      <c r="G24" s="40">
        <f>IFERROR(VLOOKUP($A$1,ElemStaff97,MATCH($B24,Elem!$AK$3:$AY$3),FALSE),0)</f>
        <v>0</v>
      </c>
      <c r="H24" s="40">
        <f>IFERROR(VLOOKUP($A$1,ElemStaff21,MATCH($B24,Elem!$BC$3:$BQ$3),FALSE),0)</f>
        <v>0</v>
      </c>
      <c r="J24" s="73">
        <f>ROUND(H24*$I$12,3)</f>
        <v>0</v>
      </c>
      <c r="K24" s="40">
        <f>IFERROR(VLOOKUP($A$1,Elem_Prog01_Supp,14,FALSE),0)</f>
        <v>0</v>
      </c>
      <c r="L24" s="40">
        <f>IFERROR(VLOOKUP($A$1,Elem_Prog09_Supp,14,FALSE),0)</f>
        <v>0</v>
      </c>
      <c r="M24" s="40">
        <f>IFERROR(VLOOKUP($A$1,Elem_Prog97_Supp,14,FALSE),0)</f>
        <v>0</v>
      </c>
      <c r="N24" s="40">
        <f>IFERROR(VLOOKUP($A$1,Elem_Prog21_Supp,14,FALSE),0)</f>
        <v>0</v>
      </c>
      <c r="O24" s="73">
        <f>ROUND(N24*$I$12,3)</f>
        <v>0</v>
      </c>
      <c r="P24" s="100">
        <f>E24+F24+G24+J24+K24+L24+M24+O24</f>
        <v>0</v>
      </c>
      <c r="Q24" s="74">
        <v>0</v>
      </c>
      <c r="R24" s="102">
        <f>ROUND($D$11*Q24/400,3)</f>
        <v>0</v>
      </c>
      <c r="T24" s="207">
        <f>P24+'2024-25 Middle Calculator'!N25+'2024-25 High Calculator'!N25</f>
        <v>0</v>
      </c>
      <c r="U24" s="207">
        <f>Q24+'2024-25 Middle Calculator'!O25+'2024-25 High Calculator'!O25</f>
        <v>0</v>
      </c>
      <c r="V24" s="207">
        <f>R24+'2024-25 Middle Calculator'!P25+'2024-25 High Calculator'!P25</f>
        <v>0</v>
      </c>
      <c r="W24" s="207">
        <f>'2024-25 Middle Calculator'!O24</f>
        <v>0</v>
      </c>
      <c r="X24" s="207">
        <f>'2024-25 High Calculator'!O24</f>
        <v>0</v>
      </c>
    </row>
    <row r="25" spans="1:25" x14ac:dyDescent="0.25">
      <c r="A25" s="85" t="s">
        <v>728</v>
      </c>
      <c r="B25" s="242" t="s">
        <v>1159</v>
      </c>
      <c r="C25" s="22" t="s">
        <v>1058</v>
      </c>
      <c r="E25" s="40">
        <f>IFERROR(VLOOKUP($A$1,ElemStaff01,MATCH($B25,Elem!$A$3:$O$3),FALSE),0)</f>
        <v>0</v>
      </c>
      <c r="F25" s="40">
        <f>IFERROR(VLOOKUP($A$1,ElemStaff09,MATCH($B25,Elem!$S$3:$AG$3),FALSE),0)</f>
        <v>0</v>
      </c>
      <c r="G25" s="40">
        <f>IFERROR(VLOOKUP($A$1,ElemStaff97,MATCH($B25,Elem!$AK$3:$AY$3),FALSE),0)</f>
        <v>0</v>
      </c>
      <c r="H25" s="40">
        <f>IFERROR(VLOOKUP($A$1,ElemStaff21,MATCH($B25,Elem!$BC$3:$BQ$3),FALSE),0)</f>
        <v>0</v>
      </c>
      <c r="J25" s="73">
        <f t="shared" ref="J25" si="6">ROUND(H25*$I$12,3)</f>
        <v>0</v>
      </c>
      <c r="K25" s="40">
        <f>IFERROR(VLOOKUP($A$1,Elem_Prog01_Supp,15,FALSE),0)</f>
        <v>0</v>
      </c>
      <c r="L25" s="40">
        <f>IFERROR(VLOOKUP($A$1,Elem_Prog09_Supp,15,FALSE),0)</f>
        <v>0</v>
      </c>
      <c r="M25" s="40">
        <f>IFERROR(VLOOKUP($A$1,Elem_Prog97_Supp,15,FALSE),0)</f>
        <v>0</v>
      </c>
      <c r="N25" s="40">
        <f>IFERROR(VLOOKUP($A$1,Elem_Prog21_Supp,15,FALSE),0)</f>
        <v>0</v>
      </c>
      <c r="O25" s="73">
        <f t="shared" ref="O25" si="7">ROUND(N25*$I$12,3)</f>
        <v>0</v>
      </c>
      <c r="P25" s="100">
        <f t="shared" ref="P25" si="8">E25+F25+G25+J25+K25+L25+M25+O25</f>
        <v>0</v>
      </c>
      <c r="Q25" s="74">
        <v>0</v>
      </c>
      <c r="R25" s="102">
        <f t="shared" ref="R25" si="9">ROUND($D$11*Q25/400,3)</f>
        <v>0</v>
      </c>
      <c r="T25" s="207">
        <f>P25+'2024-25 Middle Calculator'!N25+'2024-25 High Calculator'!N25</f>
        <v>0</v>
      </c>
      <c r="U25" s="207">
        <f>Q25+'2024-25 Middle Calculator'!O25+'2024-25 High Calculator'!O25</f>
        <v>0</v>
      </c>
      <c r="V25" s="207">
        <f>R25+'2024-25 Middle Calculator'!P25+'2024-25 High Calculator'!P25</f>
        <v>0</v>
      </c>
      <c r="W25" s="207">
        <f>'2024-25 Middle Calculator'!O25</f>
        <v>0</v>
      </c>
      <c r="X25" s="207">
        <f>'2024-25 High Calculator'!O25</f>
        <v>0</v>
      </c>
    </row>
    <row r="26" spans="1:25" x14ac:dyDescent="0.25">
      <c r="E26" s="33">
        <f>SUM(E12:E25)</f>
        <v>3.7490000000000001</v>
      </c>
      <c r="F26" s="33">
        <f>SUM(F12:F25)</f>
        <v>0</v>
      </c>
      <c r="G26" s="33">
        <f>SUM(G12:G25)</f>
        <v>0</v>
      </c>
      <c r="H26" s="33">
        <f>SUM(H12:H25)</f>
        <v>12.436</v>
      </c>
      <c r="J26" s="33">
        <f t="shared" ref="J26:R26" si="10">SUM(J12:J25)</f>
        <v>3.3410000000000002</v>
      </c>
      <c r="K26" s="33">
        <f t="shared" si="10"/>
        <v>0</v>
      </c>
      <c r="L26" s="33">
        <f t="shared" si="10"/>
        <v>0</v>
      </c>
      <c r="M26" s="33">
        <f t="shared" si="10"/>
        <v>0</v>
      </c>
      <c r="N26" s="33">
        <f t="shared" si="10"/>
        <v>0</v>
      </c>
      <c r="O26" s="33">
        <f t="shared" si="10"/>
        <v>0</v>
      </c>
      <c r="P26" s="92">
        <f t="shared" si="10"/>
        <v>7.09</v>
      </c>
      <c r="Q26" s="78">
        <f t="shared" si="10"/>
        <v>2.1545000000000001</v>
      </c>
      <c r="R26" s="104">
        <f t="shared" si="10"/>
        <v>7.7519999999999989</v>
      </c>
      <c r="S26" s="25"/>
      <c r="T26" s="207">
        <f>P26+'2024-25 Middle Calculator'!N26+'2024-25 High Calculator'!N26</f>
        <v>16.167999999999999</v>
      </c>
      <c r="U26" s="207">
        <f>Q26+'2024-25 Middle Calculator'!O26+'2024-25 High Calculator'!O26</f>
        <v>9.1425000000000018</v>
      </c>
      <c r="V26" s="207">
        <f>R26+'2024-25 Middle Calculator'!P26+'2024-25 High Calculator'!P26</f>
        <v>14.549999999999997</v>
      </c>
      <c r="Y26" s="207">
        <f>SUM(Y18:Y23)</f>
        <v>9.1425000000000018</v>
      </c>
    </row>
    <row r="27" spans="1:25" x14ac:dyDescent="0.25">
      <c r="C27" s="22"/>
      <c r="E27" s="33"/>
      <c r="F27" s="33"/>
      <c r="G27" s="33"/>
      <c r="I27" s="33"/>
      <c r="J27" s="33"/>
      <c r="K27" s="33"/>
      <c r="L27" s="33"/>
      <c r="M27" s="33"/>
      <c r="N27" s="33"/>
      <c r="O27" s="33"/>
      <c r="S27" s="25"/>
      <c r="T27" s="164">
        <f>SUM(T12:T21)</f>
        <v>12.125</v>
      </c>
      <c r="U27" s="164">
        <f>SUM(U12:U21)</f>
        <v>8.7479999999999993</v>
      </c>
      <c r="V27" s="164">
        <f t="shared" ref="V27" si="11">SUM(V12:V21)</f>
        <v>13.741999999999997</v>
      </c>
      <c r="Y27" s="48">
        <f>Y18/Y26</f>
        <v>0.95684987694831825</v>
      </c>
    </row>
    <row r="28" spans="1:25" x14ac:dyDescent="0.25">
      <c r="C28" s="22"/>
      <c r="Q28" s="22" t="s">
        <v>703</v>
      </c>
      <c r="R28" s="46" t="s">
        <v>780</v>
      </c>
      <c r="S28" s="25"/>
      <c r="T28" s="164">
        <f>SUM(T22:T25)</f>
        <v>0.499</v>
      </c>
      <c r="U28" s="164">
        <f>SUM(U22:U25)</f>
        <v>0.39449999999999996</v>
      </c>
      <c r="V28" s="164">
        <f>SUM(V22:V25)</f>
        <v>0.80800000000000005</v>
      </c>
      <c r="Y28" s="48">
        <f>Y23/Y26</f>
        <v>4.3150123051681692E-2</v>
      </c>
    </row>
    <row r="29" spans="1:25" x14ac:dyDescent="0.25">
      <c r="P29" t="s">
        <v>692</v>
      </c>
      <c r="Q29" s="50">
        <f>ROUND($D$11*Q13/400,3)+ROUND($D$11*Q18/400,3)+ROUND($D$11*Q15/400,3)+ROUND($D$11*Q17/400,3)</f>
        <v>7.1709999999999994</v>
      </c>
      <c r="R29" s="93">
        <f>ROUND(CIS_Inc*(VLOOKUP($A$1,'K3 District Data as of Jan 2025'!$A$3:$O$322,MATCH("Reg",'K3 District Data as of Jan 2025'!$2:$2,0),FALSE)+VLOOKUP($A$1,'K3 District Data as of Jan 2025'!$A$3:$O$322,MATCH("Exp",'K3 District Data as of Jan 2025'!$2:$2,0),FALSE))*Q29,2)+ROUND((Q29*CIS_Ins_Inc),2)+ROUND((CIS_Base*VLOOKUP($A$1,'K3 District Data as of Jan 2025'!$A$3:$O$322,MATCH("Reg base",'K3 District Data as of Jan 2025'!$2:$2,0),FALSE)*Q29)*CIS_Ben_Base,2)+ROUND((ROUND(CIS_Inc*(VLOOKUP($A$1,'K3 District Data as of Jan 2025'!$A$3:$O$322,MATCH("Reg",'K3 District Data as of Jan 2025'!$2:$2,0),FALSE)+VLOOKUP($A$1,'K3 District Data as of Jan 2025'!$A$3:$O$322,MATCH("Exp",'K3 District Data as of Jan 2025'!$2:$2,0),FALSE))*Q29,2)-ROUND(CIS_Base*VLOOKUP($A$1,'K3 District Data as of Jan 2025'!$A$3:$O$322,MATCH("Reg base",'K3 District Data as of Jan 2025'!$2:$2,0),FALSE)*Q29,2))*CIS_Ben_Inc+((CIS_Inc*(VLOOKUP($A$1,'K3 District Data as of Jan 2025'!$A$3:$O$322,MATCH("Reg",'K3 District Data as of Jan 2025'!$2:$2,0),FALSE)+VLOOKUP($A$1,'K3 District Data as of Jan 2025'!$A$3:$O$322,MATCH("Exp",'K3 District Data as of Jan 2025'!$2:$2,0),FALSE))*Q29)/180)*3+(((CIS_Inc*(VLOOKUP($A$1,'K3 District Data as of Jan 2025'!$A$3:$O$322,MATCH("Reg",'K3 District Data as of Jan 2025'!$2:$2,0),FALSE)+VLOOKUP($A$1,'K3 District Data as of Jan 2025'!$A$3:$O$322,MATCH("Exp",'K3 District Data as of Jan 2025'!$2:$2,0),FALSE))*Q29)/180)*3)*CIS_Ben_Inc,2)</f>
        <v>776757.69000000006</v>
      </c>
      <c r="S29" s="48"/>
      <c r="T29" s="25"/>
      <c r="U29" s="25"/>
      <c r="V29" s="25"/>
    </row>
    <row r="30" spans="1:25" x14ac:dyDescent="0.25">
      <c r="P30" t="s">
        <v>693</v>
      </c>
      <c r="Q30" s="51">
        <f>ROUND($D$11*Q23/400,3)+ROUND($D$11*Q22/400,3)</f>
        <v>0.58099999999999996</v>
      </c>
      <c r="R30" s="94">
        <f>ROUND(CLS_Inc*VLOOKUP($A$1,'K3 District Data as of Jan 2025'!$A$3:$O$322,MATCH("Reg base",'K3 District Data as of Jan 2025'!$2:$2,0),FALSE)*Q30,2)+ROUND((Q30*CLS_Ins_Inc),2)+ROUND((CLS_Base*VLOOKUP($A$1,'K3 District Data as of Jan 2025'!$A$3:$O$322,MATCH("Reg base",'K3 District Data as of Jan 2025'!$2:$2,0),FALSE)*Q30)*CLS_Ben_Base,2)+ROUND((ROUND(CLS_Inc*VLOOKUP($A$1,'K3 District Data as of Jan 2025'!$A$3:$O$322,MATCH("Reg base",'K3 District Data as of Jan 2025'!$2:$2,0),FALSE)*Q30,2)-ROUND(CLS_Base*VLOOKUP($A$1,'K3 District Data as of Jan 2025'!$A$3:$O$322,MATCH("Reg base",'K3 District Data as of Jan 2025'!$2:$2,0),FALSE)*Q30,2))*CLS_Ben_Inc,2)</f>
        <v>51322.18</v>
      </c>
      <c r="S30" s="48"/>
      <c r="T30" s="25"/>
      <c r="U30" s="25"/>
      <c r="V30" s="25"/>
    </row>
    <row r="31" spans="1:25" x14ac:dyDescent="0.25">
      <c r="P31" s="2" t="s">
        <v>699</v>
      </c>
      <c r="Q31" s="52">
        <f>SUM(Q29:Q30)</f>
        <v>7.7519999999999989</v>
      </c>
      <c r="R31" s="53">
        <f>SUM(R29:R30)</f>
        <v>828079.87000000011</v>
      </c>
      <c r="S31" s="25"/>
      <c r="T31" s="25"/>
      <c r="U31" s="23"/>
      <c r="V31" s="25"/>
    </row>
    <row r="32" spans="1:25" x14ac:dyDescent="0.25">
      <c r="Q32" s="22"/>
      <c r="R32" s="37"/>
      <c r="S32" s="25"/>
      <c r="T32" s="25"/>
      <c r="U32" s="23"/>
      <c r="V32" s="25"/>
    </row>
    <row r="33" spans="4:22" x14ac:dyDescent="0.25">
      <c r="P33" t="s">
        <v>692</v>
      </c>
      <c r="Q33" s="60">
        <f>SUM(P12:P21)</f>
        <v>6.5910000000000002</v>
      </c>
      <c r="R33" s="95">
        <f>ROUND(CIS_Inc*(VLOOKUP($A$1,'K3 District Data as of Jan 2025'!$A$3:$O$322,MATCH("Reg",'K3 District Data as of Jan 2025'!$2:$2,0),FALSE)+VLOOKUP($A$1,'K3 District Data as of Jan 2025'!$A$3:$O$322,MATCH("Exp",'K3 District Data as of Jan 2025'!$2:$2,0),FALSE))*Q33,2)+ROUND((Q33*CIS_Ins_Inc),2)+ROUND((CIS_Base*VLOOKUP($A$1,'K3 District Data as of Jan 2025'!$A$3:$O$322,MATCH("Reg base",'K3 District Data as of Jan 2025'!$2:$2,0),FALSE)*Q33)*CIS_Ben_Base,2)+ROUND((ROUND(CIS_Inc*(VLOOKUP($A$1,'K3 District Data as of Jan 2025'!$A$3:$O$322,MATCH("Reg",'K3 District Data as of Jan 2025'!$2:$2,0),FALSE)+VLOOKUP($A$1,'K3 District Data as of Jan 2025'!$A$3:$O$322,MATCH("Exp",'K3 District Data as of Jan 2025'!$2:$2,0),FALSE))*Q33,2)-ROUND(CIS_Base*VLOOKUP($A$1,'K3 District Data as of Jan 2025'!$A$3:$O$322,MATCH("Reg base",'K3 District Data as of Jan 2025'!$2:$2,0),FALSE)*Q33,2))*CIS_Ben_Inc+((CIS_Inc*(VLOOKUP($A$1,'K3 District Data as of Jan 2025'!$A$3:$O$322,MATCH("Reg",'K3 District Data as of Jan 2025'!$2:$2,0),FALSE)+VLOOKUP($A$1,'K3 District Data as of Jan 2025'!$A$3:$O$322,MATCH("Exp",'K3 District Data as of Jan 2025'!$2:$2,0),FALSE))*Q33)/180)*3+(((CIS_Inc*(VLOOKUP($A$1,'K3 District Data as of Jan 2025'!$A$3:$O$322,MATCH("Reg",'K3 District Data as of Jan 2025'!$2:$2,0),FALSE)+VLOOKUP($A$1,'K3 District Data as of Jan 2025'!$A$3:$O$322,MATCH("Exp",'K3 District Data as of Jan 2025'!$2:$2,0),FALSE))*Q33)/180)*3)*CIS_Ben_Inc,2)</f>
        <v>713932.49000000011</v>
      </c>
      <c r="S33" s="48"/>
      <c r="T33" s="25"/>
      <c r="U33" s="25"/>
    </row>
    <row r="34" spans="4:22" x14ac:dyDescent="0.25">
      <c r="P34" t="s">
        <v>693</v>
      </c>
      <c r="Q34" s="61">
        <f>SUM(P22:P25)</f>
        <v>0.499</v>
      </c>
      <c r="R34" s="96">
        <f>ROUND(CLS_Inc*VLOOKUP($A$1,'K3 District Data as of Jan 2025'!$A$3:$O$322,MATCH("Reg base",'K3 District Data as of Jan 2025'!$2:$2,0),FALSE)*Q34,2)+ROUND((Q34*CLS_Ins_Inc),2)+ROUND((CLS_Base*VLOOKUP($A$1,'K3 District Data as of Jan 2025'!$A$3:$O$322,MATCH("Reg base",'K3 District Data as of Jan 2025'!$2:$2,0),FALSE)*Q34)*CLS_Ben_Base,2)+ROUND((ROUND(CLS_Inc*VLOOKUP($A$1,'K3 District Data as of Jan 2025'!$A$3:$O$322,MATCH("Reg base",'K3 District Data as of Jan 2025'!$2:$2,0),FALSE)*Q34,2)-ROUND(CLS_Base*VLOOKUP($A$1,'K3 District Data as of Jan 2025'!$A$3:$O$322,MATCH("Reg base",'K3 District Data as of Jan 2025'!$2:$2,0),FALSE)*Q34,2))*CLS_Ben_Inc,2)</f>
        <v>44078.78</v>
      </c>
      <c r="S34" s="48"/>
      <c r="T34" s="23"/>
      <c r="U34" s="25"/>
    </row>
    <row r="35" spans="4:22" x14ac:dyDescent="0.25">
      <c r="P35" s="2" t="s">
        <v>698</v>
      </c>
      <c r="Q35" s="62">
        <f>SUM(Q33:Q34)</f>
        <v>7.09</v>
      </c>
      <c r="R35" s="63">
        <f>SUM(R33:R34)</f>
        <v>758011.27000000014</v>
      </c>
      <c r="S35" s="25"/>
      <c r="T35" s="25"/>
      <c r="U35" s="23"/>
      <c r="V35" s="25"/>
    </row>
    <row r="36" spans="4:22" x14ac:dyDescent="0.25">
      <c r="Q36" s="22"/>
      <c r="S36" s="25"/>
      <c r="T36" s="23"/>
      <c r="U36" s="25"/>
    </row>
    <row r="37" spans="4:22" x14ac:dyDescent="0.25">
      <c r="P37" t="s">
        <v>692</v>
      </c>
      <c r="Q37" s="67">
        <f>Q33-Q29</f>
        <v>-0.57999999999999918</v>
      </c>
      <c r="R37" s="64">
        <f>R33-R29</f>
        <v>-62825.199999999953</v>
      </c>
      <c r="S37" s="25"/>
      <c r="T37" s="23"/>
    </row>
    <row r="38" spans="4:22" x14ac:dyDescent="0.25">
      <c r="P38" t="s">
        <v>693</v>
      </c>
      <c r="Q38" s="68">
        <f>Q34-Q30</f>
        <v>-8.1999999999999962E-2</v>
      </c>
      <c r="R38" s="65">
        <f>R34-R30</f>
        <v>-7243.4000000000015</v>
      </c>
      <c r="S38" s="25"/>
      <c r="T38" s="23"/>
      <c r="V38" s="25"/>
    </row>
    <row r="39" spans="4:22" x14ac:dyDescent="0.25">
      <c r="P39" s="22" t="s">
        <v>701</v>
      </c>
      <c r="Q39" s="69">
        <f>SUM(Q37:Q38)</f>
        <v>-0.66199999999999914</v>
      </c>
      <c r="R39" s="66">
        <f>SUM(R37:R38)</f>
        <v>-70068.599999999948</v>
      </c>
      <c r="S39" s="25"/>
    </row>
    <row r="40" spans="4:22" x14ac:dyDescent="0.25">
      <c r="D40" t="str">
        <f>'2024-25 K3Class Size Compliance'!B34</f>
        <v>* 2024-25 Salary and Benefit Values used in calculation</v>
      </c>
    </row>
    <row r="41" spans="4:22" x14ac:dyDescent="0.25">
      <c r="K41" s="38"/>
      <c r="L41" s="38"/>
      <c r="M41" s="38"/>
      <c r="N41" s="38"/>
      <c r="O41" s="38"/>
      <c r="Q41" s="38"/>
    </row>
    <row r="44" spans="4:22" x14ac:dyDescent="0.25">
      <c r="Q44" s="25"/>
    </row>
    <row r="46" spans="4:22" x14ac:dyDescent="0.25">
      <c r="Q46" s="25"/>
    </row>
    <row r="47" spans="4:22" x14ac:dyDescent="0.25">
      <c r="Q47" s="25"/>
    </row>
    <row r="48" spans="4:22" x14ac:dyDescent="0.25">
      <c r="Q48" s="35"/>
    </row>
    <row r="49" spans="17:17" x14ac:dyDescent="0.25">
      <c r="Q49" s="25"/>
    </row>
    <row r="50" spans="17:17" x14ac:dyDescent="0.25">
      <c r="Q50" s="23"/>
    </row>
  </sheetData>
  <sheetProtection formatCells="0" formatColumns="0" formatRows="0"/>
  <mergeCells count="1">
    <mergeCell ref="C1:Q1"/>
  </mergeCells>
  <phoneticPr fontId="24" type="noConversion"/>
  <pageMargins left="0.25" right="0.25" top="0.75" bottom="0.75" header="0.3" footer="0.3"/>
  <pageSetup scale="61" orientation="landscape" r:id="rId1"/>
  <colBreaks count="1" manualBreakCount="1">
    <brk id="2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3" tint="0.59999389629810485"/>
  </sheetPr>
  <dimension ref="A1:U50"/>
  <sheetViews>
    <sheetView zoomScaleNormal="100" workbookViewId="0"/>
  </sheetViews>
  <sheetFormatPr defaultRowHeight="15" x14ac:dyDescent="0.25"/>
  <cols>
    <col min="1" max="1" width="7.42578125" customWidth="1"/>
    <col min="2" max="2" width="7.5703125" customWidth="1"/>
    <col min="3" max="3" width="29.5703125" customWidth="1"/>
    <col min="4" max="4" width="12.42578125" customWidth="1"/>
    <col min="5" max="6" width="10.5703125" bestFit="1" customWidth="1"/>
    <col min="7" max="7" width="10.42578125" customWidth="1"/>
    <col min="8" max="8" width="7.28515625" bestFit="1" customWidth="1"/>
    <col min="9" max="9" width="14.42578125" customWidth="1"/>
    <col min="10" max="10" width="13.140625" customWidth="1"/>
    <col min="11" max="11" width="13.28515625" customWidth="1"/>
    <col min="12" max="12" width="13" customWidth="1"/>
    <col min="13" max="13" width="11.5703125" customWidth="1"/>
    <col min="14" max="14" width="15.5703125" bestFit="1" customWidth="1"/>
    <col min="15" max="15" width="14.5703125" bestFit="1" customWidth="1"/>
    <col min="16" max="16" width="20.42578125" customWidth="1"/>
    <col min="17" max="17" width="5.42578125" bestFit="1" customWidth="1"/>
    <col min="18" max="18" width="10.28515625" bestFit="1" customWidth="1"/>
    <col min="19" max="19" width="15.42578125" bestFit="1" customWidth="1"/>
    <col min="20" max="20" width="13" customWidth="1"/>
    <col min="21" max="21" width="11.5703125" customWidth="1"/>
    <col min="22" max="22" width="9.5703125" bestFit="1" customWidth="1"/>
    <col min="23" max="23" width="11.42578125" customWidth="1"/>
    <col min="24" max="24" width="12.28515625" customWidth="1"/>
    <col min="25" max="25" width="14.5703125" customWidth="1"/>
    <col min="26" max="26" width="12.5703125" customWidth="1"/>
    <col min="27" max="27" width="14.7109375" customWidth="1"/>
    <col min="28" max="28" width="16.42578125" customWidth="1"/>
    <col min="29" max="29" width="14.42578125" customWidth="1"/>
    <col min="30" max="30" width="21.7109375" customWidth="1"/>
  </cols>
  <sheetData>
    <row r="1" spans="1:19" ht="23.25" x14ac:dyDescent="0.35">
      <c r="A1" s="16" t="str">
        <f>'2024-25 PSES Compliance'!A1</f>
        <v>14005</v>
      </c>
      <c r="B1" s="16"/>
      <c r="C1" s="289" t="str">
        <f>'2024-25 K3Class Size Compliance'!B1</f>
        <v>This tab has been pre-loaded with all January data for the 2024-25 school year.</v>
      </c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</row>
    <row r="2" spans="1:19" ht="10.35" customHeight="1" x14ac:dyDescent="0.35">
      <c r="D2" s="12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</row>
    <row r="3" spans="1:19" ht="21" x14ac:dyDescent="0.35">
      <c r="C3" s="9" t="s">
        <v>1620</v>
      </c>
    </row>
    <row r="4" spans="1:19" ht="15" customHeight="1" x14ac:dyDescent="0.35">
      <c r="C4" s="9"/>
    </row>
    <row r="5" spans="1:19" x14ac:dyDescent="0.25">
      <c r="C5" s="121" t="str">
        <f>'2024-25 PSES Compliance'!C4</f>
        <v>Aberdeen School District</v>
      </c>
      <c r="E5" s="26"/>
    </row>
    <row r="6" spans="1:19" ht="15" customHeight="1" x14ac:dyDescent="0.25">
      <c r="C6" s="8" t="str">
        <f>'2024-25 Elementary Calculator'!C6</f>
        <v>Select district on '2024-25 PSES Compliance' sheet for January Student FTE, Teacher FTE and 3121% data to be filled</v>
      </c>
    </row>
    <row r="7" spans="1:19" ht="15.75" x14ac:dyDescent="0.25">
      <c r="C7" s="8" t="str">
        <f>'2024-25 Elementary Calculator'!C7</f>
        <v>Enter student and teacher FTE for the 2024-25 school year in the highlighted cells</v>
      </c>
    </row>
    <row r="8" spans="1:19" x14ac:dyDescent="0.25">
      <c r="E8" s="2"/>
      <c r="F8" s="2"/>
      <c r="G8" s="1"/>
      <c r="H8" s="1"/>
      <c r="I8" s="1"/>
      <c r="J8" s="1"/>
      <c r="K8" s="1"/>
      <c r="L8" s="1"/>
      <c r="M8" s="1"/>
    </row>
    <row r="9" spans="1:19" ht="15.75" x14ac:dyDescent="0.25">
      <c r="C9" s="8" t="s">
        <v>757</v>
      </c>
      <c r="E9" s="125"/>
      <c r="F9" s="43"/>
      <c r="G9" s="43"/>
      <c r="H9" s="241"/>
      <c r="I9" s="43"/>
      <c r="J9" s="125"/>
      <c r="K9" s="43"/>
      <c r="L9" s="43"/>
      <c r="M9" s="77"/>
    </row>
    <row r="10" spans="1:19" ht="60" x14ac:dyDescent="0.25">
      <c r="A10" s="24" t="s">
        <v>712</v>
      </c>
      <c r="B10" s="24" t="s">
        <v>725</v>
      </c>
      <c r="C10" t="s">
        <v>724</v>
      </c>
      <c r="D10" s="3" t="str">
        <f>CONCATENATE(Instructions!E72," 7-8 Student FTE")</f>
        <v>January 7-8 Student FTE</v>
      </c>
      <c r="E10" s="3" t="s">
        <v>677</v>
      </c>
      <c r="F10" s="3" t="s">
        <v>726</v>
      </c>
      <c r="G10" s="3" t="s">
        <v>678</v>
      </c>
      <c r="H10" s="4">
        <v>31.21</v>
      </c>
      <c r="I10" s="3" t="s">
        <v>697</v>
      </c>
      <c r="J10" s="3" t="s">
        <v>774</v>
      </c>
      <c r="K10" s="3" t="s">
        <v>775</v>
      </c>
      <c r="L10" s="3" t="s">
        <v>776</v>
      </c>
      <c r="M10" s="3" t="s">
        <v>697</v>
      </c>
      <c r="N10" s="59" t="s">
        <v>679</v>
      </c>
      <c r="O10" s="71" t="s">
        <v>700</v>
      </c>
      <c r="P10" s="75" t="s">
        <v>702</v>
      </c>
      <c r="R10" s="77"/>
    </row>
    <row r="11" spans="1:19" x14ac:dyDescent="0.25">
      <c r="D11" s="18">
        <f>VLOOKUP($A$1,PSESEnroll,'Enroll Data as of January 2025'!D$1,FALSE)</f>
        <v>333.24</v>
      </c>
      <c r="E11" s="79"/>
      <c r="F11" s="79"/>
      <c r="G11" s="79"/>
      <c r="H11" s="80"/>
      <c r="I11" s="79"/>
      <c r="J11" s="79"/>
      <c r="K11" s="79"/>
      <c r="L11" s="79"/>
      <c r="M11" s="79"/>
      <c r="N11" s="81"/>
      <c r="O11" s="82"/>
      <c r="P11" s="83"/>
      <c r="R11" s="77"/>
    </row>
    <row r="12" spans="1:19" x14ac:dyDescent="0.25">
      <c r="A12" s="99" t="s">
        <v>747</v>
      </c>
      <c r="B12" s="22" t="s">
        <v>717</v>
      </c>
      <c r="C12" s="22" t="s">
        <v>716</v>
      </c>
      <c r="E12" s="40">
        <f>IFERROR(VLOOKUP($A$1,MidStaff01,MATCH($A12,Middle!$A$3:$O$3),FALSE),0)</f>
        <v>0</v>
      </c>
      <c r="F12" s="40">
        <f>IFERROR(VLOOKUP($A$1,MidStaff97,MATCH($A12,Middle!$S$3:$AG$3),FALSE),0)</f>
        <v>0</v>
      </c>
      <c r="G12" s="40">
        <f>IFERROR(VLOOKUP($A$1,MidStaff21,MATCH($A12,Middle!$AK$3:$AY$3),FALSE),0)</f>
        <v>0</v>
      </c>
      <c r="H12" s="120">
        <f>VLOOKUP($A$1,'3121% SY'!$A:$M,'3121% SY'!M$1,FALSE)</f>
        <v>0.26870000000000005</v>
      </c>
      <c r="I12" s="73">
        <f>ROUND(G12*$H$12,3)</f>
        <v>0</v>
      </c>
      <c r="J12" s="40">
        <f>IFERROR(VLOOKUP($A$1,Mid_Prog01_Supp,2,FALSE),0)</f>
        <v>0</v>
      </c>
      <c r="K12" s="40">
        <f>IFERROR(VLOOKUP($A$1,Mid_Prog97_Supp,2,FALSE),0)</f>
        <v>0</v>
      </c>
      <c r="L12" s="40">
        <f>IFERROR(VLOOKUP($A$1,Mid_Prog21_Supp,2,FALSE),0)</f>
        <v>0</v>
      </c>
      <c r="M12" s="73">
        <f>ROUND(L12*$H$12,3)</f>
        <v>0</v>
      </c>
      <c r="N12" s="100">
        <f>E12+F12+I12+J12+K12+M12</f>
        <v>0</v>
      </c>
      <c r="O12" s="73">
        <v>0</v>
      </c>
      <c r="P12" s="101">
        <f>ROUND($D$11*O12/432,3)</f>
        <v>0</v>
      </c>
      <c r="R12" s="77"/>
    </row>
    <row r="13" spans="1:19" x14ac:dyDescent="0.25">
      <c r="A13" s="99" t="s">
        <v>736</v>
      </c>
      <c r="B13" s="22" t="s">
        <v>717</v>
      </c>
      <c r="C13" s="22" t="s">
        <v>729</v>
      </c>
      <c r="E13" s="40">
        <f>IFERROR(VLOOKUP($A$1,MidStaff01,MATCH($A13,Middle!$A$3:$O$3),FALSE),0)</f>
        <v>2.2000000000000002</v>
      </c>
      <c r="F13" s="40">
        <f>IFERROR(VLOOKUP($A$1,MidStaff97,MATCH($A13,Middle!$S$3:$AG$3),FALSE),0)</f>
        <v>0</v>
      </c>
      <c r="G13" s="40">
        <f>IFERROR(VLOOKUP($A$1,MidStaff21,MATCH($A13,Middle!$AK$3:$AY$3),FALSE),0)</f>
        <v>0</v>
      </c>
      <c r="I13" s="72">
        <f t="shared" ref="I13:I25" si="0">ROUND(G13*$H$12,3)</f>
        <v>0</v>
      </c>
      <c r="J13" s="40">
        <f>IFERROR(VLOOKUP($A$1,Mid_Prog01_Supp,3,FALSE),0)</f>
        <v>0</v>
      </c>
      <c r="K13" s="40">
        <f>IFERROR(VLOOKUP($A$1,Mid_Prog97_Supp,3,FALSE),0)</f>
        <v>0</v>
      </c>
      <c r="L13" s="40">
        <f>IFERROR(VLOOKUP($A$1,Mid_Prog21_Supp,3,FALSE),0)</f>
        <v>0</v>
      </c>
      <c r="M13" s="73">
        <f t="shared" ref="M13:M25" si="1">ROUND(L13*$H$12,3)</f>
        <v>0</v>
      </c>
      <c r="N13" s="100">
        <f t="shared" ref="N13:N25" si="2">E13+F13+I13+J13+K13+M13</f>
        <v>2.2000000000000002</v>
      </c>
      <c r="O13" s="72">
        <v>1.716</v>
      </c>
      <c r="P13" s="101">
        <f t="shared" ref="P13:P25" si="3">ROUND($D$11*O13/432,3)</f>
        <v>1.3240000000000001</v>
      </c>
      <c r="R13" s="77"/>
    </row>
    <row r="14" spans="1:19" x14ac:dyDescent="0.25">
      <c r="A14" s="99" t="s">
        <v>738</v>
      </c>
      <c r="B14" s="22" t="s">
        <v>717</v>
      </c>
      <c r="C14" s="22" t="s">
        <v>680</v>
      </c>
      <c r="E14" s="40">
        <f>IFERROR(VLOOKUP($A$1,MidStaff01,MATCH($A14,Middle!$A$3:$O$3),FALSE),0)</f>
        <v>0</v>
      </c>
      <c r="F14" s="40">
        <f>IFERROR(VLOOKUP($A$1,MidStaff97,MATCH($A14,Middle!$S$3:$AG$3),FALSE),0)</f>
        <v>0</v>
      </c>
      <c r="G14" s="40">
        <f>IFERROR(VLOOKUP($A$1,MidStaff21,MATCH($A14,Middle!$AK$3:$AY$3),FALSE),0)</f>
        <v>0</v>
      </c>
      <c r="I14" s="73">
        <f t="shared" si="0"/>
        <v>0</v>
      </c>
      <c r="J14" s="40">
        <f>IFERROR(VLOOKUP($A$1,Mid_Prog01_Supp,4,FALSE),0)</f>
        <v>0</v>
      </c>
      <c r="K14" s="40">
        <f>IFERROR(VLOOKUP($A$1,Mid_Prog97_Supp,4,FALSE),0)</f>
        <v>0</v>
      </c>
      <c r="L14" s="40">
        <f>IFERROR(VLOOKUP($A$1,Mid_Prog21_Supp,4,FALSE),0)</f>
        <v>0</v>
      </c>
      <c r="M14" s="73">
        <f t="shared" si="1"/>
        <v>0</v>
      </c>
      <c r="N14" s="100">
        <f t="shared" si="2"/>
        <v>0</v>
      </c>
      <c r="O14" s="73">
        <v>0</v>
      </c>
      <c r="P14" s="101">
        <f t="shared" si="3"/>
        <v>0</v>
      </c>
      <c r="R14" s="77"/>
    </row>
    <row r="15" spans="1:19" x14ac:dyDescent="0.25">
      <c r="A15" s="99" t="s">
        <v>744</v>
      </c>
      <c r="B15" s="22" t="s">
        <v>717</v>
      </c>
      <c r="C15" s="22" t="s">
        <v>719</v>
      </c>
      <c r="E15" s="40">
        <f>IFERROR(VLOOKUP($A$1,MidStaff01,MATCH($A15,Middle!$A$3:$O$3),FALSE),0)</f>
        <v>0</v>
      </c>
      <c r="F15" s="40">
        <f>IFERROR(VLOOKUP($A$1,MidStaff97,MATCH($A15,Middle!$S$3:$AG$3),FALSE),0)</f>
        <v>0</v>
      </c>
      <c r="G15" s="40">
        <f>IFERROR(VLOOKUP($A$1,MidStaff21,MATCH($A15,Middle!$AK$3:$AY$3),FALSE),0)</f>
        <v>0</v>
      </c>
      <c r="I15" s="72">
        <f t="shared" si="0"/>
        <v>0</v>
      </c>
      <c r="J15" s="40">
        <f>IFERROR(VLOOKUP($A$1,Mid_Prog01_Supp,5,FALSE),0)</f>
        <v>0</v>
      </c>
      <c r="K15" s="40">
        <f>IFERROR(VLOOKUP($A$1,Mid_Prog97_Supp,5,FALSE),0)</f>
        <v>0</v>
      </c>
      <c r="L15" s="40">
        <f>IFERROR(VLOOKUP($A$1,Mid_Prog21_Supp,5,FALSE),0)</f>
        <v>0</v>
      </c>
      <c r="M15" s="73">
        <f t="shared" si="1"/>
        <v>0</v>
      </c>
      <c r="N15" s="100">
        <f t="shared" si="2"/>
        <v>0</v>
      </c>
      <c r="O15" s="72">
        <v>8.7999999999999995E-2</v>
      </c>
      <c r="P15" s="101">
        <f t="shared" si="3"/>
        <v>6.8000000000000005E-2</v>
      </c>
      <c r="R15" s="77"/>
    </row>
    <row r="16" spans="1:19" x14ac:dyDescent="0.25">
      <c r="A16" s="99" t="s">
        <v>739</v>
      </c>
      <c r="B16" s="22" t="s">
        <v>717</v>
      </c>
      <c r="C16" s="22" t="s">
        <v>718</v>
      </c>
      <c r="E16" s="40">
        <f>IFERROR(VLOOKUP($A$1,MidStaff01,MATCH($A16,Middle!$A$3:$O$3),FALSE),0)</f>
        <v>0</v>
      </c>
      <c r="F16" s="40">
        <f>IFERROR(VLOOKUP($A$1,MidStaff97,MATCH($A16,Middle!$S$3:$AG$3),FALSE),0)</f>
        <v>0</v>
      </c>
      <c r="G16" s="40">
        <f>IFERROR(VLOOKUP($A$1,MidStaff21,MATCH($A16,Middle!$AK$3:$AY$3),FALSE),0)</f>
        <v>0</v>
      </c>
      <c r="I16" s="73">
        <f t="shared" si="0"/>
        <v>0</v>
      </c>
      <c r="J16" s="40">
        <f>IFERROR(VLOOKUP($A$1,Mid_Prog01_Supp,6,FALSE),0)</f>
        <v>0</v>
      </c>
      <c r="K16" s="40">
        <f>IFERROR(VLOOKUP($A$1,Mid_Prog97_Supp,6,FALSE),0)</f>
        <v>0</v>
      </c>
      <c r="L16" s="40">
        <f>IFERROR(VLOOKUP($A$1,Mid_Prog21_Supp,6,FALSE),0)</f>
        <v>0</v>
      </c>
      <c r="M16" s="73">
        <f t="shared" si="1"/>
        <v>0</v>
      </c>
      <c r="N16" s="100">
        <f t="shared" si="2"/>
        <v>0</v>
      </c>
      <c r="O16" s="73">
        <v>0</v>
      </c>
      <c r="P16" s="101">
        <f t="shared" si="3"/>
        <v>0</v>
      </c>
      <c r="R16" s="77"/>
    </row>
    <row r="17" spans="1:21" x14ac:dyDescent="0.25">
      <c r="A17" s="99" t="s">
        <v>740</v>
      </c>
      <c r="B17" s="22" t="s">
        <v>717</v>
      </c>
      <c r="C17" s="22" t="s">
        <v>720</v>
      </c>
      <c r="E17" s="40">
        <f>IFERROR(VLOOKUP($A$1,MidStaff01,MATCH($A17,Middle!$A$3:$O$3),FALSE),0)</f>
        <v>0</v>
      </c>
      <c r="F17" s="40">
        <f>IFERROR(VLOOKUP($A$1,MidStaff97,MATCH($A17,Middle!$S$3:$AG$3),FALSE),0)</f>
        <v>0</v>
      </c>
      <c r="G17" s="40">
        <f>IFERROR(VLOOKUP($A$1,MidStaff21,MATCH($A17,Middle!$AK$3:$AY$3),FALSE),0)</f>
        <v>0</v>
      </c>
      <c r="I17" s="73">
        <f t="shared" si="0"/>
        <v>0</v>
      </c>
      <c r="J17" s="40">
        <f>IFERROR(VLOOKUP($A$1,Mid_Prog01_Supp,7,FALSE),0)</f>
        <v>0</v>
      </c>
      <c r="K17" s="40">
        <f>IFERROR(VLOOKUP($A$1,Mid_Prog97_Supp,7,FALSE),0)</f>
        <v>0</v>
      </c>
      <c r="L17" s="40">
        <f>IFERROR(VLOOKUP($A$1,Mid_Prog21_Supp,7,FALSE),0)</f>
        <v>0</v>
      </c>
      <c r="M17" s="73">
        <f t="shared" si="1"/>
        <v>0</v>
      </c>
      <c r="N17" s="100">
        <f t="shared" si="2"/>
        <v>0</v>
      </c>
      <c r="O17" s="73">
        <v>2.4E-2</v>
      </c>
      <c r="P17" s="101">
        <f t="shared" si="3"/>
        <v>1.9E-2</v>
      </c>
      <c r="R17" s="77"/>
    </row>
    <row r="18" spans="1:21" x14ac:dyDescent="0.25">
      <c r="A18" s="99" t="s">
        <v>742</v>
      </c>
      <c r="B18" s="22" t="s">
        <v>717</v>
      </c>
      <c r="C18" s="22" t="s">
        <v>721</v>
      </c>
      <c r="E18" s="40">
        <f>IFERROR(VLOOKUP($A$1,MidStaff01,MATCH($A18,Middle!$A$3:$O$3),FALSE),0)</f>
        <v>0</v>
      </c>
      <c r="F18" s="40">
        <f>IFERROR(VLOOKUP($A$1,MidStaff97,MATCH($A18,Middle!$S$3:$AG$3),FALSE),0)</f>
        <v>0</v>
      </c>
      <c r="G18" s="40">
        <f>IFERROR(VLOOKUP($A$1,MidStaff21,MATCH($A18,Middle!$AK$3:$AY$3),FALSE),0)</f>
        <v>0</v>
      </c>
      <c r="I18" s="72">
        <f t="shared" si="0"/>
        <v>0</v>
      </c>
      <c r="J18" s="40">
        <f>IFERROR(VLOOKUP($A$1,Mid_Prog01_Supp,8,FALSE),0)</f>
        <v>0</v>
      </c>
      <c r="K18" s="40">
        <f>IFERROR(VLOOKUP($A$1,Mid_Prog97_Supp,8,FALSE),0)</f>
        <v>0</v>
      </c>
      <c r="L18" s="40">
        <f>IFERROR(VLOOKUP($A$1,Mid_Prog21_Supp,8,FALSE),0)</f>
        <v>0</v>
      </c>
      <c r="M18" s="73">
        <f t="shared" si="1"/>
        <v>0</v>
      </c>
      <c r="N18" s="100">
        <f t="shared" si="2"/>
        <v>0</v>
      </c>
      <c r="O18" s="72">
        <v>0.88800000000000001</v>
      </c>
      <c r="P18" s="101">
        <f t="shared" si="3"/>
        <v>0.68500000000000005</v>
      </c>
      <c r="R18" s="77"/>
    </row>
    <row r="19" spans="1:21" x14ac:dyDescent="0.25">
      <c r="A19" s="99" t="s">
        <v>743</v>
      </c>
      <c r="B19" s="22" t="s">
        <v>717</v>
      </c>
      <c r="C19" s="22" t="s">
        <v>722</v>
      </c>
      <c r="E19" s="40">
        <f>IFERROR(VLOOKUP($A$1,MidStaff01,MATCH($A19,Middle!$A$3:$O$3),FALSE),0)</f>
        <v>0</v>
      </c>
      <c r="F19" s="40">
        <f>IFERROR(VLOOKUP($A$1,MidStaff97,MATCH($A19,Middle!$S$3:$AG$3),FALSE),0)</f>
        <v>0</v>
      </c>
      <c r="G19" s="40">
        <f>IFERROR(VLOOKUP($A$1,MidStaff21,MATCH($A19,Middle!$AK$3:$AY$3),FALSE),0)</f>
        <v>0</v>
      </c>
      <c r="I19" s="73">
        <f t="shared" si="0"/>
        <v>0</v>
      </c>
      <c r="J19" s="40">
        <f>IFERROR(VLOOKUP($A$1,Mid_Prog01_Supp,9,FALSE),0)</f>
        <v>0</v>
      </c>
      <c r="K19" s="40">
        <f>IFERROR(VLOOKUP($A$1,Mid_Prog97_Supp,9,FALSE),0)</f>
        <v>0</v>
      </c>
      <c r="L19" s="40">
        <f>IFERROR(VLOOKUP($A$1,Mid_Prog21_Supp,9,FALSE),0)</f>
        <v>0</v>
      </c>
      <c r="M19" s="73">
        <f t="shared" si="1"/>
        <v>0</v>
      </c>
      <c r="N19" s="100">
        <f t="shared" si="2"/>
        <v>0</v>
      </c>
      <c r="O19" s="73">
        <v>0</v>
      </c>
      <c r="P19" s="101">
        <f t="shared" si="3"/>
        <v>0</v>
      </c>
      <c r="R19" s="77"/>
    </row>
    <row r="20" spans="1:21" x14ac:dyDescent="0.25">
      <c r="A20" s="99" t="s">
        <v>746</v>
      </c>
      <c r="B20" s="22" t="s">
        <v>717</v>
      </c>
      <c r="C20" s="22" t="s">
        <v>681</v>
      </c>
      <c r="E20" s="40">
        <f>IFERROR(VLOOKUP($A$1,MidStaff01,MATCH($A20,Middle!$A$3:$O$3),FALSE),0)</f>
        <v>0</v>
      </c>
      <c r="F20" s="40">
        <f>IFERROR(VLOOKUP($A$1,MidStaff97,MATCH($A20,Middle!$S$3:$AG$3),FALSE),0)</f>
        <v>0</v>
      </c>
      <c r="G20" s="40">
        <f>IFERROR(VLOOKUP($A$1,MidStaff21,MATCH($A20,Middle!$AK$3:$AY$3),FALSE),0)</f>
        <v>0</v>
      </c>
      <c r="I20" s="73">
        <f t="shared" si="0"/>
        <v>0</v>
      </c>
      <c r="J20" s="40">
        <f>IFERROR(VLOOKUP($A$1,Mid_Prog01_Supp,10,FALSE),0)</f>
        <v>0</v>
      </c>
      <c r="K20" s="40">
        <f>IFERROR(VLOOKUP($A$1,Mid_Prog97_Supp,10,FALSE),0)</f>
        <v>0</v>
      </c>
      <c r="L20" s="40">
        <f>IFERROR(VLOOKUP($A$1,Mid_Prog21_Supp,10,FALSE),0)</f>
        <v>0</v>
      </c>
      <c r="M20" s="73">
        <f t="shared" si="1"/>
        <v>0</v>
      </c>
      <c r="N20" s="100">
        <f t="shared" si="2"/>
        <v>0</v>
      </c>
      <c r="O20" s="73">
        <v>0</v>
      </c>
      <c r="P20" s="101">
        <f t="shared" si="3"/>
        <v>0</v>
      </c>
      <c r="R20" s="77"/>
    </row>
    <row r="21" spans="1:21" x14ac:dyDescent="0.25">
      <c r="A21" s="99" t="s">
        <v>745</v>
      </c>
      <c r="B21" s="22" t="s">
        <v>717</v>
      </c>
      <c r="C21" s="22" t="s">
        <v>723</v>
      </c>
      <c r="E21" s="40">
        <f>IFERROR(VLOOKUP($A$1,MidStaff01,MATCH($A21,Middle!$A$3:$O$3),FALSE),0)</f>
        <v>0</v>
      </c>
      <c r="F21" s="40">
        <f>IFERROR(VLOOKUP($A$1,MidStaff97,MATCH($A21,Middle!$S$3:$AG$3),FALSE),0)</f>
        <v>0</v>
      </c>
      <c r="G21" s="40">
        <f>IFERROR(VLOOKUP($A$1,MidStaff21,MATCH($A21,Middle!$AK$3:$AY$3),FALSE),0)</f>
        <v>0</v>
      </c>
      <c r="I21" s="73">
        <f t="shared" si="0"/>
        <v>0</v>
      </c>
      <c r="J21" s="40">
        <f>IFERROR(VLOOKUP($A$1,Mid_Prog01_Supp,11,FALSE),0)</f>
        <v>0</v>
      </c>
      <c r="K21" s="40">
        <f>IFERROR(VLOOKUP($A$1,Mid_Prog97_Supp,11,FALSE),0)</f>
        <v>0</v>
      </c>
      <c r="L21" s="40">
        <f>IFERROR(VLOOKUP($A$1,Mid_Prog21_Supp,11,FALSE),0)</f>
        <v>0</v>
      </c>
      <c r="M21" s="73">
        <f t="shared" si="1"/>
        <v>0</v>
      </c>
      <c r="N21" s="100">
        <f t="shared" si="2"/>
        <v>0</v>
      </c>
      <c r="O21" s="73">
        <v>0</v>
      </c>
      <c r="P21" s="101">
        <f t="shared" si="3"/>
        <v>0</v>
      </c>
      <c r="R21" s="77"/>
    </row>
    <row r="22" spans="1:21" x14ac:dyDescent="0.25">
      <c r="A22">
        <v>96</v>
      </c>
      <c r="B22" s="242" t="s">
        <v>737</v>
      </c>
      <c r="C22" s="22" t="s">
        <v>727</v>
      </c>
      <c r="E22" s="40">
        <f>IFERROR(VLOOKUP($A$1,MidStaff01,MATCH($B22,Middle!$A$3:$O$3),FALSE),0)</f>
        <v>0</v>
      </c>
      <c r="F22" s="40">
        <f>IFERROR(VLOOKUP($A$1,MidStaff97,MATCH($B22,Middle!$S$3:$AG$3),FALSE),0)</f>
        <v>0</v>
      </c>
      <c r="G22" s="40">
        <f>IFERROR(VLOOKUP($A$1,MidStaff21,MATCH($B22,Middle!$AK$3:$AY$3),FALSE),0)</f>
        <v>0</v>
      </c>
      <c r="I22" s="73">
        <f t="shared" si="0"/>
        <v>0</v>
      </c>
      <c r="J22" s="40">
        <f>IFERROR(VLOOKUP($A$1,Mid_Prog01_Supp,12,FALSE),0)</f>
        <v>0</v>
      </c>
      <c r="K22" s="40">
        <f>IFERROR(VLOOKUP($A$1,Mid_Prog97_Supp,12,FALSE),0)</f>
        <v>0</v>
      </c>
      <c r="L22" s="40">
        <f>IFERROR(VLOOKUP($A$1,Mid_Prog21_Supp,12,FALSE),0)</f>
        <v>0</v>
      </c>
      <c r="M22" s="73">
        <f t="shared" si="1"/>
        <v>0</v>
      </c>
      <c r="N22" s="100">
        <f t="shared" si="2"/>
        <v>0</v>
      </c>
      <c r="O22" s="73">
        <v>0</v>
      </c>
      <c r="P22" s="101">
        <f t="shared" si="3"/>
        <v>0</v>
      </c>
      <c r="R22" s="77"/>
    </row>
    <row r="23" spans="1:21" x14ac:dyDescent="0.25">
      <c r="A23" s="85" t="s">
        <v>728</v>
      </c>
      <c r="B23" s="99" t="s">
        <v>732</v>
      </c>
      <c r="C23" s="22" t="s">
        <v>1158</v>
      </c>
      <c r="E23" s="40">
        <f>IFERROR(VLOOKUP($A$1,MidStaff01,MATCH($B23,Middle!$A$3:$O$3),FALSE),0)</f>
        <v>0</v>
      </c>
      <c r="F23" s="40">
        <f>IFERROR(VLOOKUP($A$1,MidStaff97,MATCH($B23,Middle!$S$3:$AG$3),FALSE),0)</f>
        <v>0</v>
      </c>
      <c r="G23" s="40">
        <f>IFERROR(VLOOKUP($A$1,MidStaff21,MATCH($B23,Middle!$AK$3:$AY$3),FALSE),0)</f>
        <v>0</v>
      </c>
      <c r="I23" s="73">
        <f t="shared" si="0"/>
        <v>0</v>
      </c>
      <c r="J23" s="40">
        <f>IFERROR(VLOOKUP($A$1,Mid_Prog01_Supp,13,FALSE),0)</f>
        <v>0</v>
      </c>
      <c r="K23" s="40">
        <f>IFERROR(VLOOKUP($A$1,Mid_Prog97_Supp,13,FALSE),0)</f>
        <v>0</v>
      </c>
      <c r="L23" s="40">
        <f>IFERROR(VLOOKUP($A$1,Mid_Prog21_Supp,13,FALSE),0)</f>
        <v>0</v>
      </c>
      <c r="M23" s="73">
        <f t="shared" si="1"/>
        <v>0</v>
      </c>
      <c r="N23" s="100">
        <f t="shared" si="2"/>
        <v>0</v>
      </c>
      <c r="O23" s="73">
        <v>9.1999999999999998E-2</v>
      </c>
      <c r="P23" s="101">
        <f t="shared" si="3"/>
        <v>7.0999999999999994E-2</v>
      </c>
      <c r="R23" s="77"/>
    </row>
    <row r="24" spans="1:21" x14ac:dyDescent="0.25">
      <c r="A24" s="85" t="s">
        <v>728</v>
      </c>
      <c r="B24" s="99" t="s">
        <v>733</v>
      </c>
      <c r="C24" s="22" t="s">
        <v>730</v>
      </c>
      <c r="E24" s="40">
        <f>IFERROR(VLOOKUP($A$1,MidStaff01,MATCH($B24,Middle!$A$3:$O$3),FALSE),0)</f>
        <v>0</v>
      </c>
      <c r="F24" s="40">
        <f>IFERROR(VLOOKUP($A$1,MidStaff97,MATCH($B24,Middle!$S$3:$AG$3),FALSE),0)</f>
        <v>0</v>
      </c>
      <c r="G24" s="40">
        <f>IFERROR(VLOOKUP($A$1,MidStaff21,MATCH($B24,Middle!$AK$3:$AY$3),FALSE),0)</f>
        <v>0</v>
      </c>
      <c r="I24" s="73">
        <f t="shared" ref="I24" si="4">ROUND(G24*$H$12,3)</f>
        <v>0</v>
      </c>
      <c r="J24" s="40">
        <f>IFERROR(VLOOKUP($A$1,Mid_Prog01_Supp,14,FALSE),0)</f>
        <v>0</v>
      </c>
      <c r="K24" s="40">
        <f>IFERROR(VLOOKUP($A$1,Mid_Prog97_Supp,14,FALSE),0)</f>
        <v>0</v>
      </c>
      <c r="L24" s="40">
        <f>IFERROR(VLOOKUP($A$1,Mid_Prog21_Supp,14,FALSE),0)</f>
        <v>0</v>
      </c>
      <c r="M24" s="73">
        <f t="shared" ref="M24" si="5">ROUND(L24*$H$12,3)</f>
        <v>0</v>
      </c>
      <c r="N24" s="100">
        <f t="shared" ref="N24" si="6">E24+F24+I24+J24+K24+M24</f>
        <v>0</v>
      </c>
      <c r="O24" s="73">
        <v>0</v>
      </c>
      <c r="P24" s="101">
        <f t="shared" ref="P24" si="7">ROUND($D$11*O24/432,3)</f>
        <v>0</v>
      </c>
      <c r="R24" s="77"/>
    </row>
    <row r="25" spans="1:21" x14ac:dyDescent="0.25">
      <c r="A25" s="85" t="s">
        <v>728</v>
      </c>
      <c r="B25" s="242" t="s">
        <v>1159</v>
      </c>
      <c r="C25" s="22" t="s">
        <v>1058</v>
      </c>
      <c r="E25" s="40">
        <f>IFERROR(VLOOKUP($A$1,MidStaff01,MATCH($B25,Middle!$A$3:$O$3),FALSE),0)</f>
        <v>0</v>
      </c>
      <c r="F25" s="40">
        <f>IFERROR(VLOOKUP($A$1,MidStaff97,MATCH($B25,Middle!$S$3:$AG$3),FALSE),0)</f>
        <v>0</v>
      </c>
      <c r="G25" s="40">
        <f>IFERROR(VLOOKUP($A$1,MidStaff21,MATCH($B25,Middle!$AK$3:$AY$3),FALSE),0)</f>
        <v>0</v>
      </c>
      <c r="I25" s="73">
        <f t="shared" si="0"/>
        <v>0</v>
      </c>
      <c r="J25" s="40">
        <f>IFERROR(VLOOKUP($A$1,Mid_Prog01_Supp,15,FALSE),0)</f>
        <v>0</v>
      </c>
      <c r="K25" s="40">
        <f>IFERROR(VLOOKUP($A$1,Mid_Prog97_Supp,15,FALSE),0)</f>
        <v>0</v>
      </c>
      <c r="L25" s="40">
        <f>IFERROR(VLOOKUP($A$1,Mid_Prog21_Supp,15,FALSE),0)</f>
        <v>0</v>
      </c>
      <c r="M25" s="73">
        <f t="shared" si="1"/>
        <v>0</v>
      </c>
      <c r="N25" s="100">
        <f t="shared" si="2"/>
        <v>0</v>
      </c>
      <c r="O25" s="73">
        <v>0</v>
      </c>
      <c r="P25" s="101">
        <f t="shared" si="3"/>
        <v>0</v>
      </c>
      <c r="R25" s="77"/>
    </row>
    <row r="26" spans="1:21" x14ac:dyDescent="0.25">
      <c r="E26" s="33">
        <f>SUM(E12:E25)</f>
        <v>2.2000000000000002</v>
      </c>
      <c r="F26" s="33">
        <f t="shared" ref="F26:G26" si="8">SUM(F12:F25)</f>
        <v>0</v>
      </c>
      <c r="G26" s="33">
        <f t="shared" si="8"/>
        <v>0</v>
      </c>
      <c r="I26" s="33">
        <f t="shared" ref="I26:P26" si="9">SUM(I12:I25)</f>
        <v>0</v>
      </c>
      <c r="J26" s="33">
        <f t="shared" ref="J26:L26" si="10">SUM(J12:J25)</f>
        <v>0</v>
      </c>
      <c r="K26" s="33">
        <f t="shared" si="10"/>
        <v>0</v>
      </c>
      <c r="L26" s="33">
        <f t="shared" si="10"/>
        <v>0</v>
      </c>
      <c r="M26" s="33">
        <f t="shared" si="9"/>
        <v>0</v>
      </c>
      <c r="N26" s="92">
        <f>SUM(N12:N25)</f>
        <v>2.2000000000000002</v>
      </c>
      <c r="O26" s="54">
        <f>SUM(O12:O25)</f>
        <v>2.8080000000000003</v>
      </c>
      <c r="P26" s="76">
        <f t="shared" si="9"/>
        <v>2.1670000000000003</v>
      </c>
      <c r="R26" s="25"/>
    </row>
    <row r="27" spans="1:21" x14ac:dyDescent="0.25">
      <c r="C27" s="22"/>
      <c r="E27" s="33"/>
      <c r="F27" s="33"/>
      <c r="I27" s="33"/>
      <c r="J27" s="33"/>
      <c r="K27" s="33"/>
      <c r="L27" s="33"/>
      <c r="M27" s="33"/>
      <c r="N27" s="33"/>
      <c r="S27" s="25"/>
    </row>
    <row r="28" spans="1:21" x14ac:dyDescent="0.25">
      <c r="C28" s="22"/>
      <c r="O28" s="22" t="s">
        <v>769</v>
      </c>
      <c r="P28" s="46" t="str">
        <f>'2024-25 Elementary Calculator'!R28</f>
        <v>Salary, Benefits &amp; PLD</v>
      </c>
      <c r="Q28" s="25"/>
      <c r="R28" s="25"/>
      <c r="S28" s="25"/>
    </row>
    <row r="29" spans="1:21" x14ac:dyDescent="0.25">
      <c r="N29" t="s">
        <v>692</v>
      </c>
      <c r="O29" s="50">
        <f>ROUND($D$11*O13/432,3)+ROUND($D$11*O18/432,3)+ROUND($D$11*O15/432,3)+ROUND($D$11*O17/432,3)</f>
        <v>2.0960000000000005</v>
      </c>
      <c r="P29" s="93">
        <f>ROUND(CIS_Inc*(VLOOKUP($A$1,'K3 District Data as of Jan 2025'!$A$3:$O$322,MATCH("Reg",'K3 District Data as of Jan 2025'!$2:$2,0),FALSE)+VLOOKUP($A$1,'K3 District Data as of Jan 2025'!$A$3:$O$322,MATCH("Exp",'K3 District Data as of Jan 2025'!$2:$2,0),FALSE))*O29,2)+ROUND((O29*CIS_Ins_Inc),2)+ROUND((CIS_Base*VLOOKUP($A$1,'K3 District Data as of Jan 2025'!$A$3:$O$322,MATCH("Reg base",'K3 District Data as of Jan 2025'!$2:$2,0),FALSE)*O29)*CIS_Ben_Base,2)+ROUND((ROUND(CIS_Inc*(VLOOKUP($A$1,'K3 District Data as of Jan 2025'!$A$3:$O$322,MATCH("Reg",'K3 District Data as of Jan 2025'!$2:$2,0),FALSE)+VLOOKUP($A$1,'K3 District Data as of Jan 2025'!$A$3:$O$322,MATCH("Exp",'K3 District Data as of Jan 2025'!$2:$2,0),FALSE))*O29,2)-ROUND(CIS_Base*VLOOKUP($A$1,'K3 District Data as of Jan 2025'!$A$3:$O$322,MATCH("Reg base",'K3 District Data as of Jan 2025'!$2:$2,0),FALSE)*O29,2))*CIS_Ben_Inc+((CIS_Inc*(VLOOKUP($A$1,'K3 District Data as of Jan 2025'!$A$3:$O$322,MATCH("Reg",'K3 District Data as of Jan 2025'!$2:$2,0),FALSE)+VLOOKUP($A$1,'K3 District Data as of Jan 2025'!$A$3:$O$322,MATCH("Exp",'K3 District Data as of Jan 2025'!$2:$2,0),FALSE))*O29)/180)*3+(((CIS_Inc*(VLOOKUP($A$1,'K3 District Data as of Jan 2025'!$A$3:$O$322,MATCH("Reg",'K3 District Data as of Jan 2025'!$2:$2,0),FALSE)+VLOOKUP($A$1,'K3 District Data as of Jan 2025'!$A$3:$O$322,MATCH("Exp",'K3 District Data as of Jan 2025'!$2:$2,0),FALSE))*O29)/180)*3)*CIS_Ben_Inc,2)</f>
        <v>227037.25000000003</v>
      </c>
      <c r="Q29" s="48"/>
      <c r="R29" s="25"/>
      <c r="S29" s="25"/>
      <c r="T29" s="25"/>
      <c r="U29" s="25"/>
    </row>
    <row r="30" spans="1:21" x14ac:dyDescent="0.25">
      <c r="N30" t="s">
        <v>693</v>
      </c>
      <c r="O30" s="51">
        <f>ROUND($D$11*O22/432,3)+ROUND($D$11*O23/432,3)</f>
        <v>7.0999999999999994E-2</v>
      </c>
      <c r="P30" s="94">
        <f>ROUND(CLS_Inc*VLOOKUP($A$1,'K3 District Data as of Jan 2025'!$A$3:$O$322,MATCH("Reg base",'K3 District Data as of Jan 2025'!$2:$2,0),FALSE)*O30,2)+ROUND((O30*CLS_Ins_Inc),2)+ROUND((CLS_Base*VLOOKUP($A$1,'K3 District Data as of Jan 2025'!$A$3:$O$322,MATCH("Reg base",'K3 District Data as of Jan 2025'!$2:$2,0),FALSE)*O30)*CLS_Ben_Base,2)+ROUND((ROUND(CLS_Inc*VLOOKUP($A$1,'K3 District Data as of Jan 2025'!$A$3:$O$322,MATCH("Reg base",'K3 District Data as of Jan 2025'!$2:$2,0),FALSE)*O30,2)-ROUND(CLS_Base*VLOOKUP($A$1,'K3 District Data as of Jan 2025'!$A$3:$O$322,MATCH("Reg base",'K3 District Data as of Jan 2025'!$2:$2,0),FALSE)*O30,2))*CLS_Ben_Inc,2)</f>
        <v>6271.7400000000007</v>
      </c>
      <c r="Q30" s="48"/>
      <c r="R30" s="25"/>
      <c r="S30" s="25"/>
      <c r="T30" s="23"/>
      <c r="U30" s="25"/>
    </row>
    <row r="31" spans="1:21" x14ac:dyDescent="0.25">
      <c r="N31" s="2" t="s">
        <v>699</v>
      </c>
      <c r="O31" s="52">
        <f>SUM(O29:O30)</f>
        <v>2.1670000000000007</v>
      </c>
      <c r="P31" s="53">
        <f>SUM(P29:P30)</f>
        <v>233308.99000000002</v>
      </c>
      <c r="Q31" s="25"/>
      <c r="R31" s="25"/>
      <c r="S31" s="25"/>
      <c r="T31" s="23"/>
      <c r="U31" s="25"/>
    </row>
    <row r="32" spans="1:21" x14ac:dyDescent="0.25">
      <c r="O32" s="22"/>
      <c r="P32" s="37"/>
      <c r="Q32" s="25"/>
      <c r="R32" s="25"/>
      <c r="S32" s="25"/>
      <c r="T32" s="23"/>
      <c r="U32" s="25"/>
    </row>
    <row r="33" spans="4:21" x14ac:dyDescent="0.25">
      <c r="N33" t="s">
        <v>692</v>
      </c>
      <c r="O33" s="60">
        <f>SUM(N12:N21)</f>
        <v>2.2000000000000002</v>
      </c>
      <c r="P33" s="95">
        <f>ROUND(CIS_Inc*(VLOOKUP($A$1,'K3 District Data as of Jan 2025'!$A$3:$O$322,MATCH("Reg",'K3 District Data as of Jan 2025'!$2:$2,0),FALSE)+VLOOKUP($A$1,'K3 District Data as of Jan 2025'!$A$3:$O$322,MATCH("Exp",'K3 District Data as of Jan 2025'!$2:$2,0),FALSE))*O33,2)+ROUND((O33*CIS_Ins_Inc),2)+ROUND((CIS_Base*VLOOKUP($A$1,'K3 District Data as of Jan 2025'!$A$3:$O$322,MATCH("Reg base",'K3 District Data as of Jan 2025'!$2:$2,0),FALSE)*O33)*CIS_Ben_Base,2)+ROUND((ROUND(CIS_Inc*(VLOOKUP($A$1,'K3 District Data as of Jan 2025'!$A$3:$O$322,MATCH("Reg",'K3 District Data as of Jan 2025'!$2:$2,0),FALSE)+VLOOKUP($A$1,'K3 District Data as of Jan 2025'!$A$3:$O$322,MATCH("Exp",'K3 District Data as of Jan 2025'!$2:$2,0),FALSE))*O33,2)-ROUND(CIS_Base*VLOOKUP($A$1,'K3 District Data as of Jan 2025'!$A$3:$O$322,MATCH("Reg base",'K3 District Data as of Jan 2025'!$2:$2,0),FALSE)*O33,2))*CIS_Ben_Inc+((CIS_Inc*(VLOOKUP($A$1,'K3 District Data as of Jan 2025'!$A$3:$O$322,MATCH("Reg",'K3 District Data as of Jan 2025'!$2:$2,0),FALSE)+VLOOKUP($A$1,'K3 District Data as of Jan 2025'!$A$3:$O$322,MATCH("Exp",'K3 District Data as of Jan 2025'!$2:$2,0),FALSE))*O33)/180)*3+(((CIS_Inc*(VLOOKUP($A$1,'K3 District Data as of Jan 2025'!$A$3:$O$322,MATCH("Reg",'K3 District Data as of Jan 2025'!$2:$2,0),FALSE)+VLOOKUP($A$1,'K3 District Data as of Jan 2025'!$A$3:$O$322,MATCH("Exp",'K3 District Data as of Jan 2025'!$2:$2,0),FALSE))*O33)/180)*3)*CIS_Ben_Inc,2)</f>
        <v>238302.44999999998</v>
      </c>
      <c r="Q33" s="48"/>
      <c r="R33" s="25"/>
      <c r="S33" s="25"/>
      <c r="T33" s="25"/>
    </row>
    <row r="34" spans="4:21" x14ac:dyDescent="0.25">
      <c r="N34" t="s">
        <v>693</v>
      </c>
      <c r="O34" s="61">
        <f>SUM(N22:N25)</f>
        <v>0</v>
      </c>
      <c r="P34" s="96">
        <f>ROUND(CLS_Inc*VLOOKUP($A$1,'K3 District Data as of Jan 2025'!$A$3:$O$322,MATCH("Reg base",'K3 District Data as of Jan 2025'!$2:$2,0),FALSE)*O34,2)+ROUND((O34*CLS_Ins_Inc),2)+ROUND((CLS_Base*VLOOKUP($A$1,'K3 District Data as of Jan 2025'!$A$3:$O$322,MATCH("Reg base",'K3 District Data as of Jan 2025'!$2:$2,0),FALSE)*O34)*CLS_Ben_Base,2)+ROUND((ROUND(CLS_Inc*VLOOKUP($A$1,'K3 District Data as of Jan 2025'!$A$3:$O$322,MATCH("Reg base",'K3 District Data as of Jan 2025'!$2:$2,0),FALSE)*O34,2)-ROUND(CLS_Base*VLOOKUP($A$1,'K3 District Data as of Jan 2025'!$A$3:$O$322,MATCH("Reg base",'K3 District Data as of Jan 2025'!$2:$2,0),FALSE)*O34,2))*CLS_Ben_Inc,2)</f>
        <v>0</v>
      </c>
      <c r="Q34" s="48"/>
      <c r="R34" s="23"/>
      <c r="S34" s="23"/>
      <c r="T34" s="25"/>
    </row>
    <row r="35" spans="4:21" x14ac:dyDescent="0.25">
      <c r="N35" s="2" t="s">
        <v>698</v>
      </c>
      <c r="O35" s="62">
        <f>SUM(O33:O34)</f>
        <v>2.2000000000000002</v>
      </c>
      <c r="P35" s="63">
        <f>SUM(P33:P34)</f>
        <v>238302.44999999998</v>
      </c>
      <c r="Q35" s="25"/>
      <c r="R35" s="25"/>
      <c r="S35" s="25"/>
      <c r="T35" s="23"/>
      <c r="U35" s="25"/>
    </row>
    <row r="36" spans="4:21" x14ac:dyDescent="0.25">
      <c r="O36" s="22"/>
      <c r="Q36" s="25"/>
      <c r="R36" s="23"/>
      <c r="S36" s="23"/>
      <c r="T36" s="25"/>
    </row>
    <row r="37" spans="4:21" x14ac:dyDescent="0.25">
      <c r="N37" t="s">
        <v>692</v>
      </c>
      <c r="O37" s="67">
        <f>O33-O29</f>
        <v>0.10399999999999965</v>
      </c>
      <c r="P37" s="64">
        <f>P33-P29</f>
        <v>11265.199999999953</v>
      </c>
      <c r="Q37" s="25"/>
      <c r="R37" s="23"/>
    </row>
    <row r="38" spans="4:21" x14ac:dyDescent="0.25">
      <c r="N38" t="s">
        <v>693</v>
      </c>
      <c r="O38" s="68">
        <f>O34-O30</f>
        <v>-7.0999999999999994E-2</v>
      </c>
      <c r="P38" s="65">
        <f>P34-P30</f>
        <v>-6271.7400000000007</v>
      </c>
      <c r="Q38" s="25"/>
      <c r="R38" s="23"/>
      <c r="U38" s="25"/>
    </row>
    <row r="39" spans="4:21" x14ac:dyDescent="0.25">
      <c r="N39" s="22" t="s">
        <v>701</v>
      </c>
      <c r="O39" s="69">
        <f>SUM(O37:O38)</f>
        <v>3.2999999999999655E-2</v>
      </c>
      <c r="P39" s="66">
        <f>SUM(P37:P38)</f>
        <v>4993.4599999999527</v>
      </c>
      <c r="Q39" s="25"/>
    </row>
    <row r="40" spans="4:21" x14ac:dyDescent="0.25">
      <c r="D40" t="str">
        <f>'2024-25 K3Class Size Compliance'!B34</f>
        <v>* 2024-25 Salary and Benefit Values used in calculation</v>
      </c>
      <c r="O40" s="25"/>
      <c r="P40" s="23"/>
    </row>
    <row r="44" spans="4:21" x14ac:dyDescent="0.25">
      <c r="O44" s="25"/>
    </row>
    <row r="46" spans="4:21" x14ac:dyDescent="0.25">
      <c r="O46" s="25"/>
    </row>
    <row r="47" spans="4:21" x14ac:dyDescent="0.25">
      <c r="O47" s="25"/>
    </row>
    <row r="48" spans="4:21" x14ac:dyDescent="0.25">
      <c r="O48" s="35"/>
    </row>
    <row r="49" spans="15:15" x14ac:dyDescent="0.25">
      <c r="O49" s="25"/>
    </row>
    <row r="50" spans="15:15" x14ac:dyDescent="0.25">
      <c r="O50" s="23"/>
    </row>
  </sheetData>
  <sheetProtection formatCells="0" formatColumns="0" formatRows="0"/>
  <mergeCells count="1">
    <mergeCell ref="C1:O1"/>
  </mergeCells>
  <phoneticPr fontId="24" type="noConversion"/>
  <pageMargins left="0.25" right="0.25" top="0.75" bottom="0.75" header="0.3" footer="0.3"/>
  <pageSetup scale="68" orientation="landscape" r:id="rId1"/>
  <colBreaks count="1" manualBreakCount="1">
    <brk id="1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3" tint="0.59999389629810485"/>
  </sheetPr>
  <dimension ref="A1:U50"/>
  <sheetViews>
    <sheetView zoomScaleNormal="100" workbookViewId="0"/>
  </sheetViews>
  <sheetFormatPr defaultRowHeight="15" x14ac:dyDescent="0.25"/>
  <cols>
    <col min="1" max="1" width="6.5703125" customWidth="1"/>
    <col min="2" max="2" width="7.5703125" customWidth="1"/>
    <col min="3" max="3" width="30" customWidth="1"/>
    <col min="4" max="4" width="14.5703125" customWidth="1"/>
    <col min="5" max="6" width="10.5703125" bestFit="1" customWidth="1"/>
    <col min="7" max="7" width="10.5703125" customWidth="1"/>
    <col min="8" max="8" width="7.28515625" bestFit="1" customWidth="1"/>
    <col min="9" max="9" width="15.42578125" customWidth="1"/>
    <col min="10" max="10" width="14.28515625" customWidth="1"/>
    <col min="11" max="11" width="14" customWidth="1"/>
    <col min="12" max="12" width="14.28515625" customWidth="1"/>
    <col min="13" max="13" width="12" customWidth="1"/>
    <col min="14" max="14" width="15.5703125" bestFit="1" customWidth="1"/>
    <col min="15" max="15" width="14.5703125" bestFit="1" customWidth="1"/>
    <col min="16" max="16" width="15.5703125" customWidth="1"/>
    <col min="17" max="17" width="5.42578125" bestFit="1" customWidth="1"/>
    <col min="18" max="18" width="10.28515625" bestFit="1" customWidth="1"/>
    <col min="19" max="19" width="15.42578125" bestFit="1" customWidth="1"/>
    <col min="20" max="20" width="13" customWidth="1"/>
    <col min="21" max="21" width="11.5703125" customWidth="1"/>
    <col min="22" max="22" width="9.5703125" bestFit="1" customWidth="1"/>
    <col min="23" max="23" width="11.42578125" customWidth="1"/>
    <col min="24" max="24" width="12.28515625" customWidth="1"/>
    <col min="25" max="25" width="14.5703125" customWidth="1"/>
    <col min="26" max="26" width="12.5703125" customWidth="1"/>
    <col min="27" max="27" width="14.7109375" customWidth="1"/>
    <col min="28" max="28" width="16.42578125" customWidth="1"/>
    <col min="29" max="29" width="14.42578125" customWidth="1"/>
    <col min="30" max="30" width="21.7109375" customWidth="1"/>
  </cols>
  <sheetData>
    <row r="1" spans="1:19" ht="23.25" x14ac:dyDescent="0.35">
      <c r="A1" s="16" t="str">
        <f>'2024-25 PSES Compliance'!A1</f>
        <v>14005</v>
      </c>
      <c r="B1" s="16"/>
      <c r="C1" s="289" t="str">
        <f>'2024-25 K3Class Size Compliance'!B1</f>
        <v>This tab has been pre-loaded with all January data for the 2024-25 school year.</v>
      </c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</row>
    <row r="2" spans="1:19" ht="10.35" customHeight="1" x14ac:dyDescent="0.35">
      <c r="D2" s="12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</row>
    <row r="3" spans="1:19" ht="21" x14ac:dyDescent="0.35">
      <c r="C3" s="9" t="s">
        <v>1622</v>
      </c>
    </row>
    <row r="4" spans="1:19" ht="15" customHeight="1" x14ac:dyDescent="0.35">
      <c r="C4" s="9"/>
    </row>
    <row r="5" spans="1:19" x14ac:dyDescent="0.25">
      <c r="C5" s="121" t="str">
        <f>'2024-25 PSES Compliance'!C4</f>
        <v>Aberdeen School District</v>
      </c>
    </row>
    <row r="6" spans="1:19" ht="15" customHeight="1" x14ac:dyDescent="0.25">
      <c r="C6" s="8" t="str">
        <f>'2024-25 Elementary Calculator'!C6</f>
        <v>Select district on '2024-25 PSES Compliance' sheet for January Student FTE, Teacher FTE and 3121% data to be filled</v>
      </c>
    </row>
    <row r="7" spans="1:19" ht="15.75" x14ac:dyDescent="0.25">
      <c r="C7" s="8" t="str">
        <f>'2024-25 Elementary Calculator'!C7</f>
        <v>Enter student and teacher FTE for the 2024-25 school year in the highlighted cells</v>
      </c>
    </row>
    <row r="8" spans="1:19" x14ac:dyDescent="0.25">
      <c r="E8" s="2"/>
      <c r="F8" s="2"/>
      <c r="G8" s="1"/>
      <c r="H8" s="1"/>
      <c r="I8" s="1"/>
      <c r="J8" s="1"/>
      <c r="K8" s="1"/>
      <c r="L8" s="1"/>
      <c r="M8" s="1"/>
    </row>
    <row r="9" spans="1:19" ht="15.75" x14ac:dyDescent="0.25">
      <c r="C9" s="8" t="s">
        <v>704</v>
      </c>
      <c r="E9" s="125"/>
      <c r="F9" s="43"/>
      <c r="G9" s="43"/>
      <c r="H9" s="241"/>
      <c r="I9" s="43"/>
      <c r="J9" s="125"/>
      <c r="K9" s="43"/>
      <c r="L9" s="43"/>
      <c r="M9" s="77"/>
    </row>
    <row r="10" spans="1:19" ht="60" x14ac:dyDescent="0.25">
      <c r="A10" s="24" t="s">
        <v>712</v>
      </c>
      <c r="B10" s="24" t="s">
        <v>725</v>
      </c>
      <c r="C10" t="s">
        <v>724</v>
      </c>
      <c r="D10" s="3" t="str">
        <f>CONCATENATE(Instructions!E72," 9-12 Student FTE")</f>
        <v>January 9-12 Student FTE</v>
      </c>
      <c r="E10" s="3" t="s">
        <v>677</v>
      </c>
      <c r="F10" s="3" t="s">
        <v>726</v>
      </c>
      <c r="G10" s="3" t="s">
        <v>678</v>
      </c>
      <c r="H10" s="4">
        <v>31.21</v>
      </c>
      <c r="I10" s="3" t="s">
        <v>697</v>
      </c>
      <c r="J10" s="3" t="s">
        <v>774</v>
      </c>
      <c r="K10" s="3" t="s">
        <v>775</v>
      </c>
      <c r="L10" s="3" t="s">
        <v>776</v>
      </c>
      <c r="M10" s="3" t="s">
        <v>697</v>
      </c>
      <c r="N10" s="59" t="s">
        <v>679</v>
      </c>
      <c r="O10" s="71" t="s">
        <v>700</v>
      </c>
      <c r="P10" s="75" t="s">
        <v>702</v>
      </c>
      <c r="R10" s="77"/>
    </row>
    <row r="11" spans="1:19" x14ac:dyDescent="0.25">
      <c r="D11" s="18">
        <f>VLOOKUP($A$1,PSESEnroll,'Enroll Data as of January 2025'!E$1,FALSE)</f>
        <v>664.68</v>
      </c>
      <c r="E11" s="79"/>
      <c r="F11" s="79"/>
      <c r="G11" s="79"/>
      <c r="H11" s="80"/>
      <c r="I11" s="79"/>
      <c r="J11" s="79"/>
      <c r="K11" s="79"/>
      <c r="L11" s="79"/>
      <c r="M11" s="79"/>
      <c r="N11" s="81"/>
      <c r="O11" s="82"/>
      <c r="P11" s="83"/>
      <c r="R11" s="77"/>
    </row>
    <row r="12" spans="1:19" x14ac:dyDescent="0.25">
      <c r="A12" s="99" t="s">
        <v>747</v>
      </c>
      <c r="B12" s="22" t="s">
        <v>717</v>
      </c>
      <c r="C12" s="22" t="s">
        <v>716</v>
      </c>
      <c r="E12" s="40">
        <f>IFERROR(VLOOKUP($A$1,HighStaff01,MATCH($A12,High!$A$3:$O$3),FALSE),0)</f>
        <v>0</v>
      </c>
      <c r="F12" s="40">
        <f>IFERROR(VLOOKUP($A$1,HighStaff97,MATCH($A12,High!$S$3:$AG$3),FALSE),0)</f>
        <v>0</v>
      </c>
      <c r="G12" s="40">
        <f>IFERROR(VLOOKUP($A$1,HighStaff21,MATCH($A12,High!$AK$3:$AY$3),FALSE),0)</f>
        <v>0</v>
      </c>
      <c r="H12" s="120">
        <f>VLOOKUP($A$1,'3121% SY'!$A:$M,'3121% SY'!M$1,FALSE)</f>
        <v>0.26870000000000005</v>
      </c>
      <c r="I12" s="73">
        <f>ROUND(G12*$H$12,3)</f>
        <v>0</v>
      </c>
      <c r="J12" s="40">
        <f>IFERROR(VLOOKUP($A$1,High_Prog01_Supp,2,FALSE),0)</f>
        <v>0</v>
      </c>
      <c r="K12" s="40">
        <f>IFERROR(VLOOKUP($A$1,High_Prog97_Supp,2,FALSE),0)</f>
        <v>0</v>
      </c>
      <c r="L12" s="40">
        <f>IFERROR(VLOOKUP($A$1,High_Prog21_Supp,2,FALSE),0)</f>
        <v>0</v>
      </c>
      <c r="M12" s="73">
        <f>ROUND(L12*$H$12,3)</f>
        <v>0</v>
      </c>
      <c r="N12" s="100">
        <f>E12+F12+I12+J12+K12+M12</f>
        <v>0</v>
      </c>
      <c r="O12" s="73">
        <v>0</v>
      </c>
      <c r="P12" s="101">
        <f>ROUND($D$11*O12/600,3)</f>
        <v>0</v>
      </c>
      <c r="R12" s="77"/>
    </row>
    <row r="13" spans="1:19" x14ac:dyDescent="0.25">
      <c r="A13" s="99" t="s">
        <v>736</v>
      </c>
      <c r="B13" s="22" t="s">
        <v>717</v>
      </c>
      <c r="C13" s="22" t="s">
        <v>729</v>
      </c>
      <c r="E13" s="40">
        <f>IFERROR(VLOOKUP($A$1,HighStaff01,MATCH($A13,High!$A$3:$O$3),FALSE),0)</f>
        <v>3.294</v>
      </c>
      <c r="F13" s="40">
        <f>IFERROR(VLOOKUP($A$1,HighStaff97,MATCH($A13,High!$S$3:$AG$3),FALSE),0)</f>
        <v>0</v>
      </c>
      <c r="G13" s="40">
        <f>IFERROR(VLOOKUP($A$1,HighStaff21,MATCH($A13,High!$AK$3:$AY$3),FALSE),0)</f>
        <v>0</v>
      </c>
      <c r="I13" s="72">
        <f t="shared" ref="I13:I25" si="0">ROUND(G13*$H$12,3)</f>
        <v>0</v>
      </c>
      <c r="J13" s="40">
        <f>IFERROR(VLOOKUP($A$1,High_Prog01_Supp,3,FALSE),0)</f>
        <v>0</v>
      </c>
      <c r="K13" s="40">
        <f>IFERROR(VLOOKUP($A$1,High_Prog97_Supp,3,FALSE),0)</f>
        <v>0</v>
      </c>
      <c r="L13" s="40">
        <f>IFERROR(VLOOKUP($A$1,High_Prog21_Supp,3,FALSE),0)</f>
        <v>0</v>
      </c>
      <c r="M13" s="73">
        <f t="shared" ref="M13:M25" si="1">ROUND(L13*$H$12,3)</f>
        <v>0</v>
      </c>
      <c r="N13" s="100">
        <f>E13+F13+I13+J13+K13+M13</f>
        <v>3.294</v>
      </c>
      <c r="O13" s="72">
        <v>3.0390000000000001</v>
      </c>
      <c r="P13" s="49">
        <f>ROUND($D$11*O13/600,3)</f>
        <v>3.367</v>
      </c>
      <c r="R13" s="77"/>
    </row>
    <row r="14" spans="1:19" x14ac:dyDescent="0.25">
      <c r="A14" s="99" t="s">
        <v>738</v>
      </c>
      <c r="B14" s="22" t="s">
        <v>717</v>
      </c>
      <c r="C14" s="22" t="s">
        <v>680</v>
      </c>
      <c r="E14" s="40">
        <f>IFERROR(VLOOKUP($A$1,HighStaff01,MATCH($A14,High!$A$3:$O$3),FALSE),0)</f>
        <v>0</v>
      </c>
      <c r="F14" s="40">
        <f>IFERROR(VLOOKUP($A$1,HighStaff97,MATCH($A14,High!$S$3:$AG$3),FALSE),0)</f>
        <v>0</v>
      </c>
      <c r="G14" s="40">
        <f>IFERROR(VLOOKUP($A$1,HighStaff21,MATCH($A14,High!$AK$3:$AY$3),FALSE),0)</f>
        <v>0</v>
      </c>
      <c r="I14" s="73">
        <f t="shared" si="0"/>
        <v>0</v>
      </c>
      <c r="J14" s="40">
        <f>IFERROR(VLOOKUP($A$1,High_Prog01_Supp,4,FALSE),0)</f>
        <v>0</v>
      </c>
      <c r="K14" s="40">
        <f>IFERROR(VLOOKUP($A$1,High_Prog97_Supp,4,FALSE),0)</f>
        <v>0</v>
      </c>
      <c r="L14" s="40">
        <f>IFERROR(VLOOKUP($A$1,High_Prog21_Supp,4,FALSE),0)</f>
        <v>0</v>
      </c>
      <c r="M14" s="73">
        <f t="shared" si="1"/>
        <v>0</v>
      </c>
      <c r="N14" s="100">
        <f t="shared" ref="N14:N25" si="2">E14+F14+I14+J14+K14+M14</f>
        <v>0</v>
      </c>
      <c r="O14" s="73">
        <v>0</v>
      </c>
      <c r="P14" s="101">
        <f t="shared" ref="P14:P25" si="3">ROUND($D$11*O14/600,3)</f>
        <v>0</v>
      </c>
      <c r="R14" s="77"/>
    </row>
    <row r="15" spans="1:19" x14ac:dyDescent="0.25">
      <c r="A15" s="99" t="s">
        <v>744</v>
      </c>
      <c r="B15" s="22" t="s">
        <v>717</v>
      </c>
      <c r="C15" s="22" t="s">
        <v>719</v>
      </c>
      <c r="E15" s="40">
        <f>IFERROR(VLOOKUP($A$1,HighStaff01,MATCH($A15,High!$A$3:$O$3),FALSE),0)</f>
        <v>0</v>
      </c>
      <c r="F15" s="40">
        <f>IFERROR(VLOOKUP($A$1,HighStaff97,MATCH($A15,High!$S$3:$AG$3),FALSE),0)</f>
        <v>0</v>
      </c>
      <c r="G15" s="40">
        <f>IFERROR(VLOOKUP($A$1,HighStaff21,MATCH($A15,High!$AK$3:$AY$3),FALSE),0)</f>
        <v>0</v>
      </c>
      <c r="I15" s="72">
        <f t="shared" si="0"/>
        <v>0</v>
      </c>
      <c r="J15" s="40">
        <f>IFERROR(VLOOKUP($A$1,High_Prog01_Supp,5,FALSE),0)</f>
        <v>0</v>
      </c>
      <c r="K15" s="40">
        <f>IFERROR(VLOOKUP($A$1,High_Prog97_Supp,5,FALSE),0)</f>
        <v>0</v>
      </c>
      <c r="L15" s="40">
        <f>IFERROR(VLOOKUP($A$1,High_Prog21_Supp,5,FALSE),0)</f>
        <v>0</v>
      </c>
      <c r="M15" s="73">
        <f t="shared" si="1"/>
        <v>0</v>
      </c>
      <c r="N15" s="100">
        <f t="shared" si="2"/>
        <v>0</v>
      </c>
      <c r="O15" s="72">
        <v>0.127</v>
      </c>
      <c r="P15" s="49">
        <f>ROUND($D$11*O15/600,3)</f>
        <v>0.14099999999999999</v>
      </c>
      <c r="R15" s="77"/>
    </row>
    <row r="16" spans="1:19" x14ac:dyDescent="0.25">
      <c r="A16" s="99" t="s">
        <v>739</v>
      </c>
      <c r="B16" s="22" t="s">
        <v>717</v>
      </c>
      <c r="C16" s="22" t="s">
        <v>718</v>
      </c>
      <c r="E16" s="40">
        <f>IFERROR(VLOOKUP($A$1,HighStaff01,MATCH($A16,High!$A$3:$O$3),FALSE),0)</f>
        <v>0</v>
      </c>
      <c r="F16" s="40">
        <f>IFERROR(VLOOKUP($A$1,HighStaff97,MATCH($A16,High!$S$3:$AG$3),FALSE),0)</f>
        <v>0</v>
      </c>
      <c r="G16" s="40">
        <f>IFERROR(VLOOKUP($A$1,HighStaff21,MATCH($A16,High!$AK$3:$AY$3),FALSE),0)</f>
        <v>0</v>
      </c>
      <c r="I16" s="73">
        <f t="shared" si="0"/>
        <v>0</v>
      </c>
      <c r="J16" s="40">
        <f>IFERROR(VLOOKUP($A$1,High_Prog01_Supp,6,FALSE),0)</f>
        <v>0</v>
      </c>
      <c r="K16" s="40">
        <f>IFERROR(VLOOKUP($A$1,High_Prog97_Supp,6,FALSE),0)</f>
        <v>0</v>
      </c>
      <c r="L16" s="40">
        <f>IFERROR(VLOOKUP($A$1,High_Prog21_Supp,6,FALSE),0)</f>
        <v>0</v>
      </c>
      <c r="M16" s="73">
        <f t="shared" si="1"/>
        <v>0</v>
      </c>
      <c r="N16" s="100">
        <f t="shared" si="2"/>
        <v>0</v>
      </c>
      <c r="O16" s="73">
        <v>0</v>
      </c>
      <c r="P16" s="101">
        <f t="shared" si="3"/>
        <v>0</v>
      </c>
      <c r="R16" s="77"/>
    </row>
    <row r="17" spans="1:21" x14ac:dyDescent="0.25">
      <c r="A17" s="99" t="s">
        <v>740</v>
      </c>
      <c r="B17" s="22" t="s">
        <v>717</v>
      </c>
      <c r="C17" s="22" t="s">
        <v>720</v>
      </c>
      <c r="E17" s="40">
        <f>IFERROR(VLOOKUP($A$1,HighStaff01,MATCH($A17,High!$A$3:$O$3),FALSE),0)</f>
        <v>0</v>
      </c>
      <c r="F17" s="40">
        <f>IFERROR(VLOOKUP($A$1,HighStaff97,MATCH($A17,High!$S$3:$AG$3),FALSE),0)</f>
        <v>0</v>
      </c>
      <c r="G17" s="40">
        <f>IFERROR(VLOOKUP($A$1,HighStaff21,MATCH($A17,High!$AK$3:$AY$3),FALSE),0)</f>
        <v>0.15</v>
      </c>
      <c r="I17" s="73">
        <f t="shared" si="0"/>
        <v>0.04</v>
      </c>
      <c r="J17" s="40">
        <f>IFERROR(VLOOKUP($A$1,High_Prog01_Supp,7,FALSE),0)</f>
        <v>0</v>
      </c>
      <c r="K17" s="40">
        <f>IFERROR(VLOOKUP($A$1,High_Prog97_Supp,7,FALSE),0)</f>
        <v>0</v>
      </c>
      <c r="L17" s="40">
        <f>IFERROR(VLOOKUP($A$1,High_Prog21_Supp,7,FALSE),0)</f>
        <v>0</v>
      </c>
      <c r="M17" s="73">
        <f t="shared" si="1"/>
        <v>0</v>
      </c>
      <c r="N17" s="100">
        <f t="shared" si="2"/>
        <v>0.04</v>
      </c>
      <c r="O17" s="73">
        <v>4.9000000000000002E-2</v>
      </c>
      <c r="P17" s="101">
        <f>ROUND($D$11*O17/600,3)</f>
        <v>5.3999999999999999E-2</v>
      </c>
      <c r="R17" s="77"/>
    </row>
    <row r="18" spans="1:21" x14ac:dyDescent="0.25">
      <c r="A18" s="99" t="s">
        <v>742</v>
      </c>
      <c r="B18" s="22" t="s">
        <v>717</v>
      </c>
      <c r="C18" s="22" t="s">
        <v>721</v>
      </c>
      <c r="E18" s="40">
        <f>IFERROR(VLOOKUP($A$1,HighStaff01,MATCH($A18,High!$A$3:$O$3),FALSE),0)</f>
        <v>0</v>
      </c>
      <c r="F18" s="40">
        <f>IFERROR(VLOOKUP($A$1,HighStaff97,MATCH($A18,High!$S$3:$AG$3),FALSE),0)</f>
        <v>0</v>
      </c>
      <c r="G18" s="40">
        <f>IFERROR(VLOOKUP($A$1,HighStaff21,MATCH($A18,High!$AK$3:$AY$3),FALSE),0)</f>
        <v>0</v>
      </c>
      <c r="I18" s="72">
        <f t="shared" si="0"/>
        <v>0</v>
      </c>
      <c r="J18" s="40">
        <f>IFERROR(VLOOKUP($A$1,High_Prog01_Supp,8,FALSE),0)</f>
        <v>0</v>
      </c>
      <c r="K18" s="40">
        <f>IFERROR(VLOOKUP($A$1,High_Prog97_Supp,8,FALSE),0)</f>
        <v>0</v>
      </c>
      <c r="L18" s="40">
        <f>IFERROR(VLOOKUP($A$1,High_Prog21_Supp,8,FALSE),0)</f>
        <v>0</v>
      </c>
      <c r="M18" s="73">
        <f t="shared" si="1"/>
        <v>0</v>
      </c>
      <c r="N18" s="100">
        <f t="shared" si="2"/>
        <v>0</v>
      </c>
      <c r="O18" s="72">
        <v>0.82399999999999995</v>
      </c>
      <c r="P18" s="49">
        <f t="shared" si="3"/>
        <v>0.91300000000000003</v>
      </c>
      <c r="R18" s="77"/>
    </row>
    <row r="19" spans="1:21" x14ac:dyDescent="0.25">
      <c r="A19" s="99" t="s">
        <v>743</v>
      </c>
      <c r="B19" s="22" t="s">
        <v>717</v>
      </c>
      <c r="C19" s="22" t="s">
        <v>722</v>
      </c>
      <c r="E19" s="40">
        <f>IFERROR(VLOOKUP($A$1,HighStaff01,MATCH($A19,High!$A$3:$O$3),FALSE),0)</f>
        <v>0</v>
      </c>
      <c r="F19" s="40">
        <f>IFERROR(VLOOKUP($A$1,HighStaff97,MATCH($A19,High!$S$3:$AG$3),FALSE),0)</f>
        <v>0</v>
      </c>
      <c r="G19" s="40">
        <f>IFERROR(VLOOKUP($A$1,HighStaff21,MATCH($A19,High!$AK$3:$AY$3),FALSE),0)</f>
        <v>0</v>
      </c>
      <c r="I19" s="73">
        <f t="shared" si="0"/>
        <v>0</v>
      </c>
      <c r="J19" s="40">
        <f>IFERROR(VLOOKUP($A$1,High_Prog01_Supp,9,FALSE),0)</f>
        <v>0</v>
      </c>
      <c r="K19" s="40">
        <f>IFERROR(VLOOKUP($A$1,High_Prog97_Supp,9,FALSE),0)</f>
        <v>0</v>
      </c>
      <c r="L19" s="40">
        <f>IFERROR(VLOOKUP($A$1,High_Prog21_Supp,9,FALSE),0)</f>
        <v>0</v>
      </c>
      <c r="M19" s="73">
        <f t="shared" si="1"/>
        <v>0</v>
      </c>
      <c r="N19" s="100">
        <f t="shared" si="2"/>
        <v>0</v>
      </c>
      <c r="O19" s="73">
        <v>0</v>
      </c>
      <c r="P19" s="101">
        <f t="shared" si="3"/>
        <v>0</v>
      </c>
      <c r="R19" s="77"/>
    </row>
    <row r="20" spans="1:21" x14ac:dyDescent="0.25">
      <c r="A20" s="99" t="s">
        <v>746</v>
      </c>
      <c r="B20" s="22" t="s">
        <v>717</v>
      </c>
      <c r="C20" s="22" t="s">
        <v>681</v>
      </c>
      <c r="E20" s="40">
        <f>IFERROR(VLOOKUP($A$1,HighStaff01,MATCH($A20,High!$A$3:$O$3),FALSE),0)</f>
        <v>0</v>
      </c>
      <c r="F20" s="40">
        <f>IFERROR(VLOOKUP($A$1,HighStaff97,MATCH($A20,High!$S$3:$AG$3),FALSE),0)</f>
        <v>0</v>
      </c>
      <c r="G20" s="40">
        <f>IFERROR(VLOOKUP($A$1,HighStaff21,MATCH($A20,High!$AK$3:$AY$3),FALSE),0)</f>
        <v>0</v>
      </c>
      <c r="I20" s="73">
        <f t="shared" si="0"/>
        <v>0</v>
      </c>
      <c r="J20" s="40">
        <f>IFERROR(VLOOKUP($A$1,High_Prog01_Supp,10,FALSE),0)</f>
        <v>0</v>
      </c>
      <c r="K20" s="40">
        <f>IFERROR(VLOOKUP($A$1,High_Prog97_Supp,10,FALSE),0)</f>
        <v>0</v>
      </c>
      <c r="L20" s="40">
        <f>IFERROR(VLOOKUP($A$1,High_Prog21_Supp,10,FALSE),0)</f>
        <v>0</v>
      </c>
      <c r="M20" s="73">
        <f t="shared" si="1"/>
        <v>0</v>
      </c>
      <c r="N20" s="100">
        <f t="shared" si="2"/>
        <v>0</v>
      </c>
      <c r="O20" s="73">
        <v>0</v>
      </c>
      <c r="P20" s="101">
        <f t="shared" si="3"/>
        <v>0</v>
      </c>
      <c r="R20" s="77"/>
    </row>
    <row r="21" spans="1:21" x14ac:dyDescent="0.25">
      <c r="A21" s="99" t="s">
        <v>745</v>
      </c>
      <c r="B21" s="22" t="s">
        <v>717</v>
      </c>
      <c r="C21" s="22" t="s">
        <v>723</v>
      </c>
      <c r="E21" s="40">
        <f>IFERROR(VLOOKUP($A$1,HighStaff01,MATCH($A21,High!$A$3:$O$3),FALSE),0)</f>
        <v>0</v>
      </c>
      <c r="F21" s="40">
        <f>IFERROR(VLOOKUP($A$1,HighStaff97,MATCH($A21,High!$S$3:$AG$3),FALSE),0)</f>
        <v>0</v>
      </c>
      <c r="G21" s="40">
        <f>IFERROR(VLOOKUP($A$1,HighStaff21,MATCH($A21,High!$AK$3:$AY$3),FALSE),0)</f>
        <v>0</v>
      </c>
      <c r="I21" s="73">
        <f t="shared" si="0"/>
        <v>0</v>
      </c>
      <c r="J21" s="40">
        <f>IFERROR(VLOOKUP($A$1,High_Prog01_Supp,11,FALSE),0)</f>
        <v>0</v>
      </c>
      <c r="K21" s="40">
        <f>IFERROR(VLOOKUP($A$1,High_Prog97_Supp,11,FALSE),0)</f>
        <v>0</v>
      </c>
      <c r="L21" s="40">
        <f>IFERROR(VLOOKUP($A$1,High_Prog21_Supp,11,FALSE),0)</f>
        <v>0</v>
      </c>
      <c r="M21" s="73">
        <f t="shared" si="1"/>
        <v>0</v>
      </c>
      <c r="N21" s="100">
        <f t="shared" si="2"/>
        <v>0</v>
      </c>
      <c r="O21" s="73">
        <v>0</v>
      </c>
      <c r="P21" s="101">
        <f t="shared" si="3"/>
        <v>0</v>
      </c>
      <c r="R21" s="77"/>
    </row>
    <row r="22" spans="1:21" x14ac:dyDescent="0.25">
      <c r="A22">
        <v>96</v>
      </c>
      <c r="B22" s="99" t="s">
        <v>737</v>
      </c>
      <c r="C22" s="22" t="s">
        <v>727</v>
      </c>
      <c r="E22" s="40">
        <f>IFERROR(VLOOKUP($A$1,HighStaff01,MATCH($B22,High!$A$3:$O$3),FALSE),0)</f>
        <v>0</v>
      </c>
      <c r="F22" s="40">
        <f>IFERROR(VLOOKUP($A$1,HighStaff97,MATCH($B22,High!$S$3:$AG$3),FALSE),0)</f>
        <v>0</v>
      </c>
      <c r="G22" s="40">
        <f>IFERROR(VLOOKUP($A$1,HighStaff21,MATCH($B22,High!$AK$3:$AY$3),FALSE),0)</f>
        <v>0</v>
      </c>
      <c r="I22" s="73">
        <f t="shared" si="0"/>
        <v>0</v>
      </c>
      <c r="J22" s="40">
        <f>IFERROR(VLOOKUP($A$1,High_Prog01_Supp,12,FALSE),0)</f>
        <v>0</v>
      </c>
      <c r="K22" s="40">
        <f>IFERROR(VLOOKUP($A$1,High_Prog97_Supp,12,FALSE),0)</f>
        <v>0</v>
      </c>
      <c r="L22" s="40">
        <f>IFERROR(VLOOKUP($A$1,High_Prog21_Supp,12,FALSE),0)</f>
        <v>0</v>
      </c>
      <c r="M22" s="73">
        <f t="shared" si="1"/>
        <v>0</v>
      </c>
      <c r="N22" s="100">
        <f t="shared" si="2"/>
        <v>0</v>
      </c>
      <c r="O22" s="73">
        <v>0</v>
      </c>
      <c r="P22" s="101">
        <f t="shared" si="3"/>
        <v>0</v>
      </c>
      <c r="R22" s="77"/>
    </row>
    <row r="23" spans="1:21" x14ac:dyDescent="0.25">
      <c r="A23" s="85" t="s">
        <v>728</v>
      </c>
      <c r="B23" s="99" t="s">
        <v>732</v>
      </c>
      <c r="C23" s="22" t="s">
        <v>1158</v>
      </c>
      <c r="E23" s="40">
        <f>IFERROR(VLOOKUP($A$1,HighStaff01,MATCH($B23,High!$A$3:$O$3),FALSE),0)</f>
        <v>0</v>
      </c>
      <c r="F23" s="40">
        <f>IFERROR(VLOOKUP($A$1,HighStaff97,MATCH($B23,High!$S$3:$AG$3),FALSE),0)</f>
        <v>0</v>
      </c>
      <c r="G23" s="40">
        <f>IFERROR(VLOOKUP($A$1,HighStaff21,MATCH($B23,High!$AK$3:$AY$3),FALSE),0)</f>
        <v>0</v>
      </c>
      <c r="I23" s="73">
        <f t="shared" si="0"/>
        <v>0</v>
      </c>
      <c r="J23" s="40">
        <f>IFERROR(VLOOKUP($A$1,High_Prog01_Supp,13,FALSE),0)</f>
        <v>0</v>
      </c>
      <c r="K23" s="40">
        <f>IFERROR(VLOOKUP($A$1,High_Prog97_Supp,13,FALSE),0)</f>
        <v>0</v>
      </c>
      <c r="L23" s="40">
        <f>IFERROR(VLOOKUP($A$1,High_Prog21_Supp,13,FALSE),0)</f>
        <v>0</v>
      </c>
      <c r="M23" s="73">
        <f t="shared" si="1"/>
        <v>0</v>
      </c>
      <c r="N23" s="100">
        <f t="shared" si="2"/>
        <v>0</v>
      </c>
      <c r="O23" s="73">
        <v>0.14099999999999999</v>
      </c>
      <c r="P23" s="101">
        <f t="shared" ref="P23:P24" si="4">ROUND($D$11*O23/600,3)</f>
        <v>0.156</v>
      </c>
      <c r="R23" s="77"/>
    </row>
    <row r="24" spans="1:21" x14ac:dyDescent="0.25">
      <c r="A24" s="85" t="s">
        <v>728</v>
      </c>
      <c r="B24" s="99" t="s">
        <v>733</v>
      </c>
      <c r="C24" s="22" t="s">
        <v>730</v>
      </c>
      <c r="E24" s="40">
        <f>IFERROR(VLOOKUP($A$1,HighStaff01,MATCH($B24,High!$A$3:$O$3),FALSE),0)</f>
        <v>2.57</v>
      </c>
      <c r="F24" s="40">
        <f>IFERROR(VLOOKUP($A$1,HighStaff97,MATCH($B24,High!$S$3:$AG$3),FALSE),0)</f>
        <v>0</v>
      </c>
      <c r="G24" s="40">
        <f>IFERROR(VLOOKUP($A$1,HighStaff21,MATCH($B24,High!$AK$3:$AY$3),FALSE),0)</f>
        <v>3.6259999999999999</v>
      </c>
      <c r="I24" s="73">
        <f t="shared" ref="I24" si="5">ROUND(G24*$H$12,3)</f>
        <v>0.97399999999999998</v>
      </c>
      <c r="J24" s="40">
        <f>IFERROR(VLOOKUP($A$1,High_Prog01_Supp,14,FALSE),0)</f>
        <v>0</v>
      </c>
      <c r="K24" s="40">
        <f>IFERROR(VLOOKUP($A$1,High_Prog97_Supp,14,FALSE),0)</f>
        <v>0</v>
      </c>
      <c r="L24" s="40">
        <f>IFERROR(VLOOKUP($A$1,High_Prog21_Supp,14,FALSE),0)</f>
        <v>0</v>
      </c>
      <c r="M24" s="73">
        <f t="shared" ref="M24" si="6">ROUND(L24*$H$12,3)</f>
        <v>0</v>
      </c>
      <c r="N24" s="100">
        <f t="shared" ref="N24" si="7">E24+F24+I24+J24+K24+M24</f>
        <v>3.5439999999999996</v>
      </c>
      <c r="O24" s="73">
        <v>0</v>
      </c>
      <c r="P24" s="101">
        <f t="shared" si="4"/>
        <v>0</v>
      </c>
      <c r="R24" s="77"/>
    </row>
    <row r="25" spans="1:21" x14ac:dyDescent="0.25">
      <c r="A25" s="85" t="s">
        <v>728</v>
      </c>
      <c r="B25" s="242" t="s">
        <v>1159</v>
      </c>
      <c r="C25" s="22" t="s">
        <v>1058</v>
      </c>
      <c r="E25" s="40">
        <f>IFERROR(VLOOKUP($A$1,HighStaff01,MATCH($B25,High!$A$3:$O$3),FALSE),0)</f>
        <v>0</v>
      </c>
      <c r="F25" s="40">
        <f>IFERROR(VLOOKUP($A$1,HighStaff97,MATCH($B25,High!$S$3:$AG$3),FALSE),0)</f>
        <v>0</v>
      </c>
      <c r="G25" s="40">
        <f>IFERROR(VLOOKUP($A$1,HighStaff21,MATCH($B25,High!$AK$3:$AY$3),FALSE),0)</f>
        <v>0</v>
      </c>
      <c r="I25" s="73">
        <f t="shared" si="0"/>
        <v>0</v>
      </c>
      <c r="J25" s="40">
        <f>IFERROR(VLOOKUP($A$1,High_Prog01_Supp,15,FALSE),0)</f>
        <v>0</v>
      </c>
      <c r="K25" s="40">
        <f>IFERROR(VLOOKUP($A$1,High_Prog97_Supp,15,FALSE),0)</f>
        <v>0</v>
      </c>
      <c r="L25" s="40">
        <f>IFERROR(VLOOKUP($A$1,High_Prog21_Supp,15,FALSE),0)</f>
        <v>0</v>
      </c>
      <c r="M25" s="73">
        <f t="shared" si="1"/>
        <v>0</v>
      </c>
      <c r="N25" s="100">
        <f t="shared" si="2"/>
        <v>0</v>
      </c>
      <c r="O25" s="73">
        <v>0</v>
      </c>
      <c r="P25" s="101">
        <f t="shared" si="3"/>
        <v>0</v>
      </c>
      <c r="R25" s="77"/>
    </row>
    <row r="26" spans="1:21" x14ac:dyDescent="0.25">
      <c r="E26" s="33">
        <f>SUM(E12:E25)</f>
        <v>5.8639999999999999</v>
      </c>
      <c r="F26" s="33">
        <f t="shared" ref="F26:G26" si="8">SUM(F12:F25)</f>
        <v>0</v>
      </c>
      <c r="G26" s="33">
        <f t="shared" si="8"/>
        <v>3.7759999999999998</v>
      </c>
      <c r="I26" s="33">
        <f t="shared" ref="I26:P26" si="9">SUM(I12:I25)</f>
        <v>1.014</v>
      </c>
      <c r="J26" s="33">
        <f t="shared" ref="J26:L26" si="10">SUM(J12:J25)</f>
        <v>0</v>
      </c>
      <c r="K26" s="33">
        <f t="shared" si="10"/>
        <v>0</v>
      </c>
      <c r="L26" s="33">
        <f t="shared" si="10"/>
        <v>0</v>
      </c>
      <c r="M26" s="33">
        <f t="shared" si="9"/>
        <v>0</v>
      </c>
      <c r="N26" s="92">
        <f t="shared" si="9"/>
        <v>6.8780000000000001</v>
      </c>
      <c r="O26" s="54">
        <f>SUM(O12:O25)</f>
        <v>4.1800000000000006</v>
      </c>
      <c r="P26" s="105">
        <f t="shared" si="9"/>
        <v>4.6309999999999993</v>
      </c>
      <c r="Q26" s="25"/>
    </row>
    <row r="27" spans="1:21" x14ac:dyDescent="0.25">
      <c r="C27" s="22"/>
      <c r="E27" s="33"/>
      <c r="F27" s="33"/>
      <c r="I27" s="33"/>
      <c r="J27" s="33"/>
      <c r="K27" s="33"/>
      <c r="L27" s="33"/>
      <c r="M27" s="33"/>
      <c r="N27" s="33"/>
      <c r="R27" s="25"/>
    </row>
    <row r="28" spans="1:21" x14ac:dyDescent="0.25">
      <c r="C28" s="22"/>
      <c r="D28" s="25"/>
      <c r="O28" s="22" t="s">
        <v>709</v>
      </c>
      <c r="P28" s="46" t="s">
        <v>696</v>
      </c>
      <c r="Q28" s="25"/>
      <c r="R28" s="25"/>
      <c r="S28" s="25"/>
    </row>
    <row r="29" spans="1:21" x14ac:dyDescent="0.25">
      <c r="D29" s="25"/>
      <c r="N29" t="s">
        <v>692</v>
      </c>
      <c r="O29" s="50">
        <f>ROUND($D$11*O13/600,3)+ROUND($D$11*O18/600,3)+ROUND($D$11*O15/600,3)+ROUND($D$11*O17/600,3)</f>
        <v>4.4750000000000005</v>
      </c>
      <c r="P29" s="93">
        <f>ROUND(CIS_Inc*(VLOOKUP($A$1,'K3 District Data as of Jan 2025'!$A$3:$O$322,MATCH("Reg",'K3 District Data as of Jan 2025'!$2:$2,0),FALSE)+VLOOKUP($A$1,'K3 District Data as of Jan 2025'!$A$3:$O$322,MATCH("Exp",'K3 District Data as of Jan 2025'!$2:$2,0),FALSE))*O29,2)+ROUND((O29*CIS_Ins_Inc),2)+ROUND((CIS_Base*VLOOKUP($A$1,'K3 District Data as of Jan 2025'!$A$3:$O$322,MATCH("Reg base",'K3 District Data as of Jan 2025'!$2:$2,0),FALSE)*O29)*CIS_Ben_Base,2)+ROUND((ROUND(CIS_Inc*(VLOOKUP($A$1,'K3 District Data as of Jan 2025'!$A$3:$O$322,MATCH("Reg",'K3 District Data as of Jan 2025'!$2:$2,0),FALSE)+VLOOKUP($A$1,'K3 District Data as of Jan 2025'!$A$3:$O$322,MATCH("Exp",'K3 District Data as of Jan 2025'!$2:$2,0),FALSE))*O29,2)-ROUND(CIS_Base*VLOOKUP($A$1,'K3 District Data as of Jan 2025'!$A$3:$O$322,MATCH("Reg base",'K3 District Data as of Jan 2025'!$2:$2,0),FALSE)*O29,2))*CIS_Ben_Inc+((CIS_Inc*(VLOOKUP($A$1,'K3 District Data as of Jan 2025'!$A$3:$O$322,MATCH("Reg",'K3 District Data as of Jan 2025'!$2:$2,0),FALSE)+VLOOKUP($A$1,'K3 District Data as of Jan 2025'!$A$3:$O$322,MATCH("Exp",'K3 District Data as of Jan 2025'!$2:$2,0),FALSE))*O29)/180)*3+(((CIS_Inc*(VLOOKUP($A$1,'K3 District Data as of Jan 2025'!$A$3:$O$322,MATCH("Reg",'K3 District Data as of Jan 2025'!$2:$2,0),FALSE)+VLOOKUP($A$1,'K3 District Data as of Jan 2025'!$A$3:$O$322,MATCH("Exp",'K3 District Data as of Jan 2025'!$2:$2,0),FALSE))*O29)/180)*3)*CIS_Ben_Inc,2)</f>
        <v>484728.86</v>
      </c>
      <c r="Q29" s="48"/>
      <c r="R29" s="25"/>
      <c r="S29" s="25"/>
      <c r="T29" s="25"/>
      <c r="U29" s="25"/>
    </row>
    <row r="30" spans="1:21" x14ac:dyDescent="0.25">
      <c r="N30" t="s">
        <v>693</v>
      </c>
      <c r="O30" s="51">
        <f>ROUND($D$11*O22/600,3)+ROUND($D$11*O23/600,3)</f>
        <v>0.156</v>
      </c>
      <c r="P30" s="94">
        <f>ROUND(CLS_Inc*VLOOKUP($A$1,'K3 District Data as of Jan 2025'!$A$3:$O$322,MATCH("Reg base",'K3 District Data as of Jan 2025'!$2:$2,0),FALSE)*O30,2)+ROUND((O30*CLS_Ins_Inc),2)+ROUND((CLS_Base*VLOOKUP($A$1,'K3 District Data as of Jan 2025'!$A$3:$O$322,MATCH("Reg base",'K3 District Data as of Jan 2025'!$2:$2,0),FALSE)*O30)*CLS_Ben_Base,2)+ROUND((ROUND(CLS_Inc*VLOOKUP($A$1,'K3 District Data as of Jan 2025'!$A$3:$O$322,MATCH("Reg base",'K3 District Data as of Jan 2025'!$2:$2,0),FALSE)*O30,2)-ROUND(CLS_Base*VLOOKUP($A$1,'K3 District Data as of Jan 2025'!$A$3:$O$322,MATCH("Reg base",'K3 District Data as of Jan 2025'!$2:$2,0),FALSE)*O30,2))*CLS_Ben_Inc,2)</f>
        <v>13780.13</v>
      </c>
      <c r="Q30" s="48"/>
      <c r="R30" s="25"/>
      <c r="S30" s="25"/>
      <c r="T30" s="23"/>
      <c r="U30" s="25"/>
    </row>
    <row r="31" spans="1:21" x14ac:dyDescent="0.25">
      <c r="N31" s="2" t="s">
        <v>699</v>
      </c>
      <c r="O31" s="52">
        <f>SUM(O29:O30)</f>
        <v>4.6310000000000002</v>
      </c>
      <c r="P31" s="53">
        <f>SUM(P29:P30)</f>
        <v>498508.99</v>
      </c>
      <c r="Q31" s="25"/>
      <c r="R31" s="25"/>
      <c r="S31" s="25"/>
      <c r="T31" s="23"/>
      <c r="U31" s="25"/>
    </row>
    <row r="32" spans="1:21" x14ac:dyDescent="0.25">
      <c r="O32" s="22"/>
      <c r="P32" s="37"/>
      <c r="Q32" s="25"/>
      <c r="R32" s="25"/>
      <c r="S32" s="25"/>
      <c r="T32" s="23"/>
      <c r="U32" s="25"/>
    </row>
    <row r="33" spans="4:21" x14ac:dyDescent="0.25">
      <c r="N33" t="s">
        <v>692</v>
      </c>
      <c r="O33" s="60">
        <f>SUM(N12:N21)</f>
        <v>3.3340000000000001</v>
      </c>
      <c r="P33" s="95">
        <f>ROUND(CIS_Inc*(VLOOKUP($A$1,'K3 District Data as of Jan 2025'!$A$3:$O$322,MATCH("Reg",'K3 District Data as of Jan 2025'!$2:$2,0),FALSE)+VLOOKUP($A$1,'K3 District Data as of Jan 2025'!$A$3:$O$322,MATCH("Exp",'K3 District Data as of Jan 2025'!$2:$2,0),FALSE))*O33,2)+ROUND((O33*CIS_Ins_Inc),2)+ROUND((CIS_Base*VLOOKUP($A$1,'K3 District Data as of Jan 2025'!$A$3:$O$322,MATCH("Reg base",'K3 District Data as of Jan 2025'!$2:$2,0),FALSE)*O33)*CIS_Ben_Base,2)+ROUND((ROUND(CIS_Inc*(VLOOKUP($A$1,'K3 District Data as of Jan 2025'!$A$3:$O$322,MATCH("Reg",'K3 District Data as of Jan 2025'!$2:$2,0),FALSE)+VLOOKUP($A$1,'K3 District Data as of Jan 2025'!$A$3:$O$322,MATCH("Exp",'K3 District Data as of Jan 2025'!$2:$2,0),FALSE))*O33,2)-ROUND(CIS_Base*VLOOKUP($A$1,'K3 District Data as of Jan 2025'!$A$3:$O$322,MATCH("Reg base",'K3 District Data as of Jan 2025'!$2:$2,0),FALSE)*O33,2))*CIS_Ben_Inc+((CIS_Inc*(VLOOKUP($A$1,'K3 District Data as of Jan 2025'!$A$3:$O$322,MATCH("Reg",'K3 District Data as of Jan 2025'!$2:$2,0),FALSE)+VLOOKUP($A$1,'K3 District Data as of Jan 2025'!$A$3:$O$322,MATCH("Exp",'K3 District Data as of Jan 2025'!$2:$2,0),FALSE))*O33)/180)*3+(((CIS_Inc*(VLOOKUP($A$1,'K3 District Data as of Jan 2025'!$A$3:$O$322,MATCH("Reg",'K3 District Data as of Jan 2025'!$2:$2,0),FALSE)+VLOOKUP($A$1,'K3 District Data as of Jan 2025'!$A$3:$O$322,MATCH("Exp",'K3 District Data as of Jan 2025'!$2:$2,0),FALSE))*O33)/180)*3)*CIS_Ben_Inc,2)</f>
        <v>361136.54</v>
      </c>
      <c r="Q33" s="48"/>
      <c r="R33" s="25"/>
      <c r="S33" s="25"/>
      <c r="T33" s="25"/>
    </row>
    <row r="34" spans="4:21" x14ac:dyDescent="0.25">
      <c r="N34" t="s">
        <v>693</v>
      </c>
      <c r="O34" s="61">
        <f>SUM(N22:N25)</f>
        <v>3.5439999999999996</v>
      </c>
      <c r="P34" s="96">
        <f>ROUND(CLS_Inc*VLOOKUP($A$1,'K3 District Data as of Jan 2025'!$A$3:$O$322,MATCH("Reg base",'K3 District Data as of Jan 2025'!$2:$2,0),FALSE)*O34,2)+ROUND((O34*CLS_Ins_Inc),2)+ROUND((CLS_Base*VLOOKUP($A$1,'K3 District Data as of Jan 2025'!$A$3:$O$322,MATCH("Reg base",'K3 District Data as of Jan 2025'!$2:$2,0),FALSE)*O34)*CLS_Ben_Base,2)+ROUND((ROUND(CLS_Inc*VLOOKUP($A$1,'K3 District Data as of Jan 2025'!$A$3:$O$322,MATCH("Reg base",'K3 District Data as of Jan 2025'!$2:$2,0),FALSE)*O34,2)-ROUND(CLS_Base*VLOOKUP($A$1,'K3 District Data as of Jan 2025'!$A$3:$O$322,MATCH("Reg base",'K3 District Data as of Jan 2025'!$2:$2,0),FALSE)*O34,2))*CLS_Ben_Inc,2)</f>
        <v>313056.42</v>
      </c>
      <c r="Q34" s="48"/>
      <c r="R34" s="23"/>
      <c r="S34" s="23"/>
      <c r="T34" s="25"/>
    </row>
    <row r="35" spans="4:21" x14ac:dyDescent="0.25">
      <c r="N35" s="2" t="s">
        <v>698</v>
      </c>
      <c r="O35" s="62">
        <f>SUM(O33:O34)</f>
        <v>6.8780000000000001</v>
      </c>
      <c r="P35" s="63">
        <f>SUM(P33:P34)</f>
        <v>674192.96</v>
      </c>
      <c r="Q35" s="25"/>
      <c r="R35" s="25"/>
      <c r="S35" s="25"/>
      <c r="T35" s="23"/>
      <c r="U35" s="25"/>
    </row>
    <row r="36" spans="4:21" x14ac:dyDescent="0.25">
      <c r="O36" s="22"/>
      <c r="Q36" s="25"/>
      <c r="R36" s="23"/>
      <c r="S36" s="23"/>
      <c r="T36" s="25"/>
    </row>
    <row r="37" spans="4:21" x14ac:dyDescent="0.25">
      <c r="N37" t="s">
        <v>692</v>
      </c>
      <c r="O37" s="67">
        <f>O33-O29</f>
        <v>-1.1410000000000005</v>
      </c>
      <c r="P37" s="64">
        <f>P33-P29</f>
        <v>-123592.32000000001</v>
      </c>
      <c r="Q37" s="25"/>
      <c r="R37" s="23"/>
    </row>
    <row r="38" spans="4:21" x14ac:dyDescent="0.25">
      <c r="N38" t="s">
        <v>693</v>
      </c>
      <c r="O38" s="68">
        <f>O34-O30</f>
        <v>3.3879999999999995</v>
      </c>
      <c r="P38" s="65">
        <f>P34-P30</f>
        <v>299276.28999999998</v>
      </c>
      <c r="Q38" s="25"/>
      <c r="R38" s="23"/>
      <c r="U38" s="25"/>
    </row>
    <row r="39" spans="4:21" x14ac:dyDescent="0.25">
      <c r="N39" s="22" t="s">
        <v>701</v>
      </c>
      <c r="O39" s="69">
        <f>SUM(O37:O38)</f>
        <v>2.246999999999999</v>
      </c>
      <c r="P39" s="66">
        <f>SUM(P37:P38)</f>
        <v>175683.96999999997</v>
      </c>
      <c r="Q39" s="25"/>
    </row>
    <row r="40" spans="4:21" x14ac:dyDescent="0.25">
      <c r="D40" t="str">
        <f>'2024-25 K3Class Size Compliance'!B34</f>
        <v>* 2024-25 Salary and Benefit Values used in calculation</v>
      </c>
      <c r="O40" s="25"/>
      <c r="P40" s="23"/>
    </row>
    <row r="44" spans="4:21" x14ac:dyDescent="0.25">
      <c r="O44" s="25"/>
    </row>
    <row r="46" spans="4:21" x14ac:dyDescent="0.25">
      <c r="O46" s="25"/>
    </row>
    <row r="47" spans="4:21" x14ac:dyDescent="0.25">
      <c r="O47" s="25"/>
    </row>
    <row r="48" spans="4:21" x14ac:dyDescent="0.25">
      <c r="O48" s="35"/>
    </row>
    <row r="49" spans="15:15" x14ac:dyDescent="0.25">
      <c r="O49" s="25"/>
    </row>
    <row r="50" spans="15:15" x14ac:dyDescent="0.25">
      <c r="O50" s="23"/>
    </row>
  </sheetData>
  <sheetProtection formatCells="0" formatColumns="0" formatRows="0"/>
  <mergeCells count="1">
    <mergeCell ref="C1:O1"/>
  </mergeCells>
  <phoneticPr fontId="24" type="noConversion"/>
  <pageMargins left="0.25" right="0.25" top="0.75" bottom="0.75" header="0.3" footer="0.3"/>
  <pageSetup scale="65" orientation="landscape" r:id="rId1"/>
  <colBreaks count="1" manualBreakCount="1">
    <brk id="1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P326"/>
  <sheetViews>
    <sheetView workbookViewId="0">
      <pane xSplit="2" ySplit="2" topLeftCell="C54" activePane="bottomRight" state="frozen"/>
      <selection activeCell="I12" sqref="I12"/>
      <selection pane="topRight" activeCell="I12" sqref="I12"/>
      <selection pane="bottomLeft" activeCell="I12" sqref="I12"/>
      <selection pane="bottomRight" activeCell="I12" sqref="I12"/>
    </sheetView>
  </sheetViews>
  <sheetFormatPr defaultRowHeight="15" x14ac:dyDescent="0.25"/>
  <cols>
    <col min="1" max="1" width="9.42578125" bestFit="1" customWidth="1"/>
    <col min="2" max="2" width="47.5703125" bestFit="1" customWidth="1"/>
    <col min="3" max="3" width="16.5703125" bestFit="1" customWidth="1"/>
    <col min="4" max="4" width="15.85546875" bestFit="1" customWidth="1"/>
    <col min="5" max="5" width="14.42578125" bestFit="1" customWidth="1"/>
    <col min="6" max="6" width="13.7109375" bestFit="1" customWidth="1"/>
    <col min="7" max="7" width="14.42578125" bestFit="1" customWidth="1"/>
    <col min="8" max="10" width="16.140625" bestFit="1" customWidth="1"/>
    <col min="11" max="13" width="7" style="45" customWidth="1"/>
    <col min="14" max="18" width="9.42578125" style="283" customWidth="1"/>
    <col min="19" max="24" width="11.28515625" style="283" customWidth="1"/>
    <col min="25" max="25" width="9.28515625" style="281" customWidth="1"/>
    <col min="26" max="26" width="9.28515625" style="27" customWidth="1"/>
    <col min="27" max="27" width="10.5703125" style="27" customWidth="1"/>
    <col min="28" max="28" width="13.7109375" style="27" customWidth="1"/>
    <col min="29" max="29" width="7" style="28" customWidth="1"/>
    <col min="30" max="31" width="15.5703125" customWidth="1"/>
    <col min="32" max="32" width="17.7109375" bestFit="1" customWidth="1"/>
    <col min="33" max="33" width="15" bestFit="1" customWidth="1"/>
    <col min="34" max="34" width="17.140625" bestFit="1" customWidth="1"/>
    <col min="35" max="35" width="13.42578125" customWidth="1"/>
    <col min="36" max="36" width="14.42578125" customWidth="1"/>
    <col min="37" max="37" width="13.7109375" bestFit="1" customWidth="1"/>
    <col min="38" max="38" width="12.28515625" bestFit="1" customWidth="1"/>
    <col min="39" max="39" width="14.7109375" customWidth="1"/>
  </cols>
  <sheetData>
    <row r="1" spans="1:42" ht="30" x14ac:dyDescent="0.25">
      <c r="A1" s="21">
        <v>1</v>
      </c>
      <c r="B1" s="21">
        <v>2</v>
      </c>
      <c r="C1" s="21">
        <v>3</v>
      </c>
      <c r="D1" s="21">
        <v>4</v>
      </c>
      <c r="E1" s="21">
        <v>5</v>
      </c>
      <c r="F1" s="21">
        <v>6</v>
      </c>
      <c r="G1" s="21">
        <v>7</v>
      </c>
      <c r="H1" s="21">
        <v>8</v>
      </c>
      <c r="I1" s="21">
        <v>9</v>
      </c>
      <c r="J1" s="21">
        <v>10</v>
      </c>
      <c r="K1" s="21">
        <f t="shared" ref="K1:M1" si="0">COLUMN(K1)</f>
        <v>11</v>
      </c>
      <c r="L1" s="21">
        <f t="shared" si="0"/>
        <v>12</v>
      </c>
      <c r="M1" s="21">
        <f t="shared" si="0"/>
        <v>13</v>
      </c>
      <c r="N1" s="274" t="s">
        <v>684</v>
      </c>
      <c r="O1" s="274" t="s">
        <v>685</v>
      </c>
      <c r="P1" s="274" t="s">
        <v>686</v>
      </c>
      <c r="Q1" s="274" t="s">
        <v>687</v>
      </c>
      <c r="R1" s="275" t="s">
        <v>649</v>
      </c>
      <c r="S1" s="276" t="s">
        <v>694</v>
      </c>
      <c r="T1" s="276" t="s">
        <v>695</v>
      </c>
      <c r="U1" s="276" t="s">
        <v>688</v>
      </c>
      <c r="V1" s="276" t="s">
        <v>689</v>
      </c>
      <c r="W1" s="276" t="s">
        <v>690</v>
      </c>
      <c r="X1" s="276" t="s">
        <v>691</v>
      </c>
      <c r="Y1" s="277">
        <f t="shared" ref="Y1:AM1" si="1">COLUMN(Y1)</f>
        <v>25</v>
      </c>
      <c r="Z1" s="21">
        <f t="shared" si="1"/>
        <v>26</v>
      </c>
      <c r="AA1" s="21">
        <f t="shared" si="1"/>
        <v>27</v>
      </c>
      <c r="AB1" s="21">
        <f t="shared" si="1"/>
        <v>28</v>
      </c>
      <c r="AC1" s="21">
        <f t="shared" si="1"/>
        <v>29</v>
      </c>
      <c r="AD1" s="21">
        <f t="shared" si="1"/>
        <v>30</v>
      </c>
      <c r="AE1" s="21">
        <f t="shared" si="1"/>
        <v>31</v>
      </c>
      <c r="AF1" s="21">
        <f t="shared" si="1"/>
        <v>32</v>
      </c>
      <c r="AG1" s="21">
        <f t="shared" si="1"/>
        <v>33</v>
      </c>
      <c r="AH1" s="21">
        <f t="shared" si="1"/>
        <v>34</v>
      </c>
      <c r="AI1" s="21">
        <f t="shared" si="1"/>
        <v>35</v>
      </c>
      <c r="AJ1" s="21">
        <f t="shared" si="1"/>
        <v>36</v>
      </c>
      <c r="AK1" s="21">
        <f t="shared" si="1"/>
        <v>37</v>
      </c>
      <c r="AL1" s="21">
        <f t="shared" si="1"/>
        <v>38</v>
      </c>
      <c r="AM1" s="21">
        <f t="shared" si="1"/>
        <v>39</v>
      </c>
    </row>
    <row r="2" spans="1:42" ht="32.25" customHeight="1" x14ac:dyDescent="0.25">
      <c r="A2" t="s">
        <v>600</v>
      </c>
      <c r="B2" t="s">
        <v>607</v>
      </c>
      <c r="C2" s="24" t="s">
        <v>638</v>
      </c>
      <c r="D2" s="24" t="s">
        <v>1574</v>
      </c>
      <c r="E2" s="24" t="s">
        <v>636</v>
      </c>
      <c r="F2" s="24" t="s">
        <v>1154</v>
      </c>
      <c r="G2" s="24" t="s">
        <v>637</v>
      </c>
      <c r="H2" s="256" t="s">
        <v>1155</v>
      </c>
      <c r="I2" s="256" t="s">
        <v>1156</v>
      </c>
      <c r="J2" s="256" t="s">
        <v>1157</v>
      </c>
      <c r="K2" s="44" t="s">
        <v>646</v>
      </c>
      <c r="L2" s="44" t="s">
        <v>782</v>
      </c>
      <c r="M2" s="44" t="s">
        <v>781</v>
      </c>
      <c r="N2" s="278">
        <v>72728</v>
      </c>
      <c r="O2" s="278">
        <v>78209</v>
      </c>
      <c r="P2" s="278">
        <v>52173</v>
      </c>
      <c r="Q2" s="278">
        <v>56105</v>
      </c>
      <c r="R2" s="278">
        <f>ROUND(1026*12,2)</f>
        <v>12312</v>
      </c>
      <c r="S2" s="279">
        <f>ROUND(1178*12*1.02,2)</f>
        <v>14418.72</v>
      </c>
      <c r="T2" s="279">
        <f>ROUND(1178*12*1.43,2)</f>
        <v>20214.48</v>
      </c>
      <c r="U2" s="280">
        <v>0.18149999999999999</v>
      </c>
      <c r="V2" s="280">
        <v>0.17510000000000001</v>
      </c>
      <c r="W2" s="281">
        <v>0.21659999999999999</v>
      </c>
      <c r="X2" s="281">
        <v>0.18160000000000001</v>
      </c>
      <c r="Z2" s="29" t="s">
        <v>641</v>
      </c>
      <c r="AA2" s="29" t="s">
        <v>5</v>
      </c>
      <c r="AB2" s="29" t="s">
        <v>4</v>
      </c>
      <c r="AC2" s="28">
        <v>17</v>
      </c>
      <c r="AD2" s="29" t="s">
        <v>1591</v>
      </c>
      <c r="AE2" s="29" t="s">
        <v>1592</v>
      </c>
      <c r="AF2" s="29" t="s">
        <v>648</v>
      </c>
      <c r="AG2" s="29" t="s">
        <v>642</v>
      </c>
      <c r="AH2" s="29" t="s">
        <v>649</v>
      </c>
      <c r="AI2" s="29" t="s">
        <v>650</v>
      </c>
      <c r="AJ2" s="47" t="s">
        <v>688</v>
      </c>
      <c r="AK2" s="47" t="s">
        <v>689</v>
      </c>
      <c r="AL2" s="47" t="s">
        <v>778</v>
      </c>
      <c r="AM2" s="29" t="s">
        <v>606</v>
      </c>
    </row>
    <row r="3" spans="1:42" x14ac:dyDescent="0.25">
      <c r="A3" t="s">
        <v>7</v>
      </c>
      <c r="B3" t="s">
        <v>304</v>
      </c>
      <c r="C3" s="25">
        <v>14.4</v>
      </c>
      <c r="D3" s="25">
        <v>0</v>
      </c>
      <c r="E3" s="25">
        <v>2.335</v>
      </c>
      <c r="F3" s="25">
        <v>0</v>
      </c>
      <c r="G3" s="25">
        <v>0.246</v>
      </c>
      <c r="H3" s="25">
        <v>0</v>
      </c>
      <c r="I3" s="25">
        <v>0</v>
      </c>
      <c r="J3" s="25">
        <v>0</v>
      </c>
      <c r="K3" s="192">
        <v>1</v>
      </c>
      <c r="L3" s="192">
        <v>1</v>
      </c>
      <c r="M3" s="192">
        <v>0</v>
      </c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82">
        <f>VLOOKUP(A3,'3121% SY'!$A$3:$M$600,13,FALSE)</f>
        <v>0.1179</v>
      </c>
      <c r="Z3" s="30">
        <f>ROUND(Y3*G3,3)+ROUND(J3*Y3,3)</f>
        <v>2.9000000000000001E-2</v>
      </c>
      <c r="AA3" s="31">
        <f t="shared" ref="AA3:AA66" si="2">SUM(Z3,E3,F3,H3,I3)</f>
        <v>2.3639999999999999</v>
      </c>
      <c r="AB3" s="32">
        <f>IFERROR(ROUND(($C3+$D3)/AA3,2),0)</f>
        <v>6.09</v>
      </c>
      <c r="AC3" s="28">
        <f>IF(OR(SUM(C3:D3)=0,SUM(E3:G3)=0),25.23,IF(AB3&gt;$AC$2,IF(AB3&gt;25.23,25.23,AB3),$AC$2))</f>
        <v>17</v>
      </c>
      <c r="AD3" s="33">
        <f t="shared" ref="AD3:AD66" si="3">ROUND($C3/$AC3*1.155,3)</f>
        <v>0.97799999999999998</v>
      </c>
      <c r="AE3" s="33">
        <f t="shared" ref="AE3:AE66" si="4">ROUND($D3/$AC3*1.155,3)</f>
        <v>0</v>
      </c>
      <c r="AF3" s="25">
        <f>ROUND(($AD3+$AE3)*CIS_Base*K3,2)</f>
        <v>71127.98</v>
      </c>
      <c r="AG3" s="25">
        <f>ROUND(($AD3+$AE3)*CIS_Inc*(L3+M3),2)-AF3</f>
        <v>5360.4199999999983</v>
      </c>
      <c r="AH3" s="25">
        <f t="shared" ref="AH3:AH66" si="5">ROUND(($AD3+$AE3)*Ins_Base,2)</f>
        <v>12041.14</v>
      </c>
      <c r="AI3" s="25">
        <f t="shared" ref="AI3:AI66" si="6">ROUND(($AD3+$AE3)*CIS_Ins_Inc,2)-AH3</f>
        <v>2060.3700000000008</v>
      </c>
      <c r="AJ3" s="25">
        <f t="shared" ref="AJ3:AJ66" si="7">ROUND(AF3*CIS_Ben_Base,2)</f>
        <v>12909.73</v>
      </c>
      <c r="AK3" s="25">
        <f t="shared" ref="AK3:AK66" si="8">ROUND(AG3*CIS_Ben_Inc,2)</f>
        <v>938.61</v>
      </c>
      <c r="AL3" s="25">
        <f>ROUND((($AD3+$AE3)*CIS_Inc*(L3+M3)/180)*3+((($AD3+$AE3)*CIS_Inc*(L3+M3)/180)*3)*CIS_Ben_Inc,2)</f>
        <v>1498.03</v>
      </c>
      <c r="AM3" s="23">
        <f t="shared" ref="AM3:AM66" si="9">SUM(AF3:AL3)</f>
        <v>105936.27999999998</v>
      </c>
      <c r="AO3" s="23"/>
      <c r="AP3" s="23"/>
    </row>
    <row r="4" spans="1:42" x14ac:dyDescent="0.25">
      <c r="A4" t="s">
        <v>8</v>
      </c>
      <c r="B4" t="s">
        <v>305</v>
      </c>
      <c r="C4" s="25">
        <v>10</v>
      </c>
      <c r="D4" s="25">
        <v>0</v>
      </c>
      <c r="E4" s="25">
        <v>1</v>
      </c>
      <c r="F4" s="25">
        <v>0</v>
      </c>
      <c r="G4" s="25">
        <v>0</v>
      </c>
      <c r="H4" s="25">
        <v>0</v>
      </c>
      <c r="I4" s="25">
        <v>0</v>
      </c>
      <c r="J4" s="25">
        <v>0</v>
      </c>
      <c r="K4" s="192">
        <v>1</v>
      </c>
      <c r="L4" s="192">
        <v>1</v>
      </c>
      <c r="M4" s="192">
        <v>0</v>
      </c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82">
        <f>VLOOKUP(A4,'3121% SY'!$A$3:$M$600,13,FALSE)</f>
        <v>0</v>
      </c>
      <c r="Z4" s="30">
        <f t="shared" ref="Z4:Z67" si="10">ROUND(Y4*G4,3)+ROUND(J4*Y4,3)</f>
        <v>0</v>
      </c>
      <c r="AA4" s="31">
        <f t="shared" si="2"/>
        <v>1</v>
      </c>
      <c r="AB4" s="32">
        <f t="shared" ref="AB4:AB66" si="11">IFERROR(ROUND(($C4+$D4)/AA4,2),0)</f>
        <v>10</v>
      </c>
      <c r="AC4" s="28">
        <f t="shared" ref="AC4:AC67" si="12">IF(OR(SUM(C4:D4)=0,SUM(E4:G4)=0),25.23,IF(AB4&gt;$AC$2,IF(AB4&gt;25.23,25.23,AB4),$AC$2))</f>
        <v>17</v>
      </c>
      <c r="AD4" s="33">
        <f t="shared" si="3"/>
        <v>0.67900000000000005</v>
      </c>
      <c r="AE4" s="33">
        <f t="shared" si="4"/>
        <v>0</v>
      </c>
      <c r="AF4" s="25">
        <f t="shared" ref="AF4:AF66" si="13">ROUND(($AD4+$AE4)*CIS_Base*K4,2)</f>
        <v>49382.31</v>
      </c>
      <c r="AG4" s="25">
        <f t="shared" ref="AG4:AG66" si="14">ROUND(($AD4+$AE4)*CIS_Inc*(L4+M4),2)-AF4</f>
        <v>3721.6000000000058</v>
      </c>
      <c r="AH4" s="25">
        <f t="shared" si="5"/>
        <v>8359.85</v>
      </c>
      <c r="AI4" s="25">
        <f t="shared" si="6"/>
        <v>1430.4599999999991</v>
      </c>
      <c r="AJ4" s="25">
        <f t="shared" si="7"/>
        <v>8962.89</v>
      </c>
      <c r="AK4" s="25">
        <f t="shared" si="8"/>
        <v>651.65</v>
      </c>
      <c r="AL4" s="25">
        <f t="shared" ref="AL4:AL66" si="15">ROUND((($AD4+$AE4)*CIS_Inc*(L4+M4)/180)*3+((($AD4+$AE4)*CIS_Inc*(L4+M4)/180)*3)*CIS_Ben_Inc,2)</f>
        <v>1040.04</v>
      </c>
      <c r="AM4" s="23">
        <f t="shared" si="9"/>
        <v>73548.799999999988</v>
      </c>
      <c r="AO4" s="23"/>
      <c r="AP4" s="23"/>
    </row>
    <row r="5" spans="1:42" x14ac:dyDescent="0.25">
      <c r="A5" t="s">
        <v>9</v>
      </c>
      <c r="B5" t="s">
        <v>306</v>
      </c>
      <c r="C5" s="25">
        <v>1290.9000000000001</v>
      </c>
      <c r="D5" s="25">
        <v>64.67</v>
      </c>
      <c r="E5" s="25">
        <v>71.052000000000007</v>
      </c>
      <c r="F5" s="25">
        <v>3.3420000000000001</v>
      </c>
      <c r="G5" s="25">
        <v>5.9189999999999996</v>
      </c>
      <c r="H5" s="25">
        <v>0</v>
      </c>
      <c r="I5" s="25">
        <v>0</v>
      </c>
      <c r="J5" s="25">
        <v>0</v>
      </c>
      <c r="K5" s="192">
        <v>1</v>
      </c>
      <c r="L5" s="192">
        <v>1</v>
      </c>
      <c r="M5" s="192">
        <v>0</v>
      </c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82">
        <f>VLOOKUP(A5,'3121% SY'!$A$3:$M$600,13,FALSE)</f>
        <v>0.24880000000000002</v>
      </c>
      <c r="Z5" s="30">
        <f t="shared" si="10"/>
        <v>1.4730000000000001</v>
      </c>
      <c r="AA5" s="31">
        <f t="shared" si="2"/>
        <v>75.867000000000004</v>
      </c>
      <c r="AB5" s="32">
        <f t="shared" si="11"/>
        <v>17.87</v>
      </c>
      <c r="AC5" s="28">
        <f t="shared" si="12"/>
        <v>17.87</v>
      </c>
      <c r="AD5" s="33">
        <f t="shared" si="3"/>
        <v>83.435000000000002</v>
      </c>
      <c r="AE5" s="33">
        <f t="shared" si="4"/>
        <v>4.18</v>
      </c>
      <c r="AF5" s="25">
        <f t="shared" si="13"/>
        <v>6372063.7199999997</v>
      </c>
      <c r="AG5" s="25">
        <f t="shared" si="14"/>
        <v>480217.8200000003</v>
      </c>
      <c r="AH5" s="25">
        <f t="shared" si="5"/>
        <v>1078715.8799999999</v>
      </c>
      <c r="AI5" s="25">
        <f t="shared" si="6"/>
        <v>184580.27000000002</v>
      </c>
      <c r="AJ5" s="25">
        <f t="shared" si="7"/>
        <v>1156529.57</v>
      </c>
      <c r="AK5" s="25">
        <f t="shared" si="8"/>
        <v>84086.14</v>
      </c>
      <c r="AL5" s="25">
        <f t="shared" si="15"/>
        <v>134201.93</v>
      </c>
      <c r="AM5" s="23">
        <f t="shared" si="9"/>
        <v>9490395.3300000001</v>
      </c>
      <c r="AO5" s="23"/>
      <c r="AP5" s="23"/>
    </row>
    <row r="6" spans="1:42" x14ac:dyDescent="0.25">
      <c r="A6" t="s">
        <v>10</v>
      </c>
      <c r="B6" t="s">
        <v>307</v>
      </c>
      <c r="C6" s="25">
        <v>47.4</v>
      </c>
      <c r="D6" s="25">
        <v>2.4</v>
      </c>
      <c r="E6" s="25">
        <v>4.1159999999999997</v>
      </c>
      <c r="F6" s="25">
        <v>0.57999999999999996</v>
      </c>
      <c r="G6" s="25">
        <v>0.32800000000000001</v>
      </c>
      <c r="H6" s="25">
        <v>0</v>
      </c>
      <c r="I6" s="25">
        <v>0</v>
      </c>
      <c r="J6" s="25">
        <v>0</v>
      </c>
      <c r="K6" s="192">
        <v>1</v>
      </c>
      <c r="L6" s="192">
        <v>1</v>
      </c>
      <c r="M6" s="192">
        <v>0</v>
      </c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82">
        <f>VLOOKUP(A6,'3121% SY'!$A$3:$M$600,13,FALSE)</f>
        <v>0.14000000000000001</v>
      </c>
      <c r="Z6" s="30">
        <f t="shared" si="10"/>
        <v>4.5999999999999999E-2</v>
      </c>
      <c r="AA6" s="31">
        <f t="shared" si="2"/>
        <v>4.742</v>
      </c>
      <c r="AB6" s="32">
        <f t="shared" si="11"/>
        <v>10.5</v>
      </c>
      <c r="AC6" s="28">
        <f t="shared" si="12"/>
        <v>17</v>
      </c>
      <c r="AD6" s="33">
        <f t="shared" si="3"/>
        <v>3.22</v>
      </c>
      <c r="AE6" s="33">
        <f t="shared" si="4"/>
        <v>0.16300000000000001</v>
      </c>
      <c r="AF6" s="25">
        <f t="shared" si="13"/>
        <v>246038.82</v>
      </c>
      <c r="AG6" s="25">
        <f t="shared" si="14"/>
        <v>18542.229999999981</v>
      </c>
      <c r="AH6" s="25">
        <f t="shared" si="5"/>
        <v>41651.5</v>
      </c>
      <c r="AI6" s="25">
        <f t="shared" si="6"/>
        <v>7127.0299999999988</v>
      </c>
      <c r="AJ6" s="25">
        <f t="shared" si="7"/>
        <v>44656.05</v>
      </c>
      <c r="AK6" s="25">
        <f t="shared" si="8"/>
        <v>3246.74</v>
      </c>
      <c r="AL6" s="25">
        <f t="shared" si="15"/>
        <v>5181.82</v>
      </c>
      <c r="AM6" s="23">
        <f t="shared" si="9"/>
        <v>366444.18999999994</v>
      </c>
      <c r="AO6" s="23"/>
      <c r="AP6" s="23"/>
    </row>
    <row r="7" spans="1:42" x14ac:dyDescent="0.25">
      <c r="A7" t="s">
        <v>11</v>
      </c>
      <c r="B7" t="s">
        <v>308</v>
      </c>
      <c r="C7" s="25">
        <v>101.8</v>
      </c>
      <c r="D7" s="25">
        <v>11.6</v>
      </c>
      <c r="E7" s="25">
        <v>5.6710000000000003</v>
      </c>
      <c r="F7" s="25">
        <v>0.8</v>
      </c>
      <c r="G7" s="25">
        <v>0</v>
      </c>
      <c r="H7" s="25">
        <v>0</v>
      </c>
      <c r="I7" s="25">
        <v>0</v>
      </c>
      <c r="J7" s="25">
        <v>0</v>
      </c>
      <c r="K7" s="192">
        <v>1</v>
      </c>
      <c r="L7" s="192">
        <v>1</v>
      </c>
      <c r="M7" s="192">
        <v>4.0000000000000036E-2</v>
      </c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82">
        <f>VLOOKUP(A7,'3121% SY'!$A$3:$M$600,13,FALSE)</f>
        <v>0.15029999999999999</v>
      </c>
      <c r="Z7" s="30">
        <f t="shared" si="10"/>
        <v>0</v>
      </c>
      <c r="AA7" s="31">
        <f t="shared" si="2"/>
        <v>6.4710000000000001</v>
      </c>
      <c r="AB7" s="32">
        <f t="shared" si="11"/>
        <v>17.52</v>
      </c>
      <c r="AC7" s="28">
        <f t="shared" si="12"/>
        <v>17.52</v>
      </c>
      <c r="AD7" s="33">
        <f t="shared" si="3"/>
        <v>6.7110000000000003</v>
      </c>
      <c r="AE7" s="33">
        <f t="shared" si="4"/>
        <v>0.76500000000000001</v>
      </c>
      <c r="AF7" s="25">
        <f t="shared" si="13"/>
        <v>543714.53</v>
      </c>
      <c r="AG7" s="25">
        <f t="shared" si="14"/>
        <v>64363.569999999949</v>
      </c>
      <c r="AH7" s="25">
        <f t="shared" si="5"/>
        <v>92044.51</v>
      </c>
      <c r="AI7" s="25">
        <f t="shared" si="6"/>
        <v>15749.840000000011</v>
      </c>
      <c r="AJ7" s="25">
        <f t="shared" si="7"/>
        <v>98684.19</v>
      </c>
      <c r="AK7" s="25">
        <f t="shared" si="8"/>
        <v>11270.06</v>
      </c>
      <c r="AL7" s="25">
        <f t="shared" si="15"/>
        <v>11909.21</v>
      </c>
      <c r="AM7" s="23">
        <f t="shared" si="9"/>
        <v>837735.90999999992</v>
      </c>
      <c r="AO7" s="23"/>
      <c r="AP7" s="23"/>
    </row>
    <row r="8" spans="1:42" x14ac:dyDescent="0.25">
      <c r="A8" t="s">
        <v>12</v>
      </c>
      <c r="B8" t="s">
        <v>309</v>
      </c>
      <c r="C8" s="25">
        <v>599.13</v>
      </c>
      <c r="D8" s="25">
        <v>53.6</v>
      </c>
      <c r="E8" s="25">
        <v>38.021000000000001</v>
      </c>
      <c r="F8" s="25">
        <v>2</v>
      </c>
      <c r="G8" s="25">
        <v>2.9660000000000002</v>
      </c>
      <c r="H8" s="25">
        <v>0</v>
      </c>
      <c r="I8" s="25">
        <v>0</v>
      </c>
      <c r="J8" s="25">
        <v>0</v>
      </c>
      <c r="K8" s="192">
        <v>1</v>
      </c>
      <c r="L8" s="192">
        <v>1</v>
      </c>
      <c r="M8" s="192">
        <v>0</v>
      </c>
      <c r="N8" s="278"/>
      <c r="O8" s="278"/>
      <c r="P8" s="278"/>
      <c r="Q8" s="278"/>
      <c r="R8" s="278"/>
      <c r="S8" s="278"/>
      <c r="T8" s="278"/>
      <c r="U8" s="278"/>
      <c r="V8" s="278"/>
      <c r="W8" s="278"/>
      <c r="X8" s="278"/>
      <c r="Y8" s="282">
        <f>VLOOKUP(A8,'3121% SY'!$A$3:$M$600,13,FALSE)</f>
        <v>0.22460000000000002</v>
      </c>
      <c r="Z8" s="30">
        <f t="shared" si="10"/>
        <v>0.66600000000000004</v>
      </c>
      <c r="AA8" s="31">
        <f t="shared" si="2"/>
        <v>40.686999999999998</v>
      </c>
      <c r="AB8" s="32">
        <f t="shared" si="11"/>
        <v>16.04</v>
      </c>
      <c r="AC8" s="28">
        <f t="shared" si="12"/>
        <v>17</v>
      </c>
      <c r="AD8" s="33">
        <f t="shared" si="3"/>
        <v>40.706000000000003</v>
      </c>
      <c r="AE8" s="33">
        <f t="shared" si="4"/>
        <v>3.6419999999999999</v>
      </c>
      <c r="AF8" s="25">
        <f t="shared" si="13"/>
        <v>3225341.34</v>
      </c>
      <c r="AG8" s="25">
        <f t="shared" si="14"/>
        <v>243071.39000000013</v>
      </c>
      <c r="AH8" s="25">
        <f t="shared" si="5"/>
        <v>546012.57999999996</v>
      </c>
      <c r="AI8" s="25">
        <f t="shared" si="6"/>
        <v>93428.810000000056</v>
      </c>
      <c r="AJ8" s="25">
        <f t="shared" si="7"/>
        <v>585399.44999999995</v>
      </c>
      <c r="AK8" s="25">
        <f t="shared" si="8"/>
        <v>42561.8</v>
      </c>
      <c r="AL8" s="25">
        <f t="shared" si="15"/>
        <v>67928.86</v>
      </c>
      <c r="AM8" s="23">
        <f t="shared" si="9"/>
        <v>4803744.2300000004</v>
      </c>
      <c r="AO8" s="23"/>
      <c r="AP8" s="23"/>
    </row>
    <row r="9" spans="1:42" x14ac:dyDescent="0.25">
      <c r="A9" t="s">
        <v>13</v>
      </c>
      <c r="B9" t="s">
        <v>310</v>
      </c>
      <c r="C9" s="25">
        <v>180.54</v>
      </c>
      <c r="D9" s="25">
        <v>33.729999999999997</v>
      </c>
      <c r="E9" s="25">
        <v>9.82</v>
      </c>
      <c r="F9" s="25">
        <v>1.6</v>
      </c>
      <c r="G9" s="25">
        <v>0.54</v>
      </c>
      <c r="H9" s="25">
        <v>0</v>
      </c>
      <c r="I9" s="25">
        <v>0</v>
      </c>
      <c r="J9" s="25">
        <v>0</v>
      </c>
      <c r="K9" s="192">
        <v>1</v>
      </c>
      <c r="L9" s="192">
        <v>1</v>
      </c>
      <c r="M9" s="192">
        <v>0</v>
      </c>
      <c r="N9" s="278"/>
      <c r="O9" s="278"/>
      <c r="P9" s="278"/>
      <c r="Q9" s="278"/>
      <c r="R9" s="278"/>
      <c r="S9" s="278"/>
      <c r="T9" s="278"/>
      <c r="U9" s="278"/>
      <c r="V9" s="278"/>
      <c r="W9" s="278"/>
      <c r="X9" s="278"/>
      <c r="Y9" s="282">
        <f>VLOOKUP(A9,'3121% SY'!$A$3:$M$600,13,FALSE)</f>
        <v>0.21660000000000001</v>
      </c>
      <c r="Z9" s="30">
        <f t="shared" si="10"/>
        <v>0.11700000000000001</v>
      </c>
      <c r="AA9" s="31">
        <f t="shared" si="2"/>
        <v>11.537000000000001</v>
      </c>
      <c r="AB9" s="32">
        <f t="shared" si="11"/>
        <v>18.57</v>
      </c>
      <c r="AC9" s="28">
        <f t="shared" si="12"/>
        <v>18.57</v>
      </c>
      <c r="AD9" s="33">
        <f t="shared" si="3"/>
        <v>11.228999999999999</v>
      </c>
      <c r="AE9" s="33">
        <f t="shared" si="4"/>
        <v>2.0979999999999999</v>
      </c>
      <c r="AF9" s="25">
        <f t="shared" si="13"/>
        <v>969246.06</v>
      </c>
      <c r="AG9" s="25">
        <f t="shared" si="14"/>
        <v>73045.279999999912</v>
      </c>
      <c r="AH9" s="25">
        <f t="shared" si="5"/>
        <v>164082.01999999999</v>
      </c>
      <c r="AI9" s="25">
        <f t="shared" si="6"/>
        <v>28076.260000000009</v>
      </c>
      <c r="AJ9" s="25">
        <f t="shared" si="7"/>
        <v>175918.16</v>
      </c>
      <c r="AK9" s="25">
        <f t="shared" si="8"/>
        <v>12790.23</v>
      </c>
      <c r="AL9" s="25">
        <f t="shared" si="15"/>
        <v>20413.28</v>
      </c>
      <c r="AM9" s="23">
        <f t="shared" si="9"/>
        <v>1443571.2899999998</v>
      </c>
      <c r="AO9" s="23"/>
      <c r="AP9" s="23"/>
    </row>
    <row r="10" spans="1:42" x14ac:dyDescent="0.25">
      <c r="A10" t="s">
        <v>14</v>
      </c>
      <c r="B10" t="s">
        <v>311</v>
      </c>
      <c r="C10" s="25">
        <v>5166.8999999999996</v>
      </c>
      <c r="D10" s="25">
        <v>28.8</v>
      </c>
      <c r="E10" s="25">
        <v>306.77999999999997</v>
      </c>
      <c r="F10" s="25">
        <v>1.8660000000000001</v>
      </c>
      <c r="G10" s="25">
        <v>28.95</v>
      </c>
      <c r="H10" s="25">
        <v>0</v>
      </c>
      <c r="I10" s="25">
        <v>0</v>
      </c>
      <c r="J10" s="25">
        <v>0</v>
      </c>
      <c r="K10" s="192">
        <v>1</v>
      </c>
      <c r="L10" s="192">
        <v>1</v>
      </c>
      <c r="M10" s="192">
        <v>0</v>
      </c>
      <c r="N10" s="278"/>
      <c r="O10" s="278"/>
      <c r="P10" s="278"/>
      <c r="Q10" s="278"/>
      <c r="R10" s="278"/>
      <c r="S10" s="278"/>
      <c r="T10" s="278"/>
      <c r="U10" s="278"/>
      <c r="V10" s="278"/>
      <c r="W10" s="278"/>
      <c r="X10" s="278"/>
      <c r="Y10" s="282">
        <f>VLOOKUP(A10,'3121% SY'!$A$3:$M$600,13,FALSE)</f>
        <v>0.30079999999999996</v>
      </c>
      <c r="Z10" s="30">
        <f t="shared" si="10"/>
        <v>8.7080000000000002</v>
      </c>
      <c r="AA10" s="31">
        <f t="shared" si="2"/>
        <v>317.35399999999998</v>
      </c>
      <c r="AB10" s="32">
        <f t="shared" si="11"/>
        <v>16.37</v>
      </c>
      <c r="AC10" s="28">
        <f t="shared" si="12"/>
        <v>17</v>
      </c>
      <c r="AD10" s="33">
        <f t="shared" si="3"/>
        <v>351.04500000000002</v>
      </c>
      <c r="AE10" s="33">
        <f t="shared" si="4"/>
        <v>1.9570000000000001</v>
      </c>
      <c r="AF10" s="25">
        <f t="shared" si="13"/>
        <v>25673129.460000001</v>
      </c>
      <c r="AG10" s="25">
        <f t="shared" si="14"/>
        <v>1934803.9600000009</v>
      </c>
      <c r="AH10" s="25">
        <f t="shared" si="5"/>
        <v>4346160.62</v>
      </c>
      <c r="AI10" s="25">
        <f t="shared" si="6"/>
        <v>743676.37999999989</v>
      </c>
      <c r="AJ10" s="25">
        <f t="shared" si="7"/>
        <v>4659673</v>
      </c>
      <c r="AK10" s="25">
        <f t="shared" si="8"/>
        <v>338784.17</v>
      </c>
      <c r="AL10" s="25">
        <f t="shared" si="15"/>
        <v>540701.38</v>
      </c>
      <c r="AM10" s="23">
        <f t="shared" si="9"/>
        <v>38236928.970000006</v>
      </c>
      <c r="AO10" s="23"/>
      <c r="AP10" s="23"/>
    </row>
    <row r="11" spans="1:42" x14ac:dyDescent="0.25">
      <c r="A11" t="s">
        <v>15</v>
      </c>
      <c r="B11" t="s">
        <v>312</v>
      </c>
      <c r="C11" s="25">
        <v>60</v>
      </c>
      <c r="D11" s="25">
        <v>0</v>
      </c>
      <c r="E11" s="25">
        <v>3.93</v>
      </c>
      <c r="F11" s="25">
        <v>0</v>
      </c>
      <c r="G11" s="25">
        <v>0.4</v>
      </c>
      <c r="H11" s="25">
        <v>0</v>
      </c>
      <c r="I11" s="25">
        <v>0</v>
      </c>
      <c r="J11" s="25">
        <v>0</v>
      </c>
      <c r="K11" s="192">
        <v>1</v>
      </c>
      <c r="L11" s="192">
        <v>1</v>
      </c>
      <c r="M11" s="192">
        <v>0</v>
      </c>
      <c r="N11" s="278"/>
      <c r="O11" s="278"/>
      <c r="P11" s="278"/>
      <c r="Q11" s="278"/>
      <c r="R11" s="278"/>
      <c r="S11" s="278"/>
      <c r="T11" s="278"/>
      <c r="U11" s="278"/>
      <c r="V11" s="278"/>
      <c r="W11" s="278"/>
      <c r="X11" s="278"/>
      <c r="Y11" s="282">
        <f>VLOOKUP(A11,'3121% SY'!$A$3:$M$600,13,FALSE)</f>
        <v>8.4200000000000053E-2</v>
      </c>
      <c r="Z11" s="30">
        <f t="shared" si="10"/>
        <v>3.4000000000000002E-2</v>
      </c>
      <c r="AA11" s="31">
        <f t="shared" si="2"/>
        <v>3.964</v>
      </c>
      <c r="AB11" s="32">
        <f t="shared" si="11"/>
        <v>15.14</v>
      </c>
      <c r="AC11" s="28">
        <f t="shared" si="12"/>
        <v>17</v>
      </c>
      <c r="AD11" s="33">
        <f t="shared" si="3"/>
        <v>4.0759999999999996</v>
      </c>
      <c r="AE11" s="33">
        <f t="shared" si="4"/>
        <v>0</v>
      </c>
      <c r="AF11" s="25">
        <f t="shared" si="13"/>
        <v>296439.33</v>
      </c>
      <c r="AG11" s="25">
        <f t="shared" si="14"/>
        <v>22340.549999999988</v>
      </c>
      <c r="AH11" s="25">
        <f t="shared" si="5"/>
        <v>50183.71</v>
      </c>
      <c r="AI11" s="25">
        <f t="shared" si="6"/>
        <v>8586.989999999998</v>
      </c>
      <c r="AJ11" s="25">
        <f t="shared" si="7"/>
        <v>53803.74</v>
      </c>
      <c r="AK11" s="25">
        <f t="shared" si="8"/>
        <v>3911.83</v>
      </c>
      <c r="AL11" s="25">
        <f t="shared" si="15"/>
        <v>6243.3</v>
      </c>
      <c r="AM11" s="23">
        <f t="shared" si="9"/>
        <v>441509.45</v>
      </c>
      <c r="AO11" s="23"/>
      <c r="AP11" s="23"/>
    </row>
    <row r="12" spans="1:42" x14ac:dyDescent="0.25">
      <c r="A12" t="s">
        <v>16</v>
      </c>
      <c r="B12" t="s">
        <v>313</v>
      </c>
      <c r="C12" s="25">
        <v>380.2</v>
      </c>
      <c r="D12" s="25">
        <v>11.8</v>
      </c>
      <c r="E12" s="25">
        <v>23.157</v>
      </c>
      <c r="F12" s="25">
        <v>0</v>
      </c>
      <c r="G12" s="25">
        <v>1.522</v>
      </c>
      <c r="H12" s="25">
        <v>0</v>
      </c>
      <c r="I12" s="25">
        <v>0</v>
      </c>
      <c r="J12" s="25">
        <v>0</v>
      </c>
      <c r="K12" s="192">
        <v>1</v>
      </c>
      <c r="L12" s="192">
        <v>1</v>
      </c>
      <c r="M12" s="192">
        <v>4.0000000000000036E-2</v>
      </c>
      <c r="N12" s="278"/>
      <c r="O12" s="278"/>
      <c r="P12" s="278"/>
      <c r="Q12" s="278"/>
      <c r="R12" s="278"/>
      <c r="S12" s="278"/>
      <c r="T12" s="278"/>
      <c r="U12" s="278"/>
      <c r="V12" s="278"/>
      <c r="W12" s="278"/>
      <c r="X12" s="278"/>
      <c r="Y12" s="282">
        <f>VLOOKUP(A12,'3121% SY'!$A$3:$M$600,13,FALSE)</f>
        <v>0.21009999999999995</v>
      </c>
      <c r="Z12" s="30">
        <f t="shared" si="10"/>
        <v>0.32</v>
      </c>
      <c r="AA12" s="31">
        <f t="shared" si="2"/>
        <v>23.477</v>
      </c>
      <c r="AB12" s="32">
        <f t="shared" si="11"/>
        <v>16.7</v>
      </c>
      <c r="AC12" s="28">
        <f t="shared" si="12"/>
        <v>17</v>
      </c>
      <c r="AD12" s="33">
        <f t="shared" si="3"/>
        <v>25.831</v>
      </c>
      <c r="AE12" s="33">
        <f t="shared" si="4"/>
        <v>0.80200000000000005</v>
      </c>
      <c r="AF12" s="25">
        <f t="shared" si="13"/>
        <v>1936964.82</v>
      </c>
      <c r="AG12" s="25">
        <f t="shared" si="14"/>
        <v>229293.09000000008</v>
      </c>
      <c r="AH12" s="25">
        <f t="shared" si="5"/>
        <v>327905.5</v>
      </c>
      <c r="AI12" s="25">
        <f t="shared" si="6"/>
        <v>56108.270000000019</v>
      </c>
      <c r="AJ12" s="25">
        <f t="shared" si="7"/>
        <v>351559.11</v>
      </c>
      <c r="AK12" s="25">
        <f t="shared" si="8"/>
        <v>40149.22</v>
      </c>
      <c r="AL12" s="25">
        <f t="shared" si="15"/>
        <v>42426.16</v>
      </c>
      <c r="AM12" s="23">
        <f t="shared" si="9"/>
        <v>2984406.1700000004</v>
      </c>
      <c r="AO12" s="23"/>
      <c r="AP12" s="23"/>
    </row>
    <row r="13" spans="1:42" x14ac:dyDescent="0.25">
      <c r="A13" t="s">
        <v>17</v>
      </c>
      <c r="B13" t="s">
        <v>314</v>
      </c>
      <c r="C13" s="25">
        <v>229.22</v>
      </c>
      <c r="D13" s="25">
        <v>0</v>
      </c>
      <c r="E13" s="25">
        <v>12.03</v>
      </c>
      <c r="F13" s="25">
        <v>0</v>
      </c>
      <c r="G13" s="25">
        <v>1.68</v>
      </c>
      <c r="H13" s="25">
        <v>0</v>
      </c>
      <c r="I13" s="25">
        <v>0</v>
      </c>
      <c r="J13" s="25">
        <v>0</v>
      </c>
      <c r="K13" s="192">
        <v>1</v>
      </c>
      <c r="L13" s="192">
        <v>1</v>
      </c>
      <c r="M13" s="192">
        <v>0</v>
      </c>
      <c r="N13" s="278"/>
      <c r="O13" s="278"/>
      <c r="P13" s="278"/>
      <c r="Q13" s="278"/>
      <c r="R13" s="278"/>
      <c r="S13" s="278"/>
      <c r="T13" s="278"/>
      <c r="U13" s="278"/>
      <c r="V13" s="278"/>
      <c r="W13" s="278"/>
      <c r="X13" s="278"/>
      <c r="Y13" s="282">
        <f>VLOOKUP(A13,'3121% SY'!$A$3:$M$600,13,FALSE)</f>
        <v>0.27039999999999997</v>
      </c>
      <c r="Z13" s="30">
        <f t="shared" si="10"/>
        <v>0.45400000000000001</v>
      </c>
      <c r="AA13" s="31">
        <f t="shared" si="2"/>
        <v>12.484</v>
      </c>
      <c r="AB13" s="32">
        <f t="shared" si="11"/>
        <v>18.36</v>
      </c>
      <c r="AC13" s="28">
        <f t="shared" si="12"/>
        <v>18.36</v>
      </c>
      <c r="AD13" s="33">
        <f t="shared" si="3"/>
        <v>14.42</v>
      </c>
      <c r="AE13" s="33">
        <f t="shared" si="4"/>
        <v>0</v>
      </c>
      <c r="AF13" s="25">
        <f t="shared" si="13"/>
        <v>1048737.76</v>
      </c>
      <c r="AG13" s="25">
        <f t="shared" si="14"/>
        <v>79036.020000000019</v>
      </c>
      <c r="AH13" s="25">
        <f t="shared" si="5"/>
        <v>177539.04</v>
      </c>
      <c r="AI13" s="25">
        <f t="shared" si="6"/>
        <v>30378.899999999994</v>
      </c>
      <c r="AJ13" s="25">
        <f t="shared" si="7"/>
        <v>190345.9</v>
      </c>
      <c r="AK13" s="25">
        <f t="shared" si="8"/>
        <v>13839.21</v>
      </c>
      <c r="AL13" s="25">
        <f t="shared" si="15"/>
        <v>22087.45</v>
      </c>
      <c r="AM13" s="23">
        <f t="shared" si="9"/>
        <v>1561964.2799999998</v>
      </c>
      <c r="AO13" s="23"/>
      <c r="AP13" s="23"/>
    </row>
    <row r="14" spans="1:42" x14ac:dyDescent="0.25">
      <c r="A14" t="s">
        <v>18</v>
      </c>
      <c r="B14" t="s">
        <v>315</v>
      </c>
      <c r="C14" s="25">
        <v>650.49</v>
      </c>
      <c r="D14" s="25">
        <v>52.8</v>
      </c>
      <c r="E14" s="25">
        <v>36.674999999999997</v>
      </c>
      <c r="F14" s="25">
        <v>2</v>
      </c>
      <c r="G14" s="25">
        <v>3.99</v>
      </c>
      <c r="H14" s="25">
        <v>0</v>
      </c>
      <c r="I14" s="25">
        <v>0</v>
      </c>
      <c r="J14" s="25">
        <v>0</v>
      </c>
      <c r="K14" s="192">
        <v>1</v>
      </c>
      <c r="L14" s="192">
        <v>1</v>
      </c>
      <c r="M14" s="192">
        <v>0</v>
      </c>
      <c r="N14" s="278"/>
      <c r="O14" s="278"/>
      <c r="P14" s="278"/>
      <c r="Q14" s="278"/>
      <c r="R14" s="278"/>
      <c r="S14" s="278"/>
      <c r="T14" s="278"/>
      <c r="U14" s="278"/>
      <c r="V14" s="278"/>
      <c r="W14" s="278"/>
      <c r="X14" s="278"/>
      <c r="Y14" s="282">
        <f>VLOOKUP(A14,'3121% SY'!$A$3:$M$600,13,FALSE)</f>
        <v>0.28080000000000005</v>
      </c>
      <c r="Z14" s="30">
        <f t="shared" si="10"/>
        <v>1.1200000000000001</v>
      </c>
      <c r="AA14" s="31">
        <f t="shared" si="2"/>
        <v>39.794999999999995</v>
      </c>
      <c r="AB14" s="32">
        <f t="shared" si="11"/>
        <v>17.670000000000002</v>
      </c>
      <c r="AC14" s="28">
        <f t="shared" si="12"/>
        <v>17.670000000000002</v>
      </c>
      <c r="AD14" s="33">
        <f t="shared" si="3"/>
        <v>42.518999999999998</v>
      </c>
      <c r="AE14" s="33">
        <f t="shared" si="4"/>
        <v>3.4510000000000001</v>
      </c>
      <c r="AF14" s="25">
        <f t="shared" si="13"/>
        <v>3343306.16</v>
      </c>
      <c r="AG14" s="25">
        <f t="shared" si="14"/>
        <v>251961.56999999983</v>
      </c>
      <c r="AH14" s="25">
        <f t="shared" si="5"/>
        <v>565982.64</v>
      </c>
      <c r="AI14" s="25">
        <f t="shared" si="6"/>
        <v>96845.920000000042</v>
      </c>
      <c r="AJ14" s="25">
        <f t="shared" si="7"/>
        <v>606810.06999999995</v>
      </c>
      <c r="AK14" s="25">
        <f t="shared" si="8"/>
        <v>44118.47</v>
      </c>
      <c r="AL14" s="25">
        <f t="shared" si="15"/>
        <v>70413.320000000007</v>
      </c>
      <c r="AM14" s="23">
        <f t="shared" si="9"/>
        <v>4979438.1500000004</v>
      </c>
      <c r="AO14" s="23"/>
      <c r="AP14" s="23"/>
    </row>
    <row r="15" spans="1:42" x14ac:dyDescent="0.25">
      <c r="A15" t="s">
        <v>19</v>
      </c>
      <c r="B15" t="s">
        <v>316</v>
      </c>
      <c r="C15" s="25">
        <v>3645.57</v>
      </c>
      <c r="D15" s="25">
        <v>0</v>
      </c>
      <c r="E15" s="25">
        <v>162.393</v>
      </c>
      <c r="F15" s="25">
        <v>0</v>
      </c>
      <c r="G15" s="25">
        <v>1</v>
      </c>
      <c r="H15" s="25">
        <v>0</v>
      </c>
      <c r="I15" s="25">
        <v>0</v>
      </c>
      <c r="J15" s="25">
        <v>0</v>
      </c>
      <c r="K15" s="192">
        <v>1</v>
      </c>
      <c r="L15" s="192">
        <v>1</v>
      </c>
      <c r="M15" s="192">
        <v>0</v>
      </c>
      <c r="N15" s="278"/>
      <c r="O15" s="278"/>
      <c r="P15" s="278"/>
      <c r="Q15" s="278"/>
      <c r="R15" s="278"/>
      <c r="S15" s="278"/>
      <c r="T15" s="278"/>
      <c r="U15" s="278"/>
      <c r="V15" s="278"/>
      <c r="W15" s="278"/>
      <c r="X15" s="278"/>
      <c r="Y15" s="282">
        <f>VLOOKUP(A15,'3121% SY'!$A$3:$M$600,13,FALSE)</f>
        <v>0.26870000000000005</v>
      </c>
      <c r="Z15" s="30">
        <f t="shared" si="10"/>
        <v>0.26900000000000002</v>
      </c>
      <c r="AA15" s="31">
        <f t="shared" si="2"/>
        <v>162.66200000000001</v>
      </c>
      <c r="AB15" s="32">
        <f t="shared" si="11"/>
        <v>22.41</v>
      </c>
      <c r="AC15" s="28">
        <f t="shared" si="12"/>
        <v>22.41</v>
      </c>
      <c r="AD15" s="33">
        <f t="shared" si="3"/>
        <v>187.89099999999999</v>
      </c>
      <c r="AE15" s="33">
        <f t="shared" si="4"/>
        <v>0</v>
      </c>
      <c r="AF15" s="25">
        <f t="shared" si="13"/>
        <v>13664936.65</v>
      </c>
      <c r="AG15" s="25">
        <f t="shared" si="14"/>
        <v>1029830.5700000003</v>
      </c>
      <c r="AH15" s="25">
        <f t="shared" si="5"/>
        <v>2313313.9900000002</v>
      </c>
      <c r="AI15" s="25">
        <f t="shared" si="6"/>
        <v>395833.73</v>
      </c>
      <c r="AJ15" s="25">
        <f t="shared" si="7"/>
        <v>2480186</v>
      </c>
      <c r="AK15" s="25">
        <f t="shared" si="8"/>
        <v>180323.33</v>
      </c>
      <c r="AL15" s="25">
        <f t="shared" si="15"/>
        <v>287797.02</v>
      </c>
      <c r="AM15" s="23">
        <f t="shared" si="9"/>
        <v>20352221.289999999</v>
      </c>
      <c r="AO15" s="23"/>
      <c r="AP15" s="23"/>
    </row>
    <row r="16" spans="1:42" x14ac:dyDescent="0.25">
      <c r="A16" t="s">
        <v>20</v>
      </c>
      <c r="B16" t="s">
        <v>317</v>
      </c>
      <c r="C16" s="25">
        <v>165.74</v>
      </c>
      <c r="D16" s="25">
        <v>18.61</v>
      </c>
      <c r="E16" s="25">
        <v>11.013999999999999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192">
        <v>1</v>
      </c>
      <c r="L16" s="192">
        <v>1</v>
      </c>
      <c r="M16" s="192">
        <v>0</v>
      </c>
      <c r="N16" s="278"/>
      <c r="O16" s="278"/>
      <c r="P16" s="278"/>
      <c r="Q16" s="278"/>
      <c r="R16" s="278"/>
      <c r="S16" s="278"/>
      <c r="T16" s="278"/>
      <c r="U16" s="278"/>
      <c r="V16" s="278"/>
      <c r="W16" s="278"/>
      <c r="X16" s="278"/>
      <c r="Y16" s="282">
        <f>VLOOKUP(A16,'3121% SY'!$A$3:$M$600,13,FALSE)</f>
        <v>0.19130000000000003</v>
      </c>
      <c r="Z16" s="30">
        <f t="shared" si="10"/>
        <v>0</v>
      </c>
      <c r="AA16" s="31">
        <f t="shared" si="2"/>
        <v>11.013999999999999</v>
      </c>
      <c r="AB16" s="32">
        <f t="shared" si="11"/>
        <v>16.739999999999998</v>
      </c>
      <c r="AC16" s="28">
        <f t="shared" si="12"/>
        <v>17</v>
      </c>
      <c r="AD16" s="33">
        <f t="shared" si="3"/>
        <v>11.260999999999999</v>
      </c>
      <c r="AE16" s="33">
        <f t="shared" si="4"/>
        <v>1.264</v>
      </c>
      <c r="AF16" s="25">
        <f t="shared" si="13"/>
        <v>910918.2</v>
      </c>
      <c r="AG16" s="25">
        <f t="shared" si="14"/>
        <v>68649.530000000028</v>
      </c>
      <c r="AH16" s="25">
        <f t="shared" si="5"/>
        <v>154207.79999999999</v>
      </c>
      <c r="AI16" s="25">
        <f t="shared" si="6"/>
        <v>26386.670000000013</v>
      </c>
      <c r="AJ16" s="25">
        <f t="shared" si="7"/>
        <v>165331.65</v>
      </c>
      <c r="AK16" s="25">
        <f t="shared" si="8"/>
        <v>12020.53</v>
      </c>
      <c r="AL16" s="25">
        <f t="shared" si="15"/>
        <v>19184.830000000002</v>
      </c>
      <c r="AM16" s="23">
        <f t="shared" si="9"/>
        <v>1356699.21</v>
      </c>
      <c r="AO16" s="23"/>
      <c r="AP16" s="23"/>
    </row>
    <row r="17" spans="1:42" x14ac:dyDescent="0.25">
      <c r="A17" t="s">
        <v>21</v>
      </c>
      <c r="B17" t="s">
        <v>318</v>
      </c>
      <c r="C17" s="25">
        <v>5.39</v>
      </c>
      <c r="D17" s="25">
        <v>0</v>
      </c>
      <c r="E17" s="25">
        <v>0.36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192">
        <v>1</v>
      </c>
      <c r="L17" s="192">
        <v>1</v>
      </c>
      <c r="M17" s="192">
        <v>0</v>
      </c>
      <c r="N17" s="278"/>
      <c r="O17" s="278"/>
      <c r="P17" s="278"/>
      <c r="Q17" s="278"/>
      <c r="R17" s="278"/>
      <c r="S17" s="278"/>
      <c r="T17" s="278"/>
      <c r="U17" s="278"/>
      <c r="V17" s="278"/>
      <c r="W17" s="278"/>
      <c r="X17" s="278"/>
      <c r="Y17" s="282">
        <f>VLOOKUP(A17,'3121% SY'!$A$3:$M$600,13,FALSE)</f>
        <v>0</v>
      </c>
      <c r="Z17" s="30">
        <f t="shared" si="10"/>
        <v>0</v>
      </c>
      <c r="AA17" s="31">
        <f t="shared" si="2"/>
        <v>0.36</v>
      </c>
      <c r="AB17" s="32">
        <f t="shared" si="11"/>
        <v>14.97</v>
      </c>
      <c r="AC17" s="28">
        <f t="shared" si="12"/>
        <v>17</v>
      </c>
      <c r="AD17" s="33">
        <f t="shared" si="3"/>
        <v>0.36599999999999999</v>
      </c>
      <c r="AE17" s="33">
        <f t="shared" si="4"/>
        <v>0</v>
      </c>
      <c r="AF17" s="25">
        <f t="shared" si="13"/>
        <v>26618.45</v>
      </c>
      <c r="AG17" s="25">
        <f t="shared" si="14"/>
        <v>2006.0400000000009</v>
      </c>
      <c r="AH17" s="25">
        <f t="shared" si="5"/>
        <v>4506.1899999999996</v>
      </c>
      <c r="AI17" s="25">
        <f t="shared" si="6"/>
        <v>771.0600000000004</v>
      </c>
      <c r="AJ17" s="25">
        <f t="shared" si="7"/>
        <v>4831.25</v>
      </c>
      <c r="AK17" s="25">
        <f t="shared" si="8"/>
        <v>351.26</v>
      </c>
      <c r="AL17" s="25">
        <f t="shared" si="15"/>
        <v>560.61</v>
      </c>
      <c r="AM17" s="23">
        <f t="shared" si="9"/>
        <v>39644.86</v>
      </c>
      <c r="AO17" s="23"/>
      <c r="AP17" s="23"/>
    </row>
    <row r="18" spans="1:42" x14ac:dyDescent="0.25">
      <c r="A18" t="s">
        <v>22</v>
      </c>
      <c r="B18" t="s">
        <v>319</v>
      </c>
      <c r="C18" s="25">
        <v>140.80000000000001</v>
      </c>
      <c r="D18" s="25">
        <v>0</v>
      </c>
      <c r="E18" s="25">
        <v>9.4879999999999995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192">
        <v>1</v>
      </c>
      <c r="L18" s="192">
        <v>1</v>
      </c>
      <c r="M18" s="192">
        <v>4.0000000000000036E-2</v>
      </c>
      <c r="N18" s="278"/>
      <c r="O18" s="278"/>
      <c r="P18" s="278"/>
      <c r="Q18" s="278"/>
      <c r="R18" s="278"/>
      <c r="S18" s="278"/>
      <c r="T18" s="278"/>
      <c r="U18" s="278"/>
      <c r="V18" s="278"/>
      <c r="W18" s="278"/>
      <c r="X18" s="278"/>
      <c r="Y18" s="282">
        <f>VLOOKUP(A18,'3121% SY'!$A$3:$M$600,13,FALSE)</f>
        <v>0.19130000000000003</v>
      </c>
      <c r="Z18" s="30">
        <f t="shared" si="10"/>
        <v>0</v>
      </c>
      <c r="AA18" s="31">
        <f t="shared" si="2"/>
        <v>9.4879999999999995</v>
      </c>
      <c r="AB18" s="32">
        <f t="shared" si="11"/>
        <v>14.84</v>
      </c>
      <c r="AC18" s="28">
        <f t="shared" si="12"/>
        <v>17</v>
      </c>
      <c r="AD18" s="33">
        <f t="shared" si="3"/>
        <v>9.5660000000000007</v>
      </c>
      <c r="AE18" s="33">
        <f t="shared" si="4"/>
        <v>0</v>
      </c>
      <c r="AF18" s="25">
        <f t="shared" si="13"/>
        <v>695716.05</v>
      </c>
      <c r="AG18" s="25">
        <f t="shared" si="14"/>
        <v>82357.139999999898</v>
      </c>
      <c r="AH18" s="25">
        <f t="shared" si="5"/>
        <v>117776.59</v>
      </c>
      <c r="AI18" s="25">
        <f t="shared" si="6"/>
        <v>20152.890000000014</v>
      </c>
      <c r="AJ18" s="25">
        <f t="shared" si="7"/>
        <v>126272.46</v>
      </c>
      <c r="AK18" s="25">
        <f t="shared" si="8"/>
        <v>14420.74</v>
      </c>
      <c r="AL18" s="25">
        <f t="shared" si="15"/>
        <v>15238.56</v>
      </c>
      <c r="AM18" s="23">
        <f t="shared" si="9"/>
        <v>1071934.43</v>
      </c>
      <c r="AO18" s="23"/>
      <c r="AP18" s="23"/>
    </row>
    <row r="19" spans="1:42" x14ac:dyDescent="0.25">
      <c r="A19" t="s">
        <v>23</v>
      </c>
      <c r="B19" t="s">
        <v>320</v>
      </c>
      <c r="C19" s="25">
        <v>310.26</v>
      </c>
      <c r="D19" s="25">
        <v>0</v>
      </c>
      <c r="E19" s="25">
        <v>18.001999999999999</v>
      </c>
      <c r="F19" s="25">
        <v>0</v>
      </c>
      <c r="G19" s="25">
        <v>1.266</v>
      </c>
      <c r="H19" s="25">
        <v>0</v>
      </c>
      <c r="I19" s="25">
        <v>0</v>
      </c>
      <c r="J19" s="25">
        <v>0</v>
      </c>
      <c r="K19" s="192">
        <v>1</v>
      </c>
      <c r="L19" s="192">
        <v>1</v>
      </c>
      <c r="M19" s="192">
        <v>0</v>
      </c>
      <c r="N19" s="278"/>
      <c r="O19" s="278"/>
      <c r="P19" s="278"/>
      <c r="Q19" s="278"/>
      <c r="R19" s="278"/>
      <c r="S19" s="278"/>
      <c r="T19" s="278"/>
      <c r="U19" s="278"/>
      <c r="V19" s="278"/>
      <c r="W19" s="278"/>
      <c r="X19" s="278"/>
      <c r="Y19" s="282">
        <f>VLOOKUP(A19,'3121% SY'!$A$3:$M$600,13,FALSE)</f>
        <v>0.15359999999999996</v>
      </c>
      <c r="Z19" s="30">
        <f t="shared" si="10"/>
        <v>0.19400000000000001</v>
      </c>
      <c r="AA19" s="31">
        <f t="shared" si="2"/>
        <v>18.195999999999998</v>
      </c>
      <c r="AB19" s="32">
        <f t="shared" si="11"/>
        <v>17.05</v>
      </c>
      <c r="AC19" s="28">
        <f t="shared" si="12"/>
        <v>17.05</v>
      </c>
      <c r="AD19" s="33">
        <f t="shared" si="3"/>
        <v>21.018000000000001</v>
      </c>
      <c r="AE19" s="33">
        <f t="shared" si="4"/>
        <v>0</v>
      </c>
      <c r="AF19" s="25">
        <f t="shared" si="13"/>
        <v>1528597.1</v>
      </c>
      <c r="AG19" s="25">
        <f t="shared" si="14"/>
        <v>115199.65999999992</v>
      </c>
      <c r="AH19" s="25">
        <f t="shared" si="5"/>
        <v>258773.62</v>
      </c>
      <c r="AI19" s="25">
        <f t="shared" si="6"/>
        <v>44279.039999999979</v>
      </c>
      <c r="AJ19" s="25">
        <f t="shared" si="7"/>
        <v>277440.37</v>
      </c>
      <c r="AK19" s="25">
        <f t="shared" si="8"/>
        <v>20171.46</v>
      </c>
      <c r="AL19" s="25">
        <f t="shared" si="15"/>
        <v>32193.759999999998</v>
      </c>
      <c r="AM19" s="23">
        <f t="shared" si="9"/>
        <v>2276655.0099999998</v>
      </c>
      <c r="AO19" s="23"/>
      <c r="AP19" s="23"/>
    </row>
    <row r="20" spans="1:42" x14ac:dyDescent="0.25">
      <c r="A20" t="s">
        <v>24</v>
      </c>
      <c r="B20" t="s">
        <v>602</v>
      </c>
      <c r="C20" s="25">
        <v>467.81</v>
      </c>
      <c r="D20" s="25">
        <v>0</v>
      </c>
      <c r="E20" s="25">
        <v>26.927</v>
      </c>
      <c r="F20" s="25">
        <v>0</v>
      </c>
      <c r="G20" s="25">
        <v>1.55</v>
      </c>
      <c r="H20" s="25">
        <v>0</v>
      </c>
      <c r="I20" s="25">
        <v>0</v>
      </c>
      <c r="J20" s="25">
        <v>0</v>
      </c>
      <c r="K20" s="192">
        <v>1</v>
      </c>
      <c r="L20" s="192">
        <v>1</v>
      </c>
      <c r="M20" s="192">
        <v>4.0000000000000036E-2</v>
      </c>
      <c r="N20" s="278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82">
        <f>VLOOKUP(A20,'3121% SY'!$A$3:$M$600,13,FALSE)</f>
        <v>0.15129999999999999</v>
      </c>
      <c r="Z20" s="30">
        <f t="shared" si="10"/>
        <v>0.23499999999999999</v>
      </c>
      <c r="AA20" s="31">
        <f t="shared" si="2"/>
        <v>27.161999999999999</v>
      </c>
      <c r="AB20" s="32">
        <f t="shared" si="11"/>
        <v>17.22</v>
      </c>
      <c r="AC20" s="28">
        <f t="shared" si="12"/>
        <v>17.22</v>
      </c>
      <c r="AD20" s="33">
        <f t="shared" si="3"/>
        <v>31.378</v>
      </c>
      <c r="AE20" s="33">
        <f t="shared" si="4"/>
        <v>0</v>
      </c>
      <c r="AF20" s="25">
        <f t="shared" si="13"/>
        <v>2282059.1800000002</v>
      </c>
      <c r="AG20" s="25">
        <f t="shared" si="14"/>
        <v>270144.5</v>
      </c>
      <c r="AH20" s="25">
        <f t="shared" si="5"/>
        <v>386325.94</v>
      </c>
      <c r="AI20" s="25">
        <f t="shared" si="6"/>
        <v>66104.659999999974</v>
      </c>
      <c r="AJ20" s="25">
        <f t="shared" si="7"/>
        <v>414193.74</v>
      </c>
      <c r="AK20" s="25">
        <f t="shared" si="8"/>
        <v>47302.3</v>
      </c>
      <c r="AL20" s="25">
        <f t="shared" si="15"/>
        <v>49984.91</v>
      </c>
      <c r="AM20" s="23">
        <f t="shared" si="9"/>
        <v>3516115.2300000004</v>
      </c>
      <c r="AO20" s="23"/>
      <c r="AP20" s="23"/>
    </row>
    <row r="21" spans="1:42" x14ac:dyDescent="0.25">
      <c r="A21" t="s">
        <v>25</v>
      </c>
      <c r="B21" t="s">
        <v>321</v>
      </c>
      <c r="C21" s="25">
        <v>326.89999999999998</v>
      </c>
      <c r="D21" s="25">
        <v>16.5</v>
      </c>
      <c r="E21" s="25">
        <v>17.5</v>
      </c>
      <c r="F21" s="25">
        <v>1</v>
      </c>
      <c r="G21" s="25">
        <v>0</v>
      </c>
      <c r="H21" s="25">
        <v>0</v>
      </c>
      <c r="I21" s="25">
        <v>0</v>
      </c>
      <c r="J21" s="25">
        <v>0</v>
      </c>
      <c r="K21" s="192">
        <v>1</v>
      </c>
      <c r="L21" s="192">
        <v>1</v>
      </c>
      <c r="M21" s="192">
        <v>0</v>
      </c>
      <c r="N21" s="278"/>
      <c r="O21" s="278"/>
      <c r="P21" s="278"/>
      <c r="Q21" s="278"/>
      <c r="R21" s="278"/>
      <c r="S21" s="278"/>
      <c r="T21" s="278"/>
      <c r="U21" s="278"/>
      <c r="V21" s="278"/>
      <c r="W21" s="278"/>
      <c r="X21" s="278"/>
      <c r="Y21" s="282">
        <f>VLOOKUP(A21,'3121% SY'!$A$3:$M$600,13,FALSE)</f>
        <v>0.19130000000000003</v>
      </c>
      <c r="Z21" s="30">
        <f t="shared" si="10"/>
        <v>0</v>
      </c>
      <c r="AA21" s="31">
        <f t="shared" si="2"/>
        <v>18.5</v>
      </c>
      <c r="AB21" s="32">
        <f t="shared" si="11"/>
        <v>18.559999999999999</v>
      </c>
      <c r="AC21" s="28">
        <f t="shared" si="12"/>
        <v>18.559999999999999</v>
      </c>
      <c r="AD21" s="33">
        <f t="shared" si="3"/>
        <v>20.343</v>
      </c>
      <c r="AE21" s="33">
        <f t="shared" si="4"/>
        <v>1.0269999999999999</v>
      </c>
      <c r="AF21" s="25">
        <f t="shared" si="13"/>
        <v>1554197.36</v>
      </c>
      <c r="AG21" s="25">
        <f t="shared" si="14"/>
        <v>117128.96999999997</v>
      </c>
      <c r="AH21" s="25">
        <f t="shared" si="5"/>
        <v>263107.44</v>
      </c>
      <c r="AI21" s="25">
        <f t="shared" si="6"/>
        <v>45020.609999999986</v>
      </c>
      <c r="AJ21" s="25">
        <f t="shared" si="7"/>
        <v>282086.82</v>
      </c>
      <c r="AK21" s="25">
        <f t="shared" si="8"/>
        <v>20509.28</v>
      </c>
      <c r="AL21" s="25">
        <f t="shared" si="15"/>
        <v>32732.93</v>
      </c>
      <c r="AM21" s="23">
        <f t="shared" si="9"/>
        <v>2314783.4099999997</v>
      </c>
      <c r="AO21" s="23"/>
      <c r="AP21" s="23"/>
    </row>
    <row r="22" spans="1:42" x14ac:dyDescent="0.25">
      <c r="A22" t="s">
        <v>26</v>
      </c>
      <c r="B22" t="s">
        <v>322</v>
      </c>
      <c r="C22" s="25">
        <v>1794.11</v>
      </c>
      <c r="D22" s="25">
        <v>60</v>
      </c>
      <c r="E22" s="25">
        <v>91.491</v>
      </c>
      <c r="F22" s="25">
        <v>3</v>
      </c>
      <c r="G22" s="25">
        <v>14.914999999999999</v>
      </c>
      <c r="H22" s="25">
        <v>0</v>
      </c>
      <c r="I22" s="25">
        <v>0</v>
      </c>
      <c r="J22" s="25">
        <v>0</v>
      </c>
      <c r="K22" s="192">
        <v>1</v>
      </c>
      <c r="L22" s="192">
        <v>1</v>
      </c>
      <c r="M22" s="192">
        <v>0</v>
      </c>
      <c r="N22" s="278"/>
      <c r="O22" s="278"/>
      <c r="P22" s="278"/>
      <c r="Q22" s="278"/>
      <c r="R22" s="278"/>
      <c r="S22" s="278"/>
      <c r="T22" s="278"/>
      <c r="U22" s="278"/>
      <c r="V22" s="278"/>
      <c r="W22" s="278"/>
      <c r="X22" s="278"/>
      <c r="Y22" s="282">
        <f>VLOOKUP(A22,'3121% SY'!$A$3:$M$600,13,FALSE)</f>
        <v>0.17520000000000002</v>
      </c>
      <c r="Z22" s="30">
        <f t="shared" si="10"/>
        <v>2.613</v>
      </c>
      <c r="AA22" s="31">
        <f t="shared" si="2"/>
        <v>97.103999999999999</v>
      </c>
      <c r="AB22" s="32">
        <f t="shared" si="11"/>
        <v>19.09</v>
      </c>
      <c r="AC22" s="28">
        <f t="shared" si="12"/>
        <v>19.09</v>
      </c>
      <c r="AD22" s="33">
        <f t="shared" si="3"/>
        <v>108.54900000000001</v>
      </c>
      <c r="AE22" s="33">
        <f t="shared" si="4"/>
        <v>3.63</v>
      </c>
      <c r="AF22" s="25">
        <f t="shared" si="13"/>
        <v>8158554.3099999996</v>
      </c>
      <c r="AG22" s="25">
        <f t="shared" si="14"/>
        <v>614853.10000000056</v>
      </c>
      <c r="AH22" s="25">
        <f t="shared" si="5"/>
        <v>1381147.85</v>
      </c>
      <c r="AI22" s="25">
        <f t="shared" si="6"/>
        <v>236329.74</v>
      </c>
      <c r="AJ22" s="25">
        <f t="shared" si="7"/>
        <v>1480777.61</v>
      </c>
      <c r="AK22" s="25">
        <f t="shared" si="8"/>
        <v>107660.78</v>
      </c>
      <c r="AL22" s="25">
        <f t="shared" si="15"/>
        <v>171827.18</v>
      </c>
      <c r="AM22" s="23">
        <f t="shared" si="9"/>
        <v>12151150.569999998</v>
      </c>
      <c r="AO22" s="23"/>
      <c r="AP22" s="23"/>
    </row>
    <row r="23" spans="1:42" x14ac:dyDescent="0.25">
      <c r="A23" t="s">
        <v>667</v>
      </c>
      <c r="B23" t="s">
        <v>668</v>
      </c>
      <c r="C23" s="25">
        <v>0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192">
        <v>1</v>
      </c>
      <c r="L23" s="192">
        <v>1</v>
      </c>
      <c r="M23" s="192">
        <v>0</v>
      </c>
      <c r="N23" s="278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82">
        <f>VLOOKUP(A23,'3121% SY'!$A$3:$M$600,13,FALSE)</f>
        <v>0.12350000000000005</v>
      </c>
      <c r="Z23" s="30">
        <f t="shared" si="10"/>
        <v>0</v>
      </c>
      <c r="AA23" s="31">
        <f t="shared" si="2"/>
        <v>0</v>
      </c>
      <c r="AB23" s="32">
        <f t="shared" si="11"/>
        <v>0</v>
      </c>
      <c r="AC23" s="28">
        <f t="shared" si="12"/>
        <v>25.23</v>
      </c>
      <c r="AD23" s="33">
        <f t="shared" si="3"/>
        <v>0</v>
      </c>
      <c r="AE23" s="33">
        <f t="shared" si="4"/>
        <v>0</v>
      </c>
      <c r="AF23" s="25">
        <f t="shared" si="13"/>
        <v>0</v>
      </c>
      <c r="AG23" s="25">
        <f t="shared" si="14"/>
        <v>0</v>
      </c>
      <c r="AH23" s="25">
        <f t="shared" si="5"/>
        <v>0</v>
      </c>
      <c r="AI23" s="25">
        <f t="shared" si="6"/>
        <v>0</v>
      </c>
      <c r="AJ23" s="25">
        <f t="shared" si="7"/>
        <v>0</v>
      </c>
      <c r="AK23" s="25">
        <f t="shared" si="8"/>
        <v>0</v>
      </c>
      <c r="AL23" s="25">
        <f t="shared" si="15"/>
        <v>0</v>
      </c>
      <c r="AM23" s="23">
        <f t="shared" si="9"/>
        <v>0</v>
      </c>
      <c r="AO23" s="23"/>
      <c r="AP23" s="23"/>
    </row>
    <row r="24" spans="1:42" x14ac:dyDescent="0.25">
      <c r="A24" t="s">
        <v>27</v>
      </c>
      <c r="B24" t="s">
        <v>323</v>
      </c>
      <c r="C24" s="25">
        <v>919.64</v>
      </c>
      <c r="D24" s="25">
        <v>28</v>
      </c>
      <c r="E24" s="25">
        <v>51.722999999999999</v>
      </c>
      <c r="F24" s="25">
        <v>0</v>
      </c>
      <c r="G24" s="25">
        <v>10.385999999999999</v>
      </c>
      <c r="H24" s="25">
        <v>0</v>
      </c>
      <c r="I24" s="25">
        <v>0</v>
      </c>
      <c r="J24" s="25">
        <v>0</v>
      </c>
      <c r="K24" s="192">
        <v>1</v>
      </c>
      <c r="L24" s="192">
        <v>1</v>
      </c>
      <c r="M24" s="192">
        <v>4.0000000000000036E-2</v>
      </c>
      <c r="N24" s="278"/>
      <c r="O24" s="278"/>
      <c r="P24" s="278"/>
      <c r="Q24" s="278"/>
      <c r="R24" s="278"/>
      <c r="S24" s="278"/>
      <c r="T24" s="278"/>
      <c r="U24" s="278"/>
      <c r="V24" s="278"/>
      <c r="W24" s="278"/>
      <c r="X24" s="278"/>
      <c r="Y24" s="282">
        <f>VLOOKUP(A24,'3121% SY'!$A$3:$M$600,13,FALSE)</f>
        <v>0.25690000000000002</v>
      </c>
      <c r="Z24" s="30">
        <f t="shared" si="10"/>
        <v>2.6680000000000001</v>
      </c>
      <c r="AA24" s="31">
        <f t="shared" si="2"/>
        <v>54.390999999999998</v>
      </c>
      <c r="AB24" s="32">
        <f t="shared" si="11"/>
        <v>17.420000000000002</v>
      </c>
      <c r="AC24" s="28">
        <f t="shared" si="12"/>
        <v>17.420000000000002</v>
      </c>
      <c r="AD24" s="33">
        <f t="shared" si="3"/>
        <v>60.975000000000001</v>
      </c>
      <c r="AE24" s="33">
        <f t="shared" si="4"/>
        <v>1.8560000000000001</v>
      </c>
      <c r="AF24" s="25">
        <f t="shared" si="13"/>
        <v>4569572.97</v>
      </c>
      <c r="AG24" s="25">
        <f t="shared" si="14"/>
        <v>540934.70000000019</v>
      </c>
      <c r="AH24" s="25">
        <f t="shared" si="5"/>
        <v>773575.27</v>
      </c>
      <c r="AI24" s="25">
        <f t="shared" si="6"/>
        <v>132367.32999999996</v>
      </c>
      <c r="AJ24" s="25">
        <f t="shared" si="7"/>
        <v>829377.49</v>
      </c>
      <c r="AK24" s="25">
        <f t="shared" si="8"/>
        <v>94717.67</v>
      </c>
      <c r="AL24" s="25">
        <f t="shared" si="15"/>
        <v>100089.29</v>
      </c>
      <c r="AM24" s="23">
        <f t="shared" si="9"/>
        <v>7040634.7199999997</v>
      </c>
      <c r="AO24" s="23"/>
      <c r="AP24" s="23"/>
    </row>
    <row r="25" spans="1:42" x14ac:dyDescent="0.25">
      <c r="A25" t="s">
        <v>28</v>
      </c>
      <c r="B25" t="s">
        <v>324</v>
      </c>
      <c r="C25" s="25">
        <v>66.599999999999994</v>
      </c>
      <c r="D25" s="25">
        <v>0</v>
      </c>
      <c r="E25" s="25">
        <v>4.7119999999999997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192">
        <v>1</v>
      </c>
      <c r="L25" s="192">
        <v>1</v>
      </c>
      <c r="M25" s="192">
        <v>0</v>
      </c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82">
        <f>VLOOKUP(A25,'3121% SY'!$A$3:$M$600,13,FALSE)</f>
        <v>0.19059999999999999</v>
      </c>
      <c r="Z25" s="30">
        <f t="shared" si="10"/>
        <v>0</v>
      </c>
      <c r="AA25" s="31">
        <f t="shared" si="2"/>
        <v>4.7119999999999997</v>
      </c>
      <c r="AB25" s="32">
        <f t="shared" si="11"/>
        <v>14.13</v>
      </c>
      <c r="AC25" s="28">
        <f t="shared" si="12"/>
        <v>17</v>
      </c>
      <c r="AD25" s="33">
        <f t="shared" si="3"/>
        <v>4.5250000000000004</v>
      </c>
      <c r="AE25" s="33">
        <f t="shared" si="4"/>
        <v>0</v>
      </c>
      <c r="AF25" s="25">
        <f t="shared" si="13"/>
        <v>329094.2</v>
      </c>
      <c r="AG25" s="25">
        <f t="shared" si="14"/>
        <v>24801.52999999997</v>
      </c>
      <c r="AH25" s="25">
        <f t="shared" si="5"/>
        <v>55711.8</v>
      </c>
      <c r="AI25" s="25">
        <f t="shared" si="6"/>
        <v>9532.9099999999962</v>
      </c>
      <c r="AJ25" s="25">
        <f t="shared" si="7"/>
        <v>59730.6</v>
      </c>
      <c r="AK25" s="25">
        <f t="shared" si="8"/>
        <v>4342.75</v>
      </c>
      <c r="AL25" s="25">
        <f t="shared" si="15"/>
        <v>6931.05</v>
      </c>
      <c r="AM25" s="23">
        <f t="shared" si="9"/>
        <v>490144.83999999991</v>
      </c>
      <c r="AO25" s="23"/>
      <c r="AP25" s="23"/>
    </row>
    <row r="26" spans="1:42" x14ac:dyDescent="0.25">
      <c r="A26" t="s">
        <v>29</v>
      </c>
      <c r="B26" t="s">
        <v>325</v>
      </c>
      <c r="C26" s="25">
        <v>667.62</v>
      </c>
      <c r="D26" s="25">
        <v>0</v>
      </c>
      <c r="E26" s="25">
        <v>37.607999999999997</v>
      </c>
      <c r="F26" s="25">
        <v>0</v>
      </c>
      <c r="G26" s="25">
        <v>3.8879999999999999</v>
      </c>
      <c r="H26" s="25">
        <v>0</v>
      </c>
      <c r="I26" s="25">
        <v>0</v>
      </c>
      <c r="J26" s="25">
        <v>0</v>
      </c>
      <c r="K26" s="192">
        <v>1.06</v>
      </c>
      <c r="L26" s="192">
        <v>1.06</v>
      </c>
      <c r="M26" s="192">
        <v>0</v>
      </c>
      <c r="N26" s="278"/>
      <c r="O26" s="278"/>
      <c r="P26" s="278"/>
      <c r="Q26" s="278"/>
      <c r="R26" s="278"/>
      <c r="S26" s="278"/>
      <c r="T26" s="278"/>
      <c r="U26" s="278"/>
      <c r="V26" s="278"/>
      <c r="W26" s="278"/>
      <c r="X26" s="278"/>
      <c r="Y26" s="282">
        <f>VLOOKUP(A26,'3121% SY'!$A$3:$M$600,13,FALSE)</f>
        <v>0.15290000000000004</v>
      </c>
      <c r="Z26" s="30">
        <f t="shared" si="10"/>
        <v>0.59399999999999997</v>
      </c>
      <c r="AA26" s="31">
        <f t="shared" si="2"/>
        <v>38.201999999999998</v>
      </c>
      <c r="AB26" s="32">
        <f t="shared" si="11"/>
        <v>17.48</v>
      </c>
      <c r="AC26" s="28">
        <f t="shared" si="12"/>
        <v>17.48</v>
      </c>
      <c r="AD26" s="33">
        <f t="shared" si="3"/>
        <v>44.113</v>
      </c>
      <c r="AE26" s="33">
        <f t="shared" si="4"/>
        <v>0</v>
      </c>
      <c r="AF26" s="25">
        <f t="shared" si="13"/>
        <v>3400745.28</v>
      </c>
      <c r="AG26" s="25">
        <f t="shared" si="14"/>
        <v>256290.35000000009</v>
      </c>
      <c r="AH26" s="25">
        <f t="shared" si="5"/>
        <v>543119.26</v>
      </c>
      <c r="AI26" s="25">
        <f t="shared" si="6"/>
        <v>92933.739999999991</v>
      </c>
      <c r="AJ26" s="25">
        <f t="shared" si="7"/>
        <v>617235.27</v>
      </c>
      <c r="AK26" s="25">
        <f t="shared" si="8"/>
        <v>44876.44</v>
      </c>
      <c r="AL26" s="25">
        <f t="shared" si="15"/>
        <v>71623.039999999994</v>
      </c>
      <c r="AM26" s="23">
        <f t="shared" si="9"/>
        <v>5026823.3800000008</v>
      </c>
      <c r="AO26" s="23"/>
      <c r="AP26" s="23"/>
    </row>
    <row r="27" spans="1:42" x14ac:dyDescent="0.25">
      <c r="A27" t="s">
        <v>30</v>
      </c>
      <c r="B27" t="s">
        <v>326</v>
      </c>
      <c r="C27" s="25">
        <v>127.6</v>
      </c>
      <c r="D27" s="25">
        <v>0</v>
      </c>
      <c r="E27" s="25">
        <v>10</v>
      </c>
      <c r="F27" s="25">
        <v>0</v>
      </c>
      <c r="G27" s="25">
        <v>1.532</v>
      </c>
      <c r="H27" s="25">
        <v>0</v>
      </c>
      <c r="I27" s="25">
        <v>0</v>
      </c>
      <c r="J27" s="25">
        <v>0</v>
      </c>
      <c r="K27" s="192">
        <v>1</v>
      </c>
      <c r="L27" s="192">
        <v>1</v>
      </c>
      <c r="M27" s="192">
        <v>0</v>
      </c>
      <c r="N27" s="278"/>
      <c r="O27" s="278"/>
      <c r="P27" s="278"/>
      <c r="Q27" s="278"/>
      <c r="R27" s="278"/>
      <c r="S27" s="278"/>
      <c r="T27" s="278"/>
      <c r="U27" s="278"/>
      <c r="V27" s="278"/>
      <c r="W27" s="278"/>
      <c r="X27" s="278"/>
      <c r="Y27" s="282">
        <f>VLOOKUP(A27,'3121% SY'!$A$3:$M$600,13,FALSE)</f>
        <v>0.17349999999999999</v>
      </c>
      <c r="Z27" s="30">
        <f t="shared" si="10"/>
        <v>0.26600000000000001</v>
      </c>
      <c r="AA27" s="31">
        <f t="shared" si="2"/>
        <v>10.266</v>
      </c>
      <c r="AB27" s="32">
        <f t="shared" si="11"/>
        <v>12.43</v>
      </c>
      <c r="AC27" s="28">
        <f t="shared" si="12"/>
        <v>17</v>
      </c>
      <c r="AD27" s="33">
        <f t="shared" si="3"/>
        <v>8.6690000000000005</v>
      </c>
      <c r="AE27" s="33">
        <f t="shared" si="4"/>
        <v>0</v>
      </c>
      <c r="AF27" s="25">
        <f t="shared" si="13"/>
        <v>630479.03</v>
      </c>
      <c r="AG27" s="25">
        <f t="shared" si="14"/>
        <v>47514.789999999921</v>
      </c>
      <c r="AH27" s="25">
        <f t="shared" si="5"/>
        <v>106732.73</v>
      </c>
      <c r="AI27" s="25">
        <f t="shared" si="6"/>
        <v>18263.150000000009</v>
      </c>
      <c r="AJ27" s="25">
        <f t="shared" si="7"/>
        <v>114431.94</v>
      </c>
      <c r="AK27" s="25">
        <f t="shared" si="8"/>
        <v>8319.84</v>
      </c>
      <c r="AL27" s="25">
        <f t="shared" si="15"/>
        <v>13278.51</v>
      </c>
      <c r="AM27" s="23">
        <f t="shared" si="9"/>
        <v>939019.98999999987</v>
      </c>
      <c r="AO27" s="23"/>
      <c r="AP27" s="23"/>
    </row>
    <row r="28" spans="1:42" x14ac:dyDescent="0.25">
      <c r="A28" t="s">
        <v>31</v>
      </c>
      <c r="B28" t="s">
        <v>327</v>
      </c>
      <c r="C28" s="25">
        <v>287.22000000000003</v>
      </c>
      <c r="D28" s="25">
        <v>16</v>
      </c>
      <c r="E28" s="25">
        <v>16.911999999999999</v>
      </c>
      <c r="F28" s="25">
        <v>1.6E-2</v>
      </c>
      <c r="G28" s="25">
        <v>3.444</v>
      </c>
      <c r="H28" s="25">
        <v>0</v>
      </c>
      <c r="I28" s="25">
        <v>0</v>
      </c>
      <c r="J28" s="25">
        <v>0</v>
      </c>
      <c r="K28" s="192">
        <v>1</v>
      </c>
      <c r="L28" s="192">
        <v>1</v>
      </c>
      <c r="M28" s="192">
        <v>0</v>
      </c>
      <c r="N28" s="278"/>
      <c r="O28" s="278"/>
      <c r="P28" s="278"/>
      <c r="Q28" s="278"/>
      <c r="R28" s="278"/>
      <c r="S28" s="278"/>
      <c r="T28" s="278"/>
      <c r="U28" s="278"/>
      <c r="V28" s="278"/>
      <c r="W28" s="278"/>
      <c r="X28" s="278"/>
      <c r="Y28" s="282">
        <f>VLOOKUP(A28,'3121% SY'!$A$3:$M$600,13,FALSE)</f>
        <v>0.14959999999999996</v>
      </c>
      <c r="Z28" s="30">
        <f t="shared" si="10"/>
        <v>0.51500000000000001</v>
      </c>
      <c r="AA28" s="31">
        <f t="shared" si="2"/>
        <v>17.442999999999998</v>
      </c>
      <c r="AB28" s="32">
        <f t="shared" si="11"/>
        <v>17.38</v>
      </c>
      <c r="AC28" s="28">
        <f t="shared" si="12"/>
        <v>17.38</v>
      </c>
      <c r="AD28" s="33">
        <f t="shared" si="3"/>
        <v>19.087</v>
      </c>
      <c r="AE28" s="33">
        <f t="shared" si="4"/>
        <v>1.0629999999999999</v>
      </c>
      <c r="AF28" s="25">
        <f t="shared" si="13"/>
        <v>1465469.2</v>
      </c>
      <c r="AG28" s="25">
        <f t="shared" si="14"/>
        <v>110442.15000000014</v>
      </c>
      <c r="AH28" s="25">
        <f t="shared" si="5"/>
        <v>248086.8</v>
      </c>
      <c r="AI28" s="25">
        <f t="shared" si="6"/>
        <v>42450.410000000033</v>
      </c>
      <c r="AJ28" s="25">
        <f t="shared" si="7"/>
        <v>265982.65999999997</v>
      </c>
      <c r="AK28" s="25">
        <f t="shared" si="8"/>
        <v>19338.419999999998</v>
      </c>
      <c r="AL28" s="25">
        <f t="shared" si="15"/>
        <v>30864.22</v>
      </c>
      <c r="AM28" s="23">
        <f t="shared" si="9"/>
        <v>2182633.8600000003</v>
      </c>
      <c r="AO28" s="23"/>
      <c r="AP28" s="23"/>
    </row>
    <row r="29" spans="1:42" x14ac:dyDescent="0.25">
      <c r="A29" t="s">
        <v>613</v>
      </c>
      <c r="B29" t="s">
        <v>614</v>
      </c>
      <c r="C29" s="25">
        <v>33.200000000000003</v>
      </c>
      <c r="D29" s="25">
        <v>0</v>
      </c>
      <c r="E29" s="25">
        <v>3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192">
        <v>1</v>
      </c>
      <c r="L29" s="192">
        <v>1</v>
      </c>
      <c r="M29" s="192">
        <v>0</v>
      </c>
      <c r="N29" s="278"/>
      <c r="O29" s="278"/>
      <c r="P29" s="278"/>
      <c r="Q29" s="278"/>
      <c r="R29" s="278"/>
      <c r="S29" s="278"/>
      <c r="T29" s="278"/>
      <c r="U29" s="278"/>
      <c r="V29" s="278"/>
      <c r="W29" s="278"/>
      <c r="X29" s="278"/>
      <c r="Y29" s="282">
        <f>VLOOKUP(A29,'3121% SY'!$A$3:$M$600,13,FALSE)</f>
        <v>0.10670000000000002</v>
      </c>
      <c r="Z29" s="30">
        <f t="shared" si="10"/>
        <v>0</v>
      </c>
      <c r="AA29" s="31">
        <f t="shared" si="2"/>
        <v>3</v>
      </c>
      <c r="AB29" s="32">
        <f t="shared" si="11"/>
        <v>11.07</v>
      </c>
      <c r="AC29" s="28">
        <f t="shared" si="12"/>
        <v>17</v>
      </c>
      <c r="AD29" s="33">
        <f t="shared" si="3"/>
        <v>2.2559999999999998</v>
      </c>
      <c r="AE29" s="33">
        <f t="shared" si="4"/>
        <v>0</v>
      </c>
      <c r="AF29" s="25">
        <f t="shared" si="13"/>
        <v>164074.37</v>
      </c>
      <c r="AG29" s="25">
        <f t="shared" si="14"/>
        <v>12365.130000000005</v>
      </c>
      <c r="AH29" s="25">
        <f t="shared" si="5"/>
        <v>27775.87</v>
      </c>
      <c r="AI29" s="25">
        <f t="shared" si="6"/>
        <v>4752.760000000002</v>
      </c>
      <c r="AJ29" s="25">
        <f t="shared" si="7"/>
        <v>29779.5</v>
      </c>
      <c r="AK29" s="25">
        <f t="shared" si="8"/>
        <v>2165.13</v>
      </c>
      <c r="AL29" s="25">
        <f t="shared" si="15"/>
        <v>3455.57</v>
      </c>
      <c r="AM29" s="23">
        <f t="shared" si="9"/>
        <v>244368.33000000002</v>
      </c>
      <c r="AO29" s="23"/>
      <c r="AP29" s="23"/>
    </row>
    <row r="30" spans="1:42" x14ac:dyDescent="0.25">
      <c r="A30" t="s">
        <v>32</v>
      </c>
      <c r="B30" t="s">
        <v>328</v>
      </c>
      <c r="C30" s="25">
        <v>6013.1</v>
      </c>
      <c r="D30" s="25">
        <v>228.75</v>
      </c>
      <c r="E30" s="25">
        <v>320.029</v>
      </c>
      <c r="F30" s="25">
        <v>13.683999999999999</v>
      </c>
      <c r="G30" s="25">
        <v>43.351999999999997</v>
      </c>
      <c r="H30" s="25">
        <v>0</v>
      </c>
      <c r="I30" s="25">
        <v>0</v>
      </c>
      <c r="J30" s="25">
        <v>0</v>
      </c>
      <c r="K30" s="192">
        <v>1.06</v>
      </c>
      <c r="L30" s="192">
        <v>1.06</v>
      </c>
      <c r="M30" s="192">
        <v>0</v>
      </c>
      <c r="N30" s="278"/>
      <c r="O30" s="278"/>
      <c r="P30" s="278"/>
      <c r="Q30" s="278"/>
      <c r="R30" s="278"/>
      <c r="S30" s="278"/>
      <c r="T30" s="278"/>
      <c r="U30" s="278"/>
      <c r="V30" s="278"/>
      <c r="W30" s="278"/>
      <c r="X30" s="278"/>
      <c r="Y30" s="282">
        <f>VLOOKUP(A30,'3121% SY'!$A$3:$M$600,13,FALSE)</f>
        <v>0.27690000000000003</v>
      </c>
      <c r="Z30" s="30">
        <f t="shared" si="10"/>
        <v>12.004</v>
      </c>
      <c r="AA30" s="31">
        <f t="shared" si="2"/>
        <v>345.71700000000004</v>
      </c>
      <c r="AB30" s="32">
        <f t="shared" si="11"/>
        <v>18.05</v>
      </c>
      <c r="AC30" s="28">
        <f t="shared" si="12"/>
        <v>18.05</v>
      </c>
      <c r="AD30" s="33">
        <f t="shared" si="3"/>
        <v>384.77199999999999</v>
      </c>
      <c r="AE30" s="33">
        <f t="shared" si="4"/>
        <v>14.637</v>
      </c>
      <c r="AF30" s="25">
        <f t="shared" si="13"/>
        <v>30791110.82</v>
      </c>
      <c r="AG30" s="25">
        <f t="shared" si="14"/>
        <v>2320510.370000001</v>
      </c>
      <c r="AH30" s="25">
        <f t="shared" si="5"/>
        <v>4917523.6100000003</v>
      </c>
      <c r="AI30" s="25">
        <f t="shared" si="6"/>
        <v>841442.9299999997</v>
      </c>
      <c r="AJ30" s="25">
        <f t="shared" si="7"/>
        <v>5588586.6100000003</v>
      </c>
      <c r="AK30" s="25">
        <f t="shared" si="8"/>
        <v>406321.37</v>
      </c>
      <c r="AL30" s="25">
        <f t="shared" si="15"/>
        <v>648491.1</v>
      </c>
      <c r="AM30" s="23">
        <f t="shared" si="9"/>
        <v>45513986.810000002</v>
      </c>
      <c r="AO30" s="23"/>
      <c r="AP30" s="23"/>
    </row>
    <row r="31" spans="1:42" x14ac:dyDescent="0.25">
      <c r="A31" t="s">
        <v>33</v>
      </c>
      <c r="B31" t="s">
        <v>329</v>
      </c>
      <c r="C31" s="25">
        <v>556.09</v>
      </c>
      <c r="D31" s="25">
        <v>68.8</v>
      </c>
      <c r="E31" s="25">
        <v>31.997</v>
      </c>
      <c r="F31" s="25">
        <v>4.399</v>
      </c>
      <c r="G31" s="25">
        <v>2.6640000000000001</v>
      </c>
      <c r="H31" s="25">
        <v>0</v>
      </c>
      <c r="I31" s="25">
        <v>0</v>
      </c>
      <c r="J31" s="25">
        <v>0</v>
      </c>
      <c r="K31" s="192">
        <v>1.06</v>
      </c>
      <c r="L31" s="192">
        <v>1.06</v>
      </c>
      <c r="M31" s="192">
        <v>0</v>
      </c>
      <c r="N31" s="278"/>
      <c r="O31" s="278"/>
      <c r="P31" s="278"/>
      <c r="Q31" s="278"/>
      <c r="R31" s="278"/>
      <c r="S31" s="278"/>
      <c r="T31" s="278"/>
      <c r="U31" s="278"/>
      <c r="V31" s="278"/>
      <c r="W31" s="278"/>
      <c r="X31" s="278"/>
      <c r="Y31" s="282">
        <f>VLOOKUP(A31,'3121% SY'!$A$3:$M$600,13,FALSE)</f>
        <v>0.16080000000000005</v>
      </c>
      <c r="Z31" s="30">
        <f t="shared" si="10"/>
        <v>0.42799999999999999</v>
      </c>
      <c r="AA31" s="31">
        <f t="shared" si="2"/>
        <v>36.823999999999998</v>
      </c>
      <c r="AB31" s="32">
        <f t="shared" si="11"/>
        <v>16.97</v>
      </c>
      <c r="AC31" s="28">
        <f t="shared" si="12"/>
        <v>17</v>
      </c>
      <c r="AD31" s="33">
        <f t="shared" si="3"/>
        <v>37.780999999999999</v>
      </c>
      <c r="AE31" s="33">
        <f t="shared" si="4"/>
        <v>4.6740000000000004</v>
      </c>
      <c r="AF31" s="25">
        <f t="shared" si="13"/>
        <v>3272927.27</v>
      </c>
      <c r="AG31" s="25">
        <f t="shared" si="14"/>
        <v>246657.60999999987</v>
      </c>
      <c r="AH31" s="25">
        <f t="shared" si="5"/>
        <v>522705.96</v>
      </c>
      <c r="AI31" s="25">
        <f t="shared" si="6"/>
        <v>89440.799999999988</v>
      </c>
      <c r="AJ31" s="25">
        <f t="shared" si="7"/>
        <v>594036.30000000005</v>
      </c>
      <c r="AK31" s="25">
        <f t="shared" si="8"/>
        <v>43189.75</v>
      </c>
      <c r="AL31" s="25">
        <f t="shared" si="15"/>
        <v>68931.070000000007</v>
      </c>
      <c r="AM31" s="23">
        <f t="shared" si="9"/>
        <v>4837888.76</v>
      </c>
      <c r="AO31" s="23"/>
      <c r="AP31" s="23"/>
    </row>
    <row r="32" spans="1:42" x14ac:dyDescent="0.25">
      <c r="A32" t="s">
        <v>34</v>
      </c>
      <c r="B32" t="s">
        <v>330</v>
      </c>
      <c r="C32" s="25">
        <v>510.96</v>
      </c>
      <c r="D32" s="25">
        <v>0</v>
      </c>
      <c r="E32" s="25">
        <v>29.783999999999999</v>
      </c>
      <c r="F32" s="25">
        <v>0</v>
      </c>
      <c r="G32" s="25">
        <v>2.5499999999999998</v>
      </c>
      <c r="H32" s="25">
        <v>0</v>
      </c>
      <c r="I32" s="25">
        <v>0</v>
      </c>
      <c r="J32" s="25">
        <v>0</v>
      </c>
      <c r="K32" s="192">
        <v>1.06</v>
      </c>
      <c r="L32" s="192">
        <v>1.06</v>
      </c>
      <c r="M32" s="192">
        <v>4.0000000000000036E-2</v>
      </c>
      <c r="N32" s="278"/>
      <c r="O32" s="278"/>
      <c r="P32" s="278"/>
      <c r="Q32" s="278"/>
      <c r="R32" s="278"/>
      <c r="S32" s="278"/>
      <c r="T32" s="278"/>
      <c r="U32" s="278"/>
      <c r="V32" s="278"/>
      <c r="W32" s="278"/>
      <c r="X32" s="278"/>
      <c r="Y32" s="282">
        <f>VLOOKUP(A32,'3121% SY'!$A$3:$M$600,13,FALSE)</f>
        <v>0.2359</v>
      </c>
      <c r="Z32" s="30">
        <f t="shared" si="10"/>
        <v>0.60199999999999998</v>
      </c>
      <c r="AA32" s="31">
        <f t="shared" si="2"/>
        <v>30.385999999999999</v>
      </c>
      <c r="AB32" s="32">
        <f t="shared" si="11"/>
        <v>16.82</v>
      </c>
      <c r="AC32" s="28">
        <f t="shared" si="12"/>
        <v>17</v>
      </c>
      <c r="AD32" s="33">
        <f t="shared" si="3"/>
        <v>34.715000000000003</v>
      </c>
      <c r="AE32" s="33">
        <f t="shared" si="4"/>
        <v>0</v>
      </c>
      <c r="AF32" s="25">
        <f t="shared" si="13"/>
        <v>2676237.67</v>
      </c>
      <c r="AG32" s="25">
        <f t="shared" si="14"/>
        <v>310290.31000000006</v>
      </c>
      <c r="AH32" s="25">
        <f t="shared" si="5"/>
        <v>427411.08</v>
      </c>
      <c r="AI32" s="25">
        <f t="shared" si="6"/>
        <v>73134.77999999997</v>
      </c>
      <c r="AJ32" s="25">
        <f t="shared" si="7"/>
        <v>485737.14</v>
      </c>
      <c r="AK32" s="25">
        <f t="shared" si="8"/>
        <v>54331.83</v>
      </c>
      <c r="AL32" s="25">
        <f t="shared" si="15"/>
        <v>58491.15</v>
      </c>
      <c r="AM32" s="23">
        <f t="shared" si="9"/>
        <v>4085633.96</v>
      </c>
      <c r="AO32" s="23"/>
      <c r="AP32" s="23"/>
    </row>
    <row r="33" spans="1:42" x14ac:dyDescent="0.25">
      <c r="A33" t="s">
        <v>35</v>
      </c>
      <c r="B33" t="s">
        <v>331</v>
      </c>
      <c r="C33" s="25">
        <v>73.2</v>
      </c>
      <c r="D33" s="25">
        <v>0</v>
      </c>
      <c r="E33" s="25">
        <v>5.0330000000000004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192">
        <v>1.06</v>
      </c>
      <c r="L33" s="192">
        <v>1.06</v>
      </c>
      <c r="M33" s="192">
        <v>0</v>
      </c>
      <c r="N33" s="278"/>
      <c r="O33" s="278"/>
      <c r="P33" s="278"/>
      <c r="Q33" s="278"/>
      <c r="R33" s="278"/>
      <c r="S33" s="278"/>
      <c r="T33" s="278"/>
      <c r="U33" s="278"/>
      <c r="V33" s="278"/>
      <c r="W33" s="278"/>
      <c r="X33" s="278"/>
      <c r="Y33" s="282">
        <f>VLOOKUP(A33,'3121% SY'!$A$3:$M$600,13,FALSE)</f>
        <v>0.19130000000000003</v>
      </c>
      <c r="Z33" s="30">
        <f t="shared" si="10"/>
        <v>0</v>
      </c>
      <c r="AA33" s="31">
        <f t="shared" si="2"/>
        <v>5.0330000000000004</v>
      </c>
      <c r="AB33" s="32">
        <f t="shared" si="11"/>
        <v>14.54</v>
      </c>
      <c r="AC33" s="28">
        <f t="shared" si="12"/>
        <v>17</v>
      </c>
      <c r="AD33" s="33">
        <f t="shared" si="3"/>
        <v>4.9729999999999999</v>
      </c>
      <c r="AE33" s="33">
        <f t="shared" si="4"/>
        <v>0</v>
      </c>
      <c r="AF33" s="25">
        <f t="shared" si="13"/>
        <v>383376.92</v>
      </c>
      <c r="AG33" s="25">
        <f t="shared" si="14"/>
        <v>28892.440000000002</v>
      </c>
      <c r="AH33" s="25">
        <f t="shared" si="5"/>
        <v>61227.58</v>
      </c>
      <c r="AI33" s="25">
        <f t="shared" si="6"/>
        <v>10476.709999999992</v>
      </c>
      <c r="AJ33" s="25">
        <f t="shared" si="7"/>
        <v>69582.91</v>
      </c>
      <c r="AK33" s="25">
        <f t="shared" si="8"/>
        <v>5059.07</v>
      </c>
      <c r="AL33" s="25">
        <f t="shared" si="15"/>
        <v>8074.3</v>
      </c>
      <c r="AM33" s="23">
        <f t="shared" si="9"/>
        <v>566689.93000000005</v>
      </c>
      <c r="AO33" s="23"/>
      <c r="AP33" s="23"/>
    </row>
    <row r="34" spans="1:42" x14ac:dyDescent="0.25">
      <c r="A34" t="s">
        <v>36</v>
      </c>
      <c r="B34" t="s">
        <v>332</v>
      </c>
      <c r="C34" s="25">
        <v>707.98</v>
      </c>
      <c r="D34" s="25">
        <v>79.56</v>
      </c>
      <c r="E34" s="25">
        <v>40.155999999999999</v>
      </c>
      <c r="F34" s="25">
        <v>4.9240000000000004</v>
      </c>
      <c r="G34" s="25">
        <v>5.7450000000000001</v>
      </c>
      <c r="H34" s="25">
        <v>0</v>
      </c>
      <c r="I34" s="25">
        <v>0</v>
      </c>
      <c r="J34" s="25">
        <v>0</v>
      </c>
      <c r="K34" s="192">
        <v>1.06</v>
      </c>
      <c r="L34" s="192">
        <v>1.06</v>
      </c>
      <c r="M34" s="192">
        <v>0</v>
      </c>
      <c r="N34" s="278"/>
      <c r="O34" s="278"/>
      <c r="P34" s="278"/>
      <c r="Q34" s="278"/>
      <c r="R34" s="278"/>
      <c r="S34" s="278"/>
      <c r="T34" s="278"/>
      <c r="U34" s="278"/>
      <c r="V34" s="278"/>
      <c r="W34" s="278"/>
      <c r="X34" s="278"/>
      <c r="Y34" s="282">
        <f>VLOOKUP(A34,'3121% SY'!$A$3:$M$600,13,FALSE)</f>
        <v>0.23609999999999998</v>
      </c>
      <c r="Z34" s="30">
        <f t="shared" si="10"/>
        <v>1.3560000000000001</v>
      </c>
      <c r="AA34" s="31">
        <f t="shared" si="2"/>
        <v>46.436</v>
      </c>
      <c r="AB34" s="32">
        <f t="shared" si="11"/>
        <v>16.96</v>
      </c>
      <c r="AC34" s="28">
        <f t="shared" si="12"/>
        <v>17</v>
      </c>
      <c r="AD34" s="33">
        <f t="shared" si="3"/>
        <v>48.100999999999999</v>
      </c>
      <c r="AE34" s="33">
        <f t="shared" si="4"/>
        <v>5.4050000000000002</v>
      </c>
      <c r="AF34" s="25">
        <f t="shared" si="13"/>
        <v>4124867.43</v>
      </c>
      <c r="AG34" s="25">
        <f t="shared" si="14"/>
        <v>310862.36999999965</v>
      </c>
      <c r="AH34" s="25">
        <f t="shared" si="5"/>
        <v>658765.87</v>
      </c>
      <c r="AI34" s="25">
        <f t="shared" si="6"/>
        <v>112722.16000000003</v>
      </c>
      <c r="AJ34" s="25">
        <f t="shared" si="7"/>
        <v>748663.44</v>
      </c>
      <c r="AK34" s="25">
        <f t="shared" si="8"/>
        <v>54432</v>
      </c>
      <c r="AL34" s="25">
        <f t="shared" si="15"/>
        <v>86873.77</v>
      </c>
      <c r="AM34" s="23">
        <f t="shared" si="9"/>
        <v>6097187.0399999991</v>
      </c>
      <c r="AO34" s="23"/>
      <c r="AP34" s="23"/>
    </row>
    <row r="35" spans="1:42" x14ac:dyDescent="0.25">
      <c r="A35" t="s">
        <v>37</v>
      </c>
      <c r="B35" t="s">
        <v>333</v>
      </c>
      <c r="C35" s="25">
        <v>5788.29</v>
      </c>
      <c r="D35" s="25">
        <v>66.52</v>
      </c>
      <c r="E35" s="25">
        <v>325.279</v>
      </c>
      <c r="F35" s="25">
        <v>7</v>
      </c>
      <c r="G35" s="25">
        <v>47.253999999999998</v>
      </c>
      <c r="H35" s="25">
        <v>0</v>
      </c>
      <c r="I35" s="25">
        <v>0</v>
      </c>
      <c r="J35" s="25">
        <v>0</v>
      </c>
      <c r="K35" s="192">
        <v>1.06</v>
      </c>
      <c r="L35" s="192">
        <v>1.06</v>
      </c>
      <c r="M35" s="192">
        <v>4.0000000000000036E-2</v>
      </c>
      <c r="N35" s="278"/>
      <c r="O35" s="278"/>
      <c r="P35" s="278"/>
      <c r="Q35" s="278"/>
      <c r="R35" s="278"/>
      <c r="S35" s="278"/>
      <c r="T35" s="278"/>
      <c r="U35" s="278"/>
      <c r="V35" s="278"/>
      <c r="W35" s="278"/>
      <c r="X35" s="278"/>
      <c r="Y35" s="282">
        <f>VLOOKUP(A35,'3121% SY'!$A$3:$M$600,13,FALSE)</f>
        <v>0.21540000000000004</v>
      </c>
      <c r="Z35" s="30">
        <f t="shared" si="10"/>
        <v>10.179</v>
      </c>
      <c r="AA35" s="31">
        <f t="shared" si="2"/>
        <v>342.45799999999997</v>
      </c>
      <c r="AB35" s="32">
        <f t="shared" si="11"/>
        <v>17.100000000000001</v>
      </c>
      <c r="AC35" s="28">
        <f t="shared" si="12"/>
        <v>17.100000000000001</v>
      </c>
      <c r="AD35" s="33">
        <f t="shared" si="3"/>
        <v>390.96300000000002</v>
      </c>
      <c r="AE35" s="33">
        <f t="shared" si="4"/>
        <v>4.4930000000000003</v>
      </c>
      <c r="AF35" s="25">
        <f t="shared" si="13"/>
        <v>30486367.41</v>
      </c>
      <c r="AG35" s="25">
        <f t="shared" si="14"/>
        <v>3534672.7200000025</v>
      </c>
      <c r="AH35" s="25">
        <f t="shared" si="5"/>
        <v>4868854.2699999996</v>
      </c>
      <c r="AI35" s="25">
        <f t="shared" si="6"/>
        <v>833115.0700000003</v>
      </c>
      <c r="AJ35" s="25">
        <f t="shared" si="7"/>
        <v>5533275.6799999997</v>
      </c>
      <c r="AK35" s="25">
        <f t="shared" si="8"/>
        <v>618921.18999999994</v>
      </c>
      <c r="AL35" s="25">
        <f t="shared" si="15"/>
        <v>666302.06999999995</v>
      </c>
      <c r="AM35" s="23">
        <f t="shared" si="9"/>
        <v>46541508.410000004</v>
      </c>
      <c r="AO35" s="23"/>
      <c r="AP35" s="23"/>
    </row>
    <row r="36" spans="1:42" x14ac:dyDescent="0.25">
      <c r="A36" t="s">
        <v>38</v>
      </c>
      <c r="B36" t="s">
        <v>334</v>
      </c>
      <c r="C36" s="25">
        <v>1699.22</v>
      </c>
      <c r="D36" s="25">
        <v>14.4</v>
      </c>
      <c r="E36" s="25">
        <v>94.543999999999997</v>
      </c>
      <c r="F36" s="25">
        <v>1</v>
      </c>
      <c r="G36" s="25">
        <v>10.919</v>
      </c>
      <c r="H36" s="25">
        <v>0</v>
      </c>
      <c r="I36" s="25">
        <v>0</v>
      </c>
      <c r="J36" s="25">
        <v>0</v>
      </c>
      <c r="K36" s="192">
        <v>1.06</v>
      </c>
      <c r="L36" s="192">
        <v>1.06</v>
      </c>
      <c r="M36" s="192">
        <v>4.0000000000000036E-2</v>
      </c>
      <c r="N36" s="278"/>
      <c r="O36" s="278"/>
      <c r="P36" s="278"/>
      <c r="Q36" s="278"/>
      <c r="R36" s="278"/>
      <c r="S36" s="278"/>
      <c r="T36" s="278"/>
      <c r="U36" s="278"/>
      <c r="V36" s="278"/>
      <c r="W36" s="278"/>
      <c r="X36" s="278"/>
      <c r="Y36" s="282">
        <f>VLOOKUP(A36,'3121% SY'!$A$3:$M$600,13,FALSE)</f>
        <v>0.20230000000000004</v>
      </c>
      <c r="Z36" s="30">
        <f t="shared" si="10"/>
        <v>2.2090000000000001</v>
      </c>
      <c r="AA36" s="31">
        <f t="shared" si="2"/>
        <v>97.753</v>
      </c>
      <c r="AB36" s="32">
        <f t="shared" si="11"/>
        <v>17.53</v>
      </c>
      <c r="AC36" s="28">
        <f t="shared" si="12"/>
        <v>17.53</v>
      </c>
      <c r="AD36" s="33">
        <f t="shared" si="3"/>
        <v>111.95699999999999</v>
      </c>
      <c r="AE36" s="33">
        <f t="shared" si="4"/>
        <v>0.94899999999999995</v>
      </c>
      <c r="AF36" s="25">
        <f t="shared" si="13"/>
        <v>8704113.2200000007</v>
      </c>
      <c r="AG36" s="25">
        <f t="shared" si="14"/>
        <v>1009178.6699999999</v>
      </c>
      <c r="AH36" s="25">
        <f t="shared" si="5"/>
        <v>1390098.67</v>
      </c>
      <c r="AI36" s="25">
        <f t="shared" si="6"/>
        <v>237861.33000000007</v>
      </c>
      <c r="AJ36" s="25">
        <f t="shared" si="7"/>
        <v>1579796.55</v>
      </c>
      <c r="AK36" s="25">
        <f t="shared" si="8"/>
        <v>176707.19</v>
      </c>
      <c r="AL36" s="25">
        <f t="shared" si="15"/>
        <v>190234.82</v>
      </c>
      <c r="AM36" s="23">
        <f t="shared" si="9"/>
        <v>13287990.450000001</v>
      </c>
      <c r="AO36" s="23"/>
      <c r="AP36" s="23"/>
    </row>
    <row r="37" spans="1:42" x14ac:dyDescent="0.25">
      <c r="A37" t="s">
        <v>39</v>
      </c>
      <c r="B37" t="s">
        <v>335</v>
      </c>
      <c r="C37" s="25">
        <v>3138.65</v>
      </c>
      <c r="D37" s="25">
        <v>112.84</v>
      </c>
      <c r="E37" s="25">
        <v>181.69900000000001</v>
      </c>
      <c r="F37" s="25">
        <v>7</v>
      </c>
      <c r="G37" s="25">
        <v>20.95</v>
      </c>
      <c r="H37" s="25">
        <v>0</v>
      </c>
      <c r="I37" s="25">
        <v>0</v>
      </c>
      <c r="J37" s="25">
        <v>0</v>
      </c>
      <c r="K37" s="192">
        <v>1.06</v>
      </c>
      <c r="L37" s="192">
        <v>1.06</v>
      </c>
      <c r="M37" s="192">
        <v>4.0000000000000036E-2</v>
      </c>
      <c r="N37" s="278"/>
      <c r="O37" s="278"/>
      <c r="P37" s="278"/>
      <c r="Q37" s="278"/>
      <c r="R37" s="278"/>
      <c r="S37" s="278"/>
      <c r="T37" s="278"/>
      <c r="U37" s="278"/>
      <c r="V37" s="278"/>
      <c r="W37" s="278"/>
      <c r="X37" s="278"/>
      <c r="Y37" s="282">
        <f>VLOOKUP(A37,'3121% SY'!$A$3:$M$600,13,FALSE)</f>
        <v>0.22189999999999999</v>
      </c>
      <c r="Z37" s="30">
        <f t="shared" si="10"/>
        <v>4.649</v>
      </c>
      <c r="AA37" s="31">
        <f t="shared" si="2"/>
        <v>193.34800000000001</v>
      </c>
      <c r="AB37" s="32">
        <f t="shared" si="11"/>
        <v>16.82</v>
      </c>
      <c r="AC37" s="28">
        <f t="shared" si="12"/>
        <v>17</v>
      </c>
      <c r="AD37" s="33">
        <f t="shared" si="3"/>
        <v>213.244</v>
      </c>
      <c r="AE37" s="33">
        <f t="shared" si="4"/>
        <v>7.6660000000000004</v>
      </c>
      <c r="AF37" s="25">
        <f t="shared" si="13"/>
        <v>17030323.030000001</v>
      </c>
      <c r="AG37" s="25">
        <f t="shared" si="14"/>
        <v>1974542.1799999997</v>
      </c>
      <c r="AH37" s="25">
        <f t="shared" si="5"/>
        <v>2719843.92</v>
      </c>
      <c r="AI37" s="25">
        <f t="shared" si="6"/>
        <v>465395.52</v>
      </c>
      <c r="AJ37" s="25">
        <f t="shared" si="7"/>
        <v>3091003.63</v>
      </c>
      <c r="AK37" s="25">
        <f t="shared" si="8"/>
        <v>345742.34</v>
      </c>
      <c r="AL37" s="25">
        <f t="shared" si="15"/>
        <v>372210.29</v>
      </c>
      <c r="AM37" s="23">
        <f t="shared" si="9"/>
        <v>25999060.91</v>
      </c>
      <c r="AO37" s="23"/>
      <c r="AP37" s="23"/>
    </row>
    <row r="38" spans="1:42" x14ac:dyDescent="0.25">
      <c r="A38" t="s">
        <v>40</v>
      </c>
      <c r="B38" t="s">
        <v>336</v>
      </c>
      <c r="C38" s="25">
        <v>1127.0999999999999</v>
      </c>
      <c r="D38" s="25">
        <v>0</v>
      </c>
      <c r="E38" s="25">
        <v>66.120999999999995</v>
      </c>
      <c r="F38" s="25">
        <v>0</v>
      </c>
      <c r="G38" s="25">
        <v>5.9720000000000004</v>
      </c>
      <c r="H38" s="25">
        <v>0</v>
      </c>
      <c r="I38" s="25">
        <v>0</v>
      </c>
      <c r="J38" s="25">
        <v>0</v>
      </c>
      <c r="K38" s="192">
        <v>1.06</v>
      </c>
      <c r="L38" s="192">
        <v>1.06</v>
      </c>
      <c r="M38" s="192">
        <v>0</v>
      </c>
      <c r="N38" s="278"/>
      <c r="O38" s="278"/>
      <c r="P38" s="278"/>
      <c r="Q38" s="278"/>
      <c r="R38" s="278"/>
      <c r="S38" s="278"/>
      <c r="T38" s="278"/>
      <c r="U38" s="278"/>
      <c r="V38" s="278"/>
      <c r="W38" s="278"/>
      <c r="X38" s="278"/>
      <c r="Y38" s="282">
        <f>VLOOKUP(A38,'3121% SY'!$A$3:$M$600,13,FALSE)</f>
        <v>0.1794</v>
      </c>
      <c r="Z38" s="30">
        <f t="shared" si="10"/>
        <v>1.071</v>
      </c>
      <c r="AA38" s="31">
        <f t="shared" si="2"/>
        <v>67.191999999999993</v>
      </c>
      <c r="AB38" s="32">
        <f t="shared" si="11"/>
        <v>16.77</v>
      </c>
      <c r="AC38" s="28">
        <f t="shared" si="12"/>
        <v>17</v>
      </c>
      <c r="AD38" s="33">
        <f t="shared" si="3"/>
        <v>76.576999999999998</v>
      </c>
      <c r="AE38" s="33">
        <f t="shared" si="4"/>
        <v>0</v>
      </c>
      <c r="AF38" s="25">
        <f t="shared" si="13"/>
        <v>5903449.5800000001</v>
      </c>
      <c r="AG38" s="25">
        <f t="shared" si="14"/>
        <v>444901.65000000037</v>
      </c>
      <c r="AH38" s="25">
        <f t="shared" si="5"/>
        <v>942816.02</v>
      </c>
      <c r="AI38" s="25">
        <f t="shared" si="6"/>
        <v>161326.30000000005</v>
      </c>
      <c r="AJ38" s="25">
        <f t="shared" si="7"/>
        <v>1071476.1000000001</v>
      </c>
      <c r="AK38" s="25">
        <f t="shared" si="8"/>
        <v>77902.28</v>
      </c>
      <c r="AL38" s="25">
        <f t="shared" si="15"/>
        <v>124332.46</v>
      </c>
      <c r="AM38" s="23">
        <f t="shared" si="9"/>
        <v>8726204.3900000006</v>
      </c>
      <c r="AO38" s="23"/>
      <c r="AP38" s="23"/>
    </row>
    <row r="39" spans="1:42" x14ac:dyDescent="0.25">
      <c r="A39" t="s">
        <v>1106</v>
      </c>
      <c r="B39" t="s">
        <v>1107</v>
      </c>
      <c r="C39" s="25">
        <v>0</v>
      </c>
      <c r="D39" s="25">
        <v>0</v>
      </c>
      <c r="E39" s="25">
        <v>0</v>
      </c>
      <c r="F39" s="25">
        <v>0</v>
      </c>
      <c r="G39" s="25">
        <v>0</v>
      </c>
      <c r="H39" s="25">
        <v>0</v>
      </c>
      <c r="I39" s="25">
        <v>0</v>
      </c>
      <c r="J39" s="25">
        <v>0</v>
      </c>
      <c r="K39" s="192">
        <v>1.06</v>
      </c>
      <c r="L39" s="192">
        <v>1.06</v>
      </c>
      <c r="M39" s="192">
        <v>0</v>
      </c>
      <c r="N39" s="278"/>
      <c r="O39" s="278"/>
      <c r="P39" s="278"/>
      <c r="Q39" s="278"/>
      <c r="R39" s="278"/>
      <c r="S39" s="278"/>
      <c r="T39" s="278"/>
      <c r="U39" s="278"/>
      <c r="V39" s="278"/>
      <c r="W39" s="278"/>
      <c r="X39" s="278"/>
      <c r="Y39" s="282">
        <f>VLOOKUP(A39,'3121% SY'!$A$3:$M$600,13,FALSE)</f>
        <v>0.13</v>
      </c>
      <c r="Z39" s="30">
        <f t="shared" si="10"/>
        <v>0</v>
      </c>
      <c r="AA39" s="31">
        <f t="shared" si="2"/>
        <v>0</v>
      </c>
      <c r="AB39" s="32">
        <f t="shared" si="11"/>
        <v>0</v>
      </c>
      <c r="AC39" s="28">
        <f t="shared" si="12"/>
        <v>25.23</v>
      </c>
      <c r="AD39" s="33">
        <f t="shared" si="3"/>
        <v>0</v>
      </c>
      <c r="AE39" s="33">
        <f t="shared" si="4"/>
        <v>0</v>
      </c>
      <c r="AF39" s="25">
        <f t="shared" si="13"/>
        <v>0</v>
      </c>
      <c r="AG39" s="25">
        <f t="shared" si="14"/>
        <v>0</v>
      </c>
      <c r="AH39" s="25">
        <f t="shared" si="5"/>
        <v>0</v>
      </c>
      <c r="AI39" s="25">
        <f t="shared" si="6"/>
        <v>0</v>
      </c>
      <c r="AJ39" s="25">
        <f t="shared" si="7"/>
        <v>0</v>
      </c>
      <c r="AK39" s="25">
        <f t="shared" si="8"/>
        <v>0</v>
      </c>
      <c r="AL39" s="25">
        <f t="shared" si="15"/>
        <v>0</v>
      </c>
      <c r="AM39" s="23">
        <f t="shared" si="9"/>
        <v>0</v>
      </c>
      <c r="AO39" s="23"/>
      <c r="AP39" s="23"/>
    </row>
    <row r="40" spans="1:42" x14ac:dyDescent="0.25">
      <c r="A40" t="s">
        <v>41</v>
      </c>
      <c r="B40" t="s">
        <v>337</v>
      </c>
      <c r="C40" s="25">
        <v>109.2</v>
      </c>
      <c r="D40" s="25">
        <v>0</v>
      </c>
      <c r="E40" s="25">
        <v>6.5650000000000004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192">
        <v>1</v>
      </c>
      <c r="L40" s="192">
        <v>1</v>
      </c>
      <c r="M40" s="192">
        <v>4.0000000000000036E-2</v>
      </c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8"/>
      <c r="Y40" s="282">
        <f>VLOOKUP(A40,'3121% SY'!$A$3:$M$600,13,FALSE)</f>
        <v>0.19130000000000003</v>
      </c>
      <c r="Z40" s="30">
        <f t="shared" si="10"/>
        <v>0</v>
      </c>
      <c r="AA40" s="31">
        <f t="shared" si="2"/>
        <v>6.5650000000000004</v>
      </c>
      <c r="AB40" s="32">
        <f t="shared" si="11"/>
        <v>16.63</v>
      </c>
      <c r="AC40" s="28">
        <f t="shared" si="12"/>
        <v>17</v>
      </c>
      <c r="AD40" s="33">
        <f t="shared" si="3"/>
        <v>7.4189999999999996</v>
      </c>
      <c r="AE40" s="33">
        <f t="shared" si="4"/>
        <v>0</v>
      </c>
      <c r="AF40" s="25">
        <f t="shared" si="13"/>
        <v>539569.03</v>
      </c>
      <c r="AG40" s="25">
        <f t="shared" si="14"/>
        <v>63872.839999999967</v>
      </c>
      <c r="AH40" s="25">
        <f t="shared" si="5"/>
        <v>91342.73</v>
      </c>
      <c r="AI40" s="25">
        <f t="shared" si="6"/>
        <v>15629.75</v>
      </c>
      <c r="AJ40" s="25">
        <f t="shared" si="7"/>
        <v>97931.78</v>
      </c>
      <c r="AK40" s="25">
        <f t="shared" si="8"/>
        <v>11184.13</v>
      </c>
      <c r="AL40" s="25">
        <f t="shared" si="15"/>
        <v>11818.41</v>
      </c>
      <c r="AM40" s="23">
        <f t="shared" si="9"/>
        <v>831348.67</v>
      </c>
      <c r="AO40" s="23"/>
      <c r="AP40" s="23"/>
    </row>
    <row r="41" spans="1:42" x14ac:dyDescent="0.25">
      <c r="A41" t="s">
        <v>42</v>
      </c>
      <c r="B41" t="s">
        <v>338</v>
      </c>
      <c r="C41" s="25">
        <v>9</v>
      </c>
      <c r="D41" s="25">
        <v>3.2</v>
      </c>
      <c r="E41" s="25">
        <v>0</v>
      </c>
      <c r="F41" s="25">
        <v>0</v>
      </c>
      <c r="G41" s="25">
        <v>0</v>
      </c>
      <c r="H41" s="25">
        <v>0</v>
      </c>
      <c r="I41" s="25">
        <v>0</v>
      </c>
      <c r="J41" s="25">
        <v>0</v>
      </c>
      <c r="K41" s="192">
        <v>1</v>
      </c>
      <c r="L41" s="192">
        <v>1</v>
      </c>
      <c r="M41" s="192">
        <v>0</v>
      </c>
      <c r="N41" s="278"/>
      <c r="O41" s="278"/>
      <c r="P41" s="278"/>
      <c r="Q41" s="278"/>
      <c r="R41" s="278"/>
      <c r="S41" s="278"/>
      <c r="T41" s="278"/>
      <c r="U41" s="278"/>
      <c r="V41" s="278"/>
      <c r="W41" s="278"/>
      <c r="X41" s="278"/>
      <c r="Y41" s="282">
        <f>VLOOKUP(A41,'3121% SY'!$A$3:$M$600,13,FALSE)</f>
        <v>0.32410000000000005</v>
      </c>
      <c r="Z41" s="30">
        <f t="shared" si="10"/>
        <v>0</v>
      </c>
      <c r="AA41" s="31">
        <f t="shared" si="2"/>
        <v>0</v>
      </c>
      <c r="AB41" s="32">
        <f t="shared" si="11"/>
        <v>0</v>
      </c>
      <c r="AC41" s="28">
        <f t="shared" si="12"/>
        <v>25.23</v>
      </c>
      <c r="AD41" s="33">
        <f t="shared" si="3"/>
        <v>0.41199999999999998</v>
      </c>
      <c r="AE41" s="33">
        <f t="shared" si="4"/>
        <v>0.14599999999999999</v>
      </c>
      <c r="AF41" s="25">
        <f t="shared" si="13"/>
        <v>40582.22</v>
      </c>
      <c r="AG41" s="25">
        <f t="shared" si="14"/>
        <v>3058.4000000000015</v>
      </c>
      <c r="AH41" s="25">
        <f t="shared" si="5"/>
        <v>6870.1</v>
      </c>
      <c r="AI41" s="25">
        <f t="shared" si="6"/>
        <v>1175.5499999999993</v>
      </c>
      <c r="AJ41" s="25">
        <f t="shared" si="7"/>
        <v>7365.67</v>
      </c>
      <c r="AK41" s="25">
        <f t="shared" si="8"/>
        <v>535.53</v>
      </c>
      <c r="AL41" s="25">
        <f t="shared" si="15"/>
        <v>854.7</v>
      </c>
      <c r="AM41" s="23">
        <f t="shared" si="9"/>
        <v>60442.17</v>
      </c>
      <c r="AO41" s="23"/>
      <c r="AP41" s="23"/>
    </row>
    <row r="42" spans="1:42" x14ac:dyDescent="0.25">
      <c r="A42" t="s">
        <v>43</v>
      </c>
      <c r="B42" t="s">
        <v>339</v>
      </c>
      <c r="C42" s="25">
        <v>1820.75</v>
      </c>
      <c r="D42" s="25">
        <v>128.22999999999999</v>
      </c>
      <c r="E42" s="25">
        <v>104.212</v>
      </c>
      <c r="F42" s="25">
        <v>8.2840000000000007</v>
      </c>
      <c r="G42" s="25">
        <v>8.391</v>
      </c>
      <c r="H42" s="25">
        <v>0</v>
      </c>
      <c r="I42" s="25">
        <v>0</v>
      </c>
      <c r="J42" s="25">
        <v>0</v>
      </c>
      <c r="K42" s="192">
        <v>1</v>
      </c>
      <c r="L42" s="192">
        <v>1</v>
      </c>
      <c r="M42" s="192">
        <v>0</v>
      </c>
      <c r="N42" s="278"/>
      <c r="O42" s="278"/>
      <c r="P42" s="278"/>
      <c r="Q42" s="278"/>
      <c r="R42" s="278"/>
      <c r="S42" s="278"/>
      <c r="T42" s="278"/>
      <c r="U42" s="278"/>
      <c r="V42" s="278"/>
      <c r="W42" s="278"/>
      <c r="X42" s="278"/>
      <c r="Y42" s="282">
        <f>VLOOKUP(A42,'3121% SY'!$A$3:$M$600,13,FALSE)</f>
        <v>0.247</v>
      </c>
      <c r="Z42" s="30">
        <f t="shared" si="10"/>
        <v>2.073</v>
      </c>
      <c r="AA42" s="31">
        <f t="shared" si="2"/>
        <v>114.569</v>
      </c>
      <c r="AB42" s="32">
        <f t="shared" si="11"/>
        <v>17.010000000000002</v>
      </c>
      <c r="AC42" s="28">
        <f t="shared" si="12"/>
        <v>17.010000000000002</v>
      </c>
      <c r="AD42" s="33">
        <f t="shared" si="3"/>
        <v>123.631</v>
      </c>
      <c r="AE42" s="33">
        <f t="shared" si="4"/>
        <v>8.7070000000000007</v>
      </c>
      <c r="AF42" s="25">
        <f t="shared" si="13"/>
        <v>9624678.0600000005</v>
      </c>
      <c r="AG42" s="25">
        <f t="shared" si="14"/>
        <v>725344.58000000007</v>
      </c>
      <c r="AH42" s="25">
        <f t="shared" si="5"/>
        <v>1629345.46</v>
      </c>
      <c r="AI42" s="25">
        <f t="shared" si="6"/>
        <v>278799.1100000001</v>
      </c>
      <c r="AJ42" s="25">
        <f t="shared" si="7"/>
        <v>1746879.07</v>
      </c>
      <c r="AK42" s="25">
        <f t="shared" si="8"/>
        <v>127007.84</v>
      </c>
      <c r="AL42" s="25">
        <f t="shared" si="15"/>
        <v>202705.19</v>
      </c>
      <c r="AM42" s="23">
        <f t="shared" si="9"/>
        <v>14334759.310000001</v>
      </c>
      <c r="AO42" s="23"/>
      <c r="AP42" s="23"/>
    </row>
    <row r="43" spans="1:42" x14ac:dyDescent="0.25">
      <c r="A43" t="s">
        <v>44</v>
      </c>
      <c r="B43" t="s">
        <v>340</v>
      </c>
      <c r="C43" s="25">
        <v>206.54</v>
      </c>
      <c r="D43" s="25">
        <v>0</v>
      </c>
      <c r="E43" s="25">
        <v>11.16</v>
      </c>
      <c r="F43" s="25">
        <v>0</v>
      </c>
      <c r="G43" s="25">
        <v>0</v>
      </c>
      <c r="H43" s="25">
        <v>0</v>
      </c>
      <c r="I43" s="25">
        <v>0</v>
      </c>
      <c r="J43" s="25">
        <v>0</v>
      </c>
      <c r="K43" s="192">
        <v>1</v>
      </c>
      <c r="L43" s="192">
        <v>1</v>
      </c>
      <c r="M43" s="192">
        <v>1.0000000000000009E-2</v>
      </c>
      <c r="N43" s="278"/>
      <c r="O43" s="278"/>
      <c r="P43" s="278"/>
      <c r="Q43" s="278"/>
      <c r="R43" s="278"/>
      <c r="S43" s="278"/>
      <c r="T43" s="278"/>
      <c r="U43" s="278"/>
      <c r="V43" s="278"/>
      <c r="W43" s="278"/>
      <c r="X43" s="278"/>
      <c r="Y43" s="282">
        <f>VLOOKUP(A43,'3121% SY'!$A$3:$M$600,13,FALSE)</f>
        <v>0.19130000000000003</v>
      </c>
      <c r="Z43" s="30">
        <f t="shared" si="10"/>
        <v>0</v>
      </c>
      <c r="AA43" s="31">
        <f t="shared" si="2"/>
        <v>11.16</v>
      </c>
      <c r="AB43" s="32">
        <f t="shared" si="11"/>
        <v>18.510000000000002</v>
      </c>
      <c r="AC43" s="28">
        <f t="shared" si="12"/>
        <v>18.510000000000002</v>
      </c>
      <c r="AD43" s="33">
        <f t="shared" si="3"/>
        <v>12.888</v>
      </c>
      <c r="AE43" s="33">
        <f t="shared" si="4"/>
        <v>0</v>
      </c>
      <c r="AF43" s="25">
        <f t="shared" si="13"/>
        <v>937318.46</v>
      </c>
      <c r="AG43" s="25">
        <f t="shared" si="14"/>
        <v>80718.710000000079</v>
      </c>
      <c r="AH43" s="25">
        <f t="shared" si="5"/>
        <v>158677.06</v>
      </c>
      <c r="AI43" s="25">
        <f t="shared" si="6"/>
        <v>27151.399999999994</v>
      </c>
      <c r="AJ43" s="25">
        <f t="shared" si="7"/>
        <v>170123.3</v>
      </c>
      <c r="AK43" s="25">
        <f t="shared" si="8"/>
        <v>14133.85</v>
      </c>
      <c r="AL43" s="25">
        <f t="shared" si="15"/>
        <v>19938.259999999998</v>
      </c>
      <c r="AM43" s="23">
        <f t="shared" si="9"/>
        <v>1408061.04</v>
      </c>
      <c r="AO43" s="23"/>
      <c r="AP43" s="23"/>
    </row>
    <row r="44" spans="1:42" x14ac:dyDescent="0.25">
      <c r="A44" t="s">
        <v>45</v>
      </c>
      <c r="B44" t="s">
        <v>341</v>
      </c>
      <c r="C44" s="25">
        <v>438.9</v>
      </c>
      <c r="D44" s="25">
        <v>0</v>
      </c>
      <c r="E44" s="25">
        <v>24.324999999999999</v>
      </c>
      <c r="F44" s="25">
        <v>0</v>
      </c>
      <c r="G44" s="25">
        <v>1.167</v>
      </c>
      <c r="H44" s="25">
        <v>0</v>
      </c>
      <c r="I44" s="25">
        <v>0</v>
      </c>
      <c r="J44" s="25">
        <v>0</v>
      </c>
      <c r="K44" s="192">
        <v>1</v>
      </c>
      <c r="L44" s="192">
        <v>1</v>
      </c>
      <c r="M44" s="192">
        <v>0</v>
      </c>
      <c r="N44" s="278"/>
      <c r="O44" s="278"/>
      <c r="P44" s="278"/>
      <c r="Q44" s="278"/>
      <c r="R44" s="278"/>
      <c r="S44" s="278"/>
      <c r="T44" s="278"/>
      <c r="U44" s="278"/>
      <c r="V44" s="278"/>
      <c r="W44" s="278"/>
      <c r="X44" s="278"/>
      <c r="Y44" s="282">
        <f>VLOOKUP(A44,'3121% SY'!$A$3:$M$600,13,FALSE)</f>
        <v>0.1804</v>
      </c>
      <c r="Z44" s="30">
        <f t="shared" si="10"/>
        <v>0.21099999999999999</v>
      </c>
      <c r="AA44" s="31">
        <f t="shared" si="2"/>
        <v>24.535999999999998</v>
      </c>
      <c r="AB44" s="32">
        <f t="shared" si="11"/>
        <v>17.89</v>
      </c>
      <c r="AC44" s="28">
        <f t="shared" si="12"/>
        <v>17.89</v>
      </c>
      <c r="AD44" s="33">
        <f t="shared" si="3"/>
        <v>28.335999999999999</v>
      </c>
      <c r="AE44" s="33">
        <f t="shared" si="4"/>
        <v>0</v>
      </c>
      <c r="AF44" s="25">
        <f t="shared" si="13"/>
        <v>2060820.61</v>
      </c>
      <c r="AG44" s="25">
        <f t="shared" si="14"/>
        <v>155309.6100000001</v>
      </c>
      <c r="AH44" s="25">
        <f t="shared" si="5"/>
        <v>348872.83</v>
      </c>
      <c r="AI44" s="25">
        <f t="shared" si="6"/>
        <v>59696.01999999996</v>
      </c>
      <c r="AJ44" s="25">
        <f t="shared" si="7"/>
        <v>374038.94</v>
      </c>
      <c r="AK44" s="25">
        <f t="shared" si="8"/>
        <v>27194.71</v>
      </c>
      <c r="AL44" s="25">
        <f t="shared" si="15"/>
        <v>43402.91</v>
      </c>
      <c r="AM44" s="23">
        <f t="shared" si="9"/>
        <v>3069335.6300000004</v>
      </c>
      <c r="AO44" s="23"/>
      <c r="AP44" s="23"/>
    </row>
    <row r="45" spans="1:42" x14ac:dyDescent="0.25">
      <c r="A45" t="s">
        <v>46</v>
      </c>
      <c r="B45" t="s">
        <v>342</v>
      </c>
      <c r="C45" s="25">
        <v>321.2</v>
      </c>
      <c r="D45" s="25">
        <v>36</v>
      </c>
      <c r="E45" s="25">
        <v>28.87</v>
      </c>
      <c r="F45" s="25">
        <v>2.1139999999999999</v>
      </c>
      <c r="G45" s="25">
        <v>0</v>
      </c>
      <c r="H45" s="25">
        <v>0</v>
      </c>
      <c r="I45" s="25">
        <v>0</v>
      </c>
      <c r="J45" s="25">
        <v>0</v>
      </c>
      <c r="K45" s="192">
        <v>1</v>
      </c>
      <c r="L45" s="192">
        <v>1</v>
      </c>
      <c r="M45" s="192">
        <v>0</v>
      </c>
      <c r="N45" s="278"/>
      <c r="O45" s="278"/>
      <c r="P45" s="278"/>
      <c r="Q45" s="278"/>
      <c r="R45" s="278"/>
      <c r="S45" s="278"/>
      <c r="T45" s="278"/>
      <c r="U45" s="278"/>
      <c r="V45" s="278"/>
      <c r="W45" s="278"/>
      <c r="X45" s="278"/>
      <c r="Y45" s="282">
        <f>VLOOKUP(A45,'3121% SY'!$A$3:$M$600,13,FALSE)</f>
        <v>0.19130000000000003</v>
      </c>
      <c r="Z45" s="30">
        <f t="shared" si="10"/>
        <v>0</v>
      </c>
      <c r="AA45" s="31">
        <f t="shared" si="2"/>
        <v>30.984000000000002</v>
      </c>
      <c r="AB45" s="32">
        <f t="shared" si="11"/>
        <v>11.53</v>
      </c>
      <c r="AC45" s="28">
        <f t="shared" si="12"/>
        <v>17</v>
      </c>
      <c r="AD45" s="33">
        <f t="shared" si="3"/>
        <v>21.823</v>
      </c>
      <c r="AE45" s="33">
        <f t="shared" si="4"/>
        <v>2.4460000000000002</v>
      </c>
      <c r="AF45" s="25">
        <f t="shared" si="13"/>
        <v>1765035.83</v>
      </c>
      <c r="AG45" s="25">
        <f t="shared" si="14"/>
        <v>133018.3899999999</v>
      </c>
      <c r="AH45" s="25">
        <f t="shared" si="5"/>
        <v>298799.93</v>
      </c>
      <c r="AI45" s="25">
        <f t="shared" si="6"/>
        <v>51127.989999999991</v>
      </c>
      <c r="AJ45" s="25">
        <f t="shared" si="7"/>
        <v>320354</v>
      </c>
      <c r="AK45" s="25">
        <f t="shared" si="8"/>
        <v>23291.52</v>
      </c>
      <c r="AL45" s="25">
        <f t="shared" si="15"/>
        <v>37173.39</v>
      </c>
      <c r="AM45" s="23">
        <f t="shared" si="9"/>
        <v>2628801.0499999998</v>
      </c>
      <c r="AO45" s="23"/>
      <c r="AP45" s="23"/>
    </row>
    <row r="46" spans="1:42" x14ac:dyDescent="0.25">
      <c r="A46" t="s">
        <v>47</v>
      </c>
      <c r="B46" t="s">
        <v>343</v>
      </c>
      <c r="C46" s="25">
        <v>693.17</v>
      </c>
      <c r="D46" s="25">
        <v>0</v>
      </c>
      <c r="E46" s="25">
        <v>42.862000000000002</v>
      </c>
      <c r="F46" s="25">
        <v>0</v>
      </c>
      <c r="G46" s="25">
        <v>2.2909999999999999</v>
      </c>
      <c r="H46" s="25">
        <v>0</v>
      </c>
      <c r="I46" s="25">
        <v>0</v>
      </c>
      <c r="J46" s="25">
        <v>0</v>
      </c>
      <c r="K46" s="192">
        <v>1</v>
      </c>
      <c r="L46" s="192">
        <v>1</v>
      </c>
      <c r="M46" s="192">
        <v>0</v>
      </c>
      <c r="N46" s="278"/>
      <c r="O46" s="278"/>
      <c r="P46" s="278"/>
      <c r="Q46" s="278"/>
      <c r="R46" s="278"/>
      <c r="S46" s="278"/>
      <c r="T46" s="278"/>
      <c r="U46" s="278"/>
      <c r="V46" s="278"/>
      <c r="W46" s="278"/>
      <c r="X46" s="278"/>
      <c r="Y46" s="282">
        <f>VLOOKUP(A46,'3121% SY'!$A$3:$M$600,13,FALSE)</f>
        <v>0.23580000000000001</v>
      </c>
      <c r="Z46" s="30">
        <f t="shared" si="10"/>
        <v>0.54</v>
      </c>
      <c r="AA46" s="31">
        <f t="shared" si="2"/>
        <v>43.402000000000001</v>
      </c>
      <c r="AB46" s="32">
        <f t="shared" si="11"/>
        <v>15.97</v>
      </c>
      <c r="AC46" s="28">
        <f t="shared" si="12"/>
        <v>17</v>
      </c>
      <c r="AD46" s="33">
        <f t="shared" si="3"/>
        <v>47.094999999999999</v>
      </c>
      <c r="AE46" s="33">
        <f t="shared" si="4"/>
        <v>0</v>
      </c>
      <c r="AF46" s="25">
        <f t="shared" si="13"/>
        <v>3425125.16</v>
      </c>
      <c r="AG46" s="25">
        <f t="shared" si="14"/>
        <v>258127.69999999972</v>
      </c>
      <c r="AH46" s="25">
        <f t="shared" si="5"/>
        <v>579833.64</v>
      </c>
      <c r="AI46" s="25">
        <f t="shared" si="6"/>
        <v>99215.979999999981</v>
      </c>
      <c r="AJ46" s="25">
        <f t="shared" si="7"/>
        <v>621660.22</v>
      </c>
      <c r="AK46" s="25">
        <f t="shared" si="8"/>
        <v>45198.16</v>
      </c>
      <c r="AL46" s="25">
        <f t="shared" si="15"/>
        <v>72136.509999999995</v>
      </c>
      <c r="AM46" s="23">
        <f t="shared" si="9"/>
        <v>5101297.37</v>
      </c>
      <c r="AO46" s="23"/>
      <c r="AP46" s="23"/>
    </row>
    <row r="47" spans="1:42" x14ac:dyDescent="0.25">
      <c r="A47" t="s">
        <v>48</v>
      </c>
      <c r="B47" t="s">
        <v>344</v>
      </c>
      <c r="C47" s="25">
        <v>1375.46</v>
      </c>
      <c r="D47" s="25">
        <v>155.19</v>
      </c>
      <c r="E47" s="25">
        <v>80.954999999999998</v>
      </c>
      <c r="F47" s="25">
        <v>10</v>
      </c>
      <c r="G47" s="25">
        <v>6.851</v>
      </c>
      <c r="H47" s="25">
        <v>0</v>
      </c>
      <c r="I47" s="25">
        <v>0</v>
      </c>
      <c r="J47" s="25">
        <v>0</v>
      </c>
      <c r="K47" s="192">
        <v>1</v>
      </c>
      <c r="L47" s="192">
        <v>1</v>
      </c>
      <c r="M47" s="192">
        <v>0</v>
      </c>
      <c r="N47" s="278"/>
      <c r="O47" s="278"/>
      <c r="P47" s="278"/>
      <c r="Q47" s="278"/>
      <c r="R47" s="278"/>
      <c r="S47" s="278"/>
      <c r="T47" s="278"/>
      <c r="U47" s="278"/>
      <c r="V47" s="278"/>
      <c r="W47" s="278"/>
      <c r="X47" s="278"/>
      <c r="Y47" s="282">
        <f>VLOOKUP(A47,'3121% SY'!$A$3:$M$600,13,FALSE)</f>
        <v>0.25760000000000005</v>
      </c>
      <c r="Z47" s="30">
        <f t="shared" si="10"/>
        <v>1.7649999999999999</v>
      </c>
      <c r="AA47" s="31">
        <f t="shared" si="2"/>
        <v>92.72</v>
      </c>
      <c r="AB47" s="32">
        <f t="shared" si="11"/>
        <v>16.510000000000002</v>
      </c>
      <c r="AC47" s="28">
        <f t="shared" si="12"/>
        <v>17</v>
      </c>
      <c r="AD47" s="33">
        <f t="shared" si="3"/>
        <v>93.45</v>
      </c>
      <c r="AE47" s="33">
        <f t="shared" si="4"/>
        <v>10.544</v>
      </c>
      <c r="AF47" s="25">
        <f t="shared" si="13"/>
        <v>7563275.6299999999</v>
      </c>
      <c r="AG47" s="25">
        <f t="shared" si="14"/>
        <v>569991.12000000011</v>
      </c>
      <c r="AH47" s="25">
        <f t="shared" si="5"/>
        <v>1280374.1299999999</v>
      </c>
      <c r="AI47" s="25">
        <f t="shared" si="6"/>
        <v>219086.24000000022</v>
      </c>
      <c r="AJ47" s="25">
        <f t="shared" si="7"/>
        <v>1372734.53</v>
      </c>
      <c r="AK47" s="25">
        <f t="shared" si="8"/>
        <v>99805.45</v>
      </c>
      <c r="AL47" s="25">
        <f t="shared" si="15"/>
        <v>159290.03</v>
      </c>
      <c r="AM47" s="23">
        <f t="shared" si="9"/>
        <v>11264557.129999997</v>
      </c>
      <c r="AO47" s="23"/>
      <c r="AP47" s="23"/>
    </row>
    <row r="48" spans="1:42" x14ac:dyDescent="0.25">
      <c r="A48" t="s">
        <v>49</v>
      </c>
      <c r="B48" t="s">
        <v>345</v>
      </c>
      <c r="C48" s="25">
        <v>57</v>
      </c>
      <c r="D48" s="25">
        <v>0</v>
      </c>
      <c r="E48" s="25">
        <v>4.6550000000000002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192">
        <v>1</v>
      </c>
      <c r="L48" s="192">
        <v>1</v>
      </c>
      <c r="M48" s="192">
        <v>0</v>
      </c>
      <c r="N48" s="278"/>
      <c r="O48" s="278"/>
      <c r="P48" s="278"/>
      <c r="Q48" s="278"/>
      <c r="R48" s="278"/>
      <c r="S48" s="278"/>
      <c r="T48" s="278"/>
      <c r="U48" s="278"/>
      <c r="V48" s="278"/>
      <c r="W48" s="278"/>
      <c r="X48" s="278"/>
      <c r="Y48" s="282">
        <f>VLOOKUP(A48,'3121% SY'!$A$3:$M$600,13,FALSE)</f>
        <v>0.19130000000000003</v>
      </c>
      <c r="Z48" s="30">
        <f t="shared" si="10"/>
        <v>0</v>
      </c>
      <c r="AA48" s="31">
        <f t="shared" si="2"/>
        <v>4.6550000000000002</v>
      </c>
      <c r="AB48" s="32">
        <f t="shared" si="11"/>
        <v>12.24</v>
      </c>
      <c r="AC48" s="28">
        <f t="shared" si="12"/>
        <v>17</v>
      </c>
      <c r="AD48" s="33">
        <f t="shared" si="3"/>
        <v>3.8730000000000002</v>
      </c>
      <c r="AE48" s="33">
        <f t="shared" si="4"/>
        <v>0</v>
      </c>
      <c r="AF48" s="25">
        <f t="shared" si="13"/>
        <v>281675.53999999998</v>
      </c>
      <c r="AG48" s="25">
        <f t="shared" si="14"/>
        <v>21227.920000000042</v>
      </c>
      <c r="AH48" s="25">
        <f t="shared" si="5"/>
        <v>47684.38</v>
      </c>
      <c r="AI48" s="25">
        <f t="shared" si="6"/>
        <v>8159.32</v>
      </c>
      <c r="AJ48" s="25">
        <f t="shared" si="7"/>
        <v>51124.11</v>
      </c>
      <c r="AK48" s="25">
        <f t="shared" si="8"/>
        <v>3717.01</v>
      </c>
      <c r="AL48" s="25">
        <f t="shared" si="15"/>
        <v>5932.36</v>
      </c>
      <c r="AM48" s="23">
        <f t="shared" si="9"/>
        <v>419520.64</v>
      </c>
      <c r="AO48" s="23"/>
      <c r="AP48" s="23"/>
    </row>
    <row r="49" spans="1:42" x14ac:dyDescent="0.25">
      <c r="A49" t="s">
        <v>50</v>
      </c>
      <c r="B49" t="s">
        <v>346</v>
      </c>
      <c r="C49" s="25">
        <v>205</v>
      </c>
      <c r="D49" s="25">
        <v>25.07</v>
      </c>
      <c r="E49" s="25">
        <v>12.67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192">
        <v>1</v>
      </c>
      <c r="L49" s="192">
        <v>1</v>
      </c>
      <c r="M49" s="192">
        <v>0</v>
      </c>
      <c r="N49" s="278"/>
      <c r="O49" s="278"/>
      <c r="P49" s="278"/>
      <c r="Q49" s="278"/>
      <c r="R49" s="278"/>
      <c r="S49" s="278"/>
      <c r="T49" s="278"/>
      <c r="U49" s="278"/>
      <c r="V49" s="278"/>
      <c r="W49" s="278"/>
      <c r="X49" s="278"/>
      <c r="Y49" s="282">
        <f>VLOOKUP(A49,'3121% SY'!$A$3:$M$600,13,FALSE)</f>
        <v>0.1552</v>
      </c>
      <c r="Z49" s="30">
        <f t="shared" si="10"/>
        <v>0</v>
      </c>
      <c r="AA49" s="31">
        <f t="shared" si="2"/>
        <v>12.67</v>
      </c>
      <c r="AB49" s="32">
        <f t="shared" si="11"/>
        <v>18.16</v>
      </c>
      <c r="AC49" s="28">
        <f t="shared" si="12"/>
        <v>18.16</v>
      </c>
      <c r="AD49" s="33">
        <f t="shared" si="3"/>
        <v>13.038</v>
      </c>
      <c r="AE49" s="33">
        <f t="shared" si="4"/>
        <v>1.5940000000000001</v>
      </c>
      <c r="AF49" s="25">
        <f t="shared" si="13"/>
        <v>1064156.1000000001</v>
      </c>
      <c r="AG49" s="25">
        <f t="shared" si="14"/>
        <v>80197.989999999991</v>
      </c>
      <c r="AH49" s="25">
        <f t="shared" si="5"/>
        <v>180149.18</v>
      </c>
      <c r="AI49" s="25">
        <f t="shared" si="6"/>
        <v>30825.53</v>
      </c>
      <c r="AJ49" s="25">
        <f t="shared" si="7"/>
        <v>193144.33</v>
      </c>
      <c r="AK49" s="25">
        <f t="shared" si="8"/>
        <v>14042.67</v>
      </c>
      <c r="AL49" s="25">
        <f t="shared" si="15"/>
        <v>22412.17</v>
      </c>
      <c r="AM49" s="23">
        <f t="shared" si="9"/>
        <v>1584927.97</v>
      </c>
      <c r="AO49" s="23"/>
      <c r="AP49" s="23"/>
    </row>
    <row r="50" spans="1:42" x14ac:dyDescent="0.25">
      <c r="A50" t="s">
        <v>51</v>
      </c>
      <c r="B50" t="s">
        <v>347</v>
      </c>
      <c r="C50" s="25">
        <v>16</v>
      </c>
      <c r="D50" s="25">
        <v>1</v>
      </c>
      <c r="E50" s="25">
        <v>1.504</v>
      </c>
      <c r="F50" s="25">
        <v>0.13200000000000001</v>
      </c>
      <c r="G50" s="25">
        <v>0</v>
      </c>
      <c r="H50" s="25">
        <v>0</v>
      </c>
      <c r="I50" s="25">
        <v>0</v>
      </c>
      <c r="J50" s="25">
        <v>0</v>
      </c>
      <c r="K50" s="192">
        <v>1</v>
      </c>
      <c r="L50" s="192">
        <v>1</v>
      </c>
      <c r="M50" s="192">
        <v>0</v>
      </c>
      <c r="N50" s="278"/>
      <c r="O50" s="278"/>
      <c r="P50" s="278"/>
      <c r="Q50" s="278"/>
      <c r="R50" s="278"/>
      <c r="S50" s="278"/>
      <c r="T50" s="278"/>
      <c r="U50" s="278"/>
      <c r="V50" s="278"/>
      <c r="W50" s="278"/>
      <c r="X50" s="278"/>
      <c r="Y50" s="282">
        <f>VLOOKUP(A50,'3121% SY'!$A$3:$M$600,13,FALSE)</f>
        <v>0.19130000000000003</v>
      </c>
      <c r="Z50" s="30">
        <f t="shared" si="10"/>
        <v>0</v>
      </c>
      <c r="AA50" s="31">
        <f t="shared" si="2"/>
        <v>1.6360000000000001</v>
      </c>
      <c r="AB50" s="32">
        <f t="shared" si="11"/>
        <v>10.39</v>
      </c>
      <c r="AC50" s="28">
        <f t="shared" si="12"/>
        <v>17</v>
      </c>
      <c r="AD50" s="33">
        <f t="shared" si="3"/>
        <v>1.087</v>
      </c>
      <c r="AE50" s="33">
        <f t="shared" si="4"/>
        <v>6.8000000000000005E-2</v>
      </c>
      <c r="AF50" s="25">
        <f t="shared" si="13"/>
        <v>84000.84</v>
      </c>
      <c r="AG50" s="25">
        <f t="shared" si="14"/>
        <v>6330.5599999999977</v>
      </c>
      <c r="AH50" s="25">
        <f t="shared" si="5"/>
        <v>14220.36</v>
      </c>
      <c r="AI50" s="25">
        <f t="shared" si="6"/>
        <v>2433.2599999999984</v>
      </c>
      <c r="AJ50" s="25">
        <f t="shared" si="7"/>
        <v>15246.15</v>
      </c>
      <c r="AK50" s="25">
        <f t="shared" si="8"/>
        <v>1108.48</v>
      </c>
      <c r="AL50" s="25">
        <f t="shared" si="15"/>
        <v>1769.14</v>
      </c>
      <c r="AM50" s="23">
        <f t="shared" si="9"/>
        <v>125108.78999999998</v>
      </c>
      <c r="AO50" s="23"/>
      <c r="AP50" s="23"/>
    </row>
    <row r="51" spans="1:42" x14ac:dyDescent="0.25">
      <c r="A51" t="s">
        <v>52</v>
      </c>
      <c r="B51" t="s">
        <v>348</v>
      </c>
      <c r="C51" s="25">
        <v>1599.88</v>
      </c>
      <c r="D51" s="25">
        <v>70.2</v>
      </c>
      <c r="E51" s="25">
        <v>90.5</v>
      </c>
      <c r="F51" s="25">
        <v>4</v>
      </c>
      <c r="G51" s="25">
        <v>9.2680000000000007</v>
      </c>
      <c r="H51" s="25">
        <v>0</v>
      </c>
      <c r="I51" s="25">
        <v>0</v>
      </c>
      <c r="J51" s="25">
        <v>0</v>
      </c>
      <c r="K51" s="192">
        <v>1</v>
      </c>
      <c r="L51" s="192">
        <v>1</v>
      </c>
      <c r="M51" s="192">
        <v>0</v>
      </c>
      <c r="N51" s="278"/>
      <c r="O51" s="278"/>
      <c r="P51" s="278"/>
      <c r="Q51" s="278"/>
      <c r="R51" s="278"/>
      <c r="S51" s="278"/>
      <c r="T51" s="278"/>
      <c r="U51" s="278"/>
      <c r="V51" s="278"/>
      <c r="W51" s="278"/>
      <c r="X51" s="278"/>
      <c r="Y51" s="282">
        <f>VLOOKUP(A51,'3121% SY'!$A$3:$M$600,13,FALSE)</f>
        <v>0.20720000000000005</v>
      </c>
      <c r="Z51" s="30">
        <f t="shared" si="10"/>
        <v>1.92</v>
      </c>
      <c r="AA51" s="31">
        <f t="shared" si="2"/>
        <v>96.42</v>
      </c>
      <c r="AB51" s="32">
        <f t="shared" si="11"/>
        <v>17.32</v>
      </c>
      <c r="AC51" s="28">
        <f t="shared" si="12"/>
        <v>17.32</v>
      </c>
      <c r="AD51" s="33">
        <f t="shared" si="3"/>
        <v>106.68899999999999</v>
      </c>
      <c r="AE51" s="33">
        <f t="shared" si="4"/>
        <v>4.681</v>
      </c>
      <c r="AF51" s="25">
        <f t="shared" si="13"/>
        <v>8099717.3600000003</v>
      </c>
      <c r="AG51" s="25">
        <f t="shared" si="14"/>
        <v>610418.96999999974</v>
      </c>
      <c r="AH51" s="25">
        <f t="shared" si="5"/>
        <v>1371187.44</v>
      </c>
      <c r="AI51" s="25">
        <f t="shared" si="6"/>
        <v>234625.41000000015</v>
      </c>
      <c r="AJ51" s="25">
        <f t="shared" si="7"/>
        <v>1470098.7</v>
      </c>
      <c r="AK51" s="25">
        <f t="shared" si="8"/>
        <v>106884.36</v>
      </c>
      <c r="AL51" s="25">
        <f t="shared" si="15"/>
        <v>170588.02</v>
      </c>
      <c r="AM51" s="23">
        <f t="shared" si="9"/>
        <v>12063520.259999998</v>
      </c>
      <c r="AO51" s="23"/>
      <c r="AP51" s="23"/>
    </row>
    <row r="52" spans="1:42" x14ac:dyDescent="0.25">
      <c r="A52" t="s">
        <v>53</v>
      </c>
      <c r="B52" t="s">
        <v>349</v>
      </c>
      <c r="C52" s="25">
        <v>31.2</v>
      </c>
      <c r="D52" s="25">
        <v>0</v>
      </c>
      <c r="E52" s="25">
        <v>2.64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192">
        <v>1</v>
      </c>
      <c r="L52" s="192">
        <v>1</v>
      </c>
      <c r="M52" s="192">
        <v>0</v>
      </c>
      <c r="N52" s="278"/>
      <c r="O52" s="278"/>
      <c r="P52" s="278"/>
      <c r="Q52" s="278"/>
      <c r="R52" s="278"/>
      <c r="S52" s="278"/>
      <c r="T52" s="278"/>
      <c r="U52" s="278"/>
      <c r="V52" s="278"/>
      <c r="W52" s="278"/>
      <c r="X52" s="278"/>
      <c r="Y52" s="282">
        <f>VLOOKUP(A52,'3121% SY'!$A$3:$M$600,13,FALSE)</f>
        <v>0.19130000000000003</v>
      </c>
      <c r="Z52" s="30">
        <f t="shared" si="10"/>
        <v>0</v>
      </c>
      <c r="AA52" s="31">
        <f t="shared" si="2"/>
        <v>2.64</v>
      </c>
      <c r="AB52" s="32">
        <f t="shared" si="11"/>
        <v>11.82</v>
      </c>
      <c r="AC52" s="28">
        <f t="shared" si="12"/>
        <v>17</v>
      </c>
      <c r="AD52" s="33">
        <f t="shared" si="3"/>
        <v>2.12</v>
      </c>
      <c r="AE52" s="33">
        <f t="shared" si="4"/>
        <v>0</v>
      </c>
      <c r="AF52" s="25">
        <f t="shared" si="13"/>
        <v>154183.35999999999</v>
      </c>
      <c r="AG52" s="25">
        <f t="shared" si="14"/>
        <v>11619.720000000001</v>
      </c>
      <c r="AH52" s="25">
        <f t="shared" si="5"/>
        <v>26101.439999999999</v>
      </c>
      <c r="AI52" s="25">
        <f t="shared" si="6"/>
        <v>4466.25</v>
      </c>
      <c r="AJ52" s="25">
        <f t="shared" si="7"/>
        <v>27984.28</v>
      </c>
      <c r="AK52" s="25">
        <f t="shared" si="8"/>
        <v>2034.61</v>
      </c>
      <c r="AL52" s="25">
        <f t="shared" si="15"/>
        <v>3247.25</v>
      </c>
      <c r="AM52" s="23">
        <f t="shared" si="9"/>
        <v>229636.90999999997</v>
      </c>
      <c r="AO52" s="23"/>
      <c r="AP52" s="23"/>
    </row>
    <row r="53" spans="1:42" x14ac:dyDescent="0.25">
      <c r="A53" t="s">
        <v>54</v>
      </c>
      <c r="B53" t="s">
        <v>350</v>
      </c>
      <c r="C53" s="25">
        <v>80.8</v>
      </c>
      <c r="D53" s="25">
        <v>17.899999999999999</v>
      </c>
      <c r="E53" s="25">
        <v>4.95</v>
      </c>
      <c r="F53" s="25">
        <v>1</v>
      </c>
      <c r="G53" s="25">
        <v>0</v>
      </c>
      <c r="H53" s="25">
        <v>0</v>
      </c>
      <c r="I53" s="25">
        <v>0</v>
      </c>
      <c r="J53" s="25">
        <v>0</v>
      </c>
      <c r="K53" s="192">
        <v>1</v>
      </c>
      <c r="L53" s="192">
        <v>1</v>
      </c>
      <c r="M53" s="192">
        <v>0</v>
      </c>
      <c r="N53" s="278"/>
      <c r="O53" s="278"/>
      <c r="P53" s="278"/>
      <c r="Q53" s="278"/>
      <c r="R53" s="278"/>
      <c r="S53" s="278"/>
      <c r="T53" s="278"/>
      <c r="U53" s="278"/>
      <c r="V53" s="278"/>
      <c r="W53" s="278"/>
      <c r="X53" s="278"/>
      <c r="Y53" s="282">
        <f>VLOOKUP(A53,'3121% SY'!$A$3:$M$600,13,FALSE)</f>
        <v>0.19130000000000003</v>
      </c>
      <c r="Z53" s="30">
        <f t="shared" si="10"/>
        <v>0</v>
      </c>
      <c r="AA53" s="31">
        <f t="shared" si="2"/>
        <v>5.95</v>
      </c>
      <c r="AB53" s="32">
        <f t="shared" si="11"/>
        <v>16.59</v>
      </c>
      <c r="AC53" s="28">
        <f t="shared" si="12"/>
        <v>17</v>
      </c>
      <c r="AD53" s="33">
        <f t="shared" si="3"/>
        <v>5.49</v>
      </c>
      <c r="AE53" s="33">
        <f t="shared" si="4"/>
        <v>1.216</v>
      </c>
      <c r="AF53" s="25">
        <f t="shared" si="13"/>
        <v>487713.97</v>
      </c>
      <c r="AG53" s="25">
        <f t="shared" si="14"/>
        <v>36755.580000000075</v>
      </c>
      <c r="AH53" s="25">
        <f t="shared" si="5"/>
        <v>82564.27</v>
      </c>
      <c r="AI53" s="25">
        <f t="shared" si="6"/>
        <v>14127.669999999998</v>
      </c>
      <c r="AJ53" s="25">
        <f t="shared" si="7"/>
        <v>88520.09</v>
      </c>
      <c r="AK53" s="25">
        <f t="shared" si="8"/>
        <v>6435.9</v>
      </c>
      <c r="AL53" s="25">
        <f t="shared" si="15"/>
        <v>10271.74</v>
      </c>
      <c r="AM53" s="23">
        <f t="shared" si="9"/>
        <v>726389.22000000009</v>
      </c>
      <c r="AO53" s="23"/>
      <c r="AP53" s="23"/>
    </row>
    <row r="54" spans="1:42" x14ac:dyDescent="0.25">
      <c r="A54" t="s">
        <v>55</v>
      </c>
      <c r="B54" t="s">
        <v>351</v>
      </c>
      <c r="C54" s="25">
        <v>22</v>
      </c>
      <c r="D54" s="25">
        <v>0</v>
      </c>
      <c r="E54" s="25">
        <v>1.65</v>
      </c>
      <c r="F54" s="25">
        <v>0</v>
      </c>
      <c r="G54" s="25">
        <v>0.2</v>
      </c>
      <c r="H54" s="25">
        <v>0</v>
      </c>
      <c r="I54" s="25">
        <v>0</v>
      </c>
      <c r="J54" s="25">
        <v>0</v>
      </c>
      <c r="K54" s="192">
        <v>1</v>
      </c>
      <c r="L54" s="192">
        <v>1</v>
      </c>
      <c r="M54" s="192">
        <v>0</v>
      </c>
      <c r="N54" s="278"/>
      <c r="O54" s="278"/>
      <c r="P54" s="278"/>
      <c r="Q54" s="278"/>
      <c r="R54" s="278"/>
      <c r="S54" s="278"/>
      <c r="T54" s="278"/>
      <c r="U54" s="278"/>
      <c r="V54" s="278"/>
      <c r="W54" s="278"/>
      <c r="X54" s="278"/>
      <c r="Y54" s="282">
        <f>VLOOKUP(A54,'3121% SY'!$A$3:$M$600,13,FALSE)</f>
        <v>7.999999999999996E-2</v>
      </c>
      <c r="Z54" s="30">
        <f t="shared" si="10"/>
        <v>1.6E-2</v>
      </c>
      <c r="AA54" s="31">
        <f t="shared" si="2"/>
        <v>1.6659999999999999</v>
      </c>
      <c r="AB54" s="32">
        <f t="shared" si="11"/>
        <v>13.21</v>
      </c>
      <c r="AC54" s="28">
        <f t="shared" si="12"/>
        <v>17</v>
      </c>
      <c r="AD54" s="33">
        <f t="shared" si="3"/>
        <v>1.4950000000000001</v>
      </c>
      <c r="AE54" s="33">
        <f t="shared" si="4"/>
        <v>0</v>
      </c>
      <c r="AF54" s="25">
        <f t="shared" si="13"/>
        <v>108728.36</v>
      </c>
      <c r="AG54" s="25">
        <f t="shared" si="14"/>
        <v>8194.1000000000058</v>
      </c>
      <c r="AH54" s="25">
        <f t="shared" si="5"/>
        <v>18406.439999999999</v>
      </c>
      <c r="AI54" s="25">
        <f t="shared" si="6"/>
        <v>3149.5500000000029</v>
      </c>
      <c r="AJ54" s="25">
        <f t="shared" si="7"/>
        <v>19734.2</v>
      </c>
      <c r="AK54" s="25">
        <f t="shared" si="8"/>
        <v>1434.79</v>
      </c>
      <c r="AL54" s="25">
        <f t="shared" si="15"/>
        <v>2289.9299999999998</v>
      </c>
      <c r="AM54" s="23">
        <f t="shared" si="9"/>
        <v>161937.37000000002</v>
      </c>
      <c r="AO54" s="23"/>
      <c r="AP54" s="23"/>
    </row>
    <row r="55" spans="1:42" x14ac:dyDescent="0.25">
      <c r="A55" t="s">
        <v>56</v>
      </c>
      <c r="B55" t="s">
        <v>352</v>
      </c>
      <c r="C55" s="25">
        <v>57.8</v>
      </c>
      <c r="D55" s="25">
        <v>0</v>
      </c>
      <c r="E55" s="25">
        <v>3</v>
      </c>
      <c r="F55" s="25">
        <v>0</v>
      </c>
      <c r="G55" s="25">
        <v>0.5</v>
      </c>
      <c r="H55" s="25">
        <v>0</v>
      </c>
      <c r="I55" s="25">
        <v>0</v>
      </c>
      <c r="J55" s="25">
        <v>0</v>
      </c>
      <c r="K55" s="192">
        <v>1</v>
      </c>
      <c r="L55" s="192">
        <v>1</v>
      </c>
      <c r="M55" s="192">
        <v>1.0000000000000009E-2</v>
      </c>
      <c r="N55" s="278"/>
      <c r="O55" s="278"/>
      <c r="P55" s="278"/>
      <c r="Q55" s="278"/>
      <c r="R55" s="278"/>
      <c r="S55" s="278"/>
      <c r="T55" s="278"/>
      <c r="U55" s="278"/>
      <c r="V55" s="278"/>
      <c r="W55" s="278"/>
      <c r="X55" s="278"/>
      <c r="Y55" s="282">
        <f>VLOOKUP(A55,'3121% SY'!$A$3:$M$600,13,FALSE)</f>
        <v>0.15059999999999996</v>
      </c>
      <c r="Z55" s="30">
        <f t="shared" si="10"/>
        <v>7.4999999999999997E-2</v>
      </c>
      <c r="AA55" s="31">
        <f t="shared" si="2"/>
        <v>3.0750000000000002</v>
      </c>
      <c r="AB55" s="32">
        <f t="shared" si="11"/>
        <v>18.8</v>
      </c>
      <c r="AC55" s="28">
        <f t="shared" si="12"/>
        <v>18.8</v>
      </c>
      <c r="AD55" s="33">
        <f t="shared" si="3"/>
        <v>3.5510000000000002</v>
      </c>
      <c r="AE55" s="33">
        <f t="shared" si="4"/>
        <v>0</v>
      </c>
      <c r="AF55" s="25">
        <f t="shared" si="13"/>
        <v>258257.13</v>
      </c>
      <c r="AG55" s="25">
        <f t="shared" si="14"/>
        <v>22240.229999999981</v>
      </c>
      <c r="AH55" s="25">
        <f t="shared" si="5"/>
        <v>43719.91</v>
      </c>
      <c r="AI55" s="25">
        <f t="shared" si="6"/>
        <v>7480.9599999999991</v>
      </c>
      <c r="AJ55" s="25">
        <f t="shared" si="7"/>
        <v>46873.67</v>
      </c>
      <c r="AK55" s="25">
        <f t="shared" si="8"/>
        <v>3894.26</v>
      </c>
      <c r="AL55" s="25">
        <f t="shared" si="15"/>
        <v>5493.54</v>
      </c>
      <c r="AM55" s="23">
        <f t="shared" si="9"/>
        <v>387959.7</v>
      </c>
      <c r="AO55" s="23"/>
      <c r="AP55" s="23"/>
    </row>
    <row r="56" spans="1:42" x14ac:dyDescent="0.25">
      <c r="A56" t="s">
        <v>57</v>
      </c>
      <c r="B56" t="s">
        <v>353</v>
      </c>
      <c r="C56" s="25">
        <v>19.600000000000001</v>
      </c>
      <c r="D56" s="25">
        <v>0</v>
      </c>
      <c r="E56" s="25">
        <v>1.294</v>
      </c>
      <c r="F56" s="25">
        <v>0</v>
      </c>
      <c r="G56" s="25">
        <v>0.2</v>
      </c>
      <c r="H56" s="25">
        <v>0</v>
      </c>
      <c r="I56" s="25">
        <v>0</v>
      </c>
      <c r="J56" s="25">
        <v>0</v>
      </c>
      <c r="K56" s="192">
        <v>1</v>
      </c>
      <c r="L56" s="192">
        <v>1</v>
      </c>
      <c r="M56" s="192">
        <v>1.0000000000000009E-2</v>
      </c>
      <c r="N56" s="278"/>
      <c r="O56" s="278"/>
      <c r="P56" s="278"/>
      <c r="Q56" s="278"/>
      <c r="R56" s="278"/>
      <c r="S56" s="278"/>
      <c r="T56" s="278"/>
      <c r="U56" s="278"/>
      <c r="V56" s="278"/>
      <c r="W56" s="278"/>
      <c r="X56" s="278"/>
      <c r="Y56" s="282">
        <f>VLOOKUP(A56,'3121% SY'!$A$3:$M$600,13,FALSE)</f>
        <v>0.11329999999999996</v>
      </c>
      <c r="Z56" s="30">
        <f t="shared" si="10"/>
        <v>2.3E-2</v>
      </c>
      <c r="AA56" s="31">
        <f t="shared" si="2"/>
        <v>1.3169999999999999</v>
      </c>
      <c r="AB56" s="32">
        <f t="shared" si="11"/>
        <v>14.88</v>
      </c>
      <c r="AC56" s="28">
        <f t="shared" si="12"/>
        <v>17</v>
      </c>
      <c r="AD56" s="33">
        <f t="shared" si="3"/>
        <v>1.3320000000000001</v>
      </c>
      <c r="AE56" s="33">
        <f t="shared" si="4"/>
        <v>0</v>
      </c>
      <c r="AF56" s="25">
        <f t="shared" si="13"/>
        <v>96873.7</v>
      </c>
      <c r="AG56" s="25">
        <f t="shared" si="14"/>
        <v>8342.4300000000076</v>
      </c>
      <c r="AH56" s="25">
        <f t="shared" si="5"/>
        <v>16399.580000000002</v>
      </c>
      <c r="AI56" s="25">
        <f t="shared" si="6"/>
        <v>2806.16</v>
      </c>
      <c r="AJ56" s="25">
        <f t="shared" si="7"/>
        <v>17582.580000000002</v>
      </c>
      <c r="AK56" s="25">
        <f t="shared" si="8"/>
        <v>1460.76</v>
      </c>
      <c r="AL56" s="25">
        <f t="shared" si="15"/>
        <v>2060.66</v>
      </c>
      <c r="AM56" s="23">
        <f t="shared" si="9"/>
        <v>145525.87000000002</v>
      </c>
      <c r="AO56" s="23"/>
      <c r="AP56" s="23"/>
    </row>
    <row r="57" spans="1:42" x14ac:dyDescent="0.25">
      <c r="A57" t="s">
        <v>58</v>
      </c>
      <c r="B57" t="s">
        <v>354</v>
      </c>
      <c r="C57" s="25">
        <v>52.2</v>
      </c>
      <c r="D57" s="25">
        <v>0</v>
      </c>
      <c r="E57" s="25">
        <v>4.8440000000000003</v>
      </c>
      <c r="F57" s="25">
        <v>0</v>
      </c>
      <c r="G57" s="25">
        <v>0.19800000000000001</v>
      </c>
      <c r="H57" s="25">
        <v>0</v>
      </c>
      <c r="I57" s="25">
        <v>0</v>
      </c>
      <c r="J57" s="25">
        <v>0</v>
      </c>
      <c r="K57" s="192">
        <v>1</v>
      </c>
      <c r="L57" s="192">
        <v>1</v>
      </c>
      <c r="M57" s="192">
        <v>0</v>
      </c>
      <c r="N57" s="278"/>
      <c r="O57" s="278"/>
      <c r="P57" s="278"/>
      <c r="Q57" s="278"/>
      <c r="R57" s="278"/>
      <c r="S57" s="278"/>
      <c r="T57" s="278"/>
      <c r="U57" s="278"/>
      <c r="V57" s="278"/>
      <c r="W57" s="278"/>
      <c r="X57" s="278"/>
      <c r="Y57" s="282">
        <f>VLOOKUP(A57,'3121% SY'!$A$3:$M$600,13,FALSE)</f>
        <v>0.21899999999999997</v>
      </c>
      <c r="Z57" s="30">
        <f t="shared" si="10"/>
        <v>4.2999999999999997E-2</v>
      </c>
      <c r="AA57" s="31">
        <f t="shared" si="2"/>
        <v>4.8870000000000005</v>
      </c>
      <c r="AB57" s="32">
        <f t="shared" si="11"/>
        <v>10.68</v>
      </c>
      <c r="AC57" s="28">
        <f t="shared" si="12"/>
        <v>17</v>
      </c>
      <c r="AD57" s="33">
        <f t="shared" si="3"/>
        <v>3.5470000000000002</v>
      </c>
      <c r="AE57" s="33">
        <f t="shared" si="4"/>
        <v>0</v>
      </c>
      <c r="AF57" s="25">
        <f t="shared" si="13"/>
        <v>257966.22</v>
      </c>
      <c r="AG57" s="25">
        <f t="shared" si="14"/>
        <v>19441.100000000006</v>
      </c>
      <c r="AH57" s="25">
        <f t="shared" si="5"/>
        <v>43670.66</v>
      </c>
      <c r="AI57" s="25">
        <f t="shared" si="6"/>
        <v>7472.5399999999936</v>
      </c>
      <c r="AJ57" s="25">
        <f t="shared" si="7"/>
        <v>46820.87</v>
      </c>
      <c r="AK57" s="25">
        <f t="shared" si="8"/>
        <v>3404.14</v>
      </c>
      <c r="AL57" s="25">
        <f t="shared" si="15"/>
        <v>5433.02</v>
      </c>
      <c r="AM57" s="23">
        <f t="shared" si="9"/>
        <v>384208.55</v>
      </c>
      <c r="AO57" s="23"/>
      <c r="AP57" s="23"/>
    </row>
    <row r="58" spans="1:42" x14ac:dyDescent="0.25">
      <c r="A58" t="s">
        <v>59</v>
      </c>
      <c r="B58" t="s">
        <v>355</v>
      </c>
      <c r="C58" s="25">
        <v>92.61</v>
      </c>
      <c r="D58" s="25">
        <v>0</v>
      </c>
      <c r="E58" s="25">
        <v>5.5880000000000001</v>
      </c>
      <c r="F58" s="25">
        <v>0</v>
      </c>
      <c r="G58" s="25">
        <v>0.83</v>
      </c>
      <c r="H58" s="25">
        <v>0</v>
      </c>
      <c r="I58" s="25">
        <v>0</v>
      </c>
      <c r="J58" s="25">
        <v>0</v>
      </c>
      <c r="K58" s="192">
        <v>1</v>
      </c>
      <c r="L58" s="192">
        <v>1</v>
      </c>
      <c r="M58" s="192">
        <v>1.0000000000000009E-2</v>
      </c>
      <c r="N58" s="278"/>
      <c r="O58" s="278"/>
      <c r="P58" s="278"/>
      <c r="Q58" s="278"/>
      <c r="R58" s="278"/>
      <c r="S58" s="278"/>
      <c r="T58" s="278"/>
      <c r="U58" s="278"/>
      <c r="V58" s="278"/>
      <c r="W58" s="278"/>
      <c r="X58" s="278"/>
      <c r="Y58" s="282">
        <f>VLOOKUP(A58,'3121% SY'!$A$3:$M$600,13,FALSE)</f>
        <v>0.16239999999999999</v>
      </c>
      <c r="Z58" s="30">
        <f t="shared" si="10"/>
        <v>0.13500000000000001</v>
      </c>
      <c r="AA58" s="31">
        <f t="shared" si="2"/>
        <v>5.7229999999999999</v>
      </c>
      <c r="AB58" s="32">
        <f t="shared" si="11"/>
        <v>16.18</v>
      </c>
      <c r="AC58" s="28">
        <f t="shared" si="12"/>
        <v>17</v>
      </c>
      <c r="AD58" s="33">
        <f t="shared" si="3"/>
        <v>6.2919999999999998</v>
      </c>
      <c r="AE58" s="33">
        <f t="shared" si="4"/>
        <v>0</v>
      </c>
      <c r="AF58" s="25">
        <f t="shared" si="13"/>
        <v>457604.58</v>
      </c>
      <c r="AG58" s="25">
        <f t="shared" si="14"/>
        <v>39407.359999999986</v>
      </c>
      <c r="AH58" s="25">
        <f t="shared" si="5"/>
        <v>77467.100000000006</v>
      </c>
      <c r="AI58" s="25">
        <f t="shared" si="6"/>
        <v>13255.489999999991</v>
      </c>
      <c r="AJ58" s="25">
        <f t="shared" si="7"/>
        <v>83055.23</v>
      </c>
      <c r="AK58" s="25">
        <f t="shared" si="8"/>
        <v>6900.23</v>
      </c>
      <c r="AL58" s="25">
        <f t="shared" si="15"/>
        <v>9733.98</v>
      </c>
      <c r="AM58" s="23">
        <f t="shared" si="9"/>
        <v>687423.97</v>
      </c>
      <c r="AO58" s="23"/>
      <c r="AP58" s="23"/>
    </row>
    <row r="59" spans="1:42" x14ac:dyDescent="0.25">
      <c r="A59" t="s">
        <v>60</v>
      </c>
      <c r="B59" t="s">
        <v>356</v>
      </c>
      <c r="C59" s="25">
        <v>5327.88</v>
      </c>
      <c r="D59" s="25">
        <v>84.2</v>
      </c>
      <c r="E59" s="25">
        <v>307.06200000000001</v>
      </c>
      <c r="F59" s="25">
        <v>0</v>
      </c>
      <c r="G59" s="25">
        <v>1.153</v>
      </c>
      <c r="H59" s="25">
        <v>0</v>
      </c>
      <c r="I59" s="25">
        <v>0</v>
      </c>
      <c r="J59" s="25">
        <v>0</v>
      </c>
      <c r="K59" s="192">
        <v>1</v>
      </c>
      <c r="L59" s="192">
        <v>1</v>
      </c>
      <c r="M59" s="192">
        <v>0</v>
      </c>
      <c r="N59" s="278"/>
      <c r="O59" s="278"/>
      <c r="P59" s="278"/>
      <c r="Q59" s="278"/>
      <c r="R59" s="278"/>
      <c r="S59" s="278"/>
      <c r="T59" s="278"/>
      <c r="U59" s="278"/>
      <c r="V59" s="278"/>
      <c r="W59" s="278"/>
      <c r="X59" s="278"/>
      <c r="Y59" s="282">
        <f>VLOOKUP(A59,'3121% SY'!$A$3:$M$600,13,FALSE)</f>
        <v>0.27529999999999999</v>
      </c>
      <c r="Z59" s="30">
        <f t="shared" si="10"/>
        <v>0.317</v>
      </c>
      <c r="AA59" s="31">
        <f t="shared" si="2"/>
        <v>307.37900000000002</v>
      </c>
      <c r="AB59" s="32">
        <f t="shared" si="11"/>
        <v>17.61</v>
      </c>
      <c r="AC59" s="28">
        <f t="shared" si="12"/>
        <v>17.61</v>
      </c>
      <c r="AD59" s="33">
        <f t="shared" si="3"/>
        <v>349.44400000000002</v>
      </c>
      <c r="AE59" s="33">
        <f t="shared" si="4"/>
        <v>5.5220000000000002</v>
      </c>
      <c r="AF59" s="25">
        <f t="shared" si="13"/>
        <v>25815967.25</v>
      </c>
      <c r="AG59" s="25">
        <f t="shared" si="14"/>
        <v>1945568.6400000006</v>
      </c>
      <c r="AH59" s="25">
        <f t="shared" si="5"/>
        <v>4370341.3899999997</v>
      </c>
      <c r="AI59" s="25">
        <f t="shared" si="6"/>
        <v>747813.97000000067</v>
      </c>
      <c r="AJ59" s="25">
        <f t="shared" si="7"/>
        <v>4685598.0599999996</v>
      </c>
      <c r="AK59" s="25">
        <f t="shared" si="8"/>
        <v>340669.07</v>
      </c>
      <c r="AL59" s="25">
        <f t="shared" si="15"/>
        <v>543709.68000000005</v>
      </c>
      <c r="AM59" s="23">
        <f t="shared" si="9"/>
        <v>38449668.060000002</v>
      </c>
      <c r="AO59" s="23"/>
      <c r="AP59" s="23"/>
    </row>
    <row r="60" spans="1:42" x14ac:dyDescent="0.25">
      <c r="A60" t="s">
        <v>61</v>
      </c>
      <c r="B60" t="s">
        <v>357</v>
      </c>
      <c r="C60" s="25">
        <v>577.89</v>
      </c>
      <c r="D60" s="25">
        <v>14.8</v>
      </c>
      <c r="E60" s="25">
        <v>32.725999999999999</v>
      </c>
      <c r="F60" s="25">
        <v>1</v>
      </c>
      <c r="G60" s="25">
        <v>3.4319999999999999</v>
      </c>
      <c r="H60" s="25">
        <v>0</v>
      </c>
      <c r="I60" s="25">
        <v>0</v>
      </c>
      <c r="J60" s="25">
        <v>0</v>
      </c>
      <c r="K60" s="192">
        <v>1</v>
      </c>
      <c r="L60" s="192">
        <v>1</v>
      </c>
      <c r="M60" s="192">
        <v>0</v>
      </c>
      <c r="N60" s="278"/>
      <c r="O60" s="278"/>
      <c r="P60" s="278"/>
      <c r="Q60" s="278"/>
      <c r="R60" s="278"/>
      <c r="S60" s="278"/>
      <c r="T60" s="278"/>
      <c r="U60" s="278"/>
      <c r="V60" s="278"/>
      <c r="W60" s="278"/>
      <c r="X60" s="278"/>
      <c r="Y60" s="282">
        <f>VLOOKUP(A60,'3121% SY'!$A$3:$M$600,13,FALSE)</f>
        <v>0.24629999999999996</v>
      </c>
      <c r="Z60" s="30">
        <f t="shared" si="10"/>
        <v>0.84499999999999997</v>
      </c>
      <c r="AA60" s="31">
        <f t="shared" si="2"/>
        <v>34.570999999999998</v>
      </c>
      <c r="AB60" s="32">
        <f t="shared" si="11"/>
        <v>17.14</v>
      </c>
      <c r="AC60" s="28">
        <f t="shared" si="12"/>
        <v>17.14</v>
      </c>
      <c r="AD60" s="33">
        <f t="shared" si="3"/>
        <v>38.942</v>
      </c>
      <c r="AE60" s="33">
        <f t="shared" si="4"/>
        <v>0.997</v>
      </c>
      <c r="AF60" s="25">
        <f t="shared" si="13"/>
        <v>2904683.59</v>
      </c>
      <c r="AG60" s="25">
        <f t="shared" si="14"/>
        <v>218905.66000000015</v>
      </c>
      <c r="AH60" s="25">
        <f t="shared" si="5"/>
        <v>491728.97</v>
      </c>
      <c r="AI60" s="25">
        <f t="shared" si="6"/>
        <v>84140.290000000037</v>
      </c>
      <c r="AJ60" s="25">
        <f t="shared" si="7"/>
        <v>527200.06999999995</v>
      </c>
      <c r="AK60" s="25">
        <f t="shared" si="8"/>
        <v>38330.379999999997</v>
      </c>
      <c r="AL60" s="25">
        <f t="shared" si="15"/>
        <v>61175.5</v>
      </c>
      <c r="AM60" s="23">
        <f t="shared" si="9"/>
        <v>4326164.46</v>
      </c>
      <c r="AO60" s="23"/>
      <c r="AP60" s="23"/>
    </row>
    <row r="61" spans="1:42" x14ac:dyDescent="0.25">
      <c r="A61" t="s">
        <v>62</v>
      </c>
      <c r="B61" t="s">
        <v>358</v>
      </c>
      <c r="C61" s="25">
        <v>8</v>
      </c>
      <c r="D61" s="25">
        <v>0</v>
      </c>
      <c r="E61" s="25">
        <v>1.25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192">
        <v>1</v>
      </c>
      <c r="L61" s="192">
        <v>1</v>
      </c>
      <c r="M61" s="192">
        <v>0</v>
      </c>
      <c r="N61" s="278"/>
      <c r="O61" s="278"/>
      <c r="P61" s="278"/>
      <c r="Q61" s="278"/>
      <c r="R61" s="278"/>
      <c r="S61" s="278"/>
      <c r="T61" s="278"/>
      <c r="U61" s="278"/>
      <c r="V61" s="278"/>
      <c r="W61" s="278"/>
      <c r="X61" s="278"/>
      <c r="Y61" s="282">
        <f>VLOOKUP(A61,'3121% SY'!$A$3:$M$600,13,FALSE)</f>
        <v>0</v>
      </c>
      <c r="Z61" s="30">
        <f t="shared" si="10"/>
        <v>0</v>
      </c>
      <c r="AA61" s="31">
        <f t="shared" si="2"/>
        <v>1.25</v>
      </c>
      <c r="AB61" s="32">
        <f t="shared" si="11"/>
        <v>6.4</v>
      </c>
      <c r="AC61" s="28">
        <f t="shared" si="12"/>
        <v>17</v>
      </c>
      <c r="AD61" s="33">
        <f t="shared" si="3"/>
        <v>0.54400000000000004</v>
      </c>
      <c r="AE61" s="33">
        <f t="shared" si="4"/>
        <v>0</v>
      </c>
      <c r="AF61" s="25">
        <f t="shared" si="13"/>
        <v>39564.03</v>
      </c>
      <c r="AG61" s="25">
        <f t="shared" si="14"/>
        <v>2981.6699999999983</v>
      </c>
      <c r="AH61" s="25">
        <f t="shared" si="5"/>
        <v>6697.73</v>
      </c>
      <c r="AI61" s="25">
        <f t="shared" si="6"/>
        <v>1146.0500000000002</v>
      </c>
      <c r="AJ61" s="25">
        <f t="shared" si="7"/>
        <v>7180.87</v>
      </c>
      <c r="AK61" s="25">
        <f t="shared" si="8"/>
        <v>522.09</v>
      </c>
      <c r="AL61" s="25">
        <f t="shared" si="15"/>
        <v>833.26</v>
      </c>
      <c r="AM61" s="23">
        <f t="shared" si="9"/>
        <v>58925.7</v>
      </c>
      <c r="AO61" s="23"/>
      <c r="AP61" s="23"/>
    </row>
    <row r="62" spans="1:42" x14ac:dyDescent="0.25">
      <c r="A62" t="s">
        <v>63</v>
      </c>
      <c r="B62" t="s">
        <v>359</v>
      </c>
      <c r="C62" s="25">
        <v>17.399999999999999</v>
      </c>
      <c r="D62" s="25">
        <v>0</v>
      </c>
      <c r="E62" s="25">
        <v>1.75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192">
        <v>1</v>
      </c>
      <c r="L62" s="192">
        <v>1</v>
      </c>
      <c r="M62" s="192">
        <v>1.0000000000000009E-2</v>
      </c>
      <c r="N62" s="278"/>
      <c r="O62" s="278"/>
      <c r="P62" s="278"/>
      <c r="Q62" s="278"/>
      <c r="R62" s="278"/>
      <c r="S62" s="278"/>
      <c r="T62" s="278"/>
      <c r="U62" s="278"/>
      <c r="V62" s="278"/>
      <c r="W62" s="278"/>
      <c r="X62" s="278"/>
      <c r="Y62" s="282">
        <f>VLOOKUP(A62,'3121% SY'!$A$3:$M$600,13,FALSE)</f>
        <v>0.19130000000000003</v>
      </c>
      <c r="Z62" s="30">
        <f t="shared" si="10"/>
        <v>0</v>
      </c>
      <c r="AA62" s="31">
        <f t="shared" si="2"/>
        <v>1.75</v>
      </c>
      <c r="AB62" s="32">
        <f t="shared" si="11"/>
        <v>9.94</v>
      </c>
      <c r="AC62" s="28">
        <f t="shared" si="12"/>
        <v>17</v>
      </c>
      <c r="AD62" s="33">
        <f t="shared" si="3"/>
        <v>1.1819999999999999</v>
      </c>
      <c r="AE62" s="33">
        <f t="shared" si="4"/>
        <v>0</v>
      </c>
      <c r="AF62" s="25">
        <f t="shared" si="13"/>
        <v>85964.5</v>
      </c>
      <c r="AG62" s="25">
        <f t="shared" si="14"/>
        <v>7402.9700000000012</v>
      </c>
      <c r="AH62" s="25">
        <f t="shared" si="5"/>
        <v>14552.78</v>
      </c>
      <c r="AI62" s="25">
        <f t="shared" si="6"/>
        <v>2490.1499999999996</v>
      </c>
      <c r="AJ62" s="25">
        <f t="shared" si="7"/>
        <v>15602.56</v>
      </c>
      <c r="AK62" s="25">
        <f t="shared" si="8"/>
        <v>1296.26</v>
      </c>
      <c r="AL62" s="25">
        <f t="shared" si="15"/>
        <v>1828.6</v>
      </c>
      <c r="AM62" s="23">
        <f t="shared" si="9"/>
        <v>129137.81999999999</v>
      </c>
      <c r="AO62" s="23"/>
      <c r="AP62" s="23"/>
    </row>
    <row r="63" spans="1:42" x14ac:dyDescent="0.25">
      <c r="A63" t="s">
        <v>64</v>
      </c>
      <c r="B63" t="s">
        <v>360</v>
      </c>
      <c r="C63" s="25">
        <v>109.2</v>
      </c>
      <c r="D63" s="25">
        <v>20</v>
      </c>
      <c r="E63" s="25">
        <v>6.4340000000000002</v>
      </c>
      <c r="F63" s="25">
        <v>1</v>
      </c>
      <c r="G63" s="25">
        <v>0.20100000000000001</v>
      </c>
      <c r="H63" s="25">
        <v>0</v>
      </c>
      <c r="I63" s="25">
        <v>0</v>
      </c>
      <c r="J63" s="25">
        <v>0</v>
      </c>
      <c r="K63" s="192">
        <v>1</v>
      </c>
      <c r="L63" s="192">
        <v>1</v>
      </c>
      <c r="M63" s="192">
        <v>1.0000000000000009E-2</v>
      </c>
      <c r="N63" s="278"/>
      <c r="O63" s="278"/>
      <c r="P63" s="278"/>
      <c r="Q63" s="278"/>
      <c r="R63" s="278"/>
      <c r="S63" s="278"/>
      <c r="T63" s="278"/>
      <c r="U63" s="278"/>
      <c r="V63" s="278"/>
      <c r="W63" s="278"/>
      <c r="X63" s="278"/>
      <c r="Y63" s="282">
        <f>VLOOKUP(A63,'3121% SY'!$A$3:$M$600,13,FALSE)</f>
        <v>0.25160000000000005</v>
      </c>
      <c r="Z63" s="30">
        <f t="shared" si="10"/>
        <v>5.0999999999999997E-2</v>
      </c>
      <c r="AA63" s="31">
        <f t="shared" si="2"/>
        <v>7.4850000000000003</v>
      </c>
      <c r="AB63" s="32">
        <f t="shared" si="11"/>
        <v>17.260000000000002</v>
      </c>
      <c r="AC63" s="28">
        <f t="shared" si="12"/>
        <v>17.260000000000002</v>
      </c>
      <c r="AD63" s="33">
        <f t="shared" si="3"/>
        <v>7.3070000000000004</v>
      </c>
      <c r="AE63" s="33">
        <f t="shared" si="4"/>
        <v>1.3380000000000001</v>
      </c>
      <c r="AF63" s="25">
        <f t="shared" si="13"/>
        <v>628733.56000000006</v>
      </c>
      <c r="AG63" s="25">
        <f t="shared" si="14"/>
        <v>54144.409999999916</v>
      </c>
      <c r="AH63" s="25">
        <f t="shared" si="5"/>
        <v>106437.24</v>
      </c>
      <c r="AI63" s="25">
        <f t="shared" si="6"/>
        <v>18212.589999999997</v>
      </c>
      <c r="AJ63" s="25">
        <f t="shared" si="7"/>
        <v>114115.14</v>
      </c>
      <c r="AK63" s="25">
        <f t="shared" si="8"/>
        <v>9480.69</v>
      </c>
      <c r="AL63" s="25">
        <f t="shared" si="15"/>
        <v>13374.17</v>
      </c>
      <c r="AM63" s="23">
        <f t="shared" si="9"/>
        <v>944497.79999999993</v>
      </c>
      <c r="AO63" s="23"/>
      <c r="AP63" s="23"/>
    </row>
    <row r="64" spans="1:42" x14ac:dyDescent="0.25">
      <c r="A64" t="s">
        <v>65</v>
      </c>
      <c r="B64" t="s">
        <v>361</v>
      </c>
      <c r="C64" s="25">
        <v>631.79999999999995</v>
      </c>
      <c r="D64" s="25">
        <v>37</v>
      </c>
      <c r="E64" s="25">
        <v>34.322000000000003</v>
      </c>
      <c r="F64" s="25">
        <v>1.022</v>
      </c>
      <c r="G64" s="25">
        <v>4.5010000000000003</v>
      </c>
      <c r="H64" s="25">
        <v>0</v>
      </c>
      <c r="I64" s="25">
        <v>0</v>
      </c>
      <c r="J64" s="25">
        <v>0</v>
      </c>
      <c r="K64" s="192">
        <v>1</v>
      </c>
      <c r="L64" s="192">
        <v>1</v>
      </c>
      <c r="M64" s="192">
        <v>0</v>
      </c>
      <c r="N64" s="278"/>
      <c r="O64" s="278"/>
      <c r="P64" s="278"/>
      <c r="Q64" s="278"/>
      <c r="R64" s="278"/>
      <c r="S64" s="278"/>
      <c r="T64" s="278"/>
      <c r="U64" s="278"/>
      <c r="V64" s="278"/>
      <c r="W64" s="278"/>
      <c r="X64" s="278"/>
      <c r="Y64" s="282">
        <f>VLOOKUP(A64,'3121% SY'!$A$3:$M$600,13,FALSE)</f>
        <v>0.24719999999999998</v>
      </c>
      <c r="Z64" s="30">
        <f t="shared" si="10"/>
        <v>1.113</v>
      </c>
      <c r="AA64" s="31">
        <f t="shared" si="2"/>
        <v>36.457000000000001</v>
      </c>
      <c r="AB64" s="32">
        <f t="shared" si="11"/>
        <v>18.34</v>
      </c>
      <c r="AC64" s="28">
        <f t="shared" si="12"/>
        <v>18.34</v>
      </c>
      <c r="AD64" s="33">
        <f t="shared" si="3"/>
        <v>39.789000000000001</v>
      </c>
      <c r="AE64" s="33">
        <f t="shared" si="4"/>
        <v>2.33</v>
      </c>
      <c r="AF64" s="25">
        <f t="shared" si="13"/>
        <v>3063230.63</v>
      </c>
      <c r="AG64" s="25">
        <f t="shared" si="14"/>
        <v>230854.24000000022</v>
      </c>
      <c r="AH64" s="25">
        <f t="shared" si="5"/>
        <v>518569.13</v>
      </c>
      <c r="AI64" s="25">
        <f t="shared" si="6"/>
        <v>88732.939999999944</v>
      </c>
      <c r="AJ64" s="25">
        <f t="shared" si="7"/>
        <v>555976.36</v>
      </c>
      <c r="AK64" s="25">
        <f t="shared" si="8"/>
        <v>40422.58</v>
      </c>
      <c r="AL64" s="25">
        <f t="shared" si="15"/>
        <v>64514.65</v>
      </c>
      <c r="AM64" s="23">
        <f t="shared" si="9"/>
        <v>4562300.53</v>
      </c>
      <c r="AO64" s="23"/>
      <c r="AP64" s="23"/>
    </row>
    <row r="65" spans="1:42" x14ac:dyDescent="0.25">
      <c r="A65" t="s">
        <v>66</v>
      </c>
      <c r="B65" t="s">
        <v>362</v>
      </c>
      <c r="C65" s="25">
        <v>892.29</v>
      </c>
      <c r="D65" s="25">
        <v>38.200000000000003</v>
      </c>
      <c r="E65" s="25">
        <v>52.719000000000001</v>
      </c>
      <c r="F65" s="25">
        <v>2.7170000000000001</v>
      </c>
      <c r="G65" s="25">
        <v>3.33</v>
      </c>
      <c r="H65" s="25">
        <v>0</v>
      </c>
      <c r="I65" s="25">
        <v>0</v>
      </c>
      <c r="J65" s="25">
        <v>0</v>
      </c>
      <c r="K65" s="192">
        <v>1</v>
      </c>
      <c r="L65" s="192">
        <v>1</v>
      </c>
      <c r="M65" s="192">
        <v>0</v>
      </c>
      <c r="N65" s="278"/>
      <c r="O65" s="278"/>
      <c r="P65" s="278"/>
      <c r="Q65" s="278"/>
      <c r="R65" s="278"/>
      <c r="S65" s="278"/>
      <c r="T65" s="278"/>
      <c r="U65" s="278"/>
      <c r="V65" s="278"/>
      <c r="W65" s="278"/>
      <c r="X65" s="278"/>
      <c r="Y65" s="282">
        <f>VLOOKUP(A65,'3121% SY'!$A$3:$M$600,13,FALSE)</f>
        <v>0.22529999999999994</v>
      </c>
      <c r="Z65" s="30">
        <f t="shared" si="10"/>
        <v>0.75</v>
      </c>
      <c r="AA65" s="31">
        <f t="shared" si="2"/>
        <v>56.186</v>
      </c>
      <c r="AB65" s="32">
        <f t="shared" si="11"/>
        <v>16.559999999999999</v>
      </c>
      <c r="AC65" s="28">
        <f t="shared" si="12"/>
        <v>17</v>
      </c>
      <c r="AD65" s="33">
        <f t="shared" si="3"/>
        <v>60.622999999999998</v>
      </c>
      <c r="AE65" s="33">
        <f t="shared" si="4"/>
        <v>2.5950000000000002</v>
      </c>
      <c r="AF65" s="25">
        <f t="shared" si="13"/>
        <v>4597718.7</v>
      </c>
      <c r="AG65" s="25">
        <f t="shared" si="14"/>
        <v>346497.8599999994</v>
      </c>
      <c r="AH65" s="25">
        <f t="shared" si="5"/>
        <v>778340.02</v>
      </c>
      <c r="AI65" s="25">
        <f t="shared" si="6"/>
        <v>133182.62</v>
      </c>
      <c r="AJ65" s="25">
        <f t="shared" si="7"/>
        <v>834485.94</v>
      </c>
      <c r="AK65" s="25">
        <f t="shared" si="8"/>
        <v>60671.78</v>
      </c>
      <c r="AL65" s="25">
        <f t="shared" si="15"/>
        <v>96832.48</v>
      </c>
      <c r="AM65" s="23">
        <f t="shared" si="9"/>
        <v>6847729.4000000013</v>
      </c>
      <c r="AO65" s="23"/>
      <c r="AP65" s="23"/>
    </row>
    <row r="66" spans="1:42" x14ac:dyDescent="0.25">
      <c r="A66" t="s">
        <v>67</v>
      </c>
      <c r="B66" t="s">
        <v>363</v>
      </c>
      <c r="C66" s="25">
        <v>256.64999999999998</v>
      </c>
      <c r="D66" s="25">
        <v>0</v>
      </c>
      <c r="E66" s="25">
        <v>15.144</v>
      </c>
      <c r="F66" s="25">
        <v>0</v>
      </c>
      <c r="G66" s="25">
        <v>0</v>
      </c>
      <c r="H66" s="25">
        <v>0</v>
      </c>
      <c r="I66" s="25">
        <v>0</v>
      </c>
      <c r="J66" s="25">
        <v>0</v>
      </c>
      <c r="K66" s="192">
        <v>1</v>
      </c>
      <c r="L66" s="192">
        <v>1</v>
      </c>
      <c r="M66" s="192">
        <v>0</v>
      </c>
      <c r="N66" s="278"/>
      <c r="O66" s="278"/>
      <c r="P66" s="278"/>
      <c r="Q66" s="278"/>
      <c r="R66" s="278"/>
      <c r="S66" s="278"/>
      <c r="T66" s="278"/>
      <c r="U66" s="278"/>
      <c r="V66" s="278"/>
      <c r="W66" s="278"/>
      <c r="X66" s="278"/>
      <c r="Y66" s="282">
        <f>VLOOKUP(A66,'3121% SY'!$A$3:$M$600,13,FALSE)</f>
        <v>0.32650000000000001</v>
      </c>
      <c r="Z66" s="30">
        <f t="shared" si="10"/>
        <v>0</v>
      </c>
      <c r="AA66" s="31">
        <f t="shared" si="2"/>
        <v>15.144</v>
      </c>
      <c r="AB66" s="32">
        <f t="shared" si="11"/>
        <v>16.95</v>
      </c>
      <c r="AC66" s="28">
        <f t="shared" si="12"/>
        <v>17</v>
      </c>
      <c r="AD66" s="33">
        <f t="shared" si="3"/>
        <v>17.437000000000001</v>
      </c>
      <c r="AE66" s="33">
        <f t="shared" si="4"/>
        <v>0</v>
      </c>
      <c r="AF66" s="25">
        <f t="shared" si="13"/>
        <v>1268158.1399999999</v>
      </c>
      <c r="AG66" s="25">
        <f t="shared" si="14"/>
        <v>95572.190000000177</v>
      </c>
      <c r="AH66" s="25">
        <f t="shared" si="5"/>
        <v>214684.34</v>
      </c>
      <c r="AI66" s="25">
        <f t="shared" si="6"/>
        <v>36734.880000000005</v>
      </c>
      <c r="AJ66" s="25">
        <f t="shared" si="7"/>
        <v>230170.7</v>
      </c>
      <c r="AK66" s="25">
        <f t="shared" si="8"/>
        <v>16734.689999999999</v>
      </c>
      <c r="AL66" s="25">
        <f t="shared" si="15"/>
        <v>26708.66</v>
      </c>
      <c r="AM66" s="23">
        <f t="shared" si="9"/>
        <v>1888763.6</v>
      </c>
      <c r="AO66" s="23"/>
      <c r="AP66" s="23"/>
    </row>
    <row r="67" spans="1:42" x14ac:dyDescent="0.25">
      <c r="A67" t="s">
        <v>68</v>
      </c>
      <c r="B67" t="s">
        <v>364</v>
      </c>
      <c r="C67" s="25">
        <v>45.07</v>
      </c>
      <c r="D67" s="25">
        <v>0</v>
      </c>
      <c r="E67" s="25">
        <v>3.274</v>
      </c>
      <c r="F67" s="25">
        <v>0</v>
      </c>
      <c r="G67" s="25">
        <v>0</v>
      </c>
      <c r="H67" s="25">
        <v>0</v>
      </c>
      <c r="I67" s="25">
        <v>0</v>
      </c>
      <c r="J67" s="25">
        <v>0</v>
      </c>
      <c r="K67" s="192">
        <v>1</v>
      </c>
      <c r="L67" s="192">
        <v>1</v>
      </c>
      <c r="M67" s="192">
        <v>0</v>
      </c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82">
        <f>VLOOKUP(A67,'3121% SY'!$A$3:$M$600,13,FALSE)</f>
        <v>0.22289999999999999</v>
      </c>
      <c r="Z67" s="30">
        <f t="shared" si="10"/>
        <v>0</v>
      </c>
      <c r="AA67" s="31">
        <f t="shared" ref="AA67:AA130" si="16">SUM(Z67,E67,F67,H67,I67)</f>
        <v>3.274</v>
      </c>
      <c r="AB67" s="32">
        <f t="shared" ref="AB67:AB130" si="17">IFERROR(ROUND(($C67+$D67)/AA67,2),0)</f>
        <v>13.77</v>
      </c>
      <c r="AC67" s="28">
        <f t="shared" si="12"/>
        <v>17</v>
      </c>
      <c r="AD67" s="33">
        <f t="shared" ref="AD67:AD130" si="18">ROUND($C67/$AC67*1.155,3)</f>
        <v>3.0619999999999998</v>
      </c>
      <c r="AE67" s="33">
        <f t="shared" ref="AE67:AE130" si="19">ROUND($D67/$AC67*1.155,3)</f>
        <v>0</v>
      </c>
      <c r="AF67" s="25">
        <f t="shared" ref="AF67:AF130" si="20">ROUND(($AD67+$AE67)*CIS_Base*K67,2)</f>
        <v>222693.14</v>
      </c>
      <c r="AG67" s="25">
        <f t="shared" ref="AG67:AG130" si="21">ROUND(($AD67+$AE67)*CIS_Inc*(L67+M67),2)-AF67</f>
        <v>16782.819999999978</v>
      </c>
      <c r="AH67" s="25">
        <f t="shared" ref="AH67:AH130" si="22">ROUND(($AD67+$AE67)*Ins_Base,2)</f>
        <v>37699.339999999997</v>
      </c>
      <c r="AI67" s="25">
        <f t="shared" ref="AI67:AI130" si="23">ROUND(($AD67+$AE67)*CIS_Ins_Inc,2)-AH67</f>
        <v>6450.7800000000061</v>
      </c>
      <c r="AJ67" s="25">
        <f t="shared" ref="AJ67:AJ130" si="24">ROUND(AF67*CIS_Ben_Base,2)</f>
        <v>40418.800000000003</v>
      </c>
      <c r="AK67" s="25">
        <f t="shared" ref="AK67:AK130" si="25">ROUND(AG67*CIS_Ben_Inc,2)</f>
        <v>2938.67</v>
      </c>
      <c r="AL67" s="25">
        <f t="shared" ref="AL67:AL130" si="26">ROUND((($AD67+$AE67)*CIS_Inc*(L67+M67)/180)*3+((($AD67+$AE67)*CIS_Inc*(L67+M67)/180)*3)*CIS_Ben_Inc,2)</f>
        <v>4690.1400000000003</v>
      </c>
      <c r="AM67" s="23">
        <f t="shared" ref="AM67:AM130" si="27">SUM(AF67:AL67)</f>
        <v>331673.69</v>
      </c>
      <c r="AO67" s="23"/>
      <c r="AP67" s="23"/>
    </row>
    <row r="68" spans="1:42" x14ac:dyDescent="0.25">
      <c r="A68" t="s">
        <v>69</v>
      </c>
      <c r="B68" t="s">
        <v>365</v>
      </c>
      <c r="C68" s="25">
        <v>157.5</v>
      </c>
      <c r="D68" s="25">
        <v>34.4</v>
      </c>
      <c r="E68" s="25">
        <v>8.2840000000000007</v>
      </c>
      <c r="F68" s="25">
        <v>2</v>
      </c>
      <c r="G68" s="25">
        <v>0.59199999999999997</v>
      </c>
      <c r="H68" s="25">
        <v>0</v>
      </c>
      <c r="I68" s="25">
        <v>0</v>
      </c>
      <c r="J68" s="25">
        <v>0</v>
      </c>
      <c r="K68" s="192">
        <v>1</v>
      </c>
      <c r="L68" s="192">
        <v>1</v>
      </c>
      <c r="M68" s="192">
        <v>0</v>
      </c>
      <c r="N68" s="278"/>
      <c r="O68" s="278"/>
      <c r="P68" s="278"/>
      <c r="Q68" s="278"/>
      <c r="R68" s="278"/>
      <c r="S68" s="278"/>
      <c r="T68" s="278"/>
      <c r="U68" s="278"/>
      <c r="V68" s="278"/>
      <c r="W68" s="278"/>
      <c r="X68" s="278"/>
      <c r="Y68" s="282">
        <f>VLOOKUP(A68,'3121% SY'!$A$3:$M$600,13,FALSE)</f>
        <v>0.25949999999999995</v>
      </c>
      <c r="Z68" s="30">
        <f t="shared" ref="Z68:Z131" si="28">ROUND(Y68*G68,3)+ROUND(J68*Y68,3)</f>
        <v>0.154</v>
      </c>
      <c r="AA68" s="31">
        <f t="shared" si="16"/>
        <v>10.438000000000001</v>
      </c>
      <c r="AB68" s="32">
        <f t="shared" si="17"/>
        <v>18.38</v>
      </c>
      <c r="AC68" s="28">
        <f t="shared" ref="AC68:AC131" si="29">IF(OR(SUM(C68:D68)=0,SUM(E68:G68)=0),25.23,IF(AB68&gt;$AC$2,IF(AB68&gt;25.23,25.23,AB68),$AC$2))</f>
        <v>18.38</v>
      </c>
      <c r="AD68" s="33">
        <f t="shared" si="18"/>
        <v>9.8970000000000002</v>
      </c>
      <c r="AE68" s="33">
        <f t="shared" si="19"/>
        <v>2.1619999999999999</v>
      </c>
      <c r="AF68" s="25">
        <f t="shared" si="20"/>
        <v>877026.95</v>
      </c>
      <c r="AG68" s="25">
        <f t="shared" si="21"/>
        <v>66095.38</v>
      </c>
      <c r="AH68" s="25">
        <f t="shared" si="22"/>
        <v>148470.41</v>
      </c>
      <c r="AI68" s="25">
        <f t="shared" si="23"/>
        <v>25404.929999999993</v>
      </c>
      <c r="AJ68" s="25">
        <f t="shared" si="24"/>
        <v>159180.39000000001</v>
      </c>
      <c r="AK68" s="25">
        <f t="shared" si="25"/>
        <v>11573.3</v>
      </c>
      <c r="AL68" s="25">
        <f t="shared" si="26"/>
        <v>18471.05</v>
      </c>
      <c r="AM68" s="23">
        <f t="shared" si="27"/>
        <v>1306222.4100000001</v>
      </c>
      <c r="AO68" s="23"/>
      <c r="AP68" s="23"/>
    </row>
    <row r="69" spans="1:42" x14ac:dyDescent="0.25">
      <c r="A69" t="s">
        <v>70</v>
      </c>
      <c r="B69" t="s">
        <v>366</v>
      </c>
      <c r="C69" s="25">
        <v>447.25</v>
      </c>
      <c r="D69" s="25">
        <v>39.200000000000003</v>
      </c>
      <c r="E69" s="25">
        <v>23</v>
      </c>
      <c r="F69" s="25">
        <v>1</v>
      </c>
      <c r="G69" s="25">
        <v>2.86</v>
      </c>
      <c r="H69" s="25">
        <v>0</v>
      </c>
      <c r="I69" s="25">
        <v>0</v>
      </c>
      <c r="J69" s="25">
        <v>0</v>
      </c>
      <c r="K69" s="192">
        <v>1</v>
      </c>
      <c r="L69" s="192">
        <v>1</v>
      </c>
      <c r="M69" s="192">
        <v>0</v>
      </c>
      <c r="N69" s="278"/>
      <c r="O69" s="278"/>
      <c r="P69" s="278"/>
      <c r="Q69" s="278"/>
      <c r="R69" s="278"/>
      <c r="S69" s="278"/>
      <c r="T69" s="278"/>
      <c r="U69" s="278"/>
      <c r="V69" s="278"/>
      <c r="W69" s="278"/>
      <c r="X69" s="278"/>
      <c r="Y69" s="282">
        <f>VLOOKUP(A69,'3121% SY'!$A$3:$M$600,13,FALSE)</f>
        <v>0.20279999999999998</v>
      </c>
      <c r="Z69" s="30">
        <f t="shared" si="28"/>
        <v>0.57999999999999996</v>
      </c>
      <c r="AA69" s="31">
        <f t="shared" si="16"/>
        <v>24.58</v>
      </c>
      <c r="AB69" s="32">
        <f t="shared" si="17"/>
        <v>19.79</v>
      </c>
      <c r="AC69" s="28">
        <f t="shared" si="29"/>
        <v>19.79</v>
      </c>
      <c r="AD69" s="33">
        <f t="shared" si="18"/>
        <v>26.103000000000002</v>
      </c>
      <c r="AE69" s="33">
        <f t="shared" si="19"/>
        <v>2.2879999999999998</v>
      </c>
      <c r="AF69" s="25">
        <f t="shared" si="20"/>
        <v>2064820.65</v>
      </c>
      <c r="AG69" s="25">
        <f t="shared" si="21"/>
        <v>155611.0700000003</v>
      </c>
      <c r="AH69" s="25">
        <f t="shared" si="22"/>
        <v>349549.99</v>
      </c>
      <c r="AI69" s="25">
        <f t="shared" si="23"/>
        <v>59811.890000000014</v>
      </c>
      <c r="AJ69" s="25">
        <f t="shared" si="24"/>
        <v>374764.95</v>
      </c>
      <c r="AK69" s="25">
        <f t="shared" si="25"/>
        <v>27247.5</v>
      </c>
      <c r="AL69" s="25">
        <f t="shared" si="26"/>
        <v>43487.16</v>
      </c>
      <c r="AM69" s="23">
        <f t="shared" si="27"/>
        <v>3075293.2100000004</v>
      </c>
      <c r="AO69" s="23"/>
      <c r="AP69" s="23"/>
    </row>
    <row r="70" spans="1:42" x14ac:dyDescent="0.25">
      <c r="A70" t="s">
        <v>71</v>
      </c>
      <c r="B70" t="s">
        <v>367</v>
      </c>
      <c r="C70" s="25">
        <v>2476.19</v>
      </c>
      <c r="D70" s="25">
        <v>0</v>
      </c>
      <c r="E70" s="25">
        <v>131.27099999999999</v>
      </c>
      <c r="F70" s="25">
        <v>0</v>
      </c>
      <c r="G70" s="25">
        <v>12.262</v>
      </c>
      <c r="H70" s="25">
        <v>0</v>
      </c>
      <c r="I70" s="25">
        <v>0</v>
      </c>
      <c r="J70" s="25">
        <v>0</v>
      </c>
      <c r="K70" s="192">
        <v>1</v>
      </c>
      <c r="L70" s="192">
        <v>1</v>
      </c>
      <c r="M70" s="192">
        <v>0</v>
      </c>
      <c r="N70" s="278"/>
      <c r="O70" s="278"/>
      <c r="P70" s="278"/>
      <c r="Q70" s="278"/>
      <c r="R70" s="278"/>
      <c r="S70" s="278"/>
      <c r="T70" s="278"/>
      <c r="U70" s="278"/>
      <c r="V70" s="278"/>
      <c r="W70" s="278"/>
      <c r="X70" s="278"/>
      <c r="Y70" s="282">
        <f>VLOOKUP(A70,'3121% SY'!$A$3:$M$600,13,FALSE)</f>
        <v>0.25060000000000004</v>
      </c>
      <c r="Z70" s="30">
        <f t="shared" si="28"/>
        <v>3.073</v>
      </c>
      <c r="AA70" s="31">
        <f t="shared" si="16"/>
        <v>134.34399999999999</v>
      </c>
      <c r="AB70" s="32">
        <f t="shared" si="17"/>
        <v>18.43</v>
      </c>
      <c r="AC70" s="28">
        <f t="shared" si="29"/>
        <v>18.43</v>
      </c>
      <c r="AD70" s="33">
        <f t="shared" si="18"/>
        <v>155.18199999999999</v>
      </c>
      <c r="AE70" s="33">
        <f t="shared" si="19"/>
        <v>0</v>
      </c>
      <c r="AF70" s="25">
        <f t="shared" si="20"/>
        <v>11286076.5</v>
      </c>
      <c r="AG70" s="25">
        <f t="shared" si="21"/>
        <v>850552.53999999911</v>
      </c>
      <c r="AH70" s="25">
        <f t="shared" si="22"/>
        <v>1910600.78</v>
      </c>
      <c r="AI70" s="25">
        <f t="shared" si="23"/>
        <v>326925.03000000003</v>
      </c>
      <c r="AJ70" s="25">
        <f t="shared" si="24"/>
        <v>2048422.88</v>
      </c>
      <c r="AK70" s="25">
        <f t="shared" si="25"/>
        <v>148931.75</v>
      </c>
      <c r="AL70" s="25">
        <f t="shared" si="26"/>
        <v>237695.88</v>
      </c>
      <c r="AM70" s="23">
        <f t="shared" si="27"/>
        <v>16809205.359999996</v>
      </c>
      <c r="AO70" s="23"/>
      <c r="AP70" s="23"/>
    </row>
    <row r="71" spans="1:42" x14ac:dyDescent="0.25">
      <c r="A71" t="s">
        <v>72</v>
      </c>
      <c r="B71" t="s">
        <v>368</v>
      </c>
      <c r="C71" s="25">
        <v>738.95</v>
      </c>
      <c r="D71" s="25">
        <v>0</v>
      </c>
      <c r="E71" s="25">
        <v>43.432000000000002</v>
      </c>
      <c r="F71" s="25">
        <v>0</v>
      </c>
      <c r="G71" s="25">
        <v>3.1760000000000002</v>
      </c>
      <c r="H71" s="25">
        <v>0</v>
      </c>
      <c r="I71" s="25">
        <v>0</v>
      </c>
      <c r="J71" s="25">
        <v>0</v>
      </c>
      <c r="K71" s="192">
        <v>1</v>
      </c>
      <c r="L71" s="192">
        <v>1</v>
      </c>
      <c r="M71" s="192">
        <v>4.0000000000000036E-2</v>
      </c>
      <c r="N71" s="278"/>
      <c r="O71" s="278"/>
      <c r="P71" s="278"/>
      <c r="Q71" s="278"/>
      <c r="R71" s="278"/>
      <c r="S71" s="278"/>
      <c r="T71" s="278"/>
      <c r="U71" s="278"/>
      <c r="V71" s="278"/>
      <c r="W71" s="278"/>
      <c r="X71" s="278"/>
      <c r="Y71" s="282">
        <f>VLOOKUP(A71,'3121% SY'!$A$3:$M$600,13,FALSE)</f>
        <v>0.23740000000000006</v>
      </c>
      <c r="Z71" s="30">
        <f t="shared" si="28"/>
        <v>0.754</v>
      </c>
      <c r="AA71" s="31">
        <f t="shared" si="16"/>
        <v>44.186</v>
      </c>
      <c r="AB71" s="32">
        <f t="shared" si="17"/>
        <v>16.72</v>
      </c>
      <c r="AC71" s="28">
        <f t="shared" si="29"/>
        <v>17</v>
      </c>
      <c r="AD71" s="33">
        <f t="shared" si="18"/>
        <v>50.204999999999998</v>
      </c>
      <c r="AE71" s="33">
        <f t="shared" si="19"/>
        <v>0</v>
      </c>
      <c r="AF71" s="25">
        <f t="shared" si="20"/>
        <v>3651309.24</v>
      </c>
      <c r="AG71" s="25">
        <f t="shared" si="21"/>
        <v>432232.91999999993</v>
      </c>
      <c r="AH71" s="25">
        <f t="shared" si="22"/>
        <v>618123.96</v>
      </c>
      <c r="AI71" s="25">
        <f t="shared" si="23"/>
        <v>105767.88</v>
      </c>
      <c r="AJ71" s="25">
        <f t="shared" si="24"/>
        <v>662712.63</v>
      </c>
      <c r="AK71" s="25">
        <f t="shared" si="25"/>
        <v>75683.98</v>
      </c>
      <c r="AL71" s="25">
        <f t="shared" si="26"/>
        <v>79976.17</v>
      </c>
      <c r="AM71" s="23">
        <f t="shared" si="27"/>
        <v>5625806.7800000003</v>
      </c>
      <c r="AO71" s="23"/>
      <c r="AP71" s="23"/>
    </row>
    <row r="72" spans="1:42" x14ac:dyDescent="0.25">
      <c r="A72" t="s">
        <v>73</v>
      </c>
      <c r="B72" t="s">
        <v>369</v>
      </c>
      <c r="C72" s="25">
        <v>34.56</v>
      </c>
      <c r="D72" s="25">
        <v>0</v>
      </c>
      <c r="E72" s="25">
        <v>2.7</v>
      </c>
      <c r="F72" s="25">
        <v>0</v>
      </c>
      <c r="G72" s="25">
        <v>0.5</v>
      </c>
      <c r="H72" s="25">
        <v>0</v>
      </c>
      <c r="I72" s="25">
        <v>0</v>
      </c>
      <c r="J72" s="25">
        <v>0</v>
      </c>
      <c r="K72" s="192">
        <v>1</v>
      </c>
      <c r="L72" s="192">
        <v>1</v>
      </c>
      <c r="M72" s="192">
        <v>1.0000000000000009E-2</v>
      </c>
      <c r="N72" s="278"/>
      <c r="O72" s="278"/>
      <c r="P72" s="278"/>
      <c r="Q72" s="278"/>
      <c r="R72" s="278"/>
      <c r="S72" s="278"/>
      <c r="T72" s="278"/>
      <c r="U72" s="278"/>
      <c r="V72" s="278"/>
      <c r="W72" s="278"/>
      <c r="X72" s="278"/>
      <c r="Y72" s="282">
        <f>VLOOKUP(A72,'3121% SY'!$A$3:$M$600,13,FALSE)</f>
        <v>0.16559999999999997</v>
      </c>
      <c r="Z72" s="30">
        <f t="shared" si="28"/>
        <v>8.3000000000000004E-2</v>
      </c>
      <c r="AA72" s="31">
        <f t="shared" si="16"/>
        <v>2.7830000000000004</v>
      </c>
      <c r="AB72" s="32">
        <f t="shared" si="17"/>
        <v>12.42</v>
      </c>
      <c r="AC72" s="28">
        <f t="shared" si="29"/>
        <v>17</v>
      </c>
      <c r="AD72" s="33">
        <f t="shared" si="18"/>
        <v>2.3479999999999999</v>
      </c>
      <c r="AE72" s="33">
        <f t="shared" si="19"/>
        <v>0</v>
      </c>
      <c r="AF72" s="25">
        <f t="shared" si="20"/>
        <v>170765.34</v>
      </c>
      <c r="AG72" s="25">
        <f t="shared" si="21"/>
        <v>14705.739999999991</v>
      </c>
      <c r="AH72" s="25">
        <f t="shared" si="22"/>
        <v>28908.58</v>
      </c>
      <c r="AI72" s="25">
        <f t="shared" si="23"/>
        <v>4946.57</v>
      </c>
      <c r="AJ72" s="25">
        <f t="shared" si="24"/>
        <v>30993.91</v>
      </c>
      <c r="AK72" s="25">
        <f t="shared" si="25"/>
        <v>2574.98</v>
      </c>
      <c r="AL72" s="25">
        <f t="shared" si="26"/>
        <v>3632.45</v>
      </c>
      <c r="AM72" s="23">
        <f t="shared" si="27"/>
        <v>256527.57</v>
      </c>
      <c r="AO72" s="23"/>
      <c r="AP72" s="23"/>
    </row>
    <row r="73" spans="1:42" x14ac:dyDescent="0.25">
      <c r="A73" t="s">
        <v>74</v>
      </c>
      <c r="B73" t="s">
        <v>370</v>
      </c>
      <c r="C73" s="25">
        <v>192.92</v>
      </c>
      <c r="D73" s="25">
        <v>0</v>
      </c>
      <c r="E73" s="25">
        <v>13.19</v>
      </c>
      <c r="F73" s="25">
        <v>0</v>
      </c>
      <c r="G73" s="25">
        <v>0.312</v>
      </c>
      <c r="H73" s="25">
        <v>0</v>
      </c>
      <c r="I73" s="25">
        <v>0</v>
      </c>
      <c r="J73" s="25">
        <v>0</v>
      </c>
      <c r="K73" s="192">
        <v>1</v>
      </c>
      <c r="L73" s="192">
        <v>1</v>
      </c>
      <c r="M73" s="192">
        <v>0</v>
      </c>
      <c r="N73" s="278"/>
      <c r="O73" s="278"/>
      <c r="P73" s="278"/>
      <c r="Q73" s="278"/>
      <c r="R73" s="278"/>
      <c r="S73" s="278"/>
      <c r="T73" s="278"/>
      <c r="U73" s="278"/>
      <c r="V73" s="278"/>
      <c r="W73" s="278"/>
      <c r="X73" s="278"/>
      <c r="Y73" s="282">
        <f>VLOOKUP(A73,'3121% SY'!$A$3:$M$600,13,FALSE)</f>
        <v>0.25049999999999994</v>
      </c>
      <c r="Z73" s="30">
        <f t="shared" si="28"/>
        <v>7.8E-2</v>
      </c>
      <c r="AA73" s="31">
        <f t="shared" si="16"/>
        <v>13.267999999999999</v>
      </c>
      <c r="AB73" s="32">
        <f t="shared" si="17"/>
        <v>14.54</v>
      </c>
      <c r="AC73" s="28">
        <f t="shared" si="29"/>
        <v>17</v>
      </c>
      <c r="AD73" s="33">
        <f t="shared" si="18"/>
        <v>13.106999999999999</v>
      </c>
      <c r="AE73" s="33">
        <f t="shared" si="19"/>
        <v>0</v>
      </c>
      <c r="AF73" s="25">
        <f t="shared" si="20"/>
        <v>953245.9</v>
      </c>
      <c r="AG73" s="25">
        <f t="shared" si="21"/>
        <v>71839.459999999963</v>
      </c>
      <c r="AH73" s="25">
        <f t="shared" si="22"/>
        <v>161373.38</v>
      </c>
      <c r="AI73" s="25">
        <f t="shared" si="23"/>
        <v>27612.78</v>
      </c>
      <c r="AJ73" s="25">
        <f t="shared" si="24"/>
        <v>173014.13</v>
      </c>
      <c r="AK73" s="25">
        <f t="shared" si="25"/>
        <v>12579.09</v>
      </c>
      <c r="AL73" s="25">
        <f t="shared" si="26"/>
        <v>20076.3</v>
      </c>
      <c r="AM73" s="23">
        <f t="shared" si="27"/>
        <v>1419741.04</v>
      </c>
      <c r="AO73" s="23"/>
      <c r="AP73" s="23"/>
    </row>
    <row r="74" spans="1:42" x14ac:dyDescent="0.25">
      <c r="A74" t="s">
        <v>75</v>
      </c>
      <c r="B74" t="s">
        <v>371</v>
      </c>
      <c r="C74" s="25">
        <v>790.46</v>
      </c>
      <c r="D74" s="25">
        <v>1.8</v>
      </c>
      <c r="E74" s="25">
        <v>42.5</v>
      </c>
      <c r="F74" s="25">
        <v>0</v>
      </c>
      <c r="G74" s="25">
        <v>6.2750000000000004</v>
      </c>
      <c r="H74" s="25">
        <v>0</v>
      </c>
      <c r="I74" s="25">
        <v>0</v>
      </c>
      <c r="J74" s="25">
        <v>0</v>
      </c>
      <c r="K74" s="192">
        <v>1</v>
      </c>
      <c r="L74" s="192">
        <v>1</v>
      </c>
      <c r="M74" s="192">
        <v>0</v>
      </c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82">
        <f>VLOOKUP(A74,'3121% SY'!$A$3:$M$600,13,FALSE)</f>
        <v>0.26870000000000005</v>
      </c>
      <c r="Z74" s="30">
        <f t="shared" si="28"/>
        <v>1.6859999999999999</v>
      </c>
      <c r="AA74" s="31">
        <f t="shared" si="16"/>
        <v>44.186</v>
      </c>
      <c r="AB74" s="32">
        <f t="shared" si="17"/>
        <v>17.93</v>
      </c>
      <c r="AC74" s="28">
        <f t="shared" si="29"/>
        <v>17.93</v>
      </c>
      <c r="AD74" s="33">
        <f t="shared" si="18"/>
        <v>50.918999999999997</v>
      </c>
      <c r="AE74" s="33">
        <f t="shared" si="19"/>
        <v>0.11600000000000001</v>
      </c>
      <c r="AF74" s="25">
        <f t="shared" si="20"/>
        <v>3711673.48</v>
      </c>
      <c r="AG74" s="25">
        <f t="shared" si="21"/>
        <v>279722.83999999985</v>
      </c>
      <c r="AH74" s="25">
        <f t="shared" si="22"/>
        <v>628342.92000000004</v>
      </c>
      <c r="AI74" s="25">
        <f t="shared" si="23"/>
        <v>107516.45999999996</v>
      </c>
      <c r="AJ74" s="25">
        <f t="shared" si="24"/>
        <v>673668.74</v>
      </c>
      <c r="AK74" s="25">
        <f t="shared" si="25"/>
        <v>48979.47</v>
      </c>
      <c r="AL74" s="25">
        <f t="shared" si="26"/>
        <v>78171.5</v>
      </c>
      <c r="AM74" s="23">
        <f t="shared" si="27"/>
        <v>5528075.4100000001</v>
      </c>
      <c r="AO74" s="23"/>
      <c r="AP74" s="23"/>
    </row>
    <row r="75" spans="1:42" x14ac:dyDescent="0.25">
      <c r="A75" t="s">
        <v>76</v>
      </c>
      <c r="B75" t="s">
        <v>372</v>
      </c>
      <c r="C75" s="25">
        <v>409.2</v>
      </c>
      <c r="D75" s="25">
        <v>12.8</v>
      </c>
      <c r="E75" s="25">
        <v>24.047999999999998</v>
      </c>
      <c r="F75" s="25">
        <v>0</v>
      </c>
      <c r="G75" s="25">
        <v>2</v>
      </c>
      <c r="H75" s="25">
        <v>0</v>
      </c>
      <c r="I75" s="25">
        <v>0</v>
      </c>
      <c r="J75" s="25">
        <v>0</v>
      </c>
      <c r="K75" s="192">
        <v>1</v>
      </c>
      <c r="L75" s="192">
        <v>1</v>
      </c>
      <c r="M75" s="192">
        <v>0</v>
      </c>
      <c r="N75" s="278"/>
      <c r="O75" s="278"/>
      <c r="P75" s="278"/>
      <c r="Q75" s="278"/>
      <c r="R75" s="278"/>
      <c r="S75" s="278"/>
      <c r="T75" s="278"/>
      <c r="U75" s="278"/>
      <c r="V75" s="278"/>
      <c r="W75" s="278"/>
      <c r="X75" s="278"/>
      <c r="Y75" s="282">
        <f>VLOOKUP(A75,'3121% SY'!$A$3:$M$600,13,FALSE)</f>
        <v>0.20040000000000002</v>
      </c>
      <c r="Z75" s="30">
        <f t="shared" si="28"/>
        <v>0.40100000000000002</v>
      </c>
      <c r="AA75" s="31">
        <f t="shared" si="16"/>
        <v>24.448999999999998</v>
      </c>
      <c r="AB75" s="32">
        <f t="shared" si="17"/>
        <v>17.260000000000002</v>
      </c>
      <c r="AC75" s="28">
        <f t="shared" si="29"/>
        <v>17.260000000000002</v>
      </c>
      <c r="AD75" s="33">
        <f t="shared" si="18"/>
        <v>27.382999999999999</v>
      </c>
      <c r="AE75" s="33">
        <f t="shared" si="19"/>
        <v>0.85699999999999998</v>
      </c>
      <c r="AF75" s="25">
        <f t="shared" si="20"/>
        <v>2053838.72</v>
      </c>
      <c r="AG75" s="25">
        <f t="shared" si="21"/>
        <v>154783.44000000018</v>
      </c>
      <c r="AH75" s="25">
        <f t="shared" si="22"/>
        <v>347690.88</v>
      </c>
      <c r="AI75" s="25">
        <f t="shared" si="23"/>
        <v>59493.770000000019</v>
      </c>
      <c r="AJ75" s="25">
        <f t="shared" si="24"/>
        <v>372771.73</v>
      </c>
      <c r="AK75" s="25">
        <f t="shared" si="25"/>
        <v>27102.58</v>
      </c>
      <c r="AL75" s="25">
        <f t="shared" si="26"/>
        <v>43255.87</v>
      </c>
      <c r="AM75" s="23">
        <f t="shared" si="27"/>
        <v>3058936.99</v>
      </c>
      <c r="AO75" s="23"/>
      <c r="AP75" s="23"/>
    </row>
    <row r="76" spans="1:42" x14ac:dyDescent="0.25">
      <c r="A76" t="s">
        <v>77</v>
      </c>
      <c r="B76" t="s">
        <v>373</v>
      </c>
      <c r="C76" s="25">
        <v>177.25</v>
      </c>
      <c r="D76" s="25">
        <v>19</v>
      </c>
      <c r="E76" s="25">
        <v>11.41</v>
      </c>
      <c r="F76" s="25">
        <v>1.2</v>
      </c>
      <c r="G76" s="25">
        <v>1.1599999999999999</v>
      </c>
      <c r="H76" s="25">
        <v>0</v>
      </c>
      <c r="I76" s="25">
        <v>0</v>
      </c>
      <c r="J76" s="25">
        <v>0</v>
      </c>
      <c r="K76" s="192">
        <v>1</v>
      </c>
      <c r="L76" s="192">
        <v>1</v>
      </c>
      <c r="M76" s="192">
        <v>0</v>
      </c>
      <c r="N76" s="278"/>
      <c r="O76" s="278"/>
      <c r="P76" s="278"/>
      <c r="Q76" s="278"/>
      <c r="R76" s="278"/>
      <c r="S76" s="278"/>
      <c r="T76" s="278"/>
      <c r="U76" s="278"/>
      <c r="V76" s="278"/>
      <c r="W76" s="278"/>
      <c r="X76" s="278"/>
      <c r="Y76" s="282">
        <f>VLOOKUP(A76,'3121% SY'!$A$3:$M$600,13,FALSE)</f>
        <v>0.20499999999999996</v>
      </c>
      <c r="Z76" s="30">
        <f t="shared" si="28"/>
        <v>0.23799999999999999</v>
      </c>
      <c r="AA76" s="31">
        <f t="shared" si="16"/>
        <v>12.847999999999999</v>
      </c>
      <c r="AB76" s="32">
        <f t="shared" si="17"/>
        <v>15.27</v>
      </c>
      <c r="AC76" s="28">
        <f t="shared" si="29"/>
        <v>17</v>
      </c>
      <c r="AD76" s="33">
        <f t="shared" si="18"/>
        <v>12.042999999999999</v>
      </c>
      <c r="AE76" s="33">
        <f t="shared" si="19"/>
        <v>1.2909999999999999</v>
      </c>
      <c r="AF76" s="25">
        <f t="shared" si="20"/>
        <v>969755.15</v>
      </c>
      <c r="AG76" s="25">
        <f t="shared" si="21"/>
        <v>73083.660000000033</v>
      </c>
      <c r="AH76" s="25">
        <f t="shared" si="22"/>
        <v>164168.21</v>
      </c>
      <c r="AI76" s="25">
        <f t="shared" si="23"/>
        <v>28091</v>
      </c>
      <c r="AJ76" s="25">
        <f t="shared" si="24"/>
        <v>176010.56</v>
      </c>
      <c r="AK76" s="25">
        <f t="shared" si="25"/>
        <v>12796.95</v>
      </c>
      <c r="AL76" s="25">
        <f t="shared" si="26"/>
        <v>20424</v>
      </c>
      <c r="AM76" s="23">
        <f t="shared" si="27"/>
        <v>1444329.53</v>
      </c>
      <c r="AO76" s="23"/>
      <c r="AP76" s="23"/>
    </row>
    <row r="77" spans="1:42" x14ac:dyDescent="0.25">
      <c r="A77" t="s">
        <v>78</v>
      </c>
      <c r="B77" t="s">
        <v>374</v>
      </c>
      <c r="C77" s="25">
        <v>144.6</v>
      </c>
      <c r="D77" s="25">
        <v>0</v>
      </c>
      <c r="E77" s="25">
        <v>9.3320000000000007</v>
      </c>
      <c r="F77" s="25">
        <v>0</v>
      </c>
      <c r="G77" s="25">
        <v>0</v>
      </c>
      <c r="H77" s="25">
        <v>0</v>
      </c>
      <c r="I77" s="25">
        <v>0</v>
      </c>
      <c r="J77" s="25">
        <v>0</v>
      </c>
      <c r="K77" s="192">
        <v>1</v>
      </c>
      <c r="L77" s="192">
        <v>1</v>
      </c>
      <c r="M77" s="192">
        <v>0</v>
      </c>
      <c r="N77" s="278"/>
      <c r="O77" s="278"/>
      <c r="P77" s="278"/>
      <c r="Q77" s="278"/>
      <c r="R77" s="278"/>
      <c r="S77" s="278"/>
      <c r="T77" s="278"/>
      <c r="U77" s="278"/>
      <c r="V77" s="278"/>
      <c r="W77" s="278"/>
      <c r="X77" s="278"/>
      <c r="Y77" s="282">
        <f>VLOOKUP(A77,'3121% SY'!$A$3:$M$600,13,FALSE)</f>
        <v>0.17600000000000005</v>
      </c>
      <c r="Z77" s="30">
        <f t="shared" si="28"/>
        <v>0</v>
      </c>
      <c r="AA77" s="31">
        <f t="shared" si="16"/>
        <v>9.3320000000000007</v>
      </c>
      <c r="AB77" s="32">
        <f t="shared" si="17"/>
        <v>15.5</v>
      </c>
      <c r="AC77" s="28">
        <f t="shared" si="29"/>
        <v>17</v>
      </c>
      <c r="AD77" s="33">
        <f t="shared" si="18"/>
        <v>9.8239999999999998</v>
      </c>
      <c r="AE77" s="33">
        <f t="shared" si="19"/>
        <v>0</v>
      </c>
      <c r="AF77" s="25">
        <f t="shared" si="20"/>
        <v>714479.87</v>
      </c>
      <c r="AG77" s="25">
        <f t="shared" si="21"/>
        <v>53845.349999999977</v>
      </c>
      <c r="AH77" s="25">
        <f t="shared" si="22"/>
        <v>120953.09</v>
      </c>
      <c r="AI77" s="25">
        <f t="shared" si="23"/>
        <v>20696.420000000013</v>
      </c>
      <c r="AJ77" s="25">
        <f t="shared" si="24"/>
        <v>129678.1</v>
      </c>
      <c r="AK77" s="25">
        <f t="shared" si="25"/>
        <v>9428.32</v>
      </c>
      <c r="AL77" s="25">
        <f t="shared" si="26"/>
        <v>15047.65</v>
      </c>
      <c r="AM77" s="23">
        <f t="shared" si="27"/>
        <v>1064128.7999999998</v>
      </c>
      <c r="AO77" s="23"/>
      <c r="AP77" s="23"/>
    </row>
    <row r="78" spans="1:42" x14ac:dyDescent="0.25">
      <c r="A78" t="s">
        <v>79</v>
      </c>
      <c r="B78" t="s">
        <v>375</v>
      </c>
      <c r="C78" s="25">
        <v>394.8</v>
      </c>
      <c r="D78" s="25">
        <v>46.63</v>
      </c>
      <c r="E78" s="25">
        <v>21.143000000000001</v>
      </c>
      <c r="F78" s="25">
        <v>4</v>
      </c>
      <c r="G78" s="25">
        <v>2.7050000000000001</v>
      </c>
      <c r="H78" s="25">
        <v>0</v>
      </c>
      <c r="I78" s="25">
        <v>0</v>
      </c>
      <c r="J78" s="25">
        <v>0.6</v>
      </c>
      <c r="K78" s="192">
        <v>1</v>
      </c>
      <c r="L78" s="192">
        <v>1</v>
      </c>
      <c r="M78" s="192">
        <v>4.0000000000000036E-2</v>
      </c>
      <c r="N78" s="278"/>
      <c r="O78" s="278"/>
      <c r="P78" s="278"/>
      <c r="Q78" s="278"/>
      <c r="R78" s="278"/>
      <c r="S78" s="278"/>
      <c r="T78" s="278"/>
      <c r="U78" s="278"/>
      <c r="V78" s="278"/>
      <c r="W78" s="278"/>
      <c r="X78" s="278"/>
      <c r="Y78" s="282">
        <f>VLOOKUP(A78,'3121% SY'!$A$3:$M$600,13,FALSE)</f>
        <v>0.23409999999999997</v>
      </c>
      <c r="Z78" s="30">
        <f t="shared" si="28"/>
        <v>0.77300000000000002</v>
      </c>
      <c r="AA78" s="31">
        <f t="shared" si="16"/>
        <v>25.916</v>
      </c>
      <c r="AB78" s="32">
        <f t="shared" si="17"/>
        <v>17.03</v>
      </c>
      <c r="AC78" s="28">
        <f t="shared" si="29"/>
        <v>17.03</v>
      </c>
      <c r="AD78" s="33">
        <f t="shared" si="18"/>
        <v>26.776</v>
      </c>
      <c r="AE78" s="33">
        <f t="shared" si="19"/>
        <v>3.1629999999999998</v>
      </c>
      <c r="AF78" s="25">
        <f t="shared" si="20"/>
        <v>2177403.59</v>
      </c>
      <c r="AG78" s="25">
        <f t="shared" si="21"/>
        <v>257755.63000000035</v>
      </c>
      <c r="AH78" s="25">
        <f t="shared" si="22"/>
        <v>368608.97</v>
      </c>
      <c r="AI78" s="25">
        <f t="shared" si="23"/>
        <v>63073.090000000026</v>
      </c>
      <c r="AJ78" s="25">
        <f t="shared" si="24"/>
        <v>395198.75</v>
      </c>
      <c r="AK78" s="25">
        <f t="shared" si="25"/>
        <v>45133.01</v>
      </c>
      <c r="AL78" s="25">
        <f t="shared" si="26"/>
        <v>47692.59</v>
      </c>
      <c r="AM78" s="23">
        <f t="shared" si="27"/>
        <v>3354865.63</v>
      </c>
      <c r="AO78" s="23"/>
      <c r="AP78" s="23"/>
    </row>
    <row r="79" spans="1:42" x14ac:dyDescent="0.25">
      <c r="A79" t="s">
        <v>80</v>
      </c>
      <c r="B79" t="s">
        <v>376</v>
      </c>
      <c r="C79" s="25">
        <v>443.23</v>
      </c>
      <c r="D79" s="25">
        <v>12.6</v>
      </c>
      <c r="E79" s="25">
        <v>27.178000000000001</v>
      </c>
      <c r="F79" s="25">
        <v>0</v>
      </c>
      <c r="G79" s="25">
        <v>1.25</v>
      </c>
      <c r="H79" s="25">
        <v>0</v>
      </c>
      <c r="I79" s="25">
        <v>0</v>
      </c>
      <c r="J79" s="25">
        <v>0</v>
      </c>
      <c r="K79" s="192">
        <v>1</v>
      </c>
      <c r="L79" s="192">
        <v>1</v>
      </c>
      <c r="M79" s="192">
        <v>1.0000000000000009E-2</v>
      </c>
      <c r="N79" s="278"/>
      <c r="O79" s="278"/>
      <c r="P79" s="278"/>
      <c r="Q79" s="278"/>
      <c r="R79" s="278"/>
      <c r="S79" s="278"/>
      <c r="T79" s="278"/>
      <c r="U79" s="278"/>
      <c r="V79" s="278"/>
      <c r="W79" s="278"/>
      <c r="X79" s="278"/>
      <c r="Y79" s="282">
        <f>VLOOKUP(A79,'3121% SY'!$A$3:$M$600,13,FALSE)</f>
        <v>0.25609999999999999</v>
      </c>
      <c r="Z79" s="30">
        <f t="shared" si="28"/>
        <v>0.32</v>
      </c>
      <c r="AA79" s="31">
        <f t="shared" si="16"/>
        <v>27.498000000000001</v>
      </c>
      <c r="AB79" s="32">
        <f t="shared" si="17"/>
        <v>16.579999999999998</v>
      </c>
      <c r="AC79" s="28">
        <f t="shared" si="29"/>
        <v>17</v>
      </c>
      <c r="AD79" s="33">
        <f t="shared" si="18"/>
        <v>30.114000000000001</v>
      </c>
      <c r="AE79" s="33">
        <f t="shared" si="19"/>
        <v>0.85599999999999998</v>
      </c>
      <c r="AF79" s="25">
        <f t="shared" si="20"/>
        <v>2252386.16</v>
      </c>
      <c r="AG79" s="25">
        <f t="shared" si="21"/>
        <v>193967.89999999991</v>
      </c>
      <c r="AH79" s="25">
        <f t="shared" si="22"/>
        <v>381302.64</v>
      </c>
      <c r="AI79" s="25">
        <f t="shared" si="23"/>
        <v>65245.119999999995</v>
      </c>
      <c r="AJ79" s="25">
        <f t="shared" si="24"/>
        <v>408808.09</v>
      </c>
      <c r="AK79" s="25">
        <f t="shared" si="25"/>
        <v>33963.78</v>
      </c>
      <c r="AL79" s="25">
        <f t="shared" si="26"/>
        <v>47911.839999999997</v>
      </c>
      <c r="AM79" s="23">
        <f t="shared" si="27"/>
        <v>3383585.53</v>
      </c>
      <c r="AO79" s="23"/>
      <c r="AP79" s="23"/>
    </row>
    <row r="80" spans="1:42" x14ac:dyDescent="0.25">
      <c r="A80" t="s">
        <v>81</v>
      </c>
      <c r="B80" t="s">
        <v>377</v>
      </c>
      <c r="C80" s="25">
        <v>55</v>
      </c>
      <c r="D80" s="25">
        <v>0</v>
      </c>
      <c r="E80" s="25">
        <v>3.25</v>
      </c>
      <c r="F80" s="25">
        <v>0</v>
      </c>
      <c r="G80" s="25">
        <v>0</v>
      </c>
      <c r="H80" s="25">
        <v>0</v>
      </c>
      <c r="I80" s="25">
        <v>0</v>
      </c>
      <c r="J80" s="25">
        <v>0</v>
      </c>
      <c r="K80" s="192">
        <v>1</v>
      </c>
      <c r="L80" s="192">
        <v>1</v>
      </c>
      <c r="M80" s="192">
        <v>0</v>
      </c>
      <c r="N80" s="278"/>
      <c r="O80" s="278"/>
      <c r="P80" s="278"/>
      <c r="Q80" s="278"/>
      <c r="R80" s="278"/>
      <c r="S80" s="278"/>
      <c r="T80" s="278"/>
      <c r="U80" s="278"/>
      <c r="V80" s="278"/>
      <c r="W80" s="278"/>
      <c r="X80" s="278"/>
      <c r="Y80" s="282">
        <f>VLOOKUP(A80,'3121% SY'!$A$3:$M$600,13,FALSE)</f>
        <v>0.11370000000000002</v>
      </c>
      <c r="Z80" s="30">
        <f t="shared" si="28"/>
        <v>0</v>
      </c>
      <c r="AA80" s="31">
        <f t="shared" si="16"/>
        <v>3.25</v>
      </c>
      <c r="AB80" s="32">
        <f t="shared" si="17"/>
        <v>16.920000000000002</v>
      </c>
      <c r="AC80" s="28">
        <f t="shared" si="29"/>
        <v>17</v>
      </c>
      <c r="AD80" s="33">
        <f t="shared" si="18"/>
        <v>3.7370000000000001</v>
      </c>
      <c r="AE80" s="33">
        <f t="shared" si="19"/>
        <v>0</v>
      </c>
      <c r="AF80" s="25">
        <f t="shared" si="20"/>
        <v>271784.53999999998</v>
      </c>
      <c r="AG80" s="25">
        <f t="shared" si="21"/>
        <v>20482.490000000049</v>
      </c>
      <c r="AH80" s="25">
        <f t="shared" si="22"/>
        <v>46009.94</v>
      </c>
      <c r="AI80" s="25">
        <f t="shared" si="23"/>
        <v>7872.82</v>
      </c>
      <c r="AJ80" s="25">
        <f t="shared" si="24"/>
        <v>49328.89</v>
      </c>
      <c r="AK80" s="25">
        <f t="shared" si="25"/>
        <v>3586.48</v>
      </c>
      <c r="AL80" s="25">
        <f t="shared" si="26"/>
        <v>5724.05</v>
      </c>
      <c r="AM80" s="23">
        <f t="shared" si="27"/>
        <v>404789.21</v>
      </c>
      <c r="AO80" s="23"/>
      <c r="AP80" s="23"/>
    </row>
    <row r="81" spans="1:42" x14ac:dyDescent="0.25">
      <c r="A81" t="s">
        <v>82</v>
      </c>
      <c r="B81" t="s">
        <v>378</v>
      </c>
      <c r="C81" s="25">
        <v>49.2</v>
      </c>
      <c r="D81" s="25">
        <v>0</v>
      </c>
      <c r="E81" s="25">
        <v>3.976</v>
      </c>
      <c r="F81" s="25">
        <v>0</v>
      </c>
      <c r="G81" s="25">
        <v>0</v>
      </c>
      <c r="H81" s="25">
        <v>0</v>
      </c>
      <c r="I81" s="25">
        <v>0</v>
      </c>
      <c r="J81" s="25">
        <v>0</v>
      </c>
      <c r="K81" s="192">
        <v>1</v>
      </c>
      <c r="L81" s="192">
        <v>1</v>
      </c>
      <c r="M81" s="192">
        <v>0</v>
      </c>
      <c r="N81" s="278"/>
      <c r="O81" s="278"/>
      <c r="P81" s="278"/>
      <c r="Q81" s="278"/>
      <c r="R81" s="278"/>
      <c r="S81" s="278"/>
      <c r="T81" s="278"/>
      <c r="U81" s="278"/>
      <c r="V81" s="278"/>
      <c r="W81" s="278"/>
      <c r="X81" s="278"/>
      <c r="Y81" s="282">
        <f>VLOOKUP(A81,'3121% SY'!$A$3:$M$600,13,FALSE)</f>
        <v>0.19130000000000003</v>
      </c>
      <c r="Z81" s="30">
        <f t="shared" si="28"/>
        <v>0</v>
      </c>
      <c r="AA81" s="31">
        <f t="shared" si="16"/>
        <v>3.976</v>
      </c>
      <c r="AB81" s="32">
        <f t="shared" si="17"/>
        <v>12.37</v>
      </c>
      <c r="AC81" s="28">
        <f t="shared" si="29"/>
        <v>17</v>
      </c>
      <c r="AD81" s="33">
        <f t="shared" si="18"/>
        <v>3.343</v>
      </c>
      <c r="AE81" s="33">
        <f t="shared" si="19"/>
        <v>0</v>
      </c>
      <c r="AF81" s="25">
        <f t="shared" si="20"/>
        <v>243129.7</v>
      </c>
      <c r="AG81" s="25">
        <f t="shared" si="21"/>
        <v>18322.989999999991</v>
      </c>
      <c r="AH81" s="25">
        <f t="shared" si="22"/>
        <v>41159.019999999997</v>
      </c>
      <c r="AI81" s="25">
        <f t="shared" si="23"/>
        <v>7042.760000000002</v>
      </c>
      <c r="AJ81" s="25">
        <f t="shared" si="24"/>
        <v>44128.04</v>
      </c>
      <c r="AK81" s="25">
        <f t="shared" si="25"/>
        <v>3208.36</v>
      </c>
      <c r="AL81" s="25">
        <f t="shared" si="26"/>
        <v>5120.55</v>
      </c>
      <c r="AM81" s="23">
        <f t="shared" si="27"/>
        <v>362111.42</v>
      </c>
      <c r="AO81" s="23"/>
      <c r="AP81" s="23"/>
    </row>
    <row r="82" spans="1:42" x14ac:dyDescent="0.25">
      <c r="A82" t="s">
        <v>83</v>
      </c>
      <c r="B82" t="s">
        <v>379</v>
      </c>
      <c r="C82" s="25">
        <v>93.4</v>
      </c>
      <c r="D82" s="25">
        <v>14.3</v>
      </c>
      <c r="E82" s="25">
        <v>6.8440000000000003</v>
      </c>
      <c r="F82" s="25">
        <v>1</v>
      </c>
      <c r="G82" s="25">
        <v>0.57199999999999995</v>
      </c>
      <c r="H82" s="25">
        <v>0</v>
      </c>
      <c r="I82" s="25">
        <v>0</v>
      </c>
      <c r="J82" s="25">
        <v>0</v>
      </c>
      <c r="K82" s="192">
        <v>1</v>
      </c>
      <c r="L82" s="192">
        <v>1</v>
      </c>
      <c r="M82" s="192">
        <v>0</v>
      </c>
      <c r="N82" s="278"/>
      <c r="O82" s="278"/>
      <c r="P82" s="278"/>
      <c r="Q82" s="278"/>
      <c r="R82" s="278"/>
      <c r="S82" s="278"/>
      <c r="T82" s="278"/>
      <c r="U82" s="278"/>
      <c r="V82" s="278"/>
      <c r="W82" s="278"/>
      <c r="X82" s="278"/>
      <c r="Y82" s="282">
        <f>VLOOKUP(A82,'3121% SY'!$A$3:$M$600,13,FALSE)</f>
        <v>0.26880000000000004</v>
      </c>
      <c r="Z82" s="30">
        <f t="shared" si="28"/>
        <v>0.154</v>
      </c>
      <c r="AA82" s="31">
        <f t="shared" si="16"/>
        <v>7.9980000000000002</v>
      </c>
      <c r="AB82" s="32">
        <f t="shared" si="17"/>
        <v>13.47</v>
      </c>
      <c r="AC82" s="28">
        <f t="shared" si="29"/>
        <v>17</v>
      </c>
      <c r="AD82" s="33">
        <f t="shared" si="18"/>
        <v>6.3460000000000001</v>
      </c>
      <c r="AE82" s="33">
        <f t="shared" si="19"/>
        <v>0.97199999999999998</v>
      </c>
      <c r="AF82" s="25">
        <f t="shared" si="20"/>
        <v>532223.5</v>
      </c>
      <c r="AG82" s="25">
        <f t="shared" si="21"/>
        <v>40109.959999999963</v>
      </c>
      <c r="AH82" s="25">
        <f t="shared" si="22"/>
        <v>90099.22</v>
      </c>
      <c r="AI82" s="25">
        <f t="shared" si="23"/>
        <v>15416.970000000001</v>
      </c>
      <c r="AJ82" s="25">
        <f t="shared" si="24"/>
        <v>96598.57</v>
      </c>
      <c r="AK82" s="25">
        <f t="shared" si="25"/>
        <v>7023.25</v>
      </c>
      <c r="AL82" s="25">
        <f t="shared" si="26"/>
        <v>11209.15</v>
      </c>
      <c r="AM82" s="23">
        <f t="shared" si="27"/>
        <v>792680.62</v>
      </c>
      <c r="AO82" s="23"/>
      <c r="AP82" s="23"/>
    </row>
    <row r="83" spans="1:42" x14ac:dyDescent="0.25">
      <c r="A83" t="s">
        <v>84</v>
      </c>
      <c r="B83" t="s">
        <v>380</v>
      </c>
      <c r="C83" s="25">
        <v>34.6</v>
      </c>
      <c r="D83" s="25">
        <v>0</v>
      </c>
      <c r="E83" s="25">
        <v>1.9419999999999999</v>
      </c>
      <c r="F83" s="25">
        <v>0</v>
      </c>
      <c r="G83" s="25">
        <v>0</v>
      </c>
      <c r="H83" s="25">
        <v>0</v>
      </c>
      <c r="I83" s="25">
        <v>0</v>
      </c>
      <c r="J83" s="25">
        <v>0</v>
      </c>
      <c r="K83" s="192">
        <v>1</v>
      </c>
      <c r="L83" s="192">
        <v>1</v>
      </c>
      <c r="M83" s="192">
        <v>0</v>
      </c>
      <c r="N83" s="278"/>
      <c r="O83" s="278"/>
      <c r="P83" s="278"/>
      <c r="Q83" s="278"/>
      <c r="R83" s="278"/>
      <c r="S83" s="278"/>
      <c r="T83" s="278"/>
      <c r="U83" s="278"/>
      <c r="V83" s="278"/>
      <c r="W83" s="278"/>
      <c r="X83" s="278"/>
      <c r="Y83" s="282">
        <f>VLOOKUP(A83,'3121% SY'!$A$3:$M$600,13,FALSE)</f>
        <v>8.9999999999999969E-2</v>
      </c>
      <c r="Z83" s="30">
        <f t="shared" si="28"/>
        <v>0</v>
      </c>
      <c r="AA83" s="31">
        <f t="shared" si="16"/>
        <v>1.9419999999999999</v>
      </c>
      <c r="AB83" s="32">
        <f t="shared" si="17"/>
        <v>17.82</v>
      </c>
      <c r="AC83" s="28">
        <f t="shared" si="29"/>
        <v>17.82</v>
      </c>
      <c r="AD83" s="33">
        <f t="shared" si="18"/>
        <v>2.2429999999999999</v>
      </c>
      <c r="AE83" s="33">
        <f t="shared" si="19"/>
        <v>0</v>
      </c>
      <c r="AF83" s="25">
        <f t="shared" si="20"/>
        <v>163128.9</v>
      </c>
      <c r="AG83" s="25">
        <f t="shared" si="21"/>
        <v>12293.890000000014</v>
      </c>
      <c r="AH83" s="25">
        <f t="shared" si="22"/>
        <v>27615.82</v>
      </c>
      <c r="AI83" s="25">
        <f t="shared" si="23"/>
        <v>4725.369999999999</v>
      </c>
      <c r="AJ83" s="25">
        <f t="shared" si="24"/>
        <v>29607.9</v>
      </c>
      <c r="AK83" s="25">
        <f t="shared" si="25"/>
        <v>2152.66</v>
      </c>
      <c r="AL83" s="25">
        <f t="shared" si="26"/>
        <v>3435.66</v>
      </c>
      <c r="AM83" s="23">
        <f t="shared" si="27"/>
        <v>242960.2</v>
      </c>
      <c r="AO83" s="23"/>
      <c r="AP83" s="23"/>
    </row>
    <row r="84" spans="1:42" x14ac:dyDescent="0.25">
      <c r="A84" t="s">
        <v>85</v>
      </c>
      <c r="B84" t="s">
        <v>381</v>
      </c>
      <c r="C84" s="25">
        <v>50</v>
      </c>
      <c r="D84" s="25">
        <v>8.9</v>
      </c>
      <c r="E84" s="25">
        <v>4</v>
      </c>
      <c r="F84" s="25">
        <v>0</v>
      </c>
      <c r="G84" s="25">
        <v>0</v>
      </c>
      <c r="H84" s="25">
        <v>0</v>
      </c>
      <c r="I84" s="25">
        <v>0</v>
      </c>
      <c r="J84" s="25">
        <v>0</v>
      </c>
      <c r="K84" s="192">
        <v>1</v>
      </c>
      <c r="L84" s="192">
        <v>1</v>
      </c>
      <c r="M84" s="192">
        <v>0</v>
      </c>
      <c r="N84" s="278"/>
      <c r="O84" s="278"/>
      <c r="P84" s="278"/>
      <c r="Q84" s="278"/>
      <c r="R84" s="278"/>
      <c r="S84" s="278"/>
      <c r="T84" s="278"/>
      <c r="U84" s="278"/>
      <c r="V84" s="278"/>
      <c r="W84" s="278"/>
      <c r="X84" s="278"/>
      <c r="Y84" s="282">
        <f>VLOOKUP(A84,'3121% SY'!$A$3:$M$600,13,FALSE)</f>
        <v>0.14139999999999997</v>
      </c>
      <c r="Z84" s="30">
        <f t="shared" si="28"/>
        <v>0</v>
      </c>
      <c r="AA84" s="31">
        <f t="shared" si="16"/>
        <v>4</v>
      </c>
      <c r="AB84" s="32">
        <f t="shared" si="17"/>
        <v>14.73</v>
      </c>
      <c r="AC84" s="28">
        <f t="shared" si="29"/>
        <v>17</v>
      </c>
      <c r="AD84" s="33">
        <f t="shared" si="18"/>
        <v>3.3969999999999998</v>
      </c>
      <c r="AE84" s="33">
        <f t="shared" si="19"/>
        <v>0.60499999999999998</v>
      </c>
      <c r="AF84" s="25">
        <f t="shared" si="20"/>
        <v>291057.46000000002</v>
      </c>
      <c r="AG84" s="25">
        <f t="shared" si="21"/>
        <v>21934.959999999963</v>
      </c>
      <c r="AH84" s="25">
        <f t="shared" si="22"/>
        <v>49272.62</v>
      </c>
      <c r="AI84" s="25">
        <f t="shared" si="23"/>
        <v>8431.0999999999985</v>
      </c>
      <c r="AJ84" s="25">
        <f t="shared" si="24"/>
        <v>52826.93</v>
      </c>
      <c r="AK84" s="25">
        <f t="shared" si="25"/>
        <v>3840.81</v>
      </c>
      <c r="AL84" s="25">
        <f t="shared" si="26"/>
        <v>6129.96</v>
      </c>
      <c r="AM84" s="23">
        <f t="shared" si="27"/>
        <v>433493.83999999997</v>
      </c>
      <c r="AO84" s="23"/>
      <c r="AP84" s="23"/>
    </row>
    <row r="85" spans="1:42" x14ac:dyDescent="0.25">
      <c r="A85" t="s">
        <v>86</v>
      </c>
      <c r="B85" t="s">
        <v>382</v>
      </c>
      <c r="C85" s="25">
        <v>147</v>
      </c>
      <c r="D85" s="25">
        <v>0</v>
      </c>
      <c r="E85" s="25">
        <v>9.1289999999999996</v>
      </c>
      <c r="F85" s="25">
        <v>0</v>
      </c>
      <c r="G85" s="25">
        <v>1.1519999999999999</v>
      </c>
      <c r="H85" s="25">
        <v>0</v>
      </c>
      <c r="I85" s="25">
        <v>0</v>
      </c>
      <c r="J85" s="25">
        <v>0</v>
      </c>
      <c r="K85" s="192">
        <v>1</v>
      </c>
      <c r="L85" s="192">
        <v>1</v>
      </c>
      <c r="M85" s="192">
        <v>0</v>
      </c>
      <c r="N85" s="278"/>
      <c r="O85" s="278"/>
      <c r="P85" s="278"/>
      <c r="Q85" s="278"/>
      <c r="R85" s="278"/>
      <c r="S85" s="278"/>
      <c r="T85" s="278"/>
      <c r="U85" s="278"/>
      <c r="V85" s="278"/>
      <c r="W85" s="278"/>
      <c r="X85" s="278"/>
      <c r="Y85" s="282">
        <f>VLOOKUP(A85,'3121% SY'!$A$3:$M$600,13,FALSE)</f>
        <v>0.16159999999999997</v>
      </c>
      <c r="Z85" s="30">
        <f t="shared" si="28"/>
        <v>0.186</v>
      </c>
      <c r="AA85" s="31">
        <f t="shared" si="16"/>
        <v>9.3149999999999995</v>
      </c>
      <c r="AB85" s="32">
        <f t="shared" si="17"/>
        <v>15.78</v>
      </c>
      <c r="AC85" s="28">
        <f t="shared" si="29"/>
        <v>17</v>
      </c>
      <c r="AD85" s="33">
        <f t="shared" si="18"/>
        <v>9.9870000000000001</v>
      </c>
      <c r="AE85" s="33">
        <f t="shared" si="19"/>
        <v>0</v>
      </c>
      <c r="AF85" s="25">
        <f t="shared" si="20"/>
        <v>726334.54</v>
      </c>
      <c r="AG85" s="25">
        <f t="shared" si="21"/>
        <v>54738.739999999991</v>
      </c>
      <c r="AH85" s="25">
        <f t="shared" si="22"/>
        <v>122959.94</v>
      </c>
      <c r="AI85" s="25">
        <f t="shared" si="23"/>
        <v>21039.820000000007</v>
      </c>
      <c r="AJ85" s="25">
        <f t="shared" si="24"/>
        <v>131829.72</v>
      </c>
      <c r="AK85" s="25">
        <f t="shared" si="25"/>
        <v>9584.75</v>
      </c>
      <c r="AL85" s="25">
        <f t="shared" si="26"/>
        <v>15297.32</v>
      </c>
      <c r="AM85" s="23">
        <f t="shared" si="27"/>
        <v>1081784.83</v>
      </c>
      <c r="AO85" s="23"/>
      <c r="AP85" s="23"/>
    </row>
    <row r="86" spans="1:42" x14ac:dyDescent="0.25">
      <c r="A86" t="s">
        <v>87</v>
      </c>
      <c r="B86" t="s">
        <v>383</v>
      </c>
      <c r="C86" s="25">
        <v>95.8</v>
      </c>
      <c r="D86" s="25">
        <v>19.8</v>
      </c>
      <c r="E86" s="25">
        <v>5.26</v>
      </c>
      <c r="F86" s="25">
        <v>0.84499999999999997</v>
      </c>
      <c r="G86" s="25">
        <v>0.57099999999999995</v>
      </c>
      <c r="H86" s="25">
        <v>0</v>
      </c>
      <c r="I86" s="25">
        <v>0</v>
      </c>
      <c r="J86" s="25">
        <v>0</v>
      </c>
      <c r="K86" s="192">
        <v>1</v>
      </c>
      <c r="L86" s="192">
        <v>1</v>
      </c>
      <c r="M86" s="192">
        <v>0</v>
      </c>
      <c r="N86" s="278"/>
      <c r="O86" s="278"/>
      <c r="P86" s="278"/>
      <c r="Q86" s="278"/>
      <c r="R86" s="278"/>
      <c r="S86" s="278"/>
      <c r="T86" s="278"/>
      <c r="U86" s="278"/>
      <c r="V86" s="278"/>
      <c r="W86" s="278"/>
      <c r="X86" s="278"/>
      <c r="Y86" s="282">
        <f>VLOOKUP(A86,'3121% SY'!$A$3:$M$600,13,FALSE)</f>
        <v>0.18340000000000001</v>
      </c>
      <c r="Z86" s="30">
        <f t="shared" si="28"/>
        <v>0.105</v>
      </c>
      <c r="AA86" s="31">
        <f t="shared" si="16"/>
        <v>6.21</v>
      </c>
      <c r="AB86" s="32">
        <f t="shared" si="17"/>
        <v>18.62</v>
      </c>
      <c r="AC86" s="28">
        <f t="shared" si="29"/>
        <v>18.62</v>
      </c>
      <c r="AD86" s="33">
        <f t="shared" si="18"/>
        <v>5.9420000000000002</v>
      </c>
      <c r="AE86" s="33">
        <f t="shared" si="19"/>
        <v>1.228</v>
      </c>
      <c r="AF86" s="25">
        <f t="shared" si="20"/>
        <v>521459.76</v>
      </c>
      <c r="AG86" s="25">
        <f t="shared" si="21"/>
        <v>39298.770000000019</v>
      </c>
      <c r="AH86" s="25">
        <f t="shared" si="22"/>
        <v>88277.04</v>
      </c>
      <c r="AI86" s="25">
        <f t="shared" si="23"/>
        <v>15105.180000000008</v>
      </c>
      <c r="AJ86" s="25">
        <f t="shared" si="24"/>
        <v>94644.95</v>
      </c>
      <c r="AK86" s="25">
        <f t="shared" si="25"/>
        <v>6881.21</v>
      </c>
      <c r="AL86" s="25">
        <f t="shared" si="26"/>
        <v>10982.46</v>
      </c>
      <c r="AM86" s="23">
        <f t="shared" si="27"/>
        <v>776649.37</v>
      </c>
      <c r="AO86" s="23"/>
      <c r="AP86" s="23"/>
    </row>
    <row r="87" spans="1:42" x14ac:dyDescent="0.25">
      <c r="A87" t="s">
        <v>88</v>
      </c>
      <c r="B87" t="s">
        <v>384</v>
      </c>
      <c r="C87" s="25">
        <v>1616.58</v>
      </c>
      <c r="D87" s="25">
        <v>44.8</v>
      </c>
      <c r="E87" s="25">
        <v>92.585999999999999</v>
      </c>
      <c r="F87" s="25">
        <v>3</v>
      </c>
      <c r="G87" s="25">
        <v>18.687999999999999</v>
      </c>
      <c r="H87" s="25">
        <v>0</v>
      </c>
      <c r="I87" s="25">
        <v>0</v>
      </c>
      <c r="J87" s="25">
        <v>0</v>
      </c>
      <c r="K87" s="192">
        <v>1.1200000000000001</v>
      </c>
      <c r="L87" s="192">
        <v>1.1200000000000001</v>
      </c>
      <c r="M87" s="192">
        <v>0</v>
      </c>
      <c r="N87" s="278"/>
      <c r="O87" s="278"/>
      <c r="P87" s="278"/>
      <c r="Q87" s="278"/>
      <c r="R87" s="278"/>
      <c r="S87" s="278"/>
      <c r="T87" s="278"/>
      <c r="U87" s="278"/>
      <c r="V87" s="278"/>
      <c r="W87" s="278"/>
      <c r="X87" s="278"/>
      <c r="Y87" s="282">
        <f>VLOOKUP(A87,'3121% SY'!$A$3:$M$600,13,FALSE)</f>
        <v>0.28480000000000005</v>
      </c>
      <c r="Z87" s="30">
        <f t="shared" si="28"/>
        <v>5.3220000000000001</v>
      </c>
      <c r="AA87" s="31">
        <f t="shared" si="16"/>
        <v>100.908</v>
      </c>
      <c r="AB87" s="32">
        <f t="shared" si="17"/>
        <v>16.46</v>
      </c>
      <c r="AC87" s="28">
        <f t="shared" si="29"/>
        <v>17</v>
      </c>
      <c r="AD87" s="33">
        <f t="shared" si="18"/>
        <v>109.83199999999999</v>
      </c>
      <c r="AE87" s="33">
        <f t="shared" si="19"/>
        <v>3.044</v>
      </c>
      <c r="AF87" s="25">
        <f t="shared" si="20"/>
        <v>9194355.2200000007</v>
      </c>
      <c r="AG87" s="25">
        <f t="shared" si="21"/>
        <v>692914.14999999851</v>
      </c>
      <c r="AH87" s="25">
        <f t="shared" si="22"/>
        <v>1389729.31</v>
      </c>
      <c r="AI87" s="25">
        <f t="shared" si="23"/>
        <v>237798.12999999989</v>
      </c>
      <c r="AJ87" s="25">
        <f t="shared" si="24"/>
        <v>1668775.47</v>
      </c>
      <c r="AK87" s="25">
        <f t="shared" si="25"/>
        <v>121329.27</v>
      </c>
      <c r="AL87" s="25">
        <f t="shared" si="26"/>
        <v>193642.17</v>
      </c>
      <c r="AM87" s="23">
        <f t="shared" si="27"/>
        <v>13498543.719999999</v>
      </c>
      <c r="AO87" s="23"/>
      <c r="AP87" s="23"/>
    </row>
    <row r="88" spans="1:42" x14ac:dyDescent="0.25">
      <c r="A88" t="s">
        <v>89</v>
      </c>
      <c r="B88" t="s">
        <v>385</v>
      </c>
      <c r="C88" s="25">
        <v>278</v>
      </c>
      <c r="D88" s="25">
        <v>16.399999999999999</v>
      </c>
      <c r="E88" s="25">
        <v>16.95</v>
      </c>
      <c r="F88" s="25">
        <v>1</v>
      </c>
      <c r="G88" s="25">
        <v>2</v>
      </c>
      <c r="H88" s="25">
        <v>0</v>
      </c>
      <c r="I88" s="25">
        <v>0</v>
      </c>
      <c r="J88" s="25">
        <v>0</v>
      </c>
      <c r="K88" s="192">
        <v>1.1200000000000001</v>
      </c>
      <c r="L88" s="192">
        <v>1.1200000000000001</v>
      </c>
      <c r="M88" s="192">
        <v>9.9999999999997868E-3</v>
      </c>
      <c r="N88" s="278"/>
      <c r="O88" s="278"/>
      <c r="P88" s="278"/>
      <c r="Q88" s="278"/>
      <c r="R88" s="278"/>
      <c r="S88" s="278"/>
      <c r="T88" s="278"/>
      <c r="U88" s="278"/>
      <c r="V88" s="278"/>
      <c r="W88" s="278"/>
      <c r="X88" s="278"/>
      <c r="Y88" s="282">
        <f>VLOOKUP(A88,'3121% SY'!$A$3:$M$600,13,FALSE)</f>
        <v>0.22170000000000001</v>
      </c>
      <c r="Z88" s="30">
        <f t="shared" si="28"/>
        <v>0.443</v>
      </c>
      <c r="AA88" s="31">
        <f t="shared" si="16"/>
        <v>18.393000000000001</v>
      </c>
      <c r="AB88" s="32">
        <f t="shared" si="17"/>
        <v>16.010000000000002</v>
      </c>
      <c r="AC88" s="28">
        <f t="shared" si="29"/>
        <v>17</v>
      </c>
      <c r="AD88" s="33">
        <f t="shared" si="18"/>
        <v>18.888000000000002</v>
      </c>
      <c r="AE88" s="33">
        <f t="shared" si="19"/>
        <v>1.1140000000000001</v>
      </c>
      <c r="AF88" s="25">
        <f t="shared" si="20"/>
        <v>1629270.11</v>
      </c>
      <c r="AG88" s="25">
        <f t="shared" si="21"/>
        <v>138430.0399999998</v>
      </c>
      <c r="AH88" s="25">
        <f t="shared" si="22"/>
        <v>246264.62</v>
      </c>
      <c r="AI88" s="25">
        <f t="shared" si="23"/>
        <v>42138.619999999995</v>
      </c>
      <c r="AJ88" s="25">
        <f t="shared" si="24"/>
        <v>295712.52</v>
      </c>
      <c r="AK88" s="25">
        <f t="shared" si="25"/>
        <v>24239.1</v>
      </c>
      <c r="AL88" s="25">
        <f t="shared" si="26"/>
        <v>34620.410000000003</v>
      </c>
      <c r="AM88" s="23">
        <f t="shared" si="27"/>
        <v>2410675.4200000004</v>
      </c>
      <c r="AO88" s="23"/>
      <c r="AP88" s="23"/>
    </row>
    <row r="89" spans="1:42" x14ac:dyDescent="0.25">
      <c r="A89" t="s">
        <v>90</v>
      </c>
      <c r="B89" t="s">
        <v>386</v>
      </c>
      <c r="C89" s="25">
        <v>275.19</v>
      </c>
      <c r="D89" s="25">
        <v>14.77</v>
      </c>
      <c r="E89" s="25">
        <v>15.568</v>
      </c>
      <c r="F89" s="25">
        <v>1</v>
      </c>
      <c r="G89" s="25">
        <v>1.7110000000000001</v>
      </c>
      <c r="H89" s="25">
        <v>0</v>
      </c>
      <c r="I89" s="25">
        <v>0</v>
      </c>
      <c r="J89" s="25">
        <v>0</v>
      </c>
      <c r="K89" s="192">
        <v>1.18</v>
      </c>
      <c r="L89" s="192">
        <v>1.18</v>
      </c>
      <c r="M89" s="192">
        <v>1.0000000000000009E-2</v>
      </c>
      <c r="N89" s="278"/>
      <c r="O89" s="278"/>
      <c r="P89" s="278"/>
      <c r="Q89" s="278"/>
      <c r="R89" s="278"/>
      <c r="S89" s="278"/>
      <c r="T89" s="278"/>
      <c r="U89" s="278"/>
      <c r="V89" s="278"/>
      <c r="W89" s="278"/>
      <c r="X89" s="278"/>
      <c r="Y89" s="282">
        <f>VLOOKUP(A89,'3121% SY'!$A$3:$M$600,13,FALSE)</f>
        <v>0.22599999999999998</v>
      </c>
      <c r="Z89" s="30">
        <f t="shared" si="28"/>
        <v>0.38700000000000001</v>
      </c>
      <c r="AA89" s="31">
        <f t="shared" si="16"/>
        <v>16.954999999999998</v>
      </c>
      <c r="AB89" s="32">
        <f t="shared" si="17"/>
        <v>17.100000000000001</v>
      </c>
      <c r="AC89" s="28">
        <f t="shared" si="29"/>
        <v>17.100000000000001</v>
      </c>
      <c r="AD89" s="33">
        <f t="shared" si="18"/>
        <v>18.587</v>
      </c>
      <c r="AE89" s="33">
        <f t="shared" si="19"/>
        <v>0.998</v>
      </c>
      <c r="AF89" s="25">
        <f t="shared" si="20"/>
        <v>1680765.9</v>
      </c>
      <c r="AG89" s="25">
        <f t="shared" si="21"/>
        <v>141984.79000000004</v>
      </c>
      <c r="AH89" s="25">
        <f t="shared" si="22"/>
        <v>241130.52</v>
      </c>
      <c r="AI89" s="25">
        <f t="shared" si="23"/>
        <v>41260.110000000015</v>
      </c>
      <c r="AJ89" s="25">
        <f t="shared" si="24"/>
        <v>305059.01</v>
      </c>
      <c r="AK89" s="25">
        <f t="shared" si="25"/>
        <v>24861.54</v>
      </c>
      <c r="AL89" s="25">
        <f t="shared" si="26"/>
        <v>35698.57</v>
      </c>
      <c r="AM89" s="23">
        <f t="shared" si="27"/>
        <v>2470760.44</v>
      </c>
      <c r="AO89" s="23"/>
      <c r="AP89" s="23"/>
    </row>
    <row r="90" spans="1:42" x14ac:dyDescent="0.25">
      <c r="A90" t="s">
        <v>91</v>
      </c>
      <c r="B90" t="s">
        <v>387</v>
      </c>
      <c r="C90" s="25">
        <v>17</v>
      </c>
      <c r="D90" s="25">
        <v>0</v>
      </c>
      <c r="E90" s="25">
        <v>1.895</v>
      </c>
      <c r="F90" s="25">
        <v>0</v>
      </c>
      <c r="G90" s="25">
        <v>0</v>
      </c>
      <c r="H90" s="25">
        <v>0</v>
      </c>
      <c r="I90" s="25">
        <v>0</v>
      </c>
      <c r="J90" s="25">
        <v>0</v>
      </c>
      <c r="K90" s="192">
        <v>1</v>
      </c>
      <c r="L90" s="192">
        <v>1</v>
      </c>
      <c r="M90" s="192">
        <v>4.0000000000000036E-2</v>
      </c>
      <c r="N90" s="278"/>
      <c r="O90" s="278"/>
      <c r="P90" s="278"/>
      <c r="Q90" s="278"/>
      <c r="R90" s="278"/>
      <c r="S90" s="278"/>
      <c r="T90" s="278"/>
      <c r="U90" s="278"/>
      <c r="V90" s="278"/>
      <c r="W90" s="278"/>
      <c r="X90" s="278"/>
      <c r="Y90" s="282">
        <f>VLOOKUP(A90,'3121% SY'!$A$3:$M$600,13,FALSE)</f>
        <v>9.2500000000000027E-2</v>
      </c>
      <c r="Z90" s="30">
        <f t="shared" si="28"/>
        <v>0</v>
      </c>
      <c r="AA90" s="31">
        <f t="shared" si="16"/>
        <v>1.895</v>
      </c>
      <c r="AB90" s="32">
        <f t="shared" si="17"/>
        <v>8.9700000000000006</v>
      </c>
      <c r="AC90" s="28">
        <f t="shared" si="29"/>
        <v>17</v>
      </c>
      <c r="AD90" s="33">
        <f t="shared" si="18"/>
        <v>1.155</v>
      </c>
      <c r="AE90" s="33">
        <f t="shared" si="19"/>
        <v>0</v>
      </c>
      <c r="AF90" s="25">
        <f t="shared" si="20"/>
        <v>84000.84</v>
      </c>
      <c r="AG90" s="25">
        <f t="shared" si="21"/>
        <v>9943.8099999999977</v>
      </c>
      <c r="AH90" s="25">
        <f t="shared" si="22"/>
        <v>14220.36</v>
      </c>
      <c r="AI90" s="25">
        <f t="shared" si="23"/>
        <v>2433.2599999999984</v>
      </c>
      <c r="AJ90" s="25">
        <f t="shared" si="24"/>
        <v>15246.15</v>
      </c>
      <c r="AK90" s="25">
        <f t="shared" si="25"/>
        <v>1741.16</v>
      </c>
      <c r="AL90" s="25">
        <f t="shared" si="26"/>
        <v>1839.91</v>
      </c>
      <c r="AM90" s="23">
        <f t="shared" si="27"/>
        <v>129425.48999999999</v>
      </c>
      <c r="AO90" s="23"/>
      <c r="AP90" s="23"/>
    </row>
    <row r="91" spans="1:42" x14ac:dyDescent="0.25">
      <c r="A91" t="s">
        <v>92</v>
      </c>
      <c r="B91" t="s">
        <v>388</v>
      </c>
      <c r="C91" s="25">
        <v>21.6</v>
      </c>
      <c r="D91" s="25">
        <v>7</v>
      </c>
      <c r="E91" s="25">
        <v>1.9239999999999999</v>
      </c>
      <c r="F91" s="25">
        <v>0.54100000000000004</v>
      </c>
      <c r="G91" s="25">
        <v>0.28999999999999998</v>
      </c>
      <c r="H91" s="25">
        <v>0</v>
      </c>
      <c r="I91" s="25">
        <v>0</v>
      </c>
      <c r="J91" s="25">
        <v>0</v>
      </c>
      <c r="K91" s="192">
        <v>1</v>
      </c>
      <c r="L91" s="192">
        <v>1</v>
      </c>
      <c r="M91" s="192">
        <v>0</v>
      </c>
      <c r="N91" s="278"/>
      <c r="O91" s="278"/>
      <c r="P91" s="278"/>
      <c r="Q91" s="278"/>
      <c r="R91" s="278"/>
      <c r="S91" s="278"/>
      <c r="T91" s="278"/>
      <c r="U91" s="278"/>
      <c r="V91" s="278"/>
      <c r="W91" s="278"/>
      <c r="X91" s="278"/>
      <c r="Y91" s="282">
        <f>VLOOKUP(A91,'3121% SY'!$A$3:$M$600,13,FALSE)</f>
        <v>9.870000000000001E-2</v>
      </c>
      <c r="Z91" s="30">
        <f t="shared" si="28"/>
        <v>2.9000000000000001E-2</v>
      </c>
      <c r="AA91" s="31">
        <f t="shared" si="16"/>
        <v>2.4939999999999998</v>
      </c>
      <c r="AB91" s="32">
        <f t="shared" si="17"/>
        <v>11.47</v>
      </c>
      <c r="AC91" s="28">
        <f t="shared" si="29"/>
        <v>17</v>
      </c>
      <c r="AD91" s="33">
        <f t="shared" si="18"/>
        <v>1.468</v>
      </c>
      <c r="AE91" s="33">
        <f t="shared" si="19"/>
        <v>0.47599999999999998</v>
      </c>
      <c r="AF91" s="25">
        <f t="shared" si="20"/>
        <v>141383.23000000001</v>
      </c>
      <c r="AG91" s="25">
        <f t="shared" si="21"/>
        <v>10655.069999999978</v>
      </c>
      <c r="AH91" s="25">
        <f t="shared" si="22"/>
        <v>23934.53</v>
      </c>
      <c r="AI91" s="25">
        <f t="shared" si="23"/>
        <v>4095.4600000000028</v>
      </c>
      <c r="AJ91" s="25">
        <f t="shared" si="24"/>
        <v>25661.06</v>
      </c>
      <c r="AK91" s="25">
        <f t="shared" si="25"/>
        <v>1865.7</v>
      </c>
      <c r="AL91" s="25">
        <f t="shared" si="26"/>
        <v>2977.67</v>
      </c>
      <c r="AM91" s="23">
        <f t="shared" si="27"/>
        <v>210572.72</v>
      </c>
      <c r="AO91" s="23"/>
      <c r="AP91" s="23"/>
    </row>
    <row r="92" spans="1:42" x14ac:dyDescent="0.25">
      <c r="A92" t="s">
        <v>93</v>
      </c>
      <c r="B92" t="s">
        <v>389</v>
      </c>
      <c r="C92" s="25">
        <v>42.2</v>
      </c>
      <c r="D92" s="25">
        <v>0</v>
      </c>
      <c r="E92" s="25">
        <v>3.29</v>
      </c>
      <c r="F92" s="25">
        <v>0</v>
      </c>
      <c r="G92" s="25">
        <v>0.85099999999999998</v>
      </c>
      <c r="H92" s="25">
        <v>0</v>
      </c>
      <c r="I92" s="25">
        <v>0</v>
      </c>
      <c r="J92" s="25">
        <v>0</v>
      </c>
      <c r="K92" s="192">
        <v>1.06</v>
      </c>
      <c r="L92" s="192">
        <v>1.06</v>
      </c>
      <c r="M92" s="192">
        <v>0</v>
      </c>
      <c r="N92" s="278"/>
      <c r="O92" s="278"/>
      <c r="P92" s="278"/>
      <c r="Q92" s="278"/>
      <c r="R92" s="278"/>
      <c r="S92" s="278"/>
      <c r="T92" s="278"/>
      <c r="U92" s="278"/>
      <c r="V92" s="278"/>
      <c r="W92" s="278"/>
      <c r="X92" s="278"/>
      <c r="Y92" s="282">
        <f>VLOOKUP(A92,'3121% SY'!$A$3:$M$600,13,FALSE)</f>
        <v>0.10360000000000003</v>
      </c>
      <c r="Z92" s="30">
        <f t="shared" si="28"/>
        <v>8.7999999999999995E-2</v>
      </c>
      <c r="AA92" s="31">
        <f t="shared" si="16"/>
        <v>3.3780000000000001</v>
      </c>
      <c r="AB92" s="32">
        <f t="shared" si="17"/>
        <v>12.49</v>
      </c>
      <c r="AC92" s="28">
        <f t="shared" si="29"/>
        <v>17</v>
      </c>
      <c r="AD92" s="33">
        <f t="shared" si="18"/>
        <v>2.867</v>
      </c>
      <c r="AE92" s="33">
        <f t="shared" si="19"/>
        <v>0</v>
      </c>
      <c r="AF92" s="25">
        <f t="shared" si="20"/>
        <v>221021.85</v>
      </c>
      <c r="AG92" s="25">
        <f t="shared" si="21"/>
        <v>16656.869999999995</v>
      </c>
      <c r="AH92" s="25">
        <f t="shared" si="22"/>
        <v>35298.5</v>
      </c>
      <c r="AI92" s="25">
        <f t="shared" si="23"/>
        <v>6039.9700000000012</v>
      </c>
      <c r="AJ92" s="25">
        <f t="shared" si="24"/>
        <v>40115.47</v>
      </c>
      <c r="AK92" s="25">
        <f t="shared" si="25"/>
        <v>2916.62</v>
      </c>
      <c r="AL92" s="25">
        <f t="shared" si="26"/>
        <v>4654.9399999999996</v>
      </c>
      <c r="AM92" s="23">
        <f t="shared" si="27"/>
        <v>326704.21999999991</v>
      </c>
      <c r="AO92" s="23"/>
      <c r="AP92" s="23"/>
    </row>
    <row r="93" spans="1:42" x14ac:dyDescent="0.25">
      <c r="A93" t="s">
        <v>94</v>
      </c>
      <c r="B93" t="s">
        <v>390</v>
      </c>
      <c r="C93" s="25">
        <v>208.8</v>
      </c>
      <c r="D93" s="25">
        <v>29.8</v>
      </c>
      <c r="E93" s="25">
        <v>12.404</v>
      </c>
      <c r="F93" s="25">
        <v>2</v>
      </c>
      <c r="G93" s="25">
        <v>0</v>
      </c>
      <c r="H93" s="25">
        <v>0</v>
      </c>
      <c r="I93" s="25">
        <v>0</v>
      </c>
      <c r="J93" s="25">
        <v>0</v>
      </c>
      <c r="K93" s="192">
        <v>1.1200000000000001</v>
      </c>
      <c r="L93" s="192">
        <v>1.1200000000000001</v>
      </c>
      <c r="M93" s="192">
        <v>0</v>
      </c>
      <c r="N93" s="278"/>
      <c r="O93" s="278"/>
      <c r="P93" s="278"/>
      <c r="Q93" s="278"/>
      <c r="R93" s="278"/>
      <c r="S93" s="278"/>
      <c r="T93" s="278"/>
      <c r="U93" s="278"/>
      <c r="V93" s="278"/>
      <c r="W93" s="278"/>
      <c r="X93" s="278"/>
      <c r="Y93" s="282">
        <f>VLOOKUP(A93,'3121% SY'!$A$3:$M$600,13,FALSE)</f>
        <v>0.26959999999999995</v>
      </c>
      <c r="Z93" s="30">
        <f t="shared" si="28"/>
        <v>0</v>
      </c>
      <c r="AA93" s="31">
        <f t="shared" si="16"/>
        <v>14.404</v>
      </c>
      <c r="AB93" s="32">
        <f t="shared" si="17"/>
        <v>16.559999999999999</v>
      </c>
      <c r="AC93" s="28">
        <f t="shared" si="29"/>
        <v>17</v>
      </c>
      <c r="AD93" s="33">
        <f t="shared" si="18"/>
        <v>14.186</v>
      </c>
      <c r="AE93" s="33">
        <f t="shared" si="19"/>
        <v>2.0249999999999999</v>
      </c>
      <c r="AF93" s="25">
        <f t="shared" si="20"/>
        <v>1320472.8400000001</v>
      </c>
      <c r="AG93" s="25">
        <f t="shared" si="21"/>
        <v>99514.789999999804</v>
      </c>
      <c r="AH93" s="25">
        <f t="shared" si="22"/>
        <v>199589.83</v>
      </c>
      <c r="AI93" s="25">
        <f t="shared" si="23"/>
        <v>34152.040000000008</v>
      </c>
      <c r="AJ93" s="25">
        <f t="shared" si="24"/>
        <v>239665.82</v>
      </c>
      <c r="AK93" s="25">
        <f t="shared" si="25"/>
        <v>17425.04</v>
      </c>
      <c r="AL93" s="25">
        <f t="shared" si="26"/>
        <v>27810.46</v>
      </c>
      <c r="AM93" s="23">
        <f t="shared" si="27"/>
        <v>1938630.82</v>
      </c>
      <c r="AO93" s="23"/>
      <c r="AP93" s="23"/>
    </row>
    <row r="94" spans="1:42" x14ac:dyDescent="0.25">
      <c r="A94" t="s">
        <v>95</v>
      </c>
      <c r="B94" t="s">
        <v>391</v>
      </c>
      <c r="C94" s="25">
        <v>314.20999999999998</v>
      </c>
      <c r="D94" s="25">
        <v>33</v>
      </c>
      <c r="E94" s="25">
        <v>17.62</v>
      </c>
      <c r="F94" s="25">
        <v>2</v>
      </c>
      <c r="G94" s="25">
        <v>0.56999999999999995</v>
      </c>
      <c r="H94" s="25">
        <v>0</v>
      </c>
      <c r="I94" s="25">
        <v>0</v>
      </c>
      <c r="J94" s="25">
        <v>0</v>
      </c>
      <c r="K94" s="192">
        <v>1.1200000000000001</v>
      </c>
      <c r="L94" s="192">
        <v>1.1200000000000001</v>
      </c>
      <c r="M94" s="192">
        <v>0</v>
      </c>
      <c r="N94" s="278"/>
      <c r="O94" s="278"/>
      <c r="P94" s="278"/>
      <c r="Q94" s="278"/>
      <c r="R94" s="278"/>
      <c r="S94" s="278"/>
      <c r="T94" s="278"/>
      <c r="U94" s="278"/>
      <c r="V94" s="278"/>
      <c r="W94" s="278"/>
      <c r="X94" s="278"/>
      <c r="Y94" s="282">
        <f>VLOOKUP(A94,'3121% SY'!$A$3:$M$600,13,FALSE)</f>
        <v>0.20430000000000004</v>
      </c>
      <c r="Z94" s="30">
        <f t="shared" si="28"/>
        <v>0.11600000000000001</v>
      </c>
      <c r="AA94" s="31">
        <f t="shared" si="16"/>
        <v>19.736000000000001</v>
      </c>
      <c r="AB94" s="32">
        <f t="shared" si="17"/>
        <v>17.59</v>
      </c>
      <c r="AC94" s="28">
        <f t="shared" si="29"/>
        <v>17.59</v>
      </c>
      <c r="AD94" s="33">
        <f t="shared" si="18"/>
        <v>20.632000000000001</v>
      </c>
      <c r="AE94" s="33">
        <f t="shared" si="19"/>
        <v>2.1669999999999998</v>
      </c>
      <c r="AF94" s="25">
        <f t="shared" si="20"/>
        <v>1857100.75</v>
      </c>
      <c r="AG94" s="25">
        <f t="shared" si="21"/>
        <v>139956.67999999993</v>
      </c>
      <c r="AH94" s="25">
        <f t="shared" si="22"/>
        <v>280701.28999999998</v>
      </c>
      <c r="AI94" s="25">
        <f t="shared" si="23"/>
        <v>48031.110000000044</v>
      </c>
      <c r="AJ94" s="25">
        <f t="shared" si="24"/>
        <v>337063.79</v>
      </c>
      <c r="AK94" s="25">
        <f t="shared" si="25"/>
        <v>24506.41</v>
      </c>
      <c r="AL94" s="25">
        <f t="shared" si="26"/>
        <v>39112.370000000003</v>
      </c>
      <c r="AM94" s="23">
        <f t="shared" si="27"/>
        <v>2726472.4</v>
      </c>
      <c r="AO94" s="23"/>
      <c r="AP94" s="23"/>
    </row>
    <row r="95" spans="1:42" x14ac:dyDescent="0.25">
      <c r="A95" t="s">
        <v>96</v>
      </c>
      <c r="B95" t="s">
        <v>392</v>
      </c>
      <c r="C95" s="25">
        <v>15366.53</v>
      </c>
      <c r="D95" s="25">
        <v>0</v>
      </c>
      <c r="E95" s="25">
        <v>879.84</v>
      </c>
      <c r="F95" s="25">
        <v>0</v>
      </c>
      <c r="G95" s="25">
        <v>148.792</v>
      </c>
      <c r="H95" s="25">
        <v>0</v>
      </c>
      <c r="I95" s="25">
        <v>0</v>
      </c>
      <c r="J95" s="25">
        <v>0</v>
      </c>
      <c r="K95" s="192">
        <v>1.18</v>
      </c>
      <c r="L95" s="192">
        <v>1.18</v>
      </c>
      <c r="M95" s="192">
        <v>0</v>
      </c>
      <c r="N95" s="278"/>
      <c r="O95" s="278"/>
      <c r="P95" s="278"/>
      <c r="Q95" s="278"/>
      <c r="R95" s="278"/>
      <c r="S95" s="278"/>
      <c r="T95" s="278"/>
      <c r="U95" s="278"/>
      <c r="V95" s="278"/>
      <c r="W95" s="278"/>
      <c r="X95" s="278"/>
      <c r="Y95" s="282">
        <f>VLOOKUP(A95,'3121% SY'!$A$3:$M$600,13,FALSE)</f>
        <v>0.22740000000000005</v>
      </c>
      <c r="Z95" s="30">
        <f t="shared" si="28"/>
        <v>33.835000000000001</v>
      </c>
      <c r="AA95" s="31">
        <f t="shared" si="16"/>
        <v>913.67500000000007</v>
      </c>
      <c r="AB95" s="32">
        <f t="shared" si="17"/>
        <v>16.82</v>
      </c>
      <c r="AC95" s="28">
        <f t="shared" si="29"/>
        <v>17</v>
      </c>
      <c r="AD95" s="33">
        <f t="shared" si="18"/>
        <v>1044.02</v>
      </c>
      <c r="AE95" s="33">
        <f t="shared" si="19"/>
        <v>0</v>
      </c>
      <c r="AF95" s="25">
        <f t="shared" si="20"/>
        <v>89596794.140000001</v>
      </c>
      <c r="AG95" s="25">
        <f t="shared" si="21"/>
        <v>6752282.8700000048</v>
      </c>
      <c r="AH95" s="25">
        <f t="shared" si="22"/>
        <v>12853974.24</v>
      </c>
      <c r="AI95" s="25">
        <f t="shared" si="23"/>
        <v>2199457.8100000005</v>
      </c>
      <c r="AJ95" s="25">
        <f t="shared" si="24"/>
        <v>16261818.140000001</v>
      </c>
      <c r="AK95" s="25">
        <f t="shared" si="25"/>
        <v>1182324.73</v>
      </c>
      <c r="AL95" s="25">
        <f t="shared" si="26"/>
        <v>1886996.67</v>
      </c>
      <c r="AM95" s="23">
        <f t="shared" si="27"/>
        <v>130733648.60000001</v>
      </c>
      <c r="AO95" s="23"/>
      <c r="AP95" s="23"/>
    </row>
    <row r="96" spans="1:42" x14ac:dyDescent="0.25">
      <c r="A96" t="s">
        <v>97</v>
      </c>
      <c r="B96" t="s">
        <v>393</v>
      </c>
      <c r="C96" s="25">
        <v>6316.46</v>
      </c>
      <c r="D96" s="25">
        <v>108.4</v>
      </c>
      <c r="E96" s="25">
        <v>354.09</v>
      </c>
      <c r="F96" s="25">
        <v>6</v>
      </c>
      <c r="G96" s="25">
        <v>35.603999999999999</v>
      </c>
      <c r="H96" s="25">
        <v>1.84</v>
      </c>
      <c r="I96" s="25">
        <v>0</v>
      </c>
      <c r="J96" s="25">
        <v>0.55500000000000005</v>
      </c>
      <c r="K96" s="192">
        <v>1.1200000000000001</v>
      </c>
      <c r="L96" s="192">
        <v>1.1200000000000001</v>
      </c>
      <c r="M96" s="192">
        <v>0</v>
      </c>
      <c r="N96" s="278"/>
      <c r="O96" s="278"/>
      <c r="P96" s="278"/>
      <c r="Q96" s="278"/>
      <c r="R96" s="278"/>
      <c r="S96" s="278"/>
      <c r="T96" s="278"/>
      <c r="U96" s="278"/>
      <c r="V96" s="278"/>
      <c r="W96" s="278"/>
      <c r="X96" s="278"/>
      <c r="Y96" s="282">
        <f>VLOOKUP(A96,'3121% SY'!$A$3:$M$600,13,FALSE)</f>
        <v>0.29710000000000003</v>
      </c>
      <c r="Z96" s="30">
        <f t="shared" si="28"/>
        <v>10.742999999999999</v>
      </c>
      <c r="AA96" s="31">
        <f t="shared" si="16"/>
        <v>372.67299999999994</v>
      </c>
      <c r="AB96" s="32">
        <f t="shared" si="17"/>
        <v>17.239999999999998</v>
      </c>
      <c r="AC96" s="28">
        <f t="shared" si="29"/>
        <v>17.239999999999998</v>
      </c>
      <c r="AD96" s="33">
        <f t="shared" si="18"/>
        <v>423.17399999999998</v>
      </c>
      <c r="AE96" s="33">
        <f t="shared" si="19"/>
        <v>7.2619999999999996</v>
      </c>
      <c r="AF96" s="25">
        <f t="shared" si="20"/>
        <v>35061319.340000004</v>
      </c>
      <c r="AG96" s="25">
        <f t="shared" si="21"/>
        <v>2642326.0799999982</v>
      </c>
      <c r="AH96" s="25">
        <f t="shared" si="22"/>
        <v>5299528.03</v>
      </c>
      <c r="AI96" s="25">
        <f t="shared" si="23"/>
        <v>906808.12999999989</v>
      </c>
      <c r="AJ96" s="25">
        <f t="shared" si="24"/>
        <v>6363629.46</v>
      </c>
      <c r="AK96" s="25">
        <f t="shared" si="25"/>
        <v>462671.3</v>
      </c>
      <c r="AL96" s="25">
        <f t="shared" si="26"/>
        <v>738425.9</v>
      </c>
      <c r="AM96" s="23">
        <f t="shared" si="27"/>
        <v>51474708.240000002</v>
      </c>
      <c r="AO96" s="23"/>
      <c r="AP96" s="23"/>
    </row>
    <row r="97" spans="1:42" x14ac:dyDescent="0.25">
      <c r="A97" t="s">
        <v>98</v>
      </c>
      <c r="B97" t="s">
        <v>394</v>
      </c>
      <c r="C97" s="25">
        <v>1322.43</v>
      </c>
      <c r="D97" s="25">
        <v>40</v>
      </c>
      <c r="E97" s="25">
        <v>73.8</v>
      </c>
      <c r="F97" s="25">
        <v>2.0249999999999999</v>
      </c>
      <c r="G97" s="25">
        <v>7.6310000000000002</v>
      </c>
      <c r="H97" s="25">
        <v>0</v>
      </c>
      <c r="I97" s="25">
        <v>0</v>
      </c>
      <c r="J97" s="25">
        <v>0</v>
      </c>
      <c r="K97" s="192">
        <v>1.1200000000000001</v>
      </c>
      <c r="L97" s="192">
        <v>1.1200000000000001</v>
      </c>
      <c r="M97" s="192">
        <v>9.9999999999997868E-3</v>
      </c>
      <c r="N97" s="278"/>
      <c r="O97" s="278"/>
      <c r="P97" s="278"/>
      <c r="Q97" s="278"/>
      <c r="R97" s="278"/>
      <c r="S97" s="278"/>
      <c r="T97" s="278"/>
      <c r="U97" s="278"/>
      <c r="V97" s="278"/>
      <c r="W97" s="278"/>
      <c r="X97" s="278"/>
      <c r="Y97" s="282">
        <f>VLOOKUP(A97,'3121% SY'!$A$3:$M$600,13,FALSE)</f>
        <v>0.25290000000000001</v>
      </c>
      <c r="Z97" s="30">
        <f t="shared" si="28"/>
        <v>1.93</v>
      </c>
      <c r="AA97" s="31">
        <f t="shared" si="16"/>
        <v>77.75500000000001</v>
      </c>
      <c r="AB97" s="32">
        <f t="shared" si="17"/>
        <v>17.52</v>
      </c>
      <c r="AC97" s="28">
        <f t="shared" si="29"/>
        <v>17.52</v>
      </c>
      <c r="AD97" s="33">
        <f t="shared" si="18"/>
        <v>87.180999999999997</v>
      </c>
      <c r="AE97" s="33">
        <f t="shared" si="19"/>
        <v>2.637</v>
      </c>
      <c r="AF97" s="25">
        <f t="shared" si="20"/>
        <v>7316157.5199999996</v>
      </c>
      <c r="AG97" s="25">
        <f t="shared" si="21"/>
        <v>621613.3200000003</v>
      </c>
      <c r="AH97" s="25">
        <f t="shared" si="22"/>
        <v>1105839.22</v>
      </c>
      <c r="AI97" s="25">
        <f t="shared" si="23"/>
        <v>189221.37000000011</v>
      </c>
      <c r="AJ97" s="25">
        <f t="shared" si="24"/>
        <v>1327882.5900000001</v>
      </c>
      <c r="AK97" s="25">
        <f t="shared" si="25"/>
        <v>108844.49</v>
      </c>
      <c r="AL97" s="25">
        <f t="shared" si="26"/>
        <v>155461.24</v>
      </c>
      <c r="AM97" s="23">
        <f t="shared" si="27"/>
        <v>10825019.75</v>
      </c>
      <c r="AO97" s="23"/>
      <c r="AP97" s="23"/>
    </row>
    <row r="98" spans="1:42" x14ac:dyDescent="0.25">
      <c r="A98" t="s">
        <v>99</v>
      </c>
      <c r="B98" t="s">
        <v>395</v>
      </c>
      <c r="C98" s="25">
        <v>998.72</v>
      </c>
      <c r="D98" s="25">
        <v>0</v>
      </c>
      <c r="E98" s="25">
        <v>56.548999999999999</v>
      </c>
      <c r="F98" s="25">
        <v>0</v>
      </c>
      <c r="G98" s="25">
        <v>5.6230000000000002</v>
      </c>
      <c r="H98" s="25">
        <v>0</v>
      </c>
      <c r="I98" s="25">
        <v>0</v>
      </c>
      <c r="J98" s="25">
        <v>0</v>
      </c>
      <c r="K98" s="192">
        <v>1.18</v>
      </c>
      <c r="L98" s="192">
        <v>1.18</v>
      </c>
      <c r="M98" s="192">
        <v>0</v>
      </c>
      <c r="N98" s="278"/>
      <c r="O98" s="278"/>
      <c r="P98" s="278"/>
      <c r="Q98" s="278"/>
      <c r="R98" s="278"/>
      <c r="S98" s="278"/>
      <c r="T98" s="278"/>
      <c r="U98" s="278"/>
      <c r="V98" s="278"/>
      <c r="W98" s="278"/>
      <c r="X98" s="278"/>
      <c r="Y98" s="282">
        <f>VLOOKUP(A98,'3121% SY'!$A$3:$M$600,13,FALSE)</f>
        <v>0.19489999999999996</v>
      </c>
      <c r="Z98" s="30">
        <f t="shared" si="28"/>
        <v>1.0960000000000001</v>
      </c>
      <c r="AA98" s="31">
        <f t="shared" si="16"/>
        <v>57.644999999999996</v>
      </c>
      <c r="AB98" s="32">
        <f t="shared" si="17"/>
        <v>17.329999999999998</v>
      </c>
      <c r="AC98" s="28">
        <f t="shared" si="29"/>
        <v>17.329999999999998</v>
      </c>
      <c r="AD98" s="33">
        <f t="shared" si="18"/>
        <v>66.561999999999998</v>
      </c>
      <c r="AE98" s="33">
        <f t="shared" si="19"/>
        <v>0</v>
      </c>
      <c r="AF98" s="25">
        <f t="shared" si="20"/>
        <v>5712286.9400000004</v>
      </c>
      <c r="AG98" s="25">
        <f t="shared" si="21"/>
        <v>430495.05999999959</v>
      </c>
      <c r="AH98" s="25">
        <f t="shared" si="22"/>
        <v>819511.34</v>
      </c>
      <c r="AI98" s="25">
        <f t="shared" si="23"/>
        <v>140227.5</v>
      </c>
      <c r="AJ98" s="25">
        <f t="shared" si="24"/>
        <v>1036780.08</v>
      </c>
      <c r="AK98" s="25">
        <f t="shared" si="25"/>
        <v>75379.69</v>
      </c>
      <c r="AL98" s="25">
        <f t="shared" si="26"/>
        <v>120306.39</v>
      </c>
      <c r="AM98" s="23">
        <f t="shared" si="27"/>
        <v>8334987</v>
      </c>
      <c r="AO98" s="23"/>
      <c r="AP98" s="23"/>
    </row>
    <row r="99" spans="1:42" x14ac:dyDescent="0.25">
      <c r="A99" t="s">
        <v>100</v>
      </c>
      <c r="B99" t="s">
        <v>396</v>
      </c>
      <c r="C99" s="25">
        <v>5156.7</v>
      </c>
      <c r="D99" s="25">
        <v>25.6</v>
      </c>
      <c r="E99" s="25">
        <v>307.79599999999999</v>
      </c>
      <c r="F99" s="25">
        <v>0</v>
      </c>
      <c r="G99" s="25">
        <v>18.920999999999999</v>
      </c>
      <c r="H99" s="25">
        <v>0</v>
      </c>
      <c r="I99" s="25">
        <v>0</v>
      </c>
      <c r="J99" s="25">
        <v>0</v>
      </c>
      <c r="K99" s="192">
        <v>1.18</v>
      </c>
      <c r="L99" s="192">
        <v>1.18</v>
      </c>
      <c r="M99" s="192">
        <v>0</v>
      </c>
      <c r="N99" s="278"/>
      <c r="O99" s="278"/>
      <c r="P99" s="278"/>
      <c r="Q99" s="278"/>
      <c r="R99" s="278"/>
      <c r="S99" s="278"/>
      <c r="T99" s="278"/>
      <c r="U99" s="278"/>
      <c r="V99" s="278"/>
      <c r="W99" s="278"/>
      <c r="X99" s="278"/>
      <c r="Y99" s="282">
        <f>VLOOKUP(A99,'3121% SY'!$A$3:$M$600,13,FALSE)</f>
        <v>0.24239999999999995</v>
      </c>
      <c r="Z99" s="30">
        <f t="shared" si="28"/>
        <v>4.5860000000000003</v>
      </c>
      <c r="AA99" s="31">
        <f t="shared" si="16"/>
        <v>312.38200000000001</v>
      </c>
      <c r="AB99" s="32">
        <f t="shared" si="17"/>
        <v>16.59</v>
      </c>
      <c r="AC99" s="28">
        <f t="shared" si="29"/>
        <v>17</v>
      </c>
      <c r="AD99" s="33">
        <f t="shared" si="18"/>
        <v>350.35199999999998</v>
      </c>
      <c r="AE99" s="33">
        <f t="shared" si="19"/>
        <v>1.7390000000000001</v>
      </c>
      <c r="AF99" s="25">
        <f t="shared" si="20"/>
        <v>30216111.609999999</v>
      </c>
      <c r="AG99" s="25">
        <f t="shared" si="21"/>
        <v>2277176.7100000009</v>
      </c>
      <c r="AH99" s="25">
        <f t="shared" si="22"/>
        <v>4334944.3899999997</v>
      </c>
      <c r="AI99" s="25">
        <f t="shared" si="23"/>
        <v>741757.15000000037</v>
      </c>
      <c r="AJ99" s="25">
        <f t="shared" si="24"/>
        <v>5484224.2599999998</v>
      </c>
      <c r="AK99" s="25">
        <f t="shared" si="25"/>
        <v>398733.64</v>
      </c>
      <c r="AL99" s="25">
        <f t="shared" si="26"/>
        <v>636381.05000000005</v>
      </c>
      <c r="AM99" s="23">
        <f t="shared" si="27"/>
        <v>44089328.809999995</v>
      </c>
      <c r="AO99" s="23"/>
      <c r="AP99" s="23"/>
    </row>
    <row r="100" spans="1:42" x14ac:dyDescent="0.25">
      <c r="A100" t="s">
        <v>101</v>
      </c>
      <c r="B100" t="s">
        <v>397</v>
      </c>
      <c r="C100" s="25">
        <v>273.95999999999998</v>
      </c>
      <c r="D100" s="25">
        <v>0</v>
      </c>
      <c r="E100" s="25">
        <v>18</v>
      </c>
      <c r="F100" s="25">
        <v>0</v>
      </c>
      <c r="G100" s="25">
        <v>1.5</v>
      </c>
      <c r="H100" s="25">
        <v>0</v>
      </c>
      <c r="I100" s="25">
        <v>0</v>
      </c>
      <c r="J100" s="25">
        <v>0</v>
      </c>
      <c r="K100" s="192">
        <v>1.1200000000000001</v>
      </c>
      <c r="L100" s="192">
        <v>1.1200000000000001</v>
      </c>
      <c r="M100" s="192">
        <v>4.0000000000000036E-2</v>
      </c>
      <c r="N100" s="278"/>
      <c r="O100" s="278"/>
      <c r="P100" s="278"/>
      <c r="Q100" s="278"/>
      <c r="R100" s="278"/>
      <c r="S100" s="278"/>
      <c r="T100" s="278"/>
      <c r="U100" s="278"/>
      <c r="V100" s="278"/>
      <c r="W100" s="278"/>
      <c r="X100" s="278"/>
      <c r="Y100" s="282">
        <f>VLOOKUP(A100,'3121% SY'!$A$3:$M$600,13,FALSE)</f>
        <v>0.2157</v>
      </c>
      <c r="Z100" s="30">
        <f t="shared" si="28"/>
        <v>0.32400000000000001</v>
      </c>
      <c r="AA100" s="31">
        <f t="shared" si="16"/>
        <v>18.324000000000002</v>
      </c>
      <c r="AB100" s="32">
        <f t="shared" si="17"/>
        <v>14.95</v>
      </c>
      <c r="AC100" s="28">
        <f t="shared" si="29"/>
        <v>17</v>
      </c>
      <c r="AD100" s="33">
        <f t="shared" si="18"/>
        <v>18.613</v>
      </c>
      <c r="AE100" s="33">
        <f t="shared" si="19"/>
        <v>0</v>
      </c>
      <c r="AF100" s="25">
        <f t="shared" si="20"/>
        <v>1516128.62</v>
      </c>
      <c r="AG100" s="25">
        <f t="shared" si="21"/>
        <v>172488.15999999992</v>
      </c>
      <c r="AH100" s="25">
        <f t="shared" si="22"/>
        <v>229163.26</v>
      </c>
      <c r="AI100" s="25">
        <f t="shared" si="23"/>
        <v>39212.380000000005</v>
      </c>
      <c r="AJ100" s="25">
        <f t="shared" si="24"/>
        <v>275177.34000000003</v>
      </c>
      <c r="AK100" s="25">
        <f t="shared" si="25"/>
        <v>30202.68</v>
      </c>
      <c r="AL100" s="25">
        <f t="shared" si="26"/>
        <v>33071.56</v>
      </c>
      <c r="AM100" s="23">
        <f t="shared" si="27"/>
        <v>2295444</v>
      </c>
      <c r="AO100" s="23"/>
      <c r="AP100" s="23"/>
    </row>
    <row r="101" spans="1:42" x14ac:dyDescent="0.25">
      <c r="A101" t="s">
        <v>102</v>
      </c>
      <c r="B101" t="s">
        <v>398</v>
      </c>
      <c r="C101" s="25">
        <v>4210.68</v>
      </c>
      <c r="D101" s="25">
        <v>256.8</v>
      </c>
      <c r="E101" s="25">
        <v>236.02099999999999</v>
      </c>
      <c r="F101" s="25">
        <v>14</v>
      </c>
      <c r="G101" s="25">
        <v>34.375999999999998</v>
      </c>
      <c r="H101" s="25">
        <v>0</v>
      </c>
      <c r="I101" s="25">
        <v>0</v>
      </c>
      <c r="J101" s="25">
        <v>0</v>
      </c>
      <c r="K101" s="192">
        <v>1.18</v>
      </c>
      <c r="L101" s="192">
        <v>1.18</v>
      </c>
      <c r="M101" s="192">
        <v>0</v>
      </c>
      <c r="N101" s="278"/>
      <c r="O101" s="278"/>
      <c r="P101" s="278"/>
      <c r="Q101" s="278"/>
      <c r="R101" s="278"/>
      <c r="S101" s="278"/>
      <c r="T101" s="278"/>
      <c r="U101" s="278"/>
      <c r="V101" s="278"/>
      <c r="W101" s="278"/>
      <c r="X101" s="278"/>
      <c r="Y101" s="282">
        <f>VLOOKUP(A101,'3121% SY'!$A$3:$M$600,13,FALSE)</f>
        <v>0.29559999999999997</v>
      </c>
      <c r="Z101" s="30">
        <f t="shared" si="28"/>
        <v>10.162000000000001</v>
      </c>
      <c r="AA101" s="31">
        <f t="shared" si="16"/>
        <v>260.18299999999999</v>
      </c>
      <c r="AB101" s="32">
        <f t="shared" si="17"/>
        <v>17.170000000000002</v>
      </c>
      <c r="AC101" s="28">
        <f t="shared" si="29"/>
        <v>17.170000000000002</v>
      </c>
      <c r="AD101" s="33">
        <f t="shared" si="18"/>
        <v>283.24599999999998</v>
      </c>
      <c r="AE101" s="33">
        <f t="shared" si="19"/>
        <v>17.274999999999999</v>
      </c>
      <c r="AF101" s="25">
        <f t="shared" si="20"/>
        <v>25790423.719999999</v>
      </c>
      <c r="AG101" s="25">
        <f t="shared" si="21"/>
        <v>1943643.6099999994</v>
      </c>
      <c r="AH101" s="25">
        <f t="shared" si="22"/>
        <v>3700014.55</v>
      </c>
      <c r="AI101" s="25">
        <f t="shared" si="23"/>
        <v>633113.60000000056</v>
      </c>
      <c r="AJ101" s="25">
        <f t="shared" si="24"/>
        <v>4680961.91</v>
      </c>
      <c r="AK101" s="25">
        <f t="shared" si="25"/>
        <v>340332</v>
      </c>
      <c r="AL101" s="25">
        <f t="shared" si="26"/>
        <v>543171.71</v>
      </c>
      <c r="AM101" s="23">
        <f t="shared" si="27"/>
        <v>37631661.100000001</v>
      </c>
      <c r="AO101" s="23"/>
      <c r="AP101" s="23"/>
    </row>
    <row r="102" spans="1:42" x14ac:dyDescent="0.25">
      <c r="A102" t="s">
        <v>103</v>
      </c>
      <c r="B102" t="s">
        <v>399</v>
      </c>
      <c r="C102" s="25">
        <v>12</v>
      </c>
      <c r="D102" s="25">
        <v>0</v>
      </c>
      <c r="E102" s="25">
        <v>2</v>
      </c>
      <c r="F102" s="25">
        <v>0</v>
      </c>
      <c r="G102" s="25">
        <v>0</v>
      </c>
      <c r="H102" s="25">
        <v>0</v>
      </c>
      <c r="I102" s="25">
        <v>0</v>
      </c>
      <c r="J102" s="25">
        <v>0</v>
      </c>
      <c r="K102" s="192">
        <v>1.18</v>
      </c>
      <c r="L102" s="192">
        <v>1.18</v>
      </c>
      <c r="M102" s="192">
        <v>0</v>
      </c>
      <c r="N102" s="278"/>
      <c r="O102" s="278"/>
      <c r="P102" s="278"/>
      <c r="Q102" s="278"/>
      <c r="R102" s="278"/>
      <c r="S102" s="278"/>
      <c r="T102" s="278"/>
      <c r="U102" s="278"/>
      <c r="V102" s="278"/>
      <c r="W102" s="278"/>
      <c r="X102" s="278"/>
      <c r="Y102" s="282">
        <f>VLOOKUP(A102,'3121% SY'!$A$3:$M$600,13,FALSE)</f>
        <v>0.11329999999999996</v>
      </c>
      <c r="Z102" s="30">
        <f t="shared" si="28"/>
        <v>0</v>
      </c>
      <c r="AA102" s="31">
        <f t="shared" si="16"/>
        <v>2</v>
      </c>
      <c r="AB102" s="32">
        <f t="shared" si="17"/>
        <v>6</v>
      </c>
      <c r="AC102" s="28">
        <f t="shared" si="29"/>
        <v>17</v>
      </c>
      <c r="AD102" s="33">
        <f t="shared" si="18"/>
        <v>0.81499999999999995</v>
      </c>
      <c r="AE102" s="33">
        <f t="shared" si="19"/>
        <v>0</v>
      </c>
      <c r="AF102" s="25">
        <f t="shared" si="20"/>
        <v>69942.52</v>
      </c>
      <c r="AG102" s="25">
        <f t="shared" si="21"/>
        <v>5271.0800000000017</v>
      </c>
      <c r="AH102" s="25">
        <f t="shared" si="22"/>
        <v>10034.280000000001</v>
      </c>
      <c r="AI102" s="25">
        <f t="shared" si="23"/>
        <v>1716.9799999999996</v>
      </c>
      <c r="AJ102" s="25">
        <f t="shared" si="24"/>
        <v>12694.57</v>
      </c>
      <c r="AK102" s="25">
        <f t="shared" si="25"/>
        <v>922.97</v>
      </c>
      <c r="AL102" s="25">
        <f t="shared" si="26"/>
        <v>1473.06</v>
      </c>
      <c r="AM102" s="23">
        <f t="shared" si="27"/>
        <v>102055.45999999999</v>
      </c>
      <c r="AO102" s="23"/>
      <c r="AP102" s="23"/>
    </row>
    <row r="103" spans="1:42" x14ac:dyDescent="0.25">
      <c r="A103" t="s">
        <v>104</v>
      </c>
      <c r="B103" t="s">
        <v>400</v>
      </c>
      <c r="C103" s="25">
        <v>5075.8999999999996</v>
      </c>
      <c r="D103" s="25">
        <v>0</v>
      </c>
      <c r="E103" s="25">
        <v>278.77499999999998</v>
      </c>
      <c r="F103" s="25">
        <v>0</v>
      </c>
      <c r="G103" s="25">
        <v>27.728999999999999</v>
      </c>
      <c r="H103" s="25">
        <v>0</v>
      </c>
      <c r="I103" s="25">
        <v>0</v>
      </c>
      <c r="J103" s="25">
        <v>0</v>
      </c>
      <c r="K103" s="192">
        <v>1.18</v>
      </c>
      <c r="L103" s="192">
        <v>1.18</v>
      </c>
      <c r="M103" s="192">
        <v>0</v>
      </c>
      <c r="N103" s="278"/>
      <c r="O103" s="278"/>
      <c r="P103" s="278"/>
      <c r="Q103" s="278"/>
      <c r="R103" s="278"/>
      <c r="S103" s="278"/>
      <c r="T103" s="278"/>
      <c r="U103" s="278"/>
      <c r="V103" s="278"/>
      <c r="W103" s="278"/>
      <c r="X103" s="278"/>
      <c r="Y103" s="282">
        <f>VLOOKUP(A103,'3121% SY'!$A$3:$M$600,13,FALSE)</f>
        <v>0.21930000000000005</v>
      </c>
      <c r="Z103" s="30">
        <f t="shared" si="28"/>
        <v>6.0810000000000004</v>
      </c>
      <c r="AA103" s="31">
        <f t="shared" si="16"/>
        <v>284.85599999999999</v>
      </c>
      <c r="AB103" s="32">
        <f t="shared" si="17"/>
        <v>17.82</v>
      </c>
      <c r="AC103" s="28">
        <f t="shared" si="29"/>
        <v>17.82</v>
      </c>
      <c r="AD103" s="33">
        <f t="shared" si="18"/>
        <v>328.99400000000003</v>
      </c>
      <c r="AE103" s="33">
        <f t="shared" si="19"/>
        <v>0</v>
      </c>
      <c r="AF103" s="25">
        <f t="shared" si="20"/>
        <v>28233949.25</v>
      </c>
      <c r="AG103" s="25">
        <f t="shared" si="21"/>
        <v>2127795.0100000016</v>
      </c>
      <c r="AH103" s="25">
        <f t="shared" si="22"/>
        <v>4050574.13</v>
      </c>
      <c r="AI103" s="25">
        <f t="shared" si="23"/>
        <v>693098.24000000022</v>
      </c>
      <c r="AJ103" s="25">
        <f t="shared" si="24"/>
        <v>5124461.79</v>
      </c>
      <c r="AK103" s="25">
        <f t="shared" si="25"/>
        <v>372576.91</v>
      </c>
      <c r="AL103" s="25">
        <f t="shared" si="26"/>
        <v>594634.76</v>
      </c>
      <c r="AM103" s="23">
        <f t="shared" si="27"/>
        <v>41197090.089999996</v>
      </c>
      <c r="AO103" s="23"/>
      <c r="AP103" s="23"/>
    </row>
    <row r="104" spans="1:42" x14ac:dyDescent="0.25">
      <c r="A104" t="s">
        <v>105</v>
      </c>
      <c r="B104" t="s">
        <v>401</v>
      </c>
      <c r="C104" s="25">
        <v>799.4</v>
      </c>
      <c r="D104" s="25">
        <v>0</v>
      </c>
      <c r="E104" s="25">
        <v>40.445</v>
      </c>
      <c r="F104" s="25">
        <v>0</v>
      </c>
      <c r="G104" s="25">
        <v>5.4740000000000002</v>
      </c>
      <c r="H104" s="25">
        <v>0</v>
      </c>
      <c r="I104" s="25">
        <v>0</v>
      </c>
      <c r="J104" s="25">
        <v>0</v>
      </c>
      <c r="K104" s="192">
        <v>1.18</v>
      </c>
      <c r="L104" s="192">
        <v>1.18</v>
      </c>
      <c r="M104" s="192">
        <v>0</v>
      </c>
      <c r="N104" s="278"/>
      <c r="O104" s="278"/>
      <c r="P104" s="278"/>
      <c r="Q104" s="278"/>
      <c r="R104" s="278"/>
      <c r="S104" s="278"/>
      <c r="T104" s="278"/>
      <c r="U104" s="278"/>
      <c r="V104" s="278"/>
      <c r="W104" s="278"/>
      <c r="X104" s="278"/>
      <c r="Y104" s="282">
        <f>VLOOKUP(A104,'3121% SY'!$A$3:$M$600,13,FALSE)</f>
        <v>0.26539999999999997</v>
      </c>
      <c r="Z104" s="30">
        <f t="shared" si="28"/>
        <v>1.4530000000000001</v>
      </c>
      <c r="AA104" s="31">
        <f t="shared" si="16"/>
        <v>41.898000000000003</v>
      </c>
      <c r="AB104" s="32">
        <f t="shared" si="17"/>
        <v>19.079999999999998</v>
      </c>
      <c r="AC104" s="28">
        <f t="shared" si="29"/>
        <v>19.079999999999998</v>
      </c>
      <c r="AD104" s="33">
        <f t="shared" si="18"/>
        <v>48.390999999999998</v>
      </c>
      <c r="AE104" s="33">
        <f t="shared" si="19"/>
        <v>0</v>
      </c>
      <c r="AF104" s="25">
        <f t="shared" si="20"/>
        <v>4152869.16</v>
      </c>
      <c r="AG104" s="25">
        <f t="shared" si="21"/>
        <v>312972.66999999993</v>
      </c>
      <c r="AH104" s="25">
        <f t="shared" si="22"/>
        <v>595789.99</v>
      </c>
      <c r="AI104" s="25">
        <f t="shared" si="23"/>
        <v>101946.29000000004</v>
      </c>
      <c r="AJ104" s="25">
        <f t="shared" si="24"/>
        <v>753745.75</v>
      </c>
      <c r="AK104" s="25">
        <f t="shared" si="25"/>
        <v>54801.51</v>
      </c>
      <c r="AL104" s="25">
        <f t="shared" si="26"/>
        <v>87463.51</v>
      </c>
      <c r="AM104" s="23">
        <f t="shared" si="27"/>
        <v>6059588.8799999999</v>
      </c>
      <c r="AO104" s="23"/>
      <c r="AP104" s="23"/>
    </row>
    <row r="105" spans="1:42" x14ac:dyDescent="0.25">
      <c r="A105" t="s">
        <v>106</v>
      </c>
      <c r="B105" t="s">
        <v>402</v>
      </c>
      <c r="C105" s="25">
        <v>838.1</v>
      </c>
      <c r="D105" s="25">
        <v>0</v>
      </c>
      <c r="E105" s="25">
        <v>51.104999999999997</v>
      </c>
      <c r="F105" s="25">
        <v>0</v>
      </c>
      <c r="G105" s="25">
        <v>3.3130000000000002</v>
      </c>
      <c r="H105" s="25">
        <v>0</v>
      </c>
      <c r="I105" s="25">
        <v>0</v>
      </c>
      <c r="J105" s="25">
        <v>0</v>
      </c>
      <c r="K105" s="192">
        <v>1.18</v>
      </c>
      <c r="L105" s="192">
        <v>1.18</v>
      </c>
      <c r="M105" s="192">
        <v>0</v>
      </c>
      <c r="N105" s="278"/>
      <c r="O105" s="278"/>
      <c r="P105" s="278"/>
      <c r="Q105" s="278"/>
      <c r="R105" s="278"/>
      <c r="S105" s="278"/>
      <c r="T105" s="278"/>
      <c r="U105" s="278"/>
      <c r="V105" s="278"/>
      <c r="W105" s="278"/>
      <c r="X105" s="278"/>
      <c r="Y105" s="282">
        <f>VLOOKUP(A105,'3121% SY'!$A$3:$M$600,13,FALSE)</f>
        <v>0.20520000000000005</v>
      </c>
      <c r="Z105" s="30">
        <f t="shared" si="28"/>
        <v>0.68</v>
      </c>
      <c r="AA105" s="31">
        <f t="shared" si="16"/>
        <v>51.784999999999997</v>
      </c>
      <c r="AB105" s="32">
        <f t="shared" si="17"/>
        <v>16.18</v>
      </c>
      <c r="AC105" s="28">
        <f t="shared" si="29"/>
        <v>17</v>
      </c>
      <c r="AD105" s="33">
        <f t="shared" si="18"/>
        <v>56.942</v>
      </c>
      <c r="AE105" s="33">
        <f t="shared" si="19"/>
        <v>0</v>
      </c>
      <c r="AF105" s="25">
        <f t="shared" si="20"/>
        <v>4886707.78</v>
      </c>
      <c r="AG105" s="25">
        <f t="shared" si="21"/>
        <v>368276.93999999948</v>
      </c>
      <c r="AH105" s="25">
        <f t="shared" si="22"/>
        <v>701069.9</v>
      </c>
      <c r="AI105" s="25">
        <f t="shared" si="23"/>
        <v>119960.84999999998</v>
      </c>
      <c r="AJ105" s="25">
        <f t="shared" si="24"/>
        <v>886937.46</v>
      </c>
      <c r="AK105" s="25">
        <f t="shared" si="25"/>
        <v>64485.29</v>
      </c>
      <c r="AL105" s="25">
        <f t="shared" si="26"/>
        <v>102918.88</v>
      </c>
      <c r="AM105" s="23">
        <f t="shared" si="27"/>
        <v>7130357.0999999996</v>
      </c>
      <c r="AO105" s="23"/>
      <c r="AP105" s="23"/>
    </row>
    <row r="106" spans="1:42" x14ac:dyDescent="0.25">
      <c r="A106" t="s">
        <v>107</v>
      </c>
      <c r="B106" t="s">
        <v>403</v>
      </c>
      <c r="C106" s="25">
        <v>5103.13</v>
      </c>
      <c r="D106" s="25">
        <v>150.80000000000001</v>
      </c>
      <c r="E106" s="25">
        <v>294.57</v>
      </c>
      <c r="F106" s="25">
        <v>8.75</v>
      </c>
      <c r="G106" s="25">
        <v>31.036000000000001</v>
      </c>
      <c r="H106" s="25">
        <v>0</v>
      </c>
      <c r="I106" s="25">
        <v>0</v>
      </c>
      <c r="J106" s="25">
        <v>0</v>
      </c>
      <c r="K106" s="192">
        <v>1.1200000000000001</v>
      </c>
      <c r="L106" s="192">
        <v>1.1200000000000001</v>
      </c>
      <c r="M106" s="192">
        <v>0</v>
      </c>
      <c r="N106" s="278"/>
      <c r="O106" s="278"/>
      <c r="P106" s="278"/>
      <c r="Q106" s="278"/>
      <c r="R106" s="278"/>
      <c r="S106" s="278"/>
      <c r="T106" s="278"/>
      <c r="U106" s="278"/>
      <c r="V106" s="278"/>
      <c r="W106" s="278"/>
      <c r="X106" s="278"/>
      <c r="Y106" s="282">
        <f>VLOOKUP(A106,'3121% SY'!$A$3:$M$600,13,FALSE)</f>
        <v>0.24790000000000001</v>
      </c>
      <c r="Z106" s="30">
        <f t="shared" si="28"/>
        <v>7.694</v>
      </c>
      <c r="AA106" s="31">
        <f t="shared" si="16"/>
        <v>311.01400000000001</v>
      </c>
      <c r="AB106" s="32">
        <f t="shared" si="17"/>
        <v>16.89</v>
      </c>
      <c r="AC106" s="28">
        <f t="shared" si="29"/>
        <v>17</v>
      </c>
      <c r="AD106" s="33">
        <f t="shared" si="18"/>
        <v>346.71300000000002</v>
      </c>
      <c r="AE106" s="33">
        <f t="shared" si="19"/>
        <v>10.246</v>
      </c>
      <c r="AF106" s="25">
        <f t="shared" si="20"/>
        <v>29076223.850000001</v>
      </c>
      <c r="AG106" s="25">
        <f t="shared" si="21"/>
        <v>2191271.3499999978</v>
      </c>
      <c r="AH106" s="25">
        <f t="shared" si="22"/>
        <v>4394879.21</v>
      </c>
      <c r="AI106" s="25">
        <f t="shared" si="23"/>
        <v>752012.66000000015</v>
      </c>
      <c r="AJ106" s="25">
        <f t="shared" si="24"/>
        <v>5277334.63</v>
      </c>
      <c r="AK106" s="25">
        <f t="shared" si="25"/>
        <v>383691.61</v>
      </c>
      <c r="AL106" s="25">
        <f t="shared" si="26"/>
        <v>612373.89</v>
      </c>
      <c r="AM106" s="23">
        <f t="shared" si="27"/>
        <v>42687787.199999996</v>
      </c>
      <c r="AO106" s="23"/>
      <c r="AP106" s="23"/>
    </row>
    <row r="107" spans="1:42" x14ac:dyDescent="0.25">
      <c r="A107" t="s">
        <v>108</v>
      </c>
      <c r="B107" t="s">
        <v>404</v>
      </c>
      <c r="C107" s="25">
        <v>2498.7199999999998</v>
      </c>
      <c r="D107" s="25">
        <v>0</v>
      </c>
      <c r="E107" s="25">
        <v>137.59399999999999</v>
      </c>
      <c r="F107" s="25">
        <v>1.1479999999999999</v>
      </c>
      <c r="G107" s="25">
        <v>13.2</v>
      </c>
      <c r="H107" s="25">
        <v>0</v>
      </c>
      <c r="I107" s="25">
        <v>0</v>
      </c>
      <c r="J107" s="25">
        <v>0</v>
      </c>
      <c r="K107" s="192">
        <v>1.18</v>
      </c>
      <c r="L107" s="192">
        <v>1.18</v>
      </c>
      <c r="M107" s="192">
        <v>4.0000000000000036E-2</v>
      </c>
      <c r="N107" s="278"/>
      <c r="O107" s="278"/>
      <c r="P107" s="278"/>
      <c r="Q107" s="278"/>
      <c r="R107" s="278"/>
      <c r="S107" s="278"/>
      <c r="T107" s="278"/>
      <c r="U107" s="278"/>
      <c r="V107" s="278"/>
      <c r="W107" s="278"/>
      <c r="X107" s="278"/>
      <c r="Y107" s="282">
        <f>VLOOKUP(A107,'3121% SY'!$A$3:$M$600,13,FALSE)</f>
        <v>0.23660000000000003</v>
      </c>
      <c r="Z107" s="30">
        <f t="shared" si="28"/>
        <v>3.1230000000000002</v>
      </c>
      <c r="AA107" s="31">
        <f t="shared" si="16"/>
        <v>141.86499999999998</v>
      </c>
      <c r="AB107" s="32">
        <f t="shared" si="17"/>
        <v>17.61</v>
      </c>
      <c r="AC107" s="28">
        <f t="shared" si="29"/>
        <v>17.61</v>
      </c>
      <c r="AD107" s="33">
        <f t="shared" si="18"/>
        <v>163.88499999999999</v>
      </c>
      <c r="AE107" s="33">
        <f t="shared" si="19"/>
        <v>0</v>
      </c>
      <c r="AF107" s="25">
        <f t="shared" si="20"/>
        <v>14064453.369999999</v>
      </c>
      <c r="AG107" s="25">
        <f t="shared" si="21"/>
        <v>1572630.6300000008</v>
      </c>
      <c r="AH107" s="25">
        <f t="shared" si="22"/>
        <v>2017752.12</v>
      </c>
      <c r="AI107" s="25">
        <f t="shared" si="23"/>
        <v>345259.81000000006</v>
      </c>
      <c r="AJ107" s="25">
        <f t="shared" si="24"/>
        <v>2552698.29</v>
      </c>
      <c r="AK107" s="25">
        <f t="shared" si="25"/>
        <v>275367.62</v>
      </c>
      <c r="AL107" s="25">
        <f t="shared" si="26"/>
        <v>306252.28999999998</v>
      </c>
      <c r="AM107" s="23">
        <f t="shared" si="27"/>
        <v>21134414.129999999</v>
      </c>
      <c r="AO107" s="23"/>
      <c r="AP107" s="23"/>
    </row>
    <row r="108" spans="1:42" x14ac:dyDescent="0.25">
      <c r="A108" t="s">
        <v>109</v>
      </c>
      <c r="B108" t="s">
        <v>405</v>
      </c>
      <c r="C108" s="25">
        <v>1991.05</v>
      </c>
      <c r="D108" s="25">
        <v>14</v>
      </c>
      <c r="E108" s="25">
        <v>123.637</v>
      </c>
      <c r="F108" s="25">
        <v>1</v>
      </c>
      <c r="G108" s="25">
        <v>11.612</v>
      </c>
      <c r="H108" s="25">
        <v>0</v>
      </c>
      <c r="I108" s="25">
        <v>0</v>
      </c>
      <c r="J108" s="25">
        <v>0</v>
      </c>
      <c r="K108" s="192">
        <v>1.18</v>
      </c>
      <c r="L108" s="192">
        <v>1.18</v>
      </c>
      <c r="M108" s="192">
        <v>0</v>
      </c>
      <c r="N108" s="278"/>
      <c r="O108" s="278"/>
      <c r="P108" s="278"/>
      <c r="Q108" s="278"/>
      <c r="R108" s="278"/>
      <c r="S108" s="278"/>
      <c r="T108" s="278"/>
      <c r="U108" s="278"/>
      <c r="V108" s="278"/>
      <c r="W108" s="278"/>
      <c r="X108" s="278"/>
      <c r="Y108" s="282">
        <f>VLOOKUP(A108,'3121% SY'!$A$3:$M$600,13,FALSE)</f>
        <v>0.23170000000000002</v>
      </c>
      <c r="Z108" s="30">
        <f t="shared" si="28"/>
        <v>2.6909999999999998</v>
      </c>
      <c r="AA108" s="31">
        <f t="shared" si="16"/>
        <v>127.328</v>
      </c>
      <c r="AB108" s="32">
        <f t="shared" si="17"/>
        <v>15.75</v>
      </c>
      <c r="AC108" s="28">
        <f t="shared" si="29"/>
        <v>17</v>
      </c>
      <c r="AD108" s="33">
        <f t="shared" si="18"/>
        <v>135.274</v>
      </c>
      <c r="AE108" s="33">
        <f t="shared" si="19"/>
        <v>0.95099999999999996</v>
      </c>
      <c r="AF108" s="25">
        <f t="shared" si="20"/>
        <v>11690698.720000001</v>
      </c>
      <c r="AG108" s="25">
        <f t="shared" si="21"/>
        <v>881046.08999999985</v>
      </c>
      <c r="AH108" s="25">
        <f t="shared" si="22"/>
        <v>1677202.2</v>
      </c>
      <c r="AI108" s="25">
        <f t="shared" si="23"/>
        <v>286987.92999999993</v>
      </c>
      <c r="AJ108" s="25">
        <f t="shared" si="24"/>
        <v>2121861.8199999998</v>
      </c>
      <c r="AK108" s="25">
        <f t="shared" si="25"/>
        <v>154271.17000000001</v>
      </c>
      <c r="AL108" s="25">
        <f t="shared" si="26"/>
        <v>246217.62</v>
      </c>
      <c r="AM108" s="23">
        <f t="shared" si="27"/>
        <v>17058285.550000001</v>
      </c>
      <c r="AO108" s="23"/>
      <c r="AP108" s="23"/>
    </row>
    <row r="109" spans="1:42" x14ac:dyDescent="0.25">
      <c r="A109" t="s">
        <v>110</v>
      </c>
      <c r="B109" t="s">
        <v>406</v>
      </c>
      <c r="C109" s="25">
        <v>5056.43</v>
      </c>
      <c r="D109" s="25">
        <v>72.92</v>
      </c>
      <c r="E109" s="25">
        <v>292.35599999999999</v>
      </c>
      <c r="F109" s="25">
        <v>5</v>
      </c>
      <c r="G109" s="25">
        <v>15.981999999999999</v>
      </c>
      <c r="H109" s="25">
        <v>0</v>
      </c>
      <c r="I109" s="25">
        <v>0</v>
      </c>
      <c r="J109" s="25">
        <v>0</v>
      </c>
      <c r="K109" s="192">
        <v>1.18</v>
      </c>
      <c r="L109" s="192">
        <v>1.18</v>
      </c>
      <c r="M109" s="192">
        <v>0</v>
      </c>
      <c r="N109" s="278"/>
      <c r="O109" s="278"/>
      <c r="P109" s="278"/>
      <c r="Q109" s="278"/>
      <c r="R109" s="278"/>
      <c r="S109" s="278"/>
      <c r="T109" s="278"/>
      <c r="U109" s="278"/>
      <c r="V109" s="278"/>
      <c r="W109" s="278"/>
      <c r="X109" s="278"/>
      <c r="Y109" s="282">
        <f>VLOOKUP(A109,'3121% SY'!$A$3:$M$600,13,FALSE)</f>
        <v>0.23299999999999998</v>
      </c>
      <c r="Z109" s="30">
        <f t="shared" si="28"/>
        <v>3.7240000000000002</v>
      </c>
      <c r="AA109" s="31">
        <f t="shared" si="16"/>
        <v>301.08</v>
      </c>
      <c r="AB109" s="32">
        <f t="shared" si="17"/>
        <v>17.04</v>
      </c>
      <c r="AC109" s="28">
        <f t="shared" si="29"/>
        <v>17.04</v>
      </c>
      <c r="AD109" s="33">
        <f t="shared" si="18"/>
        <v>342.733</v>
      </c>
      <c r="AE109" s="33">
        <f t="shared" si="19"/>
        <v>4.9429999999999996</v>
      </c>
      <c r="AF109" s="25">
        <f t="shared" si="20"/>
        <v>29837220.550000001</v>
      </c>
      <c r="AG109" s="25">
        <f t="shared" si="21"/>
        <v>2248622.3499999978</v>
      </c>
      <c r="AH109" s="25">
        <f t="shared" si="22"/>
        <v>4280586.91</v>
      </c>
      <c r="AI109" s="25">
        <f t="shared" si="23"/>
        <v>732455.97999999952</v>
      </c>
      <c r="AJ109" s="25">
        <f t="shared" si="24"/>
        <v>5415455.5300000003</v>
      </c>
      <c r="AK109" s="25">
        <f t="shared" si="25"/>
        <v>393733.77</v>
      </c>
      <c r="AL109" s="25">
        <f t="shared" si="26"/>
        <v>628401.23</v>
      </c>
      <c r="AM109" s="23">
        <f t="shared" si="27"/>
        <v>43536476.32</v>
      </c>
      <c r="AO109" s="23"/>
      <c r="AP109" s="23"/>
    </row>
    <row r="110" spans="1:42" x14ac:dyDescent="0.25">
      <c r="A110" t="s">
        <v>111</v>
      </c>
      <c r="B110" t="s">
        <v>407</v>
      </c>
      <c r="C110" s="25">
        <v>2573.39</v>
      </c>
      <c r="D110" s="25">
        <v>0</v>
      </c>
      <c r="E110" s="25">
        <v>151.51</v>
      </c>
      <c r="F110" s="25">
        <v>0</v>
      </c>
      <c r="G110" s="25">
        <v>10.994999999999999</v>
      </c>
      <c r="H110" s="25">
        <v>0</v>
      </c>
      <c r="I110" s="25">
        <v>0</v>
      </c>
      <c r="J110" s="25">
        <v>0</v>
      </c>
      <c r="K110" s="192">
        <v>1.18</v>
      </c>
      <c r="L110" s="192">
        <v>1.18</v>
      </c>
      <c r="M110" s="192">
        <v>0</v>
      </c>
      <c r="N110" s="278"/>
      <c r="O110" s="278"/>
      <c r="P110" s="278"/>
      <c r="Q110" s="278"/>
      <c r="R110" s="278"/>
      <c r="S110" s="278"/>
      <c r="T110" s="278"/>
      <c r="U110" s="278"/>
      <c r="V110" s="278"/>
      <c r="W110" s="278"/>
      <c r="X110" s="278"/>
      <c r="Y110" s="282">
        <f>VLOOKUP(A110,'3121% SY'!$A$3:$M$600,13,FALSE)</f>
        <v>0.23470000000000002</v>
      </c>
      <c r="Z110" s="30">
        <f t="shared" si="28"/>
        <v>2.581</v>
      </c>
      <c r="AA110" s="31">
        <f t="shared" si="16"/>
        <v>154.09099999999998</v>
      </c>
      <c r="AB110" s="32">
        <f t="shared" si="17"/>
        <v>16.7</v>
      </c>
      <c r="AC110" s="28">
        <f t="shared" si="29"/>
        <v>17</v>
      </c>
      <c r="AD110" s="33">
        <f t="shared" si="18"/>
        <v>174.839</v>
      </c>
      <c r="AE110" s="33">
        <f t="shared" si="19"/>
        <v>0</v>
      </c>
      <c r="AF110" s="25">
        <f t="shared" si="20"/>
        <v>15004515.130000001</v>
      </c>
      <c r="AG110" s="25">
        <f t="shared" si="21"/>
        <v>1130785.2199999988</v>
      </c>
      <c r="AH110" s="25">
        <f t="shared" si="22"/>
        <v>2152617.77</v>
      </c>
      <c r="AI110" s="25">
        <f t="shared" si="23"/>
        <v>368336.81999999983</v>
      </c>
      <c r="AJ110" s="25">
        <f t="shared" si="24"/>
        <v>2723319.5</v>
      </c>
      <c r="AK110" s="25">
        <f t="shared" si="25"/>
        <v>198000.49</v>
      </c>
      <c r="AL110" s="25">
        <f t="shared" si="26"/>
        <v>316009.86</v>
      </c>
      <c r="AM110" s="23">
        <f t="shared" si="27"/>
        <v>21893584.789999999</v>
      </c>
      <c r="AO110" s="23"/>
      <c r="AP110" s="23"/>
    </row>
    <row r="111" spans="1:42" x14ac:dyDescent="0.25">
      <c r="A111" t="s">
        <v>112</v>
      </c>
      <c r="B111" t="s">
        <v>408</v>
      </c>
      <c r="C111" s="25">
        <v>8660.48</v>
      </c>
      <c r="D111" s="25">
        <v>0</v>
      </c>
      <c r="E111" s="25">
        <v>512.96</v>
      </c>
      <c r="F111" s="25">
        <v>0</v>
      </c>
      <c r="G111" s="25">
        <v>48.408000000000001</v>
      </c>
      <c r="H111" s="25">
        <v>0</v>
      </c>
      <c r="I111" s="25">
        <v>0</v>
      </c>
      <c r="J111" s="25">
        <v>0</v>
      </c>
      <c r="K111" s="192">
        <v>1.18</v>
      </c>
      <c r="L111" s="192">
        <v>1.18</v>
      </c>
      <c r="M111" s="192">
        <v>0</v>
      </c>
      <c r="N111" s="278"/>
      <c r="O111" s="278"/>
      <c r="P111" s="278"/>
      <c r="Q111" s="278"/>
      <c r="R111" s="278"/>
      <c r="S111" s="278"/>
      <c r="T111" s="278"/>
      <c r="U111" s="278"/>
      <c r="V111" s="278"/>
      <c r="W111" s="278"/>
      <c r="X111" s="278"/>
      <c r="Y111" s="282">
        <f>VLOOKUP(A111,'3121% SY'!$A$3:$M$600,13,FALSE)</f>
        <v>0.22599999999999998</v>
      </c>
      <c r="Z111" s="30">
        <f t="shared" si="28"/>
        <v>10.94</v>
      </c>
      <c r="AA111" s="31">
        <f t="shared" si="16"/>
        <v>523.90000000000009</v>
      </c>
      <c r="AB111" s="32">
        <f t="shared" si="17"/>
        <v>16.53</v>
      </c>
      <c r="AC111" s="28">
        <f t="shared" si="29"/>
        <v>17</v>
      </c>
      <c r="AD111" s="33">
        <f t="shared" si="18"/>
        <v>588.40300000000002</v>
      </c>
      <c r="AE111" s="33">
        <f t="shared" si="19"/>
        <v>0</v>
      </c>
      <c r="AF111" s="25">
        <f t="shared" si="20"/>
        <v>50496180.590000004</v>
      </c>
      <c r="AG111" s="25">
        <f t="shared" si="21"/>
        <v>3805543.4799999967</v>
      </c>
      <c r="AH111" s="25">
        <f t="shared" si="22"/>
        <v>7244417.7400000002</v>
      </c>
      <c r="AI111" s="25">
        <f t="shared" si="23"/>
        <v>1239600.3599999994</v>
      </c>
      <c r="AJ111" s="25">
        <f t="shared" si="24"/>
        <v>9165056.7799999993</v>
      </c>
      <c r="AK111" s="25">
        <f t="shared" si="25"/>
        <v>666350.66</v>
      </c>
      <c r="AL111" s="25">
        <f t="shared" si="26"/>
        <v>1063499.27</v>
      </c>
      <c r="AM111" s="23">
        <f t="shared" si="27"/>
        <v>73680648.879999995</v>
      </c>
      <c r="AO111" s="23"/>
      <c r="AP111" s="23"/>
    </row>
    <row r="112" spans="1:42" x14ac:dyDescent="0.25">
      <c r="A112" t="s">
        <v>113</v>
      </c>
      <c r="B112" t="s">
        <v>409</v>
      </c>
      <c r="C112" s="25">
        <v>7521.96</v>
      </c>
      <c r="D112" s="25">
        <v>0</v>
      </c>
      <c r="E112" s="25">
        <v>416.82400000000001</v>
      </c>
      <c r="F112" s="25">
        <v>0</v>
      </c>
      <c r="G112" s="25">
        <v>44.853999999999999</v>
      </c>
      <c r="H112" s="25">
        <v>0</v>
      </c>
      <c r="I112" s="25">
        <v>0</v>
      </c>
      <c r="J112" s="25">
        <v>0</v>
      </c>
      <c r="K112" s="192">
        <v>1.18</v>
      </c>
      <c r="L112" s="192">
        <v>1.18</v>
      </c>
      <c r="M112" s="192">
        <v>0</v>
      </c>
      <c r="N112" s="278"/>
      <c r="O112" s="278"/>
      <c r="P112" s="278"/>
      <c r="Q112" s="278"/>
      <c r="R112" s="278"/>
      <c r="S112" s="278"/>
      <c r="T112" s="278"/>
      <c r="U112" s="278"/>
      <c r="V112" s="278"/>
      <c r="W112" s="278"/>
      <c r="X112" s="278"/>
      <c r="Y112" s="282">
        <f>VLOOKUP(A112,'3121% SY'!$A$3:$M$600,13,FALSE)</f>
        <v>0.30840000000000001</v>
      </c>
      <c r="Z112" s="30">
        <f t="shared" si="28"/>
        <v>13.833</v>
      </c>
      <c r="AA112" s="31">
        <f t="shared" si="16"/>
        <v>430.65700000000004</v>
      </c>
      <c r="AB112" s="32">
        <f t="shared" si="17"/>
        <v>17.47</v>
      </c>
      <c r="AC112" s="28">
        <f t="shared" si="29"/>
        <v>17.47</v>
      </c>
      <c r="AD112" s="33">
        <f t="shared" si="18"/>
        <v>497.30200000000002</v>
      </c>
      <c r="AE112" s="33">
        <f t="shared" si="19"/>
        <v>0</v>
      </c>
      <c r="AF112" s="25">
        <f t="shared" si="20"/>
        <v>42677980.229999997</v>
      </c>
      <c r="AG112" s="25">
        <f t="shared" si="21"/>
        <v>3216340.4700000063</v>
      </c>
      <c r="AH112" s="25">
        <f t="shared" si="22"/>
        <v>6122782.2199999997</v>
      </c>
      <c r="AI112" s="25">
        <f t="shared" si="23"/>
        <v>1047676.0700000003</v>
      </c>
      <c r="AJ112" s="25">
        <f t="shared" si="24"/>
        <v>7746053.4100000001</v>
      </c>
      <c r="AK112" s="25">
        <f t="shared" si="25"/>
        <v>563181.22</v>
      </c>
      <c r="AL112" s="25">
        <f t="shared" si="26"/>
        <v>898840.27</v>
      </c>
      <c r="AM112" s="23">
        <f t="shared" si="27"/>
        <v>62272853.890000008</v>
      </c>
      <c r="AO112" s="23"/>
      <c r="AP112" s="23"/>
    </row>
    <row r="113" spans="1:42" x14ac:dyDescent="0.25">
      <c r="A113" t="s">
        <v>114</v>
      </c>
      <c r="B113" t="s">
        <v>410</v>
      </c>
      <c r="C113" s="25">
        <v>6183.33</v>
      </c>
      <c r="D113" s="25">
        <v>0</v>
      </c>
      <c r="E113" s="25">
        <v>336.89800000000002</v>
      </c>
      <c r="F113" s="25">
        <v>0</v>
      </c>
      <c r="G113" s="25">
        <v>32.799999999999997</v>
      </c>
      <c r="H113" s="25">
        <v>0</v>
      </c>
      <c r="I113" s="25">
        <v>0</v>
      </c>
      <c r="J113" s="25">
        <v>0</v>
      </c>
      <c r="K113" s="192">
        <v>1.18</v>
      </c>
      <c r="L113" s="192">
        <v>1.18</v>
      </c>
      <c r="M113" s="192">
        <v>0</v>
      </c>
      <c r="N113" s="278"/>
      <c r="O113" s="278"/>
      <c r="P113" s="278"/>
      <c r="Q113" s="278"/>
      <c r="R113" s="278"/>
      <c r="S113" s="278"/>
      <c r="T113" s="278"/>
      <c r="U113" s="278"/>
      <c r="V113" s="278"/>
      <c r="W113" s="278"/>
      <c r="X113" s="278"/>
      <c r="Y113" s="282">
        <f>VLOOKUP(A113,'3121% SY'!$A$3:$M$600,13,FALSE)</f>
        <v>0.20830000000000004</v>
      </c>
      <c r="Z113" s="30">
        <f t="shared" si="28"/>
        <v>6.8319999999999999</v>
      </c>
      <c r="AA113" s="31">
        <f t="shared" si="16"/>
        <v>343.73</v>
      </c>
      <c r="AB113" s="32">
        <f t="shared" si="17"/>
        <v>17.989999999999998</v>
      </c>
      <c r="AC113" s="28">
        <f t="shared" si="29"/>
        <v>17.989999999999998</v>
      </c>
      <c r="AD113" s="33">
        <f t="shared" si="18"/>
        <v>396.98399999999998</v>
      </c>
      <c r="AE113" s="33">
        <f t="shared" si="19"/>
        <v>0</v>
      </c>
      <c r="AF113" s="25">
        <f t="shared" si="20"/>
        <v>34068785.780000001</v>
      </c>
      <c r="AG113" s="25">
        <f t="shared" si="21"/>
        <v>2567525.7699999958</v>
      </c>
      <c r="AH113" s="25">
        <f t="shared" si="22"/>
        <v>4887667.01</v>
      </c>
      <c r="AI113" s="25">
        <f t="shared" si="23"/>
        <v>836334.12999999989</v>
      </c>
      <c r="AJ113" s="25">
        <f t="shared" si="24"/>
        <v>6183484.6200000001</v>
      </c>
      <c r="AK113" s="25">
        <f t="shared" si="25"/>
        <v>449573.76</v>
      </c>
      <c r="AL113" s="25">
        <f t="shared" si="26"/>
        <v>717522.16</v>
      </c>
      <c r="AM113" s="23">
        <f t="shared" si="27"/>
        <v>49710893.229999989</v>
      </c>
      <c r="AO113" s="23"/>
      <c r="AP113" s="23"/>
    </row>
    <row r="114" spans="1:42" x14ac:dyDescent="0.25">
      <c r="A114" t="s">
        <v>619</v>
      </c>
      <c r="B114" t="s">
        <v>620</v>
      </c>
      <c r="C114" s="25">
        <v>0</v>
      </c>
      <c r="D114" s="25">
        <v>0</v>
      </c>
      <c r="E114" s="25">
        <v>0</v>
      </c>
      <c r="F114" s="25">
        <v>0</v>
      </c>
      <c r="G114" s="25">
        <v>0</v>
      </c>
      <c r="H114" s="25">
        <v>0</v>
      </c>
      <c r="I114" s="25">
        <v>0</v>
      </c>
      <c r="J114" s="25">
        <v>0</v>
      </c>
      <c r="K114" s="192">
        <v>1.18</v>
      </c>
      <c r="L114" s="192">
        <v>1.18</v>
      </c>
      <c r="M114" s="192">
        <v>0</v>
      </c>
      <c r="N114" s="278"/>
      <c r="O114" s="278"/>
      <c r="P114" s="278"/>
      <c r="Q114" s="278"/>
      <c r="R114" s="278"/>
      <c r="S114" s="278"/>
      <c r="T114" s="278"/>
      <c r="U114" s="278"/>
      <c r="V114" s="278"/>
      <c r="W114" s="278"/>
      <c r="X114" s="278"/>
      <c r="Y114" s="282">
        <f>VLOOKUP(A114,'3121% SY'!$A$3:$M$600,13,FALSE)</f>
        <v>0.13</v>
      </c>
      <c r="Z114" s="30">
        <f t="shared" si="28"/>
        <v>0</v>
      </c>
      <c r="AA114" s="31">
        <f t="shared" si="16"/>
        <v>0</v>
      </c>
      <c r="AB114" s="32">
        <f t="shared" si="17"/>
        <v>0</v>
      </c>
      <c r="AC114" s="28">
        <f t="shared" si="29"/>
        <v>25.23</v>
      </c>
      <c r="AD114" s="33">
        <f t="shared" si="18"/>
        <v>0</v>
      </c>
      <c r="AE114" s="33">
        <f t="shared" si="19"/>
        <v>0</v>
      </c>
      <c r="AF114" s="25">
        <f t="shared" si="20"/>
        <v>0</v>
      </c>
      <c r="AG114" s="25">
        <f t="shared" si="21"/>
        <v>0</v>
      </c>
      <c r="AH114" s="25">
        <f t="shared" si="22"/>
        <v>0</v>
      </c>
      <c r="AI114" s="25">
        <f t="shared" si="23"/>
        <v>0</v>
      </c>
      <c r="AJ114" s="25">
        <f t="shared" si="24"/>
        <v>0</v>
      </c>
      <c r="AK114" s="25">
        <f t="shared" si="25"/>
        <v>0</v>
      </c>
      <c r="AL114" s="25">
        <f t="shared" si="26"/>
        <v>0</v>
      </c>
      <c r="AM114" s="23">
        <f t="shared" si="27"/>
        <v>0</v>
      </c>
      <c r="AO114" s="23"/>
      <c r="AP114" s="23"/>
    </row>
    <row r="115" spans="1:42" x14ac:dyDescent="0.25">
      <c r="A115" t="s">
        <v>115</v>
      </c>
      <c r="B115" t="s">
        <v>411</v>
      </c>
      <c r="C115" s="25">
        <v>114.12</v>
      </c>
      <c r="D115" s="25">
        <v>0</v>
      </c>
      <c r="E115" s="25">
        <v>7.2679999999999998</v>
      </c>
      <c r="F115" s="25">
        <v>0</v>
      </c>
      <c r="G115" s="25">
        <v>0</v>
      </c>
      <c r="H115" s="25">
        <v>0</v>
      </c>
      <c r="I115" s="25">
        <v>0</v>
      </c>
      <c r="J115" s="25">
        <v>0</v>
      </c>
      <c r="K115" s="192">
        <v>1.1200000000000001</v>
      </c>
      <c r="L115" s="192">
        <v>1.1200000000000001</v>
      </c>
      <c r="M115" s="192">
        <v>0</v>
      </c>
      <c r="N115" s="278"/>
      <c r="O115" s="278"/>
      <c r="P115" s="278"/>
      <c r="Q115" s="278"/>
      <c r="R115" s="278"/>
      <c r="S115" s="278"/>
      <c r="T115" s="278"/>
      <c r="U115" s="278"/>
      <c r="V115" s="278"/>
      <c r="W115" s="278"/>
      <c r="X115" s="278"/>
      <c r="Y115" s="282">
        <f>VLOOKUP(A115,'3121% SY'!$A$3:$M$600,13,FALSE)</f>
        <v>0.14759999999999995</v>
      </c>
      <c r="Z115" s="30">
        <f t="shared" si="28"/>
        <v>0</v>
      </c>
      <c r="AA115" s="31">
        <f t="shared" si="16"/>
        <v>7.2679999999999998</v>
      </c>
      <c r="AB115" s="32">
        <f t="shared" si="17"/>
        <v>15.7</v>
      </c>
      <c r="AC115" s="28">
        <f t="shared" si="29"/>
        <v>17</v>
      </c>
      <c r="AD115" s="33">
        <f t="shared" si="18"/>
        <v>7.7530000000000001</v>
      </c>
      <c r="AE115" s="33">
        <f t="shared" si="19"/>
        <v>0</v>
      </c>
      <c r="AF115" s="25">
        <f t="shared" si="20"/>
        <v>631523.41</v>
      </c>
      <c r="AG115" s="25">
        <f t="shared" si="21"/>
        <v>47593.489999999991</v>
      </c>
      <c r="AH115" s="25">
        <f t="shared" si="22"/>
        <v>95454.94</v>
      </c>
      <c r="AI115" s="25">
        <f t="shared" si="23"/>
        <v>16333.399999999994</v>
      </c>
      <c r="AJ115" s="25">
        <f t="shared" si="24"/>
        <v>114621.5</v>
      </c>
      <c r="AK115" s="25">
        <f t="shared" si="25"/>
        <v>8333.6200000000008</v>
      </c>
      <c r="AL115" s="25">
        <f t="shared" si="26"/>
        <v>13300.5</v>
      </c>
      <c r="AM115" s="23">
        <f t="shared" si="27"/>
        <v>927160.8600000001</v>
      </c>
      <c r="AO115" s="23"/>
      <c r="AP115" s="23"/>
    </row>
    <row r="116" spans="1:42" x14ac:dyDescent="0.25">
      <c r="A116" t="s">
        <v>621</v>
      </c>
      <c r="B116" t="s">
        <v>622</v>
      </c>
      <c r="C116" s="25">
        <v>0</v>
      </c>
      <c r="D116" s="25">
        <v>0</v>
      </c>
      <c r="E116" s="25">
        <v>0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192">
        <v>1.18</v>
      </c>
      <c r="L116" s="192">
        <v>1.18</v>
      </c>
      <c r="M116" s="192">
        <v>0</v>
      </c>
      <c r="N116" s="278"/>
      <c r="O116" s="278"/>
      <c r="P116" s="278"/>
      <c r="Q116" s="278"/>
      <c r="R116" s="278"/>
      <c r="S116" s="278"/>
      <c r="T116" s="278"/>
      <c r="U116" s="278"/>
      <c r="V116" s="278"/>
      <c r="W116" s="278"/>
      <c r="X116" s="278"/>
      <c r="Y116" s="282">
        <f>VLOOKUP(A116,'3121% SY'!$A$3:$M$600,13,FALSE)</f>
        <v>0.13149999999999995</v>
      </c>
      <c r="Z116" s="30">
        <f t="shared" si="28"/>
        <v>0</v>
      </c>
      <c r="AA116" s="31">
        <f t="shared" si="16"/>
        <v>0</v>
      </c>
      <c r="AB116" s="32">
        <f t="shared" si="17"/>
        <v>0</v>
      </c>
      <c r="AC116" s="28">
        <f t="shared" si="29"/>
        <v>25.23</v>
      </c>
      <c r="AD116" s="33">
        <f t="shared" si="18"/>
        <v>0</v>
      </c>
      <c r="AE116" s="33">
        <f t="shared" si="19"/>
        <v>0</v>
      </c>
      <c r="AF116" s="25">
        <f t="shared" si="20"/>
        <v>0</v>
      </c>
      <c r="AG116" s="25">
        <f t="shared" si="21"/>
        <v>0</v>
      </c>
      <c r="AH116" s="25">
        <f t="shared" si="22"/>
        <v>0</v>
      </c>
      <c r="AI116" s="25">
        <f t="shared" si="23"/>
        <v>0</v>
      </c>
      <c r="AJ116" s="25">
        <f t="shared" si="24"/>
        <v>0</v>
      </c>
      <c r="AK116" s="25">
        <f t="shared" si="25"/>
        <v>0</v>
      </c>
      <c r="AL116" s="25">
        <f t="shared" si="26"/>
        <v>0</v>
      </c>
      <c r="AM116" s="23">
        <f t="shared" si="27"/>
        <v>0</v>
      </c>
      <c r="AO116" s="23"/>
      <c r="AP116" s="23"/>
    </row>
    <row r="117" spans="1:42" x14ac:dyDescent="0.25">
      <c r="A117" t="s">
        <v>623</v>
      </c>
      <c r="B117" t="s">
        <v>624</v>
      </c>
      <c r="C117" s="25">
        <v>0</v>
      </c>
      <c r="D117" s="25">
        <v>0</v>
      </c>
      <c r="E117" s="25">
        <v>0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192">
        <v>1.18</v>
      </c>
      <c r="L117" s="192">
        <v>1.18</v>
      </c>
      <c r="M117" s="192">
        <v>0</v>
      </c>
      <c r="N117" s="278"/>
      <c r="O117" s="278"/>
      <c r="P117" s="278"/>
      <c r="Q117" s="278"/>
      <c r="R117" s="278"/>
      <c r="S117" s="278"/>
      <c r="T117" s="278"/>
      <c r="U117" s="278"/>
      <c r="V117" s="278"/>
      <c r="W117" s="278"/>
      <c r="X117" s="278"/>
      <c r="Y117" s="282">
        <f>VLOOKUP(A117,'3121% SY'!$A$3:$M$600,13,FALSE)</f>
        <v>0.10670000000000002</v>
      </c>
      <c r="Z117" s="30">
        <f t="shared" si="28"/>
        <v>0</v>
      </c>
      <c r="AA117" s="31">
        <f t="shared" si="16"/>
        <v>0</v>
      </c>
      <c r="AB117" s="32">
        <f t="shared" si="17"/>
        <v>0</v>
      </c>
      <c r="AC117" s="28">
        <f t="shared" si="29"/>
        <v>25.23</v>
      </c>
      <c r="AD117" s="33">
        <f t="shared" si="18"/>
        <v>0</v>
      </c>
      <c r="AE117" s="33">
        <f t="shared" si="19"/>
        <v>0</v>
      </c>
      <c r="AF117" s="25">
        <f t="shared" si="20"/>
        <v>0</v>
      </c>
      <c r="AG117" s="25">
        <f t="shared" si="21"/>
        <v>0</v>
      </c>
      <c r="AH117" s="25">
        <f t="shared" si="22"/>
        <v>0</v>
      </c>
      <c r="AI117" s="25">
        <f t="shared" si="23"/>
        <v>0</v>
      </c>
      <c r="AJ117" s="25">
        <f t="shared" si="24"/>
        <v>0</v>
      </c>
      <c r="AK117" s="25">
        <f t="shared" si="25"/>
        <v>0</v>
      </c>
      <c r="AL117" s="25">
        <f t="shared" si="26"/>
        <v>0</v>
      </c>
      <c r="AM117" s="23">
        <f t="shared" si="27"/>
        <v>0</v>
      </c>
      <c r="AO117" s="23"/>
      <c r="AP117" s="23"/>
    </row>
    <row r="118" spans="1:42" x14ac:dyDescent="0.25">
      <c r="A118" t="s">
        <v>625</v>
      </c>
      <c r="B118" t="s">
        <v>671</v>
      </c>
      <c r="C118" s="25">
        <v>10.8</v>
      </c>
      <c r="D118" s="25">
        <v>0</v>
      </c>
      <c r="E118" s="25">
        <v>1.08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192">
        <v>1.18</v>
      </c>
      <c r="L118" s="192">
        <v>1.18</v>
      </c>
      <c r="M118" s="192">
        <v>0</v>
      </c>
      <c r="N118" s="278"/>
      <c r="O118" s="278"/>
      <c r="P118" s="278"/>
      <c r="Q118" s="278"/>
      <c r="R118" s="278"/>
      <c r="S118" s="278"/>
      <c r="T118" s="278"/>
      <c r="U118" s="278"/>
      <c r="V118" s="278"/>
      <c r="W118" s="278"/>
      <c r="X118" s="278"/>
      <c r="Y118" s="282">
        <f>VLOOKUP(A118,'3121% SY'!$A$3:$M$600,13,FALSE)</f>
        <v>0.12790000000000001</v>
      </c>
      <c r="Z118" s="30">
        <f t="shared" si="28"/>
        <v>0</v>
      </c>
      <c r="AA118" s="31">
        <f t="shared" si="16"/>
        <v>1.08</v>
      </c>
      <c r="AB118" s="32">
        <f t="shared" si="17"/>
        <v>10</v>
      </c>
      <c r="AC118" s="28">
        <f t="shared" si="29"/>
        <v>17</v>
      </c>
      <c r="AD118" s="33">
        <f t="shared" si="18"/>
        <v>0.73399999999999999</v>
      </c>
      <c r="AE118" s="33">
        <f t="shared" si="19"/>
        <v>0</v>
      </c>
      <c r="AF118" s="25">
        <f t="shared" si="20"/>
        <v>62991.18</v>
      </c>
      <c r="AG118" s="25">
        <f t="shared" si="21"/>
        <v>4747.2000000000044</v>
      </c>
      <c r="AH118" s="25">
        <f t="shared" si="22"/>
        <v>9037.01</v>
      </c>
      <c r="AI118" s="25">
        <f t="shared" si="23"/>
        <v>1546.33</v>
      </c>
      <c r="AJ118" s="25">
        <f t="shared" si="24"/>
        <v>11432.9</v>
      </c>
      <c r="AK118" s="25">
        <f t="shared" si="25"/>
        <v>831.23</v>
      </c>
      <c r="AL118" s="25">
        <f t="shared" si="26"/>
        <v>1326.66</v>
      </c>
      <c r="AM118" s="23">
        <f t="shared" si="27"/>
        <v>91912.51</v>
      </c>
      <c r="AO118" s="23"/>
      <c r="AP118" s="23"/>
    </row>
    <row r="119" spans="1:42" x14ac:dyDescent="0.25">
      <c r="A119" t="s">
        <v>631</v>
      </c>
      <c r="B119" t="s">
        <v>1108</v>
      </c>
      <c r="C119" s="25">
        <v>364.2</v>
      </c>
      <c r="D119" s="25">
        <v>0</v>
      </c>
      <c r="E119" s="25">
        <v>21.32</v>
      </c>
      <c r="F119" s="25">
        <v>0</v>
      </c>
      <c r="G119" s="25">
        <v>2.2559999999999998</v>
      </c>
      <c r="H119" s="25">
        <v>0</v>
      </c>
      <c r="I119" s="25">
        <v>0</v>
      </c>
      <c r="J119" s="25">
        <v>0</v>
      </c>
      <c r="K119" s="192">
        <v>1.18</v>
      </c>
      <c r="L119" s="192">
        <v>1.18</v>
      </c>
      <c r="M119" s="192">
        <v>0</v>
      </c>
      <c r="N119" s="278"/>
      <c r="O119" s="278"/>
      <c r="P119" s="278"/>
      <c r="Q119" s="278"/>
      <c r="R119" s="278"/>
      <c r="S119" s="278"/>
      <c r="T119" s="278"/>
      <c r="U119" s="278"/>
      <c r="V119" s="278"/>
      <c r="W119" s="278"/>
      <c r="X119" s="278"/>
      <c r="Y119" s="282">
        <f>VLOOKUP(A119,'3121% SY'!$A$3:$M$600,13,FALSE)</f>
        <v>0.13149999999999995</v>
      </c>
      <c r="Z119" s="30">
        <f t="shared" si="28"/>
        <v>0.29699999999999999</v>
      </c>
      <c r="AA119" s="31">
        <f t="shared" si="16"/>
        <v>21.617000000000001</v>
      </c>
      <c r="AB119" s="32">
        <f t="shared" si="17"/>
        <v>16.850000000000001</v>
      </c>
      <c r="AC119" s="28">
        <f t="shared" si="29"/>
        <v>17</v>
      </c>
      <c r="AD119" s="33">
        <f t="shared" si="18"/>
        <v>24.744</v>
      </c>
      <c r="AE119" s="33">
        <f t="shared" si="19"/>
        <v>0</v>
      </c>
      <c r="AF119" s="25">
        <f t="shared" si="20"/>
        <v>2123506.33</v>
      </c>
      <c r="AG119" s="25">
        <f t="shared" si="21"/>
        <v>160033.79999999981</v>
      </c>
      <c r="AH119" s="25">
        <f t="shared" si="22"/>
        <v>304648.13</v>
      </c>
      <c r="AI119" s="25">
        <f t="shared" si="23"/>
        <v>52128.679999999993</v>
      </c>
      <c r="AJ119" s="25">
        <f t="shared" si="24"/>
        <v>385416.4</v>
      </c>
      <c r="AK119" s="25">
        <f t="shared" si="25"/>
        <v>28021.919999999998</v>
      </c>
      <c r="AL119" s="25">
        <f t="shared" si="26"/>
        <v>44723.13</v>
      </c>
      <c r="AM119" s="23">
        <f t="shared" si="27"/>
        <v>3098478.3899999997</v>
      </c>
      <c r="AO119" s="23"/>
      <c r="AP119" s="23"/>
    </row>
    <row r="120" spans="1:42" x14ac:dyDescent="0.25">
      <c r="A120" t="s">
        <v>654</v>
      </c>
      <c r="B120" t="s">
        <v>1109</v>
      </c>
      <c r="C120" s="25">
        <v>306.39999999999998</v>
      </c>
      <c r="D120" s="25">
        <v>0</v>
      </c>
      <c r="E120" s="25">
        <v>18.338000000000001</v>
      </c>
      <c r="F120" s="25">
        <v>0</v>
      </c>
      <c r="G120" s="25">
        <v>1.5369999999999999</v>
      </c>
      <c r="H120" s="25">
        <v>0</v>
      </c>
      <c r="I120" s="25">
        <v>0</v>
      </c>
      <c r="J120" s="25">
        <v>0</v>
      </c>
      <c r="K120" s="192">
        <v>1.18</v>
      </c>
      <c r="L120" s="192">
        <v>1.18</v>
      </c>
      <c r="M120" s="192">
        <v>0</v>
      </c>
      <c r="N120" s="278"/>
      <c r="O120" s="278"/>
      <c r="P120" s="278"/>
      <c r="Q120" s="278"/>
      <c r="R120" s="278"/>
      <c r="S120" s="278"/>
      <c r="T120" s="278"/>
      <c r="U120" s="278"/>
      <c r="V120" s="278"/>
      <c r="W120" s="278"/>
      <c r="X120" s="278"/>
      <c r="Y120" s="282">
        <f>VLOOKUP(A120,'3121% SY'!$A$3:$M$600,13,FALSE)</f>
        <v>9.9999999999999978E-2</v>
      </c>
      <c r="Z120" s="30">
        <f t="shared" si="28"/>
        <v>0.154</v>
      </c>
      <c r="AA120" s="31">
        <f t="shared" si="16"/>
        <v>18.492000000000001</v>
      </c>
      <c r="AB120" s="32">
        <f t="shared" si="17"/>
        <v>16.57</v>
      </c>
      <c r="AC120" s="28">
        <f t="shared" si="29"/>
        <v>17</v>
      </c>
      <c r="AD120" s="33">
        <f t="shared" si="18"/>
        <v>20.817</v>
      </c>
      <c r="AE120" s="33">
        <f t="shared" si="19"/>
        <v>0</v>
      </c>
      <c r="AF120" s="25">
        <f t="shared" si="20"/>
        <v>1786494.96</v>
      </c>
      <c r="AG120" s="25">
        <f t="shared" si="21"/>
        <v>134635.6100000001</v>
      </c>
      <c r="AH120" s="25">
        <f t="shared" si="22"/>
        <v>256298.9</v>
      </c>
      <c r="AI120" s="25">
        <f t="shared" si="23"/>
        <v>43855.59</v>
      </c>
      <c r="AJ120" s="25">
        <f t="shared" si="24"/>
        <v>324248.84000000003</v>
      </c>
      <c r="AK120" s="25">
        <f t="shared" si="25"/>
        <v>23574.7</v>
      </c>
      <c r="AL120" s="25">
        <f t="shared" si="26"/>
        <v>37625.339999999997</v>
      </c>
      <c r="AM120" s="23">
        <f t="shared" si="27"/>
        <v>2606733.94</v>
      </c>
      <c r="AO120" s="23"/>
      <c r="AP120" s="23"/>
    </row>
    <row r="121" spans="1:42" x14ac:dyDescent="0.25">
      <c r="A121" t="s">
        <v>674</v>
      </c>
      <c r="B121" t="s">
        <v>1115</v>
      </c>
      <c r="C121" s="25">
        <v>0</v>
      </c>
      <c r="D121" s="25">
        <v>0</v>
      </c>
      <c r="E121" s="25">
        <v>0</v>
      </c>
      <c r="F121" s="25">
        <v>0</v>
      </c>
      <c r="G121" s="25">
        <v>0</v>
      </c>
      <c r="H121" s="25">
        <v>0</v>
      </c>
      <c r="I121" s="25">
        <v>0</v>
      </c>
      <c r="J121" s="25">
        <v>0</v>
      </c>
      <c r="K121" s="192">
        <v>1.18</v>
      </c>
      <c r="L121" s="192">
        <v>1.18</v>
      </c>
      <c r="M121" s="192">
        <v>0</v>
      </c>
      <c r="N121" s="278"/>
      <c r="O121" s="278"/>
      <c r="P121" s="278"/>
      <c r="Q121" s="278"/>
      <c r="R121" s="278"/>
      <c r="S121" s="278"/>
      <c r="T121" s="278"/>
      <c r="U121" s="278"/>
      <c r="V121" s="278"/>
      <c r="W121" s="278"/>
      <c r="X121" s="278"/>
      <c r="Y121" s="282">
        <f>VLOOKUP(A121,'3121% SY'!$A$3:$M$600,13,FALSE)</f>
        <v>0.13880000000000003</v>
      </c>
      <c r="Z121" s="30">
        <f t="shared" si="28"/>
        <v>0</v>
      </c>
      <c r="AA121" s="31">
        <f t="shared" si="16"/>
        <v>0</v>
      </c>
      <c r="AB121" s="32">
        <f t="shared" si="17"/>
        <v>0</v>
      </c>
      <c r="AC121" s="28">
        <f t="shared" si="29"/>
        <v>25.23</v>
      </c>
      <c r="AD121" s="33">
        <f t="shared" si="18"/>
        <v>0</v>
      </c>
      <c r="AE121" s="33">
        <f t="shared" si="19"/>
        <v>0</v>
      </c>
      <c r="AF121" s="25">
        <f t="shared" si="20"/>
        <v>0</v>
      </c>
      <c r="AG121" s="25">
        <f t="shared" si="21"/>
        <v>0</v>
      </c>
      <c r="AH121" s="25">
        <f t="shared" si="22"/>
        <v>0</v>
      </c>
      <c r="AI121" s="25">
        <f t="shared" si="23"/>
        <v>0</v>
      </c>
      <c r="AJ121" s="25">
        <f t="shared" si="24"/>
        <v>0</v>
      </c>
      <c r="AK121" s="25">
        <f t="shared" si="25"/>
        <v>0</v>
      </c>
      <c r="AL121" s="25">
        <f t="shared" si="26"/>
        <v>0</v>
      </c>
      <c r="AM121" s="23">
        <f t="shared" si="27"/>
        <v>0</v>
      </c>
      <c r="AO121" s="23"/>
      <c r="AP121" s="23"/>
    </row>
    <row r="122" spans="1:42" x14ac:dyDescent="0.25">
      <c r="A122" t="s">
        <v>1111</v>
      </c>
      <c r="B122" t="s">
        <v>1112</v>
      </c>
      <c r="C122" s="25">
        <v>208.2</v>
      </c>
      <c r="D122" s="25">
        <v>0</v>
      </c>
      <c r="E122" s="25">
        <v>12.555</v>
      </c>
      <c r="F122" s="25">
        <v>0</v>
      </c>
      <c r="G122" s="25">
        <v>0.14000000000000001</v>
      </c>
      <c r="H122" s="25">
        <v>0</v>
      </c>
      <c r="I122" s="25">
        <v>0</v>
      </c>
      <c r="J122" s="25">
        <v>0</v>
      </c>
      <c r="K122" s="192">
        <v>1.18</v>
      </c>
      <c r="L122" s="192">
        <v>1.18</v>
      </c>
      <c r="M122" s="192">
        <v>0</v>
      </c>
      <c r="N122" s="278"/>
      <c r="O122" s="278"/>
      <c r="P122" s="278"/>
      <c r="Q122" s="278"/>
      <c r="R122" s="278"/>
      <c r="S122" s="278"/>
      <c r="T122" s="278"/>
      <c r="U122" s="278"/>
      <c r="V122" s="278"/>
      <c r="W122" s="278"/>
      <c r="X122" s="278"/>
      <c r="Y122" s="282">
        <f>VLOOKUP(A122,'3121% SY'!$A$3:$M$600,13,FALSE)</f>
        <v>7.999999999999996E-2</v>
      </c>
      <c r="Z122" s="30">
        <f t="shared" si="28"/>
        <v>1.0999999999999999E-2</v>
      </c>
      <c r="AA122" s="31">
        <f t="shared" si="16"/>
        <v>12.565999999999999</v>
      </c>
      <c r="AB122" s="32">
        <f t="shared" si="17"/>
        <v>16.57</v>
      </c>
      <c r="AC122" s="28">
        <f t="shared" si="29"/>
        <v>17</v>
      </c>
      <c r="AD122" s="33">
        <f t="shared" si="18"/>
        <v>14.145</v>
      </c>
      <c r="AE122" s="33">
        <f t="shared" si="19"/>
        <v>0</v>
      </c>
      <c r="AF122" s="25">
        <f t="shared" si="20"/>
        <v>1213910.32</v>
      </c>
      <c r="AG122" s="25">
        <f t="shared" si="21"/>
        <v>91483.919999999925</v>
      </c>
      <c r="AH122" s="25">
        <f t="shared" si="22"/>
        <v>174153.24</v>
      </c>
      <c r="AI122" s="25">
        <f t="shared" si="23"/>
        <v>29799.550000000017</v>
      </c>
      <c r="AJ122" s="25">
        <f t="shared" si="24"/>
        <v>220324.72</v>
      </c>
      <c r="AK122" s="25">
        <f t="shared" si="25"/>
        <v>16018.83</v>
      </c>
      <c r="AL122" s="25">
        <f t="shared" si="26"/>
        <v>25566.15</v>
      </c>
      <c r="AM122" s="23">
        <f t="shared" si="27"/>
        <v>1771256.73</v>
      </c>
      <c r="AO122" s="23"/>
      <c r="AP122" s="23"/>
    </row>
    <row r="123" spans="1:42" x14ac:dyDescent="0.25">
      <c r="A123" t="s">
        <v>116</v>
      </c>
      <c r="B123" t="s">
        <v>412</v>
      </c>
      <c r="C123" s="25">
        <v>1391.21</v>
      </c>
      <c r="D123" s="25">
        <v>0</v>
      </c>
      <c r="E123" s="25">
        <v>80.802000000000007</v>
      </c>
      <c r="F123" s="25">
        <v>0</v>
      </c>
      <c r="G123" s="25">
        <v>10.01</v>
      </c>
      <c r="H123" s="25">
        <v>0</v>
      </c>
      <c r="I123" s="25">
        <v>0</v>
      </c>
      <c r="J123" s="25">
        <v>0</v>
      </c>
      <c r="K123" s="192">
        <v>1.18</v>
      </c>
      <c r="L123" s="192">
        <v>1.18</v>
      </c>
      <c r="M123" s="192">
        <v>0</v>
      </c>
      <c r="N123" s="278"/>
      <c r="O123" s="278"/>
      <c r="P123" s="278"/>
      <c r="Q123" s="278"/>
      <c r="R123" s="278"/>
      <c r="S123" s="278"/>
      <c r="T123" s="278"/>
      <c r="U123" s="278"/>
      <c r="V123" s="278"/>
      <c r="W123" s="278"/>
      <c r="X123" s="278"/>
      <c r="Y123" s="282">
        <f>VLOOKUP(A123,'3121% SY'!$A$3:$M$600,13,FALSE)</f>
        <v>0.27090000000000003</v>
      </c>
      <c r="Z123" s="30">
        <f t="shared" si="28"/>
        <v>2.7120000000000002</v>
      </c>
      <c r="AA123" s="31">
        <f t="shared" si="16"/>
        <v>83.51400000000001</v>
      </c>
      <c r="AB123" s="32">
        <f t="shared" si="17"/>
        <v>16.66</v>
      </c>
      <c r="AC123" s="28">
        <f t="shared" si="29"/>
        <v>17</v>
      </c>
      <c r="AD123" s="33">
        <f t="shared" si="18"/>
        <v>94.52</v>
      </c>
      <c r="AE123" s="33">
        <f t="shared" si="19"/>
        <v>0</v>
      </c>
      <c r="AF123" s="25">
        <f t="shared" si="20"/>
        <v>8111615.6600000001</v>
      </c>
      <c r="AG123" s="25">
        <f t="shared" si="21"/>
        <v>611315.66000000015</v>
      </c>
      <c r="AH123" s="25">
        <f t="shared" si="22"/>
        <v>1163730.24</v>
      </c>
      <c r="AI123" s="25">
        <f t="shared" si="23"/>
        <v>199127.16999999993</v>
      </c>
      <c r="AJ123" s="25">
        <f t="shared" si="24"/>
        <v>1472258.24</v>
      </c>
      <c r="AK123" s="25">
        <f t="shared" si="25"/>
        <v>107041.37</v>
      </c>
      <c r="AL123" s="25">
        <f t="shared" si="26"/>
        <v>170838.61</v>
      </c>
      <c r="AM123" s="23">
        <f t="shared" si="27"/>
        <v>11835926.949999999</v>
      </c>
      <c r="AO123" s="23"/>
      <c r="AP123" s="23"/>
    </row>
    <row r="124" spans="1:42" x14ac:dyDescent="0.25">
      <c r="A124" t="s">
        <v>117</v>
      </c>
      <c r="B124" t="s">
        <v>413</v>
      </c>
      <c r="C124" s="25">
        <v>859.3</v>
      </c>
      <c r="D124" s="25">
        <v>0</v>
      </c>
      <c r="E124" s="25">
        <v>51.905999999999999</v>
      </c>
      <c r="F124" s="25">
        <v>0</v>
      </c>
      <c r="G124" s="25">
        <v>4.9390000000000001</v>
      </c>
      <c r="H124" s="25">
        <v>0</v>
      </c>
      <c r="I124" s="25">
        <v>0</v>
      </c>
      <c r="J124" s="25">
        <v>0</v>
      </c>
      <c r="K124" s="192">
        <v>1.18</v>
      </c>
      <c r="L124" s="192">
        <v>1.18</v>
      </c>
      <c r="M124" s="192">
        <v>4.0000000000000036E-2</v>
      </c>
      <c r="N124" s="278"/>
      <c r="O124" s="278"/>
      <c r="P124" s="278"/>
      <c r="Q124" s="278"/>
      <c r="R124" s="278"/>
      <c r="S124" s="278"/>
      <c r="T124" s="278"/>
      <c r="U124" s="278"/>
      <c r="V124" s="278"/>
      <c r="W124" s="278"/>
      <c r="X124" s="278"/>
      <c r="Y124" s="282">
        <f>VLOOKUP(A124,'3121% SY'!$A$3:$M$600,13,FALSE)</f>
        <v>0.20350000000000001</v>
      </c>
      <c r="Z124" s="30">
        <f t="shared" si="28"/>
        <v>1.0049999999999999</v>
      </c>
      <c r="AA124" s="31">
        <f t="shared" si="16"/>
        <v>52.911000000000001</v>
      </c>
      <c r="AB124" s="32">
        <f t="shared" si="17"/>
        <v>16.239999999999998</v>
      </c>
      <c r="AC124" s="28">
        <f t="shared" si="29"/>
        <v>17</v>
      </c>
      <c r="AD124" s="33">
        <f t="shared" si="18"/>
        <v>58.381999999999998</v>
      </c>
      <c r="AE124" s="33">
        <f t="shared" si="19"/>
        <v>0</v>
      </c>
      <c r="AF124" s="25">
        <f t="shared" si="20"/>
        <v>5010287.1900000004</v>
      </c>
      <c r="AG124" s="25">
        <f t="shared" si="21"/>
        <v>560230.16999999993</v>
      </c>
      <c r="AH124" s="25">
        <f t="shared" si="22"/>
        <v>718799.18</v>
      </c>
      <c r="AI124" s="25">
        <f t="shared" si="23"/>
        <v>122994.52999999991</v>
      </c>
      <c r="AJ124" s="25">
        <f t="shared" si="24"/>
        <v>909367.12</v>
      </c>
      <c r="AK124" s="25">
        <f t="shared" si="25"/>
        <v>98096.3</v>
      </c>
      <c r="AL124" s="25">
        <f t="shared" si="26"/>
        <v>109098.58</v>
      </c>
      <c r="AM124" s="23">
        <f t="shared" si="27"/>
        <v>7528873.0700000003</v>
      </c>
      <c r="AO124" s="23"/>
      <c r="AP124" s="23"/>
    </row>
    <row r="125" spans="1:42" x14ac:dyDescent="0.25">
      <c r="A125" t="s">
        <v>118</v>
      </c>
      <c r="B125" t="s">
        <v>414</v>
      </c>
      <c r="C125" s="25">
        <v>1479.23</v>
      </c>
      <c r="D125" s="25">
        <v>0</v>
      </c>
      <c r="E125" s="25">
        <v>85.284000000000006</v>
      </c>
      <c r="F125" s="25">
        <v>0</v>
      </c>
      <c r="G125" s="25">
        <v>8.1509999999999998</v>
      </c>
      <c r="H125" s="25">
        <v>0</v>
      </c>
      <c r="I125" s="25">
        <v>0</v>
      </c>
      <c r="J125" s="25">
        <v>0</v>
      </c>
      <c r="K125" s="192">
        <v>1.18</v>
      </c>
      <c r="L125" s="192">
        <v>1.18</v>
      </c>
      <c r="M125" s="192">
        <v>4.0000000000000036E-2</v>
      </c>
      <c r="N125" s="278"/>
      <c r="O125" s="278"/>
      <c r="P125" s="278"/>
      <c r="Q125" s="278"/>
      <c r="R125" s="278"/>
      <c r="S125" s="278"/>
      <c r="T125" s="278"/>
      <c r="U125" s="278"/>
      <c r="V125" s="278"/>
      <c r="W125" s="278"/>
      <c r="X125" s="278"/>
      <c r="Y125" s="282">
        <f>VLOOKUP(A125,'3121% SY'!$A$3:$M$600,13,FALSE)</f>
        <v>0.20020000000000004</v>
      </c>
      <c r="Z125" s="30">
        <f t="shared" si="28"/>
        <v>1.6319999999999999</v>
      </c>
      <c r="AA125" s="31">
        <f t="shared" si="16"/>
        <v>86.916000000000011</v>
      </c>
      <c r="AB125" s="32">
        <f t="shared" si="17"/>
        <v>17.02</v>
      </c>
      <c r="AC125" s="28">
        <f t="shared" si="29"/>
        <v>17.02</v>
      </c>
      <c r="AD125" s="33">
        <f t="shared" si="18"/>
        <v>100.383</v>
      </c>
      <c r="AE125" s="33">
        <f t="shared" si="19"/>
        <v>0</v>
      </c>
      <c r="AF125" s="25">
        <f t="shared" si="20"/>
        <v>8614772.6899999995</v>
      </c>
      <c r="AG125" s="25">
        <f t="shared" si="21"/>
        <v>963269.25</v>
      </c>
      <c r="AH125" s="25">
        <f t="shared" si="22"/>
        <v>1235915.5</v>
      </c>
      <c r="AI125" s="25">
        <f t="shared" si="23"/>
        <v>211478.87000000011</v>
      </c>
      <c r="AJ125" s="25">
        <f t="shared" si="24"/>
        <v>1563581.24</v>
      </c>
      <c r="AK125" s="25">
        <f t="shared" si="25"/>
        <v>168668.45</v>
      </c>
      <c r="AL125" s="25">
        <f t="shared" si="26"/>
        <v>187585.95</v>
      </c>
      <c r="AM125" s="23">
        <f t="shared" si="27"/>
        <v>12945271.949999997</v>
      </c>
      <c r="AO125" s="23"/>
      <c r="AP125" s="23"/>
    </row>
    <row r="126" spans="1:42" x14ac:dyDescent="0.25">
      <c r="A126" t="s">
        <v>119</v>
      </c>
      <c r="B126" t="s">
        <v>415</v>
      </c>
      <c r="C126" s="25">
        <v>3123.4</v>
      </c>
      <c r="D126" s="25">
        <v>0</v>
      </c>
      <c r="E126" s="25">
        <v>186.494</v>
      </c>
      <c r="F126" s="25">
        <v>0</v>
      </c>
      <c r="G126" s="25">
        <v>22.702999999999999</v>
      </c>
      <c r="H126" s="25">
        <v>0</v>
      </c>
      <c r="I126" s="25">
        <v>0</v>
      </c>
      <c r="J126" s="25">
        <v>0</v>
      </c>
      <c r="K126" s="192">
        <v>1.18</v>
      </c>
      <c r="L126" s="192">
        <v>1.18</v>
      </c>
      <c r="M126" s="192">
        <v>4.0000000000000036E-2</v>
      </c>
      <c r="N126" s="278"/>
      <c r="O126" s="278"/>
      <c r="P126" s="278"/>
      <c r="Q126" s="278"/>
      <c r="R126" s="278"/>
      <c r="S126" s="278"/>
      <c r="T126" s="278"/>
      <c r="U126" s="278"/>
      <c r="V126" s="278"/>
      <c r="W126" s="278"/>
      <c r="X126" s="278"/>
      <c r="Y126" s="282">
        <f>VLOOKUP(A126,'3121% SY'!$A$3:$M$600,13,FALSE)</f>
        <v>0.26370000000000005</v>
      </c>
      <c r="Z126" s="30">
        <f t="shared" si="28"/>
        <v>5.9870000000000001</v>
      </c>
      <c r="AA126" s="31">
        <f t="shared" si="16"/>
        <v>192.48099999999999</v>
      </c>
      <c r="AB126" s="32">
        <f t="shared" si="17"/>
        <v>16.23</v>
      </c>
      <c r="AC126" s="28">
        <f t="shared" si="29"/>
        <v>17</v>
      </c>
      <c r="AD126" s="33">
        <f t="shared" si="18"/>
        <v>212.20699999999999</v>
      </c>
      <c r="AE126" s="33">
        <f t="shared" si="19"/>
        <v>0</v>
      </c>
      <c r="AF126" s="25">
        <f t="shared" si="20"/>
        <v>18211401.02</v>
      </c>
      <c r="AG126" s="25">
        <f t="shared" si="21"/>
        <v>2036325.6400000006</v>
      </c>
      <c r="AH126" s="25">
        <f t="shared" si="22"/>
        <v>2612692.58</v>
      </c>
      <c r="AI126" s="25">
        <f t="shared" si="23"/>
        <v>447060.73999999976</v>
      </c>
      <c r="AJ126" s="25">
        <f t="shared" si="24"/>
        <v>3305369.29</v>
      </c>
      <c r="AK126" s="25">
        <f t="shared" si="25"/>
        <v>356560.62</v>
      </c>
      <c r="AL126" s="25">
        <f t="shared" si="26"/>
        <v>396551.73</v>
      </c>
      <c r="AM126" s="23">
        <f t="shared" si="27"/>
        <v>27365961.620000001</v>
      </c>
      <c r="AO126" s="23"/>
      <c r="AP126" s="23"/>
    </row>
    <row r="127" spans="1:42" x14ac:dyDescent="0.25">
      <c r="A127" t="s">
        <v>120</v>
      </c>
      <c r="B127" t="s">
        <v>416</v>
      </c>
      <c r="C127" s="25">
        <v>2781.57</v>
      </c>
      <c r="D127" s="25">
        <v>0</v>
      </c>
      <c r="E127" s="25">
        <v>168.74299999999999</v>
      </c>
      <c r="F127" s="25">
        <v>0</v>
      </c>
      <c r="G127" s="25">
        <v>23.838999999999999</v>
      </c>
      <c r="H127" s="25">
        <v>0</v>
      </c>
      <c r="I127" s="25">
        <v>0</v>
      </c>
      <c r="J127" s="25">
        <v>0</v>
      </c>
      <c r="K127" s="192">
        <v>1.18</v>
      </c>
      <c r="L127" s="192">
        <v>1.18</v>
      </c>
      <c r="M127" s="192">
        <v>0</v>
      </c>
      <c r="N127" s="278"/>
      <c r="O127" s="278"/>
      <c r="P127" s="278"/>
      <c r="Q127" s="278"/>
      <c r="R127" s="278"/>
      <c r="S127" s="278"/>
      <c r="T127" s="278"/>
      <c r="U127" s="278"/>
      <c r="V127" s="278"/>
      <c r="W127" s="278"/>
      <c r="X127" s="278"/>
      <c r="Y127" s="282">
        <f>VLOOKUP(A127,'3121% SY'!$A$3:$M$600,13,FALSE)</f>
        <v>0.28220000000000001</v>
      </c>
      <c r="Z127" s="30">
        <f t="shared" si="28"/>
        <v>6.7270000000000003</v>
      </c>
      <c r="AA127" s="31">
        <f t="shared" si="16"/>
        <v>175.47</v>
      </c>
      <c r="AB127" s="32">
        <f t="shared" si="17"/>
        <v>15.85</v>
      </c>
      <c r="AC127" s="28">
        <f t="shared" si="29"/>
        <v>17</v>
      </c>
      <c r="AD127" s="33">
        <f t="shared" si="18"/>
        <v>188.983</v>
      </c>
      <c r="AE127" s="33">
        <f t="shared" si="19"/>
        <v>0</v>
      </c>
      <c r="AF127" s="25">
        <f t="shared" si="20"/>
        <v>16218339.640000001</v>
      </c>
      <c r="AG127" s="25">
        <f t="shared" si="21"/>
        <v>1222262.6699999981</v>
      </c>
      <c r="AH127" s="25">
        <f t="shared" si="22"/>
        <v>2326758.7000000002</v>
      </c>
      <c r="AI127" s="25">
        <f t="shared" si="23"/>
        <v>398134.25999999978</v>
      </c>
      <c r="AJ127" s="25">
        <f t="shared" si="24"/>
        <v>2943628.64</v>
      </c>
      <c r="AK127" s="25">
        <f t="shared" si="25"/>
        <v>214018.19</v>
      </c>
      <c r="AL127" s="25">
        <f t="shared" si="26"/>
        <v>341574.2</v>
      </c>
      <c r="AM127" s="23">
        <f t="shared" si="27"/>
        <v>23664716.299999997</v>
      </c>
      <c r="AO127" s="23"/>
      <c r="AP127" s="23"/>
    </row>
    <row r="128" spans="1:42" x14ac:dyDescent="0.25">
      <c r="A128" t="s">
        <v>652</v>
      </c>
      <c r="B128" t="s">
        <v>653</v>
      </c>
      <c r="C128" s="25">
        <v>220.2</v>
      </c>
      <c r="D128" s="25">
        <v>0</v>
      </c>
      <c r="E128" s="25">
        <v>12.659000000000001</v>
      </c>
      <c r="F128" s="25">
        <v>0</v>
      </c>
      <c r="G128" s="25">
        <v>0</v>
      </c>
      <c r="H128" s="25">
        <v>0</v>
      </c>
      <c r="I128" s="25">
        <v>0</v>
      </c>
      <c r="J128" s="25">
        <v>0</v>
      </c>
      <c r="K128" s="192">
        <v>1.18</v>
      </c>
      <c r="L128" s="192">
        <v>1.18</v>
      </c>
      <c r="M128" s="192">
        <v>0</v>
      </c>
      <c r="N128" s="278"/>
      <c r="O128" s="278"/>
      <c r="P128" s="278"/>
      <c r="Q128" s="278"/>
      <c r="R128" s="278"/>
      <c r="S128" s="278"/>
      <c r="T128" s="278"/>
      <c r="U128" s="278"/>
      <c r="V128" s="278"/>
      <c r="W128" s="278"/>
      <c r="X128" s="278"/>
      <c r="Y128" s="282">
        <f>VLOOKUP(A128,'3121% SY'!$A$3:$M$600,13,FALSE)</f>
        <v>0.10029999999999994</v>
      </c>
      <c r="Z128" s="30">
        <f t="shared" si="28"/>
        <v>0</v>
      </c>
      <c r="AA128" s="31">
        <f t="shared" si="16"/>
        <v>12.659000000000001</v>
      </c>
      <c r="AB128" s="32">
        <f t="shared" si="17"/>
        <v>17.39</v>
      </c>
      <c r="AC128" s="28">
        <f t="shared" si="29"/>
        <v>17.39</v>
      </c>
      <c r="AD128" s="33">
        <f t="shared" si="18"/>
        <v>14.625</v>
      </c>
      <c r="AE128" s="33">
        <f t="shared" si="19"/>
        <v>0</v>
      </c>
      <c r="AF128" s="25">
        <f t="shared" si="20"/>
        <v>1255103.46</v>
      </c>
      <c r="AG128" s="25">
        <f t="shared" si="21"/>
        <v>94588.360000000102</v>
      </c>
      <c r="AH128" s="25">
        <f t="shared" si="22"/>
        <v>180063</v>
      </c>
      <c r="AI128" s="25">
        <f t="shared" si="23"/>
        <v>30810.78</v>
      </c>
      <c r="AJ128" s="25">
        <f t="shared" si="24"/>
        <v>227801.28</v>
      </c>
      <c r="AK128" s="25">
        <f t="shared" si="25"/>
        <v>16562.419999999998</v>
      </c>
      <c r="AL128" s="25">
        <f t="shared" si="26"/>
        <v>26433.71</v>
      </c>
      <c r="AM128" s="23">
        <f t="shared" si="27"/>
        <v>1831363.01</v>
      </c>
      <c r="AO128" s="23"/>
      <c r="AP128" s="23"/>
    </row>
    <row r="129" spans="1:42" x14ac:dyDescent="0.25">
      <c r="A129" t="s">
        <v>121</v>
      </c>
      <c r="B129" t="s">
        <v>417</v>
      </c>
      <c r="C129" s="25">
        <v>0</v>
      </c>
      <c r="D129" s="25">
        <v>0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192">
        <v>1.18</v>
      </c>
      <c r="L129" s="192">
        <v>1.18</v>
      </c>
      <c r="M129" s="192">
        <v>0</v>
      </c>
      <c r="N129" s="278"/>
      <c r="O129" s="278"/>
      <c r="P129" s="278"/>
      <c r="Q129" s="278"/>
      <c r="R129" s="278"/>
      <c r="S129" s="278"/>
      <c r="T129" s="278"/>
      <c r="U129" s="278"/>
      <c r="V129" s="278"/>
      <c r="W129" s="278"/>
      <c r="X129" s="278"/>
      <c r="Y129" s="282">
        <f>VLOOKUP(A129,'3121% SY'!$A$3:$M$600,13,FALSE)</f>
        <v>0.13900000000000001</v>
      </c>
      <c r="Z129" s="30">
        <f t="shared" si="28"/>
        <v>0</v>
      </c>
      <c r="AA129" s="31">
        <f t="shared" si="16"/>
        <v>0</v>
      </c>
      <c r="AB129" s="32">
        <f t="shared" si="17"/>
        <v>0</v>
      </c>
      <c r="AC129" s="28">
        <f t="shared" si="29"/>
        <v>25.23</v>
      </c>
      <c r="AD129" s="33">
        <f t="shared" si="18"/>
        <v>0</v>
      </c>
      <c r="AE129" s="33">
        <f t="shared" si="19"/>
        <v>0</v>
      </c>
      <c r="AF129" s="25">
        <f t="shared" si="20"/>
        <v>0</v>
      </c>
      <c r="AG129" s="25">
        <f t="shared" si="21"/>
        <v>0</v>
      </c>
      <c r="AH129" s="25">
        <f t="shared" si="22"/>
        <v>0</v>
      </c>
      <c r="AI129" s="25">
        <f t="shared" si="23"/>
        <v>0</v>
      </c>
      <c r="AJ129" s="25">
        <f t="shared" si="24"/>
        <v>0</v>
      </c>
      <c r="AK129" s="25">
        <f t="shared" si="25"/>
        <v>0</v>
      </c>
      <c r="AL129" s="25">
        <f t="shared" si="26"/>
        <v>0</v>
      </c>
      <c r="AM129" s="23">
        <f t="shared" si="27"/>
        <v>0</v>
      </c>
      <c r="AO129" s="23"/>
      <c r="AP129" s="23"/>
    </row>
    <row r="130" spans="1:42" x14ac:dyDescent="0.25">
      <c r="A130" t="s">
        <v>122</v>
      </c>
      <c r="B130" t="s">
        <v>418</v>
      </c>
      <c r="C130" s="25">
        <v>31.4</v>
      </c>
      <c r="D130" s="25">
        <v>0</v>
      </c>
      <c r="E130" s="25">
        <v>1.333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  <c r="K130" s="192">
        <v>1</v>
      </c>
      <c r="L130" s="192">
        <v>1</v>
      </c>
      <c r="M130" s="192">
        <v>4.0000000000000036E-2</v>
      </c>
      <c r="N130" s="278"/>
      <c r="O130" s="278"/>
      <c r="P130" s="278"/>
      <c r="Q130" s="278"/>
      <c r="R130" s="278"/>
      <c r="S130" s="278"/>
      <c r="T130" s="278"/>
      <c r="U130" s="278"/>
      <c r="V130" s="278"/>
      <c r="W130" s="278"/>
      <c r="X130" s="278"/>
      <c r="Y130" s="282">
        <f>VLOOKUP(A130,'3121% SY'!$A$3:$M$600,13,FALSE)</f>
        <v>7.999999999999996E-2</v>
      </c>
      <c r="Z130" s="30">
        <f t="shared" si="28"/>
        <v>0</v>
      </c>
      <c r="AA130" s="31">
        <f t="shared" si="16"/>
        <v>1.333</v>
      </c>
      <c r="AB130" s="32">
        <f t="shared" si="17"/>
        <v>23.56</v>
      </c>
      <c r="AC130" s="28">
        <f t="shared" si="29"/>
        <v>23.56</v>
      </c>
      <c r="AD130" s="33">
        <f t="shared" si="18"/>
        <v>1.5389999999999999</v>
      </c>
      <c r="AE130" s="33">
        <f t="shared" si="19"/>
        <v>0</v>
      </c>
      <c r="AF130" s="25">
        <f t="shared" si="20"/>
        <v>111928.39</v>
      </c>
      <c r="AG130" s="25">
        <f t="shared" si="21"/>
        <v>13249.809999999998</v>
      </c>
      <c r="AH130" s="25">
        <f t="shared" si="22"/>
        <v>18948.169999999998</v>
      </c>
      <c r="AI130" s="25">
        <f t="shared" si="23"/>
        <v>3242.2400000000016</v>
      </c>
      <c r="AJ130" s="25">
        <f t="shared" si="24"/>
        <v>20315</v>
      </c>
      <c r="AK130" s="25">
        <f t="shared" si="25"/>
        <v>2320.04</v>
      </c>
      <c r="AL130" s="25">
        <f t="shared" si="26"/>
        <v>2451.61</v>
      </c>
      <c r="AM130" s="23">
        <f t="shared" si="27"/>
        <v>172455.25999999998</v>
      </c>
      <c r="AO130" s="23"/>
      <c r="AP130" s="23"/>
    </row>
    <row r="131" spans="1:42" x14ac:dyDescent="0.25">
      <c r="A131" t="s">
        <v>123</v>
      </c>
      <c r="B131" t="s">
        <v>419</v>
      </c>
      <c r="C131" s="25">
        <v>19.2</v>
      </c>
      <c r="D131" s="25">
        <v>0</v>
      </c>
      <c r="E131" s="25">
        <v>2</v>
      </c>
      <c r="F131" s="25">
        <v>0</v>
      </c>
      <c r="G131" s="25">
        <v>0.2</v>
      </c>
      <c r="H131" s="25">
        <v>0</v>
      </c>
      <c r="I131" s="25">
        <v>0</v>
      </c>
      <c r="J131" s="25">
        <v>0</v>
      </c>
      <c r="K131" s="192">
        <v>1.1200000000000001</v>
      </c>
      <c r="L131" s="192">
        <v>1.1200000000000001</v>
      </c>
      <c r="M131" s="192">
        <v>0</v>
      </c>
      <c r="N131" s="278"/>
      <c r="O131" s="278"/>
      <c r="P131" s="278"/>
      <c r="Q131" s="278"/>
      <c r="R131" s="278"/>
      <c r="S131" s="278"/>
      <c r="T131" s="278"/>
      <c r="U131" s="278"/>
      <c r="V131" s="278"/>
      <c r="W131" s="278"/>
      <c r="X131" s="278"/>
      <c r="Y131" s="282">
        <f>VLOOKUP(A131,'3121% SY'!$A$3:$M$600,13,FALSE)</f>
        <v>0.16139999999999999</v>
      </c>
      <c r="Z131" s="30">
        <f t="shared" si="28"/>
        <v>3.2000000000000001E-2</v>
      </c>
      <c r="AA131" s="31">
        <f t="shared" ref="AA131:AA182" si="30">SUM(Z131,E131,F131,H131,I131)</f>
        <v>2.032</v>
      </c>
      <c r="AB131" s="32">
        <f t="shared" ref="AB131:AB182" si="31">IFERROR(ROUND(($C131+$D131)/AA131,2),0)</f>
        <v>9.4499999999999993</v>
      </c>
      <c r="AC131" s="28">
        <f t="shared" si="29"/>
        <v>17</v>
      </c>
      <c r="AD131" s="33">
        <f t="shared" ref="AD131:AD182" si="32">ROUND($C131/$AC131*1.155,3)</f>
        <v>1.304</v>
      </c>
      <c r="AE131" s="33">
        <f t="shared" ref="AE131:AE182" si="33">ROUND($D131/$AC131*1.155,3)</f>
        <v>0</v>
      </c>
      <c r="AF131" s="25">
        <f t="shared" ref="AF131:AF194" si="34">ROUND(($AD131+$AE131)*CIS_Base*K131,2)</f>
        <v>106217.79</v>
      </c>
      <c r="AG131" s="25">
        <f t="shared" ref="AG131:AG194" si="35">ROUND(($AD131+$AE131)*CIS_Inc*(L131+M131),2)-AF131</f>
        <v>8004.8899999999994</v>
      </c>
      <c r="AH131" s="25">
        <f t="shared" ref="AH131:AH194" si="36">ROUND(($AD131+$AE131)*Ins_Base,2)</f>
        <v>16054.85</v>
      </c>
      <c r="AI131" s="25">
        <f t="shared" ref="AI131:AI194" si="37">ROUND(($AD131+$AE131)*CIS_Ins_Inc,2)-AH131</f>
        <v>2747.159999999998</v>
      </c>
      <c r="AJ131" s="25">
        <f t="shared" ref="AJ131:AJ194" si="38">ROUND(AF131*CIS_Ben_Base,2)</f>
        <v>19278.53</v>
      </c>
      <c r="AK131" s="25">
        <f t="shared" ref="AK131:AK194" si="39">ROUND(AG131*CIS_Ben_Inc,2)</f>
        <v>1401.66</v>
      </c>
      <c r="AL131" s="25">
        <f t="shared" ref="AL131:AL194" si="40">ROUND((($AD131+$AE131)*CIS_Inc*(L131+M131)/180)*3+((($AD131+$AE131)*CIS_Inc*(L131+M131)/180)*3)*CIS_Ben_Inc,2)</f>
        <v>2237.0500000000002</v>
      </c>
      <c r="AM131" s="23">
        <f t="shared" ref="AM131:AM182" si="41">SUM(AF131:AL131)</f>
        <v>155941.93</v>
      </c>
      <c r="AO131" s="23"/>
      <c r="AP131" s="23"/>
    </row>
    <row r="132" spans="1:42" x14ac:dyDescent="0.25">
      <c r="A132" t="s">
        <v>124</v>
      </c>
      <c r="B132" t="s">
        <v>420</v>
      </c>
      <c r="C132" s="25">
        <v>82.83</v>
      </c>
      <c r="D132" s="25">
        <v>16.8</v>
      </c>
      <c r="E132" s="25">
        <v>5.7080000000000002</v>
      </c>
      <c r="F132" s="25">
        <v>1.1299999999999999</v>
      </c>
      <c r="G132" s="25">
        <v>0.4</v>
      </c>
      <c r="H132" s="25">
        <v>0</v>
      </c>
      <c r="I132" s="25">
        <v>0</v>
      </c>
      <c r="J132" s="25">
        <v>0</v>
      </c>
      <c r="K132" s="192">
        <v>1.06</v>
      </c>
      <c r="L132" s="192">
        <v>1.06</v>
      </c>
      <c r="M132" s="192">
        <v>0</v>
      </c>
      <c r="N132" s="278"/>
      <c r="O132" s="278"/>
      <c r="P132" s="278"/>
      <c r="Q132" s="278"/>
      <c r="R132" s="278"/>
      <c r="S132" s="278"/>
      <c r="T132" s="278"/>
      <c r="U132" s="278"/>
      <c r="V132" s="278"/>
      <c r="W132" s="278"/>
      <c r="X132" s="278"/>
      <c r="Y132" s="282">
        <f>VLOOKUP(A132,'3121% SY'!$A$3:$M$600,13,FALSE)</f>
        <v>9.8899999999999988E-2</v>
      </c>
      <c r="Z132" s="30">
        <f t="shared" ref="Z132:Z195" si="42">ROUND(Y132*G132,3)+ROUND(J132*Y132,3)</f>
        <v>0.04</v>
      </c>
      <c r="AA132" s="31">
        <f t="shared" si="30"/>
        <v>6.8780000000000001</v>
      </c>
      <c r="AB132" s="32">
        <f t="shared" si="31"/>
        <v>14.49</v>
      </c>
      <c r="AC132" s="28">
        <f t="shared" ref="AC132:AC195" si="43">IF(OR(SUM(C132:D132)=0,SUM(E132:G132)=0),25.23,IF(AB132&gt;$AC$2,IF(AB132&gt;25.23,25.23,AB132),$AC$2))</f>
        <v>17</v>
      </c>
      <c r="AD132" s="33">
        <f t="shared" si="32"/>
        <v>5.6280000000000001</v>
      </c>
      <c r="AE132" s="33">
        <f t="shared" si="33"/>
        <v>1.141</v>
      </c>
      <c r="AF132" s="25">
        <f t="shared" si="34"/>
        <v>521833.58</v>
      </c>
      <c r="AG132" s="25">
        <f t="shared" si="35"/>
        <v>39326.94</v>
      </c>
      <c r="AH132" s="25">
        <f t="shared" si="36"/>
        <v>83339.929999999993</v>
      </c>
      <c r="AI132" s="25">
        <f t="shared" si="37"/>
        <v>14260.390000000014</v>
      </c>
      <c r="AJ132" s="25">
        <f t="shared" si="38"/>
        <v>94712.79</v>
      </c>
      <c r="AK132" s="25">
        <f t="shared" si="39"/>
        <v>6886.15</v>
      </c>
      <c r="AL132" s="25">
        <f t="shared" si="40"/>
        <v>10990.33</v>
      </c>
      <c r="AM132" s="23">
        <f t="shared" si="41"/>
        <v>771350.11</v>
      </c>
      <c r="AO132" s="23"/>
      <c r="AP132" s="23"/>
    </row>
    <row r="133" spans="1:42" x14ac:dyDescent="0.25">
      <c r="A133" t="s">
        <v>125</v>
      </c>
      <c r="B133" t="s">
        <v>421</v>
      </c>
      <c r="C133" s="25">
        <v>918.57</v>
      </c>
      <c r="D133" s="25">
        <v>35.200000000000003</v>
      </c>
      <c r="E133" s="25">
        <v>54.098999999999997</v>
      </c>
      <c r="F133" s="25">
        <v>3</v>
      </c>
      <c r="G133" s="25">
        <v>3.6</v>
      </c>
      <c r="H133" s="25">
        <v>0</v>
      </c>
      <c r="I133" s="25">
        <v>0</v>
      </c>
      <c r="J133" s="25">
        <v>0</v>
      </c>
      <c r="K133" s="192">
        <v>1</v>
      </c>
      <c r="L133" s="192">
        <v>1</v>
      </c>
      <c r="M133" s="192">
        <v>0</v>
      </c>
      <c r="N133" s="278"/>
      <c r="O133" s="278"/>
      <c r="P133" s="278"/>
      <c r="Q133" s="278"/>
      <c r="R133" s="278"/>
      <c r="S133" s="278"/>
      <c r="T133" s="278"/>
      <c r="U133" s="278"/>
      <c r="V133" s="278"/>
      <c r="W133" s="278"/>
      <c r="X133" s="278"/>
      <c r="Y133" s="282">
        <f>VLOOKUP(A133,'3121% SY'!$A$3:$M$600,13,FALSE)</f>
        <v>0.22750000000000004</v>
      </c>
      <c r="Z133" s="30">
        <f t="shared" si="42"/>
        <v>0.81899999999999995</v>
      </c>
      <c r="AA133" s="31">
        <f t="shared" si="30"/>
        <v>57.917999999999999</v>
      </c>
      <c r="AB133" s="32">
        <f t="shared" si="31"/>
        <v>16.47</v>
      </c>
      <c r="AC133" s="28">
        <f t="shared" si="43"/>
        <v>17</v>
      </c>
      <c r="AD133" s="33">
        <f t="shared" si="32"/>
        <v>62.408999999999999</v>
      </c>
      <c r="AE133" s="33">
        <f t="shared" si="33"/>
        <v>2.3919999999999999</v>
      </c>
      <c r="AF133" s="25">
        <f t="shared" si="34"/>
        <v>4712847.13</v>
      </c>
      <c r="AG133" s="25">
        <f t="shared" si="35"/>
        <v>355174.28000000026</v>
      </c>
      <c r="AH133" s="25">
        <f t="shared" si="36"/>
        <v>797829.91</v>
      </c>
      <c r="AI133" s="25">
        <f t="shared" si="37"/>
        <v>136517.55999999994</v>
      </c>
      <c r="AJ133" s="25">
        <f t="shared" si="38"/>
        <v>855381.75</v>
      </c>
      <c r="AK133" s="25">
        <f t="shared" si="39"/>
        <v>62191.02</v>
      </c>
      <c r="AL133" s="25">
        <f t="shared" si="40"/>
        <v>99257.2</v>
      </c>
      <c r="AM133" s="23">
        <f t="shared" si="41"/>
        <v>7019198.8499999996</v>
      </c>
      <c r="AO133" s="23"/>
      <c r="AP133" s="23"/>
    </row>
    <row r="134" spans="1:42" x14ac:dyDescent="0.25">
      <c r="A134" t="s">
        <v>126</v>
      </c>
      <c r="B134" t="s">
        <v>422</v>
      </c>
      <c r="C134" s="25">
        <v>152</v>
      </c>
      <c r="D134" s="25">
        <v>18</v>
      </c>
      <c r="E134" s="25">
        <v>8.7710000000000008</v>
      </c>
      <c r="F134" s="25">
        <v>1.492</v>
      </c>
      <c r="G134" s="25">
        <v>1.1499999999999999</v>
      </c>
      <c r="H134" s="25">
        <v>0</v>
      </c>
      <c r="I134" s="25">
        <v>0</v>
      </c>
      <c r="J134" s="25">
        <v>0</v>
      </c>
      <c r="K134" s="192">
        <v>1</v>
      </c>
      <c r="L134" s="192">
        <v>1</v>
      </c>
      <c r="M134" s="192">
        <v>0</v>
      </c>
      <c r="N134" s="278"/>
      <c r="O134" s="278"/>
      <c r="P134" s="278"/>
      <c r="Q134" s="278"/>
      <c r="R134" s="278"/>
      <c r="S134" s="278"/>
      <c r="T134" s="278"/>
      <c r="U134" s="278"/>
      <c r="V134" s="278"/>
      <c r="W134" s="278"/>
      <c r="X134" s="278"/>
      <c r="Y134" s="282">
        <f>VLOOKUP(A134,'3121% SY'!$A$3:$M$600,13,FALSE)</f>
        <v>0.21870000000000001</v>
      </c>
      <c r="Z134" s="30">
        <f t="shared" si="42"/>
        <v>0.252</v>
      </c>
      <c r="AA134" s="31">
        <f t="shared" si="30"/>
        <v>10.515000000000001</v>
      </c>
      <c r="AB134" s="32">
        <f t="shared" si="31"/>
        <v>16.170000000000002</v>
      </c>
      <c r="AC134" s="28">
        <f t="shared" si="43"/>
        <v>17</v>
      </c>
      <c r="AD134" s="33">
        <f t="shared" si="32"/>
        <v>10.327</v>
      </c>
      <c r="AE134" s="33">
        <f t="shared" si="33"/>
        <v>1.2230000000000001</v>
      </c>
      <c r="AF134" s="25">
        <f t="shared" si="34"/>
        <v>840008.4</v>
      </c>
      <c r="AG134" s="25">
        <f t="shared" si="35"/>
        <v>63305.54999999993</v>
      </c>
      <c r="AH134" s="25">
        <f t="shared" si="36"/>
        <v>142203.6</v>
      </c>
      <c r="AI134" s="25">
        <f t="shared" si="37"/>
        <v>24332.619999999995</v>
      </c>
      <c r="AJ134" s="25">
        <f t="shared" si="38"/>
        <v>152461.51999999999</v>
      </c>
      <c r="AK134" s="25">
        <f t="shared" si="39"/>
        <v>11084.8</v>
      </c>
      <c r="AL134" s="25">
        <f t="shared" si="40"/>
        <v>17691.400000000001</v>
      </c>
      <c r="AM134" s="23">
        <f t="shared" si="41"/>
        <v>1251087.8899999999</v>
      </c>
      <c r="AO134" s="23"/>
      <c r="AP134" s="23"/>
    </row>
    <row r="135" spans="1:42" x14ac:dyDescent="0.25">
      <c r="A135" t="s">
        <v>127</v>
      </c>
      <c r="B135" t="s">
        <v>423</v>
      </c>
      <c r="C135" s="25">
        <v>291.35000000000002</v>
      </c>
      <c r="D135" s="25">
        <v>48</v>
      </c>
      <c r="E135" s="25">
        <v>19.626000000000001</v>
      </c>
      <c r="F135" s="25">
        <v>0</v>
      </c>
      <c r="G135" s="25">
        <v>1</v>
      </c>
      <c r="H135" s="25">
        <v>0</v>
      </c>
      <c r="I135" s="25">
        <v>0</v>
      </c>
      <c r="J135" s="25">
        <v>0</v>
      </c>
      <c r="K135" s="192">
        <v>1.06</v>
      </c>
      <c r="L135" s="192">
        <v>1.06</v>
      </c>
      <c r="M135" s="192">
        <v>0</v>
      </c>
      <c r="N135" s="278"/>
      <c r="O135" s="278"/>
      <c r="P135" s="278"/>
      <c r="Q135" s="278"/>
      <c r="R135" s="278"/>
      <c r="S135" s="278"/>
      <c r="T135" s="278"/>
      <c r="U135" s="278"/>
      <c r="V135" s="278"/>
      <c r="W135" s="278"/>
      <c r="X135" s="278"/>
      <c r="Y135" s="282">
        <f>VLOOKUP(A135,'3121% SY'!$A$3:$M$600,13,FALSE)</f>
        <v>0.17500000000000004</v>
      </c>
      <c r="Z135" s="30">
        <f t="shared" si="42"/>
        <v>0.17499999999999999</v>
      </c>
      <c r="AA135" s="31">
        <f t="shared" si="30"/>
        <v>19.801000000000002</v>
      </c>
      <c r="AB135" s="32">
        <f t="shared" si="31"/>
        <v>17.14</v>
      </c>
      <c r="AC135" s="28">
        <f t="shared" si="43"/>
        <v>17.14</v>
      </c>
      <c r="AD135" s="33">
        <f t="shared" si="32"/>
        <v>19.632999999999999</v>
      </c>
      <c r="AE135" s="33">
        <f t="shared" si="33"/>
        <v>3.2349999999999999</v>
      </c>
      <c r="AF135" s="25">
        <f t="shared" si="34"/>
        <v>1762932.54</v>
      </c>
      <c r="AG135" s="25">
        <f t="shared" si="35"/>
        <v>132859.87999999989</v>
      </c>
      <c r="AH135" s="25">
        <f t="shared" si="36"/>
        <v>281550.82</v>
      </c>
      <c r="AI135" s="25">
        <f t="shared" si="37"/>
        <v>48176.469999999972</v>
      </c>
      <c r="AJ135" s="25">
        <f t="shared" si="38"/>
        <v>319972.26</v>
      </c>
      <c r="AK135" s="25">
        <f t="shared" si="39"/>
        <v>23263.759999999998</v>
      </c>
      <c r="AL135" s="25">
        <f t="shared" si="40"/>
        <v>37129.089999999997</v>
      </c>
      <c r="AM135" s="23">
        <f t="shared" si="41"/>
        <v>2605884.8199999994</v>
      </c>
      <c r="AO135" s="23"/>
      <c r="AP135" s="23"/>
    </row>
    <row r="136" spans="1:42" x14ac:dyDescent="0.25">
      <c r="A136" t="s">
        <v>128</v>
      </c>
      <c r="B136" t="s">
        <v>424</v>
      </c>
      <c r="C136" s="25">
        <v>28</v>
      </c>
      <c r="D136" s="25">
        <v>0</v>
      </c>
      <c r="E136" s="25">
        <v>2</v>
      </c>
      <c r="F136" s="25">
        <v>0</v>
      </c>
      <c r="G136" s="25">
        <v>0</v>
      </c>
      <c r="H136" s="25">
        <v>0</v>
      </c>
      <c r="I136" s="25">
        <v>0</v>
      </c>
      <c r="J136" s="25">
        <v>0</v>
      </c>
      <c r="K136" s="192">
        <v>1</v>
      </c>
      <c r="L136" s="192">
        <v>1</v>
      </c>
      <c r="M136" s="192">
        <v>0</v>
      </c>
      <c r="N136" s="278"/>
      <c r="O136" s="278"/>
      <c r="P136" s="278"/>
      <c r="Q136" s="278"/>
      <c r="R136" s="278"/>
      <c r="S136" s="278"/>
      <c r="T136" s="278"/>
      <c r="U136" s="278"/>
      <c r="V136" s="278"/>
      <c r="W136" s="278"/>
      <c r="X136" s="278"/>
      <c r="Y136" s="282">
        <f>VLOOKUP(A136,'3121% SY'!$A$3:$M$600,13,FALSE)</f>
        <v>0.19130000000000003</v>
      </c>
      <c r="Z136" s="30">
        <f t="shared" si="42"/>
        <v>0</v>
      </c>
      <c r="AA136" s="31">
        <f t="shared" si="30"/>
        <v>2</v>
      </c>
      <c r="AB136" s="32">
        <f t="shared" si="31"/>
        <v>14</v>
      </c>
      <c r="AC136" s="28">
        <f t="shared" si="43"/>
        <v>17</v>
      </c>
      <c r="AD136" s="33">
        <f t="shared" si="32"/>
        <v>1.9019999999999999</v>
      </c>
      <c r="AE136" s="33">
        <f t="shared" si="33"/>
        <v>0</v>
      </c>
      <c r="AF136" s="25">
        <f t="shared" si="34"/>
        <v>138328.66</v>
      </c>
      <c r="AG136" s="25">
        <f t="shared" si="35"/>
        <v>10424.859999999986</v>
      </c>
      <c r="AH136" s="25">
        <f t="shared" si="36"/>
        <v>23417.42</v>
      </c>
      <c r="AI136" s="25">
        <f t="shared" si="37"/>
        <v>4006.9900000000016</v>
      </c>
      <c r="AJ136" s="25">
        <f t="shared" si="38"/>
        <v>25106.65</v>
      </c>
      <c r="AK136" s="25">
        <f t="shared" si="39"/>
        <v>1825.39</v>
      </c>
      <c r="AL136" s="25">
        <f t="shared" si="40"/>
        <v>2913.34</v>
      </c>
      <c r="AM136" s="23">
        <f t="shared" si="41"/>
        <v>206023.31</v>
      </c>
      <c r="AO136" s="23"/>
      <c r="AP136" s="23"/>
    </row>
    <row r="137" spans="1:42" x14ac:dyDescent="0.25">
      <c r="A137" t="s">
        <v>129</v>
      </c>
      <c r="B137" t="s">
        <v>425</v>
      </c>
      <c r="C137" s="25">
        <v>35.799999999999997</v>
      </c>
      <c r="D137" s="25">
        <v>0</v>
      </c>
      <c r="E137" s="25">
        <v>4.09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192">
        <v>1</v>
      </c>
      <c r="L137" s="192">
        <v>1</v>
      </c>
      <c r="M137" s="192">
        <v>0</v>
      </c>
      <c r="N137" s="278"/>
      <c r="O137" s="278"/>
      <c r="P137" s="278"/>
      <c r="Q137" s="278"/>
      <c r="R137" s="278"/>
      <c r="S137" s="278"/>
      <c r="T137" s="278"/>
      <c r="U137" s="278"/>
      <c r="V137" s="278"/>
      <c r="W137" s="278"/>
      <c r="X137" s="278"/>
      <c r="Y137" s="282">
        <f>VLOOKUP(A137,'3121% SY'!$A$3:$M$600,13,FALSE)</f>
        <v>0.19130000000000003</v>
      </c>
      <c r="Z137" s="30">
        <f t="shared" si="42"/>
        <v>0</v>
      </c>
      <c r="AA137" s="31">
        <f t="shared" si="30"/>
        <v>4.09</v>
      </c>
      <c r="AB137" s="32">
        <f t="shared" si="31"/>
        <v>8.75</v>
      </c>
      <c r="AC137" s="28">
        <f t="shared" si="43"/>
        <v>17</v>
      </c>
      <c r="AD137" s="33">
        <f t="shared" si="32"/>
        <v>2.4319999999999999</v>
      </c>
      <c r="AE137" s="33">
        <f t="shared" si="33"/>
        <v>0</v>
      </c>
      <c r="AF137" s="25">
        <f t="shared" si="34"/>
        <v>176874.5</v>
      </c>
      <c r="AG137" s="25">
        <f t="shared" si="35"/>
        <v>13329.790000000008</v>
      </c>
      <c r="AH137" s="25">
        <f t="shared" si="36"/>
        <v>29942.78</v>
      </c>
      <c r="AI137" s="25">
        <f t="shared" si="37"/>
        <v>5123.5500000000029</v>
      </c>
      <c r="AJ137" s="25">
        <f t="shared" si="38"/>
        <v>32102.720000000001</v>
      </c>
      <c r="AK137" s="25">
        <f t="shared" si="39"/>
        <v>2334.0500000000002</v>
      </c>
      <c r="AL137" s="25">
        <f t="shared" si="40"/>
        <v>3725.15</v>
      </c>
      <c r="AM137" s="23">
        <f t="shared" si="41"/>
        <v>263432.53999999998</v>
      </c>
      <c r="AO137" s="23"/>
      <c r="AP137" s="23"/>
    </row>
    <row r="138" spans="1:42" x14ac:dyDescent="0.25">
      <c r="A138" t="s">
        <v>130</v>
      </c>
      <c r="B138" t="s">
        <v>426</v>
      </c>
      <c r="C138" s="25">
        <v>43.2</v>
      </c>
      <c r="D138" s="25">
        <v>0</v>
      </c>
      <c r="E138" s="25">
        <v>2.65</v>
      </c>
      <c r="F138" s="25">
        <v>0</v>
      </c>
      <c r="G138" s="25">
        <v>0</v>
      </c>
      <c r="H138" s="25">
        <v>0</v>
      </c>
      <c r="I138" s="25">
        <v>0</v>
      </c>
      <c r="J138" s="25">
        <v>0</v>
      </c>
      <c r="K138" s="192">
        <v>1</v>
      </c>
      <c r="L138" s="192">
        <v>1</v>
      </c>
      <c r="M138" s="192">
        <v>1.0000000000000009E-2</v>
      </c>
      <c r="N138" s="278"/>
      <c r="O138" s="278"/>
      <c r="P138" s="278"/>
      <c r="Q138" s="278"/>
      <c r="R138" s="278"/>
      <c r="S138" s="278"/>
      <c r="T138" s="278"/>
      <c r="U138" s="278"/>
      <c r="V138" s="278"/>
      <c r="W138" s="278"/>
      <c r="X138" s="278"/>
      <c r="Y138" s="282">
        <f>VLOOKUP(A138,'3121% SY'!$A$3:$M$600,13,FALSE)</f>
        <v>0.19130000000000003</v>
      </c>
      <c r="Z138" s="30">
        <f t="shared" si="42"/>
        <v>0</v>
      </c>
      <c r="AA138" s="31">
        <f t="shared" si="30"/>
        <v>2.65</v>
      </c>
      <c r="AB138" s="32">
        <f t="shared" si="31"/>
        <v>16.3</v>
      </c>
      <c r="AC138" s="28">
        <f t="shared" si="43"/>
        <v>17</v>
      </c>
      <c r="AD138" s="33">
        <f t="shared" si="32"/>
        <v>2.9350000000000001</v>
      </c>
      <c r="AE138" s="33">
        <f t="shared" si="33"/>
        <v>0</v>
      </c>
      <c r="AF138" s="25">
        <f t="shared" si="34"/>
        <v>213456.68</v>
      </c>
      <c r="AG138" s="25">
        <f t="shared" si="35"/>
        <v>18382.170000000013</v>
      </c>
      <c r="AH138" s="25">
        <f t="shared" si="36"/>
        <v>36135.72</v>
      </c>
      <c r="AI138" s="25">
        <f t="shared" si="37"/>
        <v>6183.2200000000012</v>
      </c>
      <c r="AJ138" s="25">
        <f t="shared" si="38"/>
        <v>38742.39</v>
      </c>
      <c r="AK138" s="25">
        <f t="shared" si="39"/>
        <v>3218.72</v>
      </c>
      <c r="AL138" s="25">
        <f t="shared" si="40"/>
        <v>4540.5600000000004</v>
      </c>
      <c r="AM138" s="23">
        <f t="shared" si="41"/>
        <v>320659.46000000002</v>
      </c>
      <c r="AO138" s="23"/>
      <c r="AP138" s="23"/>
    </row>
    <row r="139" spans="1:42" x14ac:dyDescent="0.25">
      <c r="A139" t="s">
        <v>131</v>
      </c>
      <c r="B139" t="s">
        <v>427</v>
      </c>
      <c r="C139" s="25">
        <v>70.599999999999994</v>
      </c>
      <c r="D139" s="25">
        <v>0</v>
      </c>
      <c r="E139" s="25">
        <v>3.2839999999999998</v>
      </c>
      <c r="F139" s="25">
        <v>0</v>
      </c>
      <c r="G139" s="25">
        <v>0</v>
      </c>
      <c r="H139" s="25">
        <v>0</v>
      </c>
      <c r="I139" s="25">
        <v>0</v>
      </c>
      <c r="J139" s="25">
        <v>0</v>
      </c>
      <c r="K139" s="192">
        <v>1</v>
      </c>
      <c r="L139" s="192">
        <v>1</v>
      </c>
      <c r="M139" s="192">
        <v>0</v>
      </c>
      <c r="N139" s="278"/>
      <c r="O139" s="278"/>
      <c r="P139" s="278"/>
      <c r="Q139" s="278"/>
      <c r="R139" s="278"/>
      <c r="S139" s="278"/>
      <c r="T139" s="278"/>
      <c r="U139" s="278"/>
      <c r="V139" s="278"/>
      <c r="W139" s="278"/>
      <c r="X139" s="278"/>
      <c r="Y139" s="282">
        <f>VLOOKUP(A139,'3121% SY'!$A$3:$M$600,13,FALSE)</f>
        <v>0.19130000000000003</v>
      </c>
      <c r="Z139" s="30">
        <f t="shared" si="42"/>
        <v>0</v>
      </c>
      <c r="AA139" s="31">
        <f t="shared" si="30"/>
        <v>3.2839999999999998</v>
      </c>
      <c r="AB139" s="32">
        <f t="shared" si="31"/>
        <v>21.5</v>
      </c>
      <c r="AC139" s="28">
        <f t="shared" si="43"/>
        <v>21.5</v>
      </c>
      <c r="AD139" s="33">
        <f t="shared" si="32"/>
        <v>3.7930000000000001</v>
      </c>
      <c r="AE139" s="33">
        <f t="shared" si="33"/>
        <v>0</v>
      </c>
      <c r="AF139" s="25">
        <f t="shared" si="34"/>
        <v>275857.3</v>
      </c>
      <c r="AG139" s="25">
        <f t="shared" si="35"/>
        <v>20789.440000000002</v>
      </c>
      <c r="AH139" s="25">
        <f t="shared" si="36"/>
        <v>46699.42</v>
      </c>
      <c r="AI139" s="25">
        <f t="shared" si="37"/>
        <v>7990.7799999999988</v>
      </c>
      <c r="AJ139" s="25">
        <f t="shared" si="38"/>
        <v>50068.1</v>
      </c>
      <c r="AK139" s="25">
        <f t="shared" si="39"/>
        <v>3640.23</v>
      </c>
      <c r="AL139" s="25">
        <f t="shared" si="40"/>
        <v>5809.83</v>
      </c>
      <c r="AM139" s="23">
        <f t="shared" si="41"/>
        <v>410855.09999999992</v>
      </c>
      <c r="AO139" s="23"/>
      <c r="AP139" s="23"/>
    </row>
    <row r="140" spans="1:42" x14ac:dyDescent="0.25">
      <c r="A140" t="s">
        <v>132</v>
      </c>
      <c r="B140" t="s">
        <v>428</v>
      </c>
      <c r="C140" s="25">
        <v>18.8</v>
      </c>
      <c r="D140" s="25">
        <v>0</v>
      </c>
      <c r="E140" s="25">
        <v>1.86</v>
      </c>
      <c r="F140" s="25">
        <v>0</v>
      </c>
      <c r="G140" s="25">
        <v>0</v>
      </c>
      <c r="H140" s="25">
        <v>0</v>
      </c>
      <c r="I140" s="25">
        <v>0</v>
      </c>
      <c r="J140" s="25">
        <v>0</v>
      </c>
      <c r="K140" s="192">
        <v>1</v>
      </c>
      <c r="L140" s="192">
        <v>1</v>
      </c>
      <c r="M140" s="192">
        <v>4.0000000000000036E-2</v>
      </c>
      <c r="N140" s="278"/>
      <c r="O140" s="278"/>
      <c r="P140" s="278"/>
      <c r="Q140" s="278"/>
      <c r="R140" s="278"/>
      <c r="S140" s="278"/>
      <c r="T140" s="278"/>
      <c r="U140" s="278"/>
      <c r="V140" s="278"/>
      <c r="W140" s="278"/>
      <c r="X140" s="278"/>
      <c r="Y140" s="282">
        <f>VLOOKUP(A140,'3121% SY'!$A$3:$M$600,13,FALSE)</f>
        <v>0.19130000000000003</v>
      </c>
      <c r="Z140" s="30">
        <f t="shared" si="42"/>
        <v>0</v>
      </c>
      <c r="AA140" s="31">
        <f t="shared" si="30"/>
        <v>1.86</v>
      </c>
      <c r="AB140" s="32">
        <f t="shared" si="31"/>
        <v>10.11</v>
      </c>
      <c r="AC140" s="28">
        <f t="shared" si="43"/>
        <v>17</v>
      </c>
      <c r="AD140" s="33">
        <f t="shared" si="32"/>
        <v>1.2769999999999999</v>
      </c>
      <c r="AE140" s="33">
        <f t="shared" si="33"/>
        <v>0</v>
      </c>
      <c r="AF140" s="25">
        <f t="shared" si="34"/>
        <v>92873.66</v>
      </c>
      <c r="AG140" s="25">
        <f t="shared" si="35"/>
        <v>10994.149999999994</v>
      </c>
      <c r="AH140" s="25">
        <f t="shared" si="36"/>
        <v>15722.42</v>
      </c>
      <c r="AI140" s="25">
        <f t="shared" si="37"/>
        <v>2690.2899999999991</v>
      </c>
      <c r="AJ140" s="25">
        <f t="shared" si="38"/>
        <v>16856.57</v>
      </c>
      <c r="AK140" s="25">
        <f t="shared" si="39"/>
        <v>1925.08</v>
      </c>
      <c r="AL140" s="25">
        <f t="shared" si="40"/>
        <v>2034.25</v>
      </c>
      <c r="AM140" s="23">
        <f t="shared" si="41"/>
        <v>143096.41999999998</v>
      </c>
      <c r="AO140" s="23"/>
      <c r="AP140" s="23"/>
    </row>
    <row r="141" spans="1:42" x14ac:dyDescent="0.25">
      <c r="A141" t="s">
        <v>133</v>
      </c>
      <c r="B141" t="s">
        <v>429</v>
      </c>
      <c r="C141" s="25">
        <v>19.600000000000001</v>
      </c>
      <c r="D141" s="25">
        <v>0</v>
      </c>
      <c r="E141" s="25">
        <v>1.1279999999999999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192">
        <v>1</v>
      </c>
      <c r="L141" s="192">
        <v>1</v>
      </c>
      <c r="M141" s="192">
        <v>4.0000000000000036E-2</v>
      </c>
      <c r="N141" s="278"/>
      <c r="O141" s="278"/>
      <c r="P141" s="278"/>
      <c r="Q141" s="278"/>
      <c r="R141" s="278"/>
      <c r="S141" s="278"/>
      <c r="T141" s="278"/>
      <c r="U141" s="278"/>
      <c r="V141" s="278"/>
      <c r="W141" s="278"/>
      <c r="X141" s="278"/>
      <c r="Y141" s="282">
        <f>VLOOKUP(A141,'3121% SY'!$A$3:$M$600,13,FALSE)</f>
        <v>0.19130000000000003</v>
      </c>
      <c r="Z141" s="30">
        <f t="shared" si="42"/>
        <v>0</v>
      </c>
      <c r="AA141" s="31">
        <f t="shared" si="30"/>
        <v>1.1279999999999999</v>
      </c>
      <c r="AB141" s="32">
        <f t="shared" si="31"/>
        <v>17.38</v>
      </c>
      <c r="AC141" s="28">
        <f t="shared" si="43"/>
        <v>17.38</v>
      </c>
      <c r="AD141" s="33">
        <f t="shared" si="32"/>
        <v>1.3029999999999999</v>
      </c>
      <c r="AE141" s="33">
        <f t="shared" si="33"/>
        <v>0</v>
      </c>
      <c r="AF141" s="25">
        <f t="shared" si="34"/>
        <v>94764.58</v>
      </c>
      <c r="AG141" s="25">
        <f t="shared" si="35"/>
        <v>11218</v>
      </c>
      <c r="AH141" s="25">
        <f t="shared" si="36"/>
        <v>16042.54</v>
      </c>
      <c r="AI141" s="25">
        <f t="shared" si="37"/>
        <v>2745.0499999999993</v>
      </c>
      <c r="AJ141" s="25">
        <f t="shared" si="38"/>
        <v>17199.77</v>
      </c>
      <c r="AK141" s="25">
        <f t="shared" si="39"/>
        <v>1964.27</v>
      </c>
      <c r="AL141" s="25">
        <f t="shared" si="40"/>
        <v>2075.67</v>
      </c>
      <c r="AM141" s="23">
        <f t="shared" si="41"/>
        <v>146009.88</v>
      </c>
      <c r="AO141" s="23"/>
      <c r="AP141" s="23"/>
    </row>
    <row r="142" spans="1:42" x14ac:dyDescent="0.25">
      <c r="A142" t="s">
        <v>134</v>
      </c>
      <c r="B142" t="s">
        <v>430</v>
      </c>
      <c r="C142" s="25">
        <v>16</v>
      </c>
      <c r="D142" s="25">
        <v>0</v>
      </c>
      <c r="E142" s="25">
        <v>1.6259999999999999</v>
      </c>
      <c r="F142" s="25">
        <v>0</v>
      </c>
      <c r="G142" s="25">
        <v>0</v>
      </c>
      <c r="H142" s="25">
        <v>0</v>
      </c>
      <c r="I142" s="25">
        <v>0</v>
      </c>
      <c r="J142" s="25">
        <v>0</v>
      </c>
      <c r="K142" s="192">
        <v>1</v>
      </c>
      <c r="L142" s="192">
        <v>1</v>
      </c>
      <c r="M142" s="192">
        <v>0</v>
      </c>
      <c r="N142" s="278"/>
      <c r="O142" s="278"/>
      <c r="P142" s="278"/>
      <c r="Q142" s="278"/>
      <c r="R142" s="278"/>
      <c r="S142" s="278"/>
      <c r="T142" s="278"/>
      <c r="U142" s="278"/>
      <c r="V142" s="278"/>
      <c r="W142" s="278"/>
      <c r="X142" s="278"/>
      <c r="Y142" s="282">
        <f>VLOOKUP(A142,'3121% SY'!$A$3:$M$600,13,FALSE)</f>
        <v>0.19130000000000003</v>
      </c>
      <c r="Z142" s="30">
        <f t="shared" si="42"/>
        <v>0</v>
      </c>
      <c r="AA142" s="31">
        <f t="shared" si="30"/>
        <v>1.6259999999999999</v>
      </c>
      <c r="AB142" s="32">
        <f t="shared" si="31"/>
        <v>9.84</v>
      </c>
      <c r="AC142" s="28">
        <f t="shared" si="43"/>
        <v>17</v>
      </c>
      <c r="AD142" s="33">
        <f t="shared" si="32"/>
        <v>1.087</v>
      </c>
      <c r="AE142" s="33">
        <f t="shared" si="33"/>
        <v>0</v>
      </c>
      <c r="AF142" s="25">
        <f t="shared" si="34"/>
        <v>79055.34</v>
      </c>
      <c r="AG142" s="25">
        <f t="shared" si="35"/>
        <v>5957.8399999999965</v>
      </c>
      <c r="AH142" s="25">
        <f t="shared" si="36"/>
        <v>13383.14</v>
      </c>
      <c r="AI142" s="25">
        <f t="shared" si="37"/>
        <v>2290.0100000000002</v>
      </c>
      <c r="AJ142" s="25">
        <f t="shared" si="38"/>
        <v>14348.54</v>
      </c>
      <c r="AK142" s="25">
        <f t="shared" si="39"/>
        <v>1043.22</v>
      </c>
      <c r="AL142" s="25">
        <f t="shared" si="40"/>
        <v>1664.98</v>
      </c>
      <c r="AM142" s="23">
        <f t="shared" si="41"/>
        <v>117743.06999999999</v>
      </c>
      <c r="AO142" s="23"/>
      <c r="AP142" s="23"/>
    </row>
    <row r="143" spans="1:42" x14ac:dyDescent="0.25">
      <c r="A143" t="s">
        <v>135</v>
      </c>
      <c r="B143" t="s">
        <v>431</v>
      </c>
      <c r="C143" s="25">
        <v>235.8</v>
      </c>
      <c r="D143" s="25">
        <v>0</v>
      </c>
      <c r="E143" s="25">
        <v>14.65</v>
      </c>
      <c r="F143" s="25">
        <v>0</v>
      </c>
      <c r="G143" s="25">
        <v>0</v>
      </c>
      <c r="H143" s="25">
        <v>0</v>
      </c>
      <c r="I143" s="25">
        <v>0</v>
      </c>
      <c r="J143" s="25">
        <v>0</v>
      </c>
      <c r="K143" s="192">
        <v>1</v>
      </c>
      <c r="L143" s="192">
        <v>1</v>
      </c>
      <c r="M143" s="192">
        <v>0</v>
      </c>
      <c r="N143" s="278"/>
      <c r="O143" s="278"/>
      <c r="P143" s="278"/>
      <c r="Q143" s="278"/>
      <c r="R143" s="278"/>
      <c r="S143" s="278"/>
      <c r="T143" s="278"/>
      <c r="U143" s="278"/>
      <c r="V143" s="278"/>
      <c r="W143" s="278"/>
      <c r="X143" s="278"/>
      <c r="Y143" s="282">
        <f>VLOOKUP(A143,'3121% SY'!$A$3:$M$600,13,FALSE)</f>
        <v>0.19130000000000003</v>
      </c>
      <c r="Z143" s="30">
        <f t="shared" si="42"/>
        <v>0</v>
      </c>
      <c r="AA143" s="31">
        <f t="shared" si="30"/>
        <v>14.65</v>
      </c>
      <c r="AB143" s="32">
        <f t="shared" si="31"/>
        <v>16.100000000000001</v>
      </c>
      <c r="AC143" s="28">
        <f t="shared" si="43"/>
        <v>17</v>
      </c>
      <c r="AD143" s="33">
        <f t="shared" si="32"/>
        <v>16.021000000000001</v>
      </c>
      <c r="AE143" s="33">
        <f t="shared" si="33"/>
        <v>0</v>
      </c>
      <c r="AF143" s="25">
        <f t="shared" si="34"/>
        <v>1165175.29</v>
      </c>
      <c r="AG143" s="25">
        <f t="shared" si="35"/>
        <v>87811.09999999986</v>
      </c>
      <c r="AH143" s="25">
        <f t="shared" si="36"/>
        <v>197250.55</v>
      </c>
      <c r="AI143" s="25">
        <f t="shared" si="37"/>
        <v>33751.760000000009</v>
      </c>
      <c r="AJ143" s="25">
        <f t="shared" si="38"/>
        <v>211479.32</v>
      </c>
      <c r="AK143" s="25">
        <f t="shared" si="39"/>
        <v>15375.72</v>
      </c>
      <c r="AL143" s="25">
        <f t="shared" si="40"/>
        <v>24539.74</v>
      </c>
      <c r="AM143" s="23">
        <f t="shared" si="41"/>
        <v>1735383.48</v>
      </c>
      <c r="AO143" s="23"/>
      <c r="AP143" s="23"/>
    </row>
    <row r="144" spans="1:42" x14ac:dyDescent="0.25">
      <c r="A144" t="s">
        <v>136</v>
      </c>
      <c r="B144" t="s">
        <v>432</v>
      </c>
      <c r="C144" s="25">
        <v>295.02</v>
      </c>
      <c r="D144" s="25">
        <v>0</v>
      </c>
      <c r="E144" s="25">
        <v>17.399999999999999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192">
        <v>1</v>
      </c>
      <c r="L144" s="192">
        <v>1</v>
      </c>
      <c r="M144" s="192">
        <v>4.0000000000000036E-2</v>
      </c>
      <c r="N144" s="278"/>
      <c r="O144" s="278"/>
      <c r="P144" s="278"/>
      <c r="Q144" s="278"/>
      <c r="R144" s="278"/>
      <c r="S144" s="278"/>
      <c r="T144" s="278"/>
      <c r="U144" s="278"/>
      <c r="V144" s="278"/>
      <c r="W144" s="278"/>
      <c r="X144" s="278"/>
      <c r="Y144" s="282">
        <f>VLOOKUP(A144,'3121% SY'!$A$3:$M$600,13,FALSE)</f>
        <v>0.19130000000000003</v>
      </c>
      <c r="Z144" s="30">
        <f t="shared" si="42"/>
        <v>0</v>
      </c>
      <c r="AA144" s="31">
        <f t="shared" si="30"/>
        <v>17.399999999999999</v>
      </c>
      <c r="AB144" s="32">
        <f t="shared" si="31"/>
        <v>16.96</v>
      </c>
      <c r="AC144" s="28">
        <f t="shared" si="43"/>
        <v>17</v>
      </c>
      <c r="AD144" s="33">
        <f t="shared" si="32"/>
        <v>20.044</v>
      </c>
      <c r="AE144" s="33">
        <f t="shared" si="33"/>
        <v>0</v>
      </c>
      <c r="AF144" s="25">
        <f t="shared" si="34"/>
        <v>1457760.03</v>
      </c>
      <c r="AG144" s="25">
        <f t="shared" si="35"/>
        <v>172566.01</v>
      </c>
      <c r="AH144" s="25">
        <f t="shared" si="36"/>
        <v>246781.73</v>
      </c>
      <c r="AI144" s="25">
        <f t="shared" si="37"/>
        <v>42227.09</v>
      </c>
      <c r="AJ144" s="25">
        <f t="shared" si="38"/>
        <v>264583.45</v>
      </c>
      <c r="AK144" s="25">
        <f t="shared" si="39"/>
        <v>30216.31</v>
      </c>
      <c r="AL144" s="25">
        <f t="shared" si="40"/>
        <v>31929.94</v>
      </c>
      <c r="AM144" s="23">
        <f t="shared" si="41"/>
        <v>2246064.56</v>
      </c>
      <c r="AO144" s="23"/>
      <c r="AP144" s="23"/>
    </row>
    <row r="145" spans="1:42" x14ac:dyDescent="0.25">
      <c r="A145" t="s">
        <v>137</v>
      </c>
      <c r="B145" t="s">
        <v>433</v>
      </c>
      <c r="C145" s="25">
        <v>55.6</v>
      </c>
      <c r="D145" s="25">
        <v>9</v>
      </c>
      <c r="E145" s="25">
        <v>3</v>
      </c>
      <c r="F145" s="25">
        <v>1</v>
      </c>
      <c r="G145" s="25">
        <v>0</v>
      </c>
      <c r="H145" s="25">
        <v>0</v>
      </c>
      <c r="I145" s="25">
        <v>0</v>
      </c>
      <c r="J145" s="25">
        <v>0</v>
      </c>
      <c r="K145" s="192">
        <v>1</v>
      </c>
      <c r="L145" s="192">
        <v>1</v>
      </c>
      <c r="M145" s="192">
        <v>0</v>
      </c>
      <c r="N145" s="278"/>
      <c r="O145" s="278"/>
      <c r="P145" s="278"/>
      <c r="Q145" s="278"/>
      <c r="R145" s="278"/>
      <c r="S145" s="278"/>
      <c r="T145" s="278"/>
      <c r="U145" s="278"/>
      <c r="V145" s="278"/>
      <c r="W145" s="278"/>
      <c r="X145" s="278"/>
      <c r="Y145" s="282">
        <f>VLOOKUP(A145,'3121% SY'!$A$3:$M$600,13,FALSE)</f>
        <v>0.19130000000000003</v>
      </c>
      <c r="Z145" s="30">
        <f t="shared" si="42"/>
        <v>0</v>
      </c>
      <c r="AA145" s="31">
        <f t="shared" si="30"/>
        <v>4</v>
      </c>
      <c r="AB145" s="32">
        <f t="shared" si="31"/>
        <v>16.149999999999999</v>
      </c>
      <c r="AC145" s="28">
        <f t="shared" si="43"/>
        <v>17</v>
      </c>
      <c r="AD145" s="33">
        <f t="shared" si="32"/>
        <v>3.778</v>
      </c>
      <c r="AE145" s="33">
        <f t="shared" si="33"/>
        <v>0.61099999999999999</v>
      </c>
      <c r="AF145" s="25">
        <f t="shared" si="34"/>
        <v>319203.19</v>
      </c>
      <c r="AG145" s="25">
        <f t="shared" si="35"/>
        <v>24056.109999999986</v>
      </c>
      <c r="AH145" s="25">
        <f t="shared" si="36"/>
        <v>54037.37</v>
      </c>
      <c r="AI145" s="25">
        <f t="shared" si="37"/>
        <v>9246.39</v>
      </c>
      <c r="AJ145" s="25">
        <f t="shared" si="38"/>
        <v>57935.38</v>
      </c>
      <c r="AK145" s="25">
        <f t="shared" si="39"/>
        <v>4212.22</v>
      </c>
      <c r="AL145" s="25">
        <f t="shared" si="40"/>
        <v>6722.73</v>
      </c>
      <c r="AM145" s="23">
        <f t="shared" si="41"/>
        <v>475413.38999999996</v>
      </c>
      <c r="AO145" s="23"/>
      <c r="AP145" s="23"/>
    </row>
    <row r="146" spans="1:42" x14ac:dyDescent="0.25">
      <c r="A146" t="s">
        <v>138</v>
      </c>
      <c r="B146" t="s">
        <v>434</v>
      </c>
      <c r="C146" s="25">
        <v>219.4</v>
      </c>
      <c r="D146" s="25">
        <v>0</v>
      </c>
      <c r="E146" s="25">
        <v>13.055</v>
      </c>
      <c r="F146" s="25">
        <v>0</v>
      </c>
      <c r="G146" s="25">
        <v>0.625</v>
      </c>
      <c r="H146" s="25">
        <v>0</v>
      </c>
      <c r="I146" s="25">
        <v>0</v>
      </c>
      <c r="J146" s="25">
        <v>0</v>
      </c>
      <c r="K146" s="192">
        <v>1</v>
      </c>
      <c r="L146" s="192">
        <v>1</v>
      </c>
      <c r="M146" s="192">
        <v>0</v>
      </c>
      <c r="N146" s="278"/>
      <c r="O146" s="278"/>
      <c r="P146" s="278"/>
      <c r="Q146" s="278"/>
      <c r="R146" s="278"/>
      <c r="S146" s="278"/>
      <c r="T146" s="278"/>
      <c r="U146" s="278"/>
      <c r="V146" s="278"/>
      <c r="W146" s="278"/>
      <c r="X146" s="278"/>
      <c r="Y146" s="282">
        <f>VLOOKUP(A146,'3121% SY'!$A$3:$M$600,13,FALSE)</f>
        <v>0.18230000000000002</v>
      </c>
      <c r="Z146" s="30">
        <f t="shared" si="42"/>
        <v>0.114</v>
      </c>
      <c r="AA146" s="31">
        <f t="shared" si="30"/>
        <v>13.169</v>
      </c>
      <c r="AB146" s="32">
        <f t="shared" si="31"/>
        <v>16.66</v>
      </c>
      <c r="AC146" s="28">
        <f t="shared" si="43"/>
        <v>17</v>
      </c>
      <c r="AD146" s="33">
        <f t="shared" si="32"/>
        <v>14.906000000000001</v>
      </c>
      <c r="AE146" s="33">
        <f t="shared" si="33"/>
        <v>0</v>
      </c>
      <c r="AF146" s="25">
        <f t="shared" si="34"/>
        <v>1084083.57</v>
      </c>
      <c r="AG146" s="25">
        <f t="shared" si="35"/>
        <v>81699.780000000028</v>
      </c>
      <c r="AH146" s="25">
        <f t="shared" si="36"/>
        <v>183522.67</v>
      </c>
      <c r="AI146" s="25">
        <f t="shared" si="37"/>
        <v>31402.76999999999</v>
      </c>
      <c r="AJ146" s="25">
        <f t="shared" si="38"/>
        <v>196761.17</v>
      </c>
      <c r="AK146" s="25">
        <f t="shared" si="39"/>
        <v>14305.63</v>
      </c>
      <c r="AL146" s="25">
        <f t="shared" si="40"/>
        <v>22831.87</v>
      </c>
      <c r="AM146" s="23">
        <f t="shared" si="41"/>
        <v>1614607.46</v>
      </c>
      <c r="AO146" s="23"/>
      <c r="AP146" s="23"/>
    </row>
    <row r="147" spans="1:42" x14ac:dyDescent="0.25">
      <c r="A147" t="s">
        <v>139</v>
      </c>
      <c r="B147" t="s">
        <v>435</v>
      </c>
      <c r="C147" s="25">
        <v>30.8</v>
      </c>
      <c r="D147" s="25">
        <v>3</v>
      </c>
      <c r="E147" s="25">
        <v>2.0099999999999998</v>
      </c>
      <c r="F147" s="25">
        <v>0.36699999999999999</v>
      </c>
      <c r="G147" s="25">
        <v>0.28000000000000003</v>
      </c>
      <c r="H147" s="25">
        <v>0</v>
      </c>
      <c r="I147" s="25">
        <v>0</v>
      </c>
      <c r="J147" s="25">
        <v>0</v>
      </c>
      <c r="K147" s="192">
        <v>1</v>
      </c>
      <c r="L147" s="192">
        <v>1</v>
      </c>
      <c r="M147" s="192">
        <v>0</v>
      </c>
      <c r="N147" s="278"/>
      <c r="O147" s="278"/>
      <c r="P147" s="278"/>
      <c r="Q147" s="278"/>
      <c r="R147" s="278"/>
      <c r="S147" s="278"/>
      <c r="T147" s="278"/>
      <c r="U147" s="278"/>
      <c r="V147" s="278"/>
      <c r="W147" s="278"/>
      <c r="X147" s="278"/>
      <c r="Y147" s="282">
        <f>VLOOKUP(A147,'3121% SY'!$A$3:$M$600,13,FALSE)</f>
        <v>7.999999999999996E-2</v>
      </c>
      <c r="Z147" s="30">
        <f t="shared" si="42"/>
        <v>2.1999999999999999E-2</v>
      </c>
      <c r="AA147" s="31">
        <f t="shared" si="30"/>
        <v>2.3989999999999996</v>
      </c>
      <c r="AB147" s="32">
        <f t="shared" si="31"/>
        <v>14.09</v>
      </c>
      <c r="AC147" s="28">
        <f t="shared" si="43"/>
        <v>17</v>
      </c>
      <c r="AD147" s="33">
        <f t="shared" si="32"/>
        <v>2.093</v>
      </c>
      <c r="AE147" s="33">
        <f t="shared" si="33"/>
        <v>0.20399999999999999</v>
      </c>
      <c r="AF147" s="25">
        <f t="shared" si="34"/>
        <v>167056.22</v>
      </c>
      <c r="AG147" s="25">
        <f t="shared" si="35"/>
        <v>12589.850000000006</v>
      </c>
      <c r="AH147" s="25">
        <f t="shared" si="36"/>
        <v>28280.66</v>
      </c>
      <c r="AI147" s="25">
        <f t="shared" si="37"/>
        <v>4839.1400000000031</v>
      </c>
      <c r="AJ147" s="25">
        <f t="shared" si="38"/>
        <v>30320.7</v>
      </c>
      <c r="AK147" s="25">
        <f t="shared" si="39"/>
        <v>2204.48</v>
      </c>
      <c r="AL147" s="25">
        <f t="shared" si="40"/>
        <v>3518.37</v>
      </c>
      <c r="AM147" s="23">
        <f t="shared" si="41"/>
        <v>248809.42000000004</v>
      </c>
      <c r="AO147" s="23"/>
      <c r="AP147" s="23"/>
    </row>
    <row r="148" spans="1:42" x14ac:dyDescent="0.25">
      <c r="A148" t="s">
        <v>140</v>
      </c>
      <c r="B148" t="s">
        <v>436</v>
      </c>
      <c r="C148" s="25">
        <v>176</v>
      </c>
      <c r="D148" s="25">
        <v>27</v>
      </c>
      <c r="E148" s="25">
        <v>10.555999999999999</v>
      </c>
      <c r="F148" s="25">
        <v>1.96</v>
      </c>
      <c r="G148" s="25">
        <v>1.37</v>
      </c>
      <c r="H148" s="25">
        <v>0</v>
      </c>
      <c r="I148" s="25">
        <v>0</v>
      </c>
      <c r="J148" s="25">
        <v>0</v>
      </c>
      <c r="K148" s="192">
        <v>1</v>
      </c>
      <c r="L148" s="192">
        <v>1</v>
      </c>
      <c r="M148" s="192">
        <v>0</v>
      </c>
      <c r="N148" s="278"/>
      <c r="O148" s="278"/>
      <c r="P148" s="278"/>
      <c r="Q148" s="278"/>
      <c r="R148" s="278"/>
      <c r="S148" s="278"/>
      <c r="T148" s="278"/>
      <c r="U148" s="278"/>
      <c r="V148" s="278"/>
      <c r="W148" s="278"/>
      <c r="X148" s="278"/>
      <c r="Y148" s="282">
        <f>VLOOKUP(A148,'3121% SY'!$A$3:$M$600,13,FALSE)</f>
        <v>0.31069999999999998</v>
      </c>
      <c r="Z148" s="30">
        <f t="shared" si="42"/>
        <v>0.42599999999999999</v>
      </c>
      <c r="AA148" s="31">
        <f t="shared" si="30"/>
        <v>12.942</v>
      </c>
      <c r="AB148" s="32">
        <f t="shared" si="31"/>
        <v>15.69</v>
      </c>
      <c r="AC148" s="28">
        <f t="shared" si="43"/>
        <v>17</v>
      </c>
      <c r="AD148" s="33">
        <f t="shared" si="32"/>
        <v>11.958</v>
      </c>
      <c r="AE148" s="33">
        <f t="shared" si="33"/>
        <v>1.8340000000000001</v>
      </c>
      <c r="AF148" s="25">
        <f t="shared" si="34"/>
        <v>1003064.58</v>
      </c>
      <c r="AG148" s="25">
        <f t="shared" si="35"/>
        <v>75593.95000000007</v>
      </c>
      <c r="AH148" s="25">
        <f t="shared" si="36"/>
        <v>169807.1</v>
      </c>
      <c r="AI148" s="25">
        <f t="shared" si="37"/>
        <v>29055.889999999985</v>
      </c>
      <c r="AJ148" s="25">
        <f t="shared" si="38"/>
        <v>182056.22</v>
      </c>
      <c r="AK148" s="25">
        <f t="shared" si="39"/>
        <v>13236.5</v>
      </c>
      <c r="AL148" s="25">
        <f t="shared" si="40"/>
        <v>21125.53</v>
      </c>
      <c r="AM148" s="23">
        <f t="shared" si="41"/>
        <v>1493939.77</v>
      </c>
      <c r="AO148" s="23"/>
      <c r="AP148" s="23"/>
    </row>
    <row r="149" spans="1:42" x14ac:dyDescent="0.25">
      <c r="A149" t="s">
        <v>141</v>
      </c>
      <c r="B149" t="s">
        <v>437</v>
      </c>
      <c r="C149" s="25">
        <v>119.7</v>
      </c>
      <c r="D149" s="25">
        <v>20</v>
      </c>
      <c r="E149" s="25">
        <v>7.18</v>
      </c>
      <c r="F149" s="25">
        <v>1</v>
      </c>
      <c r="G149" s="25">
        <v>1.22</v>
      </c>
      <c r="H149" s="25">
        <v>0</v>
      </c>
      <c r="I149" s="25">
        <v>0</v>
      </c>
      <c r="J149" s="25">
        <v>0</v>
      </c>
      <c r="K149" s="192">
        <v>1</v>
      </c>
      <c r="L149" s="192">
        <v>1</v>
      </c>
      <c r="M149" s="192">
        <v>0</v>
      </c>
      <c r="N149" s="278"/>
      <c r="O149" s="278"/>
      <c r="P149" s="278"/>
      <c r="Q149" s="278"/>
      <c r="R149" s="278"/>
      <c r="S149" s="278"/>
      <c r="T149" s="278"/>
      <c r="U149" s="278"/>
      <c r="V149" s="278"/>
      <c r="W149" s="278"/>
      <c r="X149" s="278"/>
      <c r="Y149" s="282">
        <f>VLOOKUP(A149,'3121% SY'!$A$3:$M$600,13,FALSE)</f>
        <v>0.31479999999999997</v>
      </c>
      <c r="Z149" s="30">
        <f t="shared" si="42"/>
        <v>0.38400000000000001</v>
      </c>
      <c r="AA149" s="31">
        <f t="shared" si="30"/>
        <v>8.5640000000000001</v>
      </c>
      <c r="AB149" s="32">
        <f t="shared" si="31"/>
        <v>16.309999999999999</v>
      </c>
      <c r="AC149" s="28">
        <f t="shared" si="43"/>
        <v>17</v>
      </c>
      <c r="AD149" s="33">
        <f t="shared" si="32"/>
        <v>8.1329999999999991</v>
      </c>
      <c r="AE149" s="33">
        <f t="shared" si="33"/>
        <v>1.359</v>
      </c>
      <c r="AF149" s="25">
        <f t="shared" si="34"/>
        <v>690334.18</v>
      </c>
      <c r="AG149" s="25">
        <f t="shared" si="35"/>
        <v>52025.649999999907</v>
      </c>
      <c r="AH149" s="25">
        <f t="shared" si="36"/>
        <v>116865.5</v>
      </c>
      <c r="AI149" s="25">
        <f t="shared" si="37"/>
        <v>19996.989999999991</v>
      </c>
      <c r="AJ149" s="25">
        <f t="shared" si="38"/>
        <v>125295.65</v>
      </c>
      <c r="AK149" s="25">
        <f t="shared" si="39"/>
        <v>9109.69</v>
      </c>
      <c r="AL149" s="25">
        <f t="shared" si="40"/>
        <v>14539.12</v>
      </c>
      <c r="AM149" s="23">
        <f t="shared" si="41"/>
        <v>1028166.7799999999</v>
      </c>
      <c r="AO149" s="23"/>
      <c r="AP149" s="23"/>
    </row>
    <row r="150" spans="1:42" x14ac:dyDescent="0.25">
      <c r="A150" t="s">
        <v>142</v>
      </c>
      <c r="B150" t="s">
        <v>438</v>
      </c>
      <c r="C150" s="25">
        <v>163.06</v>
      </c>
      <c r="D150" s="25">
        <v>0</v>
      </c>
      <c r="E150" s="25">
        <v>10.164</v>
      </c>
      <c r="F150" s="25">
        <v>0</v>
      </c>
      <c r="G150" s="25">
        <v>1</v>
      </c>
      <c r="H150" s="25">
        <v>0</v>
      </c>
      <c r="I150" s="25">
        <v>0</v>
      </c>
      <c r="J150" s="25">
        <v>0</v>
      </c>
      <c r="K150" s="192">
        <v>1</v>
      </c>
      <c r="L150" s="192">
        <v>1</v>
      </c>
      <c r="M150" s="192">
        <v>4.0000000000000036E-2</v>
      </c>
      <c r="N150" s="278"/>
      <c r="O150" s="278"/>
      <c r="P150" s="278"/>
      <c r="Q150" s="278"/>
      <c r="R150" s="278"/>
      <c r="S150" s="278"/>
      <c r="T150" s="278"/>
      <c r="U150" s="278"/>
      <c r="V150" s="278"/>
      <c r="W150" s="278"/>
      <c r="X150" s="278"/>
      <c r="Y150" s="282">
        <f>VLOOKUP(A150,'3121% SY'!$A$3:$M$600,13,FALSE)</f>
        <v>0.20389999999999997</v>
      </c>
      <c r="Z150" s="30">
        <f t="shared" si="42"/>
        <v>0.20399999999999999</v>
      </c>
      <c r="AA150" s="31">
        <f t="shared" si="30"/>
        <v>10.368</v>
      </c>
      <c r="AB150" s="32">
        <f t="shared" si="31"/>
        <v>15.73</v>
      </c>
      <c r="AC150" s="28">
        <f t="shared" si="43"/>
        <v>17</v>
      </c>
      <c r="AD150" s="33">
        <f t="shared" si="32"/>
        <v>11.077999999999999</v>
      </c>
      <c r="AE150" s="33">
        <f t="shared" si="33"/>
        <v>0</v>
      </c>
      <c r="AF150" s="25">
        <f t="shared" si="34"/>
        <v>805680.78</v>
      </c>
      <c r="AG150" s="25">
        <f t="shared" si="35"/>
        <v>95374.489999999991</v>
      </c>
      <c r="AH150" s="25">
        <f t="shared" si="36"/>
        <v>136392.34</v>
      </c>
      <c r="AI150" s="25">
        <f t="shared" si="37"/>
        <v>23338.239999999991</v>
      </c>
      <c r="AJ150" s="25">
        <f t="shared" si="38"/>
        <v>146231.06</v>
      </c>
      <c r="AK150" s="25">
        <f t="shared" si="39"/>
        <v>16700.07</v>
      </c>
      <c r="AL150" s="25">
        <f t="shared" si="40"/>
        <v>17647.169999999998</v>
      </c>
      <c r="AM150" s="23">
        <f t="shared" si="41"/>
        <v>1241364.1500000001</v>
      </c>
      <c r="AO150" s="23"/>
      <c r="AP150" s="23"/>
    </row>
    <row r="151" spans="1:42" x14ac:dyDescent="0.25">
      <c r="A151" t="s">
        <v>143</v>
      </c>
      <c r="B151" t="s">
        <v>439</v>
      </c>
      <c r="C151" s="25">
        <v>238.8</v>
      </c>
      <c r="D151" s="25">
        <v>34.6</v>
      </c>
      <c r="E151" s="25">
        <v>13.637</v>
      </c>
      <c r="F151" s="25">
        <v>2</v>
      </c>
      <c r="G151" s="25">
        <v>1.913</v>
      </c>
      <c r="H151" s="25">
        <v>0.5</v>
      </c>
      <c r="I151" s="25">
        <v>0</v>
      </c>
      <c r="J151" s="25">
        <v>0.85</v>
      </c>
      <c r="K151" s="192">
        <v>1</v>
      </c>
      <c r="L151" s="192">
        <v>1</v>
      </c>
      <c r="M151" s="192">
        <v>1.0000000000000009E-2</v>
      </c>
      <c r="N151" s="278"/>
      <c r="O151" s="278"/>
      <c r="P151" s="278"/>
      <c r="Q151" s="278"/>
      <c r="R151" s="278"/>
      <c r="S151" s="278"/>
      <c r="T151" s="278"/>
      <c r="U151" s="278"/>
      <c r="V151" s="278"/>
      <c r="W151" s="278"/>
      <c r="X151" s="278"/>
      <c r="Y151" s="282">
        <f>VLOOKUP(A151,'3121% SY'!$A$3:$M$600,13,FALSE)</f>
        <v>0.19120000000000004</v>
      </c>
      <c r="Z151" s="30">
        <f t="shared" si="42"/>
        <v>0.52900000000000003</v>
      </c>
      <c r="AA151" s="31">
        <f t="shared" si="30"/>
        <v>16.666</v>
      </c>
      <c r="AB151" s="32">
        <f t="shared" si="31"/>
        <v>16.399999999999999</v>
      </c>
      <c r="AC151" s="28">
        <f t="shared" si="43"/>
        <v>17</v>
      </c>
      <c r="AD151" s="33">
        <f t="shared" si="32"/>
        <v>16.224</v>
      </c>
      <c r="AE151" s="33">
        <f t="shared" si="33"/>
        <v>2.351</v>
      </c>
      <c r="AF151" s="25">
        <f t="shared" si="34"/>
        <v>1350922.6</v>
      </c>
      <c r="AG151" s="25">
        <f t="shared" si="35"/>
        <v>116336.89999999991</v>
      </c>
      <c r="AH151" s="25">
        <f t="shared" si="36"/>
        <v>228695.4</v>
      </c>
      <c r="AI151" s="25">
        <f t="shared" si="37"/>
        <v>39132.319999999978</v>
      </c>
      <c r="AJ151" s="25">
        <f t="shared" si="38"/>
        <v>245192.45</v>
      </c>
      <c r="AK151" s="25">
        <f t="shared" si="39"/>
        <v>20370.59</v>
      </c>
      <c r="AL151" s="25">
        <f t="shared" si="40"/>
        <v>28736.28</v>
      </c>
      <c r="AM151" s="23">
        <f t="shared" si="41"/>
        <v>2029386.54</v>
      </c>
      <c r="AO151" s="23"/>
      <c r="AP151" s="23"/>
    </row>
    <row r="152" spans="1:42" x14ac:dyDescent="0.25">
      <c r="A152" t="s">
        <v>144</v>
      </c>
      <c r="B152" t="s">
        <v>440</v>
      </c>
      <c r="C152" s="25">
        <v>37.04</v>
      </c>
      <c r="D152" s="25">
        <v>3.2</v>
      </c>
      <c r="E152" s="25">
        <v>1.75</v>
      </c>
      <c r="F152" s="25">
        <v>0.5</v>
      </c>
      <c r="G152" s="25">
        <v>0.22500000000000001</v>
      </c>
      <c r="H152" s="25">
        <v>0</v>
      </c>
      <c r="I152" s="25">
        <v>0</v>
      </c>
      <c r="J152" s="25">
        <v>0</v>
      </c>
      <c r="K152" s="192">
        <v>1</v>
      </c>
      <c r="L152" s="192">
        <v>1</v>
      </c>
      <c r="M152" s="192">
        <v>0</v>
      </c>
      <c r="N152" s="278"/>
      <c r="O152" s="278"/>
      <c r="P152" s="278"/>
      <c r="Q152" s="278"/>
      <c r="R152" s="278"/>
      <c r="S152" s="278"/>
      <c r="T152" s="278"/>
      <c r="U152" s="278"/>
      <c r="V152" s="278"/>
      <c r="W152" s="278"/>
      <c r="X152" s="278"/>
      <c r="Y152" s="282">
        <f>VLOOKUP(A152,'3121% SY'!$A$3:$M$600,13,FALSE)</f>
        <v>0.20450000000000002</v>
      </c>
      <c r="Z152" s="30">
        <f t="shared" si="42"/>
        <v>4.5999999999999999E-2</v>
      </c>
      <c r="AA152" s="31">
        <f t="shared" si="30"/>
        <v>2.2960000000000003</v>
      </c>
      <c r="AB152" s="32">
        <f t="shared" si="31"/>
        <v>17.53</v>
      </c>
      <c r="AC152" s="28">
        <f t="shared" si="43"/>
        <v>17.53</v>
      </c>
      <c r="AD152" s="33">
        <f t="shared" si="32"/>
        <v>2.44</v>
      </c>
      <c r="AE152" s="33">
        <f t="shared" si="33"/>
        <v>0.21099999999999999</v>
      </c>
      <c r="AF152" s="25">
        <f t="shared" si="34"/>
        <v>192801.93</v>
      </c>
      <c r="AG152" s="25">
        <f t="shared" si="35"/>
        <v>14530.130000000005</v>
      </c>
      <c r="AH152" s="25">
        <f t="shared" si="36"/>
        <v>32639.11</v>
      </c>
      <c r="AI152" s="25">
        <f t="shared" si="37"/>
        <v>5584.9199999999983</v>
      </c>
      <c r="AJ152" s="25">
        <f t="shared" si="38"/>
        <v>34993.550000000003</v>
      </c>
      <c r="AK152" s="25">
        <f t="shared" si="39"/>
        <v>2544.23</v>
      </c>
      <c r="AL152" s="25">
        <f t="shared" si="40"/>
        <v>4060.6</v>
      </c>
      <c r="AM152" s="23">
        <f t="shared" si="41"/>
        <v>287154.46999999991</v>
      </c>
      <c r="AO152" s="23"/>
      <c r="AP152" s="23"/>
    </row>
    <row r="153" spans="1:42" x14ac:dyDescent="0.25">
      <c r="A153" t="s">
        <v>145</v>
      </c>
      <c r="B153" t="s">
        <v>441</v>
      </c>
      <c r="C153" s="25">
        <v>303.8</v>
      </c>
      <c r="D153" s="25">
        <v>0</v>
      </c>
      <c r="E153" s="25">
        <v>15.95</v>
      </c>
      <c r="F153" s="25">
        <v>0</v>
      </c>
      <c r="G153" s="25">
        <v>0.86799999999999999</v>
      </c>
      <c r="H153" s="25">
        <v>0.1</v>
      </c>
      <c r="I153" s="25">
        <v>0</v>
      </c>
      <c r="J153" s="25">
        <v>0.2</v>
      </c>
      <c r="K153" s="192">
        <v>1</v>
      </c>
      <c r="L153" s="192">
        <v>1</v>
      </c>
      <c r="M153" s="192">
        <v>1.0000000000000009E-2</v>
      </c>
      <c r="N153" s="278"/>
      <c r="O153" s="278"/>
      <c r="P153" s="278"/>
      <c r="Q153" s="278"/>
      <c r="R153" s="278"/>
      <c r="S153" s="278"/>
      <c r="T153" s="278"/>
      <c r="U153" s="278"/>
      <c r="V153" s="278"/>
      <c r="W153" s="278"/>
      <c r="X153" s="278"/>
      <c r="Y153" s="282">
        <f>VLOOKUP(A153,'3121% SY'!$A$3:$M$600,13,FALSE)</f>
        <v>0.28620000000000001</v>
      </c>
      <c r="Z153" s="30">
        <f t="shared" si="42"/>
        <v>0.30499999999999999</v>
      </c>
      <c r="AA153" s="31">
        <f t="shared" si="30"/>
        <v>16.355</v>
      </c>
      <c r="AB153" s="32">
        <f t="shared" si="31"/>
        <v>18.579999999999998</v>
      </c>
      <c r="AC153" s="28">
        <f t="shared" si="43"/>
        <v>18.579999999999998</v>
      </c>
      <c r="AD153" s="33">
        <f t="shared" si="32"/>
        <v>18.885000000000002</v>
      </c>
      <c r="AE153" s="33">
        <f t="shared" si="33"/>
        <v>0</v>
      </c>
      <c r="AF153" s="25">
        <f t="shared" si="34"/>
        <v>1373468.28</v>
      </c>
      <c r="AG153" s="25">
        <f t="shared" si="35"/>
        <v>118278.44999999995</v>
      </c>
      <c r="AH153" s="25">
        <f t="shared" si="36"/>
        <v>232512.12</v>
      </c>
      <c r="AI153" s="25">
        <f t="shared" si="37"/>
        <v>39785.410000000033</v>
      </c>
      <c r="AJ153" s="25">
        <f t="shared" si="38"/>
        <v>249284.49</v>
      </c>
      <c r="AK153" s="25">
        <f t="shared" si="39"/>
        <v>20710.560000000001</v>
      </c>
      <c r="AL153" s="25">
        <f t="shared" si="40"/>
        <v>29215.86</v>
      </c>
      <c r="AM153" s="23">
        <f t="shared" si="41"/>
        <v>2063255.1700000004</v>
      </c>
      <c r="AO153" s="23"/>
      <c r="AP153" s="23"/>
    </row>
    <row r="154" spans="1:42" x14ac:dyDescent="0.25">
      <c r="A154" t="s">
        <v>146</v>
      </c>
      <c r="B154" t="s">
        <v>442</v>
      </c>
      <c r="C154" s="25">
        <v>255.8</v>
      </c>
      <c r="D154" s="25">
        <v>18</v>
      </c>
      <c r="E154" s="25">
        <v>14.077</v>
      </c>
      <c r="F154" s="25">
        <v>0.97299999999999998</v>
      </c>
      <c r="G154" s="25">
        <v>2.5830000000000002</v>
      </c>
      <c r="H154" s="25">
        <v>0</v>
      </c>
      <c r="I154" s="25">
        <v>0</v>
      </c>
      <c r="J154" s="25">
        <v>0</v>
      </c>
      <c r="K154" s="192">
        <v>1</v>
      </c>
      <c r="L154" s="192">
        <v>1</v>
      </c>
      <c r="M154" s="192">
        <v>0</v>
      </c>
      <c r="N154" s="278"/>
      <c r="O154" s="278"/>
      <c r="P154" s="278"/>
      <c r="Q154" s="278"/>
      <c r="R154" s="278"/>
      <c r="S154" s="278"/>
      <c r="T154" s="278"/>
      <c r="U154" s="278"/>
      <c r="V154" s="278"/>
      <c r="W154" s="278"/>
      <c r="X154" s="278"/>
      <c r="Y154" s="282">
        <f>VLOOKUP(A154,'3121% SY'!$A$3:$M$600,13,FALSE)</f>
        <v>0.25719999999999998</v>
      </c>
      <c r="Z154" s="30">
        <f t="shared" si="42"/>
        <v>0.66400000000000003</v>
      </c>
      <c r="AA154" s="31">
        <f t="shared" si="30"/>
        <v>15.714</v>
      </c>
      <c r="AB154" s="32">
        <f t="shared" si="31"/>
        <v>17.420000000000002</v>
      </c>
      <c r="AC154" s="28">
        <f t="shared" si="43"/>
        <v>17.420000000000002</v>
      </c>
      <c r="AD154" s="33">
        <f t="shared" si="32"/>
        <v>16.96</v>
      </c>
      <c r="AE154" s="33">
        <f t="shared" si="33"/>
        <v>1.1930000000000001</v>
      </c>
      <c r="AF154" s="25">
        <f t="shared" si="34"/>
        <v>1320231.3799999999</v>
      </c>
      <c r="AG154" s="25">
        <f t="shared" si="35"/>
        <v>99496.600000000093</v>
      </c>
      <c r="AH154" s="25">
        <f t="shared" si="36"/>
        <v>223499.74</v>
      </c>
      <c r="AI154" s="25">
        <f t="shared" si="37"/>
        <v>38243.279999999999</v>
      </c>
      <c r="AJ154" s="25">
        <f t="shared" si="38"/>
        <v>239622</v>
      </c>
      <c r="AK154" s="25">
        <f t="shared" si="39"/>
        <v>17421.849999999999</v>
      </c>
      <c r="AL154" s="25">
        <f t="shared" si="40"/>
        <v>27805.37</v>
      </c>
      <c r="AM154" s="23">
        <f t="shared" si="41"/>
        <v>1966320.2200000002</v>
      </c>
      <c r="AO154" s="23"/>
      <c r="AP154" s="23"/>
    </row>
    <row r="155" spans="1:42" x14ac:dyDescent="0.25">
      <c r="A155" t="s">
        <v>147</v>
      </c>
      <c r="B155" t="s">
        <v>443</v>
      </c>
      <c r="C155" s="25">
        <v>70.8</v>
      </c>
      <c r="D155" s="25">
        <v>18.399999999999999</v>
      </c>
      <c r="E155" s="25">
        <v>4.1970000000000001</v>
      </c>
      <c r="F155" s="25">
        <v>1</v>
      </c>
      <c r="G155" s="25">
        <v>0.371</v>
      </c>
      <c r="H155" s="25">
        <v>0</v>
      </c>
      <c r="I155" s="25">
        <v>0</v>
      </c>
      <c r="J155" s="25">
        <v>0</v>
      </c>
      <c r="K155" s="192">
        <v>1</v>
      </c>
      <c r="L155" s="192">
        <v>1</v>
      </c>
      <c r="M155" s="192">
        <v>4.0000000000000036E-2</v>
      </c>
      <c r="N155" s="278"/>
      <c r="O155" s="278"/>
      <c r="P155" s="278"/>
      <c r="Q155" s="278"/>
      <c r="R155" s="278"/>
      <c r="S155" s="278"/>
      <c r="T155" s="278"/>
      <c r="U155" s="278"/>
      <c r="V155" s="278"/>
      <c r="W155" s="278"/>
      <c r="X155" s="278"/>
      <c r="Y155" s="282">
        <f>VLOOKUP(A155,'3121% SY'!$A$3:$M$600,13,FALSE)</f>
        <v>0.19240000000000002</v>
      </c>
      <c r="Z155" s="30">
        <f t="shared" si="42"/>
        <v>7.0999999999999994E-2</v>
      </c>
      <c r="AA155" s="31">
        <f t="shared" si="30"/>
        <v>5.2679999999999998</v>
      </c>
      <c r="AB155" s="32">
        <f t="shared" si="31"/>
        <v>16.93</v>
      </c>
      <c r="AC155" s="28">
        <f t="shared" si="43"/>
        <v>17</v>
      </c>
      <c r="AD155" s="33">
        <f t="shared" si="32"/>
        <v>4.8099999999999996</v>
      </c>
      <c r="AE155" s="33">
        <f t="shared" si="33"/>
        <v>1.25</v>
      </c>
      <c r="AF155" s="25">
        <f t="shared" si="34"/>
        <v>440731.68</v>
      </c>
      <c r="AG155" s="25">
        <f t="shared" si="35"/>
        <v>52172.72000000003</v>
      </c>
      <c r="AH155" s="25">
        <f t="shared" si="36"/>
        <v>74610.720000000001</v>
      </c>
      <c r="AI155" s="25">
        <f t="shared" si="37"/>
        <v>12766.720000000001</v>
      </c>
      <c r="AJ155" s="25">
        <f t="shared" si="38"/>
        <v>79992.800000000003</v>
      </c>
      <c r="AK155" s="25">
        <f t="shared" si="39"/>
        <v>9135.44</v>
      </c>
      <c r="AL155" s="25">
        <f t="shared" si="40"/>
        <v>9653.5300000000007</v>
      </c>
      <c r="AM155" s="23">
        <f t="shared" si="41"/>
        <v>679063.61</v>
      </c>
      <c r="AO155" s="23"/>
      <c r="AP155" s="23"/>
    </row>
    <row r="156" spans="1:42" x14ac:dyDescent="0.25">
      <c r="A156" t="s">
        <v>148</v>
      </c>
      <c r="B156" t="s">
        <v>444</v>
      </c>
      <c r="C156" s="25">
        <v>820.74</v>
      </c>
      <c r="D156" s="25">
        <v>0</v>
      </c>
      <c r="E156" s="25">
        <v>46.423999999999999</v>
      </c>
      <c r="F156" s="25">
        <v>0</v>
      </c>
      <c r="G156" s="25">
        <v>4.1100000000000003</v>
      </c>
      <c r="H156" s="25">
        <v>0</v>
      </c>
      <c r="I156" s="25">
        <v>0</v>
      </c>
      <c r="J156" s="25">
        <v>0</v>
      </c>
      <c r="K156" s="192">
        <v>1</v>
      </c>
      <c r="L156" s="192">
        <v>1</v>
      </c>
      <c r="M156" s="192">
        <v>4.0000000000000036E-2</v>
      </c>
      <c r="N156" s="278"/>
      <c r="O156" s="278"/>
      <c r="P156" s="278"/>
      <c r="Q156" s="278"/>
      <c r="R156" s="278"/>
      <c r="S156" s="278"/>
      <c r="T156" s="278"/>
      <c r="U156" s="278"/>
      <c r="V156" s="278"/>
      <c r="W156" s="278"/>
      <c r="X156" s="278"/>
      <c r="Y156" s="282">
        <f>VLOOKUP(A156,'3121% SY'!$A$3:$M$600,13,FALSE)</f>
        <v>0.24960000000000004</v>
      </c>
      <c r="Z156" s="30">
        <f t="shared" si="42"/>
        <v>1.026</v>
      </c>
      <c r="AA156" s="31">
        <f t="shared" si="30"/>
        <v>47.45</v>
      </c>
      <c r="AB156" s="32">
        <f t="shared" si="31"/>
        <v>17.3</v>
      </c>
      <c r="AC156" s="28">
        <f t="shared" si="43"/>
        <v>17.3</v>
      </c>
      <c r="AD156" s="33">
        <f t="shared" si="32"/>
        <v>54.795000000000002</v>
      </c>
      <c r="AE156" s="33">
        <f t="shared" si="33"/>
        <v>0</v>
      </c>
      <c r="AF156" s="25">
        <f t="shared" si="34"/>
        <v>3985130.76</v>
      </c>
      <c r="AG156" s="25">
        <f t="shared" si="35"/>
        <v>471749.87999999989</v>
      </c>
      <c r="AH156" s="25">
        <f t="shared" si="36"/>
        <v>674636.04</v>
      </c>
      <c r="AI156" s="25">
        <f t="shared" si="37"/>
        <v>115437.71999999997</v>
      </c>
      <c r="AJ156" s="25">
        <f t="shared" si="38"/>
        <v>723301.23</v>
      </c>
      <c r="AK156" s="25">
        <f t="shared" si="39"/>
        <v>82603.399999999994</v>
      </c>
      <c r="AL156" s="25">
        <f t="shared" si="40"/>
        <v>87288.01</v>
      </c>
      <c r="AM156" s="23">
        <f t="shared" si="41"/>
        <v>6140147.0399999991</v>
      </c>
      <c r="AO156" s="23"/>
      <c r="AP156" s="23"/>
    </row>
    <row r="157" spans="1:42" x14ac:dyDescent="0.25">
      <c r="A157" t="s">
        <v>149</v>
      </c>
      <c r="B157" t="s">
        <v>445</v>
      </c>
      <c r="C157" s="25">
        <v>115.82</v>
      </c>
      <c r="D157" s="25">
        <v>0</v>
      </c>
      <c r="E157" s="25">
        <v>7</v>
      </c>
      <c r="F157" s="25">
        <v>0</v>
      </c>
      <c r="G157" s="25">
        <v>0.51</v>
      </c>
      <c r="H157" s="25">
        <v>0</v>
      </c>
      <c r="I157" s="25">
        <v>0</v>
      </c>
      <c r="J157" s="25">
        <v>0</v>
      </c>
      <c r="K157" s="192">
        <v>1</v>
      </c>
      <c r="L157" s="192">
        <v>1</v>
      </c>
      <c r="M157" s="192">
        <v>0</v>
      </c>
      <c r="N157" s="278"/>
      <c r="O157" s="278"/>
      <c r="P157" s="278"/>
      <c r="Q157" s="278"/>
      <c r="R157" s="278"/>
      <c r="S157" s="278"/>
      <c r="T157" s="278"/>
      <c r="U157" s="278"/>
      <c r="V157" s="278"/>
      <c r="W157" s="278"/>
      <c r="X157" s="278"/>
      <c r="Y157" s="282">
        <f>VLOOKUP(A157,'3121% SY'!$A$3:$M$600,13,FALSE)</f>
        <v>0.21319999999999995</v>
      </c>
      <c r="Z157" s="30">
        <f t="shared" si="42"/>
        <v>0.109</v>
      </c>
      <c r="AA157" s="31">
        <f t="shared" si="30"/>
        <v>7.109</v>
      </c>
      <c r="AB157" s="32">
        <f t="shared" si="31"/>
        <v>16.29</v>
      </c>
      <c r="AC157" s="28">
        <f t="shared" si="43"/>
        <v>17</v>
      </c>
      <c r="AD157" s="33">
        <f t="shared" si="32"/>
        <v>7.8689999999999998</v>
      </c>
      <c r="AE157" s="33">
        <f t="shared" si="33"/>
        <v>0</v>
      </c>
      <c r="AF157" s="25">
        <f t="shared" si="34"/>
        <v>572296.63</v>
      </c>
      <c r="AG157" s="25">
        <f t="shared" si="35"/>
        <v>43129.989999999991</v>
      </c>
      <c r="AH157" s="25">
        <f t="shared" si="36"/>
        <v>96883.13</v>
      </c>
      <c r="AI157" s="25">
        <f t="shared" si="37"/>
        <v>16577.78</v>
      </c>
      <c r="AJ157" s="25">
        <f t="shared" si="38"/>
        <v>103871.84</v>
      </c>
      <c r="AK157" s="25">
        <f t="shared" si="39"/>
        <v>7552.06</v>
      </c>
      <c r="AL157" s="25">
        <f t="shared" si="40"/>
        <v>12053.13</v>
      </c>
      <c r="AM157" s="23">
        <f t="shared" si="41"/>
        <v>852364.56</v>
      </c>
      <c r="AO157" s="23"/>
      <c r="AP157" s="23"/>
    </row>
    <row r="158" spans="1:42" x14ac:dyDescent="0.25">
      <c r="A158" t="s">
        <v>150</v>
      </c>
      <c r="B158" t="s">
        <v>446</v>
      </c>
      <c r="C158" s="25">
        <v>986.4</v>
      </c>
      <c r="D158" s="25">
        <v>0</v>
      </c>
      <c r="E158" s="25">
        <v>55.030999999999999</v>
      </c>
      <c r="F158" s="25">
        <v>0</v>
      </c>
      <c r="G158" s="25">
        <v>6.1520000000000001</v>
      </c>
      <c r="H158" s="25">
        <v>0</v>
      </c>
      <c r="I158" s="25">
        <v>0</v>
      </c>
      <c r="J158" s="25">
        <v>0</v>
      </c>
      <c r="K158" s="192">
        <v>1</v>
      </c>
      <c r="L158" s="192">
        <v>1</v>
      </c>
      <c r="M158" s="192">
        <v>0</v>
      </c>
      <c r="N158" s="278"/>
      <c r="O158" s="278"/>
      <c r="P158" s="278"/>
      <c r="Q158" s="278"/>
      <c r="R158" s="278"/>
      <c r="S158" s="278"/>
      <c r="T158" s="278"/>
      <c r="U158" s="278"/>
      <c r="V158" s="278"/>
      <c r="W158" s="278"/>
      <c r="X158" s="278"/>
      <c r="Y158" s="282">
        <f>VLOOKUP(A158,'3121% SY'!$A$3:$M$600,13,FALSE)</f>
        <v>0.27070000000000005</v>
      </c>
      <c r="Z158" s="30">
        <f t="shared" si="42"/>
        <v>1.665</v>
      </c>
      <c r="AA158" s="31">
        <f t="shared" si="30"/>
        <v>56.695999999999998</v>
      </c>
      <c r="AB158" s="32">
        <f t="shared" si="31"/>
        <v>17.399999999999999</v>
      </c>
      <c r="AC158" s="28">
        <f t="shared" si="43"/>
        <v>17.399999999999999</v>
      </c>
      <c r="AD158" s="33">
        <f t="shared" si="32"/>
        <v>65.477000000000004</v>
      </c>
      <c r="AE158" s="33">
        <f t="shared" si="33"/>
        <v>0</v>
      </c>
      <c r="AF158" s="25">
        <f t="shared" si="34"/>
        <v>4762011.26</v>
      </c>
      <c r="AG158" s="25">
        <f t="shared" si="35"/>
        <v>358879.43000000063</v>
      </c>
      <c r="AH158" s="25">
        <f t="shared" si="36"/>
        <v>806152.82</v>
      </c>
      <c r="AI158" s="25">
        <f t="shared" si="37"/>
        <v>137941.71000000008</v>
      </c>
      <c r="AJ158" s="25">
        <f t="shared" si="38"/>
        <v>864305.04</v>
      </c>
      <c r="AK158" s="25">
        <f t="shared" si="39"/>
        <v>62839.79</v>
      </c>
      <c r="AL158" s="25">
        <f t="shared" si="40"/>
        <v>100292.64</v>
      </c>
      <c r="AM158" s="23">
        <f t="shared" si="41"/>
        <v>7092422.6900000004</v>
      </c>
      <c r="AO158" s="23"/>
      <c r="AP158" s="23"/>
    </row>
    <row r="159" spans="1:42" x14ac:dyDescent="0.25">
      <c r="A159" t="s">
        <v>151</v>
      </c>
      <c r="B159" t="s">
        <v>447</v>
      </c>
      <c r="C159" s="25">
        <v>21.4</v>
      </c>
      <c r="D159" s="25">
        <v>0</v>
      </c>
      <c r="E159" s="25">
        <v>3.47</v>
      </c>
      <c r="F159" s="25">
        <v>0</v>
      </c>
      <c r="G159" s="25">
        <v>0.48</v>
      </c>
      <c r="H159" s="25">
        <v>0</v>
      </c>
      <c r="I159" s="25">
        <v>0</v>
      </c>
      <c r="J159" s="25">
        <v>0</v>
      </c>
      <c r="K159" s="192">
        <v>1</v>
      </c>
      <c r="L159" s="192">
        <v>1</v>
      </c>
      <c r="M159" s="192">
        <v>0</v>
      </c>
      <c r="N159" s="278"/>
      <c r="O159" s="278"/>
      <c r="P159" s="278"/>
      <c r="Q159" s="278"/>
      <c r="R159" s="278"/>
      <c r="S159" s="278"/>
      <c r="T159" s="278"/>
      <c r="U159" s="278"/>
      <c r="V159" s="278"/>
      <c r="W159" s="278"/>
      <c r="X159" s="278"/>
      <c r="Y159" s="282">
        <f>VLOOKUP(A159,'3121% SY'!$A$3:$M$600,13,FALSE)</f>
        <v>0.14849999999999997</v>
      </c>
      <c r="Z159" s="30">
        <f t="shared" si="42"/>
        <v>7.0999999999999994E-2</v>
      </c>
      <c r="AA159" s="31">
        <f t="shared" si="30"/>
        <v>3.5410000000000004</v>
      </c>
      <c r="AB159" s="32">
        <f t="shared" si="31"/>
        <v>6.04</v>
      </c>
      <c r="AC159" s="28">
        <f t="shared" si="43"/>
        <v>17</v>
      </c>
      <c r="AD159" s="33">
        <f t="shared" si="32"/>
        <v>1.454</v>
      </c>
      <c r="AE159" s="33">
        <f t="shared" si="33"/>
        <v>0</v>
      </c>
      <c r="AF159" s="25">
        <f t="shared" si="34"/>
        <v>105746.51</v>
      </c>
      <c r="AG159" s="25">
        <f t="shared" si="35"/>
        <v>7969.3800000000047</v>
      </c>
      <c r="AH159" s="25">
        <f t="shared" si="36"/>
        <v>17901.650000000001</v>
      </c>
      <c r="AI159" s="25">
        <f t="shared" si="37"/>
        <v>3063.1699999999983</v>
      </c>
      <c r="AJ159" s="25">
        <f t="shared" si="38"/>
        <v>19192.990000000002</v>
      </c>
      <c r="AK159" s="25">
        <f t="shared" si="39"/>
        <v>1395.44</v>
      </c>
      <c r="AL159" s="25">
        <f t="shared" si="40"/>
        <v>2227.13</v>
      </c>
      <c r="AM159" s="23">
        <f t="shared" si="41"/>
        <v>157496.27000000002</v>
      </c>
      <c r="AO159" s="23"/>
      <c r="AP159" s="23"/>
    </row>
    <row r="160" spans="1:42" x14ac:dyDescent="0.25">
      <c r="A160" t="s">
        <v>152</v>
      </c>
      <c r="B160" t="s">
        <v>448</v>
      </c>
      <c r="C160" s="25">
        <v>164.77</v>
      </c>
      <c r="D160" s="25">
        <v>16</v>
      </c>
      <c r="E160" s="25">
        <v>13.879</v>
      </c>
      <c r="F160" s="25">
        <v>0</v>
      </c>
      <c r="G160" s="25">
        <v>0.24</v>
      </c>
      <c r="H160" s="25">
        <v>0</v>
      </c>
      <c r="I160" s="25">
        <v>0</v>
      </c>
      <c r="J160" s="25">
        <v>0</v>
      </c>
      <c r="K160" s="192">
        <v>1</v>
      </c>
      <c r="L160" s="192">
        <v>1</v>
      </c>
      <c r="M160" s="192">
        <v>0</v>
      </c>
      <c r="N160" s="278"/>
      <c r="O160" s="278"/>
      <c r="P160" s="278"/>
      <c r="Q160" s="278"/>
      <c r="R160" s="278"/>
      <c r="S160" s="278"/>
      <c r="T160" s="278"/>
      <c r="U160" s="278"/>
      <c r="V160" s="278"/>
      <c r="W160" s="278"/>
      <c r="X160" s="278"/>
      <c r="Y160" s="282">
        <f>VLOOKUP(A160,'3121% SY'!$A$3:$M$600,13,FALSE)</f>
        <v>0.2621</v>
      </c>
      <c r="Z160" s="30">
        <f t="shared" si="42"/>
        <v>6.3E-2</v>
      </c>
      <c r="AA160" s="31">
        <f t="shared" si="30"/>
        <v>13.942</v>
      </c>
      <c r="AB160" s="32">
        <f t="shared" si="31"/>
        <v>12.97</v>
      </c>
      <c r="AC160" s="28">
        <f t="shared" si="43"/>
        <v>17</v>
      </c>
      <c r="AD160" s="33">
        <f t="shared" si="32"/>
        <v>11.195</v>
      </c>
      <c r="AE160" s="33">
        <f t="shared" si="33"/>
        <v>1.087</v>
      </c>
      <c r="AF160" s="25">
        <f t="shared" si="34"/>
        <v>893245.3</v>
      </c>
      <c r="AG160" s="25">
        <f t="shared" si="35"/>
        <v>67317.639999999898</v>
      </c>
      <c r="AH160" s="25">
        <f t="shared" si="36"/>
        <v>151215.98000000001</v>
      </c>
      <c r="AI160" s="25">
        <f t="shared" si="37"/>
        <v>25874.739999999991</v>
      </c>
      <c r="AJ160" s="25">
        <f t="shared" si="38"/>
        <v>162124.01999999999</v>
      </c>
      <c r="AK160" s="25">
        <f t="shared" si="39"/>
        <v>11787.32</v>
      </c>
      <c r="AL160" s="25">
        <f t="shared" si="40"/>
        <v>18812.63</v>
      </c>
      <c r="AM160" s="23">
        <f t="shared" si="41"/>
        <v>1330377.6299999999</v>
      </c>
      <c r="AO160" s="23"/>
      <c r="AP160" s="23"/>
    </row>
    <row r="161" spans="1:42" x14ac:dyDescent="0.25">
      <c r="A161" t="s">
        <v>153</v>
      </c>
      <c r="B161" t="s">
        <v>449</v>
      </c>
      <c r="C161" s="25">
        <v>29.8</v>
      </c>
      <c r="D161" s="25">
        <v>0</v>
      </c>
      <c r="E161" s="25">
        <v>3.323</v>
      </c>
      <c r="F161" s="25">
        <v>0</v>
      </c>
      <c r="G161" s="25">
        <v>0.44</v>
      </c>
      <c r="H161" s="25">
        <v>0</v>
      </c>
      <c r="I161" s="25">
        <v>0</v>
      </c>
      <c r="J161" s="25">
        <v>0</v>
      </c>
      <c r="K161" s="192">
        <v>1</v>
      </c>
      <c r="L161" s="192">
        <v>1</v>
      </c>
      <c r="M161" s="192">
        <v>1.0000000000000009E-2</v>
      </c>
      <c r="N161" s="278"/>
      <c r="O161" s="278"/>
      <c r="P161" s="278"/>
      <c r="Q161" s="278"/>
      <c r="R161" s="278"/>
      <c r="S161" s="278"/>
      <c r="T161" s="278"/>
      <c r="U161" s="278"/>
      <c r="V161" s="278"/>
      <c r="W161" s="278"/>
      <c r="X161" s="278"/>
      <c r="Y161" s="282">
        <f>VLOOKUP(A161,'3121% SY'!$A$3:$M$600,13,FALSE)</f>
        <v>0.16059999999999997</v>
      </c>
      <c r="Z161" s="30">
        <f t="shared" si="42"/>
        <v>7.0999999999999994E-2</v>
      </c>
      <c r="AA161" s="31">
        <f t="shared" si="30"/>
        <v>3.3940000000000001</v>
      </c>
      <c r="AB161" s="32">
        <f t="shared" si="31"/>
        <v>8.7799999999999994</v>
      </c>
      <c r="AC161" s="28">
        <f t="shared" si="43"/>
        <v>17</v>
      </c>
      <c r="AD161" s="33">
        <f t="shared" si="32"/>
        <v>2.0249999999999999</v>
      </c>
      <c r="AE161" s="33">
        <f t="shared" si="33"/>
        <v>0</v>
      </c>
      <c r="AF161" s="25">
        <f t="shared" si="34"/>
        <v>147274.20000000001</v>
      </c>
      <c r="AG161" s="25">
        <f t="shared" si="35"/>
        <v>12682.75999999998</v>
      </c>
      <c r="AH161" s="25">
        <f t="shared" si="36"/>
        <v>24931.8</v>
      </c>
      <c r="AI161" s="25">
        <f t="shared" si="37"/>
        <v>4266.1100000000006</v>
      </c>
      <c r="AJ161" s="25">
        <f t="shared" si="38"/>
        <v>26730.27</v>
      </c>
      <c r="AK161" s="25">
        <f t="shared" si="39"/>
        <v>2220.75</v>
      </c>
      <c r="AL161" s="25">
        <f t="shared" si="40"/>
        <v>3132.76</v>
      </c>
      <c r="AM161" s="23">
        <f t="shared" si="41"/>
        <v>221238.65</v>
      </c>
      <c r="AO161" s="23"/>
      <c r="AP161" s="23"/>
    </row>
    <row r="162" spans="1:42" x14ac:dyDescent="0.25">
      <c r="A162" t="s">
        <v>154</v>
      </c>
      <c r="B162" t="s">
        <v>450</v>
      </c>
      <c r="C162" s="25">
        <v>27.4</v>
      </c>
      <c r="D162" s="25">
        <v>0</v>
      </c>
      <c r="E162" s="25">
        <v>0.55000000000000004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192">
        <v>1</v>
      </c>
      <c r="L162" s="192">
        <v>1</v>
      </c>
      <c r="M162" s="192">
        <v>1.0000000000000009E-2</v>
      </c>
      <c r="N162" s="278"/>
      <c r="O162" s="278"/>
      <c r="P162" s="278"/>
      <c r="Q162" s="278"/>
      <c r="R162" s="278"/>
      <c r="S162" s="278"/>
      <c r="T162" s="278"/>
      <c r="U162" s="278"/>
      <c r="V162" s="278"/>
      <c r="W162" s="278"/>
      <c r="X162" s="278"/>
      <c r="Y162" s="282">
        <f>VLOOKUP(A162,'3121% SY'!$A$3:$M$600,13,FALSE)</f>
        <v>0.14610000000000001</v>
      </c>
      <c r="Z162" s="30">
        <f t="shared" si="42"/>
        <v>0</v>
      </c>
      <c r="AA162" s="31">
        <f t="shared" si="30"/>
        <v>0.55000000000000004</v>
      </c>
      <c r="AB162" s="32">
        <f t="shared" si="31"/>
        <v>49.82</v>
      </c>
      <c r="AC162" s="28">
        <f t="shared" si="43"/>
        <v>25.23</v>
      </c>
      <c r="AD162" s="33">
        <f t="shared" si="32"/>
        <v>1.254</v>
      </c>
      <c r="AE162" s="33">
        <f t="shared" si="33"/>
        <v>0</v>
      </c>
      <c r="AF162" s="25">
        <f t="shared" si="34"/>
        <v>91200.91</v>
      </c>
      <c r="AG162" s="25">
        <f t="shared" si="35"/>
        <v>7853.9199999999983</v>
      </c>
      <c r="AH162" s="25">
        <f t="shared" si="36"/>
        <v>15439.25</v>
      </c>
      <c r="AI162" s="25">
        <f t="shared" si="37"/>
        <v>2641.8199999999997</v>
      </c>
      <c r="AJ162" s="25">
        <f t="shared" si="38"/>
        <v>16552.97</v>
      </c>
      <c r="AK162" s="25">
        <f t="shared" si="39"/>
        <v>1375.22</v>
      </c>
      <c r="AL162" s="25">
        <f t="shared" si="40"/>
        <v>1939.99</v>
      </c>
      <c r="AM162" s="23">
        <f t="shared" si="41"/>
        <v>137004.07999999999</v>
      </c>
      <c r="AO162" s="23"/>
      <c r="AP162" s="23"/>
    </row>
    <row r="163" spans="1:42" x14ac:dyDescent="0.25">
      <c r="A163" t="s">
        <v>155</v>
      </c>
      <c r="B163" t="s">
        <v>451</v>
      </c>
      <c r="C163" s="25">
        <v>62.91</v>
      </c>
      <c r="D163" s="25">
        <v>9.6</v>
      </c>
      <c r="E163" s="25">
        <v>5.0750000000000002</v>
      </c>
      <c r="F163" s="25">
        <v>1.0840000000000001</v>
      </c>
      <c r="G163" s="25">
        <v>0.373</v>
      </c>
      <c r="H163" s="25">
        <v>0</v>
      </c>
      <c r="I163" s="25">
        <v>0</v>
      </c>
      <c r="J163" s="25">
        <v>0</v>
      </c>
      <c r="K163" s="192">
        <v>1</v>
      </c>
      <c r="L163" s="192">
        <v>1</v>
      </c>
      <c r="M163" s="192">
        <v>4.0000000000000036E-2</v>
      </c>
      <c r="N163" s="278"/>
      <c r="O163" s="278"/>
      <c r="P163" s="278"/>
      <c r="Q163" s="278"/>
      <c r="R163" s="278"/>
      <c r="S163" s="278"/>
      <c r="T163" s="278"/>
      <c r="U163" s="278"/>
      <c r="V163" s="278"/>
      <c r="W163" s="278"/>
      <c r="X163" s="278"/>
      <c r="Y163" s="282">
        <f>VLOOKUP(A163,'3121% SY'!$A$3:$M$600,13,FALSE)</f>
        <v>0.24739999999999995</v>
      </c>
      <c r="Z163" s="30">
        <f t="shared" si="42"/>
        <v>9.1999999999999998E-2</v>
      </c>
      <c r="AA163" s="31">
        <f t="shared" si="30"/>
        <v>6.2509999999999994</v>
      </c>
      <c r="AB163" s="32">
        <f t="shared" si="31"/>
        <v>11.6</v>
      </c>
      <c r="AC163" s="28">
        <f t="shared" si="43"/>
        <v>17</v>
      </c>
      <c r="AD163" s="33">
        <f t="shared" si="32"/>
        <v>4.274</v>
      </c>
      <c r="AE163" s="33">
        <f t="shared" si="33"/>
        <v>0.65200000000000002</v>
      </c>
      <c r="AF163" s="25">
        <f t="shared" si="34"/>
        <v>358258.13</v>
      </c>
      <c r="AG163" s="25">
        <f t="shared" si="35"/>
        <v>42409.710000000021</v>
      </c>
      <c r="AH163" s="25">
        <f t="shared" si="36"/>
        <v>60648.91</v>
      </c>
      <c r="AI163" s="25">
        <f t="shared" si="37"/>
        <v>10377.699999999997</v>
      </c>
      <c r="AJ163" s="25">
        <f t="shared" si="38"/>
        <v>65023.85</v>
      </c>
      <c r="AK163" s="25">
        <f t="shared" si="39"/>
        <v>7425.94</v>
      </c>
      <c r="AL163" s="25">
        <f t="shared" si="40"/>
        <v>7847.08</v>
      </c>
      <c r="AM163" s="23">
        <f t="shared" si="41"/>
        <v>551991.31999999995</v>
      </c>
      <c r="AO163" s="23"/>
      <c r="AP163" s="23"/>
    </row>
    <row r="164" spans="1:42" x14ac:dyDescent="0.25">
      <c r="A164" t="s">
        <v>156</v>
      </c>
      <c r="B164" t="s">
        <v>452</v>
      </c>
      <c r="C164" s="25">
        <v>62.2</v>
      </c>
      <c r="D164" s="25">
        <v>15</v>
      </c>
      <c r="E164" s="25">
        <v>4</v>
      </c>
      <c r="F164" s="25">
        <v>1.083</v>
      </c>
      <c r="G164" s="25">
        <v>0</v>
      </c>
      <c r="H164" s="25">
        <v>0</v>
      </c>
      <c r="I164" s="25">
        <v>0</v>
      </c>
      <c r="J164" s="25">
        <v>0</v>
      </c>
      <c r="K164" s="192">
        <v>1</v>
      </c>
      <c r="L164" s="192">
        <v>1</v>
      </c>
      <c r="M164" s="192">
        <v>0</v>
      </c>
      <c r="N164" s="278"/>
      <c r="O164" s="278"/>
      <c r="P164" s="278"/>
      <c r="Q164" s="278"/>
      <c r="R164" s="278"/>
      <c r="S164" s="278"/>
      <c r="T164" s="278"/>
      <c r="U164" s="278"/>
      <c r="V164" s="278"/>
      <c r="W164" s="278"/>
      <c r="X164" s="278"/>
      <c r="Y164" s="282">
        <f>VLOOKUP(A164,'3121% SY'!$A$3:$M$600,13,FALSE)</f>
        <v>0.16490000000000005</v>
      </c>
      <c r="Z164" s="30">
        <f t="shared" si="42"/>
        <v>0</v>
      </c>
      <c r="AA164" s="31">
        <f t="shared" si="30"/>
        <v>5.0830000000000002</v>
      </c>
      <c r="AB164" s="32">
        <f t="shared" si="31"/>
        <v>15.19</v>
      </c>
      <c r="AC164" s="28">
        <f t="shared" si="43"/>
        <v>17</v>
      </c>
      <c r="AD164" s="33">
        <f t="shared" si="32"/>
        <v>4.226</v>
      </c>
      <c r="AE164" s="33">
        <f t="shared" si="33"/>
        <v>1.0189999999999999</v>
      </c>
      <c r="AF164" s="25">
        <f t="shared" si="34"/>
        <v>381458.36</v>
      </c>
      <c r="AG164" s="25">
        <f t="shared" si="35"/>
        <v>28747.850000000035</v>
      </c>
      <c r="AH164" s="25">
        <f t="shared" si="36"/>
        <v>64576.44</v>
      </c>
      <c r="AI164" s="25">
        <f t="shared" si="37"/>
        <v>11049.75</v>
      </c>
      <c r="AJ164" s="25">
        <f t="shared" si="38"/>
        <v>69234.69</v>
      </c>
      <c r="AK164" s="25">
        <f t="shared" si="39"/>
        <v>5033.75</v>
      </c>
      <c r="AL164" s="25">
        <f t="shared" si="40"/>
        <v>8033.89</v>
      </c>
      <c r="AM164" s="23">
        <f t="shared" si="41"/>
        <v>568134.7300000001</v>
      </c>
      <c r="AO164" s="23"/>
      <c r="AP164" s="23"/>
    </row>
    <row r="165" spans="1:42" x14ac:dyDescent="0.25">
      <c r="A165" t="s">
        <v>157</v>
      </c>
      <c r="B165" t="s">
        <v>453</v>
      </c>
      <c r="C165" s="25">
        <v>38.200000000000003</v>
      </c>
      <c r="D165" s="25">
        <v>0</v>
      </c>
      <c r="E165" s="25">
        <v>3.8580000000000001</v>
      </c>
      <c r="F165" s="25">
        <v>0</v>
      </c>
      <c r="G165" s="25">
        <v>0.29199999999999998</v>
      </c>
      <c r="H165" s="25">
        <v>0</v>
      </c>
      <c r="I165" s="25">
        <v>0</v>
      </c>
      <c r="J165" s="25">
        <v>0</v>
      </c>
      <c r="K165" s="192">
        <v>1</v>
      </c>
      <c r="L165" s="192">
        <v>1</v>
      </c>
      <c r="M165" s="192">
        <v>4.0000000000000036E-2</v>
      </c>
      <c r="N165" s="278"/>
      <c r="O165" s="278"/>
      <c r="P165" s="278"/>
      <c r="Q165" s="278"/>
      <c r="R165" s="278"/>
      <c r="S165" s="278"/>
      <c r="T165" s="278"/>
      <c r="U165" s="278"/>
      <c r="V165" s="278"/>
      <c r="W165" s="278"/>
      <c r="X165" s="278"/>
      <c r="Y165" s="282">
        <f>VLOOKUP(A165,'3121% SY'!$A$3:$M$600,13,FALSE)</f>
        <v>0.11119999999999997</v>
      </c>
      <c r="Z165" s="30">
        <f t="shared" si="42"/>
        <v>3.2000000000000001E-2</v>
      </c>
      <c r="AA165" s="31">
        <f t="shared" si="30"/>
        <v>3.89</v>
      </c>
      <c r="AB165" s="32">
        <f t="shared" si="31"/>
        <v>9.82</v>
      </c>
      <c r="AC165" s="28">
        <f t="shared" si="43"/>
        <v>17</v>
      </c>
      <c r="AD165" s="33">
        <f t="shared" si="32"/>
        <v>2.5950000000000002</v>
      </c>
      <c r="AE165" s="33">
        <f t="shared" si="33"/>
        <v>0</v>
      </c>
      <c r="AF165" s="25">
        <f t="shared" si="34"/>
        <v>188729.16</v>
      </c>
      <c r="AG165" s="25">
        <f t="shared" si="35"/>
        <v>22341.290000000008</v>
      </c>
      <c r="AH165" s="25">
        <f t="shared" si="36"/>
        <v>31949.64</v>
      </c>
      <c r="AI165" s="25">
        <f t="shared" si="37"/>
        <v>5466.9400000000023</v>
      </c>
      <c r="AJ165" s="25">
        <f t="shared" si="38"/>
        <v>34254.339999999997</v>
      </c>
      <c r="AK165" s="25">
        <f t="shared" si="39"/>
        <v>3911.96</v>
      </c>
      <c r="AL165" s="25">
        <f t="shared" si="40"/>
        <v>4133.8100000000004</v>
      </c>
      <c r="AM165" s="23">
        <f t="shared" si="41"/>
        <v>290787.14</v>
      </c>
      <c r="AO165" s="23"/>
      <c r="AP165" s="23"/>
    </row>
    <row r="166" spans="1:42" x14ac:dyDescent="0.25">
      <c r="A166" t="s">
        <v>158</v>
      </c>
      <c r="B166" t="s">
        <v>454</v>
      </c>
      <c r="C166" s="25">
        <v>199.93</v>
      </c>
      <c r="D166" s="25">
        <v>18.2</v>
      </c>
      <c r="E166" s="25">
        <v>10.826000000000001</v>
      </c>
      <c r="F166" s="25">
        <v>1</v>
      </c>
      <c r="G166" s="25">
        <v>0.66800000000000004</v>
      </c>
      <c r="H166" s="25">
        <v>0</v>
      </c>
      <c r="I166" s="25">
        <v>0</v>
      </c>
      <c r="J166" s="25">
        <v>0</v>
      </c>
      <c r="K166" s="192">
        <v>1</v>
      </c>
      <c r="L166" s="192">
        <v>1</v>
      </c>
      <c r="M166" s="192">
        <v>0</v>
      </c>
      <c r="N166" s="278"/>
      <c r="O166" s="278"/>
      <c r="P166" s="278"/>
      <c r="Q166" s="278"/>
      <c r="R166" s="278"/>
      <c r="S166" s="278"/>
      <c r="T166" s="278"/>
      <c r="U166" s="278"/>
      <c r="V166" s="278"/>
      <c r="W166" s="278"/>
      <c r="X166" s="278"/>
      <c r="Y166" s="282">
        <f>VLOOKUP(A166,'3121% SY'!$A$3:$M$600,13,FALSE)</f>
        <v>0.1583</v>
      </c>
      <c r="Z166" s="30">
        <f t="shared" si="42"/>
        <v>0.106</v>
      </c>
      <c r="AA166" s="31">
        <f t="shared" si="30"/>
        <v>11.932</v>
      </c>
      <c r="AB166" s="32">
        <f t="shared" si="31"/>
        <v>18.28</v>
      </c>
      <c r="AC166" s="28">
        <f t="shared" si="43"/>
        <v>18.28</v>
      </c>
      <c r="AD166" s="33">
        <f t="shared" si="32"/>
        <v>12.632</v>
      </c>
      <c r="AE166" s="33">
        <f t="shared" si="33"/>
        <v>1.1499999999999999</v>
      </c>
      <c r="AF166" s="25">
        <f t="shared" si="34"/>
        <v>1002337.3</v>
      </c>
      <c r="AG166" s="25">
        <f t="shared" si="35"/>
        <v>75539.139999999898</v>
      </c>
      <c r="AH166" s="25">
        <f t="shared" si="36"/>
        <v>169683.98</v>
      </c>
      <c r="AI166" s="25">
        <f t="shared" si="37"/>
        <v>29034.819999999978</v>
      </c>
      <c r="AJ166" s="25">
        <f t="shared" si="38"/>
        <v>181924.22</v>
      </c>
      <c r="AK166" s="25">
        <f t="shared" si="39"/>
        <v>13226.9</v>
      </c>
      <c r="AL166" s="25">
        <f t="shared" si="40"/>
        <v>21110.21</v>
      </c>
      <c r="AM166" s="23">
        <f t="shared" si="41"/>
        <v>1492856.5699999998</v>
      </c>
      <c r="AO166" s="23"/>
      <c r="AP166" s="23"/>
    </row>
    <row r="167" spans="1:42" x14ac:dyDescent="0.25">
      <c r="A167" t="s">
        <v>159</v>
      </c>
      <c r="B167" t="s">
        <v>455</v>
      </c>
      <c r="C167" s="25">
        <v>99</v>
      </c>
      <c r="D167" s="25">
        <v>0</v>
      </c>
      <c r="E167" s="25">
        <v>5.9260000000000002</v>
      </c>
      <c r="F167" s="25">
        <v>0</v>
      </c>
      <c r="G167" s="25">
        <v>0.72099999999999997</v>
      </c>
      <c r="H167" s="25">
        <v>0</v>
      </c>
      <c r="I167" s="25">
        <v>0</v>
      </c>
      <c r="J167" s="25">
        <v>0</v>
      </c>
      <c r="K167" s="192">
        <v>1</v>
      </c>
      <c r="L167" s="192">
        <v>1</v>
      </c>
      <c r="M167" s="192">
        <v>0</v>
      </c>
      <c r="N167" s="278"/>
      <c r="O167" s="278"/>
      <c r="P167" s="278"/>
      <c r="Q167" s="278"/>
      <c r="R167" s="278"/>
      <c r="S167" s="278"/>
      <c r="T167" s="278"/>
      <c r="U167" s="278"/>
      <c r="V167" s="278"/>
      <c r="W167" s="278"/>
      <c r="X167" s="278"/>
      <c r="Y167" s="282">
        <f>VLOOKUP(A167,'3121% SY'!$A$3:$M$600,13,FALSE)</f>
        <v>0.16090000000000004</v>
      </c>
      <c r="Z167" s="30">
        <f t="shared" si="42"/>
        <v>0.11600000000000001</v>
      </c>
      <c r="AA167" s="31">
        <f t="shared" si="30"/>
        <v>6.0419999999999998</v>
      </c>
      <c r="AB167" s="32">
        <f t="shared" si="31"/>
        <v>16.39</v>
      </c>
      <c r="AC167" s="28">
        <f t="shared" si="43"/>
        <v>17</v>
      </c>
      <c r="AD167" s="33">
        <f t="shared" si="32"/>
        <v>6.726</v>
      </c>
      <c r="AE167" s="33">
        <f t="shared" si="33"/>
        <v>0</v>
      </c>
      <c r="AF167" s="25">
        <f t="shared" si="34"/>
        <v>489168.53</v>
      </c>
      <c r="AG167" s="25">
        <f t="shared" si="35"/>
        <v>36865.199999999953</v>
      </c>
      <c r="AH167" s="25">
        <f t="shared" si="36"/>
        <v>82810.509999999995</v>
      </c>
      <c r="AI167" s="25">
        <f t="shared" si="37"/>
        <v>14169.800000000003</v>
      </c>
      <c r="AJ167" s="25">
        <f t="shared" si="38"/>
        <v>88784.09</v>
      </c>
      <c r="AK167" s="25">
        <f t="shared" si="39"/>
        <v>6455.1</v>
      </c>
      <c r="AL167" s="25">
        <f t="shared" si="40"/>
        <v>10302.370000000001</v>
      </c>
      <c r="AM167" s="23">
        <f t="shared" si="41"/>
        <v>728555.6</v>
      </c>
      <c r="AO167" s="23"/>
      <c r="AP167" s="23"/>
    </row>
    <row r="168" spans="1:42" x14ac:dyDescent="0.25">
      <c r="A168" t="s">
        <v>160</v>
      </c>
      <c r="B168" t="s">
        <v>456</v>
      </c>
      <c r="C168" s="25">
        <v>82.88</v>
      </c>
      <c r="D168" s="25">
        <v>16</v>
      </c>
      <c r="E168" s="25">
        <v>5.4390000000000001</v>
      </c>
      <c r="F168" s="25">
        <v>0.222</v>
      </c>
      <c r="G168" s="25">
        <v>0.48</v>
      </c>
      <c r="H168" s="25">
        <v>0</v>
      </c>
      <c r="I168" s="25">
        <v>0</v>
      </c>
      <c r="J168" s="25">
        <v>0</v>
      </c>
      <c r="K168" s="192">
        <v>1.06</v>
      </c>
      <c r="L168" s="192">
        <v>1.06</v>
      </c>
      <c r="M168" s="192">
        <v>0</v>
      </c>
      <c r="N168" s="278"/>
      <c r="O168" s="278"/>
      <c r="P168" s="278"/>
      <c r="Q168" s="278"/>
      <c r="R168" s="278"/>
      <c r="S168" s="278"/>
      <c r="T168" s="278"/>
      <c r="U168" s="278"/>
      <c r="V168" s="278"/>
      <c r="W168" s="278"/>
      <c r="X168" s="278"/>
      <c r="Y168" s="282">
        <f>VLOOKUP(A168,'3121% SY'!$A$3:$M$600,13,FALSE)</f>
        <v>9.7999999999999976E-2</v>
      </c>
      <c r="Z168" s="30">
        <f t="shared" si="42"/>
        <v>4.7E-2</v>
      </c>
      <c r="AA168" s="31">
        <f t="shared" si="30"/>
        <v>5.7080000000000002</v>
      </c>
      <c r="AB168" s="32">
        <f t="shared" si="31"/>
        <v>17.32</v>
      </c>
      <c r="AC168" s="28">
        <f t="shared" si="43"/>
        <v>17.32</v>
      </c>
      <c r="AD168" s="33">
        <f t="shared" si="32"/>
        <v>5.5270000000000001</v>
      </c>
      <c r="AE168" s="33">
        <f t="shared" si="33"/>
        <v>1.0669999999999999</v>
      </c>
      <c r="AF168" s="25">
        <f t="shared" si="34"/>
        <v>508342.54</v>
      </c>
      <c r="AG168" s="25">
        <f t="shared" si="35"/>
        <v>38310.210000000021</v>
      </c>
      <c r="AH168" s="25">
        <f t="shared" si="36"/>
        <v>81185.33</v>
      </c>
      <c r="AI168" s="25">
        <f t="shared" si="37"/>
        <v>13891.709999999992</v>
      </c>
      <c r="AJ168" s="25">
        <f t="shared" si="38"/>
        <v>92264.17</v>
      </c>
      <c r="AK168" s="25">
        <f t="shared" si="39"/>
        <v>6708.12</v>
      </c>
      <c r="AL168" s="25">
        <f t="shared" si="40"/>
        <v>10706.19</v>
      </c>
      <c r="AM168" s="23">
        <f t="shared" si="41"/>
        <v>751408.2699999999</v>
      </c>
      <c r="AO168" s="23"/>
      <c r="AP168" s="23"/>
    </row>
    <row r="169" spans="1:42" x14ac:dyDescent="0.25">
      <c r="A169" t="s">
        <v>161</v>
      </c>
      <c r="B169" t="s">
        <v>457</v>
      </c>
      <c r="C169" s="25">
        <v>1180.81</v>
      </c>
      <c r="D169" s="25">
        <v>0</v>
      </c>
      <c r="E169" s="25">
        <v>66.141000000000005</v>
      </c>
      <c r="F169" s="25">
        <v>0</v>
      </c>
      <c r="G169" s="25">
        <v>6.9459999999999997</v>
      </c>
      <c r="H169" s="25">
        <v>0</v>
      </c>
      <c r="I169" s="25">
        <v>0</v>
      </c>
      <c r="J169" s="25">
        <v>0</v>
      </c>
      <c r="K169" s="192">
        <v>1</v>
      </c>
      <c r="L169" s="192">
        <v>1</v>
      </c>
      <c r="M169" s="192">
        <v>0</v>
      </c>
      <c r="N169" s="278"/>
      <c r="O169" s="278"/>
      <c r="P169" s="278"/>
      <c r="Q169" s="278"/>
      <c r="R169" s="278"/>
      <c r="S169" s="278"/>
      <c r="T169" s="278"/>
      <c r="U169" s="278"/>
      <c r="V169" s="278"/>
      <c r="W169" s="278"/>
      <c r="X169" s="278"/>
      <c r="Y169" s="282">
        <f>VLOOKUP(A169,'3121% SY'!$A$3:$M$600,13,FALSE)</f>
        <v>0.18730000000000002</v>
      </c>
      <c r="Z169" s="30">
        <f t="shared" si="42"/>
        <v>1.3009999999999999</v>
      </c>
      <c r="AA169" s="31">
        <f t="shared" si="30"/>
        <v>67.442000000000007</v>
      </c>
      <c r="AB169" s="32">
        <f t="shared" si="31"/>
        <v>17.510000000000002</v>
      </c>
      <c r="AC169" s="28">
        <f t="shared" si="43"/>
        <v>17.510000000000002</v>
      </c>
      <c r="AD169" s="33">
        <f t="shared" si="32"/>
        <v>77.888999999999996</v>
      </c>
      <c r="AE169" s="33">
        <f t="shared" si="33"/>
        <v>0</v>
      </c>
      <c r="AF169" s="25">
        <f t="shared" si="34"/>
        <v>5664711.1900000004</v>
      </c>
      <c r="AG169" s="25">
        <f t="shared" si="35"/>
        <v>426909.6099999994</v>
      </c>
      <c r="AH169" s="25">
        <f t="shared" si="36"/>
        <v>958969.37</v>
      </c>
      <c r="AI169" s="25">
        <f t="shared" si="37"/>
        <v>164090.30999999994</v>
      </c>
      <c r="AJ169" s="25">
        <f t="shared" si="38"/>
        <v>1028145.08</v>
      </c>
      <c r="AK169" s="25">
        <f t="shared" si="39"/>
        <v>74751.87</v>
      </c>
      <c r="AL169" s="25">
        <f t="shared" si="40"/>
        <v>119304.39</v>
      </c>
      <c r="AM169" s="23">
        <f t="shared" si="41"/>
        <v>8436881.8200000003</v>
      </c>
      <c r="AO169" s="23"/>
      <c r="AP169" s="23"/>
    </row>
    <row r="170" spans="1:42" x14ac:dyDescent="0.25">
      <c r="A170" t="s">
        <v>162</v>
      </c>
      <c r="B170" t="s">
        <v>458</v>
      </c>
      <c r="C170" s="25">
        <v>47.8</v>
      </c>
      <c r="D170" s="25">
        <v>0</v>
      </c>
      <c r="E170" s="25">
        <v>4</v>
      </c>
      <c r="F170" s="25">
        <v>0</v>
      </c>
      <c r="G170" s="25">
        <v>0.12</v>
      </c>
      <c r="H170" s="25">
        <v>0</v>
      </c>
      <c r="I170" s="25">
        <v>0</v>
      </c>
      <c r="J170" s="25">
        <v>0</v>
      </c>
      <c r="K170" s="192">
        <v>1</v>
      </c>
      <c r="L170" s="192">
        <v>1</v>
      </c>
      <c r="M170" s="192">
        <v>0</v>
      </c>
      <c r="N170" s="278"/>
      <c r="O170" s="278"/>
      <c r="P170" s="278"/>
      <c r="Q170" s="278"/>
      <c r="R170" s="278"/>
      <c r="S170" s="278"/>
      <c r="T170" s="278"/>
      <c r="U170" s="278"/>
      <c r="V170" s="278"/>
      <c r="W170" s="278"/>
      <c r="X170" s="278"/>
      <c r="Y170" s="282">
        <f>VLOOKUP(A170,'3121% SY'!$A$3:$M$600,13,FALSE)</f>
        <v>0.19820000000000004</v>
      </c>
      <c r="Z170" s="30">
        <f t="shared" si="42"/>
        <v>2.4E-2</v>
      </c>
      <c r="AA170" s="31">
        <f t="shared" si="30"/>
        <v>4.024</v>
      </c>
      <c r="AB170" s="32">
        <f t="shared" si="31"/>
        <v>11.88</v>
      </c>
      <c r="AC170" s="28">
        <f t="shared" si="43"/>
        <v>17</v>
      </c>
      <c r="AD170" s="33">
        <f t="shared" si="32"/>
        <v>3.2480000000000002</v>
      </c>
      <c r="AE170" s="33">
        <f t="shared" si="33"/>
        <v>0</v>
      </c>
      <c r="AF170" s="25">
        <f t="shared" si="34"/>
        <v>236220.54</v>
      </c>
      <c r="AG170" s="25">
        <f t="shared" si="35"/>
        <v>17802.289999999979</v>
      </c>
      <c r="AH170" s="25">
        <f t="shared" si="36"/>
        <v>39989.379999999997</v>
      </c>
      <c r="AI170" s="25">
        <f t="shared" si="37"/>
        <v>6842.6200000000026</v>
      </c>
      <c r="AJ170" s="25">
        <f t="shared" si="38"/>
        <v>42874.03</v>
      </c>
      <c r="AK170" s="25">
        <f t="shared" si="39"/>
        <v>3117.18</v>
      </c>
      <c r="AL170" s="25">
        <f t="shared" si="40"/>
        <v>4975.04</v>
      </c>
      <c r="AM170" s="23">
        <f t="shared" si="41"/>
        <v>351821.07999999996</v>
      </c>
      <c r="AO170" s="23"/>
      <c r="AP170" s="23"/>
    </row>
    <row r="171" spans="1:42" x14ac:dyDescent="0.25">
      <c r="A171" t="s">
        <v>163</v>
      </c>
      <c r="B171" t="s">
        <v>459</v>
      </c>
      <c r="C171" s="25">
        <v>306.99</v>
      </c>
      <c r="D171" s="25">
        <v>0</v>
      </c>
      <c r="E171" s="25">
        <v>17.984999999999999</v>
      </c>
      <c r="F171" s="25">
        <v>0</v>
      </c>
      <c r="G171" s="25">
        <v>2.3279999999999998</v>
      </c>
      <c r="H171" s="25">
        <v>0</v>
      </c>
      <c r="I171" s="25">
        <v>0</v>
      </c>
      <c r="J171" s="25">
        <v>0</v>
      </c>
      <c r="K171" s="192">
        <v>1.06</v>
      </c>
      <c r="L171" s="192">
        <v>1.06</v>
      </c>
      <c r="M171" s="192">
        <v>0</v>
      </c>
      <c r="N171" s="278"/>
      <c r="O171" s="278"/>
      <c r="P171" s="278"/>
      <c r="Q171" s="278"/>
      <c r="R171" s="278"/>
      <c r="S171" s="278"/>
      <c r="T171" s="278"/>
      <c r="U171" s="278"/>
      <c r="V171" s="278"/>
      <c r="W171" s="278"/>
      <c r="X171" s="278"/>
      <c r="Y171" s="282">
        <f>VLOOKUP(A171,'3121% SY'!$A$3:$M$600,13,FALSE)</f>
        <v>0.20989999999999998</v>
      </c>
      <c r="Z171" s="30">
        <f t="shared" si="42"/>
        <v>0.48899999999999999</v>
      </c>
      <c r="AA171" s="31">
        <f t="shared" si="30"/>
        <v>18.474</v>
      </c>
      <c r="AB171" s="32">
        <f t="shared" si="31"/>
        <v>16.62</v>
      </c>
      <c r="AC171" s="28">
        <f t="shared" si="43"/>
        <v>17</v>
      </c>
      <c r="AD171" s="33">
        <f t="shared" si="32"/>
        <v>20.856999999999999</v>
      </c>
      <c r="AE171" s="33">
        <f t="shared" si="33"/>
        <v>0</v>
      </c>
      <c r="AF171" s="25">
        <f t="shared" si="34"/>
        <v>1607901.17</v>
      </c>
      <c r="AG171" s="25">
        <f t="shared" si="35"/>
        <v>121176.25</v>
      </c>
      <c r="AH171" s="25">
        <f t="shared" si="36"/>
        <v>256791.38</v>
      </c>
      <c r="AI171" s="25">
        <f t="shared" si="37"/>
        <v>43939.859999999986</v>
      </c>
      <c r="AJ171" s="25">
        <f t="shared" si="38"/>
        <v>291834.06</v>
      </c>
      <c r="AK171" s="25">
        <f t="shared" si="39"/>
        <v>21217.96</v>
      </c>
      <c r="AL171" s="25">
        <f t="shared" si="40"/>
        <v>33863.980000000003</v>
      </c>
      <c r="AM171" s="23">
        <f t="shared" si="41"/>
        <v>2376724.6599999997</v>
      </c>
      <c r="AO171" s="23"/>
      <c r="AP171" s="23"/>
    </row>
    <row r="172" spans="1:42" x14ac:dyDescent="0.25">
      <c r="A172" t="s">
        <v>164</v>
      </c>
      <c r="B172" t="s">
        <v>460</v>
      </c>
      <c r="C172" s="25">
        <v>626.96</v>
      </c>
      <c r="D172" s="25">
        <v>34</v>
      </c>
      <c r="E172" s="25">
        <v>36.165999999999997</v>
      </c>
      <c r="F172" s="25">
        <v>2</v>
      </c>
      <c r="G172" s="25">
        <v>2.5489999999999999</v>
      </c>
      <c r="H172" s="25">
        <v>0</v>
      </c>
      <c r="I172" s="25">
        <v>0</v>
      </c>
      <c r="J172" s="25">
        <v>0</v>
      </c>
      <c r="K172" s="192">
        <v>1.1200000000000001</v>
      </c>
      <c r="L172" s="192">
        <v>1.1200000000000001</v>
      </c>
      <c r="M172" s="192">
        <v>0</v>
      </c>
      <c r="N172" s="278"/>
      <c r="O172" s="278"/>
      <c r="P172" s="278"/>
      <c r="Q172" s="278"/>
      <c r="R172" s="278"/>
      <c r="S172" s="278"/>
      <c r="T172" s="278"/>
      <c r="U172" s="278"/>
      <c r="V172" s="278"/>
      <c r="W172" s="278"/>
      <c r="X172" s="278"/>
      <c r="Y172" s="282">
        <f>VLOOKUP(A172,'3121% SY'!$A$3:$M$600,13,FALSE)</f>
        <v>0.18140000000000001</v>
      </c>
      <c r="Z172" s="30">
        <f t="shared" si="42"/>
        <v>0.46200000000000002</v>
      </c>
      <c r="AA172" s="31">
        <f t="shared" si="30"/>
        <v>38.628</v>
      </c>
      <c r="AB172" s="32">
        <f t="shared" si="31"/>
        <v>17.11</v>
      </c>
      <c r="AC172" s="28">
        <f t="shared" si="43"/>
        <v>17.11</v>
      </c>
      <c r="AD172" s="33">
        <f t="shared" si="32"/>
        <v>42.323</v>
      </c>
      <c r="AE172" s="33">
        <f t="shared" si="33"/>
        <v>2.2949999999999999</v>
      </c>
      <c r="AF172" s="25">
        <f t="shared" si="34"/>
        <v>3634375.25</v>
      </c>
      <c r="AG172" s="25">
        <f t="shared" si="35"/>
        <v>273897.41000000015</v>
      </c>
      <c r="AH172" s="25">
        <f t="shared" si="36"/>
        <v>549336.81999999995</v>
      </c>
      <c r="AI172" s="25">
        <f t="shared" si="37"/>
        <v>93997.63</v>
      </c>
      <c r="AJ172" s="25">
        <f t="shared" si="38"/>
        <v>659639.11</v>
      </c>
      <c r="AK172" s="25">
        <f t="shared" si="39"/>
        <v>47959.44</v>
      </c>
      <c r="AL172" s="25">
        <f t="shared" si="40"/>
        <v>76543.520000000004</v>
      </c>
      <c r="AM172" s="23">
        <f t="shared" si="41"/>
        <v>5335749.1800000006</v>
      </c>
      <c r="AO172" s="23"/>
      <c r="AP172" s="23"/>
    </row>
    <row r="173" spans="1:42" x14ac:dyDescent="0.25">
      <c r="A173" t="s">
        <v>165</v>
      </c>
      <c r="B173" t="s">
        <v>461</v>
      </c>
      <c r="C173" s="25">
        <v>146.6</v>
      </c>
      <c r="D173" s="25">
        <v>13.6</v>
      </c>
      <c r="E173" s="25">
        <v>8.8879999999999999</v>
      </c>
      <c r="F173" s="25">
        <v>0.8</v>
      </c>
      <c r="G173" s="25">
        <v>0.8</v>
      </c>
      <c r="H173" s="25">
        <v>0</v>
      </c>
      <c r="I173" s="25">
        <v>0</v>
      </c>
      <c r="J173" s="25">
        <v>0</v>
      </c>
      <c r="K173" s="192">
        <v>1</v>
      </c>
      <c r="L173" s="192">
        <v>1</v>
      </c>
      <c r="M173" s="192">
        <v>0</v>
      </c>
      <c r="N173" s="278"/>
      <c r="O173" s="278"/>
      <c r="P173" s="278"/>
      <c r="Q173" s="278"/>
      <c r="R173" s="278"/>
      <c r="S173" s="278"/>
      <c r="T173" s="278"/>
      <c r="U173" s="278"/>
      <c r="V173" s="278"/>
      <c r="W173" s="278"/>
      <c r="X173" s="278"/>
      <c r="Y173" s="282">
        <f>VLOOKUP(A173,'3121% SY'!$A$3:$M$600,13,FALSE)</f>
        <v>0.13729999999999998</v>
      </c>
      <c r="Z173" s="30">
        <f t="shared" si="42"/>
        <v>0.11</v>
      </c>
      <c r="AA173" s="31">
        <f t="shared" si="30"/>
        <v>9.798</v>
      </c>
      <c r="AB173" s="32">
        <f t="shared" si="31"/>
        <v>16.350000000000001</v>
      </c>
      <c r="AC173" s="28">
        <f t="shared" si="43"/>
        <v>17</v>
      </c>
      <c r="AD173" s="33">
        <f t="shared" si="32"/>
        <v>9.9600000000000009</v>
      </c>
      <c r="AE173" s="33">
        <f t="shared" si="33"/>
        <v>0.92400000000000004</v>
      </c>
      <c r="AF173" s="25">
        <f t="shared" si="34"/>
        <v>791571.55</v>
      </c>
      <c r="AG173" s="25">
        <f t="shared" si="35"/>
        <v>59655.209999999963</v>
      </c>
      <c r="AH173" s="25">
        <f t="shared" si="36"/>
        <v>134003.81</v>
      </c>
      <c r="AI173" s="25">
        <f t="shared" si="37"/>
        <v>22929.540000000008</v>
      </c>
      <c r="AJ173" s="25">
        <f t="shared" si="38"/>
        <v>143670.24</v>
      </c>
      <c r="AK173" s="25">
        <f t="shared" si="39"/>
        <v>10445.629999999999</v>
      </c>
      <c r="AL173" s="25">
        <f t="shared" si="40"/>
        <v>16671.28</v>
      </c>
      <c r="AM173" s="23">
        <f t="shared" si="41"/>
        <v>1178947.26</v>
      </c>
      <c r="AO173" s="23"/>
      <c r="AP173" s="23"/>
    </row>
    <row r="174" spans="1:42" x14ac:dyDescent="0.25">
      <c r="A174" t="s">
        <v>166</v>
      </c>
      <c r="B174" t="s">
        <v>462</v>
      </c>
      <c r="C174" s="25">
        <v>60.2</v>
      </c>
      <c r="D174" s="25">
        <v>5.6</v>
      </c>
      <c r="E174" s="25">
        <v>5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192">
        <v>1</v>
      </c>
      <c r="L174" s="192">
        <v>1</v>
      </c>
      <c r="M174" s="192">
        <v>0</v>
      </c>
      <c r="N174" s="278"/>
      <c r="O174" s="278"/>
      <c r="P174" s="278"/>
      <c r="Q174" s="278"/>
      <c r="R174" s="278"/>
      <c r="S174" s="278"/>
      <c r="T174" s="278"/>
      <c r="U174" s="278"/>
      <c r="V174" s="278"/>
      <c r="W174" s="278"/>
      <c r="X174" s="278"/>
      <c r="Y174" s="282">
        <f>VLOOKUP(A174,'3121% SY'!$A$3:$M$600,13,FALSE)</f>
        <v>0.15469999999999995</v>
      </c>
      <c r="Z174" s="30">
        <f t="shared" si="42"/>
        <v>0</v>
      </c>
      <c r="AA174" s="31">
        <f t="shared" si="30"/>
        <v>5</v>
      </c>
      <c r="AB174" s="32">
        <f t="shared" si="31"/>
        <v>13.16</v>
      </c>
      <c r="AC174" s="28">
        <f t="shared" si="43"/>
        <v>17</v>
      </c>
      <c r="AD174" s="33">
        <f t="shared" si="32"/>
        <v>4.09</v>
      </c>
      <c r="AE174" s="33">
        <f t="shared" si="33"/>
        <v>0.38</v>
      </c>
      <c r="AF174" s="25">
        <f t="shared" si="34"/>
        <v>325094.15999999997</v>
      </c>
      <c r="AG174" s="25">
        <f t="shared" si="35"/>
        <v>24500.070000000007</v>
      </c>
      <c r="AH174" s="25">
        <f t="shared" si="36"/>
        <v>55034.64</v>
      </c>
      <c r="AI174" s="25">
        <f t="shared" si="37"/>
        <v>9417.0400000000009</v>
      </c>
      <c r="AJ174" s="25">
        <f t="shared" si="38"/>
        <v>59004.59</v>
      </c>
      <c r="AK174" s="25">
        <f t="shared" si="39"/>
        <v>4289.96</v>
      </c>
      <c r="AL174" s="25">
        <f t="shared" si="40"/>
        <v>6846.8</v>
      </c>
      <c r="AM174" s="23">
        <f t="shared" si="41"/>
        <v>484187.26</v>
      </c>
      <c r="AO174" s="23"/>
      <c r="AP174" s="23"/>
    </row>
    <row r="175" spans="1:42" x14ac:dyDescent="0.25">
      <c r="A175" t="s">
        <v>167</v>
      </c>
      <c r="B175" t="s">
        <v>463</v>
      </c>
      <c r="C175" s="25">
        <v>445.92</v>
      </c>
      <c r="D175" s="25">
        <v>0</v>
      </c>
      <c r="E175" s="25">
        <v>29.332999999999998</v>
      </c>
      <c r="F175" s="25">
        <v>0</v>
      </c>
      <c r="G175" s="25">
        <v>2.6659999999999999</v>
      </c>
      <c r="H175" s="25">
        <v>0</v>
      </c>
      <c r="I175" s="25">
        <v>0</v>
      </c>
      <c r="J175" s="25">
        <v>0</v>
      </c>
      <c r="K175" s="192">
        <v>1</v>
      </c>
      <c r="L175" s="192">
        <v>1</v>
      </c>
      <c r="M175" s="192">
        <v>0</v>
      </c>
      <c r="N175" s="278"/>
      <c r="O175" s="278"/>
      <c r="P175" s="278"/>
      <c r="Q175" s="278"/>
      <c r="R175" s="278"/>
      <c r="S175" s="278"/>
      <c r="T175" s="278"/>
      <c r="U175" s="278"/>
      <c r="V175" s="278"/>
      <c r="W175" s="278"/>
      <c r="X175" s="278"/>
      <c r="Y175" s="282">
        <f>VLOOKUP(A175,'3121% SY'!$A$3:$M$600,13,FALSE)</f>
        <v>0.1875</v>
      </c>
      <c r="Z175" s="30">
        <f t="shared" si="42"/>
        <v>0.5</v>
      </c>
      <c r="AA175" s="31">
        <f t="shared" si="30"/>
        <v>29.832999999999998</v>
      </c>
      <c r="AB175" s="32">
        <f t="shared" si="31"/>
        <v>14.95</v>
      </c>
      <c r="AC175" s="28">
        <f t="shared" si="43"/>
        <v>17</v>
      </c>
      <c r="AD175" s="33">
        <f t="shared" si="32"/>
        <v>30.295999999999999</v>
      </c>
      <c r="AE175" s="33">
        <f t="shared" si="33"/>
        <v>0</v>
      </c>
      <c r="AF175" s="25">
        <f t="shared" si="34"/>
        <v>2203367.4900000002</v>
      </c>
      <c r="AG175" s="25">
        <f t="shared" si="35"/>
        <v>166052.36999999965</v>
      </c>
      <c r="AH175" s="25">
        <f t="shared" si="36"/>
        <v>373004.35</v>
      </c>
      <c r="AI175" s="25">
        <f t="shared" si="37"/>
        <v>63825.19</v>
      </c>
      <c r="AJ175" s="25">
        <f t="shared" si="38"/>
        <v>399911.2</v>
      </c>
      <c r="AK175" s="25">
        <f t="shared" si="39"/>
        <v>29075.77</v>
      </c>
      <c r="AL175" s="25">
        <f t="shared" si="40"/>
        <v>46405.09</v>
      </c>
      <c r="AM175" s="23">
        <f t="shared" si="41"/>
        <v>3281641.46</v>
      </c>
      <c r="AO175" s="23"/>
      <c r="AP175" s="23"/>
    </row>
    <row r="176" spans="1:42" x14ac:dyDescent="0.25">
      <c r="A176" t="s">
        <v>168</v>
      </c>
      <c r="B176" t="s">
        <v>464</v>
      </c>
      <c r="C176" s="25">
        <v>250.8</v>
      </c>
      <c r="D176" s="25">
        <v>16</v>
      </c>
      <c r="E176" s="25">
        <v>13.601000000000001</v>
      </c>
      <c r="F176" s="25">
        <v>1</v>
      </c>
      <c r="G176" s="25">
        <v>1.002</v>
      </c>
      <c r="H176" s="25">
        <v>0</v>
      </c>
      <c r="I176" s="25">
        <v>0</v>
      </c>
      <c r="J176" s="25">
        <v>0</v>
      </c>
      <c r="K176" s="192">
        <v>1</v>
      </c>
      <c r="L176" s="192">
        <v>1</v>
      </c>
      <c r="M176" s="192">
        <v>1.0000000000000009E-2</v>
      </c>
      <c r="N176" s="278"/>
      <c r="O176" s="278"/>
      <c r="P176" s="278"/>
      <c r="Q176" s="278"/>
      <c r="R176" s="278"/>
      <c r="S176" s="278"/>
      <c r="T176" s="278"/>
      <c r="U176" s="278"/>
      <c r="V176" s="278"/>
      <c r="W176" s="278"/>
      <c r="X176" s="278"/>
      <c r="Y176" s="282">
        <f>VLOOKUP(A176,'3121% SY'!$A$3:$M$600,13,FALSE)</f>
        <v>0.15990000000000004</v>
      </c>
      <c r="Z176" s="30">
        <f t="shared" si="42"/>
        <v>0.16</v>
      </c>
      <c r="AA176" s="31">
        <f t="shared" si="30"/>
        <v>14.761000000000001</v>
      </c>
      <c r="AB176" s="32">
        <f t="shared" si="31"/>
        <v>18.07</v>
      </c>
      <c r="AC176" s="28">
        <f t="shared" si="43"/>
        <v>18.07</v>
      </c>
      <c r="AD176" s="33">
        <f t="shared" si="32"/>
        <v>16.030999999999999</v>
      </c>
      <c r="AE176" s="33">
        <f t="shared" si="33"/>
        <v>1.0229999999999999</v>
      </c>
      <c r="AF176" s="25">
        <f t="shared" si="34"/>
        <v>1240303.31</v>
      </c>
      <c r="AG176" s="25">
        <f t="shared" si="35"/>
        <v>106810.73999999999</v>
      </c>
      <c r="AH176" s="25">
        <f t="shared" si="36"/>
        <v>209968.85</v>
      </c>
      <c r="AI176" s="25">
        <f t="shared" si="37"/>
        <v>35928</v>
      </c>
      <c r="AJ176" s="25">
        <f t="shared" si="38"/>
        <v>225115.05</v>
      </c>
      <c r="AK176" s="25">
        <f t="shared" si="39"/>
        <v>18702.560000000001</v>
      </c>
      <c r="AL176" s="25">
        <f t="shared" si="40"/>
        <v>26383.23</v>
      </c>
      <c r="AM176" s="23">
        <f t="shared" si="41"/>
        <v>1863211.7400000002</v>
      </c>
      <c r="AO176" s="23"/>
      <c r="AP176" s="23"/>
    </row>
    <row r="177" spans="1:42" x14ac:dyDescent="0.25">
      <c r="A177" t="s">
        <v>169</v>
      </c>
      <c r="B177" t="s">
        <v>465</v>
      </c>
      <c r="C177" s="25">
        <v>260.02999999999997</v>
      </c>
      <c r="D177" s="25">
        <v>31.4</v>
      </c>
      <c r="E177" s="25">
        <v>15.667999999999999</v>
      </c>
      <c r="F177" s="25">
        <v>0</v>
      </c>
      <c r="G177" s="25">
        <v>0.66600000000000004</v>
      </c>
      <c r="H177" s="25">
        <v>0</v>
      </c>
      <c r="I177" s="25">
        <v>0</v>
      </c>
      <c r="J177" s="25">
        <v>0</v>
      </c>
      <c r="K177" s="192">
        <v>1</v>
      </c>
      <c r="L177" s="192">
        <v>1</v>
      </c>
      <c r="M177" s="192">
        <v>0</v>
      </c>
      <c r="N177" s="278"/>
      <c r="O177" s="278"/>
      <c r="P177" s="278"/>
      <c r="Q177" s="278"/>
      <c r="R177" s="278"/>
      <c r="S177" s="278"/>
      <c r="T177" s="278"/>
      <c r="U177" s="278"/>
      <c r="V177" s="278"/>
      <c r="W177" s="278"/>
      <c r="X177" s="278"/>
      <c r="Y177" s="282">
        <f>VLOOKUP(A177,'3121% SY'!$A$3:$M$600,13,FALSE)</f>
        <v>0.21379999999999999</v>
      </c>
      <c r="Z177" s="30">
        <f t="shared" si="42"/>
        <v>0.14199999999999999</v>
      </c>
      <c r="AA177" s="31">
        <f t="shared" si="30"/>
        <v>15.809999999999999</v>
      </c>
      <c r="AB177" s="32">
        <f t="shared" si="31"/>
        <v>18.43</v>
      </c>
      <c r="AC177" s="28">
        <f t="shared" si="43"/>
        <v>18.43</v>
      </c>
      <c r="AD177" s="33">
        <f t="shared" si="32"/>
        <v>16.295999999999999</v>
      </c>
      <c r="AE177" s="33">
        <f t="shared" si="33"/>
        <v>1.968</v>
      </c>
      <c r="AF177" s="25">
        <f t="shared" si="34"/>
        <v>1328304.19</v>
      </c>
      <c r="AG177" s="25">
        <f t="shared" si="35"/>
        <v>100104.98999999999</v>
      </c>
      <c r="AH177" s="25">
        <f t="shared" si="36"/>
        <v>224866.37</v>
      </c>
      <c r="AI177" s="25">
        <f t="shared" si="37"/>
        <v>38477.130000000005</v>
      </c>
      <c r="AJ177" s="25">
        <f t="shared" si="38"/>
        <v>241087.21</v>
      </c>
      <c r="AK177" s="25">
        <f t="shared" si="39"/>
        <v>17528.38</v>
      </c>
      <c r="AL177" s="25">
        <f t="shared" si="40"/>
        <v>27975.39</v>
      </c>
      <c r="AM177" s="23">
        <f t="shared" si="41"/>
        <v>1978343.6599999995</v>
      </c>
      <c r="AO177" s="23"/>
      <c r="AP177" s="23"/>
    </row>
    <row r="178" spans="1:42" x14ac:dyDescent="0.25">
      <c r="A178" t="s">
        <v>170</v>
      </c>
      <c r="B178" t="s">
        <v>466</v>
      </c>
      <c r="C178" s="25">
        <v>71.8</v>
      </c>
      <c r="D178" s="25">
        <v>4</v>
      </c>
      <c r="E178" s="25">
        <v>3.8159999999999998</v>
      </c>
      <c r="F178" s="25">
        <v>1.1830000000000001</v>
      </c>
      <c r="G178" s="25">
        <v>0.1</v>
      </c>
      <c r="H178" s="25">
        <v>0</v>
      </c>
      <c r="I178" s="25">
        <v>0</v>
      </c>
      <c r="J178" s="25">
        <v>0</v>
      </c>
      <c r="K178" s="192">
        <v>1</v>
      </c>
      <c r="L178" s="192">
        <v>1</v>
      </c>
      <c r="M178" s="192">
        <v>1.0000000000000009E-2</v>
      </c>
      <c r="N178" s="278"/>
      <c r="O178" s="278"/>
      <c r="P178" s="278"/>
      <c r="Q178" s="278"/>
      <c r="R178" s="278"/>
      <c r="S178" s="278"/>
      <c r="T178" s="278"/>
      <c r="U178" s="278"/>
      <c r="V178" s="278"/>
      <c r="W178" s="278"/>
      <c r="X178" s="278"/>
      <c r="Y178" s="282">
        <f>VLOOKUP(A178,'3121% SY'!$A$3:$M$600,13,FALSE)</f>
        <v>0.25439999999999996</v>
      </c>
      <c r="Z178" s="30">
        <f t="shared" si="42"/>
        <v>2.5000000000000001E-2</v>
      </c>
      <c r="AA178" s="31">
        <f t="shared" si="30"/>
        <v>5.024</v>
      </c>
      <c r="AB178" s="32">
        <f t="shared" si="31"/>
        <v>15.09</v>
      </c>
      <c r="AC178" s="28">
        <f t="shared" si="43"/>
        <v>17</v>
      </c>
      <c r="AD178" s="33">
        <f t="shared" si="32"/>
        <v>4.8780000000000001</v>
      </c>
      <c r="AE178" s="33">
        <f t="shared" si="33"/>
        <v>0.27200000000000002</v>
      </c>
      <c r="AF178" s="25">
        <f t="shared" si="34"/>
        <v>374549.2</v>
      </c>
      <c r="AG178" s="25">
        <f t="shared" si="35"/>
        <v>32254.909999999974</v>
      </c>
      <c r="AH178" s="25">
        <f t="shared" si="36"/>
        <v>63406.8</v>
      </c>
      <c r="AI178" s="25">
        <f t="shared" si="37"/>
        <v>10849.61</v>
      </c>
      <c r="AJ178" s="25">
        <f t="shared" si="38"/>
        <v>67980.679999999993</v>
      </c>
      <c r="AK178" s="25">
        <f t="shared" si="39"/>
        <v>5647.83</v>
      </c>
      <c r="AL178" s="25">
        <f t="shared" si="40"/>
        <v>7967.26</v>
      </c>
      <c r="AM178" s="23">
        <f t="shared" si="41"/>
        <v>562656.28999999992</v>
      </c>
      <c r="AO178" s="23"/>
      <c r="AP178" s="23"/>
    </row>
    <row r="179" spans="1:42" x14ac:dyDescent="0.25">
      <c r="A179" t="s">
        <v>171</v>
      </c>
      <c r="B179" t="s">
        <v>467</v>
      </c>
      <c r="C179" s="25">
        <v>213</v>
      </c>
      <c r="D179" s="25">
        <v>0</v>
      </c>
      <c r="E179" s="25">
        <v>10.891999999999999</v>
      </c>
      <c r="F179" s="25">
        <v>0</v>
      </c>
      <c r="G179" s="25">
        <v>0</v>
      </c>
      <c r="H179" s="25">
        <v>0</v>
      </c>
      <c r="I179" s="25">
        <v>0</v>
      </c>
      <c r="J179" s="25">
        <v>0</v>
      </c>
      <c r="K179" s="192">
        <v>1</v>
      </c>
      <c r="L179" s="192">
        <v>1</v>
      </c>
      <c r="M179" s="192">
        <v>0</v>
      </c>
      <c r="N179" s="278"/>
      <c r="O179" s="278"/>
      <c r="P179" s="278"/>
      <c r="Q179" s="278"/>
      <c r="R179" s="278"/>
      <c r="S179" s="278"/>
      <c r="T179" s="278"/>
      <c r="U179" s="278"/>
      <c r="V179" s="278"/>
      <c r="W179" s="278"/>
      <c r="X179" s="278"/>
      <c r="Y179" s="282">
        <f>VLOOKUP(A179,'3121% SY'!$A$3:$M$600,13,FALSE)</f>
        <v>0.19130000000000003</v>
      </c>
      <c r="Z179" s="30">
        <f t="shared" si="42"/>
        <v>0</v>
      </c>
      <c r="AA179" s="31">
        <f t="shared" si="30"/>
        <v>10.891999999999999</v>
      </c>
      <c r="AB179" s="32">
        <f t="shared" si="31"/>
        <v>19.559999999999999</v>
      </c>
      <c r="AC179" s="28">
        <f t="shared" si="43"/>
        <v>19.559999999999999</v>
      </c>
      <c r="AD179" s="33">
        <f t="shared" si="32"/>
        <v>12.577</v>
      </c>
      <c r="AE179" s="33">
        <f t="shared" si="33"/>
        <v>0</v>
      </c>
      <c r="AF179" s="25">
        <f t="shared" si="34"/>
        <v>914700.06</v>
      </c>
      <c r="AG179" s="25">
        <f t="shared" si="35"/>
        <v>68934.529999999912</v>
      </c>
      <c r="AH179" s="25">
        <f t="shared" si="36"/>
        <v>154848.01999999999</v>
      </c>
      <c r="AI179" s="25">
        <f t="shared" si="37"/>
        <v>26496.22</v>
      </c>
      <c r="AJ179" s="25">
        <f t="shared" si="38"/>
        <v>166018.06</v>
      </c>
      <c r="AK179" s="25">
        <f t="shared" si="39"/>
        <v>12070.44</v>
      </c>
      <c r="AL179" s="25">
        <f t="shared" si="40"/>
        <v>19264.48</v>
      </c>
      <c r="AM179" s="23">
        <f t="shared" si="41"/>
        <v>1362331.8099999998</v>
      </c>
      <c r="AO179" s="23"/>
      <c r="AP179" s="23"/>
    </row>
    <row r="180" spans="1:42" x14ac:dyDescent="0.25">
      <c r="A180" t="s">
        <v>172</v>
      </c>
      <c r="B180" t="s">
        <v>468</v>
      </c>
      <c r="C180" s="25">
        <v>283.52</v>
      </c>
      <c r="D180" s="25">
        <v>0</v>
      </c>
      <c r="E180" s="25">
        <v>14.762</v>
      </c>
      <c r="F180" s="25">
        <v>0</v>
      </c>
      <c r="G180" s="25">
        <v>0</v>
      </c>
      <c r="H180" s="25">
        <v>0</v>
      </c>
      <c r="I180" s="25">
        <v>0</v>
      </c>
      <c r="J180" s="25">
        <v>0</v>
      </c>
      <c r="K180" s="192">
        <v>1</v>
      </c>
      <c r="L180" s="192">
        <v>1</v>
      </c>
      <c r="M180" s="192">
        <v>0</v>
      </c>
      <c r="N180" s="278"/>
      <c r="O180" s="278"/>
      <c r="P180" s="278"/>
      <c r="Q180" s="278"/>
      <c r="R180" s="278"/>
      <c r="S180" s="278"/>
      <c r="T180" s="278"/>
      <c r="U180" s="278"/>
      <c r="V180" s="278"/>
      <c r="W180" s="278"/>
      <c r="X180" s="278"/>
      <c r="Y180" s="282">
        <f>VLOOKUP(A180,'3121% SY'!$A$3:$M$600,13,FALSE)</f>
        <v>0.15500000000000003</v>
      </c>
      <c r="Z180" s="30">
        <f t="shared" si="42"/>
        <v>0</v>
      </c>
      <c r="AA180" s="31">
        <f t="shared" si="30"/>
        <v>14.762</v>
      </c>
      <c r="AB180" s="32">
        <f t="shared" si="31"/>
        <v>19.21</v>
      </c>
      <c r="AC180" s="28">
        <f t="shared" si="43"/>
        <v>19.21</v>
      </c>
      <c r="AD180" s="33">
        <f t="shared" si="32"/>
        <v>17.047000000000001</v>
      </c>
      <c r="AE180" s="33">
        <f t="shared" si="33"/>
        <v>0</v>
      </c>
      <c r="AF180" s="25">
        <f t="shared" si="34"/>
        <v>1239794.22</v>
      </c>
      <c r="AG180" s="25">
        <f t="shared" si="35"/>
        <v>93434.600000000093</v>
      </c>
      <c r="AH180" s="25">
        <f t="shared" si="36"/>
        <v>209882.66</v>
      </c>
      <c r="AI180" s="25">
        <f t="shared" si="37"/>
        <v>35913.260000000009</v>
      </c>
      <c r="AJ180" s="25">
        <f t="shared" si="38"/>
        <v>225022.65</v>
      </c>
      <c r="AK180" s="25">
        <f t="shared" si="39"/>
        <v>16360.4</v>
      </c>
      <c r="AL180" s="25">
        <f t="shared" si="40"/>
        <v>26111.29</v>
      </c>
      <c r="AM180" s="23">
        <f t="shared" si="41"/>
        <v>1846519.0799999998</v>
      </c>
      <c r="AO180" s="23"/>
      <c r="AP180" s="23"/>
    </row>
    <row r="181" spans="1:42" x14ac:dyDescent="0.25">
      <c r="A181" t="s">
        <v>173</v>
      </c>
      <c r="B181" t="s">
        <v>469</v>
      </c>
      <c r="C181" s="25">
        <v>156.74</v>
      </c>
      <c r="D181" s="25">
        <v>0</v>
      </c>
      <c r="E181" s="25">
        <v>8.266</v>
      </c>
      <c r="F181" s="25">
        <v>0</v>
      </c>
      <c r="G181" s="25">
        <v>0.92900000000000005</v>
      </c>
      <c r="H181" s="25">
        <v>0</v>
      </c>
      <c r="I181" s="25">
        <v>0</v>
      </c>
      <c r="J181" s="25">
        <v>0</v>
      </c>
      <c r="K181" s="192">
        <v>1</v>
      </c>
      <c r="L181" s="192">
        <v>1</v>
      </c>
      <c r="M181" s="192">
        <v>0</v>
      </c>
      <c r="N181" s="278"/>
      <c r="O181" s="278"/>
      <c r="P181" s="278"/>
      <c r="Q181" s="278"/>
      <c r="R181" s="278"/>
      <c r="S181" s="278"/>
      <c r="T181" s="278"/>
      <c r="U181" s="278"/>
      <c r="V181" s="278"/>
      <c r="W181" s="278"/>
      <c r="X181" s="278"/>
      <c r="Y181" s="282">
        <f>VLOOKUP(A181,'3121% SY'!$A$3:$M$600,13,FALSE)</f>
        <v>0.20669999999999999</v>
      </c>
      <c r="Z181" s="30">
        <f t="shared" si="42"/>
        <v>0.192</v>
      </c>
      <c r="AA181" s="31">
        <f t="shared" si="30"/>
        <v>8.4580000000000002</v>
      </c>
      <c r="AB181" s="32">
        <f t="shared" si="31"/>
        <v>18.53</v>
      </c>
      <c r="AC181" s="28">
        <f t="shared" si="43"/>
        <v>18.53</v>
      </c>
      <c r="AD181" s="33">
        <f t="shared" si="32"/>
        <v>9.77</v>
      </c>
      <c r="AE181" s="33">
        <f t="shared" si="33"/>
        <v>0</v>
      </c>
      <c r="AF181" s="25">
        <f t="shared" si="34"/>
        <v>710552.56</v>
      </c>
      <c r="AG181" s="25">
        <f t="shared" si="35"/>
        <v>53549.369999999995</v>
      </c>
      <c r="AH181" s="25">
        <f t="shared" si="36"/>
        <v>120288.24</v>
      </c>
      <c r="AI181" s="25">
        <f t="shared" si="37"/>
        <v>20582.650000000009</v>
      </c>
      <c r="AJ181" s="25">
        <f t="shared" si="38"/>
        <v>128965.29</v>
      </c>
      <c r="AK181" s="25">
        <f t="shared" si="39"/>
        <v>9376.49</v>
      </c>
      <c r="AL181" s="25">
        <f t="shared" si="40"/>
        <v>14964.94</v>
      </c>
      <c r="AM181" s="23">
        <f t="shared" si="41"/>
        <v>1058279.54</v>
      </c>
      <c r="AO181" s="23"/>
      <c r="AP181" s="23"/>
    </row>
    <row r="182" spans="1:42" ht="14.25" customHeight="1" x14ac:dyDescent="0.25">
      <c r="A182" t="s">
        <v>1247</v>
      </c>
      <c r="B182" t="s">
        <v>1113</v>
      </c>
      <c r="C182" s="25">
        <v>71.2</v>
      </c>
      <c r="D182" s="25">
        <v>0</v>
      </c>
      <c r="E182" s="25">
        <v>5</v>
      </c>
      <c r="F182" s="25">
        <v>0</v>
      </c>
      <c r="G182" s="25">
        <v>0</v>
      </c>
      <c r="H182" s="25">
        <v>0</v>
      </c>
      <c r="I182" s="25">
        <v>0</v>
      </c>
      <c r="J182" s="25">
        <v>0</v>
      </c>
      <c r="K182" s="192">
        <v>1</v>
      </c>
      <c r="L182" s="192">
        <v>1</v>
      </c>
      <c r="M182" s="192">
        <v>0</v>
      </c>
      <c r="N182" s="278"/>
      <c r="O182" s="278"/>
      <c r="P182" s="278"/>
      <c r="Q182" s="278"/>
      <c r="R182" s="278"/>
      <c r="S182" s="278"/>
      <c r="T182" s="278"/>
      <c r="U182" s="278"/>
      <c r="V182" s="278"/>
      <c r="W182" s="278"/>
      <c r="X182" s="278"/>
      <c r="Y182" s="282">
        <f>VLOOKUP(A182,'3121% SY'!$A$3:$M$600,13,FALSE)</f>
        <v>0.14849999999999997</v>
      </c>
      <c r="Z182" s="30">
        <f t="shared" si="42"/>
        <v>0</v>
      </c>
      <c r="AA182" s="31">
        <f t="shared" si="30"/>
        <v>5</v>
      </c>
      <c r="AB182" s="32">
        <f t="shared" si="31"/>
        <v>14.24</v>
      </c>
      <c r="AC182" s="28">
        <f t="shared" si="43"/>
        <v>17</v>
      </c>
      <c r="AD182" s="33">
        <f t="shared" si="32"/>
        <v>4.8369999999999997</v>
      </c>
      <c r="AE182" s="33">
        <f t="shared" si="33"/>
        <v>0</v>
      </c>
      <c r="AF182" s="25">
        <f t="shared" si="34"/>
        <v>351785.34</v>
      </c>
      <c r="AG182" s="25">
        <f t="shared" si="35"/>
        <v>26511.589999999967</v>
      </c>
      <c r="AH182" s="25">
        <f t="shared" si="36"/>
        <v>59553.14</v>
      </c>
      <c r="AI182" s="25">
        <f t="shared" si="37"/>
        <v>10190.210000000006</v>
      </c>
      <c r="AJ182" s="25">
        <f t="shared" si="38"/>
        <v>63849.04</v>
      </c>
      <c r="AK182" s="25">
        <f t="shared" si="39"/>
        <v>4642.18</v>
      </c>
      <c r="AL182" s="25">
        <f t="shared" si="40"/>
        <v>7408.95</v>
      </c>
      <c r="AM182" s="23">
        <f t="shared" si="41"/>
        <v>523940.45</v>
      </c>
      <c r="AO182" s="23"/>
      <c r="AP182" s="23"/>
    </row>
    <row r="183" spans="1:42" x14ac:dyDescent="0.25">
      <c r="A183" t="s">
        <v>174</v>
      </c>
      <c r="B183" t="s">
        <v>470</v>
      </c>
      <c r="C183" s="25">
        <v>236.65</v>
      </c>
      <c r="D183" s="25">
        <v>17.399999999999999</v>
      </c>
      <c r="E183" s="25">
        <v>14.117000000000001</v>
      </c>
      <c r="F183" s="25">
        <v>1</v>
      </c>
      <c r="G183" s="25">
        <v>0</v>
      </c>
      <c r="H183" s="25">
        <v>0</v>
      </c>
      <c r="I183" s="25">
        <v>0</v>
      </c>
      <c r="J183" s="25">
        <v>0</v>
      </c>
      <c r="K183" s="192">
        <v>1</v>
      </c>
      <c r="L183" s="192">
        <v>1</v>
      </c>
      <c r="M183" s="192">
        <v>0</v>
      </c>
      <c r="N183" s="278"/>
      <c r="O183" s="278"/>
      <c r="P183" s="278"/>
      <c r="Q183" s="278"/>
      <c r="R183" s="278"/>
      <c r="S183" s="278"/>
      <c r="T183" s="278"/>
      <c r="U183" s="278"/>
      <c r="V183" s="278"/>
      <c r="W183" s="278"/>
      <c r="X183" s="278"/>
      <c r="Y183" s="282">
        <f>VLOOKUP(A183,'3121% SY'!$A$3:$M$600,13,FALSE)</f>
        <v>0.19130000000000003</v>
      </c>
      <c r="Z183" s="30">
        <f t="shared" si="42"/>
        <v>0</v>
      </c>
      <c r="AA183" s="31">
        <f>SUM(Z183,E183,F183,H183,I183)</f>
        <v>15.117000000000001</v>
      </c>
      <c r="AB183" s="32">
        <f>IFERROR(ROUND(($C183+$D183)/AA183,2),0)</f>
        <v>16.809999999999999</v>
      </c>
      <c r="AC183" s="28">
        <f t="shared" si="43"/>
        <v>17</v>
      </c>
      <c r="AD183" s="33">
        <f>ROUND($C183/$AC183*1.155,3)</f>
        <v>16.077999999999999</v>
      </c>
      <c r="AE183" s="33">
        <f>ROUND($D183/$AC183*1.155,3)</f>
        <v>1.1819999999999999</v>
      </c>
      <c r="AF183" s="25">
        <f t="shared" si="34"/>
        <v>1255285.28</v>
      </c>
      <c r="AG183" s="25">
        <f t="shared" si="35"/>
        <v>94602.060000000056</v>
      </c>
      <c r="AH183" s="25">
        <f t="shared" si="36"/>
        <v>212505.12</v>
      </c>
      <c r="AI183" s="25">
        <f t="shared" si="37"/>
        <v>36361.989999999991</v>
      </c>
      <c r="AJ183" s="25">
        <f t="shared" si="38"/>
        <v>227834.28</v>
      </c>
      <c r="AK183" s="25">
        <f t="shared" si="39"/>
        <v>16564.82</v>
      </c>
      <c r="AL183" s="25">
        <f t="shared" si="40"/>
        <v>26437.54</v>
      </c>
      <c r="AM183" s="23">
        <f>SUM(AF183:AL183)</f>
        <v>1869591.09</v>
      </c>
      <c r="AO183" s="23"/>
      <c r="AP183" s="23"/>
    </row>
    <row r="184" spans="1:42" x14ac:dyDescent="0.25">
      <c r="A184" t="s">
        <v>175</v>
      </c>
      <c r="B184" t="s">
        <v>471</v>
      </c>
      <c r="C184" s="25">
        <v>111.2</v>
      </c>
      <c r="D184" s="25">
        <v>26</v>
      </c>
      <c r="E184" s="25">
        <v>7.0720000000000001</v>
      </c>
      <c r="F184" s="25">
        <v>1</v>
      </c>
      <c r="G184" s="25">
        <v>1.36</v>
      </c>
      <c r="H184" s="25">
        <v>0</v>
      </c>
      <c r="I184" s="25">
        <v>0</v>
      </c>
      <c r="J184" s="25">
        <v>0</v>
      </c>
      <c r="K184" s="192">
        <v>1</v>
      </c>
      <c r="L184" s="192">
        <v>1</v>
      </c>
      <c r="M184" s="192">
        <v>0</v>
      </c>
      <c r="N184" s="278"/>
      <c r="O184" s="278"/>
      <c r="P184" s="278"/>
      <c r="Q184" s="278"/>
      <c r="R184" s="278"/>
      <c r="S184" s="278"/>
      <c r="T184" s="278"/>
      <c r="U184" s="278"/>
      <c r="V184" s="278"/>
      <c r="W184" s="278"/>
      <c r="X184" s="278"/>
      <c r="Y184" s="282">
        <f>VLOOKUP(A184,'3121% SY'!$A$3:$M$600,13,FALSE)</f>
        <v>0.20669999999999999</v>
      </c>
      <c r="Z184" s="30">
        <f t="shared" si="42"/>
        <v>0.28100000000000003</v>
      </c>
      <c r="AA184" s="31">
        <f t="shared" ref="AA184:AA247" si="44">SUM(Z184,E184,F184,H184,I184)</f>
        <v>8.3529999999999998</v>
      </c>
      <c r="AB184" s="32">
        <f t="shared" ref="AB184:AB247" si="45">IFERROR(ROUND(($C184+$D184)/AA184,2),0)</f>
        <v>16.43</v>
      </c>
      <c r="AC184" s="28">
        <f t="shared" si="43"/>
        <v>17</v>
      </c>
      <c r="AD184" s="33">
        <f t="shared" ref="AD184:AD247" si="46">ROUND($C184/$AC184*1.155,3)</f>
        <v>7.5549999999999997</v>
      </c>
      <c r="AE184" s="33">
        <f t="shared" ref="AE184:AE247" si="47">ROUND($D184/$AC184*1.155,3)</f>
        <v>1.766</v>
      </c>
      <c r="AF184" s="25">
        <f t="shared" si="34"/>
        <v>677897.69</v>
      </c>
      <c r="AG184" s="25">
        <f t="shared" si="35"/>
        <v>51088.400000000023</v>
      </c>
      <c r="AH184" s="25">
        <f t="shared" si="36"/>
        <v>114760.15</v>
      </c>
      <c r="AI184" s="25">
        <f t="shared" si="37"/>
        <v>19636.74000000002</v>
      </c>
      <c r="AJ184" s="25">
        <f t="shared" si="38"/>
        <v>123038.43</v>
      </c>
      <c r="AK184" s="25">
        <f t="shared" si="39"/>
        <v>8945.58</v>
      </c>
      <c r="AL184" s="25">
        <f t="shared" si="40"/>
        <v>14277.19</v>
      </c>
      <c r="AM184" s="23">
        <f t="shared" ref="AM184:AM247" si="48">SUM(AF184:AL184)</f>
        <v>1009644.1799999998</v>
      </c>
      <c r="AO184" s="23"/>
      <c r="AP184" s="23"/>
    </row>
    <row r="185" spans="1:42" x14ac:dyDescent="0.25">
      <c r="A185" t="s">
        <v>176</v>
      </c>
      <c r="B185" t="s">
        <v>472</v>
      </c>
      <c r="C185" s="25">
        <v>158.19999999999999</v>
      </c>
      <c r="D185" s="25">
        <v>9.8000000000000007</v>
      </c>
      <c r="E185" s="25">
        <v>9.1050000000000004</v>
      </c>
      <c r="F185" s="25">
        <v>0</v>
      </c>
      <c r="G185" s="25">
        <v>0.56299999999999994</v>
      </c>
      <c r="H185" s="25">
        <v>0</v>
      </c>
      <c r="I185" s="25">
        <v>0</v>
      </c>
      <c r="J185" s="25">
        <v>0</v>
      </c>
      <c r="K185" s="192">
        <v>1</v>
      </c>
      <c r="L185" s="192">
        <v>1</v>
      </c>
      <c r="M185" s="192">
        <v>0</v>
      </c>
      <c r="N185" s="278"/>
      <c r="O185" s="278"/>
      <c r="P185" s="278"/>
      <c r="Q185" s="278"/>
      <c r="R185" s="278"/>
      <c r="S185" s="278"/>
      <c r="T185" s="278"/>
      <c r="U185" s="278"/>
      <c r="V185" s="278"/>
      <c r="W185" s="278"/>
      <c r="X185" s="278"/>
      <c r="Y185" s="282">
        <f>VLOOKUP(A185,'3121% SY'!$A$3:$M$600,13,FALSE)</f>
        <v>0.29900000000000004</v>
      </c>
      <c r="Z185" s="30">
        <f t="shared" si="42"/>
        <v>0.16800000000000001</v>
      </c>
      <c r="AA185" s="31">
        <f t="shared" si="44"/>
        <v>9.2729999999999997</v>
      </c>
      <c r="AB185" s="32">
        <f t="shared" si="45"/>
        <v>18.12</v>
      </c>
      <c r="AC185" s="28">
        <f t="shared" si="43"/>
        <v>18.12</v>
      </c>
      <c r="AD185" s="33">
        <f t="shared" si="46"/>
        <v>10.084</v>
      </c>
      <c r="AE185" s="33">
        <f t="shared" si="47"/>
        <v>0.625</v>
      </c>
      <c r="AF185" s="25">
        <f t="shared" si="34"/>
        <v>778844.15</v>
      </c>
      <c r="AG185" s="25">
        <f t="shared" si="35"/>
        <v>58696.030000000028</v>
      </c>
      <c r="AH185" s="25">
        <f t="shared" si="36"/>
        <v>131849.21</v>
      </c>
      <c r="AI185" s="25">
        <f t="shared" si="37"/>
        <v>22560.860000000015</v>
      </c>
      <c r="AJ185" s="25">
        <f t="shared" si="38"/>
        <v>141360.21</v>
      </c>
      <c r="AK185" s="25">
        <f t="shared" si="39"/>
        <v>10277.67</v>
      </c>
      <c r="AL185" s="25">
        <f t="shared" si="40"/>
        <v>16403.22</v>
      </c>
      <c r="AM185" s="23">
        <f t="shared" si="48"/>
        <v>1159991.3499999999</v>
      </c>
      <c r="AO185" s="23"/>
      <c r="AP185" s="23"/>
    </row>
    <row r="186" spans="1:42" x14ac:dyDescent="0.25">
      <c r="A186" t="s">
        <v>177</v>
      </c>
      <c r="B186" t="s">
        <v>473</v>
      </c>
      <c r="C186" s="25">
        <v>82.8</v>
      </c>
      <c r="D186" s="25">
        <v>0</v>
      </c>
      <c r="E186" s="25">
        <v>4.6020000000000003</v>
      </c>
      <c r="F186" s="25">
        <v>0</v>
      </c>
      <c r="G186" s="25">
        <v>0</v>
      </c>
      <c r="H186" s="25">
        <v>0</v>
      </c>
      <c r="I186" s="25">
        <v>0</v>
      </c>
      <c r="J186" s="25">
        <v>0</v>
      </c>
      <c r="K186" s="192">
        <v>1</v>
      </c>
      <c r="L186" s="192">
        <v>1</v>
      </c>
      <c r="M186" s="192">
        <v>1.0000000000000009E-2</v>
      </c>
      <c r="N186" s="278"/>
      <c r="O186" s="278"/>
      <c r="P186" s="278"/>
      <c r="Q186" s="278"/>
      <c r="R186" s="278"/>
      <c r="S186" s="278"/>
      <c r="T186" s="278"/>
      <c r="U186" s="278"/>
      <c r="V186" s="278"/>
      <c r="W186" s="278"/>
      <c r="X186" s="278"/>
      <c r="Y186" s="282">
        <f>VLOOKUP(A186,'3121% SY'!$A$3:$M$600,13,FALSE)</f>
        <v>0.19130000000000003</v>
      </c>
      <c r="Z186" s="30">
        <f t="shared" si="42"/>
        <v>0</v>
      </c>
      <c r="AA186" s="31">
        <f t="shared" si="44"/>
        <v>4.6020000000000003</v>
      </c>
      <c r="AB186" s="32">
        <f t="shared" si="45"/>
        <v>17.989999999999998</v>
      </c>
      <c r="AC186" s="28">
        <f t="shared" si="43"/>
        <v>17.989999999999998</v>
      </c>
      <c r="AD186" s="33">
        <f t="shared" si="46"/>
        <v>5.3159999999999998</v>
      </c>
      <c r="AE186" s="33">
        <f t="shared" si="47"/>
        <v>0</v>
      </c>
      <c r="AF186" s="25">
        <f t="shared" si="34"/>
        <v>386622.05</v>
      </c>
      <c r="AG186" s="25">
        <f t="shared" si="35"/>
        <v>33294.580000000016</v>
      </c>
      <c r="AH186" s="25">
        <f t="shared" si="36"/>
        <v>65450.59</v>
      </c>
      <c r="AI186" s="25">
        <f t="shared" si="37"/>
        <v>11199.330000000002</v>
      </c>
      <c r="AJ186" s="25">
        <f t="shared" si="38"/>
        <v>70171.899999999994</v>
      </c>
      <c r="AK186" s="25">
        <f t="shared" si="39"/>
        <v>5829.88</v>
      </c>
      <c r="AL186" s="25">
        <f t="shared" si="40"/>
        <v>8224.07</v>
      </c>
      <c r="AM186" s="23">
        <f t="shared" si="48"/>
        <v>580792.39999999991</v>
      </c>
      <c r="AO186" s="23"/>
      <c r="AP186" s="23"/>
    </row>
    <row r="187" spans="1:42" x14ac:dyDescent="0.25">
      <c r="A187" t="s">
        <v>178</v>
      </c>
      <c r="B187" t="s">
        <v>474</v>
      </c>
      <c r="C187" s="25">
        <v>89.8</v>
      </c>
      <c r="D187" s="25">
        <v>0</v>
      </c>
      <c r="E187" s="25">
        <v>5.7539999999999996</v>
      </c>
      <c r="F187" s="25">
        <v>0</v>
      </c>
      <c r="G187" s="25">
        <v>0.76800000000000002</v>
      </c>
      <c r="H187" s="25">
        <v>0</v>
      </c>
      <c r="I187" s="25">
        <v>0</v>
      </c>
      <c r="J187" s="25">
        <v>0</v>
      </c>
      <c r="K187" s="192">
        <v>1</v>
      </c>
      <c r="L187" s="192">
        <v>1</v>
      </c>
      <c r="M187" s="192">
        <v>0</v>
      </c>
      <c r="N187" s="278"/>
      <c r="O187" s="278"/>
      <c r="P187" s="278"/>
      <c r="Q187" s="278"/>
      <c r="R187" s="278"/>
      <c r="S187" s="278"/>
      <c r="T187" s="278"/>
      <c r="U187" s="278"/>
      <c r="V187" s="278"/>
      <c r="W187" s="278"/>
      <c r="X187" s="278"/>
      <c r="Y187" s="282">
        <f>VLOOKUP(A187,'3121% SY'!$A$3:$M$600,13,FALSE)</f>
        <v>0.18310000000000004</v>
      </c>
      <c r="Z187" s="30">
        <f t="shared" si="42"/>
        <v>0.14099999999999999</v>
      </c>
      <c r="AA187" s="31">
        <f t="shared" si="44"/>
        <v>5.8949999999999996</v>
      </c>
      <c r="AB187" s="32">
        <f t="shared" si="45"/>
        <v>15.23</v>
      </c>
      <c r="AC187" s="28">
        <f t="shared" si="43"/>
        <v>17</v>
      </c>
      <c r="AD187" s="33">
        <f t="shared" si="46"/>
        <v>6.101</v>
      </c>
      <c r="AE187" s="33">
        <f t="shared" si="47"/>
        <v>0</v>
      </c>
      <c r="AF187" s="25">
        <f t="shared" si="34"/>
        <v>443713.53</v>
      </c>
      <c r="AG187" s="25">
        <f t="shared" si="35"/>
        <v>33439.579999999958</v>
      </c>
      <c r="AH187" s="25">
        <f t="shared" si="36"/>
        <v>75115.509999999995</v>
      </c>
      <c r="AI187" s="25">
        <f t="shared" si="37"/>
        <v>12853.100000000006</v>
      </c>
      <c r="AJ187" s="25">
        <f t="shared" si="38"/>
        <v>80534.009999999995</v>
      </c>
      <c r="AK187" s="25">
        <f t="shared" si="39"/>
        <v>5855.27</v>
      </c>
      <c r="AL187" s="25">
        <f t="shared" si="40"/>
        <v>9345.0400000000009</v>
      </c>
      <c r="AM187" s="23">
        <f t="shared" si="48"/>
        <v>660856.04</v>
      </c>
      <c r="AO187" s="23"/>
      <c r="AP187" s="23"/>
    </row>
    <row r="188" spans="1:42" x14ac:dyDescent="0.25">
      <c r="A188" t="s">
        <v>179</v>
      </c>
      <c r="B188" t="s">
        <v>475</v>
      </c>
      <c r="C188" s="25">
        <v>11.11</v>
      </c>
      <c r="D188" s="25">
        <v>1.8</v>
      </c>
      <c r="E188" s="25">
        <v>1.508</v>
      </c>
      <c r="F188" s="25">
        <v>0.49199999999999999</v>
      </c>
      <c r="G188" s="25">
        <v>0</v>
      </c>
      <c r="H188" s="25">
        <v>0</v>
      </c>
      <c r="I188" s="25">
        <v>0</v>
      </c>
      <c r="J188" s="25">
        <v>0</v>
      </c>
      <c r="K188" s="192">
        <v>1</v>
      </c>
      <c r="L188" s="192">
        <v>1</v>
      </c>
      <c r="M188" s="192">
        <v>0</v>
      </c>
      <c r="N188" s="278"/>
      <c r="O188" s="278"/>
      <c r="P188" s="278"/>
      <c r="Q188" s="278"/>
      <c r="R188" s="278"/>
      <c r="S188" s="278"/>
      <c r="T188" s="278"/>
      <c r="U188" s="278"/>
      <c r="V188" s="278"/>
      <c r="W188" s="278"/>
      <c r="X188" s="278"/>
      <c r="Y188" s="282">
        <f>VLOOKUP(A188,'3121% SY'!$A$3:$M$600,13,FALSE)</f>
        <v>8.8300000000000045E-2</v>
      </c>
      <c r="Z188" s="30">
        <f t="shared" si="42"/>
        <v>0</v>
      </c>
      <c r="AA188" s="31">
        <f t="shared" si="44"/>
        <v>2</v>
      </c>
      <c r="AB188" s="32">
        <f t="shared" si="45"/>
        <v>6.46</v>
      </c>
      <c r="AC188" s="28">
        <f t="shared" si="43"/>
        <v>17</v>
      </c>
      <c r="AD188" s="33">
        <f t="shared" si="46"/>
        <v>0.755</v>
      </c>
      <c r="AE188" s="33">
        <f t="shared" si="47"/>
        <v>0.122</v>
      </c>
      <c r="AF188" s="25">
        <f t="shared" si="34"/>
        <v>63782.46</v>
      </c>
      <c r="AG188" s="25">
        <f t="shared" si="35"/>
        <v>4806.8299999999945</v>
      </c>
      <c r="AH188" s="25">
        <f t="shared" si="36"/>
        <v>10797.62</v>
      </c>
      <c r="AI188" s="25">
        <f t="shared" si="37"/>
        <v>1847.5999999999985</v>
      </c>
      <c r="AJ188" s="25">
        <f t="shared" si="38"/>
        <v>11576.52</v>
      </c>
      <c r="AK188" s="25">
        <f t="shared" si="39"/>
        <v>841.68</v>
      </c>
      <c r="AL188" s="25">
        <f t="shared" si="40"/>
        <v>1343.32</v>
      </c>
      <c r="AM188" s="23">
        <f t="shared" si="48"/>
        <v>94996.029999999984</v>
      </c>
      <c r="AO188" s="23"/>
      <c r="AP188" s="23"/>
    </row>
    <row r="189" spans="1:42" x14ac:dyDescent="0.25">
      <c r="A189" t="s">
        <v>180</v>
      </c>
      <c r="B189" t="s">
        <v>476</v>
      </c>
      <c r="C189" s="25">
        <v>293.47000000000003</v>
      </c>
      <c r="D189" s="25">
        <v>0</v>
      </c>
      <c r="E189" s="25">
        <v>19.373000000000001</v>
      </c>
      <c r="F189" s="25">
        <v>0</v>
      </c>
      <c r="G189" s="25">
        <v>2.35</v>
      </c>
      <c r="H189" s="25">
        <v>0</v>
      </c>
      <c r="I189" s="25">
        <v>0</v>
      </c>
      <c r="J189" s="25">
        <v>0</v>
      </c>
      <c r="K189" s="192">
        <v>1</v>
      </c>
      <c r="L189" s="192">
        <v>1</v>
      </c>
      <c r="M189" s="192">
        <v>0</v>
      </c>
      <c r="N189" s="278"/>
      <c r="O189" s="278"/>
      <c r="P189" s="278"/>
      <c r="Q189" s="278"/>
      <c r="R189" s="278"/>
      <c r="S189" s="278"/>
      <c r="T189" s="278"/>
      <c r="U189" s="278"/>
      <c r="V189" s="278"/>
      <c r="W189" s="278"/>
      <c r="X189" s="278"/>
      <c r="Y189" s="282">
        <f>VLOOKUP(A189,'3121% SY'!$A$3:$M$600,13,FALSE)</f>
        <v>0.24209999999999998</v>
      </c>
      <c r="Z189" s="30">
        <f t="shared" si="42"/>
        <v>0.56899999999999995</v>
      </c>
      <c r="AA189" s="31">
        <f t="shared" si="44"/>
        <v>19.942</v>
      </c>
      <c r="AB189" s="32">
        <f t="shared" si="45"/>
        <v>14.72</v>
      </c>
      <c r="AC189" s="28">
        <f t="shared" si="43"/>
        <v>17</v>
      </c>
      <c r="AD189" s="33">
        <f t="shared" si="46"/>
        <v>19.939</v>
      </c>
      <c r="AE189" s="33">
        <f t="shared" si="47"/>
        <v>0</v>
      </c>
      <c r="AF189" s="25">
        <f t="shared" si="34"/>
        <v>1450123.59</v>
      </c>
      <c r="AG189" s="25">
        <f t="shared" si="35"/>
        <v>109285.65999999992</v>
      </c>
      <c r="AH189" s="25">
        <f t="shared" si="36"/>
        <v>245488.97</v>
      </c>
      <c r="AI189" s="25">
        <f t="shared" si="37"/>
        <v>42005.889999999985</v>
      </c>
      <c r="AJ189" s="25">
        <f t="shared" si="38"/>
        <v>263197.43</v>
      </c>
      <c r="AK189" s="25">
        <f t="shared" si="39"/>
        <v>19135.919999999998</v>
      </c>
      <c r="AL189" s="25">
        <f t="shared" si="40"/>
        <v>30541.03</v>
      </c>
      <c r="AM189" s="23">
        <f t="shared" si="48"/>
        <v>2159778.4899999998</v>
      </c>
      <c r="AO189" s="23"/>
      <c r="AP189" s="23"/>
    </row>
    <row r="190" spans="1:42" x14ac:dyDescent="0.25">
      <c r="A190" t="s">
        <v>181</v>
      </c>
      <c r="B190" t="s">
        <v>477</v>
      </c>
      <c r="C190" s="25">
        <v>65.87</v>
      </c>
      <c r="D190" s="25">
        <v>12.9</v>
      </c>
      <c r="E190" s="25">
        <v>5.226</v>
      </c>
      <c r="F190" s="25">
        <v>1</v>
      </c>
      <c r="G190" s="25">
        <v>0.53</v>
      </c>
      <c r="H190" s="25">
        <v>0</v>
      </c>
      <c r="I190" s="25">
        <v>0</v>
      </c>
      <c r="J190" s="25">
        <v>0</v>
      </c>
      <c r="K190" s="192">
        <v>1</v>
      </c>
      <c r="L190" s="192">
        <v>1</v>
      </c>
      <c r="M190" s="192">
        <v>0</v>
      </c>
      <c r="N190" s="278"/>
      <c r="O190" s="278"/>
      <c r="P190" s="278"/>
      <c r="Q190" s="278"/>
      <c r="R190" s="278"/>
      <c r="S190" s="278"/>
      <c r="T190" s="278"/>
      <c r="U190" s="278"/>
      <c r="V190" s="278"/>
      <c r="W190" s="278"/>
      <c r="X190" s="278"/>
      <c r="Y190" s="282">
        <f>VLOOKUP(A190,'3121% SY'!$A$3:$M$600,13,FALSE)</f>
        <v>0.19510000000000005</v>
      </c>
      <c r="Z190" s="30">
        <f t="shared" si="42"/>
        <v>0.10299999999999999</v>
      </c>
      <c r="AA190" s="31">
        <f t="shared" si="44"/>
        <v>6.3289999999999997</v>
      </c>
      <c r="AB190" s="32">
        <f t="shared" si="45"/>
        <v>12.45</v>
      </c>
      <c r="AC190" s="28">
        <f t="shared" si="43"/>
        <v>17</v>
      </c>
      <c r="AD190" s="33">
        <f t="shared" si="46"/>
        <v>4.4749999999999996</v>
      </c>
      <c r="AE190" s="33">
        <f t="shared" si="47"/>
        <v>0.876</v>
      </c>
      <c r="AF190" s="25">
        <f t="shared" si="34"/>
        <v>389167.53</v>
      </c>
      <c r="AG190" s="25">
        <f t="shared" si="35"/>
        <v>29328.829999999958</v>
      </c>
      <c r="AH190" s="25">
        <f t="shared" si="36"/>
        <v>65881.509999999995</v>
      </c>
      <c r="AI190" s="25">
        <f t="shared" si="37"/>
        <v>11273.060000000012</v>
      </c>
      <c r="AJ190" s="25">
        <f t="shared" si="38"/>
        <v>70633.91</v>
      </c>
      <c r="AK190" s="25">
        <f t="shared" si="39"/>
        <v>5135.4799999999996</v>
      </c>
      <c r="AL190" s="25">
        <f t="shared" si="40"/>
        <v>8196.25</v>
      </c>
      <c r="AM190" s="23">
        <f t="shared" si="48"/>
        <v>579616.56999999995</v>
      </c>
      <c r="AO190" s="23"/>
      <c r="AP190" s="23"/>
    </row>
    <row r="191" spans="1:42" x14ac:dyDescent="0.25">
      <c r="A191" t="s">
        <v>182</v>
      </c>
      <c r="B191" t="s">
        <v>478</v>
      </c>
      <c r="C191" s="25">
        <v>77.8</v>
      </c>
      <c r="D191" s="25">
        <v>9.6</v>
      </c>
      <c r="E191" s="25">
        <v>4.4000000000000004</v>
      </c>
      <c r="F191" s="25">
        <v>1</v>
      </c>
      <c r="G191" s="25">
        <v>0.53200000000000003</v>
      </c>
      <c r="H191" s="25">
        <v>0</v>
      </c>
      <c r="I191" s="25">
        <v>0</v>
      </c>
      <c r="J191" s="25">
        <v>0</v>
      </c>
      <c r="K191" s="192">
        <v>1</v>
      </c>
      <c r="L191" s="192">
        <v>1</v>
      </c>
      <c r="M191" s="192">
        <v>0</v>
      </c>
      <c r="N191" s="278"/>
      <c r="O191" s="278"/>
      <c r="P191" s="278"/>
      <c r="Q191" s="278"/>
      <c r="R191" s="278"/>
      <c r="S191" s="278"/>
      <c r="T191" s="278"/>
      <c r="U191" s="278"/>
      <c r="V191" s="278"/>
      <c r="W191" s="278"/>
      <c r="X191" s="278"/>
      <c r="Y191" s="282">
        <f>VLOOKUP(A191,'3121% SY'!$A$3:$M$600,13,FALSE)</f>
        <v>0.18200000000000005</v>
      </c>
      <c r="Z191" s="30">
        <f t="shared" si="42"/>
        <v>9.7000000000000003E-2</v>
      </c>
      <c r="AA191" s="31">
        <f t="shared" si="44"/>
        <v>5.4970000000000008</v>
      </c>
      <c r="AB191" s="32">
        <f t="shared" si="45"/>
        <v>15.9</v>
      </c>
      <c r="AC191" s="28">
        <f t="shared" si="43"/>
        <v>17</v>
      </c>
      <c r="AD191" s="33">
        <f t="shared" si="46"/>
        <v>5.2859999999999996</v>
      </c>
      <c r="AE191" s="33">
        <f t="shared" si="47"/>
        <v>0.65200000000000002</v>
      </c>
      <c r="AF191" s="25">
        <f t="shared" si="34"/>
        <v>431858.86</v>
      </c>
      <c r="AG191" s="25">
        <f t="shared" si="35"/>
        <v>32546.179999999993</v>
      </c>
      <c r="AH191" s="25">
        <f t="shared" si="36"/>
        <v>73108.66</v>
      </c>
      <c r="AI191" s="25">
        <f t="shared" si="37"/>
        <v>12509.699999999997</v>
      </c>
      <c r="AJ191" s="25">
        <f t="shared" si="38"/>
        <v>78382.38</v>
      </c>
      <c r="AK191" s="25">
        <f t="shared" si="39"/>
        <v>5698.84</v>
      </c>
      <c r="AL191" s="25">
        <f t="shared" si="40"/>
        <v>9095.3700000000008</v>
      </c>
      <c r="AM191" s="23">
        <f t="shared" si="48"/>
        <v>643199.98999999987</v>
      </c>
      <c r="AO191" s="23"/>
      <c r="AP191" s="23"/>
    </row>
    <row r="192" spans="1:42" x14ac:dyDescent="0.25">
      <c r="A192" t="s">
        <v>183</v>
      </c>
      <c r="B192" t="s">
        <v>479</v>
      </c>
      <c r="C192" s="25">
        <v>802.55</v>
      </c>
      <c r="D192" s="25">
        <v>24.33</v>
      </c>
      <c r="E192" s="25">
        <v>41.944000000000003</v>
      </c>
      <c r="F192" s="25">
        <v>1.5</v>
      </c>
      <c r="G192" s="25">
        <v>4.7759999999999998</v>
      </c>
      <c r="H192" s="25">
        <v>0</v>
      </c>
      <c r="I192" s="25">
        <v>0</v>
      </c>
      <c r="J192" s="25">
        <v>0</v>
      </c>
      <c r="K192" s="192">
        <v>1.06</v>
      </c>
      <c r="L192" s="192">
        <v>1.06</v>
      </c>
      <c r="M192" s="192">
        <v>0</v>
      </c>
      <c r="N192" s="278"/>
      <c r="O192" s="278"/>
      <c r="P192" s="278"/>
      <c r="Q192" s="278"/>
      <c r="R192" s="278"/>
      <c r="S192" s="278"/>
      <c r="T192" s="278"/>
      <c r="U192" s="278"/>
      <c r="V192" s="278"/>
      <c r="W192" s="278"/>
      <c r="X192" s="278"/>
      <c r="Y192" s="282">
        <f>VLOOKUP(A192,'3121% SY'!$A$3:$M$600,13,FALSE)</f>
        <v>0.2147</v>
      </c>
      <c r="Z192" s="30">
        <f t="shared" si="42"/>
        <v>1.0249999999999999</v>
      </c>
      <c r="AA192" s="31">
        <f t="shared" si="44"/>
        <v>44.469000000000001</v>
      </c>
      <c r="AB192" s="32">
        <f t="shared" si="45"/>
        <v>18.59</v>
      </c>
      <c r="AC192" s="28">
        <f t="shared" si="43"/>
        <v>18.59</v>
      </c>
      <c r="AD192" s="33">
        <f t="shared" si="46"/>
        <v>49.863</v>
      </c>
      <c r="AE192" s="33">
        <f t="shared" si="47"/>
        <v>1.512</v>
      </c>
      <c r="AF192" s="25">
        <f t="shared" si="34"/>
        <v>3960585.06</v>
      </c>
      <c r="AG192" s="25">
        <f t="shared" si="35"/>
        <v>298481.56000000006</v>
      </c>
      <c r="AH192" s="25">
        <f t="shared" si="36"/>
        <v>632529</v>
      </c>
      <c r="AI192" s="25">
        <f t="shared" si="37"/>
        <v>108232.73999999999</v>
      </c>
      <c r="AJ192" s="25">
        <f t="shared" si="38"/>
        <v>718846.19</v>
      </c>
      <c r="AK192" s="25">
        <f t="shared" si="39"/>
        <v>52264.12</v>
      </c>
      <c r="AL192" s="25">
        <f t="shared" si="40"/>
        <v>83413.820000000007</v>
      </c>
      <c r="AM192" s="23">
        <f t="shared" si="48"/>
        <v>5854352.4900000012</v>
      </c>
      <c r="AO192" s="23"/>
      <c r="AP192" s="23"/>
    </row>
    <row r="193" spans="1:42" x14ac:dyDescent="0.25">
      <c r="A193" t="s">
        <v>184</v>
      </c>
      <c r="B193" t="s">
        <v>480</v>
      </c>
      <c r="C193" s="25">
        <v>6558.44</v>
      </c>
      <c r="D193" s="25">
        <v>152.6</v>
      </c>
      <c r="E193" s="25">
        <v>368.8</v>
      </c>
      <c r="F193" s="25">
        <v>1</v>
      </c>
      <c r="G193" s="25">
        <v>42.332000000000001</v>
      </c>
      <c r="H193" s="25">
        <v>0</v>
      </c>
      <c r="I193" s="25">
        <v>0</v>
      </c>
      <c r="J193" s="25">
        <v>0</v>
      </c>
      <c r="K193" s="192">
        <v>1.1200000000000001</v>
      </c>
      <c r="L193" s="192">
        <v>1.1200000000000001</v>
      </c>
      <c r="M193" s="192">
        <v>0</v>
      </c>
      <c r="N193" s="278"/>
      <c r="O193" s="278"/>
      <c r="P193" s="278"/>
      <c r="Q193" s="278"/>
      <c r="R193" s="278"/>
      <c r="S193" s="278"/>
      <c r="T193" s="278"/>
      <c r="U193" s="278"/>
      <c r="V193" s="278"/>
      <c r="W193" s="278"/>
      <c r="X193" s="278"/>
      <c r="Y193" s="282">
        <f>VLOOKUP(A193,'3121% SY'!$A$3:$M$600,13,FALSE)</f>
        <v>0.30400000000000005</v>
      </c>
      <c r="Z193" s="30">
        <f t="shared" si="42"/>
        <v>12.869</v>
      </c>
      <c r="AA193" s="31">
        <f t="shared" si="44"/>
        <v>382.66899999999998</v>
      </c>
      <c r="AB193" s="32">
        <f t="shared" si="45"/>
        <v>17.54</v>
      </c>
      <c r="AC193" s="28">
        <f t="shared" si="43"/>
        <v>17.54</v>
      </c>
      <c r="AD193" s="33">
        <f t="shared" si="46"/>
        <v>431.87</v>
      </c>
      <c r="AE193" s="33">
        <f t="shared" si="47"/>
        <v>10.048999999999999</v>
      </c>
      <c r="AF193" s="25">
        <f t="shared" si="34"/>
        <v>35996671.240000002</v>
      </c>
      <c r="AG193" s="25">
        <f t="shared" si="35"/>
        <v>2712817</v>
      </c>
      <c r="AH193" s="25">
        <f t="shared" si="36"/>
        <v>5440906.7300000004</v>
      </c>
      <c r="AI193" s="25">
        <f t="shared" si="37"/>
        <v>930999.58999999985</v>
      </c>
      <c r="AJ193" s="25">
        <f t="shared" si="38"/>
        <v>6533395.8300000001</v>
      </c>
      <c r="AK193" s="25">
        <f t="shared" si="39"/>
        <v>475014.26</v>
      </c>
      <c r="AL193" s="25">
        <f t="shared" si="40"/>
        <v>758125.33</v>
      </c>
      <c r="AM193" s="23">
        <f t="shared" si="48"/>
        <v>52847929.979999997</v>
      </c>
      <c r="AO193" s="23"/>
      <c r="AP193" s="23"/>
    </row>
    <row r="194" spans="1:42" x14ac:dyDescent="0.25">
      <c r="A194" t="s">
        <v>185</v>
      </c>
      <c r="B194" t="s">
        <v>481</v>
      </c>
      <c r="C194" s="25">
        <v>7954.43</v>
      </c>
      <c r="D194" s="25">
        <v>621.13</v>
      </c>
      <c r="E194" s="25">
        <v>445.51799999999997</v>
      </c>
      <c r="F194" s="25">
        <v>41.646000000000001</v>
      </c>
      <c r="G194" s="25">
        <v>54.026000000000003</v>
      </c>
      <c r="H194" s="25">
        <v>0</v>
      </c>
      <c r="I194" s="25">
        <v>0</v>
      </c>
      <c r="J194" s="25">
        <v>0</v>
      </c>
      <c r="K194" s="192">
        <v>1.1200000000000001</v>
      </c>
      <c r="L194" s="192">
        <v>1.1200000000000001</v>
      </c>
      <c r="M194" s="192">
        <v>0</v>
      </c>
      <c r="N194" s="278"/>
      <c r="O194" s="278"/>
      <c r="P194" s="278"/>
      <c r="Q194" s="278"/>
      <c r="R194" s="278"/>
      <c r="S194" s="278"/>
      <c r="T194" s="278"/>
      <c r="U194" s="278"/>
      <c r="V194" s="278"/>
      <c r="W194" s="278"/>
      <c r="X194" s="278"/>
      <c r="Y194" s="282">
        <f>VLOOKUP(A194,'3121% SY'!$A$3:$M$600,13,FALSE)</f>
        <v>0.27759999999999996</v>
      </c>
      <c r="Z194" s="30">
        <f t="shared" si="42"/>
        <v>14.997999999999999</v>
      </c>
      <c r="AA194" s="31">
        <f t="shared" si="44"/>
        <v>502.16199999999998</v>
      </c>
      <c r="AB194" s="32">
        <f t="shared" si="45"/>
        <v>17.079999999999998</v>
      </c>
      <c r="AC194" s="28">
        <f t="shared" si="43"/>
        <v>17.079999999999998</v>
      </c>
      <c r="AD194" s="33">
        <f t="shared" si="46"/>
        <v>537.90200000000004</v>
      </c>
      <c r="AE194" s="33">
        <f t="shared" si="47"/>
        <v>42.003</v>
      </c>
      <c r="AF194" s="25">
        <f t="shared" si="34"/>
        <v>47236370.539999999</v>
      </c>
      <c r="AG194" s="25">
        <f t="shared" si="35"/>
        <v>3559874.4200000018</v>
      </c>
      <c r="AH194" s="25">
        <f t="shared" si="36"/>
        <v>7139790.3600000003</v>
      </c>
      <c r="AI194" s="25">
        <f t="shared" si="37"/>
        <v>1221697.46</v>
      </c>
      <c r="AJ194" s="25">
        <f t="shared" si="38"/>
        <v>8573401.25</v>
      </c>
      <c r="AK194" s="25">
        <f t="shared" si="39"/>
        <v>623334.01</v>
      </c>
      <c r="AL194" s="25">
        <f t="shared" si="40"/>
        <v>994844.46</v>
      </c>
      <c r="AM194" s="23">
        <f t="shared" si="48"/>
        <v>69349312.5</v>
      </c>
      <c r="AO194" s="23"/>
      <c r="AP194" s="23"/>
    </row>
    <row r="195" spans="1:42" x14ac:dyDescent="0.25">
      <c r="A195" t="s">
        <v>186</v>
      </c>
      <c r="B195" t="s">
        <v>482</v>
      </c>
      <c r="C195" s="25">
        <v>66.8</v>
      </c>
      <c r="D195" s="25">
        <v>0</v>
      </c>
      <c r="E195" s="25">
        <v>4.7530000000000001</v>
      </c>
      <c r="F195" s="25">
        <v>0</v>
      </c>
      <c r="G195" s="25">
        <v>0.3</v>
      </c>
      <c r="H195" s="25">
        <v>0</v>
      </c>
      <c r="I195" s="25">
        <v>0</v>
      </c>
      <c r="J195" s="25">
        <v>0</v>
      </c>
      <c r="K195" s="192">
        <v>1.06</v>
      </c>
      <c r="L195" s="192">
        <v>1.06</v>
      </c>
      <c r="M195" s="192">
        <v>1.0000000000000009E-2</v>
      </c>
      <c r="N195" s="278"/>
      <c r="O195" s="278"/>
      <c r="P195" s="278"/>
      <c r="Q195" s="278"/>
      <c r="R195" s="278"/>
      <c r="S195" s="278"/>
      <c r="T195" s="278"/>
      <c r="U195" s="278"/>
      <c r="V195" s="278"/>
      <c r="W195" s="278"/>
      <c r="X195" s="278"/>
      <c r="Y195" s="282">
        <f>VLOOKUP(A195,'3121% SY'!$A$3:$M$600,13,FALSE)</f>
        <v>0.12250000000000005</v>
      </c>
      <c r="Z195" s="30">
        <f t="shared" si="42"/>
        <v>3.6999999999999998E-2</v>
      </c>
      <c r="AA195" s="31">
        <f t="shared" si="44"/>
        <v>4.79</v>
      </c>
      <c r="AB195" s="32">
        <f t="shared" si="45"/>
        <v>13.95</v>
      </c>
      <c r="AC195" s="28">
        <f t="shared" si="43"/>
        <v>17</v>
      </c>
      <c r="AD195" s="33">
        <f t="shared" si="46"/>
        <v>4.5380000000000003</v>
      </c>
      <c r="AE195" s="33">
        <f t="shared" si="47"/>
        <v>0</v>
      </c>
      <c r="AF195" s="25">
        <f t="shared" ref="AF195:AF258" si="49">ROUND(($AD195+$AE195)*CIS_Base*K195,2)</f>
        <v>349842.04</v>
      </c>
      <c r="AG195" s="25">
        <f t="shared" ref="AG195:AG258" si="50">ROUND(($AD195+$AE195)*CIS_Inc*(L195+M195),2)-AF195</f>
        <v>29914.270000000019</v>
      </c>
      <c r="AH195" s="25">
        <f t="shared" ref="AH195:AH258" si="51">ROUND(($AD195+$AE195)*Ins_Base,2)</f>
        <v>55871.86</v>
      </c>
      <c r="AI195" s="25">
        <f t="shared" ref="AI195:AI258" si="52">ROUND(($AD195+$AE195)*CIS_Ins_Inc,2)-AH195</f>
        <v>9560.2900000000009</v>
      </c>
      <c r="AJ195" s="25">
        <f t="shared" ref="AJ195:AJ258" si="53">ROUND(AF195*CIS_Ben_Base,2)</f>
        <v>63496.33</v>
      </c>
      <c r="AK195" s="25">
        <f t="shared" ref="AK195:AK258" si="54">ROUND(AG195*CIS_Ben_Inc,2)</f>
        <v>5237.99</v>
      </c>
      <c r="AL195" s="25">
        <f t="shared" ref="AL195:AL258" si="55">ROUND((($AD195+$AE195)*CIS_Inc*(L195+M195)/180)*3+((($AD195+$AE195)*CIS_Inc*(L195+M195)/180)*3)*CIS_Ben_Inc,2)</f>
        <v>7437.53</v>
      </c>
      <c r="AM195" s="23">
        <f t="shared" si="48"/>
        <v>521360.31</v>
      </c>
      <c r="AO195" s="23"/>
      <c r="AP195" s="23"/>
    </row>
    <row r="196" spans="1:42" x14ac:dyDescent="0.25">
      <c r="A196" t="s">
        <v>187</v>
      </c>
      <c r="B196" t="s">
        <v>483</v>
      </c>
      <c r="C196" s="25">
        <v>1588.06</v>
      </c>
      <c r="D196" s="25">
        <v>29.4</v>
      </c>
      <c r="E196" s="25">
        <v>87.363</v>
      </c>
      <c r="F196" s="25">
        <v>2</v>
      </c>
      <c r="G196" s="25">
        <v>7.55</v>
      </c>
      <c r="H196" s="25">
        <v>0</v>
      </c>
      <c r="I196" s="25">
        <v>0</v>
      </c>
      <c r="J196" s="25">
        <v>0</v>
      </c>
      <c r="K196" s="192">
        <v>1.06</v>
      </c>
      <c r="L196" s="192">
        <v>1.06</v>
      </c>
      <c r="M196" s="192">
        <v>4.0000000000000036E-2</v>
      </c>
      <c r="N196" s="278"/>
      <c r="O196" s="278"/>
      <c r="P196" s="278"/>
      <c r="Q196" s="278"/>
      <c r="R196" s="278"/>
      <c r="S196" s="278"/>
      <c r="T196" s="278"/>
      <c r="U196" s="278"/>
      <c r="V196" s="278"/>
      <c r="W196" s="278"/>
      <c r="X196" s="278"/>
      <c r="Y196" s="282">
        <f>VLOOKUP(A196,'3121% SY'!$A$3:$M$600,13,FALSE)</f>
        <v>0.3145</v>
      </c>
      <c r="Z196" s="30">
        <f t="shared" ref="Z196:Z259" si="56">ROUND(Y196*G196,3)+ROUND(J196*Y196,3)</f>
        <v>2.3740000000000001</v>
      </c>
      <c r="AA196" s="31">
        <f t="shared" si="44"/>
        <v>91.736999999999995</v>
      </c>
      <c r="AB196" s="32">
        <f t="shared" si="45"/>
        <v>17.63</v>
      </c>
      <c r="AC196" s="28">
        <f t="shared" ref="AC196:AC259" si="57">IF(OR(SUM(C196:D196)=0,SUM(E196:G196)=0),25.23,IF(AB196&gt;$AC$2,IF(AB196&gt;25.23,25.23,AB196),$AC$2))</f>
        <v>17.63</v>
      </c>
      <c r="AD196" s="33">
        <f t="shared" si="46"/>
        <v>104.039</v>
      </c>
      <c r="AE196" s="33">
        <f t="shared" si="47"/>
        <v>1.9259999999999999</v>
      </c>
      <c r="AF196" s="25">
        <f t="shared" si="49"/>
        <v>8169019.8700000001</v>
      </c>
      <c r="AG196" s="25">
        <f t="shared" si="50"/>
        <v>947138.47999999952</v>
      </c>
      <c r="AH196" s="25">
        <f t="shared" si="51"/>
        <v>1304641.08</v>
      </c>
      <c r="AI196" s="25">
        <f t="shared" si="52"/>
        <v>223238.57999999984</v>
      </c>
      <c r="AJ196" s="25">
        <f t="shared" si="53"/>
        <v>1482677.11</v>
      </c>
      <c r="AK196" s="25">
        <f t="shared" si="54"/>
        <v>165843.95000000001</v>
      </c>
      <c r="AL196" s="25">
        <f t="shared" si="55"/>
        <v>178539.96</v>
      </c>
      <c r="AM196" s="23">
        <f t="shared" si="48"/>
        <v>12471099.029999999</v>
      </c>
      <c r="AO196" s="23"/>
      <c r="AP196" s="23"/>
    </row>
    <row r="197" spans="1:42" x14ac:dyDescent="0.25">
      <c r="A197" t="s">
        <v>188</v>
      </c>
      <c r="B197" t="s">
        <v>1114</v>
      </c>
      <c r="C197" s="25">
        <v>2933.84</v>
      </c>
      <c r="D197" s="25">
        <v>0</v>
      </c>
      <c r="E197" s="25">
        <v>168.988</v>
      </c>
      <c r="F197" s="25">
        <v>0</v>
      </c>
      <c r="G197" s="25">
        <v>14.488</v>
      </c>
      <c r="H197" s="25">
        <v>0</v>
      </c>
      <c r="I197" s="25">
        <v>0</v>
      </c>
      <c r="J197" s="25">
        <v>0</v>
      </c>
      <c r="K197" s="192">
        <v>1.1200000000000001</v>
      </c>
      <c r="L197" s="192">
        <v>1.1200000000000001</v>
      </c>
      <c r="M197" s="192">
        <v>0</v>
      </c>
      <c r="N197" s="278"/>
      <c r="O197" s="278"/>
      <c r="P197" s="278"/>
      <c r="Q197" s="278"/>
      <c r="R197" s="278"/>
      <c r="S197" s="278"/>
      <c r="T197" s="278"/>
      <c r="U197" s="278"/>
      <c r="V197" s="278"/>
      <c r="W197" s="278"/>
      <c r="X197" s="278"/>
      <c r="Y197" s="282">
        <f>VLOOKUP(A197,'3121% SY'!$A$3:$M$600,13,FALSE)</f>
        <v>0.27470000000000006</v>
      </c>
      <c r="Z197" s="30">
        <f t="shared" si="56"/>
        <v>3.98</v>
      </c>
      <c r="AA197" s="31">
        <f t="shared" si="44"/>
        <v>172.96799999999999</v>
      </c>
      <c r="AB197" s="32">
        <f t="shared" si="45"/>
        <v>16.96</v>
      </c>
      <c r="AC197" s="28">
        <f t="shared" si="57"/>
        <v>17</v>
      </c>
      <c r="AD197" s="33">
        <f t="shared" si="46"/>
        <v>199.32900000000001</v>
      </c>
      <c r="AE197" s="33">
        <f t="shared" si="47"/>
        <v>0</v>
      </c>
      <c r="AF197" s="25">
        <f t="shared" si="49"/>
        <v>16236415.449999999</v>
      </c>
      <c r="AG197" s="25">
        <f t="shared" si="50"/>
        <v>1223624.9200000018</v>
      </c>
      <c r="AH197" s="25">
        <f t="shared" si="51"/>
        <v>2454138.65</v>
      </c>
      <c r="AI197" s="25">
        <f t="shared" si="52"/>
        <v>419930.39000000013</v>
      </c>
      <c r="AJ197" s="25">
        <f t="shared" si="53"/>
        <v>2946909.4</v>
      </c>
      <c r="AK197" s="25">
        <f t="shared" si="54"/>
        <v>214256.72</v>
      </c>
      <c r="AL197" s="25">
        <f t="shared" si="55"/>
        <v>341954.89</v>
      </c>
      <c r="AM197" s="23">
        <f t="shared" si="48"/>
        <v>23837230.419999998</v>
      </c>
      <c r="AO197" s="23"/>
      <c r="AP197" s="23"/>
    </row>
    <row r="198" spans="1:42" x14ac:dyDescent="0.25">
      <c r="A198" t="s">
        <v>189</v>
      </c>
      <c r="B198" t="s">
        <v>484</v>
      </c>
      <c r="C198" s="25">
        <v>578.5</v>
      </c>
      <c r="D198" s="25">
        <v>16.399999999999999</v>
      </c>
      <c r="E198" s="25">
        <v>34.536000000000001</v>
      </c>
      <c r="F198" s="25">
        <v>1</v>
      </c>
      <c r="G198" s="25">
        <v>4</v>
      </c>
      <c r="H198" s="25">
        <v>0</v>
      </c>
      <c r="I198" s="25">
        <v>0</v>
      </c>
      <c r="J198" s="25">
        <v>0</v>
      </c>
      <c r="K198" s="192">
        <v>1.1200000000000001</v>
      </c>
      <c r="L198" s="192">
        <v>1.1200000000000001</v>
      </c>
      <c r="M198" s="192">
        <v>4.0000000000000036E-2</v>
      </c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82">
        <f>VLOOKUP(A198,'3121% SY'!$A$3:$M$600,13,FALSE)</f>
        <v>0.30800000000000005</v>
      </c>
      <c r="Z198" s="30">
        <f t="shared" si="56"/>
        <v>1.232</v>
      </c>
      <c r="AA198" s="31">
        <f t="shared" si="44"/>
        <v>36.768000000000001</v>
      </c>
      <c r="AB198" s="32">
        <f t="shared" si="45"/>
        <v>16.18</v>
      </c>
      <c r="AC198" s="28">
        <f t="shared" si="57"/>
        <v>17</v>
      </c>
      <c r="AD198" s="33">
        <f t="shared" si="46"/>
        <v>39.304000000000002</v>
      </c>
      <c r="AE198" s="33">
        <f t="shared" si="47"/>
        <v>1.1140000000000001</v>
      </c>
      <c r="AF198" s="25">
        <f t="shared" si="49"/>
        <v>3292262.74</v>
      </c>
      <c r="AG198" s="25">
        <f t="shared" si="50"/>
        <v>374556.83999999985</v>
      </c>
      <c r="AH198" s="25">
        <f t="shared" si="51"/>
        <v>497626.42</v>
      </c>
      <c r="AI198" s="25">
        <f t="shared" si="52"/>
        <v>85149.399999999965</v>
      </c>
      <c r="AJ198" s="25">
        <f t="shared" si="53"/>
        <v>597545.68999999994</v>
      </c>
      <c r="AK198" s="25">
        <f t="shared" si="54"/>
        <v>65584.899999999994</v>
      </c>
      <c r="AL198" s="25">
        <f t="shared" si="55"/>
        <v>71814.66</v>
      </c>
      <c r="AM198" s="23">
        <f t="shared" si="48"/>
        <v>4984540.6500000004</v>
      </c>
      <c r="AO198" s="23"/>
      <c r="AP198" s="23"/>
    </row>
    <row r="199" spans="1:42" x14ac:dyDescent="0.25">
      <c r="A199" t="s">
        <v>190</v>
      </c>
      <c r="B199" t="s">
        <v>485</v>
      </c>
      <c r="C199" s="25">
        <v>817.77</v>
      </c>
      <c r="D199" s="25">
        <v>0</v>
      </c>
      <c r="E199" s="25">
        <v>46.87</v>
      </c>
      <c r="F199" s="25">
        <v>0</v>
      </c>
      <c r="G199" s="25">
        <v>4.274</v>
      </c>
      <c r="H199" s="25">
        <v>0</v>
      </c>
      <c r="I199" s="25">
        <v>0</v>
      </c>
      <c r="J199" s="25">
        <v>0</v>
      </c>
      <c r="K199" s="192">
        <v>1.06</v>
      </c>
      <c r="L199" s="192">
        <v>1.06</v>
      </c>
      <c r="M199" s="192">
        <v>0</v>
      </c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82">
        <f>VLOOKUP(A199,'3121% SY'!$A$3:$M$600,13,FALSE)</f>
        <v>0.26049999999999995</v>
      </c>
      <c r="Z199" s="30">
        <f t="shared" si="56"/>
        <v>1.113</v>
      </c>
      <c r="AA199" s="31">
        <f t="shared" si="44"/>
        <v>47.982999999999997</v>
      </c>
      <c r="AB199" s="32">
        <f t="shared" si="45"/>
        <v>17.04</v>
      </c>
      <c r="AC199" s="28">
        <f t="shared" si="57"/>
        <v>17.04</v>
      </c>
      <c r="AD199" s="33">
        <f t="shared" si="46"/>
        <v>55.43</v>
      </c>
      <c r="AE199" s="33">
        <f t="shared" si="47"/>
        <v>0</v>
      </c>
      <c r="AF199" s="25">
        <f t="shared" si="49"/>
        <v>4273191.82</v>
      </c>
      <c r="AG199" s="25">
        <f t="shared" si="50"/>
        <v>322040.54000000004</v>
      </c>
      <c r="AH199" s="25">
        <f t="shared" si="51"/>
        <v>682454.16</v>
      </c>
      <c r="AI199" s="25">
        <f t="shared" si="52"/>
        <v>116775.48999999999</v>
      </c>
      <c r="AJ199" s="25">
        <f t="shared" si="53"/>
        <v>775584.32</v>
      </c>
      <c r="AK199" s="25">
        <f t="shared" si="54"/>
        <v>56389.3</v>
      </c>
      <c r="AL199" s="25">
        <f t="shared" si="55"/>
        <v>89997.63</v>
      </c>
      <c r="AM199" s="23">
        <f t="shared" si="48"/>
        <v>6316433.2600000007</v>
      </c>
      <c r="AO199" s="23"/>
      <c r="AP199" s="23"/>
    </row>
    <row r="200" spans="1:42" x14ac:dyDescent="0.25">
      <c r="A200" t="s">
        <v>191</v>
      </c>
      <c r="B200" t="s">
        <v>486</v>
      </c>
      <c r="C200" s="25">
        <v>4142.24</v>
      </c>
      <c r="D200" s="25">
        <v>0</v>
      </c>
      <c r="E200" s="25">
        <v>220.52</v>
      </c>
      <c r="F200" s="25">
        <v>0</v>
      </c>
      <c r="G200" s="25">
        <v>39.597999999999999</v>
      </c>
      <c r="H200" s="25">
        <v>0</v>
      </c>
      <c r="I200" s="25">
        <v>0</v>
      </c>
      <c r="J200" s="25">
        <v>0</v>
      </c>
      <c r="K200" s="192">
        <v>1.06</v>
      </c>
      <c r="L200" s="192">
        <v>1.06</v>
      </c>
      <c r="M200" s="192">
        <v>0</v>
      </c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82">
        <f>VLOOKUP(A200,'3121% SY'!$A$3:$M$600,13,FALSE)</f>
        <v>0.33999999999999997</v>
      </c>
      <c r="Z200" s="30">
        <f t="shared" si="56"/>
        <v>13.462999999999999</v>
      </c>
      <c r="AA200" s="31">
        <f t="shared" si="44"/>
        <v>233.983</v>
      </c>
      <c r="AB200" s="32">
        <f t="shared" si="45"/>
        <v>17.7</v>
      </c>
      <c r="AC200" s="28">
        <f t="shared" si="57"/>
        <v>17.7</v>
      </c>
      <c r="AD200" s="33">
        <f t="shared" si="46"/>
        <v>270.29899999999998</v>
      </c>
      <c r="AE200" s="33">
        <f t="shared" si="47"/>
        <v>0</v>
      </c>
      <c r="AF200" s="25">
        <f t="shared" si="49"/>
        <v>20837804.010000002</v>
      </c>
      <c r="AG200" s="25">
        <f t="shared" si="50"/>
        <v>1570399.3499999978</v>
      </c>
      <c r="AH200" s="25">
        <f t="shared" si="51"/>
        <v>3327921.29</v>
      </c>
      <c r="AI200" s="25">
        <f t="shared" si="52"/>
        <v>569444.31000000006</v>
      </c>
      <c r="AJ200" s="25">
        <f t="shared" si="53"/>
        <v>3782061.43</v>
      </c>
      <c r="AK200" s="25">
        <f t="shared" si="54"/>
        <v>274976.93</v>
      </c>
      <c r="AL200" s="25">
        <f t="shared" si="55"/>
        <v>438864.66</v>
      </c>
      <c r="AM200" s="23">
        <f t="shared" si="48"/>
        <v>30801471.979999997</v>
      </c>
      <c r="AO200" s="23"/>
      <c r="AP200" s="23"/>
    </row>
    <row r="201" spans="1:42" x14ac:dyDescent="0.25">
      <c r="A201" t="s">
        <v>192</v>
      </c>
      <c r="B201" t="s">
        <v>487</v>
      </c>
      <c r="C201" s="25">
        <v>2426.34</v>
      </c>
      <c r="D201" s="25">
        <v>78.52</v>
      </c>
      <c r="E201" s="25">
        <v>146.417</v>
      </c>
      <c r="F201" s="25">
        <v>6</v>
      </c>
      <c r="G201" s="25">
        <v>10.076000000000001</v>
      </c>
      <c r="H201" s="25">
        <v>0</v>
      </c>
      <c r="I201" s="25">
        <v>0</v>
      </c>
      <c r="J201" s="25">
        <v>0</v>
      </c>
      <c r="K201" s="192">
        <v>1.1200000000000001</v>
      </c>
      <c r="L201" s="192">
        <v>1.1200000000000001</v>
      </c>
      <c r="M201" s="192">
        <v>9.9999999999997868E-3</v>
      </c>
      <c r="N201" s="278"/>
      <c r="O201" s="278"/>
      <c r="P201" s="278"/>
      <c r="Q201" s="278"/>
      <c r="R201" s="278"/>
      <c r="S201" s="278"/>
      <c r="T201" s="278"/>
      <c r="U201" s="278"/>
      <c r="V201" s="278"/>
      <c r="W201" s="278"/>
      <c r="X201" s="278"/>
      <c r="Y201" s="282">
        <f>VLOOKUP(A201,'3121% SY'!$A$3:$M$600,13,FALSE)</f>
        <v>0.21950000000000003</v>
      </c>
      <c r="Z201" s="30">
        <f t="shared" si="56"/>
        <v>2.2120000000000002</v>
      </c>
      <c r="AA201" s="31">
        <f t="shared" si="44"/>
        <v>154.62899999999999</v>
      </c>
      <c r="AB201" s="32">
        <f t="shared" si="45"/>
        <v>16.2</v>
      </c>
      <c r="AC201" s="28">
        <f t="shared" si="57"/>
        <v>17</v>
      </c>
      <c r="AD201" s="33">
        <f t="shared" si="46"/>
        <v>164.84800000000001</v>
      </c>
      <c r="AE201" s="33">
        <f t="shared" si="47"/>
        <v>5.335</v>
      </c>
      <c r="AF201" s="25">
        <f t="shared" si="49"/>
        <v>13862317.529999999</v>
      </c>
      <c r="AG201" s="25">
        <f t="shared" si="50"/>
        <v>1177804.2100000009</v>
      </c>
      <c r="AH201" s="25">
        <f t="shared" si="51"/>
        <v>2095293.1</v>
      </c>
      <c r="AI201" s="25">
        <f t="shared" si="52"/>
        <v>358527.9299999997</v>
      </c>
      <c r="AJ201" s="25">
        <f t="shared" si="53"/>
        <v>2516010.63</v>
      </c>
      <c r="AK201" s="25">
        <f t="shared" si="54"/>
        <v>206233.52</v>
      </c>
      <c r="AL201" s="25">
        <f t="shared" si="55"/>
        <v>294560.78000000003</v>
      </c>
      <c r="AM201" s="23">
        <f t="shared" si="48"/>
        <v>20510747.699999999</v>
      </c>
      <c r="AO201" s="23"/>
      <c r="AP201" s="23"/>
    </row>
    <row r="202" spans="1:42" x14ac:dyDescent="0.25">
      <c r="A202" t="s">
        <v>193</v>
      </c>
      <c r="B202" t="s">
        <v>488</v>
      </c>
      <c r="C202" s="25">
        <v>2110.1999999999998</v>
      </c>
      <c r="D202" s="25">
        <v>0</v>
      </c>
      <c r="E202" s="25">
        <v>112.723</v>
      </c>
      <c r="F202" s="25">
        <v>0</v>
      </c>
      <c r="G202" s="25">
        <v>13.3</v>
      </c>
      <c r="H202" s="25">
        <v>0</v>
      </c>
      <c r="I202" s="25">
        <v>0</v>
      </c>
      <c r="J202" s="25">
        <v>0</v>
      </c>
      <c r="K202" s="192">
        <v>1.06</v>
      </c>
      <c r="L202" s="192">
        <v>1.06</v>
      </c>
      <c r="M202" s="192">
        <v>0</v>
      </c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82">
        <f>VLOOKUP(A202,'3121% SY'!$A$3:$M$600,13,FALSE)</f>
        <v>0.31130000000000002</v>
      </c>
      <c r="Z202" s="30">
        <f t="shared" si="56"/>
        <v>4.1399999999999997</v>
      </c>
      <c r="AA202" s="31">
        <f t="shared" si="44"/>
        <v>116.863</v>
      </c>
      <c r="AB202" s="32">
        <f t="shared" si="45"/>
        <v>18.059999999999999</v>
      </c>
      <c r="AC202" s="28">
        <f t="shared" si="57"/>
        <v>18.059999999999999</v>
      </c>
      <c r="AD202" s="33">
        <f t="shared" si="46"/>
        <v>134.95500000000001</v>
      </c>
      <c r="AE202" s="33">
        <f t="shared" si="47"/>
        <v>0</v>
      </c>
      <c r="AF202" s="25">
        <f t="shared" si="49"/>
        <v>10403907.67</v>
      </c>
      <c r="AG202" s="25">
        <f t="shared" si="50"/>
        <v>784069.66000000015</v>
      </c>
      <c r="AH202" s="25">
        <f t="shared" si="51"/>
        <v>1661565.96</v>
      </c>
      <c r="AI202" s="25">
        <f t="shared" si="52"/>
        <v>284312.40000000014</v>
      </c>
      <c r="AJ202" s="25">
        <f t="shared" si="53"/>
        <v>1888309.24</v>
      </c>
      <c r="AK202" s="25">
        <f t="shared" si="54"/>
        <v>137290.6</v>
      </c>
      <c r="AL202" s="25">
        <f t="shared" si="55"/>
        <v>219116.54</v>
      </c>
      <c r="AM202" s="23">
        <f t="shared" si="48"/>
        <v>15378572.069999998</v>
      </c>
      <c r="AO202" s="23"/>
      <c r="AP202" s="23"/>
    </row>
    <row r="203" spans="1:42" x14ac:dyDescent="0.25">
      <c r="A203" t="s">
        <v>194</v>
      </c>
      <c r="B203" t="s">
        <v>489</v>
      </c>
      <c r="C203" s="25">
        <v>5962.96</v>
      </c>
      <c r="D203" s="25">
        <v>112</v>
      </c>
      <c r="E203" s="25">
        <v>344.29199999999997</v>
      </c>
      <c r="F203" s="25">
        <v>5.6660000000000004</v>
      </c>
      <c r="G203" s="25">
        <v>35.409999999999997</v>
      </c>
      <c r="H203" s="25">
        <v>0</v>
      </c>
      <c r="I203" s="25">
        <v>0</v>
      </c>
      <c r="J203" s="25">
        <v>0</v>
      </c>
      <c r="K203" s="192">
        <v>1.06</v>
      </c>
      <c r="L203" s="192">
        <v>1.06</v>
      </c>
      <c r="M203" s="192">
        <v>0</v>
      </c>
      <c r="N203" s="278"/>
      <c r="O203" s="278"/>
      <c r="P203" s="278"/>
      <c r="Q203" s="278"/>
      <c r="R203" s="278"/>
      <c r="S203" s="278"/>
      <c r="T203" s="278"/>
      <c r="U203" s="278"/>
      <c r="V203" s="278"/>
      <c r="W203" s="278"/>
      <c r="X203" s="278"/>
      <c r="Y203" s="282">
        <f>VLOOKUP(A203,'3121% SY'!$A$3:$M$600,13,FALSE)</f>
        <v>0.31689999999999996</v>
      </c>
      <c r="Z203" s="30">
        <f t="shared" si="56"/>
        <v>11.221</v>
      </c>
      <c r="AA203" s="31">
        <f t="shared" si="44"/>
        <v>361.17899999999997</v>
      </c>
      <c r="AB203" s="32">
        <f t="shared" si="45"/>
        <v>16.82</v>
      </c>
      <c r="AC203" s="28">
        <f t="shared" si="57"/>
        <v>17</v>
      </c>
      <c r="AD203" s="33">
        <f t="shared" si="46"/>
        <v>405.13099999999997</v>
      </c>
      <c r="AE203" s="33">
        <f t="shared" si="47"/>
        <v>7.609</v>
      </c>
      <c r="AF203" s="25">
        <f t="shared" si="49"/>
        <v>31818820</v>
      </c>
      <c r="AG203" s="25">
        <f t="shared" si="50"/>
        <v>2397961.6199999973</v>
      </c>
      <c r="AH203" s="25">
        <f t="shared" si="51"/>
        <v>5081654.88</v>
      </c>
      <c r="AI203" s="25">
        <f t="shared" si="52"/>
        <v>869527.61000000034</v>
      </c>
      <c r="AJ203" s="25">
        <f t="shared" si="53"/>
        <v>5775115.8300000001</v>
      </c>
      <c r="AK203" s="25">
        <f t="shared" si="54"/>
        <v>419883.08</v>
      </c>
      <c r="AL203" s="25">
        <f t="shared" si="55"/>
        <v>670135.67000000004</v>
      </c>
      <c r="AM203" s="23">
        <f t="shared" si="48"/>
        <v>47033098.689999998</v>
      </c>
      <c r="AO203" s="23"/>
      <c r="AP203" s="23"/>
    </row>
    <row r="204" spans="1:42" x14ac:dyDescent="0.25">
      <c r="A204" t="s">
        <v>195</v>
      </c>
      <c r="B204" t="s">
        <v>490</v>
      </c>
      <c r="C204" s="25">
        <v>577.80999999999995</v>
      </c>
      <c r="D204" s="25">
        <v>47.4</v>
      </c>
      <c r="E204" s="25">
        <v>34.409999999999997</v>
      </c>
      <c r="F204" s="25">
        <v>2.8050000000000002</v>
      </c>
      <c r="G204" s="25">
        <v>5.28</v>
      </c>
      <c r="H204" s="25">
        <v>0</v>
      </c>
      <c r="I204" s="25">
        <v>0</v>
      </c>
      <c r="J204" s="25">
        <v>0</v>
      </c>
      <c r="K204" s="192">
        <v>1</v>
      </c>
      <c r="L204" s="192">
        <v>1</v>
      </c>
      <c r="M204" s="192">
        <v>0</v>
      </c>
      <c r="N204" s="278"/>
      <c r="O204" s="278"/>
      <c r="P204" s="278"/>
      <c r="Q204" s="278"/>
      <c r="R204" s="278"/>
      <c r="S204" s="278"/>
      <c r="T204" s="278"/>
      <c r="U204" s="278"/>
      <c r="V204" s="278"/>
      <c r="W204" s="278"/>
      <c r="X204" s="278"/>
      <c r="Y204" s="282">
        <f>VLOOKUP(A204,'3121% SY'!$A$3:$M$600,13,FALSE)</f>
        <v>0.26800000000000002</v>
      </c>
      <c r="Z204" s="30">
        <f t="shared" si="56"/>
        <v>1.415</v>
      </c>
      <c r="AA204" s="31">
        <f t="shared" si="44"/>
        <v>38.629999999999995</v>
      </c>
      <c r="AB204" s="32">
        <f t="shared" si="45"/>
        <v>16.18</v>
      </c>
      <c r="AC204" s="28">
        <f t="shared" si="57"/>
        <v>17</v>
      </c>
      <c r="AD204" s="33">
        <f t="shared" si="46"/>
        <v>39.256999999999998</v>
      </c>
      <c r="AE204" s="33">
        <f t="shared" si="47"/>
        <v>3.22</v>
      </c>
      <c r="AF204" s="25">
        <f t="shared" si="49"/>
        <v>3089267.26</v>
      </c>
      <c r="AG204" s="25">
        <f t="shared" si="50"/>
        <v>232816.43000000017</v>
      </c>
      <c r="AH204" s="25">
        <f t="shared" si="51"/>
        <v>522976.82</v>
      </c>
      <c r="AI204" s="25">
        <f t="shared" si="52"/>
        <v>89487.149999999965</v>
      </c>
      <c r="AJ204" s="25">
        <f t="shared" si="53"/>
        <v>560702.01</v>
      </c>
      <c r="AK204" s="25">
        <f t="shared" si="54"/>
        <v>40766.160000000003</v>
      </c>
      <c r="AL204" s="25">
        <f t="shared" si="55"/>
        <v>65063.01</v>
      </c>
      <c r="AM204" s="23">
        <f t="shared" si="48"/>
        <v>4601078.84</v>
      </c>
      <c r="AO204" s="23"/>
      <c r="AP204" s="23"/>
    </row>
    <row r="205" spans="1:42" x14ac:dyDescent="0.25">
      <c r="A205" t="s">
        <v>196</v>
      </c>
      <c r="B205" t="s">
        <v>491</v>
      </c>
      <c r="C205" s="25">
        <v>1244.27</v>
      </c>
      <c r="D205" s="25">
        <v>39.200000000000003</v>
      </c>
      <c r="E205" s="25">
        <v>73.578000000000003</v>
      </c>
      <c r="F205" s="25">
        <v>2</v>
      </c>
      <c r="G205" s="25">
        <v>3.87</v>
      </c>
      <c r="H205" s="25">
        <v>0</v>
      </c>
      <c r="I205" s="25">
        <v>0</v>
      </c>
      <c r="J205" s="25">
        <v>0</v>
      </c>
      <c r="K205" s="192">
        <v>1.06</v>
      </c>
      <c r="L205" s="192">
        <v>1.06</v>
      </c>
      <c r="M205" s="192">
        <v>0</v>
      </c>
      <c r="N205" s="278"/>
      <c r="O205" s="278"/>
      <c r="P205" s="278"/>
      <c r="Q205" s="278"/>
      <c r="R205" s="278"/>
      <c r="S205" s="278"/>
      <c r="T205" s="278"/>
      <c r="U205" s="278"/>
      <c r="V205" s="278"/>
      <c r="W205" s="278"/>
      <c r="X205" s="278"/>
      <c r="Y205" s="282">
        <f>VLOOKUP(A205,'3121% SY'!$A$3:$M$600,13,FALSE)</f>
        <v>0.24839999999999995</v>
      </c>
      <c r="Z205" s="30">
        <f t="shared" si="56"/>
        <v>0.96099999999999997</v>
      </c>
      <c r="AA205" s="31">
        <f t="shared" si="44"/>
        <v>76.539000000000001</v>
      </c>
      <c r="AB205" s="32">
        <f t="shared" si="45"/>
        <v>16.77</v>
      </c>
      <c r="AC205" s="28">
        <f t="shared" si="57"/>
        <v>17</v>
      </c>
      <c r="AD205" s="33">
        <f t="shared" si="46"/>
        <v>84.537000000000006</v>
      </c>
      <c r="AE205" s="33">
        <f t="shared" si="47"/>
        <v>2.6629999999999998</v>
      </c>
      <c r="AF205" s="25">
        <f t="shared" si="49"/>
        <v>6722394.5</v>
      </c>
      <c r="AG205" s="25">
        <f t="shared" si="50"/>
        <v>506619.79000000004</v>
      </c>
      <c r="AH205" s="25">
        <f t="shared" si="51"/>
        <v>1073606.3999999999</v>
      </c>
      <c r="AI205" s="25">
        <f t="shared" si="52"/>
        <v>183705.97999999998</v>
      </c>
      <c r="AJ205" s="25">
        <f t="shared" si="53"/>
        <v>1220114.6000000001</v>
      </c>
      <c r="AK205" s="25">
        <f t="shared" si="54"/>
        <v>88709.13</v>
      </c>
      <c r="AL205" s="25">
        <f t="shared" si="55"/>
        <v>141580.24</v>
      </c>
      <c r="AM205" s="23">
        <f t="shared" si="48"/>
        <v>9936730.6400000006</v>
      </c>
      <c r="AO205" s="23"/>
      <c r="AP205" s="23"/>
    </row>
    <row r="206" spans="1:42" x14ac:dyDescent="0.25">
      <c r="A206" t="s">
        <v>197</v>
      </c>
      <c r="B206" t="s">
        <v>492</v>
      </c>
      <c r="C206" s="25">
        <v>1172.42</v>
      </c>
      <c r="D206" s="25">
        <v>0</v>
      </c>
      <c r="E206" s="25">
        <v>57.814</v>
      </c>
      <c r="F206" s="25">
        <v>0</v>
      </c>
      <c r="G206" s="25">
        <v>4.3</v>
      </c>
      <c r="H206" s="25">
        <v>0</v>
      </c>
      <c r="I206" s="25">
        <v>0</v>
      </c>
      <c r="J206" s="25">
        <v>0</v>
      </c>
      <c r="K206" s="192">
        <v>1.1200000000000001</v>
      </c>
      <c r="L206" s="192">
        <v>1.1200000000000001</v>
      </c>
      <c r="M206" s="192">
        <v>0</v>
      </c>
      <c r="N206" s="278"/>
      <c r="O206" s="278"/>
      <c r="P206" s="278"/>
      <c r="Q206" s="278"/>
      <c r="R206" s="278"/>
      <c r="S206" s="278"/>
      <c r="T206" s="278"/>
      <c r="U206" s="278"/>
      <c r="V206" s="278"/>
      <c r="W206" s="278"/>
      <c r="X206" s="278"/>
      <c r="Y206" s="282">
        <f>VLOOKUP(A206,'3121% SY'!$A$3:$M$600,13,FALSE)</f>
        <v>0.31140000000000001</v>
      </c>
      <c r="Z206" s="30">
        <f t="shared" si="56"/>
        <v>1.339</v>
      </c>
      <c r="AA206" s="31">
        <f t="shared" si="44"/>
        <v>59.152999999999999</v>
      </c>
      <c r="AB206" s="32">
        <f t="shared" si="45"/>
        <v>19.82</v>
      </c>
      <c r="AC206" s="28">
        <f t="shared" si="57"/>
        <v>19.82</v>
      </c>
      <c r="AD206" s="33">
        <f t="shared" si="46"/>
        <v>68.322000000000003</v>
      </c>
      <c r="AE206" s="33">
        <f t="shared" si="47"/>
        <v>0</v>
      </c>
      <c r="AF206" s="25">
        <f t="shared" si="49"/>
        <v>5565193.1100000003</v>
      </c>
      <c r="AG206" s="25">
        <f t="shared" si="50"/>
        <v>419409.62000000011</v>
      </c>
      <c r="AH206" s="25">
        <f t="shared" si="51"/>
        <v>841180.46</v>
      </c>
      <c r="AI206" s="25">
        <f t="shared" si="52"/>
        <v>143935.33000000007</v>
      </c>
      <c r="AJ206" s="25">
        <f t="shared" si="53"/>
        <v>1010082.55</v>
      </c>
      <c r="AK206" s="25">
        <f t="shared" si="54"/>
        <v>73438.62</v>
      </c>
      <c r="AL206" s="25">
        <f t="shared" si="55"/>
        <v>117208.44</v>
      </c>
      <c r="AM206" s="23">
        <f t="shared" si="48"/>
        <v>8170448.1300000008</v>
      </c>
      <c r="AO206" s="23"/>
      <c r="AP206" s="23"/>
    </row>
    <row r="207" spans="1:42" x14ac:dyDescent="0.25">
      <c r="A207" t="s">
        <v>632</v>
      </c>
      <c r="B207" t="s">
        <v>634</v>
      </c>
      <c r="C207" s="25">
        <v>200.4</v>
      </c>
      <c r="D207" s="25">
        <v>17.8</v>
      </c>
      <c r="E207" s="25">
        <v>9.2210000000000001</v>
      </c>
      <c r="F207" s="25">
        <v>0</v>
      </c>
      <c r="G207" s="25">
        <v>0</v>
      </c>
      <c r="H207" s="25">
        <v>0</v>
      </c>
      <c r="I207" s="25">
        <v>0</v>
      </c>
      <c r="J207" s="25">
        <v>0</v>
      </c>
      <c r="K207" s="192">
        <v>1.1200000000000001</v>
      </c>
      <c r="L207" s="192">
        <v>1.1200000000000001</v>
      </c>
      <c r="M207" s="192">
        <v>0</v>
      </c>
      <c r="N207" s="278"/>
      <c r="O207" s="278"/>
      <c r="P207" s="278"/>
      <c r="Q207" s="278"/>
      <c r="R207" s="278"/>
      <c r="S207" s="278"/>
      <c r="T207" s="278"/>
      <c r="U207" s="278"/>
      <c r="V207" s="278"/>
      <c r="W207" s="278"/>
      <c r="X207" s="278"/>
      <c r="Y207" s="282">
        <f>VLOOKUP(A207,'3121% SY'!$A$3:$M$600,13,FALSE)</f>
        <v>0.14859999999999995</v>
      </c>
      <c r="Z207" s="30">
        <f t="shared" si="56"/>
        <v>0</v>
      </c>
      <c r="AA207" s="31">
        <f t="shared" si="44"/>
        <v>9.2210000000000001</v>
      </c>
      <c r="AB207" s="32">
        <f t="shared" si="45"/>
        <v>23.66</v>
      </c>
      <c r="AC207" s="28">
        <f t="shared" si="57"/>
        <v>23.66</v>
      </c>
      <c r="AD207" s="33">
        <f t="shared" si="46"/>
        <v>9.7829999999999995</v>
      </c>
      <c r="AE207" s="33">
        <f t="shared" si="47"/>
        <v>0.86899999999999999</v>
      </c>
      <c r="AF207" s="25">
        <f t="shared" si="49"/>
        <v>867662.49</v>
      </c>
      <c r="AG207" s="25">
        <f t="shared" si="50"/>
        <v>65389.650000000023</v>
      </c>
      <c r="AH207" s="25">
        <f t="shared" si="51"/>
        <v>131147.42000000001</v>
      </c>
      <c r="AI207" s="25">
        <f t="shared" si="52"/>
        <v>22440.789999999979</v>
      </c>
      <c r="AJ207" s="25">
        <f t="shared" si="53"/>
        <v>157480.74</v>
      </c>
      <c r="AK207" s="25">
        <f t="shared" si="54"/>
        <v>11449.73</v>
      </c>
      <c r="AL207" s="25">
        <f t="shared" si="55"/>
        <v>18273.830000000002</v>
      </c>
      <c r="AM207" s="23">
        <f t="shared" si="48"/>
        <v>1273844.6500000001</v>
      </c>
      <c r="AO207" s="23"/>
      <c r="AP207" s="23"/>
    </row>
    <row r="208" spans="1:42" x14ac:dyDescent="0.25">
      <c r="A208" t="s">
        <v>666</v>
      </c>
      <c r="B208" t="s">
        <v>1110</v>
      </c>
      <c r="C208" s="25">
        <v>192.8</v>
      </c>
      <c r="D208" s="25">
        <v>0</v>
      </c>
      <c r="E208" s="25">
        <v>11.87</v>
      </c>
      <c r="F208" s="25">
        <v>0</v>
      </c>
      <c r="G208" s="25">
        <v>1.72</v>
      </c>
      <c r="H208" s="25">
        <v>0</v>
      </c>
      <c r="I208" s="25">
        <v>0</v>
      </c>
      <c r="J208" s="25">
        <v>0</v>
      </c>
      <c r="K208" s="192">
        <v>1.1200000000000001</v>
      </c>
      <c r="L208" s="192">
        <v>1.1200000000000001</v>
      </c>
      <c r="M208" s="192">
        <v>0</v>
      </c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82">
        <f>VLOOKUP(A208,'3121% SY'!$A$3:$M$600,13,FALSE)</f>
        <v>0.15000000000000002</v>
      </c>
      <c r="Z208" s="30">
        <f t="shared" si="56"/>
        <v>0.25800000000000001</v>
      </c>
      <c r="AA208" s="31">
        <f t="shared" si="44"/>
        <v>12.128</v>
      </c>
      <c r="AB208" s="32">
        <f t="shared" si="45"/>
        <v>15.9</v>
      </c>
      <c r="AC208" s="28">
        <f t="shared" si="57"/>
        <v>17</v>
      </c>
      <c r="AD208" s="33">
        <f t="shared" si="46"/>
        <v>13.099</v>
      </c>
      <c r="AE208" s="33">
        <f t="shared" si="47"/>
        <v>0</v>
      </c>
      <c r="AF208" s="25">
        <f t="shared" si="49"/>
        <v>1066983.76</v>
      </c>
      <c r="AG208" s="25">
        <f t="shared" si="50"/>
        <v>80411.090000000084</v>
      </c>
      <c r="AH208" s="25">
        <f t="shared" si="51"/>
        <v>161274.89000000001</v>
      </c>
      <c r="AI208" s="25">
        <f t="shared" si="52"/>
        <v>27595.919999999984</v>
      </c>
      <c r="AJ208" s="25">
        <f t="shared" si="53"/>
        <v>193657.55</v>
      </c>
      <c r="AK208" s="25">
        <f t="shared" si="54"/>
        <v>14079.98</v>
      </c>
      <c r="AL208" s="25">
        <f t="shared" si="55"/>
        <v>22471.73</v>
      </c>
      <c r="AM208" s="23">
        <f t="shared" si="48"/>
        <v>1566474.9200000002</v>
      </c>
      <c r="AO208" s="23"/>
      <c r="AP208" s="23"/>
    </row>
    <row r="209" spans="1:42" x14ac:dyDescent="0.25">
      <c r="A209" t="s">
        <v>626</v>
      </c>
      <c r="B209" t="s">
        <v>627</v>
      </c>
      <c r="C209" s="25">
        <v>0</v>
      </c>
      <c r="D209" s="25">
        <v>0</v>
      </c>
      <c r="E209" s="25">
        <v>0</v>
      </c>
      <c r="F209" s="25">
        <v>0</v>
      </c>
      <c r="G209" s="25">
        <v>0</v>
      </c>
      <c r="H209" s="25">
        <v>0</v>
      </c>
      <c r="I209" s="25">
        <v>0</v>
      </c>
      <c r="J209" s="25">
        <v>0</v>
      </c>
      <c r="K209" s="192">
        <v>1.1200000000000001</v>
      </c>
      <c r="L209" s="192">
        <v>1.1200000000000001</v>
      </c>
      <c r="M209" s="192">
        <v>0</v>
      </c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82">
        <f>VLOOKUP(A209,'3121% SY'!$A$3:$M$600,13,FALSE)</f>
        <v>0.13</v>
      </c>
      <c r="Z209" s="30">
        <f t="shared" si="56"/>
        <v>0</v>
      </c>
      <c r="AA209" s="31">
        <f t="shared" si="44"/>
        <v>0</v>
      </c>
      <c r="AB209" s="32">
        <f t="shared" si="45"/>
        <v>0</v>
      </c>
      <c r="AC209" s="28">
        <f t="shared" si="57"/>
        <v>25.23</v>
      </c>
      <c r="AD209" s="33">
        <f t="shared" si="46"/>
        <v>0</v>
      </c>
      <c r="AE209" s="33">
        <f t="shared" si="47"/>
        <v>0</v>
      </c>
      <c r="AF209" s="25">
        <f t="shared" si="49"/>
        <v>0</v>
      </c>
      <c r="AG209" s="25">
        <f t="shared" si="50"/>
        <v>0</v>
      </c>
      <c r="AH209" s="25">
        <f t="shared" si="51"/>
        <v>0</v>
      </c>
      <c r="AI209" s="25">
        <f t="shared" si="52"/>
        <v>0</v>
      </c>
      <c r="AJ209" s="25">
        <f t="shared" si="53"/>
        <v>0</v>
      </c>
      <c r="AK209" s="25">
        <f t="shared" si="54"/>
        <v>0</v>
      </c>
      <c r="AL209" s="25">
        <f t="shared" si="55"/>
        <v>0</v>
      </c>
      <c r="AM209" s="23">
        <f t="shared" si="48"/>
        <v>0</v>
      </c>
      <c r="AO209" s="23"/>
      <c r="AP209" s="23"/>
    </row>
    <row r="210" spans="1:42" x14ac:dyDescent="0.25">
      <c r="A210" t="s">
        <v>198</v>
      </c>
      <c r="B210" t="s">
        <v>493</v>
      </c>
      <c r="C210" s="25">
        <v>5.4</v>
      </c>
      <c r="D210" s="25">
        <v>1.76</v>
      </c>
      <c r="E210" s="25">
        <v>0.66700000000000004</v>
      </c>
      <c r="F210" s="25">
        <v>0.33300000000000002</v>
      </c>
      <c r="G210" s="25">
        <v>0</v>
      </c>
      <c r="H210" s="25">
        <v>0</v>
      </c>
      <c r="I210" s="25">
        <v>0</v>
      </c>
      <c r="J210" s="25">
        <v>0</v>
      </c>
      <c r="K210" s="192">
        <v>1.18</v>
      </c>
      <c r="L210" s="192">
        <v>1.18</v>
      </c>
      <c r="M210" s="192">
        <v>0</v>
      </c>
      <c r="N210" s="278"/>
      <c r="O210" s="278"/>
      <c r="P210" s="278"/>
      <c r="Q210" s="278"/>
      <c r="R210" s="278"/>
      <c r="S210" s="278"/>
      <c r="T210" s="278"/>
      <c r="U210" s="278"/>
      <c r="V210" s="278"/>
      <c r="W210" s="278"/>
      <c r="X210" s="278"/>
      <c r="Y210" s="282">
        <f>VLOOKUP(A210,'3121% SY'!$A$3:$M$600,13,FALSE)</f>
        <v>7.999999999999996E-2</v>
      </c>
      <c r="Z210" s="30">
        <f t="shared" si="56"/>
        <v>0</v>
      </c>
      <c r="AA210" s="31">
        <f t="shared" si="44"/>
        <v>1</v>
      </c>
      <c r="AB210" s="32">
        <f t="shared" si="45"/>
        <v>7.16</v>
      </c>
      <c r="AC210" s="28">
        <f t="shared" si="57"/>
        <v>17</v>
      </c>
      <c r="AD210" s="33">
        <f t="shared" si="46"/>
        <v>0.36699999999999999</v>
      </c>
      <c r="AE210" s="33">
        <f t="shared" si="47"/>
        <v>0.12</v>
      </c>
      <c r="AF210" s="25">
        <f t="shared" si="49"/>
        <v>41793.870000000003</v>
      </c>
      <c r="AG210" s="25">
        <f t="shared" si="50"/>
        <v>3149.7099999999991</v>
      </c>
      <c r="AH210" s="25">
        <f t="shared" si="51"/>
        <v>5995.94</v>
      </c>
      <c r="AI210" s="25">
        <f t="shared" si="52"/>
        <v>1025.9800000000005</v>
      </c>
      <c r="AJ210" s="25">
        <f t="shared" si="53"/>
        <v>7585.59</v>
      </c>
      <c r="AK210" s="25">
        <f t="shared" si="54"/>
        <v>551.51</v>
      </c>
      <c r="AL210" s="25">
        <f t="shared" si="55"/>
        <v>880.22</v>
      </c>
      <c r="AM210" s="23">
        <f t="shared" si="48"/>
        <v>60982.820000000014</v>
      </c>
      <c r="AO210" s="23"/>
      <c r="AP210" s="23"/>
    </row>
    <row r="211" spans="1:42" x14ac:dyDescent="0.25">
      <c r="A211" t="s">
        <v>199</v>
      </c>
      <c r="B211" t="s">
        <v>494</v>
      </c>
      <c r="C211" s="25">
        <v>122.23</v>
      </c>
      <c r="D211" s="25">
        <v>0</v>
      </c>
      <c r="E211" s="25">
        <v>7.1520000000000001</v>
      </c>
      <c r="F211" s="25">
        <v>0</v>
      </c>
      <c r="G211" s="25">
        <v>1</v>
      </c>
      <c r="H211" s="25">
        <v>0</v>
      </c>
      <c r="I211" s="25">
        <v>0</v>
      </c>
      <c r="J211" s="25">
        <v>0</v>
      </c>
      <c r="K211" s="192">
        <v>1.1200000000000001</v>
      </c>
      <c r="L211" s="192">
        <v>1.1200000000000001</v>
      </c>
      <c r="M211" s="192">
        <v>0</v>
      </c>
      <c r="N211" s="278"/>
      <c r="O211" s="278"/>
      <c r="P211" s="278"/>
      <c r="Q211" s="278"/>
      <c r="R211" s="278"/>
      <c r="S211" s="278"/>
      <c r="T211" s="278"/>
      <c r="U211" s="278"/>
      <c r="V211" s="278"/>
      <c r="W211" s="278"/>
      <c r="X211" s="278"/>
      <c r="Y211" s="282">
        <f>VLOOKUP(A211,'3121% SY'!$A$3:$M$600,13,FALSE)</f>
        <v>0.12270000000000003</v>
      </c>
      <c r="Z211" s="30">
        <f t="shared" si="56"/>
        <v>0.123</v>
      </c>
      <c r="AA211" s="31">
        <f t="shared" si="44"/>
        <v>7.2750000000000004</v>
      </c>
      <c r="AB211" s="32">
        <f t="shared" si="45"/>
        <v>16.8</v>
      </c>
      <c r="AC211" s="28">
        <f t="shared" si="57"/>
        <v>17</v>
      </c>
      <c r="AD211" s="33">
        <f t="shared" si="46"/>
        <v>8.3040000000000003</v>
      </c>
      <c r="AE211" s="33">
        <f t="shared" si="47"/>
        <v>0</v>
      </c>
      <c r="AF211" s="25">
        <f t="shared" si="49"/>
        <v>676405.31</v>
      </c>
      <c r="AG211" s="25">
        <f t="shared" si="50"/>
        <v>50975.929999999935</v>
      </c>
      <c r="AH211" s="25">
        <f t="shared" si="51"/>
        <v>102238.85</v>
      </c>
      <c r="AI211" s="25">
        <f t="shared" si="52"/>
        <v>17494.199999999997</v>
      </c>
      <c r="AJ211" s="25">
        <f t="shared" si="53"/>
        <v>122767.56</v>
      </c>
      <c r="AK211" s="25">
        <f t="shared" si="54"/>
        <v>8925.89</v>
      </c>
      <c r="AL211" s="25">
        <f t="shared" si="55"/>
        <v>14245.76</v>
      </c>
      <c r="AM211" s="23">
        <f t="shared" si="48"/>
        <v>993053.49999999988</v>
      </c>
      <c r="AO211" s="23"/>
      <c r="AP211" s="23"/>
    </row>
    <row r="212" spans="1:42" x14ac:dyDescent="0.25">
      <c r="A212" t="s">
        <v>200</v>
      </c>
      <c r="B212" t="s">
        <v>495</v>
      </c>
      <c r="C212" s="25">
        <v>42.71</v>
      </c>
      <c r="D212" s="25">
        <v>0</v>
      </c>
      <c r="E212" s="25">
        <v>4.4290000000000003</v>
      </c>
      <c r="F212" s="25">
        <v>0</v>
      </c>
      <c r="G212" s="25">
        <v>0.7</v>
      </c>
      <c r="H212" s="25">
        <v>0</v>
      </c>
      <c r="I212" s="25">
        <v>0</v>
      </c>
      <c r="J212" s="25">
        <v>0</v>
      </c>
      <c r="K212" s="192">
        <v>1.1200000000000001</v>
      </c>
      <c r="L212" s="192">
        <v>1.1200000000000001</v>
      </c>
      <c r="M212" s="192">
        <v>0</v>
      </c>
      <c r="N212" s="278"/>
      <c r="O212" s="278"/>
      <c r="P212" s="278"/>
      <c r="Q212" s="278"/>
      <c r="R212" s="278"/>
      <c r="S212" s="278"/>
      <c r="T212" s="278"/>
      <c r="U212" s="278"/>
      <c r="V212" s="278"/>
      <c r="W212" s="278"/>
      <c r="X212" s="278"/>
      <c r="Y212" s="282">
        <f>VLOOKUP(A212,'3121% SY'!$A$3:$M$600,13,FALSE)</f>
        <v>0.18320000000000003</v>
      </c>
      <c r="Z212" s="30">
        <f t="shared" si="56"/>
        <v>0.128</v>
      </c>
      <c r="AA212" s="31">
        <f t="shared" si="44"/>
        <v>4.5570000000000004</v>
      </c>
      <c r="AB212" s="32">
        <f t="shared" si="45"/>
        <v>9.3699999999999992</v>
      </c>
      <c r="AC212" s="28">
        <f t="shared" si="57"/>
        <v>17</v>
      </c>
      <c r="AD212" s="33">
        <f t="shared" si="46"/>
        <v>2.9020000000000001</v>
      </c>
      <c r="AE212" s="33">
        <f t="shared" si="47"/>
        <v>0</v>
      </c>
      <c r="AF212" s="25">
        <f t="shared" si="49"/>
        <v>236383.45</v>
      </c>
      <c r="AG212" s="25">
        <f t="shared" si="50"/>
        <v>17814.569999999978</v>
      </c>
      <c r="AH212" s="25">
        <f t="shared" si="51"/>
        <v>35729.42</v>
      </c>
      <c r="AI212" s="25">
        <f t="shared" si="52"/>
        <v>6113.7099999999991</v>
      </c>
      <c r="AJ212" s="25">
        <f t="shared" si="53"/>
        <v>42903.6</v>
      </c>
      <c r="AK212" s="25">
        <f t="shared" si="54"/>
        <v>3119.33</v>
      </c>
      <c r="AL212" s="25">
        <f t="shared" si="55"/>
        <v>4978.47</v>
      </c>
      <c r="AM212" s="23">
        <f t="shared" si="48"/>
        <v>347042.55</v>
      </c>
      <c r="AO212" s="23"/>
      <c r="AP212" s="23"/>
    </row>
    <row r="213" spans="1:42" x14ac:dyDescent="0.25">
      <c r="A213" t="s">
        <v>201</v>
      </c>
      <c r="B213" t="s">
        <v>496</v>
      </c>
      <c r="C213" s="25">
        <v>204</v>
      </c>
      <c r="D213" s="25">
        <v>17</v>
      </c>
      <c r="E213" s="25">
        <v>12.868</v>
      </c>
      <c r="F213" s="25">
        <v>0</v>
      </c>
      <c r="G213" s="25">
        <v>1</v>
      </c>
      <c r="H213" s="25">
        <v>0</v>
      </c>
      <c r="I213" s="25">
        <v>0</v>
      </c>
      <c r="J213" s="25">
        <v>0</v>
      </c>
      <c r="K213" s="192">
        <v>1.1200000000000001</v>
      </c>
      <c r="L213" s="192">
        <v>1.1200000000000001</v>
      </c>
      <c r="M213" s="192">
        <v>0</v>
      </c>
      <c r="N213" s="278"/>
      <c r="O213" s="278"/>
      <c r="P213" s="278"/>
      <c r="Q213" s="278"/>
      <c r="R213" s="278"/>
      <c r="S213" s="278"/>
      <c r="T213" s="278"/>
      <c r="U213" s="278"/>
      <c r="V213" s="278"/>
      <c r="W213" s="278"/>
      <c r="X213" s="278"/>
      <c r="Y213" s="282">
        <f>VLOOKUP(A213,'3121% SY'!$A$3:$M$600,13,FALSE)</f>
        <v>0.15529999999999999</v>
      </c>
      <c r="Z213" s="30">
        <f t="shared" si="56"/>
        <v>0.155</v>
      </c>
      <c r="AA213" s="31">
        <f t="shared" si="44"/>
        <v>13.023</v>
      </c>
      <c r="AB213" s="32">
        <f t="shared" si="45"/>
        <v>16.97</v>
      </c>
      <c r="AC213" s="28">
        <f t="shared" si="57"/>
        <v>17</v>
      </c>
      <c r="AD213" s="33">
        <f t="shared" si="46"/>
        <v>13.86</v>
      </c>
      <c r="AE213" s="33">
        <f t="shared" si="47"/>
        <v>1.155</v>
      </c>
      <c r="AF213" s="25">
        <f t="shared" si="49"/>
        <v>1223052.23</v>
      </c>
      <c r="AG213" s="25">
        <f t="shared" si="50"/>
        <v>92172.880000000121</v>
      </c>
      <c r="AH213" s="25">
        <f t="shared" si="51"/>
        <v>184864.68</v>
      </c>
      <c r="AI213" s="25">
        <f t="shared" si="52"/>
        <v>31632.399999999994</v>
      </c>
      <c r="AJ213" s="25">
        <f t="shared" si="53"/>
        <v>221983.98</v>
      </c>
      <c r="AK213" s="25">
        <f t="shared" si="54"/>
        <v>16139.47</v>
      </c>
      <c r="AL213" s="25">
        <f t="shared" si="55"/>
        <v>25758.68</v>
      </c>
      <c r="AM213" s="23">
        <f t="shared" si="48"/>
        <v>1795604.3199999998</v>
      </c>
      <c r="AO213" s="23"/>
      <c r="AP213" s="23"/>
    </row>
    <row r="214" spans="1:42" x14ac:dyDescent="0.25">
      <c r="A214" t="s">
        <v>202</v>
      </c>
      <c r="B214" t="s">
        <v>497</v>
      </c>
      <c r="C214" s="25">
        <v>169.8</v>
      </c>
      <c r="D214" s="25">
        <v>29</v>
      </c>
      <c r="E214" s="25">
        <v>9.41</v>
      </c>
      <c r="F214" s="25">
        <v>2.06</v>
      </c>
      <c r="G214" s="25">
        <v>0.76</v>
      </c>
      <c r="H214" s="25">
        <v>0</v>
      </c>
      <c r="I214" s="25">
        <v>0</v>
      </c>
      <c r="J214" s="25">
        <v>0</v>
      </c>
      <c r="K214" s="192">
        <v>1.06</v>
      </c>
      <c r="L214" s="192">
        <v>1.06</v>
      </c>
      <c r="M214" s="192">
        <v>0</v>
      </c>
      <c r="N214" s="278"/>
      <c r="O214" s="278"/>
      <c r="P214" s="278"/>
      <c r="Q214" s="278"/>
      <c r="R214" s="278"/>
      <c r="S214" s="278"/>
      <c r="T214" s="278"/>
      <c r="U214" s="278"/>
      <c r="V214" s="278"/>
      <c r="W214" s="278"/>
      <c r="X214" s="278"/>
      <c r="Y214" s="282">
        <f>VLOOKUP(A214,'3121% SY'!$A$3:$M$600,13,FALSE)</f>
        <v>0.17449999999999999</v>
      </c>
      <c r="Z214" s="30">
        <f t="shared" si="56"/>
        <v>0.13300000000000001</v>
      </c>
      <c r="AA214" s="31">
        <f t="shared" si="44"/>
        <v>11.603</v>
      </c>
      <c r="AB214" s="32">
        <f t="shared" si="45"/>
        <v>17.13</v>
      </c>
      <c r="AC214" s="28">
        <f t="shared" si="57"/>
        <v>17.13</v>
      </c>
      <c r="AD214" s="33">
        <f t="shared" si="46"/>
        <v>11.449</v>
      </c>
      <c r="AE214" s="33">
        <f t="shared" si="47"/>
        <v>1.9550000000000001</v>
      </c>
      <c r="AF214" s="25">
        <f t="shared" si="49"/>
        <v>1033336.88</v>
      </c>
      <c r="AG214" s="25">
        <f t="shared" si="50"/>
        <v>77875.359999999986</v>
      </c>
      <c r="AH214" s="25">
        <f t="shared" si="51"/>
        <v>165030.04999999999</v>
      </c>
      <c r="AI214" s="25">
        <f t="shared" si="52"/>
        <v>28238.47</v>
      </c>
      <c r="AJ214" s="25">
        <f t="shared" si="53"/>
        <v>187550.64</v>
      </c>
      <c r="AK214" s="25">
        <f t="shared" si="54"/>
        <v>13635.98</v>
      </c>
      <c r="AL214" s="25">
        <f t="shared" si="55"/>
        <v>21763.09</v>
      </c>
      <c r="AM214" s="23">
        <f t="shared" si="48"/>
        <v>1527430.47</v>
      </c>
      <c r="AO214" s="23"/>
      <c r="AP214" s="23"/>
    </row>
    <row r="215" spans="1:42" x14ac:dyDescent="0.25">
      <c r="A215" t="s">
        <v>203</v>
      </c>
      <c r="B215" t="s">
        <v>498</v>
      </c>
      <c r="C215" s="25">
        <v>919.67</v>
      </c>
      <c r="D215" s="25">
        <v>25.47</v>
      </c>
      <c r="E215" s="25">
        <v>52.594000000000001</v>
      </c>
      <c r="F215" s="25">
        <v>1.885</v>
      </c>
      <c r="G215" s="25">
        <v>6.36</v>
      </c>
      <c r="H215" s="25">
        <v>0.85799999999999998</v>
      </c>
      <c r="I215" s="25">
        <v>0</v>
      </c>
      <c r="J215" s="25">
        <v>0</v>
      </c>
      <c r="K215" s="192">
        <v>1.1200000000000001</v>
      </c>
      <c r="L215" s="192">
        <v>1.1200000000000001</v>
      </c>
      <c r="M215" s="192">
        <v>0</v>
      </c>
      <c r="N215" s="278"/>
      <c r="O215" s="278"/>
      <c r="P215" s="278"/>
      <c r="Q215" s="278"/>
      <c r="R215" s="278"/>
      <c r="S215" s="278"/>
      <c r="T215" s="278"/>
      <c r="U215" s="278"/>
      <c r="V215" s="278"/>
      <c r="W215" s="278"/>
      <c r="X215" s="278"/>
      <c r="Y215" s="282">
        <f>VLOOKUP(A215,'3121% SY'!$A$3:$M$600,13,FALSE)</f>
        <v>0.21199999999999997</v>
      </c>
      <c r="Z215" s="30">
        <f t="shared" si="56"/>
        <v>1.3480000000000001</v>
      </c>
      <c r="AA215" s="31">
        <f t="shared" si="44"/>
        <v>56.684999999999995</v>
      </c>
      <c r="AB215" s="32">
        <f t="shared" si="45"/>
        <v>16.670000000000002</v>
      </c>
      <c r="AC215" s="28">
        <f t="shared" si="57"/>
        <v>17</v>
      </c>
      <c r="AD215" s="33">
        <f t="shared" si="46"/>
        <v>62.482999999999997</v>
      </c>
      <c r="AE215" s="33">
        <f t="shared" si="47"/>
        <v>1.73</v>
      </c>
      <c r="AF215" s="25">
        <f t="shared" si="49"/>
        <v>5230493.03</v>
      </c>
      <c r="AG215" s="25">
        <f t="shared" si="50"/>
        <v>394185.62999999989</v>
      </c>
      <c r="AH215" s="25">
        <f t="shared" si="51"/>
        <v>790590.46</v>
      </c>
      <c r="AI215" s="25">
        <f t="shared" si="52"/>
        <v>135278.81000000006</v>
      </c>
      <c r="AJ215" s="25">
        <f t="shared" si="53"/>
        <v>949334.48</v>
      </c>
      <c r="AK215" s="25">
        <f t="shared" si="54"/>
        <v>69021.899999999994</v>
      </c>
      <c r="AL215" s="25">
        <f t="shared" si="55"/>
        <v>110159.33</v>
      </c>
      <c r="AM215" s="23">
        <f t="shared" si="48"/>
        <v>7679063.6400000006</v>
      </c>
      <c r="AO215" s="23"/>
      <c r="AP215" s="23"/>
    </row>
    <row r="216" spans="1:42" x14ac:dyDescent="0.25">
      <c r="A216" t="s">
        <v>204</v>
      </c>
      <c r="B216" t="s">
        <v>499</v>
      </c>
      <c r="C216" s="25">
        <v>1253.8499999999999</v>
      </c>
      <c r="D216" s="25">
        <v>93.9</v>
      </c>
      <c r="E216" s="25">
        <v>71.744</v>
      </c>
      <c r="F216" s="25">
        <v>5.4710000000000001</v>
      </c>
      <c r="G216" s="25">
        <v>8.6110000000000007</v>
      </c>
      <c r="H216" s="25">
        <v>1.0449999999999999</v>
      </c>
      <c r="I216" s="25">
        <v>0</v>
      </c>
      <c r="J216" s="25">
        <v>0</v>
      </c>
      <c r="K216" s="192">
        <v>1.1200000000000001</v>
      </c>
      <c r="L216" s="192">
        <v>1.1200000000000001</v>
      </c>
      <c r="M216" s="192">
        <v>0</v>
      </c>
      <c r="N216" s="278"/>
      <c r="O216" s="278"/>
      <c r="P216" s="278"/>
      <c r="Q216" s="278"/>
      <c r="R216" s="278"/>
      <c r="S216" s="278"/>
      <c r="T216" s="278"/>
      <c r="U216" s="278"/>
      <c r="V216" s="278"/>
      <c r="W216" s="278"/>
      <c r="X216" s="278"/>
      <c r="Y216" s="282">
        <f>VLOOKUP(A216,'3121% SY'!$A$3:$M$600,13,FALSE)</f>
        <v>0.23140000000000005</v>
      </c>
      <c r="Z216" s="30">
        <f t="shared" si="56"/>
        <v>1.9930000000000001</v>
      </c>
      <c r="AA216" s="31">
        <f t="shared" si="44"/>
        <v>80.253</v>
      </c>
      <c r="AB216" s="32">
        <f t="shared" si="45"/>
        <v>16.79</v>
      </c>
      <c r="AC216" s="28">
        <f t="shared" si="57"/>
        <v>17</v>
      </c>
      <c r="AD216" s="33">
        <f t="shared" si="46"/>
        <v>85.188000000000002</v>
      </c>
      <c r="AE216" s="33">
        <f t="shared" si="47"/>
        <v>6.38</v>
      </c>
      <c r="AF216" s="25">
        <f t="shared" si="49"/>
        <v>7458704.4000000004</v>
      </c>
      <c r="AG216" s="25">
        <f t="shared" si="50"/>
        <v>562110.31999999937</v>
      </c>
      <c r="AH216" s="25">
        <f t="shared" si="51"/>
        <v>1127385.22</v>
      </c>
      <c r="AI216" s="25">
        <f t="shared" si="52"/>
        <v>192908.13000000012</v>
      </c>
      <c r="AJ216" s="25">
        <f t="shared" si="53"/>
        <v>1353754.85</v>
      </c>
      <c r="AK216" s="25">
        <f t="shared" si="54"/>
        <v>98425.52</v>
      </c>
      <c r="AL216" s="25">
        <f t="shared" si="55"/>
        <v>157087.66</v>
      </c>
      <c r="AM216" s="23">
        <f t="shared" si="48"/>
        <v>10950376.1</v>
      </c>
      <c r="AO216" s="23"/>
      <c r="AP216" s="23"/>
    </row>
    <row r="217" spans="1:42" x14ac:dyDescent="0.25">
      <c r="A217" t="s">
        <v>205</v>
      </c>
      <c r="B217" t="s">
        <v>500</v>
      </c>
      <c r="C217" s="25">
        <v>732.05</v>
      </c>
      <c r="D217" s="25">
        <v>0</v>
      </c>
      <c r="E217" s="25">
        <v>44.055</v>
      </c>
      <c r="F217" s="25">
        <v>0</v>
      </c>
      <c r="G217" s="25">
        <v>4.0620000000000003</v>
      </c>
      <c r="H217" s="25">
        <v>0</v>
      </c>
      <c r="I217" s="25">
        <v>0</v>
      </c>
      <c r="J217" s="25">
        <v>0</v>
      </c>
      <c r="K217" s="192">
        <v>1.1200000000000001</v>
      </c>
      <c r="L217" s="192">
        <v>1.1200000000000001</v>
      </c>
      <c r="M217" s="192">
        <v>4.0000000000000036E-2</v>
      </c>
      <c r="N217" s="278"/>
      <c r="O217" s="278"/>
      <c r="P217" s="278"/>
      <c r="Q217" s="278"/>
      <c r="R217" s="278"/>
      <c r="S217" s="278"/>
      <c r="T217" s="278"/>
      <c r="U217" s="278"/>
      <c r="V217" s="278"/>
      <c r="W217" s="278"/>
      <c r="X217" s="278"/>
      <c r="Y217" s="282">
        <f>VLOOKUP(A217,'3121% SY'!$A$3:$M$600,13,FALSE)</f>
        <v>0.20030000000000003</v>
      </c>
      <c r="Z217" s="30">
        <f t="shared" si="56"/>
        <v>0.81399999999999995</v>
      </c>
      <c r="AA217" s="31">
        <f t="shared" si="44"/>
        <v>44.869</v>
      </c>
      <c r="AB217" s="32">
        <f t="shared" si="45"/>
        <v>16.32</v>
      </c>
      <c r="AC217" s="28">
        <f t="shared" si="57"/>
        <v>17</v>
      </c>
      <c r="AD217" s="33">
        <f t="shared" si="46"/>
        <v>49.735999999999997</v>
      </c>
      <c r="AE217" s="33">
        <f t="shared" si="47"/>
        <v>0</v>
      </c>
      <c r="AF217" s="25">
        <f t="shared" si="49"/>
        <v>4051263.78</v>
      </c>
      <c r="AG217" s="25">
        <f t="shared" si="50"/>
        <v>460907.50000000047</v>
      </c>
      <c r="AH217" s="25">
        <f t="shared" si="51"/>
        <v>612349.63</v>
      </c>
      <c r="AI217" s="25">
        <f t="shared" si="52"/>
        <v>104779.82999999996</v>
      </c>
      <c r="AJ217" s="25">
        <f t="shared" si="53"/>
        <v>735304.38</v>
      </c>
      <c r="AK217" s="25">
        <f t="shared" si="54"/>
        <v>80704.899999999994</v>
      </c>
      <c r="AL217" s="25">
        <f t="shared" si="55"/>
        <v>88370.87</v>
      </c>
      <c r="AM217" s="23">
        <f t="shared" si="48"/>
        <v>6133680.8900000006</v>
      </c>
      <c r="AO217" s="23"/>
      <c r="AP217" s="23"/>
    </row>
    <row r="218" spans="1:42" x14ac:dyDescent="0.25">
      <c r="A218" t="s">
        <v>206</v>
      </c>
      <c r="B218" t="s">
        <v>501</v>
      </c>
      <c r="C218" s="25">
        <v>117.6</v>
      </c>
      <c r="D218" s="25">
        <v>0</v>
      </c>
      <c r="E218" s="25">
        <v>6</v>
      </c>
      <c r="F218" s="25">
        <v>0</v>
      </c>
      <c r="G218" s="25">
        <v>0.97</v>
      </c>
      <c r="H218" s="25">
        <v>0</v>
      </c>
      <c r="I218" s="25">
        <v>0</v>
      </c>
      <c r="J218" s="25">
        <v>0</v>
      </c>
      <c r="K218" s="192">
        <v>1.1200000000000001</v>
      </c>
      <c r="L218" s="192">
        <v>1.1200000000000001</v>
      </c>
      <c r="M218" s="192">
        <v>9.9999999999997868E-3</v>
      </c>
      <c r="N218" s="278"/>
      <c r="O218" s="278"/>
      <c r="P218" s="278"/>
      <c r="Q218" s="278"/>
      <c r="R218" s="278"/>
      <c r="S218" s="278"/>
      <c r="T218" s="278"/>
      <c r="U218" s="278"/>
      <c r="V218" s="278"/>
      <c r="W218" s="278"/>
      <c r="X218" s="278"/>
      <c r="Y218" s="282">
        <f>VLOOKUP(A218,'3121% SY'!$A$3:$M$600,13,FALSE)</f>
        <v>0.22489999999999999</v>
      </c>
      <c r="Z218" s="30">
        <f t="shared" si="56"/>
        <v>0.218</v>
      </c>
      <c r="AA218" s="31">
        <f t="shared" si="44"/>
        <v>6.218</v>
      </c>
      <c r="AB218" s="32">
        <f t="shared" si="45"/>
        <v>18.91</v>
      </c>
      <c r="AC218" s="28">
        <f t="shared" si="57"/>
        <v>18.91</v>
      </c>
      <c r="AD218" s="33">
        <f t="shared" si="46"/>
        <v>7.1829999999999998</v>
      </c>
      <c r="AE218" s="33">
        <f t="shared" si="47"/>
        <v>0</v>
      </c>
      <c r="AF218" s="25">
        <f t="shared" si="49"/>
        <v>585093.85</v>
      </c>
      <c r="AG218" s="25">
        <f t="shared" si="50"/>
        <v>49712.180000000051</v>
      </c>
      <c r="AH218" s="25">
        <f t="shared" si="51"/>
        <v>88437.1</v>
      </c>
      <c r="AI218" s="25">
        <f t="shared" si="52"/>
        <v>15132.569999999992</v>
      </c>
      <c r="AJ218" s="25">
        <f t="shared" si="53"/>
        <v>106194.53</v>
      </c>
      <c r="AK218" s="25">
        <f t="shared" si="54"/>
        <v>8704.6</v>
      </c>
      <c r="AL218" s="25">
        <f t="shared" si="55"/>
        <v>12432.68</v>
      </c>
      <c r="AM218" s="23">
        <f t="shared" si="48"/>
        <v>865707.51</v>
      </c>
      <c r="AO218" s="23"/>
      <c r="AP218" s="23"/>
    </row>
    <row r="219" spans="1:42" x14ac:dyDescent="0.25">
      <c r="A219" t="s">
        <v>207</v>
      </c>
      <c r="B219" t="s">
        <v>502</v>
      </c>
      <c r="C219" s="25">
        <v>187.58</v>
      </c>
      <c r="D219" s="25">
        <v>0</v>
      </c>
      <c r="E219" s="25">
        <v>11.458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192">
        <v>1.1200000000000001</v>
      </c>
      <c r="L219" s="192">
        <v>1.1200000000000001</v>
      </c>
      <c r="M219" s="192">
        <v>4.0000000000000036E-2</v>
      </c>
      <c r="N219" s="278"/>
      <c r="O219" s="278"/>
      <c r="P219" s="278"/>
      <c r="Q219" s="278"/>
      <c r="R219" s="278"/>
      <c r="S219" s="278"/>
      <c r="T219" s="278"/>
      <c r="U219" s="278"/>
      <c r="V219" s="278"/>
      <c r="W219" s="278"/>
      <c r="X219" s="278"/>
      <c r="Y219" s="282">
        <f>VLOOKUP(A219,'3121% SY'!$A$3:$M$600,13,FALSE)</f>
        <v>0.12709999999999999</v>
      </c>
      <c r="Z219" s="30">
        <f t="shared" si="56"/>
        <v>0</v>
      </c>
      <c r="AA219" s="31">
        <f t="shared" si="44"/>
        <v>11.458</v>
      </c>
      <c r="AB219" s="32">
        <f t="shared" si="45"/>
        <v>16.37</v>
      </c>
      <c r="AC219" s="28">
        <f t="shared" si="57"/>
        <v>17</v>
      </c>
      <c r="AD219" s="33">
        <f t="shared" si="46"/>
        <v>12.744</v>
      </c>
      <c r="AE219" s="33">
        <f t="shared" si="47"/>
        <v>0</v>
      </c>
      <c r="AF219" s="25">
        <f t="shared" si="49"/>
        <v>1038067.11</v>
      </c>
      <c r="AG219" s="25">
        <f t="shared" si="50"/>
        <v>118099.67000000004</v>
      </c>
      <c r="AH219" s="25">
        <f t="shared" si="51"/>
        <v>156904.13</v>
      </c>
      <c r="AI219" s="25">
        <f t="shared" si="52"/>
        <v>26848.040000000008</v>
      </c>
      <c r="AJ219" s="25">
        <f t="shared" si="53"/>
        <v>188409.18</v>
      </c>
      <c r="AK219" s="25">
        <f t="shared" si="54"/>
        <v>20679.25</v>
      </c>
      <c r="AL219" s="25">
        <f t="shared" si="55"/>
        <v>22643.53</v>
      </c>
      <c r="AM219" s="23">
        <f t="shared" si="48"/>
        <v>1571650.9100000001</v>
      </c>
      <c r="AO219" s="23"/>
      <c r="AP219" s="23"/>
    </row>
    <row r="220" spans="1:42" x14ac:dyDescent="0.25">
      <c r="A220" t="s">
        <v>208</v>
      </c>
      <c r="B220" t="s">
        <v>503</v>
      </c>
      <c r="C220" s="25">
        <v>1679.14</v>
      </c>
      <c r="D220" s="25">
        <v>93.8</v>
      </c>
      <c r="E220" s="25">
        <v>97.745999999999995</v>
      </c>
      <c r="F220" s="25">
        <v>10</v>
      </c>
      <c r="G220" s="25">
        <v>13.593</v>
      </c>
      <c r="H220" s="25">
        <v>0</v>
      </c>
      <c r="I220" s="25">
        <v>0</v>
      </c>
      <c r="J220" s="25">
        <v>0</v>
      </c>
      <c r="K220" s="192">
        <v>1.1200000000000001</v>
      </c>
      <c r="L220" s="192">
        <v>1.1200000000000001</v>
      </c>
      <c r="M220" s="192">
        <v>0</v>
      </c>
      <c r="N220" s="278"/>
      <c r="O220" s="278"/>
      <c r="P220" s="278"/>
      <c r="Q220" s="278"/>
      <c r="R220" s="278"/>
      <c r="S220" s="278"/>
      <c r="T220" s="278"/>
      <c r="U220" s="278"/>
      <c r="V220" s="278"/>
      <c r="W220" s="278"/>
      <c r="X220" s="278"/>
      <c r="Y220" s="282">
        <f>VLOOKUP(A220,'3121% SY'!$A$3:$M$600,13,FALSE)</f>
        <v>0.26129999999999998</v>
      </c>
      <c r="Z220" s="30">
        <f t="shared" si="56"/>
        <v>3.552</v>
      </c>
      <c r="AA220" s="31">
        <f t="shared" si="44"/>
        <v>111.298</v>
      </c>
      <c r="AB220" s="32">
        <f t="shared" si="45"/>
        <v>15.93</v>
      </c>
      <c r="AC220" s="28">
        <f t="shared" si="57"/>
        <v>17</v>
      </c>
      <c r="AD220" s="33">
        <f t="shared" si="46"/>
        <v>114.083</v>
      </c>
      <c r="AE220" s="33">
        <f t="shared" si="47"/>
        <v>6.3730000000000002</v>
      </c>
      <c r="AF220" s="25">
        <f t="shared" si="49"/>
        <v>9811786.8399999999</v>
      </c>
      <c r="AG220" s="25">
        <f t="shared" si="50"/>
        <v>739445.66000000015</v>
      </c>
      <c r="AH220" s="25">
        <f t="shared" si="51"/>
        <v>1483054.27</v>
      </c>
      <c r="AI220" s="25">
        <f t="shared" si="52"/>
        <v>253767.07000000007</v>
      </c>
      <c r="AJ220" s="25">
        <f t="shared" si="53"/>
        <v>1780839.31</v>
      </c>
      <c r="AK220" s="25">
        <f t="shared" si="54"/>
        <v>129476.94</v>
      </c>
      <c r="AL220" s="25">
        <f t="shared" si="55"/>
        <v>206645.89</v>
      </c>
      <c r="AM220" s="23">
        <f t="shared" si="48"/>
        <v>14405015.98</v>
      </c>
      <c r="AO220" s="23"/>
      <c r="AP220" s="23"/>
    </row>
    <row r="221" spans="1:42" x14ac:dyDescent="0.25">
      <c r="A221" t="s">
        <v>209</v>
      </c>
      <c r="B221" t="s">
        <v>504</v>
      </c>
      <c r="C221" s="25">
        <v>49.6</v>
      </c>
      <c r="D221" s="25">
        <v>7.8</v>
      </c>
      <c r="E221" s="25">
        <v>3.29</v>
      </c>
      <c r="F221" s="25">
        <v>0.56000000000000005</v>
      </c>
      <c r="G221" s="25">
        <v>0</v>
      </c>
      <c r="H221" s="25">
        <v>0</v>
      </c>
      <c r="I221" s="25">
        <v>0</v>
      </c>
      <c r="J221" s="25">
        <v>0</v>
      </c>
      <c r="K221" s="192">
        <v>1.06</v>
      </c>
      <c r="L221" s="192">
        <v>1.06</v>
      </c>
      <c r="M221" s="192">
        <v>0</v>
      </c>
      <c r="N221" s="278"/>
      <c r="O221" s="278"/>
      <c r="P221" s="278"/>
      <c r="Q221" s="278"/>
      <c r="R221" s="278"/>
      <c r="S221" s="278"/>
      <c r="T221" s="278"/>
      <c r="U221" s="278"/>
      <c r="V221" s="278"/>
      <c r="W221" s="278"/>
      <c r="X221" s="278"/>
      <c r="Y221" s="282">
        <f>VLOOKUP(A221,'3121% SY'!$A$3:$M$600,13,FALSE)</f>
        <v>0.19130000000000003</v>
      </c>
      <c r="Z221" s="30">
        <f t="shared" si="56"/>
        <v>0</v>
      </c>
      <c r="AA221" s="31">
        <f t="shared" si="44"/>
        <v>3.85</v>
      </c>
      <c r="AB221" s="32">
        <f t="shared" si="45"/>
        <v>14.91</v>
      </c>
      <c r="AC221" s="28">
        <f t="shared" si="57"/>
        <v>17</v>
      </c>
      <c r="AD221" s="33">
        <f t="shared" si="46"/>
        <v>3.37</v>
      </c>
      <c r="AE221" s="33">
        <f t="shared" si="47"/>
        <v>0.53</v>
      </c>
      <c r="AF221" s="25">
        <f t="shared" si="49"/>
        <v>300657.55</v>
      </c>
      <c r="AG221" s="25">
        <f t="shared" si="50"/>
        <v>22658.460000000021</v>
      </c>
      <c r="AH221" s="25">
        <f t="shared" si="51"/>
        <v>48016.800000000003</v>
      </c>
      <c r="AI221" s="25">
        <f t="shared" si="52"/>
        <v>8216.2099999999991</v>
      </c>
      <c r="AJ221" s="25">
        <f t="shared" si="53"/>
        <v>54569.35</v>
      </c>
      <c r="AK221" s="25">
        <f t="shared" si="54"/>
        <v>3967.5</v>
      </c>
      <c r="AL221" s="25">
        <f t="shared" si="55"/>
        <v>6332.14</v>
      </c>
      <c r="AM221" s="23">
        <f t="shared" si="48"/>
        <v>444418.01</v>
      </c>
      <c r="AO221" s="23"/>
      <c r="AP221" s="23"/>
    </row>
    <row r="222" spans="1:42" x14ac:dyDescent="0.25">
      <c r="A222" t="s">
        <v>210</v>
      </c>
      <c r="B222" t="s">
        <v>505</v>
      </c>
      <c r="C222" s="25">
        <v>34.799999999999997</v>
      </c>
      <c r="D222" s="25">
        <v>0</v>
      </c>
      <c r="E222" s="25">
        <v>2.3340000000000001</v>
      </c>
      <c r="F222" s="25">
        <v>0</v>
      </c>
      <c r="G222" s="25">
        <v>0</v>
      </c>
      <c r="H222" s="25">
        <v>0</v>
      </c>
      <c r="I222" s="25">
        <v>0</v>
      </c>
      <c r="J222" s="25">
        <v>0</v>
      </c>
      <c r="K222" s="192">
        <v>1.06</v>
      </c>
      <c r="L222" s="192">
        <v>1.06</v>
      </c>
      <c r="M222" s="192">
        <v>0</v>
      </c>
      <c r="N222" s="278"/>
      <c r="O222" s="278"/>
      <c r="P222" s="278"/>
      <c r="Q222" s="278"/>
      <c r="R222" s="278"/>
      <c r="S222" s="278"/>
      <c r="T222" s="278"/>
      <c r="U222" s="278"/>
      <c r="V222" s="278"/>
      <c r="W222" s="278"/>
      <c r="X222" s="278"/>
      <c r="Y222" s="282">
        <f>VLOOKUP(A222,'3121% SY'!$A$3:$M$600,13,FALSE)</f>
        <v>0.19130000000000003</v>
      </c>
      <c r="Z222" s="30">
        <f t="shared" si="56"/>
        <v>0</v>
      </c>
      <c r="AA222" s="31">
        <f t="shared" si="44"/>
        <v>2.3340000000000001</v>
      </c>
      <c r="AB222" s="32">
        <f t="shared" si="45"/>
        <v>14.91</v>
      </c>
      <c r="AC222" s="28">
        <f t="shared" si="57"/>
        <v>17</v>
      </c>
      <c r="AD222" s="33">
        <f t="shared" si="46"/>
        <v>2.3639999999999999</v>
      </c>
      <c r="AE222" s="33">
        <f t="shared" si="47"/>
        <v>0</v>
      </c>
      <c r="AF222" s="25">
        <f t="shared" si="49"/>
        <v>182244.73</v>
      </c>
      <c r="AG222" s="25">
        <f t="shared" si="50"/>
        <v>13734.50999999998</v>
      </c>
      <c r="AH222" s="25">
        <f t="shared" si="51"/>
        <v>29105.57</v>
      </c>
      <c r="AI222" s="25">
        <f t="shared" si="52"/>
        <v>4980.2799999999988</v>
      </c>
      <c r="AJ222" s="25">
        <f t="shared" si="53"/>
        <v>33077.42</v>
      </c>
      <c r="AK222" s="25">
        <f t="shared" si="54"/>
        <v>2404.91</v>
      </c>
      <c r="AL222" s="25">
        <f t="shared" si="55"/>
        <v>3838.25</v>
      </c>
      <c r="AM222" s="23">
        <f t="shared" si="48"/>
        <v>269385.67</v>
      </c>
      <c r="AO222" s="23"/>
      <c r="AP222" s="23"/>
    </row>
    <row r="223" spans="1:42" x14ac:dyDescent="0.25">
      <c r="A223" t="s">
        <v>211</v>
      </c>
      <c r="B223" t="s">
        <v>506</v>
      </c>
      <c r="C223" s="25">
        <v>19</v>
      </c>
      <c r="D223" s="25">
        <v>0</v>
      </c>
      <c r="E223" s="25">
        <v>1.333</v>
      </c>
      <c r="F223" s="25">
        <v>0</v>
      </c>
      <c r="G223" s="25">
        <v>0</v>
      </c>
      <c r="H223" s="25">
        <v>0</v>
      </c>
      <c r="I223" s="25">
        <v>0</v>
      </c>
      <c r="J223" s="25">
        <v>0</v>
      </c>
      <c r="K223" s="192">
        <v>1</v>
      </c>
      <c r="L223" s="192">
        <v>1</v>
      </c>
      <c r="M223" s="192">
        <v>0</v>
      </c>
      <c r="N223" s="278"/>
      <c r="O223" s="278"/>
      <c r="P223" s="278"/>
      <c r="Q223" s="278"/>
      <c r="R223" s="278"/>
      <c r="S223" s="278"/>
      <c r="T223" s="278"/>
      <c r="U223" s="278"/>
      <c r="V223" s="278"/>
      <c r="W223" s="278"/>
      <c r="X223" s="278"/>
      <c r="Y223" s="282">
        <f>VLOOKUP(A223,'3121% SY'!$A$3:$M$600,13,FALSE)</f>
        <v>0.19130000000000003</v>
      </c>
      <c r="Z223" s="30">
        <f t="shared" si="56"/>
        <v>0</v>
      </c>
      <c r="AA223" s="31">
        <f t="shared" si="44"/>
        <v>1.333</v>
      </c>
      <c r="AB223" s="32">
        <f t="shared" si="45"/>
        <v>14.25</v>
      </c>
      <c r="AC223" s="28">
        <f t="shared" si="57"/>
        <v>17</v>
      </c>
      <c r="AD223" s="33">
        <f t="shared" si="46"/>
        <v>1.2909999999999999</v>
      </c>
      <c r="AE223" s="33">
        <f t="shared" si="47"/>
        <v>0</v>
      </c>
      <c r="AF223" s="25">
        <f t="shared" si="49"/>
        <v>93891.85</v>
      </c>
      <c r="AG223" s="25">
        <f t="shared" si="50"/>
        <v>7075.9700000000012</v>
      </c>
      <c r="AH223" s="25">
        <f t="shared" si="51"/>
        <v>15894.79</v>
      </c>
      <c r="AI223" s="25">
        <f t="shared" si="52"/>
        <v>2719.7799999999988</v>
      </c>
      <c r="AJ223" s="25">
        <f t="shared" si="53"/>
        <v>17041.37</v>
      </c>
      <c r="AK223" s="25">
        <f t="shared" si="54"/>
        <v>1239</v>
      </c>
      <c r="AL223" s="25">
        <f t="shared" si="55"/>
        <v>1977.45</v>
      </c>
      <c r="AM223" s="23">
        <f t="shared" si="48"/>
        <v>139840.21000000002</v>
      </c>
      <c r="AO223" s="23"/>
      <c r="AP223" s="23"/>
    </row>
    <row r="224" spans="1:42" x14ac:dyDescent="0.25">
      <c r="A224" t="s">
        <v>212</v>
      </c>
      <c r="B224" t="s">
        <v>507</v>
      </c>
      <c r="C224" s="25">
        <v>168.87</v>
      </c>
      <c r="D224" s="25">
        <v>28.6</v>
      </c>
      <c r="E224" s="25">
        <v>10.276</v>
      </c>
      <c r="F224" s="25">
        <v>2.35</v>
      </c>
      <c r="G224" s="25">
        <v>0</v>
      </c>
      <c r="H224" s="25">
        <v>0</v>
      </c>
      <c r="I224" s="25">
        <v>0</v>
      </c>
      <c r="J224" s="25">
        <v>0</v>
      </c>
      <c r="K224" s="192">
        <v>1</v>
      </c>
      <c r="L224" s="192">
        <v>1</v>
      </c>
      <c r="M224" s="192">
        <v>0</v>
      </c>
      <c r="N224" s="278"/>
      <c r="O224" s="278"/>
      <c r="P224" s="278"/>
      <c r="Q224" s="278"/>
      <c r="R224" s="278"/>
      <c r="S224" s="278"/>
      <c r="T224" s="278"/>
      <c r="U224" s="278"/>
      <c r="V224" s="278"/>
      <c r="W224" s="278"/>
      <c r="X224" s="278"/>
      <c r="Y224" s="282">
        <f>VLOOKUP(A224,'3121% SY'!$A$3:$M$600,13,FALSE)</f>
        <v>0.19130000000000003</v>
      </c>
      <c r="Z224" s="30">
        <f t="shared" si="56"/>
        <v>0</v>
      </c>
      <c r="AA224" s="31">
        <f t="shared" si="44"/>
        <v>12.625999999999999</v>
      </c>
      <c r="AB224" s="32">
        <f t="shared" si="45"/>
        <v>15.64</v>
      </c>
      <c r="AC224" s="28">
        <f t="shared" si="57"/>
        <v>17</v>
      </c>
      <c r="AD224" s="33">
        <f t="shared" si="46"/>
        <v>11.473000000000001</v>
      </c>
      <c r="AE224" s="33">
        <f t="shared" si="47"/>
        <v>1.9430000000000001</v>
      </c>
      <c r="AF224" s="25">
        <f t="shared" si="49"/>
        <v>975718.85</v>
      </c>
      <c r="AG224" s="25">
        <f t="shared" si="50"/>
        <v>73533.089999999967</v>
      </c>
      <c r="AH224" s="25">
        <f t="shared" si="51"/>
        <v>165177.79</v>
      </c>
      <c r="AI224" s="25">
        <f t="shared" si="52"/>
        <v>28263.75999999998</v>
      </c>
      <c r="AJ224" s="25">
        <f t="shared" si="53"/>
        <v>177092.97</v>
      </c>
      <c r="AK224" s="25">
        <f t="shared" si="54"/>
        <v>12875.64</v>
      </c>
      <c r="AL224" s="25">
        <f t="shared" si="55"/>
        <v>20549.599999999999</v>
      </c>
      <c r="AM224" s="23">
        <f t="shared" si="48"/>
        <v>1453211.7</v>
      </c>
      <c r="AO224" s="23"/>
      <c r="AP224" s="23"/>
    </row>
    <row r="225" spans="1:42" x14ac:dyDescent="0.25">
      <c r="A225" t="s">
        <v>213</v>
      </c>
      <c r="B225" t="s">
        <v>508</v>
      </c>
      <c r="C225" s="25">
        <v>6340.6</v>
      </c>
      <c r="D225" s="25">
        <v>0</v>
      </c>
      <c r="E225" s="25">
        <v>360.99799999999999</v>
      </c>
      <c r="F225" s="25">
        <v>0</v>
      </c>
      <c r="G225" s="25">
        <v>36.143999999999998</v>
      </c>
      <c r="H225" s="25">
        <v>0</v>
      </c>
      <c r="I225" s="25">
        <v>0</v>
      </c>
      <c r="J225" s="25">
        <v>0</v>
      </c>
      <c r="K225" s="192">
        <v>1.18</v>
      </c>
      <c r="L225" s="192">
        <v>1.18</v>
      </c>
      <c r="M225" s="192">
        <v>0</v>
      </c>
      <c r="N225" s="278"/>
      <c r="O225" s="278"/>
      <c r="P225" s="278"/>
      <c r="Q225" s="278"/>
      <c r="R225" s="278"/>
      <c r="S225" s="278"/>
      <c r="T225" s="278"/>
      <c r="U225" s="278"/>
      <c r="V225" s="278"/>
      <c r="W225" s="278"/>
      <c r="X225" s="278"/>
      <c r="Y225" s="282">
        <f>VLOOKUP(A225,'3121% SY'!$A$3:$M$600,13,FALSE)</f>
        <v>0.29820000000000002</v>
      </c>
      <c r="Z225" s="30">
        <f t="shared" si="56"/>
        <v>10.778</v>
      </c>
      <c r="AA225" s="31">
        <f t="shared" si="44"/>
        <v>371.77600000000001</v>
      </c>
      <c r="AB225" s="32">
        <f t="shared" si="45"/>
        <v>17.05</v>
      </c>
      <c r="AC225" s="28">
        <f t="shared" si="57"/>
        <v>17.05</v>
      </c>
      <c r="AD225" s="33">
        <f t="shared" si="46"/>
        <v>429.52499999999998</v>
      </c>
      <c r="AE225" s="33">
        <f t="shared" si="47"/>
        <v>0</v>
      </c>
      <c r="AF225" s="25">
        <f t="shared" si="49"/>
        <v>36861423.159999996</v>
      </c>
      <c r="AG225" s="25">
        <f t="shared" si="50"/>
        <v>2777987.3000000045</v>
      </c>
      <c r="AH225" s="25">
        <f t="shared" si="51"/>
        <v>5288311.8</v>
      </c>
      <c r="AI225" s="25">
        <f t="shared" si="52"/>
        <v>904888.91000000015</v>
      </c>
      <c r="AJ225" s="25">
        <f t="shared" si="53"/>
        <v>6690348.2999999998</v>
      </c>
      <c r="AK225" s="25">
        <f t="shared" si="54"/>
        <v>486425.58</v>
      </c>
      <c r="AL225" s="25">
        <f t="shared" si="55"/>
        <v>776337.85</v>
      </c>
      <c r="AM225" s="23">
        <f t="shared" si="48"/>
        <v>53785722.899999999</v>
      </c>
      <c r="AO225" s="23"/>
      <c r="AP225" s="23"/>
    </row>
    <row r="226" spans="1:42" x14ac:dyDescent="0.25">
      <c r="A226" t="s">
        <v>214</v>
      </c>
      <c r="B226" t="s">
        <v>509</v>
      </c>
      <c r="C226" s="25">
        <v>3087.52</v>
      </c>
      <c r="D226" s="25">
        <v>0</v>
      </c>
      <c r="E226" s="25">
        <v>172.79</v>
      </c>
      <c r="F226" s="25">
        <v>0</v>
      </c>
      <c r="G226" s="25">
        <v>21.3</v>
      </c>
      <c r="H226" s="25">
        <v>0</v>
      </c>
      <c r="I226" s="25">
        <v>0</v>
      </c>
      <c r="J226" s="25">
        <v>0</v>
      </c>
      <c r="K226" s="192">
        <v>1.18</v>
      </c>
      <c r="L226" s="192">
        <v>1.18</v>
      </c>
      <c r="M226" s="192">
        <v>0</v>
      </c>
      <c r="N226" s="278"/>
      <c r="O226" s="278"/>
      <c r="P226" s="278"/>
      <c r="Q226" s="278"/>
      <c r="R226" s="278"/>
      <c r="S226" s="278"/>
      <c r="T226" s="278"/>
      <c r="U226" s="278"/>
      <c r="V226" s="278"/>
      <c r="W226" s="278"/>
      <c r="X226" s="278"/>
      <c r="Y226" s="282">
        <f>VLOOKUP(A226,'3121% SY'!$A$3:$M$600,13,FALSE)</f>
        <v>0.26559999999999995</v>
      </c>
      <c r="Z226" s="30">
        <f t="shared" si="56"/>
        <v>5.657</v>
      </c>
      <c r="AA226" s="31">
        <f t="shared" si="44"/>
        <v>178.447</v>
      </c>
      <c r="AB226" s="32">
        <f t="shared" si="45"/>
        <v>17.3</v>
      </c>
      <c r="AC226" s="28">
        <f t="shared" si="57"/>
        <v>17.3</v>
      </c>
      <c r="AD226" s="33">
        <f t="shared" si="46"/>
        <v>206.13200000000001</v>
      </c>
      <c r="AE226" s="33">
        <f t="shared" si="47"/>
        <v>0</v>
      </c>
      <c r="AF226" s="25">
        <f t="shared" si="49"/>
        <v>17690050.350000001</v>
      </c>
      <c r="AG226" s="25">
        <f t="shared" si="50"/>
        <v>1333175.1999999993</v>
      </c>
      <c r="AH226" s="25">
        <f t="shared" si="51"/>
        <v>2537897.1800000002</v>
      </c>
      <c r="AI226" s="25">
        <f t="shared" si="52"/>
        <v>434262.40999999968</v>
      </c>
      <c r="AJ226" s="25">
        <f t="shared" si="53"/>
        <v>3210744.14</v>
      </c>
      <c r="AK226" s="25">
        <f t="shared" si="54"/>
        <v>233438.98</v>
      </c>
      <c r="AL226" s="25">
        <f t="shared" si="55"/>
        <v>372569.87</v>
      </c>
      <c r="AM226" s="23">
        <f t="shared" si="48"/>
        <v>25812138.130000003</v>
      </c>
      <c r="AO226" s="23"/>
      <c r="AP226" s="23"/>
    </row>
    <row r="227" spans="1:42" x14ac:dyDescent="0.25">
      <c r="A227" t="s">
        <v>215</v>
      </c>
      <c r="B227" t="s">
        <v>510</v>
      </c>
      <c r="C227" s="25">
        <v>4428.72</v>
      </c>
      <c r="D227" s="25">
        <v>0</v>
      </c>
      <c r="E227" s="25">
        <v>245.2</v>
      </c>
      <c r="F227" s="25">
        <v>0</v>
      </c>
      <c r="G227" s="25">
        <v>31.643999999999998</v>
      </c>
      <c r="H227" s="25">
        <v>0</v>
      </c>
      <c r="I227" s="25">
        <v>0</v>
      </c>
      <c r="J227" s="25">
        <v>0</v>
      </c>
      <c r="K227" s="192">
        <v>1.18</v>
      </c>
      <c r="L227" s="192">
        <v>1.18</v>
      </c>
      <c r="M227" s="192">
        <v>0</v>
      </c>
      <c r="N227" s="278"/>
      <c r="O227" s="278"/>
      <c r="P227" s="278"/>
      <c r="Q227" s="278"/>
      <c r="R227" s="278"/>
      <c r="S227" s="278"/>
      <c r="T227" s="278"/>
      <c r="U227" s="278"/>
      <c r="V227" s="278"/>
      <c r="W227" s="278"/>
      <c r="X227" s="278"/>
      <c r="Y227" s="282">
        <f>VLOOKUP(A227,'3121% SY'!$A$3:$M$600,13,FALSE)</f>
        <v>0.28149999999999997</v>
      </c>
      <c r="Z227" s="30">
        <f t="shared" si="56"/>
        <v>8.9079999999999995</v>
      </c>
      <c r="AA227" s="31">
        <f t="shared" si="44"/>
        <v>254.10799999999998</v>
      </c>
      <c r="AB227" s="32">
        <f t="shared" si="45"/>
        <v>17.43</v>
      </c>
      <c r="AC227" s="28">
        <f t="shared" si="57"/>
        <v>17.43</v>
      </c>
      <c r="AD227" s="33">
        <f t="shared" si="46"/>
        <v>293.46899999999999</v>
      </c>
      <c r="AE227" s="33">
        <f t="shared" si="47"/>
        <v>0</v>
      </c>
      <c r="AF227" s="25">
        <f t="shared" si="49"/>
        <v>25185227.850000001</v>
      </c>
      <c r="AG227" s="25">
        <f t="shared" si="50"/>
        <v>1898034.2299999967</v>
      </c>
      <c r="AH227" s="25">
        <f t="shared" si="51"/>
        <v>3613190.33</v>
      </c>
      <c r="AI227" s="25">
        <f t="shared" si="52"/>
        <v>618257.00999999978</v>
      </c>
      <c r="AJ227" s="25">
        <f t="shared" si="53"/>
        <v>4571118.8499999996</v>
      </c>
      <c r="AK227" s="25">
        <f t="shared" si="54"/>
        <v>332345.78999999998</v>
      </c>
      <c r="AL227" s="25">
        <f t="shared" si="55"/>
        <v>530425.68999999994</v>
      </c>
      <c r="AM227" s="23">
        <f t="shared" si="48"/>
        <v>36748599.749999993</v>
      </c>
      <c r="AO227" s="23"/>
      <c r="AP227" s="23"/>
    </row>
    <row r="228" spans="1:42" x14ac:dyDescent="0.25">
      <c r="A228" t="s">
        <v>216</v>
      </c>
      <c r="B228" t="s">
        <v>511</v>
      </c>
      <c r="C228" s="25">
        <v>5928.35</v>
      </c>
      <c r="D228" s="25">
        <v>0</v>
      </c>
      <c r="E228" s="25">
        <v>327.86200000000002</v>
      </c>
      <c r="F228" s="25">
        <v>0</v>
      </c>
      <c r="G228" s="25">
        <v>53.064999999999998</v>
      </c>
      <c r="H228" s="25">
        <v>0</v>
      </c>
      <c r="I228" s="25">
        <v>0</v>
      </c>
      <c r="J228" s="25">
        <v>0</v>
      </c>
      <c r="K228" s="192">
        <v>1.18</v>
      </c>
      <c r="L228" s="192">
        <v>1.18</v>
      </c>
      <c r="M228" s="192">
        <v>0</v>
      </c>
      <c r="N228" s="278"/>
      <c r="O228" s="278"/>
      <c r="P228" s="278"/>
      <c r="Q228" s="278"/>
      <c r="R228" s="278"/>
      <c r="S228" s="278"/>
      <c r="T228" s="278"/>
      <c r="U228" s="278"/>
      <c r="V228" s="278"/>
      <c r="W228" s="278"/>
      <c r="X228" s="278"/>
      <c r="Y228" s="282">
        <f>VLOOKUP(A228,'3121% SY'!$A$3:$M$600,13,FALSE)</f>
        <v>0.29459999999999997</v>
      </c>
      <c r="Z228" s="30">
        <f t="shared" si="56"/>
        <v>15.632999999999999</v>
      </c>
      <c r="AA228" s="31">
        <f t="shared" si="44"/>
        <v>343.495</v>
      </c>
      <c r="AB228" s="32">
        <f t="shared" si="45"/>
        <v>17.260000000000002</v>
      </c>
      <c r="AC228" s="28">
        <f t="shared" si="57"/>
        <v>17.260000000000002</v>
      </c>
      <c r="AD228" s="33">
        <f t="shared" si="46"/>
        <v>396.71199999999999</v>
      </c>
      <c r="AE228" s="33">
        <f t="shared" si="47"/>
        <v>0</v>
      </c>
      <c r="AF228" s="25">
        <f t="shared" si="49"/>
        <v>34045443</v>
      </c>
      <c r="AG228" s="25">
        <f t="shared" si="50"/>
        <v>2565766.5900000036</v>
      </c>
      <c r="AH228" s="25">
        <f t="shared" si="51"/>
        <v>4884318.1399999997</v>
      </c>
      <c r="AI228" s="25">
        <f t="shared" si="52"/>
        <v>835761.11000000034</v>
      </c>
      <c r="AJ228" s="25">
        <f t="shared" si="53"/>
        <v>6179247.9000000004</v>
      </c>
      <c r="AK228" s="25">
        <f t="shared" si="54"/>
        <v>449265.73</v>
      </c>
      <c r="AL228" s="25">
        <f t="shared" si="55"/>
        <v>717030.54</v>
      </c>
      <c r="AM228" s="23">
        <f t="shared" si="48"/>
        <v>49676833.009999998</v>
      </c>
      <c r="AO228" s="23"/>
      <c r="AP228" s="23"/>
    </row>
    <row r="229" spans="1:42" x14ac:dyDescent="0.25">
      <c r="A229" t="s">
        <v>217</v>
      </c>
      <c r="B229" t="s">
        <v>512</v>
      </c>
      <c r="C229" s="25">
        <v>1477.7</v>
      </c>
      <c r="D229" s="25">
        <v>0</v>
      </c>
      <c r="E229" s="25">
        <v>85.989000000000004</v>
      </c>
      <c r="F229" s="25">
        <v>0</v>
      </c>
      <c r="G229" s="25">
        <v>8.4710000000000001</v>
      </c>
      <c r="H229" s="25">
        <v>0</v>
      </c>
      <c r="I229" s="25">
        <v>0</v>
      </c>
      <c r="J229" s="25">
        <v>0</v>
      </c>
      <c r="K229" s="192">
        <v>1.1200000000000001</v>
      </c>
      <c r="L229" s="192">
        <v>1.1200000000000001</v>
      </c>
      <c r="M229" s="192">
        <v>4.0000000000000036E-2</v>
      </c>
      <c r="N229" s="278"/>
      <c r="O229" s="278"/>
      <c r="P229" s="278"/>
      <c r="Q229" s="278"/>
      <c r="R229" s="278"/>
      <c r="S229" s="278"/>
      <c r="T229" s="278"/>
      <c r="U229" s="278"/>
      <c r="V229" s="278"/>
      <c r="W229" s="278"/>
      <c r="X229" s="278"/>
      <c r="Y229" s="282">
        <f>VLOOKUP(A229,'3121% SY'!$A$3:$M$600,13,FALSE)</f>
        <v>0.23260000000000003</v>
      </c>
      <c r="Z229" s="30">
        <f t="shared" si="56"/>
        <v>1.97</v>
      </c>
      <c r="AA229" s="31">
        <f t="shared" si="44"/>
        <v>87.959000000000003</v>
      </c>
      <c r="AB229" s="32">
        <f t="shared" si="45"/>
        <v>16.8</v>
      </c>
      <c r="AC229" s="28">
        <f t="shared" si="57"/>
        <v>17</v>
      </c>
      <c r="AD229" s="33">
        <f t="shared" si="46"/>
        <v>100.39700000000001</v>
      </c>
      <c r="AE229" s="33">
        <f t="shared" si="47"/>
        <v>0</v>
      </c>
      <c r="AF229" s="25">
        <f t="shared" si="49"/>
        <v>8177873.7800000003</v>
      </c>
      <c r="AG229" s="25">
        <f t="shared" si="50"/>
        <v>930387.03000000026</v>
      </c>
      <c r="AH229" s="25">
        <f t="shared" si="51"/>
        <v>1236087.8600000001</v>
      </c>
      <c r="AI229" s="25">
        <f t="shared" si="52"/>
        <v>211508.36999999988</v>
      </c>
      <c r="AJ229" s="25">
        <f t="shared" si="53"/>
        <v>1484284.09</v>
      </c>
      <c r="AK229" s="25">
        <f t="shared" si="54"/>
        <v>162910.76999999999</v>
      </c>
      <c r="AL229" s="25">
        <f t="shared" si="55"/>
        <v>178385.29</v>
      </c>
      <c r="AM229" s="23">
        <f t="shared" si="48"/>
        <v>12381437.189999998</v>
      </c>
      <c r="AO229" s="23"/>
      <c r="AP229" s="23"/>
    </row>
    <row r="230" spans="1:42" x14ac:dyDescent="0.25">
      <c r="A230" t="s">
        <v>218</v>
      </c>
      <c r="B230" t="s">
        <v>513</v>
      </c>
      <c r="C230" s="25">
        <v>2822.27</v>
      </c>
      <c r="D230" s="25">
        <v>0</v>
      </c>
      <c r="E230" s="25">
        <v>144.77799999999999</v>
      </c>
      <c r="F230" s="25">
        <v>0</v>
      </c>
      <c r="G230" s="25">
        <v>18.599</v>
      </c>
      <c r="H230" s="25">
        <v>0</v>
      </c>
      <c r="I230" s="25">
        <v>0</v>
      </c>
      <c r="J230" s="25">
        <v>0</v>
      </c>
      <c r="K230" s="192">
        <v>1.18</v>
      </c>
      <c r="L230" s="192">
        <v>1.18</v>
      </c>
      <c r="M230" s="192">
        <v>0</v>
      </c>
      <c r="N230" s="278"/>
      <c r="O230" s="278"/>
      <c r="P230" s="278"/>
      <c r="Q230" s="278"/>
      <c r="R230" s="278"/>
      <c r="S230" s="278"/>
      <c r="T230" s="278"/>
      <c r="U230" s="278"/>
      <c r="V230" s="278"/>
      <c r="W230" s="278"/>
      <c r="X230" s="278"/>
      <c r="Y230" s="282">
        <f>VLOOKUP(A230,'3121% SY'!$A$3:$M$600,13,FALSE)</f>
        <v>0.30269999999999997</v>
      </c>
      <c r="Z230" s="30">
        <f t="shared" si="56"/>
        <v>5.63</v>
      </c>
      <c r="AA230" s="31">
        <f t="shared" si="44"/>
        <v>150.40799999999999</v>
      </c>
      <c r="AB230" s="32">
        <f t="shared" si="45"/>
        <v>18.760000000000002</v>
      </c>
      <c r="AC230" s="28">
        <f t="shared" si="57"/>
        <v>18.760000000000002</v>
      </c>
      <c r="AD230" s="33">
        <f t="shared" si="46"/>
        <v>173.75899999999999</v>
      </c>
      <c r="AE230" s="33">
        <f t="shared" si="47"/>
        <v>0</v>
      </c>
      <c r="AF230" s="25">
        <f t="shared" si="49"/>
        <v>14911830.57</v>
      </c>
      <c r="AG230" s="25">
        <f t="shared" si="50"/>
        <v>1123800.2300000004</v>
      </c>
      <c r="AH230" s="25">
        <f t="shared" si="51"/>
        <v>2139320.81</v>
      </c>
      <c r="AI230" s="25">
        <f t="shared" si="52"/>
        <v>366061.56000000006</v>
      </c>
      <c r="AJ230" s="25">
        <f t="shared" si="53"/>
        <v>2706497.25</v>
      </c>
      <c r="AK230" s="25">
        <f t="shared" si="54"/>
        <v>196777.42</v>
      </c>
      <c r="AL230" s="25">
        <f t="shared" si="55"/>
        <v>314057.83</v>
      </c>
      <c r="AM230" s="23">
        <f t="shared" si="48"/>
        <v>21758345.669999998</v>
      </c>
      <c r="AO230" s="23"/>
      <c r="AP230" s="23"/>
    </row>
    <row r="231" spans="1:42" x14ac:dyDescent="0.25">
      <c r="A231" t="s">
        <v>219</v>
      </c>
      <c r="B231" t="s">
        <v>514</v>
      </c>
      <c r="C231" s="25">
        <v>19.100000000000001</v>
      </c>
      <c r="D231" s="25">
        <v>0</v>
      </c>
      <c r="E231" s="25">
        <v>1.125</v>
      </c>
      <c r="F231" s="25">
        <v>0</v>
      </c>
      <c r="G231" s="25">
        <v>0.28299999999999997</v>
      </c>
      <c r="H231" s="25">
        <v>0</v>
      </c>
      <c r="I231" s="25">
        <v>0</v>
      </c>
      <c r="J231" s="25">
        <v>0</v>
      </c>
      <c r="K231" s="192">
        <v>1.18</v>
      </c>
      <c r="L231" s="192">
        <v>1.18</v>
      </c>
      <c r="M231" s="192">
        <v>0</v>
      </c>
      <c r="N231" s="278"/>
      <c r="O231" s="278"/>
      <c r="P231" s="278"/>
      <c r="Q231" s="278"/>
      <c r="R231" s="278"/>
      <c r="S231" s="278"/>
      <c r="T231" s="278"/>
      <c r="U231" s="278"/>
      <c r="V231" s="278"/>
      <c r="W231" s="278"/>
      <c r="X231" s="278"/>
      <c r="Y231" s="282">
        <f>VLOOKUP(A231,'3121% SY'!$A$3:$M$600,13,FALSE)</f>
        <v>7.999999999999996E-2</v>
      </c>
      <c r="Z231" s="30">
        <f t="shared" si="56"/>
        <v>2.3E-2</v>
      </c>
      <c r="AA231" s="31">
        <f t="shared" si="44"/>
        <v>1.1479999999999999</v>
      </c>
      <c r="AB231" s="32">
        <f t="shared" si="45"/>
        <v>16.64</v>
      </c>
      <c r="AC231" s="28">
        <f t="shared" si="57"/>
        <v>17</v>
      </c>
      <c r="AD231" s="33">
        <f t="shared" si="46"/>
        <v>1.298</v>
      </c>
      <c r="AE231" s="33">
        <f t="shared" si="47"/>
        <v>0</v>
      </c>
      <c r="AF231" s="25">
        <f t="shared" si="49"/>
        <v>111393.11</v>
      </c>
      <c r="AG231" s="25">
        <f t="shared" si="50"/>
        <v>8394.9199999999983</v>
      </c>
      <c r="AH231" s="25">
        <f t="shared" si="51"/>
        <v>15980.98</v>
      </c>
      <c r="AI231" s="25">
        <f t="shared" si="52"/>
        <v>2734.5200000000004</v>
      </c>
      <c r="AJ231" s="25">
        <f t="shared" si="53"/>
        <v>20217.849999999999</v>
      </c>
      <c r="AK231" s="25">
        <f t="shared" si="54"/>
        <v>1469.95</v>
      </c>
      <c r="AL231" s="25">
        <f t="shared" si="55"/>
        <v>2346.0500000000002</v>
      </c>
      <c r="AM231" s="23">
        <f t="shared" si="48"/>
        <v>162537.38</v>
      </c>
      <c r="AO231" s="23"/>
      <c r="AP231" s="23"/>
    </row>
    <row r="232" spans="1:42" x14ac:dyDescent="0.25">
      <c r="A232" t="s">
        <v>220</v>
      </c>
      <c r="B232" t="s">
        <v>515</v>
      </c>
      <c r="C232" s="25">
        <v>1431.43</v>
      </c>
      <c r="D232" s="25">
        <v>49.6</v>
      </c>
      <c r="E232" s="25">
        <v>80.183999999999997</v>
      </c>
      <c r="F232" s="25">
        <v>3</v>
      </c>
      <c r="G232" s="25">
        <v>8.9589999999999996</v>
      </c>
      <c r="H232" s="25">
        <v>0</v>
      </c>
      <c r="I232" s="25">
        <v>0</v>
      </c>
      <c r="J232" s="25">
        <v>0</v>
      </c>
      <c r="K232" s="192">
        <v>1.18</v>
      </c>
      <c r="L232" s="192">
        <v>1.18</v>
      </c>
      <c r="M232" s="192">
        <v>0</v>
      </c>
      <c r="N232" s="278"/>
      <c r="O232" s="278"/>
      <c r="P232" s="278"/>
      <c r="Q232" s="278"/>
      <c r="R232" s="278"/>
      <c r="S232" s="278"/>
      <c r="T232" s="278"/>
      <c r="U232" s="278"/>
      <c r="V232" s="278"/>
      <c r="W232" s="278"/>
      <c r="X232" s="278"/>
      <c r="Y232" s="282">
        <f>VLOOKUP(A232,'3121% SY'!$A$3:$M$600,13,FALSE)</f>
        <v>0.20509999999999995</v>
      </c>
      <c r="Z232" s="30">
        <f t="shared" si="56"/>
        <v>1.837</v>
      </c>
      <c r="AA232" s="31">
        <f t="shared" si="44"/>
        <v>85.021000000000001</v>
      </c>
      <c r="AB232" s="32">
        <f t="shared" si="45"/>
        <v>17.420000000000002</v>
      </c>
      <c r="AC232" s="28">
        <f t="shared" si="57"/>
        <v>17.420000000000002</v>
      </c>
      <c r="AD232" s="33">
        <f t="shared" si="46"/>
        <v>94.908000000000001</v>
      </c>
      <c r="AE232" s="33">
        <f t="shared" si="47"/>
        <v>3.2890000000000001</v>
      </c>
      <c r="AF232" s="25">
        <f t="shared" si="49"/>
        <v>8427172.2699999996</v>
      </c>
      <c r="AG232" s="25">
        <f t="shared" si="50"/>
        <v>635096.95000000112</v>
      </c>
      <c r="AH232" s="25">
        <f t="shared" si="51"/>
        <v>1209001.46</v>
      </c>
      <c r="AI232" s="25">
        <f t="shared" si="52"/>
        <v>206873.59000000008</v>
      </c>
      <c r="AJ232" s="25">
        <f t="shared" si="53"/>
        <v>1529531.77</v>
      </c>
      <c r="AK232" s="25">
        <f t="shared" si="54"/>
        <v>111205.48</v>
      </c>
      <c r="AL232" s="25">
        <f t="shared" si="55"/>
        <v>177484.54</v>
      </c>
      <c r="AM232" s="23">
        <f t="shared" si="48"/>
        <v>12296366.059999999</v>
      </c>
      <c r="AO232" s="23"/>
      <c r="AP232" s="23"/>
    </row>
    <row r="233" spans="1:42" x14ac:dyDescent="0.25">
      <c r="A233" t="s">
        <v>221</v>
      </c>
      <c r="B233" t="s">
        <v>516</v>
      </c>
      <c r="C233" s="25">
        <v>2678.91</v>
      </c>
      <c r="D233" s="25">
        <v>59</v>
      </c>
      <c r="E233" s="25">
        <v>157.09700000000001</v>
      </c>
      <c r="F233" s="25">
        <v>3</v>
      </c>
      <c r="G233" s="25">
        <v>12.918999999999999</v>
      </c>
      <c r="H233" s="25">
        <v>0</v>
      </c>
      <c r="I233" s="25">
        <v>0</v>
      </c>
      <c r="J233" s="25">
        <v>0</v>
      </c>
      <c r="K233" s="192">
        <v>1.18</v>
      </c>
      <c r="L233" s="192">
        <v>1.18</v>
      </c>
      <c r="M233" s="192">
        <v>4.0000000000000036E-2</v>
      </c>
      <c r="N233" s="278"/>
      <c r="O233" s="278"/>
      <c r="P233" s="278"/>
      <c r="Q233" s="278"/>
      <c r="R233" s="278"/>
      <c r="S233" s="278"/>
      <c r="T233" s="278"/>
      <c r="U233" s="278"/>
      <c r="V233" s="278"/>
      <c r="W233" s="278"/>
      <c r="X233" s="278"/>
      <c r="Y233" s="282">
        <f>VLOOKUP(A233,'3121% SY'!$A$3:$M$600,13,FALSE)</f>
        <v>0.23119999999999996</v>
      </c>
      <c r="Z233" s="30">
        <f t="shared" si="56"/>
        <v>2.9870000000000001</v>
      </c>
      <c r="AA233" s="31">
        <f t="shared" si="44"/>
        <v>163.084</v>
      </c>
      <c r="AB233" s="32">
        <f t="shared" si="45"/>
        <v>16.79</v>
      </c>
      <c r="AC233" s="28">
        <f t="shared" si="57"/>
        <v>17</v>
      </c>
      <c r="AD233" s="33">
        <f t="shared" si="46"/>
        <v>182.00800000000001</v>
      </c>
      <c r="AE233" s="33">
        <f t="shared" si="47"/>
        <v>4.0090000000000003</v>
      </c>
      <c r="AF233" s="25">
        <f t="shared" si="49"/>
        <v>15963800.359999999</v>
      </c>
      <c r="AG233" s="25">
        <f t="shared" si="50"/>
        <v>1785007.9699999988</v>
      </c>
      <c r="AH233" s="25">
        <f t="shared" si="51"/>
        <v>2290241.2999999998</v>
      </c>
      <c r="AI233" s="25">
        <f t="shared" si="52"/>
        <v>391885.74000000022</v>
      </c>
      <c r="AJ233" s="25">
        <f t="shared" si="53"/>
        <v>2897429.77</v>
      </c>
      <c r="AK233" s="25">
        <f t="shared" si="54"/>
        <v>312554.90000000002</v>
      </c>
      <c r="AL233" s="25">
        <f t="shared" si="55"/>
        <v>347610.41</v>
      </c>
      <c r="AM233" s="23">
        <f t="shared" si="48"/>
        <v>23988530.449999996</v>
      </c>
      <c r="AO233" s="23"/>
      <c r="AP233" s="23"/>
    </row>
    <row r="234" spans="1:42" x14ac:dyDescent="0.25">
      <c r="A234" t="s">
        <v>222</v>
      </c>
      <c r="B234" t="s">
        <v>517</v>
      </c>
      <c r="C234" s="25">
        <v>778.75</v>
      </c>
      <c r="D234" s="25">
        <v>0</v>
      </c>
      <c r="E234" s="25">
        <v>43.832999999999998</v>
      </c>
      <c r="F234" s="25">
        <v>0.5</v>
      </c>
      <c r="G234" s="25">
        <v>5.319</v>
      </c>
      <c r="H234" s="25">
        <v>0</v>
      </c>
      <c r="I234" s="25">
        <v>0</v>
      </c>
      <c r="J234" s="25">
        <v>0</v>
      </c>
      <c r="K234" s="192">
        <v>1.1200000000000001</v>
      </c>
      <c r="L234" s="192">
        <v>1.1200000000000001</v>
      </c>
      <c r="M234" s="192">
        <v>0</v>
      </c>
      <c r="N234" s="278"/>
      <c r="O234" s="278"/>
      <c r="P234" s="278"/>
      <c r="Q234" s="278"/>
      <c r="R234" s="278"/>
      <c r="S234" s="278"/>
      <c r="T234" s="278"/>
      <c r="U234" s="278"/>
      <c r="V234" s="278"/>
      <c r="W234" s="278"/>
      <c r="X234" s="278"/>
      <c r="Y234" s="282">
        <f>VLOOKUP(A234,'3121% SY'!$A$3:$M$600,13,FALSE)</f>
        <v>0.27290000000000003</v>
      </c>
      <c r="Z234" s="30">
        <f t="shared" si="56"/>
        <v>1.452</v>
      </c>
      <c r="AA234" s="31">
        <f t="shared" si="44"/>
        <v>45.784999999999997</v>
      </c>
      <c r="AB234" s="32">
        <f t="shared" si="45"/>
        <v>17.010000000000002</v>
      </c>
      <c r="AC234" s="28">
        <f t="shared" si="57"/>
        <v>17.010000000000002</v>
      </c>
      <c r="AD234" s="33">
        <f t="shared" si="46"/>
        <v>52.878</v>
      </c>
      <c r="AE234" s="33">
        <f t="shared" si="47"/>
        <v>0</v>
      </c>
      <c r="AF234" s="25">
        <f t="shared" si="49"/>
        <v>4307196.53</v>
      </c>
      <c r="AG234" s="25">
        <f t="shared" si="50"/>
        <v>324603.22999999952</v>
      </c>
      <c r="AH234" s="25">
        <f t="shared" si="51"/>
        <v>651033.93999999994</v>
      </c>
      <c r="AI234" s="25">
        <f t="shared" si="52"/>
        <v>111399.14000000001</v>
      </c>
      <c r="AJ234" s="25">
        <f t="shared" si="53"/>
        <v>781756.17</v>
      </c>
      <c r="AK234" s="25">
        <f t="shared" si="54"/>
        <v>56838.03</v>
      </c>
      <c r="AL234" s="25">
        <f t="shared" si="55"/>
        <v>90713.8</v>
      </c>
      <c r="AM234" s="23">
        <f t="shared" si="48"/>
        <v>6323540.8399999989</v>
      </c>
      <c r="AO234" s="23"/>
      <c r="AP234" s="23"/>
    </row>
    <row r="235" spans="1:42" x14ac:dyDescent="0.25">
      <c r="A235" t="s">
        <v>223</v>
      </c>
      <c r="B235" t="s">
        <v>518</v>
      </c>
      <c r="C235" s="25">
        <v>653.36</v>
      </c>
      <c r="D235" s="25">
        <v>54.2</v>
      </c>
      <c r="E235" s="25">
        <v>34.466000000000001</v>
      </c>
      <c r="F235" s="25">
        <v>1</v>
      </c>
      <c r="G235" s="25">
        <v>4.0039999999999996</v>
      </c>
      <c r="H235" s="25">
        <v>0</v>
      </c>
      <c r="I235" s="25">
        <v>0</v>
      </c>
      <c r="J235" s="25">
        <v>0</v>
      </c>
      <c r="K235" s="192">
        <v>1.18</v>
      </c>
      <c r="L235" s="192">
        <v>1.18</v>
      </c>
      <c r="M235" s="192">
        <v>0</v>
      </c>
      <c r="N235" s="278"/>
      <c r="O235" s="278"/>
      <c r="P235" s="278"/>
      <c r="Q235" s="278"/>
      <c r="R235" s="278"/>
      <c r="S235" s="278"/>
      <c r="T235" s="278"/>
      <c r="U235" s="278"/>
      <c r="V235" s="278"/>
      <c r="W235" s="278"/>
      <c r="X235" s="278"/>
      <c r="Y235" s="282">
        <f>VLOOKUP(A235,'3121% SY'!$A$3:$M$600,13,FALSE)</f>
        <v>0.30230000000000001</v>
      </c>
      <c r="Z235" s="30">
        <f t="shared" si="56"/>
        <v>1.21</v>
      </c>
      <c r="AA235" s="31">
        <f t="shared" si="44"/>
        <v>36.676000000000002</v>
      </c>
      <c r="AB235" s="32">
        <f t="shared" si="45"/>
        <v>19.29</v>
      </c>
      <c r="AC235" s="28">
        <f t="shared" si="57"/>
        <v>19.29</v>
      </c>
      <c r="AD235" s="33">
        <f t="shared" si="46"/>
        <v>39.119999999999997</v>
      </c>
      <c r="AE235" s="33">
        <f t="shared" si="47"/>
        <v>3.2450000000000001</v>
      </c>
      <c r="AF235" s="25">
        <f t="shared" si="49"/>
        <v>3635723.63</v>
      </c>
      <c r="AG235" s="25">
        <f t="shared" si="50"/>
        <v>273999.03000000026</v>
      </c>
      <c r="AH235" s="25">
        <f t="shared" si="51"/>
        <v>521597.88</v>
      </c>
      <c r="AI235" s="25">
        <f t="shared" si="52"/>
        <v>89251.189999999944</v>
      </c>
      <c r="AJ235" s="25">
        <f t="shared" si="53"/>
        <v>659883.84</v>
      </c>
      <c r="AK235" s="25">
        <f t="shared" si="54"/>
        <v>47977.23</v>
      </c>
      <c r="AL235" s="25">
        <f t="shared" si="55"/>
        <v>76571.92</v>
      </c>
      <c r="AM235" s="23">
        <f t="shared" si="48"/>
        <v>5305004.7200000007</v>
      </c>
      <c r="AO235" s="23"/>
      <c r="AP235" s="23"/>
    </row>
    <row r="236" spans="1:42" x14ac:dyDescent="0.25">
      <c r="A236" t="s">
        <v>224</v>
      </c>
      <c r="B236" t="s">
        <v>519</v>
      </c>
      <c r="C236" s="25">
        <v>148.6</v>
      </c>
      <c r="D236" s="25">
        <v>10</v>
      </c>
      <c r="E236" s="25">
        <v>8.8000000000000007</v>
      </c>
      <c r="F236" s="25">
        <v>1</v>
      </c>
      <c r="G236" s="25">
        <v>1</v>
      </c>
      <c r="H236" s="25">
        <v>0</v>
      </c>
      <c r="I236" s="25">
        <v>0</v>
      </c>
      <c r="J236" s="25">
        <v>0</v>
      </c>
      <c r="K236" s="192">
        <v>1.1200000000000001</v>
      </c>
      <c r="L236" s="192">
        <v>1.1200000000000001</v>
      </c>
      <c r="M236" s="192">
        <v>0</v>
      </c>
      <c r="N236" s="278"/>
      <c r="O236" s="278"/>
      <c r="P236" s="278"/>
      <c r="Q236" s="278"/>
      <c r="R236" s="278"/>
      <c r="S236" s="278"/>
      <c r="T236" s="278"/>
      <c r="U236" s="278"/>
      <c r="V236" s="278"/>
      <c r="W236" s="278"/>
      <c r="X236" s="278"/>
      <c r="Y236" s="282">
        <f>VLOOKUP(A236,'3121% SY'!$A$3:$M$600,13,FALSE)</f>
        <v>0.16359999999999997</v>
      </c>
      <c r="Z236" s="30">
        <f t="shared" si="56"/>
        <v>0.16400000000000001</v>
      </c>
      <c r="AA236" s="31">
        <f t="shared" si="44"/>
        <v>9.9640000000000004</v>
      </c>
      <c r="AB236" s="32">
        <f t="shared" si="45"/>
        <v>15.92</v>
      </c>
      <c r="AC236" s="28">
        <f t="shared" si="57"/>
        <v>17</v>
      </c>
      <c r="AD236" s="33">
        <f t="shared" si="46"/>
        <v>10.096</v>
      </c>
      <c r="AE236" s="33">
        <f t="shared" si="47"/>
        <v>0.67900000000000005</v>
      </c>
      <c r="AF236" s="25">
        <f t="shared" si="49"/>
        <v>877681.5</v>
      </c>
      <c r="AG236" s="25">
        <f t="shared" si="50"/>
        <v>66144.709999999963</v>
      </c>
      <c r="AH236" s="25">
        <f t="shared" si="51"/>
        <v>132661.79999999999</v>
      </c>
      <c r="AI236" s="25">
        <f t="shared" si="52"/>
        <v>22699.910000000003</v>
      </c>
      <c r="AJ236" s="25">
        <f t="shared" si="53"/>
        <v>159299.19</v>
      </c>
      <c r="AK236" s="25">
        <f t="shared" si="54"/>
        <v>11581.94</v>
      </c>
      <c r="AL236" s="25">
        <f t="shared" si="55"/>
        <v>18484.84</v>
      </c>
      <c r="AM236" s="23">
        <f t="shared" si="48"/>
        <v>1288553.8899999999</v>
      </c>
      <c r="AO236" s="23"/>
      <c r="AP236" s="23"/>
    </row>
    <row r="237" spans="1:42" x14ac:dyDescent="0.25">
      <c r="A237" t="s">
        <v>225</v>
      </c>
      <c r="B237" t="s">
        <v>520</v>
      </c>
      <c r="C237" s="25">
        <v>649.19000000000005</v>
      </c>
      <c r="D237" s="25">
        <v>0</v>
      </c>
      <c r="E237" s="25">
        <v>37.076999999999998</v>
      </c>
      <c r="F237" s="25">
        <v>0</v>
      </c>
      <c r="G237" s="25">
        <v>6.4580000000000002</v>
      </c>
      <c r="H237" s="25">
        <v>0</v>
      </c>
      <c r="I237" s="25">
        <v>0</v>
      </c>
      <c r="J237" s="25">
        <v>0</v>
      </c>
      <c r="K237" s="192">
        <v>1.1200000000000001</v>
      </c>
      <c r="L237" s="192">
        <v>1.1200000000000001</v>
      </c>
      <c r="M237" s="192">
        <v>0</v>
      </c>
      <c r="N237" s="278"/>
      <c r="O237" s="278"/>
      <c r="P237" s="278"/>
      <c r="Q237" s="278"/>
      <c r="R237" s="278"/>
      <c r="S237" s="278"/>
      <c r="T237" s="278"/>
      <c r="U237" s="278"/>
      <c r="V237" s="278"/>
      <c r="W237" s="278"/>
      <c r="X237" s="278"/>
      <c r="Y237" s="282">
        <f>VLOOKUP(A237,'3121% SY'!$A$3:$M$600,13,FALSE)</f>
        <v>0.27300000000000002</v>
      </c>
      <c r="Z237" s="30">
        <f t="shared" si="56"/>
        <v>1.7629999999999999</v>
      </c>
      <c r="AA237" s="31">
        <f t="shared" si="44"/>
        <v>38.839999999999996</v>
      </c>
      <c r="AB237" s="32">
        <f t="shared" si="45"/>
        <v>16.71</v>
      </c>
      <c r="AC237" s="28">
        <f t="shared" si="57"/>
        <v>17</v>
      </c>
      <c r="AD237" s="33">
        <f t="shared" si="46"/>
        <v>44.106999999999999</v>
      </c>
      <c r="AE237" s="33">
        <f t="shared" si="47"/>
        <v>0</v>
      </c>
      <c r="AF237" s="25">
        <f t="shared" si="49"/>
        <v>3592751.56</v>
      </c>
      <c r="AG237" s="25">
        <f t="shared" si="50"/>
        <v>270760.5299999998</v>
      </c>
      <c r="AH237" s="25">
        <f t="shared" si="51"/>
        <v>543045.38</v>
      </c>
      <c r="AI237" s="25">
        <f t="shared" si="52"/>
        <v>92921.099999999977</v>
      </c>
      <c r="AJ237" s="25">
        <f t="shared" si="53"/>
        <v>652084.41</v>
      </c>
      <c r="AK237" s="25">
        <f t="shared" si="54"/>
        <v>47410.17</v>
      </c>
      <c r="AL237" s="25">
        <f t="shared" si="55"/>
        <v>75666.880000000005</v>
      </c>
      <c r="AM237" s="23">
        <f t="shared" si="48"/>
        <v>5274640.0299999993</v>
      </c>
      <c r="AO237" s="23"/>
      <c r="AP237" s="23"/>
    </row>
    <row r="238" spans="1:42" x14ac:dyDescent="0.25">
      <c r="A238" t="s">
        <v>226</v>
      </c>
      <c r="B238" t="s">
        <v>521</v>
      </c>
      <c r="C238" s="25">
        <v>1346.05</v>
      </c>
      <c r="D238" s="25">
        <v>28.4</v>
      </c>
      <c r="E238" s="25">
        <v>77.944000000000003</v>
      </c>
      <c r="F238" s="25">
        <v>0</v>
      </c>
      <c r="G238" s="25">
        <v>7.6109999999999998</v>
      </c>
      <c r="H238" s="25">
        <v>0.85</v>
      </c>
      <c r="I238" s="25">
        <v>0</v>
      </c>
      <c r="J238" s="25">
        <v>0</v>
      </c>
      <c r="K238" s="192">
        <v>1.1200000000000001</v>
      </c>
      <c r="L238" s="192">
        <v>1.1200000000000001</v>
      </c>
      <c r="M238" s="192">
        <v>4.0000000000000036E-2</v>
      </c>
      <c r="N238" s="278"/>
      <c r="O238" s="278"/>
      <c r="P238" s="278"/>
      <c r="Q238" s="278"/>
      <c r="R238" s="278"/>
      <c r="S238" s="278"/>
      <c r="T238" s="278"/>
      <c r="U238" s="278"/>
      <c r="V238" s="278"/>
      <c r="W238" s="278"/>
      <c r="X238" s="278"/>
      <c r="Y238" s="282">
        <f>VLOOKUP(A238,'3121% SY'!$A$3:$M$600,13,FALSE)</f>
        <v>0.2298</v>
      </c>
      <c r="Z238" s="30">
        <f t="shared" si="56"/>
        <v>1.7490000000000001</v>
      </c>
      <c r="AA238" s="31">
        <f t="shared" si="44"/>
        <v>80.542999999999992</v>
      </c>
      <c r="AB238" s="32">
        <f t="shared" si="45"/>
        <v>17.059999999999999</v>
      </c>
      <c r="AC238" s="28">
        <f t="shared" si="57"/>
        <v>17.059999999999999</v>
      </c>
      <c r="AD238" s="33">
        <f t="shared" si="46"/>
        <v>91.131</v>
      </c>
      <c r="AE238" s="33">
        <f t="shared" si="47"/>
        <v>1.923</v>
      </c>
      <c r="AF238" s="25">
        <f t="shared" si="49"/>
        <v>7579747.0700000003</v>
      </c>
      <c r="AG238" s="25">
        <f t="shared" si="50"/>
        <v>862338.8599999994</v>
      </c>
      <c r="AH238" s="25">
        <f t="shared" si="51"/>
        <v>1145680.8500000001</v>
      </c>
      <c r="AI238" s="25">
        <f t="shared" si="52"/>
        <v>196038.71999999997</v>
      </c>
      <c r="AJ238" s="25">
        <f t="shared" si="53"/>
        <v>1375724.09</v>
      </c>
      <c r="AK238" s="25">
        <f t="shared" si="54"/>
        <v>150995.53</v>
      </c>
      <c r="AL238" s="25">
        <f t="shared" si="55"/>
        <v>165338.25</v>
      </c>
      <c r="AM238" s="23">
        <f t="shared" si="48"/>
        <v>11475863.369999999</v>
      </c>
      <c r="AO238" s="23"/>
      <c r="AP238" s="23"/>
    </row>
    <row r="239" spans="1:42" x14ac:dyDescent="0.25">
      <c r="A239" t="s">
        <v>1</v>
      </c>
      <c r="B239" t="s">
        <v>522</v>
      </c>
      <c r="C239" s="25">
        <v>8364.27</v>
      </c>
      <c r="D239" s="25">
        <v>119.5</v>
      </c>
      <c r="E239" s="25">
        <v>535.76800000000003</v>
      </c>
      <c r="F239" s="25">
        <v>0</v>
      </c>
      <c r="G239" s="25">
        <v>45.725999999999999</v>
      </c>
      <c r="H239" s="25">
        <v>0</v>
      </c>
      <c r="I239" s="25">
        <v>0</v>
      </c>
      <c r="J239" s="25">
        <v>0</v>
      </c>
      <c r="K239" s="192">
        <v>1</v>
      </c>
      <c r="L239" s="192">
        <v>1</v>
      </c>
      <c r="M239" s="192">
        <v>0</v>
      </c>
      <c r="N239" s="278"/>
      <c r="O239" s="278"/>
      <c r="P239" s="278"/>
      <c r="Q239" s="278"/>
      <c r="R239" s="278"/>
      <c r="S239" s="278"/>
      <c r="T239" s="278"/>
      <c r="U239" s="278"/>
      <c r="V239" s="278"/>
      <c r="W239" s="278"/>
      <c r="X239" s="278"/>
      <c r="Y239" s="282">
        <f>VLOOKUP(A239,'3121% SY'!$A$3:$M$600,13,FALSE)</f>
        <v>0.2429</v>
      </c>
      <c r="Z239" s="30">
        <f t="shared" si="56"/>
        <v>11.106999999999999</v>
      </c>
      <c r="AA239" s="31">
        <f t="shared" si="44"/>
        <v>546.875</v>
      </c>
      <c r="AB239" s="32">
        <f t="shared" si="45"/>
        <v>15.51</v>
      </c>
      <c r="AC239" s="28">
        <f t="shared" si="57"/>
        <v>17</v>
      </c>
      <c r="AD239" s="33">
        <f t="shared" si="46"/>
        <v>568.27800000000002</v>
      </c>
      <c r="AE239" s="33">
        <f t="shared" si="47"/>
        <v>8.1189999999999998</v>
      </c>
      <c r="AF239" s="25">
        <f t="shared" si="49"/>
        <v>41920201.020000003</v>
      </c>
      <c r="AG239" s="25">
        <f t="shared" si="50"/>
        <v>3159231.9499999955</v>
      </c>
      <c r="AH239" s="25">
        <f t="shared" si="51"/>
        <v>7096599.8600000003</v>
      </c>
      <c r="AI239" s="25">
        <f t="shared" si="52"/>
        <v>1214307.0899999999</v>
      </c>
      <c r="AJ239" s="25">
        <f t="shared" si="53"/>
        <v>7608516.4900000002</v>
      </c>
      <c r="AK239" s="25">
        <f t="shared" si="54"/>
        <v>553181.51</v>
      </c>
      <c r="AL239" s="25">
        <f t="shared" si="55"/>
        <v>882880.69</v>
      </c>
      <c r="AM239" s="23">
        <f t="shared" si="48"/>
        <v>62434918.609999999</v>
      </c>
      <c r="AO239" s="23"/>
      <c r="AP239" s="23"/>
    </row>
    <row r="240" spans="1:42" x14ac:dyDescent="0.25">
      <c r="A240" t="s">
        <v>227</v>
      </c>
      <c r="B240" t="s">
        <v>523</v>
      </c>
      <c r="C240" s="25">
        <v>44</v>
      </c>
      <c r="D240" s="25">
        <v>0</v>
      </c>
      <c r="E240" s="25">
        <v>3.6989999999999998</v>
      </c>
      <c r="F240" s="25">
        <v>0</v>
      </c>
      <c r="G240" s="25">
        <v>0.27800000000000002</v>
      </c>
      <c r="H240" s="25">
        <v>0</v>
      </c>
      <c r="I240" s="25">
        <v>0</v>
      </c>
      <c r="J240" s="25">
        <v>0</v>
      </c>
      <c r="K240" s="192">
        <v>1</v>
      </c>
      <c r="L240" s="192">
        <v>1</v>
      </c>
      <c r="M240" s="192">
        <v>0</v>
      </c>
      <c r="N240" s="278"/>
      <c r="O240" s="278"/>
      <c r="P240" s="278"/>
      <c r="Q240" s="278"/>
      <c r="R240" s="278"/>
      <c r="S240" s="278"/>
      <c r="T240" s="278"/>
      <c r="U240" s="278"/>
      <c r="V240" s="278"/>
      <c r="W240" s="278"/>
      <c r="X240" s="278"/>
      <c r="Y240" s="282">
        <f>VLOOKUP(A240,'3121% SY'!$A$3:$M$600,13,FALSE)</f>
        <v>0.11499999999999999</v>
      </c>
      <c r="Z240" s="30">
        <f t="shared" si="56"/>
        <v>3.2000000000000001E-2</v>
      </c>
      <c r="AA240" s="31">
        <f t="shared" si="44"/>
        <v>3.7309999999999999</v>
      </c>
      <c r="AB240" s="32">
        <f t="shared" si="45"/>
        <v>11.79</v>
      </c>
      <c r="AC240" s="28">
        <f t="shared" si="57"/>
        <v>17</v>
      </c>
      <c r="AD240" s="33">
        <f t="shared" si="46"/>
        <v>2.9889999999999999</v>
      </c>
      <c r="AE240" s="33">
        <f t="shared" si="47"/>
        <v>0</v>
      </c>
      <c r="AF240" s="25">
        <f t="shared" si="49"/>
        <v>217383.99</v>
      </c>
      <c r="AG240" s="25">
        <f t="shared" si="50"/>
        <v>16382.710000000021</v>
      </c>
      <c r="AH240" s="25">
        <f t="shared" si="51"/>
        <v>36800.57</v>
      </c>
      <c r="AI240" s="25">
        <f t="shared" si="52"/>
        <v>6296.9800000000032</v>
      </c>
      <c r="AJ240" s="25">
        <f t="shared" si="53"/>
        <v>39455.19</v>
      </c>
      <c r="AK240" s="25">
        <f t="shared" si="54"/>
        <v>2868.61</v>
      </c>
      <c r="AL240" s="25">
        <f t="shared" si="55"/>
        <v>4578.32</v>
      </c>
      <c r="AM240" s="23">
        <f t="shared" si="48"/>
        <v>323766.37</v>
      </c>
      <c r="AO240" s="23"/>
      <c r="AP240" s="23"/>
    </row>
    <row r="241" spans="1:42" x14ac:dyDescent="0.25">
      <c r="A241" t="s">
        <v>228</v>
      </c>
      <c r="B241" t="s">
        <v>524</v>
      </c>
      <c r="C241" s="25">
        <v>24</v>
      </c>
      <c r="D241" s="25">
        <v>0</v>
      </c>
      <c r="E241" s="25">
        <v>2.3220000000000001</v>
      </c>
      <c r="F241" s="25">
        <v>0</v>
      </c>
      <c r="G241" s="25">
        <v>0</v>
      </c>
      <c r="H241" s="25">
        <v>0</v>
      </c>
      <c r="I241" s="25">
        <v>0</v>
      </c>
      <c r="J241" s="25">
        <v>0</v>
      </c>
      <c r="K241" s="192">
        <v>1</v>
      </c>
      <c r="L241" s="192">
        <v>1</v>
      </c>
      <c r="M241" s="192">
        <v>0</v>
      </c>
      <c r="N241" s="278"/>
      <c r="O241" s="278"/>
      <c r="P241" s="278"/>
      <c r="Q241" s="278"/>
      <c r="R241" s="278"/>
      <c r="S241" s="278"/>
      <c r="T241" s="278"/>
      <c r="U241" s="278"/>
      <c r="V241" s="278"/>
      <c r="W241" s="278"/>
      <c r="X241" s="278"/>
      <c r="Y241" s="282">
        <f>VLOOKUP(A241,'3121% SY'!$A$3:$M$600,13,FALSE)</f>
        <v>8.7099999999999955E-2</v>
      </c>
      <c r="Z241" s="30">
        <f t="shared" si="56"/>
        <v>0</v>
      </c>
      <c r="AA241" s="31">
        <f t="shared" si="44"/>
        <v>2.3220000000000001</v>
      </c>
      <c r="AB241" s="32">
        <f t="shared" si="45"/>
        <v>10.34</v>
      </c>
      <c r="AC241" s="28">
        <f t="shared" si="57"/>
        <v>17</v>
      </c>
      <c r="AD241" s="33">
        <f t="shared" si="46"/>
        <v>1.631</v>
      </c>
      <c r="AE241" s="33">
        <f t="shared" si="47"/>
        <v>0</v>
      </c>
      <c r="AF241" s="25">
        <f t="shared" si="49"/>
        <v>118619.37</v>
      </c>
      <c r="AG241" s="25">
        <f t="shared" si="50"/>
        <v>8939.5100000000093</v>
      </c>
      <c r="AH241" s="25">
        <f t="shared" si="51"/>
        <v>20080.87</v>
      </c>
      <c r="AI241" s="25">
        <f t="shared" si="52"/>
        <v>3436.0600000000013</v>
      </c>
      <c r="AJ241" s="25">
        <f t="shared" si="53"/>
        <v>21529.42</v>
      </c>
      <c r="AK241" s="25">
        <f t="shared" si="54"/>
        <v>1565.31</v>
      </c>
      <c r="AL241" s="25">
        <f t="shared" si="55"/>
        <v>2498.2399999999998</v>
      </c>
      <c r="AM241" s="23">
        <f t="shared" si="48"/>
        <v>176668.77999999997</v>
      </c>
      <c r="AO241" s="23"/>
      <c r="AP241" s="23"/>
    </row>
    <row r="242" spans="1:42" x14ac:dyDescent="0.25">
      <c r="A242" t="s">
        <v>229</v>
      </c>
      <c r="B242" t="s">
        <v>525</v>
      </c>
      <c r="C242" s="25">
        <v>328.8</v>
      </c>
      <c r="D242" s="25">
        <v>44.6</v>
      </c>
      <c r="E242" s="25">
        <v>20.302</v>
      </c>
      <c r="F242" s="25">
        <v>3</v>
      </c>
      <c r="G242" s="25">
        <v>3.0640000000000001</v>
      </c>
      <c r="H242" s="25">
        <v>0</v>
      </c>
      <c r="I242" s="25">
        <v>0</v>
      </c>
      <c r="J242" s="25">
        <v>0</v>
      </c>
      <c r="K242" s="192">
        <v>1</v>
      </c>
      <c r="L242" s="192">
        <v>1</v>
      </c>
      <c r="M242" s="192">
        <v>4.0000000000000036E-2</v>
      </c>
      <c r="N242" s="278"/>
      <c r="O242" s="278"/>
      <c r="P242" s="278"/>
      <c r="Q242" s="278"/>
      <c r="R242" s="278"/>
      <c r="S242" s="278"/>
      <c r="T242" s="278"/>
      <c r="U242" s="278"/>
      <c r="V242" s="278"/>
      <c r="W242" s="278"/>
      <c r="X242" s="278"/>
      <c r="Y242" s="282">
        <f>VLOOKUP(A242,'3121% SY'!$A$3:$M$600,13,FALSE)</f>
        <v>0.20589999999999997</v>
      </c>
      <c r="Z242" s="30">
        <f t="shared" si="56"/>
        <v>0.63100000000000001</v>
      </c>
      <c r="AA242" s="31">
        <f t="shared" si="44"/>
        <v>23.933</v>
      </c>
      <c r="AB242" s="32">
        <f t="shared" si="45"/>
        <v>15.6</v>
      </c>
      <c r="AC242" s="28">
        <f t="shared" si="57"/>
        <v>17</v>
      </c>
      <c r="AD242" s="33">
        <f t="shared" si="46"/>
        <v>22.338999999999999</v>
      </c>
      <c r="AE242" s="33">
        <f t="shared" si="47"/>
        <v>3.03</v>
      </c>
      <c r="AF242" s="25">
        <f t="shared" si="49"/>
        <v>1845036.63</v>
      </c>
      <c r="AG242" s="25">
        <f t="shared" si="50"/>
        <v>218410.8600000001</v>
      </c>
      <c r="AH242" s="25">
        <f t="shared" si="51"/>
        <v>312343.13</v>
      </c>
      <c r="AI242" s="25">
        <f t="shared" si="52"/>
        <v>53445.380000000005</v>
      </c>
      <c r="AJ242" s="25">
        <f t="shared" si="53"/>
        <v>334874.15000000002</v>
      </c>
      <c r="AK242" s="25">
        <f t="shared" si="54"/>
        <v>38243.74</v>
      </c>
      <c r="AL242" s="25">
        <f t="shared" si="55"/>
        <v>40412.620000000003</v>
      </c>
      <c r="AM242" s="23">
        <f t="shared" si="48"/>
        <v>2842766.5100000002</v>
      </c>
      <c r="AO242" s="23"/>
      <c r="AP242" s="23"/>
    </row>
    <row r="243" spans="1:42" x14ac:dyDescent="0.25">
      <c r="A243" t="s">
        <v>230</v>
      </c>
      <c r="B243" t="s">
        <v>526</v>
      </c>
      <c r="C243" s="25">
        <v>592.02</v>
      </c>
      <c r="D243" s="25">
        <v>21.2</v>
      </c>
      <c r="E243" s="25">
        <v>37.01</v>
      </c>
      <c r="F243" s="25">
        <v>0</v>
      </c>
      <c r="G243" s="25">
        <v>2</v>
      </c>
      <c r="H243" s="25">
        <v>0</v>
      </c>
      <c r="I243" s="25">
        <v>0</v>
      </c>
      <c r="J243" s="25">
        <v>0</v>
      </c>
      <c r="K243" s="192">
        <v>1</v>
      </c>
      <c r="L243" s="192">
        <v>1</v>
      </c>
      <c r="M243" s="192">
        <v>0</v>
      </c>
      <c r="N243" s="278"/>
      <c r="O243" s="278"/>
      <c r="P243" s="278"/>
      <c r="Q243" s="278"/>
      <c r="R243" s="278"/>
      <c r="S243" s="278"/>
      <c r="T243" s="278"/>
      <c r="U243" s="278"/>
      <c r="V243" s="278"/>
      <c r="W243" s="278"/>
      <c r="X243" s="278"/>
      <c r="Y243" s="282">
        <f>VLOOKUP(A243,'3121% SY'!$A$3:$M$600,13,FALSE)</f>
        <v>0.1764</v>
      </c>
      <c r="Z243" s="30">
        <f t="shared" si="56"/>
        <v>0.35299999999999998</v>
      </c>
      <c r="AA243" s="31">
        <f t="shared" si="44"/>
        <v>37.363</v>
      </c>
      <c r="AB243" s="32">
        <f t="shared" si="45"/>
        <v>16.41</v>
      </c>
      <c r="AC243" s="28">
        <f t="shared" si="57"/>
        <v>17</v>
      </c>
      <c r="AD243" s="33">
        <f t="shared" si="46"/>
        <v>40.222999999999999</v>
      </c>
      <c r="AE243" s="33">
        <f t="shared" si="47"/>
        <v>1.44</v>
      </c>
      <c r="AF243" s="25">
        <f t="shared" si="49"/>
        <v>3030066.66</v>
      </c>
      <c r="AG243" s="25">
        <f t="shared" si="50"/>
        <v>228354.90999999968</v>
      </c>
      <c r="AH243" s="25">
        <f t="shared" si="51"/>
        <v>512954.86</v>
      </c>
      <c r="AI243" s="25">
        <f t="shared" si="52"/>
        <v>87772.270000000019</v>
      </c>
      <c r="AJ243" s="25">
        <f t="shared" si="53"/>
        <v>549957.1</v>
      </c>
      <c r="AK243" s="25">
        <f t="shared" si="54"/>
        <v>39984.94</v>
      </c>
      <c r="AL243" s="25">
        <f t="shared" si="55"/>
        <v>63816.19</v>
      </c>
      <c r="AM243" s="23">
        <f t="shared" si="48"/>
        <v>4512906.9300000006</v>
      </c>
      <c r="AO243" s="23"/>
      <c r="AP243" s="23"/>
    </row>
    <row r="244" spans="1:42" x14ac:dyDescent="0.25">
      <c r="A244" t="s">
        <v>231</v>
      </c>
      <c r="B244" t="s">
        <v>527</v>
      </c>
      <c r="C244" s="25">
        <v>2532.4</v>
      </c>
      <c r="D244" s="25">
        <v>136.6</v>
      </c>
      <c r="E244" s="25">
        <v>145.66999999999999</v>
      </c>
      <c r="F244" s="25">
        <v>7</v>
      </c>
      <c r="G244" s="25">
        <v>13.43</v>
      </c>
      <c r="H244" s="25">
        <v>0</v>
      </c>
      <c r="I244" s="25">
        <v>0</v>
      </c>
      <c r="J244" s="25">
        <v>0</v>
      </c>
      <c r="K244" s="192">
        <v>1</v>
      </c>
      <c r="L244" s="192">
        <v>1</v>
      </c>
      <c r="M244" s="192">
        <v>4.0000000000000036E-2</v>
      </c>
      <c r="N244" s="278"/>
      <c r="O244" s="278"/>
      <c r="P244" s="278"/>
      <c r="Q244" s="278"/>
      <c r="R244" s="278"/>
      <c r="S244" s="278"/>
      <c r="T244" s="278"/>
      <c r="U244" s="278"/>
      <c r="V244" s="278"/>
      <c r="W244" s="278"/>
      <c r="X244" s="278"/>
      <c r="Y244" s="282">
        <f>VLOOKUP(A244,'3121% SY'!$A$3:$M$600,13,FALSE)</f>
        <v>0.2863</v>
      </c>
      <c r="Z244" s="30">
        <f t="shared" si="56"/>
        <v>3.8450000000000002</v>
      </c>
      <c r="AA244" s="31">
        <f t="shared" si="44"/>
        <v>156.51499999999999</v>
      </c>
      <c r="AB244" s="32">
        <f t="shared" si="45"/>
        <v>17.05</v>
      </c>
      <c r="AC244" s="28">
        <f t="shared" si="57"/>
        <v>17.05</v>
      </c>
      <c r="AD244" s="33">
        <f t="shared" si="46"/>
        <v>171.55</v>
      </c>
      <c r="AE244" s="33">
        <f t="shared" si="47"/>
        <v>9.2539999999999996</v>
      </c>
      <c r="AF244" s="25">
        <f t="shared" si="49"/>
        <v>13149513.310000001</v>
      </c>
      <c r="AG244" s="25">
        <f t="shared" si="50"/>
        <v>1556606.7299999986</v>
      </c>
      <c r="AH244" s="25">
        <f t="shared" si="51"/>
        <v>2226058.85</v>
      </c>
      <c r="AI244" s="25">
        <f t="shared" si="52"/>
        <v>380903.39999999991</v>
      </c>
      <c r="AJ244" s="25">
        <f t="shared" si="53"/>
        <v>2386636.67</v>
      </c>
      <c r="AK244" s="25">
        <f t="shared" si="54"/>
        <v>272561.84000000003</v>
      </c>
      <c r="AL244" s="25">
        <f t="shared" si="55"/>
        <v>288019.36</v>
      </c>
      <c r="AM244" s="23">
        <f t="shared" si="48"/>
        <v>20260300.16</v>
      </c>
      <c r="AO244" s="23"/>
      <c r="AP244" s="23"/>
    </row>
    <row r="245" spans="1:42" x14ac:dyDescent="0.25">
      <c r="A245" t="s">
        <v>232</v>
      </c>
      <c r="B245" t="s">
        <v>528</v>
      </c>
      <c r="C245" s="25">
        <v>4044.09</v>
      </c>
      <c r="D245" s="25">
        <v>0</v>
      </c>
      <c r="E245" s="25">
        <v>230.97399999999999</v>
      </c>
      <c r="F245" s="25">
        <v>0</v>
      </c>
      <c r="G245" s="25">
        <v>23.434999999999999</v>
      </c>
      <c r="H245" s="25">
        <v>0</v>
      </c>
      <c r="I245" s="25">
        <v>0</v>
      </c>
      <c r="J245" s="25">
        <v>0</v>
      </c>
      <c r="K245" s="192">
        <v>1</v>
      </c>
      <c r="L245" s="192">
        <v>1</v>
      </c>
      <c r="M245" s="192">
        <v>4.0000000000000036E-2</v>
      </c>
      <c r="N245" s="278"/>
      <c r="O245" s="278"/>
      <c r="P245" s="278"/>
      <c r="Q245" s="278"/>
      <c r="R245" s="278"/>
      <c r="S245" s="278"/>
      <c r="T245" s="278"/>
      <c r="U245" s="278"/>
      <c r="V245" s="278"/>
      <c r="W245" s="278"/>
      <c r="X245" s="278"/>
      <c r="Y245" s="282">
        <f>VLOOKUP(A245,'3121% SY'!$A$3:$M$600,13,FALSE)</f>
        <v>0.34909999999999997</v>
      </c>
      <c r="Z245" s="30">
        <f t="shared" si="56"/>
        <v>8.1809999999999992</v>
      </c>
      <c r="AA245" s="31">
        <f t="shared" si="44"/>
        <v>239.155</v>
      </c>
      <c r="AB245" s="32">
        <f t="shared" si="45"/>
        <v>16.91</v>
      </c>
      <c r="AC245" s="28">
        <f t="shared" si="57"/>
        <v>17</v>
      </c>
      <c r="AD245" s="33">
        <f t="shared" si="46"/>
        <v>274.76</v>
      </c>
      <c r="AE245" s="33">
        <f t="shared" si="47"/>
        <v>0</v>
      </c>
      <c r="AF245" s="25">
        <f t="shared" si="49"/>
        <v>19982745.280000001</v>
      </c>
      <c r="AG245" s="25">
        <f t="shared" si="50"/>
        <v>2365507.75</v>
      </c>
      <c r="AH245" s="25">
        <f t="shared" si="51"/>
        <v>3382845.12</v>
      </c>
      <c r="AI245" s="25">
        <f t="shared" si="52"/>
        <v>578842.38999999966</v>
      </c>
      <c r="AJ245" s="25">
        <f t="shared" si="53"/>
        <v>3626868.27</v>
      </c>
      <c r="AK245" s="25">
        <f t="shared" si="54"/>
        <v>414200.41</v>
      </c>
      <c r="AL245" s="25">
        <f t="shared" si="55"/>
        <v>437690.54</v>
      </c>
      <c r="AM245" s="23">
        <f t="shared" si="48"/>
        <v>30788699.760000002</v>
      </c>
      <c r="AO245" s="23"/>
      <c r="AP245" s="23"/>
    </row>
    <row r="246" spans="1:42" x14ac:dyDescent="0.25">
      <c r="A246" t="s">
        <v>233</v>
      </c>
      <c r="B246" t="s">
        <v>529</v>
      </c>
      <c r="C246" s="25">
        <v>229.4</v>
      </c>
      <c r="D246" s="25">
        <v>44</v>
      </c>
      <c r="E246" s="25">
        <v>13.532</v>
      </c>
      <c r="F246" s="25">
        <v>2.58</v>
      </c>
      <c r="G246" s="25">
        <v>1.6180000000000001</v>
      </c>
      <c r="H246" s="25">
        <v>0</v>
      </c>
      <c r="I246" s="25">
        <v>0</v>
      </c>
      <c r="J246" s="25">
        <v>0</v>
      </c>
      <c r="K246" s="192">
        <v>1</v>
      </c>
      <c r="L246" s="192">
        <v>1</v>
      </c>
      <c r="M246" s="192">
        <v>4.0000000000000036E-2</v>
      </c>
      <c r="N246" s="278"/>
      <c r="O246" s="278"/>
      <c r="P246" s="278"/>
      <c r="Q246" s="278"/>
      <c r="R246" s="278"/>
      <c r="S246" s="278"/>
      <c r="T246" s="278"/>
      <c r="U246" s="278"/>
      <c r="V246" s="278"/>
      <c r="W246" s="278"/>
      <c r="X246" s="278"/>
      <c r="Y246" s="282">
        <f>VLOOKUP(A246,'3121% SY'!$A$3:$M$600,13,FALSE)</f>
        <v>0.20020000000000004</v>
      </c>
      <c r="Z246" s="30">
        <f t="shared" si="56"/>
        <v>0.32400000000000001</v>
      </c>
      <c r="AA246" s="31">
        <f t="shared" si="44"/>
        <v>16.436</v>
      </c>
      <c r="AB246" s="32">
        <f t="shared" si="45"/>
        <v>16.63</v>
      </c>
      <c r="AC246" s="28">
        <f t="shared" si="57"/>
        <v>17</v>
      </c>
      <c r="AD246" s="33">
        <f t="shared" si="46"/>
        <v>15.586</v>
      </c>
      <c r="AE246" s="33">
        <f t="shared" si="47"/>
        <v>2.9889999999999999</v>
      </c>
      <c r="AF246" s="25">
        <f t="shared" si="49"/>
        <v>1350922.6</v>
      </c>
      <c r="AG246" s="25">
        <f t="shared" si="50"/>
        <v>159918.85999999987</v>
      </c>
      <c r="AH246" s="25">
        <f t="shared" si="51"/>
        <v>228695.4</v>
      </c>
      <c r="AI246" s="25">
        <f t="shared" si="52"/>
        <v>39132.319999999978</v>
      </c>
      <c r="AJ246" s="25">
        <f t="shared" si="53"/>
        <v>245192.45</v>
      </c>
      <c r="AK246" s="25">
        <f t="shared" si="54"/>
        <v>28001.79</v>
      </c>
      <c r="AL246" s="25">
        <f t="shared" si="55"/>
        <v>29589.83</v>
      </c>
      <c r="AM246" s="23">
        <f t="shared" si="48"/>
        <v>2081453.25</v>
      </c>
      <c r="AO246" s="23"/>
      <c r="AP246" s="23"/>
    </row>
    <row r="247" spans="1:42" x14ac:dyDescent="0.25">
      <c r="A247" t="s">
        <v>234</v>
      </c>
      <c r="B247" t="s">
        <v>530</v>
      </c>
      <c r="C247" s="25">
        <v>1570.19</v>
      </c>
      <c r="D247" s="25">
        <v>0</v>
      </c>
      <c r="E247" s="25">
        <v>84.149000000000001</v>
      </c>
      <c r="F247" s="25">
        <v>0</v>
      </c>
      <c r="G247" s="25">
        <v>1</v>
      </c>
      <c r="H247" s="25">
        <v>0</v>
      </c>
      <c r="I247" s="25">
        <v>0</v>
      </c>
      <c r="J247" s="25">
        <v>0</v>
      </c>
      <c r="K247" s="192">
        <v>1</v>
      </c>
      <c r="L247" s="192">
        <v>1</v>
      </c>
      <c r="M247" s="192">
        <v>0</v>
      </c>
      <c r="N247" s="278"/>
      <c r="O247" s="278"/>
      <c r="P247" s="278"/>
      <c r="Q247" s="278"/>
      <c r="R247" s="278"/>
      <c r="S247" s="278"/>
      <c r="T247" s="278"/>
      <c r="U247" s="278"/>
      <c r="V247" s="278"/>
      <c r="W247" s="278"/>
      <c r="X247" s="278"/>
      <c r="Y247" s="282">
        <f>VLOOKUP(A247,'3121% SY'!$A$3:$M$600,13,FALSE)</f>
        <v>0.20579999999999998</v>
      </c>
      <c r="Z247" s="30">
        <f t="shared" si="56"/>
        <v>0.20599999999999999</v>
      </c>
      <c r="AA247" s="31">
        <f t="shared" si="44"/>
        <v>84.355000000000004</v>
      </c>
      <c r="AB247" s="32">
        <f t="shared" si="45"/>
        <v>18.61</v>
      </c>
      <c r="AC247" s="28">
        <f t="shared" si="57"/>
        <v>18.61</v>
      </c>
      <c r="AD247" s="33">
        <f t="shared" si="46"/>
        <v>97.450999999999993</v>
      </c>
      <c r="AE247" s="33">
        <f t="shared" si="47"/>
        <v>0</v>
      </c>
      <c r="AF247" s="25">
        <f t="shared" si="49"/>
        <v>7087416.3300000001</v>
      </c>
      <c r="AG247" s="25">
        <f t="shared" si="50"/>
        <v>534128.9299999997</v>
      </c>
      <c r="AH247" s="25">
        <f t="shared" si="51"/>
        <v>1199816.71</v>
      </c>
      <c r="AI247" s="25">
        <f t="shared" si="52"/>
        <v>205301.96999999997</v>
      </c>
      <c r="AJ247" s="25">
        <f t="shared" si="53"/>
        <v>1286366.06</v>
      </c>
      <c r="AK247" s="25">
        <f t="shared" si="54"/>
        <v>93525.98</v>
      </c>
      <c r="AL247" s="25">
        <f t="shared" si="55"/>
        <v>149267.96</v>
      </c>
      <c r="AM247" s="23">
        <f t="shared" si="48"/>
        <v>10555823.940000001</v>
      </c>
      <c r="AO247" s="23"/>
      <c r="AP247" s="23"/>
    </row>
    <row r="248" spans="1:42" x14ac:dyDescent="0.25">
      <c r="A248" t="s">
        <v>235</v>
      </c>
      <c r="B248" t="s">
        <v>531</v>
      </c>
      <c r="C248" s="25">
        <v>1022.29</v>
      </c>
      <c r="D248" s="25">
        <v>0</v>
      </c>
      <c r="E248" s="25">
        <v>54.781999999999996</v>
      </c>
      <c r="F248" s="25">
        <v>0</v>
      </c>
      <c r="G248" s="25">
        <v>9.6980000000000004</v>
      </c>
      <c r="H248" s="25">
        <v>0</v>
      </c>
      <c r="I248" s="25">
        <v>0</v>
      </c>
      <c r="J248" s="25">
        <v>0</v>
      </c>
      <c r="K248" s="192">
        <v>1</v>
      </c>
      <c r="L248" s="192">
        <v>1</v>
      </c>
      <c r="M248" s="192">
        <v>4.0000000000000036E-2</v>
      </c>
      <c r="N248" s="278"/>
      <c r="O248" s="278"/>
      <c r="P248" s="278"/>
      <c r="Q248" s="278"/>
      <c r="R248" s="278"/>
      <c r="S248" s="278"/>
      <c r="T248" s="278"/>
      <c r="U248" s="278"/>
      <c r="V248" s="278"/>
      <c r="W248" s="278"/>
      <c r="X248" s="278"/>
      <c r="Y248" s="282">
        <f>VLOOKUP(A248,'3121% SY'!$A$3:$M$600,13,FALSE)</f>
        <v>0.31379999999999997</v>
      </c>
      <c r="Z248" s="30">
        <f t="shared" si="56"/>
        <v>3.0430000000000001</v>
      </c>
      <c r="AA248" s="31">
        <f t="shared" ref="AA248:AA310" si="58">SUM(Z248,E248,F248,H248,I248)</f>
        <v>57.824999999999996</v>
      </c>
      <c r="AB248" s="32">
        <f t="shared" ref="AB248:AB310" si="59">IFERROR(ROUND(($C248+$D248)/AA248,2),0)</f>
        <v>17.68</v>
      </c>
      <c r="AC248" s="28">
        <f t="shared" si="57"/>
        <v>17.68</v>
      </c>
      <c r="AD248" s="33">
        <f t="shared" ref="AD248:AD310" si="60">ROUND($C248/$AC248*1.155,3)</f>
        <v>66.784000000000006</v>
      </c>
      <c r="AE248" s="33">
        <f t="shared" ref="AE248:AE310" si="61">ROUND($D248/$AC248*1.155,3)</f>
        <v>0</v>
      </c>
      <c r="AF248" s="25">
        <f t="shared" si="49"/>
        <v>4857066.75</v>
      </c>
      <c r="AG248" s="25">
        <f t="shared" si="50"/>
        <v>574967.5</v>
      </c>
      <c r="AH248" s="25">
        <f t="shared" si="51"/>
        <v>822244.61</v>
      </c>
      <c r="AI248" s="25">
        <f t="shared" si="52"/>
        <v>140695.19000000006</v>
      </c>
      <c r="AJ248" s="25">
        <f t="shared" si="53"/>
        <v>881557.62</v>
      </c>
      <c r="AK248" s="25">
        <f t="shared" si="54"/>
        <v>100676.81</v>
      </c>
      <c r="AL248" s="25">
        <f t="shared" si="55"/>
        <v>106386.39</v>
      </c>
      <c r="AM248" s="23">
        <f t="shared" ref="AM248:AM310" si="62">SUM(AF248:AL248)</f>
        <v>7483594.8700000001</v>
      </c>
      <c r="AO248" s="23"/>
      <c r="AP248" s="23"/>
    </row>
    <row r="249" spans="1:42" x14ac:dyDescent="0.25">
      <c r="A249" t="s">
        <v>236</v>
      </c>
      <c r="B249" t="s">
        <v>532</v>
      </c>
      <c r="C249" s="25">
        <v>181.56</v>
      </c>
      <c r="D249" s="25">
        <v>20</v>
      </c>
      <c r="E249" s="25">
        <v>9</v>
      </c>
      <c r="F249" s="25">
        <v>1</v>
      </c>
      <c r="G249" s="25">
        <v>1</v>
      </c>
      <c r="H249" s="25">
        <v>0</v>
      </c>
      <c r="I249" s="25">
        <v>0</v>
      </c>
      <c r="J249" s="25">
        <v>0</v>
      </c>
      <c r="K249" s="192">
        <v>1</v>
      </c>
      <c r="L249" s="192">
        <v>1</v>
      </c>
      <c r="M249" s="192">
        <v>0</v>
      </c>
      <c r="N249" s="278"/>
      <c r="O249" s="278"/>
      <c r="P249" s="278"/>
      <c r="Q249" s="278"/>
      <c r="R249" s="278"/>
      <c r="S249" s="278"/>
      <c r="T249" s="278"/>
      <c r="U249" s="278"/>
      <c r="V249" s="278"/>
      <c r="W249" s="278"/>
      <c r="X249" s="278"/>
      <c r="Y249" s="282">
        <f>VLOOKUP(A249,'3121% SY'!$A$3:$M$600,13,FALSE)</f>
        <v>0.27629999999999999</v>
      </c>
      <c r="Z249" s="30">
        <f t="shared" si="56"/>
        <v>0.27600000000000002</v>
      </c>
      <c r="AA249" s="31">
        <f t="shared" si="58"/>
        <v>10.276</v>
      </c>
      <c r="AB249" s="32">
        <f t="shared" si="59"/>
        <v>19.61</v>
      </c>
      <c r="AC249" s="28">
        <f t="shared" si="57"/>
        <v>19.61</v>
      </c>
      <c r="AD249" s="33">
        <f t="shared" si="60"/>
        <v>10.694000000000001</v>
      </c>
      <c r="AE249" s="33">
        <f t="shared" si="61"/>
        <v>1.1779999999999999</v>
      </c>
      <c r="AF249" s="25">
        <f t="shared" si="49"/>
        <v>863426.82</v>
      </c>
      <c r="AG249" s="25">
        <f t="shared" si="50"/>
        <v>65070.430000000051</v>
      </c>
      <c r="AH249" s="25">
        <f t="shared" si="51"/>
        <v>146168.06</v>
      </c>
      <c r="AI249" s="25">
        <f t="shared" si="52"/>
        <v>25010.98000000001</v>
      </c>
      <c r="AJ249" s="25">
        <f t="shared" si="53"/>
        <v>156711.97</v>
      </c>
      <c r="AK249" s="25">
        <f t="shared" si="54"/>
        <v>11393.83</v>
      </c>
      <c r="AL249" s="25">
        <f t="shared" si="55"/>
        <v>18184.62</v>
      </c>
      <c r="AM249" s="23">
        <f t="shared" si="62"/>
        <v>1285966.7100000002</v>
      </c>
      <c r="AO249" s="23"/>
      <c r="AP249" s="23"/>
    </row>
    <row r="250" spans="1:42" x14ac:dyDescent="0.25">
      <c r="A250" t="s">
        <v>237</v>
      </c>
      <c r="B250" t="s">
        <v>533</v>
      </c>
      <c r="C250" s="25">
        <v>824.99</v>
      </c>
      <c r="D250" s="25">
        <v>0</v>
      </c>
      <c r="E250" s="25">
        <v>52.731000000000002</v>
      </c>
      <c r="F250" s="25">
        <v>0</v>
      </c>
      <c r="G250" s="25">
        <v>5.8</v>
      </c>
      <c r="H250" s="25">
        <v>0</v>
      </c>
      <c r="I250" s="25">
        <v>0</v>
      </c>
      <c r="J250" s="25">
        <v>0</v>
      </c>
      <c r="K250" s="192">
        <v>1</v>
      </c>
      <c r="L250" s="192">
        <v>1</v>
      </c>
      <c r="M250" s="192">
        <v>0</v>
      </c>
      <c r="N250" s="278"/>
      <c r="O250" s="278"/>
      <c r="P250" s="278"/>
      <c r="Q250" s="278"/>
      <c r="R250" s="278"/>
      <c r="S250" s="278"/>
      <c r="T250" s="278"/>
      <c r="U250" s="278"/>
      <c r="V250" s="278"/>
      <c r="W250" s="278"/>
      <c r="X250" s="278"/>
      <c r="Y250" s="282">
        <f>VLOOKUP(A250,'3121% SY'!$A$3:$M$600,13,FALSE)</f>
        <v>0.20189999999999997</v>
      </c>
      <c r="Z250" s="30">
        <f t="shared" si="56"/>
        <v>1.171</v>
      </c>
      <c r="AA250" s="31">
        <f t="shared" si="58"/>
        <v>53.902000000000001</v>
      </c>
      <c r="AB250" s="32">
        <f t="shared" si="59"/>
        <v>15.31</v>
      </c>
      <c r="AC250" s="28">
        <f t="shared" si="57"/>
        <v>17</v>
      </c>
      <c r="AD250" s="33">
        <f t="shared" si="60"/>
        <v>56.051000000000002</v>
      </c>
      <c r="AE250" s="33">
        <f t="shared" si="61"/>
        <v>0</v>
      </c>
      <c r="AF250" s="25">
        <f t="shared" si="49"/>
        <v>4076477.13</v>
      </c>
      <c r="AG250" s="25">
        <f t="shared" si="50"/>
        <v>307215.53000000026</v>
      </c>
      <c r="AH250" s="25">
        <f t="shared" si="51"/>
        <v>690099.91</v>
      </c>
      <c r="AI250" s="25">
        <f t="shared" si="52"/>
        <v>118083.76000000001</v>
      </c>
      <c r="AJ250" s="25">
        <f t="shared" si="53"/>
        <v>739880.6</v>
      </c>
      <c r="AK250" s="25">
        <f t="shared" si="54"/>
        <v>53793.440000000002</v>
      </c>
      <c r="AL250" s="25">
        <f t="shared" si="55"/>
        <v>85854.62</v>
      </c>
      <c r="AM250" s="23">
        <f t="shared" si="62"/>
        <v>6071404.9900000002</v>
      </c>
      <c r="AO250" s="23"/>
      <c r="AP250" s="23"/>
    </row>
    <row r="251" spans="1:42" x14ac:dyDescent="0.25">
      <c r="A251" t="s">
        <v>238</v>
      </c>
      <c r="B251" t="s">
        <v>534</v>
      </c>
      <c r="C251" s="25">
        <v>560.4</v>
      </c>
      <c r="D251" s="25">
        <v>0</v>
      </c>
      <c r="E251" s="25">
        <v>35.67</v>
      </c>
      <c r="F251" s="25">
        <v>0</v>
      </c>
      <c r="G251" s="25">
        <v>4.6669999999999998</v>
      </c>
      <c r="H251" s="25">
        <v>0</v>
      </c>
      <c r="I251" s="25">
        <v>0</v>
      </c>
      <c r="J251" s="25">
        <v>0</v>
      </c>
      <c r="K251" s="192">
        <v>1</v>
      </c>
      <c r="L251" s="192">
        <v>1</v>
      </c>
      <c r="M251" s="192">
        <v>0</v>
      </c>
      <c r="N251" s="278"/>
      <c r="O251" s="278"/>
      <c r="P251" s="278"/>
      <c r="Q251" s="278"/>
      <c r="R251" s="278"/>
      <c r="S251" s="278"/>
      <c r="T251" s="278"/>
      <c r="U251" s="278"/>
      <c r="V251" s="278"/>
      <c r="W251" s="278"/>
      <c r="X251" s="278"/>
      <c r="Y251" s="282">
        <f>VLOOKUP(A251,'3121% SY'!$A$3:$M$600,13,FALSE)</f>
        <v>0.23829999999999996</v>
      </c>
      <c r="Z251" s="30">
        <f t="shared" si="56"/>
        <v>1.1120000000000001</v>
      </c>
      <c r="AA251" s="31">
        <f t="shared" si="58"/>
        <v>36.782000000000004</v>
      </c>
      <c r="AB251" s="32">
        <f t="shared" si="59"/>
        <v>15.24</v>
      </c>
      <c r="AC251" s="28">
        <f t="shared" si="57"/>
        <v>17</v>
      </c>
      <c r="AD251" s="33">
        <f t="shared" si="60"/>
        <v>38.073999999999998</v>
      </c>
      <c r="AE251" s="33">
        <f t="shared" si="61"/>
        <v>0</v>
      </c>
      <c r="AF251" s="25">
        <f t="shared" si="49"/>
        <v>2769045.87</v>
      </c>
      <c r="AG251" s="25">
        <f t="shared" si="50"/>
        <v>208683.60000000009</v>
      </c>
      <c r="AH251" s="25">
        <f t="shared" si="51"/>
        <v>468767.09</v>
      </c>
      <c r="AI251" s="25">
        <f t="shared" si="52"/>
        <v>80211.259999999951</v>
      </c>
      <c r="AJ251" s="25">
        <f t="shared" si="53"/>
        <v>502581.83</v>
      </c>
      <c r="AK251" s="25">
        <f t="shared" si="54"/>
        <v>36540.5</v>
      </c>
      <c r="AL251" s="25">
        <f t="shared" si="55"/>
        <v>58318.83</v>
      </c>
      <c r="AM251" s="23">
        <f t="shared" si="62"/>
        <v>4124148.98</v>
      </c>
      <c r="AO251" s="23"/>
      <c r="AP251" s="23"/>
    </row>
    <row r="252" spans="1:42" x14ac:dyDescent="0.25">
      <c r="A252" t="s">
        <v>239</v>
      </c>
      <c r="B252" t="s">
        <v>535</v>
      </c>
      <c r="C252" s="25">
        <v>407.81</v>
      </c>
      <c r="D252" s="25">
        <v>0</v>
      </c>
      <c r="E252" s="25">
        <v>23.510999999999999</v>
      </c>
      <c r="F252" s="25">
        <v>0</v>
      </c>
      <c r="G252" s="25">
        <v>2.5750000000000002</v>
      </c>
      <c r="H252" s="25">
        <v>0</v>
      </c>
      <c r="I252" s="25">
        <v>0</v>
      </c>
      <c r="J252" s="25">
        <v>0</v>
      </c>
      <c r="K252" s="192">
        <v>1</v>
      </c>
      <c r="L252" s="192">
        <v>1</v>
      </c>
      <c r="M252" s="192">
        <v>0</v>
      </c>
      <c r="N252" s="278"/>
      <c r="O252" s="278"/>
      <c r="P252" s="278"/>
      <c r="Q252" s="278"/>
      <c r="R252" s="278"/>
      <c r="S252" s="278"/>
      <c r="T252" s="278"/>
      <c r="U252" s="278"/>
      <c r="V252" s="278"/>
      <c r="W252" s="278"/>
      <c r="X252" s="278"/>
      <c r="Y252" s="282">
        <f>VLOOKUP(A252,'3121% SY'!$A$3:$M$600,13,FALSE)</f>
        <v>0.2944</v>
      </c>
      <c r="Z252" s="30">
        <f t="shared" si="56"/>
        <v>0.75800000000000001</v>
      </c>
      <c r="AA252" s="31">
        <f t="shared" si="58"/>
        <v>24.268999999999998</v>
      </c>
      <c r="AB252" s="32">
        <f t="shared" si="59"/>
        <v>16.8</v>
      </c>
      <c r="AC252" s="28">
        <f t="shared" si="57"/>
        <v>17</v>
      </c>
      <c r="AD252" s="33">
        <f t="shared" si="60"/>
        <v>27.707000000000001</v>
      </c>
      <c r="AE252" s="33">
        <f t="shared" si="61"/>
        <v>0</v>
      </c>
      <c r="AF252" s="25">
        <f t="shared" si="49"/>
        <v>2015074.7</v>
      </c>
      <c r="AG252" s="25">
        <f t="shared" si="50"/>
        <v>151862.05999999982</v>
      </c>
      <c r="AH252" s="25">
        <f t="shared" si="51"/>
        <v>341128.58</v>
      </c>
      <c r="AI252" s="25">
        <f t="shared" si="52"/>
        <v>58370.899999999965</v>
      </c>
      <c r="AJ252" s="25">
        <f t="shared" si="53"/>
        <v>365736.06</v>
      </c>
      <c r="AK252" s="25">
        <f t="shared" si="54"/>
        <v>26591.05</v>
      </c>
      <c r="AL252" s="25">
        <f t="shared" si="55"/>
        <v>42439.46</v>
      </c>
      <c r="AM252" s="23">
        <f t="shared" si="62"/>
        <v>3001202.8099999996</v>
      </c>
      <c r="AO252" s="23"/>
      <c r="AP252" s="23"/>
    </row>
    <row r="253" spans="1:42" x14ac:dyDescent="0.25">
      <c r="A253" t="s">
        <v>615</v>
      </c>
      <c r="B253" t="s">
        <v>616</v>
      </c>
      <c r="C253" s="25">
        <v>330.2</v>
      </c>
      <c r="D253" s="25">
        <v>0</v>
      </c>
      <c r="E253" s="25">
        <v>20.837</v>
      </c>
      <c r="F253" s="25">
        <v>0</v>
      </c>
      <c r="G253" s="25">
        <v>1.03</v>
      </c>
      <c r="H253" s="25">
        <v>0</v>
      </c>
      <c r="I253" s="25">
        <v>0</v>
      </c>
      <c r="J253" s="25">
        <v>0</v>
      </c>
      <c r="K253" s="192">
        <v>1</v>
      </c>
      <c r="L253" s="192">
        <v>1</v>
      </c>
      <c r="M253" s="192">
        <v>0</v>
      </c>
      <c r="N253" s="278"/>
      <c r="O253" s="278"/>
      <c r="P253" s="278"/>
      <c r="Q253" s="278"/>
      <c r="R253" s="278"/>
      <c r="S253" s="278"/>
      <c r="T253" s="278"/>
      <c r="U253" s="278"/>
      <c r="V253" s="278"/>
      <c r="W253" s="278"/>
      <c r="X253" s="278"/>
      <c r="Y253" s="282">
        <f>VLOOKUP(A253,'3121% SY'!$A$3:$M$600,13,FALSE)</f>
        <v>9.5300000000000051E-2</v>
      </c>
      <c r="Z253" s="30">
        <f t="shared" si="56"/>
        <v>9.8000000000000004E-2</v>
      </c>
      <c r="AA253" s="31">
        <f t="shared" si="58"/>
        <v>20.934999999999999</v>
      </c>
      <c r="AB253" s="32">
        <f t="shared" si="59"/>
        <v>15.77</v>
      </c>
      <c r="AC253" s="28">
        <f t="shared" si="57"/>
        <v>17</v>
      </c>
      <c r="AD253" s="33">
        <f t="shared" si="60"/>
        <v>22.434000000000001</v>
      </c>
      <c r="AE253" s="33">
        <f t="shared" si="61"/>
        <v>0</v>
      </c>
      <c r="AF253" s="25">
        <f t="shared" si="49"/>
        <v>1631579.95</v>
      </c>
      <c r="AG253" s="25">
        <f t="shared" si="50"/>
        <v>122960.76000000001</v>
      </c>
      <c r="AH253" s="25">
        <f t="shared" si="51"/>
        <v>276207.40999999997</v>
      </c>
      <c r="AI253" s="25">
        <f t="shared" si="52"/>
        <v>47262.150000000023</v>
      </c>
      <c r="AJ253" s="25">
        <f t="shared" si="53"/>
        <v>296131.76</v>
      </c>
      <c r="AK253" s="25">
        <f t="shared" si="54"/>
        <v>21530.43</v>
      </c>
      <c r="AL253" s="25">
        <f t="shared" si="55"/>
        <v>34362.68</v>
      </c>
      <c r="AM253" s="23">
        <f t="shared" si="62"/>
        <v>2430035.1400000006</v>
      </c>
      <c r="AO253" s="23"/>
      <c r="AP253" s="23"/>
    </row>
    <row r="254" spans="1:42" x14ac:dyDescent="0.25">
      <c r="A254" t="s">
        <v>655</v>
      </c>
      <c r="B254" t="s">
        <v>656</v>
      </c>
      <c r="C254" s="25">
        <v>0</v>
      </c>
      <c r="D254" s="25">
        <v>0</v>
      </c>
      <c r="E254" s="25">
        <v>0</v>
      </c>
      <c r="F254" s="25">
        <v>0</v>
      </c>
      <c r="G254" s="25">
        <v>0</v>
      </c>
      <c r="H254" s="25">
        <v>0</v>
      </c>
      <c r="I254" s="25">
        <v>0</v>
      </c>
      <c r="J254" s="25">
        <v>0</v>
      </c>
      <c r="K254" s="192">
        <v>1</v>
      </c>
      <c r="L254" s="192">
        <v>1</v>
      </c>
      <c r="M254" s="192">
        <v>0</v>
      </c>
      <c r="N254" s="278"/>
      <c r="O254" s="278"/>
      <c r="P254" s="278"/>
      <c r="Q254" s="278"/>
      <c r="R254" s="278"/>
      <c r="S254" s="278"/>
      <c r="T254" s="278"/>
      <c r="U254" s="278"/>
      <c r="V254" s="278"/>
      <c r="W254" s="278"/>
      <c r="X254" s="278"/>
      <c r="Y254" s="282">
        <f>VLOOKUP(A254,'3121% SY'!$A$3:$M$600,13,FALSE)</f>
        <v>0.13</v>
      </c>
      <c r="Z254" s="30">
        <f t="shared" si="56"/>
        <v>0</v>
      </c>
      <c r="AA254" s="31">
        <f t="shared" si="58"/>
        <v>0</v>
      </c>
      <c r="AB254" s="32">
        <f t="shared" si="59"/>
        <v>0</v>
      </c>
      <c r="AC254" s="28">
        <f t="shared" si="57"/>
        <v>25.23</v>
      </c>
      <c r="AD254" s="33">
        <f t="shared" si="60"/>
        <v>0</v>
      </c>
      <c r="AE254" s="33">
        <f t="shared" si="61"/>
        <v>0</v>
      </c>
      <c r="AF254" s="25">
        <f t="shared" si="49"/>
        <v>0</v>
      </c>
      <c r="AG254" s="25">
        <f t="shared" si="50"/>
        <v>0</v>
      </c>
      <c r="AH254" s="25">
        <f t="shared" si="51"/>
        <v>0</v>
      </c>
      <c r="AI254" s="25">
        <f t="shared" si="52"/>
        <v>0</v>
      </c>
      <c r="AJ254" s="25">
        <f t="shared" si="53"/>
        <v>0</v>
      </c>
      <c r="AK254" s="25">
        <f t="shared" si="54"/>
        <v>0</v>
      </c>
      <c r="AL254" s="25">
        <f t="shared" si="55"/>
        <v>0</v>
      </c>
      <c r="AM254" s="23">
        <f t="shared" si="62"/>
        <v>0</v>
      </c>
      <c r="AO254" s="23"/>
      <c r="AP254" s="23"/>
    </row>
    <row r="255" spans="1:42" x14ac:dyDescent="0.25">
      <c r="A255" t="s">
        <v>628</v>
      </c>
      <c r="B255" t="s">
        <v>629</v>
      </c>
      <c r="C255" s="25">
        <v>0</v>
      </c>
      <c r="D255" s="25">
        <v>0</v>
      </c>
      <c r="E255" s="25">
        <v>0</v>
      </c>
      <c r="F255" s="25">
        <v>0</v>
      </c>
      <c r="G255" s="25">
        <v>0</v>
      </c>
      <c r="H255" s="25">
        <v>0</v>
      </c>
      <c r="I255" s="25">
        <v>0</v>
      </c>
      <c r="J255" s="25">
        <v>0</v>
      </c>
      <c r="K255" s="192">
        <v>1</v>
      </c>
      <c r="L255" s="192">
        <v>1</v>
      </c>
      <c r="M255" s="192">
        <v>0</v>
      </c>
      <c r="N255" s="278"/>
      <c r="O255" s="278"/>
      <c r="P255" s="278"/>
      <c r="Q255" s="278"/>
      <c r="R255" s="278"/>
      <c r="S255" s="278"/>
      <c r="T255" s="278"/>
      <c r="U255" s="278"/>
      <c r="V255" s="278"/>
      <c r="W255" s="278"/>
      <c r="X255" s="278"/>
      <c r="Y255" s="282">
        <f>VLOOKUP(A255,'3121% SY'!$A$3:$M$600,13,FALSE)</f>
        <v>0.12429999999999997</v>
      </c>
      <c r="Z255" s="30">
        <f t="shared" si="56"/>
        <v>0</v>
      </c>
      <c r="AA255" s="31">
        <f t="shared" si="58"/>
        <v>0</v>
      </c>
      <c r="AB255" s="32">
        <f t="shared" si="59"/>
        <v>0</v>
      </c>
      <c r="AC255" s="28">
        <f t="shared" si="57"/>
        <v>25.23</v>
      </c>
      <c r="AD255" s="33">
        <f t="shared" si="60"/>
        <v>0</v>
      </c>
      <c r="AE255" s="33">
        <f t="shared" si="61"/>
        <v>0</v>
      </c>
      <c r="AF255" s="25">
        <f t="shared" si="49"/>
        <v>0</v>
      </c>
      <c r="AG255" s="25">
        <f t="shared" si="50"/>
        <v>0</v>
      </c>
      <c r="AH255" s="25">
        <f t="shared" si="51"/>
        <v>0</v>
      </c>
      <c r="AI255" s="25">
        <f t="shared" si="52"/>
        <v>0</v>
      </c>
      <c r="AJ255" s="25">
        <f t="shared" si="53"/>
        <v>0</v>
      </c>
      <c r="AK255" s="25">
        <f t="shared" si="54"/>
        <v>0</v>
      </c>
      <c r="AL255" s="25">
        <f t="shared" si="55"/>
        <v>0</v>
      </c>
      <c r="AM255" s="23">
        <f t="shared" si="62"/>
        <v>0</v>
      </c>
      <c r="AO255" s="23"/>
      <c r="AP255" s="23"/>
    </row>
    <row r="256" spans="1:42" x14ac:dyDescent="0.25">
      <c r="A256" t="s">
        <v>240</v>
      </c>
      <c r="B256" t="s">
        <v>536</v>
      </c>
      <c r="C256" s="25">
        <v>17.399999999999999</v>
      </c>
      <c r="D256" s="25">
        <v>0</v>
      </c>
      <c r="E256" s="25">
        <v>1.7130000000000001</v>
      </c>
      <c r="F256" s="25">
        <v>0</v>
      </c>
      <c r="G256" s="25">
        <v>0.224</v>
      </c>
      <c r="H256" s="25">
        <v>0</v>
      </c>
      <c r="I256" s="25">
        <v>0</v>
      </c>
      <c r="J256" s="25">
        <v>0</v>
      </c>
      <c r="K256" s="192">
        <v>1</v>
      </c>
      <c r="L256" s="192">
        <v>1</v>
      </c>
      <c r="M256" s="192">
        <v>1.0000000000000009E-2</v>
      </c>
      <c r="N256" s="278"/>
      <c r="O256" s="278"/>
      <c r="P256" s="278"/>
      <c r="Q256" s="278"/>
      <c r="R256" s="278"/>
      <c r="S256" s="278"/>
      <c r="T256" s="278"/>
      <c r="U256" s="278"/>
      <c r="V256" s="278"/>
      <c r="W256" s="278"/>
      <c r="X256" s="278"/>
      <c r="Y256" s="282">
        <f>VLOOKUP(A256,'3121% SY'!$A$3:$M$600,13,FALSE)</f>
        <v>0.17330000000000001</v>
      </c>
      <c r="Z256" s="30">
        <f t="shared" si="56"/>
        <v>3.9E-2</v>
      </c>
      <c r="AA256" s="31">
        <f t="shared" si="58"/>
        <v>1.752</v>
      </c>
      <c r="AB256" s="32">
        <f t="shared" si="59"/>
        <v>9.93</v>
      </c>
      <c r="AC256" s="28">
        <f t="shared" si="57"/>
        <v>17</v>
      </c>
      <c r="AD256" s="33">
        <f t="shared" si="60"/>
        <v>1.1819999999999999</v>
      </c>
      <c r="AE256" s="33">
        <f t="shared" si="61"/>
        <v>0</v>
      </c>
      <c r="AF256" s="25">
        <f t="shared" si="49"/>
        <v>85964.5</v>
      </c>
      <c r="AG256" s="25">
        <f t="shared" si="50"/>
        <v>7402.9700000000012</v>
      </c>
      <c r="AH256" s="25">
        <f t="shared" si="51"/>
        <v>14552.78</v>
      </c>
      <c r="AI256" s="25">
        <f t="shared" si="52"/>
        <v>2490.1499999999996</v>
      </c>
      <c r="AJ256" s="25">
        <f t="shared" si="53"/>
        <v>15602.56</v>
      </c>
      <c r="AK256" s="25">
        <f t="shared" si="54"/>
        <v>1296.26</v>
      </c>
      <c r="AL256" s="25">
        <f t="shared" si="55"/>
        <v>1828.6</v>
      </c>
      <c r="AM256" s="23">
        <f t="shared" si="62"/>
        <v>129137.81999999999</v>
      </c>
      <c r="AO256" s="23"/>
      <c r="AP256" s="23"/>
    </row>
    <row r="257" spans="1:42" x14ac:dyDescent="0.25">
      <c r="A257" t="s">
        <v>241</v>
      </c>
      <c r="B257" t="s">
        <v>537</v>
      </c>
      <c r="C257" s="25">
        <v>167.84</v>
      </c>
      <c r="D257" s="25">
        <v>13.4</v>
      </c>
      <c r="E257" s="25">
        <v>10.89</v>
      </c>
      <c r="F257" s="25">
        <v>1.0669999999999999</v>
      </c>
      <c r="G257" s="25">
        <v>1.1060000000000001</v>
      </c>
      <c r="H257" s="25">
        <v>0</v>
      </c>
      <c r="I257" s="25">
        <v>0</v>
      </c>
      <c r="J257" s="25">
        <v>0</v>
      </c>
      <c r="K257" s="192">
        <v>1</v>
      </c>
      <c r="L257" s="192">
        <v>1</v>
      </c>
      <c r="M257" s="192">
        <v>0</v>
      </c>
      <c r="N257" s="278"/>
      <c r="O257" s="278"/>
      <c r="P257" s="278"/>
      <c r="Q257" s="278"/>
      <c r="R257" s="278"/>
      <c r="S257" s="278"/>
      <c r="T257" s="278"/>
      <c r="U257" s="278"/>
      <c r="V257" s="278"/>
      <c r="W257" s="278"/>
      <c r="X257" s="278"/>
      <c r="Y257" s="282">
        <f>VLOOKUP(A257,'3121% SY'!$A$3:$M$600,13,FALSE)</f>
        <v>0.2671</v>
      </c>
      <c r="Z257" s="30">
        <f t="shared" si="56"/>
        <v>0.29499999999999998</v>
      </c>
      <c r="AA257" s="31">
        <f t="shared" si="58"/>
        <v>12.252000000000001</v>
      </c>
      <c r="AB257" s="32">
        <f t="shared" si="59"/>
        <v>14.79</v>
      </c>
      <c r="AC257" s="28">
        <f t="shared" si="57"/>
        <v>17</v>
      </c>
      <c r="AD257" s="33">
        <f t="shared" si="60"/>
        <v>11.403</v>
      </c>
      <c r="AE257" s="33">
        <f t="shared" si="61"/>
        <v>0.91</v>
      </c>
      <c r="AF257" s="25">
        <f t="shared" si="49"/>
        <v>895499.86</v>
      </c>
      <c r="AG257" s="25">
        <f t="shared" si="50"/>
        <v>67487.560000000056</v>
      </c>
      <c r="AH257" s="25">
        <f t="shared" si="51"/>
        <v>151597.66</v>
      </c>
      <c r="AI257" s="25">
        <f t="shared" si="52"/>
        <v>25940.040000000008</v>
      </c>
      <c r="AJ257" s="25">
        <f t="shared" si="53"/>
        <v>162533.22</v>
      </c>
      <c r="AK257" s="25">
        <f t="shared" si="54"/>
        <v>11817.07</v>
      </c>
      <c r="AL257" s="25">
        <f t="shared" si="55"/>
        <v>18860.11</v>
      </c>
      <c r="AM257" s="23">
        <f t="shared" si="62"/>
        <v>1333735.5200000003</v>
      </c>
      <c r="AO257" s="23"/>
      <c r="AP257" s="23"/>
    </row>
    <row r="258" spans="1:42" x14ac:dyDescent="0.25">
      <c r="A258" t="s">
        <v>242</v>
      </c>
      <c r="B258" t="s">
        <v>538</v>
      </c>
      <c r="C258" s="25">
        <v>83.8</v>
      </c>
      <c r="D258" s="25">
        <v>0</v>
      </c>
      <c r="E258" s="25">
        <v>9.1479999999999997</v>
      </c>
      <c r="F258" s="25">
        <v>0</v>
      </c>
      <c r="G258" s="25">
        <v>0</v>
      </c>
      <c r="H258" s="25">
        <v>0</v>
      </c>
      <c r="I258" s="25">
        <v>0</v>
      </c>
      <c r="J258" s="25">
        <v>0</v>
      </c>
      <c r="K258" s="192">
        <v>1</v>
      </c>
      <c r="L258" s="192">
        <v>1</v>
      </c>
      <c r="M258" s="192">
        <v>0</v>
      </c>
      <c r="N258" s="278"/>
      <c r="O258" s="278"/>
      <c r="P258" s="278"/>
      <c r="Q258" s="278"/>
      <c r="R258" s="278"/>
      <c r="S258" s="278"/>
      <c r="T258" s="278"/>
      <c r="U258" s="278"/>
      <c r="V258" s="278"/>
      <c r="W258" s="278"/>
      <c r="X258" s="278"/>
      <c r="Y258" s="282">
        <f>VLOOKUP(A258,'3121% SY'!$A$3:$M$600,13,FALSE)</f>
        <v>0.15100000000000002</v>
      </c>
      <c r="Z258" s="30">
        <f t="shared" si="56"/>
        <v>0</v>
      </c>
      <c r="AA258" s="31">
        <f t="shared" si="58"/>
        <v>9.1479999999999997</v>
      </c>
      <c r="AB258" s="32">
        <f t="shared" si="59"/>
        <v>9.16</v>
      </c>
      <c r="AC258" s="28">
        <f t="shared" si="57"/>
        <v>17</v>
      </c>
      <c r="AD258" s="33">
        <f t="shared" si="60"/>
        <v>5.6929999999999996</v>
      </c>
      <c r="AE258" s="33">
        <f t="shared" si="61"/>
        <v>0</v>
      </c>
      <c r="AF258" s="25">
        <f t="shared" si="49"/>
        <v>414040.5</v>
      </c>
      <c r="AG258" s="25">
        <f t="shared" si="50"/>
        <v>31203.340000000026</v>
      </c>
      <c r="AH258" s="25">
        <f t="shared" si="51"/>
        <v>70092.22</v>
      </c>
      <c r="AI258" s="25">
        <f t="shared" si="52"/>
        <v>11993.550000000003</v>
      </c>
      <c r="AJ258" s="25">
        <f t="shared" si="53"/>
        <v>75148.350000000006</v>
      </c>
      <c r="AK258" s="25">
        <f t="shared" si="54"/>
        <v>5463.7</v>
      </c>
      <c r="AL258" s="25">
        <f t="shared" si="55"/>
        <v>8720.1</v>
      </c>
      <c r="AM258" s="23">
        <f t="shared" si="62"/>
        <v>616661.76000000001</v>
      </c>
      <c r="AO258" s="23"/>
      <c r="AP258" s="23"/>
    </row>
    <row r="259" spans="1:42" x14ac:dyDescent="0.25">
      <c r="A259" t="s">
        <v>243</v>
      </c>
      <c r="B259" t="s">
        <v>539</v>
      </c>
      <c r="C259" s="25">
        <v>83</v>
      </c>
      <c r="D259" s="25">
        <v>14</v>
      </c>
      <c r="E259" s="25">
        <v>5.6020000000000003</v>
      </c>
      <c r="F259" s="25">
        <v>1</v>
      </c>
      <c r="G259" s="25">
        <v>0.875</v>
      </c>
      <c r="H259" s="25">
        <v>0</v>
      </c>
      <c r="I259" s="25">
        <v>0</v>
      </c>
      <c r="J259" s="25">
        <v>0</v>
      </c>
      <c r="K259" s="192">
        <v>1</v>
      </c>
      <c r="L259" s="192">
        <v>1</v>
      </c>
      <c r="M259" s="192">
        <v>0</v>
      </c>
      <c r="N259" s="278"/>
      <c r="O259" s="278"/>
      <c r="P259" s="278"/>
      <c r="Q259" s="278"/>
      <c r="R259" s="278"/>
      <c r="S259" s="278"/>
      <c r="T259" s="278"/>
      <c r="U259" s="278"/>
      <c r="V259" s="278"/>
      <c r="W259" s="278"/>
      <c r="X259" s="278"/>
      <c r="Y259" s="282">
        <f>VLOOKUP(A259,'3121% SY'!$A$3:$M$600,13,FALSE)</f>
        <v>0.11280000000000001</v>
      </c>
      <c r="Z259" s="30">
        <f t="shared" si="56"/>
        <v>9.9000000000000005E-2</v>
      </c>
      <c r="AA259" s="31">
        <f t="shared" si="58"/>
        <v>6.7010000000000005</v>
      </c>
      <c r="AB259" s="32">
        <f t="shared" si="59"/>
        <v>14.48</v>
      </c>
      <c r="AC259" s="28">
        <f t="shared" si="57"/>
        <v>17</v>
      </c>
      <c r="AD259" s="33">
        <f t="shared" si="60"/>
        <v>5.6390000000000002</v>
      </c>
      <c r="AE259" s="33">
        <f t="shared" si="61"/>
        <v>0.95099999999999996</v>
      </c>
      <c r="AF259" s="25">
        <f t="shared" ref="AF259:AF322" si="63">ROUND(($AD259+$AE259)*CIS_Base*K259,2)</f>
        <v>479277.52</v>
      </c>
      <c r="AG259" s="25">
        <f t="shared" ref="AG259:AG321" si="64">ROUND(($AD259+$AE259)*CIS_Inc*(L259+M259),2)-AF259</f>
        <v>36119.789999999979</v>
      </c>
      <c r="AH259" s="25">
        <f t="shared" ref="AH259:AH322" si="65">ROUND(($AD259+$AE259)*Ins_Base,2)</f>
        <v>81136.08</v>
      </c>
      <c r="AI259" s="25">
        <f t="shared" ref="AI259:AI321" si="66">ROUND(($AD259+$AE259)*CIS_Ins_Inc,2)-AH259</f>
        <v>13883.279999999999</v>
      </c>
      <c r="AJ259" s="25">
        <f t="shared" ref="AJ259:AJ322" si="67">ROUND(AF259*CIS_Ben_Base,2)</f>
        <v>86988.87</v>
      </c>
      <c r="AK259" s="25">
        <f t="shared" ref="AK259:AK322" si="68">ROUND(AG259*CIS_Ben_Inc,2)</f>
        <v>6324.58</v>
      </c>
      <c r="AL259" s="25">
        <f t="shared" ref="AL259:AL322" si="69">ROUND((($AD259+$AE259)*CIS_Inc*(L259+M259)/180)*3+((($AD259+$AE259)*CIS_Inc*(L259+M259)/180)*3)*CIS_Ben_Inc,2)</f>
        <v>10094.06</v>
      </c>
      <c r="AM259" s="23">
        <f t="shared" si="62"/>
        <v>713824.18</v>
      </c>
      <c r="AO259" s="23"/>
      <c r="AP259" s="23"/>
    </row>
    <row r="260" spans="1:42" x14ac:dyDescent="0.25">
      <c r="A260" t="s">
        <v>244</v>
      </c>
      <c r="B260" t="s">
        <v>540</v>
      </c>
      <c r="C260" s="25">
        <v>460.68</v>
      </c>
      <c r="D260" s="25">
        <v>72</v>
      </c>
      <c r="E260" s="25">
        <v>27.847000000000001</v>
      </c>
      <c r="F260" s="25">
        <v>4.5</v>
      </c>
      <c r="G260" s="25">
        <v>2.2350000000000003</v>
      </c>
      <c r="H260" s="25">
        <v>0</v>
      </c>
      <c r="I260" s="25">
        <v>0</v>
      </c>
      <c r="J260" s="25">
        <v>0</v>
      </c>
      <c r="K260" s="192">
        <v>1</v>
      </c>
      <c r="L260" s="192">
        <v>1</v>
      </c>
      <c r="M260" s="192">
        <v>4.0000000000000036E-2</v>
      </c>
      <c r="N260" s="278"/>
      <c r="O260" s="278"/>
      <c r="P260" s="278"/>
      <c r="Q260" s="278"/>
      <c r="R260" s="278"/>
      <c r="S260" s="278"/>
      <c r="T260" s="278"/>
      <c r="U260" s="278"/>
      <c r="V260" s="278"/>
      <c r="W260" s="278"/>
      <c r="X260" s="278"/>
      <c r="Y260" s="282">
        <f>VLOOKUP(A260,'3121% SY'!$A$3:$M$600,13,FALSE)</f>
        <v>0.21999999999999997</v>
      </c>
      <c r="Z260" s="30">
        <f t="shared" ref="Z260:Z322" si="70">ROUND(Y260*G260,3)+ROUND(J260*Y260,3)</f>
        <v>0.49199999999999999</v>
      </c>
      <c r="AA260" s="31">
        <f t="shared" si="58"/>
        <v>32.838999999999999</v>
      </c>
      <c r="AB260" s="32">
        <f t="shared" si="59"/>
        <v>16.22</v>
      </c>
      <c r="AC260" s="28">
        <f t="shared" ref="AC260:AC322" si="71">IF(OR(SUM(C260:D260)=0,SUM(E260:G260)=0),25.23,IF(AB260&gt;$AC$2,IF(AB260&gt;25.23,25.23,AB260),$AC$2))</f>
        <v>17</v>
      </c>
      <c r="AD260" s="33">
        <f t="shared" si="60"/>
        <v>31.298999999999999</v>
      </c>
      <c r="AE260" s="33">
        <f t="shared" si="61"/>
        <v>4.8920000000000003</v>
      </c>
      <c r="AF260" s="25">
        <f t="shared" si="63"/>
        <v>2632099.0499999998</v>
      </c>
      <c r="AG260" s="25">
        <f t="shared" si="64"/>
        <v>311581.35000000009</v>
      </c>
      <c r="AH260" s="25">
        <f t="shared" si="65"/>
        <v>445583.59</v>
      </c>
      <c r="AI260" s="25">
        <f t="shared" si="66"/>
        <v>76244.31</v>
      </c>
      <c r="AJ260" s="25">
        <f t="shared" si="67"/>
        <v>477725.98</v>
      </c>
      <c r="AK260" s="25">
        <f t="shared" si="68"/>
        <v>54557.89</v>
      </c>
      <c r="AL260" s="25">
        <f t="shared" si="69"/>
        <v>57651.98</v>
      </c>
      <c r="AM260" s="23">
        <f t="shared" si="62"/>
        <v>4055444.15</v>
      </c>
      <c r="AO260" s="23"/>
      <c r="AP260" s="23"/>
    </row>
    <row r="261" spans="1:42" x14ac:dyDescent="0.25">
      <c r="A261" t="s">
        <v>245</v>
      </c>
      <c r="B261" t="s">
        <v>541</v>
      </c>
      <c r="C261" s="25">
        <v>60.4</v>
      </c>
      <c r="D261" s="25">
        <v>0</v>
      </c>
      <c r="E261" s="25">
        <v>4.37</v>
      </c>
      <c r="F261" s="25">
        <v>0</v>
      </c>
      <c r="G261" s="25">
        <v>0.316</v>
      </c>
      <c r="H261" s="25">
        <v>0</v>
      </c>
      <c r="I261" s="25">
        <v>0</v>
      </c>
      <c r="J261" s="25">
        <v>0</v>
      </c>
      <c r="K261" s="192">
        <v>1</v>
      </c>
      <c r="L261" s="192">
        <v>1</v>
      </c>
      <c r="M261" s="192">
        <v>0</v>
      </c>
      <c r="N261" s="278"/>
      <c r="O261" s="278"/>
      <c r="P261" s="278"/>
      <c r="Q261" s="278"/>
      <c r="R261" s="278"/>
      <c r="S261" s="278"/>
      <c r="T261" s="278"/>
      <c r="U261" s="278"/>
      <c r="V261" s="278"/>
      <c r="W261" s="278"/>
      <c r="X261" s="278"/>
      <c r="Y261" s="282">
        <f>VLOOKUP(A261,'3121% SY'!$A$3:$M$600,13,FALSE)</f>
        <v>0.23270000000000002</v>
      </c>
      <c r="Z261" s="30">
        <f t="shared" si="70"/>
        <v>7.3999999999999996E-2</v>
      </c>
      <c r="AA261" s="31">
        <f t="shared" si="58"/>
        <v>4.444</v>
      </c>
      <c r="AB261" s="32">
        <f t="shared" si="59"/>
        <v>13.59</v>
      </c>
      <c r="AC261" s="28">
        <f t="shared" si="71"/>
        <v>17</v>
      </c>
      <c r="AD261" s="33">
        <f t="shared" si="60"/>
        <v>4.1040000000000001</v>
      </c>
      <c r="AE261" s="33">
        <f t="shared" si="61"/>
        <v>0</v>
      </c>
      <c r="AF261" s="25">
        <f t="shared" si="63"/>
        <v>298475.71000000002</v>
      </c>
      <c r="AG261" s="25">
        <f t="shared" si="64"/>
        <v>22494.02999999997</v>
      </c>
      <c r="AH261" s="25">
        <f t="shared" si="65"/>
        <v>50528.45</v>
      </c>
      <c r="AI261" s="25">
        <f t="shared" si="66"/>
        <v>8645.9800000000032</v>
      </c>
      <c r="AJ261" s="25">
        <f t="shared" si="67"/>
        <v>54173.34</v>
      </c>
      <c r="AK261" s="25">
        <f t="shared" si="68"/>
        <v>3938.7</v>
      </c>
      <c r="AL261" s="25">
        <f t="shared" si="69"/>
        <v>6286.19</v>
      </c>
      <c r="AM261" s="23">
        <f t="shared" si="62"/>
        <v>444542.4</v>
      </c>
      <c r="AO261" s="23"/>
      <c r="AP261" s="23"/>
    </row>
    <row r="262" spans="1:42" x14ac:dyDescent="0.25">
      <c r="A262" t="s">
        <v>246</v>
      </c>
      <c r="B262" t="s">
        <v>542</v>
      </c>
      <c r="C262" s="25">
        <v>41.6</v>
      </c>
      <c r="D262" s="25">
        <v>0</v>
      </c>
      <c r="E262" s="25">
        <v>2.6179999999999999</v>
      </c>
      <c r="F262" s="25">
        <v>0</v>
      </c>
      <c r="G262" s="25">
        <v>0.09</v>
      </c>
      <c r="H262" s="25">
        <v>0</v>
      </c>
      <c r="I262" s="25">
        <v>0</v>
      </c>
      <c r="J262" s="25">
        <v>0</v>
      </c>
      <c r="K262" s="192">
        <v>1</v>
      </c>
      <c r="L262" s="192">
        <v>1</v>
      </c>
      <c r="M262" s="192">
        <v>0</v>
      </c>
      <c r="N262" s="278"/>
      <c r="O262" s="278"/>
      <c r="P262" s="278"/>
      <c r="Q262" s="278"/>
      <c r="R262" s="278"/>
      <c r="S262" s="278"/>
      <c r="T262" s="278"/>
      <c r="U262" s="278"/>
      <c r="V262" s="278"/>
      <c r="W262" s="278"/>
      <c r="X262" s="278"/>
      <c r="Y262" s="282">
        <f>VLOOKUP(A262,'3121% SY'!$A$3:$M$600,13,FALSE)</f>
        <v>0.10150000000000003</v>
      </c>
      <c r="Z262" s="30">
        <f t="shared" si="70"/>
        <v>8.9999999999999993E-3</v>
      </c>
      <c r="AA262" s="31">
        <f t="shared" si="58"/>
        <v>2.6269999999999998</v>
      </c>
      <c r="AB262" s="32">
        <f t="shared" si="59"/>
        <v>15.84</v>
      </c>
      <c r="AC262" s="28">
        <f t="shared" si="71"/>
        <v>17</v>
      </c>
      <c r="AD262" s="33">
        <f t="shared" si="60"/>
        <v>2.8260000000000001</v>
      </c>
      <c r="AE262" s="33">
        <f t="shared" si="61"/>
        <v>0</v>
      </c>
      <c r="AF262" s="25">
        <f t="shared" si="63"/>
        <v>205529.33</v>
      </c>
      <c r="AG262" s="25">
        <f t="shared" si="64"/>
        <v>15489.300000000017</v>
      </c>
      <c r="AH262" s="25">
        <f t="shared" si="65"/>
        <v>34793.71</v>
      </c>
      <c r="AI262" s="25">
        <f t="shared" si="66"/>
        <v>5953.5900000000038</v>
      </c>
      <c r="AJ262" s="25">
        <f t="shared" si="67"/>
        <v>37303.57</v>
      </c>
      <c r="AK262" s="25">
        <f t="shared" si="68"/>
        <v>2712.18</v>
      </c>
      <c r="AL262" s="25">
        <f t="shared" si="69"/>
        <v>4328.6499999999996</v>
      </c>
      <c r="AM262" s="23">
        <f t="shared" si="62"/>
        <v>306110.33</v>
      </c>
      <c r="AO262" s="23"/>
      <c r="AP262" s="23"/>
    </row>
    <row r="263" spans="1:42" x14ac:dyDescent="0.25">
      <c r="A263" t="s">
        <v>247</v>
      </c>
      <c r="B263" t="s">
        <v>543</v>
      </c>
      <c r="C263" s="25">
        <v>21.4</v>
      </c>
      <c r="D263" s="25">
        <v>0</v>
      </c>
      <c r="E263" s="25">
        <v>1.1479999999999999</v>
      </c>
      <c r="F263" s="25">
        <v>0</v>
      </c>
      <c r="G263" s="25">
        <v>3.5000000000000003E-2</v>
      </c>
      <c r="H263" s="25">
        <v>0</v>
      </c>
      <c r="I263" s="25">
        <v>0</v>
      </c>
      <c r="J263" s="25">
        <v>0</v>
      </c>
      <c r="K263" s="192">
        <v>1</v>
      </c>
      <c r="L263" s="192">
        <v>1</v>
      </c>
      <c r="M263" s="192">
        <v>0</v>
      </c>
      <c r="N263" s="278"/>
      <c r="O263" s="278"/>
      <c r="P263" s="278"/>
      <c r="Q263" s="278"/>
      <c r="R263" s="278"/>
      <c r="S263" s="278"/>
      <c r="T263" s="278"/>
      <c r="U263" s="278"/>
      <c r="V263" s="278"/>
      <c r="W263" s="278"/>
      <c r="X263" s="278"/>
      <c r="Y263" s="282">
        <f>VLOOKUP(A263,'3121% SY'!$A$3:$M$600,13,FALSE)</f>
        <v>7.999999999999996E-2</v>
      </c>
      <c r="Z263" s="30">
        <f t="shared" si="70"/>
        <v>3.0000000000000001E-3</v>
      </c>
      <c r="AA263" s="31">
        <f t="shared" si="58"/>
        <v>1.1509999999999998</v>
      </c>
      <c r="AB263" s="32">
        <f t="shared" si="59"/>
        <v>18.59</v>
      </c>
      <c r="AC263" s="28">
        <f t="shared" si="71"/>
        <v>18.59</v>
      </c>
      <c r="AD263" s="33">
        <f t="shared" si="60"/>
        <v>1.33</v>
      </c>
      <c r="AE263" s="33">
        <f t="shared" si="61"/>
        <v>0</v>
      </c>
      <c r="AF263" s="25">
        <f t="shared" si="63"/>
        <v>96728.24</v>
      </c>
      <c r="AG263" s="25">
        <f t="shared" si="64"/>
        <v>7289.7299999999959</v>
      </c>
      <c r="AH263" s="25">
        <f t="shared" si="65"/>
        <v>16374.96</v>
      </c>
      <c r="AI263" s="25">
        <f t="shared" si="66"/>
        <v>2801.9400000000023</v>
      </c>
      <c r="AJ263" s="25">
        <f t="shared" si="67"/>
        <v>17556.18</v>
      </c>
      <c r="AK263" s="25">
        <f t="shared" si="68"/>
        <v>1276.43</v>
      </c>
      <c r="AL263" s="25">
        <f t="shared" si="69"/>
        <v>2037.19</v>
      </c>
      <c r="AM263" s="23">
        <f t="shared" si="62"/>
        <v>144064.66999999998</v>
      </c>
      <c r="AO263" s="23"/>
      <c r="AP263" s="23"/>
    </row>
    <row r="264" spans="1:42" x14ac:dyDescent="0.25">
      <c r="A264" t="s">
        <v>248</v>
      </c>
      <c r="B264" t="s">
        <v>544</v>
      </c>
      <c r="C264" s="25">
        <v>25</v>
      </c>
      <c r="D264" s="25">
        <v>8.4</v>
      </c>
      <c r="E264" s="25">
        <v>2</v>
      </c>
      <c r="F264" s="25">
        <v>0.5</v>
      </c>
      <c r="G264" s="25">
        <v>0.4</v>
      </c>
      <c r="H264" s="25">
        <v>0</v>
      </c>
      <c r="I264" s="25">
        <v>0</v>
      </c>
      <c r="J264" s="25">
        <v>0</v>
      </c>
      <c r="K264" s="192">
        <v>1</v>
      </c>
      <c r="L264" s="192">
        <v>1</v>
      </c>
      <c r="M264" s="192">
        <v>0</v>
      </c>
      <c r="N264" s="278"/>
      <c r="O264" s="278"/>
      <c r="P264" s="278"/>
      <c r="Q264" s="278"/>
      <c r="R264" s="278"/>
      <c r="S264" s="278"/>
      <c r="T264" s="278"/>
      <c r="U264" s="278"/>
      <c r="V264" s="278"/>
      <c r="W264" s="278"/>
      <c r="X264" s="278"/>
      <c r="Y264" s="282">
        <f>VLOOKUP(A264,'3121% SY'!$A$3:$M$600,13,FALSE)</f>
        <v>0.13859999999999995</v>
      </c>
      <c r="Z264" s="30">
        <f t="shared" si="70"/>
        <v>5.5E-2</v>
      </c>
      <c r="AA264" s="31">
        <f t="shared" si="58"/>
        <v>2.5550000000000002</v>
      </c>
      <c r="AB264" s="32">
        <f t="shared" si="59"/>
        <v>13.07</v>
      </c>
      <c r="AC264" s="28">
        <f t="shared" si="71"/>
        <v>17</v>
      </c>
      <c r="AD264" s="33">
        <f t="shared" si="60"/>
        <v>1.6990000000000001</v>
      </c>
      <c r="AE264" s="33">
        <f t="shared" si="61"/>
        <v>0.57099999999999995</v>
      </c>
      <c r="AF264" s="25">
        <f t="shared" si="63"/>
        <v>165092.56</v>
      </c>
      <c r="AG264" s="25">
        <f t="shared" si="64"/>
        <v>12441.869999999995</v>
      </c>
      <c r="AH264" s="25">
        <f t="shared" si="65"/>
        <v>27948.240000000002</v>
      </c>
      <c r="AI264" s="25">
        <f t="shared" si="66"/>
        <v>4782.25</v>
      </c>
      <c r="AJ264" s="25">
        <f t="shared" si="67"/>
        <v>29964.3</v>
      </c>
      <c r="AK264" s="25">
        <f t="shared" si="68"/>
        <v>2178.5700000000002</v>
      </c>
      <c r="AL264" s="25">
        <f t="shared" si="69"/>
        <v>3477.01</v>
      </c>
      <c r="AM264" s="23">
        <f t="shared" si="62"/>
        <v>245884.79999999999</v>
      </c>
      <c r="AO264" s="23"/>
      <c r="AP264" s="23"/>
    </row>
    <row r="265" spans="1:42" x14ac:dyDescent="0.25">
      <c r="A265" t="s">
        <v>249</v>
      </c>
      <c r="B265" t="s">
        <v>545</v>
      </c>
      <c r="C265" s="25">
        <v>126.8</v>
      </c>
      <c r="D265" s="25">
        <v>0</v>
      </c>
      <c r="E265" s="25">
        <v>9.27</v>
      </c>
      <c r="F265" s="25">
        <v>0</v>
      </c>
      <c r="G265" s="25">
        <v>0.7</v>
      </c>
      <c r="H265" s="25">
        <v>0</v>
      </c>
      <c r="I265" s="25">
        <v>0</v>
      </c>
      <c r="J265" s="25">
        <v>0</v>
      </c>
      <c r="K265" s="192">
        <v>1</v>
      </c>
      <c r="L265" s="192">
        <v>1</v>
      </c>
      <c r="M265" s="192">
        <v>0</v>
      </c>
      <c r="N265" s="278"/>
      <c r="O265" s="278"/>
      <c r="P265" s="278"/>
      <c r="Q265" s="278"/>
      <c r="R265" s="278"/>
      <c r="S265" s="278"/>
      <c r="T265" s="278"/>
      <c r="U265" s="278"/>
      <c r="V265" s="278"/>
      <c r="W265" s="278"/>
      <c r="X265" s="278"/>
      <c r="Y265" s="282">
        <f>VLOOKUP(A265,'3121% SY'!$A$3:$M$600,13,FALSE)</f>
        <v>0.16839999999999999</v>
      </c>
      <c r="Z265" s="30">
        <f t="shared" si="70"/>
        <v>0.11799999999999999</v>
      </c>
      <c r="AA265" s="31">
        <f t="shared" si="58"/>
        <v>9.3879999999999999</v>
      </c>
      <c r="AB265" s="32">
        <f t="shared" si="59"/>
        <v>13.51</v>
      </c>
      <c r="AC265" s="28">
        <f t="shared" si="71"/>
        <v>17</v>
      </c>
      <c r="AD265" s="33">
        <f t="shared" si="60"/>
        <v>8.6150000000000002</v>
      </c>
      <c r="AE265" s="33">
        <f t="shared" si="61"/>
        <v>0</v>
      </c>
      <c r="AF265" s="25">
        <f t="shared" si="63"/>
        <v>626551.72</v>
      </c>
      <c r="AG265" s="25">
        <f t="shared" si="64"/>
        <v>47218.820000000065</v>
      </c>
      <c r="AH265" s="25">
        <f t="shared" si="65"/>
        <v>106067.88</v>
      </c>
      <c r="AI265" s="25">
        <f t="shared" si="66"/>
        <v>18149.39</v>
      </c>
      <c r="AJ265" s="25">
        <f t="shared" si="67"/>
        <v>113719.14</v>
      </c>
      <c r="AK265" s="25">
        <f t="shared" si="68"/>
        <v>8268.02</v>
      </c>
      <c r="AL265" s="25">
        <f t="shared" si="69"/>
        <v>13195.8</v>
      </c>
      <c r="AM265" s="23">
        <f t="shared" si="62"/>
        <v>933170.77000000014</v>
      </c>
      <c r="AO265" s="23"/>
      <c r="AP265" s="23"/>
    </row>
    <row r="266" spans="1:42" x14ac:dyDescent="0.25">
      <c r="A266" t="s">
        <v>250</v>
      </c>
      <c r="B266" t="s">
        <v>546</v>
      </c>
      <c r="C266" s="25">
        <v>40.200000000000003</v>
      </c>
      <c r="D266" s="25">
        <v>0</v>
      </c>
      <c r="E266" s="25">
        <v>3.444</v>
      </c>
      <c r="F266" s="25">
        <v>0</v>
      </c>
      <c r="G266" s="25">
        <v>0.44400000000000001</v>
      </c>
      <c r="H266" s="25">
        <v>0</v>
      </c>
      <c r="I266" s="25">
        <v>0</v>
      </c>
      <c r="J266" s="25">
        <v>0</v>
      </c>
      <c r="K266" s="192">
        <v>1</v>
      </c>
      <c r="L266" s="192">
        <v>1</v>
      </c>
      <c r="M266" s="192">
        <v>0</v>
      </c>
      <c r="N266" s="278"/>
      <c r="O266" s="278"/>
      <c r="P266" s="278"/>
      <c r="Q266" s="278"/>
      <c r="R266" s="278"/>
      <c r="S266" s="278"/>
      <c r="T266" s="278"/>
      <c r="U266" s="278"/>
      <c r="V266" s="278"/>
      <c r="W266" s="278"/>
      <c r="X266" s="278"/>
      <c r="Y266" s="282">
        <f>VLOOKUP(A266,'3121% SY'!$A$3:$M$600,13,FALSE)</f>
        <v>0.15839999999999999</v>
      </c>
      <c r="Z266" s="30">
        <f t="shared" si="70"/>
        <v>7.0000000000000007E-2</v>
      </c>
      <c r="AA266" s="31">
        <f t="shared" si="58"/>
        <v>3.5139999999999998</v>
      </c>
      <c r="AB266" s="32">
        <f t="shared" si="59"/>
        <v>11.44</v>
      </c>
      <c r="AC266" s="28">
        <f t="shared" si="71"/>
        <v>17</v>
      </c>
      <c r="AD266" s="33">
        <f t="shared" si="60"/>
        <v>2.7309999999999999</v>
      </c>
      <c r="AE266" s="33">
        <f t="shared" si="61"/>
        <v>0</v>
      </c>
      <c r="AF266" s="25">
        <f t="shared" si="63"/>
        <v>198620.17</v>
      </c>
      <c r="AG266" s="25">
        <f t="shared" si="64"/>
        <v>14968.609999999986</v>
      </c>
      <c r="AH266" s="25">
        <f t="shared" si="65"/>
        <v>33624.07</v>
      </c>
      <c r="AI266" s="25">
        <f t="shared" si="66"/>
        <v>5753.4499999999971</v>
      </c>
      <c r="AJ266" s="25">
        <f t="shared" si="67"/>
        <v>36049.56</v>
      </c>
      <c r="AK266" s="25">
        <f t="shared" si="68"/>
        <v>2621</v>
      </c>
      <c r="AL266" s="25">
        <f t="shared" si="69"/>
        <v>4183.1400000000003</v>
      </c>
      <c r="AM266" s="23">
        <f t="shared" si="62"/>
        <v>295820</v>
      </c>
      <c r="AO266" s="23"/>
      <c r="AP266" s="23"/>
    </row>
    <row r="267" spans="1:42" x14ac:dyDescent="0.25">
      <c r="A267" t="s">
        <v>251</v>
      </c>
      <c r="B267" t="s">
        <v>547</v>
      </c>
      <c r="C267" s="25">
        <v>170.98</v>
      </c>
      <c r="D267" s="25">
        <v>17.8</v>
      </c>
      <c r="E267" s="25">
        <v>12.867000000000001</v>
      </c>
      <c r="F267" s="25">
        <v>0</v>
      </c>
      <c r="G267" s="25">
        <v>1.08</v>
      </c>
      <c r="H267" s="25">
        <v>0</v>
      </c>
      <c r="I267" s="25">
        <v>0</v>
      </c>
      <c r="J267" s="25">
        <v>0</v>
      </c>
      <c r="K267" s="192">
        <v>1</v>
      </c>
      <c r="L267" s="192">
        <v>1</v>
      </c>
      <c r="M267" s="192">
        <v>1.0000000000000009E-2</v>
      </c>
      <c r="N267" s="278"/>
      <c r="O267" s="278"/>
      <c r="P267" s="278"/>
      <c r="Q267" s="278"/>
      <c r="R267" s="278"/>
      <c r="S267" s="278"/>
      <c r="T267" s="278"/>
      <c r="U267" s="278"/>
      <c r="V267" s="278"/>
      <c r="W267" s="278"/>
      <c r="X267" s="278"/>
      <c r="Y267" s="282">
        <f>VLOOKUP(A267,'3121% SY'!$A$3:$M$600,13,FALSE)</f>
        <v>0.21650000000000003</v>
      </c>
      <c r="Z267" s="30">
        <f t="shared" si="70"/>
        <v>0.23400000000000001</v>
      </c>
      <c r="AA267" s="31">
        <f t="shared" si="58"/>
        <v>13.101000000000001</v>
      </c>
      <c r="AB267" s="32">
        <f t="shared" si="59"/>
        <v>14.41</v>
      </c>
      <c r="AC267" s="28">
        <f t="shared" si="71"/>
        <v>17</v>
      </c>
      <c r="AD267" s="33">
        <f t="shared" si="60"/>
        <v>11.617000000000001</v>
      </c>
      <c r="AE267" s="33">
        <f t="shared" si="61"/>
        <v>1.2090000000000001</v>
      </c>
      <c r="AF267" s="25">
        <f t="shared" si="63"/>
        <v>932809.33</v>
      </c>
      <c r="AG267" s="25">
        <f t="shared" si="64"/>
        <v>80330.390000000014</v>
      </c>
      <c r="AH267" s="25">
        <f t="shared" si="65"/>
        <v>157913.71</v>
      </c>
      <c r="AI267" s="25">
        <f t="shared" si="66"/>
        <v>27020.790000000008</v>
      </c>
      <c r="AJ267" s="25">
        <f t="shared" si="67"/>
        <v>169304.89</v>
      </c>
      <c r="AK267" s="25">
        <f t="shared" si="68"/>
        <v>14065.85</v>
      </c>
      <c r="AL267" s="25">
        <f t="shared" si="69"/>
        <v>19842.34</v>
      </c>
      <c r="AM267" s="23">
        <f t="shared" si="62"/>
        <v>1401287.3</v>
      </c>
      <c r="AO267" s="23"/>
      <c r="AP267" s="23"/>
    </row>
    <row r="268" spans="1:42" x14ac:dyDescent="0.25">
      <c r="A268" t="s">
        <v>252</v>
      </c>
      <c r="B268" t="s">
        <v>548</v>
      </c>
      <c r="C268" s="25">
        <v>1651.27</v>
      </c>
      <c r="D268" s="25">
        <v>33.799999999999997</v>
      </c>
      <c r="E268" s="25">
        <v>80.569999999999993</v>
      </c>
      <c r="F268" s="25">
        <v>2</v>
      </c>
      <c r="G268" s="25">
        <v>10.746</v>
      </c>
      <c r="H268" s="25">
        <v>0</v>
      </c>
      <c r="I268" s="25">
        <v>0</v>
      </c>
      <c r="J268" s="25">
        <v>1.82</v>
      </c>
      <c r="K268" s="192">
        <v>1.06</v>
      </c>
      <c r="L268" s="192">
        <v>1.06</v>
      </c>
      <c r="M268" s="192">
        <v>0</v>
      </c>
      <c r="N268" s="278"/>
      <c r="O268" s="278"/>
      <c r="P268" s="278"/>
      <c r="Q268" s="278"/>
      <c r="R268" s="278"/>
      <c r="S268" s="278"/>
      <c r="T268" s="278"/>
      <c r="U268" s="278"/>
      <c r="V268" s="278"/>
      <c r="W268" s="278"/>
      <c r="X268" s="278"/>
      <c r="Y268" s="282">
        <f>VLOOKUP(A268,'3121% SY'!$A$3:$M$600,13,FALSE)</f>
        <v>0.24760000000000004</v>
      </c>
      <c r="Z268" s="30">
        <f t="shared" si="70"/>
        <v>3.1120000000000001</v>
      </c>
      <c r="AA268" s="31">
        <f t="shared" si="58"/>
        <v>85.681999999999988</v>
      </c>
      <c r="AB268" s="32">
        <f t="shared" si="59"/>
        <v>19.670000000000002</v>
      </c>
      <c r="AC268" s="28">
        <f t="shared" si="71"/>
        <v>19.670000000000002</v>
      </c>
      <c r="AD268" s="33">
        <f t="shared" si="60"/>
        <v>96.960999999999999</v>
      </c>
      <c r="AE268" s="33">
        <f t="shared" si="61"/>
        <v>1.9850000000000001</v>
      </c>
      <c r="AF268" s="25">
        <f t="shared" si="63"/>
        <v>7627913.3700000001</v>
      </c>
      <c r="AG268" s="25">
        <f t="shared" si="64"/>
        <v>574862.41000000015</v>
      </c>
      <c r="AH268" s="25">
        <f t="shared" si="65"/>
        <v>1218223.1499999999</v>
      </c>
      <c r="AI268" s="25">
        <f t="shared" si="66"/>
        <v>208451.52000000002</v>
      </c>
      <c r="AJ268" s="25">
        <f t="shared" si="67"/>
        <v>1384466.28</v>
      </c>
      <c r="AK268" s="25">
        <f t="shared" si="68"/>
        <v>100658.41</v>
      </c>
      <c r="AL268" s="25">
        <f t="shared" si="69"/>
        <v>160651.35999999999</v>
      </c>
      <c r="AM268" s="23">
        <f t="shared" si="62"/>
        <v>11275226.499999998</v>
      </c>
      <c r="AO268" s="23"/>
      <c r="AP268" s="23"/>
    </row>
    <row r="269" spans="1:42" x14ac:dyDescent="0.25">
      <c r="A269" t="s">
        <v>253</v>
      </c>
      <c r="B269" t="s">
        <v>549</v>
      </c>
      <c r="C269" s="25">
        <v>4355.53</v>
      </c>
      <c r="D269" s="25">
        <v>83.8</v>
      </c>
      <c r="E269" s="25">
        <v>244.45699999999999</v>
      </c>
      <c r="F269" s="25">
        <v>8</v>
      </c>
      <c r="G269" s="25">
        <v>37.186999999999998</v>
      </c>
      <c r="H269" s="25">
        <v>0</v>
      </c>
      <c r="I269" s="25">
        <v>0</v>
      </c>
      <c r="J269" s="25">
        <v>0</v>
      </c>
      <c r="K269" s="192">
        <v>1</v>
      </c>
      <c r="L269" s="192">
        <v>1</v>
      </c>
      <c r="M269" s="192">
        <v>0</v>
      </c>
      <c r="N269" s="278"/>
      <c r="O269" s="278"/>
      <c r="P269" s="278"/>
      <c r="Q269" s="278"/>
      <c r="R269" s="278"/>
      <c r="S269" s="278"/>
      <c r="T269" s="278"/>
      <c r="U269" s="278"/>
      <c r="V269" s="278"/>
      <c r="W269" s="278"/>
      <c r="X269" s="278"/>
      <c r="Y269" s="282">
        <f>VLOOKUP(A269,'3121% SY'!$A$3:$M$600,13,FALSE)</f>
        <v>0.25949999999999995</v>
      </c>
      <c r="Z269" s="30">
        <f t="shared" si="70"/>
        <v>9.65</v>
      </c>
      <c r="AA269" s="31">
        <f t="shared" si="58"/>
        <v>262.10699999999997</v>
      </c>
      <c r="AB269" s="32">
        <f t="shared" si="59"/>
        <v>16.940000000000001</v>
      </c>
      <c r="AC269" s="28">
        <f t="shared" si="71"/>
        <v>17</v>
      </c>
      <c r="AD269" s="33">
        <f t="shared" si="60"/>
        <v>295.92</v>
      </c>
      <c r="AE269" s="33">
        <f t="shared" si="61"/>
        <v>5.6929999999999996</v>
      </c>
      <c r="AF269" s="25">
        <f t="shared" si="63"/>
        <v>21935710.260000002</v>
      </c>
      <c r="AG269" s="25">
        <f t="shared" si="64"/>
        <v>1653140.8599999994</v>
      </c>
      <c r="AH269" s="25">
        <f t="shared" si="65"/>
        <v>3713459.26</v>
      </c>
      <c r="AI269" s="25">
        <f t="shared" si="66"/>
        <v>635414.1400000006</v>
      </c>
      <c r="AJ269" s="25">
        <f t="shared" si="67"/>
        <v>3981331.41</v>
      </c>
      <c r="AK269" s="25">
        <f t="shared" si="68"/>
        <v>289464.96000000002</v>
      </c>
      <c r="AL269" s="25">
        <f t="shared" si="69"/>
        <v>461987.65</v>
      </c>
      <c r="AM269" s="23">
        <f t="shared" si="62"/>
        <v>32670508.540000003</v>
      </c>
      <c r="AO269" s="23"/>
      <c r="AP269" s="23"/>
    </row>
    <row r="270" spans="1:42" x14ac:dyDescent="0.25">
      <c r="A270" t="s">
        <v>254</v>
      </c>
      <c r="B270" t="s">
        <v>550</v>
      </c>
      <c r="C270" s="25">
        <v>1780.65</v>
      </c>
      <c r="D270" s="25">
        <v>5.6</v>
      </c>
      <c r="E270" s="25">
        <v>101.62</v>
      </c>
      <c r="F270" s="25">
        <v>0</v>
      </c>
      <c r="G270" s="25">
        <v>8.3369999999999997</v>
      </c>
      <c r="H270" s="25">
        <v>0</v>
      </c>
      <c r="I270" s="25">
        <v>0</v>
      </c>
      <c r="J270" s="25">
        <v>0</v>
      </c>
      <c r="K270" s="192">
        <v>1</v>
      </c>
      <c r="L270" s="192">
        <v>1</v>
      </c>
      <c r="M270" s="192">
        <v>0</v>
      </c>
      <c r="N270" s="278"/>
      <c r="O270" s="278"/>
      <c r="P270" s="278"/>
      <c r="Q270" s="278"/>
      <c r="R270" s="278"/>
      <c r="S270" s="278"/>
      <c r="T270" s="278"/>
      <c r="U270" s="278"/>
      <c r="V270" s="278"/>
      <c r="W270" s="278"/>
      <c r="X270" s="278"/>
      <c r="Y270" s="282">
        <f>VLOOKUP(A270,'3121% SY'!$A$3:$M$600,13,FALSE)</f>
        <v>0.2641</v>
      </c>
      <c r="Z270" s="30">
        <f t="shared" si="70"/>
        <v>2.202</v>
      </c>
      <c r="AA270" s="31">
        <f t="shared" si="58"/>
        <v>103.822</v>
      </c>
      <c r="AB270" s="32">
        <f t="shared" si="59"/>
        <v>17.2</v>
      </c>
      <c r="AC270" s="28">
        <f t="shared" si="71"/>
        <v>17.2</v>
      </c>
      <c r="AD270" s="33">
        <f t="shared" si="60"/>
        <v>119.57299999999999</v>
      </c>
      <c r="AE270" s="33">
        <f t="shared" si="61"/>
        <v>0.376</v>
      </c>
      <c r="AF270" s="25">
        <f t="shared" si="63"/>
        <v>8723650.8699999992</v>
      </c>
      <c r="AG270" s="25">
        <f t="shared" si="64"/>
        <v>657440.47000000067</v>
      </c>
      <c r="AH270" s="25">
        <f t="shared" si="65"/>
        <v>1476812.09</v>
      </c>
      <c r="AI270" s="25">
        <f t="shared" si="66"/>
        <v>252698.95999999996</v>
      </c>
      <c r="AJ270" s="25">
        <f t="shared" si="67"/>
        <v>1583342.63</v>
      </c>
      <c r="AK270" s="25">
        <f t="shared" si="68"/>
        <v>115117.83</v>
      </c>
      <c r="AL270" s="25">
        <f t="shared" si="69"/>
        <v>183728.67</v>
      </c>
      <c r="AM270" s="23">
        <f t="shared" si="62"/>
        <v>12992791.52</v>
      </c>
      <c r="AO270" s="23"/>
      <c r="AP270" s="23"/>
    </row>
    <row r="271" spans="1:42" x14ac:dyDescent="0.25">
      <c r="A271" t="s">
        <v>255</v>
      </c>
      <c r="B271" t="s">
        <v>551</v>
      </c>
      <c r="C271" s="25">
        <v>2332.4899999999998</v>
      </c>
      <c r="D271" s="25">
        <v>31.6</v>
      </c>
      <c r="E271" s="25">
        <v>126.81399999999999</v>
      </c>
      <c r="F271" s="25">
        <v>2</v>
      </c>
      <c r="G271" s="25">
        <v>17.483000000000001</v>
      </c>
      <c r="H271" s="25">
        <v>0</v>
      </c>
      <c r="I271" s="25">
        <v>0</v>
      </c>
      <c r="J271" s="25">
        <v>0.93899999999999995</v>
      </c>
      <c r="K271" s="192">
        <v>1</v>
      </c>
      <c r="L271" s="192">
        <v>1</v>
      </c>
      <c r="M271" s="192">
        <v>4.0000000000000036E-2</v>
      </c>
      <c r="N271" s="278"/>
      <c r="O271" s="278"/>
      <c r="P271" s="278"/>
      <c r="Q271" s="278"/>
      <c r="R271" s="278"/>
      <c r="S271" s="278"/>
      <c r="T271" s="278"/>
      <c r="U271" s="278"/>
      <c r="V271" s="278"/>
      <c r="W271" s="278"/>
      <c r="X271" s="278"/>
      <c r="Y271" s="282">
        <f>VLOOKUP(A271,'3121% SY'!$A$3:$M$600,13,FALSE)</f>
        <v>0.26419999999999999</v>
      </c>
      <c r="Z271" s="30">
        <f t="shared" si="70"/>
        <v>4.867</v>
      </c>
      <c r="AA271" s="31">
        <f t="shared" si="58"/>
        <v>133.68099999999998</v>
      </c>
      <c r="AB271" s="32">
        <f t="shared" si="59"/>
        <v>17.68</v>
      </c>
      <c r="AC271" s="28">
        <f t="shared" si="71"/>
        <v>17.68</v>
      </c>
      <c r="AD271" s="33">
        <f t="shared" si="60"/>
        <v>152.37700000000001</v>
      </c>
      <c r="AE271" s="33">
        <f t="shared" si="61"/>
        <v>2.0640000000000001</v>
      </c>
      <c r="AF271" s="25">
        <f t="shared" si="63"/>
        <v>11232185.050000001</v>
      </c>
      <c r="AG271" s="25">
        <f t="shared" si="64"/>
        <v>1329638.17</v>
      </c>
      <c r="AH271" s="25">
        <f t="shared" si="65"/>
        <v>1901477.59</v>
      </c>
      <c r="AI271" s="25">
        <f t="shared" si="66"/>
        <v>325363.94999999995</v>
      </c>
      <c r="AJ271" s="25">
        <f t="shared" si="67"/>
        <v>2038641.59</v>
      </c>
      <c r="AK271" s="25">
        <f t="shared" si="68"/>
        <v>232819.64</v>
      </c>
      <c r="AL271" s="25">
        <f t="shared" si="69"/>
        <v>246023.31</v>
      </c>
      <c r="AM271" s="23">
        <f t="shared" si="62"/>
        <v>17306149.300000001</v>
      </c>
      <c r="AO271" s="23"/>
      <c r="AP271" s="23"/>
    </row>
    <row r="272" spans="1:42" x14ac:dyDescent="0.25">
      <c r="A272" t="s">
        <v>256</v>
      </c>
      <c r="B272" t="s">
        <v>552</v>
      </c>
      <c r="C272" s="25">
        <v>291.63</v>
      </c>
      <c r="D272" s="25">
        <v>0</v>
      </c>
      <c r="E272" s="25">
        <v>17.687999999999999</v>
      </c>
      <c r="F272" s="25">
        <v>0</v>
      </c>
      <c r="G272" s="25">
        <v>1.34</v>
      </c>
      <c r="H272" s="25">
        <v>0</v>
      </c>
      <c r="I272" s="25">
        <v>0</v>
      </c>
      <c r="J272" s="25">
        <v>0</v>
      </c>
      <c r="K272" s="192">
        <v>1</v>
      </c>
      <c r="L272" s="192">
        <v>1</v>
      </c>
      <c r="M272" s="192">
        <v>0</v>
      </c>
      <c r="N272" s="278"/>
      <c r="O272" s="278"/>
      <c r="P272" s="278"/>
      <c r="Q272" s="278"/>
      <c r="R272" s="278"/>
      <c r="S272" s="278"/>
      <c r="T272" s="278"/>
      <c r="U272" s="278"/>
      <c r="V272" s="278"/>
      <c r="W272" s="278"/>
      <c r="X272" s="278"/>
      <c r="Y272" s="282">
        <f>VLOOKUP(A272,'3121% SY'!$A$3:$M$600,13,FALSE)</f>
        <v>0.23140000000000005</v>
      </c>
      <c r="Z272" s="30">
        <f t="shared" si="70"/>
        <v>0.31</v>
      </c>
      <c r="AA272" s="31">
        <f t="shared" si="58"/>
        <v>17.997999999999998</v>
      </c>
      <c r="AB272" s="32">
        <f t="shared" si="59"/>
        <v>16.2</v>
      </c>
      <c r="AC272" s="28">
        <f t="shared" si="71"/>
        <v>17</v>
      </c>
      <c r="AD272" s="33">
        <f t="shared" si="60"/>
        <v>19.814</v>
      </c>
      <c r="AE272" s="33">
        <f t="shared" si="61"/>
        <v>0</v>
      </c>
      <c r="AF272" s="25">
        <f t="shared" si="63"/>
        <v>1441032.59</v>
      </c>
      <c r="AG272" s="25">
        <f t="shared" si="64"/>
        <v>108600.5399999998</v>
      </c>
      <c r="AH272" s="25">
        <f t="shared" si="65"/>
        <v>243949.97</v>
      </c>
      <c r="AI272" s="25">
        <f t="shared" si="66"/>
        <v>41742.550000000017</v>
      </c>
      <c r="AJ272" s="25">
        <f t="shared" si="67"/>
        <v>261547.42</v>
      </c>
      <c r="AK272" s="25">
        <f t="shared" si="68"/>
        <v>19015.95</v>
      </c>
      <c r="AL272" s="25">
        <f t="shared" si="69"/>
        <v>30349.56</v>
      </c>
      <c r="AM272" s="23">
        <f t="shared" si="62"/>
        <v>2146238.58</v>
      </c>
      <c r="AO272" s="23"/>
      <c r="AP272" s="23"/>
    </row>
    <row r="273" spans="1:42" x14ac:dyDescent="0.25">
      <c r="A273" t="s">
        <v>257</v>
      </c>
      <c r="B273" t="s">
        <v>553</v>
      </c>
      <c r="C273" s="25">
        <v>234.15</v>
      </c>
      <c r="D273" s="25">
        <v>24.8</v>
      </c>
      <c r="E273" s="25">
        <v>12.601000000000001</v>
      </c>
      <c r="F273" s="25">
        <v>1.9259999999999999</v>
      </c>
      <c r="G273" s="25">
        <v>1.157</v>
      </c>
      <c r="H273" s="25">
        <v>0</v>
      </c>
      <c r="I273" s="25">
        <v>0</v>
      </c>
      <c r="J273" s="25">
        <v>0</v>
      </c>
      <c r="K273" s="192">
        <v>1</v>
      </c>
      <c r="L273" s="192">
        <v>1</v>
      </c>
      <c r="M273" s="192">
        <v>0</v>
      </c>
      <c r="N273" s="278"/>
      <c r="O273" s="278"/>
      <c r="P273" s="278"/>
      <c r="Q273" s="278"/>
      <c r="R273" s="278"/>
      <c r="S273" s="278"/>
      <c r="T273" s="278"/>
      <c r="U273" s="278"/>
      <c r="V273" s="278"/>
      <c r="W273" s="278"/>
      <c r="X273" s="278"/>
      <c r="Y273" s="282">
        <f>VLOOKUP(A273,'3121% SY'!$A$3:$M$600,13,FALSE)</f>
        <v>0.15300000000000002</v>
      </c>
      <c r="Z273" s="30">
        <f t="shared" si="70"/>
        <v>0.17699999999999999</v>
      </c>
      <c r="AA273" s="31">
        <f t="shared" si="58"/>
        <v>14.704000000000001</v>
      </c>
      <c r="AB273" s="32">
        <f t="shared" si="59"/>
        <v>17.61</v>
      </c>
      <c r="AC273" s="28">
        <f t="shared" si="71"/>
        <v>17.61</v>
      </c>
      <c r="AD273" s="33">
        <f t="shared" si="60"/>
        <v>15.356999999999999</v>
      </c>
      <c r="AE273" s="33">
        <f t="shared" si="61"/>
        <v>1.627</v>
      </c>
      <c r="AF273" s="25">
        <f t="shared" si="63"/>
        <v>1235212.3500000001</v>
      </c>
      <c r="AG273" s="25">
        <f t="shared" si="64"/>
        <v>93089.309999999823</v>
      </c>
      <c r="AH273" s="25">
        <f t="shared" si="65"/>
        <v>209107.01</v>
      </c>
      <c r="AI273" s="25">
        <f t="shared" si="66"/>
        <v>35780.53</v>
      </c>
      <c r="AJ273" s="25">
        <f t="shared" si="67"/>
        <v>224191.04</v>
      </c>
      <c r="AK273" s="25">
        <f t="shared" si="68"/>
        <v>16299.94</v>
      </c>
      <c r="AL273" s="25">
        <f t="shared" si="69"/>
        <v>26014.79</v>
      </c>
      <c r="AM273" s="23">
        <f t="shared" si="62"/>
        <v>1839694.97</v>
      </c>
      <c r="AO273" s="23"/>
      <c r="AP273" s="23"/>
    </row>
    <row r="274" spans="1:42" x14ac:dyDescent="0.25">
      <c r="A274" t="s">
        <v>258</v>
      </c>
      <c r="B274" t="s">
        <v>554</v>
      </c>
      <c r="C274" s="25">
        <v>599.91999999999996</v>
      </c>
      <c r="D274" s="25">
        <v>34.200000000000003</v>
      </c>
      <c r="E274" s="25">
        <v>34.273000000000003</v>
      </c>
      <c r="F274" s="25">
        <v>2</v>
      </c>
      <c r="G274" s="25">
        <v>2.1480000000000001</v>
      </c>
      <c r="H274" s="25">
        <v>0</v>
      </c>
      <c r="I274" s="25">
        <v>0</v>
      </c>
      <c r="J274" s="25">
        <v>0</v>
      </c>
      <c r="K274" s="192">
        <v>1</v>
      </c>
      <c r="L274" s="192">
        <v>1</v>
      </c>
      <c r="M274" s="192">
        <v>0</v>
      </c>
      <c r="N274" s="278"/>
      <c r="O274" s="278"/>
      <c r="P274" s="278"/>
      <c r="Q274" s="278"/>
      <c r="R274" s="278"/>
      <c r="S274" s="278"/>
      <c r="T274" s="278"/>
      <c r="U274" s="278"/>
      <c r="V274" s="278"/>
      <c r="W274" s="278"/>
      <c r="X274" s="278"/>
      <c r="Y274" s="282">
        <f>VLOOKUP(A274,'3121% SY'!$A$3:$M$600,13,FALSE)</f>
        <v>0.23409999999999997</v>
      </c>
      <c r="Z274" s="30">
        <f t="shared" si="70"/>
        <v>0.503</v>
      </c>
      <c r="AA274" s="31">
        <f t="shared" si="58"/>
        <v>36.776000000000003</v>
      </c>
      <c r="AB274" s="32">
        <f t="shared" si="59"/>
        <v>17.239999999999998</v>
      </c>
      <c r="AC274" s="28">
        <f t="shared" si="71"/>
        <v>17.239999999999998</v>
      </c>
      <c r="AD274" s="33">
        <f t="shared" si="60"/>
        <v>40.192</v>
      </c>
      <c r="AE274" s="33">
        <f t="shared" si="61"/>
        <v>2.2909999999999999</v>
      </c>
      <c r="AF274" s="25">
        <f t="shared" si="63"/>
        <v>3089703.62</v>
      </c>
      <c r="AG274" s="25">
        <f t="shared" si="64"/>
        <v>232849.33000000007</v>
      </c>
      <c r="AH274" s="25">
        <f t="shared" si="65"/>
        <v>523050.7</v>
      </c>
      <c r="AI274" s="25">
        <f t="shared" si="66"/>
        <v>89499.77999999997</v>
      </c>
      <c r="AJ274" s="25">
        <f t="shared" si="67"/>
        <v>560781.21</v>
      </c>
      <c r="AK274" s="25">
        <f t="shared" si="68"/>
        <v>40771.919999999998</v>
      </c>
      <c r="AL274" s="25">
        <f t="shared" si="69"/>
        <v>65072.2</v>
      </c>
      <c r="AM274" s="23">
        <f t="shared" si="62"/>
        <v>4601728.7600000007</v>
      </c>
      <c r="AO274" s="23"/>
      <c r="AP274" s="23"/>
    </row>
    <row r="275" spans="1:42" x14ac:dyDescent="0.25">
      <c r="A275" t="s">
        <v>259</v>
      </c>
      <c r="B275" t="s">
        <v>555</v>
      </c>
      <c r="C275" s="25">
        <v>381.81</v>
      </c>
      <c r="D275" s="25">
        <v>14.4</v>
      </c>
      <c r="E275" s="25">
        <v>21.885999999999999</v>
      </c>
      <c r="F275" s="25">
        <v>1</v>
      </c>
      <c r="G275" s="25">
        <v>3.6030000000000002</v>
      </c>
      <c r="H275" s="25">
        <v>0</v>
      </c>
      <c r="I275" s="25">
        <v>0</v>
      </c>
      <c r="J275" s="25">
        <v>0</v>
      </c>
      <c r="K275" s="192">
        <v>1</v>
      </c>
      <c r="L275" s="192">
        <v>1</v>
      </c>
      <c r="M275" s="192">
        <v>0</v>
      </c>
      <c r="N275" s="278"/>
      <c r="O275" s="278"/>
      <c r="P275" s="278"/>
      <c r="Q275" s="278"/>
      <c r="R275" s="278"/>
      <c r="S275" s="278"/>
      <c r="T275" s="278"/>
      <c r="U275" s="278"/>
      <c r="V275" s="278"/>
      <c r="W275" s="278"/>
      <c r="X275" s="278"/>
      <c r="Y275" s="282">
        <f>VLOOKUP(A275,'3121% SY'!$A$3:$M$600,13,FALSE)</f>
        <v>0.24870000000000003</v>
      </c>
      <c r="Z275" s="30">
        <f t="shared" si="70"/>
        <v>0.89600000000000002</v>
      </c>
      <c r="AA275" s="31">
        <f t="shared" si="58"/>
        <v>23.782</v>
      </c>
      <c r="AB275" s="32">
        <f t="shared" si="59"/>
        <v>16.66</v>
      </c>
      <c r="AC275" s="28">
        <f t="shared" si="71"/>
        <v>17</v>
      </c>
      <c r="AD275" s="33">
        <f t="shared" si="60"/>
        <v>25.940999999999999</v>
      </c>
      <c r="AE275" s="33">
        <f t="shared" si="61"/>
        <v>0.97799999999999998</v>
      </c>
      <c r="AF275" s="25">
        <f t="shared" si="63"/>
        <v>1957765.03</v>
      </c>
      <c r="AG275" s="25">
        <f t="shared" si="64"/>
        <v>147543.0399999998</v>
      </c>
      <c r="AH275" s="25">
        <f t="shared" si="65"/>
        <v>331426.73</v>
      </c>
      <c r="AI275" s="25">
        <f t="shared" si="66"/>
        <v>56710.790000000037</v>
      </c>
      <c r="AJ275" s="25">
        <f t="shared" si="67"/>
        <v>355334.35</v>
      </c>
      <c r="AK275" s="25">
        <f t="shared" si="68"/>
        <v>25834.79</v>
      </c>
      <c r="AL275" s="25">
        <f t="shared" si="69"/>
        <v>41232.46</v>
      </c>
      <c r="AM275" s="23">
        <f t="shared" si="62"/>
        <v>2915847.19</v>
      </c>
      <c r="AO275" s="23"/>
      <c r="AP275" s="23"/>
    </row>
    <row r="276" spans="1:42" x14ac:dyDescent="0.25">
      <c r="A276" t="s">
        <v>617</v>
      </c>
      <c r="B276" t="s">
        <v>618</v>
      </c>
      <c r="C276" s="25">
        <v>65.8</v>
      </c>
      <c r="D276" s="25">
        <v>0</v>
      </c>
      <c r="E276" s="25">
        <v>4</v>
      </c>
      <c r="F276" s="25">
        <v>0</v>
      </c>
      <c r="G276" s="25">
        <v>0.44500000000000001</v>
      </c>
      <c r="H276" s="25">
        <v>0</v>
      </c>
      <c r="I276" s="25">
        <v>0</v>
      </c>
      <c r="J276" s="25">
        <v>0</v>
      </c>
      <c r="K276" s="192">
        <v>1</v>
      </c>
      <c r="L276" s="192">
        <v>1</v>
      </c>
      <c r="M276" s="192">
        <v>0</v>
      </c>
      <c r="N276" s="278"/>
      <c r="O276" s="278"/>
      <c r="P276" s="278"/>
      <c r="Q276" s="278"/>
      <c r="R276" s="278"/>
      <c r="S276" s="278"/>
      <c r="T276" s="278"/>
      <c r="U276" s="278"/>
      <c r="V276" s="278"/>
      <c r="W276" s="278"/>
      <c r="X276" s="278"/>
      <c r="Y276" s="282">
        <f>VLOOKUP(A276,'3121% SY'!$A$3:$M$600,13,FALSE)</f>
        <v>0.19540000000000002</v>
      </c>
      <c r="Z276" s="30">
        <f t="shared" si="70"/>
        <v>8.6999999999999994E-2</v>
      </c>
      <c r="AA276" s="31">
        <f t="shared" si="58"/>
        <v>4.0869999999999997</v>
      </c>
      <c r="AB276" s="32">
        <f t="shared" si="59"/>
        <v>16.100000000000001</v>
      </c>
      <c r="AC276" s="28">
        <f t="shared" si="71"/>
        <v>17</v>
      </c>
      <c r="AD276" s="33">
        <f t="shared" si="60"/>
        <v>4.4710000000000001</v>
      </c>
      <c r="AE276" s="33">
        <f t="shared" si="61"/>
        <v>0</v>
      </c>
      <c r="AF276" s="25">
        <f t="shared" si="63"/>
        <v>325166.89</v>
      </c>
      <c r="AG276" s="25">
        <f t="shared" si="64"/>
        <v>24505.549999999988</v>
      </c>
      <c r="AH276" s="25">
        <f t="shared" si="65"/>
        <v>55046.95</v>
      </c>
      <c r="AI276" s="25">
        <f t="shared" si="66"/>
        <v>9419.1500000000015</v>
      </c>
      <c r="AJ276" s="25">
        <f t="shared" si="67"/>
        <v>59017.79</v>
      </c>
      <c r="AK276" s="25">
        <f t="shared" si="68"/>
        <v>4290.92</v>
      </c>
      <c r="AL276" s="25">
        <f t="shared" si="69"/>
        <v>6848.33</v>
      </c>
      <c r="AM276" s="23">
        <f t="shared" si="62"/>
        <v>484295.58</v>
      </c>
      <c r="AO276" s="23"/>
      <c r="AP276" s="23"/>
    </row>
    <row r="277" spans="1:42" x14ac:dyDescent="0.25">
      <c r="A277" t="s">
        <v>260</v>
      </c>
      <c r="B277" t="s">
        <v>556</v>
      </c>
      <c r="C277" s="25">
        <v>110.84</v>
      </c>
      <c r="D277" s="25">
        <v>0</v>
      </c>
      <c r="E277" s="25">
        <v>7.1219999999999999</v>
      </c>
      <c r="F277" s="25">
        <v>0</v>
      </c>
      <c r="G277" s="25">
        <v>0</v>
      </c>
      <c r="H277" s="25">
        <v>0</v>
      </c>
      <c r="I277" s="25">
        <v>0</v>
      </c>
      <c r="J277" s="25">
        <v>0</v>
      </c>
      <c r="K277" s="192">
        <v>1</v>
      </c>
      <c r="L277" s="192">
        <v>1</v>
      </c>
      <c r="M277" s="192">
        <v>4.0000000000000036E-2</v>
      </c>
      <c r="N277" s="278"/>
      <c r="O277" s="278"/>
      <c r="P277" s="278"/>
      <c r="Q277" s="278"/>
      <c r="R277" s="278"/>
      <c r="S277" s="278"/>
      <c r="T277" s="278"/>
      <c r="U277" s="278"/>
      <c r="V277" s="278"/>
      <c r="W277" s="278"/>
      <c r="X277" s="278"/>
      <c r="Y277" s="282">
        <f>VLOOKUP(A277,'3121% SY'!$A$3:$M$600,13,FALSE)</f>
        <v>0.19130000000000003</v>
      </c>
      <c r="Z277" s="30">
        <f t="shared" si="70"/>
        <v>0</v>
      </c>
      <c r="AA277" s="31">
        <f t="shared" si="58"/>
        <v>7.1219999999999999</v>
      </c>
      <c r="AB277" s="32">
        <f t="shared" si="59"/>
        <v>15.56</v>
      </c>
      <c r="AC277" s="28">
        <f t="shared" si="71"/>
        <v>17</v>
      </c>
      <c r="AD277" s="33">
        <f t="shared" si="60"/>
        <v>7.5309999999999997</v>
      </c>
      <c r="AE277" s="33">
        <f t="shared" si="61"/>
        <v>0</v>
      </c>
      <c r="AF277" s="25">
        <f t="shared" si="63"/>
        <v>547714.56999999995</v>
      </c>
      <c r="AG277" s="25">
        <f t="shared" si="64"/>
        <v>64837.090000000084</v>
      </c>
      <c r="AH277" s="25">
        <f t="shared" si="65"/>
        <v>92721.67</v>
      </c>
      <c r="AI277" s="25">
        <f t="shared" si="66"/>
        <v>15865.710000000006</v>
      </c>
      <c r="AJ277" s="25">
        <f t="shared" si="67"/>
        <v>99410.19</v>
      </c>
      <c r="AK277" s="25">
        <f t="shared" si="68"/>
        <v>11352.97</v>
      </c>
      <c r="AL277" s="25">
        <f t="shared" si="69"/>
        <v>11996.82</v>
      </c>
      <c r="AM277" s="23">
        <f t="shared" si="62"/>
        <v>843899.0199999999</v>
      </c>
      <c r="AO277" s="23"/>
      <c r="AP277" s="23"/>
    </row>
    <row r="278" spans="1:42" x14ac:dyDescent="0.25">
      <c r="A278" t="s">
        <v>261</v>
      </c>
      <c r="B278" t="s">
        <v>557</v>
      </c>
      <c r="C278" s="25">
        <v>10.6</v>
      </c>
      <c r="D278" s="25">
        <v>0</v>
      </c>
      <c r="E278" s="25">
        <v>1.25</v>
      </c>
      <c r="F278" s="25">
        <v>0</v>
      </c>
      <c r="G278" s="25">
        <v>0</v>
      </c>
      <c r="H278" s="25">
        <v>0</v>
      </c>
      <c r="I278" s="25">
        <v>0</v>
      </c>
      <c r="J278" s="25">
        <v>0</v>
      </c>
      <c r="K278" s="192">
        <v>1</v>
      </c>
      <c r="L278" s="192">
        <v>1</v>
      </c>
      <c r="M278" s="192">
        <v>4.0000000000000036E-2</v>
      </c>
      <c r="N278" s="278"/>
      <c r="O278" s="278"/>
      <c r="P278" s="278"/>
      <c r="Q278" s="278"/>
      <c r="R278" s="278"/>
      <c r="S278" s="278"/>
      <c r="T278" s="278"/>
      <c r="U278" s="278"/>
      <c r="V278" s="278"/>
      <c r="W278" s="278"/>
      <c r="X278" s="278"/>
      <c r="Y278" s="282">
        <f>VLOOKUP(A278,'3121% SY'!$A$3:$M$600,13,FALSE)</f>
        <v>0.19130000000000003</v>
      </c>
      <c r="Z278" s="30">
        <f t="shared" si="70"/>
        <v>0</v>
      </c>
      <c r="AA278" s="31">
        <f t="shared" si="58"/>
        <v>1.25</v>
      </c>
      <c r="AB278" s="32">
        <f t="shared" si="59"/>
        <v>8.48</v>
      </c>
      <c r="AC278" s="28">
        <f t="shared" si="71"/>
        <v>17</v>
      </c>
      <c r="AD278" s="33">
        <f t="shared" si="60"/>
        <v>0.72</v>
      </c>
      <c r="AE278" s="33">
        <f t="shared" si="61"/>
        <v>0</v>
      </c>
      <c r="AF278" s="25">
        <f t="shared" si="63"/>
        <v>52364.160000000003</v>
      </c>
      <c r="AG278" s="25">
        <f t="shared" si="64"/>
        <v>6198.739999999998</v>
      </c>
      <c r="AH278" s="25">
        <f t="shared" si="65"/>
        <v>8864.64</v>
      </c>
      <c r="AI278" s="25">
        <f t="shared" si="66"/>
        <v>1516.8400000000001</v>
      </c>
      <c r="AJ278" s="25">
        <f t="shared" si="67"/>
        <v>9504.1</v>
      </c>
      <c r="AK278" s="25">
        <f t="shared" si="68"/>
        <v>1085.4000000000001</v>
      </c>
      <c r="AL278" s="25">
        <f t="shared" si="69"/>
        <v>1146.95</v>
      </c>
      <c r="AM278" s="23">
        <f t="shared" si="62"/>
        <v>80680.83</v>
      </c>
      <c r="AO278" s="23"/>
      <c r="AP278" s="23"/>
    </row>
    <row r="279" spans="1:42" x14ac:dyDescent="0.25">
      <c r="A279" t="s">
        <v>262</v>
      </c>
      <c r="B279" t="s">
        <v>558</v>
      </c>
      <c r="C279" s="25">
        <v>1337.2</v>
      </c>
      <c r="D279" s="25">
        <v>85.83</v>
      </c>
      <c r="E279" s="25">
        <v>80.861999999999995</v>
      </c>
      <c r="F279" s="25">
        <v>5</v>
      </c>
      <c r="G279" s="25">
        <v>11.326000000000001</v>
      </c>
      <c r="H279" s="25">
        <v>0</v>
      </c>
      <c r="I279" s="25">
        <v>0</v>
      </c>
      <c r="J279" s="25">
        <v>0</v>
      </c>
      <c r="K279" s="192">
        <v>1</v>
      </c>
      <c r="L279" s="192">
        <v>1</v>
      </c>
      <c r="M279" s="192">
        <v>1.0000000000000009E-2</v>
      </c>
      <c r="N279" s="278"/>
      <c r="O279" s="278"/>
      <c r="P279" s="278"/>
      <c r="Q279" s="278"/>
      <c r="R279" s="278"/>
      <c r="S279" s="278"/>
      <c r="T279" s="278"/>
      <c r="U279" s="278"/>
      <c r="V279" s="278"/>
      <c r="W279" s="278"/>
      <c r="X279" s="278"/>
      <c r="Y279" s="282">
        <f>VLOOKUP(A279,'3121% SY'!$A$3:$M$600,13,FALSE)</f>
        <v>0.22529999999999994</v>
      </c>
      <c r="Z279" s="30">
        <f t="shared" si="70"/>
        <v>2.552</v>
      </c>
      <c r="AA279" s="31">
        <f t="shared" si="58"/>
        <v>88.414000000000001</v>
      </c>
      <c r="AB279" s="32">
        <f t="shared" si="59"/>
        <v>16.100000000000001</v>
      </c>
      <c r="AC279" s="28">
        <f t="shared" si="71"/>
        <v>17</v>
      </c>
      <c r="AD279" s="33">
        <f t="shared" si="60"/>
        <v>90.850999999999999</v>
      </c>
      <c r="AE279" s="33">
        <f t="shared" si="61"/>
        <v>5.8310000000000004</v>
      </c>
      <c r="AF279" s="25">
        <f t="shared" si="63"/>
        <v>7031488.5</v>
      </c>
      <c r="AG279" s="25">
        <f t="shared" si="64"/>
        <v>605528.05999999959</v>
      </c>
      <c r="AH279" s="25">
        <f t="shared" si="65"/>
        <v>1190348.78</v>
      </c>
      <c r="AI279" s="25">
        <f t="shared" si="66"/>
        <v>203681.90999999992</v>
      </c>
      <c r="AJ279" s="25">
        <f t="shared" si="67"/>
        <v>1276215.1599999999</v>
      </c>
      <c r="AK279" s="25">
        <f t="shared" si="68"/>
        <v>106027.96</v>
      </c>
      <c r="AL279" s="25">
        <f t="shared" si="69"/>
        <v>149570.97</v>
      </c>
      <c r="AM279" s="23">
        <f t="shared" si="62"/>
        <v>10562861.340000002</v>
      </c>
      <c r="AO279" s="23"/>
      <c r="AP279" s="23"/>
    </row>
    <row r="280" spans="1:42" x14ac:dyDescent="0.25">
      <c r="A280" t="s">
        <v>263</v>
      </c>
      <c r="B280" t="s">
        <v>559</v>
      </c>
      <c r="C280" s="25">
        <v>398.47</v>
      </c>
      <c r="D280" s="25">
        <v>15.6</v>
      </c>
      <c r="E280" s="25">
        <v>27.32</v>
      </c>
      <c r="F280" s="25">
        <v>1</v>
      </c>
      <c r="G280" s="25">
        <v>3.2730000000000001</v>
      </c>
      <c r="H280" s="25">
        <v>0</v>
      </c>
      <c r="I280" s="25">
        <v>0</v>
      </c>
      <c r="J280" s="25">
        <v>0</v>
      </c>
      <c r="K280" s="192">
        <v>1</v>
      </c>
      <c r="L280" s="192">
        <v>1</v>
      </c>
      <c r="M280" s="192">
        <v>0</v>
      </c>
      <c r="N280" s="278"/>
      <c r="O280" s="278"/>
      <c r="P280" s="278"/>
      <c r="Q280" s="278"/>
      <c r="R280" s="278"/>
      <c r="S280" s="278"/>
      <c r="T280" s="278"/>
      <c r="U280" s="278"/>
      <c r="V280" s="278"/>
      <c r="W280" s="278"/>
      <c r="X280" s="278"/>
      <c r="Y280" s="282">
        <f>VLOOKUP(A280,'3121% SY'!$A$3:$M$600,13,FALSE)</f>
        <v>0.27229999999999999</v>
      </c>
      <c r="Z280" s="30">
        <f t="shared" si="70"/>
        <v>0.89100000000000001</v>
      </c>
      <c r="AA280" s="31">
        <f t="shared" si="58"/>
        <v>29.210999999999999</v>
      </c>
      <c r="AB280" s="32">
        <f t="shared" si="59"/>
        <v>14.18</v>
      </c>
      <c r="AC280" s="28">
        <f t="shared" si="71"/>
        <v>17</v>
      </c>
      <c r="AD280" s="33">
        <f t="shared" si="60"/>
        <v>27.073</v>
      </c>
      <c r="AE280" s="33">
        <f t="shared" si="61"/>
        <v>1.06</v>
      </c>
      <c r="AF280" s="25">
        <f t="shared" si="63"/>
        <v>2046056.82</v>
      </c>
      <c r="AG280" s="25">
        <f t="shared" si="64"/>
        <v>154196.97999999975</v>
      </c>
      <c r="AH280" s="25">
        <f t="shared" si="65"/>
        <v>346373.5</v>
      </c>
      <c r="AI280" s="25">
        <f t="shared" si="66"/>
        <v>59268.349999999977</v>
      </c>
      <c r="AJ280" s="25">
        <f t="shared" si="67"/>
        <v>371359.31</v>
      </c>
      <c r="AK280" s="25">
        <f t="shared" si="68"/>
        <v>26999.89</v>
      </c>
      <c r="AL280" s="25">
        <f t="shared" si="69"/>
        <v>43091.97</v>
      </c>
      <c r="AM280" s="23">
        <f t="shared" si="62"/>
        <v>3047346.8200000003</v>
      </c>
      <c r="AO280" s="23"/>
      <c r="AP280" s="23"/>
    </row>
    <row r="281" spans="1:42" x14ac:dyDescent="0.25">
      <c r="A281" t="s">
        <v>264</v>
      </c>
      <c r="B281" t="s">
        <v>560</v>
      </c>
      <c r="C281" s="25">
        <v>58.04</v>
      </c>
      <c r="D281" s="25">
        <v>17.2</v>
      </c>
      <c r="E281" s="25">
        <v>4.0999999999999996</v>
      </c>
      <c r="F281" s="25">
        <v>0</v>
      </c>
      <c r="G281" s="25">
        <v>0</v>
      </c>
      <c r="H281" s="25">
        <v>0</v>
      </c>
      <c r="I281" s="25">
        <v>0</v>
      </c>
      <c r="J281" s="25">
        <v>0</v>
      </c>
      <c r="K281" s="192">
        <v>1</v>
      </c>
      <c r="L281" s="192">
        <v>1</v>
      </c>
      <c r="M281" s="192">
        <v>0</v>
      </c>
      <c r="N281" s="278"/>
      <c r="O281" s="278"/>
      <c r="P281" s="278"/>
      <c r="Q281" s="278"/>
      <c r="R281" s="278"/>
      <c r="S281" s="278"/>
      <c r="T281" s="278"/>
      <c r="U281" s="278"/>
      <c r="V281" s="278"/>
      <c r="W281" s="278"/>
      <c r="X281" s="278"/>
      <c r="Y281" s="282">
        <f>VLOOKUP(A281,'3121% SY'!$A$3:$M$600,13,FALSE)</f>
        <v>0.10499999999999998</v>
      </c>
      <c r="Z281" s="30">
        <f t="shared" si="70"/>
        <v>0</v>
      </c>
      <c r="AA281" s="31">
        <f t="shared" si="58"/>
        <v>4.0999999999999996</v>
      </c>
      <c r="AB281" s="32">
        <f t="shared" si="59"/>
        <v>18.350000000000001</v>
      </c>
      <c r="AC281" s="28">
        <f t="shared" si="71"/>
        <v>18.350000000000001</v>
      </c>
      <c r="AD281" s="33">
        <f t="shared" si="60"/>
        <v>3.653</v>
      </c>
      <c r="AE281" s="33">
        <f t="shared" si="61"/>
        <v>1.083</v>
      </c>
      <c r="AF281" s="25">
        <f t="shared" si="63"/>
        <v>344439.81</v>
      </c>
      <c r="AG281" s="25">
        <f t="shared" si="64"/>
        <v>25958.010000000009</v>
      </c>
      <c r="AH281" s="25">
        <f t="shared" si="65"/>
        <v>58309.63</v>
      </c>
      <c r="AI281" s="25">
        <f t="shared" si="66"/>
        <v>9977.43</v>
      </c>
      <c r="AJ281" s="25">
        <f t="shared" si="67"/>
        <v>62515.83</v>
      </c>
      <c r="AK281" s="25">
        <f t="shared" si="68"/>
        <v>4545.25</v>
      </c>
      <c r="AL281" s="25">
        <f t="shared" si="69"/>
        <v>7254.24</v>
      </c>
      <c r="AM281" s="23">
        <f t="shared" si="62"/>
        <v>513000.2</v>
      </c>
      <c r="AO281" s="23"/>
      <c r="AP281" s="23"/>
    </row>
    <row r="282" spans="1:42" x14ac:dyDescent="0.25">
      <c r="A282" t="s">
        <v>265</v>
      </c>
      <c r="B282" t="s">
        <v>561</v>
      </c>
      <c r="C282" s="25">
        <v>245.8</v>
      </c>
      <c r="D282" s="25">
        <v>16.2</v>
      </c>
      <c r="E282" s="25">
        <v>14.84</v>
      </c>
      <c r="F282" s="25">
        <v>1.18</v>
      </c>
      <c r="G282" s="25">
        <v>1.42</v>
      </c>
      <c r="H282" s="25">
        <v>0</v>
      </c>
      <c r="I282" s="25">
        <v>0</v>
      </c>
      <c r="J282" s="25">
        <v>0</v>
      </c>
      <c r="K282" s="192">
        <v>1</v>
      </c>
      <c r="L282" s="192">
        <v>1</v>
      </c>
      <c r="M282" s="192">
        <v>1.0000000000000009E-2</v>
      </c>
      <c r="N282" s="278"/>
      <c r="O282" s="278"/>
      <c r="P282" s="278"/>
      <c r="Q282" s="278"/>
      <c r="R282" s="278"/>
      <c r="S282" s="278"/>
      <c r="T282" s="278"/>
      <c r="U282" s="278"/>
      <c r="V282" s="278"/>
      <c r="W282" s="278"/>
      <c r="X282" s="278"/>
      <c r="Y282" s="282">
        <f>VLOOKUP(A282,'3121% SY'!$A$3:$M$600,13,FALSE)</f>
        <v>0.24609999999999999</v>
      </c>
      <c r="Z282" s="30">
        <f t="shared" si="70"/>
        <v>0.34899999999999998</v>
      </c>
      <c r="AA282" s="31">
        <f t="shared" si="58"/>
        <v>16.369</v>
      </c>
      <c r="AB282" s="32">
        <f t="shared" si="59"/>
        <v>16.010000000000002</v>
      </c>
      <c r="AC282" s="28">
        <f t="shared" si="71"/>
        <v>17</v>
      </c>
      <c r="AD282" s="33">
        <f t="shared" si="60"/>
        <v>16.7</v>
      </c>
      <c r="AE282" s="33">
        <f t="shared" si="61"/>
        <v>1.101</v>
      </c>
      <c r="AF282" s="25">
        <f t="shared" si="63"/>
        <v>1294631.1299999999</v>
      </c>
      <c r="AG282" s="25">
        <f t="shared" si="64"/>
        <v>111489.26000000001</v>
      </c>
      <c r="AH282" s="25">
        <f t="shared" si="65"/>
        <v>219165.91</v>
      </c>
      <c r="AI282" s="25">
        <f t="shared" si="66"/>
        <v>37501.72</v>
      </c>
      <c r="AJ282" s="25">
        <f t="shared" si="67"/>
        <v>234975.55</v>
      </c>
      <c r="AK282" s="25">
        <f t="shared" si="68"/>
        <v>19521.77</v>
      </c>
      <c r="AL282" s="25">
        <f t="shared" si="69"/>
        <v>27538.87</v>
      </c>
      <c r="AM282" s="23">
        <f t="shared" si="62"/>
        <v>1944824.21</v>
      </c>
      <c r="AO282" s="23"/>
      <c r="AP282" s="23"/>
    </row>
    <row r="283" spans="1:42" x14ac:dyDescent="0.25">
      <c r="A283" t="s">
        <v>266</v>
      </c>
      <c r="B283" t="s">
        <v>562</v>
      </c>
      <c r="C283" s="25">
        <v>82.14</v>
      </c>
      <c r="D283" s="25">
        <v>0</v>
      </c>
      <c r="E283" s="25">
        <v>4.5179999999999998</v>
      </c>
      <c r="F283" s="25">
        <v>0</v>
      </c>
      <c r="G283" s="25">
        <v>0</v>
      </c>
      <c r="H283" s="25">
        <v>0</v>
      </c>
      <c r="I283" s="25">
        <v>0</v>
      </c>
      <c r="J283" s="25">
        <v>0</v>
      </c>
      <c r="K283" s="192">
        <v>1</v>
      </c>
      <c r="L283" s="192">
        <v>1</v>
      </c>
      <c r="M283" s="192">
        <v>0</v>
      </c>
      <c r="N283" s="278"/>
      <c r="O283" s="278"/>
      <c r="P283" s="278"/>
      <c r="Q283" s="278"/>
      <c r="R283" s="278"/>
      <c r="S283" s="278"/>
      <c r="T283" s="278"/>
      <c r="U283" s="278"/>
      <c r="V283" s="278"/>
      <c r="W283" s="278"/>
      <c r="X283" s="278"/>
      <c r="Y283" s="282">
        <f>VLOOKUP(A283,'3121% SY'!$A$3:$M$600,13,FALSE)</f>
        <v>0.19130000000000003</v>
      </c>
      <c r="Z283" s="30">
        <f t="shared" si="70"/>
        <v>0</v>
      </c>
      <c r="AA283" s="31">
        <f t="shared" si="58"/>
        <v>4.5179999999999998</v>
      </c>
      <c r="AB283" s="32">
        <f t="shared" si="59"/>
        <v>18.18</v>
      </c>
      <c r="AC283" s="28">
        <f t="shared" si="71"/>
        <v>18.18</v>
      </c>
      <c r="AD283" s="33">
        <f t="shared" si="60"/>
        <v>5.218</v>
      </c>
      <c r="AE283" s="33">
        <f t="shared" si="61"/>
        <v>0</v>
      </c>
      <c r="AF283" s="25">
        <f t="shared" si="63"/>
        <v>379494.7</v>
      </c>
      <c r="AG283" s="25">
        <f t="shared" si="64"/>
        <v>28599.859999999986</v>
      </c>
      <c r="AH283" s="25">
        <f t="shared" si="65"/>
        <v>64244.02</v>
      </c>
      <c r="AI283" s="25">
        <f t="shared" si="66"/>
        <v>10992.860000000008</v>
      </c>
      <c r="AJ283" s="25">
        <f t="shared" si="67"/>
        <v>68878.289999999994</v>
      </c>
      <c r="AK283" s="25">
        <f t="shared" si="68"/>
        <v>5007.84</v>
      </c>
      <c r="AL283" s="25">
        <f t="shared" si="69"/>
        <v>7992.53</v>
      </c>
      <c r="AM283" s="23">
        <f t="shared" si="62"/>
        <v>565210.1</v>
      </c>
      <c r="AO283" s="23"/>
      <c r="AP283" s="23"/>
    </row>
    <row r="284" spans="1:42" x14ac:dyDescent="0.25">
      <c r="A284" t="s">
        <v>267</v>
      </c>
      <c r="B284" t="s">
        <v>563</v>
      </c>
      <c r="C284" s="25">
        <v>75</v>
      </c>
      <c r="D284" s="25">
        <v>16.399999999999999</v>
      </c>
      <c r="E284" s="25">
        <v>4.532</v>
      </c>
      <c r="F284" s="25">
        <v>0</v>
      </c>
      <c r="G284" s="25">
        <v>0.307</v>
      </c>
      <c r="H284" s="25">
        <v>0</v>
      </c>
      <c r="I284" s="25">
        <v>0</v>
      </c>
      <c r="J284" s="25">
        <v>0</v>
      </c>
      <c r="K284" s="192">
        <v>1</v>
      </c>
      <c r="L284" s="192">
        <v>1</v>
      </c>
      <c r="M284" s="192">
        <v>0</v>
      </c>
      <c r="N284" s="278"/>
      <c r="O284" s="278"/>
      <c r="P284" s="278"/>
      <c r="Q284" s="278"/>
      <c r="R284" s="278"/>
      <c r="S284" s="278"/>
      <c r="T284" s="278"/>
      <c r="U284" s="278"/>
      <c r="V284" s="278"/>
      <c r="W284" s="278"/>
      <c r="X284" s="278"/>
      <c r="Y284" s="282">
        <f>VLOOKUP(A284,'3121% SY'!$A$3:$M$600,13,FALSE)</f>
        <v>0.17300000000000004</v>
      </c>
      <c r="Z284" s="30">
        <f t="shared" si="70"/>
        <v>5.2999999999999999E-2</v>
      </c>
      <c r="AA284" s="31">
        <f t="shared" si="58"/>
        <v>4.585</v>
      </c>
      <c r="AB284" s="32">
        <f t="shared" si="59"/>
        <v>19.93</v>
      </c>
      <c r="AC284" s="28">
        <f t="shared" si="71"/>
        <v>19.93</v>
      </c>
      <c r="AD284" s="33">
        <f t="shared" si="60"/>
        <v>4.3460000000000001</v>
      </c>
      <c r="AE284" s="33">
        <f t="shared" si="61"/>
        <v>0.95</v>
      </c>
      <c r="AF284" s="25">
        <f t="shared" si="63"/>
        <v>385167.49</v>
      </c>
      <c r="AG284" s="25">
        <f t="shared" si="64"/>
        <v>29027.369999999995</v>
      </c>
      <c r="AH284" s="25">
        <f t="shared" si="65"/>
        <v>65204.35</v>
      </c>
      <c r="AI284" s="25">
        <f t="shared" si="66"/>
        <v>11157.189999999995</v>
      </c>
      <c r="AJ284" s="25">
        <f t="shared" si="67"/>
        <v>69907.899999999994</v>
      </c>
      <c r="AK284" s="25">
        <f t="shared" si="68"/>
        <v>5082.6899999999996</v>
      </c>
      <c r="AL284" s="25">
        <f t="shared" si="69"/>
        <v>8112.01</v>
      </c>
      <c r="AM284" s="23">
        <f t="shared" si="62"/>
        <v>573658.99999999988</v>
      </c>
      <c r="AO284" s="23"/>
      <c r="AP284" s="23"/>
    </row>
    <row r="285" spans="1:42" x14ac:dyDescent="0.25">
      <c r="A285" t="s">
        <v>268</v>
      </c>
      <c r="B285" t="s">
        <v>564</v>
      </c>
      <c r="C285" s="25">
        <v>2932.89</v>
      </c>
      <c r="D285" s="25">
        <v>236.63</v>
      </c>
      <c r="E285" s="25">
        <v>164.917</v>
      </c>
      <c r="F285" s="25">
        <v>15</v>
      </c>
      <c r="G285" s="25">
        <v>20.222000000000001</v>
      </c>
      <c r="H285" s="25">
        <v>0</v>
      </c>
      <c r="I285" s="25">
        <v>0</v>
      </c>
      <c r="J285" s="25">
        <v>0</v>
      </c>
      <c r="K285" s="192">
        <v>1.06</v>
      </c>
      <c r="L285" s="192">
        <v>1.06</v>
      </c>
      <c r="M285" s="192">
        <v>0</v>
      </c>
      <c r="N285" s="278"/>
      <c r="O285" s="278"/>
      <c r="P285" s="278"/>
      <c r="Q285" s="278"/>
      <c r="R285" s="278"/>
      <c r="S285" s="278"/>
      <c r="T285" s="278"/>
      <c r="U285" s="278"/>
      <c r="V285" s="278"/>
      <c r="W285" s="278"/>
      <c r="X285" s="278"/>
      <c r="Y285" s="282">
        <f>VLOOKUP(A285,'3121% SY'!$A$3:$M$600,13,FALSE)</f>
        <v>0.1875</v>
      </c>
      <c r="Z285" s="30">
        <f t="shared" si="70"/>
        <v>3.7919999999999998</v>
      </c>
      <c r="AA285" s="31">
        <f t="shared" si="58"/>
        <v>183.709</v>
      </c>
      <c r="AB285" s="32">
        <f t="shared" si="59"/>
        <v>17.25</v>
      </c>
      <c r="AC285" s="28">
        <f t="shared" si="71"/>
        <v>17.25</v>
      </c>
      <c r="AD285" s="33">
        <f t="shared" si="60"/>
        <v>196.376</v>
      </c>
      <c r="AE285" s="33">
        <f t="shared" si="61"/>
        <v>15.843999999999999</v>
      </c>
      <c r="AF285" s="25">
        <f t="shared" si="63"/>
        <v>16360396.33</v>
      </c>
      <c r="AG285" s="25">
        <f t="shared" si="64"/>
        <v>1232968.4900000002</v>
      </c>
      <c r="AH285" s="25">
        <f t="shared" si="65"/>
        <v>2612852.64</v>
      </c>
      <c r="AI285" s="25">
        <f t="shared" si="66"/>
        <v>447088.11999999965</v>
      </c>
      <c r="AJ285" s="25">
        <f t="shared" si="67"/>
        <v>2969411.93</v>
      </c>
      <c r="AK285" s="25">
        <f t="shared" si="68"/>
        <v>215892.78</v>
      </c>
      <c r="AL285" s="25">
        <f t="shared" si="69"/>
        <v>344566.05</v>
      </c>
      <c r="AM285" s="23">
        <f t="shared" si="62"/>
        <v>24183176.340000004</v>
      </c>
      <c r="AO285" s="23"/>
      <c r="AP285" s="23"/>
    </row>
    <row r="286" spans="1:42" x14ac:dyDescent="0.25">
      <c r="A286" t="s">
        <v>269</v>
      </c>
      <c r="B286" t="s">
        <v>565</v>
      </c>
      <c r="C286" s="25">
        <v>1342.08</v>
      </c>
      <c r="D286" s="25">
        <v>101</v>
      </c>
      <c r="E286" s="25">
        <v>70.754000000000005</v>
      </c>
      <c r="F286" s="25">
        <v>6.4889999999999999</v>
      </c>
      <c r="G286" s="25">
        <v>9.7379999999999995</v>
      </c>
      <c r="H286" s="25">
        <v>0</v>
      </c>
      <c r="I286" s="25">
        <v>0</v>
      </c>
      <c r="J286" s="25">
        <v>0</v>
      </c>
      <c r="K286" s="192">
        <v>1.06</v>
      </c>
      <c r="L286" s="192">
        <v>1.06</v>
      </c>
      <c r="M286" s="192">
        <v>0</v>
      </c>
      <c r="N286" s="278"/>
      <c r="O286" s="278"/>
      <c r="P286" s="278"/>
      <c r="Q286" s="278"/>
      <c r="R286" s="278"/>
      <c r="S286" s="278"/>
      <c r="T286" s="278"/>
      <c r="U286" s="278"/>
      <c r="V286" s="278"/>
      <c r="W286" s="278"/>
      <c r="X286" s="278"/>
      <c r="Y286" s="282">
        <f>VLOOKUP(A286,'3121% SY'!$A$3:$M$600,13,FALSE)</f>
        <v>0.23380000000000001</v>
      </c>
      <c r="Z286" s="30">
        <f t="shared" si="70"/>
        <v>2.2770000000000001</v>
      </c>
      <c r="AA286" s="31">
        <f t="shared" si="58"/>
        <v>79.52000000000001</v>
      </c>
      <c r="AB286" s="32">
        <f t="shared" si="59"/>
        <v>18.149999999999999</v>
      </c>
      <c r="AC286" s="28">
        <f t="shared" si="71"/>
        <v>18.149999999999999</v>
      </c>
      <c r="AD286" s="33">
        <f t="shared" si="60"/>
        <v>85.405000000000001</v>
      </c>
      <c r="AE286" s="33">
        <f t="shared" si="61"/>
        <v>6.4269999999999996</v>
      </c>
      <c r="AF286" s="25">
        <f t="shared" si="63"/>
        <v>7079483.1600000001</v>
      </c>
      <c r="AG286" s="25">
        <f t="shared" si="64"/>
        <v>533531.05999999959</v>
      </c>
      <c r="AH286" s="25">
        <f t="shared" si="65"/>
        <v>1130635.58</v>
      </c>
      <c r="AI286" s="25">
        <f t="shared" si="66"/>
        <v>193464.31999999983</v>
      </c>
      <c r="AJ286" s="25">
        <f t="shared" si="67"/>
        <v>1284926.19</v>
      </c>
      <c r="AK286" s="25">
        <f t="shared" si="68"/>
        <v>93421.29</v>
      </c>
      <c r="AL286" s="25">
        <f t="shared" si="69"/>
        <v>149100.88</v>
      </c>
      <c r="AM286" s="23">
        <f t="shared" si="62"/>
        <v>10464562.48</v>
      </c>
      <c r="AO286" s="23"/>
      <c r="AP286" s="23"/>
    </row>
    <row r="287" spans="1:42" x14ac:dyDescent="0.25">
      <c r="A287" t="s">
        <v>270</v>
      </c>
      <c r="B287" t="s">
        <v>566</v>
      </c>
      <c r="C287" s="25">
        <v>520.28</v>
      </c>
      <c r="D287" s="25">
        <v>49.1</v>
      </c>
      <c r="E287" s="25">
        <v>27.84</v>
      </c>
      <c r="F287" s="25">
        <v>2.5</v>
      </c>
      <c r="G287" s="25">
        <v>2.6659999999999999</v>
      </c>
      <c r="H287" s="25">
        <v>0</v>
      </c>
      <c r="I287" s="25">
        <v>0</v>
      </c>
      <c r="J287" s="25">
        <v>0</v>
      </c>
      <c r="K287" s="192">
        <v>1.1200000000000001</v>
      </c>
      <c r="L287" s="192">
        <v>1.1200000000000001</v>
      </c>
      <c r="M287" s="192">
        <v>9.9999999999997868E-3</v>
      </c>
      <c r="N287" s="278"/>
      <c r="O287" s="278"/>
      <c r="P287" s="278"/>
      <c r="Q287" s="278"/>
      <c r="R287" s="278"/>
      <c r="S287" s="278"/>
      <c r="T287" s="278"/>
      <c r="U287" s="278"/>
      <c r="V287" s="278"/>
      <c r="W287" s="278"/>
      <c r="X287" s="278"/>
      <c r="Y287" s="282">
        <f>VLOOKUP(A287,'3121% SY'!$A$3:$M$600,13,FALSE)</f>
        <v>0.17769999999999997</v>
      </c>
      <c r="Z287" s="30">
        <f t="shared" si="70"/>
        <v>0.47399999999999998</v>
      </c>
      <c r="AA287" s="31">
        <f t="shared" si="58"/>
        <v>30.814</v>
      </c>
      <c r="AB287" s="32">
        <f t="shared" si="59"/>
        <v>18.48</v>
      </c>
      <c r="AC287" s="28">
        <f t="shared" si="71"/>
        <v>18.48</v>
      </c>
      <c r="AD287" s="33">
        <f t="shared" si="60"/>
        <v>32.518000000000001</v>
      </c>
      <c r="AE287" s="33">
        <f t="shared" si="61"/>
        <v>3.069</v>
      </c>
      <c r="AF287" s="25">
        <f t="shared" si="63"/>
        <v>2898751.9</v>
      </c>
      <c r="AG287" s="25">
        <f t="shared" si="64"/>
        <v>246290.85999999987</v>
      </c>
      <c r="AH287" s="25">
        <f t="shared" si="65"/>
        <v>438147.14</v>
      </c>
      <c r="AI287" s="25">
        <f t="shared" si="66"/>
        <v>74971.849999999977</v>
      </c>
      <c r="AJ287" s="25">
        <f t="shared" si="67"/>
        <v>526123.47</v>
      </c>
      <c r="AK287" s="25">
        <f t="shared" si="68"/>
        <v>43125.53</v>
      </c>
      <c r="AL287" s="25">
        <f t="shared" si="69"/>
        <v>61595.66</v>
      </c>
      <c r="AM287" s="23">
        <f t="shared" si="62"/>
        <v>4289006.41</v>
      </c>
      <c r="AO287" s="23"/>
      <c r="AP287" s="23"/>
    </row>
    <row r="288" spans="1:42" x14ac:dyDescent="0.25">
      <c r="A288" t="s">
        <v>271</v>
      </c>
      <c r="B288" t="s">
        <v>567</v>
      </c>
      <c r="C288" s="25">
        <v>901.5</v>
      </c>
      <c r="D288" s="25">
        <v>76</v>
      </c>
      <c r="E288" s="25">
        <v>46.790999999999997</v>
      </c>
      <c r="F288" s="25">
        <v>0</v>
      </c>
      <c r="G288" s="25">
        <v>5.0999999999999996</v>
      </c>
      <c r="H288" s="25">
        <v>0</v>
      </c>
      <c r="I288" s="25">
        <v>0</v>
      </c>
      <c r="J288" s="25">
        <v>0</v>
      </c>
      <c r="K288" s="192">
        <v>1.1200000000000001</v>
      </c>
      <c r="L288" s="192">
        <v>1.1200000000000001</v>
      </c>
      <c r="M288" s="192">
        <v>0</v>
      </c>
      <c r="N288" s="278"/>
      <c r="O288" s="278"/>
      <c r="P288" s="278"/>
      <c r="Q288" s="278"/>
      <c r="R288" s="278"/>
      <c r="S288" s="278"/>
      <c r="T288" s="278"/>
      <c r="U288" s="278"/>
      <c r="V288" s="278"/>
      <c r="W288" s="278"/>
      <c r="X288" s="278"/>
      <c r="Y288" s="282">
        <f>VLOOKUP(A288,'3121% SY'!$A$3:$M$600,13,FALSE)</f>
        <v>0.18789999999999996</v>
      </c>
      <c r="Z288" s="30">
        <f t="shared" si="70"/>
        <v>0.95799999999999996</v>
      </c>
      <c r="AA288" s="31">
        <f t="shared" si="58"/>
        <v>47.748999999999995</v>
      </c>
      <c r="AB288" s="32">
        <f t="shared" si="59"/>
        <v>20.47</v>
      </c>
      <c r="AC288" s="28">
        <f t="shared" si="71"/>
        <v>20.47</v>
      </c>
      <c r="AD288" s="33">
        <f t="shared" si="60"/>
        <v>50.866</v>
      </c>
      <c r="AE288" s="33">
        <f t="shared" si="61"/>
        <v>4.2880000000000003</v>
      </c>
      <c r="AF288" s="25">
        <f t="shared" si="63"/>
        <v>4492588.93</v>
      </c>
      <c r="AG288" s="25">
        <f t="shared" si="64"/>
        <v>338574.95999999996</v>
      </c>
      <c r="AH288" s="25">
        <f t="shared" si="65"/>
        <v>679056.05</v>
      </c>
      <c r="AI288" s="25">
        <f t="shared" si="66"/>
        <v>116194.02999999991</v>
      </c>
      <c r="AJ288" s="25">
        <f t="shared" si="67"/>
        <v>815404.89</v>
      </c>
      <c r="AK288" s="25">
        <f t="shared" si="68"/>
        <v>59284.480000000003</v>
      </c>
      <c r="AL288" s="25">
        <f t="shared" si="69"/>
        <v>94618.34</v>
      </c>
      <c r="AM288" s="23">
        <f t="shared" si="62"/>
        <v>6595721.6799999997</v>
      </c>
      <c r="AO288" s="23"/>
      <c r="AP288" s="23"/>
    </row>
    <row r="289" spans="1:42" x14ac:dyDescent="0.25">
      <c r="A289" t="s">
        <v>272</v>
      </c>
      <c r="B289" t="s">
        <v>568</v>
      </c>
      <c r="C289" s="25">
        <v>486.27</v>
      </c>
      <c r="D289" s="25">
        <v>42.4</v>
      </c>
      <c r="E289" s="25">
        <v>28.244</v>
      </c>
      <c r="F289" s="25">
        <v>0</v>
      </c>
      <c r="G289" s="25">
        <v>1.8580000000000001</v>
      </c>
      <c r="H289" s="25">
        <v>0</v>
      </c>
      <c r="I289" s="25">
        <v>0</v>
      </c>
      <c r="J289" s="25">
        <v>0</v>
      </c>
      <c r="K289" s="192">
        <v>1.1200000000000001</v>
      </c>
      <c r="L289" s="192">
        <v>1.1200000000000001</v>
      </c>
      <c r="M289" s="192">
        <v>0</v>
      </c>
      <c r="N289" s="278"/>
      <c r="O289" s="278"/>
      <c r="P289" s="278"/>
      <c r="Q289" s="278"/>
      <c r="R289" s="278"/>
      <c r="S289" s="278"/>
      <c r="T289" s="278"/>
      <c r="U289" s="278"/>
      <c r="V289" s="278"/>
      <c r="W289" s="278"/>
      <c r="X289" s="278"/>
      <c r="Y289" s="282">
        <f>VLOOKUP(A289,'3121% SY'!$A$3:$M$600,13,FALSE)</f>
        <v>0.1925</v>
      </c>
      <c r="Z289" s="30">
        <f t="shared" si="70"/>
        <v>0.35799999999999998</v>
      </c>
      <c r="AA289" s="31">
        <f t="shared" si="58"/>
        <v>28.602</v>
      </c>
      <c r="AB289" s="32">
        <f t="shared" si="59"/>
        <v>18.48</v>
      </c>
      <c r="AC289" s="28">
        <f t="shared" si="71"/>
        <v>18.48</v>
      </c>
      <c r="AD289" s="33">
        <f t="shared" si="60"/>
        <v>30.391999999999999</v>
      </c>
      <c r="AE289" s="33">
        <f t="shared" si="61"/>
        <v>2.65</v>
      </c>
      <c r="AF289" s="25">
        <f t="shared" si="63"/>
        <v>2691448.01</v>
      </c>
      <c r="AG289" s="25">
        <f t="shared" si="64"/>
        <v>202835.58000000007</v>
      </c>
      <c r="AH289" s="25">
        <f t="shared" si="65"/>
        <v>406813.1</v>
      </c>
      <c r="AI289" s="25">
        <f t="shared" si="66"/>
        <v>69610.25</v>
      </c>
      <c r="AJ289" s="25">
        <f t="shared" si="67"/>
        <v>488497.81</v>
      </c>
      <c r="AK289" s="25">
        <f t="shared" si="68"/>
        <v>35516.51</v>
      </c>
      <c r="AL289" s="25">
        <f t="shared" si="69"/>
        <v>56684.54</v>
      </c>
      <c r="AM289" s="23">
        <f t="shared" si="62"/>
        <v>3951405.8</v>
      </c>
      <c r="AO289" s="23"/>
      <c r="AP289" s="23"/>
    </row>
    <row r="290" spans="1:42" x14ac:dyDescent="0.25">
      <c r="A290" t="s">
        <v>273</v>
      </c>
      <c r="B290" t="s">
        <v>569</v>
      </c>
      <c r="C290" s="25">
        <v>598.14</v>
      </c>
      <c r="D290" s="25">
        <v>59.2</v>
      </c>
      <c r="E290" s="25">
        <v>34.883000000000003</v>
      </c>
      <c r="F290" s="25">
        <v>4.407</v>
      </c>
      <c r="G290" s="25">
        <v>3.0779999999999998</v>
      </c>
      <c r="H290" s="25">
        <v>0</v>
      </c>
      <c r="I290" s="25">
        <v>0</v>
      </c>
      <c r="J290" s="25">
        <v>0</v>
      </c>
      <c r="K290" s="192">
        <v>1.06</v>
      </c>
      <c r="L290" s="192">
        <v>1.06</v>
      </c>
      <c r="M290" s="192">
        <v>0</v>
      </c>
      <c r="N290" s="278"/>
      <c r="O290" s="278"/>
      <c r="P290" s="278"/>
      <c r="Q290" s="278"/>
      <c r="R290" s="278"/>
      <c r="S290" s="278"/>
      <c r="T290" s="278"/>
      <c r="U290" s="278"/>
      <c r="V290" s="278"/>
      <c r="W290" s="278"/>
      <c r="X290" s="278"/>
      <c r="Y290" s="282">
        <f>VLOOKUP(A290,'3121% SY'!$A$3:$M$600,13,FALSE)</f>
        <v>0.255</v>
      </c>
      <c r="Z290" s="30">
        <f t="shared" si="70"/>
        <v>0.78500000000000003</v>
      </c>
      <c r="AA290" s="31">
        <f t="shared" si="58"/>
        <v>40.075000000000003</v>
      </c>
      <c r="AB290" s="32">
        <f t="shared" si="59"/>
        <v>16.399999999999999</v>
      </c>
      <c r="AC290" s="28">
        <f t="shared" si="71"/>
        <v>17</v>
      </c>
      <c r="AD290" s="33">
        <f t="shared" si="60"/>
        <v>40.637999999999998</v>
      </c>
      <c r="AE290" s="33">
        <f t="shared" si="61"/>
        <v>4.0220000000000002</v>
      </c>
      <c r="AF290" s="25">
        <f t="shared" si="63"/>
        <v>3442914.43</v>
      </c>
      <c r="AG290" s="25">
        <f t="shared" si="64"/>
        <v>259468.34999999963</v>
      </c>
      <c r="AH290" s="25">
        <f t="shared" si="65"/>
        <v>549853.92000000004</v>
      </c>
      <c r="AI290" s="25">
        <f t="shared" si="66"/>
        <v>94086.12</v>
      </c>
      <c r="AJ290" s="25">
        <f t="shared" si="67"/>
        <v>624888.97</v>
      </c>
      <c r="AK290" s="25">
        <f t="shared" si="68"/>
        <v>45432.91</v>
      </c>
      <c r="AL290" s="25">
        <f t="shared" si="69"/>
        <v>72511.17</v>
      </c>
      <c r="AM290" s="23">
        <f t="shared" si="62"/>
        <v>5089155.87</v>
      </c>
      <c r="AO290" s="23"/>
      <c r="AP290" s="23"/>
    </row>
    <row r="291" spans="1:42" x14ac:dyDescent="0.25">
      <c r="A291" t="s">
        <v>274</v>
      </c>
      <c r="B291" t="s">
        <v>570</v>
      </c>
      <c r="C291" s="25">
        <v>425.67</v>
      </c>
      <c r="D291" s="25">
        <v>0</v>
      </c>
      <c r="E291" s="25">
        <v>20.763999999999999</v>
      </c>
      <c r="F291" s="25">
        <v>0</v>
      </c>
      <c r="G291" s="25">
        <v>5.9459999999999997</v>
      </c>
      <c r="H291" s="25">
        <v>2.23</v>
      </c>
      <c r="I291" s="25">
        <v>0</v>
      </c>
      <c r="J291" s="25">
        <v>0</v>
      </c>
      <c r="K291" s="192">
        <v>1.06</v>
      </c>
      <c r="L291" s="192">
        <v>1.06</v>
      </c>
      <c r="M291" s="192">
        <v>0</v>
      </c>
      <c r="N291" s="278"/>
      <c r="O291" s="278"/>
      <c r="P291" s="278"/>
      <c r="Q291" s="278"/>
      <c r="R291" s="278"/>
      <c r="S291" s="278"/>
      <c r="T291" s="278"/>
      <c r="U291" s="278"/>
      <c r="V291" s="278"/>
      <c r="W291" s="278"/>
      <c r="X291" s="278"/>
      <c r="Y291" s="282">
        <f>VLOOKUP(A291,'3121% SY'!$A$3:$M$600,13,FALSE)</f>
        <v>0.20950000000000002</v>
      </c>
      <c r="Z291" s="30">
        <f t="shared" si="70"/>
        <v>1.246</v>
      </c>
      <c r="AA291" s="31">
        <f t="shared" si="58"/>
        <v>24.24</v>
      </c>
      <c r="AB291" s="32">
        <f t="shared" si="59"/>
        <v>17.559999999999999</v>
      </c>
      <c r="AC291" s="28">
        <f t="shared" si="71"/>
        <v>17.559999999999999</v>
      </c>
      <c r="AD291" s="33">
        <f t="shared" si="60"/>
        <v>27.998000000000001</v>
      </c>
      <c r="AE291" s="33">
        <f t="shared" si="61"/>
        <v>0</v>
      </c>
      <c r="AF291" s="25">
        <f t="shared" si="63"/>
        <v>2158412.86</v>
      </c>
      <c r="AG291" s="25">
        <f t="shared" si="64"/>
        <v>162664.45999999996</v>
      </c>
      <c r="AH291" s="25">
        <f t="shared" si="65"/>
        <v>344711.38</v>
      </c>
      <c r="AI291" s="25">
        <f t="shared" si="66"/>
        <v>58983.94</v>
      </c>
      <c r="AJ291" s="25">
        <f t="shared" si="67"/>
        <v>391751.93</v>
      </c>
      <c r="AK291" s="25">
        <f t="shared" si="68"/>
        <v>28482.55</v>
      </c>
      <c r="AL291" s="25">
        <f t="shared" si="69"/>
        <v>45458.3</v>
      </c>
      <c r="AM291" s="23">
        <f t="shared" si="62"/>
        <v>3190465.4199999995</v>
      </c>
      <c r="AO291" s="23"/>
      <c r="AP291" s="23"/>
    </row>
    <row r="292" spans="1:42" x14ac:dyDescent="0.25">
      <c r="A292" t="s">
        <v>672</v>
      </c>
      <c r="B292" t="s">
        <v>673</v>
      </c>
      <c r="C292" s="25">
        <v>0</v>
      </c>
      <c r="D292" s="25">
        <v>0</v>
      </c>
      <c r="E292" s="25">
        <v>0</v>
      </c>
      <c r="F292" s="25">
        <v>0</v>
      </c>
      <c r="G292" s="25">
        <v>0</v>
      </c>
      <c r="H292" s="25">
        <v>0</v>
      </c>
      <c r="I292" s="25">
        <v>0</v>
      </c>
      <c r="J292" s="25">
        <v>0</v>
      </c>
      <c r="K292" s="192">
        <v>1.06</v>
      </c>
      <c r="L292" s="192">
        <v>1.06</v>
      </c>
      <c r="M292" s="192">
        <v>0</v>
      </c>
      <c r="N292" s="278"/>
      <c r="O292" s="278"/>
      <c r="P292" s="278"/>
      <c r="Q292" s="278"/>
      <c r="R292" s="278"/>
      <c r="S292" s="278"/>
      <c r="T292" s="278"/>
      <c r="U292" s="278"/>
      <c r="V292" s="278"/>
      <c r="W292" s="278"/>
      <c r="X292" s="278"/>
      <c r="Y292" s="282">
        <f>VLOOKUP(A292,'3121% SY'!$A$3:$M$600,13,FALSE)</f>
        <v>0.13</v>
      </c>
      <c r="Z292" s="30">
        <f t="shared" si="70"/>
        <v>0</v>
      </c>
      <c r="AA292" s="31">
        <f t="shared" si="58"/>
        <v>0</v>
      </c>
      <c r="AB292" s="32">
        <f t="shared" si="59"/>
        <v>0</v>
      </c>
      <c r="AC292" s="28">
        <f t="shared" si="71"/>
        <v>25.23</v>
      </c>
      <c r="AD292" s="33">
        <f t="shared" si="60"/>
        <v>0</v>
      </c>
      <c r="AE292" s="33">
        <f t="shared" si="61"/>
        <v>0</v>
      </c>
      <c r="AF292" s="25">
        <f t="shared" si="63"/>
        <v>0</v>
      </c>
      <c r="AG292" s="25">
        <f t="shared" si="64"/>
        <v>0</v>
      </c>
      <c r="AH292" s="25">
        <f t="shared" si="65"/>
        <v>0</v>
      </c>
      <c r="AI292" s="25">
        <f t="shared" si="66"/>
        <v>0</v>
      </c>
      <c r="AJ292" s="25">
        <f t="shared" si="67"/>
        <v>0</v>
      </c>
      <c r="AK292" s="25">
        <f t="shared" si="68"/>
        <v>0</v>
      </c>
      <c r="AL292" s="25">
        <f t="shared" si="69"/>
        <v>0</v>
      </c>
      <c r="AM292" s="23">
        <f t="shared" si="62"/>
        <v>0</v>
      </c>
      <c r="AO292" s="23"/>
      <c r="AP292" s="23"/>
    </row>
    <row r="293" spans="1:42" x14ac:dyDescent="0.25">
      <c r="A293" t="s">
        <v>275</v>
      </c>
      <c r="B293" t="s">
        <v>571</v>
      </c>
      <c r="C293" s="25">
        <v>115.6</v>
      </c>
      <c r="D293" s="25">
        <v>0</v>
      </c>
      <c r="E293" s="25">
        <v>12</v>
      </c>
      <c r="F293" s="25">
        <v>0</v>
      </c>
      <c r="G293" s="25">
        <v>0</v>
      </c>
      <c r="H293" s="25">
        <v>0</v>
      </c>
      <c r="I293" s="25">
        <v>0</v>
      </c>
      <c r="J293" s="25">
        <v>0</v>
      </c>
      <c r="K293" s="192">
        <v>1.06</v>
      </c>
      <c r="L293" s="192">
        <v>1.06</v>
      </c>
      <c r="M293" s="192">
        <v>0</v>
      </c>
      <c r="N293" s="278"/>
      <c r="O293" s="278"/>
      <c r="P293" s="278"/>
      <c r="Q293" s="278"/>
      <c r="R293" s="278"/>
      <c r="S293" s="278"/>
      <c r="T293" s="278"/>
      <c r="U293" s="278"/>
      <c r="V293" s="278"/>
      <c r="W293" s="278"/>
      <c r="X293" s="278"/>
      <c r="Y293" s="282">
        <f>VLOOKUP(A293,'3121% SY'!$A$3:$M$600,13,FALSE)</f>
        <v>0.14659999999999995</v>
      </c>
      <c r="Z293" s="30">
        <f t="shared" si="70"/>
        <v>0</v>
      </c>
      <c r="AA293" s="31">
        <f t="shared" si="58"/>
        <v>12</v>
      </c>
      <c r="AB293" s="32">
        <f t="shared" si="59"/>
        <v>9.6300000000000008</v>
      </c>
      <c r="AC293" s="28">
        <f t="shared" si="71"/>
        <v>17</v>
      </c>
      <c r="AD293" s="33">
        <f t="shared" si="60"/>
        <v>7.8540000000000001</v>
      </c>
      <c r="AE293" s="33">
        <f t="shared" si="61"/>
        <v>0</v>
      </c>
      <c r="AF293" s="25">
        <f t="shared" si="63"/>
        <v>605478.05000000005</v>
      </c>
      <c r="AG293" s="25">
        <f t="shared" si="64"/>
        <v>45630.649999999907</v>
      </c>
      <c r="AH293" s="25">
        <f t="shared" si="65"/>
        <v>96698.45</v>
      </c>
      <c r="AI293" s="25">
        <f t="shared" si="66"/>
        <v>16546.180000000008</v>
      </c>
      <c r="AJ293" s="25">
        <f t="shared" si="67"/>
        <v>109894.27</v>
      </c>
      <c r="AK293" s="25">
        <f t="shared" si="68"/>
        <v>7989.93</v>
      </c>
      <c r="AL293" s="25">
        <f t="shared" si="69"/>
        <v>12751.96</v>
      </c>
      <c r="AM293" s="23">
        <f t="shared" si="62"/>
        <v>894989.49</v>
      </c>
      <c r="AO293" s="23"/>
      <c r="AP293" s="23"/>
    </row>
    <row r="294" spans="1:42" x14ac:dyDescent="0.25">
      <c r="A294" t="s">
        <v>276</v>
      </c>
      <c r="B294" t="s">
        <v>572</v>
      </c>
      <c r="C294" s="25">
        <v>18</v>
      </c>
      <c r="D294" s="25">
        <v>2.58</v>
      </c>
      <c r="E294" s="25">
        <v>2.7120000000000002</v>
      </c>
      <c r="F294" s="25">
        <v>0.9</v>
      </c>
      <c r="G294" s="25">
        <v>0.21199999999999999</v>
      </c>
      <c r="H294" s="25">
        <v>0</v>
      </c>
      <c r="I294" s="25">
        <v>0</v>
      </c>
      <c r="J294" s="25">
        <v>0</v>
      </c>
      <c r="K294" s="192">
        <v>1</v>
      </c>
      <c r="L294" s="192">
        <v>1</v>
      </c>
      <c r="M294" s="192">
        <v>1.0000000000000009E-2</v>
      </c>
      <c r="N294" s="278"/>
      <c r="O294" s="278"/>
      <c r="P294" s="278"/>
      <c r="Q294" s="278"/>
      <c r="R294" s="278"/>
      <c r="S294" s="278"/>
      <c r="T294" s="278"/>
      <c r="U294" s="278"/>
      <c r="V294" s="278"/>
      <c r="W294" s="278"/>
      <c r="X294" s="278"/>
      <c r="Y294" s="282">
        <f>VLOOKUP(A294,'3121% SY'!$A$3:$M$600,13,FALSE)</f>
        <v>9.9999999999999978E-2</v>
      </c>
      <c r="Z294" s="30">
        <f t="shared" si="70"/>
        <v>2.1000000000000001E-2</v>
      </c>
      <c r="AA294" s="31">
        <f t="shared" si="58"/>
        <v>3.633</v>
      </c>
      <c r="AB294" s="32">
        <f t="shared" si="59"/>
        <v>5.66</v>
      </c>
      <c r="AC294" s="28">
        <f t="shared" si="71"/>
        <v>17</v>
      </c>
      <c r="AD294" s="33">
        <f t="shared" si="60"/>
        <v>1.2230000000000001</v>
      </c>
      <c r="AE294" s="33">
        <f t="shared" si="61"/>
        <v>0.17499999999999999</v>
      </c>
      <c r="AF294" s="25">
        <f t="shared" si="63"/>
        <v>101673.74</v>
      </c>
      <c r="AG294" s="25">
        <f t="shared" si="64"/>
        <v>8755.7999999999884</v>
      </c>
      <c r="AH294" s="25">
        <f t="shared" si="65"/>
        <v>17212.18</v>
      </c>
      <c r="AI294" s="25">
        <f t="shared" si="66"/>
        <v>2945.1899999999987</v>
      </c>
      <c r="AJ294" s="25">
        <f t="shared" si="67"/>
        <v>18453.78</v>
      </c>
      <c r="AK294" s="25">
        <f t="shared" si="68"/>
        <v>1533.14</v>
      </c>
      <c r="AL294" s="25">
        <f t="shared" si="69"/>
        <v>2162.7600000000002</v>
      </c>
      <c r="AM294" s="23">
        <f t="shared" si="62"/>
        <v>152736.59000000003</v>
      </c>
      <c r="AO294" s="23"/>
      <c r="AP294" s="23"/>
    </row>
    <row r="295" spans="1:42" x14ac:dyDescent="0.25">
      <c r="A295" t="s">
        <v>277</v>
      </c>
      <c r="B295" t="s">
        <v>573</v>
      </c>
      <c r="C295" s="25">
        <v>0</v>
      </c>
      <c r="D295" s="25">
        <v>0</v>
      </c>
      <c r="E295" s="25">
        <v>0</v>
      </c>
      <c r="F295" s="25">
        <v>0</v>
      </c>
      <c r="G295" s="25">
        <v>0</v>
      </c>
      <c r="H295" s="25">
        <v>0</v>
      </c>
      <c r="I295" s="25">
        <v>0</v>
      </c>
      <c r="J295" s="25">
        <v>0</v>
      </c>
      <c r="K295" s="192">
        <v>1</v>
      </c>
      <c r="L295" s="192">
        <v>1</v>
      </c>
      <c r="M295" s="192">
        <v>0</v>
      </c>
      <c r="N295" s="278"/>
      <c r="O295" s="278"/>
      <c r="P295" s="278"/>
      <c r="Q295" s="278"/>
      <c r="R295" s="278"/>
      <c r="S295" s="278"/>
      <c r="T295" s="278"/>
      <c r="U295" s="278"/>
      <c r="V295" s="278"/>
      <c r="W295" s="278"/>
      <c r="X295" s="278"/>
      <c r="Y295" s="282">
        <f>VLOOKUP(A295,'3121% SY'!$A$3:$M$600,13,FALSE)</f>
        <v>0.27500000000000002</v>
      </c>
      <c r="Z295" s="30">
        <f t="shared" si="70"/>
        <v>0</v>
      </c>
      <c r="AA295" s="31">
        <f t="shared" si="58"/>
        <v>0</v>
      </c>
      <c r="AB295" s="32">
        <f t="shared" si="59"/>
        <v>0</v>
      </c>
      <c r="AC295" s="28">
        <f t="shared" si="71"/>
        <v>25.23</v>
      </c>
      <c r="AD295" s="33">
        <f t="shared" si="60"/>
        <v>0</v>
      </c>
      <c r="AE295" s="33">
        <f t="shared" si="61"/>
        <v>0</v>
      </c>
      <c r="AF295" s="25">
        <f t="shared" si="63"/>
        <v>0</v>
      </c>
      <c r="AG295" s="25">
        <f t="shared" si="64"/>
        <v>0</v>
      </c>
      <c r="AH295" s="25">
        <f t="shared" si="65"/>
        <v>0</v>
      </c>
      <c r="AI295" s="25">
        <f t="shared" si="66"/>
        <v>0</v>
      </c>
      <c r="AJ295" s="25">
        <f t="shared" si="67"/>
        <v>0</v>
      </c>
      <c r="AK295" s="25">
        <f t="shared" si="68"/>
        <v>0</v>
      </c>
      <c r="AL295" s="25">
        <f t="shared" si="69"/>
        <v>0</v>
      </c>
      <c r="AM295" s="23">
        <f t="shared" si="62"/>
        <v>0</v>
      </c>
      <c r="AO295" s="23"/>
      <c r="AP295" s="23"/>
    </row>
    <row r="296" spans="1:42" x14ac:dyDescent="0.25">
      <c r="A296" t="s">
        <v>278</v>
      </c>
      <c r="B296" t="s">
        <v>574</v>
      </c>
      <c r="C296" s="25">
        <v>42.19</v>
      </c>
      <c r="D296" s="25">
        <v>12.4</v>
      </c>
      <c r="E296" s="25">
        <v>4.2850000000000001</v>
      </c>
      <c r="F296" s="25">
        <v>0.65</v>
      </c>
      <c r="G296" s="25">
        <v>0.53200000000000003</v>
      </c>
      <c r="H296" s="25">
        <v>0</v>
      </c>
      <c r="I296" s="25">
        <v>0</v>
      </c>
      <c r="J296" s="25">
        <v>0</v>
      </c>
      <c r="K296" s="192">
        <v>1</v>
      </c>
      <c r="L296" s="192">
        <v>1</v>
      </c>
      <c r="M296" s="192">
        <v>1.0000000000000009E-2</v>
      </c>
      <c r="N296" s="278"/>
      <c r="O296" s="278"/>
      <c r="P296" s="278"/>
      <c r="Q296" s="278"/>
      <c r="R296" s="278"/>
      <c r="S296" s="278"/>
      <c r="T296" s="278"/>
      <c r="U296" s="278"/>
      <c r="V296" s="278"/>
      <c r="W296" s="278"/>
      <c r="X296" s="278"/>
      <c r="Y296" s="282">
        <f>VLOOKUP(A296,'3121% SY'!$A$3:$M$600,13,FALSE)</f>
        <v>0.1351</v>
      </c>
      <c r="Z296" s="30">
        <f t="shared" si="70"/>
        <v>7.1999999999999995E-2</v>
      </c>
      <c r="AA296" s="31">
        <f t="shared" si="58"/>
        <v>5.0070000000000006</v>
      </c>
      <c r="AB296" s="32">
        <f t="shared" si="59"/>
        <v>10.9</v>
      </c>
      <c r="AC296" s="28">
        <f t="shared" si="71"/>
        <v>17</v>
      </c>
      <c r="AD296" s="33">
        <f t="shared" si="60"/>
        <v>2.8660000000000001</v>
      </c>
      <c r="AE296" s="33">
        <f t="shared" si="61"/>
        <v>0.84199999999999997</v>
      </c>
      <c r="AF296" s="25">
        <f t="shared" si="63"/>
        <v>269675.42</v>
      </c>
      <c r="AG296" s="25">
        <f t="shared" si="64"/>
        <v>23223.540000000037</v>
      </c>
      <c r="AH296" s="25">
        <f t="shared" si="65"/>
        <v>45652.9</v>
      </c>
      <c r="AI296" s="25">
        <f t="shared" si="66"/>
        <v>7811.7099999999991</v>
      </c>
      <c r="AJ296" s="25">
        <f t="shared" si="67"/>
        <v>48946.09</v>
      </c>
      <c r="AK296" s="25">
        <f t="shared" si="68"/>
        <v>4066.44</v>
      </c>
      <c r="AL296" s="25">
        <f t="shared" si="69"/>
        <v>5736.43</v>
      </c>
      <c r="AM296" s="23">
        <f t="shared" si="62"/>
        <v>405112.53</v>
      </c>
      <c r="AO296" s="23"/>
      <c r="AP296" s="23"/>
    </row>
    <row r="297" spans="1:42" x14ac:dyDescent="0.25">
      <c r="A297" t="s">
        <v>279</v>
      </c>
      <c r="B297" t="s">
        <v>575</v>
      </c>
      <c r="C297" s="25">
        <v>820.63</v>
      </c>
      <c r="D297" s="25">
        <v>0</v>
      </c>
      <c r="E297" s="25">
        <v>50.472999999999999</v>
      </c>
      <c r="F297" s="25">
        <v>0</v>
      </c>
      <c r="G297" s="25">
        <v>3.5489999999999999</v>
      </c>
      <c r="H297" s="25">
        <v>0</v>
      </c>
      <c r="I297" s="25">
        <v>0</v>
      </c>
      <c r="J297" s="25">
        <v>0</v>
      </c>
      <c r="K297" s="192">
        <v>1</v>
      </c>
      <c r="L297" s="192">
        <v>1</v>
      </c>
      <c r="M297" s="192">
        <v>0</v>
      </c>
      <c r="N297" s="278"/>
      <c r="O297" s="278"/>
      <c r="P297" s="278"/>
      <c r="Q297" s="278"/>
      <c r="R297" s="278"/>
      <c r="S297" s="278"/>
      <c r="T297" s="278"/>
      <c r="U297" s="278"/>
      <c r="V297" s="278"/>
      <c r="W297" s="278"/>
      <c r="X297" s="278"/>
      <c r="Y297" s="282">
        <f>VLOOKUP(A297,'3121% SY'!$A$3:$M$600,13,FALSE)</f>
        <v>0.20909999999999995</v>
      </c>
      <c r="Z297" s="30">
        <f t="shared" si="70"/>
        <v>0.74199999999999999</v>
      </c>
      <c r="AA297" s="31">
        <f t="shared" si="58"/>
        <v>51.214999999999996</v>
      </c>
      <c r="AB297" s="32">
        <f t="shared" si="59"/>
        <v>16.02</v>
      </c>
      <c r="AC297" s="28">
        <f t="shared" si="71"/>
        <v>17</v>
      </c>
      <c r="AD297" s="33">
        <f t="shared" si="60"/>
        <v>55.755000000000003</v>
      </c>
      <c r="AE297" s="33">
        <f t="shared" si="61"/>
        <v>0</v>
      </c>
      <c r="AF297" s="25">
        <f t="shared" si="63"/>
        <v>4054949.64</v>
      </c>
      <c r="AG297" s="25">
        <f t="shared" si="64"/>
        <v>305593.15999999968</v>
      </c>
      <c r="AH297" s="25">
        <f t="shared" si="65"/>
        <v>686455.56</v>
      </c>
      <c r="AI297" s="25">
        <f t="shared" si="66"/>
        <v>117460.16999999993</v>
      </c>
      <c r="AJ297" s="25">
        <f t="shared" si="67"/>
        <v>735973.36</v>
      </c>
      <c r="AK297" s="25">
        <f t="shared" si="68"/>
        <v>53509.36</v>
      </c>
      <c r="AL297" s="25">
        <f t="shared" si="69"/>
        <v>85401.23</v>
      </c>
      <c r="AM297" s="23">
        <f t="shared" si="62"/>
        <v>6039342.4800000004</v>
      </c>
      <c r="AO297" s="23"/>
      <c r="AP297" s="23"/>
    </row>
    <row r="298" spans="1:42" x14ac:dyDescent="0.25">
      <c r="A298" t="s">
        <v>280</v>
      </c>
      <c r="B298" t="s">
        <v>576</v>
      </c>
      <c r="C298" s="25">
        <v>145.80000000000001</v>
      </c>
      <c r="D298" s="25">
        <v>15.8</v>
      </c>
      <c r="E298" s="25">
        <v>8.76</v>
      </c>
      <c r="F298" s="25">
        <v>1</v>
      </c>
      <c r="G298" s="25">
        <v>0.57199999999999995</v>
      </c>
      <c r="H298" s="25">
        <v>0</v>
      </c>
      <c r="I298" s="25">
        <v>0</v>
      </c>
      <c r="J298" s="25">
        <v>0</v>
      </c>
      <c r="K298" s="192">
        <v>1</v>
      </c>
      <c r="L298" s="192">
        <v>1</v>
      </c>
      <c r="M298" s="192">
        <v>4.0000000000000036E-2</v>
      </c>
      <c r="N298" s="278"/>
      <c r="O298" s="278"/>
      <c r="P298" s="278"/>
      <c r="Q298" s="278"/>
      <c r="R298" s="278"/>
      <c r="S298" s="278"/>
      <c r="T298" s="278"/>
      <c r="U298" s="278"/>
      <c r="V298" s="278"/>
      <c r="W298" s="278"/>
      <c r="X298" s="278"/>
      <c r="Y298" s="282">
        <f>VLOOKUP(A298,'3121% SY'!$A$3:$M$600,13,FALSE)</f>
        <v>0.18340000000000001</v>
      </c>
      <c r="Z298" s="30">
        <f t="shared" si="70"/>
        <v>0.105</v>
      </c>
      <c r="AA298" s="31">
        <f t="shared" si="58"/>
        <v>9.8650000000000002</v>
      </c>
      <c r="AB298" s="32">
        <f t="shared" si="59"/>
        <v>16.38</v>
      </c>
      <c r="AC298" s="28">
        <f t="shared" si="71"/>
        <v>17</v>
      </c>
      <c r="AD298" s="33">
        <f t="shared" si="60"/>
        <v>9.9060000000000006</v>
      </c>
      <c r="AE298" s="33">
        <f t="shared" si="61"/>
        <v>1.073</v>
      </c>
      <c r="AF298" s="25">
        <f t="shared" si="63"/>
        <v>798480.71</v>
      </c>
      <c r="AG298" s="25">
        <f t="shared" si="64"/>
        <v>94522.170000000042</v>
      </c>
      <c r="AH298" s="25">
        <f t="shared" si="65"/>
        <v>135173.45000000001</v>
      </c>
      <c r="AI298" s="25">
        <f t="shared" si="66"/>
        <v>23129.679999999993</v>
      </c>
      <c r="AJ298" s="25">
        <f t="shared" si="67"/>
        <v>144924.25</v>
      </c>
      <c r="AK298" s="25">
        <f t="shared" si="68"/>
        <v>16550.830000000002</v>
      </c>
      <c r="AL298" s="25">
        <f t="shared" si="69"/>
        <v>17489.46</v>
      </c>
      <c r="AM298" s="23">
        <f t="shared" si="62"/>
        <v>1230270.55</v>
      </c>
      <c r="AO298" s="23"/>
      <c r="AP298" s="23"/>
    </row>
    <row r="299" spans="1:42" x14ac:dyDescent="0.25">
      <c r="A299" t="s">
        <v>281</v>
      </c>
      <c r="B299" t="s">
        <v>577</v>
      </c>
      <c r="C299" s="25">
        <v>50.2</v>
      </c>
      <c r="D299" s="25">
        <v>8.0399999999999991</v>
      </c>
      <c r="E299" s="25">
        <v>4.7350000000000003</v>
      </c>
      <c r="F299" s="25">
        <v>0</v>
      </c>
      <c r="G299" s="25">
        <v>0</v>
      </c>
      <c r="H299" s="25">
        <v>0</v>
      </c>
      <c r="I299" s="25">
        <v>0</v>
      </c>
      <c r="J299" s="25">
        <v>0</v>
      </c>
      <c r="K299" s="192">
        <v>1</v>
      </c>
      <c r="L299" s="192">
        <v>1</v>
      </c>
      <c r="M299" s="192">
        <v>0</v>
      </c>
      <c r="N299" s="278"/>
      <c r="O299" s="278"/>
      <c r="P299" s="278"/>
      <c r="Q299" s="278"/>
      <c r="R299" s="278"/>
      <c r="S299" s="278"/>
      <c r="T299" s="278"/>
      <c r="U299" s="278"/>
      <c r="V299" s="278"/>
      <c r="W299" s="278"/>
      <c r="X299" s="278"/>
      <c r="Y299" s="282">
        <f>VLOOKUP(A299,'3121% SY'!$A$3:$M$600,13,FALSE)</f>
        <v>0.14170000000000005</v>
      </c>
      <c r="Z299" s="30">
        <f t="shared" si="70"/>
        <v>0</v>
      </c>
      <c r="AA299" s="31">
        <f t="shared" si="58"/>
        <v>4.7350000000000003</v>
      </c>
      <c r="AB299" s="32">
        <f t="shared" si="59"/>
        <v>12.3</v>
      </c>
      <c r="AC299" s="28">
        <f t="shared" si="71"/>
        <v>17</v>
      </c>
      <c r="AD299" s="33">
        <f t="shared" si="60"/>
        <v>3.411</v>
      </c>
      <c r="AE299" s="33">
        <f t="shared" si="61"/>
        <v>0.54600000000000004</v>
      </c>
      <c r="AF299" s="25">
        <f t="shared" si="63"/>
        <v>287784.7</v>
      </c>
      <c r="AG299" s="25">
        <f t="shared" si="64"/>
        <v>21688.309999999998</v>
      </c>
      <c r="AH299" s="25">
        <f t="shared" si="65"/>
        <v>48718.58</v>
      </c>
      <c r="AI299" s="25">
        <f t="shared" si="66"/>
        <v>8336.2999999999956</v>
      </c>
      <c r="AJ299" s="25">
        <f t="shared" si="67"/>
        <v>52232.92</v>
      </c>
      <c r="AK299" s="25">
        <f t="shared" si="68"/>
        <v>3797.62</v>
      </c>
      <c r="AL299" s="25">
        <f t="shared" si="69"/>
        <v>6061.03</v>
      </c>
      <c r="AM299" s="23">
        <f t="shared" si="62"/>
        <v>428619.46</v>
      </c>
      <c r="AO299" s="23"/>
      <c r="AP299" s="23"/>
    </row>
    <row r="300" spans="1:42" x14ac:dyDescent="0.25">
      <c r="A300" t="s">
        <v>282</v>
      </c>
      <c r="B300" t="s">
        <v>578</v>
      </c>
      <c r="C300" s="25">
        <v>28</v>
      </c>
      <c r="D300" s="25">
        <v>0</v>
      </c>
      <c r="E300" s="25">
        <v>2.6160000000000001</v>
      </c>
      <c r="F300" s="25">
        <v>0</v>
      </c>
      <c r="G300" s="25">
        <v>0.44400000000000001</v>
      </c>
      <c r="H300" s="25">
        <v>0</v>
      </c>
      <c r="I300" s="25">
        <v>0</v>
      </c>
      <c r="J300" s="25">
        <v>0</v>
      </c>
      <c r="K300" s="192">
        <v>1</v>
      </c>
      <c r="L300" s="192">
        <v>1</v>
      </c>
      <c r="M300" s="192">
        <v>0</v>
      </c>
      <c r="N300" s="278"/>
      <c r="O300" s="278"/>
      <c r="P300" s="278"/>
      <c r="Q300" s="278"/>
      <c r="R300" s="278"/>
      <c r="S300" s="278"/>
      <c r="T300" s="278"/>
      <c r="U300" s="278"/>
      <c r="V300" s="278"/>
      <c r="W300" s="278"/>
      <c r="X300" s="278"/>
      <c r="Y300" s="282">
        <f>VLOOKUP(A300,'3121% SY'!$A$3:$M$600,13,FALSE)</f>
        <v>0.17410000000000003</v>
      </c>
      <c r="Z300" s="30">
        <f t="shared" si="70"/>
        <v>7.6999999999999999E-2</v>
      </c>
      <c r="AA300" s="31">
        <f t="shared" si="58"/>
        <v>2.6930000000000001</v>
      </c>
      <c r="AB300" s="32">
        <f t="shared" si="59"/>
        <v>10.4</v>
      </c>
      <c r="AC300" s="28">
        <f t="shared" si="71"/>
        <v>17</v>
      </c>
      <c r="AD300" s="33">
        <f t="shared" si="60"/>
        <v>1.9019999999999999</v>
      </c>
      <c r="AE300" s="33">
        <f t="shared" si="61"/>
        <v>0</v>
      </c>
      <c r="AF300" s="25">
        <f t="shared" si="63"/>
        <v>138328.66</v>
      </c>
      <c r="AG300" s="25">
        <f t="shared" si="64"/>
        <v>10424.859999999986</v>
      </c>
      <c r="AH300" s="25">
        <f t="shared" si="65"/>
        <v>23417.42</v>
      </c>
      <c r="AI300" s="25">
        <f t="shared" si="66"/>
        <v>4006.9900000000016</v>
      </c>
      <c r="AJ300" s="25">
        <f t="shared" si="67"/>
        <v>25106.65</v>
      </c>
      <c r="AK300" s="25">
        <f t="shared" si="68"/>
        <v>1825.39</v>
      </c>
      <c r="AL300" s="25">
        <f t="shared" si="69"/>
        <v>2913.34</v>
      </c>
      <c r="AM300" s="23">
        <f t="shared" si="62"/>
        <v>206023.31</v>
      </c>
      <c r="AO300" s="23"/>
      <c r="AP300" s="23"/>
    </row>
    <row r="301" spans="1:42" x14ac:dyDescent="0.25">
      <c r="A301" t="s">
        <v>283</v>
      </c>
      <c r="B301" t="s">
        <v>579</v>
      </c>
      <c r="C301" s="25">
        <v>12.2</v>
      </c>
      <c r="D301" s="25">
        <v>5.6</v>
      </c>
      <c r="E301" s="25">
        <v>1.1619999999999999</v>
      </c>
      <c r="F301" s="25">
        <v>0.44800000000000001</v>
      </c>
      <c r="G301" s="25">
        <v>0</v>
      </c>
      <c r="H301" s="25">
        <v>0</v>
      </c>
      <c r="I301" s="25">
        <v>0</v>
      </c>
      <c r="J301" s="25">
        <v>0</v>
      </c>
      <c r="K301" s="192">
        <v>1</v>
      </c>
      <c r="L301" s="192">
        <v>1</v>
      </c>
      <c r="M301" s="192">
        <v>4.0000000000000036E-2</v>
      </c>
      <c r="N301" s="278"/>
      <c r="O301" s="278"/>
      <c r="P301" s="278"/>
      <c r="Q301" s="278"/>
      <c r="R301" s="278"/>
      <c r="S301" s="278"/>
      <c r="T301" s="278"/>
      <c r="U301" s="278"/>
      <c r="V301" s="278"/>
      <c r="W301" s="278"/>
      <c r="X301" s="278"/>
      <c r="Y301" s="282">
        <f>VLOOKUP(A301,'3121% SY'!$A$3:$M$600,13,FALSE)</f>
        <v>0.10140000000000005</v>
      </c>
      <c r="Z301" s="30">
        <f t="shared" si="70"/>
        <v>0</v>
      </c>
      <c r="AA301" s="31">
        <f t="shared" si="58"/>
        <v>1.6099999999999999</v>
      </c>
      <c r="AB301" s="32">
        <f t="shared" si="59"/>
        <v>11.06</v>
      </c>
      <c r="AC301" s="28">
        <f t="shared" si="71"/>
        <v>17</v>
      </c>
      <c r="AD301" s="33">
        <f t="shared" si="60"/>
        <v>0.82899999999999996</v>
      </c>
      <c r="AE301" s="33">
        <f t="shared" si="61"/>
        <v>0.38</v>
      </c>
      <c r="AF301" s="25">
        <f t="shared" si="63"/>
        <v>87928.15</v>
      </c>
      <c r="AG301" s="25">
        <f t="shared" si="64"/>
        <v>10408.720000000001</v>
      </c>
      <c r="AH301" s="25">
        <f t="shared" si="65"/>
        <v>14885.21</v>
      </c>
      <c r="AI301" s="25">
        <f t="shared" si="66"/>
        <v>2547.0200000000004</v>
      </c>
      <c r="AJ301" s="25">
        <f t="shared" si="67"/>
        <v>15958.96</v>
      </c>
      <c r="AK301" s="25">
        <f t="shared" si="68"/>
        <v>1822.57</v>
      </c>
      <c r="AL301" s="25">
        <f t="shared" si="69"/>
        <v>1925.93</v>
      </c>
      <c r="AM301" s="23">
        <f t="shared" si="62"/>
        <v>135476.56</v>
      </c>
      <c r="AO301" s="23"/>
      <c r="AP301" s="23"/>
    </row>
    <row r="302" spans="1:42" x14ac:dyDescent="0.25">
      <c r="A302" t="s">
        <v>284</v>
      </c>
      <c r="B302" t="s">
        <v>580</v>
      </c>
      <c r="C302" s="25">
        <v>51</v>
      </c>
      <c r="D302" s="25">
        <v>12</v>
      </c>
      <c r="E302" s="25">
        <v>3.5449999999999999</v>
      </c>
      <c r="F302" s="25">
        <v>1.1100000000000001</v>
      </c>
      <c r="G302" s="25">
        <v>3.3000000000000002E-2</v>
      </c>
      <c r="H302" s="25">
        <v>0</v>
      </c>
      <c r="I302" s="25">
        <v>0</v>
      </c>
      <c r="J302" s="25">
        <v>0</v>
      </c>
      <c r="K302" s="192">
        <v>1</v>
      </c>
      <c r="L302" s="192">
        <v>1</v>
      </c>
      <c r="M302" s="192">
        <v>1.0000000000000009E-2</v>
      </c>
      <c r="N302" s="278"/>
      <c r="O302" s="278"/>
      <c r="P302" s="278"/>
      <c r="Q302" s="278"/>
      <c r="R302" s="278"/>
      <c r="S302" s="278"/>
      <c r="T302" s="278"/>
      <c r="U302" s="278"/>
      <c r="V302" s="278"/>
      <c r="W302" s="278"/>
      <c r="X302" s="278"/>
      <c r="Y302" s="282">
        <f>VLOOKUP(A302,'3121% SY'!$A$3:$M$600,13,FALSE)</f>
        <v>0.14729999999999999</v>
      </c>
      <c r="Z302" s="30">
        <f t="shared" si="70"/>
        <v>5.0000000000000001E-3</v>
      </c>
      <c r="AA302" s="31">
        <f t="shared" si="58"/>
        <v>4.66</v>
      </c>
      <c r="AB302" s="32">
        <f t="shared" si="59"/>
        <v>13.52</v>
      </c>
      <c r="AC302" s="28">
        <f t="shared" si="71"/>
        <v>17</v>
      </c>
      <c r="AD302" s="33">
        <f t="shared" si="60"/>
        <v>3.4649999999999999</v>
      </c>
      <c r="AE302" s="33">
        <f t="shared" si="61"/>
        <v>0.81499999999999995</v>
      </c>
      <c r="AF302" s="25">
        <f t="shared" si="63"/>
        <v>311275.84000000003</v>
      </c>
      <c r="AG302" s="25">
        <f t="shared" si="64"/>
        <v>26806.02999999997</v>
      </c>
      <c r="AH302" s="25">
        <f t="shared" si="65"/>
        <v>52695.360000000001</v>
      </c>
      <c r="AI302" s="25">
        <f t="shared" si="66"/>
        <v>9016.760000000002</v>
      </c>
      <c r="AJ302" s="25">
        <f t="shared" si="67"/>
        <v>56496.56</v>
      </c>
      <c r="AK302" s="25">
        <f t="shared" si="68"/>
        <v>4693.74</v>
      </c>
      <c r="AL302" s="25">
        <f t="shared" si="69"/>
        <v>6621.33</v>
      </c>
      <c r="AM302" s="23">
        <f t="shared" si="62"/>
        <v>467605.62</v>
      </c>
      <c r="AO302" s="23"/>
      <c r="AP302" s="23"/>
    </row>
    <row r="303" spans="1:42" x14ac:dyDescent="0.25">
      <c r="A303" t="s">
        <v>285</v>
      </c>
      <c r="B303" t="s">
        <v>581</v>
      </c>
      <c r="C303" s="25">
        <v>23</v>
      </c>
      <c r="D303" s="25">
        <v>0</v>
      </c>
      <c r="E303" s="25">
        <v>2.8</v>
      </c>
      <c r="F303" s="25">
        <v>0</v>
      </c>
      <c r="G303" s="25">
        <v>1</v>
      </c>
      <c r="H303" s="25">
        <v>0</v>
      </c>
      <c r="I303" s="25">
        <v>0</v>
      </c>
      <c r="J303" s="25">
        <v>0</v>
      </c>
      <c r="K303" s="192">
        <v>1</v>
      </c>
      <c r="L303" s="192">
        <v>1</v>
      </c>
      <c r="M303" s="192">
        <v>0</v>
      </c>
      <c r="N303" s="278"/>
      <c r="O303" s="278"/>
      <c r="P303" s="278"/>
      <c r="Q303" s="278"/>
      <c r="R303" s="278"/>
      <c r="S303" s="278"/>
      <c r="T303" s="278"/>
      <c r="U303" s="278"/>
      <c r="V303" s="278"/>
      <c r="W303" s="278"/>
      <c r="X303" s="278"/>
      <c r="Y303" s="282">
        <f>VLOOKUP(A303,'3121% SY'!$A$3:$M$600,13,FALSE)</f>
        <v>0.15139999999999998</v>
      </c>
      <c r="Z303" s="30">
        <f t="shared" si="70"/>
        <v>0.151</v>
      </c>
      <c r="AA303" s="31">
        <f t="shared" si="58"/>
        <v>2.9509999999999996</v>
      </c>
      <c r="AB303" s="32">
        <f t="shared" si="59"/>
        <v>7.79</v>
      </c>
      <c r="AC303" s="28">
        <f t="shared" si="71"/>
        <v>17</v>
      </c>
      <c r="AD303" s="33">
        <f t="shared" si="60"/>
        <v>1.5629999999999999</v>
      </c>
      <c r="AE303" s="33">
        <f t="shared" si="61"/>
        <v>0</v>
      </c>
      <c r="AF303" s="25">
        <f t="shared" si="63"/>
        <v>113673.86</v>
      </c>
      <c r="AG303" s="25">
        <f t="shared" si="64"/>
        <v>8566.8099999999977</v>
      </c>
      <c r="AH303" s="25">
        <f t="shared" si="65"/>
        <v>19243.66</v>
      </c>
      <c r="AI303" s="25">
        <f t="shared" si="66"/>
        <v>3292.7999999999993</v>
      </c>
      <c r="AJ303" s="25">
        <f t="shared" si="67"/>
        <v>20631.810000000001</v>
      </c>
      <c r="AK303" s="25">
        <f t="shared" si="68"/>
        <v>1500.05</v>
      </c>
      <c r="AL303" s="25">
        <f t="shared" si="69"/>
        <v>2394.08</v>
      </c>
      <c r="AM303" s="23">
        <f t="shared" si="62"/>
        <v>169303.06999999995</v>
      </c>
      <c r="AO303" s="23"/>
      <c r="AP303" s="23"/>
    </row>
    <row r="304" spans="1:42" x14ac:dyDescent="0.25">
      <c r="A304" t="s">
        <v>286</v>
      </c>
      <c r="B304" t="s">
        <v>582</v>
      </c>
      <c r="C304" s="25">
        <v>38.4</v>
      </c>
      <c r="D304" s="25">
        <v>9.3000000000000007</v>
      </c>
      <c r="E304" s="25">
        <v>4.5190000000000001</v>
      </c>
      <c r="F304" s="25">
        <v>1</v>
      </c>
      <c r="G304" s="25">
        <v>0.192</v>
      </c>
      <c r="H304" s="25">
        <v>0</v>
      </c>
      <c r="I304" s="25">
        <v>0</v>
      </c>
      <c r="J304" s="25">
        <v>0</v>
      </c>
      <c r="K304" s="192">
        <v>1</v>
      </c>
      <c r="L304" s="192">
        <v>1</v>
      </c>
      <c r="M304" s="192">
        <v>4.0000000000000036E-2</v>
      </c>
      <c r="N304" s="278"/>
      <c r="O304" s="278"/>
      <c r="P304" s="278"/>
      <c r="Q304" s="278"/>
      <c r="R304" s="278"/>
      <c r="S304" s="278"/>
      <c r="T304" s="278"/>
      <c r="U304" s="278"/>
      <c r="V304" s="278"/>
      <c r="W304" s="278"/>
      <c r="X304" s="278"/>
      <c r="Y304" s="282">
        <f>VLOOKUP(A304,'3121% SY'!$A$3:$M$600,13,FALSE)</f>
        <v>0.11870000000000003</v>
      </c>
      <c r="Z304" s="30">
        <f t="shared" si="70"/>
        <v>2.3E-2</v>
      </c>
      <c r="AA304" s="31">
        <f t="shared" si="58"/>
        <v>5.5419999999999998</v>
      </c>
      <c r="AB304" s="32">
        <f t="shared" si="59"/>
        <v>8.61</v>
      </c>
      <c r="AC304" s="28">
        <f t="shared" si="71"/>
        <v>17</v>
      </c>
      <c r="AD304" s="33">
        <f t="shared" si="60"/>
        <v>2.609</v>
      </c>
      <c r="AE304" s="33">
        <f t="shared" si="61"/>
        <v>0.63200000000000001</v>
      </c>
      <c r="AF304" s="25">
        <f t="shared" si="63"/>
        <v>235711.45</v>
      </c>
      <c r="AG304" s="25">
        <f t="shared" si="64"/>
        <v>27902.929999999993</v>
      </c>
      <c r="AH304" s="25">
        <f t="shared" si="65"/>
        <v>39903.19</v>
      </c>
      <c r="AI304" s="25">
        <f t="shared" si="66"/>
        <v>6827.8799999999974</v>
      </c>
      <c r="AJ304" s="25">
        <f t="shared" si="67"/>
        <v>42781.63</v>
      </c>
      <c r="AK304" s="25">
        <f t="shared" si="68"/>
        <v>4885.8</v>
      </c>
      <c r="AL304" s="25">
        <f t="shared" si="69"/>
        <v>5162.8900000000003</v>
      </c>
      <c r="AM304" s="23">
        <f t="shared" si="62"/>
        <v>363175.77</v>
      </c>
      <c r="AO304" s="23"/>
      <c r="AP304" s="23"/>
    </row>
    <row r="305" spans="1:42" x14ac:dyDescent="0.25">
      <c r="A305" t="s">
        <v>287</v>
      </c>
      <c r="B305" t="s">
        <v>583</v>
      </c>
      <c r="C305" s="25">
        <v>56</v>
      </c>
      <c r="D305" s="25">
        <v>7</v>
      </c>
      <c r="E305" s="25">
        <v>3.5</v>
      </c>
      <c r="F305" s="25">
        <v>0</v>
      </c>
      <c r="G305" s="25">
        <v>0</v>
      </c>
      <c r="H305" s="25">
        <v>0</v>
      </c>
      <c r="I305" s="25">
        <v>0</v>
      </c>
      <c r="J305" s="25">
        <v>0</v>
      </c>
      <c r="K305" s="192">
        <v>1</v>
      </c>
      <c r="L305" s="192">
        <v>1</v>
      </c>
      <c r="M305" s="192">
        <v>0</v>
      </c>
      <c r="N305" s="278"/>
      <c r="O305" s="278"/>
      <c r="P305" s="278"/>
      <c r="Q305" s="278"/>
      <c r="R305" s="278"/>
      <c r="S305" s="278"/>
      <c r="T305" s="278"/>
      <c r="U305" s="278"/>
      <c r="V305" s="278"/>
      <c r="W305" s="278"/>
      <c r="X305" s="278"/>
      <c r="Y305" s="282">
        <f>VLOOKUP(A305,'3121% SY'!$A$3:$M$600,13,FALSE)</f>
        <v>0.13819999999999999</v>
      </c>
      <c r="Z305" s="30">
        <f t="shared" si="70"/>
        <v>0</v>
      </c>
      <c r="AA305" s="31">
        <f t="shared" si="58"/>
        <v>3.5</v>
      </c>
      <c r="AB305" s="32">
        <f t="shared" si="59"/>
        <v>18</v>
      </c>
      <c r="AC305" s="28">
        <f t="shared" si="71"/>
        <v>18</v>
      </c>
      <c r="AD305" s="33">
        <f t="shared" si="60"/>
        <v>3.593</v>
      </c>
      <c r="AE305" s="33">
        <f t="shared" si="61"/>
        <v>0.44900000000000001</v>
      </c>
      <c r="AF305" s="25">
        <f t="shared" si="63"/>
        <v>293966.58</v>
      </c>
      <c r="AG305" s="25">
        <f t="shared" si="64"/>
        <v>22154.200000000012</v>
      </c>
      <c r="AH305" s="25">
        <f t="shared" si="65"/>
        <v>49765.1</v>
      </c>
      <c r="AI305" s="25">
        <f t="shared" si="66"/>
        <v>8515.3700000000026</v>
      </c>
      <c r="AJ305" s="25">
        <f t="shared" si="67"/>
        <v>53354.93</v>
      </c>
      <c r="AK305" s="25">
        <f t="shared" si="68"/>
        <v>3879.2</v>
      </c>
      <c r="AL305" s="25">
        <f t="shared" si="69"/>
        <v>6191.23</v>
      </c>
      <c r="AM305" s="23">
        <f t="shared" si="62"/>
        <v>437826.61</v>
      </c>
      <c r="AO305" s="23"/>
      <c r="AP305" s="23"/>
    </row>
    <row r="306" spans="1:42" x14ac:dyDescent="0.25">
      <c r="A306" t="s">
        <v>288</v>
      </c>
      <c r="B306" t="s">
        <v>584</v>
      </c>
      <c r="C306" s="25">
        <v>35.03</v>
      </c>
      <c r="D306" s="25">
        <v>7.03</v>
      </c>
      <c r="E306" s="25">
        <v>2.8159999999999998</v>
      </c>
      <c r="F306" s="25">
        <v>0</v>
      </c>
      <c r="G306" s="25">
        <v>0</v>
      </c>
      <c r="H306" s="25">
        <v>0</v>
      </c>
      <c r="I306" s="25">
        <v>0</v>
      </c>
      <c r="J306" s="25">
        <v>0</v>
      </c>
      <c r="K306" s="192">
        <v>1</v>
      </c>
      <c r="L306" s="192">
        <v>1</v>
      </c>
      <c r="M306" s="192">
        <v>1.0000000000000009E-2</v>
      </c>
      <c r="N306" s="278"/>
      <c r="O306" s="278"/>
      <c r="P306" s="278"/>
      <c r="Q306" s="278"/>
      <c r="R306" s="278"/>
      <c r="S306" s="278"/>
      <c r="T306" s="278"/>
      <c r="U306" s="278"/>
      <c r="V306" s="278"/>
      <c r="W306" s="278"/>
      <c r="X306" s="278"/>
      <c r="Y306" s="282">
        <f>VLOOKUP(A306,'3121% SY'!$A$3:$M$600,13,FALSE)</f>
        <v>0.16190000000000004</v>
      </c>
      <c r="Z306" s="30">
        <f t="shared" si="70"/>
        <v>0</v>
      </c>
      <c r="AA306" s="31">
        <f t="shared" si="58"/>
        <v>2.8159999999999998</v>
      </c>
      <c r="AB306" s="32">
        <f t="shared" si="59"/>
        <v>14.94</v>
      </c>
      <c r="AC306" s="28">
        <f t="shared" si="71"/>
        <v>17</v>
      </c>
      <c r="AD306" s="33">
        <f t="shared" si="60"/>
        <v>2.38</v>
      </c>
      <c r="AE306" s="33">
        <f t="shared" si="61"/>
        <v>0.47799999999999998</v>
      </c>
      <c r="AF306" s="25">
        <f t="shared" si="63"/>
        <v>207856.62</v>
      </c>
      <c r="AG306" s="25">
        <f t="shared" si="64"/>
        <v>17899.920000000013</v>
      </c>
      <c r="AH306" s="25">
        <f t="shared" si="65"/>
        <v>35187.699999999997</v>
      </c>
      <c r="AI306" s="25">
        <f t="shared" si="66"/>
        <v>6021</v>
      </c>
      <c r="AJ306" s="25">
        <f t="shared" si="67"/>
        <v>37725.980000000003</v>
      </c>
      <c r="AK306" s="25">
        <f t="shared" si="68"/>
        <v>3134.28</v>
      </c>
      <c r="AL306" s="25">
        <f t="shared" si="69"/>
        <v>4421.4399999999996</v>
      </c>
      <c r="AM306" s="23">
        <f t="shared" si="62"/>
        <v>312246.94</v>
      </c>
      <c r="AO306" s="23"/>
      <c r="AP306" s="23"/>
    </row>
    <row r="307" spans="1:42" x14ac:dyDescent="0.25">
      <c r="A307" t="s">
        <v>289</v>
      </c>
      <c r="B307" t="s">
        <v>585</v>
      </c>
      <c r="C307" s="25">
        <v>221</v>
      </c>
      <c r="D307" s="25">
        <v>16.600000000000001</v>
      </c>
      <c r="E307" s="25">
        <v>12.803000000000001</v>
      </c>
      <c r="F307" s="25">
        <v>0</v>
      </c>
      <c r="G307" s="25">
        <v>0.81200000000000006</v>
      </c>
      <c r="H307" s="25">
        <v>0</v>
      </c>
      <c r="I307" s="25">
        <v>0</v>
      </c>
      <c r="J307" s="25">
        <v>0</v>
      </c>
      <c r="K307" s="192">
        <v>1</v>
      </c>
      <c r="L307" s="192">
        <v>1</v>
      </c>
      <c r="M307" s="192">
        <v>0</v>
      </c>
      <c r="N307" s="278"/>
      <c r="O307" s="278"/>
      <c r="P307" s="278"/>
      <c r="Q307" s="278"/>
      <c r="R307" s="278"/>
      <c r="S307" s="278"/>
      <c r="T307" s="278"/>
      <c r="U307" s="278"/>
      <c r="V307" s="278"/>
      <c r="W307" s="278"/>
      <c r="X307" s="278"/>
      <c r="Y307" s="282">
        <f>VLOOKUP(A307,'3121% SY'!$A$3:$M$600,13,FALSE)</f>
        <v>0.19010000000000005</v>
      </c>
      <c r="Z307" s="30">
        <f t="shared" si="70"/>
        <v>0.154</v>
      </c>
      <c r="AA307" s="31">
        <f t="shared" si="58"/>
        <v>12.957000000000001</v>
      </c>
      <c r="AB307" s="32">
        <f t="shared" si="59"/>
        <v>18.34</v>
      </c>
      <c r="AC307" s="28">
        <f t="shared" si="71"/>
        <v>18.34</v>
      </c>
      <c r="AD307" s="33">
        <f t="shared" si="60"/>
        <v>13.917999999999999</v>
      </c>
      <c r="AE307" s="33">
        <f t="shared" si="61"/>
        <v>1.0449999999999999</v>
      </c>
      <c r="AF307" s="25">
        <f t="shared" si="63"/>
        <v>1088229.06</v>
      </c>
      <c r="AG307" s="25">
        <f t="shared" si="64"/>
        <v>82012.209999999963</v>
      </c>
      <c r="AH307" s="25">
        <f t="shared" si="65"/>
        <v>184224.46</v>
      </c>
      <c r="AI307" s="25">
        <f t="shared" si="66"/>
        <v>31522.850000000006</v>
      </c>
      <c r="AJ307" s="25">
        <f t="shared" si="67"/>
        <v>197513.57</v>
      </c>
      <c r="AK307" s="25">
        <f t="shared" si="68"/>
        <v>14360.34</v>
      </c>
      <c r="AL307" s="25">
        <f t="shared" si="69"/>
        <v>22919.18</v>
      </c>
      <c r="AM307" s="23">
        <f t="shared" si="62"/>
        <v>1620781.6700000002</v>
      </c>
      <c r="AO307" s="23"/>
      <c r="AP307" s="23"/>
    </row>
    <row r="308" spans="1:42" x14ac:dyDescent="0.25">
      <c r="A308" t="s">
        <v>290</v>
      </c>
      <c r="B308" t="s">
        <v>586</v>
      </c>
      <c r="C308" s="25">
        <v>357.43</v>
      </c>
      <c r="D308" s="25">
        <v>31.8</v>
      </c>
      <c r="E308" s="25">
        <v>20.167999999999999</v>
      </c>
      <c r="F308" s="25">
        <v>2.0590000000000002</v>
      </c>
      <c r="G308" s="25">
        <v>0.89400000000000002</v>
      </c>
      <c r="H308" s="25">
        <v>0</v>
      </c>
      <c r="I308" s="25">
        <v>0</v>
      </c>
      <c r="J308" s="25">
        <v>0.23799999999999999</v>
      </c>
      <c r="K308" s="192">
        <v>1</v>
      </c>
      <c r="L308" s="192">
        <v>1</v>
      </c>
      <c r="M308" s="192">
        <v>0</v>
      </c>
      <c r="N308" s="278"/>
      <c r="O308" s="278"/>
      <c r="P308" s="278"/>
      <c r="Q308" s="278"/>
      <c r="R308" s="278"/>
      <c r="S308" s="278"/>
      <c r="T308" s="278"/>
      <c r="U308" s="278"/>
      <c r="V308" s="278"/>
      <c r="W308" s="278"/>
      <c r="X308" s="278"/>
      <c r="Y308" s="282">
        <f>VLOOKUP(A308,'3121% SY'!$A$3:$M$600,13,FALSE)</f>
        <v>0.15839999999999999</v>
      </c>
      <c r="Z308" s="30">
        <f t="shared" si="70"/>
        <v>0.18</v>
      </c>
      <c r="AA308" s="31">
        <f t="shared" si="58"/>
        <v>22.407</v>
      </c>
      <c r="AB308" s="32">
        <f t="shared" si="59"/>
        <v>17.37</v>
      </c>
      <c r="AC308" s="28">
        <f t="shared" si="71"/>
        <v>17.37</v>
      </c>
      <c r="AD308" s="33">
        <f t="shared" si="60"/>
        <v>23.766999999999999</v>
      </c>
      <c r="AE308" s="33">
        <f t="shared" si="61"/>
        <v>2.1150000000000002</v>
      </c>
      <c r="AF308" s="25">
        <f t="shared" si="63"/>
        <v>1882346.1</v>
      </c>
      <c r="AG308" s="25">
        <f t="shared" si="64"/>
        <v>141859.24</v>
      </c>
      <c r="AH308" s="25">
        <f t="shared" si="65"/>
        <v>318659.18</v>
      </c>
      <c r="AI308" s="25">
        <f t="shared" si="66"/>
        <v>54526.130000000005</v>
      </c>
      <c r="AJ308" s="25">
        <f t="shared" si="67"/>
        <v>341645.82</v>
      </c>
      <c r="AK308" s="25">
        <f t="shared" si="68"/>
        <v>24839.55</v>
      </c>
      <c r="AL308" s="25">
        <f t="shared" si="69"/>
        <v>39644.06</v>
      </c>
      <c r="AM308" s="23">
        <f t="shared" si="62"/>
        <v>2803520.0799999996</v>
      </c>
      <c r="AO308" s="23"/>
      <c r="AP308" s="23"/>
    </row>
    <row r="309" spans="1:42" x14ac:dyDescent="0.25">
      <c r="A309" t="s">
        <v>291</v>
      </c>
      <c r="B309" t="s">
        <v>587</v>
      </c>
      <c r="C309" s="25">
        <v>4173.04</v>
      </c>
      <c r="D309" s="25">
        <v>0</v>
      </c>
      <c r="E309" s="25">
        <v>229.96199999999999</v>
      </c>
      <c r="F309" s="25">
        <v>0</v>
      </c>
      <c r="G309" s="25">
        <v>25.8</v>
      </c>
      <c r="H309" s="25">
        <v>0</v>
      </c>
      <c r="I309" s="25">
        <v>0</v>
      </c>
      <c r="J309" s="25">
        <v>0</v>
      </c>
      <c r="K309" s="192">
        <v>1</v>
      </c>
      <c r="L309" s="192">
        <v>1</v>
      </c>
      <c r="M309" s="192">
        <v>0</v>
      </c>
      <c r="N309" s="278"/>
      <c r="O309" s="278"/>
      <c r="P309" s="278"/>
      <c r="Q309" s="278"/>
      <c r="R309" s="278"/>
      <c r="S309" s="278"/>
      <c r="T309" s="278"/>
      <c r="U309" s="278"/>
      <c r="V309" s="278"/>
      <c r="W309" s="278"/>
      <c r="X309" s="278"/>
      <c r="Y309" s="282">
        <f>VLOOKUP(A309,'3121% SY'!$A$3:$M$600,13,FALSE)</f>
        <v>0.32020000000000004</v>
      </c>
      <c r="Z309" s="30">
        <f t="shared" si="70"/>
        <v>8.2609999999999992</v>
      </c>
      <c r="AA309" s="31">
        <f t="shared" si="58"/>
        <v>238.22299999999998</v>
      </c>
      <c r="AB309" s="32">
        <f t="shared" si="59"/>
        <v>17.52</v>
      </c>
      <c r="AC309" s="28">
        <f t="shared" si="71"/>
        <v>17.52</v>
      </c>
      <c r="AD309" s="33">
        <f t="shared" si="60"/>
        <v>275.10599999999999</v>
      </c>
      <c r="AE309" s="33">
        <f t="shared" si="61"/>
        <v>0</v>
      </c>
      <c r="AF309" s="25">
        <f t="shared" si="63"/>
        <v>20007909.170000002</v>
      </c>
      <c r="AG309" s="25">
        <f t="shared" si="64"/>
        <v>1507855.9799999967</v>
      </c>
      <c r="AH309" s="25">
        <f t="shared" si="65"/>
        <v>3387105.07</v>
      </c>
      <c r="AI309" s="25">
        <f t="shared" si="66"/>
        <v>579571.31000000006</v>
      </c>
      <c r="AJ309" s="25">
        <f t="shared" si="67"/>
        <v>3631435.51</v>
      </c>
      <c r="AK309" s="25">
        <f t="shared" si="68"/>
        <v>264025.58</v>
      </c>
      <c r="AL309" s="25">
        <f t="shared" si="69"/>
        <v>421386.26</v>
      </c>
      <c r="AM309" s="23">
        <f t="shared" si="62"/>
        <v>29799288.879999999</v>
      </c>
      <c r="AO309" s="23"/>
      <c r="AP309" s="23"/>
    </row>
    <row r="310" spans="1:42" x14ac:dyDescent="0.25">
      <c r="A310" t="s">
        <v>292</v>
      </c>
      <c r="B310" t="s">
        <v>588</v>
      </c>
      <c r="C310" s="25">
        <v>894.08</v>
      </c>
      <c r="D310" s="25">
        <v>78.400000000000006</v>
      </c>
      <c r="E310" s="25">
        <v>50.658999999999999</v>
      </c>
      <c r="F310" s="25">
        <v>4.49</v>
      </c>
      <c r="G310" s="25">
        <v>3.31</v>
      </c>
      <c r="H310" s="25">
        <v>0</v>
      </c>
      <c r="I310" s="25">
        <v>0</v>
      </c>
      <c r="J310" s="25">
        <v>0</v>
      </c>
      <c r="K310" s="192">
        <v>1</v>
      </c>
      <c r="L310" s="192">
        <v>1</v>
      </c>
      <c r="M310" s="192">
        <v>0</v>
      </c>
      <c r="N310" s="278"/>
      <c r="O310" s="278"/>
      <c r="P310" s="278"/>
      <c r="Q310" s="278"/>
      <c r="R310" s="278"/>
      <c r="S310" s="278"/>
      <c r="T310" s="278"/>
      <c r="U310" s="278"/>
      <c r="V310" s="278"/>
      <c r="W310" s="278"/>
      <c r="X310" s="278"/>
      <c r="Y310" s="282">
        <f>VLOOKUP(A310,'3121% SY'!$A$3:$M$600,13,FALSE)</f>
        <v>0.21899999999999997</v>
      </c>
      <c r="Z310" s="30">
        <f t="shared" si="70"/>
        <v>0.72499999999999998</v>
      </c>
      <c r="AA310" s="31">
        <f t="shared" si="58"/>
        <v>55.874000000000002</v>
      </c>
      <c r="AB310" s="32">
        <f t="shared" si="59"/>
        <v>17.399999999999999</v>
      </c>
      <c r="AC310" s="28">
        <f t="shared" si="71"/>
        <v>17.399999999999999</v>
      </c>
      <c r="AD310" s="33">
        <f t="shared" si="60"/>
        <v>59.347999999999999</v>
      </c>
      <c r="AE310" s="33">
        <f t="shared" si="61"/>
        <v>5.2039999999999997</v>
      </c>
      <c r="AF310" s="25">
        <f t="shared" si="63"/>
        <v>4694737.8600000003</v>
      </c>
      <c r="AG310" s="25">
        <f t="shared" si="64"/>
        <v>353809.50999999978</v>
      </c>
      <c r="AH310" s="25">
        <f t="shared" si="65"/>
        <v>794764.22</v>
      </c>
      <c r="AI310" s="25">
        <f t="shared" si="66"/>
        <v>135992.99</v>
      </c>
      <c r="AJ310" s="25">
        <f t="shared" si="67"/>
        <v>852094.92</v>
      </c>
      <c r="AK310" s="25">
        <f t="shared" si="68"/>
        <v>61952.05</v>
      </c>
      <c r="AL310" s="25">
        <f t="shared" si="69"/>
        <v>98875.8</v>
      </c>
      <c r="AM310" s="23">
        <f t="shared" si="62"/>
        <v>6992227.3499999996</v>
      </c>
      <c r="AO310" s="23"/>
      <c r="AP310" s="23"/>
    </row>
    <row r="311" spans="1:42" x14ac:dyDescent="0.25">
      <c r="A311" t="s">
        <v>293</v>
      </c>
      <c r="B311" t="s">
        <v>589</v>
      </c>
      <c r="C311" s="25">
        <v>981.71</v>
      </c>
      <c r="D311" s="25">
        <v>18</v>
      </c>
      <c r="E311" s="25">
        <v>62.429000000000002</v>
      </c>
      <c r="F311" s="25">
        <v>1</v>
      </c>
      <c r="G311" s="25">
        <v>4.2</v>
      </c>
      <c r="H311" s="25">
        <v>0</v>
      </c>
      <c r="I311" s="25">
        <v>0</v>
      </c>
      <c r="J311" s="25">
        <v>0</v>
      </c>
      <c r="K311" s="192">
        <v>1</v>
      </c>
      <c r="L311" s="192">
        <v>1</v>
      </c>
      <c r="M311" s="192">
        <v>0</v>
      </c>
      <c r="N311" s="278"/>
      <c r="O311" s="278"/>
      <c r="P311" s="278"/>
      <c r="Q311" s="278"/>
      <c r="R311" s="278"/>
      <c r="S311" s="278"/>
      <c r="T311" s="278"/>
      <c r="U311" s="278"/>
      <c r="V311" s="278"/>
      <c r="W311" s="278"/>
      <c r="X311" s="278"/>
      <c r="Y311" s="282">
        <f>VLOOKUP(A311,'3121% SY'!$A$3:$M$600,13,FALSE)</f>
        <v>0.1996</v>
      </c>
      <c r="Z311" s="30">
        <f t="shared" si="70"/>
        <v>0.83799999999999997</v>
      </c>
      <c r="AA311" s="31">
        <f t="shared" ref="AA311:AA322" si="72">SUM(Z311,E311,F311,H311,I311)</f>
        <v>64.266999999999996</v>
      </c>
      <c r="AB311" s="32">
        <f t="shared" ref="AB311:AB322" si="73">IFERROR(ROUND(($C311+$D311)/AA311,2),0)</f>
        <v>15.56</v>
      </c>
      <c r="AC311" s="28">
        <f t="shared" si="71"/>
        <v>17</v>
      </c>
      <c r="AD311" s="33">
        <f t="shared" ref="AD311:AD322" si="74">ROUND($C311/$AC311*1.155,3)</f>
        <v>66.698999999999998</v>
      </c>
      <c r="AE311" s="33">
        <f t="shared" ref="AE311:AE322" si="75">ROUND($D311/$AC311*1.155,3)</f>
        <v>1.2230000000000001</v>
      </c>
      <c r="AF311" s="25">
        <f t="shared" si="63"/>
        <v>4939831.22</v>
      </c>
      <c r="AG311" s="25">
        <f t="shared" si="64"/>
        <v>372280.48000000045</v>
      </c>
      <c r="AH311" s="25">
        <f t="shared" si="65"/>
        <v>836255.66</v>
      </c>
      <c r="AI311" s="25">
        <f t="shared" si="66"/>
        <v>143092.64000000001</v>
      </c>
      <c r="AJ311" s="25">
        <f t="shared" si="67"/>
        <v>896579.37</v>
      </c>
      <c r="AK311" s="25">
        <f t="shared" si="68"/>
        <v>65186.31</v>
      </c>
      <c r="AL311" s="25">
        <f t="shared" si="69"/>
        <v>104037.71</v>
      </c>
      <c r="AM311" s="23">
        <f t="shared" ref="AM311:AM322" si="76">SUM(AF311:AL311)</f>
        <v>7357263.3899999997</v>
      </c>
      <c r="AO311" s="23"/>
      <c r="AP311" s="23"/>
    </row>
    <row r="312" spans="1:42" x14ac:dyDescent="0.25">
      <c r="A312" t="s">
        <v>294</v>
      </c>
      <c r="B312" t="s">
        <v>590</v>
      </c>
      <c r="C312" s="25">
        <v>196</v>
      </c>
      <c r="D312" s="25">
        <v>26.4</v>
      </c>
      <c r="E312" s="25">
        <v>12.339</v>
      </c>
      <c r="F312" s="25">
        <v>0</v>
      </c>
      <c r="G312" s="25">
        <v>0.57199999999999995</v>
      </c>
      <c r="H312" s="25">
        <v>0</v>
      </c>
      <c r="I312" s="25">
        <v>0</v>
      </c>
      <c r="J312" s="25">
        <v>0</v>
      </c>
      <c r="K312" s="192">
        <v>1</v>
      </c>
      <c r="L312" s="192">
        <v>1</v>
      </c>
      <c r="M312" s="192">
        <v>0</v>
      </c>
      <c r="N312" s="278"/>
      <c r="O312" s="278"/>
      <c r="P312" s="278"/>
      <c r="Q312" s="278"/>
      <c r="R312" s="278"/>
      <c r="S312" s="278"/>
      <c r="T312" s="278"/>
      <c r="U312" s="278"/>
      <c r="V312" s="278"/>
      <c r="W312" s="278"/>
      <c r="X312" s="278"/>
      <c r="Y312" s="282">
        <f>VLOOKUP(A312,'3121% SY'!$A$3:$M$600,13,FALSE)</f>
        <v>0.252</v>
      </c>
      <c r="Z312" s="30">
        <f t="shared" si="70"/>
        <v>0.14399999999999999</v>
      </c>
      <c r="AA312" s="31">
        <f t="shared" si="72"/>
        <v>12.483000000000001</v>
      </c>
      <c r="AB312" s="32">
        <f t="shared" si="73"/>
        <v>17.82</v>
      </c>
      <c r="AC312" s="28">
        <f t="shared" si="71"/>
        <v>17.82</v>
      </c>
      <c r="AD312" s="33">
        <f t="shared" si="74"/>
        <v>12.704000000000001</v>
      </c>
      <c r="AE312" s="33">
        <f t="shared" si="75"/>
        <v>1.7110000000000001</v>
      </c>
      <c r="AF312" s="25">
        <f t="shared" si="63"/>
        <v>1048374.12</v>
      </c>
      <c r="AG312" s="25">
        <f t="shared" si="64"/>
        <v>79008.62</v>
      </c>
      <c r="AH312" s="25">
        <f t="shared" si="65"/>
        <v>177477.48</v>
      </c>
      <c r="AI312" s="25">
        <f t="shared" si="66"/>
        <v>30368.369999999995</v>
      </c>
      <c r="AJ312" s="25">
        <f t="shared" si="67"/>
        <v>190279.9</v>
      </c>
      <c r="AK312" s="25">
        <f t="shared" si="68"/>
        <v>13834.41</v>
      </c>
      <c r="AL312" s="25">
        <f t="shared" si="69"/>
        <v>22079.79</v>
      </c>
      <c r="AM312" s="23">
        <f t="shared" si="76"/>
        <v>1561422.6899999997</v>
      </c>
      <c r="AO312" s="23"/>
      <c r="AP312" s="23"/>
    </row>
    <row r="313" spans="1:42" x14ac:dyDescent="0.25">
      <c r="A313" t="s">
        <v>295</v>
      </c>
      <c r="B313" t="s">
        <v>591</v>
      </c>
      <c r="C313" s="25">
        <v>939.81</v>
      </c>
      <c r="D313" s="25">
        <v>98.2</v>
      </c>
      <c r="E313" s="25">
        <v>57.956000000000003</v>
      </c>
      <c r="F313" s="25">
        <v>6</v>
      </c>
      <c r="G313" s="25">
        <v>5.077</v>
      </c>
      <c r="H313" s="25">
        <v>0</v>
      </c>
      <c r="I313" s="25">
        <v>0</v>
      </c>
      <c r="J313" s="25">
        <v>0</v>
      </c>
      <c r="K313" s="192">
        <v>1</v>
      </c>
      <c r="L313" s="192">
        <v>1</v>
      </c>
      <c r="M313" s="192">
        <v>0</v>
      </c>
      <c r="N313" s="278"/>
      <c r="O313" s="278"/>
      <c r="P313" s="278"/>
      <c r="Q313" s="278"/>
      <c r="R313" s="278"/>
      <c r="S313" s="278"/>
      <c r="T313" s="278"/>
      <c r="U313" s="278"/>
      <c r="V313" s="278"/>
      <c r="W313" s="278"/>
      <c r="X313" s="278"/>
      <c r="Y313" s="282">
        <f>VLOOKUP(A313,'3121% SY'!$A$3:$M$600,13,FALSE)</f>
        <v>0.30710000000000004</v>
      </c>
      <c r="Z313" s="30">
        <f t="shared" si="70"/>
        <v>1.5589999999999999</v>
      </c>
      <c r="AA313" s="31">
        <f t="shared" si="72"/>
        <v>65.515000000000001</v>
      </c>
      <c r="AB313" s="32">
        <f t="shared" si="73"/>
        <v>15.84</v>
      </c>
      <c r="AC313" s="28">
        <f t="shared" si="71"/>
        <v>17</v>
      </c>
      <c r="AD313" s="33">
        <f t="shared" si="74"/>
        <v>63.851999999999997</v>
      </c>
      <c r="AE313" s="33">
        <f t="shared" si="75"/>
        <v>6.6719999999999997</v>
      </c>
      <c r="AF313" s="25">
        <f t="shared" si="63"/>
        <v>5129069.47</v>
      </c>
      <c r="AG313" s="25">
        <f t="shared" si="64"/>
        <v>386542.04999999981</v>
      </c>
      <c r="AH313" s="25">
        <f t="shared" si="65"/>
        <v>868291.49</v>
      </c>
      <c r="AI313" s="25">
        <f t="shared" si="66"/>
        <v>148574.32000000007</v>
      </c>
      <c r="AJ313" s="25">
        <f t="shared" si="67"/>
        <v>930926.11</v>
      </c>
      <c r="AK313" s="25">
        <f t="shared" si="68"/>
        <v>67683.509999999995</v>
      </c>
      <c r="AL313" s="25">
        <f t="shared" si="69"/>
        <v>108023.25</v>
      </c>
      <c r="AM313" s="23">
        <f t="shared" si="76"/>
        <v>7639110.2000000002</v>
      </c>
      <c r="AO313" s="23"/>
      <c r="AP313" s="23"/>
    </row>
    <row r="314" spans="1:42" x14ac:dyDescent="0.25">
      <c r="A314" t="s">
        <v>296</v>
      </c>
      <c r="B314" t="s">
        <v>592</v>
      </c>
      <c r="C314" s="25">
        <v>1653.37</v>
      </c>
      <c r="D314" s="25">
        <v>27.2</v>
      </c>
      <c r="E314" s="25">
        <v>87.759</v>
      </c>
      <c r="F314" s="25">
        <v>2</v>
      </c>
      <c r="G314" s="25">
        <v>11.58</v>
      </c>
      <c r="H314" s="25">
        <v>0</v>
      </c>
      <c r="I314" s="25">
        <v>0</v>
      </c>
      <c r="J314" s="25">
        <v>0</v>
      </c>
      <c r="K314" s="192">
        <v>1</v>
      </c>
      <c r="L314" s="192">
        <v>1</v>
      </c>
      <c r="M314" s="192">
        <v>0</v>
      </c>
      <c r="N314" s="278"/>
      <c r="O314" s="278"/>
      <c r="P314" s="278"/>
      <c r="Q314" s="278"/>
      <c r="R314" s="278"/>
      <c r="S314" s="278"/>
      <c r="T314" s="278"/>
      <c r="U314" s="278"/>
      <c r="V314" s="278"/>
      <c r="W314" s="278"/>
      <c r="X314" s="278"/>
      <c r="Y314" s="282">
        <f>VLOOKUP(A314,'3121% SY'!$A$3:$M$600,13,FALSE)</f>
        <v>0.28639999999999999</v>
      </c>
      <c r="Z314" s="30">
        <f t="shared" si="70"/>
        <v>3.3170000000000002</v>
      </c>
      <c r="AA314" s="31">
        <f t="shared" si="72"/>
        <v>93.075999999999993</v>
      </c>
      <c r="AB314" s="32">
        <f t="shared" si="73"/>
        <v>18.059999999999999</v>
      </c>
      <c r="AC314" s="28">
        <f t="shared" si="71"/>
        <v>18.059999999999999</v>
      </c>
      <c r="AD314" s="33">
        <f t="shared" si="74"/>
        <v>105.739</v>
      </c>
      <c r="AE314" s="33">
        <f t="shared" si="75"/>
        <v>1.74</v>
      </c>
      <c r="AF314" s="25">
        <f t="shared" si="63"/>
        <v>7816732.71</v>
      </c>
      <c r="AG314" s="25">
        <f t="shared" si="64"/>
        <v>589092.39999999944</v>
      </c>
      <c r="AH314" s="25">
        <f t="shared" si="65"/>
        <v>1323281.45</v>
      </c>
      <c r="AI314" s="25">
        <f t="shared" si="66"/>
        <v>226428.16000000015</v>
      </c>
      <c r="AJ314" s="25">
        <f t="shared" si="67"/>
        <v>1418736.99</v>
      </c>
      <c r="AK314" s="25">
        <f t="shared" si="68"/>
        <v>103150.08</v>
      </c>
      <c r="AL314" s="25">
        <f t="shared" si="69"/>
        <v>164628.07999999999</v>
      </c>
      <c r="AM314" s="23">
        <f t="shared" si="76"/>
        <v>11642049.869999999</v>
      </c>
      <c r="AO314" s="23"/>
      <c r="AP314" s="23"/>
    </row>
    <row r="315" spans="1:42" x14ac:dyDescent="0.25">
      <c r="A315" t="s">
        <v>297</v>
      </c>
      <c r="B315" t="s">
        <v>593</v>
      </c>
      <c r="C315" s="25">
        <v>958.6</v>
      </c>
      <c r="D315" s="25">
        <v>0</v>
      </c>
      <c r="E315" s="25">
        <v>54.865000000000002</v>
      </c>
      <c r="F315" s="25">
        <v>0</v>
      </c>
      <c r="G315" s="25">
        <v>4.4000000000000004</v>
      </c>
      <c r="H315" s="25">
        <v>0</v>
      </c>
      <c r="I315" s="25">
        <v>0</v>
      </c>
      <c r="J315" s="25">
        <v>0</v>
      </c>
      <c r="K315" s="192">
        <v>1</v>
      </c>
      <c r="L315" s="192">
        <v>1</v>
      </c>
      <c r="M315" s="192">
        <v>0</v>
      </c>
      <c r="N315" s="278"/>
      <c r="O315" s="278"/>
      <c r="P315" s="278"/>
      <c r="Q315" s="278"/>
      <c r="R315" s="278"/>
      <c r="S315" s="278"/>
      <c r="T315" s="278"/>
      <c r="U315" s="278"/>
      <c r="V315" s="278"/>
      <c r="W315" s="278"/>
      <c r="X315" s="278"/>
      <c r="Y315" s="282">
        <f>VLOOKUP(A315,'3121% SY'!$A$3:$M$600,13,FALSE)</f>
        <v>0.15629999999999999</v>
      </c>
      <c r="Z315" s="30">
        <f t="shared" si="70"/>
        <v>0.68799999999999994</v>
      </c>
      <c r="AA315" s="31">
        <f t="shared" si="72"/>
        <v>55.553000000000004</v>
      </c>
      <c r="AB315" s="32">
        <f t="shared" si="73"/>
        <v>17.260000000000002</v>
      </c>
      <c r="AC315" s="28">
        <f t="shared" si="71"/>
        <v>17.260000000000002</v>
      </c>
      <c r="AD315" s="33">
        <f t="shared" si="74"/>
        <v>64.147000000000006</v>
      </c>
      <c r="AE315" s="33">
        <f t="shared" si="75"/>
        <v>0</v>
      </c>
      <c r="AF315" s="25">
        <f t="shared" si="63"/>
        <v>4665283.0199999996</v>
      </c>
      <c r="AG315" s="25">
        <f t="shared" si="64"/>
        <v>351589.70000000019</v>
      </c>
      <c r="AH315" s="25">
        <f t="shared" si="65"/>
        <v>789777.86</v>
      </c>
      <c r="AI315" s="25">
        <f t="shared" si="66"/>
        <v>135139.77000000002</v>
      </c>
      <c r="AJ315" s="25">
        <f t="shared" si="67"/>
        <v>846748.87</v>
      </c>
      <c r="AK315" s="25">
        <f t="shared" si="68"/>
        <v>61563.360000000001</v>
      </c>
      <c r="AL315" s="25">
        <f t="shared" si="69"/>
        <v>98255.45</v>
      </c>
      <c r="AM315" s="23">
        <f t="shared" si="76"/>
        <v>6948358.0300000003</v>
      </c>
      <c r="AO315" s="23"/>
      <c r="AP315" s="23"/>
    </row>
    <row r="316" spans="1:42" x14ac:dyDescent="0.25">
      <c r="A316" t="s">
        <v>298</v>
      </c>
      <c r="B316" t="s">
        <v>594</v>
      </c>
      <c r="C316" s="25">
        <v>269</v>
      </c>
      <c r="D316" s="25">
        <v>52.1</v>
      </c>
      <c r="E316" s="25">
        <v>14.5</v>
      </c>
      <c r="F316" s="25">
        <v>2</v>
      </c>
      <c r="G316" s="25">
        <v>2</v>
      </c>
      <c r="H316" s="25">
        <v>0</v>
      </c>
      <c r="I316" s="25">
        <v>0</v>
      </c>
      <c r="J316" s="25">
        <v>0</v>
      </c>
      <c r="K316" s="192">
        <v>1</v>
      </c>
      <c r="L316" s="192">
        <v>1</v>
      </c>
      <c r="M316" s="192">
        <v>0</v>
      </c>
      <c r="N316" s="278"/>
      <c r="O316" s="278"/>
      <c r="P316" s="278"/>
      <c r="Q316" s="278"/>
      <c r="R316" s="278"/>
      <c r="S316" s="278"/>
      <c r="T316" s="278"/>
      <c r="U316" s="278"/>
      <c r="V316" s="278"/>
      <c r="W316" s="278"/>
      <c r="X316" s="278"/>
      <c r="Y316" s="282">
        <f>VLOOKUP(A316,'3121% SY'!$A$3:$M$600,13,FALSE)</f>
        <v>0.25080000000000002</v>
      </c>
      <c r="Z316" s="30">
        <f t="shared" si="70"/>
        <v>0.502</v>
      </c>
      <c r="AA316" s="31">
        <f t="shared" si="72"/>
        <v>17.002000000000002</v>
      </c>
      <c r="AB316" s="32">
        <f t="shared" si="73"/>
        <v>18.89</v>
      </c>
      <c r="AC316" s="28">
        <f t="shared" si="71"/>
        <v>18.89</v>
      </c>
      <c r="AD316" s="33">
        <f t="shared" si="74"/>
        <v>16.448</v>
      </c>
      <c r="AE316" s="33">
        <f t="shared" si="75"/>
        <v>3.1859999999999999</v>
      </c>
      <c r="AF316" s="25">
        <f t="shared" si="63"/>
        <v>1427941.55</v>
      </c>
      <c r="AG316" s="25">
        <f t="shared" si="64"/>
        <v>107613.95999999996</v>
      </c>
      <c r="AH316" s="25">
        <f t="shared" si="65"/>
        <v>241733.81</v>
      </c>
      <c r="AI316" s="25">
        <f t="shared" si="66"/>
        <v>41363.340000000026</v>
      </c>
      <c r="AJ316" s="25">
        <f t="shared" si="67"/>
        <v>259171.39</v>
      </c>
      <c r="AK316" s="25">
        <f t="shared" si="68"/>
        <v>18843.2</v>
      </c>
      <c r="AL316" s="25">
        <f t="shared" si="69"/>
        <v>30073.85</v>
      </c>
      <c r="AM316" s="23">
        <f t="shared" si="76"/>
        <v>2126741.1</v>
      </c>
      <c r="AO316" s="23"/>
      <c r="AP316" s="23"/>
    </row>
    <row r="317" spans="1:42" x14ac:dyDescent="0.25">
      <c r="A317" t="s">
        <v>299</v>
      </c>
      <c r="B317" t="s">
        <v>595</v>
      </c>
      <c r="C317" s="25">
        <v>415.2</v>
      </c>
      <c r="D317" s="25">
        <v>0</v>
      </c>
      <c r="E317" s="25">
        <v>25.65</v>
      </c>
      <c r="F317" s="25">
        <v>0</v>
      </c>
      <c r="G317" s="25">
        <v>2.2919999999999998</v>
      </c>
      <c r="H317" s="25">
        <v>0</v>
      </c>
      <c r="I317" s="25">
        <v>0</v>
      </c>
      <c r="J317" s="25">
        <v>0</v>
      </c>
      <c r="K317" s="192">
        <v>1</v>
      </c>
      <c r="L317" s="192">
        <v>1</v>
      </c>
      <c r="M317" s="192">
        <v>0</v>
      </c>
      <c r="N317" s="278"/>
      <c r="O317" s="278"/>
      <c r="P317" s="278"/>
      <c r="Q317" s="278"/>
      <c r="R317" s="278"/>
      <c r="S317" s="278"/>
      <c r="T317" s="278"/>
      <c r="U317" s="278"/>
      <c r="V317" s="278"/>
      <c r="W317" s="278"/>
      <c r="X317" s="278"/>
      <c r="Y317" s="282">
        <f>VLOOKUP(A317,'3121% SY'!$A$3:$M$600,13,FALSE)</f>
        <v>0.27610000000000001</v>
      </c>
      <c r="Z317" s="30">
        <f t="shared" si="70"/>
        <v>0.63300000000000001</v>
      </c>
      <c r="AA317" s="31">
        <f t="shared" si="72"/>
        <v>26.282999999999998</v>
      </c>
      <c r="AB317" s="32">
        <f t="shared" si="73"/>
        <v>15.8</v>
      </c>
      <c r="AC317" s="28">
        <f t="shared" si="71"/>
        <v>17</v>
      </c>
      <c r="AD317" s="33">
        <f t="shared" si="74"/>
        <v>28.209</v>
      </c>
      <c r="AE317" s="33">
        <f t="shared" si="75"/>
        <v>0</v>
      </c>
      <c r="AF317" s="25">
        <f t="shared" si="63"/>
        <v>2051584.15</v>
      </c>
      <c r="AG317" s="25">
        <f t="shared" si="64"/>
        <v>154613.53000000026</v>
      </c>
      <c r="AH317" s="25">
        <f t="shared" si="65"/>
        <v>347309.21</v>
      </c>
      <c r="AI317" s="25">
        <f t="shared" si="66"/>
        <v>59428.459999999963</v>
      </c>
      <c r="AJ317" s="25">
        <f t="shared" si="67"/>
        <v>372362.52</v>
      </c>
      <c r="AK317" s="25">
        <f t="shared" si="68"/>
        <v>27072.83</v>
      </c>
      <c r="AL317" s="25">
        <f t="shared" si="69"/>
        <v>43208.38</v>
      </c>
      <c r="AM317" s="23">
        <f t="shared" si="76"/>
        <v>3055579.08</v>
      </c>
      <c r="AO317" s="23"/>
      <c r="AP317" s="23"/>
    </row>
    <row r="318" spans="1:42" x14ac:dyDescent="0.25">
      <c r="A318" t="s">
        <v>300</v>
      </c>
      <c r="B318" t="s">
        <v>596</v>
      </c>
      <c r="C318" s="25">
        <v>360.14</v>
      </c>
      <c r="D318" s="25">
        <v>36</v>
      </c>
      <c r="E318" s="25">
        <v>18.738</v>
      </c>
      <c r="F318" s="25">
        <v>1.968</v>
      </c>
      <c r="G318" s="25">
        <v>1.768</v>
      </c>
      <c r="H318" s="25">
        <v>0</v>
      </c>
      <c r="I318" s="25">
        <v>0</v>
      </c>
      <c r="J318" s="25">
        <v>0</v>
      </c>
      <c r="K318" s="192">
        <v>1</v>
      </c>
      <c r="L318" s="192">
        <v>1</v>
      </c>
      <c r="M318" s="192">
        <v>0</v>
      </c>
      <c r="N318" s="278"/>
      <c r="O318" s="278"/>
      <c r="P318" s="278"/>
      <c r="Q318" s="278"/>
      <c r="R318" s="278"/>
      <c r="S318" s="278"/>
      <c r="T318" s="278"/>
      <c r="U318" s="278"/>
      <c r="V318" s="278"/>
      <c r="W318" s="278"/>
      <c r="X318" s="278"/>
      <c r="Y318" s="282">
        <f>VLOOKUP(A318,'3121% SY'!$A$3:$M$600,13,FALSE)</f>
        <v>0.18459999999999999</v>
      </c>
      <c r="Z318" s="30">
        <f t="shared" si="70"/>
        <v>0.32600000000000001</v>
      </c>
      <c r="AA318" s="31">
        <f t="shared" si="72"/>
        <v>21.032</v>
      </c>
      <c r="AB318" s="32">
        <f t="shared" si="73"/>
        <v>18.84</v>
      </c>
      <c r="AC318" s="28">
        <f t="shared" si="71"/>
        <v>18.84</v>
      </c>
      <c r="AD318" s="33">
        <f t="shared" si="74"/>
        <v>22.079000000000001</v>
      </c>
      <c r="AE318" s="33">
        <f t="shared" si="75"/>
        <v>2.2069999999999999</v>
      </c>
      <c r="AF318" s="25">
        <f t="shared" si="63"/>
        <v>1766272.21</v>
      </c>
      <c r="AG318" s="25">
        <f t="shared" si="64"/>
        <v>133111.56000000006</v>
      </c>
      <c r="AH318" s="25">
        <f t="shared" si="65"/>
        <v>299009.23</v>
      </c>
      <c r="AI318" s="25">
        <f t="shared" si="66"/>
        <v>51163.800000000047</v>
      </c>
      <c r="AJ318" s="25">
        <f t="shared" si="67"/>
        <v>320578.40999999997</v>
      </c>
      <c r="AK318" s="25">
        <f t="shared" si="68"/>
        <v>23307.83</v>
      </c>
      <c r="AL318" s="25">
        <f t="shared" si="69"/>
        <v>37199.43</v>
      </c>
      <c r="AM318" s="23">
        <f t="shared" si="76"/>
        <v>2630642.4700000002</v>
      </c>
      <c r="AO318" s="23"/>
      <c r="AP318" s="23"/>
    </row>
    <row r="319" spans="1:42" x14ac:dyDescent="0.25">
      <c r="A319" t="s">
        <v>301</v>
      </c>
      <c r="B319" t="s">
        <v>597</v>
      </c>
      <c r="C319" s="25">
        <v>896.2</v>
      </c>
      <c r="D319" s="25">
        <v>91.6</v>
      </c>
      <c r="E319" s="25">
        <v>50.593000000000004</v>
      </c>
      <c r="F319" s="25">
        <v>5.5650000000000004</v>
      </c>
      <c r="G319" s="25">
        <v>4.32</v>
      </c>
      <c r="H319" s="25">
        <v>0</v>
      </c>
      <c r="I319" s="25">
        <v>0</v>
      </c>
      <c r="J319" s="25">
        <v>0</v>
      </c>
      <c r="K319" s="192">
        <v>1</v>
      </c>
      <c r="L319" s="192">
        <v>1</v>
      </c>
      <c r="M319" s="192">
        <v>0</v>
      </c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82">
        <f>VLOOKUP(A319,'3121% SY'!$A$3:$M$600,13,FALSE)</f>
        <v>0.2258</v>
      </c>
      <c r="Z319" s="30">
        <f t="shared" si="70"/>
        <v>0.97499999999999998</v>
      </c>
      <c r="AA319" s="31">
        <f t="shared" si="72"/>
        <v>57.133000000000003</v>
      </c>
      <c r="AB319" s="32">
        <f t="shared" si="73"/>
        <v>17.29</v>
      </c>
      <c r="AC319" s="28">
        <f t="shared" si="71"/>
        <v>17.29</v>
      </c>
      <c r="AD319" s="33">
        <f t="shared" si="74"/>
        <v>59.868000000000002</v>
      </c>
      <c r="AE319" s="33">
        <f t="shared" si="75"/>
        <v>6.1189999999999998</v>
      </c>
      <c r="AF319" s="25">
        <f t="shared" si="63"/>
        <v>4799102.54</v>
      </c>
      <c r="AG319" s="25">
        <f t="shared" si="64"/>
        <v>361674.74000000022</v>
      </c>
      <c r="AH319" s="25">
        <f t="shared" si="65"/>
        <v>812431.94</v>
      </c>
      <c r="AI319" s="25">
        <f t="shared" si="66"/>
        <v>139016.14000000001</v>
      </c>
      <c r="AJ319" s="25">
        <f t="shared" si="67"/>
        <v>871037.11</v>
      </c>
      <c r="AK319" s="25">
        <f t="shared" si="68"/>
        <v>63329.25</v>
      </c>
      <c r="AL319" s="25">
        <f t="shared" si="69"/>
        <v>101073.82</v>
      </c>
      <c r="AM319" s="23">
        <f t="shared" si="76"/>
        <v>7147665.540000001</v>
      </c>
      <c r="AO319" s="23"/>
      <c r="AP319" s="23"/>
    </row>
    <row r="320" spans="1:42" x14ac:dyDescent="0.25">
      <c r="A320" t="s">
        <v>302</v>
      </c>
      <c r="B320" t="s">
        <v>598</v>
      </c>
      <c r="C320" s="25">
        <v>1495.48</v>
      </c>
      <c r="D320" s="25">
        <v>33.6</v>
      </c>
      <c r="E320" s="25">
        <v>84.69</v>
      </c>
      <c r="F320" s="25">
        <v>2</v>
      </c>
      <c r="G320" s="25">
        <v>11</v>
      </c>
      <c r="H320" s="25">
        <v>0</v>
      </c>
      <c r="I320" s="25">
        <v>0</v>
      </c>
      <c r="J320" s="25">
        <v>0</v>
      </c>
      <c r="K320" s="192">
        <v>1</v>
      </c>
      <c r="L320" s="192">
        <v>1</v>
      </c>
      <c r="M320" s="192">
        <v>0</v>
      </c>
      <c r="N320" s="278"/>
      <c r="O320" s="278"/>
      <c r="P320" s="278"/>
      <c r="Q320" s="278"/>
      <c r="R320" s="278"/>
      <c r="S320" s="278"/>
      <c r="T320" s="278"/>
      <c r="U320" s="278"/>
      <c r="V320" s="278"/>
      <c r="W320" s="278"/>
      <c r="X320" s="278"/>
      <c r="Y320" s="282">
        <f>VLOOKUP(A320,'3121% SY'!$A$3:$M$600,13,FALSE)</f>
        <v>0.21989999999999998</v>
      </c>
      <c r="Z320" s="30">
        <f t="shared" si="70"/>
        <v>2.419</v>
      </c>
      <c r="AA320" s="31">
        <f t="shared" si="72"/>
        <v>89.108999999999995</v>
      </c>
      <c r="AB320" s="32">
        <f t="shared" si="73"/>
        <v>17.16</v>
      </c>
      <c r="AC320" s="28">
        <f t="shared" si="71"/>
        <v>17.16</v>
      </c>
      <c r="AD320" s="33">
        <f t="shared" si="74"/>
        <v>100.657</v>
      </c>
      <c r="AE320" s="33">
        <f t="shared" si="75"/>
        <v>2.262</v>
      </c>
      <c r="AF320" s="25">
        <f t="shared" si="63"/>
        <v>7485093.0300000003</v>
      </c>
      <c r="AG320" s="25">
        <f t="shared" si="64"/>
        <v>564099.04</v>
      </c>
      <c r="AH320" s="25">
        <f t="shared" si="65"/>
        <v>1267138.73</v>
      </c>
      <c r="AI320" s="25">
        <f t="shared" si="66"/>
        <v>216821.51</v>
      </c>
      <c r="AJ320" s="25">
        <f t="shared" si="67"/>
        <v>1358544.38</v>
      </c>
      <c r="AK320" s="25">
        <f t="shared" si="68"/>
        <v>98773.74</v>
      </c>
      <c r="AL320" s="25">
        <f t="shared" si="69"/>
        <v>157643.43</v>
      </c>
      <c r="AM320" s="23">
        <f t="shared" si="76"/>
        <v>11148113.860000001</v>
      </c>
      <c r="AO320" s="23"/>
      <c r="AP320" s="23"/>
    </row>
    <row r="321" spans="1:42" x14ac:dyDescent="0.25">
      <c r="A321" t="s">
        <v>303</v>
      </c>
      <c r="B321" t="s">
        <v>599</v>
      </c>
      <c r="C321" s="25">
        <v>238.6</v>
      </c>
      <c r="D321" s="25">
        <v>0</v>
      </c>
      <c r="E321" s="25">
        <v>14.629</v>
      </c>
      <c r="F321" s="25">
        <v>0</v>
      </c>
      <c r="G321" s="25">
        <v>1.286</v>
      </c>
      <c r="H321" s="25">
        <v>0</v>
      </c>
      <c r="I321" s="25">
        <v>0</v>
      </c>
      <c r="J321" s="25">
        <v>0</v>
      </c>
      <c r="K321" s="192">
        <v>1</v>
      </c>
      <c r="L321" s="192">
        <v>1</v>
      </c>
      <c r="M321" s="192">
        <v>0</v>
      </c>
      <c r="N321" s="278"/>
      <c r="O321" s="278"/>
      <c r="P321" s="278"/>
      <c r="Q321" s="278"/>
      <c r="R321" s="278"/>
      <c r="S321" s="278"/>
      <c r="T321" s="278"/>
      <c r="U321" s="278"/>
      <c r="V321" s="278"/>
      <c r="W321" s="278"/>
      <c r="X321" s="278"/>
      <c r="Y321" s="282">
        <f>VLOOKUP(A321,'3121% SY'!$A$3:$M$600,13,FALSE)</f>
        <v>0.20220000000000005</v>
      </c>
      <c r="Z321" s="30">
        <f t="shared" si="70"/>
        <v>0.26</v>
      </c>
      <c r="AA321" s="31">
        <f t="shared" si="72"/>
        <v>14.888999999999999</v>
      </c>
      <c r="AB321" s="32">
        <f t="shared" si="73"/>
        <v>16.03</v>
      </c>
      <c r="AC321" s="28">
        <f t="shared" si="71"/>
        <v>17</v>
      </c>
      <c r="AD321" s="33">
        <f t="shared" si="74"/>
        <v>16.210999999999999</v>
      </c>
      <c r="AE321" s="33">
        <f t="shared" si="75"/>
        <v>0</v>
      </c>
      <c r="AF321" s="25">
        <f t="shared" si="63"/>
        <v>1178993.6100000001</v>
      </c>
      <c r="AG321" s="25">
        <f t="shared" si="64"/>
        <v>88852.489999999991</v>
      </c>
      <c r="AH321" s="25">
        <f t="shared" si="65"/>
        <v>199589.83</v>
      </c>
      <c r="AI321" s="25">
        <f t="shared" si="66"/>
        <v>34152.040000000008</v>
      </c>
      <c r="AJ321" s="25">
        <f t="shared" si="67"/>
        <v>213987.34</v>
      </c>
      <c r="AK321" s="25">
        <f t="shared" si="68"/>
        <v>15558.07</v>
      </c>
      <c r="AL321" s="25">
        <f t="shared" si="69"/>
        <v>24830.77</v>
      </c>
      <c r="AM321" s="23">
        <f t="shared" si="76"/>
        <v>1755964.1500000004</v>
      </c>
      <c r="AO321" s="23"/>
      <c r="AP321" s="23"/>
    </row>
    <row r="322" spans="1:42" x14ac:dyDescent="0.25">
      <c r="A322" t="s">
        <v>633</v>
      </c>
      <c r="B322" t="s">
        <v>635</v>
      </c>
      <c r="C322" s="25">
        <v>0</v>
      </c>
      <c r="D322" s="25">
        <v>0</v>
      </c>
      <c r="E322" s="25">
        <v>0</v>
      </c>
      <c r="F322" s="25">
        <v>0</v>
      </c>
      <c r="G322" s="25">
        <v>0</v>
      </c>
      <c r="H322" s="25">
        <v>0</v>
      </c>
      <c r="I322" s="25">
        <v>0</v>
      </c>
      <c r="J322" s="25">
        <v>0</v>
      </c>
      <c r="K322" s="192">
        <v>1</v>
      </c>
      <c r="L322" s="192">
        <v>1</v>
      </c>
      <c r="M322" s="192">
        <v>0</v>
      </c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82">
        <f>VLOOKUP(A322,'3121% SY'!$A$3:$M$600,13,FALSE)</f>
        <v>0.21360000000000001</v>
      </c>
      <c r="Z322" s="30">
        <f t="shared" si="70"/>
        <v>0</v>
      </c>
      <c r="AA322" s="31">
        <f t="shared" si="72"/>
        <v>0</v>
      </c>
      <c r="AB322" s="32">
        <f t="shared" si="73"/>
        <v>0</v>
      </c>
      <c r="AC322" s="28">
        <f t="shared" si="71"/>
        <v>25.23</v>
      </c>
      <c r="AD322" s="33">
        <f t="shared" si="74"/>
        <v>0</v>
      </c>
      <c r="AE322" s="33">
        <f t="shared" si="75"/>
        <v>0</v>
      </c>
      <c r="AF322" s="25">
        <f t="shared" si="63"/>
        <v>0</v>
      </c>
      <c r="AG322" s="25">
        <f t="shared" ref="AG322" si="77">ROUND(($AD322+$AE322)*CIS_Inc*(L322+M322),2)-AF322</f>
        <v>0</v>
      </c>
      <c r="AH322" s="25">
        <f t="shared" si="65"/>
        <v>0</v>
      </c>
      <c r="AI322" s="25">
        <f t="shared" ref="AI322" si="78">ROUND(($AD322+$AE322)*CIS_Ins_Inc,2)-AH322</f>
        <v>0</v>
      </c>
      <c r="AJ322" s="25">
        <f t="shared" si="67"/>
        <v>0</v>
      </c>
      <c r="AK322" s="25">
        <f t="shared" si="68"/>
        <v>0</v>
      </c>
      <c r="AL322" s="25">
        <f t="shared" si="69"/>
        <v>0</v>
      </c>
      <c r="AM322" s="23">
        <f t="shared" si="76"/>
        <v>0</v>
      </c>
      <c r="AO322" s="23"/>
      <c r="AP322" s="23"/>
    </row>
    <row r="323" spans="1:42" x14ac:dyDescent="0.25">
      <c r="A323" t="s">
        <v>759</v>
      </c>
      <c r="B323" t="s">
        <v>1084</v>
      </c>
      <c r="C323" s="25">
        <f>SUM(C3:C322)</f>
        <v>300677.77999999985</v>
      </c>
      <c r="D323" s="25">
        <f t="shared" ref="D323:J323" si="79">SUM(D3:D322)</f>
        <v>6814.4100000000017</v>
      </c>
      <c r="E323" s="150">
        <f t="shared" si="79"/>
        <v>17202.205000000002</v>
      </c>
      <c r="F323" s="150">
        <f t="shared" si="79"/>
        <v>370.38999999999993</v>
      </c>
      <c r="G323" s="150">
        <f t="shared" si="79"/>
        <v>1807.0259999999987</v>
      </c>
      <c r="H323" s="150">
        <f t="shared" si="79"/>
        <v>7.423</v>
      </c>
      <c r="I323" s="150">
        <f t="shared" si="79"/>
        <v>0</v>
      </c>
      <c r="J323" s="150">
        <f t="shared" si="79"/>
        <v>5.202</v>
      </c>
      <c r="AD323" s="33"/>
      <c r="AE323" s="33"/>
      <c r="AF323" s="23"/>
      <c r="AG323" s="23"/>
      <c r="AH323" s="23"/>
      <c r="AI323" s="23"/>
      <c r="AJ323" s="23"/>
      <c r="AK323" s="23"/>
      <c r="AL323" s="23"/>
      <c r="AM323" s="23"/>
      <c r="AO323" s="23"/>
    </row>
    <row r="324" spans="1:42" x14ac:dyDescent="0.25">
      <c r="AO324" s="23"/>
    </row>
    <row r="325" spans="1:42" x14ac:dyDescent="0.25">
      <c r="AO325" s="23"/>
    </row>
    <row r="326" spans="1:42" x14ac:dyDescent="0.25">
      <c r="AO326" s="23"/>
    </row>
  </sheetData>
  <autoFilter ref="A2:AM323" xr:uid="{00000000-0001-0000-0B00-000000000000}"/>
  <sortState xmlns:xlrd2="http://schemas.microsoft.com/office/spreadsheetml/2017/richdata2" ref="A3:Y315">
    <sortCondition ref="A3:A315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3"/>
  <dimension ref="A1:AK332"/>
  <sheetViews>
    <sheetView workbookViewId="0">
      <pane xSplit="2" ySplit="5" topLeftCell="U6" activePane="bottomRight" state="frozen"/>
      <selection activeCell="I12" sqref="I12"/>
      <selection pane="topRight" activeCell="I12" sqref="I12"/>
      <selection pane="bottomLeft" activeCell="I12" sqref="I12"/>
      <selection pane="bottomRight" activeCell="I12" sqref="I12"/>
    </sheetView>
  </sheetViews>
  <sheetFormatPr defaultRowHeight="15" x14ac:dyDescent="0.25"/>
  <cols>
    <col min="2" max="2" width="31.42578125" customWidth="1"/>
    <col min="3" max="3" width="14.28515625" style="161" customWidth="1"/>
    <col min="4" max="5" width="14.28515625" style="175" customWidth="1"/>
    <col min="6" max="12" width="12.28515625" style="161" customWidth="1"/>
    <col min="13" max="13" width="13.140625" style="161" customWidth="1"/>
    <col min="14" max="17" width="12.28515625" style="161" customWidth="1"/>
    <col min="18" max="18" width="12.42578125" style="161" customWidth="1"/>
    <col min="19" max="23" width="11.42578125" style="161" customWidth="1"/>
    <col min="24" max="24" width="12.42578125" style="161" customWidth="1"/>
    <col min="25" max="28" width="11.42578125" style="161" customWidth="1"/>
    <col min="29" max="29" width="11.85546875" style="161" bestFit="1" customWidth="1"/>
    <col min="30" max="30" width="12.28515625" style="161" customWidth="1"/>
    <col min="31" max="33" width="11.42578125" style="161" customWidth="1"/>
    <col min="34" max="34" width="10.7109375" style="161" bestFit="1" customWidth="1"/>
    <col min="35" max="35" width="11.28515625" style="161" customWidth="1"/>
    <col min="36" max="36" width="12.42578125" style="161" customWidth="1"/>
  </cols>
  <sheetData>
    <row r="1" spans="1:37" x14ac:dyDescent="0.25">
      <c r="A1" s="170" t="s">
        <v>735</v>
      </c>
      <c r="B1" s="21">
        <f>A1+1</f>
        <v>2</v>
      </c>
      <c r="C1" s="21">
        <f t="shared" ref="C1:AC1" si="0">B1+1</f>
        <v>3</v>
      </c>
      <c r="D1" s="21">
        <f t="shared" si="0"/>
        <v>4</v>
      </c>
      <c r="E1" s="21">
        <f t="shared" si="0"/>
        <v>5</v>
      </c>
      <c r="F1" s="21">
        <f t="shared" si="0"/>
        <v>6</v>
      </c>
      <c r="G1" s="21">
        <f t="shared" si="0"/>
        <v>7</v>
      </c>
      <c r="H1" s="21">
        <f t="shared" si="0"/>
        <v>8</v>
      </c>
      <c r="I1" s="21">
        <f t="shared" si="0"/>
        <v>9</v>
      </c>
      <c r="J1" s="21">
        <f t="shared" si="0"/>
        <v>10</v>
      </c>
      <c r="K1" s="21">
        <f t="shared" si="0"/>
        <v>11</v>
      </c>
      <c r="L1" s="21">
        <f t="shared" si="0"/>
        <v>12</v>
      </c>
      <c r="M1" s="21">
        <f t="shared" si="0"/>
        <v>13</v>
      </c>
      <c r="N1" s="21">
        <f t="shared" si="0"/>
        <v>14</v>
      </c>
      <c r="O1" s="21">
        <f t="shared" si="0"/>
        <v>15</v>
      </c>
      <c r="P1" s="21">
        <f t="shared" si="0"/>
        <v>16</v>
      </c>
      <c r="Q1" s="21">
        <f t="shared" si="0"/>
        <v>17</v>
      </c>
      <c r="R1" s="21">
        <f t="shared" si="0"/>
        <v>18</v>
      </c>
      <c r="S1" s="21">
        <f t="shared" si="0"/>
        <v>19</v>
      </c>
      <c r="T1" s="21">
        <f t="shared" si="0"/>
        <v>20</v>
      </c>
      <c r="U1" s="21">
        <f t="shared" si="0"/>
        <v>21</v>
      </c>
      <c r="V1" s="21">
        <f t="shared" si="0"/>
        <v>22</v>
      </c>
      <c r="W1" s="21">
        <f t="shared" si="0"/>
        <v>23</v>
      </c>
      <c r="X1" s="21">
        <f t="shared" si="0"/>
        <v>24</v>
      </c>
      <c r="Y1" s="21">
        <f t="shared" si="0"/>
        <v>25</v>
      </c>
      <c r="Z1" s="21">
        <f t="shared" si="0"/>
        <v>26</v>
      </c>
      <c r="AA1" s="21">
        <f t="shared" si="0"/>
        <v>27</v>
      </c>
      <c r="AB1" s="21">
        <f t="shared" si="0"/>
        <v>28</v>
      </c>
      <c r="AC1" s="21">
        <f t="shared" si="0"/>
        <v>29</v>
      </c>
      <c r="AD1" s="21">
        <f t="shared" ref="AD1" si="1">AC1+1</f>
        <v>30</v>
      </c>
      <c r="AE1" s="21">
        <f t="shared" ref="AE1" si="2">AD1+1</f>
        <v>31</v>
      </c>
      <c r="AF1" s="21">
        <f t="shared" ref="AF1" si="3">AE1+1</f>
        <v>32</v>
      </c>
      <c r="AG1" s="21">
        <f t="shared" ref="AG1" si="4">AF1+1</f>
        <v>33</v>
      </c>
      <c r="AH1" s="21">
        <f t="shared" ref="AH1" si="5">AG1+1</f>
        <v>34</v>
      </c>
      <c r="AI1" s="21">
        <f t="shared" ref="AI1" si="6">AH1+1</f>
        <v>35</v>
      </c>
      <c r="AJ1" s="21">
        <f t="shared" ref="AJ1" si="7">AI1+1</f>
        <v>36</v>
      </c>
    </row>
    <row r="2" spans="1:37" ht="14.65" customHeight="1" x14ac:dyDescent="0.25">
      <c r="A2" s="21">
        <f>COUNTA(A6:A325)</f>
        <v>320</v>
      </c>
      <c r="B2" s="21"/>
      <c r="C2"/>
      <c r="D2" s="150"/>
      <c r="E2" s="150"/>
      <c r="F2" s="33"/>
      <c r="G2"/>
      <c r="H2"/>
      <c r="I2"/>
      <c r="J2"/>
      <c r="K2"/>
      <c r="L2"/>
      <c r="M2"/>
      <c r="N2"/>
      <c r="O2"/>
      <c r="P2"/>
      <c r="Q2"/>
      <c r="R2"/>
      <c r="S2" s="156">
        <v>39</v>
      </c>
      <c r="T2" s="156">
        <v>42</v>
      </c>
      <c r="U2" s="156">
        <v>43</v>
      </c>
      <c r="V2" s="156">
        <v>44</v>
      </c>
      <c r="W2" s="156">
        <v>45</v>
      </c>
      <c r="X2" s="156">
        <v>46</v>
      </c>
      <c r="Y2" s="156">
        <v>47</v>
      </c>
      <c r="Z2" s="156">
        <v>48</v>
      </c>
      <c r="AA2" s="156">
        <v>49</v>
      </c>
      <c r="AB2" s="156">
        <v>64</v>
      </c>
      <c r="AC2"/>
      <c r="AD2" s="156" t="s">
        <v>1050</v>
      </c>
      <c r="AE2" s="156" t="s">
        <v>1048</v>
      </c>
      <c r="AF2" s="156" t="s">
        <v>1049</v>
      </c>
      <c r="AG2" s="156" t="s">
        <v>1250</v>
      </c>
      <c r="AH2"/>
    </row>
    <row r="3" spans="1:37" ht="45" x14ac:dyDescent="0.25">
      <c r="A3" s="171" t="s">
        <v>600</v>
      </c>
      <c r="B3" t="s">
        <v>601</v>
      </c>
      <c r="C3" s="157" t="s">
        <v>1076</v>
      </c>
      <c r="D3" s="178" t="s">
        <v>1082</v>
      </c>
      <c r="E3" s="178" t="s">
        <v>1083</v>
      </c>
      <c r="F3" s="157" t="s">
        <v>1075</v>
      </c>
      <c r="G3" s="157" t="s">
        <v>1079</v>
      </c>
      <c r="H3" s="157" t="s">
        <v>1080</v>
      </c>
      <c r="I3" s="157" t="s">
        <v>1074</v>
      </c>
      <c r="J3" s="157" t="s">
        <v>1073</v>
      </c>
      <c r="K3" s="157" t="s">
        <v>1043</v>
      </c>
      <c r="L3" s="157" t="s">
        <v>1041</v>
      </c>
      <c r="M3" s="157" t="s">
        <v>1042</v>
      </c>
      <c r="N3" s="157" t="s">
        <v>1040</v>
      </c>
      <c r="O3" s="158" t="s">
        <v>1046</v>
      </c>
      <c r="P3" s="157" t="s">
        <v>1044</v>
      </c>
      <c r="Q3" s="157" t="s">
        <v>1045</v>
      </c>
      <c r="R3" s="158" t="s">
        <v>1047</v>
      </c>
      <c r="S3" s="157" t="s">
        <v>1053</v>
      </c>
      <c r="T3" s="157" t="s">
        <v>729</v>
      </c>
      <c r="U3" s="157" t="s">
        <v>1054</v>
      </c>
      <c r="V3" s="157" t="s">
        <v>719</v>
      </c>
      <c r="W3" s="157" t="s">
        <v>1055</v>
      </c>
      <c r="X3" s="157" t="s">
        <v>720</v>
      </c>
      <c r="Y3" s="157" t="s">
        <v>721</v>
      </c>
      <c r="Z3" s="157" t="s">
        <v>1056</v>
      </c>
      <c r="AA3" s="157" t="s">
        <v>681</v>
      </c>
      <c r="AB3" s="157" t="s">
        <v>723</v>
      </c>
      <c r="AC3" s="158" t="s">
        <v>1051</v>
      </c>
      <c r="AD3" s="157" t="s">
        <v>1057</v>
      </c>
      <c r="AE3" s="157" t="s">
        <v>1249</v>
      </c>
      <c r="AF3" s="157" t="s">
        <v>1059</v>
      </c>
      <c r="AG3" s="157" t="s">
        <v>1058</v>
      </c>
      <c r="AH3" s="158" t="s">
        <v>1052</v>
      </c>
      <c r="AI3" s="158" t="s">
        <v>1072</v>
      </c>
      <c r="AJ3" s="158" t="s">
        <v>1081</v>
      </c>
    </row>
    <row r="4" spans="1:37" x14ac:dyDescent="0.25">
      <c r="A4" s="176" t="s">
        <v>759</v>
      </c>
      <c r="B4" t="s">
        <v>1084</v>
      </c>
      <c r="C4" s="157" t="s">
        <v>1085</v>
      </c>
      <c r="D4" s="257">
        <f>SUM(D6:D325)</f>
        <v>5403.8530000000001</v>
      </c>
      <c r="E4" s="257">
        <f>SUM(E6:E325)</f>
        <v>6963.2100000000009</v>
      </c>
      <c r="F4" s="157">
        <f>COUNTIF(F6:F325,"&lt;0")</f>
        <v>120</v>
      </c>
      <c r="G4" s="179">
        <f>SUM(G6:G325)</f>
        <v>-100.818</v>
      </c>
      <c r="H4" s="179">
        <f>SUM(H6:H325)</f>
        <v>-4.1989999999999963</v>
      </c>
      <c r="I4" s="177">
        <v>0.59774227130647917</v>
      </c>
      <c r="J4" s="177">
        <f>IFERROR(AI4/(AH4+AC4),0)</f>
        <v>1.5635030395464163E-2</v>
      </c>
      <c r="K4" s="257">
        <f t="shared" ref="K4:AJ4" si="8">SUM(K6:K325)</f>
        <v>3043.5269999999996</v>
      </c>
      <c r="L4" s="257">
        <f t="shared" si="8"/>
        <v>498.36599999999999</v>
      </c>
      <c r="M4" s="257">
        <f t="shared" si="8"/>
        <v>167.30599999999998</v>
      </c>
      <c r="N4" s="257">
        <f t="shared" si="8"/>
        <v>1392.6970000000001</v>
      </c>
      <c r="O4" s="258">
        <f t="shared" si="8"/>
        <v>5101.8960000000015</v>
      </c>
      <c r="P4" s="257">
        <f t="shared" si="8"/>
        <v>189.97600000000003</v>
      </c>
      <c r="Q4" s="257">
        <f t="shared" si="8"/>
        <v>111.98099999999999</v>
      </c>
      <c r="R4" s="258">
        <f t="shared" si="8"/>
        <v>301.95699999999994</v>
      </c>
      <c r="S4" s="257">
        <f t="shared" si="8"/>
        <v>2009.0279999999998</v>
      </c>
      <c r="T4" s="257">
        <f t="shared" si="8"/>
        <v>524.45600000000002</v>
      </c>
      <c r="U4" s="257">
        <f t="shared" si="8"/>
        <v>291.16699999999986</v>
      </c>
      <c r="V4" s="257">
        <f t="shared" si="8"/>
        <v>44.251000000000005</v>
      </c>
      <c r="W4" s="257">
        <f t="shared" si="8"/>
        <v>417.83500000000004</v>
      </c>
      <c r="X4" s="257">
        <f t="shared" si="8"/>
        <v>784.87199999999984</v>
      </c>
      <c r="Y4" s="257">
        <f t="shared" si="8"/>
        <v>113.59600000000002</v>
      </c>
      <c r="Z4" s="257">
        <f t="shared" si="8"/>
        <v>64.35799999999999</v>
      </c>
      <c r="AA4" s="257">
        <f t="shared" si="8"/>
        <v>15.677000000000001</v>
      </c>
      <c r="AB4" s="257">
        <f t="shared" si="8"/>
        <v>42.505000000000003</v>
      </c>
      <c r="AC4" s="258">
        <f t="shared" si="8"/>
        <v>4307.7450000000008</v>
      </c>
      <c r="AD4" s="257">
        <f t="shared" si="8"/>
        <v>125.40999999999998</v>
      </c>
      <c r="AE4" s="257">
        <f t="shared" si="8"/>
        <v>1318.098</v>
      </c>
      <c r="AF4" s="257">
        <f t="shared" si="8"/>
        <v>886.27499999999998</v>
      </c>
      <c r="AG4" s="257">
        <f t="shared" si="8"/>
        <v>325.68200000000007</v>
      </c>
      <c r="AH4" s="258">
        <f t="shared" si="8"/>
        <v>2655.4650000000001</v>
      </c>
      <c r="AI4" s="257">
        <f t="shared" si="8"/>
        <v>108.87000000000002</v>
      </c>
      <c r="AJ4" s="257">
        <f t="shared" si="8"/>
        <v>236.64060000000009</v>
      </c>
    </row>
    <row r="5" spans="1:37" ht="7.15" customHeight="1" x14ac:dyDescent="0.25">
      <c r="A5" s="171"/>
      <c r="C5" s="157"/>
      <c r="D5" s="178"/>
      <c r="E5" s="178"/>
      <c r="F5" s="157"/>
      <c r="G5" s="157"/>
      <c r="H5" s="157"/>
      <c r="I5" s="157"/>
      <c r="J5" s="157"/>
      <c r="K5" s="157"/>
      <c r="L5" s="157"/>
      <c r="M5" s="157"/>
      <c r="N5" s="157"/>
      <c r="O5" s="158"/>
      <c r="P5" s="157"/>
      <c r="Q5" s="157"/>
      <c r="R5" s="158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8"/>
      <c r="AD5" s="157"/>
      <c r="AE5" s="157"/>
      <c r="AF5" s="157"/>
      <c r="AG5" s="157"/>
      <c r="AH5" s="158"/>
      <c r="AI5" s="158"/>
      <c r="AJ5" s="158"/>
    </row>
    <row r="6" spans="1:37" x14ac:dyDescent="0.25">
      <c r="A6" s="171" t="s">
        <v>621</v>
      </c>
      <c r="B6" t="s">
        <v>1240</v>
      </c>
      <c r="C6" s="173" t="s">
        <v>1077</v>
      </c>
      <c r="D6" s="259">
        <f t="shared" ref="D6:D69" si="9">O6+R6</f>
        <v>3.4819999999999998</v>
      </c>
      <c r="E6" s="259">
        <f t="shared" ref="E6:E69" si="10">AC6+AH6</f>
        <v>1.1060000000000001</v>
      </c>
      <c r="F6" s="262">
        <f>(AC6+AH6)-(O6+R6)</f>
        <v>-2.3759999999999994</v>
      </c>
      <c r="G6" s="161">
        <f>ROUND(IF(F6&lt;0,F6*'2024-25 PSES Compliance'!$G$13,0),3)</f>
        <v>-2.2810000000000001</v>
      </c>
      <c r="H6" s="161">
        <f>ROUND(IF(F6&lt;0,F6*'2024-25 PSES Compliance'!$G$14,0),3)</f>
        <v>-9.5000000000000001E-2</v>
      </c>
      <c r="I6" s="174">
        <f t="shared" ref="I6:I69" si="11">IFERROR(((AJ6*AC6)/(AC6+AH6)),0)</f>
        <v>0.88453887884267623</v>
      </c>
      <c r="J6" s="174">
        <f t="shared" ref="J6:J69" si="12">IFERROR(AI6/(AH6+AC6),0)</f>
        <v>0</v>
      </c>
      <c r="K6" s="161">
        <f>VLOOKUP($A6,'Enroll Data as of January 2025'!$A$3:$M$322,6,FALSE)</f>
        <v>2.2309999999999999</v>
      </c>
      <c r="L6" s="161">
        <f>VLOOKUP($A6,'Enroll Data as of January 2025'!$A$3:$M$322,7,FALSE)</f>
        <v>0.17399999999999999</v>
      </c>
      <c r="M6" s="161">
        <f>VLOOKUP($A6,'Enroll Data as of January 2025'!$A$3:$M$322,8,FALSE)</f>
        <v>5.7999999999999996E-2</v>
      </c>
      <c r="N6" s="161">
        <f>VLOOKUP($A6,'Enroll Data as of January 2025'!$A$3:$M$322,9,FALSE)</f>
        <v>0.88000000000000012</v>
      </c>
      <c r="O6" s="165">
        <f t="shared" ref="O6:O69" si="13">SUM(K6:N6)</f>
        <v>3.343</v>
      </c>
      <c r="P6" s="161">
        <f>VLOOKUP($A6,'Enroll Data as of January 2025'!$A$3:$M$322,11,FALSE)</f>
        <v>0.11699999999999999</v>
      </c>
      <c r="Q6" s="161">
        <f>VLOOKUP($A6,'Enroll Data as of January 2025'!$A$3:$M$322,12,FALSE)</f>
        <v>2.1999999999999999E-2</v>
      </c>
      <c r="R6" s="165">
        <f t="shared" ref="R6:R69" si="14">SUM(P6:Q6)</f>
        <v>0.13899999999999998</v>
      </c>
      <c r="S6" s="267">
        <f>IFERROR(VLOOKUP($A6,Supp_39,14,FALSE),0)+IFERROR(SUMPRODUCT(VLOOKUP($A6,S275_01,{14,15,16},FALSE)),0)+IFERROR(SUMPRODUCT(VLOOKUP($A6,S275_97,{14,15,16},FALSE)),0)+IFERROR(ROUND(VLOOKUP($A6,S275_21,14,FALSE)*VLOOKUP($A6,'3121% SY'!$C$3:$M$324,11,FALSE),3),0)+IFERROR(ROUND(VLOOKUP($A6,S275_21,15,FALSE)*VLOOKUP($A6,'3121% SY'!$C$3:$M$324,11,FALSE),3),0)+IFERROR(ROUND(VLOOKUP($A6,S275_21,16,FALSE)*VLOOKUP($A6,'3121% SY'!$C$3:$M$324,11,FALSE),3),0)+IFERROR(VLOOKUP($A6,S275_09,6,FALSE),0)</f>
        <v>0</v>
      </c>
      <c r="T6" s="267">
        <f>IFERROR(VLOOKUP($A6,Supp_42,14,FALSE),0)+IFERROR(SUMPRODUCT(VLOOKUP($A6,S275_01,{17,18,19},FALSE)),0)+IFERROR(SUMPRODUCT(VLOOKUP($A6,S275_97,{17,18,19},FALSE)),0)+IFERROR(ROUND(VLOOKUP($A6,S275_21,17,FALSE)*VLOOKUP($A6,'3121% SY'!$C$3:$M$324,11,FALSE),3),0)+IFERROR(ROUND(VLOOKUP($A6,S275_21,18,FALSE)*VLOOKUP($A6,'3121% SY'!$C$3:$M$324,11,FALSE),3),0)+IFERROR(ROUND(VLOOKUP($A6,S275_21,19,FALSE)*VLOOKUP($A6,'3121% SY'!$C$3:$M$324,11,FALSE),3),0)+IFERROR(VLOOKUP($A6,S275_09,7,FALSE),0)</f>
        <v>0</v>
      </c>
      <c r="U6" s="267">
        <f>IFERROR(VLOOKUP($A6,Supp_43,14,FALSE),0)+IFERROR(SUMPRODUCT(VLOOKUP($A6,S275_01,{20,21,22},FALSE)),0)+IFERROR(SUMPRODUCT(VLOOKUP($A6,S275_97,{20,21,22},FALSE)),0)+IFERROR(ROUND(VLOOKUP($A6,S275_21,20,FALSE)*VLOOKUP($A6,'3121% SY'!$C$3:$M$324,11,FALSE),3),0)+IFERROR(ROUND(VLOOKUP($A6,S275_21,21,FALSE)*VLOOKUP($A6,'3121% SY'!$C$3:$M$324,11,FALSE),3),0)+IFERROR(ROUND(VLOOKUP($A6,S275_21,22,FALSE)*VLOOKUP($A6,'3121% SY'!$C$3:$M$324,11,FALSE),3),0)+IFERROR(VLOOKUP($A6,S275_09,8,FALSE),0)</f>
        <v>0</v>
      </c>
      <c r="V6" s="267">
        <f>IFERROR(VLOOKUP($A6,Supp_44,14,FALSE),0)+IFERROR(SUMPRODUCT(VLOOKUP($A6,S275_01,{23,24,25},FALSE)),0)+IFERROR(SUMPRODUCT(VLOOKUP($A6,S275_97,{23,24,25},FALSE)),0)+IFERROR(ROUND(VLOOKUP($A6,S275_21,23,FALSE)*VLOOKUP($A6,'3121% SY'!$C$3:$M$324,11,FALSE),3),0)+IFERROR(ROUND(VLOOKUP($A6,S275_21,24,FALSE)*VLOOKUP($A6,'3121% SY'!$C$3:$M$324,11,FALSE),3),0)+IFERROR(ROUND(VLOOKUP($A6,S275_21,25,FALSE)*VLOOKUP($A6,'3121% SY'!$C$3:$M$324,11,FALSE),3),0)+IFERROR(VLOOKUP($A6,S275_09,9,FALSE),0)</f>
        <v>0</v>
      </c>
      <c r="W6" s="267">
        <f>IFERROR(VLOOKUP($A6,Supp_45,14,FALSE),0)+IFERROR(SUMPRODUCT(VLOOKUP($A6,S275_01,{26,27,28},FALSE)),0)+IFERROR(SUMPRODUCT(VLOOKUP($A6,S275_97,{26,27,28},FALSE)),0)+IFERROR(ROUND(VLOOKUP($A6,S275_21,26,FALSE)*VLOOKUP($A6,'3121% SY'!$C$3:$M$324,11,FALSE),3),0)+IFERROR(ROUND(VLOOKUP($A6,S275_21,27,FALSE)*VLOOKUP($A6,'3121% SY'!$C$3:$M$324,11,FALSE),3),0)+IFERROR(ROUND(VLOOKUP($A6,S275_21,28,FALSE)*VLOOKUP($A6,'3121% SY'!$C$3:$M$324,11,FALSE),3),0)+IFERROR(VLOOKUP($A6,S275_09,10,FALSE),0)</f>
        <v>0</v>
      </c>
      <c r="X6" s="267">
        <f>IFERROR(VLOOKUP($A6,Supp_46,14,FALSE),0)+IFERROR(SUMPRODUCT(VLOOKUP($A6,S275_01,{29,30,31},FALSE)),0)+IFERROR(SUMPRODUCT(VLOOKUP($A6,S275_97,{29,30,31},FALSE)),0)+IFERROR(ROUND(VLOOKUP($A6,S275_21,29,FALSE)*VLOOKUP($A6,'3121% SY'!$C$3:$M$324,11,FALSE),3),0)+IFERROR(ROUND(VLOOKUP($A6,S275_21,30,FALSE)*VLOOKUP($A6,'3121% SY'!$C$3:$M$324,11,FALSE),3),0)+IFERROR(ROUND(VLOOKUP($A6,S275_21,31,FALSE)*VLOOKUP($A6,'3121% SY'!$C$3:$M$324,11,FALSE),3),0)+IFERROR(VLOOKUP($A6,S275_09,11,FALSE),0)</f>
        <v>0.45</v>
      </c>
      <c r="Y6" s="267">
        <f>IFERROR(VLOOKUP($A6,Supp_47,14,FALSE),0)+IFERROR(SUMPRODUCT(VLOOKUP($A6,S275_01,{32,33,34},FALSE)),0)+IFERROR(SUMPRODUCT(VLOOKUP($A6,S275_97,{32,33,34},FALSE)),0)+IFERROR(ROUND(VLOOKUP($A6,S275_21,32,FALSE)*VLOOKUP($A6,'3121% SY'!$C$3:$M$324,11,FALSE),3),0)+IFERROR(ROUND(VLOOKUP($A6,S275_21,33,FALSE)*VLOOKUP($A6,'3121% SY'!$C$3:$M$324,11,FALSE),3),0)+IFERROR(ROUND(VLOOKUP($A6,S275_21,34,FALSE)*VLOOKUP($A6,'3121% SY'!$C$3:$M$324,11,FALSE),3),0)+IFERROR(VLOOKUP($A6,S275_09,12,FALSE),0)</f>
        <v>0.55000000000000004</v>
      </c>
      <c r="Z6" s="267">
        <f>IFERROR(VLOOKUP($A6,Supp_48,14,FALSE),0)+IFERROR(SUMPRODUCT(VLOOKUP($A6,S275_01,{35,36,37},FALSE)),0)+IFERROR(SUMPRODUCT(VLOOKUP($A6,S275_97,{35,36,37},FALSE)),0)+IFERROR(ROUND(VLOOKUP($A6,S275_21,35,FALSE)*VLOOKUP($A6,'3121% SY'!$C$3:$M$324,11,FALSE),3),0)+IFERROR(ROUND(VLOOKUP($A6,S275_21,36,FALSE)*VLOOKUP($A6,'3121% SY'!$C$3:$M$324,11,FALSE),3),0)+IFERROR(ROUND(VLOOKUP($A6,S275_21,37,FALSE)*VLOOKUP($A6,'3121% SY'!$C$3:$M$324,11,FALSE),3),0)+IFERROR(VLOOKUP($A6,S275_09,13,FALSE),0)</f>
        <v>0</v>
      </c>
      <c r="AA6" s="267">
        <f>IFERROR(VLOOKUP($A6,Supp_49,14,FALSE),0)+IFERROR(SUMPRODUCT(VLOOKUP($A6,S275_01,{38,39,40},FALSE)),0)+IFERROR(SUMPRODUCT(VLOOKUP($A6,S275_97,{38,39,40},FALSE)),0)+IFERROR(ROUND(VLOOKUP($A6,S275_21,38,FALSE)*VLOOKUP($A6,'3121% SY'!$C$3:$M$324,11,FALSE),3),0)+IFERROR(ROUND(VLOOKUP($A6,S275_21,39,FALSE)*VLOOKUP($A6,'3121% SY'!$C$3:$M$324,11,FALSE),3),0)+IFERROR(ROUND(VLOOKUP($A6,S275_21,40,FALSE)*VLOOKUP($A6,'3121% SY'!$C$3:$M$324,11,FALSE),3),0)+IFERROR(VLOOKUP($A6,S275_09,14,FALSE),0)</f>
        <v>0</v>
      </c>
      <c r="AB6" s="267">
        <f>IFERROR(VLOOKUP($A6,Supp_64,14,FALSE),0)+IFERROR(SUMPRODUCT(VLOOKUP($A6,S275_01,{41,42,43},FALSE)),0)+IFERROR(SUMPRODUCT(VLOOKUP($A6,S275_97,{41,42,43},FALSE)),0)+IFERROR(ROUND(VLOOKUP($A6,S275_21,41,FALSE)*VLOOKUP($A6,'3121% SY'!$C$3:$M$324,11,FALSE),3),0)+IFERROR(ROUND(VLOOKUP($A6,S275_21,42,FALSE)*VLOOKUP($A6,'3121% SY'!$C$3:$M$324,11,FALSE),3),0)+IFERROR(ROUND(VLOOKUP($A6,S275_21,43,FALSE)*VLOOKUP($A6,'3121% SY'!$C$3:$M$324,11,FALSE),3),0)+IFERROR(VLOOKUP($A6,S275_09,15,FALSE),0)</f>
        <v>0</v>
      </c>
      <c r="AC6" s="268">
        <f>SUM(S6:AB6)</f>
        <v>1</v>
      </c>
      <c r="AD6" s="267">
        <f>IFERROR(VLOOKUP($A6,Supp_24,14,FALSE),0)+IFERROR(SUMPRODUCT(VLOOKUP($A6,S275_01,{2,3,4},FALSE)),0)+IFERROR(SUMPRODUCT(VLOOKUP($A6,S275_97,{2,3,4},FALSE)),0)+IFERROR(ROUND(VLOOKUP($A6,S275_21,2,FALSE)*VLOOKUP($A6,'3121% SY'!$C$3:$M$324,11,FALSE),3),0)+IFERROR(ROUND(VLOOKUP($A6,S275_21,3,FALSE)*VLOOKUP($A6,'3121% SY'!$C$3:$M$324,11,FALSE),3),0)+IFERROR(ROUND(VLOOKUP($A6,S275_21,4,FALSE)*VLOOKUP($A6,'3121% SY'!$C$3:$M$324,11,FALSE),3),0)+IFERROR(VLOOKUP($A6,S275_09,2,FALSE),0)</f>
        <v>0</v>
      </c>
      <c r="AE6" s="267">
        <f>IFERROR(VLOOKUP($A6,Supp_25,14,FALSE),0)+IFERROR(SUMPRODUCT(VLOOKUP($A6,S275_01,{5,6,7},FALSE)),0)+IFERROR(SUMPRODUCT(VLOOKUP($A6,S275_97,{5,6,7},FALSE)),0)+IFERROR(ROUND(VLOOKUP($A6,S275_21,5,FALSE)*VLOOKUP($A6,'3121% SY'!$C$3:$M$324,11,FALSE),3),0)+IFERROR(ROUND(VLOOKUP($A6,S275_21,6,FALSE)*VLOOKUP($A6,'3121% SY'!$C$3:$M$324,11,FALSE),3),0)+IFERROR(ROUND(VLOOKUP($A6,S275_21,7,FALSE)*VLOOKUP($A6,'3121% SY'!$C$3:$M$324,11,FALSE),3),0)+IFERROR(VLOOKUP($A6,S275_09,3,FALSE),0)</f>
        <v>0</v>
      </c>
      <c r="AF6" s="267">
        <f>IFERROR(VLOOKUP($A6,Supp_26,14,FALSE),0)+IFERROR(SUMPRODUCT(VLOOKUP($A6,S275_01,{8,9,10},FALSE)),0)+IFERROR(SUMPRODUCT(VLOOKUP($A6,S275_97,{8,9,10},FALSE)),0)+IFERROR(ROUND(VLOOKUP($A6,S275_21,8,FALSE)*VLOOKUP($A6,'3121% SY'!$C$3:$M$324,11,FALSE),3),0)+IFERROR(ROUND(VLOOKUP($A6,S275_21,9,FALSE)*VLOOKUP($A6,'3121% SY'!$C$3:$M$324,11,FALSE),3),0)+IFERROR(ROUND(VLOOKUP($A6,S275_21,10,FALSE)*VLOOKUP($A6,'3121% SY'!$C$3:$M$324,11,FALSE),3),0)+IFERROR(VLOOKUP($A6,S275_09,4,FALSE),0)</f>
        <v>0.106</v>
      </c>
      <c r="AG6" s="267">
        <f>IFERROR(VLOOKUP($A6,Supp_35,14,FALSE),0)+IFERROR(SUMPRODUCT(VLOOKUP($A6,S275_01,{11,12,13},FALSE)),0)+IFERROR(SUMPRODUCT(VLOOKUP($A6,S275_97,{11,12,13},FALSE)),0)+IFERROR(ROUND(VLOOKUP($A6,S275_21,11,FALSE)*VLOOKUP($A6,'3121% SY'!$C$3:$M$324,11,FALSE),3),0)+IFERROR(ROUND(VLOOKUP($A6,S275_21,12,FALSE)*VLOOKUP($A6,'3121% SY'!$C$3:$M$324,11,FALSE),3),0)+IFERROR(ROUND(VLOOKUP($A6,S275_21,13,FALSE)*VLOOKUP($A6,'3121% SY'!$C$3:$M$324,11,FALSE),3),0)+IFERROR(VLOOKUP($A6,S275_09,5,FALSE),0)</f>
        <v>0</v>
      </c>
      <c r="AH6" s="165">
        <f t="shared" ref="AH6:AH69" si="15">SUM(AD6:AG6)</f>
        <v>0.106</v>
      </c>
      <c r="AI6" s="161">
        <f>IFERROR(VLOOKUP(A6,'Supp Staff Data'!A:ER,148,FALSE),0)+AB6</f>
        <v>0</v>
      </c>
      <c r="AJ6" s="174">
        <v>0.97829999999999995</v>
      </c>
      <c r="AK6" s="25">
        <f>VLOOKUP(A6,'Enroll Data as of January 2025'!$A$3:$T$323,20,FALSE)-F6</f>
        <v>0</v>
      </c>
    </row>
    <row r="7" spans="1:37" x14ac:dyDescent="0.25">
      <c r="A7" s="171" t="s">
        <v>33</v>
      </c>
      <c r="B7" t="s">
        <v>329</v>
      </c>
      <c r="C7" s="173" t="s">
        <v>1077</v>
      </c>
      <c r="D7" s="259">
        <f t="shared" si="9"/>
        <v>11.366000000000001</v>
      </c>
      <c r="E7" s="259">
        <f t="shared" si="10"/>
        <v>8.109</v>
      </c>
      <c r="F7" s="262">
        <f t="shared" ref="F7:F41" si="16">ROUND((AC7+AH7)-(O7+R7),3)</f>
        <v>-3.2570000000000001</v>
      </c>
      <c r="G7" s="161">
        <f>ROUND(IF(F7&lt;0,F7*'2024-25 PSES Compliance'!$G$13,0),3)</f>
        <v>-3.1269999999999998</v>
      </c>
      <c r="H7" s="161">
        <f>ROUND(IF(F7&lt;0,F7*'2024-25 PSES Compliance'!$G$14,0),3)</f>
        <v>-0.13</v>
      </c>
      <c r="I7" s="174">
        <f t="shared" si="11"/>
        <v>0.72105068442471321</v>
      </c>
      <c r="J7" s="174">
        <f t="shared" si="12"/>
        <v>0</v>
      </c>
      <c r="K7" s="161">
        <f>VLOOKUP($A7,'Enroll Data as of January 2025'!$A$3:$M$322,6,FALSE)</f>
        <v>6.4860000000000007</v>
      </c>
      <c r="L7" s="161">
        <f>VLOOKUP($A7,'Enroll Data as of January 2025'!$A$3:$M$322,7,FALSE)</f>
        <v>1.008</v>
      </c>
      <c r="M7" s="161">
        <f>VLOOKUP($A7,'Enroll Data as of January 2025'!$A$3:$M$322,8,FALSE)</f>
        <v>0.33900000000000002</v>
      </c>
      <c r="N7" s="161">
        <f>VLOOKUP($A7,'Enroll Data as of January 2025'!$A$3:$M$322,9,FALSE)</f>
        <v>2.9119999999999999</v>
      </c>
      <c r="O7" s="165">
        <f t="shared" si="13"/>
        <v>10.745000000000001</v>
      </c>
      <c r="P7" s="161">
        <f>VLOOKUP($A7,'Enroll Data as of January 2025'!$A$3:$M$322,11,FALSE)</f>
        <v>0.39900000000000002</v>
      </c>
      <c r="Q7" s="161">
        <f>VLOOKUP($A7,'Enroll Data as of January 2025'!$A$3:$M$322,12,FALSE)</f>
        <v>0.222</v>
      </c>
      <c r="R7" s="165">
        <f t="shared" si="14"/>
        <v>0.621</v>
      </c>
      <c r="S7" s="267">
        <f>IFERROR(VLOOKUP($A7,Supp_39,14,FALSE),0)+IFERROR(SUMPRODUCT(VLOOKUP($A7,S275_01,{14,15,16},FALSE)),0)+IFERROR(SUMPRODUCT(VLOOKUP($A7,S275_97,{14,15,16},FALSE)),0)+IFERROR(ROUND(VLOOKUP($A7,S275_21,14,FALSE)*VLOOKUP($A7,'3121% SY'!$C$3:$M$324,11,FALSE),3),0)+IFERROR(ROUND(VLOOKUP($A7,S275_21,15,FALSE)*VLOOKUP($A7,'3121% SY'!$C$3:$M$324,11,FALSE),3),0)+IFERROR(ROUND(VLOOKUP($A7,S275_21,16,FALSE)*VLOOKUP($A7,'3121% SY'!$C$3:$M$324,11,FALSE),3),0)+IFERROR(VLOOKUP($A7,S275_09,6,FALSE),0)</f>
        <v>3.5</v>
      </c>
      <c r="T7" s="267">
        <f>IFERROR(VLOOKUP($A7,Supp_42,14,FALSE),0)+IFERROR(SUMPRODUCT(VLOOKUP($A7,S275_01,{17,18,19},FALSE)),0)+IFERROR(SUMPRODUCT(VLOOKUP($A7,S275_97,{17,18,19},FALSE)),0)+IFERROR(ROUND(VLOOKUP($A7,S275_21,17,FALSE)*VLOOKUP($A7,'3121% SY'!$C$3:$M$324,11,FALSE),3),0)+IFERROR(ROUND(VLOOKUP($A7,S275_21,18,FALSE)*VLOOKUP($A7,'3121% SY'!$C$3:$M$324,11,FALSE),3),0)+IFERROR(ROUND(VLOOKUP($A7,S275_21,19,FALSE)*VLOOKUP($A7,'3121% SY'!$C$3:$M$324,11,FALSE),3),0)+IFERROR(VLOOKUP($A7,S275_09,7,FALSE),0)</f>
        <v>1</v>
      </c>
      <c r="U7" s="267">
        <f>IFERROR(VLOOKUP($A7,Supp_43,14,FALSE),0)+IFERROR(SUMPRODUCT(VLOOKUP($A7,S275_01,{20,21,22},FALSE)),0)+IFERROR(SUMPRODUCT(VLOOKUP($A7,S275_97,{20,21,22},FALSE)),0)+IFERROR(ROUND(VLOOKUP($A7,S275_21,20,FALSE)*VLOOKUP($A7,'3121% SY'!$C$3:$M$324,11,FALSE),3),0)+IFERROR(ROUND(VLOOKUP($A7,S275_21,21,FALSE)*VLOOKUP($A7,'3121% SY'!$C$3:$M$324,11,FALSE),3),0)+IFERROR(ROUND(VLOOKUP($A7,S275_21,22,FALSE)*VLOOKUP($A7,'3121% SY'!$C$3:$M$324,11,FALSE),3),0)+IFERROR(VLOOKUP($A7,S275_09,8,FALSE),0)</f>
        <v>0.88200000000000001</v>
      </c>
      <c r="V7" s="267">
        <f>IFERROR(VLOOKUP($A7,Supp_44,14,FALSE),0)+IFERROR(SUMPRODUCT(VLOOKUP($A7,S275_01,{23,24,25},FALSE)),0)+IFERROR(SUMPRODUCT(VLOOKUP($A7,S275_97,{23,24,25},FALSE)),0)+IFERROR(ROUND(VLOOKUP($A7,S275_21,23,FALSE)*VLOOKUP($A7,'3121% SY'!$C$3:$M$324,11,FALSE),3),0)+IFERROR(ROUND(VLOOKUP($A7,S275_21,24,FALSE)*VLOOKUP($A7,'3121% SY'!$C$3:$M$324,11,FALSE),3),0)+IFERROR(ROUND(VLOOKUP($A7,S275_21,25,FALSE)*VLOOKUP($A7,'3121% SY'!$C$3:$M$324,11,FALSE),3),0)+IFERROR(VLOOKUP($A7,S275_09,9,FALSE),0)</f>
        <v>9.6000000000000002E-2</v>
      </c>
      <c r="W7" s="267">
        <f>IFERROR(VLOOKUP($A7,Supp_45,14,FALSE),0)+IFERROR(SUMPRODUCT(VLOOKUP($A7,S275_01,{26,27,28},FALSE)),0)+IFERROR(SUMPRODUCT(VLOOKUP($A7,S275_97,{26,27,28},FALSE)),0)+IFERROR(ROUND(VLOOKUP($A7,S275_21,26,FALSE)*VLOOKUP($A7,'3121% SY'!$C$3:$M$324,11,FALSE),3),0)+IFERROR(ROUND(VLOOKUP($A7,S275_21,27,FALSE)*VLOOKUP($A7,'3121% SY'!$C$3:$M$324,11,FALSE),3),0)+IFERROR(ROUND(VLOOKUP($A7,S275_21,28,FALSE)*VLOOKUP($A7,'3121% SY'!$C$3:$M$324,11,FALSE),3),0)+IFERROR(VLOOKUP($A7,S275_09,10,FALSE),0)</f>
        <v>0</v>
      </c>
      <c r="X7" s="267">
        <f>IFERROR(VLOOKUP($A7,Supp_46,14,FALSE),0)+IFERROR(SUMPRODUCT(VLOOKUP($A7,S275_01,{29,30,31},FALSE)),0)+IFERROR(SUMPRODUCT(VLOOKUP($A7,S275_97,{29,30,31},FALSE)),0)+IFERROR(ROUND(VLOOKUP($A7,S275_21,29,FALSE)*VLOOKUP($A7,'3121% SY'!$C$3:$M$324,11,FALSE),3),0)+IFERROR(ROUND(VLOOKUP($A7,S275_21,30,FALSE)*VLOOKUP($A7,'3121% SY'!$C$3:$M$324,11,FALSE),3),0)+IFERROR(ROUND(VLOOKUP($A7,S275_21,31,FALSE)*VLOOKUP($A7,'3121% SY'!$C$3:$M$324,11,FALSE),3),0)+IFERROR(VLOOKUP($A7,S275_09,11,FALSE),0)</f>
        <v>0.30499999999999999</v>
      </c>
      <c r="Y7" s="267">
        <f>IFERROR(VLOOKUP($A7,Supp_47,14,FALSE),0)+IFERROR(SUMPRODUCT(VLOOKUP($A7,S275_01,{32,33,34},FALSE)),0)+IFERROR(SUMPRODUCT(VLOOKUP($A7,S275_97,{32,33,34},FALSE)),0)+IFERROR(ROUND(VLOOKUP($A7,S275_21,32,FALSE)*VLOOKUP($A7,'3121% SY'!$C$3:$M$324,11,FALSE),3),0)+IFERROR(ROUND(VLOOKUP($A7,S275_21,33,FALSE)*VLOOKUP($A7,'3121% SY'!$C$3:$M$324,11,FALSE),3),0)+IFERROR(ROUND(VLOOKUP($A7,S275_21,34,FALSE)*VLOOKUP($A7,'3121% SY'!$C$3:$M$324,11,FALSE),3),0)+IFERROR(VLOOKUP($A7,S275_09,12,FALSE),0)</f>
        <v>0</v>
      </c>
      <c r="Z7" s="267">
        <f>IFERROR(VLOOKUP($A7,Supp_48,14,FALSE),0)+IFERROR(SUMPRODUCT(VLOOKUP($A7,S275_01,{35,36,37},FALSE)),0)+IFERROR(SUMPRODUCT(VLOOKUP($A7,S275_97,{35,36,37},FALSE)),0)+IFERROR(ROUND(VLOOKUP($A7,S275_21,35,FALSE)*VLOOKUP($A7,'3121% SY'!$C$3:$M$324,11,FALSE),3),0)+IFERROR(ROUND(VLOOKUP($A7,S275_21,36,FALSE)*VLOOKUP($A7,'3121% SY'!$C$3:$M$324,11,FALSE),3),0)+IFERROR(ROUND(VLOOKUP($A7,S275_21,37,FALSE)*VLOOKUP($A7,'3121% SY'!$C$3:$M$324,11,FALSE),3),0)+IFERROR(VLOOKUP($A7,S275_09,13,FALSE),0)</f>
        <v>6.4000000000000001E-2</v>
      </c>
      <c r="AA7" s="267">
        <f>IFERROR(VLOOKUP($A7,Supp_49,14,FALSE),0)+IFERROR(SUMPRODUCT(VLOOKUP($A7,S275_01,{38,39,40},FALSE)),0)+IFERROR(SUMPRODUCT(VLOOKUP($A7,S275_97,{38,39,40},FALSE)),0)+IFERROR(ROUND(VLOOKUP($A7,S275_21,38,FALSE)*VLOOKUP($A7,'3121% SY'!$C$3:$M$324,11,FALSE),3),0)+IFERROR(ROUND(VLOOKUP($A7,S275_21,39,FALSE)*VLOOKUP($A7,'3121% SY'!$C$3:$M$324,11,FALSE),3),0)+IFERROR(ROUND(VLOOKUP($A7,S275_21,40,FALSE)*VLOOKUP($A7,'3121% SY'!$C$3:$M$324,11,FALSE),3),0)+IFERROR(VLOOKUP($A7,S275_09,14,FALSE),0)</f>
        <v>0</v>
      </c>
      <c r="AB7" s="267">
        <f>IFERROR(VLOOKUP($A7,Supp_64,14,FALSE),0)+IFERROR(SUMPRODUCT(VLOOKUP($A7,S275_01,{41,42,43},FALSE)),0)+IFERROR(SUMPRODUCT(VLOOKUP($A7,S275_97,{41,42,43},FALSE)),0)+IFERROR(ROUND(VLOOKUP($A7,S275_21,41,FALSE)*VLOOKUP($A7,'3121% SY'!$C$3:$M$324,11,FALSE),3),0)+IFERROR(ROUND(VLOOKUP($A7,S275_21,42,FALSE)*VLOOKUP($A7,'3121% SY'!$C$3:$M$324,11,FALSE),3),0)+IFERROR(ROUND(VLOOKUP($A7,S275_21,43,FALSE)*VLOOKUP($A7,'3121% SY'!$C$3:$M$324,11,FALSE),3),0)+IFERROR(VLOOKUP($A7,S275_09,15,FALSE),0)</f>
        <v>0</v>
      </c>
      <c r="AC7" s="268">
        <f t="shared" ref="AC7:AC69" si="17">SUM(S7:AB7)</f>
        <v>5.8469999999999995</v>
      </c>
      <c r="AD7" s="267">
        <f>IFERROR(VLOOKUP($A7,Supp_24,14,FALSE),0)+IFERROR(SUMPRODUCT(VLOOKUP($A7,S275_01,{2,3,4},FALSE)),0)+IFERROR(SUMPRODUCT(VLOOKUP($A7,S275_97,{2,3,4},FALSE)),0)+IFERROR(ROUND(VLOOKUP($A7,S275_21,2,FALSE)*VLOOKUP($A7,'3121% SY'!$C$3:$M$324,11,FALSE),3),0)+IFERROR(ROUND(VLOOKUP($A7,S275_21,3,FALSE)*VLOOKUP($A7,'3121% SY'!$C$3:$M$324,11,FALSE),3),0)+IFERROR(ROUND(VLOOKUP($A7,S275_21,4,FALSE)*VLOOKUP($A7,'3121% SY'!$C$3:$M$324,11,FALSE),3),0)+IFERROR(VLOOKUP($A7,S275_09,2,FALSE),0)</f>
        <v>0</v>
      </c>
      <c r="AE7" s="267">
        <f>IFERROR(VLOOKUP($A7,Supp_25,14,FALSE),0)+IFERROR(SUMPRODUCT(VLOOKUP($A7,S275_01,{5,6,7},FALSE)),0)+IFERROR(SUMPRODUCT(VLOOKUP($A7,S275_97,{5,6,7},FALSE)),0)+IFERROR(ROUND(VLOOKUP($A7,S275_21,5,FALSE)*VLOOKUP($A7,'3121% SY'!$C$3:$M$324,11,FALSE),3),0)+IFERROR(ROUND(VLOOKUP($A7,S275_21,6,FALSE)*VLOOKUP($A7,'3121% SY'!$C$3:$M$324,11,FALSE),3),0)+IFERROR(ROUND(VLOOKUP($A7,S275_21,7,FALSE)*VLOOKUP($A7,'3121% SY'!$C$3:$M$324,11,FALSE),3),0)+IFERROR(VLOOKUP($A7,S275_09,3,FALSE),0)</f>
        <v>0</v>
      </c>
      <c r="AF7" s="267">
        <f>IFERROR(VLOOKUP($A7,Supp_26,14,FALSE),0)+IFERROR(SUMPRODUCT(VLOOKUP($A7,S275_01,{8,9,10},FALSE)),0)+IFERROR(SUMPRODUCT(VLOOKUP($A7,S275_97,{8,9,10},FALSE)),0)+IFERROR(ROUND(VLOOKUP($A7,S275_21,8,FALSE)*VLOOKUP($A7,'3121% SY'!$C$3:$M$324,11,FALSE),3),0)+IFERROR(ROUND(VLOOKUP($A7,S275_21,9,FALSE)*VLOOKUP($A7,'3121% SY'!$C$3:$M$324,11,FALSE),3),0)+IFERROR(ROUND(VLOOKUP($A7,S275_21,10,FALSE)*VLOOKUP($A7,'3121% SY'!$C$3:$M$324,11,FALSE),3),0)+IFERROR(VLOOKUP($A7,S275_09,4,FALSE),0)</f>
        <v>0</v>
      </c>
      <c r="AG7" s="267">
        <f>IFERROR(VLOOKUP($A7,Supp_35,14,FALSE),0)+IFERROR(SUMPRODUCT(VLOOKUP($A7,S275_01,{11,12,13},FALSE)),0)+IFERROR(SUMPRODUCT(VLOOKUP($A7,S275_97,{11,12,13},FALSE)),0)+IFERROR(ROUND(VLOOKUP($A7,S275_21,11,FALSE)*VLOOKUP($A7,'3121% SY'!$C$3:$M$324,11,FALSE),3),0)+IFERROR(ROUND(VLOOKUP($A7,S275_21,12,FALSE)*VLOOKUP($A7,'3121% SY'!$C$3:$M$324,11,FALSE),3),0)+IFERROR(ROUND(VLOOKUP($A7,S275_21,13,FALSE)*VLOOKUP($A7,'3121% SY'!$C$3:$M$324,11,FALSE),3),0)+IFERROR(VLOOKUP($A7,S275_09,5,FALSE),0)</f>
        <v>2.262</v>
      </c>
      <c r="AH7" s="165">
        <f t="shared" si="15"/>
        <v>2.262</v>
      </c>
      <c r="AI7" s="161">
        <f>IFERROR(VLOOKUP(A7,'Supp Staff Data'!A:ER,148,FALSE),0)+AB7</f>
        <v>0</v>
      </c>
      <c r="AJ7" s="174">
        <v>1</v>
      </c>
      <c r="AK7" s="25">
        <f>VLOOKUP(A7,'Enroll Data as of January 2025'!$A$3:$T$323,20,FALSE)-F7</f>
        <v>0</v>
      </c>
    </row>
    <row r="8" spans="1:37" x14ac:dyDescent="0.25">
      <c r="A8" s="171" t="s">
        <v>298</v>
      </c>
      <c r="B8" t="s">
        <v>594</v>
      </c>
      <c r="C8" s="173" t="s">
        <v>1086</v>
      </c>
      <c r="D8" s="259">
        <f t="shared" si="9"/>
        <v>5.8949999999999996</v>
      </c>
      <c r="E8" s="259">
        <f t="shared" si="10"/>
        <v>4.5110000000000001</v>
      </c>
      <c r="F8" s="262">
        <f t="shared" si="16"/>
        <v>-1.3839999999999999</v>
      </c>
      <c r="G8" s="161">
        <f>ROUND(IF(F8&lt;0,F8*'2024-25 PSES Compliance'!$G$13,0),3)</f>
        <v>-1.329</v>
      </c>
      <c r="H8" s="161">
        <f>ROUND(IF(F8&lt;0,F8*'2024-25 PSES Compliance'!$G$14,0),3)</f>
        <v>-5.5E-2</v>
      </c>
      <c r="I8" s="174">
        <f t="shared" si="11"/>
        <v>0</v>
      </c>
      <c r="J8" s="174">
        <f t="shared" si="12"/>
        <v>0</v>
      </c>
      <c r="K8" s="161">
        <f>VLOOKUP($A8,'Enroll Data as of January 2025'!$A$3:$M$322,6,FALSE)</f>
        <v>3.4059999999999997</v>
      </c>
      <c r="L8" s="161">
        <f>VLOOKUP($A8,'Enroll Data as of January 2025'!$A$3:$M$322,7,FALSE)</f>
        <v>0.50499999999999989</v>
      </c>
      <c r="M8" s="161">
        <f>VLOOKUP($A8,'Enroll Data as of January 2025'!$A$3:$M$322,8,FALSE)</f>
        <v>0.17</v>
      </c>
      <c r="N8" s="161">
        <f>VLOOKUP($A8,'Enroll Data as of January 2025'!$A$3:$M$322,9,FALSE)</f>
        <v>1.5</v>
      </c>
      <c r="O8" s="165">
        <f t="shared" si="13"/>
        <v>5.5809999999999995</v>
      </c>
      <c r="P8" s="161">
        <f>VLOOKUP($A8,'Enroll Data as of January 2025'!$A$3:$M$322,11,FALSE)</f>
        <v>0.20500000000000002</v>
      </c>
      <c r="Q8" s="161">
        <f>VLOOKUP($A8,'Enroll Data as of January 2025'!$A$3:$M$322,12,FALSE)</f>
        <v>0.109</v>
      </c>
      <c r="R8" s="165">
        <f t="shared" si="14"/>
        <v>0.314</v>
      </c>
      <c r="S8" s="267">
        <f>IFERROR(VLOOKUP($A8,Supp_39,14,FALSE),0)+IFERROR(SUMPRODUCT(VLOOKUP($A8,S275_01,{14,15,16},FALSE)),0)+IFERROR(SUMPRODUCT(VLOOKUP($A8,S275_97,{14,15,16},FALSE)),0)+IFERROR(ROUND(VLOOKUP($A8,S275_21,14,FALSE)*VLOOKUP($A8,'3121% SY'!$C$3:$M$324,11,FALSE),3),0)+IFERROR(ROUND(VLOOKUP($A8,S275_21,15,FALSE)*VLOOKUP($A8,'3121% SY'!$C$3:$M$324,11,FALSE),3),0)+IFERROR(ROUND(VLOOKUP($A8,S275_21,16,FALSE)*VLOOKUP($A8,'3121% SY'!$C$3:$M$324,11,FALSE),3),0)+IFERROR(VLOOKUP($A8,S275_09,6,FALSE),0)</f>
        <v>2</v>
      </c>
      <c r="T8" s="267">
        <f>IFERROR(VLOOKUP($A8,Supp_42,14,FALSE),0)+IFERROR(SUMPRODUCT(VLOOKUP($A8,S275_01,{17,18,19},FALSE)),0)+IFERROR(SUMPRODUCT(VLOOKUP($A8,S275_97,{17,18,19},FALSE)),0)+IFERROR(ROUND(VLOOKUP($A8,S275_21,17,FALSE)*VLOOKUP($A8,'3121% SY'!$C$3:$M$324,11,FALSE),3),0)+IFERROR(ROUND(VLOOKUP($A8,S275_21,18,FALSE)*VLOOKUP($A8,'3121% SY'!$C$3:$M$324,11,FALSE),3),0)+IFERROR(ROUND(VLOOKUP($A8,S275_21,19,FALSE)*VLOOKUP($A8,'3121% SY'!$C$3:$M$324,11,FALSE),3),0)+IFERROR(VLOOKUP($A8,S275_09,7,FALSE),0)</f>
        <v>1</v>
      </c>
      <c r="U8" s="267">
        <f>IFERROR(VLOOKUP($A8,Supp_43,14,FALSE),0)+IFERROR(SUMPRODUCT(VLOOKUP($A8,S275_01,{20,21,22},FALSE)),0)+IFERROR(SUMPRODUCT(VLOOKUP($A8,S275_97,{20,21,22},FALSE)),0)+IFERROR(ROUND(VLOOKUP($A8,S275_21,20,FALSE)*VLOOKUP($A8,'3121% SY'!$C$3:$M$324,11,FALSE),3),0)+IFERROR(ROUND(VLOOKUP($A8,S275_21,21,FALSE)*VLOOKUP($A8,'3121% SY'!$C$3:$M$324,11,FALSE),3),0)+IFERROR(ROUND(VLOOKUP($A8,S275_21,22,FALSE)*VLOOKUP($A8,'3121% SY'!$C$3:$M$324,11,FALSE),3),0)+IFERROR(VLOOKUP($A8,S275_09,8,FALSE),0)</f>
        <v>0</v>
      </c>
      <c r="V8" s="267">
        <f>IFERROR(VLOOKUP($A8,Supp_44,14,FALSE),0)+IFERROR(SUMPRODUCT(VLOOKUP($A8,S275_01,{23,24,25},FALSE)),0)+IFERROR(SUMPRODUCT(VLOOKUP($A8,S275_97,{23,24,25},FALSE)),0)+IFERROR(ROUND(VLOOKUP($A8,S275_21,23,FALSE)*VLOOKUP($A8,'3121% SY'!$C$3:$M$324,11,FALSE),3),0)+IFERROR(ROUND(VLOOKUP($A8,S275_21,24,FALSE)*VLOOKUP($A8,'3121% SY'!$C$3:$M$324,11,FALSE),3),0)+IFERROR(ROUND(VLOOKUP($A8,S275_21,25,FALSE)*VLOOKUP($A8,'3121% SY'!$C$3:$M$324,11,FALSE),3),0)+IFERROR(VLOOKUP($A8,S275_09,9,FALSE),0)</f>
        <v>0</v>
      </c>
      <c r="W8" s="267">
        <f>IFERROR(VLOOKUP($A8,Supp_45,14,FALSE),0)+IFERROR(SUMPRODUCT(VLOOKUP($A8,S275_01,{26,27,28},FALSE)),0)+IFERROR(SUMPRODUCT(VLOOKUP($A8,S275_97,{26,27,28},FALSE)),0)+IFERROR(ROUND(VLOOKUP($A8,S275_21,26,FALSE)*VLOOKUP($A8,'3121% SY'!$C$3:$M$324,11,FALSE),3),0)+IFERROR(ROUND(VLOOKUP($A8,S275_21,27,FALSE)*VLOOKUP($A8,'3121% SY'!$C$3:$M$324,11,FALSE),3),0)+IFERROR(ROUND(VLOOKUP($A8,S275_21,28,FALSE)*VLOOKUP($A8,'3121% SY'!$C$3:$M$324,11,FALSE),3),0)+IFERROR(VLOOKUP($A8,S275_09,10,FALSE),0)</f>
        <v>0.25</v>
      </c>
      <c r="X8" s="267">
        <f>IFERROR(VLOOKUP($A8,Supp_46,14,FALSE),0)+IFERROR(SUMPRODUCT(VLOOKUP($A8,S275_01,{29,30,31},FALSE)),0)+IFERROR(SUMPRODUCT(VLOOKUP($A8,S275_97,{29,30,31},FALSE)),0)+IFERROR(ROUND(VLOOKUP($A8,S275_21,29,FALSE)*VLOOKUP($A8,'3121% SY'!$C$3:$M$324,11,FALSE),3),0)+IFERROR(ROUND(VLOOKUP($A8,S275_21,30,FALSE)*VLOOKUP($A8,'3121% SY'!$C$3:$M$324,11,FALSE),3),0)+IFERROR(ROUND(VLOOKUP($A8,S275_21,31,FALSE)*VLOOKUP($A8,'3121% SY'!$C$3:$M$324,11,FALSE),3),0)+IFERROR(VLOOKUP($A8,S275_09,11,FALSE),0)</f>
        <v>0.251</v>
      </c>
      <c r="Y8" s="267">
        <f>IFERROR(VLOOKUP($A8,Supp_47,14,FALSE),0)+IFERROR(SUMPRODUCT(VLOOKUP($A8,S275_01,{32,33,34},FALSE)),0)+IFERROR(SUMPRODUCT(VLOOKUP($A8,S275_97,{32,33,34},FALSE)),0)+IFERROR(ROUND(VLOOKUP($A8,S275_21,32,FALSE)*VLOOKUP($A8,'3121% SY'!$C$3:$M$324,11,FALSE),3),0)+IFERROR(ROUND(VLOOKUP($A8,S275_21,33,FALSE)*VLOOKUP($A8,'3121% SY'!$C$3:$M$324,11,FALSE),3),0)+IFERROR(ROUND(VLOOKUP($A8,S275_21,34,FALSE)*VLOOKUP($A8,'3121% SY'!$C$3:$M$324,11,FALSE),3),0)+IFERROR(VLOOKUP($A8,S275_09,12,FALSE),0)</f>
        <v>0</v>
      </c>
      <c r="Z8" s="267">
        <f>IFERROR(VLOOKUP($A8,Supp_48,14,FALSE),0)+IFERROR(SUMPRODUCT(VLOOKUP($A8,S275_01,{35,36,37},FALSE)),0)+IFERROR(SUMPRODUCT(VLOOKUP($A8,S275_97,{35,36,37},FALSE)),0)+IFERROR(ROUND(VLOOKUP($A8,S275_21,35,FALSE)*VLOOKUP($A8,'3121% SY'!$C$3:$M$324,11,FALSE),3),0)+IFERROR(ROUND(VLOOKUP($A8,S275_21,36,FALSE)*VLOOKUP($A8,'3121% SY'!$C$3:$M$324,11,FALSE),3),0)+IFERROR(ROUND(VLOOKUP($A8,S275_21,37,FALSE)*VLOOKUP($A8,'3121% SY'!$C$3:$M$324,11,FALSE),3),0)+IFERROR(VLOOKUP($A8,S275_09,13,FALSE),0)</f>
        <v>0</v>
      </c>
      <c r="AA8" s="267">
        <f>IFERROR(VLOOKUP($A8,Supp_49,14,FALSE),0)+IFERROR(SUMPRODUCT(VLOOKUP($A8,S275_01,{38,39,40},FALSE)),0)+IFERROR(SUMPRODUCT(VLOOKUP($A8,S275_97,{38,39,40},FALSE)),0)+IFERROR(ROUND(VLOOKUP($A8,S275_21,38,FALSE)*VLOOKUP($A8,'3121% SY'!$C$3:$M$324,11,FALSE),3),0)+IFERROR(ROUND(VLOOKUP($A8,S275_21,39,FALSE)*VLOOKUP($A8,'3121% SY'!$C$3:$M$324,11,FALSE),3),0)+IFERROR(ROUND(VLOOKUP($A8,S275_21,40,FALSE)*VLOOKUP($A8,'3121% SY'!$C$3:$M$324,11,FALSE),3),0)+IFERROR(VLOOKUP($A8,S275_09,14,FALSE),0)</f>
        <v>0</v>
      </c>
      <c r="AB8" s="267">
        <f>IFERROR(VLOOKUP($A8,Supp_64,14,FALSE),0)+IFERROR(SUMPRODUCT(VLOOKUP($A8,S275_01,{41,42,43},FALSE)),0)+IFERROR(SUMPRODUCT(VLOOKUP($A8,S275_97,{41,42,43},FALSE)),0)+IFERROR(ROUND(VLOOKUP($A8,S275_21,41,FALSE)*VLOOKUP($A8,'3121% SY'!$C$3:$M$324,11,FALSE),3),0)+IFERROR(ROUND(VLOOKUP($A8,S275_21,42,FALSE)*VLOOKUP($A8,'3121% SY'!$C$3:$M$324,11,FALSE),3),0)+IFERROR(ROUND(VLOOKUP($A8,S275_21,43,FALSE)*VLOOKUP($A8,'3121% SY'!$C$3:$M$324,11,FALSE),3),0)+IFERROR(VLOOKUP($A8,S275_09,15,FALSE),0)</f>
        <v>0</v>
      </c>
      <c r="AC8" s="268">
        <f t="shared" si="17"/>
        <v>3.5009999999999999</v>
      </c>
      <c r="AD8" s="267">
        <f>IFERROR(VLOOKUP($A8,Supp_24,14,FALSE),0)+IFERROR(SUMPRODUCT(VLOOKUP($A8,S275_01,{2,3,4},FALSE)),0)+IFERROR(SUMPRODUCT(VLOOKUP($A8,S275_97,{2,3,4},FALSE)),0)+IFERROR(ROUND(VLOOKUP($A8,S275_21,2,FALSE)*VLOOKUP($A8,'3121% SY'!$C$3:$M$324,11,FALSE),3),0)+IFERROR(ROUND(VLOOKUP($A8,S275_21,3,FALSE)*VLOOKUP($A8,'3121% SY'!$C$3:$M$324,11,FALSE),3),0)+IFERROR(ROUND(VLOOKUP($A8,S275_21,4,FALSE)*VLOOKUP($A8,'3121% SY'!$C$3:$M$324,11,FALSE),3),0)+IFERROR(VLOOKUP($A8,S275_09,2,FALSE),0)</f>
        <v>0</v>
      </c>
      <c r="AE8" s="267">
        <f>IFERROR(VLOOKUP($A8,Supp_25,14,FALSE),0)+IFERROR(SUMPRODUCT(VLOOKUP($A8,S275_01,{5,6,7},FALSE)),0)+IFERROR(SUMPRODUCT(VLOOKUP($A8,S275_97,{5,6,7},FALSE)),0)+IFERROR(ROUND(VLOOKUP($A8,S275_21,5,FALSE)*VLOOKUP($A8,'3121% SY'!$C$3:$M$324,11,FALSE),3),0)+IFERROR(ROUND(VLOOKUP($A8,S275_21,6,FALSE)*VLOOKUP($A8,'3121% SY'!$C$3:$M$324,11,FALSE),3),0)+IFERROR(ROUND(VLOOKUP($A8,S275_21,7,FALSE)*VLOOKUP($A8,'3121% SY'!$C$3:$M$324,11,FALSE),3),0)+IFERROR(VLOOKUP($A8,S275_09,3,FALSE),0)</f>
        <v>0</v>
      </c>
      <c r="AF8" s="267">
        <f>IFERROR(VLOOKUP($A8,Supp_26,14,FALSE),0)+IFERROR(SUMPRODUCT(VLOOKUP($A8,S275_01,{8,9,10},FALSE)),0)+IFERROR(SUMPRODUCT(VLOOKUP($A8,S275_97,{8,9,10},FALSE)),0)+IFERROR(ROUND(VLOOKUP($A8,S275_21,8,FALSE)*VLOOKUP($A8,'3121% SY'!$C$3:$M$324,11,FALSE),3),0)+IFERROR(ROUND(VLOOKUP($A8,S275_21,9,FALSE)*VLOOKUP($A8,'3121% SY'!$C$3:$M$324,11,FALSE),3),0)+IFERROR(ROUND(VLOOKUP($A8,S275_21,10,FALSE)*VLOOKUP($A8,'3121% SY'!$C$3:$M$324,11,FALSE),3),0)+IFERROR(VLOOKUP($A8,S275_09,4,FALSE),0)</f>
        <v>1.01</v>
      </c>
      <c r="AG8" s="267">
        <f>IFERROR(VLOOKUP($A8,Supp_35,14,FALSE),0)+IFERROR(SUMPRODUCT(VLOOKUP($A8,S275_01,{11,12,13},FALSE)),0)+IFERROR(SUMPRODUCT(VLOOKUP($A8,S275_97,{11,12,13},FALSE)),0)+IFERROR(ROUND(VLOOKUP($A8,S275_21,11,FALSE)*VLOOKUP($A8,'3121% SY'!$C$3:$M$324,11,FALSE),3),0)+IFERROR(ROUND(VLOOKUP($A8,S275_21,12,FALSE)*VLOOKUP($A8,'3121% SY'!$C$3:$M$324,11,FALSE),3),0)+IFERROR(ROUND(VLOOKUP($A8,S275_21,13,FALSE)*VLOOKUP($A8,'3121% SY'!$C$3:$M$324,11,FALSE),3),0)+IFERROR(VLOOKUP($A8,S275_09,5,FALSE),0)</f>
        <v>0</v>
      </c>
      <c r="AH8" s="165">
        <f t="shared" si="15"/>
        <v>1.01</v>
      </c>
      <c r="AI8" s="161">
        <f>IFERROR(VLOOKUP(A8,'Supp Staff Data'!A:ER,148,FALSE),0)+AB8</f>
        <v>0</v>
      </c>
      <c r="AJ8" s="174">
        <v>0</v>
      </c>
      <c r="AK8" s="25">
        <f>VLOOKUP(A8,'Enroll Data as of January 2025'!$A$3:$T$323,20,FALSE)-F8</f>
        <v>0</v>
      </c>
    </row>
    <row r="9" spans="1:37" x14ac:dyDescent="0.25">
      <c r="A9" s="171" t="s">
        <v>67</v>
      </c>
      <c r="B9" t="s">
        <v>363</v>
      </c>
      <c r="C9" s="173" t="s">
        <v>1077</v>
      </c>
      <c r="D9" s="259">
        <f t="shared" si="9"/>
        <v>4.7889999999999997</v>
      </c>
      <c r="E9" s="259">
        <f t="shared" si="10"/>
        <v>3.0859999999999999</v>
      </c>
      <c r="F9" s="262">
        <f t="shared" si="16"/>
        <v>-1.7030000000000001</v>
      </c>
      <c r="G9" s="161">
        <f>ROUND(IF(F9&lt;0,F9*'2024-25 PSES Compliance'!$G$13,0),3)</f>
        <v>-1.635</v>
      </c>
      <c r="H9" s="161">
        <f>ROUND(IF(F9&lt;0,F9*'2024-25 PSES Compliance'!$G$14,0),3)</f>
        <v>-6.8000000000000005E-2</v>
      </c>
      <c r="I9" s="174">
        <f t="shared" si="11"/>
        <v>0</v>
      </c>
      <c r="J9" s="174">
        <f t="shared" si="12"/>
        <v>0</v>
      </c>
      <c r="K9" s="161">
        <f>VLOOKUP($A9,'Enroll Data as of January 2025'!$A$3:$M$322,6,FALSE)</f>
        <v>2.718</v>
      </c>
      <c r="L9" s="161">
        <f>VLOOKUP($A9,'Enroll Data as of January 2025'!$A$3:$M$322,7,FALSE)</f>
        <v>0.42499999999999999</v>
      </c>
      <c r="M9" s="161">
        <f>VLOOKUP($A9,'Enroll Data as of January 2025'!$A$3:$M$322,8,FALSE)</f>
        <v>0.14200000000000002</v>
      </c>
      <c r="N9" s="161">
        <f>VLOOKUP($A9,'Enroll Data as of January 2025'!$A$3:$M$322,9,FALSE)</f>
        <v>1.242</v>
      </c>
      <c r="O9" s="165">
        <f t="shared" si="13"/>
        <v>4.5269999999999992</v>
      </c>
      <c r="P9" s="161">
        <f>VLOOKUP($A9,'Enroll Data as of January 2025'!$A$3:$M$322,11,FALSE)</f>
        <v>0.16799999999999998</v>
      </c>
      <c r="Q9" s="161">
        <f>VLOOKUP($A9,'Enroll Data as of January 2025'!$A$3:$M$322,12,FALSE)</f>
        <v>9.4E-2</v>
      </c>
      <c r="R9" s="165">
        <f t="shared" si="14"/>
        <v>0.26200000000000001</v>
      </c>
      <c r="S9" s="267">
        <f>IFERROR(VLOOKUP($A9,Supp_39,14,FALSE),0)+IFERROR(SUMPRODUCT(VLOOKUP($A9,S275_01,{14,15,16},FALSE)),0)+IFERROR(SUMPRODUCT(VLOOKUP($A9,S275_97,{14,15,16},FALSE)),0)+IFERROR(ROUND(VLOOKUP($A9,S275_21,14,FALSE)*VLOOKUP($A9,'3121% SY'!$C$3:$M$324,11,FALSE),3),0)+IFERROR(ROUND(VLOOKUP($A9,S275_21,15,FALSE)*VLOOKUP($A9,'3121% SY'!$C$3:$M$324,11,FALSE),3),0)+IFERROR(ROUND(VLOOKUP($A9,S275_21,16,FALSE)*VLOOKUP($A9,'3121% SY'!$C$3:$M$324,11,FALSE),3),0)+IFERROR(VLOOKUP($A9,S275_09,6,FALSE),0)</f>
        <v>1.1499999999999999</v>
      </c>
      <c r="T9" s="267">
        <f>IFERROR(VLOOKUP($A9,Supp_42,14,FALSE),0)+IFERROR(SUMPRODUCT(VLOOKUP($A9,S275_01,{17,18,19},FALSE)),0)+IFERROR(SUMPRODUCT(VLOOKUP($A9,S275_97,{17,18,19},FALSE)),0)+IFERROR(ROUND(VLOOKUP($A9,S275_21,17,FALSE)*VLOOKUP($A9,'3121% SY'!$C$3:$M$324,11,FALSE),3),0)+IFERROR(ROUND(VLOOKUP($A9,S275_21,18,FALSE)*VLOOKUP($A9,'3121% SY'!$C$3:$M$324,11,FALSE),3),0)+IFERROR(ROUND(VLOOKUP($A9,S275_21,19,FALSE)*VLOOKUP($A9,'3121% SY'!$C$3:$M$324,11,FALSE),3),0)+IFERROR(VLOOKUP($A9,S275_09,7,FALSE),0)</f>
        <v>0.86</v>
      </c>
      <c r="U9" s="267">
        <f>IFERROR(VLOOKUP($A9,Supp_43,14,FALSE),0)+IFERROR(SUMPRODUCT(VLOOKUP($A9,S275_01,{20,21,22},FALSE)),0)+IFERROR(SUMPRODUCT(VLOOKUP($A9,S275_97,{20,21,22},FALSE)),0)+IFERROR(ROUND(VLOOKUP($A9,S275_21,20,FALSE)*VLOOKUP($A9,'3121% SY'!$C$3:$M$324,11,FALSE),3),0)+IFERROR(ROUND(VLOOKUP($A9,S275_21,21,FALSE)*VLOOKUP($A9,'3121% SY'!$C$3:$M$324,11,FALSE),3),0)+IFERROR(ROUND(VLOOKUP($A9,S275_21,22,FALSE)*VLOOKUP($A9,'3121% SY'!$C$3:$M$324,11,FALSE),3),0)+IFERROR(VLOOKUP($A9,S275_09,8,FALSE),0)</f>
        <v>0</v>
      </c>
      <c r="V9" s="267">
        <f>IFERROR(VLOOKUP($A9,Supp_44,14,FALSE),0)+IFERROR(SUMPRODUCT(VLOOKUP($A9,S275_01,{23,24,25},FALSE)),0)+IFERROR(SUMPRODUCT(VLOOKUP($A9,S275_97,{23,24,25},FALSE)),0)+IFERROR(ROUND(VLOOKUP($A9,S275_21,23,FALSE)*VLOOKUP($A9,'3121% SY'!$C$3:$M$324,11,FALSE),3),0)+IFERROR(ROUND(VLOOKUP($A9,S275_21,24,FALSE)*VLOOKUP($A9,'3121% SY'!$C$3:$M$324,11,FALSE),3),0)+IFERROR(ROUND(VLOOKUP($A9,S275_21,25,FALSE)*VLOOKUP($A9,'3121% SY'!$C$3:$M$324,11,FALSE),3),0)+IFERROR(VLOOKUP($A9,S275_09,9,FALSE),0)</f>
        <v>0</v>
      </c>
      <c r="W9" s="267">
        <f>IFERROR(VLOOKUP($A9,Supp_45,14,FALSE),0)+IFERROR(SUMPRODUCT(VLOOKUP($A9,S275_01,{26,27,28},FALSE)),0)+IFERROR(SUMPRODUCT(VLOOKUP($A9,S275_97,{26,27,28},FALSE)),0)+IFERROR(ROUND(VLOOKUP($A9,S275_21,26,FALSE)*VLOOKUP($A9,'3121% SY'!$C$3:$M$324,11,FALSE),3),0)+IFERROR(ROUND(VLOOKUP($A9,S275_21,27,FALSE)*VLOOKUP($A9,'3121% SY'!$C$3:$M$324,11,FALSE),3),0)+IFERROR(ROUND(VLOOKUP($A9,S275_21,28,FALSE)*VLOOKUP($A9,'3121% SY'!$C$3:$M$324,11,FALSE),3),0)+IFERROR(VLOOKUP($A9,S275_09,10,FALSE),0)</f>
        <v>0.32700000000000001</v>
      </c>
      <c r="X9" s="267">
        <f>IFERROR(VLOOKUP($A9,Supp_46,14,FALSE),0)+IFERROR(SUMPRODUCT(VLOOKUP($A9,S275_01,{29,30,31},FALSE)),0)+IFERROR(SUMPRODUCT(VLOOKUP($A9,S275_97,{29,30,31},FALSE)),0)+IFERROR(ROUND(VLOOKUP($A9,S275_21,29,FALSE)*VLOOKUP($A9,'3121% SY'!$C$3:$M$324,11,FALSE),3),0)+IFERROR(ROUND(VLOOKUP($A9,S275_21,30,FALSE)*VLOOKUP($A9,'3121% SY'!$C$3:$M$324,11,FALSE),3),0)+IFERROR(ROUND(VLOOKUP($A9,S275_21,31,FALSE)*VLOOKUP($A9,'3121% SY'!$C$3:$M$324,11,FALSE),3),0)+IFERROR(VLOOKUP($A9,S275_09,11,FALSE),0)</f>
        <v>0.32700000000000001</v>
      </c>
      <c r="Y9" s="267">
        <f>IFERROR(VLOOKUP($A9,Supp_47,14,FALSE),0)+IFERROR(SUMPRODUCT(VLOOKUP($A9,S275_01,{32,33,34},FALSE)),0)+IFERROR(SUMPRODUCT(VLOOKUP($A9,S275_97,{32,33,34},FALSE)),0)+IFERROR(ROUND(VLOOKUP($A9,S275_21,32,FALSE)*VLOOKUP($A9,'3121% SY'!$C$3:$M$324,11,FALSE),3),0)+IFERROR(ROUND(VLOOKUP($A9,S275_21,33,FALSE)*VLOOKUP($A9,'3121% SY'!$C$3:$M$324,11,FALSE),3),0)+IFERROR(ROUND(VLOOKUP($A9,S275_21,34,FALSE)*VLOOKUP($A9,'3121% SY'!$C$3:$M$324,11,FALSE),3),0)+IFERROR(VLOOKUP($A9,S275_09,12,FALSE),0)</f>
        <v>0</v>
      </c>
      <c r="Z9" s="267">
        <f>IFERROR(VLOOKUP($A9,Supp_48,14,FALSE),0)+IFERROR(SUMPRODUCT(VLOOKUP($A9,S275_01,{35,36,37},FALSE)),0)+IFERROR(SUMPRODUCT(VLOOKUP($A9,S275_97,{35,36,37},FALSE)),0)+IFERROR(ROUND(VLOOKUP($A9,S275_21,35,FALSE)*VLOOKUP($A9,'3121% SY'!$C$3:$M$324,11,FALSE),3),0)+IFERROR(ROUND(VLOOKUP($A9,S275_21,36,FALSE)*VLOOKUP($A9,'3121% SY'!$C$3:$M$324,11,FALSE),3),0)+IFERROR(ROUND(VLOOKUP($A9,S275_21,37,FALSE)*VLOOKUP($A9,'3121% SY'!$C$3:$M$324,11,FALSE),3),0)+IFERROR(VLOOKUP($A9,S275_09,13,FALSE),0)</f>
        <v>0</v>
      </c>
      <c r="AA9" s="267">
        <f>IFERROR(VLOOKUP($A9,Supp_49,14,FALSE),0)+IFERROR(SUMPRODUCT(VLOOKUP($A9,S275_01,{38,39,40},FALSE)),0)+IFERROR(SUMPRODUCT(VLOOKUP($A9,S275_97,{38,39,40},FALSE)),0)+IFERROR(ROUND(VLOOKUP($A9,S275_21,38,FALSE)*VLOOKUP($A9,'3121% SY'!$C$3:$M$324,11,FALSE),3),0)+IFERROR(ROUND(VLOOKUP($A9,S275_21,39,FALSE)*VLOOKUP($A9,'3121% SY'!$C$3:$M$324,11,FALSE),3),0)+IFERROR(ROUND(VLOOKUP($A9,S275_21,40,FALSE)*VLOOKUP($A9,'3121% SY'!$C$3:$M$324,11,FALSE),3),0)+IFERROR(VLOOKUP($A9,S275_09,14,FALSE),0)</f>
        <v>0</v>
      </c>
      <c r="AB9" s="267">
        <f>IFERROR(VLOOKUP($A9,Supp_64,14,FALSE),0)+IFERROR(SUMPRODUCT(VLOOKUP($A9,S275_01,{41,42,43},FALSE)),0)+IFERROR(SUMPRODUCT(VLOOKUP($A9,S275_97,{41,42,43},FALSE)),0)+IFERROR(ROUND(VLOOKUP($A9,S275_21,41,FALSE)*VLOOKUP($A9,'3121% SY'!$C$3:$M$324,11,FALSE),3),0)+IFERROR(ROUND(VLOOKUP($A9,S275_21,42,FALSE)*VLOOKUP($A9,'3121% SY'!$C$3:$M$324,11,FALSE),3),0)+IFERROR(ROUND(VLOOKUP($A9,S275_21,43,FALSE)*VLOOKUP($A9,'3121% SY'!$C$3:$M$324,11,FALSE),3),0)+IFERROR(VLOOKUP($A9,S275_09,15,FALSE),0)</f>
        <v>0</v>
      </c>
      <c r="AC9" s="268">
        <f t="shared" si="17"/>
        <v>2.6639999999999997</v>
      </c>
      <c r="AD9" s="267">
        <f>IFERROR(VLOOKUP($A9,Supp_24,14,FALSE),0)+IFERROR(SUMPRODUCT(VLOOKUP($A9,S275_01,{2,3,4},FALSE)),0)+IFERROR(SUMPRODUCT(VLOOKUP($A9,S275_97,{2,3,4},FALSE)),0)+IFERROR(ROUND(VLOOKUP($A9,S275_21,2,FALSE)*VLOOKUP($A9,'3121% SY'!$C$3:$M$324,11,FALSE),3),0)+IFERROR(ROUND(VLOOKUP($A9,S275_21,3,FALSE)*VLOOKUP($A9,'3121% SY'!$C$3:$M$324,11,FALSE),3),0)+IFERROR(ROUND(VLOOKUP($A9,S275_21,4,FALSE)*VLOOKUP($A9,'3121% SY'!$C$3:$M$324,11,FALSE),3),0)+IFERROR(VLOOKUP($A9,S275_09,2,FALSE),0)</f>
        <v>0.318</v>
      </c>
      <c r="AE9" s="267">
        <f>IFERROR(VLOOKUP($A9,Supp_25,14,FALSE),0)+IFERROR(SUMPRODUCT(VLOOKUP($A9,S275_01,{5,6,7},FALSE)),0)+IFERROR(SUMPRODUCT(VLOOKUP($A9,S275_97,{5,6,7},FALSE)),0)+IFERROR(ROUND(VLOOKUP($A9,S275_21,5,FALSE)*VLOOKUP($A9,'3121% SY'!$C$3:$M$324,11,FALSE),3),0)+IFERROR(ROUND(VLOOKUP($A9,S275_21,6,FALSE)*VLOOKUP($A9,'3121% SY'!$C$3:$M$324,11,FALSE),3),0)+IFERROR(ROUND(VLOOKUP($A9,S275_21,7,FALSE)*VLOOKUP($A9,'3121% SY'!$C$3:$M$324,11,FALSE),3),0)+IFERROR(VLOOKUP($A9,S275_09,3,FALSE),0)</f>
        <v>0</v>
      </c>
      <c r="AF9" s="267">
        <f>IFERROR(VLOOKUP($A9,Supp_26,14,FALSE),0)+IFERROR(SUMPRODUCT(VLOOKUP($A9,S275_01,{8,9,10},FALSE)),0)+IFERROR(SUMPRODUCT(VLOOKUP($A9,S275_97,{8,9,10},FALSE)),0)+IFERROR(ROUND(VLOOKUP($A9,S275_21,8,FALSE)*VLOOKUP($A9,'3121% SY'!$C$3:$M$324,11,FALSE),3),0)+IFERROR(ROUND(VLOOKUP($A9,S275_21,9,FALSE)*VLOOKUP($A9,'3121% SY'!$C$3:$M$324,11,FALSE),3),0)+IFERROR(ROUND(VLOOKUP($A9,S275_21,10,FALSE)*VLOOKUP($A9,'3121% SY'!$C$3:$M$324,11,FALSE),3),0)+IFERROR(VLOOKUP($A9,S275_09,4,FALSE),0)</f>
        <v>0.104</v>
      </c>
      <c r="AG9" s="267">
        <f>IFERROR(VLOOKUP($A9,Supp_35,14,FALSE),0)+IFERROR(SUMPRODUCT(VLOOKUP($A9,S275_01,{11,12,13},FALSE)),0)+IFERROR(SUMPRODUCT(VLOOKUP($A9,S275_97,{11,12,13},FALSE)),0)+IFERROR(ROUND(VLOOKUP($A9,S275_21,11,FALSE)*VLOOKUP($A9,'3121% SY'!$C$3:$M$324,11,FALSE),3),0)+IFERROR(ROUND(VLOOKUP($A9,S275_21,12,FALSE)*VLOOKUP($A9,'3121% SY'!$C$3:$M$324,11,FALSE),3),0)+IFERROR(ROUND(VLOOKUP($A9,S275_21,13,FALSE)*VLOOKUP($A9,'3121% SY'!$C$3:$M$324,11,FALSE),3),0)+IFERROR(VLOOKUP($A9,S275_09,5,FALSE),0)</f>
        <v>0</v>
      </c>
      <c r="AH9" s="165">
        <f t="shared" si="15"/>
        <v>0.42199999999999999</v>
      </c>
      <c r="AI9" s="161">
        <f>IFERROR(VLOOKUP(A9,'Supp Staff Data'!A:ER,148,FALSE),0)+AB9</f>
        <v>0</v>
      </c>
      <c r="AJ9" s="174">
        <v>0</v>
      </c>
      <c r="AK9" s="25">
        <f>VLOOKUP(A9,'Enroll Data as of January 2025'!$A$3:$T$323,20,FALSE)-F9</f>
        <v>0</v>
      </c>
    </row>
    <row r="10" spans="1:37" x14ac:dyDescent="0.25">
      <c r="A10" s="171" t="s">
        <v>275</v>
      </c>
      <c r="B10" t="s">
        <v>571</v>
      </c>
      <c r="C10" s="173" t="s">
        <v>1077</v>
      </c>
      <c r="D10" s="259">
        <f t="shared" si="9"/>
        <v>2.4780000000000002</v>
      </c>
      <c r="E10" s="259">
        <f t="shared" si="10"/>
        <v>1</v>
      </c>
      <c r="F10" s="262">
        <f t="shared" si="16"/>
        <v>-1.478</v>
      </c>
      <c r="G10" s="161">
        <f>ROUND(IF(F10&lt;0,F10*'2024-25 PSES Compliance'!$G$13,0),3)</f>
        <v>-1.419</v>
      </c>
      <c r="H10" s="161">
        <f>ROUND(IF(F10&lt;0,F10*'2024-25 PSES Compliance'!$G$14,0),3)</f>
        <v>-5.8999999999999997E-2</v>
      </c>
      <c r="I10" s="174">
        <f t="shared" si="11"/>
        <v>0.97499999999999998</v>
      </c>
      <c r="J10" s="174">
        <f t="shared" si="12"/>
        <v>0</v>
      </c>
      <c r="K10" s="161">
        <f>VLOOKUP($A10,'Enroll Data as of January 2025'!$A$3:$M$322,6,FALSE)</f>
        <v>1.44</v>
      </c>
      <c r="L10" s="161">
        <f>VLOOKUP($A10,'Enroll Data as of January 2025'!$A$3:$M$322,7,FALSE)</f>
        <v>0.20900000000000002</v>
      </c>
      <c r="M10" s="161">
        <f>VLOOKUP($A10,'Enroll Data as of January 2025'!$A$3:$M$322,8,FALSE)</f>
        <v>6.9999999999999993E-2</v>
      </c>
      <c r="N10" s="161">
        <f>VLOOKUP($A10,'Enroll Data as of January 2025'!$A$3:$M$322,9,FALSE)</f>
        <v>0.627</v>
      </c>
      <c r="O10" s="165">
        <f t="shared" si="13"/>
        <v>2.3460000000000001</v>
      </c>
      <c r="P10" s="161">
        <f>VLOOKUP($A10,'Enroll Data as of January 2025'!$A$3:$M$322,11,FALSE)</f>
        <v>8.6999999999999994E-2</v>
      </c>
      <c r="Q10" s="161">
        <f>VLOOKUP($A10,'Enroll Data as of January 2025'!$A$3:$M$322,12,FALSE)</f>
        <v>4.4999999999999998E-2</v>
      </c>
      <c r="R10" s="165">
        <f t="shared" si="14"/>
        <v>0.13200000000000001</v>
      </c>
      <c r="S10" s="267">
        <f>IFERROR(VLOOKUP($A10,Supp_39,14,FALSE),0)+IFERROR(SUMPRODUCT(VLOOKUP($A10,S275_01,{14,15,16},FALSE)),0)+IFERROR(SUMPRODUCT(VLOOKUP($A10,S275_97,{14,15,16},FALSE)),0)+IFERROR(ROUND(VLOOKUP($A10,S275_21,14,FALSE)*VLOOKUP($A10,'3121% SY'!$C$3:$M$324,11,FALSE),3),0)+IFERROR(ROUND(VLOOKUP($A10,S275_21,15,FALSE)*VLOOKUP($A10,'3121% SY'!$C$3:$M$324,11,FALSE),3),0)+IFERROR(ROUND(VLOOKUP($A10,S275_21,16,FALSE)*VLOOKUP($A10,'3121% SY'!$C$3:$M$324,11,FALSE),3),0)+IFERROR(VLOOKUP($A10,S275_09,6,FALSE),0)</f>
        <v>0</v>
      </c>
      <c r="T10" s="267">
        <f>IFERROR(VLOOKUP($A10,Supp_42,14,FALSE),0)+IFERROR(SUMPRODUCT(VLOOKUP($A10,S275_01,{17,18,19},FALSE)),0)+IFERROR(SUMPRODUCT(VLOOKUP($A10,S275_97,{17,18,19},FALSE)),0)+IFERROR(ROUND(VLOOKUP($A10,S275_21,17,FALSE)*VLOOKUP($A10,'3121% SY'!$C$3:$M$324,11,FALSE),3),0)+IFERROR(ROUND(VLOOKUP($A10,S275_21,18,FALSE)*VLOOKUP($A10,'3121% SY'!$C$3:$M$324,11,FALSE),3),0)+IFERROR(ROUND(VLOOKUP($A10,S275_21,19,FALSE)*VLOOKUP($A10,'3121% SY'!$C$3:$M$324,11,FALSE),3),0)+IFERROR(VLOOKUP($A10,S275_09,7,FALSE),0)</f>
        <v>0</v>
      </c>
      <c r="U10" s="267">
        <f>IFERROR(VLOOKUP($A10,Supp_43,14,FALSE),0)+IFERROR(SUMPRODUCT(VLOOKUP($A10,S275_01,{20,21,22},FALSE)),0)+IFERROR(SUMPRODUCT(VLOOKUP($A10,S275_97,{20,21,22},FALSE)),0)+IFERROR(ROUND(VLOOKUP($A10,S275_21,20,FALSE)*VLOOKUP($A10,'3121% SY'!$C$3:$M$324,11,FALSE),3),0)+IFERROR(ROUND(VLOOKUP($A10,S275_21,21,FALSE)*VLOOKUP($A10,'3121% SY'!$C$3:$M$324,11,FALSE),3),0)+IFERROR(ROUND(VLOOKUP($A10,S275_21,22,FALSE)*VLOOKUP($A10,'3121% SY'!$C$3:$M$324,11,FALSE),3),0)+IFERROR(VLOOKUP($A10,S275_09,8,FALSE),0)</f>
        <v>0</v>
      </c>
      <c r="V10" s="267">
        <f>IFERROR(VLOOKUP($A10,Supp_44,14,FALSE),0)+IFERROR(SUMPRODUCT(VLOOKUP($A10,S275_01,{23,24,25},FALSE)),0)+IFERROR(SUMPRODUCT(VLOOKUP($A10,S275_97,{23,24,25},FALSE)),0)+IFERROR(ROUND(VLOOKUP($A10,S275_21,23,FALSE)*VLOOKUP($A10,'3121% SY'!$C$3:$M$324,11,FALSE),3),0)+IFERROR(ROUND(VLOOKUP($A10,S275_21,24,FALSE)*VLOOKUP($A10,'3121% SY'!$C$3:$M$324,11,FALSE),3),0)+IFERROR(ROUND(VLOOKUP($A10,S275_21,25,FALSE)*VLOOKUP($A10,'3121% SY'!$C$3:$M$324,11,FALSE),3),0)+IFERROR(VLOOKUP($A10,S275_09,9,FALSE),0)</f>
        <v>0</v>
      </c>
      <c r="W10" s="267">
        <f>IFERROR(VLOOKUP($A10,Supp_45,14,FALSE),0)+IFERROR(SUMPRODUCT(VLOOKUP($A10,S275_01,{26,27,28},FALSE)),0)+IFERROR(SUMPRODUCT(VLOOKUP($A10,S275_97,{26,27,28},FALSE)),0)+IFERROR(ROUND(VLOOKUP($A10,S275_21,26,FALSE)*VLOOKUP($A10,'3121% SY'!$C$3:$M$324,11,FALSE),3),0)+IFERROR(ROUND(VLOOKUP($A10,S275_21,27,FALSE)*VLOOKUP($A10,'3121% SY'!$C$3:$M$324,11,FALSE),3),0)+IFERROR(ROUND(VLOOKUP($A10,S275_21,28,FALSE)*VLOOKUP($A10,'3121% SY'!$C$3:$M$324,11,FALSE),3),0)+IFERROR(VLOOKUP($A10,S275_09,10,FALSE),0)</f>
        <v>0</v>
      </c>
      <c r="X10" s="267">
        <f>IFERROR(VLOOKUP($A10,Supp_46,14,FALSE),0)+IFERROR(SUMPRODUCT(VLOOKUP($A10,S275_01,{29,30,31},FALSE)),0)+IFERROR(SUMPRODUCT(VLOOKUP($A10,S275_97,{29,30,31},FALSE)),0)+IFERROR(ROUND(VLOOKUP($A10,S275_21,29,FALSE)*VLOOKUP($A10,'3121% SY'!$C$3:$M$324,11,FALSE),3),0)+IFERROR(ROUND(VLOOKUP($A10,S275_21,30,FALSE)*VLOOKUP($A10,'3121% SY'!$C$3:$M$324,11,FALSE),3),0)+IFERROR(ROUND(VLOOKUP($A10,S275_21,31,FALSE)*VLOOKUP($A10,'3121% SY'!$C$3:$M$324,11,FALSE),3),0)+IFERROR(VLOOKUP($A10,S275_09,11,FALSE),0)</f>
        <v>1</v>
      </c>
      <c r="Y10" s="267">
        <f>IFERROR(VLOOKUP($A10,Supp_47,14,FALSE),0)+IFERROR(SUMPRODUCT(VLOOKUP($A10,S275_01,{32,33,34},FALSE)),0)+IFERROR(SUMPRODUCT(VLOOKUP($A10,S275_97,{32,33,34},FALSE)),0)+IFERROR(ROUND(VLOOKUP($A10,S275_21,32,FALSE)*VLOOKUP($A10,'3121% SY'!$C$3:$M$324,11,FALSE),3),0)+IFERROR(ROUND(VLOOKUP($A10,S275_21,33,FALSE)*VLOOKUP($A10,'3121% SY'!$C$3:$M$324,11,FALSE),3),0)+IFERROR(ROUND(VLOOKUP($A10,S275_21,34,FALSE)*VLOOKUP($A10,'3121% SY'!$C$3:$M$324,11,FALSE),3),0)+IFERROR(VLOOKUP($A10,S275_09,12,FALSE),0)</f>
        <v>0</v>
      </c>
      <c r="Z10" s="267">
        <f>IFERROR(VLOOKUP($A10,Supp_48,14,FALSE),0)+IFERROR(SUMPRODUCT(VLOOKUP($A10,S275_01,{35,36,37},FALSE)),0)+IFERROR(SUMPRODUCT(VLOOKUP($A10,S275_97,{35,36,37},FALSE)),0)+IFERROR(ROUND(VLOOKUP($A10,S275_21,35,FALSE)*VLOOKUP($A10,'3121% SY'!$C$3:$M$324,11,FALSE),3),0)+IFERROR(ROUND(VLOOKUP($A10,S275_21,36,FALSE)*VLOOKUP($A10,'3121% SY'!$C$3:$M$324,11,FALSE),3),0)+IFERROR(ROUND(VLOOKUP($A10,S275_21,37,FALSE)*VLOOKUP($A10,'3121% SY'!$C$3:$M$324,11,FALSE),3),0)+IFERROR(VLOOKUP($A10,S275_09,13,FALSE),0)</f>
        <v>0</v>
      </c>
      <c r="AA10" s="267">
        <f>IFERROR(VLOOKUP($A10,Supp_49,14,FALSE),0)+IFERROR(SUMPRODUCT(VLOOKUP($A10,S275_01,{38,39,40},FALSE)),0)+IFERROR(SUMPRODUCT(VLOOKUP($A10,S275_97,{38,39,40},FALSE)),0)+IFERROR(ROUND(VLOOKUP($A10,S275_21,38,FALSE)*VLOOKUP($A10,'3121% SY'!$C$3:$M$324,11,FALSE),3),0)+IFERROR(ROUND(VLOOKUP($A10,S275_21,39,FALSE)*VLOOKUP($A10,'3121% SY'!$C$3:$M$324,11,FALSE),3),0)+IFERROR(ROUND(VLOOKUP($A10,S275_21,40,FALSE)*VLOOKUP($A10,'3121% SY'!$C$3:$M$324,11,FALSE),3),0)+IFERROR(VLOOKUP($A10,S275_09,14,FALSE),0)</f>
        <v>0</v>
      </c>
      <c r="AB10" s="267">
        <f>IFERROR(VLOOKUP($A10,Supp_64,14,FALSE),0)+IFERROR(SUMPRODUCT(VLOOKUP($A10,S275_01,{41,42,43},FALSE)),0)+IFERROR(SUMPRODUCT(VLOOKUP($A10,S275_97,{41,42,43},FALSE)),0)+IFERROR(ROUND(VLOOKUP($A10,S275_21,41,FALSE)*VLOOKUP($A10,'3121% SY'!$C$3:$M$324,11,FALSE),3),0)+IFERROR(ROUND(VLOOKUP($A10,S275_21,42,FALSE)*VLOOKUP($A10,'3121% SY'!$C$3:$M$324,11,FALSE),3),0)+IFERROR(ROUND(VLOOKUP($A10,S275_21,43,FALSE)*VLOOKUP($A10,'3121% SY'!$C$3:$M$324,11,FALSE),3),0)+IFERROR(VLOOKUP($A10,S275_09,15,FALSE),0)</f>
        <v>0</v>
      </c>
      <c r="AC10" s="268">
        <f t="shared" si="17"/>
        <v>1</v>
      </c>
      <c r="AD10" s="267">
        <f>IFERROR(VLOOKUP($A10,Supp_24,14,FALSE),0)+IFERROR(SUMPRODUCT(VLOOKUP($A10,S275_01,{2,3,4},FALSE)),0)+IFERROR(SUMPRODUCT(VLOOKUP($A10,S275_97,{2,3,4},FALSE)),0)+IFERROR(ROUND(VLOOKUP($A10,S275_21,2,FALSE)*VLOOKUP($A10,'3121% SY'!$C$3:$M$324,11,FALSE),3),0)+IFERROR(ROUND(VLOOKUP($A10,S275_21,3,FALSE)*VLOOKUP($A10,'3121% SY'!$C$3:$M$324,11,FALSE),3),0)+IFERROR(ROUND(VLOOKUP($A10,S275_21,4,FALSE)*VLOOKUP($A10,'3121% SY'!$C$3:$M$324,11,FALSE),3),0)+IFERROR(VLOOKUP($A10,S275_09,2,FALSE),0)</f>
        <v>0</v>
      </c>
      <c r="AE10" s="267">
        <f>IFERROR(VLOOKUP($A10,Supp_25,14,FALSE),0)+IFERROR(SUMPRODUCT(VLOOKUP($A10,S275_01,{5,6,7},FALSE)),0)+IFERROR(SUMPRODUCT(VLOOKUP($A10,S275_97,{5,6,7},FALSE)),0)+IFERROR(ROUND(VLOOKUP($A10,S275_21,5,FALSE)*VLOOKUP($A10,'3121% SY'!$C$3:$M$324,11,FALSE),3),0)+IFERROR(ROUND(VLOOKUP($A10,S275_21,6,FALSE)*VLOOKUP($A10,'3121% SY'!$C$3:$M$324,11,FALSE),3),0)+IFERROR(ROUND(VLOOKUP($A10,S275_21,7,FALSE)*VLOOKUP($A10,'3121% SY'!$C$3:$M$324,11,FALSE),3),0)+IFERROR(VLOOKUP($A10,S275_09,3,FALSE),0)</f>
        <v>0</v>
      </c>
      <c r="AF10" s="267">
        <f>IFERROR(VLOOKUP($A10,Supp_26,14,FALSE),0)+IFERROR(SUMPRODUCT(VLOOKUP($A10,S275_01,{8,9,10},FALSE)),0)+IFERROR(SUMPRODUCT(VLOOKUP($A10,S275_97,{8,9,10},FALSE)),0)+IFERROR(ROUND(VLOOKUP($A10,S275_21,8,FALSE)*VLOOKUP($A10,'3121% SY'!$C$3:$M$324,11,FALSE),3),0)+IFERROR(ROUND(VLOOKUP($A10,S275_21,9,FALSE)*VLOOKUP($A10,'3121% SY'!$C$3:$M$324,11,FALSE),3),0)+IFERROR(ROUND(VLOOKUP($A10,S275_21,10,FALSE)*VLOOKUP($A10,'3121% SY'!$C$3:$M$324,11,FALSE),3),0)+IFERROR(VLOOKUP($A10,S275_09,4,FALSE),0)</f>
        <v>0</v>
      </c>
      <c r="AG10" s="267">
        <f>IFERROR(VLOOKUP($A10,Supp_35,14,FALSE),0)+IFERROR(SUMPRODUCT(VLOOKUP($A10,S275_01,{11,12,13},FALSE)),0)+IFERROR(SUMPRODUCT(VLOOKUP($A10,S275_97,{11,12,13},FALSE)),0)+IFERROR(ROUND(VLOOKUP($A10,S275_21,11,FALSE)*VLOOKUP($A10,'3121% SY'!$C$3:$M$324,11,FALSE),3),0)+IFERROR(ROUND(VLOOKUP($A10,S275_21,12,FALSE)*VLOOKUP($A10,'3121% SY'!$C$3:$M$324,11,FALSE),3),0)+IFERROR(ROUND(VLOOKUP($A10,S275_21,13,FALSE)*VLOOKUP($A10,'3121% SY'!$C$3:$M$324,11,FALSE),3),0)+IFERROR(VLOOKUP($A10,S275_09,5,FALSE),0)</f>
        <v>0</v>
      </c>
      <c r="AH10" s="165">
        <f t="shared" si="15"/>
        <v>0</v>
      </c>
      <c r="AI10" s="161">
        <f>IFERROR(VLOOKUP(A10,'Supp Staff Data'!A:ER,148,FALSE),0)+AB10</f>
        <v>0</v>
      </c>
      <c r="AJ10" s="174">
        <v>0.97499999999999998</v>
      </c>
      <c r="AK10" s="25">
        <f>VLOOKUP(A10,'Enroll Data as of January 2025'!$A$3:$T$323,20,FALSE)-F10</f>
        <v>0</v>
      </c>
    </row>
    <row r="11" spans="1:37" x14ac:dyDescent="0.25">
      <c r="A11" s="171" t="s">
        <v>264</v>
      </c>
      <c r="B11" t="s">
        <v>560</v>
      </c>
      <c r="C11" s="173" t="s">
        <v>1077</v>
      </c>
      <c r="D11" s="259">
        <f t="shared" si="9"/>
        <v>1.0529999999999999</v>
      </c>
      <c r="E11" s="259">
        <f t="shared" si="10"/>
        <v>0.85</v>
      </c>
      <c r="F11" s="262">
        <f t="shared" si="16"/>
        <v>-0.20300000000000001</v>
      </c>
      <c r="G11" s="161">
        <f>ROUND(IF(F11&lt;0,F11*'2024-25 PSES Compliance'!$G$13,0),3)</f>
        <v>-0.19500000000000001</v>
      </c>
      <c r="H11" s="161">
        <f>ROUND(IF(F11&lt;0,F11*'2024-25 PSES Compliance'!$G$14,0),3)</f>
        <v>-8.0000000000000002E-3</v>
      </c>
      <c r="I11" s="174">
        <f t="shared" si="11"/>
        <v>0.70588235294117652</v>
      </c>
      <c r="J11" s="174">
        <f t="shared" si="12"/>
        <v>0</v>
      </c>
      <c r="K11" s="161">
        <f>VLOOKUP($A11,'Enroll Data as of January 2025'!$A$3:$M$322,6,FALSE)</f>
        <v>0.56999999999999995</v>
      </c>
      <c r="L11" s="161">
        <f>VLOOKUP($A11,'Enroll Data as of January 2025'!$A$3:$M$322,7,FALSE)</f>
        <v>0.10700000000000001</v>
      </c>
      <c r="M11" s="161">
        <f>VLOOKUP($A11,'Enroll Data as of January 2025'!$A$3:$M$322,8,FALSE)</f>
        <v>3.6000000000000004E-2</v>
      </c>
      <c r="N11" s="161">
        <f>VLOOKUP($A11,'Enroll Data as of January 2025'!$A$3:$M$322,9,FALSE)</f>
        <v>0.27799999999999997</v>
      </c>
      <c r="O11" s="165">
        <f t="shared" si="13"/>
        <v>0.99099999999999988</v>
      </c>
      <c r="P11" s="161">
        <f>VLOOKUP($A11,'Enroll Data as of January 2025'!$A$3:$M$322,11,FALSE)</f>
        <v>3.6999999999999998E-2</v>
      </c>
      <c r="Q11" s="161">
        <f>VLOOKUP($A11,'Enroll Data as of January 2025'!$A$3:$M$322,12,FALSE)</f>
        <v>2.5000000000000001E-2</v>
      </c>
      <c r="R11" s="165">
        <f t="shared" si="14"/>
        <v>6.2E-2</v>
      </c>
      <c r="S11" s="267">
        <f>IFERROR(VLOOKUP($A11,Supp_39,14,FALSE),0)+IFERROR(SUMPRODUCT(VLOOKUP($A11,S275_01,{14,15,16},FALSE)),0)+IFERROR(SUMPRODUCT(VLOOKUP($A11,S275_97,{14,15,16},FALSE)),0)+IFERROR(ROUND(VLOOKUP($A11,S275_21,14,FALSE)*VLOOKUP($A11,'3121% SY'!$C$3:$M$324,11,FALSE),3),0)+IFERROR(ROUND(VLOOKUP($A11,S275_21,15,FALSE)*VLOOKUP($A11,'3121% SY'!$C$3:$M$324,11,FALSE),3),0)+IFERROR(ROUND(VLOOKUP($A11,S275_21,16,FALSE)*VLOOKUP($A11,'3121% SY'!$C$3:$M$324,11,FALSE),3),0)+IFERROR(VLOOKUP($A11,S275_09,6,FALSE),0)</f>
        <v>0.6</v>
      </c>
      <c r="T11" s="267">
        <f>IFERROR(VLOOKUP($A11,Supp_42,14,FALSE),0)+IFERROR(SUMPRODUCT(VLOOKUP($A11,S275_01,{17,18,19},FALSE)),0)+IFERROR(SUMPRODUCT(VLOOKUP($A11,S275_97,{17,18,19},FALSE)),0)+IFERROR(ROUND(VLOOKUP($A11,S275_21,17,FALSE)*VLOOKUP($A11,'3121% SY'!$C$3:$M$324,11,FALSE),3),0)+IFERROR(ROUND(VLOOKUP($A11,S275_21,18,FALSE)*VLOOKUP($A11,'3121% SY'!$C$3:$M$324,11,FALSE),3),0)+IFERROR(ROUND(VLOOKUP($A11,S275_21,19,FALSE)*VLOOKUP($A11,'3121% SY'!$C$3:$M$324,11,FALSE),3),0)+IFERROR(VLOOKUP($A11,S275_09,7,FALSE),0)</f>
        <v>0</v>
      </c>
      <c r="U11" s="267">
        <f>IFERROR(VLOOKUP($A11,Supp_43,14,FALSE),0)+IFERROR(SUMPRODUCT(VLOOKUP($A11,S275_01,{20,21,22},FALSE)),0)+IFERROR(SUMPRODUCT(VLOOKUP($A11,S275_97,{20,21,22},FALSE)),0)+IFERROR(ROUND(VLOOKUP($A11,S275_21,20,FALSE)*VLOOKUP($A11,'3121% SY'!$C$3:$M$324,11,FALSE),3),0)+IFERROR(ROUND(VLOOKUP($A11,S275_21,21,FALSE)*VLOOKUP($A11,'3121% SY'!$C$3:$M$324,11,FALSE),3),0)+IFERROR(ROUND(VLOOKUP($A11,S275_21,22,FALSE)*VLOOKUP($A11,'3121% SY'!$C$3:$M$324,11,FALSE),3),0)+IFERROR(VLOOKUP($A11,S275_09,8,FALSE),0)</f>
        <v>0</v>
      </c>
      <c r="V11" s="267">
        <f>IFERROR(VLOOKUP($A11,Supp_44,14,FALSE),0)+IFERROR(SUMPRODUCT(VLOOKUP($A11,S275_01,{23,24,25},FALSE)),0)+IFERROR(SUMPRODUCT(VLOOKUP($A11,S275_97,{23,24,25},FALSE)),0)+IFERROR(ROUND(VLOOKUP($A11,S275_21,23,FALSE)*VLOOKUP($A11,'3121% SY'!$C$3:$M$324,11,FALSE),3),0)+IFERROR(ROUND(VLOOKUP($A11,S275_21,24,FALSE)*VLOOKUP($A11,'3121% SY'!$C$3:$M$324,11,FALSE),3),0)+IFERROR(ROUND(VLOOKUP($A11,S275_21,25,FALSE)*VLOOKUP($A11,'3121% SY'!$C$3:$M$324,11,FALSE),3),0)+IFERROR(VLOOKUP($A11,S275_09,9,FALSE),0)</f>
        <v>0</v>
      </c>
      <c r="W11" s="267">
        <f>IFERROR(VLOOKUP($A11,Supp_45,14,FALSE),0)+IFERROR(SUMPRODUCT(VLOOKUP($A11,S275_01,{26,27,28},FALSE)),0)+IFERROR(SUMPRODUCT(VLOOKUP($A11,S275_97,{26,27,28},FALSE)),0)+IFERROR(ROUND(VLOOKUP($A11,S275_21,26,FALSE)*VLOOKUP($A11,'3121% SY'!$C$3:$M$324,11,FALSE),3),0)+IFERROR(ROUND(VLOOKUP($A11,S275_21,27,FALSE)*VLOOKUP($A11,'3121% SY'!$C$3:$M$324,11,FALSE),3),0)+IFERROR(ROUND(VLOOKUP($A11,S275_21,28,FALSE)*VLOOKUP($A11,'3121% SY'!$C$3:$M$324,11,FALSE),3),0)+IFERROR(VLOOKUP($A11,S275_09,10,FALSE),0)</f>
        <v>0</v>
      </c>
      <c r="X11" s="267">
        <f>IFERROR(VLOOKUP($A11,Supp_46,14,FALSE),0)+IFERROR(SUMPRODUCT(VLOOKUP($A11,S275_01,{29,30,31},FALSE)),0)+IFERROR(SUMPRODUCT(VLOOKUP($A11,S275_97,{29,30,31},FALSE)),0)+IFERROR(ROUND(VLOOKUP($A11,S275_21,29,FALSE)*VLOOKUP($A11,'3121% SY'!$C$3:$M$324,11,FALSE),3),0)+IFERROR(ROUND(VLOOKUP($A11,S275_21,30,FALSE)*VLOOKUP($A11,'3121% SY'!$C$3:$M$324,11,FALSE),3),0)+IFERROR(ROUND(VLOOKUP($A11,S275_21,31,FALSE)*VLOOKUP($A11,'3121% SY'!$C$3:$M$324,11,FALSE),3),0)+IFERROR(VLOOKUP($A11,S275_09,11,FALSE),0)</f>
        <v>0</v>
      </c>
      <c r="Y11" s="267">
        <f>IFERROR(VLOOKUP($A11,Supp_47,14,FALSE),0)+IFERROR(SUMPRODUCT(VLOOKUP($A11,S275_01,{32,33,34},FALSE)),0)+IFERROR(SUMPRODUCT(VLOOKUP($A11,S275_97,{32,33,34},FALSE)),0)+IFERROR(ROUND(VLOOKUP($A11,S275_21,32,FALSE)*VLOOKUP($A11,'3121% SY'!$C$3:$M$324,11,FALSE),3),0)+IFERROR(ROUND(VLOOKUP($A11,S275_21,33,FALSE)*VLOOKUP($A11,'3121% SY'!$C$3:$M$324,11,FALSE),3),0)+IFERROR(ROUND(VLOOKUP($A11,S275_21,34,FALSE)*VLOOKUP($A11,'3121% SY'!$C$3:$M$324,11,FALSE),3),0)+IFERROR(VLOOKUP($A11,S275_09,12,FALSE),0)</f>
        <v>0</v>
      </c>
      <c r="Z11" s="267">
        <f>IFERROR(VLOOKUP($A11,Supp_48,14,FALSE),0)+IFERROR(SUMPRODUCT(VLOOKUP($A11,S275_01,{35,36,37},FALSE)),0)+IFERROR(SUMPRODUCT(VLOOKUP($A11,S275_97,{35,36,37},FALSE)),0)+IFERROR(ROUND(VLOOKUP($A11,S275_21,35,FALSE)*VLOOKUP($A11,'3121% SY'!$C$3:$M$324,11,FALSE),3),0)+IFERROR(ROUND(VLOOKUP($A11,S275_21,36,FALSE)*VLOOKUP($A11,'3121% SY'!$C$3:$M$324,11,FALSE),3),0)+IFERROR(ROUND(VLOOKUP($A11,S275_21,37,FALSE)*VLOOKUP($A11,'3121% SY'!$C$3:$M$324,11,FALSE),3),0)+IFERROR(VLOOKUP($A11,S275_09,13,FALSE),0)</f>
        <v>0</v>
      </c>
      <c r="AA11" s="267">
        <f>IFERROR(VLOOKUP($A11,Supp_49,14,FALSE),0)+IFERROR(SUMPRODUCT(VLOOKUP($A11,S275_01,{38,39,40},FALSE)),0)+IFERROR(SUMPRODUCT(VLOOKUP($A11,S275_97,{38,39,40},FALSE)),0)+IFERROR(ROUND(VLOOKUP($A11,S275_21,38,FALSE)*VLOOKUP($A11,'3121% SY'!$C$3:$M$324,11,FALSE),3),0)+IFERROR(ROUND(VLOOKUP($A11,S275_21,39,FALSE)*VLOOKUP($A11,'3121% SY'!$C$3:$M$324,11,FALSE),3),0)+IFERROR(ROUND(VLOOKUP($A11,S275_21,40,FALSE)*VLOOKUP($A11,'3121% SY'!$C$3:$M$324,11,FALSE),3),0)+IFERROR(VLOOKUP($A11,S275_09,14,FALSE),0)</f>
        <v>0</v>
      </c>
      <c r="AB11" s="267">
        <f>IFERROR(VLOOKUP($A11,Supp_64,14,FALSE),0)+IFERROR(SUMPRODUCT(VLOOKUP($A11,S275_01,{41,42,43},FALSE)),0)+IFERROR(SUMPRODUCT(VLOOKUP($A11,S275_97,{41,42,43},FALSE)),0)+IFERROR(ROUND(VLOOKUP($A11,S275_21,41,FALSE)*VLOOKUP($A11,'3121% SY'!$C$3:$M$324,11,FALSE),3),0)+IFERROR(ROUND(VLOOKUP($A11,S275_21,42,FALSE)*VLOOKUP($A11,'3121% SY'!$C$3:$M$324,11,FALSE),3),0)+IFERROR(ROUND(VLOOKUP($A11,S275_21,43,FALSE)*VLOOKUP($A11,'3121% SY'!$C$3:$M$324,11,FALSE),3),0)+IFERROR(VLOOKUP($A11,S275_09,15,FALSE),0)</f>
        <v>0</v>
      </c>
      <c r="AC11" s="268">
        <f t="shared" si="17"/>
        <v>0.6</v>
      </c>
      <c r="AD11" s="267">
        <f>IFERROR(VLOOKUP($A11,Supp_24,14,FALSE),0)+IFERROR(SUMPRODUCT(VLOOKUP($A11,S275_01,{2,3,4},FALSE)),0)+IFERROR(SUMPRODUCT(VLOOKUP($A11,S275_97,{2,3,4},FALSE)),0)+IFERROR(ROUND(VLOOKUP($A11,S275_21,2,FALSE)*VLOOKUP($A11,'3121% SY'!$C$3:$M$324,11,FALSE),3),0)+IFERROR(ROUND(VLOOKUP($A11,S275_21,3,FALSE)*VLOOKUP($A11,'3121% SY'!$C$3:$M$324,11,FALSE),3),0)+IFERROR(ROUND(VLOOKUP($A11,S275_21,4,FALSE)*VLOOKUP($A11,'3121% SY'!$C$3:$M$324,11,FALSE),3),0)+IFERROR(VLOOKUP($A11,S275_09,2,FALSE),0)</f>
        <v>0</v>
      </c>
      <c r="AE11" s="267">
        <f>IFERROR(VLOOKUP($A11,Supp_25,14,FALSE),0)+IFERROR(SUMPRODUCT(VLOOKUP($A11,S275_01,{5,6,7},FALSE)),0)+IFERROR(SUMPRODUCT(VLOOKUP($A11,S275_97,{5,6,7},FALSE)),0)+IFERROR(ROUND(VLOOKUP($A11,S275_21,5,FALSE)*VLOOKUP($A11,'3121% SY'!$C$3:$M$324,11,FALSE),3),0)+IFERROR(ROUND(VLOOKUP($A11,S275_21,6,FALSE)*VLOOKUP($A11,'3121% SY'!$C$3:$M$324,11,FALSE),3),0)+IFERROR(ROUND(VLOOKUP($A11,S275_21,7,FALSE)*VLOOKUP($A11,'3121% SY'!$C$3:$M$324,11,FALSE),3),0)+IFERROR(VLOOKUP($A11,S275_09,3,FALSE),0)</f>
        <v>0</v>
      </c>
      <c r="AF11" s="267">
        <f>IFERROR(VLOOKUP($A11,Supp_26,14,FALSE),0)+IFERROR(SUMPRODUCT(VLOOKUP($A11,S275_01,{8,9,10},FALSE)),0)+IFERROR(SUMPRODUCT(VLOOKUP($A11,S275_97,{8,9,10},FALSE)),0)+IFERROR(ROUND(VLOOKUP($A11,S275_21,8,FALSE)*VLOOKUP($A11,'3121% SY'!$C$3:$M$324,11,FALSE),3),0)+IFERROR(ROUND(VLOOKUP($A11,S275_21,9,FALSE)*VLOOKUP($A11,'3121% SY'!$C$3:$M$324,11,FALSE),3),0)+IFERROR(ROUND(VLOOKUP($A11,S275_21,10,FALSE)*VLOOKUP($A11,'3121% SY'!$C$3:$M$324,11,FALSE),3),0)+IFERROR(VLOOKUP($A11,S275_09,4,FALSE),0)</f>
        <v>0.25</v>
      </c>
      <c r="AG11" s="267">
        <f>IFERROR(VLOOKUP($A11,Supp_35,14,FALSE),0)+IFERROR(SUMPRODUCT(VLOOKUP($A11,S275_01,{11,12,13},FALSE)),0)+IFERROR(SUMPRODUCT(VLOOKUP($A11,S275_97,{11,12,13},FALSE)),0)+IFERROR(ROUND(VLOOKUP($A11,S275_21,11,FALSE)*VLOOKUP($A11,'3121% SY'!$C$3:$M$324,11,FALSE),3),0)+IFERROR(ROUND(VLOOKUP($A11,S275_21,12,FALSE)*VLOOKUP($A11,'3121% SY'!$C$3:$M$324,11,FALSE),3),0)+IFERROR(ROUND(VLOOKUP($A11,S275_21,13,FALSE)*VLOOKUP($A11,'3121% SY'!$C$3:$M$324,11,FALSE),3),0)+IFERROR(VLOOKUP($A11,S275_09,5,FALSE),0)</f>
        <v>0</v>
      </c>
      <c r="AH11" s="165">
        <f t="shared" si="15"/>
        <v>0.25</v>
      </c>
      <c r="AI11" s="161">
        <f>IFERROR(VLOOKUP(A11,'Supp Staff Data'!A:ER,148,FALSE),0)+AB11</f>
        <v>0</v>
      </c>
      <c r="AJ11" s="174">
        <v>1</v>
      </c>
      <c r="AK11" s="25">
        <f>VLOOKUP(A11,'Enroll Data as of January 2025'!$A$3:$T$323,20,FALSE)-F11</f>
        <v>0</v>
      </c>
    </row>
    <row r="12" spans="1:37" x14ac:dyDescent="0.25">
      <c r="A12" s="171" t="s">
        <v>294</v>
      </c>
      <c r="B12" t="s">
        <v>590</v>
      </c>
      <c r="C12" s="173" t="s">
        <v>1077</v>
      </c>
      <c r="D12" s="259">
        <f t="shared" si="9"/>
        <v>3.77</v>
      </c>
      <c r="E12" s="259">
        <f t="shared" si="10"/>
        <v>1.6059999999999999</v>
      </c>
      <c r="F12" s="262">
        <f t="shared" si="16"/>
        <v>-2.1640000000000001</v>
      </c>
      <c r="G12" s="161">
        <f>ROUND(IF(F12&lt;0,F12*'2024-25 PSES Compliance'!$G$13,0),3)</f>
        <v>-2.077</v>
      </c>
      <c r="H12" s="161">
        <f>ROUND(IF(F12&lt;0,F12*'2024-25 PSES Compliance'!$G$14,0),3)</f>
        <v>-8.6999999999999994E-2</v>
      </c>
      <c r="I12" s="174">
        <f t="shared" si="11"/>
        <v>0</v>
      </c>
      <c r="J12" s="174">
        <f t="shared" si="12"/>
        <v>0</v>
      </c>
      <c r="K12" s="161">
        <f>VLOOKUP($A12,'Enroll Data as of January 2025'!$A$3:$M$322,6,FALSE)</f>
        <v>2.153</v>
      </c>
      <c r="L12" s="161">
        <f>VLOOKUP($A12,'Enroll Data as of January 2025'!$A$3:$M$322,7,FALSE)</f>
        <v>0.33400000000000002</v>
      </c>
      <c r="M12" s="161">
        <f>VLOOKUP($A12,'Enroll Data as of January 2025'!$A$3:$M$322,8,FALSE)</f>
        <v>0.113</v>
      </c>
      <c r="N12" s="161">
        <f>VLOOKUP($A12,'Enroll Data as of January 2025'!$A$3:$M$322,9,FALSE)</f>
        <v>0.96399999999999997</v>
      </c>
      <c r="O12" s="165">
        <f t="shared" si="13"/>
        <v>3.5640000000000001</v>
      </c>
      <c r="P12" s="161">
        <f>VLOOKUP($A12,'Enroll Data as of January 2025'!$A$3:$M$322,11,FALSE)</f>
        <v>0.13200000000000001</v>
      </c>
      <c r="Q12" s="161">
        <f>VLOOKUP($A12,'Enroll Data as of January 2025'!$A$3:$M$322,12,FALSE)</f>
        <v>7.3999999999999996E-2</v>
      </c>
      <c r="R12" s="165">
        <f t="shared" si="14"/>
        <v>0.20600000000000002</v>
      </c>
      <c r="S12" s="267">
        <f>IFERROR(VLOOKUP($A12,Supp_39,14,FALSE),0)+IFERROR(SUMPRODUCT(VLOOKUP($A12,S275_01,{14,15,16},FALSE)),0)+IFERROR(SUMPRODUCT(VLOOKUP($A12,S275_97,{14,15,16},FALSE)),0)+IFERROR(ROUND(VLOOKUP($A12,S275_21,14,FALSE)*VLOOKUP($A12,'3121% SY'!$C$3:$M$324,11,FALSE),3),0)+IFERROR(ROUND(VLOOKUP($A12,S275_21,15,FALSE)*VLOOKUP($A12,'3121% SY'!$C$3:$M$324,11,FALSE),3),0)+IFERROR(ROUND(VLOOKUP($A12,S275_21,16,FALSE)*VLOOKUP($A12,'3121% SY'!$C$3:$M$324,11,FALSE),3),0)+IFERROR(VLOOKUP($A12,S275_09,6,FALSE),0)</f>
        <v>1</v>
      </c>
      <c r="T12" s="267">
        <f>IFERROR(VLOOKUP($A12,Supp_42,14,FALSE),0)+IFERROR(SUMPRODUCT(VLOOKUP($A12,S275_01,{17,18,19},FALSE)),0)+IFERROR(SUMPRODUCT(VLOOKUP($A12,S275_97,{17,18,19},FALSE)),0)+IFERROR(ROUND(VLOOKUP($A12,S275_21,17,FALSE)*VLOOKUP($A12,'3121% SY'!$C$3:$M$324,11,FALSE),3),0)+IFERROR(ROUND(VLOOKUP($A12,S275_21,18,FALSE)*VLOOKUP($A12,'3121% SY'!$C$3:$M$324,11,FALSE),3),0)+IFERROR(ROUND(VLOOKUP($A12,S275_21,19,FALSE)*VLOOKUP($A12,'3121% SY'!$C$3:$M$324,11,FALSE),3),0)+IFERROR(VLOOKUP($A12,S275_09,7,FALSE),0)</f>
        <v>0</v>
      </c>
      <c r="U12" s="267">
        <f>IFERROR(VLOOKUP($A12,Supp_43,14,FALSE),0)+IFERROR(SUMPRODUCT(VLOOKUP($A12,S275_01,{20,21,22},FALSE)),0)+IFERROR(SUMPRODUCT(VLOOKUP($A12,S275_97,{20,21,22},FALSE)),0)+IFERROR(ROUND(VLOOKUP($A12,S275_21,20,FALSE)*VLOOKUP($A12,'3121% SY'!$C$3:$M$324,11,FALSE),3),0)+IFERROR(ROUND(VLOOKUP($A12,S275_21,21,FALSE)*VLOOKUP($A12,'3121% SY'!$C$3:$M$324,11,FALSE),3),0)+IFERROR(ROUND(VLOOKUP($A12,S275_21,22,FALSE)*VLOOKUP($A12,'3121% SY'!$C$3:$M$324,11,FALSE),3),0)+IFERROR(VLOOKUP($A12,S275_09,8,FALSE),0)</f>
        <v>0</v>
      </c>
      <c r="V12" s="267">
        <f>IFERROR(VLOOKUP($A12,Supp_44,14,FALSE),0)+IFERROR(SUMPRODUCT(VLOOKUP($A12,S275_01,{23,24,25},FALSE)),0)+IFERROR(SUMPRODUCT(VLOOKUP($A12,S275_97,{23,24,25},FALSE)),0)+IFERROR(ROUND(VLOOKUP($A12,S275_21,23,FALSE)*VLOOKUP($A12,'3121% SY'!$C$3:$M$324,11,FALSE),3),0)+IFERROR(ROUND(VLOOKUP($A12,S275_21,24,FALSE)*VLOOKUP($A12,'3121% SY'!$C$3:$M$324,11,FALSE),3),0)+IFERROR(ROUND(VLOOKUP($A12,S275_21,25,FALSE)*VLOOKUP($A12,'3121% SY'!$C$3:$M$324,11,FALSE),3),0)+IFERROR(VLOOKUP($A12,S275_09,9,FALSE),0)</f>
        <v>0</v>
      </c>
      <c r="W12" s="267">
        <f>IFERROR(VLOOKUP($A12,Supp_45,14,FALSE),0)+IFERROR(SUMPRODUCT(VLOOKUP($A12,S275_01,{26,27,28},FALSE)),0)+IFERROR(SUMPRODUCT(VLOOKUP($A12,S275_97,{26,27,28},FALSE)),0)+IFERROR(ROUND(VLOOKUP($A12,S275_21,26,FALSE)*VLOOKUP($A12,'3121% SY'!$C$3:$M$324,11,FALSE),3),0)+IFERROR(ROUND(VLOOKUP($A12,S275_21,27,FALSE)*VLOOKUP($A12,'3121% SY'!$C$3:$M$324,11,FALSE),3),0)+IFERROR(ROUND(VLOOKUP($A12,S275_21,28,FALSE)*VLOOKUP($A12,'3121% SY'!$C$3:$M$324,11,FALSE),3),0)+IFERROR(VLOOKUP($A12,S275_09,10,FALSE),0)</f>
        <v>0</v>
      </c>
      <c r="X12" s="267">
        <f>IFERROR(VLOOKUP($A12,Supp_46,14,FALSE),0)+IFERROR(SUMPRODUCT(VLOOKUP($A12,S275_01,{29,30,31},FALSE)),0)+IFERROR(SUMPRODUCT(VLOOKUP($A12,S275_97,{29,30,31},FALSE)),0)+IFERROR(ROUND(VLOOKUP($A12,S275_21,29,FALSE)*VLOOKUP($A12,'3121% SY'!$C$3:$M$324,11,FALSE),3),0)+IFERROR(ROUND(VLOOKUP($A12,S275_21,30,FALSE)*VLOOKUP($A12,'3121% SY'!$C$3:$M$324,11,FALSE),3),0)+IFERROR(ROUND(VLOOKUP($A12,S275_21,31,FALSE)*VLOOKUP($A12,'3121% SY'!$C$3:$M$324,11,FALSE),3),0)+IFERROR(VLOOKUP($A12,S275_09,11,FALSE),0)</f>
        <v>0</v>
      </c>
      <c r="Y12" s="267">
        <f>IFERROR(VLOOKUP($A12,Supp_47,14,FALSE),0)+IFERROR(SUMPRODUCT(VLOOKUP($A12,S275_01,{32,33,34},FALSE)),0)+IFERROR(SUMPRODUCT(VLOOKUP($A12,S275_97,{32,33,34},FALSE)),0)+IFERROR(ROUND(VLOOKUP($A12,S275_21,32,FALSE)*VLOOKUP($A12,'3121% SY'!$C$3:$M$324,11,FALSE),3),0)+IFERROR(ROUND(VLOOKUP($A12,S275_21,33,FALSE)*VLOOKUP($A12,'3121% SY'!$C$3:$M$324,11,FALSE),3),0)+IFERROR(ROUND(VLOOKUP($A12,S275_21,34,FALSE)*VLOOKUP($A12,'3121% SY'!$C$3:$M$324,11,FALSE),3),0)+IFERROR(VLOOKUP($A12,S275_09,12,FALSE),0)</f>
        <v>0</v>
      </c>
      <c r="Z12" s="267">
        <f>IFERROR(VLOOKUP($A12,Supp_48,14,FALSE),0)+IFERROR(SUMPRODUCT(VLOOKUP($A12,S275_01,{35,36,37},FALSE)),0)+IFERROR(SUMPRODUCT(VLOOKUP($A12,S275_97,{35,36,37},FALSE)),0)+IFERROR(ROUND(VLOOKUP($A12,S275_21,35,FALSE)*VLOOKUP($A12,'3121% SY'!$C$3:$M$324,11,FALSE),3),0)+IFERROR(ROUND(VLOOKUP($A12,S275_21,36,FALSE)*VLOOKUP($A12,'3121% SY'!$C$3:$M$324,11,FALSE),3),0)+IFERROR(ROUND(VLOOKUP($A12,S275_21,37,FALSE)*VLOOKUP($A12,'3121% SY'!$C$3:$M$324,11,FALSE),3),0)+IFERROR(VLOOKUP($A12,S275_09,13,FALSE),0)</f>
        <v>0</v>
      </c>
      <c r="AA12" s="267">
        <f>IFERROR(VLOOKUP($A12,Supp_49,14,FALSE),0)+IFERROR(SUMPRODUCT(VLOOKUP($A12,S275_01,{38,39,40},FALSE)),0)+IFERROR(SUMPRODUCT(VLOOKUP($A12,S275_97,{38,39,40},FALSE)),0)+IFERROR(ROUND(VLOOKUP($A12,S275_21,38,FALSE)*VLOOKUP($A12,'3121% SY'!$C$3:$M$324,11,FALSE),3),0)+IFERROR(ROUND(VLOOKUP($A12,S275_21,39,FALSE)*VLOOKUP($A12,'3121% SY'!$C$3:$M$324,11,FALSE),3),0)+IFERROR(ROUND(VLOOKUP($A12,S275_21,40,FALSE)*VLOOKUP($A12,'3121% SY'!$C$3:$M$324,11,FALSE),3),0)+IFERROR(VLOOKUP($A12,S275_09,14,FALSE),0)</f>
        <v>0</v>
      </c>
      <c r="AB12" s="267">
        <f>IFERROR(VLOOKUP($A12,Supp_64,14,FALSE),0)+IFERROR(SUMPRODUCT(VLOOKUP($A12,S275_01,{41,42,43},FALSE)),0)+IFERROR(SUMPRODUCT(VLOOKUP($A12,S275_97,{41,42,43},FALSE)),0)+IFERROR(ROUND(VLOOKUP($A12,S275_21,41,FALSE)*VLOOKUP($A12,'3121% SY'!$C$3:$M$324,11,FALSE),3),0)+IFERROR(ROUND(VLOOKUP($A12,S275_21,42,FALSE)*VLOOKUP($A12,'3121% SY'!$C$3:$M$324,11,FALSE),3),0)+IFERROR(ROUND(VLOOKUP($A12,S275_21,43,FALSE)*VLOOKUP($A12,'3121% SY'!$C$3:$M$324,11,FALSE),3),0)+IFERROR(VLOOKUP($A12,S275_09,15,FALSE),0)</f>
        <v>0</v>
      </c>
      <c r="AC12" s="268">
        <f t="shared" si="17"/>
        <v>1</v>
      </c>
      <c r="AD12" s="267">
        <f>IFERROR(VLOOKUP($A12,Supp_24,14,FALSE),0)+IFERROR(SUMPRODUCT(VLOOKUP($A12,S275_01,{2,3,4},FALSE)),0)+IFERROR(SUMPRODUCT(VLOOKUP($A12,S275_97,{2,3,4},FALSE)),0)+IFERROR(ROUND(VLOOKUP($A12,S275_21,2,FALSE)*VLOOKUP($A12,'3121% SY'!$C$3:$M$324,11,FALSE),3),0)+IFERROR(ROUND(VLOOKUP($A12,S275_21,3,FALSE)*VLOOKUP($A12,'3121% SY'!$C$3:$M$324,11,FALSE),3),0)+IFERROR(ROUND(VLOOKUP($A12,S275_21,4,FALSE)*VLOOKUP($A12,'3121% SY'!$C$3:$M$324,11,FALSE),3),0)+IFERROR(VLOOKUP($A12,S275_09,2,FALSE),0)</f>
        <v>0</v>
      </c>
      <c r="AE12" s="267">
        <f>IFERROR(VLOOKUP($A12,Supp_25,14,FALSE),0)+IFERROR(SUMPRODUCT(VLOOKUP($A12,S275_01,{5,6,7},FALSE)),0)+IFERROR(SUMPRODUCT(VLOOKUP($A12,S275_97,{5,6,7},FALSE)),0)+IFERROR(ROUND(VLOOKUP($A12,S275_21,5,FALSE)*VLOOKUP($A12,'3121% SY'!$C$3:$M$324,11,FALSE),3),0)+IFERROR(ROUND(VLOOKUP($A12,S275_21,6,FALSE)*VLOOKUP($A12,'3121% SY'!$C$3:$M$324,11,FALSE),3),0)+IFERROR(ROUND(VLOOKUP($A12,S275_21,7,FALSE)*VLOOKUP($A12,'3121% SY'!$C$3:$M$324,11,FALSE),3),0)+IFERROR(VLOOKUP($A12,S275_09,3,FALSE),0)</f>
        <v>0</v>
      </c>
      <c r="AF12" s="267">
        <f>IFERROR(VLOOKUP($A12,Supp_26,14,FALSE),0)+IFERROR(SUMPRODUCT(VLOOKUP($A12,S275_01,{8,9,10},FALSE)),0)+IFERROR(SUMPRODUCT(VLOOKUP($A12,S275_97,{8,9,10},FALSE)),0)+IFERROR(ROUND(VLOOKUP($A12,S275_21,8,FALSE)*VLOOKUP($A12,'3121% SY'!$C$3:$M$324,11,FALSE),3),0)+IFERROR(ROUND(VLOOKUP($A12,S275_21,9,FALSE)*VLOOKUP($A12,'3121% SY'!$C$3:$M$324,11,FALSE),3),0)+IFERROR(ROUND(VLOOKUP($A12,S275_21,10,FALSE)*VLOOKUP($A12,'3121% SY'!$C$3:$M$324,11,FALSE),3),0)+IFERROR(VLOOKUP($A12,S275_09,4,FALSE),0)</f>
        <v>0.60599999999999998</v>
      </c>
      <c r="AG12" s="267">
        <f>IFERROR(VLOOKUP($A12,Supp_35,14,FALSE),0)+IFERROR(SUMPRODUCT(VLOOKUP($A12,S275_01,{11,12,13},FALSE)),0)+IFERROR(SUMPRODUCT(VLOOKUP($A12,S275_97,{11,12,13},FALSE)),0)+IFERROR(ROUND(VLOOKUP($A12,S275_21,11,FALSE)*VLOOKUP($A12,'3121% SY'!$C$3:$M$324,11,FALSE),3),0)+IFERROR(ROUND(VLOOKUP($A12,S275_21,12,FALSE)*VLOOKUP($A12,'3121% SY'!$C$3:$M$324,11,FALSE),3),0)+IFERROR(ROUND(VLOOKUP($A12,S275_21,13,FALSE)*VLOOKUP($A12,'3121% SY'!$C$3:$M$324,11,FALSE),3),0)+IFERROR(VLOOKUP($A12,S275_09,5,FALSE),0)</f>
        <v>0</v>
      </c>
      <c r="AH12" s="165">
        <f t="shared" si="15"/>
        <v>0.60599999999999998</v>
      </c>
      <c r="AI12" s="161">
        <f>IFERROR(VLOOKUP(A12,'Supp Staff Data'!A:ER,148,FALSE),0)+AB12</f>
        <v>0</v>
      </c>
      <c r="AJ12" s="174">
        <v>0</v>
      </c>
      <c r="AK12" s="25">
        <f>VLOOKUP(A12,'Enroll Data as of January 2025'!$A$3:$T$323,20,FALSE)-F12</f>
        <v>0</v>
      </c>
    </row>
    <row r="13" spans="1:37" x14ac:dyDescent="0.25">
      <c r="A13" s="171" t="s">
        <v>50</v>
      </c>
      <c r="B13" t="s">
        <v>346</v>
      </c>
      <c r="C13" s="173" t="s">
        <v>1077</v>
      </c>
      <c r="D13" s="259">
        <f t="shared" si="9"/>
        <v>4.1099999999999994</v>
      </c>
      <c r="E13" s="259">
        <f t="shared" si="10"/>
        <v>3.2290000000000001</v>
      </c>
      <c r="F13" s="262">
        <f t="shared" si="16"/>
        <v>-0.88100000000000001</v>
      </c>
      <c r="G13" s="161">
        <f>ROUND(IF(F13&lt;0,F13*'2024-25 PSES Compliance'!$G$13,0),3)</f>
        <v>-0.84599999999999997</v>
      </c>
      <c r="H13" s="161">
        <f>ROUND(IF(F13&lt;0,F13*'2024-25 PSES Compliance'!$G$14,0),3)</f>
        <v>-3.5000000000000003E-2</v>
      </c>
      <c r="I13" s="174">
        <f t="shared" si="11"/>
        <v>0.61938680706100957</v>
      </c>
      <c r="J13" s="174">
        <f t="shared" si="12"/>
        <v>0</v>
      </c>
      <c r="K13" s="161">
        <f>VLOOKUP($A13,'Enroll Data as of January 2025'!$A$3:$M$322,6,FALSE)</f>
        <v>2.3639999999999999</v>
      </c>
      <c r="L13" s="161">
        <f>VLOOKUP($A13,'Enroll Data as of January 2025'!$A$3:$M$322,7,FALSE)</f>
        <v>0.36199999999999999</v>
      </c>
      <c r="M13" s="161">
        <f>VLOOKUP($A13,'Enroll Data as of January 2025'!$A$3:$M$322,8,FALSE)</f>
        <v>0.12200000000000001</v>
      </c>
      <c r="N13" s="161">
        <f>VLOOKUP($A13,'Enroll Data as of January 2025'!$A$3:$M$322,9,FALSE)</f>
        <v>1.0379999999999998</v>
      </c>
      <c r="O13" s="165">
        <f t="shared" si="13"/>
        <v>3.8859999999999997</v>
      </c>
      <c r="P13" s="161">
        <f>VLOOKUP($A13,'Enroll Data as of January 2025'!$A$3:$M$322,11,FALSE)</f>
        <v>0.14400000000000002</v>
      </c>
      <c r="Q13" s="161">
        <f>VLOOKUP($A13,'Enroll Data as of January 2025'!$A$3:$M$322,12,FALSE)</f>
        <v>0.08</v>
      </c>
      <c r="R13" s="165">
        <f t="shared" si="14"/>
        <v>0.22400000000000003</v>
      </c>
      <c r="S13" s="267">
        <f>IFERROR(VLOOKUP($A13,Supp_39,14,FALSE),0)+IFERROR(SUMPRODUCT(VLOOKUP($A13,S275_01,{14,15,16},FALSE)),0)+IFERROR(SUMPRODUCT(VLOOKUP($A13,S275_97,{14,15,16},FALSE)),0)+IFERROR(ROUND(VLOOKUP($A13,S275_21,14,FALSE)*VLOOKUP($A13,'3121% SY'!$C$3:$M$324,11,FALSE),3),0)+IFERROR(ROUND(VLOOKUP($A13,S275_21,15,FALSE)*VLOOKUP($A13,'3121% SY'!$C$3:$M$324,11,FALSE),3),0)+IFERROR(ROUND(VLOOKUP($A13,S275_21,16,FALSE)*VLOOKUP($A13,'3121% SY'!$C$3:$M$324,11,FALSE),3),0)+IFERROR(VLOOKUP($A13,S275_09,6,FALSE),0)</f>
        <v>1</v>
      </c>
      <c r="T13" s="267">
        <f>IFERROR(VLOOKUP($A13,Supp_42,14,FALSE),0)+IFERROR(SUMPRODUCT(VLOOKUP($A13,S275_01,{17,18,19},FALSE)),0)+IFERROR(SUMPRODUCT(VLOOKUP($A13,S275_97,{17,18,19},FALSE)),0)+IFERROR(ROUND(VLOOKUP($A13,S275_21,17,FALSE)*VLOOKUP($A13,'3121% SY'!$C$3:$M$324,11,FALSE),3),0)+IFERROR(ROUND(VLOOKUP($A13,S275_21,18,FALSE)*VLOOKUP($A13,'3121% SY'!$C$3:$M$324,11,FALSE),3),0)+IFERROR(ROUND(VLOOKUP($A13,S275_21,19,FALSE)*VLOOKUP($A13,'3121% SY'!$C$3:$M$324,11,FALSE),3),0)+IFERROR(VLOOKUP($A13,S275_09,7,FALSE),0)</f>
        <v>1</v>
      </c>
      <c r="U13" s="267">
        <f>IFERROR(VLOOKUP($A13,Supp_43,14,FALSE),0)+IFERROR(SUMPRODUCT(VLOOKUP($A13,S275_01,{20,21,22},FALSE)),0)+IFERROR(SUMPRODUCT(VLOOKUP($A13,S275_97,{20,21,22},FALSE)),0)+IFERROR(ROUND(VLOOKUP($A13,S275_21,20,FALSE)*VLOOKUP($A13,'3121% SY'!$C$3:$M$324,11,FALSE),3),0)+IFERROR(ROUND(VLOOKUP($A13,S275_21,21,FALSE)*VLOOKUP($A13,'3121% SY'!$C$3:$M$324,11,FALSE),3),0)+IFERROR(ROUND(VLOOKUP($A13,S275_21,22,FALSE)*VLOOKUP($A13,'3121% SY'!$C$3:$M$324,11,FALSE),3),0)+IFERROR(VLOOKUP($A13,S275_09,8,FALSE),0)</f>
        <v>0</v>
      </c>
      <c r="V13" s="267">
        <f>IFERROR(VLOOKUP($A13,Supp_44,14,FALSE),0)+IFERROR(SUMPRODUCT(VLOOKUP($A13,S275_01,{23,24,25},FALSE)),0)+IFERROR(SUMPRODUCT(VLOOKUP($A13,S275_97,{23,24,25},FALSE)),0)+IFERROR(ROUND(VLOOKUP($A13,S275_21,23,FALSE)*VLOOKUP($A13,'3121% SY'!$C$3:$M$324,11,FALSE),3),0)+IFERROR(ROUND(VLOOKUP($A13,S275_21,24,FALSE)*VLOOKUP($A13,'3121% SY'!$C$3:$M$324,11,FALSE),3),0)+IFERROR(ROUND(VLOOKUP($A13,S275_21,25,FALSE)*VLOOKUP($A13,'3121% SY'!$C$3:$M$324,11,FALSE),3),0)+IFERROR(VLOOKUP($A13,S275_09,9,FALSE),0)</f>
        <v>0</v>
      </c>
      <c r="W13" s="267">
        <f>IFERROR(VLOOKUP($A13,Supp_45,14,FALSE),0)+IFERROR(SUMPRODUCT(VLOOKUP($A13,S275_01,{26,27,28},FALSE)),0)+IFERROR(SUMPRODUCT(VLOOKUP($A13,S275_97,{26,27,28},FALSE)),0)+IFERROR(ROUND(VLOOKUP($A13,S275_21,26,FALSE)*VLOOKUP($A13,'3121% SY'!$C$3:$M$324,11,FALSE),3),0)+IFERROR(ROUND(VLOOKUP($A13,S275_21,27,FALSE)*VLOOKUP($A13,'3121% SY'!$C$3:$M$324,11,FALSE),3),0)+IFERROR(ROUND(VLOOKUP($A13,S275_21,28,FALSE)*VLOOKUP($A13,'3121% SY'!$C$3:$M$324,11,FALSE),3),0)+IFERROR(VLOOKUP($A13,S275_09,10,FALSE),0)</f>
        <v>0</v>
      </c>
      <c r="X13" s="267">
        <f>IFERROR(VLOOKUP($A13,Supp_46,14,FALSE),0)+IFERROR(SUMPRODUCT(VLOOKUP($A13,S275_01,{29,30,31},FALSE)),0)+IFERROR(SUMPRODUCT(VLOOKUP($A13,S275_97,{29,30,31},FALSE)),0)+IFERROR(ROUND(VLOOKUP($A13,S275_21,29,FALSE)*VLOOKUP($A13,'3121% SY'!$C$3:$M$324,11,FALSE),3),0)+IFERROR(ROUND(VLOOKUP($A13,S275_21,30,FALSE)*VLOOKUP($A13,'3121% SY'!$C$3:$M$324,11,FALSE),3),0)+IFERROR(ROUND(VLOOKUP($A13,S275_21,31,FALSE)*VLOOKUP($A13,'3121% SY'!$C$3:$M$324,11,FALSE),3),0)+IFERROR(VLOOKUP($A13,S275_09,11,FALSE),0)</f>
        <v>0</v>
      </c>
      <c r="Y13" s="267">
        <f>IFERROR(VLOOKUP($A13,Supp_47,14,FALSE),0)+IFERROR(SUMPRODUCT(VLOOKUP($A13,S275_01,{32,33,34},FALSE)),0)+IFERROR(SUMPRODUCT(VLOOKUP($A13,S275_97,{32,33,34},FALSE)),0)+IFERROR(ROUND(VLOOKUP($A13,S275_21,32,FALSE)*VLOOKUP($A13,'3121% SY'!$C$3:$M$324,11,FALSE),3),0)+IFERROR(ROUND(VLOOKUP($A13,S275_21,33,FALSE)*VLOOKUP($A13,'3121% SY'!$C$3:$M$324,11,FALSE),3),0)+IFERROR(ROUND(VLOOKUP($A13,S275_21,34,FALSE)*VLOOKUP($A13,'3121% SY'!$C$3:$M$324,11,FALSE),3),0)+IFERROR(VLOOKUP($A13,S275_09,12,FALSE),0)</f>
        <v>0</v>
      </c>
      <c r="Z13" s="267">
        <f>IFERROR(VLOOKUP($A13,Supp_48,14,FALSE),0)+IFERROR(SUMPRODUCT(VLOOKUP($A13,S275_01,{35,36,37},FALSE)),0)+IFERROR(SUMPRODUCT(VLOOKUP($A13,S275_97,{35,36,37},FALSE)),0)+IFERROR(ROUND(VLOOKUP($A13,S275_21,35,FALSE)*VLOOKUP($A13,'3121% SY'!$C$3:$M$324,11,FALSE),3),0)+IFERROR(ROUND(VLOOKUP($A13,S275_21,36,FALSE)*VLOOKUP($A13,'3121% SY'!$C$3:$M$324,11,FALSE),3),0)+IFERROR(ROUND(VLOOKUP($A13,S275_21,37,FALSE)*VLOOKUP($A13,'3121% SY'!$C$3:$M$324,11,FALSE),3),0)+IFERROR(VLOOKUP($A13,S275_09,13,FALSE),0)</f>
        <v>0</v>
      </c>
      <c r="AA13" s="267">
        <f>IFERROR(VLOOKUP($A13,Supp_49,14,FALSE),0)+IFERROR(SUMPRODUCT(VLOOKUP($A13,S275_01,{38,39,40},FALSE)),0)+IFERROR(SUMPRODUCT(VLOOKUP($A13,S275_97,{38,39,40},FALSE)),0)+IFERROR(ROUND(VLOOKUP($A13,S275_21,38,FALSE)*VLOOKUP($A13,'3121% SY'!$C$3:$M$324,11,FALSE),3),0)+IFERROR(ROUND(VLOOKUP($A13,S275_21,39,FALSE)*VLOOKUP($A13,'3121% SY'!$C$3:$M$324,11,FALSE),3),0)+IFERROR(ROUND(VLOOKUP($A13,S275_21,40,FALSE)*VLOOKUP($A13,'3121% SY'!$C$3:$M$324,11,FALSE),3),0)+IFERROR(VLOOKUP($A13,S275_09,14,FALSE),0)</f>
        <v>0</v>
      </c>
      <c r="AB13" s="267">
        <f>IFERROR(VLOOKUP($A13,Supp_64,14,FALSE),0)+IFERROR(SUMPRODUCT(VLOOKUP($A13,S275_01,{41,42,43},FALSE)),0)+IFERROR(SUMPRODUCT(VLOOKUP($A13,S275_97,{41,42,43},FALSE)),0)+IFERROR(ROUND(VLOOKUP($A13,S275_21,41,FALSE)*VLOOKUP($A13,'3121% SY'!$C$3:$M$324,11,FALSE),3),0)+IFERROR(ROUND(VLOOKUP($A13,S275_21,42,FALSE)*VLOOKUP($A13,'3121% SY'!$C$3:$M$324,11,FALSE),3),0)+IFERROR(ROUND(VLOOKUP($A13,S275_21,43,FALSE)*VLOOKUP($A13,'3121% SY'!$C$3:$M$324,11,FALSE),3),0)+IFERROR(VLOOKUP($A13,S275_09,15,FALSE),0)</f>
        <v>0</v>
      </c>
      <c r="AC13" s="268">
        <f t="shared" si="17"/>
        <v>2</v>
      </c>
      <c r="AD13" s="267">
        <f>IFERROR(VLOOKUP($A13,Supp_24,14,FALSE),0)+IFERROR(SUMPRODUCT(VLOOKUP($A13,S275_01,{2,3,4},FALSE)),0)+IFERROR(SUMPRODUCT(VLOOKUP($A13,S275_97,{2,3,4},FALSE)),0)+IFERROR(ROUND(VLOOKUP($A13,S275_21,2,FALSE)*VLOOKUP($A13,'3121% SY'!$C$3:$M$324,11,FALSE),3),0)+IFERROR(ROUND(VLOOKUP($A13,S275_21,3,FALSE)*VLOOKUP($A13,'3121% SY'!$C$3:$M$324,11,FALSE),3),0)+IFERROR(ROUND(VLOOKUP($A13,S275_21,4,FALSE)*VLOOKUP($A13,'3121% SY'!$C$3:$M$324,11,FALSE),3),0)+IFERROR(VLOOKUP($A13,S275_09,2,FALSE),0)</f>
        <v>0</v>
      </c>
      <c r="AE13" s="267">
        <f>IFERROR(VLOOKUP($A13,Supp_25,14,FALSE),0)+IFERROR(SUMPRODUCT(VLOOKUP($A13,S275_01,{5,6,7},FALSE)),0)+IFERROR(SUMPRODUCT(VLOOKUP($A13,S275_97,{5,6,7},FALSE)),0)+IFERROR(ROUND(VLOOKUP($A13,S275_21,5,FALSE)*VLOOKUP($A13,'3121% SY'!$C$3:$M$324,11,FALSE),3),0)+IFERROR(ROUND(VLOOKUP($A13,S275_21,6,FALSE)*VLOOKUP($A13,'3121% SY'!$C$3:$M$324,11,FALSE),3),0)+IFERROR(ROUND(VLOOKUP($A13,S275_21,7,FALSE)*VLOOKUP($A13,'3121% SY'!$C$3:$M$324,11,FALSE),3),0)+IFERROR(VLOOKUP($A13,S275_09,3,FALSE),0)</f>
        <v>0</v>
      </c>
      <c r="AF13" s="267">
        <f>IFERROR(VLOOKUP($A13,Supp_26,14,FALSE),0)+IFERROR(SUMPRODUCT(VLOOKUP($A13,S275_01,{8,9,10},FALSE)),0)+IFERROR(SUMPRODUCT(VLOOKUP($A13,S275_97,{8,9,10},FALSE)),0)+IFERROR(ROUND(VLOOKUP($A13,S275_21,8,FALSE)*VLOOKUP($A13,'3121% SY'!$C$3:$M$324,11,FALSE),3),0)+IFERROR(ROUND(VLOOKUP($A13,S275_21,9,FALSE)*VLOOKUP($A13,'3121% SY'!$C$3:$M$324,11,FALSE),3),0)+IFERROR(ROUND(VLOOKUP($A13,S275_21,10,FALSE)*VLOOKUP($A13,'3121% SY'!$C$3:$M$324,11,FALSE),3),0)+IFERROR(VLOOKUP($A13,S275_09,4,FALSE),0)</f>
        <v>1.2290000000000001</v>
      </c>
      <c r="AG13" s="267">
        <f>IFERROR(VLOOKUP($A13,Supp_35,14,FALSE),0)+IFERROR(SUMPRODUCT(VLOOKUP($A13,S275_01,{11,12,13},FALSE)),0)+IFERROR(SUMPRODUCT(VLOOKUP($A13,S275_97,{11,12,13},FALSE)),0)+IFERROR(ROUND(VLOOKUP($A13,S275_21,11,FALSE)*VLOOKUP($A13,'3121% SY'!$C$3:$M$324,11,FALSE),3),0)+IFERROR(ROUND(VLOOKUP($A13,S275_21,12,FALSE)*VLOOKUP($A13,'3121% SY'!$C$3:$M$324,11,FALSE),3),0)+IFERROR(ROUND(VLOOKUP($A13,S275_21,13,FALSE)*VLOOKUP($A13,'3121% SY'!$C$3:$M$324,11,FALSE),3),0)+IFERROR(VLOOKUP($A13,S275_09,5,FALSE),0)</f>
        <v>0</v>
      </c>
      <c r="AH13" s="165">
        <f t="shared" si="15"/>
        <v>1.2290000000000001</v>
      </c>
      <c r="AI13" s="161">
        <f>IFERROR(VLOOKUP(A13,'Supp Staff Data'!A:ER,148,FALSE),0)+AB13</f>
        <v>0</v>
      </c>
      <c r="AJ13" s="174">
        <v>1</v>
      </c>
      <c r="AK13" s="25">
        <f>VLOOKUP(A13,'Enroll Data as of January 2025'!$A$3:$T$323,20,FALSE)-F13</f>
        <v>0</v>
      </c>
    </row>
    <row r="14" spans="1:37" x14ac:dyDescent="0.25">
      <c r="A14" s="171" t="s">
        <v>619</v>
      </c>
      <c r="B14" t="s">
        <v>1242</v>
      </c>
      <c r="C14" s="173" t="s">
        <v>1077</v>
      </c>
      <c r="D14" s="259">
        <f t="shared" si="9"/>
        <v>1.4439999999999997</v>
      </c>
      <c r="E14" s="259">
        <f t="shared" si="10"/>
        <v>1.105</v>
      </c>
      <c r="F14" s="262">
        <f t="shared" si="16"/>
        <v>-0.33900000000000002</v>
      </c>
      <c r="G14" s="161">
        <f>ROUND(IF(F14&lt;0,F14*'2024-25 PSES Compliance'!$G$13,0),3)</f>
        <v>-0.32500000000000001</v>
      </c>
      <c r="H14" s="161">
        <f>ROUND(IF(F14&lt;0,F14*'2024-25 PSES Compliance'!$G$14,0),3)</f>
        <v>-1.4E-2</v>
      </c>
      <c r="I14" s="174">
        <f t="shared" si="11"/>
        <v>0</v>
      </c>
      <c r="J14" s="174">
        <f t="shared" si="12"/>
        <v>0</v>
      </c>
      <c r="K14" s="161">
        <f>VLOOKUP($A14,'Enroll Data as of January 2025'!$A$3:$M$322,6,FALSE)</f>
        <v>1.0489999999999999</v>
      </c>
      <c r="L14" s="161">
        <f>VLOOKUP($A14,'Enroll Data as of January 2025'!$A$3:$M$322,7,FALSE)</f>
        <v>4.3999999999999997E-2</v>
      </c>
      <c r="M14" s="161">
        <f>VLOOKUP($A14,'Enroll Data as of January 2025'!$A$3:$M$322,8,FALSE)</f>
        <v>1.7000000000000001E-2</v>
      </c>
      <c r="N14" s="161">
        <f>VLOOKUP($A14,'Enroll Data as of January 2025'!$A$3:$M$322,9,FALSE)</f>
        <v>0.28499999999999998</v>
      </c>
      <c r="O14" s="165">
        <f t="shared" si="13"/>
        <v>1.3949999999999998</v>
      </c>
      <c r="P14" s="161">
        <f>VLOOKUP($A14,'Enroll Data as of January 2025'!$A$3:$M$322,11,FALSE)</f>
        <v>4.9000000000000002E-2</v>
      </c>
      <c r="Q14" s="161">
        <f>VLOOKUP($A14,'Enroll Data as of January 2025'!$A$3:$M$322,12,FALSE)</f>
        <v>0</v>
      </c>
      <c r="R14" s="165">
        <f t="shared" si="14"/>
        <v>4.9000000000000002E-2</v>
      </c>
      <c r="S14" s="267">
        <f>IFERROR(VLOOKUP($A14,Supp_39,14,FALSE),0)+IFERROR(SUMPRODUCT(VLOOKUP($A14,S275_01,{14,15,16},FALSE)),0)+IFERROR(SUMPRODUCT(VLOOKUP($A14,S275_97,{14,15,16},FALSE)),0)+IFERROR(ROUND(VLOOKUP($A14,S275_21,14,FALSE)*VLOOKUP($A14,'3121% SY'!$C$3:$M$324,11,FALSE),3),0)+IFERROR(ROUND(VLOOKUP($A14,S275_21,15,FALSE)*VLOOKUP($A14,'3121% SY'!$C$3:$M$324,11,FALSE),3),0)+IFERROR(ROUND(VLOOKUP($A14,S275_21,16,FALSE)*VLOOKUP($A14,'3121% SY'!$C$3:$M$324,11,FALSE),3),0)+IFERROR(VLOOKUP($A14,S275_09,6,FALSE),0)</f>
        <v>0</v>
      </c>
      <c r="T14" s="267">
        <f>IFERROR(VLOOKUP($A14,Supp_42,14,FALSE),0)+IFERROR(SUMPRODUCT(VLOOKUP($A14,S275_01,{17,18,19},FALSE)),0)+IFERROR(SUMPRODUCT(VLOOKUP($A14,S275_97,{17,18,19},FALSE)),0)+IFERROR(ROUND(VLOOKUP($A14,S275_21,17,FALSE)*VLOOKUP($A14,'3121% SY'!$C$3:$M$324,11,FALSE),3),0)+IFERROR(ROUND(VLOOKUP($A14,S275_21,18,FALSE)*VLOOKUP($A14,'3121% SY'!$C$3:$M$324,11,FALSE),3),0)+IFERROR(ROUND(VLOOKUP($A14,S275_21,19,FALSE)*VLOOKUP($A14,'3121% SY'!$C$3:$M$324,11,FALSE),3),0)+IFERROR(VLOOKUP($A14,S275_09,7,FALSE),0)</f>
        <v>0</v>
      </c>
      <c r="U14" s="267">
        <f>IFERROR(VLOOKUP($A14,Supp_43,14,FALSE),0)+IFERROR(SUMPRODUCT(VLOOKUP($A14,S275_01,{20,21,22},FALSE)),0)+IFERROR(SUMPRODUCT(VLOOKUP($A14,S275_97,{20,21,22},FALSE)),0)+IFERROR(ROUND(VLOOKUP($A14,S275_21,20,FALSE)*VLOOKUP($A14,'3121% SY'!$C$3:$M$324,11,FALSE),3),0)+IFERROR(ROUND(VLOOKUP($A14,S275_21,21,FALSE)*VLOOKUP($A14,'3121% SY'!$C$3:$M$324,11,FALSE),3),0)+IFERROR(ROUND(VLOOKUP($A14,S275_21,22,FALSE)*VLOOKUP($A14,'3121% SY'!$C$3:$M$324,11,FALSE),3),0)+IFERROR(VLOOKUP($A14,S275_09,8,FALSE),0)</f>
        <v>0</v>
      </c>
      <c r="V14" s="267">
        <f>IFERROR(VLOOKUP($A14,Supp_44,14,FALSE),0)+IFERROR(SUMPRODUCT(VLOOKUP($A14,S275_01,{23,24,25},FALSE)),0)+IFERROR(SUMPRODUCT(VLOOKUP($A14,S275_97,{23,24,25},FALSE)),0)+IFERROR(ROUND(VLOOKUP($A14,S275_21,23,FALSE)*VLOOKUP($A14,'3121% SY'!$C$3:$M$324,11,FALSE),3),0)+IFERROR(ROUND(VLOOKUP($A14,S275_21,24,FALSE)*VLOOKUP($A14,'3121% SY'!$C$3:$M$324,11,FALSE),3),0)+IFERROR(ROUND(VLOOKUP($A14,S275_21,25,FALSE)*VLOOKUP($A14,'3121% SY'!$C$3:$M$324,11,FALSE),3),0)+IFERROR(VLOOKUP($A14,S275_09,9,FALSE),0)</f>
        <v>0</v>
      </c>
      <c r="W14" s="267">
        <f>IFERROR(VLOOKUP($A14,Supp_45,14,FALSE),0)+IFERROR(SUMPRODUCT(VLOOKUP($A14,S275_01,{26,27,28},FALSE)),0)+IFERROR(SUMPRODUCT(VLOOKUP($A14,S275_97,{26,27,28},FALSE)),0)+IFERROR(ROUND(VLOOKUP($A14,S275_21,26,FALSE)*VLOOKUP($A14,'3121% SY'!$C$3:$M$324,11,FALSE),3),0)+IFERROR(ROUND(VLOOKUP($A14,S275_21,27,FALSE)*VLOOKUP($A14,'3121% SY'!$C$3:$M$324,11,FALSE),3),0)+IFERROR(ROUND(VLOOKUP($A14,S275_21,28,FALSE)*VLOOKUP($A14,'3121% SY'!$C$3:$M$324,11,FALSE),3),0)+IFERROR(VLOOKUP($A14,S275_09,10,FALSE),0)</f>
        <v>0</v>
      </c>
      <c r="X14" s="267">
        <f>IFERROR(VLOOKUP($A14,Supp_46,14,FALSE),0)+IFERROR(SUMPRODUCT(VLOOKUP($A14,S275_01,{29,30,31},FALSE)),0)+IFERROR(SUMPRODUCT(VLOOKUP($A14,S275_97,{29,30,31},FALSE)),0)+IFERROR(ROUND(VLOOKUP($A14,S275_21,29,FALSE)*VLOOKUP($A14,'3121% SY'!$C$3:$M$324,11,FALSE),3),0)+IFERROR(ROUND(VLOOKUP($A14,S275_21,30,FALSE)*VLOOKUP($A14,'3121% SY'!$C$3:$M$324,11,FALSE),3),0)+IFERROR(ROUND(VLOOKUP($A14,S275_21,31,FALSE)*VLOOKUP($A14,'3121% SY'!$C$3:$M$324,11,FALSE),3),0)+IFERROR(VLOOKUP($A14,S275_09,11,FALSE),0)</f>
        <v>1</v>
      </c>
      <c r="Y14" s="267">
        <f>IFERROR(VLOOKUP($A14,Supp_47,14,FALSE),0)+IFERROR(SUMPRODUCT(VLOOKUP($A14,S275_01,{32,33,34},FALSE)),0)+IFERROR(SUMPRODUCT(VLOOKUP($A14,S275_97,{32,33,34},FALSE)),0)+IFERROR(ROUND(VLOOKUP($A14,S275_21,32,FALSE)*VLOOKUP($A14,'3121% SY'!$C$3:$M$324,11,FALSE),3),0)+IFERROR(ROUND(VLOOKUP($A14,S275_21,33,FALSE)*VLOOKUP($A14,'3121% SY'!$C$3:$M$324,11,FALSE),3),0)+IFERROR(ROUND(VLOOKUP($A14,S275_21,34,FALSE)*VLOOKUP($A14,'3121% SY'!$C$3:$M$324,11,FALSE),3),0)+IFERROR(VLOOKUP($A14,S275_09,12,FALSE),0)</f>
        <v>0</v>
      </c>
      <c r="Z14" s="267">
        <f>IFERROR(VLOOKUP($A14,Supp_48,14,FALSE),0)+IFERROR(SUMPRODUCT(VLOOKUP($A14,S275_01,{35,36,37},FALSE)),0)+IFERROR(SUMPRODUCT(VLOOKUP($A14,S275_97,{35,36,37},FALSE)),0)+IFERROR(ROUND(VLOOKUP($A14,S275_21,35,FALSE)*VLOOKUP($A14,'3121% SY'!$C$3:$M$324,11,FALSE),3),0)+IFERROR(ROUND(VLOOKUP($A14,S275_21,36,FALSE)*VLOOKUP($A14,'3121% SY'!$C$3:$M$324,11,FALSE),3),0)+IFERROR(ROUND(VLOOKUP($A14,S275_21,37,FALSE)*VLOOKUP($A14,'3121% SY'!$C$3:$M$324,11,FALSE),3),0)+IFERROR(VLOOKUP($A14,S275_09,13,FALSE),0)</f>
        <v>0</v>
      </c>
      <c r="AA14" s="267">
        <f>IFERROR(VLOOKUP($A14,Supp_49,14,FALSE),0)+IFERROR(SUMPRODUCT(VLOOKUP($A14,S275_01,{38,39,40},FALSE)),0)+IFERROR(SUMPRODUCT(VLOOKUP($A14,S275_97,{38,39,40},FALSE)),0)+IFERROR(ROUND(VLOOKUP($A14,S275_21,38,FALSE)*VLOOKUP($A14,'3121% SY'!$C$3:$M$324,11,FALSE),3),0)+IFERROR(ROUND(VLOOKUP($A14,S275_21,39,FALSE)*VLOOKUP($A14,'3121% SY'!$C$3:$M$324,11,FALSE),3),0)+IFERROR(ROUND(VLOOKUP($A14,S275_21,40,FALSE)*VLOOKUP($A14,'3121% SY'!$C$3:$M$324,11,FALSE),3),0)+IFERROR(VLOOKUP($A14,S275_09,14,FALSE),0)</f>
        <v>0</v>
      </c>
      <c r="AB14" s="267">
        <f>IFERROR(VLOOKUP($A14,Supp_64,14,FALSE),0)+IFERROR(SUMPRODUCT(VLOOKUP($A14,S275_01,{41,42,43},FALSE)),0)+IFERROR(SUMPRODUCT(VLOOKUP($A14,S275_97,{41,42,43},FALSE)),0)+IFERROR(ROUND(VLOOKUP($A14,S275_21,41,FALSE)*VLOOKUP($A14,'3121% SY'!$C$3:$M$324,11,FALSE),3),0)+IFERROR(ROUND(VLOOKUP($A14,S275_21,42,FALSE)*VLOOKUP($A14,'3121% SY'!$C$3:$M$324,11,FALSE),3),0)+IFERROR(ROUND(VLOOKUP($A14,S275_21,43,FALSE)*VLOOKUP($A14,'3121% SY'!$C$3:$M$324,11,FALSE),3),0)+IFERROR(VLOOKUP($A14,S275_09,15,FALSE),0)</f>
        <v>0</v>
      </c>
      <c r="AC14" s="268">
        <f t="shared" si="17"/>
        <v>1</v>
      </c>
      <c r="AD14" s="267">
        <f>IFERROR(VLOOKUP($A14,Supp_24,14,FALSE),0)+IFERROR(SUMPRODUCT(VLOOKUP($A14,S275_01,{2,3,4},FALSE)),0)+IFERROR(SUMPRODUCT(VLOOKUP($A14,S275_97,{2,3,4},FALSE)),0)+IFERROR(ROUND(VLOOKUP($A14,S275_21,2,FALSE)*VLOOKUP($A14,'3121% SY'!$C$3:$M$324,11,FALSE),3),0)+IFERROR(ROUND(VLOOKUP($A14,S275_21,3,FALSE)*VLOOKUP($A14,'3121% SY'!$C$3:$M$324,11,FALSE),3),0)+IFERROR(ROUND(VLOOKUP($A14,S275_21,4,FALSE)*VLOOKUP($A14,'3121% SY'!$C$3:$M$324,11,FALSE),3),0)+IFERROR(VLOOKUP($A14,S275_09,2,FALSE),0)</f>
        <v>0</v>
      </c>
      <c r="AE14" s="267">
        <f>IFERROR(VLOOKUP($A14,Supp_25,14,FALSE),0)+IFERROR(SUMPRODUCT(VLOOKUP($A14,S275_01,{5,6,7},FALSE)),0)+IFERROR(SUMPRODUCT(VLOOKUP($A14,S275_97,{5,6,7},FALSE)),0)+IFERROR(ROUND(VLOOKUP($A14,S275_21,5,FALSE)*VLOOKUP($A14,'3121% SY'!$C$3:$M$324,11,FALSE),3),0)+IFERROR(ROUND(VLOOKUP($A14,S275_21,6,FALSE)*VLOOKUP($A14,'3121% SY'!$C$3:$M$324,11,FALSE),3),0)+IFERROR(ROUND(VLOOKUP($A14,S275_21,7,FALSE)*VLOOKUP($A14,'3121% SY'!$C$3:$M$324,11,FALSE),3),0)+IFERROR(VLOOKUP($A14,S275_09,3,FALSE),0)</f>
        <v>0</v>
      </c>
      <c r="AF14" s="267">
        <f>IFERROR(VLOOKUP($A14,Supp_26,14,FALSE),0)+IFERROR(SUMPRODUCT(VLOOKUP($A14,S275_01,{8,9,10},FALSE)),0)+IFERROR(SUMPRODUCT(VLOOKUP($A14,S275_97,{8,9,10},FALSE)),0)+IFERROR(ROUND(VLOOKUP($A14,S275_21,8,FALSE)*VLOOKUP($A14,'3121% SY'!$C$3:$M$324,11,FALSE),3),0)+IFERROR(ROUND(VLOOKUP($A14,S275_21,9,FALSE)*VLOOKUP($A14,'3121% SY'!$C$3:$M$324,11,FALSE),3),0)+IFERROR(ROUND(VLOOKUP($A14,S275_21,10,FALSE)*VLOOKUP($A14,'3121% SY'!$C$3:$M$324,11,FALSE),3),0)+IFERROR(VLOOKUP($A14,S275_09,4,FALSE),0)</f>
        <v>0.105</v>
      </c>
      <c r="AG14" s="267">
        <f>IFERROR(VLOOKUP($A14,Supp_35,14,FALSE),0)+IFERROR(SUMPRODUCT(VLOOKUP($A14,S275_01,{11,12,13},FALSE)),0)+IFERROR(SUMPRODUCT(VLOOKUP($A14,S275_97,{11,12,13},FALSE)),0)+IFERROR(ROUND(VLOOKUP($A14,S275_21,11,FALSE)*VLOOKUP($A14,'3121% SY'!$C$3:$M$324,11,FALSE),3),0)+IFERROR(ROUND(VLOOKUP($A14,S275_21,12,FALSE)*VLOOKUP($A14,'3121% SY'!$C$3:$M$324,11,FALSE),3),0)+IFERROR(ROUND(VLOOKUP($A14,S275_21,13,FALSE)*VLOOKUP($A14,'3121% SY'!$C$3:$M$324,11,FALSE),3),0)+IFERROR(VLOOKUP($A14,S275_09,5,FALSE),0)</f>
        <v>0</v>
      </c>
      <c r="AH14" s="165">
        <f t="shared" si="15"/>
        <v>0.105</v>
      </c>
      <c r="AI14" s="161">
        <f>IFERROR(VLOOKUP(A14,'Supp Staff Data'!A:ER,148,FALSE),0)+AB14</f>
        <v>0</v>
      </c>
      <c r="AJ14" s="174">
        <v>0</v>
      </c>
      <c r="AK14" s="25">
        <f>VLOOKUP(A14,'Enroll Data as of January 2025'!$A$3:$T$323,20,FALSE)-F14</f>
        <v>0</v>
      </c>
    </row>
    <row r="15" spans="1:37" x14ac:dyDescent="0.25">
      <c r="A15" s="171" t="s">
        <v>160</v>
      </c>
      <c r="B15" t="s">
        <v>456</v>
      </c>
      <c r="C15" s="173" t="s">
        <v>1077</v>
      </c>
      <c r="D15" s="259">
        <f t="shared" si="9"/>
        <v>1.2570000000000001</v>
      </c>
      <c r="E15" s="259">
        <f t="shared" si="10"/>
        <v>0.93200000000000005</v>
      </c>
      <c r="F15" s="262">
        <f t="shared" si="16"/>
        <v>-0.32500000000000001</v>
      </c>
      <c r="G15" s="161">
        <f>ROUND(IF(F15&lt;0,F15*'2024-25 PSES Compliance'!$G$13,0),3)</f>
        <v>-0.312</v>
      </c>
      <c r="H15" s="161">
        <f>ROUND(IF(F15&lt;0,F15*'2024-25 PSES Compliance'!$G$14,0),3)</f>
        <v>-1.2999999999999999E-2</v>
      </c>
      <c r="I15" s="174">
        <f t="shared" si="11"/>
        <v>0</v>
      </c>
      <c r="J15" s="174">
        <f t="shared" si="12"/>
        <v>0</v>
      </c>
      <c r="K15" s="161">
        <f>VLOOKUP($A15,'Enroll Data as of January 2025'!$A$3:$M$322,6,FALSE)</f>
        <v>0.624</v>
      </c>
      <c r="L15" s="161">
        <f>VLOOKUP($A15,'Enroll Data as of January 2025'!$A$3:$M$322,7,FALSE)</f>
        <v>0.14700000000000002</v>
      </c>
      <c r="M15" s="161">
        <f>VLOOKUP($A15,'Enroll Data as of January 2025'!$A$3:$M$322,8,FALSE)</f>
        <v>4.9000000000000002E-2</v>
      </c>
      <c r="N15" s="161">
        <f>VLOOKUP($A15,'Enroll Data as of January 2025'!$A$3:$M$322,9,FALSE)</f>
        <v>0.35499999999999998</v>
      </c>
      <c r="O15" s="165">
        <f t="shared" si="13"/>
        <v>1.175</v>
      </c>
      <c r="P15" s="161">
        <f>VLOOKUP($A15,'Enroll Data as of January 2025'!$A$3:$M$322,11,FALSE)</f>
        <v>4.5000000000000005E-2</v>
      </c>
      <c r="Q15" s="161">
        <f>VLOOKUP($A15,'Enroll Data as of January 2025'!$A$3:$M$322,12,FALSE)</f>
        <v>3.6999999999999998E-2</v>
      </c>
      <c r="R15" s="165">
        <f t="shared" si="14"/>
        <v>8.2000000000000003E-2</v>
      </c>
      <c r="S15" s="267">
        <f>IFERROR(VLOOKUP($A15,Supp_39,14,FALSE),0)+IFERROR(SUMPRODUCT(VLOOKUP($A15,S275_01,{14,15,16},FALSE)),0)+IFERROR(SUMPRODUCT(VLOOKUP($A15,S275_97,{14,15,16},FALSE)),0)+IFERROR(ROUND(VLOOKUP($A15,S275_21,14,FALSE)*VLOOKUP($A15,'3121% SY'!$C$3:$M$324,11,FALSE),3),0)+IFERROR(ROUND(VLOOKUP($A15,S275_21,15,FALSE)*VLOOKUP($A15,'3121% SY'!$C$3:$M$324,11,FALSE),3),0)+IFERROR(ROUND(VLOOKUP($A15,S275_21,16,FALSE)*VLOOKUP($A15,'3121% SY'!$C$3:$M$324,11,FALSE),3),0)+IFERROR(VLOOKUP($A15,S275_09,6,FALSE),0)</f>
        <v>0</v>
      </c>
      <c r="T15" s="267">
        <f>IFERROR(VLOOKUP($A15,Supp_42,14,FALSE),0)+IFERROR(SUMPRODUCT(VLOOKUP($A15,S275_01,{17,18,19},FALSE)),0)+IFERROR(SUMPRODUCT(VLOOKUP($A15,S275_97,{17,18,19},FALSE)),0)+IFERROR(ROUND(VLOOKUP($A15,S275_21,17,FALSE)*VLOOKUP($A15,'3121% SY'!$C$3:$M$324,11,FALSE),3),0)+IFERROR(ROUND(VLOOKUP($A15,S275_21,18,FALSE)*VLOOKUP($A15,'3121% SY'!$C$3:$M$324,11,FALSE),3),0)+IFERROR(ROUND(VLOOKUP($A15,S275_21,19,FALSE)*VLOOKUP($A15,'3121% SY'!$C$3:$M$324,11,FALSE),3),0)+IFERROR(VLOOKUP($A15,S275_09,7,FALSE),0)</f>
        <v>0.217</v>
      </c>
      <c r="U15" s="267">
        <f>IFERROR(VLOOKUP($A15,Supp_43,14,FALSE),0)+IFERROR(SUMPRODUCT(VLOOKUP($A15,S275_01,{20,21,22},FALSE)),0)+IFERROR(SUMPRODUCT(VLOOKUP($A15,S275_97,{20,21,22},FALSE)),0)+IFERROR(ROUND(VLOOKUP($A15,S275_21,20,FALSE)*VLOOKUP($A15,'3121% SY'!$C$3:$M$324,11,FALSE),3),0)+IFERROR(ROUND(VLOOKUP($A15,S275_21,21,FALSE)*VLOOKUP($A15,'3121% SY'!$C$3:$M$324,11,FALSE),3),0)+IFERROR(ROUND(VLOOKUP($A15,S275_21,22,FALSE)*VLOOKUP($A15,'3121% SY'!$C$3:$M$324,11,FALSE),3),0)+IFERROR(VLOOKUP($A15,S275_09,8,FALSE),0)</f>
        <v>0</v>
      </c>
      <c r="V15" s="267">
        <f>IFERROR(VLOOKUP($A15,Supp_44,14,FALSE),0)+IFERROR(SUMPRODUCT(VLOOKUP($A15,S275_01,{23,24,25},FALSE)),0)+IFERROR(SUMPRODUCT(VLOOKUP($A15,S275_97,{23,24,25},FALSE)),0)+IFERROR(ROUND(VLOOKUP($A15,S275_21,23,FALSE)*VLOOKUP($A15,'3121% SY'!$C$3:$M$324,11,FALSE),3),0)+IFERROR(ROUND(VLOOKUP($A15,S275_21,24,FALSE)*VLOOKUP($A15,'3121% SY'!$C$3:$M$324,11,FALSE),3),0)+IFERROR(ROUND(VLOOKUP($A15,S275_21,25,FALSE)*VLOOKUP($A15,'3121% SY'!$C$3:$M$324,11,FALSE),3),0)+IFERROR(VLOOKUP($A15,S275_09,9,FALSE),0)</f>
        <v>0</v>
      </c>
      <c r="W15" s="267">
        <f>IFERROR(VLOOKUP($A15,Supp_45,14,FALSE),0)+IFERROR(SUMPRODUCT(VLOOKUP($A15,S275_01,{26,27,28},FALSE)),0)+IFERROR(SUMPRODUCT(VLOOKUP($A15,S275_97,{26,27,28},FALSE)),0)+IFERROR(ROUND(VLOOKUP($A15,S275_21,26,FALSE)*VLOOKUP($A15,'3121% SY'!$C$3:$M$324,11,FALSE),3),0)+IFERROR(ROUND(VLOOKUP($A15,S275_21,27,FALSE)*VLOOKUP($A15,'3121% SY'!$C$3:$M$324,11,FALSE),3),0)+IFERROR(ROUND(VLOOKUP($A15,S275_21,28,FALSE)*VLOOKUP($A15,'3121% SY'!$C$3:$M$324,11,FALSE),3),0)+IFERROR(VLOOKUP($A15,S275_09,10,FALSE),0)</f>
        <v>0</v>
      </c>
      <c r="X15" s="267">
        <f>IFERROR(VLOOKUP($A15,Supp_46,14,FALSE),0)+IFERROR(SUMPRODUCT(VLOOKUP($A15,S275_01,{29,30,31},FALSE)),0)+IFERROR(SUMPRODUCT(VLOOKUP($A15,S275_97,{29,30,31},FALSE)),0)+IFERROR(ROUND(VLOOKUP($A15,S275_21,29,FALSE)*VLOOKUP($A15,'3121% SY'!$C$3:$M$324,11,FALSE),3),0)+IFERROR(ROUND(VLOOKUP($A15,S275_21,30,FALSE)*VLOOKUP($A15,'3121% SY'!$C$3:$M$324,11,FALSE),3),0)+IFERROR(ROUND(VLOOKUP($A15,S275_21,31,FALSE)*VLOOKUP($A15,'3121% SY'!$C$3:$M$324,11,FALSE),3),0)+IFERROR(VLOOKUP($A15,S275_09,11,FALSE),0)</f>
        <v>0</v>
      </c>
      <c r="Y15" s="267">
        <f>IFERROR(VLOOKUP($A15,Supp_47,14,FALSE),0)+IFERROR(SUMPRODUCT(VLOOKUP($A15,S275_01,{32,33,34},FALSE)),0)+IFERROR(SUMPRODUCT(VLOOKUP($A15,S275_97,{32,33,34},FALSE)),0)+IFERROR(ROUND(VLOOKUP($A15,S275_21,32,FALSE)*VLOOKUP($A15,'3121% SY'!$C$3:$M$324,11,FALSE),3),0)+IFERROR(ROUND(VLOOKUP($A15,S275_21,33,FALSE)*VLOOKUP($A15,'3121% SY'!$C$3:$M$324,11,FALSE),3),0)+IFERROR(ROUND(VLOOKUP($A15,S275_21,34,FALSE)*VLOOKUP($A15,'3121% SY'!$C$3:$M$324,11,FALSE),3),0)+IFERROR(VLOOKUP($A15,S275_09,12,FALSE),0)</f>
        <v>0</v>
      </c>
      <c r="Z15" s="267">
        <f>IFERROR(VLOOKUP($A15,Supp_48,14,FALSE),0)+IFERROR(SUMPRODUCT(VLOOKUP($A15,S275_01,{35,36,37},FALSE)),0)+IFERROR(SUMPRODUCT(VLOOKUP($A15,S275_97,{35,36,37},FALSE)),0)+IFERROR(ROUND(VLOOKUP($A15,S275_21,35,FALSE)*VLOOKUP($A15,'3121% SY'!$C$3:$M$324,11,FALSE),3),0)+IFERROR(ROUND(VLOOKUP($A15,S275_21,36,FALSE)*VLOOKUP($A15,'3121% SY'!$C$3:$M$324,11,FALSE),3),0)+IFERROR(ROUND(VLOOKUP($A15,S275_21,37,FALSE)*VLOOKUP($A15,'3121% SY'!$C$3:$M$324,11,FALSE),3),0)+IFERROR(VLOOKUP($A15,S275_09,13,FALSE),0)</f>
        <v>0</v>
      </c>
      <c r="AA15" s="267">
        <f>IFERROR(VLOOKUP($A15,Supp_49,14,FALSE),0)+IFERROR(SUMPRODUCT(VLOOKUP($A15,S275_01,{38,39,40},FALSE)),0)+IFERROR(SUMPRODUCT(VLOOKUP($A15,S275_97,{38,39,40},FALSE)),0)+IFERROR(ROUND(VLOOKUP($A15,S275_21,38,FALSE)*VLOOKUP($A15,'3121% SY'!$C$3:$M$324,11,FALSE),3),0)+IFERROR(ROUND(VLOOKUP($A15,S275_21,39,FALSE)*VLOOKUP($A15,'3121% SY'!$C$3:$M$324,11,FALSE),3),0)+IFERROR(ROUND(VLOOKUP($A15,S275_21,40,FALSE)*VLOOKUP($A15,'3121% SY'!$C$3:$M$324,11,FALSE),3),0)+IFERROR(VLOOKUP($A15,S275_09,14,FALSE),0)</f>
        <v>0</v>
      </c>
      <c r="AB15" s="267">
        <f>IFERROR(VLOOKUP($A15,Supp_64,14,FALSE),0)+IFERROR(SUMPRODUCT(VLOOKUP($A15,S275_01,{41,42,43},FALSE)),0)+IFERROR(SUMPRODUCT(VLOOKUP($A15,S275_97,{41,42,43},FALSE)),0)+IFERROR(ROUND(VLOOKUP($A15,S275_21,41,FALSE)*VLOOKUP($A15,'3121% SY'!$C$3:$M$324,11,FALSE),3),0)+IFERROR(ROUND(VLOOKUP($A15,S275_21,42,FALSE)*VLOOKUP($A15,'3121% SY'!$C$3:$M$324,11,FALSE),3),0)+IFERROR(ROUND(VLOOKUP($A15,S275_21,43,FALSE)*VLOOKUP($A15,'3121% SY'!$C$3:$M$324,11,FALSE),3),0)+IFERROR(VLOOKUP($A15,S275_09,15,FALSE),0)</f>
        <v>0</v>
      </c>
      <c r="AC15" s="268">
        <f t="shared" si="17"/>
        <v>0.217</v>
      </c>
      <c r="AD15" s="267">
        <f>IFERROR(VLOOKUP($A15,Supp_24,14,FALSE),0)+IFERROR(SUMPRODUCT(VLOOKUP($A15,S275_01,{2,3,4},FALSE)),0)+IFERROR(SUMPRODUCT(VLOOKUP($A15,S275_97,{2,3,4},FALSE)),0)+IFERROR(ROUND(VLOOKUP($A15,S275_21,2,FALSE)*VLOOKUP($A15,'3121% SY'!$C$3:$M$324,11,FALSE),3),0)+IFERROR(ROUND(VLOOKUP($A15,S275_21,3,FALSE)*VLOOKUP($A15,'3121% SY'!$C$3:$M$324,11,FALSE),3),0)+IFERROR(ROUND(VLOOKUP($A15,S275_21,4,FALSE)*VLOOKUP($A15,'3121% SY'!$C$3:$M$324,11,FALSE),3),0)+IFERROR(VLOOKUP($A15,S275_09,2,FALSE),0)</f>
        <v>0.187</v>
      </c>
      <c r="AE15" s="267">
        <f>IFERROR(VLOOKUP($A15,Supp_25,14,FALSE),0)+IFERROR(SUMPRODUCT(VLOOKUP($A15,S275_01,{5,6,7},FALSE)),0)+IFERROR(SUMPRODUCT(VLOOKUP($A15,S275_97,{5,6,7},FALSE)),0)+IFERROR(ROUND(VLOOKUP($A15,S275_21,5,FALSE)*VLOOKUP($A15,'3121% SY'!$C$3:$M$324,11,FALSE),3),0)+IFERROR(ROUND(VLOOKUP($A15,S275_21,6,FALSE)*VLOOKUP($A15,'3121% SY'!$C$3:$M$324,11,FALSE),3),0)+IFERROR(ROUND(VLOOKUP($A15,S275_21,7,FALSE)*VLOOKUP($A15,'3121% SY'!$C$3:$M$324,11,FALSE),3),0)+IFERROR(VLOOKUP($A15,S275_09,3,FALSE),0)</f>
        <v>0.52800000000000002</v>
      </c>
      <c r="AF15" s="267">
        <f>IFERROR(VLOOKUP($A15,Supp_26,14,FALSE),0)+IFERROR(SUMPRODUCT(VLOOKUP($A15,S275_01,{8,9,10},FALSE)),0)+IFERROR(SUMPRODUCT(VLOOKUP($A15,S275_97,{8,9,10},FALSE)),0)+IFERROR(ROUND(VLOOKUP($A15,S275_21,8,FALSE)*VLOOKUP($A15,'3121% SY'!$C$3:$M$324,11,FALSE),3),0)+IFERROR(ROUND(VLOOKUP($A15,S275_21,9,FALSE)*VLOOKUP($A15,'3121% SY'!$C$3:$M$324,11,FALSE),3),0)+IFERROR(ROUND(VLOOKUP($A15,S275_21,10,FALSE)*VLOOKUP($A15,'3121% SY'!$C$3:$M$324,11,FALSE),3),0)+IFERROR(VLOOKUP($A15,S275_09,4,FALSE),0)</f>
        <v>0</v>
      </c>
      <c r="AG15" s="267">
        <f>IFERROR(VLOOKUP($A15,Supp_35,14,FALSE),0)+IFERROR(SUMPRODUCT(VLOOKUP($A15,S275_01,{11,12,13},FALSE)),0)+IFERROR(SUMPRODUCT(VLOOKUP($A15,S275_97,{11,12,13},FALSE)),0)+IFERROR(ROUND(VLOOKUP($A15,S275_21,11,FALSE)*VLOOKUP($A15,'3121% SY'!$C$3:$M$324,11,FALSE),3),0)+IFERROR(ROUND(VLOOKUP($A15,S275_21,12,FALSE)*VLOOKUP($A15,'3121% SY'!$C$3:$M$324,11,FALSE),3),0)+IFERROR(ROUND(VLOOKUP($A15,S275_21,13,FALSE)*VLOOKUP($A15,'3121% SY'!$C$3:$M$324,11,FALSE),3),0)+IFERROR(VLOOKUP($A15,S275_09,5,FALSE),0)</f>
        <v>0</v>
      </c>
      <c r="AH15" s="165">
        <f t="shared" si="15"/>
        <v>0.71500000000000008</v>
      </c>
      <c r="AI15" s="161">
        <f>IFERROR(VLOOKUP(A15,'Supp Staff Data'!A:ER,148,FALSE),0)+AB15</f>
        <v>0</v>
      </c>
      <c r="AJ15" s="174">
        <v>0</v>
      </c>
      <c r="AK15" s="25">
        <f>VLOOKUP(A15,'Enroll Data as of January 2025'!$A$3:$T$323,20,FALSE)-F15</f>
        <v>0</v>
      </c>
    </row>
    <row r="16" spans="1:37" x14ac:dyDescent="0.25">
      <c r="A16" s="171" t="s">
        <v>266</v>
      </c>
      <c r="B16" t="s">
        <v>562</v>
      </c>
      <c r="C16" s="173" t="s">
        <v>1077</v>
      </c>
      <c r="D16" s="259">
        <f t="shared" si="9"/>
        <v>1.5489999999999999</v>
      </c>
      <c r="E16" s="259">
        <f t="shared" si="10"/>
        <v>1.1469999999999998</v>
      </c>
      <c r="F16" s="262">
        <f t="shared" si="16"/>
        <v>-0.40200000000000002</v>
      </c>
      <c r="G16" s="161">
        <f>ROUND(IF(F16&lt;0,F16*'2024-25 PSES Compliance'!$G$13,0),3)</f>
        <v>-0.38600000000000001</v>
      </c>
      <c r="H16" s="161">
        <f>ROUND(IF(F16&lt;0,F16*'2024-25 PSES Compliance'!$G$14,0),3)</f>
        <v>-1.6E-2</v>
      </c>
      <c r="I16" s="174">
        <f t="shared" si="11"/>
        <v>0</v>
      </c>
      <c r="J16" s="174">
        <f t="shared" si="12"/>
        <v>0</v>
      </c>
      <c r="K16" s="161">
        <f>VLOOKUP($A16,'Enroll Data as of January 2025'!$A$3:$M$322,6,FALSE)</f>
        <v>0.8839999999999999</v>
      </c>
      <c r="L16" s="161">
        <f>VLOOKUP($A16,'Enroll Data as of January 2025'!$A$3:$M$322,7,FALSE)</f>
        <v>0.13600000000000001</v>
      </c>
      <c r="M16" s="161">
        <f>VLOOKUP($A16,'Enroll Data as of January 2025'!$A$3:$M$322,8,FALSE)</f>
        <v>4.5999999999999999E-2</v>
      </c>
      <c r="N16" s="161">
        <f>VLOOKUP($A16,'Enroll Data as of January 2025'!$A$3:$M$322,9,FALSE)</f>
        <v>0.39800000000000002</v>
      </c>
      <c r="O16" s="165">
        <f t="shared" si="13"/>
        <v>1.464</v>
      </c>
      <c r="P16" s="161">
        <f>VLOOKUP($A16,'Enroll Data as of January 2025'!$A$3:$M$322,11,FALSE)</f>
        <v>5.5E-2</v>
      </c>
      <c r="Q16" s="161">
        <f>VLOOKUP($A16,'Enroll Data as of January 2025'!$A$3:$M$322,12,FALSE)</f>
        <v>0.03</v>
      </c>
      <c r="R16" s="165">
        <f t="shared" si="14"/>
        <v>8.4999999999999992E-2</v>
      </c>
      <c r="S16" s="267">
        <f>IFERROR(VLOOKUP($A16,Supp_39,14,FALSE),0)+IFERROR(SUMPRODUCT(VLOOKUP($A16,S275_01,{14,15,16},FALSE)),0)+IFERROR(SUMPRODUCT(VLOOKUP($A16,S275_97,{14,15,16},FALSE)),0)+IFERROR(ROUND(VLOOKUP($A16,S275_21,14,FALSE)*VLOOKUP($A16,'3121% SY'!$C$3:$M$324,11,FALSE),3),0)+IFERROR(ROUND(VLOOKUP($A16,S275_21,15,FALSE)*VLOOKUP($A16,'3121% SY'!$C$3:$M$324,11,FALSE),3),0)+IFERROR(ROUND(VLOOKUP($A16,S275_21,16,FALSE)*VLOOKUP($A16,'3121% SY'!$C$3:$M$324,11,FALSE),3),0)+IFERROR(VLOOKUP($A16,S275_09,6,FALSE),0)</f>
        <v>0</v>
      </c>
      <c r="T16" s="267">
        <f>IFERROR(VLOOKUP($A16,Supp_42,14,FALSE),0)+IFERROR(SUMPRODUCT(VLOOKUP($A16,S275_01,{17,18,19},FALSE)),0)+IFERROR(SUMPRODUCT(VLOOKUP($A16,S275_97,{17,18,19},FALSE)),0)+IFERROR(ROUND(VLOOKUP($A16,S275_21,17,FALSE)*VLOOKUP($A16,'3121% SY'!$C$3:$M$324,11,FALSE),3),0)+IFERROR(ROUND(VLOOKUP($A16,S275_21,18,FALSE)*VLOOKUP($A16,'3121% SY'!$C$3:$M$324,11,FALSE),3),0)+IFERROR(ROUND(VLOOKUP($A16,S275_21,19,FALSE)*VLOOKUP($A16,'3121% SY'!$C$3:$M$324,11,FALSE),3),0)+IFERROR(VLOOKUP($A16,S275_09,7,FALSE),0)</f>
        <v>0</v>
      </c>
      <c r="U16" s="267">
        <f>IFERROR(VLOOKUP($A16,Supp_43,14,FALSE),0)+IFERROR(SUMPRODUCT(VLOOKUP($A16,S275_01,{20,21,22},FALSE)),0)+IFERROR(SUMPRODUCT(VLOOKUP($A16,S275_97,{20,21,22},FALSE)),0)+IFERROR(ROUND(VLOOKUP($A16,S275_21,20,FALSE)*VLOOKUP($A16,'3121% SY'!$C$3:$M$324,11,FALSE),3),0)+IFERROR(ROUND(VLOOKUP($A16,S275_21,21,FALSE)*VLOOKUP($A16,'3121% SY'!$C$3:$M$324,11,FALSE),3),0)+IFERROR(ROUND(VLOOKUP($A16,S275_21,22,FALSE)*VLOOKUP($A16,'3121% SY'!$C$3:$M$324,11,FALSE),3),0)+IFERROR(VLOOKUP($A16,S275_09,8,FALSE),0)</f>
        <v>0</v>
      </c>
      <c r="V16" s="267">
        <f>IFERROR(VLOOKUP($A16,Supp_44,14,FALSE),0)+IFERROR(SUMPRODUCT(VLOOKUP($A16,S275_01,{23,24,25},FALSE)),0)+IFERROR(SUMPRODUCT(VLOOKUP($A16,S275_97,{23,24,25},FALSE)),0)+IFERROR(ROUND(VLOOKUP($A16,S275_21,23,FALSE)*VLOOKUP($A16,'3121% SY'!$C$3:$M$324,11,FALSE),3),0)+IFERROR(ROUND(VLOOKUP($A16,S275_21,24,FALSE)*VLOOKUP($A16,'3121% SY'!$C$3:$M$324,11,FALSE),3),0)+IFERROR(ROUND(VLOOKUP($A16,S275_21,25,FALSE)*VLOOKUP($A16,'3121% SY'!$C$3:$M$324,11,FALSE),3),0)+IFERROR(VLOOKUP($A16,S275_09,9,FALSE),0)</f>
        <v>0</v>
      </c>
      <c r="W16" s="267">
        <f>IFERROR(VLOOKUP($A16,Supp_45,14,FALSE),0)+IFERROR(SUMPRODUCT(VLOOKUP($A16,S275_01,{26,27,28},FALSE)),0)+IFERROR(SUMPRODUCT(VLOOKUP($A16,S275_97,{26,27,28},FALSE)),0)+IFERROR(ROUND(VLOOKUP($A16,S275_21,26,FALSE)*VLOOKUP($A16,'3121% SY'!$C$3:$M$324,11,FALSE),3),0)+IFERROR(ROUND(VLOOKUP($A16,S275_21,27,FALSE)*VLOOKUP($A16,'3121% SY'!$C$3:$M$324,11,FALSE),3),0)+IFERROR(ROUND(VLOOKUP($A16,S275_21,28,FALSE)*VLOOKUP($A16,'3121% SY'!$C$3:$M$324,11,FALSE),3),0)+IFERROR(VLOOKUP($A16,S275_09,10,FALSE),0)</f>
        <v>0</v>
      </c>
      <c r="X16" s="267">
        <f>IFERROR(VLOOKUP($A16,Supp_46,14,FALSE),0)+IFERROR(SUMPRODUCT(VLOOKUP($A16,S275_01,{29,30,31},FALSE)),0)+IFERROR(SUMPRODUCT(VLOOKUP($A16,S275_97,{29,30,31},FALSE)),0)+IFERROR(ROUND(VLOOKUP($A16,S275_21,29,FALSE)*VLOOKUP($A16,'3121% SY'!$C$3:$M$324,11,FALSE),3),0)+IFERROR(ROUND(VLOOKUP($A16,S275_21,30,FALSE)*VLOOKUP($A16,'3121% SY'!$C$3:$M$324,11,FALSE),3),0)+IFERROR(ROUND(VLOOKUP($A16,S275_21,31,FALSE)*VLOOKUP($A16,'3121% SY'!$C$3:$M$324,11,FALSE),3),0)+IFERROR(VLOOKUP($A16,S275_09,11,FALSE),0)</f>
        <v>0</v>
      </c>
      <c r="Y16" s="267">
        <f>IFERROR(VLOOKUP($A16,Supp_47,14,FALSE),0)+IFERROR(SUMPRODUCT(VLOOKUP($A16,S275_01,{32,33,34},FALSE)),0)+IFERROR(SUMPRODUCT(VLOOKUP($A16,S275_97,{32,33,34},FALSE)),0)+IFERROR(ROUND(VLOOKUP($A16,S275_21,32,FALSE)*VLOOKUP($A16,'3121% SY'!$C$3:$M$324,11,FALSE),3),0)+IFERROR(ROUND(VLOOKUP($A16,S275_21,33,FALSE)*VLOOKUP($A16,'3121% SY'!$C$3:$M$324,11,FALSE),3),0)+IFERROR(ROUND(VLOOKUP($A16,S275_21,34,FALSE)*VLOOKUP($A16,'3121% SY'!$C$3:$M$324,11,FALSE),3),0)+IFERROR(VLOOKUP($A16,S275_09,12,FALSE),0)</f>
        <v>0</v>
      </c>
      <c r="Z16" s="267">
        <f>IFERROR(VLOOKUP($A16,Supp_48,14,FALSE),0)+IFERROR(SUMPRODUCT(VLOOKUP($A16,S275_01,{35,36,37},FALSE)),0)+IFERROR(SUMPRODUCT(VLOOKUP($A16,S275_97,{35,36,37},FALSE)),0)+IFERROR(ROUND(VLOOKUP($A16,S275_21,35,FALSE)*VLOOKUP($A16,'3121% SY'!$C$3:$M$324,11,FALSE),3),0)+IFERROR(ROUND(VLOOKUP($A16,S275_21,36,FALSE)*VLOOKUP($A16,'3121% SY'!$C$3:$M$324,11,FALSE),3),0)+IFERROR(ROUND(VLOOKUP($A16,S275_21,37,FALSE)*VLOOKUP($A16,'3121% SY'!$C$3:$M$324,11,FALSE),3),0)+IFERROR(VLOOKUP($A16,S275_09,13,FALSE),0)</f>
        <v>0</v>
      </c>
      <c r="AA16" s="267">
        <f>IFERROR(VLOOKUP($A16,Supp_49,14,FALSE),0)+IFERROR(SUMPRODUCT(VLOOKUP($A16,S275_01,{38,39,40},FALSE)),0)+IFERROR(SUMPRODUCT(VLOOKUP($A16,S275_97,{38,39,40},FALSE)),0)+IFERROR(ROUND(VLOOKUP($A16,S275_21,38,FALSE)*VLOOKUP($A16,'3121% SY'!$C$3:$M$324,11,FALSE),3),0)+IFERROR(ROUND(VLOOKUP($A16,S275_21,39,FALSE)*VLOOKUP($A16,'3121% SY'!$C$3:$M$324,11,FALSE),3),0)+IFERROR(ROUND(VLOOKUP($A16,S275_21,40,FALSE)*VLOOKUP($A16,'3121% SY'!$C$3:$M$324,11,FALSE),3),0)+IFERROR(VLOOKUP($A16,S275_09,14,FALSE),0)</f>
        <v>0</v>
      </c>
      <c r="AB16" s="267">
        <f>IFERROR(VLOOKUP($A16,Supp_64,14,FALSE),0)+IFERROR(SUMPRODUCT(VLOOKUP($A16,S275_01,{41,42,43},FALSE)),0)+IFERROR(SUMPRODUCT(VLOOKUP($A16,S275_97,{41,42,43},FALSE)),0)+IFERROR(ROUND(VLOOKUP($A16,S275_21,41,FALSE)*VLOOKUP($A16,'3121% SY'!$C$3:$M$324,11,FALSE),3),0)+IFERROR(ROUND(VLOOKUP($A16,S275_21,42,FALSE)*VLOOKUP($A16,'3121% SY'!$C$3:$M$324,11,FALSE),3),0)+IFERROR(ROUND(VLOOKUP($A16,S275_21,43,FALSE)*VLOOKUP($A16,'3121% SY'!$C$3:$M$324,11,FALSE),3),0)+IFERROR(VLOOKUP($A16,S275_09,15,FALSE),0)</f>
        <v>0</v>
      </c>
      <c r="AC16" s="268">
        <f t="shared" si="17"/>
        <v>0</v>
      </c>
      <c r="AD16" s="267">
        <f>IFERROR(VLOOKUP($A16,Supp_24,14,FALSE),0)+IFERROR(SUMPRODUCT(VLOOKUP($A16,S275_01,{2,3,4},FALSE)),0)+IFERROR(SUMPRODUCT(VLOOKUP($A16,S275_97,{2,3,4},FALSE)),0)+IFERROR(ROUND(VLOOKUP($A16,S275_21,2,FALSE)*VLOOKUP($A16,'3121% SY'!$C$3:$M$324,11,FALSE),3),0)+IFERROR(ROUND(VLOOKUP($A16,S275_21,3,FALSE)*VLOOKUP($A16,'3121% SY'!$C$3:$M$324,11,FALSE),3),0)+IFERROR(ROUND(VLOOKUP($A16,S275_21,4,FALSE)*VLOOKUP($A16,'3121% SY'!$C$3:$M$324,11,FALSE),3),0)+IFERROR(VLOOKUP($A16,S275_09,2,FALSE),0)</f>
        <v>0.70799999999999996</v>
      </c>
      <c r="AE16" s="267">
        <f>IFERROR(VLOOKUP($A16,Supp_25,14,FALSE),0)+IFERROR(SUMPRODUCT(VLOOKUP($A16,S275_01,{5,6,7},FALSE)),0)+IFERROR(SUMPRODUCT(VLOOKUP($A16,S275_97,{5,6,7},FALSE)),0)+IFERROR(ROUND(VLOOKUP($A16,S275_21,5,FALSE)*VLOOKUP($A16,'3121% SY'!$C$3:$M$324,11,FALSE),3),0)+IFERROR(ROUND(VLOOKUP($A16,S275_21,6,FALSE)*VLOOKUP($A16,'3121% SY'!$C$3:$M$324,11,FALSE),3),0)+IFERROR(ROUND(VLOOKUP($A16,S275_21,7,FALSE)*VLOOKUP($A16,'3121% SY'!$C$3:$M$324,11,FALSE),3),0)+IFERROR(VLOOKUP($A16,S275_09,3,FALSE),0)</f>
        <v>0.43899999999999995</v>
      </c>
      <c r="AF16" s="267">
        <f>IFERROR(VLOOKUP($A16,Supp_26,14,FALSE),0)+IFERROR(SUMPRODUCT(VLOOKUP($A16,S275_01,{8,9,10},FALSE)),0)+IFERROR(SUMPRODUCT(VLOOKUP($A16,S275_97,{8,9,10},FALSE)),0)+IFERROR(ROUND(VLOOKUP($A16,S275_21,8,FALSE)*VLOOKUP($A16,'3121% SY'!$C$3:$M$324,11,FALSE),3),0)+IFERROR(ROUND(VLOOKUP($A16,S275_21,9,FALSE)*VLOOKUP($A16,'3121% SY'!$C$3:$M$324,11,FALSE),3),0)+IFERROR(ROUND(VLOOKUP($A16,S275_21,10,FALSE)*VLOOKUP($A16,'3121% SY'!$C$3:$M$324,11,FALSE),3),0)+IFERROR(VLOOKUP($A16,S275_09,4,FALSE),0)</f>
        <v>0</v>
      </c>
      <c r="AG16" s="267">
        <f>IFERROR(VLOOKUP($A16,Supp_35,14,FALSE),0)+IFERROR(SUMPRODUCT(VLOOKUP($A16,S275_01,{11,12,13},FALSE)),0)+IFERROR(SUMPRODUCT(VLOOKUP($A16,S275_97,{11,12,13},FALSE)),0)+IFERROR(ROUND(VLOOKUP($A16,S275_21,11,FALSE)*VLOOKUP($A16,'3121% SY'!$C$3:$M$324,11,FALSE),3),0)+IFERROR(ROUND(VLOOKUP($A16,S275_21,12,FALSE)*VLOOKUP($A16,'3121% SY'!$C$3:$M$324,11,FALSE),3),0)+IFERROR(ROUND(VLOOKUP($A16,S275_21,13,FALSE)*VLOOKUP($A16,'3121% SY'!$C$3:$M$324,11,FALSE),3),0)+IFERROR(VLOOKUP($A16,S275_09,5,FALSE),0)</f>
        <v>0</v>
      </c>
      <c r="AH16" s="165">
        <f t="shared" si="15"/>
        <v>1.1469999999999998</v>
      </c>
      <c r="AI16" s="161">
        <f>IFERROR(VLOOKUP(A16,'Supp Staff Data'!A:ER,148,FALSE),0)+AB16</f>
        <v>0</v>
      </c>
      <c r="AJ16" s="174">
        <v>0.5</v>
      </c>
      <c r="AK16" s="25">
        <f>VLOOKUP(A16,'Enroll Data as of January 2025'!$A$3:$T$323,20,FALSE)-F16</f>
        <v>0</v>
      </c>
    </row>
    <row r="17" spans="1:37" x14ac:dyDescent="0.25">
      <c r="A17" s="171" t="s">
        <v>81</v>
      </c>
      <c r="B17" t="s">
        <v>377</v>
      </c>
      <c r="C17" s="173" t="s">
        <v>1077</v>
      </c>
      <c r="D17" s="259">
        <f t="shared" si="9"/>
        <v>1.111</v>
      </c>
      <c r="E17" s="259">
        <f t="shared" si="10"/>
        <v>1.2489999999999999</v>
      </c>
      <c r="F17" s="262">
        <f t="shared" si="16"/>
        <v>0.13800000000000001</v>
      </c>
      <c r="G17" s="161">
        <f>ROUND(IF(F17&lt;0,F17*'2024-25 PSES Compliance'!$G$13,0),3)</f>
        <v>0</v>
      </c>
      <c r="H17" s="161">
        <f>ROUND(IF(F17&lt;0,F17*'2024-25 PSES Compliance'!$G$14,0),3)</f>
        <v>0</v>
      </c>
      <c r="I17" s="174">
        <f t="shared" si="11"/>
        <v>0</v>
      </c>
      <c r="J17" s="174">
        <f t="shared" si="12"/>
        <v>0</v>
      </c>
      <c r="K17" s="161">
        <f>VLOOKUP($A17,'Enroll Data as of January 2025'!$A$3:$M$322,6,FALSE)</f>
        <v>0.65100000000000002</v>
      </c>
      <c r="L17" s="161">
        <f>VLOOKUP($A17,'Enroll Data as of January 2025'!$A$3:$M$322,7,FALSE)</f>
        <v>8.900000000000001E-2</v>
      </c>
      <c r="M17" s="161">
        <f>VLOOKUP($A17,'Enroll Data as of January 2025'!$A$3:$M$322,8,FALSE)</f>
        <v>3.0000000000000002E-2</v>
      </c>
      <c r="N17" s="161">
        <f>VLOOKUP($A17,'Enroll Data as of January 2025'!$A$3:$M$322,9,FALSE)</f>
        <v>0.28300000000000003</v>
      </c>
      <c r="O17" s="165">
        <f t="shared" si="13"/>
        <v>1.0529999999999999</v>
      </c>
      <c r="P17" s="161">
        <f>VLOOKUP($A17,'Enroll Data as of January 2025'!$A$3:$M$322,11,FALSE)</f>
        <v>3.9E-2</v>
      </c>
      <c r="Q17" s="161">
        <f>VLOOKUP($A17,'Enroll Data as of January 2025'!$A$3:$M$322,12,FALSE)</f>
        <v>1.9E-2</v>
      </c>
      <c r="R17" s="165">
        <f t="shared" si="14"/>
        <v>5.7999999999999996E-2</v>
      </c>
      <c r="S17" s="267">
        <f>IFERROR(VLOOKUP($A17,Supp_39,14,FALSE),0)+IFERROR(SUMPRODUCT(VLOOKUP($A17,S275_01,{14,15,16},FALSE)),0)+IFERROR(SUMPRODUCT(VLOOKUP($A17,S275_97,{14,15,16},FALSE)),0)+IFERROR(ROUND(VLOOKUP($A17,S275_21,14,FALSE)*VLOOKUP($A17,'3121% SY'!$C$3:$M$324,11,FALSE),3),0)+IFERROR(ROUND(VLOOKUP($A17,S275_21,15,FALSE)*VLOOKUP($A17,'3121% SY'!$C$3:$M$324,11,FALSE),3),0)+IFERROR(ROUND(VLOOKUP($A17,S275_21,16,FALSE)*VLOOKUP($A17,'3121% SY'!$C$3:$M$324,11,FALSE),3),0)+IFERROR(VLOOKUP($A17,S275_09,6,FALSE),0)</f>
        <v>0</v>
      </c>
      <c r="T17" s="267">
        <f>IFERROR(VLOOKUP($A17,Supp_42,14,FALSE),0)+IFERROR(SUMPRODUCT(VLOOKUP($A17,S275_01,{17,18,19},FALSE)),0)+IFERROR(SUMPRODUCT(VLOOKUP($A17,S275_97,{17,18,19},FALSE)),0)+IFERROR(ROUND(VLOOKUP($A17,S275_21,17,FALSE)*VLOOKUP($A17,'3121% SY'!$C$3:$M$324,11,FALSE),3),0)+IFERROR(ROUND(VLOOKUP($A17,S275_21,18,FALSE)*VLOOKUP($A17,'3121% SY'!$C$3:$M$324,11,FALSE),3),0)+IFERROR(ROUND(VLOOKUP($A17,S275_21,19,FALSE)*VLOOKUP($A17,'3121% SY'!$C$3:$M$324,11,FALSE),3),0)+IFERROR(VLOOKUP($A17,S275_09,7,FALSE),0)</f>
        <v>0</v>
      </c>
      <c r="U17" s="267">
        <f>IFERROR(VLOOKUP($A17,Supp_43,14,FALSE),0)+IFERROR(SUMPRODUCT(VLOOKUP($A17,S275_01,{20,21,22},FALSE)),0)+IFERROR(SUMPRODUCT(VLOOKUP($A17,S275_97,{20,21,22},FALSE)),0)+IFERROR(ROUND(VLOOKUP($A17,S275_21,20,FALSE)*VLOOKUP($A17,'3121% SY'!$C$3:$M$324,11,FALSE),3),0)+IFERROR(ROUND(VLOOKUP($A17,S275_21,21,FALSE)*VLOOKUP($A17,'3121% SY'!$C$3:$M$324,11,FALSE),3),0)+IFERROR(ROUND(VLOOKUP($A17,S275_21,22,FALSE)*VLOOKUP($A17,'3121% SY'!$C$3:$M$324,11,FALSE),3),0)+IFERROR(VLOOKUP($A17,S275_09,8,FALSE),0)</f>
        <v>0</v>
      </c>
      <c r="V17" s="267">
        <f>IFERROR(VLOOKUP($A17,Supp_44,14,FALSE),0)+IFERROR(SUMPRODUCT(VLOOKUP($A17,S275_01,{23,24,25},FALSE)),0)+IFERROR(SUMPRODUCT(VLOOKUP($A17,S275_97,{23,24,25},FALSE)),0)+IFERROR(ROUND(VLOOKUP($A17,S275_21,23,FALSE)*VLOOKUP($A17,'3121% SY'!$C$3:$M$324,11,FALSE),3),0)+IFERROR(ROUND(VLOOKUP($A17,S275_21,24,FALSE)*VLOOKUP($A17,'3121% SY'!$C$3:$M$324,11,FALSE),3),0)+IFERROR(ROUND(VLOOKUP($A17,S275_21,25,FALSE)*VLOOKUP($A17,'3121% SY'!$C$3:$M$324,11,FALSE),3),0)+IFERROR(VLOOKUP($A17,S275_09,9,FALSE),0)</f>
        <v>0</v>
      </c>
      <c r="W17" s="267">
        <f>IFERROR(VLOOKUP($A17,Supp_45,14,FALSE),0)+IFERROR(SUMPRODUCT(VLOOKUP($A17,S275_01,{26,27,28},FALSE)),0)+IFERROR(SUMPRODUCT(VLOOKUP($A17,S275_97,{26,27,28},FALSE)),0)+IFERROR(ROUND(VLOOKUP($A17,S275_21,26,FALSE)*VLOOKUP($A17,'3121% SY'!$C$3:$M$324,11,FALSE),3),0)+IFERROR(ROUND(VLOOKUP($A17,S275_21,27,FALSE)*VLOOKUP($A17,'3121% SY'!$C$3:$M$324,11,FALSE),3),0)+IFERROR(ROUND(VLOOKUP($A17,S275_21,28,FALSE)*VLOOKUP($A17,'3121% SY'!$C$3:$M$324,11,FALSE),3),0)+IFERROR(VLOOKUP($A17,S275_09,10,FALSE),0)</f>
        <v>0</v>
      </c>
      <c r="X17" s="267">
        <f>IFERROR(VLOOKUP($A17,Supp_46,14,FALSE),0)+IFERROR(SUMPRODUCT(VLOOKUP($A17,S275_01,{29,30,31},FALSE)),0)+IFERROR(SUMPRODUCT(VLOOKUP($A17,S275_97,{29,30,31},FALSE)),0)+IFERROR(ROUND(VLOOKUP($A17,S275_21,29,FALSE)*VLOOKUP($A17,'3121% SY'!$C$3:$M$324,11,FALSE),3),0)+IFERROR(ROUND(VLOOKUP($A17,S275_21,30,FALSE)*VLOOKUP($A17,'3121% SY'!$C$3:$M$324,11,FALSE),3),0)+IFERROR(ROUND(VLOOKUP($A17,S275_21,31,FALSE)*VLOOKUP($A17,'3121% SY'!$C$3:$M$324,11,FALSE),3),0)+IFERROR(VLOOKUP($A17,S275_09,11,FALSE),0)</f>
        <v>0</v>
      </c>
      <c r="Y17" s="267">
        <f>IFERROR(VLOOKUP($A17,Supp_47,14,FALSE),0)+IFERROR(SUMPRODUCT(VLOOKUP($A17,S275_01,{32,33,34},FALSE)),0)+IFERROR(SUMPRODUCT(VLOOKUP($A17,S275_97,{32,33,34},FALSE)),0)+IFERROR(ROUND(VLOOKUP($A17,S275_21,32,FALSE)*VLOOKUP($A17,'3121% SY'!$C$3:$M$324,11,FALSE),3),0)+IFERROR(ROUND(VLOOKUP($A17,S275_21,33,FALSE)*VLOOKUP($A17,'3121% SY'!$C$3:$M$324,11,FALSE),3),0)+IFERROR(ROUND(VLOOKUP($A17,S275_21,34,FALSE)*VLOOKUP($A17,'3121% SY'!$C$3:$M$324,11,FALSE),3),0)+IFERROR(VLOOKUP($A17,S275_09,12,FALSE),0)</f>
        <v>0</v>
      </c>
      <c r="Z17" s="267">
        <f>IFERROR(VLOOKUP($A17,Supp_48,14,FALSE),0)+IFERROR(SUMPRODUCT(VLOOKUP($A17,S275_01,{35,36,37},FALSE)),0)+IFERROR(SUMPRODUCT(VLOOKUP($A17,S275_97,{35,36,37},FALSE)),0)+IFERROR(ROUND(VLOOKUP($A17,S275_21,35,FALSE)*VLOOKUP($A17,'3121% SY'!$C$3:$M$324,11,FALSE),3),0)+IFERROR(ROUND(VLOOKUP($A17,S275_21,36,FALSE)*VLOOKUP($A17,'3121% SY'!$C$3:$M$324,11,FALSE),3),0)+IFERROR(ROUND(VLOOKUP($A17,S275_21,37,FALSE)*VLOOKUP($A17,'3121% SY'!$C$3:$M$324,11,FALSE),3),0)+IFERROR(VLOOKUP($A17,S275_09,13,FALSE),0)</f>
        <v>0</v>
      </c>
      <c r="AA17" s="267">
        <f>IFERROR(VLOOKUP($A17,Supp_49,14,FALSE),0)+IFERROR(SUMPRODUCT(VLOOKUP($A17,S275_01,{38,39,40},FALSE)),0)+IFERROR(SUMPRODUCT(VLOOKUP($A17,S275_97,{38,39,40},FALSE)),0)+IFERROR(ROUND(VLOOKUP($A17,S275_21,38,FALSE)*VLOOKUP($A17,'3121% SY'!$C$3:$M$324,11,FALSE),3),0)+IFERROR(ROUND(VLOOKUP($A17,S275_21,39,FALSE)*VLOOKUP($A17,'3121% SY'!$C$3:$M$324,11,FALSE),3),0)+IFERROR(ROUND(VLOOKUP($A17,S275_21,40,FALSE)*VLOOKUP($A17,'3121% SY'!$C$3:$M$324,11,FALSE),3),0)+IFERROR(VLOOKUP($A17,S275_09,14,FALSE),0)</f>
        <v>0</v>
      </c>
      <c r="AB17" s="267">
        <f>IFERROR(VLOOKUP($A17,Supp_64,14,FALSE),0)+IFERROR(SUMPRODUCT(VLOOKUP($A17,S275_01,{41,42,43},FALSE)),0)+IFERROR(SUMPRODUCT(VLOOKUP($A17,S275_97,{41,42,43},FALSE)),0)+IFERROR(ROUND(VLOOKUP($A17,S275_21,41,FALSE)*VLOOKUP($A17,'3121% SY'!$C$3:$M$324,11,FALSE),3),0)+IFERROR(ROUND(VLOOKUP($A17,S275_21,42,FALSE)*VLOOKUP($A17,'3121% SY'!$C$3:$M$324,11,FALSE),3),0)+IFERROR(ROUND(VLOOKUP($A17,S275_21,43,FALSE)*VLOOKUP($A17,'3121% SY'!$C$3:$M$324,11,FALSE),3),0)+IFERROR(VLOOKUP($A17,S275_09,15,FALSE),0)</f>
        <v>0</v>
      </c>
      <c r="AC17" s="268">
        <f t="shared" si="17"/>
        <v>0</v>
      </c>
      <c r="AD17" s="267">
        <f>IFERROR(VLOOKUP($A17,Supp_24,14,FALSE),0)+IFERROR(SUMPRODUCT(VLOOKUP($A17,S275_01,{2,3,4},FALSE)),0)+IFERROR(SUMPRODUCT(VLOOKUP($A17,S275_97,{2,3,4},FALSE)),0)+IFERROR(ROUND(VLOOKUP($A17,S275_21,2,FALSE)*VLOOKUP($A17,'3121% SY'!$C$3:$M$324,11,FALSE),3),0)+IFERROR(ROUND(VLOOKUP($A17,S275_21,3,FALSE)*VLOOKUP($A17,'3121% SY'!$C$3:$M$324,11,FALSE),3),0)+IFERROR(ROUND(VLOOKUP($A17,S275_21,4,FALSE)*VLOOKUP($A17,'3121% SY'!$C$3:$M$324,11,FALSE),3),0)+IFERROR(VLOOKUP($A17,S275_09,2,FALSE),0)</f>
        <v>0</v>
      </c>
      <c r="AE17" s="267">
        <f>IFERROR(VLOOKUP($A17,Supp_25,14,FALSE),0)+IFERROR(SUMPRODUCT(VLOOKUP($A17,S275_01,{5,6,7},FALSE)),0)+IFERROR(SUMPRODUCT(VLOOKUP($A17,S275_97,{5,6,7},FALSE)),0)+IFERROR(ROUND(VLOOKUP($A17,S275_21,5,FALSE)*VLOOKUP($A17,'3121% SY'!$C$3:$M$324,11,FALSE),3),0)+IFERROR(ROUND(VLOOKUP($A17,S275_21,6,FALSE)*VLOOKUP($A17,'3121% SY'!$C$3:$M$324,11,FALSE),3),0)+IFERROR(ROUND(VLOOKUP($A17,S275_21,7,FALSE)*VLOOKUP($A17,'3121% SY'!$C$3:$M$324,11,FALSE),3),0)+IFERROR(VLOOKUP($A17,S275_09,3,FALSE),0)</f>
        <v>0</v>
      </c>
      <c r="AF17" s="267">
        <f>IFERROR(VLOOKUP($A17,Supp_26,14,FALSE),0)+IFERROR(SUMPRODUCT(VLOOKUP($A17,S275_01,{8,9,10},FALSE)),0)+IFERROR(SUMPRODUCT(VLOOKUP($A17,S275_97,{8,9,10},FALSE)),0)+IFERROR(ROUND(VLOOKUP($A17,S275_21,8,FALSE)*VLOOKUP($A17,'3121% SY'!$C$3:$M$324,11,FALSE),3),0)+IFERROR(ROUND(VLOOKUP($A17,S275_21,9,FALSE)*VLOOKUP($A17,'3121% SY'!$C$3:$M$324,11,FALSE),3),0)+IFERROR(ROUND(VLOOKUP($A17,S275_21,10,FALSE)*VLOOKUP($A17,'3121% SY'!$C$3:$M$324,11,FALSE),3),0)+IFERROR(VLOOKUP($A17,S275_09,4,FALSE),0)</f>
        <v>1.2489999999999999</v>
      </c>
      <c r="AG17" s="267">
        <f>IFERROR(VLOOKUP($A17,Supp_35,14,FALSE),0)+IFERROR(SUMPRODUCT(VLOOKUP($A17,S275_01,{11,12,13},FALSE)),0)+IFERROR(SUMPRODUCT(VLOOKUP($A17,S275_97,{11,12,13},FALSE)),0)+IFERROR(ROUND(VLOOKUP($A17,S275_21,11,FALSE)*VLOOKUP($A17,'3121% SY'!$C$3:$M$324,11,FALSE),3),0)+IFERROR(ROUND(VLOOKUP($A17,S275_21,12,FALSE)*VLOOKUP($A17,'3121% SY'!$C$3:$M$324,11,FALSE),3),0)+IFERROR(ROUND(VLOOKUP($A17,S275_21,13,FALSE)*VLOOKUP($A17,'3121% SY'!$C$3:$M$324,11,FALSE),3),0)+IFERROR(VLOOKUP($A17,S275_09,5,FALSE),0)</f>
        <v>0</v>
      </c>
      <c r="AH17" s="165">
        <f t="shared" si="15"/>
        <v>1.2489999999999999</v>
      </c>
      <c r="AI17" s="161">
        <f>IFERROR(VLOOKUP(A17,'Supp Staff Data'!A:ER,148,FALSE),0)+AB17</f>
        <v>0</v>
      </c>
      <c r="AJ17" s="174">
        <v>0</v>
      </c>
      <c r="AK17" s="25">
        <f>VLOOKUP(A17,'Enroll Data as of January 2025'!$A$3:$T$323,20,FALSE)-F17</f>
        <v>0</v>
      </c>
    </row>
    <row r="18" spans="1:37" x14ac:dyDescent="0.25">
      <c r="A18" s="171" t="s">
        <v>127</v>
      </c>
      <c r="B18" t="s">
        <v>423</v>
      </c>
      <c r="C18" s="173" t="s">
        <v>1077</v>
      </c>
      <c r="D18" s="259">
        <f t="shared" si="9"/>
        <v>5.0310000000000006</v>
      </c>
      <c r="E18" s="259">
        <f t="shared" si="10"/>
        <v>3.4930000000000003</v>
      </c>
      <c r="F18" s="262">
        <f t="shared" si="16"/>
        <v>-1.538</v>
      </c>
      <c r="G18" s="161">
        <f>ROUND(IF(F18&lt;0,F18*'2024-25 PSES Compliance'!$G$13,0),3)</f>
        <v>-1.476</v>
      </c>
      <c r="H18" s="161">
        <f>ROUND(IF(F18&lt;0,F18*'2024-25 PSES Compliance'!$G$14,0),3)</f>
        <v>-6.2E-2</v>
      </c>
      <c r="I18" s="174">
        <f t="shared" si="11"/>
        <v>0.46736329802462062</v>
      </c>
      <c r="J18" s="174">
        <f t="shared" si="12"/>
        <v>0</v>
      </c>
      <c r="K18" s="161">
        <f>VLOOKUP($A18,'Enroll Data as of January 2025'!$A$3:$M$322,6,FALSE)</f>
        <v>2.8239999999999998</v>
      </c>
      <c r="L18" s="161">
        <f>VLOOKUP($A18,'Enroll Data as of January 2025'!$A$3:$M$322,7,FALSE)</f>
        <v>0.46700000000000003</v>
      </c>
      <c r="M18" s="161">
        <f>VLOOKUP($A18,'Enroll Data as of January 2025'!$A$3:$M$322,8,FALSE)</f>
        <v>0.15700000000000003</v>
      </c>
      <c r="N18" s="161">
        <f>VLOOKUP($A18,'Enroll Data as of January 2025'!$A$3:$M$322,9,FALSE)</f>
        <v>1.3010000000000002</v>
      </c>
      <c r="O18" s="165">
        <f t="shared" si="13"/>
        <v>4.7490000000000006</v>
      </c>
      <c r="P18" s="161">
        <f>VLOOKUP($A18,'Enroll Data as of January 2025'!$A$3:$M$322,11,FALSE)</f>
        <v>0.17699999999999999</v>
      </c>
      <c r="Q18" s="161">
        <f>VLOOKUP($A18,'Enroll Data as of January 2025'!$A$3:$M$322,12,FALSE)</f>
        <v>0.105</v>
      </c>
      <c r="R18" s="165">
        <f t="shared" si="14"/>
        <v>0.28199999999999997</v>
      </c>
      <c r="S18" s="267">
        <f>IFERROR(VLOOKUP($A18,Supp_39,14,FALSE),0)+IFERROR(SUMPRODUCT(VLOOKUP($A18,S275_01,{14,15,16},FALSE)),0)+IFERROR(SUMPRODUCT(VLOOKUP($A18,S275_97,{14,15,16},FALSE)),0)+IFERROR(ROUND(VLOOKUP($A18,S275_21,14,FALSE)*VLOOKUP($A18,'3121% SY'!$C$3:$M$324,11,FALSE),3),0)+IFERROR(ROUND(VLOOKUP($A18,S275_21,15,FALSE)*VLOOKUP($A18,'3121% SY'!$C$3:$M$324,11,FALSE),3),0)+IFERROR(ROUND(VLOOKUP($A18,S275_21,16,FALSE)*VLOOKUP($A18,'3121% SY'!$C$3:$M$324,11,FALSE),3),0)+IFERROR(VLOOKUP($A18,S275_09,6,FALSE),0)</f>
        <v>1</v>
      </c>
      <c r="T18" s="267">
        <f>IFERROR(VLOOKUP($A18,Supp_42,14,FALSE),0)+IFERROR(SUMPRODUCT(VLOOKUP($A18,S275_01,{17,18,19},FALSE)),0)+IFERROR(SUMPRODUCT(VLOOKUP($A18,S275_97,{17,18,19},FALSE)),0)+IFERROR(ROUND(VLOOKUP($A18,S275_21,17,FALSE)*VLOOKUP($A18,'3121% SY'!$C$3:$M$324,11,FALSE),3),0)+IFERROR(ROUND(VLOOKUP($A18,S275_21,18,FALSE)*VLOOKUP($A18,'3121% SY'!$C$3:$M$324,11,FALSE),3),0)+IFERROR(ROUND(VLOOKUP($A18,S275_21,19,FALSE)*VLOOKUP($A18,'3121% SY'!$C$3:$M$324,11,FALSE),3),0)+IFERROR(VLOOKUP($A18,S275_09,7,FALSE),0)</f>
        <v>1</v>
      </c>
      <c r="U18" s="267">
        <f>IFERROR(VLOOKUP($A18,Supp_43,14,FALSE),0)+IFERROR(SUMPRODUCT(VLOOKUP($A18,S275_01,{20,21,22},FALSE)),0)+IFERROR(SUMPRODUCT(VLOOKUP($A18,S275_97,{20,21,22},FALSE)),0)+IFERROR(ROUND(VLOOKUP($A18,S275_21,20,FALSE)*VLOOKUP($A18,'3121% SY'!$C$3:$M$324,11,FALSE),3),0)+IFERROR(ROUND(VLOOKUP($A18,S275_21,21,FALSE)*VLOOKUP($A18,'3121% SY'!$C$3:$M$324,11,FALSE),3),0)+IFERROR(ROUND(VLOOKUP($A18,S275_21,22,FALSE)*VLOOKUP($A18,'3121% SY'!$C$3:$M$324,11,FALSE),3),0)+IFERROR(VLOOKUP($A18,S275_09,8,FALSE),0)</f>
        <v>0.95</v>
      </c>
      <c r="V18" s="267">
        <f>IFERROR(VLOOKUP($A18,Supp_44,14,FALSE),0)+IFERROR(SUMPRODUCT(VLOOKUP($A18,S275_01,{23,24,25},FALSE)),0)+IFERROR(SUMPRODUCT(VLOOKUP($A18,S275_97,{23,24,25},FALSE)),0)+IFERROR(ROUND(VLOOKUP($A18,S275_21,23,FALSE)*VLOOKUP($A18,'3121% SY'!$C$3:$M$324,11,FALSE),3),0)+IFERROR(ROUND(VLOOKUP($A18,S275_21,24,FALSE)*VLOOKUP($A18,'3121% SY'!$C$3:$M$324,11,FALSE),3),0)+IFERROR(ROUND(VLOOKUP($A18,S275_21,25,FALSE)*VLOOKUP($A18,'3121% SY'!$C$3:$M$324,11,FALSE),3),0)+IFERROR(VLOOKUP($A18,S275_09,9,FALSE),0)</f>
        <v>0</v>
      </c>
      <c r="W18" s="267">
        <f>IFERROR(VLOOKUP($A18,Supp_45,14,FALSE),0)+IFERROR(SUMPRODUCT(VLOOKUP($A18,S275_01,{26,27,28},FALSE)),0)+IFERROR(SUMPRODUCT(VLOOKUP($A18,S275_97,{26,27,28},FALSE)),0)+IFERROR(ROUND(VLOOKUP($A18,S275_21,26,FALSE)*VLOOKUP($A18,'3121% SY'!$C$3:$M$324,11,FALSE),3),0)+IFERROR(ROUND(VLOOKUP($A18,S275_21,27,FALSE)*VLOOKUP($A18,'3121% SY'!$C$3:$M$324,11,FALSE),3),0)+IFERROR(ROUND(VLOOKUP($A18,S275_21,28,FALSE)*VLOOKUP($A18,'3121% SY'!$C$3:$M$324,11,FALSE),3),0)+IFERROR(VLOOKUP($A18,S275_09,10,FALSE),0)</f>
        <v>0.156</v>
      </c>
      <c r="X18" s="267">
        <f>IFERROR(VLOOKUP($A18,Supp_46,14,FALSE),0)+IFERROR(SUMPRODUCT(VLOOKUP($A18,S275_01,{29,30,31},FALSE)),0)+IFERROR(SUMPRODUCT(VLOOKUP($A18,S275_97,{29,30,31},FALSE)),0)+IFERROR(ROUND(VLOOKUP($A18,S275_21,29,FALSE)*VLOOKUP($A18,'3121% SY'!$C$3:$M$324,11,FALSE),3),0)+IFERROR(ROUND(VLOOKUP($A18,S275_21,30,FALSE)*VLOOKUP($A18,'3121% SY'!$C$3:$M$324,11,FALSE),3),0)+IFERROR(ROUND(VLOOKUP($A18,S275_21,31,FALSE)*VLOOKUP($A18,'3121% SY'!$C$3:$M$324,11,FALSE),3),0)+IFERROR(VLOOKUP($A18,S275_09,11,FALSE),0)</f>
        <v>0.159</v>
      </c>
      <c r="Y18" s="267">
        <f>IFERROR(VLOOKUP($A18,Supp_47,14,FALSE),0)+IFERROR(SUMPRODUCT(VLOOKUP($A18,S275_01,{32,33,34},FALSE)),0)+IFERROR(SUMPRODUCT(VLOOKUP($A18,S275_97,{32,33,34},FALSE)),0)+IFERROR(ROUND(VLOOKUP($A18,S275_21,32,FALSE)*VLOOKUP($A18,'3121% SY'!$C$3:$M$324,11,FALSE),3),0)+IFERROR(ROUND(VLOOKUP($A18,S275_21,33,FALSE)*VLOOKUP($A18,'3121% SY'!$C$3:$M$324,11,FALSE),3),0)+IFERROR(ROUND(VLOOKUP($A18,S275_21,34,FALSE)*VLOOKUP($A18,'3121% SY'!$C$3:$M$324,11,FALSE),3),0)+IFERROR(VLOOKUP($A18,S275_09,12,FALSE),0)</f>
        <v>0</v>
      </c>
      <c r="Z18" s="267">
        <f>IFERROR(VLOOKUP($A18,Supp_48,14,FALSE),0)+IFERROR(SUMPRODUCT(VLOOKUP($A18,S275_01,{35,36,37},FALSE)),0)+IFERROR(SUMPRODUCT(VLOOKUP($A18,S275_97,{35,36,37},FALSE)),0)+IFERROR(ROUND(VLOOKUP($A18,S275_21,35,FALSE)*VLOOKUP($A18,'3121% SY'!$C$3:$M$324,11,FALSE),3),0)+IFERROR(ROUND(VLOOKUP($A18,S275_21,36,FALSE)*VLOOKUP($A18,'3121% SY'!$C$3:$M$324,11,FALSE),3),0)+IFERROR(ROUND(VLOOKUP($A18,S275_21,37,FALSE)*VLOOKUP($A18,'3121% SY'!$C$3:$M$324,11,FALSE),3),0)+IFERROR(VLOOKUP($A18,S275_09,13,FALSE),0)</f>
        <v>0</v>
      </c>
      <c r="AA18" s="267">
        <f>IFERROR(VLOOKUP($A18,Supp_49,14,FALSE),0)+IFERROR(SUMPRODUCT(VLOOKUP($A18,S275_01,{38,39,40},FALSE)),0)+IFERROR(SUMPRODUCT(VLOOKUP($A18,S275_97,{38,39,40},FALSE)),0)+IFERROR(ROUND(VLOOKUP($A18,S275_21,38,FALSE)*VLOOKUP($A18,'3121% SY'!$C$3:$M$324,11,FALSE),3),0)+IFERROR(ROUND(VLOOKUP($A18,S275_21,39,FALSE)*VLOOKUP($A18,'3121% SY'!$C$3:$M$324,11,FALSE),3),0)+IFERROR(ROUND(VLOOKUP($A18,S275_21,40,FALSE)*VLOOKUP($A18,'3121% SY'!$C$3:$M$324,11,FALSE),3),0)+IFERROR(VLOOKUP($A18,S275_09,14,FALSE),0)</f>
        <v>0</v>
      </c>
      <c r="AB18" s="267">
        <f>IFERROR(VLOOKUP($A18,Supp_64,14,FALSE),0)+IFERROR(SUMPRODUCT(VLOOKUP($A18,S275_01,{41,42,43},FALSE)),0)+IFERROR(SUMPRODUCT(VLOOKUP($A18,S275_97,{41,42,43},FALSE)),0)+IFERROR(ROUND(VLOOKUP($A18,S275_21,41,FALSE)*VLOOKUP($A18,'3121% SY'!$C$3:$M$324,11,FALSE),3),0)+IFERROR(ROUND(VLOOKUP($A18,S275_21,42,FALSE)*VLOOKUP($A18,'3121% SY'!$C$3:$M$324,11,FALSE),3),0)+IFERROR(ROUND(VLOOKUP($A18,S275_21,43,FALSE)*VLOOKUP($A18,'3121% SY'!$C$3:$M$324,11,FALSE),3),0)+IFERROR(VLOOKUP($A18,S275_09,15,FALSE),0)</f>
        <v>0</v>
      </c>
      <c r="AC18" s="268">
        <f t="shared" si="17"/>
        <v>3.2650000000000001</v>
      </c>
      <c r="AD18" s="267">
        <f>IFERROR(VLOOKUP($A18,Supp_24,14,FALSE),0)+IFERROR(SUMPRODUCT(VLOOKUP($A18,S275_01,{2,3,4},FALSE)),0)+IFERROR(SUMPRODUCT(VLOOKUP($A18,S275_97,{2,3,4},FALSE)),0)+IFERROR(ROUND(VLOOKUP($A18,S275_21,2,FALSE)*VLOOKUP($A18,'3121% SY'!$C$3:$M$324,11,FALSE),3),0)+IFERROR(ROUND(VLOOKUP($A18,S275_21,3,FALSE)*VLOOKUP($A18,'3121% SY'!$C$3:$M$324,11,FALSE),3),0)+IFERROR(ROUND(VLOOKUP($A18,S275_21,4,FALSE)*VLOOKUP($A18,'3121% SY'!$C$3:$M$324,11,FALSE),3),0)+IFERROR(VLOOKUP($A18,S275_09,2,FALSE),0)</f>
        <v>0</v>
      </c>
      <c r="AE18" s="267">
        <f>IFERROR(VLOOKUP($A18,Supp_25,14,FALSE),0)+IFERROR(SUMPRODUCT(VLOOKUP($A18,S275_01,{5,6,7},FALSE)),0)+IFERROR(SUMPRODUCT(VLOOKUP($A18,S275_97,{5,6,7},FALSE)),0)+IFERROR(ROUND(VLOOKUP($A18,S275_21,5,FALSE)*VLOOKUP($A18,'3121% SY'!$C$3:$M$324,11,FALSE),3),0)+IFERROR(ROUND(VLOOKUP($A18,S275_21,6,FALSE)*VLOOKUP($A18,'3121% SY'!$C$3:$M$324,11,FALSE),3),0)+IFERROR(ROUND(VLOOKUP($A18,S275_21,7,FALSE)*VLOOKUP($A18,'3121% SY'!$C$3:$M$324,11,FALSE),3),0)+IFERROR(VLOOKUP($A18,S275_09,3,FALSE),0)</f>
        <v>0</v>
      </c>
      <c r="AF18" s="267">
        <f>IFERROR(VLOOKUP($A18,Supp_26,14,FALSE),0)+IFERROR(SUMPRODUCT(VLOOKUP($A18,S275_01,{8,9,10},FALSE)),0)+IFERROR(SUMPRODUCT(VLOOKUP($A18,S275_97,{8,9,10},FALSE)),0)+IFERROR(ROUND(VLOOKUP($A18,S275_21,8,FALSE)*VLOOKUP($A18,'3121% SY'!$C$3:$M$324,11,FALSE),3),0)+IFERROR(ROUND(VLOOKUP($A18,S275_21,9,FALSE)*VLOOKUP($A18,'3121% SY'!$C$3:$M$324,11,FALSE),3),0)+IFERROR(ROUND(VLOOKUP($A18,S275_21,10,FALSE)*VLOOKUP($A18,'3121% SY'!$C$3:$M$324,11,FALSE),3),0)+IFERROR(VLOOKUP($A18,S275_09,4,FALSE),0)</f>
        <v>0.22800000000000001</v>
      </c>
      <c r="AG18" s="267">
        <f>IFERROR(VLOOKUP($A18,Supp_35,14,FALSE),0)+IFERROR(SUMPRODUCT(VLOOKUP($A18,S275_01,{11,12,13},FALSE)),0)+IFERROR(SUMPRODUCT(VLOOKUP($A18,S275_97,{11,12,13},FALSE)),0)+IFERROR(ROUND(VLOOKUP($A18,S275_21,11,FALSE)*VLOOKUP($A18,'3121% SY'!$C$3:$M$324,11,FALSE),3),0)+IFERROR(ROUND(VLOOKUP($A18,S275_21,12,FALSE)*VLOOKUP($A18,'3121% SY'!$C$3:$M$324,11,FALSE),3),0)+IFERROR(ROUND(VLOOKUP($A18,S275_21,13,FALSE)*VLOOKUP($A18,'3121% SY'!$C$3:$M$324,11,FALSE),3),0)+IFERROR(VLOOKUP($A18,S275_09,5,FALSE),0)</f>
        <v>0</v>
      </c>
      <c r="AH18" s="165">
        <f t="shared" si="15"/>
        <v>0.22800000000000001</v>
      </c>
      <c r="AI18" s="161">
        <f>IFERROR(VLOOKUP(A18,'Supp Staff Data'!A:ER,148,FALSE),0)+AB18</f>
        <v>0</v>
      </c>
      <c r="AJ18" s="174">
        <v>0.5</v>
      </c>
      <c r="AK18" s="25">
        <f>VLOOKUP(A18,'Enroll Data as of January 2025'!$A$3:$T$323,20,FALSE)-F18</f>
        <v>0</v>
      </c>
    </row>
    <row r="19" spans="1:37" x14ac:dyDescent="0.25">
      <c r="A19" s="172" t="s">
        <v>300</v>
      </c>
      <c r="B19" t="s">
        <v>596</v>
      </c>
      <c r="C19" s="173" t="s">
        <v>1086</v>
      </c>
      <c r="D19" s="259">
        <f t="shared" si="9"/>
        <v>7.4049999999999994</v>
      </c>
      <c r="E19" s="259">
        <f t="shared" si="10"/>
        <v>5.86</v>
      </c>
      <c r="F19" s="262">
        <f t="shared" si="16"/>
        <v>-1.5449999999999999</v>
      </c>
      <c r="G19" s="161">
        <f>ROUND(IF(F19&lt;0,F19*'2024-25 PSES Compliance'!$G$13,0),3)</f>
        <v>-1.4830000000000001</v>
      </c>
      <c r="H19" s="161">
        <f>ROUND(IF(F19&lt;0,F19*'2024-25 PSES Compliance'!$G$14,0),3)</f>
        <v>-6.2E-2</v>
      </c>
      <c r="I19" s="174">
        <f t="shared" si="11"/>
        <v>0</v>
      </c>
      <c r="J19" s="174">
        <f t="shared" si="12"/>
        <v>0</v>
      </c>
      <c r="K19" s="161">
        <f>VLOOKUP($A19,'Enroll Data as of January 2025'!$A$3:$M$322,6,FALSE)</f>
        <v>4.2789999999999999</v>
      </c>
      <c r="L19" s="161">
        <f>VLOOKUP($A19,'Enroll Data as of January 2025'!$A$3:$M$322,7,FALSE)</f>
        <v>0.63400000000000001</v>
      </c>
      <c r="M19" s="161">
        <f>VLOOKUP($A19,'Enroll Data as of January 2025'!$A$3:$M$322,8,FALSE)</f>
        <v>0.21299999999999999</v>
      </c>
      <c r="N19" s="161">
        <f>VLOOKUP($A19,'Enroll Data as of January 2025'!$A$3:$M$322,9,FALSE)</f>
        <v>1.8839999999999999</v>
      </c>
      <c r="O19" s="165">
        <f t="shared" si="13"/>
        <v>7.01</v>
      </c>
      <c r="P19" s="161">
        <f>VLOOKUP($A19,'Enroll Data as of January 2025'!$A$3:$M$322,11,FALSE)</f>
        <v>0.25800000000000001</v>
      </c>
      <c r="Q19" s="161">
        <f>VLOOKUP($A19,'Enroll Data as of January 2025'!$A$3:$M$322,12,FALSE)</f>
        <v>0.13700000000000001</v>
      </c>
      <c r="R19" s="165">
        <f t="shared" si="14"/>
        <v>0.39500000000000002</v>
      </c>
      <c r="S19" s="267">
        <f>IFERROR(VLOOKUP($A19,Supp_39,14,FALSE),0)+IFERROR(SUMPRODUCT(VLOOKUP($A19,S275_01,{14,15,16},FALSE)),0)+IFERROR(SUMPRODUCT(VLOOKUP($A19,S275_97,{14,15,16},FALSE)),0)+IFERROR(ROUND(VLOOKUP($A19,S275_21,14,FALSE)*VLOOKUP($A19,'3121% SY'!$C$3:$M$324,11,FALSE),3),0)+IFERROR(ROUND(VLOOKUP($A19,S275_21,15,FALSE)*VLOOKUP($A19,'3121% SY'!$C$3:$M$324,11,FALSE),3),0)+IFERROR(ROUND(VLOOKUP($A19,S275_21,16,FALSE)*VLOOKUP($A19,'3121% SY'!$C$3:$M$324,11,FALSE),3),0)+IFERROR(VLOOKUP($A19,S275_09,6,FALSE),0)</f>
        <v>2.4</v>
      </c>
      <c r="T19" s="267">
        <f>IFERROR(VLOOKUP($A19,Supp_42,14,FALSE),0)+IFERROR(SUMPRODUCT(VLOOKUP($A19,S275_01,{17,18,19},FALSE)),0)+IFERROR(SUMPRODUCT(VLOOKUP($A19,S275_97,{17,18,19},FALSE)),0)+IFERROR(ROUND(VLOOKUP($A19,S275_21,17,FALSE)*VLOOKUP($A19,'3121% SY'!$C$3:$M$324,11,FALSE),3),0)+IFERROR(ROUND(VLOOKUP($A19,S275_21,18,FALSE)*VLOOKUP($A19,'3121% SY'!$C$3:$M$324,11,FALSE),3),0)+IFERROR(ROUND(VLOOKUP($A19,S275_21,19,FALSE)*VLOOKUP($A19,'3121% SY'!$C$3:$M$324,11,FALSE),3),0)+IFERROR(VLOOKUP($A19,S275_09,7,FALSE),0)</f>
        <v>0.8</v>
      </c>
      <c r="U19" s="267">
        <f>IFERROR(VLOOKUP($A19,Supp_43,14,FALSE),0)+IFERROR(SUMPRODUCT(VLOOKUP($A19,S275_01,{20,21,22},FALSE)),0)+IFERROR(SUMPRODUCT(VLOOKUP($A19,S275_97,{20,21,22},FALSE)),0)+IFERROR(ROUND(VLOOKUP($A19,S275_21,20,FALSE)*VLOOKUP($A19,'3121% SY'!$C$3:$M$324,11,FALSE),3),0)+IFERROR(ROUND(VLOOKUP($A19,S275_21,21,FALSE)*VLOOKUP($A19,'3121% SY'!$C$3:$M$324,11,FALSE),3),0)+IFERROR(ROUND(VLOOKUP($A19,S275_21,22,FALSE)*VLOOKUP($A19,'3121% SY'!$C$3:$M$324,11,FALSE),3),0)+IFERROR(VLOOKUP($A19,S275_09,8,FALSE),0)</f>
        <v>0</v>
      </c>
      <c r="V19" s="267">
        <f>IFERROR(VLOOKUP($A19,Supp_44,14,FALSE),0)+IFERROR(SUMPRODUCT(VLOOKUP($A19,S275_01,{23,24,25},FALSE)),0)+IFERROR(SUMPRODUCT(VLOOKUP($A19,S275_97,{23,24,25},FALSE)),0)+IFERROR(ROUND(VLOOKUP($A19,S275_21,23,FALSE)*VLOOKUP($A19,'3121% SY'!$C$3:$M$324,11,FALSE),3),0)+IFERROR(ROUND(VLOOKUP($A19,S275_21,24,FALSE)*VLOOKUP($A19,'3121% SY'!$C$3:$M$324,11,FALSE),3),0)+IFERROR(ROUND(VLOOKUP($A19,S275_21,25,FALSE)*VLOOKUP($A19,'3121% SY'!$C$3:$M$324,11,FALSE),3),0)+IFERROR(VLOOKUP($A19,S275_09,9,FALSE),0)</f>
        <v>1.6E-2</v>
      </c>
      <c r="W19" s="267">
        <f>IFERROR(VLOOKUP($A19,Supp_45,14,FALSE),0)+IFERROR(SUMPRODUCT(VLOOKUP($A19,S275_01,{26,27,28},FALSE)),0)+IFERROR(SUMPRODUCT(VLOOKUP($A19,S275_97,{26,27,28},FALSE)),0)+IFERROR(ROUND(VLOOKUP($A19,S275_21,26,FALSE)*VLOOKUP($A19,'3121% SY'!$C$3:$M$324,11,FALSE),3),0)+IFERROR(ROUND(VLOOKUP($A19,S275_21,27,FALSE)*VLOOKUP($A19,'3121% SY'!$C$3:$M$324,11,FALSE),3),0)+IFERROR(ROUND(VLOOKUP($A19,S275_21,28,FALSE)*VLOOKUP($A19,'3121% SY'!$C$3:$M$324,11,FALSE),3),0)+IFERROR(VLOOKUP($A19,S275_09,10,FALSE),0)</f>
        <v>0</v>
      </c>
      <c r="X19" s="267">
        <f>IFERROR(VLOOKUP($A19,Supp_46,14,FALSE),0)+IFERROR(SUMPRODUCT(VLOOKUP($A19,S275_01,{29,30,31},FALSE)),0)+IFERROR(SUMPRODUCT(VLOOKUP($A19,S275_97,{29,30,31},FALSE)),0)+IFERROR(ROUND(VLOOKUP($A19,S275_21,29,FALSE)*VLOOKUP($A19,'3121% SY'!$C$3:$M$324,11,FALSE),3),0)+IFERROR(ROUND(VLOOKUP($A19,S275_21,30,FALSE)*VLOOKUP($A19,'3121% SY'!$C$3:$M$324,11,FALSE),3),0)+IFERROR(ROUND(VLOOKUP($A19,S275_21,31,FALSE)*VLOOKUP($A19,'3121% SY'!$C$3:$M$324,11,FALSE),3),0)+IFERROR(VLOOKUP($A19,S275_09,11,FALSE),0)</f>
        <v>1.5</v>
      </c>
      <c r="Y19" s="267">
        <f>IFERROR(VLOOKUP($A19,Supp_47,14,FALSE),0)+IFERROR(SUMPRODUCT(VLOOKUP($A19,S275_01,{32,33,34},FALSE)),0)+IFERROR(SUMPRODUCT(VLOOKUP($A19,S275_97,{32,33,34},FALSE)),0)+IFERROR(ROUND(VLOOKUP($A19,S275_21,32,FALSE)*VLOOKUP($A19,'3121% SY'!$C$3:$M$324,11,FALSE),3),0)+IFERROR(ROUND(VLOOKUP($A19,S275_21,33,FALSE)*VLOOKUP($A19,'3121% SY'!$C$3:$M$324,11,FALSE),3),0)+IFERROR(ROUND(VLOOKUP($A19,S275_21,34,FALSE)*VLOOKUP($A19,'3121% SY'!$C$3:$M$324,11,FALSE),3),0)+IFERROR(VLOOKUP($A19,S275_09,12,FALSE),0)</f>
        <v>0.5</v>
      </c>
      <c r="Z19" s="267">
        <f>IFERROR(VLOOKUP($A19,Supp_48,14,FALSE),0)+IFERROR(SUMPRODUCT(VLOOKUP($A19,S275_01,{35,36,37},FALSE)),0)+IFERROR(SUMPRODUCT(VLOOKUP($A19,S275_97,{35,36,37},FALSE)),0)+IFERROR(ROUND(VLOOKUP($A19,S275_21,35,FALSE)*VLOOKUP($A19,'3121% SY'!$C$3:$M$324,11,FALSE),3),0)+IFERROR(ROUND(VLOOKUP($A19,S275_21,36,FALSE)*VLOOKUP($A19,'3121% SY'!$C$3:$M$324,11,FALSE),3),0)+IFERROR(ROUND(VLOOKUP($A19,S275_21,37,FALSE)*VLOOKUP($A19,'3121% SY'!$C$3:$M$324,11,FALSE),3),0)+IFERROR(VLOOKUP($A19,S275_09,13,FALSE),0)</f>
        <v>0</v>
      </c>
      <c r="AA19" s="267">
        <f>IFERROR(VLOOKUP($A19,Supp_49,14,FALSE),0)+IFERROR(SUMPRODUCT(VLOOKUP($A19,S275_01,{38,39,40},FALSE)),0)+IFERROR(SUMPRODUCT(VLOOKUP($A19,S275_97,{38,39,40},FALSE)),0)+IFERROR(ROUND(VLOOKUP($A19,S275_21,38,FALSE)*VLOOKUP($A19,'3121% SY'!$C$3:$M$324,11,FALSE),3),0)+IFERROR(ROUND(VLOOKUP($A19,S275_21,39,FALSE)*VLOOKUP($A19,'3121% SY'!$C$3:$M$324,11,FALSE),3),0)+IFERROR(ROUND(VLOOKUP($A19,S275_21,40,FALSE)*VLOOKUP($A19,'3121% SY'!$C$3:$M$324,11,FALSE),3),0)+IFERROR(VLOOKUP($A19,S275_09,14,FALSE),0)</f>
        <v>0</v>
      </c>
      <c r="AB19" s="267">
        <f>IFERROR(VLOOKUP($A19,Supp_64,14,FALSE),0)+IFERROR(SUMPRODUCT(VLOOKUP($A19,S275_01,{41,42,43},FALSE)),0)+IFERROR(SUMPRODUCT(VLOOKUP($A19,S275_97,{41,42,43},FALSE)),0)+IFERROR(ROUND(VLOOKUP($A19,S275_21,41,FALSE)*VLOOKUP($A19,'3121% SY'!$C$3:$M$324,11,FALSE),3),0)+IFERROR(ROUND(VLOOKUP($A19,S275_21,42,FALSE)*VLOOKUP($A19,'3121% SY'!$C$3:$M$324,11,FALSE),3),0)+IFERROR(ROUND(VLOOKUP($A19,S275_21,43,FALSE)*VLOOKUP($A19,'3121% SY'!$C$3:$M$324,11,FALSE),3),0)+IFERROR(VLOOKUP($A19,S275_09,15,FALSE),0)</f>
        <v>0</v>
      </c>
      <c r="AC19" s="268">
        <f t="shared" si="17"/>
        <v>5.2160000000000002</v>
      </c>
      <c r="AD19" s="267">
        <f>IFERROR(VLOOKUP($A19,Supp_24,14,FALSE),0)+IFERROR(SUMPRODUCT(VLOOKUP($A19,S275_01,{2,3,4},FALSE)),0)+IFERROR(SUMPRODUCT(VLOOKUP($A19,S275_97,{2,3,4},FALSE)),0)+IFERROR(ROUND(VLOOKUP($A19,S275_21,2,FALSE)*VLOOKUP($A19,'3121% SY'!$C$3:$M$324,11,FALSE),3),0)+IFERROR(ROUND(VLOOKUP($A19,S275_21,3,FALSE)*VLOOKUP($A19,'3121% SY'!$C$3:$M$324,11,FALSE),3),0)+IFERROR(ROUND(VLOOKUP($A19,S275_21,4,FALSE)*VLOOKUP($A19,'3121% SY'!$C$3:$M$324,11,FALSE),3),0)+IFERROR(VLOOKUP($A19,S275_09,2,FALSE),0)</f>
        <v>0</v>
      </c>
      <c r="AE19" s="267">
        <f>IFERROR(VLOOKUP($A19,Supp_25,14,FALSE),0)+IFERROR(SUMPRODUCT(VLOOKUP($A19,S275_01,{5,6,7},FALSE)),0)+IFERROR(SUMPRODUCT(VLOOKUP($A19,S275_97,{5,6,7},FALSE)),0)+IFERROR(ROUND(VLOOKUP($A19,S275_21,5,FALSE)*VLOOKUP($A19,'3121% SY'!$C$3:$M$324,11,FALSE),3),0)+IFERROR(ROUND(VLOOKUP($A19,S275_21,6,FALSE)*VLOOKUP($A19,'3121% SY'!$C$3:$M$324,11,FALSE),3),0)+IFERROR(ROUND(VLOOKUP($A19,S275_21,7,FALSE)*VLOOKUP($A19,'3121% SY'!$C$3:$M$324,11,FALSE),3),0)+IFERROR(VLOOKUP($A19,S275_09,3,FALSE),0)</f>
        <v>0</v>
      </c>
      <c r="AF19" s="267">
        <f>IFERROR(VLOOKUP($A19,Supp_26,14,FALSE),0)+IFERROR(SUMPRODUCT(VLOOKUP($A19,S275_01,{8,9,10},FALSE)),0)+IFERROR(SUMPRODUCT(VLOOKUP($A19,S275_97,{8,9,10},FALSE)),0)+IFERROR(ROUND(VLOOKUP($A19,S275_21,8,FALSE)*VLOOKUP($A19,'3121% SY'!$C$3:$M$324,11,FALSE),3),0)+IFERROR(ROUND(VLOOKUP($A19,S275_21,9,FALSE)*VLOOKUP($A19,'3121% SY'!$C$3:$M$324,11,FALSE),3),0)+IFERROR(ROUND(VLOOKUP($A19,S275_21,10,FALSE)*VLOOKUP($A19,'3121% SY'!$C$3:$M$324,11,FALSE),3),0)+IFERROR(VLOOKUP($A19,S275_09,4,FALSE),0)</f>
        <v>0.64400000000000002</v>
      </c>
      <c r="AG19" s="267">
        <f>IFERROR(VLOOKUP($A19,Supp_35,14,FALSE),0)+IFERROR(SUMPRODUCT(VLOOKUP($A19,S275_01,{11,12,13},FALSE)),0)+IFERROR(SUMPRODUCT(VLOOKUP($A19,S275_97,{11,12,13},FALSE)),0)+IFERROR(ROUND(VLOOKUP($A19,S275_21,11,FALSE)*VLOOKUP($A19,'3121% SY'!$C$3:$M$324,11,FALSE),3),0)+IFERROR(ROUND(VLOOKUP($A19,S275_21,12,FALSE)*VLOOKUP($A19,'3121% SY'!$C$3:$M$324,11,FALSE),3),0)+IFERROR(ROUND(VLOOKUP($A19,S275_21,13,FALSE)*VLOOKUP($A19,'3121% SY'!$C$3:$M$324,11,FALSE),3),0)+IFERROR(VLOOKUP($A19,S275_09,5,FALSE),0)</f>
        <v>0</v>
      </c>
      <c r="AH19" s="165">
        <f t="shared" si="15"/>
        <v>0.64400000000000002</v>
      </c>
      <c r="AI19" s="161">
        <f>IFERROR(VLOOKUP(A19,'Supp Staff Data'!A:ER,148,FALSE),0)+AB19</f>
        <v>0</v>
      </c>
      <c r="AJ19" s="174">
        <v>0</v>
      </c>
      <c r="AK19" s="25">
        <f>VLOOKUP(A19,'Enroll Data as of January 2025'!$A$3:$T$323,20,FALSE)-F19</f>
        <v>0</v>
      </c>
    </row>
    <row r="20" spans="1:37" x14ac:dyDescent="0.25">
      <c r="A20" s="171" t="s">
        <v>159</v>
      </c>
      <c r="B20" t="s">
        <v>455</v>
      </c>
      <c r="C20" s="173" t="s">
        <v>1077</v>
      </c>
      <c r="D20" s="259">
        <f t="shared" si="9"/>
        <v>1.143</v>
      </c>
      <c r="E20" s="259">
        <f t="shared" si="10"/>
        <v>0.442</v>
      </c>
      <c r="F20" s="262">
        <f t="shared" si="16"/>
        <v>-0.70099999999999996</v>
      </c>
      <c r="G20" s="161">
        <f>ROUND(IF(F20&lt;0,F20*'2024-25 PSES Compliance'!$G$13,0),3)</f>
        <v>-0.67300000000000004</v>
      </c>
      <c r="H20" s="161">
        <f>ROUND(IF(F20&lt;0,F20*'2024-25 PSES Compliance'!$G$14,0),3)</f>
        <v>-2.8000000000000001E-2</v>
      </c>
      <c r="I20" s="174">
        <f t="shared" si="11"/>
        <v>0</v>
      </c>
      <c r="J20" s="174">
        <f t="shared" si="12"/>
        <v>0</v>
      </c>
      <c r="K20" s="161">
        <f>VLOOKUP($A20,'Enroll Data as of January 2025'!$A$3:$M$322,6,FALSE)</f>
        <v>0.54599999999999993</v>
      </c>
      <c r="L20" s="161">
        <f>VLOOKUP($A20,'Enroll Data as of January 2025'!$A$3:$M$322,7,FALSE)</f>
        <v>0.151</v>
      </c>
      <c r="M20" s="161">
        <f>VLOOKUP($A20,'Enroll Data as of January 2025'!$A$3:$M$322,8,FALSE)</f>
        <v>0.05</v>
      </c>
      <c r="N20" s="161">
        <f>VLOOKUP($A20,'Enroll Data as of January 2025'!$A$3:$M$322,9,FALSE)</f>
        <v>0.316</v>
      </c>
      <c r="O20" s="165">
        <f t="shared" si="13"/>
        <v>1.0629999999999999</v>
      </c>
      <c r="P20" s="161">
        <f>VLOOKUP($A20,'Enroll Data as of January 2025'!$A$3:$M$322,11,FALSE)</f>
        <v>4.0999999999999995E-2</v>
      </c>
      <c r="Q20" s="161">
        <f>VLOOKUP($A20,'Enroll Data as of January 2025'!$A$3:$M$322,12,FALSE)</f>
        <v>3.9E-2</v>
      </c>
      <c r="R20" s="165">
        <f t="shared" si="14"/>
        <v>7.9999999999999988E-2</v>
      </c>
      <c r="S20" s="267">
        <f>IFERROR(VLOOKUP($A20,Supp_39,14,FALSE),0)+IFERROR(SUMPRODUCT(VLOOKUP($A20,S275_01,{14,15,16},FALSE)),0)+IFERROR(SUMPRODUCT(VLOOKUP($A20,S275_97,{14,15,16},FALSE)),0)+IFERROR(ROUND(VLOOKUP($A20,S275_21,14,FALSE)*VLOOKUP($A20,'3121% SY'!$C$3:$M$324,11,FALSE),3),0)+IFERROR(ROUND(VLOOKUP($A20,S275_21,15,FALSE)*VLOOKUP($A20,'3121% SY'!$C$3:$M$324,11,FALSE),3),0)+IFERROR(ROUND(VLOOKUP($A20,S275_21,16,FALSE)*VLOOKUP($A20,'3121% SY'!$C$3:$M$324,11,FALSE),3),0)+IFERROR(VLOOKUP($A20,S275_09,6,FALSE),0)</f>
        <v>0.26600000000000001</v>
      </c>
      <c r="T20" s="267">
        <f>IFERROR(VLOOKUP($A20,Supp_42,14,FALSE),0)+IFERROR(SUMPRODUCT(VLOOKUP($A20,S275_01,{17,18,19},FALSE)),0)+IFERROR(SUMPRODUCT(VLOOKUP($A20,S275_97,{17,18,19},FALSE)),0)+IFERROR(ROUND(VLOOKUP($A20,S275_21,17,FALSE)*VLOOKUP($A20,'3121% SY'!$C$3:$M$324,11,FALSE),3),0)+IFERROR(ROUND(VLOOKUP($A20,S275_21,18,FALSE)*VLOOKUP($A20,'3121% SY'!$C$3:$M$324,11,FALSE),3),0)+IFERROR(ROUND(VLOOKUP($A20,S275_21,19,FALSE)*VLOOKUP($A20,'3121% SY'!$C$3:$M$324,11,FALSE),3),0)+IFERROR(VLOOKUP($A20,S275_09,7,FALSE),0)</f>
        <v>0</v>
      </c>
      <c r="U20" s="267">
        <f>IFERROR(VLOOKUP($A20,Supp_43,14,FALSE),0)+IFERROR(SUMPRODUCT(VLOOKUP($A20,S275_01,{20,21,22},FALSE)),0)+IFERROR(SUMPRODUCT(VLOOKUP($A20,S275_97,{20,21,22},FALSE)),0)+IFERROR(ROUND(VLOOKUP($A20,S275_21,20,FALSE)*VLOOKUP($A20,'3121% SY'!$C$3:$M$324,11,FALSE),3),0)+IFERROR(ROUND(VLOOKUP($A20,S275_21,21,FALSE)*VLOOKUP($A20,'3121% SY'!$C$3:$M$324,11,FALSE),3),0)+IFERROR(ROUND(VLOOKUP($A20,S275_21,22,FALSE)*VLOOKUP($A20,'3121% SY'!$C$3:$M$324,11,FALSE),3),0)+IFERROR(VLOOKUP($A20,S275_09,8,FALSE),0)</f>
        <v>0</v>
      </c>
      <c r="V20" s="267">
        <f>IFERROR(VLOOKUP($A20,Supp_44,14,FALSE),0)+IFERROR(SUMPRODUCT(VLOOKUP($A20,S275_01,{23,24,25},FALSE)),0)+IFERROR(SUMPRODUCT(VLOOKUP($A20,S275_97,{23,24,25},FALSE)),0)+IFERROR(ROUND(VLOOKUP($A20,S275_21,23,FALSE)*VLOOKUP($A20,'3121% SY'!$C$3:$M$324,11,FALSE),3),0)+IFERROR(ROUND(VLOOKUP($A20,S275_21,24,FALSE)*VLOOKUP($A20,'3121% SY'!$C$3:$M$324,11,FALSE),3),0)+IFERROR(ROUND(VLOOKUP($A20,S275_21,25,FALSE)*VLOOKUP($A20,'3121% SY'!$C$3:$M$324,11,FALSE),3),0)+IFERROR(VLOOKUP($A20,S275_09,9,FALSE),0)</f>
        <v>0</v>
      </c>
      <c r="W20" s="267">
        <f>IFERROR(VLOOKUP($A20,Supp_45,14,FALSE),0)+IFERROR(SUMPRODUCT(VLOOKUP($A20,S275_01,{26,27,28},FALSE)),0)+IFERROR(SUMPRODUCT(VLOOKUP($A20,S275_97,{26,27,28},FALSE)),0)+IFERROR(ROUND(VLOOKUP($A20,S275_21,26,FALSE)*VLOOKUP($A20,'3121% SY'!$C$3:$M$324,11,FALSE),3),0)+IFERROR(ROUND(VLOOKUP($A20,S275_21,27,FALSE)*VLOOKUP($A20,'3121% SY'!$C$3:$M$324,11,FALSE),3),0)+IFERROR(ROUND(VLOOKUP($A20,S275_21,28,FALSE)*VLOOKUP($A20,'3121% SY'!$C$3:$M$324,11,FALSE),3),0)+IFERROR(VLOOKUP($A20,S275_09,10,FALSE),0)</f>
        <v>0</v>
      </c>
      <c r="X20" s="267">
        <f>IFERROR(VLOOKUP($A20,Supp_46,14,FALSE),0)+IFERROR(SUMPRODUCT(VLOOKUP($A20,S275_01,{29,30,31},FALSE)),0)+IFERROR(SUMPRODUCT(VLOOKUP($A20,S275_97,{29,30,31},FALSE)),0)+IFERROR(ROUND(VLOOKUP($A20,S275_21,29,FALSE)*VLOOKUP($A20,'3121% SY'!$C$3:$M$324,11,FALSE),3),0)+IFERROR(ROUND(VLOOKUP($A20,S275_21,30,FALSE)*VLOOKUP($A20,'3121% SY'!$C$3:$M$324,11,FALSE),3),0)+IFERROR(ROUND(VLOOKUP($A20,S275_21,31,FALSE)*VLOOKUP($A20,'3121% SY'!$C$3:$M$324,11,FALSE),3),0)+IFERROR(VLOOKUP($A20,S275_09,11,FALSE),0)</f>
        <v>0</v>
      </c>
      <c r="Y20" s="267">
        <f>IFERROR(VLOOKUP($A20,Supp_47,14,FALSE),0)+IFERROR(SUMPRODUCT(VLOOKUP($A20,S275_01,{32,33,34},FALSE)),0)+IFERROR(SUMPRODUCT(VLOOKUP($A20,S275_97,{32,33,34},FALSE)),0)+IFERROR(ROUND(VLOOKUP($A20,S275_21,32,FALSE)*VLOOKUP($A20,'3121% SY'!$C$3:$M$324,11,FALSE),3),0)+IFERROR(ROUND(VLOOKUP($A20,S275_21,33,FALSE)*VLOOKUP($A20,'3121% SY'!$C$3:$M$324,11,FALSE),3),0)+IFERROR(ROUND(VLOOKUP($A20,S275_21,34,FALSE)*VLOOKUP($A20,'3121% SY'!$C$3:$M$324,11,FALSE),3),0)+IFERROR(VLOOKUP($A20,S275_09,12,FALSE),0)</f>
        <v>0</v>
      </c>
      <c r="Z20" s="267">
        <f>IFERROR(VLOOKUP($A20,Supp_48,14,FALSE),0)+IFERROR(SUMPRODUCT(VLOOKUP($A20,S275_01,{35,36,37},FALSE)),0)+IFERROR(SUMPRODUCT(VLOOKUP($A20,S275_97,{35,36,37},FALSE)),0)+IFERROR(ROUND(VLOOKUP($A20,S275_21,35,FALSE)*VLOOKUP($A20,'3121% SY'!$C$3:$M$324,11,FALSE),3),0)+IFERROR(ROUND(VLOOKUP($A20,S275_21,36,FALSE)*VLOOKUP($A20,'3121% SY'!$C$3:$M$324,11,FALSE),3),0)+IFERROR(ROUND(VLOOKUP($A20,S275_21,37,FALSE)*VLOOKUP($A20,'3121% SY'!$C$3:$M$324,11,FALSE),3),0)+IFERROR(VLOOKUP($A20,S275_09,13,FALSE),0)</f>
        <v>0</v>
      </c>
      <c r="AA20" s="267">
        <f>IFERROR(VLOOKUP($A20,Supp_49,14,FALSE),0)+IFERROR(SUMPRODUCT(VLOOKUP($A20,S275_01,{38,39,40},FALSE)),0)+IFERROR(SUMPRODUCT(VLOOKUP($A20,S275_97,{38,39,40},FALSE)),0)+IFERROR(ROUND(VLOOKUP($A20,S275_21,38,FALSE)*VLOOKUP($A20,'3121% SY'!$C$3:$M$324,11,FALSE),3),0)+IFERROR(ROUND(VLOOKUP($A20,S275_21,39,FALSE)*VLOOKUP($A20,'3121% SY'!$C$3:$M$324,11,FALSE),3),0)+IFERROR(ROUND(VLOOKUP($A20,S275_21,40,FALSE)*VLOOKUP($A20,'3121% SY'!$C$3:$M$324,11,FALSE),3),0)+IFERROR(VLOOKUP($A20,S275_09,14,FALSE),0)</f>
        <v>0</v>
      </c>
      <c r="AB20" s="267">
        <f>IFERROR(VLOOKUP($A20,Supp_64,14,FALSE),0)+IFERROR(SUMPRODUCT(VLOOKUP($A20,S275_01,{41,42,43},FALSE)),0)+IFERROR(SUMPRODUCT(VLOOKUP($A20,S275_97,{41,42,43},FALSE)),0)+IFERROR(ROUND(VLOOKUP($A20,S275_21,41,FALSE)*VLOOKUP($A20,'3121% SY'!$C$3:$M$324,11,FALSE),3),0)+IFERROR(ROUND(VLOOKUP($A20,S275_21,42,FALSE)*VLOOKUP($A20,'3121% SY'!$C$3:$M$324,11,FALSE),3),0)+IFERROR(ROUND(VLOOKUP($A20,S275_21,43,FALSE)*VLOOKUP($A20,'3121% SY'!$C$3:$M$324,11,FALSE),3),0)+IFERROR(VLOOKUP($A20,S275_09,15,FALSE),0)</f>
        <v>0</v>
      </c>
      <c r="AC20" s="268">
        <f t="shared" si="17"/>
        <v>0.26600000000000001</v>
      </c>
      <c r="AD20" s="267">
        <f>IFERROR(VLOOKUP($A20,Supp_24,14,FALSE),0)+IFERROR(SUMPRODUCT(VLOOKUP($A20,S275_01,{2,3,4},FALSE)),0)+IFERROR(SUMPRODUCT(VLOOKUP($A20,S275_97,{2,3,4},FALSE)),0)+IFERROR(ROUND(VLOOKUP($A20,S275_21,2,FALSE)*VLOOKUP($A20,'3121% SY'!$C$3:$M$324,11,FALSE),3),0)+IFERROR(ROUND(VLOOKUP($A20,S275_21,3,FALSE)*VLOOKUP($A20,'3121% SY'!$C$3:$M$324,11,FALSE),3),0)+IFERROR(ROUND(VLOOKUP($A20,S275_21,4,FALSE)*VLOOKUP($A20,'3121% SY'!$C$3:$M$324,11,FALSE),3),0)+IFERROR(VLOOKUP($A20,S275_09,2,FALSE),0)</f>
        <v>0</v>
      </c>
      <c r="AE20" s="267">
        <f>IFERROR(VLOOKUP($A20,Supp_25,14,FALSE),0)+IFERROR(SUMPRODUCT(VLOOKUP($A20,S275_01,{5,6,7},FALSE)),0)+IFERROR(SUMPRODUCT(VLOOKUP($A20,S275_97,{5,6,7},FALSE)),0)+IFERROR(ROUND(VLOOKUP($A20,S275_21,5,FALSE)*VLOOKUP($A20,'3121% SY'!$C$3:$M$324,11,FALSE),3),0)+IFERROR(ROUND(VLOOKUP($A20,S275_21,6,FALSE)*VLOOKUP($A20,'3121% SY'!$C$3:$M$324,11,FALSE),3),0)+IFERROR(ROUND(VLOOKUP($A20,S275_21,7,FALSE)*VLOOKUP($A20,'3121% SY'!$C$3:$M$324,11,FALSE),3),0)+IFERROR(VLOOKUP($A20,S275_09,3,FALSE),0)</f>
        <v>0</v>
      </c>
      <c r="AF20" s="267">
        <f>IFERROR(VLOOKUP($A20,Supp_26,14,FALSE),0)+IFERROR(SUMPRODUCT(VLOOKUP($A20,S275_01,{8,9,10},FALSE)),0)+IFERROR(SUMPRODUCT(VLOOKUP($A20,S275_97,{8,9,10},FALSE)),0)+IFERROR(ROUND(VLOOKUP($A20,S275_21,8,FALSE)*VLOOKUP($A20,'3121% SY'!$C$3:$M$324,11,FALSE),3),0)+IFERROR(ROUND(VLOOKUP($A20,S275_21,9,FALSE)*VLOOKUP($A20,'3121% SY'!$C$3:$M$324,11,FALSE),3),0)+IFERROR(ROUND(VLOOKUP($A20,S275_21,10,FALSE)*VLOOKUP($A20,'3121% SY'!$C$3:$M$324,11,FALSE),3),0)+IFERROR(VLOOKUP($A20,S275_09,4,FALSE),0)</f>
        <v>0.17599999999999999</v>
      </c>
      <c r="AG20" s="267">
        <f>IFERROR(VLOOKUP($A20,Supp_35,14,FALSE),0)+IFERROR(SUMPRODUCT(VLOOKUP($A20,S275_01,{11,12,13},FALSE)),0)+IFERROR(SUMPRODUCT(VLOOKUP($A20,S275_97,{11,12,13},FALSE)),0)+IFERROR(ROUND(VLOOKUP($A20,S275_21,11,FALSE)*VLOOKUP($A20,'3121% SY'!$C$3:$M$324,11,FALSE),3),0)+IFERROR(ROUND(VLOOKUP($A20,S275_21,12,FALSE)*VLOOKUP($A20,'3121% SY'!$C$3:$M$324,11,FALSE),3),0)+IFERROR(ROUND(VLOOKUP($A20,S275_21,13,FALSE)*VLOOKUP($A20,'3121% SY'!$C$3:$M$324,11,FALSE),3),0)+IFERROR(VLOOKUP($A20,S275_09,5,FALSE),0)</f>
        <v>0</v>
      </c>
      <c r="AH20" s="165">
        <f t="shared" si="15"/>
        <v>0.17599999999999999</v>
      </c>
      <c r="AI20" s="161">
        <f>IFERROR(VLOOKUP(A20,'Supp Staff Data'!A:ER,148,FALSE),0)+AB20</f>
        <v>0</v>
      </c>
      <c r="AJ20" s="174">
        <v>0</v>
      </c>
      <c r="AK20" s="25">
        <f>VLOOKUP(A20,'Enroll Data as of January 2025'!$A$3:$T$323,20,FALSE)-F20</f>
        <v>0</v>
      </c>
    </row>
    <row r="21" spans="1:37" x14ac:dyDescent="0.25">
      <c r="A21" s="171" t="s">
        <v>136</v>
      </c>
      <c r="B21" t="s">
        <v>432</v>
      </c>
      <c r="C21" s="173" t="s">
        <v>1077</v>
      </c>
      <c r="D21" s="259">
        <f t="shared" si="9"/>
        <v>5.7930000000000001</v>
      </c>
      <c r="E21" s="259">
        <f t="shared" si="10"/>
        <v>3.1240000000000001</v>
      </c>
      <c r="F21" s="262">
        <f t="shared" si="16"/>
        <v>-2.669</v>
      </c>
      <c r="G21" s="161">
        <f>ROUND(IF(F21&lt;0,F21*'2024-25 PSES Compliance'!$G$13,0),3)</f>
        <v>-2.5619999999999998</v>
      </c>
      <c r="H21" s="161">
        <f>ROUND(IF(F21&lt;0,F21*'2024-25 PSES Compliance'!$G$14,0),3)</f>
        <v>-0.107</v>
      </c>
      <c r="I21" s="174">
        <f t="shared" si="11"/>
        <v>0.3201024327784891</v>
      </c>
      <c r="J21" s="174">
        <f t="shared" si="12"/>
        <v>0</v>
      </c>
      <c r="K21" s="161">
        <f>VLOOKUP($A21,'Enroll Data as of January 2025'!$A$3:$M$322,6,FALSE)</f>
        <v>3.35</v>
      </c>
      <c r="L21" s="161">
        <f>VLOOKUP($A21,'Enroll Data as of January 2025'!$A$3:$M$322,7,FALSE)</f>
        <v>0.49200000000000005</v>
      </c>
      <c r="M21" s="161">
        <f>VLOOKUP($A21,'Enroll Data as of January 2025'!$A$3:$M$322,8,FALSE)</f>
        <v>0.16500000000000001</v>
      </c>
      <c r="N21" s="161">
        <f>VLOOKUP($A21,'Enroll Data as of January 2025'!$A$3:$M$322,9,FALSE)</f>
        <v>1.4769999999999999</v>
      </c>
      <c r="O21" s="165">
        <f t="shared" si="13"/>
        <v>5.484</v>
      </c>
      <c r="P21" s="161">
        <f>VLOOKUP($A21,'Enroll Data as of January 2025'!$A$3:$M$322,11,FALSE)</f>
        <v>0.20300000000000001</v>
      </c>
      <c r="Q21" s="161">
        <f>VLOOKUP($A21,'Enroll Data as of January 2025'!$A$3:$M$322,12,FALSE)</f>
        <v>0.106</v>
      </c>
      <c r="R21" s="165">
        <f t="shared" si="14"/>
        <v>0.309</v>
      </c>
      <c r="S21" s="267">
        <f>IFERROR(VLOOKUP($A21,Supp_39,14,FALSE),0)+IFERROR(SUMPRODUCT(VLOOKUP($A21,S275_01,{14,15,16},FALSE)),0)+IFERROR(SUMPRODUCT(VLOOKUP($A21,S275_97,{14,15,16},FALSE)),0)+IFERROR(ROUND(VLOOKUP($A21,S275_21,14,FALSE)*VLOOKUP($A21,'3121% SY'!$C$3:$M$324,11,FALSE),3),0)+IFERROR(ROUND(VLOOKUP($A21,S275_21,15,FALSE)*VLOOKUP($A21,'3121% SY'!$C$3:$M$324,11,FALSE),3),0)+IFERROR(ROUND(VLOOKUP($A21,S275_21,16,FALSE)*VLOOKUP($A21,'3121% SY'!$C$3:$M$324,11,FALSE),3),0)+IFERROR(VLOOKUP($A21,S275_09,6,FALSE),0)</f>
        <v>1</v>
      </c>
      <c r="T21" s="267">
        <f>IFERROR(VLOOKUP($A21,Supp_42,14,FALSE),0)+IFERROR(SUMPRODUCT(VLOOKUP($A21,S275_01,{17,18,19},FALSE)),0)+IFERROR(SUMPRODUCT(VLOOKUP($A21,S275_97,{17,18,19},FALSE)),0)+IFERROR(ROUND(VLOOKUP($A21,S275_21,17,FALSE)*VLOOKUP($A21,'3121% SY'!$C$3:$M$324,11,FALSE),3),0)+IFERROR(ROUND(VLOOKUP($A21,S275_21,18,FALSE)*VLOOKUP($A21,'3121% SY'!$C$3:$M$324,11,FALSE),3),0)+IFERROR(ROUND(VLOOKUP($A21,S275_21,19,FALSE)*VLOOKUP($A21,'3121% SY'!$C$3:$M$324,11,FALSE),3),0)+IFERROR(VLOOKUP($A21,S275_09,7,FALSE),0)</f>
        <v>0</v>
      </c>
      <c r="U21" s="267">
        <f>IFERROR(VLOOKUP($A21,Supp_43,14,FALSE),0)+IFERROR(SUMPRODUCT(VLOOKUP($A21,S275_01,{20,21,22},FALSE)),0)+IFERROR(SUMPRODUCT(VLOOKUP($A21,S275_97,{20,21,22},FALSE)),0)+IFERROR(ROUND(VLOOKUP($A21,S275_21,20,FALSE)*VLOOKUP($A21,'3121% SY'!$C$3:$M$324,11,FALSE),3),0)+IFERROR(ROUND(VLOOKUP($A21,S275_21,21,FALSE)*VLOOKUP($A21,'3121% SY'!$C$3:$M$324,11,FALSE),3),0)+IFERROR(ROUND(VLOOKUP($A21,S275_21,22,FALSE)*VLOOKUP($A21,'3121% SY'!$C$3:$M$324,11,FALSE),3),0)+IFERROR(VLOOKUP($A21,S275_09,8,FALSE),0)</f>
        <v>0</v>
      </c>
      <c r="V21" s="267">
        <f>IFERROR(VLOOKUP($A21,Supp_44,14,FALSE),0)+IFERROR(SUMPRODUCT(VLOOKUP($A21,S275_01,{23,24,25},FALSE)),0)+IFERROR(SUMPRODUCT(VLOOKUP($A21,S275_97,{23,24,25},FALSE)),0)+IFERROR(ROUND(VLOOKUP($A21,S275_21,23,FALSE)*VLOOKUP($A21,'3121% SY'!$C$3:$M$324,11,FALSE),3),0)+IFERROR(ROUND(VLOOKUP($A21,S275_21,24,FALSE)*VLOOKUP($A21,'3121% SY'!$C$3:$M$324,11,FALSE),3),0)+IFERROR(ROUND(VLOOKUP($A21,S275_21,25,FALSE)*VLOOKUP($A21,'3121% SY'!$C$3:$M$324,11,FALSE),3),0)+IFERROR(VLOOKUP($A21,S275_09,9,FALSE),0)</f>
        <v>0</v>
      </c>
      <c r="W21" s="267">
        <f>IFERROR(VLOOKUP($A21,Supp_45,14,FALSE),0)+IFERROR(SUMPRODUCT(VLOOKUP($A21,S275_01,{26,27,28},FALSE)),0)+IFERROR(SUMPRODUCT(VLOOKUP($A21,S275_97,{26,27,28},FALSE)),0)+IFERROR(ROUND(VLOOKUP($A21,S275_21,26,FALSE)*VLOOKUP($A21,'3121% SY'!$C$3:$M$324,11,FALSE),3),0)+IFERROR(ROUND(VLOOKUP($A21,S275_21,27,FALSE)*VLOOKUP($A21,'3121% SY'!$C$3:$M$324,11,FALSE),3),0)+IFERROR(ROUND(VLOOKUP($A21,S275_21,28,FALSE)*VLOOKUP($A21,'3121% SY'!$C$3:$M$324,11,FALSE),3),0)+IFERROR(VLOOKUP($A21,S275_09,10,FALSE),0)</f>
        <v>0</v>
      </c>
      <c r="X21" s="267">
        <f>IFERROR(VLOOKUP($A21,Supp_46,14,FALSE),0)+IFERROR(SUMPRODUCT(VLOOKUP($A21,S275_01,{29,30,31},FALSE)),0)+IFERROR(SUMPRODUCT(VLOOKUP($A21,S275_97,{29,30,31},FALSE)),0)+IFERROR(ROUND(VLOOKUP($A21,S275_21,29,FALSE)*VLOOKUP($A21,'3121% SY'!$C$3:$M$324,11,FALSE),3),0)+IFERROR(ROUND(VLOOKUP($A21,S275_21,30,FALSE)*VLOOKUP($A21,'3121% SY'!$C$3:$M$324,11,FALSE),3),0)+IFERROR(ROUND(VLOOKUP($A21,S275_21,31,FALSE)*VLOOKUP($A21,'3121% SY'!$C$3:$M$324,11,FALSE),3),0)+IFERROR(VLOOKUP($A21,S275_09,11,FALSE),0)</f>
        <v>0</v>
      </c>
      <c r="Y21" s="267">
        <f>IFERROR(VLOOKUP($A21,Supp_47,14,FALSE),0)+IFERROR(SUMPRODUCT(VLOOKUP($A21,S275_01,{32,33,34},FALSE)),0)+IFERROR(SUMPRODUCT(VLOOKUP($A21,S275_97,{32,33,34},FALSE)),0)+IFERROR(ROUND(VLOOKUP($A21,S275_21,32,FALSE)*VLOOKUP($A21,'3121% SY'!$C$3:$M$324,11,FALSE),3),0)+IFERROR(ROUND(VLOOKUP($A21,S275_21,33,FALSE)*VLOOKUP($A21,'3121% SY'!$C$3:$M$324,11,FALSE),3),0)+IFERROR(ROUND(VLOOKUP($A21,S275_21,34,FALSE)*VLOOKUP($A21,'3121% SY'!$C$3:$M$324,11,FALSE),3),0)+IFERROR(VLOOKUP($A21,S275_09,12,FALSE),0)</f>
        <v>0</v>
      </c>
      <c r="Z21" s="267">
        <f>IFERROR(VLOOKUP($A21,Supp_48,14,FALSE),0)+IFERROR(SUMPRODUCT(VLOOKUP($A21,S275_01,{35,36,37},FALSE)),0)+IFERROR(SUMPRODUCT(VLOOKUP($A21,S275_97,{35,36,37},FALSE)),0)+IFERROR(ROUND(VLOOKUP($A21,S275_21,35,FALSE)*VLOOKUP($A21,'3121% SY'!$C$3:$M$324,11,FALSE),3),0)+IFERROR(ROUND(VLOOKUP($A21,S275_21,36,FALSE)*VLOOKUP($A21,'3121% SY'!$C$3:$M$324,11,FALSE),3),0)+IFERROR(ROUND(VLOOKUP($A21,S275_21,37,FALSE)*VLOOKUP($A21,'3121% SY'!$C$3:$M$324,11,FALSE),3),0)+IFERROR(VLOOKUP($A21,S275_09,13,FALSE),0)</f>
        <v>0</v>
      </c>
      <c r="AA21" s="267">
        <f>IFERROR(VLOOKUP($A21,Supp_49,14,FALSE),0)+IFERROR(SUMPRODUCT(VLOOKUP($A21,S275_01,{38,39,40},FALSE)),0)+IFERROR(SUMPRODUCT(VLOOKUP($A21,S275_97,{38,39,40},FALSE)),0)+IFERROR(ROUND(VLOOKUP($A21,S275_21,38,FALSE)*VLOOKUP($A21,'3121% SY'!$C$3:$M$324,11,FALSE),3),0)+IFERROR(ROUND(VLOOKUP($A21,S275_21,39,FALSE)*VLOOKUP($A21,'3121% SY'!$C$3:$M$324,11,FALSE),3),0)+IFERROR(ROUND(VLOOKUP($A21,S275_21,40,FALSE)*VLOOKUP($A21,'3121% SY'!$C$3:$M$324,11,FALSE),3),0)+IFERROR(VLOOKUP($A21,S275_09,14,FALSE),0)</f>
        <v>0</v>
      </c>
      <c r="AB21" s="267">
        <f>IFERROR(VLOOKUP($A21,Supp_64,14,FALSE),0)+IFERROR(SUMPRODUCT(VLOOKUP($A21,S275_01,{41,42,43},FALSE)),0)+IFERROR(SUMPRODUCT(VLOOKUP($A21,S275_97,{41,42,43},FALSE)),0)+IFERROR(ROUND(VLOOKUP($A21,S275_21,41,FALSE)*VLOOKUP($A21,'3121% SY'!$C$3:$M$324,11,FALSE),3),0)+IFERROR(ROUND(VLOOKUP($A21,S275_21,42,FALSE)*VLOOKUP($A21,'3121% SY'!$C$3:$M$324,11,FALSE),3),0)+IFERROR(ROUND(VLOOKUP($A21,S275_21,43,FALSE)*VLOOKUP($A21,'3121% SY'!$C$3:$M$324,11,FALSE),3),0)+IFERROR(VLOOKUP($A21,S275_09,15,FALSE),0)</f>
        <v>0</v>
      </c>
      <c r="AC21" s="268">
        <f t="shared" si="17"/>
        <v>1</v>
      </c>
      <c r="AD21" s="267">
        <f>IFERROR(VLOOKUP($A21,Supp_24,14,FALSE),0)+IFERROR(SUMPRODUCT(VLOOKUP($A21,S275_01,{2,3,4},FALSE)),0)+IFERROR(SUMPRODUCT(VLOOKUP($A21,S275_97,{2,3,4},FALSE)),0)+IFERROR(ROUND(VLOOKUP($A21,S275_21,2,FALSE)*VLOOKUP($A21,'3121% SY'!$C$3:$M$324,11,FALSE),3),0)+IFERROR(ROUND(VLOOKUP($A21,S275_21,3,FALSE)*VLOOKUP($A21,'3121% SY'!$C$3:$M$324,11,FALSE),3),0)+IFERROR(ROUND(VLOOKUP($A21,S275_21,4,FALSE)*VLOOKUP($A21,'3121% SY'!$C$3:$M$324,11,FALSE),3),0)+IFERROR(VLOOKUP($A21,S275_09,2,FALSE),0)</f>
        <v>1.0940000000000001</v>
      </c>
      <c r="AE21" s="267">
        <f>IFERROR(VLOOKUP($A21,Supp_25,14,FALSE),0)+IFERROR(SUMPRODUCT(VLOOKUP($A21,S275_01,{5,6,7},FALSE)),0)+IFERROR(SUMPRODUCT(VLOOKUP($A21,S275_97,{5,6,7},FALSE)),0)+IFERROR(ROUND(VLOOKUP($A21,S275_21,5,FALSE)*VLOOKUP($A21,'3121% SY'!$C$3:$M$324,11,FALSE),3),0)+IFERROR(ROUND(VLOOKUP($A21,S275_21,6,FALSE)*VLOOKUP($A21,'3121% SY'!$C$3:$M$324,11,FALSE),3),0)+IFERROR(ROUND(VLOOKUP($A21,S275_21,7,FALSE)*VLOOKUP($A21,'3121% SY'!$C$3:$M$324,11,FALSE),3),0)+IFERROR(VLOOKUP($A21,S275_09,3,FALSE),0)</f>
        <v>1.03</v>
      </c>
      <c r="AF21" s="267">
        <f>IFERROR(VLOOKUP($A21,Supp_26,14,FALSE),0)+IFERROR(SUMPRODUCT(VLOOKUP($A21,S275_01,{8,9,10},FALSE)),0)+IFERROR(SUMPRODUCT(VLOOKUP($A21,S275_97,{8,9,10},FALSE)),0)+IFERROR(ROUND(VLOOKUP($A21,S275_21,8,FALSE)*VLOOKUP($A21,'3121% SY'!$C$3:$M$324,11,FALSE),3),0)+IFERROR(ROUND(VLOOKUP($A21,S275_21,9,FALSE)*VLOOKUP($A21,'3121% SY'!$C$3:$M$324,11,FALSE),3),0)+IFERROR(ROUND(VLOOKUP($A21,S275_21,10,FALSE)*VLOOKUP($A21,'3121% SY'!$C$3:$M$324,11,FALSE),3),0)+IFERROR(VLOOKUP($A21,S275_09,4,FALSE),0)</f>
        <v>0</v>
      </c>
      <c r="AG21" s="267">
        <f>IFERROR(VLOOKUP($A21,Supp_35,14,FALSE),0)+IFERROR(SUMPRODUCT(VLOOKUP($A21,S275_01,{11,12,13},FALSE)),0)+IFERROR(SUMPRODUCT(VLOOKUP($A21,S275_97,{11,12,13},FALSE)),0)+IFERROR(ROUND(VLOOKUP($A21,S275_21,11,FALSE)*VLOOKUP($A21,'3121% SY'!$C$3:$M$324,11,FALSE),3),0)+IFERROR(ROUND(VLOOKUP($A21,S275_21,12,FALSE)*VLOOKUP($A21,'3121% SY'!$C$3:$M$324,11,FALSE),3),0)+IFERROR(ROUND(VLOOKUP($A21,S275_21,13,FALSE)*VLOOKUP($A21,'3121% SY'!$C$3:$M$324,11,FALSE),3),0)+IFERROR(VLOOKUP($A21,S275_09,5,FALSE),0)</f>
        <v>0</v>
      </c>
      <c r="AH21" s="165">
        <f t="shared" si="15"/>
        <v>2.1240000000000001</v>
      </c>
      <c r="AI21" s="161">
        <f>IFERROR(VLOOKUP(A21,'Supp Staff Data'!A:ER,148,FALSE),0)+AB21</f>
        <v>0</v>
      </c>
      <c r="AJ21" s="174">
        <v>1</v>
      </c>
      <c r="AK21" s="25">
        <f>VLOOKUP(A21,'Enroll Data as of January 2025'!$A$3:$T$323,20,FALSE)-F21</f>
        <v>0</v>
      </c>
    </row>
    <row r="22" spans="1:37" x14ac:dyDescent="0.25">
      <c r="A22" s="171" t="s">
        <v>129</v>
      </c>
      <c r="B22" t="s">
        <v>425</v>
      </c>
      <c r="C22" s="173" t="s">
        <v>1077</v>
      </c>
      <c r="D22" s="259">
        <f t="shared" si="9"/>
        <v>0.54400000000000004</v>
      </c>
      <c r="E22" s="259">
        <f t="shared" si="10"/>
        <v>0</v>
      </c>
      <c r="F22" s="262">
        <f t="shared" si="16"/>
        <v>-0.54400000000000004</v>
      </c>
      <c r="G22" s="161">
        <f>ROUND(IF(F22&lt;0,F22*'2024-25 PSES Compliance'!$G$13,0),3)</f>
        <v>-0.52200000000000002</v>
      </c>
      <c r="H22" s="161">
        <f>ROUND(IF(F22&lt;0,F22*'2024-25 PSES Compliance'!$G$14,0),3)</f>
        <v>-2.1999999999999999E-2</v>
      </c>
      <c r="I22" s="174">
        <f t="shared" si="11"/>
        <v>0</v>
      </c>
      <c r="J22" s="174">
        <f t="shared" si="12"/>
        <v>0</v>
      </c>
      <c r="K22" s="161">
        <f>VLOOKUP($A22,'Enroll Data as of January 2025'!$A$3:$M$322,6,FALSE)</f>
        <v>0.30000000000000004</v>
      </c>
      <c r="L22" s="161">
        <f>VLOOKUP($A22,'Enroll Data as of January 2025'!$A$3:$M$322,7,FALSE)</f>
        <v>0.05</v>
      </c>
      <c r="M22" s="161">
        <f>VLOOKUP($A22,'Enroll Data as of January 2025'!$A$3:$M$322,8,FALSE)</f>
        <v>1.7000000000000001E-2</v>
      </c>
      <c r="N22" s="161">
        <f>VLOOKUP($A22,'Enroll Data as of January 2025'!$A$3:$M$322,9,FALSE)</f>
        <v>0.14599999999999999</v>
      </c>
      <c r="O22" s="165">
        <f t="shared" si="13"/>
        <v>0.51300000000000001</v>
      </c>
      <c r="P22" s="161">
        <f>VLOOKUP($A22,'Enroll Data as of January 2025'!$A$3:$M$322,11,FALSE)</f>
        <v>1.9E-2</v>
      </c>
      <c r="Q22" s="161">
        <f>VLOOKUP($A22,'Enroll Data as of January 2025'!$A$3:$M$322,12,FALSE)</f>
        <v>1.2E-2</v>
      </c>
      <c r="R22" s="165">
        <f t="shared" si="14"/>
        <v>3.1E-2</v>
      </c>
      <c r="S22" s="267">
        <f>IFERROR(VLOOKUP($A22,Supp_39,14,FALSE),0)+IFERROR(SUMPRODUCT(VLOOKUP($A22,S275_01,{14,15,16},FALSE)),0)+IFERROR(SUMPRODUCT(VLOOKUP($A22,S275_97,{14,15,16},FALSE)),0)+IFERROR(ROUND(VLOOKUP($A22,S275_21,14,FALSE)*VLOOKUP($A22,'3121% SY'!$C$3:$M$324,11,FALSE),3),0)+IFERROR(ROUND(VLOOKUP($A22,S275_21,15,FALSE)*VLOOKUP($A22,'3121% SY'!$C$3:$M$324,11,FALSE),3),0)+IFERROR(ROUND(VLOOKUP($A22,S275_21,16,FALSE)*VLOOKUP($A22,'3121% SY'!$C$3:$M$324,11,FALSE),3),0)+IFERROR(VLOOKUP($A22,S275_09,6,FALSE),0)</f>
        <v>0</v>
      </c>
      <c r="T22" s="267">
        <f>IFERROR(VLOOKUP($A22,Supp_42,14,FALSE),0)+IFERROR(SUMPRODUCT(VLOOKUP($A22,S275_01,{17,18,19},FALSE)),0)+IFERROR(SUMPRODUCT(VLOOKUP($A22,S275_97,{17,18,19},FALSE)),0)+IFERROR(ROUND(VLOOKUP($A22,S275_21,17,FALSE)*VLOOKUP($A22,'3121% SY'!$C$3:$M$324,11,FALSE),3),0)+IFERROR(ROUND(VLOOKUP($A22,S275_21,18,FALSE)*VLOOKUP($A22,'3121% SY'!$C$3:$M$324,11,FALSE),3),0)+IFERROR(ROUND(VLOOKUP($A22,S275_21,19,FALSE)*VLOOKUP($A22,'3121% SY'!$C$3:$M$324,11,FALSE),3),0)+IFERROR(VLOOKUP($A22,S275_09,7,FALSE),0)</f>
        <v>0</v>
      </c>
      <c r="U22" s="267">
        <f>IFERROR(VLOOKUP($A22,Supp_43,14,FALSE),0)+IFERROR(SUMPRODUCT(VLOOKUP($A22,S275_01,{20,21,22},FALSE)),0)+IFERROR(SUMPRODUCT(VLOOKUP($A22,S275_97,{20,21,22},FALSE)),0)+IFERROR(ROUND(VLOOKUP($A22,S275_21,20,FALSE)*VLOOKUP($A22,'3121% SY'!$C$3:$M$324,11,FALSE),3),0)+IFERROR(ROUND(VLOOKUP($A22,S275_21,21,FALSE)*VLOOKUP($A22,'3121% SY'!$C$3:$M$324,11,FALSE),3),0)+IFERROR(ROUND(VLOOKUP($A22,S275_21,22,FALSE)*VLOOKUP($A22,'3121% SY'!$C$3:$M$324,11,FALSE),3),0)+IFERROR(VLOOKUP($A22,S275_09,8,FALSE),0)</f>
        <v>0</v>
      </c>
      <c r="V22" s="267">
        <f>IFERROR(VLOOKUP($A22,Supp_44,14,FALSE),0)+IFERROR(SUMPRODUCT(VLOOKUP($A22,S275_01,{23,24,25},FALSE)),0)+IFERROR(SUMPRODUCT(VLOOKUP($A22,S275_97,{23,24,25},FALSE)),0)+IFERROR(ROUND(VLOOKUP($A22,S275_21,23,FALSE)*VLOOKUP($A22,'3121% SY'!$C$3:$M$324,11,FALSE),3),0)+IFERROR(ROUND(VLOOKUP($A22,S275_21,24,FALSE)*VLOOKUP($A22,'3121% SY'!$C$3:$M$324,11,FALSE),3),0)+IFERROR(ROUND(VLOOKUP($A22,S275_21,25,FALSE)*VLOOKUP($A22,'3121% SY'!$C$3:$M$324,11,FALSE),3),0)+IFERROR(VLOOKUP($A22,S275_09,9,FALSE),0)</f>
        <v>0</v>
      </c>
      <c r="W22" s="267">
        <f>IFERROR(VLOOKUP($A22,Supp_45,14,FALSE),0)+IFERROR(SUMPRODUCT(VLOOKUP($A22,S275_01,{26,27,28},FALSE)),0)+IFERROR(SUMPRODUCT(VLOOKUP($A22,S275_97,{26,27,28},FALSE)),0)+IFERROR(ROUND(VLOOKUP($A22,S275_21,26,FALSE)*VLOOKUP($A22,'3121% SY'!$C$3:$M$324,11,FALSE),3),0)+IFERROR(ROUND(VLOOKUP($A22,S275_21,27,FALSE)*VLOOKUP($A22,'3121% SY'!$C$3:$M$324,11,FALSE),3),0)+IFERROR(ROUND(VLOOKUP($A22,S275_21,28,FALSE)*VLOOKUP($A22,'3121% SY'!$C$3:$M$324,11,FALSE),3),0)+IFERROR(VLOOKUP($A22,S275_09,10,FALSE),0)</f>
        <v>0</v>
      </c>
      <c r="X22" s="267">
        <f>IFERROR(VLOOKUP($A22,Supp_46,14,FALSE),0)+IFERROR(SUMPRODUCT(VLOOKUP($A22,S275_01,{29,30,31},FALSE)),0)+IFERROR(SUMPRODUCT(VLOOKUP($A22,S275_97,{29,30,31},FALSE)),0)+IFERROR(ROUND(VLOOKUP($A22,S275_21,29,FALSE)*VLOOKUP($A22,'3121% SY'!$C$3:$M$324,11,FALSE),3),0)+IFERROR(ROUND(VLOOKUP($A22,S275_21,30,FALSE)*VLOOKUP($A22,'3121% SY'!$C$3:$M$324,11,FALSE),3),0)+IFERROR(ROUND(VLOOKUP($A22,S275_21,31,FALSE)*VLOOKUP($A22,'3121% SY'!$C$3:$M$324,11,FALSE),3),0)+IFERROR(VLOOKUP($A22,S275_09,11,FALSE),0)</f>
        <v>0</v>
      </c>
      <c r="Y22" s="267">
        <f>IFERROR(VLOOKUP($A22,Supp_47,14,FALSE),0)+IFERROR(SUMPRODUCT(VLOOKUP($A22,S275_01,{32,33,34},FALSE)),0)+IFERROR(SUMPRODUCT(VLOOKUP($A22,S275_97,{32,33,34},FALSE)),0)+IFERROR(ROUND(VLOOKUP($A22,S275_21,32,FALSE)*VLOOKUP($A22,'3121% SY'!$C$3:$M$324,11,FALSE),3),0)+IFERROR(ROUND(VLOOKUP($A22,S275_21,33,FALSE)*VLOOKUP($A22,'3121% SY'!$C$3:$M$324,11,FALSE),3),0)+IFERROR(ROUND(VLOOKUP($A22,S275_21,34,FALSE)*VLOOKUP($A22,'3121% SY'!$C$3:$M$324,11,FALSE),3),0)+IFERROR(VLOOKUP($A22,S275_09,12,FALSE),0)</f>
        <v>0</v>
      </c>
      <c r="Z22" s="267">
        <f>IFERROR(VLOOKUP($A22,Supp_48,14,FALSE),0)+IFERROR(SUMPRODUCT(VLOOKUP($A22,S275_01,{35,36,37},FALSE)),0)+IFERROR(SUMPRODUCT(VLOOKUP($A22,S275_97,{35,36,37},FALSE)),0)+IFERROR(ROUND(VLOOKUP($A22,S275_21,35,FALSE)*VLOOKUP($A22,'3121% SY'!$C$3:$M$324,11,FALSE),3),0)+IFERROR(ROUND(VLOOKUP($A22,S275_21,36,FALSE)*VLOOKUP($A22,'3121% SY'!$C$3:$M$324,11,FALSE),3),0)+IFERROR(ROUND(VLOOKUP($A22,S275_21,37,FALSE)*VLOOKUP($A22,'3121% SY'!$C$3:$M$324,11,FALSE),3),0)+IFERROR(VLOOKUP($A22,S275_09,13,FALSE),0)</f>
        <v>0</v>
      </c>
      <c r="AA22" s="267">
        <f>IFERROR(VLOOKUP($A22,Supp_49,14,FALSE),0)+IFERROR(SUMPRODUCT(VLOOKUP($A22,S275_01,{38,39,40},FALSE)),0)+IFERROR(SUMPRODUCT(VLOOKUP($A22,S275_97,{38,39,40},FALSE)),0)+IFERROR(ROUND(VLOOKUP($A22,S275_21,38,FALSE)*VLOOKUP($A22,'3121% SY'!$C$3:$M$324,11,FALSE),3),0)+IFERROR(ROUND(VLOOKUP($A22,S275_21,39,FALSE)*VLOOKUP($A22,'3121% SY'!$C$3:$M$324,11,FALSE),3),0)+IFERROR(ROUND(VLOOKUP($A22,S275_21,40,FALSE)*VLOOKUP($A22,'3121% SY'!$C$3:$M$324,11,FALSE),3),0)+IFERROR(VLOOKUP($A22,S275_09,14,FALSE),0)</f>
        <v>0</v>
      </c>
      <c r="AB22" s="267">
        <f>IFERROR(VLOOKUP($A22,Supp_64,14,FALSE),0)+IFERROR(SUMPRODUCT(VLOOKUP($A22,S275_01,{41,42,43},FALSE)),0)+IFERROR(SUMPRODUCT(VLOOKUP($A22,S275_97,{41,42,43},FALSE)),0)+IFERROR(ROUND(VLOOKUP($A22,S275_21,41,FALSE)*VLOOKUP($A22,'3121% SY'!$C$3:$M$324,11,FALSE),3),0)+IFERROR(ROUND(VLOOKUP($A22,S275_21,42,FALSE)*VLOOKUP($A22,'3121% SY'!$C$3:$M$324,11,FALSE),3),0)+IFERROR(ROUND(VLOOKUP($A22,S275_21,43,FALSE)*VLOOKUP($A22,'3121% SY'!$C$3:$M$324,11,FALSE),3),0)+IFERROR(VLOOKUP($A22,S275_09,15,FALSE),0)</f>
        <v>0</v>
      </c>
      <c r="AC22" s="268">
        <f t="shared" si="17"/>
        <v>0</v>
      </c>
      <c r="AD22" s="267">
        <f>IFERROR(VLOOKUP($A22,Supp_24,14,FALSE),0)+IFERROR(SUMPRODUCT(VLOOKUP($A22,S275_01,{2,3,4},FALSE)),0)+IFERROR(SUMPRODUCT(VLOOKUP($A22,S275_97,{2,3,4},FALSE)),0)+IFERROR(ROUND(VLOOKUP($A22,S275_21,2,FALSE)*VLOOKUP($A22,'3121% SY'!$C$3:$M$324,11,FALSE),3),0)+IFERROR(ROUND(VLOOKUP($A22,S275_21,3,FALSE)*VLOOKUP($A22,'3121% SY'!$C$3:$M$324,11,FALSE),3),0)+IFERROR(ROUND(VLOOKUP($A22,S275_21,4,FALSE)*VLOOKUP($A22,'3121% SY'!$C$3:$M$324,11,FALSE),3),0)+IFERROR(VLOOKUP($A22,S275_09,2,FALSE),0)</f>
        <v>0</v>
      </c>
      <c r="AE22" s="267">
        <f>IFERROR(VLOOKUP($A22,Supp_25,14,FALSE),0)+IFERROR(SUMPRODUCT(VLOOKUP($A22,S275_01,{5,6,7},FALSE)),0)+IFERROR(SUMPRODUCT(VLOOKUP($A22,S275_97,{5,6,7},FALSE)),0)+IFERROR(ROUND(VLOOKUP($A22,S275_21,5,FALSE)*VLOOKUP($A22,'3121% SY'!$C$3:$M$324,11,FALSE),3),0)+IFERROR(ROUND(VLOOKUP($A22,S275_21,6,FALSE)*VLOOKUP($A22,'3121% SY'!$C$3:$M$324,11,FALSE),3),0)+IFERROR(ROUND(VLOOKUP($A22,S275_21,7,FALSE)*VLOOKUP($A22,'3121% SY'!$C$3:$M$324,11,FALSE),3),0)+IFERROR(VLOOKUP($A22,S275_09,3,FALSE),0)</f>
        <v>0</v>
      </c>
      <c r="AF22" s="267">
        <f>IFERROR(VLOOKUP($A22,Supp_26,14,FALSE),0)+IFERROR(SUMPRODUCT(VLOOKUP($A22,S275_01,{8,9,10},FALSE)),0)+IFERROR(SUMPRODUCT(VLOOKUP($A22,S275_97,{8,9,10},FALSE)),0)+IFERROR(ROUND(VLOOKUP($A22,S275_21,8,FALSE)*VLOOKUP($A22,'3121% SY'!$C$3:$M$324,11,FALSE),3),0)+IFERROR(ROUND(VLOOKUP($A22,S275_21,9,FALSE)*VLOOKUP($A22,'3121% SY'!$C$3:$M$324,11,FALSE),3),0)+IFERROR(ROUND(VLOOKUP($A22,S275_21,10,FALSE)*VLOOKUP($A22,'3121% SY'!$C$3:$M$324,11,FALSE),3),0)+IFERROR(VLOOKUP($A22,S275_09,4,FALSE),0)</f>
        <v>0</v>
      </c>
      <c r="AG22" s="267">
        <f>IFERROR(VLOOKUP($A22,Supp_35,14,FALSE),0)+IFERROR(SUMPRODUCT(VLOOKUP($A22,S275_01,{11,12,13},FALSE)),0)+IFERROR(SUMPRODUCT(VLOOKUP($A22,S275_97,{11,12,13},FALSE)),0)+IFERROR(ROUND(VLOOKUP($A22,S275_21,11,FALSE)*VLOOKUP($A22,'3121% SY'!$C$3:$M$324,11,FALSE),3),0)+IFERROR(ROUND(VLOOKUP($A22,S275_21,12,FALSE)*VLOOKUP($A22,'3121% SY'!$C$3:$M$324,11,FALSE),3),0)+IFERROR(ROUND(VLOOKUP($A22,S275_21,13,FALSE)*VLOOKUP($A22,'3121% SY'!$C$3:$M$324,11,FALSE),3),0)+IFERROR(VLOOKUP($A22,S275_09,5,FALSE),0)</f>
        <v>0</v>
      </c>
      <c r="AH22" s="165">
        <f t="shared" si="15"/>
        <v>0</v>
      </c>
      <c r="AI22" s="161">
        <f>IFERROR(VLOOKUP(A22,'Supp Staff Data'!A:ER,148,FALSE),0)+AB22</f>
        <v>0</v>
      </c>
      <c r="AJ22" s="174">
        <v>0</v>
      </c>
      <c r="AK22" s="25">
        <f>VLOOKUP(A22,'Enroll Data as of January 2025'!$A$3:$T$323,20,FALSE)-F22</f>
        <v>0</v>
      </c>
    </row>
    <row r="23" spans="1:37" x14ac:dyDescent="0.25">
      <c r="A23" s="171" t="s">
        <v>186</v>
      </c>
      <c r="B23" t="s">
        <v>482</v>
      </c>
      <c r="C23" s="173" t="s">
        <v>1077</v>
      </c>
      <c r="D23" s="259">
        <f t="shared" si="9"/>
        <v>0.99500000000000011</v>
      </c>
      <c r="E23" s="259">
        <f t="shared" si="10"/>
        <v>0</v>
      </c>
      <c r="F23" s="262">
        <f t="shared" si="16"/>
        <v>-0.995</v>
      </c>
      <c r="G23" s="161">
        <f>ROUND(IF(F23&lt;0,F23*'2024-25 PSES Compliance'!$G$13,0),3)</f>
        <v>-0.95499999999999996</v>
      </c>
      <c r="H23" s="161">
        <f>ROUND(IF(F23&lt;0,F23*'2024-25 PSES Compliance'!$G$14,0),3)</f>
        <v>-0.04</v>
      </c>
      <c r="I23" s="174">
        <f t="shared" si="11"/>
        <v>0</v>
      </c>
      <c r="J23" s="174">
        <f t="shared" si="12"/>
        <v>0</v>
      </c>
      <c r="K23" s="161">
        <f>VLOOKUP($A23,'Enroll Data as of January 2025'!$A$3:$M$322,6,FALSE)</f>
        <v>0.497</v>
      </c>
      <c r="L23" s="161">
        <f>VLOOKUP($A23,'Enroll Data as of January 2025'!$A$3:$M$322,7,FALSE)</f>
        <v>0.11499999999999999</v>
      </c>
      <c r="M23" s="161">
        <f>VLOOKUP($A23,'Enroll Data as of January 2025'!$A$3:$M$322,8,FALSE)</f>
        <v>3.7999999999999999E-2</v>
      </c>
      <c r="N23" s="161">
        <f>VLOOKUP($A23,'Enroll Data as of January 2025'!$A$3:$M$322,9,FALSE)</f>
        <v>0.28200000000000003</v>
      </c>
      <c r="O23" s="165">
        <f t="shared" si="13"/>
        <v>0.93200000000000005</v>
      </c>
      <c r="P23" s="161">
        <f>VLOOKUP($A23,'Enroll Data as of January 2025'!$A$3:$M$322,11,FALSE)</f>
        <v>3.5000000000000003E-2</v>
      </c>
      <c r="Q23" s="161">
        <f>VLOOKUP($A23,'Enroll Data as of January 2025'!$A$3:$M$322,12,FALSE)</f>
        <v>2.8000000000000001E-2</v>
      </c>
      <c r="R23" s="165">
        <f t="shared" si="14"/>
        <v>6.3E-2</v>
      </c>
      <c r="S23" s="267">
        <f>IFERROR(VLOOKUP($A23,Supp_39,14,FALSE),0)+IFERROR(SUMPRODUCT(VLOOKUP($A23,S275_01,{14,15,16},FALSE)),0)+IFERROR(SUMPRODUCT(VLOOKUP($A23,S275_97,{14,15,16},FALSE)),0)+IFERROR(ROUND(VLOOKUP($A23,S275_21,14,FALSE)*VLOOKUP($A23,'3121% SY'!$C$3:$M$324,11,FALSE),3),0)+IFERROR(ROUND(VLOOKUP($A23,S275_21,15,FALSE)*VLOOKUP($A23,'3121% SY'!$C$3:$M$324,11,FALSE),3),0)+IFERROR(ROUND(VLOOKUP($A23,S275_21,16,FALSE)*VLOOKUP($A23,'3121% SY'!$C$3:$M$324,11,FALSE),3),0)+IFERROR(VLOOKUP($A23,S275_09,6,FALSE),0)</f>
        <v>0</v>
      </c>
      <c r="T23" s="267">
        <f>IFERROR(VLOOKUP($A23,Supp_42,14,FALSE),0)+IFERROR(SUMPRODUCT(VLOOKUP($A23,S275_01,{17,18,19},FALSE)),0)+IFERROR(SUMPRODUCT(VLOOKUP($A23,S275_97,{17,18,19},FALSE)),0)+IFERROR(ROUND(VLOOKUP($A23,S275_21,17,FALSE)*VLOOKUP($A23,'3121% SY'!$C$3:$M$324,11,FALSE),3),0)+IFERROR(ROUND(VLOOKUP($A23,S275_21,18,FALSE)*VLOOKUP($A23,'3121% SY'!$C$3:$M$324,11,FALSE),3),0)+IFERROR(ROUND(VLOOKUP($A23,S275_21,19,FALSE)*VLOOKUP($A23,'3121% SY'!$C$3:$M$324,11,FALSE),3),0)+IFERROR(VLOOKUP($A23,S275_09,7,FALSE),0)</f>
        <v>0</v>
      </c>
      <c r="U23" s="267">
        <f>IFERROR(VLOOKUP($A23,Supp_43,14,FALSE),0)+IFERROR(SUMPRODUCT(VLOOKUP($A23,S275_01,{20,21,22},FALSE)),0)+IFERROR(SUMPRODUCT(VLOOKUP($A23,S275_97,{20,21,22},FALSE)),0)+IFERROR(ROUND(VLOOKUP($A23,S275_21,20,FALSE)*VLOOKUP($A23,'3121% SY'!$C$3:$M$324,11,FALSE),3),0)+IFERROR(ROUND(VLOOKUP($A23,S275_21,21,FALSE)*VLOOKUP($A23,'3121% SY'!$C$3:$M$324,11,FALSE),3),0)+IFERROR(ROUND(VLOOKUP($A23,S275_21,22,FALSE)*VLOOKUP($A23,'3121% SY'!$C$3:$M$324,11,FALSE),3),0)+IFERROR(VLOOKUP($A23,S275_09,8,FALSE),0)</f>
        <v>0</v>
      </c>
      <c r="V23" s="267">
        <f>IFERROR(VLOOKUP($A23,Supp_44,14,FALSE),0)+IFERROR(SUMPRODUCT(VLOOKUP($A23,S275_01,{23,24,25},FALSE)),0)+IFERROR(SUMPRODUCT(VLOOKUP($A23,S275_97,{23,24,25},FALSE)),0)+IFERROR(ROUND(VLOOKUP($A23,S275_21,23,FALSE)*VLOOKUP($A23,'3121% SY'!$C$3:$M$324,11,FALSE),3),0)+IFERROR(ROUND(VLOOKUP($A23,S275_21,24,FALSE)*VLOOKUP($A23,'3121% SY'!$C$3:$M$324,11,FALSE),3),0)+IFERROR(ROUND(VLOOKUP($A23,S275_21,25,FALSE)*VLOOKUP($A23,'3121% SY'!$C$3:$M$324,11,FALSE),3),0)+IFERROR(VLOOKUP($A23,S275_09,9,FALSE),0)</f>
        <v>0</v>
      </c>
      <c r="W23" s="267">
        <f>IFERROR(VLOOKUP($A23,Supp_45,14,FALSE),0)+IFERROR(SUMPRODUCT(VLOOKUP($A23,S275_01,{26,27,28},FALSE)),0)+IFERROR(SUMPRODUCT(VLOOKUP($A23,S275_97,{26,27,28},FALSE)),0)+IFERROR(ROUND(VLOOKUP($A23,S275_21,26,FALSE)*VLOOKUP($A23,'3121% SY'!$C$3:$M$324,11,FALSE),3),0)+IFERROR(ROUND(VLOOKUP($A23,S275_21,27,FALSE)*VLOOKUP($A23,'3121% SY'!$C$3:$M$324,11,FALSE),3),0)+IFERROR(ROUND(VLOOKUP($A23,S275_21,28,FALSE)*VLOOKUP($A23,'3121% SY'!$C$3:$M$324,11,FALSE),3),0)+IFERROR(VLOOKUP($A23,S275_09,10,FALSE),0)</f>
        <v>0</v>
      </c>
      <c r="X23" s="267">
        <f>IFERROR(VLOOKUP($A23,Supp_46,14,FALSE),0)+IFERROR(SUMPRODUCT(VLOOKUP($A23,S275_01,{29,30,31},FALSE)),0)+IFERROR(SUMPRODUCT(VLOOKUP($A23,S275_97,{29,30,31},FALSE)),0)+IFERROR(ROUND(VLOOKUP($A23,S275_21,29,FALSE)*VLOOKUP($A23,'3121% SY'!$C$3:$M$324,11,FALSE),3),0)+IFERROR(ROUND(VLOOKUP($A23,S275_21,30,FALSE)*VLOOKUP($A23,'3121% SY'!$C$3:$M$324,11,FALSE),3),0)+IFERROR(ROUND(VLOOKUP($A23,S275_21,31,FALSE)*VLOOKUP($A23,'3121% SY'!$C$3:$M$324,11,FALSE),3),0)+IFERROR(VLOOKUP($A23,S275_09,11,FALSE),0)</f>
        <v>0</v>
      </c>
      <c r="Y23" s="267">
        <f>IFERROR(VLOOKUP($A23,Supp_47,14,FALSE),0)+IFERROR(SUMPRODUCT(VLOOKUP($A23,S275_01,{32,33,34},FALSE)),0)+IFERROR(SUMPRODUCT(VLOOKUP($A23,S275_97,{32,33,34},FALSE)),0)+IFERROR(ROUND(VLOOKUP($A23,S275_21,32,FALSE)*VLOOKUP($A23,'3121% SY'!$C$3:$M$324,11,FALSE),3),0)+IFERROR(ROUND(VLOOKUP($A23,S275_21,33,FALSE)*VLOOKUP($A23,'3121% SY'!$C$3:$M$324,11,FALSE),3),0)+IFERROR(ROUND(VLOOKUP($A23,S275_21,34,FALSE)*VLOOKUP($A23,'3121% SY'!$C$3:$M$324,11,FALSE),3),0)+IFERROR(VLOOKUP($A23,S275_09,12,FALSE),0)</f>
        <v>0</v>
      </c>
      <c r="Z23" s="267">
        <f>IFERROR(VLOOKUP($A23,Supp_48,14,FALSE),0)+IFERROR(SUMPRODUCT(VLOOKUP($A23,S275_01,{35,36,37},FALSE)),0)+IFERROR(SUMPRODUCT(VLOOKUP($A23,S275_97,{35,36,37},FALSE)),0)+IFERROR(ROUND(VLOOKUP($A23,S275_21,35,FALSE)*VLOOKUP($A23,'3121% SY'!$C$3:$M$324,11,FALSE),3),0)+IFERROR(ROUND(VLOOKUP($A23,S275_21,36,FALSE)*VLOOKUP($A23,'3121% SY'!$C$3:$M$324,11,FALSE),3),0)+IFERROR(ROUND(VLOOKUP($A23,S275_21,37,FALSE)*VLOOKUP($A23,'3121% SY'!$C$3:$M$324,11,FALSE),3),0)+IFERROR(VLOOKUP($A23,S275_09,13,FALSE),0)</f>
        <v>0</v>
      </c>
      <c r="AA23" s="267">
        <f>IFERROR(VLOOKUP($A23,Supp_49,14,FALSE),0)+IFERROR(SUMPRODUCT(VLOOKUP($A23,S275_01,{38,39,40},FALSE)),0)+IFERROR(SUMPRODUCT(VLOOKUP($A23,S275_97,{38,39,40},FALSE)),0)+IFERROR(ROUND(VLOOKUP($A23,S275_21,38,FALSE)*VLOOKUP($A23,'3121% SY'!$C$3:$M$324,11,FALSE),3),0)+IFERROR(ROUND(VLOOKUP($A23,S275_21,39,FALSE)*VLOOKUP($A23,'3121% SY'!$C$3:$M$324,11,FALSE),3),0)+IFERROR(ROUND(VLOOKUP($A23,S275_21,40,FALSE)*VLOOKUP($A23,'3121% SY'!$C$3:$M$324,11,FALSE),3),0)+IFERROR(VLOOKUP($A23,S275_09,14,FALSE),0)</f>
        <v>0</v>
      </c>
      <c r="AB23" s="267">
        <f>IFERROR(VLOOKUP($A23,Supp_64,14,FALSE),0)+IFERROR(SUMPRODUCT(VLOOKUP($A23,S275_01,{41,42,43},FALSE)),0)+IFERROR(SUMPRODUCT(VLOOKUP($A23,S275_97,{41,42,43},FALSE)),0)+IFERROR(ROUND(VLOOKUP($A23,S275_21,41,FALSE)*VLOOKUP($A23,'3121% SY'!$C$3:$M$324,11,FALSE),3),0)+IFERROR(ROUND(VLOOKUP($A23,S275_21,42,FALSE)*VLOOKUP($A23,'3121% SY'!$C$3:$M$324,11,FALSE),3),0)+IFERROR(ROUND(VLOOKUP($A23,S275_21,43,FALSE)*VLOOKUP($A23,'3121% SY'!$C$3:$M$324,11,FALSE),3),0)+IFERROR(VLOOKUP($A23,S275_09,15,FALSE),0)</f>
        <v>0</v>
      </c>
      <c r="AC23" s="268">
        <f t="shared" si="17"/>
        <v>0</v>
      </c>
      <c r="AD23" s="267">
        <f>IFERROR(VLOOKUP($A23,Supp_24,14,FALSE),0)+IFERROR(SUMPRODUCT(VLOOKUP($A23,S275_01,{2,3,4},FALSE)),0)+IFERROR(SUMPRODUCT(VLOOKUP($A23,S275_97,{2,3,4},FALSE)),0)+IFERROR(ROUND(VLOOKUP($A23,S275_21,2,FALSE)*VLOOKUP($A23,'3121% SY'!$C$3:$M$324,11,FALSE),3),0)+IFERROR(ROUND(VLOOKUP($A23,S275_21,3,FALSE)*VLOOKUP($A23,'3121% SY'!$C$3:$M$324,11,FALSE),3),0)+IFERROR(ROUND(VLOOKUP($A23,S275_21,4,FALSE)*VLOOKUP($A23,'3121% SY'!$C$3:$M$324,11,FALSE),3),0)+IFERROR(VLOOKUP($A23,S275_09,2,FALSE),0)</f>
        <v>0</v>
      </c>
      <c r="AE23" s="267">
        <f>IFERROR(VLOOKUP($A23,Supp_25,14,FALSE),0)+IFERROR(SUMPRODUCT(VLOOKUP($A23,S275_01,{5,6,7},FALSE)),0)+IFERROR(SUMPRODUCT(VLOOKUP($A23,S275_97,{5,6,7},FALSE)),0)+IFERROR(ROUND(VLOOKUP($A23,S275_21,5,FALSE)*VLOOKUP($A23,'3121% SY'!$C$3:$M$324,11,FALSE),3),0)+IFERROR(ROUND(VLOOKUP($A23,S275_21,6,FALSE)*VLOOKUP($A23,'3121% SY'!$C$3:$M$324,11,FALSE),3),0)+IFERROR(ROUND(VLOOKUP($A23,S275_21,7,FALSE)*VLOOKUP($A23,'3121% SY'!$C$3:$M$324,11,FALSE),3),0)+IFERROR(VLOOKUP($A23,S275_09,3,FALSE),0)</f>
        <v>0</v>
      </c>
      <c r="AF23" s="267">
        <f>IFERROR(VLOOKUP($A23,Supp_26,14,FALSE),0)+IFERROR(SUMPRODUCT(VLOOKUP($A23,S275_01,{8,9,10},FALSE)),0)+IFERROR(SUMPRODUCT(VLOOKUP($A23,S275_97,{8,9,10},FALSE)),0)+IFERROR(ROUND(VLOOKUP($A23,S275_21,8,FALSE)*VLOOKUP($A23,'3121% SY'!$C$3:$M$324,11,FALSE),3),0)+IFERROR(ROUND(VLOOKUP($A23,S275_21,9,FALSE)*VLOOKUP($A23,'3121% SY'!$C$3:$M$324,11,FALSE),3),0)+IFERROR(ROUND(VLOOKUP($A23,S275_21,10,FALSE)*VLOOKUP($A23,'3121% SY'!$C$3:$M$324,11,FALSE),3),0)+IFERROR(VLOOKUP($A23,S275_09,4,FALSE),0)</f>
        <v>0</v>
      </c>
      <c r="AG23" s="267">
        <f>IFERROR(VLOOKUP($A23,Supp_35,14,FALSE),0)+IFERROR(SUMPRODUCT(VLOOKUP($A23,S275_01,{11,12,13},FALSE)),0)+IFERROR(SUMPRODUCT(VLOOKUP($A23,S275_97,{11,12,13},FALSE)),0)+IFERROR(ROUND(VLOOKUP($A23,S275_21,11,FALSE)*VLOOKUP($A23,'3121% SY'!$C$3:$M$324,11,FALSE),3),0)+IFERROR(ROUND(VLOOKUP($A23,S275_21,12,FALSE)*VLOOKUP($A23,'3121% SY'!$C$3:$M$324,11,FALSE),3),0)+IFERROR(ROUND(VLOOKUP($A23,S275_21,13,FALSE)*VLOOKUP($A23,'3121% SY'!$C$3:$M$324,11,FALSE),3),0)+IFERROR(VLOOKUP($A23,S275_09,5,FALSE),0)</f>
        <v>0</v>
      </c>
      <c r="AH23" s="165">
        <f t="shared" si="15"/>
        <v>0</v>
      </c>
      <c r="AI23" s="161">
        <f>IFERROR(VLOOKUP(A23,'Supp Staff Data'!A:ER,148,FALSE),0)+AB23</f>
        <v>0</v>
      </c>
      <c r="AJ23" s="174">
        <v>0.88890000000000002</v>
      </c>
      <c r="AK23" s="25">
        <f>VLOOKUP(A23,'Enroll Data as of January 2025'!$A$3:$T$323,20,FALSE)-F23</f>
        <v>0</v>
      </c>
    </row>
    <row r="24" spans="1:37" x14ac:dyDescent="0.25">
      <c r="A24" s="171" t="s">
        <v>156</v>
      </c>
      <c r="B24" t="s">
        <v>452</v>
      </c>
      <c r="C24" s="173" t="s">
        <v>1077</v>
      </c>
      <c r="D24" s="259">
        <f t="shared" si="9"/>
        <v>1.2170000000000001</v>
      </c>
      <c r="E24" s="259">
        <f t="shared" si="10"/>
        <v>0.69200000000000006</v>
      </c>
      <c r="F24" s="262">
        <f t="shared" si="16"/>
        <v>-0.52500000000000002</v>
      </c>
      <c r="G24" s="161">
        <f>ROUND(IF(F24&lt;0,F24*'2024-25 PSES Compliance'!$G$13,0),3)</f>
        <v>-0.504</v>
      </c>
      <c r="H24" s="161">
        <f>ROUND(IF(F24&lt;0,F24*'2024-25 PSES Compliance'!$G$14,0),3)</f>
        <v>-2.1000000000000001E-2</v>
      </c>
      <c r="I24" s="174">
        <f t="shared" si="11"/>
        <v>0</v>
      </c>
      <c r="J24" s="174">
        <f t="shared" si="12"/>
        <v>0</v>
      </c>
      <c r="K24" s="161">
        <f>VLOOKUP($A24,'Enroll Data as of January 2025'!$A$3:$M$322,6,FALSE)</f>
        <v>0.69199999999999995</v>
      </c>
      <c r="L24" s="161">
        <f>VLOOKUP($A24,'Enroll Data as of January 2025'!$A$3:$M$322,7,FALSE)</f>
        <v>0.109</v>
      </c>
      <c r="M24" s="161">
        <f>VLOOKUP($A24,'Enroll Data as of January 2025'!$A$3:$M$322,8,FALSE)</f>
        <v>3.6000000000000004E-2</v>
      </c>
      <c r="N24" s="161">
        <f>VLOOKUP($A24,'Enroll Data as of January 2025'!$A$3:$M$322,9,FALSE)</f>
        <v>0.314</v>
      </c>
      <c r="O24" s="165">
        <f t="shared" si="13"/>
        <v>1.151</v>
      </c>
      <c r="P24" s="161">
        <f>VLOOKUP($A24,'Enroll Data as of January 2025'!$A$3:$M$322,11,FALSE)</f>
        <v>4.1999999999999996E-2</v>
      </c>
      <c r="Q24" s="161">
        <f>VLOOKUP($A24,'Enroll Data as of January 2025'!$A$3:$M$322,12,FALSE)</f>
        <v>2.4E-2</v>
      </c>
      <c r="R24" s="165">
        <f t="shared" si="14"/>
        <v>6.6000000000000003E-2</v>
      </c>
      <c r="S24" s="267">
        <f>IFERROR(VLOOKUP($A24,Supp_39,14,FALSE),0)+IFERROR(SUMPRODUCT(VLOOKUP($A24,S275_01,{14,15,16},FALSE)),0)+IFERROR(SUMPRODUCT(VLOOKUP($A24,S275_97,{14,15,16},FALSE)),0)+IFERROR(ROUND(VLOOKUP($A24,S275_21,14,FALSE)*VLOOKUP($A24,'3121% SY'!$C$3:$M$324,11,FALSE),3),0)+IFERROR(ROUND(VLOOKUP($A24,S275_21,15,FALSE)*VLOOKUP($A24,'3121% SY'!$C$3:$M$324,11,FALSE),3),0)+IFERROR(ROUND(VLOOKUP($A24,S275_21,16,FALSE)*VLOOKUP($A24,'3121% SY'!$C$3:$M$324,11,FALSE),3),0)+IFERROR(VLOOKUP($A24,S275_09,6,FALSE),0)</f>
        <v>0</v>
      </c>
      <c r="T24" s="267">
        <f>IFERROR(VLOOKUP($A24,Supp_42,14,FALSE),0)+IFERROR(SUMPRODUCT(VLOOKUP($A24,S275_01,{17,18,19},FALSE)),0)+IFERROR(SUMPRODUCT(VLOOKUP($A24,S275_97,{17,18,19},FALSE)),0)+IFERROR(ROUND(VLOOKUP($A24,S275_21,17,FALSE)*VLOOKUP($A24,'3121% SY'!$C$3:$M$324,11,FALSE),3),0)+IFERROR(ROUND(VLOOKUP($A24,S275_21,18,FALSE)*VLOOKUP($A24,'3121% SY'!$C$3:$M$324,11,FALSE),3),0)+IFERROR(ROUND(VLOOKUP($A24,S275_21,19,FALSE)*VLOOKUP($A24,'3121% SY'!$C$3:$M$324,11,FALSE),3),0)+IFERROR(VLOOKUP($A24,S275_09,7,FALSE),0)</f>
        <v>0</v>
      </c>
      <c r="U24" s="267">
        <f>IFERROR(VLOOKUP($A24,Supp_43,14,FALSE),0)+IFERROR(SUMPRODUCT(VLOOKUP($A24,S275_01,{20,21,22},FALSE)),0)+IFERROR(SUMPRODUCT(VLOOKUP($A24,S275_97,{20,21,22},FALSE)),0)+IFERROR(ROUND(VLOOKUP($A24,S275_21,20,FALSE)*VLOOKUP($A24,'3121% SY'!$C$3:$M$324,11,FALSE),3),0)+IFERROR(ROUND(VLOOKUP($A24,S275_21,21,FALSE)*VLOOKUP($A24,'3121% SY'!$C$3:$M$324,11,FALSE),3),0)+IFERROR(ROUND(VLOOKUP($A24,S275_21,22,FALSE)*VLOOKUP($A24,'3121% SY'!$C$3:$M$324,11,FALSE),3),0)+IFERROR(VLOOKUP($A24,S275_09,8,FALSE),0)</f>
        <v>0</v>
      </c>
      <c r="V24" s="267">
        <f>IFERROR(VLOOKUP($A24,Supp_44,14,FALSE),0)+IFERROR(SUMPRODUCT(VLOOKUP($A24,S275_01,{23,24,25},FALSE)),0)+IFERROR(SUMPRODUCT(VLOOKUP($A24,S275_97,{23,24,25},FALSE)),0)+IFERROR(ROUND(VLOOKUP($A24,S275_21,23,FALSE)*VLOOKUP($A24,'3121% SY'!$C$3:$M$324,11,FALSE),3),0)+IFERROR(ROUND(VLOOKUP($A24,S275_21,24,FALSE)*VLOOKUP($A24,'3121% SY'!$C$3:$M$324,11,FALSE),3),0)+IFERROR(ROUND(VLOOKUP($A24,S275_21,25,FALSE)*VLOOKUP($A24,'3121% SY'!$C$3:$M$324,11,FALSE),3),0)+IFERROR(VLOOKUP($A24,S275_09,9,FALSE),0)</f>
        <v>0</v>
      </c>
      <c r="W24" s="267">
        <f>IFERROR(VLOOKUP($A24,Supp_45,14,FALSE),0)+IFERROR(SUMPRODUCT(VLOOKUP($A24,S275_01,{26,27,28},FALSE)),0)+IFERROR(SUMPRODUCT(VLOOKUP($A24,S275_97,{26,27,28},FALSE)),0)+IFERROR(ROUND(VLOOKUP($A24,S275_21,26,FALSE)*VLOOKUP($A24,'3121% SY'!$C$3:$M$324,11,FALSE),3),0)+IFERROR(ROUND(VLOOKUP($A24,S275_21,27,FALSE)*VLOOKUP($A24,'3121% SY'!$C$3:$M$324,11,FALSE),3),0)+IFERROR(ROUND(VLOOKUP($A24,S275_21,28,FALSE)*VLOOKUP($A24,'3121% SY'!$C$3:$M$324,11,FALSE),3),0)+IFERROR(VLOOKUP($A24,S275_09,10,FALSE),0)</f>
        <v>0</v>
      </c>
      <c r="X24" s="267">
        <f>IFERROR(VLOOKUP($A24,Supp_46,14,FALSE),0)+IFERROR(SUMPRODUCT(VLOOKUP($A24,S275_01,{29,30,31},FALSE)),0)+IFERROR(SUMPRODUCT(VLOOKUP($A24,S275_97,{29,30,31},FALSE)),0)+IFERROR(ROUND(VLOOKUP($A24,S275_21,29,FALSE)*VLOOKUP($A24,'3121% SY'!$C$3:$M$324,11,FALSE),3),0)+IFERROR(ROUND(VLOOKUP($A24,S275_21,30,FALSE)*VLOOKUP($A24,'3121% SY'!$C$3:$M$324,11,FALSE),3),0)+IFERROR(ROUND(VLOOKUP($A24,S275_21,31,FALSE)*VLOOKUP($A24,'3121% SY'!$C$3:$M$324,11,FALSE),3),0)+IFERROR(VLOOKUP($A24,S275_09,11,FALSE),0)</f>
        <v>0</v>
      </c>
      <c r="Y24" s="267">
        <f>IFERROR(VLOOKUP($A24,Supp_47,14,FALSE),0)+IFERROR(SUMPRODUCT(VLOOKUP($A24,S275_01,{32,33,34},FALSE)),0)+IFERROR(SUMPRODUCT(VLOOKUP($A24,S275_97,{32,33,34},FALSE)),0)+IFERROR(ROUND(VLOOKUP($A24,S275_21,32,FALSE)*VLOOKUP($A24,'3121% SY'!$C$3:$M$324,11,FALSE),3),0)+IFERROR(ROUND(VLOOKUP($A24,S275_21,33,FALSE)*VLOOKUP($A24,'3121% SY'!$C$3:$M$324,11,FALSE),3),0)+IFERROR(ROUND(VLOOKUP($A24,S275_21,34,FALSE)*VLOOKUP($A24,'3121% SY'!$C$3:$M$324,11,FALSE),3),0)+IFERROR(VLOOKUP($A24,S275_09,12,FALSE),0)</f>
        <v>0</v>
      </c>
      <c r="Z24" s="267">
        <f>IFERROR(VLOOKUP($A24,Supp_48,14,FALSE),0)+IFERROR(SUMPRODUCT(VLOOKUP($A24,S275_01,{35,36,37},FALSE)),0)+IFERROR(SUMPRODUCT(VLOOKUP($A24,S275_97,{35,36,37},FALSE)),0)+IFERROR(ROUND(VLOOKUP($A24,S275_21,35,FALSE)*VLOOKUP($A24,'3121% SY'!$C$3:$M$324,11,FALSE),3),0)+IFERROR(ROUND(VLOOKUP($A24,S275_21,36,FALSE)*VLOOKUP($A24,'3121% SY'!$C$3:$M$324,11,FALSE),3),0)+IFERROR(ROUND(VLOOKUP($A24,S275_21,37,FALSE)*VLOOKUP($A24,'3121% SY'!$C$3:$M$324,11,FALSE),3),0)+IFERROR(VLOOKUP($A24,S275_09,13,FALSE),0)</f>
        <v>0</v>
      </c>
      <c r="AA24" s="267">
        <f>IFERROR(VLOOKUP($A24,Supp_49,14,FALSE),0)+IFERROR(SUMPRODUCT(VLOOKUP($A24,S275_01,{38,39,40},FALSE)),0)+IFERROR(SUMPRODUCT(VLOOKUP($A24,S275_97,{38,39,40},FALSE)),0)+IFERROR(ROUND(VLOOKUP($A24,S275_21,38,FALSE)*VLOOKUP($A24,'3121% SY'!$C$3:$M$324,11,FALSE),3),0)+IFERROR(ROUND(VLOOKUP($A24,S275_21,39,FALSE)*VLOOKUP($A24,'3121% SY'!$C$3:$M$324,11,FALSE),3),0)+IFERROR(ROUND(VLOOKUP($A24,S275_21,40,FALSE)*VLOOKUP($A24,'3121% SY'!$C$3:$M$324,11,FALSE),3),0)+IFERROR(VLOOKUP($A24,S275_09,14,FALSE),0)</f>
        <v>0</v>
      </c>
      <c r="AB24" s="267">
        <f>IFERROR(VLOOKUP($A24,Supp_64,14,FALSE),0)+IFERROR(SUMPRODUCT(VLOOKUP($A24,S275_01,{41,42,43},FALSE)),0)+IFERROR(SUMPRODUCT(VLOOKUP($A24,S275_97,{41,42,43},FALSE)),0)+IFERROR(ROUND(VLOOKUP($A24,S275_21,41,FALSE)*VLOOKUP($A24,'3121% SY'!$C$3:$M$324,11,FALSE),3),0)+IFERROR(ROUND(VLOOKUP($A24,S275_21,42,FALSE)*VLOOKUP($A24,'3121% SY'!$C$3:$M$324,11,FALSE),3),0)+IFERROR(ROUND(VLOOKUP($A24,S275_21,43,FALSE)*VLOOKUP($A24,'3121% SY'!$C$3:$M$324,11,FALSE),3),0)+IFERROR(VLOOKUP($A24,S275_09,15,FALSE),0)</f>
        <v>0</v>
      </c>
      <c r="AC24" s="268">
        <f t="shared" si="17"/>
        <v>0</v>
      </c>
      <c r="AD24" s="267">
        <f>IFERROR(VLOOKUP($A24,Supp_24,14,FALSE),0)+IFERROR(SUMPRODUCT(VLOOKUP($A24,S275_01,{2,3,4},FALSE)),0)+IFERROR(SUMPRODUCT(VLOOKUP($A24,S275_97,{2,3,4},FALSE)),0)+IFERROR(ROUND(VLOOKUP($A24,S275_21,2,FALSE)*VLOOKUP($A24,'3121% SY'!$C$3:$M$324,11,FALSE),3),0)+IFERROR(ROUND(VLOOKUP($A24,S275_21,3,FALSE)*VLOOKUP($A24,'3121% SY'!$C$3:$M$324,11,FALSE),3),0)+IFERROR(ROUND(VLOOKUP($A24,S275_21,4,FALSE)*VLOOKUP($A24,'3121% SY'!$C$3:$M$324,11,FALSE),3),0)+IFERROR(VLOOKUP($A24,S275_09,2,FALSE),0)</f>
        <v>0</v>
      </c>
      <c r="AE24" s="267">
        <f>IFERROR(VLOOKUP($A24,Supp_25,14,FALSE),0)+IFERROR(SUMPRODUCT(VLOOKUP($A24,S275_01,{5,6,7},FALSE)),0)+IFERROR(SUMPRODUCT(VLOOKUP($A24,S275_97,{5,6,7},FALSE)),0)+IFERROR(ROUND(VLOOKUP($A24,S275_21,5,FALSE)*VLOOKUP($A24,'3121% SY'!$C$3:$M$324,11,FALSE),3),0)+IFERROR(ROUND(VLOOKUP($A24,S275_21,6,FALSE)*VLOOKUP($A24,'3121% SY'!$C$3:$M$324,11,FALSE),3),0)+IFERROR(ROUND(VLOOKUP($A24,S275_21,7,FALSE)*VLOOKUP($A24,'3121% SY'!$C$3:$M$324,11,FALSE),3),0)+IFERROR(VLOOKUP($A24,S275_09,3,FALSE),0)</f>
        <v>1.4E-2</v>
      </c>
      <c r="AF24" s="267">
        <f>IFERROR(VLOOKUP($A24,Supp_26,14,FALSE),0)+IFERROR(SUMPRODUCT(VLOOKUP($A24,S275_01,{8,9,10},FALSE)),0)+IFERROR(SUMPRODUCT(VLOOKUP($A24,S275_97,{8,9,10},FALSE)),0)+IFERROR(ROUND(VLOOKUP($A24,S275_21,8,FALSE)*VLOOKUP($A24,'3121% SY'!$C$3:$M$324,11,FALSE),3),0)+IFERROR(ROUND(VLOOKUP($A24,S275_21,9,FALSE)*VLOOKUP($A24,'3121% SY'!$C$3:$M$324,11,FALSE),3),0)+IFERROR(ROUND(VLOOKUP($A24,S275_21,10,FALSE)*VLOOKUP($A24,'3121% SY'!$C$3:$M$324,11,FALSE),3),0)+IFERROR(VLOOKUP($A24,S275_09,4,FALSE),0)</f>
        <v>0.67800000000000005</v>
      </c>
      <c r="AG24" s="267">
        <f>IFERROR(VLOOKUP($A24,Supp_35,14,FALSE),0)+IFERROR(SUMPRODUCT(VLOOKUP($A24,S275_01,{11,12,13},FALSE)),0)+IFERROR(SUMPRODUCT(VLOOKUP($A24,S275_97,{11,12,13},FALSE)),0)+IFERROR(ROUND(VLOOKUP($A24,S275_21,11,FALSE)*VLOOKUP($A24,'3121% SY'!$C$3:$M$324,11,FALSE),3),0)+IFERROR(ROUND(VLOOKUP($A24,S275_21,12,FALSE)*VLOOKUP($A24,'3121% SY'!$C$3:$M$324,11,FALSE),3),0)+IFERROR(ROUND(VLOOKUP($A24,S275_21,13,FALSE)*VLOOKUP($A24,'3121% SY'!$C$3:$M$324,11,FALSE),3),0)+IFERROR(VLOOKUP($A24,S275_09,5,FALSE),0)</f>
        <v>0</v>
      </c>
      <c r="AH24" s="165">
        <f t="shared" si="15"/>
        <v>0.69200000000000006</v>
      </c>
      <c r="AI24" s="161">
        <f>IFERROR(VLOOKUP(A24,'Supp Staff Data'!A:ER,148,FALSE),0)+AB24</f>
        <v>0</v>
      </c>
      <c r="AJ24" s="174">
        <v>0.75</v>
      </c>
      <c r="AK24" s="25">
        <f>VLOOKUP(A24,'Enroll Data as of January 2025'!$A$3:$T$323,20,FALSE)-F24</f>
        <v>0</v>
      </c>
    </row>
    <row r="25" spans="1:37" x14ac:dyDescent="0.25">
      <c r="A25" s="171" t="s">
        <v>154</v>
      </c>
      <c r="B25" t="s">
        <v>450</v>
      </c>
      <c r="C25" s="173" t="s">
        <v>1077</v>
      </c>
      <c r="D25" s="259">
        <f t="shared" si="9"/>
        <v>0.39900000000000002</v>
      </c>
      <c r="E25" s="259">
        <f t="shared" si="10"/>
        <v>0</v>
      </c>
      <c r="F25" s="262">
        <f t="shared" si="16"/>
        <v>-0.39900000000000002</v>
      </c>
      <c r="G25" s="161">
        <f>ROUND(IF(F25&lt;0,F25*'2024-25 PSES Compliance'!$G$13,0),3)</f>
        <v>-0.38300000000000001</v>
      </c>
      <c r="H25" s="161">
        <f>ROUND(IF(F25&lt;0,F25*'2024-25 PSES Compliance'!$G$14,0),3)</f>
        <v>-1.6E-2</v>
      </c>
      <c r="I25" s="174">
        <f t="shared" si="11"/>
        <v>0</v>
      </c>
      <c r="J25" s="174">
        <f t="shared" si="12"/>
        <v>0</v>
      </c>
      <c r="K25" s="161">
        <f>VLOOKUP($A25,'Enroll Data as of January 2025'!$A$3:$M$322,6,FALSE)</f>
        <v>0.22600000000000003</v>
      </c>
      <c r="L25" s="161">
        <f>VLOOKUP($A25,'Enroll Data as of January 2025'!$A$3:$M$322,7,FALSE)</f>
        <v>3.6000000000000004E-2</v>
      </c>
      <c r="M25" s="161">
        <f>VLOOKUP($A25,'Enroll Data as of January 2025'!$A$3:$M$322,8,FALSE)</f>
        <v>1.2E-2</v>
      </c>
      <c r="N25" s="161">
        <f>VLOOKUP($A25,'Enroll Data as of January 2025'!$A$3:$M$322,9,FALSE)</f>
        <v>0.10300000000000001</v>
      </c>
      <c r="O25" s="165">
        <f t="shared" si="13"/>
        <v>0.377</v>
      </c>
      <c r="P25" s="161">
        <f>VLOOKUP($A25,'Enroll Data as of January 2025'!$A$3:$M$322,11,FALSE)</f>
        <v>1.4E-2</v>
      </c>
      <c r="Q25" s="161">
        <f>VLOOKUP($A25,'Enroll Data as of January 2025'!$A$3:$M$322,12,FALSE)</f>
        <v>8.0000000000000002E-3</v>
      </c>
      <c r="R25" s="165">
        <f t="shared" si="14"/>
        <v>2.1999999999999999E-2</v>
      </c>
      <c r="S25" s="267">
        <f>IFERROR(VLOOKUP($A25,Supp_39,14,FALSE),0)+IFERROR(SUMPRODUCT(VLOOKUP($A25,S275_01,{14,15,16},FALSE)),0)+IFERROR(SUMPRODUCT(VLOOKUP($A25,S275_97,{14,15,16},FALSE)),0)+IFERROR(ROUND(VLOOKUP($A25,S275_21,14,FALSE)*VLOOKUP($A25,'3121% SY'!$C$3:$M$324,11,FALSE),3),0)+IFERROR(ROUND(VLOOKUP($A25,S275_21,15,FALSE)*VLOOKUP($A25,'3121% SY'!$C$3:$M$324,11,FALSE),3),0)+IFERROR(ROUND(VLOOKUP($A25,S275_21,16,FALSE)*VLOOKUP($A25,'3121% SY'!$C$3:$M$324,11,FALSE),3),0)+IFERROR(VLOOKUP($A25,S275_09,6,FALSE),0)</f>
        <v>0</v>
      </c>
      <c r="T25" s="267">
        <f>IFERROR(VLOOKUP($A25,Supp_42,14,FALSE),0)+IFERROR(SUMPRODUCT(VLOOKUP($A25,S275_01,{17,18,19},FALSE)),0)+IFERROR(SUMPRODUCT(VLOOKUP($A25,S275_97,{17,18,19},FALSE)),0)+IFERROR(ROUND(VLOOKUP($A25,S275_21,17,FALSE)*VLOOKUP($A25,'3121% SY'!$C$3:$M$324,11,FALSE),3),0)+IFERROR(ROUND(VLOOKUP($A25,S275_21,18,FALSE)*VLOOKUP($A25,'3121% SY'!$C$3:$M$324,11,FALSE),3),0)+IFERROR(ROUND(VLOOKUP($A25,S275_21,19,FALSE)*VLOOKUP($A25,'3121% SY'!$C$3:$M$324,11,FALSE),3),0)+IFERROR(VLOOKUP($A25,S275_09,7,FALSE),0)</f>
        <v>0</v>
      </c>
      <c r="U25" s="267">
        <f>IFERROR(VLOOKUP($A25,Supp_43,14,FALSE),0)+IFERROR(SUMPRODUCT(VLOOKUP($A25,S275_01,{20,21,22},FALSE)),0)+IFERROR(SUMPRODUCT(VLOOKUP($A25,S275_97,{20,21,22},FALSE)),0)+IFERROR(ROUND(VLOOKUP($A25,S275_21,20,FALSE)*VLOOKUP($A25,'3121% SY'!$C$3:$M$324,11,FALSE),3),0)+IFERROR(ROUND(VLOOKUP($A25,S275_21,21,FALSE)*VLOOKUP($A25,'3121% SY'!$C$3:$M$324,11,FALSE),3),0)+IFERROR(ROUND(VLOOKUP($A25,S275_21,22,FALSE)*VLOOKUP($A25,'3121% SY'!$C$3:$M$324,11,FALSE),3),0)+IFERROR(VLOOKUP($A25,S275_09,8,FALSE),0)</f>
        <v>0</v>
      </c>
      <c r="V25" s="267">
        <f>IFERROR(VLOOKUP($A25,Supp_44,14,FALSE),0)+IFERROR(SUMPRODUCT(VLOOKUP($A25,S275_01,{23,24,25},FALSE)),0)+IFERROR(SUMPRODUCT(VLOOKUP($A25,S275_97,{23,24,25},FALSE)),0)+IFERROR(ROUND(VLOOKUP($A25,S275_21,23,FALSE)*VLOOKUP($A25,'3121% SY'!$C$3:$M$324,11,FALSE),3),0)+IFERROR(ROUND(VLOOKUP($A25,S275_21,24,FALSE)*VLOOKUP($A25,'3121% SY'!$C$3:$M$324,11,FALSE),3),0)+IFERROR(ROUND(VLOOKUP($A25,S275_21,25,FALSE)*VLOOKUP($A25,'3121% SY'!$C$3:$M$324,11,FALSE),3),0)+IFERROR(VLOOKUP($A25,S275_09,9,FALSE),0)</f>
        <v>0</v>
      </c>
      <c r="W25" s="267">
        <f>IFERROR(VLOOKUP($A25,Supp_45,14,FALSE),0)+IFERROR(SUMPRODUCT(VLOOKUP($A25,S275_01,{26,27,28},FALSE)),0)+IFERROR(SUMPRODUCT(VLOOKUP($A25,S275_97,{26,27,28},FALSE)),0)+IFERROR(ROUND(VLOOKUP($A25,S275_21,26,FALSE)*VLOOKUP($A25,'3121% SY'!$C$3:$M$324,11,FALSE),3),0)+IFERROR(ROUND(VLOOKUP($A25,S275_21,27,FALSE)*VLOOKUP($A25,'3121% SY'!$C$3:$M$324,11,FALSE),3),0)+IFERROR(ROUND(VLOOKUP($A25,S275_21,28,FALSE)*VLOOKUP($A25,'3121% SY'!$C$3:$M$324,11,FALSE),3),0)+IFERROR(VLOOKUP($A25,S275_09,10,FALSE),0)</f>
        <v>0</v>
      </c>
      <c r="X25" s="267">
        <f>IFERROR(VLOOKUP($A25,Supp_46,14,FALSE),0)+IFERROR(SUMPRODUCT(VLOOKUP($A25,S275_01,{29,30,31},FALSE)),0)+IFERROR(SUMPRODUCT(VLOOKUP($A25,S275_97,{29,30,31},FALSE)),0)+IFERROR(ROUND(VLOOKUP($A25,S275_21,29,FALSE)*VLOOKUP($A25,'3121% SY'!$C$3:$M$324,11,FALSE),3),0)+IFERROR(ROUND(VLOOKUP($A25,S275_21,30,FALSE)*VLOOKUP($A25,'3121% SY'!$C$3:$M$324,11,FALSE),3),0)+IFERROR(ROUND(VLOOKUP($A25,S275_21,31,FALSE)*VLOOKUP($A25,'3121% SY'!$C$3:$M$324,11,FALSE),3),0)+IFERROR(VLOOKUP($A25,S275_09,11,FALSE),0)</f>
        <v>0</v>
      </c>
      <c r="Y25" s="267">
        <f>IFERROR(VLOOKUP($A25,Supp_47,14,FALSE),0)+IFERROR(SUMPRODUCT(VLOOKUP($A25,S275_01,{32,33,34},FALSE)),0)+IFERROR(SUMPRODUCT(VLOOKUP($A25,S275_97,{32,33,34},FALSE)),0)+IFERROR(ROUND(VLOOKUP($A25,S275_21,32,FALSE)*VLOOKUP($A25,'3121% SY'!$C$3:$M$324,11,FALSE),3),0)+IFERROR(ROUND(VLOOKUP($A25,S275_21,33,FALSE)*VLOOKUP($A25,'3121% SY'!$C$3:$M$324,11,FALSE),3),0)+IFERROR(ROUND(VLOOKUP($A25,S275_21,34,FALSE)*VLOOKUP($A25,'3121% SY'!$C$3:$M$324,11,FALSE),3),0)+IFERROR(VLOOKUP($A25,S275_09,12,FALSE),0)</f>
        <v>0</v>
      </c>
      <c r="Z25" s="267">
        <f>IFERROR(VLOOKUP($A25,Supp_48,14,FALSE),0)+IFERROR(SUMPRODUCT(VLOOKUP($A25,S275_01,{35,36,37},FALSE)),0)+IFERROR(SUMPRODUCT(VLOOKUP($A25,S275_97,{35,36,37},FALSE)),0)+IFERROR(ROUND(VLOOKUP($A25,S275_21,35,FALSE)*VLOOKUP($A25,'3121% SY'!$C$3:$M$324,11,FALSE),3),0)+IFERROR(ROUND(VLOOKUP($A25,S275_21,36,FALSE)*VLOOKUP($A25,'3121% SY'!$C$3:$M$324,11,FALSE),3),0)+IFERROR(ROUND(VLOOKUP($A25,S275_21,37,FALSE)*VLOOKUP($A25,'3121% SY'!$C$3:$M$324,11,FALSE),3),0)+IFERROR(VLOOKUP($A25,S275_09,13,FALSE),0)</f>
        <v>0</v>
      </c>
      <c r="AA25" s="267">
        <f>IFERROR(VLOOKUP($A25,Supp_49,14,FALSE),0)+IFERROR(SUMPRODUCT(VLOOKUP($A25,S275_01,{38,39,40},FALSE)),0)+IFERROR(SUMPRODUCT(VLOOKUP($A25,S275_97,{38,39,40},FALSE)),0)+IFERROR(ROUND(VLOOKUP($A25,S275_21,38,FALSE)*VLOOKUP($A25,'3121% SY'!$C$3:$M$324,11,FALSE),3),0)+IFERROR(ROUND(VLOOKUP($A25,S275_21,39,FALSE)*VLOOKUP($A25,'3121% SY'!$C$3:$M$324,11,FALSE),3),0)+IFERROR(ROUND(VLOOKUP($A25,S275_21,40,FALSE)*VLOOKUP($A25,'3121% SY'!$C$3:$M$324,11,FALSE),3),0)+IFERROR(VLOOKUP($A25,S275_09,14,FALSE),0)</f>
        <v>0</v>
      </c>
      <c r="AB25" s="267">
        <f>IFERROR(VLOOKUP($A25,Supp_64,14,FALSE),0)+IFERROR(SUMPRODUCT(VLOOKUP($A25,S275_01,{41,42,43},FALSE)),0)+IFERROR(SUMPRODUCT(VLOOKUP($A25,S275_97,{41,42,43},FALSE)),0)+IFERROR(ROUND(VLOOKUP($A25,S275_21,41,FALSE)*VLOOKUP($A25,'3121% SY'!$C$3:$M$324,11,FALSE),3),0)+IFERROR(ROUND(VLOOKUP($A25,S275_21,42,FALSE)*VLOOKUP($A25,'3121% SY'!$C$3:$M$324,11,FALSE),3),0)+IFERROR(ROUND(VLOOKUP($A25,S275_21,43,FALSE)*VLOOKUP($A25,'3121% SY'!$C$3:$M$324,11,FALSE),3),0)+IFERROR(VLOOKUP($A25,S275_09,15,FALSE),0)</f>
        <v>0</v>
      </c>
      <c r="AC25" s="268">
        <f t="shared" si="17"/>
        <v>0</v>
      </c>
      <c r="AD25" s="267">
        <f>IFERROR(VLOOKUP($A25,Supp_24,14,FALSE),0)+IFERROR(SUMPRODUCT(VLOOKUP($A25,S275_01,{2,3,4},FALSE)),0)+IFERROR(SUMPRODUCT(VLOOKUP($A25,S275_97,{2,3,4},FALSE)),0)+IFERROR(ROUND(VLOOKUP($A25,S275_21,2,FALSE)*VLOOKUP($A25,'3121% SY'!$C$3:$M$324,11,FALSE),3),0)+IFERROR(ROUND(VLOOKUP($A25,S275_21,3,FALSE)*VLOOKUP($A25,'3121% SY'!$C$3:$M$324,11,FALSE),3),0)+IFERROR(ROUND(VLOOKUP($A25,S275_21,4,FALSE)*VLOOKUP($A25,'3121% SY'!$C$3:$M$324,11,FALSE),3),0)+IFERROR(VLOOKUP($A25,S275_09,2,FALSE),0)</f>
        <v>0</v>
      </c>
      <c r="AE25" s="267">
        <f>IFERROR(VLOOKUP($A25,Supp_25,14,FALSE),0)+IFERROR(SUMPRODUCT(VLOOKUP($A25,S275_01,{5,6,7},FALSE)),0)+IFERROR(SUMPRODUCT(VLOOKUP($A25,S275_97,{5,6,7},FALSE)),0)+IFERROR(ROUND(VLOOKUP($A25,S275_21,5,FALSE)*VLOOKUP($A25,'3121% SY'!$C$3:$M$324,11,FALSE),3),0)+IFERROR(ROUND(VLOOKUP($A25,S275_21,6,FALSE)*VLOOKUP($A25,'3121% SY'!$C$3:$M$324,11,FALSE),3),0)+IFERROR(ROUND(VLOOKUP($A25,S275_21,7,FALSE)*VLOOKUP($A25,'3121% SY'!$C$3:$M$324,11,FALSE),3),0)+IFERROR(VLOOKUP($A25,S275_09,3,FALSE),0)</f>
        <v>0</v>
      </c>
      <c r="AF25" s="267">
        <f>IFERROR(VLOOKUP($A25,Supp_26,14,FALSE),0)+IFERROR(SUMPRODUCT(VLOOKUP($A25,S275_01,{8,9,10},FALSE)),0)+IFERROR(SUMPRODUCT(VLOOKUP($A25,S275_97,{8,9,10},FALSE)),0)+IFERROR(ROUND(VLOOKUP($A25,S275_21,8,FALSE)*VLOOKUP($A25,'3121% SY'!$C$3:$M$324,11,FALSE),3),0)+IFERROR(ROUND(VLOOKUP($A25,S275_21,9,FALSE)*VLOOKUP($A25,'3121% SY'!$C$3:$M$324,11,FALSE),3),0)+IFERROR(ROUND(VLOOKUP($A25,S275_21,10,FALSE)*VLOOKUP($A25,'3121% SY'!$C$3:$M$324,11,FALSE),3),0)+IFERROR(VLOOKUP($A25,S275_09,4,FALSE),0)</f>
        <v>0</v>
      </c>
      <c r="AG25" s="267">
        <f>IFERROR(VLOOKUP($A25,Supp_35,14,FALSE),0)+IFERROR(SUMPRODUCT(VLOOKUP($A25,S275_01,{11,12,13},FALSE)),0)+IFERROR(SUMPRODUCT(VLOOKUP($A25,S275_97,{11,12,13},FALSE)),0)+IFERROR(ROUND(VLOOKUP($A25,S275_21,11,FALSE)*VLOOKUP($A25,'3121% SY'!$C$3:$M$324,11,FALSE),3),0)+IFERROR(ROUND(VLOOKUP($A25,S275_21,12,FALSE)*VLOOKUP($A25,'3121% SY'!$C$3:$M$324,11,FALSE),3),0)+IFERROR(ROUND(VLOOKUP($A25,S275_21,13,FALSE)*VLOOKUP($A25,'3121% SY'!$C$3:$M$324,11,FALSE),3),0)+IFERROR(VLOOKUP($A25,S275_09,5,FALSE),0)</f>
        <v>0</v>
      </c>
      <c r="AH25" s="165">
        <f t="shared" si="15"/>
        <v>0</v>
      </c>
      <c r="AI25" s="161">
        <f>IFERROR(VLOOKUP(A25,'Supp Staff Data'!A:ER,148,FALSE),0)+AB25</f>
        <v>0</v>
      </c>
      <c r="AJ25" s="174">
        <v>1</v>
      </c>
      <c r="AK25" s="25">
        <f>VLOOKUP(A25,'Enroll Data as of January 2025'!$A$3:$T$323,20,FALSE)-F25</f>
        <v>0</v>
      </c>
    </row>
    <row r="26" spans="1:37" x14ac:dyDescent="0.25">
      <c r="A26" s="171" t="s">
        <v>80</v>
      </c>
      <c r="B26" t="s">
        <v>376</v>
      </c>
      <c r="C26" s="173" t="s">
        <v>1077</v>
      </c>
      <c r="D26" s="259">
        <f t="shared" si="9"/>
        <v>6.1259999999999994</v>
      </c>
      <c r="E26" s="259">
        <f t="shared" si="10"/>
        <v>4.5300000000000011</v>
      </c>
      <c r="F26" s="262">
        <f t="shared" si="16"/>
        <v>-1.5960000000000001</v>
      </c>
      <c r="G26" s="161">
        <f>ROUND(IF(F26&lt;0,F26*'2024-25 PSES Compliance'!$G$13,0),3)</f>
        <v>-1.532</v>
      </c>
      <c r="H26" s="161">
        <f>ROUND(IF(F26&lt;0,F26*'2024-25 PSES Compliance'!$G$14,0),3)</f>
        <v>-6.4000000000000001E-2</v>
      </c>
      <c r="I26" s="174">
        <f t="shared" si="11"/>
        <v>0</v>
      </c>
      <c r="J26" s="174">
        <f t="shared" si="12"/>
        <v>0</v>
      </c>
      <c r="K26" s="161">
        <f>VLOOKUP($A26,'Enroll Data as of January 2025'!$A$3:$M$322,6,FALSE)</f>
        <v>3.2679999999999998</v>
      </c>
      <c r="L26" s="161">
        <f>VLOOKUP($A26,'Enroll Data as of January 2025'!$A$3:$M$322,7,FALSE)</f>
        <v>0.64500000000000002</v>
      </c>
      <c r="M26" s="161">
        <f>VLOOKUP($A26,'Enroll Data as of January 2025'!$A$3:$M$322,8,FALSE)</f>
        <v>0.21600000000000003</v>
      </c>
      <c r="N26" s="161">
        <f>VLOOKUP($A26,'Enroll Data as of January 2025'!$A$3:$M$322,9,FALSE)</f>
        <v>1.6260000000000001</v>
      </c>
      <c r="O26" s="165">
        <f t="shared" si="13"/>
        <v>5.7549999999999999</v>
      </c>
      <c r="P26" s="161">
        <f>VLOOKUP($A26,'Enroll Data as of January 2025'!$A$3:$M$322,11,FALSE)</f>
        <v>0.217</v>
      </c>
      <c r="Q26" s="161">
        <f>VLOOKUP($A26,'Enroll Data as of January 2025'!$A$3:$M$322,12,FALSE)</f>
        <v>0.154</v>
      </c>
      <c r="R26" s="165">
        <f t="shared" si="14"/>
        <v>0.371</v>
      </c>
      <c r="S26" s="267">
        <f>IFERROR(VLOOKUP($A26,Supp_39,14,FALSE),0)+IFERROR(SUMPRODUCT(VLOOKUP($A26,S275_01,{14,15,16},FALSE)),0)+IFERROR(SUMPRODUCT(VLOOKUP($A26,S275_97,{14,15,16},FALSE)),0)+IFERROR(ROUND(VLOOKUP($A26,S275_21,14,FALSE)*VLOOKUP($A26,'3121% SY'!$C$3:$M$324,11,FALSE),3),0)+IFERROR(ROUND(VLOOKUP($A26,S275_21,15,FALSE)*VLOOKUP($A26,'3121% SY'!$C$3:$M$324,11,FALSE),3),0)+IFERROR(ROUND(VLOOKUP($A26,S275_21,16,FALSE)*VLOOKUP($A26,'3121% SY'!$C$3:$M$324,11,FALSE),3),0)+IFERROR(VLOOKUP($A26,S275_09,6,FALSE),0)</f>
        <v>1.78</v>
      </c>
      <c r="T26" s="267">
        <f>IFERROR(VLOOKUP($A26,Supp_42,14,FALSE),0)+IFERROR(SUMPRODUCT(VLOOKUP($A26,S275_01,{17,18,19},FALSE)),0)+IFERROR(SUMPRODUCT(VLOOKUP($A26,S275_97,{17,18,19},FALSE)),0)+IFERROR(ROUND(VLOOKUP($A26,S275_21,17,FALSE)*VLOOKUP($A26,'3121% SY'!$C$3:$M$324,11,FALSE),3),0)+IFERROR(ROUND(VLOOKUP($A26,S275_21,18,FALSE)*VLOOKUP($A26,'3121% SY'!$C$3:$M$324,11,FALSE),3),0)+IFERROR(ROUND(VLOOKUP($A26,S275_21,19,FALSE)*VLOOKUP($A26,'3121% SY'!$C$3:$M$324,11,FALSE),3),0)+IFERROR(VLOOKUP($A26,S275_09,7,FALSE),0)</f>
        <v>0.79</v>
      </c>
      <c r="U26" s="267">
        <f>IFERROR(VLOOKUP($A26,Supp_43,14,FALSE),0)+IFERROR(SUMPRODUCT(VLOOKUP($A26,S275_01,{20,21,22},FALSE)),0)+IFERROR(SUMPRODUCT(VLOOKUP($A26,S275_97,{20,21,22},FALSE)),0)+IFERROR(ROUND(VLOOKUP($A26,S275_21,20,FALSE)*VLOOKUP($A26,'3121% SY'!$C$3:$M$324,11,FALSE),3),0)+IFERROR(ROUND(VLOOKUP($A26,S275_21,21,FALSE)*VLOOKUP($A26,'3121% SY'!$C$3:$M$324,11,FALSE),3),0)+IFERROR(ROUND(VLOOKUP($A26,S275_21,22,FALSE)*VLOOKUP($A26,'3121% SY'!$C$3:$M$324,11,FALSE),3),0)+IFERROR(VLOOKUP($A26,S275_09,8,FALSE),0)</f>
        <v>0</v>
      </c>
      <c r="V26" s="267">
        <f>IFERROR(VLOOKUP($A26,Supp_44,14,FALSE),0)+IFERROR(SUMPRODUCT(VLOOKUP($A26,S275_01,{23,24,25},FALSE)),0)+IFERROR(SUMPRODUCT(VLOOKUP($A26,S275_97,{23,24,25},FALSE)),0)+IFERROR(ROUND(VLOOKUP($A26,S275_21,23,FALSE)*VLOOKUP($A26,'3121% SY'!$C$3:$M$324,11,FALSE),3),0)+IFERROR(ROUND(VLOOKUP($A26,S275_21,24,FALSE)*VLOOKUP($A26,'3121% SY'!$C$3:$M$324,11,FALSE),3),0)+IFERROR(ROUND(VLOOKUP($A26,S275_21,25,FALSE)*VLOOKUP($A26,'3121% SY'!$C$3:$M$324,11,FALSE),3),0)+IFERROR(VLOOKUP($A26,S275_09,9,FALSE),0)</f>
        <v>0</v>
      </c>
      <c r="W26" s="267">
        <f>IFERROR(VLOOKUP($A26,Supp_45,14,FALSE),0)+IFERROR(SUMPRODUCT(VLOOKUP($A26,S275_01,{26,27,28},FALSE)),0)+IFERROR(SUMPRODUCT(VLOOKUP($A26,S275_97,{26,27,28},FALSE)),0)+IFERROR(ROUND(VLOOKUP($A26,S275_21,26,FALSE)*VLOOKUP($A26,'3121% SY'!$C$3:$M$324,11,FALSE),3),0)+IFERROR(ROUND(VLOOKUP($A26,S275_21,27,FALSE)*VLOOKUP($A26,'3121% SY'!$C$3:$M$324,11,FALSE),3),0)+IFERROR(ROUND(VLOOKUP($A26,S275_21,28,FALSE)*VLOOKUP($A26,'3121% SY'!$C$3:$M$324,11,FALSE),3),0)+IFERROR(VLOOKUP($A26,S275_09,10,FALSE),0)</f>
        <v>0.25600000000000001</v>
      </c>
      <c r="X26" s="267">
        <f>IFERROR(VLOOKUP($A26,Supp_46,14,FALSE),0)+IFERROR(SUMPRODUCT(VLOOKUP($A26,S275_01,{29,30,31},FALSE)),0)+IFERROR(SUMPRODUCT(VLOOKUP($A26,S275_97,{29,30,31},FALSE)),0)+IFERROR(ROUND(VLOOKUP($A26,S275_21,29,FALSE)*VLOOKUP($A26,'3121% SY'!$C$3:$M$324,11,FALSE),3),0)+IFERROR(ROUND(VLOOKUP($A26,S275_21,30,FALSE)*VLOOKUP($A26,'3121% SY'!$C$3:$M$324,11,FALSE),3),0)+IFERROR(ROUND(VLOOKUP($A26,S275_21,31,FALSE)*VLOOKUP($A26,'3121% SY'!$C$3:$M$324,11,FALSE),3),0)+IFERROR(VLOOKUP($A26,S275_09,11,FALSE),0)</f>
        <v>0.42600000000000005</v>
      </c>
      <c r="Y26" s="267">
        <f>IFERROR(VLOOKUP($A26,Supp_47,14,FALSE),0)+IFERROR(SUMPRODUCT(VLOOKUP($A26,S275_01,{32,33,34},FALSE)),0)+IFERROR(SUMPRODUCT(VLOOKUP($A26,S275_97,{32,33,34},FALSE)),0)+IFERROR(ROUND(VLOOKUP($A26,S275_21,32,FALSE)*VLOOKUP($A26,'3121% SY'!$C$3:$M$324,11,FALSE),3),0)+IFERROR(ROUND(VLOOKUP($A26,S275_21,33,FALSE)*VLOOKUP($A26,'3121% SY'!$C$3:$M$324,11,FALSE),3),0)+IFERROR(ROUND(VLOOKUP($A26,S275_21,34,FALSE)*VLOOKUP($A26,'3121% SY'!$C$3:$M$324,11,FALSE),3),0)+IFERROR(VLOOKUP($A26,S275_09,12,FALSE),0)</f>
        <v>0</v>
      </c>
      <c r="Z26" s="267">
        <f>IFERROR(VLOOKUP($A26,Supp_48,14,FALSE),0)+IFERROR(SUMPRODUCT(VLOOKUP($A26,S275_01,{35,36,37},FALSE)),0)+IFERROR(SUMPRODUCT(VLOOKUP($A26,S275_97,{35,36,37},FALSE)),0)+IFERROR(ROUND(VLOOKUP($A26,S275_21,35,FALSE)*VLOOKUP($A26,'3121% SY'!$C$3:$M$324,11,FALSE),3),0)+IFERROR(ROUND(VLOOKUP($A26,S275_21,36,FALSE)*VLOOKUP($A26,'3121% SY'!$C$3:$M$324,11,FALSE),3),0)+IFERROR(ROUND(VLOOKUP($A26,S275_21,37,FALSE)*VLOOKUP($A26,'3121% SY'!$C$3:$M$324,11,FALSE),3),0)+IFERROR(VLOOKUP($A26,S275_09,13,FALSE),0)</f>
        <v>0</v>
      </c>
      <c r="AA26" s="267">
        <f>IFERROR(VLOOKUP($A26,Supp_49,14,FALSE),0)+IFERROR(SUMPRODUCT(VLOOKUP($A26,S275_01,{38,39,40},FALSE)),0)+IFERROR(SUMPRODUCT(VLOOKUP($A26,S275_97,{38,39,40},FALSE)),0)+IFERROR(ROUND(VLOOKUP($A26,S275_21,38,FALSE)*VLOOKUP($A26,'3121% SY'!$C$3:$M$324,11,FALSE),3),0)+IFERROR(ROUND(VLOOKUP($A26,S275_21,39,FALSE)*VLOOKUP($A26,'3121% SY'!$C$3:$M$324,11,FALSE),3),0)+IFERROR(ROUND(VLOOKUP($A26,S275_21,40,FALSE)*VLOOKUP($A26,'3121% SY'!$C$3:$M$324,11,FALSE),3),0)+IFERROR(VLOOKUP($A26,S275_09,14,FALSE),0)</f>
        <v>0</v>
      </c>
      <c r="AB26" s="267">
        <f>IFERROR(VLOOKUP($A26,Supp_64,14,FALSE),0)+IFERROR(SUMPRODUCT(VLOOKUP($A26,S275_01,{41,42,43},FALSE)),0)+IFERROR(SUMPRODUCT(VLOOKUP($A26,S275_97,{41,42,43},FALSE)),0)+IFERROR(ROUND(VLOOKUP($A26,S275_21,41,FALSE)*VLOOKUP($A26,'3121% SY'!$C$3:$M$324,11,FALSE),3),0)+IFERROR(ROUND(VLOOKUP($A26,S275_21,42,FALSE)*VLOOKUP($A26,'3121% SY'!$C$3:$M$324,11,FALSE),3),0)+IFERROR(ROUND(VLOOKUP($A26,S275_21,43,FALSE)*VLOOKUP($A26,'3121% SY'!$C$3:$M$324,11,FALSE),3),0)+IFERROR(VLOOKUP($A26,S275_09,15,FALSE),0)</f>
        <v>0</v>
      </c>
      <c r="AC26" s="268">
        <f t="shared" si="17"/>
        <v>3.2520000000000007</v>
      </c>
      <c r="AD26" s="267">
        <f>IFERROR(VLOOKUP($A26,Supp_24,14,FALSE),0)+IFERROR(SUMPRODUCT(VLOOKUP($A26,S275_01,{2,3,4},FALSE)),0)+IFERROR(SUMPRODUCT(VLOOKUP($A26,S275_97,{2,3,4},FALSE)),0)+IFERROR(ROUND(VLOOKUP($A26,S275_21,2,FALSE)*VLOOKUP($A26,'3121% SY'!$C$3:$M$324,11,FALSE),3),0)+IFERROR(ROUND(VLOOKUP($A26,S275_21,3,FALSE)*VLOOKUP($A26,'3121% SY'!$C$3:$M$324,11,FALSE),3),0)+IFERROR(ROUND(VLOOKUP($A26,S275_21,4,FALSE)*VLOOKUP($A26,'3121% SY'!$C$3:$M$324,11,FALSE),3),0)+IFERROR(VLOOKUP($A26,S275_09,2,FALSE),0)</f>
        <v>0</v>
      </c>
      <c r="AE26" s="267">
        <f>IFERROR(VLOOKUP($A26,Supp_25,14,FALSE),0)+IFERROR(SUMPRODUCT(VLOOKUP($A26,S275_01,{5,6,7},FALSE)),0)+IFERROR(SUMPRODUCT(VLOOKUP($A26,S275_97,{5,6,7},FALSE)),0)+IFERROR(ROUND(VLOOKUP($A26,S275_21,5,FALSE)*VLOOKUP($A26,'3121% SY'!$C$3:$M$324,11,FALSE),3),0)+IFERROR(ROUND(VLOOKUP($A26,S275_21,6,FALSE)*VLOOKUP($A26,'3121% SY'!$C$3:$M$324,11,FALSE),3),0)+IFERROR(ROUND(VLOOKUP($A26,S275_21,7,FALSE)*VLOOKUP($A26,'3121% SY'!$C$3:$M$324,11,FALSE),3),0)+IFERROR(VLOOKUP($A26,S275_09,3,FALSE),0)</f>
        <v>0</v>
      </c>
      <c r="AF26" s="267">
        <f>IFERROR(VLOOKUP($A26,Supp_26,14,FALSE),0)+IFERROR(SUMPRODUCT(VLOOKUP($A26,S275_01,{8,9,10},FALSE)),0)+IFERROR(SUMPRODUCT(VLOOKUP($A26,S275_97,{8,9,10},FALSE)),0)+IFERROR(ROUND(VLOOKUP($A26,S275_21,8,FALSE)*VLOOKUP($A26,'3121% SY'!$C$3:$M$324,11,FALSE),3),0)+IFERROR(ROUND(VLOOKUP($A26,S275_21,9,FALSE)*VLOOKUP($A26,'3121% SY'!$C$3:$M$324,11,FALSE),3),0)+IFERROR(ROUND(VLOOKUP($A26,S275_21,10,FALSE)*VLOOKUP($A26,'3121% SY'!$C$3:$M$324,11,FALSE),3),0)+IFERROR(VLOOKUP($A26,S275_09,4,FALSE),0)</f>
        <v>1.278</v>
      </c>
      <c r="AG26" s="267">
        <f>IFERROR(VLOOKUP($A26,Supp_35,14,FALSE),0)+IFERROR(SUMPRODUCT(VLOOKUP($A26,S275_01,{11,12,13},FALSE)),0)+IFERROR(SUMPRODUCT(VLOOKUP($A26,S275_97,{11,12,13},FALSE)),0)+IFERROR(ROUND(VLOOKUP($A26,S275_21,11,FALSE)*VLOOKUP($A26,'3121% SY'!$C$3:$M$324,11,FALSE),3),0)+IFERROR(ROUND(VLOOKUP($A26,S275_21,12,FALSE)*VLOOKUP($A26,'3121% SY'!$C$3:$M$324,11,FALSE),3),0)+IFERROR(ROUND(VLOOKUP($A26,S275_21,13,FALSE)*VLOOKUP($A26,'3121% SY'!$C$3:$M$324,11,FALSE),3),0)+IFERROR(VLOOKUP($A26,S275_09,5,FALSE),0)</f>
        <v>0</v>
      </c>
      <c r="AH26" s="165">
        <f t="shared" si="15"/>
        <v>1.278</v>
      </c>
      <c r="AI26" s="161">
        <f>IFERROR(VLOOKUP(A26,'Supp Staff Data'!A:ER,148,FALSE),0)+AB26</f>
        <v>0</v>
      </c>
      <c r="AJ26" s="174">
        <v>0</v>
      </c>
      <c r="AK26" s="25">
        <f>VLOOKUP(A26,'Enroll Data as of January 2025'!$A$3:$T$323,20,FALSE)-F26</f>
        <v>0</v>
      </c>
    </row>
    <row r="27" spans="1:37" x14ac:dyDescent="0.25">
      <c r="A27" s="171" t="s">
        <v>28</v>
      </c>
      <c r="B27" t="s">
        <v>324</v>
      </c>
      <c r="C27" s="173" t="s">
        <v>1077</v>
      </c>
      <c r="D27" s="259">
        <f t="shared" si="9"/>
        <v>1.2449999999999999</v>
      </c>
      <c r="E27" s="259">
        <f t="shared" si="10"/>
        <v>2.3899999999999997</v>
      </c>
      <c r="F27" s="262">
        <f t="shared" si="16"/>
        <v>1.145</v>
      </c>
      <c r="G27" s="161">
        <f>ROUND(IF(F27&lt;0,F27*'2024-25 PSES Compliance'!$G$13,0),3)</f>
        <v>0</v>
      </c>
      <c r="H27" s="161">
        <f>ROUND(IF(F27&lt;0,F27*'2024-25 PSES Compliance'!$G$14,0),3)</f>
        <v>0</v>
      </c>
      <c r="I27" s="174">
        <f t="shared" si="11"/>
        <v>0</v>
      </c>
      <c r="J27" s="174">
        <f t="shared" si="12"/>
        <v>0</v>
      </c>
      <c r="K27" s="161">
        <f>VLOOKUP($A27,'Enroll Data as of January 2025'!$A$3:$M$322,6,FALSE)</f>
        <v>0.7</v>
      </c>
      <c r="L27" s="161">
        <f>VLOOKUP($A27,'Enroll Data as of January 2025'!$A$3:$M$322,7,FALSE)</f>
        <v>0.11199999999999999</v>
      </c>
      <c r="M27" s="161">
        <f>VLOOKUP($A27,'Enroll Data as of January 2025'!$A$3:$M$322,8,FALSE)</f>
        <v>3.7000000000000005E-2</v>
      </c>
      <c r="N27" s="161">
        <f>VLOOKUP($A27,'Enroll Data as of January 2025'!$A$3:$M$322,9,FALSE)</f>
        <v>0.32700000000000001</v>
      </c>
      <c r="O27" s="165">
        <f t="shared" si="13"/>
        <v>1.1759999999999999</v>
      </c>
      <c r="P27" s="161">
        <f>VLOOKUP($A27,'Enroll Data as of January 2025'!$A$3:$M$322,11,FALSE)</f>
        <v>4.3999999999999997E-2</v>
      </c>
      <c r="Q27" s="161">
        <f>VLOOKUP($A27,'Enroll Data as of January 2025'!$A$3:$M$322,12,FALSE)</f>
        <v>2.5000000000000001E-2</v>
      </c>
      <c r="R27" s="165">
        <f t="shared" si="14"/>
        <v>6.9000000000000006E-2</v>
      </c>
      <c r="S27" s="267">
        <f>IFERROR(VLOOKUP($A27,Supp_39,14,FALSE),0)+IFERROR(SUMPRODUCT(VLOOKUP($A27,S275_01,{14,15,16},FALSE)),0)+IFERROR(SUMPRODUCT(VLOOKUP($A27,S275_97,{14,15,16},FALSE)),0)+IFERROR(ROUND(VLOOKUP($A27,S275_21,14,FALSE)*VLOOKUP($A27,'3121% SY'!$C$3:$M$324,11,FALSE),3),0)+IFERROR(ROUND(VLOOKUP($A27,S275_21,15,FALSE)*VLOOKUP($A27,'3121% SY'!$C$3:$M$324,11,FALSE),3),0)+IFERROR(ROUND(VLOOKUP($A27,S275_21,16,FALSE)*VLOOKUP($A27,'3121% SY'!$C$3:$M$324,11,FALSE),3),0)+IFERROR(VLOOKUP($A27,S275_09,6,FALSE),0)</f>
        <v>1</v>
      </c>
      <c r="T27" s="267">
        <f>IFERROR(VLOOKUP($A27,Supp_42,14,FALSE),0)+IFERROR(SUMPRODUCT(VLOOKUP($A27,S275_01,{17,18,19},FALSE)),0)+IFERROR(SUMPRODUCT(VLOOKUP($A27,S275_97,{17,18,19},FALSE)),0)+IFERROR(ROUND(VLOOKUP($A27,S275_21,17,FALSE)*VLOOKUP($A27,'3121% SY'!$C$3:$M$324,11,FALSE),3),0)+IFERROR(ROUND(VLOOKUP($A27,S275_21,18,FALSE)*VLOOKUP($A27,'3121% SY'!$C$3:$M$324,11,FALSE),3),0)+IFERROR(ROUND(VLOOKUP($A27,S275_21,19,FALSE)*VLOOKUP($A27,'3121% SY'!$C$3:$M$324,11,FALSE),3),0)+IFERROR(VLOOKUP($A27,S275_09,7,FALSE),0)</f>
        <v>0</v>
      </c>
      <c r="U27" s="267">
        <f>IFERROR(VLOOKUP($A27,Supp_43,14,FALSE),0)+IFERROR(SUMPRODUCT(VLOOKUP($A27,S275_01,{20,21,22},FALSE)),0)+IFERROR(SUMPRODUCT(VLOOKUP($A27,S275_97,{20,21,22},FALSE)),0)+IFERROR(ROUND(VLOOKUP($A27,S275_21,20,FALSE)*VLOOKUP($A27,'3121% SY'!$C$3:$M$324,11,FALSE),3),0)+IFERROR(ROUND(VLOOKUP($A27,S275_21,21,FALSE)*VLOOKUP($A27,'3121% SY'!$C$3:$M$324,11,FALSE),3),0)+IFERROR(ROUND(VLOOKUP($A27,S275_21,22,FALSE)*VLOOKUP($A27,'3121% SY'!$C$3:$M$324,11,FALSE),3),0)+IFERROR(VLOOKUP($A27,S275_09,8,FALSE),0)</f>
        <v>0</v>
      </c>
      <c r="V27" s="267">
        <f>IFERROR(VLOOKUP($A27,Supp_44,14,FALSE),0)+IFERROR(SUMPRODUCT(VLOOKUP($A27,S275_01,{23,24,25},FALSE)),0)+IFERROR(SUMPRODUCT(VLOOKUP($A27,S275_97,{23,24,25},FALSE)),0)+IFERROR(ROUND(VLOOKUP($A27,S275_21,23,FALSE)*VLOOKUP($A27,'3121% SY'!$C$3:$M$324,11,FALSE),3),0)+IFERROR(ROUND(VLOOKUP($A27,S275_21,24,FALSE)*VLOOKUP($A27,'3121% SY'!$C$3:$M$324,11,FALSE),3),0)+IFERROR(ROUND(VLOOKUP($A27,S275_21,25,FALSE)*VLOOKUP($A27,'3121% SY'!$C$3:$M$324,11,FALSE),3),0)+IFERROR(VLOOKUP($A27,S275_09,9,FALSE),0)</f>
        <v>0</v>
      </c>
      <c r="W27" s="267">
        <f>IFERROR(VLOOKUP($A27,Supp_45,14,FALSE),0)+IFERROR(SUMPRODUCT(VLOOKUP($A27,S275_01,{26,27,28},FALSE)),0)+IFERROR(SUMPRODUCT(VLOOKUP($A27,S275_97,{26,27,28},FALSE)),0)+IFERROR(ROUND(VLOOKUP($A27,S275_21,26,FALSE)*VLOOKUP($A27,'3121% SY'!$C$3:$M$324,11,FALSE),3),0)+IFERROR(ROUND(VLOOKUP($A27,S275_21,27,FALSE)*VLOOKUP($A27,'3121% SY'!$C$3:$M$324,11,FALSE),3),0)+IFERROR(ROUND(VLOOKUP($A27,S275_21,28,FALSE)*VLOOKUP($A27,'3121% SY'!$C$3:$M$324,11,FALSE),3),0)+IFERROR(VLOOKUP($A27,S275_09,10,FALSE),0)</f>
        <v>0</v>
      </c>
      <c r="X27" s="267">
        <f>IFERROR(VLOOKUP($A27,Supp_46,14,FALSE),0)+IFERROR(SUMPRODUCT(VLOOKUP($A27,S275_01,{29,30,31},FALSE)),0)+IFERROR(SUMPRODUCT(VLOOKUP($A27,S275_97,{29,30,31},FALSE)),0)+IFERROR(ROUND(VLOOKUP($A27,S275_21,29,FALSE)*VLOOKUP($A27,'3121% SY'!$C$3:$M$324,11,FALSE),3),0)+IFERROR(ROUND(VLOOKUP($A27,S275_21,30,FALSE)*VLOOKUP($A27,'3121% SY'!$C$3:$M$324,11,FALSE),3),0)+IFERROR(ROUND(VLOOKUP($A27,S275_21,31,FALSE)*VLOOKUP($A27,'3121% SY'!$C$3:$M$324,11,FALSE),3),0)+IFERROR(VLOOKUP($A27,S275_09,11,FALSE),0)</f>
        <v>1.1259999999999999</v>
      </c>
      <c r="Y27" s="267">
        <f>IFERROR(VLOOKUP($A27,Supp_47,14,FALSE),0)+IFERROR(SUMPRODUCT(VLOOKUP($A27,S275_01,{32,33,34},FALSE)),0)+IFERROR(SUMPRODUCT(VLOOKUP($A27,S275_97,{32,33,34},FALSE)),0)+IFERROR(ROUND(VLOOKUP($A27,S275_21,32,FALSE)*VLOOKUP($A27,'3121% SY'!$C$3:$M$324,11,FALSE),3),0)+IFERROR(ROUND(VLOOKUP($A27,S275_21,33,FALSE)*VLOOKUP($A27,'3121% SY'!$C$3:$M$324,11,FALSE),3),0)+IFERROR(ROUND(VLOOKUP($A27,S275_21,34,FALSE)*VLOOKUP($A27,'3121% SY'!$C$3:$M$324,11,FALSE),3),0)+IFERROR(VLOOKUP($A27,S275_09,12,FALSE),0)</f>
        <v>0</v>
      </c>
      <c r="Z27" s="267">
        <f>IFERROR(VLOOKUP($A27,Supp_48,14,FALSE),0)+IFERROR(SUMPRODUCT(VLOOKUP($A27,S275_01,{35,36,37},FALSE)),0)+IFERROR(SUMPRODUCT(VLOOKUP($A27,S275_97,{35,36,37},FALSE)),0)+IFERROR(ROUND(VLOOKUP($A27,S275_21,35,FALSE)*VLOOKUP($A27,'3121% SY'!$C$3:$M$324,11,FALSE),3),0)+IFERROR(ROUND(VLOOKUP($A27,S275_21,36,FALSE)*VLOOKUP($A27,'3121% SY'!$C$3:$M$324,11,FALSE),3),0)+IFERROR(ROUND(VLOOKUP($A27,S275_21,37,FALSE)*VLOOKUP($A27,'3121% SY'!$C$3:$M$324,11,FALSE),3),0)+IFERROR(VLOOKUP($A27,S275_09,13,FALSE),0)</f>
        <v>0</v>
      </c>
      <c r="AA27" s="267">
        <f>IFERROR(VLOOKUP($A27,Supp_49,14,FALSE),0)+IFERROR(SUMPRODUCT(VLOOKUP($A27,S275_01,{38,39,40},FALSE)),0)+IFERROR(SUMPRODUCT(VLOOKUP($A27,S275_97,{38,39,40},FALSE)),0)+IFERROR(ROUND(VLOOKUP($A27,S275_21,38,FALSE)*VLOOKUP($A27,'3121% SY'!$C$3:$M$324,11,FALSE),3),0)+IFERROR(ROUND(VLOOKUP($A27,S275_21,39,FALSE)*VLOOKUP($A27,'3121% SY'!$C$3:$M$324,11,FALSE),3),0)+IFERROR(ROUND(VLOOKUP($A27,S275_21,40,FALSE)*VLOOKUP($A27,'3121% SY'!$C$3:$M$324,11,FALSE),3),0)+IFERROR(VLOOKUP($A27,S275_09,14,FALSE),0)</f>
        <v>0</v>
      </c>
      <c r="AB27" s="267">
        <f>IFERROR(VLOOKUP($A27,Supp_64,14,FALSE),0)+IFERROR(SUMPRODUCT(VLOOKUP($A27,S275_01,{41,42,43},FALSE)),0)+IFERROR(SUMPRODUCT(VLOOKUP($A27,S275_97,{41,42,43},FALSE)),0)+IFERROR(ROUND(VLOOKUP($A27,S275_21,41,FALSE)*VLOOKUP($A27,'3121% SY'!$C$3:$M$324,11,FALSE),3),0)+IFERROR(ROUND(VLOOKUP($A27,S275_21,42,FALSE)*VLOOKUP($A27,'3121% SY'!$C$3:$M$324,11,FALSE),3),0)+IFERROR(ROUND(VLOOKUP($A27,S275_21,43,FALSE)*VLOOKUP($A27,'3121% SY'!$C$3:$M$324,11,FALSE),3),0)+IFERROR(VLOOKUP($A27,S275_09,15,FALSE),0)</f>
        <v>0</v>
      </c>
      <c r="AC27" s="268">
        <f t="shared" si="17"/>
        <v>2.1259999999999999</v>
      </c>
      <c r="AD27" s="267">
        <f>IFERROR(VLOOKUP($A27,Supp_24,14,FALSE),0)+IFERROR(SUMPRODUCT(VLOOKUP($A27,S275_01,{2,3,4},FALSE)),0)+IFERROR(SUMPRODUCT(VLOOKUP($A27,S275_97,{2,3,4},FALSE)),0)+IFERROR(ROUND(VLOOKUP($A27,S275_21,2,FALSE)*VLOOKUP($A27,'3121% SY'!$C$3:$M$324,11,FALSE),3),0)+IFERROR(ROUND(VLOOKUP($A27,S275_21,3,FALSE)*VLOOKUP($A27,'3121% SY'!$C$3:$M$324,11,FALSE),3),0)+IFERROR(ROUND(VLOOKUP($A27,S275_21,4,FALSE)*VLOOKUP($A27,'3121% SY'!$C$3:$M$324,11,FALSE),3),0)+IFERROR(VLOOKUP($A27,S275_09,2,FALSE),0)</f>
        <v>0</v>
      </c>
      <c r="AE27" s="267">
        <f>IFERROR(VLOOKUP($A27,Supp_25,14,FALSE),0)+IFERROR(SUMPRODUCT(VLOOKUP($A27,S275_01,{5,6,7},FALSE)),0)+IFERROR(SUMPRODUCT(VLOOKUP($A27,S275_97,{5,6,7},FALSE)),0)+IFERROR(ROUND(VLOOKUP($A27,S275_21,5,FALSE)*VLOOKUP($A27,'3121% SY'!$C$3:$M$324,11,FALSE),3),0)+IFERROR(ROUND(VLOOKUP($A27,S275_21,6,FALSE)*VLOOKUP($A27,'3121% SY'!$C$3:$M$324,11,FALSE),3),0)+IFERROR(ROUND(VLOOKUP($A27,S275_21,7,FALSE)*VLOOKUP($A27,'3121% SY'!$C$3:$M$324,11,FALSE),3),0)+IFERROR(VLOOKUP($A27,S275_09,3,FALSE),0)</f>
        <v>0.26400000000000001</v>
      </c>
      <c r="AF27" s="267">
        <f>IFERROR(VLOOKUP($A27,Supp_26,14,FALSE),0)+IFERROR(SUMPRODUCT(VLOOKUP($A27,S275_01,{8,9,10},FALSE)),0)+IFERROR(SUMPRODUCT(VLOOKUP($A27,S275_97,{8,9,10},FALSE)),0)+IFERROR(ROUND(VLOOKUP($A27,S275_21,8,FALSE)*VLOOKUP($A27,'3121% SY'!$C$3:$M$324,11,FALSE),3),0)+IFERROR(ROUND(VLOOKUP($A27,S275_21,9,FALSE)*VLOOKUP($A27,'3121% SY'!$C$3:$M$324,11,FALSE),3),0)+IFERROR(ROUND(VLOOKUP($A27,S275_21,10,FALSE)*VLOOKUP($A27,'3121% SY'!$C$3:$M$324,11,FALSE),3),0)+IFERROR(VLOOKUP($A27,S275_09,4,FALSE),0)</f>
        <v>0</v>
      </c>
      <c r="AG27" s="267">
        <f>IFERROR(VLOOKUP($A27,Supp_35,14,FALSE),0)+IFERROR(SUMPRODUCT(VLOOKUP($A27,S275_01,{11,12,13},FALSE)),0)+IFERROR(SUMPRODUCT(VLOOKUP($A27,S275_97,{11,12,13},FALSE)),0)+IFERROR(ROUND(VLOOKUP($A27,S275_21,11,FALSE)*VLOOKUP($A27,'3121% SY'!$C$3:$M$324,11,FALSE),3),0)+IFERROR(ROUND(VLOOKUP($A27,S275_21,12,FALSE)*VLOOKUP($A27,'3121% SY'!$C$3:$M$324,11,FALSE),3),0)+IFERROR(ROUND(VLOOKUP($A27,S275_21,13,FALSE)*VLOOKUP($A27,'3121% SY'!$C$3:$M$324,11,FALSE),3),0)+IFERROR(VLOOKUP($A27,S275_09,5,FALSE),0)</f>
        <v>0</v>
      </c>
      <c r="AH27" s="165">
        <f t="shared" si="15"/>
        <v>0.26400000000000001</v>
      </c>
      <c r="AI27" s="161">
        <f>IFERROR(VLOOKUP(A27,'Supp Staff Data'!A:ER,148,FALSE),0)+AB27</f>
        <v>0</v>
      </c>
      <c r="AJ27" s="174">
        <v>0</v>
      </c>
      <c r="AK27" s="25">
        <f>VLOOKUP(A27,'Enroll Data as of January 2025'!$A$3:$T$323,20,FALSE)-F27</f>
        <v>0</v>
      </c>
    </row>
    <row r="28" spans="1:37" x14ac:dyDescent="0.25">
      <c r="A28" s="171" t="s">
        <v>44</v>
      </c>
      <c r="B28" t="s">
        <v>340</v>
      </c>
      <c r="C28" s="173" t="s">
        <v>1077</v>
      </c>
      <c r="D28" s="259">
        <f t="shared" si="9"/>
        <v>3.4660000000000002</v>
      </c>
      <c r="E28" s="259">
        <f t="shared" si="10"/>
        <v>3.3540000000000001</v>
      </c>
      <c r="F28" s="262">
        <f t="shared" si="16"/>
        <v>-0.112</v>
      </c>
      <c r="G28" s="161">
        <f>ROUND(IF(F28&lt;0,F28*'2024-25 PSES Compliance'!$G$13,0),3)</f>
        <v>-0.108</v>
      </c>
      <c r="H28" s="161">
        <f>ROUND(IF(F28&lt;0,F28*'2024-25 PSES Compliance'!$G$14,0),3)</f>
        <v>-4.0000000000000001E-3</v>
      </c>
      <c r="I28" s="174">
        <f t="shared" si="11"/>
        <v>0</v>
      </c>
      <c r="J28" s="174">
        <f t="shared" si="12"/>
        <v>0</v>
      </c>
      <c r="K28" s="161">
        <f>VLOOKUP($A28,'Enroll Data as of January 2025'!$A$3:$M$322,6,FALSE)</f>
        <v>1.9159999999999999</v>
      </c>
      <c r="L28" s="161">
        <f>VLOOKUP($A28,'Enroll Data as of January 2025'!$A$3:$M$322,7,FALSE)</f>
        <v>0.33</v>
      </c>
      <c r="M28" s="161">
        <f>VLOOKUP($A28,'Enroll Data as of January 2025'!$A$3:$M$322,8,FALSE)</f>
        <v>0.11</v>
      </c>
      <c r="N28" s="161">
        <f>VLOOKUP($A28,'Enroll Data as of January 2025'!$A$3:$M$322,9,FALSE)</f>
        <v>0.91300000000000003</v>
      </c>
      <c r="O28" s="165">
        <f t="shared" si="13"/>
        <v>3.2690000000000001</v>
      </c>
      <c r="P28" s="161">
        <f>VLOOKUP($A28,'Enroll Data as of January 2025'!$A$3:$M$322,11,FALSE)</f>
        <v>0.122</v>
      </c>
      <c r="Q28" s="161">
        <f>VLOOKUP($A28,'Enroll Data as of January 2025'!$A$3:$M$322,12,FALSE)</f>
        <v>7.4999999999999997E-2</v>
      </c>
      <c r="R28" s="165">
        <f t="shared" si="14"/>
        <v>0.19700000000000001</v>
      </c>
      <c r="S28" s="267">
        <f>IFERROR(VLOOKUP($A28,Supp_39,14,FALSE),0)+IFERROR(SUMPRODUCT(VLOOKUP($A28,S275_01,{14,15,16},FALSE)),0)+IFERROR(SUMPRODUCT(VLOOKUP($A28,S275_97,{14,15,16},FALSE)),0)+IFERROR(ROUND(VLOOKUP($A28,S275_21,14,FALSE)*VLOOKUP($A28,'3121% SY'!$C$3:$M$324,11,FALSE),3),0)+IFERROR(ROUND(VLOOKUP($A28,S275_21,15,FALSE)*VLOOKUP($A28,'3121% SY'!$C$3:$M$324,11,FALSE),3),0)+IFERROR(ROUND(VLOOKUP($A28,S275_21,16,FALSE)*VLOOKUP($A28,'3121% SY'!$C$3:$M$324,11,FALSE),3),0)+IFERROR(VLOOKUP($A28,S275_09,6,FALSE),0)</f>
        <v>2</v>
      </c>
      <c r="T28" s="267">
        <f>IFERROR(VLOOKUP($A28,Supp_42,14,FALSE),0)+IFERROR(SUMPRODUCT(VLOOKUP($A28,S275_01,{17,18,19},FALSE)),0)+IFERROR(SUMPRODUCT(VLOOKUP($A28,S275_97,{17,18,19},FALSE)),0)+IFERROR(ROUND(VLOOKUP($A28,S275_21,17,FALSE)*VLOOKUP($A28,'3121% SY'!$C$3:$M$324,11,FALSE),3),0)+IFERROR(ROUND(VLOOKUP($A28,S275_21,18,FALSE)*VLOOKUP($A28,'3121% SY'!$C$3:$M$324,11,FALSE),3),0)+IFERROR(ROUND(VLOOKUP($A28,S275_21,19,FALSE)*VLOOKUP($A28,'3121% SY'!$C$3:$M$324,11,FALSE),3),0)+IFERROR(VLOOKUP($A28,S275_09,7,FALSE),0)</f>
        <v>0</v>
      </c>
      <c r="U28" s="267">
        <f>IFERROR(VLOOKUP($A28,Supp_43,14,FALSE),0)+IFERROR(SUMPRODUCT(VLOOKUP($A28,S275_01,{20,21,22},FALSE)),0)+IFERROR(SUMPRODUCT(VLOOKUP($A28,S275_97,{20,21,22},FALSE)),0)+IFERROR(ROUND(VLOOKUP($A28,S275_21,20,FALSE)*VLOOKUP($A28,'3121% SY'!$C$3:$M$324,11,FALSE),3),0)+IFERROR(ROUND(VLOOKUP($A28,S275_21,21,FALSE)*VLOOKUP($A28,'3121% SY'!$C$3:$M$324,11,FALSE),3),0)+IFERROR(ROUND(VLOOKUP($A28,S275_21,22,FALSE)*VLOOKUP($A28,'3121% SY'!$C$3:$M$324,11,FALSE),3),0)+IFERROR(VLOOKUP($A28,S275_09,8,FALSE),0)</f>
        <v>0</v>
      </c>
      <c r="V28" s="267">
        <f>IFERROR(VLOOKUP($A28,Supp_44,14,FALSE),0)+IFERROR(SUMPRODUCT(VLOOKUP($A28,S275_01,{23,24,25},FALSE)),0)+IFERROR(SUMPRODUCT(VLOOKUP($A28,S275_97,{23,24,25},FALSE)),0)+IFERROR(ROUND(VLOOKUP($A28,S275_21,23,FALSE)*VLOOKUP($A28,'3121% SY'!$C$3:$M$324,11,FALSE),3),0)+IFERROR(ROUND(VLOOKUP($A28,S275_21,24,FALSE)*VLOOKUP($A28,'3121% SY'!$C$3:$M$324,11,FALSE),3),0)+IFERROR(ROUND(VLOOKUP($A28,S275_21,25,FALSE)*VLOOKUP($A28,'3121% SY'!$C$3:$M$324,11,FALSE),3),0)+IFERROR(VLOOKUP($A28,S275_09,9,FALSE),0)</f>
        <v>0</v>
      </c>
      <c r="W28" s="267">
        <f>IFERROR(VLOOKUP($A28,Supp_45,14,FALSE),0)+IFERROR(SUMPRODUCT(VLOOKUP($A28,S275_01,{26,27,28},FALSE)),0)+IFERROR(SUMPRODUCT(VLOOKUP($A28,S275_97,{26,27,28},FALSE)),0)+IFERROR(ROUND(VLOOKUP($A28,S275_21,26,FALSE)*VLOOKUP($A28,'3121% SY'!$C$3:$M$324,11,FALSE),3),0)+IFERROR(ROUND(VLOOKUP($A28,S275_21,27,FALSE)*VLOOKUP($A28,'3121% SY'!$C$3:$M$324,11,FALSE),3),0)+IFERROR(ROUND(VLOOKUP($A28,S275_21,28,FALSE)*VLOOKUP($A28,'3121% SY'!$C$3:$M$324,11,FALSE),3),0)+IFERROR(VLOOKUP($A28,S275_09,10,FALSE),0)</f>
        <v>0</v>
      </c>
      <c r="X28" s="267">
        <f>IFERROR(VLOOKUP($A28,Supp_46,14,FALSE),0)+IFERROR(SUMPRODUCT(VLOOKUP($A28,S275_01,{29,30,31},FALSE)),0)+IFERROR(SUMPRODUCT(VLOOKUP($A28,S275_97,{29,30,31},FALSE)),0)+IFERROR(ROUND(VLOOKUP($A28,S275_21,29,FALSE)*VLOOKUP($A28,'3121% SY'!$C$3:$M$324,11,FALSE),3),0)+IFERROR(ROUND(VLOOKUP($A28,S275_21,30,FALSE)*VLOOKUP($A28,'3121% SY'!$C$3:$M$324,11,FALSE),3),0)+IFERROR(ROUND(VLOOKUP($A28,S275_21,31,FALSE)*VLOOKUP($A28,'3121% SY'!$C$3:$M$324,11,FALSE),3),0)+IFERROR(VLOOKUP($A28,S275_09,11,FALSE),0)</f>
        <v>0</v>
      </c>
      <c r="Y28" s="267">
        <f>IFERROR(VLOOKUP($A28,Supp_47,14,FALSE),0)+IFERROR(SUMPRODUCT(VLOOKUP($A28,S275_01,{32,33,34},FALSE)),0)+IFERROR(SUMPRODUCT(VLOOKUP($A28,S275_97,{32,33,34},FALSE)),0)+IFERROR(ROUND(VLOOKUP($A28,S275_21,32,FALSE)*VLOOKUP($A28,'3121% SY'!$C$3:$M$324,11,FALSE),3),0)+IFERROR(ROUND(VLOOKUP($A28,S275_21,33,FALSE)*VLOOKUP($A28,'3121% SY'!$C$3:$M$324,11,FALSE),3),0)+IFERROR(ROUND(VLOOKUP($A28,S275_21,34,FALSE)*VLOOKUP($A28,'3121% SY'!$C$3:$M$324,11,FALSE),3),0)+IFERROR(VLOOKUP($A28,S275_09,12,FALSE),0)</f>
        <v>0</v>
      </c>
      <c r="Z28" s="267">
        <f>IFERROR(VLOOKUP($A28,Supp_48,14,FALSE),0)+IFERROR(SUMPRODUCT(VLOOKUP($A28,S275_01,{35,36,37},FALSE)),0)+IFERROR(SUMPRODUCT(VLOOKUP($A28,S275_97,{35,36,37},FALSE)),0)+IFERROR(ROUND(VLOOKUP($A28,S275_21,35,FALSE)*VLOOKUP($A28,'3121% SY'!$C$3:$M$324,11,FALSE),3),0)+IFERROR(ROUND(VLOOKUP($A28,S275_21,36,FALSE)*VLOOKUP($A28,'3121% SY'!$C$3:$M$324,11,FALSE),3),0)+IFERROR(ROUND(VLOOKUP($A28,S275_21,37,FALSE)*VLOOKUP($A28,'3121% SY'!$C$3:$M$324,11,FALSE),3),0)+IFERROR(VLOOKUP($A28,S275_09,13,FALSE),0)</f>
        <v>0</v>
      </c>
      <c r="AA28" s="267">
        <f>IFERROR(VLOOKUP($A28,Supp_49,14,FALSE),0)+IFERROR(SUMPRODUCT(VLOOKUP($A28,S275_01,{38,39,40},FALSE)),0)+IFERROR(SUMPRODUCT(VLOOKUP($A28,S275_97,{38,39,40},FALSE)),0)+IFERROR(ROUND(VLOOKUP($A28,S275_21,38,FALSE)*VLOOKUP($A28,'3121% SY'!$C$3:$M$324,11,FALSE),3),0)+IFERROR(ROUND(VLOOKUP($A28,S275_21,39,FALSE)*VLOOKUP($A28,'3121% SY'!$C$3:$M$324,11,FALSE),3),0)+IFERROR(ROUND(VLOOKUP($A28,S275_21,40,FALSE)*VLOOKUP($A28,'3121% SY'!$C$3:$M$324,11,FALSE),3),0)+IFERROR(VLOOKUP($A28,S275_09,14,FALSE),0)</f>
        <v>0</v>
      </c>
      <c r="AB28" s="267">
        <f>IFERROR(VLOOKUP($A28,Supp_64,14,FALSE),0)+IFERROR(SUMPRODUCT(VLOOKUP($A28,S275_01,{41,42,43},FALSE)),0)+IFERROR(SUMPRODUCT(VLOOKUP($A28,S275_97,{41,42,43},FALSE)),0)+IFERROR(ROUND(VLOOKUP($A28,S275_21,41,FALSE)*VLOOKUP($A28,'3121% SY'!$C$3:$M$324,11,FALSE),3),0)+IFERROR(ROUND(VLOOKUP($A28,S275_21,42,FALSE)*VLOOKUP($A28,'3121% SY'!$C$3:$M$324,11,FALSE),3),0)+IFERROR(ROUND(VLOOKUP($A28,S275_21,43,FALSE)*VLOOKUP($A28,'3121% SY'!$C$3:$M$324,11,FALSE),3),0)+IFERROR(VLOOKUP($A28,S275_09,15,FALSE),0)</f>
        <v>0</v>
      </c>
      <c r="AC28" s="268">
        <f t="shared" si="17"/>
        <v>2</v>
      </c>
      <c r="AD28" s="267">
        <f>IFERROR(VLOOKUP($A28,Supp_24,14,FALSE),0)+IFERROR(SUMPRODUCT(VLOOKUP($A28,S275_01,{2,3,4},FALSE)),0)+IFERROR(SUMPRODUCT(VLOOKUP($A28,S275_97,{2,3,4},FALSE)),0)+IFERROR(ROUND(VLOOKUP($A28,S275_21,2,FALSE)*VLOOKUP($A28,'3121% SY'!$C$3:$M$324,11,FALSE),3),0)+IFERROR(ROUND(VLOOKUP($A28,S275_21,3,FALSE)*VLOOKUP($A28,'3121% SY'!$C$3:$M$324,11,FALSE),3),0)+IFERROR(ROUND(VLOOKUP($A28,S275_21,4,FALSE)*VLOOKUP($A28,'3121% SY'!$C$3:$M$324,11,FALSE),3),0)+IFERROR(VLOOKUP($A28,S275_09,2,FALSE),0)</f>
        <v>0.75700000000000001</v>
      </c>
      <c r="AE28" s="267">
        <f>IFERROR(VLOOKUP($A28,Supp_25,14,FALSE),0)+IFERROR(SUMPRODUCT(VLOOKUP($A28,S275_01,{5,6,7},FALSE)),0)+IFERROR(SUMPRODUCT(VLOOKUP($A28,S275_97,{5,6,7},FALSE)),0)+IFERROR(ROUND(VLOOKUP($A28,S275_21,5,FALSE)*VLOOKUP($A28,'3121% SY'!$C$3:$M$324,11,FALSE),3),0)+IFERROR(ROUND(VLOOKUP($A28,S275_21,6,FALSE)*VLOOKUP($A28,'3121% SY'!$C$3:$M$324,11,FALSE),3),0)+IFERROR(ROUND(VLOOKUP($A28,S275_21,7,FALSE)*VLOOKUP($A28,'3121% SY'!$C$3:$M$324,11,FALSE),3),0)+IFERROR(VLOOKUP($A28,S275_09,3,FALSE),0)</f>
        <v>0</v>
      </c>
      <c r="AF28" s="267">
        <f>IFERROR(VLOOKUP($A28,Supp_26,14,FALSE),0)+IFERROR(SUMPRODUCT(VLOOKUP($A28,S275_01,{8,9,10},FALSE)),0)+IFERROR(SUMPRODUCT(VLOOKUP($A28,S275_97,{8,9,10},FALSE)),0)+IFERROR(ROUND(VLOOKUP($A28,S275_21,8,FALSE)*VLOOKUP($A28,'3121% SY'!$C$3:$M$324,11,FALSE),3),0)+IFERROR(ROUND(VLOOKUP($A28,S275_21,9,FALSE)*VLOOKUP($A28,'3121% SY'!$C$3:$M$324,11,FALSE),3),0)+IFERROR(ROUND(VLOOKUP($A28,S275_21,10,FALSE)*VLOOKUP($A28,'3121% SY'!$C$3:$M$324,11,FALSE),3),0)+IFERROR(VLOOKUP($A28,S275_09,4,FALSE),0)</f>
        <v>0.59699999999999998</v>
      </c>
      <c r="AG28" s="267">
        <f>IFERROR(VLOOKUP($A28,Supp_35,14,FALSE),0)+IFERROR(SUMPRODUCT(VLOOKUP($A28,S275_01,{11,12,13},FALSE)),0)+IFERROR(SUMPRODUCT(VLOOKUP($A28,S275_97,{11,12,13},FALSE)),0)+IFERROR(ROUND(VLOOKUP($A28,S275_21,11,FALSE)*VLOOKUP($A28,'3121% SY'!$C$3:$M$324,11,FALSE),3),0)+IFERROR(ROUND(VLOOKUP($A28,S275_21,12,FALSE)*VLOOKUP($A28,'3121% SY'!$C$3:$M$324,11,FALSE),3),0)+IFERROR(ROUND(VLOOKUP($A28,S275_21,13,FALSE)*VLOOKUP($A28,'3121% SY'!$C$3:$M$324,11,FALSE),3),0)+IFERROR(VLOOKUP($A28,S275_09,5,FALSE),0)</f>
        <v>0</v>
      </c>
      <c r="AH28" s="165">
        <f t="shared" si="15"/>
        <v>1.3540000000000001</v>
      </c>
      <c r="AI28" s="161">
        <f>IFERROR(VLOOKUP(A28,'Supp Staff Data'!A:ER,148,FALSE),0)+AB28</f>
        <v>0</v>
      </c>
      <c r="AJ28" s="174">
        <v>0</v>
      </c>
      <c r="AK28" s="25">
        <f>VLOOKUP(A28,'Enroll Data as of January 2025'!$A$3:$T$323,20,FALSE)-F28</f>
        <v>0</v>
      </c>
    </row>
    <row r="29" spans="1:37" x14ac:dyDescent="0.25">
      <c r="A29" s="171" t="s">
        <v>144</v>
      </c>
      <c r="B29" t="s">
        <v>440</v>
      </c>
      <c r="C29" s="173" t="s">
        <v>1077</v>
      </c>
      <c r="D29" s="259">
        <f t="shared" si="9"/>
        <v>0.40500000000000003</v>
      </c>
      <c r="E29" s="259">
        <f t="shared" si="10"/>
        <v>7.0000000000000007E-2</v>
      </c>
      <c r="F29" s="262">
        <f t="shared" si="16"/>
        <v>-0.33500000000000002</v>
      </c>
      <c r="G29" s="161">
        <f>ROUND(IF(F29&lt;0,F29*'2024-25 PSES Compliance'!$G$13,0),3)</f>
        <v>-0.32200000000000001</v>
      </c>
      <c r="H29" s="161">
        <f>ROUND(IF(F29&lt;0,F29*'2024-25 PSES Compliance'!$G$14,0),3)</f>
        <v>-1.2999999999999999E-2</v>
      </c>
      <c r="I29" s="174">
        <f t="shared" si="11"/>
        <v>0</v>
      </c>
      <c r="J29" s="174">
        <f t="shared" si="12"/>
        <v>0</v>
      </c>
      <c r="K29" s="161">
        <f>VLOOKUP($A29,'Enroll Data as of January 2025'!$A$3:$M$322,6,FALSE)</f>
        <v>0.19800000000000001</v>
      </c>
      <c r="L29" s="161">
        <f>VLOOKUP($A29,'Enroll Data as of January 2025'!$A$3:$M$322,7,FALSE)</f>
        <v>0.05</v>
      </c>
      <c r="M29" s="161">
        <f>VLOOKUP($A29,'Enroll Data as of January 2025'!$A$3:$M$322,8,FALSE)</f>
        <v>1.7000000000000001E-2</v>
      </c>
      <c r="N29" s="161">
        <f>VLOOKUP($A29,'Enroll Data as of January 2025'!$A$3:$M$322,9,FALSE)</f>
        <v>0.11299999999999999</v>
      </c>
      <c r="O29" s="165">
        <f t="shared" si="13"/>
        <v>0.378</v>
      </c>
      <c r="P29" s="161">
        <f>VLOOKUP($A29,'Enroll Data as of January 2025'!$A$3:$M$322,11,FALSE)</f>
        <v>1.4E-2</v>
      </c>
      <c r="Q29" s="161">
        <f>VLOOKUP($A29,'Enroll Data as of January 2025'!$A$3:$M$322,12,FALSE)</f>
        <v>1.2999999999999999E-2</v>
      </c>
      <c r="R29" s="165">
        <f t="shared" si="14"/>
        <v>2.7E-2</v>
      </c>
      <c r="S29" s="267">
        <f>IFERROR(VLOOKUP($A29,Supp_39,14,FALSE),0)+IFERROR(SUMPRODUCT(VLOOKUP($A29,S275_01,{14,15,16},FALSE)),0)+IFERROR(SUMPRODUCT(VLOOKUP($A29,S275_97,{14,15,16},FALSE)),0)+IFERROR(ROUND(VLOOKUP($A29,S275_21,14,FALSE)*VLOOKUP($A29,'3121% SY'!$C$3:$M$324,11,FALSE),3),0)+IFERROR(ROUND(VLOOKUP($A29,S275_21,15,FALSE)*VLOOKUP($A29,'3121% SY'!$C$3:$M$324,11,FALSE),3),0)+IFERROR(ROUND(VLOOKUP($A29,S275_21,16,FALSE)*VLOOKUP($A29,'3121% SY'!$C$3:$M$324,11,FALSE),3),0)+IFERROR(VLOOKUP($A29,S275_09,6,FALSE),0)</f>
        <v>0</v>
      </c>
      <c r="T29" s="267">
        <f>IFERROR(VLOOKUP($A29,Supp_42,14,FALSE),0)+IFERROR(SUMPRODUCT(VLOOKUP($A29,S275_01,{17,18,19},FALSE)),0)+IFERROR(SUMPRODUCT(VLOOKUP($A29,S275_97,{17,18,19},FALSE)),0)+IFERROR(ROUND(VLOOKUP($A29,S275_21,17,FALSE)*VLOOKUP($A29,'3121% SY'!$C$3:$M$324,11,FALSE),3),0)+IFERROR(ROUND(VLOOKUP($A29,S275_21,18,FALSE)*VLOOKUP($A29,'3121% SY'!$C$3:$M$324,11,FALSE),3),0)+IFERROR(ROUND(VLOOKUP($A29,S275_21,19,FALSE)*VLOOKUP($A29,'3121% SY'!$C$3:$M$324,11,FALSE),3),0)+IFERROR(VLOOKUP($A29,S275_09,7,FALSE),0)</f>
        <v>0</v>
      </c>
      <c r="U29" s="267">
        <f>IFERROR(VLOOKUP($A29,Supp_43,14,FALSE),0)+IFERROR(SUMPRODUCT(VLOOKUP($A29,S275_01,{20,21,22},FALSE)),0)+IFERROR(SUMPRODUCT(VLOOKUP($A29,S275_97,{20,21,22},FALSE)),0)+IFERROR(ROUND(VLOOKUP($A29,S275_21,20,FALSE)*VLOOKUP($A29,'3121% SY'!$C$3:$M$324,11,FALSE),3),0)+IFERROR(ROUND(VLOOKUP($A29,S275_21,21,FALSE)*VLOOKUP($A29,'3121% SY'!$C$3:$M$324,11,FALSE),3),0)+IFERROR(ROUND(VLOOKUP($A29,S275_21,22,FALSE)*VLOOKUP($A29,'3121% SY'!$C$3:$M$324,11,FALSE),3),0)+IFERROR(VLOOKUP($A29,S275_09,8,FALSE),0)</f>
        <v>0</v>
      </c>
      <c r="V29" s="267">
        <f>IFERROR(VLOOKUP($A29,Supp_44,14,FALSE),0)+IFERROR(SUMPRODUCT(VLOOKUP($A29,S275_01,{23,24,25},FALSE)),0)+IFERROR(SUMPRODUCT(VLOOKUP($A29,S275_97,{23,24,25},FALSE)),0)+IFERROR(ROUND(VLOOKUP($A29,S275_21,23,FALSE)*VLOOKUP($A29,'3121% SY'!$C$3:$M$324,11,FALSE),3),0)+IFERROR(ROUND(VLOOKUP($A29,S275_21,24,FALSE)*VLOOKUP($A29,'3121% SY'!$C$3:$M$324,11,FALSE),3),0)+IFERROR(ROUND(VLOOKUP($A29,S275_21,25,FALSE)*VLOOKUP($A29,'3121% SY'!$C$3:$M$324,11,FALSE),3),0)+IFERROR(VLOOKUP($A29,S275_09,9,FALSE),0)</f>
        <v>0</v>
      </c>
      <c r="W29" s="267">
        <f>IFERROR(VLOOKUP($A29,Supp_45,14,FALSE),0)+IFERROR(SUMPRODUCT(VLOOKUP($A29,S275_01,{26,27,28},FALSE)),0)+IFERROR(SUMPRODUCT(VLOOKUP($A29,S275_97,{26,27,28},FALSE)),0)+IFERROR(ROUND(VLOOKUP($A29,S275_21,26,FALSE)*VLOOKUP($A29,'3121% SY'!$C$3:$M$324,11,FALSE),3),0)+IFERROR(ROUND(VLOOKUP($A29,S275_21,27,FALSE)*VLOOKUP($A29,'3121% SY'!$C$3:$M$324,11,FALSE),3),0)+IFERROR(ROUND(VLOOKUP($A29,S275_21,28,FALSE)*VLOOKUP($A29,'3121% SY'!$C$3:$M$324,11,FALSE),3),0)+IFERROR(VLOOKUP($A29,S275_09,10,FALSE),0)</f>
        <v>0</v>
      </c>
      <c r="X29" s="267">
        <f>IFERROR(VLOOKUP($A29,Supp_46,14,FALSE),0)+IFERROR(SUMPRODUCT(VLOOKUP($A29,S275_01,{29,30,31},FALSE)),0)+IFERROR(SUMPRODUCT(VLOOKUP($A29,S275_97,{29,30,31},FALSE)),0)+IFERROR(ROUND(VLOOKUP($A29,S275_21,29,FALSE)*VLOOKUP($A29,'3121% SY'!$C$3:$M$324,11,FALSE),3),0)+IFERROR(ROUND(VLOOKUP($A29,S275_21,30,FALSE)*VLOOKUP($A29,'3121% SY'!$C$3:$M$324,11,FALSE),3),0)+IFERROR(ROUND(VLOOKUP($A29,S275_21,31,FALSE)*VLOOKUP($A29,'3121% SY'!$C$3:$M$324,11,FALSE),3),0)+IFERROR(VLOOKUP($A29,S275_09,11,FALSE),0)</f>
        <v>0</v>
      </c>
      <c r="Y29" s="267">
        <f>IFERROR(VLOOKUP($A29,Supp_47,14,FALSE),0)+IFERROR(SUMPRODUCT(VLOOKUP($A29,S275_01,{32,33,34},FALSE)),0)+IFERROR(SUMPRODUCT(VLOOKUP($A29,S275_97,{32,33,34},FALSE)),0)+IFERROR(ROUND(VLOOKUP($A29,S275_21,32,FALSE)*VLOOKUP($A29,'3121% SY'!$C$3:$M$324,11,FALSE),3),0)+IFERROR(ROUND(VLOOKUP($A29,S275_21,33,FALSE)*VLOOKUP($A29,'3121% SY'!$C$3:$M$324,11,FALSE),3),0)+IFERROR(ROUND(VLOOKUP($A29,S275_21,34,FALSE)*VLOOKUP($A29,'3121% SY'!$C$3:$M$324,11,FALSE),3),0)+IFERROR(VLOOKUP($A29,S275_09,12,FALSE),0)</f>
        <v>0</v>
      </c>
      <c r="Z29" s="267">
        <f>IFERROR(VLOOKUP($A29,Supp_48,14,FALSE),0)+IFERROR(SUMPRODUCT(VLOOKUP($A29,S275_01,{35,36,37},FALSE)),0)+IFERROR(SUMPRODUCT(VLOOKUP($A29,S275_97,{35,36,37},FALSE)),0)+IFERROR(ROUND(VLOOKUP($A29,S275_21,35,FALSE)*VLOOKUP($A29,'3121% SY'!$C$3:$M$324,11,FALSE),3),0)+IFERROR(ROUND(VLOOKUP($A29,S275_21,36,FALSE)*VLOOKUP($A29,'3121% SY'!$C$3:$M$324,11,FALSE),3),0)+IFERROR(ROUND(VLOOKUP($A29,S275_21,37,FALSE)*VLOOKUP($A29,'3121% SY'!$C$3:$M$324,11,FALSE),3),0)+IFERROR(VLOOKUP($A29,S275_09,13,FALSE),0)</f>
        <v>0</v>
      </c>
      <c r="AA29" s="267">
        <f>IFERROR(VLOOKUP($A29,Supp_49,14,FALSE),0)+IFERROR(SUMPRODUCT(VLOOKUP($A29,S275_01,{38,39,40},FALSE)),0)+IFERROR(SUMPRODUCT(VLOOKUP($A29,S275_97,{38,39,40},FALSE)),0)+IFERROR(ROUND(VLOOKUP($A29,S275_21,38,FALSE)*VLOOKUP($A29,'3121% SY'!$C$3:$M$324,11,FALSE),3),0)+IFERROR(ROUND(VLOOKUP($A29,S275_21,39,FALSE)*VLOOKUP($A29,'3121% SY'!$C$3:$M$324,11,FALSE),3),0)+IFERROR(ROUND(VLOOKUP($A29,S275_21,40,FALSE)*VLOOKUP($A29,'3121% SY'!$C$3:$M$324,11,FALSE),3),0)+IFERROR(VLOOKUP($A29,S275_09,14,FALSE),0)</f>
        <v>0</v>
      </c>
      <c r="AB29" s="267">
        <f>IFERROR(VLOOKUP($A29,Supp_64,14,FALSE),0)+IFERROR(SUMPRODUCT(VLOOKUP($A29,S275_01,{41,42,43},FALSE)),0)+IFERROR(SUMPRODUCT(VLOOKUP($A29,S275_97,{41,42,43},FALSE)),0)+IFERROR(ROUND(VLOOKUP($A29,S275_21,41,FALSE)*VLOOKUP($A29,'3121% SY'!$C$3:$M$324,11,FALSE),3),0)+IFERROR(ROUND(VLOOKUP($A29,S275_21,42,FALSE)*VLOOKUP($A29,'3121% SY'!$C$3:$M$324,11,FALSE),3),0)+IFERROR(ROUND(VLOOKUP($A29,S275_21,43,FALSE)*VLOOKUP($A29,'3121% SY'!$C$3:$M$324,11,FALSE),3),0)+IFERROR(VLOOKUP($A29,S275_09,15,FALSE),0)</f>
        <v>0</v>
      </c>
      <c r="AC29" s="268">
        <f t="shared" si="17"/>
        <v>0</v>
      </c>
      <c r="AD29" s="267">
        <f>IFERROR(VLOOKUP($A29,Supp_24,14,FALSE),0)+IFERROR(SUMPRODUCT(VLOOKUP($A29,S275_01,{2,3,4},FALSE)),0)+IFERROR(SUMPRODUCT(VLOOKUP($A29,S275_97,{2,3,4},FALSE)),0)+IFERROR(ROUND(VLOOKUP($A29,S275_21,2,FALSE)*VLOOKUP($A29,'3121% SY'!$C$3:$M$324,11,FALSE),3),0)+IFERROR(ROUND(VLOOKUP($A29,S275_21,3,FALSE)*VLOOKUP($A29,'3121% SY'!$C$3:$M$324,11,FALSE),3),0)+IFERROR(ROUND(VLOOKUP($A29,S275_21,4,FALSE)*VLOOKUP($A29,'3121% SY'!$C$3:$M$324,11,FALSE),3),0)+IFERROR(VLOOKUP($A29,S275_09,2,FALSE),0)</f>
        <v>0</v>
      </c>
      <c r="AE29" s="267">
        <f>IFERROR(VLOOKUP($A29,Supp_25,14,FALSE),0)+IFERROR(SUMPRODUCT(VLOOKUP($A29,S275_01,{5,6,7},FALSE)),0)+IFERROR(SUMPRODUCT(VLOOKUP($A29,S275_97,{5,6,7},FALSE)),0)+IFERROR(ROUND(VLOOKUP($A29,S275_21,5,FALSE)*VLOOKUP($A29,'3121% SY'!$C$3:$M$324,11,FALSE),3),0)+IFERROR(ROUND(VLOOKUP($A29,S275_21,6,FALSE)*VLOOKUP($A29,'3121% SY'!$C$3:$M$324,11,FALSE),3),0)+IFERROR(ROUND(VLOOKUP($A29,S275_21,7,FALSE)*VLOOKUP($A29,'3121% SY'!$C$3:$M$324,11,FALSE),3),0)+IFERROR(VLOOKUP($A29,S275_09,3,FALSE),0)</f>
        <v>8.0000000000000002E-3</v>
      </c>
      <c r="AF29" s="267">
        <f>IFERROR(VLOOKUP($A29,Supp_26,14,FALSE),0)+IFERROR(SUMPRODUCT(VLOOKUP($A29,S275_01,{8,9,10},FALSE)),0)+IFERROR(SUMPRODUCT(VLOOKUP($A29,S275_97,{8,9,10},FALSE)),0)+IFERROR(ROUND(VLOOKUP($A29,S275_21,8,FALSE)*VLOOKUP($A29,'3121% SY'!$C$3:$M$324,11,FALSE),3),0)+IFERROR(ROUND(VLOOKUP($A29,S275_21,9,FALSE)*VLOOKUP($A29,'3121% SY'!$C$3:$M$324,11,FALSE),3),0)+IFERROR(ROUND(VLOOKUP($A29,S275_21,10,FALSE)*VLOOKUP($A29,'3121% SY'!$C$3:$M$324,11,FALSE),3),0)+IFERROR(VLOOKUP($A29,S275_09,4,FALSE),0)</f>
        <v>6.2E-2</v>
      </c>
      <c r="AG29" s="267">
        <f>IFERROR(VLOOKUP($A29,Supp_35,14,FALSE),0)+IFERROR(SUMPRODUCT(VLOOKUP($A29,S275_01,{11,12,13},FALSE)),0)+IFERROR(SUMPRODUCT(VLOOKUP($A29,S275_97,{11,12,13},FALSE)),0)+IFERROR(ROUND(VLOOKUP($A29,S275_21,11,FALSE)*VLOOKUP($A29,'3121% SY'!$C$3:$M$324,11,FALSE),3),0)+IFERROR(ROUND(VLOOKUP($A29,S275_21,12,FALSE)*VLOOKUP($A29,'3121% SY'!$C$3:$M$324,11,FALSE),3),0)+IFERROR(ROUND(VLOOKUP($A29,S275_21,13,FALSE)*VLOOKUP($A29,'3121% SY'!$C$3:$M$324,11,FALSE),3),0)+IFERROR(VLOOKUP($A29,S275_09,5,FALSE),0)</f>
        <v>0</v>
      </c>
      <c r="AH29" s="165">
        <f t="shared" si="15"/>
        <v>7.0000000000000007E-2</v>
      </c>
      <c r="AI29" s="161">
        <f>IFERROR(VLOOKUP(A29,'Supp Staff Data'!A:ER,148,FALSE),0)+AB29</f>
        <v>0</v>
      </c>
      <c r="AJ29" s="174">
        <v>0</v>
      </c>
      <c r="AK29" s="25">
        <f>VLOOKUP(A29,'Enroll Data as of January 2025'!$A$3:$T$323,20,FALSE)-F29</f>
        <v>0</v>
      </c>
    </row>
    <row r="30" spans="1:37" x14ac:dyDescent="0.25">
      <c r="A30" s="171" t="s">
        <v>56</v>
      </c>
      <c r="B30" t="s">
        <v>352</v>
      </c>
      <c r="C30" s="173" t="s">
        <v>1077</v>
      </c>
      <c r="D30" s="259">
        <f t="shared" si="9"/>
        <v>1.1209999999999998</v>
      </c>
      <c r="E30" s="259">
        <f t="shared" si="10"/>
        <v>0.5</v>
      </c>
      <c r="F30" s="262">
        <f t="shared" si="16"/>
        <v>-0.621</v>
      </c>
      <c r="G30" s="161">
        <f>ROUND(IF(F30&lt;0,F30*'2024-25 PSES Compliance'!$G$13,0),3)</f>
        <v>-0.59599999999999997</v>
      </c>
      <c r="H30" s="161">
        <f>ROUND(IF(F30&lt;0,F30*'2024-25 PSES Compliance'!$G$14,0),3)</f>
        <v>-2.5000000000000001E-2</v>
      </c>
      <c r="I30" s="174">
        <f t="shared" si="11"/>
        <v>1</v>
      </c>
      <c r="J30" s="174">
        <f t="shared" si="12"/>
        <v>0</v>
      </c>
      <c r="K30" s="161">
        <f>VLOOKUP($A30,'Enroll Data as of January 2025'!$A$3:$M$322,6,FALSE)</f>
        <v>0.65599999999999992</v>
      </c>
      <c r="L30" s="161">
        <f>VLOOKUP($A30,'Enroll Data as of January 2025'!$A$3:$M$322,7,FALSE)</f>
        <v>9.1999999999999998E-2</v>
      </c>
      <c r="M30" s="161">
        <f>VLOOKUP($A30,'Enroll Data as of January 2025'!$A$3:$M$322,8,FALSE)</f>
        <v>3.2000000000000001E-2</v>
      </c>
      <c r="N30" s="161">
        <f>VLOOKUP($A30,'Enroll Data as of January 2025'!$A$3:$M$322,9,FALSE)</f>
        <v>0.28200000000000003</v>
      </c>
      <c r="O30" s="165">
        <f t="shared" si="13"/>
        <v>1.0619999999999998</v>
      </c>
      <c r="P30" s="161">
        <f>VLOOKUP($A30,'Enroll Data as of January 2025'!$A$3:$M$322,11,FALSE)</f>
        <v>3.9E-2</v>
      </c>
      <c r="Q30" s="161">
        <f>VLOOKUP($A30,'Enroll Data as of January 2025'!$A$3:$M$322,12,FALSE)</f>
        <v>0.02</v>
      </c>
      <c r="R30" s="165">
        <f t="shared" si="14"/>
        <v>5.8999999999999997E-2</v>
      </c>
      <c r="S30" s="267">
        <f>IFERROR(VLOOKUP($A30,Supp_39,14,FALSE),0)+IFERROR(SUMPRODUCT(VLOOKUP($A30,S275_01,{14,15,16},FALSE)),0)+IFERROR(SUMPRODUCT(VLOOKUP($A30,S275_97,{14,15,16},FALSE)),0)+IFERROR(ROUND(VLOOKUP($A30,S275_21,14,FALSE)*VLOOKUP($A30,'3121% SY'!$C$3:$M$324,11,FALSE),3),0)+IFERROR(ROUND(VLOOKUP($A30,S275_21,15,FALSE)*VLOOKUP($A30,'3121% SY'!$C$3:$M$324,11,FALSE),3),0)+IFERROR(ROUND(VLOOKUP($A30,S275_21,16,FALSE)*VLOOKUP($A30,'3121% SY'!$C$3:$M$324,11,FALSE),3),0)+IFERROR(VLOOKUP($A30,S275_09,6,FALSE),0)</f>
        <v>0</v>
      </c>
      <c r="T30" s="267">
        <f>IFERROR(VLOOKUP($A30,Supp_42,14,FALSE),0)+IFERROR(SUMPRODUCT(VLOOKUP($A30,S275_01,{17,18,19},FALSE)),0)+IFERROR(SUMPRODUCT(VLOOKUP($A30,S275_97,{17,18,19},FALSE)),0)+IFERROR(ROUND(VLOOKUP($A30,S275_21,17,FALSE)*VLOOKUP($A30,'3121% SY'!$C$3:$M$324,11,FALSE),3),0)+IFERROR(ROUND(VLOOKUP($A30,S275_21,18,FALSE)*VLOOKUP($A30,'3121% SY'!$C$3:$M$324,11,FALSE),3),0)+IFERROR(ROUND(VLOOKUP($A30,S275_21,19,FALSE)*VLOOKUP($A30,'3121% SY'!$C$3:$M$324,11,FALSE),3),0)+IFERROR(VLOOKUP($A30,S275_09,7,FALSE),0)</f>
        <v>0.5</v>
      </c>
      <c r="U30" s="267">
        <f>IFERROR(VLOOKUP($A30,Supp_43,14,FALSE),0)+IFERROR(SUMPRODUCT(VLOOKUP($A30,S275_01,{20,21,22},FALSE)),0)+IFERROR(SUMPRODUCT(VLOOKUP($A30,S275_97,{20,21,22},FALSE)),0)+IFERROR(ROUND(VLOOKUP($A30,S275_21,20,FALSE)*VLOOKUP($A30,'3121% SY'!$C$3:$M$324,11,FALSE),3),0)+IFERROR(ROUND(VLOOKUP($A30,S275_21,21,FALSE)*VLOOKUP($A30,'3121% SY'!$C$3:$M$324,11,FALSE),3),0)+IFERROR(ROUND(VLOOKUP($A30,S275_21,22,FALSE)*VLOOKUP($A30,'3121% SY'!$C$3:$M$324,11,FALSE),3),0)+IFERROR(VLOOKUP($A30,S275_09,8,FALSE),0)</f>
        <v>0</v>
      </c>
      <c r="V30" s="267">
        <f>IFERROR(VLOOKUP($A30,Supp_44,14,FALSE),0)+IFERROR(SUMPRODUCT(VLOOKUP($A30,S275_01,{23,24,25},FALSE)),0)+IFERROR(SUMPRODUCT(VLOOKUP($A30,S275_97,{23,24,25},FALSE)),0)+IFERROR(ROUND(VLOOKUP($A30,S275_21,23,FALSE)*VLOOKUP($A30,'3121% SY'!$C$3:$M$324,11,FALSE),3),0)+IFERROR(ROUND(VLOOKUP($A30,S275_21,24,FALSE)*VLOOKUP($A30,'3121% SY'!$C$3:$M$324,11,FALSE),3),0)+IFERROR(ROUND(VLOOKUP($A30,S275_21,25,FALSE)*VLOOKUP($A30,'3121% SY'!$C$3:$M$324,11,FALSE),3),0)+IFERROR(VLOOKUP($A30,S275_09,9,FALSE),0)</f>
        <v>0</v>
      </c>
      <c r="W30" s="267">
        <f>IFERROR(VLOOKUP($A30,Supp_45,14,FALSE),0)+IFERROR(SUMPRODUCT(VLOOKUP($A30,S275_01,{26,27,28},FALSE)),0)+IFERROR(SUMPRODUCT(VLOOKUP($A30,S275_97,{26,27,28},FALSE)),0)+IFERROR(ROUND(VLOOKUP($A30,S275_21,26,FALSE)*VLOOKUP($A30,'3121% SY'!$C$3:$M$324,11,FALSE),3),0)+IFERROR(ROUND(VLOOKUP($A30,S275_21,27,FALSE)*VLOOKUP($A30,'3121% SY'!$C$3:$M$324,11,FALSE),3),0)+IFERROR(ROUND(VLOOKUP($A30,S275_21,28,FALSE)*VLOOKUP($A30,'3121% SY'!$C$3:$M$324,11,FALSE),3),0)+IFERROR(VLOOKUP($A30,S275_09,10,FALSE),0)</f>
        <v>0</v>
      </c>
      <c r="X30" s="267">
        <f>IFERROR(VLOOKUP($A30,Supp_46,14,FALSE),0)+IFERROR(SUMPRODUCT(VLOOKUP($A30,S275_01,{29,30,31},FALSE)),0)+IFERROR(SUMPRODUCT(VLOOKUP($A30,S275_97,{29,30,31},FALSE)),0)+IFERROR(ROUND(VLOOKUP($A30,S275_21,29,FALSE)*VLOOKUP($A30,'3121% SY'!$C$3:$M$324,11,FALSE),3),0)+IFERROR(ROUND(VLOOKUP($A30,S275_21,30,FALSE)*VLOOKUP($A30,'3121% SY'!$C$3:$M$324,11,FALSE),3),0)+IFERROR(ROUND(VLOOKUP($A30,S275_21,31,FALSE)*VLOOKUP($A30,'3121% SY'!$C$3:$M$324,11,FALSE),3),0)+IFERROR(VLOOKUP($A30,S275_09,11,FALSE),0)</f>
        <v>0</v>
      </c>
      <c r="Y30" s="267">
        <f>IFERROR(VLOOKUP($A30,Supp_47,14,FALSE),0)+IFERROR(SUMPRODUCT(VLOOKUP($A30,S275_01,{32,33,34},FALSE)),0)+IFERROR(SUMPRODUCT(VLOOKUP($A30,S275_97,{32,33,34},FALSE)),0)+IFERROR(ROUND(VLOOKUP($A30,S275_21,32,FALSE)*VLOOKUP($A30,'3121% SY'!$C$3:$M$324,11,FALSE),3),0)+IFERROR(ROUND(VLOOKUP($A30,S275_21,33,FALSE)*VLOOKUP($A30,'3121% SY'!$C$3:$M$324,11,FALSE),3),0)+IFERROR(ROUND(VLOOKUP($A30,S275_21,34,FALSE)*VLOOKUP($A30,'3121% SY'!$C$3:$M$324,11,FALSE),3),0)+IFERROR(VLOOKUP($A30,S275_09,12,FALSE),0)</f>
        <v>0</v>
      </c>
      <c r="Z30" s="267">
        <f>IFERROR(VLOOKUP($A30,Supp_48,14,FALSE),0)+IFERROR(SUMPRODUCT(VLOOKUP($A30,S275_01,{35,36,37},FALSE)),0)+IFERROR(SUMPRODUCT(VLOOKUP($A30,S275_97,{35,36,37},FALSE)),0)+IFERROR(ROUND(VLOOKUP($A30,S275_21,35,FALSE)*VLOOKUP($A30,'3121% SY'!$C$3:$M$324,11,FALSE),3),0)+IFERROR(ROUND(VLOOKUP($A30,S275_21,36,FALSE)*VLOOKUP($A30,'3121% SY'!$C$3:$M$324,11,FALSE),3),0)+IFERROR(ROUND(VLOOKUP($A30,S275_21,37,FALSE)*VLOOKUP($A30,'3121% SY'!$C$3:$M$324,11,FALSE),3),0)+IFERROR(VLOOKUP($A30,S275_09,13,FALSE),0)</f>
        <v>0</v>
      </c>
      <c r="AA30" s="267">
        <f>IFERROR(VLOOKUP($A30,Supp_49,14,FALSE),0)+IFERROR(SUMPRODUCT(VLOOKUP($A30,S275_01,{38,39,40},FALSE)),0)+IFERROR(SUMPRODUCT(VLOOKUP($A30,S275_97,{38,39,40},FALSE)),0)+IFERROR(ROUND(VLOOKUP($A30,S275_21,38,FALSE)*VLOOKUP($A30,'3121% SY'!$C$3:$M$324,11,FALSE),3),0)+IFERROR(ROUND(VLOOKUP($A30,S275_21,39,FALSE)*VLOOKUP($A30,'3121% SY'!$C$3:$M$324,11,FALSE),3),0)+IFERROR(ROUND(VLOOKUP($A30,S275_21,40,FALSE)*VLOOKUP($A30,'3121% SY'!$C$3:$M$324,11,FALSE),3),0)+IFERROR(VLOOKUP($A30,S275_09,14,FALSE),0)</f>
        <v>0</v>
      </c>
      <c r="AB30" s="267">
        <f>IFERROR(VLOOKUP($A30,Supp_64,14,FALSE),0)+IFERROR(SUMPRODUCT(VLOOKUP($A30,S275_01,{41,42,43},FALSE)),0)+IFERROR(SUMPRODUCT(VLOOKUP($A30,S275_97,{41,42,43},FALSE)),0)+IFERROR(ROUND(VLOOKUP($A30,S275_21,41,FALSE)*VLOOKUP($A30,'3121% SY'!$C$3:$M$324,11,FALSE),3),0)+IFERROR(ROUND(VLOOKUP($A30,S275_21,42,FALSE)*VLOOKUP($A30,'3121% SY'!$C$3:$M$324,11,FALSE),3),0)+IFERROR(ROUND(VLOOKUP($A30,S275_21,43,FALSE)*VLOOKUP($A30,'3121% SY'!$C$3:$M$324,11,FALSE),3),0)+IFERROR(VLOOKUP($A30,S275_09,15,FALSE),0)</f>
        <v>0</v>
      </c>
      <c r="AC30" s="268">
        <f t="shared" si="17"/>
        <v>0.5</v>
      </c>
      <c r="AD30" s="267">
        <f>IFERROR(VLOOKUP($A30,Supp_24,14,FALSE),0)+IFERROR(SUMPRODUCT(VLOOKUP($A30,S275_01,{2,3,4},FALSE)),0)+IFERROR(SUMPRODUCT(VLOOKUP($A30,S275_97,{2,3,4},FALSE)),0)+IFERROR(ROUND(VLOOKUP($A30,S275_21,2,FALSE)*VLOOKUP($A30,'3121% SY'!$C$3:$M$324,11,FALSE),3),0)+IFERROR(ROUND(VLOOKUP($A30,S275_21,3,FALSE)*VLOOKUP($A30,'3121% SY'!$C$3:$M$324,11,FALSE),3),0)+IFERROR(ROUND(VLOOKUP($A30,S275_21,4,FALSE)*VLOOKUP($A30,'3121% SY'!$C$3:$M$324,11,FALSE),3),0)+IFERROR(VLOOKUP($A30,S275_09,2,FALSE),0)</f>
        <v>0</v>
      </c>
      <c r="AE30" s="267">
        <f>IFERROR(VLOOKUP($A30,Supp_25,14,FALSE),0)+IFERROR(SUMPRODUCT(VLOOKUP($A30,S275_01,{5,6,7},FALSE)),0)+IFERROR(SUMPRODUCT(VLOOKUP($A30,S275_97,{5,6,7},FALSE)),0)+IFERROR(ROUND(VLOOKUP($A30,S275_21,5,FALSE)*VLOOKUP($A30,'3121% SY'!$C$3:$M$324,11,FALSE),3),0)+IFERROR(ROUND(VLOOKUP($A30,S275_21,6,FALSE)*VLOOKUP($A30,'3121% SY'!$C$3:$M$324,11,FALSE),3),0)+IFERROR(ROUND(VLOOKUP($A30,S275_21,7,FALSE)*VLOOKUP($A30,'3121% SY'!$C$3:$M$324,11,FALSE),3),0)+IFERROR(VLOOKUP($A30,S275_09,3,FALSE),0)</f>
        <v>0</v>
      </c>
      <c r="AF30" s="267">
        <f>IFERROR(VLOOKUP($A30,Supp_26,14,FALSE),0)+IFERROR(SUMPRODUCT(VLOOKUP($A30,S275_01,{8,9,10},FALSE)),0)+IFERROR(SUMPRODUCT(VLOOKUP($A30,S275_97,{8,9,10},FALSE)),0)+IFERROR(ROUND(VLOOKUP($A30,S275_21,8,FALSE)*VLOOKUP($A30,'3121% SY'!$C$3:$M$324,11,FALSE),3),0)+IFERROR(ROUND(VLOOKUP($A30,S275_21,9,FALSE)*VLOOKUP($A30,'3121% SY'!$C$3:$M$324,11,FALSE),3),0)+IFERROR(ROUND(VLOOKUP($A30,S275_21,10,FALSE)*VLOOKUP($A30,'3121% SY'!$C$3:$M$324,11,FALSE),3),0)+IFERROR(VLOOKUP($A30,S275_09,4,FALSE),0)</f>
        <v>0</v>
      </c>
      <c r="AG30" s="267">
        <f>IFERROR(VLOOKUP($A30,Supp_35,14,FALSE),0)+IFERROR(SUMPRODUCT(VLOOKUP($A30,S275_01,{11,12,13},FALSE)),0)+IFERROR(SUMPRODUCT(VLOOKUP($A30,S275_97,{11,12,13},FALSE)),0)+IFERROR(ROUND(VLOOKUP($A30,S275_21,11,FALSE)*VLOOKUP($A30,'3121% SY'!$C$3:$M$324,11,FALSE),3),0)+IFERROR(ROUND(VLOOKUP($A30,S275_21,12,FALSE)*VLOOKUP($A30,'3121% SY'!$C$3:$M$324,11,FALSE),3),0)+IFERROR(ROUND(VLOOKUP($A30,S275_21,13,FALSE)*VLOOKUP($A30,'3121% SY'!$C$3:$M$324,11,FALSE),3),0)+IFERROR(VLOOKUP($A30,S275_09,5,FALSE),0)</f>
        <v>0</v>
      </c>
      <c r="AH30" s="165">
        <f t="shared" si="15"/>
        <v>0</v>
      </c>
      <c r="AI30" s="161">
        <f>IFERROR(VLOOKUP(A30,'Supp Staff Data'!A:ER,148,FALSE),0)+AB30</f>
        <v>0</v>
      </c>
      <c r="AJ30" s="174">
        <v>1</v>
      </c>
      <c r="AK30" s="25">
        <f>VLOOKUP(A30,'Enroll Data as of January 2025'!$A$3:$T$323,20,FALSE)-F30</f>
        <v>0</v>
      </c>
    </row>
    <row r="31" spans="1:37" x14ac:dyDescent="0.25">
      <c r="A31" s="171" t="s">
        <v>47</v>
      </c>
      <c r="B31" t="s">
        <v>343</v>
      </c>
      <c r="C31" s="173" t="s">
        <v>1077</v>
      </c>
      <c r="D31" s="259">
        <f t="shared" si="9"/>
        <v>12.520000000000003</v>
      </c>
      <c r="E31" s="259">
        <f t="shared" si="10"/>
        <v>9.7360000000000007</v>
      </c>
      <c r="F31" s="262">
        <f t="shared" si="16"/>
        <v>-2.7839999999999998</v>
      </c>
      <c r="G31" s="161">
        <f>ROUND(IF(F31&lt;0,F31*'2024-25 PSES Compliance'!$G$13,0),3)</f>
        <v>-2.673</v>
      </c>
      <c r="H31" s="161">
        <f>ROUND(IF(F31&lt;0,F31*'2024-25 PSES Compliance'!$G$14,0),3)</f>
        <v>-0.111</v>
      </c>
      <c r="I31" s="174">
        <f t="shared" si="11"/>
        <v>0</v>
      </c>
      <c r="J31" s="174">
        <f t="shared" si="12"/>
        <v>0</v>
      </c>
      <c r="K31" s="161">
        <f>VLOOKUP($A31,'Enroll Data as of January 2025'!$A$3:$M$322,6,FALSE)</f>
        <v>7.0530000000000008</v>
      </c>
      <c r="L31" s="161">
        <f>VLOOKUP($A31,'Enroll Data as of January 2025'!$A$3:$M$322,7,FALSE)</f>
        <v>1.1459999999999999</v>
      </c>
      <c r="M31" s="161">
        <f>VLOOKUP($A31,'Enroll Data as of January 2025'!$A$3:$M$322,8,FALSE)</f>
        <v>0.38400000000000001</v>
      </c>
      <c r="N31" s="161">
        <f>VLOOKUP($A31,'Enroll Data as of January 2025'!$A$3:$M$322,9,FALSE)</f>
        <v>3.2399999999999998</v>
      </c>
      <c r="O31" s="165">
        <f t="shared" si="13"/>
        <v>11.823000000000002</v>
      </c>
      <c r="P31" s="161">
        <f>VLOOKUP($A31,'Enroll Data as of January 2025'!$A$3:$M$322,11,FALSE)</f>
        <v>0.44</v>
      </c>
      <c r="Q31" s="161">
        <f>VLOOKUP($A31,'Enroll Data as of January 2025'!$A$3:$M$322,12,FALSE)</f>
        <v>0.25700000000000001</v>
      </c>
      <c r="R31" s="165">
        <f t="shared" si="14"/>
        <v>0.69700000000000006</v>
      </c>
      <c r="S31" s="267">
        <f>IFERROR(VLOOKUP($A31,Supp_39,14,FALSE),0)+IFERROR(SUMPRODUCT(VLOOKUP($A31,S275_01,{14,15,16},FALSE)),0)+IFERROR(SUMPRODUCT(VLOOKUP($A31,S275_97,{14,15,16},FALSE)),0)+IFERROR(ROUND(VLOOKUP($A31,S275_21,14,FALSE)*VLOOKUP($A31,'3121% SY'!$C$3:$M$324,11,FALSE),3),0)+IFERROR(ROUND(VLOOKUP($A31,S275_21,15,FALSE)*VLOOKUP($A31,'3121% SY'!$C$3:$M$324,11,FALSE),3),0)+IFERROR(ROUND(VLOOKUP($A31,S275_21,16,FALSE)*VLOOKUP($A31,'3121% SY'!$C$3:$M$324,11,FALSE),3),0)+IFERROR(VLOOKUP($A31,S275_09,6,FALSE),0)</f>
        <v>3.25</v>
      </c>
      <c r="T31" s="267">
        <f>IFERROR(VLOOKUP($A31,Supp_42,14,FALSE),0)+IFERROR(SUMPRODUCT(VLOOKUP($A31,S275_01,{17,18,19},FALSE)),0)+IFERROR(SUMPRODUCT(VLOOKUP($A31,S275_97,{17,18,19},FALSE)),0)+IFERROR(ROUND(VLOOKUP($A31,S275_21,17,FALSE)*VLOOKUP($A31,'3121% SY'!$C$3:$M$324,11,FALSE),3),0)+IFERROR(ROUND(VLOOKUP($A31,S275_21,18,FALSE)*VLOOKUP($A31,'3121% SY'!$C$3:$M$324,11,FALSE),3),0)+IFERROR(ROUND(VLOOKUP($A31,S275_21,19,FALSE)*VLOOKUP($A31,'3121% SY'!$C$3:$M$324,11,FALSE),3),0)+IFERROR(VLOOKUP($A31,S275_09,7,FALSE),0)</f>
        <v>1.2</v>
      </c>
      <c r="U31" s="267">
        <f>IFERROR(VLOOKUP($A31,Supp_43,14,FALSE),0)+IFERROR(SUMPRODUCT(VLOOKUP($A31,S275_01,{20,21,22},FALSE)),0)+IFERROR(SUMPRODUCT(VLOOKUP($A31,S275_97,{20,21,22},FALSE)),0)+IFERROR(ROUND(VLOOKUP($A31,S275_21,20,FALSE)*VLOOKUP($A31,'3121% SY'!$C$3:$M$324,11,FALSE),3),0)+IFERROR(ROUND(VLOOKUP($A31,S275_21,21,FALSE)*VLOOKUP($A31,'3121% SY'!$C$3:$M$324,11,FALSE),3),0)+IFERROR(ROUND(VLOOKUP($A31,S275_21,22,FALSE)*VLOOKUP($A31,'3121% SY'!$C$3:$M$324,11,FALSE),3),0)+IFERROR(VLOOKUP($A31,S275_09,8,FALSE),0)</f>
        <v>0</v>
      </c>
      <c r="V31" s="267">
        <f>IFERROR(VLOOKUP($A31,Supp_44,14,FALSE),0)+IFERROR(SUMPRODUCT(VLOOKUP($A31,S275_01,{23,24,25},FALSE)),0)+IFERROR(SUMPRODUCT(VLOOKUP($A31,S275_97,{23,24,25},FALSE)),0)+IFERROR(ROUND(VLOOKUP($A31,S275_21,23,FALSE)*VLOOKUP($A31,'3121% SY'!$C$3:$M$324,11,FALSE),3),0)+IFERROR(ROUND(VLOOKUP($A31,S275_21,24,FALSE)*VLOOKUP($A31,'3121% SY'!$C$3:$M$324,11,FALSE),3),0)+IFERROR(ROUND(VLOOKUP($A31,S275_21,25,FALSE)*VLOOKUP($A31,'3121% SY'!$C$3:$M$324,11,FALSE),3),0)+IFERROR(VLOOKUP($A31,S275_09,9,FALSE),0)</f>
        <v>0</v>
      </c>
      <c r="W31" s="267">
        <f>IFERROR(VLOOKUP($A31,Supp_45,14,FALSE),0)+IFERROR(SUMPRODUCT(VLOOKUP($A31,S275_01,{26,27,28},FALSE)),0)+IFERROR(SUMPRODUCT(VLOOKUP($A31,S275_97,{26,27,28},FALSE)),0)+IFERROR(ROUND(VLOOKUP($A31,S275_21,26,FALSE)*VLOOKUP($A31,'3121% SY'!$C$3:$M$324,11,FALSE),3),0)+IFERROR(ROUND(VLOOKUP($A31,S275_21,27,FALSE)*VLOOKUP($A31,'3121% SY'!$C$3:$M$324,11,FALSE),3),0)+IFERROR(ROUND(VLOOKUP($A31,S275_21,28,FALSE)*VLOOKUP($A31,'3121% SY'!$C$3:$M$324,11,FALSE),3),0)+IFERROR(VLOOKUP($A31,S275_09,10,FALSE),0)</f>
        <v>1.9289999999999998</v>
      </c>
      <c r="X31" s="267">
        <f>IFERROR(VLOOKUP($A31,Supp_46,14,FALSE),0)+IFERROR(SUMPRODUCT(VLOOKUP($A31,S275_01,{29,30,31},FALSE)),0)+IFERROR(SUMPRODUCT(VLOOKUP($A31,S275_97,{29,30,31},FALSE)),0)+IFERROR(ROUND(VLOOKUP($A31,S275_21,29,FALSE)*VLOOKUP($A31,'3121% SY'!$C$3:$M$324,11,FALSE),3),0)+IFERROR(ROUND(VLOOKUP($A31,S275_21,30,FALSE)*VLOOKUP($A31,'3121% SY'!$C$3:$M$324,11,FALSE),3),0)+IFERROR(ROUND(VLOOKUP($A31,S275_21,31,FALSE)*VLOOKUP($A31,'3121% SY'!$C$3:$M$324,11,FALSE),3),0)+IFERROR(VLOOKUP($A31,S275_09,11,FALSE),0)</f>
        <v>1.7080000000000002</v>
      </c>
      <c r="Y31" s="267">
        <f>IFERROR(VLOOKUP($A31,Supp_47,14,FALSE),0)+IFERROR(SUMPRODUCT(VLOOKUP($A31,S275_01,{32,33,34},FALSE)),0)+IFERROR(SUMPRODUCT(VLOOKUP($A31,S275_97,{32,33,34},FALSE)),0)+IFERROR(ROUND(VLOOKUP($A31,S275_21,32,FALSE)*VLOOKUP($A31,'3121% SY'!$C$3:$M$324,11,FALSE),3),0)+IFERROR(ROUND(VLOOKUP($A31,S275_21,33,FALSE)*VLOOKUP($A31,'3121% SY'!$C$3:$M$324,11,FALSE),3),0)+IFERROR(ROUND(VLOOKUP($A31,S275_21,34,FALSE)*VLOOKUP($A31,'3121% SY'!$C$3:$M$324,11,FALSE),3),0)+IFERROR(VLOOKUP($A31,S275_09,12,FALSE),0)</f>
        <v>0.25</v>
      </c>
      <c r="Z31" s="267">
        <f>IFERROR(VLOOKUP($A31,Supp_48,14,FALSE),0)+IFERROR(SUMPRODUCT(VLOOKUP($A31,S275_01,{35,36,37},FALSE)),0)+IFERROR(SUMPRODUCT(VLOOKUP($A31,S275_97,{35,36,37},FALSE)),0)+IFERROR(ROUND(VLOOKUP($A31,S275_21,35,FALSE)*VLOOKUP($A31,'3121% SY'!$C$3:$M$324,11,FALSE),3),0)+IFERROR(ROUND(VLOOKUP($A31,S275_21,36,FALSE)*VLOOKUP($A31,'3121% SY'!$C$3:$M$324,11,FALSE),3),0)+IFERROR(ROUND(VLOOKUP($A31,S275_21,37,FALSE)*VLOOKUP($A31,'3121% SY'!$C$3:$M$324,11,FALSE),3),0)+IFERROR(VLOOKUP($A31,S275_09,13,FALSE),0)</f>
        <v>0</v>
      </c>
      <c r="AA31" s="267">
        <f>IFERROR(VLOOKUP($A31,Supp_49,14,FALSE),0)+IFERROR(SUMPRODUCT(VLOOKUP($A31,S275_01,{38,39,40},FALSE)),0)+IFERROR(SUMPRODUCT(VLOOKUP($A31,S275_97,{38,39,40},FALSE)),0)+IFERROR(ROUND(VLOOKUP($A31,S275_21,38,FALSE)*VLOOKUP($A31,'3121% SY'!$C$3:$M$324,11,FALSE),3),0)+IFERROR(ROUND(VLOOKUP($A31,S275_21,39,FALSE)*VLOOKUP($A31,'3121% SY'!$C$3:$M$324,11,FALSE),3),0)+IFERROR(ROUND(VLOOKUP($A31,S275_21,40,FALSE)*VLOOKUP($A31,'3121% SY'!$C$3:$M$324,11,FALSE),3),0)+IFERROR(VLOOKUP($A31,S275_09,14,FALSE),0)</f>
        <v>0</v>
      </c>
      <c r="AB31" s="267">
        <f>IFERROR(VLOOKUP($A31,Supp_64,14,FALSE),0)+IFERROR(SUMPRODUCT(VLOOKUP($A31,S275_01,{41,42,43},FALSE)),0)+IFERROR(SUMPRODUCT(VLOOKUP($A31,S275_97,{41,42,43},FALSE)),0)+IFERROR(ROUND(VLOOKUP($A31,S275_21,41,FALSE)*VLOOKUP($A31,'3121% SY'!$C$3:$M$324,11,FALSE),3),0)+IFERROR(ROUND(VLOOKUP($A31,S275_21,42,FALSE)*VLOOKUP($A31,'3121% SY'!$C$3:$M$324,11,FALSE),3),0)+IFERROR(ROUND(VLOOKUP($A31,S275_21,43,FALSE)*VLOOKUP($A31,'3121% SY'!$C$3:$M$324,11,FALSE),3),0)+IFERROR(VLOOKUP($A31,S275_09,15,FALSE),0)</f>
        <v>0</v>
      </c>
      <c r="AC31" s="268">
        <f t="shared" si="17"/>
        <v>8.3369999999999997</v>
      </c>
      <c r="AD31" s="267">
        <f>IFERROR(VLOOKUP($A31,Supp_24,14,FALSE),0)+IFERROR(SUMPRODUCT(VLOOKUP($A31,S275_01,{2,3,4},FALSE)),0)+IFERROR(SUMPRODUCT(VLOOKUP($A31,S275_97,{2,3,4},FALSE)),0)+IFERROR(ROUND(VLOOKUP($A31,S275_21,2,FALSE)*VLOOKUP($A31,'3121% SY'!$C$3:$M$324,11,FALSE),3),0)+IFERROR(ROUND(VLOOKUP($A31,S275_21,3,FALSE)*VLOOKUP($A31,'3121% SY'!$C$3:$M$324,11,FALSE),3),0)+IFERROR(ROUND(VLOOKUP($A31,S275_21,4,FALSE)*VLOOKUP($A31,'3121% SY'!$C$3:$M$324,11,FALSE),3),0)+IFERROR(VLOOKUP($A31,S275_09,2,FALSE),0)</f>
        <v>0.78500000000000003</v>
      </c>
      <c r="AE31" s="267">
        <f>IFERROR(VLOOKUP($A31,Supp_25,14,FALSE),0)+IFERROR(SUMPRODUCT(VLOOKUP($A31,S275_01,{5,6,7},FALSE)),0)+IFERROR(SUMPRODUCT(VLOOKUP($A31,S275_97,{5,6,7},FALSE)),0)+IFERROR(ROUND(VLOOKUP($A31,S275_21,5,FALSE)*VLOOKUP($A31,'3121% SY'!$C$3:$M$324,11,FALSE),3),0)+IFERROR(ROUND(VLOOKUP($A31,S275_21,6,FALSE)*VLOOKUP($A31,'3121% SY'!$C$3:$M$324,11,FALSE),3),0)+IFERROR(ROUND(VLOOKUP($A31,S275_21,7,FALSE)*VLOOKUP($A31,'3121% SY'!$C$3:$M$324,11,FALSE),3),0)+IFERROR(VLOOKUP($A31,S275_09,3,FALSE),0)</f>
        <v>0</v>
      </c>
      <c r="AF31" s="267">
        <f>IFERROR(VLOOKUP($A31,Supp_26,14,FALSE),0)+IFERROR(SUMPRODUCT(VLOOKUP($A31,S275_01,{8,9,10},FALSE)),0)+IFERROR(SUMPRODUCT(VLOOKUP($A31,S275_97,{8,9,10},FALSE)),0)+IFERROR(ROUND(VLOOKUP($A31,S275_21,8,FALSE)*VLOOKUP($A31,'3121% SY'!$C$3:$M$324,11,FALSE),3),0)+IFERROR(ROUND(VLOOKUP($A31,S275_21,9,FALSE)*VLOOKUP($A31,'3121% SY'!$C$3:$M$324,11,FALSE),3),0)+IFERROR(ROUND(VLOOKUP($A31,S275_21,10,FALSE)*VLOOKUP($A31,'3121% SY'!$C$3:$M$324,11,FALSE),3),0)+IFERROR(VLOOKUP($A31,S275_09,4,FALSE),0)</f>
        <v>0.61399999999999999</v>
      </c>
      <c r="AG31" s="267">
        <f>IFERROR(VLOOKUP($A31,Supp_35,14,FALSE),0)+IFERROR(SUMPRODUCT(VLOOKUP($A31,S275_01,{11,12,13},FALSE)),0)+IFERROR(SUMPRODUCT(VLOOKUP($A31,S275_97,{11,12,13},FALSE)),0)+IFERROR(ROUND(VLOOKUP($A31,S275_21,11,FALSE)*VLOOKUP($A31,'3121% SY'!$C$3:$M$324,11,FALSE),3),0)+IFERROR(ROUND(VLOOKUP($A31,S275_21,12,FALSE)*VLOOKUP($A31,'3121% SY'!$C$3:$M$324,11,FALSE),3),0)+IFERROR(ROUND(VLOOKUP($A31,S275_21,13,FALSE)*VLOOKUP($A31,'3121% SY'!$C$3:$M$324,11,FALSE),3),0)+IFERROR(VLOOKUP($A31,S275_09,5,FALSE),0)</f>
        <v>0</v>
      </c>
      <c r="AH31" s="165">
        <f t="shared" si="15"/>
        <v>1.399</v>
      </c>
      <c r="AI31" s="161">
        <f>IFERROR(VLOOKUP(A31,'Supp Staff Data'!A:ER,148,FALSE),0)+AB31</f>
        <v>0</v>
      </c>
      <c r="AJ31" s="174">
        <v>0</v>
      </c>
      <c r="AK31" s="25">
        <f>VLOOKUP(A31,'Enroll Data as of January 2025'!$A$3:$T$323,20,FALSE)-F31</f>
        <v>0</v>
      </c>
    </row>
    <row r="32" spans="1:37" x14ac:dyDescent="0.25">
      <c r="A32" s="171" t="s">
        <v>63</v>
      </c>
      <c r="B32" t="s">
        <v>359</v>
      </c>
      <c r="C32" s="173" t="s">
        <v>1077</v>
      </c>
      <c r="D32" s="259">
        <f t="shared" si="9"/>
        <v>0.28400000000000003</v>
      </c>
      <c r="E32" s="259">
        <f t="shared" si="10"/>
        <v>1</v>
      </c>
      <c r="F32" s="262">
        <f t="shared" si="16"/>
        <v>0.71599999999999997</v>
      </c>
      <c r="G32" s="161">
        <f>ROUND(IF(F32&lt;0,F32*'2024-25 PSES Compliance'!$G$13,0),3)</f>
        <v>0</v>
      </c>
      <c r="H32" s="161">
        <f>ROUND(IF(F32&lt;0,F32*'2024-25 PSES Compliance'!$G$14,0),3)</f>
        <v>0</v>
      </c>
      <c r="I32" s="174">
        <f t="shared" si="11"/>
        <v>0</v>
      </c>
      <c r="J32" s="174">
        <f t="shared" si="12"/>
        <v>0</v>
      </c>
      <c r="K32" s="161">
        <f>VLOOKUP($A32,'Enroll Data as of January 2025'!$A$3:$M$322,6,FALSE)</f>
        <v>0.15300000000000002</v>
      </c>
      <c r="L32" s="161">
        <f>VLOOKUP($A32,'Enroll Data as of January 2025'!$A$3:$M$322,7,FALSE)</f>
        <v>0.03</v>
      </c>
      <c r="M32" s="161">
        <f>VLOOKUP($A32,'Enroll Data as of January 2025'!$A$3:$M$322,8,FALSE)</f>
        <v>9.9999999999999985E-3</v>
      </c>
      <c r="N32" s="161">
        <f>VLOOKUP($A32,'Enroll Data as of January 2025'!$A$3:$M$322,9,FALSE)</f>
        <v>7.3999999999999996E-2</v>
      </c>
      <c r="O32" s="165">
        <f t="shared" si="13"/>
        <v>0.26700000000000002</v>
      </c>
      <c r="P32" s="161">
        <f>VLOOKUP($A32,'Enroll Data as of January 2025'!$A$3:$M$322,11,FALSE)</f>
        <v>0.01</v>
      </c>
      <c r="Q32" s="161">
        <f>VLOOKUP($A32,'Enroll Data as of January 2025'!$A$3:$M$322,12,FALSE)</f>
        <v>7.0000000000000001E-3</v>
      </c>
      <c r="R32" s="165">
        <f t="shared" si="14"/>
        <v>1.7000000000000001E-2</v>
      </c>
      <c r="S32" s="267">
        <f>IFERROR(VLOOKUP($A32,Supp_39,14,FALSE),0)+IFERROR(SUMPRODUCT(VLOOKUP($A32,S275_01,{14,15,16},FALSE)),0)+IFERROR(SUMPRODUCT(VLOOKUP($A32,S275_97,{14,15,16},FALSE)),0)+IFERROR(ROUND(VLOOKUP($A32,S275_21,14,FALSE)*VLOOKUP($A32,'3121% SY'!$C$3:$M$324,11,FALSE),3),0)+IFERROR(ROUND(VLOOKUP($A32,S275_21,15,FALSE)*VLOOKUP($A32,'3121% SY'!$C$3:$M$324,11,FALSE),3),0)+IFERROR(ROUND(VLOOKUP($A32,S275_21,16,FALSE)*VLOOKUP($A32,'3121% SY'!$C$3:$M$324,11,FALSE),3),0)+IFERROR(VLOOKUP($A32,S275_09,6,FALSE),0)</f>
        <v>1</v>
      </c>
      <c r="T32" s="267">
        <f>IFERROR(VLOOKUP($A32,Supp_42,14,FALSE),0)+IFERROR(SUMPRODUCT(VLOOKUP($A32,S275_01,{17,18,19},FALSE)),0)+IFERROR(SUMPRODUCT(VLOOKUP($A32,S275_97,{17,18,19},FALSE)),0)+IFERROR(ROUND(VLOOKUP($A32,S275_21,17,FALSE)*VLOOKUP($A32,'3121% SY'!$C$3:$M$324,11,FALSE),3),0)+IFERROR(ROUND(VLOOKUP($A32,S275_21,18,FALSE)*VLOOKUP($A32,'3121% SY'!$C$3:$M$324,11,FALSE),3),0)+IFERROR(ROUND(VLOOKUP($A32,S275_21,19,FALSE)*VLOOKUP($A32,'3121% SY'!$C$3:$M$324,11,FALSE),3),0)+IFERROR(VLOOKUP($A32,S275_09,7,FALSE),0)</f>
        <v>0</v>
      </c>
      <c r="U32" s="267">
        <f>IFERROR(VLOOKUP($A32,Supp_43,14,FALSE),0)+IFERROR(SUMPRODUCT(VLOOKUP($A32,S275_01,{20,21,22},FALSE)),0)+IFERROR(SUMPRODUCT(VLOOKUP($A32,S275_97,{20,21,22},FALSE)),0)+IFERROR(ROUND(VLOOKUP($A32,S275_21,20,FALSE)*VLOOKUP($A32,'3121% SY'!$C$3:$M$324,11,FALSE),3),0)+IFERROR(ROUND(VLOOKUP($A32,S275_21,21,FALSE)*VLOOKUP($A32,'3121% SY'!$C$3:$M$324,11,FALSE),3),0)+IFERROR(ROUND(VLOOKUP($A32,S275_21,22,FALSE)*VLOOKUP($A32,'3121% SY'!$C$3:$M$324,11,FALSE),3),0)+IFERROR(VLOOKUP($A32,S275_09,8,FALSE),0)</f>
        <v>0</v>
      </c>
      <c r="V32" s="267">
        <f>IFERROR(VLOOKUP($A32,Supp_44,14,FALSE),0)+IFERROR(SUMPRODUCT(VLOOKUP($A32,S275_01,{23,24,25},FALSE)),0)+IFERROR(SUMPRODUCT(VLOOKUP($A32,S275_97,{23,24,25},FALSE)),0)+IFERROR(ROUND(VLOOKUP($A32,S275_21,23,FALSE)*VLOOKUP($A32,'3121% SY'!$C$3:$M$324,11,FALSE),3),0)+IFERROR(ROUND(VLOOKUP($A32,S275_21,24,FALSE)*VLOOKUP($A32,'3121% SY'!$C$3:$M$324,11,FALSE),3),0)+IFERROR(ROUND(VLOOKUP($A32,S275_21,25,FALSE)*VLOOKUP($A32,'3121% SY'!$C$3:$M$324,11,FALSE),3),0)+IFERROR(VLOOKUP($A32,S275_09,9,FALSE),0)</f>
        <v>0</v>
      </c>
      <c r="W32" s="267">
        <f>IFERROR(VLOOKUP($A32,Supp_45,14,FALSE),0)+IFERROR(SUMPRODUCT(VLOOKUP($A32,S275_01,{26,27,28},FALSE)),0)+IFERROR(SUMPRODUCT(VLOOKUP($A32,S275_97,{26,27,28},FALSE)),0)+IFERROR(ROUND(VLOOKUP($A32,S275_21,26,FALSE)*VLOOKUP($A32,'3121% SY'!$C$3:$M$324,11,FALSE),3),0)+IFERROR(ROUND(VLOOKUP($A32,S275_21,27,FALSE)*VLOOKUP($A32,'3121% SY'!$C$3:$M$324,11,FALSE),3),0)+IFERROR(ROUND(VLOOKUP($A32,S275_21,28,FALSE)*VLOOKUP($A32,'3121% SY'!$C$3:$M$324,11,FALSE),3),0)+IFERROR(VLOOKUP($A32,S275_09,10,FALSE),0)</f>
        <v>0</v>
      </c>
      <c r="X32" s="267">
        <f>IFERROR(VLOOKUP($A32,Supp_46,14,FALSE),0)+IFERROR(SUMPRODUCT(VLOOKUP($A32,S275_01,{29,30,31},FALSE)),0)+IFERROR(SUMPRODUCT(VLOOKUP($A32,S275_97,{29,30,31},FALSE)),0)+IFERROR(ROUND(VLOOKUP($A32,S275_21,29,FALSE)*VLOOKUP($A32,'3121% SY'!$C$3:$M$324,11,FALSE),3),0)+IFERROR(ROUND(VLOOKUP($A32,S275_21,30,FALSE)*VLOOKUP($A32,'3121% SY'!$C$3:$M$324,11,FALSE),3),0)+IFERROR(ROUND(VLOOKUP($A32,S275_21,31,FALSE)*VLOOKUP($A32,'3121% SY'!$C$3:$M$324,11,FALSE),3),0)+IFERROR(VLOOKUP($A32,S275_09,11,FALSE),0)</f>
        <v>0</v>
      </c>
      <c r="Y32" s="267">
        <f>IFERROR(VLOOKUP($A32,Supp_47,14,FALSE),0)+IFERROR(SUMPRODUCT(VLOOKUP($A32,S275_01,{32,33,34},FALSE)),0)+IFERROR(SUMPRODUCT(VLOOKUP($A32,S275_97,{32,33,34},FALSE)),0)+IFERROR(ROUND(VLOOKUP($A32,S275_21,32,FALSE)*VLOOKUP($A32,'3121% SY'!$C$3:$M$324,11,FALSE),3),0)+IFERROR(ROUND(VLOOKUP($A32,S275_21,33,FALSE)*VLOOKUP($A32,'3121% SY'!$C$3:$M$324,11,FALSE),3),0)+IFERROR(ROUND(VLOOKUP($A32,S275_21,34,FALSE)*VLOOKUP($A32,'3121% SY'!$C$3:$M$324,11,FALSE),3),0)+IFERROR(VLOOKUP($A32,S275_09,12,FALSE),0)</f>
        <v>0</v>
      </c>
      <c r="Z32" s="267">
        <f>IFERROR(VLOOKUP($A32,Supp_48,14,FALSE),0)+IFERROR(SUMPRODUCT(VLOOKUP($A32,S275_01,{35,36,37},FALSE)),0)+IFERROR(SUMPRODUCT(VLOOKUP($A32,S275_97,{35,36,37},FALSE)),0)+IFERROR(ROUND(VLOOKUP($A32,S275_21,35,FALSE)*VLOOKUP($A32,'3121% SY'!$C$3:$M$324,11,FALSE),3),0)+IFERROR(ROUND(VLOOKUP($A32,S275_21,36,FALSE)*VLOOKUP($A32,'3121% SY'!$C$3:$M$324,11,FALSE),3),0)+IFERROR(ROUND(VLOOKUP($A32,S275_21,37,FALSE)*VLOOKUP($A32,'3121% SY'!$C$3:$M$324,11,FALSE),3),0)+IFERROR(VLOOKUP($A32,S275_09,13,FALSE),0)</f>
        <v>0</v>
      </c>
      <c r="AA32" s="267">
        <f>IFERROR(VLOOKUP($A32,Supp_49,14,FALSE),0)+IFERROR(SUMPRODUCT(VLOOKUP($A32,S275_01,{38,39,40},FALSE)),0)+IFERROR(SUMPRODUCT(VLOOKUP($A32,S275_97,{38,39,40},FALSE)),0)+IFERROR(ROUND(VLOOKUP($A32,S275_21,38,FALSE)*VLOOKUP($A32,'3121% SY'!$C$3:$M$324,11,FALSE),3),0)+IFERROR(ROUND(VLOOKUP($A32,S275_21,39,FALSE)*VLOOKUP($A32,'3121% SY'!$C$3:$M$324,11,FALSE),3),0)+IFERROR(ROUND(VLOOKUP($A32,S275_21,40,FALSE)*VLOOKUP($A32,'3121% SY'!$C$3:$M$324,11,FALSE),3),0)+IFERROR(VLOOKUP($A32,S275_09,14,FALSE),0)</f>
        <v>0</v>
      </c>
      <c r="AB32" s="267">
        <f>IFERROR(VLOOKUP($A32,Supp_64,14,FALSE),0)+IFERROR(SUMPRODUCT(VLOOKUP($A32,S275_01,{41,42,43},FALSE)),0)+IFERROR(SUMPRODUCT(VLOOKUP($A32,S275_97,{41,42,43},FALSE)),0)+IFERROR(ROUND(VLOOKUP($A32,S275_21,41,FALSE)*VLOOKUP($A32,'3121% SY'!$C$3:$M$324,11,FALSE),3),0)+IFERROR(ROUND(VLOOKUP($A32,S275_21,42,FALSE)*VLOOKUP($A32,'3121% SY'!$C$3:$M$324,11,FALSE),3),0)+IFERROR(ROUND(VLOOKUP($A32,S275_21,43,FALSE)*VLOOKUP($A32,'3121% SY'!$C$3:$M$324,11,FALSE),3),0)+IFERROR(VLOOKUP($A32,S275_09,15,FALSE),0)</f>
        <v>0</v>
      </c>
      <c r="AC32" s="268">
        <f t="shared" si="17"/>
        <v>1</v>
      </c>
      <c r="AD32" s="267">
        <f>IFERROR(VLOOKUP($A32,Supp_24,14,FALSE),0)+IFERROR(SUMPRODUCT(VLOOKUP($A32,S275_01,{2,3,4},FALSE)),0)+IFERROR(SUMPRODUCT(VLOOKUP($A32,S275_97,{2,3,4},FALSE)),0)+IFERROR(ROUND(VLOOKUP($A32,S275_21,2,FALSE)*VLOOKUP($A32,'3121% SY'!$C$3:$M$324,11,FALSE),3),0)+IFERROR(ROUND(VLOOKUP($A32,S275_21,3,FALSE)*VLOOKUP($A32,'3121% SY'!$C$3:$M$324,11,FALSE),3),0)+IFERROR(ROUND(VLOOKUP($A32,S275_21,4,FALSE)*VLOOKUP($A32,'3121% SY'!$C$3:$M$324,11,FALSE),3),0)+IFERROR(VLOOKUP($A32,S275_09,2,FALSE),0)</f>
        <v>0</v>
      </c>
      <c r="AE32" s="267">
        <f>IFERROR(VLOOKUP($A32,Supp_25,14,FALSE),0)+IFERROR(SUMPRODUCT(VLOOKUP($A32,S275_01,{5,6,7},FALSE)),0)+IFERROR(SUMPRODUCT(VLOOKUP($A32,S275_97,{5,6,7},FALSE)),0)+IFERROR(ROUND(VLOOKUP($A32,S275_21,5,FALSE)*VLOOKUP($A32,'3121% SY'!$C$3:$M$324,11,FALSE),3),0)+IFERROR(ROUND(VLOOKUP($A32,S275_21,6,FALSE)*VLOOKUP($A32,'3121% SY'!$C$3:$M$324,11,FALSE),3),0)+IFERROR(ROUND(VLOOKUP($A32,S275_21,7,FALSE)*VLOOKUP($A32,'3121% SY'!$C$3:$M$324,11,FALSE),3),0)+IFERROR(VLOOKUP($A32,S275_09,3,FALSE),0)</f>
        <v>0</v>
      </c>
      <c r="AF32" s="267">
        <f>IFERROR(VLOOKUP($A32,Supp_26,14,FALSE),0)+IFERROR(SUMPRODUCT(VLOOKUP($A32,S275_01,{8,9,10},FALSE)),0)+IFERROR(SUMPRODUCT(VLOOKUP($A32,S275_97,{8,9,10},FALSE)),0)+IFERROR(ROUND(VLOOKUP($A32,S275_21,8,FALSE)*VLOOKUP($A32,'3121% SY'!$C$3:$M$324,11,FALSE),3),0)+IFERROR(ROUND(VLOOKUP($A32,S275_21,9,FALSE)*VLOOKUP($A32,'3121% SY'!$C$3:$M$324,11,FALSE),3),0)+IFERROR(ROUND(VLOOKUP($A32,S275_21,10,FALSE)*VLOOKUP($A32,'3121% SY'!$C$3:$M$324,11,FALSE),3),0)+IFERROR(VLOOKUP($A32,S275_09,4,FALSE),0)</f>
        <v>0</v>
      </c>
      <c r="AG32" s="267">
        <f>IFERROR(VLOOKUP($A32,Supp_35,14,FALSE),0)+IFERROR(SUMPRODUCT(VLOOKUP($A32,S275_01,{11,12,13},FALSE)),0)+IFERROR(SUMPRODUCT(VLOOKUP($A32,S275_97,{11,12,13},FALSE)),0)+IFERROR(ROUND(VLOOKUP($A32,S275_21,11,FALSE)*VLOOKUP($A32,'3121% SY'!$C$3:$M$324,11,FALSE),3),0)+IFERROR(ROUND(VLOOKUP($A32,S275_21,12,FALSE)*VLOOKUP($A32,'3121% SY'!$C$3:$M$324,11,FALSE),3),0)+IFERROR(ROUND(VLOOKUP($A32,S275_21,13,FALSE)*VLOOKUP($A32,'3121% SY'!$C$3:$M$324,11,FALSE),3),0)+IFERROR(VLOOKUP($A32,S275_09,5,FALSE),0)</f>
        <v>0</v>
      </c>
      <c r="AH32" s="165">
        <f t="shared" si="15"/>
        <v>0</v>
      </c>
      <c r="AI32" s="161">
        <f>IFERROR(VLOOKUP(A32,'Supp Staff Data'!A:ER,148,FALSE),0)+AB32</f>
        <v>0</v>
      </c>
      <c r="AJ32" s="174">
        <v>0</v>
      </c>
      <c r="AK32" s="25">
        <f>VLOOKUP(A32,'Enroll Data as of January 2025'!$A$3:$T$323,20,FALSE)-F32</f>
        <v>0</v>
      </c>
    </row>
    <row r="33" spans="1:37" x14ac:dyDescent="0.25">
      <c r="A33" t="s">
        <v>265</v>
      </c>
      <c r="B33" t="s">
        <v>561</v>
      </c>
      <c r="C33" s="173" t="s">
        <v>1086</v>
      </c>
      <c r="D33" s="259">
        <f t="shared" si="9"/>
        <v>4.0550000000000006</v>
      </c>
      <c r="E33" s="259">
        <f t="shared" si="10"/>
        <v>2.3540000000000001</v>
      </c>
      <c r="F33" s="262">
        <f t="shared" si="16"/>
        <v>-1.7010000000000001</v>
      </c>
      <c r="G33" s="161">
        <f>ROUND(IF(F33&lt;0,F33*'2024-25 PSES Compliance'!$G$13,0),3)</f>
        <v>-1.633</v>
      </c>
      <c r="H33" s="161">
        <f>ROUND(IF(F33&lt;0,F33*'2024-25 PSES Compliance'!$G$14,0),3)</f>
        <v>-6.8000000000000005E-2</v>
      </c>
      <c r="I33" s="174">
        <f t="shared" si="11"/>
        <v>2.6609729821580288</v>
      </c>
      <c r="J33" s="174">
        <f t="shared" si="12"/>
        <v>0</v>
      </c>
      <c r="K33" s="161">
        <f>VLOOKUP($A33,'Enroll Data as of January 2025'!$A$3:$M$322,6,FALSE)</f>
        <v>2.2469999999999999</v>
      </c>
      <c r="L33" s="161">
        <f>VLOOKUP($A33,'Enroll Data as of January 2025'!$A$3:$M$322,7,FALSE)</f>
        <v>0.38600000000000001</v>
      </c>
      <c r="M33" s="161">
        <f>VLOOKUP($A33,'Enroll Data as of January 2025'!$A$3:$M$322,8,FALSE)</f>
        <v>0.13</v>
      </c>
      <c r="N33" s="161">
        <f>VLOOKUP($A33,'Enroll Data as of January 2025'!$A$3:$M$322,9,FALSE)</f>
        <v>1.0620000000000001</v>
      </c>
      <c r="O33" s="165">
        <f t="shared" si="13"/>
        <v>3.8250000000000002</v>
      </c>
      <c r="P33" s="161">
        <f>VLOOKUP($A33,'Enroll Data as of January 2025'!$A$3:$M$322,11,FALSE)</f>
        <v>0.14200000000000002</v>
      </c>
      <c r="Q33" s="161">
        <f>VLOOKUP($A33,'Enroll Data as of January 2025'!$A$3:$M$322,12,FALSE)</f>
        <v>8.7999999999999995E-2</v>
      </c>
      <c r="R33" s="165">
        <f t="shared" si="14"/>
        <v>0.23</v>
      </c>
      <c r="S33" s="267">
        <f>IFERROR(VLOOKUP($A33,Supp_39,14,FALSE),0)+IFERROR(SUMPRODUCT(VLOOKUP($A33,S275_01,{14,15,16},FALSE)),0)+IFERROR(SUMPRODUCT(VLOOKUP($A33,S275_97,{14,15,16},FALSE)),0)+IFERROR(ROUND(VLOOKUP($A33,S275_21,14,FALSE)*VLOOKUP($A33,'3121% SY'!$C$3:$M$324,11,FALSE),3),0)+IFERROR(ROUND(VLOOKUP($A33,S275_21,15,FALSE)*VLOOKUP($A33,'3121% SY'!$C$3:$M$324,11,FALSE),3),0)+IFERROR(ROUND(VLOOKUP($A33,S275_21,16,FALSE)*VLOOKUP($A33,'3121% SY'!$C$3:$M$324,11,FALSE),3),0)+IFERROR(VLOOKUP($A33,S275_09,6,FALSE),0)</f>
        <v>1</v>
      </c>
      <c r="T33" s="267">
        <f>IFERROR(VLOOKUP($A33,Supp_42,14,FALSE),0)+IFERROR(SUMPRODUCT(VLOOKUP($A33,S275_01,{17,18,19},FALSE)),0)+IFERROR(SUMPRODUCT(VLOOKUP($A33,S275_97,{17,18,19},FALSE)),0)+IFERROR(ROUND(VLOOKUP($A33,S275_21,17,FALSE)*VLOOKUP($A33,'3121% SY'!$C$3:$M$324,11,FALSE),3),0)+IFERROR(ROUND(VLOOKUP($A33,S275_21,18,FALSE)*VLOOKUP($A33,'3121% SY'!$C$3:$M$324,11,FALSE),3),0)+IFERROR(ROUND(VLOOKUP($A33,S275_21,19,FALSE)*VLOOKUP($A33,'3121% SY'!$C$3:$M$324,11,FALSE),3),0)+IFERROR(VLOOKUP($A33,S275_09,7,FALSE),0)</f>
        <v>0</v>
      </c>
      <c r="U33" s="267">
        <f>IFERROR(VLOOKUP($A33,Supp_43,14,FALSE),0)+IFERROR(SUMPRODUCT(VLOOKUP($A33,S275_01,{20,21,22},FALSE)),0)+IFERROR(SUMPRODUCT(VLOOKUP($A33,S275_97,{20,21,22},FALSE)),0)+IFERROR(ROUND(VLOOKUP($A33,S275_21,20,FALSE)*VLOOKUP($A33,'3121% SY'!$C$3:$M$324,11,FALSE),3),0)+IFERROR(ROUND(VLOOKUP($A33,S275_21,21,FALSE)*VLOOKUP($A33,'3121% SY'!$C$3:$M$324,11,FALSE),3),0)+IFERROR(ROUND(VLOOKUP($A33,S275_21,22,FALSE)*VLOOKUP($A33,'3121% SY'!$C$3:$M$324,11,FALSE),3),0)+IFERROR(VLOOKUP($A33,S275_09,8,FALSE),0)</f>
        <v>0</v>
      </c>
      <c r="V33" s="267">
        <f>IFERROR(VLOOKUP($A33,Supp_44,14,FALSE),0)+IFERROR(SUMPRODUCT(VLOOKUP($A33,S275_01,{23,24,25},FALSE)),0)+IFERROR(SUMPRODUCT(VLOOKUP($A33,S275_97,{23,24,25},FALSE)),0)+IFERROR(ROUND(VLOOKUP($A33,S275_21,23,FALSE)*VLOOKUP($A33,'3121% SY'!$C$3:$M$324,11,FALSE),3),0)+IFERROR(ROUND(VLOOKUP($A33,S275_21,24,FALSE)*VLOOKUP($A33,'3121% SY'!$C$3:$M$324,11,FALSE),3),0)+IFERROR(ROUND(VLOOKUP($A33,S275_21,25,FALSE)*VLOOKUP($A33,'3121% SY'!$C$3:$M$324,11,FALSE),3),0)+IFERROR(VLOOKUP($A33,S275_09,9,FALSE),0)</f>
        <v>0</v>
      </c>
      <c r="W33" s="267">
        <f>IFERROR(VLOOKUP($A33,Supp_45,14,FALSE),0)+IFERROR(SUMPRODUCT(VLOOKUP($A33,S275_01,{26,27,28},FALSE)),0)+IFERROR(SUMPRODUCT(VLOOKUP($A33,S275_97,{26,27,28},FALSE)),0)+IFERROR(ROUND(VLOOKUP($A33,S275_21,26,FALSE)*VLOOKUP($A33,'3121% SY'!$C$3:$M$324,11,FALSE),3),0)+IFERROR(ROUND(VLOOKUP($A33,S275_21,27,FALSE)*VLOOKUP($A33,'3121% SY'!$C$3:$M$324,11,FALSE),3),0)+IFERROR(ROUND(VLOOKUP($A33,S275_21,28,FALSE)*VLOOKUP($A33,'3121% SY'!$C$3:$M$324,11,FALSE),3),0)+IFERROR(VLOOKUP($A33,S275_09,10,FALSE),0)</f>
        <v>0.375</v>
      </c>
      <c r="X33" s="267">
        <f>IFERROR(VLOOKUP($A33,Supp_46,14,FALSE),0)+IFERROR(SUMPRODUCT(VLOOKUP($A33,S275_01,{29,30,31},FALSE)),0)+IFERROR(SUMPRODUCT(VLOOKUP($A33,S275_97,{29,30,31},FALSE)),0)+IFERROR(ROUND(VLOOKUP($A33,S275_21,29,FALSE)*VLOOKUP($A33,'3121% SY'!$C$3:$M$324,11,FALSE),3),0)+IFERROR(ROUND(VLOOKUP($A33,S275_21,30,FALSE)*VLOOKUP($A33,'3121% SY'!$C$3:$M$324,11,FALSE),3),0)+IFERROR(ROUND(VLOOKUP($A33,S275_21,31,FALSE)*VLOOKUP($A33,'3121% SY'!$C$3:$M$324,11,FALSE),3),0)+IFERROR(VLOOKUP($A33,S275_09,11,FALSE),0)</f>
        <v>0.249</v>
      </c>
      <c r="Y33" s="267">
        <f>IFERROR(VLOOKUP($A33,Supp_47,14,FALSE),0)+IFERROR(SUMPRODUCT(VLOOKUP($A33,S275_01,{32,33,34},FALSE)),0)+IFERROR(SUMPRODUCT(VLOOKUP($A33,S275_97,{32,33,34},FALSE)),0)+IFERROR(ROUND(VLOOKUP($A33,S275_21,32,FALSE)*VLOOKUP($A33,'3121% SY'!$C$3:$M$324,11,FALSE),3),0)+IFERROR(ROUND(VLOOKUP($A33,S275_21,33,FALSE)*VLOOKUP($A33,'3121% SY'!$C$3:$M$324,11,FALSE),3),0)+IFERROR(ROUND(VLOOKUP($A33,S275_21,34,FALSE)*VLOOKUP($A33,'3121% SY'!$C$3:$M$324,11,FALSE),3),0)+IFERROR(VLOOKUP($A33,S275_09,12,FALSE),0)</f>
        <v>0</v>
      </c>
      <c r="Z33" s="267">
        <f>IFERROR(VLOOKUP($A33,Supp_48,14,FALSE),0)+IFERROR(SUMPRODUCT(VLOOKUP($A33,S275_01,{35,36,37},FALSE)),0)+IFERROR(SUMPRODUCT(VLOOKUP($A33,S275_97,{35,36,37},FALSE)),0)+IFERROR(ROUND(VLOOKUP($A33,S275_21,35,FALSE)*VLOOKUP($A33,'3121% SY'!$C$3:$M$324,11,FALSE),3),0)+IFERROR(ROUND(VLOOKUP($A33,S275_21,36,FALSE)*VLOOKUP($A33,'3121% SY'!$C$3:$M$324,11,FALSE),3),0)+IFERROR(ROUND(VLOOKUP($A33,S275_21,37,FALSE)*VLOOKUP($A33,'3121% SY'!$C$3:$M$324,11,FALSE),3),0)+IFERROR(VLOOKUP($A33,S275_09,13,FALSE),0)</f>
        <v>0</v>
      </c>
      <c r="AA33" s="267">
        <f>IFERROR(VLOOKUP($A33,Supp_49,14,FALSE),0)+IFERROR(SUMPRODUCT(VLOOKUP($A33,S275_01,{38,39,40},FALSE)),0)+IFERROR(SUMPRODUCT(VLOOKUP($A33,S275_97,{38,39,40},FALSE)),0)+IFERROR(ROUND(VLOOKUP($A33,S275_21,38,FALSE)*VLOOKUP($A33,'3121% SY'!$C$3:$M$324,11,FALSE),3),0)+IFERROR(ROUND(VLOOKUP($A33,S275_21,39,FALSE)*VLOOKUP($A33,'3121% SY'!$C$3:$M$324,11,FALSE),3),0)+IFERROR(ROUND(VLOOKUP($A33,S275_21,40,FALSE)*VLOOKUP($A33,'3121% SY'!$C$3:$M$324,11,FALSE),3),0)+IFERROR(VLOOKUP($A33,S275_09,14,FALSE),0)</f>
        <v>0</v>
      </c>
      <c r="AB33" s="267">
        <f>IFERROR(VLOOKUP($A33,Supp_64,14,FALSE),0)+IFERROR(SUMPRODUCT(VLOOKUP($A33,S275_01,{41,42,43},FALSE)),0)+IFERROR(SUMPRODUCT(VLOOKUP($A33,S275_97,{41,42,43},FALSE)),0)+IFERROR(ROUND(VLOOKUP($A33,S275_21,41,FALSE)*VLOOKUP($A33,'3121% SY'!$C$3:$M$324,11,FALSE),3),0)+IFERROR(ROUND(VLOOKUP($A33,S275_21,42,FALSE)*VLOOKUP($A33,'3121% SY'!$C$3:$M$324,11,FALSE),3),0)+IFERROR(ROUND(VLOOKUP($A33,S275_21,43,FALSE)*VLOOKUP($A33,'3121% SY'!$C$3:$M$324,11,FALSE),3),0)+IFERROR(VLOOKUP($A33,S275_09,15,FALSE),0)</f>
        <v>0</v>
      </c>
      <c r="AC33" s="268">
        <f t="shared" si="17"/>
        <v>1.6240000000000001</v>
      </c>
      <c r="AD33" s="267">
        <f>IFERROR(VLOOKUP($A33,Supp_24,14,FALSE),0)+IFERROR(SUMPRODUCT(VLOOKUP($A33,S275_01,{2,3,4},FALSE)),0)+IFERROR(SUMPRODUCT(VLOOKUP($A33,S275_97,{2,3,4},FALSE)),0)+IFERROR(ROUND(VLOOKUP($A33,S275_21,2,FALSE)*VLOOKUP($A33,'3121% SY'!$C$3:$M$324,11,FALSE),3),0)+IFERROR(ROUND(VLOOKUP($A33,S275_21,3,FALSE)*VLOOKUP($A33,'3121% SY'!$C$3:$M$324,11,FALSE),3),0)+IFERROR(ROUND(VLOOKUP($A33,S275_21,4,FALSE)*VLOOKUP($A33,'3121% SY'!$C$3:$M$324,11,FALSE),3),0)+IFERROR(VLOOKUP($A33,S275_09,2,FALSE),0)</f>
        <v>0</v>
      </c>
      <c r="AE33" s="267">
        <f>IFERROR(VLOOKUP($A33,Supp_25,14,FALSE),0)+IFERROR(SUMPRODUCT(VLOOKUP($A33,S275_01,{5,6,7},FALSE)),0)+IFERROR(SUMPRODUCT(VLOOKUP($A33,S275_97,{5,6,7},FALSE)),0)+IFERROR(ROUND(VLOOKUP($A33,S275_21,5,FALSE)*VLOOKUP($A33,'3121% SY'!$C$3:$M$324,11,FALSE),3),0)+IFERROR(ROUND(VLOOKUP($A33,S275_21,6,FALSE)*VLOOKUP($A33,'3121% SY'!$C$3:$M$324,11,FALSE),3),0)+IFERROR(ROUND(VLOOKUP($A33,S275_21,7,FALSE)*VLOOKUP($A33,'3121% SY'!$C$3:$M$324,11,FALSE),3),0)+IFERROR(VLOOKUP($A33,S275_09,3,FALSE),0)</f>
        <v>0</v>
      </c>
      <c r="AF33" s="267">
        <f>IFERROR(VLOOKUP($A33,Supp_26,14,FALSE),0)+IFERROR(SUMPRODUCT(VLOOKUP($A33,S275_01,{8,9,10},FALSE)),0)+IFERROR(SUMPRODUCT(VLOOKUP($A33,S275_97,{8,9,10},FALSE)),0)+IFERROR(ROUND(VLOOKUP($A33,S275_21,8,FALSE)*VLOOKUP($A33,'3121% SY'!$C$3:$M$324,11,FALSE),3),0)+IFERROR(ROUND(VLOOKUP($A33,S275_21,9,FALSE)*VLOOKUP($A33,'3121% SY'!$C$3:$M$324,11,FALSE),3),0)+IFERROR(ROUND(VLOOKUP($A33,S275_21,10,FALSE)*VLOOKUP($A33,'3121% SY'!$C$3:$M$324,11,FALSE),3),0)+IFERROR(VLOOKUP($A33,S275_09,4,FALSE),0)</f>
        <v>0.73</v>
      </c>
      <c r="AG33" s="267">
        <f>IFERROR(VLOOKUP($A33,Supp_35,14,FALSE),0)+IFERROR(SUMPRODUCT(VLOOKUP($A33,S275_01,{11,12,13},FALSE)),0)+IFERROR(SUMPRODUCT(VLOOKUP($A33,S275_97,{11,12,13},FALSE)),0)+IFERROR(ROUND(VLOOKUP($A33,S275_21,11,FALSE)*VLOOKUP($A33,'3121% SY'!$C$3:$M$324,11,FALSE),3),0)+IFERROR(ROUND(VLOOKUP($A33,S275_21,12,FALSE)*VLOOKUP($A33,'3121% SY'!$C$3:$M$324,11,FALSE),3),0)+IFERROR(ROUND(VLOOKUP($A33,S275_21,13,FALSE)*VLOOKUP($A33,'3121% SY'!$C$3:$M$324,11,FALSE),3),0)+IFERROR(VLOOKUP($A33,S275_09,5,FALSE),0)</f>
        <v>0</v>
      </c>
      <c r="AH33" s="165">
        <f t="shared" si="15"/>
        <v>0.73</v>
      </c>
      <c r="AI33" s="161">
        <f>IFERROR(VLOOKUP(A33,'Supp Staff Data'!A:ER,148,FALSE),0)+AB33</f>
        <v>0</v>
      </c>
      <c r="AJ33" s="174">
        <v>3.8571</v>
      </c>
      <c r="AK33" s="25">
        <f>VLOOKUP(A33,'Enroll Data as of January 2025'!$A$3:$T$323,20,FALSE)-F33</f>
        <v>0</v>
      </c>
    </row>
    <row r="34" spans="1:37" x14ac:dyDescent="0.25">
      <c r="A34" s="171" t="s">
        <v>170</v>
      </c>
      <c r="B34" t="s">
        <v>466</v>
      </c>
      <c r="C34" s="173" t="s">
        <v>1077</v>
      </c>
      <c r="D34" s="259">
        <f t="shared" si="9"/>
        <v>1.202</v>
      </c>
      <c r="E34" s="259">
        <f t="shared" si="10"/>
        <v>1.0780000000000001</v>
      </c>
      <c r="F34" s="262">
        <f t="shared" si="16"/>
        <v>-0.124</v>
      </c>
      <c r="G34" s="161">
        <f>ROUND(IF(F34&lt;0,F34*'2024-25 PSES Compliance'!$G$13,0),3)</f>
        <v>-0.11899999999999999</v>
      </c>
      <c r="H34" s="161">
        <f>ROUND(IF(F34&lt;0,F34*'2024-25 PSES Compliance'!$G$14,0),3)</f>
        <v>-5.0000000000000001E-3</v>
      </c>
      <c r="I34" s="174">
        <f t="shared" si="11"/>
        <v>0</v>
      </c>
      <c r="J34" s="174">
        <f t="shared" si="12"/>
        <v>0</v>
      </c>
      <c r="K34" s="161">
        <f>VLOOKUP($A34,'Enroll Data as of January 2025'!$A$3:$M$322,6,FALSE)</f>
        <v>0.67799999999999994</v>
      </c>
      <c r="L34" s="161">
        <f>VLOOKUP($A34,'Enroll Data as of January 2025'!$A$3:$M$322,7,FALSE)</f>
        <v>0.108</v>
      </c>
      <c r="M34" s="161">
        <f>VLOOKUP($A34,'Enroll Data as of January 2025'!$A$3:$M$322,8,FALSE)</f>
        <v>3.7000000000000005E-2</v>
      </c>
      <c r="N34" s="161">
        <f>VLOOKUP($A34,'Enroll Data as of January 2025'!$A$3:$M$322,9,FALSE)</f>
        <v>0.313</v>
      </c>
      <c r="O34" s="165">
        <f t="shared" si="13"/>
        <v>1.1359999999999999</v>
      </c>
      <c r="P34" s="161">
        <f>VLOOKUP($A34,'Enroll Data as of January 2025'!$A$3:$M$322,11,FALSE)</f>
        <v>4.1999999999999996E-2</v>
      </c>
      <c r="Q34" s="161">
        <f>VLOOKUP($A34,'Enroll Data as of January 2025'!$A$3:$M$322,12,FALSE)</f>
        <v>2.4E-2</v>
      </c>
      <c r="R34" s="165">
        <f t="shared" si="14"/>
        <v>6.6000000000000003E-2</v>
      </c>
      <c r="S34" s="267">
        <f>IFERROR(VLOOKUP($A34,Supp_39,14,FALSE),0)+IFERROR(SUMPRODUCT(VLOOKUP($A34,S275_01,{14,15,16},FALSE)),0)+IFERROR(SUMPRODUCT(VLOOKUP($A34,S275_97,{14,15,16},FALSE)),0)+IFERROR(ROUND(VLOOKUP($A34,S275_21,14,FALSE)*VLOOKUP($A34,'3121% SY'!$C$3:$M$324,11,FALSE),3),0)+IFERROR(ROUND(VLOOKUP($A34,S275_21,15,FALSE)*VLOOKUP($A34,'3121% SY'!$C$3:$M$324,11,FALSE),3),0)+IFERROR(ROUND(VLOOKUP($A34,S275_21,16,FALSE)*VLOOKUP($A34,'3121% SY'!$C$3:$M$324,11,FALSE),3),0)+IFERROR(VLOOKUP($A34,S275_09,6,FALSE),0)</f>
        <v>0.3</v>
      </c>
      <c r="T34" s="267">
        <f>IFERROR(VLOOKUP($A34,Supp_42,14,FALSE),0)+IFERROR(SUMPRODUCT(VLOOKUP($A34,S275_01,{17,18,19},FALSE)),0)+IFERROR(SUMPRODUCT(VLOOKUP($A34,S275_97,{17,18,19},FALSE)),0)+IFERROR(ROUND(VLOOKUP($A34,S275_21,17,FALSE)*VLOOKUP($A34,'3121% SY'!$C$3:$M$324,11,FALSE),3),0)+IFERROR(ROUND(VLOOKUP($A34,S275_21,18,FALSE)*VLOOKUP($A34,'3121% SY'!$C$3:$M$324,11,FALSE),3),0)+IFERROR(ROUND(VLOOKUP($A34,S275_21,19,FALSE)*VLOOKUP($A34,'3121% SY'!$C$3:$M$324,11,FALSE),3),0)+IFERROR(VLOOKUP($A34,S275_09,7,FALSE),0)</f>
        <v>0.15</v>
      </c>
      <c r="U34" s="267">
        <f>IFERROR(VLOOKUP($A34,Supp_43,14,FALSE),0)+IFERROR(SUMPRODUCT(VLOOKUP($A34,S275_01,{20,21,22},FALSE)),0)+IFERROR(SUMPRODUCT(VLOOKUP($A34,S275_97,{20,21,22},FALSE)),0)+IFERROR(ROUND(VLOOKUP($A34,S275_21,20,FALSE)*VLOOKUP($A34,'3121% SY'!$C$3:$M$324,11,FALSE),3),0)+IFERROR(ROUND(VLOOKUP($A34,S275_21,21,FALSE)*VLOOKUP($A34,'3121% SY'!$C$3:$M$324,11,FALSE),3),0)+IFERROR(ROUND(VLOOKUP($A34,S275_21,22,FALSE)*VLOOKUP($A34,'3121% SY'!$C$3:$M$324,11,FALSE),3),0)+IFERROR(VLOOKUP($A34,S275_09,8,FALSE),0)</f>
        <v>2.5999999999999999E-2</v>
      </c>
      <c r="V34" s="267">
        <f>IFERROR(VLOOKUP($A34,Supp_44,14,FALSE),0)+IFERROR(SUMPRODUCT(VLOOKUP($A34,S275_01,{23,24,25},FALSE)),0)+IFERROR(SUMPRODUCT(VLOOKUP($A34,S275_97,{23,24,25},FALSE)),0)+IFERROR(ROUND(VLOOKUP($A34,S275_21,23,FALSE)*VLOOKUP($A34,'3121% SY'!$C$3:$M$324,11,FALSE),3),0)+IFERROR(ROUND(VLOOKUP($A34,S275_21,24,FALSE)*VLOOKUP($A34,'3121% SY'!$C$3:$M$324,11,FALSE),3),0)+IFERROR(ROUND(VLOOKUP($A34,S275_21,25,FALSE)*VLOOKUP($A34,'3121% SY'!$C$3:$M$324,11,FALSE),3),0)+IFERROR(VLOOKUP($A34,S275_09,9,FALSE),0)</f>
        <v>0</v>
      </c>
      <c r="W34" s="267">
        <f>IFERROR(VLOOKUP($A34,Supp_45,14,FALSE),0)+IFERROR(SUMPRODUCT(VLOOKUP($A34,S275_01,{26,27,28},FALSE)),0)+IFERROR(SUMPRODUCT(VLOOKUP($A34,S275_97,{26,27,28},FALSE)),0)+IFERROR(ROUND(VLOOKUP($A34,S275_21,26,FALSE)*VLOOKUP($A34,'3121% SY'!$C$3:$M$324,11,FALSE),3),0)+IFERROR(ROUND(VLOOKUP($A34,S275_21,27,FALSE)*VLOOKUP($A34,'3121% SY'!$C$3:$M$324,11,FALSE),3),0)+IFERROR(ROUND(VLOOKUP($A34,S275_21,28,FALSE)*VLOOKUP($A34,'3121% SY'!$C$3:$M$324,11,FALSE),3),0)+IFERROR(VLOOKUP($A34,S275_09,10,FALSE),0)</f>
        <v>0</v>
      </c>
      <c r="X34" s="267">
        <f>IFERROR(VLOOKUP($A34,Supp_46,14,FALSE),0)+IFERROR(SUMPRODUCT(VLOOKUP($A34,S275_01,{29,30,31},FALSE)),0)+IFERROR(SUMPRODUCT(VLOOKUP($A34,S275_97,{29,30,31},FALSE)),0)+IFERROR(ROUND(VLOOKUP($A34,S275_21,29,FALSE)*VLOOKUP($A34,'3121% SY'!$C$3:$M$324,11,FALSE),3),0)+IFERROR(ROUND(VLOOKUP($A34,S275_21,30,FALSE)*VLOOKUP($A34,'3121% SY'!$C$3:$M$324,11,FALSE),3),0)+IFERROR(ROUND(VLOOKUP($A34,S275_21,31,FALSE)*VLOOKUP($A34,'3121% SY'!$C$3:$M$324,11,FALSE),3),0)+IFERROR(VLOOKUP($A34,S275_09,11,FALSE),0)</f>
        <v>0.53800000000000003</v>
      </c>
      <c r="Y34" s="267">
        <f>IFERROR(VLOOKUP($A34,Supp_47,14,FALSE),0)+IFERROR(SUMPRODUCT(VLOOKUP($A34,S275_01,{32,33,34},FALSE)),0)+IFERROR(SUMPRODUCT(VLOOKUP($A34,S275_97,{32,33,34},FALSE)),0)+IFERROR(ROUND(VLOOKUP($A34,S275_21,32,FALSE)*VLOOKUP($A34,'3121% SY'!$C$3:$M$324,11,FALSE),3),0)+IFERROR(ROUND(VLOOKUP($A34,S275_21,33,FALSE)*VLOOKUP($A34,'3121% SY'!$C$3:$M$324,11,FALSE),3),0)+IFERROR(ROUND(VLOOKUP($A34,S275_21,34,FALSE)*VLOOKUP($A34,'3121% SY'!$C$3:$M$324,11,FALSE),3),0)+IFERROR(VLOOKUP($A34,S275_09,12,FALSE),0)</f>
        <v>6.4000000000000001E-2</v>
      </c>
      <c r="Z34" s="267">
        <f>IFERROR(VLOOKUP($A34,Supp_48,14,FALSE),0)+IFERROR(SUMPRODUCT(VLOOKUP($A34,S275_01,{35,36,37},FALSE)),0)+IFERROR(SUMPRODUCT(VLOOKUP($A34,S275_97,{35,36,37},FALSE)),0)+IFERROR(ROUND(VLOOKUP($A34,S275_21,35,FALSE)*VLOOKUP($A34,'3121% SY'!$C$3:$M$324,11,FALSE),3),0)+IFERROR(ROUND(VLOOKUP($A34,S275_21,36,FALSE)*VLOOKUP($A34,'3121% SY'!$C$3:$M$324,11,FALSE),3),0)+IFERROR(ROUND(VLOOKUP($A34,S275_21,37,FALSE)*VLOOKUP($A34,'3121% SY'!$C$3:$M$324,11,FALSE),3),0)+IFERROR(VLOOKUP($A34,S275_09,13,FALSE),0)</f>
        <v>0</v>
      </c>
      <c r="AA34" s="267">
        <f>IFERROR(VLOOKUP($A34,Supp_49,14,FALSE),0)+IFERROR(SUMPRODUCT(VLOOKUP($A34,S275_01,{38,39,40},FALSE)),0)+IFERROR(SUMPRODUCT(VLOOKUP($A34,S275_97,{38,39,40},FALSE)),0)+IFERROR(ROUND(VLOOKUP($A34,S275_21,38,FALSE)*VLOOKUP($A34,'3121% SY'!$C$3:$M$324,11,FALSE),3),0)+IFERROR(ROUND(VLOOKUP($A34,S275_21,39,FALSE)*VLOOKUP($A34,'3121% SY'!$C$3:$M$324,11,FALSE),3),0)+IFERROR(ROUND(VLOOKUP($A34,S275_21,40,FALSE)*VLOOKUP($A34,'3121% SY'!$C$3:$M$324,11,FALSE),3),0)+IFERROR(VLOOKUP($A34,S275_09,14,FALSE),0)</f>
        <v>0</v>
      </c>
      <c r="AB34" s="267">
        <f>IFERROR(VLOOKUP($A34,Supp_64,14,FALSE),0)+IFERROR(SUMPRODUCT(VLOOKUP($A34,S275_01,{41,42,43},FALSE)),0)+IFERROR(SUMPRODUCT(VLOOKUP($A34,S275_97,{41,42,43},FALSE)),0)+IFERROR(ROUND(VLOOKUP($A34,S275_21,41,FALSE)*VLOOKUP($A34,'3121% SY'!$C$3:$M$324,11,FALSE),3),0)+IFERROR(ROUND(VLOOKUP($A34,S275_21,42,FALSE)*VLOOKUP($A34,'3121% SY'!$C$3:$M$324,11,FALSE),3),0)+IFERROR(ROUND(VLOOKUP($A34,S275_21,43,FALSE)*VLOOKUP($A34,'3121% SY'!$C$3:$M$324,11,FALSE),3),0)+IFERROR(VLOOKUP($A34,S275_09,15,FALSE),0)</f>
        <v>0</v>
      </c>
      <c r="AC34" s="268">
        <f t="shared" si="17"/>
        <v>1.0780000000000001</v>
      </c>
      <c r="AD34" s="267">
        <f>IFERROR(VLOOKUP($A34,Supp_24,14,FALSE),0)+IFERROR(SUMPRODUCT(VLOOKUP($A34,S275_01,{2,3,4},FALSE)),0)+IFERROR(SUMPRODUCT(VLOOKUP($A34,S275_97,{2,3,4},FALSE)),0)+IFERROR(ROUND(VLOOKUP($A34,S275_21,2,FALSE)*VLOOKUP($A34,'3121% SY'!$C$3:$M$324,11,FALSE),3),0)+IFERROR(ROUND(VLOOKUP($A34,S275_21,3,FALSE)*VLOOKUP($A34,'3121% SY'!$C$3:$M$324,11,FALSE),3),0)+IFERROR(ROUND(VLOOKUP($A34,S275_21,4,FALSE)*VLOOKUP($A34,'3121% SY'!$C$3:$M$324,11,FALSE),3),0)+IFERROR(VLOOKUP($A34,S275_09,2,FALSE),0)</f>
        <v>0</v>
      </c>
      <c r="AE34" s="267">
        <f>IFERROR(VLOOKUP($A34,Supp_25,14,FALSE),0)+IFERROR(SUMPRODUCT(VLOOKUP($A34,S275_01,{5,6,7},FALSE)),0)+IFERROR(SUMPRODUCT(VLOOKUP($A34,S275_97,{5,6,7},FALSE)),0)+IFERROR(ROUND(VLOOKUP($A34,S275_21,5,FALSE)*VLOOKUP($A34,'3121% SY'!$C$3:$M$324,11,FALSE),3),0)+IFERROR(ROUND(VLOOKUP($A34,S275_21,6,FALSE)*VLOOKUP($A34,'3121% SY'!$C$3:$M$324,11,FALSE),3),0)+IFERROR(ROUND(VLOOKUP($A34,S275_21,7,FALSE)*VLOOKUP($A34,'3121% SY'!$C$3:$M$324,11,FALSE),3),0)+IFERROR(VLOOKUP($A34,S275_09,3,FALSE),0)</f>
        <v>0</v>
      </c>
      <c r="AF34" s="267">
        <f>IFERROR(VLOOKUP($A34,Supp_26,14,FALSE),0)+IFERROR(SUMPRODUCT(VLOOKUP($A34,S275_01,{8,9,10},FALSE)),0)+IFERROR(SUMPRODUCT(VLOOKUP($A34,S275_97,{8,9,10},FALSE)),0)+IFERROR(ROUND(VLOOKUP($A34,S275_21,8,FALSE)*VLOOKUP($A34,'3121% SY'!$C$3:$M$324,11,FALSE),3),0)+IFERROR(ROUND(VLOOKUP($A34,S275_21,9,FALSE)*VLOOKUP($A34,'3121% SY'!$C$3:$M$324,11,FALSE),3),0)+IFERROR(ROUND(VLOOKUP($A34,S275_21,10,FALSE)*VLOOKUP($A34,'3121% SY'!$C$3:$M$324,11,FALSE),3),0)+IFERROR(VLOOKUP($A34,S275_09,4,FALSE),0)</f>
        <v>0</v>
      </c>
      <c r="AG34" s="267">
        <f>IFERROR(VLOOKUP($A34,Supp_35,14,FALSE),0)+IFERROR(SUMPRODUCT(VLOOKUP($A34,S275_01,{11,12,13},FALSE)),0)+IFERROR(SUMPRODUCT(VLOOKUP($A34,S275_97,{11,12,13},FALSE)),0)+IFERROR(ROUND(VLOOKUP($A34,S275_21,11,FALSE)*VLOOKUP($A34,'3121% SY'!$C$3:$M$324,11,FALSE),3),0)+IFERROR(ROUND(VLOOKUP($A34,S275_21,12,FALSE)*VLOOKUP($A34,'3121% SY'!$C$3:$M$324,11,FALSE),3),0)+IFERROR(ROUND(VLOOKUP($A34,S275_21,13,FALSE)*VLOOKUP($A34,'3121% SY'!$C$3:$M$324,11,FALSE),3),0)+IFERROR(VLOOKUP($A34,S275_09,5,FALSE),0)</f>
        <v>0</v>
      </c>
      <c r="AH34" s="165">
        <f t="shared" si="15"/>
        <v>0</v>
      </c>
      <c r="AI34" s="161">
        <f>IFERROR(VLOOKUP(A34,'Supp Staff Data'!A:ER,148,FALSE),0)+AB34</f>
        <v>0</v>
      </c>
      <c r="AJ34" s="174">
        <v>0</v>
      </c>
      <c r="AK34" s="25">
        <f>VLOOKUP(A34,'Enroll Data as of January 2025'!$A$3:$T$323,20,FALSE)-F34</f>
        <v>0</v>
      </c>
    </row>
    <row r="35" spans="1:37" x14ac:dyDescent="0.25">
      <c r="A35" s="171" t="s">
        <v>84</v>
      </c>
      <c r="B35" t="s">
        <v>380</v>
      </c>
      <c r="C35" s="173" t="s">
        <v>1077</v>
      </c>
      <c r="D35" s="259">
        <f t="shared" si="9"/>
        <v>0.33400000000000007</v>
      </c>
      <c r="E35" s="259">
        <f t="shared" si="10"/>
        <v>0.34899999999999998</v>
      </c>
      <c r="F35" s="262">
        <f t="shared" si="16"/>
        <v>1.4999999999999999E-2</v>
      </c>
      <c r="G35" s="161">
        <f>ROUND(IF(F35&lt;0,F35*'2024-25 PSES Compliance'!$G$13,0),3)</f>
        <v>0</v>
      </c>
      <c r="H35" s="161">
        <f>ROUND(IF(F35&lt;0,F35*'2024-25 PSES Compliance'!$G$14,0),3)</f>
        <v>0</v>
      </c>
      <c r="I35" s="174">
        <f t="shared" si="11"/>
        <v>0</v>
      </c>
      <c r="J35" s="174">
        <f t="shared" si="12"/>
        <v>5.6017191977077365</v>
      </c>
      <c r="K35" s="161">
        <f>VLOOKUP($A35,'Enroll Data as of January 2025'!$A$3:$M$322,6,FALSE)</f>
        <v>0.154</v>
      </c>
      <c r="L35" s="161">
        <f>VLOOKUP($A35,'Enroll Data as of January 2025'!$A$3:$M$322,7,FALSE)</f>
        <v>4.8000000000000001E-2</v>
      </c>
      <c r="M35" s="161">
        <f>VLOOKUP($A35,'Enroll Data as of January 2025'!$A$3:$M$322,8,FALSE)</f>
        <v>1.6E-2</v>
      </c>
      <c r="N35" s="161">
        <f>VLOOKUP($A35,'Enroll Data as of January 2025'!$A$3:$M$322,9,FALSE)</f>
        <v>9.0999999999999998E-2</v>
      </c>
      <c r="O35" s="165">
        <f t="shared" si="13"/>
        <v>0.30900000000000005</v>
      </c>
      <c r="P35" s="161">
        <f>VLOOKUP($A35,'Enroll Data as of January 2025'!$A$3:$M$322,11,FALSE)</f>
        <v>1.2E-2</v>
      </c>
      <c r="Q35" s="161">
        <f>VLOOKUP($A35,'Enroll Data as of January 2025'!$A$3:$M$322,12,FALSE)</f>
        <v>1.2999999999999999E-2</v>
      </c>
      <c r="R35" s="165">
        <f t="shared" si="14"/>
        <v>2.5000000000000001E-2</v>
      </c>
      <c r="S35" s="267">
        <f>IFERROR(VLOOKUP($A35,Supp_39,14,FALSE),0)+IFERROR(SUMPRODUCT(VLOOKUP($A35,S275_01,{14,15,16},FALSE)),0)+IFERROR(SUMPRODUCT(VLOOKUP($A35,S275_97,{14,15,16},FALSE)),0)+IFERROR(ROUND(VLOOKUP($A35,S275_21,14,FALSE)*VLOOKUP($A35,'3121% SY'!$C$3:$M$324,11,FALSE),3),0)+IFERROR(ROUND(VLOOKUP($A35,S275_21,15,FALSE)*VLOOKUP($A35,'3121% SY'!$C$3:$M$324,11,FALSE),3),0)+IFERROR(ROUND(VLOOKUP($A35,S275_21,16,FALSE)*VLOOKUP($A35,'3121% SY'!$C$3:$M$324,11,FALSE),3),0)+IFERROR(VLOOKUP($A35,S275_09,6,FALSE),0)</f>
        <v>0</v>
      </c>
      <c r="T35" s="267">
        <f>IFERROR(VLOOKUP($A35,Supp_42,14,FALSE),0)+IFERROR(SUMPRODUCT(VLOOKUP($A35,S275_01,{17,18,19},FALSE)),0)+IFERROR(SUMPRODUCT(VLOOKUP($A35,S275_97,{17,18,19},FALSE)),0)+IFERROR(ROUND(VLOOKUP($A35,S275_21,17,FALSE)*VLOOKUP($A35,'3121% SY'!$C$3:$M$324,11,FALSE),3),0)+IFERROR(ROUND(VLOOKUP($A35,S275_21,18,FALSE)*VLOOKUP($A35,'3121% SY'!$C$3:$M$324,11,FALSE),3),0)+IFERROR(ROUND(VLOOKUP($A35,S275_21,19,FALSE)*VLOOKUP($A35,'3121% SY'!$C$3:$M$324,11,FALSE),3),0)+IFERROR(VLOOKUP($A35,S275_09,7,FALSE),0)</f>
        <v>0</v>
      </c>
      <c r="U35" s="267">
        <f>IFERROR(VLOOKUP($A35,Supp_43,14,FALSE),0)+IFERROR(SUMPRODUCT(VLOOKUP($A35,S275_01,{20,21,22},FALSE)),0)+IFERROR(SUMPRODUCT(VLOOKUP($A35,S275_97,{20,21,22},FALSE)),0)+IFERROR(ROUND(VLOOKUP($A35,S275_21,20,FALSE)*VLOOKUP($A35,'3121% SY'!$C$3:$M$324,11,FALSE),3),0)+IFERROR(ROUND(VLOOKUP($A35,S275_21,21,FALSE)*VLOOKUP($A35,'3121% SY'!$C$3:$M$324,11,FALSE),3),0)+IFERROR(ROUND(VLOOKUP($A35,S275_21,22,FALSE)*VLOOKUP($A35,'3121% SY'!$C$3:$M$324,11,FALSE),3),0)+IFERROR(VLOOKUP($A35,S275_09,8,FALSE),0)</f>
        <v>0.01</v>
      </c>
      <c r="V35" s="267">
        <f>IFERROR(VLOOKUP($A35,Supp_44,14,FALSE),0)+IFERROR(SUMPRODUCT(VLOOKUP($A35,S275_01,{23,24,25},FALSE)),0)+IFERROR(SUMPRODUCT(VLOOKUP($A35,S275_97,{23,24,25},FALSE)),0)+IFERROR(ROUND(VLOOKUP($A35,S275_21,23,FALSE)*VLOOKUP($A35,'3121% SY'!$C$3:$M$324,11,FALSE),3),0)+IFERROR(ROUND(VLOOKUP($A35,S275_21,24,FALSE)*VLOOKUP($A35,'3121% SY'!$C$3:$M$324,11,FALSE),3),0)+IFERROR(ROUND(VLOOKUP($A35,S275_21,25,FALSE)*VLOOKUP($A35,'3121% SY'!$C$3:$M$324,11,FALSE),3),0)+IFERROR(VLOOKUP($A35,S275_09,9,FALSE),0)</f>
        <v>0</v>
      </c>
      <c r="W35" s="267">
        <f>IFERROR(VLOOKUP($A35,Supp_45,14,FALSE),0)+IFERROR(SUMPRODUCT(VLOOKUP($A35,S275_01,{26,27,28},FALSE)),0)+IFERROR(SUMPRODUCT(VLOOKUP($A35,S275_97,{26,27,28},FALSE)),0)+IFERROR(ROUND(VLOOKUP($A35,S275_21,26,FALSE)*VLOOKUP($A35,'3121% SY'!$C$3:$M$324,11,FALSE),3),0)+IFERROR(ROUND(VLOOKUP($A35,S275_21,27,FALSE)*VLOOKUP($A35,'3121% SY'!$C$3:$M$324,11,FALSE),3),0)+IFERROR(ROUND(VLOOKUP($A35,S275_21,28,FALSE)*VLOOKUP($A35,'3121% SY'!$C$3:$M$324,11,FALSE),3),0)+IFERROR(VLOOKUP($A35,S275_09,10,FALSE),0)</f>
        <v>1.9E-2</v>
      </c>
      <c r="X35" s="267">
        <f>IFERROR(VLOOKUP($A35,Supp_46,14,FALSE),0)+IFERROR(SUMPRODUCT(VLOOKUP($A35,S275_01,{29,30,31},FALSE)),0)+IFERROR(SUMPRODUCT(VLOOKUP($A35,S275_97,{29,30,31},FALSE)),0)+IFERROR(ROUND(VLOOKUP($A35,S275_21,29,FALSE)*VLOOKUP($A35,'3121% SY'!$C$3:$M$324,11,FALSE),3),0)+IFERROR(ROUND(VLOOKUP($A35,S275_21,30,FALSE)*VLOOKUP($A35,'3121% SY'!$C$3:$M$324,11,FALSE),3),0)+IFERROR(ROUND(VLOOKUP($A35,S275_21,31,FALSE)*VLOOKUP($A35,'3121% SY'!$C$3:$M$324,11,FALSE),3),0)+IFERROR(VLOOKUP($A35,S275_09,11,FALSE),0)</f>
        <v>1.0999999999999999E-2</v>
      </c>
      <c r="Y35" s="267">
        <f>IFERROR(VLOOKUP($A35,Supp_47,14,FALSE),0)+IFERROR(SUMPRODUCT(VLOOKUP($A35,S275_01,{32,33,34},FALSE)),0)+IFERROR(SUMPRODUCT(VLOOKUP($A35,S275_97,{32,33,34},FALSE)),0)+IFERROR(ROUND(VLOOKUP($A35,S275_21,32,FALSE)*VLOOKUP($A35,'3121% SY'!$C$3:$M$324,11,FALSE),3),0)+IFERROR(ROUND(VLOOKUP($A35,S275_21,33,FALSE)*VLOOKUP($A35,'3121% SY'!$C$3:$M$324,11,FALSE),3),0)+IFERROR(ROUND(VLOOKUP($A35,S275_21,34,FALSE)*VLOOKUP($A35,'3121% SY'!$C$3:$M$324,11,FALSE),3),0)+IFERROR(VLOOKUP($A35,S275_09,12,FALSE),0)</f>
        <v>0.2</v>
      </c>
      <c r="Z35" s="267">
        <f>IFERROR(VLOOKUP($A35,Supp_48,14,FALSE),0)+IFERROR(SUMPRODUCT(VLOOKUP($A35,S275_01,{35,36,37},FALSE)),0)+IFERROR(SUMPRODUCT(VLOOKUP($A35,S275_97,{35,36,37},FALSE)),0)+IFERROR(ROUND(VLOOKUP($A35,S275_21,35,FALSE)*VLOOKUP($A35,'3121% SY'!$C$3:$M$324,11,FALSE),3),0)+IFERROR(ROUND(VLOOKUP($A35,S275_21,36,FALSE)*VLOOKUP($A35,'3121% SY'!$C$3:$M$324,11,FALSE),3),0)+IFERROR(ROUND(VLOOKUP($A35,S275_21,37,FALSE)*VLOOKUP($A35,'3121% SY'!$C$3:$M$324,11,FALSE),3),0)+IFERROR(VLOOKUP($A35,S275_09,13,FALSE),0)</f>
        <v>0</v>
      </c>
      <c r="AA35" s="267">
        <f>IFERROR(VLOOKUP($A35,Supp_49,14,FALSE),0)+IFERROR(SUMPRODUCT(VLOOKUP($A35,S275_01,{38,39,40},FALSE)),0)+IFERROR(SUMPRODUCT(VLOOKUP($A35,S275_97,{38,39,40},FALSE)),0)+IFERROR(ROUND(VLOOKUP($A35,S275_21,38,FALSE)*VLOOKUP($A35,'3121% SY'!$C$3:$M$324,11,FALSE),3),0)+IFERROR(ROUND(VLOOKUP($A35,S275_21,39,FALSE)*VLOOKUP($A35,'3121% SY'!$C$3:$M$324,11,FALSE),3),0)+IFERROR(ROUND(VLOOKUP($A35,S275_21,40,FALSE)*VLOOKUP($A35,'3121% SY'!$C$3:$M$324,11,FALSE),3),0)+IFERROR(VLOOKUP($A35,S275_09,14,FALSE),0)</f>
        <v>0</v>
      </c>
      <c r="AB35" s="267">
        <f>IFERROR(VLOOKUP($A35,Supp_64,14,FALSE),0)+IFERROR(SUMPRODUCT(VLOOKUP($A35,S275_01,{41,42,43},FALSE)),0)+IFERROR(SUMPRODUCT(VLOOKUP($A35,S275_97,{41,42,43},FALSE)),0)+IFERROR(ROUND(VLOOKUP($A35,S275_21,41,FALSE)*VLOOKUP($A35,'3121% SY'!$C$3:$M$324,11,FALSE),3),0)+IFERROR(ROUND(VLOOKUP($A35,S275_21,42,FALSE)*VLOOKUP($A35,'3121% SY'!$C$3:$M$324,11,FALSE),3),0)+IFERROR(ROUND(VLOOKUP($A35,S275_21,43,FALSE)*VLOOKUP($A35,'3121% SY'!$C$3:$M$324,11,FALSE),3),0)+IFERROR(VLOOKUP($A35,S275_09,15,FALSE),0)</f>
        <v>0.109</v>
      </c>
      <c r="AC35" s="268">
        <f t="shared" si="17"/>
        <v>0.34899999999999998</v>
      </c>
      <c r="AD35" s="267">
        <f>IFERROR(VLOOKUP($A35,Supp_24,14,FALSE),0)+IFERROR(SUMPRODUCT(VLOOKUP($A35,S275_01,{2,3,4},FALSE)),0)+IFERROR(SUMPRODUCT(VLOOKUP($A35,S275_97,{2,3,4},FALSE)),0)+IFERROR(ROUND(VLOOKUP($A35,S275_21,2,FALSE)*VLOOKUP($A35,'3121% SY'!$C$3:$M$324,11,FALSE),3),0)+IFERROR(ROUND(VLOOKUP($A35,S275_21,3,FALSE)*VLOOKUP($A35,'3121% SY'!$C$3:$M$324,11,FALSE),3),0)+IFERROR(ROUND(VLOOKUP($A35,S275_21,4,FALSE)*VLOOKUP($A35,'3121% SY'!$C$3:$M$324,11,FALSE),3),0)+IFERROR(VLOOKUP($A35,S275_09,2,FALSE),0)</f>
        <v>0</v>
      </c>
      <c r="AE35" s="267">
        <f>IFERROR(VLOOKUP($A35,Supp_25,14,FALSE),0)+IFERROR(SUMPRODUCT(VLOOKUP($A35,S275_01,{5,6,7},FALSE)),0)+IFERROR(SUMPRODUCT(VLOOKUP($A35,S275_97,{5,6,7},FALSE)),0)+IFERROR(ROUND(VLOOKUP($A35,S275_21,5,FALSE)*VLOOKUP($A35,'3121% SY'!$C$3:$M$324,11,FALSE),3),0)+IFERROR(ROUND(VLOOKUP($A35,S275_21,6,FALSE)*VLOOKUP($A35,'3121% SY'!$C$3:$M$324,11,FALSE),3),0)+IFERROR(ROUND(VLOOKUP($A35,S275_21,7,FALSE)*VLOOKUP($A35,'3121% SY'!$C$3:$M$324,11,FALSE),3),0)+IFERROR(VLOOKUP($A35,S275_09,3,FALSE),0)</f>
        <v>0</v>
      </c>
      <c r="AF35" s="267">
        <f>IFERROR(VLOOKUP($A35,Supp_26,14,FALSE),0)+IFERROR(SUMPRODUCT(VLOOKUP($A35,S275_01,{8,9,10},FALSE)),0)+IFERROR(SUMPRODUCT(VLOOKUP($A35,S275_97,{8,9,10},FALSE)),0)+IFERROR(ROUND(VLOOKUP($A35,S275_21,8,FALSE)*VLOOKUP($A35,'3121% SY'!$C$3:$M$324,11,FALSE),3),0)+IFERROR(ROUND(VLOOKUP($A35,S275_21,9,FALSE)*VLOOKUP($A35,'3121% SY'!$C$3:$M$324,11,FALSE),3),0)+IFERROR(ROUND(VLOOKUP($A35,S275_21,10,FALSE)*VLOOKUP($A35,'3121% SY'!$C$3:$M$324,11,FALSE),3),0)+IFERROR(VLOOKUP($A35,S275_09,4,FALSE),0)</f>
        <v>0</v>
      </c>
      <c r="AG35" s="267">
        <f>IFERROR(VLOOKUP($A35,Supp_35,14,FALSE),0)+IFERROR(SUMPRODUCT(VLOOKUP($A35,S275_01,{11,12,13},FALSE)),0)+IFERROR(SUMPRODUCT(VLOOKUP($A35,S275_97,{11,12,13},FALSE)),0)+IFERROR(ROUND(VLOOKUP($A35,S275_21,11,FALSE)*VLOOKUP($A35,'3121% SY'!$C$3:$M$324,11,FALSE),3),0)+IFERROR(ROUND(VLOOKUP($A35,S275_21,12,FALSE)*VLOOKUP($A35,'3121% SY'!$C$3:$M$324,11,FALSE),3),0)+IFERROR(ROUND(VLOOKUP($A35,S275_21,13,FALSE)*VLOOKUP($A35,'3121% SY'!$C$3:$M$324,11,FALSE),3),0)+IFERROR(VLOOKUP($A35,S275_09,5,FALSE),0)</f>
        <v>0</v>
      </c>
      <c r="AH35" s="165">
        <f t="shared" si="15"/>
        <v>0</v>
      </c>
      <c r="AI35" s="161">
        <f>IFERROR(VLOOKUP(A35,'Supp Staff Data'!A:ER,148,FALSE),0)+AB35</f>
        <v>1.9549999999999998</v>
      </c>
      <c r="AJ35" s="174">
        <v>0</v>
      </c>
      <c r="AK35" s="25">
        <f>VLOOKUP(A35,'Enroll Data as of January 2025'!$A$3:$T$323,20,FALSE)-F35</f>
        <v>0</v>
      </c>
    </row>
    <row r="36" spans="1:37" x14ac:dyDescent="0.25">
      <c r="A36" s="171" t="s">
        <v>68</v>
      </c>
      <c r="B36" t="s">
        <v>364</v>
      </c>
      <c r="C36" s="173" t="s">
        <v>1077</v>
      </c>
      <c r="D36" s="259">
        <f t="shared" si="9"/>
        <v>1.0640000000000001</v>
      </c>
      <c r="E36" s="259">
        <f t="shared" si="10"/>
        <v>0.72</v>
      </c>
      <c r="F36" s="262">
        <f t="shared" si="16"/>
        <v>-0.34399999999999997</v>
      </c>
      <c r="G36" s="161">
        <f>ROUND(IF(F36&lt;0,F36*'2024-25 PSES Compliance'!$G$13,0),3)</f>
        <v>-0.33</v>
      </c>
      <c r="H36" s="161">
        <f>ROUND(IF(F36&lt;0,F36*'2024-25 PSES Compliance'!$G$14,0),3)</f>
        <v>-1.4E-2</v>
      </c>
      <c r="I36" s="174">
        <f t="shared" si="11"/>
        <v>0</v>
      </c>
      <c r="J36" s="174">
        <f t="shared" si="12"/>
        <v>0</v>
      </c>
      <c r="K36" s="161">
        <f>VLOOKUP($A36,'Enroll Data as of January 2025'!$A$3:$M$322,6,FALSE)</f>
        <v>0.627</v>
      </c>
      <c r="L36" s="161">
        <f>VLOOKUP($A36,'Enroll Data as of January 2025'!$A$3:$M$322,7,FALSE)</f>
        <v>8.4000000000000005E-2</v>
      </c>
      <c r="M36" s="161">
        <f>VLOOKUP($A36,'Enroll Data as of January 2025'!$A$3:$M$322,8,FALSE)</f>
        <v>2.9000000000000001E-2</v>
      </c>
      <c r="N36" s="161">
        <f>VLOOKUP($A36,'Enroll Data as of January 2025'!$A$3:$M$322,9,FALSE)</f>
        <v>0.27</v>
      </c>
      <c r="O36" s="165">
        <f t="shared" si="13"/>
        <v>1.01</v>
      </c>
      <c r="P36" s="161">
        <f>VLOOKUP($A36,'Enroll Data as of January 2025'!$A$3:$M$322,11,FALSE)</f>
        <v>3.6999999999999998E-2</v>
      </c>
      <c r="Q36" s="161">
        <f>VLOOKUP($A36,'Enroll Data as of January 2025'!$A$3:$M$322,12,FALSE)</f>
        <v>1.7000000000000001E-2</v>
      </c>
      <c r="R36" s="165">
        <f t="shared" si="14"/>
        <v>5.3999999999999999E-2</v>
      </c>
      <c r="S36" s="267">
        <f>IFERROR(VLOOKUP($A36,Supp_39,14,FALSE),0)+IFERROR(SUMPRODUCT(VLOOKUP($A36,S275_01,{14,15,16},FALSE)),0)+IFERROR(SUMPRODUCT(VLOOKUP($A36,S275_97,{14,15,16},FALSE)),0)+IFERROR(ROUND(VLOOKUP($A36,S275_21,14,FALSE)*VLOOKUP($A36,'3121% SY'!$C$3:$M$324,11,FALSE),3),0)+IFERROR(ROUND(VLOOKUP($A36,S275_21,15,FALSE)*VLOOKUP($A36,'3121% SY'!$C$3:$M$324,11,FALSE),3),0)+IFERROR(ROUND(VLOOKUP($A36,S275_21,16,FALSE)*VLOOKUP($A36,'3121% SY'!$C$3:$M$324,11,FALSE),3),0)+IFERROR(VLOOKUP($A36,S275_09,6,FALSE),0)</f>
        <v>0.72</v>
      </c>
      <c r="T36" s="267">
        <f>IFERROR(VLOOKUP($A36,Supp_42,14,FALSE),0)+IFERROR(SUMPRODUCT(VLOOKUP($A36,S275_01,{17,18,19},FALSE)),0)+IFERROR(SUMPRODUCT(VLOOKUP($A36,S275_97,{17,18,19},FALSE)),0)+IFERROR(ROUND(VLOOKUP($A36,S275_21,17,FALSE)*VLOOKUP($A36,'3121% SY'!$C$3:$M$324,11,FALSE),3),0)+IFERROR(ROUND(VLOOKUP($A36,S275_21,18,FALSE)*VLOOKUP($A36,'3121% SY'!$C$3:$M$324,11,FALSE),3),0)+IFERROR(ROUND(VLOOKUP($A36,S275_21,19,FALSE)*VLOOKUP($A36,'3121% SY'!$C$3:$M$324,11,FALSE),3),0)+IFERROR(VLOOKUP($A36,S275_09,7,FALSE),0)</f>
        <v>0</v>
      </c>
      <c r="U36" s="267">
        <f>IFERROR(VLOOKUP($A36,Supp_43,14,FALSE),0)+IFERROR(SUMPRODUCT(VLOOKUP($A36,S275_01,{20,21,22},FALSE)),0)+IFERROR(SUMPRODUCT(VLOOKUP($A36,S275_97,{20,21,22},FALSE)),0)+IFERROR(ROUND(VLOOKUP($A36,S275_21,20,FALSE)*VLOOKUP($A36,'3121% SY'!$C$3:$M$324,11,FALSE),3),0)+IFERROR(ROUND(VLOOKUP($A36,S275_21,21,FALSE)*VLOOKUP($A36,'3121% SY'!$C$3:$M$324,11,FALSE),3),0)+IFERROR(ROUND(VLOOKUP($A36,S275_21,22,FALSE)*VLOOKUP($A36,'3121% SY'!$C$3:$M$324,11,FALSE),3),0)+IFERROR(VLOOKUP($A36,S275_09,8,FALSE),0)</f>
        <v>0</v>
      </c>
      <c r="V36" s="267">
        <f>IFERROR(VLOOKUP($A36,Supp_44,14,FALSE),0)+IFERROR(SUMPRODUCT(VLOOKUP($A36,S275_01,{23,24,25},FALSE)),0)+IFERROR(SUMPRODUCT(VLOOKUP($A36,S275_97,{23,24,25},FALSE)),0)+IFERROR(ROUND(VLOOKUP($A36,S275_21,23,FALSE)*VLOOKUP($A36,'3121% SY'!$C$3:$M$324,11,FALSE),3),0)+IFERROR(ROUND(VLOOKUP($A36,S275_21,24,FALSE)*VLOOKUP($A36,'3121% SY'!$C$3:$M$324,11,FALSE),3),0)+IFERROR(ROUND(VLOOKUP($A36,S275_21,25,FALSE)*VLOOKUP($A36,'3121% SY'!$C$3:$M$324,11,FALSE),3),0)+IFERROR(VLOOKUP($A36,S275_09,9,FALSE),0)</f>
        <v>0</v>
      </c>
      <c r="W36" s="267">
        <f>IFERROR(VLOOKUP($A36,Supp_45,14,FALSE),0)+IFERROR(SUMPRODUCT(VLOOKUP($A36,S275_01,{26,27,28},FALSE)),0)+IFERROR(SUMPRODUCT(VLOOKUP($A36,S275_97,{26,27,28},FALSE)),0)+IFERROR(ROUND(VLOOKUP($A36,S275_21,26,FALSE)*VLOOKUP($A36,'3121% SY'!$C$3:$M$324,11,FALSE),3),0)+IFERROR(ROUND(VLOOKUP($A36,S275_21,27,FALSE)*VLOOKUP($A36,'3121% SY'!$C$3:$M$324,11,FALSE),3),0)+IFERROR(ROUND(VLOOKUP($A36,S275_21,28,FALSE)*VLOOKUP($A36,'3121% SY'!$C$3:$M$324,11,FALSE),3),0)+IFERROR(VLOOKUP($A36,S275_09,10,FALSE),0)</f>
        <v>0</v>
      </c>
      <c r="X36" s="267">
        <f>IFERROR(VLOOKUP($A36,Supp_46,14,FALSE),0)+IFERROR(SUMPRODUCT(VLOOKUP($A36,S275_01,{29,30,31},FALSE)),0)+IFERROR(SUMPRODUCT(VLOOKUP($A36,S275_97,{29,30,31},FALSE)),0)+IFERROR(ROUND(VLOOKUP($A36,S275_21,29,FALSE)*VLOOKUP($A36,'3121% SY'!$C$3:$M$324,11,FALSE),3),0)+IFERROR(ROUND(VLOOKUP($A36,S275_21,30,FALSE)*VLOOKUP($A36,'3121% SY'!$C$3:$M$324,11,FALSE),3),0)+IFERROR(ROUND(VLOOKUP($A36,S275_21,31,FALSE)*VLOOKUP($A36,'3121% SY'!$C$3:$M$324,11,FALSE),3),0)+IFERROR(VLOOKUP($A36,S275_09,11,FALSE),0)</f>
        <v>0</v>
      </c>
      <c r="Y36" s="267">
        <f>IFERROR(VLOOKUP($A36,Supp_47,14,FALSE),0)+IFERROR(SUMPRODUCT(VLOOKUP($A36,S275_01,{32,33,34},FALSE)),0)+IFERROR(SUMPRODUCT(VLOOKUP($A36,S275_97,{32,33,34},FALSE)),0)+IFERROR(ROUND(VLOOKUP($A36,S275_21,32,FALSE)*VLOOKUP($A36,'3121% SY'!$C$3:$M$324,11,FALSE),3),0)+IFERROR(ROUND(VLOOKUP($A36,S275_21,33,FALSE)*VLOOKUP($A36,'3121% SY'!$C$3:$M$324,11,FALSE),3),0)+IFERROR(ROUND(VLOOKUP($A36,S275_21,34,FALSE)*VLOOKUP($A36,'3121% SY'!$C$3:$M$324,11,FALSE),3),0)+IFERROR(VLOOKUP($A36,S275_09,12,FALSE),0)</f>
        <v>0</v>
      </c>
      <c r="Z36" s="267">
        <f>IFERROR(VLOOKUP($A36,Supp_48,14,FALSE),0)+IFERROR(SUMPRODUCT(VLOOKUP($A36,S275_01,{35,36,37},FALSE)),0)+IFERROR(SUMPRODUCT(VLOOKUP($A36,S275_97,{35,36,37},FALSE)),0)+IFERROR(ROUND(VLOOKUP($A36,S275_21,35,FALSE)*VLOOKUP($A36,'3121% SY'!$C$3:$M$324,11,FALSE),3),0)+IFERROR(ROUND(VLOOKUP($A36,S275_21,36,FALSE)*VLOOKUP($A36,'3121% SY'!$C$3:$M$324,11,FALSE),3),0)+IFERROR(ROUND(VLOOKUP($A36,S275_21,37,FALSE)*VLOOKUP($A36,'3121% SY'!$C$3:$M$324,11,FALSE),3),0)+IFERROR(VLOOKUP($A36,S275_09,13,FALSE),0)</f>
        <v>0</v>
      </c>
      <c r="AA36" s="267">
        <f>IFERROR(VLOOKUP($A36,Supp_49,14,FALSE),0)+IFERROR(SUMPRODUCT(VLOOKUP($A36,S275_01,{38,39,40},FALSE)),0)+IFERROR(SUMPRODUCT(VLOOKUP($A36,S275_97,{38,39,40},FALSE)),0)+IFERROR(ROUND(VLOOKUP($A36,S275_21,38,FALSE)*VLOOKUP($A36,'3121% SY'!$C$3:$M$324,11,FALSE),3),0)+IFERROR(ROUND(VLOOKUP($A36,S275_21,39,FALSE)*VLOOKUP($A36,'3121% SY'!$C$3:$M$324,11,FALSE),3),0)+IFERROR(ROUND(VLOOKUP($A36,S275_21,40,FALSE)*VLOOKUP($A36,'3121% SY'!$C$3:$M$324,11,FALSE),3),0)+IFERROR(VLOOKUP($A36,S275_09,14,FALSE),0)</f>
        <v>0</v>
      </c>
      <c r="AB36" s="267">
        <f>IFERROR(VLOOKUP($A36,Supp_64,14,FALSE),0)+IFERROR(SUMPRODUCT(VLOOKUP($A36,S275_01,{41,42,43},FALSE)),0)+IFERROR(SUMPRODUCT(VLOOKUP($A36,S275_97,{41,42,43},FALSE)),0)+IFERROR(ROUND(VLOOKUP($A36,S275_21,41,FALSE)*VLOOKUP($A36,'3121% SY'!$C$3:$M$324,11,FALSE),3),0)+IFERROR(ROUND(VLOOKUP($A36,S275_21,42,FALSE)*VLOOKUP($A36,'3121% SY'!$C$3:$M$324,11,FALSE),3),0)+IFERROR(ROUND(VLOOKUP($A36,S275_21,43,FALSE)*VLOOKUP($A36,'3121% SY'!$C$3:$M$324,11,FALSE),3),0)+IFERROR(VLOOKUP($A36,S275_09,15,FALSE),0)</f>
        <v>0</v>
      </c>
      <c r="AC36" s="268">
        <f t="shared" si="17"/>
        <v>0.72</v>
      </c>
      <c r="AD36" s="267">
        <f>IFERROR(VLOOKUP($A36,Supp_24,14,FALSE),0)+IFERROR(SUMPRODUCT(VLOOKUP($A36,S275_01,{2,3,4},FALSE)),0)+IFERROR(SUMPRODUCT(VLOOKUP($A36,S275_97,{2,3,4},FALSE)),0)+IFERROR(ROUND(VLOOKUP($A36,S275_21,2,FALSE)*VLOOKUP($A36,'3121% SY'!$C$3:$M$324,11,FALSE),3),0)+IFERROR(ROUND(VLOOKUP($A36,S275_21,3,FALSE)*VLOOKUP($A36,'3121% SY'!$C$3:$M$324,11,FALSE),3),0)+IFERROR(ROUND(VLOOKUP($A36,S275_21,4,FALSE)*VLOOKUP($A36,'3121% SY'!$C$3:$M$324,11,FALSE),3),0)+IFERROR(VLOOKUP($A36,S275_09,2,FALSE),0)</f>
        <v>0</v>
      </c>
      <c r="AE36" s="267">
        <f>IFERROR(VLOOKUP($A36,Supp_25,14,FALSE),0)+IFERROR(SUMPRODUCT(VLOOKUP($A36,S275_01,{5,6,7},FALSE)),0)+IFERROR(SUMPRODUCT(VLOOKUP($A36,S275_97,{5,6,7},FALSE)),0)+IFERROR(ROUND(VLOOKUP($A36,S275_21,5,FALSE)*VLOOKUP($A36,'3121% SY'!$C$3:$M$324,11,FALSE),3),0)+IFERROR(ROUND(VLOOKUP($A36,S275_21,6,FALSE)*VLOOKUP($A36,'3121% SY'!$C$3:$M$324,11,FALSE),3),0)+IFERROR(ROUND(VLOOKUP($A36,S275_21,7,FALSE)*VLOOKUP($A36,'3121% SY'!$C$3:$M$324,11,FALSE),3),0)+IFERROR(VLOOKUP($A36,S275_09,3,FALSE),0)</f>
        <v>0</v>
      </c>
      <c r="AF36" s="267">
        <f>IFERROR(VLOOKUP($A36,Supp_26,14,FALSE),0)+IFERROR(SUMPRODUCT(VLOOKUP($A36,S275_01,{8,9,10},FALSE)),0)+IFERROR(SUMPRODUCT(VLOOKUP($A36,S275_97,{8,9,10},FALSE)),0)+IFERROR(ROUND(VLOOKUP($A36,S275_21,8,FALSE)*VLOOKUP($A36,'3121% SY'!$C$3:$M$324,11,FALSE),3),0)+IFERROR(ROUND(VLOOKUP($A36,S275_21,9,FALSE)*VLOOKUP($A36,'3121% SY'!$C$3:$M$324,11,FALSE),3),0)+IFERROR(ROUND(VLOOKUP($A36,S275_21,10,FALSE)*VLOOKUP($A36,'3121% SY'!$C$3:$M$324,11,FALSE),3),0)+IFERROR(VLOOKUP($A36,S275_09,4,FALSE),0)</f>
        <v>0</v>
      </c>
      <c r="AG36" s="267">
        <f>IFERROR(VLOOKUP($A36,Supp_35,14,FALSE),0)+IFERROR(SUMPRODUCT(VLOOKUP($A36,S275_01,{11,12,13},FALSE)),0)+IFERROR(SUMPRODUCT(VLOOKUP($A36,S275_97,{11,12,13},FALSE)),0)+IFERROR(ROUND(VLOOKUP($A36,S275_21,11,FALSE)*VLOOKUP($A36,'3121% SY'!$C$3:$M$324,11,FALSE),3),0)+IFERROR(ROUND(VLOOKUP($A36,S275_21,12,FALSE)*VLOOKUP($A36,'3121% SY'!$C$3:$M$324,11,FALSE),3),0)+IFERROR(ROUND(VLOOKUP($A36,S275_21,13,FALSE)*VLOOKUP($A36,'3121% SY'!$C$3:$M$324,11,FALSE),3),0)+IFERROR(VLOOKUP($A36,S275_09,5,FALSE),0)</f>
        <v>0</v>
      </c>
      <c r="AH36" s="165">
        <f t="shared" si="15"/>
        <v>0</v>
      </c>
      <c r="AI36" s="161">
        <f>IFERROR(VLOOKUP(A36,'Supp Staff Data'!A:ER,148,FALSE),0)+AB36</f>
        <v>0</v>
      </c>
      <c r="AJ36" s="174">
        <v>0</v>
      </c>
      <c r="AK36" s="25">
        <f>VLOOKUP(A36,'Enroll Data as of January 2025'!$A$3:$T$323,20,FALSE)-F36</f>
        <v>0</v>
      </c>
    </row>
    <row r="37" spans="1:37" x14ac:dyDescent="0.25">
      <c r="A37" s="171" t="s">
        <v>228</v>
      </c>
      <c r="B37" t="s">
        <v>524</v>
      </c>
      <c r="C37" s="173" t="s">
        <v>1086</v>
      </c>
      <c r="D37" s="259">
        <f t="shared" si="9"/>
        <v>0.23800000000000002</v>
      </c>
      <c r="E37" s="259">
        <f t="shared" si="10"/>
        <v>0.28799999999999998</v>
      </c>
      <c r="F37" s="262">
        <f t="shared" si="16"/>
        <v>0.05</v>
      </c>
      <c r="G37" s="161">
        <f>ROUND(IF(F37&lt;0,F37*'2024-25 PSES Compliance'!$G$13,0),3)</f>
        <v>0</v>
      </c>
      <c r="H37" s="161">
        <f>ROUND(IF(F37&lt;0,F37*'2024-25 PSES Compliance'!$G$14,0),3)</f>
        <v>0</v>
      </c>
      <c r="I37" s="174">
        <f t="shared" si="11"/>
        <v>0</v>
      </c>
      <c r="J37" s="174">
        <f t="shared" si="12"/>
        <v>0</v>
      </c>
      <c r="K37" s="161">
        <f>VLOOKUP($A37,'Enroll Data as of January 2025'!$A$3:$M$322,6,FALSE)</f>
        <v>0.11</v>
      </c>
      <c r="L37" s="161">
        <f>VLOOKUP($A37,'Enroll Data as of January 2025'!$A$3:$M$322,7,FALSE)</f>
        <v>3.4000000000000002E-2</v>
      </c>
      <c r="M37" s="161">
        <f>VLOOKUP($A37,'Enroll Data as of January 2025'!$A$3:$M$322,8,FALSE)</f>
        <v>1.0999999999999999E-2</v>
      </c>
      <c r="N37" s="161">
        <f>VLOOKUP($A37,'Enroll Data as of January 2025'!$A$3:$M$322,9,FALSE)</f>
        <v>6.5000000000000002E-2</v>
      </c>
      <c r="O37" s="165">
        <f t="shared" si="13"/>
        <v>0.22000000000000003</v>
      </c>
      <c r="P37" s="161">
        <f>VLOOKUP($A37,'Enroll Data as of January 2025'!$A$3:$M$322,11,FALSE)</f>
        <v>8.9999999999999993E-3</v>
      </c>
      <c r="Q37" s="161">
        <f>VLOOKUP($A37,'Enroll Data as of January 2025'!$A$3:$M$322,12,FALSE)</f>
        <v>8.9999999999999993E-3</v>
      </c>
      <c r="R37" s="165">
        <f t="shared" si="14"/>
        <v>1.7999999999999999E-2</v>
      </c>
      <c r="S37" s="267">
        <f>IFERROR(VLOOKUP($A37,Supp_39,14,FALSE),0)+IFERROR(SUMPRODUCT(VLOOKUP($A37,S275_01,{14,15,16},FALSE)),0)+IFERROR(SUMPRODUCT(VLOOKUP($A37,S275_97,{14,15,16},FALSE)),0)+IFERROR(ROUND(VLOOKUP($A37,S275_21,14,FALSE)*VLOOKUP($A37,'3121% SY'!$C$3:$M$324,11,FALSE),3),0)+IFERROR(ROUND(VLOOKUP($A37,S275_21,15,FALSE)*VLOOKUP($A37,'3121% SY'!$C$3:$M$324,11,FALSE),3),0)+IFERROR(ROUND(VLOOKUP($A37,S275_21,16,FALSE)*VLOOKUP($A37,'3121% SY'!$C$3:$M$324,11,FALSE),3),0)+IFERROR(VLOOKUP($A37,S275_09,6,FALSE),0)</f>
        <v>0</v>
      </c>
      <c r="T37" s="267">
        <f>IFERROR(VLOOKUP($A37,Supp_42,14,FALSE),0)+IFERROR(SUMPRODUCT(VLOOKUP($A37,S275_01,{17,18,19},FALSE)),0)+IFERROR(SUMPRODUCT(VLOOKUP($A37,S275_97,{17,18,19},FALSE)),0)+IFERROR(ROUND(VLOOKUP($A37,S275_21,17,FALSE)*VLOOKUP($A37,'3121% SY'!$C$3:$M$324,11,FALSE),3),0)+IFERROR(ROUND(VLOOKUP($A37,S275_21,18,FALSE)*VLOOKUP($A37,'3121% SY'!$C$3:$M$324,11,FALSE),3),0)+IFERROR(ROUND(VLOOKUP($A37,S275_21,19,FALSE)*VLOOKUP($A37,'3121% SY'!$C$3:$M$324,11,FALSE),3),0)+IFERROR(VLOOKUP($A37,S275_09,7,FALSE),0)</f>
        <v>0</v>
      </c>
      <c r="U37" s="267">
        <f>IFERROR(VLOOKUP($A37,Supp_43,14,FALSE),0)+IFERROR(SUMPRODUCT(VLOOKUP($A37,S275_01,{20,21,22},FALSE)),0)+IFERROR(SUMPRODUCT(VLOOKUP($A37,S275_97,{20,21,22},FALSE)),0)+IFERROR(ROUND(VLOOKUP($A37,S275_21,20,FALSE)*VLOOKUP($A37,'3121% SY'!$C$3:$M$324,11,FALSE),3),0)+IFERROR(ROUND(VLOOKUP($A37,S275_21,21,FALSE)*VLOOKUP($A37,'3121% SY'!$C$3:$M$324,11,FALSE),3),0)+IFERROR(ROUND(VLOOKUP($A37,S275_21,22,FALSE)*VLOOKUP($A37,'3121% SY'!$C$3:$M$324,11,FALSE),3),0)+IFERROR(VLOOKUP($A37,S275_09,8,FALSE),0)</f>
        <v>0</v>
      </c>
      <c r="V37" s="267">
        <f>IFERROR(VLOOKUP($A37,Supp_44,14,FALSE),0)+IFERROR(SUMPRODUCT(VLOOKUP($A37,S275_01,{23,24,25},FALSE)),0)+IFERROR(SUMPRODUCT(VLOOKUP($A37,S275_97,{23,24,25},FALSE)),0)+IFERROR(ROUND(VLOOKUP($A37,S275_21,23,FALSE)*VLOOKUP($A37,'3121% SY'!$C$3:$M$324,11,FALSE),3),0)+IFERROR(ROUND(VLOOKUP($A37,S275_21,24,FALSE)*VLOOKUP($A37,'3121% SY'!$C$3:$M$324,11,FALSE),3),0)+IFERROR(ROUND(VLOOKUP($A37,S275_21,25,FALSE)*VLOOKUP($A37,'3121% SY'!$C$3:$M$324,11,FALSE),3),0)+IFERROR(VLOOKUP($A37,S275_09,9,FALSE),0)</f>
        <v>0</v>
      </c>
      <c r="W37" s="267">
        <f>IFERROR(VLOOKUP($A37,Supp_45,14,FALSE),0)+IFERROR(SUMPRODUCT(VLOOKUP($A37,S275_01,{26,27,28},FALSE)),0)+IFERROR(SUMPRODUCT(VLOOKUP($A37,S275_97,{26,27,28},FALSE)),0)+IFERROR(ROUND(VLOOKUP($A37,S275_21,26,FALSE)*VLOOKUP($A37,'3121% SY'!$C$3:$M$324,11,FALSE),3),0)+IFERROR(ROUND(VLOOKUP($A37,S275_21,27,FALSE)*VLOOKUP($A37,'3121% SY'!$C$3:$M$324,11,FALSE),3),0)+IFERROR(ROUND(VLOOKUP($A37,S275_21,28,FALSE)*VLOOKUP($A37,'3121% SY'!$C$3:$M$324,11,FALSE),3),0)+IFERROR(VLOOKUP($A37,S275_09,10,FALSE),0)</f>
        <v>0</v>
      </c>
      <c r="X37" s="267">
        <f>IFERROR(VLOOKUP($A37,Supp_46,14,FALSE),0)+IFERROR(SUMPRODUCT(VLOOKUP($A37,S275_01,{29,30,31},FALSE)),0)+IFERROR(SUMPRODUCT(VLOOKUP($A37,S275_97,{29,30,31},FALSE)),0)+IFERROR(ROUND(VLOOKUP($A37,S275_21,29,FALSE)*VLOOKUP($A37,'3121% SY'!$C$3:$M$324,11,FALSE),3),0)+IFERROR(ROUND(VLOOKUP($A37,S275_21,30,FALSE)*VLOOKUP($A37,'3121% SY'!$C$3:$M$324,11,FALSE),3),0)+IFERROR(ROUND(VLOOKUP($A37,S275_21,31,FALSE)*VLOOKUP($A37,'3121% SY'!$C$3:$M$324,11,FALSE),3),0)+IFERROR(VLOOKUP($A37,S275_09,11,FALSE),0)</f>
        <v>0</v>
      </c>
      <c r="Y37" s="267">
        <f>IFERROR(VLOOKUP($A37,Supp_47,14,FALSE),0)+IFERROR(SUMPRODUCT(VLOOKUP($A37,S275_01,{32,33,34},FALSE)),0)+IFERROR(SUMPRODUCT(VLOOKUP($A37,S275_97,{32,33,34},FALSE)),0)+IFERROR(ROUND(VLOOKUP($A37,S275_21,32,FALSE)*VLOOKUP($A37,'3121% SY'!$C$3:$M$324,11,FALSE),3),0)+IFERROR(ROUND(VLOOKUP($A37,S275_21,33,FALSE)*VLOOKUP($A37,'3121% SY'!$C$3:$M$324,11,FALSE),3),0)+IFERROR(ROUND(VLOOKUP($A37,S275_21,34,FALSE)*VLOOKUP($A37,'3121% SY'!$C$3:$M$324,11,FALSE),3),0)+IFERROR(VLOOKUP($A37,S275_09,12,FALSE),0)</f>
        <v>0</v>
      </c>
      <c r="Z37" s="267">
        <f>IFERROR(VLOOKUP($A37,Supp_48,14,FALSE),0)+IFERROR(SUMPRODUCT(VLOOKUP($A37,S275_01,{35,36,37},FALSE)),0)+IFERROR(SUMPRODUCT(VLOOKUP($A37,S275_97,{35,36,37},FALSE)),0)+IFERROR(ROUND(VLOOKUP($A37,S275_21,35,FALSE)*VLOOKUP($A37,'3121% SY'!$C$3:$M$324,11,FALSE),3),0)+IFERROR(ROUND(VLOOKUP($A37,S275_21,36,FALSE)*VLOOKUP($A37,'3121% SY'!$C$3:$M$324,11,FALSE),3),0)+IFERROR(ROUND(VLOOKUP($A37,S275_21,37,FALSE)*VLOOKUP($A37,'3121% SY'!$C$3:$M$324,11,FALSE),3),0)+IFERROR(VLOOKUP($A37,S275_09,13,FALSE),0)</f>
        <v>0</v>
      </c>
      <c r="AA37" s="267">
        <f>IFERROR(VLOOKUP($A37,Supp_49,14,FALSE),0)+IFERROR(SUMPRODUCT(VLOOKUP($A37,S275_01,{38,39,40},FALSE)),0)+IFERROR(SUMPRODUCT(VLOOKUP($A37,S275_97,{38,39,40},FALSE)),0)+IFERROR(ROUND(VLOOKUP($A37,S275_21,38,FALSE)*VLOOKUP($A37,'3121% SY'!$C$3:$M$324,11,FALSE),3),0)+IFERROR(ROUND(VLOOKUP($A37,S275_21,39,FALSE)*VLOOKUP($A37,'3121% SY'!$C$3:$M$324,11,FALSE),3),0)+IFERROR(ROUND(VLOOKUP($A37,S275_21,40,FALSE)*VLOOKUP($A37,'3121% SY'!$C$3:$M$324,11,FALSE),3),0)+IFERROR(VLOOKUP($A37,S275_09,14,FALSE),0)</f>
        <v>0</v>
      </c>
      <c r="AB37" s="267">
        <f>IFERROR(VLOOKUP($A37,Supp_64,14,FALSE),0)+IFERROR(SUMPRODUCT(VLOOKUP($A37,S275_01,{41,42,43},FALSE)),0)+IFERROR(SUMPRODUCT(VLOOKUP($A37,S275_97,{41,42,43},FALSE)),0)+IFERROR(ROUND(VLOOKUP($A37,S275_21,41,FALSE)*VLOOKUP($A37,'3121% SY'!$C$3:$M$324,11,FALSE),3),0)+IFERROR(ROUND(VLOOKUP($A37,S275_21,42,FALSE)*VLOOKUP($A37,'3121% SY'!$C$3:$M$324,11,FALSE),3),0)+IFERROR(ROUND(VLOOKUP($A37,S275_21,43,FALSE)*VLOOKUP($A37,'3121% SY'!$C$3:$M$324,11,FALSE),3),0)+IFERROR(VLOOKUP($A37,S275_09,15,FALSE),0)</f>
        <v>0</v>
      </c>
      <c r="AC37" s="268">
        <f t="shared" si="17"/>
        <v>0</v>
      </c>
      <c r="AD37" s="267">
        <f>IFERROR(VLOOKUP($A37,Supp_24,14,FALSE),0)+IFERROR(SUMPRODUCT(VLOOKUP($A37,S275_01,{2,3,4},FALSE)),0)+IFERROR(SUMPRODUCT(VLOOKUP($A37,S275_97,{2,3,4},FALSE)),0)+IFERROR(ROUND(VLOOKUP($A37,S275_21,2,FALSE)*VLOOKUP($A37,'3121% SY'!$C$3:$M$324,11,FALSE),3),0)+IFERROR(ROUND(VLOOKUP($A37,S275_21,3,FALSE)*VLOOKUP($A37,'3121% SY'!$C$3:$M$324,11,FALSE),3),0)+IFERROR(ROUND(VLOOKUP($A37,S275_21,4,FALSE)*VLOOKUP($A37,'3121% SY'!$C$3:$M$324,11,FALSE),3),0)+IFERROR(VLOOKUP($A37,S275_09,2,FALSE),0)</f>
        <v>0</v>
      </c>
      <c r="AE37" s="267">
        <f>IFERROR(VLOOKUP($A37,Supp_25,14,FALSE),0)+IFERROR(SUMPRODUCT(VLOOKUP($A37,S275_01,{5,6,7},FALSE)),0)+IFERROR(SUMPRODUCT(VLOOKUP($A37,S275_97,{5,6,7},FALSE)),0)+IFERROR(ROUND(VLOOKUP($A37,S275_21,5,FALSE)*VLOOKUP($A37,'3121% SY'!$C$3:$M$324,11,FALSE),3),0)+IFERROR(ROUND(VLOOKUP($A37,S275_21,6,FALSE)*VLOOKUP($A37,'3121% SY'!$C$3:$M$324,11,FALSE),3),0)+IFERROR(ROUND(VLOOKUP($A37,S275_21,7,FALSE)*VLOOKUP($A37,'3121% SY'!$C$3:$M$324,11,FALSE),3),0)+IFERROR(VLOOKUP($A37,S275_09,3,FALSE),0)</f>
        <v>0</v>
      </c>
      <c r="AF37" s="267">
        <f>IFERROR(VLOOKUP($A37,Supp_26,14,FALSE),0)+IFERROR(SUMPRODUCT(VLOOKUP($A37,S275_01,{8,9,10},FALSE)),0)+IFERROR(SUMPRODUCT(VLOOKUP($A37,S275_97,{8,9,10},FALSE)),0)+IFERROR(ROUND(VLOOKUP($A37,S275_21,8,FALSE)*VLOOKUP($A37,'3121% SY'!$C$3:$M$324,11,FALSE),3),0)+IFERROR(ROUND(VLOOKUP($A37,S275_21,9,FALSE)*VLOOKUP($A37,'3121% SY'!$C$3:$M$324,11,FALSE),3),0)+IFERROR(ROUND(VLOOKUP($A37,S275_21,10,FALSE)*VLOOKUP($A37,'3121% SY'!$C$3:$M$324,11,FALSE),3),0)+IFERROR(VLOOKUP($A37,S275_09,4,FALSE),0)</f>
        <v>0.28799999999999998</v>
      </c>
      <c r="AG37" s="267">
        <f>IFERROR(VLOOKUP($A37,Supp_35,14,FALSE),0)+IFERROR(SUMPRODUCT(VLOOKUP($A37,S275_01,{11,12,13},FALSE)),0)+IFERROR(SUMPRODUCT(VLOOKUP($A37,S275_97,{11,12,13},FALSE)),0)+IFERROR(ROUND(VLOOKUP($A37,S275_21,11,FALSE)*VLOOKUP($A37,'3121% SY'!$C$3:$M$324,11,FALSE),3),0)+IFERROR(ROUND(VLOOKUP($A37,S275_21,12,FALSE)*VLOOKUP($A37,'3121% SY'!$C$3:$M$324,11,FALSE),3),0)+IFERROR(ROUND(VLOOKUP($A37,S275_21,13,FALSE)*VLOOKUP($A37,'3121% SY'!$C$3:$M$324,11,FALSE),3),0)+IFERROR(VLOOKUP($A37,S275_09,5,FALSE),0)</f>
        <v>0</v>
      </c>
      <c r="AH37" s="165">
        <f t="shared" si="15"/>
        <v>0.28799999999999998</v>
      </c>
      <c r="AI37" s="161">
        <f>IFERROR(VLOOKUP(A37,'Supp Staff Data'!A:ER,148,FALSE),0)+AB37</f>
        <v>0</v>
      </c>
      <c r="AJ37" s="174">
        <v>0</v>
      </c>
      <c r="AK37" s="25">
        <f>VLOOKUP(A37,'Enroll Data as of January 2025'!$A$3:$T$323,20,FALSE)-F37</f>
        <v>0</v>
      </c>
    </row>
    <row r="38" spans="1:37" x14ac:dyDescent="0.25">
      <c r="A38" s="171" t="s">
        <v>122</v>
      </c>
      <c r="B38" t="s">
        <v>418</v>
      </c>
      <c r="C38" s="173" t="s">
        <v>1077</v>
      </c>
      <c r="D38" s="259">
        <f t="shared" si="9"/>
        <v>0.25</v>
      </c>
      <c r="E38" s="259">
        <f t="shared" si="10"/>
        <v>6.9000000000000006E-2</v>
      </c>
      <c r="F38" s="262">
        <f t="shared" si="16"/>
        <v>-0.18099999999999999</v>
      </c>
      <c r="G38" s="161">
        <f>ROUND(IF(F38&lt;0,F38*'2024-25 PSES Compliance'!$G$13,0),3)</f>
        <v>-0.17399999999999999</v>
      </c>
      <c r="H38" s="161">
        <f>ROUND(IF(F38&lt;0,F38*'2024-25 PSES Compliance'!$G$14,0),3)</f>
        <v>-7.0000000000000001E-3</v>
      </c>
      <c r="I38" s="174">
        <f t="shared" si="11"/>
        <v>0</v>
      </c>
      <c r="J38" s="174">
        <f t="shared" si="12"/>
        <v>0</v>
      </c>
      <c r="K38" s="161">
        <f>VLOOKUP($A38,'Enroll Data as of January 2025'!$A$3:$M$322,6,FALSE)</f>
        <v>0.115</v>
      </c>
      <c r="L38" s="161">
        <f>VLOOKUP($A38,'Enroll Data as of January 2025'!$A$3:$M$322,7,FALSE)</f>
        <v>3.5999999999999997E-2</v>
      </c>
      <c r="M38" s="161">
        <f>VLOOKUP($A38,'Enroll Data as of January 2025'!$A$3:$M$322,8,FALSE)</f>
        <v>1.2E-2</v>
      </c>
      <c r="N38" s="161">
        <f>VLOOKUP($A38,'Enroll Data as of January 2025'!$A$3:$M$322,9,FALSE)</f>
        <v>6.8000000000000005E-2</v>
      </c>
      <c r="O38" s="165">
        <f t="shared" si="13"/>
        <v>0.23100000000000001</v>
      </c>
      <c r="P38" s="161">
        <f>VLOOKUP($A38,'Enroll Data as of January 2025'!$A$3:$M$322,11,FALSE)</f>
        <v>8.9999999999999993E-3</v>
      </c>
      <c r="Q38" s="161">
        <f>VLOOKUP($A38,'Enroll Data as of January 2025'!$A$3:$M$322,12,FALSE)</f>
        <v>0.01</v>
      </c>
      <c r="R38" s="165">
        <f t="shared" si="14"/>
        <v>1.9E-2</v>
      </c>
      <c r="S38" s="267">
        <f>IFERROR(VLOOKUP($A38,Supp_39,14,FALSE),0)+IFERROR(SUMPRODUCT(VLOOKUP($A38,S275_01,{14,15,16},FALSE)),0)+IFERROR(SUMPRODUCT(VLOOKUP($A38,S275_97,{14,15,16},FALSE)),0)+IFERROR(ROUND(VLOOKUP($A38,S275_21,14,FALSE)*VLOOKUP($A38,'3121% SY'!$C$3:$M$324,11,FALSE),3),0)+IFERROR(ROUND(VLOOKUP($A38,S275_21,15,FALSE)*VLOOKUP($A38,'3121% SY'!$C$3:$M$324,11,FALSE),3),0)+IFERROR(ROUND(VLOOKUP($A38,S275_21,16,FALSE)*VLOOKUP($A38,'3121% SY'!$C$3:$M$324,11,FALSE),3),0)+IFERROR(VLOOKUP($A38,S275_09,6,FALSE),0)</f>
        <v>0</v>
      </c>
      <c r="T38" s="267">
        <f>IFERROR(VLOOKUP($A38,Supp_42,14,FALSE),0)+IFERROR(SUMPRODUCT(VLOOKUP($A38,S275_01,{17,18,19},FALSE)),0)+IFERROR(SUMPRODUCT(VLOOKUP($A38,S275_97,{17,18,19},FALSE)),0)+IFERROR(ROUND(VLOOKUP($A38,S275_21,17,FALSE)*VLOOKUP($A38,'3121% SY'!$C$3:$M$324,11,FALSE),3),0)+IFERROR(ROUND(VLOOKUP($A38,S275_21,18,FALSE)*VLOOKUP($A38,'3121% SY'!$C$3:$M$324,11,FALSE),3),0)+IFERROR(ROUND(VLOOKUP($A38,S275_21,19,FALSE)*VLOOKUP($A38,'3121% SY'!$C$3:$M$324,11,FALSE),3),0)+IFERROR(VLOOKUP($A38,S275_09,7,FALSE),0)</f>
        <v>0</v>
      </c>
      <c r="U38" s="267">
        <f>IFERROR(VLOOKUP($A38,Supp_43,14,FALSE),0)+IFERROR(SUMPRODUCT(VLOOKUP($A38,S275_01,{20,21,22},FALSE)),0)+IFERROR(SUMPRODUCT(VLOOKUP($A38,S275_97,{20,21,22},FALSE)),0)+IFERROR(ROUND(VLOOKUP($A38,S275_21,20,FALSE)*VLOOKUP($A38,'3121% SY'!$C$3:$M$324,11,FALSE),3),0)+IFERROR(ROUND(VLOOKUP($A38,S275_21,21,FALSE)*VLOOKUP($A38,'3121% SY'!$C$3:$M$324,11,FALSE),3),0)+IFERROR(ROUND(VLOOKUP($A38,S275_21,22,FALSE)*VLOOKUP($A38,'3121% SY'!$C$3:$M$324,11,FALSE),3),0)+IFERROR(VLOOKUP($A38,S275_09,8,FALSE),0)</f>
        <v>0</v>
      </c>
      <c r="V38" s="267">
        <f>IFERROR(VLOOKUP($A38,Supp_44,14,FALSE),0)+IFERROR(SUMPRODUCT(VLOOKUP($A38,S275_01,{23,24,25},FALSE)),0)+IFERROR(SUMPRODUCT(VLOOKUP($A38,S275_97,{23,24,25},FALSE)),0)+IFERROR(ROUND(VLOOKUP($A38,S275_21,23,FALSE)*VLOOKUP($A38,'3121% SY'!$C$3:$M$324,11,FALSE),3),0)+IFERROR(ROUND(VLOOKUP($A38,S275_21,24,FALSE)*VLOOKUP($A38,'3121% SY'!$C$3:$M$324,11,FALSE),3),0)+IFERROR(ROUND(VLOOKUP($A38,S275_21,25,FALSE)*VLOOKUP($A38,'3121% SY'!$C$3:$M$324,11,FALSE),3),0)+IFERROR(VLOOKUP($A38,S275_09,9,FALSE),0)</f>
        <v>0</v>
      </c>
      <c r="W38" s="267">
        <f>IFERROR(VLOOKUP($A38,Supp_45,14,FALSE),0)+IFERROR(SUMPRODUCT(VLOOKUP($A38,S275_01,{26,27,28},FALSE)),0)+IFERROR(SUMPRODUCT(VLOOKUP($A38,S275_97,{26,27,28},FALSE)),0)+IFERROR(ROUND(VLOOKUP($A38,S275_21,26,FALSE)*VLOOKUP($A38,'3121% SY'!$C$3:$M$324,11,FALSE),3),0)+IFERROR(ROUND(VLOOKUP($A38,S275_21,27,FALSE)*VLOOKUP($A38,'3121% SY'!$C$3:$M$324,11,FALSE),3),0)+IFERROR(ROUND(VLOOKUP($A38,S275_21,28,FALSE)*VLOOKUP($A38,'3121% SY'!$C$3:$M$324,11,FALSE),3),0)+IFERROR(VLOOKUP($A38,S275_09,10,FALSE),0)</f>
        <v>0</v>
      </c>
      <c r="X38" s="267">
        <f>IFERROR(VLOOKUP($A38,Supp_46,14,FALSE),0)+IFERROR(SUMPRODUCT(VLOOKUP($A38,S275_01,{29,30,31},FALSE)),0)+IFERROR(SUMPRODUCT(VLOOKUP($A38,S275_97,{29,30,31},FALSE)),0)+IFERROR(ROUND(VLOOKUP($A38,S275_21,29,FALSE)*VLOOKUP($A38,'3121% SY'!$C$3:$M$324,11,FALSE),3),0)+IFERROR(ROUND(VLOOKUP($A38,S275_21,30,FALSE)*VLOOKUP($A38,'3121% SY'!$C$3:$M$324,11,FALSE),3),0)+IFERROR(ROUND(VLOOKUP($A38,S275_21,31,FALSE)*VLOOKUP($A38,'3121% SY'!$C$3:$M$324,11,FALSE),3),0)+IFERROR(VLOOKUP($A38,S275_09,11,FALSE),0)</f>
        <v>6.9000000000000006E-2</v>
      </c>
      <c r="Y38" s="267">
        <f>IFERROR(VLOOKUP($A38,Supp_47,14,FALSE),0)+IFERROR(SUMPRODUCT(VLOOKUP($A38,S275_01,{32,33,34},FALSE)),0)+IFERROR(SUMPRODUCT(VLOOKUP($A38,S275_97,{32,33,34},FALSE)),0)+IFERROR(ROUND(VLOOKUP($A38,S275_21,32,FALSE)*VLOOKUP($A38,'3121% SY'!$C$3:$M$324,11,FALSE),3),0)+IFERROR(ROUND(VLOOKUP($A38,S275_21,33,FALSE)*VLOOKUP($A38,'3121% SY'!$C$3:$M$324,11,FALSE),3),0)+IFERROR(ROUND(VLOOKUP($A38,S275_21,34,FALSE)*VLOOKUP($A38,'3121% SY'!$C$3:$M$324,11,FALSE),3),0)+IFERROR(VLOOKUP($A38,S275_09,12,FALSE),0)</f>
        <v>0</v>
      </c>
      <c r="Z38" s="267">
        <f>IFERROR(VLOOKUP($A38,Supp_48,14,FALSE),0)+IFERROR(SUMPRODUCT(VLOOKUP($A38,S275_01,{35,36,37},FALSE)),0)+IFERROR(SUMPRODUCT(VLOOKUP($A38,S275_97,{35,36,37},FALSE)),0)+IFERROR(ROUND(VLOOKUP($A38,S275_21,35,FALSE)*VLOOKUP($A38,'3121% SY'!$C$3:$M$324,11,FALSE),3),0)+IFERROR(ROUND(VLOOKUP($A38,S275_21,36,FALSE)*VLOOKUP($A38,'3121% SY'!$C$3:$M$324,11,FALSE),3),0)+IFERROR(ROUND(VLOOKUP($A38,S275_21,37,FALSE)*VLOOKUP($A38,'3121% SY'!$C$3:$M$324,11,FALSE),3),0)+IFERROR(VLOOKUP($A38,S275_09,13,FALSE),0)</f>
        <v>0</v>
      </c>
      <c r="AA38" s="267">
        <f>IFERROR(VLOOKUP($A38,Supp_49,14,FALSE),0)+IFERROR(SUMPRODUCT(VLOOKUP($A38,S275_01,{38,39,40},FALSE)),0)+IFERROR(SUMPRODUCT(VLOOKUP($A38,S275_97,{38,39,40},FALSE)),0)+IFERROR(ROUND(VLOOKUP($A38,S275_21,38,FALSE)*VLOOKUP($A38,'3121% SY'!$C$3:$M$324,11,FALSE),3),0)+IFERROR(ROUND(VLOOKUP($A38,S275_21,39,FALSE)*VLOOKUP($A38,'3121% SY'!$C$3:$M$324,11,FALSE),3),0)+IFERROR(ROUND(VLOOKUP($A38,S275_21,40,FALSE)*VLOOKUP($A38,'3121% SY'!$C$3:$M$324,11,FALSE),3),0)+IFERROR(VLOOKUP($A38,S275_09,14,FALSE),0)</f>
        <v>0</v>
      </c>
      <c r="AB38" s="267">
        <f>IFERROR(VLOOKUP($A38,Supp_64,14,FALSE),0)+IFERROR(SUMPRODUCT(VLOOKUP($A38,S275_01,{41,42,43},FALSE)),0)+IFERROR(SUMPRODUCT(VLOOKUP($A38,S275_97,{41,42,43},FALSE)),0)+IFERROR(ROUND(VLOOKUP($A38,S275_21,41,FALSE)*VLOOKUP($A38,'3121% SY'!$C$3:$M$324,11,FALSE),3),0)+IFERROR(ROUND(VLOOKUP($A38,S275_21,42,FALSE)*VLOOKUP($A38,'3121% SY'!$C$3:$M$324,11,FALSE),3),0)+IFERROR(ROUND(VLOOKUP($A38,S275_21,43,FALSE)*VLOOKUP($A38,'3121% SY'!$C$3:$M$324,11,FALSE),3),0)+IFERROR(VLOOKUP($A38,S275_09,15,FALSE),0)</f>
        <v>0</v>
      </c>
      <c r="AC38" s="268">
        <f t="shared" si="17"/>
        <v>6.9000000000000006E-2</v>
      </c>
      <c r="AD38" s="267">
        <f>IFERROR(VLOOKUP($A38,Supp_24,14,FALSE),0)+IFERROR(SUMPRODUCT(VLOOKUP($A38,S275_01,{2,3,4},FALSE)),0)+IFERROR(SUMPRODUCT(VLOOKUP($A38,S275_97,{2,3,4},FALSE)),0)+IFERROR(ROUND(VLOOKUP($A38,S275_21,2,FALSE)*VLOOKUP($A38,'3121% SY'!$C$3:$M$324,11,FALSE),3),0)+IFERROR(ROUND(VLOOKUP($A38,S275_21,3,FALSE)*VLOOKUP($A38,'3121% SY'!$C$3:$M$324,11,FALSE),3),0)+IFERROR(ROUND(VLOOKUP($A38,S275_21,4,FALSE)*VLOOKUP($A38,'3121% SY'!$C$3:$M$324,11,FALSE),3),0)+IFERROR(VLOOKUP($A38,S275_09,2,FALSE),0)</f>
        <v>0</v>
      </c>
      <c r="AE38" s="267">
        <f>IFERROR(VLOOKUP($A38,Supp_25,14,FALSE),0)+IFERROR(SUMPRODUCT(VLOOKUP($A38,S275_01,{5,6,7},FALSE)),0)+IFERROR(SUMPRODUCT(VLOOKUP($A38,S275_97,{5,6,7},FALSE)),0)+IFERROR(ROUND(VLOOKUP($A38,S275_21,5,FALSE)*VLOOKUP($A38,'3121% SY'!$C$3:$M$324,11,FALSE),3),0)+IFERROR(ROUND(VLOOKUP($A38,S275_21,6,FALSE)*VLOOKUP($A38,'3121% SY'!$C$3:$M$324,11,FALSE),3),0)+IFERROR(ROUND(VLOOKUP($A38,S275_21,7,FALSE)*VLOOKUP($A38,'3121% SY'!$C$3:$M$324,11,FALSE),3),0)+IFERROR(VLOOKUP($A38,S275_09,3,FALSE),0)</f>
        <v>0</v>
      </c>
      <c r="AF38" s="267">
        <f>IFERROR(VLOOKUP($A38,Supp_26,14,FALSE),0)+IFERROR(SUMPRODUCT(VLOOKUP($A38,S275_01,{8,9,10},FALSE)),0)+IFERROR(SUMPRODUCT(VLOOKUP($A38,S275_97,{8,9,10},FALSE)),0)+IFERROR(ROUND(VLOOKUP($A38,S275_21,8,FALSE)*VLOOKUP($A38,'3121% SY'!$C$3:$M$324,11,FALSE),3),0)+IFERROR(ROUND(VLOOKUP($A38,S275_21,9,FALSE)*VLOOKUP($A38,'3121% SY'!$C$3:$M$324,11,FALSE),3),0)+IFERROR(ROUND(VLOOKUP($A38,S275_21,10,FALSE)*VLOOKUP($A38,'3121% SY'!$C$3:$M$324,11,FALSE),3),0)+IFERROR(VLOOKUP($A38,S275_09,4,FALSE),0)</f>
        <v>0</v>
      </c>
      <c r="AG38" s="267">
        <f>IFERROR(VLOOKUP($A38,Supp_35,14,FALSE),0)+IFERROR(SUMPRODUCT(VLOOKUP($A38,S275_01,{11,12,13},FALSE)),0)+IFERROR(SUMPRODUCT(VLOOKUP($A38,S275_97,{11,12,13},FALSE)),0)+IFERROR(ROUND(VLOOKUP($A38,S275_21,11,FALSE)*VLOOKUP($A38,'3121% SY'!$C$3:$M$324,11,FALSE),3),0)+IFERROR(ROUND(VLOOKUP($A38,S275_21,12,FALSE)*VLOOKUP($A38,'3121% SY'!$C$3:$M$324,11,FALSE),3),0)+IFERROR(ROUND(VLOOKUP($A38,S275_21,13,FALSE)*VLOOKUP($A38,'3121% SY'!$C$3:$M$324,11,FALSE),3),0)+IFERROR(VLOOKUP($A38,S275_09,5,FALSE),0)</f>
        <v>0</v>
      </c>
      <c r="AH38" s="165">
        <f t="shared" si="15"/>
        <v>0</v>
      </c>
      <c r="AI38" s="161">
        <f>IFERROR(VLOOKUP(A38,'Supp Staff Data'!A:ER,148,FALSE),0)+AB38</f>
        <v>0</v>
      </c>
      <c r="AJ38" s="174">
        <v>0</v>
      </c>
      <c r="AK38" s="25">
        <f>VLOOKUP(A38,'Enroll Data as of January 2025'!$A$3:$T$323,20,FALSE)-F38</f>
        <v>0</v>
      </c>
    </row>
    <row r="39" spans="1:37" x14ac:dyDescent="0.25">
      <c r="A39" s="171" t="s">
        <v>42</v>
      </c>
      <c r="B39" t="s">
        <v>338</v>
      </c>
      <c r="C39" s="173" t="s">
        <v>1077</v>
      </c>
      <c r="D39" s="259">
        <f t="shared" si="9"/>
        <v>0.12100000000000002</v>
      </c>
      <c r="E39" s="259">
        <f t="shared" si="10"/>
        <v>0</v>
      </c>
      <c r="F39" s="262">
        <f t="shared" si="16"/>
        <v>-0.121</v>
      </c>
      <c r="G39" s="161">
        <f>ROUND(IF(F39&lt;0,F39*'2024-25 PSES Compliance'!$G$13,0),3)</f>
        <v>-0.11600000000000001</v>
      </c>
      <c r="H39" s="161">
        <f>ROUND(IF(F39&lt;0,F39*'2024-25 PSES Compliance'!$G$14,0),3)</f>
        <v>-5.0000000000000001E-3</v>
      </c>
      <c r="I39" s="174">
        <f t="shared" si="11"/>
        <v>0</v>
      </c>
      <c r="J39" s="174">
        <f t="shared" si="12"/>
        <v>0</v>
      </c>
      <c r="K39" s="161">
        <f>VLOOKUP($A39,'Enroll Data as of January 2025'!$A$3:$M$322,6,FALSE)</f>
        <v>5.8000000000000003E-2</v>
      </c>
      <c r="L39" s="161">
        <f>VLOOKUP($A39,'Enroll Data as of January 2025'!$A$3:$M$322,7,FALSE)</f>
        <v>1.6E-2</v>
      </c>
      <c r="M39" s="161">
        <f>VLOOKUP($A39,'Enroll Data as of January 2025'!$A$3:$M$322,8,FALSE)</f>
        <v>5.0000000000000001E-3</v>
      </c>
      <c r="N39" s="161">
        <f>VLOOKUP($A39,'Enroll Data as of January 2025'!$A$3:$M$322,9,FALSE)</f>
        <v>3.4000000000000002E-2</v>
      </c>
      <c r="O39" s="165">
        <f t="shared" si="13"/>
        <v>0.11300000000000002</v>
      </c>
      <c r="P39" s="161">
        <f>VLOOKUP($A39,'Enroll Data as of January 2025'!$A$3:$M$322,11,FALSE)</f>
        <v>4.0000000000000001E-3</v>
      </c>
      <c r="Q39" s="161">
        <f>VLOOKUP($A39,'Enroll Data as of January 2025'!$A$3:$M$322,12,FALSE)</f>
        <v>4.0000000000000001E-3</v>
      </c>
      <c r="R39" s="165">
        <f t="shared" si="14"/>
        <v>8.0000000000000002E-3</v>
      </c>
      <c r="S39" s="267">
        <f>IFERROR(VLOOKUP($A39,Supp_39,14,FALSE),0)+IFERROR(SUMPRODUCT(VLOOKUP($A39,S275_01,{14,15,16},FALSE)),0)+IFERROR(SUMPRODUCT(VLOOKUP($A39,S275_97,{14,15,16},FALSE)),0)+IFERROR(ROUND(VLOOKUP($A39,S275_21,14,FALSE)*VLOOKUP($A39,'3121% SY'!$C$3:$M$324,11,FALSE),3),0)+IFERROR(ROUND(VLOOKUP($A39,S275_21,15,FALSE)*VLOOKUP($A39,'3121% SY'!$C$3:$M$324,11,FALSE),3),0)+IFERROR(ROUND(VLOOKUP($A39,S275_21,16,FALSE)*VLOOKUP($A39,'3121% SY'!$C$3:$M$324,11,FALSE),3),0)+IFERROR(VLOOKUP($A39,S275_09,6,FALSE),0)</f>
        <v>0</v>
      </c>
      <c r="T39" s="267">
        <f>IFERROR(VLOOKUP($A39,Supp_42,14,FALSE),0)+IFERROR(SUMPRODUCT(VLOOKUP($A39,S275_01,{17,18,19},FALSE)),0)+IFERROR(SUMPRODUCT(VLOOKUP($A39,S275_97,{17,18,19},FALSE)),0)+IFERROR(ROUND(VLOOKUP($A39,S275_21,17,FALSE)*VLOOKUP($A39,'3121% SY'!$C$3:$M$324,11,FALSE),3),0)+IFERROR(ROUND(VLOOKUP($A39,S275_21,18,FALSE)*VLOOKUP($A39,'3121% SY'!$C$3:$M$324,11,FALSE),3),0)+IFERROR(ROUND(VLOOKUP($A39,S275_21,19,FALSE)*VLOOKUP($A39,'3121% SY'!$C$3:$M$324,11,FALSE),3),0)+IFERROR(VLOOKUP($A39,S275_09,7,FALSE),0)</f>
        <v>0</v>
      </c>
      <c r="U39" s="267">
        <f>IFERROR(VLOOKUP($A39,Supp_43,14,FALSE),0)+IFERROR(SUMPRODUCT(VLOOKUP($A39,S275_01,{20,21,22},FALSE)),0)+IFERROR(SUMPRODUCT(VLOOKUP($A39,S275_97,{20,21,22},FALSE)),0)+IFERROR(ROUND(VLOOKUP($A39,S275_21,20,FALSE)*VLOOKUP($A39,'3121% SY'!$C$3:$M$324,11,FALSE),3),0)+IFERROR(ROUND(VLOOKUP($A39,S275_21,21,FALSE)*VLOOKUP($A39,'3121% SY'!$C$3:$M$324,11,FALSE),3),0)+IFERROR(ROUND(VLOOKUP($A39,S275_21,22,FALSE)*VLOOKUP($A39,'3121% SY'!$C$3:$M$324,11,FALSE),3),0)+IFERROR(VLOOKUP($A39,S275_09,8,FALSE),0)</f>
        <v>0</v>
      </c>
      <c r="V39" s="267">
        <f>IFERROR(VLOOKUP($A39,Supp_44,14,FALSE),0)+IFERROR(SUMPRODUCT(VLOOKUP($A39,S275_01,{23,24,25},FALSE)),0)+IFERROR(SUMPRODUCT(VLOOKUP($A39,S275_97,{23,24,25},FALSE)),0)+IFERROR(ROUND(VLOOKUP($A39,S275_21,23,FALSE)*VLOOKUP($A39,'3121% SY'!$C$3:$M$324,11,FALSE),3),0)+IFERROR(ROUND(VLOOKUP($A39,S275_21,24,FALSE)*VLOOKUP($A39,'3121% SY'!$C$3:$M$324,11,FALSE),3),0)+IFERROR(ROUND(VLOOKUP($A39,S275_21,25,FALSE)*VLOOKUP($A39,'3121% SY'!$C$3:$M$324,11,FALSE),3),0)+IFERROR(VLOOKUP($A39,S275_09,9,FALSE),0)</f>
        <v>0</v>
      </c>
      <c r="W39" s="267">
        <f>IFERROR(VLOOKUP($A39,Supp_45,14,FALSE),0)+IFERROR(SUMPRODUCT(VLOOKUP($A39,S275_01,{26,27,28},FALSE)),0)+IFERROR(SUMPRODUCT(VLOOKUP($A39,S275_97,{26,27,28},FALSE)),0)+IFERROR(ROUND(VLOOKUP($A39,S275_21,26,FALSE)*VLOOKUP($A39,'3121% SY'!$C$3:$M$324,11,FALSE),3),0)+IFERROR(ROUND(VLOOKUP($A39,S275_21,27,FALSE)*VLOOKUP($A39,'3121% SY'!$C$3:$M$324,11,FALSE),3),0)+IFERROR(ROUND(VLOOKUP($A39,S275_21,28,FALSE)*VLOOKUP($A39,'3121% SY'!$C$3:$M$324,11,FALSE),3),0)+IFERROR(VLOOKUP($A39,S275_09,10,FALSE),0)</f>
        <v>0</v>
      </c>
      <c r="X39" s="267">
        <f>IFERROR(VLOOKUP($A39,Supp_46,14,FALSE),0)+IFERROR(SUMPRODUCT(VLOOKUP($A39,S275_01,{29,30,31},FALSE)),0)+IFERROR(SUMPRODUCT(VLOOKUP($A39,S275_97,{29,30,31},FALSE)),0)+IFERROR(ROUND(VLOOKUP($A39,S275_21,29,FALSE)*VLOOKUP($A39,'3121% SY'!$C$3:$M$324,11,FALSE),3),0)+IFERROR(ROUND(VLOOKUP($A39,S275_21,30,FALSE)*VLOOKUP($A39,'3121% SY'!$C$3:$M$324,11,FALSE),3),0)+IFERROR(ROUND(VLOOKUP($A39,S275_21,31,FALSE)*VLOOKUP($A39,'3121% SY'!$C$3:$M$324,11,FALSE),3),0)+IFERROR(VLOOKUP($A39,S275_09,11,FALSE),0)</f>
        <v>0</v>
      </c>
      <c r="Y39" s="267">
        <f>IFERROR(VLOOKUP($A39,Supp_47,14,FALSE),0)+IFERROR(SUMPRODUCT(VLOOKUP($A39,S275_01,{32,33,34},FALSE)),0)+IFERROR(SUMPRODUCT(VLOOKUP($A39,S275_97,{32,33,34},FALSE)),0)+IFERROR(ROUND(VLOOKUP($A39,S275_21,32,FALSE)*VLOOKUP($A39,'3121% SY'!$C$3:$M$324,11,FALSE),3),0)+IFERROR(ROUND(VLOOKUP($A39,S275_21,33,FALSE)*VLOOKUP($A39,'3121% SY'!$C$3:$M$324,11,FALSE),3),0)+IFERROR(ROUND(VLOOKUP($A39,S275_21,34,FALSE)*VLOOKUP($A39,'3121% SY'!$C$3:$M$324,11,FALSE),3),0)+IFERROR(VLOOKUP($A39,S275_09,12,FALSE),0)</f>
        <v>0</v>
      </c>
      <c r="Z39" s="267">
        <f>IFERROR(VLOOKUP($A39,Supp_48,14,FALSE),0)+IFERROR(SUMPRODUCT(VLOOKUP($A39,S275_01,{35,36,37},FALSE)),0)+IFERROR(SUMPRODUCT(VLOOKUP($A39,S275_97,{35,36,37},FALSE)),0)+IFERROR(ROUND(VLOOKUP($A39,S275_21,35,FALSE)*VLOOKUP($A39,'3121% SY'!$C$3:$M$324,11,FALSE),3),0)+IFERROR(ROUND(VLOOKUP($A39,S275_21,36,FALSE)*VLOOKUP($A39,'3121% SY'!$C$3:$M$324,11,FALSE),3),0)+IFERROR(ROUND(VLOOKUP($A39,S275_21,37,FALSE)*VLOOKUP($A39,'3121% SY'!$C$3:$M$324,11,FALSE),3),0)+IFERROR(VLOOKUP($A39,S275_09,13,FALSE),0)</f>
        <v>0</v>
      </c>
      <c r="AA39" s="267">
        <f>IFERROR(VLOOKUP($A39,Supp_49,14,FALSE),0)+IFERROR(SUMPRODUCT(VLOOKUP($A39,S275_01,{38,39,40},FALSE)),0)+IFERROR(SUMPRODUCT(VLOOKUP($A39,S275_97,{38,39,40},FALSE)),0)+IFERROR(ROUND(VLOOKUP($A39,S275_21,38,FALSE)*VLOOKUP($A39,'3121% SY'!$C$3:$M$324,11,FALSE),3),0)+IFERROR(ROUND(VLOOKUP($A39,S275_21,39,FALSE)*VLOOKUP($A39,'3121% SY'!$C$3:$M$324,11,FALSE),3),0)+IFERROR(ROUND(VLOOKUP($A39,S275_21,40,FALSE)*VLOOKUP($A39,'3121% SY'!$C$3:$M$324,11,FALSE),3),0)+IFERROR(VLOOKUP($A39,S275_09,14,FALSE),0)</f>
        <v>0</v>
      </c>
      <c r="AB39" s="267">
        <f>IFERROR(VLOOKUP($A39,Supp_64,14,FALSE),0)+IFERROR(SUMPRODUCT(VLOOKUP($A39,S275_01,{41,42,43},FALSE)),0)+IFERROR(SUMPRODUCT(VLOOKUP($A39,S275_97,{41,42,43},FALSE)),0)+IFERROR(ROUND(VLOOKUP($A39,S275_21,41,FALSE)*VLOOKUP($A39,'3121% SY'!$C$3:$M$324,11,FALSE),3),0)+IFERROR(ROUND(VLOOKUP($A39,S275_21,42,FALSE)*VLOOKUP($A39,'3121% SY'!$C$3:$M$324,11,FALSE),3),0)+IFERROR(ROUND(VLOOKUP($A39,S275_21,43,FALSE)*VLOOKUP($A39,'3121% SY'!$C$3:$M$324,11,FALSE),3),0)+IFERROR(VLOOKUP($A39,S275_09,15,FALSE),0)</f>
        <v>0</v>
      </c>
      <c r="AC39" s="268">
        <f t="shared" si="17"/>
        <v>0</v>
      </c>
      <c r="AD39" s="267">
        <f>IFERROR(VLOOKUP($A39,Supp_24,14,FALSE),0)+IFERROR(SUMPRODUCT(VLOOKUP($A39,S275_01,{2,3,4},FALSE)),0)+IFERROR(SUMPRODUCT(VLOOKUP($A39,S275_97,{2,3,4},FALSE)),0)+IFERROR(ROUND(VLOOKUP($A39,S275_21,2,FALSE)*VLOOKUP($A39,'3121% SY'!$C$3:$M$324,11,FALSE),3),0)+IFERROR(ROUND(VLOOKUP($A39,S275_21,3,FALSE)*VLOOKUP($A39,'3121% SY'!$C$3:$M$324,11,FALSE),3),0)+IFERROR(ROUND(VLOOKUP($A39,S275_21,4,FALSE)*VLOOKUP($A39,'3121% SY'!$C$3:$M$324,11,FALSE),3),0)+IFERROR(VLOOKUP($A39,S275_09,2,FALSE),0)</f>
        <v>0</v>
      </c>
      <c r="AE39" s="267">
        <f>IFERROR(VLOOKUP($A39,Supp_25,14,FALSE),0)+IFERROR(SUMPRODUCT(VLOOKUP($A39,S275_01,{5,6,7},FALSE)),0)+IFERROR(SUMPRODUCT(VLOOKUP($A39,S275_97,{5,6,7},FALSE)),0)+IFERROR(ROUND(VLOOKUP($A39,S275_21,5,FALSE)*VLOOKUP($A39,'3121% SY'!$C$3:$M$324,11,FALSE),3),0)+IFERROR(ROUND(VLOOKUP($A39,S275_21,6,FALSE)*VLOOKUP($A39,'3121% SY'!$C$3:$M$324,11,FALSE),3),0)+IFERROR(ROUND(VLOOKUP($A39,S275_21,7,FALSE)*VLOOKUP($A39,'3121% SY'!$C$3:$M$324,11,FALSE),3),0)+IFERROR(VLOOKUP($A39,S275_09,3,FALSE),0)</f>
        <v>0</v>
      </c>
      <c r="AF39" s="267">
        <f>IFERROR(VLOOKUP($A39,Supp_26,14,FALSE),0)+IFERROR(SUMPRODUCT(VLOOKUP($A39,S275_01,{8,9,10},FALSE)),0)+IFERROR(SUMPRODUCT(VLOOKUP($A39,S275_97,{8,9,10},FALSE)),0)+IFERROR(ROUND(VLOOKUP($A39,S275_21,8,FALSE)*VLOOKUP($A39,'3121% SY'!$C$3:$M$324,11,FALSE),3),0)+IFERROR(ROUND(VLOOKUP($A39,S275_21,9,FALSE)*VLOOKUP($A39,'3121% SY'!$C$3:$M$324,11,FALSE),3),0)+IFERROR(ROUND(VLOOKUP($A39,S275_21,10,FALSE)*VLOOKUP($A39,'3121% SY'!$C$3:$M$324,11,FALSE),3),0)+IFERROR(VLOOKUP($A39,S275_09,4,FALSE),0)</f>
        <v>0</v>
      </c>
      <c r="AG39" s="267">
        <f>IFERROR(VLOOKUP($A39,Supp_35,14,FALSE),0)+IFERROR(SUMPRODUCT(VLOOKUP($A39,S275_01,{11,12,13},FALSE)),0)+IFERROR(SUMPRODUCT(VLOOKUP($A39,S275_97,{11,12,13},FALSE)),0)+IFERROR(ROUND(VLOOKUP($A39,S275_21,11,FALSE)*VLOOKUP($A39,'3121% SY'!$C$3:$M$324,11,FALSE),3),0)+IFERROR(ROUND(VLOOKUP($A39,S275_21,12,FALSE)*VLOOKUP($A39,'3121% SY'!$C$3:$M$324,11,FALSE),3),0)+IFERROR(ROUND(VLOOKUP($A39,S275_21,13,FALSE)*VLOOKUP($A39,'3121% SY'!$C$3:$M$324,11,FALSE),3),0)+IFERROR(VLOOKUP($A39,S275_09,5,FALSE),0)</f>
        <v>0</v>
      </c>
      <c r="AH39" s="165">
        <f t="shared" si="15"/>
        <v>0</v>
      </c>
      <c r="AI39" s="161">
        <f>IFERROR(VLOOKUP(A39,'Supp Staff Data'!A:ER,148,FALSE),0)+AB39</f>
        <v>0</v>
      </c>
      <c r="AJ39" s="174">
        <v>1</v>
      </c>
      <c r="AK39" s="25">
        <f>VLOOKUP(A39,'Enroll Data as of January 2025'!$A$3:$T$323,20,FALSE)-F39</f>
        <v>0</v>
      </c>
    </row>
    <row r="40" spans="1:37" x14ac:dyDescent="0.25">
      <c r="A40" s="171" t="s">
        <v>138</v>
      </c>
      <c r="B40" t="s">
        <v>434</v>
      </c>
      <c r="C40" s="173" t="s">
        <v>1077</v>
      </c>
      <c r="D40" s="259">
        <f t="shared" si="9"/>
        <v>3.4920000000000004</v>
      </c>
      <c r="E40" s="259">
        <f t="shared" si="10"/>
        <v>4.1639999999999997</v>
      </c>
      <c r="F40" s="262">
        <f t="shared" si="16"/>
        <v>0.67200000000000004</v>
      </c>
      <c r="G40" s="161">
        <f>ROUND(IF(F40&lt;0,F40*'2024-25 PSES Compliance'!$G$13,0),3)</f>
        <v>0</v>
      </c>
      <c r="H40" s="161">
        <f>ROUND(IF(F40&lt;0,F40*'2024-25 PSES Compliance'!$G$14,0),3)</f>
        <v>0</v>
      </c>
      <c r="I40" s="174">
        <f t="shared" si="11"/>
        <v>0</v>
      </c>
      <c r="J40" s="174">
        <f t="shared" si="12"/>
        <v>0.14433237271853988</v>
      </c>
      <c r="K40" s="161">
        <f>VLOOKUP($A40,'Enroll Data as of January 2025'!$A$3:$M$322,6,FALSE)</f>
        <v>1.9020000000000001</v>
      </c>
      <c r="L40" s="161">
        <f>VLOOKUP($A40,'Enroll Data as of January 2025'!$A$3:$M$322,7,FALSE)</f>
        <v>0.35000000000000003</v>
      </c>
      <c r="M40" s="161">
        <f>VLOOKUP($A40,'Enroll Data as of January 2025'!$A$3:$M$322,8,FALSE)</f>
        <v>0.11699999999999999</v>
      </c>
      <c r="N40" s="161">
        <f>VLOOKUP($A40,'Enroll Data as of January 2025'!$A$3:$M$322,9,FALSE)</f>
        <v>0.91800000000000004</v>
      </c>
      <c r="O40" s="165">
        <f t="shared" si="13"/>
        <v>3.2870000000000004</v>
      </c>
      <c r="P40" s="161">
        <f>VLOOKUP($A40,'Enroll Data as of January 2025'!$A$3:$M$322,11,FALSE)</f>
        <v>0.123</v>
      </c>
      <c r="Q40" s="161">
        <f>VLOOKUP($A40,'Enroll Data as of January 2025'!$A$3:$M$322,12,FALSE)</f>
        <v>8.2000000000000003E-2</v>
      </c>
      <c r="R40" s="165">
        <f t="shared" si="14"/>
        <v>0.20500000000000002</v>
      </c>
      <c r="S40" s="267">
        <f>IFERROR(VLOOKUP($A40,Supp_39,14,FALSE),0)+IFERROR(SUMPRODUCT(VLOOKUP($A40,S275_01,{14,15,16},FALSE)),0)+IFERROR(SUMPRODUCT(VLOOKUP($A40,S275_97,{14,15,16},FALSE)),0)+IFERROR(ROUND(VLOOKUP($A40,S275_21,14,FALSE)*VLOOKUP($A40,'3121% SY'!$C$3:$M$324,11,FALSE),3),0)+IFERROR(ROUND(VLOOKUP($A40,S275_21,15,FALSE)*VLOOKUP($A40,'3121% SY'!$C$3:$M$324,11,FALSE),3),0)+IFERROR(ROUND(VLOOKUP($A40,S275_21,16,FALSE)*VLOOKUP($A40,'3121% SY'!$C$3:$M$324,11,FALSE),3),0)+IFERROR(VLOOKUP($A40,S275_09,6,FALSE),0)</f>
        <v>1.7999999999999998</v>
      </c>
      <c r="T40" s="267">
        <f>IFERROR(VLOOKUP($A40,Supp_42,14,FALSE),0)+IFERROR(SUMPRODUCT(VLOOKUP($A40,S275_01,{17,18,19},FALSE)),0)+IFERROR(SUMPRODUCT(VLOOKUP($A40,S275_97,{17,18,19},FALSE)),0)+IFERROR(ROUND(VLOOKUP($A40,S275_21,17,FALSE)*VLOOKUP($A40,'3121% SY'!$C$3:$M$324,11,FALSE),3),0)+IFERROR(ROUND(VLOOKUP($A40,S275_21,18,FALSE)*VLOOKUP($A40,'3121% SY'!$C$3:$M$324,11,FALSE),3),0)+IFERROR(ROUND(VLOOKUP($A40,S275_21,19,FALSE)*VLOOKUP($A40,'3121% SY'!$C$3:$M$324,11,FALSE),3),0)+IFERROR(VLOOKUP($A40,S275_09,7,FALSE),0)</f>
        <v>0</v>
      </c>
      <c r="U40" s="267">
        <f>IFERROR(VLOOKUP($A40,Supp_43,14,FALSE),0)+IFERROR(SUMPRODUCT(VLOOKUP($A40,S275_01,{20,21,22},FALSE)),0)+IFERROR(SUMPRODUCT(VLOOKUP($A40,S275_97,{20,21,22},FALSE)),0)+IFERROR(ROUND(VLOOKUP($A40,S275_21,20,FALSE)*VLOOKUP($A40,'3121% SY'!$C$3:$M$324,11,FALSE),3),0)+IFERROR(ROUND(VLOOKUP($A40,S275_21,21,FALSE)*VLOOKUP($A40,'3121% SY'!$C$3:$M$324,11,FALSE),3),0)+IFERROR(ROUND(VLOOKUP($A40,S275_21,22,FALSE)*VLOOKUP($A40,'3121% SY'!$C$3:$M$324,11,FALSE),3),0)+IFERROR(VLOOKUP($A40,S275_09,8,FALSE),0)</f>
        <v>0</v>
      </c>
      <c r="V40" s="267">
        <f>IFERROR(VLOOKUP($A40,Supp_44,14,FALSE),0)+IFERROR(SUMPRODUCT(VLOOKUP($A40,S275_01,{23,24,25},FALSE)),0)+IFERROR(SUMPRODUCT(VLOOKUP($A40,S275_97,{23,24,25},FALSE)),0)+IFERROR(ROUND(VLOOKUP($A40,S275_21,23,FALSE)*VLOOKUP($A40,'3121% SY'!$C$3:$M$324,11,FALSE),3),0)+IFERROR(ROUND(VLOOKUP($A40,S275_21,24,FALSE)*VLOOKUP($A40,'3121% SY'!$C$3:$M$324,11,FALSE),3),0)+IFERROR(ROUND(VLOOKUP($A40,S275_21,25,FALSE)*VLOOKUP($A40,'3121% SY'!$C$3:$M$324,11,FALSE),3),0)+IFERROR(VLOOKUP($A40,S275_09,9,FALSE),0)</f>
        <v>0</v>
      </c>
      <c r="W40" s="267">
        <f>IFERROR(VLOOKUP($A40,Supp_45,14,FALSE),0)+IFERROR(SUMPRODUCT(VLOOKUP($A40,S275_01,{26,27,28},FALSE)),0)+IFERROR(SUMPRODUCT(VLOOKUP($A40,S275_97,{26,27,28},FALSE)),0)+IFERROR(ROUND(VLOOKUP($A40,S275_21,26,FALSE)*VLOOKUP($A40,'3121% SY'!$C$3:$M$324,11,FALSE),3),0)+IFERROR(ROUND(VLOOKUP($A40,S275_21,27,FALSE)*VLOOKUP($A40,'3121% SY'!$C$3:$M$324,11,FALSE),3),0)+IFERROR(ROUND(VLOOKUP($A40,S275_21,28,FALSE)*VLOOKUP($A40,'3121% SY'!$C$3:$M$324,11,FALSE),3),0)+IFERROR(VLOOKUP($A40,S275_09,10,FALSE),0)</f>
        <v>0</v>
      </c>
      <c r="X40" s="267">
        <f>IFERROR(VLOOKUP($A40,Supp_46,14,FALSE),0)+IFERROR(SUMPRODUCT(VLOOKUP($A40,S275_01,{29,30,31},FALSE)),0)+IFERROR(SUMPRODUCT(VLOOKUP($A40,S275_97,{29,30,31},FALSE)),0)+IFERROR(ROUND(VLOOKUP($A40,S275_21,29,FALSE)*VLOOKUP($A40,'3121% SY'!$C$3:$M$324,11,FALSE),3),0)+IFERROR(ROUND(VLOOKUP($A40,S275_21,30,FALSE)*VLOOKUP($A40,'3121% SY'!$C$3:$M$324,11,FALSE),3),0)+IFERROR(ROUND(VLOOKUP($A40,S275_21,31,FALSE)*VLOOKUP($A40,'3121% SY'!$C$3:$M$324,11,FALSE),3),0)+IFERROR(VLOOKUP($A40,S275_09,11,FALSE),0)</f>
        <v>0</v>
      </c>
      <c r="Y40" s="267">
        <f>IFERROR(VLOOKUP($A40,Supp_47,14,FALSE),0)+IFERROR(SUMPRODUCT(VLOOKUP($A40,S275_01,{32,33,34},FALSE)),0)+IFERROR(SUMPRODUCT(VLOOKUP($A40,S275_97,{32,33,34},FALSE)),0)+IFERROR(ROUND(VLOOKUP($A40,S275_21,32,FALSE)*VLOOKUP($A40,'3121% SY'!$C$3:$M$324,11,FALSE),3),0)+IFERROR(ROUND(VLOOKUP($A40,S275_21,33,FALSE)*VLOOKUP($A40,'3121% SY'!$C$3:$M$324,11,FALSE),3),0)+IFERROR(ROUND(VLOOKUP($A40,S275_21,34,FALSE)*VLOOKUP($A40,'3121% SY'!$C$3:$M$324,11,FALSE),3),0)+IFERROR(VLOOKUP($A40,S275_09,12,FALSE),0)</f>
        <v>0</v>
      </c>
      <c r="Z40" s="267">
        <f>IFERROR(VLOOKUP($A40,Supp_48,14,FALSE),0)+IFERROR(SUMPRODUCT(VLOOKUP($A40,S275_01,{35,36,37},FALSE)),0)+IFERROR(SUMPRODUCT(VLOOKUP($A40,S275_97,{35,36,37},FALSE)),0)+IFERROR(ROUND(VLOOKUP($A40,S275_21,35,FALSE)*VLOOKUP($A40,'3121% SY'!$C$3:$M$324,11,FALSE),3),0)+IFERROR(ROUND(VLOOKUP($A40,S275_21,36,FALSE)*VLOOKUP($A40,'3121% SY'!$C$3:$M$324,11,FALSE),3),0)+IFERROR(ROUND(VLOOKUP($A40,S275_21,37,FALSE)*VLOOKUP($A40,'3121% SY'!$C$3:$M$324,11,FALSE),3),0)+IFERROR(VLOOKUP($A40,S275_09,13,FALSE),0)</f>
        <v>0</v>
      </c>
      <c r="AA40" s="267">
        <f>IFERROR(VLOOKUP($A40,Supp_49,14,FALSE),0)+IFERROR(SUMPRODUCT(VLOOKUP($A40,S275_01,{38,39,40},FALSE)),0)+IFERROR(SUMPRODUCT(VLOOKUP($A40,S275_97,{38,39,40},FALSE)),0)+IFERROR(ROUND(VLOOKUP($A40,S275_21,38,FALSE)*VLOOKUP($A40,'3121% SY'!$C$3:$M$324,11,FALSE),3),0)+IFERROR(ROUND(VLOOKUP($A40,S275_21,39,FALSE)*VLOOKUP($A40,'3121% SY'!$C$3:$M$324,11,FALSE),3),0)+IFERROR(ROUND(VLOOKUP($A40,S275_21,40,FALSE)*VLOOKUP($A40,'3121% SY'!$C$3:$M$324,11,FALSE),3),0)+IFERROR(VLOOKUP($A40,S275_09,14,FALSE),0)</f>
        <v>0</v>
      </c>
      <c r="AB40" s="267">
        <f>IFERROR(VLOOKUP($A40,Supp_64,14,FALSE),0)+IFERROR(SUMPRODUCT(VLOOKUP($A40,S275_01,{41,42,43},FALSE)),0)+IFERROR(SUMPRODUCT(VLOOKUP($A40,S275_97,{41,42,43},FALSE)),0)+IFERROR(ROUND(VLOOKUP($A40,S275_21,41,FALSE)*VLOOKUP($A40,'3121% SY'!$C$3:$M$324,11,FALSE),3),0)+IFERROR(ROUND(VLOOKUP($A40,S275_21,42,FALSE)*VLOOKUP($A40,'3121% SY'!$C$3:$M$324,11,FALSE),3),0)+IFERROR(ROUND(VLOOKUP($A40,S275_21,43,FALSE)*VLOOKUP($A40,'3121% SY'!$C$3:$M$324,11,FALSE),3),0)+IFERROR(VLOOKUP($A40,S275_09,15,FALSE),0)</f>
        <v>0.60099999999999998</v>
      </c>
      <c r="AC40" s="268">
        <f t="shared" si="17"/>
        <v>2.4009999999999998</v>
      </c>
      <c r="AD40" s="267">
        <f>IFERROR(VLOOKUP($A40,Supp_24,14,FALSE),0)+IFERROR(SUMPRODUCT(VLOOKUP($A40,S275_01,{2,3,4},FALSE)),0)+IFERROR(SUMPRODUCT(VLOOKUP($A40,S275_97,{2,3,4},FALSE)),0)+IFERROR(ROUND(VLOOKUP($A40,S275_21,2,FALSE)*VLOOKUP($A40,'3121% SY'!$C$3:$M$324,11,FALSE),3),0)+IFERROR(ROUND(VLOOKUP($A40,S275_21,3,FALSE)*VLOOKUP($A40,'3121% SY'!$C$3:$M$324,11,FALSE),3),0)+IFERROR(ROUND(VLOOKUP($A40,S275_21,4,FALSE)*VLOOKUP($A40,'3121% SY'!$C$3:$M$324,11,FALSE),3),0)+IFERROR(VLOOKUP($A40,S275_09,2,FALSE),0)</f>
        <v>0</v>
      </c>
      <c r="AE40" s="267">
        <f>IFERROR(VLOOKUP($A40,Supp_25,14,FALSE),0)+IFERROR(SUMPRODUCT(VLOOKUP($A40,S275_01,{5,6,7},FALSE)),0)+IFERROR(SUMPRODUCT(VLOOKUP($A40,S275_97,{5,6,7},FALSE)),0)+IFERROR(ROUND(VLOOKUP($A40,S275_21,5,FALSE)*VLOOKUP($A40,'3121% SY'!$C$3:$M$324,11,FALSE),3),0)+IFERROR(ROUND(VLOOKUP($A40,S275_21,6,FALSE)*VLOOKUP($A40,'3121% SY'!$C$3:$M$324,11,FALSE),3),0)+IFERROR(ROUND(VLOOKUP($A40,S275_21,7,FALSE)*VLOOKUP($A40,'3121% SY'!$C$3:$M$324,11,FALSE),3),0)+IFERROR(VLOOKUP($A40,S275_09,3,FALSE),0)</f>
        <v>1.153</v>
      </c>
      <c r="AF40" s="267">
        <f>IFERROR(VLOOKUP($A40,Supp_26,14,FALSE),0)+IFERROR(SUMPRODUCT(VLOOKUP($A40,S275_01,{8,9,10},FALSE)),0)+IFERROR(SUMPRODUCT(VLOOKUP($A40,S275_97,{8,9,10},FALSE)),0)+IFERROR(ROUND(VLOOKUP($A40,S275_21,8,FALSE)*VLOOKUP($A40,'3121% SY'!$C$3:$M$324,11,FALSE),3),0)+IFERROR(ROUND(VLOOKUP($A40,S275_21,9,FALSE)*VLOOKUP($A40,'3121% SY'!$C$3:$M$324,11,FALSE),3),0)+IFERROR(ROUND(VLOOKUP($A40,S275_21,10,FALSE)*VLOOKUP($A40,'3121% SY'!$C$3:$M$324,11,FALSE),3),0)+IFERROR(VLOOKUP($A40,S275_09,4,FALSE),0)</f>
        <v>0.61</v>
      </c>
      <c r="AG40" s="267">
        <f>IFERROR(VLOOKUP($A40,Supp_35,14,FALSE),0)+IFERROR(SUMPRODUCT(VLOOKUP($A40,S275_01,{11,12,13},FALSE)),0)+IFERROR(SUMPRODUCT(VLOOKUP($A40,S275_97,{11,12,13},FALSE)),0)+IFERROR(ROUND(VLOOKUP($A40,S275_21,11,FALSE)*VLOOKUP($A40,'3121% SY'!$C$3:$M$324,11,FALSE),3),0)+IFERROR(ROUND(VLOOKUP($A40,S275_21,12,FALSE)*VLOOKUP($A40,'3121% SY'!$C$3:$M$324,11,FALSE),3),0)+IFERROR(ROUND(VLOOKUP($A40,S275_21,13,FALSE)*VLOOKUP($A40,'3121% SY'!$C$3:$M$324,11,FALSE),3),0)+IFERROR(VLOOKUP($A40,S275_09,5,FALSE),0)</f>
        <v>0</v>
      </c>
      <c r="AH40" s="165">
        <f t="shared" si="15"/>
        <v>1.7629999999999999</v>
      </c>
      <c r="AI40" s="161">
        <f>IFERROR(VLOOKUP(A40,'Supp Staff Data'!A:ER,148,FALSE),0)+AB40</f>
        <v>0.60099999999999998</v>
      </c>
      <c r="AJ40" s="174">
        <v>0</v>
      </c>
      <c r="AK40" s="25">
        <f>VLOOKUP(A40,'Enroll Data as of January 2025'!$A$3:$T$323,20,FALSE)-F40</f>
        <v>0</v>
      </c>
    </row>
    <row r="41" spans="1:37" x14ac:dyDescent="0.25">
      <c r="A41" s="171" t="s">
        <v>261</v>
      </c>
      <c r="B41" t="s">
        <v>557</v>
      </c>
      <c r="C41" s="173" t="s">
        <v>1077</v>
      </c>
      <c r="D41" s="259">
        <f t="shared" si="9"/>
        <v>7.8000000000000014E-2</v>
      </c>
      <c r="E41" s="259">
        <f t="shared" si="10"/>
        <v>0</v>
      </c>
      <c r="F41" s="262">
        <f t="shared" si="16"/>
        <v>-7.8E-2</v>
      </c>
      <c r="G41" s="161">
        <f>ROUND(IF(F41&lt;0,F41*'2024-25 PSES Compliance'!$G$13,0),3)</f>
        <v>-7.4999999999999997E-2</v>
      </c>
      <c r="H41" s="161">
        <f>ROUND(IF(F41&lt;0,F41*'2024-25 PSES Compliance'!$G$14,0),3)</f>
        <v>-3.0000000000000001E-3</v>
      </c>
      <c r="I41" s="174">
        <f t="shared" si="11"/>
        <v>0</v>
      </c>
      <c r="J41" s="174">
        <f t="shared" si="12"/>
        <v>0</v>
      </c>
      <c r="K41" s="161">
        <f>VLOOKUP($A41,'Enroll Data as of January 2025'!$A$3:$M$322,6,FALSE)</f>
        <v>3.5999999999999997E-2</v>
      </c>
      <c r="L41" s="161">
        <f>VLOOKUP($A41,'Enroll Data as of January 2025'!$A$3:$M$322,7,FALSE)</f>
        <v>1.0999999999999999E-2</v>
      </c>
      <c r="M41" s="161">
        <f>VLOOKUP($A41,'Enroll Data as of January 2025'!$A$3:$M$322,8,FALSE)</f>
        <v>4.0000000000000001E-3</v>
      </c>
      <c r="N41" s="161">
        <f>VLOOKUP($A41,'Enroll Data as of January 2025'!$A$3:$M$322,9,FALSE)</f>
        <v>2.1000000000000001E-2</v>
      </c>
      <c r="O41" s="165">
        <f t="shared" si="13"/>
        <v>7.2000000000000008E-2</v>
      </c>
      <c r="P41" s="161">
        <f>VLOOKUP($A41,'Enroll Data as of January 2025'!$A$3:$M$322,11,FALSE)</f>
        <v>3.0000000000000001E-3</v>
      </c>
      <c r="Q41" s="161">
        <f>VLOOKUP($A41,'Enroll Data as of January 2025'!$A$3:$M$322,12,FALSE)</f>
        <v>3.0000000000000001E-3</v>
      </c>
      <c r="R41" s="165">
        <f t="shared" si="14"/>
        <v>6.0000000000000001E-3</v>
      </c>
      <c r="S41" s="267">
        <f>IFERROR(VLOOKUP($A41,Supp_39,14,FALSE),0)+IFERROR(SUMPRODUCT(VLOOKUP($A41,S275_01,{14,15,16},FALSE)),0)+IFERROR(SUMPRODUCT(VLOOKUP($A41,S275_97,{14,15,16},FALSE)),0)+IFERROR(ROUND(VLOOKUP($A41,S275_21,14,FALSE)*VLOOKUP($A41,'3121% SY'!$C$3:$M$324,11,FALSE),3),0)+IFERROR(ROUND(VLOOKUP($A41,S275_21,15,FALSE)*VLOOKUP($A41,'3121% SY'!$C$3:$M$324,11,FALSE),3),0)+IFERROR(ROUND(VLOOKUP($A41,S275_21,16,FALSE)*VLOOKUP($A41,'3121% SY'!$C$3:$M$324,11,FALSE),3),0)+IFERROR(VLOOKUP($A41,S275_09,6,FALSE),0)</f>
        <v>0</v>
      </c>
      <c r="T41" s="267">
        <f>IFERROR(VLOOKUP($A41,Supp_42,14,FALSE),0)+IFERROR(SUMPRODUCT(VLOOKUP($A41,S275_01,{17,18,19},FALSE)),0)+IFERROR(SUMPRODUCT(VLOOKUP($A41,S275_97,{17,18,19},FALSE)),0)+IFERROR(ROUND(VLOOKUP($A41,S275_21,17,FALSE)*VLOOKUP($A41,'3121% SY'!$C$3:$M$324,11,FALSE),3),0)+IFERROR(ROUND(VLOOKUP($A41,S275_21,18,FALSE)*VLOOKUP($A41,'3121% SY'!$C$3:$M$324,11,FALSE),3),0)+IFERROR(ROUND(VLOOKUP($A41,S275_21,19,FALSE)*VLOOKUP($A41,'3121% SY'!$C$3:$M$324,11,FALSE),3),0)+IFERROR(VLOOKUP($A41,S275_09,7,FALSE),0)</f>
        <v>0</v>
      </c>
      <c r="U41" s="267">
        <f>IFERROR(VLOOKUP($A41,Supp_43,14,FALSE),0)+IFERROR(SUMPRODUCT(VLOOKUP($A41,S275_01,{20,21,22},FALSE)),0)+IFERROR(SUMPRODUCT(VLOOKUP($A41,S275_97,{20,21,22},FALSE)),0)+IFERROR(ROUND(VLOOKUP($A41,S275_21,20,FALSE)*VLOOKUP($A41,'3121% SY'!$C$3:$M$324,11,FALSE),3),0)+IFERROR(ROUND(VLOOKUP($A41,S275_21,21,FALSE)*VLOOKUP($A41,'3121% SY'!$C$3:$M$324,11,FALSE),3),0)+IFERROR(ROUND(VLOOKUP($A41,S275_21,22,FALSE)*VLOOKUP($A41,'3121% SY'!$C$3:$M$324,11,FALSE),3),0)+IFERROR(VLOOKUP($A41,S275_09,8,FALSE),0)</f>
        <v>0</v>
      </c>
      <c r="V41" s="267">
        <f>IFERROR(VLOOKUP($A41,Supp_44,14,FALSE),0)+IFERROR(SUMPRODUCT(VLOOKUP($A41,S275_01,{23,24,25},FALSE)),0)+IFERROR(SUMPRODUCT(VLOOKUP($A41,S275_97,{23,24,25},FALSE)),0)+IFERROR(ROUND(VLOOKUP($A41,S275_21,23,FALSE)*VLOOKUP($A41,'3121% SY'!$C$3:$M$324,11,FALSE),3),0)+IFERROR(ROUND(VLOOKUP($A41,S275_21,24,FALSE)*VLOOKUP($A41,'3121% SY'!$C$3:$M$324,11,FALSE),3),0)+IFERROR(ROUND(VLOOKUP($A41,S275_21,25,FALSE)*VLOOKUP($A41,'3121% SY'!$C$3:$M$324,11,FALSE),3),0)+IFERROR(VLOOKUP($A41,S275_09,9,FALSE),0)</f>
        <v>0</v>
      </c>
      <c r="W41" s="267">
        <f>IFERROR(VLOOKUP($A41,Supp_45,14,FALSE),0)+IFERROR(SUMPRODUCT(VLOOKUP($A41,S275_01,{26,27,28},FALSE)),0)+IFERROR(SUMPRODUCT(VLOOKUP($A41,S275_97,{26,27,28},FALSE)),0)+IFERROR(ROUND(VLOOKUP($A41,S275_21,26,FALSE)*VLOOKUP($A41,'3121% SY'!$C$3:$M$324,11,FALSE),3),0)+IFERROR(ROUND(VLOOKUP($A41,S275_21,27,FALSE)*VLOOKUP($A41,'3121% SY'!$C$3:$M$324,11,FALSE),3),0)+IFERROR(ROUND(VLOOKUP($A41,S275_21,28,FALSE)*VLOOKUP($A41,'3121% SY'!$C$3:$M$324,11,FALSE),3),0)+IFERROR(VLOOKUP($A41,S275_09,10,FALSE),0)</f>
        <v>0</v>
      </c>
      <c r="X41" s="267">
        <f>IFERROR(VLOOKUP($A41,Supp_46,14,FALSE),0)+IFERROR(SUMPRODUCT(VLOOKUP($A41,S275_01,{29,30,31},FALSE)),0)+IFERROR(SUMPRODUCT(VLOOKUP($A41,S275_97,{29,30,31},FALSE)),0)+IFERROR(ROUND(VLOOKUP($A41,S275_21,29,FALSE)*VLOOKUP($A41,'3121% SY'!$C$3:$M$324,11,FALSE),3),0)+IFERROR(ROUND(VLOOKUP($A41,S275_21,30,FALSE)*VLOOKUP($A41,'3121% SY'!$C$3:$M$324,11,FALSE),3),0)+IFERROR(ROUND(VLOOKUP($A41,S275_21,31,FALSE)*VLOOKUP($A41,'3121% SY'!$C$3:$M$324,11,FALSE),3),0)+IFERROR(VLOOKUP($A41,S275_09,11,FALSE),0)</f>
        <v>0</v>
      </c>
      <c r="Y41" s="267">
        <f>IFERROR(VLOOKUP($A41,Supp_47,14,FALSE),0)+IFERROR(SUMPRODUCT(VLOOKUP($A41,S275_01,{32,33,34},FALSE)),0)+IFERROR(SUMPRODUCT(VLOOKUP($A41,S275_97,{32,33,34},FALSE)),0)+IFERROR(ROUND(VLOOKUP($A41,S275_21,32,FALSE)*VLOOKUP($A41,'3121% SY'!$C$3:$M$324,11,FALSE),3),0)+IFERROR(ROUND(VLOOKUP($A41,S275_21,33,FALSE)*VLOOKUP($A41,'3121% SY'!$C$3:$M$324,11,FALSE),3),0)+IFERROR(ROUND(VLOOKUP($A41,S275_21,34,FALSE)*VLOOKUP($A41,'3121% SY'!$C$3:$M$324,11,FALSE),3),0)+IFERROR(VLOOKUP($A41,S275_09,12,FALSE),0)</f>
        <v>0</v>
      </c>
      <c r="Z41" s="267">
        <f>IFERROR(VLOOKUP($A41,Supp_48,14,FALSE),0)+IFERROR(SUMPRODUCT(VLOOKUP($A41,S275_01,{35,36,37},FALSE)),0)+IFERROR(SUMPRODUCT(VLOOKUP($A41,S275_97,{35,36,37},FALSE)),0)+IFERROR(ROUND(VLOOKUP($A41,S275_21,35,FALSE)*VLOOKUP($A41,'3121% SY'!$C$3:$M$324,11,FALSE),3),0)+IFERROR(ROUND(VLOOKUP($A41,S275_21,36,FALSE)*VLOOKUP($A41,'3121% SY'!$C$3:$M$324,11,FALSE),3),0)+IFERROR(ROUND(VLOOKUP($A41,S275_21,37,FALSE)*VLOOKUP($A41,'3121% SY'!$C$3:$M$324,11,FALSE),3),0)+IFERROR(VLOOKUP($A41,S275_09,13,FALSE),0)</f>
        <v>0</v>
      </c>
      <c r="AA41" s="267">
        <f>IFERROR(VLOOKUP($A41,Supp_49,14,FALSE),0)+IFERROR(SUMPRODUCT(VLOOKUP($A41,S275_01,{38,39,40},FALSE)),0)+IFERROR(SUMPRODUCT(VLOOKUP($A41,S275_97,{38,39,40},FALSE)),0)+IFERROR(ROUND(VLOOKUP($A41,S275_21,38,FALSE)*VLOOKUP($A41,'3121% SY'!$C$3:$M$324,11,FALSE),3),0)+IFERROR(ROUND(VLOOKUP($A41,S275_21,39,FALSE)*VLOOKUP($A41,'3121% SY'!$C$3:$M$324,11,FALSE),3),0)+IFERROR(ROUND(VLOOKUP($A41,S275_21,40,FALSE)*VLOOKUP($A41,'3121% SY'!$C$3:$M$324,11,FALSE),3),0)+IFERROR(VLOOKUP($A41,S275_09,14,FALSE),0)</f>
        <v>0</v>
      </c>
      <c r="AB41" s="267">
        <f>IFERROR(VLOOKUP($A41,Supp_64,14,FALSE),0)+IFERROR(SUMPRODUCT(VLOOKUP($A41,S275_01,{41,42,43},FALSE)),0)+IFERROR(SUMPRODUCT(VLOOKUP($A41,S275_97,{41,42,43},FALSE)),0)+IFERROR(ROUND(VLOOKUP($A41,S275_21,41,FALSE)*VLOOKUP($A41,'3121% SY'!$C$3:$M$324,11,FALSE),3),0)+IFERROR(ROUND(VLOOKUP($A41,S275_21,42,FALSE)*VLOOKUP($A41,'3121% SY'!$C$3:$M$324,11,FALSE),3),0)+IFERROR(ROUND(VLOOKUP($A41,S275_21,43,FALSE)*VLOOKUP($A41,'3121% SY'!$C$3:$M$324,11,FALSE),3),0)+IFERROR(VLOOKUP($A41,S275_09,15,FALSE),0)</f>
        <v>0</v>
      </c>
      <c r="AC41" s="268">
        <f t="shared" si="17"/>
        <v>0</v>
      </c>
      <c r="AD41" s="267">
        <f>IFERROR(VLOOKUP($A41,Supp_24,14,FALSE),0)+IFERROR(SUMPRODUCT(VLOOKUP($A41,S275_01,{2,3,4},FALSE)),0)+IFERROR(SUMPRODUCT(VLOOKUP($A41,S275_97,{2,3,4},FALSE)),0)+IFERROR(ROUND(VLOOKUP($A41,S275_21,2,FALSE)*VLOOKUP($A41,'3121% SY'!$C$3:$M$324,11,FALSE),3),0)+IFERROR(ROUND(VLOOKUP($A41,S275_21,3,FALSE)*VLOOKUP($A41,'3121% SY'!$C$3:$M$324,11,FALSE),3),0)+IFERROR(ROUND(VLOOKUP($A41,S275_21,4,FALSE)*VLOOKUP($A41,'3121% SY'!$C$3:$M$324,11,FALSE),3),0)+IFERROR(VLOOKUP($A41,S275_09,2,FALSE),0)</f>
        <v>0</v>
      </c>
      <c r="AE41" s="267">
        <f>IFERROR(VLOOKUP($A41,Supp_25,14,FALSE),0)+IFERROR(SUMPRODUCT(VLOOKUP($A41,S275_01,{5,6,7},FALSE)),0)+IFERROR(SUMPRODUCT(VLOOKUP($A41,S275_97,{5,6,7},FALSE)),0)+IFERROR(ROUND(VLOOKUP($A41,S275_21,5,FALSE)*VLOOKUP($A41,'3121% SY'!$C$3:$M$324,11,FALSE),3),0)+IFERROR(ROUND(VLOOKUP($A41,S275_21,6,FALSE)*VLOOKUP($A41,'3121% SY'!$C$3:$M$324,11,FALSE),3),0)+IFERROR(ROUND(VLOOKUP($A41,S275_21,7,FALSE)*VLOOKUP($A41,'3121% SY'!$C$3:$M$324,11,FALSE),3),0)+IFERROR(VLOOKUP($A41,S275_09,3,FALSE),0)</f>
        <v>0</v>
      </c>
      <c r="AF41" s="267">
        <f>IFERROR(VLOOKUP($A41,Supp_26,14,FALSE),0)+IFERROR(SUMPRODUCT(VLOOKUP($A41,S275_01,{8,9,10},FALSE)),0)+IFERROR(SUMPRODUCT(VLOOKUP($A41,S275_97,{8,9,10},FALSE)),0)+IFERROR(ROUND(VLOOKUP($A41,S275_21,8,FALSE)*VLOOKUP($A41,'3121% SY'!$C$3:$M$324,11,FALSE),3),0)+IFERROR(ROUND(VLOOKUP($A41,S275_21,9,FALSE)*VLOOKUP($A41,'3121% SY'!$C$3:$M$324,11,FALSE),3),0)+IFERROR(ROUND(VLOOKUP($A41,S275_21,10,FALSE)*VLOOKUP($A41,'3121% SY'!$C$3:$M$324,11,FALSE),3),0)+IFERROR(VLOOKUP($A41,S275_09,4,FALSE),0)</f>
        <v>0</v>
      </c>
      <c r="AG41" s="267">
        <f>IFERROR(VLOOKUP($A41,Supp_35,14,FALSE),0)+IFERROR(SUMPRODUCT(VLOOKUP($A41,S275_01,{11,12,13},FALSE)),0)+IFERROR(SUMPRODUCT(VLOOKUP($A41,S275_97,{11,12,13},FALSE)),0)+IFERROR(ROUND(VLOOKUP($A41,S275_21,11,FALSE)*VLOOKUP($A41,'3121% SY'!$C$3:$M$324,11,FALSE),3),0)+IFERROR(ROUND(VLOOKUP($A41,S275_21,12,FALSE)*VLOOKUP($A41,'3121% SY'!$C$3:$M$324,11,FALSE),3),0)+IFERROR(ROUND(VLOOKUP($A41,S275_21,13,FALSE)*VLOOKUP($A41,'3121% SY'!$C$3:$M$324,11,FALSE),3),0)+IFERROR(VLOOKUP($A41,S275_09,5,FALSE),0)</f>
        <v>0</v>
      </c>
      <c r="AH41" s="165">
        <f t="shared" si="15"/>
        <v>0</v>
      </c>
      <c r="AI41" s="161">
        <f>IFERROR(VLOOKUP(A41,'Supp Staff Data'!A:ER,148,FALSE),0)+AB41</f>
        <v>0</v>
      </c>
      <c r="AJ41" s="174">
        <v>1</v>
      </c>
      <c r="AK41" s="25">
        <f>VLOOKUP(A41,'Enroll Data as of January 2025'!$A$3:$T$323,20,FALSE)-F41</f>
        <v>0</v>
      </c>
    </row>
    <row r="42" spans="1:37" x14ac:dyDescent="0.25">
      <c r="A42" s="171" t="s">
        <v>672</v>
      </c>
      <c r="B42" t="s">
        <v>1244</v>
      </c>
      <c r="C42" s="173" t="s">
        <v>1077</v>
      </c>
      <c r="D42" s="259">
        <f t="shared" si="9"/>
        <v>0.66600000000000004</v>
      </c>
      <c r="E42" s="259">
        <f t="shared" si="10"/>
        <v>0.255</v>
      </c>
      <c r="F42" s="262">
        <f>(AC42+AH42)-(O42+R42)</f>
        <v>-0.41100000000000003</v>
      </c>
      <c r="G42" s="161">
        <f>ROUND(IF(F42&lt;0,F42*'2024-25 PSES Compliance'!$G$13,0),3)</f>
        <v>-0.39500000000000002</v>
      </c>
      <c r="H42" s="161">
        <f>ROUND(IF(F42&lt;0,F42*'2024-25 PSES Compliance'!$G$14,0),3)</f>
        <v>-1.6E-2</v>
      </c>
      <c r="I42" s="174">
        <f t="shared" si="11"/>
        <v>0</v>
      </c>
      <c r="J42" s="174">
        <f t="shared" si="12"/>
        <v>0</v>
      </c>
      <c r="K42" s="161">
        <f>VLOOKUP($A42,'Enroll Data as of January 2025'!$A$3:$M$322,6,FALSE)</f>
        <v>0.48499999999999999</v>
      </c>
      <c r="L42" s="161">
        <f>VLOOKUP($A42,'Enroll Data as of January 2025'!$A$3:$M$322,7,FALSE)</f>
        <v>0.02</v>
      </c>
      <c r="M42" s="161">
        <f>VLOOKUP($A42,'Enroll Data as of January 2025'!$A$3:$M$322,8,FALSE)</f>
        <v>8.0000000000000002E-3</v>
      </c>
      <c r="N42" s="161">
        <f>VLOOKUP($A42,'Enroll Data as of January 2025'!$A$3:$M$322,9,FALSE)</f>
        <v>0.13100000000000001</v>
      </c>
      <c r="O42" s="165">
        <f t="shared" si="13"/>
        <v>0.64400000000000002</v>
      </c>
      <c r="P42" s="161">
        <f>VLOOKUP($A42,'Enroll Data as of January 2025'!$A$3:$M$322,11,FALSE)</f>
        <v>2.1999999999999999E-2</v>
      </c>
      <c r="Q42" s="161">
        <f>VLOOKUP($A42,'Enroll Data as of January 2025'!$A$3:$M$322,12,FALSE)</f>
        <v>0</v>
      </c>
      <c r="R42" s="165">
        <f t="shared" si="14"/>
        <v>2.1999999999999999E-2</v>
      </c>
      <c r="S42" s="267">
        <f>IFERROR(VLOOKUP($A42,Supp_39,14,FALSE),0)+IFERROR(SUMPRODUCT(VLOOKUP($A42,S275_01,{14,15,16},FALSE)),0)+IFERROR(SUMPRODUCT(VLOOKUP($A42,S275_97,{14,15,16},FALSE)),0)+IFERROR(ROUND(VLOOKUP($A42,S275_21,14,FALSE)*VLOOKUP($A42,'3121% SY'!$C$3:$M$324,11,FALSE),3),0)+IFERROR(ROUND(VLOOKUP($A42,S275_21,15,FALSE)*VLOOKUP($A42,'3121% SY'!$C$3:$M$324,11,FALSE),3),0)+IFERROR(ROUND(VLOOKUP($A42,S275_21,16,FALSE)*VLOOKUP($A42,'3121% SY'!$C$3:$M$324,11,FALSE),3),0)+IFERROR(VLOOKUP($A42,S275_09,6,FALSE),0)</f>
        <v>0</v>
      </c>
      <c r="T42" s="267">
        <f>IFERROR(VLOOKUP($A42,Supp_42,14,FALSE),0)+IFERROR(SUMPRODUCT(VLOOKUP($A42,S275_01,{17,18,19},FALSE)),0)+IFERROR(SUMPRODUCT(VLOOKUP($A42,S275_97,{17,18,19},FALSE)),0)+IFERROR(ROUND(VLOOKUP($A42,S275_21,17,FALSE)*VLOOKUP($A42,'3121% SY'!$C$3:$M$324,11,FALSE),3),0)+IFERROR(ROUND(VLOOKUP($A42,S275_21,18,FALSE)*VLOOKUP($A42,'3121% SY'!$C$3:$M$324,11,FALSE),3),0)+IFERROR(ROUND(VLOOKUP($A42,S275_21,19,FALSE)*VLOOKUP($A42,'3121% SY'!$C$3:$M$324,11,FALSE),3),0)+IFERROR(VLOOKUP($A42,S275_09,7,FALSE),0)</f>
        <v>0</v>
      </c>
      <c r="U42" s="267">
        <f>IFERROR(VLOOKUP($A42,Supp_43,14,FALSE),0)+IFERROR(SUMPRODUCT(VLOOKUP($A42,S275_01,{20,21,22},FALSE)),0)+IFERROR(SUMPRODUCT(VLOOKUP($A42,S275_97,{20,21,22},FALSE)),0)+IFERROR(ROUND(VLOOKUP($A42,S275_21,20,FALSE)*VLOOKUP($A42,'3121% SY'!$C$3:$M$324,11,FALSE),3),0)+IFERROR(ROUND(VLOOKUP($A42,S275_21,21,FALSE)*VLOOKUP($A42,'3121% SY'!$C$3:$M$324,11,FALSE),3),0)+IFERROR(ROUND(VLOOKUP($A42,S275_21,22,FALSE)*VLOOKUP($A42,'3121% SY'!$C$3:$M$324,11,FALSE),3),0)+IFERROR(VLOOKUP($A42,S275_09,8,FALSE),0)</f>
        <v>0</v>
      </c>
      <c r="V42" s="267">
        <f>IFERROR(VLOOKUP($A42,Supp_44,14,FALSE),0)+IFERROR(SUMPRODUCT(VLOOKUP($A42,S275_01,{23,24,25},FALSE)),0)+IFERROR(SUMPRODUCT(VLOOKUP($A42,S275_97,{23,24,25},FALSE)),0)+IFERROR(ROUND(VLOOKUP($A42,S275_21,23,FALSE)*VLOOKUP($A42,'3121% SY'!$C$3:$M$324,11,FALSE),3),0)+IFERROR(ROUND(VLOOKUP($A42,S275_21,24,FALSE)*VLOOKUP($A42,'3121% SY'!$C$3:$M$324,11,FALSE),3),0)+IFERROR(ROUND(VLOOKUP($A42,S275_21,25,FALSE)*VLOOKUP($A42,'3121% SY'!$C$3:$M$324,11,FALSE),3),0)+IFERROR(VLOOKUP($A42,S275_09,9,FALSE),0)</f>
        <v>0</v>
      </c>
      <c r="W42" s="267">
        <f>IFERROR(VLOOKUP($A42,Supp_45,14,FALSE),0)+IFERROR(SUMPRODUCT(VLOOKUP($A42,S275_01,{26,27,28},FALSE)),0)+IFERROR(SUMPRODUCT(VLOOKUP($A42,S275_97,{26,27,28},FALSE)),0)+IFERROR(ROUND(VLOOKUP($A42,S275_21,26,FALSE)*VLOOKUP($A42,'3121% SY'!$C$3:$M$324,11,FALSE),3),0)+IFERROR(ROUND(VLOOKUP($A42,S275_21,27,FALSE)*VLOOKUP($A42,'3121% SY'!$C$3:$M$324,11,FALSE),3),0)+IFERROR(ROUND(VLOOKUP($A42,S275_21,28,FALSE)*VLOOKUP($A42,'3121% SY'!$C$3:$M$324,11,FALSE),3),0)+IFERROR(VLOOKUP($A42,S275_09,10,FALSE),0)</f>
        <v>0</v>
      </c>
      <c r="X42" s="267">
        <f>IFERROR(VLOOKUP($A42,Supp_46,14,FALSE),0)+IFERROR(SUMPRODUCT(VLOOKUP($A42,S275_01,{29,30,31},FALSE)),0)+IFERROR(SUMPRODUCT(VLOOKUP($A42,S275_97,{29,30,31},FALSE)),0)+IFERROR(ROUND(VLOOKUP($A42,S275_21,29,FALSE)*VLOOKUP($A42,'3121% SY'!$C$3:$M$324,11,FALSE),3),0)+IFERROR(ROUND(VLOOKUP($A42,S275_21,30,FALSE)*VLOOKUP($A42,'3121% SY'!$C$3:$M$324,11,FALSE),3),0)+IFERROR(ROUND(VLOOKUP($A42,S275_21,31,FALSE)*VLOOKUP($A42,'3121% SY'!$C$3:$M$324,11,FALSE),3),0)+IFERROR(VLOOKUP($A42,S275_09,11,FALSE),0)</f>
        <v>0</v>
      </c>
      <c r="Y42" s="267">
        <f>IFERROR(VLOOKUP($A42,Supp_47,14,FALSE),0)+IFERROR(SUMPRODUCT(VLOOKUP($A42,S275_01,{32,33,34},FALSE)),0)+IFERROR(SUMPRODUCT(VLOOKUP($A42,S275_97,{32,33,34},FALSE)),0)+IFERROR(ROUND(VLOOKUP($A42,S275_21,32,FALSE)*VLOOKUP($A42,'3121% SY'!$C$3:$M$324,11,FALSE),3),0)+IFERROR(ROUND(VLOOKUP($A42,S275_21,33,FALSE)*VLOOKUP($A42,'3121% SY'!$C$3:$M$324,11,FALSE),3),0)+IFERROR(ROUND(VLOOKUP($A42,S275_21,34,FALSE)*VLOOKUP($A42,'3121% SY'!$C$3:$M$324,11,FALSE),3),0)+IFERROR(VLOOKUP($A42,S275_09,12,FALSE),0)</f>
        <v>0</v>
      </c>
      <c r="Z42" s="267">
        <f>IFERROR(VLOOKUP($A42,Supp_48,14,FALSE),0)+IFERROR(SUMPRODUCT(VLOOKUP($A42,S275_01,{35,36,37},FALSE)),0)+IFERROR(SUMPRODUCT(VLOOKUP($A42,S275_97,{35,36,37},FALSE)),0)+IFERROR(ROUND(VLOOKUP($A42,S275_21,35,FALSE)*VLOOKUP($A42,'3121% SY'!$C$3:$M$324,11,FALSE),3),0)+IFERROR(ROUND(VLOOKUP($A42,S275_21,36,FALSE)*VLOOKUP($A42,'3121% SY'!$C$3:$M$324,11,FALSE),3),0)+IFERROR(ROUND(VLOOKUP($A42,S275_21,37,FALSE)*VLOOKUP($A42,'3121% SY'!$C$3:$M$324,11,FALSE),3),0)+IFERROR(VLOOKUP($A42,S275_09,13,FALSE),0)</f>
        <v>0</v>
      </c>
      <c r="AA42" s="267">
        <f>IFERROR(VLOOKUP($A42,Supp_49,14,FALSE),0)+IFERROR(SUMPRODUCT(VLOOKUP($A42,S275_01,{38,39,40},FALSE)),0)+IFERROR(SUMPRODUCT(VLOOKUP($A42,S275_97,{38,39,40},FALSE)),0)+IFERROR(ROUND(VLOOKUP($A42,S275_21,38,FALSE)*VLOOKUP($A42,'3121% SY'!$C$3:$M$324,11,FALSE),3),0)+IFERROR(ROUND(VLOOKUP($A42,S275_21,39,FALSE)*VLOOKUP($A42,'3121% SY'!$C$3:$M$324,11,FALSE),3),0)+IFERROR(ROUND(VLOOKUP($A42,S275_21,40,FALSE)*VLOOKUP($A42,'3121% SY'!$C$3:$M$324,11,FALSE),3),0)+IFERROR(VLOOKUP($A42,S275_09,14,FALSE),0)</f>
        <v>0</v>
      </c>
      <c r="AB42" s="267">
        <f>IFERROR(VLOOKUP($A42,Supp_64,14,FALSE),0)+IFERROR(SUMPRODUCT(VLOOKUP($A42,S275_01,{41,42,43},FALSE)),0)+IFERROR(SUMPRODUCT(VLOOKUP($A42,S275_97,{41,42,43},FALSE)),0)+IFERROR(ROUND(VLOOKUP($A42,S275_21,41,FALSE)*VLOOKUP($A42,'3121% SY'!$C$3:$M$324,11,FALSE),3),0)+IFERROR(ROUND(VLOOKUP($A42,S275_21,42,FALSE)*VLOOKUP($A42,'3121% SY'!$C$3:$M$324,11,FALSE),3),0)+IFERROR(ROUND(VLOOKUP($A42,S275_21,43,FALSE)*VLOOKUP($A42,'3121% SY'!$C$3:$M$324,11,FALSE),3),0)+IFERROR(VLOOKUP($A42,S275_09,15,FALSE),0)</f>
        <v>0</v>
      </c>
      <c r="AC42" s="268">
        <f t="shared" si="17"/>
        <v>0</v>
      </c>
      <c r="AD42" s="267">
        <f>IFERROR(VLOOKUP($A42,Supp_24,14,FALSE),0)+IFERROR(SUMPRODUCT(VLOOKUP($A42,S275_01,{2,3,4},FALSE)),0)+IFERROR(SUMPRODUCT(VLOOKUP($A42,S275_97,{2,3,4},FALSE)),0)+IFERROR(ROUND(VLOOKUP($A42,S275_21,2,FALSE)*VLOOKUP($A42,'3121% SY'!$C$3:$M$324,11,FALSE),3),0)+IFERROR(ROUND(VLOOKUP($A42,S275_21,3,FALSE)*VLOOKUP($A42,'3121% SY'!$C$3:$M$324,11,FALSE),3),0)+IFERROR(ROUND(VLOOKUP($A42,S275_21,4,FALSE)*VLOOKUP($A42,'3121% SY'!$C$3:$M$324,11,FALSE),3),0)+IFERROR(VLOOKUP($A42,S275_09,2,FALSE),0)</f>
        <v>0</v>
      </c>
      <c r="AE42" s="267">
        <f>IFERROR(VLOOKUP($A42,Supp_25,14,FALSE),0)+IFERROR(SUMPRODUCT(VLOOKUP($A42,S275_01,{5,6,7},FALSE)),0)+IFERROR(SUMPRODUCT(VLOOKUP($A42,S275_97,{5,6,7},FALSE)),0)+IFERROR(ROUND(VLOOKUP($A42,S275_21,5,FALSE)*VLOOKUP($A42,'3121% SY'!$C$3:$M$324,11,FALSE),3),0)+IFERROR(ROUND(VLOOKUP($A42,S275_21,6,FALSE)*VLOOKUP($A42,'3121% SY'!$C$3:$M$324,11,FALSE),3),0)+IFERROR(ROUND(VLOOKUP($A42,S275_21,7,FALSE)*VLOOKUP($A42,'3121% SY'!$C$3:$M$324,11,FALSE),3),0)+IFERROR(VLOOKUP($A42,S275_09,3,FALSE),0)</f>
        <v>0.255</v>
      </c>
      <c r="AF42" s="267">
        <f>IFERROR(VLOOKUP($A42,Supp_26,14,FALSE),0)+IFERROR(SUMPRODUCT(VLOOKUP($A42,S275_01,{8,9,10},FALSE)),0)+IFERROR(SUMPRODUCT(VLOOKUP($A42,S275_97,{8,9,10},FALSE)),0)+IFERROR(ROUND(VLOOKUP($A42,S275_21,8,FALSE)*VLOOKUP($A42,'3121% SY'!$C$3:$M$324,11,FALSE),3),0)+IFERROR(ROUND(VLOOKUP($A42,S275_21,9,FALSE)*VLOOKUP($A42,'3121% SY'!$C$3:$M$324,11,FALSE),3),0)+IFERROR(ROUND(VLOOKUP($A42,S275_21,10,FALSE)*VLOOKUP($A42,'3121% SY'!$C$3:$M$324,11,FALSE),3),0)+IFERROR(VLOOKUP($A42,S275_09,4,FALSE),0)</f>
        <v>0</v>
      </c>
      <c r="AG42" s="267">
        <f>IFERROR(VLOOKUP($A42,Supp_35,14,FALSE),0)+IFERROR(SUMPRODUCT(VLOOKUP($A42,S275_01,{11,12,13},FALSE)),0)+IFERROR(SUMPRODUCT(VLOOKUP($A42,S275_97,{11,12,13},FALSE)),0)+IFERROR(ROUND(VLOOKUP($A42,S275_21,11,FALSE)*VLOOKUP($A42,'3121% SY'!$C$3:$M$324,11,FALSE),3),0)+IFERROR(ROUND(VLOOKUP($A42,S275_21,12,FALSE)*VLOOKUP($A42,'3121% SY'!$C$3:$M$324,11,FALSE),3),0)+IFERROR(ROUND(VLOOKUP($A42,S275_21,13,FALSE)*VLOOKUP($A42,'3121% SY'!$C$3:$M$324,11,FALSE),3),0)+IFERROR(VLOOKUP($A42,S275_09,5,FALSE),0)</f>
        <v>0</v>
      </c>
      <c r="AH42" s="165">
        <f t="shared" si="15"/>
        <v>0.255</v>
      </c>
      <c r="AI42" s="161">
        <f>IFERROR(VLOOKUP(A42,'Supp Staff Data'!A:ER,148,FALSE),0)+AB42</f>
        <v>0</v>
      </c>
      <c r="AJ42" s="174">
        <v>1</v>
      </c>
      <c r="AK42" s="25">
        <f>VLOOKUP(A42,'Enroll Data as of January 2025'!$A$3:$T$323,20,FALSE)-F42</f>
        <v>0</v>
      </c>
    </row>
    <row r="43" spans="1:37" x14ac:dyDescent="0.25">
      <c r="A43" s="171" t="s">
        <v>179</v>
      </c>
      <c r="B43" t="s">
        <v>475</v>
      </c>
      <c r="C43" s="173" t="s">
        <v>1077</v>
      </c>
      <c r="D43" s="259">
        <f t="shared" si="9"/>
        <v>0.28700000000000003</v>
      </c>
      <c r="E43" s="259">
        <f t="shared" si="10"/>
        <v>0</v>
      </c>
      <c r="F43" s="262">
        <f t="shared" ref="F43:F78" si="18">ROUND((AC43+AH43)-(O43+R43),3)</f>
        <v>-0.28699999999999998</v>
      </c>
      <c r="G43" s="161">
        <f>ROUND(IF(F43&lt;0,F43*'2024-25 PSES Compliance'!$G$13,0),3)</f>
        <v>-0.27600000000000002</v>
      </c>
      <c r="H43" s="161">
        <f>ROUND(IF(F43&lt;0,F43*'2024-25 PSES Compliance'!$G$14,0),3)</f>
        <v>-1.0999999999999999E-2</v>
      </c>
      <c r="I43" s="174">
        <f t="shared" si="11"/>
        <v>0</v>
      </c>
      <c r="J43" s="174">
        <f t="shared" si="12"/>
        <v>0</v>
      </c>
      <c r="K43" s="161">
        <f>VLOOKUP($A43,'Enroll Data as of January 2025'!$A$3:$M$322,6,FALSE)</f>
        <v>0.156</v>
      </c>
      <c r="L43" s="161">
        <f>VLOOKUP($A43,'Enroll Data as of January 2025'!$A$3:$M$322,7,FALSE)</f>
        <v>0.03</v>
      </c>
      <c r="M43" s="161">
        <f>VLOOKUP($A43,'Enroll Data as of January 2025'!$A$3:$M$322,8,FALSE)</f>
        <v>9.9999999999999985E-3</v>
      </c>
      <c r="N43" s="161">
        <f>VLOOKUP($A43,'Enroll Data as of January 2025'!$A$3:$M$322,9,FALSE)</f>
        <v>7.400000000000001E-2</v>
      </c>
      <c r="O43" s="165">
        <f t="shared" si="13"/>
        <v>0.27</v>
      </c>
      <c r="P43" s="161">
        <f>VLOOKUP($A43,'Enroll Data as of January 2025'!$A$3:$M$322,11,FALSE)</f>
        <v>0.01</v>
      </c>
      <c r="Q43" s="161">
        <f>VLOOKUP($A43,'Enroll Data as of January 2025'!$A$3:$M$322,12,FALSE)</f>
        <v>7.0000000000000001E-3</v>
      </c>
      <c r="R43" s="165">
        <f t="shared" si="14"/>
        <v>1.7000000000000001E-2</v>
      </c>
      <c r="S43" s="267">
        <f>IFERROR(VLOOKUP($A43,Supp_39,14,FALSE),0)+IFERROR(SUMPRODUCT(VLOOKUP($A43,S275_01,{14,15,16},FALSE)),0)+IFERROR(SUMPRODUCT(VLOOKUP($A43,S275_97,{14,15,16},FALSE)),0)+IFERROR(ROUND(VLOOKUP($A43,S275_21,14,FALSE)*VLOOKUP($A43,'3121% SY'!$C$3:$M$324,11,FALSE),3),0)+IFERROR(ROUND(VLOOKUP($A43,S275_21,15,FALSE)*VLOOKUP($A43,'3121% SY'!$C$3:$M$324,11,FALSE),3),0)+IFERROR(ROUND(VLOOKUP($A43,S275_21,16,FALSE)*VLOOKUP($A43,'3121% SY'!$C$3:$M$324,11,FALSE),3),0)+IFERROR(VLOOKUP($A43,S275_09,6,FALSE),0)</f>
        <v>0</v>
      </c>
      <c r="T43" s="267">
        <f>IFERROR(VLOOKUP($A43,Supp_42,14,FALSE),0)+IFERROR(SUMPRODUCT(VLOOKUP($A43,S275_01,{17,18,19},FALSE)),0)+IFERROR(SUMPRODUCT(VLOOKUP($A43,S275_97,{17,18,19},FALSE)),0)+IFERROR(ROUND(VLOOKUP($A43,S275_21,17,FALSE)*VLOOKUP($A43,'3121% SY'!$C$3:$M$324,11,FALSE),3),0)+IFERROR(ROUND(VLOOKUP($A43,S275_21,18,FALSE)*VLOOKUP($A43,'3121% SY'!$C$3:$M$324,11,FALSE),3),0)+IFERROR(ROUND(VLOOKUP($A43,S275_21,19,FALSE)*VLOOKUP($A43,'3121% SY'!$C$3:$M$324,11,FALSE),3),0)+IFERROR(VLOOKUP($A43,S275_09,7,FALSE),0)</f>
        <v>0</v>
      </c>
      <c r="U43" s="267">
        <f>IFERROR(VLOOKUP($A43,Supp_43,14,FALSE),0)+IFERROR(SUMPRODUCT(VLOOKUP($A43,S275_01,{20,21,22},FALSE)),0)+IFERROR(SUMPRODUCT(VLOOKUP($A43,S275_97,{20,21,22},FALSE)),0)+IFERROR(ROUND(VLOOKUP($A43,S275_21,20,FALSE)*VLOOKUP($A43,'3121% SY'!$C$3:$M$324,11,FALSE),3),0)+IFERROR(ROUND(VLOOKUP($A43,S275_21,21,FALSE)*VLOOKUP($A43,'3121% SY'!$C$3:$M$324,11,FALSE),3),0)+IFERROR(ROUND(VLOOKUP($A43,S275_21,22,FALSE)*VLOOKUP($A43,'3121% SY'!$C$3:$M$324,11,FALSE),3),0)+IFERROR(VLOOKUP($A43,S275_09,8,FALSE),0)</f>
        <v>0</v>
      </c>
      <c r="V43" s="267">
        <f>IFERROR(VLOOKUP($A43,Supp_44,14,FALSE),0)+IFERROR(SUMPRODUCT(VLOOKUP($A43,S275_01,{23,24,25},FALSE)),0)+IFERROR(SUMPRODUCT(VLOOKUP($A43,S275_97,{23,24,25},FALSE)),0)+IFERROR(ROUND(VLOOKUP($A43,S275_21,23,FALSE)*VLOOKUP($A43,'3121% SY'!$C$3:$M$324,11,FALSE),3),0)+IFERROR(ROUND(VLOOKUP($A43,S275_21,24,FALSE)*VLOOKUP($A43,'3121% SY'!$C$3:$M$324,11,FALSE),3),0)+IFERROR(ROUND(VLOOKUP($A43,S275_21,25,FALSE)*VLOOKUP($A43,'3121% SY'!$C$3:$M$324,11,FALSE),3),0)+IFERROR(VLOOKUP($A43,S275_09,9,FALSE),0)</f>
        <v>0</v>
      </c>
      <c r="W43" s="267">
        <f>IFERROR(VLOOKUP($A43,Supp_45,14,FALSE),0)+IFERROR(SUMPRODUCT(VLOOKUP($A43,S275_01,{26,27,28},FALSE)),0)+IFERROR(SUMPRODUCT(VLOOKUP($A43,S275_97,{26,27,28},FALSE)),0)+IFERROR(ROUND(VLOOKUP($A43,S275_21,26,FALSE)*VLOOKUP($A43,'3121% SY'!$C$3:$M$324,11,FALSE),3),0)+IFERROR(ROUND(VLOOKUP($A43,S275_21,27,FALSE)*VLOOKUP($A43,'3121% SY'!$C$3:$M$324,11,FALSE),3),0)+IFERROR(ROUND(VLOOKUP($A43,S275_21,28,FALSE)*VLOOKUP($A43,'3121% SY'!$C$3:$M$324,11,FALSE),3),0)+IFERROR(VLOOKUP($A43,S275_09,10,FALSE),0)</f>
        <v>0</v>
      </c>
      <c r="X43" s="267">
        <f>IFERROR(VLOOKUP($A43,Supp_46,14,FALSE),0)+IFERROR(SUMPRODUCT(VLOOKUP($A43,S275_01,{29,30,31},FALSE)),0)+IFERROR(SUMPRODUCT(VLOOKUP($A43,S275_97,{29,30,31},FALSE)),0)+IFERROR(ROUND(VLOOKUP($A43,S275_21,29,FALSE)*VLOOKUP($A43,'3121% SY'!$C$3:$M$324,11,FALSE),3),0)+IFERROR(ROUND(VLOOKUP($A43,S275_21,30,FALSE)*VLOOKUP($A43,'3121% SY'!$C$3:$M$324,11,FALSE),3),0)+IFERROR(ROUND(VLOOKUP($A43,S275_21,31,FALSE)*VLOOKUP($A43,'3121% SY'!$C$3:$M$324,11,FALSE),3),0)+IFERROR(VLOOKUP($A43,S275_09,11,FALSE),0)</f>
        <v>0</v>
      </c>
      <c r="Y43" s="267">
        <f>IFERROR(VLOOKUP($A43,Supp_47,14,FALSE),0)+IFERROR(SUMPRODUCT(VLOOKUP($A43,S275_01,{32,33,34},FALSE)),0)+IFERROR(SUMPRODUCT(VLOOKUP($A43,S275_97,{32,33,34},FALSE)),0)+IFERROR(ROUND(VLOOKUP($A43,S275_21,32,FALSE)*VLOOKUP($A43,'3121% SY'!$C$3:$M$324,11,FALSE),3),0)+IFERROR(ROUND(VLOOKUP($A43,S275_21,33,FALSE)*VLOOKUP($A43,'3121% SY'!$C$3:$M$324,11,FALSE),3),0)+IFERROR(ROUND(VLOOKUP($A43,S275_21,34,FALSE)*VLOOKUP($A43,'3121% SY'!$C$3:$M$324,11,FALSE),3),0)+IFERROR(VLOOKUP($A43,S275_09,12,FALSE),0)</f>
        <v>0</v>
      </c>
      <c r="Z43" s="267">
        <f>IFERROR(VLOOKUP($A43,Supp_48,14,FALSE),0)+IFERROR(SUMPRODUCT(VLOOKUP($A43,S275_01,{35,36,37},FALSE)),0)+IFERROR(SUMPRODUCT(VLOOKUP($A43,S275_97,{35,36,37},FALSE)),0)+IFERROR(ROUND(VLOOKUP($A43,S275_21,35,FALSE)*VLOOKUP($A43,'3121% SY'!$C$3:$M$324,11,FALSE),3),0)+IFERROR(ROUND(VLOOKUP($A43,S275_21,36,FALSE)*VLOOKUP($A43,'3121% SY'!$C$3:$M$324,11,FALSE),3),0)+IFERROR(ROUND(VLOOKUP($A43,S275_21,37,FALSE)*VLOOKUP($A43,'3121% SY'!$C$3:$M$324,11,FALSE),3),0)+IFERROR(VLOOKUP($A43,S275_09,13,FALSE),0)</f>
        <v>0</v>
      </c>
      <c r="AA43" s="267">
        <f>IFERROR(VLOOKUP($A43,Supp_49,14,FALSE),0)+IFERROR(SUMPRODUCT(VLOOKUP($A43,S275_01,{38,39,40},FALSE)),0)+IFERROR(SUMPRODUCT(VLOOKUP($A43,S275_97,{38,39,40},FALSE)),0)+IFERROR(ROUND(VLOOKUP($A43,S275_21,38,FALSE)*VLOOKUP($A43,'3121% SY'!$C$3:$M$324,11,FALSE),3),0)+IFERROR(ROUND(VLOOKUP($A43,S275_21,39,FALSE)*VLOOKUP($A43,'3121% SY'!$C$3:$M$324,11,FALSE),3),0)+IFERROR(ROUND(VLOOKUP($A43,S275_21,40,FALSE)*VLOOKUP($A43,'3121% SY'!$C$3:$M$324,11,FALSE),3),0)+IFERROR(VLOOKUP($A43,S275_09,14,FALSE),0)</f>
        <v>0</v>
      </c>
      <c r="AB43" s="267">
        <f>IFERROR(VLOOKUP($A43,Supp_64,14,FALSE),0)+IFERROR(SUMPRODUCT(VLOOKUP($A43,S275_01,{41,42,43},FALSE)),0)+IFERROR(SUMPRODUCT(VLOOKUP($A43,S275_97,{41,42,43},FALSE)),0)+IFERROR(ROUND(VLOOKUP($A43,S275_21,41,FALSE)*VLOOKUP($A43,'3121% SY'!$C$3:$M$324,11,FALSE),3),0)+IFERROR(ROUND(VLOOKUP($A43,S275_21,42,FALSE)*VLOOKUP($A43,'3121% SY'!$C$3:$M$324,11,FALSE),3),0)+IFERROR(ROUND(VLOOKUP($A43,S275_21,43,FALSE)*VLOOKUP($A43,'3121% SY'!$C$3:$M$324,11,FALSE),3),0)+IFERROR(VLOOKUP($A43,S275_09,15,FALSE),0)</f>
        <v>0</v>
      </c>
      <c r="AC43" s="268">
        <f t="shared" si="17"/>
        <v>0</v>
      </c>
      <c r="AD43" s="267">
        <f>IFERROR(VLOOKUP($A43,Supp_24,14,FALSE),0)+IFERROR(SUMPRODUCT(VLOOKUP($A43,S275_01,{2,3,4},FALSE)),0)+IFERROR(SUMPRODUCT(VLOOKUP($A43,S275_97,{2,3,4},FALSE)),0)+IFERROR(ROUND(VLOOKUP($A43,S275_21,2,FALSE)*VLOOKUP($A43,'3121% SY'!$C$3:$M$324,11,FALSE),3),0)+IFERROR(ROUND(VLOOKUP($A43,S275_21,3,FALSE)*VLOOKUP($A43,'3121% SY'!$C$3:$M$324,11,FALSE),3),0)+IFERROR(ROUND(VLOOKUP($A43,S275_21,4,FALSE)*VLOOKUP($A43,'3121% SY'!$C$3:$M$324,11,FALSE),3),0)+IFERROR(VLOOKUP($A43,S275_09,2,FALSE),0)</f>
        <v>0</v>
      </c>
      <c r="AE43" s="267">
        <f>IFERROR(VLOOKUP($A43,Supp_25,14,FALSE),0)+IFERROR(SUMPRODUCT(VLOOKUP($A43,S275_01,{5,6,7},FALSE)),0)+IFERROR(SUMPRODUCT(VLOOKUP($A43,S275_97,{5,6,7},FALSE)),0)+IFERROR(ROUND(VLOOKUP($A43,S275_21,5,FALSE)*VLOOKUP($A43,'3121% SY'!$C$3:$M$324,11,FALSE),3),0)+IFERROR(ROUND(VLOOKUP($A43,S275_21,6,FALSE)*VLOOKUP($A43,'3121% SY'!$C$3:$M$324,11,FALSE),3),0)+IFERROR(ROUND(VLOOKUP($A43,S275_21,7,FALSE)*VLOOKUP($A43,'3121% SY'!$C$3:$M$324,11,FALSE),3),0)+IFERROR(VLOOKUP($A43,S275_09,3,FALSE),0)</f>
        <v>0</v>
      </c>
      <c r="AF43" s="267">
        <f>IFERROR(VLOOKUP($A43,Supp_26,14,FALSE),0)+IFERROR(SUMPRODUCT(VLOOKUP($A43,S275_01,{8,9,10},FALSE)),0)+IFERROR(SUMPRODUCT(VLOOKUP($A43,S275_97,{8,9,10},FALSE)),0)+IFERROR(ROUND(VLOOKUP($A43,S275_21,8,FALSE)*VLOOKUP($A43,'3121% SY'!$C$3:$M$324,11,FALSE),3),0)+IFERROR(ROUND(VLOOKUP($A43,S275_21,9,FALSE)*VLOOKUP($A43,'3121% SY'!$C$3:$M$324,11,FALSE),3),0)+IFERROR(ROUND(VLOOKUP($A43,S275_21,10,FALSE)*VLOOKUP($A43,'3121% SY'!$C$3:$M$324,11,FALSE),3),0)+IFERROR(VLOOKUP($A43,S275_09,4,FALSE),0)</f>
        <v>0</v>
      </c>
      <c r="AG43" s="267">
        <f>IFERROR(VLOOKUP($A43,Supp_35,14,FALSE),0)+IFERROR(SUMPRODUCT(VLOOKUP($A43,S275_01,{11,12,13},FALSE)),0)+IFERROR(SUMPRODUCT(VLOOKUP($A43,S275_97,{11,12,13},FALSE)),0)+IFERROR(ROUND(VLOOKUP($A43,S275_21,11,FALSE)*VLOOKUP($A43,'3121% SY'!$C$3:$M$324,11,FALSE),3),0)+IFERROR(ROUND(VLOOKUP($A43,S275_21,12,FALSE)*VLOOKUP($A43,'3121% SY'!$C$3:$M$324,11,FALSE),3),0)+IFERROR(ROUND(VLOOKUP($A43,S275_21,13,FALSE)*VLOOKUP($A43,'3121% SY'!$C$3:$M$324,11,FALSE),3),0)+IFERROR(VLOOKUP($A43,S275_09,5,FALSE),0)</f>
        <v>0</v>
      </c>
      <c r="AH43" s="165">
        <f t="shared" si="15"/>
        <v>0</v>
      </c>
      <c r="AI43" s="161">
        <f>IFERROR(VLOOKUP(A43,'Supp Staff Data'!A:ER,148,FALSE),0)+AB43</f>
        <v>0</v>
      </c>
      <c r="AJ43" s="174">
        <v>0</v>
      </c>
      <c r="AK43" s="25">
        <f>VLOOKUP(A43,'Enroll Data as of January 2025'!$A$3:$T$323,20,FALSE)-F43</f>
        <v>0</v>
      </c>
    </row>
    <row r="44" spans="1:37" x14ac:dyDescent="0.25">
      <c r="A44" s="171" t="s">
        <v>302</v>
      </c>
      <c r="B44" t="s">
        <v>598</v>
      </c>
      <c r="C44" s="173" t="s">
        <v>1077</v>
      </c>
      <c r="D44" s="259">
        <f t="shared" si="9"/>
        <v>25.338000000000001</v>
      </c>
      <c r="E44" s="259">
        <f t="shared" si="10"/>
        <v>28.687000000000001</v>
      </c>
      <c r="F44" s="262">
        <f t="shared" si="18"/>
        <v>3.3490000000000002</v>
      </c>
      <c r="G44" s="161">
        <f>ROUND(IF(F44&lt;0,F44*'2024-25 PSES Compliance'!$G$13,0),3)</f>
        <v>0</v>
      </c>
      <c r="H44" s="161">
        <f>ROUND(IF(F44&lt;0,F44*'2024-25 PSES Compliance'!$G$14,0),3)</f>
        <v>0</v>
      </c>
      <c r="I44" s="174">
        <f t="shared" si="11"/>
        <v>0.7499912852511591</v>
      </c>
      <c r="J44" s="174">
        <f t="shared" si="12"/>
        <v>0.72130233206678984</v>
      </c>
      <c r="K44" s="161">
        <f>VLOOKUP($A44,'Enroll Data as of January 2025'!$A$3:$M$322,6,FALSE)</f>
        <v>14.076000000000001</v>
      </c>
      <c r="L44" s="161">
        <f>VLOOKUP($A44,'Enroll Data as of January 2025'!$A$3:$M$322,7,FALSE)</f>
        <v>2.46</v>
      </c>
      <c r="M44" s="161">
        <f>VLOOKUP($A44,'Enroll Data as of January 2025'!$A$3:$M$322,8,FALSE)</f>
        <v>0.82599999999999996</v>
      </c>
      <c r="N44" s="161">
        <f>VLOOKUP($A44,'Enroll Data as of January 2025'!$A$3:$M$322,9,FALSE)</f>
        <v>6.5139999999999993</v>
      </c>
      <c r="O44" s="165">
        <f t="shared" si="13"/>
        <v>23.876000000000001</v>
      </c>
      <c r="P44" s="161">
        <f>VLOOKUP($A44,'Enroll Data as of January 2025'!$A$3:$M$322,11,FALSE)</f>
        <v>0.89500000000000002</v>
      </c>
      <c r="Q44" s="161">
        <f>VLOOKUP($A44,'Enroll Data as of January 2025'!$A$3:$M$322,12,FALSE)</f>
        <v>0.56699999999999995</v>
      </c>
      <c r="R44" s="165">
        <f t="shared" si="14"/>
        <v>1.462</v>
      </c>
      <c r="S44" s="267">
        <f>IFERROR(VLOOKUP($A44,Supp_39,14,FALSE),0)+IFERROR(SUMPRODUCT(VLOOKUP($A44,S275_01,{14,15,16},FALSE)),0)+IFERROR(SUMPRODUCT(VLOOKUP($A44,S275_97,{14,15,16},FALSE)),0)+IFERROR(ROUND(VLOOKUP($A44,S275_21,14,FALSE)*VLOOKUP($A44,'3121% SY'!$C$3:$M$324,11,FALSE),3),0)+IFERROR(ROUND(VLOOKUP($A44,S275_21,15,FALSE)*VLOOKUP($A44,'3121% SY'!$C$3:$M$324,11,FALSE),3),0)+IFERROR(ROUND(VLOOKUP($A44,S275_21,16,FALSE)*VLOOKUP($A44,'3121% SY'!$C$3:$M$324,11,FALSE),3),0)+IFERROR(VLOOKUP($A44,S275_09,6,FALSE),0)</f>
        <v>6.2</v>
      </c>
      <c r="T44" s="267">
        <f>IFERROR(VLOOKUP($A44,Supp_42,14,FALSE),0)+IFERROR(SUMPRODUCT(VLOOKUP($A44,S275_01,{17,18,19},FALSE)),0)+IFERROR(SUMPRODUCT(VLOOKUP($A44,S275_97,{17,18,19},FALSE)),0)+IFERROR(ROUND(VLOOKUP($A44,S275_21,17,FALSE)*VLOOKUP($A44,'3121% SY'!$C$3:$M$324,11,FALSE),3),0)+IFERROR(ROUND(VLOOKUP($A44,S275_21,18,FALSE)*VLOOKUP($A44,'3121% SY'!$C$3:$M$324,11,FALSE),3),0)+IFERROR(ROUND(VLOOKUP($A44,S275_21,19,FALSE)*VLOOKUP($A44,'3121% SY'!$C$3:$M$324,11,FALSE),3),0)+IFERROR(VLOOKUP($A44,S275_09,7,FALSE),0)</f>
        <v>2.8200000000000003</v>
      </c>
      <c r="U44" s="267">
        <f>IFERROR(VLOOKUP($A44,Supp_43,14,FALSE),0)+IFERROR(SUMPRODUCT(VLOOKUP($A44,S275_01,{20,21,22},FALSE)),0)+IFERROR(SUMPRODUCT(VLOOKUP($A44,S275_97,{20,21,22},FALSE)),0)+IFERROR(ROUND(VLOOKUP($A44,S275_21,20,FALSE)*VLOOKUP($A44,'3121% SY'!$C$3:$M$324,11,FALSE),3),0)+IFERROR(ROUND(VLOOKUP($A44,S275_21,21,FALSE)*VLOOKUP($A44,'3121% SY'!$C$3:$M$324,11,FALSE),3),0)+IFERROR(ROUND(VLOOKUP($A44,S275_21,22,FALSE)*VLOOKUP($A44,'3121% SY'!$C$3:$M$324,11,FALSE),3),0)+IFERROR(VLOOKUP($A44,S275_09,8,FALSE),0)</f>
        <v>0</v>
      </c>
      <c r="V44" s="267">
        <f>IFERROR(VLOOKUP($A44,Supp_44,14,FALSE),0)+IFERROR(SUMPRODUCT(VLOOKUP($A44,S275_01,{23,24,25},FALSE)),0)+IFERROR(SUMPRODUCT(VLOOKUP($A44,S275_97,{23,24,25},FALSE)),0)+IFERROR(ROUND(VLOOKUP($A44,S275_21,23,FALSE)*VLOOKUP($A44,'3121% SY'!$C$3:$M$324,11,FALSE),3),0)+IFERROR(ROUND(VLOOKUP($A44,S275_21,24,FALSE)*VLOOKUP($A44,'3121% SY'!$C$3:$M$324,11,FALSE),3),0)+IFERROR(ROUND(VLOOKUP($A44,S275_21,25,FALSE)*VLOOKUP($A44,'3121% SY'!$C$3:$M$324,11,FALSE),3),0)+IFERROR(VLOOKUP($A44,S275_09,9,FALSE),0)</f>
        <v>0</v>
      </c>
      <c r="W44" s="267">
        <f>IFERROR(VLOOKUP($A44,Supp_45,14,FALSE),0)+IFERROR(SUMPRODUCT(VLOOKUP($A44,S275_01,{26,27,28},FALSE)),0)+IFERROR(SUMPRODUCT(VLOOKUP($A44,S275_97,{26,27,28},FALSE)),0)+IFERROR(ROUND(VLOOKUP($A44,S275_21,26,FALSE)*VLOOKUP($A44,'3121% SY'!$C$3:$M$324,11,FALSE),3),0)+IFERROR(ROUND(VLOOKUP($A44,S275_21,27,FALSE)*VLOOKUP($A44,'3121% SY'!$C$3:$M$324,11,FALSE),3),0)+IFERROR(ROUND(VLOOKUP($A44,S275_21,28,FALSE)*VLOOKUP($A44,'3121% SY'!$C$3:$M$324,11,FALSE),3),0)+IFERROR(VLOOKUP($A44,S275_09,10,FALSE),0)</f>
        <v>0.748</v>
      </c>
      <c r="X44" s="267">
        <f>IFERROR(VLOOKUP($A44,Supp_46,14,FALSE),0)+IFERROR(SUMPRODUCT(VLOOKUP($A44,S275_01,{29,30,31},FALSE)),0)+IFERROR(SUMPRODUCT(VLOOKUP($A44,S275_97,{29,30,31},FALSE)),0)+IFERROR(ROUND(VLOOKUP($A44,S275_21,29,FALSE)*VLOOKUP($A44,'3121% SY'!$C$3:$M$324,11,FALSE),3),0)+IFERROR(ROUND(VLOOKUP($A44,S275_21,30,FALSE)*VLOOKUP($A44,'3121% SY'!$C$3:$M$324,11,FALSE),3),0)+IFERROR(ROUND(VLOOKUP($A44,S275_21,31,FALSE)*VLOOKUP($A44,'3121% SY'!$C$3:$M$324,11,FALSE),3),0)+IFERROR(VLOOKUP($A44,S275_09,11,FALSE),0)</f>
        <v>1.32</v>
      </c>
      <c r="Y44" s="267">
        <f>IFERROR(VLOOKUP($A44,Supp_47,14,FALSE),0)+IFERROR(SUMPRODUCT(VLOOKUP($A44,S275_01,{32,33,34},FALSE)),0)+IFERROR(SUMPRODUCT(VLOOKUP($A44,S275_97,{32,33,34},FALSE)),0)+IFERROR(ROUND(VLOOKUP($A44,S275_21,32,FALSE)*VLOOKUP($A44,'3121% SY'!$C$3:$M$324,11,FALSE),3),0)+IFERROR(ROUND(VLOOKUP($A44,S275_21,33,FALSE)*VLOOKUP($A44,'3121% SY'!$C$3:$M$324,11,FALSE),3),0)+IFERROR(ROUND(VLOOKUP($A44,S275_21,34,FALSE)*VLOOKUP($A44,'3121% SY'!$C$3:$M$324,11,FALSE),3),0)+IFERROR(VLOOKUP($A44,S275_09,12,FALSE),0)</f>
        <v>0</v>
      </c>
      <c r="Z44" s="267">
        <f>IFERROR(VLOOKUP($A44,Supp_48,14,FALSE),0)+IFERROR(SUMPRODUCT(VLOOKUP($A44,S275_01,{35,36,37},FALSE)),0)+IFERROR(SUMPRODUCT(VLOOKUP($A44,S275_97,{35,36,37},FALSE)),0)+IFERROR(ROUND(VLOOKUP($A44,S275_21,35,FALSE)*VLOOKUP($A44,'3121% SY'!$C$3:$M$324,11,FALSE),3),0)+IFERROR(ROUND(VLOOKUP($A44,S275_21,36,FALSE)*VLOOKUP($A44,'3121% SY'!$C$3:$M$324,11,FALSE),3),0)+IFERROR(ROUND(VLOOKUP($A44,S275_21,37,FALSE)*VLOOKUP($A44,'3121% SY'!$C$3:$M$324,11,FALSE),3),0)+IFERROR(VLOOKUP($A44,S275_09,13,FALSE),0)</f>
        <v>2</v>
      </c>
      <c r="AA44" s="267">
        <f>IFERROR(VLOOKUP($A44,Supp_49,14,FALSE),0)+IFERROR(SUMPRODUCT(VLOOKUP($A44,S275_01,{38,39,40},FALSE)),0)+IFERROR(SUMPRODUCT(VLOOKUP($A44,S275_97,{38,39,40},FALSE)),0)+IFERROR(ROUND(VLOOKUP($A44,S275_21,38,FALSE)*VLOOKUP($A44,'3121% SY'!$C$3:$M$324,11,FALSE),3),0)+IFERROR(ROUND(VLOOKUP($A44,S275_21,39,FALSE)*VLOOKUP($A44,'3121% SY'!$C$3:$M$324,11,FALSE),3),0)+IFERROR(ROUND(VLOOKUP($A44,S275_21,40,FALSE)*VLOOKUP($A44,'3121% SY'!$C$3:$M$324,11,FALSE),3),0)+IFERROR(VLOOKUP($A44,S275_09,14,FALSE),0)</f>
        <v>0.22</v>
      </c>
      <c r="AB44" s="267">
        <f>IFERROR(VLOOKUP($A44,Supp_64,14,FALSE),0)+IFERROR(SUMPRODUCT(VLOOKUP($A44,S275_01,{41,42,43},FALSE)),0)+IFERROR(SUMPRODUCT(VLOOKUP($A44,S275_97,{41,42,43},FALSE)),0)+IFERROR(ROUND(VLOOKUP($A44,S275_21,41,FALSE)*VLOOKUP($A44,'3121% SY'!$C$3:$M$324,11,FALSE),3),0)+IFERROR(ROUND(VLOOKUP($A44,S275_21,42,FALSE)*VLOOKUP($A44,'3121% SY'!$C$3:$M$324,11,FALSE),3),0)+IFERROR(ROUND(VLOOKUP($A44,S275_21,43,FALSE)*VLOOKUP($A44,'3121% SY'!$C$3:$M$324,11,FALSE),3),0)+IFERROR(VLOOKUP($A44,S275_09,15,FALSE),0)</f>
        <v>8.2070000000000007</v>
      </c>
      <c r="AC44" s="268">
        <f t="shared" si="17"/>
        <v>21.515000000000001</v>
      </c>
      <c r="AD44" s="267">
        <f>IFERROR(VLOOKUP($A44,Supp_24,14,FALSE),0)+IFERROR(SUMPRODUCT(VLOOKUP($A44,S275_01,{2,3,4},FALSE)),0)+IFERROR(SUMPRODUCT(VLOOKUP($A44,S275_97,{2,3,4},FALSE)),0)+IFERROR(ROUND(VLOOKUP($A44,S275_21,2,FALSE)*VLOOKUP($A44,'3121% SY'!$C$3:$M$324,11,FALSE),3),0)+IFERROR(ROUND(VLOOKUP($A44,S275_21,3,FALSE)*VLOOKUP($A44,'3121% SY'!$C$3:$M$324,11,FALSE),3),0)+IFERROR(ROUND(VLOOKUP($A44,S275_21,4,FALSE)*VLOOKUP($A44,'3121% SY'!$C$3:$M$324,11,FALSE),3),0)+IFERROR(VLOOKUP($A44,S275_09,2,FALSE),0)</f>
        <v>0</v>
      </c>
      <c r="AE44" s="267">
        <f>IFERROR(VLOOKUP($A44,Supp_25,14,FALSE),0)+IFERROR(SUMPRODUCT(VLOOKUP($A44,S275_01,{5,6,7},FALSE)),0)+IFERROR(SUMPRODUCT(VLOOKUP($A44,S275_97,{5,6,7},FALSE)),0)+IFERROR(ROUND(VLOOKUP($A44,S275_21,5,FALSE)*VLOOKUP($A44,'3121% SY'!$C$3:$M$324,11,FALSE),3),0)+IFERROR(ROUND(VLOOKUP($A44,S275_21,6,FALSE)*VLOOKUP($A44,'3121% SY'!$C$3:$M$324,11,FALSE),3),0)+IFERROR(ROUND(VLOOKUP($A44,S275_21,7,FALSE)*VLOOKUP($A44,'3121% SY'!$C$3:$M$324,11,FALSE),3),0)+IFERROR(VLOOKUP($A44,S275_09,3,FALSE),0)</f>
        <v>0.624</v>
      </c>
      <c r="AF44" s="267">
        <f>IFERROR(VLOOKUP($A44,Supp_26,14,FALSE),0)+IFERROR(SUMPRODUCT(VLOOKUP($A44,S275_01,{8,9,10},FALSE)),0)+IFERROR(SUMPRODUCT(VLOOKUP($A44,S275_97,{8,9,10},FALSE)),0)+IFERROR(ROUND(VLOOKUP($A44,S275_21,8,FALSE)*VLOOKUP($A44,'3121% SY'!$C$3:$M$324,11,FALSE),3),0)+IFERROR(ROUND(VLOOKUP($A44,S275_21,9,FALSE)*VLOOKUP($A44,'3121% SY'!$C$3:$M$324,11,FALSE),3),0)+IFERROR(ROUND(VLOOKUP($A44,S275_21,10,FALSE)*VLOOKUP($A44,'3121% SY'!$C$3:$M$324,11,FALSE),3),0)+IFERROR(VLOOKUP($A44,S275_09,4,FALSE),0)</f>
        <v>6.548</v>
      </c>
      <c r="AG44" s="267">
        <f>IFERROR(VLOOKUP($A44,Supp_35,14,FALSE),0)+IFERROR(SUMPRODUCT(VLOOKUP($A44,S275_01,{11,12,13},FALSE)),0)+IFERROR(SUMPRODUCT(VLOOKUP($A44,S275_97,{11,12,13},FALSE)),0)+IFERROR(ROUND(VLOOKUP($A44,S275_21,11,FALSE)*VLOOKUP($A44,'3121% SY'!$C$3:$M$324,11,FALSE),3),0)+IFERROR(ROUND(VLOOKUP($A44,S275_21,12,FALSE)*VLOOKUP($A44,'3121% SY'!$C$3:$M$324,11,FALSE),3),0)+IFERROR(ROUND(VLOOKUP($A44,S275_21,13,FALSE)*VLOOKUP($A44,'3121% SY'!$C$3:$M$324,11,FALSE),3),0)+IFERROR(VLOOKUP($A44,S275_09,5,FALSE),0)</f>
        <v>0</v>
      </c>
      <c r="AH44" s="165">
        <f t="shared" si="15"/>
        <v>7.1719999999999997</v>
      </c>
      <c r="AI44" s="161">
        <f>IFERROR(VLOOKUP(A44,'Supp Staff Data'!A:ER,148,FALSE),0)+AB44</f>
        <v>20.692</v>
      </c>
      <c r="AJ44" s="174">
        <v>1</v>
      </c>
      <c r="AK44" s="25">
        <f>VLOOKUP(A44,'Enroll Data as of January 2025'!$A$3:$T$323,20,FALSE)-F44</f>
        <v>0</v>
      </c>
    </row>
    <row r="45" spans="1:37" x14ac:dyDescent="0.25">
      <c r="A45" s="171" t="s">
        <v>227</v>
      </c>
      <c r="B45" t="s">
        <v>523</v>
      </c>
      <c r="C45" s="173" t="s">
        <v>1077</v>
      </c>
      <c r="D45" s="259">
        <f t="shared" si="9"/>
        <v>0.42200000000000004</v>
      </c>
      <c r="E45" s="259">
        <f t="shared" si="10"/>
        <v>0.21400000000000002</v>
      </c>
      <c r="F45" s="262">
        <f t="shared" si="18"/>
        <v>-0.20799999999999999</v>
      </c>
      <c r="G45" s="161">
        <f>ROUND(IF(F45&lt;0,F45*'2024-25 PSES Compliance'!$G$13,0),3)</f>
        <v>-0.2</v>
      </c>
      <c r="H45" s="161">
        <f>ROUND(IF(F45&lt;0,F45*'2024-25 PSES Compliance'!$G$14,0),3)</f>
        <v>-8.0000000000000002E-3</v>
      </c>
      <c r="I45" s="174">
        <f t="shared" si="11"/>
        <v>0</v>
      </c>
      <c r="J45" s="174">
        <f t="shared" si="12"/>
        <v>0</v>
      </c>
      <c r="K45" s="161">
        <f>VLOOKUP($A45,'Enroll Data as of January 2025'!$A$3:$M$322,6,FALSE)</f>
        <v>0.19999999999999998</v>
      </c>
      <c r="L45" s="161">
        <f>VLOOKUP($A45,'Enroll Data as of January 2025'!$A$3:$M$322,7,FALSE)</f>
        <v>5.7000000000000002E-2</v>
      </c>
      <c r="M45" s="161">
        <f>VLOOKUP($A45,'Enroll Data as of January 2025'!$A$3:$M$322,8,FALSE)</f>
        <v>1.9E-2</v>
      </c>
      <c r="N45" s="161">
        <f>VLOOKUP($A45,'Enroll Data as of January 2025'!$A$3:$M$322,9,FALSE)</f>
        <v>0.11599999999999999</v>
      </c>
      <c r="O45" s="165">
        <f t="shared" si="13"/>
        <v>0.39200000000000002</v>
      </c>
      <c r="P45" s="161">
        <f>VLOOKUP($A45,'Enroll Data as of January 2025'!$A$3:$M$322,11,FALSE)</f>
        <v>1.4999999999999999E-2</v>
      </c>
      <c r="Q45" s="161">
        <f>VLOOKUP($A45,'Enroll Data as of January 2025'!$A$3:$M$322,12,FALSE)</f>
        <v>1.4999999999999999E-2</v>
      </c>
      <c r="R45" s="165">
        <f t="shared" si="14"/>
        <v>0.03</v>
      </c>
      <c r="S45" s="267">
        <f>IFERROR(VLOOKUP($A45,Supp_39,14,FALSE),0)+IFERROR(SUMPRODUCT(VLOOKUP($A45,S275_01,{14,15,16},FALSE)),0)+IFERROR(SUMPRODUCT(VLOOKUP($A45,S275_97,{14,15,16},FALSE)),0)+IFERROR(ROUND(VLOOKUP($A45,S275_21,14,FALSE)*VLOOKUP($A45,'3121% SY'!$C$3:$M$324,11,FALSE),3),0)+IFERROR(ROUND(VLOOKUP($A45,S275_21,15,FALSE)*VLOOKUP($A45,'3121% SY'!$C$3:$M$324,11,FALSE),3),0)+IFERROR(ROUND(VLOOKUP($A45,S275_21,16,FALSE)*VLOOKUP($A45,'3121% SY'!$C$3:$M$324,11,FALSE),3),0)+IFERROR(VLOOKUP($A45,S275_09,6,FALSE),0)</f>
        <v>0</v>
      </c>
      <c r="T45" s="267">
        <f>IFERROR(VLOOKUP($A45,Supp_42,14,FALSE),0)+IFERROR(SUMPRODUCT(VLOOKUP($A45,S275_01,{17,18,19},FALSE)),0)+IFERROR(SUMPRODUCT(VLOOKUP($A45,S275_97,{17,18,19},FALSE)),0)+IFERROR(ROUND(VLOOKUP($A45,S275_21,17,FALSE)*VLOOKUP($A45,'3121% SY'!$C$3:$M$324,11,FALSE),3),0)+IFERROR(ROUND(VLOOKUP($A45,S275_21,18,FALSE)*VLOOKUP($A45,'3121% SY'!$C$3:$M$324,11,FALSE),3),0)+IFERROR(ROUND(VLOOKUP($A45,S275_21,19,FALSE)*VLOOKUP($A45,'3121% SY'!$C$3:$M$324,11,FALSE),3),0)+IFERROR(VLOOKUP($A45,S275_09,7,FALSE),0)</f>
        <v>0</v>
      </c>
      <c r="U45" s="267">
        <f>IFERROR(VLOOKUP($A45,Supp_43,14,FALSE),0)+IFERROR(SUMPRODUCT(VLOOKUP($A45,S275_01,{20,21,22},FALSE)),0)+IFERROR(SUMPRODUCT(VLOOKUP($A45,S275_97,{20,21,22},FALSE)),0)+IFERROR(ROUND(VLOOKUP($A45,S275_21,20,FALSE)*VLOOKUP($A45,'3121% SY'!$C$3:$M$324,11,FALSE),3),0)+IFERROR(ROUND(VLOOKUP($A45,S275_21,21,FALSE)*VLOOKUP($A45,'3121% SY'!$C$3:$M$324,11,FALSE),3),0)+IFERROR(ROUND(VLOOKUP($A45,S275_21,22,FALSE)*VLOOKUP($A45,'3121% SY'!$C$3:$M$324,11,FALSE),3),0)+IFERROR(VLOOKUP($A45,S275_09,8,FALSE),0)</f>
        <v>0</v>
      </c>
      <c r="V45" s="267">
        <f>IFERROR(VLOOKUP($A45,Supp_44,14,FALSE),0)+IFERROR(SUMPRODUCT(VLOOKUP($A45,S275_01,{23,24,25},FALSE)),0)+IFERROR(SUMPRODUCT(VLOOKUP($A45,S275_97,{23,24,25},FALSE)),0)+IFERROR(ROUND(VLOOKUP($A45,S275_21,23,FALSE)*VLOOKUP($A45,'3121% SY'!$C$3:$M$324,11,FALSE),3),0)+IFERROR(ROUND(VLOOKUP($A45,S275_21,24,FALSE)*VLOOKUP($A45,'3121% SY'!$C$3:$M$324,11,FALSE),3),0)+IFERROR(ROUND(VLOOKUP($A45,S275_21,25,FALSE)*VLOOKUP($A45,'3121% SY'!$C$3:$M$324,11,FALSE),3),0)+IFERROR(VLOOKUP($A45,S275_09,9,FALSE),0)</f>
        <v>0</v>
      </c>
      <c r="W45" s="267">
        <f>IFERROR(VLOOKUP($A45,Supp_45,14,FALSE),0)+IFERROR(SUMPRODUCT(VLOOKUP($A45,S275_01,{26,27,28},FALSE)),0)+IFERROR(SUMPRODUCT(VLOOKUP($A45,S275_97,{26,27,28},FALSE)),0)+IFERROR(ROUND(VLOOKUP($A45,S275_21,26,FALSE)*VLOOKUP($A45,'3121% SY'!$C$3:$M$324,11,FALSE),3),0)+IFERROR(ROUND(VLOOKUP($A45,S275_21,27,FALSE)*VLOOKUP($A45,'3121% SY'!$C$3:$M$324,11,FALSE),3),0)+IFERROR(ROUND(VLOOKUP($A45,S275_21,28,FALSE)*VLOOKUP($A45,'3121% SY'!$C$3:$M$324,11,FALSE),3),0)+IFERROR(VLOOKUP($A45,S275_09,10,FALSE),0)</f>
        <v>0</v>
      </c>
      <c r="X45" s="267">
        <f>IFERROR(VLOOKUP($A45,Supp_46,14,FALSE),0)+IFERROR(SUMPRODUCT(VLOOKUP($A45,S275_01,{29,30,31},FALSE)),0)+IFERROR(SUMPRODUCT(VLOOKUP($A45,S275_97,{29,30,31},FALSE)),0)+IFERROR(ROUND(VLOOKUP($A45,S275_21,29,FALSE)*VLOOKUP($A45,'3121% SY'!$C$3:$M$324,11,FALSE),3),0)+IFERROR(ROUND(VLOOKUP($A45,S275_21,30,FALSE)*VLOOKUP($A45,'3121% SY'!$C$3:$M$324,11,FALSE),3),0)+IFERROR(ROUND(VLOOKUP($A45,S275_21,31,FALSE)*VLOOKUP($A45,'3121% SY'!$C$3:$M$324,11,FALSE),3),0)+IFERROR(VLOOKUP($A45,S275_09,11,FALSE),0)</f>
        <v>0</v>
      </c>
      <c r="Y45" s="267">
        <f>IFERROR(VLOOKUP($A45,Supp_47,14,FALSE),0)+IFERROR(SUMPRODUCT(VLOOKUP($A45,S275_01,{32,33,34},FALSE)),0)+IFERROR(SUMPRODUCT(VLOOKUP($A45,S275_97,{32,33,34},FALSE)),0)+IFERROR(ROUND(VLOOKUP($A45,S275_21,32,FALSE)*VLOOKUP($A45,'3121% SY'!$C$3:$M$324,11,FALSE),3),0)+IFERROR(ROUND(VLOOKUP($A45,S275_21,33,FALSE)*VLOOKUP($A45,'3121% SY'!$C$3:$M$324,11,FALSE),3),0)+IFERROR(ROUND(VLOOKUP($A45,S275_21,34,FALSE)*VLOOKUP($A45,'3121% SY'!$C$3:$M$324,11,FALSE),3),0)+IFERROR(VLOOKUP($A45,S275_09,12,FALSE),0)</f>
        <v>0</v>
      </c>
      <c r="Z45" s="267">
        <f>IFERROR(VLOOKUP($A45,Supp_48,14,FALSE),0)+IFERROR(SUMPRODUCT(VLOOKUP($A45,S275_01,{35,36,37},FALSE)),0)+IFERROR(SUMPRODUCT(VLOOKUP($A45,S275_97,{35,36,37},FALSE)),0)+IFERROR(ROUND(VLOOKUP($A45,S275_21,35,FALSE)*VLOOKUP($A45,'3121% SY'!$C$3:$M$324,11,FALSE),3),0)+IFERROR(ROUND(VLOOKUP($A45,S275_21,36,FALSE)*VLOOKUP($A45,'3121% SY'!$C$3:$M$324,11,FALSE),3),0)+IFERROR(ROUND(VLOOKUP($A45,S275_21,37,FALSE)*VLOOKUP($A45,'3121% SY'!$C$3:$M$324,11,FALSE),3),0)+IFERROR(VLOOKUP($A45,S275_09,13,FALSE),0)</f>
        <v>0</v>
      </c>
      <c r="AA45" s="267">
        <f>IFERROR(VLOOKUP($A45,Supp_49,14,FALSE),0)+IFERROR(SUMPRODUCT(VLOOKUP($A45,S275_01,{38,39,40},FALSE)),0)+IFERROR(SUMPRODUCT(VLOOKUP($A45,S275_97,{38,39,40},FALSE)),0)+IFERROR(ROUND(VLOOKUP($A45,S275_21,38,FALSE)*VLOOKUP($A45,'3121% SY'!$C$3:$M$324,11,FALSE),3),0)+IFERROR(ROUND(VLOOKUP($A45,S275_21,39,FALSE)*VLOOKUP($A45,'3121% SY'!$C$3:$M$324,11,FALSE),3),0)+IFERROR(ROUND(VLOOKUP($A45,S275_21,40,FALSE)*VLOOKUP($A45,'3121% SY'!$C$3:$M$324,11,FALSE),3),0)+IFERROR(VLOOKUP($A45,S275_09,14,FALSE),0)</f>
        <v>0</v>
      </c>
      <c r="AB45" s="267">
        <f>IFERROR(VLOOKUP($A45,Supp_64,14,FALSE),0)+IFERROR(SUMPRODUCT(VLOOKUP($A45,S275_01,{41,42,43},FALSE)),0)+IFERROR(SUMPRODUCT(VLOOKUP($A45,S275_97,{41,42,43},FALSE)),0)+IFERROR(ROUND(VLOOKUP($A45,S275_21,41,FALSE)*VLOOKUP($A45,'3121% SY'!$C$3:$M$324,11,FALSE),3),0)+IFERROR(ROUND(VLOOKUP($A45,S275_21,42,FALSE)*VLOOKUP($A45,'3121% SY'!$C$3:$M$324,11,FALSE),3),0)+IFERROR(ROUND(VLOOKUP($A45,S275_21,43,FALSE)*VLOOKUP($A45,'3121% SY'!$C$3:$M$324,11,FALSE),3),0)+IFERROR(VLOOKUP($A45,S275_09,15,FALSE),0)</f>
        <v>0</v>
      </c>
      <c r="AC45" s="268">
        <f t="shared" si="17"/>
        <v>0</v>
      </c>
      <c r="AD45" s="267">
        <f>IFERROR(VLOOKUP($A45,Supp_24,14,FALSE),0)+IFERROR(SUMPRODUCT(VLOOKUP($A45,S275_01,{2,3,4},FALSE)),0)+IFERROR(SUMPRODUCT(VLOOKUP($A45,S275_97,{2,3,4},FALSE)),0)+IFERROR(ROUND(VLOOKUP($A45,S275_21,2,FALSE)*VLOOKUP($A45,'3121% SY'!$C$3:$M$324,11,FALSE),3),0)+IFERROR(ROUND(VLOOKUP($A45,S275_21,3,FALSE)*VLOOKUP($A45,'3121% SY'!$C$3:$M$324,11,FALSE),3),0)+IFERROR(ROUND(VLOOKUP($A45,S275_21,4,FALSE)*VLOOKUP($A45,'3121% SY'!$C$3:$M$324,11,FALSE),3),0)+IFERROR(VLOOKUP($A45,S275_09,2,FALSE),0)</f>
        <v>0.13700000000000001</v>
      </c>
      <c r="AE45" s="267">
        <f>IFERROR(VLOOKUP($A45,Supp_25,14,FALSE),0)+IFERROR(SUMPRODUCT(VLOOKUP($A45,S275_01,{5,6,7},FALSE)),0)+IFERROR(SUMPRODUCT(VLOOKUP($A45,S275_97,{5,6,7},FALSE)),0)+IFERROR(ROUND(VLOOKUP($A45,S275_21,5,FALSE)*VLOOKUP($A45,'3121% SY'!$C$3:$M$324,11,FALSE),3),0)+IFERROR(ROUND(VLOOKUP($A45,S275_21,6,FALSE)*VLOOKUP($A45,'3121% SY'!$C$3:$M$324,11,FALSE),3),0)+IFERROR(ROUND(VLOOKUP($A45,S275_21,7,FALSE)*VLOOKUP($A45,'3121% SY'!$C$3:$M$324,11,FALSE),3),0)+IFERROR(VLOOKUP($A45,S275_09,3,FALSE),0)</f>
        <v>0</v>
      </c>
      <c r="AF45" s="267">
        <f>IFERROR(VLOOKUP($A45,Supp_26,14,FALSE),0)+IFERROR(SUMPRODUCT(VLOOKUP($A45,S275_01,{8,9,10},FALSE)),0)+IFERROR(SUMPRODUCT(VLOOKUP($A45,S275_97,{8,9,10},FALSE)),0)+IFERROR(ROUND(VLOOKUP($A45,S275_21,8,FALSE)*VLOOKUP($A45,'3121% SY'!$C$3:$M$324,11,FALSE),3),0)+IFERROR(ROUND(VLOOKUP($A45,S275_21,9,FALSE)*VLOOKUP($A45,'3121% SY'!$C$3:$M$324,11,FALSE),3),0)+IFERROR(ROUND(VLOOKUP($A45,S275_21,10,FALSE)*VLOOKUP($A45,'3121% SY'!$C$3:$M$324,11,FALSE),3),0)+IFERROR(VLOOKUP($A45,S275_09,4,FALSE),0)</f>
        <v>7.6999999999999999E-2</v>
      </c>
      <c r="AG45" s="267">
        <f>IFERROR(VLOOKUP($A45,Supp_35,14,FALSE),0)+IFERROR(SUMPRODUCT(VLOOKUP($A45,S275_01,{11,12,13},FALSE)),0)+IFERROR(SUMPRODUCT(VLOOKUP($A45,S275_97,{11,12,13},FALSE)),0)+IFERROR(ROUND(VLOOKUP($A45,S275_21,11,FALSE)*VLOOKUP($A45,'3121% SY'!$C$3:$M$324,11,FALSE),3),0)+IFERROR(ROUND(VLOOKUP($A45,S275_21,12,FALSE)*VLOOKUP($A45,'3121% SY'!$C$3:$M$324,11,FALSE),3),0)+IFERROR(ROUND(VLOOKUP($A45,S275_21,13,FALSE)*VLOOKUP($A45,'3121% SY'!$C$3:$M$324,11,FALSE),3),0)+IFERROR(VLOOKUP($A45,S275_09,5,FALSE),0)</f>
        <v>0</v>
      </c>
      <c r="AH45" s="165">
        <f t="shared" si="15"/>
        <v>0.21400000000000002</v>
      </c>
      <c r="AI45" s="161">
        <f>IFERROR(VLOOKUP(A45,'Supp Staff Data'!A:ER,148,FALSE),0)+AB45</f>
        <v>0</v>
      </c>
      <c r="AJ45" s="174">
        <v>1</v>
      </c>
      <c r="AK45" s="25">
        <f>VLOOKUP(A45,'Enroll Data as of January 2025'!$A$3:$T$323,20,FALSE)-F45</f>
        <v>0</v>
      </c>
    </row>
    <row r="46" spans="1:37" x14ac:dyDescent="0.25">
      <c r="A46" s="171" t="s">
        <v>91</v>
      </c>
      <c r="B46" t="s">
        <v>387</v>
      </c>
      <c r="C46" s="173" t="s">
        <v>1077</v>
      </c>
      <c r="D46" s="259">
        <f t="shared" si="9"/>
        <v>0.2</v>
      </c>
      <c r="E46" s="259">
        <f t="shared" si="10"/>
        <v>4.5999999999999999E-2</v>
      </c>
      <c r="F46" s="262">
        <f t="shared" si="18"/>
        <v>-0.154</v>
      </c>
      <c r="G46" s="161">
        <f>ROUND(IF(F46&lt;0,F46*'2024-25 PSES Compliance'!$G$13,0),3)</f>
        <v>-0.14799999999999999</v>
      </c>
      <c r="H46" s="161">
        <f>ROUND(IF(F46&lt;0,F46*'2024-25 PSES Compliance'!$G$14,0),3)</f>
        <v>-6.0000000000000001E-3</v>
      </c>
      <c r="I46" s="174">
        <f t="shared" si="11"/>
        <v>0</v>
      </c>
      <c r="J46" s="174">
        <f t="shared" si="12"/>
        <v>0</v>
      </c>
      <c r="K46" s="161">
        <f>VLOOKUP($A46,'Enroll Data as of January 2025'!$A$3:$M$322,6,FALSE)</f>
        <v>9.5000000000000001E-2</v>
      </c>
      <c r="L46" s="161">
        <f>VLOOKUP($A46,'Enroll Data as of January 2025'!$A$3:$M$322,7,FALSE)</f>
        <v>2.7E-2</v>
      </c>
      <c r="M46" s="161">
        <f>VLOOKUP($A46,'Enroll Data as of January 2025'!$A$3:$M$322,8,FALSE)</f>
        <v>8.9999999999999993E-3</v>
      </c>
      <c r="N46" s="161">
        <f>VLOOKUP($A46,'Enroll Data as of January 2025'!$A$3:$M$322,9,FALSE)</f>
        <v>5.4999999999999993E-2</v>
      </c>
      <c r="O46" s="165">
        <f t="shared" si="13"/>
        <v>0.186</v>
      </c>
      <c r="P46" s="161">
        <f>VLOOKUP($A46,'Enroll Data as of January 2025'!$A$3:$M$322,11,FALSE)</f>
        <v>7.0000000000000001E-3</v>
      </c>
      <c r="Q46" s="161">
        <f>VLOOKUP($A46,'Enroll Data as of January 2025'!$A$3:$M$322,12,FALSE)</f>
        <v>7.0000000000000001E-3</v>
      </c>
      <c r="R46" s="165">
        <f t="shared" si="14"/>
        <v>1.4E-2</v>
      </c>
      <c r="S46" s="267">
        <f>IFERROR(VLOOKUP($A46,Supp_39,14,FALSE),0)+IFERROR(SUMPRODUCT(VLOOKUP($A46,S275_01,{14,15,16},FALSE)),0)+IFERROR(SUMPRODUCT(VLOOKUP($A46,S275_97,{14,15,16},FALSE)),0)+IFERROR(ROUND(VLOOKUP($A46,S275_21,14,FALSE)*VLOOKUP($A46,'3121% SY'!$C$3:$M$324,11,FALSE),3),0)+IFERROR(ROUND(VLOOKUP($A46,S275_21,15,FALSE)*VLOOKUP($A46,'3121% SY'!$C$3:$M$324,11,FALSE),3),0)+IFERROR(ROUND(VLOOKUP($A46,S275_21,16,FALSE)*VLOOKUP($A46,'3121% SY'!$C$3:$M$324,11,FALSE),3),0)+IFERROR(VLOOKUP($A46,S275_09,6,FALSE),0)</f>
        <v>0</v>
      </c>
      <c r="T46" s="267">
        <f>IFERROR(VLOOKUP($A46,Supp_42,14,FALSE),0)+IFERROR(SUMPRODUCT(VLOOKUP($A46,S275_01,{17,18,19},FALSE)),0)+IFERROR(SUMPRODUCT(VLOOKUP($A46,S275_97,{17,18,19},FALSE)),0)+IFERROR(ROUND(VLOOKUP($A46,S275_21,17,FALSE)*VLOOKUP($A46,'3121% SY'!$C$3:$M$324,11,FALSE),3),0)+IFERROR(ROUND(VLOOKUP($A46,S275_21,18,FALSE)*VLOOKUP($A46,'3121% SY'!$C$3:$M$324,11,FALSE),3),0)+IFERROR(ROUND(VLOOKUP($A46,S275_21,19,FALSE)*VLOOKUP($A46,'3121% SY'!$C$3:$M$324,11,FALSE),3),0)+IFERROR(VLOOKUP($A46,S275_09,7,FALSE),0)</f>
        <v>0</v>
      </c>
      <c r="U46" s="267">
        <f>IFERROR(VLOOKUP($A46,Supp_43,14,FALSE),0)+IFERROR(SUMPRODUCT(VLOOKUP($A46,S275_01,{20,21,22},FALSE)),0)+IFERROR(SUMPRODUCT(VLOOKUP($A46,S275_97,{20,21,22},FALSE)),0)+IFERROR(ROUND(VLOOKUP($A46,S275_21,20,FALSE)*VLOOKUP($A46,'3121% SY'!$C$3:$M$324,11,FALSE),3),0)+IFERROR(ROUND(VLOOKUP($A46,S275_21,21,FALSE)*VLOOKUP($A46,'3121% SY'!$C$3:$M$324,11,FALSE),3),0)+IFERROR(ROUND(VLOOKUP($A46,S275_21,22,FALSE)*VLOOKUP($A46,'3121% SY'!$C$3:$M$324,11,FALSE),3),0)+IFERROR(VLOOKUP($A46,S275_09,8,FALSE),0)</f>
        <v>0</v>
      </c>
      <c r="V46" s="267">
        <f>IFERROR(VLOOKUP($A46,Supp_44,14,FALSE),0)+IFERROR(SUMPRODUCT(VLOOKUP($A46,S275_01,{23,24,25},FALSE)),0)+IFERROR(SUMPRODUCT(VLOOKUP($A46,S275_97,{23,24,25},FALSE)),0)+IFERROR(ROUND(VLOOKUP($A46,S275_21,23,FALSE)*VLOOKUP($A46,'3121% SY'!$C$3:$M$324,11,FALSE),3),0)+IFERROR(ROUND(VLOOKUP($A46,S275_21,24,FALSE)*VLOOKUP($A46,'3121% SY'!$C$3:$M$324,11,FALSE),3),0)+IFERROR(ROUND(VLOOKUP($A46,S275_21,25,FALSE)*VLOOKUP($A46,'3121% SY'!$C$3:$M$324,11,FALSE),3),0)+IFERROR(VLOOKUP($A46,S275_09,9,FALSE),0)</f>
        <v>0</v>
      </c>
      <c r="W46" s="267">
        <f>IFERROR(VLOOKUP($A46,Supp_45,14,FALSE),0)+IFERROR(SUMPRODUCT(VLOOKUP($A46,S275_01,{26,27,28},FALSE)),0)+IFERROR(SUMPRODUCT(VLOOKUP($A46,S275_97,{26,27,28},FALSE)),0)+IFERROR(ROUND(VLOOKUP($A46,S275_21,26,FALSE)*VLOOKUP($A46,'3121% SY'!$C$3:$M$324,11,FALSE),3),0)+IFERROR(ROUND(VLOOKUP($A46,S275_21,27,FALSE)*VLOOKUP($A46,'3121% SY'!$C$3:$M$324,11,FALSE),3),0)+IFERROR(ROUND(VLOOKUP($A46,S275_21,28,FALSE)*VLOOKUP($A46,'3121% SY'!$C$3:$M$324,11,FALSE),3),0)+IFERROR(VLOOKUP($A46,S275_09,10,FALSE),0)</f>
        <v>0</v>
      </c>
      <c r="X46" s="267">
        <f>IFERROR(VLOOKUP($A46,Supp_46,14,FALSE),0)+IFERROR(SUMPRODUCT(VLOOKUP($A46,S275_01,{29,30,31},FALSE)),0)+IFERROR(SUMPRODUCT(VLOOKUP($A46,S275_97,{29,30,31},FALSE)),0)+IFERROR(ROUND(VLOOKUP($A46,S275_21,29,FALSE)*VLOOKUP($A46,'3121% SY'!$C$3:$M$324,11,FALSE),3),0)+IFERROR(ROUND(VLOOKUP($A46,S275_21,30,FALSE)*VLOOKUP($A46,'3121% SY'!$C$3:$M$324,11,FALSE),3),0)+IFERROR(ROUND(VLOOKUP($A46,S275_21,31,FALSE)*VLOOKUP($A46,'3121% SY'!$C$3:$M$324,11,FALSE),3),0)+IFERROR(VLOOKUP($A46,S275_09,11,FALSE),0)</f>
        <v>0</v>
      </c>
      <c r="Y46" s="267">
        <f>IFERROR(VLOOKUP($A46,Supp_47,14,FALSE),0)+IFERROR(SUMPRODUCT(VLOOKUP($A46,S275_01,{32,33,34},FALSE)),0)+IFERROR(SUMPRODUCT(VLOOKUP($A46,S275_97,{32,33,34},FALSE)),0)+IFERROR(ROUND(VLOOKUP($A46,S275_21,32,FALSE)*VLOOKUP($A46,'3121% SY'!$C$3:$M$324,11,FALSE),3),0)+IFERROR(ROUND(VLOOKUP($A46,S275_21,33,FALSE)*VLOOKUP($A46,'3121% SY'!$C$3:$M$324,11,FALSE),3),0)+IFERROR(ROUND(VLOOKUP($A46,S275_21,34,FALSE)*VLOOKUP($A46,'3121% SY'!$C$3:$M$324,11,FALSE),3),0)+IFERROR(VLOOKUP($A46,S275_09,12,FALSE),0)</f>
        <v>0</v>
      </c>
      <c r="Z46" s="267">
        <f>IFERROR(VLOOKUP($A46,Supp_48,14,FALSE),0)+IFERROR(SUMPRODUCT(VLOOKUP($A46,S275_01,{35,36,37},FALSE)),0)+IFERROR(SUMPRODUCT(VLOOKUP($A46,S275_97,{35,36,37},FALSE)),0)+IFERROR(ROUND(VLOOKUP($A46,S275_21,35,FALSE)*VLOOKUP($A46,'3121% SY'!$C$3:$M$324,11,FALSE),3),0)+IFERROR(ROUND(VLOOKUP($A46,S275_21,36,FALSE)*VLOOKUP($A46,'3121% SY'!$C$3:$M$324,11,FALSE),3),0)+IFERROR(ROUND(VLOOKUP($A46,S275_21,37,FALSE)*VLOOKUP($A46,'3121% SY'!$C$3:$M$324,11,FALSE),3),0)+IFERROR(VLOOKUP($A46,S275_09,13,FALSE),0)</f>
        <v>0</v>
      </c>
      <c r="AA46" s="267">
        <f>IFERROR(VLOOKUP($A46,Supp_49,14,FALSE),0)+IFERROR(SUMPRODUCT(VLOOKUP($A46,S275_01,{38,39,40},FALSE)),0)+IFERROR(SUMPRODUCT(VLOOKUP($A46,S275_97,{38,39,40},FALSE)),0)+IFERROR(ROUND(VLOOKUP($A46,S275_21,38,FALSE)*VLOOKUP($A46,'3121% SY'!$C$3:$M$324,11,FALSE),3),0)+IFERROR(ROUND(VLOOKUP($A46,S275_21,39,FALSE)*VLOOKUP($A46,'3121% SY'!$C$3:$M$324,11,FALSE),3),0)+IFERROR(ROUND(VLOOKUP($A46,S275_21,40,FALSE)*VLOOKUP($A46,'3121% SY'!$C$3:$M$324,11,FALSE),3),0)+IFERROR(VLOOKUP($A46,S275_09,14,FALSE),0)</f>
        <v>0</v>
      </c>
      <c r="AB46" s="267">
        <f>IFERROR(VLOOKUP($A46,Supp_64,14,FALSE),0)+IFERROR(SUMPRODUCT(VLOOKUP($A46,S275_01,{41,42,43},FALSE)),0)+IFERROR(SUMPRODUCT(VLOOKUP($A46,S275_97,{41,42,43},FALSE)),0)+IFERROR(ROUND(VLOOKUP($A46,S275_21,41,FALSE)*VLOOKUP($A46,'3121% SY'!$C$3:$M$324,11,FALSE),3),0)+IFERROR(ROUND(VLOOKUP($A46,S275_21,42,FALSE)*VLOOKUP($A46,'3121% SY'!$C$3:$M$324,11,FALSE),3),0)+IFERROR(ROUND(VLOOKUP($A46,S275_21,43,FALSE)*VLOOKUP($A46,'3121% SY'!$C$3:$M$324,11,FALSE),3),0)+IFERROR(VLOOKUP($A46,S275_09,15,FALSE),0)</f>
        <v>0</v>
      </c>
      <c r="AC46" s="268">
        <f t="shared" si="17"/>
        <v>0</v>
      </c>
      <c r="AD46" s="267">
        <f>IFERROR(VLOOKUP($A46,Supp_24,14,FALSE),0)+IFERROR(SUMPRODUCT(VLOOKUP($A46,S275_01,{2,3,4},FALSE)),0)+IFERROR(SUMPRODUCT(VLOOKUP($A46,S275_97,{2,3,4},FALSE)),0)+IFERROR(ROUND(VLOOKUP($A46,S275_21,2,FALSE)*VLOOKUP($A46,'3121% SY'!$C$3:$M$324,11,FALSE),3),0)+IFERROR(ROUND(VLOOKUP($A46,S275_21,3,FALSE)*VLOOKUP($A46,'3121% SY'!$C$3:$M$324,11,FALSE),3),0)+IFERROR(ROUND(VLOOKUP($A46,S275_21,4,FALSE)*VLOOKUP($A46,'3121% SY'!$C$3:$M$324,11,FALSE),3),0)+IFERROR(VLOOKUP($A46,S275_09,2,FALSE),0)</f>
        <v>0</v>
      </c>
      <c r="AE46" s="267">
        <f>IFERROR(VLOOKUP($A46,Supp_25,14,FALSE),0)+IFERROR(SUMPRODUCT(VLOOKUP($A46,S275_01,{5,6,7},FALSE)),0)+IFERROR(SUMPRODUCT(VLOOKUP($A46,S275_97,{5,6,7},FALSE)),0)+IFERROR(ROUND(VLOOKUP($A46,S275_21,5,FALSE)*VLOOKUP($A46,'3121% SY'!$C$3:$M$324,11,FALSE),3),0)+IFERROR(ROUND(VLOOKUP($A46,S275_21,6,FALSE)*VLOOKUP($A46,'3121% SY'!$C$3:$M$324,11,FALSE),3),0)+IFERROR(ROUND(VLOOKUP($A46,S275_21,7,FALSE)*VLOOKUP($A46,'3121% SY'!$C$3:$M$324,11,FALSE),3),0)+IFERROR(VLOOKUP($A46,S275_09,3,FALSE),0)</f>
        <v>4.5999999999999999E-2</v>
      </c>
      <c r="AF46" s="267">
        <f>IFERROR(VLOOKUP($A46,Supp_26,14,FALSE),0)+IFERROR(SUMPRODUCT(VLOOKUP($A46,S275_01,{8,9,10},FALSE)),0)+IFERROR(SUMPRODUCT(VLOOKUP($A46,S275_97,{8,9,10},FALSE)),0)+IFERROR(ROUND(VLOOKUP($A46,S275_21,8,FALSE)*VLOOKUP($A46,'3121% SY'!$C$3:$M$324,11,FALSE),3),0)+IFERROR(ROUND(VLOOKUP($A46,S275_21,9,FALSE)*VLOOKUP($A46,'3121% SY'!$C$3:$M$324,11,FALSE),3),0)+IFERROR(ROUND(VLOOKUP($A46,S275_21,10,FALSE)*VLOOKUP($A46,'3121% SY'!$C$3:$M$324,11,FALSE),3),0)+IFERROR(VLOOKUP($A46,S275_09,4,FALSE),0)</f>
        <v>0</v>
      </c>
      <c r="AG46" s="267">
        <f>IFERROR(VLOOKUP($A46,Supp_35,14,FALSE),0)+IFERROR(SUMPRODUCT(VLOOKUP($A46,S275_01,{11,12,13},FALSE)),0)+IFERROR(SUMPRODUCT(VLOOKUP($A46,S275_97,{11,12,13},FALSE)),0)+IFERROR(ROUND(VLOOKUP($A46,S275_21,11,FALSE)*VLOOKUP($A46,'3121% SY'!$C$3:$M$324,11,FALSE),3),0)+IFERROR(ROUND(VLOOKUP($A46,S275_21,12,FALSE)*VLOOKUP($A46,'3121% SY'!$C$3:$M$324,11,FALSE),3),0)+IFERROR(ROUND(VLOOKUP($A46,S275_21,13,FALSE)*VLOOKUP($A46,'3121% SY'!$C$3:$M$324,11,FALSE),3),0)+IFERROR(VLOOKUP($A46,S275_09,5,FALSE),0)</f>
        <v>0</v>
      </c>
      <c r="AH46" s="165">
        <f t="shared" si="15"/>
        <v>4.5999999999999999E-2</v>
      </c>
      <c r="AI46" s="161">
        <f>IFERROR(VLOOKUP(A46,'Supp Staff Data'!A:ER,148,FALSE),0)+AB46</f>
        <v>0</v>
      </c>
      <c r="AJ46" s="174">
        <v>0.95</v>
      </c>
      <c r="AK46" s="25">
        <f>VLOOKUP(A46,'Enroll Data as of January 2025'!$A$3:$T$323,20,FALSE)-F46</f>
        <v>0</v>
      </c>
    </row>
    <row r="47" spans="1:37" x14ac:dyDescent="0.25">
      <c r="A47" s="171" t="s">
        <v>82</v>
      </c>
      <c r="B47" t="s">
        <v>378</v>
      </c>
      <c r="C47" s="173" t="s">
        <v>1077</v>
      </c>
      <c r="D47" s="259">
        <f t="shared" si="9"/>
        <v>1.109</v>
      </c>
      <c r="E47" s="259">
        <f t="shared" si="10"/>
        <v>0.81099999999999994</v>
      </c>
      <c r="F47" s="262">
        <f t="shared" si="18"/>
        <v>-0.29799999999999999</v>
      </c>
      <c r="G47" s="161">
        <f>ROUND(IF(F47&lt;0,F47*'2024-25 PSES Compliance'!$G$13,0),3)</f>
        <v>-0.28599999999999998</v>
      </c>
      <c r="H47" s="161">
        <f>ROUND(IF(F47&lt;0,F47*'2024-25 PSES Compliance'!$G$14,0),3)</f>
        <v>-1.2E-2</v>
      </c>
      <c r="I47" s="174">
        <f t="shared" si="11"/>
        <v>0</v>
      </c>
      <c r="J47" s="174">
        <f t="shared" si="12"/>
        <v>0</v>
      </c>
      <c r="K47" s="161">
        <f>VLOOKUP($A47,'Enroll Data as of January 2025'!$A$3:$M$322,6,FALSE)</f>
        <v>0.63400000000000001</v>
      </c>
      <c r="L47" s="161">
        <f>VLOOKUP($A47,'Enroll Data as of January 2025'!$A$3:$M$322,7,FALSE)</f>
        <v>9.7000000000000003E-2</v>
      </c>
      <c r="M47" s="161">
        <f>VLOOKUP($A47,'Enroll Data as of January 2025'!$A$3:$M$322,8,FALSE)</f>
        <v>3.3000000000000002E-2</v>
      </c>
      <c r="N47" s="161">
        <f>VLOOKUP($A47,'Enroll Data as of January 2025'!$A$3:$M$322,9,FALSE)</f>
        <v>0.28500000000000003</v>
      </c>
      <c r="O47" s="165">
        <f t="shared" si="13"/>
        <v>1.0489999999999999</v>
      </c>
      <c r="P47" s="161">
        <f>VLOOKUP($A47,'Enroll Data as of January 2025'!$A$3:$M$322,11,FALSE)</f>
        <v>3.9E-2</v>
      </c>
      <c r="Q47" s="161">
        <f>VLOOKUP($A47,'Enroll Data as of January 2025'!$A$3:$M$322,12,FALSE)</f>
        <v>2.1000000000000001E-2</v>
      </c>
      <c r="R47" s="165">
        <f t="shared" si="14"/>
        <v>0.06</v>
      </c>
      <c r="S47" s="267">
        <f>IFERROR(VLOOKUP($A47,Supp_39,14,FALSE),0)+IFERROR(SUMPRODUCT(VLOOKUP($A47,S275_01,{14,15,16},FALSE)),0)+IFERROR(SUMPRODUCT(VLOOKUP($A47,S275_97,{14,15,16},FALSE)),0)+IFERROR(ROUND(VLOOKUP($A47,S275_21,14,FALSE)*VLOOKUP($A47,'3121% SY'!$C$3:$M$324,11,FALSE),3),0)+IFERROR(ROUND(VLOOKUP($A47,S275_21,15,FALSE)*VLOOKUP($A47,'3121% SY'!$C$3:$M$324,11,FALSE),3),0)+IFERROR(ROUND(VLOOKUP($A47,S275_21,16,FALSE)*VLOOKUP($A47,'3121% SY'!$C$3:$M$324,11,FALSE),3),0)+IFERROR(VLOOKUP($A47,S275_09,6,FALSE),0)</f>
        <v>0.3</v>
      </c>
      <c r="T47" s="267">
        <f>IFERROR(VLOOKUP($A47,Supp_42,14,FALSE),0)+IFERROR(SUMPRODUCT(VLOOKUP($A47,S275_01,{17,18,19},FALSE)),0)+IFERROR(SUMPRODUCT(VLOOKUP($A47,S275_97,{17,18,19},FALSE)),0)+IFERROR(ROUND(VLOOKUP($A47,S275_21,17,FALSE)*VLOOKUP($A47,'3121% SY'!$C$3:$M$324,11,FALSE),3),0)+IFERROR(ROUND(VLOOKUP($A47,S275_21,18,FALSE)*VLOOKUP($A47,'3121% SY'!$C$3:$M$324,11,FALSE),3),0)+IFERROR(ROUND(VLOOKUP($A47,S275_21,19,FALSE)*VLOOKUP($A47,'3121% SY'!$C$3:$M$324,11,FALSE),3),0)+IFERROR(VLOOKUP($A47,S275_09,7,FALSE),0)</f>
        <v>0</v>
      </c>
      <c r="U47" s="267">
        <f>IFERROR(VLOOKUP($A47,Supp_43,14,FALSE),0)+IFERROR(SUMPRODUCT(VLOOKUP($A47,S275_01,{20,21,22},FALSE)),0)+IFERROR(SUMPRODUCT(VLOOKUP($A47,S275_97,{20,21,22},FALSE)),0)+IFERROR(ROUND(VLOOKUP($A47,S275_21,20,FALSE)*VLOOKUP($A47,'3121% SY'!$C$3:$M$324,11,FALSE),3),0)+IFERROR(ROUND(VLOOKUP($A47,S275_21,21,FALSE)*VLOOKUP($A47,'3121% SY'!$C$3:$M$324,11,FALSE),3),0)+IFERROR(ROUND(VLOOKUP($A47,S275_21,22,FALSE)*VLOOKUP($A47,'3121% SY'!$C$3:$M$324,11,FALSE),3),0)+IFERROR(VLOOKUP($A47,S275_09,8,FALSE),0)</f>
        <v>0</v>
      </c>
      <c r="V47" s="267">
        <f>IFERROR(VLOOKUP($A47,Supp_44,14,FALSE),0)+IFERROR(SUMPRODUCT(VLOOKUP($A47,S275_01,{23,24,25},FALSE)),0)+IFERROR(SUMPRODUCT(VLOOKUP($A47,S275_97,{23,24,25},FALSE)),0)+IFERROR(ROUND(VLOOKUP($A47,S275_21,23,FALSE)*VLOOKUP($A47,'3121% SY'!$C$3:$M$324,11,FALSE),3),0)+IFERROR(ROUND(VLOOKUP($A47,S275_21,24,FALSE)*VLOOKUP($A47,'3121% SY'!$C$3:$M$324,11,FALSE),3),0)+IFERROR(ROUND(VLOOKUP($A47,S275_21,25,FALSE)*VLOOKUP($A47,'3121% SY'!$C$3:$M$324,11,FALSE),3),0)+IFERROR(VLOOKUP($A47,S275_09,9,FALSE),0)</f>
        <v>0</v>
      </c>
      <c r="W47" s="267">
        <f>IFERROR(VLOOKUP($A47,Supp_45,14,FALSE),0)+IFERROR(SUMPRODUCT(VLOOKUP($A47,S275_01,{26,27,28},FALSE)),0)+IFERROR(SUMPRODUCT(VLOOKUP($A47,S275_97,{26,27,28},FALSE)),0)+IFERROR(ROUND(VLOOKUP($A47,S275_21,26,FALSE)*VLOOKUP($A47,'3121% SY'!$C$3:$M$324,11,FALSE),3),0)+IFERROR(ROUND(VLOOKUP($A47,S275_21,27,FALSE)*VLOOKUP($A47,'3121% SY'!$C$3:$M$324,11,FALSE),3),0)+IFERROR(ROUND(VLOOKUP($A47,S275_21,28,FALSE)*VLOOKUP($A47,'3121% SY'!$C$3:$M$324,11,FALSE),3),0)+IFERROR(VLOOKUP($A47,S275_09,10,FALSE),0)</f>
        <v>0</v>
      </c>
      <c r="X47" s="267">
        <f>IFERROR(VLOOKUP($A47,Supp_46,14,FALSE),0)+IFERROR(SUMPRODUCT(VLOOKUP($A47,S275_01,{29,30,31},FALSE)),0)+IFERROR(SUMPRODUCT(VLOOKUP($A47,S275_97,{29,30,31},FALSE)),0)+IFERROR(ROUND(VLOOKUP($A47,S275_21,29,FALSE)*VLOOKUP($A47,'3121% SY'!$C$3:$M$324,11,FALSE),3),0)+IFERROR(ROUND(VLOOKUP($A47,S275_21,30,FALSE)*VLOOKUP($A47,'3121% SY'!$C$3:$M$324,11,FALSE),3),0)+IFERROR(ROUND(VLOOKUP($A47,S275_21,31,FALSE)*VLOOKUP($A47,'3121% SY'!$C$3:$M$324,11,FALSE),3),0)+IFERROR(VLOOKUP($A47,S275_09,11,FALSE),0)</f>
        <v>0</v>
      </c>
      <c r="Y47" s="267">
        <f>IFERROR(VLOOKUP($A47,Supp_47,14,FALSE),0)+IFERROR(SUMPRODUCT(VLOOKUP($A47,S275_01,{32,33,34},FALSE)),0)+IFERROR(SUMPRODUCT(VLOOKUP($A47,S275_97,{32,33,34},FALSE)),0)+IFERROR(ROUND(VLOOKUP($A47,S275_21,32,FALSE)*VLOOKUP($A47,'3121% SY'!$C$3:$M$324,11,FALSE),3),0)+IFERROR(ROUND(VLOOKUP($A47,S275_21,33,FALSE)*VLOOKUP($A47,'3121% SY'!$C$3:$M$324,11,FALSE),3),0)+IFERROR(ROUND(VLOOKUP($A47,S275_21,34,FALSE)*VLOOKUP($A47,'3121% SY'!$C$3:$M$324,11,FALSE),3),0)+IFERROR(VLOOKUP($A47,S275_09,12,FALSE),0)</f>
        <v>0</v>
      </c>
      <c r="Z47" s="267">
        <f>IFERROR(VLOOKUP($A47,Supp_48,14,FALSE),0)+IFERROR(SUMPRODUCT(VLOOKUP($A47,S275_01,{35,36,37},FALSE)),0)+IFERROR(SUMPRODUCT(VLOOKUP($A47,S275_97,{35,36,37},FALSE)),0)+IFERROR(ROUND(VLOOKUP($A47,S275_21,35,FALSE)*VLOOKUP($A47,'3121% SY'!$C$3:$M$324,11,FALSE),3),0)+IFERROR(ROUND(VLOOKUP($A47,S275_21,36,FALSE)*VLOOKUP($A47,'3121% SY'!$C$3:$M$324,11,FALSE),3),0)+IFERROR(ROUND(VLOOKUP($A47,S275_21,37,FALSE)*VLOOKUP($A47,'3121% SY'!$C$3:$M$324,11,FALSE),3),0)+IFERROR(VLOOKUP($A47,S275_09,13,FALSE),0)</f>
        <v>0</v>
      </c>
      <c r="AA47" s="267">
        <f>IFERROR(VLOOKUP($A47,Supp_49,14,FALSE),0)+IFERROR(SUMPRODUCT(VLOOKUP($A47,S275_01,{38,39,40},FALSE)),0)+IFERROR(SUMPRODUCT(VLOOKUP($A47,S275_97,{38,39,40},FALSE)),0)+IFERROR(ROUND(VLOOKUP($A47,S275_21,38,FALSE)*VLOOKUP($A47,'3121% SY'!$C$3:$M$324,11,FALSE),3),0)+IFERROR(ROUND(VLOOKUP($A47,S275_21,39,FALSE)*VLOOKUP($A47,'3121% SY'!$C$3:$M$324,11,FALSE),3),0)+IFERROR(ROUND(VLOOKUP($A47,S275_21,40,FALSE)*VLOOKUP($A47,'3121% SY'!$C$3:$M$324,11,FALSE),3),0)+IFERROR(VLOOKUP($A47,S275_09,14,FALSE),0)</f>
        <v>0</v>
      </c>
      <c r="AB47" s="267">
        <f>IFERROR(VLOOKUP($A47,Supp_64,14,FALSE),0)+IFERROR(SUMPRODUCT(VLOOKUP($A47,S275_01,{41,42,43},FALSE)),0)+IFERROR(SUMPRODUCT(VLOOKUP($A47,S275_97,{41,42,43},FALSE)),0)+IFERROR(ROUND(VLOOKUP($A47,S275_21,41,FALSE)*VLOOKUP($A47,'3121% SY'!$C$3:$M$324,11,FALSE),3),0)+IFERROR(ROUND(VLOOKUP($A47,S275_21,42,FALSE)*VLOOKUP($A47,'3121% SY'!$C$3:$M$324,11,FALSE),3),0)+IFERROR(ROUND(VLOOKUP($A47,S275_21,43,FALSE)*VLOOKUP($A47,'3121% SY'!$C$3:$M$324,11,FALSE),3),0)+IFERROR(VLOOKUP($A47,S275_09,15,FALSE),0)</f>
        <v>0</v>
      </c>
      <c r="AC47" s="268">
        <f t="shared" si="17"/>
        <v>0.3</v>
      </c>
      <c r="AD47" s="267">
        <f>IFERROR(VLOOKUP($A47,Supp_24,14,FALSE),0)+IFERROR(SUMPRODUCT(VLOOKUP($A47,S275_01,{2,3,4},FALSE)),0)+IFERROR(SUMPRODUCT(VLOOKUP($A47,S275_97,{2,3,4},FALSE)),0)+IFERROR(ROUND(VLOOKUP($A47,S275_21,2,FALSE)*VLOOKUP($A47,'3121% SY'!$C$3:$M$324,11,FALSE),3),0)+IFERROR(ROUND(VLOOKUP($A47,S275_21,3,FALSE)*VLOOKUP($A47,'3121% SY'!$C$3:$M$324,11,FALSE),3),0)+IFERROR(ROUND(VLOOKUP($A47,S275_21,4,FALSE)*VLOOKUP($A47,'3121% SY'!$C$3:$M$324,11,FALSE),3),0)+IFERROR(VLOOKUP($A47,S275_09,2,FALSE),0)</f>
        <v>0</v>
      </c>
      <c r="AE47" s="267">
        <f>IFERROR(VLOOKUP($A47,Supp_25,14,FALSE),0)+IFERROR(SUMPRODUCT(VLOOKUP($A47,S275_01,{5,6,7},FALSE)),0)+IFERROR(SUMPRODUCT(VLOOKUP($A47,S275_97,{5,6,7},FALSE)),0)+IFERROR(ROUND(VLOOKUP($A47,S275_21,5,FALSE)*VLOOKUP($A47,'3121% SY'!$C$3:$M$324,11,FALSE),3),0)+IFERROR(ROUND(VLOOKUP($A47,S275_21,6,FALSE)*VLOOKUP($A47,'3121% SY'!$C$3:$M$324,11,FALSE),3),0)+IFERROR(ROUND(VLOOKUP($A47,S275_21,7,FALSE)*VLOOKUP($A47,'3121% SY'!$C$3:$M$324,11,FALSE),3),0)+IFERROR(VLOOKUP($A47,S275_09,3,FALSE),0)</f>
        <v>0.51100000000000001</v>
      </c>
      <c r="AF47" s="267">
        <f>IFERROR(VLOOKUP($A47,Supp_26,14,FALSE),0)+IFERROR(SUMPRODUCT(VLOOKUP($A47,S275_01,{8,9,10},FALSE)),0)+IFERROR(SUMPRODUCT(VLOOKUP($A47,S275_97,{8,9,10},FALSE)),0)+IFERROR(ROUND(VLOOKUP($A47,S275_21,8,FALSE)*VLOOKUP($A47,'3121% SY'!$C$3:$M$324,11,FALSE),3),0)+IFERROR(ROUND(VLOOKUP($A47,S275_21,9,FALSE)*VLOOKUP($A47,'3121% SY'!$C$3:$M$324,11,FALSE),3),0)+IFERROR(ROUND(VLOOKUP($A47,S275_21,10,FALSE)*VLOOKUP($A47,'3121% SY'!$C$3:$M$324,11,FALSE),3),0)+IFERROR(VLOOKUP($A47,S275_09,4,FALSE),0)</f>
        <v>0</v>
      </c>
      <c r="AG47" s="267">
        <f>IFERROR(VLOOKUP($A47,Supp_35,14,FALSE),0)+IFERROR(SUMPRODUCT(VLOOKUP($A47,S275_01,{11,12,13},FALSE)),0)+IFERROR(SUMPRODUCT(VLOOKUP($A47,S275_97,{11,12,13},FALSE)),0)+IFERROR(ROUND(VLOOKUP($A47,S275_21,11,FALSE)*VLOOKUP($A47,'3121% SY'!$C$3:$M$324,11,FALSE),3),0)+IFERROR(ROUND(VLOOKUP($A47,S275_21,12,FALSE)*VLOOKUP($A47,'3121% SY'!$C$3:$M$324,11,FALSE),3),0)+IFERROR(ROUND(VLOOKUP($A47,S275_21,13,FALSE)*VLOOKUP($A47,'3121% SY'!$C$3:$M$324,11,FALSE),3),0)+IFERROR(VLOOKUP($A47,S275_09,5,FALSE),0)</f>
        <v>0</v>
      </c>
      <c r="AH47" s="165">
        <f t="shared" si="15"/>
        <v>0.51100000000000001</v>
      </c>
      <c r="AI47" s="161">
        <f>IFERROR(VLOOKUP(A47,'Supp Staff Data'!A:ER,148,FALSE),0)+AB47</f>
        <v>0</v>
      </c>
      <c r="AJ47" s="174">
        <v>0</v>
      </c>
      <c r="AK47" s="25">
        <f>VLOOKUP(A47,'Enroll Data as of January 2025'!$A$3:$T$323,20,FALSE)-F47</f>
        <v>0</v>
      </c>
    </row>
    <row r="48" spans="1:37" x14ac:dyDescent="0.25">
      <c r="A48" s="171" t="s">
        <v>92</v>
      </c>
      <c r="B48" t="s">
        <v>388</v>
      </c>
      <c r="C48" s="173" t="s">
        <v>1077</v>
      </c>
      <c r="D48" s="259">
        <f t="shared" si="9"/>
        <v>0.41400000000000003</v>
      </c>
      <c r="E48" s="259">
        <f t="shared" si="10"/>
        <v>0.30599999999999999</v>
      </c>
      <c r="F48" s="262">
        <f t="shared" si="18"/>
        <v>-0.108</v>
      </c>
      <c r="G48" s="161">
        <f>ROUND(IF(F48&lt;0,F48*'2024-25 PSES Compliance'!$G$13,0),3)</f>
        <v>-0.104</v>
      </c>
      <c r="H48" s="161">
        <f>ROUND(IF(F48&lt;0,F48*'2024-25 PSES Compliance'!$G$14,0),3)</f>
        <v>-4.0000000000000001E-3</v>
      </c>
      <c r="I48" s="174">
        <f t="shared" si="11"/>
        <v>0</v>
      </c>
      <c r="J48" s="174">
        <f t="shared" si="12"/>
        <v>0</v>
      </c>
      <c r="K48" s="161">
        <f>VLOOKUP($A48,'Enroll Data as of January 2025'!$A$3:$M$322,6,FALSE)</f>
        <v>0.21299999999999999</v>
      </c>
      <c r="L48" s="161">
        <f>VLOOKUP($A48,'Enroll Data as of January 2025'!$A$3:$M$322,7,FALSE)</f>
        <v>4.2999999999999997E-2</v>
      </c>
      <c r="M48" s="161">
        <f>VLOOKUP($A48,'Enroll Data as of January 2025'!$A$3:$M$322,8,FALSE)</f>
        <v>1.3999999999999999E-2</v>
      </c>
      <c r="N48" s="161">
        <f>VLOOKUP($A48,'Enroll Data as of January 2025'!$A$3:$M$322,9,FALSE)</f>
        <v>0.11899999999999999</v>
      </c>
      <c r="O48" s="165">
        <f t="shared" si="13"/>
        <v>0.38900000000000001</v>
      </c>
      <c r="P48" s="161">
        <f>VLOOKUP($A48,'Enroll Data as of January 2025'!$A$3:$M$322,11,FALSE)</f>
        <v>1.4999999999999999E-2</v>
      </c>
      <c r="Q48" s="161">
        <f>VLOOKUP($A48,'Enroll Data as of January 2025'!$A$3:$M$322,12,FALSE)</f>
        <v>0.01</v>
      </c>
      <c r="R48" s="165">
        <f t="shared" si="14"/>
        <v>2.5000000000000001E-2</v>
      </c>
      <c r="S48" s="267">
        <f>IFERROR(VLOOKUP($A48,Supp_39,14,FALSE),0)+IFERROR(SUMPRODUCT(VLOOKUP($A48,S275_01,{14,15,16},FALSE)),0)+IFERROR(SUMPRODUCT(VLOOKUP($A48,S275_97,{14,15,16},FALSE)),0)+IFERROR(ROUND(VLOOKUP($A48,S275_21,14,FALSE)*VLOOKUP($A48,'3121% SY'!$C$3:$M$324,11,FALSE),3),0)+IFERROR(ROUND(VLOOKUP($A48,S275_21,15,FALSE)*VLOOKUP($A48,'3121% SY'!$C$3:$M$324,11,FALSE),3),0)+IFERROR(ROUND(VLOOKUP($A48,S275_21,16,FALSE)*VLOOKUP($A48,'3121% SY'!$C$3:$M$324,11,FALSE),3),0)+IFERROR(VLOOKUP($A48,S275_09,6,FALSE),0)</f>
        <v>0</v>
      </c>
      <c r="T48" s="267">
        <f>IFERROR(VLOOKUP($A48,Supp_42,14,FALSE),0)+IFERROR(SUMPRODUCT(VLOOKUP($A48,S275_01,{17,18,19},FALSE)),0)+IFERROR(SUMPRODUCT(VLOOKUP($A48,S275_97,{17,18,19},FALSE)),0)+IFERROR(ROUND(VLOOKUP($A48,S275_21,17,FALSE)*VLOOKUP($A48,'3121% SY'!$C$3:$M$324,11,FALSE),3),0)+IFERROR(ROUND(VLOOKUP($A48,S275_21,18,FALSE)*VLOOKUP($A48,'3121% SY'!$C$3:$M$324,11,FALSE),3),0)+IFERROR(ROUND(VLOOKUP($A48,S275_21,19,FALSE)*VLOOKUP($A48,'3121% SY'!$C$3:$M$324,11,FALSE),3),0)+IFERROR(VLOOKUP($A48,S275_09,7,FALSE),0)</f>
        <v>0</v>
      </c>
      <c r="U48" s="267">
        <f>IFERROR(VLOOKUP($A48,Supp_43,14,FALSE),0)+IFERROR(SUMPRODUCT(VLOOKUP($A48,S275_01,{20,21,22},FALSE)),0)+IFERROR(SUMPRODUCT(VLOOKUP($A48,S275_97,{20,21,22},FALSE)),0)+IFERROR(ROUND(VLOOKUP($A48,S275_21,20,FALSE)*VLOOKUP($A48,'3121% SY'!$C$3:$M$324,11,FALSE),3),0)+IFERROR(ROUND(VLOOKUP($A48,S275_21,21,FALSE)*VLOOKUP($A48,'3121% SY'!$C$3:$M$324,11,FALSE),3),0)+IFERROR(ROUND(VLOOKUP($A48,S275_21,22,FALSE)*VLOOKUP($A48,'3121% SY'!$C$3:$M$324,11,FALSE),3),0)+IFERROR(VLOOKUP($A48,S275_09,8,FALSE),0)</f>
        <v>0</v>
      </c>
      <c r="V48" s="267">
        <f>IFERROR(VLOOKUP($A48,Supp_44,14,FALSE),0)+IFERROR(SUMPRODUCT(VLOOKUP($A48,S275_01,{23,24,25},FALSE)),0)+IFERROR(SUMPRODUCT(VLOOKUP($A48,S275_97,{23,24,25},FALSE)),0)+IFERROR(ROUND(VLOOKUP($A48,S275_21,23,FALSE)*VLOOKUP($A48,'3121% SY'!$C$3:$M$324,11,FALSE),3),0)+IFERROR(ROUND(VLOOKUP($A48,S275_21,24,FALSE)*VLOOKUP($A48,'3121% SY'!$C$3:$M$324,11,FALSE),3),0)+IFERROR(ROUND(VLOOKUP($A48,S275_21,25,FALSE)*VLOOKUP($A48,'3121% SY'!$C$3:$M$324,11,FALSE),3),0)+IFERROR(VLOOKUP($A48,S275_09,9,FALSE),0)</f>
        <v>0</v>
      </c>
      <c r="W48" s="267">
        <f>IFERROR(VLOOKUP($A48,Supp_45,14,FALSE),0)+IFERROR(SUMPRODUCT(VLOOKUP($A48,S275_01,{26,27,28},FALSE)),0)+IFERROR(SUMPRODUCT(VLOOKUP($A48,S275_97,{26,27,28},FALSE)),0)+IFERROR(ROUND(VLOOKUP($A48,S275_21,26,FALSE)*VLOOKUP($A48,'3121% SY'!$C$3:$M$324,11,FALSE),3),0)+IFERROR(ROUND(VLOOKUP($A48,S275_21,27,FALSE)*VLOOKUP($A48,'3121% SY'!$C$3:$M$324,11,FALSE),3),0)+IFERROR(ROUND(VLOOKUP($A48,S275_21,28,FALSE)*VLOOKUP($A48,'3121% SY'!$C$3:$M$324,11,FALSE),3),0)+IFERROR(VLOOKUP($A48,S275_09,10,FALSE),0)</f>
        <v>0</v>
      </c>
      <c r="X48" s="267">
        <f>IFERROR(VLOOKUP($A48,Supp_46,14,FALSE),0)+IFERROR(SUMPRODUCT(VLOOKUP($A48,S275_01,{29,30,31},FALSE)),0)+IFERROR(SUMPRODUCT(VLOOKUP($A48,S275_97,{29,30,31},FALSE)),0)+IFERROR(ROUND(VLOOKUP($A48,S275_21,29,FALSE)*VLOOKUP($A48,'3121% SY'!$C$3:$M$324,11,FALSE),3),0)+IFERROR(ROUND(VLOOKUP($A48,S275_21,30,FALSE)*VLOOKUP($A48,'3121% SY'!$C$3:$M$324,11,FALSE),3),0)+IFERROR(ROUND(VLOOKUP($A48,S275_21,31,FALSE)*VLOOKUP($A48,'3121% SY'!$C$3:$M$324,11,FALSE),3),0)+IFERROR(VLOOKUP($A48,S275_09,11,FALSE),0)</f>
        <v>0</v>
      </c>
      <c r="Y48" s="267">
        <f>IFERROR(VLOOKUP($A48,Supp_47,14,FALSE),0)+IFERROR(SUMPRODUCT(VLOOKUP($A48,S275_01,{32,33,34},FALSE)),0)+IFERROR(SUMPRODUCT(VLOOKUP($A48,S275_97,{32,33,34},FALSE)),0)+IFERROR(ROUND(VLOOKUP($A48,S275_21,32,FALSE)*VLOOKUP($A48,'3121% SY'!$C$3:$M$324,11,FALSE),3),0)+IFERROR(ROUND(VLOOKUP($A48,S275_21,33,FALSE)*VLOOKUP($A48,'3121% SY'!$C$3:$M$324,11,FALSE),3),0)+IFERROR(ROUND(VLOOKUP($A48,S275_21,34,FALSE)*VLOOKUP($A48,'3121% SY'!$C$3:$M$324,11,FALSE),3),0)+IFERROR(VLOOKUP($A48,S275_09,12,FALSE),0)</f>
        <v>0</v>
      </c>
      <c r="Z48" s="267">
        <f>IFERROR(VLOOKUP($A48,Supp_48,14,FALSE),0)+IFERROR(SUMPRODUCT(VLOOKUP($A48,S275_01,{35,36,37},FALSE)),0)+IFERROR(SUMPRODUCT(VLOOKUP($A48,S275_97,{35,36,37},FALSE)),0)+IFERROR(ROUND(VLOOKUP($A48,S275_21,35,FALSE)*VLOOKUP($A48,'3121% SY'!$C$3:$M$324,11,FALSE),3),0)+IFERROR(ROUND(VLOOKUP($A48,S275_21,36,FALSE)*VLOOKUP($A48,'3121% SY'!$C$3:$M$324,11,FALSE),3),0)+IFERROR(ROUND(VLOOKUP($A48,S275_21,37,FALSE)*VLOOKUP($A48,'3121% SY'!$C$3:$M$324,11,FALSE),3),0)+IFERROR(VLOOKUP($A48,S275_09,13,FALSE),0)</f>
        <v>0</v>
      </c>
      <c r="AA48" s="267">
        <f>IFERROR(VLOOKUP($A48,Supp_49,14,FALSE),0)+IFERROR(SUMPRODUCT(VLOOKUP($A48,S275_01,{38,39,40},FALSE)),0)+IFERROR(SUMPRODUCT(VLOOKUP($A48,S275_97,{38,39,40},FALSE)),0)+IFERROR(ROUND(VLOOKUP($A48,S275_21,38,FALSE)*VLOOKUP($A48,'3121% SY'!$C$3:$M$324,11,FALSE),3),0)+IFERROR(ROUND(VLOOKUP($A48,S275_21,39,FALSE)*VLOOKUP($A48,'3121% SY'!$C$3:$M$324,11,FALSE),3),0)+IFERROR(ROUND(VLOOKUP($A48,S275_21,40,FALSE)*VLOOKUP($A48,'3121% SY'!$C$3:$M$324,11,FALSE),3),0)+IFERROR(VLOOKUP($A48,S275_09,14,FALSE),0)</f>
        <v>0</v>
      </c>
      <c r="AB48" s="267">
        <f>IFERROR(VLOOKUP($A48,Supp_64,14,FALSE),0)+IFERROR(SUMPRODUCT(VLOOKUP($A48,S275_01,{41,42,43},FALSE)),0)+IFERROR(SUMPRODUCT(VLOOKUP($A48,S275_97,{41,42,43},FALSE)),0)+IFERROR(ROUND(VLOOKUP($A48,S275_21,41,FALSE)*VLOOKUP($A48,'3121% SY'!$C$3:$M$324,11,FALSE),3),0)+IFERROR(ROUND(VLOOKUP($A48,S275_21,42,FALSE)*VLOOKUP($A48,'3121% SY'!$C$3:$M$324,11,FALSE),3),0)+IFERROR(ROUND(VLOOKUP($A48,S275_21,43,FALSE)*VLOOKUP($A48,'3121% SY'!$C$3:$M$324,11,FALSE),3),0)+IFERROR(VLOOKUP($A48,S275_09,15,FALSE),0)</f>
        <v>0</v>
      </c>
      <c r="AC48" s="268">
        <f t="shared" si="17"/>
        <v>0</v>
      </c>
      <c r="AD48" s="267">
        <f>IFERROR(VLOOKUP($A48,Supp_24,14,FALSE),0)+IFERROR(SUMPRODUCT(VLOOKUP($A48,S275_01,{2,3,4},FALSE)),0)+IFERROR(SUMPRODUCT(VLOOKUP($A48,S275_97,{2,3,4},FALSE)),0)+IFERROR(ROUND(VLOOKUP($A48,S275_21,2,FALSE)*VLOOKUP($A48,'3121% SY'!$C$3:$M$324,11,FALSE),3),0)+IFERROR(ROUND(VLOOKUP($A48,S275_21,3,FALSE)*VLOOKUP($A48,'3121% SY'!$C$3:$M$324,11,FALSE),3),0)+IFERROR(ROUND(VLOOKUP($A48,S275_21,4,FALSE)*VLOOKUP($A48,'3121% SY'!$C$3:$M$324,11,FALSE),3),0)+IFERROR(VLOOKUP($A48,S275_09,2,FALSE),0)</f>
        <v>0</v>
      </c>
      <c r="AE48" s="267">
        <f>IFERROR(VLOOKUP($A48,Supp_25,14,FALSE),0)+IFERROR(SUMPRODUCT(VLOOKUP($A48,S275_01,{5,6,7},FALSE)),0)+IFERROR(SUMPRODUCT(VLOOKUP($A48,S275_97,{5,6,7},FALSE)),0)+IFERROR(ROUND(VLOOKUP($A48,S275_21,5,FALSE)*VLOOKUP($A48,'3121% SY'!$C$3:$M$324,11,FALSE),3),0)+IFERROR(ROUND(VLOOKUP($A48,S275_21,6,FALSE)*VLOOKUP($A48,'3121% SY'!$C$3:$M$324,11,FALSE),3),0)+IFERROR(ROUND(VLOOKUP($A48,S275_21,7,FALSE)*VLOOKUP($A48,'3121% SY'!$C$3:$M$324,11,FALSE),3),0)+IFERROR(VLOOKUP($A48,S275_09,3,FALSE),0)</f>
        <v>0.30499999999999999</v>
      </c>
      <c r="AF48" s="267">
        <f>IFERROR(VLOOKUP($A48,Supp_26,14,FALSE),0)+IFERROR(SUMPRODUCT(VLOOKUP($A48,S275_01,{8,9,10},FALSE)),0)+IFERROR(SUMPRODUCT(VLOOKUP($A48,S275_97,{8,9,10},FALSE)),0)+IFERROR(ROUND(VLOOKUP($A48,S275_21,8,FALSE)*VLOOKUP($A48,'3121% SY'!$C$3:$M$324,11,FALSE),3),0)+IFERROR(ROUND(VLOOKUP($A48,S275_21,9,FALSE)*VLOOKUP($A48,'3121% SY'!$C$3:$M$324,11,FALSE),3),0)+IFERROR(ROUND(VLOOKUP($A48,S275_21,10,FALSE)*VLOOKUP($A48,'3121% SY'!$C$3:$M$324,11,FALSE),3),0)+IFERROR(VLOOKUP($A48,S275_09,4,FALSE),0)</f>
        <v>1E-3</v>
      </c>
      <c r="AG48" s="267">
        <f>IFERROR(VLOOKUP($A48,Supp_35,14,FALSE),0)+IFERROR(SUMPRODUCT(VLOOKUP($A48,S275_01,{11,12,13},FALSE)),0)+IFERROR(SUMPRODUCT(VLOOKUP($A48,S275_97,{11,12,13},FALSE)),0)+IFERROR(ROUND(VLOOKUP($A48,S275_21,11,FALSE)*VLOOKUP($A48,'3121% SY'!$C$3:$M$324,11,FALSE),3),0)+IFERROR(ROUND(VLOOKUP($A48,S275_21,12,FALSE)*VLOOKUP($A48,'3121% SY'!$C$3:$M$324,11,FALSE),3),0)+IFERROR(ROUND(VLOOKUP($A48,S275_21,13,FALSE)*VLOOKUP($A48,'3121% SY'!$C$3:$M$324,11,FALSE),3),0)+IFERROR(VLOOKUP($A48,S275_09,5,FALSE),0)</f>
        <v>0</v>
      </c>
      <c r="AH48" s="165">
        <f t="shared" si="15"/>
        <v>0.30599999999999999</v>
      </c>
      <c r="AI48" s="161">
        <f>IFERROR(VLOOKUP(A48,'Supp Staff Data'!A:ER,148,FALSE),0)+AB48</f>
        <v>0</v>
      </c>
      <c r="AJ48" s="174">
        <v>0</v>
      </c>
      <c r="AK48" s="25">
        <f>VLOOKUP(A48,'Enroll Data as of January 2025'!$A$3:$T$323,20,FALSE)-F48</f>
        <v>0</v>
      </c>
    </row>
    <row r="49" spans="1:37" x14ac:dyDescent="0.25">
      <c r="A49" s="171" t="s">
        <v>21</v>
      </c>
      <c r="B49" t="s">
        <v>318</v>
      </c>
      <c r="C49" s="173" t="s">
        <v>1077</v>
      </c>
      <c r="D49" s="259">
        <f t="shared" si="9"/>
        <v>6.6000000000000003E-2</v>
      </c>
      <c r="E49" s="259">
        <f t="shared" si="10"/>
        <v>0</v>
      </c>
      <c r="F49" s="262">
        <f t="shared" si="18"/>
        <v>-6.6000000000000003E-2</v>
      </c>
      <c r="G49" s="161">
        <f>ROUND(IF(F49&lt;0,F49*'2024-25 PSES Compliance'!$G$13,0),3)</f>
        <v>-6.3E-2</v>
      </c>
      <c r="H49" s="161">
        <f>ROUND(IF(F49&lt;0,F49*'2024-25 PSES Compliance'!$G$14,0),3)</f>
        <v>-3.0000000000000001E-3</v>
      </c>
      <c r="I49" s="174">
        <f t="shared" si="11"/>
        <v>0</v>
      </c>
      <c r="J49" s="174">
        <f t="shared" si="12"/>
        <v>0</v>
      </c>
      <c r="K49" s="161">
        <f>VLOOKUP($A49,'Enroll Data as of January 2025'!$A$3:$M$322,6,FALSE)</f>
        <v>3.4000000000000002E-2</v>
      </c>
      <c r="L49" s="161">
        <f>VLOOKUP($A49,'Enroll Data as of January 2025'!$A$3:$M$322,7,FALSE)</f>
        <v>7.0000000000000001E-3</v>
      </c>
      <c r="M49" s="161">
        <f>VLOOKUP($A49,'Enroll Data as of January 2025'!$A$3:$M$322,8,FALSE)</f>
        <v>2E-3</v>
      </c>
      <c r="N49" s="161">
        <f>VLOOKUP($A49,'Enroll Data as of January 2025'!$A$3:$M$322,9,FALSE)</f>
        <v>1.9E-2</v>
      </c>
      <c r="O49" s="165">
        <f t="shared" si="13"/>
        <v>6.2E-2</v>
      </c>
      <c r="P49" s="161">
        <f>VLOOKUP($A49,'Enroll Data as of January 2025'!$A$3:$M$322,11,FALSE)</f>
        <v>2E-3</v>
      </c>
      <c r="Q49" s="161">
        <f>VLOOKUP($A49,'Enroll Data as of January 2025'!$A$3:$M$322,12,FALSE)</f>
        <v>2E-3</v>
      </c>
      <c r="R49" s="165">
        <f t="shared" si="14"/>
        <v>4.0000000000000001E-3</v>
      </c>
      <c r="S49" s="267">
        <f>IFERROR(VLOOKUP($A49,Supp_39,14,FALSE),0)+IFERROR(SUMPRODUCT(VLOOKUP($A49,S275_01,{14,15,16},FALSE)),0)+IFERROR(SUMPRODUCT(VLOOKUP($A49,S275_97,{14,15,16},FALSE)),0)+IFERROR(ROUND(VLOOKUP($A49,S275_21,14,FALSE)*VLOOKUP($A49,'3121% SY'!$C$3:$M$324,11,FALSE),3),0)+IFERROR(ROUND(VLOOKUP($A49,S275_21,15,FALSE)*VLOOKUP($A49,'3121% SY'!$C$3:$M$324,11,FALSE),3),0)+IFERROR(ROUND(VLOOKUP($A49,S275_21,16,FALSE)*VLOOKUP($A49,'3121% SY'!$C$3:$M$324,11,FALSE),3),0)+IFERROR(VLOOKUP($A49,S275_09,6,FALSE),0)</f>
        <v>0</v>
      </c>
      <c r="T49" s="267">
        <f>IFERROR(VLOOKUP($A49,Supp_42,14,FALSE),0)+IFERROR(SUMPRODUCT(VLOOKUP($A49,S275_01,{17,18,19},FALSE)),0)+IFERROR(SUMPRODUCT(VLOOKUP($A49,S275_97,{17,18,19},FALSE)),0)+IFERROR(ROUND(VLOOKUP($A49,S275_21,17,FALSE)*VLOOKUP($A49,'3121% SY'!$C$3:$M$324,11,FALSE),3),0)+IFERROR(ROUND(VLOOKUP($A49,S275_21,18,FALSE)*VLOOKUP($A49,'3121% SY'!$C$3:$M$324,11,FALSE),3),0)+IFERROR(ROUND(VLOOKUP($A49,S275_21,19,FALSE)*VLOOKUP($A49,'3121% SY'!$C$3:$M$324,11,FALSE),3),0)+IFERROR(VLOOKUP($A49,S275_09,7,FALSE),0)</f>
        <v>0</v>
      </c>
      <c r="U49" s="267">
        <f>IFERROR(VLOOKUP($A49,Supp_43,14,FALSE),0)+IFERROR(SUMPRODUCT(VLOOKUP($A49,S275_01,{20,21,22},FALSE)),0)+IFERROR(SUMPRODUCT(VLOOKUP($A49,S275_97,{20,21,22},FALSE)),0)+IFERROR(ROUND(VLOOKUP($A49,S275_21,20,FALSE)*VLOOKUP($A49,'3121% SY'!$C$3:$M$324,11,FALSE),3),0)+IFERROR(ROUND(VLOOKUP($A49,S275_21,21,FALSE)*VLOOKUP($A49,'3121% SY'!$C$3:$M$324,11,FALSE),3),0)+IFERROR(ROUND(VLOOKUP($A49,S275_21,22,FALSE)*VLOOKUP($A49,'3121% SY'!$C$3:$M$324,11,FALSE),3),0)+IFERROR(VLOOKUP($A49,S275_09,8,FALSE),0)</f>
        <v>0</v>
      </c>
      <c r="V49" s="267">
        <f>IFERROR(VLOOKUP($A49,Supp_44,14,FALSE),0)+IFERROR(SUMPRODUCT(VLOOKUP($A49,S275_01,{23,24,25},FALSE)),0)+IFERROR(SUMPRODUCT(VLOOKUP($A49,S275_97,{23,24,25},FALSE)),0)+IFERROR(ROUND(VLOOKUP($A49,S275_21,23,FALSE)*VLOOKUP($A49,'3121% SY'!$C$3:$M$324,11,FALSE),3),0)+IFERROR(ROUND(VLOOKUP($A49,S275_21,24,FALSE)*VLOOKUP($A49,'3121% SY'!$C$3:$M$324,11,FALSE),3),0)+IFERROR(ROUND(VLOOKUP($A49,S275_21,25,FALSE)*VLOOKUP($A49,'3121% SY'!$C$3:$M$324,11,FALSE),3),0)+IFERROR(VLOOKUP($A49,S275_09,9,FALSE),0)</f>
        <v>0</v>
      </c>
      <c r="W49" s="267">
        <f>IFERROR(VLOOKUP($A49,Supp_45,14,FALSE),0)+IFERROR(SUMPRODUCT(VLOOKUP($A49,S275_01,{26,27,28},FALSE)),0)+IFERROR(SUMPRODUCT(VLOOKUP($A49,S275_97,{26,27,28},FALSE)),0)+IFERROR(ROUND(VLOOKUP($A49,S275_21,26,FALSE)*VLOOKUP($A49,'3121% SY'!$C$3:$M$324,11,FALSE),3),0)+IFERROR(ROUND(VLOOKUP($A49,S275_21,27,FALSE)*VLOOKUP($A49,'3121% SY'!$C$3:$M$324,11,FALSE),3),0)+IFERROR(ROUND(VLOOKUP($A49,S275_21,28,FALSE)*VLOOKUP($A49,'3121% SY'!$C$3:$M$324,11,FALSE),3),0)+IFERROR(VLOOKUP($A49,S275_09,10,FALSE),0)</f>
        <v>0</v>
      </c>
      <c r="X49" s="267">
        <f>IFERROR(VLOOKUP($A49,Supp_46,14,FALSE),0)+IFERROR(SUMPRODUCT(VLOOKUP($A49,S275_01,{29,30,31},FALSE)),0)+IFERROR(SUMPRODUCT(VLOOKUP($A49,S275_97,{29,30,31},FALSE)),0)+IFERROR(ROUND(VLOOKUP($A49,S275_21,29,FALSE)*VLOOKUP($A49,'3121% SY'!$C$3:$M$324,11,FALSE),3),0)+IFERROR(ROUND(VLOOKUP($A49,S275_21,30,FALSE)*VLOOKUP($A49,'3121% SY'!$C$3:$M$324,11,FALSE),3),0)+IFERROR(ROUND(VLOOKUP($A49,S275_21,31,FALSE)*VLOOKUP($A49,'3121% SY'!$C$3:$M$324,11,FALSE),3),0)+IFERROR(VLOOKUP($A49,S275_09,11,FALSE),0)</f>
        <v>0</v>
      </c>
      <c r="Y49" s="267">
        <f>IFERROR(VLOOKUP($A49,Supp_47,14,FALSE),0)+IFERROR(SUMPRODUCT(VLOOKUP($A49,S275_01,{32,33,34},FALSE)),0)+IFERROR(SUMPRODUCT(VLOOKUP($A49,S275_97,{32,33,34},FALSE)),0)+IFERROR(ROUND(VLOOKUP($A49,S275_21,32,FALSE)*VLOOKUP($A49,'3121% SY'!$C$3:$M$324,11,FALSE),3),0)+IFERROR(ROUND(VLOOKUP($A49,S275_21,33,FALSE)*VLOOKUP($A49,'3121% SY'!$C$3:$M$324,11,FALSE),3),0)+IFERROR(ROUND(VLOOKUP($A49,S275_21,34,FALSE)*VLOOKUP($A49,'3121% SY'!$C$3:$M$324,11,FALSE),3),0)+IFERROR(VLOOKUP($A49,S275_09,12,FALSE),0)</f>
        <v>0</v>
      </c>
      <c r="Z49" s="267">
        <f>IFERROR(VLOOKUP($A49,Supp_48,14,FALSE),0)+IFERROR(SUMPRODUCT(VLOOKUP($A49,S275_01,{35,36,37},FALSE)),0)+IFERROR(SUMPRODUCT(VLOOKUP($A49,S275_97,{35,36,37},FALSE)),0)+IFERROR(ROUND(VLOOKUP($A49,S275_21,35,FALSE)*VLOOKUP($A49,'3121% SY'!$C$3:$M$324,11,FALSE),3),0)+IFERROR(ROUND(VLOOKUP($A49,S275_21,36,FALSE)*VLOOKUP($A49,'3121% SY'!$C$3:$M$324,11,FALSE),3),0)+IFERROR(ROUND(VLOOKUP($A49,S275_21,37,FALSE)*VLOOKUP($A49,'3121% SY'!$C$3:$M$324,11,FALSE),3),0)+IFERROR(VLOOKUP($A49,S275_09,13,FALSE),0)</f>
        <v>0</v>
      </c>
      <c r="AA49" s="267">
        <f>IFERROR(VLOOKUP($A49,Supp_49,14,FALSE),0)+IFERROR(SUMPRODUCT(VLOOKUP($A49,S275_01,{38,39,40},FALSE)),0)+IFERROR(SUMPRODUCT(VLOOKUP($A49,S275_97,{38,39,40},FALSE)),0)+IFERROR(ROUND(VLOOKUP($A49,S275_21,38,FALSE)*VLOOKUP($A49,'3121% SY'!$C$3:$M$324,11,FALSE),3),0)+IFERROR(ROUND(VLOOKUP($A49,S275_21,39,FALSE)*VLOOKUP($A49,'3121% SY'!$C$3:$M$324,11,FALSE),3),0)+IFERROR(ROUND(VLOOKUP($A49,S275_21,40,FALSE)*VLOOKUP($A49,'3121% SY'!$C$3:$M$324,11,FALSE),3),0)+IFERROR(VLOOKUP($A49,S275_09,14,FALSE),0)</f>
        <v>0</v>
      </c>
      <c r="AB49" s="267">
        <f>IFERROR(VLOOKUP($A49,Supp_64,14,FALSE),0)+IFERROR(SUMPRODUCT(VLOOKUP($A49,S275_01,{41,42,43},FALSE)),0)+IFERROR(SUMPRODUCT(VLOOKUP($A49,S275_97,{41,42,43},FALSE)),0)+IFERROR(ROUND(VLOOKUP($A49,S275_21,41,FALSE)*VLOOKUP($A49,'3121% SY'!$C$3:$M$324,11,FALSE),3),0)+IFERROR(ROUND(VLOOKUP($A49,S275_21,42,FALSE)*VLOOKUP($A49,'3121% SY'!$C$3:$M$324,11,FALSE),3),0)+IFERROR(ROUND(VLOOKUP($A49,S275_21,43,FALSE)*VLOOKUP($A49,'3121% SY'!$C$3:$M$324,11,FALSE),3),0)+IFERROR(VLOOKUP($A49,S275_09,15,FALSE),0)</f>
        <v>0</v>
      </c>
      <c r="AC49" s="268">
        <f t="shared" si="17"/>
        <v>0</v>
      </c>
      <c r="AD49" s="267">
        <f>IFERROR(VLOOKUP($A49,Supp_24,14,FALSE),0)+IFERROR(SUMPRODUCT(VLOOKUP($A49,S275_01,{2,3,4},FALSE)),0)+IFERROR(SUMPRODUCT(VLOOKUP($A49,S275_97,{2,3,4},FALSE)),0)+IFERROR(ROUND(VLOOKUP($A49,S275_21,2,FALSE)*VLOOKUP($A49,'3121% SY'!$C$3:$M$324,11,FALSE),3),0)+IFERROR(ROUND(VLOOKUP($A49,S275_21,3,FALSE)*VLOOKUP($A49,'3121% SY'!$C$3:$M$324,11,FALSE),3),0)+IFERROR(ROUND(VLOOKUP($A49,S275_21,4,FALSE)*VLOOKUP($A49,'3121% SY'!$C$3:$M$324,11,FALSE),3),0)+IFERROR(VLOOKUP($A49,S275_09,2,FALSE),0)</f>
        <v>0</v>
      </c>
      <c r="AE49" s="267">
        <f>IFERROR(VLOOKUP($A49,Supp_25,14,FALSE),0)+IFERROR(SUMPRODUCT(VLOOKUP($A49,S275_01,{5,6,7},FALSE)),0)+IFERROR(SUMPRODUCT(VLOOKUP($A49,S275_97,{5,6,7},FALSE)),0)+IFERROR(ROUND(VLOOKUP($A49,S275_21,5,FALSE)*VLOOKUP($A49,'3121% SY'!$C$3:$M$324,11,FALSE),3),0)+IFERROR(ROUND(VLOOKUP($A49,S275_21,6,FALSE)*VLOOKUP($A49,'3121% SY'!$C$3:$M$324,11,FALSE),3),0)+IFERROR(ROUND(VLOOKUP($A49,S275_21,7,FALSE)*VLOOKUP($A49,'3121% SY'!$C$3:$M$324,11,FALSE),3),0)+IFERROR(VLOOKUP($A49,S275_09,3,FALSE),0)</f>
        <v>0</v>
      </c>
      <c r="AF49" s="267">
        <f>IFERROR(VLOOKUP($A49,Supp_26,14,FALSE),0)+IFERROR(SUMPRODUCT(VLOOKUP($A49,S275_01,{8,9,10},FALSE)),0)+IFERROR(SUMPRODUCT(VLOOKUP($A49,S275_97,{8,9,10},FALSE)),0)+IFERROR(ROUND(VLOOKUP($A49,S275_21,8,FALSE)*VLOOKUP($A49,'3121% SY'!$C$3:$M$324,11,FALSE),3),0)+IFERROR(ROUND(VLOOKUP($A49,S275_21,9,FALSE)*VLOOKUP($A49,'3121% SY'!$C$3:$M$324,11,FALSE),3),0)+IFERROR(ROUND(VLOOKUP($A49,S275_21,10,FALSE)*VLOOKUP($A49,'3121% SY'!$C$3:$M$324,11,FALSE),3),0)+IFERROR(VLOOKUP($A49,S275_09,4,FALSE),0)</f>
        <v>0</v>
      </c>
      <c r="AG49" s="267">
        <f>IFERROR(VLOOKUP($A49,Supp_35,14,FALSE),0)+IFERROR(SUMPRODUCT(VLOOKUP($A49,S275_01,{11,12,13},FALSE)),0)+IFERROR(SUMPRODUCT(VLOOKUP($A49,S275_97,{11,12,13},FALSE)),0)+IFERROR(ROUND(VLOOKUP($A49,S275_21,11,FALSE)*VLOOKUP($A49,'3121% SY'!$C$3:$M$324,11,FALSE),3),0)+IFERROR(ROUND(VLOOKUP($A49,S275_21,12,FALSE)*VLOOKUP($A49,'3121% SY'!$C$3:$M$324,11,FALSE),3),0)+IFERROR(ROUND(VLOOKUP($A49,S275_21,13,FALSE)*VLOOKUP($A49,'3121% SY'!$C$3:$M$324,11,FALSE),3),0)+IFERROR(VLOOKUP($A49,S275_09,5,FALSE),0)</f>
        <v>0</v>
      </c>
      <c r="AH49" s="165">
        <f t="shared" si="15"/>
        <v>0</v>
      </c>
      <c r="AI49" s="161">
        <f>IFERROR(VLOOKUP(A49,'Supp Staff Data'!A:ER,148,FALSE),0)+AB49</f>
        <v>0</v>
      </c>
      <c r="AJ49" s="174">
        <v>1</v>
      </c>
      <c r="AK49" s="25">
        <f>VLOOKUP(A49,'Enroll Data as of January 2025'!$A$3:$T$323,20,FALSE)-F49</f>
        <v>0</v>
      </c>
    </row>
    <row r="50" spans="1:37" x14ac:dyDescent="0.25">
      <c r="A50" s="171" t="s">
        <v>198</v>
      </c>
      <c r="B50" t="s">
        <v>493</v>
      </c>
      <c r="C50" s="173" t="s">
        <v>1077</v>
      </c>
      <c r="D50" s="259">
        <f t="shared" si="9"/>
        <v>3.8000000000000006E-2</v>
      </c>
      <c r="E50" s="259">
        <f t="shared" si="10"/>
        <v>0</v>
      </c>
      <c r="F50" s="262">
        <f t="shared" si="18"/>
        <v>-3.7999999999999999E-2</v>
      </c>
      <c r="G50" s="161">
        <f>ROUND(IF(F50&lt;0,F50*'2024-25 PSES Compliance'!$G$13,0),3)</f>
        <v>-3.5999999999999997E-2</v>
      </c>
      <c r="H50" s="161">
        <f>ROUND(IF(F50&lt;0,F50*'2024-25 PSES Compliance'!$G$14,0),3)</f>
        <v>-2E-3</v>
      </c>
      <c r="I50" s="174">
        <f t="shared" si="11"/>
        <v>0</v>
      </c>
      <c r="J50" s="174">
        <f t="shared" si="12"/>
        <v>0</v>
      </c>
      <c r="K50" s="161">
        <f>VLOOKUP($A50,'Enroll Data as of January 2025'!$A$3:$M$322,6,FALSE)</f>
        <v>1.7999999999999999E-2</v>
      </c>
      <c r="L50" s="161">
        <f>VLOOKUP($A50,'Enroll Data as of January 2025'!$A$3:$M$322,7,FALSE)</f>
        <v>6.0000000000000001E-3</v>
      </c>
      <c r="M50" s="161">
        <f>VLOOKUP($A50,'Enroll Data as of January 2025'!$A$3:$M$322,8,FALSE)</f>
        <v>2E-3</v>
      </c>
      <c r="N50" s="161">
        <f>VLOOKUP($A50,'Enroll Data as of January 2025'!$A$3:$M$322,9,FALSE)</f>
        <v>0.01</v>
      </c>
      <c r="O50" s="165">
        <f t="shared" si="13"/>
        <v>3.6000000000000004E-2</v>
      </c>
      <c r="P50" s="161">
        <f>VLOOKUP($A50,'Enroll Data as of January 2025'!$A$3:$M$322,11,FALSE)</f>
        <v>1E-3</v>
      </c>
      <c r="Q50" s="161">
        <f>VLOOKUP($A50,'Enroll Data as of January 2025'!$A$3:$M$322,12,FALSE)</f>
        <v>1E-3</v>
      </c>
      <c r="R50" s="165">
        <f t="shared" si="14"/>
        <v>2E-3</v>
      </c>
      <c r="S50" s="267">
        <f>IFERROR(VLOOKUP($A50,Supp_39,14,FALSE),0)+IFERROR(SUMPRODUCT(VLOOKUP($A50,S275_01,{14,15,16},FALSE)),0)+IFERROR(SUMPRODUCT(VLOOKUP($A50,S275_97,{14,15,16},FALSE)),0)+IFERROR(ROUND(VLOOKUP($A50,S275_21,14,FALSE)*VLOOKUP($A50,'3121% SY'!$C$3:$M$324,11,FALSE),3),0)+IFERROR(ROUND(VLOOKUP($A50,S275_21,15,FALSE)*VLOOKUP($A50,'3121% SY'!$C$3:$M$324,11,FALSE),3),0)+IFERROR(ROUND(VLOOKUP($A50,S275_21,16,FALSE)*VLOOKUP($A50,'3121% SY'!$C$3:$M$324,11,FALSE),3),0)+IFERROR(VLOOKUP($A50,S275_09,6,FALSE),0)</f>
        <v>0</v>
      </c>
      <c r="T50" s="267">
        <f>IFERROR(VLOOKUP($A50,Supp_42,14,FALSE),0)+IFERROR(SUMPRODUCT(VLOOKUP($A50,S275_01,{17,18,19},FALSE)),0)+IFERROR(SUMPRODUCT(VLOOKUP($A50,S275_97,{17,18,19},FALSE)),0)+IFERROR(ROUND(VLOOKUP($A50,S275_21,17,FALSE)*VLOOKUP($A50,'3121% SY'!$C$3:$M$324,11,FALSE),3),0)+IFERROR(ROUND(VLOOKUP($A50,S275_21,18,FALSE)*VLOOKUP($A50,'3121% SY'!$C$3:$M$324,11,FALSE),3),0)+IFERROR(ROUND(VLOOKUP($A50,S275_21,19,FALSE)*VLOOKUP($A50,'3121% SY'!$C$3:$M$324,11,FALSE),3),0)+IFERROR(VLOOKUP($A50,S275_09,7,FALSE),0)</f>
        <v>0</v>
      </c>
      <c r="U50" s="267">
        <f>IFERROR(VLOOKUP($A50,Supp_43,14,FALSE),0)+IFERROR(SUMPRODUCT(VLOOKUP($A50,S275_01,{20,21,22},FALSE)),0)+IFERROR(SUMPRODUCT(VLOOKUP($A50,S275_97,{20,21,22},FALSE)),0)+IFERROR(ROUND(VLOOKUP($A50,S275_21,20,FALSE)*VLOOKUP($A50,'3121% SY'!$C$3:$M$324,11,FALSE),3),0)+IFERROR(ROUND(VLOOKUP($A50,S275_21,21,FALSE)*VLOOKUP($A50,'3121% SY'!$C$3:$M$324,11,FALSE),3),0)+IFERROR(ROUND(VLOOKUP($A50,S275_21,22,FALSE)*VLOOKUP($A50,'3121% SY'!$C$3:$M$324,11,FALSE),3),0)+IFERROR(VLOOKUP($A50,S275_09,8,FALSE),0)</f>
        <v>0</v>
      </c>
      <c r="V50" s="267">
        <f>IFERROR(VLOOKUP($A50,Supp_44,14,FALSE),0)+IFERROR(SUMPRODUCT(VLOOKUP($A50,S275_01,{23,24,25},FALSE)),0)+IFERROR(SUMPRODUCT(VLOOKUP($A50,S275_97,{23,24,25},FALSE)),0)+IFERROR(ROUND(VLOOKUP($A50,S275_21,23,FALSE)*VLOOKUP($A50,'3121% SY'!$C$3:$M$324,11,FALSE),3),0)+IFERROR(ROUND(VLOOKUP($A50,S275_21,24,FALSE)*VLOOKUP($A50,'3121% SY'!$C$3:$M$324,11,FALSE),3),0)+IFERROR(ROUND(VLOOKUP($A50,S275_21,25,FALSE)*VLOOKUP($A50,'3121% SY'!$C$3:$M$324,11,FALSE),3),0)+IFERROR(VLOOKUP($A50,S275_09,9,FALSE),0)</f>
        <v>0</v>
      </c>
      <c r="W50" s="267">
        <f>IFERROR(VLOOKUP($A50,Supp_45,14,FALSE),0)+IFERROR(SUMPRODUCT(VLOOKUP($A50,S275_01,{26,27,28},FALSE)),0)+IFERROR(SUMPRODUCT(VLOOKUP($A50,S275_97,{26,27,28},FALSE)),0)+IFERROR(ROUND(VLOOKUP($A50,S275_21,26,FALSE)*VLOOKUP($A50,'3121% SY'!$C$3:$M$324,11,FALSE),3),0)+IFERROR(ROUND(VLOOKUP($A50,S275_21,27,FALSE)*VLOOKUP($A50,'3121% SY'!$C$3:$M$324,11,FALSE),3),0)+IFERROR(ROUND(VLOOKUP($A50,S275_21,28,FALSE)*VLOOKUP($A50,'3121% SY'!$C$3:$M$324,11,FALSE),3),0)+IFERROR(VLOOKUP($A50,S275_09,10,FALSE),0)</f>
        <v>0</v>
      </c>
      <c r="X50" s="267">
        <f>IFERROR(VLOOKUP($A50,Supp_46,14,FALSE),0)+IFERROR(SUMPRODUCT(VLOOKUP($A50,S275_01,{29,30,31},FALSE)),0)+IFERROR(SUMPRODUCT(VLOOKUP($A50,S275_97,{29,30,31},FALSE)),0)+IFERROR(ROUND(VLOOKUP($A50,S275_21,29,FALSE)*VLOOKUP($A50,'3121% SY'!$C$3:$M$324,11,FALSE),3),0)+IFERROR(ROUND(VLOOKUP($A50,S275_21,30,FALSE)*VLOOKUP($A50,'3121% SY'!$C$3:$M$324,11,FALSE),3),0)+IFERROR(ROUND(VLOOKUP($A50,S275_21,31,FALSE)*VLOOKUP($A50,'3121% SY'!$C$3:$M$324,11,FALSE),3),0)+IFERROR(VLOOKUP($A50,S275_09,11,FALSE),0)</f>
        <v>0</v>
      </c>
      <c r="Y50" s="267">
        <f>IFERROR(VLOOKUP($A50,Supp_47,14,FALSE),0)+IFERROR(SUMPRODUCT(VLOOKUP($A50,S275_01,{32,33,34},FALSE)),0)+IFERROR(SUMPRODUCT(VLOOKUP($A50,S275_97,{32,33,34},FALSE)),0)+IFERROR(ROUND(VLOOKUP($A50,S275_21,32,FALSE)*VLOOKUP($A50,'3121% SY'!$C$3:$M$324,11,FALSE),3),0)+IFERROR(ROUND(VLOOKUP($A50,S275_21,33,FALSE)*VLOOKUP($A50,'3121% SY'!$C$3:$M$324,11,FALSE),3),0)+IFERROR(ROUND(VLOOKUP($A50,S275_21,34,FALSE)*VLOOKUP($A50,'3121% SY'!$C$3:$M$324,11,FALSE),3),0)+IFERROR(VLOOKUP($A50,S275_09,12,FALSE),0)</f>
        <v>0</v>
      </c>
      <c r="Z50" s="267">
        <f>IFERROR(VLOOKUP($A50,Supp_48,14,FALSE),0)+IFERROR(SUMPRODUCT(VLOOKUP($A50,S275_01,{35,36,37},FALSE)),0)+IFERROR(SUMPRODUCT(VLOOKUP($A50,S275_97,{35,36,37},FALSE)),0)+IFERROR(ROUND(VLOOKUP($A50,S275_21,35,FALSE)*VLOOKUP($A50,'3121% SY'!$C$3:$M$324,11,FALSE),3),0)+IFERROR(ROUND(VLOOKUP($A50,S275_21,36,FALSE)*VLOOKUP($A50,'3121% SY'!$C$3:$M$324,11,FALSE),3),0)+IFERROR(ROUND(VLOOKUP($A50,S275_21,37,FALSE)*VLOOKUP($A50,'3121% SY'!$C$3:$M$324,11,FALSE),3),0)+IFERROR(VLOOKUP($A50,S275_09,13,FALSE),0)</f>
        <v>0</v>
      </c>
      <c r="AA50" s="267">
        <f>IFERROR(VLOOKUP($A50,Supp_49,14,FALSE),0)+IFERROR(SUMPRODUCT(VLOOKUP($A50,S275_01,{38,39,40},FALSE)),0)+IFERROR(SUMPRODUCT(VLOOKUP($A50,S275_97,{38,39,40},FALSE)),0)+IFERROR(ROUND(VLOOKUP($A50,S275_21,38,FALSE)*VLOOKUP($A50,'3121% SY'!$C$3:$M$324,11,FALSE),3),0)+IFERROR(ROUND(VLOOKUP($A50,S275_21,39,FALSE)*VLOOKUP($A50,'3121% SY'!$C$3:$M$324,11,FALSE),3),0)+IFERROR(ROUND(VLOOKUP($A50,S275_21,40,FALSE)*VLOOKUP($A50,'3121% SY'!$C$3:$M$324,11,FALSE),3),0)+IFERROR(VLOOKUP($A50,S275_09,14,FALSE),0)</f>
        <v>0</v>
      </c>
      <c r="AB50" s="267">
        <f>IFERROR(VLOOKUP($A50,Supp_64,14,FALSE),0)+IFERROR(SUMPRODUCT(VLOOKUP($A50,S275_01,{41,42,43},FALSE)),0)+IFERROR(SUMPRODUCT(VLOOKUP($A50,S275_97,{41,42,43},FALSE)),0)+IFERROR(ROUND(VLOOKUP($A50,S275_21,41,FALSE)*VLOOKUP($A50,'3121% SY'!$C$3:$M$324,11,FALSE),3),0)+IFERROR(ROUND(VLOOKUP($A50,S275_21,42,FALSE)*VLOOKUP($A50,'3121% SY'!$C$3:$M$324,11,FALSE),3),0)+IFERROR(ROUND(VLOOKUP($A50,S275_21,43,FALSE)*VLOOKUP($A50,'3121% SY'!$C$3:$M$324,11,FALSE),3),0)+IFERROR(VLOOKUP($A50,S275_09,15,FALSE),0)</f>
        <v>0</v>
      </c>
      <c r="AC50" s="268">
        <f t="shared" si="17"/>
        <v>0</v>
      </c>
      <c r="AD50" s="267">
        <f>IFERROR(VLOOKUP($A50,Supp_24,14,FALSE),0)+IFERROR(SUMPRODUCT(VLOOKUP($A50,S275_01,{2,3,4},FALSE)),0)+IFERROR(SUMPRODUCT(VLOOKUP($A50,S275_97,{2,3,4},FALSE)),0)+IFERROR(ROUND(VLOOKUP($A50,S275_21,2,FALSE)*VLOOKUP($A50,'3121% SY'!$C$3:$M$324,11,FALSE),3),0)+IFERROR(ROUND(VLOOKUP($A50,S275_21,3,FALSE)*VLOOKUP($A50,'3121% SY'!$C$3:$M$324,11,FALSE),3),0)+IFERROR(ROUND(VLOOKUP($A50,S275_21,4,FALSE)*VLOOKUP($A50,'3121% SY'!$C$3:$M$324,11,FALSE),3),0)+IFERROR(VLOOKUP($A50,S275_09,2,FALSE),0)</f>
        <v>0</v>
      </c>
      <c r="AE50" s="267">
        <f>IFERROR(VLOOKUP($A50,Supp_25,14,FALSE),0)+IFERROR(SUMPRODUCT(VLOOKUP($A50,S275_01,{5,6,7},FALSE)),0)+IFERROR(SUMPRODUCT(VLOOKUP($A50,S275_97,{5,6,7},FALSE)),0)+IFERROR(ROUND(VLOOKUP($A50,S275_21,5,FALSE)*VLOOKUP($A50,'3121% SY'!$C$3:$M$324,11,FALSE),3),0)+IFERROR(ROUND(VLOOKUP($A50,S275_21,6,FALSE)*VLOOKUP($A50,'3121% SY'!$C$3:$M$324,11,FALSE),3),0)+IFERROR(ROUND(VLOOKUP($A50,S275_21,7,FALSE)*VLOOKUP($A50,'3121% SY'!$C$3:$M$324,11,FALSE),3),0)+IFERROR(VLOOKUP($A50,S275_09,3,FALSE),0)</f>
        <v>0</v>
      </c>
      <c r="AF50" s="267">
        <f>IFERROR(VLOOKUP($A50,Supp_26,14,FALSE),0)+IFERROR(SUMPRODUCT(VLOOKUP($A50,S275_01,{8,9,10},FALSE)),0)+IFERROR(SUMPRODUCT(VLOOKUP($A50,S275_97,{8,9,10},FALSE)),0)+IFERROR(ROUND(VLOOKUP($A50,S275_21,8,FALSE)*VLOOKUP($A50,'3121% SY'!$C$3:$M$324,11,FALSE),3),0)+IFERROR(ROUND(VLOOKUP($A50,S275_21,9,FALSE)*VLOOKUP($A50,'3121% SY'!$C$3:$M$324,11,FALSE),3),0)+IFERROR(ROUND(VLOOKUP($A50,S275_21,10,FALSE)*VLOOKUP($A50,'3121% SY'!$C$3:$M$324,11,FALSE),3),0)+IFERROR(VLOOKUP($A50,S275_09,4,FALSE),0)</f>
        <v>0</v>
      </c>
      <c r="AG50" s="267">
        <f>IFERROR(VLOOKUP($A50,Supp_35,14,FALSE),0)+IFERROR(SUMPRODUCT(VLOOKUP($A50,S275_01,{11,12,13},FALSE)),0)+IFERROR(SUMPRODUCT(VLOOKUP($A50,S275_97,{11,12,13},FALSE)),0)+IFERROR(ROUND(VLOOKUP($A50,S275_21,11,FALSE)*VLOOKUP($A50,'3121% SY'!$C$3:$M$324,11,FALSE),3),0)+IFERROR(ROUND(VLOOKUP($A50,S275_21,12,FALSE)*VLOOKUP($A50,'3121% SY'!$C$3:$M$324,11,FALSE),3),0)+IFERROR(ROUND(VLOOKUP($A50,S275_21,13,FALSE)*VLOOKUP($A50,'3121% SY'!$C$3:$M$324,11,FALSE),3),0)+IFERROR(VLOOKUP($A50,S275_09,5,FALSE),0)</f>
        <v>0</v>
      </c>
      <c r="AH50" s="165">
        <f t="shared" si="15"/>
        <v>0</v>
      </c>
      <c r="AI50" s="161">
        <f>IFERROR(VLOOKUP(A50,'Supp Staff Data'!A:ER,148,FALSE),0)+AB50</f>
        <v>0</v>
      </c>
      <c r="AJ50" s="174">
        <v>0</v>
      </c>
      <c r="AK50" s="25">
        <f>VLOOKUP(A50,'Enroll Data as of January 2025'!$A$3:$T$323,20,FALSE)-F50</f>
        <v>0</v>
      </c>
    </row>
    <row r="51" spans="1:37" x14ac:dyDescent="0.25">
      <c r="A51" s="171" t="s">
        <v>62</v>
      </c>
      <c r="B51" t="s">
        <v>358</v>
      </c>
      <c r="C51" s="173" t="s">
        <v>1077</v>
      </c>
      <c r="D51" s="259">
        <f t="shared" si="9"/>
        <v>7.0000000000000007E-2</v>
      </c>
      <c r="E51" s="259">
        <f t="shared" si="10"/>
        <v>0</v>
      </c>
      <c r="F51" s="262">
        <f t="shared" si="18"/>
        <v>-7.0000000000000007E-2</v>
      </c>
      <c r="G51" s="161">
        <f>ROUND(IF(F51&lt;0,F51*'2024-25 PSES Compliance'!$G$13,0),3)</f>
        <v>-6.7000000000000004E-2</v>
      </c>
      <c r="H51" s="161">
        <f>ROUND(IF(F51&lt;0,F51*'2024-25 PSES Compliance'!$G$14,0),3)</f>
        <v>-3.0000000000000001E-3</v>
      </c>
      <c r="I51" s="174">
        <f t="shared" si="11"/>
        <v>0</v>
      </c>
      <c r="J51" s="174">
        <f t="shared" si="12"/>
        <v>0</v>
      </c>
      <c r="K51" s="161">
        <f>VLOOKUP($A51,'Enroll Data as of January 2025'!$A$3:$M$322,6,FALSE)</f>
        <v>3.2000000000000001E-2</v>
      </c>
      <c r="L51" s="161">
        <f>VLOOKUP($A51,'Enroll Data as of January 2025'!$A$3:$M$322,7,FALSE)</f>
        <v>0.01</v>
      </c>
      <c r="M51" s="161">
        <f>VLOOKUP($A51,'Enroll Data as of January 2025'!$A$3:$M$322,8,FALSE)</f>
        <v>3.0000000000000001E-3</v>
      </c>
      <c r="N51" s="161">
        <f>VLOOKUP($A51,'Enroll Data as of January 2025'!$A$3:$M$322,9,FALSE)</f>
        <v>1.9E-2</v>
      </c>
      <c r="O51" s="165">
        <f t="shared" si="13"/>
        <v>6.4000000000000001E-2</v>
      </c>
      <c r="P51" s="161">
        <f>VLOOKUP($A51,'Enroll Data as of January 2025'!$A$3:$M$322,11,FALSE)</f>
        <v>3.0000000000000001E-3</v>
      </c>
      <c r="Q51" s="161">
        <f>VLOOKUP($A51,'Enroll Data as of January 2025'!$A$3:$M$322,12,FALSE)</f>
        <v>3.0000000000000001E-3</v>
      </c>
      <c r="R51" s="165">
        <f t="shared" si="14"/>
        <v>6.0000000000000001E-3</v>
      </c>
      <c r="S51" s="267">
        <f>IFERROR(VLOOKUP($A51,Supp_39,14,FALSE),0)+IFERROR(SUMPRODUCT(VLOOKUP($A51,S275_01,{14,15,16},FALSE)),0)+IFERROR(SUMPRODUCT(VLOOKUP($A51,S275_97,{14,15,16},FALSE)),0)+IFERROR(ROUND(VLOOKUP($A51,S275_21,14,FALSE)*VLOOKUP($A51,'3121% SY'!$C$3:$M$324,11,FALSE),3),0)+IFERROR(ROUND(VLOOKUP($A51,S275_21,15,FALSE)*VLOOKUP($A51,'3121% SY'!$C$3:$M$324,11,FALSE),3),0)+IFERROR(ROUND(VLOOKUP($A51,S275_21,16,FALSE)*VLOOKUP($A51,'3121% SY'!$C$3:$M$324,11,FALSE),3),0)+IFERROR(VLOOKUP($A51,S275_09,6,FALSE),0)</f>
        <v>0</v>
      </c>
      <c r="T51" s="267">
        <f>IFERROR(VLOOKUP($A51,Supp_42,14,FALSE),0)+IFERROR(SUMPRODUCT(VLOOKUP($A51,S275_01,{17,18,19},FALSE)),0)+IFERROR(SUMPRODUCT(VLOOKUP($A51,S275_97,{17,18,19},FALSE)),0)+IFERROR(ROUND(VLOOKUP($A51,S275_21,17,FALSE)*VLOOKUP($A51,'3121% SY'!$C$3:$M$324,11,FALSE),3),0)+IFERROR(ROUND(VLOOKUP($A51,S275_21,18,FALSE)*VLOOKUP($A51,'3121% SY'!$C$3:$M$324,11,FALSE),3),0)+IFERROR(ROUND(VLOOKUP($A51,S275_21,19,FALSE)*VLOOKUP($A51,'3121% SY'!$C$3:$M$324,11,FALSE),3),0)+IFERROR(VLOOKUP($A51,S275_09,7,FALSE),0)</f>
        <v>0</v>
      </c>
      <c r="U51" s="267">
        <f>IFERROR(VLOOKUP($A51,Supp_43,14,FALSE),0)+IFERROR(SUMPRODUCT(VLOOKUP($A51,S275_01,{20,21,22},FALSE)),0)+IFERROR(SUMPRODUCT(VLOOKUP($A51,S275_97,{20,21,22},FALSE)),0)+IFERROR(ROUND(VLOOKUP($A51,S275_21,20,FALSE)*VLOOKUP($A51,'3121% SY'!$C$3:$M$324,11,FALSE),3),0)+IFERROR(ROUND(VLOOKUP($A51,S275_21,21,FALSE)*VLOOKUP($A51,'3121% SY'!$C$3:$M$324,11,FALSE),3),0)+IFERROR(ROUND(VLOOKUP($A51,S275_21,22,FALSE)*VLOOKUP($A51,'3121% SY'!$C$3:$M$324,11,FALSE),3),0)+IFERROR(VLOOKUP($A51,S275_09,8,FALSE),0)</f>
        <v>0</v>
      </c>
      <c r="V51" s="267">
        <f>IFERROR(VLOOKUP($A51,Supp_44,14,FALSE),0)+IFERROR(SUMPRODUCT(VLOOKUP($A51,S275_01,{23,24,25},FALSE)),0)+IFERROR(SUMPRODUCT(VLOOKUP($A51,S275_97,{23,24,25},FALSE)),0)+IFERROR(ROUND(VLOOKUP($A51,S275_21,23,FALSE)*VLOOKUP($A51,'3121% SY'!$C$3:$M$324,11,FALSE),3),0)+IFERROR(ROUND(VLOOKUP($A51,S275_21,24,FALSE)*VLOOKUP($A51,'3121% SY'!$C$3:$M$324,11,FALSE),3),0)+IFERROR(ROUND(VLOOKUP($A51,S275_21,25,FALSE)*VLOOKUP($A51,'3121% SY'!$C$3:$M$324,11,FALSE),3),0)+IFERROR(VLOOKUP($A51,S275_09,9,FALSE),0)</f>
        <v>0</v>
      </c>
      <c r="W51" s="267">
        <f>IFERROR(VLOOKUP($A51,Supp_45,14,FALSE),0)+IFERROR(SUMPRODUCT(VLOOKUP($A51,S275_01,{26,27,28},FALSE)),0)+IFERROR(SUMPRODUCT(VLOOKUP($A51,S275_97,{26,27,28},FALSE)),0)+IFERROR(ROUND(VLOOKUP($A51,S275_21,26,FALSE)*VLOOKUP($A51,'3121% SY'!$C$3:$M$324,11,FALSE),3),0)+IFERROR(ROUND(VLOOKUP($A51,S275_21,27,FALSE)*VLOOKUP($A51,'3121% SY'!$C$3:$M$324,11,FALSE),3),0)+IFERROR(ROUND(VLOOKUP($A51,S275_21,28,FALSE)*VLOOKUP($A51,'3121% SY'!$C$3:$M$324,11,FALSE),3),0)+IFERROR(VLOOKUP($A51,S275_09,10,FALSE),0)</f>
        <v>0</v>
      </c>
      <c r="X51" s="267">
        <f>IFERROR(VLOOKUP($A51,Supp_46,14,FALSE),0)+IFERROR(SUMPRODUCT(VLOOKUP($A51,S275_01,{29,30,31},FALSE)),0)+IFERROR(SUMPRODUCT(VLOOKUP($A51,S275_97,{29,30,31},FALSE)),0)+IFERROR(ROUND(VLOOKUP($A51,S275_21,29,FALSE)*VLOOKUP($A51,'3121% SY'!$C$3:$M$324,11,FALSE),3),0)+IFERROR(ROUND(VLOOKUP($A51,S275_21,30,FALSE)*VLOOKUP($A51,'3121% SY'!$C$3:$M$324,11,FALSE),3),0)+IFERROR(ROUND(VLOOKUP($A51,S275_21,31,FALSE)*VLOOKUP($A51,'3121% SY'!$C$3:$M$324,11,FALSE),3),0)+IFERROR(VLOOKUP($A51,S275_09,11,FALSE),0)</f>
        <v>0</v>
      </c>
      <c r="Y51" s="267">
        <f>IFERROR(VLOOKUP($A51,Supp_47,14,FALSE),0)+IFERROR(SUMPRODUCT(VLOOKUP($A51,S275_01,{32,33,34},FALSE)),0)+IFERROR(SUMPRODUCT(VLOOKUP($A51,S275_97,{32,33,34},FALSE)),0)+IFERROR(ROUND(VLOOKUP($A51,S275_21,32,FALSE)*VLOOKUP($A51,'3121% SY'!$C$3:$M$324,11,FALSE),3),0)+IFERROR(ROUND(VLOOKUP($A51,S275_21,33,FALSE)*VLOOKUP($A51,'3121% SY'!$C$3:$M$324,11,FALSE),3),0)+IFERROR(ROUND(VLOOKUP($A51,S275_21,34,FALSE)*VLOOKUP($A51,'3121% SY'!$C$3:$M$324,11,FALSE),3),0)+IFERROR(VLOOKUP($A51,S275_09,12,FALSE),0)</f>
        <v>0</v>
      </c>
      <c r="Z51" s="267">
        <f>IFERROR(VLOOKUP($A51,Supp_48,14,FALSE),0)+IFERROR(SUMPRODUCT(VLOOKUP($A51,S275_01,{35,36,37},FALSE)),0)+IFERROR(SUMPRODUCT(VLOOKUP($A51,S275_97,{35,36,37},FALSE)),0)+IFERROR(ROUND(VLOOKUP($A51,S275_21,35,FALSE)*VLOOKUP($A51,'3121% SY'!$C$3:$M$324,11,FALSE),3),0)+IFERROR(ROUND(VLOOKUP($A51,S275_21,36,FALSE)*VLOOKUP($A51,'3121% SY'!$C$3:$M$324,11,FALSE),3),0)+IFERROR(ROUND(VLOOKUP($A51,S275_21,37,FALSE)*VLOOKUP($A51,'3121% SY'!$C$3:$M$324,11,FALSE),3),0)+IFERROR(VLOOKUP($A51,S275_09,13,FALSE),0)</f>
        <v>0</v>
      </c>
      <c r="AA51" s="267">
        <f>IFERROR(VLOOKUP($A51,Supp_49,14,FALSE),0)+IFERROR(SUMPRODUCT(VLOOKUP($A51,S275_01,{38,39,40},FALSE)),0)+IFERROR(SUMPRODUCT(VLOOKUP($A51,S275_97,{38,39,40},FALSE)),0)+IFERROR(ROUND(VLOOKUP($A51,S275_21,38,FALSE)*VLOOKUP($A51,'3121% SY'!$C$3:$M$324,11,FALSE),3),0)+IFERROR(ROUND(VLOOKUP($A51,S275_21,39,FALSE)*VLOOKUP($A51,'3121% SY'!$C$3:$M$324,11,FALSE),3),0)+IFERROR(ROUND(VLOOKUP($A51,S275_21,40,FALSE)*VLOOKUP($A51,'3121% SY'!$C$3:$M$324,11,FALSE),3),0)+IFERROR(VLOOKUP($A51,S275_09,14,FALSE),0)</f>
        <v>0</v>
      </c>
      <c r="AB51" s="267">
        <f>IFERROR(VLOOKUP($A51,Supp_64,14,FALSE),0)+IFERROR(SUMPRODUCT(VLOOKUP($A51,S275_01,{41,42,43},FALSE)),0)+IFERROR(SUMPRODUCT(VLOOKUP($A51,S275_97,{41,42,43},FALSE)),0)+IFERROR(ROUND(VLOOKUP($A51,S275_21,41,FALSE)*VLOOKUP($A51,'3121% SY'!$C$3:$M$324,11,FALSE),3),0)+IFERROR(ROUND(VLOOKUP($A51,S275_21,42,FALSE)*VLOOKUP($A51,'3121% SY'!$C$3:$M$324,11,FALSE),3),0)+IFERROR(ROUND(VLOOKUP($A51,S275_21,43,FALSE)*VLOOKUP($A51,'3121% SY'!$C$3:$M$324,11,FALSE),3),0)+IFERROR(VLOOKUP($A51,S275_09,15,FALSE),0)</f>
        <v>0</v>
      </c>
      <c r="AC51" s="268">
        <f t="shared" si="17"/>
        <v>0</v>
      </c>
      <c r="AD51" s="267">
        <f>IFERROR(VLOOKUP($A51,Supp_24,14,FALSE),0)+IFERROR(SUMPRODUCT(VLOOKUP($A51,S275_01,{2,3,4},FALSE)),0)+IFERROR(SUMPRODUCT(VLOOKUP($A51,S275_97,{2,3,4},FALSE)),0)+IFERROR(ROUND(VLOOKUP($A51,S275_21,2,FALSE)*VLOOKUP($A51,'3121% SY'!$C$3:$M$324,11,FALSE),3),0)+IFERROR(ROUND(VLOOKUP($A51,S275_21,3,FALSE)*VLOOKUP($A51,'3121% SY'!$C$3:$M$324,11,FALSE),3),0)+IFERROR(ROUND(VLOOKUP($A51,S275_21,4,FALSE)*VLOOKUP($A51,'3121% SY'!$C$3:$M$324,11,FALSE),3),0)+IFERROR(VLOOKUP($A51,S275_09,2,FALSE),0)</f>
        <v>0</v>
      </c>
      <c r="AE51" s="267">
        <f>IFERROR(VLOOKUP($A51,Supp_25,14,FALSE),0)+IFERROR(SUMPRODUCT(VLOOKUP($A51,S275_01,{5,6,7},FALSE)),0)+IFERROR(SUMPRODUCT(VLOOKUP($A51,S275_97,{5,6,7},FALSE)),0)+IFERROR(ROUND(VLOOKUP($A51,S275_21,5,FALSE)*VLOOKUP($A51,'3121% SY'!$C$3:$M$324,11,FALSE),3),0)+IFERROR(ROUND(VLOOKUP($A51,S275_21,6,FALSE)*VLOOKUP($A51,'3121% SY'!$C$3:$M$324,11,FALSE),3),0)+IFERROR(ROUND(VLOOKUP($A51,S275_21,7,FALSE)*VLOOKUP($A51,'3121% SY'!$C$3:$M$324,11,FALSE),3),0)+IFERROR(VLOOKUP($A51,S275_09,3,FALSE),0)</f>
        <v>0</v>
      </c>
      <c r="AF51" s="267">
        <f>IFERROR(VLOOKUP($A51,Supp_26,14,FALSE),0)+IFERROR(SUMPRODUCT(VLOOKUP($A51,S275_01,{8,9,10},FALSE)),0)+IFERROR(SUMPRODUCT(VLOOKUP($A51,S275_97,{8,9,10},FALSE)),0)+IFERROR(ROUND(VLOOKUP($A51,S275_21,8,FALSE)*VLOOKUP($A51,'3121% SY'!$C$3:$M$324,11,FALSE),3),0)+IFERROR(ROUND(VLOOKUP($A51,S275_21,9,FALSE)*VLOOKUP($A51,'3121% SY'!$C$3:$M$324,11,FALSE),3),0)+IFERROR(ROUND(VLOOKUP($A51,S275_21,10,FALSE)*VLOOKUP($A51,'3121% SY'!$C$3:$M$324,11,FALSE),3),0)+IFERROR(VLOOKUP($A51,S275_09,4,FALSE),0)</f>
        <v>0</v>
      </c>
      <c r="AG51" s="267">
        <f>IFERROR(VLOOKUP($A51,Supp_35,14,FALSE),0)+IFERROR(SUMPRODUCT(VLOOKUP($A51,S275_01,{11,12,13},FALSE)),0)+IFERROR(SUMPRODUCT(VLOOKUP($A51,S275_97,{11,12,13},FALSE)),0)+IFERROR(ROUND(VLOOKUP($A51,S275_21,11,FALSE)*VLOOKUP($A51,'3121% SY'!$C$3:$M$324,11,FALSE),3),0)+IFERROR(ROUND(VLOOKUP($A51,S275_21,12,FALSE)*VLOOKUP($A51,'3121% SY'!$C$3:$M$324,11,FALSE),3),0)+IFERROR(ROUND(VLOOKUP($A51,S275_21,13,FALSE)*VLOOKUP($A51,'3121% SY'!$C$3:$M$324,11,FALSE),3),0)+IFERROR(VLOOKUP($A51,S275_09,5,FALSE),0)</f>
        <v>0</v>
      </c>
      <c r="AH51" s="165">
        <f t="shared" si="15"/>
        <v>0</v>
      </c>
      <c r="AI51" s="161">
        <f>IFERROR(VLOOKUP(A51,'Supp Staff Data'!A:ER,148,FALSE),0)+AB51</f>
        <v>0</v>
      </c>
      <c r="AJ51" s="174">
        <v>1</v>
      </c>
      <c r="AK51" s="25">
        <f>VLOOKUP(A51,'Enroll Data as of January 2025'!$A$3:$T$323,20,FALSE)-F51</f>
        <v>0</v>
      </c>
    </row>
    <row r="52" spans="1:37" x14ac:dyDescent="0.25">
      <c r="A52" s="171" t="s">
        <v>22</v>
      </c>
      <c r="B52" t="s">
        <v>319</v>
      </c>
      <c r="C52" s="173" t="s">
        <v>1077</v>
      </c>
      <c r="D52" s="259">
        <f t="shared" si="9"/>
        <v>2.1520000000000001</v>
      </c>
      <c r="E52" s="259">
        <f t="shared" si="10"/>
        <v>2.3499999999999996</v>
      </c>
      <c r="F52" s="262">
        <f t="shared" si="18"/>
        <v>0.19800000000000001</v>
      </c>
      <c r="G52" s="161">
        <f>ROUND(IF(F52&lt;0,F52*'2024-25 PSES Compliance'!$G$13,0),3)</f>
        <v>0</v>
      </c>
      <c r="H52" s="161">
        <f>ROUND(IF(F52&lt;0,F52*'2024-25 PSES Compliance'!$G$14,0),3)</f>
        <v>0</v>
      </c>
      <c r="I52" s="174">
        <f t="shared" si="11"/>
        <v>0.42553191489361708</v>
      </c>
      <c r="J52" s="174">
        <f t="shared" si="12"/>
        <v>0</v>
      </c>
      <c r="K52" s="161">
        <f>VLOOKUP($A52,'Enroll Data as of January 2025'!$A$3:$M$322,6,FALSE)</f>
        <v>1.1739999999999999</v>
      </c>
      <c r="L52" s="161">
        <f>VLOOKUP($A52,'Enroll Data as of January 2025'!$A$3:$M$322,7,FALSE)</f>
        <v>0.22000000000000003</v>
      </c>
      <c r="M52" s="161">
        <f>VLOOKUP($A52,'Enroll Data as of January 2025'!$A$3:$M$322,8,FALSE)</f>
        <v>7.400000000000001E-2</v>
      </c>
      <c r="N52" s="161">
        <f>VLOOKUP($A52,'Enroll Data as of January 2025'!$A$3:$M$322,9,FALSE)</f>
        <v>0.55600000000000005</v>
      </c>
      <c r="O52" s="165">
        <f t="shared" si="13"/>
        <v>2.024</v>
      </c>
      <c r="P52" s="161">
        <f>VLOOKUP($A52,'Enroll Data as of January 2025'!$A$3:$M$322,11,FALSE)</f>
        <v>7.5999999999999998E-2</v>
      </c>
      <c r="Q52" s="161">
        <f>VLOOKUP($A52,'Enroll Data as of January 2025'!$A$3:$M$322,12,FALSE)</f>
        <v>5.1999999999999998E-2</v>
      </c>
      <c r="R52" s="165">
        <f t="shared" si="14"/>
        <v>0.128</v>
      </c>
      <c r="S52" s="267">
        <f>IFERROR(VLOOKUP($A52,Supp_39,14,FALSE),0)+IFERROR(SUMPRODUCT(VLOOKUP($A52,S275_01,{14,15,16},FALSE)),0)+IFERROR(SUMPRODUCT(VLOOKUP($A52,S275_97,{14,15,16},FALSE)),0)+IFERROR(ROUND(VLOOKUP($A52,S275_21,14,FALSE)*VLOOKUP($A52,'3121% SY'!$C$3:$M$324,11,FALSE),3),0)+IFERROR(ROUND(VLOOKUP($A52,S275_21,15,FALSE)*VLOOKUP($A52,'3121% SY'!$C$3:$M$324,11,FALSE),3),0)+IFERROR(ROUND(VLOOKUP($A52,S275_21,16,FALSE)*VLOOKUP($A52,'3121% SY'!$C$3:$M$324,11,FALSE),3),0)+IFERROR(VLOOKUP($A52,S275_09,6,FALSE),0)</f>
        <v>0.8</v>
      </c>
      <c r="T52" s="267">
        <f>IFERROR(VLOOKUP($A52,Supp_42,14,FALSE),0)+IFERROR(SUMPRODUCT(VLOOKUP($A52,S275_01,{17,18,19},FALSE)),0)+IFERROR(SUMPRODUCT(VLOOKUP($A52,S275_97,{17,18,19},FALSE)),0)+IFERROR(ROUND(VLOOKUP($A52,S275_21,17,FALSE)*VLOOKUP($A52,'3121% SY'!$C$3:$M$324,11,FALSE),3),0)+IFERROR(ROUND(VLOOKUP($A52,S275_21,18,FALSE)*VLOOKUP($A52,'3121% SY'!$C$3:$M$324,11,FALSE),3),0)+IFERROR(ROUND(VLOOKUP($A52,S275_21,19,FALSE)*VLOOKUP($A52,'3121% SY'!$C$3:$M$324,11,FALSE),3),0)+IFERROR(VLOOKUP($A52,S275_09,7,FALSE),0)</f>
        <v>0.2</v>
      </c>
      <c r="U52" s="267">
        <f>IFERROR(VLOOKUP($A52,Supp_43,14,FALSE),0)+IFERROR(SUMPRODUCT(VLOOKUP($A52,S275_01,{20,21,22},FALSE)),0)+IFERROR(SUMPRODUCT(VLOOKUP($A52,S275_97,{20,21,22},FALSE)),0)+IFERROR(ROUND(VLOOKUP($A52,S275_21,20,FALSE)*VLOOKUP($A52,'3121% SY'!$C$3:$M$324,11,FALSE),3),0)+IFERROR(ROUND(VLOOKUP($A52,S275_21,21,FALSE)*VLOOKUP($A52,'3121% SY'!$C$3:$M$324,11,FALSE),3),0)+IFERROR(ROUND(VLOOKUP($A52,S275_21,22,FALSE)*VLOOKUP($A52,'3121% SY'!$C$3:$M$324,11,FALSE),3),0)+IFERROR(VLOOKUP($A52,S275_09,8,FALSE),0)</f>
        <v>0</v>
      </c>
      <c r="V52" s="267">
        <f>IFERROR(VLOOKUP($A52,Supp_44,14,FALSE),0)+IFERROR(SUMPRODUCT(VLOOKUP($A52,S275_01,{23,24,25},FALSE)),0)+IFERROR(SUMPRODUCT(VLOOKUP($A52,S275_97,{23,24,25},FALSE)),0)+IFERROR(ROUND(VLOOKUP($A52,S275_21,23,FALSE)*VLOOKUP($A52,'3121% SY'!$C$3:$M$324,11,FALSE),3),0)+IFERROR(ROUND(VLOOKUP($A52,S275_21,24,FALSE)*VLOOKUP($A52,'3121% SY'!$C$3:$M$324,11,FALSE),3),0)+IFERROR(ROUND(VLOOKUP($A52,S275_21,25,FALSE)*VLOOKUP($A52,'3121% SY'!$C$3:$M$324,11,FALSE),3),0)+IFERROR(VLOOKUP($A52,S275_09,9,FALSE),0)</f>
        <v>0</v>
      </c>
      <c r="W52" s="267">
        <f>IFERROR(VLOOKUP($A52,Supp_45,14,FALSE),0)+IFERROR(SUMPRODUCT(VLOOKUP($A52,S275_01,{26,27,28},FALSE)),0)+IFERROR(SUMPRODUCT(VLOOKUP($A52,S275_97,{26,27,28},FALSE)),0)+IFERROR(ROUND(VLOOKUP($A52,S275_21,26,FALSE)*VLOOKUP($A52,'3121% SY'!$C$3:$M$324,11,FALSE),3),0)+IFERROR(ROUND(VLOOKUP($A52,S275_21,27,FALSE)*VLOOKUP($A52,'3121% SY'!$C$3:$M$324,11,FALSE),3),0)+IFERROR(ROUND(VLOOKUP($A52,S275_21,28,FALSE)*VLOOKUP($A52,'3121% SY'!$C$3:$M$324,11,FALSE),3),0)+IFERROR(VLOOKUP($A52,S275_09,10,FALSE),0)</f>
        <v>0</v>
      </c>
      <c r="X52" s="267">
        <f>IFERROR(VLOOKUP($A52,Supp_46,14,FALSE),0)+IFERROR(SUMPRODUCT(VLOOKUP($A52,S275_01,{29,30,31},FALSE)),0)+IFERROR(SUMPRODUCT(VLOOKUP($A52,S275_97,{29,30,31},FALSE)),0)+IFERROR(ROUND(VLOOKUP($A52,S275_21,29,FALSE)*VLOOKUP($A52,'3121% SY'!$C$3:$M$324,11,FALSE),3),0)+IFERROR(ROUND(VLOOKUP($A52,S275_21,30,FALSE)*VLOOKUP($A52,'3121% SY'!$C$3:$M$324,11,FALSE),3),0)+IFERROR(ROUND(VLOOKUP($A52,S275_21,31,FALSE)*VLOOKUP($A52,'3121% SY'!$C$3:$M$324,11,FALSE),3),0)+IFERROR(VLOOKUP($A52,S275_09,11,FALSE),0)</f>
        <v>0</v>
      </c>
      <c r="Y52" s="267">
        <f>IFERROR(VLOOKUP($A52,Supp_47,14,FALSE),0)+IFERROR(SUMPRODUCT(VLOOKUP($A52,S275_01,{32,33,34},FALSE)),0)+IFERROR(SUMPRODUCT(VLOOKUP($A52,S275_97,{32,33,34},FALSE)),0)+IFERROR(ROUND(VLOOKUP($A52,S275_21,32,FALSE)*VLOOKUP($A52,'3121% SY'!$C$3:$M$324,11,FALSE),3),0)+IFERROR(ROUND(VLOOKUP($A52,S275_21,33,FALSE)*VLOOKUP($A52,'3121% SY'!$C$3:$M$324,11,FALSE),3),0)+IFERROR(ROUND(VLOOKUP($A52,S275_21,34,FALSE)*VLOOKUP($A52,'3121% SY'!$C$3:$M$324,11,FALSE),3),0)+IFERROR(VLOOKUP($A52,S275_09,12,FALSE),0)</f>
        <v>0</v>
      </c>
      <c r="Z52" s="267">
        <f>IFERROR(VLOOKUP($A52,Supp_48,14,FALSE),0)+IFERROR(SUMPRODUCT(VLOOKUP($A52,S275_01,{35,36,37},FALSE)),0)+IFERROR(SUMPRODUCT(VLOOKUP($A52,S275_97,{35,36,37},FALSE)),0)+IFERROR(ROUND(VLOOKUP($A52,S275_21,35,FALSE)*VLOOKUP($A52,'3121% SY'!$C$3:$M$324,11,FALSE),3),0)+IFERROR(ROUND(VLOOKUP($A52,S275_21,36,FALSE)*VLOOKUP($A52,'3121% SY'!$C$3:$M$324,11,FALSE),3),0)+IFERROR(ROUND(VLOOKUP($A52,S275_21,37,FALSE)*VLOOKUP($A52,'3121% SY'!$C$3:$M$324,11,FALSE),3),0)+IFERROR(VLOOKUP($A52,S275_09,13,FALSE),0)</f>
        <v>0</v>
      </c>
      <c r="AA52" s="267">
        <f>IFERROR(VLOOKUP($A52,Supp_49,14,FALSE),0)+IFERROR(SUMPRODUCT(VLOOKUP($A52,S275_01,{38,39,40},FALSE)),0)+IFERROR(SUMPRODUCT(VLOOKUP($A52,S275_97,{38,39,40},FALSE)),0)+IFERROR(ROUND(VLOOKUP($A52,S275_21,38,FALSE)*VLOOKUP($A52,'3121% SY'!$C$3:$M$324,11,FALSE),3),0)+IFERROR(ROUND(VLOOKUP($A52,S275_21,39,FALSE)*VLOOKUP($A52,'3121% SY'!$C$3:$M$324,11,FALSE),3),0)+IFERROR(ROUND(VLOOKUP($A52,S275_21,40,FALSE)*VLOOKUP($A52,'3121% SY'!$C$3:$M$324,11,FALSE),3),0)+IFERROR(VLOOKUP($A52,S275_09,14,FALSE),0)</f>
        <v>0</v>
      </c>
      <c r="AB52" s="267">
        <f>IFERROR(VLOOKUP($A52,Supp_64,14,FALSE),0)+IFERROR(SUMPRODUCT(VLOOKUP($A52,S275_01,{41,42,43},FALSE)),0)+IFERROR(SUMPRODUCT(VLOOKUP($A52,S275_97,{41,42,43},FALSE)),0)+IFERROR(ROUND(VLOOKUP($A52,S275_21,41,FALSE)*VLOOKUP($A52,'3121% SY'!$C$3:$M$324,11,FALSE),3),0)+IFERROR(ROUND(VLOOKUP($A52,S275_21,42,FALSE)*VLOOKUP($A52,'3121% SY'!$C$3:$M$324,11,FALSE),3),0)+IFERROR(ROUND(VLOOKUP($A52,S275_21,43,FALSE)*VLOOKUP($A52,'3121% SY'!$C$3:$M$324,11,FALSE),3),0)+IFERROR(VLOOKUP($A52,S275_09,15,FALSE),0)</f>
        <v>0</v>
      </c>
      <c r="AC52" s="268">
        <f t="shared" si="17"/>
        <v>1</v>
      </c>
      <c r="AD52" s="267">
        <f>IFERROR(VLOOKUP($A52,Supp_24,14,FALSE),0)+IFERROR(SUMPRODUCT(VLOOKUP($A52,S275_01,{2,3,4},FALSE)),0)+IFERROR(SUMPRODUCT(VLOOKUP($A52,S275_97,{2,3,4},FALSE)),0)+IFERROR(ROUND(VLOOKUP($A52,S275_21,2,FALSE)*VLOOKUP($A52,'3121% SY'!$C$3:$M$324,11,FALSE),3),0)+IFERROR(ROUND(VLOOKUP($A52,S275_21,3,FALSE)*VLOOKUP($A52,'3121% SY'!$C$3:$M$324,11,FALSE),3),0)+IFERROR(ROUND(VLOOKUP($A52,S275_21,4,FALSE)*VLOOKUP($A52,'3121% SY'!$C$3:$M$324,11,FALSE),3),0)+IFERROR(VLOOKUP($A52,S275_09,2,FALSE),0)</f>
        <v>0</v>
      </c>
      <c r="AE52" s="267">
        <f>IFERROR(VLOOKUP($A52,Supp_25,14,FALSE),0)+IFERROR(SUMPRODUCT(VLOOKUP($A52,S275_01,{5,6,7},FALSE)),0)+IFERROR(SUMPRODUCT(VLOOKUP($A52,S275_97,{5,6,7},FALSE)),0)+IFERROR(ROUND(VLOOKUP($A52,S275_21,5,FALSE)*VLOOKUP($A52,'3121% SY'!$C$3:$M$324,11,FALSE),3),0)+IFERROR(ROUND(VLOOKUP($A52,S275_21,6,FALSE)*VLOOKUP($A52,'3121% SY'!$C$3:$M$324,11,FALSE),3),0)+IFERROR(ROUND(VLOOKUP($A52,S275_21,7,FALSE)*VLOOKUP($A52,'3121% SY'!$C$3:$M$324,11,FALSE),3),0)+IFERROR(VLOOKUP($A52,S275_09,3,FALSE),0)</f>
        <v>1.3499999999999999</v>
      </c>
      <c r="AF52" s="267">
        <f>IFERROR(VLOOKUP($A52,Supp_26,14,FALSE),0)+IFERROR(SUMPRODUCT(VLOOKUP($A52,S275_01,{8,9,10},FALSE)),0)+IFERROR(SUMPRODUCT(VLOOKUP($A52,S275_97,{8,9,10},FALSE)),0)+IFERROR(ROUND(VLOOKUP($A52,S275_21,8,FALSE)*VLOOKUP($A52,'3121% SY'!$C$3:$M$324,11,FALSE),3),0)+IFERROR(ROUND(VLOOKUP($A52,S275_21,9,FALSE)*VLOOKUP($A52,'3121% SY'!$C$3:$M$324,11,FALSE),3),0)+IFERROR(ROUND(VLOOKUP($A52,S275_21,10,FALSE)*VLOOKUP($A52,'3121% SY'!$C$3:$M$324,11,FALSE),3),0)+IFERROR(VLOOKUP($A52,S275_09,4,FALSE),0)</f>
        <v>0</v>
      </c>
      <c r="AG52" s="267">
        <f>IFERROR(VLOOKUP($A52,Supp_35,14,FALSE),0)+IFERROR(SUMPRODUCT(VLOOKUP($A52,S275_01,{11,12,13},FALSE)),0)+IFERROR(SUMPRODUCT(VLOOKUP($A52,S275_97,{11,12,13},FALSE)),0)+IFERROR(ROUND(VLOOKUP($A52,S275_21,11,FALSE)*VLOOKUP($A52,'3121% SY'!$C$3:$M$324,11,FALSE),3),0)+IFERROR(ROUND(VLOOKUP($A52,S275_21,12,FALSE)*VLOOKUP($A52,'3121% SY'!$C$3:$M$324,11,FALSE),3),0)+IFERROR(ROUND(VLOOKUP($A52,S275_21,13,FALSE)*VLOOKUP($A52,'3121% SY'!$C$3:$M$324,11,FALSE),3),0)+IFERROR(VLOOKUP($A52,S275_09,5,FALSE),0)</f>
        <v>0</v>
      </c>
      <c r="AH52" s="165">
        <f t="shared" si="15"/>
        <v>1.3499999999999999</v>
      </c>
      <c r="AI52" s="161">
        <f>IFERROR(VLOOKUP(A52,'Supp Staff Data'!A:ER,148,FALSE),0)+AB52</f>
        <v>0</v>
      </c>
      <c r="AJ52" s="174">
        <v>1</v>
      </c>
      <c r="AK52" s="25">
        <f>VLOOKUP(A52,'Enroll Data as of January 2025'!$A$3:$T$323,20,FALSE)-F52</f>
        <v>0</v>
      </c>
    </row>
    <row r="53" spans="1:37" x14ac:dyDescent="0.25">
      <c r="A53" s="171" t="s">
        <v>134</v>
      </c>
      <c r="B53" t="s">
        <v>430</v>
      </c>
      <c r="C53" s="173" t="s">
        <v>1077</v>
      </c>
      <c r="D53" s="259">
        <f t="shared" si="9"/>
        <v>0.13500000000000001</v>
      </c>
      <c r="E53" s="259">
        <f t="shared" si="10"/>
        <v>7.3999999999999996E-2</v>
      </c>
      <c r="F53" s="262">
        <f t="shared" si="18"/>
        <v>-6.0999999999999999E-2</v>
      </c>
      <c r="G53" s="161">
        <f>ROUND(IF(F53&lt;0,F53*'2024-25 PSES Compliance'!$G$13,0),3)</f>
        <v>-5.8999999999999997E-2</v>
      </c>
      <c r="H53" s="161">
        <f>ROUND(IF(F53&lt;0,F53*'2024-25 PSES Compliance'!$G$14,0),3)</f>
        <v>-2E-3</v>
      </c>
      <c r="I53" s="174">
        <f t="shared" si="11"/>
        <v>0</v>
      </c>
      <c r="J53" s="174">
        <f t="shared" si="12"/>
        <v>0</v>
      </c>
      <c r="K53" s="161">
        <f>VLOOKUP($A53,'Enroll Data as of January 2025'!$A$3:$M$322,6,FALSE)</f>
        <v>6.2E-2</v>
      </c>
      <c r="L53" s="161">
        <f>VLOOKUP($A53,'Enroll Data as of January 2025'!$A$3:$M$322,7,FALSE)</f>
        <v>1.9E-2</v>
      </c>
      <c r="M53" s="161">
        <f>VLOOKUP($A53,'Enroll Data as of January 2025'!$A$3:$M$322,8,FALSE)</f>
        <v>7.0000000000000001E-3</v>
      </c>
      <c r="N53" s="161">
        <f>VLOOKUP($A53,'Enroll Data as of January 2025'!$A$3:$M$322,9,FALSE)</f>
        <v>3.6999999999999998E-2</v>
      </c>
      <c r="O53" s="165">
        <f t="shared" si="13"/>
        <v>0.125</v>
      </c>
      <c r="P53" s="161">
        <f>VLOOKUP($A53,'Enroll Data as of January 2025'!$A$3:$M$322,11,FALSE)</f>
        <v>5.0000000000000001E-3</v>
      </c>
      <c r="Q53" s="161">
        <f>VLOOKUP($A53,'Enroll Data as of January 2025'!$A$3:$M$322,12,FALSE)</f>
        <v>5.0000000000000001E-3</v>
      </c>
      <c r="R53" s="165">
        <f t="shared" si="14"/>
        <v>0.01</v>
      </c>
      <c r="S53" s="267">
        <f>IFERROR(VLOOKUP($A53,Supp_39,14,FALSE),0)+IFERROR(SUMPRODUCT(VLOOKUP($A53,S275_01,{14,15,16},FALSE)),0)+IFERROR(SUMPRODUCT(VLOOKUP($A53,S275_97,{14,15,16},FALSE)),0)+IFERROR(ROUND(VLOOKUP($A53,S275_21,14,FALSE)*VLOOKUP($A53,'3121% SY'!$C$3:$M$324,11,FALSE),3),0)+IFERROR(ROUND(VLOOKUP($A53,S275_21,15,FALSE)*VLOOKUP($A53,'3121% SY'!$C$3:$M$324,11,FALSE),3),0)+IFERROR(ROUND(VLOOKUP($A53,S275_21,16,FALSE)*VLOOKUP($A53,'3121% SY'!$C$3:$M$324,11,FALSE),3),0)+IFERROR(VLOOKUP($A53,S275_09,6,FALSE),0)</f>
        <v>0</v>
      </c>
      <c r="T53" s="267">
        <f>IFERROR(VLOOKUP($A53,Supp_42,14,FALSE),0)+IFERROR(SUMPRODUCT(VLOOKUP($A53,S275_01,{17,18,19},FALSE)),0)+IFERROR(SUMPRODUCT(VLOOKUP($A53,S275_97,{17,18,19},FALSE)),0)+IFERROR(ROUND(VLOOKUP($A53,S275_21,17,FALSE)*VLOOKUP($A53,'3121% SY'!$C$3:$M$324,11,FALSE),3),0)+IFERROR(ROUND(VLOOKUP($A53,S275_21,18,FALSE)*VLOOKUP($A53,'3121% SY'!$C$3:$M$324,11,FALSE),3),0)+IFERROR(ROUND(VLOOKUP($A53,S275_21,19,FALSE)*VLOOKUP($A53,'3121% SY'!$C$3:$M$324,11,FALSE),3),0)+IFERROR(VLOOKUP($A53,S275_09,7,FALSE),0)</f>
        <v>0</v>
      </c>
      <c r="U53" s="267">
        <f>IFERROR(VLOOKUP($A53,Supp_43,14,FALSE),0)+IFERROR(SUMPRODUCT(VLOOKUP($A53,S275_01,{20,21,22},FALSE)),0)+IFERROR(SUMPRODUCT(VLOOKUP($A53,S275_97,{20,21,22},FALSE)),0)+IFERROR(ROUND(VLOOKUP($A53,S275_21,20,FALSE)*VLOOKUP($A53,'3121% SY'!$C$3:$M$324,11,FALSE),3),0)+IFERROR(ROUND(VLOOKUP($A53,S275_21,21,FALSE)*VLOOKUP($A53,'3121% SY'!$C$3:$M$324,11,FALSE),3),0)+IFERROR(ROUND(VLOOKUP($A53,S275_21,22,FALSE)*VLOOKUP($A53,'3121% SY'!$C$3:$M$324,11,FALSE),3),0)+IFERROR(VLOOKUP($A53,S275_09,8,FALSE),0)</f>
        <v>0</v>
      </c>
      <c r="V53" s="267">
        <f>IFERROR(VLOOKUP($A53,Supp_44,14,FALSE),0)+IFERROR(SUMPRODUCT(VLOOKUP($A53,S275_01,{23,24,25},FALSE)),0)+IFERROR(SUMPRODUCT(VLOOKUP($A53,S275_97,{23,24,25},FALSE)),0)+IFERROR(ROUND(VLOOKUP($A53,S275_21,23,FALSE)*VLOOKUP($A53,'3121% SY'!$C$3:$M$324,11,FALSE),3),0)+IFERROR(ROUND(VLOOKUP($A53,S275_21,24,FALSE)*VLOOKUP($A53,'3121% SY'!$C$3:$M$324,11,FALSE),3),0)+IFERROR(ROUND(VLOOKUP($A53,S275_21,25,FALSE)*VLOOKUP($A53,'3121% SY'!$C$3:$M$324,11,FALSE),3),0)+IFERROR(VLOOKUP($A53,S275_09,9,FALSE),0)</f>
        <v>0</v>
      </c>
      <c r="W53" s="267">
        <f>IFERROR(VLOOKUP($A53,Supp_45,14,FALSE),0)+IFERROR(SUMPRODUCT(VLOOKUP($A53,S275_01,{26,27,28},FALSE)),0)+IFERROR(SUMPRODUCT(VLOOKUP($A53,S275_97,{26,27,28},FALSE)),0)+IFERROR(ROUND(VLOOKUP($A53,S275_21,26,FALSE)*VLOOKUP($A53,'3121% SY'!$C$3:$M$324,11,FALSE),3),0)+IFERROR(ROUND(VLOOKUP($A53,S275_21,27,FALSE)*VLOOKUP($A53,'3121% SY'!$C$3:$M$324,11,FALSE),3),0)+IFERROR(ROUND(VLOOKUP($A53,S275_21,28,FALSE)*VLOOKUP($A53,'3121% SY'!$C$3:$M$324,11,FALSE),3),0)+IFERROR(VLOOKUP($A53,S275_09,10,FALSE),0)</f>
        <v>0</v>
      </c>
      <c r="X53" s="267">
        <f>IFERROR(VLOOKUP($A53,Supp_46,14,FALSE),0)+IFERROR(SUMPRODUCT(VLOOKUP($A53,S275_01,{29,30,31},FALSE)),0)+IFERROR(SUMPRODUCT(VLOOKUP($A53,S275_97,{29,30,31},FALSE)),0)+IFERROR(ROUND(VLOOKUP($A53,S275_21,29,FALSE)*VLOOKUP($A53,'3121% SY'!$C$3:$M$324,11,FALSE),3),0)+IFERROR(ROUND(VLOOKUP($A53,S275_21,30,FALSE)*VLOOKUP($A53,'3121% SY'!$C$3:$M$324,11,FALSE),3),0)+IFERROR(ROUND(VLOOKUP($A53,S275_21,31,FALSE)*VLOOKUP($A53,'3121% SY'!$C$3:$M$324,11,FALSE),3),0)+IFERROR(VLOOKUP($A53,S275_09,11,FALSE),0)</f>
        <v>0</v>
      </c>
      <c r="Y53" s="267">
        <f>IFERROR(VLOOKUP($A53,Supp_47,14,FALSE),0)+IFERROR(SUMPRODUCT(VLOOKUP($A53,S275_01,{32,33,34},FALSE)),0)+IFERROR(SUMPRODUCT(VLOOKUP($A53,S275_97,{32,33,34},FALSE)),0)+IFERROR(ROUND(VLOOKUP($A53,S275_21,32,FALSE)*VLOOKUP($A53,'3121% SY'!$C$3:$M$324,11,FALSE),3),0)+IFERROR(ROUND(VLOOKUP($A53,S275_21,33,FALSE)*VLOOKUP($A53,'3121% SY'!$C$3:$M$324,11,FALSE),3),0)+IFERROR(ROUND(VLOOKUP($A53,S275_21,34,FALSE)*VLOOKUP($A53,'3121% SY'!$C$3:$M$324,11,FALSE),3),0)+IFERROR(VLOOKUP($A53,S275_09,12,FALSE),0)</f>
        <v>0</v>
      </c>
      <c r="Z53" s="267">
        <f>IFERROR(VLOOKUP($A53,Supp_48,14,FALSE),0)+IFERROR(SUMPRODUCT(VLOOKUP($A53,S275_01,{35,36,37},FALSE)),0)+IFERROR(SUMPRODUCT(VLOOKUP($A53,S275_97,{35,36,37},FALSE)),0)+IFERROR(ROUND(VLOOKUP($A53,S275_21,35,FALSE)*VLOOKUP($A53,'3121% SY'!$C$3:$M$324,11,FALSE),3),0)+IFERROR(ROUND(VLOOKUP($A53,S275_21,36,FALSE)*VLOOKUP($A53,'3121% SY'!$C$3:$M$324,11,FALSE),3),0)+IFERROR(ROUND(VLOOKUP($A53,S275_21,37,FALSE)*VLOOKUP($A53,'3121% SY'!$C$3:$M$324,11,FALSE),3),0)+IFERROR(VLOOKUP($A53,S275_09,13,FALSE),0)</f>
        <v>0</v>
      </c>
      <c r="AA53" s="267">
        <f>IFERROR(VLOOKUP($A53,Supp_49,14,FALSE),0)+IFERROR(SUMPRODUCT(VLOOKUP($A53,S275_01,{38,39,40},FALSE)),0)+IFERROR(SUMPRODUCT(VLOOKUP($A53,S275_97,{38,39,40},FALSE)),0)+IFERROR(ROUND(VLOOKUP($A53,S275_21,38,FALSE)*VLOOKUP($A53,'3121% SY'!$C$3:$M$324,11,FALSE),3),0)+IFERROR(ROUND(VLOOKUP($A53,S275_21,39,FALSE)*VLOOKUP($A53,'3121% SY'!$C$3:$M$324,11,FALSE),3),0)+IFERROR(ROUND(VLOOKUP($A53,S275_21,40,FALSE)*VLOOKUP($A53,'3121% SY'!$C$3:$M$324,11,FALSE),3),0)+IFERROR(VLOOKUP($A53,S275_09,14,FALSE),0)</f>
        <v>0</v>
      </c>
      <c r="AB53" s="267">
        <f>IFERROR(VLOOKUP($A53,Supp_64,14,FALSE),0)+IFERROR(SUMPRODUCT(VLOOKUP($A53,S275_01,{41,42,43},FALSE)),0)+IFERROR(SUMPRODUCT(VLOOKUP($A53,S275_97,{41,42,43},FALSE)),0)+IFERROR(ROUND(VLOOKUP($A53,S275_21,41,FALSE)*VLOOKUP($A53,'3121% SY'!$C$3:$M$324,11,FALSE),3),0)+IFERROR(ROUND(VLOOKUP($A53,S275_21,42,FALSE)*VLOOKUP($A53,'3121% SY'!$C$3:$M$324,11,FALSE),3),0)+IFERROR(ROUND(VLOOKUP($A53,S275_21,43,FALSE)*VLOOKUP($A53,'3121% SY'!$C$3:$M$324,11,FALSE),3),0)+IFERROR(VLOOKUP($A53,S275_09,15,FALSE),0)</f>
        <v>0</v>
      </c>
      <c r="AC53" s="268">
        <f t="shared" si="17"/>
        <v>0</v>
      </c>
      <c r="AD53" s="267">
        <f>IFERROR(VLOOKUP($A53,Supp_24,14,FALSE),0)+IFERROR(SUMPRODUCT(VLOOKUP($A53,S275_01,{2,3,4},FALSE)),0)+IFERROR(SUMPRODUCT(VLOOKUP($A53,S275_97,{2,3,4},FALSE)),0)+IFERROR(ROUND(VLOOKUP($A53,S275_21,2,FALSE)*VLOOKUP($A53,'3121% SY'!$C$3:$M$324,11,FALSE),3),0)+IFERROR(ROUND(VLOOKUP($A53,S275_21,3,FALSE)*VLOOKUP($A53,'3121% SY'!$C$3:$M$324,11,FALSE),3),0)+IFERROR(ROUND(VLOOKUP($A53,S275_21,4,FALSE)*VLOOKUP($A53,'3121% SY'!$C$3:$M$324,11,FALSE),3),0)+IFERROR(VLOOKUP($A53,S275_09,2,FALSE),0)</f>
        <v>0</v>
      </c>
      <c r="AE53" s="267">
        <f>IFERROR(VLOOKUP($A53,Supp_25,14,FALSE),0)+IFERROR(SUMPRODUCT(VLOOKUP($A53,S275_01,{5,6,7},FALSE)),0)+IFERROR(SUMPRODUCT(VLOOKUP($A53,S275_97,{5,6,7},FALSE)),0)+IFERROR(ROUND(VLOOKUP($A53,S275_21,5,FALSE)*VLOOKUP($A53,'3121% SY'!$C$3:$M$324,11,FALSE),3),0)+IFERROR(ROUND(VLOOKUP($A53,S275_21,6,FALSE)*VLOOKUP($A53,'3121% SY'!$C$3:$M$324,11,FALSE),3),0)+IFERROR(ROUND(VLOOKUP($A53,S275_21,7,FALSE)*VLOOKUP($A53,'3121% SY'!$C$3:$M$324,11,FALSE),3),0)+IFERROR(VLOOKUP($A53,S275_09,3,FALSE),0)</f>
        <v>0</v>
      </c>
      <c r="AF53" s="267">
        <f>IFERROR(VLOOKUP($A53,Supp_26,14,FALSE),0)+IFERROR(SUMPRODUCT(VLOOKUP($A53,S275_01,{8,9,10},FALSE)),0)+IFERROR(SUMPRODUCT(VLOOKUP($A53,S275_97,{8,9,10},FALSE)),0)+IFERROR(ROUND(VLOOKUP($A53,S275_21,8,FALSE)*VLOOKUP($A53,'3121% SY'!$C$3:$M$324,11,FALSE),3),0)+IFERROR(ROUND(VLOOKUP($A53,S275_21,9,FALSE)*VLOOKUP($A53,'3121% SY'!$C$3:$M$324,11,FALSE),3),0)+IFERROR(ROUND(VLOOKUP($A53,S275_21,10,FALSE)*VLOOKUP($A53,'3121% SY'!$C$3:$M$324,11,FALSE),3),0)+IFERROR(VLOOKUP($A53,S275_09,4,FALSE),0)</f>
        <v>7.3999999999999996E-2</v>
      </c>
      <c r="AG53" s="267">
        <f>IFERROR(VLOOKUP($A53,Supp_35,14,FALSE),0)+IFERROR(SUMPRODUCT(VLOOKUP($A53,S275_01,{11,12,13},FALSE)),0)+IFERROR(SUMPRODUCT(VLOOKUP($A53,S275_97,{11,12,13},FALSE)),0)+IFERROR(ROUND(VLOOKUP($A53,S275_21,11,FALSE)*VLOOKUP($A53,'3121% SY'!$C$3:$M$324,11,FALSE),3),0)+IFERROR(ROUND(VLOOKUP($A53,S275_21,12,FALSE)*VLOOKUP($A53,'3121% SY'!$C$3:$M$324,11,FALSE),3),0)+IFERROR(ROUND(VLOOKUP($A53,S275_21,13,FALSE)*VLOOKUP($A53,'3121% SY'!$C$3:$M$324,11,FALSE),3),0)+IFERROR(VLOOKUP($A53,S275_09,5,FALSE),0)</f>
        <v>0</v>
      </c>
      <c r="AH53" s="165">
        <f t="shared" si="15"/>
        <v>7.3999999999999996E-2</v>
      </c>
      <c r="AI53" s="161">
        <f>IFERROR(VLOOKUP(A53,'Supp Staff Data'!A:ER,148,FALSE),0)+AB53</f>
        <v>0</v>
      </c>
      <c r="AJ53" s="174">
        <v>0</v>
      </c>
      <c r="AK53" s="25">
        <f>VLOOKUP(A53,'Enroll Data as of January 2025'!$A$3:$T$323,20,FALSE)-F53</f>
        <v>0</v>
      </c>
    </row>
    <row r="54" spans="1:37" x14ac:dyDescent="0.25">
      <c r="A54" s="171" t="s">
        <v>141</v>
      </c>
      <c r="B54" t="s">
        <v>437</v>
      </c>
      <c r="C54" s="173" t="s">
        <v>1077</v>
      </c>
      <c r="D54" s="259">
        <f t="shared" si="9"/>
        <v>1.548</v>
      </c>
      <c r="E54" s="259">
        <f t="shared" si="10"/>
        <v>3.3710000000000009</v>
      </c>
      <c r="F54" s="262">
        <f t="shared" si="18"/>
        <v>1.823</v>
      </c>
      <c r="G54" s="161">
        <f>ROUND(IF(F54&lt;0,F54*'2024-25 PSES Compliance'!$G$13,0),3)</f>
        <v>0</v>
      </c>
      <c r="H54" s="161">
        <f>ROUND(IF(F54&lt;0,F54*'2024-25 PSES Compliance'!$G$14,0),3)</f>
        <v>0</v>
      </c>
      <c r="I54" s="174">
        <f t="shared" si="11"/>
        <v>1</v>
      </c>
      <c r="J54" s="174">
        <f t="shared" si="12"/>
        <v>0.59329575793533063</v>
      </c>
      <c r="K54" s="161">
        <f>VLOOKUP($A54,'Enroll Data as of January 2025'!$A$3:$M$322,6,FALSE)</f>
        <v>0.77500000000000002</v>
      </c>
      <c r="L54" s="161">
        <f>VLOOKUP($A54,'Enroll Data as of January 2025'!$A$3:$M$322,7,FALSE)</f>
        <v>0.192</v>
      </c>
      <c r="M54" s="161">
        <f>VLOOKUP($A54,'Enroll Data as of January 2025'!$A$3:$M$322,8,FALSE)</f>
        <v>6.5000000000000002E-2</v>
      </c>
      <c r="N54" s="161">
        <f>VLOOKUP($A54,'Enroll Data as of January 2025'!$A$3:$M$322,9,FALSE)</f>
        <v>0.41099999999999998</v>
      </c>
      <c r="O54" s="165">
        <f t="shared" si="13"/>
        <v>1.4430000000000001</v>
      </c>
      <c r="P54" s="161">
        <f>VLOOKUP($A54,'Enroll Data as of January 2025'!$A$3:$M$322,11,FALSE)</f>
        <v>5.6000000000000001E-2</v>
      </c>
      <c r="Q54" s="161">
        <f>VLOOKUP($A54,'Enroll Data as of January 2025'!$A$3:$M$322,12,FALSE)</f>
        <v>4.9000000000000002E-2</v>
      </c>
      <c r="R54" s="165">
        <f t="shared" si="14"/>
        <v>0.10500000000000001</v>
      </c>
      <c r="S54" s="267">
        <f>IFERROR(VLOOKUP($A54,Supp_39,14,FALSE),0)+IFERROR(SUMPRODUCT(VLOOKUP($A54,S275_01,{14,15,16},FALSE)),0)+IFERROR(SUMPRODUCT(VLOOKUP($A54,S275_97,{14,15,16},FALSE)),0)+IFERROR(ROUND(VLOOKUP($A54,S275_21,14,FALSE)*VLOOKUP($A54,'3121% SY'!$C$3:$M$324,11,FALSE),3),0)+IFERROR(ROUND(VLOOKUP($A54,S275_21,15,FALSE)*VLOOKUP($A54,'3121% SY'!$C$3:$M$324,11,FALSE),3),0)+IFERROR(ROUND(VLOOKUP($A54,S275_21,16,FALSE)*VLOOKUP($A54,'3121% SY'!$C$3:$M$324,11,FALSE),3),0)+IFERROR(VLOOKUP($A54,S275_09,6,FALSE),0)</f>
        <v>1.1200000000000001</v>
      </c>
      <c r="T54" s="267">
        <f>IFERROR(VLOOKUP($A54,Supp_42,14,FALSE),0)+IFERROR(SUMPRODUCT(VLOOKUP($A54,S275_01,{17,18,19},FALSE)),0)+IFERROR(SUMPRODUCT(VLOOKUP($A54,S275_97,{17,18,19},FALSE)),0)+IFERROR(ROUND(VLOOKUP($A54,S275_21,17,FALSE)*VLOOKUP($A54,'3121% SY'!$C$3:$M$324,11,FALSE),3),0)+IFERROR(ROUND(VLOOKUP($A54,S275_21,18,FALSE)*VLOOKUP($A54,'3121% SY'!$C$3:$M$324,11,FALSE),3),0)+IFERROR(ROUND(VLOOKUP($A54,S275_21,19,FALSE)*VLOOKUP($A54,'3121% SY'!$C$3:$M$324,11,FALSE),3),0)+IFERROR(VLOOKUP($A54,S275_09,7,FALSE),0)</f>
        <v>0.5</v>
      </c>
      <c r="U54" s="267">
        <f>IFERROR(VLOOKUP($A54,Supp_43,14,FALSE),0)+IFERROR(SUMPRODUCT(VLOOKUP($A54,S275_01,{20,21,22},FALSE)),0)+IFERROR(SUMPRODUCT(VLOOKUP($A54,S275_97,{20,21,22},FALSE)),0)+IFERROR(ROUND(VLOOKUP($A54,S275_21,20,FALSE)*VLOOKUP($A54,'3121% SY'!$C$3:$M$324,11,FALSE),3),0)+IFERROR(ROUND(VLOOKUP($A54,S275_21,21,FALSE)*VLOOKUP($A54,'3121% SY'!$C$3:$M$324,11,FALSE),3),0)+IFERROR(ROUND(VLOOKUP($A54,S275_21,22,FALSE)*VLOOKUP($A54,'3121% SY'!$C$3:$M$324,11,FALSE),3),0)+IFERROR(VLOOKUP($A54,S275_09,8,FALSE),0)</f>
        <v>0.189</v>
      </c>
      <c r="V54" s="267">
        <f>IFERROR(VLOOKUP($A54,Supp_44,14,FALSE),0)+IFERROR(SUMPRODUCT(VLOOKUP($A54,S275_01,{23,24,25},FALSE)),0)+IFERROR(SUMPRODUCT(VLOOKUP($A54,S275_97,{23,24,25},FALSE)),0)+IFERROR(ROUND(VLOOKUP($A54,S275_21,23,FALSE)*VLOOKUP($A54,'3121% SY'!$C$3:$M$324,11,FALSE),3),0)+IFERROR(ROUND(VLOOKUP($A54,S275_21,24,FALSE)*VLOOKUP($A54,'3121% SY'!$C$3:$M$324,11,FALSE),3),0)+IFERROR(ROUND(VLOOKUP($A54,S275_21,25,FALSE)*VLOOKUP($A54,'3121% SY'!$C$3:$M$324,11,FALSE),3),0)+IFERROR(VLOOKUP($A54,S275_09,9,FALSE),0)</f>
        <v>0</v>
      </c>
      <c r="W54" s="267">
        <f>IFERROR(VLOOKUP($A54,Supp_45,14,FALSE),0)+IFERROR(SUMPRODUCT(VLOOKUP($A54,S275_01,{26,27,28},FALSE)),0)+IFERROR(SUMPRODUCT(VLOOKUP($A54,S275_97,{26,27,28},FALSE)),0)+IFERROR(ROUND(VLOOKUP($A54,S275_21,26,FALSE)*VLOOKUP($A54,'3121% SY'!$C$3:$M$324,11,FALSE),3),0)+IFERROR(ROUND(VLOOKUP($A54,S275_21,27,FALSE)*VLOOKUP($A54,'3121% SY'!$C$3:$M$324,11,FALSE),3),0)+IFERROR(ROUND(VLOOKUP($A54,S275_21,28,FALSE)*VLOOKUP($A54,'3121% SY'!$C$3:$M$324,11,FALSE),3),0)+IFERROR(VLOOKUP($A54,S275_09,10,FALSE),0)</f>
        <v>0.378</v>
      </c>
      <c r="X54" s="267">
        <f>IFERROR(VLOOKUP($A54,Supp_46,14,FALSE),0)+IFERROR(SUMPRODUCT(VLOOKUP($A54,S275_01,{29,30,31},FALSE)),0)+IFERROR(SUMPRODUCT(VLOOKUP($A54,S275_97,{29,30,31},FALSE)),0)+IFERROR(ROUND(VLOOKUP($A54,S275_21,29,FALSE)*VLOOKUP($A54,'3121% SY'!$C$3:$M$324,11,FALSE),3),0)+IFERROR(ROUND(VLOOKUP($A54,S275_21,30,FALSE)*VLOOKUP($A54,'3121% SY'!$C$3:$M$324,11,FALSE),3),0)+IFERROR(ROUND(VLOOKUP($A54,S275_21,31,FALSE)*VLOOKUP($A54,'3121% SY'!$C$3:$M$324,11,FALSE),3),0)+IFERROR(VLOOKUP($A54,S275_09,11,FALSE),0)</f>
        <v>1.0940000000000001</v>
      </c>
      <c r="Y54" s="267">
        <f>IFERROR(VLOOKUP($A54,Supp_47,14,FALSE),0)+IFERROR(SUMPRODUCT(VLOOKUP($A54,S275_01,{32,33,34},FALSE)),0)+IFERROR(SUMPRODUCT(VLOOKUP($A54,S275_97,{32,33,34},FALSE)),0)+IFERROR(ROUND(VLOOKUP($A54,S275_21,32,FALSE)*VLOOKUP($A54,'3121% SY'!$C$3:$M$324,11,FALSE),3),0)+IFERROR(ROUND(VLOOKUP($A54,S275_21,33,FALSE)*VLOOKUP($A54,'3121% SY'!$C$3:$M$324,11,FALSE),3),0)+IFERROR(ROUND(VLOOKUP($A54,S275_21,34,FALSE)*VLOOKUP($A54,'3121% SY'!$C$3:$M$324,11,FALSE),3),0)+IFERROR(VLOOKUP($A54,S275_09,12,FALSE),0)</f>
        <v>2.7E-2</v>
      </c>
      <c r="Z54" s="267">
        <f>IFERROR(VLOOKUP($A54,Supp_48,14,FALSE),0)+IFERROR(SUMPRODUCT(VLOOKUP($A54,S275_01,{35,36,37},FALSE)),0)+IFERROR(SUMPRODUCT(VLOOKUP($A54,S275_97,{35,36,37},FALSE)),0)+IFERROR(ROUND(VLOOKUP($A54,S275_21,35,FALSE)*VLOOKUP($A54,'3121% SY'!$C$3:$M$324,11,FALSE),3),0)+IFERROR(ROUND(VLOOKUP($A54,S275_21,36,FALSE)*VLOOKUP($A54,'3121% SY'!$C$3:$M$324,11,FALSE),3),0)+IFERROR(ROUND(VLOOKUP($A54,S275_21,37,FALSE)*VLOOKUP($A54,'3121% SY'!$C$3:$M$324,11,FALSE),3),0)+IFERROR(VLOOKUP($A54,S275_09,13,FALSE),0)</f>
        <v>6.3E-2</v>
      </c>
      <c r="AA54" s="267">
        <f>IFERROR(VLOOKUP($A54,Supp_49,14,FALSE),0)+IFERROR(SUMPRODUCT(VLOOKUP($A54,S275_01,{38,39,40},FALSE)),0)+IFERROR(SUMPRODUCT(VLOOKUP($A54,S275_97,{38,39,40},FALSE)),0)+IFERROR(ROUND(VLOOKUP($A54,S275_21,38,FALSE)*VLOOKUP($A54,'3121% SY'!$C$3:$M$324,11,FALSE),3),0)+IFERROR(ROUND(VLOOKUP($A54,S275_21,39,FALSE)*VLOOKUP($A54,'3121% SY'!$C$3:$M$324,11,FALSE),3),0)+IFERROR(ROUND(VLOOKUP($A54,S275_21,40,FALSE)*VLOOKUP($A54,'3121% SY'!$C$3:$M$324,11,FALSE),3),0)+IFERROR(VLOOKUP($A54,S275_09,14,FALSE),0)</f>
        <v>0</v>
      </c>
      <c r="AB54" s="267">
        <f>IFERROR(VLOOKUP($A54,Supp_64,14,FALSE),0)+IFERROR(SUMPRODUCT(VLOOKUP($A54,S275_01,{41,42,43},FALSE)),0)+IFERROR(SUMPRODUCT(VLOOKUP($A54,S275_97,{41,42,43},FALSE)),0)+IFERROR(ROUND(VLOOKUP($A54,S275_21,41,FALSE)*VLOOKUP($A54,'3121% SY'!$C$3:$M$324,11,FALSE),3),0)+IFERROR(ROUND(VLOOKUP($A54,S275_21,42,FALSE)*VLOOKUP($A54,'3121% SY'!$C$3:$M$324,11,FALSE),3),0)+IFERROR(ROUND(VLOOKUP($A54,S275_21,43,FALSE)*VLOOKUP($A54,'3121% SY'!$C$3:$M$324,11,FALSE),3),0)+IFERROR(VLOOKUP($A54,S275_09,15,FALSE),0)</f>
        <v>0</v>
      </c>
      <c r="AC54" s="268">
        <f t="shared" si="17"/>
        <v>3.3710000000000009</v>
      </c>
      <c r="AD54" s="267">
        <f>IFERROR(VLOOKUP($A54,Supp_24,14,FALSE),0)+IFERROR(SUMPRODUCT(VLOOKUP($A54,S275_01,{2,3,4},FALSE)),0)+IFERROR(SUMPRODUCT(VLOOKUP($A54,S275_97,{2,3,4},FALSE)),0)+IFERROR(ROUND(VLOOKUP($A54,S275_21,2,FALSE)*VLOOKUP($A54,'3121% SY'!$C$3:$M$324,11,FALSE),3),0)+IFERROR(ROUND(VLOOKUP($A54,S275_21,3,FALSE)*VLOOKUP($A54,'3121% SY'!$C$3:$M$324,11,FALSE),3),0)+IFERROR(ROUND(VLOOKUP($A54,S275_21,4,FALSE)*VLOOKUP($A54,'3121% SY'!$C$3:$M$324,11,FALSE),3),0)+IFERROR(VLOOKUP($A54,S275_09,2,FALSE),0)</f>
        <v>0</v>
      </c>
      <c r="AE54" s="267">
        <f>IFERROR(VLOOKUP($A54,Supp_25,14,FALSE),0)+IFERROR(SUMPRODUCT(VLOOKUP($A54,S275_01,{5,6,7},FALSE)),0)+IFERROR(SUMPRODUCT(VLOOKUP($A54,S275_97,{5,6,7},FALSE)),0)+IFERROR(ROUND(VLOOKUP($A54,S275_21,5,FALSE)*VLOOKUP($A54,'3121% SY'!$C$3:$M$324,11,FALSE),3),0)+IFERROR(ROUND(VLOOKUP($A54,S275_21,6,FALSE)*VLOOKUP($A54,'3121% SY'!$C$3:$M$324,11,FALSE),3),0)+IFERROR(ROUND(VLOOKUP($A54,S275_21,7,FALSE)*VLOOKUP($A54,'3121% SY'!$C$3:$M$324,11,FALSE),3),0)+IFERROR(VLOOKUP($A54,S275_09,3,FALSE),0)</f>
        <v>0</v>
      </c>
      <c r="AF54" s="267">
        <f>IFERROR(VLOOKUP($A54,Supp_26,14,FALSE),0)+IFERROR(SUMPRODUCT(VLOOKUP($A54,S275_01,{8,9,10},FALSE)),0)+IFERROR(SUMPRODUCT(VLOOKUP($A54,S275_97,{8,9,10},FALSE)),0)+IFERROR(ROUND(VLOOKUP($A54,S275_21,8,FALSE)*VLOOKUP($A54,'3121% SY'!$C$3:$M$324,11,FALSE),3),0)+IFERROR(ROUND(VLOOKUP($A54,S275_21,9,FALSE)*VLOOKUP($A54,'3121% SY'!$C$3:$M$324,11,FALSE),3),0)+IFERROR(ROUND(VLOOKUP($A54,S275_21,10,FALSE)*VLOOKUP($A54,'3121% SY'!$C$3:$M$324,11,FALSE),3),0)+IFERROR(VLOOKUP($A54,S275_09,4,FALSE),0)</f>
        <v>0</v>
      </c>
      <c r="AG54" s="267">
        <f>IFERROR(VLOOKUP($A54,Supp_35,14,FALSE),0)+IFERROR(SUMPRODUCT(VLOOKUP($A54,S275_01,{11,12,13},FALSE)),0)+IFERROR(SUMPRODUCT(VLOOKUP($A54,S275_97,{11,12,13},FALSE)),0)+IFERROR(ROUND(VLOOKUP($A54,S275_21,11,FALSE)*VLOOKUP($A54,'3121% SY'!$C$3:$M$324,11,FALSE),3),0)+IFERROR(ROUND(VLOOKUP($A54,S275_21,12,FALSE)*VLOOKUP($A54,'3121% SY'!$C$3:$M$324,11,FALSE),3),0)+IFERROR(ROUND(VLOOKUP($A54,S275_21,13,FALSE)*VLOOKUP($A54,'3121% SY'!$C$3:$M$324,11,FALSE),3),0)+IFERROR(VLOOKUP($A54,S275_09,5,FALSE),0)</f>
        <v>0</v>
      </c>
      <c r="AH54" s="165">
        <f t="shared" si="15"/>
        <v>0</v>
      </c>
      <c r="AI54" s="161">
        <f>IFERROR(VLOOKUP(A54,'Supp Staff Data'!A:ER,148,FALSE),0)+AB54</f>
        <v>2</v>
      </c>
      <c r="AJ54" s="174">
        <v>1</v>
      </c>
      <c r="AK54" s="25">
        <f>VLOOKUP(A54,'Enroll Data as of January 2025'!$A$3:$T$323,20,FALSE)-F54</f>
        <v>0</v>
      </c>
    </row>
    <row r="55" spans="1:37" x14ac:dyDescent="0.25">
      <c r="A55" s="171" t="s">
        <v>7</v>
      </c>
      <c r="B55" t="s">
        <v>304</v>
      </c>
      <c r="C55" s="173" t="s">
        <v>1077</v>
      </c>
      <c r="D55" s="259">
        <f t="shared" si="9"/>
        <v>0.32600000000000001</v>
      </c>
      <c r="E55" s="259">
        <f t="shared" si="10"/>
        <v>0.35200000000000004</v>
      </c>
      <c r="F55" s="262">
        <f t="shared" si="18"/>
        <v>2.5999999999999999E-2</v>
      </c>
      <c r="G55" s="161">
        <f>ROUND(IF(F55&lt;0,F55*'2024-25 PSES Compliance'!$G$13,0),3)</f>
        <v>0</v>
      </c>
      <c r="H55" s="161">
        <f>ROUND(IF(F55&lt;0,F55*'2024-25 PSES Compliance'!$G$14,0),3)</f>
        <v>0</v>
      </c>
      <c r="I55" s="174">
        <f t="shared" si="11"/>
        <v>0.86079545454545459</v>
      </c>
      <c r="J55" s="174">
        <f t="shared" si="12"/>
        <v>1.4431818181818181</v>
      </c>
      <c r="K55" s="161">
        <f>VLOOKUP($A55,'Enroll Data as of January 2025'!$A$3:$M$322,6,FALSE)</f>
        <v>0.191</v>
      </c>
      <c r="L55" s="161">
        <f>VLOOKUP($A55,'Enroll Data as of January 2025'!$A$3:$M$322,7,FALSE)</f>
        <v>2.7E-2</v>
      </c>
      <c r="M55" s="161">
        <f>VLOOKUP($A55,'Enroll Data as of January 2025'!$A$3:$M$322,8,FALSE)</f>
        <v>9.0000000000000011E-3</v>
      </c>
      <c r="N55" s="161">
        <f>VLOOKUP($A55,'Enroll Data as of January 2025'!$A$3:$M$322,9,FALSE)</f>
        <v>8.199999999999999E-2</v>
      </c>
      <c r="O55" s="165">
        <f t="shared" si="13"/>
        <v>0.309</v>
      </c>
      <c r="P55" s="161">
        <f>VLOOKUP($A55,'Enroll Data as of January 2025'!$A$3:$M$322,11,FALSE)</f>
        <v>1.0999999999999999E-2</v>
      </c>
      <c r="Q55" s="161">
        <f>VLOOKUP($A55,'Enroll Data as of January 2025'!$A$3:$M$322,12,FALSE)</f>
        <v>6.0000000000000001E-3</v>
      </c>
      <c r="R55" s="165">
        <f t="shared" si="14"/>
        <v>1.7000000000000001E-2</v>
      </c>
      <c r="S55" s="267">
        <f>IFERROR(VLOOKUP($A55,Supp_39,14,FALSE),0)+IFERROR(SUMPRODUCT(VLOOKUP($A55,S275_01,{14,15,16},FALSE)),0)+IFERROR(SUMPRODUCT(VLOOKUP($A55,S275_97,{14,15,16},FALSE)),0)+IFERROR(ROUND(VLOOKUP($A55,S275_21,14,FALSE)*VLOOKUP($A55,'3121% SY'!$C$3:$M$324,11,FALSE),3),0)+IFERROR(ROUND(VLOOKUP($A55,S275_21,15,FALSE)*VLOOKUP($A55,'3121% SY'!$C$3:$M$324,11,FALSE),3),0)+IFERROR(ROUND(VLOOKUP($A55,S275_21,16,FALSE)*VLOOKUP($A55,'3121% SY'!$C$3:$M$324,11,FALSE),3),0)+IFERROR(VLOOKUP($A55,S275_09,6,FALSE),0)</f>
        <v>0</v>
      </c>
      <c r="T55" s="267">
        <f>IFERROR(VLOOKUP($A55,Supp_42,14,FALSE),0)+IFERROR(SUMPRODUCT(VLOOKUP($A55,S275_01,{17,18,19},FALSE)),0)+IFERROR(SUMPRODUCT(VLOOKUP($A55,S275_97,{17,18,19},FALSE)),0)+IFERROR(ROUND(VLOOKUP($A55,S275_21,17,FALSE)*VLOOKUP($A55,'3121% SY'!$C$3:$M$324,11,FALSE),3),0)+IFERROR(ROUND(VLOOKUP($A55,S275_21,18,FALSE)*VLOOKUP($A55,'3121% SY'!$C$3:$M$324,11,FALSE),3),0)+IFERROR(ROUND(VLOOKUP($A55,S275_21,19,FALSE)*VLOOKUP($A55,'3121% SY'!$C$3:$M$324,11,FALSE),3),0)+IFERROR(VLOOKUP($A55,S275_09,7,FALSE),0)</f>
        <v>0.183</v>
      </c>
      <c r="U55" s="267">
        <f>IFERROR(VLOOKUP($A55,Supp_43,14,FALSE),0)+IFERROR(SUMPRODUCT(VLOOKUP($A55,S275_01,{20,21,22},FALSE)),0)+IFERROR(SUMPRODUCT(VLOOKUP($A55,S275_97,{20,21,22},FALSE)),0)+IFERROR(ROUND(VLOOKUP($A55,S275_21,20,FALSE)*VLOOKUP($A55,'3121% SY'!$C$3:$M$324,11,FALSE),3),0)+IFERROR(ROUND(VLOOKUP($A55,S275_21,21,FALSE)*VLOOKUP($A55,'3121% SY'!$C$3:$M$324,11,FALSE),3),0)+IFERROR(ROUND(VLOOKUP($A55,S275_21,22,FALSE)*VLOOKUP($A55,'3121% SY'!$C$3:$M$324,11,FALSE),3),0)+IFERROR(VLOOKUP($A55,S275_09,8,FALSE),0)</f>
        <v>7.0000000000000001E-3</v>
      </c>
      <c r="V55" s="267">
        <f>IFERROR(VLOOKUP($A55,Supp_44,14,FALSE),0)+IFERROR(SUMPRODUCT(VLOOKUP($A55,S275_01,{23,24,25},FALSE)),0)+IFERROR(SUMPRODUCT(VLOOKUP($A55,S275_97,{23,24,25},FALSE)),0)+IFERROR(ROUND(VLOOKUP($A55,S275_21,23,FALSE)*VLOOKUP($A55,'3121% SY'!$C$3:$M$324,11,FALSE),3),0)+IFERROR(ROUND(VLOOKUP($A55,S275_21,24,FALSE)*VLOOKUP($A55,'3121% SY'!$C$3:$M$324,11,FALSE),3),0)+IFERROR(ROUND(VLOOKUP($A55,S275_21,25,FALSE)*VLOOKUP($A55,'3121% SY'!$C$3:$M$324,11,FALSE),3),0)+IFERROR(VLOOKUP($A55,S275_09,9,FALSE),0)</f>
        <v>0</v>
      </c>
      <c r="W55" s="267">
        <f>IFERROR(VLOOKUP($A55,Supp_45,14,FALSE),0)+IFERROR(SUMPRODUCT(VLOOKUP($A55,S275_01,{26,27,28},FALSE)),0)+IFERROR(SUMPRODUCT(VLOOKUP($A55,S275_97,{26,27,28},FALSE)),0)+IFERROR(ROUND(VLOOKUP($A55,S275_21,26,FALSE)*VLOOKUP($A55,'3121% SY'!$C$3:$M$324,11,FALSE),3),0)+IFERROR(ROUND(VLOOKUP($A55,S275_21,27,FALSE)*VLOOKUP($A55,'3121% SY'!$C$3:$M$324,11,FALSE),3),0)+IFERROR(ROUND(VLOOKUP($A55,S275_21,28,FALSE)*VLOOKUP($A55,'3121% SY'!$C$3:$M$324,11,FALSE),3),0)+IFERROR(VLOOKUP($A55,S275_09,10,FALSE),0)</f>
        <v>1.2E-2</v>
      </c>
      <c r="X55" s="267">
        <f>IFERROR(VLOOKUP($A55,Supp_46,14,FALSE),0)+IFERROR(SUMPRODUCT(VLOOKUP($A55,S275_01,{29,30,31},FALSE)),0)+IFERROR(SUMPRODUCT(VLOOKUP($A55,S275_97,{29,30,31},FALSE)),0)+IFERROR(ROUND(VLOOKUP($A55,S275_21,29,FALSE)*VLOOKUP($A55,'3121% SY'!$C$3:$M$324,11,FALSE),3),0)+IFERROR(ROUND(VLOOKUP($A55,S275_21,30,FALSE)*VLOOKUP($A55,'3121% SY'!$C$3:$M$324,11,FALSE),3),0)+IFERROR(ROUND(VLOOKUP($A55,S275_21,31,FALSE)*VLOOKUP($A55,'3121% SY'!$C$3:$M$324,11,FALSE),3),0)+IFERROR(VLOOKUP($A55,S275_09,11,FALSE),0)</f>
        <v>3.0000000000000001E-3</v>
      </c>
      <c r="Y55" s="267">
        <f>IFERROR(VLOOKUP($A55,Supp_47,14,FALSE),0)+IFERROR(SUMPRODUCT(VLOOKUP($A55,S275_01,{32,33,34},FALSE)),0)+IFERROR(SUMPRODUCT(VLOOKUP($A55,S275_97,{32,33,34},FALSE)),0)+IFERROR(ROUND(VLOOKUP($A55,S275_21,32,FALSE)*VLOOKUP($A55,'3121% SY'!$C$3:$M$324,11,FALSE),3),0)+IFERROR(ROUND(VLOOKUP($A55,S275_21,33,FALSE)*VLOOKUP($A55,'3121% SY'!$C$3:$M$324,11,FALSE),3),0)+IFERROR(ROUND(VLOOKUP($A55,S275_21,34,FALSE)*VLOOKUP($A55,'3121% SY'!$C$3:$M$324,11,FALSE),3),0)+IFERROR(VLOOKUP($A55,S275_09,12,FALSE),0)</f>
        <v>9.8000000000000004E-2</v>
      </c>
      <c r="Z55" s="267">
        <f>IFERROR(VLOOKUP($A55,Supp_48,14,FALSE),0)+IFERROR(SUMPRODUCT(VLOOKUP($A55,S275_01,{35,36,37},FALSE)),0)+IFERROR(SUMPRODUCT(VLOOKUP($A55,S275_97,{35,36,37},FALSE)),0)+IFERROR(ROUND(VLOOKUP($A55,S275_21,35,FALSE)*VLOOKUP($A55,'3121% SY'!$C$3:$M$324,11,FALSE),3),0)+IFERROR(ROUND(VLOOKUP($A55,S275_21,36,FALSE)*VLOOKUP($A55,'3121% SY'!$C$3:$M$324,11,FALSE),3),0)+IFERROR(ROUND(VLOOKUP($A55,S275_21,37,FALSE)*VLOOKUP($A55,'3121% SY'!$C$3:$M$324,11,FALSE),3),0)+IFERROR(VLOOKUP($A55,S275_09,13,FALSE),0)</f>
        <v>0</v>
      </c>
      <c r="AA55" s="267">
        <f>IFERROR(VLOOKUP($A55,Supp_49,14,FALSE),0)+IFERROR(SUMPRODUCT(VLOOKUP($A55,S275_01,{38,39,40},FALSE)),0)+IFERROR(SUMPRODUCT(VLOOKUP($A55,S275_97,{38,39,40},FALSE)),0)+IFERROR(ROUND(VLOOKUP($A55,S275_21,38,FALSE)*VLOOKUP($A55,'3121% SY'!$C$3:$M$324,11,FALSE),3),0)+IFERROR(ROUND(VLOOKUP($A55,S275_21,39,FALSE)*VLOOKUP($A55,'3121% SY'!$C$3:$M$324,11,FALSE),3),0)+IFERROR(ROUND(VLOOKUP($A55,S275_21,40,FALSE)*VLOOKUP($A55,'3121% SY'!$C$3:$M$324,11,FALSE),3),0)+IFERROR(VLOOKUP($A55,S275_09,14,FALSE),0)</f>
        <v>0</v>
      </c>
      <c r="AB55" s="267">
        <f>IFERROR(VLOOKUP($A55,Supp_64,14,FALSE),0)+IFERROR(SUMPRODUCT(VLOOKUP($A55,S275_01,{41,42,43},FALSE)),0)+IFERROR(SUMPRODUCT(VLOOKUP($A55,S275_97,{41,42,43},FALSE)),0)+IFERROR(ROUND(VLOOKUP($A55,S275_21,41,FALSE)*VLOOKUP($A55,'3121% SY'!$C$3:$M$324,11,FALSE),3),0)+IFERROR(ROUND(VLOOKUP($A55,S275_21,42,FALSE)*VLOOKUP($A55,'3121% SY'!$C$3:$M$324,11,FALSE),3),0)+IFERROR(ROUND(VLOOKUP($A55,S275_21,43,FALSE)*VLOOKUP($A55,'3121% SY'!$C$3:$M$324,11,FALSE),3),0)+IFERROR(VLOOKUP($A55,S275_09,15,FALSE),0)</f>
        <v>0</v>
      </c>
      <c r="AC55" s="268">
        <f t="shared" si="17"/>
        <v>0.30300000000000005</v>
      </c>
      <c r="AD55" s="267">
        <f>IFERROR(VLOOKUP($A55,Supp_24,14,FALSE),0)+IFERROR(SUMPRODUCT(VLOOKUP($A55,S275_01,{2,3,4},FALSE)),0)+IFERROR(SUMPRODUCT(VLOOKUP($A55,S275_97,{2,3,4},FALSE)),0)+IFERROR(ROUND(VLOOKUP($A55,S275_21,2,FALSE)*VLOOKUP($A55,'3121% SY'!$C$3:$M$324,11,FALSE),3),0)+IFERROR(ROUND(VLOOKUP($A55,S275_21,3,FALSE)*VLOOKUP($A55,'3121% SY'!$C$3:$M$324,11,FALSE),3),0)+IFERROR(ROUND(VLOOKUP($A55,S275_21,4,FALSE)*VLOOKUP($A55,'3121% SY'!$C$3:$M$324,11,FALSE),3),0)+IFERROR(VLOOKUP($A55,S275_09,2,FALSE),0)</f>
        <v>0</v>
      </c>
      <c r="AE55" s="267">
        <f>IFERROR(VLOOKUP($A55,Supp_25,14,FALSE),0)+IFERROR(SUMPRODUCT(VLOOKUP($A55,S275_01,{5,6,7},FALSE)),0)+IFERROR(SUMPRODUCT(VLOOKUP($A55,S275_97,{5,6,7},FALSE)),0)+IFERROR(ROUND(VLOOKUP($A55,S275_21,5,FALSE)*VLOOKUP($A55,'3121% SY'!$C$3:$M$324,11,FALSE),3),0)+IFERROR(ROUND(VLOOKUP($A55,S275_21,6,FALSE)*VLOOKUP($A55,'3121% SY'!$C$3:$M$324,11,FALSE),3),0)+IFERROR(ROUND(VLOOKUP($A55,S275_21,7,FALSE)*VLOOKUP($A55,'3121% SY'!$C$3:$M$324,11,FALSE),3),0)+IFERROR(VLOOKUP($A55,S275_09,3,FALSE),0)</f>
        <v>0</v>
      </c>
      <c r="AF55" s="267">
        <f>IFERROR(VLOOKUP($A55,Supp_26,14,FALSE),0)+IFERROR(SUMPRODUCT(VLOOKUP($A55,S275_01,{8,9,10},FALSE)),0)+IFERROR(SUMPRODUCT(VLOOKUP($A55,S275_97,{8,9,10},FALSE)),0)+IFERROR(ROUND(VLOOKUP($A55,S275_21,8,FALSE)*VLOOKUP($A55,'3121% SY'!$C$3:$M$324,11,FALSE),3),0)+IFERROR(ROUND(VLOOKUP($A55,S275_21,9,FALSE)*VLOOKUP($A55,'3121% SY'!$C$3:$M$324,11,FALSE),3),0)+IFERROR(ROUND(VLOOKUP($A55,S275_21,10,FALSE)*VLOOKUP($A55,'3121% SY'!$C$3:$M$324,11,FALSE),3),0)+IFERROR(VLOOKUP($A55,S275_09,4,FALSE),0)</f>
        <v>4.9000000000000002E-2</v>
      </c>
      <c r="AG55" s="267">
        <f>IFERROR(VLOOKUP($A55,Supp_35,14,FALSE),0)+IFERROR(SUMPRODUCT(VLOOKUP($A55,S275_01,{11,12,13},FALSE)),0)+IFERROR(SUMPRODUCT(VLOOKUP($A55,S275_97,{11,12,13},FALSE)),0)+IFERROR(ROUND(VLOOKUP($A55,S275_21,11,FALSE)*VLOOKUP($A55,'3121% SY'!$C$3:$M$324,11,FALSE),3),0)+IFERROR(ROUND(VLOOKUP($A55,S275_21,12,FALSE)*VLOOKUP($A55,'3121% SY'!$C$3:$M$324,11,FALSE),3),0)+IFERROR(ROUND(VLOOKUP($A55,S275_21,13,FALSE)*VLOOKUP($A55,'3121% SY'!$C$3:$M$324,11,FALSE),3),0)+IFERROR(VLOOKUP($A55,S275_09,5,FALSE),0)</f>
        <v>0</v>
      </c>
      <c r="AH55" s="165">
        <f t="shared" si="15"/>
        <v>4.9000000000000002E-2</v>
      </c>
      <c r="AI55" s="161">
        <f>IFERROR(VLOOKUP(A55,'Supp Staff Data'!A:ER,148,FALSE),0)+AB55</f>
        <v>0.50800000000000001</v>
      </c>
      <c r="AJ55" s="174">
        <v>1</v>
      </c>
      <c r="AK55" s="25">
        <f>VLOOKUP(A55,'Enroll Data as of January 2025'!$A$3:$T$323,20,FALSE)-F55</f>
        <v>0</v>
      </c>
    </row>
    <row r="56" spans="1:37" x14ac:dyDescent="0.25">
      <c r="A56" s="171" t="s">
        <v>10</v>
      </c>
      <c r="B56" t="s">
        <v>307</v>
      </c>
      <c r="C56" s="173" t="s">
        <v>1077</v>
      </c>
      <c r="D56" s="259">
        <f t="shared" si="9"/>
        <v>0.90400000000000014</v>
      </c>
      <c r="E56" s="259">
        <f t="shared" si="10"/>
        <v>2.5430000000000001</v>
      </c>
      <c r="F56" s="262">
        <f t="shared" si="18"/>
        <v>1.639</v>
      </c>
      <c r="G56" s="161">
        <f>ROUND(IF(F56&lt;0,F56*'2024-25 PSES Compliance'!$G$13,0),3)</f>
        <v>0</v>
      </c>
      <c r="H56" s="161">
        <f>ROUND(IF(F56&lt;0,F56*'2024-25 PSES Compliance'!$G$14,0),3)</f>
        <v>0</v>
      </c>
      <c r="I56" s="174">
        <f t="shared" si="11"/>
        <v>0.67518678725914272</v>
      </c>
      <c r="J56" s="174">
        <f t="shared" si="12"/>
        <v>0</v>
      </c>
      <c r="K56" s="161">
        <f>VLOOKUP($A56,'Enroll Data as of January 2025'!$A$3:$M$322,6,FALSE)</f>
        <v>0.505</v>
      </c>
      <c r="L56" s="161">
        <f>VLOOKUP($A56,'Enroll Data as of January 2025'!$A$3:$M$322,7,FALSE)</f>
        <v>8.3000000000000018E-2</v>
      </c>
      <c r="M56" s="161">
        <f>VLOOKUP($A56,'Enroll Data as of January 2025'!$A$3:$M$322,8,FALSE)</f>
        <v>2.8000000000000001E-2</v>
      </c>
      <c r="N56" s="161">
        <f>VLOOKUP($A56,'Enroll Data as of January 2025'!$A$3:$M$322,9,FALSE)</f>
        <v>0.23699999999999999</v>
      </c>
      <c r="O56" s="165">
        <f t="shared" si="13"/>
        <v>0.85300000000000009</v>
      </c>
      <c r="P56" s="161">
        <f>VLOOKUP($A56,'Enroll Data as of January 2025'!$A$3:$M$322,11,FALSE)</f>
        <v>3.2000000000000001E-2</v>
      </c>
      <c r="Q56" s="161">
        <f>VLOOKUP($A56,'Enroll Data as of January 2025'!$A$3:$M$322,12,FALSE)</f>
        <v>1.9E-2</v>
      </c>
      <c r="R56" s="165">
        <f t="shared" si="14"/>
        <v>5.1000000000000004E-2</v>
      </c>
      <c r="S56" s="267">
        <f>IFERROR(VLOOKUP($A56,Supp_39,14,FALSE),0)+IFERROR(SUMPRODUCT(VLOOKUP($A56,S275_01,{14,15,16},FALSE)),0)+IFERROR(SUMPRODUCT(VLOOKUP($A56,S275_97,{14,15,16},FALSE)),0)+IFERROR(ROUND(VLOOKUP($A56,S275_21,14,FALSE)*VLOOKUP($A56,'3121% SY'!$C$3:$M$324,11,FALSE),3),0)+IFERROR(ROUND(VLOOKUP($A56,S275_21,15,FALSE)*VLOOKUP($A56,'3121% SY'!$C$3:$M$324,11,FALSE),3),0)+IFERROR(ROUND(VLOOKUP($A56,S275_21,16,FALSE)*VLOOKUP($A56,'3121% SY'!$C$3:$M$324,11,FALSE),3),0)+IFERROR(VLOOKUP($A56,S275_09,6,FALSE),0)</f>
        <v>0.96199999999999997</v>
      </c>
      <c r="T56" s="267">
        <f>IFERROR(VLOOKUP($A56,Supp_42,14,FALSE),0)+IFERROR(SUMPRODUCT(VLOOKUP($A56,S275_01,{17,18,19},FALSE)),0)+IFERROR(SUMPRODUCT(VLOOKUP($A56,S275_97,{17,18,19},FALSE)),0)+IFERROR(ROUND(VLOOKUP($A56,S275_21,17,FALSE)*VLOOKUP($A56,'3121% SY'!$C$3:$M$324,11,FALSE),3),0)+IFERROR(ROUND(VLOOKUP($A56,S275_21,18,FALSE)*VLOOKUP($A56,'3121% SY'!$C$3:$M$324,11,FALSE),3),0)+IFERROR(ROUND(VLOOKUP($A56,S275_21,19,FALSE)*VLOOKUP($A56,'3121% SY'!$C$3:$M$324,11,FALSE),3),0)+IFERROR(VLOOKUP($A56,S275_09,7,FALSE),0)</f>
        <v>0.755</v>
      </c>
      <c r="U56" s="267">
        <f>IFERROR(VLOOKUP($A56,Supp_43,14,FALSE),0)+IFERROR(SUMPRODUCT(VLOOKUP($A56,S275_01,{20,21,22},FALSE)),0)+IFERROR(SUMPRODUCT(VLOOKUP($A56,S275_97,{20,21,22},FALSE)),0)+IFERROR(ROUND(VLOOKUP($A56,S275_21,20,FALSE)*VLOOKUP($A56,'3121% SY'!$C$3:$M$324,11,FALSE),3),0)+IFERROR(ROUND(VLOOKUP($A56,S275_21,21,FALSE)*VLOOKUP($A56,'3121% SY'!$C$3:$M$324,11,FALSE),3),0)+IFERROR(ROUND(VLOOKUP($A56,S275_21,22,FALSE)*VLOOKUP($A56,'3121% SY'!$C$3:$M$324,11,FALSE),3),0)+IFERROR(VLOOKUP($A56,S275_09,8,FALSE),0)</f>
        <v>0</v>
      </c>
      <c r="V56" s="267">
        <f>IFERROR(VLOOKUP($A56,Supp_44,14,FALSE),0)+IFERROR(SUMPRODUCT(VLOOKUP($A56,S275_01,{23,24,25},FALSE)),0)+IFERROR(SUMPRODUCT(VLOOKUP($A56,S275_97,{23,24,25},FALSE)),0)+IFERROR(ROUND(VLOOKUP($A56,S275_21,23,FALSE)*VLOOKUP($A56,'3121% SY'!$C$3:$M$324,11,FALSE),3),0)+IFERROR(ROUND(VLOOKUP($A56,S275_21,24,FALSE)*VLOOKUP($A56,'3121% SY'!$C$3:$M$324,11,FALSE),3),0)+IFERROR(ROUND(VLOOKUP($A56,S275_21,25,FALSE)*VLOOKUP($A56,'3121% SY'!$C$3:$M$324,11,FALSE),3),0)+IFERROR(VLOOKUP($A56,S275_09,9,FALSE),0)</f>
        <v>0</v>
      </c>
      <c r="W56" s="267">
        <f>IFERROR(VLOOKUP($A56,Supp_45,14,FALSE),0)+IFERROR(SUMPRODUCT(VLOOKUP($A56,S275_01,{26,27,28},FALSE)),0)+IFERROR(SUMPRODUCT(VLOOKUP($A56,S275_97,{26,27,28},FALSE)),0)+IFERROR(ROUND(VLOOKUP($A56,S275_21,26,FALSE)*VLOOKUP($A56,'3121% SY'!$C$3:$M$324,11,FALSE),3),0)+IFERROR(ROUND(VLOOKUP($A56,S275_21,27,FALSE)*VLOOKUP($A56,'3121% SY'!$C$3:$M$324,11,FALSE),3),0)+IFERROR(ROUND(VLOOKUP($A56,S275_21,28,FALSE)*VLOOKUP($A56,'3121% SY'!$C$3:$M$324,11,FALSE),3),0)+IFERROR(VLOOKUP($A56,S275_09,10,FALSE),0)</f>
        <v>0</v>
      </c>
      <c r="X56" s="267">
        <f>IFERROR(VLOOKUP($A56,Supp_46,14,FALSE),0)+IFERROR(SUMPRODUCT(VLOOKUP($A56,S275_01,{29,30,31},FALSE)),0)+IFERROR(SUMPRODUCT(VLOOKUP($A56,S275_97,{29,30,31},FALSE)),0)+IFERROR(ROUND(VLOOKUP($A56,S275_21,29,FALSE)*VLOOKUP($A56,'3121% SY'!$C$3:$M$324,11,FALSE),3),0)+IFERROR(ROUND(VLOOKUP($A56,S275_21,30,FALSE)*VLOOKUP($A56,'3121% SY'!$C$3:$M$324,11,FALSE),3),0)+IFERROR(ROUND(VLOOKUP($A56,S275_21,31,FALSE)*VLOOKUP($A56,'3121% SY'!$C$3:$M$324,11,FALSE),3),0)+IFERROR(VLOOKUP($A56,S275_09,11,FALSE),0)</f>
        <v>0</v>
      </c>
      <c r="Y56" s="267">
        <f>IFERROR(VLOOKUP($A56,Supp_47,14,FALSE),0)+IFERROR(SUMPRODUCT(VLOOKUP($A56,S275_01,{32,33,34},FALSE)),0)+IFERROR(SUMPRODUCT(VLOOKUP($A56,S275_97,{32,33,34},FALSE)),0)+IFERROR(ROUND(VLOOKUP($A56,S275_21,32,FALSE)*VLOOKUP($A56,'3121% SY'!$C$3:$M$324,11,FALSE),3),0)+IFERROR(ROUND(VLOOKUP($A56,S275_21,33,FALSE)*VLOOKUP($A56,'3121% SY'!$C$3:$M$324,11,FALSE),3),0)+IFERROR(ROUND(VLOOKUP($A56,S275_21,34,FALSE)*VLOOKUP($A56,'3121% SY'!$C$3:$M$324,11,FALSE),3),0)+IFERROR(VLOOKUP($A56,S275_09,12,FALSE),0)</f>
        <v>0</v>
      </c>
      <c r="Z56" s="267">
        <f>IFERROR(VLOOKUP($A56,Supp_48,14,FALSE),0)+IFERROR(SUMPRODUCT(VLOOKUP($A56,S275_01,{35,36,37},FALSE)),0)+IFERROR(SUMPRODUCT(VLOOKUP($A56,S275_97,{35,36,37},FALSE)),0)+IFERROR(ROUND(VLOOKUP($A56,S275_21,35,FALSE)*VLOOKUP($A56,'3121% SY'!$C$3:$M$324,11,FALSE),3),0)+IFERROR(ROUND(VLOOKUP($A56,S275_21,36,FALSE)*VLOOKUP($A56,'3121% SY'!$C$3:$M$324,11,FALSE),3),0)+IFERROR(ROUND(VLOOKUP($A56,S275_21,37,FALSE)*VLOOKUP($A56,'3121% SY'!$C$3:$M$324,11,FALSE),3),0)+IFERROR(VLOOKUP($A56,S275_09,13,FALSE),0)</f>
        <v>0</v>
      </c>
      <c r="AA56" s="267">
        <f>IFERROR(VLOOKUP($A56,Supp_49,14,FALSE),0)+IFERROR(SUMPRODUCT(VLOOKUP($A56,S275_01,{38,39,40},FALSE)),0)+IFERROR(SUMPRODUCT(VLOOKUP($A56,S275_97,{38,39,40},FALSE)),0)+IFERROR(ROUND(VLOOKUP($A56,S275_21,38,FALSE)*VLOOKUP($A56,'3121% SY'!$C$3:$M$324,11,FALSE),3),0)+IFERROR(ROUND(VLOOKUP($A56,S275_21,39,FALSE)*VLOOKUP($A56,'3121% SY'!$C$3:$M$324,11,FALSE),3),0)+IFERROR(ROUND(VLOOKUP($A56,S275_21,40,FALSE)*VLOOKUP($A56,'3121% SY'!$C$3:$M$324,11,FALSE),3),0)+IFERROR(VLOOKUP($A56,S275_09,14,FALSE),0)</f>
        <v>0</v>
      </c>
      <c r="AB56" s="267">
        <f>IFERROR(VLOOKUP($A56,Supp_64,14,FALSE),0)+IFERROR(SUMPRODUCT(VLOOKUP($A56,S275_01,{41,42,43},FALSE)),0)+IFERROR(SUMPRODUCT(VLOOKUP($A56,S275_97,{41,42,43},FALSE)),0)+IFERROR(ROUND(VLOOKUP($A56,S275_21,41,FALSE)*VLOOKUP($A56,'3121% SY'!$C$3:$M$324,11,FALSE),3),0)+IFERROR(ROUND(VLOOKUP($A56,S275_21,42,FALSE)*VLOOKUP($A56,'3121% SY'!$C$3:$M$324,11,FALSE),3),0)+IFERROR(ROUND(VLOOKUP($A56,S275_21,43,FALSE)*VLOOKUP($A56,'3121% SY'!$C$3:$M$324,11,FALSE),3),0)+IFERROR(VLOOKUP($A56,S275_09,15,FALSE),0)</f>
        <v>0</v>
      </c>
      <c r="AC56" s="268">
        <f t="shared" si="17"/>
        <v>1.7170000000000001</v>
      </c>
      <c r="AD56" s="267">
        <f>IFERROR(VLOOKUP($A56,Supp_24,14,FALSE),0)+IFERROR(SUMPRODUCT(VLOOKUP($A56,S275_01,{2,3,4},FALSE)),0)+IFERROR(SUMPRODUCT(VLOOKUP($A56,S275_97,{2,3,4},FALSE)),0)+IFERROR(ROUND(VLOOKUP($A56,S275_21,2,FALSE)*VLOOKUP($A56,'3121% SY'!$C$3:$M$324,11,FALSE),3),0)+IFERROR(ROUND(VLOOKUP($A56,S275_21,3,FALSE)*VLOOKUP($A56,'3121% SY'!$C$3:$M$324,11,FALSE),3),0)+IFERROR(ROUND(VLOOKUP($A56,S275_21,4,FALSE)*VLOOKUP($A56,'3121% SY'!$C$3:$M$324,11,FALSE),3),0)+IFERROR(VLOOKUP($A56,S275_09,2,FALSE),0)</f>
        <v>0</v>
      </c>
      <c r="AE56" s="267">
        <f>IFERROR(VLOOKUP($A56,Supp_25,14,FALSE),0)+IFERROR(SUMPRODUCT(VLOOKUP($A56,S275_01,{5,6,7},FALSE)),0)+IFERROR(SUMPRODUCT(VLOOKUP($A56,S275_97,{5,6,7},FALSE)),0)+IFERROR(ROUND(VLOOKUP($A56,S275_21,5,FALSE)*VLOOKUP($A56,'3121% SY'!$C$3:$M$324,11,FALSE),3),0)+IFERROR(ROUND(VLOOKUP($A56,S275_21,6,FALSE)*VLOOKUP($A56,'3121% SY'!$C$3:$M$324,11,FALSE),3),0)+IFERROR(ROUND(VLOOKUP($A56,S275_21,7,FALSE)*VLOOKUP($A56,'3121% SY'!$C$3:$M$324,11,FALSE),3),0)+IFERROR(VLOOKUP($A56,S275_09,3,FALSE),0)</f>
        <v>0.23399999999999999</v>
      </c>
      <c r="AF56" s="267">
        <f>IFERROR(VLOOKUP($A56,Supp_26,14,FALSE),0)+IFERROR(SUMPRODUCT(VLOOKUP($A56,S275_01,{8,9,10},FALSE)),0)+IFERROR(SUMPRODUCT(VLOOKUP($A56,S275_97,{8,9,10},FALSE)),0)+IFERROR(ROUND(VLOOKUP($A56,S275_21,8,FALSE)*VLOOKUP($A56,'3121% SY'!$C$3:$M$324,11,FALSE),3),0)+IFERROR(ROUND(VLOOKUP($A56,S275_21,9,FALSE)*VLOOKUP($A56,'3121% SY'!$C$3:$M$324,11,FALSE),3),0)+IFERROR(ROUND(VLOOKUP($A56,S275_21,10,FALSE)*VLOOKUP($A56,'3121% SY'!$C$3:$M$324,11,FALSE),3),0)+IFERROR(VLOOKUP($A56,S275_09,4,FALSE),0)</f>
        <v>0.59200000000000008</v>
      </c>
      <c r="AG56" s="267">
        <f>IFERROR(VLOOKUP($A56,Supp_35,14,FALSE),0)+IFERROR(SUMPRODUCT(VLOOKUP($A56,S275_01,{11,12,13},FALSE)),0)+IFERROR(SUMPRODUCT(VLOOKUP($A56,S275_97,{11,12,13},FALSE)),0)+IFERROR(ROUND(VLOOKUP($A56,S275_21,11,FALSE)*VLOOKUP($A56,'3121% SY'!$C$3:$M$324,11,FALSE),3),0)+IFERROR(ROUND(VLOOKUP($A56,S275_21,12,FALSE)*VLOOKUP($A56,'3121% SY'!$C$3:$M$324,11,FALSE),3),0)+IFERROR(ROUND(VLOOKUP($A56,S275_21,13,FALSE)*VLOOKUP($A56,'3121% SY'!$C$3:$M$324,11,FALSE),3),0)+IFERROR(VLOOKUP($A56,S275_09,5,FALSE),0)</f>
        <v>0</v>
      </c>
      <c r="AH56" s="165">
        <f t="shared" si="15"/>
        <v>0.82600000000000007</v>
      </c>
      <c r="AI56" s="161">
        <f>IFERROR(VLOOKUP(A56,'Supp Staff Data'!A:ER,148,FALSE),0)+AB56</f>
        <v>0</v>
      </c>
      <c r="AJ56" s="174">
        <v>1</v>
      </c>
      <c r="AK56" s="25">
        <f>VLOOKUP(A56,'Enroll Data as of January 2025'!$A$3:$T$323,20,FALSE)-F56</f>
        <v>0</v>
      </c>
    </row>
    <row r="57" spans="1:37" x14ac:dyDescent="0.25">
      <c r="A57" s="171" t="s">
        <v>284</v>
      </c>
      <c r="B57" t="s">
        <v>580</v>
      </c>
      <c r="C57" s="173" t="s">
        <v>1077</v>
      </c>
      <c r="D57" s="259">
        <f t="shared" si="9"/>
        <v>0.84000000000000008</v>
      </c>
      <c r="E57" s="259">
        <f t="shared" si="10"/>
        <v>1.67</v>
      </c>
      <c r="F57" s="262">
        <f t="shared" si="18"/>
        <v>0.83</v>
      </c>
      <c r="G57" s="161">
        <f>ROUND(IF(F57&lt;0,F57*'2024-25 PSES Compliance'!$G$13,0),3)</f>
        <v>0</v>
      </c>
      <c r="H57" s="161">
        <f>ROUND(IF(F57&lt;0,F57*'2024-25 PSES Compliance'!$G$14,0),3)</f>
        <v>0</v>
      </c>
      <c r="I57" s="174">
        <f t="shared" si="11"/>
        <v>0</v>
      </c>
      <c r="J57" s="174">
        <f t="shared" si="12"/>
        <v>0.78443113772455086</v>
      </c>
      <c r="K57" s="161">
        <f>VLOOKUP($A57,'Enroll Data as of January 2025'!$A$3:$M$322,6,FALSE)</f>
        <v>0.45100000000000001</v>
      </c>
      <c r="L57" s="161">
        <f>VLOOKUP($A57,'Enroll Data as of January 2025'!$A$3:$M$322,7,FALSE)</f>
        <v>8.7000000000000008E-2</v>
      </c>
      <c r="M57" s="161">
        <f>VLOOKUP($A57,'Enroll Data as of January 2025'!$A$3:$M$322,8,FALSE)</f>
        <v>2.8999999999999998E-2</v>
      </c>
      <c r="N57" s="161">
        <f>VLOOKUP($A57,'Enroll Data as of January 2025'!$A$3:$M$322,9,FALSE)</f>
        <v>0.222</v>
      </c>
      <c r="O57" s="165">
        <f t="shared" si="13"/>
        <v>0.78900000000000003</v>
      </c>
      <c r="P57" s="161">
        <f>VLOOKUP($A57,'Enroll Data as of January 2025'!$A$3:$M$322,11,FALSE)</f>
        <v>3.0000000000000002E-2</v>
      </c>
      <c r="Q57" s="161">
        <f>VLOOKUP($A57,'Enroll Data as of January 2025'!$A$3:$M$322,12,FALSE)</f>
        <v>2.1000000000000001E-2</v>
      </c>
      <c r="R57" s="165">
        <f t="shared" si="14"/>
        <v>5.1000000000000004E-2</v>
      </c>
      <c r="S57" s="267">
        <f>IFERROR(VLOOKUP($A57,Supp_39,14,FALSE),0)+IFERROR(SUMPRODUCT(VLOOKUP($A57,S275_01,{14,15,16},FALSE)),0)+IFERROR(SUMPRODUCT(VLOOKUP($A57,S275_97,{14,15,16},FALSE)),0)+IFERROR(ROUND(VLOOKUP($A57,S275_21,14,FALSE)*VLOOKUP($A57,'3121% SY'!$C$3:$M$324,11,FALSE),3),0)+IFERROR(ROUND(VLOOKUP($A57,S275_21,15,FALSE)*VLOOKUP($A57,'3121% SY'!$C$3:$M$324,11,FALSE),3),0)+IFERROR(ROUND(VLOOKUP($A57,S275_21,16,FALSE)*VLOOKUP($A57,'3121% SY'!$C$3:$M$324,11,FALSE),3),0)+IFERROR(VLOOKUP($A57,S275_09,6,FALSE),0)</f>
        <v>0.29700000000000004</v>
      </c>
      <c r="T57" s="267">
        <f>IFERROR(VLOOKUP($A57,Supp_42,14,FALSE),0)+IFERROR(SUMPRODUCT(VLOOKUP($A57,S275_01,{17,18,19},FALSE)),0)+IFERROR(SUMPRODUCT(VLOOKUP($A57,S275_97,{17,18,19},FALSE)),0)+IFERROR(ROUND(VLOOKUP($A57,S275_21,17,FALSE)*VLOOKUP($A57,'3121% SY'!$C$3:$M$324,11,FALSE),3),0)+IFERROR(ROUND(VLOOKUP($A57,S275_21,18,FALSE)*VLOOKUP($A57,'3121% SY'!$C$3:$M$324,11,FALSE),3),0)+IFERROR(ROUND(VLOOKUP($A57,S275_21,19,FALSE)*VLOOKUP($A57,'3121% SY'!$C$3:$M$324,11,FALSE),3),0)+IFERROR(VLOOKUP($A57,S275_09,7,FALSE),0)</f>
        <v>1.2109999999999999</v>
      </c>
      <c r="U57" s="267">
        <f>IFERROR(VLOOKUP($A57,Supp_43,14,FALSE),0)+IFERROR(SUMPRODUCT(VLOOKUP($A57,S275_01,{20,21,22},FALSE)),0)+IFERROR(SUMPRODUCT(VLOOKUP($A57,S275_97,{20,21,22},FALSE)),0)+IFERROR(ROUND(VLOOKUP($A57,S275_21,20,FALSE)*VLOOKUP($A57,'3121% SY'!$C$3:$M$324,11,FALSE),3),0)+IFERROR(ROUND(VLOOKUP($A57,S275_21,21,FALSE)*VLOOKUP($A57,'3121% SY'!$C$3:$M$324,11,FALSE),3),0)+IFERROR(ROUND(VLOOKUP($A57,S275_21,22,FALSE)*VLOOKUP($A57,'3121% SY'!$C$3:$M$324,11,FALSE),3),0)+IFERROR(VLOOKUP($A57,S275_09,8,FALSE),0)</f>
        <v>6.0000000000000001E-3</v>
      </c>
      <c r="V57" s="267">
        <f>IFERROR(VLOOKUP($A57,Supp_44,14,FALSE),0)+IFERROR(SUMPRODUCT(VLOOKUP($A57,S275_01,{23,24,25},FALSE)),0)+IFERROR(SUMPRODUCT(VLOOKUP($A57,S275_97,{23,24,25},FALSE)),0)+IFERROR(ROUND(VLOOKUP($A57,S275_21,23,FALSE)*VLOOKUP($A57,'3121% SY'!$C$3:$M$324,11,FALSE),3),0)+IFERROR(ROUND(VLOOKUP($A57,S275_21,24,FALSE)*VLOOKUP($A57,'3121% SY'!$C$3:$M$324,11,FALSE),3),0)+IFERROR(ROUND(VLOOKUP($A57,S275_21,25,FALSE)*VLOOKUP($A57,'3121% SY'!$C$3:$M$324,11,FALSE),3),0)+IFERROR(VLOOKUP($A57,S275_09,9,FALSE),0)</f>
        <v>0</v>
      </c>
      <c r="W57" s="267">
        <f>IFERROR(VLOOKUP($A57,Supp_45,14,FALSE),0)+IFERROR(SUMPRODUCT(VLOOKUP($A57,S275_01,{26,27,28},FALSE)),0)+IFERROR(SUMPRODUCT(VLOOKUP($A57,S275_97,{26,27,28},FALSE)),0)+IFERROR(ROUND(VLOOKUP($A57,S275_21,26,FALSE)*VLOOKUP($A57,'3121% SY'!$C$3:$M$324,11,FALSE),3),0)+IFERROR(ROUND(VLOOKUP($A57,S275_21,27,FALSE)*VLOOKUP($A57,'3121% SY'!$C$3:$M$324,11,FALSE),3),0)+IFERROR(ROUND(VLOOKUP($A57,S275_21,28,FALSE)*VLOOKUP($A57,'3121% SY'!$C$3:$M$324,11,FALSE),3),0)+IFERROR(VLOOKUP($A57,S275_09,10,FALSE),0)</f>
        <v>6.9000000000000006E-2</v>
      </c>
      <c r="X57" s="267">
        <f>IFERROR(VLOOKUP($A57,Supp_46,14,FALSE),0)+IFERROR(SUMPRODUCT(VLOOKUP($A57,S275_01,{29,30,31},FALSE)),0)+IFERROR(SUMPRODUCT(VLOOKUP($A57,S275_97,{29,30,31},FALSE)),0)+IFERROR(ROUND(VLOOKUP($A57,S275_21,29,FALSE)*VLOOKUP($A57,'3121% SY'!$C$3:$M$324,11,FALSE),3),0)+IFERROR(ROUND(VLOOKUP($A57,S275_21,30,FALSE)*VLOOKUP($A57,'3121% SY'!$C$3:$M$324,11,FALSE),3),0)+IFERROR(ROUND(VLOOKUP($A57,S275_21,31,FALSE)*VLOOKUP($A57,'3121% SY'!$C$3:$M$324,11,FALSE),3),0)+IFERROR(VLOOKUP($A57,S275_09,11,FALSE),0)</f>
        <v>2.8000000000000001E-2</v>
      </c>
      <c r="Y57" s="267">
        <f>IFERROR(VLOOKUP($A57,Supp_47,14,FALSE),0)+IFERROR(SUMPRODUCT(VLOOKUP($A57,S275_01,{32,33,34},FALSE)),0)+IFERROR(SUMPRODUCT(VLOOKUP($A57,S275_97,{32,33,34},FALSE)),0)+IFERROR(ROUND(VLOOKUP($A57,S275_21,32,FALSE)*VLOOKUP($A57,'3121% SY'!$C$3:$M$324,11,FALSE),3),0)+IFERROR(ROUND(VLOOKUP($A57,S275_21,33,FALSE)*VLOOKUP($A57,'3121% SY'!$C$3:$M$324,11,FALSE),3),0)+IFERROR(ROUND(VLOOKUP($A57,S275_21,34,FALSE)*VLOOKUP($A57,'3121% SY'!$C$3:$M$324,11,FALSE),3),0)+IFERROR(VLOOKUP($A57,S275_09,12,FALSE),0)</f>
        <v>5.8999999999999997E-2</v>
      </c>
      <c r="Z57" s="267">
        <f>IFERROR(VLOOKUP($A57,Supp_48,14,FALSE),0)+IFERROR(SUMPRODUCT(VLOOKUP($A57,S275_01,{35,36,37},FALSE)),0)+IFERROR(SUMPRODUCT(VLOOKUP($A57,S275_97,{35,36,37},FALSE)),0)+IFERROR(ROUND(VLOOKUP($A57,S275_21,35,FALSE)*VLOOKUP($A57,'3121% SY'!$C$3:$M$324,11,FALSE),3),0)+IFERROR(ROUND(VLOOKUP($A57,S275_21,36,FALSE)*VLOOKUP($A57,'3121% SY'!$C$3:$M$324,11,FALSE),3),0)+IFERROR(ROUND(VLOOKUP($A57,S275_21,37,FALSE)*VLOOKUP($A57,'3121% SY'!$C$3:$M$324,11,FALSE),3),0)+IFERROR(VLOOKUP($A57,S275_09,13,FALSE),0)</f>
        <v>0</v>
      </c>
      <c r="AA57" s="267">
        <f>IFERROR(VLOOKUP($A57,Supp_49,14,FALSE),0)+IFERROR(SUMPRODUCT(VLOOKUP($A57,S275_01,{38,39,40},FALSE)),0)+IFERROR(SUMPRODUCT(VLOOKUP($A57,S275_97,{38,39,40},FALSE)),0)+IFERROR(ROUND(VLOOKUP($A57,S275_21,38,FALSE)*VLOOKUP($A57,'3121% SY'!$C$3:$M$324,11,FALSE),3),0)+IFERROR(ROUND(VLOOKUP($A57,S275_21,39,FALSE)*VLOOKUP($A57,'3121% SY'!$C$3:$M$324,11,FALSE),3),0)+IFERROR(ROUND(VLOOKUP($A57,S275_21,40,FALSE)*VLOOKUP($A57,'3121% SY'!$C$3:$M$324,11,FALSE),3),0)+IFERROR(VLOOKUP($A57,S275_09,14,FALSE),0)</f>
        <v>0</v>
      </c>
      <c r="AB57" s="267">
        <f>IFERROR(VLOOKUP($A57,Supp_64,14,FALSE),0)+IFERROR(SUMPRODUCT(VLOOKUP($A57,S275_01,{41,42,43},FALSE)),0)+IFERROR(SUMPRODUCT(VLOOKUP($A57,S275_97,{41,42,43},FALSE)),0)+IFERROR(ROUND(VLOOKUP($A57,S275_21,41,FALSE)*VLOOKUP($A57,'3121% SY'!$C$3:$M$324,11,FALSE),3),0)+IFERROR(ROUND(VLOOKUP($A57,S275_21,42,FALSE)*VLOOKUP($A57,'3121% SY'!$C$3:$M$324,11,FALSE),3),0)+IFERROR(ROUND(VLOOKUP($A57,S275_21,43,FALSE)*VLOOKUP($A57,'3121% SY'!$C$3:$M$324,11,FALSE),3),0)+IFERROR(VLOOKUP($A57,S275_09,15,FALSE),0)</f>
        <v>0</v>
      </c>
      <c r="AC57" s="268">
        <f t="shared" si="17"/>
        <v>1.67</v>
      </c>
      <c r="AD57" s="267">
        <f>IFERROR(VLOOKUP($A57,Supp_24,14,FALSE),0)+IFERROR(SUMPRODUCT(VLOOKUP($A57,S275_01,{2,3,4},FALSE)),0)+IFERROR(SUMPRODUCT(VLOOKUP($A57,S275_97,{2,3,4},FALSE)),0)+IFERROR(ROUND(VLOOKUP($A57,S275_21,2,FALSE)*VLOOKUP($A57,'3121% SY'!$C$3:$M$324,11,FALSE),3),0)+IFERROR(ROUND(VLOOKUP($A57,S275_21,3,FALSE)*VLOOKUP($A57,'3121% SY'!$C$3:$M$324,11,FALSE),3),0)+IFERROR(ROUND(VLOOKUP($A57,S275_21,4,FALSE)*VLOOKUP($A57,'3121% SY'!$C$3:$M$324,11,FALSE),3),0)+IFERROR(VLOOKUP($A57,S275_09,2,FALSE),0)</f>
        <v>0</v>
      </c>
      <c r="AE57" s="267">
        <f>IFERROR(VLOOKUP($A57,Supp_25,14,FALSE),0)+IFERROR(SUMPRODUCT(VLOOKUP($A57,S275_01,{5,6,7},FALSE)),0)+IFERROR(SUMPRODUCT(VLOOKUP($A57,S275_97,{5,6,7},FALSE)),0)+IFERROR(ROUND(VLOOKUP($A57,S275_21,5,FALSE)*VLOOKUP($A57,'3121% SY'!$C$3:$M$324,11,FALSE),3),0)+IFERROR(ROUND(VLOOKUP($A57,S275_21,6,FALSE)*VLOOKUP($A57,'3121% SY'!$C$3:$M$324,11,FALSE),3),0)+IFERROR(ROUND(VLOOKUP($A57,S275_21,7,FALSE)*VLOOKUP($A57,'3121% SY'!$C$3:$M$324,11,FALSE),3),0)+IFERROR(VLOOKUP($A57,S275_09,3,FALSE),0)</f>
        <v>0</v>
      </c>
      <c r="AF57" s="267">
        <f>IFERROR(VLOOKUP($A57,Supp_26,14,FALSE),0)+IFERROR(SUMPRODUCT(VLOOKUP($A57,S275_01,{8,9,10},FALSE)),0)+IFERROR(SUMPRODUCT(VLOOKUP($A57,S275_97,{8,9,10},FALSE)),0)+IFERROR(ROUND(VLOOKUP($A57,S275_21,8,FALSE)*VLOOKUP($A57,'3121% SY'!$C$3:$M$324,11,FALSE),3),0)+IFERROR(ROUND(VLOOKUP($A57,S275_21,9,FALSE)*VLOOKUP($A57,'3121% SY'!$C$3:$M$324,11,FALSE),3),0)+IFERROR(ROUND(VLOOKUP($A57,S275_21,10,FALSE)*VLOOKUP($A57,'3121% SY'!$C$3:$M$324,11,FALSE),3),0)+IFERROR(VLOOKUP($A57,S275_09,4,FALSE),0)</f>
        <v>0</v>
      </c>
      <c r="AG57" s="267">
        <f>IFERROR(VLOOKUP($A57,Supp_35,14,FALSE),0)+IFERROR(SUMPRODUCT(VLOOKUP($A57,S275_01,{11,12,13},FALSE)),0)+IFERROR(SUMPRODUCT(VLOOKUP($A57,S275_97,{11,12,13},FALSE)),0)+IFERROR(ROUND(VLOOKUP($A57,S275_21,11,FALSE)*VLOOKUP($A57,'3121% SY'!$C$3:$M$324,11,FALSE),3),0)+IFERROR(ROUND(VLOOKUP($A57,S275_21,12,FALSE)*VLOOKUP($A57,'3121% SY'!$C$3:$M$324,11,FALSE),3),0)+IFERROR(ROUND(VLOOKUP($A57,S275_21,13,FALSE)*VLOOKUP($A57,'3121% SY'!$C$3:$M$324,11,FALSE),3),0)+IFERROR(VLOOKUP($A57,S275_09,5,FALSE),0)</f>
        <v>0</v>
      </c>
      <c r="AH57" s="165">
        <f t="shared" si="15"/>
        <v>0</v>
      </c>
      <c r="AI57" s="161">
        <f>IFERROR(VLOOKUP(A57,'Supp Staff Data'!A:ER,148,FALSE),0)+AB57</f>
        <v>1.3099999999999998</v>
      </c>
      <c r="AJ57" s="174">
        <v>0</v>
      </c>
      <c r="AK57" s="25">
        <f>VLOOKUP(A57,'Enroll Data as of January 2025'!$A$3:$T$323,20,FALSE)-F57</f>
        <v>0</v>
      </c>
    </row>
    <row r="58" spans="1:37" x14ac:dyDescent="0.25">
      <c r="A58" s="171" t="s">
        <v>176</v>
      </c>
      <c r="B58" t="s">
        <v>472</v>
      </c>
      <c r="C58" s="173" t="s">
        <v>1077</v>
      </c>
      <c r="D58" s="259">
        <f t="shared" si="9"/>
        <v>2.819</v>
      </c>
      <c r="E58" s="259">
        <f t="shared" si="10"/>
        <v>1.8180000000000001</v>
      </c>
      <c r="F58" s="262">
        <f t="shared" si="18"/>
        <v>-1.0009999999999999</v>
      </c>
      <c r="G58" s="161">
        <f>ROUND(IF(F58&lt;0,F58*'2024-25 PSES Compliance'!$G$13,0),3)</f>
        <v>-0.96099999999999997</v>
      </c>
      <c r="H58" s="161">
        <f>ROUND(IF(F58&lt;0,F58*'2024-25 PSES Compliance'!$G$14,0),3)</f>
        <v>-0.04</v>
      </c>
      <c r="I58" s="174">
        <f t="shared" si="11"/>
        <v>0.39383938393839379</v>
      </c>
      <c r="J58" s="174">
        <f t="shared" si="12"/>
        <v>0.88778877887788765</v>
      </c>
      <c r="K58" s="161">
        <f>VLOOKUP($A58,'Enroll Data as of January 2025'!$A$3:$M$322,6,FALSE)</f>
        <v>1.577</v>
      </c>
      <c r="L58" s="161">
        <f>VLOOKUP($A58,'Enroll Data as of January 2025'!$A$3:$M$322,7,FALSE)</f>
        <v>0.26400000000000001</v>
      </c>
      <c r="M58" s="161">
        <f>VLOOKUP($A58,'Enroll Data as of January 2025'!$A$3:$M$322,8,FALSE)</f>
        <v>8.7999999999999995E-2</v>
      </c>
      <c r="N58" s="161">
        <f>VLOOKUP($A58,'Enroll Data as of January 2025'!$A$3:$M$322,9,FALSE)</f>
        <v>0.73099999999999998</v>
      </c>
      <c r="O58" s="165">
        <f t="shared" si="13"/>
        <v>2.66</v>
      </c>
      <c r="P58" s="161">
        <f>VLOOKUP($A58,'Enroll Data as of January 2025'!$A$3:$M$322,11,FALSE)</f>
        <v>9.9000000000000005E-2</v>
      </c>
      <c r="Q58" s="161">
        <f>VLOOKUP($A58,'Enroll Data as of January 2025'!$A$3:$M$322,12,FALSE)</f>
        <v>0.06</v>
      </c>
      <c r="R58" s="165">
        <f t="shared" si="14"/>
        <v>0.159</v>
      </c>
      <c r="S58" s="267">
        <f>IFERROR(VLOOKUP($A58,Supp_39,14,FALSE),0)+IFERROR(SUMPRODUCT(VLOOKUP($A58,S275_01,{14,15,16},FALSE)),0)+IFERROR(SUMPRODUCT(VLOOKUP($A58,S275_97,{14,15,16},FALSE)),0)+IFERROR(ROUND(VLOOKUP($A58,S275_21,14,FALSE)*VLOOKUP($A58,'3121% SY'!$C$3:$M$324,11,FALSE),3),0)+IFERROR(ROUND(VLOOKUP($A58,S275_21,15,FALSE)*VLOOKUP($A58,'3121% SY'!$C$3:$M$324,11,FALSE),3),0)+IFERROR(ROUND(VLOOKUP($A58,S275_21,16,FALSE)*VLOOKUP($A58,'3121% SY'!$C$3:$M$324,11,FALSE),3),0)+IFERROR(VLOOKUP($A58,S275_09,6,FALSE),0)</f>
        <v>0</v>
      </c>
      <c r="T58" s="267">
        <f>IFERROR(VLOOKUP($A58,Supp_42,14,FALSE),0)+IFERROR(SUMPRODUCT(VLOOKUP($A58,S275_01,{17,18,19},FALSE)),0)+IFERROR(SUMPRODUCT(VLOOKUP($A58,S275_97,{17,18,19},FALSE)),0)+IFERROR(ROUND(VLOOKUP($A58,S275_21,17,FALSE)*VLOOKUP($A58,'3121% SY'!$C$3:$M$324,11,FALSE),3),0)+IFERROR(ROUND(VLOOKUP($A58,S275_21,18,FALSE)*VLOOKUP($A58,'3121% SY'!$C$3:$M$324,11,FALSE),3),0)+IFERROR(ROUND(VLOOKUP($A58,S275_21,19,FALSE)*VLOOKUP($A58,'3121% SY'!$C$3:$M$324,11,FALSE),3),0)+IFERROR(VLOOKUP($A58,S275_09,7,FALSE),0)</f>
        <v>0</v>
      </c>
      <c r="U58" s="267">
        <f>IFERROR(VLOOKUP($A58,Supp_43,14,FALSE),0)+IFERROR(SUMPRODUCT(VLOOKUP($A58,S275_01,{20,21,22},FALSE)),0)+IFERROR(SUMPRODUCT(VLOOKUP($A58,S275_97,{20,21,22},FALSE)),0)+IFERROR(ROUND(VLOOKUP($A58,S275_21,20,FALSE)*VLOOKUP($A58,'3121% SY'!$C$3:$M$324,11,FALSE),3),0)+IFERROR(ROUND(VLOOKUP($A58,S275_21,21,FALSE)*VLOOKUP($A58,'3121% SY'!$C$3:$M$324,11,FALSE),3),0)+IFERROR(ROUND(VLOOKUP($A58,S275_21,22,FALSE)*VLOOKUP($A58,'3121% SY'!$C$3:$M$324,11,FALSE),3),0)+IFERROR(VLOOKUP($A58,S275_09,8,FALSE),0)</f>
        <v>0</v>
      </c>
      <c r="V58" s="267">
        <f>IFERROR(VLOOKUP($A58,Supp_44,14,FALSE),0)+IFERROR(SUMPRODUCT(VLOOKUP($A58,S275_01,{23,24,25},FALSE)),0)+IFERROR(SUMPRODUCT(VLOOKUP($A58,S275_97,{23,24,25},FALSE)),0)+IFERROR(ROUND(VLOOKUP($A58,S275_21,23,FALSE)*VLOOKUP($A58,'3121% SY'!$C$3:$M$324,11,FALSE),3),0)+IFERROR(ROUND(VLOOKUP($A58,S275_21,24,FALSE)*VLOOKUP($A58,'3121% SY'!$C$3:$M$324,11,FALSE),3),0)+IFERROR(ROUND(VLOOKUP($A58,S275_21,25,FALSE)*VLOOKUP($A58,'3121% SY'!$C$3:$M$324,11,FALSE),3),0)+IFERROR(VLOOKUP($A58,S275_09,9,FALSE),0)</f>
        <v>0</v>
      </c>
      <c r="W58" s="267">
        <f>IFERROR(VLOOKUP($A58,Supp_45,14,FALSE),0)+IFERROR(SUMPRODUCT(VLOOKUP($A58,S275_01,{26,27,28},FALSE)),0)+IFERROR(SUMPRODUCT(VLOOKUP($A58,S275_97,{26,27,28},FALSE)),0)+IFERROR(ROUND(VLOOKUP($A58,S275_21,26,FALSE)*VLOOKUP($A58,'3121% SY'!$C$3:$M$324,11,FALSE),3),0)+IFERROR(ROUND(VLOOKUP($A58,S275_21,27,FALSE)*VLOOKUP($A58,'3121% SY'!$C$3:$M$324,11,FALSE),3),0)+IFERROR(ROUND(VLOOKUP($A58,S275_21,28,FALSE)*VLOOKUP($A58,'3121% SY'!$C$3:$M$324,11,FALSE),3),0)+IFERROR(VLOOKUP($A58,S275_09,10,FALSE),0)</f>
        <v>0.21599999999999997</v>
      </c>
      <c r="X58" s="267">
        <f>IFERROR(VLOOKUP($A58,Supp_46,14,FALSE),0)+IFERROR(SUMPRODUCT(VLOOKUP($A58,S275_01,{29,30,31},FALSE)),0)+IFERROR(SUMPRODUCT(VLOOKUP($A58,S275_97,{29,30,31},FALSE)),0)+IFERROR(ROUND(VLOOKUP($A58,S275_21,29,FALSE)*VLOOKUP($A58,'3121% SY'!$C$3:$M$324,11,FALSE),3),0)+IFERROR(ROUND(VLOOKUP($A58,S275_21,30,FALSE)*VLOOKUP($A58,'3121% SY'!$C$3:$M$324,11,FALSE),3),0)+IFERROR(ROUND(VLOOKUP($A58,S275_21,31,FALSE)*VLOOKUP($A58,'3121% SY'!$C$3:$M$324,11,FALSE),3),0)+IFERROR(VLOOKUP($A58,S275_09,11,FALSE),0)</f>
        <v>7.400000000000001E-2</v>
      </c>
      <c r="Y58" s="267">
        <f>IFERROR(VLOOKUP($A58,Supp_47,14,FALSE),0)+IFERROR(SUMPRODUCT(VLOOKUP($A58,S275_01,{32,33,34},FALSE)),0)+IFERROR(SUMPRODUCT(VLOOKUP($A58,S275_97,{32,33,34},FALSE)),0)+IFERROR(ROUND(VLOOKUP($A58,S275_21,32,FALSE)*VLOOKUP($A58,'3121% SY'!$C$3:$M$324,11,FALSE),3),0)+IFERROR(ROUND(VLOOKUP($A58,S275_21,33,FALSE)*VLOOKUP($A58,'3121% SY'!$C$3:$M$324,11,FALSE),3),0)+IFERROR(ROUND(VLOOKUP($A58,S275_21,34,FALSE)*VLOOKUP($A58,'3121% SY'!$C$3:$M$324,11,FALSE),3),0)+IFERROR(VLOOKUP($A58,S275_09,12,FALSE),0)</f>
        <v>0.33300000000000007</v>
      </c>
      <c r="Z58" s="267">
        <f>IFERROR(VLOOKUP($A58,Supp_48,14,FALSE),0)+IFERROR(SUMPRODUCT(VLOOKUP($A58,S275_01,{35,36,37},FALSE)),0)+IFERROR(SUMPRODUCT(VLOOKUP($A58,S275_97,{35,36,37},FALSE)),0)+IFERROR(ROUND(VLOOKUP($A58,S275_21,35,FALSE)*VLOOKUP($A58,'3121% SY'!$C$3:$M$324,11,FALSE),3),0)+IFERROR(ROUND(VLOOKUP($A58,S275_21,36,FALSE)*VLOOKUP($A58,'3121% SY'!$C$3:$M$324,11,FALSE),3),0)+IFERROR(ROUND(VLOOKUP($A58,S275_21,37,FALSE)*VLOOKUP($A58,'3121% SY'!$C$3:$M$324,11,FALSE),3),0)+IFERROR(VLOOKUP($A58,S275_09,13,FALSE),0)</f>
        <v>9.2999999999999985E-2</v>
      </c>
      <c r="AA58" s="267">
        <f>IFERROR(VLOOKUP($A58,Supp_49,14,FALSE),0)+IFERROR(SUMPRODUCT(VLOOKUP($A58,S275_01,{38,39,40},FALSE)),0)+IFERROR(SUMPRODUCT(VLOOKUP($A58,S275_97,{38,39,40},FALSE)),0)+IFERROR(ROUND(VLOOKUP($A58,S275_21,38,FALSE)*VLOOKUP($A58,'3121% SY'!$C$3:$M$324,11,FALSE),3),0)+IFERROR(ROUND(VLOOKUP($A58,S275_21,39,FALSE)*VLOOKUP($A58,'3121% SY'!$C$3:$M$324,11,FALSE),3),0)+IFERROR(ROUND(VLOOKUP($A58,S275_21,40,FALSE)*VLOOKUP($A58,'3121% SY'!$C$3:$M$324,11,FALSE),3),0)+IFERROR(VLOOKUP($A58,S275_09,14,FALSE),0)</f>
        <v>0</v>
      </c>
      <c r="AB58" s="267">
        <f>IFERROR(VLOOKUP($A58,Supp_64,14,FALSE),0)+IFERROR(SUMPRODUCT(VLOOKUP($A58,S275_01,{41,42,43},FALSE)),0)+IFERROR(SUMPRODUCT(VLOOKUP($A58,S275_97,{41,42,43},FALSE)),0)+IFERROR(ROUND(VLOOKUP($A58,S275_21,41,FALSE)*VLOOKUP($A58,'3121% SY'!$C$3:$M$324,11,FALSE),3),0)+IFERROR(ROUND(VLOOKUP($A58,S275_21,42,FALSE)*VLOOKUP($A58,'3121% SY'!$C$3:$M$324,11,FALSE),3),0)+IFERROR(ROUND(VLOOKUP($A58,S275_21,43,FALSE)*VLOOKUP($A58,'3121% SY'!$C$3:$M$324,11,FALSE),3),0)+IFERROR(VLOOKUP($A58,S275_09,15,FALSE),0)</f>
        <v>0</v>
      </c>
      <c r="AC58" s="268">
        <f t="shared" si="17"/>
        <v>0.71599999999999997</v>
      </c>
      <c r="AD58" s="267">
        <f>IFERROR(VLOOKUP($A58,Supp_24,14,FALSE),0)+IFERROR(SUMPRODUCT(VLOOKUP($A58,S275_01,{2,3,4},FALSE)),0)+IFERROR(SUMPRODUCT(VLOOKUP($A58,S275_97,{2,3,4},FALSE)),0)+IFERROR(ROUND(VLOOKUP($A58,S275_21,2,FALSE)*VLOOKUP($A58,'3121% SY'!$C$3:$M$324,11,FALSE),3),0)+IFERROR(ROUND(VLOOKUP($A58,S275_21,3,FALSE)*VLOOKUP($A58,'3121% SY'!$C$3:$M$324,11,FALSE),3),0)+IFERROR(ROUND(VLOOKUP($A58,S275_21,4,FALSE)*VLOOKUP($A58,'3121% SY'!$C$3:$M$324,11,FALSE),3),0)+IFERROR(VLOOKUP($A58,S275_09,2,FALSE),0)</f>
        <v>0</v>
      </c>
      <c r="AE58" s="267">
        <f>IFERROR(VLOOKUP($A58,Supp_25,14,FALSE),0)+IFERROR(SUMPRODUCT(VLOOKUP($A58,S275_01,{5,6,7},FALSE)),0)+IFERROR(SUMPRODUCT(VLOOKUP($A58,S275_97,{5,6,7},FALSE)),0)+IFERROR(ROUND(VLOOKUP($A58,S275_21,5,FALSE)*VLOOKUP($A58,'3121% SY'!$C$3:$M$324,11,FALSE),3),0)+IFERROR(ROUND(VLOOKUP($A58,S275_21,6,FALSE)*VLOOKUP($A58,'3121% SY'!$C$3:$M$324,11,FALSE),3),0)+IFERROR(ROUND(VLOOKUP($A58,S275_21,7,FALSE)*VLOOKUP($A58,'3121% SY'!$C$3:$M$324,11,FALSE),3),0)+IFERROR(VLOOKUP($A58,S275_09,3,FALSE),0)</f>
        <v>0.30300000000000005</v>
      </c>
      <c r="AF58" s="267">
        <f>IFERROR(VLOOKUP($A58,Supp_26,14,FALSE),0)+IFERROR(SUMPRODUCT(VLOOKUP($A58,S275_01,{8,9,10},FALSE)),0)+IFERROR(SUMPRODUCT(VLOOKUP($A58,S275_97,{8,9,10},FALSE)),0)+IFERROR(ROUND(VLOOKUP($A58,S275_21,8,FALSE)*VLOOKUP($A58,'3121% SY'!$C$3:$M$324,11,FALSE),3),0)+IFERROR(ROUND(VLOOKUP($A58,S275_21,9,FALSE)*VLOOKUP($A58,'3121% SY'!$C$3:$M$324,11,FALSE),3),0)+IFERROR(ROUND(VLOOKUP($A58,S275_21,10,FALSE)*VLOOKUP($A58,'3121% SY'!$C$3:$M$324,11,FALSE),3),0)+IFERROR(VLOOKUP($A58,S275_09,4,FALSE),0)</f>
        <v>0.79900000000000004</v>
      </c>
      <c r="AG58" s="267">
        <f>IFERROR(VLOOKUP($A58,Supp_35,14,FALSE),0)+IFERROR(SUMPRODUCT(VLOOKUP($A58,S275_01,{11,12,13},FALSE)),0)+IFERROR(SUMPRODUCT(VLOOKUP($A58,S275_97,{11,12,13},FALSE)),0)+IFERROR(ROUND(VLOOKUP($A58,S275_21,11,FALSE)*VLOOKUP($A58,'3121% SY'!$C$3:$M$324,11,FALSE),3),0)+IFERROR(ROUND(VLOOKUP($A58,S275_21,12,FALSE)*VLOOKUP($A58,'3121% SY'!$C$3:$M$324,11,FALSE),3),0)+IFERROR(ROUND(VLOOKUP($A58,S275_21,13,FALSE)*VLOOKUP($A58,'3121% SY'!$C$3:$M$324,11,FALSE),3),0)+IFERROR(VLOOKUP($A58,S275_09,5,FALSE),0)</f>
        <v>0</v>
      </c>
      <c r="AH58" s="165">
        <f t="shared" si="15"/>
        <v>1.1020000000000001</v>
      </c>
      <c r="AI58" s="161">
        <f>IFERROR(VLOOKUP(A58,'Supp Staff Data'!A:ER,148,FALSE),0)+AB58</f>
        <v>1.6139999999999999</v>
      </c>
      <c r="AJ58" s="174">
        <v>1</v>
      </c>
      <c r="AK58" s="25">
        <f>VLOOKUP(A58,'Enroll Data as of January 2025'!$A$3:$T$323,20,FALSE)-F58</f>
        <v>0</v>
      </c>
    </row>
    <row r="59" spans="1:37" x14ac:dyDescent="0.25">
      <c r="A59" s="171" t="s">
        <v>283</v>
      </c>
      <c r="B59" t="s">
        <v>579</v>
      </c>
      <c r="C59" s="173" t="s">
        <v>1077</v>
      </c>
      <c r="D59" s="259">
        <f t="shared" si="9"/>
        <v>0.16800000000000004</v>
      </c>
      <c r="E59" s="259">
        <f t="shared" si="10"/>
        <v>3.5000000000000003E-2</v>
      </c>
      <c r="F59" s="262">
        <f t="shared" si="18"/>
        <v>-0.13300000000000001</v>
      </c>
      <c r="G59" s="161">
        <f>ROUND(IF(F59&lt;0,F59*'2024-25 PSES Compliance'!$G$13,0),3)</f>
        <v>-0.128</v>
      </c>
      <c r="H59" s="161">
        <f>ROUND(IF(F59&lt;0,F59*'2024-25 PSES Compliance'!$G$14,0),3)</f>
        <v>-5.0000000000000001E-3</v>
      </c>
      <c r="I59" s="174">
        <f t="shared" si="11"/>
        <v>0</v>
      </c>
      <c r="J59" s="174">
        <f t="shared" si="12"/>
        <v>0</v>
      </c>
      <c r="K59" s="161">
        <f>VLOOKUP($A59,'Enroll Data as of January 2025'!$A$3:$M$322,6,FALSE)</f>
        <v>8.1000000000000003E-2</v>
      </c>
      <c r="L59" s="161">
        <f>VLOOKUP($A59,'Enroll Data as of January 2025'!$A$3:$M$322,7,FALSE)</f>
        <v>2.2000000000000002E-2</v>
      </c>
      <c r="M59" s="161">
        <f>VLOOKUP($A59,'Enroll Data as of January 2025'!$A$3:$M$322,8,FALSE)</f>
        <v>7.0000000000000001E-3</v>
      </c>
      <c r="N59" s="161">
        <f>VLOOKUP($A59,'Enroll Data as of January 2025'!$A$3:$M$322,9,FALSE)</f>
        <v>4.7E-2</v>
      </c>
      <c r="O59" s="165">
        <f t="shared" si="13"/>
        <v>0.15700000000000003</v>
      </c>
      <c r="P59" s="161">
        <f>VLOOKUP($A59,'Enroll Data as of January 2025'!$A$3:$M$322,11,FALSE)</f>
        <v>6.0000000000000001E-3</v>
      </c>
      <c r="Q59" s="161">
        <f>VLOOKUP($A59,'Enroll Data as of January 2025'!$A$3:$M$322,12,FALSE)</f>
        <v>5.0000000000000001E-3</v>
      </c>
      <c r="R59" s="165">
        <f t="shared" si="14"/>
        <v>1.0999999999999999E-2</v>
      </c>
      <c r="S59" s="267">
        <f>IFERROR(VLOOKUP($A59,Supp_39,14,FALSE),0)+IFERROR(SUMPRODUCT(VLOOKUP($A59,S275_01,{14,15,16},FALSE)),0)+IFERROR(SUMPRODUCT(VLOOKUP($A59,S275_97,{14,15,16},FALSE)),0)+IFERROR(ROUND(VLOOKUP($A59,S275_21,14,FALSE)*VLOOKUP($A59,'3121% SY'!$C$3:$M$324,11,FALSE),3),0)+IFERROR(ROUND(VLOOKUP($A59,S275_21,15,FALSE)*VLOOKUP($A59,'3121% SY'!$C$3:$M$324,11,FALSE),3),0)+IFERROR(ROUND(VLOOKUP($A59,S275_21,16,FALSE)*VLOOKUP($A59,'3121% SY'!$C$3:$M$324,11,FALSE),3),0)+IFERROR(VLOOKUP($A59,S275_09,6,FALSE),0)</f>
        <v>0</v>
      </c>
      <c r="T59" s="267">
        <f>IFERROR(VLOOKUP($A59,Supp_42,14,FALSE),0)+IFERROR(SUMPRODUCT(VLOOKUP($A59,S275_01,{17,18,19},FALSE)),0)+IFERROR(SUMPRODUCT(VLOOKUP($A59,S275_97,{17,18,19},FALSE)),0)+IFERROR(ROUND(VLOOKUP($A59,S275_21,17,FALSE)*VLOOKUP($A59,'3121% SY'!$C$3:$M$324,11,FALSE),3),0)+IFERROR(ROUND(VLOOKUP($A59,S275_21,18,FALSE)*VLOOKUP($A59,'3121% SY'!$C$3:$M$324,11,FALSE),3),0)+IFERROR(ROUND(VLOOKUP($A59,S275_21,19,FALSE)*VLOOKUP($A59,'3121% SY'!$C$3:$M$324,11,FALSE),3),0)+IFERROR(VLOOKUP($A59,S275_09,7,FALSE),0)</f>
        <v>0</v>
      </c>
      <c r="U59" s="267">
        <f>IFERROR(VLOOKUP($A59,Supp_43,14,FALSE),0)+IFERROR(SUMPRODUCT(VLOOKUP($A59,S275_01,{20,21,22},FALSE)),0)+IFERROR(SUMPRODUCT(VLOOKUP($A59,S275_97,{20,21,22},FALSE)),0)+IFERROR(ROUND(VLOOKUP($A59,S275_21,20,FALSE)*VLOOKUP($A59,'3121% SY'!$C$3:$M$324,11,FALSE),3),0)+IFERROR(ROUND(VLOOKUP($A59,S275_21,21,FALSE)*VLOOKUP($A59,'3121% SY'!$C$3:$M$324,11,FALSE),3),0)+IFERROR(ROUND(VLOOKUP($A59,S275_21,22,FALSE)*VLOOKUP($A59,'3121% SY'!$C$3:$M$324,11,FALSE),3),0)+IFERROR(VLOOKUP($A59,S275_09,8,FALSE),0)</f>
        <v>0</v>
      </c>
      <c r="V59" s="267">
        <f>IFERROR(VLOOKUP($A59,Supp_44,14,FALSE),0)+IFERROR(SUMPRODUCT(VLOOKUP($A59,S275_01,{23,24,25},FALSE)),0)+IFERROR(SUMPRODUCT(VLOOKUP($A59,S275_97,{23,24,25},FALSE)),0)+IFERROR(ROUND(VLOOKUP($A59,S275_21,23,FALSE)*VLOOKUP($A59,'3121% SY'!$C$3:$M$324,11,FALSE),3),0)+IFERROR(ROUND(VLOOKUP($A59,S275_21,24,FALSE)*VLOOKUP($A59,'3121% SY'!$C$3:$M$324,11,FALSE),3),0)+IFERROR(ROUND(VLOOKUP($A59,S275_21,25,FALSE)*VLOOKUP($A59,'3121% SY'!$C$3:$M$324,11,FALSE),3),0)+IFERROR(VLOOKUP($A59,S275_09,9,FALSE),0)</f>
        <v>0</v>
      </c>
      <c r="W59" s="267">
        <f>IFERROR(VLOOKUP($A59,Supp_45,14,FALSE),0)+IFERROR(SUMPRODUCT(VLOOKUP($A59,S275_01,{26,27,28},FALSE)),0)+IFERROR(SUMPRODUCT(VLOOKUP($A59,S275_97,{26,27,28},FALSE)),0)+IFERROR(ROUND(VLOOKUP($A59,S275_21,26,FALSE)*VLOOKUP($A59,'3121% SY'!$C$3:$M$324,11,FALSE),3),0)+IFERROR(ROUND(VLOOKUP($A59,S275_21,27,FALSE)*VLOOKUP($A59,'3121% SY'!$C$3:$M$324,11,FALSE),3),0)+IFERROR(ROUND(VLOOKUP($A59,S275_21,28,FALSE)*VLOOKUP($A59,'3121% SY'!$C$3:$M$324,11,FALSE),3),0)+IFERROR(VLOOKUP($A59,S275_09,10,FALSE),0)</f>
        <v>0</v>
      </c>
      <c r="X59" s="267">
        <f>IFERROR(VLOOKUP($A59,Supp_46,14,FALSE),0)+IFERROR(SUMPRODUCT(VLOOKUP($A59,S275_01,{29,30,31},FALSE)),0)+IFERROR(SUMPRODUCT(VLOOKUP($A59,S275_97,{29,30,31},FALSE)),0)+IFERROR(ROUND(VLOOKUP($A59,S275_21,29,FALSE)*VLOOKUP($A59,'3121% SY'!$C$3:$M$324,11,FALSE),3),0)+IFERROR(ROUND(VLOOKUP($A59,S275_21,30,FALSE)*VLOOKUP($A59,'3121% SY'!$C$3:$M$324,11,FALSE),3),0)+IFERROR(ROUND(VLOOKUP($A59,S275_21,31,FALSE)*VLOOKUP($A59,'3121% SY'!$C$3:$M$324,11,FALSE),3),0)+IFERROR(VLOOKUP($A59,S275_09,11,FALSE),0)</f>
        <v>0</v>
      </c>
      <c r="Y59" s="267">
        <f>IFERROR(VLOOKUP($A59,Supp_47,14,FALSE),0)+IFERROR(SUMPRODUCT(VLOOKUP($A59,S275_01,{32,33,34},FALSE)),0)+IFERROR(SUMPRODUCT(VLOOKUP($A59,S275_97,{32,33,34},FALSE)),0)+IFERROR(ROUND(VLOOKUP($A59,S275_21,32,FALSE)*VLOOKUP($A59,'3121% SY'!$C$3:$M$324,11,FALSE),3),0)+IFERROR(ROUND(VLOOKUP($A59,S275_21,33,FALSE)*VLOOKUP($A59,'3121% SY'!$C$3:$M$324,11,FALSE),3),0)+IFERROR(ROUND(VLOOKUP($A59,S275_21,34,FALSE)*VLOOKUP($A59,'3121% SY'!$C$3:$M$324,11,FALSE),3),0)+IFERROR(VLOOKUP($A59,S275_09,12,FALSE),0)</f>
        <v>0</v>
      </c>
      <c r="Z59" s="267">
        <f>IFERROR(VLOOKUP($A59,Supp_48,14,FALSE),0)+IFERROR(SUMPRODUCT(VLOOKUP($A59,S275_01,{35,36,37},FALSE)),0)+IFERROR(SUMPRODUCT(VLOOKUP($A59,S275_97,{35,36,37},FALSE)),0)+IFERROR(ROUND(VLOOKUP($A59,S275_21,35,FALSE)*VLOOKUP($A59,'3121% SY'!$C$3:$M$324,11,FALSE),3),0)+IFERROR(ROUND(VLOOKUP($A59,S275_21,36,FALSE)*VLOOKUP($A59,'3121% SY'!$C$3:$M$324,11,FALSE),3),0)+IFERROR(ROUND(VLOOKUP($A59,S275_21,37,FALSE)*VLOOKUP($A59,'3121% SY'!$C$3:$M$324,11,FALSE),3),0)+IFERROR(VLOOKUP($A59,S275_09,13,FALSE),0)</f>
        <v>0</v>
      </c>
      <c r="AA59" s="267">
        <f>IFERROR(VLOOKUP($A59,Supp_49,14,FALSE),0)+IFERROR(SUMPRODUCT(VLOOKUP($A59,S275_01,{38,39,40},FALSE)),0)+IFERROR(SUMPRODUCT(VLOOKUP($A59,S275_97,{38,39,40},FALSE)),0)+IFERROR(ROUND(VLOOKUP($A59,S275_21,38,FALSE)*VLOOKUP($A59,'3121% SY'!$C$3:$M$324,11,FALSE),3),0)+IFERROR(ROUND(VLOOKUP($A59,S275_21,39,FALSE)*VLOOKUP($A59,'3121% SY'!$C$3:$M$324,11,FALSE),3),0)+IFERROR(ROUND(VLOOKUP($A59,S275_21,40,FALSE)*VLOOKUP($A59,'3121% SY'!$C$3:$M$324,11,FALSE),3),0)+IFERROR(VLOOKUP($A59,S275_09,14,FALSE),0)</f>
        <v>0</v>
      </c>
      <c r="AB59" s="267">
        <f>IFERROR(VLOOKUP($A59,Supp_64,14,FALSE),0)+IFERROR(SUMPRODUCT(VLOOKUP($A59,S275_01,{41,42,43},FALSE)),0)+IFERROR(SUMPRODUCT(VLOOKUP($A59,S275_97,{41,42,43},FALSE)),0)+IFERROR(ROUND(VLOOKUP($A59,S275_21,41,FALSE)*VLOOKUP($A59,'3121% SY'!$C$3:$M$324,11,FALSE),3),0)+IFERROR(ROUND(VLOOKUP($A59,S275_21,42,FALSE)*VLOOKUP($A59,'3121% SY'!$C$3:$M$324,11,FALSE),3),0)+IFERROR(ROUND(VLOOKUP($A59,S275_21,43,FALSE)*VLOOKUP($A59,'3121% SY'!$C$3:$M$324,11,FALSE),3),0)+IFERROR(VLOOKUP($A59,S275_09,15,FALSE),0)</f>
        <v>0</v>
      </c>
      <c r="AC59" s="268">
        <f t="shared" si="17"/>
        <v>0</v>
      </c>
      <c r="AD59" s="267">
        <f>IFERROR(VLOOKUP($A59,Supp_24,14,FALSE),0)+IFERROR(SUMPRODUCT(VLOOKUP($A59,S275_01,{2,3,4},FALSE)),0)+IFERROR(SUMPRODUCT(VLOOKUP($A59,S275_97,{2,3,4},FALSE)),0)+IFERROR(ROUND(VLOOKUP($A59,S275_21,2,FALSE)*VLOOKUP($A59,'3121% SY'!$C$3:$M$324,11,FALSE),3),0)+IFERROR(ROUND(VLOOKUP($A59,S275_21,3,FALSE)*VLOOKUP($A59,'3121% SY'!$C$3:$M$324,11,FALSE),3),0)+IFERROR(ROUND(VLOOKUP($A59,S275_21,4,FALSE)*VLOOKUP($A59,'3121% SY'!$C$3:$M$324,11,FALSE),3),0)+IFERROR(VLOOKUP($A59,S275_09,2,FALSE),0)</f>
        <v>0</v>
      </c>
      <c r="AE59" s="267">
        <f>IFERROR(VLOOKUP($A59,Supp_25,14,FALSE),0)+IFERROR(SUMPRODUCT(VLOOKUP($A59,S275_01,{5,6,7},FALSE)),0)+IFERROR(SUMPRODUCT(VLOOKUP($A59,S275_97,{5,6,7},FALSE)),0)+IFERROR(ROUND(VLOOKUP($A59,S275_21,5,FALSE)*VLOOKUP($A59,'3121% SY'!$C$3:$M$324,11,FALSE),3),0)+IFERROR(ROUND(VLOOKUP($A59,S275_21,6,FALSE)*VLOOKUP($A59,'3121% SY'!$C$3:$M$324,11,FALSE),3),0)+IFERROR(ROUND(VLOOKUP($A59,S275_21,7,FALSE)*VLOOKUP($A59,'3121% SY'!$C$3:$M$324,11,FALSE),3),0)+IFERROR(VLOOKUP($A59,S275_09,3,FALSE),0)</f>
        <v>0</v>
      </c>
      <c r="AF59" s="267">
        <f>IFERROR(VLOOKUP($A59,Supp_26,14,FALSE),0)+IFERROR(SUMPRODUCT(VLOOKUP($A59,S275_01,{8,9,10},FALSE)),0)+IFERROR(SUMPRODUCT(VLOOKUP($A59,S275_97,{8,9,10},FALSE)),0)+IFERROR(ROUND(VLOOKUP($A59,S275_21,8,FALSE)*VLOOKUP($A59,'3121% SY'!$C$3:$M$324,11,FALSE),3),0)+IFERROR(ROUND(VLOOKUP($A59,S275_21,9,FALSE)*VLOOKUP($A59,'3121% SY'!$C$3:$M$324,11,FALSE),3),0)+IFERROR(ROUND(VLOOKUP($A59,S275_21,10,FALSE)*VLOOKUP($A59,'3121% SY'!$C$3:$M$324,11,FALSE),3),0)+IFERROR(VLOOKUP($A59,S275_09,4,FALSE),0)</f>
        <v>3.5000000000000003E-2</v>
      </c>
      <c r="AG59" s="267">
        <f>IFERROR(VLOOKUP($A59,Supp_35,14,FALSE),0)+IFERROR(SUMPRODUCT(VLOOKUP($A59,S275_01,{11,12,13},FALSE)),0)+IFERROR(SUMPRODUCT(VLOOKUP($A59,S275_97,{11,12,13},FALSE)),0)+IFERROR(ROUND(VLOOKUP($A59,S275_21,11,FALSE)*VLOOKUP($A59,'3121% SY'!$C$3:$M$324,11,FALSE),3),0)+IFERROR(ROUND(VLOOKUP($A59,S275_21,12,FALSE)*VLOOKUP($A59,'3121% SY'!$C$3:$M$324,11,FALSE),3),0)+IFERROR(ROUND(VLOOKUP($A59,S275_21,13,FALSE)*VLOOKUP($A59,'3121% SY'!$C$3:$M$324,11,FALSE),3),0)+IFERROR(VLOOKUP($A59,S275_09,5,FALSE),0)</f>
        <v>0</v>
      </c>
      <c r="AH59" s="165">
        <f t="shared" si="15"/>
        <v>3.5000000000000003E-2</v>
      </c>
      <c r="AI59" s="161">
        <f>IFERROR(VLOOKUP(A59,'Supp Staff Data'!A:ER,148,FALSE),0)+AB59</f>
        <v>0</v>
      </c>
      <c r="AJ59" s="174">
        <v>1</v>
      </c>
      <c r="AK59" s="25">
        <f>VLOOKUP(A59,'Enroll Data as of January 2025'!$A$3:$T$323,20,FALSE)-F59</f>
        <v>0</v>
      </c>
    </row>
    <row r="60" spans="1:37" x14ac:dyDescent="0.25">
      <c r="A60" s="171" t="s">
        <v>8</v>
      </c>
      <c r="B60" t="s">
        <v>305</v>
      </c>
      <c r="C60" s="173" t="s">
        <v>1077</v>
      </c>
      <c r="D60" s="259">
        <f t="shared" si="9"/>
        <v>7.6000000000000012E-2</v>
      </c>
      <c r="E60" s="259">
        <f t="shared" si="10"/>
        <v>0</v>
      </c>
      <c r="F60" s="262">
        <f t="shared" si="18"/>
        <v>-7.5999999999999998E-2</v>
      </c>
      <c r="G60" s="161">
        <f>ROUND(IF(F60&lt;0,F60*'2024-25 PSES Compliance'!$G$13,0),3)</f>
        <v>-7.2999999999999995E-2</v>
      </c>
      <c r="H60" s="161">
        <f>ROUND(IF(F60&lt;0,F60*'2024-25 PSES Compliance'!$G$14,0),3)</f>
        <v>-3.0000000000000001E-3</v>
      </c>
      <c r="I60" s="174">
        <f t="shared" si="11"/>
        <v>0</v>
      </c>
      <c r="J60" s="174">
        <f t="shared" si="12"/>
        <v>0</v>
      </c>
      <c r="K60" s="161">
        <f>VLOOKUP($A60,'Enroll Data as of January 2025'!$A$3:$M$322,6,FALSE)</f>
        <v>3.5000000000000003E-2</v>
      </c>
      <c r="L60" s="161">
        <f>VLOOKUP($A60,'Enroll Data as of January 2025'!$A$3:$M$322,7,FALSE)</f>
        <v>1.0999999999999999E-2</v>
      </c>
      <c r="M60" s="161">
        <f>VLOOKUP($A60,'Enroll Data as of January 2025'!$A$3:$M$322,8,FALSE)</f>
        <v>4.0000000000000001E-3</v>
      </c>
      <c r="N60" s="161">
        <f>VLOOKUP($A60,'Enroll Data as of January 2025'!$A$3:$M$322,9,FALSE)</f>
        <v>0.02</v>
      </c>
      <c r="O60" s="165">
        <f t="shared" si="13"/>
        <v>7.0000000000000007E-2</v>
      </c>
      <c r="P60" s="161">
        <f>VLOOKUP($A60,'Enroll Data as of January 2025'!$A$3:$M$322,11,FALSE)</f>
        <v>3.0000000000000001E-3</v>
      </c>
      <c r="Q60" s="161">
        <f>VLOOKUP($A60,'Enroll Data as of January 2025'!$A$3:$M$322,12,FALSE)</f>
        <v>3.0000000000000001E-3</v>
      </c>
      <c r="R60" s="165">
        <f t="shared" si="14"/>
        <v>6.0000000000000001E-3</v>
      </c>
      <c r="S60" s="267">
        <f>IFERROR(VLOOKUP($A60,Supp_39,14,FALSE),0)+IFERROR(SUMPRODUCT(VLOOKUP($A60,S275_01,{14,15,16},FALSE)),0)+IFERROR(SUMPRODUCT(VLOOKUP($A60,S275_97,{14,15,16},FALSE)),0)+IFERROR(ROUND(VLOOKUP($A60,S275_21,14,FALSE)*VLOOKUP($A60,'3121% SY'!$C$3:$M$324,11,FALSE),3),0)+IFERROR(ROUND(VLOOKUP($A60,S275_21,15,FALSE)*VLOOKUP($A60,'3121% SY'!$C$3:$M$324,11,FALSE),3),0)+IFERROR(ROUND(VLOOKUP($A60,S275_21,16,FALSE)*VLOOKUP($A60,'3121% SY'!$C$3:$M$324,11,FALSE),3),0)+IFERROR(VLOOKUP($A60,S275_09,6,FALSE),0)</f>
        <v>0</v>
      </c>
      <c r="T60" s="267">
        <f>IFERROR(VLOOKUP($A60,Supp_42,14,FALSE),0)+IFERROR(SUMPRODUCT(VLOOKUP($A60,S275_01,{17,18,19},FALSE)),0)+IFERROR(SUMPRODUCT(VLOOKUP($A60,S275_97,{17,18,19},FALSE)),0)+IFERROR(ROUND(VLOOKUP($A60,S275_21,17,FALSE)*VLOOKUP($A60,'3121% SY'!$C$3:$M$324,11,FALSE),3),0)+IFERROR(ROUND(VLOOKUP($A60,S275_21,18,FALSE)*VLOOKUP($A60,'3121% SY'!$C$3:$M$324,11,FALSE),3),0)+IFERROR(ROUND(VLOOKUP($A60,S275_21,19,FALSE)*VLOOKUP($A60,'3121% SY'!$C$3:$M$324,11,FALSE),3),0)+IFERROR(VLOOKUP($A60,S275_09,7,FALSE),0)</f>
        <v>0</v>
      </c>
      <c r="U60" s="267">
        <f>IFERROR(VLOOKUP($A60,Supp_43,14,FALSE),0)+IFERROR(SUMPRODUCT(VLOOKUP($A60,S275_01,{20,21,22},FALSE)),0)+IFERROR(SUMPRODUCT(VLOOKUP($A60,S275_97,{20,21,22},FALSE)),0)+IFERROR(ROUND(VLOOKUP($A60,S275_21,20,FALSE)*VLOOKUP($A60,'3121% SY'!$C$3:$M$324,11,FALSE),3),0)+IFERROR(ROUND(VLOOKUP($A60,S275_21,21,FALSE)*VLOOKUP($A60,'3121% SY'!$C$3:$M$324,11,FALSE),3),0)+IFERROR(ROUND(VLOOKUP($A60,S275_21,22,FALSE)*VLOOKUP($A60,'3121% SY'!$C$3:$M$324,11,FALSE),3),0)+IFERROR(VLOOKUP($A60,S275_09,8,FALSE),0)</f>
        <v>0</v>
      </c>
      <c r="V60" s="267">
        <f>IFERROR(VLOOKUP($A60,Supp_44,14,FALSE),0)+IFERROR(SUMPRODUCT(VLOOKUP($A60,S275_01,{23,24,25},FALSE)),0)+IFERROR(SUMPRODUCT(VLOOKUP($A60,S275_97,{23,24,25},FALSE)),0)+IFERROR(ROUND(VLOOKUP($A60,S275_21,23,FALSE)*VLOOKUP($A60,'3121% SY'!$C$3:$M$324,11,FALSE),3),0)+IFERROR(ROUND(VLOOKUP($A60,S275_21,24,FALSE)*VLOOKUP($A60,'3121% SY'!$C$3:$M$324,11,FALSE),3),0)+IFERROR(ROUND(VLOOKUP($A60,S275_21,25,FALSE)*VLOOKUP($A60,'3121% SY'!$C$3:$M$324,11,FALSE),3),0)+IFERROR(VLOOKUP($A60,S275_09,9,FALSE),0)</f>
        <v>0</v>
      </c>
      <c r="W60" s="267">
        <f>IFERROR(VLOOKUP($A60,Supp_45,14,FALSE),0)+IFERROR(SUMPRODUCT(VLOOKUP($A60,S275_01,{26,27,28},FALSE)),0)+IFERROR(SUMPRODUCT(VLOOKUP($A60,S275_97,{26,27,28},FALSE)),0)+IFERROR(ROUND(VLOOKUP($A60,S275_21,26,FALSE)*VLOOKUP($A60,'3121% SY'!$C$3:$M$324,11,FALSE),3),0)+IFERROR(ROUND(VLOOKUP($A60,S275_21,27,FALSE)*VLOOKUP($A60,'3121% SY'!$C$3:$M$324,11,FALSE),3),0)+IFERROR(ROUND(VLOOKUP($A60,S275_21,28,FALSE)*VLOOKUP($A60,'3121% SY'!$C$3:$M$324,11,FALSE),3),0)+IFERROR(VLOOKUP($A60,S275_09,10,FALSE),0)</f>
        <v>0</v>
      </c>
      <c r="X60" s="267">
        <f>IFERROR(VLOOKUP($A60,Supp_46,14,FALSE),0)+IFERROR(SUMPRODUCT(VLOOKUP($A60,S275_01,{29,30,31},FALSE)),0)+IFERROR(SUMPRODUCT(VLOOKUP($A60,S275_97,{29,30,31},FALSE)),0)+IFERROR(ROUND(VLOOKUP($A60,S275_21,29,FALSE)*VLOOKUP($A60,'3121% SY'!$C$3:$M$324,11,FALSE),3),0)+IFERROR(ROUND(VLOOKUP($A60,S275_21,30,FALSE)*VLOOKUP($A60,'3121% SY'!$C$3:$M$324,11,FALSE),3),0)+IFERROR(ROUND(VLOOKUP($A60,S275_21,31,FALSE)*VLOOKUP($A60,'3121% SY'!$C$3:$M$324,11,FALSE),3),0)+IFERROR(VLOOKUP($A60,S275_09,11,FALSE),0)</f>
        <v>0</v>
      </c>
      <c r="Y60" s="267">
        <f>IFERROR(VLOOKUP($A60,Supp_47,14,FALSE),0)+IFERROR(SUMPRODUCT(VLOOKUP($A60,S275_01,{32,33,34},FALSE)),0)+IFERROR(SUMPRODUCT(VLOOKUP($A60,S275_97,{32,33,34},FALSE)),0)+IFERROR(ROUND(VLOOKUP($A60,S275_21,32,FALSE)*VLOOKUP($A60,'3121% SY'!$C$3:$M$324,11,FALSE),3),0)+IFERROR(ROUND(VLOOKUP($A60,S275_21,33,FALSE)*VLOOKUP($A60,'3121% SY'!$C$3:$M$324,11,FALSE),3),0)+IFERROR(ROUND(VLOOKUP($A60,S275_21,34,FALSE)*VLOOKUP($A60,'3121% SY'!$C$3:$M$324,11,FALSE),3),0)+IFERROR(VLOOKUP($A60,S275_09,12,FALSE),0)</f>
        <v>0</v>
      </c>
      <c r="Z60" s="267">
        <f>IFERROR(VLOOKUP($A60,Supp_48,14,FALSE),0)+IFERROR(SUMPRODUCT(VLOOKUP($A60,S275_01,{35,36,37},FALSE)),0)+IFERROR(SUMPRODUCT(VLOOKUP($A60,S275_97,{35,36,37},FALSE)),0)+IFERROR(ROUND(VLOOKUP($A60,S275_21,35,FALSE)*VLOOKUP($A60,'3121% SY'!$C$3:$M$324,11,FALSE),3),0)+IFERROR(ROUND(VLOOKUP($A60,S275_21,36,FALSE)*VLOOKUP($A60,'3121% SY'!$C$3:$M$324,11,FALSE),3),0)+IFERROR(ROUND(VLOOKUP($A60,S275_21,37,FALSE)*VLOOKUP($A60,'3121% SY'!$C$3:$M$324,11,FALSE),3),0)+IFERROR(VLOOKUP($A60,S275_09,13,FALSE),0)</f>
        <v>0</v>
      </c>
      <c r="AA60" s="267">
        <f>IFERROR(VLOOKUP($A60,Supp_49,14,FALSE),0)+IFERROR(SUMPRODUCT(VLOOKUP($A60,S275_01,{38,39,40},FALSE)),0)+IFERROR(SUMPRODUCT(VLOOKUP($A60,S275_97,{38,39,40},FALSE)),0)+IFERROR(ROUND(VLOOKUP($A60,S275_21,38,FALSE)*VLOOKUP($A60,'3121% SY'!$C$3:$M$324,11,FALSE),3),0)+IFERROR(ROUND(VLOOKUP($A60,S275_21,39,FALSE)*VLOOKUP($A60,'3121% SY'!$C$3:$M$324,11,FALSE),3),0)+IFERROR(ROUND(VLOOKUP($A60,S275_21,40,FALSE)*VLOOKUP($A60,'3121% SY'!$C$3:$M$324,11,FALSE),3),0)+IFERROR(VLOOKUP($A60,S275_09,14,FALSE),0)</f>
        <v>0</v>
      </c>
      <c r="AB60" s="267">
        <f>IFERROR(VLOOKUP($A60,Supp_64,14,FALSE),0)+IFERROR(SUMPRODUCT(VLOOKUP($A60,S275_01,{41,42,43},FALSE)),0)+IFERROR(SUMPRODUCT(VLOOKUP($A60,S275_97,{41,42,43},FALSE)),0)+IFERROR(ROUND(VLOOKUP($A60,S275_21,41,FALSE)*VLOOKUP($A60,'3121% SY'!$C$3:$M$324,11,FALSE),3),0)+IFERROR(ROUND(VLOOKUP($A60,S275_21,42,FALSE)*VLOOKUP($A60,'3121% SY'!$C$3:$M$324,11,FALSE),3),0)+IFERROR(ROUND(VLOOKUP($A60,S275_21,43,FALSE)*VLOOKUP($A60,'3121% SY'!$C$3:$M$324,11,FALSE),3),0)+IFERROR(VLOOKUP($A60,S275_09,15,FALSE),0)</f>
        <v>0</v>
      </c>
      <c r="AC60" s="268">
        <f>SUM(S60:AB60)</f>
        <v>0</v>
      </c>
      <c r="AD60" s="267">
        <f>IFERROR(VLOOKUP($A60,Supp_24,14,FALSE),0)+IFERROR(SUMPRODUCT(VLOOKUP($A60,S275_01,{2,3,4},FALSE)),0)+IFERROR(SUMPRODUCT(VLOOKUP($A60,S275_97,{2,3,4},FALSE)),0)+IFERROR(ROUND(VLOOKUP($A60,S275_21,2,FALSE)*VLOOKUP($A60,'3121% SY'!$C$3:$M$324,11,FALSE),3),0)+IFERROR(ROUND(VLOOKUP($A60,S275_21,3,FALSE)*VLOOKUP($A60,'3121% SY'!$C$3:$M$324,11,FALSE),3),0)+IFERROR(ROUND(VLOOKUP($A60,S275_21,4,FALSE)*VLOOKUP($A60,'3121% SY'!$C$3:$M$324,11,FALSE),3),0)+IFERROR(VLOOKUP($A60,S275_09,2,FALSE),0)</f>
        <v>0</v>
      </c>
      <c r="AE60" s="267">
        <f>IFERROR(VLOOKUP($A60,Supp_25,14,FALSE),0)+IFERROR(SUMPRODUCT(VLOOKUP($A60,S275_01,{5,6,7},FALSE)),0)+IFERROR(SUMPRODUCT(VLOOKUP($A60,S275_97,{5,6,7},FALSE)),0)+IFERROR(ROUND(VLOOKUP($A60,S275_21,5,FALSE)*VLOOKUP($A60,'3121% SY'!$C$3:$M$324,11,FALSE),3),0)+IFERROR(ROUND(VLOOKUP($A60,S275_21,6,FALSE)*VLOOKUP($A60,'3121% SY'!$C$3:$M$324,11,FALSE),3),0)+IFERROR(ROUND(VLOOKUP($A60,S275_21,7,FALSE)*VLOOKUP($A60,'3121% SY'!$C$3:$M$324,11,FALSE),3),0)+IFERROR(VLOOKUP($A60,S275_09,3,FALSE),0)</f>
        <v>0</v>
      </c>
      <c r="AF60" s="267">
        <f>IFERROR(VLOOKUP($A60,Supp_26,14,FALSE),0)+IFERROR(SUMPRODUCT(VLOOKUP($A60,S275_01,{8,9,10},FALSE)),0)+IFERROR(SUMPRODUCT(VLOOKUP($A60,S275_97,{8,9,10},FALSE)),0)+IFERROR(ROUND(VLOOKUP($A60,S275_21,8,FALSE)*VLOOKUP($A60,'3121% SY'!$C$3:$M$324,11,FALSE),3),0)+IFERROR(ROUND(VLOOKUP($A60,S275_21,9,FALSE)*VLOOKUP($A60,'3121% SY'!$C$3:$M$324,11,FALSE),3),0)+IFERROR(ROUND(VLOOKUP($A60,S275_21,10,FALSE)*VLOOKUP($A60,'3121% SY'!$C$3:$M$324,11,FALSE),3),0)+IFERROR(VLOOKUP($A60,S275_09,4,FALSE),0)</f>
        <v>0</v>
      </c>
      <c r="AG60" s="267">
        <f>IFERROR(VLOOKUP($A60,Supp_35,14,FALSE),0)+IFERROR(SUMPRODUCT(VLOOKUP($A60,S275_01,{11,12,13},FALSE)),0)+IFERROR(SUMPRODUCT(VLOOKUP($A60,S275_97,{11,12,13},FALSE)),0)+IFERROR(ROUND(VLOOKUP($A60,S275_21,11,FALSE)*VLOOKUP($A60,'3121% SY'!$C$3:$M$324,11,FALSE),3),0)+IFERROR(ROUND(VLOOKUP($A60,S275_21,12,FALSE)*VLOOKUP($A60,'3121% SY'!$C$3:$M$324,11,FALSE),3),0)+IFERROR(ROUND(VLOOKUP($A60,S275_21,13,FALSE)*VLOOKUP($A60,'3121% SY'!$C$3:$M$324,11,FALSE),3),0)+IFERROR(VLOOKUP($A60,S275_09,5,FALSE),0)</f>
        <v>0</v>
      </c>
      <c r="AH60" s="165">
        <f t="shared" si="15"/>
        <v>0</v>
      </c>
      <c r="AI60" s="161">
        <f>IFERROR(VLOOKUP(A60,'Supp Staff Data'!A:ER,148,FALSE),0)+AB60</f>
        <v>0</v>
      </c>
      <c r="AJ60" s="174">
        <v>1</v>
      </c>
      <c r="AK60" s="25">
        <f>VLOOKUP(A60,'Enroll Data as of January 2025'!$A$3:$T$323,20,FALSE)-F60</f>
        <v>0</v>
      </c>
    </row>
    <row r="61" spans="1:37" x14ac:dyDescent="0.25">
      <c r="A61" s="171" t="s">
        <v>247</v>
      </c>
      <c r="B61" t="s">
        <v>543</v>
      </c>
      <c r="C61" s="173" t="s">
        <v>1086</v>
      </c>
      <c r="D61" s="259">
        <f t="shared" si="9"/>
        <v>0.21600000000000003</v>
      </c>
      <c r="E61" s="259">
        <f t="shared" si="10"/>
        <v>0.11899999999999999</v>
      </c>
      <c r="F61" s="262">
        <f t="shared" si="18"/>
        <v>-9.7000000000000003E-2</v>
      </c>
      <c r="G61" s="161">
        <f>ROUND(IF(F61&lt;0,F61*'2024-25 PSES Compliance'!$G$13,0),3)</f>
        <v>-9.2999999999999999E-2</v>
      </c>
      <c r="H61" s="161">
        <f>ROUND(IF(F61&lt;0,F61*'2024-25 PSES Compliance'!$G$14,0),3)</f>
        <v>-4.0000000000000001E-3</v>
      </c>
      <c r="I61" s="174">
        <f t="shared" si="11"/>
        <v>1</v>
      </c>
      <c r="J61" s="174">
        <f t="shared" si="12"/>
        <v>0</v>
      </c>
      <c r="K61" s="161">
        <f>VLOOKUP($A61,'Enroll Data as of January 2025'!$A$3:$M$322,6,FALSE)</f>
        <v>0.1</v>
      </c>
      <c r="L61" s="161">
        <f>VLOOKUP($A61,'Enroll Data as of January 2025'!$A$3:$M$322,7,FALSE)</f>
        <v>3.1E-2</v>
      </c>
      <c r="M61" s="161">
        <f>VLOOKUP($A61,'Enroll Data as of January 2025'!$A$3:$M$322,8,FALSE)</f>
        <v>0.01</v>
      </c>
      <c r="N61" s="161">
        <f>VLOOKUP($A61,'Enroll Data as of January 2025'!$A$3:$M$322,9,FALSE)</f>
        <v>5.8999999999999997E-2</v>
      </c>
      <c r="O61" s="165">
        <f t="shared" si="13"/>
        <v>0.2</v>
      </c>
      <c r="P61" s="161">
        <f>VLOOKUP($A61,'Enroll Data as of January 2025'!$A$3:$M$322,11,FALSE)</f>
        <v>8.0000000000000002E-3</v>
      </c>
      <c r="Q61" s="161">
        <f>VLOOKUP($A61,'Enroll Data as of January 2025'!$A$3:$M$322,12,FALSE)</f>
        <v>8.0000000000000002E-3</v>
      </c>
      <c r="R61" s="165">
        <f t="shared" si="14"/>
        <v>1.6E-2</v>
      </c>
      <c r="S61" s="267">
        <f>IFERROR(VLOOKUP($A61,Supp_39,14,FALSE),0)+IFERROR(SUMPRODUCT(VLOOKUP($A61,S275_01,{14,15,16},FALSE)),0)+IFERROR(SUMPRODUCT(VLOOKUP($A61,S275_97,{14,15,16},FALSE)),0)+IFERROR(ROUND(VLOOKUP($A61,S275_21,14,FALSE)*VLOOKUP($A61,'3121% SY'!$C$3:$M$324,11,FALSE),3),0)+IFERROR(ROUND(VLOOKUP($A61,S275_21,15,FALSE)*VLOOKUP($A61,'3121% SY'!$C$3:$M$324,11,FALSE),3),0)+IFERROR(ROUND(VLOOKUP($A61,S275_21,16,FALSE)*VLOOKUP($A61,'3121% SY'!$C$3:$M$324,11,FALSE),3),0)+IFERROR(VLOOKUP($A61,S275_09,6,FALSE),0)</f>
        <v>0.11899999999999999</v>
      </c>
      <c r="T61" s="267">
        <f>IFERROR(VLOOKUP($A61,Supp_42,14,FALSE),0)+IFERROR(SUMPRODUCT(VLOOKUP($A61,S275_01,{17,18,19},FALSE)),0)+IFERROR(SUMPRODUCT(VLOOKUP($A61,S275_97,{17,18,19},FALSE)),0)+IFERROR(ROUND(VLOOKUP($A61,S275_21,17,FALSE)*VLOOKUP($A61,'3121% SY'!$C$3:$M$324,11,FALSE),3),0)+IFERROR(ROUND(VLOOKUP($A61,S275_21,18,FALSE)*VLOOKUP($A61,'3121% SY'!$C$3:$M$324,11,FALSE),3),0)+IFERROR(ROUND(VLOOKUP($A61,S275_21,19,FALSE)*VLOOKUP($A61,'3121% SY'!$C$3:$M$324,11,FALSE),3),0)+IFERROR(VLOOKUP($A61,S275_09,7,FALSE),0)</f>
        <v>0</v>
      </c>
      <c r="U61" s="267">
        <f>IFERROR(VLOOKUP($A61,Supp_43,14,FALSE),0)+IFERROR(SUMPRODUCT(VLOOKUP($A61,S275_01,{20,21,22},FALSE)),0)+IFERROR(SUMPRODUCT(VLOOKUP($A61,S275_97,{20,21,22},FALSE)),0)+IFERROR(ROUND(VLOOKUP($A61,S275_21,20,FALSE)*VLOOKUP($A61,'3121% SY'!$C$3:$M$324,11,FALSE),3),0)+IFERROR(ROUND(VLOOKUP($A61,S275_21,21,FALSE)*VLOOKUP($A61,'3121% SY'!$C$3:$M$324,11,FALSE),3),0)+IFERROR(ROUND(VLOOKUP($A61,S275_21,22,FALSE)*VLOOKUP($A61,'3121% SY'!$C$3:$M$324,11,FALSE),3),0)+IFERROR(VLOOKUP($A61,S275_09,8,FALSE),0)</f>
        <v>0</v>
      </c>
      <c r="V61" s="267">
        <f>IFERROR(VLOOKUP($A61,Supp_44,14,FALSE),0)+IFERROR(SUMPRODUCT(VLOOKUP($A61,S275_01,{23,24,25},FALSE)),0)+IFERROR(SUMPRODUCT(VLOOKUP($A61,S275_97,{23,24,25},FALSE)),0)+IFERROR(ROUND(VLOOKUP($A61,S275_21,23,FALSE)*VLOOKUP($A61,'3121% SY'!$C$3:$M$324,11,FALSE),3),0)+IFERROR(ROUND(VLOOKUP($A61,S275_21,24,FALSE)*VLOOKUP($A61,'3121% SY'!$C$3:$M$324,11,FALSE),3),0)+IFERROR(ROUND(VLOOKUP($A61,S275_21,25,FALSE)*VLOOKUP($A61,'3121% SY'!$C$3:$M$324,11,FALSE),3),0)+IFERROR(VLOOKUP($A61,S275_09,9,FALSE),0)</f>
        <v>0</v>
      </c>
      <c r="W61" s="267">
        <f>IFERROR(VLOOKUP($A61,Supp_45,14,FALSE),0)+IFERROR(SUMPRODUCT(VLOOKUP($A61,S275_01,{26,27,28},FALSE)),0)+IFERROR(SUMPRODUCT(VLOOKUP($A61,S275_97,{26,27,28},FALSE)),0)+IFERROR(ROUND(VLOOKUP($A61,S275_21,26,FALSE)*VLOOKUP($A61,'3121% SY'!$C$3:$M$324,11,FALSE),3),0)+IFERROR(ROUND(VLOOKUP($A61,S275_21,27,FALSE)*VLOOKUP($A61,'3121% SY'!$C$3:$M$324,11,FALSE),3),0)+IFERROR(ROUND(VLOOKUP($A61,S275_21,28,FALSE)*VLOOKUP($A61,'3121% SY'!$C$3:$M$324,11,FALSE),3),0)+IFERROR(VLOOKUP($A61,S275_09,10,FALSE),0)</f>
        <v>0</v>
      </c>
      <c r="X61" s="267">
        <f>IFERROR(VLOOKUP($A61,Supp_46,14,FALSE),0)+IFERROR(SUMPRODUCT(VLOOKUP($A61,S275_01,{29,30,31},FALSE)),0)+IFERROR(SUMPRODUCT(VLOOKUP($A61,S275_97,{29,30,31},FALSE)),0)+IFERROR(ROUND(VLOOKUP($A61,S275_21,29,FALSE)*VLOOKUP($A61,'3121% SY'!$C$3:$M$324,11,FALSE),3),0)+IFERROR(ROUND(VLOOKUP($A61,S275_21,30,FALSE)*VLOOKUP($A61,'3121% SY'!$C$3:$M$324,11,FALSE),3),0)+IFERROR(ROUND(VLOOKUP($A61,S275_21,31,FALSE)*VLOOKUP($A61,'3121% SY'!$C$3:$M$324,11,FALSE),3),0)+IFERROR(VLOOKUP($A61,S275_09,11,FALSE),0)</f>
        <v>0</v>
      </c>
      <c r="Y61" s="267">
        <f>IFERROR(VLOOKUP($A61,Supp_47,14,FALSE),0)+IFERROR(SUMPRODUCT(VLOOKUP($A61,S275_01,{32,33,34},FALSE)),0)+IFERROR(SUMPRODUCT(VLOOKUP($A61,S275_97,{32,33,34},FALSE)),0)+IFERROR(ROUND(VLOOKUP($A61,S275_21,32,FALSE)*VLOOKUP($A61,'3121% SY'!$C$3:$M$324,11,FALSE),3),0)+IFERROR(ROUND(VLOOKUP($A61,S275_21,33,FALSE)*VLOOKUP($A61,'3121% SY'!$C$3:$M$324,11,FALSE),3),0)+IFERROR(ROUND(VLOOKUP($A61,S275_21,34,FALSE)*VLOOKUP($A61,'3121% SY'!$C$3:$M$324,11,FALSE),3),0)+IFERROR(VLOOKUP($A61,S275_09,12,FALSE),0)</f>
        <v>0</v>
      </c>
      <c r="Z61" s="267">
        <f>IFERROR(VLOOKUP($A61,Supp_48,14,FALSE),0)+IFERROR(SUMPRODUCT(VLOOKUP($A61,S275_01,{35,36,37},FALSE)),0)+IFERROR(SUMPRODUCT(VLOOKUP($A61,S275_97,{35,36,37},FALSE)),0)+IFERROR(ROUND(VLOOKUP($A61,S275_21,35,FALSE)*VLOOKUP($A61,'3121% SY'!$C$3:$M$324,11,FALSE),3),0)+IFERROR(ROUND(VLOOKUP($A61,S275_21,36,FALSE)*VLOOKUP($A61,'3121% SY'!$C$3:$M$324,11,FALSE),3),0)+IFERROR(ROUND(VLOOKUP($A61,S275_21,37,FALSE)*VLOOKUP($A61,'3121% SY'!$C$3:$M$324,11,FALSE),3),0)+IFERROR(VLOOKUP($A61,S275_09,13,FALSE),0)</f>
        <v>0</v>
      </c>
      <c r="AA61" s="267">
        <f>IFERROR(VLOOKUP($A61,Supp_49,14,FALSE),0)+IFERROR(SUMPRODUCT(VLOOKUP($A61,S275_01,{38,39,40},FALSE)),0)+IFERROR(SUMPRODUCT(VLOOKUP($A61,S275_97,{38,39,40},FALSE)),0)+IFERROR(ROUND(VLOOKUP($A61,S275_21,38,FALSE)*VLOOKUP($A61,'3121% SY'!$C$3:$M$324,11,FALSE),3),0)+IFERROR(ROUND(VLOOKUP($A61,S275_21,39,FALSE)*VLOOKUP($A61,'3121% SY'!$C$3:$M$324,11,FALSE),3),0)+IFERROR(ROUND(VLOOKUP($A61,S275_21,40,FALSE)*VLOOKUP($A61,'3121% SY'!$C$3:$M$324,11,FALSE),3),0)+IFERROR(VLOOKUP($A61,S275_09,14,FALSE),0)</f>
        <v>0</v>
      </c>
      <c r="AB61" s="267">
        <f>IFERROR(VLOOKUP($A61,Supp_64,14,FALSE),0)+IFERROR(SUMPRODUCT(VLOOKUP($A61,S275_01,{41,42,43},FALSE)),0)+IFERROR(SUMPRODUCT(VLOOKUP($A61,S275_97,{41,42,43},FALSE)),0)+IFERROR(ROUND(VLOOKUP($A61,S275_21,41,FALSE)*VLOOKUP($A61,'3121% SY'!$C$3:$M$324,11,FALSE),3),0)+IFERROR(ROUND(VLOOKUP($A61,S275_21,42,FALSE)*VLOOKUP($A61,'3121% SY'!$C$3:$M$324,11,FALSE),3),0)+IFERROR(ROUND(VLOOKUP($A61,S275_21,43,FALSE)*VLOOKUP($A61,'3121% SY'!$C$3:$M$324,11,FALSE),3),0)+IFERROR(VLOOKUP($A61,S275_09,15,FALSE),0)</f>
        <v>0</v>
      </c>
      <c r="AC61" s="268">
        <f t="shared" si="17"/>
        <v>0.11899999999999999</v>
      </c>
      <c r="AD61" s="267">
        <f>IFERROR(VLOOKUP($A61,Supp_24,14,FALSE),0)+IFERROR(SUMPRODUCT(VLOOKUP($A61,S275_01,{2,3,4},FALSE)),0)+IFERROR(SUMPRODUCT(VLOOKUP($A61,S275_97,{2,3,4},FALSE)),0)+IFERROR(ROUND(VLOOKUP($A61,S275_21,2,FALSE)*VLOOKUP($A61,'3121% SY'!$C$3:$M$324,11,FALSE),3),0)+IFERROR(ROUND(VLOOKUP($A61,S275_21,3,FALSE)*VLOOKUP($A61,'3121% SY'!$C$3:$M$324,11,FALSE),3),0)+IFERROR(ROUND(VLOOKUP($A61,S275_21,4,FALSE)*VLOOKUP($A61,'3121% SY'!$C$3:$M$324,11,FALSE),3),0)+IFERROR(VLOOKUP($A61,S275_09,2,FALSE),0)</f>
        <v>0</v>
      </c>
      <c r="AE61" s="267">
        <f>IFERROR(VLOOKUP($A61,Supp_25,14,FALSE),0)+IFERROR(SUMPRODUCT(VLOOKUP($A61,S275_01,{5,6,7},FALSE)),0)+IFERROR(SUMPRODUCT(VLOOKUP($A61,S275_97,{5,6,7},FALSE)),0)+IFERROR(ROUND(VLOOKUP($A61,S275_21,5,FALSE)*VLOOKUP($A61,'3121% SY'!$C$3:$M$324,11,FALSE),3),0)+IFERROR(ROUND(VLOOKUP($A61,S275_21,6,FALSE)*VLOOKUP($A61,'3121% SY'!$C$3:$M$324,11,FALSE),3),0)+IFERROR(ROUND(VLOOKUP($A61,S275_21,7,FALSE)*VLOOKUP($A61,'3121% SY'!$C$3:$M$324,11,FALSE),3),0)+IFERROR(VLOOKUP($A61,S275_09,3,FALSE),0)</f>
        <v>0</v>
      </c>
      <c r="AF61" s="267">
        <f>IFERROR(VLOOKUP($A61,Supp_26,14,FALSE),0)+IFERROR(SUMPRODUCT(VLOOKUP($A61,S275_01,{8,9,10},FALSE)),0)+IFERROR(SUMPRODUCT(VLOOKUP($A61,S275_97,{8,9,10},FALSE)),0)+IFERROR(ROUND(VLOOKUP($A61,S275_21,8,FALSE)*VLOOKUP($A61,'3121% SY'!$C$3:$M$324,11,FALSE),3),0)+IFERROR(ROUND(VLOOKUP($A61,S275_21,9,FALSE)*VLOOKUP($A61,'3121% SY'!$C$3:$M$324,11,FALSE),3),0)+IFERROR(ROUND(VLOOKUP($A61,S275_21,10,FALSE)*VLOOKUP($A61,'3121% SY'!$C$3:$M$324,11,FALSE),3),0)+IFERROR(VLOOKUP($A61,S275_09,4,FALSE),0)</f>
        <v>0</v>
      </c>
      <c r="AG61" s="267">
        <f>IFERROR(VLOOKUP($A61,Supp_35,14,FALSE),0)+IFERROR(SUMPRODUCT(VLOOKUP($A61,S275_01,{11,12,13},FALSE)),0)+IFERROR(SUMPRODUCT(VLOOKUP($A61,S275_97,{11,12,13},FALSE)),0)+IFERROR(ROUND(VLOOKUP($A61,S275_21,11,FALSE)*VLOOKUP($A61,'3121% SY'!$C$3:$M$324,11,FALSE),3),0)+IFERROR(ROUND(VLOOKUP($A61,S275_21,12,FALSE)*VLOOKUP($A61,'3121% SY'!$C$3:$M$324,11,FALSE),3),0)+IFERROR(ROUND(VLOOKUP($A61,S275_21,13,FALSE)*VLOOKUP($A61,'3121% SY'!$C$3:$M$324,11,FALSE),3),0)+IFERROR(VLOOKUP($A61,S275_09,5,FALSE),0)</f>
        <v>0</v>
      </c>
      <c r="AH61" s="165">
        <f t="shared" si="15"/>
        <v>0</v>
      </c>
      <c r="AI61" s="161">
        <f>IFERROR(VLOOKUP(A61,'Supp Staff Data'!A:ER,148,FALSE),0)+AB61</f>
        <v>0</v>
      </c>
      <c r="AJ61" s="174">
        <v>1</v>
      </c>
      <c r="AK61" s="25">
        <f>VLOOKUP(A61,'Enroll Data as of January 2025'!$A$3:$T$323,20,FALSE)-F61</f>
        <v>0</v>
      </c>
    </row>
    <row r="62" spans="1:37" x14ac:dyDescent="0.25">
      <c r="A62" s="171" t="s">
        <v>124</v>
      </c>
      <c r="B62" t="s">
        <v>420</v>
      </c>
      <c r="C62" s="173" t="s">
        <v>1077</v>
      </c>
      <c r="D62" s="259">
        <f t="shared" si="9"/>
        <v>1.2490000000000001</v>
      </c>
      <c r="E62" s="259">
        <f t="shared" si="10"/>
        <v>0.109</v>
      </c>
      <c r="F62" s="262">
        <f t="shared" si="18"/>
        <v>-1.1399999999999999</v>
      </c>
      <c r="G62" s="161">
        <f>ROUND(IF(F62&lt;0,F62*'2024-25 PSES Compliance'!$G$13,0),3)</f>
        <v>-1.0940000000000001</v>
      </c>
      <c r="H62" s="161">
        <f>ROUND(IF(F62&lt;0,F62*'2024-25 PSES Compliance'!$G$14,0),3)</f>
        <v>-4.5999999999999999E-2</v>
      </c>
      <c r="I62" s="174">
        <f t="shared" si="11"/>
        <v>0</v>
      </c>
      <c r="J62" s="174">
        <f t="shared" si="12"/>
        <v>0</v>
      </c>
      <c r="K62" s="161">
        <f>VLOOKUP($A62,'Enroll Data as of January 2025'!$A$3:$M$322,6,FALSE)</f>
        <v>0.64600000000000002</v>
      </c>
      <c r="L62" s="161">
        <f>VLOOKUP($A62,'Enroll Data as of January 2025'!$A$3:$M$322,7,FALSE)</f>
        <v>0.14100000000000001</v>
      </c>
      <c r="M62" s="161">
        <f>VLOOKUP($A62,'Enroll Data as of January 2025'!$A$3:$M$322,8,FALSE)</f>
        <v>4.8000000000000001E-2</v>
      </c>
      <c r="N62" s="161">
        <f>VLOOKUP($A62,'Enroll Data as of January 2025'!$A$3:$M$322,9,FALSE)</f>
        <v>0.33399999999999996</v>
      </c>
      <c r="O62" s="165">
        <f t="shared" si="13"/>
        <v>1.169</v>
      </c>
      <c r="P62" s="161">
        <f>VLOOKUP($A62,'Enroll Data as of January 2025'!$A$3:$M$322,11,FALSE)</f>
        <v>4.4999999999999998E-2</v>
      </c>
      <c r="Q62" s="161">
        <f>VLOOKUP($A62,'Enroll Data as of January 2025'!$A$3:$M$322,12,FALSE)</f>
        <v>3.5000000000000003E-2</v>
      </c>
      <c r="R62" s="165">
        <f t="shared" si="14"/>
        <v>0.08</v>
      </c>
      <c r="S62" s="267">
        <f>IFERROR(VLOOKUP($A62,Supp_39,14,FALSE),0)+IFERROR(SUMPRODUCT(VLOOKUP($A62,S275_01,{14,15,16},FALSE)),0)+IFERROR(SUMPRODUCT(VLOOKUP($A62,S275_97,{14,15,16},FALSE)),0)+IFERROR(ROUND(VLOOKUP($A62,S275_21,14,FALSE)*VLOOKUP($A62,'3121% SY'!$C$3:$M$324,11,FALSE),3),0)+IFERROR(ROUND(VLOOKUP($A62,S275_21,15,FALSE)*VLOOKUP($A62,'3121% SY'!$C$3:$M$324,11,FALSE),3),0)+IFERROR(ROUND(VLOOKUP($A62,S275_21,16,FALSE)*VLOOKUP($A62,'3121% SY'!$C$3:$M$324,11,FALSE),3),0)+IFERROR(VLOOKUP($A62,S275_09,6,FALSE),0)</f>
        <v>0</v>
      </c>
      <c r="T62" s="267">
        <f>IFERROR(VLOOKUP($A62,Supp_42,14,FALSE),0)+IFERROR(SUMPRODUCT(VLOOKUP($A62,S275_01,{17,18,19},FALSE)),0)+IFERROR(SUMPRODUCT(VLOOKUP($A62,S275_97,{17,18,19},FALSE)),0)+IFERROR(ROUND(VLOOKUP($A62,S275_21,17,FALSE)*VLOOKUP($A62,'3121% SY'!$C$3:$M$324,11,FALSE),3),0)+IFERROR(ROUND(VLOOKUP($A62,S275_21,18,FALSE)*VLOOKUP($A62,'3121% SY'!$C$3:$M$324,11,FALSE),3),0)+IFERROR(ROUND(VLOOKUP($A62,S275_21,19,FALSE)*VLOOKUP($A62,'3121% SY'!$C$3:$M$324,11,FALSE),3),0)+IFERROR(VLOOKUP($A62,S275_09,7,FALSE),0)</f>
        <v>0</v>
      </c>
      <c r="U62" s="267">
        <f>IFERROR(VLOOKUP($A62,Supp_43,14,FALSE),0)+IFERROR(SUMPRODUCT(VLOOKUP($A62,S275_01,{20,21,22},FALSE)),0)+IFERROR(SUMPRODUCT(VLOOKUP($A62,S275_97,{20,21,22},FALSE)),0)+IFERROR(ROUND(VLOOKUP($A62,S275_21,20,FALSE)*VLOOKUP($A62,'3121% SY'!$C$3:$M$324,11,FALSE),3),0)+IFERROR(ROUND(VLOOKUP($A62,S275_21,21,FALSE)*VLOOKUP($A62,'3121% SY'!$C$3:$M$324,11,FALSE),3),0)+IFERROR(ROUND(VLOOKUP($A62,S275_21,22,FALSE)*VLOOKUP($A62,'3121% SY'!$C$3:$M$324,11,FALSE),3),0)+IFERROR(VLOOKUP($A62,S275_09,8,FALSE),0)</f>
        <v>0</v>
      </c>
      <c r="V62" s="267">
        <f>IFERROR(VLOOKUP($A62,Supp_44,14,FALSE),0)+IFERROR(SUMPRODUCT(VLOOKUP($A62,S275_01,{23,24,25},FALSE)),0)+IFERROR(SUMPRODUCT(VLOOKUP($A62,S275_97,{23,24,25},FALSE)),0)+IFERROR(ROUND(VLOOKUP($A62,S275_21,23,FALSE)*VLOOKUP($A62,'3121% SY'!$C$3:$M$324,11,FALSE),3),0)+IFERROR(ROUND(VLOOKUP($A62,S275_21,24,FALSE)*VLOOKUP($A62,'3121% SY'!$C$3:$M$324,11,FALSE),3),0)+IFERROR(ROUND(VLOOKUP($A62,S275_21,25,FALSE)*VLOOKUP($A62,'3121% SY'!$C$3:$M$324,11,FALSE),3),0)+IFERROR(VLOOKUP($A62,S275_09,9,FALSE),0)</f>
        <v>0</v>
      </c>
      <c r="W62" s="267">
        <f>IFERROR(VLOOKUP($A62,Supp_45,14,FALSE),0)+IFERROR(SUMPRODUCT(VLOOKUP($A62,S275_01,{26,27,28},FALSE)),0)+IFERROR(SUMPRODUCT(VLOOKUP($A62,S275_97,{26,27,28},FALSE)),0)+IFERROR(ROUND(VLOOKUP($A62,S275_21,26,FALSE)*VLOOKUP($A62,'3121% SY'!$C$3:$M$324,11,FALSE),3),0)+IFERROR(ROUND(VLOOKUP($A62,S275_21,27,FALSE)*VLOOKUP($A62,'3121% SY'!$C$3:$M$324,11,FALSE),3),0)+IFERROR(ROUND(VLOOKUP($A62,S275_21,28,FALSE)*VLOOKUP($A62,'3121% SY'!$C$3:$M$324,11,FALSE),3),0)+IFERROR(VLOOKUP($A62,S275_09,10,FALSE),0)</f>
        <v>0</v>
      </c>
      <c r="X62" s="267">
        <f>IFERROR(VLOOKUP($A62,Supp_46,14,FALSE),0)+IFERROR(SUMPRODUCT(VLOOKUP($A62,S275_01,{29,30,31},FALSE)),0)+IFERROR(SUMPRODUCT(VLOOKUP($A62,S275_97,{29,30,31},FALSE)),0)+IFERROR(ROUND(VLOOKUP($A62,S275_21,29,FALSE)*VLOOKUP($A62,'3121% SY'!$C$3:$M$324,11,FALSE),3),0)+IFERROR(ROUND(VLOOKUP($A62,S275_21,30,FALSE)*VLOOKUP($A62,'3121% SY'!$C$3:$M$324,11,FALSE),3),0)+IFERROR(ROUND(VLOOKUP($A62,S275_21,31,FALSE)*VLOOKUP($A62,'3121% SY'!$C$3:$M$324,11,FALSE),3),0)+IFERROR(VLOOKUP($A62,S275_09,11,FALSE),0)</f>
        <v>0</v>
      </c>
      <c r="Y62" s="267">
        <f>IFERROR(VLOOKUP($A62,Supp_47,14,FALSE),0)+IFERROR(SUMPRODUCT(VLOOKUP($A62,S275_01,{32,33,34},FALSE)),0)+IFERROR(SUMPRODUCT(VLOOKUP($A62,S275_97,{32,33,34},FALSE)),0)+IFERROR(ROUND(VLOOKUP($A62,S275_21,32,FALSE)*VLOOKUP($A62,'3121% SY'!$C$3:$M$324,11,FALSE),3),0)+IFERROR(ROUND(VLOOKUP($A62,S275_21,33,FALSE)*VLOOKUP($A62,'3121% SY'!$C$3:$M$324,11,FALSE),3),0)+IFERROR(ROUND(VLOOKUP($A62,S275_21,34,FALSE)*VLOOKUP($A62,'3121% SY'!$C$3:$M$324,11,FALSE),3),0)+IFERROR(VLOOKUP($A62,S275_09,12,FALSE),0)</f>
        <v>0</v>
      </c>
      <c r="Z62" s="267">
        <f>IFERROR(VLOOKUP($A62,Supp_48,14,FALSE),0)+IFERROR(SUMPRODUCT(VLOOKUP($A62,S275_01,{35,36,37},FALSE)),0)+IFERROR(SUMPRODUCT(VLOOKUP($A62,S275_97,{35,36,37},FALSE)),0)+IFERROR(ROUND(VLOOKUP($A62,S275_21,35,FALSE)*VLOOKUP($A62,'3121% SY'!$C$3:$M$324,11,FALSE),3),0)+IFERROR(ROUND(VLOOKUP($A62,S275_21,36,FALSE)*VLOOKUP($A62,'3121% SY'!$C$3:$M$324,11,FALSE),3),0)+IFERROR(ROUND(VLOOKUP($A62,S275_21,37,FALSE)*VLOOKUP($A62,'3121% SY'!$C$3:$M$324,11,FALSE),3),0)+IFERROR(VLOOKUP($A62,S275_09,13,FALSE),0)</f>
        <v>0</v>
      </c>
      <c r="AA62" s="267">
        <f>IFERROR(VLOOKUP($A62,Supp_49,14,FALSE),0)+IFERROR(SUMPRODUCT(VLOOKUP($A62,S275_01,{38,39,40},FALSE)),0)+IFERROR(SUMPRODUCT(VLOOKUP($A62,S275_97,{38,39,40},FALSE)),0)+IFERROR(ROUND(VLOOKUP($A62,S275_21,38,FALSE)*VLOOKUP($A62,'3121% SY'!$C$3:$M$324,11,FALSE),3),0)+IFERROR(ROUND(VLOOKUP($A62,S275_21,39,FALSE)*VLOOKUP($A62,'3121% SY'!$C$3:$M$324,11,FALSE),3),0)+IFERROR(ROUND(VLOOKUP($A62,S275_21,40,FALSE)*VLOOKUP($A62,'3121% SY'!$C$3:$M$324,11,FALSE),3),0)+IFERROR(VLOOKUP($A62,S275_09,14,FALSE),0)</f>
        <v>0</v>
      </c>
      <c r="AB62" s="267">
        <f>IFERROR(VLOOKUP($A62,Supp_64,14,FALSE),0)+IFERROR(SUMPRODUCT(VLOOKUP($A62,S275_01,{41,42,43},FALSE)),0)+IFERROR(SUMPRODUCT(VLOOKUP($A62,S275_97,{41,42,43},FALSE)),0)+IFERROR(ROUND(VLOOKUP($A62,S275_21,41,FALSE)*VLOOKUP($A62,'3121% SY'!$C$3:$M$324,11,FALSE),3),0)+IFERROR(ROUND(VLOOKUP($A62,S275_21,42,FALSE)*VLOOKUP($A62,'3121% SY'!$C$3:$M$324,11,FALSE),3),0)+IFERROR(ROUND(VLOOKUP($A62,S275_21,43,FALSE)*VLOOKUP($A62,'3121% SY'!$C$3:$M$324,11,FALSE),3),0)+IFERROR(VLOOKUP($A62,S275_09,15,FALSE),0)</f>
        <v>0</v>
      </c>
      <c r="AC62" s="268">
        <f t="shared" si="17"/>
        <v>0</v>
      </c>
      <c r="AD62" s="267">
        <f>IFERROR(VLOOKUP($A62,Supp_24,14,FALSE),0)+IFERROR(SUMPRODUCT(VLOOKUP($A62,S275_01,{2,3,4},FALSE)),0)+IFERROR(SUMPRODUCT(VLOOKUP($A62,S275_97,{2,3,4},FALSE)),0)+IFERROR(ROUND(VLOOKUP($A62,S275_21,2,FALSE)*VLOOKUP($A62,'3121% SY'!$C$3:$M$324,11,FALSE),3),0)+IFERROR(ROUND(VLOOKUP($A62,S275_21,3,FALSE)*VLOOKUP($A62,'3121% SY'!$C$3:$M$324,11,FALSE),3),0)+IFERROR(ROUND(VLOOKUP($A62,S275_21,4,FALSE)*VLOOKUP($A62,'3121% SY'!$C$3:$M$324,11,FALSE),3),0)+IFERROR(VLOOKUP($A62,S275_09,2,FALSE),0)</f>
        <v>0</v>
      </c>
      <c r="AE62" s="267">
        <f>IFERROR(VLOOKUP($A62,Supp_25,14,FALSE),0)+IFERROR(SUMPRODUCT(VLOOKUP($A62,S275_01,{5,6,7},FALSE)),0)+IFERROR(SUMPRODUCT(VLOOKUP($A62,S275_97,{5,6,7},FALSE)),0)+IFERROR(ROUND(VLOOKUP($A62,S275_21,5,FALSE)*VLOOKUP($A62,'3121% SY'!$C$3:$M$324,11,FALSE),3),0)+IFERROR(ROUND(VLOOKUP($A62,S275_21,6,FALSE)*VLOOKUP($A62,'3121% SY'!$C$3:$M$324,11,FALSE),3),0)+IFERROR(ROUND(VLOOKUP($A62,S275_21,7,FALSE)*VLOOKUP($A62,'3121% SY'!$C$3:$M$324,11,FALSE),3),0)+IFERROR(VLOOKUP($A62,S275_09,3,FALSE),0)</f>
        <v>0</v>
      </c>
      <c r="AF62" s="267">
        <f>IFERROR(VLOOKUP($A62,Supp_26,14,FALSE),0)+IFERROR(SUMPRODUCT(VLOOKUP($A62,S275_01,{8,9,10},FALSE)),0)+IFERROR(SUMPRODUCT(VLOOKUP($A62,S275_97,{8,9,10},FALSE)),0)+IFERROR(ROUND(VLOOKUP($A62,S275_21,8,FALSE)*VLOOKUP($A62,'3121% SY'!$C$3:$M$324,11,FALSE),3),0)+IFERROR(ROUND(VLOOKUP($A62,S275_21,9,FALSE)*VLOOKUP($A62,'3121% SY'!$C$3:$M$324,11,FALSE),3),0)+IFERROR(ROUND(VLOOKUP($A62,S275_21,10,FALSE)*VLOOKUP($A62,'3121% SY'!$C$3:$M$324,11,FALSE),3),0)+IFERROR(VLOOKUP($A62,S275_09,4,FALSE),0)</f>
        <v>0.109</v>
      </c>
      <c r="AG62" s="267">
        <f>IFERROR(VLOOKUP($A62,Supp_35,14,FALSE),0)+IFERROR(SUMPRODUCT(VLOOKUP($A62,S275_01,{11,12,13},FALSE)),0)+IFERROR(SUMPRODUCT(VLOOKUP($A62,S275_97,{11,12,13},FALSE)),0)+IFERROR(ROUND(VLOOKUP($A62,S275_21,11,FALSE)*VLOOKUP($A62,'3121% SY'!$C$3:$M$324,11,FALSE),3),0)+IFERROR(ROUND(VLOOKUP($A62,S275_21,12,FALSE)*VLOOKUP($A62,'3121% SY'!$C$3:$M$324,11,FALSE),3),0)+IFERROR(ROUND(VLOOKUP($A62,S275_21,13,FALSE)*VLOOKUP($A62,'3121% SY'!$C$3:$M$324,11,FALSE),3),0)+IFERROR(VLOOKUP($A62,S275_09,5,FALSE),0)</f>
        <v>0</v>
      </c>
      <c r="AH62" s="165">
        <f t="shared" si="15"/>
        <v>0.109</v>
      </c>
      <c r="AI62" s="161">
        <f>IFERROR(VLOOKUP(A62,'Supp Staff Data'!A:ER,148,FALSE),0)+AB62</f>
        <v>0</v>
      </c>
      <c r="AJ62" s="174">
        <v>1</v>
      </c>
      <c r="AK62" s="25">
        <f>VLOOKUP(A62,'Enroll Data as of January 2025'!$A$3:$T$323,20,FALSE)-F62</f>
        <v>0</v>
      </c>
    </row>
    <row r="63" spans="1:37" x14ac:dyDescent="0.25">
      <c r="A63" s="171" t="s">
        <v>57</v>
      </c>
      <c r="B63" t="s">
        <v>353</v>
      </c>
      <c r="C63" s="173" t="s">
        <v>1077</v>
      </c>
      <c r="D63" s="259">
        <f t="shared" si="9"/>
        <v>0.23799999999999999</v>
      </c>
      <c r="E63" s="259">
        <f t="shared" si="10"/>
        <v>0.11899999999999999</v>
      </c>
      <c r="F63" s="262">
        <f t="shared" si="18"/>
        <v>-0.11899999999999999</v>
      </c>
      <c r="G63" s="161">
        <f>ROUND(IF(F63&lt;0,F63*'2024-25 PSES Compliance'!$G$13,0),3)</f>
        <v>-0.114</v>
      </c>
      <c r="H63" s="161">
        <f>ROUND(IF(F63&lt;0,F63*'2024-25 PSES Compliance'!$G$14,0),3)</f>
        <v>-5.0000000000000001E-3</v>
      </c>
      <c r="I63" s="174">
        <f t="shared" si="11"/>
        <v>0</v>
      </c>
      <c r="J63" s="174">
        <f t="shared" si="12"/>
        <v>0</v>
      </c>
      <c r="K63" s="161">
        <f>VLOOKUP($A63,'Enroll Data as of January 2025'!$A$3:$M$322,6,FALSE)</f>
        <v>0.11699999999999999</v>
      </c>
      <c r="L63" s="161">
        <f>VLOOKUP($A63,'Enroll Data as of January 2025'!$A$3:$M$322,7,FALSE)</f>
        <v>2.8999999999999998E-2</v>
      </c>
      <c r="M63" s="161">
        <f>VLOOKUP($A63,'Enroll Data as of January 2025'!$A$3:$M$322,8,FALSE)</f>
        <v>8.9999999999999993E-3</v>
      </c>
      <c r="N63" s="161">
        <f>VLOOKUP($A63,'Enroll Data as of January 2025'!$A$3:$M$322,9,FALSE)</f>
        <v>6.7000000000000004E-2</v>
      </c>
      <c r="O63" s="165">
        <f t="shared" si="13"/>
        <v>0.222</v>
      </c>
      <c r="P63" s="161">
        <f>VLOOKUP($A63,'Enroll Data as of January 2025'!$A$3:$M$322,11,FALSE)</f>
        <v>9.0000000000000011E-3</v>
      </c>
      <c r="Q63" s="161">
        <f>VLOOKUP($A63,'Enroll Data as of January 2025'!$A$3:$M$322,12,FALSE)</f>
        <v>7.0000000000000001E-3</v>
      </c>
      <c r="R63" s="165">
        <f t="shared" si="14"/>
        <v>1.6E-2</v>
      </c>
      <c r="S63" s="267">
        <f>IFERROR(VLOOKUP($A63,Supp_39,14,FALSE),0)+IFERROR(SUMPRODUCT(VLOOKUP($A63,S275_01,{14,15,16},FALSE)),0)+IFERROR(SUMPRODUCT(VLOOKUP($A63,S275_97,{14,15,16},FALSE)),0)+IFERROR(ROUND(VLOOKUP($A63,S275_21,14,FALSE)*VLOOKUP($A63,'3121% SY'!$C$3:$M$324,11,FALSE),3),0)+IFERROR(ROUND(VLOOKUP($A63,S275_21,15,FALSE)*VLOOKUP($A63,'3121% SY'!$C$3:$M$324,11,FALSE),3),0)+IFERROR(ROUND(VLOOKUP($A63,S275_21,16,FALSE)*VLOOKUP($A63,'3121% SY'!$C$3:$M$324,11,FALSE),3),0)+IFERROR(VLOOKUP($A63,S275_09,6,FALSE),0)</f>
        <v>0</v>
      </c>
      <c r="T63" s="267">
        <f>IFERROR(VLOOKUP($A63,Supp_42,14,FALSE),0)+IFERROR(SUMPRODUCT(VLOOKUP($A63,S275_01,{17,18,19},FALSE)),0)+IFERROR(SUMPRODUCT(VLOOKUP($A63,S275_97,{17,18,19},FALSE)),0)+IFERROR(ROUND(VLOOKUP($A63,S275_21,17,FALSE)*VLOOKUP($A63,'3121% SY'!$C$3:$M$324,11,FALSE),3),0)+IFERROR(ROUND(VLOOKUP($A63,S275_21,18,FALSE)*VLOOKUP($A63,'3121% SY'!$C$3:$M$324,11,FALSE),3),0)+IFERROR(ROUND(VLOOKUP($A63,S275_21,19,FALSE)*VLOOKUP($A63,'3121% SY'!$C$3:$M$324,11,FALSE),3),0)+IFERROR(VLOOKUP($A63,S275_09,7,FALSE),0)</f>
        <v>0</v>
      </c>
      <c r="U63" s="267">
        <f>IFERROR(VLOOKUP($A63,Supp_43,14,FALSE),0)+IFERROR(SUMPRODUCT(VLOOKUP($A63,S275_01,{20,21,22},FALSE)),0)+IFERROR(SUMPRODUCT(VLOOKUP($A63,S275_97,{20,21,22},FALSE)),0)+IFERROR(ROUND(VLOOKUP($A63,S275_21,20,FALSE)*VLOOKUP($A63,'3121% SY'!$C$3:$M$324,11,FALSE),3),0)+IFERROR(ROUND(VLOOKUP($A63,S275_21,21,FALSE)*VLOOKUP($A63,'3121% SY'!$C$3:$M$324,11,FALSE),3),0)+IFERROR(ROUND(VLOOKUP($A63,S275_21,22,FALSE)*VLOOKUP($A63,'3121% SY'!$C$3:$M$324,11,FALSE),3),0)+IFERROR(VLOOKUP($A63,S275_09,8,FALSE),0)</f>
        <v>0</v>
      </c>
      <c r="V63" s="267">
        <f>IFERROR(VLOOKUP($A63,Supp_44,14,FALSE),0)+IFERROR(SUMPRODUCT(VLOOKUP($A63,S275_01,{23,24,25},FALSE)),0)+IFERROR(SUMPRODUCT(VLOOKUP($A63,S275_97,{23,24,25},FALSE)),0)+IFERROR(ROUND(VLOOKUP($A63,S275_21,23,FALSE)*VLOOKUP($A63,'3121% SY'!$C$3:$M$324,11,FALSE),3),0)+IFERROR(ROUND(VLOOKUP($A63,S275_21,24,FALSE)*VLOOKUP($A63,'3121% SY'!$C$3:$M$324,11,FALSE),3),0)+IFERROR(ROUND(VLOOKUP($A63,S275_21,25,FALSE)*VLOOKUP($A63,'3121% SY'!$C$3:$M$324,11,FALSE),3),0)+IFERROR(VLOOKUP($A63,S275_09,9,FALSE),0)</f>
        <v>0</v>
      </c>
      <c r="W63" s="267">
        <f>IFERROR(VLOOKUP($A63,Supp_45,14,FALSE),0)+IFERROR(SUMPRODUCT(VLOOKUP($A63,S275_01,{26,27,28},FALSE)),0)+IFERROR(SUMPRODUCT(VLOOKUP($A63,S275_97,{26,27,28},FALSE)),0)+IFERROR(ROUND(VLOOKUP($A63,S275_21,26,FALSE)*VLOOKUP($A63,'3121% SY'!$C$3:$M$324,11,FALSE),3),0)+IFERROR(ROUND(VLOOKUP($A63,S275_21,27,FALSE)*VLOOKUP($A63,'3121% SY'!$C$3:$M$324,11,FALSE),3),0)+IFERROR(ROUND(VLOOKUP($A63,S275_21,28,FALSE)*VLOOKUP($A63,'3121% SY'!$C$3:$M$324,11,FALSE),3),0)+IFERROR(VLOOKUP($A63,S275_09,10,FALSE),0)</f>
        <v>0</v>
      </c>
      <c r="X63" s="267">
        <f>IFERROR(VLOOKUP($A63,Supp_46,14,FALSE),0)+IFERROR(SUMPRODUCT(VLOOKUP($A63,S275_01,{29,30,31},FALSE)),0)+IFERROR(SUMPRODUCT(VLOOKUP($A63,S275_97,{29,30,31},FALSE)),0)+IFERROR(ROUND(VLOOKUP($A63,S275_21,29,FALSE)*VLOOKUP($A63,'3121% SY'!$C$3:$M$324,11,FALSE),3),0)+IFERROR(ROUND(VLOOKUP($A63,S275_21,30,FALSE)*VLOOKUP($A63,'3121% SY'!$C$3:$M$324,11,FALSE),3),0)+IFERROR(ROUND(VLOOKUP($A63,S275_21,31,FALSE)*VLOOKUP($A63,'3121% SY'!$C$3:$M$324,11,FALSE),3),0)+IFERROR(VLOOKUP($A63,S275_09,11,FALSE),0)</f>
        <v>0</v>
      </c>
      <c r="Y63" s="267">
        <f>IFERROR(VLOOKUP($A63,Supp_47,14,FALSE),0)+IFERROR(SUMPRODUCT(VLOOKUP($A63,S275_01,{32,33,34},FALSE)),0)+IFERROR(SUMPRODUCT(VLOOKUP($A63,S275_97,{32,33,34},FALSE)),0)+IFERROR(ROUND(VLOOKUP($A63,S275_21,32,FALSE)*VLOOKUP($A63,'3121% SY'!$C$3:$M$324,11,FALSE),3),0)+IFERROR(ROUND(VLOOKUP($A63,S275_21,33,FALSE)*VLOOKUP($A63,'3121% SY'!$C$3:$M$324,11,FALSE),3),0)+IFERROR(ROUND(VLOOKUP($A63,S275_21,34,FALSE)*VLOOKUP($A63,'3121% SY'!$C$3:$M$324,11,FALSE),3),0)+IFERROR(VLOOKUP($A63,S275_09,12,FALSE),0)</f>
        <v>0</v>
      </c>
      <c r="Z63" s="267">
        <f>IFERROR(VLOOKUP($A63,Supp_48,14,FALSE),0)+IFERROR(SUMPRODUCT(VLOOKUP($A63,S275_01,{35,36,37},FALSE)),0)+IFERROR(SUMPRODUCT(VLOOKUP($A63,S275_97,{35,36,37},FALSE)),0)+IFERROR(ROUND(VLOOKUP($A63,S275_21,35,FALSE)*VLOOKUP($A63,'3121% SY'!$C$3:$M$324,11,FALSE),3),0)+IFERROR(ROUND(VLOOKUP($A63,S275_21,36,FALSE)*VLOOKUP($A63,'3121% SY'!$C$3:$M$324,11,FALSE),3),0)+IFERROR(ROUND(VLOOKUP($A63,S275_21,37,FALSE)*VLOOKUP($A63,'3121% SY'!$C$3:$M$324,11,FALSE),3),0)+IFERROR(VLOOKUP($A63,S275_09,13,FALSE),0)</f>
        <v>0</v>
      </c>
      <c r="AA63" s="267">
        <f>IFERROR(VLOOKUP($A63,Supp_49,14,FALSE),0)+IFERROR(SUMPRODUCT(VLOOKUP($A63,S275_01,{38,39,40},FALSE)),0)+IFERROR(SUMPRODUCT(VLOOKUP($A63,S275_97,{38,39,40},FALSE)),0)+IFERROR(ROUND(VLOOKUP($A63,S275_21,38,FALSE)*VLOOKUP($A63,'3121% SY'!$C$3:$M$324,11,FALSE),3),0)+IFERROR(ROUND(VLOOKUP($A63,S275_21,39,FALSE)*VLOOKUP($A63,'3121% SY'!$C$3:$M$324,11,FALSE),3),0)+IFERROR(ROUND(VLOOKUP($A63,S275_21,40,FALSE)*VLOOKUP($A63,'3121% SY'!$C$3:$M$324,11,FALSE),3),0)+IFERROR(VLOOKUP($A63,S275_09,14,FALSE),0)</f>
        <v>0</v>
      </c>
      <c r="AB63" s="267">
        <f>IFERROR(VLOOKUP($A63,Supp_64,14,FALSE),0)+IFERROR(SUMPRODUCT(VLOOKUP($A63,S275_01,{41,42,43},FALSE)),0)+IFERROR(SUMPRODUCT(VLOOKUP($A63,S275_97,{41,42,43},FALSE)),0)+IFERROR(ROUND(VLOOKUP($A63,S275_21,41,FALSE)*VLOOKUP($A63,'3121% SY'!$C$3:$M$324,11,FALSE),3),0)+IFERROR(ROUND(VLOOKUP($A63,S275_21,42,FALSE)*VLOOKUP($A63,'3121% SY'!$C$3:$M$324,11,FALSE),3),0)+IFERROR(ROUND(VLOOKUP($A63,S275_21,43,FALSE)*VLOOKUP($A63,'3121% SY'!$C$3:$M$324,11,FALSE),3),0)+IFERROR(VLOOKUP($A63,S275_09,15,FALSE),0)</f>
        <v>0</v>
      </c>
      <c r="AC63" s="268">
        <f t="shared" si="17"/>
        <v>0</v>
      </c>
      <c r="AD63" s="267">
        <f>IFERROR(VLOOKUP($A63,Supp_24,14,FALSE),0)+IFERROR(SUMPRODUCT(VLOOKUP($A63,S275_01,{2,3,4},FALSE)),0)+IFERROR(SUMPRODUCT(VLOOKUP($A63,S275_97,{2,3,4},FALSE)),0)+IFERROR(ROUND(VLOOKUP($A63,S275_21,2,FALSE)*VLOOKUP($A63,'3121% SY'!$C$3:$M$324,11,FALSE),3),0)+IFERROR(ROUND(VLOOKUP($A63,S275_21,3,FALSE)*VLOOKUP($A63,'3121% SY'!$C$3:$M$324,11,FALSE),3),0)+IFERROR(ROUND(VLOOKUP($A63,S275_21,4,FALSE)*VLOOKUP($A63,'3121% SY'!$C$3:$M$324,11,FALSE),3),0)+IFERROR(VLOOKUP($A63,S275_09,2,FALSE),0)</f>
        <v>0</v>
      </c>
      <c r="AE63" s="267">
        <f>IFERROR(VLOOKUP($A63,Supp_25,14,FALSE),0)+IFERROR(SUMPRODUCT(VLOOKUP($A63,S275_01,{5,6,7},FALSE)),0)+IFERROR(SUMPRODUCT(VLOOKUP($A63,S275_97,{5,6,7},FALSE)),0)+IFERROR(ROUND(VLOOKUP($A63,S275_21,5,FALSE)*VLOOKUP($A63,'3121% SY'!$C$3:$M$324,11,FALSE),3),0)+IFERROR(ROUND(VLOOKUP($A63,S275_21,6,FALSE)*VLOOKUP($A63,'3121% SY'!$C$3:$M$324,11,FALSE),3),0)+IFERROR(ROUND(VLOOKUP($A63,S275_21,7,FALSE)*VLOOKUP($A63,'3121% SY'!$C$3:$M$324,11,FALSE),3),0)+IFERROR(VLOOKUP($A63,S275_09,3,FALSE),0)</f>
        <v>0</v>
      </c>
      <c r="AF63" s="267">
        <f>IFERROR(VLOOKUP($A63,Supp_26,14,FALSE),0)+IFERROR(SUMPRODUCT(VLOOKUP($A63,S275_01,{8,9,10},FALSE)),0)+IFERROR(SUMPRODUCT(VLOOKUP($A63,S275_97,{8,9,10},FALSE)),0)+IFERROR(ROUND(VLOOKUP($A63,S275_21,8,FALSE)*VLOOKUP($A63,'3121% SY'!$C$3:$M$324,11,FALSE),3),0)+IFERROR(ROUND(VLOOKUP($A63,S275_21,9,FALSE)*VLOOKUP($A63,'3121% SY'!$C$3:$M$324,11,FALSE),3),0)+IFERROR(ROUND(VLOOKUP($A63,S275_21,10,FALSE)*VLOOKUP($A63,'3121% SY'!$C$3:$M$324,11,FALSE),3),0)+IFERROR(VLOOKUP($A63,S275_09,4,FALSE),0)</f>
        <v>0.11899999999999999</v>
      </c>
      <c r="AG63" s="267">
        <f>IFERROR(VLOOKUP($A63,Supp_35,14,FALSE),0)+IFERROR(SUMPRODUCT(VLOOKUP($A63,S275_01,{11,12,13},FALSE)),0)+IFERROR(SUMPRODUCT(VLOOKUP($A63,S275_97,{11,12,13},FALSE)),0)+IFERROR(ROUND(VLOOKUP($A63,S275_21,11,FALSE)*VLOOKUP($A63,'3121% SY'!$C$3:$M$324,11,FALSE),3),0)+IFERROR(ROUND(VLOOKUP($A63,S275_21,12,FALSE)*VLOOKUP($A63,'3121% SY'!$C$3:$M$324,11,FALSE),3),0)+IFERROR(ROUND(VLOOKUP($A63,S275_21,13,FALSE)*VLOOKUP($A63,'3121% SY'!$C$3:$M$324,11,FALSE),3),0)+IFERROR(VLOOKUP($A63,S275_09,5,FALSE),0)</f>
        <v>0</v>
      </c>
      <c r="AH63" s="165">
        <f t="shared" si="15"/>
        <v>0.11899999999999999</v>
      </c>
      <c r="AI63" s="161">
        <f>IFERROR(VLOOKUP(A63,'Supp Staff Data'!A:ER,148,FALSE),0)+AB63</f>
        <v>0</v>
      </c>
      <c r="AJ63" s="174">
        <v>1</v>
      </c>
      <c r="AK63" s="25">
        <f>VLOOKUP(A63,'Enroll Data as of January 2025'!$A$3:$T$323,20,FALSE)-F63</f>
        <v>0</v>
      </c>
    </row>
    <row r="64" spans="1:37" x14ac:dyDescent="0.25">
      <c r="A64" s="171" t="s">
        <v>135</v>
      </c>
      <c r="B64" t="s">
        <v>431</v>
      </c>
      <c r="C64" s="173" t="s">
        <v>1077</v>
      </c>
      <c r="D64" s="259">
        <f t="shared" si="9"/>
        <v>4.5629999999999997</v>
      </c>
      <c r="E64" s="259">
        <f t="shared" si="10"/>
        <v>3.593</v>
      </c>
      <c r="F64" s="262">
        <f t="shared" si="18"/>
        <v>-0.97</v>
      </c>
      <c r="G64" s="161">
        <f>ROUND(IF(F64&lt;0,F64*'2024-25 PSES Compliance'!$G$13,0),3)</f>
        <v>-0.93100000000000005</v>
      </c>
      <c r="H64" s="161">
        <f>ROUND(IF(F64&lt;0,F64*'2024-25 PSES Compliance'!$G$14,0),3)</f>
        <v>-3.9E-2</v>
      </c>
      <c r="I64" s="174">
        <f t="shared" si="11"/>
        <v>0</v>
      </c>
      <c r="J64" s="174">
        <f t="shared" si="12"/>
        <v>0</v>
      </c>
      <c r="K64" s="161">
        <f>VLOOKUP($A64,'Enroll Data as of January 2025'!$A$3:$M$322,6,FALSE)</f>
        <v>2.629</v>
      </c>
      <c r="L64" s="161">
        <f>VLOOKUP($A64,'Enroll Data as of January 2025'!$A$3:$M$322,7,FALSE)</f>
        <v>0.39200000000000002</v>
      </c>
      <c r="M64" s="161">
        <f>VLOOKUP($A64,'Enroll Data as of January 2025'!$A$3:$M$322,8,FALSE)</f>
        <v>0.13200000000000001</v>
      </c>
      <c r="N64" s="161">
        <f>VLOOKUP($A64,'Enroll Data as of January 2025'!$A$3:$M$322,9,FALSE)</f>
        <v>1.165</v>
      </c>
      <c r="O64" s="165">
        <f t="shared" si="13"/>
        <v>4.3179999999999996</v>
      </c>
      <c r="P64" s="161">
        <f>VLOOKUP($A64,'Enroll Data as of January 2025'!$A$3:$M$322,11,FALSE)</f>
        <v>0.16</v>
      </c>
      <c r="Q64" s="161">
        <f>VLOOKUP($A64,'Enroll Data as of January 2025'!$A$3:$M$322,12,FALSE)</f>
        <v>8.5000000000000006E-2</v>
      </c>
      <c r="R64" s="165">
        <f t="shared" si="14"/>
        <v>0.245</v>
      </c>
      <c r="S64" s="267">
        <f>IFERROR(VLOOKUP($A64,Supp_39,14,FALSE),0)+IFERROR(SUMPRODUCT(VLOOKUP($A64,S275_01,{14,15,16},FALSE)),0)+IFERROR(SUMPRODUCT(VLOOKUP($A64,S275_97,{14,15,16},FALSE)),0)+IFERROR(ROUND(VLOOKUP($A64,S275_21,14,FALSE)*VLOOKUP($A64,'3121% SY'!$C$3:$M$324,11,FALSE),3),0)+IFERROR(ROUND(VLOOKUP($A64,S275_21,15,FALSE)*VLOOKUP($A64,'3121% SY'!$C$3:$M$324,11,FALSE),3),0)+IFERROR(ROUND(VLOOKUP($A64,S275_21,16,FALSE)*VLOOKUP($A64,'3121% SY'!$C$3:$M$324,11,FALSE),3),0)+IFERROR(VLOOKUP($A64,S275_09,6,FALSE),0)</f>
        <v>1.3</v>
      </c>
      <c r="T64" s="267">
        <f>IFERROR(VLOOKUP($A64,Supp_42,14,FALSE),0)+IFERROR(SUMPRODUCT(VLOOKUP($A64,S275_01,{17,18,19},FALSE)),0)+IFERROR(SUMPRODUCT(VLOOKUP($A64,S275_97,{17,18,19},FALSE)),0)+IFERROR(ROUND(VLOOKUP($A64,S275_21,17,FALSE)*VLOOKUP($A64,'3121% SY'!$C$3:$M$324,11,FALSE),3),0)+IFERROR(ROUND(VLOOKUP($A64,S275_21,18,FALSE)*VLOOKUP($A64,'3121% SY'!$C$3:$M$324,11,FALSE),3),0)+IFERROR(ROUND(VLOOKUP($A64,S275_21,19,FALSE)*VLOOKUP($A64,'3121% SY'!$C$3:$M$324,11,FALSE),3),0)+IFERROR(VLOOKUP($A64,S275_09,7,FALSE),0)</f>
        <v>1</v>
      </c>
      <c r="U64" s="267">
        <f>IFERROR(VLOOKUP($A64,Supp_43,14,FALSE),0)+IFERROR(SUMPRODUCT(VLOOKUP($A64,S275_01,{20,21,22},FALSE)),0)+IFERROR(SUMPRODUCT(VLOOKUP($A64,S275_97,{20,21,22},FALSE)),0)+IFERROR(ROUND(VLOOKUP($A64,S275_21,20,FALSE)*VLOOKUP($A64,'3121% SY'!$C$3:$M$324,11,FALSE),3),0)+IFERROR(ROUND(VLOOKUP($A64,S275_21,21,FALSE)*VLOOKUP($A64,'3121% SY'!$C$3:$M$324,11,FALSE),3),0)+IFERROR(ROUND(VLOOKUP($A64,S275_21,22,FALSE)*VLOOKUP($A64,'3121% SY'!$C$3:$M$324,11,FALSE),3),0)+IFERROR(VLOOKUP($A64,S275_09,8,FALSE),0)</f>
        <v>0</v>
      </c>
      <c r="V64" s="267">
        <f>IFERROR(VLOOKUP($A64,Supp_44,14,FALSE),0)+IFERROR(SUMPRODUCT(VLOOKUP($A64,S275_01,{23,24,25},FALSE)),0)+IFERROR(SUMPRODUCT(VLOOKUP($A64,S275_97,{23,24,25},FALSE)),0)+IFERROR(ROUND(VLOOKUP($A64,S275_21,23,FALSE)*VLOOKUP($A64,'3121% SY'!$C$3:$M$324,11,FALSE),3),0)+IFERROR(ROUND(VLOOKUP($A64,S275_21,24,FALSE)*VLOOKUP($A64,'3121% SY'!$C$3:$M$324,11,FALSE),3),0)+IFERROR(ROUND(VLOOKUP($A64,S275_21,25,FALSE)*VLOOKUP($A64,'3121% SY'!$C$3:$M$324,11,FALSE),3),0)+IFERROR(VLOOKUP($A64,S275_09,9,FALSE),0)</f>
        <v>0</v>
      </c>
      <c r="W64" s="267">
        <f>IFERROR(VLOOKUP($A64,Supp_45,14,FALSE),0)+IFERROR(SUMPRODUCT(VLOOKUP($A64,S275_01,{26,27,28},FALSE)),0)+IFERROR(SUMPRODUCT(VLOOKUP($A64,S275_97,{26,27,28},FALSE)),0)+IFERROR(ROUND(VLOOKUP($A64,S275_21,26,FALSE)*VLOOKUP($A64,'3121% SY'!$C$3:$M$324,11,FALSE),3),0)+IFERROR(ROUND(VLOOKUP($A64,S275_21,27,FALSE)*VLOOKUP($A64,'3121% SY'!$C$3:$M$324,11,FALSE),3),0)+IFERROR(ROUND(VLOOKUP($A64,S275_21,28,FALSE)*VLOOKUP($A64,'3121% SY'!$C$3:$M$324,11,FALSE),3),0)+IFERROR(VLOOKUP($A64,S275_09,10,FALSE),0)</f>
        <v>0</v>
      </c>
      <c r="X64" s="267">
        <f>IFERROR(VLOOKUP($A64,Supp_46,14,FALSE),0)+IFERROR(SUMPRODUCT(VLOOKUP($A64,S275_01,{29,30,31},FALSE)),0)+IFERROR(SUMPRODUCT(VLOOKUP($A64,S275_97,{29,30,31},FALSE)),0)+IFERROR(ROUND(VLOOKUP($A64,S275_21,29,FALSE)*VLOOKUP($A64,'3121% SY'!$C$3:$M$324,11,FALSE),3),0)+IFERROR(ROUND(VLOOKUP($A64,S275_21,30,FALSE)*VLOOKUP($A64,'3121% SY'!$C$3:$M$324,11,FALSE),3),0)+IFERROR(ROUND(VLOOKUP($A64,S275_21,31,FALSE)*VLOOKUP($A64,'3121% SY'!$C$3:$M$324,11,FALSE),3),0)+IFERROR(VLOOKUP($A64,S275_09,11,FALSE),0)</f>
        <v>0</v>
      </c>
      <c r="Y64" s="267">
        <f>IFERROR(VLOOKUP($A64,Supp_47,14,FALSE),0)+IFERROR(SUMPRODUCT(VLOOKUP($A64,S275_01,{32,33,34},FALSE)),0)+IFERROR(SUMPRODUCT(VLOOKUP($A64,S275_97,{32,33,34},FALSE)),0)+IFERROR(ROUND(VLOOKUP($A64,S275_21,32,FALSE)*VLOOKUP($A64,'3121% SY'!$C$3:$M$324,11,FALSE),3),0)+IFERROR(ROUND(VLOOKUP($A64,S275_21,33,FALSE)*VLOOKUP($A64,'3121% SY'!$C$3:$M$324,11,FALSE),3),0)+IFERROR(ROUND(VLOOKUP($A64,S275_21,34,FALSE)*VLOOKUP($A64,'3121% SY'!$C$3:$M$324,11,FALSE),3),0)+IFERROR(VLOOKUP($A64,S275_09,12,FALSE),0)</f>
        <v>0.65</v>
      </c>
      <c r="Z64" s="267">
        <f>IFERROR(VLOOKUP($A64,Supp_48,14,FALSE),0)+IFERROR(SUMPRODUCT(VLOOKUP($A64,S275_01,{35,36,37},FALSE)),0)+IFERROR(SUMPRODUCT(VLOOKUP($A64,S275_97,{35,36,37},FALSE)),0)+IFERROR(ROUND(VLOOKUP($A64,S275_21,35,FALSE)*VLOOKUP($A64,'3121% SY'!$C$3:$M$324,11,FALSE),3),0)+IFERROR(ROUND(VLOOKUP($A64,S275_21,36,FALSE)*VLOOKUP($A64,'3121% SY'!$C$3:$M$324,11,FALSE),3),0)+IFERROR(ROUND(VLOOKUP($A64,S275_21,37,FALSE)*VLOOKUP($A64,'3121% SY'!$C$3:$M$324,11,FALSE),3),0)+IFERROR(VLOOKUP($A64,S275_09,13,FALSE),0)</f>
        <v>0</v>
      </c>
      <c r="AA64" s="267">
        <f>IFERROR(VLOOKUP($A64,Supp_49,14,FALSE),0)+IFERROR(SUMPRODUCT(VLOOKUP($A64,S275_01,{38,39,40},FALSE)),0)+IFERROR(SUMPRODUCT(VLOOKUP($A64,S275_97,{38,39,40},FALSE)),0)+IFERROR(ROUND(VLOOKUP($A64,S275_21,38,FALSE)*VLOOKUP($A64,'3121% SY'!$C$3:$M$324,11,FALSE),3),0)+IFERROR(ROUND(VLOOKUP($A64,S275_21,39,FALSE)*VLOOKUP($A64,'3121% SY'!$C$3:$M$324,11,FALSE),3),0)+IFERROR(ROUND(VLOOKUP($A64,S275_21,40,FALSE)*VLOOKUP($A64,'3121% SY'!$C$3:$M$324,11,FALSE),3),0)+IFERROR(VLOOKUP($A64,S275_09,14,FALSE),0)</f>
        <v>0</v>
      </c>
      <c r="AB64" s="267">
        <f>IFERROR(VLOOKUP($A64,Supp_64,14,FALSE),0)+IFERROR(SUMPRODUCT(VLOOKUP($A64,S275_01,{41,42,43},FALSE)),0)+IFERROR(SUMPRODUCT(VLOOKUP($A64,S275_97,{41,42,43},FALSE)),0)+IFERROR(ROUND(VLOOKUP($A64,S275_21,41,FALSE)*VLOOKUP($A64,'3121% SY'!$C$3:$M$324,11,FALSE),3),0)+IFERROR(ROUND(VLOOKUP($A64,S275_21,42,FALSE)*VLOOKUP($A64,'3121% SY'!$C$3:$M$324,11,FALSE),3),0)+IFERROR(ROUND(VLOOKUP($A64,S275_21,43,FALSE)*VLOOKUP($A64,'3121% SY'!$C$3:$M$324,11,FALSE),3),0)+IFERROR(VLOOKUP($A64,S275_09,15,FALSE),0)</f>
        <v>0</v>
      </c>
      <c r="AC64" s="268">
        <f t="shared" si="17"/>
        <v>2.9499999999999997</v>
      </c>
      <c r="AD64" s="267">
        <f>IFERROR(VLOOKUP($A64,Supp_24,14,FALSE),0)+IFERROR(SUMPRODUCT(VLOOKUP($A64,S275_01,{2,3,4},FALSE)),0)+IFERROR(SUMPRODUCT(VLOOKUP($A64,S275_97,{2,3,4},FALSE)),0)+IFERROR(ROUND(VLOOKUP($A64,S275_21,2,FALSE)*VLOOKUP($A64,'3121% SY'!$C$3:$M$324,11,FALSE),3),0)+IFERROR(ROUND(VLOOKUP($A64,S275_21,3,FALSE)*VLOOKUP($A64,'3121% SY'!$C$3:$M$324,11,FALSE),3),0)+IFERROR(ROUND(VLOOKUP($A64,S275_21,4,FALSE)*VLOOKUP($A64,'3121% SY'!$C$3:$M$324,11,FALSE),3),0)+IFERROR(VLOOKUP($A64,S275_09,2,FALSE),0)</f>
        <v>0</v>
      </c>
      <c r="AE64" s="267">
        <f>IFERROR(VLOOKUP($A64,Supp_25,14,FALSE),0)+IFERROR(SUMPRODUCT(VLOOKUP($A64,S275_01,{5,6,7},FALSE)),0)+IFERROR(SUMPRODUCT(VLOOKUP($A64,S275_97,{5,6,7},FALSE)),0)+IFERROR(ROUND(VLOOKUP($A64,S275_21,5,FALSE)*VLOOKUP($A64,'3121% SY'!$C$3:$M$324,11,FALSE),3),0)+IFERROR(ROUND(VLOOKUP($A64,S275_21,6,FALSE)*VLOOKUP($A64,'3121% SY'!$C$3:$M$324,11,FALSE),3),0)+IFERROR(ROUND(VLOOKUP($A64,S275_21,7,FALSE)*VLOOKUP($A64,'3121% SY'!$C$3:$M$324,11,FALSE),3),0)+IFERROR(VLOOKUP($A64,S275_09,3,FALSE),0)</f>
        <v>0</v>
      </c>
      <c r="AF64" s="267">
        <f>IFERROR(VLOOKUP($A64,Supp_26,14,FALSE),0)+IFERROR(SUMPRODUCT(VLOOKUP($A64,S275_01,{8,9,10},FALSE)),0)+IFERROR(SUMPRODUCT(VLOOKUP($A64,S275_97,{8,9,10},FALSE)),0)+IFERROR(ROUND(VLOOKUP($A64,S275_21,8,FALSE)*VLOOKUP($A64,'3121% SY'!$C$3:$M$324,11,FALSE),3),0)+IFERROR(ROUND(VLOOKUP($A64,S275_21,9,FALSE)*VLOOKUP($A64,'3121% SY'!$C$3:$M$324,11,FALSE),3),0)+IFERROR(ROUND(VLOOKUP($A64,S275_21,10,FALSE)*VLOOKUP($A64,'3121% SY'!$C$3:$M$324,11,FALSE),3),0)+IFERROR(VLOOKUP($A64,S275_09,4,FALSE),0)</f>
        <v>0.64300000000000002</v>
      </c>
      <c r="AG64" s="267">
        <f>IFERROR(VLOOKUP($A64,Supp_35,14,FALSE),0)+IFERROR(SUMPRODUCT(VLOOKUP($A64,S275_01,{11,12,13},FALSE)),0)+IFERROR(SUMPRODUCT(VLOOKUP($A64,S275_97,{11,12,13},FALSE)),0)+IFERROR(ROUND(VLOOKUP($A64,S275_21,11,FALSE)*VLOOKUP($A64,'3121% SY'!$C$3:$M$324,11,FALSE),3),0)+IFERROR(ROUND(VLOOKUP($A64,S275_21,12,FALSE)*VLOOKUP($A64,'3121% SY'!$C$3:$M$324,11,FALSE),3),0)+IFERROR(ROUND(VLOOKUP($A64,S275_21,13,FALSE)*VLOOKUP($A64,'3121% SY'!$C$3:$M$324,11,FALSE),3),0)+IFERROR(VLOOKUP($A64,S275_09,5,FALSE),0)</f>
        <v>0</v>
      </c>
      <c r="AH64" s="165">
        <f t="shared" si="15"/>
        <v>0.64300000000000002</v>
      </c>
      <c r="AI64" s="161">
        <f>IFERROR(VLOOKUP(A64,'Supp Staff Data'!A:ER,148,FALSE),0)+AB64</f>
        <v>0</v>
      </c>
      <c r="AJ64" s="174">
        <v>0</v>
      </c>
      <c r="AK64" s="25">
        <f>VLOOKUP(A64,'Enroll Data as of January 2025'!$A$3:$T$323,20,FALSE)-F64</f>
        <v>0</v>
      </c>
    </row>
    <row r="65" spans="1:37" x14ac:dyDescent="0.25">
      <c r="A65" s="171" t="s">
        <v>240</v>
      </c>
      <c r="B65" t="s">
        <v>536</v>
      </c>
      <c r="C65" s="173" t="s">
        <v>1077</v>
      </c>
      <c r="D65" s="259">
        <f t="shared" si="9"/>
        <v>0.22500000000000003</v>
      </c>
      <c r="E65" s="259">
        <f t="shared" si="10"/>
        <v>0.1</v>
      </c>
      <c r="F65" s="262">
        <f t="shared" si="18"/>
        <v>-0.125</v>
      </c>
      <c r="G65" s="161">
        <f>ROUND(IF(F65&lt;0,F65*'2024-25 PSES Compliance'!$G$13,0),3)</f>
        <v>-0.12</v>
      </c>
      <c r="H65" s="161">
        <f>ROUND(IF(F65&lt;0,F65*'2024-25 PSES Compliance'!$G$14,0),3)</f>
        <v>-5.0000000000000001E-3</v>
      </c>
      <c r="I65" s="174">
        <f t="shared" si="11"/>
        <v>0</v>
      </c>
      <c r="J65" s="174">
        <f t="shared" si="12"/>
        <v>0</v>
      </c>
      <c r="K65" s="161">
        <f>VLOOKUP($A65,'Enroll Data as of January 2025'!$A$3:$M$322,6,FALSE)</f>
        <v>0.11000000000000001</v>
      </c>
      <c r="L65" s="161">
        <f>VLOOKUP($A65,'Enroll Data as of January 2025'!$A$3:$M$322,7,FALSE)</f>
        <v>2.8000000000000001E-2</v>
      </c>
      <c r="M65" s="161">
        <f>VLOOKUP($A65,'Enroll Data as of January 2025'!$A$3:$M$322,8,FALSE)</f>
        <v>8.9999999999999993E-3</v>
      </c>
      <c r="N65" s="161">
        <f>VLOOKUP($A65,'Enroll Data as of January 2025'!$A$3:$M$322,9,FALSE)</f>
        <v>6.3E-2</v>
      </c>
      <c r="O65" s="165">
        <f t="shared" si="13"/>
        <v>0.21000000000000002</v>
      </c>
      <c r="P65" s="161">
        <f>VLOOKUP($A65,'Enroll Data as of January 2025'!$A$3:$M$322,11,FALSE)</f>
        <v>8.0000000000000002E-3</v>
      </c>
      <c r="Q65" s="161">
        <f>VLOOKUP($A65,'Enroll Data as of January 2025'!$A$3:$M$322,12,FALSE)</f>
        <v>7.0000000000000001E-3</v>
      </c>
      <c r="R65" s="165">
        <f t="shared" si="14"/>
        <v>1.4999999999999999E-2</v>
      </c>
      <c r="S65" s="267">
        <f>IFERROR(VLOOKUP($A65,Supp_39,14,FALSE),0)+IFERROR(SUMPRODUCT(VLOOKUP($A65,S275_01,{14,15,16},FALSE)),0)+IFERROR(SUMPRODUCT(VLOOKUP($A65,S275_97,{14,15,16},FALSE)),0)+IFERROR(ROUND(VLOOKUP($A65,S275_21,14,FALSE)*VLOOKUP($A65,'3121% SY'!$C$3:$M$324,11,FALSE),3),0)+IFERROR(ROUND(VLOOKUP($A65,S275_21,15,FALSE)*VLOOKUP($A65,'3121% SY'!$C$3:$M$324,11,FALSE),3),0)+IFERROR(ROUND(VLOOKUP($A65,S275_21,16,FALSE)*VLOOKUP($A65,'3121% SY'!$C$3:$M$324,11,FALSE),3),0)+IFERROR(VLOOKUP($A65,S275_09,6,FALSE),0)</f>
        <v>0</v>
      </c>
      <c r="T65" s="267">
        <f>IFERROR(VLOOKUP($A65,Supp_42,14,FALSE),0)+IFERROR(SUMPRODUCT(VLOOKUP($A65,S275_01,{17,18,19},FALSE)),0)+IFERROR(SUMPRODUCT(VLOOKUP($A65,S275_97,{17,18,19},FALSE)),0)+IFERROR(ROUND(VLOOKUP($A65,S275_21,17,FALSE)*VLOOKUP($A65,'3121% SY'!$C$3:$M$324,11,FALSE),3),0)+IFERROR(ROUND(VLOOKUP($A65,S275_21,18,FALSE)*VLOOKUP($A65,'3121% SY'!$C$3:$M$324,11,FALSE),3),0)+IFERROR(ROUND(VLOOKUP($A65,S275_21,19,FALSE)*VLOOKUP($A65,'3121% SY'!$C$3:$M$324,11,FALSE),3),0)+IFERROR(VLOOKUP($A65,S275_09,7,FALSE),0)</f>
        <v>0</v>
      </c>
      <c r="U65" s="267">
        <f>IFERROR(VLOOKUP($A65,Supp_43,14,FALSE),0)+IFERROR(SUMPRODUCT(VLOOKUP($A65,S275_01,{20,21,22},FALSE)),0)+IFERROR(SUMPRODUCT(VLOOKUP($A65,S275_97,{20,21,22},FALSE)),0)+IFERROR(ROUND(VLOOKUP($A65,S275_21,20,FALSE)*VLOOKUP($A65,'3121% SY'!$C$3:$M$324,11,FALSE),3),0)+IFERROR(ROUND(VLOOKUP($A65,S275_21,21,FALSE)*VLOOKUP($A65,'3121% SY'!$C$3:$M$324,11,FALSE),3),0)+IFERROR(ROUND(VLOOKUP($A65,S275_21,22,FALSE)*VLOOKUP($A65,'3121% SY'!$C$3:$M$324,11,FALSE),3),0)+IFERROR(VLOOKUP($A65,S275_09,8,FALSE),0)</f>
        <v>0</v>
      </c>
      <c r="V65" s="267">
        <f>IFERROR(VLOOKUP($A65,Supp_44,14,FALSE),0)+IFERROR(SUMPRODUCT(VLOOKUP($A65,S275_01,{23,24,25},FALSE)),0)+IFERROR(SUMPRODUCT(VLOOKUP($A65,S275_97,{23,24,25},FALSE)),0)+IFERROR(ROUND(VLOOKUP($A65,S275_21,23,FALSE)*VLOOKUP($A65,'3121% SY'!$C$3:$M$324,11,FALSE),3),0)+IFERROR(ROUND(VLOOKUP($A65,S275_21,24,FALSE)*VLOOKUP($A65,'3121% SY'!$C$3:$M$324,11,FALSE),3),0)+IFERROR(ROUND(VLOOKUP($A65,S275_21,25,FALSE)*VLOOKUP($A65,'3121% SY'!$C$3:$M$324,11,FALSE),3),0)+IFERROR(VLOOKUP($A65,S275_09,9,FALSE),0)</f>
        <v>0</v>
      </c>
      <c r="W65" s="267">
        <f>IFERROR(VLOOKUP($A65,Supp_45,14,FALSE),0)+IFERROR(SUMPRODUCT(VLOOKUP($A65,S275_01,{26,27,28},FALSE)),0)+IFERROR(SUMPRODUCT(VLOOKUP($A65,S275_97,{26,27,28},FALSE)),0)+IFERROR(ROUND(VLOOKUP($A65,S275_21,26,FALSE)*VLOOKUP($A65,'3121% SY'!$C$3:$M$324,11,FALSE),3),0)+IFERROR(ROUND(VLOOKUP($A65,S275_21,27,FALSE)*VLOOKUP($A65,'3121% SY'!$C$3:$M$324,11,FALSE),3),0)+IFERROR(ROUND(VLOOKUP($A65,S275_21,28,FALSE)*VLOOKUP($A65,'3121% SY'!$C$3:$M$324,11,FALSE),3),0)+IFERROR(VLOOKUP($A65,S275_09,10,FALSE),0)</f>
        <v>0</v>
      </c>
      <c r="X65" s="267">
        <f>IFERROR(VLOOKUP($A65,Supp_46,14,FALSE),0)+IFERROR(SUMPRODUCT(VLOOKUP($A65,S275_01,{29,30,31},FALSE)),0)+IFERROR(SUMPRODUCT(VLOOKUP($A65,S275_97,{29,30,31},FALSE)),0)+IFERROR(ROUND(VLOOKUP($A65,S275_21,29,FALSE)*VLOOKUP($A65,'3121% SY'!$C$3:$M$324,11,FALSE),3),0)+IFERROR(ROUND(VLOOKUP($A65,S275_21,30,FALSE)*VLOOKUP($A65,'3121% SY'!$C$3:$M$324,11,FALSE),3),0)+IFERROR(ROUND(VLOOKUP($A65,S275_21,31,FALSE)*VLOOKUP($A65,'3121% SY'!$C$3:$M$324,11,FALSE),3),0)+IFERROR(VLOOKUP($A65,S275_09,11,FALSE),0)</f>
        <v>0</v>
      </c>
      <c r="Y65" s="267">
        <f>IFERROR(VLOOKUP($A65,Supp_47,14,FALSE),0)+IFERROR(SUMPRODUCT(VLOOKUP($A65,S275_01,{32,33,34},FALSE)),0)+IFERROR(SUMPRODUCT(VLOOKUP($A65,S275_97,{32,33,34},FALSE)),0)+IFERROR(ROUND(VLOOKUP($A65,S275_21,32,FALSE)*VLOOKUP($A65,'3121% SY'!$C$3:$M$324,11,FALSE),3),0)+IFERROR(ROUND(VLOOKUP($A65,S275_21,33,FALSE)*VLOOKUP($A65,'3121% SY'!$C$3:$M$324,11,FALSE),3),0)+IFERROR(ROUND(VLOOKUP($A65,S275_21,34,FALSE)*VLOOKUP($A65,'3121% SY'!$C$3:$M$324,11,FALSE),3),0)+IFERROR(VLOOKUP($A65,S275_09,12,FALSE),0)</f>
        <v>0</v>
      </c>
      <c r="Z65" s="267">
        <f>IFERROR(VLOOKUP($A65,Supp_48,14,FALSE),0)+IFERROR(SUMPRODUCT(VLOOKUP($A65,S275_01,{35,36,37},FALSE)),0)+IFERROR(SUMPRODUCT(VLOOKUP($A65,S275_97,{35,36,37},FALSE)),0)+IFERROR(ROUND(VLOOKUP($A65,S275_21,35,FALSE)*VLOOKUP($A65,'3121% SY'!$C$3:$M$324,11,FALSE),3),0)+IFERROR(ROUND(VLOOKUP($A65,S275_21,36,FALSE)*VLOOKUP($A65,'3121% SY'!$C$3:$M$324,11,FALSE),3),0)+IFERROR(ROUND(VLOOKUP($A65,S275_21,37,FALSE)*VLOOKUP($A65,'3121% SY'!$C$3:$M$324,11,FALSE),3),0)+IFERROR(VLOOKUP($A65,S275_09,13,FALSE),0)</f>
        <v>0</v>
      </c>
      <c r="AA65" s="267">
        <f>IFERROR(VLOOKUP($A65,Supp_49,14,FALSE),0)+IFERROR(SUMPRODUCT(VLOOKUP($A65,S275_01,{38,39,40},FALSE)),0)+IFERROR(SUMPRODUCT(VLOOKUP($A65,S275_97,{38,39,40},FALSE)),0)+IFERROR(ROUND(VLOOKUP($A65,S275_21,38,FALSE)*VLOOKUP($A65,'3121% SY'!$C$3:$M$324,11,FALSE),3),0)+IFERROR(ROUND(VLOOKUP($A65,S275_21,39,FALSE)*VLOOKUP($A65,'3121% SY'!$C$3:$M$324,11,FALSE),3),0)+IFERROR(ROUND(VLOOKUP($A65,S275_21,40,FALSE)*VLOOKUP($A65,'3121% SY'!$C$3:$M$324,11,FALSE),3),0)+IFERROR(VLOOKUP($A65,S275_09,14,FALSE),0)</f>
        <v>0</v>
      </c>
      <c r="AB65" s="267">
        <f>IFERROR(VLOOKUP($A65,Supp_64,14,FALSE),0)+IFERROR(SUMPRODUCT(VLOOKUP($A65,S275_01,{41,42,43},FALSE)),0)+IFERROR(SUMPRODUCT(VLOOKUP($A65,S275_97,{41,42,43},FALSE)),0)+IFERROR(ROUND(VLOOKUP($A65,S275_21,41,FALSE)*VLOOKUP($A65,'3121% SY'!$C$3:$M$324,11,FALSE),3),0)+IFERROR(ROUND(VLOOKUP($A65,S275_21,42,FALSE)*VLOOKUP($A65,'3121% SY'!$C$3:$M$324,11,FALSE),3),0)+IFERROR(ROUND(VLOOKUP($A65,S275_21,43,FALSE)*VLOOKUP($A65,'3121% SY'!$C$3:$M$324,11,FALSE),3),0)+IFERROR(VLOOKUP($A65,S275_09,15,FALSE),0)</f>
        <v>0</v>
      </c>
      <c r="AC65" s="268">
        <f t="shared" si="17"/>
        <v>0</v>
      </c>
      <c r="AD65" s="267">
        <f>IFERROR(VLOOKUP($A65,Supp_24,14,FALSE),0)+IFERROR(SUMPRODUCT(VLOOKUP($A65,S275_01,{2,3,4},FALSE)),0)+IFERROR(SUMPRODUCT(VLOOKUP($A65,S275_97,{2,3,4},FALSE)),0)+IFERROR(ROUND(VLOOKUP($A65,S275_21,2,FALSE)*VLOOKUP($A65,'3121% SY'!$C$3:$M$324,11,FALSE),3),0)+IFERROR(ROUND(VLOOKUP($A65,S275_21,3,FALSE)*VLOOKUP($A65,'3121% SY'!$C$3:$M$324,11,FALSE),3),0)+IFERROR(ROUND(VLOOKUP($A65,S275_21,4,FALSE)*VLOOKUP($A65,'3121% SY'!$C$3:$M$324,11,FALSE),3),0)+IFERROR(VLOOKUP($A65,S275_09,2,FALSE),0)</f>
        <v>0</v>
      </c>
      <c r="AE65" s="267">
        <f>IFERROR(VLOOKUP($A65,Supp_25,14,FALSE),0)+IFERROR(SUMPRODUCT(VLOOKUP($A65,S275_01,{5,6,7},FALSE)),0)+IFERROR(SUMPRODUCT(VLOOKUP($A65,S275_97,{5,6,7},FALSE)),0)+IFERROR(ROUND(VLOOKUP($A65,S275_21,5,FALSE)*VLOOKUP($A65,'3121% SY'!$C$3:$M$324,11,FALSE),3),0)+IFERROR(ROUND(VLOOKUP($A65,S275_21,6,FALSE)*VLOOKUP($A65,'3121% SY'!$C$3:$M$324,11,FALSE),3),0)+IFERROR(ROUND(VLOOKUP($A65,S275_21,7,FALSE)*VLOOKUP($A65,'3121% SY'!$C$3:$M$324,11,FALSE),3),0)+IFERROR(VLOOKUP($A65,S275_09,3,FALSE),0)</f>
        <v>0</v>
      </c>
      <c r="AF65" s="267">
        <f>IFERROR(VLOOKUP($A65,Supp_26,14,FALSE),0)+IFERROR(SUMPRODUCT(VLOOKUP($A65,S275_01,{8,9,10},FALSE)),0)+IFERROR(SUMPRODUCT(VLOOKUP($A65,S275_97,{8,9,10},FALSE)),0)+IFERROR(ROUND(VLOOKUP($A65,S275_21,8,FALSE)*VLOOKUP($A65,'3121% SY'!$C$3:$M$324,11,FALSE),3),0)+IFERROR(ROUND(VLOOKUP($A65,S275_21,9,FALSE)*VLOOKUP($A65,'3121% SY'!$C$3:$M$324,11,FALSE),3),0)+IFERROR(ROUND(VLOOKUP($A65,S275_21,10,FALSE)*VLOOKUP($A65,'3121% SY'!$C$3:$M$324,11,FALSE),3),0)+IFERROR(VLOOKUP($A65,S275_09,4,FALSE),0)</f>
        <v>0.1</v>
      </c>
      <c r="AG65" s="267">
        <f>IFERROR(VLOOKUP($A65,Supp_35,14,FALSE),0)+IFERROR(SUMPRODUCT(VLOOKUP($A65,S275_01,{11,12,13},FALSE)),0)+IFERROR(SUMPRODUCT(VLOOKUP($A65,S275_97,{11,12,13},FALSE)),0)+IFERROR(ROUND(VLOOKUP($A65,S275_21,11,FALSE)*VLOOKUP($A65,'3121% SY'!$C$3:$M$324,11,FALSE),3),0)+IFERROR(ROUND(VLOOKUP($A65,S275_21,12,FALSE)*VLOOKUP($A65,'3121% SY'!$C$3:$M$324,11,FALSE),3),0)+IFERROR(ROUND(VLOOKUP($A65,S275_21,13,FALSE)*VLOOKUP($A65,'3121% SY'!$C$3:$M$324,11,FALSE),3),0)+IFERROR(VLOOKUP($A65,S275_09,5,FALSE),0)</f>
        <v>0</v>
      </c>
      <c r="AH65" s="165">
        <f t="shared" si="15"/>
        <v>0.1</v>
      </c>
      <c r="AI65" s="161">
        <f>IFERROR(VLOOKUP(A65,'Supp Staff Data'!A:ER,148,FALSE),0)+AB65</f>
        <v>0</v>
      </c>
      <c r="AJ65" s="174">
        <v>1</v>
      </c>
      <c r="AK65" s="25">
        <f>VLOOKUP(A65,'Enroll Data as of January 2025'!$A$3:$T$323,20,FALSE)-F65</f>
        <v>0</v>
      </c>
    </row>
    <row r="66" spans="1:37" x14ac:dyDescent="0.25">
      <c r="A66" s="171" t="s">
        <v>625</v>
      </c>
      <c r="B66" t="s">
        <v>1237</v>
      </c>
      <c r="C66" s="173" t="s">
        <v>1077</v>
      </c>
      <c r="D66" s="259">
        <f t="shared" si="9"/>
        <v>0.72500000000000009</v>
      </c>
      <c r="E66" s="259">
        <f t="shared" si="10"/>
        <v>0</v>
      </c>
      <c r="F66" s="262">
        <f t="shared" si="18"/>
        <v>-0.72499999999999998</v>
      </c>
      <c r="G66" s="161">
        <f>ROUND(IF(F66&lt;0,F66*'2024-25 PSES Compliance'!$G$13,0),3)</f>
        <v>-0.69599999999999995</v>
      </c>
      <c r="H66" s="161">
        <f>ROUND(IF(F66&lt;0,F66*'2024-25 PSES Compliance'!$G$14,0),3)</f>
        <v>-2.9000000000000001E-2</v>
      </c>
      <c r="I66" s="174">
        <f t="shared" si="11"/>
        <v>0</v>
      </c>
      <c r="J66" s="174">
        <f t="shared" si="12"/>
        <v>0</v>
      </c>
      <c r="K66" s="161">
        <f>VLOOKUP($A66,'Enroll Data as of January 2025'!$A$3:$M$322,6,FALSE)</f>
        <v>0.442</v>
      </c>
      <c r="L66" s="161">
        <f>VLOOKUP($A66,'Enroll Data as of January 2025'!$A$3:$M$322,7,FALSE)</f>
        <v>4.4999999999999998E-2</v>
      </c>
      <c r="M66" s="161">
        <f>VLOOKUP($A66,'Enroll Data as of January 2025'!$A$3:$M$322,8,FALSE)</f>
        <v>1.4999999999999999E-2</v>
      </c>
      <c r="N66" s="161">
        <f>VLOOKUP($A66,'Enroll Data as of January 2025'!$A$3:$M$322,9,FALSE)</f>
        <v>0.191</v>
      </c>
      <c r="O66" s="165">
        <f t="shared" si="13"/>
        <v>0.69300000000000006</v>
      </c>
      <c r="P66" s="161">
        <f>VLOOKUP($A66,'Enroll Data as of January 2025'!$A$3:$M$322,11,FALSE)</f>
        <v>2.4E-2</v>
      </c>
      <c r="Q66" s="161">
        <f>VLOOKUP($A66,'Enroll Data as of January 2025'!$A$3:$M$322,12,FALSE)</f>
        <v>8.0000000000000002E-3</v>
      </c>
      <c r="R66" s="165">
        <f t="shared" si="14"/>
        <v>3.2000000000000001E-2</v>
      </c>
      <c r="S66" s="267">
        <f>IFERROR(VLOOKUP($A66,Supp_39,14,FALSE),0)+IFERROR(SUMPRODUCT(VLOOKUP($A66,S275_01,{14,15,16},FALSE)),0)+IFERROR(SUMPRODUCT(VLOOKUP($A66,S275_97,{14,15,16},FALSE)),0)+IFERROR(ROUND(VLOOKUP($A66,S275_21,14,FALSE)*VLOOKUP($A66,'3121% SY'!$C$3:$M$324,11,FALSE),3),0)+IFERROR(ROUND(VLOOKUP($A66,S275_21,15,FALSE)*VLOOKUP($A66,'3121% SY'!$C$3:$M$324,11,FALSE),3),0)+IFERROR(ROUND(VLOOKUP($A66,S275_21,16,FALSE)*VLOOKUP($A66,'3121% SY'!$C$3:$M$324,11,FALSE),3),0)+IFERROR(VLOOKUP($A66,S275_09,6,FALSE),0)</f>
        <v>0</v>
      </c>
      <c r="T66" s="267">
        <f>IFERROR(VLOOKUP($A66,Supp_42,14,FALSE),0)+IFERROR(SUMPRODUCT(VLOOKUP($A66,S275_01,{17,18,19},FALSE)),0)+IFERROR(SUMPRODUCT(VLOOKUP($A66,S275_97,{17,18,19},FALSE)),0)+IFERROR(ROUND(VLOOKUP($A66,S275_21,17,FALSE)*VLOOKUP($A66,'3121% SY'!$C$3:$M$324,11,FALSE),3),0)+IFERROR(ROUND(VLOOKUP($A66,S275_21,18,FALSE)*VLOOKUP($A66,'3121% SY'!$C$3:$M$324,11,FALSE),3),0)+IFERROR(ROUND(VLOOKUP($A66,S275_21,19,FALSE)*VLOOKUP($A66,'3121% SY'!$C$3:$M$324,11,FALSE),3),0)+IFERROR(VLOOKUP($A66,S275_09,7,FALSE),0)</f>
        <v>0</v>
      </c>
      <c r="U66" s="267">
        <f>IFERROR(VLOOKUP($A66,Supp_43,14,FALSE),0)+IFERROR(SUMPRODUCT(VLOOKUP($A66,S275_01,{20,21,22},FALSE)),0)+IFERROR(SUMPRODUCT(VLOOKUP($A66,S275_97,{20,21,22},FALSE)),0)+IFERROR(ROUND(VLOOKUP($A66,S275_21,20,FALSE)*VLOOKUP($A66,'3121% SY'!$C$3:$M$324,11,FALSE),3),0)+IFERROR(ROUND(VLOOKUP($A66,S275_21,21,FALSE)*VLOOKUP($A66,'3121% SY'!$C$3:$M$324,11,FALSE),3),0)+IFERROR(ROUND(VLOOKUP($A66,S275_21,22,FALSE)*VLOOKUP($A66,'3121% SY'!$C$3:$M$324,11,FALSE),3),0)+IFERROR(VLOOKUP($A66,S275_09,8,FALSE),0)</f>
        <v>0</v>
      </c>
      <c r="V66" s="267">
        <f>IFERROR(VLOOKUP($A66,Supp_44,14,FALSE),0)+IFERROR(SUMPRODUCT(VLOOKUP($A66,S275_01,{23,24,25},FALSE)),0)+IFERROR(SUMPRODUCT(VLOOKUP($A66,S275_97,{23,24,25},FALSE)),0)+IFERROR(ROUND(VLOOKUP($A66,S275_21,23,FALSE)*VLOOKUP($A66,'3121% SY'!$C$3:$M$324,11,FALSE),3),0)+IFERROR(ROUND(VLOOKUP($A66,S275_21,24,FALSE)*VLOOKUP($A66,'3121% SY'!$C$3:$M$324,11,FALSE),3),0)+IFERROR(ROUND(VLOOKUP($A66,S275_21,25,FALSE)*VLOOKUP($A66,'3121% SY'!$C$3:$M$324,11,FALSE),3),0)+IFERROR(VLOOKUP($A66,S275_09,9,FALSE),0)</f>
        <v>0</v>
      </c>
      <c r="W66" s="267">
        <f>IFERROR(VLOOKUP($A66,Supp_45,14,FALSE),0)+IFERROR(SUMPRODUCT(VLOOKUP($A66,S275_01,{26,27,28},FALSE)),0)+IFERROR(SUMPRODUCT(VLOOKUP($A66,S275_97,{26,27,28},FALSE)),0)+IFERROR(ROUND(VLOOKUP($A66,S275_21,26,FALSE)*VLOOKUP($A66,'3121% SY'!$C$3:$M$324,11,FALSE),3),0)+IFERROR(ROUND(VLOOKUP($A66,S275_21,27,FALSE)*VLOOKUP($A66,'3121% SY'!$C$3:$M$324,11,FALSE),3),0)+IFERROR(ROUND(VLOOKUP($A66,S275_21,28,FALSE)*VLOOKUP($A66,'3121% SY'!$C$3:$M$324,11,FALSE),3),0)+IFERROR(VLOOKUP($A66,S275_09,10,FALSE),0)</f>
        <v>0</v>
      </c>
      <c r="X66" s="267">
        <f>IFERROR(VLOOKUP($A66,Supp_46,14,FALSE),0)+IFERROR(SUMPRODUCT(VLOOKUP($A66,S275_01,{29,30,31},FALSE)),0)+IFERROR(SUMPRODUCT(VLOOKUP($A66,S275_97,{29,30,31},FALSE)),0)+IFERROR(ROUND(VLOOKUP($A66,S275_21,29,FALSE)*VLOOKUP($A66,'3121% SY'!$C$3:$M$324,11,FALSE),3),0)+IFERROR(ROUND(VLOOKUP($A66,S275_21,30,FALSE)*VLOOKUP($A66,'3121% SY'!$C$3:$M$324,11,FALSE),3),0)+IFERROR(ROUND(VLOOKUP($A66,S275_21,31,FALSE)*VLOOKUP($A66,'3121% SY'!$C$3:$M$324,11,FALSE),3),0)+IFERROR(VLOOKUP($A66,S275_09,11,FALSE),0)</f>
        <v>0</v>
      </c>
      <c r="Y66" s="267">
        <f>IFERROR(VLOOKUP($A66,Supp_47,14,FALSE),0)+IFERROR(SUMPRODUCT(VLOOKUP($A66,S275_01,{32,33,34},FALSE)),0)+IFERROR(SUMPRODUCT(VLOOKUP($A66,S275_97,{32,33,34},FALSE)),0)+IFERROR(ROUND(VLOOKUP($A66,S275_21,32,FALSE)*VLOOKUP($A66,'3121% SY'!$C$3:$M$324,11,FALSE),3),0)+IFERROR(ROUND(VLOOKUP($A66,S275_21,33,FALSE)*VLOOKUP($A66,'3121% SY'!$C$3:$M$324,11,FALSE),3),0)+IFERROR(ROUND(VLOOKUP($A66,S275_21,34,FALSE)*VLOOKUP($A66,'3121% SY'!$C$3:$M$324,11,FALSE),3),0)+IFERROR(VLOOKUP($A66,S275_09,12,FALSE),0)</f>
        <v>0</v>
      </c>
      <c r="Z66" s="267">
        <f>IFERROR(VLOOKUP($A66,Supp_48,14,FALSE),0)+IFERROR(SUMPRODUCT(VLOOKUP($A66,S275_01,{35,36,37},FALSE)),0)+IFERROR(SUMPRODUCT(VLOOKUP($A66,S275_97,{35,36,37},FALSE)),0)+IFERROR(ROUND(VLOOKUP($A66,S275_21,35,FALSE)*VLOOKUP($A66,'3121% SY'!$C$3:$M$324,11,FALSE),3),0)+IFERROR(ROUND(VLOOKUP($A66,S275_21,36,FALSE)*VLOOKUP($A66,'3121% SY'!$C$3:$M$324,11,FALSE),3),0)+IFERROR(ROUND(VLOOKUP($A66,S275_21,37,FALSE)*VLOOKUP($A66,'3121% SY'!$C$3:$M$324,11,FALSE),3),0)+IFERROR(VLOOKUP($A66,S275_09,13,FALSE),0)</f>
        <v>0</v>
      </c>
      <c r="AA66" s="267">
        <f>IFERROR(VLOOKUP($A66,Supp_49,14,FALSE),0)+IFERROR(SUMPRODUCT(VLOOKUP($A66,S275_01,{38,39,40},FALSE)),0)+IFERROR(SUMPRODUCT(VLOOKUP($A66,S275_97,{38,39,40},FALSE)),0)+IFERROR(ROUND(VLOOKUP($A66,S275_21,38,FALSE)*VLOOKUP($A66,'3121% SY'!$C$3:$M$324,11,FALSE),3),0)+IFERROR(ROUND(VLOOKUP($A66,S275_21,39,FALSE)*VLOOKUP($A66,'3121% SY'!$C$3:$M$324,11,FALSE),3),0)+IFERROR(ROUND(VLOOKUP($A66,S275_21,40,FALSE)*VLOOKUP($A66,'3121% SY'!$C$3:$M$324,11,FALSE),3),0)+IFERROR(VLOOKUP($A66,S275_09,14,FALSE),0)</f>
        <v>0</v>
      </c>
      <c r="AB66" s="267">
        <f>IFERROR(VLOOKUP($A66,Supp_64,14,FALSE),0)+IFERROR(SUMPRODUCT(VLOOKUP($A66,S275_01,{41,42,43},FALSE)),0)+IFERROR(SUMPRODUCT(VLOOKUP($A66,S275_97,{41,42,43},FALSE)),0)+IFERROR(ROUND(VLOOKUP($A66,S275_21,41,FALSE)*VLOOKUP($A66,'3121% SY'!$C$3:$M$324,11,FALSE),3),0)+IFERROR(ROUND(VLOOKUP($A66,S275_21,42,FALSE)*VLOOKUP($A66,'3121% SY'!$C$3:$M$324,11,FALSE),3),0)+IFERROR(ROUND(VLOOKUP($A66,S275_21,43,FALSE)*VLOOKUP($A66,'3121% SY'!$C$3:$M$324,11,FALSE),3),0)+IFERROR(VLOOKUP($A66,S275_09,15,FALSE),0)</f>
        <v>0</v>
      </c>
      <c r="AC66" s="268">
        <f t="shared" si="17"/>
        <v>0</v>
      </c>
      <c r="AD66" s="267">
        <f>IFERROR(VLOOKUP($A66,Supp_24,14,FALSE),0)+IFERROR(SUMPRODUCT(VLOOKUP($A66,S275_01,{2,3,4},FALSE)),0)+IFERROR(SUMPRODUCT(VLOOKUP($A66,S275_97,{2,3,4},FALSE)),0)+IFERROR(ROUND(VLOOKUP($A66,S275_21,2,FALSE)*VLOOKUP($A66,'3121% SY'!$C$3:$M$324,11,FALSE),3),0)+IFERROR(ROUND(VLOOKUP($A66,S275_21,3,FALSE)*VLOOKUP($A66,'3121% SY'!$C$3:$M$324,11,FALSE),3),0)+IFERROR(ROUND(VLOOKUP($A66,S275_21,4,FALSE)*VLOOKUP($A66,'3121% SY'!$C$3:$M$324,11,FALSE),3),0)+IFERROR(VLOOKUP($A66,S275_09,2,FALSE),0)</f>
        <v>0</v>
      </c>
      <c r="AE66" s="267">
        <f>IFERROR(VLOOKUP($A66,Supp_25,14,FALSE),0)+IFERROR(SUMPRODUCT(VLOOKUP($A66,S275_01,{5,6,7},FALSE)),0)+IFERROR(SUMPRODUCT(VLOOKUP($A66,S275_97,{5,6,7},FALSE)),0)+IFERROR(ROUND(VLOOKUP($A66,S275_21,5,FALSE)*VLOOKUP($A66,'3121% SY'!$C$3:$M$324,11,FALSE),3),0)+IFERROR(ROUND(VLOOKUP($A66,S275_21,6,FALSE)*VLOOKUP($A66,'3121% SY'!$C$3:$M$324,11,FALSE),3),0)+IFERROR(ROUND(VLOOKUP($A66,S275_21,7,FALSE)*VLOOKUP($A66,'3121% SY'!$C$3:$M$324,11,FALSE),3),0)+IFERROR(VLOOKUP($A66,S275_09,3,FALSE),0)</f>
        <v>0</v>
      </c>
      <c r="AF66" s="267">
        <f>IFERROR(VLOOKUP($A66,Supp_26,14,FALSE),0)+IFERROR(SUMPRODUCT(VLOOKUP($A66,S275_01,{8,9,10},FALSE)),0)+IFERROR(SUMPRODUCT(VLOOKUP($A66,S275_97,{8,9,10},FALSE)),0)+IFERROR(ROUND(VLOOKUP($A66,S275_21,8,FALSE)*VLOOKUP($A66,'3121% SY'!$C$3:$M$324,11,FALSE),3),0)+IFERROR(ROUND(VLOOKUP($A66,S275_21,9,FALSE)*VLOOKUP($A66,'3121% SY'!$C$3:$M$324,11,FALSE),3),0)+IFERROR(ROUND(VLOOKUP($A66,S275_21,10,FALSE)*VLOOKUP($A66,'3121% SY'!$C$3:$M$324,11,FALSE),3),0)+IFERROR(VLOOKUP($A66,S275_09,4,FALSE),0)</f>
        <v>0</v>
      </c>
      <c r="AG66" s="267">
        <f>IFERROR(VLOOKUP($A66,Supp_35,14,FALSE),0)+IFERROR(SUMPRODUCT(VLOOKUP($A66,S275_01,{11,12,13},FALSE)),0)+IFERROR(SUMPRODUCT(VLOOKUP($A66,S275_97,{11,12,13},FALSE)),0)+IFERROR(ROUND(VLOOKUP($A66,S275_21,11,FALSE)*VLOOKUP($A66,'3121% SY'!$C$3:$M$324,11,FALSE),3),0)+IFERROR(ROUND(VLOOKUP($A66,S275_21,12,FALSE)*VLOOKUP($A66,'3121% SY'!$C$3:$M$324,11,FALSE),3),0)+IFERROR(ROUND(VLOOKUP($A66,S275_21,13,FALSE)*VLOOKUP($A66,'3121% SY'!$C$3:$M$324,11,FALSE),3),0)+IFERROR(VLOOKUP($A66,S275_09,5,FALSE),0)</f>
        <v>0</v>
      </c>
      <c r="AH66" s="165">
        <f t="shared" si="15"/>
        <v>0</v>
      </c>
      <c r="AI66" s="161">
        <f>IFERROR(VLOOKUP(A66,'Supp Staff Data'!A:ER,148,FALSE),0)+AB66</f>
        <v>0</v>
      </c>
      <c r="AJ66" s="174">
        <v>0.66669999999999996</v>
      </c>
      <c r="AK66" s="25">
        <f>VLOOKUP(A66,'Enroll Data as of January 2025'!$A$3:$T$323,20,FALSE)-F66</f>
        <v>0</v>
      </c>
    </row>
    <row r="67" spans="1:37" x14ac:dyDescent="0.25">
      <c r="A67" s="171" t="s">
        <v>1111</v>
      </c>
      <c r="B67" t="s">
        <v>1112</v>
      </c>
      <c r="C67" s="173" t="s">
        <v>1077</v>
      </c>
      <c r="D67" s="259">
        <f t="shared" si="9"/>
        <v>1.1210000000000002</v>
      </c>
      <c r="E67" s="259">
        <f t="shared" si="10"/>
        <v>1.3109999999999999</v>
      </c>
      <c r="F67" s="262">
        <f t="shared" si="18"/>
        <v>0.19</v>
      </c>
      <c r="G67" s="161">
        <f>ROUND(IF(F67&lt;0,F67*'2024-25 PSES Compliance'!$G$13,0),3)</f>
        <v>0</v>
      </c>
      <c r="H67" s="161">
        <f>ROUND(IF(F67&lt;0,F67*'2024-25 PSES Compliance'!$G$14,0),3)</f>
        <v>0</v>
      </c>
      <c r="I67" s="174">
        <f t="shared" si="11"/>
        <v>0.10373760488176965</v>
      </c>
      <c r="J67" s="174">
        <f t="shared" si="12"/>
        <v>0.10373760488176965</v>
      </c>
      <c r="K67" s="161">
        <f>VLOOKUP($A67,'Enroll Data as of January 2025'!$A$3:$M$322,6,FALSE)</f>
        <v>0.51700000000000002</v>
      </c>
      <c r="L67" s="161">
        <f>VLOOKUP($A67,'Enroll Data as of January 2025'!$A$3:$M$322,7,FALSE)</f>
        <v>0.16200000000000001</v>
      </c>
      <c r="M67" s="161">
        <f>VLOOKUP($A67,'Enroll Data as of January 2025'!$A$3:$M$322,8,FALSE)</f>
        <v>5.3999999999999999E-2</v>
      </c>
      <c r="N67" s="161">
        <f>VLOOKUP($A67,'Enroll Data as of January 2025'!$A$3:$M$322,9,FALSE)</f>
        <v>0.30399999999999999</v>
      </c>
      <c r="O67" s="165">
        <f t="shared" si="13"/>
        <v>1.0370000000000001</v>
      </c>
      <c r="P67" s="161">
        <f>VLOOKUP($A67,'Enroll Data as of January 2025'!$A$3:$M$322,11,FALSE)</f>
        <v>4.1000000000000002E-2</v>
      </c>
      <c r="Q67" s="161">
        <f>VLOOKUP($A67,'Enroll Data as of January 2025'!$A$3:$M$322,12,FALSE)</f>
        <v>4.2999999999999997E-2</v>
      </c>
      <c r="R67" s="165">
        <f t="shared" si="14"/>
        <v>8.3999999999999991E-2</v>
      </c>
      <c r="S67" s="267">
        <f>IFERROR(VLOOKUP($A67,Supp_39,14,FALSE),0)+IFERROR(SUMPRODUCT(VLOOKUP($A67,S275_01,{14,15,16},FALSE)),0)+IFERROR(SUMPRODUCT(VLOOKUP($A67,S275_97,{14,15,16},FALSE)),0)+IFERROR(ROUND(VLOOKUP($A67,S275_21,14,FALSE)*VLOOKUP($A67,'3121% SY'!$C$3:$M$324,11,FALSE),3),0)+IFERROR(ROUND(VLOOKUP($A67,S275_21,15,FALSE)*VLOOKUP($A67,'3121% SY'!$C$3:$M$324,11,FALSE),3),0)+IFERROR(ROUND(VLOOKUP($A67,S275_21,16,FALSE)*VLOOKUP($A67,'3121% SY'!$C$3:$M$324,11,FALSE),3),0)+IFERROR(VLOOKUP($A67,S275_09,6,FALSE),0)</f>
        <v>0</v>
      </c>
      <c r="T67" s="267">
        <f>IFERROR(VLOOKUP($A67,Supp_42,14,FALSE),0)+IFERROR(SUMPRODUCT(VLOOKUP($A67,S275_01,{17,18,19},FALSE)),0)+IFERROR(SUMPRODUCT(VLOOKUP($A67,S275_97,{17,18,19},FALSE)),0)+IFERROR(ROUND(VLOOKUP($A67,S275_21,17,FALSE)*VLOOKUP($A67,'3121% SY'!$C$3:$M$324,11,FALSE),3),0)+IFERROR(ROUND(VLOOKUP($A67,S275_21,18,FALSE)*VLOOKUP($A67,'3121% SY'!$C$3:$M$324,11,FALSE),3),0)+IFERROR(ROUND(VLOOKUP($A67,S275_21,19,FALSE)*VLOOKUP($A67,'3121% SY'!$C$3:$M$324,11,FALSE),3),0)+IFERROR(VLOOKUP($A67,S275_09,7,FALSE),0)</f>
        <v>0</v>
      </c>
      <c r="U67" s="267">
        <f>IFERROR(VLOOKUP($A67,Supp_43,14,FALSE),0)+IFERROR(SUMPRODUCT(VLOOKUP($A67,S275_01,{20,21,22},FALSE)),0)+IFERROR(SUMPRODUCT(VLOOKUP($A67,S275_97,{20,21,22},FALSE)),0)+IFERROR(ROUND(VLOOKUP($A67,S275_21,20,FALSE)*VLOOKUP($A67,'3121% SY'!$C$3:$M$324,11,FALSE),3),0)+IFERROR(ROUND(VLOOKUP($A67,S275_21,21,FALSE)*VLOOKUP($A67,'3121% SY'!$C$3:$M$324,11,FALSE),3),0)+IFERROR(ROUND(VLOOKUP($A67,S275_21,22,FALSE)*VLOOKUP($A67,'3121% SY'!$C$3:$M$324,11,FALSE),3),0)+IFERROR(VLOOKUP($A67,S275_09,8,FALSE),0)</f>
        <v>0</v>
      </c>
      <c r="V67" s="267">
        <f>IFERROR(VLOOKUP($A67,Supp_44,14,FALSE),0)+IFERROR(SUMPRODUCT(VLOOKUP($A67,S275_01,{23,24,25},FALSE)),0)+IFERROR(SUMPRODUCT(VLOOKUP($A67,S275_97,{23,24,25},FALSE)),0)+IFERROR(ROUND(VLOOKUP($A67,S275_21,23,FALSE)*VLOOKUP($A67,'3121% SY'!$C$3:$M$324,11,FALSE),3),0)+IFERROR(ROUND(VLOOKUP($A67,S275_21,24,FALSE)*VLOOKUP($A67,'3121% SY'!$C$3:$M$324,11,FALSE),3),0)+IFERROR(ROUND(VLOOKUP($A67,S275_21,25,FALSE)*VLOOKUP($A67,'3121% SY'!$C$3:$M$324,11,FALSE),3),0)+IFERROR(VLOOKUP($A67,S275_09,9,FALSE),0)</f>
        <v>0</v>
      </c>
      <c r="W67" s="267">
        <f>IFERROR(VLOOKUP($A67,Supp_45,14,FALSE),0)+IFERROR(SUMPRODUCT(VLOOKUP($A67,S275_01,{26,27,28},FALSE)),0)+IFERROR(SUMPRODUCT(VLOOKUP($A67,S275_97,{26,27,28},FALSE)),0)+IFERROR(ROUND(VLOOKUP($A67,S275_21,26,FALSE)*VLOOKUP($A67,'3121% SY'!$C$3:$M$324,11,FALSE),3),0)+IFERROR(ROUND(VLOOKUP($A67,S275_21,27,FALSE)*VLOOKUP($A67,'3121% SY'!$C$3:$M$324,11,FALSE),3),0)+IFERROR(ROUND(VLOOKUP($A67,S275_21,28,FALSE)*VLOOKUP($A67,'3121% SY'!$C$3:$M$324,11,FALSE),3),0)+IFERROR(VLOOKUP($A67,S275_09,10,FALSE),0)</f>
        <v>0</v>
      </c>
      <c r="X67" s="267">
        <f>IFERROR(VLOOKUP($A67,Supp_46,14,FALSE),0)+IFERROR(SUMPRODUCT(VLOOKUP($A67,S275_01,{29,30,31},FALSE)),0)+IFERROR(SUMPRODUCT(VLOOKUP($A67,S275_97,{29,30,31},FALSE)),0)+IFERROR(ROUND(VLOOKUP($A67,S275_21,29,FALSE)*VLOOKUP($A67,'3121% SY'!$C$3:$M$324,11,FALSE),3),0)+IFERROR(ROUND(VLOOKUP($A67,S275_21,30,FALSE)*VLOOKUP($A67,'3121% SY'!$C$3:$M$324,11,FALSE),3),0)+IFERROR(ROUND(VLOOKUP($A67,S275_21,31,FALSE)*VLOOKUP($A67,'3121% SY'!$C$3:$M$324,11,FALSE),3),0)+IFERROR(VLOOKUP($A67,S275_09,11,FALSE),0)</f>
        <v>0</v>
      </c>
      <c r="Y67" s="267">
        <f>IFERROR(VLOOKUP($A67,Supp_47,14,FALSE),0)+IFERROR(SUMPRODUCT(VLOOKUP($A67,S275_01,{32,33,34},FALSE)),0)+IFERROR(SUMPRODUCT(VLOOKUP($A67,S275_97,{32,33,34},FALSE)),0)+IFERROR(ROUND(VLOOKUP($A67,S275_21,32,FALSE)*VLOOKUP($A67,'3121% SY'!$C$3:$M$324,11,FALSE),3),0)+IFERROR(ROUND(VLOOKUP($A67,S275_21,33,FALSE)*VLOOKUP($A67,'3121% SY'!$C$3:$M$324,11,FALSE),3),0)+IFERROR(ROUND(VLOOKUP($A67,S275_21,34,FALSE)*VLOOKUP($A67,'3121% SY'!$C$3:$M$324,11,FALSE),3),0)+IFERROR(VLOOKUP($A67,S275_09,12,FALSE),0)</f>
        <v>0</v>
      </c>
      <c r="Z67" s="267">
        <f>IFERROR(VLOOKUP($A67,Supp_48,14,FALSE),0)+IFERROR(SUMPRODUCT(VLOOKUP($A67,S275_01,{35,36,37},FALSE)),0)+IFERROR(SUMPRODUCT(VLOOKUP($A67,S275_97,{35,36,37},FALSE)),0)+IFERROR(ROUND(VLOOKUP($A67,S275_21,35,FALSE)*VLOOKUP($A67,'3121% SY'!$C$3:$M$324,11,FALSE),3),0)+IFERROR(ROUND(VLOOKUP($A67,S275_21,36,FALSE)*VLOOKUP($A67,'3121% SY'!$C$3:$M$324,11,FALSE),3),0)+IFERROR(ROUND(VLOOKUP($A67,S275_21,37,FALSE)*VLOOKUP($A67,'3121% SY'!$C$3:$M$324,11,FALSE),3),0)+IFERROR(VLOOKUP($A67,S275_09,13,FALSE),0)</f>
        <v>0</v>
      </c>
      <c r="AA67" s="267">
        <f>IFERROR(VLOOKUP($A67,Supp_49,14,FALSE),0)+IFERROR(SUMPRODUCT(VLOOKUP($A67,S275_01,{38,39,40},FALSE)),0)+IFERROR(SUMPRODUCT(VLOOKUP($A67,S275_97,{38,39,40},FALSE)),0)+IFERROR(ROUND(VLOOKUP($A67,S275_21,38,FALSE)*VLOOKUP($A67,'3121% SY'!$C$3:$M$324,11,FALSE),3),0)+IFERROR(ROUND(VLOOKUP($A67,S275_21,39,FALSE)*VLOOKUP($A67,'3121% SY'!$C$3:$M$324,11,FALSE),3),0)+IFERROR(ROUND(VLOOKUP($A67,S275_21,40,FALSE)*VLOOKUP($A67,'3121% SY'!$C$3:$M$324,11,FALSE),3),0)+IFERROR(VLOOKUP($A67,S275_09,14,FALSE),0)</f>
        <v>0</v>
      </c>
      <c r="AB67" s="267">
        <f>IFERROR(VLOOKUP($A67,Supp_64,14,FALSE),0)+IFERROR(SUMPRODUCT(VLOOKUP($A67,S275_01,{41,42,43},FALSE)),0)+IFERROR(SUMPRODUCT(VLOOKUP($A67,S275_97,{41,42,43},FALSE)),0)+IFERROR(ROUND(VLOOKUP($A67,S275_21,41,FALSE)*VLOOKUP($A67,'3121% SY'!$C$3:$M$324,11,FALSE),3),0)+IFERROR(ROUND(VLOOKUP($A67,S275_21,42,FALSE)*VLOOKUP($A67,'3121% SY'!$C$3:$M$324,11,FALSE),3),0)+IFERROR(ROUND(VLOOKUP($A67,S275_21,43,FALSE)*VLOOKUP($A67,'3121% SY'!$C$3:$M$324,11,FALSE),3),0)+IFERROR(VLOOKUP($A67,S275_09,15,FALSE),0)</f>
        <v>0.13600000000000001</v>
      </c>
      <c r="AC67" s="268">
        <f t="shared" si="17"/>
        <v>0.13600000000000001</v>
      </c>
      <c r="AD67" s="267">
        <f>IFERROR(VLOOKUP($A67,Supp_24,14,FALSE),0)+IFERROR(SUMPRODUCT(VLOOKUP($A67,S275_01,{2,3,4},FALSE)),0)+IFERROR(SUMPRODUCT(VLOOKUP($A67,S275_97,{2,3,4},FALSE)),0)+IFERROR(ROUND(VLOOKUP($A67,S275_21,2,FALSE)*VLOOKUP($A67,'3121% SY'!$C$3:$M$324,11,FALSE),3),0)+IFERROR(ROUND(VLOOKUP($A67,S275_21,3,FALSE)*VLOOKUP($A67,'3121% SY'!$C$3:$M$324,11,FALSE),3),0)+IFERROR(ROUND(VLOOKUP($A67,S275_21,4,FALSE)*VLOOKUP($A67,'3121% SY'!$C$3:$M$324,11,FALSE),3),0)+IFERROR(VLOOKUP($A67,S275_09,2,FALSE),0)</f>
        <v>1.175</v>
      </c>
      <c r="AE67" s="267">
        <f>IFERROR(VLOOKUP($A67,Supp_25,14,FALSE),0)+IFERROR(SUMPRODUCT(VLOOKUP($A67,S275_01,{5,6,7},FALSE)),0)+IFERROR(SUMPRODUCT(VLOOKUP($A67,S275_97,{5,6,7},FALSE)),0)+IFERROR(ROUND(VLOOKUP($A67,S275_21,5,FALSE)*VLOOKUP($A67,'3121% SY'!$C$3:$M$324,11,FALSE),3),0)+IFERROR(ROUND(VLOOKUP($A67,S275_21,6,FALSE)*VLOOKUP($A67,'3121% SY'!$C$3:$M$324,11,FALSE),3),0)+IFERROR(ROUND(VLOOKUP($A67,S275_21,7,FALSE)*VLOOKUP($A67,'3121% SY'!$C$3:$M$324,11,FALSE),3),0)+IFERROR(VLOOKUP($A67,S275_09,3,FALSE),0)</f>
        <v>0</v>
      </c>
      <c r="AF67" s="267">
        <f>IFERROR(VLOOKUP($A67,Supp_26,14,FALSE),0)+IFERROR(SUMPRODUCT(VLOOKUP($A67,S275_01,{8,9,10},FALSE)),0)+IFERROR(SUMPRODUCT(VLOOKUP($A67,S275_97,{8,9,10},FALSE)),0)+IFERROR(ROUND(VLOOKUP($A67,S275_21,8,FALSE)*VLOOKUP($A67,'3121% SY'!$C$3:$M$324,11,FALSE),3),0)+IFERROR(ROUND(VLOOKUP($A67,S275_21,9,FALSE)*VLOOKUP($A67,'3121% SY'!$C$3:$M$324,11,FALSE),3),0)+IFERROR(ROUND(VLOOKUP($A67,S275_21,10,FALSE)*VLOOKUP($A67,'3121% SY'!$C$3:$M$324,11,FALSE),3),0)+IFERROR(VLOOKUP($A67,S275_09,4,FALSE),0)</f>
        <v>0</v>
      </c>
      <c r="AG67" s="267">
        <f>IFERROR(VLOOKUP($A67,Supp_35,14,FALSE),0)+IFERROR(SUMPRODUCT(VLOOKUP($A67,S275_01,{11,12,13},FALSE)),0)+IFERROR(SUMPRODUCT(VLOOKUP($A67,S275_97,{11,12,13},FALSE)),0)+IFERROR(ROUND(VLOOKUP($A67,S275_21,11,FALSE)*VLOOKUP($A67,'3121% SY'!$C$3:$M$324,11,FALSE),3),0)+IFERROR(ROUND(VLOOKUP($A67,S275_21,12,FALSE)*VLOOKUP($A67,'3121% SY'!$C$3:$M$324,11,FALSE),3),0)+IFERROR(ROUND(VLOOKUP($A67,S275_21,13,FALSE)*VLOOKUP($A67,'3121% SY'!$C$3:$M$324,11,FALSE),3),0)+IFERROR(VLOOKUP($A67,S275_09,5,FALSE),0)</f>
        <v>0</v>
      </c>
      <c r="AH67" s="165">
        <f t="shared" si="15"/>
        <v>1.175</v>
      </c>
      <c r="AI67" s="161">
        <f>IFERROR(VLOOKUP(A67,'Supp Staff Data'!A:ER,148,FALSE),0)+AB67</f>
        <v>0.13600000000000001</v>
      </c>
      <c r="AJ67" s="174">
        <v>1</v>
      </c>
      <c r="AK67" s="25">
        <f>VLOOKUP(A67,'Enroll Data as of January 2025'!$A$3:$T$323,20,FALSE)-F67</f>
        <v>0</v>
      </c>
    </row>
    <row r="68" spans="1:37" x14ac:dyDescent="0.25">
      <c r="A68" s="171" t="s">
        <v>137</v>
      </c>
      <c r="B68" t="s">
        <v>433</v>
      </c>
      <c r="C68" s="173" t="s">
        <v>1077</v>
      </c>
      <c r="D68" s="259">
        <f t="shared" si="9"/>
        <v>1.125</v>
      </c>
      <c r="E68" s="259">
        <f t="shared" si="10"/>
        <v>0</v>
      </c>
      <c r="F68" s="262">
        <f t="shared" si="18"/>
        <v>-1.125</v>
      </c>
      <c r="G68" s="161">
        <f>ROUND(IF(F68&lt;0,F68*'2024-25 PSES Compliance'!$G$13,0),3)</f>
        <v>-1.08</v>
      </c>
      <c r="H68" s="161">
        <f>ROUND(IF(F68&lt;0,F68*'2024-25 PSES Compliance'!$G$14,0),3)</f>
        <v>-4.4999999999999998E-2</v>
      </c>
      <c r="I68" s="174">
        <f t="shared" si="11"/>
        <v>0</v>
      </c>
      <c r="J68" s="174">
        <f t="shared" si="12"/>
        <v>0</v>
      </c>
      <c r="K68" s="161">
        <f>VLOOKUP($A68,'Enroll Data as of January 2025'!$A$3:$M$322,6,FALSE)</f>
        <v>0.63400000000000001</v>
      </c>
      <c r="L68" s="161">
        <f>VLOOKUP($A68,'Enroll Data as of January 2025'!$A$3:$M$322,7,FALSE)</f>
        <v>0.10099999999999999</v>
      </c>
      <c r="M68" s="161">
        <f>VLOOKUP($A68,'Enroll Data as of January 2025'!$A$3:$M$322,8,FALSE)</f>
        <v>3.3000000000000002E-2</v>
      </c>
      <c r="N68" s="161">
        <f>VLOOKUP($A68,'Enroll Data as of January 2025'!$A$3:$M$322,9,FALSE)</f>
        <v>0.29599999999999999</v>
      </c>
      <c r="O68" s="165">
        <f t="shared" si="13"/>
        <v>1.0640000000000001</v>
      </c>
      <c r="P68" s="161">
        <f>VLOOKUP($A68,'Enroll Data as of January 2025'!$A$3:$M$322,11,FALSE)</f>
        <v>3.9E-2</v>
      </c>
      <c r="Q68" s="161">
        <f>VLOOKUP($A68,'Enroll Data as of January 2025'!$A$3:$M$322,12,FALSE)</f>
        <v>2.1999999999999999E-2</v>
      </c>
      <c r="R68" s="165">
        <f t="shared" si="14"/>
        <v>6.0999999999999999E-2</v>
      </c>
      <c r="S68" s="267">
        <f>IFERROR(VLOOKUP($A68,Supp_39,14,FALSE),0)+IFERROR(SUMPRODUCT(VLOOKUP($A68,S275_01,{14,15,16},FALSE)),0)+IFERROR(SUMPRODUCT(VLOOKUP($A68,S275_97,{14,15,16},FALSE)),0)+IFERROR(ROUND(VLOOKUP($A68,S275_21,14,FALSE)*VLOOKUP($A68,'3121% SY'!$C$3:$M$324,11,FALSE),3),0)+IFERROR(ROUND(VLOOKUP($A68,S275_21,15,FALSE)*VLOOKUP($A68,'3121% SY'!$C$3:$M$324,11,FALSE),3),0)+IFERROR(ROUND(VLOOKUP($A68,S275_21,16,FALSE)*VLOOKUP($A68,'3121% SY'!$C$3:$M$324,11,FALSE),3),0)+IFERROR(VLOOKUP($A68,S275_09,6,FALSE),0)</f>
        <v>0</v>
      </c>
      <c r="T68" s="267">
        <f>IFERROR(VLOOKUP($A68,Supp_42,14,FALSE),0)+IFERROR(SUMPRODUCT(VLOOKUP($A68,S275_01,{17,18,19},FALSE)),0)+IFERROR(SUMPRODUCT(VLOOKUP($A68,S275_97,{17,18,19},FALSE)),0)+IFERROR(ROUND(VLOOKUP($A68,S275_21,17,FALSE)*VLOOKUP($A68,'3121% SY'!$C$3:$M$324,11,FALSE),3),0)+IFERROR(ROUND(VLOOKUP($A68,S275_21,18,FALSE)*VLOOKUP($A68,'3121% SY'!$C$3:$M$324,11,FALSE),3),0)+IFERROR(ROUND(VLOOKUP($A68,S275_21,19,FALSE)*VLOOKUP($A68,'3121% SY'!$C$3:$M$324,11,FALSE),3),0)+IFERROR(VLOOKUP($A68,S275_09,7,FALSE),0)</f>
        <v>0</v>
      </c>
      <c r="U68" s="267">
        <f>IFERROR(VLOOKUP($A68,Supp_43,14,FALSE),0)+IFERROR(SUMPRODUCT(VLOOKUP($A68,S275_01,{20,21,22},FALSE)),0)+IFERROR(SUMPRODUCT(VLOOKUP($A68,S275_97,{20,21,22},FALSE)),0)+IFERROR(ROUND(VLOOKUP($A68,S275_21,20,FALSE)*VLOOKUP($A68,'3121% SY'!$C$3:$M$324,11,FALSE),3),0)+IFERROR(ROUND(VLOOKUP($A68,S275_21,21,FALSE)*VLOOKUP($A68,'3121% SY'!$C$3:$M$324,11,FALSE),3),0)+IFERROR(ROUND(VLOOKUP($A68,S275_21,22,FALSE)*VLOOKUP($A68,'3121% SY'!$C$3:$M$324,11,FALSE),3),0)+IFERROR(VLOOKUP($A68,S275_09,8,FALSE),0)</f>
        <v>0</v>
      </c>
      <c r="V68" s="267">
        <f>IFERROR(VLOOKUP($A68,Supp_44,14,FALSE),0)+IFERROR(SUMPRODUCT(VLOOKUP($A68,S275_01,{23,24,25},FALSE)),0)+IFERROR(SUMPRODUCT(VLOOKUP($A68,S275_97,{23,24,25},FALSE)),0)+IFERROR(ROUND(VLOOKUP($A68,S275_21,23,FALSE)*VLOOKUP($A68,'3121% SY'!$C$3:$M$324,11,FALSE),3),0)+IFERROR(ROUND(VLOOKUP($A68,S275_21,24,FALSE)*VLOOKUP($A68,'3121% SY'!$C$3:$M$324,11,FALSE),3),0)+IFERROR(ROUND(VLOOKUP($A68,S275_21,25,FALSE)*VLOOKUP($A68,'3121% SY'!$C$3:$M$324,11,FALSE),3),0)+IFERROR(VLOOKUP($A68,S275_09,9,FALSE),0)</f>
        <v>0</v>
      </c>
      <c r="W68" s="267">
        <f>IFERROR(VLOOKUP($A68,Supp_45,14,FALSE),0)+IFERROR(SUMPRODUCT(VLOOKUP($A68,S275_01,{26,27,28},FALSE)),0)+IFERROR(SUMPRODUCT(VLOOKUP($A68,S275_97,{26,27,28},FALSE)),0)+IFERROR(ROUND(VLOOKUP($A68,S275_21,26,FALSE)*VLOOKUP($A68,'3121% SY'!$C$3:$M$324,11,FALSE),3),0)+IFERROR(ROUND(VLOOKUP($A68,S275_21,27,FALSE)*VLOOKUP($A68,'3121% SY'!$C$3:$M$324,11,FALSE),3),0)+IFERROR(ROUND(VLOOKUP($A68,S275_21,28,FALSE)*VLOOKUP($A68,'3121% SY'!$C$3:$M$324,11,FALSE),3),0)+IFERROR(VLOOKUP($A68,S275_09,10,FALSE),0)</f>
        <v>0</v>
      </c>
      <c r="X68" s="267">
        <f>IFERROR(VLOOKUP($A68,Supp_46,14,FALSE),0)+IFERROR(SUMPRODUCT(VLOOKUP($A68,S275_01,{29,30,31},FALSE)),0)+IFERROR(SUMPRODUCT(VLOOKUP($A68,S275_97,{29,30,31},FALSE)),0)+IFERROR(ROUND(VLOOKUP($A68,S275_21,29,FALSE)*VLOOKUP($A68,'3121% SY'!$C$3:$M$324,11,FALSE),3),0)+IFERROR(ROUND(VLOOKUP($A68,S275_21,30,FALSE)*VLOOKUP($A68,'3121% SY'!$C$3:$M$324,11,FALSE),3),0)+IFERROR(ROUND(VLOOKUP($A68,S275_21,31,FALSE)*VLOOKUP($A68,'3121% SY'!$C$3:$M$324,11,FALSE),3),0)+IFERROR(VLOOKUP($A68,S275_09,11,FALSE),0)</f>
        <v>0</v>
      </c>
      <c r="Y68" s="267">
        <f>IFERROR(VLOOKUP($A68,Supp_47,14,FALSE),0)+IFERROR(SUMPRODUCT(VLOOKUP($A68,S275_01,{32,33,34},FALSE)),0)+IFERROR(SUMPRODUCT(VLOOKUP($A68,S275_97,{32,33,34},FALSE)),0)+IFERROR(ROUND(VLOOKUP($A68,S275_21,32,FALSE)*VLOOKUP($A68,'3121% SY'!$C$3:$M$324,11,FALSE),3),0)+IFERROR(ROUND(VLOOKUP($A68,S275_21,33,FALSE)*VLOOKUP($A68,'3121% SY'!$C$3:$M$324,11,FALSE),3),0)+IFERROR(ROUND(VLOOKUP($A68,S275_21,34,FALSE)*VLOOKUP($A68,'3121% SY'!$C$3:$M$324,11,FALSE),3),0)+IFERROR(VLOOKUP($A68,S275_09,12,FALSE),0)</f>
        <v>0</v>
      </c>
      <c r="Z68" s="267">
        <f>IFERROR(VLOOKUP($A68,Supp_48,14,FALSE),0)+IFERROR(SUMPRODUCT(VLOOKUP($A68,S275_01,{35,36,37},FALSE)),0)+IFERROR(SUMPRODUCT(VLOOKUP($A68,S275_97,{35,36,37},FALSE)),0)+IFERROR(ROUND(VLOOKUP($A68,S275_21,35,FALSE)*VLOOKUP($A68,'3121% SY'!$C$3:$M$324,11,FALSE),3),0)+IFERROR(ROUND(VLOOKUP($A68,S275_21,36,FALSE)*VLOOKUP($A68,'3121% SY'!$C$3:$M$324,11,FALSE),3),0)+IFERROR(ROUND(VLOOKUP($A68,S275_21,37,FALSE)*VLOOKUP($A68,'3121% SY'!$C$3:$M$324,11,FALSE),3),0)+IFERROR(VLOOKUP($A68,S275_09,13,FALSE),0)</f>
        <v>0</v>
      </c>
      <c r="AA68" s="267">
        <f>IFERROR(VLOOKUP($A68,Supp_49,14,FALSE),0)+IFERROR(SUMPRODUCT(VLOOKUP($A68,S275_01,{38,39,40},FALSE)),0)+IFERROR(SUMPRODUCT(VLOOKUP($A68,S275_97,{38,39,40},FALSE)),0)+IFERROR(ROUND(VLOOKUP($A68,S275_21,38,FALSE)*VLOOKUP($A68,'3121% SY'!$C$3:$M$324,11,FALSE),3),0)+IFERROR(ROUND(VLOOKUP($A68,S275_21,39,FALSE)*VLOOKUP($A68,'3121% SY'!$C$3:$M$324,11,FALSE),3),0)+IFERROR(ROUND(VLOOKUP($A68,S275_21,40,FALSE)*VLOOKUP($A68,'3121% SY'!$C$3:$M$324,11,FALSE),3),0)+IFERROR(VLOOKUP($A68,S275_09,14,FALSE),0)</f>
        <v>0</v>
      </c>
      <c r="AB68" s="267">
        <f>IFERROR(VLOOKUP($A68,Supp_64,14,FALSE),0)+IFERROR(SUMPRODUCT(VLOOKUP($A68,S275_01,{41,42,43},FALSE)),0)+IFERROR(SUMPRODUCT(VLOOKUP($A68,S275_97,{41,42,43},FALSE)),0)+IFERROR(ROUND(VLOOKUP($A68,S275_21,41,FALSE)*VLOOKUP($A68,'3121% SY'!$C$3:$M$324,11,FALSE),3),0)+IFERROR(ROUND(VLOOKUP($A68,S275_21,42,FALSE)*VLOOKUP($A68,'3121% SY'!$C$3:$M$324,11,FALSE),3),0)+IFERROR(ROUND(VLOOKUP($A68,S275_21,43,FALSE)*VLOOKUP($A68,'3121% SY'!$C$3:$M$324,11,FALSE),3),0)+IFERROR(VLOOKUP($A68,S275_09,15,FALSE),0)</f>
        <v>0</v>
      </c>
      <c r="AC68" s="268">
        <f t="shared" si="17"/>
        <v>0</v>
      </c>
      <c r="AD68" s="267">
        <f>IFERROR(VLOOKUP($A68,Supp_24,14,FALSE),0)+IFERROR(SUMPRODUCT(VLOOKUP($A68,S275_01,{2,3,4},FALSE)),0)+IFERROR(SUMPRODUCT(VLOOKUP($A68,S275_97,{2,3,4},FALSE)),0)+IFERROR(ROUND(VLOOKUP($A68,S275_21,2,FALSE)*VLOOKUP($A68,'3121% SY'!$C$3:$M$324,11,FALSE),3),0)+IFERROR(ROUND(VLOOKUP($A68,S275_21,3,FALSE)*VLOOKUP($A68,'3121% SY'!$C$3:$M$324,11,FALSE),3),0)+IFERROR(ROUND(VLOOKUP($A68,S275_21,4,FALSE)*VLOOKUP($A68,'3121% SY'!$C$3:$M$324,11,FALSE),3),0)+IFERROR(VLOOKUP($A68,S275_09,2,FALSE),0)</f>
        <v>0</v>
      </c>
      <c r="AE68" s="267">
        <f>IFERROR(VLOOKUP($A68,Supp_25,14,FALSE),0)+IFERROR(SUMPRODUCT(VLOOKUP($A68,S275_01,{5,6,7},FALSE)),0)+IFERROR(SUMPRODUCT(VLOOKUP($A68,S275_97,{5,6,7},FALSE)),0)+IFERROR(ROUND(VLOOKUP($A68,S275_21,5,FALSE)*VLOOKUP($A68,'3121% SY'!$C$3:$M$324,11,FALSE),3),0)+IFERROR(ROUND(VLOOKUP($A68,S275_21,6,FALSE)*VLOOKUP($A68,'3121% SY'!$C$3:$M$324,11,FALSE),3),0)+IFERROR(ROUND(VLOOKUP($A68,S275_21,7,FALSE)*VLOOKUP($A68,'3121% SY'!$C$3:$M$324,11,FALSE),3),0)+IFERROR(VLOOKUP($A68,S275_09,3,FALSE),0)</f>
        <v>0</v>
      </c>
      <c r="AF68" s="267">
        <f>IFERROR(VLOOKUP($A68,Supp_26,14,FALSE),0)+IFERROR(SUMPRODUCT(VLOOKUP($A68,S275_01,{8,9,10},FALSE)),0)+IFERROR(SUMPRODUCT(VLOOKUP($A68,S275_97,{8,9,10},FALSE)),0)+IFERROR(ROUND(VLOOKUP($A68,S275_21,8,FALSE)*VLOOKUP($A68,'3121% SY'!$C$3:$M$324,11,FALSE),3),0)+IFERROR(ROUND(VLOOKUP($A68,S275_21,9,FALSE)*VLOOKUP($A68,'3121% SY'!$C$3:$M$324,11,FALSE),3),0)+IFERROR(ROUND(VLOOKUP($A68,S275_21,10,FALSE)*VLOOKUP($A68,'3121% SY'!$C$3:$M$324,11,FALSE),3),0)+IFERROR(VLOOKUP($A68,S275_09,4,FALSE),0)</f>
        <v>0</v>
      </c>
      <c r="AG68" s="267">
        <f>IFERROR(VLOOKUP($A68,Supp_35,14,FALSE),0)+IFERROR(SUMPRODUCT(VLOOKUP($A68,S275_01,{11,12,13},FALSE)),0)+IFERROR(SUMPRODUCT(VLOOKUP($A68,S275_97,{11,12,13},FALSE)),0)+IFERROR(ROUND(VLOOKUP($A68,S275_21,11,FALSE)*VLOOKUP($A68,'3121% SY'!$C$3:$M$324,11,FALSE),3),0)+IFERROR(ROUND(VLOOKUP($A68,S275_21,12,FALSE)*VLOOKUP($A68,'3121% SY'!$C$3:$M$324,11,FALSE),3),0)+IFERROR(ROUND(VLOOKUP($A68,S275_21,13,FALSE)*VLOOKUP($A68,'3121% SY'!$C$3:$M$324,11,FALSE),3),0)+IFERROR(VLOOKUP($A68,S275_09,5,FALSE),0)</f>
        <v>0</v>
      </c>
      <c r="AH68" s="165">
        <f t="shared" si="15"/>
        <v>0</v>
      </c>
      <c r="AI68" s="161">
        <f>IFERROR(VLOOKUP(A68,'Supp Staff Data'!A:ER,148,FALSE),0)+AB68</f>
        <v>0</v>
      </c>
      <c r="AJ68" s="174">
        <v>0</v>
      </c>
      <c r="AK68" s="25">
        <f>VLOOKUP(A68,'Enroll Data as of January 2025'!$A$3:$T$323,20,FALSE)-F68</f>
        <v>0</v>
      </c>
    </row>
    <row r="69" spans="1:37" x14ac:dyDescent="0.25">
      <c r="A69" s="171" t="s">
        <v>219</v>
      </c>
      <c r="B69" t="s">
        <v>514</v>
      </c>
      <c r="C69" s="173" t="s">
        <v>1077</v>
      </c>
      <c r="D69" s="259">
        <f t="shared" si="9"/>
        <v>0.187</v>
      </c>
      <c r="E69" s="259">
        <f t="shared" si="10"/>
        <v>0.14000000000000001</v>
      </c>
      <c r="F69" s="262">
        <f t="shared" si="18"/>
        <v>-4.7E-2</v>
      </c>
      <c r="G69" s="161">
        <f>ROUND(IF(F69&lt;0,F69*'2024-25 PSES Compliance'!$G$13,0),3)</f>
        <v>-4.4999999999999998E-2</v>
      </c>
      <c r="H69" s="161">
        <f>ROUND(IF(F69&lt;0,F69*'2024-25 PSES Compliance'!$G$14,0),3)</f>
        <v>-2E-3</v>
      </c>
      <c r="I69" s="174">
        <f t="shared" si="11"/>
        <v>0</v>
      </c>
      <c r="J69" s="174">
        <f t="shared" si="12"/>
        <v>0</v>
      </c>
      <c r="K69" s="161">
        <f>VLOOKUP($A69,'Enroll Data as of January 2025'!$A$3:$M$322,6,FALSE)</f>
        <v>8.8999999999999996E-2</v>
      </c>
      <c r="L69" s="161">
        <f>VLOOKUP($A69,'Enroll Data as of January 2025'!$A$3:$M$322,7,FALSE)</f>
        <v>2.5000000000000001E-2</v>
      </c>
      <c r="M69" s="161">
        <f>VLOOKUP($A69,'Enroll Data as of January 2025'!$A$3:$M$322,8,FALSE)</f>
        <v>8.0000000000000002E-3</v>
      </c>
      <c r="N69" s="161">
        <f>VLOOKUP($A69,'Enroll Data as of January 2025'!$A$3:$M$322,9,FALSE)</f>
        <v>5.1999999999999998E-2</v>
      </c>
      <c r="O69" s="165">
        <f t="shared" si="13"/>
        <v>0.17399999999999999</v>
      </c>
      <c r="P69" s="161">
        <f>VLOOKUP($A69,'Enroll Data as of January 2025'!$A$3:$M$322,11,FALSE)</f>
        <v>7.0000000000000001E-3</v>
      </c>
      <c r="Q69" s="161">
        <f>VLOOKUP($A69,'Enroll Data as of January 2025'!$A$3:$M$322,12,FALSE)</f>
        <v>6.0000000000000001E-3</v>
      </c>
      <c r="R69" s="165">
        <f t="shared" si="14"/>
        <v>1.3000000000000001E-2</v>
      </c>
      <c r="S69" s="267">
        <f>IFERROR(VLOOKUP($A69,Supp_39,14,FALSE),0)+IFERROR(SUMPRODUCT(VLOOKUP($A69,S275_01,{14,15,16},FALSE)),0)+IFERROR(SUMPRODUCT(VLOOKUP($A69,S275_97,{14,15,16},FALSE)),0)+IFERROR(ROUND(VLOOKUP($A69,S275_21,14,FALSE)*VLOOKUP($A69,'3121% SY'!$C$3:$M$324,11,FALSE),3),0)+IFERROR(ROUND(VLOOKUP($A69,S275_21,15,FALSE)*VLOOKUP($A69,'3121% SY'!$C$3:$M$324,11,FALSE),3),0)+IFERROR(ROUND(VLOOKUP($A69,S275_21,16,FALSE)*VLOOKUP($A69,'3121% SY'!$C$3:$M$324,11,FALSE),3),0)+IFERROR(VLOOKUP($A69,S275_09,6,FALSE),0)</f>
        <v>0</v>
      </c>
      <c r="T69" s="267">
        <f>IFERROR(VLOOKUP($A69,Supp_42,14,FALSE),0)+IFERROR(SUMPRODUCT(VLOOKUP($A69,S275_01,{17,18,19},FALSE)),0)+IFERROR(SUMPRODUCT(VLOOKUP($A69,S275_97,{17,18,19},FALSE)),0)+IFERROR(ROUND(VLOOKUP($A69,S275_21,17,FALSE)*VLOOKUP($A69,'3121% SY'!$C$3:$M$324,11,FALSE),3),0)+IFERROR(ROUND(VLOOKUP($A69,S275_21,18,FALSE)*VLOOKUP($A69,'3121% SY'!$C$3:$M$324,11,FALSE),3),0)+IFERROR(ROUND(VLOOKUP($A69,S275_21,19,FALSE)*VLOOKUP($A69,'3121% SY'!$C$3:$M$324,11,FALSE),3),0)+IFERROR(VLOOKUP($A69,S275_09,7,FALSE),0)</f>
        <v>0</v>
      </c>
      <c r="U69" s="267">
        <f>IFERROR(VLOOKUP($A69,Supp_43,14,FALSE),0)+IFERROR(SUMPRODUCT(VLOOKUP($A69,S275_01,{20,21,22},FALSE)),0)+IFERROR(SUMPRODUCT(VLOOKUP($A69,S275_97,{20,21,22},FALSE)),0)+IFERROR(ROUND(VLOOKUP($A69,S275_21,20,FALSE)*VLOOKUP($A69,'3121% SY'!$C$3:$M$324,11,FALSE),3),0)+IFERROR(ROUND(VLOOKUP($A69,S275_21,21,FALSE)*VLOOKUP($A69,'3121% SY'!$C$3:$M$324,11,FALSE),3),0)+IFERROR(ROUND(VLOOKUP($A69,S275_21,22,FALSE)*VLOOKUP($A69,'3121% SY'!$C$3:$M$324,11,FALSE),3),0)+IFERROR(VLOOKUP($A69,S275_09,8,FALSE),0)</f>
        <v>0</v>
      </c>
      <c r="V69" s="267">
        <f>IFERROR(VLOOKUP($A69,Supp_44,14,FALSE),0)+IFERROR(SUMPRODUCT(VLOOKUP($A69,S275_01,{23,24,25},FALSE)),0)+IFERROR(SUMPRODUCT(VLOOKUP($A69,S275_97,{23,24,25},FALSE)),0)+IFERROR(ROUND(VLOOKUP($A69,S275_21,23,FALSE)*VLOOKUP($A69,'3121% SY'!$C$3:$M$324,11,FALSE),3),0)+IFERROR(ROUND(VLOOKUP($A69,S275_21,24,FALSE)*VLOOKUP($A69,'3121% SY'!$C$3:$M$324,11,FALSE),3),0)+IFERROR(ROUND(VLOOKUP($A69,S275_21,25,FALSE)*VLOOKUP($A69,'3121% SY'!$C$3:$M$324,11,FALSE),3),0)+IFERROR(VLOOKUP($A69,S275_09,9,FALSE),0)</f>
        <v>0</v>
      </c>
      <c r="W69" s="267">
        <f>IFERROR(VLOOKUP($A69,Supp_45,14,FALSE),0)+IFERROR(SUMPRODUCT(VLOOKUP($A69,S275_01,{26,27,28},FALSE)),0)+IFERROR(SUMPRODUCT(VLOOKUP($A69,S275_97,{26,27,28},FALSE)),0)+IFERROR(ROUND(VLOOKUP($A69,S275_21,26,FALSE)*VLOOKUP($A69,'3121% SY'!$C$3:$M$324,11,FALSE),3),0)+IFERROR(ROUND(VLOOKUP($A69,S275_21,27,FALSE)*VLOOKUP($A69,'3121% SY'!$C$3:$M$324,11,FALSE),3),0)+IFERROR(ROUND(VLOOKUP($A69,S275_21,28,FALSE)*VLOOKUP($A69,'3121% SY'!$C$3:$M$324,11,FALSE),3),0)+IFERROR(VLOOKUP($A69,S275_09,10,FALSE),0)</f>
        <v>0</v>
      </c>
      <c r="X69" s="267">
        <f>IFERROR(VLOOKUP($A69,Supp_46,14,FALSE),0)+IFERROR(SUMPRODUCT(VLOOKUP($A69,S275_01,{29,30,31},FALSE)),0)+IFERROR(SUMPRODUCT(VLOOKUP($A69,S275_97,{29,30,31},FALSE)),0)+IFERROR(ROUND(VLOOKUP($A69,S275_21,29,FALSE)*VLOOKUP($A69,'3121% SY'!$C$3:$M$324,11,FALSE),3),0)+IFERROR(ROUND(VLOOKUP($A69,S275_21,30,FALSE)*VLOOKUP($A69,'3121% SY'!$C$3:$M$324,11,FALSE),3),0)+IFERROR(ROUND(VLOOKUP($A69,S275_21,31,FALSE)*VLOOKUP($A69,'3121% SY'!$C$3:$M$324,11,FALSE),3),0)+IFERROR(VLOOKUP($A69,S275_09,11,FALSE),0)</f>
        <v>0</v>
      </c>
      <c r="Y69" s="267">
        <f>IFERROR(VLOOKUP($A69,Supp_47,14,FALSE),0)+IFERROR(SUMPRODUCT(VLOOKUP($A69,S275_01,{32,33,34},FALSE)),0)+IFERROR(SUMPRODUCT(VLOOKUP($A69,S275_97,{32,33,34},FALSE)),0)+IFERROR(ROUND(VLOOKUP($A69,S275_21,32,FALSE)*VLOOKUP($A69,'3121% SY'!$C$3:$M$324,11,FALSE),3),0)+IFERROR(ROUND(VLOOKUP($A69,S275_21,33,FALSE)*VLOOKUP($A69,'3121% SY'!$C$3:$M$324,11,FALSE),3),0)+IFERROR(ROUND(VLOOKUP($A69,S275_21,34,FALSE)*VLOOKUP($A69,'3121% SY'!$C$3:$M$324,11,FALSE),3),0)+IFERROR(VLOOKUP($A69,S275_09,12,FALSE),0)</f>
        <v>0</v>
      </c>
      <c r="Z69" s="267">
        <f>IFERROR(VLOOKUP($A69,Supp_48,14,FALSE),0)+IFERROR(SUMPRODUCT(VLOOKUP($A69,S275_01,{35,36,37},FALSE)),0)+IFERROR(SUMPRODUCT(VLOOKUP($A69,S275_97,{35,36,37},FALSE)),0)+IFERROR(ROUND(VLOOKUP($A69,S275_21,35,FALSE)*VLOOKUP($A69,'3121% SY'!$C$3:$M$324,11,FALSE),3),0)+IFERROR(ROUND(VLOOKUP($A69,S275_21,36,FALSE)*VLOOKUP($A69,'3121% SY'!$C$3:$M$324,11,FALSE),3),0)+IFERROR(ROUND(VLOOKUP($A69,S275_21,37,FALSE)*VLOOKUP($A69,'3121% SY'!$C$3:$M$324,11,FALSE),3),0)+IFERROR(VLOOKUP($A69,S275_09,13,FALSE),0)</f>
        <v>0</v>
      </c>
      <c r="AA69" s="267">
        <f>IFERROR(VLOOKUP($A69,Supp_49,14,FALSE),0)+IFERROR(SUMPRODUCT(VLOOKUP($A69,S275_01,{38,39,40},FALSE)),0)+IFERROR(SUMPRODUCT(VLOOKUP($A69,S275_97,{38,39,40},FALSE)),0)+IFERROR(ROUND(VLOOKUP($A69,S275_21,38,FALSE)*VLOOKUP($A69,'3121% SY'!$C$3:$M$324,11,FALSE),3),0)+IFERROR(ROUND(VLOOKUP($A69,S275_21,39,FALSE)*VLOOKUP($A69,'3121% SY'!$C$3:$M$324,11,FALSE),3),0)+IFERROR(ROUND(VLOOKUP($A69,S275_21,40,FALSE)*VLOOKUP($A69,'3121% SY'!$C$3:$M$324,11,FALSE),3),0)+IFERROR(VLOOKUP($A69,S275_09,14,FALSE),0)</f>
        <v>0</v>
      </c>
      <c r="AB69" s="267">
        <f>IFERROR(VLOOKUP($A69,Supp_64,14,FALSE),0)+IFERROR(SUMPRODUCT(VLOOKUP($A69,S275_01,{41,42,43},FALSE)),0)+IFERROR(SUMPRODUCT(VLOOKUP($A69,S275_97,{41,42,43},FALSE)),0)+IFERROR(ROUND(VLOOKUP($A69,S275_21,41,FALSE)*VLOOKUP($A69,'3121% SY'!$C$3:$M$324,11,FALSE),3),0)+IFERROR(ROUND(VLOOKUP($A69,S275_21,42,FALSE)*VLOOKUP($A69,'3121% SY'!$C$3:$M$324,11,FALSE),3),0)+IFERROR(ROUND(VLOOKUP($A69,S275_21,43,FALSE)*VLOOKUP($A69,'3121% SY'!$C$3:$M$324,11,FALSE),3),0)+IFERROR(VLOOKUP($A69,S275_09,15,FALSE),0)</f>
        <v>0</v>
      </c>
      <c r="AC69" s="268">
        <f t="shared" si="17"/>
        <v>0</v>
      </c>
      <c r="AD69" s="267">
        <f>IFERROR(VLOOKUP($A69,Supp_24,14,FALSE),0)+IFERROR(SUMPRODUCT(VLOOKUP($A69,S275_01,{2,3,4},FALSE)),0)+IFERROR(SUMPRODUCT(VLOOKUP($A69,S275_97,{2,3,4},FALSE)),0)+IFERROR(ROUND(VLOOKUP($A69,S275_21,2,FALSE)*VLOOKUP($A69,'3121% SY'!$C$3:$M$324,11,FALSE),3),0)+IFERROR(ROUND(VLOOKUP($A69,S275_21,3,FALSE)*VLOOKUP($A69,'3121% SY'!$C$3:$M$324,11,FALSE),3),0)+IFERROR(ROUND(VLOOKUP($A69,S275_21,4,FALSE)*VLOOKUP($A69,'3121% SY'!$C$3:$M$324,11,FALSE),3),0)+IFERROR(VLOOKUP($A69,S275_09,2,FALSE),0)</f>
        <v>0</v>
      </c>
      <c r="AE69" s="267">
        <f>IFERROR(VLOOKUP($A69,Supp_25,14,FALSE),0)+IFERROR(SUMPRODUCT(VLOOKUP($A69,S275_01,{5,6,7},FALSE)),0)+IFERROR(SUMPRODUCT(VLOOKUP($A69,S275_97,{5,6,7},FALSE)),0)+IFERROR(ROUND(VLOOKUP($A69,S275_21,5,FALSE)*VLOOKUP($A69,'3121% SY'!$C$3:$M$324,11,FALSE),3),0)+IFERROR(ROUND(VLOOKUP($A69,S275_21,6,FALSE)*VLOOKUP($A69,'3121% SY'!$C$3:$M$324,11,FALSE),3),0)+IFERROR(ROUND(VLOOKUP($A69,S275_21,7,FALSE)*VLOOKUP($A69,'3121% SY'!$C$3:$M$324,11,FALSE),3),0)+IFERROR(VLOOKUP($A69,S275_09,3,FALSE),0)</f>
        <v>0</v>
      </c>
      <c r="AF69" s="267">
        <f>IFERROR(VLOOKUP($A69,Supp_26,14,FALSE),0)+IFERROR(SUMPRODUCT(VLOOKUP($A69,S275_01,{8,9,10},FALSE)),0)+IFERROR(SUMPRODUCT(VLOOKUP($A69,S275_97,{8,9,10},FALSE)),0)+IFERROR(ROUND(VLOOKUP($A69,S275_21,8,FALSE)*VLOOKUP($A69,'3121% SY'!$C$3:$M$324,11,FALSE),3),0)+IFERROR(ROUND(VLOOKUP($A69,S275_21,9,FALSE)*VLOOKUP($A69,'3121% SY'!$C$3:$M$324,11,FALSE),3),0)+IFERROR(ROUND(VLOOKUP($A69,S275_21,10,FALSE)*VLOOKUP($A69,'3121% SY'!$C$3:$M$324,11,FALSE),3),0)+IFERROR(VLOOKUP($A69,S275_09,4,FALSE),0)</f>
        <v>0.14000000000000001</v>
      </c>
      <c r="AG69" s="267">
        <f>IFERROR(VLOOKUP($A69,Supp_35,14,FALSE),0)+IFERROR(SUMPRODUCT(VLOOKUP($A69,S275_01,{11,12,13},FALSE)),0)+IFERROR(SUMPRODUCT(VLOOKUP($A69,S275_97,{11,12,13},FALSE)),0)+IFERROR(ROUND(VLOOKUP($A69,S275_21,11,FALSE)*VLOOKUP($A69,'3121% SY'!$C$3:$M$324,11,FALSE),3),0)+IFERROR(ROUND(VLOOKUP($A69,S275_21,12,FALSE)*VLOOKUP($A69,'3121% SY'!$C$3:$M$324,11,FALSE),3),0)+IFERROR(ROUND(VLOOKUP($A69,S275_21,13,FALSE)*VLOOKUP($A69,'3121% SY'!$C$3:$M$324,11,FALSE),3),0)+IFERROR(VLOOKUP($A69,S275_09,5,FALSE),0)</f>
        <v>0</v>
      </c>
      <c r="AH69" s="165">
        <f t="shared" si="15"/>
        <v>0.14000000000000001</v>
      </c>
      <c r="AI69" s="161">
        <f>IFERROR(VLOOKUP(A69,'Supp Staff Data'!A:ER,148,FALSE),0)+AB69</f>
        <v>0</v>
      </c>
      <c r="AJ69" s="174">
        <v>1</v>
      </c>
      <c r="AK69" s="25">
        <f>VLOOKUP(A69,'Enroll Data as of January 2025'!$A$3:$T$323,20,FALSE)-F69</f>
        <v>0</v>
      </c>
    </row>
    <row r="70" spans="1:37" x14ac:dyDescent="0.25">
      <c r="A70" s="171" t="s">
        <v>245</v>
      </c>
      <c r="B70" t="s">
        <v>541</v>
      </c>
      <c r="C70" s="173" t="s">
        <v>1077</v>
      </c>
      <c r="D70" s="259">
        <f t="shared" ref="D70:D133" si="19">O70+R70</f>
        <v>0.53900000000000003</v>
      </c>
      <c r="E70" s="259">
        <f t="shared" ref="E70:E133" si="20">AC70+AH70</f>
        <v>0.315</v>
      </c>
      <c r="F70" s="262">
        <f t="shared" si="18"/>
        <v>-0.224</v>
      </c>
      <c r="G70" s="161">
        <f>ROUND(IF(F70&lt;0,F70*'2024-25 PSES Compliance'!$G$13,0),3)</f>
        <v>-0.215</v>
      </c>
      <c r="H70" s="161">
        <f>ROUND(IF(F70&lt;0,F70*'2024-25 PSES Compliance'!$G$14,0),3)</f>
        <v>-8.9999999999999993E-3</v>
      </c>
      <c r="I70" s="174">
        <f t="shared" ref="I70:I133" si="21">IFERROR(((AJ70*AC70)/(AC70+AH70)),0)</f>
        <v>0</v>
      </c>
      <c r="J70" s="174">
        <f t="shared" ref="J70:J133" si="22">IFERROR(AI70/(AH70+AC70),0)</f>
        <v>0</v>
      </c>
      <c r="K70" s="161">
        <f>VLOOKUP($A70,'Enroll Data as of January 2025'!$A$3:$M$322,6,FALSE)</f>
        <v>0.248</v>
      </c>
      <c r="L70" s="161">
        <f>VLOOKUP($A70,'Enroll Data as of January 2025'!$A$3:$M$322,7,FALSE)</f>
        <v>7.8E-2</v>
      </c>
      <c r="M70" s="161">
        <f>VLOOKUP($A70,'Enroll Data as of January 2025'!$A$3:$M$322,8,FALSE)</f>
        <v>2.5999999999999999E-2</v>
      </c>
      <c r="N70" s="161">
        <f>VLOOKUP($A70,'Enroll Data as of January 2025'!$A$3:$M$322,9,FALSE)</f>
        <v>0.14599999999999999</v>
      </c>
      <c r="O70" s="165">
        <f t="shared" ref="O70:O133" si="23">SUM(K70:N70)</f>
        <v>0.498</v>
      </c>
      <c r="P70" s="161">
        <f>VLOOKUP($A70,'Enroll Data as of January 2025'!$A$3:$M$322,11,FALSE)</f>
        <v>0.02</v>
      </c>
      <c r="Q70" s="161">
        <f>VLOOKUP($A70,'Enroll Data as of January 2025'!$A$3:$M$322,12,FALSE)</f>
        <v>2.1000000000000001E-2</v>
      </c>
      <c r="R70" s="165">
        <f t="shared" ref="R70:R133" si="24">SUM(P70:Q70)</f>
        <v>4.1000000000000002E-2</v>
      </c>
      <c r="S70" s="267">
        <f>IFERROR(VLOOKUP($A70,Supp_39,14,FALSE),0)+IFERROR(SUMPRODUCT(VLOOKUP($A70,S275_01,{14,15,16},FALSE)),0)+IFERROR(SUMPRODUCT(VLOOKUP($A70,S275_97,{14,15,16},FALSE)),0)+IFERROR(ROUND(VLOOKUP($A70,S275_21,14,FALSE)*VLOOKUP($A70,'3121% SY'!$C$3:$M$324,11,FALSE),3),0)+IFERROR(ROUND(VLOOKUP($A70,S275_21,15,FALSE)*VLOOKUP($A70,'3121% SY'!$C$3:$M$324,11,FALSE),3),0)+IFERROR(ROUND(VLOOKUP($A70,S275_21,16,FALSE)*VLOOKUP($A70,'3121% SY'!$C$3:$M$324,11,FALSE),3),0)+IFERROR(VLOOKUP($A70,S275_09,6,FALSE),0)</f>
        <v>0</v>
      </c>
      <c r="T70" s="267">
        <f>IFERROR(VLOOKUP($A70,Supp_42,14,FALSE),0)+IFERROR(SUMPRODUCT(VLOOKUP($A70,S275_01,{17,18,19},FALSE)),0)+IFERROR(SUMPRODUCT(VLOOKUP($A70,S275_97,{17,18,19},FALSE)),0)+IFERROR(ROUND(VLOOKUP($A70,S275_21,17,FALSE)*VLOOKUP($A70,'3121% SY'!$C$3:$M$324,11,FALSE),3),0)+IFERROR(ROUND(VLOOKUP($A70,S275_21,18,FALSE)*VLOOKUP($A70,'3121% SY'!$C$3:$M$324,11,FALSE),3),0)+IFERROR(ROUND(VLOOKUP($A70,S275_21,19,FALSE)*VLOOKUP($A70,'3121% SY'!$C$3:$M$324,11,FALSE),3),0)+IFERROR(VLOOKUP($A70,S275_09,7,FALSE),0)</f>
        <v>0</v>
      </c>
      <c r="U70" s="267">
        <f>IFERROR(VLOOKUP($A70,Supp_43,14,FALSE),0)+IFERROR(SUMPRODUCT(VLOOKUP($A70,S275_01,{20,21,22},FALSE)),0)+IFERROR(SUMPRODUCT(VLOOKUP($A70,S275_97,{20,21,22},FALSE)),0)+IFERROR(ROUND(VLOOKUP($A70,S275_21,20,FALSE)*VLOOKUP($A70,'3121% SY'!$C$3:$M$324,11,FALSE),3),0)+IFERROR(ROUND(VLOOKUP($A70,S275_21,21,FALSE)*VLOOKUP($A70,'3121% SY'!$C$3:$M$324,11,FALSE),3),0)+IFERROR(ROUND(VLOOKUP($A70,S275_21,22,FALSE)*VLOOKUP($A70,'3121% SY'!$C$3:$M$324,11,FALSE),3),0)+IFERROR(VLOOKUP($A70,S275_09,8,FALSE),0)</f>
        <v>0</v>
      </c>
      <c r="V70" s="267">
        <f>IFERROR(VLOOKUP($A70,Supp_44,14,FALSE),0)+IFERROR(SUMPRODUCT(VLOOKUP($A70,S275_01,{23,24,25},FALSE)),0)+IFERROR(SUMPRODUCT(VLOOKUP($A70,S275_97,{23,24,25},FALSE)),0)+IFERROR(ROUND(VLOOKUP($A70,S275_21,23,FALSE)*VLOOKUP($A70,'3121% SY'!$C$3:$M$324,11,FALSE),3),0)+IFERROR(ROUND(VLOOKUP($A70,S275_21,24,FALSE)*VLOOKUP($A70,'3121% SY'!$C$3:$M$324,11,FALSE),3),0)+IFERROR(ROUND(VLOOKUP($A70,S275_21,25,FALSE)*VLOOKUP($A70,'3121% SY'!$C$3:$M$324,11,FALSE),3),0)+IFERROR(VLOOKUP($A70,S275_09,9,FALSE),0)</f>
        <v>0</v>
      </c>
      <c r="W70" s="267">
        <f>IFERROR(VLOOKUP($A70,Supp_45,14,FALSE),0)+IFERROR(SUMPRODUCT(VLOOKUP($A70,S275_01,{26,27,28},FALSE)),0)+IFERROR(SUMPRODUCT(VLOOKUP($A70,S275_97,{26,27,28},FALSE)),0)+IFERROR(ROUND(VLOOKUP($A70,S275_21,26,FALSE)*VLOOKUP($A70,'3121% SY'!$C$3:$M$324,11,FALSE),3),0)+IFERROR(ROUND(VLOOKUP($A70,S275_21,27,FALSE)*VLOOKUP($A70,'3121% SY'!$C$3:$M$324,11,FALSE),3),0)+IFERROR(ROUND(VLOOKUP($A70,S275_21,28,FALSE)*VLOOKUP($A70,'3121% SY'!$C$3:$M$324,11,FALSE),3),0)+IFERROR(VLOOKUP($A70,S275_09,10,FALSE),0)</f>
        <v>0</v>
      </c>
      <c r="X70" s="267">
        <f>IFERROR(VLOOKUP($A70,Supp_46,14,FALSE),0)+IFERROR(SUMPRODUCT(VLOOKUP($A70,S275_01,{29,30,31},FALSE)),0)+IFERROR(SUMPRODUCT(VLOOKUP($A70,S275_97,{29,30,31},FALSE)),0)+IFERROR(ROUND(VLOOKUP($A70,S275_21,29,FALSE)*VLOOKUP($A70,'3121% SY'!$C$3:$M$324,11,FALSE),3),0)+IFERROR(ROUND(VLOOKUP($A70,S275_21,30,FALSE)*VLOOKUP($A70,'3121% SY'!$C$3:$M$324,11,FALSE),3),0)+IFERROR(ROUND(VLOOKUP($A70,S275_21,31,FALSE)*VLOOKUP($A70,'3121% SY'!$C$3:$M$324,11,FALSE),3),0)+IFERROR(VLOOKUP($A70,S275_09,11,FALSE),0)</f>
        <v>0</v>
      </c>
      <c r="Y70" s="267">
        <f>IFERROR(VLOOKUP($A70,Supp_47,14,FALSE),0)+IFERROR(SUMPRODUCT(VLOOKUP($A70,S275_01,{32,33,34},FALSE)),0)+IFERROR(SUMPRODUCT(VLOOKUP($A70,S275_97,{32,33,34},FALSE)),0)+IFERROR(ROUND(VLOOKUP($A70,S275_21,32,FALSE)*VLOOKUP($A70,'3121% SY'!$C$3:$M$324,11,FALSE),3),0)+IFERROR(ROUND(VLOOKUP($A70,S275_21,33,FALSE)*VLOOKUP($A70,'3121% SY'!$C$3:$M$324,11,FALSE),3),0)+IFERROR(ROUND(VLOOKUP($A70,S275_21,34,FALSE)*VLOOKUP($A70,'3121% SY'!$C$3:$M$324,11,FALSE),3),0)+IFERROR(VLOOKUP($A70,S275_09,12,FALSE),0)</f>
        <v>0</v>
      </c>
      <c r="Z70" s="267">
        <f>IFERROR(VLOOKUP($A70,Supp_48,14,FALSE),0)+IFERROR(SUMPRODUCT(VLOOKUP($A70,S275_01,{35,36,37},FALSE)),0)+IFERROR(SUMPRODUCT(VLOOKUP($A70,S275_97,{35,36,37},FALSE)),0)+IFERROR(ROUND(VLOOKUP($A70,S275_21,35,FALSE)*VLOOKUP($A70,'3121% SY'!$C$3:$M$324,11,FALSE),3),0)+IFERROR(ROUND(VLOOKUP($A70,S275_21,36,FALSE)*VLOOKUP($A70,'3121% SY'!$C$3:$M$324,11,FALSE),3),0)+IFERROR(ROUND(VLOOKUP($A70,S275_21,37,FALSE)*VLOOKUP($A70,'3121% SY'!$C$3:$M$324,11,FALSE),3),0)+IFERROR(VLOOKUP($A70,S275_09,13,FALSE),0)</f>
        <v>0</v>
      </c>
      <c r="AA70" s="267">
        <f>IFERROR(VLOOKUP($A70,Supp_49,14,FALSE),0)+IFERROR(SUMPRODUCT(VLOOKUP($A70,S275_01,{38,39,40},FALSE)),0)+IFERROR(SUMPRODUCT(VLOOKUP($A70,S275_97,{38,39,40},FALSE)),0)+IFERROR(ROUND(VLOOKUP($A70,S275_21,38,FALSE)*VLOOKUP($A70,'3121% SY'!$C$3:$M$324,11,FALSE),3),0)+IFERROR(ROUND(VLOOKUP($A70,S275_21,39,FALSE)*VLOOKUP($A70,'3121% SY'!$C$3:$M$324,11,FALSE),3),0)+IFERROR(ROUND(VLOOKUP($A70,S275_21,40,FALSE)*VLOOKUP($A70,'3121% SY'!$C$3:$M$324,11,FALSE),3),0)+IFERROR(VLOOKUP($A70,S275_09,14,FALSE),0)</f>
        <v>0</v>
      </c>
      <c r="AB70" s="267">
        <f>IFERROR(VLOOKUP($A70,Supp_64,14,FALSE),0)+IFERROR(SUMPRODUCT(VLOOKUP($A70,S275_01,{41,42,43},FALSE)),0)+IFERROR(SUMPRODUCT(VLOOKUP($A70,S275_97,{41,42,43},FALSE)),0)+IFERROR(ROUND(VLOOKUP($A70,S275_21,41,FALSE)*VLOOKUP($A70,'3121% SY'!$C$3:$M$324,11,FALSE),3),0)+IFERROR(ROUND(VLOOKUP($A70,S275_21,42,FALSE)*VLOOKUP($A70,'3121% SY'!$C$3:$M$324,11,FALSE),3),0)+IFERROR(ROUND(VLOOKUP($A70,S275_21,43,FALSE)*VLOOKUP($A70,'3121% SY'!$C$3:$M$324,11,FALSE),3),0)+IFERROR(VLOOKUP($A70,S275_09,15,FALSE),0)</f>
        <v>0</v>
      </c>
      <c r="AC70" s="268">
        <f t="shared" ref="AC70:AC133" si="25">SUM(S70:AB70)</f>
        <v>0</v>
      </c>
      <c r="AD70" s="267">
        <f>IFERROR(VLOOKUP($A70,Supp_24,14,FALSE),0)+IFERROR(SUMPRODUCT(VLOOKUP($A70,S275_01,{2,3,4},FALSE)),0)+IFERROR(SUMPRODUCT(VLOOKUP($A70,S275_97,{2,3,4},FALSE)),0)+IFERROR(ROUND(VLOOKUP($A70,S275_21,2,FALSE)*VLOOKUP($A70,'3121% SY'!$C$3:$M$324,11,FALSE),3),0)+IFERROR(ROUND(VLOOKUP($A70,S275_21,3,FALSE)*VLOOKUP($A70,'3121% SY'!$C$3:$M$324,11,FALSE),3),0)+IFERROR(ROUND(VLOOKUP($A70,S275_21,4,FALSE)*VLOOKUP($A70,'3121% SY'!$C$3:$M$324,11,FALSE),3),0)+IFERROR(VLOOKUP($A70,S275_09,2,FALSE),0)</f>
        <v>0.315</v>
      </c>
      <c r="AE70" s="267">
        <f>IFERROR(VLOOKUP($A70,Supp_25,14,FALSE),0)+IFERROR(SUMPRODUCT(VLOOKUP($A70,S275_01,{5,6,7},FALSE)),0)+IFERROR(SUMPRODUCT(VLOOKUP($A70,S275_97,{5,6,7},FALSE)),0)+IFERROR(ROUND(VLOOKUP($A70,S275_21,5,FALSE)*VLOOKUP($A70,'3121% SY'!$C$3:$M$324,11,FALSE),3),0)+IFERROR(ROUND(VLOOKUP($A70,S275_21,6,FALSE)*VLOOKUP($A70,'3121% SY'!$C$3:$M$324,11,FALSE),3),0)+IFERROR(ROUND(VLOOKUP($A70,S275_21,7,FALSE)*VLOOKUP($A70,'3121% SY'!$C$3:$M$324,11,FALSE),3),0)+IFERROR(VLOOKUP($A70,S275_09,3,FALSE),0)</f>
        <v>0</v>
      </c>
      <c r="AF70" s="267">
        <f>IFERROR(VLOOKUP($A70,Supp_26,14,FALSE),0)+IFERROR(SUMPRODUCT(VLOOKUP($A70,S275_01,{8,9,10},FALSE)),0)+IFERROR(SUMPRODUCT(VLOOKUP($A70,S275_97,{8,9,10},FALSE)),0)+IFERROR(ROUND(VLOOKUP($A70,S275_21,8,FALSE)*VLOOKUP($A70,'3121% SY'!$C$3:$M$324,11,FALSE),3),0)+IFERROR(ROUND(VLOOKUP($A70,S275_21,9,FALSE)*VLOOKUP($A70,'3121% SY'!$C$3:$M$324,11,FALSE),3),0)+IFERROR(ROUND(VLOOKUP($A70,S275_21,10,FALSE)*VLOOKUP($A70,'3121% SY'!$C$3:$M$324,11,FALSE),3),0)+IFERROR(VLOOKUP($A70,S275_09,4,FALSE),0)</f>
        <v>0</v>
      </c>
      <c r="AG70" s="267">
        <f>IFERROR(VLOOKUP($A70,Supp_35,14,FALSE),0)+IFERROR(SUMPRODUCT(VLOOKUP($A70,S275_01,{11,12,13},FALSE)),0)+IFERROR(SUMPRODUCT(VLOOKUP($A70,S275_97,{11,12,13},FALSE)),0)+IFERROR(ROUND(VLOOKUP($A70,S275_21,11,FALSE)*VLOOKUP($A70,'3121% SY'!$C$3:$M$324,11,FALSE),3),0)+IFERROR(ROUND(VLOOKUP($A70,S275_21,12,FALSE)*VLOOKUP($A70,'3121% SY'!$C$3:$M$324,11,FALSE),3),0)+IFERROR(ROUND(VLOOKUP($A70,S275_21,13,FALSE)*VLOOKUP($A70,'3121% SY'!$C$3:$M$324,11,FALSE),3),0)+IFERROR(VLOOKUP($A70,S275_09,5,FALSE),0)</f>
        <v>0</v>
      </c>
      <c r="AH70" s="165">
        <f t="shared" ref="AH70:AH133" si="26">SUM(AD70:AG70)</f>
        <v>0.315</v>
      </c>
      <c r="AI70" s="161">
        <f>IFERROR(VLOOKUP(A70,'Supp Staff Data'!A:ER,148,FALSE),0)+AB70</f>
        <v>0</v>
      </c>
      <c r="AJ70" s="174">
        <v>1</v>
      </c>
      <c r="AK70" s="25">
        <f>VLOOKUP(A70,'Enroll Data as of January 2025'!$A$3:$T$323,20,FALSE)-F70</f>
        <v>0</v>
      </c>
    </row>
    <row r="71" spans="1:37" x14ac:dyDescent="0.25">
      <c r="A71" s="171" t="s">
        <v>87</v>
      </c>
      <c r="B71" t="s">
        <v>383</v>
      </c>
      <c r="C71" s="173" t="s">
        <v>1077</v>
      </c>
      <c r="D71" s="259">
        <f t="shared" si="19"/>
        <v>1.5580000000000001</v>
      </c>
      <c r="E71" s="259">
        <f t="shared" si="20"/>
        <v>2.6880000000000002</v>
      </c>
      <c r="F71" s="262">
        <f t="shared" si="18"/>
        <v>1.1299999999999999</v>
      </c>
      <c r="G71" s="161">
        <f>ROUND(IF(F71&lt;0,F71*'2024-25 PSES Compliance'!$G$13,0),3)</f>
        <v>0</v>
      </c>
      <c r="H71" s="161">
        <f>ROUND(IF(F71&lt;0,F71*'2024-25 PSES Compliance'!$G$14,0),3)</f>
        <v>0</v>
      </c>
      <c r="I71" s="174">
        <f t="shared" si="21"/>
        <v>0.98288690476190488</v>
      </c>
      <c r="J71" s="174">
        <f t="shared" si="22"/>
        <v>0.5915178571428571</v>
      </c>
      <c r="K71" s="161">
        <f>VLOOKUP($A71,'Enroll Data as of January 2025'!$A$3:$M$322,6,FALSE)</f>
        <v>0.84799999999999998</v>
      </c>
      <c r="L71" s="161">
        <f>VLOOKUP($A71,'Enroll Data as of January 2025'!$A$3:$M$322,7,FALSE)</f>
        <v>0.15500000000000003</v>
      </c>
      <c r="M71" s="161">
        <f>VLOOKUP($A71,'Enroll Data as of January 2025'!$A$3:$M$322,8,FALSE)</f>
        <v>5.2000000000000005E-2</v>
      </c>
      <c r="N71" s="161">
        <f>VLOOKUP($A71,'Enroll Data as of January 2025'!$A$3:$M$322,9,FALSE)</f>
        <v>0.41199999999999998</v>
      </c>
      <c r="O71" s="165">
        <f t="shared" si="23"/>
        <v>1.4670000000000001</v>
      </c>
      <c r="P71" s="161">
        <f>VLOOKUP($A71,'Enroll Data as of January 2025'!$A$3:$M$322,11,FALSE)</f>
        <v>5.5000000000000007E-2</v>
      </c>
      <c r="Q71" s="161">
        <f>VLOOKUP($A71,'Enroll Data as of January 2025'!$A$3:$M$322,12,FALSE)</f>
        <v>3.5999999999999997E-2</v>
      </c>
      <c r="R71" s="165">
        <f t="shared" si="24"/>
        <v>9.0999999999999998E-2</v>
      </c>
      <c r="S71" s="267">
        <f>IFERROR(VLOOKUP($A71,Supp_39,14,FALSE),0)+IFERROR(SUMPRODUCT(VLOOKUP($A71,S275_01,{14,15,16},FALSE)),0)+IFERROR(SUMPRODUCT(VLOOKUP($A71,S275_97,{14,15,16},FALSE)),0)+IFERROR(ROUND(VLOOKUP($A71,S275_21,14,FALSE)*VLOOKUP($A71,'3121% SY'!$C$3:$M$324,11,FALSE),3),0)+IFERROR(ROUND(VLOOKUP($A71,S275_21,15,FALSE)*VLOOKUP($A71,'3121% SY'!$C$3:$M$324,11,FALSE),3),0)+IFERROR(ROUND(VLOOKUP($A71,S275_21,16,FALSE)*VLOOKUP($A71,'3121% SY'!$C$3:$M$324,11,FALSE),3),0)+IFERROR(VLOOKUP($A71,S275_09,6,FALSE),0)</f>
        <v>0.83299999999999996</v>
      </c>
      <c r="T71" s="267">
        <f>IFERROR(VLOOKUP($A71,Supp_42,14,FALSE),0)+IFERROR(SUMPRODUCT(VLOOKUP($A71,S275_01,{17,18,19},FALSE)),0)+IFERROR(SUMPRODUCT(VLOOKUP($A71,S275_97,{17,18,19},FALSE)),0)+IFERROR(ROUND(VLOOKUP($A71,S275_21,17,FALSE)*VLOOKUP($A71,'3121% SY'!$C$3:$M$324,11,FALSE),3),0)+IFERROR(ROUND(VLOOKUP($A71,S275_21,18,FALSE)*VLOOKUP($A71,'3121% SY'!$C$3:$M$324,11,FALSE),3),0)+IFERROR(ROUND(VLOOKUP($A71,S275_21,19,FALSE)*VLOOKUP($A71,'3121% SY'!$C$3:$M$324,11,FALSE),3),0)+IFERROR(VLOOKUP($A71,S275_09,7,FALSE),0)</f>
        <v>1.157</v>
      </c>
      <c r="U71" s="267">
        <f>IFERROR(VLOOKUP($A71,Supp_43,14,FALSE),0)+IFERROR(SUMPRODUCT(VLOOKUP($A71,S275_01,{20,21,22},FALSE)),0)+IFERROR(SUMPRODUCT(VLOOKUP($A71,S275_97,{20,21,22},FALSE)),0)+IFERROR(ROUND(VLOOKUP($A71,S275_21,20,FALSE)*VLOOKUP($A71,'3121% SY'!$C$3:$M$324,11,FALSE),3),0)+IFERROR(ROUND(VLOOKUP($A71,S275_21,21,FALSE)*VLOOKUP($A71,'3121% SY'!$C$3:$M$324,11,FALSE),3),0)+IFERROR(ROUND(VLOOKUP($A71,S275_21,22,FALSE)*VLOOKUP($A71,'3121% SY'!$C$3:$M$324,11,FALSE),3),0)+IFERROR(VLOOKUP($A71,S275_09,8,FALSE),0)</f>
        <v>0.16500000000000001</v>
      </c>
      <c r="V71" s="267">
        <f>IFERROR(VLOOKUP($A71,Supp_44,14,FALSE),0)+IFERROR(SUMPRODUCT(VLOOKUP($A71,S275_01,{23,24,25},FALSE)),0)+IFERROR(SUMPRODUCT(VLOOKUP($A71,S275_97,{23,24,25},FALSE)),0)+IFERROR(ROUND(VLOOKUP($A71,S275_21,23,FALSE)*VLOOKUP($A71,'3121% SY'!$C$3:$M$324,11,FALSE),3),0)+IFERROR(ROUND(VLOOKUP($A71,S275_21,24,FALSE)*VLOOKUP($A71,'3121% SY'!$C$3:$M$324,11,FALSE),3),0)+IFERROR(ROUND(VLOOKUP($A71,S275_21,25,FALSE)*VLOOKUP($A71,'3121% SY'!$C$3:$M$324,11,FALSE),3),0)+IFERROR(VLOOKUP($A71,S275_09,9,FALSE),0)</f>
        <v>0</v>
      </c>
      <c r="W71" s="267">
        <f>IFERROR(VLOOKUP($A71,Supp_45,14,FALSE),0)+IFERROR(SUMPRODUCT(VLOOKUP($A71,S275_01,{26,27,28},FALSE)),0)+IFERROR(SUMPRODUCT(VLOOKUP($A71,S275_97,{26,27,28},FALSE)),0)+IFERROR(ROUND(VLOOKUP($A71,S275_21,26,FALSE)*VLOOKUP($A71,'3121% SY'!$C$3:$M$324,11,FALSE),3),0)+IFERROR(ROUND(VLOOKUP($A71,S275_21,27,FALSE)*VLOOKUP($A71,'3121% SY'!$C$3:$M$324,11,FALSE),3),0)+IFERROR(ROUND(VLOOKUP($A71,S275_21,28,FALSE)*VLOOKUP($A71,'3121% SY'!$C$3:$M$324,11,FALSE),3),0)+IFERROR(VLOOKUP($A71,S275_09,10,FALSE),0)</f>
        <v>0.20399999999999999</v>
      </c>
      <c r="X71" s="267">
        <f>IFERROR(VLOOKUP($A71,Supp_46,14,FALSE),0)+IFERROR(SUMPRODUCT(VLOOKUP($A71,S275_01,{29,30,31},FALSE)),0)+IFERROR(SUMPRODUCT(VLOOKUP($A71,S275_97,{29,30,31},FALSE)),0)+IFERROR(ROUND(VLOOKUP($A71,S275_21,29,FALSE)*VLOOKUP($A71,'3121% SY'!$C$3:$M$324,11,FALSE),3),0)+IFERROR(ROUND(VLOOKUP($A71,S275_21,30,FALSE)*VLOOKUP($A71,'3121% SY'!$C$3:$M$324,11,FALSE),3),0)+IFERROR(ROUND(VLOOKUP($A71,S275_21,31,FALSE)*VLOOKUP($A71,'3121% SY'!$C$3:$M$324,11,FALSE),3),0)+IFERROR(VLOOKUP($A71,S275_09,11,FALSE),0)</f>
        <v>8.3000000000000004E-2</v>
      </c>
      <c r="Y71" s="267">
        <f>IFERROR(VLOOKUP($A71,Supp_47,14,FALSE),0)+IFERROR(SUMPRODUCT(VLOOKUP($A71,S275_01,{32,33,34},FALSE)),0)+IFERROR(SUMPRODUCT(VLOOKUP($A71,S275_97,{32,33,34},FALSE)),0)+IFERROR(ROUND(VLOOKUP($A71,S275_21,32,FALSE)*VLOOKUP($A71,'3121% SY'!$C$3:$M$324,11,FALSE),3),0)+IFERROR(ROUND(VLOOKUP($A71,S275_21,33,FALSE)*VLOOKUP($A71,'3121% SY'!$C$3:$M$324,11,FALSE),3),0)+IFERROR(ROUND(VLOOKUP($A71,S275_21,34,FALSE)*VLOOKUP($A71,'3121% SY'!$C$3:$M$324,11,FALSE),3),0)+IFERROR(VLOOKUP($A71,S275_09,12,FALSE),0)</f>
        <v>0.2</v>
      </c>
      <c r="Z71" s="267">
        <f>IFERROR(VLOOKUP($A71,Supp_48,14,FALSE),0)+IFERROR(SUMPRODUCT(VLOOKUP($A71,S275_01,{35,36,37},FALSE)),0)+IFERROR(SUMPRODUCT(VLOOKUP($A71,S275_97,{35,36,37},FALSE)),0)+IFERROR(ROUND(VLOOKUP($A71,S275_21,35,FALSE)*VLOOKUP($A71,'3121% SY'!$C$3:$M$324,11,FALSE),3),0)+IFERROR(ROUND(VLOOKUP($A71,S275_21,36,FALSE)*VLOOKUP($A71,'3121% SY'!$C$3:$M$324,11,FALSE),3),0)+IFERROR(ROUND(VLOOKUP($A71,S275_21,37,FALSE)*VLOOKUP($A71,'3121% SY'!$C$3:$M$324,11,FALSE),3),0)+IFERROR(VLOOKUP($A71,S275_09,13,FALSE),0)</f>
        <v>0</v>
      </c>
      <c r="AA71" s="267">
        <f>IFERROR(VLOOKUP($A71,Supp_49,14,FALSE),0)+IFERROR(SUMPRODUCT(VLOOKUP($A71,S275_01,{38,39,40},FALSE)),0)+IFERROR(SUMPRODUCT(VLOOKUP($A71,S275_97,{38,39,40},FALSE)),0)+IFERROR(ROUND(VLOOKUP($A71,S275_21,38,FALSE)*VLOOKUP($A71,'3121% SY'!$C$3:$M$324,11,FALSE),3),0)+IFERROR(ROUND(VLOOKUP($A71,S275_21,39,FALSE)*VLOOKUP($A71,'3121% SY'!$C$3:$M$324,11,FALSE),3),0)+IFERROR(ROUND(VLOOKUP($A71,S275_21,40,FALSE)*VLOOKUP($A71,'3121% SY'!$C$3:$M$324,11,FALSE),3),0)+IFERROR(VLOOKUP($A71,S275_09,14,FALSE),0)</f>
        <v>0</v>
      </c>
      <c r="AB71" s="267">
        <f>IFERROR(VLOOKUP($A71,Supp_64,14,FALSE),0)+IFERROR(SUMPRODUCT(VLOOKUP($A71,S275_01,{41,42,43},FALSE)),0)+IFERROR(SUMPRODUCT(VLOOKUP($A71,S275_97,{41,42,43},FALSE)),0)+IFERROR(ROUND(VLOOKUP($A71,S275_21,41,FALSE)*VLOOKUP($A71,'3121% SY'!$C$3:$M$324,11,FALSE),3),0)+IFERROR(ROUND(VLOOKUP($A71,S275_21,42,FALSE)*VLOOKUP($A71,'3121% SY'!$C$3:$M$324,11,FALSE),3),0)+IFERROR(ROUND(VLOOKUP($A71,S275_21,43,FALSE)*VLOOKUP($A71,'3121% SY'!$C$3:$M$324,11,FALSE),3),0)+IFERROR(VLOOKUP($A71,S275_09,15,FALSE),0)</f>
        <v>0</v>
      </c>
      <c r="AC71" s="268">
        <f t="shared" si="25"/>
        <v>2.6420000000000003</v>
      </c>
      <c r="AD71" s="267">
        <f>IFERROR(VLOOKUP($A71,Supp_24,14,FALSE),0)+IFERROR(SUMPRODUCT(VLOOKUP($A71,S275_01,{2,3,4},FALSE)),0)+IFERROR(SUMPRODUCT(VLOOKUP($A71,S275_97,{2,3,4},FALSE)),0)+IFERROR(ROUND(VLOOKUP($A71,S275_21,2,FALSE)*VLOOKUP($A71,'3121% SY'!$C$3:$M$324,11,FALSE),3),0)+IFERROR(ROUND(VLOOKUP($A71,S275_21,3,FALSE)*VLOOKUP($A71,'3121% SY'!$C$3:$M$324,11,FALSE),3),0)+IFERROR(ROUND(VLOOKUP($A71,S275_21,4,FALSE)*VLOOKUP($A71,'3121% SY'!$C$3:$M$324,11,FALSE),3),0)+IFERROR(VLOOKUP($A71,S275_09,2,FALSE),0)</f>
        <v>0</v>
      </c>
      <c r="AE71" s="267">
        <f>IFERROR(VLOOKUP($A71,Supp_25,14,FALSE),0)+IFERROR(SUMPRODUCT(VLOOKUP($A71,S275_01,{5,6,7},FALSE)),0)+IFERROR(SUMPRODUCT(VLOOKUP($A71,S275_97,{5,6,7},FALSE)),0)+IFERROR(ROUND(VLOOKUP($A71,S275_21,5,FALSE)*VLOOKUP($A71,'3121% SY'!$C$3:$M$324,11,FALSE),3),0)+IFERROR(ROUND(VLOOKUP($A71,S275_21,6,FALSE)*VLOOKUP($A71,'3121% SY'!$C$3:$M$324,11,FALSE),3),0)+IFERROR(ROUND(VLOOKUP($A71,S275_21,7,FALSE)*VLOOKUP($A71,'3121% SY'!$C$3:$M$324,11,FALSE),3),0)+IFERROR(VLOOKUP($A71,S275_09,3,FALSE),0)</f>
        <v>0</v>
      </c>
      <c r="AF71" s="267">
        <f>IFERROR(VLOOKUP($A71,Supp_26,14,FALSE),0)+IFERROR(SUMPRODUCT(VLOOKUP($A71,S275_01,{8,9,10},FALSE)),0)+IFERROR(SUMPRODUCT(VLOOKUP($A71,S275_97,{8,9,10},FALSE)),0)+IFERROR(ROUND(VLOOKUP($A71,S275_21,8,FALSE)*VLOOKUP($A71,'3121% SY'!$C$3:$M$324,11,FALSE),3),0)+IFERROR(ROUND(VLOOKUP($A71,S275_21,9,FALSE)*VLOOKUP($A71,'3121% SY'!$C$3:$M$324,11,FALSE),3),0)+IFERROR(ROUND(VLOOKUP($A71,S275_21,10,FALSE)*VLOOKUP($A71,'3121% SY'!$C$3:$M$324,11,FALSE),3),0)+IFERROR(VLOOKUP($A71,S275_09,4,FALSE),0)</f>
        <v>4.5999999999999999E-2</v>
      </c>
      <c r="AG71" s="267">
        <f>IFERROR(VLOOKUP($A71,Supp_35,14,FALSE),0)+IFERROR(SUMPRODUCT(VLOOKUP($A71,S275_01,{11,12,13},FALSE)),0)+IFERROR(SUMPRODUCT(VLOOKUP($A71,S275_97,{11,12,13},FALSE)),0)+IFERROR(ROUND(VLOOKUP($A71,S275_21,11,FALSE)*VLOOKUP($A71,'3121% SY'!$C$3:$M$324,11,FALSE),3),0)+IFERROR(ROUND(VLOOKUP($A71,S275_21,12,FALSE)*VLOOKUP($A71,'3121% SY'!$C$3:$M$324,11,FALSE),3),0)+IFERROR(ROUND(VLOOKUP($A71,S275_21,13,FALSE)*VLOOKUP($A71,'3121% SY'!$C$3:$M$324,11,FALSE),3),0)+IFERROR(VLOOKUP($A71,S275_09,5,FALSE),0)</f>
        <v>0</v>
      </c>
      <c r="AH71" s="165">
        <f t="shared" si="26"/>
        <v>4.5999999999999999E-2</v>
      </c>
      <c r="AI71" s="161">
        <f>IFERROR(VLOOKUP(A71,'Supp Staff Data'!A:ER,148,FALSE),0)+AB71</f>
        <v>1.5899999999999999</v>
      </c>
      <c r="AJ71" s="174">
        <v>1</v>
      </c>
      <c r="AK71" s="25">
        <f>VLOOKUP(A71,'Enroll Data as of January 2025'!$A$3:$T$323,20,FALSE)-F71</f>
        <v>0</v>
      </c>
    </row>
    <row r="72" spans="1:37" x14ac:dyDescent="0.25">
      <c r="A72" s="171" t="s">
        <v>277</v>
      </c>
      <c r="B72" t="s">
        <v>573</v>
      </c>
      <c r="C72" s="173" t="s">
        <v>1077</v>
      </c>
      <c r="D72" s="259">
        <f t="shared" si="19"/>
        <v>0.16900000000000001</v>
      </c>
      <c r="E72" s="259">
        <f t="shared" si="20"/>
        <v>0</v>
      </c>
      <c r="F72" s="262">
        <f t="shared" si="18"/>
        <v>-0.16900000000000001</v>
      </c>
      <c r="G72" s="161">
        <f>ROUND(IF(F72&lt;0,F72*'2024-25 PSES Compliance'!$G$13,0),3)</f>
        <v>-0.16200000000000001</v>
      </c>
      <c r="H72" s="161">
        <f>ROUND(IF(F72&lt;0,F72*'2024-25 PSES Compliance'!$G$14,0),3)</f>
        <v>-7.0000000000000001E-3</v>
      </c>
      <c r="I72" s="174">
        <f t="shared" si="21"/>
        <v>0</v>
      </c>
      <c r="J72" s="174">
        <f t="shared" si="22"/>
        <v>0</v>
      </c>
      <c r="K72" s="161">
        <f>VLOOKUP($A72,'Enroll Data as of January 2025'!$A$3:$M$322,6,FALSE)</f>
        <v>8.8999999999999996E-2</v>
      </c>
      <c r="L72" s="161">
        <f>VLOOKUP($A72,'Enroll Data as of January 2025'!$A$3:$M$322,7,FALSE)</f>
        <v>1.6E-2</v>
      </c>
      <c r="M72" s="161">
        <f>VLOOKUP($A72,'Enroll Data as of January 2025'!$A$3:$M$322,8,FALSE)</f>
        <v>6.0000000000000001E-3</v>
      </c>
      <c r="N72" s="161">
        <f>VLOOKUP($A72,'Enroll Data as of January 2025'!$A$3:$M$322,9,FALSE)</f>
        <v>4.9000000000000002E-2</v>
      </c>
      <c r="O72" s="165">
        <f t="shared" si="23"/>
        <v>0.16</v>
      </c>
      <c r="P72" s="161">
        <f>VLOOKUP($A72,'Enroll Data as of January 2025'!$A$3:$M$322,11,FALSE)</f>
        <v>5.0000000000000001E-3</v>
      </c>
      <c r="Q72" s="161">
        <f>VLOOKUP($A72,'Enroll Data as of January 2025'!$A$3:$M$322,12,FALSE)</f>
        <v>4.0000000000000001E-3</v>
      </c>
      <c r="R72" s="165">
        <f t="shared" si="24"/>
        <v>9.0000000000000011E-3</v>
      </c>
      <c r="S72" s="267">
        <f>IFERROR(VLOOKUP($A72,Supp_39,14,FALSE),0)+IFERROR(SUMPRODUCT(VLOOKUP($A72,S275_01,{14,15,16},FALSE)),0)+IFERROR(SUMPRODUCT(VLOOKUP($A72,S275_97,{14,15,16},FALSE)),0)+IFERROR(ROUND(VLOOKUP($A72,S275_21,14,FALSE)*VLOOKUP($A72,'3121% SY'!$C$3:$M$324,11,FALSE),3),0)+IFERROR(ROUND(VLOOKUP($A72,S275_21,15,FALSE)*VLOOKUP($A72,'3121% SY'!$C$3:$M$324,11,FALSE),3),0)+IFERROR(ROUND(VLOOKUP($A72,S275_21,16,FALSE)*VLOOKUP($A72,'3121% SY'!$C$3:$M$324,11,FALSE),3),0)+IFERROR(VLOOKUP($A72,S275_09,6,FALSE),0)</f>
        <v>0</v>
      </c>
      <c r="T72" s="267">
        <f>IFERROR(VLOOKUP($A72,Supp_42,14,FALSE),0)+IFERROR(SUMPRODUCT(VLOOKUP($A72,S275_01,{17,18,19},FALSE)),0)+IFERROR(SUMPRODUCT(VLOOKUP($A72,S275_97,{17,18,19},FALSE)),0)+IFERROR(ROUND(VLOOKUP($A72,S275_21,17,FALSE)*VLOOKUP($A72,'3121% SY'!$C$3:$M$324,11,FALSE),3),0)+IFERROR(ROUND(VLOOKUP($A72,S275_21,18,FALSE)*VLOOKUP($A72,'3121% SY'!$C$3:$M$324,11,FALSE),3),0)+IFERROR(ROUND(VLOOKUP($A72,S275_21,19,FALSE)*VLOOKUP($A72,'3121% SY'!$C$3:$M$324,11,FALSE),3),0)+IFERROR(VLOOKUP($A72,S275_09,7,FALSE),0)</f>
        <v>0</v>
      </c>
      <c r="U72" s="267">
        <f>IFERROR(VLOOKUP($A72,Supp_43,14,FALSE),0)+IFERROR(SUMPRODUCT(VLOOKUP($A72,S275_01,{20,21,22},FALSE)),0)+IFERROR(SUMPRODUCT(VLOOKUP($A72,S275_97,{20,21,22},FALSE)),0)+IFERROR(ROUND(VLOOKUP($A72,S275_21,20,FALSE)*VLOOKUP($A72,'3121% SY'!$C$3:$M$324,11,FALSE),3),0)+IFERROR(ROUND(VLOOKUP($A72,S275_21,21,FALSE)*VLOOKUP($A72,'3121% SY'!$C$3:$M$324,11,FALSE),3),0)+IFERROR(ROUND(VLOOKUP($A72,S275_21,22,FALSE)*VLOOKUP($A72,'3121% SY'!$C$3:$M$324,11,FALSE),3),0)+IFERROR(VLOOKUP($A72,S275_09,8,FALSE),0)</f>
        <v>0</v>
      </c>
      <c r="V72" s="267">
        <f>IFERROR(VLOOKUP($A72,Supp_44,14,FALSE),0)+IFERROR(SUMPRODUCT(VLOOKUP($A72,S275_01,{23,24,25},FALSE)),0)+IFERROR(SUMPRODUCT(VLOOKUP($A72,S275_97,{23,24,25},FALSE)),0)+IFERROR(ROUND(VLOOKUP($A72,S275_21,23,FALSE)*VLOOKUP($A72,'3121% SY'!$C$3:$M$324,11,FALSE),3),0)+IFERROR(ROUND(VLOOKUP($A72,S275_21,24,FALSE)*VLOOKUP($A72,'3121% SY'!$C$3:$M$324,11,FALSE),3),0)+IFERROR(ROUND(VLOOKUP($A72,S275_21,25,FALSE)*VLOOKUP($A72,'3121% SY'!$C$3:$M$324,11,FALSE),3),0)+IFERROR(VLOOKUP($A72,S275_09,9,FALSE),0)</f>
        <v>0</v>
      </c>
      <c r="W72" s="267">
        <f>IFERROR(VLOOKUP($A72,Supp_45,14,FALSE),0)+IFERROR(SUMPRODUCT(VLOOKUP($A72,S275_01,{26,27,28},FALSE)),0)+IFERROR(SUMPRODUCT(VLOOKUP($A72,S275_97,{26,27,28},FALSE)),0)+IFERROR(ROUND(VLOOKUP($A72,S275_21,26,FALSE)*VLOOKUP($A72,'3121% SY'!$C$3:$M$324,11,FALSE),3),0)+IFERROR(ROUND(VLOOKUP($A72,S275_21,27,FALSE)*VLOOKUP($A72,'3121% SY'!$C$3:$M$324,11,FALSE),3),0)+IFERROR(ROUND(VLOOKUP($A72,S275_21,28,FALSE)*VLOOKUP($A72,'3121% SY'!$C$3:$M$324,11,FALSE),3),0)+IFERROR(VLOOKUP($A72,S275_09,10,FALSE),0)</f>
        <v>0</v>
      </c>
      <c r="X72" s="267">
        <f>IFERROR(VLOOKUP($A72,Supp_46,14,FALSE),0)+IFERROR(SUMPRODUCT(VLOOKUP($A72,S275_01,{29,30,31},FALSE)),0)+IFERROR(SUMPRODUCT(VLOOKUP($A72,S275_97,{29,30,31},FALSE)),0)+IFERROR(ROUND(VLOOKUP($A72,S275_21,29,FALSE)*VLOOKUP($A72,'3121% SY'!$C$3:$M$324,11,FALSE),3),0)+IFERROR(ROUND(VLOOKUP($A72,S275_21,30,FALSE)*VLOOKUP($A72,'3121% SY'!$C$3:$M$324,11,FALSE),3),0)+IFERROR(ROUND(VLOOKUP($A72,S275_21,31,FALSE)*VLOOKUP($A72,'3121% SY'!$C$3:$M$324,11,FALSE),3),0)+IFERROR(VLOOKUP($A72,S275_09,11,FALSE),0)</f>
        <v>0</v>
      </c>
      <c r="Y72" s="267">
        <f>IFERROR(VLOOKUP($A72,Supp_47,14,FALSE),0)+IFERROR(SUMPRODUCT(VLOOKUP($A72,S275_01,{32,33,34},FALSE)),0)+IFERROR(SUMPRODUCT(VLOOKUP($A72,S275_97,{32,33,34},FALSE)),0)+IFERROR(ROUND(VLOOKUP($A72,S275_21,32,FALSE)*VLOOKUP($A72,'3121% SY'!$C$3:$M$324,11,FALSE),3),0)+IFERROR(ROUND(VLOOKUP($A72,S275_21,33,FALSE)*VLOOKUP($A72,'3121% SY'!$C$3:$M$324,11,FALSE),3),0)+IFERROR(ROUND(VLOOKUP($A72,S275_21,34,FALSE)*VLOOKUP($A72,'3121% SY'!$C$3:$M$324,11,FALSE),3),0)+IFERROR(VLOOKUP($A72,S275_09,12,FALSE),0)</f>
        <v>0</v>
      </c>
      <c r="Z72" s="267">
        <f>IFERROR(VLOOKUP($A72,Supp_48,14,FALSE),0)+IFERROR(SUMPRODUCT(VLOOKUP($A72,S275_01,{35,36,37},FALSE)),0)+IFERROR(SUMPRODUCT(VLOOKUP($A72,S275_97,{35,36,37},FALSE)),0)+IFERROR(ROUND(VLOOKUP($A72,S275_21,35,FALSE)*VLOOKUP($A72,'3121% SY'!$C$3:$M$324,11,FALSE),3),0)+IFERROR(ROUND(VLOOKUP($A72,S275_21,36,FALSE)*VLOOKUP($A72,'3121% SY'!$C$3:$M$324,11,FALSE),3),0)+IFERROR(ROUND(VLOOKUP($A72,S275_21,37,FALSE)*VLOOKUP($A72,'3121% SY'!$C$3:$M$324,11,FALSE),3),0)+IFERROR(VLOOKUP($A72,S275_09,13,FALSE),0)</f>
        <v>0</v>
      </c>
      <c r="AA72" s="267">
        <f>IFERROR(VLOOKUP($A72,Supp_49,14,FALSE),0)+IFERROR(SUMPRODUCT(VLOOKUP($A72,S275_01,{38,39,40},FALSE)),0)+IFERROR(SUMPRODUCT(VLOOKUP($A72,S275_97,{38,39,40},FALSE)),0)+IFERROR(ROUND(VLOOKUP($A72,S275_21,38,FALSE)*VLOOKUP($A72,'3121% SY'!$C$3:$M$324,11,FALSE),3),0)+IFERROR(ROUND(VLOOKUP($A72,S275_21,39,FALSE)*VLOOKUP($A72,'3121% SY'!$C$3:$M$324,11,FALSE),3),0)+IFERROR(ROUND(VLOOKUP($A72,S275_21,40,FALSE)*VLOOKUP($A72,'3121% SY'!$C$3:$M$324,11,FALSE),3),0)+IFERROR(VLOOKUP($A72,S275_09,14,FALSE),0)</f>
        <v>0</v>
      </c>
      <c r="AB72" s="267">
        <f>IFERROR(VLOOKUP($A72,Supp_64,14,FALSE),0)+IFERROR(SUMPRODUCT(VLOOKUP($A72,S275_01,{41,42,43},FALSE)),0)+IFERROR(SUMPRODUCT(VLOOKUP($A72,S275_97,{41,42,43},FALSE)),0)+IFERROR(ROUND(VLOOKUP($A72,S275_21,41,FALSE)*VLOOKUP($A72,'3121% SY'!$C$3:$M$324,11,FALSE),3),0)+IFERROR(ROUND(VLOOKUP($A72,S275_21,42,FALSE)*VLOOKUP($A72,'3121% SY'!$C$3:$M$324,11,FALSE),3),0)+IFERROR(ROUND(VLOOKUP($A72,S275_21,43,FALSE)*VLOOKUP($A72,'3121% SY'!$C$3:$M$324,11,FALSE),3),0)+IFERROR(VLOOKUP($A72,S275_09,15,FALSE),0)</f>
        <v>0</v>
      </c>
      <c r="AC72" s="268">
        <f t="shared" si="25"/>
        <v>0</v>
      </c>
      <c r="AD72" s="267">
        <f>IFERROR(VLOOKUP($A72,Supp_24,14,FALSE),0)+IFERROR(SUMPRODUCT(VLOOKUP($A72,S275_01,{2,3,4},FALSE)),0)+IFERROR(SUMPRODUCT(VLOOKUP($A72,S275_97,{2,3,4},FALSE)),0)+IFERROR(ROUND(VLOOKUP($A72,S275_21,2,FALSE)*VLOOKUP($A72,'3121% SY'!$C$3:$M$324,11,FALSE),3),0)+IFERROR(ROUND(VLOOKUP($A72,S275_21,3,FALSE)*VLOOKUP($A72,'3121% SY'!$C$3:$M$324,11,FALSE),3),0)+IFERROR(ROUND(VLOOKUP($A72,S275_21,4,FALSE)*VLOOKUP($A72,'3121% SY'!$C$3:$M$324,11,FALSE),3),0)+IFERROR(VLOOKUP($A72,S275_09,2,FALSE),0)</f>
        <v>0</v>
      </c>
      <c r="AE72" s="267">
        <f>IFERROR(VLOOKUP($A72,Supp_25,14,FALSE),0)+IFERROR(SUMPRODUCT(VLOOKUP($A72,S275_01,{5,6,7},FALSE)),0)+IFERROR(SUMPRODUCT(VLOOKUP($A72,S275_97,{5,6,7},FALSE)),0)+IFERROR(ROUND(VLOOKUP($A72,S275_21,5,FALSE)*VLOOKUP($A72,'3121% SY'!$C$3:$M$324,11,FALSE),3),0)+IFERROR(ROUND(VLOOKUP($A72,S275_21,6,FALSE)*VLOOKUP($A72,'3121% SY'!$C$3:$M$324,11,FALSE),3),0)+IFERROR(ROUND(VLOOKUP($A72,S275_21,7,FALSE)*VLOOKUP($A72,'3121% SY'!$C$3:$M$324,11,FALSE),3),0)+IFERROR(VLOOKUP($A72,S275_09,3,FALSE),0)</f>
        <v>0</v>
      </c>
      <c r="AF72" s="267">
        <f>IFERROR(VLOOKUP($A72,Supp_26,14,FALSE),0)+IFERROR(SUMPRODUCT(VLOOKUP($A72,S275_01,{8,9,10},FALSE)),0)+IFERROR(SUMPRODUCT(VLOOKUP($A72,S275_97,{8,9,10},FALSE)),0)+IFERROR(ROUND(VLOOKUP($A72,S275_21,8,FALSE)*VLOOKUP($A72,'3121% SY'!$C$3:$M$324,11,FALSE),3),0)+IFERROR(ROUND(VLOOKUP($A72,S275_21,9,FALSE)*VLOOKUP($A72,'3121% SY'!$C$3:$M$324,11,FALSE),3),0)+IFERROR(ROUND(VLOOKUP($A72,S275_21,10,FALSE)*VLOOKUP($A72,'3121% SY'!$C$3:$M$324,11,FALSE),3),0)+IFERROR(VLOOKUP($A72,S275_09,4,FALSE),0)</f>
        <v>0</v>
      </c>
      <c r="AG72" s="267">
        <f>IFERROR(VLOOKUP($A72,Supp_35,14,FALSE),0)+IFERROR(SUMPRODUCT(VLOOKUP($A72,S275_01,{11,12,13},FALSE)),0)+IFERROR(SUMPRODUCT(VLOOKUP($A72,S275_97,{11,12,13},FALSE)),0)+IFERROR(ROUND(VLOOKUP($A72,S275_21,11,FALSE)*VLOOKUP($A72,'3121% SY'!$C$3:$M$324,11,FALSE),3),0)+IFERROR(ROUND(VLOOKUP($A72,S275_21,12,FALSE)*VLOOKUP($A72,'3121% SY'!$C$3:$M$324,11,FALSE),3),0)+IFERROR(ROUND(VLOOKUP($A72,S275_21,13,FALSE)*VLOOKUP($A72,'3121% SY'!$C$3:$M$324,11,FALSE),3),0)+IFERROR(VLOOKUP($A72,S275_09,5,FALSE),0)</f>
        <v>0</v>
      </c>
      <c r="AH72" s="165">
        <f t="shared" si="26"/>
        <v>0</v>
      </c>
      <c r="AI72" s="161">
        <f>IFERROR(VLOOKUP(A72,'Supp Staff Data'!A:ER,148,FALSE),0)+AB72</f>
        <v>0</v>
      </c>
      <c r="AJ72" s="174">
        <v>0.9</v>
      </c>
      <c r="AK72" s="25">
        <f>VLOOKUP(A72,'Enroll Data as of January 2025'!$A$3:$T$323,20,FALSE)-F72</f>
        <v>0</v>
      </c>
    </row>
    <row r="73" spans="1:37" x14ac:dyDescent="0.25">
      <c r="A73" s="171" t="s">
        <v>49</v>
      </c>
      <c r="B73" t="s">
        <v>345</v>
      </c>
      <c r="C73" s="173" t="s">
        <v>1077</v>
      </c>
      <c r="D73" s="259">
        <f t="shared" si="19"/>
        <v>0.57900000000000007</v>
      </c>
      <c r="E73" s="259">
        <f t="shared" si="20"/>
        <v>0.13900000000000001</v>
      </c>
      <c r="F73" s="262">
        <f t="shared" si="18"/>
        <v>-0.44</v>
      </c>
      <c r="G73" s="161">
        <f>ROUND(IF(F73&lt;0,F73*'2024-25 PSES Compliance'!$G$13,0),3)</f>
        <v>-0.42199999999999999</v>
      </c>
      <c r="H73" s="161">
        <f>ROUND(IF(F73&lt;0,F73*'2024-25 PSES Compliance'!$G$14,0),3)</f>
        <v>-1.7999999999999999E-2</v>
      </c>
      <c r="I73" s="174">
        <f t="shared" si="21"/>
        <v>0</v>
      </c>
      <c r="J73" s="174">
        <f t="shared" si="22"/>
        <v>0</v>
      </c>
      <c r="K73" s="161">
        <f>VLOOKUP($A73,'Enroll Data as of January 2025'!$A$3:$M$322,6,FALSE)</f>
        <v>0.27900000000000003</v>
      </c>
      <c r="L73" s="161">
        <f>VLOOKUP($A73,'Enroll Data as of January 2025'!$A$3:$M$322,7,FALSE)</f>
        <v>7.3999999999999996E-2</v>
      </c>
      <c r="M73" s="161">
        <f>VLOOKUP($A73,'Enroll Data as of January 2025'!$A$3:$M$322,8,FALSE)</f>
        <v>2.5000000000000001E-2</v>
      </c>
      <c r="N73" s="161">
        <f>VLOOKUP($A73,'Enroll Data as of January 2025'!$A$3:$M$322,9,FALSE)</f>
        <v>0.161</v>
      </c>
      <c r="O73" s="165">
        <f t="shared" si="23"/>
        <v>0.53900000000000003</v>
      </c>
      <c r="P73" s="161">
        <f>VLOOKUP($A73,'Enroll Data as of January 2025'!$A$3:$M$322,11,FALSE)</f>
        <v>2.0999999999999998E-2</v>
      </c>
      <c r="Q73" s="161">
        <f>VLOOKUP($A73,'Enroll Data as of January 2025'!$A$3:$M$322,12,FALSE)</f>
        <v>1.9E-2</v>
      </c>
      <c r="R73" s="165">
        <f t="shared" si="24"/>
        <v>3.9999999999999994E-2</v>
      </c>
      <c r="S73" s="267">
        <f>IFERROR(VLOOKUP($A73,Supp_39,14,FALSE),0)+IFERROR(SUMPRODUCT(VLOOKUP($A73,S275_01,{14,15,16},FALSE)),0)+IFERROR(SUMPRODUCT(VLOOKUP($A73,S275_97,{14,15,16},FALSE)),0)+IFERROR(ROUND(VLOOKUP($A73,S275_21,14,FALSE)*VLOOKUP($A73,'3121% SY'!$C$3:$M$324,11,FALSE),3),0)+IFERROR(ROUND(VLOOKUP($A73,S275_21,15,FALSE)*VLOOKUP($A73,'3121% SY'!$C$3:$M$324,11,FALSE),3),0)+IFERROR(ROUND(VLOOKUP($A73,S275_21,16,FALSE)*VLOOKUP($A73,'3121% SY'!$C$3:$M$324,11,FALSE),3),0)+IFERROR(VLOOKUP($A73,S275_09,6,FALSE),0)</f>
        <v>0</v>
      </c>
      <c r="T73" s="267">
        <f>IFERROR(VLOOKUP($A73,Supp_42,14,FALSE),0)+IFERROR(SUMPRODUCT(VLOOKUP($A73,S275_01,{17,18,19},FALSE)),0)+IFERROR(SUMPRODUCT(VLOOKUP($A73,S275_97,{17,18,19},FALSE)),0)+IFERROR(ROUND(VLOOKUP($A73,S275_21,17,FALSE)*VLOOKUP($A73,'3121% SY'!$C$3:$M$324,11,FALSE),3),0)+IFERROR(ROUND(VLOOKUP($A73,S275_21,18,FALSE)*VLOOKUP($A73,'3121% SY'!$C$3:$M$324,11,FALSE),3),0)+IFERROR(ROUND(VLOOKUP($A73,S275_21,19,FALSE)*VLOOKUP($A73,'3121% SY'!$C$3:$M$324,11,FALSE),3),0)+IFERROR(VLOOKUP($A73,S275_09,7,FALSE),0)</f>
        <v>0</v>
      </c>
      <c r="U73" s="267">
        <f>IFERROR(VLOOKUP($A73,Supp_43,14,FALSE),0)+IFERROR(SUMPRODUCT(VLOOKUP($A73,S275_01,{20,21,22},FALSE)),0)+IFERROR(SUMPRODUCT(VLOOKUP($A73,S275_97,{20,21,22},FALSE)),0)+IFERROR(ROUND(VLOOKUP($A73,S275_21,20,FALSE)*VLOOKUP($A73,'3121% SY'!$C$3:$M$324,11,FALSE),3),0)+IFERROR(ROUND(VLOOKUP($A73,S275_21,21,FALSE)*VLOOKUP($A73,'3121% SY'!$C$3:$M$324,11,FALSE),3),0)+IFERROR(ROUND(VLOOKUP($A73,S275_21,22,FALSE)*VLOOKUP($A73,'3121% SY'!$C$3:$M$324,11,FALSE),3),0)+IFERROR(VLOOKUP($A73,S275_09,8,FALSE),0)</f>
        <v>0</v>
      </c>
      <c r="V73" s="267">
        <f>IFERROR(VLOOKUP($A73,Supp_44,14,FALSE),0)+IFERROR(SUMPRODUCT(VLOOKUP($A73,S275_01,{23,24,25},FALSE)),0)+IFERROR(SUMPRODUCT(VLOOKUP($A73,S275_97,{23,24,25},FALSE)),0)+IFERROR(ROUND(VLOOKUP($A73,S275_21,23,FALSE)*VLOOKUP($A73,'3121% SY'!$C$3:$M$324,11,FALSE),3),0)+IFERROR(ROUND(VLOOKUP($A73,S275_21,24,FALSE)*VLOOKUP($A73,'3121% SY'!$C$3:$M$324,11,FALSE),3),0)+IFERROR(ROUND(VLOOKUP($A73,S275_21,25,FALSE)*VLOOKUP($A73,'3121% SY'!$C$3:$M$324,11,FALSE),3),0)+IFERROR(VLOOKUP($A73,S275_09,9,FALSE),0)</f>
        <v>0</v>
      </c>
      <c r="W73" s="267">
        <f>IFERROR(VLOOKUP($A73,Supp_45,14,FALSE),0)+IFERROR(SUMPRODUCT(VLOOKUP($A73,S275_01,{26,27,28},FALSE)),0)+IFERROR(SUMPRODUCT(VLOOKUP($A73,S275_97,{26,27,28},FALSE)),0)+IFERROR(ROUND(VLOOKUP($A73,S275_21,26,FALSE)*VLOOKUP($A73,'3121% SY'!$C$3:$M$324,11,FALSE),3),0)+IFERROR(ROUND(VLOOKUP($A73,S275_21,27,FALSE)*VLOOKUP($A73,'3121% SY'!$C$3:$M$324,11,FALSE),3),0)+IFERROR(ROUND(VLOOKUP($A73,S275_21,28,FALSE)*VLOOKUP($A73,'3121% SY'!$C$3:$M$324,11,FALSE),3),0)+IFERROR(VLOOKUP($A73,S275_09,10,FALSE),0)</f>
        <v>0</v>
      </c>
      <c r="X73" s="267">
        <f>IFERROR(VLOOKUP($A73,Supp_46,14,FALSE),0)+IFERROR(SUMPRODUCT(VLOOKUP($A73,S275_01,{29,30,31},FALSE)),0)+IFERROR(SUMPRODUCT(VLOOKUP($A73,S275_97,{29,30,31},FALSE)),0)+IFERROR(ROUND(VLOOKUP($A73,S275_21,29,FALSE)*VLOOKUP($A73,'3121% SY'!$C$3:$M$324,11,FALSE),3),0)+IFERROR(ROUND(VLOOKUP($A73,S275_21,30,FALSE)*VLOOKUP($A73,'3121% SY'!$C$3:$M$324,11,FALSE),3),0)+IFERROR(ROUND(VLOOKUP($A73,S275_21,31,FALSE)*VLOOKUP($A73,'3121% SY'!$C$3:$M$324,11,FALSE),3),0)+IFERROR(VLOOKUP($A73,S275_09,11,FALSE),0)</f>
        <v>0</v>
      </c>
      <c r="Y73" s="267">
        <f>IFERROR(VLOOKUP($A73,Supp_47,14,FALSE),0)+IFERROR(SUMPRODUCT(VLOOKUP($A73,S275_01,{32,33,34},FALSE)),0)+IFERROR(SUMPRODUCT(VLOOKUP($A73,S275_97,{32,33,34},FALSE)),0)+IFERROR(ROUND(VLOOKUP($A73,S275_21,32,FALSE)*VLOOKUP($A73,'3121% SY'!$C$3:$M$324,11,FALSE),3),0)+IFERROR(ROUND(VLOOKUP($A73,S275_21,33,FALSE)*VLOOKUP($A73,'3121% SY'!$C$3:$M$324,11,FALSE),3),0)+IFERROR(ROUND(VLOOKUP($A73,S275_21,34,FALSE)*VLOOKUP($A73,'3121% SY'!$C$3:$M$324,11,FALSE),3),0)+IFERROR(VLOOKUP($A73,S275_09,12,FALSE),0)</f>
        <v>0</v>
      </c>
      <c r="Z73" s="267">
        <f>IFERROR(VLOOKUP($A73,Supp_48,14,FALSE),0)+IFERROR(SUMPRODUCT(VLOOKUP($A73,S275_01,{35,36,37},FALSE)),0)+IFERROR(SUMPRODUCT(VLOOKUP($A73,S275_97,{35,36,37},FALSE)),0)+IFERROR(ROUND(VLOOKUP($A73,S275_21,35,FALSE)*VLOOKUP($A73,'3121% SY'!$C$3:$M$324,11,FALSE),3),0)+IFERROR(ROUND(VLOOKUP($A73,S275_21,36,FALSE)*VLOOKUP($A73,'3121% SY'!$C$3:$M$324,11,FALSE),3),0)+IFERROR(ROUND(VLOOKUP($A73,S275_21,37,FALSE)*VLOOKUP($A73,'3121% SY'!$C$3:$M$324,11,FALSE),3),0)+IFERROR(VLOOKUP($A73,S275_09,13,FALSE),0)</f>
        <v>0</v>
      </c>
      <c r="AA73" s="267">
        <f>IFERROR(VLOOKUP($A73,Supp_49,14,FALSE),0)+IFERROR(SUMPRODUCT(VLOOKUP($A73,S275_01,{38,39,40},FALSE)),0)+IFERROR(SUMPRODUCT(VLOOKUP($A73,S275_97,{38,39,40},FALSE)),0)+IFERROR(ROUND(VLOOKUP($A73,S275_21,38,FALSE)*VLOOKUP($A73,'3121% SY'!$C$3:$M$324,11,FALSE),3),0)+IFERROR(ROUND(VLOOKUP($A73,S275_21,39,FALSE)*VLOOKUP($A73,'3121% SY'!$C$3:$M$324,11,FALSE),3),0)+IFERROR(ROUND(VLOOKUP($A73,S275_21,40,FALSE)*VLOOKUP($A73,'3121% SY'!$C$3:$M$324,11,FALSE),3),0)+IFERROR(VLOOKUP($A73,S275_09,14,FALSE),0)</f>
        <v>0</v>
      </c>
      <c r="AB73" s="267">
        <f>IFERROR(VLOOKUP($A73,Supp_64,14,FALSE),0)+IFERROR(SUMPRODUCT(VLOOKUP($A73,S275_01,{41,42,43},FALSE)),0)+IFERROR(SUMPRODUCT(VLOOKUP($A73,S275_97,{41,42,43},FALSE)),0)+IFERROR(ROUND(VLOOKUP($A73,S275_21,41,FALSE)*VLOOKUP($A73,'3121% SY'!$C$3:$M$324,11,FALSE),3),0)+IFERROR(ROUND(VLOOKUP($A73,S275_21,42,FALSE)*VLOOKUP($A73,'3121% SY'!$C$3:$M$324,11,FALSE),3),0)+IFERROR(ROUND(VLOOKUP($A73,S275_21,43,FALSE)*VLOOKUP($A73,'3121% SY'!$C$3:$M$324,11,FALSE),3),0)+IFERROR(VLOOKUP($A73,S275_09,15,FALSE),0)</f>
        <v>0</v>
      </c>
      <c r="AC73" s="268">
        <f t="shared" si="25"/>
        <v>0</v>
      </c>
      <c r="AD73" s="267">
        <f>IFERROR(VLOOKUP($A73,Supp_24,14,FALSE),0)+IFERROR(SUMPRODUCT(VLOOKUP($A73,S275_01,{2,3,4},FALSE)),0)+IFERROR(SUMPRODUCT(VLOOKUP($A73,S275_97,{2,3,4},FALSE)),0)+IFERROR(ROUND(VLOOKUP($A73,S275_21,2,FALSE)*VLOOKUP($A73,'3121% SY'!$C$3:$M$324,11,FALSE),3),0)+IFERROR(ROUND(VLOOKUP($A73,S275_21,3,FALSE)*VLOOKUP($A73,'3121% SY'!$C$3:$M$324,11,FALSE),3),0)+IFERROR(ROUND(VLOOKUP($A73,S275_21,4,FALSE)*VLOOKUP($A73,'3121% SY'!$C$3:$M$324,11,FALSE),3),0)+IFERROR(VLOOKUP($A73,S275_09,2,FALSE),0)</f>
        <v>0</v>
      </c>
      <c r="AE73" s="267">
        <f>IFERROR(VLOOKUP($A73,Supp_25,14,FALSE),0)+IFERROR(SUMPRODUCT(VLOOKUP($A73,S275_01,{5,6,7},FALSE)),0)+IFERROR(SUMPRODUCT(VLOOKUP($A73,S275_97,{5,6,7},FALSE)),0)+IFERROR(ROUND(VLOOKUP($A73,S275_21,5,FALSE)*VLOOKUP($A73,'3121% SY'!$C$3:$M$324,11,FALSE),3),0)+IFERROR(ROUND(VLOOKUP($A73,S275_21,6,FALSE)*VLOOKUP($A73,'3121% SY'!$C$3:$M$324,11,FALSE),3),0)+IFERROR(ROUND(VLOOKUP($A73,S275_21,7,FALSE)*VLOOKUP($A73,'3121% SY'!$C$3:$M$324,11,FALSE),3),0)+IFERROR(VLOOKUP($A73,S275_09,3,FALSE),0)</f>
        <v>0</v>
      </c>
      <c r="AF73" s="267">
        <f>IFERROR(VLOOKUP($A73,Supp_26,14,FALSE),0)+IFERROR(SUMPRODUCT(VLOOKUP($A73,S275_01,{8,9,10},FALSE)),0)+IFERROR(SUMPRODUCT(VLOOKUP($A73,S275_97,{8,9,10},FALSE)),0)+IFERROR(ROUND(VLOOKUP($A73,S275_21,8,FALSE)*VLOOKUP($A73,'3121% SY'!$C$3:$M$324,11,FALSE),3),0)+IFERROR(ROUND(VLOOKUP($A73,S275_21,9,FALSE)*VLOOKUP($A73,'3121% SY'!$C$3:$M$324,11,FALSE),3),0)+IFERROR(ROUND(VLOOKUP($A73,S275_21,10,FALSE)*VLOOKUP($A73,'3121% SY'!$C$3:$M$324,11,FALSE),3),0)+IFERROR(VLOOKUP($A73,S275_09,4,FALSE),0)</f>
        <v>0.13900000000000001</v>
      </c>
      <c r="AG73" s="267">
        <f>IFERROR(VLOOKUP($A73,Supp_35,14,FALSE),0)+IFERROR(SUMPRODUCT(VLOOKUP($A73,S275_01,{11,12,13},FALSE)),0)+IFERROR(SUMPRODUCT(VLOOKUP($A73,S275_97,{11,12,13},FALSE)),0)+IFERROR(ROUND(VLOOKUP($A73,S275_21,11,FALSE)*VLOOKUP($A73,'3121% SY'!$C$3:$M$324,11,FALSE),3),0)+IFERROR(ROUND(VLOOKUP($A73,S275_21,12,FALSE)*VLOOKUP($A73,'3121% SY'!$C$3:$M$324,11,FALSE),3),0)+IFERROR(ROUND(VLOOKUP($A73,S275_21,13,FALSE)*VLOOKUP($A73,'3121% SY'!$C$3:$M$324,11,FALSE),3),0)+IFERROR(VLOOKUP($A73,S275_09,5,FALSE),0)</f>
        <v>0</v>
      </c>
      <c r="AH73" s="165">
        <f t="shared" si="26"/>
        <v>0.13900000000000001</v>
      </c>
      <c r="AI73" s="161">
        <f>IFERROR(VLOOKUP(A73,'Supp Staff Data'!A:ER,148,FALSE),0)+AB73</f>
        <v>0</v>
      </c>
      <c r="AJ73" s="174">
        <v>0.96</v>
      </c>
      <c r="AK73" s="25">
        <f>VLOOKUP(A73,'Enroll Data as of January 2025'!$A$3:$T$323,20,FALSE)-F73</f>
        <v>0</v>
      </c>
    </row>
    <row r="74" spans="1:37" x14ac:dyDescent="0.25">
      <c r="A74" s="171" t="s">
        <v>51</v>
      </c>
      <c r="B74" t="s">
        <v>347</v>
      </c>
      <c r="C74" s="173" t="s">
        <v>1077</v>
      </c>
      <c r="D74" s="259">
        <f t="shared" si="19"/>
        <v>0.17000000000000004</v>
      </c>
      <c r="E74" s="259">
        <f t="shared" si="20"/>
        <v>9.6000000000000002E-2</v>
      </c>
      <c r="F74" s="262">
        <f t="shared" si="18"/>
        <v>-7.3999999999999996E-2</v>
      </c>
      <c r="G74" s="161">
        <f>ROUND(IF(F74&lt;0,F74*'2024-25 PSES Compliance'!$G$13,0),3)</f>
        <v>-7.0999999999999994E-2</v>
      </c>
      <c r="H74" s="161">
        <f>ROUND(IF(F74&lt;0,F74*'2024-25 PSES Compliance'!$G$14,0),3)</f>
        <v>-3.0000000000000001E-3</v>
      </c>
      <c r="I74" s="174">
        <f t="shared" si="21"/>
        <v>0</v>
      </c>
      <c r="J74" s="174">
        <f t="shared" si="22"/>
        <v>0</v>
      </c>
      <c r="K74" s="161">
        <f>VLOOKUP($A74,'Enroll Data as of January 2025'!$A$3:$M$322,6,FALSE)</f>
        <v>7.8E-2</v>
      </c>
      <c r="L74" s="161">
        <f>VLOOKUP($A74,'Enroll Data as of January 2025'!$A$3:$M$322,7,FALSE)</f>
        <v>2.5000000000000001E-2</v>
      </c>
      <c r="M74" s="161">
        <f>VLOOKUP($A74,'Enroll Data as of January 2025'!$A$3:$M$322,8,FALSE)</f>
        <v>8.0000000000000002E-3</v>
      </c>
      <c r="N74" s="161">
        <f>VLOOKUP($A74,'Enroll Data as of January 2025'!$A$3:$M$322,9,FALSE)</f>
        <v>4.5999999999999999E-2</v>
      </c>
      <c r="O74" s="165">
        <f t="shared" si="23"/>
        <v>0.15700000000000003</v>
      </c>
      <c r="P74" s="161">
        <f>VLOOKUP($A74,'Enroll Data as of January 2025'!$A$3:$M$322,11,FALSE)</f>
        <v>6.0000000000000001E-3</v>
      </c>
      <c r="Q74" s="161">
        <f>VLOOKUP($A74,'Enroll Data as of January 2025'!$A$3:$M$322,12,FALSE)</f>
        <v>7.0000000000000001E-3</v>
      </c>
      <c r="R74" s="165">
        <f t="shared" si="24"/>
        <v>1.3000000000000001E-2</v>
      </c>
      <c r="S74" s="267">
        <f>IFERROR(VLOOKUP($A74,Supp_39,14,FALSE),0)+IFERROR(SUMPRODUCT(VLOOKUP($A74,S275_01,{14,15,16},FALSE)),0)+IFERROR(SUMPRODUCT(VLOOKUP($A74,S275_97,{14,15,16},FALSE)),0)+IFERROR(ROUND(VLOOKUP($A74,S275_21,14,FALSE)*VLOOKUP($A74,'3121% SY'!$C$3:$M$324,11,FALSE),3),0)+IFERROR(ROUND(VLOOKUP($A74,S275_21,15,FALSE)*VLOOKUP($A74,'3121% SY'!$C$3:$M$324,11,FALSE),3),0)+IFERROR(ROUND(VLOOKUP($A74,S275_21,16,FALSE)*VLOOKUP($A74,'3121% SY'!$C$3:$M$324,11,FALSE),3),0)+IFERROR(VLOOKUP($A74,S275_09,6,FALSE),0)</f>
        <v>0</v>
      </c>
      <c r="T74" s="267">
        <f>IFERROR(VLOOKUP($A74,Supp_42,14,FALSE),0)+IFERROR(SUMPRODUCT(VLOOKUP($A74,S275_01,{17,18,19},FALSE)),0)+IFERROR(SUMPRODUCT(VLOOKUP($A74,S275_97,{17,18,19},FALSE)),0)+IFERROR(ROUND(VLOOKUP($A74,S275_21,17,FALSE)*VLOOKUP($A74,'3121% SY'!$C$3:$M$324,11,FALSE),3),0)+IFERROR(ROUND(VLOOKUP($A74,S275_21,18,FALSE)*VLOOKUP($A74,'3121% SY'!$C$3:$M$324,11,FALSE),3),0)+IFERROR(ROUND(VLOOKUP($A74,S275_21,19,FALSE)*VLOOKUP($A74,'3121% SY'!$C$3:$M$324,11,FALSE),3),0)+IFERROR(VLOOKUP($A74,S275_09,7,FALSE),0)</f>
        <v>0</v>
      </c>
      <c r="U74" s="267">
        <f>IFERROR(VLOOKUP($A74,Supp_43,14,FALSE),0)+IFERROR(SUMPRODUCT(VLOOKUP($A74,S275_01,{20,21,22},FALSE)),0)+IFERROR(SUMPRODUCT(VLOOKUP($A74,S275_97,{20,21,22},FALSE)),0)+IFERROR(ROUND(VLOOKUP($A74,S275_21,20,FALSE)*VLOOKUP($A74,'3121% SY'!$C$3:$M$324,11,FALSE),3),0)+IFERROR(ROUND(VLOOKUP($A74,S275_21,21,FALSE)*VLOOKUP($A74,'3121% SY'!$C$3:$M$324,11,FALSE),3),0)+IFERROR(ROUND(VLOOKUP($A74,S275_21,22,FALSE)*VLOOKUP($A74,'3121% SY'!$C$3:$M$324,11,FALSE),3),0)+IFERROR(VLOOKUP($A74,S275_09,8,FALSE),0)</f>
        <v>0</v>
      </c>
      <c r="V74" s="267">
        <f>IFERROR(VLOOKUP($A74,Supp_44,14,FALSE),0)+IFERROR(SUMPRODUCT(VLOOKUP($A74,S275_01,{23,24,25},FALSE)),0)+IFERROR(SUMPRODUCT(VLOOKUP($A74,S275_97,{23,24,25},FALSE)),0)+IFERROR(ROUND(VLOOKUP($A74,S275_21,23,FALSE)*VLOOKUP($A74,'3121% SY'!$C$3:$M$324,11,FALSE),3),0)+IFERROR(ROUND(VLOOKUP($A74,S275_21,24,FALSE)*VLOOKUP($A74,'3121% SY'!$C$3:$M$324,11,FALSE),3),0)+IFERROR(ROUND(VLOOKUP($A74,S275_21,25,FALSE)*VLOOKUP($A74,'3121% SY'!$C$3:$M$324,11,FALSE),3),0)+IFERROR(VLOOKUP($A74,S275_09,9,FALSE),0)</f>
        <v>0</v>
      </c>
      <c r="W74" s="267">
        <f>IFERROR(VLOOKUP($A74,Supp_45,14,FALSE),0)+IFERROR(SUMPRODUCT(VLOOKUP($A74,S275_01,{26,27,28},FALSE)),0)+IFERROR(SUMPRODUCT(VLOOKUP($A74,S275_97,{26,27,28},FALSE)),0)+IFERROR(ROUND(VLOOKUP($A74,S275_21,26,FALSE)*VLOOKUP($A74,'3121% SY'!$C$3:$M$324,11,FALSE),3),0)+IFERROR(ROUND(VLOOKUP($A74,S275_21,27,FALSE)*VLOOKUP($A74,'3121% SY'!$C$3:$M$324,11,FALSE),3),0)+IFERROR(ROUND(VLOOKUP($A74,S275_21,28,FALSE)*VLOOKUP($A74,'3121% SY'!$C$3:$M$324,11,FALSE),3),0)+IFERROR(VLOOKUP($A74,S275_09,10,FALSE),0)</f>
        <v>0</v>
      </c>
      <c r="X74" s="267">
        <f>IFERROR(VLOOKUP($A74,Supp_46,14,FALSE),0)+IFERROR(SUMPRODUCT(VLOOKUP($A74,S275_01,{29,30,31},FALSE)),0)+IFERROR(SUMPRODUCT(VLOOKUP($A74,S275_97,{29,30,31},FALSE)),0)+IFERROR(ROUND(VLOOKUP($A74,S275_21,29,FALSE)*VLOOKUP($A74,'3121% SY'!$C$3:$M$324,11,FALSE),3),0)+IFERROR(ROUND(VLOOKUP($A74,S275_21,30,FALSE)*VLOOKUP($A74,'3121% SY'!$C$3:$M$324,11,FALSE),3),0)+IFERROR(ROUND(VLOOKUP($A74,S275_21,31,FALSE)*VLOOKUP($A74,'3121% SY'!$C$3:$M$324,11,FALSE),3),0)+IFERROR(VLOOKUP($A74,S275_09,11,FALSE),0)</f>
        <v>0</v>
      </c>
      <c r="Y74" s="267">
        <f>IFERROR(VLOOKUP($A74,Supp_47,14,FALSE),0)+IFERROR(SUMPRODUCT(VLOOKUP($A74,S275_01,{32,33,34},FALSE)),0)+IFERROR(SUMPRODUCT(VLOOKUP($A74,S275_97,{32,33,34},FALSE)),0)+IFERROR(ROUND(VLOOKUP($A74,S275_21,32,FALSE)*VLOOKUP($A74,'3121% SY'!$C$3:$M$324,11,FALSE),3),0)+IFERROR(ROUND(VLOOKUP($A74,S275_21,33,FALSE)*VLOOKUP($A74,'3121% SY'!$C$3:$M$324,11,FALSE),3),0)+IFERROR(ROUND(VLOOKUP($A74,S275_21,34,FALSE)*VLOOKUP($A74,'3121% SY'!$C$3:$M$324,11,FALSE),3),0)+IFERROR(VLOOKUP($A74,S275_09,12,FALSE),0)</f>
        <v>0</v>
      </c>
      <c r="Z74" s="267">
        <f>IFERROR(VLOOKUP($A74,Supp_48,14,FALSE),0)+IFERROR(SUMPRODUCT(VLOOKUP($A74,S275_01,{35,36,37},FALSE)),0)+IFERROR(SUMPRODUCT(VLOOKUP($A74,S275_97,{35,36,37},FALSE)),0)+IFERROR(ROUND(VLOOKUP($A74,S275_21,35,FALSE)*VLOOKUP($A74,'3121% SY'!$C$3:$M$324,11,FALSE),3),0)+IFERROR(ROUND(VLOOKUP($A74,S275_21,36,FALSE)*VLOOKUP($A74,'3121% SY'!$C$3:$M$324,11,FALSE),3),0)+IFERROR(ROUND(VLOOKUP($A74,S275_21,37,FALSE)*VLOOKUP($A74,'3121% SY'!$C$3:$M$324,11,FALSE),3),0)+IFERROR(VLOOKUP($A74,S275_09,13,FALSE),0)</f>
        <v>0</v>
      </c>
      <c r="AA74" s="267">
        <f>IFERROR(VLOOKUP($A74,Supp_49,14,FALSE),0)+IFERROR(SUMPRODUCT(VLOOKUP($A74,S275_01,{38,39,40},FALSE)),0)+IFERROR(SUMPRODUCT(VLOOKUP($A74,S275_97,{38,39,40},FALSE)),0)+IFERROR(ROUND(VLOOKUP($A74,S275_21,38,FALSE)*VLOOKUP($A74,'3121% SY'!$C$3:$M$324,11,FALSE),3),0)+IFERROR(ROUND(VLOOKUP($A74,S275_21,39,FALSE)*VLOOKUP($A74,'3121% SY'!$C$3:$M$324,11,FALSE),3),0)+IFERROR(ROUND(VLOOKUP($A74,S275_21,40,FALSE)*VLOOKUP($A74,'3121% SY'!$C$3:$M$324,11,FALSE),3),0)+IFERROR(VLOOKUP($A74,S275_09,14,FALSE),0)</f>
        <v>0</v>
      </c>
      <c r="AB74" s="267">
        <f>IFERROR(VLOOKUP($A74,Supp_64,14,FALSE),0)+IFERROR(SUMPRODUCT(VLOOKUP($A74,S275_01,{41,42,43},FALSE)),0)+IFERROR(SUMPRODUCT(VLOOKUP($A74,S275_97,{41,42,43},FALSE)),0)+IFERROR(ROUND(VLOOKUP($A74,S275_21,41,FALSE)*VLOOKUP($A74,'3121% SY'!$C$3:$M$324,11,FALSE),3),0)+IFERROR(ROUND(VLOOKUP($A74,S275_21,42,FALSE)*VLOOKUP($A74,'3121% SY'!$C$3:$M$324,11,FALSE),3),0)+IFERROR(ROUND(VLOOKUP($A74,S275_21,43,FALSE)*VLOOKUP($A74,'3121% SY'!$C$3:$M$324,11,FALSE),3),0)+IFERROR(VLOOKUP($A74,S275_09,15,FALSE),0)</f>
        <v>0</v>
      </c>
      <c r="AC74" s="268">
        <f t="shared" si="25"/>
        <v>0</v>
      </c>
      <c r="AD74" s="267">
        <f>IFERROR(VLOOKUP($A74,Supp_24,14,FALSE),0)+IFERROR(SUMPRODUCT(VLOOKUP($A74,S275_01,{2,3,4},FALSE)),0)+IFERROR(SUMPRODUCT(VLOOKUP($A74,S275_97,{2,3,4},FALSE)),0)+IFERROR(ROUND(VLOOKUP($A74,S275_21,2,FALSE)*VLOOKUP($A74,'3121% SY'!$C$3:$M$324,11,FALSE),3),0)+IFERROR(ROUND(VLOOKUP($A74,S275_21,3,FALSE)*VLOOKUP($A74,'3121% SY'!$C$3:$M$324,11,FALSE),3),0)+IFERROR(ROUND(VLOOKUP($A74,S275_21,4,FALSE)*VLOOKUP($A74,'3121% SY'!$C$3:$M$324,11,FALSE),3),0)+IFERROR(VLOOKUP($A74,S275_09,2,FALSE),0)</f>
        <v>0</v>
      </c>
      <c r="AE74" s="267">
        <f>IFERROR(VLOOKUP($A74,Supp_25,14,FALSE),0)+IFERROR(SUMPRODUCT(VLOOKUP($A74,S275_01,{5,6,7},FALSE)),0)+IFERROR(SUMPRODUCT(VLOOKUP($A74,S275_97,{5,6,7},FALSE)),0)+IFERROR(ROUND(VLOOKUP($A74,S275_21,5,FALSE)*VLOOKUP($A74,'3121% SY'!$C$3:$M$324,11,FALSE),3),0)+IFERROR(ROUND(VLOOKUP($A74,S275_21,6,FALSE)*VLOOKUP($A74,'3121% SY'!$C$3:$M$324,11,FALSE),3),0)+IFERROR(ROUND(VLOOKUP($A74,S275_21,7,FALSE)*VLOOKUP($A74,'3121% SY'!$C$3:$M$324,11,FALSE),3),0)+IFERROR(VLOOKUP($A74,S275_09,3,FALSE),0)</f>
        <v>9.6000000000000002E-2</v>
      </c>
      <c r="AF74" s="267">
        <f>IFERROR(VLOOKUP($A74,Supp_26,14,FALSE),0)+IFERROR(SUMPRODUCT(VLOOKUP($A74,S275_01,{8,9,10},FALSE)),0)+IFERROR(SUMPRODUCT(VLOOKUP($A74,S275_97,{8,9,10},FALSE)),0)+IFERROR(ROUND(VLOOKUP($A74,S275_21,8,FALSE)*VLOOKUP($A74,'3121% SY'!$C$3:$M$324,11,FALSE),3),0)+IFERROR(ROUND(VLOOKUP($A74,S275_21,9,FALSE)*VLOOKUP($A74,'3121% SY'!$C$3:$M$324,11,FALSE),3),0)+IFERROR(ROUND(VLOOKUP($A74,S275_21,10,FALSE)*VLOOKUP($A74,'3121% SY'!$C$3:$M$324,11,FALSE),3),0)+IFERROR(VLOOKUP($A74,S275_09,4,FALSE),0)</f>
        <v>0</v>
      </c>
      <c r="AG74" s="267">
        <f>IFERROR(VLOOKUP($A74,Supp_35,14,FALSE),0)+IFERROR(SUMPRODUCT(VLOOKUP($A74,S275_01,{11,12,13},FALSE)),0)+IFERROR(SUMPRODUCT(VLOOKUP($A74,S275_97,{11,12,13},FALSE)),0)+IFERROR(ROUND(VLOOKUP($A74,S275_21,11,FALSE)*VLOOKUP($A74,'3121% SY'!$C$3:$M$324,11,FALSE),3),0)+IFERROR(ROUND(VLOOKUP($A74,S275_21,12,FALSE)*VLOOKUP($A74,'3121% SY'!$C$3:$M$324,11,FALSE),3),0)+IFERROR(ROUND(VLOOKUP($A74,S275_21,13,FALSE)*VLOOKUP($A74,'3121% SY'!$C$3:$M$324,11,FALSE),3),0)+IFERROR(VLOOKUP($A74,S275_09,5,FALSE),0)</f>
        <v>0</v>
      </c>
      <c r="AH74" s="165">
        <f t="shared" si="26"/>
        <v>9.6000000000000002E-2</v>
      </c>
      <c r="AI74" s="161">
        <f>IFERROR(VLOOKUP(A74,'Supp Staff Data'!A:ER,148,FALSE),0)+AB74</f>
        <v>0</v>
      </c>
      <c r="AJ74" s="174">
        <v>0.98150000000000004</v>
      </c>
      <c r="AK74" s="25">
        <f>VLOOKUP(A74,'Enroll Data as of January 2025'!$A$3:$T$323,20,FALSE)-F74</f>
        <v>0</v>
      </c>
    </row>
    <row r="75" spans="1:37" x14ac:dyDescent="0.25">
      <c r="A75" s="171" t="s">
        <v>1106</v>
      </c>
      <c r="B75" t="s">
        <v>1238</v>
      </c>
      <c r="C75" s="173" t="s">
        <v>1077</v>
      </c>
      <c r="D75" s="259">
        <f t="shared" si="19"/>
        <v>0.32800000000000001</v>
      </c>
      <c r="E75" s="259">
        <f t="shared" si="20"/>
        <v>0</v>
      </c>
      <c r="F75" s="262">
        <f t="shared" si="18"/>
        <v>-0.32800000000000001</v>
      </c>
      <c r="G75" s="161">
        <f>ROUND(IF(F75&lt;0,F75*'2024-25 PSES Compliance'!$G$13,0),3)</f>
        <v>-0.315</v>
      </c>
      <c r="H75" s="161">
        <f>ROUND(IF(F75&lt;0,F75*'2024-25 PSES Compliance'!$G$14,0),3)</f>
        <v>-1.2999999999999999E-2</v>
      </c>
      <c r="I75" s="174">
        <f t="shared" si="21"/>
        <v>0</v>
      </c>
      <c r="J75" s="174">
        <f t="shared" si="22"/>
        <v>0</v>
      </c>
      <c r="K75" s="161">
        <f>VLOOKUP($A75,'Enroll Data as of January 2025'!$A$3:$M$322,6,FALSE)</f>
        <v>0.23799999999999999</v>
      </c>
      <c r="L75" s="161">
        <f>VLOOKUP($A75,'Enroll Data as of January 2025'!$A$3:$M$322,7,FALSE)</f>
        <v>0.01</v>
      </c>
      <c r="M75" s="161">
        <f>VLOOKUP($A75,'Enroll Data as of January 2025'!$A$3:$M$322,8,FALSE)</f>
        <v>4.0000000000000001E-3</v>
      </c>
      <c r="N75" s="161">
        <f>VLOOKUP($A75,'Enroll Data as of January 2025'!$A$3:$M$322,9,FALSE)</f>
        <v>6.5000000000000002E-2</v>
      </c>
      <c r="O75" s="165">
        <f t="shared" si="23"/>
        <v>0.317</v>
      </c>
      <c r="P75" s="161">
        <f>VLOOKUP($A75,'Enroll Data as of January 2025'!$A$3:$M$322,11,FALSE)</f>
        <v>1.0999999999999999E-2</v>
      </c>
      <c r="Q75" s="161">
        <f>VLOOKUP($A75,'Enroll Data as of January 2025'!$A$3:$M$322,12,FALSE)</f>
        <v>0</v>
      </c>
      <c r="R75" s="165">
        <f t="shared" si="24"/>
        <v>1.0999999999999999E-2</v>
      </c>
      <c r="S75" s="267">
        <f>IFERROR(VLOOKUP($A75,Supp_39,14,FALSE),0)+IFERROR(SUMPRODUCT(VLOOKUP($A75,S275_01,{14,15,16},FALSE)),0)+IFERROR(SUMPRODUCT(VLOOKUP($A75,S275_97,{14,15,16},FALSE)),0)+IFERROR(ROUND(VLOOKUP($A75,S275_21,14,FALSE)*VLOOKUP($A75,'3121% SY'!$C$3:$M$324,11,FALSE),3),0)+IFERROR(ROUND(VLOOKUP($A75,S275_21,15,FALSE)*VLOOKUP($A75,'3121% SY'!$C$3:$M$324,11,FALSE),3),0)+IFERROR(ROUND(VLOOKUP($A75,S275_21,16,FALSE)*VLOOKUP($A75,'3121% SY'!$C$3:$M$324,11,FALSE),3),0)+IFERROR(VLOOKUP($A75,S275_09,6,FALSE),0)</f>
        <v>0</v>
      </c>
      <c r="T75" s="267">
        <f>IFERROR(VLOOKUP($A75,Supp_42,14,FALSE),0)+IFERROR(SUMPRODUCT(VLOOKUP($A75,S275_01,{17,18,19},FALSE)),0)+IFERROR(SUMPRODUCT(VLOOKUP($A75,S275_97,{17,18,19},FALSE)),0)+IFERROR(ROUND(VLOOKUP($A75,S275_21,17,FALSE)*VLOOKUP($A75,'3121% SY'!$C$3:$M$324,11,FALSE),3),0)+IFERROR(ROUND(VLOOKUP($A75,S275_21,18,FALSE)*VLOOKUP($A75,'3121% SY'!$C$3:$M$324,11,FALSE),3),0)+IFERROR(ROUND(VLOOKUP($A75,S275_21,19,FALSE)*VLOOKUP($A75,'3121% SY'!$C$3:$M$324,11,FALSE),3),0)+IFERROR(VLOOKUP($A75,S275_09,7,FALSE),0)</f>
        <v>0</v>
      </c>
      <c r="U75" s="267">
        <f>IFERROR(VLOOKUP($A75,Supp_43,14,FALSE),0)+IFERROR(SUMPRODUCT(VLOOKUP($A75,S275_01,{20,21,22},FALSE)),0)+IFERROR(SUMPRODUCT(VLOOKUP($A75,S275_97,{20,21,22},FALSE)),0)+IFERROR(ROUND(VLOOKUP($A75,S275_21,20,FALSE)*VLOOKUP($A75,'3121% SY'!$C$3:$M$324,11,FALSE),3),0)+IFERROR(ROUND(VLOOKUP($A75,S275_21,21,FALSE)*VLOOKUP($A75,'3121% SY'!$C$3:$M$324,11,FALSE),3),0)+IFERROR(ROUND(VLOOKUP($A75,S275_21,22,FALSE)*VLOOKUP($A75,'3121% SY'!$C$3:$M$324,11,FALSE),3),0)+IFERROR(VLOOKUP($A75,S275_09,8,FALSE),0)</f>
        <v>0</v>
      </c>
      <c r="V75" s="267">
        <f>IFERROR(VLOOKUP($A75,Supp_44,14,FALSE),0)+IFERROR(SUMPRODUCT(VLOOKUP($A75,S275_01,{23,24,25},FALSE)),0)+IFERROR(SUMPRODUCT(VLOOKUP($A75,S275_97,{23,24,25},FALSE)),0)+IFERROR(ROUND(VLOOKUP($A75,S275_21,23,FALSE)*VLOOKUP($A75,'3121% SY'!$C$3:$M$324,11,FALSE),3),0)+IFERROR(ROUND(VLOOKUP($A75,S275_21,24,FALSE)*VLOOKUP($A75,'3121% SY'!$C$3:$M$324,11,FALSE),3),0)+IFERROR(ROUND(VLOOKUP($A75,S275_21,25,FALSE)*VLOOKUP($A75,'3121% SY'!$C$3:$M$324,11,FALSE),3),0)+IFERROR(VLOOKUP($A75,S275_09,9,FALSE),0)</f>
        <v>0</v>
      </c>
      <c r="W75" s="267">
        <f>IFERROR(VLOOKUP($A75,Supp_45,14,FALSE),0)+IFERROR(SUMPRODUCT(VLOOKUP($A75,S275_01,{26,27,28},FALSE)),0)+IFERROR(SUMPRODUCT(VLOOKUP($A75,S275_97,{26,27,28},FALSE)),0)+IFERROR(ROUND(VLOOKUP($A75,S275_21,26,FALSE)*VLOOKUP($A75,'3121% SY'!$C$3:$M$324,11,FALSE),3),0)+IFERROR(ROUND(VLOOKUP($A75,S275_21,27,FALSE)*VLOOKUP($A75,'3121% SY'!$C$3:$M$324,11,FALSE),3),0)+IFERROR(ROUND(VLOOKUP($A75,S275_21,28,FALSE)*VLOOKUP($A75,'3121% SY'!$C$3:$M$324,11,FALSE),3),0)+IFERROR(VLOOKUP($A75,S275_09,10,FALSE),0)</f>
        <v>0</v>
      </c>
      <c r="X75" s="267">
        <f>IFERROR(VLOOKUP($A75,Supp_46,14,FALSE),0)+IFERROR(SUMPRODUCT(VLOOKUP($A75,S275_01,{29,30,31},FALSE)),0)+IFERROR(SUMPRODUCT(VLOOKUP($A75,S275_97,{29,30,31},FALSE)),0)+IFERROR(ROUND(VLOOKUP($A75,S275_21,29,FALSE)*VLOOKUP($A75,'3121% SY'!$C$3:$M$324,11,FALSE),3),0)+IFERROR(ROUND(VLOOKUP($A75,S275_21,30,FALSE)*VLOOKUP($A75,'3121% SY'!$C$3:$M$324,11,FALSE),3),0)+IFERROR(ROUND(VLOOKUP($A75,S275_21,31,FALSE)*VLOOKUP($A75,'3121% SY'!$C$3:$M$324,11,FALSE),3),0)+IFERROR(VLOOKUP($A75,S275_09,11,FALSE),0)</f>
        <v>0</v>
      </c>
      <c r="Y75" s="267">
        <f>IFERROR(VLOOKUP($A75,Supp_47,14,FALSE),0)+IFERROR(SUMPRODUCT(VLOOKUP($A75,S275_01,{32,33,34},FALSE)),0)+IFERROR(SUMPRODUCT(VLOOKUP($A75,S275_97,{32,33,34},FALSE)),0)+IFERROR(ROUND(VLOOKUP($A75,S275_21,32,FALSE)*VLOOKUP($A75,'3121% SY'!$C$3:$M$324,11,FALSE),3),0)+IFERROR(ROUND(VLOOKUP($A75,S275_21,33,FALSE)*VLOOKUP($A75,'3121% SY'!$C$3:$M$324,11,FALSE),3),0)+IFERROR(ROUND(VLOOKUP($A75,S275_21,34,FALSE)*VLOOKUP($A75,'3121% SY'!$C$3:$M$324,11,FALSE),3),0)+IFERROR(VLOOKUP($A75,S275_09,12,FALSE),0)</f>
        <v>0</v>
      </c>
      <c r="Z75" s="267">
        <f>IFERROR(VLOOKUP($A75,Supp_48,14,FALSE),0)+IFERROR(SUMPRODUCT(VLOOKUP($A75,S275_01,{35,36,37},FALSE)),0)+IFERROR(SUMPRODUCT(VLOOKUP($A75,S275_97,{35,36,37},FALSE)),0)+IFERROR(ROUND(VLOOKUP($A75,S275_21,35,FALSE)*VLOOKUP($A75,'3121% SY'!$C$3:$M$324,11,FALSE),3),0)+IFERROR(ROUND(VLOOKUP($A75,S275_21,36,FALSE)*VLOOKUP($A75,'3121% SY'!$C$3:$M$324,11,FALSE),3),0)+IFERROR(ROUND(VLOOKUP($A75,S275_21,37,FALSE)*VLOOKUP($A75,'3121% SY'!$C$3:$M$324,11,FALSE),3),0)+IFERROR(VLOOKUP($A75,S275_09,13,FALSE),0)</f>
        <v>0</v>
      </c>
      <c r="AA75" s="267">
        <f>IFERROR(VLOOKUP($A75,Supp_49,14,FALSE),0)+IFERROR(SUMPRODUCT(VLOOKUP($A75,S275_01,{38,39,40},FALSE)),0)+IFERROR(SUMPRODUCT(VLOOKUP($A75,S275_97,{38,39,40},FALSE)),0)+IFERROR(ROUND(VLOOKUP($A75,S275_21,38,FALSE)*VLOOKUP($A75,'3121% SY'!$C$3:$M$324,11,FALSE),3),0)+IFERROR(ROUND(VLOOKUP($A75,S275_21,39,FALSE)*VLOOKUP($A75,'3121% SY'!$C$3:$M$324,11,FALSE),3),0)+IFERROR(ROUND(VLOOKUP($A75,S275_21,40,FALSE)*VLOOKUP($A75,'3121% SY'!$C$3:$M$324,11,FALSE),3),0)+IFERROR(VLOOKUP($A75,S275_09,14,FALSE),0)</f>
        <v>0</v>
      </c>
      <c r="AB75" s="267">
        <f>IFERROR(VLOOKUP($A75,Supp_64,14,FALSE),0)+IFERROR(SUMPRODUCT(VLOOKUP($A75,S275_01,{41,42,43},FALSE)),0)+IFERROR(SUMPRODUCT(VLOOKUP($A75,S275_97,{41,42,43},FALSE)),0)+IFERROR(ROUND(VLOOKUP($A75,S275_21,41,FALSE)*VLOOKUP($A75,'3121% SY'!$C$3:$M$324,11,FALSE),3),0)+IFERROR(ROUND(VLOOKUP($A75,S275_21,42,FALSE)*VLOOKUP($A75,'3121% SY'!$C$3:$M$324,11,FALSE),3),0)+IFERROR(ROUND(VLOOKUP($A75,S275_21,43,FALSE)*VLOOKUP($A75,'3121% SY'!$C$3:$M$324,11,FALSE),3),0)+IFERROR(VLOOKUP($A75,S275_09,15,FALSE),0)</f>
        <v>0</v>
      </c>
      <c r="AC75" s="268">
        <f t="shared" si="25"/>
        <v>0</v>
      </c>
      <c r="AD75" s="267">
        <f>IFERROR(VLOOKUP($A75,Supp_24,14,FALSE),0)+IFERROR(SUMPRODUCT(VLOOKUP($A75,S275_01,{2,3,4},FALSE)),0)+IFERROR(SUMPRODUCT(VLOOKUP($A75,S275_97,{2,3,4},FALSE)),0)+IFERROR(ROUND(VLOOKUP($A75,S275_21,2,FALSE)*VLOOKUP($A75,'3121% SY'!$C$3:$M$324,11,FALSE),3),0)+IFERROR(ROUND(VLOOKUP($A75,S275_21,3,FALSE)*VLOOKUP($A75,'3121% SY'!$C$3:$M$324,11,FALSE),3),0)+IFERROR(ROUND(VLOOKUP($A75,S275_21,4,FALSE)*VLOOKUP($A75,'3121% SY'!$C$3:$M$324,11,FALSE),3),0)+IFERROR(VLOOKUP($A75,S275_09,2,FALSE),0)</f>
        <v>0</v>
      </c>
      <c r="AE75" s="267">
        <f>IFERROR(VLOOKUP($A75,Supp_25,14,FALSE),0)+IFERROR(SUMPRODUCT(VLOOKUP($A75,S275_01,{5,6,7},FALSE)),0)+IFERROR(SUMPRODUCT(VLOOKUP($A75,S275_97,{5,6,7},FALSE)),0)+IFERROR(ROUND(VLOOKUP($A75,S275_21,5,FALSE)*VLOOKUP($A75,'3121% SY'!$C$3:$M$324,11,FALSE),3),0)+IFERROR(ROUND(VLOOKUP($A75,S275_21,6,FALSE)*VLOOKUP($A75,'3121% SY'!$C$3:$M$324,11,FALSE),3),0)+IFERROR(ROUND(VLOOKUP($A75,S275_21,7,FALSE)*VLOOKUP($A75,'3121% SY'!$C$3:$M$324,11,FALSE),3),0)+IFERROR(VLOOKUP($A75,S275_09,3,FALSE),0)</f>
        <v>0</v>
      </c>
      <c r="AF75" s="267">
        <f>IFERROR(VLOOKUP($A75,Supp_26,14,FALSE),0)+IFERROR(SUMPRODUCT(VLOOKUP($A75,S275_01,{8,9,10},FALSE)),0)+IFERROR(SUMPRODUCT(VLOOKUP($A75,S275_97,{8,9,10},FALSE)),0)+IFERROR(ROUND(VLOOKUP($A75,S275_21,8,FALSE)*VLOOKUP($A75,'3121% SY'!$C$3:$M$324,11,FALSE),3),0)+IFERROR(ROUND(VLOOKUP($A75,S275_21,9,FALSE)*VLOOKUP($A75,'3121% SY'!$C$3:$M$324,11,FALSE),3),0)+IFERROR(ROUND(VLOOKUP($A75,S275_21,10,FALSE)*VLOOKUP($A75,'3121% SY'!$C$3:$M$324,11,FALSE),3),0)+IFERROR(VLOOKUP($A75,S275_09,4,FALSE),0)</f>
        <v>0</v>
      </c>
      <c r="AG75" s="267">
        <f>IFERROR(VLOOKUP($A75,Supp_35,14,FALSE),0)+IFERROR(SUMPRODUCT(VLOOKUP($A75,S275_01,{11,12,13},FALSE)),0)+IFERROR(SUMPRODUCT(VLOOKUP($A75,S275_97,{11,12,13},FALSE)),0)+IFERROR(ROUND(VLOOKUP($A75,S275_21,11,FALSE)*VLOOKUP($A75,'3121% SY'!$C$3:$M$324,11,FALSE),3),0)+IFERROR(ROUND(VLOOKUP($A75,S275_21,12,FALSE)*VLOOKUP($A75,'3121% SY'!$C$3:$M$324,11,FALSE),3),0)+IFERROR(ROUND(VLOOKUP($A75,S275_21,13,FALSE)*VLOOKUP($A75,'3121% SY'!$C$3:$M$324,11,FALSE),3),0)+IFERROR(VLOOKUP($A75,S275_09,5,FALSE),0)</f>
        <v>0</v>
      </c>
      <c r="AH75" s="165">
        <f t="shared" si="26"/>
        <v>0</v>
      </c>
      <c r="AI75" s="161">
        <f>IFERROR(VLOOKUP(A75,'Supp Staff Data'!A:ER,148,FALSE),0)+AB75</f>
        <v>0</v>
      </c>
      <c r="AJ75" s="174">
        <v>0.6</v>
      </c>
      <c r="AK75" s="25">
        <f>VLOOKUP(A75,'Enroll Data as of January 2025'!$A$3:$T$323,20,FALSE)-F75</f>
        <v>0</v>
      </c>
    </row>
    <row r="76" spans="1:37" x14ac:dyDescent="0.25">
      <c r="A76" s="171" t="s">
        <v>41</v>
      </c>
      <c r="B76" t="s">
        <v>337</v>
      </c>
      <c r="C76" s="173" t="s">
        <v>1077</v>
      </c>
      <c r="D76" s="259">
        <f t="shared" si="19"/>
        <v>1.7619999999999998</v>
      </c>
      <c r="E76" s="259">
        <f t="shared" si="20"/>
        <v>1.542</v>
      </c>
      <c r="F76" s="262">
        <f t="shared" si="18"/>
        <v>-0.22</v>
      </c>
      <c r="G76" s="161">
        <f>ROUND(IF(F76&lt;0,F76*'2024-25 PSES Compliance'!$G$13,0),3)</f>
        <v>-0.21099999999999999</v>
      </c>
      <c r="H76" s="161">
        <f>ROUND(IF(F76&lt;0,F76*'2024-25 PSES Compliance'!$G$14,0),3)</f>
        <v>-8.9999999999999993E-3</v>
      </c>
      <c r="I76" s="174">
        <f t="shared" si="21"/>
        <v>0.64850843060959795</v>
      </c>
      <c r="J76" s="174">
        <f t="shared" si="22"/>
        <v>0</v>
      </c>
      <c r="K76" s="161">
        <f>VLOOKUP($A76,'Enroll Data as of January 2025'!$A$3:$M$322,6,FALSE)</f>
        <v>0.95499999999999996</v>
      </c>
      <c r="L76" s="161">
        <f>VLOOKUP($A76,'Enroll Data as of January 2025'!$A$3:$M$322,7,FALSE)</f>
        <v>0.17700000000000002</v>
      </c>
      <c r="M76" s="161">
        <f>VLOOKUP($A76,'Enroll Data as of January 2025'!$A$3:$M$322,8,FALSE)</f>
        <v>5.8999999999999997E-2</v>
      </c>
      <c r="N76" s="161">
        <f>VLOOKUP($A76,'Enroll Data as of January 2025'!$A$3:$M$322,9,FALSE)</f>
        <v>0.46799999999999997</v>
      </c>
      <c r="O76" s="165">
        <f t="shared" si="23"/>
        <v>1.6589999999999998</v>
      </c>
      <c r="P76" s="161">
        <f>VLOOKUP($A76,'Enroll Data as of January 2025'!$A$3:$M$322,11,FALSE)</f>
        <v>6.2E-2</v>
      </c>
      <c r="Q76" s="161">
        <f>VLOOKUP($A76,'Enroll Data as of January 2025'!$A$3:$M$322,12,FALSE)</f>
        <v>4.1000000000000002E-2</v>
      </c>
      <c r="R76" s="165">
        <f t="shared" si="24"/>
        <v>0.10300000000000001</v>
      </c>
      <c r="S76" s="267">
        <f>IFERROR(VLOOKUP($A76,Supp_39,14,FALSE),0)+IFERROR(SUMPRODUCT(VLOOKUP($A76,S275_01,{14,15,16},FALSE)),0)+IFERROR(SUMPRODUCT(VLOOKUP($A76,S275_97,{14,15,16},FALSE)),0)+IFERROR(ROUND(VLOOKUP($A76,S275_21,14,FALSE)*VLOOKUP($A76,'3121% SY'!$C$3:$M$324,11,FALSE),3),0)+IFERROR(ROUND(VLOOKUP($A76,S275_21,15,FALSE)*VLOOKUP($A76,'3121% SY'!$C$3:$M$324,11,FALSE),3),0)+IFERROR(ROUND(VLOOKUP($A76,S275_21,16,FALSE)*VLOOKUP($A76,'3121% SY'!$C$3:$M$324,11,FALSE),3),0)+IFERROR(VLOOKUP($A76,S275_09,6,FALSE),0)</f>
        <v>1</v>
      </c>
      <c r="T76" s="267">
        <f>IFERROR(VLOOKUP($A76,Supp_42,14,FALSE),0)+IFERROR(SUMPRODUCT(VLOOKUP($A76,S275_01,{17,18,19},FALSE)),0)+IFERROR(SUMPRODUCT(VLOOKUP($A76,S275_97,{17,18,19},FALSE)),0)+IFERROR(ROUND(VLOOKUP($A76,S275_21,17,FALSE)*VLOOKUP($A76,'3121% SY'!$C$3:$M$324,11,FALSE),3),0)+IFERROR(ROUND(VLOOKUP($A76,S275_21,18,FALSE)*VLOOKUP($A76,'3121% SY'!$C$3:$M$324,11,FALSE),3),0)+IFERROR(ROUND(VLOOKUP($A76,S275_21,19,FALSE)*VLOOKUP($A76,'3121% SY'!$C$3:$M$324,11,FALSE),3),0)+IFERROR(VLOOKUP($A76,S275_09,7,FALSE),0)</f>
        <v>0</v>
      </c>
      <c r="U76" s="267">
        <f>IFERROR(VLOOKUP($A76,Supp_43,14,FALSE),0)+IFERROR(SUMPRODUCT(VLOOKUP($A76,S275_01,{20,21,22},FALSE)),0)+IFERROR(SUMPRODUCT(VLOOKUP($A76,S275_97,{20,21,22},FALSE)),0)+IFERROR(ROUND(VLOOKUP($A76,S275_21,20,FALSE)*VLOOKUP($A76,'3121% SY'!$C$3:$M$324,11,FALSE),3),0)+IFERROR(ROUND(VLOOKUP($A76,S275_21,21,FALSE)*VLOOKUP($A76,'3121% SY'!$C$3:$M$324,11,FALSE),3),0)+IFERROR(ROUND(VLOOKUP($A76,S275_21,22,FALSE)*VLOOKUP($A76,'3121% SY'!$C$3:$M$324,11,FALSE),3),0)+IFERROR(VLOOKUP($A76,S275_09,8,FALSE),0)</f>
        <v>0</v>
      </c>
      <c r="V76" s="267">
        <f>IFERROR(VLOOKUP($A76,Supp_44,14,FALSE),0)+IFERROR(SUMPRODUCT(VLOOKUP($A76,S275_01,{23,24,25},FALSE)),0)+IFERROR(SUMPRODUCT(VLOOKUP($A76,S275_97,{23,24,25},FALSE)),0)+IFERROR(ROUND(VLOOKUP($A76,S275_21,23,FALSE)*VLOOKUP($A76,'3121% SY'!$C$3:$M$324,11,FALSE),3),0)+IFERROR(ROUND(VLOOKUP($A76,S275_21,24,FALSE)*VLOOKUP($A76,'3121% SY'!$C$3:$M$324,11,FALSE),3),0)+IFERROR(ROUND(VLOOKUP($A76,S275_21,25,FALSE)*VLOOKUP($A76,'3121% SY'!$C$3:$M$324,11,FALSE),3),0)+IFERROR(VLOOKUP($A76,S275_09,9,FALSE),0)</f>
        <v>0</v>
      </c>
      <c r="W76" s="267">
        <f>IFERROR(VLOOKUP($A76,Supp_45,14,FALSE),0)+IFERROR(SUMPRODUCT(VLOOKUP($A76,S275_01,{26,27,28},FALSE)),0)+IFERROR(SUMPRODUCT(VLOOKUP($A76,S275_97,{26,27,28},FALSE)),0)+IFERROR(ROUND(VLOOKUP($A76,S275_21,26,FALSE)*VLOOKUP($A76,'3121% SY'!$C$3:$M$324,11,FALSE),3),0)+IFERROR(ROUND(VLOOKUP($A76,S275_21,27,FALSE)*VLOOKUP($A76,'3121% SY'!$C$3:$M$324,11,FALSE),3),0)+IFERROR(ROUND(VLOOKUP($A76,S275_21,28,FALSE)*VLOOKUP($A76,'3121% SY'!$C$3:$M$324,11,FALSE),3),0)+IFERROR(VLOOKUP($A76,S275_09,10,FALSE),0)</f>
        <v>0</v>
      </c>
      <c r="X76" s="267">
        <f>IFERROR(VLOOKUP($A76,Supp_46,14,FALSE),0)+IFERROR(SUMPRODUCT(VLOOKUP($A76,S275_01,{29,30,31},FALSE)),0)+IFERROR(SUMPRODUCT(VLOOKUP($A76,S275_97,{29,30,31},FALSE)),0)+IFERROR(ROUND(VLOOKUP($A76,S275_21,29,FALSE)*VLOOKUP($A76,'3121% SY'!$C$3:$M$324,11,FALSE),3),0)+IFERROR(ROUND(VLOOKUP($A76,S275_21,30,FALSE)*VLOOKUP($A76,'3121% SY'!$C$3:$M$324,11,FALSE),3),0)+IFERROR(ROUND(VLOOKUP($A76,S275_21,31,FALSE)*VLOOKUP($A76,'3121% SY'!$C$3:$M$324,11,FALSE),3),0)+IFERROR(VLOOKUP($A76,S275_09,11,FALSE),0)</f>
        <v>0</v>
      </c>
      <c r="Y76" s="267">
        <f>IFERROR(VLOOKUP($A76,Supp_47,14,FALSE),0)+IFERROR(SUMPRODUCT(VLOOKUP($A76,S275_01,{32,33,34},FALSE)),0)+IFERROR(SUMPRODUCT(VLOOKUP($A76,S275_97,{32,33,34},FALSE)),0)+IFERROR(ROUND(VLOOKUP($A76,S275_21,32,FALSE)*VLOOKUP($A76,'3121% SY'!$C$3:$M$324,11,FALSE),3),0)+IFERROR(ROUND(VLOOKUP($A76,S275_21,33,FALSE)*VLOOKUP($A76,'3121% SY'!$C$3:$M$324,11,FALSE),3),0)+IFERROR(ROUND(VLOOKUP($A76,S275_21,34,FALSE)*VLOOKUP($A76,'3121% SY'!$C$3:$M$324,11,FALSE),3),0)+IFERROR(VLOOKUP($A76,S275_09,12,FALSE),0)</f>
        <v>0</v>
      </c>
      <c r="Z76" s="267">
        <f>IFERROR(VLOOKUP($A76,Supp_48,14,FALSE),0)+IFERROR(SUMPRODUCT(VLOOKUP($A76,S275_01,{35,36,37},FALSE)),0)+IFERROR(SUMPRODUCT(VLOOKUP($A76,S275_97,{35,36,37},FALSE)),0)+IFERROR(ROUND(VLOOKUP($A76,S275_21,35,FALSE)*VLOOKUP($A76,'3121% SY'!$C$3:$M$324,11,FALSE),3),0)+IFERROR(ROUND(VLOOKUP($A76,S275_21,36,FALSE)*VLOOKUP($A76,'3121% SY'!$C$3:$M$324,11,FALSE),3),0)+IFERROR(ROUND(VLOOKUP($A76,S275_21,37,FALSE)*VLOOKUP($A76,'3121% SY'!$C$3:$M$324,11,FALSE),3),0)+IFERROR(VLOOKUP($A76,S275_09,13,FALSE),0)</f>
        <v>0</v>
      </c>
      <c r="AA76" s="267">
        <f>IFERROR(VLOOKUP($A76,Supp_49,14,FALSE),0)+IFERROR(SUMPRODUCT(VLOOKUP($A76,S275_01,{38,39,40},FALSE)),0)+IFERROR(SUMPRODUCT(VLOOKUP($A76,S275_97,{38,39,40},FALSE)),0)+IFERROR(ROUND(VLOOKUP($A76,S275_21,38,FALSE)*VLOOKUP($A76,'3121% SY'!$C$3:$M$324,11,FALSE),3),0)+IFERROR(ROUND(VLOOKUP($A76,S275_21,39,FALSE)*VLOOKUP($A76,'3121% SY'!$C$3:$M$324,11,FALSE),3),0)+IFERROR(ROUND(VLOOKUP($A76,S275_21,40,FALSE)*VLOOKUP($A76,'3121% SY'!$C$3:$M$324,11,FALSE),3),0)+IFERROR(VLOOKUP($A76,S275_09,14,FALSE),0)</f>
        <v>0</v>
      </c>
      <c r="AB76" s="267">
        <f>IFERROR(VLOOKUP($A76,Supp_64,14,FALSE),0)+IFERROR(SUMPRODUCT(VLOOKUP($A76,S275_01,{41,42,43},FALSE)),0)+IFERROR(SUMPRODUCT(VLOOKUP($A76,S275_97,{41,42,43},FALSE)),0)+IFERROR(ROUND(VLOOKUP($A76,S275_21,41,FALSE)*VLOOKUP($A76,'3121% SY'!$C$3:$M$324,11,FALSE),3),0)+IFERROR(ROUND(VLOOKUP($A76,S275_21,42,FALSE)*VLOOKUP($A76,'3121% SY'!$C$3:$M$324,11,FALSE),3),0)+IFERROR(ROUND(VLOOKUP($A76,S275_21,43,FALSE)*VLOOKUP($A76,'3121% SY'!$C$3:$M$324,11,FALSE),3),0)+IFERROR(VLOOKUP($A76,S275_09,15,FALSE),0)</f>
        <v>0</v>
      </c>
      <c r="AC76" s="268">
        <f t="shared" si="25"/>
        <v>1</v>
      </c>
      <c r="AD76" s="267">
        <f>IFERROR(VLOOKUP($A76,Supp_24,14,FALSE),0)+IFERROR(SUMPRODUCT(VLOOKUP($A76,S275_01,{2,3,4},FALSE)),0)+IFERROR(SUMPRODUCT(VLOOKUP($A76,S275_97,{2,3,4},FALSE)),0)+IFERROR(ROUND(VLOOKUP($A76,S275_21,2,FALSE)*VLOOKUP($A76,'3121% SY'!$C$3:$M$324,11,FALSE),3),0)+IFERROR(ROUND(VLOOKUP($A76,S275_21,3,FALSE)*VLOOKUP($A76,'3121% SY'!$C$3:$M$324,11,FALSE),3),0)+IFERROR(ROUND(VLOOKUP($A76,S275_21,4,FALSE)*VLOOKUP($A76,'3121% SY'!$C$3:$M$324,11,FALSE),3),0)+IFERROR(VLOOKUP($A76,S275_09,2,FALSE),0)</f>
        <v>0</v>
      </c>
      <c r="AE76" s="267">
        <f>IFERROR(VLOOKUP($A76,Supp_25,14,FALSE),0)+IFERROR(SUMPRODUCT(VLOOKUP($A76,S275_01,{5,6,7},FALSE)),0)+IFERROR(SUMPRODUCT(VLOOKUP($A76,S275_97,{5,6,7},FALSE)),0)+IFERROR(ROUND(VLOOKUP($A76,S275_21,5,FALSE)*VLOOKUP($A76,'3121% SY'!$C$3:$M$324,11,FALSE),3),0)+IFERROR(ROUND(VLOOKUP($A76,S275_21,6,FALSE)*VLOOKUP($A76,'3121% SY'!$C$3:$M$324,11,FALSE),3),0)+IFERROR(ROUND(VLOOKUP($A76,S275_21,7,FALSE)*VLOOKUP($A76,'3121% SY'!$C$3:$M$324,11,FALSE),3),0)+IFERROR(VLOOKUP($A76,S275_09,3,FALSE),0)</f>
        <v>0.54200000000000004</v>
      </c>
      <c r="AF76" s="267">
        <f>IFERROR(VLOOKUP($A76,Supp_26,14,FALSE),0)+IFERROR(SUMPRODUCT(VLOOKUP($A76,S275_01,{8,9,10},FALSE)),0)+IFERROR(SUMPRODUCT(VLOOKUP($A76,S275_97,{8,9,10},FALSE)),0)+IFERROR(ROUND(VLOOKUP($A76,S275_21,8,FALSE)*VLOOKUP($A76,'3121% SY'!$C$3:$M$324,11,FALSE),3),0)+IFERROR(ROUND(VLOOKUP($A76,S275_21,9,FALSE)*VLOOKUP($A76,'3121% SY'!$C$3:$M$324,11,FALSE),3),0)+IFERROR(ROUND(VLOOKUP($A76,S275_21,10,FALSE)*VLOOKUP($A76,'3121% SY'!$C$3:$M$324,11,FALSE),3),0)+IFERROR(VLOOKUP($A76,S275_09,4,FALSE),0)</f>
        <v>0</v>
      </c>
      <c r="AG76" s="267">
        <f>IFERROR(VLOOKUP($A76,Supp_35,14,FALSE),0)+IFERROR(SUMPRODUCT(VLOOKUP($A76,S275_01,{11,12,13},FALSE)),0)+IFERROR(SUMPRODUCT(VLOOKUP($A76,S275_97,{11,12,13},FALSE)),0)+IFERROR(ROUND(VLOOKUP($A76,S275_21,11,FALSE)*VLOOKUP($A76,'3121% SY'!$C$3:$M$324,11,FALSE),3),0)+IFERROR(ROUND(VLOOKUP($A76,S275_21,12,FALSE)*VLOOKUP($A76,'3121% SY'!$C$3:$M$324,11,FALSE),3),0)+IFERROR(ROUND(VLOOKUP($A76,S275_21,13,FALSE)*VLOOKUP($A76,'3121% SY'!$C$3:$M$324,11,FALSE),3),0)+IFERROR(VLOOKUP($A76,S275_09,5,FALSE),0)</f>
        <v>0</v>
      </c>
      <c r="AH76" s="165">
        <f t="shared" si="26"/>
        <v>0.54200000000000004</v>
      </c>
      <c r="AI76" s="161">
        <f>IFERROR(VLOOKUP(A76,'Supp Staff Data'!A:ER,148,FALSE),0)+AB76</f>
        <v>0</v>
      </c>
      <c r="AJ76" s="174">
        <v>1</v>
      </c>
      <c r="AK76" s="25">
        <f>VLOOKUP(A76,'Enroll Data as of January 2025'!$A$3:$T$323,20,FALSE)-F76</f>
        <v>0</v>
      </c>
    </row>
    <row r="77" spans="1:37" x14ac:dyDescent="0.25">
      <c r="A77" s="171" t="s">
        <v>24</v>
      </c>
      <c r="B77" t="s">
        <v>1226</v>
      </c>
      <c r="C77" s="173" t="s">
        <v>1077</v>
      </c>
      <c r="D77" s="259">
        <f t="shared" si="19"/>
        <v>8.3250000000000011</v>
      </c>
      <c r="E77" s="259">
        <f t="shared" si="20"/>
        <v>5.8059999999999992</v>
      </c>
      <c r="F77" s="262">
        <f t="shared" si="18"/>
        <v>-2.5190000000000001</v>
      </c>
      <c r="G77" s="161">
        <f>ROUND(IF(F77&lt;0,F77*'2024-25 PSES Compliance'!$G$13,0),3)</f>
        <v>-2.4180000000000001</v>
      </c>
      <c r="H77" s="161">
        <f>ROUND(IF(F77&lt;0,F77*'2024-25 PSES Compliance'!$G$14,0),3)</f>
        <v>-0.10100000000000001</v>
      </c>
      <c r="I77" s="174">
        <f t="shared" si="21"/>
        <v>0</v>
      </c>
      <c r="J77" s="174">
        <f t="shared" si="22"/>
        <v>0</v>
      </c>
      <c r="K77" s="161">
        <f>VLOOKUP($A77,'Enroll Data as of January 2025'!$A$3:$M$322,6,FALSE)</f>
        <v>4.7229999999999999</v>
      </c>
      <c r="L77" s="161">
        <f>VLOOKUP($A77,'Enroll Data as of January 2025'!$A$3:$M$322,7,FALSE)</f>
        <v>0.75600000000000001</v>
      </c>
      <c r="M77" s="161">
        <f>VLOOKUP($A77,'Enroll Data as of January 2025'!$A$3:$M$322,8,FALSE)</f>
        <v>0.254</v>
      </c>
      <c r="N77" s="161">
        <f>VLOOKUP($A77,'Enroll Data as of January 2025'!$A$3:$M$322,9,FALSE)</f>
        <v>2.1310000000000002</v>
      </c>
      <c r="O77" s="165">
        <f t="shared" si="23"/>
        <v>7.8640000000000008</v>
      </c>
      <c r="P77" s="161">
        <f>VLOOKUP($A77,'Enroll Data as of January 2025'!$A$3:$M$322,11,FALSE)</f>
        <v>0.29200000000000004</v>
      </c>
      <c r="Q77" s="161">
        <f>VLOOKUP($A77,'Enroll Data as of January 2025'!$A$3:$M$322,12,FALSE)</f>
        <v>0.16900000000000001</v>
      </c>
      <c r="R77" s="165">
        <f t="shared" si="24"/>
        <v>0.46100000000000008</v>
      </c>
      <c r="S77" s="267">
        <f>IFERROR(VLOOKUP($A77,Supp_39,14,FALSE),0)+IFERROR(SUMPRODUCT(VLOOKUP($A77,S275_01,{14,15,16},FALSE)),0)+IFERROR(SUMPRODUCT(VLOOKUP($A77,S275_97,{14,15,16},FALSE)),0)+IFERROR(ROUND(VLOOKUP($A77,S275_21,14,FALSE)*VLOOKUP($A77,'3121% SY'!$C$3:$M$324,11,FALSE),3),0)+IFERROR(ROUND(VLOOKUP($A77,S275_21,15,FALSE)*VLOOKUP($A77,'3121% SY'!$C$3:$M$324,11,FALSE),3),0)+IFERROR(ROUND(VLOOKUP($A77,S275_21,16,FALSE)*VLOOKUP($A77,'3121% SY'!$C$3:$M$324,11,FALSE),3),0)+IFERROR(VLOOKUP($A77,S275_09,6,FALSE),0)</f>
        <v>3.4379999999999997</v>
      </c>
      <c r="T77" s="267">
        <f>IFERROR(VLOOKUP($A77,Supp_42,14,FALSE),0)+IFERROR(SUMPRODUCT(VLOOKUP($A77,S275_01,{17,18,19},FALSE)),0)+IFERROR(SUMPRODUCT(VLOOKUP($A77,S275_97,{17,18,19},FALSE)),0)+IFERROR(ROUND(VLOOKUP($A77,S275_21,17,FALSE)*VLOOKUP($A77,'3121% SY'!$C$3:$M$324,11,FALSE),3),0)+IFERROR(ROUND(VLOOKUP($A77,S275_21,18,FALSE)*VLOOKUP($A77,'3121% SY'!$C$3:$M$324,11,FALSE),3),0)+IFERROR(ROUND(VLOOKUP($A77,S275_21,19,FALSE)*VLOOKUP($A77,'3121% SY'!$C$3:$M$324,11,FALSE),3),0)+IFERROR(VLOOKUP($A77,S275_09,7,FALSE),0)</f>
        <v>0.7</v>
      </c>
      <c r="U77" s="267">
        <f>IFERROR(VLOOKUP($A77,Supp_43,14,FALSE),0)+IFERROR(SUMPRODUCT(VLOOKUP($A77,S275_01,{20,21,22},FALSE)),0)+IFERROR(SUMPRODUCT(VLOOKUP($A77,S275_97,{20,21,22},FALSE)),0)+IFERROR(ROUND(VLOOKUP($A77,S275_21,20,FALSE)*VLOOKUP($A77,'3121% SY'!$C$3:$M$324,11,FALSE),3),0)+IFERROR(ROUND(VLOOKUP($A77,S275_21,21,FALSE)*VLOOKUP($A77,'3121% SY'!$C$3:$M$324,11,FALSE),3),0)+IFERROR(ROUND(VLOOKUP($A77,S275_21,22,FALSE)*VLOOKUP($A77,'3121% SY'!$C$3:$M$324,11,FALSE),3),0)+IFERROR(VLOOKUP($A77,S275_09,8,FALSE),0)</f>
        <v>0.122</v>
      </c>
      <c r="V77" s="267">
        <f>IFERROR(VLOOKUP($A77,Supp_44,14,FALSE),0)+IFERROR(SUMPRODUCT(VLOOKUP($A77,S275_01,{23,24,25},FALSE)),0)+IFERROR(SUMPRODUCT(VLOOKUP($A77,S275_97,{23,24,25},FALSE)),0)+IFERROR(ROUND(VLOOKUP($A77,S275_21,23,FALSE)*VLOOKUP($A77,'3121% SY'!$C$3:$M$324,11,FALSE),3),0)+IFERROR(ROUND(VLOOKUP($A77,S275_21,24,FALSE)*VLOOKUP($A77,'3121% SY'!$C$3:$M$324,11,FALSE),3),0)+IFERROR(ROUND(VLOOKUP($A77,S275_21,25,FALSE)*VLOOKUP($A77,'3121% SY'!$C$3:$M$324,11,FALSE),3),0)+IFERROR(VLOOKUP($A77,S275_09,9,FALSE),0)</f>
        <v>0</v>
      </c>
      <c r="W77" s="267">
        <f>IFERROR(VLOOKUP($A77,Supp_45,14,FALSE),0)+IFERROR(SUMPRODUCT(VLOOKUP($A77,S275_01,{26,27,28},FALSE)),0)+IFERROR(SUMPRODUCT(VLOOKUP($A77,S275_97,{26,27,28},FALSE)),0)+IFERROR(ROUND(VLOOKUP($A77,S275_21,26,FALSE)*VLOOKUP($A77,'3121% SY'!$C$3:$M$324,11,FALSE),3),0)+IFERROR(ROUND(VLOOKUP($A77,S275_21,27,FALSE)*VLOOKUP($A77,'3121% SY'!$C$3:$M$324,11,FALSE),3),0)+IFERROR(ROUND(VLOOKUP($A77,S275_21,28,FALSE)*VLOOKUP($A77,'3121% SY'!$C$3:$M$324,11,FALSE),3),0)+IFERROR(VLOOKUP($A77,S275_09,10,FALSE),0)</f>
        <v>0.245</v>
      </c>
      <c r="X77" s="267">
        <f>IFERROR(VLOOKUP($A77,Supp_46,14,FALSE),0)+IFERROR(SUMPRODUCT(VLOOKUP($A77,S275_01,{29,30,31},FALSE)),0)+IFERROR(SUMPRODUCT(VLOOKUP($A77,S275_97,{29,30,31},FALSE)),0)+IFERROR(ROUND(VLOOKUP($A77,S275_21,29,FALSE)*VLOOKUP($A77,'3121% SY'!$C$3:$M$324,11,FALSE),3),0)+IFERROR(ROUND(VLOOKUP($A77,S275_21,30,FALSE)*VLOOKUP($A77,'3121% SY'!$C$3:$M$324,11,FALSE),3),0)+IFERROR(ROUND(VLOOKUP($A77,S275_21,31,FALSE)*VLOOKUP($A77,'3121% SY'!$C$3:$M$324,11,FALSE),3),0)+IFERROR(VLOOKUP($A77,S275_09,11,FALSE),0)</f>
        <v>0.151</v>
      </c>
      <c r="Y77" s="267">
        <f>IFERROR(VLOOKUP($A77,Supp_47,14,FALSE),0)+IFERROR(SUMPRODUCT(VLOOKUP($A77,S275_01,{32,33,34},FALSE)),0)+IFERROR(SUMPRODUCT(VLOOKUP($A77,S275_97,{32,33,34},FALSE)),0)+IFERROR(ROUND(VLOOKUP($A77,S275_21,32,FALSE)*VLOOKUP($A77,'3121% SY'!$C$3:$M$324,11,FALSE),3),0)+IFERROR(ROUND(VLOOKUP($A77,S275_21,33,FALSE)*VLOOKUP($A77,'3121% SY'!$C$3:$M$324,11,FALSE),3),0)+IFERROR(ROUND(VLOOKUP($A77,S275_21,34,FALSE)*VLOOKUP($A77,'3121% SY'!$C$3:$M$324,11,FALSE),3),0)+IFERROR(VLOOKUP($A77,S275_09,12,FALSE),0)</f>
        <v>0</v>
      </c>
      <c r="Z77" s="267">
        <f>IFERROR(VLOOKUP($A77,Supp_48,14,FALSE),0)+IFERROR(SUMPRODUCT(VLOOKUP($A77,S275_01,{35,36,37},FALSE)),0)+IFERROR(SUMPRODUCT(VLOOKUP($A77,S275_97,{35,36,37},FALSE)),0)+IFERROR(ROUND(VLOOKUP($A77,S275_21,35,FALSE)*VLOOKUP($A77,'3121% SY'!$C$3:$M$324,11,FALSE),3),0)+IFERROR(ROUND(VLOOKUP($A77,S275_21,36,FALSE)*VLOOKUP($A77,'3121% SY'!$C$3:$M$324,11,FALSE),3),0)+IFERROR(ROUND(VLOOKUP($A77,S275_21,37,FALSE)*VLOOKUP($A77,'3121% SY'!$C$3:$M$324,11,FALSE),3),0)+IFERROR(VLOOKUP($A77,S275_09,13,FALSE),0)</f>
        <v>0.121</v>
      </c>
      <c r="AA77" s="267">
        <f>IFERROR(VLOOKUP($A77,Supp_49,14,FALSE),0)+IFERROR(SUMPRODUCT(VLOOKUP($A77,S275_01,{38,39,40},FALSE)),0)+IFERROR(SUMPRODUCT(VLOOKUP($A77,S275_97,{38,39,40},FALSE)),0)+IFERROR(ROUND(VLOOKUP($A77,S275_21,38,FALSE)*VLOOKUP($A77,'3121% SY'!$C$3:$M$324,11,FALSE),3),0)+IFERROR(ROUND(VLOOKUP($A77,S275_21,39,FALSE)*VLOOKUP($A77,'3121% SY'!$C$3:$M$324,11,FALSE),3),0)+IFERROR(ROUND(VLOOKUP($A77,S275_21,40,FALSE)*VLOOKUP($A77,'3121% SY'!$C$3:$M$324,11,FALSE),3),0)+IFERROR(VLOOKUP($A77,S275_09,14,FALSE),0)</f>
        <v>0</v>
      </c>
      <c r="AB77" s="267">
        <f>IFERROR(VLOOKUP($A77,Supp_64,14,FALSE),0)+IFERROR(SUMPRODUCT(VLOOKUP($A77,S275_01,{41,42,43},FALSE)),0)+IFERROR(SUMPRODUCT(VLOOKUP($A77,S275_97,{41,42,43},FALSE)),0)+IFERROR(ROUND(VLOOKUP($A77,S275_21,41,FALSE)*VLOOKUP($A77,'3121% SY'!$C$3:$M$324,11,FALSE),3),0)+IFERROR(ROUND(VLOOKUP($A77,S275_21,42,FALSE)*VLOOKUP($A77,'3121% SY'!$C$3:$M$324,11,FALSE),3),0)+IFERROR(ROUND(VLOOKUP($A77,S275_21,43,FALSE)*VLOOKUP($A77,'3121% SY'!$C$3:$M$324,11,FALSE),3),0)+IFERROR(VLOOKUP($A77,S275_09,15,FALSE),0)</f>
        <v>0</v>
      </c>
      <c r="AC77" s="268">
        <f t="shared" si="25"/>
        <v>4.7769999999999992</v>
      </c>
      <c r="AD77" s="267">
        <f>IFERROR(VLOOKUP($A77,Supp_24,14,FALSE),0)+IFERROR(SUMPRODUCT(VLOOKUP($A77,S275_01,{2,3,4},FALSE)),0)+IFERROR(SUMPRODUCT(VLOOKUP($A77,S275_97,{2,3,4},FALSE)),0)+IFERROR(ROUND(VLOOKUP($A77,S275_21,2,FALSE)*VLOOKUP($A77,'3121% SY'!$C$3:$M$324,11,FALSE),3),0)+IFERROR(ROUND(VLOOKUP($A77,S275_21,3,FALSE)*VLOOKUP($A77,'3121% SY'!$C$3:$M$324,11,FALSE),3),0)+IFERROR(ROUND(VLOOKUP($A77,S275_21,4,FALSE)*VLOOKUP($A77,'3121% SY'!$C$3:$M$324,11,FALSE),3),0)+IFERROR(VLOOKUP($A77,S275_09,2,FALSE),0)</f>
        <v>0</v>
      </c>
      <c r="AE77" s="267">
        <f>IFERROR(VLOOKUP($A77,Supp_25,14,FALSE),0)+IFERROR(SUMPRODUCT(VLOOKUP($A77,S275_01,{5,6,7},FALSE)),0)+IFERROR(SUMPRODUCT(VLOOKUP($A77,S275_97,{5,6,7},FALSE)),0)+IFERROR(ROUND(VLOOKUP($A77,S275_21,5,FALSE)*VLOOKUP($A77,'3121% SY'!$C$3:$M$324,11,FALSE),3),0)+IFERROR(ROUND(VLOOKUP($A77,S275_21,6,FALSE)*VLOOKUP($A77,'3121% SY'!$C$3:$M$324,11,FALSE),3),0)+IFERROR(ROUND(VLOOKUP($A77,S275_21,7,FALSE)*VLOOKUP($A77,'3121% SY'!$C$3:$M$324,11,FALSE),3),0)+IFERROR(VLOOKUP($A77,S275_09,3,FALSE),0)</f>
        <v>0.17499999999999999</v>
      </c>
      <c r="AF77" s="267">
        <f>IFERROR(VLOOKUP($A77,Supp_26,14,FALSE),0)+IFERROR(SUMPRODUCT(VLOOKUP($A77,S275_01,{8,9,10},FALSE)),0)+IFERROR(SUMPRODUCT(VLOOKUP($A77,S275_97,{8,9,10},FALSE)),0)+IFERROR(ROUND(VLOOKUP($A77,S275_21,8,FALSE)*VLOOKUP($A77,'3121% SY'!$C$3:$M$324,11,FALSE),3),0)+IFERROR(ROUND(VLOOKUP($A77,S275_21,9,FALSE)*VLOOKUP($A77,'3121% SY'!$C$3:$M$324,11,FALSE),3),0)+IFERROR(ROUND(VLOOKUP($A77,S275_21,10,FALSE)*VLOOKUP($A77,'3121% SY'!$C$3:$M$324,11,FALSE),3),0)+IFERROR(VLOOKUP($A77,S275_09,4,FALSE),0)</f>
        <v>0.85400000000000009</v>
      </c>
      <c r="AG77" s="267">
        <f>IFERROR(VLOOKUP($A77,Supp_35,14,FALSE),0)+IFERROR(SUMPRODUCT(VLOOKUP($A77,S275_01,{11,12,13},FALSE)),0)+IFERROR(SUMPRODUCT(VLOOKUP($A77,S275_97,{11,12,13},FALSE)),0)+IFERROR(ROUND(VLOOKUP($A77,S275_21,11,FALSE)*VLOOKUP($A77,'3121% SY'!$C$3:$M$324,11,FALSE),3),0)+IFERROR(ROUND(VLOOKUP($A77,S275_21,12,FALSE)*VLOOKUP($A77,'3121% SY'!$C$3:$M$324,11,FALSE),3),0)+IFERROR(ROUND(VLOOKUP($A77,S275_21,13,FALSE)*VLOOKUP($A77,'3121% SY'!$C$3:$M$324,11,FALSE),3),0)+IFERROR(VLOOKUP($A77,S275_09,5,FALSE),0)</f>
        <v>0</v>
      </c>
      <c r="AH77" s="165">
        <f t="shared" si="26"/>
        <v>1.0290000000000001</v>
      </c>
      <c r="AI77" s="161">
        <f>IFERROR(VLOOKUP(A77,'Supp Staff Data'!A:ER,148,FALSE),0)+AB77</f>
        <v>0</v>
      </c>
      <c r="AJ77" s="174">
        <v>0</v>
      </c>
      <c r="AK77" s="25">
        <f>VLOOKUP(A77,'Enroll Data as of January 2025'!$A$3:$T$323,20,FALSE)-F77</f>
        <v>0</v>
      </c>
    </row>
    <row r="78" spans="1:37" x14ac:dyDescent="0.25">
      <c r="A78" s="171" t="s">
        <v>177</v>
      </c>
      <c r="B78" t="s">
        <v>473</v>
      </c>
      <c r="C78" s="173" t="s">
        <v>1077</v>
      </c>
      <c r="D78" s="259">
        <f t="shared" si="19"/>
        <v>1.72</v>
      </c>
      <c r="E78" s="259">
        <f t="shared" si="20"/>
        <v>1</v>
      </c>
      <c r="F78" s="262">
        <f t="shared" si="18"/>
        <v>-0.72</v>
      </c>
      <c r="G78" s="161">
        <f>ROUND(IF(F78&lt;0,F78*'2024-25 PSES Compliance'!$G$13,0),3)</f>
        <v>-0.69099999999999995</v>
      </c>
      <c r="H78" s="161">
        <f>ROUND(IF(F78&lt;0,F78*'2024-25 PSES Compliance'!$G$14,0),3)</f>
        <v>-2.9000000000000001E-2</v>
      </c>
      <c r="I78" s="174">
        <f t="shared" si="21"/>
        <v>0</v>
      </c>
      <c r="J78" s="174">
        <f t="shared" si="22"/>
        <v>0</v>
      </c>
      <c r="K78" s="161">
        <f>VLOOKUP($A78,'Enroll Data as of January 2025'!$A$3:$M$322,6,FALSE)</f>
        <v>1</v>
      </c>
      <c r="L78" s="161">
        <f>VLOOKUP($A78,'Enroll Data as of January 2025'!$A$3:$M$322,7,FALSE)</f>
        <v>0.14499999999999999</v>
      </c>
      <c r="M78" s="161">
        <f>VLOOKUP($A78,'Enroll Data as of January 2025'!$A$3:$M$322,8,FALSE)</f>
        <v>4.9000000000000002E-2</v>
      </c>
      <c r="N78" s="161">
        <f>VLOOKUP($A78,'Enroll Data as of January 2025'!$A$3:$M$322,9,FALSE)</f>
        <v>0.434</v>
      </c>
      <c r="O78" s="165">
        <f t="shared" si="23"/>
        <v>1.6279999999999999</v>
      </c>
      <c r="P78" s="161">
        <f>VLOOKUP($A78,'Enroll Data as of January 2025'!$A$3:$M$322,11,FALSE)</f>
        <v>6.0999999999999999E-2</v>
      </c>
      <c r="Q78" s="161">
        <f>VLOOKUP($A78,'Enroll Data as of January 2025'!$A$3:$M$322,12,FALSE)</f>
        <v>3.1E-2</v>
      </c>
      <c r="R78" s="165">
        <f t="shared" si="24"/>
        <v>9.1999999999999998E-2</v>
      </c>
      <c r="S78" s="267">
        <f>IFERROR(VLOOKUP($A78,Supp_39,14,FALSE),0)+IFERROR(SUMPRODUCT(VLOOKUP($A78,S275_01,{14,15,16},FALSE)),0)+IFERROR(SUMPRODUCT(VLOOKUP($A78,S275_97,{14,15,16},FALSE)),0)+IFERROR(ROUND(VLOOKUP($A78,S275_21,14,FALSE)*VLOOKUP($A78,'3121% SY'!$C$3:$M$324,11,FALSE),3),0)+IFERROR(ROUND(VLOOKUP($A78,S275_21,15,FALSE)*VLOOKUP($A78,'3121% SY'!$C$3:$M$324,11,FALSE),3),0)+IFERROR(ROUND(VLOOKUP($A78,S275_21,16,FALSE)*VLOOKUP($A78,'3121% SY'!$C$3:$M$324,11,FALSE),3),0)+IFERROR(VLOOKUP($A78,S275_09,6,FALSE),0)</f>
        <v>1</v>
      </c>
      <c r="T78" s="267">
        <f>IFERROR(VLOOKUP($A78,Supp_42,14,FALSE),0)+IFERROR(SUMPRODUCT(VLOOKUP($A78,S275_01,{17,18,19},FALSE)),0)+IFERROR(SUMPRODUCT(VLOOKUP($A78,S275_97,{17,18,19},FALSE)),0)+IFERROR(ROUND(VLOOKUP($A78,S275_21,17,FALSE)*VLOOKUP($A78,'3121% SY'!$C$3:$M$324,11,FALSE),3),0)+IFERROR(ROUND(VLOOKUP($A78,S275_21,18,FALSE)*VLOOKUP($A78,'3121% SY'!$C$3:$M$324,11,FALSE),3),0)+IFERROR(ROUND(VLOOKUP($A78,S275_21,19,FALSE)*VLOOKUP($A78,'3121% SY'!$C$3:$M$324,11,FALSE),3),0)+IFERROR(VLOOKUP($A78,S275_09,7,FALSE),0)</f>
        <v>0</v>
      </c>
      <c r="U78" s="267">
        <f>IFERROR(VLOOKUP($A78,Supp_43,14,FALSE),0)+IFERROR(SUMPRODUCT(VLOOKUP($A78,S275_01,{20,21,22},FALSE)),0)+IFERROR(SUMPRODUCT(VLOOKUP($A78,S275_97,{20,21,22},FALSE)),0)+IFERROR(ROUND(VLOOKUP($A78,S275_21,20,FALSE)*VLOOKUP($A78,'3121% SY'!$C$3:$M$324,11,FALSE),3),0)+IFERROR(ROUND(VLOOKUP($A78,S275_21,21,FALSE)*VLOOKUP($A78,'3121% SY'!$C$3:$M$324,11,FALSE),3),0)+IFERROR(ROUND(VLOOKUP($A78,S275_21,22,FALSE)*VLOOKUP($A78,'3121% SY'!$C$3:$M$324,11,FALSE),3),0)+IFERROR(VLOOKUP($A78,S275_09,8,FALSE),0)</f>
        <v>0</v>
      </c>
      <c r="V78" s="267">
        <f>IFERROR(VLOOKUP($A78,Supp_44,14,FALSE),0)+IFERROR(SUMPRODUCT(VLOOKUP($A78,S275_01,{23,24,25},FALSE)),0)+IFERROR(SUMPRODUCT(VLOOKUP($A78,S275_97,{23,24,25},FALSE)),0)+IFERROR(ROUND(VLOOKUP($A78,S275_21,23,FALSE)*VLOOKUP($A78,'3121% SY'!$C$3:$M$324,11,FALSE),3),0)+IFERROR(ROUND(VLOOKUP($A78,S275_21,24,FALSE)*VLOOKUP($A78,'3121% SY'!$C$3:$M$324,11,FALSE),3),0)+IFERROR(ROUND(VLOOKUP($A78,S275_21,25,FALSE)*VLOOKUP($A78,'3121% SY'!$C$3:$M$324,11,FALSE),3),0)+IFERROR(VLOOKUP($A78,S275_09,9,FALSE),0)</f>
        <v>0</v>
      </c>
      <c r="W78" s="267">
        <f>IFERROR(VLOOKUP($A78,Supp_45,14,FALSE),0)+IFERROR(SUMPRODUCT(VLOOKUP($A78,S275_01,{26,27,28},FALSE)),0)+IFERROR(SUMPRODUCT(VLOOKUP($A78,S275_97,{26,27,28},FALSE)),0)+IFERROR(ROUND(VLOOKUP($A78,S275_21,26,FALSE)*VLOOKUP($A78,'3121% SY'!$C$3:$M$324,11,FALSE),3),0)+IFERROR(ROUND(VLOOKUP($A78,S275_21,27,FALSE)*VLOOKUP($A78,'3121% SY'!$C$3:$M$324,11,FALSE),3),0)+IFERROR(ROUND(VLOOKUP($A78,S275_21,28,FALSE)*VLOOKUP($A78,'3121% SY'!$C$3:$M$324,11,FALSE),3),0)+IFERROR(VLOOKUP($A78,S275_09,10,FALSE),0)</f>
        <v>0</v>
      </c>
      <c r="X78" s="267">
        <f>IFERROR(VLOOKUP($A78,Supp_46,14,FALSE),0)+IFERROR(SUMPRODUCT(VLOOKUP($A78,S275_01,{29,30,31},FALSE)),0)+IFERROR(SUMPRODUCT(VLOOKUP($A78,S275_97,{29,30,31},FALSE)),0)+IFERROR(ROUND(VLOOKUP($A78,S275_21,29,FALSE)*VLOOKUP($A78,'3121% SY'!$C$3:$M$324,11,FALSE),3),0)+IFERROR(ROUND(VLOOKUP($A78,S275_21,30,FALSE)*VLOOKUP($A78,'3121% SY'!$C$3:$M$324,11,FALSE),3),0)+IFERROR(ROUND(VLOOKUP($A78,S275_21,31,FALSE)*VLOOKUP($A78,'3121% SY'!$C$3:$M$324,11,FALSE),3),0)+IFERROR(VLOOKUP($A78,S275_09,11,FALSE),0)</f>
        <v>0</v>
      </c>
      <c r="Y78" s="267">
        <f>IFERROR(VLOOKUP($A78,Supp_47,14,FALSE),0)+IFERROR(SUMPRODUCT(VLOOKUP($A78,S275_01,{32,33,34},FALSE)),0)+IFERROR(SUMPRODUCT(VLOOKUP($A78,S275_97,{32,33,34},FALSE)),0)+IFERROR(ROUND(VLOOKUP($A78,S275_21,32,FALSE)*VLOOKUP($A78,'3121% SY'!$C$3:$M$324,11,FALSE),3),0)+IFERROR(ROUND(VLOOKUP($A78,S275_21,33,FALSE)*VLOOKUP($A78,'3121% SY'!$C$3:$M$324,11,FALSE),3),0)+IFERROR(ROUND(VLOOKUP($A78,S275_21,34,FALSE)*VLOOKUP($A78,'3121% SY'!$C$3:$M$324,11,FALSE),3),0)+IFERROR(VLOOKUP($A78,S275_09,12,FALSE),0)</f>
        <v>0</v>
      </c>
      <c r="Z78" s="267">
        <f>IFERROR(VLOOKUP($A78,Supp_48,14,FALSE),0)+IFERROR(SUMPRODUCT(VLOOKUP($A78,S275_01,{35,36,37},FALSE)),0)+IFERROR(SUMPRODUCT(VLOOKUP($A78,S275_97,{35,36,37},FALSE)),0)+IFERROR(ROUND(VLOOKUP($A78,S275_21,35,FALSE)*VLOOKUP($A78,'3121% SY'!$C$3:$M$324,11,FALSE),3),0)+IFERROR(ROUND(VLOOKUP($A78,S275_21,36,FALSE)*VLOOKUP($A78,'3121% SY'!$C$3:$M$324,11,FALSE),3),0)+IFERROR(ROUND(VLOOKUP($A78,S275_21,37,FALSE)*VLOOKUP($A78,'3121% SY'!$C$3:$M$324,11,FALSE),3),0)+IFERROR(VLOOKUP($A78,S275_09,13,FALSE),0)</f>
        <v>0</v>
      </c>
      <c r="AA78" s="267">
        <f>IFERROR(VLOOKUP($A78,Supp_49,14,FALSE),0)+IFERROR(SUMPRODUCT(VLOOKUP($A78,S275_01,{38,39,40},FALSE)),0)+IFERROR(SUMPRODUCT(VLOOKUP($A78,S275_97,{38,39,40},FALSE)),0)+IFERROR(ROUND(VLOOKUP($A78,S275_21,38,FALSE)*VLOOKUP($A78,'3121% SY'!$C$3:$M$324,11,FALSE),3),0)+IFERROR(ROUND(VLOOKUP($A78,S275_21,39,FALSE)*VLOOKUP($A78,'3121% SY'!$C$3:$M$324,11,FALSE),3),0)+IFERROR(ROUND(VLOOKUP($A78,S275_21,40,FALSE)*VLOOKUP($A78,'3121% SY'!$C$3:$M$324,11,FALSE),3),0)+IFERROR(VLOOKUP($A78,S275_09,14,FALSE),0)</f>
        <v>0</v>
      </c>
      <c r="AB78" s="267">
        <f>IFERROR(VLOOKUP($A78,Supp_64,14,FALSE),0)+IFERROR(SUMPRODUCT(VLOOKUP($A78,S275_01,{41,42,43},FALSE)),0)+IFERROR(SUMPRODUCT(VLOOKUP($A78,S275_97,{41,42,43},FALSE)),0)+IFERROR(ROUND(VLOOKUP($A78,S275_21,41,FALSE)*VLOOKUP($A78,'3121% SY'!$C$3:$M$324,11,FALSE),3),0)+IFERROR(ROUND(VLOOKUP($A78,S275_21,42,FALSE)*VLOOKUP($A78,'3121% SY'!$C$3:$M$324,11,FALSE),3),0)+IFERROR(ROUND(VLOOKUP($A78,S275_21,43,FALSE)*VLOOKUP($A78,'3121% SY'!$C$3:$M$324,11,FALSE),3),0)+IFERROR(VLOOKUP($A78,S275_09,15,FALSE),0)</f>
        <v>0</v>
      </c>
      <c r="AC78" s="268">
        <f t="shared" si="25"/>
        <v>1</v>
      </c>
      <c r="AD78" s="267">
        <f>IFERROR(VLOOKUP($A78,Supp_24,14,FALSE),0)+IFERROR(SUMPRODUCT(VLOOKUP($A78,S275_01,{2,3,4},FALSE)),0)+IFERROR(SUMPRODUCT(VLOOKUP($A78,S275_97,{2,3,4},FALSE)),0)+IFERROR(ROUND(VLOOKUP($A78,S275_21,2,FALSE)*VLOOKUP($A78,'3121% SY'!$C$3:$M$324,11,FALSE),3),0)+IFERROR(ROUND(VLOOKUP($A78,S275_21,3,FALSE)*VLOOKUP($A78,'3121% SY'!$C$3:$M$324,11,FALSE),3),0)+IFERROR(ROUND(VLOOKUP($A78,S275_21,4,FALSE)*VLOOKUP($A78,'3121% SY'!$C$3:$M$324,11,FALSE),3),0)+IFERROR(VLOOKUP($A78,S275_09,2,FALSE),0)</f>
        <v>0</v>
      </c>
      <c r="AE78" s="267">
        <f>IFERROR(VLOOKUP($A78,Supp_25,14,FALSE),0)+IFERROR(SUMPRODUCT(VLOOKUP($A78,S275_01,{5,6,7},FALSE)),0)+IFERROR(SUMPRODUCT(VLOOKUP($A78,S275_97,{5,6,7},FALSE)),0)+IFERROR(ROUND(VLOOKUP($A78,S275_21,5,FALSE)*VLOOKUP($A78,'3121% SY'!$C$3:$M$324,11,FALSE),3),0)+IFERROR(ROUND(VLOOKUP($A78,S275_21,6,FALSE)*VLOOKUP($A78,'3121% SY'!$C$3:$M$324,11,FALSE),3),0)+IFERROR(ROUND(VLOOKUP($A78,S275_21,7,FALSE)*VLOOKUP($A78,'3121% SY'!$C$3:$M$324,11,FALSE),3),0)+IFERROR(VLOOKUP($A78,S275_09,3,FALSE),0)</f>
        <v>0</v>
      </c>
      <c r="AF78" s="267">
        <f>IFERROR(VLOOKUP($A78,Supp_26,14,FALSE),0)+IFERROR(SUMPRODUCT(VLOOKUP($A78,S275_01,{8,9,10},FALSE)),0)+IFERROR(SUMPRODUCT(VLOOKUP($A78,S275_97,{8,9,10},FALSE)),0)+IFERROR(ROUND(VLOOKUP($A78,S275_21,8,FALSE)*VLOOKUP($A78,'3121% SY'!$C$3:$M$324,11,FALSE),3),0)+IFERROR(ROUND(VLOOKUP($A78,S275_21,9,FALSE)*VLOOKUP($A78,'3121% SY'!$C$3:$M$324,11,FALSE),3),0)+IFERROR(ROUND(VLOOKUP($A78,S275_21,10,FALSE)*VLOOKUP($A78,'3121% SY'!$C$3:$M$324,11,FALSE),3),0)+IFERROR(VLOOKUP($A78,S275_09,4,FALSE),0)</f>
        <v>0</v>
      </c>
      <c r="AG78" s="267">
        <f>IFERROR(VLOOKUP($A78,Supp_35,14,FALSE),0)+IFERROR(SUMPRODUCT(VLOOKUP($A78,S275_01,{11,12,13},FALSE)),0)+IFERROR(SUMPRODUCT(VLOOKUP($A78,S275_97,{11,12,13},FALSE)),0)+IFERROR(ROUND(VLOOKUP($A78,S275_21,11,FALSE)*VLOOKUP($A78,'3121% SY'!$C$3:$M$324,11,FALSE),3),0)+IFERROR(ROUND(VLOOKUP($A78,S275_21,12,FALSE)*VLOOKUP($A78,'3121% SY'!$C$3:$M$324,11,FALSE),3),0)+IFERROR(ROUND(VLOOKUP($A78,S275_21,13,FALSE)*VLOOKUP($A78,'3121% SY'!$C$3:$M$324,11,FALSE),3),0)+IFERROR(VLOOKUP($A78,S275_09,5,FALSE),0)</f>
        <v>0</v>
      </c>
      <c r="AH78" s="165">
        <f t="shared" si="26"/>
        <v>0</v>
      </c>
      <c r="AI78" s="161">
        <f>IFERROR(VLOOKUP(A78,'Supp Staff Data'!A:ER,148,FALSE),0)+AB78</f>
        <v>0</v>
      </c>
      <c r="AJ78" s="174">
        <v>0</v>
      </c>
      <c r="AK78" s="25">
        <f>VLOOKUP(A78,'Enroll Data as of January 2025'!$A$3:$T$323,20,FALSE)-F78</f>
        <v>0</v>
      </c>
    </row>
    <row r="79" spans="1:37" x14ac:dyDescent="0.25">
      <c r="A79" s="171" t="s">
        <v>666</v>
      </c>
      <c r="B79" t="s">
        <v>1110</v>
      </c>
      <c r="C79" s="173" t="s">
        <v>1077</v>
      </c>
      <c r="D79" s="259">
        <f t="shared" si="19"/>
        <v>1.2440000000000002</v>
      </c>
      <c r="E79" s="259">
        <f t="shared" si="20"/>
        <v>1.3900000000000001</v>
      </c>
      <c r="F79" s="262">
        <f>(AC79+AH79)-(O79+R79)</f>
        <v>0.14599999999999991</v>
      </c>
      <c r="G79" s="161">
        <f>ROUND(IF(F79&lt;0,F79*'2024-25 PSES Compliance'!$G$13,0),3)</f>
        <v>0</v>
      </c>
      <c r="H79" s="161">
        <f>ROUND(IF(F79&lt;0,F79*'2024-25 PSES Compliance'!$G$14,0),3)</f>
        <v>0</v>
      </c>
      <c r="I79" s="174">
        <f t="shared" si="21"/>
        <v>0.25899928057553956</v>
      </c>
      <c r="J79" s="174">
        <f t="shared" si="22"/>
        <v>0.2805755395683453</v>
      </c>
      <c r="K79" s="161">
        <f>VLOOKUP($A79,'Enroll Data as of January 2025'!$A$3:$M$322,6,FALSE)</f>
        <v>0.57299999999999995</v>
      </c>
      <c r="L79" s="161">
        <f>VLOOKUP($A79,'Enroll Data as of January 2025'!$A$3:$M$322,7,FALSE)</f>
        <v>0.17899999999999999</v>
      </c>
      <c r="M79" s="161">
        <f>VLOOKUP($A79,'Enroll Data as of January 2025'!$A$3:$M$322,8,FALSE)</f>
        <v>0.06</v>
      </c>
      <c r="N79" s="161">
        <f>VLOOKUP($A79,'Enroll Data as of January 2025'!$A$3:$M$322,9,FALSE)</f>
        <v>0.33800000000000002</v>
      </c>
      <c r="O79" s="165">
        <f t="shared" si="23"/>
        <v>1.1500000000000001</v>
      </c>
      <c r="P79" s="161">
        <f>VLOOKUP($A79,'Enroll Data as of January 2025'!$A$3:$M$322,11,FALSE)</f>
        <v>4.5999999999999999E-2</v>
      </c>
      <c r="Q79" s="161">
        <f>VLOOKUP($A79,'Enroll Data as of January 2025'!$A$3:$M$322,12,FALSE)</f>
        <v>4.8000000000000001E-2</v>
      </c>
      <c r="R79" s="165">
        <f t="shared" si="24"/>
        <v>9.4E-2</v>
      </c>
      <c r="S79" s="267">
        <f>IFERROR(VLOOKUP($A79,Supp_39,14,FALSE),0)+IFERROR(SUMPRODUCT(VLOOKUP($A79,S275_01,{14,15,16},FALSE)),0)+IFERROR(SUMPRODUCT(VLOOKUP($A79,S275_97,{14,15,16},FALSE)),0)+IFERROR(ROUND(VLOOKUP($A79,S275_21,14,FALSE)*VLOOKUP($A79,'3121% SY'!$C$3:$M$324,11,FALSE),3),0)+IFERROR(ROUND(VLOOKUP($A79,S275_21,15,FALSE)*VLOOKUP($A79,'3121% SY'!$C$3:$M$324,11,FALSE),3),0)+IFERROR(ROUND(VLOOKUP($A79,S275_21,16,FALSE)*VLOOKUP($A79,'3121% SY'!$C$3:$M$324,11,FALSE),3),0)+IFERROR(VLOOKUP($A79,S275_09,6,FALSE),0)</f>
        <v>0</v>
      </c>
      <c r="T79" s="267">
        <f>IFERROR(VLOOKUP($A79,Supp_42,14,FALSE),0)+IFERROR(SUMPRODUCT(VLOOKUP($A79,S275_01,{17,18,19},FALSE)),0)+IFERROR(SUMPRODUCT(VLOOKUP($A79,S275_97,{17,18,19},FALSE)),0)+IFERROR(ROUND(VLOOKUP($A79,S275_21,17,FALSE)*VLOOKUP($A79,'3121% SY'!$C$3:$M$324,11,FALSE),3),0)+IFERROR(ROUND(VLOOKUP($A79,S275_21,18,FALSE)*VLOOKUP($A79,'3121% SY'!$C$3:$M$324,11,FALSE),3),0)+IFERROR(ROUND(VLOOKUP($A79,S275_21,19,FALSE)*VLOOKUP($A79,'3121% SY'!$C$3:$M$324,11,FALSE),3),0)+IFERROR(VLOOKUP($A79,S275_09,7,FALSE),0)</f>
        <v>0</v>
      </c>
      <c r="U79" s="267">
        <f>IFERROR(VLOOKUP($A79,Supp_43,14,FALSE),0)+IFERROR(SUMPRODUCT(VLOOKUP($A79,S275_01,{20,21,22},FALSE)),0)+IFERROR(SUMPRODUCT(VLOOKUP($A79,S275_97,{20,21,22},FALSE)),0)+IFERROR(ROUND(VLOOKUP($A79,S275_21,20,FALSE)*VLOOKUP($A79,'3121% SY'!$C$3:$M$324,11,FALSE),3),0)+IFERROR(ROUND(VLOOKUP($A79,S275_21,21,FALSE)*VLOOKUP($A79,'3121% SY'!$C$3:$M$324,11,FALSE),3),0)+IFERROR(ROUND(VLOOKUP($A79,S275_21,22,FALSE)*VLOOKUP($A79,'3121% SY'!$C$3:$M$324,11,FALSE),3),0)+IFERROR(VLOOKUP($A79,S275_09,8,FALSE),0)</f>
        <v>0</v>
      </c>
      <c r="V79" s="267">
        <f>IFERROR(VLOOKUP($A79,Supp_44,14,FALSE),0)+IFERROR(SUMPRODUCT(VLOOKUP($A79,S275_01,{23,24,25},FALSE)),0)+IFERROR(SUMPRODUCT(VLOOKUP($A79,S275_97,{23,24,25},FALSE)),0)+IFERROR(ROUND(VLOOKUP($A79,S275_21,23,FALSE)*VLOOKUP($A79,'3121% SY'!$C$3:$M$324,11,FALSE),3),0)+IFERROR(ROUND(VLOOKUP($A79,S275_21,24,FALSE)*VLOOKUP($A79,'3121% SY'!$C$3:$M$324,11,FALSE),3),0)+IFERROR(ROUND(VLOOKUP($A79,S275_21,25,FALSE)*VLOOKUP($A79,'3121% SY'!$C$3:$M$324,11,FALSE),3),0)+IFERROR(VLOOKUP($A79,S275_09,9,FALSE),0)</f>
        <v>0</v>
      </c>
      <c r="W79" s="267">
        <f>IFERROR(VLOOKUP($A79,Supp_45,14,FALSE),0)+IFERROR(SUMPRODUCT(VLOOKUP($A79,S275_01,{26,27,28},FALSE)),0)+IFERROR(SUMPRODUCT(VLOOKUP($A79,S275_97,{26,27,28},FALSE)),0)+IFERROR(ROUND(VLOOKUP($A79,S275_21,26,FALSE)*VLOOKUP($A79,'3121% SY'!$C$3:$M$324,11,FALSE),3),0)+IFERROR(ROUND(VLOOKUP($A79,S275_21,27,FALSE)*VLOOKUP($A79,'3121% SY'!$C$3:$M$324,11,FALSE),3),0)+IFERROR(ROUND(VLOOKUP($A79,S275_21,28,FALSE)*VLOOKUP($A79,'3121% SY'!$C$3:$M$324,11,FALSE),3),0)+IFERROR(VLOOKUP($A79,S275_09,10,FALSE),0)</f>
        <v>0</v>
      </c>
      <c r="X79" s="267">
        <f>IFERROR(VLOOKUP($A79,Supp_46,14,FALSE),0)+IFERROR(SUMPRODUCT(VLOOKUP($A79,S275_01,{29,30,31},FALSE)),0)+IFERROR(SUMPRODUCT(VLOOKUP($A79,S275_97,{29,30,31},FALSE)),0)+IFERROR(ROUND(VLOOKUP($A79,S275_21,29,FALSE)*VLOOKUP($A79,'3121% SY'!$C$3:$M$324,11,FALSE),3),0)+IFERROR(ROUND(VLOOKUP($A79,S275_21,30,FALSE)*VLOOKUP($A79,'3121% SY'!$C$3:$M$324,11,FALSE),3),0)+IFERROR(ROUND(VLOOKUP($A79,S275_21,31,FALSE)*VLOOKUP($A79,'3121% SY'!$C$3:$M$324,11,FALSE),3),0)+IFERROR(VLOOKUP($A79,S275_09,11,FALSE),0)</f>
        <v>0</v>
      </c>
      <c r="Y79" s="267">
        <f>IFERROR(VLOOKUP($A79,Supp_47,14,FALSE),0)+IFERROR(SUMPRODUCT(VLOOKUP($A79,S275_01,{32,33,34},FALSE)),0)+IFERROR(SUMPRODUCT(VLOOKUP($A79,S275_97,{32,33,34},FALSE)),0)+IFERROR(ROUND(VLOOKUP($A79,S275_21,32,FALSE)*VLOOKUP($A79,'3121% SY'!$C$3:$M$324,11,FALSE),3),0)+IFERROR(ROUND(VLOOKUP($A79,S275_21,33,FALSE)*VLOOKUP($A79,'3121% SY'!$C$3:$M$324,11,FALSE),3),0)+IFERROR(ROUND(VLOOKUP($A79,S275_21,34,FALSE)*VLOOKUP($A79,'3121% SY'!$C$3:$M$324,11,FALSE),3),0)+IFERROR(VLOOKUP($A79,S275_09,12,FALSE),0)</f>
        <v>0</v>
      </c>
      <c r="Z79" s="267">
        <f>IFERROR(VLOOKUP($A79,Supp_48,14,FALSE),0)+IFERROR(SUMPRODUCT(VLOOKUP($A79,S275_01,{35,36,37},FALSE)),0)+IFERROR(SUMPRODUCT(VLOOKUP($A79,S275_97,{35,36,37},FALSE)),0)+IFERROR(ROUND(VLOOKUP($A79,S275_21,35,FALSE)*VLOOKUP($A79,'3121% SY'!$C$3:$M$324,11,FALSE),3),0)+IFERROR(ROUND(VLOOKUP($A79,S275_21,36,FALSE)*VLOOKUP($A79,'3121% SY'!$C$3:$M$324,11,FALSE),3),0)+IFERROR(ROUND(VLOOKUP($A79,S275_21,37,FALSE)*VLOOKUP($A79,'3121% SY'!$C$3:$M$324,11,FALSE),3),0)+IFERROR(VLOOKUP($A79,S275_09,13,FALSE),0)</f>
        <v>0</v>
      </c>
      <c r="AA79" s="267">
        <f>IFERROR(VLOOKUP($A79,Supp_49,14,FALSE),0)+IFERROR(SUMPRODUCT(VLOOKUP($A79,S275_01,{38,39,40},FALSE)),0)+IFERROR(SUMPRODUCT(VLOOKUP($A79,S275_97,{38,39,40},FALSE)),0)+IFERROR(ROUND(VLOOKUP($A79,S275_21,38,FALSE)*VLOOKUP($A79,'3121% SY'!$C$3:$M$324,11,FALSE),3),0)+IFERROR(ROUND(VLOOKUP($A79,S275_21,39,FALSE)*VLOOKUP($A79,'3121% SY'!$C$3:$M$324,11,FALSE),3),0)+IFERROR(ROUND(VLOOKUP($A79,S275_21,40,FALSE)*VLOOKUP($A79,'3121% SY'!$C$3:$M$324,11,FALSE),3),0)+IFERROR(VLOOKUP($A79,S275_09,14,FALSE),0)</f>
        <v>0</v>
      </c>
      <c r="AB79" s="267">
        <f>IFERROR(VLOOKUP($A79,Supp_64,14,FALSE),0)+IFERROR(SUMPRODUCT(VLOOKUP($A79,S275_01,{41,42,43},FALSE)),0)+IFERROR(SUMPRODUCT(VLOOKUP($A79,S275_97,{41,42,43},FALSE)),0)+IFERROR(ROUND(VLOOKUP($A79,S275_21,41,FALSE)*VLOOKUP($A79,'3121% SY'!$C$3:$M$324,11,FALSE),3),0)+IFERROR(ROUND(VLOOKUP($A79,S275_21,42,FALSE)*VLOOKUP($A79,'3121% SY'!$C$3:$M$324,11,FALSE),3),0)+IFERROR(ROUND(VLOOKUP($A79,S275_21,43,FALSE)*VLOOKUP($A79,'3121% SY'!$C$3:$M$324,11,FALSE),3),0)+IFERROR(VLOOKUP($A79,S275_09,15,FALSE),0)</f>
        <v>0.39</v>
      </c>
      <c r="AC79" s="268">
        <f t="shared" si="25"/>
        <v>0.39</v>
      </c>
      <c r="AD79" s="267">
        <f>IFERROR(VLOOKUP($A79,Supp_24,14,FALSE),0)+IFERROR(SUMPRODUCT(VLOOKUP($A79,S275_01,{2,3,4},FALSE)),0)+IFERROR(SUMPRODUCT(VLOOKUP($A79,S275_97,{2,3,4},FALSE)),0)+IFERROR(ROUND(VLOOKUP($A79,S275_21,2,FALSE)*VLOOKUP($A79,'3121% SY'!$C$3:$M$324,11,FALSE),3),0)+IFERROR(ROUND(VLOOKUP($A79,S275_21,3,FALSE)*VLOOKUP($A79,'3121% SY'!$C$3:$M$324,11,FALSE),3),0)+IFERROR(ROUND(VLOOKUP($A79,S275_21,4,FALSE)*VLOOKUP($A79,'3121% SY'!$C$3:$M$324,11,FALSE),3),0)+IFERROR(VLOOKUP($A79,S275_09,2,FALSE),0)</f>
        <v>1</v>
      </c>
      <c r="AE79" s="267">
        <f>IFERROR(VLOOKUP($A79,Supp_25,14,FALSE),0)+IFERROR(SUMPRODUCT(VLOOKUP($A79,S275_01,{5,6,7},FALSE)),0)+IFERROR(SUMPRODUCT(VLOOKUP($A79,S275_97,{5,6,7},FALSE)),0)+IFERROR(ROUND(VLOOKUP($A79,S275_21,5,FALSE)*VLOOKUP($A79,'3121% SY'!$C$3:$M$324,11,FALSE),3),0)+IFERROR(ROUND(VLOOKUP($A79,S275_21,6,FALSE)*VLOOKUP($A79,'3121% SY'!$C$3:$M$324,11,FALSE),3),0)+IFERROR(ROUND(VLOOKUP($A79,S275_21,7,FALSE)*VLOOKUP($A79,'3121% SY'!$C$3:$M$324,11,FALSE),3),0)+IFERROR(VLOOKUP($A79,S275_09,3,FALSE),0)</f>
        <v>0</v>
      </c>
      <c r="AF79" s="267">
        <f>IFERROR(VLOOKUP($A79,Supp_26,14,FALSE),0)+IFERROR(SUMPRODUCT(VLOOKUP($A79,S275_01,{8,9,10},FALSE)),0)+IFERROR(SUMPRODUCT(VLOOKUP($A79,S275_97,{8,9,10},FALSE)),0)+IFERROR(ROUND(VLOOKUP($A79,S275_21,8,FALSE)*VLOOKUP($A79,'3121% SY'!$C$3:$M$324,11,FALSE),3),0)+IFERROR(ROUND(VLOOKUP($A79,S275_21,9,FALSE)*VLOOKUP($A79,'3121% SY'!$C$3:$M$324,11,FALSE),3),0)+IFERROR(ROUND(VLOOKUP($A79,S275_21,10,FALSE)*VLOOKUP($A79,'3121% SY'!$C$3:$M$324,11,FALSE),3),0)+IFERROR(VLOOKUP($A79,S275_09,4,FALSE),0)</f>
        <v>0</v>
      </c>
      <c r="AG79" s="267">
        <f>IFERROR(VLOOKUP($A79,Supp_35,14,FALSE),0)+IFERROR(SUMPRODUCT(VLOOKUP($A79,S275_01,{11,12,13},FALSE)),0)+IFERROR(SUMPRODUCT(VLOOKUP($A79,S275_97,{11,12,13},FALSE)),0)+IFERROR(ROUND(VLOOKUP($A79,S275_21,11,FALSE)*VLOOKUP($A79,'3121% SY'!$C$3:$M$324,11,FALSE),3),0)+IFERROR(ROUND(VLOOKUP($A79,S275_21,12,FALSE)*VLOOKUP($A79,'3121% SY'!$C$3:$M$324,11,FALSE),3),0)+IFERROR(ROUND(VLOOKUP($A79,S275_21,13,FALSE)*VLOOKUP($A79,'3121% SY'!$C$3:$M$324,11,FALSE),3),0)+IFERROR(VLOOKUP($A79,S275_09,5,FALSE),0)</f>
        <v>0</v>
      </c>
      <c r="AH79" s="165">
        <f t="shared" si="26"/>
        <v>1</v>
      </c>
      <c r="AI79" s="161">
        <f>IFERROR(VLOOKUP(A79,'Supp Staff Data'!A:ER,148,FALSE),0)+AB79</f>
        <v>0.39</v>
      </c>
      <c r="AJ79" s="174">
        <v>0.92310000000000003</v>
      </c>
      <c r="AK79" s="25">
        <f>VLOOKUP(A79,'Enroll Data as of January 2025'!$A$3:$T$323,20,FALSE)-F79</f>
        <v>0</v>
      </c>
    </row>
    <row r="80" spans="1:37" x14ac:dyDescent="0.25">
      <c r="A80" s="171" t="s">
        <v>199</v>
      </c>
      <c r="B80" t="s">
        <v>494</v>
      </c>
      <c r="C80" s="173" t="s">
        <v>1077</v>
      </c>
      <c r="D80" s="259">
        <f t="shared" si="19"/>
        <v>2.6669999999999998</v>
      </c>
      <c r="E80" s="259">
        <f t="shared" si="20"/>
        <v>1.756</v>
      </c>
      <c r="F80" s="262">
        <f t="shared" ref="F80:F85" si="27">ROUND((AC80+AH80)-(O80+R80),3)</f>
        <v>-0.91100000000000003</v>
      </c>
      <c r="G80" s="161">
        <f>ROUND(IF(F80&lt;0,F80*'2024-25 PSES Compliance'!$G$13,0),3)</f>
        <v>-0.875</v>
      </c>
      <c r="H80" s="161">
        <f>ROUND(IF(F80&lt;0,F80*'2024-25 PSES Compliance'!$G$14,0),3)</f>
        <v>-3.5999999999999997E-2</v>
      </c>
      <c r="I80" s="174">
        <f t="shared" si="21"/>
        <v>0.63952164009111612</v>
      </c>
      <c r="J80" s="174">
        <f t="shared" si="22"/>
        <v>0</v>
      </c>
      <c r="K80" s="161">
        <f>VLOOKUP($A80,'Enroll Data as of January 2025'!$A$3:$M$322,6,FALSE)</f>
        <v>1.581</v>
      </c>
      <c r="L80" s="161">
        <f>VLOOKUP($A80,'Enroll Data as of January 2025'!$A$3:$M$322,7,FALSE)</f>
        <v>0.21200000000000002</v>
      </c>
      <c r="M80" s="161">
        <f>VLOOKUP($A80,'Enroll Data as of January 2025'!$A$3:$M$322,8,FALSE)</f>
        <v>7.0999999999999994E-2</v>
      </c>
      <c r="N80" s="161">
        <f>VLOOKUP($A80,'Enroll Data as of January 2025'!$A$3:$M$322,9,FALSE)</f>
        <v>0.66599999999999993</v>
      </c>
      <c r="O80" s="165">
        <f t="shared" si="23"/>
        <v>2.5299999999999998</v>
      </c>
      <c r="P80" s="161">
        <f>VLOOKUP($A80,'Enroll Data as of January 2025'!$A$3:$M$322,11,FALSE)</f>
        <v>9.2999999999999999E-2</v>
      </c>
      <c r="Q80" s="161">
        <f>VLOOKUP($A80,'Enroll Data as of January 2025'!$A$3:$M$322,12,FALSE)</f>
        <v>4.3999999999999997E-2</v>
      </c>
      <c r="R80" s="165">
        <f t="shared" si="24"/>
        <v>0.13700000000000001</v>
      </c>
      <c r="S80" s="267">
        <f>IFERROR(VLOOKUP($A80,Supp_39,14,FALSE),0)+IFERROR(SUMPRODUCT(VLOOKUP($A80,S275_01,{14,15,16},FALSE)),0)+IFERROR(SUMPRODUCT(VLOOKUP($A80,S275_97,{14,15,16},FALSE)),0)+IFERROR(ROUND(VLOOKUP($A80,S275_21,14,FALSE)*VLOOKUP($A80,'3121% SY'!$C$3:$M$324,11,FALSE),3),0)+IFERROR(ROUND(VLOOKUP($A80,S275_21,15,FALSE)*VLOOKUP($A80,'3121% SY'!$C$3:$M$324,11,FALSE),3),0)+IFERROR(ROUND(VLOOKUP($A80,S275_21,16,FALSE)*VLOOKUP($A80,'3121% SY'!$C$3:$M$324,11,FALSE),3),0)+IFERROR(VLOOKUP($A80,S275_09,6,FALSE),0)</f>
        <v>0.8</v>
      </c>
      <c r="T80" s="267">
        <f>IFERROR(VLOOKUP($A80,Supp_42,14,FALSE),0)+IFERROR(SUMPRODUCT(VLOOKUP($A80,S275_01,{17,18,19},FALSE)),0)+IFERROR(SUMPRODUCT(VLOOKUP($A80,S275_97,{17,18,19},FALSE)),0)+IFERROR(ROUND(VLOOKUP($A80,S275_21,17,FALSE)*VLOOKUP($A80,'3121% SY'!$C$3:$M$324,11,FALSE),3),0)+IFERROR(ROUND(VLOOKUP($A80,S275_21,18,FALSE)*VLOOKUP($A80,'3121% SY'!$C$3:$M$324,11,FALSE),3),0)+IFERROR(ROUND(VLOOKUP($A80,S275_21,19,FALSE)*VLOOKUP($A80,'3121% SY'!$C$3:$M$324,11,FALSE),3),0)+IFERROR(VLOOKUP($A80,S275_09,7,FALSE),0)</f>
        <v>0.2</v>
      </c>
      <c r="U80" s="267">
        <f>IFERROR(VLOOKUP($A80,Supp_43,14,FALSE),0)+IFERROR(SUMPRODUCT(VLOOKUP($A80,S275_01,{20,21,22},FALSE)),0)+IFERROR(SUMPRODUCT(VLOOKUP($A80,S275_97,{20,21,22},FALSE)),0)+IFERROR(ROUND(VLOOKUP($A80,S275_21,20,FALSE)*VLOOKUP($A80,'3121% SY'!$C$3:$M$324,11,FALSE),3),0)+IFERROR(ROUND(VLOOKUP($A80,S275_21,21,FALSE)*VLOOKUP($A80,'3121% SY'!$C$3:$M$324,11,FALSE),3),0)+IFERROR(ROUND(VLOOKUP($A80,S275_21,22,FALSE)*VLOOKUP($A80,'3121% SY'!$C$3:$M$324,11,FALSE),3),0)+IFERROR(VLOOKUP($A80,S275_09,8,FALSE),0)</f>
        <v>0.123</v>
      </c>
      <c r="V80" s="267">
        <f>IFERROR(VLOOKUP($A80,Supp_44,14,FALSE),0)+IFERROR(SUMPRODUCT(VLOOKUP($A80,S275_01,{23,24,25},FALSE)),0)+IFERROR(SUMPRODUCT(VLOOKUP($A80,S275_97,{23,24,25},FALSE)),0)+IFERROR(ROUND(VLOOKUP($A80,S275_21,23,FALSE)*VLOOKUP($A80,'3121% SY'!$C$3:$M$324,11,FALSE),3),0)+IFERROR(ROUND(VLOOKUP($A80,S275_21,24,FALSE)*VLOOKUP($A80,'3121% SY'!$C$3:$M$324,11,FALSE),3),0)+IFERROR(ROUND(VLOOKUP($A80,S275_21,25,FALSE)*VLOOKUP($A80,'3121% SY'!$C$3:$M$324,11,FALSE),3),0)+IFERROR(VLOOKUP($A80,S275_09,9,FALSE),0)</f>
        <v>0</v>
      </c>
      <c r="W80" s="267">
        <f>IFERROR(VLOOKUP($A80,Supp_45,14,FALSE),0)+IFERROR(SUMPRODUCT(VLOOKUP($A80,S275_01,{26,27,28},FALSE)),0)+IFERROR(SUMPRODUCT(VLOOKUP($A80,S275_97,{26,27,28},FALSE)),0)+IFERROR(ROUND(VLOOKUP($A80,S275_21,26,FALSE)*VLOOKUP($A80,'3121% SY'!$C$3:$M$324,11,FALSE),3),0)+IFERROR(ROUND(VLOOKUP($A80,S275_21,27,FALSE)*VLOOKUP($A80,'3121% SY'!$C$3:$M$324,11,FALSE),3),0)+IFERROR(ROUND(VLOOKUP($A80,S275_21,28,FALSE)*VLOOKUP($A80,'3121% SY'!$C$3:$M$324,11,FALSE),3),0)+IFERROR(VLOOKUP($A80,S275_09,10,FALSE),0)</f>
        <v>0</v>
      </c>
      <c r="X80" s="267">
        <f>IFERROR(VLOOKUP($A80,Supp_46,14,FALSE),0)+IFERROR(SUMPRODUCT(VLOOKUP($A80,S275_01,{29,30,31},FALSE)),0)+IFERROR(SUMPRODUCT(VLOOKUP($A80,S275_97,{29,30,31},FALSE)),0)+IFERROR(ROUND(VLOOKUP($A80,S275_21,29,FALSE)*VLOOKUP($A80,'3121% SY'!$C$3:$M$324,11,FALSE),3),0)+IFERROR(ROUND(VLOOKUP($A80,S275_21,30,FALSE)*VLOOKUP($A80,'3121% SY'!$C$3:$M$324,11,FALSE),3),0)+IFERROR(ROUND(VLOOKUP($A80,S275_21,31,FALSE)*VLOOKUP($A80,'3121% SY'!$C$3:$M$324,11,FALSE),3),0)+IFERROR(VLOOKUP($A80,S275_09,11,FALSE),0)</f>
        <v>0</v>
      </c>
      <c r="Y80" s="267">
        <f>IFERROR(VLOOKUP($A80,Supp_47,14,FALSE),0)+IFERROR(SUMPRODUCT(VLOOKUP($A80,S275_01,{32,33,34},FALSE)),0)+IFERROR(SUMPRODUCT(VLOOKUP($A80,S275_97,{32,33,34},FALSE)),0)+IFERROR(ROUND(VLOOKUP($A80,S275_21,32,FALSE)*VLOOKUP($A80,'3121% SY'!$C$3:$M$324,11,FALSE),3),0)+IFERROR(ROUND(VLOOKUP($A80,S275_21,33,FALSE)*VLOOKUP($A80,'3121% SY'!$C$3:$M$324,11,FALSE),3),0)+IFERROR(ROUND(VLOOKUP($A80,S275_21,34,FALSE)*VLOOKUP($A80,'3121% SY'!$C$3:$M$324,11,FALSE),3),0)+IFERROR(VLOOKUP($A80,S275_09,12,FALSE),0)</f>
        <v>0</v>
      </c>
      <c r="Z80" s="267">
        <f>IFERROR(VLOOKUP($A80,Supp_48,14,FALSE),0)+IFERROR(SUMPRODUCT(VLOOKUP($A80,S275_01,{35,36,37},FALSE)),0)+IFERROR(SUMPRODUCT(VLOOKUP($A80,S275_97,{35,36,37},FALSE)),0)+IFERROR(ROUND(VLOOKUP($A80,S275_21,35,FALSE)*VLOOKUP($A80,'3121% SY'!$C$3:$M$324,11,FALSE),3),0)+IFERROR(ROUND(VLOOKUP($A80,S275_21,36,FALSE)*VLOOKUP($A80,'3121% SY'!$C$3:$M$324,11,FALSE),3),0)+IFERROR(ROUND(VLOOKUP($A80,S275_21,37,FALSE)*VLOOKUP($A80,'3121% SY'!$C$3:$M$324,11,FALSE),3),0)+IFERROR(VLOOKUP($A80,S275_09,13,FALSE),0)</f>
        <v>0</v>
      </c>
      <c r="AA80" s="267">
        <f>IFERROR(VLOOKUP($A80,Supp_49,14,FALSE),0)+IFERROR(SUMPRODUCT(VLOOKUP($A80,S275_01,{38,39,40},FALSE)),0)+IFERROR(SUMPRODUCT(VLOOKUP($A80,S275_97,{38,39,40},FALSE)),0)+IFERROR(ROUND(VLOOKUP($A80,S275_21,38,FALSE)*VLOOKUP($A80,'3121% SY'!$C$3:$M$324,11,FALSE),3),0)+IFERROR(ROUND(VLOOKUP($A80,S275_21,39,FALSE)*VLOOKUP($A80,'3121% SY'!$C$3:$M$324,11,FALSE),3),0)+IFERROR(ROUND(VLOOKUP($A80,S275_21,40,FALSE)*VLOOKUP($A80,'3121% SY'!$C$3:$M$324,11,FALSE),3),0)+IFERROR(VLOOKUP($A80,S275_09,14,FALSE),0)</f>
        <v>0</v>
      </c>
      <c r="AB80" s="267">
        <f>IFERROR(VLOOKUP($A80,Supp_64,14,FALSE),0)+IFERROR(SUMPRODUCT(VLOOKUP($A80,S275_01,{41,42,43},FALSE)),0)+IFERROR(SUMPRODUCT(VLOOKUP($A80,S275_97,{41,42,43},FALSE)),0)+IFERROR(ROUND(VLOOKUP($A80,S275_21,41,FALSE)*VLOOKUP($A80,'3121% SY'!$C$3:$M$324,11,FALSE),3),0)+IFERROR(ROUND(VLOOKUP($A80,S275_21,42,FALSE)*VLOOKUP($A80,'3121% SY'!$C$3:$M$324,11,FALSE),3),0)+IFERROR(ROUND(VLOOKUP($A80,S275_21,43,FALSE)*VLOOKUP($A80,'3121% SY'!$C$3:$M$324,11,FALSE),3),0)+IFERROR(VLOOKUP($A80,S275_09,15,FALSE),0)</f>
        <v>0</v>
      </c>
      <c r="AC80" s="268">
        <f t="shared" si="25"/>
        <v>1.123</v>
      </c>
      <c r="AD80" s="267">
        <f>IFERROR(VLOOKUP($A80,Supp_24,14,FALSE),0)+IFERROR(SUMPRODUCT(VLOOKUP($A80,S275_01,{2,3,4},FALSE)),0)+IFERROR(SUMPRODUCT(VLOOKUP($A80,S275_97,{2,3,4},FALSE)),0)+IFERROR(ROUND(VLOOKUP($A80,S275_21,2,FALSE)*VLOOKUP($A80,'3121% SY'!$C$3:$M$324,11,FALSE),3),0)+IFERROR(ROUND(VLOOKUP($A80,S275_21,3,FALSE)*VLOOKUP($A80,'3121% SY'!$C$3:$M$324,11,FALSE),3),0)+IFERROR(ROUND(VLOOKUP($A80,S275_21,4,FALSE)*VLOOKUP($A80,'3121% SY'!$C$3:$M$324,11,FALSE),3),0)+IFERROR(VLOOKUP($A80,S275_09,2,FALSE),0)</f>
        <v>0</v>
      </c>
      <c r="AE80" s="267">
        <f>IFERROR(VLOOKUP($A80,Supp_25,14,FALSE),0)+IFERROR(SUMPRODUCT(VLOOKUP($A80,S275_01,{5,6,7},FALSE)),0)+IFERROR(SUMPRODUCT(VLOOKUP($A80,S275_97,{5,6,7},FALSE)),0)+IFERROR(ROUND(VLOOKUP($A80,S275_21,5,FALSE)*VLOOKUP($A80,'3121% SY'!$C$3:$M$324,11,FALSE),3),0)+IFERROR(ROUND(VLOOKUP($A80,S275_21,6,FALSE)*VLOOKUP($A80,'3121% SY'!$C$3:$M$324,11,FALSE),3),0)+IFERROR(ROUND(VLOOKUP($A80,S275_21,7,FALSE)*VLOOKUP($A80,'3121% SY'!$C$3:$M$324,11,FALSE),3),0)+IFERROR(VLOOKUP($A80,S275_09,3,FALSE),0)</f>
        <v>0</v>
      </c>
      <c r="AF80" s="267">
        <f>IFERROR(VLOOKUP($A80,Supp_26,14,FALSE),0)+IFERROR(SUMPRODUCT(VLOOKUP($A80,S275_01,{8,9,10},FALSE)),0)+IFERROR(SUMPRODUCT(VLOOKUP($A80,S275_97,{8,9,10},FALSE)),0)+IFERROR(ROUND(VLOOKUP($A80,S275_21,8,FALSE)*VLOOKUP($A80,'3121% SY'!$C$3:$M$324,11,FALSE),3),0)+IFERROR(ROUND(VLOOKUP($A80,S275_21,9,FALSE)*VLOOKUP($A80,'3121% SY'!$C$3:$M$324,11,FALSE),3),0)+IFERROR(ROUND(VLOOKUP($A80,S275_21,10,FALSE)*VLOOKUP($A80,'3121% SY'!$C$3:$M$324,11,FALSE),3),0)+IFERROR(VLOOKUP($A80,S275_09,4,FALSE),0)</f>
        <v>0.63300000000000001</v>
      </c>
      <c r="AG80" s="267">
        <f>IFERROR(VLOOKUP($A80,Supp_35,14,FALSE),0)+IFERROR(SUMPRODUCT(VLOOKUP($A80,S275_01,{11,12,13},FALSE)),0)+IFERROR(SUMPRODUCT(VLOOKUP($A80,S275_97,{11,12,13},FALSE)),0)+IFERROR(ROUND(VLOOKUP($A80,S275_21,11,FALSE)*VLOOKUP($A80,'3121% SY'!$C$3:$M$324,11,FALSE),3),0)+IFERROR(ROUND(VLOOKUP($A80,S275_21,12,FALSE)*VLOOKUP($A80,'3121% SY'!$C$3:$M$324,11,FALSE),3),0)+IFERROR(ROUND(VLOOKUP($A80,S275_21,13,FALSE)*VLOOKUP($A80,'3121% SY'!$C$3:$M$324,11,FALSE),3),0)+IFERROR(VLOOKUP($A80,S275_09,5,FALSE),0)</f>
        <v>0</v>
      </c>
      <c r="AH80" s="165">
        <f t="shared" si="26"/>
        <v>0.63300000000000001</v>
      </c>
      <c r="AI80" s="161">
        <f>IFERROR(VLOOKUP(A80,'Supp Staff Data'!A:ER,148,FALSE),0)+AB80</f>
        <v>0</v>
      </c>
      <c r="AJ80" s="174">
        <v>1</v>
      </c>
      <c r="AK80" s="25">
        <f>VLOOKUP(A80,'Enroll Data as of January 2025'!$A$3:$T$323,20,FALSE)-F80</f>
        <v>0</v>
      </c>
    </row>
    <row r="81" spans="1:37" x14ac:dyDescent="0.25">
      <c r="A81" s="171" t="s">
        <v>35</v>
      </c>
      <c r="B81" t="s">
        <v>331</v>
      </c>
      <c r="C81" s="173" t="s">
        <v>1077</v>
      </c>
      <c r="D81" s="259">
        <f t="shared" si="19"/>
        <v>0.91600000000000015</v>
      </c>
      <c r="E81" s="259">
        <f t="shared" si="20"/>
        <v>1.1459999999999999</v>
      </c>
      <c r="F81" s="262">
        <f t="shared" si="27"/>
        <v>0.23</v>
      </c>
      <c r="G81" s="161">
        <f>ROUND(IF(F81&lt;0,F81*'2024-25 PSES Compliance'!$G$13,0),3)</f>
        <v>0</v>
      </c>
      <c r="H81" s="161">
        <f>ROUND(IF(F81&lt;0,F81*'2024-25 PSES Compliance'!$G$14,0),3)</f>
        <v>0</v>
      </c>
      <c r="I81" s="174">
        <f t="shared" si="21"/>
        <v>0.30017452006980805</v>
      </c>
      <c r="J81" s="174">
        <f t="shared" si="22"/>
        <v>0</v>
      </c>
      <c r="K81" s="161">
        <f>VLOOKUP($A81,'Enroll Data as of January 2025'!$A$3:$M$322,6,FALSE)</f>
        <v>0.45400000000000001</v>
      </c>
      <c r="L81" s="161">
        <f>VLOOKUP($A81,'Enroll Data as of January 2025'!$A$3:$M$322,7,FALSE)</f>
        <v>0.10800000000000001</v>
      </c>
      <c r="M81" s="161">
        <f>VLOOKUP($A81,'Enroll Data as of January 2025'!$A$3:$M$322,8,FALSE)</f>
        <v>3.6000000000000004E-2</v>
      </c>
      <c r="N81" s="161">
        <f>VLOOKUP($A81,'Enroll Data as of January 2025'!$A$3:$M$322,9,FALSE)</f>
        <v>0.25800000000000001</v>
      </c>
      <c r="O81" s="165">
        <f t="shared" si="23"/>
        <v>0.85600000000000009</v>
      </c>
      <c r="P81" s="161">
        <f>VLOOKUP($A81,'Enroll Data as of January 2025'!$A$3:$M$322,11,FALSE)</f>
        <v>3.3000000000000002E-2</v>
      </c>
      <c r="Q81" s="161">
        <f>VLOOKUP($A81,'Enroll Data as of January 2025'!$A$3:$M$322,12,FALSE)</f>
        <v>2.7E-2</v>
      </c>
      <c r="R81" s="165">
        <f t="shared" si="24"/>
        <v>0.06</v>
      </c>
      <c r="S81" s="267">
        <f>IFERROR(VLOOKUP($A81,Supp_39,14,FALSE),0)+IFERROR(SUMPRODUCT(VLOOKUP($A81,S275_01,{14,15,16},FALSE)),0)+IFERROR(SUMPRODUCT(VLOOKUP($A81,S275_97,{14,15,16},FALSE)),0)+IFERROR(ROUND(VLOOKUP($A81,S275_21,14,FALSE)*VLOOKUP($A81,'3121% SY'!$C$3:$M$324,11,FALSE),3),0)+IFERROR(ROUND(VLOOKUP($A81,S275_21,15,FALSE)*VLOOKUP($A81,'3121% SY'!$C$3:$M$324,11,FALSE),3),0)+IFERROR(ROUND(VLOOKUP($A81,S275_21,16,FALSE)*VLOOKUP($A81,'3121% SY'!$C$3:$M$324,11,FALSE),3),0)+IFERROR(VLOOKUP($A81,S275_09,6,FALSE),0)</f>
        <v>0</v>
      </c>
      <c r="T81" s="267">
        <f>IFERROR(VLOOKUP($A81,Supp_42,14,FALSE),0)+IFERROR(SUMPRODUCT(VLOOKUP($A81,S275_01,{17,18,19},FALSE)),0)+IFERROR(SUMPRODUCT(VLOOKUP($A81,S275_97,{17,18,19},FALSE)),0)+IFERROR(ROUND(VLOOKUP($A81,S275_21,17,FALSE)*VLOOKUP($A81,'3121% SY'!$C$3:$M$324,11,FALSE),3),0)+IFERROR(ROUND(VLOOKUP($A81,S275_21,18,FALSE)*VLOOKUP($A81,'3121% SY'!$C$3:$M$324,11,FALSE),3),0)+IFERROR(ROUND(VLOOKUP($A81,S275_21,19,FALSE)*VLOOKUP($A81,'3121% SY'!$C$3:$M$324,11,FALSE),3),0)+IFERROR(VLOOKUP($A81,S275_09,7,FALSE),0)</f>
        <v>0.34399999999999997</v>
      </c>
      <c r="U81" s="267">
        <f>IFERROR(VLOOKUP($A81,Supp_43,14,FALSE),0)+IFERROR(SUMPRODUCT(VLOOKUP($A81,S275_01,{20,21,22},FALSE)),0)+IFERROR(SUMPRODUCT(VLOOKUP($A81,S275_97,{20,21,22},FALSE)),0)+IFERROR(ROUND(VLOOKUP($A81,S275_21,20,FALSE)*VLOOKUP($A81,'3121% SY'!$C$3:$M$324,11,FALSE),3),0)+IFERROR(ROUND(VLOOKUP($A81,S275_21,21,FALSE)*VLOOKUP($A81,'3121% SY'!$C$3:$M$324,11,FALSE),3),0)+IFERROR(ROUND(VLOOKUP($A81,S275_21,22,FALSE)*VLOOKUP($A81,'3121% SY'!$C$3:$M$324,11,FALSE),3),0)+IFERROR(VLOOKUP($A81,S275_09,8,FALSE),0)</f>
        <v>0</v>
      </c>
      <c r="V81" s="267">
        <f>IFERROR(VLOOKUP($A81,Supp_44,14,FALSE),0)+IFERROR(SUMPRODUCT(VLOOKUP($A81,S275_01,{23,24,25},FALSE)),0)+IFERROR(SUMPRODUCT(VLOOKUP($A81,S275_97,{23,24,25},FALSE)),0)+IFERROR(ROUND(VLOOKUP($A81,S275_21,23,FALSE)*VLOOKUP($A81,'3121% SY'!$C$3:$M$324,11,FALSE),3),0)+IFERROR(ROUND(VLOOKUP($A81,S275_21,24,FALSE)*VLOOKUP($A81,'3121% SY'!$C$3:$M$324,11,FALSE),3),0)+IFERROR(ROUND(VLOOKUP($A81,S275_21,25,FALSE)*VLOOKUP($A81,'3121% SY'!$C$3:$M$324,11,FALSE),3),0)+IFERROR(VLOOKUP($A81,S275_09,9,FALSE),0)</f>
        <v>0</v>
      </c>
      <c r="W81" s="267">
        <f>IFERROR(VLOOKUP($A81,Supp_45,14,FALSE),0)+IFERROR(SUMPRODUCT(VLOOKUP($A81,S275_01,{26,27,28},FALSE)),0)+IFERROR(SUMPRODUCT(VLOOKUP($A81,S275_97,{26,27,28},FALSE)),0)+IFERROR(ROUND(VLOOKUP($A81,S275_21,26,FALSE)*VLOOKUP($A81,'3121% SY'!$C$3:$M$324,11,FALSE),3),0)+IFERROR(ROUND(VLOOKUP($A81,S275_21,27,FALSE)*VLOOKUP($A81,'3121% SY'!$C$3:$M$324,11,FALSE),3),0)+IFERROR(ROUND(VLOOKUP($A81,S275_21,28,FALSE)*VLOOKUP($A81,'3121% SY'!$C$3:$M$324,11,FALSE),3),0)+IFERROR(VLOOKUP($A81,S275_09,10,FALSE),0)</f>
        <v>0</v>
      </c>
      <c r="X81" s="267">
        <f>IFERROR(VLOOKUP($A81,Supp_46,14,FALSE),0)+IFERROR(SUMPRODUCT(VLOOKUP($A81,S275_01,{29,30,31},FALSE)),0)+IFERROR(SUMPRODUCT(VLOOKUP($A81,S275_97,{29,30,31},FALSE)),0)+IFERROR(ROUND(VLOOKUP($A81,S275_21,29,FALSE)*VLOOKUP($A81,'3121% SY'!$C$3:$M$324,11,FALSE),3),0)+IFERROR(ROUND(VLOOKUP($A81,S275_21,30,FALSE)*VLOOKUP($A81,'3121% SY'!$C$3:$M$324,11,FALSE),3),0)+IFERROR(ROUND(VLOOKUP($A81,S275_21,31,FALSE)*VLOOKUP($A81,'3121% SY'!$C$3:$M$324,11,FALSE),3),0)+IFERROR(VLOOKUP($A81,S275_09,11,FALSE),0)</f>
        <v>0</v>
      </c>
      <c r="Y81" s="267">
        <f>IFERROR(VLOOKUP($A81,Supp_47,14,FALSE),0)+IFERROR(SUMPRODUCT(VLOOKUP($A81,S275_01,{32,33,34},FALSE)),0)+IFERROR(SUMPRODUCT(VLOOKUP($A81,S275_97,{32,33,34},FALSE)),0)+IFERROR(ROUND(VLOOKUP($A81,S275_21,32,FALSE)*VLOOKUP($A81,'3121% SY'!$C$3:$M$324,11,FALSE),3),0)+IFERROR(ROUND(VLOOKUP($A81,S275_21,33,FALSE)*VLOOKUP($A81,'3121% SY'!$C$3:$M$324,11,FALSE),3),0)+IFERROR(ROUND(VLOOKUP($A81,S275_21,34,FALSE)*VLOOKUP($A81,'3121% SY'!$C$3:$M$324,11,FALSE),3),0)+IFERROR(VLOOKUP($A81,S275_09,12,FALSE),0)</f>
        <v>0</v>
      </c>
      <c r="Z81" s="267">
        <f>IFERROR(VLOOKUP($A81,Supp_48,14,FALSE),0)+IFERROR(SUMPRODUCT(VLOOKUP($A81,S275_01,{35,36,37},FALSE)),0)+IFERROR(SUMPRODUCT(VLOOKUP($A81,S275_97,{35,36,37},FALSE)),0)+IFERROR(ROUND(VLOOKUP($A81,S275_21,35,FALSE)*VLOOKUP($A81,'3121% SY'!$C$3:$M$324,11,FALSE),3),0)+IFERROR(ROUND(VLOOKUP($A81,S275_21,36,FALSE)*VLOOKUP($A81,'3121% SY'!$C$3:$M$324,11,FALSE),3),0)+IFERROR(ROUND(VLOOKUP($A81,S275_21,37,FALSE)*VLOOKUP($A81,'3121% SY'!$C$3:$M$324,11,FALSE),3),0)+IFERROR(VLOOKUP($A81,S275_09,13,FALSE),0)</f>
        <v>0</v>
      </c>
      <c r="AA81" s="267">
        <f>IFERROR(VLOOKUP($A81,Supp_49,14,FALSE),0)+IFERROR(SUMPRODUCT(VLOOKUP($A81,S275_01,{38,39,40},FALSE)),0)+IFERROR(SUMPRODUCT(VLOOKUP($A81,S275_97,{38,39,40},FALSE)),0)+IFERROR(ROUND(VLOOKUP($A81,S275_21,38,FALSE)*VLOOKUP($A81,'3121% SY'!$C$3:$M$324,11,FALSE),3),0)+IFERROR(ROUND(VLOOKUP($A81,S275_21,39,FALSE)*VLOOKUP($A81,'3121% SY'!$C$3:$M$324,11,FALSE),3),0)+IFERROR(ROUND(VLOOKUP($A81,S275_21,40,FALSE)*VLOOKUP($A81,'3121% SY'!$C$3:$M$324,11,FALSE),3),0)+IFERROR(VLOOKUP($A81,S275_09,14,FALSE),0)</f>
        <v>0</v>
      </c>
      <c r="AB81" s="267">
        <f>IFERROR(VLOOKUP($A81,Supp_64,14,FALSE),0)+IFERROR(SUMPRODUCT(VLOOKUP($A81,S275_01,{41,42,43},FALSE)),0)+IFERROR(SUMPRODUCT(VLOOKUP($A81,S275_97,{41,42,43},FALSE)),0)+IFERROR(ROUND(VLOOKUP($A81,S275_21,41,FALSE)*VLOOKUP($A81,'3121% SY'!$C$3:$M$324,11,FALSE),3),0)+IFERROR(ROUND(VLOOKUP($A81,S275_21,42,FALSE)*VLOOKUP($A81,'3121% SY'!$C$3:$M$324,11,FALSE),3),0)+IFERROR(ROUND(VLOOKUP($A81,S275_21,43,FALSE)*VLOOKUP($A81,'3121% SY'!$C$3:$M$324,11,FALSE),3),0)+IFERROR(VLOOKUP($A81,S275_09,15,FALSE),0)</f>
        <v>0</v>
      </c>
      <c r="AC81" s="268">
        <f t="shared" si="25"/>
        <v>0.34399999999999997</v>
      </c>
      <c r="AD81" s="267">
        <f>IFERROR(VLOOKUP($A81,Supp_24,14,FALSE),0)+IFERROR(SUMPRODUCT(VLOOKUP($A81,S275_01,{2,3,4},FALSE)),0)+IFERROR(SUMPRODUCT(VLOOKUP($A81,S275_97,{2,3,4},FALSE)),0)+IFERROR(ROUND(VLOOKUP($A81,S275_21,2,FALSE)*VLOOKUP($A81,'3121% SY'!$C$3:$M$324,11,FALSE),3),0)+IFERROR(ROUND(VLOOKUP($A81,S275_21,3,FALSE)*VLOOKUP($A81,'3121% SY'!$C$3:$M$324,11,FALSE),3),0)+IFERROR(ROUND(VLOOKUP($A81,S275_21,4,FALSE)*VLOOKUP($A81,'3121% SY'!$C$3:$M$324,11,FALSE),3),0)+IFERROR(VLOOKUP($A81,S275_09,2,FALSE),0)</f>
        <v>0</v>
      </c>
      <c r="AE81" s="267">
        <f>IFERROR(VLOOKUP($A81,Supp_25,14,FALSE),0)+IFERROR(SUMPRODUCT(VLOOKUP($A81,S275_01,{5,6,7},FALSE)),0)+IFERROR(SUMPRODUCT(VLOOKUP($A81,S275_97,{5,6,7},FALSE)),0)+IFERROR(ROUND(VLOOKUP($A81,S275_21,5,FALSE)*VLOOKUP($A81,'3121% SY'!$C$3:$M$324,11,FALSE),3),0)+IFERROR(ROUND(VLOOKUP($A81,S275_21,6,FALSE)*VLOOKUP($A81,'3121% SY'!$C$3:$M$324,11,FALSE),3),0)+IFERROR(ROUND(VLOOKUP($A81,S275_21,7,FALSE)*VLOOKUP($A81,'3121% SY'!$C$3:$M$324,11,FALSE),3),0)+IFERROR(VLOOKUP($A81,S275_09,3,FALSE),0)</f>
        <v>0.55200000000000005</v>
      </c>
      <c r="AF81" s="267">
        <f>IFERROR(VLOOKUP($A81,Supp_26,14,FALSE),0)+IFERROR(SUMPRODUCT(VLOOKUP($A81,S275_01,{8,9,10},FALSE)),0)+IFERROR(SUMPRODUCT(VLOOKUP($A81,S275_97,{8,9,10},FALSE)),0)+IFERROR(ROUND(VLOOKUP($A81,S275_21,8,FALSE)*VLOOKUP($A81,'3121% SY'!$C$3:$M$324,11,FALSE),3),0)+IFERROR(ROUND(VLOOKUP($A81,S275_21,9,FALSE)*VLOOKUP($A81,'3121% SY'!$C$3:$M$324,11,FALSE),3),0)+IFERROR(ROUND(VLOOKUP($A81,S275_21,10,FALSE)*VLOOKUP($A81,'3121% SY'!$C$3:$M$324,11,FALSE),3),0)+IFERROR(VLOOKUP($A81,S275_09,4,FALSE),0)</f>
        <v>0.25</v>
      </c>
      <c r="AG81" s="267">
        <f>IFERROR(VLOOKUP($A81,Supp_35,14,FALSE),0)+IFERROR(SUMPRODUCT(VLOOKUP($A81,S275_01,{11,12,13},FALSE)),0)+IFERROR(SUMPRODUCT(VLOOKUP($A81,S275_97,{11,12,13},FALSE)),0)+IFERROR(ROUND(VLOOKUP($A81,S275_21,11,FALSE)*VLOOKUP($A81,'3121% SY'!$C$3:$M$324,11,FALSE),3),0)+IFERROR(ROUND(VLOOKUP($A81,S275_21,12,FALSE)*VLOOKUP($A81,'3121% SY'!$C$3:$M$324,11,FALSE),3),0)+IFERROR(ROUND(VLOOKUP($A81,S275_21,13,FALSE)*VLOOKUP($A81,'3121% SY'!$C$3:$M$324,11,FALSE),3),0)+IFERROR(VLOOKUP($A81,S275_09,5,FALSE),0)</f>
        <v>0</v>
      </c>
      <c r="AH81" s="165">
        <f t="shared" si="26"/>
        <v>0.80200000000000005</v>
      </c>
      <c r="AI81" s="161">
        <f>IFERROR(VLOOKUP(A81,'Supp Staff Data'!A:ER,148,FALSE),0)+AB81</f>
        <v>0</v>
      </c>
      <c r="AJ81" s="174">
        <v>1</v>
      </c>
      <c r="AK81" s="25">
        <f>VLOOKUP(A81,'Enroll Data as of January 2025'!$A$3:$T$323,20,FALSE)-F81</f>
        <v>0</v>
      </c>
    </row>
    <row r="82" spans="1:37" x14ac:dyDescent="0.25">
      <c r="A82" s="171" t="s">
        <v>200</v>
      </c>
      <c r="B82" t="s">
        <v>495</v>
      </c>
      <c r="C82" s="173" t="s">
        <v>1077</v>
      </c>
      <c r="D82" s="259">
        <f t="shared" si="19"/>
        <v>1.1319999999999999</v>
      </c>
      <c r="E82" s="259">
        <f t="shared" si="20"/>
        <v>1.8329999999999997</v>
      </c>
      <c r="F82" s="262">
        <f t="shared" si="27"/>
        <v>0.70099999999999996</v>
      </c>
      <c r="G82" s="161">
        <f>ROUND(IF(F82&lt;0,F82*'2024-25 PSES Compliance'!$G$13,0),3)</f>
        <v>0</v>
      </c>
      <c r="H82" s="161">
        <f>ROUND(IF(F82&lt;0,F82*'2024-25 PSES Compliance'!$G$14,0),3)</f>
        <v>0</v>
      </c>
      <c r="I82" s="174">
        <f t="shared" si="21"/>
        <v>0.36333878887070375</v>
      </c>
      <c r="J82" s="174">
        <f t="shared" si="22"/>
        <v>0</v>
      </c>
      <c r="K82" s="161">
        <f>VLOOKUP($A82,'Enroll Data as of January 2025'!$A$3:$M$322,6,FALSE)</f>
        <v>0.67100000000000004</v>
      </c>
      <c r="L82" s="161">
        <f>VLOOKUP($A82,'Enroll Data as of January 2025'!$A$3:$M$322,7,FALSE)</f>
        <v>9.0000000000000011E-2</v>
      </c>
      <c r="M82" s="161">
        <f>VLOOKUP($A82,'Enroll Data as of January 2025'!$A$3:$M$322,8,FALSE)</f>
        <v>3.1000000000000003E-2</v>
      </c>
      <c r="N82" s="161">
        <f>VLOOKUP($A82,'Enroll Data as of January 2025'!$A$3:$M$322,9,FALSE)</f>
        <v>0.28100000000000003</v>
      </c>
      <c r="O82" s="165">
        <f t="shared" si="23"/>
        <v>1.073</v>
      </c>
      <c r="P82" s="161">
        <f>VLOOKUP($A82,'Enroll Data as of January 2025'!$A$3:$M$322,11,FALSE)</f>
        <v>0.04</v>
      </c>
      <c r="Q82" s="161">
        <f>VLOOKUP($A82,'Enroll Data as of January 2025'!$A$3:$M$322,12,FALSE)</f>
        <v>1.9E-2</v>
      </c>
      <c r="R82" s="165">
        <f t="shared" si="24"/>
        <v>5.8999999999999997E-2</v>
      </c>
      <c r="S82" s="267">
        <f>IFERROR(VLOOKUP($A82,Supp_39,14,FALSE),0)+IFERROR(SUMPRODUCT(VLOOKUP($A82,S275_01,{14,15,16},FALSE)),0)+IFERROR(SUMPRODUCT(VLOOKUP($A82,S275_97,{14,15,16},FALSE)),0)+IFERROR(ROUND(VLOOKUP($A82,S275_21,14,FALSE)*VLOOKUP($A82,'3121% SY'!$C$3:$M$324,11,FALSE),3),0)+IFERROR(ROUND(VLOOKUP($A82,S275_21,15,FALSE)*VLOOKUP($A82,'3121% SY'!$C$3:$M$324,11,FALSE),3),0)+IFERROR(ROUND(VLOOKUP($A82,S275_21,16,FALSE)*VLOOKUP($A82,'3121% SY'!$C$3:$M$324,11,FALSE),3),0)+IFERROR(VLOOKUP($A82,S275_09,6,FALSE),0)</f>
        <v>0.85000000000000009</v>
      </c>
      <c r="T82" s="267">
        <f>IFERROR(VLOOKUP($A82,Supp_42,14,FALSE),0)+IFERROR(SUMPRODUCT(VLOOKUP($A82,S275_01,{17,18,19},FALSE)),0)+IFERROR(SUMPRODUCT(VLOOKUP($A82,S275_97,{17,18,19},FALSE)),0)+IFERROR(ROUND(VLOOKUP($A82,S275_21,17,FALSE)*VLOOKUP($A82,'3121% SY'!$C$3:$M$324,11,FALSE),3),0)+IFERROR(ROUND(VLOOKUP($A82,S275_21,18,FALSE)*VLOOKUP($A82,'3121% SY'!$C$3:$M$324,11,FALSE),3),0)+IFERROR(ROUND(VLOOKUP($A82,S275_21,19,FALSE)*VLOOKUP($A82,'3121% SY'!$C$3:$M$324,11,FALSE),3),0)+IFERROR(VLOOKUP($A82,S275_09,7,FALSE),0)</f>
        <v>0.15</v>
      </c>
      <c r="U82" s="267">
        <f>IFERROR(VLOOKUP($A82,Supp_43,14,FALSE),0)+IFERROR(SUMPRODUCT(VLOOKUP($A82,S275_01,{20,21,22},FALSE)),0)+IFERROR(SUMPRODUCT(VLOOKUP($A82,S275_97,{20,21,22},FALSE)),0)+IFERROR(ROUND(VLOOKUP($A82,S275_21,20,FALSE)*VLOOKUP($A82,'3121% SY'!$C$3:$M$324,11,FALSE),3),0)+IFERROR(ROUND(VLOOKUP($A82,S275_21,21,FALSE)*VLOOKUP($A82,'3121% SY'!$C$3:$M$324,11,FALSE),3),0)+IFERROR(ROUND(VLOOKUP($A82,S275_21,22,FALSE)*VLOOKUP($A82,'3121% SY'!$C$3:$M$324,11,FALSE),3),0)+IFERROR(VLOOKUP($A82,S275_09,8,FALSE),0)</f>
        <v>0</v>
      </c>
      <c r="V82" s="267">
        <f>IFERROR(VLOOKUP($A82,Supp_44,14,FALSE),0)+IFERROR(SUMPRODUCT(VLOOKUP($A82,S275_01,{23,24,25},FALSE)),0)+IFERROR(SUMPRODUCT(VLOOKUP($A82,S275_97,{23,24,25},FALSE)),0)+IFERROR(ROUND(VLOOKUP($A82,S275_21,23,FALSE)*VLOOKUP($A82,'3121% SY'!$C$3:$M$324,11,FALSE),3),0)+IFERROR(ROUND(VLOOKUP($A82,S275_21,24,FALSE)*VLOOKUP($A82,'3121% SY'!$C$3:$M$324,11,FALSE),3),0)+IFERROR(ROUND(VLOOKUP($A82,S275_21,25,FALSE)*VLOOKUP($A82,'3121% SY'!$C$3:$M$324,11,FALSE),3),0)+IFERROR(VLOOKUP($A82,S275_09,9,FALSE),0)</f>
        <v>0</v>
      </c>
      <c r="W82" s="267">
        <f>IFERROR(VLOOKUP($A82,Supp_45,14,FALSE),0)+IFERROR(SUMPRODUCT(VLOOKUP($A82,S275_01,{26,27,28},FALSE)),0)+IFERROR(SUMPRODUCT(VLOOKUP($A82,S275_97,{26,27,28},FALSE)),0)+IFERROR(ROUND(VLOOKUP($A82,S275_21,26,FALSE)*VLOOKUP($A82,'3121% SY'!$C$3:$M$324,11,FALSE),3),0)+IFERROR(ROUND(VLOOKUP($A82,S275_21,27,FALSE)*VLOOKUP($A82,'3121% SY'!$C$3:$M$324,11,FALSE),3),0)+IFERROR(ROUND(VLOOKUP($A82,S275_21,28,FALSE)*VLOOKUP($A82,'3121% SY'!$C$3:$M$324,11,FALSE),3),0)+IFERROR(VLOOKUP($A82,S275_09,10,FALSE),0)</f>
        <v>0.10999999999999999</v>
      </c>
      <c r="X82" s="267">
        <f>IFERROR(VLOOKUP($A82,Supp_46,14,FALSE),0)+IFERROR(SUMPRODUCT(VLOOKUP($A82,S275_01,{29,30,31},FALSE)),0)+IFERROR(SUMPRODUCT(VLOOKUP($A82,S275_97,{29,30,31},FALSE)),0)+IFERROR(ROUND(VLOOKUP($A82,S275_21,29,FALSE)*VLOOKUP($A82,'3121% SY'!$C$3:$M$324,11,FALSE),3),0)+IFERROR(ROUND(VLOOKUP($A82,S275_21,30,FALSE)*VLOOKUP($A82,'3121% SY'!$C$3:$M$324,11,FALSE),3),0)+IFERROR(ROUND(VLOOKUP($A82,S275_21,31,FALSE)*VLOOKUP($A82,'3121% SY'!$C$3:$M$324,11,FALSE),3),0)+IFERROR(VLOOKUP($A82,S275_09,11,FALSE),0)</f>
        <v>0</v>
      </c>
      <c r="Y82" s="267">
        <f>IFERROR(VLOOKUP($A82,Supp_47,14,FALSE),0)+IFERROR(SUMPRODUCT(VLOOKUP($A82,S275_01,{32,33,34},FALSE)),0)+IFERROR(SUMPRODUCT(VLOOKUP($A82,S275_97,{32,33,34},FALSE)),0)+IFERROR(ROUND(VLOOKUP($A82,S275_21,32,FALSE)*VLOOKUP($A82,'3121% SY'!$C$3:$M$324,11,FALSE),3),0)+IFERROR(ROUND(VLOOKUP($A82,S275_21,33,FALSE)*VLOOKUP($A82,'3121% SY'!$C$3:$M$324,11,FALSE),3),0)+IFERROR(ROUND(VLOOKUP($A82,S275_21,34,FALSE)*VLOOKUP($A82,'3121% SY'!$C$3:$M$324,11,FALSE),3),0)+IFERROR(VLOOKUP($A82,S275_09,12,FALSE),0)</f>
        <v>0</v>
      </c>
      <c r="Z82" s="267">
        <f>IFERROR(VLOOKUP($A82,Supp_48,14,FALSE),0)+IFERROR(SUMPRODUCT(VLOOKUP($A82,S275_01,{35,36,37},FALSE)),0)+IFERROR(SUMPRODUCT(VLOOKUP($A82,S275_97,{35,36,37},FALSE)),0)+IFERROR(ROUND(VLOOKUP($A82,S275_21,35,FALSE)*VLOOKUP($A82,'3121% SY'!$C$3:$M$324,11,FALSE),3),0)+IFERROR(ROUND(VLOOKUP($A82,S275_21,36,FALSE)*VLOOKUP($A82,'3121% SY'!$C$3:$M$324,11,FALSE),3),0)+IFERROR(ROUND(VLOOKUP($A82,S275_21,37,FALSE)*VLOOKUP($A82,'3121% SY'!$C$3:$M$324,11,FALSE),3),0)+IFERROR(VLOOKUP($A82,S275_09,13,FALSE),0)</f>
        <v>0</v>
      </c>
      <c r="AA82" s="267">
        <f>IFERROR(VLOOKUP($A82,Supp_49,14,FALSE),0)+IFERROR(SUMPRODUCT(VLOOKUP($A82,S275_01,{38,39,40},FALSE)),0)+IFERROR(SUMPRODUCT(VLOOKUP($A82,S275_97,{38,39,40},FALSE)),0)+IFERROR(ROUND(VLOOKUP($A82,S275_21,38,FALSE)*VLOOKUP($A82,'3121% SY'!$C$3:$M$324,11,FALSE),3),0)+IFERROR(ROUND(VLOOKUP($A82,S275_21,39,FALSE)*VLOOKUP($A82,'3121% SY'!$C$3:$M$324,11,FALSE),3),0)+IFERROR(ROUND(VLOOKUP($A82,S275_21,40,FALSE)*VLOOKUP($A82,'3121% SY'!$C$3:$M$324,11,FALSE),3),0)+IFERROR(VLOOKUP($A82,S275_09,14,FALSE),0)</f>
        <v>0</v>
      </c>
      <c r="AB82" s="267">
        <f>IFERROR(VLOOKUP($A82,Supp_64,14,FALSE),0)+IFERROR(SUMPRODUCT(VLOOKUP($A82,S275_01,{41,42,43},FALSE)),0)+IFERROR(SUMPRODUCT(VLOOKUP($A82,S275_97,{41,42,43},FALSE)),0)+IFERROR(ROUND(VLOOKUP($A82,S275_21,41,FALSE)*VLOOKUP($A82,'3121% SY'!$C$3:$M$324,11,FALSE),3),0)+IFERROR(ROUND(VLOOKUP($A82,S275_21,42,FALSE)*VLOOKUP($A82,'3121% SY'!$C$3:$M$324,11,FALSE),3),0)+IFERROR(ROUND(VLOOKUP($A82,S275_21,43,FALSE)*VLOOKUP($A82,'3121% SY'!$C$3:$M$324,11,FALSE),3),0)+IFERROR(VLOOKUP($A82,S275_09,15,FALSE),0)</f>
        <v>0</v>
      </c>
      <c r="AC82" s="268">
        <f t="shared" si="25"/>
        <v>1.1099999999999999</v>
      </c>
      <c r="AD82" s="267">
        <f>IFERROR(VLOOKUP($A82,Supp_24,14,FALSE),0)+IFERROR(SUMPRODUCT(VLOOKUP($A82,S275_01,{2,3,4},FALSE)),0)+IFERROR(SUMPRODUCT(VLOOKUP($A82,S275_97,{2,3,4},FALSE)),0)+IFERROR(ROUND(VLOOKUP($A82,S275_21,2,FALSE)*VLOOKUP($A82,'3121% SY'!$C$3:$M$324,11,FALSE),3),0)+IFERROR(ROUND(VLOOKUP($A82,S275_21,3,FALSE)*VLOOKUP($A82,'3121% SY'!$C$3:$M$324,11,FALSE),3),0)+IFERROR(ROUND(VLOOKUP($A82,S275_21,4,FALSE)*VLOOKUP($A82,'3121% SY'!$C$3:$M$324,11,FALSE),3),0)+IFERROR(VLOOKUP($A82,S275_09,2,FALSE),0)</f>
        <v>0</v>
      </c>
      <c r="AE82" s="267">
        <f>IFERROR(VLOOKUP($A82,Supp_25,14,FALSE),0)+IFERROR(SUMPRODUCT(VLOOKUP($A82,S275_01,{5,6,7},FALSE)),0)+IFERROR(SUMPRODUCT(VLOOKUP($A82,S275_97,{5,6,7},FALSE)),0)+IFERROR(ROUND(VLOOKUP($A82,S275_21,5,FALSE)*VLOOKUP($A82,'3121% SY'!$C$3:$M$324,11,FALSE),3),0)+IFERROR(ROUND(VLOOKUP($A82,S275_21,6,FALSE)*VLOOKUP($A82,'3121% SY'!$C$3:$M$324,11,FALSE),3),0)+IFERROR(ROUND(VLOOKUP($A82,S275_21,7,FALSE)*VLOOKUP($A82,'3121% SY'!$C$3:$M$324,11,FALSE),3),0)+IFERROR(VLOOKUP($A82,S275_09,3,FALSE),0)</f>
        <v>0</v>
      </c>
      <c r="AF82" s="267">
        <f>IFERROR(VLOOKUP($A82,Supp_26,14,FALSE),0)+IFERROR(SUMPRODUCT(VLOOKUP($A82,S275_01,{8,9,10},FALSE)),0)+IFERROR(SUMPRODUCT(VLOOKUP($A82,S275_97,{8,9,10},FALSE)),0)+IFERROR(ROUND(VLOOKUP($A82,S275_21,8,FALSE)*VLOOKUP($A82,'3121% SY'!$C$3:$M$324,11,FALSE),3),0)+IFERROR(ROUND(VLOOKUP($A82,S275_21,9,FALSE)*VLOOKUP($A82,'3121% SY'!$C$3:$M$324,11,FALSE),3),0)+IFERROR(ROUND(VLOOKUP($A82,S275_21,10,FALSE)*VLOOKUP($A82,'3121% SY'!$C$3:$M$324,11,FALSE),3),0)+IFERROR(VLOOKUP($A82,S275_09,4,FALSE),0)</f>
        <v>0.72299999999999998</v>
      </c>
      <c r="AG82" s="267">
        <f>IFERROR(VLOOKUP($A82,Supp_35,14,FALSE),0)+IFERROR(SUMPRODUCT(VLOOKUP($A82,S275_01,{11,12,13},FALSE)),0)+IFERROR(SUMPRODUCT(VLOOKUP($A82,S275_97,{11,12,13},FALSE)),0)+IFERROR(ROUND(VLOOKUP($A82,S275_21,11,FALSE)*VLOOKUP($A82,'3121% SY'!$C$3:$M$324,11,FALSE),3),0)+IFERROR(ROUND(VLOOKUP($A82,S275_21,12,FALSE)*VLOOKUP($A82,'3121% SY'!$C$3:$M$324,11,FALSE),3),0)+IFERROR(ROUND(VLOOKUP($A82,S275_21,13,FALSE)*VLOOKUP($A82,'3121% SY'!$C$3:$M$324,11,FALSE),3),0)+IFERROR(VLOOKUP($A82,S275_09,5,FALSE),0)</f>
        <v>0</v>
      </c>
      <c r="AH82" s="165">
        <f t="shared" si="26"/>
        <v>0.72299999999999998</v>
      </c>
      <c r="AI82" s="161">
        <f>IFERROR(VLOOKUP(A82,'Supp Staff Data'!A:ER,148,FALSE),0)+AB82</f>
        <v>0</v>
      </c>
      <c r="AJ82" s="174">
        <v>0.6</v>
      </c>
      <c r="AK82" s="25">
        <f>VLOOKUP(A82,'Enroll Data as of January 2025'!$A$3:$T$323,20,FALSE)-F82</f>
        <v>0</v>
      </c>
    </row>
    <row r="83" spans="1:37" x14ac:dyDescent="0.25">
      <c r="A83" s="171" t="s">
        <v>282</v>
      </c>
      <c r="B83" t="s">
        <v>578</v>
      </c>
      <c r="C83" s="173" t="s">
        <v>1077</v>
      </c>
      <c r="D83" s="259">
        <f t="shared" si="19"/>
        <v>0.63700000000000001</v>
      </c>
      <c r="E83" s="259">
        <f t="shared" si="20"/>
        <v>1.1020000000000001</v>
      </c>
      <c r="F83" s="262">
        <f t="shared" si="27"/>
        <v>0.46500000000000002</v>
      </c>
      <c r="G83" s="161">
        <f>ROUND(IF(F83&lt;0,F83*'2024-25 PSES Compliance'!$G$13,0),3)</f>
        <v>0</v>
      </c>
      <c r="H83" s="161">
        <f>ROUND(IF(F83&lt;0,F83*'2024-25 PSES Compliance'!$G$14,0),3)</f>
        <v>0</v>
      </c>
      <c r="I83" s="174">
        <f t="shared" si="21"/>
        <v>0.30245009074410162</v>
      </c>
      <c r="J83" s="174">
        <f t="shared" si="22"/>
        <v>0</v>
      </c>
      <c r="K83" s="161">
        <f>VLOOKUP($A83,'Enroll Data as of January 2025'!$A$3:$M$322,6,FALSE)</f>
        <v>0.36699999999999999</v>
      </c>
      <c r="L83" s="161">
        <f>VLOOKUP($A83,'Enroll Data as of January 2025'!$A$3:$M$322,7,FALSE)</f>
        <v>5.6000000000000001E-2</v>
      </c>
      <c r="M83" s="161">
        <f>VLOOKUP($A83,'Enroll Data as of January 2025'!$A$3:$M$322,8,FALSE)</f>
        <v>1.9E-2</v>
      </c>
      <c r="N83" s="161">
        <f>VLOOKUP($A83,'Enroll Data as of January 2025'!$A$3:$M$322,9,FALSE)</f>
        <v>0.15999999999999998</v>
      </c>
      <c r="O83" s="165">
        <f t="shared" si="23"/>
        <v>0.60199999999999998</v>
      </c>
      <c r="P83" s="161">
        <f>VLOOKUP($A83,'Enroll Data as of January 2025'!$A$3:$M$322,11,FALSE)</f>
        <v>2.3E-2</v>
      </c>
      <c r="Q83" s="161">
        <f>VLOOKUP($A83,'Enroll Data as of January 2025'!$A$3:$M$322,12,FALSE)</f>
        <v>1.2E-2</v>
      </c>
      <c r="R83" s="165">
        <f t="shared" si="24"/>
        <v>3.5000000000000003E-2</v>
      </c>
      <c r="S83" s="267">
        <f>IFERROR(VLOOKUP($A83,Supp_39,14,FALSE),0)+IFERROR(SUMPRODUCT(VLOOKUP($A83,S275_01,{14,15,16},FALSE)),0)+IFERROR(SUMPRODUCT(VLOOKUP($A83,S275_97,{14,15,16},FALSE)),0)+IFERROR(ROUND(VLOOKUP($A83,S275_21,14,FALSE)*VLOOKUP($A83,'3121% SY'!$C$3:$M$324,11,FALSE),3),0)+IFERROR(ROUND(VLOOKUP($A83,S275_21,15,FALSE)*VLOOKUP($A83,'3121% SY'!$C$3:$M$324,11,FALSE),3),0)+IFERROR(ROUND(VLOOKUP($A83,S275_21,16,FALSE)*VLOOKUP($A83,'3121% SY'!$C$3:$M$324,11,FALSE),3),0)+IFERROR(VLOOKUP($A83,S275_09,6,FALSE),0)</f>
        <v>0.5</v>
      </c>
      <c r="T83" s="267">
        <f>IFERROR(VLOOKUP($A83,Supp_42,14,FALSE),0)+IFERROR(SUMPRODUCT(VLOOKUP($A83,S275_01,{17,18,19},FALSE)),0)+IFERROR(SUMPRODUCT(VLOOKUP($A83,S275_97,{17,18,19},FALSE)),0)+IFERROR(ROUND(VLOOKUP($A83,S275_21,17,FALSE)*VLOOKUP($A83,'3121% SY'!$C$3:$M$324,11,FALSE),3),0)+IFERROR(ROUND(VLOOKUP($A83,S275_21,18,FALSE)*VLOOKUP($A83,'3121% SY'!$C$3:$M$324,11,FALSE),3),0)+IFERROR(ROUND(VLOOKUP($A83,S275_21,19,FALSE)*VLOOKUP($A83,'3121% SY'!$C$3:$M$324,11,FALSE),3),0)+IFERROR(VLOOKUP($A83,S275_09,7,FALSE),0)</f>
        <v>0.5</v>
      </c>
      <c r="U83" s="267">
        <f>IFERROR(VLOOKUP($A83,Supp_43,14,FALSE),0)+IFERROR(SUMPRODUCT(VLOOKUP($A83,S275_01,{20,21,22},FALSE)),0)+IFERROR(SUMPRODUCT(VLOOKUP($A83,S275_97,{20,21,22},FALSE)),0)+IFERROR(ROUND(VLOOKUP($A83,S275_21,20,FALSE)*VLOOKUP($A83,'3121% SY'!$C$3:$M$324,11,FALSE),3),0)+IFERROR(ROUND(VLOOKUP($A83,S275_21,21,FALSE)*VLOOKUP($A83,'3121% SY'!$C$3:$M$324,11,FALSE),3),0)+IFERROR(ROUND(VLOOKUP($A83,S275_21,22,FALSE)*VLOOKUP($A83,'3121% SY'!$C$3:$M$324,11,FALSE),3),0)+IFERROR(VLOOKUP($A83,S275_09,8,FALSE),0)</f>
        <v>0</v>
      </c>
      <c r="V83" s="267">
        <f>IFERROR(VLOOKUP($A83,Supp_44,14,FALSE),0)+IFERROR(SUMPRODUCT(VLOOKUP($A83,S275_01,{23,24,25},FALSE)),0)+IFERROR(SUMPRODUCT(VLOOKUP($A83,S275_97,{23,24,25},FALSE)),0)+IFERROR(ROUND(VLOOKUP($A83,S275_21,23,FALSE)*VLOOKUP($A83,'3121% SY'!$C$3:$M$324,11,FALSE),3),0)+IFERROR(ROUND(VLOOKUP($A83,S275_21,24,FALSE)*VLOOKUP($A83,'3121% SY'!$C$3:$M$324,11,FALSE),3),0)+IFERROR(ROUND(VLOOKUP($A83,S275_21,25,FALSE)*VLOOKUP($A83,'3121% SY'!$C$3:$M$324,11,FALSE),3),0)+IFERROR(VLOOKUP($A83,S275_09,9,FALSE),0)</f>
        <v>0</v>
      </c>
      <c r="W83" s="267">
        <f>IFERROR(VLOOKUP($A83,Supp_45,14,FALSE),0)+IFERROR(SUMPRODUCT(VLOOKUP($A83,S275_01,{26,27,28},FALSE)),0)+IFERROR(SUMPRODUCT(VLOOKUP($A83,S275_97,{26,27,28},FALSE)),0)+IFERROR(ROUND(VLOOKUP($A83,S275_21,26,FALSE)*VLOOKUP($A83,'3121% SY'!$C$3:$M$324,11,FALSE),3),0)+IFERROR(ROUND(VLOOKUP($A83,S275_21,27,FALSE)*VLOOKUP($A83,'3121% SY'!$C$3:$M$324,11,FALSE),3),0)+IFERROR(ROUND(VLOOKUP($A83,S275_21,28,FALSE)*VLOOKUP($A83,'3121% SY'!$C$3:$M$324,11,FALSE),3),0)+IFERROR(VLOOKUP($A83,S275_09,10,FALSE),0)</f>
        <v>0</v>
      </c>
      <c r="X83" s="267">
        <f>IFERROR(VLOOKUP($A83,Supp_46,14,FALSE),0)+IFERROR(SUMPRODUCT(VLOOKUP($A83,S275_01,{29,30,31},FALSE)),0)+IFERROR(SUMPRODUCT(VLOOKUP($A83,S275_97,{29,30,31},FALSE)),0)+IFERROR(ROUND(VLOOKUP($A83,S275_21,29,FALSE)*VLOOKUP($A83,'3121% SY'!$C$3:$M$324,11,FALSE),3),0)+IFERROR(ROUND(VLOOKUP($A83,S275_21,30,FALSE)*VLOOKUP($A83,'3121% SY'!$C$3:$M$324,11,FALSE),3),0)+IFERROR(ROUND(VLOOKUP($A83,S275_21,31,FALSE)*VLOOKUP($A83,'3121% SY'!$C$3:$M$324,11,FALSE),3),0)+IFERROR(VLOOKUP($A83,S275_09,11,FALSE),0)</f>
        <v>0</v>
      </c>
      <c r="Y83" s="267">
        <f>IFERROR(VLOOKUP($A83,Supp_47,14,FALSE),0)+IFERROR(SUMPRODUCT(VLOOKUP($A83,S275_01,{32,33,34},FALSE)),0)+IFERROR(SUMPRODUCT(VLOOKUP($A83,S275_97,{32,33,34},FALSE)),0)+IFERROR(ROUND(VLOOKUP($A83,S275_21,32,FALSE)*VLOOKUP($A83,'3121% SY'!$C$3:$M$324,11,FALSE),3),0)+IFERROR(ROUND(VLOOKUP($A83,S275_21,33,FALSE)*VLOOKUP($A83,'3121% SY'!$C$3:$M$324,11,FALSE),3),0)+IFERROR(ROUND(VLOOKUP($A83,S275_21,34,FALSE)*VLOOKUP($A83,'3121% SY'!$C$3:$M$324,11,FALSE),3),0)+IFERROR(VLOOKUP($A83,S275_09,12,FALSE),0)</f>
        <v>0</v>
      </c>
      <c r="Z83" s="267">
        <f>IFERROR(VLOOKUP($A83,Supp_48,14,FALSE),0)+IFERROR(SUMPRODUCT(VLOOKUP($A83,S275_01,{35,36,37},FALSE)),0)+IFERROR(SUMPRODUCT(VLOOKUP($A83,S275_97,{35,36,37},FALSE)),0)+IFERROR(ROUND(VLOOKUP($A83,S275_21,35,FALSE)*VLOOKUP($A83,'3121% SY'!$C$3:$M$324,11,FALSE),3),0)+IFERROR(ROUND(VLOOKUP($A83,S275_21,36,FALSE)*VLOOKUP($A83,'3121% SY'!$C$3:$M$324,11,FALSE),3),0)+IFERROR(ROUND(VLOOKUP($A83,S275_21,37,FALSE)*VLOOKUP($A83,'3121% SY'!$C$3:$M$324,11,FALSE),3),0)+IFERROR(VLOOKUP($A83,S275_09,13,FALSE),0)</f>
        <v>0</v>
      </c>
      <c r="AA83" s="267">
        <f>IFERROR(VLOOKUP($A83,Supp_49,14,FALSE),0)+IFERROR(SUMPRODUCT(VLOOKUP($A83,S275_01,{38,39,40},FALSE)),0)+IFERROR(SUMPRODUCT(VLOOKUP($A83,S275_97,{38,39,40},FALSE)),0)+IFERROR(ROUND(VLOOKUP($A83,S275_21,38,FALSE)*VLOOKUP($A83,'3121% SY'!$C$3:$M$324,11,FALSE),3),0)+IFERROR(ROUND(VLOOKUP($A83,S275_21,39,FALSE)*VLOOKUP($A83,'3121% SY'!$C$3:$M$324,11,FALSE),3),0)+IFERROR(ROUND(VLOOKUP($A83,S275_21,40,FALSE)*VLOOKUP($A83,'3121% SY'!$C$3:$M$324,11,FALSE),3),0)+IFERROR(VLOOKUP($A83,S275_09,14,FALSE),0)</f>
        <v>0</v>
      </c>
      <c r="AB83" s="267">
        <f>IFERROR(VLOOKUP($A83,Supp_64,14,FALSE),0)+IFERROR(SUMPRODUCT(VLOOKUP($A83,S275_01,{41,42,43},FALSE)),0)+IFERROR(SUMPRODUCT(VLOOKUP($A83,S275_97,{41,42,43},FALSE)),0)+IFERROR(ROUND(VLOOKUP($A83,S275_21,41,FALSE)*VLOOKUP($A83,'3121% SY'!$C$3:$M$324,11,FALSE),3),0)+IFERROR(ROUND(VLOOKUP($A83,S275_21,42,FALSE)*VLOOKUP($A83,'3121% SY'!$C$3:$M$324,11,FALSE),3),0)+IFERROR(ROUND(VLOOKUP($A83,S275_21,43,FALSE)*VLOOKUP($A83,'3121% SY'!$C$3:$M$324,11,FALSE),3),0)+IFERROR(VLOOKUP($A83,S275_09,15,FALSE),0)</f>
        <v>0</v>
      </c>
      <c r="AC83" s="268">
        <f t="shared" si="25"/>
        <v>1</v>
      </c>
      <c r="AD83" s="267">
        <f>IFERROR(VLOOKUP($A83,Supp_24,14,FALSE),0)+IFERROR(SUMPRODUCT(VLOOKUP($A83,S275_01,{2,3,4},FALSE)),0)+IFERROR(SUMPRODUCT(VLOOKUP($A83,S275_97,{2,3,4},FALSE)),0)+IFERROR(ROUND(VLOOKUP($A83,S275_21,2,FALSE)*VLOOKUP($A83,'3121% SY'!$C$3:$M$324,11,FALSE),3),0)+IFERROR(ROUND(VLOOKUP($A83,S275_21,3,FALSE)*VLOOKUP($A83,'3121% SY'!$C$3:$M$324,11,FALSE),3),0)+IFERROR(ROUND(VLOOKUP($A83,S275_21,4,FALSE)*VLOOKUP($A83,'3121% SY'!$C$3:$M$324,11,FALSE),3),0)+IFERROR(VLOOKUP($A83,S275_09,2,FALSE),0)</f>
        <v>0</v>
      </c>
      <c r="AE83" s="267">
        <f>IFERROR(VLOOKUP($A83,Supp_25,14,FALSE),0)+IFERROR(SUMPRODUCT(VLOOKUP($A83,S275_01,{5,6,7},FALSE)),0)+IFERROR(SUMPRODUCT(VLOOKUP($A83,S275_97,{5,6,7},FALSE)),0)+IFERROR(ROUND(VLOOKUP($A83,S275_21,5,FALSE)*VLOOKUP($A83,'3121% SY'!$C$3:$M$324,11,FALSE),3),0)+IFERROR(ROUND(VLOOKUP($A83,S275_21,6,FALSE)*VLOOKUP($A83,'3121% SY'!$C$3:$M$324,11,FALSE),3),0)+IFERROR(ROUND(VLOOKUP($A83,S275_21,7,FALSE)*VLOOKUP($A83,'3121% SY'!$C$3:$M$324,11,FALSE),3),0)+IFERROR(VLOOKUP($A83,S275_09,3,FALSE),0)</f>
        <v>0</v>
      </c>
      <c r="AF83" s="267">
        <f>IFERROR(VLOOKUP($A83,Supp_26,14,FALSE),0)+IFERROR(SUMPRODUCT(VLOOKUP($A83,S275_01,{8,9,10},FALSE)),0)+IFERROR(SUMPRODUCT(VLOOKUP($A83,S275_97,{8,9,10},FALSE)),0)+IFERROR(ROUND(VLOOKUP($A83,S275_21,8,FALSE)*VLOOKUP($A83,'3121% SY'!$C$3:$M$324,11,FALSE),3),0)+IFERROR(ROUND(VLOOKUP($A83,S275_21,9,FALSE)*VLOOKUP($A83,'3121% SY'!$C$3:$M$324,11,FALSE),3),0)+IFERROR(ROUND(VLOOKUP($A83,S275_21,10,FALSE)*VLOOKUP($A83,'3121% SY'!$C$3:$M$324,11,FALSE),3),0)+IFERROR(VLOOKUP($A83,S275_09,4,FALSE),0)</f>
        <v>0.10200000000000001</v>
      </c>
      <c r="AG83" s="267">
        <f>IFERROR(VLOOKUP($A83,Supp_35,14,FALSE),0)+IFERROR(SUMPRODUCT(VLOOKUP($A83,S275_01,{11,12,13},FALSE)),0)+IFERROR(SUMPRODUCT(VLOOKUP($A83,S275_97,{11,12,13},FALSE)),0)+IFERROR(ROUND(VLOOKUP($A83,S275_21,11,FALSE)*VLOOKUP($A83,'3121% SY'!$C$3:$M$324,11,FALSE),3),0)+IFERROR(ROUND(VLOOKUP($A83,S275_21,12,FALSE)*VLOOKUP($A83,'3121% SY'!$C$3:$M$324,11,FALSE),3),0)+IFERROR(ROUND(VLOOKUP($A83,S275_21,13,FALSE)*VLOOKUP($A83,'3121% SY'!$C$3:$M$324,11,FALSE),3),0)+IFERROR(VLOOKUP($A83,S275_09,5,FALSE),0)</f>
        <v>0</v>
      </c>
      <c r="AH83" s="165">
        <f t="shared" si="26"/>
        <v>0.10200000000000001</v>
      </c>
      <c r="AI83" s="161">
        <f>IFERROR(VLOOKUP(A83,'Supp Staff Data'!A:ER,148,FALSE),0)+AB83</f>
        <v>0</v>
      </c>
      <c r="AJ83" s="174">
        <v>0.33329999999999999</v>
      </c>
      <c r="AK83" s="25">
        <f>VLOOKUP(A83,'Enroll Data as of January 2025'!$A$3:$T$323,20,FALSE)-F83</f>
        <v>0</v>
      </c>
    </row>
    <row r="84" spans="1:37" x14ac:dyDescent="0.25">
      <c r="A84" s="171" t="s">
        <v>147</v>
      </c>
      <c r="B84" t="s">
        <v>443</v>
      </c>
      <c r="C84" s="173" t="s">
        <v>1077</v>
      </c>
      <c r="D84" s="259">
        <f t="shared" si="19"/>
        <v>1.5759999999999998</v>
      </c>
      <c r="E84" s="259">
        <f t="shared" si="20"/>
        <v>1</v>
      </c>
      <c r="F84" s="262">
        <f t="shared" si="27"/>
        <v>-0.57599999999999996</v>
      </c>
      <c r="G84" s="161">
        <f>ROUND(IF(F84&lt;0,F84*'2024-25 PSES Compliance'!$G$13,0),3)</f>
        <v>-0.55300000000000005</v>
      </c>
      <c r="H84" s="161">
        <f>ROUND(IF(F84&lt;0,F84*'2024-25 PSES Compliance'!$G$14,0),3)</f>
        <v>-2.3E-2</v>
      </c>
      <c r="I84" s="174">
        <f t="shared" si="21"/>
        <v>0.66669999999999996</v>
      </c>
      <c r="J84" s="174">
        <f t="shared" si="22"/>
        <v>0</v>
      </c>
      <c r="K84" s="161">
        <f>VLOOKUP($A84,'Enroll Data as of January 2025'!$A$3:$M$322,6,FALSE)</f>
        <v>0.87599999999999989</v>
      </c>
      <c r="L84" s="161">
        <f>VLOOKUP($A84,'Enroll Data as of January 2025'!$A$3:$M$322,7,FALSE)</f>
        <v>0.15000000000000002</v>
      </c>
      <c r="M84" s="161">
        <f>VLOOKUP($A84,'Enroll Data as of January 2025'!$A$3:$M$322,8,FALSE)</f>
        <v>4.9999999999999996E-2</v>
      </c>
      <c r="N84" s="161">
        <f>VLOOKUP($A84,'Enroll Data as of January 2025'!$A$3:$M$322,9,FALSE)</f>
        <v>0.41</v>
      </c>
      <c r="O84" s="165">
        <f t="shared" si="23"/>
        <v>1.4859999999999998</v>
      </c>
      <c r="P84" s="161">
        <f>VLOOKUP($A84,'Enroll Data as of January 2025'!$A$3:$M$322,11,FALSE)</f>
        <v>5.6000000000000001E-2</v>
      </c>
      <c r="Q84" s="161">
        <f>VLOOKUP($A84,'Enroll Data as of January 2025'!$A$3:$M$322,12,FALSE)</f>
        <v>3.4000000000000002E-2</v>
      </c>
      <c r="R84" s="165">
        <f t="shared" si="24"/>
        <v>0.09</v>
      </c>
      <c r="S84" s="267">
        <f>IFERROR(VLOOKUP($A84,Supp_39,14,FALSE),0)+IFERROR(SUMPRODUCT(VLOOKUP($A84,S275_01,{14,15,16},FALSE)),0)+IFERROR(SUMPRODUCT(VLOOKUP($A84,S275_97,{14,15,16},FALSE)),0)+IFERROR(ROUND(VLOOKUP($A84,S275_21,14,FALSE)*VLOOKUP($A84,'3121% SY'!$C$3:$M$324,11,FALSE),3),0)+IFERROR(ROUND(VLOOKUP($A84,S275_21,15,FALSE)*VLOOKUP($A84,'3121% SY'!$C$3:$M$324,11,FALSE),3),0)+IFERROR(ROUND(VLOOKUP($A84,S275_21,16,FALSE)*VLOOKUP($A84,'3121% SY'!$C$3:$M$324,11,FALSE),3),0)+IFERROR(VLOOKUP($A84,S275_09,6,FALSE),0)</f>
        <v>0.67</v>
      </c>
      <c r="T84" s="267">
        <f>IFERROR(VLOOKUP($A84,Supp_42,14,FALSE),0)+IFERROR(SUMPRODUCT(VLOOKUP($A84,S275_01,{17,18,19},FALSE)),0)+IFERROR(SUMPRODUCT(VLOOKUP($A84,S275_97,{17,18,19},FALSE)),0)+IFERROR(ROUND(VLOOKUP($A84,S275_21,17,FALSE)*VLOOKUP($A84,'3121% SY'!$C$3:$M$324,11,FALSE),3),0)+IFERROR(ROUND(VLOOKUP($A84,S275_21,18,FALSE)*VLOOKUP($A84,'3121% SY'!$C$3:$M$324,11,FALSE),3),0)+IFERROR(ROUND(VLOOKUP($A84,S275_21,19,FALSE)*VLOOKUP($A84,'3121% SY'!$C$3:$M$324,11,FALSE),3),0)+IFERROR(VLOOKUP($A84,S275_09,7,FALSE),0)</f>
        <v>0.33</v>
      </c>
      <c r="U84" s="267">
        <f>IFERROR(VLOOKUP($A84,Supp_43,14,FALSE),0)+IFERROR(SUMPRODUCT(VLOOKUP($A84,S275_01,{20,21,22},FALSE)),0)+IFERROR(SUMPRODUCT(VLOOKUP($A84,S275_97,{20,21,22},FALSE)),0)+IFERROR(ROUND(VLOOKUP($A84,S275_21,20,FALSE)*VLOOKUP($A84,'3121% SY'!$C$3:$M$324,11,FALSE),3),0)+IFERROR(ROUND(VLOOKUP($A84,S275_21,21,FALSE)*VLOOKUP($A84,'3121% SY'!$C$3:$M$324,11,FALSE),3),0)+IFERROR(ROUND(VLOOKUP($A84,S275_21,22,FALSE)*VLOOKUP($A84,'3121% SY'!$C$3:$M$324,11,FALSE),3),0)+IFERROR(VLOOKUP($A84,S275_09,8,FALSE),0)</f>
        <v>0</v>
      </c>
      <c r="V84" s="267">
        <f>IFERROR(VLOOKUP($A84,Supp_44,14,FALSE),0)+IFERROR(SUMPRODUCT(VLOOKUP($A84,S275_01,{23,24,25},FALSE)),0)+IFERROR(SUMPRODUCT(VLOOKUP($A84,S275_97,{23,24,25},FALSE)),0)+IFERROR(ROUND(VLOOKUP($A84,S275_21,23,FALSE)*VLOOKUP($A84,'3121% SY'!$C$3:$M$324,11,FALSE),3),0)+IFERROR(ROUND(VLOOKUP($A84,S275_21,24,FALSE)*VLOOKUP($A84,'3121% SY'!$C$3:$M$324,11,FALSE),3),0)+IFERROR(ROUND(VLOOKUP($A84,S275_21,25,FALSE)*VLOOKUP($A84,'3121% SY'!$C$3:$M$324,11,FALSE),3),0)+IFERROR(VLOOKUP($A84,S275_09,9,FALSE),0)</f>
        <v>0</v>
      </c>
      <c r="W84" s="267">
        <f>IFERROR(VLOOKUP($A84,Supp_45,14,FALSE),0)+IFERROR(SUMPRODUCT(VLOOKUP($A84,S275_01,{26,27,28},FALSE)),0)+IFERROR(SUMPRODUCT(VLOOKUP($A84,S275_97,{26,27,28},FALSE)),0)+IFERROR(ROUND(VLOOKUP($A84,S275_21,26,FALSE)*VLOOKUP($A84,'3121% SY'!$C$3:$M$324,11,FALSE),3),0)+IFERROR(ROUND(VLOOKUP($A84,S275_21,27,FALSE)*VLOOKUP($A84,'3121% SY'!$C$3:$M$324,11,FALSE),3),0)+IFERROR(ROUND(VLOOKUP($A84,S275_21,28,FALSE)*VLOOKUP($A84,'3121% SY'!$C$3:$M$324,11,FALSE),3),0)+IFERROR(VLOOKUP($A84,S275_09,10,FALSE),0)</f>
        <v>0</v>
      </c>
      <c r="X84" s="267">
        <f>IFERROR(VLOOKUP($A84,Supp_46,14,FALSE),0)+IFERROR(SUMPRODUCT(VLOOKUP($A84,S275_01,{29,30,31},FALSE)),0)+IFERROR(SUMPRODUCT(VLOOKUP($A84,S275_97,{29,30,31},FALSE)),0)+IFERROR(ROUND(VLOOKUP($A84,S275_21,29,FALSE)*VLOOKUP($A84,'3121% SY'!$C$3:$M$324,11,FALSE),3),0)+IFERROR(ROUND(VLOOKUP($A84,S275_21,30,FALSE)*VLOOKUP($A84,'3121% SY'!$C$3:$M$324,11,FALSE),3),0)+IFERROR(ROUND(VLOOKUP($A84,S275_21,31,FALSE)*VLOOKUP($A84,'3121% SY'!$C$3:$M$324,11,FALSE),3),0)+IFERROR(VLOOKUP($A84,S275_09,11,FALSE),0)</f>
        <v>0</v>
      </c>
      <c r="Y84" s="267">
        <f>IFERROR(VLOOKUP($A84,Supp_47,14,FALSE),0)+IFERROR(SUMPRODUCT(VLOOKUP($A84,S275_01,{32,33,34},FALSE)),0)+IFERROR(SUMPRODUCT(VLOOKUP($A84,S275_97,{32,33,34},FALSE)),0)+IFERROR(ROUND(VLOOKUP($A84,S275_21,32,FALSE)*VLOOKUP($A84,'3121% SY'!$C$3:$M$324,11,FALSE),3),0)+IFERROR(ROUND(VLOOKUP($A84,S275_21,33,FALSE)*VLOOKUP($A84,'3121% SY'!$C$3:$M$324,11,FALSE),3),0)+IFERROR(ROUND(VLOOKUP($A84,S275_21,34,FALSE)*VLOOKUP($A84,'3121% SY'!$C$3:$M$324,11,FALSE),3),0)+IFERROR(VLOOKUP($A84,S275_09,12,FALSE),0)</f>
        <v>0</v>
      </c>
      <c r="Z84" s="267">
        <f>IFERROR(VLOOKUP($A84,Supp_48,14,FALSE),0)+IFERROR(SUMPRODUCT(VLOOKUP($A84,S275_01,{35,36,37},FALSE)),0)+IFERROR(SUMPRODUCT(VLOOKUP($A84,S275_97,{35,36,37},FALSE)),0)+IFERROR(ROUND(VLOOKUP($A84,S275_21,35,FALSE)*VLOOKUP($A84,'3121% SY'!$C$3:$M$324,11,FALSE),3),0)+IFERROR(ROUND(VLOOKUP($A84,S275_21,36,FALSE)*VLOOKUP($A84,'3121% SY'!$C$3:$M$324,11,FALSE),3),0)+IFERROR(ROUND(VLOOKUP($A84,S275_21,37,FALSE)*VLOOKUP($A84,'3121% SY'!$C$3:$M$324,11,FALSE),3),0)+IFERROR(VLOOKUP($A84,S275_09,13,FALSE),0)</f>
        <v>0</v>
      </c>
      <c r="AA84" s="267">
        <f>IFERROR(VLOOKUP($A84,Supp_49,14,FALSE),0)+IFERROR(SUMPRODUCT(VLOOKUP($A84,S275_01,{38,39,40},FALSE)),0)+IFERROR(SUMPRODUCT(VLOOKUP($A84,S275_97,{38,39,40},FALSE)),0)+IFERROR(ROUND(VLOOKUP($A84,S275_21,38,FALSE)*VLOOKUP($A84,'3121% SY'!$C$3:$M$324,11,FALSE),3),0)+IFERROR(ROUND(VLOOKUP($A84,S275_21,39,FALSE)*VLOOKUP($A84,'3121% SY'!$C$3:$M$324,11,FALSE),3),0)+IFERROR(ROUND(VLOOKUP($A84,S275_21,40,FALSE)*VLOOKUP($A84,'3121% SY'!$C$3:$M$324,11,FALSE),3),0)+IFERROR(VLOOKUP($A84,S275_09,14,FALSE),0)</f>
        <v>0</v>
      </c>
      <c r="AB84" s="267">
        <f>IFERROR(VLOOKUP($A84,Supp_64,14,FALSE),0)+IFERROR(SUMPRODUCT(VLOOKUP($A84,S275_01,{41,42,43},FALSE)),0)+IFERROR(SUMPRODUCT(VLOOKUP($A84,S275_97,{41,42,43},FALSE)),0)+IFERROR(ROUND(VLOOKUP($A84,S275_21,41,FALSE)*VLOOKUP($A84,'3121% SY'!$C$3:$M$324,11,FALSE),3),0)+IFERROR(ROUND(VLOOKUP($A84,S275_21,42,FALSE)*VLOOKUP($A84,'3121% SY'!$C$3:$M$324,11,FALSE),3),0)+IFERROR(ROUND(VLOOKUP($A84,S275_21,43,FALSE)*VLOOKUP($A84,'3121% SY'!$C$3:$M$324,11,FALSE),3),0)+IFERROR(VLOOKUP($A84,S275_09,15,FALSE),0)</f>
        <v>0</v>
      </c>
      <c r="AC84" s="268">
        <f t="shared" si="25"/>
        <v>1</v>
      </c>
      <c r="AD84" s="267">
        <f>IFERROR(VLOOKUP($A84,Supp_24,14,FALSE),0)+IFERROR(SUMPRODUCT(VLOOKUP($A84,S275_01,{2,3,4},FALSE)),0)+IFERROR(SUMPRODUCT(VLOOKUP($A84,S275_97,{2,3,4},FALSE)),0)+IFERROR(ROUND(VLOOKUP($A84,S275_21,2,FALSE)*VLOOKUP($A84,'3121% SY'!$C$3:$M$324,11,FALSE),3),0)+IFERROR(ROUND(VLOOKUP($A84,S275_21,3,FALSE)*VLOOKUP($A84,'3121% SY'!$C$3:$M$324,11,FALSE),3),0)+IFERROR(ROUND(VLOOKUP($A84,S275_21,4,FALSE)*VLOOKUP($A84,'3121% SY'!$C$3:$M$324,11,FALSE),3),0)+IFERROR(VLOOKUP($A84,S275_09,2,FALSE),0)</f>
        <v>0</v>
      </c>
      <c r="AE84" s="267">
        <f>IFERROR(VLOOKUP($A84,Supp_25,14,FALSE),0)+IFERROR(SUMPRODUCT(VLOOKUP($A84,S275_01,{5,6,7},FALSE)),0)+IFERROR(SUMPRODUCT(VLOOKUP($A84,S275_97,{5,6,7},FALSE)),0)+IFERROR(ROUND(VLOOKUP($A84,S275_21,5,FALSE)*VLOOKUP($A84,'3121% SY'!$C$3:$M$324,11,FALSE),3),0)+IFERROR(ROUND(VLOOKUP($A84,S275_21,6,FALSE)*VLOOKUP($A84,'3121% SY'!$C$3:$M$324,11,FALSE),3),0)+IFERROR(ROUND(VLOOKUP($A84,S275_21,7,FALSE)*VLOOKUP($A84,'3121% SY'!$C$3:$M$324,11,FALSE),3),0)+IFERROR(VLOOKUP($A84,S275_09,3,FALSE),0)</f>
        <v>0</v>
      </c>
      <c r="AF84" s="267">
        <f>IFERROR(VLOOKUP($A84,Supp_26,14,FALSE),0)+IFERROR(SUMPRODUCT(VLOOKUP($A84,S275_01,{8,9,10},FALSE)),0)+IFERROR(SUMPRODUCT(VLOOKUP($A84,S275_97,{8,9,10},FALSE)),0)+IFERROR(ROUND(VLOOKUP($A84,S275_21,8,FALSE)*VLOOKUP($A84,'3121% SY'!$C$3:$M$324,11,FALSE),3),0)+IFERROR(ROUND(VLOOKUP($A84,S275_21,9,FALSE)*VLOOKUP($A84,'3121% SY'!$C$3:$M$324,11,FALSE),3),0)+IFERROR(ROUND(VLOOKUP($A84,S275_21,10,FALSE)*VLOOKUP($A84,'3121% SY'!$C$3:$M$324,11,FALSE),3),0)+IFERROR(VLOOKUP($A84,S275_09,4,FALSE),0)</f>
        <v>0</v>
      </c>
      <c r="AG84" s="267">
        <f>IFERROR(VLOOKUP($A84,Supp_35,14,FALSE),0)+IFERROR(SUMPRODUCT(VLOOKUP($A84,S275_01,{11,12,13},FALSE)),0)+IFERROR(SUMPRODUCT(VLOOKUP($A84,S275_97,{11,12,13},FALSE)),0)+IFERROR(ROUND(VLOOKUP($A84,S275_21,11,FALSE)*VLOOKUP($A84,'3121% SY'!$C$3:$M$324,11,FALSE),3),0)+IFERROR(ROUND(VLOOKUP($A84,S275_21,12,FALSE)*VLOOKUP($A84,'3121% SY'!$C$3:$M$324,11,FALSE),3),0)+IFERROR(ROUND(VLOOKUP($A84,S275_21,13,FALSE)*VLOOKUP($A84,'3121% SY'!$C$3:$M$324,11,FALSE),3),0)+IFERROR(VLOOKUP($A84,S275_09,5,FALSE),0)</f>
        <v>0</v>
      </c>
      <c r="AH84" s="165">
        <f t="shared" si="26"/>
        <v>0</v>
      </c>
      <c r="AI84" s="161">
        <f>IFERROR(VLOOKUP(A84,'Supp Staff Data'!A:ER,148,FALSE),0)+AB84</f>
        <v>0</v>
      </c>
      <c r="AJ84" s="174">
        <v>0.66669999999999996</v>
      </c>
      <c r="AK84" s="25">
        <f>VLOOKUP(A84,'Enroll Data as of January 2025'!$A$3:$T$323,20,FALSE)-F84</f>
        <v>0</v>
      </c>
    </row>
    <row r="85" spans="1:37" x14ac:dyDescent="0.25">
      <c r="A85" s="171" t="s">
        <v>169</v>
      </c>
      <c r="B85" t="s">
        <v>465</v>
      </c>
      <c r="C85" s="173" t="s">
        <v>1077</v>
      </c>
      <c r="D85" s="259">
        <f t="shared" si="19"/>
        <v>4.968</v>
      </c>
      <c r="E85" s="259">
        <f t="shared" si="20"/>
        <v>4.3140000000000001</v>
      </c>
      <c r="F85" s="262">
        <f t="shared" si="27"/>
        <v>-0.65400000000000003</v>
      </c>
      <c r="G85" s="161">
        <f>ROUND(IF(F85&lt;0,F85*'2024-25 PSES Compliance'!$G$13,0),3)</f>
        <v>-0.628</v>
      </c>
      <c r="H85" s="161">
        <f>ROUND(IF(F85&lt;0,F85*'2024-25 PSES Compliance'!$G$14,0),3)</f>
        <v>-2.5999999999999999E-2</v>
      </c>
      <c r="I85" s="174">
        <f t="shared" si="21"/>
        <v>0.36207695873898932</v>
      </c>
      <c r="J85" s="174">
        <f t="shared" si="22"/>
        <v>0</v>
      </c>
      <c r="K85" s="161">
        <f>VLOOKUP($A85,'Enroll Data as of January 2025'!$A$3:$M$322,6,FALSE)</f>
        <v>2.8280000000000003</v>
      </c>
      <c r="L85" s="161">
        <f>VLOOKUP($A85,'Enroll Data as of January 2025'!$A$3:$M$322,7,FALSE)</f>
        <v>0.443</v>
      </c>
      <c r="M85" s="161">
        <f>VLOOKUP($A85,'Enroll Data as of January 2025'!$A$3:$M$322,8,FALSE)</f>
        <v>0.14899999999999999</v>
      </c>
      <c r="N85" s="161">
        <f>VLOOKUP($A85,'Enroll Data as of January 2025'!$A$3:$M$322,9,FALSE)</f>
        <v>1.2759999999999998</v>
      </c>
      <c r="O85" s="165">
        <f t="shared" si="23"/>
        <v>4.6959999999999997</v>
      </c>
      <c r="P85" s="161">
        <f>VLOOKUP($A85,'Enroll Data as of January 2025'!$A$3:$M$322,11,FALSE)</f>
        <v>0.17399999999999999</v>
      </c>
      <c r="Q85" s="161">
        <f>VLOOKUP($A85,'Enroll Data as of January 2025'!$A$3:$M$322,12,FALSE)</f>
        <v>9.8000000000000004E-2</v>
      </c>
      <c r="R85" s="165">
        <f t="shared" si="24"/>
        <v>0.27200000000000002</v>
      </c>
      <c r="S85" s="267">
        <f>IFERROR(VLOOKUP($A85,Supp_39,14,FALSE),0)+IFERROR(SUMPRODUCT(VLOOKUP($A85,S275_01,{14,15,16},FALSE)),0)+IFERROR(SUMPRODUCT(VLOOKUP($A85,S275_97,{14,15,16},FALSE)),0)+IFERROR(ROUND(VLOOKUP($A85,S275_21,14,FALSE)*VLOOKUP($A85,'3121% SY'!$C$3:$M$324,11,FALSE),3),0)+IFERROR(ROUND(VLOOKUP($A85,S275_21,15,FALSE)*VLOOKUP($A85,'3121% SY'!$C$3:$M$324,11,FALSE),3),0)+IFERROR(ROUND(VLOOKUP($A85,S275_21,16,FALSE)*VLOOKUP($A85,'3121% SY'!$C$3:$M$324,11,FALSE),3),0)+IFERROR(VLOOKUP($A85,S275_09,6,FALSE),0)</f>
        <v>2</v>
      </c>
      <c r="T85" s="267">
        <f>IFERROR(VLOOKUP($A85,Supp_42,14,FALSE),0)+IFERROR(SUMPRODUCT(VLOOKUP($A85,S275_01,{17,18,19},FALSE)),0)+IFERROR(SUMPRODUCT(VLOOKUP($A85,S275_97,{17,18,19},FALSE)),0)+IFERROR(ROUND(VLOOKUP($A85,S275_21,17,FALSE)*VLOOKUP($A85,'3121% SY'!$C$3:$M$324,11,FALSE),3),0)+IFERROR(ROUND(VLOOKUP($A85,S275_21,18,FALSE)*VLOOKUP($A85,'3121% SY'!$C$3:$M$324,11,FALSE),3),0)+IFERROR(ROUND(VLOOKUP($A85,S275_21,19,FALSE)*VLOOKUP($A85,'3121% SY'!$C$3:$M$324,11,FALSE),3),0)+IFERROR(VLOOKUP($A85,S275_09,7,FALSE),0)</f>
        <v>0.75</v>
      </c>
      <c r="U85" s="267">
        <f>IFERROR(VLOOKUP($A85,Supp_43,14,FALSE),0)+IFERROR(SUMPRODUCT(VLOOKUP($A85,S275_01,{20,21,22},FALSE)),0)+IFERROR(SUMPRODUCT(VLOOKUP($A85,S275_97,{20,21,22},FALSE)),0)+IFERROR(ROUND(VLOOKUP($A85,S275_21,20,FALSE)*VLOOKUP($A85,'3121% SY'!$C$3:$M$324,11,FALSE),3),0)+IFERROR(ROUND(VLOOKUP($A85,S275_21,21,FALSE)*VLOOKUP($A85,'3121% SY'!$C$3:$M$324,11,FALSE),3),0)+IFERROR(ROUND(VLOOKUP($A85,S275_21,22,FALSE)*VLOOKUP($A85,'3121% SY'!$C$3:$M$324,11,FALSE),3),0)+IFERROR(VLOOKUP($A85,S275_09,8,FALSE),0)</f>
        <v>0.16</v>
      </c>
      <c r="V85" s="267">
        <f>IFERROR(VLOOKUP($A85,Supp_44,14,FALSE),0)+IFERROR(SUMPRODUCT(VLOOKUP($A85,S275_01,{23,24,25},FALSE)),0)+IFERROR(SUMPRODUCT(VLOOKUP($A85,S275_97,{23,24,25},FALSE)),0)+IFERROR(ROUND(VLOOKUP($A85,S275_21,23,FALSE)*VLOOKUP($A85,'3121% SY'!$C$3:$M$324,11,FALSE),3),0)+IFERROR(ROUND(VLOOKUP($A85,S275_21,24,FALSE)*VLOOKUP($A85,'3121% SY'!$C$3:$M$324,11,FALSE),3),0)+IFERROR(ROUND(VLOOKUP($A85,S275_21,25,FALSE)*VLOOKUP($A85,'3121% SY'!$C$3:$M$324,11,FALSE),3),0)+IFERROR(VLOOKUP($A85,S275_09,9,FALSE),0)</f>
        <v>0</v>
      </c>
      <c r="W85" s="267">
        <f>IFERROR(VLOOKUP($A85,Supp_45,14,FALSE),0)+IFERROR(SUMPRODUCT(VLOOKUP($A85,S275_01,{26,27,28},FALSE)),0)+IFERROR(SUMPRODUCT(VLOOKUP($A85,S275_97,{26,27,28},FALSE)),0)+IFERROR(ROUND(VLOOKUP($A85,S275_21,26,FALSE)*VLOOKUP($A85,'3121% SY'!$C$3:$M$324,11,FALSE),3),0)+IFERROR(ROUND(VLOOKUP($A85,S275_21,27,FALSE)*VLOOKUP($A85,'3121% SY'!$C$3:$M$324,11,FALSE),3),0)+IFERROR(ROUND(VLOOKUP($A85,S275_21,28,FALSE)*VLOOKUP($A85,'3121% SY'!$C$3:$M$324,11,FALSE),3),0)+IFERROR(VLOOKUP($A85,S275_09,10,FALSE),0)</f>
        <v>0</v>
      </c>
      <c r="X85" s="267">
        <f>IFERROR(VLOOKUP($A85,Supp_46,14,FALSE),0)+IFERROR(SUMPRODUCT(VLOOKUP($A85,S275_01,{29,30,31},FALSE)),0)+IFERROR(SUMPRODUCT(VLOOKUP($A85,S275_97,{29,30,31},FALSE)),0)+IFERROR(ROUND(VLOOKUP($A85,S275_21,29,FALSE)*VLOOKUP($A85,'3121% SY'!$C$3:$M$324,11,FALSE),3),0)+IFERROR(ROUND(VLOOKUP($A85,S275_21,30,FALSE)*VLOOKUP($A85,'3121% SY'!$C$3:$M$324,11,FALSE),3),0)+IFERROR(ROUND(VLOOKUP($A85,S275_21,31,FALSE)*VLOOKUP($A85,'3121% SY'!$C$3:$M$324,11,FALSE),3),0)+IFERROR(VLOOKUP($A85,S275_09,11,FALSE),0)</f>
        <v>0.214</v>
      </c>
      <c r="Y85" s="267">
        <f>IFERROR(VLOOKUP($A85,Supp_47,14,FALSE),0)+IFERROR(SUMPRODUCT(VLOOKUP($A85,S275_01,{32,33,34},FALSE)),0)+IFERROR(SUMPRODUCT(VLOOKUP($A85,S275_97,{32,33,34},FALSE)),0)+IFERROR(ROUND(VLOOKUP($A85,S275_21,32,FALSE)*VLOOKUP($A85,'3121% SY'!$C$3:$M$324,11,FALSE),3),0)+IFERROR(ROUND(VLOOKUP($A85,S275_21,33,FALSE)*VLOOKUP($A85,'3121% SY'!$C$3:$M$324,11,FALSE),3),0)+IFERROR(ROUND(VLOOKUP($A85,S275_21,34,FALSE)*VLOOKUP($A85,'3121% SY'!$C$3:$M$324,11,FALSE),3),0)+IFERROR(VLOOKUP($A85,S275_09,12,FALSE),0)</f>
        <v>0</v>
      </c>
      <c r="Z85" s="267">
        <f>IFERROR(VLOOKUP($A85,Supp_48,14,FALSE),0)+IFERROR(SUMPRODUCT(VLOOKUP($A85,S275_01,{35,36,37},FALSE)),0)+IFERROR(SUMPRODUCT(VLOOKUP($A85,S275_97,{35,36,37},FALSE)),0)+IFERROR(ROUND(VLOOKUP($A85,S275_21,35,FALSE)*VLOOKUP($A85,'3121% SY'!$C$3:$M$324,11,FALSE),3),0)+IFERROR(ROUND(VLOOKUP($A85,S275_21,36,FALSE)*VLOOKUP($A85,'3121% SY'!$C$3:$M$324,11,FALSE),3),0)+IFERROR(ROUND(VLOOKUP($A85,S275_21,37,FALSE)*VLOOKUP($A85,'3121% SY'!$C$3:$M$324,11,FALSE),3),0)+IFERROR(VLOOKUP($A85,S275_09,13,FALSE),0)</f>
        <v>0</v>
      </c>
      <c r="AA85" s="267">
        <f>IFERROR(VLOOKUP($A85,Supp_49,14,FALSE),0)+IFERROR(SUMPRODUCT(VLOOKUP($A85,S275_01,{38,39,40},FALSE)),0)+IFERROR(SUMPRODUCT(VLOOKUP($A85,S275_97,{38,39,40},FALSE)),0)+IFERROR(ROUND(VLOOKUP($A85,S275_21,38,FALSE)*VLOOKUP($A85,'3121% SY'!$C$3:$M$324,11,FALSE),3),0)+IFERROR(ROUND(VLOOKUP($A85,S275_21,39,FALSE)*VLOOKUP($A85,'3121% SY'!$C$3:$M$324,11,FALSE),3),0)+IFERROR(ROUND(VLOOKUP($A85,S275_21,40,FALSE)*VLOOKUP($A85,'3121% SY'!$C$3:$M$324,11,FALSE),3),0)+IFERROR(VLOOKUP($A85,S275_09,14,FALSE),0)</f>
        <v>0</v>
      </c>
      <c r="AB85" s="267">
        <f>IFERROR(VLOOKUP($A85,Supp_64,14,FALSE),0)+IFERROR(SUMPRODUCT(VLOOKUP($A85,S275_01,{41,42,43},FALSE)),0)+IFERROR(SUMPRODUCT(VLOOKUP($A85,S275_97,{41,42,43},FALSE)),0)+IFERROR(ROUND(VLOOKUP($A85,S275_21,41,FALSE)*VLOOKUP($A85,'3121% SY'!$C$3:$M$324,11,FALSE),3),0)+IFERROR(ROUND(VLOOKUP($A85,S275_21,42,FALSE)*VLOOKUP($A85,'3121% SY'!$C$3:$M$324,11,FALSE),3),0)+IFERROR(ROUND(VLOOKUP($A85,S275_21,43,FALSE)*VLOOKUP($A85,'3121% SY'!$C$3:$M$324,11,FALSE),3),0)+IFERROR(VLOOKUP($A85,S275_09,15,FALSE),0)</f>
        <v>0</v>
      </c>
      <c r="AC85" s="268">
        <f t="shared" si="25"/>
        <v>3.1240000000000001</v>
      </c>
      <c r="AD85" s="267">
        <f>IFERROR(VLOOKUP($A85,Supp_24,14,FALSE),0)+IFERROR(SUMPRODUCT(VLOOKUP($A85,S275_01,{2,3,4},FALSE)),0)+IFERROR(SUMPRODUCT(VLOOKUP($A85,S275_97,{2,3,4},FALSE)),0)+IFERROR(ROUND(VLOOKUP($A85,S275_21,2,FALSE)*VLOOKUP($A85,'3121% SY'!$C$3:$M$324,11,FALSE),3),0)+IFERROR(ROUND(VLOOKUP($A85,S275_21,3,FALSE)*VLOOKUP($A85,'3121% SY'!$C$3:$M$324,11,FALSE),3),0)+IFERROR(ROUND(VLOOKUP($A85,S275_21,4,FALSE)*VLOOKUP($A85,'3121% SY'!$C$3:$M$324,11,FALSE),3),0)+IFERROR(VLOOKUP($A85,S275_09,2,FALSE),0)</f>
        <v>0</v>
      </c>
      <c r="AE85" s="267">
        <f>IFERROR(VLOOKUP($A85,Supp_25,14,FALSE),0)+IFERROR(SUMPRODUCT(VLOOKUP($A85,S275_01,{5,6,7},FALSE)),0)+IFERROR(SUMPRODUCT(VLOOKUP($A85,S275_97,{5,6,7},FALSE)),0)+IFERROR(ROUND(VLOOKUP($A85,S275_21,5,FALSE)*VLOOKUP($A85,'3121% SY'!$C$3:$M$324,11,FALSE),3),0)+IFERROR(ROUND(VLOOKUP($A85,S275_21,6,FALSE)*VLOOKUP($A85,'3121% SY'!$C$3:$M$324,11,FALSE),3),0)+IFERROR(ROUND(VLOOKUP($A85,S275_21,7,FALSE)*VLOOKUP($A85,'3121% SY'!$C$3:$M$324,11,FALSE),3),0)+IFERROR(VLOOKUP($A85,S275_09,3,FALSE),0)</f>
        <v>0</v>
      </c>
      <c r="AF85" s="267">
        <f>IFERROR(VLOOKUP($A85,Supp_26,14,FALSE),0)+IFERROR(SUMPRODUCT(VLOOKUP($A85,S275_01,{8,9,10},FALSE)),0)+IFERROR(SUMPRODUCT(VLOOKUP($A85,S275_97,{8,9,10},FALSE)),0)+IFERROR(ROUND(VLOOKUP($A85,S275_21,8,FALSE)*VLOOKUP($A85,'3121% SY'!$C$3:$M$324,11,FALSE),3),0)+IFERROR(ROUND(VLOOKUP($A85,S275_21,9,FALSE)*VLOOKUP($A85,'3121% SY'!$C$3:$M$324,11,FALSE),3),0)+IFERROR(ROUND(VLOOKUP($A85,S275_21,10,FALSE)*VLOOKUP($A85,'3121% SY'!$C$3:$M$324,11,FALSE),3),0)+IFERROR(VLOOKUP($A85,S275_09,4,FALSE),0)</f>
        <v>1.1899999999999997</v>
      </c>
      <c r="AG85" s="267">
        <f>IFERROR(VLOOKUP($A85,Supp_35,14,FALSE),0)+IFERROR(SUMPRODUCT(VLOOKUP($A85,S275_01,{11,12,13},FALSE)),0)+IFERROR(SUMPRODUCT(VLOOKUP($A85,S275_97,{11,12,13},FALSE)),0)+IFERROR(ROUND(VLOOKUP($A85,S275_21,11,FALSE)*VLOOKUP($A85,'3121% SY'!$C$3:$M$324,11,FALSE),3),0)+IFERROR(ROUND(VLOOKUP($A85,S275_21,12,FALSE)*VLOOKUP($A85,'3121% SY'!$C$3:$M$324,11,FALSE),3),0)+IFERROR(ROUND(VLOOKUP($A85,S275_21,13,FALSE)*VLOOKUP($A85,'3121% SY'!$C$3:$M$324,11,FALSE),3),0)+IFERROR(VLOOKUP($A85,S275_09,5,FALSE),0)</f>
        <v>0</v>
      </c>
      <c r="AH85" s="165">
        <f t="shared" si="26"/>
        <v>1.1899999999999997</v>
      </c>
      <c r="AI85" s="161">
        <f>IFERROR(VLOOKUP(A85,'Supp Staff Data'!A:ER,148,FALSE),0)+AB85</f>
        <v>0</v>
      </c>
      <c r="AJ85" s="174">
        <v>0.5</v>
      </c>
      <c r="AK85" s="25">
        <f>VLOOKUP(A85,'Enroll Data as of January 2025'!$A$3:$T$323,20,FALSE)-F85</f>
        <v>0</v>
      </c>
    </row>
    <row r="86" spans="1:37" x14ac:dyDescent="0.25">
      <c r="A86" s="171" t="s">
        <v>654</v>
      </c>
      <c r="B86" t="s">
        <v>1109</v>
      </c>
      <c r="C86" s="173" t="s">
        <v>1086</v>
      </c>
      <c r="D86" s="259">
        <f t="shared" si="19"/>
        <v>2.0949999999999998</v>
      </c>
      <c r="E86" s="259">
        <f t="shared" si="20"/>
        <v>3.15</v>
      </c>
      <c r="F86" s="262">
        <f>(AC86+AH86)-(O86+R86)</f>
        <v>1.0550000000000002</v>
      </c>
      <c r="G86" s="161">
        <f>ROUND(IF(F86&lt;0,F86*'2024-25 PSES Compliance'!$G$13,0),3)</f>
        <v>0</v>
      </c>
      <c r="H86" s="161">
        <f>ROUND(IF(F86&lt;0,F86*'2024-25 PSES Compliance'!$G$14,0),3)</f>
        <v>0</v>
      </c>
      <c r="I86" s="174">
        <f t="shared" si="21"/>
        <v>0</v>
      </c>
      <c r="J86" s="174">
        <f t="shared" si="22"/>
        <v>4.7619047619047616E-2</v>
      </c>
      <c r="K86" s="161">
        <f>VLOOKUP($A86,'Enroll Data as of January 2025'!$A$3:$M$322,6,FALSE)</f>
        <v>0.96599999999999997</v>
      </c>
      <c r="L86" s="161">
        <f>VLOOKUP($A86,'Enroll Data as of January 2025'!$A$3:$M$322,7,FALSE)</f>
        <v>0.30199999999999999</v>
      </c>
      <c r="M86" s="161">
        <f>VLOOKUP($A86,'Enroll Data as of January 2025'!$A$3:$M$322,8,FALSE)</f>
        <v>0.10100000000000001</v>
      </c>
      <c r="N86" s="161">
        <f>VLOOKUP($A86,'Enroll Data as of January 2025'!$A$3:$M$322,9,FALSE)</f>
        <v>0.56899999999999995</v>
      </c>
      <c r="O86" s="165">
        <f t="shared" si="23"/>
        <v>1.9379999999999999</v>
      </c>
      <c r="P86" s="161">
        <f>VLOOKUP($A86,'Enroll Data as of January 2025'!$A$3:$M$322,11,FALSE)</f>
        <v>7.6999999999999999E-2</v>
      </c>
      <c r="Q86" s="161">
        <f>VLOOKUP($A86,'Enroll Data as of January 2025'!$A$3:$M$322,12,FALSE)</f>
        <v>0.08</v>
      </c>
      <c r="R86" s="165">
        <f t="shared" si="24"/>
        <v>0.157</v>
      </c>
      <c r="S86" s="267">
        <f>IFERROR(VLOOKUP($A86,Supp_39,14,FALSE),0)+IFERROR(SUMPRODUCT(VLOOKUP($A86,S275_01,{14,15,16},FALSE)),0)+IFERROR(SUMPRODUCT(VLOOKUP($A86,S275_97,{14,15,16},FALSE)),0)+IFERROR(ROUND(VLOOKUP($A86,S275_21,14,FALSE)*VLOOKUP($A86,'3121% SY'!$C$3:$M$324,11,FALSE),3),0)+IFERROR(ROUND(VLOOKUP($A86,S275_21,15,FALSE)*VLOOKUP($A86,'3121% SY'!$C$3:$M$324,11,FALSE),3),0)+IFERROR(ROUND(VLOOKUP($A86,S275_21,16,FALSE)*VLOOKUP($A86,'3121% SY'!$C$3:$M$324,11,FALSE),3),0)+IFERROR(VLOOKUP($A86,S275_09,6,FALSE),0)</f>
        <v>0</v>
      </c>
      <c r="T86" s="267">
        <f>IFERROR(VLOOKUP($A86,Supp_42,14,FALSE),0)+IFERROR(SUMPRODUCT(VLOOKUP($A86,S275_01,{17,18,19},FALSE)),0)+IFERROR(SUMPRODUCT(VLOOKUP($A86,S275_97,{17,18,19},FALSE)),0)+IFERROR(ROUND(VLOOKUP($A86,S275_21,17,FALSE)*VLOOKUP($A86,'3121% SY'!$C$3:$M$324,11,FALSE),3),0)+IFERROR(ROUND(VLOOKUP($A86,S275_21,18,FALSE)*VLOOKUP($A86,'3121% SY'!$C$3:$M$324,11,FALSE),3),0)+IFERROR(ROUND(VLOOKUP($A86,S275_21,19,FALSE)*VLOOKUP($A86,'3121% SY'!$C$3:$M$324,11,FALSE),3),0)+IFERROR(VLOOKUP($A86,S275_09,7,FALSE),0)</f>
        <v>0</v>
      </c>
      <c r="U86" s="267">
        <f>IFERROR(VLOOKUP($A86,Supp_43,14,FALSE),0)+IFERROR(SUMPRODUCT(VLOOKUP($A86,S275_01,{20,21,22},FALSE)),0)+IFERROR(SUMPRODUCT(VLOOKUP($A86,S275_97,{20,21,22},FALSE)),0)+IFERROR(ROUND(VLOOKUP($A86,S275_21,20,FALSE)*VLOOKUP($A86,'3121% SY'!$C$3:$M$324,11,FALSE),3),0)+IFERROR(ROUND(VLOOKUP($A86,S275_21,21,FALSE)*VLOOKUP($A86,'3121% SY'!$C$3:$M$324,11,FALSE),3),0)+IFERROR(ROUND(VLOOKUP($A86,S275_21,22,FALSE)*VLOOKUP($A86,'3121% SY'!$C$3:$M$324,11,FALSE),3),0)+IFERROR(VLOOKUP($A86,S275_09,8,FALSE),0)</f>
        <v>0</v>
      </c>
      <c r="V86" s="267">
        <f>IFERROR(VLOOKUP($A86,Supp_44,14,FALSE),0)+IFERROR(SUMPRODUCT(VLOOKUP($A86,S275_01,{23,24,25},FALSE)),0)+IFERROR(SUMPRODUCT(VLOOKUP($A86,S275_97,{23,24,25},FALSE)),0)+IFERROR(ROUND(VLOOKUP($A86,S275_21,23,FALSE)*VLOOKUP($A86,'3121% SY'!$C$3:$M$324,11,FALSE),3),0)+IFERROR(ROUND(VLOOKUP($A86,S275_21,24,FALSE)*VLOOKUP($A86,'3121% SY'!$C$3:$M$324,11,FALSE),3),0)+IFERROR(ROUND(VLOOKUP($A86,S275_21,25,FALSE)*VLOOKUP($A86,'3121% SY'!$C$3:$M$324,11,FALSE),3),0)+IFERROR(VLOOKUP($A86,S275_09,9,FALSE),0)</f>
        <v>0</v>
      </c>
      <c r="W86" s="267">
        <f>IFERROR(VLOOKUP($A86,Supp_45,14,FALSE),0)+IFERROR(SUMPRODUCT(VLOOKUP($A86,S275_01,{26,27,28},FALSE)),0)+IFERROR(SUMPRODUCT(VLOOKUP($A86,S275_97,{26,27,28},FALSE)),0)+IFERROR(ROUND(VLOOKUP($A86,S275_21,26,FALSE)*VLOOKUP($A86,'3121% SY'!$C$3:$M$324,11,FALSE),3),0)+IFERROR(ROUND(VLOOKUP($A86,S275_21,27,FALSE)*VLOOKUP($A86,'3121% SY'!$C$3:$M$324,11,FALSE),3),0)+IFERROR(ROUND(VLOOKUP($A86,S275_21,28,FALSE)*VLOOKUP($A86,'3121% SY'!$C$3:$M$324,11,FALSE),3),0)+IFERROR(VLOOKUP($A86,S275_09,10,FALSE),0)</f>
        <v>0</v>
      </c>
      <c r="X86" s="267">
        <f>IFERROR(VLOOKUP($A86,Supp_46,14,FALSE),0)+IFERROR(SUMPRODUCT(VLOOKUP($A86,S275_01,{29,30,31},FALSE)),0)+IFERROR(SUMPRODUCT(VLOOKUP($A86,S275_97,{29,30,31},FALSE)),0)+IFERROR(ROUND(VLOOKUP($A86,S275_21,29,FALSE)*VLOOKUP($A86,'3121% SY'!$C$3:$M$324,11,FALSE),3),0)+IFERROR(ROUND(VLOOKUP($A86,S275_21,30,FALSE)*VLOOKUP($A86,'3121% SY'!$C$3:$M$324,11,FALSE),3),0)+IFERROR(ROUND(VLOOKUP($A86,S275_21,31,FALSE)*VLOOKUP($A86,'3121% SY'!$C$3:$M$324,11,FALSE),3),0)+IFERROR(VLOOKUP($A86,S275_09,11,FALSE),0)</f>
        <v>0</v>
      </c>
      <c r="Y86" s="267">
        <f>IFERROR(VLOOKUP($A86,Supp_47,14,FALSE),0)+IFERROR(SUMPRODUCT(VLOOKUP($A86,S275_01,{32,33,34},FALSE)),0)+IFERROR(SUMPRODUCT(VLOOKUP($A86,S275_97,{32,33,34},FALSE)),0)+IFERROR(ROUND(VLOOKUP($A86,S275_21,32,FALSE)*VLOOKUP($A86,'3121% SY'!$C$3:$M$324,11,FALSE),3),0)+IFERROR(ROUND(VLOOKUP($A86,S275_21,33,FALSE)*VLOOKUP($A86,'3121% SY'!$C$3:$M$324,11,FALSE),3),0)+IFERROR(ROUND(VLOOKUP($A86,S275_21,34,FALSE)*VLOOKUP($A86,'3121% SY'!$C$3:$M$324,11,FALSE),3),0)+IFERROR(VLOOKUP($A86,S275_09,12,FALSE),0)</f>
        <v>0</v>
      </c>
      <c r="Z86" s="267">
        <f>IFERROR(VLOOKUP($A86,Supp_48,14,FALSE),0)+IFERROR(SUMPRODUCT(VLOOKUP($A86,S275_01,{35,36,37},FALSE)),0)+IFERROR(SUMPRODUCT(VLOOKUP($A86,S275_97,{35,36,37},FALSE)),0)+IFERROR(ROUND(VLOOKUP($A86,S275_21,35,FALSE)*VLOOKUP($A86,'3121% SY'!$C$3:$M$324,11,FALSE),3),0)+IFERROR(ROUND(VLOOKUP($A86,S275_21,36,FALSE)*VLOOKUP($A86,'3121% SY'!$C$3:$M$324,11,FALSE),3),0)+IFERROR(ROUND(VLOOKUP($A86,S275_21,37,FALSE)*VLOOKUP($A86,'3121% SY'!$C$3:$M$324,11,FALSE),3),0)+IFERROR(VLOOKUP($A86,S275_09,13,FALSE),0)</f>
        <v>0</v>
      </c>
      <c r="AA86" s="267">
        <f>IFERROR(VLOOKUP($A86,Supp_49,14,FALSE),0)+IFERROR(SUMPRODUCT(VLOOKUP($A86,S275_01,{38,39,40},FALSE)),0)+IFERROR(SUMPRODUCT(VLOOKUP($A86,S275_97,{38,39,40},FALSE)),0)+IFERROR(ROUND(VLOOKUP($A86,S275_21,38,FALSE)*VLOOKUP($A86,'3121% SY'!$C$3:$M$324,11,FALSE),3),0)+IFERROR(ROUND(VLOOKUP($A86,S275_21,39,FALSE)*VLOOKUP($A86,'3121% SY'!$C$3:$M$324,11,FALSE),3),0)+IFERROR(ROUND(VLOOKUP($A86,S275_21,40,FALSE)*VLOOKUP($A86,'3121% SY'!$C$3:$M$324,11,FALSE),3),0)+IFERROR(VLOOKUP($A86,S275_09,14,FALSE),0)</f>
        <v>0</v>
      </c>
      <c r="AB86" s="267">
        <f>IFERROR(VLOOKUP($A86,Supp_64,14,FALSE),0)+IFERROR(SUMPRODUCT(VLOOKUP($A86,S275_01,{41,42,43},FALSE)),0)+IFERROR(SUMPRODUCT(VLOOKUP($A86,S275_97,{41,42,43},FALSE)),0)+IFERROR(ROUND(VLOOKUP($A86,S275_21,41,FALSE)*VLOOKUP($A86,'3121% SY'!$C$3:$M$324,11,FALSE),3),0)+IFERROR(ROUND(VLOOKUP($A86,S275_21,42,FALSE)*VLOOKUP($A86,'3121% SY'!$C$3:$M$324,11,FALSE),3),0)+IFERROR(ROUND(VLOOKUP($A86,S275_21,43,FALSE)*VLOOKUP($A86,'3121% SY'!$C$3:$M$324,11,FALSE),3),0)+IFERROR(VLOOKUP($A86,S275_09,15,FALSE),0)</f>
        <v>0.15</v>
      </c>
      <c r="AC86" s="268">
        <f t="shared" si="25"/>
        <v>0.15</v>
      </c>
      <c r="AD86" s="267">
        <f>IFERROR(VLOOKUP($A86,Supp_24,14,FALSE),0)+IFERROR(SUMPRODUCT(VLOOKUP($A86,S275_01,{2,3,4},FALSE)),0)+IFERROR(SUMPRODUCT(VLOOKUP($A86,S275_97,{2,3,4},FALSE)),0)+IFERROR(ROUND(VLOOKUP($A86,S275_21,2,FALSE)*VLOOKUP($A86,'3121% SY'!$C$3:$M$324,11,FALSE),3),0)+IFERROR(ROUND(VLOOKUP($A86,S275_21,3,FALSE)*VLOOKUP($A86,'3121% SY'!$C$3:$M$324,11,FALSE),3),0)+IFERROR(ROUND(VLOOKUP($A86,S275_21,4,FALSE)*VLOOKUP($A86,'3121% SY'!$C$3:$M$324,11,FALSE),3),0)+IFERROR(VLOOKUP($A86,S275_09,2,FALSE),0)</f>
        <v>2</v>
      </c>
      <c r="AE86" s="267">
        <f>IFERROR(VLOOKUP($A86,Supp_25,14,FALSE),0)+IFERROR(SUMPRODUCT(VLOOKUP($A86,S275_01,{5,6,7},FALSE)),0)+IFERROR(SUMPRODUCT(VLOOKUP($A86,S275_97,{5,6,7},FALSE)),0)+IFERROR(ROUND(VLOOKUP($A86,S275_21,5,FALSE)*VLOOKUP($A86,'3121% SY'!$C$3:$M$324,11,FALSE),3),0)+IFERROR(ROUND(VLOOKUP($A86,S275_21,6,FALSE)*VLOOKUP($A86,'3121% SY'!$C$3:$M$324,11,FALSE),3),0)+IFERROR(ROUND(VLOOKUP($A86,S275_21,7,FALSE)*VLOOKUP($A86,'3121% SY'!$C$3:$M$324,11,FALSE),3),0)+IFERROR(VLOOKUP($A86,S275_09,3,FALSE),0)</f>
        <v>1</v>
      </c>
      <c r="AF86" s="267">
        <f>IFERROR(VLOOKUP($A86,Supp_26,14,FALSE),0)+IFERROR(SUMPRODUCT(VLOOKUP($A86,S275_01,{8,9,10},FALSE)),0)+IFERROR(SUMPRODUCT(VLOOKUP($A86,S275_97,{8,9,10},FALSE)),0)+IFERROR(ROUND(VLOOKUP($A86,S275_21,8,FALSE)*VLOOKUP($A86,'3121% SY'!$C$3:$M$324,11,FALSE),3),0)+IFERROR(ROUND(VLOOKUP($A86,S275_21,9,FALSE)*VLOOKUP($A86,'3121% SY'!$C$3:$M$324,11,FALSE),3),0)+IFERROR(ROUND(VLOOKUP($A86,S275_21,10,FALSE)*VLOOKUP($A86,'3121% SY'!$C$3:$M$324,11,FALSE),3),0)+IFERROR(VLOOKUP($A86,S275_09,4,FALSE),0)</f>
        <v>0</v>
      </c>
      <c r="AG86" s="267">
        <f>IFERROR(VLOOKUP($A86,Supp_35,14,FALSE),0)+IFERROR(SUMPRODUCT(VLOOKUP($A86,S275_01,{11,12,13},FALSE)),0)+IFERROR(SUMPRODUCT(VLOOKUP($A86,S275_97,{11,12,13},FALSE)),0)+IFERROR(ROUND(VLOOKUP($A86,S275_21,11,FALSE)*VLOOKUP($A86,'3121% SY'!$C$3:$M$324,11,FALSE),3),0)+IFERROR(ROUND(VLOOKUP($A86,S275_21,12,FALSE)*VLOOKUP($A86,'3121% SY'!$C$3:$M$324,11,FALSE),3),0)+IFERROR(ROUND(VLOOKUP($A86,S275_21,13,FALSE)*VLOOKUP($A86,'3121% SY'!$C$3:$M$324,11,FALSE),3),0)+IFERROR(VLOOKUP($A86,S275_09,5,FALSE),0)</f>
        <v>0</v>
      </c>
      <c r="AH86" s="165">
        <f t="shared" si="26"/>
        <v>3</v>
      </c>
      <c r="AI86" s="161">
        <f>IFERROR(VLOOKUP(A86,'Supp Staff Data'!A:ER,148,FALSE),0)+AB86</f>
        <v>0.15</v>
      </c>
      <c r="AJ86" s="174">
        <v>0</v>
      </c>
      <c r="AK86" s="25">
        <f>VLOOKUP(A86,'Enroll Data as of January 2025'!$A$3:$T$323,20,FALSE)-F86</f>
        <v>0</v>
      </c>
    </row>
    <row r="87" spans="1:37" x14ac:dyDescent="0.25">
      <c r="A87" s="171" t="s">
        <v>631</v>
      </c>
      <c r="B87" t="s">
        <v>1108</v>
      </c>
      <c r="C87" s="173" t="s">
        <v>1077</v>
      </c>
      <c r="D87" s="259">
        <f t="shared" si="19"/>
        <v>2.6859999999999999</v>
      </c>
      <c r="E87" s="259">
        <f t="shared" si="20"/>
        <v>3.4079999999999999</v>
      </c>
      <c r="F87" s="262">
        <f>(AC87+AH87)-(O87+R87)</f>
        <v>0.72199999999999998</v>
      </c>
      <c r="G87" s="161">
        <f>ROUND(IF(F87&lt;0,F87*'2024-25 PSES Compliance'!$G$13,0),3)</f>
        <v>0</v>
      </c>
      <c r="H87" s="161">
        <f>ROUND(IF(F87&lt;0,F87*'2024-25 PSES Compliance'!$G$14,0),3)</f>
        <v>0</v>
      </c>
      <c r="I87" s="174">
        <f t="shared" si="21"/>
        <v>0.11971830985915492</v>
      </c>
      <c r="J87" s="174">
        <f t="shared" si="22"/>
        <v>0.11971830985915492</v>
      </c>
      <c r="K87" s="161">
        <f>VLOOKUP($A87,'Enroll Data as of January 2025'!$A$3:$M$322,6,FALSE)</f>
        <v>1.238</v>
      </c>
      <c r="L87" s="161">
        <f>VLOOKUP($A87,'Enroll Data as of January 2025'!$A$3:$M$322,7,FALSE)</f>
        <v>0.38800000000000001</v>
      </c>
      <c r="M87" s="161">
        <f>VLOOKUP($A87,'Enroll Data as of January 2025'!$A$3:$M$322,8,FALSE)</f>
        <v>0.13</v>
      </c>
      <c r="N87" s="161">
        <f>VLOOKUP($A87,'Enroll Data as of January 2025'!$A$3:$M$322,9,FALSE)</f>
        <v>0.72899999999999998</v>
      </c>
      <c r="O87" s="165">
        <f t="shared" si="23"/>
        <v>2.4849999999999999</v>
      </c>
      <c r="P87" s="161">
        <f>VLOOKUP($A87,'Enroll Data as of January 2025'!$A$3:$M$322,11,FALSE)</f>
        <v>9.8000000000000004E-2</v>
      </c>
      <c r="Q87" s="161">
        <f>VLOOKUP($A87,'Enroll Data as of January 2025'!$A$3:$M$322,12,FALSE)</f>
        <v>0.10299999999999999</v>
      </c>
      <c r="R87" s="165">
        <f t="shared" si="24"/>
        <v>0.20100000000000001</v>
      </c>
      <c r="S87" s="267">
        <f>IFERROR(VLOOKUP($A87,Supp_39,14,FALSE),0)+IFERROR(SUMPRODUCT(VLOOKUP($A87,S275_01,{14,15,16},FALSE)),0)+IFERROR(SUMPRODUCT(VLOOKUP($A87,S275_97,{14,15,16},FALSE)),0)+IFERROR(ROUND(VLOOKUP($A87,S275_21,14,FALSE)*VLOOKUP($A87,'3121% SY'!$C$3:$M$324,11,FALSE),3),0)+IFERROR(ROUND(VLOOKUP($A87,S275_21,15,FALSE)*VLOOKUP($A87,'3121% SY'!$C$3:$M$324,11,FALSE),3),0)+IFERROR(ROUND(VLOOKUP($A87,S275_21,16,FALSE)*VLOOKUP($A87,'3121% SY'!$C$3:$M$324,11,FALSE),3),0)+IFERROR(VLOOKUP($A87,S275_09,6,FALSE),0)</f>
        <v>0</v>
      </c>
      <c r="T87" s="267">
        <f>IFERROR(VLOOKUP($A87,Supp_42,14,FALSE),0)+IFERROR(SUMPRODUCT(VLOOKUP($A87,S275_01,{17,18,19},FALSE)),0)+IFERROR(SUMPRODUCT(VLOOKUP($A87,S275_97,{17,18,19},FALSE)),0)+IFERROR(ROUND(VLOOKUP($A87,S275_21,17,FALSE)*VLOOKUP($A87,'3121% SY'!$C$3:$M$324,11,FALSE),3),0)+IFERROR(ROUND(VLOOKUP($A87,S275_21,18,FALSE)*VLOOKUP($A87,'3121% SY'!$C$3:$M$324,11,FALSE),3),0)+IFERROR(ROUND(VLOOKUP($A87,S275_21,19,FALSE)*VLOOKUP($A87,'3121% SY'!$C$3:$M$324,11,FALSE),3),0)+IFERROR(VLOOKUP($A87,S275_09,7,FALSE),0)</f>
        <v>0</v>
      </c>
      <c r="U87" s="267">
        <f>IFERROR(VLOOKUP($A87,Supp_43,14,FALSE),0)+IFERROR(SUMPRODUCT(VLOOKUP($A87,S275_01,{20,21,22},FALSE)),0)+IFERROR(SUMPRODUCT(VLOOKUP($A87,S275_97,{20,21,22},FALSE)),0)+IFERROR(ROUND(VLOOKUP($A87,S275_21,20,FALSE)*VLOOKUP($A87,'3121% SY'!$C$3:$M$324,11,FALSE),3),0)+IFERROR(ROUND(VLOOKUP($A87,S275_21,21,FALSE)*VLOOKUP($A87,'3121% SY'!$C$3:$M$324,11,FALSE),3),0)+IFERROR(ROUND(VLOOKUP($A87,S275_21,22,FALSE)*VLOOKUP($A87,'3121% SY'!$C$3:$M$324,11,FALSE),3),0)+IFERROR(VLOOKUP($A87,S275_09,8,FALSE),0)</f>
        <v>0</v>
      </c>
      <c r="V87" s="267">
        <f>IFERROR(VLOOKUP($A87,Supp_44,14,FALSE),0)+IFERROR(SUMPRODUCT(VLOOKUP($A87,S275_01,{23,24,25},FALSE)),0)+IFERROR(SUMPRODUCT(VLOOKUP($A87,S275_97,{23,24,25},FALSE)),0)+IFERROR(ROUND(VLOOKUP($A87,S275_21,23,FALSE)*VLOOKUP($A87,'3121% SY'!$C$3:$M$324,11,FALSE),3),0)+IFERROR(ROUND(VLOOKUP($A87,S275_21,24,FALSE)*VLOOKUP($A87,'3121% SY'!$C$3:$M$324,11,FALSE),3),0)+IFERROR(ROUND(VLOOKUP($A87,S275_21,25,FALSE)*VLOOKUP($A87,'3121% SY'!$C$3:$M$324,11,FALSE),3),0)+IFERROR(VLOOKUP($A87,S275_09,9,FALSE),0)</f>
        <v>0</v>
      </c>
      <c r="W87" s="267">
        <f>IFERROR(VLOOKUP($A87,Supp_45,14,FALSE),0)+IFERROR(SUMPRODUCT(VLOOKUP($A87,S275_01,{26,27,28},FALSE)),0)+IFERROR(SUMPRODUCT(VLOOKUP($A87,S275_97,{26,27,28},FALSE)),0)+IFERROR(ROUND(VLOOKUP($A87,S275_21,26,FALSE)*VLOOKUP($A87,'3121% SY'!$C$3:$M$324,11,FALSE),3),0)+IFERROR(ROUND(VLOOKUP($A87,S275_21,27,FALSE)*VLOOKUP($A87,'3121% SY'!$C$3:$M$324,11,FALSE),3),0)+IFERROR(ROUND(VLOOKUP($A87,S275_21,28,FALSE)*VLOOKUP($A87,'3121% SY'!$C$3:$M$324,11,FALSE),3),0)+IFERROR(VLOOKUP($A87,S275_09,10,FALSE),0)</f>
        <v>0</v>
      </c>
      <c r="X87" s="267">
        <f>IFERROR(VLOOKUP($A87,Supp_46,14,FALSE),0)+IFERROR(SUMPRODUCT(VLOOKUP($A87,S275_01,{29,30,31},FALSE)),0)+IFERROR(SUMPRODUCT(VLOOKUP($A87,S275_97,{29,30,31},FALSE)),0)+IFERROR(ROUND(VLOOKUP($A87,S275_21,29,FALSE)*VLOOKUP($A87,'3121% SY'!$C$3:$M$324,11,FALSE),3),0)+IFERROR(ROUND(VLOOKUP($A87,S275_21,30,FALSE)*VLOOKUP($A87,'3121% SY'!$C$3:$M$324,11,FALSE),3),0)+IFERROR(ROUND(VLOOKUP($A87,S275_21,31,FALSE)*VLOOKUP($A87,'3121% SY'!$C$3:$M$324,11,FALSE),3),0)+IFERROR(VLOOKUP($A87,S275_09,11,FALSE),0)</f>
        <v>0</v>
      </c>
      <c r="Y87" s="267">
        <f>IFERROR(VLOOKUP($A87,Supp_47,14,FALSE),0)+IFERROR(SUMPRODUCT(VLOOKUP($A87,S275_01,{32,33,34},FALSE)),0)+IFERROR(SUMPRODUCT(VLOOKUP($A87,S275_97,{32,33,34},FALSE)),0)+IFERROR(ROUND(VLOOKUP($A87,S275_21,32,FALSE)*VLOOKUP($A87,'3121% SY'!$C$3:$M$324,11,FALSE),3),0)+IFERROR(ROUND(VLOOKUP($A87,S275_21,33,FALSE)*VLOOKUP($A87,'3121% SY'!$C$3:$M$324,11,FALSE),3),0)+IFERROR(ROUND(VLOOKUP($A87,S275_21,34,FALSE)*VLOOKUP($A87,'3121% SY'!$C$3:$M$324,11,FALSE),3),0)+IFERROR(VLOOKUP($A87,S275_09,12,FALSE),0)</f>
        <v>0</v>
      </c>
      <c r="Z87" s="267">
        <f>IFERROR(VLOOKUP($A87,Supp_48,14,FALSE),0)+IFERROR(SUMPRODUCT(VLOOKUP($A87,S275_01,{35,36,37},FALSE)),0)+IFERROR(SUMPRODUCT(VLOOKUP($A87,S275_97,{35,36,37},FALSE)),0)+IFERROR(ROUND(VLOOKUP($A87,S275_21,35,FALSE)*VLOOKUP($A87,'3121% SY'!$C$3:$M$324,11,FALSE),3),0)+IFERROR(ROUND(VLOOKUP($A87,S275_21,36,FALSE)*VLOOKUP($A87,'3121% SY'!$C$3:$M$324,11,FALSE),3),0)+IFERROR(ROUND(VLOOKUP($A87,S275_21,37,FALSE)*VLOOKUP($A87,'3121% SY'!$C$3:$M$324,11,FALSE),3),0)+IFERROR(VLOOKUP($A87,S275_09,13,FALSE),0)</f>
        <v>0</v>
      </c>
      <c r="AA87" s="267">
        <f>IFERROR(VLOOKUP($A87,Supp_49,14,FALSE),0)+IFERROR(SUMPRODUCT(VLOOKUP($A87,S275_01,{38,39,40},FALSE)),0)+IFERROR(SUMPRODUCT(VLOOKUP($A87,S275_97,{38,39,40},FALSE)),0)+IFERROR(ROUND(VLOOKUP($A87,S275_21,38,FALSE)*VLOOKUP($A87,'3121% SY'!$C$3:$M$324,11,FALSE),3),0)+IFERROR(ROUND(VLOOKUP($A87,S275_21,39,FALSE)*VLOOKUP($A87,'3121% SY'!$C$3:$M$324,11,FALSE),3),0)+IFERROR(ROUND(VLOOKUP($A87,S275_21,40,FALSE)*VLOOKUP($A87,'3121% SY'!$C$3:$M$324,11,FALSE),3),0)+IFERROR(VLOOKUP($A87,S275_09,14,FALSE),0)</f>
        <v>0</v>
      </c>
      <c r="AB87" s="267">
        <f>IFERROR(VLOOKUP($A87,Supp_64,14,FALSE),0)+IFERROR(SUMPRODUCT(VLOOKUP($A87,S275_01,{41,42,43},FALSE)),0)+IFERROR(SUMPRODUCT(VLOOKUP($A87,S275_97,{41,42,43},FALSE)),0)+IFERROR(ROUND(VLOOKUP($A87,S275_21,41,FALSE)*VLOOKUP($A87,'3121% SY'!$C$3:$M$324,11,FALSE),3),0)+IFERROR(ROUND(VLOOKUP($A87,S275_21,42,FALSE)*VLOOKUP($A87,'3121% SY'!$C$3:$M$324,11,FALSE),3),0)+IFERROR(ROUND(VLOOKUP($A87,S275_21,43,FALSE)*VLOOKUP($A87,'3121% SY'!$C$3:$M$324,11,FALSE),3),0)+IFERROR(VLOOKUP($A87,S275_09,15,FALSE),0)</f>
        <v>0.40799999999999997</v>
      </c>
      <c r="AC87" s="268">
        <f t="shared" si="25"/>
        <v>0.40799999999999997</v>
      </c>
      <c r="AD87" s="267">
        <f>IFERROR(VLOOKUP($A87,Supp_24,14,FALSE),0)+IFERROR(SUMPRODUCT(VLOOKUP($A87,S275_01,{2,3,4},FALSE)),0)+IFERROR(SUMPRODUCT(VLOOKUP($A87,S275_97,{2,3,4},FALSE)),0)+IFERROR(ROUND(VLOOKUP($A87,S275_21,2,FALSE)*VLOOKUP($A87,'3121% SY'!$C$3:$M$324,11,FALSE),3),0)+IFERROR(ROUND(VLOOKUP($A87,S275_21,3,FALSE)*VLOOKUP($A87,'3121% SY'!$C$3:$M$324,11,FALSE),3),0)+IFERROR(ROUND(VLOOKUP($A87,S275_21,4,FALSE)*VLOOKUP($A87,'3121% SY'!$C$3:$M$324,11,FALSE),3),0)+IFERROR(VLOOKUP($A87,S275_09,2,FALSE),0)</f>
        <v>2</v>
      </c>
      <c r="AE87" s="267">
        <f>IFERROR(VLOOKUP($A87,Supp_25,14,FALSE),0)+IFERROR(SUMPRODUCT(VLOOKUP($A87,S275_01,{5,6,7},FALSE)),0)+IFERROR(SUMPRODUCT(VLOOKUP($A87,S275_97,{5,6,7},FALSE)),0)+IFERROR(ROUND(VLOOKUP($A87,S275_21,5,FALSE)*VLOOKUP($A87,'3121% SY'!$C$3:$M$324,11,FALSE),3),0)+IFERROR(ROUND(VLOOKUP($A87,S275_21,6,FALSE)*VLOOKUP($A87,'3121% SY'!$C$3:$M$324,11,FALSE),3),0)+IFERROR(ROUND(VLOOKUP($A87,S275_21,7,FALSE)*VLOOKUP($A87,'3121% SY'!$C$3:$M$324,11,FALSE),3),0)+IFERROR(VLOOKUP($A87,S275_09,3,FALSE),0)</f>
        <v>1</v>
      </c>
      <c r="AF87" s="267">
        <f>IFERROR(VLOOKUP($A87,Supp_26,14,FALSE),0)+IFERROR(SUMPRODUCT(VLOOKUP($A87,S275_01,{8,9,10},FALSE)),0)+IFERROR(SUMPRODUCT(VLOOKUP($A87,S275_97,{8,9,10},FALSE)),0)+IFERROR(ROUND(VLOOKUP($A87,S275_21,8,FALSE)*VLOOKUP($A87,'3121% SY'!$C$3:$M$324,11,FALSE),3),0)+IFERROR(ROUND(VLOOKUP($A87,S275_21,9,FALSE)*VLOOKUP($A87,'3121% SY'!$C$3:$M$324,11,FALSE),3),0)+IFERROR(ROUND(VLOOKUP($A87,S275_21,10,FALSE)*VLOOKUP($A87,'3121% SY'!$C$3:$M$324,11,FALSE),3),0)+IFERROR(VLOOKUP($A87,S275_09,4,FALSE),0)</f>
        <v>0</v>
      </c>
      <c r="AG87" s="267">
        <f>IFERROR(VLOOKUP($A87,Supp_35,14,FALSE),0)+IFERROR(SUMPRODUCT(VLOOKUP($A87,S275_01,{11,12,13},FALSE)),0)+IFERROR(SUMPRODUCT(VLOOKUP($A87,S275_97,{11,12,13},FALSE)),0)+IFERROR(ROUND(VLOOKUP($A87,S275_21,11,FALSE)*VLOOKUP($A87,'3121% SY'!$C$3:$M$324,11,FALSE),3),0)+IFERROR(ROUND(VLOOKUP($A87,S275_21,12,FALSE)*VLOOKUP($A87,'3121% SY'!$C$3:$M$324,11,FALSE),3),0)+IFERROR(ROUND(VLOOKUP($A87,S275_21,13,FALSE)*VLOOKUP($A87,'3121% SY'!$C$3:$M$324,11,FALSE),3),0)+IFERROR(VLOOKUP($A87,S275_09,5,FALSE),0)</f>
        <v>0</v>
      </c>
      <c r="AH87" s="165">
        <f t="shared" si="26"/>
        <v>3</v>
      </c>
      <c r="AI87" s="161">
        <f>IFERROR(VLOOKUP(A87,'Supp Staff Data'!A:ER,148,FALSE),0)+AB87</f>
        <v>0.40799999999999997</v>
      </c>
      <c r="AJ87" s="174">
        <v>1</v>
      </c>
      <c r="AK87" s="25">
        <f>VLOOKUP(A87,'Enroll Data as of January 2025'!$A$3:$T$323,20,FALSE)-F87</f>
        <v>0</v>
      </c>
    </row>
    <row r="88" spans="1:37" x14ac:dyDescent="0.25">
      <c r="A88" s="171" t="s">
        <v>90</v>
      </c>
      <c r="B88" t="s">
        <v>386</v>
      </c>
      <c r="C88" s="173" t="s">
        <v>1077</v>
      </c>
      <c r="D88" s="259">
        <f t="shared" si="19"/>
        <v>6.16</v>
      </c>
      <c r="E88" s="259">
        <f t="shared" si="20"/>
        <v>5.3349999999999991</v>
      </c>
      <c r="F88" s="262">
        <f t="shared" ref="F88:F102" si="28">ROUND((AC88+AH88)-(O88+R88),3)</f>
        <v>-0.82499999999999996</v>
      </c>
      <c r="G88" s="161">
        <f>ROUND(IF(F88&lt;0,F88*'2024-25 PSES Compliance'!$G$13,0),3)</f>
        <v>-0.79200000000000004</v>
      </c>
      <c r="H88" s="161">
        <f>ROUND(IF(F88&lt;0,F88*'2024-25 PSES Compliance'!$G$14,0),3)</f>
        <v>-3.3000000000000002E-2</v>
      </c>
      <c r="I88" s="174">
        <f t="shared" si="21"/>
        <v>0.87553889409559515</v>
      </c>
      <c r="J88" s="174">
        <f t="shared" si="22"/>
        <v>0</v>
      </c>
      <c r="K88" s="161">
        <f>VLOOKUP($A88,'Enroll Data as of January 2025'!$A$3:$M$322,6,FALSE)</f>
        <v>3.5790000000000002</v>
      </c>
      <c r="L88" s="161">
        <f>VLOOKUP($A88,'Enroll Data as of January 2025'!$A$3:$M$322,7,FALSE)</f>
        <v>0.52</v>
      </c>
      <c r="M88" s="161">
        <f>VLOOKUP($A88,'Enroll Data as of January 2025'!$A$3:$M$322,8,FALSE)</f>
        <v>0.17400000000000002</v>
      </c>
      <c r="N88" s="161">
        <f>VLOOKUP($A88,'Enroll Data as of January 2025'!$A$3:$M$322,9,FALSE)</f>
        <v>1.5599999999999998</v>
      </c>
      <c r="O88" s="165">
        <f t="shared" si="23"/>
        <v>5.8330000000000002</v>
      </c>
      <c r="P88" s="161">
        <f>VLOOKUP($A88,'Enroll Data as of January 2025'!$A$3:$M$322,11,FALSE)</f>
        <v>0.21599999999999997</v>
      </c>
      <c r="Q88" s="161">
        <f>VLOOKUP($A88,'Enroll Data as of January 2025'!$A$3:$M$322,12,FALSE)</f>
        <v>0.111</v>
      </c>
      <c r="R88" s="165">
        <f t="shared" si="24"/>
        <v>0.32699999999999996</v>
      </c>
      <c r="S88" s="267">
        <f>IFERROR(VLOOKUP($A88,Supp_39,14,FALSE),0)+IFERROR(SUMPRODUCT(VLOOKUP($A88,S275_01,{14,15,16},FALSE)),0)+IFERROR(SUMPRODUCT(VLOOKUP($A88,S275_97,{14,15,16},FALSE)),0)+IFERROR(ROUND(VLOOKUP($A88,S275_21,14,FALSE)*VLOOKUP($A88,'3121% SY'!$C$3:$M$324,11,FALSE),3),0)+IFERROR(ROUND(VLOOKUP($A88,S275_21,15,FALSE)*VLOOKUP($A88,'3121% SY'!$C$3:$M$324,11,FALSE),3),0)+IFERROR(ROUND(VLOOKUP($A88,S275_21,16,FALSE)*VLOOKUP($A88,'3121% SY'!$C$3:$M$324,11,FALSE),3),0)+IFERROR(VLOOKUP($A88,S275_09,6,FALSE),0)</f>
        <v>2</v>
      </c>
      <c r="T88" s="267">
        <f>IFERROR(VLOOKUP($A88,Supp_42,14,FALSE),0)+IFERROR(SUMPRODUCT(VLOOKUP($A88,S275_01,{17,18,19},FALSE)),0)+IFERROR(SUMPRODUCT(VLOOKUP($A88,S275_97,{17,18,19},FALSE)),0)+IFERROR(ROUND(VLOOKUP($A88,S275_21,17,FALSE)*VLOOKUP($A88,'3121% SY'!$C$3:$M$324,11,FALSE),3),0)+IFERROR(ROUND(VLOOKUP($A88,S275_21,18,FALSE)*VLOOKUP($A88,'3121% SY'!$C$3:$M$324,11,FALSE),3),0)+IFERROR(ROUND(VLOOKUP($A88,S275_21,19,FALSE)*VLOOKUP($A88,'3121% SY'!$C$3:$M$324,11,FALSE),3),0)+IFERROR(VLOOKUP($A88,S275_09,7,FALSE),0)</f>
        <v>1</v>
      </c>
      <c r="U88" s="267">
        <f>IFERROR(VLOOKUP($A88,Supp_43,14,FALSE),0)+IFERROR(SUMPRODUCT(VLOOKUP($A88,S275_01,{20,21,22},FALSE)),0)+IFERROR(SUMPRODUCT(VLOOKUP($A88,S275_97,{20,21,22},FALSE)),0)+IFERROR(ROUND(VLOOKUP($A88,S275_21,20,FALSE)*VLOOKUP($A88,'3121% SY'!$C$3:$M$324,11,FALSE),3),0)+IFERROR(ROUND(VLOOKUP($A88,S275_21,21,FALSE)*VLOOKUP($A88,'3121% SY'!$C$3:$M$324,11,FALSE),3),0)+IFERROR(ROUND(VLOOKUP($A88,S275_21,22,FALSE)*VLOOKUP($A88,'3121% SY'!$C$3:$M$324,11,FALSE),3),0)+IFERROR(VLOOKUP($A88,S275_09,8,FALSE),0)</f>
        <v>0.18099999999999999</v>
      </c>
      <c r="V88" s="267">
        <f>IFERROR(VLOOKUP($A88,Supp_44,14,FALSE),0)+IFERROR(SUMPRODUCT(VLOOKUP($A88,S275_01,{23,24,25},FALSE)),0)+IFERROR(SUMPRODUCT(VLOOKUP($A88,S275_97,{23,24,25},FALSE)),0)+IFERROR(ROUND(VLOOKUP($A88,S275_21,23,FALSE)*VLOOKUP($A88,'3121% SY'!$C$3:$M$324,11,FALSE),3),0)+IFERROR(ROUND(VLOOKUP($A88,S275_21,24,FALSE)*VLOOKUP($A88,'3121% SY'!$C$3:$M$324,11,FALSE),3),0)+IFERROR(ROUND(VLOOKUP($A88,S275_21,25,FALSE)*VLOOKUP($A88,'3121% SY'!$C$3:$M$324,11,FALSE),3),0)+IFERROR(VLOOKUP($A88,S275_09,9,FALSE),0)</f>
        <v>0</v>
      </c>
      <c r="W88" s="267">
        <f>IFERROR(VLOOKUP($A88,Supp_45,14,FALSE),0)+IFERROR(SUMPRODUCT(VLOOKUP($A88,S275_01,{26,27,28},FALSE)),0)+IFERROR(SUMPRODUCT(VLOOKUP($A88,S275_97,{26,27,28},FALSE)),0)+IFERROR(ROUND(VLOOKUP($A88,S275_21,26,FALSE)*VLOOKUP($A88,'3121% SY'!$C$3:$M$324,11,FALSE),3),0)+IFERROR(ROUND(VLOOKUP($A88,S275_21,27,FALSE)*VLOOKUP($A88,'3121% SY'!$C$3:$M$324,11,FALSE),3),0)+IFERROR(ROUND(VLOOKUP($A88,S275_21,28,FALSE)*VLOOKUP($A88,'3121% SY'!$C$3:$M$324,11,FALSE),3),0)+IFERROR(VLOOKUP($A88,S275_09,10,FALSE),0)</f>
        <v>0.106</v>
      </c>
      <c r="X88" s="267">
        <f>IFERROR(VLOOKUP($A88,Supp_46,14,FALSE),0)+IFERROR(SUMPRODUCT(VLOOKUP($A88,S275_01,{29,30,31},FALSE)),0)+IFERROR(SUMPRODUCT(VLOOKUP($A88,S275_97,{29,30,31},FALSE)),0)+IFERROR(ROUND(VLOOKUP($A88,S275_21,29,FALSE)*VLOOKUP($A88,'3121% SY'!$C$3:$M$324,11,FALSE),3),0)+IFERROR(ROUND(VLOOKUP($A88,S275_21,30,FALSE)*VLOOKUP($A88,'3121% SY'!$C$3:$M$324,11,FALSE),3),0)+IFERROR(ROUND(VLOOKUP($A88,S275_21,31,FALSE)*VLOOKUP($A88,'3121% SY'!$C$3:$M$324,11,FALSE),3),0)+IFERROR(VLOOKUP($A88,S275_09,11,FALSE),0)</f>
        <v>1.0839999999999999</v>
      </c>
      <c r="Y88" s="267">
        <f>IFERROR(VLOOKUP($A88,Supp_47,14,FALSE),0)+IFERROR(SUMPRODUCT(VLOOKUP($A88,S275_01,{32,33,34},FALSE)),0)+IFERROR(SUMPRODUCT(VLOOKUP($A88,S275_97,{32,33,34},FALSE)),0)+IFERROR(ROUND(VLOOKUP($A88,S275_21,32,FALSE)*VLOOKUP($A88,'3121% SY'!$C$3:$M$324,11,FALSE),3),0)+IFERROR(ROUND(VLOOKUP($A88,S275_21,33,FALSE)*VLOOKUP($A88,'3121% SY'!$C$3:$M$324,11,FALSE),3),0)+IFERROR(ROUND(VLOOKUP($A88,S275_21,34,FALSE)*VLOOKUP($A88,'3121% SY'!$C$3:$M$324,11,FALSE),3),0)+IFERROR(VLOOKUP($A88,S275_09,12,FALSE),0)</f>
        <v>0.3</v>
      </c>
      <c r="Z88" s="267">
        <f>IFERROR(VLOOKUP($A88,Supp_48,14,FALSE),0)+IFERROR(SUMPRODUCT(VLOOKUP($A88,S275_01,{35,36,37},FALSE)),0)+IFERROR(SUMPRODUCT(VLOOKUP($A88,S275_97,{35,36,37},FALSE)),0)+IFERROR(ROUND(VLOOKUP($A88,S275_21,35,FALSE)*VLOOKUP($A88,'3121% SY'!$C$3:$M$324,11,FALSE),3),0)+IFERROR(ROUND(VLOOKUP($A88,S275_21,36,FALSE)*VLOOKUP($A88,'3121% SY'!$C$3:$M$324,11,FALSE),3),0)+IFERROR(ROUND(VLOOKUP($A88,S275_21,37,FALSE)*VLOOKUP($A88,'3121% SY'!$C$3:$M$324,11,FALSE),3),0)+IFERROR(VLOOKUP($A88,S275_09,13,FALSE),0)</f>
        <v>0</v>
      </c>
      <c r="AA88" s="267">
        <f>IFERROR(VLOOKUP($A88,Supp_49,14,FALSE),0)+IFERROR(SUMPRODUCT(VLOOKUP($A88,S275_01,{38,39,40},FALSE)),0)+IFERROR(SUMPRODUCT(VLOOKUP($A88,S275_97,{38,39,40},FALSE)),0)+IFERROR(ROUND(VLOOKUP($A88,S275_21,38,FALSE)*VLOOKUP($A88,'3121% SY'!$C$3:$M$324,11,FALSE),3),0)+IFERROR(ROUND(VLOOKUP($A88,S275_21,39,FALSE)*VLOOKUP($A88,'3121% SY'!$C$3:$M$324,11,FALSE),3),0)+IFERROR(ROUND(VLOOKUP($A88,S275_21,40,FALSE)*VLOOKUP($A88,'3121% SY'!$C$3:$M$324,11,FALSE),3),0)+IFERROR(VLOOKUP($A88,S275_09,14,FALSE),0)</f>
        <v>0</v>
      </c>
      <c r="AB88" s="267">
        <f>IFERROR(VLOOKUP($A88,Supp_64,14,FALSE),0)+IFERROR(SUMPRODUCT(VLOOKUP($A88,S275_01,{41,42,43},FALSE)),0)+IFERROR(SUMPRODUCT(VLOOKUP($A88,S275_97,{41,42,43},FALSE)),0)+IFERROR(ROUND(VLOOKUP($A88,S275_21,41,FALSE)*VLOOKUP($A88,'3121% SY'!$C$3:$M$324,11,FALSE),3),0)+IFERROR(ROUND(VLOOKUP($A88,S275_21,42,FALSE)*VLOOKUP($A88,'3121% SY'!$C$3:$M$324,11,FALSE),3),0)+IFERROR(ROUND(VLOOKUP($A88,S275_21,43,FALSE)*VLOOKUP($A88,'3121% SY'!$C$3:$M$324,11,FALSE),3),0)+IFERROR(VLOOKUP($A88,S275_09,15,FALSE),0)</f>
        <v>0</v>
      </c>
      <c r="AC88" s="268">
        <f t="shared" si="25"/>
        <v>4.6709999999999994</v>
      </c>
      <c r="AD88" s="267">
        <f>IFERROR(VLOOKUP($A88,Supp_24,14,FALSE),0)+IFERROR(SUMPRODUCT(VLOOKUP($A88,S275_01,{2,3,4},FALSE)),0)+IFERROR(SUMPRODUCT(VLOOKUP($A88,S275_97,{2,3,4},FALSE)),0)+IFERROR(ROUND(VLOOKUP($A88,S275_21,2,FALSE)*VLOOKUP($A88,'3121% SY'!$C$3:$M$324,11,FALSE),3),0)+IFERROR(ROUND(VLOOKUP($A88,S275_21,3,FALSE)*VLOOKUP($A88,'3121% SY'!$C$3:$M$324,11,FALSE),3),0)+IFERROR(ROUND(VLOOKUP($A88,S275_21,4,FALSE)*VLOOKUP($A88,'3121% SY'!$C$3:$M$324,11,FALSE),3),0)+IFERROR(VLOOKUP($A88,S275_09,2,FALSE),0)</f>
        <v>0</v>
      </c>
      <c r="AE88" s="267">
        <f>IFERROR(VLOOKUP($A88,Supp_25,14,FALSE),0)+IFERROR(SUMPRODUCT(VLOOKUP($A88,S275_01,{5,6,7},FALSE)),0)+IFERROR(SUMPRODUCT(VLOOKUP($A88,S275_97,{5,6,7},FALSE)),0)+IFERROR(ROUND(VLOOKUP($A88,S275_21,5,FALSE)*VLOOKUP($A88,'3121% SY'!$C$3:$M$324,11,FALSE),3),0)+IFERROR(ROUND(VLOOKUP($A88,S275_21,6,FALSE)*VLOOKUP($A88,'3121% SY'!$C$3:$M$324,11,FALSE),3),0)+IFERROR(ROUND(VLOOKUP($A88,S275_21,7,FALSE)*VLOOKUP($A88,'3121% SY'!$C$3:$M$324,11,FALSE),3),0)+IFERROR(VLOOKUP($A88,S275_09,3,FALSE),0)</f>
        <v>0</v>
      </c>
      <c r="AF88" s="267">
        <f>IFERROR(VLOOKUP($A88,Supp_26,14,FALSE),0)+IFERROR(SUMPRODUCT(VLOOKUP($A88,S275_01,{8,9,10},FALSE)),0)+IFERROR(SUMPRODUCT(VLOOKUP($A88,S275_97,{8,9,10},FALSE)),0)+IFERROR(ROUND(VLOOKUP($A88,S275_21,8,FALSE)*VLOOKUP($A88,'3121% SY'!$C$3:$M$324,11,FALSE),3),0)+IFERROR(ROUND(VLOOKUP($A88,S275_21,9,FALSE)*VLOOKUP($A88,'3121% SY'!$C$3:$M$324,11,FALSE),3),0)+IFERROR(ROUND(VLOOKUP($A88,S275_21,10,FALSE)*VLOOKUP($A88,'3121% SY'!$C$3:$M$324,11,FALSE),3),0)+IFERROR(VLOOKUP($A88,S275_09,4,FALSE),0)</f>
        <v>0.66400000000000003</v>
      </c>
      <c r="AG88" s="267">
        <f>IFERROR(VLOOKUP($A88,Supp_35,14,FALSE),0)+IFERROR(SUMPRODUCT(VLOOKUP($A88,S275_01,{11,12,13},FALSE)),0)+IFERROR(SUMPRODUCT(VLOOKUP($A88,S275_97,{11,12,13},FALSE)),0)+IFERROR(ROUND(VLOOKUP($A88,S275_21,11,FALSE)*VLOOKUP($A88,'3121% SY'!$C$3:$M$324,11,FALSE),3),0)+IFERROR(ROUND(VLOOKUP($A88,S275_21,12,FALSE)*VLOOKUP($A88,'3121% SY'!$C$3:$M$324,11,FALSE),3),0)+IFERROR(ROUND(VLOOKUP($A88,S275_21,13,FALSE)*VLOOKUP($A88,'3121% SY'!$C$3:$M$324,11,FALSE),3),0)+IFERROR(VLOOKUP($A88,S275_09,5,FALSE),0)</f>
        <v>0</v>
      </c>
      <c r="AH88" s="165">
        <f t="shared" si="26"/>
        <v>0.66400000000000003</v>
      </c>
      <c r="AI88" s="161">
        <f>IFERROR(VLOOKUP(A88,'Supp Staff Data'!A:ER,148,FALSE),0)+AB88</f>
        <v>0</v>
      </c>
      <c r="AJ88" s="174">
        <v>1</v>
      </c>
      <c r="AK88" s="25">
        <f>VLOOKUP(A88,'Enroll Data as of January 2025'!$A$3:$T$323,20,FALSE)-F88</f>
        <v>0</v>
      </c>
    </row>
    <row r="89" spans="1:37" x14ac:dyDescent="0.25">
      <c r="A89" s="171" t="s">
        <v>155</v>
      </c>
      <c r="B89" t="s">
        <v>451</v>
      </c>
      <c r="C89" s="173" t="s">
        <v>1077</v>
      </c>
      <c r="D89" s="259">
        <f t="shared" si="19"/>
        <v>1.1950000000000001</v>
      </c>
      <c r="E89" s="259">
        <f t="shared" si="20"/>
        <v>1.8240000000000001</v>
      </c>
      <c r="F89" s="262">
        <f t="shared" si="28"/>
        <v>0.629</v>
      </c>
      <c r="G89" s="161">
        <f>ROUND(IF(F89&lt;0,F89*'2024-25 PSES Compliance'!$G$13,0),3)</f>
        <v>0</v>
      </c>
      <c r="H89" s="161">
        <f>ROUND(IF(F89&lt;0,F89*'2024-25 PSES Compliance'!$G$14,0),3)</f>
        <v>0</v>
      </c>
      <c r="I89" s="174">
        <f t="shared" si="21"/>
        <v>0.54440789473684215</v>
      </c>
      <c r="J89" s="174">
        <f t="shared" si="22"/>
        <v>0</v>
      </c>
      <c r="K89" s="161">
        <f>VLOOKUP($A89,'Enroll Data as of January 2025'!$A$3:$M$322,6,FALSE)</f>
        <v>0.67599999999999993</v>
      </c>
      <c r="L89" s="161">
        <f>VLOOKUP($A89,'Enroll Data as of January 2025'!$A$3:$M$322,7,FALSE)</f>
        <v>0.109</v>
      </c>
      <c r="M89" s="161">
        <f>VLOOKUP($A89,'Enroll Data as of January 2025'!$A$3:$M$322,8,FALSE)</f>
        <v>3.7000000000000005E-2</v>
      </c>
      <c r="N89" s="161">
        <f>VLOOKUP($A89,'Enroll Data as of January 2025'!$A$3:$M$322,9,FALSE)</f>
        <v>0.307</v>
      </c>
      <c r="O89" s="165">
        <f t="shared" si="23"/>
        <v>1.129</v>
      </c>
      <c r="P89" s="161">
        <f>VLOOKUP($A89,'Enroll Data as of January 2025'!$A$3:$M$322,11,FALSE)</f>
        <v>4.1999999999999996E-2</v>
      </c>
      <c r="Q89" s="161">
        <f>VLOOKUP($A89,'Enroll Data as of January 2025'!$A$3:$M$322,12,FALSE)</f>
        <v>2.4E-2</v>
      </c>
      <c r="R89" s="165">
        <f t="shared" si="24"/>
        <v>6.6000000000000003E-2</v>
      </c>
      <c r="S89" s="267">
        <f>IFERROR(VLOOKUP($A89,Supp_39,14,FALSE),0)+IFERROR(SUMPRODUCT(VLOOKUP($A89,S275_01,{14,15,16},FALSE)),0)+IFERROR(SUMPRODUCT(VLOOKUP($A89,S275_97,{14,15,16},FALSE)),0)+IFERROR(ROUND(VLOOKUP($A89,S275_21,14,FALSE)*VLOOKUP($A89,'3121% SY'!$C$3:$M$324,11,FALSE),3),0)+IFERROR(ROUND(VLOOKUP($A89,S275_21,15,FALSE)*VLOOKUP($A89,'3121% SY'!$C$3:$M$324,11,FALSE),3),0)+IFERROR(ROUND(VLOOKUP($A89,S275_21,16,FALSE)*VLOOKUP($A89,'3121% SY'!$C$3:$M$324,11,FALSE),3),0)+IFERROR(VLOOKUP($A89,S275_09,6,FALSE),0)</f>
        <v>0.82800000000000007</v>
      </c>
      <c r="T89" s="267">
        <f>IFERROR(VLOOKUP($A89,Supp_42,14,FALSE),0)+IFERROR(SUMPRODUCT(VLOOKUP($A89,S275_01,{17,18,19},FALSE)),0)+IFERROR(SUMPRODUCT(VLOOKUP($A89,S275_97,{17,18,19},FALSE)),0)+IFERROR(ROUND(VLOOKUP($A89,S275_21,17,FALSE)*VLOOKUP($A89,'3121% SY'!$C$3:$M$324,11,FALSE),3),0)+IFERROR(ROUND(VLOOKUP($A89,S275_21,18,FALSE)*VLOOKUP($A89,'3121% SY'!$C$3:$M$324,11,FALSE),3),0)+IFERROR(ROUND(VLOOKUP($A89,S275_21,19,FALSE)*VLOOKUP($A89,'3121% SY'!$C$3:$M$324,11,FALSE),3),0)+IFERROR(VLOOKUP($A89,S275_09,7,FALSE),0)</f>
        <v>0.16500000000000001</v>
      </c>
      <c r="U89" s="267">
        <f>IFERROR(VLOOKUP($A89,Supp_43,14,FALSE),0)+IFERROR(SUMPRODUCT(VLOOKUP($A89,S275_01,{20,21,22},FALSE)),0)+IFERROR(SUMPRODUCT(VLOOKUP($A89,S275_97,{20,21,22},FALSE)),0)+IFERROR(ROUND(VLOOKUP($A89,S275_21,20,FALSE)*VLOOKUP($A89,'3121% SY'!$C$3:$M$324,11,FALSE),3),0)+IFERROR(ROUND(VLOOKUP($A89,S275_21,21,FALSE)*VLOOKUP($A89,'3121% SY'!$C$3:$M$324,11,FALSE),3),0)+IFERROR(ROUND(VLOOKUP($A89,S275_21,22,FALSE)*VLOOKUP($A89,'3121% SY'!$C$3:$M$324,11,FALSE),3),0)+IFERROR(VLOOKUP($A89,S275_09,8,FALSE),0)</f>
        <v>0</v>
      </c>
      <c r="V89" s="267">
        <f>IFERROR(VLOOKUP($A89,Supp_44,14,FALSE),0)+IFERROR(SUMPRODUCT(VLOOKUP($A89,S275_01,{23,24,25},FALSE)),0)+IFERROR(SUMPRODUCT(VLOOKUP($A89,S275_97,{23,24,25},FALSE)),0)+IFERROR(ROUND(VLOOKUP($A89,S275_21,23,FALSE)*VLOOKUP($A89,'3121% SY'!$C$3:$M$324,11,FALSE),3),0)+IFERROR(ROUND(VLOOKUP($A89,S275_21,24,FALSE)*VLOOKUP($A89,'3121% SY'!$C$3:$M$324,11,FALSE),3),0)+IFERROR(ROUND(VLOOKUP($A89,S275_21,25,FALSE)*VLOOKUP($A89,'3121% SY'!$C$3:$M$324,11,FALSE),3),0)+IFERROR(VLOOKUP($A89,S275_09,9,FALSE),0)</f>
        <v>0</v>
      </c>
      <c r="W89" s="267">
        <f>IFERROR(VLOOKUP($A89,Supp_45,14,FALSE),0)+IFERROR(SUMPRODUCT(VLOOKUP($A89,S275_01,{26,27,28},FALSE)),0)+IFERROR(SUMPRODUCT(VLOOKUP($A89,S275_97,{26,27,28},FALSE)),0)+IFERROR(ROUND(VLOOKUP($A89,S275_21,26,FALSE)*VLOOKUP($A89,'3121% SY'!$C$3:$M$324,11,FALSE),3),0)+IFERROR(ROUND(VLOOKUP($A89,S275_21,27,FALSE)*VLOOKUP($A89,'3121% SY'!$C$3:$M$324,11,FALSE),3),0)+IFERROR(ROUND(VLOOKUP($A89,S275_21,28,FALSE)*VLOOKUP($A89,'3121% SY'!$C$3:$M$324,11,FALSE),3),0)+IFERROR(VLOOKUP($A89,S275_09,10,FALSE),0)</f>
        <v>0</v>
      </c>
      <c r="X89" s="267">
        <f>IFERROR(VLOOKUP($A89,Supp_46,14,FALSE),0)+IFERROR(SUMPRODUCT(VLOOKUP($A89,S275_01,{29,30,31},FALSE)),0)+IFERROR(SUMPRODUCT(VLOOKUP($A89,S275_97,{29,30,31},FALSE)),0)+IFERROR(ROUND(VLOOKUP($A89,S275_21,29,FALSE)*VLOOKUP($A89,'3121% SY'!$C$3:$M$324,11,FALSE),3),0)+IFERROR(ROUND(VLOOKUP($A89,S275_21,30,FALSE)*VLOOKUP($A89,'3121% SY'!$C$3:$M$324,11,FALSE),3),0)+IFERROR(ROUND(VLOOKUP($A89,S275_21,31,FALSE)*VLOOKUP($A89,'3121% SY'!$C$3:$M$324,11,FALSE),3),0)+IFERROR(VLOOKUP($A89,S275_09,11,FALSE),0)</f>
        <v>0</v>
      </c>
      <c r="Y89" s="267">
        <f>IFERROR(VLOOKUP($A89,Supp_47,14,FALSE),0)+IFERROR(SUMPRODUCT(VLOOKUP($A89,S275_01,{32,33,34},FALSE)),0)+IFERROR(SUMPRODUCT(VLOOKUP($A89,S275_97,{32,33,34},FALSE)),0)+IFERROR(ROUND(VLOOKUP($A89,S275_21,32,FALSE)*VLOOKUP($A89,'3121% SY'!$C$3:$M$324,11,FALSE),3),0)+IFERROR(ROUND(VLOOKUP($A89,S275_21,33,FALSE)*VLOOKUP($A89,'3121% SY'!$C$3:$M$324,11,FALSE),3),0)+IFERROR(ROUND(VLOOKUP($A89,S275_21,34,FALSE)*VLOOKUP($A89,'3121% SY'!$C$3:$M$324,11,FALSE),3),0)+IFERROR(VLOOKUP($A89,S275_09,12,FALSE),0)</f>
        <v>0</v>
      </c>
      <c r="Z89" s="267">
        <f>IFERROR(VLOOKUP($A89,Supp_48,14,FALSE),0)+IFERROR(SUMPRODUCT(VLOOKUP($A89,S275_01,{35,36,37},FALSE)),0)+IFERROR(SUMPRODUCT(VLOOKUP($A89,S275_97,{35,36,37},FALSE)),0)+IFERROR(ROUND(VLOOKUP($A89,S275_21,35,FALSE)*VLOOKUP($A89,'3121% SY'!$C$3:$M$324,11,FALSE),3),0)+IFERROR(ROUND(VLOOKUP($A89,S275_21,36,FALSE)*VLOOKUP($A89,'3121% SY'!$C$3:$M$324,11,FALSE),3),0)+IFERROR(ROUND(VLOOKUP($A89,S275_21,37,FALSE)*VLOOKUP($A89,'3121% SY'!$C$3:$M$324,11,FALSE),3),0)+IFERROR(VLOOKUP($A89,S275_09,13,FALSE),0)</f>
        <v>0</v>
      </c>
      <c r="AA89" s="267">
        <f>IFERROR(VLOOKUP($A89,Supp_49,14,FALSE),0)+IFERROR(SUMPRODUCT(VLOOKUP($A89,S275_01,{38,39,40},FALSE)),0)+IFERROR(SUMPRODUCT(VLOOKUP($A89,S275_97,{38,39,40},FALSE)),0)+IFERROR(ROUND(VLOOKUP($A89,S275_21,38,FALSE)*VLOOKUP($A89,'3121% SY'!$C$3:$M$324,11,FALSE),3),0)+IFERROR(ROUND(VLOOKUP($A89,S275_21,39,FALSE)*VLOOKUP($A89,'3121% SY'!$C$3:$M$324,11,FALSE),3),0)+IFERROR(ROUND(VLOOKUP($A89,S275_21,40,FALSE)*VLOOKUP($A89,'3121% SY'!$C$3:$M$324,11,FALSE),3),0)+IFERROR(VLOOKUP($A89,S275_09,14,FALSE),0)</f>
        <v>0</v>
      </c>
      <c r="AB89" s="267">
        <f>IFERROR(VLOOKUP($A89,Supp_64,14,FALSE),0)+IFERROR(SUMPRODUCT(VLOOKUP($A89,S275_01,{41,42,43},FALSE)),0)+IFERROR(SUMPRODUCT(VLOOKUP($A89,S275_97,{41,42,43},FALSE)),0)+IFERROR(ROUND(VLOOKUP($A89,S275_21,41,FALSE)*VLOOKUP($A89,'3121% SY'!$C$3:$M$324,11,FALSE),3),0)+IFERROR(ROUND(VLOOKUP($A89,S275_21,42,FALSE)*VLOOKUP($A89,'3121% SY'!$C$3:$M$324,11,FALSE),3),0)+IFERROR(ROUND(VLOOKUP($A89,S275_21,43,FALSE)*VLOOKUP($A89,'3121% SY'!$C$3:$M$324,11,FALSE),3),0)+IFERROR(VLOOKUP($A89,S275_09,15,FALSE),0)</f>
        <v>0</v>
      </c>
      <c r="AC89" s="268">
        <f t="shared" si="25"/>
        <v>0.9930000000000001</v>
      </c>
      <c r="AD89" s="267">
        <f>IFERROR(VLOOKUP($A89,Supp_24,14,FALSE),0)+IFERROR(SUMPRODUCT(VLOOKUP($A89,S275_01,{2,3,4},FALSE)),0)+IFERROR(SUMPRODUCT(VLOOKUP($A89,S275_97,{2,3,4},FALSE)),0)+IFERROR(ROUND(VLOOKUP($A89,S275_21,2,FALSE)*VLOOKUP($A89,'3121% SY'!$C$3:$M$324,11,FALSE),3),0)+IFERROR(ROUND(VLOOKUP($A89,S275_21,3,FALSE)*VLOOKUP($A89,'3121% SY'!$C$3:$M$324,11,FALSE),3),0)+IFERROR(ROUND(VLOOKUP($A89,S275_21,4,FALSE)*VLOOKUP($A89,'3121% SY'!$C$3:$M$324,11,FALSE),3),0)+IFERROR(VLOOKUP($A89,S275_09,2,FALSE),0)</f>
        <v>0</v>
      </c>
      <c r="AE89" s="267">
        <f>IFERROR(VLOOKUP($A89,Supp_25,14,FALSE),0)+IFERROR(SUMPRODUCT(VLOOKUP($A89,S275_01,{5,6,7},FALSE)),0)+IFERROR(SUMPRODUCT(VLOOKUP($A89,S275_97,{5,6,7},FALSE)),0)+IFERROR(ROUND(VLOOKUP($A89,S275_21,5,FALSE)*VLOOKUP($A89,'3121% SY'!$C$3:$M$324,11,FALSE),3),0)+IFERROR(ROUND(VLOOKUP($A89,S275_21,6,FALSE)*VLOOKUP($A89,'3121% SY'!$C$3:$M$324,11,FALSE),3),0)+IFERROR(ROUND(VLOOKUP($A89,S275_21,7,FALSE)*VLOOKUP($A89,'3121% SY'!$C$3:$M$324,11,FALSE),3),0)+IFERROR(VLOOKUP($A89,S275_09,3,FALSE),0)</f>
        <v>0.83099999999999996</v>
      </c>
      <c r="AF89" s="267">
        <f>IFERROR(VLOOKUP($A89,Supp_26,14,FALSE),0)+IFERROR(SUMPRODUCT(VLOOKUP($A89,S275_01,{8,9,10},FALSE)),0)+IFERROR(SUMPRODUCT(VLOOKUP($A89,S275_97,{8,9,10},FALSE)),0)+IFERROR(ROUND(VLOOKUP($A89,S275_21,8,FALSE)*VLOOKUP($A89,'3121% SY'!$C$3:$M$324,11,FALSE),3),0)+IFERROR(ROUND(VLOOKUP($A89,S275_21,9,FALSE)*VLOOKUP($A89,'3121% SY'!$C$3:$M$324,11,FALSE),3),0)+IFERROR(ROUND(VLOOKUP($A89,S275_21,10,FALSE)*VLOOKUP($A89,'3121% SY'!$C$3:$M$324,11,FALSE),3),0)+IFERROR(VLOOKUP($A89,S275_09,4,FALSE),0)</f>
        <v>0</v>
      </c>
      <c r="AG89" s="267">
        <f>IFERROR(VLOOKUP($A89,Supp_35,14,FALSE),0)+IFERROR(SUMPRODUCT(VLOOKUP($A89,S275_01,{11,12,13},FALSE)),0)+IFERROR(SUMPRODUCT(VLOOKUP($A89,S275_97,{11,12,13},FALSE)),0)+IFERROR(ROUND(VLOOKUP($A89,S275_21,11,FALSE)*VLOOKUP($A89,'3121% SY'!$C$3:$M$324,11,FALSE),3),0)+IFERROR(ROUND(VLOOKUP($A89,S275_21,12,FALSE)*VLOOKUP($A89,'3121% SY'!$C$3:$M$324,11,FALSE),3),0)+IFERROR(ROUND(VLOOKUP($A89,S275_21,13,FALSE)*VLOOKUP($A89,'3121% SY'!$C$3:$M$324,11,FALSE),3),0)+IFERROR(VLOOKUP($A89,S275_09,5,FALSE),0)</f>
        <v>0</v>
      </c>
      <c r="AH89" s="165">
        <f t="shared" si="26"/>
        <v>0.83099999999999996</v>
      </c>
      <c r="AI89" s="161">
        <f>IFERROR(VLOOKUP(A89,'Supp Staff Data'!A:ER,148,FALSE),0)+AB89</f>
        <v>0</v>
      </c>
      <c r="AJ89" s="174">
        <v>1</v>
      </c>
      <c r="AK89" s="25">
        <f>VLOOKUP(A89,'Enroll Data as of January 2025'!$A$3:$T$323,20,FALSE)-F89</f>
        <v>0</v>
      </c>
    </row>
    <row r="90" spans="1:37" x14ac:dyDescent="0.25">
      <c r="A90" s="171" t="s">
        <v>210</v>
      </c>
      <c r="B90" t="s">
        <v>505</v>
      </c>
      <c r="C90" s="173" t="s">
        <v>1077</v>
      </c>
      <c r="D90" s="259">
        <f t="shared" si="19"/>
        <v>0.40200000000000002</v>
      </c>
      <c r="E90" s="259">
        <f t="shared" si="20"/>
        <v>0.28000000000000003</v>
      </c>
      <c r="F90" s="262">
        <f t="shared" si="28"/>
        <v>-0.122</v>
      </c>
      <c r="G90" s="161">
        <f>ROUND(IF(F90&lt;0,F90*'2024-25 PSES Compliance'!$G$13,0),3)</f>
        <v>-0.11700000000000001</v>
      </c>
      <c r="H90" s="161">
        <f>ROUND(IF(F90&lt;0,F90*'2024-25 PSES Compliance'!$G$14,0),3)</f>
        <v>-5.0000000000000001E-3</v>
      </c>
      <c r="I90" s="174">
        <f t="shared" si="21"/>
        <v>0</v>
      </c>
      <c r="J90" s="174">
        <f t="shared" si="22"/>
        <v>0</v>
      </c>
      <c r="K90" s="161">
        <f>VLOOKUP($A90,'Enroll Data as of January 2025'!$A$3:$M$322,6,FALSE)</f>
        <v>0.19699999999999998</v>
      </c>
      <c r="L90" s="161">
        <f>VLOOKUP($A90,'Enroll Data as of January 2025'!$A$3:$M$322,7,FALSE)</f>
        <v>4.9000000000000002E-2</v>
      </c>
      <c r="M90" s="161">
        <f>VLOOKUP($A90,'Enroll Data as of January 2025'!$A$3:$M$322,8,FALSE)</f>
        <v>1.6E-2</v>
      </c>
      <c r="N90" s="161">
        <f>VLOOKUP($A90,'Enroll Data as of January 2025'!$A$3:$M$322,9,FALSE)</f>
        <v>0.11299999999999999</v>
      </c>
      <c r="O90" s="165">
        <f t="shared" si="23"/>
        <v>0.375</v>
      </c>
      <c r="P90" s="161">
        <f>VLOOKUP($A90,'Enroll Data as of January 2025'!$A$3:$M$322,11,FALSE)</f>
        <v>1.4999999999999999E-2</v>
      </c>
      <c r="Q90" s="161">
        <f>VLOOKUP($A90,'Enroll Data as of January 2025'!$A$3:$M$322,12,FALSE)</f>
        <v>1.2E-2</v>
      </c>
      <c r="R90" s="165">
        <f t="shared" si="24"/>
        <v>2.7E-2</v>
      </c>
      <c r="S90" s="267">
        <f>IFERROR(VLOOKUP($A90,Supp_39,14,FALSE),0)+IFERROR(SUMPRODUCT(VLOOKUP($A90,S275_01,{14,15,16},FALSE)),0)+IFERROR(SUMPRODUCT(VLOOKUP($A90,S275_97,{14,15,16},FALSE)),0)+IFERROR(ROUND(VLOOKUP($A90,S275_21,14,FALSE)*VLOOKUP($A90,'3121% SY'!$C$3:$M$324,11,FALSE),3),0)+IFERROR(ROUND(VLOOKUP($A90,S275_21,15,FALSE)*VLOOKUP($A90,'3121% SY'!$C$3:$M$324,11,FALSE),3),0)+IFERROR(ROUND(VLOOKUP($A90,S275_21,16,FALSE)*VLOOKUP($A90,'3121% SY'!$C$3:$M$324,11,FALSE),3),0)+IFERROR(VLOOKUP($A90,S275_09,6,FALSE),0)</f>
        <v>0</v>
      </c>
      <c r="T90" s="267">
        <f>IFERROR(VLOOKUP($A90,Supp_42,14,FALSE),0)+IFERROR(SUMPRODUCT(VLOOKUP($A90,S275_01,{17,18,19},FALSE)),0)+IFERROR(SUMPRODUCT(VLOOKUP($A90,S275_97,{17,18,19},FALSE)),0)+IFERROR(ROUND(VLOOKUP($A90,S275_21,17,FALSE)*VLOOKUP($A90,'3121% SY'!$C$3:$M$324,11,FALSE),3),0)+IFERROR(ROUND(VLOOKUP($A90,S275_21,18,FALSE)*VLOOKUP($A90,'3121% SY'!$C$3:$M$324,11,FALSE),3),0)+IFERROR(ROUND(VLOOKUP($A90,S275_21,19,FALSE)*VLOOKUP($A90,'3121% SY'!$C$3:$M$324,11,FALSE),3),0)+IFERROR(VLOOKUP($A90,S275_09,7,FALSE),0)</f>
        <v>0</v>
      </c>
      <c r="U90" s="267">
        <f>IFERROR(VLOOKUP($A90,Supp_43,14,FALSE),0)+IFERROR(SUMPRODUCT(VLOOKUP($A90,S275_01,{20,21,22},FALSE)),0)+IFERROR(SUMPRODUCT(VLOOKUP($A90,S275_97,{20,21,22},FALSE)),0)+IFERROR(ROUND(VLOOKUP($A90,S275_21,20,FALSE)*VLOOKUP($A90,'3121% SY'!$C$3:$M$324,11,FALSE),3),0)+IFERROR(ROUND(VLOOKUP($A90,S275_21,21,FALSE)*VLOOKUP($A90,'3121% SY'!$C$3:$M$324,11,FALSE),3),0)+IFERROR(ROUND(VLOOKUP($A90,S275_21,22,FALSE)*VLOOKUP($A90,'3121% SY'!$C$3:$M$324,11,FALSE),3),0)+IFERROR(VLOOKUP($A90,S275_09,8,FALSE),0)</f>
        <v>0</v>
      </c>
      <c r="V90" s="267">
        <f>IFERROR(VLOOKUP($A90,Supp_44,14,FALSE),0)+IFERROR(SUMPRODUCT(VLOOKUP($A90,S275_01,{23,24,25},FALSE)),0)+IFERROR(SUMPRODUCT(VLOOKUP($A90,S275_97,{23,24,25},FALSE)),0)+IFERROR(ROUND(VLOOKUP($A90,S275_21,23,FALSE)*VLOOKUP($A90,'3121% SY'!$C$3:$M$324,11,FALSE),3),0)+IFERROR(ROUND(VLOOKUP($A90,S275_21,24,FALSE)*VLOOKUP($A90,'3121% SY'!$C$3:$M$324,11,FALSE),3),0)+IFERROR(ROUND(VLOOKUP($A90,S275_21,25,FALSE)*VLOOKUP($A90,'3121% SY'!$C$3:$M$324,11,FALSE),3),0)+IFERROR(VLOOKUP($A90,S275_09,9,FALSE),0)</f>
        <v>0</v>
      </c>
      <c r="W90" s="267">
        <f>IFERROR(VLOOKUP($A90,Supp_45,14,FALSE),0)+IFERROR(SUMPRODUCT(VLOOKUP($A90,S275_01,{26,27,28},FALSE)),0)+IFERROR(SUMPRODUCT(VLOOKUP($A90,S275_97,{26,27,28},FALSE)),0)+IFERROR(ROUND(VLOOKUP($A90,S275_21,26,FALSE)*VLOOKUP($A90,'3121% SY'!$C$3:$M$324,11,FALSE),3),0)+IFERROR(ROUND(VLOOKUP($A90,S275_21,27,FALSE)*VLOOKUP($A90,'3121% SY'!$C$3:$M$324,11,FALSE),3),0)+IFERROR(ROUND(VLOOKUP($A90,S275_21,28,FALSE)*VLOOKUP($A90,'3121% SY'!$C$3:$M$324,11,FALSE),3),0)+IFERROR(VLOOKUP($A90,S275_09,10,FALSE),0)</f>
        <v>0</v>
      </c>
      <c r="X90" s="267">
        <f>IFERROR(VLOOKUP($A90,Supp_46,14,FALSE),0)+IFERROR(SUMPRODUCT(VLOOKUP($A90,S275_01,{29,30,31},FALSE)),0)+IFERROR(SUMPRODUCT(VLOOKUP($A90,S275_97,{29,30,31},FALSE)),0)+IFERROR(ROUND(VLOOKUP($A90,S275_21,29,FALSE)*VLOOKUP($A90,'3121% SY'!$C$3:$M$324,11,FALSE),3),0)+IFERROR(ROUND(VLOOKUP($A90,S275_21,30,FALSE)*VLOOKUP($A90,'3121% SY'!$C$3:$M$324,11,FALSE),3),0)+IFERROR(ROUND(VLOOKUP($A90,S275_21,31,FALSE)*VLOOKUP($A90,'3121% SY'!$C$3:$M$324,11,FALSE),3),0)+IFERROR(VLOOKUP($A90,S275_09,11,FALSE),0)</f>
        <v>0</v>
      </c>
      <c r="Y90" s="267">
        <f>IFERROR(VLOOKUP($A90,Supp_47,14,FALSE),0)+IFERROR(SUMPRODUCT(VLOOKUP($A90,S275_01,{32,33,34},FALSE)),0)+IFERROR(SUMPRODUCT(VLOOKUP($A90,S275_97,{32,33,34},FALSE)),0)+IFERROR(ROUND(VLOOKUP($A90,S275_21,32,FALSE)*VLOOKUP($A90,'3121% SY'!$C$3:$M$324,11,FALSE),3),0)+IFERROR(ROUND(VLOOKUP($A90,S275_21,33,FALSE)*VLOOKUP($A90,'3121% SY'!$C$3:$M$324,11,FALSE),3),0)+IFERROR(ROUND(VLOOKUP($A90,S275_21,34,FALSE)*VLOOKUP($A90,'3121% SY'!$C$3:$M$324,11,FALSE),3),0)+IFERROR(VLOOKUP($A90,S275_09,12,FALSE),0)</f>
        <v>0</v>
      </c>
      <c r="Z90" s="267">
        <f>IFERROR(VLOOKUP($A90,Supp_48,14,FALSE),0)+IFERROR(SUMPRODUCT(VLOOKUP($A90,S275_01,{35,36,37},FALSE)),0)+IFERROR(SUMPRODUCT(VLOOKUP($A90,S275_97,{35,36,37},FALSE)),0)+IFERROR(ROUND(VLOOKUP($A90,S275_21,35,FALSE)*VLOOKUP($A90,'3121% SY'!$C$3:$M$324,11,FALSE),3),0)+IFERROR(ROUND(VLOOKUP($A90,S275_21,36,FALSE)*VLOOKUP($A90,'3121% SY'!$C$3:$M$324,11,FALSE),3),0)+IFERROR(ROUND(VLOOKUP($A90,S275_21,37,FALSE)*VLOOKUP($A90,'3121% SY'!$C$3:$M$324,11,FALSE),3),0)+IFERROR(VLOOKUP($A90,S275_09,13,FALSE),0)</f>
        <v>0</v>
      </c>
      <c r="AA90" s="267">
        <f>IFERROR(VLOOKUP($A90,Supp_49,14,FALSE),0)+IFERROR(SUMPRODUCT(VLOOKUP($A90,S275_01,{38,39,40},FALSE)),0)+IFERROR(SUMPRODUCT(VLOOKUP($A90,S275_97,{38,39,40},FALSE)),0)+IFERROR(ROUND(VLOOKUP($A90,S275_21,38,FALSE)*VLOOKUP($A90,'3121% SY'!$C$3:$M$324,11,FALSE),3),0)+IFERROR(ROUND(VLOOKUP($A90,S275_21,39,FALSE)*VLOOKUP($A90,'3121% SY'!$C$3:$M$324,11,FALSE),3),0)+IFERROR(ROUND(VLOOKUP($A90,S275_21,40,FALSE)*VLOOKUP($A90,'3121% SY'!$C$3:$M$324,11,FALSE),3),0)+IFERROR(VLOOKUP($A90,S275_09,14,FALSE),0)</f>
        <v>0</v>
      </c>
      <c r="AB90" s="267">
        <f>IFERROR(VLOOKUP($A90,Supp_64,14,FALSE),0)+IFERROR(SUMPRODUCT(VLOOKUP($A90,S275_01,{41,42,43},FALSE)),0)+IFERROR(SUMPRODUCT(VLOOKUP($A90,S275_97,{41,42,43},FALSE)),0)+IFERROR(ROUND(VLOOKUP($A90,S275_21,41,FALSE)*VLOOKUP($A90,'3121% SY'!$C$3:$M$324,11,FALSE),3),0)+IFERROR(ROUND(VLOOKUP($A90,S275_21,42,FALSE)*VLOOKUP($A90,'3121% SY'!$C$3:$M$324,11,FALSE),3),0)+IFERROR(ROUND(VLOOKUP($A90,S275_21,43,FALSE)*VLOOKUP($A90,'3121% SY'!$C$3:$M$324,11,FALSE),3),0)+IFERROR(VLOOKUP($A90,S275_09,15,FALSE),0)</f>
        <v>0</v>
      </c>
      <c r="AC90" s="268">
        <f t="shared" si="25"/>
        <v>0</v>
      </c>
      <c r="AD90" s="267">
        <f>IFERROR(VLOOKUP($A90,Supp_24,14,FALSE),0)+IFERROR(SUMPRODUCT(VLOOKUP($A90,S275_01,{2,3,4},FALSE)),0)+IFERROR(SUMPRODUCT(VLOOKUP($A90,S275_97,{2,3,4},FALSE)),0)+IFERROR(ROUND(VLOOKUP($A90,S275_21,2,FALSE)*VLOOKUP($A90,'3121% SY'!$C$3:$M$324,11,FALSE),3),0)+IFERROR(ROUND(VLOOKUP($A90,S275_21,3,FALSE)*VLOOKUP($A90,'3121% SY'!$C$3:$M$324,11,FALSE),3),0)+IFERROR(ROUND(VLOOKUP($A90,S275_21,4,FALSE)*VLOOKUP($A90,'3121% SY'!$C$3:$M$324,11,FALSE),3),0)+IFERROR(VLOOKUP($A90,S275_09,2,FALSE),0)</f>
        <v>0</v>
      </c>
      <c r="AE90" s="267">
        <f>IFERROR(VLOOKUP($A90,Supp_25,14,FALSE),0)+IFERROR(SUMPRODUCT(VLOOKUP($A90,S275_01,{5,6,7},FALSE)),0)+IFERROR(SUMPRODUCT(VLOOKUP($A90,S275_97,{5,6,7},FALSE)),0)+IFERROR(ROUND(VLOOKUP($A90,S275_21,5,FALSE)*VLOOKUP($A90,'3121% SY'!$C$3:$M$324,11,FALSE),3),0)+IFERROR(ROUND(VLOOKUP($A90,S275_21,6,FALSE)*VLOOKUP($A90,'3121% SY'!$C$3:$M$324,11,FALSE),3),0)+IFERROR(ROUND(VLOOKUP($A90,S275_21,7,FALSE)*VLOOKUP($A90,'3121% SY'!$C$3:$M$324,11,FALSE),3),0)+IFERROR(VLOOKUP($A90,S275_09,3,FALSE),0)</f>
        <v>0</v>
      </c>
      <c r="AF90" s="267">
        <f>IFERROR(VLOOKUP($A90,Supp_26,14,FALSE),0)+IFERROR(SUMPRODUCT(VLOOKUP($A90,S275_01,{8,9,10},FALSE)),0)+IFERROR(SUMPRODUCT(VLOOKUP($A90,S275_97,{8,9,10},FALSE)),0)+IFERROR(ROUND(VLOOKUP($A90,S275_21,8,FALSE)*VLOOKUP($A90,'3121% SY'!$C$3:$M$324,11,FALSE),3),0)+IFERROR(ROUND(VLOOKUP($A90,S275_21,9,FALSE)*VLOOKUP($A90,'3121% SY'!$C$3:$M$324,11,FALSE),3),0)+IFERROR(ROUND(VLOOKUP($A90,S275_21,10,FALSE)*VLOOKUP($A90,'3121% SY'!$C$3:$M$324,11,FALSE),3),0)+IFERROR(VLOOKUP($A90,S275_09,4,FALSE),0)</f>
        <v>0.28000000000000003</v>
      </c>
      <c r="AG90" s="267">
        <f>IFERROR(VLOOKUP($A90,Supp_35,14,FALSE),0)+IFERROR(SUMPRODUCT(VLOOKUP($A90,S275_01,{11,12,13},FALSE)),0)+IFERROR(SUMPRODUCT(VLOOKUP($A90,S275_97,{11,12,13},FALSE)),0)+IFERROR(ROUND(VLOOKUP($A90,S275_21,11,FALSE)*VLOOKUP($A90,'3121% SY'!$C$3:$M$324,11,FALSE),3),0)+IFERROR(ROUND(VLOOKUP($A90,S275_21,12,FALSE)*VLOOKUP($A90,'3121% SY'!$C$3:$M$324,11,FALSE),3),0)+IFERROR(ROUND(VLOOKUP($A90,S275_21,13,FALSE)*VLOOKUP($A90,'3121% SY'!$C$3:$M$324,11,FALSE),3),0)+IFERROR(VLOOKUP($A90,S275_09,5,FALSE),0)</f>
        <v>0</v>
      </c>
      <c r="AH90" s="165">
        <f t="shared" si="26"/>
        <v>0.28000000000000003</v>
      </c>
      <c r="AI90" s="161">
        <f>IFERROR(VLOOKUP(A90,'Supp Staff Data'!A:ER,148,FALSE),0)+AB90</f>
        <v>0</v>
      </c>
      <c r="AJ90" s="174">
        <v>1</v>
      </c>
      <c r="AK90" s="25">
        <f>VLOOKUP(A90,'Enroll Data as of January 2025'!$A$3:$T$323,20,FALSE)-F90</f>
        <v>0</v>
      </c>
    </row>
    <row r="91" spans="1:37" x14ac:dyDescent="0.25">
      <c r="A91" s="171" t="s">
        <v>626</v>
      </c>
      <c r="B91" t="s">
        <v>1241</v>
      </c>
      <c r="C91" s="173" t="s">
        <v>1077</v>
      </c>
      <c r="D91" s="259">
        <f t="shared" si="19"/>
        <v>0.74800000000000011</v>
      </c>
      <c r="E91" s="259">
        <f t="shared" si="20"/>
        <v>1</v>
      </c>
      <c r="F91" s="262">
        <f t="shared" si="28"/>
        <v>0.252</v>
      </c>
      <c r="G91" s="161">
        <f>ROUND(IF(F91&lt;0,F91*'2024-25 PSES Compliance'!$G$13,0),3)</f>
        <v>0</v>
      </c>
      <c r="H91" s="161">
        <f>ROUND(IF(F91&lt;0,F91*'2024-25 PSES Compliance'!$G$14,0),3)</f>
        <v>0</v>
      </c>
      <c r="I91" s="174">
        <f t="shared" si="21"/>
        <v>0.92310000000000003</v>
      </c>
      <c r="J91" s="174">
        <f t="shared" si="22"/>
        <v>0</v>
      </c>
      <c r="K91" s="161">
        <f>VLOOKUP($A91,'Enroll Data as of January 2025'!$A$3:$M$322,6,FALSE)</f>
        <v>0.54400000000000004</v>
      </c>
      <c r="L91" s="161">
        <f>VLOOKUP($A91,'Enroll Data as of January 2025'!$A$3:$M$322,7,FALSE)</f>
        <v>2.3E-2</v>
      </c>
      <c r="M91" s="161">
        <f>VLOOKUP($A91,'Enroll Data as of January 2025'!$A$3:$M$322,8,FALSE)</f>
        <v>8.9999999999999993E-3</v>
      </c>
      <c r="N91" s="161">
        <f>VLOOKUP($A91,'Enroll Data as of January 2025'!$A$3:$M$322,9,FALSE)</f>
        <v>0.14699999999999999</v>
      </c>
      <c r="O91" s="165">
        <f t="shared" si="23"/>
        <v>0.72300000000000009</v>
      </c>
      <c r="P91" s="161">
        <f>VLOOKUP($A91,'Enroll Data as of January 2025'!$A$3:$M$322,11,FALSE)</f>
        <v>2.5000000000000001E-2</v>
      </c>
      <c r="Q91" s="161">
        <f>VLOOKUP($A91,'Enroll Data as of January 2025'!$A$3:$M$322,12,FALSE)</f>
        <v>0</v>
      </c>
      <c r="R91" s="165">
        <f t="shared" si="24"/>
        <v>2.5000000000000001E-2</v>
      </c>
      <c r="S91" s="267">
        <f>IFERROR(VLOOKUP($A91,Supp_39,14,FALSE),0)+IFERROR(SUMPRODUCT(VLOOKUP($A91,S275_01,{14,15,16},FALSE)),0)+IFERROR(SUMPRODUCT(VLOOKUP($A91,S275_97,{14,15,16},FALSE)),0)+IFERROR(ROUND(VLOOKUP($A91,S275_21,14,FALSE)*VLOOKUP($A91,'3121% SY'!$C$3:$M$324,11,FALSE),3),0)+IFERROR(ROUND(VLOOKUP($A91,S275_21,15,FALSE)*VLOOKUP($A91,'3121% SY'!$C$3:$M$324,11,FALSE),3),0)+IFERROR(ROUND(VLOOKUP($A91,S275_21,16,FALSE)*VLOOKUP($A91,'3121% SY'!$C$3:$M$324,11,FALSE),3),0)+IFERROR(VLOOKUP($A91,S275_09,6,FALSE),0)</f>
        <v>0</v>
      </c>
      <c r="T91" s="267">
        <f>IFERROR(VLOOKUP($A91,Supp_42,14,FALSE),0)+IFERROR(SUMPRODUCT(VLOOKUP($A91,S275_01,{17,18,19},FALSE)),0)+IFERROR(SUMPRODUCT(VLOOKUP($A91,S275_97,{17,18,19},FALSE)),0)+IFERROR(ROUND(VLOOKUP($A91,S275_21,17,FALSE)*VLOOKUP($A91,'3121% SY'!$C$3:$M$324,11,FALSE),3),0)+IFERROR(ROUND(VLOOKUP($A91,S275_21,18,FALSE)*VLOOKUP($A91,'3121% SY'!$C$3:$M$324,11,FALSE),3),0)+IFERROR(ROUND(VLOOKUP($A91,S275_21,19,FALSE)*VLOOKUP($A91,'3121% SY'!$C$3:$M$324,11,FALSE),3),0)+IFERROR(VLOOKUP($A91,S275_09,7,FALSE),0)</f>
        <v>0</v>
      </c>
      <c r="U91" s="267">
        <f>IFERROR(VLOOKUP($A91,Supp_43,14,FALSE),0)+IFERROR(SUMPRODUCT(VLOOKUP($A91,S275_01,{20,21,22},FALSE)),0)+IFERROR(SUMPRODUCT(VLOOKUP($A91,S275_97,{20,21,22},FALSE)),0)+IFERROR(ROUND(VLOOKUP($A91,S275_21,20,FALSE)*VLOOKUP($A91,'3121% SY'!$C$3:$M$324,11,FALSE),3),0)+IFERROR(ROUND(VLOOKUP($A91,S275_21,21,FALSE)*VLOOKUP($A91,'3121% SY'!$C$3:$M$324,11,FALSE),3),0)+IFERROR(ROUND(VLOOKUP($A91,S275_21,22,FALSE)*VLOOKUP($A91,'3121% SY'!$C$3:$M$324,11,FALSE),3),0)+IFERROR(VLOOKUP($A91,S275_09,8,FALSE),0)</f>
        <v>0</v>
      </c>
      <c r="V91" s="267">
        <f>IFERROR(VLOOKUP($A91,Supp_44,14,FALSE),0)+IFERROR(SUMPRODUCT(VLOOKUP($A91,S275_01,{23,24,25},FALSE)),0)+IFERROR(SUMPRODUCT(VLOOKUP($A91,S275_97,{23,24,25},FALSE)),0)+IFERROR(ROUND(VLOOKUP($A91,S275_21,23,FALSE)*VLOOKUP($A91,'3121% SY'!$C$3:$M$324,11,FALSE),3),0)+IFERROR(ROUND(VLOOKUP($A91,S275_21,24,FALSE)*VLOOKUP($A91,'3121% SY'!$C$3:$M$324,11,FALSE),3),0)+IFERROR(ROUND(VLOOKUP($A91,S275_21,25,FALSE)*VLOOKUP($A91,'3121% SY'!$C$3:$M$324,11,FALSE),3),0)+IFERROR(VLOOKUP($A91,S275_09,9,FALSE),0)</f>
        <v>0</v>
      </c>
      <c r="W91" s="267">
        <f>IFERROR(VLOOKUP($A91,Supp_45,14,FALSE),0)+IFERROR(SUMPRODUCT(VLOOKUP($A91,S275_01,{26,27,28},FALSE)),0)+IFERROR(SUMPRODUCT(VLOOKUP($A91,S275_97,{26,27,28},FALSE)),0)+IFERROR(ROUND(VLOOKUP($A91,S275_21,26,FALSE)*VLOOKUP($A91,'3121% SY'!$C$3:$M$324,11,FALSE),3),0)+IFERROR(ROUND(VLOOKUP($A91,S275_21,27,FALSE)*VLOOKUP($A91,'3121% SY'!$C$3:$M$324,11,FALSE),3),0)+IFERROR(ROUND(VLOOKUP($A91,S275_21,28,FALSE)*VLOOKUP($A91,'3121% SY'!$C$3:$M$324,11,FALSE),3),0)+IFERROR(VLOOKUP($A91,S275_09,10,FALSE),0)</f>
        <v>0</v>
      </c>
      <c r="X91" s="267">
        <f>IFERROR(VLOOKUP($A91,Supp_46,14,FALSE),0)+IFERROR(SUMPRODUCT(VLOOKUP($A91,S275_01,{29,30,31},FALSE)),0)+IFERROR(SUMPRODUCT(VLOOKUP($A91,S275_97,{29,30,31},FALSE)),0)+IFERROR(ROUND(VLOOKUP($A91,S275_21,29,FALSE)*VLOOKUP($A91,'3121% SY'!$C$3:$M$324,11,FALSE),3),0)+IFERROR(ROUND(VLOOKUP($A91,S275_21,30,FALSE)*VLOOKUP($A91,'3121% SY'!$C$3:$M$324,11,FALSE),3),0)+IFERROR(ROUND(VLOOKUP($A91,S275_21,31,FALSE)*VLOOKUP($A91,'3121% SY'!$C$3:$M$324,11,FALSE),3),0)+IFERROR(VLOOKUP($A91,S275_09,11,FALSE),0)</f>
        <v>1</v>
      </c>
      <c r="Y91" s="267">
        <f>IFERROR(VLOOKUP($A91,Supp_47,14,FALSE),0)+IFERROR(SUMPRODUCT(VLOOKUP($A91,S275_01,{32,33,34},FALSE)),0)+IFERROR(SUMPRODUCT(VLOOKUP($A91,S275_97,{32,33,34},FALSE)),0)+IFERROR(ROUND(VLOOKUP($A91,S275_21,32,FALSE)*VLOOKUP($A91,'3121% SY'!$C$3:$M$324,11,FALSE),3),0)+IFERROR(ROUND(VLOOKUP($A91,S275_21,33,FALSE)*VLOOKUP($A91,'3121% SY'!$C$3:$M$324,11,FALSE),3),0)+IFERROR(ROUND(VLOOKUP($A91,S275_21,34,FALSE)*VLOOKUP($A91,'3121% SY'!$C$3:$M$324,11,FALSE),3),0)+IFERROR(VLOOKUP($A91,S275_09,12,FALSE),0)</f>
        <v>0</v>
      </c>
      <c r="Z91" s="267">
        <f>IFERROR(VLOOKUP($A91,Supp_48,14,FALSE),0)+IFERROR(SUMPRODUCT(VLOOKUP($A91,S275_01,{35,36,37},FALSE)),0)+IFERROR(SUMPRODUCT(VLOOKUP($A91,S275_97,{35,36,37},FALSE)),0)+IFERROR(ROUND(VLOOKUP($A91,S275_21,35,FALSE)*VLOOKUP($A91,'3121% SY'!$C$3:$M$324,11,FALSE),3),0)+IFERROR(ROUND(VLOOKUP($A91,S275_21,36,FALSE)*VLOOKUP($A91,'3121% SY'!$C$3:$M$324,11,FALSE),3),0)+IFERROR(ROUND(VLOOKUP($A91,S275_21,37,FALSE)*VLOOKUP($A91,'3121% SY'!$C$3:$M$324,11,FALSE),3),0)+IFERROR(VLOOKUP($A91,S275_09,13,FALSE),0)</f>
        <v>0</v>
      </c>
      <c r="AA91" s="267">
        <f>IFERROR(VLOOKUP($A91,Supp_49,14,FALSE),0)+IFERROR(SUMPRODUCT(VLOOKUP($A91,S275_01,{38,39,40},FALSE)),0)+IFERROR(SUMPRODUCT(VLOOKUP($A91,S275_97,{38,39,40},FALSE)),0)+IFERROR(ROUND(VLOOKUP($A91,S275_21,38,FALSE)*VLOOKUP($A91,'3121% SY'!$C$3:$M$324,11,FALSE),3),0)+IFERROR(ROUND(VLOOKUP($A91,S275_21,39,FALSE)*VLOOKUP($A91,'3121% SY'!$C$3:$M$324,11,FALSE),3),0)+IFERROR(ROUND(VLOOKUP($A91,S275_21,40,FALSE)*VLOOKUP($A91,'3121% SY'!$C$3:$M$324,11,FALSE),3),0)+IFERROR(VLOOKUP($A91,S275_09,14,FALSE),0)</f>
        <v>0</v>
      </c>
      <c r="AB91" s="267">
        <f>IFERROR(VLOOKUP($A91,Supp_64,14,FALSE),0)+IFERROR(SUMPRODUCT(VLOOKUP($A91,S275_01,{41,42,43},FALSE)),0)+IFERROR(SUMPRODUCT(VLOOKUP($A91,S275_97,{41,42,43},FALSE)),0)+IFERROR(ROUND(VLOOKUP($A91,S275_21,41,FALSE)*VLOOKUP($A91,'3121% SY'!$C$3:$M$324,11,FALSE),3),0)+IFERROR(ROUND(VLOOKUP($A91,S275_21,42,FALSE)*VLOOKUP($A91,'3121% SY'!$C$3:$M$324,11,FALSE),3),0)+IFERROR(ROUND(VLOOKUP($A91,S275_21,43,FALSE)*VLOOKUP($A91,'3121% SY'!$C$3:$M$324,11,FALSE),3),0)+IFERROR(VLOOKUP($A91,S275_09,15,FALSE),0)</f>
        <v>0</v>
      </c>
      <c r="AC91" s="268">
        <f t="shared" si="25"/>
        <v>1</v>
      </c>
      <c r="AD91" s="267">
        <f>IFERROR(VLOOKUP($A91,Supp_24,14,FALSE),0)+IFERROR(SUMPRODUCT(VLOOKUP($A91,S275_01,{2,3,4},FALSE)),0)+IFERROR(SUMPRODUCT(VLOOKUP($A91,S275_97,{2,3,4},FALSE)),0)+IFERROR(ROUND(VLOOKUP($A91,S275_21,2,FALSE)*VLOOKUP($A91,'3121% SY'!$C$3:$M$324,11,FALSE),3),0)+IFERROR(ROUND(VLOOKUP($A91,S275_21,3,FALSE)*VLOOKUP($A91,'3121% SY'!$C$3:$M$324,11,FALSE),3),0)+IFERROR(ROUND(VLOOKUP($A91,S275_21,4,FALSE)*VLOOKUP($A91,'3121% SY'!$C$3:$M$324,11,FALSE),3),0)+IFERROR(VLOOKUP($A91,S275_09,2,FALSE),0)</f>
        <v>0</v>
      </c>
      <c r="AE91" s="267">
        <f>IFERROR(VLOOKUP($A91,Supp_25,14,FALSE),0)+IFERROR(SUMPRODUCT(VLOOKUP($A91,S275_01,{5,6,7},FALSE)),0)+IFERROR(SUMPRODUCT(VLOOKUP($A91,S275_97,{5,6,7},FALSE)),0)+IFERROR(ROUND(VLOOKUP($A91,S275_21,5,FALSE)*VLOOKUP($A91,'3121% SY'!$C$3:$M$324,11,FALSE),3),0)+IFERROR(ROUND(VLOOKUP($A91,S275_21,6,FALSE)*VLOOKUP($A91,'3121% SY'!$C$3:$M$324,11,FALSE),3),0)+IFERROR(ROUND(VLOOKUP($A91,S275_21,7,FALSE)*VLOOKUP($A91,'3121% SY'!$C$3:$M$324,11,FALSE),3),0)+IFERROR(VLOOKUP($A91,S275_09,3,FALSE),0)</f>
        <v>0</v>
      </c>
      <c r="AF91" s="267">
        <f>IFERROR(VLOOKUP($A91,Supp_26,14,FALSE),0)+IFERROR(SUMPRODUCT(VLOOKUP($A91,S275_01,{8,9,10},FALSE)),0)+IFERROR(SUMPRODUCT(VLOOKUP($A91,S275_97,{8,9,10},FALSE)),0)+IFERROR(ROUND(VLOOKUP($A91,S275_21,8,FALSE)*VLOOKUP($A91,'3121% SY'!$C$3:$M$324,11,FALSE),3),0)+IFERROR(ROUND(VLOOKUP($A91,S275_21,9,FALSE)*VLOOKUP($A91,'3121% SY'!$C$3:$M$324,11,FALSE),3),0)+IFERROR(ROUND(VLOOKUP($A91,S275_21,10,FALSE)*VLOOKUP($A91,'3121% SY'!$C$3:$M$324,11,FALSE),3),0)+IFERROR(VLOOKUP($A91,S275_09,4,FALSE),0)</f>
        <v>0</v>
      </c>
      <c r="AG91" s="267">
        <f>IFERROR(VLOOKUP($A91,Supp_35,14,FALSE),0)+IFERROR(SUMPRODUCT(VLOOKUP($A91,S275_01,{11,12,13},FALSE)),0)+IFERROR(SUMPRODUCT(VLOOKUP($A91,S275_97,{11,12,13},FALSE)),0)+IFERROR(ROUND(VLOOKUP($A91,S275_21,11,FALSE)*VLOOKUP($A91,'3121% SY'!$C$3:$M$324,11,FALSE),3),0)+IFERROR(ROUND(VLOOKUP($A91,S275_21,12,FALSE)*VLOOKUP($A91,'3121% SY'!$C$3:$M$324,11,FALSE),3),0)+IFERROR(ROUND(VLOOKUP($A91,S275_21,13,FALSE)*VLOOKUP($A91,'3121% SY'!$C$3:$M$324,11,FALSE),3),0)+IFERROR(VLOOKUP($A91,S275_09,5,FALSE),0)</f>
        <v>0</v>
      </c>
      <c r="AH91" s="165">
        <f t="shared" si="26"/>
        <v>0</v>
      </c>
      <c r="AI91" s="161">
        <f>IFERROR(VLOOKUP(A91,'Supp Staff Data'!A:ER,148,FALSE),0)+AB91</f>
        <v>0</v>
      </c>
      <c r="AJ91" s="174">
        <v>0.92310000000000003</v>
      </c>
      <c r="AK91" s="25">
        <f>VLOOKUP(A91,'Enroll Data as of January 2025'!$A$3:$T$323,20,FALSE)-F91</f>
        <v>0</v>
      </c>
    </row>
    <row r="92" spans="1:37" x14ac:dyDescent="0.25">
      <c r="A92" s="171" t="s">
        <v>69</v>
      </c>
      <c r="B92" t="s">
        <v>365</v>
      </c>
      <c r="C92" s="173" t="s">
        <v>1077</v>
      </c>
      <c r="D92" s="259">
        <f t="shared" si="19"/>
        <v>2.7549999999999999</v>
      </c>
      <c r="E92" s="259">
        <f t="shared" si="20"/>
        <v>1.7730000000000001</v>
      </c>
      <c r="F92" s="262">
        <f t="shared" si="28"/>
        <v>-0.98199999999999998</v>
      </c>
      <c r="G92" s="161">
        <f>ROUND(IF(F92&lt;0,F92*'2024-25 PSES Compliance'!$G$13,0),3)</f>
        <v>-0.94299999999999995</v>
      </c>
      <c r="H92" s="161">
        <f>ROUND(IF(F92&lt;0,F92*'2024-25 PSES Compliance'!$G$14,0),3)</f>
        <v>-3.9E-2</v>
      </c>
      <c r="I92" s="174">
        <f t="shared" si="21"/>
        <v>0</v>
      </c>
      <c r="J92" s="174">
        <f t="shared" si="22"/>
        <v>0</v>
      </c>
      <c r="K92" s="161">
        <f>VLOOKUP($A92,'Enroll Data as of January 2025'!$A$3:$M$322,6,FALSE)</f>
        <v>1.5029999999999999</v>
      </c>
      <c r="L92" s="161">
        <f>VLOOKUP($A92,'Enroll Data as of January 2025'!$A$3:$M$322,7,FALSE)</f>
        <v>0.27200000000000002</v>
      </c>
      <c r="M92" s="161">
        <f>VLOOKUP($A92,'Enroll Data as of January 2025'!$A$3:$M$322,8,FALSE)</f>
        <v>9.1000000000000011E-2</v>
      </c>
      <c r="N92" s="161">
        <f>VLOOKUP($A92,'Enroll Data as of January 2025'!$A$3:$M$322,9,FALSE)</f>
        <v>0.72799999999999998</v>
      </c>
      <c r="O92" s="165">
        <f t="shared" si="23"/>
        <v>2.5939999999999999</v>
      </c>
      <c r="P92" s="161">
        <f>VLOOKUP($A92,'Enroll Data as of January 2025'!$A$3:$M$322,11,FALSE)</f>
        <v>9.8000000000000004E-2</v>
      </c>
      <c r="Q92" s="161">
        <f>VLOOKUP($A92,'Enroll Data as of January 2025'!$A$3:$M$322,12,FALSE)</f>
        <v>6.3E-2</v>
      </c>
      <c r="R92" s="165">
        <f t="shared" si="24"/>
        <v>0.161</v>
      </c>
      <c r="S92" s="267">
        <f>IFERROR(VLOOKUP($A92,Supp_39,14,FALSE),0)+IFERROR(SUMPRODUCT(VLOOKUP($A92,S275_01,{14,15,16},FALSE)),0)+IFERROR(SUMPRODUCT(VLOOKUP($A92,S275_97,{14,15,16},FALSE)),0)+IFERROR(ROUND(VLOOKUP($A92,S275_21,14,FALSE)*VLOOKUP($A92,'3121% SY'!$C$3:$M$324,11,FALSE),3),0)+IFERROR(ROUND(VLOOKUP($A92,S275_21,15,FALSE)*VLOOKUP($A92,'3121% SY'!$C$3:$M$324,11,FALSE),3),0)+IFERROR(ROUND(VLOOKUP($A92,S275_21,16,FALSE)*VLOOKUP($A92,'3121% SY'!$C$3:$M$324,11,FALSE),3),0)+IFERROR(VLOOKUP($A92,S275_09,6,FALSE),0)</f>
        <v>0.75</v>
      </c>
      <c r="T92" s="267">
        <f>IFERROR(VLOOKUP($A92,Supp_42,14,FALSE),0)+IFERROR(SUMPRODUCT(VLOOKUP($A92,S275_01,{17,18,19},FALSE)),0)+IFERROR(SUMPRODUCT(VLOOKUP($A92,S275_97,{17,18,19},FALSE)),0)+IFERROR(ROUND(VLOOKUP($A92,S275_21,17,FALSE)*VLOOKUP($A92,'3121% SY'!$C$3:$M$324,11,FALSE),3),0)+IFERROR(ROUND(VLOOKUP($A92,S275_21,18,FALSE)*VLOOKUP($A92,'3121% SY'!$C$3:$M$324,11,FALSE),3),0)+IFERROR(ROUND(VLOOKUP($A92,S275_21,19,FALSE)*VLOOKUP($A92,'3121% SY'!$C$3:$M$324,11,FALSE),3),0)+IFERROR(VLOOKUP($A92,S275_09,7,FALSE),0)</f>
        <v>0.25</v>
      </c>
      <c r="U92" s="267">
        <f>IFERROR(VLOOKUP($A92,Supp_43,14,FALSE),0)+IFERROR(SUMPRODUCT(VLOOKUP($A92,S275_01,{20,21,22},FALSE)),0)+IFERROR(SUMPRODUCT(VLOOKUP($A92,S275_97,{20,21,22},FALSE)),0)+IFERROR(ROUND(VLOOKUP($A92,S275_21,20,FALSE)*VLOOKUP($A92,'3121% SY'!$C$3:$M$324,11,FALSE),3),0)+IFERROR(ROUND(VLOOKUP($A92,S275_21,21,FALSE)*VLOOKUP($A92,'3121% SY'!$C$3:$M$324,11,FALSE),3),0)+IFERROR(ROUND(VLOOKUP($A92,S275_21,22,FALSE)*VLOOKUP($A92,'3121% SY'!$C$3:$M$324,11,FALSE),3),0)+IFERROR(VLOOKUP($A92,S275_09,8,FALSE),0)</f>
        <v>0</v>
      </c>
      <c r="V92" s="267">
        <f>IFERROR(VLOOKUP($A92,Supp_44,14,FALSE),0)+IFERROR(SUMPRODUCT(VLOOKUP($A92,S275_01,{23,24,25},FALSE)),0)+IFERROR(SUMPRODUCT(VLOOKUP($A92,S275_97,{23,24,25},FALSE)),0)+IFERROR(ROUND(VLOOKUP($A92,S275_21,23,FALSE)*VLOOKUP($A92,'3121% SY'!$C$3:$M$324,11,FALSE),3),0)+IFERROR(ROUND(VLOOKUP($A92,S275_21,24,FALSE)*VLOOKUP($A92,'3121% SY'!$C$3:$M$324,11,FALSE),3),0)+IFERROR(ROUND(VLOOKUP($A92,S275_21,25,FALSE)*VLOOKUP($A92,'3121% SY'!$C$3:$M$324,11,FALSE),3),0)+IFERROR(VLOOKUP($A92,S275_09,9,FALSE),0)</f>
        <v>0</v>
      </c>
      <c r="W92" s="267">
        <f>IFERROR(VLOOKUP($A92,Supp_45,14,FALSE),0)+IFERROR(SUMPRODUCT(VLOOKUP($A92,S275_01,{26,27,28},FALSE)),0)+IFERROR(SUMPRODUCT(VLOOKUP($A92,S275_97,{26,27,28},FALSE)),0)+IFERROR(ROUND(VLOOKUP($A92,S275_21,26,FALSE)*VLOOKUP($A92,'3121% SY'!$C$3:$M$324,11,FALSE),3),0)+IFERROR(ROUND(VLOOKUP($A92,S275_21,27,FALSE)*VLOOKUP($A92,'3121% SY'!$C$3:$M$324,11,FALSE),3),0)+IFERROR(ROUND(VLOOKUP($A92,S275_21,28,FALSE)*VLOOKUP($A92,'3121% SY'!$C$3:$M$324,11,FALSE),3),0)+IFERROR(VLOOKUP($A92,S275_09,10,FALSE),0)</f>
        <v>0</v>
      </c>
      <c r="X92" s="267">
        <f>IFERROR(VLOOKUP($A92,Supp_46,14,FALSE),0)+IFERROR(SUMPRODUCT(VLOOKUP($A92,S275_01,{29,30,31},FALSE)),0)+IFERROR(SUMPRODUCT(VLOOKUP($A92,S275_97,{29,30,31},FALSE)),0)+IFERROR(ROUND(VLOOKUP($A92,S275_21,29,FALSE)*VLOOKUP($A92,'3121% SY'!$C$3:$M$324,11,FALSE),3),0)+IFERROR(ROUND(VLOOKUP($A92,S275_21,30,FALSE)*VLOOKUP($A92,'3121% SY'!$C$3:$M$324,11,FALSE),3),0)+IFERROR(ROUND(VLOOKUP($A92,S275_21,31,FALSE)*VLOOKUP($A92,'3121% SY'!$C$3:$M$324,11,FALSE),3),0)+IFERROR(VLOOKUP($A92,S275_09,11,FALSE),0)</f>
        <v>0</v>
      </c>
      <c r="Y92" s="267">
        <f>IFERROR(VLOOKUP($A92,Supp_47,14,FALSE),0)+IFERROR(SUMPRODUCT(VLOOKUP($A92,S275_01,{32,33,34},FALSE)),0)+IFERROR(SUMPRODUCT(VLOOKUP($A92,S275_97,{32,33,34},FALSE)),0)+IFERROR(ROUND(VLOOKUP($A92,S275_21,32,FALSE)*VLOOKUP($A92,'3121% SY'!$C$3:$M$324,11,FALSE),3),0)+IFERROR(ROUND(VLOOKUP($A92,S275_21,33,FALSE)*VLOOKUP($A92,'3121% SY'!$C$3:$M$324,11,FALSE),3),0)+IFERROR(ROUND(VLOOKUP($A92,S275_21,34,FALSE)*VLOOKUP($A92,'3121% SY'!$C$3:$M$324,11,FALSE),3),0)+IFERROR(VLOOKUP($A92,S275_09,12,FALSE),0)</f>
        <v>0</v>
      </c>
      <c r="Z92" s="267">
        <f>IFERROR(VLOOKUP($A92,Supp_48,14,FALSE),0)+IFERROR(SUMPRODUCT(VLOOKUP($A92,S275_01,{35,36,37},FALSE)),0)+IFERROR(SUMPRODUCT(VLOOKUP($A92,S275_97,{35,36,37},FALSE)),0)+IFERROR(ROUND(VLOOKUP($A92,S275_21,35,FALSE)*VLOOKUP($A92,'3121% SY'!$C$3:$M$324,11,FALSE),3),0)+IFERROR(ROUND(VLOOKUP($A92,S275_21,36,FALSE)*VLOOKUP($A92,'3121% SY'!$C$3:$M$324,11,FALSE),3),0)+IFERROR(ROUND(VLOOKUP($A92,S275_21,37,FALSE)*VLOOKUP($A92,'3121% SY'!$C$3:$M$324,11,FALSE),3),0)+IFERROR(VLOOKUP($A92,S275_09,13,FALSE),0)</f>
        <v>0</v>
      </c>
      <c r="AA92" s="267">
        <f>IFERROR(VLOOKUP($A92,Supp_49,14,FALSE),0)+IFERROR(SUMPRODUCT(VLOOKUP($A92,S275_01,{38,39,40},FALSE)),0)+IFERROR(SUMPRODUCT(VLOOKUP($A92,S275_97,{38,39,40},FALSE)),0)+IFERROR(ROUND(VLOOKUP($A92,S275_21,38,FALSE)*VLOOKUP($A92,'3121% SY'!$C$3:$M$324,11,FALSE),3),0)+IFERROR(ROUND(VLOOKUP($A92,S275_21,39,FALSE)*VLOOKUP($A92,'3121% SY'!$C$3:$M$324,11,FALSE),3),0)+IFERROR(ROUND(VLOOKUP($A92,S275_21,40,FALSE)*VLOOKUP($A92,'3121% SY'!$C$3:$M$324,11,FALSE),3),0)+IFERROR(VLOOKUP($A92,S275_09,14,FALSE),0)</f>
        <v>0</v>
      </c>
      <c r="AB92" s="267">
        <f>IFERROR(VLOOKUP($A92,Supp_64,14,FALSE),0)+IFERROR(SUMPRODUCT(VLOOKUP($A92,S275_01,{41,42,43},FALSE)),0)+IFERROR(SUMPRODUCT(VLOOKUP($A92,S275_97,{41,42,43},FALSE)),0)+IFERROR(ROUND(VLOOKUP($A92,S275_21,41,FALSE)*VLOOKUP($A92,'3121% SY'!$C$3:$M$324,11,FALSE),3),0)+IFERROR(ROUND(VLOOKUP($A92,S275_21,42,FALSE)*VLOOKUP($A92,'3121% SY'!$C$3:$M$324,11,FALSE),3),0)+IFERROR(ROUND(VLOOKUP($A92,S275_21,43,FALSE)*VLOOKUP($A92,'3121% SY'!$C$3:$M$324,11,FALSE),3),0)+IFERROR(VLOOKUP($A92,S275_09,15,FALSE),0)</f>
        <v>0</v>
      </c>
      <c r="AC92" s="268">
        <f t="shared" si="25"/>
        <v>1</v>
      </c>
      <c r="AD92" s="267">
        <f>IFERROR(VLOOKUP($A92,Supp_24,14,FALSE),0)+IFERROR(SUMPRODUCT(VLOOKUP($A92,S275_01,{2,3,4},FALSE)),0)+IFERROR(SUMPRODUCT(VLOOKUP($A92,S275_97,{2,3,4},FALSE)),0)+IFERROR(ROUND(VLOOKUP($A92,S275_21,2,FALSE)*VLOOKUP($A92,'3121% SY'!$C$3:$M$324,11,FALSE),3),0)+IFERROR(ROUND(VLOOKUP($A92,S275_21,3,FALSE)*VLOOKUP($A92,'3121% SY'!$C$3:$M$324,11,FALSE),3),0)+IFERROR(ROUND(VLOOKUP($A92,S275_21,4,FALSE)*VLOOKUP($A92,'3121% SY'!$C$3:$M$324,11,FALSE),3),0)+IFERROR(VLOOKUP($A92,S275_09,2,FALSE),0)</f>
        <v>0</v>
      </c>
      <c r="AE92" s="267">
        <f>IFERROR(VLOOKUP($A92,Supp_25,14,FALSE),0)+IFERROR(SUMPRODUCT(VLOOKUP($A92,S275_01,{5,6,7},FALSE)),0)+IFERROR(SUMPRODUCT(VLOOKUP($A92,S275_97,{5,6,7},FALSE)),0)+IFERROR(ROUND(VLOOKUP($A92,S275_21,5,FALSE)*VLOOKUP($A92,'3121% SY'!$C$3:$M$324,11,FALSE),3),0)+IFERROR(ROUND(VLOOKUP($A92,S275_21,6,FALSE)*VLOOKUP($A92,'3121% SY'!$C$3:$M$324,11,FALSE),3),0)+IFERROR(ROUND(VLOOKUP($A92,S275_21,7,FALSE)*VLOOKUP($A92,'3121% SY'!$C$3:$M$324,11,FALSE),3),0)+IFERROR(VLOOKUP($A92,S275_09,3,FALSE),0)</f>
        <v>0</v>
      </c>
      <c r="AF92" s="267">
        <f>IFERROR(VLOOKUP($A92,Supp_26,14,FALSE),0)+IFERROR(SUMPRODUCT(VLOOKUP($A92,S275_01,{8,9,10},FALSE)),0)+IFERROR(SUMPRODUCT(VLOOKUP($A92,S275_97,{8,9,10},FALSE)),0)+IFERROR(ROUND(VLOOKUP($A92,S275_21,8,FALSE)*VLOOKUP($A92,'3121% SY'!$C$3:$M$324,11,FALSE),3),0)+IFERROR(ROUND(VLOOKUP($A92,S275_21,9,FALSE)*VLOOKUP($A92,'3121% SY'!$C$3:$M$324,11,FALSE),3),0)+IFERROR(ROUND(VLOOKUP($A92,S275_21,10,FALSE)*VLOOKUP($A92,'3121% SY'!$C$3:$M$324,11,FALSE),3),0)+IFERROR(VLOOKUP($A92,S275_09,4,FALSE),0)</f>
        <v>0.77300000000000002</v>
      </c>
      <c r="AG92" s="267">
        <f>IFERROR(VLOOKUP($A92,Supp_35,14,FALSE),0)+IFERROR(SUMPRODUCT(VLOOKUP($A92,S275_01,{11,12,13},FALSE)),0)+IFERROR(SUMPRODUCT(VLOOKUP($A92,S275_97,{11,12,13},FALSE)),0)+IFERROR(ROUND(VLOOKUP($A92,S275_21,11,FALSE)*VLOOKUP($A92,'3121% SY'!$C$3:$M$324,11,FALSE),3),0)+IFERROR(ROUND(VLOOKUP($A92,S275_21,12,FALSE)*VLOOKUP($A92,'3121% SY'!$C$3:$M$324,11,FALSE),3),0)+IFERROR(ROUND(VLOOKUP($A92,S275_21,13,FALSE)*VLOOKUP($A92,'3121% SY'!$C$3:$M$324,11,FALSE),3),0)+IFERROR(VLOOKUP($A92,S275_09,5,FALSE),0)</f>
        <v>0</v>
      </c>
      <c r="AH92" s="165">
        <f t="shared" si="26"/>
        <v>0.77300000000000002</v>
      </c>
      <c r="AI92" s="161">
        <f>IFERROR(VLOOKUP(A92,'Supp Staff Data'!A:ER,148,FALSE),0)+AB92</f>
        <v>0</v>
      </c>
      <c r="AJ92" s="174">
        <v>0</v>
      </c>
      <c r="AK92" s="25">
        <f>VLOOKUP(A92,'Enroll Data as of January 2025'!$A$3:$T$323,20,FALSE)-F92</f>
        <v>0</v>
      </c>
    </row>
    <row r="93" spans="1:37" x14ac:dyDescent="0.25">
      <c r="A93" s="171" t="s">
        <v>175</v>
      </c>
      <c r="B93" t="s">
        <v>471</v>
      </c>
      <c r="C93" s="173" t="s">
        <v>1077</v>
      </c>
      <c r="D93" s="259">
        <f t="shared" si="19"/>
        <v>2.6179999999999999</v>
      </c>
      <c r="E93" s="259">
        <f t="shared" si="20"/>
        <v>2.1459999999999999</v>
      </c>
      <c r="F93" s="262">
        <f t="shared" si="28"/>
        <v>-0.47199999999999998</v>
      </c>
      <c r="G93" s="161">
        <f>ROUND(IF(F93&lt;0,F93*'2024-25 PSES Compliance'!$G$13,0),3)</f>
        <v>-0.45300000000000001</v>
      </c>
      <c r="H93" s="161">
        <f>ROUND(IF(F93&lt;0,F93*'2024-25 PSES Compliance'!$G$14,0),3)</f>
        <v>-1.9E-2</v>
      </c>
      <c r="I93" s="174">
        <f t="shared" si="21"/>
        <v>0.69897483690587137</v>
      </c>
      <c r="J93" s="174">
        <f t="shared" si="22"/>
        <v>0</v>
      </c>
      <c r="K93" s="161">
        <f>VLOOKUP($A93,'Enroll Data as of January 2025'!$A$3:$M$322,6,FALSE)</f>
        <v>1.5049999999999999</v>
      </c>
      <c r="L93" s="161">
        <f>VLOOKUP($A93,'Enroll Data as of January 2025'!$A$3:$M$322,7,FALSE)</f>
        <v>0.22900000000000001</v>
      </c>
      <c r="M93" s="161">
        <f>VLOOKUP($A93,'Enroll Data as of January 2025'!$A$3:$M$322,8,FALSE)</f>
        <v>7.6999999999999999E-2</v>
      </c>
      <c r="N93" s="161">
        <f>VLOOKUP($A93,'Enroll Data as of January 2025'!$A$3:$M$322,9,FALSE)</f>
        <v>0.66500000000000004</v>
      </c>
      <c r="O93" s="165">
        <f t="shared" si="23"/>
        <v>2.476</v>
      </c>
      <c r="P93" s="161">
        <f>VLOOKUP($A93,'Enroll Data as of January 2025'!$A$3:$M$322,11,FALSE)</f>
        <v>9.1999999999999998E-2</v>
      </c>
      <c r="Q93" s="161">
        <f>VLOOKUP($A93,'Enroll Data as of January 2025'!$A$3:$M$322,12,FALSE)</f>
        <v>0.05</v>
      </c>
      <c r="R93" s="165">
        <f t="shared" si="24"/>
        <v>0.14200000000000002</v>
      </c>
      <c r="S93" s="267">
        <f>IFERROR(VLOOKUP($A93,Supp_39,14,FALSE),0)+IFERROR(SUMPRODUCT(VLOOKUP($A93,S275_01,{14,15,16},FALSE)),0)+IFERROR(SUMPRODUCT(VLOOKUP($A93,S275_97,{14,15,16},FALSE)),0)+IFERROR(ROUND(VLOOKUP($A93,S275_21,14,FALSE)*VLOOKUP($A93,'3121% SY'!$C$3:$M$324,11,FALSE),3),0)+IFERROR(ROUND(VLOOKUP($A93,S275_21,15,FALSE)*VLOOKUP($A93,'3121% SY'!$C$3:$M$324,11,FALSE),3),0)+IFERROR(ROUND(VLOOKUP($A93,S275_21,16,FALSE)*VLOOKUP($A93,'3121% SY'!$C$3:$M$324,11,FALSE),3),0)+IFERROR(VLOOKUP($A93,S275_09,6,FALSE),0)</f>
        <v>1.5</v>
      </c>
      <c r="T93" s="267">
        <f>IFERROR(VLOOKUP($A93,Supp_42,14,FALSE),0)+IFERROR(SUMPRODUCT(VLOOKUP($A93,S275_01,{17,18,19},FALSE)),0)+IFERROR(SUMPRODUCT(VLOOKUP($A93,S275_97,{17,18,19},FALSE)),0)+IFERROR(ROUND(VLOOKUP($A93,S275_21,17,FALSE)*VLOOKUP($A93,'3121% SY'!$C$3:$M$324,11,FALSE),3),0)+IFERROR(ROUND(VLOOKUP($A93,S275_21,18,FALSE)*VLOOKUP($A93,'3121% SY'!$C$3:$M$324,11,FALSE),3),0)+IFERROR(ROUND(VLOOKUP($A93,S275_21,19,FALSE)*VLOOKUP($A93,'3121% SY'!$C$3:$M$324,11,FALSE),3),0)+IFERROR(VLOOKUP($A93,S275_09,7,FALSE),0)</f>
        <v>0</v>
      </c>
      <c r="U93" s="267">
        <f>IFERROR(VLOOKUP($A93,Supp_43,14,FALSE),0)+IFERROR(SUMPRODUCT(VLOOKUP($A93,S275_01,{20,21,22},FALSE)),0)+IFERROR(SUMPRODUCT(VLOOKUP($A93,S275_97,{20,21,22},FALSE)),0)+IFERROR(ROUND(VLOOKUP($A93,S275_21,20,FALSE)*VLOOKUP($A93,'3121% SY'!$C$3:$M$324,11,FALSE),3),0)+IFERROR(ROUND(VLOOKUP($A93,S275_21,21,FALSE)*VLOOKUP($A93,'3121% SY'!$C$3:$M$324,11,FALSE),3),0)+IFERROR(ROUND(VLOOKUP($A93,S275_21,22,FALSE)*VLOOKUP($A93,'3121% SY'!$C$3:$M$324,11,FALSE),3),0)+IFERROR(VLOOKUP($A93,S275_09,8,FALSE),0)</f>
        <v>0</v>
      </c>
      <c r="V93" s="267">
        <f>IFERROR(VLOOKUP($A93,Supp_44,14,FALSE),0)+IFERROR(SUMPRODUCT(VLOOKUP($A93,S275_01,{23,24,25},FALSE)),0)+IFERROR(SUMPRODUCT(VLOOKUP($A93,S275_97,{23,24,25},FALSE)),0)+IFERROR(ROUND(VLOOKUP($A93,S275_21,23,FALSE)*VLOOKUP($A93,'3121% SY'!$C$3:$M$324,11,FALSE),3),0)+IFERROR(ROUND(VLOOKUP($A93,S275_21,24,FALSE)*VLOOKUP($A93,'3121% SY'!$C$3:$M$324,11,FALSE),3),0)+IFERROR(ROUND(VLOOKUP($A93,S275_21,25,FALSE)*VLOOKUP($A93,'3121% SY'!$C$3:$M$324,11,FALSE),3),0)+IFERROR(VLOOKUP($A93,S275_09,9,FALSE),0)</f>
        <v>0</v>
      </c>
      <c r="W93" s="267">
        <f>IFERROR(VLOOKUP($A93,Supp_45,14,FALSE),0)+IFERROR(SUMPRODUCT(VLOOKUP($A93,S275_01,{26,27,28},FALSE)),0)+IFERROR(SUMPRODUCT(VLOOKUP($A93,S275_97,{26,27,28},FALSE)),0)+IFERROR(ROUND(VLOOKUP($A93,S275_21,26,FALSE)*VLOOKUP($A93,'3121% SY'!$C$3:$M$324,11,FALSE),3),0)+IFERROR(ROUND(VLOOKUP($A93,S275_21,27,FALSE)*VLOOKUP($A93,'3121% SY'!$C$3:$M$324,11,FALSE),3),0)+IFERROR(ROUND(VLOOKUP($A93,S275_21,28,FALSE)*VLOOKUP($A93,'3121% SY'!$C$3:$M$324,11,FALSE),3),0)+IFERROR(VLOOKUP($A93,S275_09,10,FALSE),0)</f>
        <v>0</v>
      </c>
      <c r="X93" s="267">
        <f>IFERROR(VLOOKUP($A93,Supp_46,14,FALSE),0)+IFERROR(SUMPRODUCT(VLOOKUP($A93,S275_01,{29,30,31},FALSE)),0)+IFERROR(SUMPRODUCT(VLOOKUP($A93,S275_97,{29,30,31},FALSE)),0)+IFERROR(ROUND(VLOOKUP($A93,S275_21,29,FALSE)*VLOOKUP($A93,'3121% SY'!$C$3:$M$324,11,FALSE),3),0)+IFERROR(ROUND(VLOOKUP($A93,S275_21,30,FALSE)*VLOOKUP($A93,'3121% SY'!$C$3:$M$324,11,FALSE),3),0)+IFERROR(ROUND(VLOOKUP($A93,S275_21,31,FALSE)*VLOOKUP($A93,'3121% SY'!$C$3:$M$324,11,FALSE),3),0)+IFERROR(VLOOKUP($A93,S275_09,11,FALSE),0)</f>
        <v>0</v>
      </c>
      <c r="Y93" s="267">
        <f>IFERROR(VLOOKUP($A93,Supp_47,14,FALSE),0)+IFERROR(SUMPRODUCT(VLOOKUP($A93,S275_01,{32,33,34},FALSE)),0)+IFERROR(SUMPRODUCT(VLOOKUP($A93,S275_97,{32,33,34},FALSE)),0)+IFERROR(ROUND(VLOOKUP($A93,S275_21,32,FALSE)*VLOOKUP($A93,'3121% SY'!$C$3:$M$324,11,FALSE),3),0)+IFERROR(ROUND(VLOOKUP($A93,S275_21,33,FALSE)*VLOOKUP($A93,'3121% SY'!$C$3:$M$324,11,FALSE),3),0)+IFERROR(ROUND(VLOOKUP($A93,S275_21,34,FALSE)*VLOOKUP($A93,'3121% SY'!$C$3:$M$324,11,FALSE),3),0)+IFERROR(VLOOKUP($A93,S275_09,12,FALSE),0)</f>
        <v>0</v>
      </c>
      <c r="Z93" s="267">
        <f>IFERROR(VLOOKUP($A93,Supp_48,14,FALSE),0)+IFERROR(SUMPRODUCT(VLOOKUP($A93,S275_01,{35,36,37},FALSE)),0)+IFERROR(SUMPRODUCT(VLOOKUP($A93,S275_97,{35,36,37},FALSE)),0)+IFERROR(ROUND(VLOOKUP($A93,S275_21,35,FALSE)*VLOOKUP($A93,'3121% SY'!$C$3:$M$324,11,FALSE),3),0)+IFERROR(ROUND(VLOOKUP($A93,S275_21,36,FALSE)*VLOOKUP($A93,'3121% SY'!$C$3:$M$324,11,FALSE),3),0)+IFERROR(ROUND(VLOOKUP($A93,S275_21,37,FALSE)*VLOOKUP($A93,'3121% SY'!$C$3:$M$324,11,FALSE),3),0)+IFERROR(VLOOKUP($A93,S275_09,13,FALSE),0)</f>
        <v>0</v>
      </c>
      <c r="AA93" s="267">
        <f>IFERROR(VLOOKUP($A93,Supp_49,14,FALSE),0)+IFERROR(SUMPRODUCT(VLOOKUP($A93,S275_01,{38,39,40},FALSE)),0)+IFERROR(SUMPRODUCT(VLOOKUP($A93,S275_97,{38,39,40},FALSE)),0)+IFERROR(ROUND(VLOOKUP($A93,S275_21,38,FALSE)*VLOOKUP($A93,'3121% SY'!$C$3:$M$324,11,FALSE),3),0)+IFERROR(ROUND(VLOOKUP($A93,S275_21,39,FALSE)*VLOOKUP($A93,'3121% SY'!$C$3:$M$324,11,FALSE),3),0)+IFERROR(ROUND(VLOOKUP($A93,S275_21,40,FALSE)*VLOOKUP($A93,'3121% SY'!$C$3:$M$324,11,FALSE),3),0)+IFERROR(VLOOKUP($A93,S275_09,14,FALSE),0)</f>
        <v>0</v>
      </c>
      <c r="AB93" s="267">
        <f>IFERROR(VLOOKUP($A93,Supp_64,14,FALSE),0)+IFERROR(SUMPRODUCT(VLOOKUP($A93,S275_01,{41,42,43},FALSE)),0)+IFERROR(SUMPRODUCT(VLOOKUP($A93,S275_97,{41,42,43},FALSE)),0)+IFERROR(ROUND(VLOOKUP($A93,S275_21,41,FALSE)*VLOOKUP($A93,'3121% SY'!$C$3:$M$324,11,FALSE),3),0)+IFERROR(ROUND(VLOOKUP($A93,S275_21,42,FALSE)*VLOOKUP($A93,'3121% SY'!$C$3:$M$324,11,FALSE),3),0)+IFERROR(ROUND(VLOOKUP($A93,S275_21,43,FALSE)*VLOOKUP($A93,'3121% SY'!$C$3:$M$324,11,FALSE),3),0)+IFERROR(VLOOKUP($A93,S275_09,15,FALSE),0)</f>
        <v>0</v>
      </c>
      <c r="AC93" s="268">
        <f t="shared" si="25"/>
        <v>1.5</v>
      </c>
      <c r="AD93" s="267">
        <f>IFERROR(VLOOKUP($A93,Supp_24,14,FALSE),0)+IFERROR(SUMPRODUCT(VLOOKUP($A93,S275_01,{2,3,4},FALSE)),0)+IFERROR(SUMPRODUCT(VLOOKUP($A93,S275_97,{2,3,4},FALSE)),0)+IFERROR(ROUND(VLOOKUP($A93,S275_21,2,FALSE)*VLOOKUP($A93,'3121% SY'!$C$3:$M$324,11,FALSE),3),0)+IFERROR(ROUND(VLOOKUP($A93,S275_21,3,FALSE)*VLOOKUP($A93,'3121% SY'!$C$3:$M$324,11,FALSE),3),0)+IFERROR(ROUND(VLOOKUP($A93,S275_21,4,FALSE)*VLOOKUP($A93,'3121% SY'!$C$3:$M$324,11,FALSE),3),0)+IFERROR(VLOOKUP($A93,S275_09,2,FALSE),0)</f>
        <v>0</v>
      </c>
      <c r="AE93" s="267">
        <f>IFERROR(VLOOKUP($A93,Supp_25,14,FALSE),0)+IFERROR(SUMPRODUCT(VLOOKUP($A93,S275_01,{5,6,7},FALSE)),0)+IFERROR(SUMPRODUCT(VLOOKUP($A93,S275_97,{5,6,7},FALSE)),0)+IFERROR(ROUND(VLOOKUP($A93,S275_21,5,FALSE)*VLOOKUP($A93,'3121% SY'!$C$3:$M$324,11,FALSE),3),0)+IFERROR(ROUND(VLOOKUP($A93,S275_21,6,FALSE)*VLOOKUP($A93,'3121% SY'!$C$3:$M$324,11,FALSE),3),0)+IFERROR(ROUND(VLOOKUP($A93,S275_21,7,FALSE)*VLOOKUP($A93,'3121% SY'!$C$3:$M$324,11,FALSE),3),0)+IFERROR(VLOOKUP($A93,S275_09,3,FALSE),0)</f>
        <v>0</v>
      </c>
      <c r="AF93" s="267">
        <f>IFERROR(VLOOKUP($A93,Supp_26,14,FALSE),0)+IFERROR(SUMPRODUCT(VLOOKUP($A93,S275_01,{8,9,10},FALSE)),0)+IFERROR(SUMPRODUCT(VLOOKUP($A93,S275_97,{8,9,10},FALSE)),0)+IFERROR(ROUND(VLOOKUP($A93,S275_21,8,FALSE)*VLOOKUP($A93,'3121% SY'!$C$3:$M$324,11,FALSE),3),0)+IFERROR(ROUND(VLOOKUP($A93,S275_21,9,FALSE)*VLOOKUP($A93,'3121% SY'!$C$3:$M$324,11,FALSE),3),0)+IFERROR(ROUND(VLOOKUP($A93,S275_21,10,FALSE)*VLOOKUP($A93,'3121% SY'!$C$3:$M$324,11,FALSE),3),0)+IFERROR(VLOOKUP($A93,S275_09,4,FALSE),0)</f>
        <v>0.64600000000000002</v>
      </c>
      <c r="AG93" s="267">
        <f>IFERROR(VLOOKUP($A93,Supp_35,14,FALSE),0)+IFERROR(SUMPRODUCT(VLOOKUP($A93,S275_01,{11,12,13},FALSE)),0)+IFERROR(SUMPRODUCT(VLOOKUP($A93,S275_97,{11,12,13},FALSE)),0)+IFERROR(ROUND(VLOOKUP($A93,S275_21,11,FALSE)*VLOOKUP($A93,'3121% SY'!$C$3:$M$324,11,FALSE),3),0)+IFERROR(ROUND(VLOOKUP($A93,S275_21,12,FALSE)*VLOOKUP($A93,'3121% SY'!$C$3:$M$324,11,FALSE),3),0)+IFERROR(ROUND(VLOOKUP($A93,S275_21,13,FALSE)*VLOOKUP($A93,'3121% SY'!$C$3:$M$324,11,FALSE),3),0)+IFERROR(VLOOKUP($A93,S275_09,5,FALSE),0)</f>
        <v>0</v>
      </c>
      <c r="AH93" s="165">
        <f t="shared" si="26"/>
        <v>0.64600000000000002</v>
      </c>
      <c r="AI93" s="161">
        <f>IFERROR(VLOOKUP(A93,'Supp Staff Data'!A:ER,148,FALSE),0)+AB93</f>
        <v>0</v>
      </c>
      <c r="AJ93" s="174">
        <v>1</v>
      </c>
      <c r="AK93" s="25">
        <f>VLOOKUP(A93,'Enroll Data as of January 2025'!$A$3:$T$323,20,FALSE)-F93</f>
        <v>0</v>
      </c>
    </row>
    <row r="94" spans="1:37" x14ac:dyDescent="0.25">
      <c r="A94" s="171" t="s">
        <v>158</v>
      </c>
      <c r="B94" t="s">
        <v>454</v>
      </c>
      <c r="C94" s="173" t="s">
        <v>1077</v>
      </c>
      <c r="D94" s="259">
        <f t="shared" si="19"/>
        <v>3.3569999999999998</v>
      </c>
      <c r="E94" s="259">
        <f t="shared" si="20"/>
        <v>2.9460000000000002</v>
      </c>
      <c r="F94" s="262">
        <f t="shared" si="28"/>
        <v>-0.41099999999999998</v>
      </c>
      <c r="G94" s="161">
        <f>ROUND(IF(F94&lt;0,F94*'2024-25 PSES Compliance'!$G$13,0),3)</f>
        <v>-0.39500000000000002</v>
      </c>
      <c r="H94" s="161">
        <f>ROUND(IF(F94&lt;0,F94*'2024-25 PSES Compliance'!$G$14,0),3)</f>
        <v>-1.6E-2</v>
      </c>
      <c r="I94" s="174">
        <f t="shared" si="21"/>
        <v>0.66564833672776647</v>
      </c>
      <c r="J94" s="174">
        <f t="shared" si="22"/>
        <v>0</v>
      </c>
      <c r="K94" s="161">
        <f>VLOOKUP($A94,'Enroll Data as of January 2025'!$A$3:$M$322,6,FALSE)</f>
        <v>1.839</v>
      </c>
      <c r="L94" s="161">
        <f>VLOOKUP($A94,'Enroll Data as of January 2025'!$A$3:$M$322,7,FALSE)</f>
        <v>0.33600000000000002</v>
      </c>
      <c r="M94" s="161">
        <f>VLOOKUP($A94,'Enroll Data as of January 2025'!$A$3:$M$322,8,FALSE)</f>
        <v>0.113</v>
      </c>
      <c r="N94" s="161">
        <f>VLOOKUP($A94,'Enroll Data as of January 2025'!$A$3:$M$322,9,FALSE)</f>
        <v>0.87100000000000011</v>
      </c>
      <c r="O94" s="165">
        <f t="shared" si="23"/>
        <v>3.1589999999999998</v>
      </c>
      <c r="P94" s="161">
        <f>VLOOKUP($A94,'Enroll Data as of January 2025'!$A$3:$M$322,11,FALSE)</f>
        <v>0.11899999999999999</v>
      </c>
      <c r="Q94" s="161">
        <f>VLOOKUP($A94,'Enroll Data as of January 2025'!$A$3:$M$322,12,FALSE)</f>
        <v>7.9000000000000001E-2</v>
      </c>
      <c r="R94" s="165">
        <f t="shared" si="24"/>
        <v>0.19800000000000001</v>
      </c>
      <c r="S94" s="267">
        <f>IFERROR(VLOOKUP($A94,Supp_39,14,FALSE),0)+IFERROR(SUMPRODUCT(VLOOKUP($A94,S275_01,{14,15,16},FALSE)),0)+IFERROR(SUMPRODUCT(VLOOKUP($A94,S275_97,{14,15,16},FALSE)),0)+IFERROR(ROUND(VLOOKUP($A94,S275_21,14,FALSE)*VLOOKUP($A94,'3121% SY'!$C$3:$M$324,11,FALSE),3),0)+IFERROR(ROUND(VLOOKUP($A94,S275_21,15,FALSE)*VLOOKUP($A94,'3121% SY'!$C$3:$M$324,11,FALSE),3),0)+IFERROR(ROUND(VLOOKUP($A94,S275_21,16,FALSE)*VLOOKUP($A94,'3121% SY'!$C$3:$M$324,11,FALSE),3),0)+IFERROR(VLOOKUP($A94,S275_09,6,FALSE),0)</f>
        <v>0.74</v>
      </c>
      <c r="T94" s="267">
        <f>IFERROR(VLOOKUP($A94,Supp_42,14,FALSE),0)+IFERROR(SUMPRODUCT(VLOOKUP($A94,S275_01,{17,18,19},FALSE)),0)+IFERROR(SUMPRODUCT(VLOOKUP($A94,S275_97,{17,18,19},FALSE)),0)+IFERROR(ROUND(VLOOKUP($A94,S275_21,17,FALSE)*VLOOKUP($A94,'3121% SY'!$C$3:$M$324,11,FALSE),3),0)+IFERROR(ROUND(VLOOKUP($A94,S275_21,18,FALSE)*VLOOKUP($A94,'3121% SY'!$C$3:$M$324,11,FALSE),3),0)+IFERROR(ROUND(VLOOKUP($A94,S275_21,19,FALSE)*VLOOKUP($A94,'3121% SY'!$C$3:$M$324,11,FALSE),3),0)+IFERROR(VLOOKUP($A94,S275_09,7,FALSE),0)</f>
        <v>0</v>
      </c>
      <c r="U94" s="267">
        <f>IFERROR(VLOOKUP($A94,Supp_43,14,FALSE),0)+IFERROR(SUMPRODUCT(VLOOKUP($A94,S275_01,{20,21,22},FALSE)),0)+IFERROR(SUMPRODUCT(VLOOKUP($A94,S275_97,{20,21,22},FALSE)),0)+IFERROR(ROUND(VLOOKUP($A94,S275_21,20,FALSE)*VLOOKUP($A94,'3121% SY'!$C$3:$M$324,11,FALSE),3),0)+IFERROR(ROUND(VLOOKUP($A94,S275_21,21,FALSE)*VLOOKUP($A94,'3121% SY'!$C$3:$M$324,11,FALSE),3),0)+IFERROR(ROUND(VLOOKUP($A94,S275_21,22,FALSE)*VLOOKUP($A94,'3121% SY'!$C$3:$M$324,11,FALSE),3),0)+IFERROR(VLOOKUP($A94,S275_09,8,FALSE),0)</f>
        <v>0.158</v>
      </c>
      <c r="V94" s="267">
        <f>IFERROR(VLOOKUP($A94,Supp_44,14,FALSE),0)+IFERROR(SUMPRODUCT(VLOOKUP($A94,S275_01,{23,24,25},FALSE)),0)+IFERROR(SUMPRODUCT(VLOOKUP($A94,S275_97,{23,24,25},FALSE)),0)+IFERROR(ROUND(VLOOKUP($A94,S275_21,23,FALSE)*VLOOKUP($A94,'3121% SY'!$C$3:$M$324,11,FALSE),3),0)+IFERROR(ROUND(VLOOKUP($A94,S275_21,24,FALSE)*VLOOKUP($A94,'3121% SY'!$C$3:$M$324,11,FALSE),3),0)+IFERROR(ROUND(VLOOKUP($A94,S275_21,25,FALSE)*VLOOKUP($A94,'3121% SY'!$C$3:$M$324,11,FALSE),3),0)+IFERROR(VLOOKUP($A94,S275_09,9,FALSE),0)</f>
        <v>0</v>
      </c>
      <c r="W94" s="267">
        <f>IFERROR(VLOOKUP($A94,Supp_45,14,FALSE),0)+IFERROR(SUMPRODUCT(VLOOKUP($A94,S275_01,{26,27,28},FALSE)),0)+IFERROR(SUMPRODUCT(VLOOKUP($A94,S275_97,{26,27,28},FALSE)),0)+IFERROR(ROUND(VLOOKUP($A94,S275_21,26,FALSE)*VLOOKUP($A94,'3121% SY'!$C$3:$M$324,11,FALSE),3),0)+IFERROR(ROUND(VLOOKUP($A94,S275_21,27,FALSE)*VLOOKUP($A94,'3121% SY'!$C$3:$M$324,11,FALSE),3),0)+IFERROR(ROUND(VLOOKUP($A94,S275_21,28,FALSE)*VLOOKUP($A94,'3121% SY'!$C$3:$M$324,11,FALSE),3),0)+IFERROR(VLOOKUP($A94,S275_09,10,FALSE),0)</f>
        <v>6.3E-2</v>
      </c>
      <c r="X94" s="267">
        <f>IFERROR(VLOOKUP($A94,Supp_46,14,FALSE),0)+IFERROR(SUMPRODUCT(VLOOKUP($A94,S275_01,{29,30,31},FALSE)),0)+IFERROR(SUMPRODUCT(VLOOKUP($A94,S275_97,{29,30,31},FALSE)),0)+IFERROR(ROUND(VLOOKUP($A94,S275_21,29,FALSE)*VLOOKUP($A94,'3121% SY'!$C$3:$M$324,11,FALSE),3),0)+IFERROR(ROUND(VLOOKUP($A94,S275_21,30,FALSE)*VLOOKUP($A94,'3121% SY'!$C$3:$M$324,11,FALSE),3),0)+IFERROR(ROUND(VLOOKUP($A94,S275_21,31,FALSE)*VLOOKUP($A94,'3121% SY'!$C$3:$M$324,11,FALSE),3),0)+IFERROR(VLOOKUP($A94,S275_09,11,FALSE),0)</f>
        <v>1</v>
      </c>
      <c r="Y94" s="267">
        <f>IFERROR(VLOOKUP($A94,Supp_47,14,FALSE),0)+IFERROR(SUMPRODUCT(VLOOKUP($A94,S275_01,{32,33,34},FALSE)),0)+IFERROR(SUMPRODUCT(VLOOKUP($A94,S275_97,{32,33,34},FALSE)),0)+IFERROR(ROUND(VLOOKUP($A94,S275_21,32,FALSE)*VLOOKUP($A94,'3121% SY'!$C$3:$M$324,11,FALSE),3),0)+IFERROR(ROUND(VLOOKUP($A94,S275_21,33,FALSE)*VLOOKUP($A94,'3121% SY'!$C$3:$M$324,11,FALSE),3),0)+IFERROR(ROUND(VLOOKUP($A94,S275_21,34,FALSE)*VLOOKUP($A94,'3121% SY'!$C$3:$M$324,11,FALSE),3),0)+IFERROR(VLOOKUP($A94,S275_09,12,FALSE),0)</f>
        <v>0</v>
      </c>
      <c r="Z94" s="267">
        <f>IFERROR(VLOOKUP($A94,Supp_48,14,FALSE),0)+IFERROR(SUMPRODUCT(VLOOKUP($A94,S275_01,{35,36,37},FALSE)),0)+IFERROR(SUMPRODUCT(VLOOKUP($A94,S275_97,{35,36,37},FALSE)),0)+IFERROR(ROUND(VLOOKUP($A94,S275_21,35,FALSE)*VLOOKUP($A94,'3121% SY'!$C$3:$M$324,11,FALSE),3),0)+IFERROR(ROUND(VLOOKUP($A94,S275_21,36,FALSE)*VLOOKUP($A94,'3121% SY'!$C$3:$M$324,11,FALSE),3),0)+IFERROR(ROUND(VLOOKUP($A94,S275_21,37,FALSE)*VLOOKUP($A94,'3121% SY'!$C$3:$M$324,11,FALSE),3),0)+IFERROR(VLOOKUP($A94,S275_09,13,FALSE),0)</f>
        <v>0</v>
      </c>
      <c r="AA94" s="267">
        <f>IFERROR(VLOOKUP($A94,Supp_49,14,FALSE),0)+IFERROR(SUMPRODUCT(VLOOKUP($A94,S275_01,{38,39,40},FALSE)),0)+IFERROR(SUMPRODUCT(VLOOKUP($A94,S275_97,{38,39,40},FALSE)),0)+IFERROR(ROUND(VLOOKUP($A94,S275_21,38,FALSE)*VLOOKUP($A94,'3121% SY'!$C$3:$M$324,11,FALSE),3),0)+IFERROR(ROUND(VLOOKUP($A94,S275_21,39,FALSE)*VLOOKUP($A94,'3121% SY'!$C$3:$M$324,11,FALSE),3),0)+IFERROR(ROUND(VLOOKUP($A94,S275_21,40,FALSE)*VLOOKUP($A94,'3121% SY'!$C$3:$M$324,11,FALSE),3),0)+IFERROR(VLOOKUP($A94,S275_09,14,FALSE),0)</f>
        <v>0</v>
      </c>
      <c r="AB94" s="267">
        <f>IFERROR(VLOOKUP($A94,Supp_64,14,FALSE),0)+IFERROR(SUMPRODUCT(VLOOKUP($A94,S275_01,{41,42,43},FALSE)),0)+IFERROR(SUMPRODUCT(VLOOKUP($A94,S275_97,{41,42,43},FALSE)),0)+IFERROR(ROUND(VLOOKUP($A94,S275_21,41,FALSE)*VLOOKUP($A94,'3121% SY'!$C$3:$M$324,11,FALSE),3),0)+IFERROR(ROUND(VLOOKUP($A94,S275_21,42,FALSE)*VLOOKUP($A94,'3121% SY'!$C$3:$M$324,11,FALSE),3),0)+IFERROR(ROUND(VLOOKUP($A94,S275_21,43,FALSE)*VLOOKUP($A94,'3121% SY'!$C$3:$M$324,11,FALSE),3),0)+IFERROR(VLOOKUP($A94,S275_09,15,FALSE),0)</f>
        <v>0</v>
      </c>
      <c r="AC94" s="268">
        <f t="shared" si="25"/>
        <v>1.9610000000000001</v>
      </c>
      <c r="AD94" s="267">
        <f>IFERROR(VLOOKUP($A94,Supp_24,14,FALSE),0)+IFERROR(SUMPRODUCT(VLOOKUP($A94,S275_01,{2,3,4},FALSE)),0)+IFERROR(SUMPRODUCT(VLOOKUP($A94,S275_97,{2,3,4},FALSE)),0)+IFERROR(ROUND(VLOOKUP($A94,S275_21,2,FALSE)*VLOOKUP($A94,'3121% SY'!$C$3:$M$324,11,FALSE),3),0)+IFERROR(ROUND(VLOOKUP($A94,S275_21,3,FALSE)*VLOOKUP($A94,'3121% SY'!$C$3:$M$324,11,FALSE),3),0)+IFERROR(ROUND(VLOOKUP($A94,S275_21,4,FALSE)*VLOOKUP($A94,'3121% SY'!$C$3:$M$324,11,FALSE),3),0)+IFERROR(VLOOKUP($A94,S275_09,2,FALSE),0)</f>
        <v>0</v>
      </c>
      <c r="AE94" s="267">
        <f>IFERROR(VLOOKUP($A94,Supp_25,14,FALSE),0)+IFERROR(SUMPRODUCT(VLOOKUP($A94,S275_01,{5,6,7},FALSE)),0)+IFERROR(SUMPRODUCT(VLOOKUP($A94,S275_97,{5,6,7},FALSE)),0)+IFERROR(ROUND(VLOOKUP($A94,S275_21,5,FALSE)*VLOOKUP($A94,'3121% SY'!$C$3:$M$324,11,FALSE),3),0)+IFERROR(ROUND(VLOOKUP($A94,S275_21,6,FALSE)*VLOOKUP($A94,'3121% SY'!$C$3:$M$324,11,FALSE),3),0)+IFERROR(ROUND(VLOOKUP($A94,S275_21,7,FALSE)*VLOOKUP($A94,'3121% SY'!$C$3:$M$324,11,FALSE),3),0)+IFERROR(VLOOKUP($A94,S275_09,3,FALSE),0)</f>
        <v>0.72699999999999998</v>
      </c>
      <c r="AF94" s="267">
        <f>IFERROR(VLOOKUP($A94,Supp_26,14,FALSE),0)+IFERROR(SUMPRODUCT(VLOOKUP($A94,S275_01,{8,9,10},FALSE)),0)+IFERROR(SUMPRODUCT(VLOOKUP($A94,S275_97,{8,9,10},FALSE)),0)+IFERROR(ROUND(VLOOKUP($A94,S275_21,8,FALSE)*VLOOKUP($A94,'3121% SY'!$C$3:$M$324,11,FALSE),3),0)+IFERROR(ROUND(VLOOKUP($A94,S275_21,9,FALSE)*VLOOKUP($A94,'3121% SY'!$C$3:$M$324,11,FALSE),3),0)+IFERROR(ROUND(VLOOKUP($A94,S275_21,10,FALSE)*VLOOKUP($A94,'3121% SY'!$C$3:$M$324,11,FALSE),3),0)+IFERROR(VLOOKUP($A94,S275_09,4,FALSE),0)</f>
        <v>0.25800000000000001</v>
      </c>
      <c r="AG94" s="267">
        <f>IFERROR(VLOOKUP($A94,Supp_35,14,FALSE),0)+IFERROR(SUMPRODUCT(VLOOKUP($A94,S275_01,{11,12,13},FALSE)),0)+IFERROR(SUMPRODUCT(VLOOKUP($A94,S275_97,{11,12,13},FALSE)),0)+IFERROR(ROUND(VLOOKUP($A94,S275_21,11,FALSE)*VLOOKUP($A94,'3121% SY'!$C$3:$M$324,11,FALSE),3),0)+IFERROR(ROUND(VLOOKUP($A94,S275_21,12,FALSE)*VLOOKUP($A94,'3121% SY'!$C$3:$M$324,11,FALSE),3),0)+IFERROR(ROUND(VLOOKUP($A94,S275_21,13,FALSE)*VLOOKUP($A94,'3121% SY'!$C$3:$M$324,11,FALSE),3),0)+IFERROR(VLOOKUP($A94,S275_09,5,FALSE),0)</f>
        <v>0</v>
      </c>
      <c r="AH94" s="165">
        <f t="shared" si="26"/>
        <v>0.98499999999999999</v>
      </c>
      <c r="AI94" s="161">
        <f>IFERROR(VLOOKUP(A94,'Supp Staff Data'!A:ER,148,FALSE),0)+AB94</f>
        <v>0</v>
      </c>
      <c r="AJ94" s="174">
        <v>1</v>
      </c>
      <c r="AK94" s="25">
        <f>VLOOKUP(A94,'Enroll Data as of January 2025'!$A$3:$T$323,20,FALSE)-F94</f>
        <v>0</v>
      </c>
    </row>
    <row r="95" spans="1:37" x14ac:dyDescent="0.25">
      <c r="A95" s="171" t="s">
        <v>55</v>
      </c>
      <c r="B95" t="s">
        <v>351</v>
      </c>
      <c r="C95" s="173" t="s">
        <v>1077</v>
      </c>
      <c r="D95" s="259">
        <f t="shared" si="19"/>
        <v>0.20700000000000002</v>
      </c>
      <c r="E95" s="259">
        <f t="shared" si="20"/>
        <v>0.22900000000000001</v>
      </c>
      <c r="F95" s="262">
        <f t="shared" si="28"/>
        <v>2.1999999999999999E-2</v>
      </c>
      <c r="G95" s="161">
        <f>ROUND(IF(F95&lt;0,F95*'2024-25 PSES Compliance'!$G$13,0),3)</f>
        <v>0</v>
      </c>
      <c r="H95" s="161">
        <f>ROUND(IF(F95&lt;0,F95*'2024-25 PSES Compliance'!$G$14,0),3)</f>
        <v>0</v>
      </c>
      <c r="I95" s="174">
        <f t="shared" si="21"/>
        <v>0</v>
      </c>
      <c r="J95" s="174">
        <f t="shared" si="22"/>
        <v>0</v>
      </c>
      <c r="K95" s="161">
        <f>VLOOKUP($A95,'Enroll Data as of January 2025'!$A$3:$M$322,6,FALSE)</f>
        <v>9.5000000000000001E-2</v>
      </c>
      <c r="L95" s="161">
        <f>VLOOKUP($A95,'Enroll Data as of January 2025'!$A$3:$M$322,7,FALSE)</f>
        <v>0.03</v>
      </c>
      <c r="M95" s="161">
        <f>VLOOKUP($A95,'Enroll Data as of January 2025'!$A$3:$M$322,8,FALSE)</f>
        <v>0.01</v>
      </c>
      <c r="N95" s="161">
        <f>VLOOKUP($A95,'Enroll Data as of January 2025'!$A$3:$M$322,9,FALSE)</f>
        <v>5.6000000000000001E-2</v>
      </c>
      <c r="O95" s="165">
        <f t="shared" si="23"/>
        <v>0.191</v>
      </c>
      <c r="P95" s="161">
        <f>VLOOKUP($A95,'Enroll Data as of January 2025'!$A$3:$M$322,11,FALSE)</f>
        <v>8.0000000000000002E-3</v>
      </c>
      <c r="Q95" s="161">
        <f>VLOOKUP($A95,'Enroll Data as of January 2025'!$A$3:$M$322,12,FALSE)</f>
        <v>8.0000000000000002E-3</v>
      </c>
      <c r="R95" s="165">
        <f t="shared" si="24"/>
        <v>1.6E-2</v>
      </c>
      <c r="S95" s="267">
        <f>IFERROR(VLOOKUP($A95,Supp_39,14,FALSE),0)+IFERROR(SUMPRODUCT(VLOOKUP($A95,S275_01,{14,15,16},FALSE)),0)+IFERROR(SUMPRODUCT(VLOOKUP($A95,S275_97,{14,15,16},FALSE)),0)+IFERROR(ROUND(VLOOKUP($A95,S275_21,14,FALSE)*VLOOKUP($A95,'3121% SY'!$C$3:$M$324,11,FALSE),3),0)+IFERROR(ROUND(VLOOKUP($A95,S275_21,15,FALSE)*VLOOKUP($A95,'3121% SY'!$C$3:$M$324,11,FALSE),3),0)+IFERROR(ROUND(VLOOKUP($A95,S275_21,16,FALSE)*VLOOKUP($A95,'3121% SY'!$C$3:$M$324,11,FALSE),3),0)+IFERROR(VLOOKUP($A95,S275_09,6,FALSE),0)</f>
        <v>0</v>
      </c>
      <c r="T95" s="267">
        <f>IFERROR(VLOOKUP($A95,Supp_42,14,FALSE),0)+IFERROR(SUMPRODUCT(VLOOKUP($A95,S275_01,{17,18,19},FALSE)),0)+IFERROR(SUMPRODUCT(VLOOKUP($A95,S275_97,{17,18,19},FALSE)),0)+IFERROR(ROUND(VLOOKUP($A95,S275_21,17,FALSE)*VLOOKUP($A95,'3121% SY'!$C$3:$M$324,11,FALSE),3),0)+IFERROR(ROUND(VLOOKUP($A95,S275_21,18,FALSE)*VLOOKUP($A95,'3121% SY'!$C$3:$M$324,11,FALSE),3),0)+IFERROR(ROUND(VLOOKUP($A95,S275_21,19,FALSE)*VLOOKUP($A95,'3121% SY'!$C$3:$M$324,11,FALSE),3),0)+IFERROR(VLOOKUP($A95,S275_09,7,FALSE),0)</f>
        <v>0</v>
      </c>
      <c r="U95" s="267">
        <f>IFERROR(VLOOKUP($A95,Supp_43,14,FALSE),0)+IFERROR(SUMPRODUCT(VLOOKUP($A95,S275_01,{20,21,22},FALSE)),0)+IFERROR(SUMPRODUCT(VLOOKUP($A95,S275_97,{20,21,22},FALSE)),0)+IFERROR(ROUND(VLOOKUP($A95,S275_21,20,FALSE)*VLOOKUP($A95,'3121% SY'!$C$3:$M$324,11,FALSE),3),0)+IFERROR(ROUND(VLOOKUP($A95,S275_21,21,FALSE)*VLOOKUP($A95,'3121% SY'!$C$3:$M$324,11,FALSE),3),0)+IFERROR(ROUND(VLOOKUP($A95,S275_21,22,FALSE)*VLOOKUP($A95,'3121% SY'!$C$3:$M$324,11,FALSE),3),0)+IFERROR(VLOOKUP($A95,S275_09,8,FALSE),0)</f>
        <v>0</v>
      </c>
      <c r="V95" s="267">
        <f>IFERROR(VLOOKUP($A95,Supp_44,14,FALSE),0)+IFERROR(SUMPRODUCT(VLOOKUP($A95,S275_01,{23,24,25},FALSE)),0)+IFERROR(SUMPRODUCT(VLOOKUP($A95,S275_97,{23,24,25},FALSE)),0)+IFERROR(ROUND(VLOOKUP($A95,S275_21,23,FALSE)*VLOOKUP($A95,'3121% SY'!$C$3:$M$324,11,FALSE),3),0)+IFERROR(ROUND(VLOOKUP($A95,S275_21,24,FALSE)*VLOOKUP($A95,'3121% SY'!$C$3:$M$324,11,FALSE),3),0)+IFERROR(ROUND(VLOOKUP($A95,S275_21,25,FALSE)*VLOOKUP($A95,'3121% SY'!$C$3:$M$324,11,FALSE),3),0)+IFERROR(VLOOKUP($A95,S275_09,9,FALSE),0)</f>
        <v>0</v>
      </c>
      <c r="W95" s="267">
        <f>IFERROR(VLOOKUP($A95,Supp_45,14,FALSE),0)+IFERROR(SUMPRODUCT(VLOOKUP($A95,S275_01,{26,27,28},FALSE)),0)+IFERROR(SUMPRODUCT(VLOOKUP($A95,S275_97,{26,27,28},FALSE)),0)+IFERROR(ROUND(VLOOKUP($A95,S275_21,26,FALSE)*VLOOKUP($A95,'3121% SY'!$C$3:$M$324,11,FALSE),3),0)+IFERROR(ROUND(VLOOKUP($A95,S275_21,27,FALSE)*VLOOKUP($A95,'3121% SY'!$C$3:$M$324,11,FALSE),3),0)+IFERROR(ROUND(VLOOKUP($A95,S275_21,28,FALSE)*VLOOKUP($A95,'3121% SY'!$C$3:$M$324,11,FALSE),3),0)+IFERROR(VLOOKUP($A95,S275_09,10,FALSE),0)</f>
        <v>0</v>
      </c>
      <c r="X95" s="267">
        <f>IFERROR(VLOOKUP($A95,Supp_46,14,FALSE),0)+IFERROR(SUMPRODUCT(VLOOKUP($A95,S275_01,{29,30,31},FALSE)),0)+IFERROR(SUMPRODUCT(VLOOKUP($A95,S275_97,{29,30,31},FALSE)),0)+IFERROR(ROUND(VLOOKUP($A95,S275_21,29,FALSE)*VLOOKUP($A95,'3121% SY'!$C$3:$M$324,11,FALSE),3),0)+IFERROR(ROUND(VLOOKUP($A95,S275_21,30,FALSE)*VLOOKUP($A95,'3121% SY'!$C$3:$M$324,11,FALSE),3),0)+IFERROR(ROUND(VLOOKUP($A95,S275_21,31,FALSE)*VLOOKUP($A95,'3121% SY'!$C$3:$M$324,11,FALSE),3),0)+IFERROR(VLOOKUP($A95,S275_09,11,FALSE),0)</f>
        <v>0</v>
      </c>
      <c r="Y95" s="267">
        <f>IFERROR(VLOOKUP($A95,Supp_47,14,FALSE),0)+IFERROR(SUMPRODUCT(VLOOKUP($A95,S275_01,{32,33,34},FALSE)),0)+IFERROR(SUMPRODUCT(VLOOKUP($A95,S275_97,{32,33,34},FALSE)),0)+IFERROR(ROUND(VLOOKUP($A95,S275_21,32,FALSE)*VLOOKUP($A95,'3121% SY'!$C$3:$M$324,11,FALSE),3),0)+IFERROR(ROUND(VLOOKUP($A95,S275_21,33,FALSE)*VLOOKUP($A95,'3121% SY'!$C$3:$M$324,11,FALSE),3),0)+IFERROR(ROUND(VLOOKUP($A95,S275_21,34,FALSE)*VLOOKUP($A95,'3121% SY'!$C$3:$M$324,11,FALSE),3),0)+IFERROR(VLOOKUP($A95,S275_09,12,FALSE),0)</f>
        <v>0</v>
      </c>
      <c r="Z95" s="267">
        <f>IFERROR(VLOOKUP($A95,Supp_48,14,FALSE),0)+IFERROR(SUMPRODUCT(VLOOKUP($A95,S275_01,{35,36,37},FALSE)),0)+IFERROR(SUMPRODUCT(VLOOKUP($A95,S275_97,{35,36,37},FALSE)),0)+IFERROR(ROUND(VLOOKUP($A95,S275_21,35,FALSE)*VLOOKUP($A95,'3121% SY'!$C$3:$M$324,11,FALSE),3),0)+IFERROR(ROUND(VLOOKUP($A95,S275_21,36,FALSE)*VLOOKUP($A95,'3121% SY'!$C$3:$M$324,11,FALSE),3),0)+IFERROR(ROUND(VLOOKUP($A95,S275_21,37,FALSE)*VLOOKUP($A95,'3121% SY'!$C$3:$M$324,11,FALSE),3),0)+IFERROR(VLOOKUP($A95,S275_09,13,FALSE),0)</f>
        <v>0</v>
      </c>
      <c r="AA95" s="267">
        <f>IFERROR(VLOOKUP($A95,Supp_49,14,FALSE),0)+IFERROR(SUMPRODUCT(VLOOKUP($A95,S275_01,{38,39,40},FALSE)),0)+IFERROR(SUMPRODUCT(VLOOKUP($A95,S275_97,{38,39,40},FALSE)),0)+IFERROR(ROUND(VLOOKUP($A95,S275_21,38,FALSE)*VLOOKUP($A95,'3121% SY'!$C$3:$M$324,11,FALSE),3),0)+IFERROR(ROUND(VLOOKUP($A95,S275_21,39,FALSE)*VLOOKUP($A95,'3121% SY'!$C$3:$M$324,11,FALSE),3),0)+IFERROR(ROUND(VLOOKUP($A95,S275_21,40,FALSE)*VLOOKUP($A95,'3121% SY'!$C$3:$M$324,11,FALSE),3),0)+IFERROR(VLOOKUP($A95,S275_09,14,FALSE),0)</f>
        <v>0</v>
      </c>
      <c r="AB95" s="267">
        <f>IFERROR(VLOOKUP($A95,Supp_64,14,FALSE),0)+IFERROR(SUMPRODUCT(VLOOKUP($A95,S275_01,{41,42,43},FALSE)),0)+IFERROR(SUMPRODUCT(VLOOKUP($A95,S275_97,{41,42,43},FALSE)),0)+IFERROR(ROUND(VLOOKUP($A95,S275_21,41,FALSE)*VLOOKUP($A95,'3121% SY'!$C$3:$M$324,11,FALSE),3),0)+IFERROR(ROUND(VLOOKUP($A95,S275_21,42,FALSE)*VLOOKUP($A95,'3121% SY'!$C$3:$M$324,11,FALSE),3),0)+IFERROR(ROUND(VLOOKUP($A95,S275_21,43,FALSE)*VLOOKUP($A95,'3121% SY'!$C$3:$M$324,11,FALSE),3),0)+IFERROR(VLOOKUP($A95,S275_09,15,FALSE),0)</f>
        <v>0</v>
      </c>
      <c r="AC95" s="268">
        <f t="shared" si="25"/>
        <v>0</v>
      </c>
      <c r="AD95" s="267">
        <f>IFERROR(VLOOKUP($A95,Supp_24,14,FALSE),0)+IFERROR(SUMPRODUCT(VLOOKUP($A95,S275_01,{2,3,4},FALSE)),0)+IFERROR(SUMPRODUCT(VLOOKUP($A95,S275_97,{2,3,4},FALSE)),0)+IFERROR(ROUND(VLOOKUP($A95,S275_21,2,FALSE)*VLOOKUP($A95,'3121% SY'!$C$3:$M$324,11,FALSE),3),0)+IFERROR(ROUND(VLOOKUP($A95,S275_21,3,FALSE)*VLOOKUP($A95,'3121% SY'!$C$3:$M$324,11,FALSE),3),0)+IFERROR(ROUND(VLOOKUP($A95,S275_21,4,FALSE)*VLOOKUP($A95,'3121% SY'!$C$3:$M$324,11,FALSE),3),0)+IFERROR(VLOOKUP($A95,S275_09,2,FALSE),0)</f>
        <v>0</v>
      </c>
      <c r="AE95" s="267">
        <f>IFERROR(VLOOKUP($A95,Supp_25,14,FALSE),0)+IFERROR(SUMPRODUCT(VLOOKUP($A95,S275_01,{5,6,7},FALSE)),0)+IFERROR(SUMPRODUCT(VLOOKUP($A95,S275_97,{5,6,7},FALSE)),0)+IFERROR(ROUND(VLOOKUP($A95,S275_21,5,FALSE)*VLOOKUP($A95,'3121% SY'!$C$3:$M$324,11,FALSE),3),0)+IFERROR(ROUND(VLOOKUP($A95,S275_21,6,FALSE)*VLOOKUP($A95,'3121% SY'!$C$3:$M$324,11,FALSE),3),0)+IFERROR(ROUND(VLOOKUP($A95,S275_21,7,FALSE)*VLOOKUP($A95,'3121% SY'!$C$3:$M$324,11,FALSE),3),0)+IFERROR(VLOOKUP($A95,S275_09,3,FALSE),0)</f>
        <v>0</v>
      </c>
      <c r="AF95" s="267">
        <f>IFERROR(VLOOKUP($A95,Supp_26,14,FALSE),0)+IFERROR(SUMPRODUCT(VLOOKUP($A95,S275_01,{8,9,10},FALSE)),0)+IFERROR(SUMPRODUCT(VLOOKUP($A95,S275_97,{8,9,10},FALSE)),0)+IFERROR(ROUND(VLOOKUP($A95,S275_21,8,FALSE)*VLOOKUP($A95,'3121% SY'!$C$3:$M$324,11,FALSE),3),0)+IFERROR(ROUND(VLOOKUP($A95,S275_21,9,FALSE)*VLOOKUP($A95,'3121% SY'!$C$3:$M$324,11,FALSE),3),0)+IFERROR(ROUND(VLOOKUP($A95,S275_21,10,FALSE)*VLOOKUP($A95,'3121% SY'!$C$3:$M$324,11,FALSE),3),0)+IFERROR(VLOOKUP($A95,S275_09,4,FALSE),0)</f>
        <v>0.22900000000000001</v>
      </c>
      <c r="AG95" s="267">
        <f>IFERROR(VLOOKUP($A95,Supp_35,14,FALSE),0)+IFERROR(SUMPRODUCT(VLOOKUP($A95,S275_01,{11,12,13},FALSE)),0)+IFERROR(SUMPRODUCT(VLOOKUP($A95,S275_97,{11,12,13},FALSE)),0)+IFERROR(ROUND(VLOOKUP($A95,S275_21,11,FALSE)*VLOOKUP($A95,'3121% SY'!$C$3:$M$324,11,FALSE),3),0)+IFERROR(ROUND(VLOOKUP($A95,S275_21,12,FALSE)*VLOOKUP($A95,'3121% SY'!$C$3:$M$324,11,FALSE),3),0)+IFERROR(ROUND(VLOOKUP($A95,S275_21,13,FALSE)*VLOOKUP($A95,'3121% SY'!$C$3:$M$324,11,FALSE),3),0)+IFERROR(VLOOKUP($A95,S275_09,5,FALSE),0)</f>
        <v>0</v>
      </c>
      <c r="AH95" s="165">
        <f t="shared" si="26"/>
        <v>0.22900000000000001</v>
      </c>
      <c r="AI95" s="161">
        <f>IFERROR(VLOOKUP(A95,'Supp Staff Data'!A:ER,148,FALSE),0)+AB95</f>
        <v>0</v>
      </c>
      <c r="AJ95" s="174">
        <v>1</v>
      </c>
      <c r="AK95" s="25">
        <f>VLOOKUP(A95,'Enroll Data as of January 2025'!$A$3:$T$323,20,FALSE)-F95</f>
        <v>0</v>
      </c>
    </row>
    <row r="96" spans="1:37" x14ac:dyDescent="0.25">
      <c r="A96" s="171" t="s">
        <v>248</v>
      </c>
      <c r="B96" t="s">
        <v>544</v>
      </c>
      <c r="C96" s="173" t="s">
        <v>1078</v>
      </c>
      <c r="D96" s="259">
        <f t="shared" si="19"/>
        <v>0.60499999999999998</v>
      </c>
      <c r="E96" s="259">
        <f t="shared" si="20"/>
        <v>0.38500000000000001</v>
      </c>
      <c r="F96" s="262">
        <f t="shared" si="28"/>
        <v>-0.22</v>
      </c>
      <c r="G96" s="161">
        <f>ROUND(IF(F96&lt;0,F96*'2024-25 PSES Compliance'!$G$13,0),3)</f>
        <v>-0.21099999999999999</v>
      </c>
      <c r="H96" s="161">
        <f>ROUND(IF(F96&lt;0,F96*'2024-25 PSES Compliance'!$G$14,0),3)</f>
        <v>-8.9999999999999993E-3</v>
      </c>
      <c r="I96" s="174">
        <f t="shared" si="21"/>
        <v>1</v>
      </c>
      <c r="J96" s="174">
        <f t="shared" si="22"/>
        <v>0</v>
      </c>
      <c r="K96" s="161">
        <f>VLOOKUP($A96,'Enroll Data as of January 2025'!$A$3:$M$322,6,FALSE)</f>
        <v>0.34199999999999997</v>
      </c>
      <c r="L96" s="161">
        <f>VLOOKUP($A96,'Enroll Data as of January 2025'!$A$3:$M$322,7,FALSE)</f>
        <v>5.3999999999999999E-2</v>
      </c>
      <c r="M96" s="161">
        <f>VLOOKUP($A96,'Enroll Data as of January 2025'!$A$3:$M$322,8,FALSE)</f>
        <v>1.8000000000000002E-2</v>
      </c>
      <c r="N96" s="161">
        <f>VLOOKUP($A96,'Enroll Data as of January 2025'!$A$3:$M$322,9,FALSE)</f>
        <v>0.157</v>
      </c>
      <c r="O96" s="165">
        <f t="shared" si="23"/>
        <v>0.57099999999999995</v>
      </c>
      <c r="P96" s="161">
        <f>VLOOKUP($A96,'Enroll Data as of January 2025'!$A$3:$M$322,11,FALSE)</f>
        <v>2.1999999999999999E-2</v>
      </c>
      <c r="Q96" s="161">
        <f>VLOOKUP($A96,'Enroll Data as of January 2025'!$A$3:$M$322,12,FALSE)</f>
        <v>1.2E-2</v>
      </c>
      <c r="R96" s="165">
        <f t="shared" si="24"/>
        <v>3.4000000000000002E-2</v>
      </c>
      <c r="S96" s="267">
        <f>IFERROR(VLOOKUP($A96,Supp_39,14,FALSE),0)+IFERROR(SUMPRODUCT(VLOOKUP($A96,S275_01,{14,15,16},FALSE)),0)+IFERROR(SUMPRODUCT(VLOOKUP($A96,S275_97,{14,15,16},FALSE)),0)+IFERROR(ROUND(VLOOKUP($A96,S275_21,14,FALSE)*VLOOKUP($A96,'3121% SY'!$C$3:$M$324,11,FALSE),3),0)+IFERROR(ROUND(VLOOKUP($A96,S275_21,15,FALSE)*VLOOKUP($A96,'3121% SY'!$C$3:$M$324,11,FALSE),3),0)+IFERROR(ROUND(VLOOKUP($A96,S275_21,16,FALSE)*VLOOKUP($A96,'3121% SY'!$C$3:$M$324,11,FALSE),3),0)+IFERROR(VLOOKUP($A96,S275_09,6,FALSE),0)</f>
        <v>0.15</v>
      </c>
      <c r="T96" s="267">
        <f>IFERROR(VLOOKUP($A96,Supp_42,14,FALSE),0)+IFERROR(SUMPRODUCT(VLOOKUP($A96,S275_01,{17,18,19},FALSE)),0)+IFERROR(SUMPRODUCT(VLOOKUP($A96,S275_97,{17,18,19},FALSE)),0)+IFERROR(ROUND(VLOOKUP($A96,S275_21,17,FALSE)*VLOOKUP($A96,'3121% SY'!$C$3:$M$324,11,FALSE),3),0)+IFERROR(ROUND(VLOOKUP($A96,S275_21,18,FALSE)*VLOOKUP($A96,'3121% SY'!$C$3:$M$324,11,FALSE),3),0)+IFERROR(ROUND(VLOOKUP($A96,S275_21,19,FALSE)*VLOOKUP($A96,'3121% SY'!$C$3:$M$324,11,FALSE),3),0)+IFERROR(VLOOKUP($A96,S275_09,7,FALSE),0)</f>
        <v>0</v>
      </c>
      <c r="U96" s="267">
        <f>IFERROR(VLOOKUP($A96,Supp_43,14,FALSE),0)+IFERROR(SUMPRODUCT(VLOOKUP($A96,S275_01,{20,21,22},FALSE)),0)+IFERROR(SUMPRODUCT(VLOOKUP($A96,S275_97,{20,21,22},FALSE)),0)+IFERROR(ROUND(VLOOKUP($A96,S275_21,20,FALSE)*VLOOKUP($A96,'3121% SY'!$C$3:$M$324,11,FALSE),3),0)+IFERROR(ROUND(VLOOKUP($A96,S275_21,21,FALSE)*VLOOKUP($A96,'3121% SY'!$C$3:$M$324,11,FALSE),3),0)+IFERROR(ROUND(VLOOKUP($A96,S275_21,22,FALSE)*VLOOKUP($A96,'3121% SY'!$C$3:$M$324,11,FALSE),3),0)+IFERROR(VLOOKUP($A96,S275_09,8,FALSE),0)</f>
        <v>0</v>
      </c>
      <c r="V96" s="267">
        <f>IFERROR(VLOOKUP($A96,Supp_44,14,FALSE),0)+IFERROR(SUMPRODUCT(VLOOKUP($A96,S275_01,{23,24,25},FALSE)),0)+IFERROR(SUMPRODUCT(VLOOKUP($A96,S275_97,{23,24,25},FALSE)),0)+IFERROR(ROUND(VLOOKUP($A96,S275_21,23,FALSE)*VLOOKUP($A96,'3121% SY'!$C$3:$M$324,11,FALSE),3),0)+IFERROR(ROUND(VLOOKUP($A96,S275_21,24,FALSE)*VLOOKUP($A96,'3121% SY'!$C$3:$M$324,11,FALSE),3),0)+IFERROR(ROUND(VLOOKUP($A96,S275_21,25,FALSE)*VLOOKUP($A96,'3121% SY'!$C$3:$M$324,11,FALSE),3),0)+IFERROR(VLOOKUP($A96,S275_09,9,FALSE),0)</f>
        <v>0</v>
      </c>
      <c r="W96" s="267">
        <f>IFERROR(VLOOKUP($A96,Supp_45,14,FALSE),0)+IFERROR(SUMPRODUCT(VLOOKUP($A96,S275_01,{26,27,28},FALSE)),0)+IFERROR(SUMPRODUCT(VLOOKUP($A96,S275_97,{26,27,28},FALSE)),0)+IFERROR(ROUND(VLOOKUP($A96,S275_21,26,FALSE)*VLOOKUP($A96,'3121% SY'!$C$3:$M$324,11,FALSE),3),0)+IFERROR(ROUND(VLOOKUP($A96,S275_21,27,FALSE)*VLOOKUP($A96,'3121% SY'!$C$3:$M$324,11,FALSE),3),0)+IFERROR(ROUND(VLOOKUP($A96,S275_21,28,FALSE)*VLOOKUP($A96,'3121% SY'!$C$3:$M$324,11,FALSE),3),0)+IFERROR(VLOOKUP($A96,S275_09,10,FALSE),0)</f>
        <v>0</v>
      </c>
      <c r="X96" s="267">
        <f>IFERROR(VLOOKUP($A96,Supp_46,14,FALSE),0)+IFERROR(SUMPRODUCT(VLOOKUP($A96,S275_01,{29,30,31},FALSE)),0)+IFERROR(SUMPRODUCT(VLOOKUP($A96,S275_97,{29,30,31},FALSE)),0)+IFERROR(ROUND(VLOOKUP($A96,S275_21,29,FALSE)*VLOOKUP($A96,'3121% SY'!$C$3:$M$324,11,FALSE),3),0)+IFERROR(ROUND(VLOOKUP($A96,S275_21,30,FALSE)*VLOOKUP($A96,'3121% SY'!$C$3:$M$324,11,FALSE),3),0)+IFERROR(ROUND(VLOOKUP($A96,S275_21,31,FALSE)*VLOOKUP($A96,'3121% SY'!$C$3:$M$324,11,FALSE),3),0)+IFERROR(VLOOKUP($A96,S275_09,11,FALSE),0)</f>
        <v>0.2</v>
      </c>
      <c r="Y96" s="267">
        <f>IFERROR(VLOOKUP($A96,Supp_47,14,FALSE),0)+IFERROR(SUMPRODUCT(VLOOKUP($A96,S275_01,{32,33,34},FALSE)),0)+IFERROR(SUMPRODUCT(VLOOKUP($A96,S275_97,{32,33,34},FALSE)),0)+IFERROR(ROUND(VLOOKUP($A96,S275_21,32,FALSE)*VLOOKUP($A96,'3121% SY'!$C$3:$M$324,11,FALSE),3),0)+IFERROR(ROUND(VLOOKUP($A96,S275_21,33,FALSE)*VLOOKUP($A96,'3121% SY'!$C$3:$M$324,11,FALSE),3),0)+IFERROR(ROUND(VLOOKUP($A96,S275_21,34,FALSE)*VLOOKUP($A96,'3121% SY'!$C$3:$M$324,11,FALSE),3),0)+IFERROR(VLOOKUP($A96,S275_09,12,FALSE),0)</f>
        <v>3.5000000000000003E-2</v>
      </c>
      <c r="Z96" s="267">
        <f>IFERROR(VLOOKUP($A96,Supp_48,14,FALSE),0)+IFERROR(SUMPRODUCT(VLOOKUP($A96,S275_01,{35,36,37},FALSE)),0)+IFERROR(SUMPRODUCT(VLOOKUP($A96,S275_97,{35,36,37},FALSE)),0)+IFERROR(ROUND(VLOOKUP($A96,S275_21,35,FALSE)*VLOOKUP($A96,'3121% SY'!$C$3:$M$324,11,FALSE),3),0)+IFERROR(ROUND(VLOOKUP($A96,S275_21,36,FALSE)*VLOOKUP($A96,'3121% SY'!$C$3:$M$324,11,FALSE),3),0)+IFERROR(ROUND(VLOOKUP($A96,S275_21,37,FALSE)*VLOOKUP($A96,'3121% SY'!$C$3:$M$324,11,FALSE),3),0)+IFERROR(VLOOKUP($A96,S275_09,13,FALSE),0)</f>
        <v>0</v>
      </c>
      <c r="AA96" s="267">
        <f>IFERROR(VLOOKUP($A96,Supp_49,14,FALSE),0)+IFERROR(SUMPRODUCT(VLOOKUP($A96,S275_01,{38,39,40},FALSE)),0)+IFERROR(SUMPRODUCT(VLOOKUP($A96,S275_97,{38,39,40},FALSE)),0)+IFERROR(ROUND(VLOOKUP($A96,S275_21,38,FALSE)*VLOOKUP($A96,'3121% SY'!$C$3:$M$324,11,FALSE),3),0)+IFERROR(ROUND(VLOOKUP($A96,S275_21,39,FALSE)*VLOOKUP($A96,'3121% SY'!$C$3:$M$324,11,FALSE),3),0)+IFERROR(ROUND(VLOOKUP($A96,S275_21,40,FALSE)*VLOOKUP($A96,'3121% SY'!$C$3:$M$324,11,FALSE),3),0)+IFERROR(VLOOKUP($A96,S275_09,14,FALSE),0)</f>
        <v>0</v>
      </c>
      <c r="AB96" s="267">
        <f>IFERROR(VLOOKUP($A96,Supp_64,14,FALSE),0)+IFERROR(SUMPRODUCT(VLOOKUP($A96,S275_01,{41,42,43},FALSE)),0)+IFERROR(SUMPRODUCT(VLOOKUP($A96,S275_97,{41,42,43},FALSE)),0)+IFERROR(ROUND(VLOOKUP($A96,S275_21,41,FALSE)*VLOOKUP($A96,'3121% SY'!$C$3:$M$324,11,FALSE),3),0)+IFERROR(ROUND(VLOOKUP($A96,S275_21,42,FALSE)*VLOOKUP($A96,'3121% SY'!$C$3:$M$324,11,FALSE),3),0)+IFERROR(ROUND(VLOOKUP($A96,S275_21,43,FALSE)*VLOOKUP($A96,'3121% SY'!$C$3:$M$324,11,FALSE),3),0)+IFERROR(VLOOKUP($A96,S275_09,15,FALSE),0)</f>
        <v>0</v>
      </c>
      <c r="AC96" s="268">
        <f t="shared" si="25"/>
        <v>0.38500000000000001</v>
      </c>
      <c r="AD96" s="267">
        <f>IFERROR(VLOOKUP($A96,Supp_24,14,FALSE),0)+IFERROR(SUMPRODUCT(VLOOKUP($A96,S275_01,{2,3,4},FALSE)),0)+IFERROR(SUMPRODUCT(VLOOKUP($A96,S275_97,{2,3,4},FALSE)),0)+IFERROR(ROUND(VLOOKUP($A96,S275_21,2,FALSE)*VLOOKUP($A96,'3121% SY'!$C$3:$M$324,11,FALSE),3),0)+IFERROR(ROUND(VLOOKUP($A96,S275_21,3,FALSE)*VLOOKUP($A96,'3121% SY'!$C$3:$M$324,11,FALSE),3),0)+IFERROR(ROUND(VLOOKUP($A96,S275_21,4,FALSE)*VLOOKUP($A96,'3121% SY'!$C$3:$M$324,11,FALSE),3),0)+IFERROR(VLOOKUP($A96,S275_09,2,FALSE),0)</f>
        <v>0</v>
      </c>
      <c r="AE96" s="267">
        <f>IFERROR(VLOOKUP($A96,Supp_25,14,FALSE),0)+IFERROR(SUMPRODUCT(VLOOKUP($A96,S275_01,{5,6,7},FALSE)),0)+IFERROR(SUMPRODUCT(VLOOKUP($A96,S275_97,{5,6,7},FALSE)),0)+IFERROR(ROUND(VLOOKUP($A96,S275_21,5,FALSE)*VLOOKUP($A96,'3121% SY'!$C$3:$M$324,11,FALSE),3),0)+IFERROR(ROUND(VLOOKUP($A96,S275_21,6,FALSE)*VLOOKUP($A96,'3121% SY'!$C$3:$M$324,11,FALSE),3),0)+IFERROR(ROUND(VLOOKUP($A96,S275_21,7,FALSE)*VLOOKUP($A96,'3121% SY'!$C$3:$M$324,11,FALSE),3),0)+IFERROR(VLOOKUP($A96,S275_09,3,FALSE),0)</f>
        <v>0</v>
      </c>
      <c r="AF96" s="267">
        <f>IFERROR(VLOOKUP($A96,Supp_26,14,FALSE),0)+IFERROR(SUMPRODUCT(VLOOKUP($A96,S275_01,{8,9,10},FALSE)),0)+IFERROR(SUMPRODUCT(VLOOKUP($A96,S275_97,{8,9,10},FALSE)),0)+IFERROR(ROUND(VLOOKUP($A96,S275_21,8,FALSE)*VLOOKUP($A96,'3121% SY'!$C$3:$M$324,11,FALSE),3),0)+IFERROR(ROUND(VLOOKUP($A96,S275_21,9,FALSE)*VLOOKUP($A96,'3121% SY'!$C$3:$M$324,11,FALSE),3),0)+IFERROR(ROUND(VLOOKUP($A96,S275_21,10,FALSE)*VLOOKUP($A96,'3121% SY'!$C$3:$M$324,11,FALSE),3),0)+IFERROR(VLOOKUP($A96,S275_09,4,FALSE),0)</f>
        <v>0</v>
      </c>
      <c r="AG96" s="267">
        <f>IFERROR(VLOOKUP($A96,Supp_35,14,FALSE),0)+IFERROR(SUMPRODUCT(VLOOKUP($A96,S275_01,{11,12,13},FALSE)),0)+IFERROR(SUMPRODUCT(VLOOKUP($A96,S275_97,{11,12,13},FALSE)),0)+IFERROR(ROUND(VLOOKUP($A96,S275_21,11,FALSE)*VLOOKUP($A96,'3121% SY'!$C$3:$M$324,11,FALSE),3),0)+IFERROR(ROUND(VLOOKUP($A96,S275_21,12,FALSE)*VLOOKUP($A96,'3121% SY'!$C$3:$M$324,11,FALSE),3),0)+IFERROR(ROUND(VLOOKUP($A96,S275_21,13,FALSE)*VLOOKUP($A96,'3121% SY'!$C$3:$M$324,11,FALSE),3),0)+IFERROR(VLOOKUP($A96,S275_09,5,FALSE),0)</f>
        <v>0</v>
      </c>
      <c r="AH96" s="165">
        <f t="shared" si="26"/>
        <v>0</v>
      </c>
      <c r="AI96" s="161">
        <f>IFERROR(VLOOKUP(A96,'Supp Staff Data'!A:ER,148,FALSE),0)+AB96</f>
        <v>0</v>
      </c>
      <c r="AJ96" s="174">
        <v>1</v>
      </c>
      <c r="AK96" s="25">
        <f>VLOOKUP(A96,'Enroll Data as of January 2025'!$A$3:$T$323,20,FALSE)-F96</f>
        <v>0</v>
      </c>
    </row>
    <row r="97" spans="1:37" x14ac:dyDescent="0.25">
      <c r="A97" s="171" t="s">
        <v>73</v>
      </c>
      <c r="B97" t="s">
        <v>369</v>
      </c>
      <c r="C97" s="173" t="s">
        <v>1077</v>
      </c>
      <c r="D97" s="259">
        <f t="shared" si="19"/>
        <v>0.629</v>
      </c>
      <c r="E97" s="259">
        <f t="shared" si="20"/>
        <v>0.58399999999999996</v>
      </c>
      <c r="F97" s="262">
        <f t="shared" si="28"/>
        <v>-4.4999999999999998E-2</v>
      </c>
      <c r="G97" s="161">
        <f>ROUND(IF(F97&lt;0,F97*'2024-25 PSES Compliance'!$G$13,0),3)</f>
        <v>-4.2999999999999997E-2</v>
      </c>
      <c r="H97" s="161">
        <f>ROUND(IF(F97&lt;0,F97*'2024-25 PSES Compliance'!$G$14,0),3)</f>
        <v>-2E-3</v>
      </c>
      <c r="I97" s="174">
        <f t="shared" si="21"/>
        <v>0</v>
      </c>
      <c r="J97" s="174">
        <f t="shared" si="22"/>
        <v>0</v>
      </c>
      <c r="K97" s="161">
        <f>VLOOKUP($A97,'Enroll Data as of January 2025'!$A$3:$M$322,6,FALSE)</f>
        <v>0.35899999999999999</v>
      </c>
      <c r="L97" s="161">
        <f>VLOOKUP($A97,'Enroll Data as of January 2025'!$A$3:$M$322,7,FALSE)</f>
        <v>5.6000000000000001E-2</v>
      </c>
      <c r="M97" s="161">
        <f>VLOOKUP($A97,'Enroll Data as of January 2025'!$A$3:$M$322,8,FALSE)</f>
        <v>1.9000000000000003E-2</v>
      </c>
      <c r="N97" s="161">
        <f>VLOOKUP($A97,'Enroll Data as of January 2025'!$A$3:$M$322,9,FALSE)</f>
        <v>0.16</v>
      </c>
      <c r="O97" s="165">
        <f t="shared" si="23"/>
        <v>0.59399999999999997</v>
      </c>
      <c r="P97" s="161">
        <f>VLOOKUP($A97,'Enroll Data as of January 2025'!$A$3:$M$322,11,FALSE)</f>
        <v>2.1999999999999999E-2</v>
      </c>
      <c r="Q97" s="161">
        <f>VLOOKUP($A97,'Enroll Data as of January 2025'!$A$3:$M$322,12,FALSE)</f>
        <v>1.2999999999999999E-2</v>
      </c>
      <c r="R97" s="165">
        <f t="shared" si="24"/>
        <v>3.4999999999999996E-2</v>
      </c>
      <c r="S97" s="267">
        <f>IFERROR(VLOOKUP($A97,Supp_39,14,FALSE),0)+IFERROR(SUMPRODUCT(VLOOKUP($A97,S275_01,{14,15,16},FALSE)),0)+IFERROR(SUMPRODUCT(VLOOKUP($A97,S275_97,{14,15,16},FALSE)),0)+IFERROR(ROUND(VLOOKUP($A97,S275_21,14,FALSE)*VLOOKUP($A97,'3121% SY'!$C$3:$M$324,11,FALSE),3),0)+IFERROR(ROUND(VLOOKUP($A97,S275_21,15,FALSE)*VLOOKUP($A97,'3121% SY'!$C$3:$M$324,11,FALSE),3),0)+IFERROR(ROUND(VLOOKUP($A97,S275_21,16,FALSE)*VLOOKUP($A97,'3121% SY'!$C$3:$M$324,11,FALSE),3),0)+IFERROR(VLOOKUP($A97,S275_09,6,FALSE),0)</f>
        <v>0</v>
      </c>
      <c r="T97" s="267">
        <f>IFERROR(VLOOKUP($A97,Supp_42,14,FALSE),0)+IFERROR(SUMPRODUCT(VLOOKUP($A97,S275_01,{17,18,19},FALSE)),0)+IFERROR(SUMPRODUCT(VLOOKUP($A97,S275_97,{17,18,19},FALSE)),0)+IFERROR(ROUND(VLOOKUP($A97,S275_21,17,FALSE)*VLOOKUP($A97,'3121% SY'!$C$3:$M$324,11,FALSE),3),0)+IFERROR(ROUND(VLOOKUP($A97,S275_21,18,FALSE)*VLOOKUP($A97,'3121% SY'!$C$3:$M$324,11,FALSE),3),0)+IFERROR(ROUND(VLOOKUP($A97,S275_21,19,FALSE)*VLOOKUP($A97,'3121% SY'!$C$3:$M$324,11,FALSE),3),0)+IFERROR(VLOOKUP($A97,S275_09,7,FALSE),0)</f>
        <v>0</v>
      </c>
      <c r="U97" s="267">
        <f>IFERROR(VLOOKUP($A97,Supp_43,14,FALSE),0)+IFERROR(SUMPRODUCT(VLOOKUP($A97,S275_01,{20,21,22},FALSE)),0)+IFERROR(SUMPRODUCT(VLOOKUP($A97,S275_97,{20,21,22},FALSE)),0)+IFERROR(ROUND(VLOOKUP($A97,S275_21,20,FALSE)*VLOOKUP($A97,'3121% SY'!$C$3:$M$324,11,FALSE),3),0)+IFERROR(ROUND(VLOOKUP($A97,S275_21,21,FALSE)*VLOOKUP($A97,'3121% SY'!$C$3:$M$324,11,FALSE),3),0)+IFERROR(ROUND(VLOOKUP($A97,S275_21,22,FALSE)*VLOOKUP($A97,'3121% SY'!$C$3:$M$324,11,FALSE),3),0)+IFERROR(VLOOKUP($A97,S275_09,8,FALSE),0)</f>
        <v>0</v>
      </c>
      <c r="V97" s="267">
        <f>IFERROR(VLOOKUP($A97,Supp_44,14,FALSE),0)+IFERROR(SUMPRODUCT(VLOOKUP($A97,S275_01,{23,24,25},FALSE)),0)+IFERROR(SUMPRODUCT(VLOOKUP($A97,S275_97,{23,24,25},FALSE)),0)+IFERROR(ROUND(VLOOKUP($A97,S275_21,23,FALSE)*VLOOKUP($A97,'3121% SY'!$C$3:$M$324,11,FALSE),3),0)+IFERROR(ROUND(VLOOKUP($A97,S275_21,24,FALSE)*VLOOKUP($A97,'3121% SY'!$C$3:$M$324,11,FALSE),3),0)+IFERROR(ROUND(VLOOKUP($A97,S275_21,25,FALSE)*VLOOKUP($A97,'3121% SY'!$C$3:$M$324,11,FALSE),3),0)+IFERROR(VLOOKUP($A97,S275_09,9,FALSE),0)</f>
        <v>0</v>
      </c>
      <c r="W97" s="267">
        <f>IFERROR(VLOOKUP($A97,Supp_45,14,FALSE),0)+IFERROR(SUMPRODUCT(VLOOKUP($A97,S275_01,{26,27,28},FALSE)),0)+IFERROR(SUMPRODUCT(VLOOKUP($A97,S275_97,{26,27,28},FALSE)),0)+IFERROR(ROUND(VLOOKUP($A97,S275_21,26,FALSE)*VLOOKUP($A97,'3121% SY'!$C$3:$M$324,11,FALSE),3),0)+IFERROR(ROUND(VLOOKUP($A97,S275_21,27,FALSE)*VLOOKUP($A97,'3121% SY'!$C$3:$M$324,11,FALSE),3),0)+IFERROR(ROUND(VLOOKUP($A97,S275_21,28,FALSE)*VLOOKUP($A97,'3121% SY'!$C$3:$M$324,11,FALSE),3),0)+IFERROR(VLOOKUP($A97,S275_09,10,FALSE),0)</f>
        <v>0</v>
      </c>
      <c r="X97" s="267">
        <f>IFERROR(VLOOKUP($A97,Supp_46,14,FALSE),0)+IFERROR(SUMPRODUCT(VLOOKUP($A97,S275_01,{29,30,31},FALSE)),0)+IFERROR(SUMPRODUCT(VLOOKUP($A97,S275_97,{29,30,31},FALSE)),0)+IFERROR(ROUND(VLOOKUP($A97,S275_21,29,FALSE)*VLOOKUP($A97,'3121% SY'!$C$3:$M$324,11,FALSE),3),0)+IFERROR(ROUND(VLOOKUP($A97,S275_21,30,FALSE)*VLOOKUP($A97,'3121% SY'!$C$3:$M$324,11,FALSE),3),0)+IFERROR(ROUND(VLOOKUP($A97,S275_21,31,FALSE)*VLOOKUP($A97,'3121% SY'!$C$3:$M$324,11,FALSE),3),0)+IFERROR(VLOOKUP($A97,S275_09,11,FALSE),0)</f>
        <v>0</v>
      </c>
      <c r="Y97" s="267">
        <f>IFERROR(VLOOKUP($A97,Supp_47,14,FALSE),0)+IFERROR(SUMPRODUCT(VLOOKUP($A97,S275_01,{32,33,34},FALSE)),0)+IFERROR(SUMPRODUCT(VLOOKUP($A97,S275_97,{32,33,34},FALSE)),0)+IFERROR(ROUND(VLOOKUP($A97,S275_21,32,FALSE)*VLOOKUP($A97,'3121% SY'!$C$3:$M$324,11,FALSE),3),0)+IFERROR(ROUND(VLOOKUP($A97,S275_21,33,FALSE)*VLOOKUP($A97,'3121% SY'!$C$3:$M$324,11,FALSE),3),0)+IFERROR(ROUND(VLOOKUP($A97,S275_21,34,FALSE)*VLOOKUP($A97,'3121% SY'!$C$3:$M$324,11,FALSE),3),0)+IFERROR(VLOOKUP($A97,S275_09,12,FALSE),0)</f>
        <v>0</v>
      </c>
      <c r="Z97" s="267">
        <f>IFERROR(VLOOKUP($A97,Supp_48,14,FALSE),0)+IFERROR(SUMPRODUCT(VLOOKUP($A97,S275_01,{35,36,37},FALSE)),0)+IFERROR(SUMPRODUCT(VLOOKUP($A97,S275_97,{35,36,37},FALSE)),0)+IFERROR(ROUND(VLOOKUP($A97,S275_21,35,FALSE)*VLOOKUP($A97,'3121% SY'!$C$3:$M$324,11,FALSE),3),0)+IFERROR(ROUND(VLOOKUP($A97,S275_21,36,FALSE)*VLOOKUP($A97,'3121% SY'!$C$3:$M$324,11,FALSE),3),0)+IFERROR(ROUND(VLOOKUP($A97,S275_21,37,FALSE)*VLOOKUP($A97,'3121% SY'!$C$3:$M$324,11,FALSE),3),0)+IFERROR(VLOOKUP($A97,S275_09,13,FALSE),0)</f>
        <v>0</v>
      </c>
      <c r="AA97" s="267">
        <f>IFERROR(VLOOKUP($A97,Supp_49,14,FALSE),0)+IFERROR(SUMPRODUCT(VLOOKUP($A97,S275_01,{38,39,40},FALSE)),0)+IFERROR(SUMPRODUCT(VLOOKUP($A97,S275_97,{38,39,40},FALSE)),0)+IFERROR(ROUND(VLOOKUP($A97,S275_21,38,FALSE)*VLOOKUP($A97,'3121% SY'!$C$3:$M$324,11,FALSE),3),0)+IFERROR(ROUND(VLOOKUP($A97,S275_21,39,FALSE)*VLOOKUP($A97,'3121% SY'!$C$3:$M$324,11,FALSE),3),0)+IFERROR(ROUND(VLOOKUP($A97,S275_21,40,FALSE)*VLOOKUP($A97,'3121% SY'!$C$3:$M$324,11,FALSE),3),0)+IFERROR(VLOOKUP($A97,S275_09,14,FALSE),0)</f>
        <v>0</v>
      </c>
      <c r="AB97" s="267">
        <f>IFERROR(VLOOKUP($A97,Supp_64,14,FALSE),0)+IFERROR(SUMPRODUCT(VLOOKUP($A97,S275_01,{41,42,43},FALSE)),0)+IFERROR(SUMPRODUCT(VLOOKUP($A97,S275_97,{41,42,43},FALSE)),0)+IFERROR(ROUND(VLOOKUP($A97,S275_21,41,FALSE)*VLOOKUP($A97,'3121% SY'!$C$3:$M$324,11,FALSE),3),0)+IFERROR(ROUND(VLOOKUP($A97,S275_21,42,FALSE)*VLOOKUP($A97,'3121% SY'!$C$3:$M$324,11,FALSE),3),0)+IFERROR(ROUND(VLOOKUP($A97,S275_21,43,FALSE)*VLOOKUP($A97,'3121% SY'!$C$3:$M$324,11,FALSE),3),0)+IFERROR(VLOOKUP($A97,S275_09,15,FALSE),0)</f>
        <v>0</v>
      </c>
      <c r="AC97" s="268">
        <f t="shared" si="25"/>
        <v>0</v>
      </c>
      <c r="AD97" s="267">
        <f>IFERROR(VLOOKUP($A97,Supp_24,14,FALSE),0)+IFERROR(SUMPRODUCT(VLOOKUP($A97,S275_01,{2,3,4},FALSE)),0)+IFERROR(SUMPRODUCT(VLOOKUP($A97,S275_97,{2,3,4},FALSE)),0)+IFERROR(ROUND(VLOOKUP($A97,S275_21,2,FALSE)*VLOOKUP($A97,'3121% SY'!$C$3:$M$324,11,FALSE),3),0)+IFERROR(ROUND(VLOOKUP($A97,S275_21,3,FALSE)*VLOOKUP($A97,'3121% SY'!$C$3:$M$324,11,FALSE),3),0)+IFERROR(ROUND(VLOOKUP($A97,S275_21,4,FALSE)*VLOOKUP($A97,'3121% SY'!$C$3:$M$324,11,FALSE),3),0)+IFERROR(VLOOKUP($A97,S275_09,2,FALSE),0)</f>
        <v>0</v>
      </c>
      <c r="AE97" s="267">
        <f>IFERROR(VLOOKUP($A97,Supp_25,14,FALSE),0)+IFERROR(SUMPRODUCT(VLOOKUP($A97,S275_01,{5,6,7},FALSE)),0)+IFERROR(SUMPRODUCT(VLOOKUP($A97,S275_97,{5,6,7},FALSE)),0)+IFERROR(ROUND(VLOOKUP($A97,S275_21,5,FALSE)*VLOOKUP($A97,'3121% SY'!$C$3:$M$324,11,FALSE),3),0)+IFERROR(ROUND(VLOOKUP($A97,S275_21,6,FALSE)*VLOOKUP($A97,'3121% SY'!$C$3:$M$324,11,FALSE),3),0)+IFERROR(ROUND(VLOOKUP($A97,S275_21,7,FALSE)*VLOOKUP($A97,'3121% SY'!$C$3:$M$324,11,FALSE),3),0)+IFERROR(VLOOKUP($A97,S275_09,3,FALSE),0)</f>
        <v>0</v>
      </c>
      <c r="AF97" s="267">
        <f>IFERROR(VLOOKUP($A97,Supp_26,14,FALSE),0)+IFERROR(SUMPRODUCT(VLOOKUP($A97,S275_01,{8,9,10},FALSE)),0)+IFERROR(SUMPRODUCT(VLOOKUP($A97,S275_97,{8,9,10},FALSE)),0)+IFERROR(ROUND(VLOOKUP($A97,S275_21,8,FALSE)*VLOOKUP($A97,'3121% SY'!$C$3:$M$324,11,FALSE),3),0)+IFERROR(ROUND(VLOOKUP($A97,S275_21,9,FALSE)*VLOOKUP($A97,'3121% SY'!$C$3:$M$324,11,FALSE),3),0)+IFERROR(ROUND(VLOOKUP($A97,S275_21,10,FALSE)*VLOOKUP($A97,'3121% SY'!$C$3:$M$324,11,FALSE),3),0)+IFERROR(VLOOKUP($A97,S275_09,4,FALSE),0)</f>
        <v>0.58399999999999996</v>
      </c>
      <c r="AG97" s="267">
        <f>IFERROR(VLOOKUP($A97,Supp_35,14,FALSE),0)+IFERROR(SUMPRODUCT(VLOOKUP($A97,S275_01,{11,12,13},FALSE)),0)+IFERROR(SUMPRODUCT(VLOOKUP($A97,S275_97,{11,12,13},FALSE)),0)+IFERROR(ROUND(VLOOKUP($A97,S275_21,11,FALSE)*VLOOKUP($A97,'3121% SY'!$C$3:$M$324,11,FALSE),3),0)+IFERROR(ROUND(VLOOKUP($A97,S275_21,12,FALSE)*VLOOKUP($A97,'3121% SY'!$C$3:$M$324,11,FALSE),3),0)+IFERROR(ROUND(VLOOKUP($A97,S275_21,13,FALSE)*VLOOKUP($A97,'3121% SY'!$C$3:$M$324,11,FALSE),3),0)+IFERROR(VLOOKUP($A97,S275_09,5,FALSE),0)</f>
        <v>0</v>
      </c>
      <c r="AH97" s="165">
        <f t="shared" si="26"/>
        <v>0.58399999999999996</v>
      </c>
      <c r="AI97" s="161">
        <f>IFERROR(VLOOKUP(A97,'Supp Staff Data'!A:ER,148,FALSE),0)+AB97</f>
        <v>0</v>
      </c>
      <c r="AJ97" s="174">
        <v>0.99239999999999995</v>
      </c>
      <c r="AK97" s="25">
        <f>VLOOKUP(A97,'Enroll Data as of January 2025'!$A$3:$T$323,20,FALSE)-F97</f>
        <v>0</v>
      </c>
    </row>
    <row r="98" spans="1:37" x14ac:dyDescent="0.25">
      <c r="A98" s="171" t="s">
        <v>77</v>
      </c>
      <c r="B98" t="s">
        <v>373</v>
      </c>
      <c r="C98" s="173" t="s">
        <v>1077</v>
      </c>
      <c r="D98" s="259">
        <f t="shared" si="19"/>
        <v>3.2989999999999999</v>
      </c>
      <c r="E98" s="259">
        <f t="shared" si="20"/>
        <v>2.637</v>
      </c>
      <c r="F98" s="262">
        <f t="shared" si="28"/>
        <v>-0.66200000000000003</v>
      </c>
      <c r="G98" s="161">
        <f>ROUND(IF(F98&lt;0,F98*'2024-25 PSES Compliance'!$G$13,0),3)</f>
        <v>-0.63600000000000001</v>
      </c>
      <c r="H98" s="161">
        <f>ROUND(IF(F98&lt;0,F98*'2024-25 PSES Compliance'!$G$14,0),3)</f>
        <v>-2.5999999999999999E-2</v>
      </c>
      <c r="I98" s="174">
        <f t="shared" si="21"/>
        <v>0</v>
      </c>
      <c r="J98" s="174">
        <f t="shared" si="22"/>
        <v>0</v>
      </c>
      <c r="K98" s="161">
        <f>VLOOKUP($A98,'Enroll Data as of January 2025'!$A$3:$M$322,6,FALSE)</f>
        <v>1.8609999999999998</v>
      </c>
      <c r="L98" s="161">
        <f>VLOOKUP($A98,'Enroll Data as of January 2025'!$A$3:$M$322,7,FALSE)</f>
        <v>0.30400000000000005</v>
      </c>
      <c r="M98" s="161">
        <f>VLOOKUP($A98,'Enroll Data as of January 2025'!$A$3:$M$322,8,FALSE)</f>
        <v>0.10199999999999999</v>
      </c>
      <c r="N98" s="161">
        <f>VLOOKUP($A98,'Enroll Data as of January 2025'!$A$3:$M$322,9,FALSE)</f>
        <v>0.84799999999999986</v>
      </c>
      <c r="O98" s="165">
        <f t="shared" si="23"/>
        <v>3.1149999999999998</v>
      </c>
      <c r="P98" s="161">
        <f>VLOOKUP($A98,'Enroll Data as of January 2025'!$A$3:$M$322,11,FALSE)</f>
        <v>0.11600000000000001</v>
      </c>
      <c r="Q98" s="161">
        <f>VLOOKUP($A98,'Enroll Data as of January 2025'!$A$3:$M$322,12,FALSE)</f>
        <v>6.8000000000000005E-2</v>
      </c>
      <c r="R98" s="165">
        <f t="shared" si="24"/>
        <v>0.184</v>
      </c>
      <c r="S98" s="267">
        <f>IFERROR(VLOOKUP($A98,Supp_39,14,FALSE),0)+IFERROR(SUMPRODUCT(VLOOKUP($A98,S275_01,{14,15,16},FALSE)),0)+IFERROR(SUMPRODUCT(VLOOKUP($A98,S275_97,{14,15,16},FALSE)),0)+IFERROR(ROUND(VLOOKUP($A98,S275_21,14,FALSE)*VLOOKUP($A98,'3121% SY'!$C$3:$M$324,11,FALSE),3),0)+IFERROR(ROUND(VLOOKUP($A98,S275_21,15,FALSE)*VLOOKUP($A98,'3121% SY'!$C$3:$M$324,11,FALSE),3),0)+IFERROR(ROUND(VLOOKUP($A98,S275_21,16,FALSE)*VLOOKUP($A98,'3121% SY'!$C$3:$M$324,11,FALSE),3),0)+IFERROR(VLOOKUP($A98,S275_09,6,FALSE),0)</f>
        <v>1.6239999999999999</v>
      </c>
      <c r="T98" s="267">
        <f>IFERROR(VLOOKUP($A98,Supp_42,14,FALSE),0)+IFERROR(SUMPRODUCT(VLOOKUP($A98,S275_01,{17,18,19},FALSE)),0)+IFERROR(SUMPRODUCT(VLOOKUP($A98,S275_97,{17,18,19},FALSE)),0)+IFERROR(ROUND(VLOOKUP($A98,S275_21,17,FALSE)*VLOOKUP($A98,'3121% SY'!$C$3:$M$324,11,FALSE),3),0)+IFERROR(ROUND(VLOOKUP($A98,S275_21,18,FALSE)*VLOOKUP($A98,'3121% SY'!$C$3:$M$324,11,FALSE),3),0)+IFERROR(ROUND(VLOOKUP($A98,S275_21,19,FALSE)*VLOOKUP($A98,'3121% SY'!$C$3:$M$324,11,FALSE),3),0)+IFERROR(VLOOKUP($A98,S275_09,7,FALSE),0)</f>
        <v>0</v>
      </c>
      <c r="U98" s="267">
        <f>IFERROR(VLOOKUP($A98,Supp_43,14,FALSE),0)+IFERROR(SUMPRODUCT(VLOOKUP($A98,S275_01,{20,21,22},FALSE)),0)+IFERROR(SUMPRODUCT(VLOOKUP($A98,S275_97,{20,21,22},FALSE)),0)+IFERROR(ROUND(VLOOKUP($A98,S275_21,20,FALSE)*VLOOKUP($A98,'3121% SY'!$C$3:$M$324,11,FALSE),3),0)+IFERROR(ROUND(VLOOKUP($A98,S275_21,21,FALSE)*VLOOKUP($A98,'3121% SY'!$C$3:$M$324,11,FALSE),3),0)+IFERROR(ROUND(VLOOKUP($A98,S275_21,22,FALSE)*VLOOKUP($A98,'3121% SY'!$C$3:$M$324,11,FALSE),3),0)+IFERROR(VLOOKUP($A98,S275_09,8,FALSE),0)</f>
        <v>0</v>
      </c>
      <c r="V98" s="267">
        <f>IFERROR(VLOOKUP($A98,Supp_44,14,FALSE),0)+IFERROR(SUMPRODUCT(VLOOKUP($A98,S275_01,{23,24,25},FALSE)),0)+IFERROR(SUMPRODUCT(VLOOKUP($A98,S275_97,{23,24,25},FALSE)),0)+IFERROR(ROUND(VLOOKUP($A98,S275_21,23,FALSE)*VLOOKUP($A98,'3121% SY'!$C$3:$M$324,11,FALSE),3),0)+IFERROR(ROUND(VLOOKUP($A98,S275_21,24,FALSE)*VLOOKUP($A98,'3121% SY'!$C$3:$M$324,11,FALSE),3),0)+IFERROR(ROUND(VLOOKUP($A98,S275_21,25,FALSE)*VLOOKUP($A98,'3121% SY'!$C$3:$M$324,11,FALSE),3),0)+IFERROR(VLOOKUP($A98,S275_09,9,FALSE),0)</f>
        <v>0</v>
      </c>
      <c r="W98" s="267">
        <f>IFERROR(VLOOKUP($A98,Supp_45,14,FALSE),0)+IFERROR(SUMPRODUCT(VLOOKUP($A98,S275_01,{26,27,28},FALSE)),0)+IFERROR(SUMPRODUCT(VLOOKUP($A98,S275_97,{26,27,28},FALSE)),0)+IFERROR(ROUND(VLOOKUP($A98,S275_21,26,FALSE)*VLOOKUP($A98,'3121% SY'!$C$3:$M$324,11,FALSE),3),0)+IFERROR(ROUND(VLOOKUP($A98,S275_21,27,FALSE)*VLOOKUP($A98,'3121% SY'!$C$3:$M$324,11,FALSE),3),0)+IFERROR(ROUND(VLOOKUP($A98,S275_21,28,FALSE)*VLOOKUP($A98,'3121% SY'!$C$3:$M$324,11,FALSE),3),0)+IFERROR(VLOOKUP($A98,S275_09,10,FALSE),0)</f>
        <v>0.20499999999999999</v>
      </c>
      <c r="X98" s="267">
        <f>IFERROR(VLOOKUP($A98,Supp_46,14,FALSE),0)+IFERROR(SUMPRODUCT(VLOOKUP($A98,S275_01,{29,30,31},FALSE)),0)+IFERROR(SUMPRODUCT(VLOOKUP($A98,S275_97,{29,30,31},FALSE)),0)+IFERROR(ROUND(VLOOKUP($A98,S275_21,29,FALSE)*VLOOKUP($A98,'3121% SY'!$C$3:$M$324,11,FALSE),3),0)+IFERROR(ROUND(VLOOKUP($A98,S275_21,30,FALSE)*VLOOKUP($A98,'3121% SY'!$C$3:$M$324,11,FALSE),3),0)+IFERROR(ROUND(VLOOKUP($A98,S275_21,31,FALSE)*VLOOKUP($A98,'3121% SY'!$C$3:$M$324,11,FALSE),3),0)+IFERROR(VLOOKUP($A98,S275_09,11,FALSE),0)</f>
        <v>0</v>
      </c>
      <c r="Y98" s="267">
        <f>IFERROR(VLOOKUP($A98,Supp_47,14,FALSE),0)+IFERROR(SUMPRODUCT(VLOOKUP($A98,S275_01,{32,33,34},FALSE)),0)+IFERROR(SUMPRODUCT(VLOOKUP($A98,S275_97,{32,33,34},FALSE)),0)+IFERROR(ROUND(VLOOKUP($A98,S275_21,32,FALSE)*VLOOKUP($A98,'3121% SY'!$C$3:$M$324,11,FALSE),3),0)+IFERROR(ROUND(VLOOKUP($A98,S275_21,33,FALSE)*VLOOKUP($A98,'3121% SY'!$C$3:$M$324,11,FALSE),3),0)+IFERROR(ROUND(VLOOKUP($A98,S275_21,34,FALSE)*VLOOKUP($A98,'3121% SY'!$C$3:$M$324,11,FALSE),3),0)+IFERROR(VLOOKUP($A98,S275_09,12,FALSE),0)</f>
        <v>0</v>
      </c>
      <c r="Z98" s="267">
        <f>IFERROR(VLOOKUP($A98,Supp_48,14,FALSE),0)+IFERROR(SUMPRODUCT(VLOOKUP($A98,S275_01,{35,36,37},FALSE)),0)+IFERROR(SUMPRODUCT(VLOOKUP($A98,S275_97,{35,36,37},FALSE)),0)+IFERROR(ROUND(VLOOKUP($A98,S275_21,35,FALSE)*VLOOKUP($A98,'3121% SY'!$C$3:$M$324,11,FALSE),3),0)+IFERROR(ROUND(VLOOKUP($A98,S275_21,36,FALSE)*VLOOKUP($A98,'3121% SY'!$C$3:$M$324,11,FALSE),3),0)+IFERROR(ROUND(VLOOKUP($A98,S275_21,37,FALSE)*VLOOKUP($A98,'3121% SY'!$C$3:$M$324,11,FALSE),3),0)+IFERROR(VLOOKUP($A98,S275_09,13,FALSE),0)</f>
        <v>0</v>
      </c>
      <c r="AA98" s="267">
        <f>IFERROR(VLOOKUP($A98,Supp_49,14,FALSE),0)+IFERROR(SUMPRODUCT(VLOOKUP($A98,S275_01,{38,39,40},FALSE)),0)+IFERROR(SUMPRODUCT(VLOOKUP($A98,S275_97,{38,39,40},FALSE)),0)+IFERROR(ROUND(VLOOKUP($A98,S275_21,38,FALSE)*VLOOKUP($A98,'3121% SY'!$C$3:$M$324,11,FALSE),3),0)+IFERROR(ROUND(VLOOKUP($A98,S275_21,39,FALSE)*VLOOKUP($A98,'3121% SY'!$C$3:$M$324,11,FALSE),3),0)+IFERROR(ROUND(VLOOKUP($A98,S275_21,40,FALSE)*VLOOKUP($A98,'3121% SY'!$C$3:$M$324,11,FALSE),3),0)+IFERROR(VLOOKUP($A98,S275_09,14,FALSE),0)</f>
        <v>0</v>
      </c>
      <c r="AB98" s="267">
        <f>IFERROR(VLOOKUP($A98,Supp_64,14,FALSE),0)+IFERROR(SUMPRODUCT(VLOOKUP($A98,S275_01,{41,42,43},FALSE)),0)+IFERROR(SUMPRODUCT(VLOOKUP($A98,S275_97,{41,42,43},FALSE)),0)+IFERROR(ROUND(VLOOKUP($A98,S275_21,41,FALSE)*VLOOKUP($A98,'3121% SY'!$C$3:$M$324,11,FALSE),3),0)+IFERROR(ROUND(VLOOKUP($A98,S275_21,42,FALSE)*VLOOKUP($A98,'3121% SY'!$C$3:$M$324,11,FALSE),3),0)+IFERROR(ROUND(VLOOKUP($A98,S275_21,43,FALSE)*VLOOKUP($A98,'3121% SY'!$C$3:$M$324,11,FALSE),3),0)+IFERROR(VLOOKUP($A98,S275_09,15,FALSE),0)</f>
        <v>0</v>
      </c>
      <c r="AC98" s="268">
        <f t="shared" si="25"/>
        <v>1.829</v>
      </c>
      <c r="AD98" s="267">
        <f>IFERROR(VLOOKUP($A98,Supp_24,14,FALSE),0)+IFERROR(SUMPRODUCT(VLOOKUP($A98,S275_01,{2,3,4},FALSE)),0)+IFERROR(SUMPRODUCT(VLOOKUP($A98,S275_97,{2,3,4},FALSE)),0)+IFERROR(ROUND(VLOOKUP($A98,S275_21,2,FALSE)*VLOOKUP($A98,'3121% SY'!$C$3:$M$324,11,FALSE),3),0)+IFERROR(ROUND(VLOOKUP($A98,S275_21,3,FALSE)*VLOOKUP($A98,'3121% SY'!$C$3:$M$324,11,FALSE),3),0)+IFERROR(ROUND(VLOOKUP($A98,S275_21,4,FALSE)*VLOOKUP($A98,'3121% SY'!$C$3:$M$324,11,FALSE),3),0)+IFERROR(VLOOKUP($A98,S275_09,2,FALSE),0)</f>
        <v>0.80800000000000005</v>
      </c>
      <c r="AE98" s="267">
        <f>IFERROR(VLOOKUP($A98,Supp_25,14,FALSE),0)+IFERROR(SUMPRODUCT(VLOOKUP($A98,S275_01,{5,6,7},FALSE)),0)+IFERROR(SUMPRODUCT(VLOOKUP($A98,S275_97,{5,6,7},FALSE)),0)+IFERROR(ROUND(VLOOKUP($A98,S275_21,5,FALSE)*VLOOKUP($A98,'3121% SY'!$C$3:$M$324,11,FALSE),3),0)+IFERROR(ROUND(VLOOKUP($A98,S275_21,6,FALSE)*VLOOKUP($A98,'3121% SY'!$C$3:$M$324,11,FALSE),3),0)+IFERROR(ROUND(VLOOKUP($A98,S275_21,7,FALSE)*VLOOKUP($A98,'3121% SY'!$C$3:$M$324,11,FALSE),3),0)+IFERROR(VLOOKUP($A98,S275_09,3,FALSE),0)</f>
        <v>0</v>
      </c>
      <c r="AF98" s="267">
        <f>IFERROR(VLOOKUP($A98,Supp_26,14,FALSE),0)+IFERROR(SUMPRODUCT(VLOOKUP($A98,S275_01,{8,9,10},FALSE)),0)+IFERROR(SUMPRODUCT(VLOOKUP($A98,S275_97,{8,9,10},FALSE)),0)+IFERROR(ROUND(VLOOKUP($A98,S275_21,8,FALSE)*VLOOKUP($A98,'3121% SY'!$C$3:$M$324,11,FALSE),3),0)+IFERROR(ROUND(VLOOKUP($A98,S275_21,9,FALSE)*VLOOKUP($A98,'3121% SY'!$C$3:$M$324,11,FALSE),3),0)+IFERROR(ROUND(VLOOKUP($A98,S275_21,10,FALSE)*VLOOKUP($A98,'3121% SY'!$C$3:$M$324,11,FALSE),3),0)+IFERROR(VLOOKUP($A98,S275_09,4,FALSE),0)</f>
        <v>0</v>
      </c>
      <c r="AG98" s="267">
        <f>IFERROR(VLOOKUP($A98,Supp_35,14,FALSE),0)+IFERROR(SUMPRODUCT(VLOOKUP($A98,S275_01,{11,12,13},FALSE)),0)+IFERROR(SUMPRODUCT(VLOOKUP($A98,S275_97,{11,12,13},FALSE)),0)+IFERROR(ROUND(VLOOKUP($A98,S275_21,11,FALSE)*VLOOKUP($A98,'3121% SY'!$C$3:$M$324,11,FALSE),3),0)+IFERROR(ROUND(VLOOKUP($A98,S275_21,12,FALSE)*VLOOKUP($A98,'3121% SY'!$C$3:$M$324,11,FALSE),3),0)+IFERROR(ROUND(VLOOKUP($A98,S275_21,13,FALSE)*VLOOKUP($A98,'3121% SY'!$C$3:$M$324,11,FALSE),3),0)+IFERROR(VLOOKUP($A98,S275_09,5,FALSE),0)</f>
        <v>0</v>
      </c>
      <c r="AH98" s="165">
        <f t="shared" si="26"/>
        <v>0.80800000000000005</v>
      </c>
      <c r="AI98" s="161">
        <f>IFERROR(VLOOKUP(A98,'Supp Staff Data'!A:ER,148,FALSE),0)+AB98</f>
        <v>0</v>
      </c>
      <c r="AJ98" s="174">
        <v>0</v>
      </c>
      <c r="AK98" s="25">
        <f>VLOOKUP(A98,'Enroll Data as of January 2025'!$A$3:$T$323,20,FALSE)-F98</f>
        <v>0</v>
      </c>
    </row>
    <row r="99" spans="1:37" x14ac:dyDescent="0.25">
      <c r="A99" s="171" t="s">
        <v>13</v>
      </c>
      <c r="B99" t="s">
        <v>310</v>
      </c>
      <c r="C99" s="173" t="s">
        <v>1077</v>
      </c>
      <c r="D99" s="259">
        <f t="shared" si="19"/>
        <v>3.4420000000000006</v>
      </c>
      <c r="E99" s="259">
        <f t="shared" si="20"/>
        <v>3.1769999999999996</v>
      </c>
      <c r="F99" s="262">
        <f t="shared" si="28"/>
        <v>-0.26500000000000001</v>
      </c>
      <c r="G99" s="161">
        <f>ROUND(IF(F99&lt;0,F99*'2024-25 PSES Compliance'!$G$13,0),3)</f>
        <v>-0.254</v>
      </c>
      <c r="H99" s="161">
        <f>ROUND(IF(F99&lt;0,F99*'2024-25 PSES Compliance'!$G$14,0),3)</f>
        <v>-1.0999999999999999E-2</v>
      </c>
      <c r="I99" s="174">
        <f t="shared" si="21"/>
        <v>0</v>
      </c>
      <c r="J99" s="174">
        <f t="shared" si="22"/>
        <v>0</v>
      </c>
      <c r="K99" s="161">
        <f>VLOOKUP($A99,'Enroll Data as of January 2025'!$A$3:$M$322,6,FALSE)</f>
        <v>1.895</v>
      </c>
      <c r="L99" s="161">
        <f>VLOOKUP($A99,'Enroll Data as of January 2025'!$A$3:$M$322,7,FALSE)</f>
        <v>0.33700000000000002</v>
      </c>
      <c r="M99" s="161">
        <f>VLOOKUP($A99,'Enroll Data as of January 2025'!$A$3:$M$322,8,FALSE)</f>
        <v>0.113</v>
      </c>
      <c r="N99" s="161">
        <f>VLOOKUP($A99,'Enroll Data as of January 2025'!$A$3:$M$322,9,FALSE)</f>
        <v>0.89700000000000013</v>
      </c>
      <c r="O99" s="165">
        <f t="shared" si="23"/>
        <v>3.2420000000000004</v>
      </c>
      <c r="P99" s="161">
        <f>VLOOKUP($A99,'Enroll Data as of January 2025'!$A$3:$M$322,11,FALSE)</f>
        <v>0.122</v>
      </c>
      <c r="Q99" s="161">
        <f>VLOOKUP($A99,'Enroll Data as of January 2025'!$A$3:$M$322,12,FALSE)</f>
        <v>7.8E-2</v>
      </c>
      <c r="R99" s="165">
        <f t="shared" si="24"/>
        <v>0.2</v>
      </c>
      <c r="S99" s="267">
        <f>IFERROR(VLOOKUP($A99,Supp_39,14,FALSE),0)+IFERROR(SUMPRODUCT(VLOOKUP($A99,S275_01,{14,15,16},FALSE)),0)+IFERROR(SUMPRODUCT(VLOOKUP($A99,S275_97,{14,15,16},FALSE)),0)+IFERROR(ROUND(VLOOKUP($A99,S275_21,14,FALSE)*VLOOKUP($A99,'3121% SY'!$C$3:$M$324,11,FALSE),3),0)+IFERROR(ROUND(VLOOKUP($A99,S275_21,15,FALSE)*VLOOKUP($A99,'3121% SY'!$C$3:$M$324,11,FALSE),3),0)+IFERROR(ROUND(VLOOKUP($A99,S275_21,16,FALSE)*VLOOKUP($A99,'3121% SY'!$C$3:$M$324,11,FALSE),3),0)+IFERROR(VLOOKUP($A99,S275_09,6,FALSE),0)</f>
        <v>1.2989999999999999</v>
      </c>
      <c r="T99" s="267">
        <f>IFERROR(VLOOKUP($A99,Supp_42,14,FALSE),0)+IFERROR(SUMPRODUCT(VLOOKUP($A99,S275_01,{17,18,19},FALSE)),0)+IFERROR(SUMPRODUCT(VLOOKUP($A99,S275_97,{17,18,19},FALSE)),0)+IFERROR(ROUND(VLOOKUP($A99,S275_21,17,FALSE)*VLOOKUP($A99,'3121% SY'!$C$3:$M$324,11,FALSE),3),0)+IFERROR(ROUND(VLOOKUP($A99,S275_21,18,FALSE)*VLOOKUP($A99,'3121% SY'!$C$3:$M$324,11,FALSE),3),0)+IFERROR(ROUND(VLOOKUP($A99,S275_21,19,FALSE)*VLOOKUP($A99,'3121% SY'!$C$3:$M$324,11,FALSE),3),0)+IFERROR(VLOOKUP($A99,S275_09,7,FALSE),0)</f>
        <v>0.2</v>
      </c>
      <c r="U99" s="267">
        <f>IFERROR(VLOOKUP($A99,Supp_43,14,FALSE),0)+IFERROR(SUMPRODUCT(VLOOKUP($A99,S275_01,{20,21,22},FALSE)),0)+IFERROR(SUMPRODUCT(VLOOKUP($A99,S275_97,{20,21,22},FALSE)),0)+IFERROR(ROUND(VLOOKUP($A99,S275_21,20,FALSE)*VLOOKUP($A99,'3121% SY'!$C$3:$M$324,11,FALSE),3),0)+IFERROR(ROUND(VLOOKUP($A99,S275_21,21,FALSE)*VLOOKUP($A99,'3121% SY'!$C$3:$M$324,11,FALSE),3),0)+IFERROR(ROUND(VLOOKUP($A99,S275_21,22,FALSE)*VLOOKUP($A99,'3121% SY'!$C$3:$M$324,11,FALSE),3),0)+IFERROR(VLOOKUP($A99,S275_09,8,FALSE),0)</f>
        <v>0</v>
      </c>
      <c r="V99" s="267">
        <f>IFERROR(VLOOKUP($A99,Supp_44,14,FALSE),0)+IFERROR(SUMPRODUCT(VLOOKUP($A99,S275_01,{23,24,25},FALSE)),0)+IFERROR(SUMPRODUCT(VLOOKUP($A99,S275_97,{23,24,25},FALSE)),0)+IFERROR(ROUND(VLOOKUP($A99,S275_21,23,FALSE)*VLOOKUP($A99,'3121% SY'!$C$3:$M$324,11,FALSE),3),0)+IFERROR(ROUND(VLOOKUP($A99,S275_21,24,FALSE)*VLOOKUP($A99,'3121% SY'!$C$3:$M$324,11,FALSE),3),0)+IFERROR(ROUND(VLOOKUP($A99,S275_21,25,FALSE)*VLOOKUP($A99,'3121% SY'!$C$3:$M$324,11,FALSE),3),0)+IFERROR(VLOOKUP($A99,S275_09,9,FALSE),0)</f>
        <v>0</v>
      </c>
      <c r="W99" s="267">
        <f>IFERROR(VLOOKUP($A99,Supp_45,14,FALSE),0)+IFERROR(SUMPRODUCT(VLOOKUP($A99,S275_01,{26,27,28},FALSE)),0)+IFERROR(SUMPRODUCT(VLOOKUP($A99,S275_97,{26,27,28},FALSE)),0)+IFERROR(ROUND(VLOOKUP($A99,S275_21,26,FALSE)*VLOOKUP($A99,'3121% SY'!$C$3:$M$324,11,FALSE),3),0)+IFERROR(ROUND(VLOOKUP($A99,S275_21,27,FALSE)*VLOOKUP($A99,'3121% SY'!$C$3:$M$324,11,FALSE),3),0)+IFERROR(ROUND(VLOOKUP($A99,S275_21,28,FALSE)*VLOOKUP($A99,'3121% SY'!$C$3:$M$324,11,FALSE),3),0)+IFERROR(VLOOKUP($A99,S275_09,10,FALSE),0)</f>
        <v>0.17300000000000001</v>
      </c>
      <c r="X99" s="267">
        <f>IFERROR(VLOOKUP($A99,Supp_46,14,FALSE),0)+IFERROR(SUMPRODUCT(VLOOKUP($A99,S275_01,{29,30,31},FALSE)),0)+IFERROR(SUMPRODUCT(VLOOKUP($A99,S275_97,{29,30,31},FALSE)),0)+IFERROR(ROUND(VLOOKUP($A99,S275_21,29,FALSE)*VLOOKUP($A99,'3121% SY'!$C$3:$M$324,11,FALSE),3),0)+IFERROR(ROUND(VLOOKUP($A99,S275_21,30,FALSE)*VLOOKUP($A99,'3121% SY'!$C$3:$M$324,11,FALSE),3),0)+IFERROR(ROUND(VLOOKUP($A99,S275_21,31,FALSE)*VLOOKUP($A99,'3121% SY'!$C$3:$M$324,11,FALSE),3),0)+IFERROR(VLOOKUP($A99,S275_09,11,FALSE),0)</f>
        <v>0.10799999999999998</v>
      </c>
      <c r="Y99" s="267">
        <f>IFERROR(VLOOKUP($A99,Supp_47,14,FALSE),0)+IFERROR(SUMPRODUCT(VLOOKUP($A99,S275_01,{32,33,34},FALSE)),0)+IFERROR(SUMPRODUCT(VLOOKUP($A99,S275_97,{32,33,34},FALSE)),0)+IFERROR(ROUND(VLOOKUP($A99,S275_21,32,FALSE)*VLOOKUP($A99,'3121% SY'!$C$3:$M$324,11,FALSE),3),0)+IFERROR(ROUND(VLOOKUP($A99,S275_21,33,FALSE)*VLOOKUP($A99,'3121% SY'!$C$3:$M$324,11,FALSE),3),0)+IFERROR(ROUND(VLOOKUP($A99,S275_21,34,FALSE)*VLOOKUP($A99,'3121% SY'!$C$3:$M$324,11,FALSE),3),0)+IFERROR(VLOOKUP($A99,S275_09,12,FALSE),0)</f>
        <v>0</v>
      </c>
      <c r="Z99" s="267">
        <f>IFERROR(VLOOKUP($A99,Supp_48,14,FALSE),0)+IFERROR(SUMPRODUCT(VLOOKUP($A99,S275_01,{35,36,37},FALSE)),0)+IFERROR(SUMPRODUCT(VLOOKUP($A99,S275_97,{35,36,37},FALSE)),0)+IFERROR(ROUND(VLOOKUP($A99,S275_21,35,FALSE)*VLOOKUP($A99,'3121% SY'!$C$3:$M$324,11,FALSE),3),0)+IFERROR(ROUND(VLOOKUP($A99,S275_21,36,FALSE)*VLOOKUP($A99,'3121% SY'!$C$3:$M$324,11,FALSE),3),0)+IFERROR(ROUND(VLOOKUP($A99,S275_21,37,FALSE)*VLOOKUP($A99,'3121% SY'!$C$3:$M$324,11,FALSE),3),0)+IFERROR(VLOOKUP($A99,S275_09,13,FALSE),0)</f>
        <v>0</v>
      </c>
      <c r="AA99" s="267">
        <f>IFERROR(VLOOKUP($A99,Supp_49,14,FALSE),0)+IFERROR(SUMPRODUCT(VLOOKUP($A99,S275_01,{38,39,40},FALSE)),0)+IFERROR(SUMPRODUCT(VLOOKUP($A99,S275_97,{38,39,40},FALSE)),0)+IFERROR(ROUND(VLOOKUP($A99,S275_21,38,FALSE)*VLOOKUP($A99,'3121% SY'!$C$3:$M$324,11,FALSE),3),0)+IFERROR(ROUND(VLOOKUP($A99,S275_21,39,FALSE)*VLOOKUP($A99,'3121% SY'!$C$3:$M$324,11,FALSE),3),0)+IFERROR(ROUND(VLOOKUP($A99,S275_21,40,FALSE)*VLOOKUP($A99,'3121% SY'!$C$3:$M$324,11,FALSE),3),0)+IFERROR(VLOOKUP($A99,S275_09,14,FALSE),0)</f>
        <v>0</v>
      </c>
      <c r="AB99" s="267">
        <f>IFERROR(VLOOKUP($A99,Supp_64,14,FALSE),0)+IFERROR(SUMPRODUCT(VLOOKUP($A99,S275_01,{41,42,43},FALSE)),0)+IFERROR(SUMPRODUCT(VLOOKUP($A99,S275_97,{41,42,43},FALSE)),0)+IFERROR(ROUND(VLOOKUP($A99,S275_21,41,FALSE)*VLOOKUP($A99,'3121% SY'!$C$3:$M$324,11,FALSE),3),0)+IFERROR(ROUND(VLOOKUP($A99,S275_21,42,FALSE)*VLOOKUP($A99,'3121% SY'!$C$3:$M$324,11,FALSE),3),0)+IFERROR(ROUND(VLOOKUP($A99,S275_21,43,FALSE)*VLOOKUP($A99,'3121% SY'!$C$3:$M$324,11,FALSE),3),0)+IFERROR(VLOOKUP($A99,S275_09,15,FALSE),0)</f>
        <v>0</v>
      </c>
      <c r="AC99" s="268">
        <f t="shared" si="25"/>
        <v>1.7799999999999998</v>
      </c>
      <c r="AD99" s="267">
        <f>IFERROR(VLOOKUP($A99,Supp_24,14,FALSE),0)+IFERROR(SUMPRODUCT(VLOOKUP($A99,S275_01,{2,3,4},FALSE)),0)+IFERROR(SUMPRODUCT(VLOOKUP($A99,S275_97,{2,3,4},FALSE)),0)+IFERROR(ROUND(VLOOKUP($A99,S275_21,2,FALSE)*VLOOKUP($A99,'3121% SY'!$C$3:$M$324,11,FALSE),3),0)+IFERROR(ROUND(VLOOKUP($A99,S275_21,3,FALSE)*VLOOKUP($A99,'3121% SY'!$C$3:$M$324,11,FALSE),3),0)+IFERROR(ROUND(VLOOKUP($A99,S275_21,4,FALSE)*VLOOKUP($A99,'3121% SY'!$C$3:$M$324,11,FALSE),3),0)+IFERROR(VLOOKUP($A99,S275_09,2,FALSE),0)</f>
        <v>0</v>
      </c>
      <c r="AE99" s="267">
        <f>IFERROR(VLOOKUP($A99,Supp_25,14,FALSE),0)+IFERROR(SUMPRODUCT(VLOOKUP($A99,S275_01,{5,6,7},FALSE)),0)+IFERROR(SUMPRODUCT(VLOOKUP($A99,S275_97,{5,6,7},FALSE)),0)+IFERROR(ROUND(VLOOKUP($A99,S275_21,5,FALSE)*VLOOKUP($A99,'3121% SY'!$C$3:$M$324,11,FALSE),3),0)+IFERROR(ROUND(VLOOKUP($A99,S275_21,6,FALSE)*VLOOKUP($A99,'3121% SY'!$C$3:$M$324,11,FALSE),3),0)+IFERROR(ROUND(VLOOKUP($A99,S275_21,7,FALSE)*VLOOKUP($A99,'3121% SY'!$C$3:$M$324,11,FALSE),3),0)+IFERROR(VLOOKUP($A99,S275_09,3,FALSE),0)</f>
        <v>1.397</v>
      </c>
      <c r="AF99" s="267">
        <f>IFERROR(VLOOKUP($A99,Supp_26,14,FALSE),0)+IFERROR(SUMPRODUCT(VLOOKUP($A99,S275_01,{8,9,10},FALSE)),0)+IFERROR(SUMPRODUCT(VLOOKUP($A99,S275_97,{8,9,10},FALSE)),0)+IFERROR(ROUND(VLOOKUP($A99,S275_21,8,FALSE)*VLOOKUP($A99,'3121% SY'!$C$3:$M$324,11,FALSE),3),0)+IFERROR(ROUND(VLOOKUP($A99,S275_21,9,FALSE)*VLOOKUP($A99,'3121% SY'!$C$3:$M$324,11,FALSE),3),0)+IFERROR(ROUND(VLOOKUP($A99,S275_21,10,FALSE)*VLOOKUP($A99,'3121% SY'!$C$3:$M$324,11,FALSE),3),0)+IFERROR(VLOOKUP($A99,S275_09,4,FALSE),0)</f>
        <v>0</v>
      </c>
      <c r="AG99" s="267">
        <f>IFERROR(VLOOKUP($A99,Supp_35,14,FALSE),0)+IFERROR(SUMPRODUCT(VLOOKUP($A99,S275_01,{11,12,13},FALSE)),0)+IFERROR(SUMPRODUCT(VLOOKUP($A99,S275_97,{11,12,13},FALSE)),0)+IFERROR(ROUND(VLOOKUP($A99,S275_21,11,FALSE)*VLOOKUP($A99,'3121% SY'!$C$3:$M$324,11,FALSE),3),0)+IFERROR(ROUND(VLOOKUP($A99,S275_21,12,FALSE)*VLOOKUP($A99,'3121% SY'!$C$3:$M$324,11,FALSE),3),0)+IFERROR(ROUND(VLOOKUP($A99,S275_21,13,FALSE)*VLOOKUP($A99,'3121% SY'!$C$3:$M$324,11,FALSE),3),0)+IFERROR(VLOOKUP($A99,S275_09,5,FALSE),0)</f>
        <v>0</v>
      </c>
      <c r="AH99" s="165">
        <f t="shared" si="26"/>
        <v>1.397</v>
      </c>
      <c r="AI99" s="161">
        <f>IFERROR(VLOOKUP(A99,'Supp Staff Data'!A:ER,148,FALSE),0)+AB99</f>
        <v>0</v>
      </c>
      <c r="AJ99" s="174">
        <v>0</v>
      </c>
      <c r="AK99" s="25">
        <f>VLOOKUP(A99,'Enroll Data as of January 2025'!$A$3:$T$323,20,FALSE)-F99</f>
        <v>0</v>
      </c>
    </row>
    <row r="100" spans="1:37" x14ac:dyDescent="0.25">
      <c r="A100" s="171" t="s">
        <v>17</v>
      </c>
      <c r="B100" t="s">
        <v>314</v>
      </c>
      <c r="C100" s="173" t="s">
        <v>1077</v>
      </c>
      <c r="D100" s="259">
        <f t="shared" si="19"/>
        <v>4.508</v>
      </c>
      <c r="E100" s="259">
        <f t="shared" si="20"/>
        <v>4.1370000000000005</v>
      </c>
      <c r="F100" s="262">
        <f t="shared" si="28"/>
        <v>-0.371</v>
      </c>
      <c r="G100" s="161">
        <f>ROUND(IF(F100&lt;0,F100*'2024-25 PSES Compliance'!$G$13,0),3)</f>
        <v>-0.35599999999999998</v>
      </c>
      <c r="H100" s="161">
        <f>ROUND(IF(F100&lt;0,F100*'2024-25 PSES Compliance'!$G$14,0),3)</f>
        <v>-1.4999999999999999E-2</v>
      </c>
      <c r="I100" s="174">
        <f t="shared" si="21"/>
        <v>0.51728305535412133</v>
      </c>
      <c r="J100" s="174">
        <f t="shared" si="22"/>
        <v>0</v>
      </c>
      <c r="K100" s="161">
        <f>VLOOKUP($A100,'Enroll Data as of January 2025'!$A$3:$M$322,6,FALSE)</f>
        <v>2.577</v>
      </c>
      <c r="L100" s="161">
        <f>VLOOKUP($A100,'Enroll Data as of January 2025'!$A$3:$M$322,7,FALSE)</f>
        <v>0.39700000000000002</v>
      </c>
      <c r="M100" s="161">
        <f>VLOOKUP($A100,'Enroll Data as of January 2025'!$A$3:$M$322,8,FALSE)</f>
        <v>0.13300000000000001</v>
      </c>
      <c r="N100" s="161">
        <f>VLOOKUP($A100,'Enroll Data as of January 2025'!$A$3:$M$322,9,FALSE)</f>
        <v>1.157</v>
      </c>
      <c r="O100" s="165">
        <f t="shared" si="23"/>
        <v>4.2640000000000002</v>
      </c>
      <c r="P100" s="161">
        <f>VLOOKUP($A100,'Enroll Data as of January 2025'!$A$3:$M$322,11,FALSE)</f>
        <v>0.157</v>
      </c>
      <c r="Q100" s="161">
        <f>VLOOKUP($A100,'Enroll Data as of January 2025'!$A$3:$M$322,12,FALSE)</f>
        <v>8.6999999999999994E-2</v>
      </c>
      <c r="R100" s="165">
        <f t="shared" si="24"/>
        <v>0.24399999999999999</v>
      </c>
      <c r="S100" s="267">
        <f>IFERROR(VLOOKUP($A100,Supp_39,14,FALSE),0)+IFERROR(SUMPRODUCT(VLOOKUP($A100,S275_01,{14,15,16},FALSE)),0)+IFERROR(SUMPRODUCT(VLOOKUP($A100,S275_97,{14,15,16},FALSE)),0)+IFERROR(ROUND(VLOOKUP($A100,S275_21,14,FALSE)*VLOOKUP($A100,'3121% SY'!$C$3:$M$324,11,FALSE),3),0)+IFERROR(ROUND(VLOOKUP($A100,S275_21,15,FALSE)*VLOOKUP($A100,'3121% SY'!$C$3:$M$324,11,FALSE),3),0)+IFERROR(ROUND(VLOOKUP($A100,S275_21,16,FALSE)*VLOOKUP($A100,'3121% SY'!$C$3:$M$324,11,FALSE),3),0)+IFERROR(VLOOKUP($A100,S275_09,6,FALSE),0)</f>
        <v>1.2000000000000002</v>
      </c>
      <c r="T100" s="267">
        <f>IFERROR(VLOOKUP($A100,Supp_42,14,FALSE),0)+IFERROR(SUMPRODUCT(VLOOKUP($A100,S275_01,{17,18,19},FALSE)),0)+IFERROR(SUMPRODUCT(VLOOKUP($A100,S275_97,{17,18,19},FALSE)),0)+IFERROR(ROUND(VLOOKUP($A100,S275_21,17,FALSE)*VLOOKUP($A100,'3121% SY'!$C$3:$M$324,11,FALSE),3),0)+IFERROR(ROUND(VLOOKUP($A100,S275_21,18,FALSE)*VLOOKUP($A100,'3121% SY'!$C$3:$M$324,11,FALSE),3),0)+IFERROR(ROUND(VLOOKUP($A100,S275_21,19,FALSE)*VLOOKUP($A100,'3121% SY'!$C$3:$M$324,11,FALSE),3),0)+IFERROR(VLOOKUP($A100,S275_09,7,FALSE),0)</f>
        <v>0.4</v>
      </c>
      <c r="U100" s="267">
        <f>IFERROR(VLOOKUP($A100,Supp_43,14,FALSE),0)+IFERROR(SUMPRODUCT(VLOOKUP($A100,S275_01,{20,21,22},FALSE)),0)+IFERROR(SUMPRODUCT(VLOOKUP($A100,S275_97,{20,21,22},FALSE)),0)+IFERROR(ROUND(VLOOKUP($A100,S275_21,20,FALSE)*VLOOKUP($A100,'3121% SY'!$C$3:$M$324,11,FALSE),3),0)+IFERROR(ROUND(VLOOKUP($A100,S275_21,21,FALSE)*VLOOKUP($A100,'3121% SY'!$C$3:$M$324,11,FALSE),3),0)+IFERROR(ROUND(VLOOKUP($A100,S275_21,22,FALSE)*VLOOKUP($A100,'3121% SY'!$C$3:$M$324,11,FALSE),3),0)+IFERROR(VLOOKUP($A100,S275_09,8,FALSE),0)</f>
        <v>0</v>
      </c>
      <c r="V100" s="267">
        <f>IFERROR(VLOOKUP($A100,Supp_44,14,FALSE),0)+IFERROR(SUMPRODUCT(VLOOKUP($A100,S275_01,{23,24,25},FALSE)),0)+IFERROR(SUMPRODUCT(VLOOKUP($A100,S275_97,{23,24,25},FALSE)),0)+IFERROR(ROUND(VLOOKUP($A100,S275_21,23,FALSE)*VLOOKUP($A100,'3121% SY'!$C$3:$M$324,11,FALSE),3),0)+IFERROR(ROUND(VLOOKUP($A100,S275_21,24,FALSE)*VLOOKUP($A100,'3121% SY'!$C$3:$M$324,11,FALSE),3),0)+IFERROR(ROUND(VLOOKUP($A100,S275_21,25,FALSE)*VLOOKUP($A100,'3121% SY'!$C$3:$M$324,11,FALSE),3),0)+IFERROR(VLOOKUP($A100,S275_09,9,FALSE),0)</f>
        <v>0</v>
      </c>
      <c r="W100" s="267">
        <f>IFERROR(VLOOKUP($A100,Supp_45,14,FALSE),0)+IFERROR(SUMPRODUCT(VLOOKUP($A100,S275_01,{26,27,28},FALSE)),0)+IFERROR(SUMPRODUCT(VLOOKUP($A100,S275_97,{26,27,28},FALSE)),0)+IFERROR(ROUND(VLOOKUP($A100,S275_21,26,FALSE)*VLOOKUP($A100,'3121% SY'!$C$3:$M$324,11,FALSE),3),0)+IFERROR(ROUND(VLOOKUP($A100,S275_21,27,FALSE)*VLOOKUP($A100,'3121% SY'!$C$3:$M$324,11,FALSE),3),0)+IFERROR(ROUND(VLOOKUP($A100,S275_21,28,FALSE)*VLOOKUP($A100,'3121% SY'!$C$3:$M$324,11,FALSE),3),0)+IFERROR(VLOOKUP($A100,S275_09,10,FALSE),0)</f>
        <v>0.27</v>
      </c>
      <c r="X100" s="267">
        <f>IFERROR(VLOOKUP($A100,Supp_46,14,FALSE),0)+IFERROR(SUMPRODUCT(VLOOKUP($A100,S275_01,{29,30,31},FALSE)),0)+IFERROR(SUMPRODUCT(VLOOKUP($A100,S275_97,{29,30,31},FALSE)),0)+IFERROR(ROUND(VLOOKUP($A100,S275_21,29,FALSE)*VLOOKUP($A100,'3121% SY'!$C$3:$M$324,11,FALSE),3),0)+IFERROR(ROUND(VLOOKUP($A100,S275_21,30,FALSE)*VLOOKUP($A100,'3121% SY'!$C$3:$M$324,11,FALSE),3),0)+IFERROR(ROUND(VLOOKUP($A100,S275_21,31,FALSE)*VLOOKUP($A100,'3121% SY'!$C$3:$M$324,11,FALSE),3),0)+IFERROR(VLOOKUP($A100,S275_09,11,FALSE),0)</f>
        <v>0.27</v>
      </c>
      <c r="Y100" s="267">
        <f>IFERROR(VLOOKUP($A100,Supp_47,14,FALSE),0)+IFERROR(SUMPRODUCT(VLOOKUP($A100,S275_01,{32,33,34},FALSE)),0)+IFERROR(SUMPRODUCT(VLOOKUP($A100,S275_97,{32,33,34},FALSE)),0)+IFERROR(ROUND(VLOOKUP($A100,S275_21,32,FALSE)*VLOOKUP($A100,'3121% SY'!$C$3:$M$324,11,FALSE),3),0)+IFERROR(ROUND(VLOOKUP($A100,S275_21,33,FALSE)*VLOOKUP($A100,'3121% SY'!$C$3:$M$324,11,FALSE),3),0)+IFERROR(ROUND(VLOOKUP($A100,S275_21,34,FALSE)*VLOOKUP($A100,'3121% SY'!$C$3:$M$324,11,FALSE),3),0)+IFERROR(VLOOKUP($A100,S275_09,12,FALSE),0)</f>
        <v>0</v>
      </c>
      <c r="Z100" s="267">
        <f>IFERROR(VLOOKUP($A100,Supp_48,14,FALSE),0)+IFERROR(SUMPRODUCT(VLOOKUP($A100,S275_01,{35,36,37},FALSE)),0)+IFERROR(SUMPRODUCT(VLOOKUP($A100,S275_97,{35,36,37},FALSE)),0)+IFERROR(ROUND(VLOOKUP($A100,S275_21,35,FALSE)*VLOOKUP($A100,'3121% SY'!$C$3:$M$324,11,FALSE),3),0)+IFERROR(ROUND(VLOOKUP($A100,S275_21,36,FALSE)*VLOOKUP($A100,'3121% SY'!$C$3:$M$324,11,FALSE),3),0)+IFERROR(ROUND(VLOOKUP($A100,S275_21,37,FALSE)*VLOOKUP($A100,'3121% SY'!$C$3:$M$324,11,FALSE),3),0)+IFERROR(VLOOKUP($A100,S275_09,13,FALSE),0)</f>
        <v>0</v>
      </c>
      <c r="AA100" s="267">
        <f>IFERROR(VLOOKUP($A100,Supp_49,14,FALSE),0)+IFERROR(SUMPRODUCT(VLOOKUP($A100,S275_01,{38,39,40},FALSE)),0)+IFERROR(SUMPRODUCT(VLOOKUP($A100,S275_97,{38,39,40},FALSE)),0)+IFERROR(ROUND(VLOOKUP($A100,S275_21,38,FALSE)*VLOOKUP($A100,'3121% SY'!$C$3:$M$324,11,FALSE),3),0)+IFERROR(ROUND(VLOOKUP($A100,S275_21,39,FALSE)*VLOOKUP($A100,'3121% SY'!$C$3:$M$324,11,FALSE),3),0)+IFERROR(ROUND(VLOOKUP($A100,S275_21,40,FALSE)*VLOOKUP($A100,'3121% SY'!$C$3:$M$324,11,FALSE),3),0)+IFERROR(VLOOKUP($A100,S275_09,14,FALSE),0)</f>
        <v>0</v>
      </c>
      <c r="AB100" s="267">
        <f>IFERROR(VLOOKUP($A100,Supp_64,14,FALSE),0)+IFERROR(SUMPRODUCT(VLOOKUP($A100,S275_01,{41,42,43},FALSE)),0)+IFERROR(SUMPRODUCT(VLOOKUP($A100,S275_97,{41,42,43},FALSE)),0)+IFERROR(ROUND(VLOOKUP($A100,S275_21,41,FALSE)*VLOOKUP($A100,'3121% SY'!$C$3:$M$324,11,FALSE),3),0)+IFERROR(ROUND(VLOOKUP($A100,S275_21,42,FALSE)*VLOOKUP($A100,'3121% SY'!$C$3:$M$324,11,FALSE),3),0)+IFERROR(ROUND(VLOOKUP($A100,S275_21,43,FALSE)*VLOOKUP($A100,'3121% SY'!$C$3:$M$324,11,FALSE),3),0)+IFERROR(VLOOKUP($A100,S275_09,15,FALSE),0)</f>
        <v>0</v>
      </c>
      <c r="AC100" s="268">
        <f t="shared" si="25"/>
        <v>2.14</v>
      </c>
      <c r="AD100" s="267">
        <f>IFERROR(VLOOKUP($A100,Supp_24,14,FALSE),0)+IFERROR(SUMPRODUCT(VLOOKUP($A100,S275_01,{2,3,4},FALSE)),0)+IFERROR(SUMPRODUCT(VLOOKUP($A100,S275_97,{2,3,4},FALSE)),0)+IFERROR(ROUND(VLOOKUP($A100,S275_21,2,FALSE)*VLOOKUP($A100,'3121% SY'!$C$3:$M$324,11,FALSE),3),0)+IFERROR(ROUND(VLOOKUP($A100,S275_21,3,FALSE)*VLOOKUP($A100,'3121% SY'!$C$3:$M$324,11,FALSE),3),0)+IFERROR(ROUND(VLOOKUP($A100,S275_21,4,FALSE)*VLOOKUP($A100,'3121% SY'!$C$3:$M$324,11,FALSE),3),0)+IFERROR(VLOOKUP($A100,S275_09,2,FALSE),0)</f>
        <v>0</v>
      </c>
      <c r="AE100" s="267">
        <f>IFERROR(VLOOKUP($A100,Supp_25,14,FALSE),0)+IFERROR(SUMPRODUCT(VLOOKUP($A100,S275_01,{5,6,7},FALSE)),0)+IFERROR(SUMPRODUCT(VLOOKUP($A100,S275_97,{5,6,7},FALSE)),0)+IFERROR(ROUND(VLOOKUP($A100,S275_21,5,FALSE)*VLOOKUP($A100,'3121% SY'!$C$3:$M$324,11,FALSE),3),0)+IFERROR(ROUND(VLOOKUP($A100,S275_21,6,FALSE)*VLOOKUP($A100,'3121% SY'!$C$3:$M$324,11,FALSE),3),0)+IFERROR(ROUND(VLOOKUP($A100,S275_21,7,FALSE)*VLOOKUP($A100,'3121% SY'!$C$3:$M$324,11,FALSE),3),0)+IFERROR(VLOOKUP($A100,S275_09,3,FALSE),0)</f>
        <v>1.5840000000000001</v>
      </c>
      <c r="AF100" s="267">
        <f>IFERROR(VLOOKUP($A100,Supp_26,14,FALSE),0)+IFERROR(SUMPRODUCT(VLOOKUP($A100,S275_01,{8,9,10},FALSE)),0)+IFERROR(SUMPRODUCT(VLOOKUP($A100,S275_97,{8,9,10},FALSE)),0)+IFERROR(ROUND(VLOOKUP($A100,S275_21,8,FALSE)*VLOOKUP($A100,'3121% SY'!$C$3:$M$324,11,FALSE),3),0)+IFERROR(ROUND(VLOOKUP($A100,S275_21,9,FALSE)*VLOOKUP($A100,'3121% SY'!$C$3:$M$324,11,FALSE),3),0)+IFERROR(ROUND(VLOOKUP($A100,S275_21,10,FALSE)*VLOOKUP($A100,'3121% SY'!$C$3:$M$324,11,FALSE),3),0)+IFERROR(VLOOKUP($A100,S275_09,4,FALSE),0)</f>
        <v>0.41299999999999998</v>
      </c>
      <c r="AG100" s="267">
        <f>IFERROR(VLOOKUP($A100,Supp_35,14,FALSE),0)+IFERROR(SUMPRODUCT(VLOOKUP($A100,S275_01,{11,12,13},FALSE)),0)+IFERROR(SUMPRODUCT(VLOOKUP($A100,S275_97,{11,12,13},FALSE)),0)+IFERROR(ROUND(VLOOKUP($A100,S275_21,11,FALSE)*VLOOKUP($A100,'3121% SY'!$C$3:$M$324,11,FALSE),3),0)+IFERROR(ROUND(VLOOKUP($A100,S275_21,12,FALSE)*VLOOKUP($A100,'3121% SY'!$C$3:$M$324,11,FALSE),3),0)+IFERROR(ROUND(VLOOKUP($A100,S275_21,13,FALSE)*VLOOKUP($A100,'3121% SY'!$C$3:$M$324,11,FALSE),3),0)+IFERROR(VLOOKUP($A100,S275_09,5,FALSE),0)</f>
        <v>0</v>
      </c>
      <c r="AH100" s="165">
        <f t="shared" si="26"/>
        <v>1.9970000000000001</v>
      </c>
      <c r="AI100" s="161">
        <f>IFERROR(VLOOKUP(A100,'Supp Staff Data'!A:ER,148,FALSE),0)+AB100</f>
        <v>0</v>
      </c>
      <c r="AJ100" s="174">
        <v>1</v>
      </c>
      <c r="AK100" s="25">
        <f>VLOOKUP(A100,'Enroll Data as of January 2025'!$A$3:$T$323,20,FALSE)-F100</f>
        <v>0</v>
      </c>
    </row>
    <row r="101" spans="1:37" x14ac:dyDescent="0.25">
      <c r="A101" s="171" t="s">
        <v>108</v>
      </c>
      <c r="B101" t="s">
        <v>404</v>
      </c>
      <c r="C101" s="173" t="s">
        <v>1077</v>
      </c>
      <c r="D101" s="259">
        <f t="shared" si="19"/>
        <v>48.073999999999998</v>
      </c>
      <c r="E101" s="259">
        <f t="shared" si="20"/>
        <v>46.378</v>
      </c>
      <c r="F101" s="262">
        <f t="shared" si="28"/>
        <v>-1.696</v>
      </c>
      <c r="G101" s="161">
        <f>ROUND(IF(F101&lt;0,F101*'2024-25 PSES Compliance'!$G$13,0),3)</f>
        <v>-1.6279999999999999</v>
      </c>
      <c r="H101" s="161">
        <f>ROUND(IF(F101&lt;0,F101*'2024-25 PSES Compliance'!$G$14,0),3)</f>
        <v>-6.8000000000000005E-2</v>
      </c>
      <c r="I101" s="174">
        <f t="shared" si="21"/>
        <v>0.58508344473672858</v>
      </c>
      <c r="J101" s="174">
        <f t="shared" si="22"/>
        <v>0</v>
      </c>
      <c r="K101" s="161">
        <f>VLOOKUP($A101,'Enroll Data as of January 2025'!$A$3:$M$322,6,FALSE)</f>
        <v>27.225999999999999</v>
      </c>
      <c r="L101" s="161">
        <f>VLOOKUP($A101,'Enroll Data as of January 2025'!$A$3:$M$322,7,FALSE)</f>
        <v>4.3180000000000005</v>
      </c>
      <c r="M101" s="161">
        <f>VLOOKUP($A101,'Enroll Data as of January 2025'!$A$3:$M$322,8,FALSE)</f>
        <v>1.448</v>
      </c>
      <c r="N101" s="161">
        <f>VLOOKUP($A101,'Enroll Data as of January 2025'!$A$3:$M$322,9,FALSE)</f>
        <v>12.439</v>
      </c>
      <c r="O101" s="165">
        <f t="shared" si="23"/>
        <v>45.430999999999997</v>
      </c>
      <c r="P101" s="161">
        <f>VLOOKUP($A101,'Enroll Data as of January 2025'!$A$3:$M$322,11,FALSE)</f>
        <v>1.6859999999999999</v>
      </c>
      <c r="Q101" s="161">
        <f>VLOOKUP($A101,'Enroll Data as of January 2025'!$A$3:$M$322,12,FALSE)</f>
        <v>0.95699999999999996</v>
      </c>
      <c r="R101" s="165">
        <f t="shared" si="24"/>
        <v>2.6429999999999998</v>
      </c>
      <c r="S101" s="267">
        <f>IFERROR(VLOOKUP($A101,Supp_39,14,FALSE),0)+IFERROR(SUMPRODUCT(VLOOKUP($A101,S275_01,{14,15,16},FALSE)),0)+IFERROR(SUMPRODUCT(VLOOKUP($A101,S275_97,{14,15,16},FALSE)),0)+IFERROR(ROUND(VLOOKUP($A101,S275_21,14,FALSE)*VLOOKUP($A101,'3121% SY'!$C$3:$M$324,11,FALSE),3),0)+IFERROR(ROUND(VLOOKUP($A101,S275_21,15,FALSE)*VLOOKUP($A101,'3121% SY'!$C$3:$M$324,11,FALSE),3),0)+IFERROR(ROUND(VLOOKUP($A101,S275_21,16,FALSE)*VLOOKUP($A101,'3121% SY'!$C$3:$M$324,11,FALSE),3),0)+IFERROR(VLOOKUP($A101,S275_09,6,FALSE),0)</f>
        <v>14.434999999999999</v>
      </c>
      <c r="T101" s="267">
        <f>IFERROR(VLOOKUP($A101,Supp_42,14,FALSE),0)+IFERROR(SUMPRODUCT(VLOOKUP($A101,S275_01,{17,18,19},FALSE)),0)+IFERROR(SUMPRODUCT(VLOOKUP($A101,S275_97,{17,18,19},FALSE)),0)+IFERROR(ROUND(VLOOKUP($A101,S275_21,17,FALSE)*VLOOKUP($A101,'3121% SY'!$C$3:$M$324,11,FALSE),3),0)+IFERROR(ROUND(VLOOKUP($A101,S275_21,18,FALSE)*VLOOKUP($A101,'3121% SY'!$C$3:$M$324,11,FALSE),3),0)+IFERROR(ROUND(VLOOKUP($A101,S275_21,19,FALSE)*VLOOKUP($A101,'3121% SY'!$C$3:$M$324,11,FALSE),3),0)+IFERROR(VLOOKUP($A101,S275_09,7,FALSE),0)</f>
        <v>4.7649999999999997</v>
      </c>
      <c r="U101" s="267">
        <f>IFERROR(VLOOKUP($A101,Supp_43,14,FALSE),0)+IFERROR(SUMPRODUCT(VLOOKUP($A101,S275_01,{20,21,22},FALSE)),0)+IFERROR(SUMPRODUCT(VLOOKUP($A101,S275_97,{20,21,22},FALSE)),0)+IFERROR(ROUND(VLOOKUP($A101,S275_21,20,FALSE)*VLOOKUP($A101,'3121% SY'!$C$3:$M$324,11,FALSE),3),0)+IFERROR(ROUND(VLOOKUP($A101,S275_21,21,FALSE)*VLOOKUP($A101,'3121% SY'!$C$3:$M$324,11,FALSE),3),0)+IFERROR(ROUND(VLOOKUP($A101,S275_21,22,FALSE)*VLOOKUP($A101,'3121% SY'!$C$3:$M$324,11,FALSE),3),0)+IFERROR(VLOOKUP($A101,S275_09,8,FALSE),0)</f>
        <v>0.71599999999999997</v>
      </c>
      <c r="V101" s="267">
        <f>IFERROR(VLOOKUP($A101,Supp_44,14,FALSE),0)+IFERROR(SUMPRODUCT(VLOOKUP($A101,S275_01,{23,24,25},FALSE)),0)+IFERROR(SUMPRODUCT(VLOOKUP($A101,S275_97,{23,24,25},FALSE)),0)+IFERROR(ROUND(VLOOKUP($A101,S275_21,23,FALSE)*VLOOKUP($A101,'3121% SY'!$C$3:$M$324,11,FALSE),3),0)+IFERROR(ROUND(VLOOKUP($A101,S275_21,24,FALSE)*VLOOKUP($A101,'3121% SY'!$C$3:$M$324,11,FALSE),3),0)+IFERROR(ROUND(VLOOKUP($A101,S275_21,25,FALSE)*VLOOKUP($A101,'3121% SY'!$C$3:$M$324,11,FALSE),3),0)+IFERROR(VLOOKUP($A101,S275_09,9,FALSE),0)</f>
        <v>0</v>
      </c>
      <c r="W101" s="267">
        <f>IFERROR(VLOOKUP($A101,Supp_45,14,FALSE),0)+IFERROR(SUMPRODUCT(VLOOKUP($A101,S275_01,{26,27,28},FALSE)),0)+IFERROR(SUMPRODUCT(VLOOKUP($A101,S275_97,{26,27,28},FALSE)),0)+IFERROR(ROUND(VLOOKUP($A101,S275_21,26,FALSE)*VLOOKUP($A101,'3121% SY'!$C$3:$M$324,11,FALSE),3),0)+IFERROR(ROUND(VLOOKUP($A101,S275_21,27,FALSE)*VLOOKUP($A101,'3121% SY'!$C$3:$M$324,11,FALSE),3),0)+IFERROR(ROUND(VLOOKUP($A101,S275_21,28,FALSE)*VLOOKUP($A101,'3121% SY'!$C$3:$M$324,11,FALSE),3),0)+IFERROR(VLOOKUP($A101,S275_09,10,FALSE),0)</f>
        <v>3.1949999999999994</v>
      </c>
      <c r="X101" s="267">
        <f>IFERROR(VLOOKUP($A101,Supp_46,14,FALSE),0)+IFERROR(SUMPRODUCT(VLOOKUP($A101,S275_01,{29,30,31},FALSE)),0)+IFERROR(SUMPRODUCT(VLOOKUP($A101,S275_97,{29,30,31},FALSE)),0)+IFERROR(ROUND(VLOOKUP($A101,S275_21,29,FALSE)*VLOOKUP($A101,'3121% SY'!$C$3:$M$324,11,FALSE),3),0)+IFERROR(ROUND(VLOOKUP($A101,S275_21,30,FALSE)*VLOOKUP($A101,'3121% SY'!$C$3:$M$324,11,FALSE),3),0)+IFERROR(ROUND(VLOOKUP($A101,S275_21,31,FALSE)*VLOOKUP($A101,'3121% SY'!$C$3:$M$324,11,FALSE),3),0)+IFERROR(VLOOKUP($A101,S275_09,11,FALSE),0)</f>
        <v>3.4669999999999996</v>
      </c>
      <c r="Y101" s="267">
        <f>IFERROR(VLOOKUP($A101,Supp_47,14,FALSE),0)+IFERROR(SUMPRODUCT(VLOOKUP($A101,S275_01,{32,33,34},FALSE)),0)+IFERROR(SUMPRODUCT(VLOOKUP($A101,S275_97,{32,33,34},FALSE)),0)+IFERROR(ROUND(VLOOKUP($A101,S275_21,32,FALSE)*VLOOKUP($A101,'3121% SY'!$C$3:$M$324,11,FALSE),3),0)+IFERROR(ROUND(VLOOKUP($A101,S275_21,33,FALSE)*VLOOKUP($A101,'3121% SY'!$C$3:$M$324,11,FALSE),3),0)+IFERROR(ROUND(VLOOKUP($A101,S275_21,34,FALSE)*VLOOKUP($A101,'3121% SY'!$C$3:$M$324,11,FALSE),3),0)+IFERROR(VLOOKUP($A101,S275_09,12,FALSE),0)</f>
        <v>0.32</v>
      </c>
      <c r="Z101" s="267">
        <f>IFERROR(VLOOKUP($A101,Supp_48,14,FALSE),0)+IFERROR(SUMPRODUCT(VLOOKUP($A101,S275_01,{35,36,37},FALSE)),0)+IFERROR(SUMPRODUCT(VLOOKUP($A101,S275_97,{35,36,37},FALSE)),0)+IFERROR(ROUND(VLOOKUP($A101,S275_21,35,FALSE)*VLOOKUP($A101,'3121% SY'!$C$3:$M$324,11,FALSE),3),0)+IFERROR(ROUND(VLOOKUP($A101,S275_21,36,FALSE)*VLOOKUP($A101,'3121% SY'!$C$3:$M$324,11,FALSE),3),0)+IFERROR(ROUND(VLOOKUP($A101,S275_21,37,FALSE)*VLOOKUP($A101,'3121% SY'!$C$3:$M$324,11,FALSE),3),0)+IFERROR(VLOOKUP($A101,S275_09,13,FALSE),0)</f>
        <v>0.23699999999999999</v>
      </c>
      <c r="AA101" s="267">
        <f>IFERROR(VLOOKUP($A101,Supp_49,14,FALSE),0)+IFERROR(SUMPRODUCT(VLOOKUP($A101,S275_01,{38,39,40},FALSE)),0)+IFERROR(SUMPRODUCT(VLOOKUP($A101,S275_97,{38,39,40},FALSE)),0)+IFERROR(ROUND(VLOOKUP($A101,S275_21,38,FALSE)*VLOOKUP($A101,'3121% SY'!$C$3:$M$324,11,FALSE),3),0)+IFERROR(ROUND(VLOOKUP($A101,S275_21,39,FALSE)*VLOOKUP($A101,'3121% SY'!$C$3:$M$324,11,FALSE),3),0)+IFERROR(ROUND(VLOOKUP($A101,S275_21,40,FALSE)*VLOOKUP($A101,'3121% SY'!$C$3:$M$324,11,FALSE),3),0)+IFERROR(VLOOKUP($A101,S275_09,14,FALSE),0)</f>
        <v>0</v>
      </c>
      <c r="AB101" s="267">
        <f>IFERROR(VLOOKUP($A101,Supp_64,14,FALSE),0)+IFERROR(SUMPRODUCT(VLOOKUP($A101,S275_01,{41,42,43},FALSE)),0)+IFERROR(SUMPRODUCT(VLOOKUP($A101,S275_97,{41,42,43},FALSE)),0)+IFERROR(ROUND(VLOOKUP($A101,S275_21,41,FALSE)*VLOOKUP($A101,'3121% SY'!$C$3:$M$324,11,FALSE),3),0)+IFERROR(ROUND(VLOOKUP($A101,S275_21,42,FALSE)*VLOOKUP($A101,'3121% SY'!$C$3:$M$324,11,FALSE),3),0)+IFERROR(ROUND(VLOOKUP($A101,S275_21,43,FALSE)*VLOOKUP($A101,'3121% SY'!$C$3:$M$324,11,FALSE),3),0)+IFERROR(VLOOKUP($A101,S275_09,15,FALSE),0)</f>
        <v>0</v>
      </c>
      <c r="AC101" s="268">
        <f t="shared" si="25"/>
        <v>27.134999999999998</v>
      </c>
      <c r="AD101" s="267">
        <f>IFERROR(VLOOKUP($A101,Supp_24,14,FALSE),0)+IFERROR(SUMPRODUCT(VLOOKUP($A101,S275_01,{2,3,4},FALSE)),0)+IFERROR(SUMPRODUCT(VLOOKUP($A101,S275_97,{2,3,4},FALSE)),0)+IFERROR(ROUND(VLOOKUP($A101,S275_21,2,FALSE)*VLOOKUP($A101,'3121% SY'!$C$3:$M$324,11,FALSE),3),0)+IFERROR(ROUND(VLOOKUP($A101,S275_21,3,FALSE)*VLOOKUP($A101,'3121% SY'!$C$3:$M$324,11,FALSE),3),0)+IFERROR(ROUND(VLOOKUP($A101,S275_21,4,FALSE)*VLOOKUP($A101,'3121% SY'!$C$3:$M$324,11,FALSE),3),0)+IFERROR(VLOOKUP($A101,S275_09,2,FALSE),0)</f>
        <v>0</v>
      </c>
      <c r="AE101" s="267">
        <f>IFERROR(VLOOKUP($A101,Supp_25,14,FALSE),0)+IFERROR(SUMPRODUCT(VLOOKUP($A101,S275_01,{5,6,7},FALSE)),0)+IFERROR(SUMPRODUCT(VLOOKUP($A101,S275_97,{5,6,7},FALSE)),0)+IFERROR(ROUND(VLOOKUP($A101,S275_21,5,FALSE)*VLOOKUP($A101,'3121% SY'!$C$3:$M$324,11,FALSE),3),0)+IFERROR(ROUND(VLOOKUP($A101,S275_21,6,FALSE)*VLOOKUP($A101,'3121% SY'!$C$3:$M$324,11,FALSE),3),0)+IFERROR(ROUND(VLOOKUP($A101,S275_21,7,FALSE)*VLOOKUP($A101,'3121% SY'!$C$3:$M$324,11,FALSE),3),0)+IFERROR(VLOOKUP($A101,S275_09,3,FALSE),0)</f>
        <v>2.5619999999999998</v>
      </c>
      <c r="AF101" s="267">
        <f>IFERROR(VLOOKUP($A101,Supp_26,14,FALSE),0)+IFERROR(SUMPRODUCT(VLOOKUP($A101,S275_01,{8,9,10},FALSE)),0)+IFERROR(SUMPRODUCT(VLOOKUP($A101,S275_97,{8,9,10},FALSE)),0)+IFERROR(ROUND(VLOOKUP($A101,S275_21,8,FALSE)*VLOOKUP($A101,'3121% SY'!$C$3:$M$324,11,FALSE),3),0)+IFERROR(ROUND(VLOOKUP($A101,S275_21,9,FALSE)*VLOOKUP($A101,'3121% SY'!$C$3:$M$324,11,FALSE),3),0)+IFERROR(ROUND(VLOOKUP($A101,S275_21,10,FALSE)*VLOOKUP($A101,'3121% SY'!$C$3:$M$324,11,FALSE),3),0)+IFERROR(VLOOKUP($A101,S275_09,4,FALSE),0)</f>
        <v>14.568000000000001</v>
      </c>
      <c r="AG101" s="267">
        <f>IFERROR(VLOOKUP($A101,Supp_35,14,FALSE),0)+IFERROR(SUMPRODUCT(VLOOKUP($A101,S275_01,{11,12,13},FALSE)),0)+IFERROR(SUMPRODUCT(VLOOKUP($A101,S275_97,{11,12,13},FALSE)),0)+IFERROR(ROUND(VLOOKUP($A101,S275_21,11,FALSE)*VLOOKUP($A101,'3121% SY'!$C$3:$M$324,11,FALSE),3),0)+IFERROR(ROUND(VLOOKUP($A101,S275_21,12,FALSE)*VLOOKUP($A101,'3121% SY'!$C$3:$M$324,11,FALSE),3),0)+IFERROR(ROUND(VLOOKUP($A101,S275_21,13,FALSE)*VLOOKUP($A101,'3121% SY'!$C$3:$M$324,11,FALSE),3),0)+IFERROR(VLOOKUP($A101,S275_09,5,FALSE),0)</f>
        <v>2.113</v>
      </c>
      <c r="AH101" s="165">
        <f t="shared" si="26"/>
        <v>19.243000000000002</v>
      </c>
      <c r="AI101" s="161">
        <f>IFERROR(VLOOKUP(A101,'Supp Staff Data'!A:ER,148,FALSE),0)+AB101</f>
        <v>0</v>
      </c>
      <c r="AJ101" s="174">
        <v>1</v>
      </c>
      <c r="AK101" s="25">
        <f>VLOOKUP(A101,'Enroll Data as of January 2025'!$A$3:$T$323,20,FALSE)-F101</f>
        <v>0</v>
      </c>
    </row>
    <row r="102" spans="1:37" x14ac:dyDescent="0.25">
      <c r="A102" s="171" t="s">
        <v>267</v>
      </c>
      <c r="B102" t="s">
        <v>563</v>
      </c>
      <c r="C102" s="173" t="s">
        <v>1077</v>
      </c>
      <c r="D102" s="259">
        <f t="shared" si="19"/>
        <v>1.4330000000000001</v>
      </c>
      <c r="E102" s="259">
        <f t="shared" si="20"/>
        <v>0.41300000000000003</v>
      </c>
      <c r="F102" s="262">
        <f t="shared" si="28"/>
        <v>-1.02</v>
      </c>
      <c r="G102" s="161">
        <f>ROUND(IF(F102&lt;0,F102*'2024-25 PSES Compliance'!$G$13,0),3)</f>
        <v>-0.97899999999999998</v>
      </c>
      <c r="H102" s="161">
        <f>ROUND(IF(F102&lt;0,F102*'2024-25 PSES Compliance'!$G$14,0),3)</f>
        <v>-4.1000000000000002E-2</v>
      </c>
      <c r="I102" s="174">
        <f t="shared" si="21"/>
        <v>0</v>
      </c>
      <c r="J102" s="174">
        <f t="shared" si="22"/>
        <v>0</v>
      </c>
      <c r="K102" s="161">
        <f>VLOOKUP($A102,'Enroll Data as of January 2025'!$A$3:$M$322,6,FALSE)</f>
        <v>0.79</v>
      </c>
      <c r="L102" s="161">
        <f>VLOOKUP($A102,'Enroll Data as of January 2025'!$A$3:$M$322,7,FALSE)</f>
        <v>0.14000000000000001</v>
      </c>
      <c r="M102" s="161">
        <f>VLOOKUP($A102,'Enroll Data as of January 2025'!$A$3:$M$322,8,FALSE)</f>
        <v>4.5999999999999999E-2</v>
      </c>
      <c r="N102" s="161">
        <f>VLOOKUP($A102,'Enroll Data as of January 2025'!$A$3:$M$322,9,FALSE)</f>
        <v>0.374</v>
      </c>
      <c r="O102" s="165">
        <f t="shared" si="23"/>
        <v>1.35</v>
      </c>
      <c r="P102" s="161">
        <f>VLOOKUP($A102,'Enroll Data as of January 2025'!$A$3:$M$322,11,FALSE)</f>
        <v>5.1000000000000004E-2</v>
      </c>
      <c r="Q102" s="161">
        <f>VLOOKUP($A102,'Enroll Data as of January 2025'!$A$3:$M$322,12,FALSE)</f>
        <v>3.2000000000000001E-2</v>
      </c>
      <c r="R102" s="165">
        <f t="shared" si="24"/>
        <v>8.3000000000000004E-2</v>
      </c>
      <c r="S102" s="267">
        <f>IFERROR(VLOOKUP($A102,Supp_39,14,FALSE),0)+IFERROR(SUMPRODUCT(VLOOKUP($A102,S275_01,{14,15,16},FALSE)),0)+IFERROR(SUMPRODUCT(VLOOKUP($A102,S275_97,{14,15,16},FALSE)),0)+IFERROR(ROUND(VLOOKUP($A102,S275_21,14,FALSE)*VLOOKUP($A102,'3121% SY'!$C$3:$M$324,11,FALSE),3),0)+IFERROR(ROUND(VLOOKUP($A102,S275_21,15,FALSE)*VLOOKUP($A102,'3121% SY'!$C$3:$M$324,11,FALSE),3),0)+IFERROR(ROUND(VLOOKUP($A102,S275_21,16,FALSE)*VLOOKUP($A102,'3121% SY'!$C$3:$M$324,11,FALSE),3),0)+IFERROR(VLOOKUP($A102,S275_09,6,FALSE),0)</f>
        <v>0.22999999999999998</v>
      </c>
      <c r="T102" s="267">
        <f>IFERROR(VLOOKUP($A102,Supp_42,14,FALSE),0)+IFERROR(SUMPRODUCT(VLOOKUP($A102,S275_01,{17,18,19},FALSE)),0)+IFERROR(SUMPRODUCT(VLOOKUP($A102,S275_97,{17,18,19},FALSE)),0)+IFERROR(ROUND(VLOOKUP($A102,S275_21,17,FALSE)*VLOOKUP($A102,'3121% SY'!$C$3:$M$324,11,FALSE),3),0)+IFERROR(ROUND(VLOOKUP($A102,S275_21,18,FALSE)*VLOOKUP($A102,'3121% SY'!$C$3:$M$324,11,FALSE),3),0)+IFERROR(ROUND(VLOOKUP($A102,S275_21,19,FALSE)*VLOOKUP($A102,'3121% SY'!$C$3:$M$324,11,FALSE),3),0)+IFERROR(VLOOKUP($A102,S275_09,7,FALSE),0)</f>
        <v>0.17</v>
      </c>
      <c r="U102" s="267">
        <f>IFERROR(VLOOKUP($A102,Supp_43,14,FALSE),0)+IFERROR(SUMPRODUCT(VLOOKUP($A102,S275_01,{20,21,22},FALSE)),0)+IFERROR(SUMPRODUCT(VLOOKUP($A102,S275_97,{20,21,22},FALSE)),0)+IFERROR(ROUND(VLOOKUP($A102,S275_21,20,FALSE)*VLOOKUP($A102,'3121% SY'!$C$3:$M$324,11,FALSE),3),0)+IFERROR(ROUND(VLOOKUP($A102,S275_21,21,FALSE)*VLOOKUP($A102,'3121% SY'!$C$3:$M$324,11,FALSE),3),0)+IFERROR(ROUND(VLOOKUP($A102,S275_21,22,FALSE)*VLOOKUP($A102,'3121% SY'!$C$3:$M$324,11,FALSE),3),0)+IFERROR(VLOOKUP($A102,S275_09,8,FALSE),0)</f>
        <v>0</v>
      </c>
      <c r="V102" s="267">
        <f>IFERROR(VLOOKUP($A102,Supp_44,14,FALSE),0)+IFERROR(SUMPRODUCT(VLOOKUP($A102,S275_01,{23,24,25},FALSE)),0)+IFERROR(SUMPRODUCT(VLOOKUP($A102,S275_97,{23,24,25},FALSE)),0)+IFERROR(ROUND(VLOOKUP($A102,S275_21,23,FALSE)*VLOOKUP($A102,'3121% SY'!$C$3:$M$324,11,FALSE),3),0)+IFERROR(ROUND(VLOOKUP($A102,S275_21,24,FALSE)*VLOOKUP($A102,'3121% SY'!$C$3:$M$324,11,FALSE),3),0)+IFERROR(ROUND(VLOOKUP($A102,S275_21,25,FALSE)*VLOOKUP($A102,'3121% SY'!$C$3:$M$324,11,FALSE),3),0)+IFERROR(VLOOKUP($A102,S275_09,9,FALSE),0)</f>
        <v>0</v>
      </c>
      <c r="W102" s="267">
        <f>IFERROR(VLOOKUP($A102,Supp_45,14,FALSE),0)+IFERROR(SUMPRODUCT(VLOOKUP($A102,S275_01,{26,27,28},FALSE)),0)+IFERROR(SUMPRODUCT(VLOOKUP($A102,S275_97,{26,27,28},FALSE)),0)+IFERROR(ROUND(VLOOKUP($A102,S275_21,26,FALSE)*VLOOKUP($A102,'3121% SY'!$C$3:$M$324,11,FALSE),3),0)+IFERROR(ROUND(VLOOKUP($A102,S275_21,27,FALSE)*VLOOKUP($A102,'3121% SY'!$C$3:$M$324,11,FALSE),3),0)+IFERROR(ROUND(VLOOKUP($A102,S275_21,28,FALSE)*VLOOKUP($A102,'3121% SY'!$C$3:$M$324,11,FALSE),3),0)+IFERROR(VLOOKUP($A102,S275_09,10,FALSE),0)</f>
        <v>0</v>
      </c>
      <c r="X102" s="267">
        <f>IFERROR(VLOOKUP($A102,Supp_46,14,FALSE),0)+IFERROR(SUMPRODUCT(VLOOKUP($A102,S275_01,{29,30,31},FALSE)),0)+IFERROR(SUMPRODUCT(VLOOKUP($A102,S275_97,{29,30,31},FALSE)),0)+IFERROR(ROUND(VLOOKUP($A102,S275_21,29,FALSE)*VLOOKUP($A102,'3121% SY'!$C$3:$M$324,11,FALSE),3),0)+IFERROR(ROUND(VLOOKUP($A102,S275_21,30,FALSE)*VLOOKUP($A102,'3121% SY'!$C$3:$M$324,11,FALSE),3),0)+IFERROR(ROUND(VLOOKUP($A102,S275_21,31,FALSE)*VLOOKUP($A102,'3121% SY'!$C$3:$M$324,11,FALSE),3),0)+IFERROR(VLOOKUP($A102,S275_09,11,FALSE),0)</f>
        <v>0</v>
      </c>
      <c r="Y102" s="267">
        <f>IFERROR(VLOOKUP($A102,Supp_47,14,FALSE),0)+IFERROR(SUMPRODUCT(VLOOKUP($A102,S275_01,{32,33,34},FALSE)),0)+IFERROR(SUMPRODUCT(VLOOKUP($A102,S275_97,{32,33,34},FALSE)),0)+IFERROR(ROUND(VLOOKUP($A102,S275_21,32,FALSE)*VLOOKUP($A102,'3121% SY'!$C$3:$M$324,11,FALSE),3),0)+IFERROR(ROUND(VLOOKUP($A102,S275_21,33,FALSE)*VLOOKUP($A102,'3121% SY'!$C$3:$M$324,11,FALSE),3),0)+IFERROR(ROUND(VLOOKUP($A102,S275_21,34,FALSE)*VLOOKUP($A102,'3121% SY'!$C$3:$M$324,11,FALSE),3),0)+IFERROR(VLOOKUP($A102,S275_09,12,FALSE),0)</f>
        <v>0</v>
      </c>
      <c r="Z102" s="267">
        <f>IFERROR(VLOOKUP($A102,Supp_48,14,FALSE),0)+IFERROR(SUMPRODUCT(VLOOKUP($A102,S275_01,{35,36,37},FALSE)),0)+IFERROR(SUMPRODUCT(VLOOKUP($A102,S275_97,{35,36,37},FALSE)),0)+IFERROR(ROUND(VLOOKUP($A102,S275_21,35,FALSE)*VLOOKUP($A102,'3121% SY'!$C$3:$M$324,11,FALSE),3),0)+IFERROR(ROUND(VLOOKUP($A102,S275_21,36,FALSE)*VLOOKUP($A102,'3121% SY'!$C$3:$M$324,11,FALSE),3),0)+IFERROR(ROUND(VLOOKUP($A102,S275_21,37,FALSE)*VLOOKUP($A102,'3121% SY'!$C$3:$M$324,11,FALSE),3),0)+IFERROR(VLOOKUP($A102,S275_09,13,FALSE),0)</f>
        <v>0</v>
      </c>
      <c r="AA102" s="267">
        <f>IFERROR(VLOOKUP($A102,Supp_49,14,FALSE),0)+IFERROR(SUMPRODUCT(VLOOKUP($A102,S275_01,{38,39,40},FALSE)),0)+IFERROR(SUMPRODUCT(VLOOKUP($A102,S275_97,{38,39,40},FALSE)),0)+IFERROR(ROUND(VLOOKUP($A102,S275_21,38,FALSE)*VLOOKUP($A102,'3121% SY'!$C$3:$M$324,11,FALSE),3),0)+IFERROR(ROUND(VLOOKUP($A102,S275_21,39,FALSE)*VLOOKUP($A102,'3121% SY'!$C$3:$M$324,11,FALSE),3),0)+IFERROR(ROUND(VLOOKUP($A102,S275_21,40,FALSE)*VLOOKUP($A102,'3121% SY'!$C$3:$M$324,11,FALSE),3),0)+IFERROR(VLOOKUP($A102,S275_09,14,FALSE),0)</f>
        <v>0</v>
      </c>
      <c r="AB102" s="267">
        <f>IFERROR(VLOOKUP($A102,Supp_64,14,FALSE),0)+IFERROR(SUMPRODUCT(VLOOKUP($A102,S275_01,{41,42,43},FALSE)),0)+IFERROR(SUMPRODUCT(VLOOKUP($A102,S275_97,{41,42,43},FALSE)),0)+IFERROR(ROUND(VLOOKUP($A102,S275_21,41,FALSE)*VLOOKUP($A102,'3121% SY'!$C$3:$M$324,11,FALSE),3),0)+IFERROR(ROUND(VLOOKUP($A102,S275_21,42,FALSE)*VLOOKUP($A102,'3121% SY'!$C$3:$M$324,11,FALSE),3),0)+IFERROR(ROUND(VLOOKUP($A102,S275_21,43,FALSE)*VLOOKUP($A102,'3121% SY'!$C$3:$M$324,11,FALSE),3),0)+IFERROR(VLOOKUP($A102,S275_09,15,FALSE),0)</f>
        <v>0</v>
      </c>
      <c r="AC102" s="268">
        <f t="shared" si="25"/>
        <v>0.4</v>
      </c>
      <c r="AD102" s="267">
        <f>IFERROR(VLOOKUP($A102,Supp_24,14,FALSE),0)+IFERROR(SUMPRODUCT(VLOOKUP($A102,S275_01,{2,3,4},FALSE)),0)+IFERROR(SUMPRODUCT(VLOOKUP($A102,S275_97,{2,3,4},FALSE)),0)+IFERROR(ROUND(VLOOKUP($A102,S275_21,2,FALSE)*VLOOKUP($A102,'3121% SY'!$C$3:$M$324,11,FALSE),3),0)+IFERROR(ROUND(VLOOKUP($A102,S275_21,3,FALSE)*VLOOKUP($A102,'3121% SY'!$C$3:$M$324,11,FALSE),3),0)+IFERROR(ROUND(VLOOKUP($A102,S275_21,4,FALSE)*VLOOKUP($A102,'3121% SY'!$C$3:$M$324,11,FALSE),3),0)+IFERROR(VLOOKUP($A102,S275_09,2,FALSE),0)</f>
        <v>0</v>
      </c>
      <c r="AE102" s="267">
        <f>IFERROR(VLOOKUP($A102,Supp_25,14,FALSE),0)+IFERROR(SUMPRODUCT(VLOOKUP($A102,S275_01,{5,6,7},FALSE)),0)+IFERROR(SUMPRODUCT(VLOOKUP($A102,S275_97,{5,6,7},FALSE)),0)+IFERROR(ROUND(VLOOKUP($A102,S275_21,5,FALSE)*VLOOKUP($A102,'3121% SY'!$C$3:$M$324,11,FALSE),3),0)+IFERROR(ROUND(VLOOKUP($A102,S275_21,6,FALSE)*VLOOKUP($A102,'3121% SY'!$C$3:$M$324,11,FALSE),3),0)+IFERROR(ROUND(VLOOKUP($A102,S275_21,7,FALSE)*VLOOKUP($A102,'3121% SY'!$C$3:$M$324,11,FALSE),3),0)+IFERROR(VLOOKUP($A102,S275_09,3,FALSE),0)</f>
        <v>0</v>
      </c>
      <c r="AF102" s="267">
        <f>IFERROR(VLOOKUP($A102,Supp_26,14,FALSE),0)+IFERROR(SUMPRODUCT(VLOOKUP($A102,S275_01,{8,9,10},FALSE)),0)+IFERROR(SUMPRODUCT(VLOOKUP($A102,S275_97,{8,9,10},FALSE)),0)+IFERROR(ROUND(VLOOKUP($A102,S275_21,8,FALSE)*VLOOKUP($A102,'3121% SY'!$C$3:$M$324,11,FALSE),3),0)+IFERROR(ROUND(VLOOKUP($A102,S275_21,9,FALSE)*VLOOKUP($A102,'3121% SY'!$C$3:$M$324,11,FALSE),3),0)+IFERROR(ROUND(VLOOKUP($A102,S275_21,10,FALSE)*VLOOKUP($A102,'3121% SY'!$C$3:$M$324,11,FALSE),3),0)+IFERROR(VLOOKUP($A102,S275_09,4,FALSE),0)</f>
        <v>1.2999999999999999E-2</v>
      </c>
      <c r="AG102" s="267">
        <f>IFERROR(VLOOKUP($A102,Supp_35,14,FALSE),0)+IFERROR(SUMPRODUCT(VLOOKUP($A102,S275_01,{11,12,13},FALSE)),0)+IFERROR(SUMPRODUCT(VLOOKUP($A102,S275_97,{11,12,13},FALSE)),0)+IFERROR(ROUND(VLOOKUP($A102,S275_21,11,FALSE)*VLOOKUP($A102,'3121% SY'!$C$3:$M$324,11,FALSE),3),0)+IFERROR(ROUND(VLOOKUP($A102,S275_21,12,FALSE)*VLOOKUP($A102,'3121% SY'!$C$3:$M$324,11,FALSE),3),0)+IFERROR(ROUND(VLOOKUP($A102,S275_21,13,FALSE)*VLOOKUP($A102,'3121% SY'!$C$3:$M$324,11,FALSE),3),0)+IFERROR(VLOOKUP($A102,S275_09,5,FALSE),0)</f>
        <v>0</v>
      </c>
      <c r="AH102" s="165">
        <f t="shared" si="26"/>
        <v>1.2999999999999999E-2</v>
      </c>
      <c r="AI102" s="161">
        <f>IFERROR(VLOOKUP(A102,'Supp Staff Data'!A:ER,148,FALSE),0)+AB102</f>
        <v>0</v>
      </c>
      <c r="AJ102" s="174">
        <v>0</v>
      </c>
      <c r="AK102" s="25">
        <f>VLOOKUP(A102,'Enroll Data as of January 2025'!$A$3:$T$323,20,FALSE)-F102</f>
        <v>0</v>
      </c>
    </row>
    <row r="103" spans="1:37" x14ac:dyDescent="0.25">
      <c r="A103" s="171" t="s">
        <v>130</v>
      </c>
      <c r="B103" t="s">
        <v>426</v>
      </c>
      <c r="C103" s="173" t="s">
        <v>1077</v>
      </c>
      <c r="D103" s="259">
        <f t="shared" si="19"/>
        <v>0.50800000000000001</v>
      </c>
      <c r="E103" s="259">
        <f t="shared" si="20"/>
        <v>0.56000000000000005</v>
      </c>
      <c r="F103" s="262">
        <f>(AC103+AH103)-(O103+R103)</f>
        <v>5.2000000000000046E-2</v>
      </c>
      <c r="G103" s="161">
        <f>ROUND(IF(F103&lt;0,F103*'2024-25 PSES Compliance'!$G$13,0),3)</f>
        <v>0</v>
      </c>
      <c r="H103" s="161">
        <f>ROUND(IF(F103&lt;0,F103*'2024-25 PSES Compliance'!$G$14,0),3)</f>
        <v>0</v>
      </c>
      <c r="I103" s="174">
        <f t="shared" si="21"/>
        <v>0</v>
      </c>
      <c r="J103" s="174">
        <f t="shared" si="22"/>
        <v>0</v>
      </c>
      <c r="K103" s="161">
        <f>VLOOKUP($A103,'Enroll Data as of January 2025'!$A$3:$M$322,6,FALSE)</f>
        <v>0.25</v>
      </c>
      <c r="L103" s="161">
        <f>VLOOKUP($A103,'Enroll Data as of January 2025'!$A$3:$M$322,7,FALSE)</f>
        <v>6.1000000000000006E-2</v>
      </c>
      <c r="M103" s="161">
        <f>VLOOKUP($A103,'Enroll Data as of January 2025'!$A$3:$M$322,8,FALSE)</f>
        <v>0.02</v>
      </c>
      <c r="N103" s="161">
        <f>VLOOKUP($A103,'Enroll Data as of January 2025'!$A$3:$M$322,9,FALSE)</f>
        <v>0.14300000000000002</v>
      </c>
      <c r="O103" s="165">
        <f t="shared" si="23"/>
        <v>0.47400000000000003</v>
      </c>
      <c r="P103" s="161">
        <f>VLOOKUP($A103,'Enroll Data as of January 2025'!$A$3:$M$322,11,FALSE)</f>
        <v>1.9E-2</v>
      </c>
      <c r="Q103" s="161">
        <f>VLOOKUP($A103,'Enroll Data as of January 2025'!$A$3:$M$322,12,FALSE)</f>
        <v>1.4999999999999999E-2</v>
      </c>
      <c r="R103" s="165">
        <f t="shared" si="24"/>
        <v>3.4000000000000002E-2</v>
      </c>
      <c r="S103" s="267">
        <f>IFERROR(VLOOKUP($A103,Supp_39,14,FALSE),0)+IFERROR(SUMPRODUCT(VLOOKUP($A103,S275_01,{14,15,16},FALSE)),0)+IFERROR(SUMPRODUCT(VLOOKUP($A103,S275_97,{14,15,16},FALSE)),0)+IFERROR(ROUND(VLOOKUP($A103,S275_21,14,FALSE)*VLOOKUP($A103,'3121% SY'!$C$3:$M$324,11,FALSE),3),0)+IFERROR(ROUND(VLOOKUP($A103,S275_21,15,FALSE)*VLOOKUP($A103,'3121% SY'!$C$3:$M$324,11,FALSE),3),0)+IFERROR(ROUND(VLOOKUP($A103,S275_21,16,FALSE)*VLOOKUP($A103,'3121% SY'!$C$3:$M$324,11,FALSE),3),0)+IFERROR(VLOOKUP($A103,S275_09,6,FALSE),0)</f>
        <v>0</v>
      </c>
      <c r="T103" s="267">
        <f>IFERROR(VLOOKUP($A103,Supp_42,14,FALSE),0)+IFERROR(SUMPRODUCT(VLOOKUP($A103,S275_01,{17,18,19},FALSE)),0)+IFERROR(SUMPRODUCT(VLOOKUP($A103,S275_97,{17,18,19},FALSE)),0)+IFERROR(ROUND(VLOOKUP($A103,S275_21,17,FALSE)*VLOOKUP($A103,'3121% SY'!$C$3:$M$324,11,FALSE),3),0)+IFERROR(ROUND(VLOOKUP($A103,S275_21,18,FALSE)*VLOOKUP($A103,'3121% SY'!$C$3:$M$324,11,FALSE),3),0)+IFERROR(ROUND(VLOOKUP($A103,S275_21,19,FALSE)*VLOOKUP($A103,'3121% SY'!$C$3:$M$324,11,FALSE),3),0)+IFERROR(VLOOKUP($A103,S275_09,7,FALSE),0)</f>
        <v>0</v>
      </c>
      <c r="U103" s="267">
        <f>IFERROR(VLOOKUP($A103,Supp_43,14,FALSE),0)+IFERROR(SUMPRODUCT(VLOOKUP($A103,S275_01,{20,21,22},FALSE)),0)+IFERROR(SUMPRODUCT(VLOOKUP($A103,S275_97,{20,21,22},FALSE)),0)+IFERROR(ROUND(VLOOKUP($A103,S275_21,20,FALSE)*VLOOKUP($A103,'3121% SY'!$C$3:$M$324,11,FALSE),3),0)+IFERROR(ROUND(VLOOKUP($A103,S275_21,21,FALSE)*VLOOKUP($A103,'3121% SY'!$C$3:$M$324,11,FALSE),3),0)+IFERROR(ROUND(VLOOKUP($A103,S275_21,22,FALSE)*VLOOKUP($A103,'3121% SY'!$C$3:$M$324,11,FALSE),3),0)+IFERROR(VLOOKUP($A103,S275_09,8,FALSE),0)</f>
        <v>0</v>
      </c>
      <c r="V103" s="267">
        <f>IFERROR(VLOOKUP($A103,Supp_44,14,FALSE),0)+IFERROR(SUMPRODUCT(VLOOKUP($A103,S275_01,{23,24,25},FALSE)),0)+IFERROR(SUMPRODUCT(VLOOKUP($A103,S275_97,{23,24,25},FALSE)),0)+IFERROR(ROUND(VLOOKUP($A103,S275_21,23,FALSE)*VLOOKUP($A103,'3121% SY'!$C$3:$M$324,11,FALSE),3),0)+IFERROR(ROUND(VLOOKUP($A103,S275_21,24,FALSE)*VLOOKUP($A103,'3121% SY'!$C$3:$M$324,11,FALSE),3),0)+IFERROR(ROUND(VLOOKUP($A103,S275_21,25,FALSE)*VLOOKUP($A103,'3121% SY'!$C$3:$M$324,11,FALSE),3),0)+IFERROR(VLOOKUP($A103,S275_09,9,FALSE),0)</f>
        <v>0</v>
      </c>
      <c r="W103" s="267">
        <f>IFERROR(VLOOKUP($A103,Supp_45,14,FALSE),0)+IFERROR(SUMPRODUCT(VLOOKUP($A103,S275_01,{26,27,28},FALSE)),0)+IFERROR(SUMPRODUCT(VLOOKUP($A103,S275_97,{26,27,28},FALSE)),0)+IFERROR(ROUND(VLOOKUP($A103,S275_21,26,FALSE)*VLOOKUP($A103,'3121% SY'!$C$3:$M$324,11,FALSE),3),0)+IFERROR(ROUND(VLOOKUP($A103,S275_21,27,FALSE)*VLOOKUP($A103,'3121% SY'!$C$3:$M$324,11,FALSE),3),0)+IFERROR(ROUND(VLOOKUP($A103,S275_21,28,FALSE)*VLOOKUP($A103,'3121% SY'!$C$3:$M$324,11,FALSE),3),0)+IFERROR(VLOOKUP($A103,S275_09,10,FALSE),0)</f>
        <v>0</v>
      </c>
      <c r="X103" s="267">
        <f>IFERROR(VLOOKUP($A103,Supp_46,14,FALSE),0)+IFERROR(SUMPRODUCT(VLOOKUP($A103,S275_01,{29,30,31},FALSE)),0)+IFERROR(SUMPRODUCT(VLOOKUP($A103,S275_97,{29,30,31},FALSE)),0)+IFERROR(ROUND(VLOOKUP($A103,S275_21,29,FALSE)*VLOOKUP($A103,'3121% SY'!$C$3:$M$324,11,FALSE),3),0)+IFERROR(ROUND(VLOOKUP($A103,S275_21,30,FALSE)*VLOOKUP($A103,'3121% SY'!$C$3:$M$324,11,FALSE),3),0)+IFERROR(ROUND(VLOOKUP($A103,S275_21,31,FALSE)*VLOOKUP($A103,'3121% SY'!$C$3:$M$324,11,FALSE),3),0)+IFERROR(VLOOKUP($A103,S275_09,11,FALSE),0)</f>
        <v>0</v>
      </c>
      <c r="Y103" s="267">
        <f>IFERROR(VLOOKUP($A103,Supp_47,14,FALSE),0)+IFERROR(SUMPRODUCT(VLOOKUP($A103,S275_01,{32,33,34},FALSE)),0)+IFERROR(SUMPRODUCT(VLOOKUP($A103,S275_97,{32,33,34},FALSE)),0)+IFERROR(ROUND(VLOOKUP($A103,S275_21,32,FALSE)*VLOOKUP($A103,'3121% SY'!$C$3:$M$324,11,FALSE),3),0)+IFERROR(ROUND(VLOOKUP($A103,S275_21,33,FALSE)*VLOOKUP($A103,'3121% SY'!$C$3:$M$324,11,FALSE),3),0)+IFERROR(ROUND(VLOOKUP($A103,S275_21,34,FALSE)*VLOOKUP($A103,'3121% SY'!$C$3:$M$324,11,FALSE),3),0)+IFERROR(VLOOKUP($A103,S275_09,12,FALSE),0)</f>
        <v>0</v>
      </c>
      <c r="Z103" s="267">
        <f>IFERROR(VLOOKUP($A103,Supp_48,14,FALSE),0)+IFERROR(SUMPRODUCT(VLOOKUP($A103,S275_01,{35,36,37},FALSE)),0)+IFERROR(SUMPRODUCT(VLOOKUP($A103,S275_97,{35,36,37},FALSE)),0)+IFERROR(ROUND(VLOOKUP($A103,S275_21,35,FALSE)*VLOOKUP($A103,'3121% SY'!$C$3:$M$324,11,FALSE),3),0)+IFERROR(ROUND(VLOOKUP($A103,S275_21,36,FALSE)*VLOOKUP($A103,'3121% SY'!$C$3:$M$324,11,FALSE),3),0)+IFERROR(ROUND(VLOOKUP($A103,S275_21,37,FALSE)*VLOOKUP($A103,'3121% SY'!$C$3:$M$324,11,FALSE),3),0)+IFERROR(VLOOKUP($A103,S275_09,13,FALSE),0)</f>
        <v>0</v>
      </c>
      <c r="AA103" s="267">
        <f>IFERROR(VLOOKUP($A103,Supp_49,14,FALSE),0)+IFERROR(SUMPRODUCT(VLOOKUP($A103,S275_01,{38,39,40},FALSE)),0)+IFERROR(SUMPRODUCT(VLOOKUP($A103,S275_97,{38,39,40},FALSE)),0)+IFERROR(ROUND(VLOOKUP($A103,S275_21,38,FALSE)*VLOOKUP($A103,'3121% SY'!$C$3:$M$324,11,FALSE),3),0)+IFERROR(ROUND(VLOOKUP($A103,S275_21,39,FALSE)*VLOOKUP($A103,'3121% SY'!$C$3:$M$324,11,FALSE),3),0)+IFERROR(ROUND(VLOOKUP($A103,S275_21,40,FALSE)*VLOOKUP($A103,'3121% SY'!$C$3:$M$324,11,FALSE),3),0)+IFERROR(VLOOKUP($A103,S275_09,14,FALSE),0)</f>
        <v>0</v>
      </c>
      <c r="AB103" s="267">
        <f>IFERROR(VLOOKUP($A103,Supp_64,14,FALSE),0)+IFERROR(SUMPRODUCT(VLOOKUP($A103,S275_01,{41,42,43},FALSE)),0)+IFERROR(SUMPRODUCT(VLOOKUP($A103,S275_97,{41,42,43},FALSE)),0)+IFERROR(ROUND(VLOOKUP($A103,S275_21,41,FALSE)*VLOOKUP($A103,'3121% SY'!$C$3:$M$324,11,FALSE),3),0)+IFERROR(ROUND(VLOOKUP($A103,S275_21,42,FALSE)*VLOOKUP($A103,'3121% SY'!$C$3:$M$324,11,FALSE),3),0)+IFERROR(ROUND(VLOOKUP($A103,S275_21,43,FALSE)*VLOOKUP($A103,'3121% SY'!$C$3:$M$324,11,FALSE),3),0)+IFERROR(VLOOKUP($A103,S275_09,15,FALSE),0)</f>
        <v>0</v>
      </c>
      <c r="AC103" s="268">
        <f t="shared" si="25"/>
        <v>0</v>
      </c>
      <c r="AD103" s="267">
        <f>IFERROR(VLOOKUP($A103,Supp_24,14,FALSE),0)+IFERROR(SUMPRODUCT(VLOOKUP($A103,S275_01,{2,3,4},FALSE)),0)+IFERROR(SUMPRODUCT(VLOOKUP($A103,S275_97,{2,3,4},FALSE)),0)+IFERROR(ROUND(VLOOKUP($A103,S275_21,2,FALSE)*VLOOKUP($A103,'3121% SY'!$C$3:$M$324,11,FALSE),3),0)+IFERROR(ROUND(VLOOKUP($A103,S275_21,3,FALSE)*VLOOKUP($A103,'3121% SY'!$C$3:$M$324,11,FALSE),3),0)+IFERROR(ROUND(VLOOKUP($A103,S275_21,4,FALSE)*VLOOKUP($A103,'3121% SY'!$C$3:$M$324,11,FALSE),3),0)+IFERROR(VLOOKUP($A103,S275_09,2,FALSE),0)</f>
        <v>0</v>
      </c>
      <c r="AE103" s="267">
        <f>IFERROR(VLOOKUP($A103,Supp_25,14,FALSE),0)+IFERROR(SUMPRODUCT(VLOOKUP($A103,S275_01,{5,6,7},FALSE)),0)+IFERROR(SUMPRODUCT(VLOOKUP($A103,S275_97,{5,6,7},FALSE)),0)+IFERROR(ROUND(VLOOKUP($A103,S275_21,5,FALSE)*VLOOKUP($A103,'3121% SY'!$C$3:$M$324,11,FALSE),3),0)+IFERROR(ROUND(VLOOKUP($A103,S275_21,6,FALSE)*VLOOKUP($A103,'3121% SY'!$C$3:$M$324,11,FALSE),3),0)+IFERROR(ROUND(VLOOKUP($A103,S275_21,7,FALSE)*VLOOKUP($A103,'3121% SY'!$C$3:$M$324,11,FALSE),3),0)+IFERROR(VLOOKUP($A103,S275_09,3,FALSE),0)</f>
        <v>0</v>
      </c>
      <c r="AF103" s="267">
        <f>IFERROR(VLOOKUP($A103,Supp_26,14,FALSE),0)+IFERROR(SUMPRODUCT(VLOOKUP($A103,S275_01,{8,9,10},FALSE)),0)+IFERROR(SUMPRODUCT(VLOOKUP($A103,S275_97,{8,9,10},FALSE)),0)+IFERROR(ROUND(VLOOKUP($A103,S275_21,8,FALSE)*VLOOKUP($A103,'3121% SY'!$C$3:$M$324,11,FALSE),3),0)+IFERROR(ROUND(VLOOKUP($A103,S275_21,9,FALSE)*VLOOKUP($A103,'3121% SY'!$C$3:$M$324,11,FALSE),3),0)+IFERROR(ROUND(VLOOKUP($A103,S275_21,10,FALSE)*VLOOKUP($A103,'3121% SY'!$C$3:$M$324,11,FALSE),3),0)+IFERROR(VLOOKUP($A103,S275_09,4,FALSE),0)</f>
        <v>0.56000000000000005</v>
      </c>
      <c r="AG103" s="267">
        <f>IFERROR(VLOOKUP($A103,Supp_35,14,FALSE),0)+IFERROR(SUMPRODUCT(VLOOKUP($A103,S275_01,{11,12,13},FALSE)),0)+IFERROR(SUMPRODUCT(VLOOKUP($A103,S275_97,{11,12,13},FALSE)),0)+IFERROR(ROUND(VLOOKUP($A103,S275_21,11,FALSE)*VLOOKUP($A103,'3121% SY'!$C$3:$M$324,11,FALSE),3),0)+IFERROR(ROUND(VLOOKUP($A103,S275_21,12,FALSE)*VLOOKUP($A103,'3121% SY'!$C$3:$M$324,11,FALSE),3),0)+IFERROR(ROUND(VLOOKUP($A103,S275_21,13,FALSE)*VLOOKUP($A103,'3121% SY'!$C$3:$M$324,11,FALSE),3),0)+IFERROR(VLOOKUP($A103,S275_09,5,FALSE),0)</f>
        <v>0</v>
      </c>
      <c r="AH103" s="165">
        <f t="shared" si="26"/>
        <v>0.56000000000000005</v>
      </c>
      <c r="AI103" s="161">
        <f>IFERROR(VLOOKUP(A103,'Supp Staff Data'!A:ER,148,FALSE),0)+AB103</f>
        <v>0</v>
      </c>
      <c r="AJ103" s="174">
        <v>0.95830000000000004</v>
      </c>
      <c r="AK103" s="25">
        <f>VLOOKUP(A103,'Enroll Data as of January 2025'!$A$3:$T$323,20,FALSE)-F103</f>
        <v>0</v>
      </c>
    </row>
    <row r="104" spans="1:37" x14ac:dyDescent="0.25">
      <c r="A104" s="171" t="s">
        <v>165</v>
      </c>
      <c r="B104" t="s">
        <v>461</v>
      </c>
      <c r="C104" s="173" t="s">
        <v>1078</v>
      </c>
      <c r="D104" s="259">
        <f t="shared" si="19"/>
        <v>1.8160000000000003</v>
      </c>
      <c r="E104" s="259">
        <f t="shared" si="20"/>
        <v>1.9100000000000001</v>
      </c>
      <c r="F104" s="262">
        <f t="shared" ref="F104:F132" si="29">ROUND((AC104+AH104)-(O104+R104),3)</f>
        <v>9.4E-2</v>
      </c>
      <c r="G104" s="161">
        <f>ROUND(IF(F104&lt;0,F104*'2024-25 PSES Compliance'!$G$13,0),3)</f>
        <v>0</v>
      </c>
      <c r="H104" s="161">
        <f>ROUND(IF(F104&lt;0,F104*'2024-25 PSES Compliance'!$G$14,0),3)</f>
        <v>0</v>
      </c>
      <c r="I104" s="174">
        <f t="shared" si="21"/>
        <v>0</v>
      </c>
      <c r="J104" s="174">
        <f t="shared" si="22"/>
        <v>0</v>
      </c>
      <c r="K104" s="161">
        <f>VLOOKUP($A104,'Enroll Data as of January 2025'!$A$3:$M$322,6,FALSE)</f>
        <v>0.89500000000000002</v>
      </c>
      <c r="L104" s="161">
        <f>VLOOKUP($A104,'Enroll Data as of January 2025'!$A$3:$M$322,7,FALSE)</f>
        <v>0.218</v>
      </c>
      <c r="M104" s="161">
        <f>VLOOKUP($A104,'Enroll Data as of January 2025'!$A$3:$M$322,8,FALSE)</f>
        <v>7.2000000000000008E-2</v>
      </c>
      <c r="N104" s="161">
        <f>VLOOKUP($A104,'Enroll Data as of January 2025'!$A$3:$M$322,9,FALSE)</f>
        <v>0.51100000000000001</v>
      </c>
      <c r="O104" s="165">
        <f t="shared" si="23"/>
        <v>1.6960000000000002</v>
      </c>
      <c r="P104" s="161">
        <f>VLOOKUP($A104,'Enroll Data as of January 2025'!$A$3:$M$322,11,FALSE)</f>
        <v>6.5000000000000002E-2</v>
      </c>
      <c r="Q104" s="161">
        <f>VLOOKUP($A104,'Enroll Data as of January 2025'!$A$3:$M$322,12,FALSE)</f>
        <v>5.5E-2</v>
      </c>
      <c r="R104" s="165">
        <f t="shared" si="24"/>
        <v>0.12</v>
      </c>
      <c r="S104" s="267">
        <f>IFERROR(VLOOKUP($A104,Supp_39,14,FALSE),0)+IFERROR(SUMPRODUCT(VLOOKUP($A104,S275_01,{14,15,16},FALSE)),0)+IFERROR(SUMPRODUCT(VLOOKUP($A104,S275_97,{14,15,16},FALSE)),0)+IFERROR(ROUND(VLOOKUP($A104,S275_21,14,FALSE)*VLOOKUP($A104,'3121% SY'!$C$3:$M$324,11,FALSE),3),0)+IFERROR(ROUND(VLOOKUP($A104,S275_21,15,FALSE)*VLOOKUP($A104,'3121% SY'!$C$3:$M$324,11,FALSE),3),0)+IFERROR(ROUND(VLOOKUP($A104,S275_21,16,FALSE)*VLOOKUP($A104,'3121% SY'!$C$3:$M$324,11,FALSE),3),0)+IFERROR(VLOOKUP($A104,S275_09,6,FALSE),0)</f>
        <v>0.77800000000000002</v>
      </c>
      <c r="T104" s="267">
        <f>IFERROR(VLOOKUP($A104,Supp_42,14,FALSE),0)+IFERROR(SUMPRODUCT(VLOOKUP($A104,S275_01,{17,18,19},FALSE)),0)+IFERROR(SUMPRODUCT(VLOOKUP($A104,S275_97,{17,18,19},FALSE)),0)+IFERROR(ROUND(VLOOKUP($A104,S275_21,17,FALSE)*VLOOKUP($A104,'3121% SY'!$C$3:$M$324,11,FALSE),3),0)+IFERROR(ROUND(VLOOKUP($A104,S275_21,18,FALSE)*VLOOKUP($A104,'3121% SY'!$C$3:$M$324,11,FALSE),3),0)+IFERROR(ROUND(VLOOKUP($A104,S275_21,19,FALSE)*VLOOKUP($A104,'3121% SY'!$C$3:$M$324,11,FALSE),3),0)+IFERROR(VLOOKUP($A104,S275_09,7,FALSE),0)</f>
        <v>0.222</v>
      </c>
      <c r="U104" s="267">
        <f>IFERROR(VLOOKUP($A104,Supp_43,14,FALSE),0)+IFERROR(SUMPRODUCT(VLOOKUP($A104,S275_01,{20,21,22},FALSE)),0)+IFERROR(SUMPRODUCT(VLOOKUP($A104,S275_97,{20,21,22},FALSE)),0)+IFERROR(ROUND(VLOOKUP($A104,S275_21,20,FALSE)*VLOOKUP($A104,'3121% SY'!$C$3:$M$324,11,FALSE),3),0)+IFERROR(ROUND(VLOOKUP($A104,S275_21,21,FALSE)*VLOOKUP($A104,'3121% SY'!$C$3:$M$324,11,FALSE),3),0)+IFERROR(ROUND(VLOOKUP($A104,S275_21,22,FALSE)*VLOOKUP($A104,'3121% SY'!$C$3:$M$324,11,FALSE),3),0)+IFERROR(VLOOKUP($A104,S275_09,8,FALSE),0)</f>
        <v>0</v>
      </c>
      <c r="V104" s="267">
        <f>IFERROR(VLOOKUP($A104,Supp_44,14,FALSE),0)+IFERROR(SUMPRODUCT(VLOOKUP($A104,S275_01,{23,24,25},FALSE)),0)+IFERROR(SUMPRODUCT(VLOOKUP($A104,S275_97,{23,24,25},FALSE)),0)+IFERROR(ROUND(VLOOKUP($A104,S275_21,23,FALSE)*VLOOKUP($A104,'3121% SY'!$C$3:$M$324,11,FALSE),3),0)+IFERROR(ROUND(VLOOKUP($A104,S275_21,24,FALSE)*VLOOKUP($A104,'3121% SY'!$C$3:$M$324,11,FALSE),3),0)+IFERROR(ROUND(VLOOKUP($A104,S275_21,25,FALSE)*VLOOKUP($A104,'3121% SY'!$C$3:$M$324,11,FALSE),3),0)+IFERROR(VLOOKUP($A104,S275_09,9,FALSE),0)</f>
        <v>0</v>
      </c>
      <c r="W104" s="267">
        <f>IFERROR(VLOOKUP($A104,Supp_45,14,FALSE),0)+IFERROR(SUMPRODUCT(VLOOKUP($A104,S275_01,{26,27,28},FALSE)),0)+IFERROR(SUMPRODUCT(VLOOKUP($A104,S275_97,{26,27,28},FALSE)),0)+IFERROR(ROUND(VLOOKUP($A104,S275_21,26,FALSE)*VLOOKUP($A104,'3121% SY'!$C$3:$M$324,11,FALSE),3),0)+IFERROR(ROUND(VLOOKUP($A104,S275_21,27,FALSE)*VLOOKUP($A104,'3121% SY'!$C$3:$M$324,11,FALSE),3),0)+IFERROR(ROUND(VLOOKUP($A104,S275_21,28,FALSE)*VLOOKUP($A104,'3121% SY'!$C$3:$M$324,11,FALSE),3),0)+IFERROR(VLOOKUP($A104,S275_09,10,FALSE),0)</f>
        <v>0</v>
      </c>
      <c r="X104" s="267">
        <f>IFERROR(VLOOKUP($A104,Supp_46,14,FALSE),0)+IFERROR(SUMPRODUCT(VLOOKUP($A104,S275_01,{29,30,31},FALSE)),0)+IFERROR(SUMPRODUCT(VLOOKUP($A104,S275_97,{29,30,31},FALSE)),0)+IFERROR(ROUND(VLOOKUP($A104,S275_21,29,FALSE)*VLOOKUP($A104,'3121% SY'!$C$3:$M$324,11,FALSE),3),0)+IFERROR(ROUND(VLOOKUP($A104,S275_21,30,FALSE)*VLOOKUP($A104,'3121% SY'!$C$3:$M$324,11,FALSE),3),0)+IFERROR(ROUND(VLOOKUP($A104,S275_21,31,FALSE)*VLOOKUP($A104,'3121% SY'!$C$3:$M$324,11,FALSE),3),0)+IFERROR(VLOOKUP($A104,S275_09,11,FALSE),0)</f>
        <v>0.312</v>
      </c>
      <c r="Y104" s="267">
        <f>IFERROR(VLOOKUP($A104,Supp_47,14,FALSE),0)+IFERROR(SUMPRODUCT(VLOOKUP($A104,S275_01,{32,33,34},FALSE)),0)+IFERROR(SUMPRODUCT(VLOOKUP($A104,S275_97,{32,33,34},FALSE)),0)+IFERROR(ROUND(VLOOKUP($A104,S275_21,32,FALSE)*VLOOKUP($A104,'3121% SY'!$C$3:$M$324,11,FALSE),3),0)+IFERROR(ROUND(VLOOKUP($A104,S275_21,33,FALSE)*VLOOKUP($A104,'3121% SY'!$C$3:$M$324,11,FALSE),3),0)+IFERROR(ROUND(VLOOKUP($A104,S275_21,34,FALSE)*VLOOKUP($A104,'3121% SY'!$C$3:$M$324,11,FALSE),3),0)+IFERROR(VLOOKUP($A104,S275_09,12,FALSE),0)</f>
        <v>8.7999999999999995E-2</v>
      </c>
      <c r="Z104" s="267">
        <f>IFERROR(VLOOKUP($A104,Supp_48,14,FALSE),0)+IFERROR(SUMPRODUCT(VLOOKUP($A104,S275_01,{35,36,37},FALSE)),0)+IFERROR(SUMPRODUCT(VLOOKUP($A104,S275_97,{35,36,37},FALSE)),0)+IFERROR(ROUND(VLOOKUP($A104,S275_21,35,FALSE)*VLOOKUP($A104,'3121% SY'!$C$3:$M$324,11,FALSE),3),0)+IFERROR(ROUND(VLOOKUP($A104,S275_21,36,FALSE)*VLOOKUP($A104,'3121% SY'!$C$3:$M$324,11,FALSE),3),0)+IFERROR(ROUND(VLOOKUP($A104,S275_21,37,FALSE)*VLOOKUP($A104,'3121% SY'!$C$3:$M$324,11,FALSE),3),0)+IFERROR(VLOOKUP($A104,S275_09,13,FALSE),0)</f>
        <v>0</v>
      </c>
      <c r="AA104" s="267">
        <f>IFERROR(VLOOKUP($A104,Supp_49,14,FALSE),0)+IFERROR(SUMPRODUCT(VLOOKUP($A104,S275_01,{38,39,40},FALSE)),0)+IFERROR(SUMPRODUCT(VLOOKUP($A104,S275_97,{38,39,40},FALSE)),0)+IFERROR(ROUND(VLOOKUP($A104,S275_21,38,FALSE)*VLOOKUP($A104,'3121% SY'!$C$3:$M$324,11,FALSE),3),0)+IFERROR(ROUND(VLOOKUP($A104,S275_21,39,FALSE)*VLOOKUP($A104,'3121% SY'!$C$3:$M$324,11,FALSE),3),0)+IFERROR(ROUND(VLOOKUP($A104,S275_21,40,FALSE)*VLOOKUP($A104,'3121% SY'!$C$3:$M$324,11,FALSE),3),0)+IFERROR(VLOOKUP($A104,S275_09,14,FALSE),0)</f>
        <v>0</v>
      </c>
      <c r="AB104" s="267">
        <f>IFERROR(VLOOKUP($A104,Supp_64,14,FALSE),0)+IFERROR(SUMPRODUCT(VLOOKUP($A104,S275_01,{41,42,43},FALSE)),0)+IFERROR(SUMPRODUCT(VLOOKUP($A104,S275_97,{41,42,43},FALSE)),0)+IFERROR(ROUND(VLOOKUP($A104,S275_21,41,FALSE)*VLOOKUP($A104,'3121% SY'!$C$3:$M$324,11,FALSE),3),0)+IFERROR(ROUND(VLOOKUP($A104,S275_21,42,FALSE)*VLOOKUP($A104,'3121% SY'!$C$3:$M$324,11,FALSE),3),0)+IFERROR(ROUND(VLOOKUP($A104,S275_21,43,FALSE)*VLOOKUP($A104,'3121% SY'!$C$3:$M$324,11,FALSE),3),0)+IFERROR(VLOOKUP($A104,S275_09,15,FALSE),0)</f>
        <v>0</v>
      </c>
      <c r="AC104" s="268">
        <f t="shared" si="25"/>
        <v>1.4000000000000001</v>
      </c>
      <c r="AD104" s="267">
        <f>IFERROR(VLOOKUP($A104,Supp_24,14,FALSE),0)+IFERROR(SUMPRODUCT(VLOOKUP($A104,S275_01,{2,3,4},FALSE)),0)+IFERROR(SUMPRODUCT(VLOOKUP($A104,S275_97,{2,3,4},FALSE)),0)+IFERROR(ROUND(VLOOKUP($A104,S275_21,2,FALSE)*VLOOKUP($A104,'3121% SY'!$C$3:$M$324,11,FALSE),3),0)+IFERROR(ROUND(VLOOKUP($A104,S275_21,3,FALSE)*VLOOKUP($A104,'3121% SY'!$C$3:$M$324,11,FALSE),3),0)+IFERROR(ROUND(VLOOKUP($A104,S275_21,4,FALSE)*VLOOKUP($A104,'3121% SY'!$C$3:$M$324,11,FALSE),3),0)+IFERROR(VLOOKUP($A104,S275_09,2,FALSE),0)</f>
        <v>0</v>
      </c>
      <c r="AE104" s="267">
        <f>IFERROR(VLOOKUP($A104,Supp_25,14,FALSE),0)+IFERROR(SUMPRODUCT(VLOOKUP($A104,S275_01,{5,6,7},FALSE)),0)+IFERROR(SUMPRODUCT(VLOOKUP($A104,S275_97,{5,6,7},FALSE)),0)+IFERROR(ROUND(VLOOKUP($A104,S275_21,5,FALSE)*VLOOKUP($A104,'3121% SY'!$C$3:$M$324,11,FALSE),3),0)+IFERROR(ROUND(VLOOKUP($A104,S275_21,6,FALSE)*VLOOKUP($A104,'3121% SY'!$C$3:$M$324,11,FALSE),3),0)+IFERROR(ROUND(VLOOKUP($A104,S275_21,7,FALSE)*VLOOKUP($A104,'3121% SY'!$C$3:$M$324,11,FALSE),3),0)+IFERROR(VLOOKUP($A104,S275_09,3,FALSE),0)</f>
        <v>0.51</v>
      </c>
      <c r="AF104" s="267">
        <f>IFERROR(VLOOKUP($A104,Supp_26,14,FALSE),0)+IFERROR(SUMPRODUCT(VLOOKUP($A104,S275_01,{8,9,10},FALSE)),0)+IFERROR(SUMPRODUCT(VLOOKUP($A104,S275_97,{8,9,10},FALSE)),0)+IFERROR(ROUND(VLOOKUP($A104,S275_21,8,FALSE)*VLOOKUP($A104,'3121% SY'!$C$3:$M$324,11,FALSE),3),0)+IFERROR(ROUND(VLOOKUP($A104,S275_21,9,FALSE)*VLOOKUP($A104,'3121% SY'!$C$3:$M$324,11,FALSE),3),0)+IFERROR(ROUND(VLOOKUP($A104,S275_21,10,FALSE)*VLOOKUP($A104,'3121% SY'!$C$3:$M$324,11,FALSE),3),0)+IFERROR(VLOOKUP($A104,S275_09,4,FALSE),0)</f>
        <v>0</v>
      </c>
      <c r="AG104" s="267">
        <f>IFERROR(VLOOKUP($A104,Supp_35,14,FALSE),0)+IFERROR(SUMPRODUCT(VLOOKUP($A104,S275_01,{11,12,13},FALSE)),0)+IFERROR(SUMPRODUCT(VLOOKUP($A104,S275_97,{11,12,13},FALSE)),0)+IFERROR(ROUND(VLOOKUP($A104,S275_21,11,FALSE)*VLOOKUP($A104,'3121% SY'!$C$3:$M$324,11,FALSE),3),0)+IFERROR(ROUND(VLOOKUP($A104,S275_21,12,FALSE)*VLOOKUP($A104,'3121% SY'!$C$3:$M$324,11,FALSE),3),0)+IFERROR(ROUND(VLOOKUP($A104,S275_21,13,FALSE)*VLOOKUP($A104,'3121% SY'!$C$3:$M$324,11,FALSE),3),0)+IFERROR(VLOOKUP($A104,S275_09,5,FALSE),0)</f>
        <v>0</v>
      </c>
      <c r="AH104" s="165">
        <f t="shared" si="26"/>
        <v>0.51</v>
      </c>
      <c r="AI104" s="161">
        <f>IFERROR(VLOOKUP(A104,'Supp Staff Data'!A:ER,148,FALSE),0)+AB104</f>
        <v>0</v>
      </c>
      <c r="AJ104" s="174">
        <v>0</v>
      </c>
      <c r="AK104" s="25">
        <f>VLOOKUP(A104,'Enroll Data as of January 2025'!$A$3:$T$323,20,FALSE)-F104</f>
        <v>0</v>
      </c>
    </row>
    <row r="105" spans="1:37" x14ac:dyDescent="0.25">
      <c r="A105" s="171" t="s">
        <v>209</v>
      </c>
      <c r="B105" t="s">
        <v>504</v>
      </c>
      <c r="C105" s="173" t="s">
        <v>1077</v>
      </c>
      <c r="D105" s="259">
        <f t="shared" si="19"/>
        <v>0.60100000000000009</v>
      </c>
      <c r="E105" s="259">
        <f t="shared" si="20"/>
        <v>0.20100000000000001</v>
      </c>
      <c r="F105" s="262">
        <f t="shared" si="29"/>
        <v>-0.4</v>
      </c>
      <c r="G105" s="161">
        <f>ROUND(IF(F105&lt;0,F105*'2024-25 PSES Compliance'!$G$13,0),3)</f>
        <v>-0.38400000000000001</v>
      </c>
      <c r="H105" s="161">
        <f>ROUND(IF(F105&lt;0,F105*'2024-25 PSES Compliance'!$G$14,0),3)</f>
        <v>-1.6E-2</v>
      </c>
      <c r="I105" s="174">
        <f t="shared" si="21"/>
        <v>0</v>
      </c>
      <c r="J105" s="174">
        <f t="shared" si="22"/>
        <v>0</v>
      </c>
      <c r="K105" s="161">
        <f>VLOOKUP($A105,'Enroll Data as of January 2025'!$A$3:$M$322,6,FALSE)</f>
        <v>0.29300000000000004</v>
      </c>
      <c r="L105" s="161">
        <f>VLOOKUP($A105,'Enroll Data as of January 2025'!$A$3:$M$322,7,FALSE)</f>
        <v>7.3999999999999996E-2</v>
      </c>
      <c r="M105" s="161">
        <f>VLOOKUP($A105,'Enroll Data as of January 2025'!$A$3:$M$322,8,FALSE)</f>
        <v>2.5000000000000001E-2</v>
      </c>
      <c r="N105" s="161">
        <f>VLOOKUP($A105,'Enroll Data as of January 2025'!$A$3:$M$322,9,FALSE)</f>
        <v>0.16800000000000001</v>
      </c>
      <c r="O105" s="165">
        <f t="shared" si="23"/>
        <v>0.56000000000000005</v>
      </c>
      <c r="P105" s="161">
        <f>VLOOKUP($A105,'Enroll Data as of January 2025'!$A$3:$M$322,11,FALSE)</f>
        <v>2.1999999999999999E-2</v>
      </c>
      <c r="Q105" s="161">
        <f>VLOOKUP($A105,'Enroll Data as of January 2025'!$A$3:$M$322,12,FALSE)</f>
        <v>1.9E-2</v>
      </c>
      <c r="R105" s="165">
        <f t="shared" si="24"/>
        <v>4.0999999999999995E-2</v>
      </c>
      <c r="S105" s="267">
        <f>IFERROR(VLOOKUP($A105,Supp_39,14,FALSE),0)+IFERROR(SUMPRODUCT(VLOOKUP($A105,S275_01,{14,15,16},FALSE)),0)+IFERROR(SUMPRODUCT(VLOOKUP($A105,S275_97,{14,15,16},FALSE)),0)+IFERROR(ROUND(VLOOKUP($A105,S275_21,14,FALSE)*VLOOKUP($A105,'3121% SY'!$C$3:$M$324,11,FALSE),3),0)+IFERROR(ROUND(VLOOKUP($A105,S275_21,15,FALSE)*VLOOKUP($A105,'3121% SY'!$C$3:$M$324,11,FALSE),3),0)+IFERROR(ROUND(VLOOKUP($A105,S275_21,16,FALSE)*VLOOKUP($A105,'3121% SY'!$C$3:$M$324,11,FALSE),3),0)+IFERROR(VLOOKUP($A105,S275_09,6,FALSE),0)</f>
        <v>0</v>
      </c>
      <c r="T105" s="267">
        <f>IFERROR(VLOOKUP($A105,Supp_42,14,FALSE),0)+IFERROR(SUMPRODUCT(VLOOKUP($A105,S275_01,{17,18,19},FALSE)),0)+IFERROR(SUMPRODUCT(VLOOKUP($A105,S275_97,{17,18,19},FALSE)),0)+IFERROR(ROUND(VLOOKUP($A105,S275_21,17,FALSE)*VLOOKUP($A105,'3121% SY'!$C$3:$M$324,11,FALSE),3),0)+IFERROR(ROUND(VLOOKUP($A105,S275_21,18,FALSE)*VLOOKUP($A105,'3121% SY'!$C$3:$M$324,11,FALSE),3),0)+IFERROR(ROUND(VLOOKUP($A105,S275_21,19,FALSE)*VLOOKUP($A105,'3121% SY'!$C$3:$M$324,11,FALSE),3),0)+IFERROR(VLOOKUP($A105,S275_09,7,FALSE),0)</f>
        <v>0</v>
      </c>
      <c r="U105" s="267">
        <f>IFERROR(VLOOKUP($A105,Supp_43,14,FALSE),0)+IFERROR(SUMPRODUCT(VLOOKUP($A105,S275_01,{20,21,22},FALSE)),0)+IFERROR(SUMPRODUCT(VLOOKUP($A105,S275_97,{20,21,22},FALSE)),0)+IFERROR(ROUND(VLOOKUP($A105,S275_21,20,FALSE)*VLOOKUP($A105,'3121% SY'!$C$3:$M$324,11,FALSE),3),0)+IFERROR(ROUND(VLOOKUP($A105,S275_21,21,FALSE)*VLOOKUP($A105,'3121% SY'!$C$3:$M$324,11,FALSE),3),0)+IFERROR(ROUND(VLOOKUP($A105,S275_21,22,FALSE)*VLOOKUP($A105,'3121% SY'!$C$3:$M$324,11,FALSE),3),0)+IFERROR(VLOOKUP($A105,S275_09,8,FALSE),0)</f>
        <v>0</v>
      </c>
      <c r="V105" s="267">
        <f>IFERROR(VLOOKUP($A105,Supp_44,14,FALSE),0)+IFERROR(SUMPRODUCT(VLOOKUP($A105,S275_01,{23,24,25},FALSE)),0)+IFERROR(SUMPRODUCT(VLOOKUP($A105,S275_97,{23,24,25},FALSE)),0)+IFERROR(ROUND(VLOOKUP($A105,S275_21,23,FALSE)*VLOOKUP($A105,'3121% SY'!$C$3:$M$324,11,FALSE),3),0)+IFERROR(ROUND(VLOOKUP($A105,S275_21,24,FALSE)*VLOOKUP($A105,'3121% SY'!$C$3:$M$324,11,FALSE),3),0)+IFERROR(ROUND(VLOOKUP($A105,S275_21,25,FALSE)*VLOOKUP($A105,'3121% SY'!$C$3:$M$324,11,FALSE),3),0)+IFERROR(VLOOKUP($A105,S275_09,9,FALSE),0)</f>
        <v>0</v>
      </c>
      <c r="W105" s="267">
        <f>IFERROR(VLOOKUP($A105,Supp_45,14,FALSE),0)+IFERROR(SUMPRODUCT(VLOOKUP($A105,S275_01,{26,27,28},FALSE)),0)+IFERROR(SUMPRODUCT(VLOOKUP($A105,S275_97,{26,27,28},FALSE)),0)+IFERROR(ROUND(VLOOKUP($A105,S275_21,26,FALSE)*VLOOKUP($A105,'3121% SY'!$C$3:$M$324,11,FALSE),3),0)+IFERROR(ROUND(VLOOKUP($A105,S275_21,27,FALSE)*VLOOKUP($A105,'3121% SY'!$C$3:$M$324,11,FALSE),3),0)+IFERROR(ROUND(VLOOKUP($A105,S275_21,28,FALSE)*VLOOKUP($A105,'3121% SY'!$C$3:$M$324,11,FALSE),3),0)+IFERROR(VLOOKUP($A105,S275_09,10,FALSE),0)</f>
        <v>0</v>
      </c>
      <c r="X105" s="267">
        <f>IFERROR(VLOOKUP($A105,Supp_46,14,FALSE),0)+IFERROR(SUMPRODUCT(VLOOKUP($A105,S275_01,{29,30,31},FALSE)),0)+IFERROR(SUMPRODUCT(VLOOKUP($A105,S275_97,{29,30,31},FALSE)),0)+IFERROR(ROUND(VLOOKUP($A105,S275_21,29,FALSE)*VLOOKUP($A105,'3121% SY'!$C$3:$M$324,11,FALSE),3),0)+IFERROR(ROUND(VLOOKUP($A105,S275_21,30,FALSE)*VLOOKUP($A105,'3121% SY'!$C$3:$M$324,11,FALSE),3),0)+IFERROR(ROUND(VLOOKUP($A105,S275_21,31,FALSE)*VLOOKUP($A105,'3121% SY'!$C$3:$M$324,11,FALSE),3),0)+IFERROR(VLOOKUP($A105,S275_09,11,FALSE),0)</f>
        <v>0</v>
      </c>
      <c r="Y105" s="267">
        <f>IFERROR(VLOOKUP($A105,Supp_47,14,FALSE),0)+IFERROR(SUMPRODUCT(VLOOKUP($A105,S275_01,{32,33,34},FALSE)),0)+IFERROR(SUMPRODUCT(VLOOKUP($A105,S275_97,{32,33,34},FALSE)),0)+IFERROR(ROUND(VLOOKUP($A105,S275_21,32,FALSE)*VLOOKUP($A105,'3121% SY'!$C$3:$M$324,11,FALSE),3),0)+IFERROR(ROUND(VLOOKUP($A105,S275_21,33,FALSE)*VLOOKUP($A105,'3121% SY'!$C$3:$M$324,11,FALSE),3),0)+IFERROR(ROUND(VLOOKUP($A105,S275_21,34,FALSE)*VLOOKUP($A105,'3121% SY'!$C$3:$M$324,11,FALSE),3),0)+IFERROR(VLOOKUP($A105,S275_09,12,FALSE),0)</f>
        <v>0</v>
      </c>
      <c r="Z105" s="267">
        <f>IFERROR(VLOOKUP($A105,Supp_48,14,FALSE),0)+IFERROR(SUMPRODUCT(VLOOKUP($A105,S275_01,{35,36,37},FALSE)),0)+IFERROR(SUMPRODUCT(VLOOKUP($A105,S275_97,{35,36,37},FALSE)),0)+IFERROR(ROUND(VLOOKUP($A105,S275_21,35,FALSE)*VLOOKUP($A105,'3121% SY'!$C$3:$M$324,11,FALSE),3),0)+IFERROR(ROUND(VLOOKUP($A105,S275_21,36,FALSE)*VLOOKUP($A105,'3121% SY'!$C$3:$M$324,11,FALSE),3),0)+IFERROR(ROUND(VLOOKUP($A105,S275_21,37,FALSE)*VLOOKUP($A105,'3121% SY'!$C$3:$M$324,11,FALSE),3),0)+IFERROR(VLOOKUP($A105,S275_09,13,FALSE),0)</f>
        <v>0</v>
      </c>
      <c r="AA105" s="267">
        <f>IFERROR(VLOOKUP($A105,Supp_49,14,FALSE),0)+IFERROR(SUMPRODUCT(VLOOKUP($A105,S275_01,{38,39,40},FALSE)),0)+IFERROR(SUMPRODUCT(VLOOKUP($A105,S275_97,{38,39,40},FALSE)),0)+IFERROR(ROUND(VLOOKUP($A105,S275_21,38,FALSE)*VLOOKUP($A105,'3121% SY'!$C$3:$M$324,11,FALSE),3),0)+IFERROR(ROUND(VLOOKUP($A105,S275_21,39,FALSE)*VLOOKUP($A105,'3121% SY'!$C$3:$M$324,11,FALSE),3),0)+IFERROR(ROUND(VLOOKUP($A105,S275_21,40,FALSE)*VLOOKUP($A105,'3121% SY'!$C$3:$M$324,11,FALSE),3),0)+IFERROR(VLOOKUP($A105,S275_09,14,FALSE),0)</f>
        <v>0</v>
      </c>
      <c r="AB105" s="267">
        <f>IFERROR(VLOOKUP($A105,Supp_64,14,FALSE),0)+IFERROR(SUMPRODUCT(VLOOKUP($A105,S275_01,{41,42,43},FALSE)),0)+IFERROR(SUMPRODUCT(VLOOKUP($A105,S275_97,{41,42,43},FALSE)),0)+IFERROR(ROUND(VLOOKUP($A105,S275_21,41,FALSE)*VLOOKUP($A105,'3121% SY'!$C$3:$M$324,11,FALSE),3),0)+IFERROR(ROUND(VLOOKUP($A105,S275_21,42,FALSE)*VLOOKUP($A105,'3121% SY'!$C$3:$M$324,11,FALSE),3),0)+IFERROR(ROUND(VLOOKUP($A105,S275_21,43,FALSE)*VLOOKUP($A105,'3121% SY'!$C$3:$M$324,11,FALSE),3),0)+IFERROR(VLOOKUP($A105,S275_09,15,FALSE),0)</f>
        <v>0</v>
      </c>
      <c r="AC105" s="268">
        <f t="shared" si="25"/>
        <v>0</v>
      </c>
      <c r="AD105" s="267">
        <f>IFERROR(VLOOKUP($A105,Supp_24,14,FALSE),0)+IFERROR(SUMPRODUCT(VLOOKUP($A105,S275_01,{2,3,4},FALSE)),0)+IFERROR(SUMPRODUCT(VLOOKUP($A105,S275_97,{2,3,4},FALSE)),0)+IFERROR(ROUND(VLOOKUP($A105,S275_21,2,FALSE)*VLOOKUP($A105,'3121% SY'!$C$3:$M$324,11,FALSE),3),0)+IFERROR(ROUND(VLOOKUP($A105,S275_21,3,FALSE)*VLOOKUP($A105,'3121% SY'!$C$3:$M$324,11,FALSE),3),0)+IFERROR(ROUND(VLOOKUP($A105,S275_21,4,FALSE)*VLOOKUP($A105,'3121% SY'!$C$3:$M$324,11,FALSE),3),0)+IFERROR(VLOOKUP($A105,S275_09,2,FALSE),0)</f>
        <v>0</v>
      </c>
      <c r="AE105" s="267">
        <f>IFERROR(VLOOKUP($A105,Supp_25,14,FALSE),0)+IFERROR(SUMPRODUCT(VLOOKUP($A105,S275_01,{5,6,7},FALSE)),0)+IFERROR(SUMPRODUCT(VLOOKUP($A105,S275_97,{5,6,7},FALSE)),0)+IFERROR(ROUND(VLOOKUP($A105,S275_21,5,FALSE)*VLOOKUP($A105,'3121% SY'!$C$3:$M$324,11,FALSE),3),0)+IFERROR(ROUND(VLOOKUP($A105,S275_21,6,FALSE)*VLOOKUP($A105,'3121% SY'!$C$3:$M$324,11,FALSE),3),0)+IFERROR(ROUND(VLOOKUP($A105,S275_21,7,FALSE)*VLOOKUP($A105,'3121% SY'!$C$3:$M$324,11,FALSE),3),0)+IFERROR(VLOOKUP($A105,S275_09,3,FALSE),0)</f>
        <v>0</v>
      </c>
      <c r="AF105" s="267">
        <f>IFERROR(VLOOKUP($A105,Supp_26,14,FALSE),0)+IFERROR(SUMPRODUCT(VLOOKUP($A105,S275_01,{8,9,10},FALSE)),0)+IFERROR(SUMPRODUCT(VLOOKUP($A105,S275_97,{8,9,10},FALSE)),0)+IFERROR(ROUND(VLOOKUP($A105,S275_21,8,FALSE)*VLOOKUP($A105,'3121% SY'!$C$3:$M$324,11,FALSE),3),0)+IFERROR(ROUND(VLOOKUP($A105,S275_21,9,FALSE)*VLOOKUP($A105,'3121% SY'!$C$3:$M$324,11,FALSE),3),0)+IFERROR(ROUND(VLOOKUP($A105,S275_21,10,FALSE)*VLOOKUP($A105,'3121% SY'!$C$3:$M$324,11,FALSE),3),0)+IFERROR(VLOOKUP($A105,S275_09,4,FALSE),0)</f>
        <v>0.20100000000000001</v>
      </c>
      <c r="AG105" s="267">
        <f>IFERROR(VLOOKUP($A105,Supp_35,14,FALSE),0)+IFERROR(SUMPRODUCT(VLOOKUP($A105,S275_01,{11,12,13},FALSE)),0)+IFERROR(SUMPRODUCT(VLOOKUP($A105,S275_97,{11,12,13},FALSE)),0)+IFERROR(ROUND(VLOOKUP($A105,S275_21,11,FALSE)*VLOOKUP($A105,'3121% SY'!$C$3:$M$324,11,FALSE),3),0)+IFERROR(ROUND(VLOOKUP($A105,S275_21,12,FALSE)*VLOOKUP($A105,'3121% SY'!$C$3:$M$324,11,FALSE),3),0)+IFERROR(ROUND(VLOOKUP($A105,S275_21,13,FALSE)*VLOOKUP($A105,'3121% SY'!$C$3:$M$324,11,FALSE),3),0)+IFERROR(VLOOKUP($A105,S275_09,5,FALSE),0)</f>
        <v>0</v>
      </c>
      <c r="AH105" s="165">
        <f t="shared" si="26"/>
        <v>0.20100000000000001</v>
      </c>
      <c r="AI105" s="161">
        <f>IFERROR(VLOOKUP(A105,'Supp Staff Data'!A:ER,148,FALSE),0)+AB105</f>
        <v>0</v>
      </c>
      <c r="AJ105" s="174">
        <v>0.98680000000000001</v>
      </c>
      <c r="AK105" s="25">
        <f>VLOOKUP(A105,'Enroll Data as of January 2025'!$A$3:$T$323,20,FALSE)-F105</f>
        <v>0</v>
      </c>
    </row>
    <row r="106" spans="1:37" x14ac:dyDescent="0.25">
      <c r="A106" s="171" t="s">
        <v>281</v>
      </c>
      <c r="B106" t="s">
        <v>577</v>
      </c>
      <c r="C106" s="173" t="s">
        <v>1077</v>
      </c>
      <c r="D106" s="259">
        <f t="shared" si="19"/>
        <v>0.97400000000000009</v>
      </c>
      <c r="E106" s="259">
        <f t="shared" si="20"/>
        <v>1</v>
      </c>
      <c r="F106" s="262">
        <f t="shared" si="29"/>
        <v>2.5999999999999999E-2</v>
      </c>
      <c r="G106" s="161">
        <f>ROUND(IF(F106&lt;0,F106*'2024-25 PSES Compliance'!$G$13,0),3)</f>
        <v>0</v>
      </c>
      <c r="H106" s="161">
        <f>ROUND(IF(F106&lt;0,F106*'2024-25 PSES Compliance'!$G$14,0),3)</f>
        <v>0</v>
      </c>
      <c r="I106" s="174">
        <f t="shared" si="21"/>
        <v>0</v>
      </c>
      <c r="J106" s="174">
        <f t="shared" si="22"/>
        <v>0</v>
      </c>
      <c r="K106" s="161">
        <f>VLOOKUP($A106,'Enroll Data as of January 2025'!$A$3:$M$322,6,FALSE)</f>
        <v>0.54500000000000004</v>
      </c>
      <c r="L106" s="161">
        <f>VLOOKUP($A106,'Enroll Data as of January 2025'!$A$3:$M$322,7,FALSE)</f>
        <v>9.4E-2</v>
      </c>
      <c r="M106" s="161">
        <f>VLOOKUP($A106,'Enroll Data as of January 2025'!$A$3:$M$322,8,FALSE)</f>
        <v>3.1E-2</v>
      </c>
      <c r="N106" s="161">
        <f>VLOOKUP($A106,'Enroll Data as of January 2025'!$A$3:$M$322,9,FALSE)</f>
        <v>0.248</v>
      </c>
      <c r="O106" s="165">
        <f t="shared" si="23"/>
        <v>0.91800000000000004</v>
      </c>
      <c r="P106" s="161">
        <f>VLOOKUP($A106,'Enroll Data as of January 2025'!$A$3:$M$322,11,FALSE)</f>
        <v>3.5000000000000003E-2</v>
      </c>
      <c r="Q106" s="161">
        <f>VLOOKUP($A106,'Enroll Data as of January 2025'!$A$3:$M$322,12,FALSE)</f>
        <v>2.1000000000000001E-2</v>
      </c>
      <c r="R106" s="165">
        <f t="shared" si="24"/>
        <v>5.6000000000000008E-2</v>
      </c>
      <c r="S106" s="267">
        <f>IFERROR(VLOOKUP($A106,Supp_39,14,FALSE),0)+IFERROR(SUMPRODUCT(VLOOKUP($A106,S275_01,{14,15,16},FALSE)),0)+IFERROR(SUMPRODUCT(VLOOKUP($A106,S275_97,{14,15,16},FALSE)),0)+IFERROR(ROUND(VLOOKUP($A106,S275_21,14,FALSE)*VLOOKUP($A106,'3121% SY'!$C$3:$M$324,11,FALSE),3),0)+IFERROR(ROUND(VLOOKUP($A106,S275_21,15,FALSE)*VLOOKUP($A106,'3121% SY'!$C$3:$M$324,11,FALSE),3),0)+IFERROR(ROUND(VLOOKUP($A106,S275_21,16,FALSE)*VLOOKUP($A106,'3121% SY'!$C$3:$M$324,11,FALSE),3),0)+IFERROR(VLOOKUP($A106,S275_09,6,FALSE),0)</f>
        <v>1</v>
      </c>
      <c r="T106" s="267">
        <f>IFERROR(VLOOKUP($A106,Supp_42,14,FALSE),0)+IFERROR(SUMPRODUCT(VLOOKUP($A106,S275_01,{17,18,19},FALSE)),0)+IFERROR(SUMPRODUCT(VLOOKUP($A106,S275_97,{17,18,19},FALSE)),0)+IFERROR(ROUND(VLOOKUP($A106,S275_21,17,FALSE)*VLOOKUP($A106,'3121% SY'!$C$3:$M$324,11,FALSE),3),0)+IFERROR(ROUND(VLOOKUP($A106,S275_21,18,FALSE)*VLOOKUP($A106,'3121% SY'!$C$3:$M$324,11,FALSE),3),0)+IFERROR(ROUND(VLOOKUP($A106,S275_21,19,FALSE)*VLOOKUP($A106,'3121% SY'!$C$3:$M$324,11,FALSE),3),0)+IFERROR(VLOOKUP($A106,S275_09,7,FALSE),0)</f>
        <v>0</v>
      </c>
      <c r="U106" s="267">
        <f>IFERROR(VLOOKUP($A106,Supp_43,14,FALSE),0)+IFERROR(SUMPRODUCT(VLOOKUP($A106,S275_01,{20,21,22},FALSE)),0)+IFERROR(SUMPRODUCT(VLOOKUP($A106,S275_97,{20,21,22},FALSE)),0)+IFERROR(ROUND(VLOOKUP($A106,S275_21,20,FALSE)*VLOOKUP($A106,'3121% SY'!$C$3:$M$324,11,FALSE),3),0)+IFERROR(ROUND(VLOOKUP($A106,S275_21,21,FALSE)*VLOOKUP($A106,'3121% SY'!$C$3:$M$324,11,FALSE),3),0)+IFERROR(ROUND(VLOOKUP($A106,S275_21,22,FALSE)*VLOOKUP($A106,'3121% SY'!$C$3:$M$324,11,FALSE),3),0)+IFERROR(VLOOKUP($A106,S275_09,8,FALSE),0)</f>
        <v>0</v>
      </c>
      <c r="V106" s="267">
        <f>IFERROR(VLOOKUP($A106,Supp_44,14,FALSE),0)+IFERROR(SUMPRODUCT(VLOOKUP($A106,S275_01,{23,24,25},FALSE)),0)+IFERROR(SUMPRODUCT(VLOOKUP($A106,S275_97,{23,24,25},FALSE)),0)+IFERROR(ROUND(VLOOKUP($A106,S275_21,23,FALSE)*VLOOKUP($A106,'3121% SY'!$C$3:$M$324,11,FALSE),3),0)+IFERROR(ROUND(VLOOKUP($A106,S275_21,24,FALSE)*VLOOKUP($A106,'3121% SY'!$C$3:$M$324,11,FALSE),3),0)+IFERROR(ROUND(VLOOKUP($A106,S275_21,25,FALSE)*VLOOKUP($A106,'3121% SY'!$C$3:$M$324,11,FALSE),3),0)+IFERROR(VLOOKUP($A106,S275_09,9,FALSE),0)</f>
        <v>0</v>
      </c>
      <c r="W106" s="267">
        <f>IFERROR(VLOOKUP($A106,Supp_45,14,FALSE),0)+IFERROR(SUMPRODUCT(VLOOKUP($A106,S275_01,{26,27,28},FALSE)),0)+IFERROR(SUMPRODUCT(VLOOKUP($A106,S275_97,{26,27,28},FALSE)),0)+IFERROR(ROUND(VLOOKUP($A106,S275_21,26,FALSE)*VLOOKUP($A106,'3121% SY'!$C$3:$M$324,11,FALSE),3),0)+IFERROR(ROUND(VLOOKUP($A106,S275_21,27,FALSE)*VLOOKUP($A106,'3121% SY'!$C$3:$M$324,11,FALSE),3),0)+IFERROR(ROUND(VLOOKUP($A106,S275_21,28,FALSE)*VLOOKUP($A106,'3121% SY'!$C$3:$M$324,11,FALSE),3),0)+IFERROR(VLOOKUP($A106,S275_09,10,FALSE),0)</f>
        <v>0</v>
      </c>
      <c r="X106" s="267">
        <f>IFERROR(VLOOKUP($A106,Supp_46,14,FALSE),0)+IFERROR(SUMPRODUCT(VLOOKUP($A106,S275_01,{29,30,31},FALSE)),0)+IFERROR(SUMPRODUCT(VLOOKUP($A106,S275_97,{29,30,31},FALSE)),0)+IFERROR(ROUND(VLOOKUP($A106,S275_21,29,FALSE)*VLOOKUP($A106,'3121% SY'!$C$3:$M$324,11,FALSE),3),0)+IFERROR(ROUND(VLOOKUP($A106,S275_21,30,FALSE)*VLOOKUP($A106,'3121% SY'!$C$3:$M$324,11,FALSE),3),0)+IFERROR(ROUND(VLOOKUP($A106,S275_21,31,FALSE)*VLOOKUP($A106,'3121% SY'!$C$3:$M$324,11,FALSE),3),0)+IFERROR(VLOOKUP($A106,S275_09,11,FALSE),0)</f>
        <v>0</v>
      </c>
      <c r="Y106" s="267">
        <f>IFERROR(VLOOKUP($A106,Supp_47,14,FALSE),0)+IFERROR(SUMPRODUCT(VLOOKUP($A106,S275_01,{32,33,34},FALSE)),0)+IFERROR(SUMPRODUCT(VLOOKUP($A106,S275_97,{32,33,34},FALSE)),0)+IFERROR(ROUND(VLOOKUP($A106,S275_21,32,FALSE)*VLOOKUP($A106,'3121% SY'!$C$3:$M$324,11,FALSE),3),0)+IFERROR(ROUND(VLOOKUP($A106,S275_21,33,FALSE)*VLOOKUP($A106,'3121% SY'!$C$3:$M$324,11,FALSE),3),0)+IFERROR(ROUND(VLOOKUP($A106,S275_21,34,FALSE)*VLOOKUP($A106,'3121% SY'!$C$3:$M$324,11,FALSE),3),0)+IFERROR(VLOOKUP($A106,S275_09,12,FALSE),0)</f>
        <v>0</v>
      </c>
      <c r="Z106" s="267">
        <f>IFERROR(VLOOKUP($A106,Supp_48,14,FALSE),0)+IFERROR(SUMPRODUCT(VLOOKUP($A106,S275_01,{35,36,37},FALSE)),0)+IFERROR(SUMPRODUCT(VLOOKUP($A106,S275_97,{35,36,37},FALSE)),0)+IFERROR(ROUND(VLOOKUP($A106,S275_21,35,FALSE)*VLOOKUP($A106,'3121% SY'!$C$3:$M$324,11,FALSE),3),0)+IFERROR(ROUND(VLOOKUP($A106,S275_21,36,FALSE)*VLOOKUP($A106,'3121% SY'!$C$3:$M$324,11,FALSE),3),0)+IFERROR(ROUND(VLOOKUP($A106,S275_21,37,FALSE)*VLOOKUP($A106,'3121% SY'!$C$3:$M$324,11,FALSE),3),0)+IFERROR(VLOOKUP($A106,S275_09,13,FALSE),0)</f>
        <v>0</v>
      </c>
      <c r="AA106" s="267">
        <f>IFERROR(VLOOKUP($A106,Supp_49,14,FALSE),0)+IFERROR(SUMPRODUCT(VLOOKUP($A106,S275_01,{38,39,40},FALSE)),0)+IFERROR(SUMPRODUCT(VLOOKUP($A106,S275_97,{38,39,40},FALSE)),0)+IFERROR(ROUND(VLOOKUP($A106,S275_21,38,FALSE)*VLOOKUP($A106,'3121% SY'!$C$3:$M$324,11,FALSE),3),0)+IFERROR(ROUND(VLOOKUP($A106,S275_21,39,FALSE)*VLOOKUP($A106,'3121% SY'!$C$3:$M$324,11,FALSE),3),0)+IFERROR(ROUND(VLOOKUP($A106,S275_21,40,FALSE)*VLOOKUP($A106,'3121% SY'!$C$3:$M$324,11,FALSE),3),0)+IFERROR(VLOOKUP($A106,S275_09,14,FALSE),0)</f>
        <v>0</v>
      </c>
      <c r="AB106" s="267">
        <f>IFERROR(VLOOKUP($A106,Supp_64,14,FALSE),0)+IFERROR(SUMPRODUCT(VLOOKUP($A106,S275_01,{41,42,43},FALSE)),0)+IFERROR(SUMPRODUCT(VLOOKUP($A106,S275_97,{41,42,43},FALSE)),0)+IFERROR(ROUND(VLOOKUP($A106,S275_21,41,FALSE)*VLOOKUP($A106,'3121% SY'!$C$3:$M$324,11,FALSE),3),0)+IFERROR(ROUND(VLOOKUP($A106,S275_21,42,FALSE)*VLOOKUP($A106,'3121% SY'!$C$3:$M$324,11,FALSE),3),0)+IFERROR(ROUND(VLOOKUP($A106,S275_21,43,FALSE)*VLOOKUP($A106,'3121% SY'!$C$3:$M$324,11,FALSE),3),0)+IFERROR(VLOOKUP($A106,S275_09,15,FALSE),0)</f>
        <v>0</v>
      </c>
      <c r="AC106" s="268">
        <f t="shared" si="25"/>
        <v>1</v>
      </c>
      <c r="AD106" s="267">
        <f>IFERROR(VLOOKUP($A106,Supp_24,14,FALSE),0)+IFERROR(SUMPRODUCT(VLOOKUP($A106,S275_01,{2,3,4},FALSE)),0)+IFERROR(SUMPRODUCT(VLOOKUP($A106,S275_97,{2,3,4},FALSE)),0)+IFERROR(ROUND(VLOOKUP($A106,S275_21,2,FALSE)*VLOOKUP($A106,'3121% SY'!$C$3:$M$324,11,FALSE),3),0)+IFERROR(ROUND(VLOOKUP($A106,S275_21,3,FALSE)*VLOOKUP($A106,'3121% SY'!$C$3:$M$324,11,FALSE),3),0)+IFERROR(ROUND(VLOOKUP($A106,S275_21,4,FALSE)*VLOOKUP($A106,'3121% SY'!$C$3:$M$324,11,FALSE),3),0)+IFERROR(VLOOKUP($A106,S275_09,2,FALSE),0)</f>
        <v>0</v>
      </c>
      <c r="AE106" s="267">
        <f>IFERROR(VLOOKUP($A106,Supp_25,14,FALSE),0)+IFERROR(SUMPRODUCT(VLOOKUP($A106,S275_01,{5,6,7},FALSE)),0)+IFERROR(SUMPRODUCT(VLOOKUP($A106,S275_97,{5,6,7},FALSE)),0)+IFERROR(ROUND(VLOOKUP($A106,S275_21,5,FALSE)*VLOOKUP($A106,'3121% SY'!$C$3:$M$324,11,FALSE),3),0)+IFERROR(ROUND(VLOOKUP($A106,S275_21,6,FALSE)*VLOOKUP($A106,'3121% SY'!$C$3:$M$324,11,FALSE),3),0)+IFERROR(ROUND(VLOOKUP($A106,S275_21,7,FALSE)*VLOOKUP($A106,'3121% SY'!$C$3:$M$324,11,FALSE),3),0)+IFERROR(VLOOKUP($A106,S275_09,3,FALSE),0)</f>
        <v>0</v>
      </c>
      <c r="AF106" s="267">
        <f>IFERROR(VLOOKUP($A106,Supp_26,14,FALSE),0)+IFERROR(SUMPRODUCT(VLOOKUP($A106,S275_01,{8,9,10},FALSE)),0)+IFERROR(SUMPRODUCT(VLOOKUP($A106,S275_97,{8,9,10},FALSE)),0)+IFERROR(ROUND(VLOOKUP($A106,S275_21,8,FALSE)*VLOOKUP($A106,'3121% SY'!$C$3:$M$324,11,FALSE),3),0)+IFERROR(ROUND(VLOOKUP($A106,S275_21,9,FALSE)*VLOOKUP($A106,'3121% SY'!$C$3:$M$324,11,FALSE),3),0)+IFERROR(ROUND(VLOOKUP($A106,S275_21,10,FALSE)*VLOOKUP($A106,'3121% SY'!$C$3:$M$324,11,FALSE),3),0)+IFERROR(VLOOKUP($A106,S275_09,4,FALSE),0)</f>
        <v>0</v>
      </c>
      <c r="AG106" s="267">
        <f>IFERROR(VLOOKUP($A106,Supp_35,14,FALSE),0)+IFERROR(SUMPRODUCT(VLOOKUP($A106,S275_01,{11,12,13},FALSE)),0)+IFERROR(SUMPRODUCT(VLOOKUP($A106,S275_97,{11,12,13},FALSE)),0)+IFERROR(ROUND(VLOOKUP($A106,S275_21,11,FALSE)*VLOOKUP($A106,'3121% SY'!$C$3:$M$324,11,FALSE),3),0)+IFERROR(ROUND(VLOOKUP($A106,S275_21,12,FALSE)*VLOOKUP($A106,'3121% SY'!$C$3:$M$324,11,FALSE),3),0)+IFERROR(ROUND(VLOOKUP($A106,S275_21,13,FALSE)*VLOOKUP($A106,'3121% SY'!$C$3:$M$324,11,FALSE),3),0)+IFERROR(VLOOKUP($A106,S275_09,5,FALSE),0)</f>
        <v>0</v>
      </c>
      <c r="AH106" s="165">
        <f t="shared" si="26"/>
        <v>0</v>
      </c>
      <c r="AI106" s="161">
        <f>IFERROR(VLOOKUP(A106,'Supp Staff Data'!A:ER,148,FALSE),0)+AB106</f>
        <v>0</v>
      </c>
      <c r="AJ106" s="174">
        <v>0</v>
      </c>
      <c r="AK106" s="25">
        <f>VLOOKUP(A106,'Enroll Data as of January 2025'!$A$3:$T$323,20,FALSE)-F106</f>
        <v>0</v>
      </c>
    </row>
    <row r="107" spans="1:37" x14ac:dyDescent="0.25">
      <c r="A107" s="171" t="s">
        <v>246</v>
      </c>
      <c r="B107" t="s">
        <v>542</v>
      </c>
      <c r="C107" s="173" t="s">
        <v>1077</v>
      </c>
      <c r="D107" s="259">
        <f t="shared" si="19"/>
        <v>0.53600000000000003</v>
      </c>
      <c r="E107" s="259">
        <f t="shared" si="20"/>
        <v>0.251</v>
      </c>
      <c r="F107" s="262">
        <f t="shared" si="29"/>
        <v>-0.28499999999999998</v>
      </c>
      <c r="G107" s="161">
        <f>ROUND(IF(F107&lt;0,F107*'2024-25 PSES Compliance'!$G$13,0),3)</f>
        <v>-0.27400000000000002</v>
      </c>
      <c r="H107" s="161">
        <f>ROUND(IF(F107&lt;0,F107*'2024-25 PSES Compliance'!$G$14,0),3)</f>
        <v>-1.0999999999999999E-2</v>
      </c>
      <c r="I107" s="174">
        <f t="shared" si="21"/>
        <v>1</v>
      </c>
      <c r="J107" s="174">
        <f t="shared" si="22"/>
        <v>0</v>
      </c>
      <c r="K107" s="161">
        <f>VLOOKUP($A107,'Enroll Data as of January 2025'!$A$3:$M$322,6,FALSE)</f>
        <v>0.26200000000000001</v>
      </c>
      <c r="L107" s="161">
        <f>VLOOKUP($A107,'Enroll Data as of January 2025'!$A$3:$M$322,7,FALSE)</f>
        <v>6.6000000000000003E-2</v>
      </c>
      <c r="M107" s="161">
        <f>VLOOKUP($A107,'Enroll Data as of January 2025'!$A$3:$M$322,8,FALSE)</f>
        <v>2.2000000000000002E-2</v>
      </c>
      <c r="N107" s="161">
        <f>VLOOKUP($A107,'Enroll Data as of January 2025'!$A$3:$M$322,9,FALSE)</f>
        <v>0.15</v>
      </c>
      <c r="O107" s="165">
        <f t="shared" si="23"/>
        <v>0.5</v>
      </c>
      <c r="P107" s="161">
        <f>VLOOKUP($A107,'Enroll Data as of January 2025'!$A$3:$M$322,11,FALSE)</f>
        <v>1.9E-2</v>
      </c>
      <c r="Q107" s="161">
        <f>VLOOKUP($A107,'Enroll Data as of January 2025'!$A$3:$M$322,12,FALSE)</f>
        <v>1.7000000000000001E-2</v>
      </c>
      <c r="R107" s="165">
        <f t="shared" si="24"/>
        <v>3.6000000000000004E-2</v>
      </c>
      <c r="S107" s="267">
        <f>IFERROR(VLOOKUP($A107,Supp_39,14,FALSE),0)+IFERROR(SUMPRODUCT(VLOOKUP($A107,S275_01,{14,15,16},FALSE)),0)+IFERROR(SUMPRODUCT(VLOOKUP($A107,S275_97,{14,15,16},FALSE)),0)+IFERROR(ROUND(VLOOKUP($A107,S275_21,14,FALSE)*VLOOKUP($A107,'3121% SY'!$C$3:$M$324,11,FALSE),3),0)+IFERROR(ROUND(VLOOKUP($A107,S275_21,15,FALSE)*VLOOKUP($A107,'3121% SY'!$C$3:$M$324,11,FALSE),3),0)+IFERROR(ROUND(VLOOKUP($A107,S275_21,16,FALSE)*VLOOKUP($A107,'3121% SY'!$C$3:$M$324,11,FALSE),3),0)+IFERROR(VLOOKUP($A107,S275_09,6,FALSE),0)</f>
        <v>0.19600000000000001</v>
      </c>
      <c r="T107" s="267">
        <f>IFERROR(VLOOKUP($A107,Supp_42,14,FALSE),0)+IFERROR(SUMPRODUCT(VLOOKUP($A107,S275_01,{17,18,19},FALSE)),0)+IFERROR(SUMPRODUCT(VLOOKUP($A107,S275_97,{17,18,19},FALSE)),0)+IFERROR(ROUND(VLOOKUP($A107,S275_21,17,FALSE)*VLOOKUP($A107,'3121% SY'!$C$3:$M$324,11,FALSE),3),0)+IFERROR(ROUND(VLOOKUP($A107,S275_21,18,FALSE)*VLOOKUP($A107,'3121% SY'!$C$3:$M$324,11,FALSE),3),0)+IFERROR(ROUND(VLOOKUP($A107,S275_21,19,FALSE)*VLOOKUP($A107,'3121% SY'!$C$3:$M$324,11,FALSE),3),0)+IFERROR(VLOOKUP($A107,S275_09,7,FALSE),0)</f>
        <v>5.5E-2</v>
      </c>
      <c r="U107" s="267">
        <f>IFERROR(VLOOKUP($A107,Supp_43,14,FALSE),0)+IFERROR(SUMPRODUCT(VLOOKUP($A107,S275_01,{20,21,22},FALSE)),0)+IFERROR(SUMPRODUCT(VLOOKUP($A107,S275_97,{20,21,22},FALSE)),0)+IFERROR(ROUND(VLOOKUP($A107,S275_21,20,FALSE)*VLOOKUP($A107,'3121% SY'!$C$3:$M$324,11,FALSE),3),0)+IFERROR(ROUND(VLOOKUP($A107,S275_21,21,FALSE)*VLOOKUP($A107,'3121% SY'!$C$3:$M$324,11,FALSE),3),0)+IFERROR(ROUND(VLOOKUP($A107,S275_21,22,FALSE)*VLOOKUP($A107,'3121% SY'!$C$3:$M$324,11,FALSE),3),0)+IFERROR(VLOOKUP($A107,S275_09,8,FALSE),0)</f>
        <v>0</v>
      </c>
      <c r="V107" s="267">
        <f>IFERROR(VLOOKUP($A107,Supp_44,14,FALSE),0)+IFERROR(SUMPRODUCT(VLOOKUP($A107,S275_01,{23,24,25},FALSE)),0)+IFERROR(SUMPRODUCT(VLOOKUP($A107,S275_97,{23,24,25},FALSE)),0)+IFERROR(ROUND(VLOOKUP($A107,S275_21,23,FALSE)*VLOOKUP($A107,'3121% SY'!$C$3:$M$324,11,FALSE),3),0)+IFERROR(ROUND(VLOOKUP($A107,S275_21,24,FALSE)*VLOOKUP($A107,'3121% SY'!$C$3:$M$324,11,FALSE),3),0)+IFERROR(ROUND(VLOOKUP($A107,S275_21,25,FALSE)*VLOOKUP($A107,'3121% SY'!$C$3:$M$324,11,FALSE),3),0)+IFERROR(VLOOKUP($A107,S275_09,9,FALSE),0)</f>
        <v>0</v>
      </c>
      <c r="W107" s="267">
        <f>IFERROR(VLOOKUP($A107,Supp_45,14,FALSE),0)+IFERROR(SUMPRODUCT(VLOOKUP($A107,S275_01,{26,27,28},FALSE)),0)+IFERROR(SUMPRODUCT(VLOOKUP($A107,S275_97,{26,27,28},FALSE)),0)+IFERROR(ROUND(VLOOKUP($A107,S275_21,26,FALSE)*VLOOKUP($A107,'3121% SY'!$C$3:$M$324,11,FALSE),3),0)+IFERROR(ROUND(VLOOKUP($A107,S275_21,27,FALSE)*VLOOKUP($A107,'3121% SY'!$C$3:$M$324,11,FALSE),3),0)+IFERROR(ROUND(VLOOKUP($A107,S275_21,28,FALSE)*VLOOKUP($A107,'3121% SY'!$C$3:$M$324,11,FALSE),3),0)+IFERROR(VLOOKUP($A107,S275_09,10,FALSE),0)</f>
        <v>0</v>
      </c>
      <c r="X107" s="267">
        <f>IFERROR(VLOOKUP($A107,Supp_46,14,FALSE),0)+IFERROR(SUMPRODUCT(VLOOKUP($A107,S275_01,{29,30,31},FALSE)),0)+IFERROR(SUMPRODUCT(VLOOKUP($A107,S275_97,{29,30,31},FALSE)),0)+IFERROR(ROUND(VLOOKUP($A107,S275_21,29,FALSE)*VLOOKUP($A107,'3121% SY'!$C$3:$M$324,11,FALSE),3),0)+IFERROR(ROUND(VLOOKUP($A107,S275_21,30,FALSE)*VLOOKUP($A107,'3121% SY'!$C$3:$M$324,11,FALSE),3),0)+IFERROR(ROUND(VLOOKUP($A107,S275_21,31,FALSE)*VLOOKUP($A107,'3121% SY'!$C$3:$M$324,11,FALSE),3),0)+IFERROR(VLOOKUP($A107,S275_09,11,FALSE),0)</f>
        <v>0</v>
      </c>
      <c r="Y107" s="267">
        <f>IFERROR(VLOOKUP($A107,Supp_47,14,FALSE),0)+IFERROR(SUMPRODUCT(VLOOKUP($A107,S275_01,{32,33,34},FALSE)),0)+IFERROR(SUMPRODUCT(VLOOKUP($A107,S275_97,{32,33,34},FALSE)),0)+IFERROR(ROUND(VLOOKUP($A107,S275_21,32,FALSE)*VLOOKUP($A107,'3121% SY'!$C$3:$M$324,11,FALSE),3),0)+IFERROR(ROUND(VLOOKUP($A107,S275_21,33,FALSE)*VLOOKUP($A107,'3121% SY'!$C$3:$M$324,11,FALSE),3),0)+IFERROR(ROUND(VLOOKUP($A107,S275_21,34,FALSE)*VLOOKUP($A107,'3121% SY'!$C$3:$M$324,11,FALSE),3),0)+IFERROR(VLOOKUP($A107,S275_09,12,FALSE),0)</f>
        <v>0</v>
      </c>
      <c r="Z107" s="267">
        <f>IFERROR(VLOOKUP($A107,Supp_48,14,FALSE),0)+IFERROR(SUMPRODUCT(VLOOKUP($A107,S275_01,{35,36,37},FALSE)),0)+IFERROR(SUMPRODUCT(VLOOKUP($A107,S275_97,{35,36,37},FALSE)),0)+IFERROR(ROUND(VLOOKUP($A107,S275_21,35,FALSE)*VLOOKUP($A107,'3121% SY'!$C$3:$M$324,11,FALSE),3),0)+IFERROR(ROUND(VLOOKUP($A107,S275_21,36,FALSE)*VLOOKUP($A107,'3121% SY'!$C$3:$M$324,11,FALSE),3),0)+IFERROR(ROUND(VLOOKUP($A107,S275_21,37,FALSE)*VLOOKUP($A107,'3121% SY'!$C$3:$M$324,11,FALSE),3),0)+IFERROR(VLOOKUP($A107,S275_09,13,FALSE),0)</f>
        <v>0</v>
      </c>
      <c r="AA107" s="267">
        <f>IFERROR(VLOOKUP($A107,Supp_49,14,FALSE),0)+IFERROR(SUMPRODUCT(VLOOKUP($A107,S275_01,{38,39,40},FALSE)),0)+IFERROR(SUMPRODUCT(VLOOKUP($A107,S275_97,{38,39,40},FALSE)),0)+IFERROR(ROUND(VLOOKUP($A107,S275_21,38,FALSE)*VLOOKUP($A107,'3121% SY'!$C$3:$M$324,11,FALSE),3),0)+IFERROR(ROUND(VLOOKUP($A107,S275_21,39,FALSE)*VLOOKUP($A107,'3121% SY'!$C$3:$M$324,11,FALSE),3),0)+IFERROR(ROUND(VLOOKUP($A107,S275_21,40,FALSE)*VLOOKUP($A107,'3121% SY'!$C$3:$M$324,11,FALSE),3),0)+IFERROR(VLOOKUP($A107,S275_09,14,FALSE),0)</f>
        <v>0</v>
      </c>
      <c r="AB107" s="267">
        <f>IFERROR(VLOOKUP($A107,Supp_64,14,FALSE),0)+IFERROR(SUMPRODUCT(VLOOKUP($A107,S275_01,{41,42,43},FALSE)),0)+IFERROR(SUMPRODUCT(VLOOKUP($A107,S275_97,{41,42,43},FALSE)),0)+IFERROR(ROUND(VLOOKUP($A107,S275_21,41,FALSE)*VLOOKUP($A107,'3121% SY'!$C$3:$M$324,11,FALSE),3),0)+IFERROR(ROUND(VLOOKUP($A107,S275_21,42,FALSE)*VLOOKUP($A107,'3121% SY'!$C$3:$M$324,11,FALSE),3),0)+IFERROR(ROUND(VLOOKUP($A107,S275_21,43,FALSE)*VLOOKUP($A107,'3121% SY'!$C$3:$M$324,11,FALSE),3),0)+IFERROR(VLOOKUP($A107,S275_09,15,FALSE),0)</f>
        <v>0</v>
      </c>
      <c r="AC107" s="268">
        <f t="shared" si="25"/>
        <v>0.251</v>
      </c>
      <c r="AD107" s="267">
        <f>IFERROR(VLOOKUP($A107,Supp_24,14,FALSE),0)+IFERROR(SUMPRODUCT(VLOOKUP($A107,S275_01,{2,3,4},FALSE)),0)+IFERROR(SUMPRODUCT(VLOOKUP($A107,S275_97,{2,3,4},FALSE)),0)+IFERROR(ROUND(VLOOKUP($A107,S275_21,2,FALSE)*VLOOKUP($A107,'3121% SY'!$C$3:$M$324,11,FALSE),3),0)+IFERROR(ROUND(VLOOKUP($A107,S275_21,3,FALSE)*VLOOKUP($A107,'3121% SY'!$C$3:$M$324,11,FALSE),3),0)+IFERROR(ROUND(VLOOKUP($A107,S275_21,4,FALSE)*VLOOKUP($A107,'3121% SY'!$C$3:$M$324,11,FALSE),3),0)+IFERROR(VLOOKUP($A107,S275_09,2,FALSE),0)</f>
        <v>0</v>
      </c>
      <c r="AE107" s="267">
        <f>IFERROR(VLOOKUP($A107,Supp_25,14,FALSE),0)+IFERROR(SUMPRODUCT(VLOOKUP($A107,S275_01,{5,6,7},FALSE)),0)+IFERROR(SUMPRODUCT(VLOOKUP($A107,S275_97,{5,6,7},FALSE)),0)+IFERROR(ROUND(VLOOKUP($A107,S275_21,5,FALSE)*VLOOKUP($A107,'3121% SY'!$C$3:$M$324,11,FALSE),3),0)+IFERROR(ROUND(VLOOKUP($A107,S275_21,6,FALSE)*VLOOKUP($A107,'3121% SY'!$C$3:$M$324,11,FALSE),3),0)+IFERROR(ROUND(VLOOKUP($A107,S275_21,7,FALSE)*VLOOKUP($A107,'3121% SY'!$C$3:$M$324,11,FALSE),3),0)+IFERROR(VLOOKUP($A107,S275_09,3,FALSE),0)</f>
        <v>0</v>
      </c>
      <c r="AF107" s="267">
        <f>IFERROR(VLOOKUP($A107,Supp_26,14,FALSE),0)+IFERROR(SUMPRODUCT(VLOOKUP($A107,S275_01,{8,9,10},FALSE)),0)+IFERROR(SUMPRODUCT(VLOOKUP($A107,S275_97,{8,9,10},FALSE)),0)+IFERROR(ROUND(VLOOKUP($A107,S275_21,8,FALSE)*VLOOKUP($A107,'3121% SY'!$C$3:$M$324,11,FALSE),3),0)+IFERROR(ROUND(VLOOKUP($A107,S275_21,9,FALSE)*VLOOKUP($A107,'3121% SY'!$C$3:$M$324,11,FALSE),3),0)+IFERROR(ROUND(VLOOKUP($A107,S275_21,10,FALSE)*VLOOKUP($A107,'3121% SY'!$C$3:$M$324,11,FALSE),3),0)+IFERROR(VLOOKUP($A107,S275_09,4,FALSE),0)</f>
        <v>0</v>
      </c>
      <c r="AG107" s="267">
        <f>IFERROR(VLOOKUP($A107,Supp_35,14,FALSE),0)+IFERROR(SUMPRODUCT(VLOOKUP($A107,S275_01,{11,12,13},FALSE)),0)+IFERROR(SUMPRODUCT(VLOOKUP($A107,S275_97,{11,12,13},FALSE)),0)+IFERROR(ROUND(VLOOKUP($A107,S275_21,11,FALSE)*VLOOKUP($A107,'3121% SY'!$C$3:$M$324,11,FALSE),3),0)+IFERROR(ROUND(VLOOKUP($A107,S275_21,12,FALSE)*VLOOKUP($A107,'3121% SY'!$C$3:$M$324,11,FALSE),3),0)+IFERROR(ROUND(VLOOKUP($A107,S275_21,13,FALSE)*VLOOKUP($A107,'3121% SY'!$C$3:$M$324,11,FALSE),3),0)+IFERROR(VLOOKUP($A107,S275_09,5,FALSE),0)</f>
        <v>0</v>
      </c>
      <c r="AH107" s="165">
        <f t="shared" si="26"/>
        <v>0</v>
      </c>
      <c r="AI107" s="161">
        <f>IFERROR(VLOOKUP(A107,'Supp Staff Data'!A:ER,148,FALSE),0)+AB107</f>
        <v>0</v>
      </c>
      <c r="AJ107" s="174">
        <v>1</v>
      </c>
      <c r="AK107" s="25">
        <f>VLOOKUP(A107,'Enroll Data as of January 2025'!$A$3:$T$323,20,FALSE)-F107</f>
        <v>0</v>
      </c>
    </row>
    <row r="108" spans="1:37" x14ac:dyDescent="0.25">
      <c r="A108" s="171" t="s">
        <v>182</v>
      </c>
      <c r="B108" t="s">
        <v>478</v>
      </c>
      <c r="C108" s="173" t="s">
        <v>1077</v>
      </c>
      <c r="D108" s="259">
        <f t="shared" si="19"/>
        <v>1.321</v>
      </c>
      <c r="E108" s="259">
        <f t="shared" si="20"/>
        <v>1.8050000000000002</v>
      </c>
      <c r="F108" s="262">
        <f t="shared" si="29"/>
        <v>0.48399999999999999</v>
      </c>
      <c r="G108" s="161">
        <f>ROUND(IF(F108&lt;0,F108*'2024-25 PSES Compliance'!$G$13,0),3)</f>
        <v>0</v>
      </c>
      <c r="H108" s="161">
        <f>ROUND(IF(F108&lt;0,F108*'2024-25 PSES Compliance'!$G$14,0),3)</f>
        <v>0</v>
      </c>
      <c r="I108" s="174">
        <f t="shared" si="21"/>
        <v>0.52959346260387807</v>
      </c>
      <c r="J108" s="174">
        <f t="shared" si="22"/>
        <v>0</v>
      </c>
      <c r="K108" s="161">
        <f>VLOOKUP($A108,'Enroll Data as of January 2025'!$A$3:$M$322,6,FALSE)</f>
        <v>0.73699999999999999</v>
      </c>
      <c r="L108" s="161">
        <f>VLOOKUP($A108,'Enroll Data as of January 2025'!$A$3:$M$322,7,FALSE)</f>
        <v>0.126</v>
      </c>
      <c r="M108" s="161">
        <f>VLOOKUP($A108,'Enroll Data as of January 2025'!$A$3:$M$322,8,FALSE)</f>
        <v>4.2999999999999997E-2</v>
      </c>
      <c r="N108" s="161">
        <f>VLOOKUP($A108,'Enroll Data as of January 2025'!$A$3:$M$322,9,FALSE)</f>
        <v>0.34</v>
      </c>
      <c r="O108" s="165">
        <f t="shared" si="23"/>
        <v>1.246</v>
      </c>
      <c r="P108" s="161">
        <f>VLOOKUP($A108,'Enroll Data as of January 2025'!$A$3:$M$322,11,FALSE)</f>
        <v>4.5999999999999999E-2</v>
      </c>
      <c r="Q108" s="161">
        <f>VLOOKUP($A108,'Enroll Data as of January 2025'!$A$3:$M$322,12,FALSE)</f>
        <v>2.9000000000000001E-2</v>
      </c>
      <c r="R108" s="165">
        <f t="shared" si="24"/>
        <v>7.4999999999999997E-2</v>
      </c>
      <c r="S108" s="267">
        <f>IFERROR(VLOOKUP($A108,Supp_39,14,FALSE),0)+IFERROR(SUMPRODUCT(VLOOKUP($A108,S275_01,{14,15,16},FALSE)),0)+IFERROR(SUMPRODUCT(VLOOKUP($A108,S275_97,{14,15,16},FALSE)),0)+IFERROR(ROUND(VLOOKUP($A108,S275_21,14,FALSE)*VLOOKUP($A108,'3121% SY'!$C$3:$M$324,11,FALSE),3),0)+IFERROR(ROUND(VLOOKUP($A108,S275_21,15,FALSE)*VLOOKUP($A108,'3121% SY'!$C$3:$M$324,11,FALSE),3),0)+IFERROR(ROUND(VLOOKUP($A108,S275_21,16,FALSE)*VLOOKUP($A108,'3121% SY'!$C$3:$M$324,11,FALSE),3),0)+IFERROR(VLOOKUP($A108,S275_09,6,FALSE),0)</f>
        <v>0</v>
      </c>
      <c r="T108" s="267">
        <f>IFERROR(VLOOKUP($A108,Supp_42,14,FALSE),0)+IFERROR(SUMPRODUCT(VLOOKUP($A108,S275_01,{17,18,19},FALSE)),0)+IFERROR(SUMPRODUCT(VLOOKUP($A108,S275_97,{17,18,19},FALSE)),0)+IFERROR(ROUND(VLOOKUP($A108,S275_21,17,FALSE)*VLOOKUP($A108,'3121% SY'!$C$3:$M$324,11,FALSE),3),0)+IFERROR(ROUND(VLOOKUP($A108,S275_21,18,FALSE)*VLOOKUP($A108,'3121% SY'!$C$3:$M$324,11,FALSE),3),0)+IFERROR(ROUND(VLOOKUP($A108,S275_21,19,FALSE)*VLOOKUP($A108,'3121% SY'!$C$3:$M$324,11,FALSE),3),0)+IFERROR(VLOOKUP($A108,S275_09,7,FALSE),0)</f>
        <v>0</v>
      </c>
      <c r="U108" s="267">
        <f>IFERROR(VLOOKUP($A108,Supp_43,14,FALSE),0)+IFERROR(SUMPRODUCT(VLOOKUP($A108,S275_01,{20,21,22},FALSE)),0)+IFERROR(SUMPRODUCT(VLOOKUP($A108,S275_97,{20,21,22},FALSE)),0)+IFERROR(ROUND(VLOOKUP($A108,S275_21,20,FALSE)*VLOOKUP($A108,'3121% SY'!$C$3:$M$324,11,FALSE),3),0)+IFERROR(ROUND(VLOOKUP($A108,S275_21,21,FALSE)*VLOOKUP($A108,'3121% SY'!$C$3:$M$324,11,FALSE),3),0)+IFERROR(ROUND(VLOOKUP($A108,S275_21,22,FALSE)*VLOOKUP($A108,'3121% SY'!$C$3:$M$324,11,FALSE),3),0)+IFERROR(VLOOKUP($A108,S275_09,8,FALSE),0)</f>
        <v>0</v>
      </c>
      <c r="V108" s="267">
        <f>IFERROR(VLOOKUP($A108,Supp_44,14,FALSE),0)+IFERROR(SUMPRODUCT(VLOOKUP($A108,S275_01,{23,24,25},FALSE)),0)+IFERROR(SUMPRODUCT(VLOOKUP($A108,S275_97,{23,24,25},FALSE)),0)+IFERROR(ROUND(VLOOKUP($A108,S275_21,23,FALSE)*VLOOKUP($A108,'3121% SY'!$C$3:$M$324,11,FALSE),3),0)+IFERROR(ROUND(VLOOKUP($A108,S275_21,24,FALSE)*VLOOKUP($A108,'3121% SY'!$C$3:$M$324,11,FALSE),3),0)+IFERROR(ROUND(VLOOKUP($A108,S275_21,25,FALSE)*VLOOKUP($A108,'3121% SY'!$C$3:$M$324,11,FALSE),3),0)+IFERROR(VLOOKUP($A108,S275_09,9,FALSE),0)</f>
        <v>0</v>
      </c>
      <c r="W108" s="267">
        <f>IFERROR(VLOOKUP($A108,Supp_45,14,FALSE),0)+IFERROR(SUMPRODUCT(VLOOKUP($A108,S275_01,{26,27,28},FALSE)),0)+IFERROR(SUMPRODUCT(VLOOKUP($A108,S275_97,{26,27,28},FALSE)),0)+IFERROR(ROUND(VLOOKUP($A108,S275_21,26,FALSE)*VLOOKUP($A108,'3121% SY'!$C$3:$M$324,11,FALSE),3),0)+IFERROR(ROUND(VLOOKUP($A108,S275_21,27,FALSE)*VLOOKUP($A108,'3121% SY'!$C$3:$M$324,11,FALSE),3),0)+IFERROR(ROUND(VLOOKUP($A108,S275_21,28,FALSE)*VLOOKUP($A108,'3121% SY'!$C$3:$M$324,11,FALSE),3),0)+IFERROR(VLOOKUP($A108,S275_09,10,FALSE),0)</f>
        <v>0.16700000000000001</v>
      </c>
      <c r="X108" s="267">
        <f>IFERROR(VLOOKUP($A108,Supp_46,14,FALSE),0)+IFERROR(SUMPRODUCT(VLOOKUP($A108,S275_01,{29,30,31},FALSE)),0)+IFERROR(SUMPRODUCT(VLOOKUP($A108,S275_97,{29,30,31},FALSE)),0)+IFERROR(ROUND(VLOOKUP($A108,S275_21,29,FALSE)*VLOOKUP($A108,'3121% SY'!$C$3:$M$324,11,FALSE),3),0)+IFERROR(ROUND(VLOOKUP($A108,S275_21,30,FALSE)*VLOOKUP($A108,'3121% SY'!$C$3:$M$324,11,FALSE),3),0)+IFERROR(ROUND(VLOOKUP($A108,S275_21,31,FALSE)*VLOOKUP($A108,'3121% SY'!$C$3:$M$324,11,FALSE),3),0)+IFERROR(VLOOKUP($A108,S275_09,11,FALSE),0)</f>
        <v>0.85099999999999998</v>
      </c>
      <c r="Y108" s="267">
        <f>IFERROR(VLOOKUP($A108,Supp_47,14,FALSE),0)+IFERROR(SUMPRODUCT(VLOOKUP($A108,S275_01,{32,33,34},FALSE)),0)+IFERROR(SUMPRODUCT(VLOOKUP($A108,S275_97,{32,33,34},FALSE)),0)+IFERROR(ROUND(VLOOKUP($A108,S275_21,32,FALSE)*VLOOKUP($A108,'3121% SY'!$C$3:$M$324,11,FALSE),3),0)+IFERROR(ROUND(VLOOKUP($A108,S275_21,33,FALSE)*VLOOKUP($A108,'3121% SY'!$C$3:$M$324,11,FALSE),3),0)+IFERROR(ROUND(VLOOKUP($A108,S275_21,34,FALSE)*VLOOKUP($A108,'3121% SY'!$C$3:$M$324,11,FALSE),3),0)+IFERROR(VLOOKUP($A108,S275_09,12,FALSE),0)</f>
        <v>0.21099999999999999</v>
      </c>
      <c r="Z108" s="267">
        <f>IFERROR(VLOOKUP($A108,Supp_48,14,FALSE),0)+IFERROR(SUMPRODUCT(VLOOKUP($A108,S275_01,{35,36,37},FALSE)),0)+IFERROR(SUMPRODUCT(VLOOKUP($A108,S275_97,{35,36,37},FALSE)),0)+IFERROR(ROUND(VLOOKUP($A108,S275_21,35,FALSE)*VLOOKUP($A108,'3121% SY'!$C$3:$M$324,11,FALSE),3),0)+IFERROR(ROUND(VLOOKUP($A108,S275_21,36,FALSE)*VLOOKUP($A108,'3121% SY'!$C$3:$M$324,11,FALSE),3),0)+IFERROR(ROUND(VLOOKUP($A108,S275_21,37,FALSE)*VLOOKUP($A108,'3121% SY'!$C$3:$M$324,11,FALSE),3),0)+IFERROR(VLOOKUP($A108,S275_09,13,FALSE),0)</f>
        <v>0</v>
      </c>
      <c r="AA108" s="267">
        <f>IFERROR(VLOOKUP($A108,Supp_49,14,FALSE),0)+IFERROR(SUMPRODUCT(VLOOKUP($A108,S275_01,{38,39,40},FALSE)),0)+IFERROR(SUMPRODUCT(VLOOKUP($A108,S275_97,{38,39,40},FALSE)),0)+IFERROR(ROUND(VLOOKUP($A108,S275_21,38,FALSE)*VLOOKUP($A108,'3121% SY'!$C$3:$M$324,11,FALSE),3),0)+IFERROR(ROUND(VLOOKUP($A108,S275_21,39,FALSE)*VLOOKUP($A108,'3121% SY'!$C$3:$M$324,11,FALSE),3),0)+IFERROR(ROUND(VLOOKUP($A108,S275_21,40,FALSE)*VLOOKUP($A108,'3121% SY'!$C$3:$M$324,11,FALSE),3),0)+IFERROR(VLOOKUP($A108,S275_09,14,FALSE),0)</f>
        <v>0</v>
      </c>
      <c r="AB108" s="267">
        <f>IFERROR(VLOOKUP($A108,Supp_64,14,FALSE),0)+IFERROR(SUMPRODUCT(VLOOKUP($A108,S275_01,{41,42,43},FALSE)),0)+IFERROR(SUMPRODUCT(VLOOKUP($A108,S275_97,{41,42,43},FALSE)),0)+IFERROR(ROUND(VLOOKUP($A108,S275_21,41,FALSE)*VLOOKUP($A108,'3121% SY'!$C$3:$M$324,11,FALSE),3),0)+IFERROR(ROUND(VLOOKUP($A108,S275_21,42,FALSE)*VLOOKUP($A108,'3121% SY'!$C$3:$M$324,11,FALSE),3),0)+IFERROR(ROUND(VLOOKUP($A108,S275_21,43,FALSE)*VLOOKUP($A108,'3121% SY'!$C$3:$M$324,11,FALSE),3),0)+IFERROR(VLOOKUP($A108,S275_09,15,FALSE),0)</f>
        <v>0</v>
      </c>
      <c r="AC108" s="268">
        <f t="shared" si="25"/>
        <v>1.2290000000000001</v>
      </c>
      <c r="AD108" s="267">
        <f>IFERROR(VLOOKUP($A108,Supp_24,14,FALSE),0)+IFERROR(SUMPRODUCT(VLOOKUP($A108,S275_01,{2,3,4},FALSE)),0)+IFERROR(SUMPRODUCT(VLOOKUP($A108,S275_97,{2,3,4},FALSE)),0)+IFERROR(ROUND(VLOOKUP($A108,S275_21,2,FALSE)*VLOOKUP($A108,'3121% SY'!$C$3:$M$324,11,FALSE),3),0)+IFERROR(ROUND(VLOOKUP($A108,S275_21,3,FALSE)*VLOOKUP($A108,'3121% SY'!$C$3:$M$324,11,FALSE),3),0)+IFERROR(ROUND(VLOOKUP($A108,S275_21,4,FALSE)*VLOOKUP($A108,'3121% SY'!$C$3:$M$324,11,FALSE),3),0)+IFERROR(VLOOKUP($A108,S275_09,2,FALSE),0)</f>
        <v>0</v>
      </c>
      <c r="AE108" s="267">
        <f>IFERROR(VLOOKUP($A108,Supp_25,14,FALSE),0)+IFERROR(SUMPRODUCT(VLOOKUP($A108,S275_01,{5,6,7},FALSE)),0)+IFERROR(SUMPRODUCT(VLOOKUP($A108,S275_97,{5,6,7},FALSE)),0)+IFERROR(ROUND(VLOOKUP($A108,S275_21,5,FALSE)*VLOOKUP($A108,'3121% SY'!$C$3:$M$324,11,FALSE),3),0)+IFERROR(ROUND(VLOOKUP($A108,S275_21,6,FALSE)*VLOOKUP($A108,'3121% SY'!$C$3:$M$324,11,FALSE),3),0)+IFERROR(ROUND(VLOOKUP($A108,S275_21,7,FALSE)*VLOOKUP($A108,'3121% SY'!$C$3:$M$324,11,FALSE),3),0)+IFERROR(VLOOKUP($A108,S275_09,3,FALSE),0)</f>
        <v>0</v>
      </c>
      <c r="AF108" s="267">
        <f>IFERROR(VLOOKUP($A108,Supp_26,14,FALSE),0)+IFERROR(SUMPRODUCT(VLOOKUP($A108,S275_01,{8,9,10},FALSE)),0)+IFERROR(SUMPRODUCT(VLOOKUP($A108,S275_97,{8,9,10},FALSE)),0)+IFERROR(ROUND(VLOOKUP($A108,S275_21,8,FALSE)*VLOOKUP($A108,'3121% SY'!$C$3:$M$324,11,FALSE),3),0)+IFERROR(ROUND(VLOOKUP($A108,S275_21,9,FALSE)*VLOOKUP($A108,'3121% SY'!$C$3:$M$324,11,FALSE),3),0)+IFERROR(ROUND(VLOOKUP($A108,S275_21,10,FALSE)*VLOOKUP($A108,'3121% SY'!$C$3:$M$324,11,FALSE),3),0)+IFERROR(VLOOKUP($A108,S275_09,4,FALSE),0)</f>
        <v>0.191</v>
      </c>
      <c r="AG108" s="267">
        <f>IFERROR(VLOOKUP($A108,Supp_35,14,FALSE),0)+IFERROR(SUMPRODUCT(VLOOKUP($A108,S275_01,{11,12,13},FALSE)),0)+IFERROR(SUMPRODUCT(VLOOKUP($A108,S275_97,{11,12,13},FALSE)),0)+IFERROR(ROUND(VLOOKUP($A108,S275_21,11,FALSE)*VLOOKUP($A108,'3121% SY'!$C$3:$M$324,11,FALSE),3),0)+IFERROR(ROUND(VLOOKUP($A108,S275_21,12,FALSE)*VLOOKUP($A108,'3121% SY'!$C$3:$M$324,11,FALSE),3),0)+IFERROR(ROUND(VLOOKUP($A108,S275_21,13,FALSE)*VLOOKUP($A108,'3121% SY'!$C$3:$M$324,11,FALSE),3),0)+IFERROR(VLOOKUP($A108,S275_09,5,FALSE),0)</f>
        <v>0.38500000000000001</v>
      </c>
      <c r="AH108" s="165">
        <f t="shared" si="26"/>
        <v>0.57600000000000007</v>
      </c>
      <c r="AI108" s="161">
        <f>IFERROR(VLOOKUP(A108,'Supp Staff Data'!A:ER,148,FALSE),0)+AB108</f>
        <v>0</v>
      </c>
      <c r="AJ108" s="174">
        <v>0.77780000000000005</v>
      </c>
      <c r="AK108" s="25">
        <f>VLOOKUP(A108,'Enroll Data as of January 2025'!$A$3:$T$323,20,FALSE)-F108</f>
        <v>0</v>
      </c>
    </row>
    <row r="109" spans="1:37" x14ac:dyDescent="0.25">
      <c r="A109" s="171" t="s">
        <v>140</v>
      </c>
      <c r="B109" t="s">
        <v>436</v>
      </c>
      <c r="C109" s="173" t="s">
        <v>1077</v>
      </c>
      <c r="D109" s="259">
        <f t="shared" si="19"/>
        <v>3.2820000000000005</v>
      </c>
      <c r="E109" s="259">
        <f t="shared" si="20"/>
        <v>4.3450000000000006</v>
      </c>
      <c r="F109" s="262">
        <f t="shared" si="29"/>
        <v>1.0629999999999999</v>
      </c>
      <c r="G109" s="161">
        <f>ROUND(IF(F109&lt;0,F109*'2024-25 PSES Compliance'!$G$13,0),3)</f>
        <v>0</v>
      </c>
      <c r="H109" s="161">
        <f>ROUND(IF(F109&lt;0,F109*'2024-25 PSES Compliance'!$G$14,0),3)</f>
        <v>0</v>
      </c>
      <c r="I109" s="174">
        <f t="shared" si="21"/>
        <v>0.59700805523590328</v>
      </c>
      <c r="J109" s="174">
        <f t="shared" si="22"/>
        <v>8.6766398158803215E-2</v>
      </c>
      <c r="K109" s="161">
        <f>VLOOKUP($A109,'Enroll Data as of January 2025'!$A$3:$M$322,6,FALSE)</f>
        <v>1.829</v>
      </c>
      <c r="L109" s="161">
        <f>VLOOKUP($A109,'Enroll Data as of January 2025'!$A$3:$M$322,7,FALSE)</f>
        <v>0.31300000000000006</v>
      </c>
      <c r="M109" s="161">
        <f>VLOOKUP($A109,'Enroll Data as of January 2025'!$A$3:$M$322,8,FALSE)</f>
        <v>0.104</v>
      </c>
      <c r="N109" s="161">
        <f>VLOOKUP($A109,'Enroll Data as of January 2025'!$A$3:$M$322,9,FALSE)</f>
        <v>0.84800000000000009</v>
      </c>
      <c r="O109" s="165">
        <f t="shared" si="23"/>
        <v>3.0940000000000003</v>
      </c>
      <c r="P109" s="161">
        <f>VLOOKUP($A109,'Enroll Data as of January 2025'!$A$3:$M$322,11,FALSE)</f>
        <v>0.11600000000000001</v>
      </c>
      <c r="Q109" s="161">
        <f>VLOOKUP($A109,'Enroll Data as of January 2025'!$A$3:$M$322,12,FALSE)</f>
        <v>7.1999999999999995E-2</v>
      </c>
      <c r="R109" s="165">
        <f t="shared" si="24"/>
        <v>0.188</v>
      </c>
      <c r="S109" s="267">
        <f>IFERROR(VLOOKUP($A109,Supp_39,14,FALSE),0)+IFERROR(SUMPRODUCT(VLOOKUP($A109,S275_01,{14,15,16},FALSE)),0)+IFERROR(SUMPRODUCT(VLOOKUP($A109,S275_97,{14,15,16},FALSE)),0)+IFERROR(ROUND(VLOOKUP($A109,S275_21,14,FALSE)*VLOOKUP($A109,'3121% SY'!$C$3:$M$324,11,FALSE),3),0)+IFERROR(ROUND(VLOOKUP($A109,S275_21,15,FALSE)*VLOOKUP($A109,'3121% SY'!$C$3:$M$324,11,FALSE),3),0)+IFERROR(ROUND(VLOOKUP($A109,S275_21,16,FALSE)*VLOOKUP($A109,'3121% SY'!$C$3:$M$324,11,FALSE),3),0)+IFERROR(VLOOKUP($A109,S275_09,6,FALSE),0)</f>
        <v>1.06</v>
      </c>
      <c r="T109" s="267">
        <f>IFERROR(VLOOKUP($A109,Supp_42,14,FALSE),0)+IFERROR(SUMPRODUCT(VLOOKUP($A109,S275_01,{17,18,19},FALSE)),0)+IFERROR(SUMPRODUCT(VLOOKUP($A109,S275_97,{17,18,19},FALSE)),0)+IFERROR(ROUND(VLOOKUP($A109,S275_21,17,FALSE)*VLOOKUP($A109,'3121% SY'!$C$3:$M$324,11,FALSE),3),0)+IFERROR(ROUND(VLOOKUP($A109,S275_21,18,FALSE)*VLOOKUP($A109,'3121% SY'!$C$3:$M$324,11,FALSE),3),0)+IFERROR(ROUND(VLOOKUP($A109,S275_21,19,FALSE)*VLOOKUP($A109,'3121% SY'!$C$3:$M$324,11,FALSE),3),0)+IFERROR(VLOOKUP($A109,S275_09,7,FALSE),0)</f>
        <v>0.1</v>
      </c>
      <c r="U109" s="267">
        <f>IFERROR(VLOOKUP($A109,Supp_43,14,FALSE),0)+IFERROR(SUMPRODUCT(VLOOKUP($A109,S275_01,{20,21,22},FALSE)),0)+IFERROR(SUMPRODUCT(VLOOKUP($A109,S275_97,{20,21,22},FALSE)),0)+IFERROR(ROUND(VLOOKUP($A109,S275_21,20,FALSE)*VLOOKUP($A109,'3121% SY'!$C$3:$M$324,11,FALSE),3),0)+IFERROR(ROUND(VLOOKUP($A109,S275_21,21,FALSE)*VLOOKUP($A109,'3121% SY'!$C$3:$M$324,11,FALSE),3),0)+IFERROR(ROUND(VLOOKUP($A109,S275_21,22,FALSE)*VLOOKUP($A109,'3121% SY'!$C$3:$M$324,11,FALSE),3),0)+IFERROR(VLOOKUP($A109,S275_09,8,FALSE),0)</f>
        <v>1.0569999999999999</v>
      </c>
      <c r="V109" s="267">
        <f>IFERROR(VLOOKUP($A109,Supp_44,14,FALSE),0)+IFERROR(SUMPRODUCT(VLOOKUP($A109,S275_01,{23,24,25},FALSE)),0)+IFERROR(SUMPRODUCT(VLOOKUP($A109,S275_97,{23,24,25},FALSE)),0)+IFERROR(ROUND(VLOOKUP($A109,S275_21,23,FALSE)*VLOOKUP($A109,'3121% SY'!$C$3:$M$324,11,FALSE),3),0)+IFERROR(ROUND(VLOOKUP($A109,S275_21,24,FALSE)*VLOOKUP($A109,'3121% SY'!$C$3:$M$324,11,FALSE),3),0)+IFERROR(ROUND(VLOOKUP($A109,S275_21,25,FALSE)*VLOOKUP($A109,'3121% SY'!$C$3:$M$324,11,FALSE),3),0)+IFERROR(VLOOKUP($A109,S275_09,9,FALSE),0)</f>
        <v>0</v>
      </c>
      <c r="W109" s="267">
        <f>IFERROR(VLOOKUP($A109,Supp_45,14,FALSE),0)+IFERROR(SUMPRODUCT(VLOOKUP($A109,S275_01,{26,27,28},FALSE)),0)+IFERROR(SUMPRODUCT(VLOOKUP($A109,S275_97,{26,27,28},FALSE)),0)+IFERROR(ROUND(VLOOKUP($A109,S275_21,26,FALSE)*VLOOKUP($A109,'3121% SY'!$C$3:$M$324,11,FALSE),3),0)+IFERROR(ROUND(VLOOKUP($A109,S275_21,27,FALSE)*VLOOKUP($A109,'3121% SY'!$C$3:$M$324,11,FALSE),3),0)+IFERROR(ROUND(VLOOKUP($A109,S275_21,28,FALSE)*VLOOKUP($A109,'3121% SY'!$C$3:$M$324,11,FALSE),3),0)+IFERROR(VLOOKUP($A109,S275_09,10,FALSE),0)</f>
        <v>0</v>
      </c>
      <c r="X109" s="267">
        <f>IFERROR(VLOOKUP($A109,Supp_46,14,FALSE),0)+IFERROR(SUMPRODUCT(VLOOKUP($A109,S275_01,{29,30,31},FALSE)),0)+IFERROR(SUMPRODUCT(VLOOKUP($A109,S275_97,{29,30,31},FALSE)),0)+IFERROR(ROUND(VLOOKUP($A109,S275_21,29,FALSE)*VLOOKUP($A109,'3121% SY'!$C$3:$M$324,11,FALSE),3),0)+IFERROR(ROUND(VLOOKUP($A109,S275_21,30,FALSE)*VLOOKUP($A109,'3121% SY'!$C$3:$M$324,11,FALSE),3),0)+IFERROR(ROUND(VLOOKUP($A109,S275_21,31,FALSE)*VLOOKUP($A109,'3121% SY'!$C$3:$M$324,11,FALSE),3),0)+IFERROR(VLOOKUP($A109,S275_09,11,FALSE),0)</f>
        <v>0</v>
      </c>
      <c r="Y109" s="267">
        <f>IFERROR(VLOOKUP($A109,Supp_47,14,FALSE),0)+IFERROR(SUMPRODUCT(VLOOKUP($A109,S275_01,{32,33,34},FALSE)),0)+IFERROR(SUMPRODUCT(VLOOKUP($A109,S275_97,{32,33,34},FALSE)),0)+IFERROR(ROUND(VLOOKUP($A109,S275_21,32,FALSE)*VLOOKUP($A109,'3121% SY'!$C$3:$M$324,11,FALSE),3),0)+IFERROR(ROUND(VLOOKUP($A109,S275_21,33,FALSE)*VLOOKUP($A109,'3121% SY'!$C$3:$M$324,11,FALSE),3),0)+IFERROR(ROUND(VLOOKUP($A109,S275_21,34,FALSE)*VLOOKUP($A109,'3121% SY'!$C$3:$M$324,11,FALSE),3),0)+IFERROR(VLOOKUP($A109,S275_09,12,FALSE),0)</f>
        <v>0</v>
      </c>
      <c r="Z109" s="267">
        <f>IFERROR(VLOOKUP($A109,Supp_48,14,FALSE),0)+IFERROR(SUMPRODUCT(VLOOKUP($A109,S275_01,{35,36,37},FALSE)),0)+IFERROR(SUMPRODUCT(VLOOKUP($A109,S275_97,{35,36,37},FALSE)),0)+IFERROR(ROUND(VLOOKUP($A109,S275_21,35,FALSE)*VLOOKUP($A109,'3121% SY'!$C$3:$M$324,11,FALSE),3),0)+IFERROR(ROUND(VLOOKUP($A109,S275_21,36,FALSE)*VLOOKUP($A109,'3121% SY'!$C$3:$M$324,11,FALSE),3),0)+IFERROR(ROUND(VLOOKUP($A109,S275_21,37,FALSE)*VLOOKUP($A109,'3121% SY'!$C$3:$M$324,11,FALSE),3),0)+IFERROR(VLOOKUP($A109,S275_09,13,FALSE),0)</f>
        <v>0</v>
      </c>
      <c r="AA109" s="267">
        <f>IFERROR(VLOOKUP($A109,Supp_49,14,FALSE),0)+IFERROR(SUMPRODUCT(VLOOKUP($A109,S275_01,{38,39,40},FALSE)),0)+IFERROR(SUMPRODUCT(VLOOKUP($A109,S275_97,{38,39,40},FALSE)),0)+IFERROR(ROUND(VLOOKUP($A109,S275_21,38,FALSE)*VLOOKUP($A109,'3121% SY'!$C$3:$M$324,11,FALSE),3),0)+IFERROR(ROUND(VLOOKUP($A109,S275_21,39,FALSE)*VLOOKUP($A109,'3121% SY'!$C$3:$M$324,11,FALSE),3),0)+IFERROR(ROUND(VLOOKUP($A109,S275_21,40,FALSE)*VLOOKUP($A109,'3121% SY'!$C$3:$M$324,11,FALSE),3),0)+IFERROR(VLOOKUP($A109,S275_09,14,FALSE),0)</f>
        <v>0</v>
      </c>
      <c r="AB109" s="267">
        <f>IFERROR(VLOOKUP($A109,Supp_64,14,FALSE),0)+IFERROR(SUMPRODUCT(VLOOKUP($A109,S275_01,{41,42,43},FALSE)),0)+IFERROR(SUMPRODUCT(VLOOKUP($A109,S275_97,{41,42,43},FALSE)),0)+IFERROR(ROUND(VLOOKUP($A109,S275_21,41,FALSE)*VLOOKUP($A109,'3121% SY'!$C$3:$M$324,11,FALSE),3),0)+IFERROR(ROUND(VLOOKUP($A109,S275_21,42,FALSE)*VLOOKUP($A109,'3121% SY'!$C$3:$M$324,11,FALSE),3),0)+IFERROR(ROUND(VLOOKUP($A109,S275_21,43,FALSE)*VLOOKUP($A109,'3121% SY'!$C$3:$M$324,11,FALSE),3),0)+IFERROR(VLOOKUP($A109,S275_09,15,FALSE),0)</f>
        <v>0.377</v>
      </c>
      <c r="AC109" s="268">
        <f t="shared" si="25"/>
        <v>2.5940000000000003</v>
      </c>
      <c r="AD109" s="267">
        <f>IFERROR(VLOOKUP($A109,Supp_24,14,FALSE),0)+IFERROR(SUMPRODUCT(VLOOKUP($A109,S275_01,{2,3,4},FALSE)),0)+IFERROR(SUMPRODUCT(VLOOKUP($A109,S275_97,{2,3,4},FALSE)),0)+IFERROR(ROUND(VLOOKUP($A109,S275_21,2,FALSE)*VLOOKUP($A109,'3121% SY'!$C$3:$M$324,11,FALSE),3),0)+IFERROR(ROUND(VLOOKUP($A109,S275_21,3,FALSE)*VLOOKUP($A109,'3121% SY'!$C$3:$M$324,11,FALSE),3),0)+IFERROR(ROUND(VLOOKUP($A109,S275_21,4,FALSE)*VLOOKUP($A109,'3121% SY'!$C$3:$M$324,11,FALSE),3),0)+IFERROR(VLOOKUP($A109,S275_09,2,FALSE),0)</f>
        <v>0</v>
      </c>
      <c r="AE109" s="267">
        <f>IFERROR(VLOOKUP($A109,Supp_25,14,FALSE),0)+IFERROR(SUMPRODUCT(VLOOKUP($A109,S275_01,{5,6,7},FALSE)),0)+IFERROR(SUMPRODUCT(VLOOKUP($A109,S275_97,{5,6,7},FALSE)),0)+IFERROR(ROUND(VLOOKUP($A109,S275_21,5,FALSE)*VLOOKUP($A109,'3121% SY'!$C$3:$M$324,11,FALSE),3),0)+IFERROR(ROUND(VLOOKUP($A109,S275_21,6,FALSE)*VLOOKUP($A109,'3121% SY'!$C$3:$M$324,11,FALSE),3),0)+IFERROR(ROUND(VLOOKUP($A109,S275_21,7,FALSE)*VLOOKUP($A109,'3121% SY'!$C$3:$M$324,11,FALSE),3),0)+IFERROR(VLOOKUP($A109,S275_09,3,FALSE),0)</f>
        <v>1.145</v>
      </c>
      <c r="AF109" s="267">
        <f>IFERROR(VLOOKUP($A109,Supp_26,14,FALSE),0)+IFERROR(SUMPRODUCT(VLOOKUP($A109,S275_01,{8,9,10},FALSE)),0)+IFERROR(SUMPRODUCT(VLOOKUP($A109,S275_97,{8,9,10},FALSE)),0)+IFERROR(ROUND(VLOOKUP($A109,S275_21,8,FALSE)*VLOOKUP($A109,'3121% SY'!$C$3:$M$324,11,FALSE),3),0)+IFERROR(ROUND(VLOOKUP($A109,S275_21,9,FALSE)*VLOOKUP($A109,'3121% SY'!$C$3:$M$324,11,FALSE),3),0)+IFERROR(ROUND(VLOOKUP($A109,S275_21,10,FALSE)*VLOOKUP($A109,'3121% SY'!$C$3:$M$324,11,FALSE),3),0)+IFERROR(VLOOKUP($A109,S275_09,4,FALSE),0)</f>
        <v>0.60599999999999998</v>
      </c>
      <c r="AG109" s="267">
        <f>IFERROR(VLOOKUP($A109,Supp_35,14,FALSE),0)+IFERROR(SUMPRODUCT(VLOOKUP($A109,S275_01,{11,12,13},FALSE)),0)+IFERROR(SUMPRODUCT(VLOOKUP($A109,S275_97,{11,12,13},FALSE)),0)+IFERROR(ROUND(VLOOKUP($A109,S275_21,11,FALSE)*VLOOKUP($A109,'3121% SY'!$C$3:$M$324,11,FALSE),3),0)+IFERROR(ROUND(VLOOKUP($A109,S275_21,12,FALSE)*VLOOKUP($A109,'3121% SY'!$C$3:$M$324,11,FALSE),3),0)+IFERROR(ROUND(VLOOKUP($A109,S275_21,13,FALSE)*VLOOKUP($A109,'3121% SY'!$C$3:$M$324,11,FALSE),3),0)+IFERROR(VLOOKUP($A109,S275_09,5,FALSE),0)</f>
        <v>0</v>
      </c>
      <c r="AH109" s="165">
        <f t="shared" si="26"/>
        <v>1.7509999999999999</v>
      </c>
      <c r="AI109" s="161">
        <f>IFERROR(VLOOKUP(A109,'Supp Staff Data'!A:ER,148,FALSE),0)+AB109</f>
        <v>0.377</v>
      </c>
      <c r="AJ109" s="174">
        <v>1</v>
      </c>
      <c r="AK109" s="25">
        <f>VLOOKUP(A109,'Enroll Data as of January 2025'!$A$3:$T$323,20,FALSE)-F109</f>
        <v>0</v>
      </c>
    </row>
    <row r="110" spans="1:37" x14ac:dyDescent="0.25">
      <c r="A110" s="171" t="s">
        <v>211</v>
      </c>
      <c r="B110" t="s">
        <v>506</v>
      </c>
      <c r="C110" s="173" t="s">
        <v>1077</v>
      </c>
      <c r="D110" s="259">
        <f t="shared" si="19"/>
        <v>0.373</v>
      </c>
      <c r="E110" s="259">
        <f t="shared" si="20"/>
        <v>0.75</v>
      </c>
      <c r="F110" s="262">
        <f t="shared" si="29"/>
        <v>0.377</v>
      </c>
      <c r="G110" s="161">
        <f>ROUND(IF(F110&lt;0,F110*'2024-25 PSES Compliance'!$G$13,0),3)</f>
        <v>0</v>
      </c>
      <c r="H110" s="161">
        <f>ROUND(IF(F110&lt;0,F110*'2024-25 PSES Compliance'!$G$14,0),3)</f>
        <v>0</v>
      </c>
      <c r="I110" s="174">
        <f t="shared" si="21"/>
        <v>1</v>
      </c>
      <c r="J110" s="174">
        <f t="shared" si="22"/>
        <v>0</v>
      </c>
      <c r="K110" s="161">
        <f>VLOOKUP($A110,'Enroll Data as of January 2025'!$A$3:$M$322,6,FALSE)</f>
        <v>0.219</v>
      </c>
      <c r="L110" s="161">
        <f>VLOOKUP($A110,'Enroll Data as of January 2025'!$A$3:$M$322,7,FALSE)</f>
        <v>3.0000000000000002E-2</v>
      </c>
      <c r="M110" s="161">
        <f>VLOOKUP($A110,'Enroll Data as of January 2025'!$A$3:$M$322,8,FALSE)</f>
        <v>1.1000000000000001E-2</v>
      </c>
      <c r="N110" s="161">
        <f>VLOOKUP($A110,'Enroll Data as of January 2025'!$A$3:$M$322,9,FALSE)</f>
        <v>9.4E-2</v>
      </c>
      <c r="O110" s="165">
        <f t="shared" si="23"/>
        <v>0.35399999999999998</v>
      </c>
      <c r="P110" s="161">
        <f>VLOOKUP($A110,'Enroll Data as of January 2025'!$A$3:$M$322,11,FALSE)</f>
        <v>1.3000000000000001E-2</v>
      </c>
      <c r="Q110" s="161">
        <f>VLOOKUP($A110,'Enroll Data as of January 2025'!$A$3:$M$322,12,FALSE)</f>
        <v>6.0000000000000001E-3</v>
      </c>
      <c r="R110" s="165">
        <f t="shared" si="24"/>
        <v>1.9000000000000003E-2</v>
      </c>
      <c r="S110" s="267">
        <f>IFERROR(VLOOKUP($A110,Supp_39,14,FALSE),0)+IFERROR(SUMPRODUCT(VLOOKUP($A110,S275_01,{14,15,16},FALSE)),0)+IFERROR(SUMPRODUCT(VLOOKUP($A110,S275_97,{14,15,16},FALSE)),0)+IFERROR(ROUND(VLOOKUP($A110,S275_21,14,FALSE)*VLOOKUP($A110,'3121% SY'!$C$3:$M$324,11,FALSE),3),0)+IFERROR(ROUND(VLOOKUP($A110,S275_21,15,FALSE)*VLOOKUP($A110,'3121% SY'!$C$3:$M$324,11,FALSE),3),0)+IFERROR(ROUND(VLOOKUP($A110,S275_21,16,FALSE)*VLOOKUP($A110,'3121% SY'!$C$3:$M$324,11,FALSE),3),0)+IFERROR(VLOOKUP($A110,S275_09,6,FALSE),0)</f>
        <v>0.75</v>
      </c>
      <c r="T110" s="267">
        <f>IFERROR(VLOOKUP($A110,Supp_42,14,FALSE),0)+IFERROR(SUMPRODUCT(VLOOKUP($A110,S275_01,{17,18,19},FALSE)),0)+IFERROR(SUMPRODUCT(VLOOKUP($A110,S275_97,{17,18,19},FALSE)),0)+IFERROR(ROUND(VLOOKUP($A110,S275_21,17,FALSE)*VLOOKUP($A110,'3121% SY'!$C$3:$M$324,11,FALSE),3),0)+IFERROR(ROUND(VLOOKUP($A110,S275_21,18,FALSE)*VLOOKUP($A110,'3121% SY'!$C$3:$M$324,11,FALSE),3),0)+IFERROR(ROUND(VLOOKUP($A110,S275_21,19,FALSE)*VLOOKUP($A110,'3121% SY'!$C$3:$M$324,11,FALSE),3),0)+IFERROR(VLOOKUP($A110,S275_09,7,FALSE),0)</f>
        <v>0</v>
      </c>
      <c r="U110" s="267">
        <f>IFERROR(VLOOKUP($A110,Supp_43,14,FALSE),0)+IFERROR(SUMPRODUCT(VLOOKUP($A110,S275_01,{20,21,22},FALSE)),0)+IFERROR(SUMPRODUCT(VLOOKUP($A110,S275_97,{20,21,22},FALSE)),0)+IFERROR(ROUND(VLOOKUP($A110,S275_21,20,FALSE)*VLOOKUP($A110,'3121% SY'!$C$3:$M$324,11,FALSE),3),0)+IFERROR(ROUND(VLOOKUP($A110,S275_21,21,FALSE)*VLOOKUP($A110,'3121% SY'!$C$3:$M$324,11,FALSE),3),0)+IFERROR(ROUND(VLOOKUP($A110,S275_21,22,FALSE)*VLOOKUP($A110,'3121% SY'!$C$3:$M$324,11,FALSE),3),0)+IFERROR(VLOOKUP($A110,S275_09,8,FALSE),0)</f>
        <v>0</v>
      </c>
      <c r="V110" s="267">
        <f>IFERROR(VLOOKUP($A110,Supp_44,14,FALSE),0)+IFERROR(SUMPRODUCT(VLOOKUP($A110,S275_01,{23,24,25},FALSE)),0)+IFERROR(SUMPRODUCT(VLOOKUP($A110,S275_97,{23,24,25},FALSE)),0)+IFERROR(ROUND(VLOOKUP($A110,S275_21,23,FALSE)*VLOOKUP($A110,'3121% SY'!$C$3:$M$324,11,FALSE),3),0)+IFERROR(ROUND(VLOOKUP($A110,S275_21,24,FALSE)*VLOOKUP($A110,'3121% SY'!$C$3:$M$324,11,FALSE),3),0)+IFERROR(ROUND(VLOOKUP($A110,S275_21,25,FALSE)*VLOOKUP($A110,'3121% SY'!$C$3:$M$324,11,FALSE),3),0)+IFERROR(VLOOKUP($A110,S275_09,9,FALSE),0)</f>
        <v>0</v>
      </c>
      <c r="W110" s="267">
        <f>IFERROR(VLOOKUP($A110,Supp_45,14,FALSE),0)+IFERROR(SUMPRODUCT(VLOOKUP($A110,S275_01,{26,27,28},FALSE)),0)+IFERROR(SUMPRODUCT(VLOOKUP($A110,S275_97,{26,27,28},FALSE)),0)+IFERROR(ROUND(VLOOKUP($A110,S275_21,26,FALSE)*VLOOKUP($A110,'3121% SY'!$C$3:$M$324,11,FALSE),3),0)+IFERROR(ROUND(VLOOKUP($A110,S275_21,27,FALSE)*VLOOKUP($A110,'3121% SY'!$C$3:$M$324,11,FALSE),3),0)+IFERROR(ROUND(VLOOKUP($A110,S275_21,28,FALSE)*VLOOKUP($A110,'3121% SY'!$C$3:$M$324,11,FALSE),3),0)+IFERROR(VLOOKUP($A110,S275_09,10,FALSE),0)</f>
        <v>0</v>
      </c>
      <c r="X110" s="267">
        <f>IFERROR(VLOOKUP($A110,Supp_46,14,FALSE),0)+IFERROR(SUMPRODUCT(VLOOKUP($A110,S275_01,{29,30,31},FALSE)),0)+IFERROR(SUMPRODUCT(VLOOKUP($A110,S275_97,{29,30,31},FALSE)),0)+IFERROR(ROUND(VLOOKUP($A110,S275_21,29,FALSE)*VLOOKUP($A110,'3121% SY'!$C$3:$M$324,11,FALSE),3),0)+IFERROR(ROUND(VLOOKUP($A110,S275_21,30,FALSE)*VLOOKUP($A110,'3121% SY'!$C$3:$M$324,11,FALSE),3),0)+IFERROR(ROUND(VLOOKUP($A110,S275_21,31,FALSE)*VLOOKUP($A110,'3121% SY'!$C$3:$M$324,11,FALSE),3),0)+IFERROR(VLOOKUP($A110,S275_09,11,FALSE),0)</f>
        <v>0</v>
      </c>
      <c r="Y110" s="267">
        <f>IFERROR(VLOOKUP($A110,Supp_47,14,FALSE),0)+IFERROR(SUMPRODUCT(VLOOKUP($A110,S275_01,{32,33,34},FALSE)),0)+IFERROR(SUMPRODUCT(VLOOKUP($A110,S275_97,{32,33,34},FALSE)),0)+IFERROR(ROUND(VLOOKUP($A110,S275_21,32,FALSE)*VLOOKUP($A110,'3121% SY'!$C$3:$M$324,11,FALSE),3),0)+IFERROR(ROUND(VLOOKUP($A110,S275_21,33,FALSE)*VLOOKUP($A110,'3121% SY'!$C$3:$M$324,11,FALSE),3),0)+IFERROR(ROUND(VLOOKUP($A110,S275_21,34,FALSE)*VLOOKUP($A110,'3121% SY'!$C$3:$M$324,11,FALSE),3),0)+IFERROR(VLOOKUP($A110,S275_09,12,FALSE),0)</f>
        <v>0</v>
      </c>
      <c r="Z110" s="267">
        <f>IFERROR(VLOOKUP($A110,Supp_48,14,FALSE),0)+IFERROR(SUMPRODUCT(VLOOKUP($A110,S275_01,{35,36,37},FALSE)),0)+IFERROR(SUMPRODUCT(VLOOKUP($A110,S275_97,{35,36,37},FALSE)),0)+IFERROR(ROUND(VLOOKUP($A110,S275_21,35,FALSE)*VLOOKUP($A110,'3121% SY'!$C$3:$M$324,11,FALSE),3),0)+IFERROR(ROUND(VLOOKUP($A110,S275_21,36,FALSE)*VLOOKUP($A110,'3121% SY'!$C$3:$M$324,11,FALSE),3),0)+IFERROR(ROUND(VLOOKUP($A110,S275_21,37,FALSE)*VLOOKUP($A110,'3121% SY'!$C$3:$M$324,11,FALSE),3),0)+IFERROR(VLOOKUP($A110,S275_09,13,FALSE),0)</f>
        <v>0</v>
      </c>
      <c r="AA110" s="267">
        <f>IFERROR(VLOOKUP($A110,Supp_49,14,FALSE),0)+IFERROR(SUMPRODUCT(VLOOKUP($A110,S275_01,{38,39,40},FALSE)),0)+IFERROR(SUMPRODUCT(VLOOKUP($A110,S275_97,{38,39,40},FALSE)),0)+IFERROR(ROUND(VLOOKUP($A110,S275_21,38,FALSE)*VLOOKUP($A110,'3121% SY'!$C$3:$M$324,11,FALSE),3),0)+IFERROR(ROUND(VLOOKUP($A110,S275_21,39,FALSE)*VLOOKUP($A110,'3121% SY'!$C$3:$M$324,11,FALSE),3),0)+IFERROR(ROUND(VLOOKUP($A110,S275_21,40,FALSE)*VLOOKUP($A110,'3121% SY'!$C$3:$M$324,11,FALSE),3),0)+IFERROR(VLOOKUP($A110,S275_09,14,FALSE),0)</f>
        <v>0</v>
      </c>
      <c r="AB110" s="267">
        <f>IFERROR(VLOOKUP($A110,Supp_64,14,FALSE),0)+IFERROR(SUMPRODUCT(VLOOKUP($A110,S275_01,{41,42,43},FALSE)),0)+IFERROR(SUMPRODUCT(VLOOKUP($A110,S275_97,{41,42,43},FALSE)),0)+IFERROR(ROUND(VLOOKUP($A110,S275_21,41,FALSE)*VLOOKUP($A110,'3121% SY'!$C$3:$M$324,11,FALSE),3),0)+IFERROR(ROUND(VLOOKUP($A110,S275_21,42,FALSE)*VLOOKUP($A110,'3121% SY'!$C$3:$M$324,11,FALSE),3),0)+IFERROR(ROUND(VLOOKUP($A110,S275_21,43,FALSE)*VLOOKUP($A110,'3121% SY'!$C$3:$M$324,11,FALSE),3),0)+IFERROR(VLOOKUP($A110,S275_09,15,FALSE),0)</f>
        <v>0</v>
      </c>
      <c r="AC110" s="268">
        <f t="shared" si="25"/>
        <v>0.75</v>
      </c>
      <c r="AD110" s="267">
        <f>IFERROR(VLOOKUP($A110,Supp_24,14,FALSE),0)+IFERROR(SUMPRODUCT(VLOOKUP($A110,S275_01,{2,3,4},FALSE)),0)+IFERROR(SUMPRODUCT(VLOOKUP($A110,S275_97,{2,3,4},FALSE)),0)+IFERROR(ROUND(VLOOKUP($A110,S275_21,2,FALSE)*VLOOKUP($A110,'3121% SY'!$C$3:$M$324,11,FALSE),3),0)+IFERROR(ROUND(VLOOKUP($A110,S275_21,3,FALSE)*VLOOKUP($A110,'3121% SY'!$C$3:$M$324,11,FALSE),3),0)+IFERROR(ROUND(VLOOKUP($A110,S275_21,4,FALSE)*VLOOKUP($A110,'3121% SY'!$C$3:$M$324,11,FALSE),3),0)+IFERROR(VLOOKUP($A110,S275_09,2,FALSE),0)</f>
        <v>0</v>
      </c>
      <c r="AE110" s="267">
        <f>IFERROR(VLOOKUP($A110,Supp_25,14,FALSE),0)+IFERROR(SUMPRODUCT(VLOOKUP($A110,S275_01,{5,6,7},FALSE)),0)+IFERROR(SUMPRODUCT(VLOOKUP($A110,S275_97,{5,6,7},FALSE)),0)+IFERROR(ROUND(VLOOKUP($A110,S275_21,5,FALSE)*VLOOKUP($A110,'3121% SY'!$C$3:$M$324,11,FALSE),3),0)+IFERROR(ROUND(VLOOKUP($A110,S275_21,6,FALSE)*VLOOKUP($A110,'3121% SY'!$C$3:$M$324,11,FALSE),3),0)+IFERROR(ROUND(VLOOKUP($A110,S275_21,7,FALSE)*VLOOKUP($A110,'3121% SY'!$C$3:$M$324,11,FALSE),3),0)+IFERROR(VLOOKUP($A110,S275_09,3,FALSE),0)</f>
        <v>0</v>
      </c>
      <c r="AF110" s="267">
        <f>IFERROR(VLOOKUP($A110,Supp_26,14,FALSE),0)+IFERROR(SUMPRODUCT(VLOOKUP($A110,S275_01,{8,9,10},FALSE)),0)+IFERROR(SUMPRODUCT(VLOOKUP($A110,S275_97,{8,9,10},FALSE)),0)+IFERROR(ROUND(VLOOKUP($A110,S275_21,8,FALSE)*VLOOKUP($A110,'3121% SY'!$C$3:$M$324,11,FALSE),3),0)+IFERROR(ROUND(VLOOKUP($A110,S275_21,9,FALSE)*VLOOKUP($A110,'3121% SY'!$C$3:$M$324,11,FALSE),3),0)+IFERROR(ROUND(VLOOKUP($A110,S275_21,10,FALSE)*VLOOKUP($A110,'3121% SY'!$C$3:$M$324,11,FALSE),3),0)+IFERROR(VLOOKUP($A110,S275_09,4,FALSE),0)</f>
        <v>0</v>
      </c>
      <c r="AG110" s="267">
        <f>IFERROR(VLOOKUP($A110,Supp_35,14,FALSE),0)+IFERROR(SUMPRODUCT(VLOOKUP($A110,S275_01,{11,12,13},FALSE)),0)+IFERROR(SUMPRODUCT(VLOOKUP($A110,S275_97,{11,12,13},FALSE)),0)+IFERROR(ROUND(VLOOKUP($A110,S275_21,11,FALSE)*VLOOKUP($A110,'3121% SY'!$C$3:$M$324,11,FALSE),3),0)+IFERROR(ROUND(VLOOKUP($A110,S275_21,12,FALSE)*VLOOKUP($A110,'3121% SY'!$C$3:$M$324,11,FALSE),3),0)+IFERROR(ROUND(VLOOKUP($A110,S275_21,13,FALSE)*VLOOKUP($A110,'3121% SY'!$C$3:$M$324,11,FALSE),3),0)+IFERROR(VLOOKUP($A110,S275_09,5,FALSE),0)</f>
        <v>0</v>
      </c>
      <c r="AH110" s="165">
        <f t="shared" si="26"/>
        <v>0</v>
      </c>
      <c r="AI110" s="161">
        <f>IFERROR(VLOOKUP(A110,'Supp Staff Data'!A:ER,148,FALSE),0)+AB110</f>
        <v>0</v>
      </c>
      <c r="AJ110" s="174">
        <v>1</v>
      </c>
      <c r="AK110" s="25">
        <f>VLOOKUP(A110,'Enroll Data as of January 2025'!$A$3:$T$323,20,FALSE)-F110</f>
        <v>0</v>
      </c>
    </row>
    <row r="111" spans="1:37" x14ac:dyDescent="0.25">
      <c r="A111" s="171" t="s">
        <v>628</v>
      </c>
      <c r="B111" t="s">
        <v>1234</v>
      </c>
      <c r="C111" s="173" t="s">
        <v>1086</v>
      </c>
      <c r="D111" s="259">
        <f t="shared" si="19"/>
        <v>1.4559999999999997</v>
      </c>
      <c r="E111" s="259">
        <f t="shared" si="20"/>
        <v>2.0990000000000002</v>
      </c>
      <c r="F111" s="262">
        <f t="shared" si="29"/>
        <v>0.64300000000000002</v>
      </c>
      <c r="G111" s="161">
        <f>ROUND(IF(F111&lt;0,F111*'2024-25 PSES Compliance'!$G$13,0),3)</f>
        <v>0</v>
      </c>
      <c r="H111" s="161">
        <f>ROUND(IF(F111&lt;0,F111*'2024-25 PSES Compliance'!$G$14,0),3)</f>
        <v>0</v>
      </c>
      <c r="I111" s="174">
        <f t="shared" si="21"/>
        <v>0.52358265840876606</v>
      </c>
      <c r="J111" s="174">
        <f t="shared" si="22"/>
        <v>0</v>
      </c>
      <c r="K111" s="161">
        <f>VLOOKUP($A111,'Enroll Data as of January 2025'!$A$3:$M$322,6,FALSE)</f>
        <v>1.0589999999999999</v>
      </c>
      <c r="L111" s="161">
        <f>VLOOKUP($A111,'Enroll Data as of January 2025'!$A$3:$M$322,7,FALSE)</f>
        <v>4.3999999999999997E-2</v>
      </c>
      <c r="M111" s="161">
        <f>VLOOKUP($A111,'Enroll Data as of January 2025'!$A$3:$M$322,8,FALSE)</f>
        <v>1.7000000000000001E-2</v>
      </c>
      <c r="N111" s="161">
        <f>VLOOKUP($A111,'Enroll Data as of January 2025'!$A$3:$M$322,9,FALSE)</f>
        <v>0.28699999999999998</v>
      </c>
      <c r="O111" s="165">
        <f t="shared" si="23"/>
        <v>1.4069999999999998</v>
      </c>
      <c r="P111" s="161">
        <f>VLOOKUP($A111,'Enroll Data as of January 2025'!$A$3:$M$322,11,FALSE)</f>
        <v>4.9000000000000002E-2</v>
      </c>
      <c r="Q111" s="161">
        <f>VLOOKUP($A111,'Enroll Data as of January 2025'!$A$3:$M$322,12,FALSE)</f>
        <v>0</v>
      </c>
      <c r="R111" s="165">
        <f t="shared" si="24"/>
        <v>4.9000000000000002E-2</v>
      </c>
      <c r="S111" s="267">
        <f>IFERROR(VLOOKUP($A111,Supp_39,14,FALSE),0)+IFERROR(SUMPRODUCT(VLOOKUP($A111,S275_01,{14,15,16},FALSE)),0)+IFERROR(SUMPRODUCT(VLOOKUP($A111,S275_97,{14,15,16},FALSE)),0)+IFERROR(ROUND(VLOOKUP($A111,S275_21,14,FALSE)*VLOOKUP($A111,'3121% SY'!$C$3:$M$324,11,FALSE),3),0)+IFERROR(ROUND(VLOOKUP($A111,S275_21,15,FALSE)*VLOOKUP($A111,'3121% SY'!$C$3:$M$324,11,FALSE),3),0)+IFERROR(ROUND(VLOOKUP($A111,S275_21,16,FALSE)*VLOOKUP($A111,'3121% SY'!$C$3:$M$324,11,FALSE),3),0)+IFERROR(VLOOKUP($A111,S275_09,6,FALSE),0)</f>
        <v>1</v>
      </c>
      <c r="T111" s="267">
        <f>IFERROR(VLOOKUP($A111,Supp_42,14,FALSE),0)+IFERROR(SUMPRODUCT(VLOOKUP($A111,S275_01,{17,18,19},FALSE)),0)+IFERROR(SUMPRODUCT(VLOOKUP($A111,S275_97,{17,18,19},FALSE)),0)+IFERROR(ROUND(VLOOKUP($A111,S275_21,17,FALSE)*VLOOKUP($A111,'3121% SY'!$C$3:$M$324,11,FALSE),3),0)+IFERROR(ROUND(VLOOKUP($A111,S275_21,18,FALSE)*VLOOKUP($A111,'3121% SY'!$C$3:$M$324,11,FALSE),3),0)+IFERROR(ROUND(VLOOKUP($A111,S275_21,19,FALSE)*VLOOKUP($A111,'3121% SY'!$C$3:$M$324,11,FALSE),3),0)+IFERROR(VLOOKUP($A111,S275_09,7,FALSE),0)</f>
        <v>9.9000000000000005E-2</v>
      </c>
      <c r="U111" s="267">
        <f>IFERROR(VLOOKUP($A111,Supp_43,14,FALSE),0)+IFERROR(SUMPRODUCT(VLOOKUP($A111,S275_01,{20,21,22},FALSE)),0)+IFERROR(SUMPRODUCT(VLOOKUP($A111,S275_97,{20,21,22},FALSE)),0)+IFERROR(ROUND(VLOOKUP($A111,S275_21,20,FALSE)*VLOOKUP($A111,'3121% SY'!$C$3:$M$324,11,FALSE),3),0)+IFERROR(ROUND(VLOOKUP($A111,S275_21,21,FALSE)*VLOOKUP($A111,'3121% SY'!$C$3:$M$324,11,FALSE),3),0)+IFERROR(ROUND(VLOOKUP($A111,S275_21,22,FALSE)*VLOOKUP($A111,'3121% SY'!$C$3:$M$324,11,FALSE),3),0)+IFERROR(VLOOKUP($A111,S275_09,8,FALSE),0)</f>
        <v>0</v>
      </c>
      <c r="V111" s="267">
        <f>IFERROR(VLOOKUP($A111,Supp_44,14,FALSE),0)+IFERROR(SUMPRODUCT(VLOOKUP($A111,S275_01,{23,24,25},FALSE)),0)+IFERROR(SUMPRODUCT(VLOOKUP($A111,S275_97,{23,24,25},FALSE)),0)+IFERROR(ROUND(VLOOKUP($A111,S275_21,23,FALSE)*VLOOKUP($A111,'3121% SY'!$C$3:$M$324,11,FALSE),3),0)+IFERROR(ROUND(VLOOKUP($A111,S275_21,24,FALSE)*VLOOKUP($A111,'3121% SY'!$C$3:$M$324,11,FALSE),3),0)+IFERROR(ROUND(VLOOKUP($A111,S275_21,25,FALSE)*VLOOKUP($A111,'3121% SY'!$C$3:$M$324,11,FALSE),3),0)+IFERROR(VLOOKUP($A111,S275_09,9,FALSE),0)</f>
        <v>0</v>
      </c>
      <c r="W111" s="267">
        <f>IFERROR(VLOOKUP($A111,Supp_45,14,FALSE),0)+IFERROR(SUMPRODUCT(VLOOKUP($A111,S275_01,{26,27,28},FALSE)),0)+IFERROR(SUMPRODUCT(VLOOKUP($A111,S275_97,{26,27,28},FALSE)),0)+IFERROR(ROUND(VLOOKUP($A111,S275_21,26,FALSE)*VLOOKUP($A111,'3121% SY'!$C$3:$M$324,11,FALSE),3),0)+IFERROR(ROUND(VLOOKUP($A111,S275_21,27,FALSE)*VLOOKUP($A111,'3121% SY'!$C$3:$M$324,11,FALSE),3),0)+IFERROR(ROUND(VLOOKUP($A111,S275_21,28,FALSE)*VLOOKUP($A111,'3121% SY'!$C$3:$M$324,11,FALSE),3),0)+IFERROR(VLOOKUP($A111,S275_09,10,FALSE),0)</f>
        <v>0</v>
      </c>
      <c r="X111" s="267">
        <f>IFERROR(VLOOKUP($A111,Supp_46,14,FALSE),0)+IFERROR(SUMPRODUCT(VLOOKUP($A111,S275_01,{29,30,31},FALSE)),0)+IFERROR(SUMPRODUCT(VLOOKUP($A111,S275_97,{29,30,31},FALSE)),0)+IFERROR(ROUND(VLOOKUP($A111,S275_21,29,FALSE)*VLOOKUP($A111,'3121% SY'!$C$3:$M$324,11,FALSE),3),0)+IFERROR(ROUND(VLOOKUP($A111,S275_21,30,FALSE)*VLOOKUP($A111,'3121% SY'!$C$3:$M$324,11,FALSE),3),0)+IFERROR(ROUND(VLOOKUP($A111,S275_21,31,FALSE)*VLOOKUP($A111,'3121% SY'!$C$3:$M$324,11,FALSE),3),0)+IFERROR(VLOOKUP($A111,S275_09,11,FALSE),0)</f>
        <v>0</v>
      </c>
      <c r="Y111" s="267">
        <f>IFERROR(VLOOKUP($A111,Supp_47,14,FALSE),0)+IFERROR(SUMPRODUCT(VLOOKUP($A111,S275_01,{32,33,34},FALSE)),0)+IFERROR(SUMPRODUCT(VLOOKUP($A111,S275_97,{32,33,34},FALSE)),0)+IFERROR(ROUND(VLOOKUP($A111,S275_21,32,FALSE)*VLOOKUP($A111,'3121% SY'!$C$3:$M$324,11,FALSE),3),0)+IFERROR(ROUND(VLOOKUP($A111,S275_21,33,FALSE)*VLOOKUP($A111,'3121% SY'!$C$3:$M$324,11,FALSE),3),0)+IFERROR(ROUND(VLOOKUP($A111,S275_21,34,FALSE)*VLOOKUP($A111,'3121% SY'!$C$3:$M$324,11,FALSE),3),0)+IFERROR(VLOOKUP($A111,S275_09,12,FALSE),0)</f>
        <v>0</v>
      </c>
      <c r="Z111" s="267">
        <f>IFERROR(VLOOKUP($A111,Supp_48,14,FALSE),0)+IFERROR(SUMPRODUCT(VLOOKUP($A111,S275_01,{35,36,37},FALSE)),0)+IFERROR(SUMPRODUCT(VLOOKUP($A111,S275_97,{35,36,37},FALSE)),0)+IFERROR(ROUND(VLOOKUP($A111,S275_21,35,FALSE)*VLOOKUP($A111,'3121% SY'!$C$3:$M$324,11,FALSE),3),0)+IFERROR(ROUND(VLOOKUP($A111,S275_21,36,FALSE)*VLOOKUP($A111,'3121% SY'!$C$3:$M$324,11,FALSE),3),0)+IFERROR(ROUND(VLOOKUP($A111,S275_21,37,FALSE)*VLOOKUP($A111,'3121% SY'!$C$3:$M$324,11,FALSE),3),0)+IFERROR(VLOOKUP($A111,S275_09,13,FALSE),0)</f>
        <v>0</v>
      </c>
      <c r="AA111" s="267">
        <f>IFERROR(VLOOKUP($A111,Supp_49,14,FALSE),0)+IFERROR(SUMPRODUCT(VLOOKUP($A111,S275_01,{38,39,40},FALSE)),0)+IFERROR(SUMPRODUCT(VLOOKUP($A111,S275_97,{38,39,40},FALSE)),0)+IFERROR(ROUND(VLOOKUP($A111,S275_21,38,FALSE)*VLOOKUP($A111,'3121% SY'!$C$3:$M$324,11,FALSE),3),0)+IFERROR(ROUND(VLOOKUP($A111,S275_21,39,FALSE)*VLOOKUP($A111,'3121% SY'!$C$3:$M$324,11,FALSE),3),0)+IFERROR(ROUND(VLOOKUP($A111,S275_21,40,FALSE)*VLOOKUP($A111,'3121% SY'!$C$3:$M$324,11,FALSE),3),0)+IFERROR(VLOOKUP($A111,S275_09,14,FALSE),0)</f>
        <v>0</v>
      </c>
      <c r="AB111" s="267">
        <f>IFERROR(VLOOKUP($A111,Supp_64,14,FALSE),0)+IFERROR(SUMPRODUCT(VLOOKUP($A111,S275_01,{41,42,43},FALSE)),0)+IFERROR(SUMPRODUCT(VLOOKUP($A111,S275_97,{41,42,43},FALSE)),0)+IFERROR(ROUND(VLOOKUP($A111,S275_21,41,FALSE)*VLOOKUP($A111,'3121% SY'!$C$3:$M$324,11,FALSE),3),0)+IFERROR(ROUND(VLOOKUP($A111,S275_21,42,FALSE)*VLOOKUP($A111,'3121% SY'!$C$3:$M$324,11,FALSE),3),0)+IFERROR(ROUND(VLOOKUP($A111,S275_21,43,FALSE)*VLOOKUP($A111,'3121% SY'!$C$3:$M$324,11,FALSE),3),0)+IFERROR(VLOOKUP($A111,S275_09,15,FALSE),0)</f>
        <v>0</v>
      </c>
      <c r="AC111" s="268">
        <f t="shared" si="25"/>
        <v>1.099</v>
      </c>
      <c r="AD111" s="267">
        <f>IFERROR(VLOOKUP($A111,Supp_24,14,FALSE),0)+IFERROR(SUMPRODUCT(VLOOKUP($A111,S275_01,{2,3,4},FALSE)),0)+IFERROR(SUMPRODUCT(VLOOKUP($A111,S275_97,{2,3,4},FALSE)),0)+IFERROR(ROUND(VLOOKUP($A111,S275_21,2,FALSE)*VLOOKUP($A111,'3121% SY'!$C$3:$M$324,11,FALSE),3),0)+IFERROR(ROUND(VLOOKUP($A111,S275_21,3,FALSE)*VLOOKUP($A111,'3121% SY'!$C$3:$M$324,11,FALSE),3),0)+IFERROR(ROUND(VLOOKUP($A111,S275_21,4,FALSE)*VLOOKUP($A111,'3121% SY'!$C$3:$M$324,11,FALSE),3),0)+IFERROR(VLOOKUP($A111,S275_09,2,FALSE),0)</f>
        <v>1</v>
      </c>
      <c r="AE111" s="267">
        <f>IFERROR(VLOOKUP($A111,Supp_25,14,FALSE),0)+IFERROR(SUMPRODUCT(VLOOKUP($A111,S275_01,{5,6,7},FALSE)),0)+IFERROR(SUMPRODUCT(VLOOKUP($A111,S275_97,{5,6,7},FALSE)),0)+IFERROR(ROUND(VLOOKUP($A111,S275_21,5,FALSE)*VLOOKUP($A111,'3121% SY'!$C$3:$M$324,11,FALSE),3),0)+IFERROR(ROUND(VLOOKUP($A111,S275_21,6,FALSE)*VLOOKUP($A111,'3121% SY'!$C$3:$M$324,11,FALSE),3),0)+IFERROR(ROUND(VLOOKUP($A111,S275_21,7,FALSE)*VLOOKUP($A111,'3121% SY'!$C$3:$M$324,11,FALSE),3),0)+IFERROR(VLOOKUP($A111,S275_09,3,FALSE),0)</f>
        <v>0</v>
      </c>
      <c r="AF111" s="267">
        <f>IFERROR(VLOOKUP($A111,Supp_26,14,FALSE),0)+IFERROR(SUMPRODUCT(VLOOKUP($A111,S275_01,{8,9,10},FALSE)),0)+IFERROR(SUMPRODUCT(VLOOKUP($A111,S275_97,{8,9,10},FALSE)),0)+IFERROR(ROUND(VLOOKUP($A111,S275_21,8,FALSE)*VLOOKUP($A111,'3121% SY'!$C$3:$M$324,11,FALSE),3),0)+IFERROR(ROUND(VLOOKUP($A111,S275_21,9,FALSE)*VLOOKUP($A111,'3121% SY'!$C$3:$M$324,11,FALSE),3),0)+IFERROR(ROUND(VLOOKUP($A111,S275_21,10,FALSE)*VLOOKUP($A111,'3121% SY'!$C$3:$M$324,11,FALSE),3),0)+IFERROR(VLOOKUP($A111,S275_09,4,FALSE),0)</f>
        <v>0</v>
      </c>
      <c r="AG111" s="267">
        <f>IFERROR(VLOOKUP($A111,Supp_35,14,FALSE),0)+IFERROR(SUMPRODUCT(VLOOKUP($A111,S275_01,{11,12,13},FALSE)),0)+IFERROR(SUMPRODUCT(VLOOKUP($A111,S275_97,{11,12,13},FALSE)),0)+IFERROR(ROUND(VLOOKUP($A111,S275_21,11,FALSE)*VLOOKUP($A111,'3121% SY'!$C$3:$M$324,11,FALSE),3),0)+IFERROR(ROUND(VLOOKUP($A111,S275_21,12,FALSE)*VLOOKUP($A111,'3121% SY'!$C$3:$M$324,11,FALSE),3),0)+IFERROR(ROUND(VLOOKUP($A111,S275_21,13,FALSE)*VLOOKUP($A111,'3121% SY'!$C$3:$M$324,11,FALSE),3),0)+IFERROR(VLOOKUP($A111,S275_09,5,FALSE),0)</f>
        <v>0</v>
      </c>
      <c r="AH111" s="165">
        <f t="shared" si="26"/>
        <v>1</v>
      </c>
      <c r="AI111" s="161">
        <f>IFERROR(VLOOKUP(A111,'Supp Staff Data'!A:ER,148,FALSE),0)+AB111</f>
        <v>0</v>
      </c>
      <c r="AJ111" s="174">
        <v>1</v>
      </c>
      <c r="AK111" s="25">
        <f>VLOOKUP(A111,'Enroll Data as of January 2025'!$A$3:$T$323,20,FALSE)-F111</f>
        <v>0</v>
      </c>
    </row>
    <row r="112" spans="1:37" x14ac:dyDescent="0.25">
      <c r="A112" s="171" t="s">
        <v>70</v>
      </c>
      <c r="B112" t="s">
        <v>366</v>
      </c>
      <c r="C112" s="173" t="s">
        <v>1077</v>
      </c>
      <c r="D112" s="259">
        <f t="shared" si="19"/>
        <v>9.2889999999999997</v>
      </c>
      <c r="E112" s="259">
        <f t="shared" si="20"/>
        <v>5.5229999999999997</v>
      </c>
      <c r="F112" s="262">
        <f t="shared" si="29"/>
        <v>-3.766</v>
      </c>
      <c r="G112" s="161">
        <f>ROUND(IF(F112&lt;0,F112*'2024-25 PSES Compliance'!$G$13,0),3)</f>
        <v>-3.6150000000000002</v>
      </c>
      <c r="H112" s="161">
        <f>ROUND(IF(F112&lt;0,F112*'2024-25 PSES Compliance'!$G$14,0),3)</f>
        <v>-0.151</v>
      </c>
      <c r="I112" s="174">
        <f t="shared" si="21"/>
        <v>0.80318667390910736</v>
      </c>
      <c r="J112" s="174">
        <f t="shared" si="22"/>
        <v>0</v>
      </c>
      <c r="K112" s="161">
        <f>VLOOKUP($A112,'Enroll Data as of January 2025'!$A$3:$M$322,6,FALSE)</f>
        <v>5.3130000000000006</v>
      </c>
      <c r="L112" s="161">
        <f>VLOOKUP($A112,'Enroll Data as of January 2025'!$A$3:$M$322,7,FALSE)</f>
        <v>0.81600000000000006</v>
      </c>
      <c r="M112" s="161">
        <f>VLOOKUP($A112,'Enroll Data as of January 2025'!$A$3:$M$322,8,FALSE)</f>
        <v>0.27400000000000002</v>
      </c>
      <c r="N112" s="161">
        <f>VLOOKUP($A112,'Enroll Data as of January 2025'!$A$3:$M$322,9,FALSE)</f>
        <v>2.3819999999999997</v>
      </c>
      <c r="O112" s="165">
        <f t="shared" si="23"/>
        <v>8.7850000000000001</v>
      </c>
      <c r="P112" s="161">
        <f>VLOOKUP($A112,'Enroll Data as of January 2025'!$A$3:$M$322,11,FALSE)</f>
        <v>0.32500000000000001</v>
      </c>
      <c r="Q112" s="161">
        <f>VLOOKUP($A112,'Enroll Data as of January 2025'!$A$3:$M$322,12,FALSE)</f>
        <v>0.17899999999999999</v>
      </c>
      <c r="R112" s="165">
        <f t="shared" si="24"/>
        <v>0.504</v>
      </c>
      <c r="S112" s="267">
        <f>IFERROR(VLOOKUP($A112,Supp_39,14,FALSE),0)+IFERROR(SUMPRODUCT(VLOOKUP($A112,S275_01,{14,15,16},FALSE)),0)+IFERROR(SUMPRODUCT(VLOOKUP($A112,S275_97,{14,15,16},FALSE)),0)+IFERROR(ROUND(VLOOKUP($A112,S275_21,14,FALSE)*VLOOKUP($A112,'3121% SY'!$C$3:$M$324,11,FALSE),3),0)+IFERROR(ROUND(VLOOKUP($A112,S275_21,15,FALSE)*VLOOKUP($A112,'3121% SY'!$C$3:$M$324,11,FALSE),3),0)+IFERROR(ROUND(VLOOKUP($A112,S275_21,16,FALSE)*VLOOKUP($A112,'3121% SY'!$C$3:$M$324,11,FALSE),3),0)+IFERROR(VLOOKUP($A112,S275_09,6,FALSE),0)</f>
        <v>2.1</v>
      </c>
      <c r="T112" s="267">
        <f>IFERROR(VLOOKUP($A112,Supp_42,14,FALSE),0)+IFERROR(SUMPRODUCT(VLOOKUP($A112,S275_01,{17,18,19},FALSE)),0)+IFERROR(SUMPRODUCT(VLOOKUP($A112,S275_97,{17,18,19},FALSE)),0)+IFERROR(ROUND(VLOOKUP($A112,S275_21,17,FALSE)*VLOOKUP($A112,'3121% SY'!$C$3:$M$324,11,FALSE),3),0)+IFERROR(ROUND(VLOOKUP($A112,S275_21,18,FALSE)*VLOOKUP($A112,'3121% SY'!$C$3:$M$324,11,FALSE),3),0)+IFERROR(ROUND(VLOOKUP($A112,S275_21,19,FALSE)*VLOOKUP($A112,'3121% SY'!$C$3:$M$324,11,FALSE),3),0)+IFERROR(VLOOKUP($A112,S275_09,7,FALSE),0)</f>
        <v>0.93</v>
      </c>
      <c r="U112" s="267">
        <f>IFERROR(VLOOKUP($A112,Supp_43,14,FALSE),0)+IFERROR(SUMPRODUCT(VLOOKUP($A112,S275_01,{20,21,22},FALSE)),0)+IFERROR(SUMPRODUCT(VLOOKUP($A112,S275_97,{20,21,22},FALSE)),0)+IFERROR(ROUND(VLOOKUP($A112,S275_21,20,FALSE)*VLOOKUP($A112,'3121% SY'!$C$3:$M$324,11,FALSE),3),0)+IFERROR(ROUND(VLOOKUP($A112,S275_21,21,FALSE)*VLOOKUP($A112,'3121% SY'!$C$3:$M$324,11,FALSE),3),0)+IFERROR(ROUND(VLOOKUP($A112,S275_21,22,FALSE)*VLOOKUP($A112,'3121% SY'!$C$3:$M$324,11,FALSE),3),0)+IFERROR(VLOOKUP($A112,S275_09,8,FALSE),0)</f>
        <v>0</v>
      </c>
      <c r="V112" s="267">
        <f>IFERROR(VLOOKUP($A112,Supp_44,14,FALSE),0)+IFERROR(SUMPRODUCT(VLOOKUP($A112,S275_01,{23,24,25},FALSE)),0)+IFERROR(SUMPRODUCT(VLOOKUP($A112,S275_97,{23,24,25},FALSE)),0)+IFERROR(ROUND(VLOOKUP($A112,S275_21,23,FALSE)*VLOOKUP($A112,'3121% SY'!$C$3:$M$324,11,FALSE),3),0)+IFERROR(ROUND(VLOOKUP($A112,S275_21,24,FALSE)*VLOOKUP($A112,'3121% SY'!$C$3:$M$324,11,FALSE),3),0)+IFERROR(ROUND(VLOOKUP($A112,S275_21,25,FALSE)*VLOOKUP($A112,'3121% SY'!$C$3:$M$324,11,FALSE),3),0)+IFERROR(VLOOKUP($A112,S275_09,9,FALSE),0)</f>
        <v>0</v>
      </c>
      <c r="W112" s="267">
        <f>IFERROR(VLOOKUP($A112,Supp_45,14,FALSE),0)+IFERROR(SUMPRODUCT(VLOOKUP($A112,S275_01,{26,27,28},FALSE)),0)+IFERROR(SUMPRODUCT(VLOOKUP($A112,S275_97,{26,27,28},FALSE)),0)+IFERROR(ROUND(VLOOKUP($A112,S275_21,26,FALSE)*VLOOKUP($A112,'3121% SY'!$C$3:$M$324,11,FALSE),3),0)+IFERROR(ROUND(VLOOKUP($A112,S275_21,27,FALSE)*VLOOKUP($A112,'3121% SY'!$C$3:$M$324,11,FALSE),3),0)+IFERROR(ROUND(VLOOKUP($A112,S275_21,28,FALSE)*VLOOKUP($A112,'3121% SY'!$C$3:$M$324,11,FALSE),3),0)+IFERROR(VLOOKUP($A112,S275_09,10,FALSE),0)</f>
        <v>0</v>
      </c>
      <c r="X112" s="267">
        <f>IFERROR(VLOOKUP($A112,Supp_46,14,FALSE),0)+IFERROR(SUMPRODUCT(VLOOKUP($A112,S275_01,{29,30,31},FALSE)),0)+IFERROR(SUMPRODUCT(VLOOKUP($A112,S275_97,{29,30,31},FALSE)),0)+IFERROR(ROUND(VLOOKUP($A112,S275_21,29,FALSE)*VLOOKUP($A112,'3121% SY'!$C$3:$M$324,11,FALSE),3),0)+IFERROR(ROUND(VLOOKUP($A112,S275_21,30,FALSE)*VLOOKUP($A112,'3121% SY'!$C$3:$M$324,11,FALSE),3),0)+IFERROR(ROUND(VLOOKUP($A112,S275_21,31,FALSE)*VLOOKUP($A112,'3121% SY'!$C$3:$M$324,11,FALSE),3),0)+IFERROR(VLOOKUP($A112,S275_09,11,FALSE),0)</f>
        <v>1.2630000000000001</v>
      </c>
      <c r="Y112" s="267">
        <f>IFERROR(VLOOKUP($A112,Supp_47,14,FALSE),0)+IFERROR(SUMPRODUCT(VLOOKUP($A112,S275_01,{32,33,34},FALSE)),0)+IFERROR(SUMPRODUCT(VLOOKUP($A112,S275_97,{32,33,34},FALSE)),0)+IFERROR(ROUND(VLOOKUP($A112,S275_21,32,FALSE)*VLOOKUP($A112,'3121% SY'!$C$3:$M$324,11,FALSE),3),0)+IFERROR(ROUND(VLOOKUP($A112,S275_21,33,FALSE)*VLOOKUP($A112,'3121% SY'!$C$3:$M$324,11,FALSE),3),0)+IFERROR(ROUND(VLOOKUP($A112,S275_21,34,FALSE)*VLOOKUP($A112,'3121% SY'!$C$3:$M$324,11,FALSE),3),0)+IFERROR(VLOOKUP($A112,S275_09,12,FALSE),0)</f>
        <v>0.14299999999999999</v>
      </c>
      <c r="Z112" s="267">
        <f>IFERROR(VLOOKUP($A112,Supp_48,14,FALSE),0)+IFERROR(SUMPRODUCT(VLOOKUP($A112,S275_01,{35,36,37},FALSE)),0)+IFERROR(SUMPRODUCT(VLOOKUP($A112,S275_97,{35,36,37},FALSE)),0)+IFERROR(ROUND(VLOOKUP($A112,S275_21,35,FALSE)*VLOOKUP($A112,'3121% SY'!$C$3:$M$324,11,FALSE),3),0)+IFERROR(ROUND(VLOOKUP($A112,S275_21,36,FALSE)*VLOOKUP($A112,'3121% SY'!$C$3:$M$324,11,FALSE),3),0)+IFERROR(ROUND(VLOOKUP($A112,S275_21,37,FALSE)*VLOOKUP($A112,'3121% SY'!$C$3:$M$324,11,FALSE),3),0)+IFERROR(VLOOKUP($A112,S275_09,13,FALSE),0)</f>
        <v>0</v>
      </c>
      <c r="AA112" s="267">
        <f>IFERROR(VLOOKUP($A112,Supp_49,14,FALSE),0)+IFERROR(SUMPRODUCT(VLOOKUP($A112,S275_01,{38,39,40},FALSE)),0)+IFERROR(SUMPRODUCT(VLOOKUP($A112,S275_97,{38,39,40},FALSE)),0)+IFERROR(ROUND(VLOOKUP($A112,S275_21,38,FALSE)*VLOOKUP($A112,'3121% SY'!$C$3:$M$324,11,FALSE),3),0)+IFERROR(ROUND(VLOOKUP($A112,S275_21,39,FALSE)*VLOOKUP($A112,'3121% SY'!$C$3:$M$324,11,FALSE),3),0)+IFERROR(ROUND(VLOOKUP($A112,S275_21,40,FALSE)*VLOOKUP($A112,'3121% SY'!$C$3:$M$324,11,FALSE),3),0)+IFERROR(VLOOKUP($A112,S275_09,14,FALSE),0)</f>
        <v>0</v>
      </c>
      <c r="AB112" s="267">
        <f>IFERROR(VLOOKUP($A112,Supp_64,14,FALSE),0)+IFERROR(SUMPRODUCT(VLOOKUP($A112,S275_01,{41,42,43},FALSE)),0)+IFERROR(SUMPRODUCT(VLOOKUP($A112,S275_97,{41,42,43},FALSE)),0)+IFERROR(ROUND(VLOOKUP($A112,S275_21,41,FALSE)*VLOOKUP($A112,'3121% SY'!$C$3:$M$324,11,FALSE),3),0)+IFERROR(ROUND(VLOOKUP($A112,S275_21,42,FALSE)*VLOOKUP($A112,'3121% SY'!$C$3:$M$324,11,FALSE),3),0)+IFERROR(ROUND(VLOOKUP($A112,S275_21,43,FALSE)*VLOOKUP($A112,'3121% SY'!$C$3:$M$324,11,FALSE),3),0)+IFERROR(VLOOKUP($A112,S275_09,15,FALSE),0)</f>
        <v>0</v>
      </c>
      <c r="AC112" s="268">
        <f t="shared" si="25"/>
        <v>4.4359999999999999</v>
      </c>
      <c r="AD112" s="267">
        <f>IFERROR(VLOOKUP($A112,Supp_24,14,FALSE),0)+IFERROR(SUMPRODUCT(VLOOKUP($A112,S275_01,{2,3,4},FALSE)),0)+IFERROR(SUMPRODUCT(VLOOKUP($A112,S275_97,{2,3,4},FALSE)),0)+IFERROR(ROUND(VLOOKUP($A112,S275_21,2,FALSE)*VLOOKUP($A112,'3121% SY'!$C$3:$M$324,11,FALSE),3),0)+IFERROR(ROUND(VLOOKUP($A112,S275_21,3,FALSE)*VLOOKUP($A112,'3121% SY'!$C$3:$M$324,11,FALSE),3),0)+IFERROR(ROUND(VLOOKUP($A112,S275_21,4,FALSE)*VLOOKUP($A112,'3121% SY'!$C$3:$M$324,11,FALSE),3),0)+IFERROR(VLOOKUP($A112,S275_09,2,FALSE),0)</f>
        <v>0</v>
      </c>
      <c r="AE112" s="267">
        <f>IFERROR(VLOOKUP($A112,Supp_25,14,FALSE),0)+IFERROR(SUMPRODUCT(VLOOKUP($A112,S275_01,{5,6,7},FALSE)),0)+IFERROR(SUMPRODUCT(VLOOKUP($A112,S275_97,{5,6,7},FALSE)),0)+IFERROR(ROUND(VLOOKUP($A112,S275_21,5,FALSE)*VLOOKUP($A112,'3121% SY'!$C$3:$M$324,11,FALSE),3),0)+IFERROR(ROUND(VLOOKUP($A112,S275_21,6,FALSE)*VLOOKUP($A112,'3121% SY'!$C$3:$M$324,11,FALSE),3),0)+IFERROR(ROUND(VLOOKUP($A112,S275_21,7,FALSE)*VLOOKUP($A112,'3121% SY'!$C$3:$M$324,11,FALSE),3),0)+IFERROR(VLOOKUP($A112,S275_09,3,FALSE),0)</f>
        <v>0</v>
      </c>
      <c r="AF112" s="267">
        <f>IFERROR(VLOOKUP($A112,Supp_26,14,FALSE),0)+IFERROR(SUMPRODUCT(VLOOKUP($A112,S275_01,{8,9,10},FALSE)),0)+IFERROR(SUMPRODUCT(VLOOKUP($A112,S275_97,{8,9,10},FALSE)),0)+IFERROR(ROUND(VLOOKUP($A112,S275_21,8,FALSE)*VLOOKUP($A112,'3121% SY'!$C$3:$M$324,11,FALSE),3),0)+IFERROR(ROUND(VLOOKUP($A112,S275_21,9,FALSE)*VLOOKUP($A112,'3121% SY'!$C$3:$M$324,11,FALSE),3),0)+IFERROR(ROUND(VLOOKUP($A112,S275_21,10,FALSE)*VLOOKUP($A112,'3121% SY'!$C$3:$M$324,11,FALSE),3),0)+IFERROR(VLOOKUP($A112,S275_09,4,FALSE),0)</f>
        <v>0.98699999999999999</v>
      </c>
      <c r="AG112" s="267">
        <f>IFERROR(VLOOKUP($A112,Supp_35,14,FALSE),0)+IFERROR(SUMPRODUCT(VLOOKUP($A112,S275_01,{11,12,13},FALSE)),0)+IFERROR(SUMPRODUCT(VLOOKUP($A112,S275_97,{11,12,13},FALSE)),0)+IFERROR(ROUND(VLOOKUP($A112,S275_21,11,FALSE)*VLOOKUP($A112,'3121% SY'!$C$3:$M$324,11,FALSE),3),0)+IFERROR(ROUND(VLOOKUP($A112,S275_21,12,FALSE)*VLOOKUP($A112,'3121% SY'!$C$3:$M$324,11,FALSE),3),0)+IFERROR(ROUND(VLOOKUP($A112,S275_21,13,FALSE)*VLOOKUP($A112,'3121% SY'!$C$3:$M$324,11,FALSE),3),0)+IFERROR(VLOOKUP($A112,S275_09,5,FALSE),0)</f>
        <v>0.1</v>
      </c>
      <c r="AH112" s="165">
        <f t="shared" si="26"/>
        <v>1.087</v>
      </c>
      <c r="AI112" s="161">
        <f>IFERROR(VLOOKUP(A112,'Supp Staff Data'!A:ER,148,FALSE),0)+AB112</f>
        <v>0</v>
      </c>
      <c r="AJ112" s="174">
        <v>1</v>
      </c>
      <c r="AK112" s="25">
        <f>VLOOKUP(A112,'Enroll Data as of January 2025'!$A$3:$T$323,20,FALSE)-F112</f>
        <v>0</v>
      </c>
    </row>
    <row r="113" spans="1:37" x14ac:dyDescent="0.25">
      <c r="A113" s="171" t="s">
        <v>260</v>
      </c>
      <c r="B113" t="s">
        <v>556</v>
      </c>
      <c r="C113" s="173" t="s">
        <v>1077</v>
      </c>
      <c r="D113" s="259">
        <f t="shared" si="19"/>
        <v>2.0709999999999997</v>
      </c>
      <c r="E113" s="259">
        <f t="shared" si="20"/>
        <v>1.1140000000000001</v>
      </c>
      <c r="F113" s="262">
        <f t="shared" si="29"/>
        <v>-0.95699999999999996</v>
      </c>
      <c r="G113" s="161">
        <f>ROUND(IF(F113&lt;0,F113*'2024-25 PSES Compliance'!$G$13,0),3)</f>
        <v>-0.91900000000000004</v>
      </c>
      <c r="H113" s="161">
        <f>ROUND(IF(F113&lt;0,F113*'2024-25 PSES Compliance'!$G$14,0),3)</f>
        <v>-3.7999999999999999E-2</v>
      </c>
      <c r="I113" s="174">
        <f t="shared" si="21"/>
        <v>0</v>
      </c>
      <c r="J113" s="174">
        <f t="shared" si="22"/>
        <v>0</v>
      </c>
      <c r="K113" s="161">
        <f>VLOOKUP($A113,'Enroll Data as of January 2025'!$A$3:$M$322,6,FALSE)</f>
        <v>1.1599999999999999</v>
      </c>
      <c r="L113" s="161">
        <f>VLOOKUP($A113,'Enroll Data as of January 2025'!$A$3:$M$322,7,FALSE)</f>
        <v>0.19400000000000001</v>
      </c>
      <c r="M113" s="161">
        <f>VLOOKUP($A113,'Enroll Data as of January 2025'!$A$3:$M$322,8,FALSE)</f>
        <v>6.5000000000000002E-2</v>
      </c>
      <c r="N113" s="161">
        <f>VLOOKUP($A113,'Enroll Data as of January 2025'!$A$3:$M$322,9,FALSE)</f>
        <v>0.53500000000000003</v>
      </c>
      <c r="O113" s="165">
        <f t="shared" si="23"/>
        <v>1.9539999999999997</v>
      </c>
      <c r="P113" s="161">
        <f>VLOOKUP($A113,'Enroll Data as of January 2025'!$A$3:$M$322,11,FALSE)</f>
        <v>7.3000000000000009E-2</v>
      </c>
      <c r="Q113" s="161">
        <f>VLOOKUP($A113,'Enroll Data as of January 2025'!$A$3:$M$322,12,FALSE)</f>
        <v>4.3999999999999997E-2</v>
      </c>
      <c r="R113" s="165">
        <f t="shared" si="24"/>
        <v>0.11700000000000001</v>
      </c>
      <c r="S113" s="267">
        <f>IFERROR(VLOOKUP($A113,Supp_39,14,FALSE),0)+IFERROR(SUMPRODUCT(VLOOKUP($A113,S275_01,{14,15,16},FALSE)),0)+IFERROR(SUMPRODUCT(VLOOKUP($A113,S275_97,{14,15,16},FALSE)),0)+IFERROR(ROUND(VLOOKUP($A113,S275_21,14,FALSE)*VLOOKUP($A113,'3121% SY'!$C$3:$M$324,11,FALSE),3),0)+IFERROR(ROUND(VLOOKUP($A113,S275_21,15,FALSE)*VLOOKUP($A113,'3121% SY'!$C$3:$M$324,11,FALSE),3),0)+IFERROR(ROUND(VLOOKUP($A113,S275_21,16,FALSE)*VLOOKUP($A113,'3121% SY'!$C$3:$M$324,11,FALSE),3),0)+IFERROR(VLOOKUP($A113,S275_09,6,FALSE),0)</f>
        <v>0</v>
      </c>
      <c r="T113" s="267">
        <f>IFERROR(VLOOKUP($A113,Supp_42,14,FALSE),0)+IFERROR(SUMPRODUCT(VLOOKUP($A113,S275_01,{17,18,19},FALSE)),0)+IFERROR(SUMPRODUCT(VLOOKUP($A113,S275_97,{17,18,19},FALSE)),0)+IFERROR(ROUND(VLOOKUP($A113,S275_21,17,FALSE)*VLOOKUP($A113,'3121% SY'!$C$3:$M$324,11,FALSE),3),0)+IFERROR(ROUND(VLOOKUP($A113,S275_21,18,FALSE)*VLOOKUP($A113,'3121% SY'!$C$3:$M$324,11,FALSE),3),0)+IFERROR(ROUND(VLOOKUP($A113,S275_21,19,FALSE)*VLOOKUP($A113,'3121% SY'!$C$3:$M$324,11,FALSE),3),0)+IFERROR(VLOOKUP($A113,S275_09,7,FALSE),0)</f>
        <v>0</v>
      </c>
      <c r="U113" s="267">
        <f>IFERROR(VLOOKUP($A113,Supp_43,14,FALSE),0)+IFERROR(SUMPRODUCT(VLOOKUP($A113,S275_01,{20,21,22},FALSE)),0)+IFERROR(SUMPRODUCT(VLOOKUP($A113,S275_97,{20,21,22},FALSE)),0)+IFERROR(ROUND(VLOOKUP($A113,S275_21,20,FALSE)*VLOOKUP($A113,'3121% SY'!$C$3:$M$324,11,FALSE),3),0)+IFERROR(ROUND(VLOOKUP($A113,S275_21,21,FALSE)*VLOOKUP($A113,'3121% SY'!$C$3:$M$324,11,FALSE),3),0)+IFERROR(ROUND(VLOOKUP($A113,S275_21,22,FALSE)*VLOOKUP($A113,'3121% SY'!$C$3:$M$324,11,FALSE),3),0)+IFERROR(VLOOKUP($A113,S275_09,8,FALSE),0)</f>
        <v>0</v>
      </c>
      <c r="V113" s="267">
        <f>IFERROR(VLOOKUP($A113,Supp_44,14,FALSE),0)+IFERROR(SUMPRODUCT(VLOOKUP($A113,S275_01,{23,24,25},FALSE)),0)+IFERROR(SUMPRODUCT(VLOOKUP($A113,S275_97,{23,24,25},FALSE)),0)+IFERROR(ROUND(VLOOKUP($A113,S275_21,23,FALSE)*VLOOKUP($A113,'3121% SY'!$C$3:$M$324,11,FALSE),3),0)+IFERROR(ROUND(VLOOKUP($A113,S275_21,24,FALSE)*VLOOKUP($A113,'3121% SY'!$C$3:$M$324,11,FALSE),3),0)+IFERROR(ROUND(VLOOKUP($A113,S275_21,25,FALSE)*VLOOKUP($A113,'3121% SY'!$C$3:$M$324,11,FALSE),3),0)+IFERROR(VLOOKUP($A113,S275_09,9,FALSE),0)</f>
        <v>0</v>
      </c>
      <c r="W113" s="267">
        <f>IFERROR(VLOOKUP($A113,Supp_45,14,FALSE),0)+IFERROR(SUMPRODUCT(VLOOKUP($A113,S275_01,{26,27,28},FALSE)),0)+IFERROR(SUMPRODUCT(VLOOKUP($A113,S275_97,{26,27,28},FALSE)),0)+IFERROR(ROUND(VLOOKUP($A113,S275_21,26,FALSE)*VLOOKUP($A113,'3121% SY'!$C$3:$M$324,11,FALSE),3),0)+IFERROR(ROUND(VLOOKUP($A113,S275_21,27,FALSE)*VLOOKUP($A113,'3121% SY'!$C$3:$M$324,11,FALSE),3),0)+IFERROR(ROUND(VLOOKUP($A113,S275_21,28,FALSE)*VLOOKUP($A113,'3121% SY'!$C$3:$M$324,11,FALSE),3),0)+IFERROR(VLOOKUP($A113,S275_09,10,FALSE),0)</f>
        <v>0</v>
      </c>
      <c r="X113" s="267">
        <f>IFERROR(VLOOKUP($A113,Supp_46,14,FALSE),0)+IFERROR(SUMPRODUCT(VLOOKUP($A113,S275_01,{29,30,31},FALSE)),0)+IFERROR(SUMPRODUCT(VLOOKUP($A113,S275_97,{29,30,31},FALSE)),0)+IFERROR(ROUND(VLOOKUP($A113,S275_21,29,FALSE)*VLOOKUP($A113,'3121% SY'!$C$3:$M$324,11,FALSE),3),0)+IFERROR(ROUND(VLOOKUP($A113,S275_21,30,FALSE)*VLOOKUP($A113,'3121% SY'!$C$3:$M$324,11,FALSE),3),0)+IFERROR(ROUND(VLOOKUP($A113,S275_21,31,FALSE)*VLOOKUP($A113,'3121% SY'!$C$3:$M$324,11,FALSE),3),0)+IFERROR(VLOOKUP($A113,S275_09,11,FALSE),0)</f>
        <v>0</v>
      </c>
      <c r="Y113" s="267">
        <f>IFERROR(VLOOKUP($A113,Supp_47,14,FALSE),0)+IFERROR(SUMPRODUCT(VLOOKUP($A113,S275_01,{32,33,34},FALSE)),0)+IFERROR(SUMPRODUCT(VLOOKUP($A113,S275_97,{32,33,34},FALSE)),0)+IFERROR(ROUND(VLOOKUP($A113,S275_21,32,FALSE)*VLOOKUP($A113,'3121% SY'!$C$3:$M$324,11,FALSE),3),0)+IFERROR(ROUND(VLOOKUP($A113,S275_21,33,FALSE)*VLOOKUP($A113,'3121% SY'!$C$3:$M$324,11,FALSE),3),0)+IFERROR(ROUND(VLOOKUP($A113,S275_21,34,FALSE)*VLOOKUP($A113,'3121% SY'!$C$3:$M$324,11,FALSE),3),0)+IFERROR(VLOOKUP($A113,S275_09,12,FALSE),0)</f>
        <v>0</v>
      </c>
      <c r="Z113" s="267">
        <f>IFERROR(VLOOKUP($A113,Supp_48,14,FALSE),0)+IFERROR(SUMPRODUCT(VLOOKUP($A113,S275_01,{35,36,37},FALSE)),0)+IFERROR(SUMPRODUCT(VLOOKUP($A113,S275_97,{35,36,37},FALSE)),0)+IFERROR(ROUND(VLOOKUP($A113,S275_21,35,FALSE)*VLOOKUP($A113,'3121% SY'!$C$3:$M$324,11,FALSE),3),0)+IFERROR(ROUND(VLOOKUP($A113,S275_21,36,FALSE)*VLOOKUP($A113,'3121% SY'!$C$3:$M$324,11,FALSE),3),0)+IFERROR(ROUND(VLOOKUP($A113,S275_21,37,FALSE)*VLOOKUP($A113,'3121% SY'!$C$3:$M$324,11,FALSE),3),0)+IFERROR(VLOOKUP($A113,S275_09,13,FALSE),0)</f>
        <v>0</v>
      </c>
      <c r="AA113" s="267">
        <f>IFERROR(VLOOKUP($A113,Supp_49,14,FALSE),0)+IFERROR(SUMPRODUCT(VLOOKUP($A113,S275_01,{38,39,40},FALSE)),0)+IFERROR(SUMPRODUCT(VLOOKUP($A113,S275_97,{38,39,40},FALSE)),0)+IFERROR(ROUND(VLOOKUP($A113,S275_21,38,FALSE)*VLOOKUP($A113,'3121% SY'!$C$3:$M$324,11,FALSE),3),0)+IFERROR(ROUND(VLOOKUP($A113,S275_21,39,FALSE)*VLOOKUP($A113,'3121% SY'!$C$3:$M$324,11,FALSE),3),0)+IFERROR(ROUND(VLOOKUP($A113,S275_21,40,FALSE)*VLOOKUP($A113,'3121% SY'!$C$3:$M$324,11,FALSE),3),0)+IFERROR(VLOOKUP($A113,S275_09,14,FALSE),0)</f>
        <v>0</v>
      </c>
      <c r="AB113" s="267">
        <f>IFERROR(VLOOKUP($A113,Supp_64,14,FALSE),0)+IFERROR(SUMPRODUCT(VLOOKUP($A113,S275_01,{41,42,43},FALSE)),0)+IFERROR(SUMPRODUCT(VLOOKUP($A113,S275_97,{41,42,43},FALSE)),0)+IFERROR(ROUND(VLOOKUP($A113,S275_21,41,FALSE)*VLOOKUP($A113,'3121% SY'!$C$3:$M$324,11,FALSE),3),0)+IFERROR(ROUND(VLOOKUP($A113,S275_21,42,FALSE)*VLOOKUP($A113,'3121% SY'!$C$3:$M$324,11,FALSE),3),0)+IFERROR(ROUND(VLOOKUP($A113,S275_21,43,FALSE)*VLOOKUP($A113,'3121% SY'!$C$3:$M$324,11,FALSE),3),0)+IFERROR(VLOOKUP($A113,S275_09,15,FALSE),0)</f>
        <v>0</v>
      </c>
      <c r="AC113" s="268">
        <f t="shared" si="25"/>
        <v>0</v>
      </c>
      <c r="AD113" s="267">
        <f>IFERROR(VLOOKUP($A113,Supp_24,14,FALSE),0)+IFERROR(SUMPRODUCT(VLOOKUP($A113,S275_01,{2,3,4},FALSE)),0)+IFERROR(SUMPRODUCT(VLOOKUP($A113,S275_97,{2,3,4},FALSE)),0)+IFERROR(ROUND(VLOOKUP($A113,S275_21,2,FALSE)*VLOOKUP($A113,'3121% SY'!$C$3:$M$324,11,FALSE),3),0)+IFERROR(ROUND(VLOOKUP($A113,S275_21,3,FALSE)*VLOOKUP($A113,'3121% SY'!$C$3:$M$324,11,FALSE),3),0)+IFERROR(ROUND(VLOOKUP($A113,S275_21,4,FALSE)*VLOOKUP($A113,'3121% SY'!$C$3:$M$324,11,FALSE),3),0)+IFERROR(VLOOKUP($A113,S275_09,2,FALSE),0)</f>
        <v>0</v>
      </c>
      <c r="AE113" s="267">
        <f>IFERROR(VLOOKUP($A113,Supp_25,14,FALSE),0)+IFERROR(SUMPRODUCT(VLOOKUP($A113,S275_01,{5,6,7},FALSE)),0)+IFERROR(SUMPRODUCT(VLOOKUP($A113,S275_97,{5,6,7},FALSE)),0)+IFERROR(ROUND(VLOOKUP($A113,S275_21,5,FALSE)*VLOOKUP($A113,'3121% SY'!$C$3:$M$324,11,FALSE),3),0)+IFERROR(ROUND(VLOOKUP($A113,S275_21,6,FALSE)*VLOOKUP($A113,'3121% SY'!$C$3:$M$324,11,FALSE),3),0)+IFERROR(ROUND(VLOOKUP($A113,S275_21,7,FALSE)*VLOOKUP($A113,'3121% SY'!$C$3:$M$324,11,FALSE),3),0)+IFERROR(VLOOKUP($A113,S275_09,3,FALSE),0)</f>
        <v>1.1140000000000001</v>
      </c>
      <c r="AF113" s="267">
        <f>IFERROR(VLOOKUP($A113,Supp_26,14,FALSE),0)+IFERROR(SUMPRODUCT(VLOOKUP($A113,S275_01,{8,9,10},FALSE)),0)+IFERROR(SUMPRODUCT(VLOOKUP($A113,S275_97,{8,9,10},FALSE)),0)+IFERROR(ROUND(VLOOKUP($A113,S275_21,8,FALSE)*VLOOKUP($A113,'3121% SY'!$C$3:$M$324,11,FALSE),3),0)+IFERROR(ROUND(VLOOKUP($A113,S275_21,9,FALSE)*VLOOKUP($A113,'3121% SY'!$C$3:$M$324,11,FALSE),3),0)+IFERROR(ROUND(VLOOKUP($A113,S275_21,10,FALSE)*VLOOKUP($A113,'3121% SY'!$C$3:$M$324,11,FALSE),3),0)+IFERROR(VLOOKUP($A113,S275_09,4,FALSE),0)</f>
        <v>0</v>
      </c>
      <c r="AG113" s="267">
        <f>IFERROR(VLOOKUP($A113,Supp_35,14,FALSE),0)+IFERROR(SUMPRODUCT(VLOOKUP($A113,S275_01,{11,12,13},FALSE)),0)+IFERROR(SUMPRODUCT(VLOOKUP($A113,S275_97,{11,12,13},FALSE)),0)+IFERROR(ROUND(VLOOKUP($A113,S275_21,11,FALSE)*VLOOKUP($A113,'3121% SY'!$C$3:$M$324,11,FALSE),3),0)+IFERROR(ROUND(VLOOKUP($A113,S275_21,12,FALSE)*VLOOKUP($A113,'3121% SY'!$C$3:$M$324,11,FALSE),3),0)+IFERROR(ROUND(VLOOKUP($A113,S275_21,13,FALSE)*VLOOKUP($A113,'3121% SY'!$C$3:$M$324,11,FALSE),3),0)+IFERROR(VLOOKUP($A113,S275_09,5,FALSE),0)</f>
        <v>0</v>
      </c>
      <c r="AH113" s="165">
        <f t="shared" si="26"/>
        <v>1.1140000000000001</v>
      </c>
      <c r="AI113" s="161">
        <f>IFERROR(VLOOKUP(A113,'Supp Staff Data'!A:ER,148,FALSE),0)+AB113</f>
        <v>0</v>
      </c>
      <c r="AJ113" s="174">
        <v>1</v>
      </c>
      <c r="AK113" s="25">
        <f>VLOOKUP(A113,'Enroll Data as of January 2025'!$A$3:$T$323,20,FALSE)-F113</f>
        <v>0</v>
      </c>
    </row>
    <row r="114" spans="1:37" x14ac:dyDescent="0.25">
      <c r="A114" s="171" t="s">
        <v>613</v>
      </c>
      <c r="B114" t="s">
        <v>1235</v>
      </c>
      <c r="C114" s="173" t="s">
        <v>1077</v>
      </c>
      <c r="D114" s="259">
        <f t="shared" si="19"/>
        <v>0.67100000000000004</v>
      </c>
      <c r="E114" s="259">
        <f t="shared" si="20"/>
        <v>2</v>
      </c>
      <c r="F114" s="262">
        <f t="shared" si="29"/>
        <v>1.329</v>
      </c>
      <c r="G114" s="161">
        <f>ROUND(IF(F114&lt;0,F114*'2024-25 PSES Compliance'!$G$13,0),3)</f>
        <v>0</v>
      </c>
      <c r="H114" s="161">
        <f>ROUND(IF(F114&lt;0,F114*'2024-25 PSES Compliance'!$G$14,0),3)</f>
        <v>0</v>
      </c>
      <c r="I114" s="174">
        <f t="shared" si="21"/>
        <v>0.9657</v>
      </c>
      <c r="J114" s="174">
        <f t="shared" si="22"/>
        <v>0</v>
      </c>
      <c r="K114" s="161">
        <f>VLOOKUP($A114,'Enroll Data as of January 2025'!$A$3:$M$322,6,FALSE)</f>
        <v>0.39200000000000002</v>
      </c>
      <c r="L114" s="161">
        <f>VLOOKUP($A114,'Enroll Data as of January 2025'!$A$3:$M$322,7,FALSE)</f>
        <v>5.7000000000000002E-2</v>
      </c>
      <c r="M114" s="161">
        <f>VLOOKUP($A114,'Enroll Data as of January 2025'!$A$3:$M$322,8,FALSE)</f>
        <v>1.9E-2</v>
      </c>
      <c r="N114" s="161">
        <f>VLOOKUP($A114,'Enroll Data as of January 2025'!$A$3:$M$322,9,FALSE)</f>
        <v>0.16699999999999998</v>
      </c>
      <c r="O114" s="165">
        <f t="shared" si="23"/>
        <v>0.63500000000000001</v>
      </c>
      <c r="P114" s="161">
        <f>VLOOKUP($A114,'Enroll Data as of January 2025'!$A$3:$M$322,11,FALSE)</f>
        <v>2.4E-2</v>
      </c>
      <c r="Q114" s="161">
        <f>VLOOKUP($A114,'Enroll Data as of January 2025'!$A$3:$M$322,12,FALSE)</f>
        <v>1.2E-2</v>
      </c>
      <c r="R114" s="165">
        <f t="shared" si="24"/>
        <v>3.6000000000000004E-2</v>
      </c>
      <c r="S114" s="267">
        <f>IFERROR(VLOOKUP($A114,Supp_39,14,FALSE),0)+IFERROR(SUMPRODUCT(VLOOKUP($A114,S275_01,{14,15,16},FALSE)),0)+IFERROR(SUMPRODUCT(VLOOKUP($A114,S275_97,{14,15,16},FALSE)),0)+IFERROR(ROUND(VLOOKUP($A114,S275_21,14,FALSE)*VLOOKUP($A114,'3121% SY'!$C$3:$M$324,11,FALSE),3),0)+IFERROR(ROUND(VLOOKUP($A114,S275_21,15,FALSE)*VLOOKUP($A114,'3121% SY'!$C$3:$M$324,11,FALSE),3),0)+IFERROR(ROUND(VLOOKUP($A114,S275_21,16,FALSE)*VLOOKUP($A114,'3121% SY'!$C$3:$M$324,11,FALSE),3),0)+IFERROR(VLOOKUP($A114,S275_09,6,FALSE),0)</f>
        <v>0</v>
      </c>
      <c r="T114" s="267">
        <f>IFERROR(VLOOKUP($A114,Supp_42,14,FALSE),0)+IFERROR(SUMPRODUCT(VLOOKUP($A114,S275_01,{17,18,19},FALSE)),0)+IFERROR(SUMPRODUCT(VLOOKUP($A114,S275_97,{17,18,19},FALSE)),0)+IFERROR(ROUND(VLOOKUP($A114,S275_21,17,FALSE)*VLOOKUP($A114,'3121% SY'!$C$3:$M$324,11,FALSE),3),0)+IFERROR(ROUND(VLOOKUP($A114,S275_21,18,FALSE)*VLOOKUP($A114,'3121% SY'!$C$3:$M$324,11,FALSE),3),0)+IFERROR(ROUND(VLOOKUP($A114,S275_21,19,FALSE)*VLOOKUP($A114,'3121% SY'!$C$3:$M$324,11,FALSE),3),0)+IFERROR(VLOOKUP($A114,S275_09,7,FALSE),0)</f>
        <v>0</v>
      </c>
      <c r="U114" s="267">
        <f>IFERROR(VLOOKUP($A114,Supp_43,14,FALSE),0)+IFERROR(SUMPRODUCT(VLOOKUP($A114,S275_01,{20,21,22},FALSE)),0)+IFERROR(SUMPRODUCT(VLOOKUP($A114,S275_97,{20,21,22},FALSE)),0)+IFERROR(ROUND(VLOOKUP($A114,S275_21,20,FALSE)*VLOOKUP($A114,'3121% SY'!$C$3:$M$324,11,FALSE),3),0)+IFERROR(ROUND(VLOOKUP($A114,S275_21,21,FALSE)*VLOOKUP($A114,'3121% SY'!$C$3:$M$324,11,FALSE),3),0)+IFERROR(ROUND(VLOOKUP($A114,S275_21,22,FALSE)*VLOOKUP($A114,'3121% SY'!$C$3:$M$324,11,FALSE),3),0)+IFERROR(VLOOKUP($A114,S275_09,8,FALSE),0)</f>
        <v>1.7190000000000001</v>
      </c>
      <c r="V114" s="267">
        <f>IFERROR(VLOOKUP($A114,Supp_44,14,FALSE),0)+IFERROR(SUMPRODUCT(VLOOKUP($A114,S275_01,{23,24,25},FALSE)),0)+IFERROR(SUMPRODUCT(VLOOKUP($A114,S275_97,{23,24,25},FALSE)),0)+IFERROR(ROUND(VLOOKUP($A114,S275_21,23,FALSE)*VLOOKUP($A114,'3121% SY'!$C$3:$M$324,11,FALSE),3),0)+IFERROR(ROUND(VLOOKUP($A114,S275_21,24,FALSE)*VLOOKUP($A114,'3121% SY'!$C$3:$M$324,11,FALSE),3),0)+IFERROR(ROUND(VLOOKUP($A114,S275_21,25,FALSE)*VLOOKUP($A114,'3121% SY'!$C$3:$M$324,11,FALSE),3),0)+IFERROR(VLOOKUP($A114,S275_09,9,FALSE),0)</f>
        <v>0.28100000000000003</v>
      </c>
      <c r="W114" s="267">
        <f>IFERROR(VLOOKUP($A114,Supp_45,14,FALSE),0)+IFERROR(SUMPRODUCT(VLOOKUP($A114,S275_01,{26,27,28},FALSE)),0)+IFERROR(SUMPRODUCT(VLOOKUP($A114,S275_97,{26,27,28},FALSE)),0)+IFERROR(ROUND(VLOOKUP($A114,S275_21,26,FALSE)*VLOOKUP($A114,'3121% SY'!$C$3:$M$324,11,FALSE),3),0)+IFERROR(ROUND(VLOOKUP($A114,S275_21,27,FALSE)*VLOOKUP($A114,'3121% SY'!$C$3:$M$324,11,FALSE),3),0)+IFERROR(ROUND(VLOOKUP($A114,S275_21,28,FALSE)*VLOOKUP($A114,'3121% SY'!$C$3:$M$324,11,FALSE),3),0)+IFERROR(VLOOKUP($A114,S275_09,10,FALSE),0)</f>
        <v>0</v>
      </c>
      <c r="X114" s="267">
        <f>IFERROR(VLOOKUP($A114,Supp_46,14,FALSE),0)+IFERROR(SUMPRODUCT(VLOOKUP($A114,S275_01,{29,30,31},FALSE)),0)+IFERROR(SUMPRODUCT(VLOOKUP($A114,S275_97,{29,30,31},FALSE)),0)+IFERROR(ROUND(VLOOKUP($A114,S275_21,29,FALSE)*VLOOKUP($A114,'3121% SY'!$C$3:$M$324,11,FALSE),3),0)+IFERROR(ROUND(VLOOKUP($A114,S275_21,30,FALSE)*VLOOKUP($A114,'3121% SY'!$C$3:$M$324,11,FALSE),3),0)+IFERROR(ROUND(VLOOKUP($A114,S275_21,31,FALSE)*VLOOKUP($A114,'3121% SY'!$C$3:$M$324,11,FALSE),3),0)+IFERROR(VLOOKUP($A114,S275_09,11,FALSE),0)</f>
        <v>0</v>
      </c>
      <c r="Y114" s="267">
        <f>IFERROR(VLOOKUP($A114,Supp_47,14,FALSE),0)+IFERROR(SUMPRODUCT(VLOOKUP($A114,S275_01,{32,33,34},FALSE)),0)+IFERROR(SUMPRODUCT(VLOOKUP($A114,S275_97,{32,33,34},FALSE)),0)+IFERROR(ROUND(VLOOKUP($A114,S275_21,32,FALSE)*VLOOKUP($A114,'3121% SY'!$C$3:$M$324,11,FALSE),3),0)+IFERROR(ROUND(VLOOKUP($A114,S275_21,33,FALSE)*VLOOKUP($A114,'3121% SY'!$C$3:$M$324,11,FALSE),3),0)+IFERROR(ROUND(VLOOKUP($A114,S275_21,34,FALSE)*VLOOKUP($A114,'3121% SY'!$C$3:$M$324,11,FALSE),3),0)+IFERROR(VLOOKUP($A114,S275_09,12,FALSE),0)</f>
        <v>0</v>
      </c>
      <c r="Z114" s="267">
        <f>IFERROR(VLOOKUP($A114,Supp_48,14,FALSE),0)+IFERROR(SUMPRODUCT(VLOOKUP($A114,S275_01,{35,36,37},FALSE)),0)+IFERROR(SUMPRODUCT(VLOOKUP($A114,S275_97,{35,36,37},FALSE)),0)+IFERROR(ROUND(VLOOKUP($A114,S275_21,35,FALSE)*VLOOKUP($A114,'3121% SY'!$C$3:$M$324,11,FALSE),3),0)+IFERROR(ROUND(VLOOKUP($A114,S275_21,36,FALSE)*VLOOKUP($A114,'3121% SY'!$C$3:$M$324,11,FALSE),3),0)+IFERROR(ROUND(VLOOKUP($A114,S275_21,37,FALSE)*VLOOKUP($A114,'3121% SY'!$C$3:$M$324,11,FALSE),3),0)+IFERROR(VLOOKUP($A114,S275_09,13,FALSE),0)</f>
        <v>0</v>
      </c>
      <c r="AA114" s="267">
        <f>IFERROR(VLOOKUP($A114,Supp_49,14,FALSE),0)+IFERROR(SUMPRODUCT(VLOOKUP($A114,S275_01,{38,39,40},FALSE)),0)+IFERROR(SUMPRODUCT(VLOOKUP($A114,S275_97,{38,39,40},FALSE)),0)+IFERROR(ROUND(VLOOKUP($A114,S275_21,38,FALSE)*VLOOKUP($A114,'3121% SY'!$C$3:$M$324,11,FALSE),3),0)+IFERROR(ROUND(VLOOKUP($A114,S275_21,39,FALSE)*VLOOKUP($A114,'3121% SY'!$C$3:$M$324,11,FALSE),3),0)+IFERROR(ROUND(VLOOKUP($A114,S275_21,40,FALSE)*VLOOKUP($A114,'3121% SY'!$C$3:$M$324,11,FALSE),3),0)+IFERROR(VLOOKUP($A114,S275_09,14,FALSE),0)</f>
        <v>0</v>
      </c>
      <c r="AB114" s="267">
        <f>IFERROR(VLOOKUP($A114,Supp_64,14,FALSE),0)+IFERROR(SUMPRODUCT(VLOOKUP($A114,S275_01,{41,42,43},FALSE)),0)+IFERROR(SUMPRODUCT(VLOOKUP($A114,S275_97,{41,42,43},FALSE)),0)+IFERROR(ROUND(VLOOKUP($A114,S275_21,41,FALSE)*VLOOKUP($A114,'3121% SY'!$C$3:$M$324,11,FALSE),3),0)+IFERROR(ROUND(VLOOKUP($A114,S275_21,42,FALSE)*VLOOKUP($A114,'3121% SY'!$C$3:$M$324,11,FALSE),3),0)+IFERROR(ROUND(VLOOKUP($A114,S275_21,43,FALSE)*VLOOKUP($A114,'3121% SY'!$C$3:$M$324,11,FALSE),3),0)+IFERROR(VLOOKUP($A114,S275_09,15,FALSE),0)</f>
        <v>0</v>
      </c>
      <c r="AC114" s="268">
        <f t="shared" si="25"/>
        <v>2</v>
      </c>
      <c r="AD114" s="267">
        <f>IFERROR(VLOOKUP($A114,Supp_24,14,FALSE),0)+IFERROR(SUMPRODUCT(VLOOKUP($A114,S275_01,{2,3,4},FALSE)),0)+IFERROR(SUMPRODUCT(VLOOKUP($A114,S275_97,{2,3,4},FALSE)),0)+IFERROR(ROUND(VLOOKUP($A114,S275_21,2,FALSE)*VLOOKUP($A114,'3121% SY'!$C$3:$M$324,11,FALSE),3),0)+IFERROR(ROUND(VLOOKUP($A114,S275_21,3,FALSE)*VLOOKUP($A114,'3121% SY'!$C$3:$M$324,11,FALSE),3),0)+IFERROR(ROUND(VLOOKUP($A114,S275_21,4,FALSE)*VLOOKUP($A114,'3121% SY'!$C$3:$M$324,11,FALSE),3),0)+IFERROR(VLOOKUP($A114,S275_09,2,FALSE),0)</f>
        <v>0</v>
      </c>
      <c r="AE114" s="267">
        <f>IFERROR(VLOOKUP($A114,Supp_25,14,FALSE),0)+IFERROR(SUMPRODUCT(VLOOKUP($A114,S275_01,{5,6,7},FALSE)),0)+IFERROR(SUMPRODUCT(VLOOKUP($A114,S275_97,{5,6,7},FALSE)),0)+IFERROR(ROUND(VLOOKUP($A114,S275_21,5,FALSE)*VLOOKUP($A114,'3121% SY'!$C$3:$M$324,11,FALSE),3),0)+IFERROR(ROUND(VLOOKUP($A114,S275_21,6,FALSE)*VLOOKUP($A114,'3121% SY'!$C$3:$M$324,11,FALSE),3),0)+IFERROR(ROUND(VLOOKUP($A114,S275_21,7,FALSE)*VLOOKUP($A114,'3121% SY'!$C$3:$M$324,11,FALSE),3),0)+IFERROR(VLOOKUP($A114,S275_09,3,FALSE),0)</f>
        <v>0</v>
      </c>
      <c r="AF114" s="267">
        <f>IFERROR(VLOOKUP($A114,Supp_26,14,FALSE),0)+IFERROR(SUMPRODUCT(VLOOKUP($A114,S275_01,{8,9,10},FALSE)),0)+IFERROR(SUMPRODUCT(VLOOKUP($A114,S275_97,{8,9,10},FALSE)),0)+IFERROR(ROUND(VLOOKUP($A114,S275_21,8,FALSE)*VLOOKUP($A114,'3121% SY'!$C$3:$M$324,11,FALSE),3),0)+IFERROR(ROUND(VLOOKUP($A114,S275_21,9,FALSE)*VLOOKUP($A114,'3121% SY'!$C$3:$M$324,11,FALSE),3),0)+IFERROR(ROUND(VLOOKUP($A114,S275_21,10,FALSE)*VLOOKUP($A114,'3121% SY'!$C$3:$M$324,11,FALSE),3),0)+IFERROR(VLOOKUP($A114,S275_09,4,FALSE),0)</f>
        <v>0</v>
      </c>
      <c r="AG114" s="267">
        <f>IFERROR(VLOOKUP($A114,Supp_35,14,FALSE),0)+IFERROR(SUMPRODUCT(VLOOKUP($A114,S275_01,{11,12,13},FALSE)),0)+IFERROR(SUMPRODUCT(VLOOKUP($A114,S275_97,{11,12,13},FALSE)),0)+IFERROR(ROUND(VLOOKUP($A114,S275_21,11,FALSE)*VLOOKUP($A114,'3121% SY'!$C$3:$M$324,11,FALSE),3),0)+IFERROR(ROUND(VLOOKUP($A114,S275_21,12,FALSE)*VLOOKUP($A114,'3121% SY'!$C$3:$M$324,11,FALSE),3),0)+IFERROR(ROUND(VLOOKUP($A114,S275_21,13,FALSE)*VLOOKUP($A114,'3121% SY'!$C$3:$M$324,11,FALSE),3),0)+IFERROR(VLOOKUP($A114,S275_09,5,FALSE),0)</f>
        <v>0</v>
      </c>
      <c r="AH114" s="165">
        <f t="shared" si="26"/>
        <v>0</v>
      </c>
      <c r="AI114" s="161">
        <f>IFERROR(VLOOKUP(A114,'Supp Staff Data'!A:ER,148,FALSE),0)+AB114</f>
        <v>0</v>
      </c>
      <c r="AJ114" s="174">
        <v>0.9657</v>
      </c>
      <c r="AK114" s="25">
        <f>VLOOKUP(A114,'Enroll Data as of January 2025'!$A$3:$T$323,20,FALSE)-F114</f>
        <v>0</v>
      </c>
    </row>
    <row r="115" spans="1:37" x14ac:dyDescent="0.25">
      <c r="A115" s="171" t="s">
        <v>132</v>
      </c>
      <c r="B115" t="s">
        <v>428</v>
      </c>
      <c r="C115" s="173" t="s">
        <v>1077</v>
      </c>
      <c r="D115" s="259">
        <f t="shared" si="19"/>
        <v>0.33800000000000002</v>
      </c>
      <c r="E115" s="259">
        <f t="shared" si="20"/>
        <v>0.71899999999999997</v>
      </c>
      <c r="F115" s="262">
        <f t="shared" si="29"/>
        <v>0.38100000000000001</v>
      </c>
      <c r="G115" s="161">
        <f>ROUND(IF(F115&lt;0,F115*'2024-25 PSES Compliance'!$G$13,0),3)</f>
        <v>0</v>
      </c>
      <c r="H115" s="161">
        <f>ROUND(IF(F115&lt;0,F115*'2024-25 PSES Compliance'!$G$14,0),3)</f>
        <v>0</v>
      </c>
      <c r="I115" s="174">
        <f t="shared" si="21"/>
        <v>0.8</v>
      </c>
      <c r="J115" s="174">
        <f t="shared" si="22"/>
        <v>0</v>
      </c>
      <c r="K115" s="161">
        <f>VLOOKUP($A115,'Enroll Data as of January 2025'!$A$3:$M$322,6,FALSE)</f>
        <v>0.2</v>
      </c>
      <c r="L115" s="161">
        <f>VLOOKUP($A115,'Enroll Data as of January 2025'!$A$3:$M$322,7,FALSE)</f>
        <v>2.9000000000000001E-2</v>
      </c>
      <c r="M115" s="161">
        <f>VLOOKUP($A115,'Enroll Data as of January 2025'!$A$3:$M$322,8,FALSE)</f>
        <v>0.01</v>
      </c>
      <c r="N115" s="161">
        <f>VLOOKUP($A115,'Enroll Data as of January 2025'!$A$3:$M$322,9,FALSE)</f>
        <v>8.0999999999999989E-2</v>
      </c>
      <c r="O115" s="165">
        <f t="shared" si="23"/>
        <v>0.32</v>
      </c>
      <c r="P115" s="161">
        <f>VLOOKUP($A115,'Enroll Data as of January 2025'!$A$3:$M$322,11,FALSE)</f>
        <v>1.2E-2</v>
      </c>
      <c r="Q115" s="161">
        <f>VLOOKUP($A115,'Enroll Data as of January 2025'!$A$3:$M$322,12,FALSE)</f>
        <v>6.0000000000000001E-3</v>
      </c>
      <c r="R115" s="165">
        <f t="shared" si="24"/>
        <v>1.8000000000000002E-2</v>
      </c>
      <c r="S115" s="267">
        <f>IFERROR(VLOOKUP($A115,Supp_39,14,FALSE),0)+IFERROR(SUMPRODUCT(VLOOKUP($A115,S275_01,{14,15,16},FALSE)),0)+IFERROR(SUMPRODUCT(VLOOKUP($A115,S275_97,{14,15,16},FALSE)),0)+IFERROR(ROUND(VLOOKUP($A115,S275_21,14,FALSE)*VLOOKUP($A115,'3121% SY'!$C$3:$M$324,11,FALSE),3),0)+IFERROR(ROUND(VLOOKUP($A115,S275_21,15,FALSE)*VLOOKUP($A115,'3121% SY'!$C$3:$M$324,11,FALSE),3),0)+IFERROR(ROUND(VLOOKUP($A115,S275_21,16,FALSE)*VLOOKUP($A115,'3121% SY'!$C$3:$M$324,11,FALSE),3),0)+IFERROR(VLOOKUP($A115,S275_09,6,FALSE),0)</f>
        <v>0.60899999999999999</v>
      </c>
      <c r="T115" s="267">
        <f>IFERROR(VLOOKUP($A115,Supp_42,14,FALSE),0)+IFERROR(SUMPRODUCT(VLOOKUP($A115,S275_01,{17,18,19},FALSE)),0)+IFERROR(SUMPRODUCT(VLOOKUP($A115,S275_97,{17,18,19},FALSE)),0)+IFERROR(ROUND(VLOOKUP($A115,S275_21,17,FALSE)*VLOOKUP($A115,'3121% SY'!$C$3:$M$324,11,FALSE),3),0)+IFERROR(ROUND(VLOOKUP($A115,S275_21,18,FALSE)*VLOOKUP($A115,'3121% SY'!$C$3:$M$324,11,FALSE),3),0)+IFERROR(ROUND(VLOOKUP($A115,S275_21,19,FALSE)*VLOOKUP($A115,'3121% SY'!$C$3:$M$324,11,FALSE),3),0)+IFERROR(VLOOKUP($A115,S275_09,7,FALSE),0)</f>
        <v>0.11</v>
      </c>
      <c r="U115" s="267">
        <f>IFERROR(VLOOKUP($A115,Supp_43,14,FALSE),0)+IFERROR(SUMPRODUCT(VLOOKUP($A115,S275_01,{20,21,22},FALSE)),0)+IFERROR(SUMPRODUCT(VLOOKUP($A115,S275_97,{20,21,22},FALSE)),0)+IFERROR(ROUND(VLOOKUP($A115,S275_21,20,FALSE)*VLOOKUP($A115,'3121% SY'!$C$3:$M$324,11,FALSE),3),0)+IFERROR(ROUND(VLOOKUP($A115,S275_21,21,FALSE)*VLOOKUP($A115,'3121% SY'!$C$3:$M$324,11,FALSE),3),0)+IFERROR(ROUND(VLOOKUP($A115,S275_21,22,FALSE)*VLOOKUP($A115,'3121% SY'!$C$3:$M$324,11,FALSE),3),0)+IFERROR(VLOOKUP($A115,S275_09,8,FALSE),0)</f>
        <v>0</v>
      </c>
      <c r="V115" s="267">
        <f>IFERROR(VLOOKUP($A115,Supp_44,14,FALSE),0)+IFERROR(SUMPRODUCT(VLOOKUP($A115,S275_01,{23,24,25},FALSE)),0)+IFERROR(SUMPRODUCT(VLOOKUP($A115,S275_97,{23,24,25},FALSE)),0)+IFERROR(ROUND(VLOOKUP($A115,S275_21,23,FALSE)*VLOOKUP($A115,'3121% SY'!$C$3:$M$324,11,FALSE),3),0)+IFERROR(ROUND(VLOOKUP($A115,S275_21,24,FALSE)*VLOOKUP($A115,'3121% SY'!$C$3:$M$324,11,FALSE),3),0)+IFERROR(ROUND(VLOOKUP($A115,S275_21,25,FALSE)*VLOOKUP($A115,'3121% SY'!$C$3:$M$324,11,FALSE),3),0)+IFERROR(VLOOKUP($A115,S275_09,9,FALSE),0)</f>
        <v>0</v>
      </c>
      <c r="W115" s="267">
        <f>IFERROR(VLOOKUP($A115,Supp_45,14,FALSE),0)+IFERROR(SUMPRODUCT(VLOOKUP($A115,S275_01,{26,27,28},FALSE)),0)+IFERROR(SUMPRODUCT(VLOOKUP($A115,S275_97,{26,27,28},FALSE)),0)+IFERROR(ROUND(VLOOKUP($A115,S275_21,26,FALSE)*VLOOKUP($A115,'3121% SY'!$C$3:$M$324,11,FALSE),3),0)+IFERROR(ROUND(VLOOKUP($A115,S275_21,27,FALSE)*VLOOKUP($A115,'3121% SY'!$C$3:$M$324,11,FALSE),3),0)+IFERROR(ROUND(VLOOKUP($A115,S275_21,28,FALSE)*VLOOKUP($A115,'3121% SY'!$C$3:$M$324,11,FALSE),3),0)+IFERROR(VLOOKUP($A115,S275_09,10,FALSE),0)</f>
        <v>0</v>
      </c>
      <c r="X115" s="267">
        <f>IFERROR(VLOOKUP($A115,Supp_46,14,FALSE),0)+IFERROR(SUMPRODUCT(VLOOKUP($A115,S275_01,{29,30,31},FALSE)),0)+IFERROR(SUMPRODUCT(VLOOKUP($A115,S275_97,{29,30,31},FALSE)),0)+IFERROR(ROUND(VLOOKUP($A115,S275_21,29,FALSE)*VLOOKUP($A115,'3121% SY'!$C$3:$M$324,11,FALSE),3),0)+IFERROR(ROUND(VLOOKUP($A115,S275_21,30,FALSE)*VLOOKUP($A115,'3121% SY'!$C$3:$M$324,11,FALSE),3),0)+IFERROR(ROUND(VLOOKUP($A115,S275_21,31,FALSE)*VLOOKUP($A115,'3121% SY'!$C$3:$M$324,11,FALSE),3),0)+IFERROR(VLOOKUP($A115,S275_09,11,FALSE),0)</f>
        <v>0</v>
      </c>
      <c r="Y115" s="267">
        <f>IFERROR(VLOOKUP($A115,Supp_47,14,FALSE),0)+IFERROR(SUMPRODUCT(VLOOKUP($A115,S275_01,{32,33,34},FALSE)),0)+IFERROR(SUMPRODUCT(VLOOKUP($A115,S275_97,{32,33,34},FALSE)),0)+IFERROR(ROUND(VLOOKUP($A115,S275_21,32,FALSE)*VLOOKUP($A115,'3121% SY'!$C$3:$M$324,11,FALSE),3),0)+IFERROR(ROUND(VLOOKUP($A115,S275_21,33,FALSE)*VLOOKUP($A115,'3121% SY'!$C$3:$M$324,11,FALSE),3),0)+IFERROR(ROUND(VLOOKUP($A115,S275_21,34,FALSE)*VLOOKUP($A115,'3121% SY'!$C$3:$M$324,11,FALSE),3),0)+IFERROR(VLOOKUP($A115,S275_09,12,FALSE),0)</f>
        <v>0</v>
      </c>
      <c r="Z115" s="267">
        <f>IFERROR(VLOOKUP($A115,Supp_48,14,FALSE),0)+IFERROR(SUMPRODUCT(VLOOKUP($A115,S275_01,{35,36,37},FALSE)),0)+IFERROR(SUMPRODUCT(VLOOKUP($A115,S275_97,{35,36,37},FALSE)),0)+IFERROR(ROUND(VLOOKUP($A115,S275_21,35,FALSE)*VLOOKUP($A115,'3121% SY'!$C$3:$M$324,11,FALSE),3),0)+IFERROR(ROUND(VLOOKUP($A115,S275_21,36,FALSE)*VLOOKUP($A115,'3121% SY'!$C$3:$M$324,11,FALSE),3),0)+IFERROR(ROUND(VLOOKUP($A115,S275_21,37,FALSE)*VLOOKUP($A115,'3121% SY'!$C$3:$M$324,11,FALSE),3),0)+IFERROR(VLOOKUP($A115,S275_09,13,FALSE),0)</f>
        <v>0</v>
      </c>
      <c r="AA115" s="267">
        <f>IFERROR(VLOOKUP($A115,Supp_49,14,FALSE),0)+IFERROR(SUMPRODUCT(VLOOKUP($A115,S275_01,{38,39,40},FALSE)),0)+IFERROR(SUMPRODUCT(VLOOKUP($A115,S275_97,{38,39,40},FALSE)),0)+IFERROR(ROUND(VLOOKUP($A115,S275_21,38,FALSE)*VLOOKUP($A115,'3121% SY'!$C$3:$M$324,11,FALSE),3),0)+IFERROR(ROUND(VLOOKUP($A115,S275_21,39,FALSE)*VLOOKUP($A115,'3121% SY'!$C$3:$M$324,11,FALSE),3),0)+IFERROR(ROUND(VLOOKUP($A115,S275_21,40,FALSE)*VLOOKUP($A115,'3121% SY'!$C$3:$M$324,11,FALSE),3),0)+IFERROR(VLOOKUP($A115,S275_09,14,FALSE),0)</f>
        <v>0</v>
      </c>
      <c r="AB115" s="267">
        <f>IFERROR(VLOOKUP($A115,Supp_64,14,FALSE),0)+IFERROR(SUMPRODUCT(VLOOKUP($A115,S275_01,{41,42,43},FALSE)),0)+IFERROR(SUMPRODUCT(VLOOKUP($A115,S275_97,{41,42,43},FALSE)),0)+IFERROR(ROUND(VLOOKUP($A115,S275_21,41,FALSE)*VLOOKUP($A115,'3121% SY'!$C$3:$M$324,11,FALSE),3),0)+IFERROR(ROUND(VLOOKUP($A115,S275_21,42,FALSE)*VLOOKUP($A115,'3121% SY'!$C$3:$M$324,11,FALSE),3),0)+IFERROR(ROUND(VLOOKUP($A115,S275_21,43,FALSE)*VLOOKUP($A115,'3121% SY'!$C$3:$M$324,11,FALSE),3),0)+IFERROR(VLOOKUP($A115,S275_09,15,FALSE),0)</f>
        <v>0</v>
      </c>
      <c r="AC115" s="268">
        <f t="shared" si="25"/>
        <v>0.71899999999999997</v>
      </c>
      <c r="AD115" s="267">
        <f>IFERROR(VLOOKUP($A115,Supp_24,14,FALSE),0)+IFERROR(SUMPRODUCT(VLOOKUP($A115,S275_01,{2,3,4},FALSE)),0)+IFERROR(SUMPRODUCT(VLOOKUP($A115,S275_97,{2,3,4},FALSE)),0)+IFERROR(ROUND(VLOOKUP($A115,S275_21,2,FALSE)*VLOOKUP($A115,'3121% SY'!$C$3:$M$324,11,FALSE),3),0)+IFERROR(ROUND(VLOOKUP($A115,S275_21,3,FALSE)*VLOOKUP($A115,'3121% SY'!$C$3:$M$324,11,FALSE),3),0)+IFERROR(ROUND(VLOOKUP($A115,S275_21,4,FALSE)*VLOOKUP($A115,'3121% SY'!$C$3:$M$324,11,FALSE),3),0)+IFERROR(VLOOKUP($A115,S275_09,2,FALSE),0)</f>
        <v>0</v>
      </c>
      <c r="AE115" s="267">
        <f>IFERROR(VLOOKUP($A115,Supp_25,14,FALSE),0)+IFERROR(SUMPRODUCT(VLOOKUP($A115,S275_01,{5,6,7},FALSE)),0)+IFERROR(SUMPRODUCT(VLOOKUP($A115,S275_97,{5,6,7},FALSE)),0)+IFERROR(ROUND(VLOOKUP($A115,S275_21,5,FALSE)*VLOOKUP($A115,'3121% SY'!$C$3:$M$324,11,FALSE),3),0)+IFERROR(ROUND(VLOOKUP($A115,S275_21,6,FALSE)*VLOOKUP($A115,'3121% SY'!$C$3:$M$324,11,FALSE),3),0)+IFERROR(ROUND(VLOOKUP($A115,S275_21,7,FALSE)*VLOOKUP($A115,'3121% SY'!$C$3:$M$324,11,FALSE),3),0)+IFERROR(VLOOKUP($A115,S275_09,3,FALSE),0)</f>
        <v>0</v>
      </c>
      <c r="AF115" s="267">
        <f>IFERROR(VLOOKUP($A115,Supp_26,14,FALSE),0)+IFERROR(SUMPRODUCT(VLOOKUP($A115,S275_01,{8,9,10},FALSE)),0)+IFERROR(SUMPRODUCT(VLOOKUP($A115,S275_97,{8,9,10},FALSE)),0)+IFERROR(ROUND(VLOOKUP($A115,S275_21,8,FALSE)*VLOOKUP($A115,'3121% SY'!$C$3:$M$324,11,FALSE),3),0)+IFERROR(ROUND(VLOOKUP($A115,S275_21,9,FALSE)*VLOOKUP($A115,'3121% SY'!$C$3:$M$324,11,FALSE),3),0)+IFERROR(ROUND(VLOOKUP($A115,S275_21,10,FALSE)*VLOOKUP($A115,'3121% SY'!$C$3:$M$324,11,FALSE),3),0)+IFERROR(VLOOKUP($A115,S275_09,4,FALSE),0)</f>
        <v>0</v>
      </c>
      <c r="AG115" s="267">
        <f>IFERROR(VLOOKUP($A115,Supp_35,14,FALSE),0)+IFERROR(SUMPRODUCT(VLOOKUP($A115,S275_01,{11,12,13},FALSE)),0)+IFERROR(SUMPRODUCT(VLOOKUP($A115,S275_97,{11,12,13},FALSE)),0)+IFERROR(ROUND(VLOOKUP($A115,S275_21,11,FALSE)*VLOOKUP($A115,'3121% SY'!$C$3:$M$324,11,FALSE),3),0)+IFERROR(ROUND(VLOOKUP($A115,S275_21,12,FALSE)*VLOOKUP($A115,'3121% SY'!$C$3:$M$324,11,FALSE),3),0)+IFERROR(ROUND(VLOOKUP($A115,S275_21,13,FALSE)*VLOOKUP($A115,'3121% SY'!$C$3:$M$324,11,FALSE),3),0)+IFERROR(VLOOKUP($A115,S275_09,5,FALSE),0)</f>
        <v>0</v>
      </c>
      <c r="AH115" s="165">
        <f t="shared" si="26"/>
        <v>0</v>
      </c>
      <c r="AI115" s="161">
        <f>IFERROR(VLOOKUP(A115,'Supp Staff Data'!A:ER,148,FALSE),0)+AB115</f>
        <v>0</v>
      </c>
      <c r="AJ115" s="174">
        <v>0.8</v>
      </c>
      <c r="AK115" s="25">
        <f>VLOOKUP(A115,'Enroll Data as of January 2025'!$A$3:$T$323,20,FALSE)-F115</f>
        <v>0</v>
      </c>
    </row>
    <row r="116" spans="1:37" x14ac:dyDescent="0.25">
      <c r="A116" s="171" t="s">
        <v>617</v>
      </c>
      <c r="B116" t="s">
        <v>1243</v>
      </c>
      <c r="C116" s="173" t="s">
        <v>1077</v>
      </c>
      <c r="D116" s="259">
        <f t="shared" si="19"/>
        <v>0.7390000000000001</v>
      </c>
      <c r="E116" s="259">
        <f t="shared" si="20"/>
        <v>1</v>
      </c>
      <c r="F116" s="262">
        <f t="shared" si="29"/>
        <v>0.26100000000000001</v>
      </c>
      <c r="G116" s="161">
        <f>ROUND(IF(F116&lt;0,F116*'2024-25 PSES Compliance'!$G$13,0),3)</f>
        <v>0</v>
      </c>
      <c r="H116" s="161">
        <f>ROUND(IF(F116&lt;0,F116*'2024-25 PSES Compliance'!$G$14,0),3)</f>
        <v>0</v>
      </c>
      <c r="I116" s="174">
        <f t="shared" si="21"/>
        <v>0.99450000000000005</v>
      </c>
      <c r="J116" s="174">
        <f t="shared" si="22"/>
        <v>0</v>
      </c>
      <c r="K116" s="161">
        <f>VLOOKUP($A116,'Enroll Data as of January 2025'!$A$3:$M$322,6,FALSE)</f>
        <v>0.36499999999999999</v>
      </c>
      <c r="L116" s="161">
        <f>VLOOKUP($A116,'Enroll Data as of January 2025'!$A$3:$M$322,7,FALSE)</f>
        <v>8.900000000000001E-2</v>
      </c>
      <c r="M116" s="161">
        <f>VLOOKUP($A116,'Enroll Data as of January 2025'!$A$3:$M$322,8,FALSE)</f>
        <v>2.9000000000000001E-2</v>
      </c>
      <c r="N116" s="161">
        <f>VLOOKUP($A116,'Enroll Data as of January 2025'!$A$3:$M$322,9,FALSE)</f>
        <v>0.20800000000000002</v>
      </c>
      <c r="O116" s="165">
        <f t="shared" si="23"/>
        <v>0.69100000000000006</v>
      </c>
      <c r="P116" s="161">
        <f>VLOOKUP($A116,'Enroll Data as of January 2025'!$A$3:$M$322,11,FALSE)</f>
        <v>2.6000000000000002E-2</v>
      </c>
      <c r="Q116" s="161">
        <f>VLOOKUP($A116,'Enroll Data as of January 2025'!$A$3:$M$322,12,FALSE)</f>
        <v>2.1999999999999999E-2</v>
      </c>
      <c r="R116" s="165">
        <f t="shared" si="24"/>
        <v>4.8000000000000001E-2</v>
      </c>
      <c r="S116" s="267">
        <f>IFERROR(VLOOKUP($A116,Supp_39,14,FALSE),0)+IFERROR(SUMPRODUCT(VLOOKUP($A116,S275_01,{14,15,16},FALSE)),0)+IFERROR(SUMPRODUCT(VLOOKUP($A116,S275_97,{14,15,16},FALSE)),0)+IFERROR(ROUND(VLOOKUP($A116,S275_21,14,FALSE)*VLOOKUP($A116,'3121% SY'!$C$3:$M$324,11,FALSE),3),0)+IFERROR(ROUND(VLOOKUP($A116,S275_21,15,FALSE)*VLOOKUP($A116,'3121% SY'!$C$3:$M$324,11,FALSE),3),0)+IFERROR(ROUND(VLOOKUP($A116,S275_21,16,FALSE)*VLOOKUP($A116,'3121% SY'!$C$3:$M$324,11,FALSE),3),0)+IFERROR(VLOOKUP($A116,S275_09,6,FALSE),0)</f>
        <v>0.67</v>
      </c>
      <c r="T116" s="267">
        <f>IFERROR(VLOOKUP($A116,Supp_42,14,FALSE),0)+IFERROR(SUMPRODUCT(VLOOKUP($A116,S275_01,{17,18,19},FALSE)),0)+IFERROR(SUMPRODUCT(VLOOKUP($A116,S275_97,{17,18,19},FALSE)),0)+IFERROR(ROUND(VLOOKUP($A116,S275_21,17,FALSE)*VLOOKUP($A116,'3121% SY'!$C$3:$M$324,11,FALSE),3),0)+IFERROR(ROUND(VLOOKUP($A116,S275_21,18,FALSE)*VLOOKUP($A116,'3121% SY'!$C$3:$M$324,11,FALSE),3),0)+IFERROR(ROUND(VLOOKUP($A116,S275_21,19,FALSE)*VLOOKUP($A116,'3121% SY'!$C$3:$M$324,11,FALSE),3),0)+IFERROR(VLOOKUP($A116,S275_09,7,FALSE),0)</f>
        <v>0.33</v>
      </c>
      <c r="U116" s="267">
        <f>IFERROR(VLOOKUP($A116,Supp_43,14,FALSE),0)+IFERROR(SUMPRODUCT(VLOOKUP($A116,S275_01,{20,21,22},FALSE)),0)+IFERROR(SUMPRODUCT(VLOOKUP($A116,S275_97,{20,21,22},FALSE)),0)+IFERROR(ROUND(VLOOKUP($A116,S275_21,20,FALSE)*VLOOKUP($A116,'3121% SY'!$C$3:$M$324,11,FALSE),3),0)+IFERROR(ROUND(VLOOKUP($A116,S275_21,21,FALSE)*VLOOKUP($A116,'3121% SY'!$C$3:$M$324,11,FALSE),3),0)+IFERROR(ROUND(VLOOKUP($A116,S275_21,22,FALSE)*VLOOKUP($A116,'3121% SY'!$C$3:$M$324,11,FALSE),3),0)+IFERROR(VLOOKUP($A116,S275_09,8,FALSE),0)</f>
        <v>0</v>
      </c>
      <c r="V116" s="267">
        <f>IFERROR(VLOOKUP($A116,Supp_44,14,FALSE),0)+IFERROR(SUMPRODUCT(VLOOKUP($A116,S275_01,{23,24,25},FALSE)),0)+IFERROR(SUMPRODUCT(VLOOKUP($A116,S275_97,{23,24,25},FALSE)),0)+IFERROR(ROUND(VLOOKUP($A116,S275_21,23,FALSE)*VLOOKUP($A116,'3121% SY'!$C$3:$M$324,11,FALSE),3),0)+IFERROR(ROUND(VLOOKUP($A116,S275_21,24,FALSE)*VLOOKUP($A116,'3121% SY'!$C$3:$M$324,11,FALSE),3),0)+IFERROR(ROUND(VLOOKUP($A116,S275_21,25,FALSE)*VLOOKUP($A116,'3121% SY'!$C$3:$M$324,11,FALSE),3),0)+IFERROR(VLOOKUP($A116,S275_09,9,FALSE),0)</f>
        <v>0</v>
      </c>
      <c r="W116" s="267">
        <f>IFERROR(VLOOKUP($A116,Supp_45,14,FALSE),0)+IFERROR(SUMPRODUCT(VLOOKUP($A116,S275_01,{26,27,28},FALSE)),0)+IFERROR(SUMPRODUCT(VLOOKUP($A116,S275_97,{26,27,28},FALSE)),0)+IFERROR(ROUND(VLOOKUP($A116,S275_21,26,FALSE)*VLOOKUP($A116,'3121% SY'!$C$3:$M$324,11,FALSE),3),0)+IFERROR(ROUND(VLOOKUP($A116,S275_21,27,FALSE)*VLOOKUP($A116,'3121% SY'!$C$3:$M$324,11,FALSE),3),0)+IFERROR(ROUND(VLOOKUP($A116,S275_21,28,FALSE)*VLOOKUP($A116,'3121% SY'!$C$3:$M$324,11,FALSE),3),0)+IFERROR(VLOOKUP($A116,S275_09,10,FALSE),0)</f>
        <v>0</v>
      </c>
      <c r="X116" s="267">
        <f>IFERROR(VLOOKUP($A116,Supp_46,14,FALSE),0)+IFERROR(SUMPRODUCT(VLOOKUP($A116,S275_01,{29,30,31},FALSE)),0)+IFERROR(SUMPRODUCT(VLOOKUP($A116,S275_97,{29,30,31},FALSE)),0)+IFERROR(ROUND(VLOOKUP($A116,S275_21,29,FALSE)*VLOOKUP($A116,'3121% SY'!$C$3:$M$324,11,FALSE),3),0)+IFERROR(ROUND(VLOOKUP($A116,S275_21,30,FALSE)*VLOOKUP($A116,'3121% SY'!$C$3:$M$324,11,FALSE),3),0)+IFERROR(ROUND(VLOOKUP($A116,S275_21,31,FALSE)*VLOOKUP($A116,'3121% SY'!$C$3:$M$324,11,FALSE),3),0)+IFERROR(VLOOKUP($A116,S275_09,11,FALSE),0)</f>
        <v>0</v>
      </c>
      <c r="Y116" s="267">
        <f>IFERROR(VLOOKUP($A116,Supp_47,14,FALSE),0)+IFERROR(SUMPRODUCT(VLOOKUP($A116,S275_01,{32,33,34},FALSE)),0)+IFERROR(SUMPRODUCT(VLOOKUP($A116,S275_97,{32,33,34},FALSE)),0)+IFERROR(ROUND(VLOOKUP($A116,S275_21,32,FALSE)*VLOOKUP($A116,'3121% SY'!$C$3:$M$324,11,FALSE),3),0)+IFERROR(ROUND(VLOOKUP($A116,S275_21,33,FALSE)*VLOOKUP($A116,'3121% SY'!$C$3:$M$324,11,FALSE),3),0)+IFERROR(ROUND(VLOOKUP($A116,S275_21,34,FALSE)*VLOOKUP($A116,'3121% SY'!$C$3:$M$324,11,FALSE),3),0)+IFERROR(VLOOKUP($A116,S275_09,12,FALSE),0)</f>
        <v>0</v>
      </c>
      <c r="Z116" s="267">
        <f>IFERROR(VLOOKUP($A116,Supp_48,14,FALSE),0)+IFERROR(SUMPRODUCT(VLOOKUP($A116,S275_01,{35,36,37},FALSE)),0)+IFERROR(SUMPRODUCT(VLOOKUP($A116,S275_97,{35,36,37},FALSE)),0)+IFERROR(ROUND(VLOOKUP($A116,S275_21,35,FALSE)*VLOOKUP($A116,'3121% SY'!$C$3:$M$324,11,FALSE),3),0)+IFERROR(ROUND(VLOOKUP($A116,S275_21,36,FALSE)*VLOOKUP($A116,'3121% SY'!$C$3:$M$324,11,FALSE),3),0)+IFERROR(ROUND(VLOOKUP($A116,S275_21,37,FALSE)*VLOOKUP($A116,'3121% SY'!$C$3:$M$324,11,FALSE),3),0)+IFERROR(VLOOKUP($A116,S275_09,13,FALSE),0)</f>
        <v>0</v>
      </c>
      <c r="AA116" s="267">
        <f>IFERROR(VLOOKUP($A116,Supp_49,14,FALSE),0)+IFERROR(SUMPRODUCT(VLOOKUP($A116,S275_01,{38,39,40},FALSE)),0)+IFERROR(SUMPRODUCT(VLOOKUP($A116,S275_97,{38,39,40},FALSE)),0)+IFERROR(ROUND(VLOOKUP($A116,S275_21,38,FALSE)*VLOOKUP($A116,'3121% SY'!$C$3:$M$324,11,FALSE),3),0)+IFERROR(ROUND(VLOOKUP($A116,S275_21,39,FALSE)*VLOOKUP($A116,'3121% SY'!$C$3:$M$324,11,FALSE),3),0)+IFERROR(ROUND(VLOOKUP($A116,S275_21,40,FALSE)*VLOOKUP($A116,'3121% SY'!$C$3:$M$324,11,FALSE),3),0)+IFERROR(VLOOKUP($A116,S275_09,14,FALSE),0)</f>
        <v>0</v>
      </c>
      <c r="AB116" s="267">
        <f>IFERROR(VLOOKUP($A116,Supp_64,14,FALSE),0)+IFERROR(SUMPRODUCT(VLOOKUP($A116,S275_01,{41,42,43},FALSE)),0)+IFERROR(SUMPRODUCT(VLOOKUP($A116,S275_97,{41,42,43},FALSE)),0)+IFERROR(ROUND(VLOOKUP($A116,S275_21,41,FALSE)*VLOOKUP($A116,'3121% SY'!$C$3:$M$324,11,FALSE),3),0)+IFERROR(ROUND(VLOOKUP($A116,S275_21,42,FALSE)*VLOOKUP($A116,'3121% SY'!$C$3:$M$324,11,FALSE),3),0)+IFERROR(ROUND(VLOOKUP($A116,S275_21,43,FALSE)*VLOOKUP($A116,'3121% SY'!$C$3:$M$324,11,FALSE),3),0)+IFERROR(VLOOKUP($A116,S275_09,15,FALSE),0)</f>
        <v>0</v>
      </c>
      <c r="AC116" s="268">
        <f t="shared" si="25"/>
        <v>1</v>
      </c>
      <c r="AD116" s="267">
        <f>IFERROR(VLOOKUP($A116,Supp_24,14,FALSE),0)+IFERROR(SUMPRODUCT(VLOOKUP($A116,S275_01,{2,3,4},FALSE)),0)+IFERROR(SUMPRODUCT(VLOOKUP($A116,S275_97,{2,3,4},FALSE)),0)+IFERROR(ROUND(VLOOKUP($A116,S275_21,2,FALSE)*VLOOKUP($A116,'3121% SY'!$C$3:$M$324,11,FALSE),3),0)+IFERROR(ROUND(VLOOKUP($A116,S275_21,3,FALSE)*VLOOKUP($A116,'3121% SY'!$C$3:$M$324,11,FALSE),3),0)+IFERROR(ROUND(VLOOKUP($A116,S275_21,4,FALSE)*VLOOKUP($A116,'3121% SY'!$C$3:$M$324,11,FALSE),3),0)+IFERROR(VLOOKUP($A116,S275_09,2,FALSE),0)</f>
        <v>0</v>
      </c>
      <c r="AE116" s="267">
        <f>IFERROR(VLOOKUP($A116,Supp_25,14,FALSE),0)+IFERROR(SUMPRODUCT(VLOOKUP($A116,S275_01,{5,6,7},FALSE)),0)+IFERROR(SUMPRODUCT(VLOOKUP($A116,S275_97,{5,6,7},FALSE)),0)+IFERROR(ROUND(VLOOKUP($A116,S275_21,5,FALSE)*VLOOKUP($A116,'3121% SY'!$C$3:$M$324,11,FALSE),3),0)+IFERROR(ROUND(VLOOKUP($A116,S275_21,6,FALSE)*VLOOKUP($A116,'3121% SY'!$C$3:$M$324,11,FALSE),3),0)+IFERROR(ROUND(VLOOKUP($A116,S275_21,7,FALSE)*VLOOKUP($A116,'3121% SY'!$C$3:$M$324,11,FALSE),3),0)+IFERROR(VLOOKUP($A116,S275_09,3,FALSE),0)</f>
        <v>0</v>
      </c>
      <c r="AF116" s="267">
        <f>IFERROR(VLOOKUP($A116,Supp_26,14,FALSE),0)+IFERROR(SUMPRODUCT(VLOOKUP($A116,S275_01,{8,9,10},FALSE)),0)+IFERROR(SUMPRODUCT(VLOOKUP($A116,S275_97,{8,9,10},FALSE)),0)+IFERROR(ROUND(VLOOKUP($A116,S275_21,8,FALSE)*VLOOKUP($A116,'3121% SY'!$C$3:$M$324,11,FALSE),3),0)+IFERROR(ROUND(VLOOKUP($A116,S275_21,9,FALSE)*VLOOKUP($A116,'3121% SY'!$C$3:$M$324,11,FALSE),3),0)+IFERROR(ROUND(VLOOKUP($A116,S275_21,10,FALSE)*VLOOKUP($A116,'3121% SY'!$C$3:$M$324,11,FALSE),3),0)+IFERROR(VLOOKUP($A116,S275_09,4,FALSE),0)</f>
        <v>0</v>
      </c>
      <c r="AG116" s="267">
        <f>IFERROR(VLOOKUP($A116,Supp_35,14,FALSE),0)+IFERROR(SUMPRODUCT(VLOOKUP($A116,S275_01,{11,12,13},FALSE)),0)+IFERROR(SUMPRODUCT(VLOOKUP($A116,S275_97,{11,12,13},FALSE)),0)+IFERROR(ROUND(VLOOKUP($A116,S275_21,11,FALSE)*VLOOKUP($A116,'3121% SY'!$C$3:$M$324,11,FALSE),3),0)+IFERROR(ROUND(VLOOKUP($A116,S275_21,12,FALSE)*VLOOKUP($A116,'3121% SY'!$C$3:$M$324,11,FALSE),3),0)+IFERROR(ROUND(VLOOKUP($A116,S275_21,13,FALSE)*VLOOKUP($A116,'3121% SY'!$C$3:$M$324,11,FALSE),3),0)+IFERROR(VLOOKUP($A116,S275_09,5,FALSE),0)</f>
        <v>0</v>
      </c>
      <c r="AH116" s="165">
        <f t="shared" si="26"/>
        <v>0</v>
      </c>
      <c r="AI116" s="161">
        <f>IFERROR(VLOOKUP(A116,'Supp Staff Data'!A:ER,148,FALSE),0)+AB116</f>
        <v>0</v>
      </c>
      <c r="AJ116" s="174">
        <v>0.99450000000000005</v>
      </c>
      <c r="AK116" s="25">
        <f>VLOOKUP(A116,'Enroll Data as of January 2025'!$A$3:$T$323,20,FALSE)-F116</f>
        <v>0</v>
      </c>
    </row>
    <row r="117" spans="1:37" x14ac:dyDescent="0.25">
      <c r="A117" s="171" t="s">
        <v>273</v>
      </c>
      <c r="B117" t="s">
        <v>569</v>
      </c>
      <c r="C117" s="173" t="s">
        <v>1077</v>
      </c>
      <c r="D117" s="259">
        <f t="shared" si="19"/>
        <v>10.648</v>
      </c>
      <c r="E117" s="259">
        <f t="shared" si="20"/>
        <v>8.9140000000000015</v>
      </c>
      <c r="F117" s="262">
        <f t="shared" si="29"/>
        <v>-1.734</v>
      </c>
      <c r="G117" s="161">
        <f>ROUND(IF(F117&lt;0,F117*'2024-25 PSES Compliance'!$G$13,0),3)</f>
        <v>-1.665</v>
      </c>
      <c r="H117" s="161">
        <f>ROUND(IF(F117&lt;0,F117*'2024-25 PSES Compliance'!$G$14,0),3)</f>
        <v>-6.9000000000000006E-2</v>
      </c>
      <c r="I117" s="174">
        <f t="shared" si="21"/>
        <v>0.69504520978236484</v>
      </c>
      <c r="J117" s="174">
        <f t="shared" si="22"/>
        <v>0</v>
      </c>
      <c r="K117" s="161">
        <f>VLOOKUP($A117,'Enroll Data as of January 2025'!$A$3:$M$322,6,FALSE)</f>
        <v>5.8849999999999998</v>
      </c>
      <c r="L117" s="161">
        <f>VLOOKUP($A117,'Enroll Data as of January 2025'!$A$3:$M$322,7,FALSE)</f>
        <v>1.0230000000000001</v>
      </c>
      <c r="M117" s="161">
        <f>VLOOKUP($A117,'Enroll Data as of January 2025'!$A$3:$M$322,8,FALSE)</f>
        <v>0.34199999999999997</v>
      </c>
      <c r="N117" s="161">
        <f>VLOOKUP($A117,'Enroll Data as of January 2025'!$A$3:$M$322,9,FALSE)</f>
        <v>2.7890000000000001</v>
      </c>
      <c r="O117" s="165">
        <f t="shared" si="23"/>
        <v>10.039</v>
      </c>
      <c r="P117" s="161">
        <f>VLOOKUP($A117,'Enroll Data as of January 2025'!$A$3:$M$322,11,FALSE)</f>
        <v>0.375</v>
      </c>
      <c r="Q117" s="161">
        <f>VLOOKUP($A117,'Enroll Data as of January 2025'!$A$3:$M$322,12,FALSE)</f>
        <v>0.23400000000000001</v>
      </c>
      <c r="R117" s="165">
        <f t="shared" si="24"/>
        <v>0.60899999999999999</v>
      </c>
      <c r="S117" s="267">
        <f>IFERROR(VLOOKUP($A117,Supp_39,14,FALSE),0)+IFERROR(SUMPRODUCT(VLOOKUP($A117,S275_01,{14,15,16},FALSE)),0)+IFERROR(SUMPRODUCT(VLOOKUP($A117,S275_97,{14,15,16},FALSE)),0)+IFERROR(ROUND(VLOOKUP($A117,S275_21,14,FALSE)*VLOOKUP($A117,'3121% SY'!$C$3:$M$324,11,FALSE),3),0)+IFERROR(ROUND(VLOOKUP($A117,S275_21,15,FALSE)*VLOOKUP($A117,'3121% SY'!$C$3:$M$324,11,FALSE),3),0)+IFERROR(ROUND(VLOOKUP($A117,S275_21,16,FALSE)*VLOOKUP($A117,'3121% SY'!$C$3:$M$324,11,FALSE),3),0)+IFERROR(VLOOKUP($A117,S275_09,6,FALSE),0)</f>
        <v>3.714</v>
      </c>
      <c r="T117" s="267">
        <f>IFERROR(VLOOKUP($A117,Supp_42,14,FALSE),0)+IFERROR(SUMPRODUCT(VLOOKUP($A117,S275_01,{17,18,19},FALSE)),0)+IFERROR(SUMPRODUCT(VLOOKUP($A117,S275_97,{17,18,19},FALSE)),0)+IFERROR(ROUND(VLOOKUP($A117,S275_21,17,FALSE)*VLOOKUP($A117,'3121% SY'!$C$3:$M$324,11,FALSE),3),0)+IFERROR(ROUND(VLOOKUP($A117,S275_21,18,FALSE)*VLOOKUP($A117,'3121% SY'!$C$3:$M$324,11,FALSE),3),0)+IFERROR(ROUND(VLOOKUP($A117,S275_21,19,FALSE)*VLOOKUP($A117,'3121% SY'!$C$3:$M$324,11,FALSE),3),0)+IFERROR(VLOOKUP($A117,S275_09,7,FALSE),0)</f>
        <v>1.5</v>
      </c>
      <c r="U117" s="267">
        <f>IFERROR(VLOOKUP($A117,Supp_43,14,FALSE),0)+IFERROR(SUMPRODUCT(VLOOKUP($A117,S275_01,{20,21,22},FALSE)),0)+IFERROR(SUMPRODUCT(VLOOKUP($A117,S275_97,{20,21,22},FALSE)),0)+IFERROR(ROUND(VLOOKUP($A117,S275_21,20,FALSE)*VLOOKUP($A117,'3121% SY'!$C$3:$M$324,11,FALSE),3),0)+IFERROR(ROUND(VLOOKUP($A117,S275_21,21,FALSE)*VLOOKUP($A117,'3121% SY'!$C$3:$M$324,11,FALSE),3),0)+IFERROR(ROUND(VLOOKUP($A117,S275_21,22,FALSE)*VLOOKUP($A117,'3121% SY'!$C$3:$M$324,11,FALSE),3),0)+IFERROR(VLOOKUP($A117,S275_09,8,FALSE),0)</f>
        <v>0.255</v>
      </c>
      <c r="V117" s="267">
        <f>IFERROR(VLOOKUP($A117,Supp_44,14,FALSE),0)+IFERROR(SUMPRODUCT(VLOOKUP($A117,S275_01,{23,24,25},FALSE)),0)+IFERROR(SUMPRODUCT(VLOOKUP($A117,S275_97,{23,24,25},FALSE)),0)+IFERROR(ROUND(VLOOKUP($A117,S275_21,23,FALSE)*VLOOKUP($A117,'3121% SY'!$C$3:$M$324,11,FALSE),3),0)+IFERROR(ROUND(VLOOKUP($A117,S275_21,24,FALSE)*VLOOKUP($A117,'3121% SY'!$C$3:$M$324,11,FALSE),3),0)+IFERROR(ROUND(VLOOKUP($A117,S275_21,25,FALSE)*VLOOKUP($A117,'3121% SY'!$C$3:$M$324,11,FALSE),3),0)+IFERROR(VLOOKUP($A117,S275_09,9,FALSE),0)</f>
        <v>0</v>
      </c>
      <c r="W117" s="267">
        <f>IFERROR(VLOOKUP($A117,Supp_45,14,FALSE),0)+IFERROR(SUMPRODUCT(VLOOKUP($A117,S275_01,{26,27,28},FALSE)),0)+IFERROR(SUMPRODUCT(VLOOKUP($A117,S275_97,{26,27,28},FALSE)),0)+IFERROR(ROUND(VLOOKUP($A117,S275_21,26,FALSE)*VLOOKUP($A117,'3121% SY'!$C$3:$M$324,11,FALSE),3),0)+IFERROR(ROUND(VLOOKUP($A117,S275_21,27,FALSE)*VLOOKUP($A117,'3121% SY'!$C$3:$M$324,11,FALSE),3),0)+IFERROR(ROUND(VLOOKUP($A117,S275_21,28,FALSE)*VLOOKUP($A117,'3121% SY'!$C$3:$M$324,11,FALSE),3),0)+IFERROR(VLOOKUP($A117,S275_09,10,FALSE),0)</f>
        <v>0.91800000000000004</v>
      </c>
      <c r="X117" s="267">
        <f>IFERROR(VLOOKUP($A117,Supp_46,14,FALSE),0)+IFERROR(SUMPRODUCT(VLOOKUP($A117,S275_01,{29,30,31},FALSE)),0)+IFERROR(SUMPRODUCT(VLOOKUP($A117,S275_97,{29,30,31},FALSE)),0)+IFERROR(ROUND(VLOOKUP($A117,S275_21,29,FALSE)*VLOOKUP($A117,'3121% SY'!$C$3:$M$324,11,FALSE),3),0)+IFERROR(ROUND(VLOOKUP($A117,S275_21,30,FALSE)*VLOOKUP($A117,'3121% SY'!$C$3:$M$324,11,FALSE),3),0)+IFERROR(ROUND(VLOOKUP($A117,S275_21,31,FALSE)*VLOOKUP($A117,'3121% SY'!$C$3:$M$324,11,FALSE),3),0)+IFERROR(VLOOKUP($A117,S275_09,11,FALSE),0)</f>
        <v>0.58299999999999996</v>
      </c>
      <c r="Y117" s="267">
        <f>IFERROR(VLOOKUP($A117,Supp_47,14,FALSE),0)+IFERROR(SUMPRODUCT(VLOOKUP($A117,S275_01,{32,33,34},FALSE)),0)+IFERROR(SUMPRODUCT(VLOOKUP($A117,S275_97,{32,33,34},FALSE)),0)+IFERROR(ROUND(VLOOKUP($A117,S275_21,32,FALSE)*VLOOKUP($A117,'3121% SY'!$C$3:$M$324,11,FALSE),3),0)+IFERROR(ROUND(VLOOKUP($A117,S275_21,33,FALSE)*VLOOKUP($A117,'3121% SY'!$C$3:$M$324,11,FALSE),3),0)+IFERROR(ROUND(VLOOKUP($A117,S275_21,34,FALSE)*VLOOKUP($A117,'3121% SY'!$C$3:$M$324,11,FALSE),3),0)+IFERROR(VLOOKUP($A117,S275_09,12,FALSE),0)</f>
        <v>0</v>
      </c>
      <c r="Z117" s="267">
        <f>IFERROR(VLOOKUP($A117,Supp_48,14,FALSE),0)+IFERROR(SUMPRODUCT(VLOOKUP($A117,S275_01,{35,36,37},FALSE)),0)+IFERROR(SUMPRODUCT(VLOOKUP($A117,S275_97,{35,36,37},FALSE)),0)+IFERROR(ROUND(VLOOKUP($A117,S275_21,35,FALSE)*VLOOKUP($A117,'3121% SY'!$C$3:$M$324,11,FALSE),3),0)+IFERROR(ROUND(VLOOKUP($A117,S275_21,36,FALSE)*VLOOKUP($A117,'3121% SY'!$C$3:$M$324,11,FALSE),3),0)+IFERROR(ROUND(VLOOKUP($A117,S275_21,37,FALSE)*VLOOKUP($A117,'3121% SY'!$C$3:$M$324,11,FALSE),3),0)+IFERROR(VLOOKUP($A117,S275_09,13,FALSE),0)</f>
        <v>0</v>
      </c>
      <c r="AA117" s="267">
        <f>IFERROR(VLOOKUP($A117,Supp_49,14,FALSE),0)+IFERROR(SUMPRODUCT(VLOOKUP($A117,S275_01,{38,39,40},FALSE)),0)+IFERROR(SUMPRODUCT(VLOOKUP($A117,S275_97,{38,39,40},FALSE)),0)+IFERROR(ROUND(VLOOKUP($A117,S275_21,38,FALSE)*VLOOKUP($A117,'3121% SY'!$C$3:$M$324,11,FALSE),3),0)+IFERROR(ROUND(VLOOKUP($A117,S275_21,39,FALSE)*VLOOKUP($A117,'3121% SY'!$C$3:$M$324,11,FALSE),3),0)+IFERROR(ROUND(VLOOKUP($A117,S275_21,40,FALSE)*VLOOKUP($A117,'3121% SY'!$C$3:$M$324,11,FALSE),3),0)+IFERROR(VLOOKUP($A117,S275_09,14,FALSE),0)</f>
        <v>0</v>
      </c>
      <c r="AB117" s="267">
        <f>IFERROR(VLOOKUP($A117,Supp_64,14,FALSE),0)+IFERROR(SUMPRODUCT(VLOOKUP($A117,S275_01,{41,42,43},FALSE)),0)+IFERROR(SUMPRODUCT(VLOOKUP($A117,S275_97,{41,42,43},FALSE)),0)+IFERROR(ROUND(VLOOKUP($A117,S275_21,41,FALSE)*VLOOKUP($A117,'3121% SY'!$C$3:$M$324,11,FALSE),3),0)+IFERROR(ROUND(VLOOKUP($A117,S275_21,42,FALSE)*VLOOKUP($A117,'3121% SY'!$C$3:$M$324,11,FALSE),3),0)+IFERROR(ROUND(VLOOKUP($A117,S275_21,43,FALSE)*VLOOKUP($A117,'3121% SY'!$C$3:$M$324,11,FALSE),3),0)+IFERROR(VLOOKUP($A117,S275_09,15,FALSE),0)</f>
        <v>0</v>
      </c>
      <c r="AC117" s="268">
        <f t="shared" si="25"/>
        <v>6.9700000000000006</v>
      </c>
      <c r="AD117" s="267">
        <f>IFERROR(VLOOKUP($A117,Supp_24,14,FALSE),0)+IFERROR(SUMPRODUCT(VLOOKUP($A117,S275_01,{2,3,4},FALSE)),0)+IFERROR(SUMPRODUCT(VLOOKUP($A117,S275_97,{2,3,4},FALSE)),0)+IFERROR(ROUND(VLOOKUP($A117,S275_21,2,FALSE)*VLOOKUP($A117,'3121% SY'!$C$3:$M$324,11,FALSE),3),0)+IFERROR(ROUND(VLOOKUP($A117,S275_21,3,FALSE)*VLOOKUP($A117,'3121% SY'!$C$3:$M$324,11,FALSE),3),0)+IFERROR(ROUND(VLOOKUP($A117,S275_21,4,FALSE)*VLOOKUP($A117,'3121% SY'!$C$3:$M$324,11,FALSE),3),0)+IFERROR(VLOOKUP($A117,S275_09,2,FALSE),0)</f>
        <v>0.127</v>
      </c>
      <c r="AE117" s="267">
        <f>IFERROR(VLOOKUP($A117,Supp_25,14,FALSE),0)+IFERROR(SUMPRODUCT(VLOOKUP($A117,S275_01,{5,6,7},FALSE)),0)+IFERROR(SUMPRODUCT(VLOOKUP($A117,S275_97,{5,6,7},FALSE)),0)+IFERROR(ROUND(VLOOKUP($A117,S275_21,5,FALSE)*VLOOKUP($A117,'3121% SY'!$C$3:$M$324,11,FALSE),3),0)+IFERROR(ROUND(VLOOKUP($A117,S275_21,6,FALSE)*VLOOKUP($A117,'3121% SY'!$C$3:$M$324,11,FALSE),3),0)+IFERROR(ROUND(VLOOKUP($A117,S275_21,7,FALSE)*VLOOKUP($A117,'3121% SY'!$C$3:$M$324,11,FALSE),3),0)+IFERROR(VLOOKUP($A117,S275_09,3,FALSE),0)</f>
        <v>0</v>
      </c>
      <c r="AF117" s="267">
        <f>IFERROR(VLOOKUP($A117,Supp_26,14,FALSE),0)+IFERROR(SUMPRODUCT(VLOOKUP($A117,S275_01,{8,9,10},FALSE)),0)+IFERROR(SUMPRODUCT(VLOOKUP($A117,S275_97,{8,9,10},FALSE)),0)+IFERROR(ROUND(VLOOKUP($A117,S275_21,8,FALSE)*VLOOKUP($A117,'3121% SY'!$C$3:$M$324,11,FALSE),3),0)+IFERROR(ROUND(VLOOKUP($A117,S275_21,9,FALSE)*VLOOKUP($A117,'3121% SY'!$C$3:$M$324,11,FALSE),3),0)+IFERROR(ROUND(VLOOKUP($A117,S275_21,10,FALSE)*VLOOKUP($A117,'3121% SY'!$C$3:$M$324,11,FALSE),3),0)+IFERROR(VLOOKUP($A117,S275_09,4,FALSE),0)</f>
        <v>1.8169999999999999</v>
      </c>
      <c r="AG117" s="267">
        <f>IFERROR(VLOOKUP($A117,Supp_35,14,FALSE),0)+IFERROR(SUMPRODUCT(VLOOKUP($A117,S275_01,{11,12,13},FALSE)),0)+IFERROR(SUMPRODUCT(VLOOKUP($A117,S275_97,{11,12,13},FALSE)),0)+IFERROR(ROUND(VLOOKUP($A117,S275_21,11,FALSE)*VLOOKUP($A117,'3121% SY'!$C$3:$M$324,11,FALSE),3),0)+IFERROR(ROUND(VLOOKUP($A117,S275_21,12,FALSE)*VLOOKUP($A117,'3121% SY'!$C$3:$M$324,11,FALSE),3),0)+IFERROR(ROUND(VLOOKUP($A117,S275_21,13,FALSE)*VLOOKUP($A117,'3121% SY'!$C$3:$M$324,11,FALSE),3),0)+IFERROR(VLOOKUP($A117,S275_09,5,FALSE),0)</f>
        <v>0</v>
      </c>
      <c r="AH117" s="165">
        <f t="shared" si="26"/>
        <v>1.944</v>
      </c>
      <c r="AI117" s="161">
        <f>IFERROR(VLOOKUP(A117,'Supp Staff Data'!A:ER,148,FALSE),0)+AB117</f>
        <v>0</v>
      </c>
      <c r="AJ117" s="174">
        <v>0.88890000000000002</v>
      </c>
      <c r="AK117" s="25">
        <f>VLOOKUP(A117,'Enroll Data as of January 2025'!$A$3:$T$323,20,FALSE)-F117</f>
        <v>0</v>
      </c>
    </row>
    <row r="118" spans="1:37" x14ac:dyDescent="0.25">
      <c r="A118" s="171" t="s">
        <v>64</v>
      </c>
      <c r="B118" t="s">
        <v>360</v>
      </c>
      <c r="C118" s="173" t="s">
        <v>1077</v>
      </c>
      <c r="D118" s="259">
        <f t="shared" si="19"/>
        <v>1.6840000000000002</v>
      </c>
      <c r="E118" s="259">
        <f t="shared" si="20"/>
        <v>1.3490000000000002</v>
      </c>
      <c r="F118" s="262">
        <f t="shared" si="29"/>
        <v>-0.33500000000000002</v>
      </c>
      <c r="G118" s="161">
        <f>ROUND(IF(F118&lt;0,F118*'2024-25 PSES Compliance'!$G$13,0),3)</f>
        <v>-0.32200000000000001</v>
      </c>
      <c r="H118" s="161">
        <f>ROUND(IF(F118&lt;0,F118*'2024-25 PSES Compliance'!$G$14,0),3)</f>
        <v>-1.2999999999999999E-2</v>
      </c>
      <c r="I118" s="174">
        <f t="shared" si="21"/>
        <v>0.74351371386212006</v>
      </c>
      <c r="J118" s="174">
        <f t="shared" si="22"/>
        <v>0</v>
      </c>
      <c r="K118" s="161">
        <f>VLOOKUP($A118,'Enroll Data as of January 2025'!$A$3:$M$322,6,FALSE)</f>
        <v>0.90500000000000003</v>
      </c>
      <c r="L118" s="161">
        <f>VLOOKUP($A118,'Enroll Data as of January 2025'!$A$3:$M$322,7,FALSE)</f>
        <v>0.17500000000000002</v>
      </c>
      <c r="M118" s="161">
        <f>VLOOKUP($A118,'Enroll Data as of January 2025'!$A$3:$M$322,8,FALSE)</f>
        <v>5.7999999999999996E-2</v>
      </c>
      <c r="N118" s="161">
        <f>VLOOKUP($A118,'Enroll Data as of January 2025'!$A$3:$M$322,9,FALSE)</f>
        <v>0.44500000000000001</v>
      </c>
      <c r="O118" s="165">
        <f t="shared" si="23"/>
        <v>1.5830000000000002</v>
      </c>
      <c r="P118" s="161">
        <f>VLOOKUP($A118,'Enroll Data as of January 2025'!$A$3:$M$322,11,FALSE)</f>
        <v>0.06</v>
      </c>
      <c r="Q118" s="161">
        <f>VLOOKUP($A118,'Enroll Data as of January 2025'!$A$3:$M$322,12,FALSE)</f>
        <v>4.1000000000000002E-2</v>
      </c>
      <c r="R118" s="165">
        <f t="shared" si="24"/>
        <v>0.10100000000000001</v>
      </c>
      <c r="S118" s="267">
        <f>IFERROR(VLOOKUP($A118,Supp_39,14,FALSE),0)+IFERROR(SUMPRODUCT(VLOOKUP($A118,S275_01,{14,15,16},FALSE)),0)+IFERROR(SUMPRODUCT(VLOOKUP($A118,S275_97,{14,15,16},FALSE)),0)+IFERROR(ROUND(VLOOKUP($A118,S275_21,14,FALSE)*VLOOKUP($A118,'3121% SY'!$C$3:$M$324,11,FALSE),3),0)+IFERROR(ROUND(VLOOKUP($A118,S275_21,15,FALSE)*VLOOKUP($A118,'3121% SY'!$C$3:$M$324,11,FALSE),3),0)+IFERROR(ROUND(VLOOKUP($A118,S275_21,16,FALSE)*VLOOKUP($A118,'3121% SY'!$C$3:$M$324,11,FALSE),3),0)+IFERROR(VLOOKUP($A118,S275_09,6,FALSE),0)</f>
        <v>0.90300000000000002</v>
      </c>
      <c r="T118" s="267">
        <f>IFERROR(VLOOKUP($A118,Supp_42,14,FALSE),0)+IFERROR(SUMPRODUCT(VLOOKUP($A118,S275_01,{17,18,19},FALSE)),0)+IFERROR(SUMPRODUCT(VLOOKUP($A118,S275_97,{17,18,19},FALSE)),0)+IFERROR(ROUND(VLOOKUP($A118,S275_21,17,FALSE)*VLOOKUP($A118,'3121% SY'!$C$3:$M$324,11,FALSE),3),0)+IFERROR(ROUND(VLOOKUP($A118,S275_21,18,FALSE)*VLOOKUP($A118,'3121% SY'!$C$3:$M$324,11,FALSE),3),0)+IFERROR(ROUND(VLOOKUP($A118,S275_21,19,FALSE)*VLOOKUP($A118,'3121% SY'!$C$3:$M$324,11,FALSE),3),0)+IFERROR(VLOOKUP($A118,S275_09,7,FALSE),0)</f>
        <v>0.1</v>
      </c>
      <c r="U118" s="267">
        <f>IFERROR(VLOOKUP($A118,Supp_43,14,FALSE),0)+IFERROR(SUMPRODUCT(VLOOKUP($A118,S275_01,{20,21,22},FALSE)),0)+IFERROR(SUMPRODUCT(VLOOKUP($A118,S275_97,{20,21,22},FALSE)),0)+IFERROR(ROUND(VLOOKUP($A118,S275_21,20,FALSE)*VLOOKUP($A118,'3121% SY'!$C$3:$M$324,11,FALSE),3),0)+IFERROR(ROUND(VLOOKUP($A118,S275_21,21,FALSE)*VLOOKUP($A118,'3121% SY'!$C$3:$M$324,11,FALSE),3),0)+IFERROR(ROUND(VLOOKUP($A118,S275_21,22,FALSE)*VLOOKUP($A118,'3121% SY'!$C$3:$M$324,11,FALSE),3),0)+IFERROR(VLOOKUP($A118,S275_09,8,FALSE),0)</f>
        <v>0</v>
      </c>
      <c r="V118" s="267">
        <f>IFERROR(VLOOKUP($A118,Supp_44,14,FALSE),0)+IFERROR(SUMPRODUCT(VLOOKUP($A118,S275_01,{23,24,25},FALSE)),0)+IFERROR(SUMPRODUCT(VLOOKUP($A118,S275_97,{23,24,25},FALSE)),0)+IFERROR(ROUND(VLOOKUP($A118,S275_21,23,FALSE)*VLOOKUP($A118,'3121% SY'!$C$3:$M$324,11,FALSE),3),0)+IFERROR(ROUND(VLOOKUP($A118,S275_21,24,FALSE)*VLOOKUP($A118,'3121% SY'!$C$3:$M$324,11,FALSE),3),0)+IFERROR(ROUND(VLOOKUP($A118,S275_21,25,FALSE)*VLOOKUP($A118,'3121% SY'!$C$3:$M$324,11,FALSE),3),0)+IFERROR(VLOOKUP($A118,S275_09,9,FALSE),0)</f>
        <v>0</v>
      </c>
      <c r="W118" s="267">
        <f>IFERROR(VLOOKUP($A118,Supp_45,14,FALSE),0)+IFERROR(SUMPRODUCT(VLOOKUP($A118,S275_01,{26,27,28},FALSE)),0)+IFERROR(SUMPRODUCT(VLOOKUP($A118,S275_97,{26,27,28},FALSE)),0)+IFERROR(ROUND(VLOOKUP($A118,S275_21,26,FALSE)*VLOOKUP($A118,'3121% SY'!$C$3:$M$324,11,FALSE),3),0)+IFERROR(ROUND(VLOOKUP($A118,S275_21,27,FALSE)*VLOOKUP($A118,'3121% SY'!$C$3:$M$324,11,FALSE),3),0)+IFERROR(ROUND(VLOOKUP($A118,S275_21,28,FALSE)*VLOOKUP($A118,'3121% SY'!$C$3:$M$324,11,FALSE),3),0)+IFERROR(VLOOKUP($A118,S275_09,10,FALSE),0)</f>
        <v>0</v>
      </c>
      <c r="X118" s="267">
        <f>IFERROR(VLOOKUP($A118,Supp_46,14,FALSE),0)+IFERROR(SUMPRODUCT(VLOOKUP($A118,S275_01,{29,30,31},FALSE)),0)+IFERROR(SUMPRODUCT(VLOOKUP($A118,S275_97,{29,30,31},FALSE)),0)+IFERROR(ROUND(VLOOKUP($A118,S275_21,29,FALSE)*VLOOKUP($A118,'3121% SY'!$C$3:$M$324,11,FALSE),3),0)+IFERROR(ROUND(VLOOKUP($A118,S275_21,30,FALSE)*VLOOKUP($A118,'3121% SY'!$C$3:$M$324,11,FALSE),3),0)+IFERROR(ROUND(VLOOKUP($A118,S275_21,31,FALSE)*VLOOKUP($A118,'3121% SY'!$C$3:$M$324,11,FALSE),3),0)+IFERROR(VLOOKUP($A118,S275_09,11,FALSE),0)</f>
        <v>0</v>
      </c>
      <c r="Y118" s="267">
        <f>IFERROR(VLOOKUP($A118,Supp_47,14,FALSE),0)+IFERROR(SUMPRODUCT(VLOOKUP($A118,S275_01,{32,33,34},FALSE)),0)+IFERROR(SUMPRODUCT(VLOOKUP($A118,S275_97,{32,33,34},FALSE)),0)+IFERROR(ROUND(VLOOKUP($A118,S275_21,32,FALSE)*VLOOKUP($A118,'3121% SY'!$C$3:$M$324,11,FALSE),3),0)+IFERROR(ROUND(VLOOKUP($A118,S275_21,33,FALSE)*VLOOKUP($A118,'3121% SY'!$C$3:$M$324,11,FALSE),3),0)+IFERROR(ROUND(VLOOKUP($A118,S275_21,34,FALSE)*VLOOKUP($A118,'3121% SY'!$C$3:$M$324,11,FALSE),3),0)+IFERROR(VLOOKUP($A118,S275_09,12,FALSE),0)</f>
        <v>0</v>
      </c>
      <c r="Z118" s="267">
        <f>IFERROR(VLOOKUP($A118,Supp_48,14,FALSE),0)+IFERROR(SUMPRODUCT(VLOOKUP($A118,S275_01,{35,36,37},FALSE)),0)+IFERROR(SUMPRODUCT(VLOOKUP($A118,S275_97,{35,36,37},FALSE)),0)+IFERROR(ROUND(VLOOKUP($A118,S275_21,35,FALSE)*VLOOKUP($A118,'3121% SY'!$C$3:$M$324,11,FALSE),3),0)+IFERROR(ROUND(VLOOKUP($A118,S275_21,36,FALSE)*VLOOKUP($A118,'3121% SY'!$C$3:$M$324,11,FALSE),3),0)+IFERROR(ROUND(VLOOKUP($A118,S275_21,37,FALSE)*VLOOKUP($A118,'3121% SY'!$C$3:$M$324,11,FALSE),3),0)+IFERROR(VLOOKUP($A118,S275_09,13,FALSE),0)</f>
        <v>0</v>
      </c>
      <c r="AA118" s="267">
        <f>IFERROR(VLOOKUP($A118,Supp_49,14,FALSE),0)+IFERROR(SUMPRODUCT(VLOOKUP($A118,S275_01,{38,39,40},FALSE)),0)+IFERROR(SUMPRODUCT(VLOOKUP($A118,S275_97,{38,39,40},FALSE)),0)+IFERROR(ROUND(VLOOKUP($A118,S275_21,38,FALSE)*VLOOKUP($A118,'3121% SY'!$C$3:$M$324,11,FALSE),3),0)+IFERROR(ROUND(VLOOKUP($A118,S275_21,39,FALSE)*VLOOKUP($A118,'3121% SY'!$C$3:$M$324,11,FALSE),3),0)+IFERROR(ROUND(VLOOKUP($A118,S275_21,40,FALSE)*VLOOKUP($A118,'3121% SY'!$C$3:$M$324,11,FALSE),3),0)+IFERROR(VLOOKUP($A118,S275_09,14,FALSE),0)</f>
        <v>0</v>
      </c>
      <c r="AB118" s="267">
        <f>IFERROR(VLOOKUP($A118,Supp_64,14,FALSE),0)+IFERROR(SUMPRODUCT(VLOOKUP($A118,S275_01,{41,42,43},FALSE)),0)+IFERROR(SUMPRODUCT(VLOOKUP($A118,S275_97,{41,42,43},FALSE)),0)+IFERROR(ROUND(VLOOKUP($A118,S275_21,41,FALSE)*VLOOKUP($A118,'3121% SY'!$C$3:$M$324,11,FALSE),3),0)+IFERROR(ROUND(VLOOKUP($A118,S275_21,42,FALSE)*VLOOKUP($A118,'3121% SY'!$C$3:$M$324,11,FALSE),3),0)+IFERROR(ROUND(VLOOKUP($A118,S275_21,43,FALSE)*VLOOKUP($A118,'3121% SY'!$C$3:$M$324,11,FALSE),3),0)+IFERROR(VLOOKUP($A118,S275_09,15,FALSE),0)</f>
        <v>0</v>
      </c>
      <c r="AC118" s="268">
        <f t="shared" si="25"/>
        <v>1.0030000000000001</v>
      </c>
      <c r="AD118" s="267">
        <f>IFERROR(VLOOKUP($A118,Supp_24,14,FALSE),0)+IFERROR(SUMPRODUCT(VLOOKUP($A118,S275_01,{2,3,4},FALSE)),0)+IFERROR(SUMPRODUCT(VLOOKUP($A118,S275_97,{2,3,4},FALSE)),0)+IFERROR(ROUND(VLOOKUP($A118,S275_21,2,FALSE)*VLOOKUP($A118,'3121% SY'!$C$3:$M$324,11,FALSE),3),0)+IFERROR(ROUND(VLOOKUP($A118,S275_21,3,FALSE)*VLOOKUP($A118,'3121% SY'!$C$3:$M$324,11,FALSE),3),0)+IFERROR(ROUND(VLOOKUP($A118,S275_21,4,FALSE)*VLOOKUP($A118,'3121% SY'!$C$3:$M$324,11,FALSE),3),0)+IFERROR(VLOOKUP($A118,S275_09,2,FALSE),0)</f>
        <v>0</v>
      </c>
      <c r="AE118" s="267">
        <f>IFERROR(VLOOKUP($A118,Supp_25,14,FALSE),0)+IFERROR(SUMPRODUCT(VLOOKUP($A118,S275_01,{5,6,7},FALSE)),0)+IFERROR(SUMPRODUCT(VLOOKUP($A118,S275_97,{5,6,7},FALSE)),0)+IFERROR(ROUND(VLOOKUP($A118,S275_21,5,FALSE)*VLOOKUP($A118,'3121% SY'!$C$3:$M$324,11,FALSE),3),0)+IFERROR(ROUND(VLOOKUP($A118,S275_21,6,FALSE)*VLOOKUP($A118,'3121% SY'!$C$3:$M$324,11,FALSE),3),0)+IFERROR(ROUND(VLOOKUP($A118,S275_21,7,FALSE)*VLOOKUP($A118,'3121% SY'!$C$3:$M$324,11,FALSE),3),0)+IFERROR(VLOOKUP($A118,S275_09,3,FALSE),0)</f>
        <v>0</v>
      </c>
      <c r="AF118" s="267">
        <f>IFERROR(VLOOKUP($A118,Supp_26,14,FALSE),0)+IFERROR(SUMPRODUCT(VLOOKUP($A118,S275_01,{8,9,10},FALSE)),0)+IFERROR(SUMPRODUCT(VLOOKUP($A118,S275_97,{8,9,10},FALSE)),0)+IFERROR(ROUND(VLOOKUP($A118,S275_21,8,FALSE)*VLOOKUP($A118,'3121% SY'!$C$3:$M$324,11,FALSE),3),0)+IFERROR(ROUND(VLOOKUP($A118,S275_21,9,FALSE)*VLOOKUP($A118,'3121% SY'!$C$3:$M$324,11,FALSE),3),0)+IFERROR(ROUND(VLOOKUP($A118,S275_21,10,FALSE)*VLOOKUP($A118,'3121% SY'!$C$3:$M$324,11,FALSE),3),0)+IFERROR(VLOOKUP($A118,S275_09,4,FALSE),0)</f>
        <v>0</v>
      </c>
      <c r="AG118" s="267">
        <f>IFERROR(VLOOKUP($A118,Supp_35,14,FALSE),0)+IFERROR(SUMPRODUCT(VLOOKUP($A118,S275_01,{11,12,13},FALSE)),0)+IFERROR(SUMPRODUCT(VLOOKUP($A118,S275_97,{11,12,13},FALSE)),0)+IFERROR(ROUND(VLOOKUP($A118,S275_21,11,FALSE)*VLOOKUP($A118,'3121% SY'!$C$3:$M$324,11,FALSE),3),0)+IFERROR(ROUND(VLOOKUP($A118,S275_21,12,FALSE)*VLOOKUP($A118,'3121% SY'!$C$3:$M$324,11,FALSE),3),0)+IFERROR(ROUND(VLOOKUP($A118,S275_21,13,FALSE)*VLOOKUP($A118,'3121% SY'!$C$3:$M$324,11,FALSE),3),0)+IFERROR(VLOOKUP($A118,S275_09,5,FALSE),0)</f>
        <v>0.34599999999999997</v>
      </c>
      <c r="AH118" s="165">
        <f t="shared" si="26"/>
        <v>0.34599999999999997</v>
      </c>
      <c r="AI118" s="161">
        <f>IFERROR(VLOOKUP(A118,'Supp Staff Data'!A:ER,148,FALSE),0)+AB118</f>
        <v>0</v>
      </c>
      <c r="AJ118" s="174">
        <v>1</v>
      </c>
      <c r="AK118" s="25">
        <f>VLOOKUP(A118,'Enroll Data as of January 2025'!$A$3:$T$323,20,FALSE)-F118</f>
        <v>0</v>
      </c>
    </row>
    <row r="119" spans="1:37" x14ac:dyDescent="0.25">
      <c r="A119" s="171" t="s">
        <v>139</v>
      </c>
      <c r="B119" t="s">
        <v>435</v>
      </c>
      <c r="C119" s="173" t="s">
        <v>1086</v>
      </c>
      <c r="D119" s="259">
        <f t="shared" si="19"/>
        <v>0.28700000000000003</v>
      </c>
      <c r="E119" s="259">
        <f t="shared" si="20"/>
        <v>0.70800000000000007</v>
      </c>
      <c r="F119" s="262">
        <f t="shared" si="29"/>
        <v>0.42099999999999999</v>
      </c>
      <c r="G119" s="161">
        <f>ROUND(IF(F119&lt;0,F119*'2024-25 PSES Compliance'!$G$13,0),3)</f>
        <v>0</v>
      </c>
      <c r="H119" s="161">
        <f>ROUND(IF(F119&lt;0,F119*'2024-25 PSES Compliance'!$G$14,0),3)</f>
        <v>0</v>
      </c>
      <c r="I119" s="174">
        <f t="shared" si="21"/>
        <v>0.18079096045197737</v>
      </c>
      <c r="J119" s="174">
        <f t="shared" si="22"/>
        <v>0</v>
      </c>
      <c r="K119" s="161">
        <f>VLOOKUP($A119,'Enroll Data as of January 2025'!$A$3:$M$322,6,FALSE)</f>
        <v>0.13200000000000001</v>
      </c>
      <c r="L119" s="161">
        <f>VLOOKUP($A119,'Enroll Data as of January 2025'!$A$3:$M$322,7,FALSE)</f>
        <v>4.1000000000000002E-2</v>
      </c>
      <c r="M119" s="161">
        <f>VLOOKUP($A119,'Enroll Data as of January 2025'!$A$3:$M$322,8,FALSE)</f>
        <v>1.4E-2</v>
      </c>
      <c r="N119" s="161">
        <f>VLOOKUP($A119,'Enroll Data as of January 2025'!$A$3:$M$322,9,FALSE)</f>
        <v>7.8E-2</v>
      </c>
      <c r="O119" s="165">
        <f t="shared" si="23"/>
        <v>0.26500000000000001</v>
      </c>
      <c r="P119" s="161">
        <f>VLOOKUP($A119,'Enroll Data as of January 2025'!$A$3:$M$322,11,FALSE)</f>
        <v>1.0999999999999999E-2</v>
      </c>
      <c r="Q119" s="161">
        <f>VLOOKUP($A119,'Enroll Data as of January 2025'!$A$3:$M$322,12,FALSE)</f>
        <v>1.0999999999999999E-2</v>
      </c>
      <c r="R119" s="165">
        <f t="shared" si="24"/>
        <v>2.1999999999999999E-2</v>
      </c>
      <c r="S119" s="267">
        <f>IFERROR(VLOOKUP($A119,Supp_39,14,FALSE),0)+IFERROR(SUMPRODUCT(VLOOKUP($A119,S275_01,{14,15,16},FALSE)),0)+IFERROR(SUMPRODUCT(VLOOKUP($A119,S275_97,{14,15,16},FALSE)),0)+IFERROR(ROUND(VLOOKUP($A119,S275_21,14,FALSE)*VLOOKUP($A119,'3121% SY'!$C$3:$M$324,11,FALSE),3),0)+IFERROR(ROUND(VLOOKUP($A119,S275_21,15,FALSE)*VLOOKUP($A119,'3121% SY'!$C$3:$M$324,11,FALSE),3),0)+IFERROR(ROUND(VLOOKUP($A119,S275_21,16,FALSE)*VLOOKUP($A119,'3121% SY'!$C$3:$M$324,11,FALSE),3),0)+IFERROR(VLOOKUP($A119,S275_09,6,FALSE),0)</f>
        <v>0.128</v>
      </c>
      <c r="T119" s="267">
        <f>IFERROR(VLOOKUP($A119,Supp_42,14,FALSE),0)+IFERROR(SUMPRODUCT(VLOOKUP($A119,S275_01,{17,18,19},FALSE)),0)+IFERROR(SUMPRODUCT(VLOOKUP($A119,S275_97,{17,18,19},FALSE)),0)+IFERROR(ROUND(VLOOKUP($A119,S275_21,17,FALSE)*VLOOKUP($A119,'3121% SY'!$C$3:$M$324,11,FALSE),3),0)+IFERROR(ROUND(VLOOKUP($A119,S275_21,18,FALSE)*VLOOKUP($A119,'3121% SY'!$C$3:$M$324,11,FALSE),3),0)+IFERROR(ROUND(VLOOKUP($A119,S275_21,19,FALSE)*VLOOKUP($A119,'3121% SY'!$C$3:$M$324,11,FALSE),3),0)+IFERROR(VLOOKUP($A119,S275_09,7,FALSE),0)</f>
        <v>0</v>
      </c>
      <c r="U119" s="267">
        <f>IFERROR(VLOOKUP($A119,Supp_43,14,FALSE),0)+IFERROR(SUMPRODUCT(VLOOKUP($A119,S275_01,{20,21,22},FALSE)),0)+IFERROR(SUMPRODUCT(VLOOKUP($A119,S275_97,{20,21,22},FALSE)),0)+IFERROR(ROUND(VLOOKUP($A119,S275_21,20,FALSE)*VLOOKUP($A119,'3121% SY'!$C$3:$M$324,11,FALSE),3),0)+IFERROR(ROUND(VLOOKUP($A119,S275_21,21,FALSE)*VLOOKUP($A119,'3121% SY'!$C$3:$M$324,11,FALSE),3),0)+IFERROR(ROUND(VLOOKUP($A119,S275_21,22,FALSE)*VLOOKUP($A119,'3121% SY'!$C$3:$M$324,11,FALSE),3),0)+IFERROR(VLOOKUP($A119,S275_09,8,FALSE),0)</f>
        <v>0</v>
      </c>
      <c r="V119" s="267">
        <f>IFERROR(VLOOKUP($A119,Supp_44,14,FALSE),0)+IFERROR(SUMPRODUCT(VLOOKUP($A119,S275_01,{23,24,25},FALSE)),0)+IFERROR(SUMPRODUCT(VLOOKUP($A119,S275_97,{23,24,25},FALSE)),0)+IFERROR(ROUND(VLOOKUP($A119,S275_21,23,FALSE)*VLOOKUP($A119,'3121% SY'!$C$3:$M$324,11,FALSE),3),0)+IFERROR(ROUND(VLOOKUP($A119,S275_21,24,FALSE)*VLOOKUP($A119,'3121% SY'!$C$3:$M$324,11,FALSE),3),0)+IFERROR(ROUND(VLOOKUP($A119,S275_21,25,FALSE)*VLOOKUP($A119,'3121% SY'!$C$3:$M$324,11,FALSE),3),0)+IFERROR(VLOOKUP($A119,S275_09,9,FALSE),0)</f>
        <v>0</v>
      </c>
      <c r="W119" s="267">
        <f>IFERROR(VLOOKUP($A119,Supp_45,14,FALSE),0)+IFERROR(SUMPRODUCT(VLOOKUP($A119,S275_01,{26,27,28},FALSE)),0)+IFERROR(SUMPRODUCT(VLOOKUP($A119,S275_97,{26,27,28},FALSE)),0)+IFERROR(ROUND(VLOOKUP($A119,S275_21,26,FALSE)*VLOOKUP($A119,'3121% SY'!$C$3:$M$324,11,FALSE),3),0)+IFERROR(ROUND(VLOOKUP($A119,S275_21,27,FALSE)*VLOOKUP($A119,'3121% SY'!$C$3:$M$324,11,FALSE),3),0)+IFERROR(ROUND(VLOOKUP($A119,S275_21,28,FALSE)*VLOOKUP($A119,'3121% SY'!$C$3:$M$324,11,FALSE),3),0)+IFERROR(VLOOKUP($A119,S275_09,10,FALSE),0)</f>
        <v>0</v>
      </c>
      <c r="X119" s="267">
        <f>IFERROR(VLOOKUP($A119,Supp_46,14,FALSE),0)+IFERROR(SUMPRODUCT(VLOOKUP($A119,S275_01,{29,30,31},FALSE)),0)+IFERROR(SUMPRODUCT(VLOOKUP($A119,S275_97,{29,30,31},FALSE)),0)+IFERROR(ROUND(VLOOKUP($A119,S275_21,29,FALSE)*VLOOKUP($A119,'3121% SY'!$C$3:$M$324,11,FALSE),3),0)+IFERROR(ROUND(VLOOKUP($A119,S275_21,30,FALSE)*VLOOKUP($A119,'3121% SY'!$C$3:$M$324,11,FALSE),3),0)+IFERROR(ROUND(VLOOKUP($A119,S275_21,31,FALSE)*VLOOKUP($A119,'3121% SY'!$C$3:$M$324,11,FALSE),3),0)+IFERROR(VLOOKUP($A119,S275_09,11,FALSE),0)</f>
        <v>0</v>
      </c>
      <c r="Y119" s="267">
        <f>IFERROR(VLOOKUP($A119,Supp_47,14,FALSE),0)+IFERROR(SUMPRODUCT(VLOOKUP($A119,S275_01,{32,33,34},FALSE)),0)+IFERROR(SUMPRODUCT(VLOOKUP($A119,S275_97,{32,33,34},FALSE)),0)+IFERROR(ROUND(VLOOKUP($A119,S275_21,32,FALSE)*VLOOKUP($A119,'3121% SY'!$C$3:$M$324,11,FALSE),3),0)+IFERROR(ROUND(VLOOKUP($A119,S275_21,33,FALSE)*VLOOKUP($A119,'3121% SY'!$C$3:$M$324,11,FALSE),3),0)+IFERROR(ROUND(VLOOKUP($A119,S275_21,34,FALSE)*VLOOKUP($A119,'3121% SY'!$C$3:$M$324,11,FALSE),3),0)+IFERROR(VLOOKUP($A119,S275_09,12,FALSE),0)</f>
        <v>0</v>
      </c>
      <c r="Z119" s="267">
        <f>IFERROR(VLOOKUP($A119,Supp_48,14,FALSE),0)+IFERROR(SUMPRODUCT(VLOOKUP($A119,S275_01,{35,36,37},FALSE)),0)+IFERROR(SUMPRODUCT(VLOOKUP($A119,S275_97,{35,36,37},FALSE)),0)+IFERROR(ROUND(VLOOKUP($A119,S275_21,35,FALSE)*VLOOKUP($A119,'3121% SY'!$C$3:$M$324,11,FALSE),3),0)+IFERROR(ROUND(VLOOKUP($A119,S275_21,36,FALSE)*VLOOKUP($A119,'3121% SY'!$C$3:$M$324,11,FALSE),3),0)+IFERROR(ROUND(VLOOKUP($A119,S275_21,37,FALSE)*VLOOKUP($A119,'3121% SY'!$C$3:$M$324,11,FALSE),3),0)+IFERROR(VLOOKUP($A119,S275_09,13,FALSE),0)</f>
        <v>0</v>
      </c>
      <c r="AA119" s="267">
        <f>IFERROR(VLOOKUP($A119,Supp_49,14,FALSE),0)+IFERROR(SUMPRODUCT(VLOOKUP($A119,S275_01,{38,39,40},FALSE)),0)+IFERROR(SUMPRODUCT(VLOOKUP($A119,S275_97,{38,39,40},FALSE)),0)+IFERROR(ROUND(VLOOKUP($A119,S275_21,38,FALSE)*VLOOKUP($A119,'3121% SY'!$C$3:$M$324,11,FALSE),3),0)+IFERROR(ROUND(VLOOKUP($A119,S275_21,39,FALSE)*VLOOKUP($A119,'3121% SY'!$C$3:$M$324,11,FALSE),3),0)+IFERROR(ROUND(VLOOKUP($A119,S275_21,40,FALSE)*VLOOKUP($A119,'3121% SY'!$C$3:$M$324,11,FALSE),3),0)+IFERROR(VLOOKUP($A119,S275_09,14,FALSE),0)</f>
        <v>0</v>
      </c>
      <c r="AB119" s="267">
        <f>IFERROR(VLOOKUP($A119,Supp_64,14,FALSE),0)+IFERROR(SUMPRODUCT(VLOOKUP($A119,S275_01,{41,42,43},FALSE)),0)+IFERROR(SUMPRODUCT(VLOOKUP($A119,S275_97,{41,42,43},FALSE)),0)+IFERROR(ROUND(VLOOKUP($A119,S275_21,41,FALSE)*VLOOKUP($A119,'3121% SY'!$C$3:$M$324,11,FALSE),3),0)+IFERROR(ROUND(VLOOKUP($A119,S275_21,42,FALSE)*VLOOKUP($A119,'3121% SY'!$C$3:$M$324,11,FALSE),3),0)+IFERROR(ROUND(VLOOKUP($A119,S275_21,43,FALSE)*VLOOKUP($A119,'3121% SY'!$C$3:$M$324,11,FALSE),3),0)+IFERROR(VLOOKUP($A119,S275_09,15,FALSE),0)</f>
        <v>0</v>
      </c>
      <c r="AC119" s="268">
        <f t="shared" si="25"/>
        <v>0.128</v>
      </c>
      <c r="AD119" s="267">
        <f>IFERROR(VLOOKUP($A119,Supp_24,14,FALSE),0)+IFERROR(SUMPRODUCT(VLOOKUP($A119,S275_01,{2,3,4},FALSE)),0)+IFERROR(SUMPRODUCT(VLOOKUP($A119,S275_97,{2,3,4},FALSE)),0)+IFERROR(ROUND(VLOOKUP($A119,S275_21,2,FALSE)*VLOOKUP($A119,'3121% SY'!$C$3:$M$324,11,FALSE),3),0)+IFERROR(ROUND(VLOOKUP($A119,S275_21,3,FALSE)*VLOOKUP($A119,'3121% SY'!$C$3:$M$324,11,FALSE),3),0)+IFERROR(ROUND(VLOOKUP($A119,S275_21,4,FALSE)*VLOOKUP($A119,'3121% SY'!$C$3:$M$324,11,FALSE),3),0)+IFERROR(VLOOKUP($A119,S275_09,2,FALSE),0)</f>
        <v>3.4000000000000002E-2</v>
      </c>
      <c r="AE119" s="267">
        <f>IFERROR(VLOOKUP($A119,Supp_25,14,FALSE),0)+IFERROR(SUMPRODUCT(VLOOKUP($A119,S275_01,{5,6,7},FALSE)),0)+IFERROR(SUMPRODUCT(VLOOKUP($A119,S275_97,{5,6,7},FALSE)),0)+IFERROR(ROUND(VLOOKUP($A119,S275_21,5,FALSE)*VLOOKUP($A119,'3121% SY'!$C$3:$M$324,11,FALSE),3),0)+IFERROR(ROUND(VLOOKUP($A119,S275_21,6,FALSE)*VLOOKUP($A119,'3121% SY'!$C$3:$M$324,11,FALSE),3),0)+IFERROR(ROUND(VLOOKUP($A119,S275_21,7,FALSE)*VLOOKUP($A119,'3121% SY'!$C$3:$M$324,11,FALSE),3),0)+IFERROR(VLOOKUP($A119,S275_09,3,FALSE),0)</f>
        <v>0.54600000000000004</v>
      </c>
      <c r="AF119" s="267">
        <f>IFERROR(VLOOKUP($A119,Supp_26,14,FALSE),0)+IFERROR(SUMPRODUCT(VLOOKUP($A119,S275_01,{8,9,10},FALSE)),0)+IFERROR(SUMPRODUCT(VLOOKUP($A119,S275_97,{8,9,10},FALSE)),0)+IFERROR(ROUND(VLOOKUP($A119,S275_21,8,FALSE)*VLOOKUP($A119,'3121% SY'!$C$3:$M$324,11,FALSE),3),0)+IFERROR(ROUND(VLOOKUP($A119,S275_21,9,FALSE)*VLOOKUP($A119,'3121% SY'!$C$3:$M$324,11,FALSE),3),0)+IFERROR(ROUND(VLOOKUP($A119,S275_21,10,FALSE)*VLOOKUP($A119,'3121% SY'!$C$3:$M$324,11,FALSE),3),0)+IFERROR(VLOOKUP($A119,S275_09,4,FALSE),0)</f>
        <v>0</v>
      </c>
      <c r="AG119" s="267">
        <f>IFERROR(VLOOKUP($A119,Supp_35,14,FALSE),0)+IFERROR(SUMPRODUCT(VLOOKUP($A119,S275_01,{11,12,13},FALSE)),0)+IFERROR(SUMPRODUCT(VLOOKUP($A119,S275_97,{11,12,13},FALSE)),0)+IFERROR(ROUND(VLOOKUP($A119,S275_21,11,FALSE)*VLOOKUP($A119,'3121% SY'!$C$3:$M$324,11,FALSE),3),0)+IFERROR(ROUND(VLOOKUP($A119,S275_21,12,FALSE)*VLOOKUP($A119,'3121% SY'!$C$3:$M$324,11,FALSE),3),0)+IFERROR(ROUND(VLOOKUP($A119,S275_21,13,FALSE)*VLOOKUP($A119,'3121% SY'!$C$3:$M$324,11,FALSE),3),0)+IFERROR(VLOOKUP($A119,S275_09,5,FALSE),0)</f>
        <v>0</v>
      </c>
      <c r="AH119" s="165">
        <f t="shared" si="26"/>
        <v>0.58000000000000007</v>
      </c>
      <c r="AI119" s="161">
        <f>IFERROR(VLOOKUP(A119,'Supp Staff Data'!A:ER,148,FALSE),0)+AB119</f>
        <v>0</v>
      </c>
      <c r="AJ119" s="174">
        <v>1</v>
      </c>
      <c r="AK119" s="25">
        <f>VLOOKUP(A119,'Enroll Data as of January 2025'!$A$3:$T$323,20,FALSE)-F119</f>
        <v>0</v>
      </c>
    </row>
    <row r="120" spans="1:37" x14ac:dyDescent="0.25">
      <c r="A120" s="171" t="s">
        <v>131</v>
      </c>
      <c r="B120" t="s">
        <v>427</v>
      </c>
      <c r="C120" s="173" t="s">
        <v>1077</v>
      </c>
      <c r="D120" s="259">
        <f t="shared" si="19"/>
        <v>1.2369999999999999</v>
      </c>
      <c r="E120" s="259">
        <f t="shared" si="20"/>
        <v>0.76500000000000001</v>
      </c>
      <c r="F120" s="262">
        <f t="shared" si="29"/>
        <v>-0.47199999999999998</v>
      </c>
      <c r="G120" s="161">
        <f>ROUND(IF(F120&lt;0,F120*'2024-25 PSES Compliance'!$G$13,0),3)</f>
        <v>-0.45300000000000001</v>
      </c>
      <c r="H120" s="161">
        <f>ROUND(IF(F120&lt;0,F120*'2024-25 PSES Compliance'!$G$14,0),3)</f>
        <v>-1.9E-2</v>
      </c>
      <c r="I120" s="174">
        <f t="shared" si="21"/>
        <v>0.65359477124183007</v>
      </c>
      <c r="J120" s="174">
        <f t="shared" si="22"/>
        <v>0</v>
      </c>
      <c r="K120" s="161">
        <f>VLOOKUP($A120,'Enroll Data as of January 2025'!$A$3:$M$322,6,FALSE)</f>
        <v>0.72299999999999998</v>
      </c>
      <c r="L120" s="161">
        <f>VLOOKUP($A120,'Enroll Data as of January 2025'!$A$3:$M$322,7,FALSE)</f>
        <v>0.10400000000000001</v>
      </c>
      <c r="M120" s="161">
        <f>VLOOKUP($A120,'Enroll Data as of January 2025'!$A$3:$M$322,8,FALSE)</f>
        <v>3.5999999999999997E-2</v>
      </c>
      <c r="N120" s="161">
        <f>VLOOKUP($A120,'Enroll Data as of January 2025'!$A$3:$M$322,9,FALSE)</f>
        <v>0.309</v>
      </c>
      <c r="O120" s="165">
        <f t="shared" si="23"/>
        <v>1.1719999999999999</v>
      </c>
      <c r="P120" s="161">
        <f>VLOOKUP($A120,'Enroll Data as of January 2025'!$A$3:$M$322,11,FALSE)</f>
        <v>4.3000000000000003E-2</v>
      </c>
      <c r="Q120" s="161">
        <f>VLOOKUP($A120,'Enroll Data as of January 2025'!$A$3:$M$322,12,FALSE)</f>
        <v>2.1999999999999999E-2</v>
      </c>
      <c r="R120" s="165">
        <f t="shared" si="24"/>
        <v>6.5000000000000002E-2</v>
      </c>
      <c r="S120" s="267">
        <f>IFERROR(VLOOKUP($A120,Supp_39,14,FALSE),0)+IFERROR(SUMPRODUCT(VLOOKUP($A120,S275_01,{14,15,16},FALSE)),0)+IFERROR(SUMPRODUCT(VLOOKUP($A120,S275_97,{14,15,16},FALSE)),0)+IFERROR(ROUND(VLOOKUP($A120,S275_21,14,FALSE)*VLOOKUP($A120,'3121% SY'!$C$3:$M$324,11,FALSE),3),0)+IFERROR(ROUND(VLOOKUP($A120,S275_21,15,FALSE)*VLOOKUP($A120,'3121% SY'!$C$3:$M$324,11,FALSE),3),0)+IFERROR(ROUND(VLOOKUP($A120,S275_21,16,FALSE)*VLOOKUP($A120,'3121% SY'!$C$3:$M$324,11,FALSE),3),0)+IFERROR(VLOOKUP($A120,S275_09,6,FALSE),0)</f>
        <v>0.5</v>
      </c>
      <c r="T120" s="267">
        <f>IFERROR(VLOOKUP($A120,Supp_42,14,FALSE),0)+IFERROR(SUMPRODUCT(VLOOKUP($A120,S275_01,{17,18,19},FALSE)),0)+IFERROR(SUMPRODUCT(VLOOKUP($A120,S275_97,{17,18,19},FALSE)),0)+IFERROR(ROUND(VLOOKUP($A120,S275_21,17,FALSE)*VLOOKUP($A120,'3121% SY'!$C$3:$M$324,11,FALSE),3),0)+IFERROR(ROUND(VLOOKUP($A120,S275_21,18,FALSE)*VLOOKUP($A120,'3121% SY'!$C$3:$M$324,11,FALSE),3),0)+IFERROR(ROUND(VLOOKUP($A120,S275_21,19,FALSE)*VLOOKUP($A120,'3121% SY'!$C$3:$M$324,11,FALSE),3),0)+IFERROR(VLOOKUP($A120,S275_09,7,FALSE),0)</f>
        <v>0</v>
      </c>
      <c r="U120" s="267">
        <f>IFERROR(VLOOKUP($A120,Supp_43,14,FALSE),0)+IFERROR(SUMPRODUCT(VLOOKUP($A120,S275_01,{20,21,22},FALSE)),0)+IFERROR(SUMPRODUCT(VLOOKUP($A120,S275_97,{20,21,22},FALSE)),0)+IFERROR(ROUND(VLOOKUP($A120,S275_21,20,FALSE)*VLOOKUP($A120,'3121% SY'!$C$3:$M$324,11,FALSE),3),0)+IFERROR(ROUND(VLOOKUP($A120,S275_21,21,FALSE)*VLOOKUP($A120,'3121% SY'!$C$3:$M$324,11,FALSE),3),0)+IFERROR(ROUND(VLOOKUP($A120,S275_21,22,FALSE)*VLOOKUP($A120,'3121% SY'!$C$3:$M$324,11,FALSE),3),0)+IFERROR(VLOOKUP($A120,S275_09,8,FALSE),0)</f>
        <v>0</v>
      </c>
      <c r="V120" s="267">
        <f>IFERROR(VLOOKUP($A120,Supp_44,14,FALSE),0)+IFERROR(SUMPRODUCT(VLOOKUP($A120,S275_01,{23,24,25},FALSE)),0)+IFERROR(SUMPRODUCT(VLOOKUP($A120,S275_97,{23,24,25},FALSE)),0)+IFERROR(ROUND(VLOOKUP($A120,S275_21,23,FALSE)*VLOOKUP($A120,'3121% SY'!$C$3:$M$324,11,FALSE),3),0)+IFERROR(ROUND(VLOOKUP($A120,S275_21,24,FALSE)*VLOOKUP($A120,'3121% SY'!$C$3:$M$324,11,FALSE),3),0)+IFERROR(ROUND(VLOOKUP($A120,S275_21,25,FALSE)*VLOOKUP($A120,'3121% SY'!$C$3:$M$324,11,FALSE),3),0)+IFERROR(VLOOKUP($A120,S275_09,9,FALSE),0)</f>
        <v>0</v>
      </c>
      <c r="W120" s="267">
        <f>IFERROR(VLOOKUP($A120,Supp_45,14,FALSE),0)+IFERROR(SUMPRODUCT(VLOOKUP($A120,S275_01,{26,27,28},FALSE)),0)+IFERROR(SUMPRODUCT(VLOOKUP($A120,S275_97,{26,27,28},FALSE)),0)+IFERROR(ROUND(VLOOKUP($A120,S275_21,26,FALSE)*VLOOKUP($A120,'3121% SY'!$C$3:$M$324,11,FALSE),3),0)+IFERROR(ROUND(VLOOKUP($A120,S275_21,27,FALSE)*VLOOKUP($A120,'3121% SY'!$C$3:$M$324,11,FALSE),3),0)+IFERROR(ROUND(VLOOKUP($A120,S275_21,28,FALSE)*VLOOKUP($A120,'3121% SY'!$C$3:$M$324,11,FALSE),3),0)+IFERROR(VLOOKUP($A120,S275_09,10,FALSE),0)</f>
        <v>0</v>
      </c>
      <c r="X120" s="267">
        <f>IFERROR(VLOOKUP($A120,Supp_46,14,FALSE),0)+IFERROR(SUMPRODUCT(VLOOKUP($A120,S275_01,{29,30,31},FALSE)),0)+IFERROR(SUMPRODUCT(VLOOKUP($A120,S275_97,{29,30,31},FALSE)),0)+IFERROR(ROUND(VLOOKUP($A120,S275_21,29,FALSE)*VLOOKUP($A120,'3121% SY'!$C$3:$M$324,11,FALSE),3),0)+IFERROR(ROUND(VLOOKUP($A120,S275_21,30,FALSE)*VLOOKUP($A120,'3121% SY'!$C$3:$M$324,11,FALSE),3),0)+IFERROR(ROUND(VLOOKUP($A120,S275_21,31,FALSE)*VLOOKUP($A120,'3121% SY'!$C$3:$M$324,11,FALSE),3),0)+IFERROR(VLOOKUP($A120,S275_09,11,FALSE),0)</f>
        <v>0</v>
      </c>
      <c r="Y120" s="267">
        <f>IFERROR(VLOOKUP($A120,Supp_47,14,FALSE),0)+IFERROR(SUMPRODUCT(VLOOKUP($A120,S275_01,{32,33,34},FALSE)),0)+IFERROR(SUMPRODUCT(VLOOKUP($A120,S275_97,{32,33,34},FALSE)),0)+IFERROR(ROUND(VLOOKUP($A120,S275_21,32,FALSE)*VLOOKUP($A120,'3121% SY'!$C$3:$M$324,11,FALSE),3),0)+IFERROR(ROUND(VLOOKUP($A120,S275_21,33,FALSE)*VLOOKUP($A120,'3121% SY'!$C$3:$M$324,11,FALSE),3),0)+IFERROR(ROUND(VLOOKUP($A120,S275_21,34,FALSE)*VLOOKUP($A120,'3121% SY'!$C$3:$M$324,11,FALSE),3),0)+IFERROR(VLOOKUP($A120,S275_09,12,FALSE),0)</f>
        <v>0</v>
      </c>
      <c r="Z120" s="267">
        <f>IFERROR(VLOOKUP($A120,Supp_48,14,FALSE),0)+IFERROR(SUMPRODUCT(VLOOKUP($A120,S275_01,{35,36,37},FALSE)),0)+IFERROR(SUMPRODUCT(VLOOKUP($A120,S275_97,{35,36,37},FALSE)),0)+IFERROR(ROUND(VLOOKUP($A120,S275_21,35,FALSE)*VLOOKUP($A120,'3121% SY'!$C$3:$M$324,11,FALSE),3),0)+IFERROR(ROUND(VLOOKUP($A120,S275_21,36,FALSE)*VLOOKUP($A120,'3121% SY'!$C$3:$M$324,11,FALSE),3),0)+IFERROR(ROUND(VLOOKUP($A120,S275_21,37,FALSE)*VLOOKUP($A120,'3121% SY'!$C$3:$M$324,11,FALSE),3),0)+IFERROR(VLOOKUP($A120,S275_09,13,FALSE),0)</f>
        <v>0</v>
      </c>
      <c r="AA120" s="267">
        <f>IFERROR(VLOOKUP($A120,Supp_49,14,FALSE),0)+IFERROR(SUMPRODUCT(VLOOKUP($A120,S275_01,{38,39,40},FALSE)),0)+IFERROR(SUMPRODUCT(VLOOKUP($A120,S275_97,{38,39,40},FALSE)),0)+IFERROR(ROUND(VLOOKUP($A120,S275_21,38,FALSE)*VLOOKUP($A120,'3121% SY'!$C$3:$M$324,11,FALSE),3),0)+IFERROR(ROUND(VLOOKUP($A120,S275_21,39,FALSE)*VLOOKUP($A120,'3121% SY'!$C$3:$M$324,11,FALSE),3),0)+IFERROR(ROUND(VLOOKUP($A120,S275_21,40,FALSE)*VLOOKUP($A120,'3121% SY'!$C$3:$M$324,11,FALSE),3),0)+IFERROR(VLOOKUP($A120,S275_09,14,FALSE),0)</f>
        <v>0</v>
      </c>
      <c r="AB120" s="267">
        <f>IFERROR(VLOOKUP($A120,Supp_64,14,FALSE),0)+IFERROR(SUMPRODUCT(VLOOKUP($A120,S275_01,{41,42,43},FALSE)),0)+IFERROR(SUMPRODUCT(VLOOKUP($A120,S275_97,{41,42,43},FALSE)),0)+IFERROR(ROUND(VLOOKUP($A120,S275_21,41,FALSE)*VLOOKUP($A120,'3121% SY'!$C$3:$M$324,11,FALSE),3),0)+IFERROR(ROUND(VLOOKUP($A120,S275_21,42,FALSE)*VLOOKUP($A120,'3121% SY'!$C$3:$M$324,11,FALSE),3),0)+IFERROR(ROUND(VLOOKUP($A120,S275_21,43,FALSE)*VLOOKUP($A120,'3121% SY'!$C$3:$M$324,11,FALSE),3),0)+IFERROR(VLOOKUP($A120,S275_09,15,FALSE),0)</f>
        <v>0</v>
      </c>
      <c r="AC120" s="268">
        <f t="shared" si="25"/>
        <v>0.5</v>
      </c>
      <c r="AD120" s="267">
        <f>IFERROR(VLOOKUP($A120,Supp_24,14,FALSE),0)+IFERROR(SUMPRODUCT(VLOOKUP($A120,S275_01,{2,3,4},FALSE)),0)+IFERROR(SUMPRODUCT(VLOOKUP($A120,S275_97,{2,3,4},FALSE)),0)+IFERROR(ROUND(VLOOKUP($A120,S275_21,2,FALSE)*VLOOKUP($A120,'3121% SY'!$C$3:$M$324,11,FALSE),3),0)+IFERROR(ROUND(VLOOKUP($A120,S275_21,3,FALSE)*VLOOKUP($A120,'3121% SY'!$C$3:$M$324,11,FALSE),3),0)+IFERROR(ROUND(VLOOKUP($A120,S275_21,4,FALSE)*VLOOKUP($A120,'3121% SY'!$C$3:$M$324,11,FALSE),3),0)+IFERROR(VLOOKUP($A120,S275_09,2,FALSE),0)</f>
        <v>0</v>
      </c>
      <c r="AE120" s="267">
        <f>IFERROR(VLOOKUP($A120,Supp_25,14,FALSE),0)+IFERROR(SUMPRODUCT(VLOOKUP($A120,S275_01,{5,6,7},FALSE)),0)+IFERROR(SUMPRODUCT(VLOOKUP($A120,S275_97,{5,6,7},FALSE)),0)+IFERROR(ROUND(VLOOKUP($A120,S275_21,5,FALSE)*VLOOKUP($A120,'3121% SY'!$C$3:$M$324,11,FALSE),3),0)+IFERROR(ROUND(VLOOKUP($A120,S275_21,6,FALSE)*VLOOKUP($A120,'3121% SY'!$C$3:$M$324,11,FALSE),3),0)+IFERROR(ROUND(VLOOKUP($A120,S275_21,7,FALSE)*VLOOKUP($A120,'3121% SY'!$C$3:$M$324,11,FALSE),3),0)+IFERROR(VLOOKUP($A120,S275_09,3,FALSE),0)</f>
        <v>0.26500000000000001</v>
      </c>
      <c r="AF120" s="267">
        <f>IFERROR(VLOOKUP($A120,Supp_26,14,FALSE),0)+IFERROR(SUMPRODUCT(VLOOKUP($A120,S275_01,{8,9,10},FALSE)),0)+IFERROR(SUMPRODUCT(VLOOKUP($A120,S275_97,{8,9,10},FALSE)),0)+IFERROR(ROUND(VLOOKUP($A120,S275_21,8,FALSE)*VLOOKUP($A120,'3121% SY'!$C$3:$M$324,11,FALSE),3),0)+IFERROR(ROUND(VLOOKUP($A120,S275_21,9,FALSE)*VLOOKUP($A120,'3121% SY'!$C$3:$M$324,11,FALSE),3),0)+IFERROR(ROUND(VLOOKUP($A120,S275_21,10,FALSE)*VLOOKUP($A120,'3121% SY'!$C$3:$M$324,11,FALSE),3),0)+IFERROR(VLOOKUP($A120,S275_09,4,FALSE),0)</f>
        <v>0</v>
      </c>
      <c r="AG120" s="267">
        <f>IFERROR(VLOOKUP($A120,Supp_35,14,FALSE),0)+IFERROR(SUMPRODUCT(VLOOKUP($A120,S275_01,{11,12,13},FALSE)),0)+IFERROR(SUMPRODUCT(VLOOKUP($A120,S275_97,{11,12,13},FALSE)),0)+IFERROR(ROUND(VLOOKUP($A120,S275_21,11,FALSE)*VLOOKUP($A120,'3121% SY'!$C$3:$M$324,11,FALSE),3),0)+IFERROR(ROUND(VLOOKUP($A120,S275_21,12,FALSE)*VLOOKUP($A120,'3121% SY'!$C$3:$M$324,11,FALSE),3),0)+IFERROR(ROUND(VLOOKUP($A120,S275_21,13,FALSE)*VLOOKUP($A120,'3121% SY'!$C$3:$M$324,11,FALSE),3),0)+IFERROR(VLOOKUP($A120,S275_09,5,FALSE),0)</f>
        <v>0</v>
      </c>
      <c r="AH120" s="165">
        <f t="shared" si="26"/>
        <v>0.26500000000000001</v>
      </c>
      <c r="AI120" s="161">
        <f>IFERROR(VLOOKUP(A120,'Supp Staff Data'!A:ER,148,FALSE),0)+AB120</f>
        <v>0</v>
      </c>
      <c r="AJ120" s="174">
        <v>1</v>
      </c>
      <c r="AK120" s="25">
        <f>VLOOKUP(A120,'Enroll Data as of January 2025'!$A$3:$T$323,20,FALSE)-F120</f>
        <v>0</v>
      </c>
    </row>
    <row r="121" spans="1:37" x14ac:dyDescent="0.25">
      <c r="A121" s="171" t="s">
        <v>249</v>
      </c>
      <c r="B121" t="s">
        <v>545</v>
      </c>
      <c r="C121" s="173" t="s">
        <v>1077</v>
      </c>
      <c r="D121" s="259">
        <f t="shared" si="19"/>
        <v>2.5830000000000002</v>
      </c>
      <c r="E121" s="259">
        <f t="shared" si="20"/>
        <v>0.81</v>
      </c>
      <c r="F121" s="262">
        <f t="shared" si="29"/>
        <v>-1.7729999999999999</v>
      </c>
      <c r="G121" s="161">
        <f>ROUND(IF(F121&lt;0,F121*'2024-25 PSES Compliance'!$G$13,0),3)</f>
        <v>-1.702</v>
      </c>
      <c r="H121" s="161">
        <f>ROUND(IF(F121&lt;0,F121*'2024-25 PSES Compliance'!$G$14,0),3)</f>
        <v>-7.0999999999999994E-2</v>
      </c>
      <c r="I121" s="174">
        <f t="shared" si="21"/>
        <v>0</v>
      </c>
      <c r="J121" s="174">
        <f t="shared" si="22"/>
        <v>0</v>
      </c>
      <c r="K121" s="161">
        <f>VLOOKUP($A121,'Enroll Data as of January 2025'!$A$3:$M$322,6,FALSE)</f>
        <v>1.478</v>
      </c>
      <c r="L121" s="161">
        <f>VLOOKUP($A121,'Enroll Data as of January 2025'!$A$3:$M$322,7,FALSE)</f>
        <v>0.22700000000000001</v>
      </c>
      <c r="M121" s="161">
        <f>VLOOKUP($A121,'Enroll Data as of January 2025'!$A$3:$M$322,8,FALSE)</f>
        <v>7.6999999999999999E-2</v>
      </c>
      <c r="N121" s="161">
        <f>VLOOKUP($A121,'Enroll Data as of January 2025'!$A$3:$M$322,9,FALSE)</f>
        <v>0.66</v>
      </c>
      <c r="O121" s="165">
        <f t="shared" si="23"/>
        <v>2.4420000000000002</v>
      </c>
      <c r="P121" s="161">
        <f>VLOOKUP($A121,'Enroll Data as of January 2025'!$A$3:$M$322,11,FALSE)</f>
        <v>9.0999999999999998E-2</v>
      </c>
      <c r="Q121" s="161">
        <f>VLOOKUP($A121,'Enroll Data as of January 2025'!$A$3:$M$322,12,FALSE)</f>
        <v>0.05</v>
      </c>
      <c r="R121" s="165">
        <f t="shared" si="24"/>
        <v>0.14100000000000001</v>
      </c>
      <c r="S121" s="267">
        <f>IFERROR(VLOOKUP($A121,Supp_39,14,FALSE),0)+IFERROR(SUMPRODUCT(VLOOKUP($A121,S275_01,{14,15,16},FALSE)),0)+IFERROR(SUMPRODUCT(VLOOKUP($A121,S275_97,{14,15,16},FALSE)),0)+IFERROR(ROUND(VLOOKUP($A121,S275_21,14,FALSE)*VLOOKUP($A121,'3121% SY'!$C$3:$M$324,11,FALSE),3),0)+IFERROR(ROUND(VLOOKUP($A121,S275_21,15,FALSE)*VLOOKUP($A121,'3121% SY'!$C$3:$M$324,11,FALSE),3),0)+IFERROR(ROUND(VLOOKUP($A121,S275_21,16,FALSE)*VLOOKUP($A121,'3121% SY'!$C$3:$M$324,11,FALSE),3),0)+IFERROR(VLOOKUP($A121,S275_09,6,FALSE),0)</f>
        <v>0.42299999999999999</v>
      </c>
      <c r="T121" s="267">
        <f>IFERROR(VLOOKUP($A121,Supp_42,14,FALSE),0)+IFERROR(SUMPRODUCT(VLOOKUP($A121,S275_01,{17,18,19},FALSE)),0)+IFERROR(SUMPRODUCT(VLOOKUP($A121,S275_97,{17,18,19},FALSE)),0)+IFERROR(ROUND(VLOOKUP($A121,S275_21,17,FALSE)*VLOOKUP($A121,'3121% SY'!$C$3:$M$324,11,FALSE),3),0)+IFERROR(ROUND(VLOOKUP($A121,S275_21,18,FALSE)*VLOOKUP($A121,'3121% SY'!$C$3:$M$324,11,FALSE),3),0)+IFERROR(ROUND(VLOOKUP($A121,S275_21,19,FALSE)*VLOOKUP($A121,'3121% SY'!$C$3:$M$324,11,FALSE),3),0)+IFERROR(VLOOKUP($A121,S275_09,7,FALSE),0)</f>
        <v>0</v>
      </c>
      <c r="U121" s="267">
        <f>IFERROR(VLOOKUP($A121,Supp_43,14,FALSE),0)+IFERROR(SUMPRODUCT(VLOOKUP($A121,S275_01,{20,21,22},FALSE)),0)+IFERROR(SUMPRODUCT(VLOOKUP($A121,S275_97,{20,21,22},FALSE)),0)+IFERROR(ROUND(VLOOKUP($A121,S275_21,20,FALSE)*VLOOKUP($A121,'3121% SY'!$C$3:$M$324,11,FALSE),3),0)+IFERROR(ROUND(VLOOKUP($A121,S275_21,21,FALSE)*VLOOKUP($A121,'3121% SY'!$C$3:$M$324,11,FALSE),3),0)+IFERROR(ROUND(VLOOKUP($A121,S275_21,22,FALSE)*VLOOKUP($A121,'3121% SY'!$C$3:$M$324,11,FALSE),3),0)+IFERROR(VLOOKUP($A121,S275_09,8,FALSE),0)</f>
        <v>0</v>
      </c>
      <c r="V121" s="267">
        <f>IFERROR(VLOOKUP($A121,Supp_44,14,FALSE),0)+IFERROR(SUMPRODUCT(VLOOKUP($A121,S275_01,{23,24,25},FALSE)),0)+IFERROR(SUMPRODUCT(VLOOKUP($A121,S275_97,{23,24,25},FALSE)),0)+IFERROR(ROUND(VLOOKUP($A121,S275_21,23,FALSE)*VLOOKUP($A121,'3121% SY'!$C$3:$M$324,11,FALSE),3),0)+IFERROR(ROUND(VLOOKUP($A121,S275_21,24,FALSE)*VLOOKUP($A121,'3121% SY'!$C$3:$M$324,11,FALSE),3),0)+IFERROR(ROUND(VLOOKUP($A121,S275_21,25,FALSE)*VLOOKUP($A121,'3121% SY'!$C$3:$M$324,11,FALSE),3),0)+IFERROR(VLOOKUP($A121,S275_09,9,FALSE),0)</f>
        <v>0</v>
      </c>
      <c r="W121" s="267">
        <f>IFERROR(VLOOKUP($A121,Supp_45,14,FALSE),0)+IFERROR(SUMPRODUCT(VLOOKUP($A121,S275_01,{26,27,28},FALSE)),0)+IFERROR(SUMPRODUCT(VLOOKUP($A121,S275_97,{26,27,28},FALSE)),0)+IFERROR(ROUND(VLOOKUP($A121,S275_21,26,FALSE)*VLOOKUP($A121,'3121% SY'!$C$3:$M$324,11,FALSE),3),0)+IFERROR(ROUND(VLOOKUP($A121,S275_21,27,FALSE)*VLOOKUP($A121,'3121% SY'!$C$3:$M$324,11,FALSE),3),0)+IFERROR(ROUND(VLOOKUP($A121,S275_21,28,FALSE)*VLOOKUP($A121,'3121% SY'!$C$3:$M$324,11,FALSE),3),0)+IFERROR(VLOOKUP($A121,S275_09,10,FALSE),0)</f>
        <v>0</v>
      </c>
      <c r="X121" s="267">
        <f>IFERROR(VLOOKUP($A121,Supp_46,14,FALSE),0)+IFERROR(SUMPRODUCT(VLOOKUP($A121,S275_01,{29,30,31},FALSE)),0)+IFERROR(SUMPRODUCT(VLOOKUP($A121,S275_97,{29,30,31},FALSE)),0)+IFERROR(ROUND(VLOOKUP($A121,S275_21,29,FALSE)*VLOOKUP($A121,'3121% SY'!$C$3:$M$324,11,FALSE),3),0)+IFERROR(ROUND(VLOOKUP($A121,S275_21,30,FALSE)*VLOOKUP($A121,'3121% SY'!$C$3:$M$324,11,FALSE),3),0)+IFERROR(ROUND(VLOOKUP($A121,S275_21,31,FALSE)*VLOOKUP($A121,'3121% SY'!$C$3:$M$324,11,FALSE),3),0)+IFERROR(VLOOKUP($A121,S275_09,11,FALSE),0)</f>
        <v>0</v>
      </c>
      <c r="Y121" s="267">
        <f>IFERROR(VLOOKUP($A121,Supp_47,14,FALSE),0)+IFERROR(SUMPRODUCT(VLOOKUP($A121,S275_01,{32,33,34},FALSE)),0)+IFERROR(SUMPRODUCT(VLOOKUP($A121,S275_97,{32,33,34},FALSE)),0)+IFERROR(ROUND(VLOOKUP($A121,S275_21,32,FALSE)*VLOOKUP($A121,'3121% SY'!$C$3:$M$324,11,FALSE),3),0)+IFERROR(ROUND(VLOOKUP($A121,S275_21,33,FALSE)*VLOOKUP($A121,'3121% SY'!$C$3:$M$324,11,FALSE),3),0)+IFERROR(ROUND(VLOOKUP($A121,S275_21,34,FALSE)*VLOOKUP($A121,'3121% SY'!$C$3:$M$324,11,FALSE),3),0)+IFERROR(VLOOKUP($A121,S275_09,12,FALSE),0)</f>
        <v>0</v>
      </c>
      <c r="Z121" s="267">
        <f>IFERROR(VLOOKUP($A121,Supp_48,14,FALSE),0)+IFERROR(SUMPRODUCT(VLOOKUP($A121,S275_01,{35,36,37},FALSE)),0)+IFERROR(SUMPRODUCT(VLOOKUP($A121,S275_97,{35,36,37},FALSE)),0)+IFERROR(ROUND(VLOOKUP($A121,S275_21,35,FALSE)*VLOOKUP($A121,'3121% SY'!$C$3:$M$324,11,FALSE),3),0)+IFERROR(ROUND(VLOOKUP($A121,S275_21,36,FALSE)*VLOOKUP($A121,'3121% SY'!$C$3:$M$324,11,FALSE),3),0)+IFERROR(ROUND(VLOOKUP($A121,S275_21,37,FALSE)*VLOOKUP($A121,'3121% SY'!$C$3:$M$324,11,FALSE),3),0)+IFERROR(VLOOKUP($A121,S275_09,13,FALSE),0)</f>
        <v>0</v>
      </c>
      <c r="AA121" s="267">
        <f>IFERROR(VLOOKUP($A121,Supp_49,14,FALSE),0)+IFERROR(SUMPRODUCT(VLOOKUP($A121,S275_01,{38,39,40},FALSE)),0)+IFERROR(SUMPRODUCT(VLOOKUP($A121,S275_97,{38,39,40},FALSE)),0)+IFERROR(ROUND(VLOOKUP($A121,S275_21,38,FALSE)*VLOOKUP($A121,'3121% SY'!$C$3:$M$324,11,FALSE),3),0)+IFERROR(ROUND(VLOOKUP($A121,S275_21,39,FALSE)*VLOOKUP($A121,'3121% SY'!$C$3:$M$324,11,FALSE),3),0)+IFERROR(ROUND(VLOOKUP($A121,S275_21,40,FALSE)*VLOOKUP($A121,'3121% SY'!$C$3:$M$324,11,FALSE),3),0)+IFERROR(VLOOKUP($A121,S275_09,14,FALSE),0)</f>
        <v>0</v>
      </c>
      <c r="AB121" s="267">
        <f>IFERROR(VLOOKUP($A121,Supp_64,14,FALSE),0)+IFERROR(SUMPRODUCT(VLOOKUP($A121,S275_01,{41,42,43},FALSE)),0)+IFERROR(SUMPRODUCT(VLOOKUP($A121,S275_97,{41,42,43},FALSE)),0)+IFERROR(ROUND(VLOOKUP($A121,S275_21,41,FALSE)*VLOOKUP($A121,'3121% SY'!$C$3:$M$324,11,FALSE),3),0)+IFERROR(ROUND(VLOOKUP($A121,S275_21,42,FALSE)*VLOOKUP($A121,'3121% SY'!$C$3:$M$324,11,FALSE),3),0)+IFERROR(ROUND(VLOOKUP($A121,S275_21,43,FALSE)*VLOOKUP($A121,'3121% SY'!$C$3:$M$324,11,FALSE),3),0)+IFERROR(VLOOKUP($A121,S275_09,15,FALSE),0)</f>
        <v>0</v>
      </c>
      <c r="AC121" s="268">
        <f t="shared" si="25"/>
        <v>0.42299999999999999</v>
      </c>
      <c r="AD121" s="267">
        <f>IFERROR(VLOOKUP($A121,Supp_24,14,FALSE),0)+IFERROR(SUMPRODUCT(VLOOKUP($A121,S275_01,{2,3,4},FALSE)),0)+IFERROR(SUMPRODUCT(VLOOKUP($A121,S275_97,{2,3,4},FALSE)),0)+IFERROR(ROUND(VLOOKUP($A121,S275_21,2,FALSE)*VLOOKUP($A121,'3121% SY'!$C$3:$M$324,11,FALSE),3),0)+IFERROR(ROUND(VLOOKUP($A121,S275_21,3,FALSE)*VLOOKUP($A121,'3121% SY'!$C$3:$M$324,11,FALSE),3),0)+IFERROR(ROUND(VLOOKUP($A121,S275_21,4,FALSE)*VLOOKUP($A121,'3121% SY'!$C$3:$M$324,11,FALSE),3),0)+IFERROR(VLOOKUP($A121,S275_09,2,FALSE),0)</f>
        <v>0</v>
      </c>
      <c r="AE121" s="267">
        <f>IFERROR(VLOOKUP($A121,Supp_25,14,FALSE),0)+IFERROR(SUMPRODUCT(VLOOKUP($A121,S275_01,{5,6,7},FALSE)),0)+IFERROR(SUMPRODUCT(VLOOKUP($A121,S275_97,{5,6,7},FALSE)),0)+IFERROR(ROUND(VLOOKUP($A121,S275_21,5,FALSE)*VLOOKUP($A121,'3121% SY'!$C$3:$M$324,11,FALSE),3),0)+IFERROR(ROUND(VLOOKUP($A121,S275_21,6,FALSE)*VLOOKUP($A121,'3121% SY'!$C$3:$M$324,11,FALSE),3),0)+IFERROR(ROUND(VLOOKUP($A121,S275_21,7,FALSE)*VLOOKUP($A121,'3121% SY'!$C$3:$M$324,11,FALSE),3),0)+IFERROR(VLOOKUP($A121,S275_09,3,FALSE),0)</f>
        <v>0</v>
      </c>
      <c r="AF121" s="267">
        <f>IFERROR(VLOOKUP($A121,Supp_26,14,FALSE),0)+IFERROR(SUMPRODUCT(VLOOKUP($A121,S275_01,{8,9,10},FALSE)),0)+IFERROR(SUMPRODUCT(VLOOKUP($A121,S275_97,{8,9,10},FALSE)),0)+IFERROR(ROUND(VLOOKUP($A121,S275_21,8,FALSE)*VLOOKUP($A121,'3121% SY'!$C$3:$M$324,11,FALSE),3),0)+IFERROR(ROUND(VLOOKUP($A121,S275_21,9,FALSE)*VLOOKUP($A121,'3121% SY'!$C$3:$M$324,11,FALSE),3),0)+IFERROR(ROUND(VLOOKUP($A121,S275_21,10,FALSE)*VLOOKUP($A121,'3121% SY'!$C$3:$M$324,11,FALSE),3),0)+IFERROR(VLOOKUP($A121,S275_09,4,FALSE),0)</f>
        <v>0.38700000000000001</v>
      </c>
      <c r="AG121" s="267">
        <f>IFERROR(VLOOKUP($A121,Supp_35,14,FALSE),0)+IFERROR(SUMPRODUCT(VLOOKUP($A121,S275_01,{11,12,13},FALSE)),0)+IFERROR(SUMPRODUCT(VLOOKUP($A121,S275_97,{11,12,13},FALSE)),0)+IFERROR(ROUND(VLOOKUP($A121,S275_21,11,FALSE)*VLOOKUP($A121,'3121% SY'!$C$3:$M$324,11,FALSE),3),0)+IFERROR(ROUND(VLOOKUP($A121,S275_21,12,FALSE)*VLOOKUP($A121,'3121% SY'!$C$3:$M$324,11,FALSE),3),0)+IFERROR(ROUND(VLOOKUP($A121,S275_21,13,FALSE)*VLOOKUP($A121,'3121% SY'!$C$3:$M$324,11,FALSE),3),0)+IFERROR(VLOOKUP($A121,S275_09,5,FALSE),0)</f>
        <v>0</v>
      </c>
      <c r="AH121" s="165">
        <f t="shared" si="26"/>
        <v>0.38700000000000001</v>
      </c>
      <c r="AI121" s="161">
        <f>IFERROR(VLOOKUP(A121,'Supp Staff Data'!A:ER,148,FALSE),0)+AB121</f>
        <v>0</v>
      </c>
      <c r="AJ121" s="174">
        <v>0</v>
      </c>
      <c r="AK121" s="25">
        <f>VLOOKUP(A121,'Enroll Data as of January 2025'!$A$3:$T$323,20,FALSE)-F121</f>
        <v>0</v>
      </c>
    </row>
    <row r="122" spans="1:37" x14ac:dyDescent="0.25">
      <c r="A122" s="171" t="s">
        <v>242</v>
      </c>
      <c r="B122" t="s">
        <v>538</v>
      </c>
      <c r="C122" s="173" t="s">
        <v>1077</v>
      </c>
      <c r="D122" s="259">
        <f t="shared" si="19"/>
        <v>1.8589999999999998</v>
      </c>
      <c r="E122" s="259">
        <f t="shared" si="20"/>
        <v>2</v>
      </c>
      <c r="F122" s="262">
        <f t="shared" si="29"/>
        <v>0.14099999999999999</v>
      </c>
      <c r="G122" s="161">
        <f>ROUND(IF(F122&lt;0,F122*'2024-25 PSES Compliance'!$G$13,0),3)</f>
        <v>0</v>
      </c>
      <c r="H122" s="161">
        <f>ROUND(IF(F122&lt;0,F122*'2024-25 PSES Compliance'!$G$14,0),3)</f>
        <v>0</v>
      </c>
      <c r="I122" s="174">
        <f t="shared" si="21"/>
        <v>0</v>
      </c>
      <c r="J122" s="174">
        <f t="shared" si="22"/>
        <v>0</v>
      </c>
      <c r="K122" s="161">
        <f>VLOOKUP($A122,'Enroll Data as of January 2025'!$A$3:$M$322,6,FALSE)</f>
        <v>1.075</v>
      </c>
      <c r="L122" s="161">
        <f>VLOOKUP($A122,'Enroll Data as of January 2025'!$A$3:$M$322,7,FALSE)</f>
        <v>0.158</v>
      </c>
      <c r="M122" s="161">
        <f>VLOOKUP($A122,'Enroll Data as of January 2025'!$A$3:$M$322,8,FALSE)</f>
        <v>5.2000000000000005E-2</v>
      </c>
      <c r="N122" s="161">
        <f>VLOOKUP($A122,'Enroll Data as of January 2025'!$A$3:$M$322,9,FALSE)</f>
        <v>0.47499999999999998</v>
      </c>
      <c r="O122" s="165">
        <f t="shared" si="23"/>
        <v>1.7599999999999998</v>
      </c>
      <c r="P122" s="161">
        <f>VLOOKUP($A122,'Enroll Data as of January 2025'!$A$3:$M$322,11,FALSE)</f>
        <v>6.5000000000000002E-2</v>
      </c>
      <c r="Q122" s="161">
        <f>VLOOKUP($A122,'Enroll Data as of January 2025'!$A$3:$M$322,12,FALSE)</f>
        <v>3.4000000000000002E-2</v>
      </c>
      <c r="R122" s="165">
        <f t="shared" si="24"/>
        <v>9.9000000000000005E-2</v>
      </c>
      <c r="S122" s="267">
        <f>IFERROR(VLOOKUP($A122,Supp_39,14,FALSE),0)+IFERROR(SUMPRODUCT(VLOOKUP($A122,S275_01,{14,15,16},FALSE)),0)+IFERROR(SUMPRODUCT(VLOOKUP($A122,S275_97,{14,15,16},FALSE)),0)+IFERROR(ROUND(VLOOKUP($A122,S275_21,14,FALSE)*VLOOKUP($A122,'3121% SY'!$C$3:$M$324,11,FALSE),3),0)+IFERROR(ROUND(VLOOKUP($A122,S275_21,15,FALSE)*VLOOKUP($A122,'3121% SY'!$C$3:$M$324,11,FALSE),3),0)+IFERROR(ROUND(VLOOKUP($A122,S275_21,16,FALSE)*VLOOKUP($A122,'3121% SY'!$C$3:$M$324,11,FALSE),3),0)+IFERROR(VLOOKUP($A122,S275_09,6,FALSE),0)</f>
        <v>1.5</v>
      </c>
      <c r="T122" s="267">
        <f>IFERROR(VLOOKUP($A122,Supp_42,14,FALSE),0)+IFERROR(SUMPRODUCT(VLOOKUP($A122,S275_01,{17,18,19},FALSE)),0)+IFERROR(SUMPRODUCT(VLOOKUP($A122,S275_97,{17,18,19},FALSE)),0)+IFERROR(ROUND(VLOOKUP($A122,S275_21,17,FALSE)*VLOOKUP($A122,'3121% SY'!$C$3:$M$324,11,FALSE),3),0)+IFERROR(ROUND(VLOOKUP($A122,S275_21,18,FALSE)*VLOOKUP($A122,'3121% SY'!$C$3:$M$324,11,FALSE),3),0)+IFERROR(ROUND(VLOOKUP($A122,S275_21,19,FALSE)*VLOOKUP($A122,'3121% SY'!$C$3:$M$324,11,FALSE),3),0)+IFERROR(VLOOKUP($A122,S275_09,7,FALSE),0)</f>
        <v>0.5</v>
      </c>
      <c r="U122" s="267">
        <f>IFERROR(VLOOKUP($A122,Supp_43,14,FALSE),0)+IFERROR(SUMPRODUCT(VLOOKUP($A122,S275_01,{20,21,22},FALSE)),0)+IFERROR(SUMPRODUCT(VLOOKUP($A122,S275_97,{20,21,22},FALSE)),0)+IFERROR(ROUND(VLOOKUP($A122,S275_21,20,FALSE)*VLOOKUP($A122,'3121% SY'!$C$3:$M$324,11,FALSE),3),0)+IFERROR(ROUND(VLOOKUP($A122,S275_21,21,FALSE)*VLOOKUP($A122,'3121% SY'!$C$3:$M$324,11,FALSE),3),0)+IFERROR(ROUND(VLOOKUP($A122,S275_21,22,FALSE)*VLOOKUP($A122,'3121% SY'!$C$3:$M$324,11,FALSE),3),0)+IFERROR(VLOOKUP($A122,S275_09,8,FALSE),0)</f>
        <v>0</v>
      </c>
      <c r="V122" s="267">
        <f>IFERROR(VLOOKUP($A122,Supp_44,14,FALSE),0)+IFERROR(SUMPRODUCT(VLOOKUP($A122,S275_01,{23,24,25},FALSE)),0)+IFERROR(SUMPRODUCT(VLOOKUP($A122,S275_97,{23,24,25},FALSE)),0)+IFERROR(ROUND(VLOOKUP($A122,S275_21,23,FALSE)*VLOOKUP($A122,'3121% SY'!$C$3:$M$324,11,FALSE),3),0)+IFERROR(ROUND(VLOOKUP($A122,S275_21,24,FALSE)*VLOOKUP($A122,'3121% SY'!$C$3:$M$324,11,FALSE),3),0)+IFERROR(ROUND(VLOOKUP($A122,S275_21,25,FALSE)*VLOOKUP($A122,'3121% SY'!$C$3:$M$324,11,FALSE),3),0)+IFERROR(VLOOKUP($A122,S275_09,9,FALSE),0)</f>
        <v>0</v>
      </c>
      <c r="W122" s="267">
        <f>IFERROR(VLOOKUP($A122,Supp_45,14,FALSE),0)+IFERROR(SUMPRODUCT(VLOOKUP($A122,S275_01,{26,27,28},FALSE)),0)+IFERROR(SUMPRODUCT(VLOOKUP($A122,S275_97,{26,27,28},FALSE)),0)+IFERROR(ROUND(VLOOKUP($A122,S275_21,26,FALSE)*VLOOKUP($A122,'3121% SY'!$C$3:$M$324,11,FALSE),3),0)+IFERROR(ROUND(VLOOKUP($A122,S275_21,27,FALSE)*VLOOKUP($A122,'3121% SY'!$C$3:$M$324,11,FALSE),3),0)+IFERROR(ROUND(VLOOKUP($A122,S275_21,28,FALSE)*VLOOKUP($A122,'3121% SY'!$C$3:$M$324,11,FALSE),3),0)+IFERROR(VLOOKUP($A122,S275_09,10,FALSE),0)</f>
        <v>0</v>
      </c>
      <c r="X122" s="267">
        <f>IFERROR(VLOOKUP($A122,Supp_46,14,FALSE),0)+IFERROR(SUMPRODUCT(VLOOKUP($A122,S275_01,{29,30,31},FALSE)),0)+IFERROR(SUMPRODUCT(VLOOKUP($A122,S275_97,{29,30,31},FALSE)),0)+IFERROR(ROUND(VLOOKUP($A122,S275_21,29,FALSE)*VLOOKUP($A122,'3121% SY'!$C$3:$M$324,11,FALSE),3),0)+IFERROR(ROUND(VLOOKUP($A122,S275_21,30,FALSE)*VLOOKUP($A122,'3121% SY'!$C$3:$M$324,11,FALSE),3),0)+IFERROR(ROUND(VLOOKUP($A122,S275_21,31,FALSE)*VLOOKUP($A122,'3121% SY'!$C$3:$M$324,11,FALSE),3),0)+IFERROR(VLOOKUP($A122,S275_09,11,FALSE),0)</f>
        <v>0</v>
      </c>
      <c r="Y122" s="267">
        <f>IFERROR(VLOOKUP($A122,Supp_47,14,FALSE),0)+IFERROR(SUMPRODUCT(VLOOKUP($A122,S275_01,{32,33,34},FALSE)),0)+IFERROR(SUMPRODUCT(VLOOKUP($A122,S275_97,{32,33,34},FALSE)),0)+IFERROR(ROUND(VLOOKUP($A122,S275_21,32,FALSE)*VLOOKUP($A122,'3121% SY'!$C$3:$M$324,11,FALSE),3),0)+IFERROR(ROUND(VLOOKUP($A122,S275_21,33,FALSE)*VLOOKUP($A122,'3121% SY'!$C$3:$M$324,11,FALSE),3),0)+IFERROR(ROUND(VLOOKUP($A122,S275_21,34,FALSE)*VLOOKUP($A122,'3121% SY'!$C$3:$M$324,11,FALSE),3),0)+IFERROR(VLOOKUP($A122,S275_09,12,FALSE),0)</f>
        <v>0</v>
      </c>
      <c r="Z122" s="267">
        <f>IFERROR(VLOOKUP($A122,Supp_48,14,FALSE),0)+IFERROR(SUMPRODUCT(VLOOKUP($A122,S275_01,{35,36,37},FALSE)),0)+IFERROR(SUMPRODUCT(VLOOKUP($A122,S275_97,{35,36,37},FALSE)),0)+IFERROR(ROUND(VLOOKUP($A122,S275_21,35,FALSE)*VLOOKUP($A122,'3121% SY'!$C$3:$M$324,11,FALSE),3),0)+IFERROR(ROUND(VLOOKUP($A122,S275_21,36,FALSE)*VLOOKUP($A122,'3121% SY'!$C$3:$M$324,11,FALSE),3),0)+IFERROR(ROUND(VLOOKUP($A122,S275_21,37,FALSE)*VLOOKUP($A122,'3121% SY'!$C$3:$M$324,11,FALSE),3),0)+IFERROR(VLOOKUP($A122,S275_09,13,FALSE),0)</f>
        <v>0</v>
      </c>
      <c r="AA122" s="267">
        <f>IFERROR(VLOOKUP($A122,Supp_49,14,FALSE),0)+IFERROR(SUMPRODUCT(VLOOKUP($A122,S275_01,{38,39,40},FALSE)),0)+IFERROR(SUMPRODUCT(VLOOKUP($A122,S275_97,{38,39,40},FALSE)),0)+IFERROR(ROUND(VLOOKUP($A122,S275_21,38,FALSE)*VLOOKUP($A122,'3121% SY'!$C$3:$M$324,11,FALSE),3),0)+IFERROR(ROUND(VLOOKUP($A122,S275_21,39,FALSE)*VLOOKUP($A122,'3121% SY'!$C$3:$M$324,11,FALSE),3),0)+IFERROR(ROUND(VLOOKUP($A122,S275_21,40,FALSE)*VLOOKUP($A122,'3121% SY'!$C$3:$M$324,11,FALSE),3),0)+IFERROR(VLOOKUP($A122,S275_09,14,FALSE),0)</f>
        <v>0</v>
      </c>
      <c r="AB122" s="267">
        <f>IFERROR(VLOOKUP($A122,Supp_64,14,FALSE),0)+IFERROR(SUMPRODUCT(VLOOKUP($A122,S275_01,{41,42,43},FALSE)),0)+IFERROR(SUMPRODUCT(VLOOKUP($A122,S275_97,{41,42,43},FALSE)),0)+IFERROR(ROUND(VLOOKUP($A122,S275_21,41,FALSE)*VLOOKUP($A122,'3121% SY'!$C$3:$M$324,11,FALSE),3),0)+IFERROR(ROUND(VLOOKUP($A122,S275_21,42,FALSE)*VLOOKUP($A122,'3121% SY'!$C$3:$M$324,11,FALSE),3),0)+IFERROR(ROUND(VLOOKUP($A122,S275_21,43,FALSE)*VLOOKUP($A122,'3121% SY'!$C$3:$M$324,11,FALSE),3),0)+IFERROR(VLOOKUP($A122,S275_09,15,FALSE),0)</f>
        <v>0</v>
      </c>
      <c r="AC122" s="268">
        <f t="shared" si="25"/>
        <v>2</v>
      </c>
      <c r="AD122" s="267">
        <f>IFERROR(VLOOKUP($A122,Supp_24,14,FALSE),0)+IFERROR(SUMPRODUCT(VLOOKUP($A122,S275_01,{2,3,4},FALSE)),0)+IFERROR(SUMPRODUCT(VLOOKUP($A122,S275_97,{2,3,4},FALSE)),0)+IFERROR(ROUND(VLOOKUP($A122,S275_21,2,FALSE)*VLOOKUP($A122,'3121% SY'!$C$3:$M$324,11,FALSE),3),0)+IFERROR(ROUND(VLOOKUP($A122,S275_21,3,FALSE)*VLOOKUP($A122,'3121% SY'!$C$3:$M$324,11,FALSE),3),0)+IFERROR(ROUND(VLOOKUP($A122,S275_21,4,FALSE)*VLOOKUP($A122,'3121% SY'!$C$3:$M$324,11,FALSE),3),0)+IFERROR(VLOOKUP($A122,S275_09,2,FALSE),0)</f>
        <v>0</v>
      </c>
      <c r="AE122" s="267">
        <f>IFERROR(VLOOKUP($A122,Supp_25,14,FALSE),0)+IFERROR(SUMPRODUCT(VLOOKUP($A122,S275_01,{5,6,7},FALSE)),0)+IFERROR(SUMPRODUCT(VLOOKUP($A122,S275_97,{5,6,7},FALSE)),0)+IFERROR(ROUND(VLOOKUP($A122,S275_21,5,FALSE)*VLOOKUP($A122,'3121% SY'!$C$3:$M$324,11,FALSE),3),0)+IFERROR(ROUND(VLOOKUP($A122,S275_21,6,FALSE)*VLOOKUP($A122,'3121% SY'!$C$3:$M$324,11,FALSE),3),0)+IFERROR(ROUND(VLOOKUP($A122,S275_21,7,FALSE)*VLOOKUP($A122,'3121% SY'!$C$3:$M$324,11,FALSE),3),0)+IFERROR(VLOOKUP($A122,S275_09,3,FALSE),0)</f>
        <v>0</v>
      </c>
      <c r="AF122" s="267">
        <f>IFERROR(VLOOKUP($A122,Supp_26,14,FALSE),0)+IFERROR(SUMPRODUCT(VLOOKUP($A122,S275_01,{8,9,10},FALSE)),0)+IFERROR(SUMPRODUCT(VLOOKUP($A122,S275_97,{8,9,10},FALSE)),0)+IFERROR(ROUND(VLOOKUP($A122,S275_21,8,FALSE)*VLOOKUP($A122,'3121% SY'!$C$3:$M$324,11,FALSE),3),0)+IFERROR(ROUND(VLOOKUP($A122,S275_21,9,FALSE)*VLOOKUP($A122,'3121% SY'!$C$3:$M$324,11,FALSE),3),0)+IFERROR(ROUND(VLOOKUP($A122,S275_21,10,FALSE)*VLOOKUP($A122,'3121% SY'!$C$3:$M$324,11,FALSE),3),0)+IFERROR(VLOOKUP($A122,S275_09,4,FALSE),0)</f>
        <v>0</v>
      </c>
      <c r="AG122" s="267">
        <f>IFERROR(VLOOKUP($A122,Supp_35,14,FALSE),0)+IFERROR(SUMPRODUCT(VLOOKUP($A122,S275_01,{11,12,13},FALSE)),0)+IFERROR(SUMPRODUCT(VLOOKUP($A122,S275_97,{11,12,13},FALSE)),0)+IFERROR(ROUND(VLOOKUP($A122,S275_21,11,FALSE)*VLOOKUP($A122,'3121% SY'!$C$3:$M$324,11,FALSE),3),0)+IFERROR(ROUND(VLOOKUP($A122,S275_21,12,FALSE)*VLOOKUP($A122,'3121% SY'!$C$3:$M$324,11,FALSE),3),0)+IFERROR(ROUND(VLOOKUP($A122,S275_21,13,FALSE)*VLOOKUP($A122,'3121% SY'!$C$3:$M$324,11,FALSE),3),0)+IFERROR(VLOOKUP($A122,S275_09,5,FALSE),0)</f>
        <v>0</v>
      </c>
      <c r="AH122" s="165">
        <f t="shared" si="26"/>
        <v>0</v>
      </c>
      <c r="AI122" s="161">
        <f>IFERROR(VLOOKUP(A122,'Supp Staff Data'!A:ER,148,FALSE),0)+AB122</f>
        <v>0</v>
      </c>
      <c r="AJ122" s="174">
        <v>0</v>
      </c>
      <c r="AK122" s="25">
        <f>VLOOKUP(A122,'Enroll Data as of January 2025'!$A$3:$T$323,20,FALSE)-F122</f>
        <v>0</v>
      </c>
    </row>
    <row r="123" spans="1:37" x14ac:dyDescent="0.25">
      <c r="A123" s="171" t="s">
        <v>207</v>
      </c>
      <c r="B123" t="s">
        <v>502</v>
      </c>
      <c r="C123" s="173" t="s">
        <v>1077</v>
      </c>
      <c r="D123" s="259">
        <f t="shared" si="19"/>
        <v>2.3570000000000002</v>
      </c>
      <c r="E123" s="259">
        <f t="shared" si="20"/>
        <v>1.8420000000000001</v>
      </c>
      <c r="F123" s="262">
        <f t="shared" si="29"/>
        <v>-0.51500000000000001</v>
      </c>
      <c r="G123" s="161">
        <f>ROUND(IF(F123&lt;0,F123*'2024-25 PSES Compliance'!$G$13,0),3)</f>
        <v>-0.49399999999999999</v>
      </c>
      <c r="H123" s="161">
        <f>ROUND(IF(F123&lt;0,F123*'2024-25 PSES Compliance'!$G$14,0),3)</f>
        <v>-2.1000000000000001E-2</v>
      </c>
      <c r="I123" s="174">
        <f t="shared" si="21"/>
        <v>0.33190222584147666</v>
      </c>
      <c r="J123" s="174">
        <f t="shared" si="22"/>
        <v>0</v>
      </c>
      <c r="K123" s="161">
        <f>VLOOKUP($A123,'Enroll Data as of January 2025'!$A$3:$M$322,6,FALSE)</f>
        <v>1.1659999999999999</v>
      </c>
      <c r="L123" s="161">
        <f>VLOOKUP($A123,'Enroll Data as of January 2025'!$A$3:$M$322,7,FALSE)</f>
        <v>0.27900000000000003</v>
      </c>
      <c r="M123" s="161">
        <f>VLOOKUP($A123,'Enroll Data as of January 2025'!$A$3:$M$322,8,FALSE)</f>
        <v>9.2999999999999999E-2</v>
      </c>
      <c r="N123" s="161">
        <f>VLOOKUP($A123,'Enroll Data as of January 2025'!$A$3:$M$322,9,FALSE)</f>
        <v>0.66400000000000003</v>
      </c>
      <c r="O123" s="165">
        <f t="shared" si="23"/>
        <v>2.202</v>
      </c>
      <c r="P123" s="161">
        <f>VLOOKUP($A123,'Enroll Data as of January 2025'!$A$3:$M$322,11,FALSE)</f>
        <v>8.5000000000000006E-2</v>
      </c>
      <c r="Q123" s="161">
        <f>VLOOKUP($A123,'Enroll Data as of January 2025'!$A$3:$M$322,12,FALSE)</f>
        <v>7.0000000000000007E-2</v>
      </c>
      <c r="R123" s="165">
        <f t="shared" si="24"/>
        <v>0.15500000000000003</v>
      </c>
      <c r="S123" s="267">
        <f>IFERROR(VLOOKUP($A123,Supp_39,14,FALSE),0)+IFERROR(SUMPRODUCT(VLOOKUP($A123,S275_01,{14,15,16},FALSE)),0)+IFERROR(SUMPRODUCT(VLOOKUP($A123,S275_97,{14,15,16},FALSE)),0)+IFERROR(ROUND(VLOOKUP($A123,S275_21,14,FALSE)*VLOOKUP($A123,'3121% SY'!$C$3:$M$324,11,FALSE),3),0)+IFERROR(ROUND(VLOOKUP($A123,S275_21,15,FALSE)*VLOOKUP($A123,'3121% SY'!$C$3:$M$324,11,FALSE),3),0)+IFERROR(ROUND(VLOOKUP($A123,S275_21,16,FALSE)*VLOOKUP($A123,'3121% SY'!$C$3:$M$324,11,FALSE),3),0)+IFERROR(VLOOKUP($A123,S275_09,6,FALSE),0)</f>
        <v>0.8</v>
      </c>
      <c r="T123" s="267">
        <f>IFERROR(VLOOKUP($A123,Supp_42,14,FALSE),0)+IFERROR(SUMPRODUCT(VLOOKUP($A123,S275_01,{17,18,19},FALSE)),0)+IFERROR(SUMPRODUCT(VLOOKUP($A123,S275_97,{17,18,19},FALSE)),0)+IFERROR(ROUND(VLOOKUP($A123,S275_21,17,FALSE)*VLOOKUP($A123,'3121% SY'!$C$3:$M$324,11,FALSE),3),0)+IFERROR(ROUND(VLOOKUP($A123,S275_21,18,FALSE)*VLOOKUP($A123,'3121% SY'!$C$3:$M$324,11,FALSE),3),0)+IFERROR(ROUND(VLOOKUP($A123,S275_21,19,FALSE)*VLOOKUP($A123,'3121% SY'!$C$3:$M$324,11,FALSE),3),0)+IFERROR(VLOOKUP($A123,S275_09,7,FALSE),0)</f>
        <v>0</v>
      </c>
      <c r="U123" s="267">
        <f>IFERROR(VLOOKUP($A123,Supp_43,14,FALSE),0)+IFERROR(SUMPRODUCT(VLOOKUP($A123,S275_01,{20,21,22},FALSE)),0)+IFERROR(SUMPRODUCT(VLOOKUP($A123,S275_97,{20,21,22},FALSE)),0)+IFERROR(ROUND(VLOOKUP($A123,S275_21,20,FALSE)*VLOOKUP($A123,'3121% SY'!$C$3:$M$324,11,FALSE),3),0)+IFERROR(ROUND(VLOOKUP($A123,S275_21,21,FALSE)*VLOOKUP($A123,'3121% SY'!$C$3:$M$324,11,FALSE),3),0)+IFERROR(ROUND(VLOOKUP($A123,S275_21,22,FALSE)*VLOOKUP($A123,'3121% SY'!$C$3:$M$324,11,FALSE),3),0)+IFERROR(VLOOKUP($A123,S275_09,8,FALSE),0)</f>
        <v>0</v>
      </c>
      <c r="V123" s="267">
        <f>IFERROR(VLOOKUP($A123,Supp_44,14,FALSE),0)+IFERROR(SUMPRODUCT(VLOOKUP($A123,S275_01,{23,24,25},FALSE)),0)+IFERROR(SUMPRODUCT(VLOOKUP($A123,S275_97,{23,24,25},FALSE)),0)+IFERROR(ROUND(VLOOKUP($A123,S275_21,23,FALSE)*VLOOKUP($A123,'3121% SY'!$C$3:$M$324,11,FALSE),3),0)+IFERROR(ROUND(VLOOKUP($A123,S275_21,24,FALSE)*VLOOKUP($A123,'3121% SY'!$C$3:$M$324,11,FALSE),3),0)+IFERROR(ROUND(VLOOKUP($A123,S275_21,25,FALSE)*VLOOKUP($A123,'3121% SY'!$C$3:$M$324,11,FALSE),3),0)+IFERROR(VLOOKUP($A123,S275_09,9,FALSE),0)</f>
        <v>0</v>
      </c>
      <c r="W123" s="267">
        <f>IFERROR(VLOOKUP($A123,Supp_45,14,FALSE),0)+IFERROR(SUMPRODUCT(VLOOKUP($A123,S275_01,{26,27,28},FALSE)),0)+IFERROR(SUMPRODUCT(VLOOKUP($A123,S275_97,{26,27,28},FALSE)),0)+IFERROR(ROUND(VLOOKUP($A123,S275_21,26,FALSE)*VLOOKUP($A123,'3121% SY'!$C$3:$M$324,11,FALSE),3),0)+IFERROR(ROUND(VLOOKUP($A123,S275_21,27,FALSE)*VLOOKUP($A123,'3121% SY'!$C$3:$M$324,11,FALSE),3),0)+IFERROR(ROUND(VLOOKUP($A123,S275_21,28,FALSE)*VLOOKUP($A123,'3121% SY'!$C$3:$M$324,11,FALSE),3),0)+IFERROR(VLOOKUP($A123,S275_09,10,FALSE),0)</f>
        <v>6.6000000000000003E-2</v>
      </c>
      <c r="X123" s="267">
        <f>IFERROR(VLOOKUP($A123,Supp_46,14,FALSE),0)+IFERROR(SUMPRODUCT(VLOOKUP($A123,S275_01,{29,30,31},FALSE)),0)+IFERROR(SUMPRODUCT(VLOOKUP($A123,S275_97,{29,30,31},FALSE)),0)+IFERROR(ROUND(VLOOKUP($A123,S275_21,29,FALSE)*VLOOKUP($A123,'3121% SY'!$C$3:$M$324,11,FALSE),3),0)+IFERROR(ROUND(VLOOKUP($A123,S275_21,30,FALSE)*VLOOKUP($A123,'3121% SY'!$C$3:$M$324,11,FALSE),3),0)+IFERROR(ROUND(VLOOKUP($A123,S275_21,31,FALSE)*VLOOKUP($A123,'3121% SY'!$C$3:$M$324,11,FALSE),3),0)+IFERROR(VLOOKUP($A123,S275_09,11,FALSE),0)</f>
        <v>5.0999999999999997E-2</v>
      </c>
      <c r="Y123" s="267">
        <f>IFERROR(VLOOKUP($A123,Supp_47,14,FALSE),0)+IFERROR(SUMPRODUCT(VLOOKUP($A123,S275_01,{32,33,34},FALSE)),0)+IFERROR(SUMPRODUCT(VLOOKUP($A123,S275_97,{32,33,34},FALSE)),0)+IFERROR(ROUND(VLOOKUP($A123,S275_21,32,FALSE)*VLOOKUP($A123,'3121% SY'!$C$3:$M$324,11,FALSE),3),0)+IFERROR(ROUND(VLOOKUP($A123,S275_21,33,FALSE)*VLOOKUP($A123,'3121% SY'!$C$3:$M$324,11,FALSE),3),0)+IFERROR(ROUND(VLOOKUP($A123,S275_21,34,FALSE)*VLOOKUP($A123,'3121% SY'!$C$3:$M$324,11,FALSE),3),0)+IFERROR(VLOOKUP($A123,S275_09,12,FALSE),0)</f>
        <v>0</v>
      </c>
      <c r="Z123" s="267">
        <f>IFERROR(VLOOKUP($A123,Supp_48,14,FALSE),0)+IFERROR(SUMPRODUCT(VLOOKUP($A123,S275_01,{35,36,37},FALSE)),0)+IFERROR(SUMPRODUCT(VLOOKUP($A123,S275_97,{35,36,37},FALSE)),0)+IFERROR(ROUND(VLOOKUP($A123,S275_21,35,FALSE)*VLOOKUP($A123,'3121% SY'!$C$3:$M$324,11,FALSE),3),0)+IFERROR(ROUND(VLOOKUP($A123,S275_21,36,FALSE)*VLOOKUP($A123,'3121% SY'!$C$3:$M$324,11,FALSE),3),0)+IFERROR(ROUND(VLOOKUP($A123,S275_21,37,FALSE)*VLOOKUP($A123,'3121% SY'!$C$3:$M$324,11,FALSE),3),0)+IFERROR(VLOOKUP($A123,S275_09,13,FALSE),0)</f>
        <v>0</v>
      </c>
      <c r="AA123" s="267">
        <f>IFERROR(VLOOKUP($A123,Supp_49,14,FALSE),0)+IFERROR(SUMPRODUCT(VLOOKUP($A123,S275_01,{38,39,40},FALSE)),0)+IFERROR(SUMPRODUCT(VLOOKUP($A123,S275_97,{38,39,40},FALSE)),0)+IFERROR(ROUND(VLOOKUP($A123,S275_21,38,FALSE)*VLOOKUP($A123,'3121% SY'!$C$3:$M$324,11,FALSE),3),0)+IFERROR(ROUND(VLOOKUP($A123,S275_21,39,FALSE)*VLOOKUP($A123,'3121% SY'!$C$3:$M$324,11,FALSE),3),0)+IFERROR(ROUND(VLOOKUP($A123,S275_21,40,FALSE)*VLOOKUP($A123,'3121% SY'!$C$3:$M$324,11,FALSE),3),0)+IFERROR(VLOOKUP($A123,S275_09,14,FALSE),0)</f>
        <v>0</v>
      </c>
      <c r="AB123" s="267">
        <f>IFERROR(VLOOKUP($A123,Supp_64,14,FALSE),0)+IFERROR(SUMPRODUCT(VLOOKUP($A123,S275_01,{41,42,43},FALSE)),0)+IFERROR(SUMPRODUCT(VLOOKUP($A123,S275_97,{41,42,43},FALSE)),0)+IFERROR(ROUND(VLOOKUP($A123,S275_21,41,FALSE)*VLOOKUP($A123,'3121% SY'!$C$3:$M$324,11,FALSE),3),0)+IFERROR(ROUND(VLOOKUP($A123,S275_21,42,FALSE)*VLOOKUP($A123,'3121% SY'!$C$3:$M$324,11,FALSE),3),0)+IFERROR(ROUND(VLOOKUP($A123,S275_21,43,FALSE)*VLOOKUP($A123,'3121% SY'!$C$3:$M$324,11,FALSE),3),0)+IFERROR(VLOOKUP($A123,S275_09,15,FALSE),0)</f>
        <v>0</v>
      </c>
      <c r="AC123" s="268">
        <f t="shared" si="25"/>
        <v>0.91700000000000015</v>
      </c>
      <c r="AD123" s="267">
        <f>IFERROR(VLOOKUP($A123,Supp_24,14,FALSE),0)+IFERROR(SUMPRODUCT(VLOOKUP($A123,S275_01,{2,3,4},FALSE)),0)+IFERROR(SUMPRODUCT(VLOOKUP($A123,S275_97,{2,3,4},FALSE)),0)+IFERROR(ROUND(VLOOKUP($A123,S275_21,2,FALSE)*VLOOKUP($A123,'3121% SY'!$C$3:$M$324,11,FALSE),3),0)+IFERROR(ROUND(VLOOKUP($A123,S275_21,3,FALSE)*VLOOKUP($A123,'3121% SY'!$C$3:$M$324,11,FALSE),3),0)+IFERROR(ROUND(VLOOKUP($A123,S275_21,4,FALSE)*VLOOKUP($A123,'3121% SY'!$C$3:$M$324,11,FALSE),3),0)+IFERROR(VLOOKUP($A123,S275_09,2,FALSE),0)</f>
        <v>0</v>
      </c>
      <c r="AE123" s="267">
        <f>IFERROR(VLOOKUP($A123,Supp_25,14,FALSE),0)+IFERROR(SUMPRODUCT(VLOOKUP($A123,S275_01,{5,6,7},FALSE)),0)+IFERROR(SUMPRODUCT(VLOOKUP($A123,S275_97,{5,6,7},FALSE)),0)+IFERROR(ROUND(VLOOKUP($A123,S275_21,5,FALSE)*VLOOKUP($A123,'3121% SY'!$C$3:$M$324,11,FALSE),3),0)+IFERROR(ROUND(VLOOKUP($A123,S275_21,6,FALSE)*VLOOKUP($A123,'3121% SY'!$C$3:$M$324,11,FALSE),3),0)+IFERROR(ROUND(VLOOKUP($A123,S275_21,7,FALSE)*VLOOKUP($A123,'3121% SY'!$C$3:$M$324,11,FALSE),3),0)+IFERROR(VLOOKUP($A123,S275_09,3,FALSE),0)</f>
        <v>0.874</v>
      </c>
      <c r="AF123" s="267">
        <f>IFERROR(VLOOKUP($A123,Supp_26,14,FALSE),0)+IFERROR(SUMPRODUCT(VLOOKUP($A123,S275_01,{8,9,10},FALSE)),0)+IFERROR(SUMPRODUCT(VLOOKUP($A123,S275_97,{8,9,10},FALSE)),0)+IFERROR(ROUND(VLOOKUP($A123,S275_21,8,FALSE)*VLOOKUP($A123,'3121% SY'!$C$3:$M$324,11,FALSE),3),0)+IFERROR(ROUND(VLOOKUP($A123,S275_21,9,FALSE)*VLOOKUP($A123,'3121% SY'!$C$3:$M$324,11,FALSE),3),0)+IFERROR(ROUND(VLOOKUP($A123,S275_21,10,FALSE)*VLOOKUP($A123,'3121% SY'!$C$3:$M$324,11,FALSE),3),0)+IFERROR(VLOOKUP($A123,S275_09,4,FALSE),0)</f>
        <v>5.0999999999999997E-2</v>
      </c>
      <c r="AG123" s="267">
        <f>IFERROR(VLOOKUP($A123,Supp_35,14,FALSE),0)+IFERROR(SUMPRODUCT(VLOOKUP($A123,S275_01,{11,12,13},FALSE)),0)+IFERROR(SUMPRODUCT(VLOOKUP($A123,S275_97,{11,12,13},FALSE)),0)+IFERROR(ROUND(VLOOKUP($A123,S275_21,11,FALSE)*VLOOKUP($A123,'3121% SY'!$C$3:$M$324,11,FALSE),3),0)+IFERROR(ROUND(VLOOKUP($A123,S275_21,12,FALSE)*VLOOKUP($A123,'3121% SY'!$C$3:$M$324,11,FALSE),3),0)+IFERROR(ROUND(VLOOKUP($A123,S275_21,13,FALSE)*VLOOKUP($A123,'3121% SY'!$C$3:$M$324,11,FALSE),3),0)+IFERROR(VLOOKUP($A123,S275_09,5,FALSE),0)</f>
        <v>0</v>
      </c>
      <c r="AH123" s="165">
        <f t="shared" si="26"/>
        <v>0.92500000000000004</v>
      </c>
      <c r="AI123" s="161">
        <f>IFERROR(VLOOKUP(A123,'Supp Staff Data'!A:ER,148,FALSE),0)+AB123</f>
        <v>0</v>
      </c>
      <c r="AJ123" s="174">
        <v>0.66669999999999996</v>
      </c>
      <c r="AK123" s="25">
        <f>VLOOKUP(A123,'Enroll Data as of January 2025'!$A$3:$T$323,20,FALSE)-F123</f>
        <v>0</v>
      </c>
    </row>
    <row r="124" spans="1:37" x14ac:dyDescent="0.25">
      <c r="A124" s="171" t="s">
        <v>15</v>
      </c>
      <c r="B124" t="s">
        <v>312</v>
      </c>
      <c r="C124" s="173" t="s">
        <v>1077</v>
      </c>
      <c r="D124" s="259">
        <f t="shared" si="19"/>
        <v>0.68500000000000016</v>
      </c>
      <c r="E124" s="259">
        <f t="shared" si="20"/>
        <v>0.54200000000000004</v>
      </c>
      <c r="F124" s="262">
        <f t="shared" si="29"/>
        <v>-0.14299999999999999</v>
      </c>
      <c r="G124" s="161">
        <f>ROUND(IF(F124&lt;0,F124*'2024-25 PSES Compliance'!$G$13,0),3)</f>
        <v>-0.13700000000000001</v>
      </c>
      <c r="H124" s="161">
        <f>ROUND(IF(F124&lt;0,F124*'2024-25 PSES Compliance'!$G$14,0),3)</f>
        <v>-6.0000000000000001E-3</v>
      </c>
      <c r="I124" s="174">
        <f t="shared" si="21"/>
        <v>1</v>
      </c>
      <c r="J124" s="174">
        <f t="shared" si="22"/>
        <v>7.7490774907749083E-2</v>
      </c>
      <c r="K124" s="161">
        <f>VLOOKUP($A124,'Enroll Data as of January 2025'!$A$3:$M$322,6,FALSE)</f>
        <v>0.33200000000000002</v>
      </c>
      <c r="L124" s="161">
        <f>VLOOKUP($A124,'Enroll Data as of January 2025'!$A$3:$M$322,7,FALSE)</f>
        <v>8.6000000000000007E-2</v>
      </c>
      <c r="M124" s="161">
        <f>VLOOKUP($A124,'Enroll Data as of January 2025'!$A$3:$M$322,8,FALSE)</f>
        <v>2.9000000000000001E-2</v>
      </c>
      <c r="N124" s="161">
        <f>VLOOKUP($A124,'Enroll Data as of January 2025'!$A$3:$M$322,9,FALSE)</f>
        <v>0.191</v>
      </c>
      <c r="O124" s="165">
        <f t="shared" si="23"/>
        <v>0.63800000000000012</v>
      </c>
      <c r="P124" s="161">
        <f>VLOOKUP($A124,'Enroll Data as of January 2025'!$A$3:$M$322,11,FALSE)</f>
        <v>2.5000000000000001E-2</v>
      </c>
      <c r="Q124" s="161">
        <f>VLOOKUP($A124,'Enroll Data as of January 2025'!$A$3:$M$322,12,FALSE)</f>
        <v>2.1999999999999999E-2</v>
      </c>
      <c r="R124" s="165">
        <f t="shared" si="24"/>
        <v>4.7E-2</v>
      </c>
      <c r="S124" s="267">
        <f>IFERROR(VLOOKUP($A124,Supp_39,14,FALSE),0)+IFERROR(SUMPRODUCT(VLOOKUP($A124,S275_01,{14,15,16},FALSE)),0)+IFERROR(SUMPRODUCT(VLOOKUP($A124,S275_97,{14,15,16},FALSE)),0)+IFERROR(ROUND(VLOOKUP($A124,S275_21,14,FALSE)*VLOOKUP($A124,'3121% SY'!$C$3:$M$324,11,FALSE),3),0)+IFERROR(ROUND(VLOOKUP($A124,S275_21,15,FALSE)*VLOOKUP($A124,'3121% SY'!$C$3:$M$324,11,FALSE),3),0)+IFERROR(ROUND(VLOOKUP($A124,S275_21,16,FALSE)*VLOOKUP($A124,'3121% SY'!$C$3:$M$324,11,FALSE),3),0)+IFERROR(VLOOKUP($A124,S275_09,6,FALSE),0)</f>
        <v>0</v>
      </c>
      <c r="T124" s="267">
        <f>IFERROR(VLOOKUP($A124,Supp_42,14,FALSE),0)+IFERROR(SUMPRODUCT(VLOOKUP($A124,S275_01,{17,18,19},FALSE)),0)+IFERROR(SUMPRODUCT(VLOOKUP($A124,S275_97,{17,18,19},FALSE)),0)+IFERROR(ROUND(VLOOKUP($A124,S275_21,17,FALSE)*VLOOKUP($A124,'3121% SY'!$C$3:$M$324,11,FALSE),3),0)+IFERROR(ROUND(VLOOKUP($A124,S275_21,18,FALSE)*VLOOKUP($A124,'3121% SY'!$C$3:$M$324,11,FALSE),3),0)+IFERROR(ROUND(VLOOKUP($A124,S275_21,19,FALSE)*VLOOKUP($A124,'3121% SY'!$C$3:$M$324,11,FALSE),3),0)+IFERROR(VLOOKUP($A124,S275_09,7,FALSE),0)</f>
        <v>0</v>
      </c>
      <c r="U124" s="267">
        <f>IFERROR(VLOOKUP($A124,Supp_43,14,FALSE),0)+IFERROR(SUMPRODUCT(VLOOKUP($A124,S275_01,{20,21,22},FALSE)),0)+IFERROR(SUMPRODUCT(VLOOKUP($A124,S275_97,{20,21,22},FALSE)),0)+IFERROR(ROUND(VLOOKUP($A124,S275_21,20,FALSE)*VLOOKUP($A124,'3121% SY'!$C$3:$M$324,11,FALSE),3),0)+IFERROR(ROUND(VLOOKUP($A124,S275_21,21,FALSE)*VLOOKUP($A124,'3121% SY'!$C$3:$M$324,11,FALSE),3),0)+IFERROR(ROUND(VLOOKUP($A124,S275_21,22,FALSE)*VLOOKUP($A124,'3121% SY'!$C$3:$M$324,11,FALSE),3),0)+IFERROR(VLOOKUP($A124,S275_09,8,FALSE),0)</f>
        <v>0</v>
      </c>
      <c r="V124" s="267">
        <f>IFERROR(VLOOKUP($A124,Supp_44,14,FALSE),0)+IFERROR(SUMPRODUCT(VLOOKUP($A124,S275_01,{23,24,25},FALSE)),0)+IFERROR(SUMPRODUCT(VLOOKUP($A124,S275_97,{23,24,25},FALSE)),0)+IFERROR(ROUND(VLOOKUP($A124,S275_21,23,FALSE)*VLOOKUP($A124,'3121% SY'!$C$3:$M$324,11,FALSE),3),0)+IFERROR(ROUND(VLOOKUP($A124,S275_21,24,FALSE)*VLOOKUP($A124,'3121% SY'!$C$3:$M$324,11,FALSE),3),0)+IFERROR(ROUND(VLOOKUP($A124,S275_21,25,FALSE)*VLOOKUP($A124,'3121% SY'!$C$3:$M$324,11,FALSE),3),0)+IFERROR(VLOOKUP($A124,S275_09,9,FALSE),0)</f>
        <v>0</v>
      </c>
      <c r="W124" s="267">
        <f>IFERROR(VLOOKUP($A124,Supp_45,14,FALSE),0)+IFERROR(SUMPRODUCT(VLOOKUP($A124,S275_01,{26,27,28},FALSE)),0)+IFERROR(SUMPRODUCT(VLOOKUP($A124,S275_97,{26,27,28},FALSE)),0)+IFERROR(ROUND(VLOOKUP($A124,S275_21,26,FALSE)*VLOOKUP($A124,'3121% SY'!$C$3:$M$324,11,FALSE),3),0)+IFERROR(ROUND(VLOOKUP($A124,S275_21,27,FALSE)*VLOOKUP($A124,'3121% SY'!$C$3:$M$324,11,FALSE),3),0)+IFERROR(ROUND(VLOOKUP($A124,S275_21,28,FALSE)*VLOOKUP($A124,'3121% SY'!$C$3:$M$324,11,FALSE),3),0)+IFERROR(VLOOKUP($A124,S275_09,10,FALSE),0)</f>
        <v>0</v>
      </c>
      <c r="X124" s="267">
        <f>IFERROR(VLOOKUP($A124,Supp_46,14,FALSE),0)+IFERROR(SUMPRODUCT(VLOOKUP($A124,S275_01,{29,30,31},FALSE)),0)+IFERROR(SUMPRODUCT(VLOOKUP($A124,S275_97,{29,30,31},FALSE)),0)+IFERROR(ROUND(VLOOKUP($A124,S275_21,29,FALSE)*VLOOKUP($A124,'3121% SY'!$C$3:$M$324,11,FALSE),3),0)+IFERROR(ROUND(VLOOKUP($A124,S275_21,30,FALSE)*VLOOKUP($A124,'3121% SY'!$C$3:$M$324,11,FALSE),3),0)+IFERROR(ROUND(VLOOKUP($A124,S275_21,31,FALSE)*VLOOKUP($A124,'3121% SY'!$C$3:$M$324,11,FALSE),3),0)+IFERROR(VLOOKUP($A124,S275_09,11,FALSE),0)</f>
        <v>0</v>
      </c>
      <c r="Y124" s="267">
        <f>IFERROR(VLOOKUP($A124,Supp_47,14,FALSE),0)+IFERROR(SUMPRODUCT(VLOOKUP($A124,S275_01,{32,33,34},FALSE)),0)+IFERROR(SUMPRODUCT(VLOOKUP($A124,S275_97,{32,33,34},FALSE)),0)+IFERROR(ROUND(VLOOKUP($A124,S275_21,32,FALSE)*VLOOKUP($A124,'3121% SY'!$C$3:$M$324,11,FALSE),3),0)+IFERROR(ROUND(VLOOKUP($A124,S275_21,33,FALSE)*VLOOKUP($A124,'3121% SY'!$C$3:$M$324,11,FALSE),3),0)+IFERROR(ROUND(VLOOKUP($A124,S275_21,34,FALSE)*VLOOKUP($A124,'3121% SY'!$C$3:$M$324,11,FALSE),3),0)+IFERROR(VLOOKUP($A124,S275_09,12,FALSE),0)</f>
        <v>0</v>
      </c>
      <c r="Z124" s="267">
        <f>IFERROR(VLOOKUP($A124,Supp_48,14,FALSE),0)+IFERROR(SUMPRODUCT(VLOOKUP($A124,S275_01,{35,36,37},FALSE)),0)+IFERROR(SUMPRODUCT(VLOOKUP($A124,S275_97,{35,36,37},FALSE)),0)+IFERROR(ROUND(VLOOKUP($A124,S275_21,35,FALSE)*VLOOKUP($A124,'3121% SY'!$C$3:$M$324,11,FALSE),3),0)+IFERROR(ROUND(VLOOKUP($A124,S275_21,36,FALSE)*VLOOKUP($A124,'3121% SY'!$C$3:$M$324,11,FALSE),3),0)+IFERROR(ROUND(VLOOKUP($A124,S275_21,37,FALSE)*VLOOKUP($A124,'3121% SY'!$C$3:$M$324,11,FALSE),3),0)+IFERROR(VLOOKUP($A124,S275_09,13,FALSE),0)</f>
        <v>0</v>
      </c>
      <c r="AA124" s="267">
        <f>IFERROR(VLOOKUP($A124,Supp_49,14,FALSE),0)+IFERROR(SUMPRODUCT(VLOOKUP($A124,S275_01,{38,39,40},FALSE)),0)+IFERROR(SUMPRODUCT(VLOOKUP($A124,S275_97,{38,39,40},FALSE)),0)+IFERROR(ROUND(VLOOKUP($A124,S275_21,38,FALSE)*VLOOKUP($A124,'3121% SY'!$C$3:$M$324,11,FALSE),3),0)+IFERROR(ROUND(VLOOKUP($A124,S275_21,39,FALSE)*VLOOKUP($A124,'3121% SY'!$C$3:$M$324,11,FALSE),3),0)+IFERROR(ROUND(VLOOKUP($A124,S275_21,40,FALSE)*VLOOKUP($A124,'3121% SY'!$C$3:$M$324,11,FALSE),3),0)+IFERROR(VLOOKUP($A124,S275_09,14,FALSE),0)</f>
        <v>0.5</v>
      </c>
      <c r="AB124" s="267">
        <f>IFERROR(VLOOKUP($A124,Supp_64,14,FALSE),0)+IFERROR(SUMPRODUCT(VLOOKUP($A124,S275_01,{41,42,43},FALSE)),0)+IFERROR(SUMPRODUCT(VLOOKUP($A124,S275_97,{41,42,43},FALSE)),0)+IFERROR(ROUND(VLOOKUP($A124,S275_21,41,FALSE)*VLOOKUP($A124,'3121% SY'!$C$3:$M$324,11,FALSE),3),0)+IFERROR(ROUND(VLOOKUP($A124,S275_21,42,FALSE)*VLOOKUP($A124,'3121% SY'!$C$3:$M$324,11,FALSE),3),0)+IFERROR(ROUND(VLOOKUP($A124,S275_21,43,FALSE)*VLOOKUP($A124,'3121% SY'!$C$3:$M$324,11,FALSE),3),0)+IFERROR(VLOOKUP($A124,S275_09,15,FALSE),0)</f>
        <v>4.2000000000000003E-2</v>
      </c>
      <c r="AC124" s="268">
        <f t="shared" si="25"/>
        <v>0.54200000000000004</v>
      </c>
      <c r="AD124" s="267">
        <f>IFERROR(VLOOKUP($A124,Supp_24,14,FALSE),0)+IFERROR(SUMPRODUCT(VLOOKUP($A124,S275_01,{2,3,4},FALSE)),0)+IFERROR(SUMPRODUCT(VLOOKUP($A124,S275_97,{2,3,4},FALSE)),0)+IFERROR(ROUND(VLOOKUP($A124,S275_21,2,FALSE)*VLOOKUP($A124,'3121% SY'!$C$3:$M$324,11,FALSE),3),0)+IFERROR(ROUND(VLOOKUP($A124,S275_21,3,FALSE)*VLOOKUP($A124,'3121% SY'!$C$3:$M$324,11,FALSE),3),0)+IFERROR(ROUND(VLOOKUP($A124,S275_21,4,FALSE)*VLOOKUP($A124,'3121% SY'!$C$3:$M$324,11,FALSE),3),0)+IFERROR(VLOOKUP($A124,S275_09,2,FALSE),0)</f>
        <v>0</v>
      </c>
      <c r="AE124" s="267">
        <f>IFERROR(VLOOKUP($A124,Supp_25,14,FALSE),0)+IFERROR(SUMPRODUCT(VLOOKUP($A124,S275_01,{5,6,7},FALSE)),0)+IFERROR(SUMPRODUCT(VLOOKUP($A124,S275_97,{5,6,7},FALSE)),0)+IFERROR(ROUND(VLOOKUP($A124,S275_21,5,FALSE)*VLOOKUP($A124,'3121% SY'!$C$3:$M$324,11,FALSE),3),0)+IFERROR(ROUND(VLOOKUP($A124,S275_21,6,FALSE)*VLOOKUP($A124,'3121% SY'!$C$3:$M$324,11,FALSE),3),0)+IFERROR(ROUND(VLOOKUP($A124,S275_21,7,FALSE)*VLOOKUP($A124,'3121% SY'!$C$3:$M$324,11,FALSE),3),0)+IFERROR(VLOOKUP($A124,S275_09,3,FALSE),0)</f>
        <v>0</v>
      </c>
      <c r="AF124" s="267">
        <f>IFERROR(VLOOKUP($A124,Supp_26,14,FALSE),0)+IFERROR(SUMPRODUCT(VLOOKUP($A124,S275_01,{8,9,10},FALSE)),0)+IFERROR(SUMPRODUCT(VLOOKUP($A124,S275_97,{8,9,10},FALSE)),0)+IFERROR(ROUND(VLOOKUP($A124,S275_21,8,FALSE)*VLOOKUP($A124,'3121% SY'!$C$3:$M$324,11,FALSE),3),0)+IFERROR(ROUND(VLOOKUP($A124,S275_21,9,FALSE)*VLOOKUP($A124,'3121% SY'!$C$3:$M$324,11,FALSE),3),0)+IFERROR(ROUND(VLOOKUP($A124,S275_21,10,FALSE)*VLOOKUP($A124,'3121% SY'!$C$3:$M$324,11,FALSE),3),0)+IFERROR(VLOOKUP($A124,S275_09,4,FALSE),0)</f>
        <v>0</v>
      </c>
      <c r="AG124" s="267">
        <f>IFERROR(VLOOKUP($A124,Supp_35,14,FALSE),0)+IFERROR(SUMPRODUCT(VLOOKUP($A124,S275_01,{11,12,13},FALSE)),0)+IFERROR(SUMPRODUCT(VLOOKUP($A124,S275_97,{11,12,13},FALSE)),0)+IFERROR(ROUND(VLOOKUP($A124,S275_21,11,FALSE)*VLOOKUP($A124,'3121% SY'!$C$3:$M$324,11,FALSE),3),0)+IFERROR(ROUND(VLOOKUP($A124,S275_21,12,FALSE)*VLOOKUP($A124,'3121% SY'!$C$3:$M$324,11,FALSE),3),0)+IFERROR(ROUND(VLOOKUP($A124,S275_21,13,FALSE)*VLOOKUP($A124,'3121% SY'!$C$3:$M$324,11,FALSE),3),0)+IFERROR(VLOOKUP($A124,S275_09,5,FALSE),0)</f>
        <v>0</v>
      </c>
      <c r="AH124" s="165">
        <f t="shared" si="26"/>
        <v>0</v>
      </c>
      <c r="AI124" s="161">
        <f>IFERROR(VLOOKUP(A124,'Supp Staff Data'!A:ER,148,FALSE),0)+AB124</f>
        <v>4.2000000000000003E-2</v>
      </c>
      <c r="AJ124" s="174">
        <v>1</v>
      </c>
      <c r="AK124" s="25">
        <f>VLOOKUP(A124,'Enroll Data as of January 2025'!$A$3:$T$323,20,FALSE)-F124</f>
        <v>0</v>
      </c>
    </row>
    <row r="125" spans="1:37" x14ac:dyDescent="0.25">
      <c r="A125" s="171" t="s">
        <v>151</v>
      </c>
      <c r="B125" t="s">
        <v>447</v>
      </c>
      <c r="C125" s="173" t="s">
        <v>1077</v>
      </c>
      <c r="D125" s="259">
        <f t="shared" si="19"/>
        <v>0.26300000000000001</v>
      </c>
      <c r="E125" s="259">
        <f t="shared" si="20"/>
        <v>1.335</v>
      </c>
      <c r="F125" s="262">
        <f t="shared" si="29"/>
        <v>1.0720000000000001</v>
      </c>
      <c r="G125" s="161">
        <f>ROUND(IF(F125&lt;0,F125*'2024-25 PSES Compliance'!$G$13,0),3)</f>
        <v>0</v>
      </c>
      <c r="H125" s="161">
        <f>ROUND(IF(F125&lt;0,F125*'2024-25 PSES Compliance'!$G$14,0),3)</f>
        <v>0</v>
      </c>
      <c r="I125" s="174">
        <f t="shared" si="21"/>
        <v>0.74906367041198507</v>
      </c>
      <c r="J125" s="174">
        <f t="shared" si="22"/>
        <v>0</v>
      </c>
      <c r="K125" s="161">
        <f>VLOOKUP($A125,'Enroll Data as of January 2025'!$A$3:$M$322,6,FALSE)</f>
        <v>0.155</v>
      </c>
      <c r="L125" s="161">
        <f>VLOOKUP($A125,'Enroll Data as of January 2025'!$A$3:$M$322,7,FALSE)</f>
        <v>2.4E-2</v>
      </c>
      <c r="M125" s="161">
        <f>VLOOKUP($A125,'Enroll Data as of January 2025'!$A$3:$M$322,8,FALSE)</f>
        <v>8.0000000000000002E-3</v>
      </c>
      <c r="N125" s="161">
        <f>VLOOKUP($A125,'Enroll Data as of January 2025'!$A$3:$M$322,9,FALSE)</f>
        <v>6.2E-2</v>
      </c>
      <c r="O125" s="165">
        <f t="shared" si="23"/>
        <v>0.249</v>
      </c>
      <c r="P125" s="161">
        <f>VLOOKUP($A125,'Enroll Data as of January 2025'!$A$3:$M$322,11,FALSE)</f>
        <v>9.0000000000000011E-3</v>
      </c>
      <c r="Q125" s="161">
        <f>VLOOKUP($A125,'Enroll Data as of January 2025'!$A$3:$M$322,12,FALSE)</f>
        <v>5.0000000000000001E-3</v>
      </c>
      <c r="R125" s="165">
        <f t="shared" si="24"/>
        <v>1.4000000000000002E-2</v>
      </c>
      <c r="S125" s="267">
        <f>IFERROR(VLOOKUP($A125,Supp_39,14,FALSE),0)+IFERROR(SUMPRODUCT(VLOOKUP($A125,S275_01,{14,15,16},FALSE)),0)+IFERROR(SUMPRODUCT(VLOOKUP($A125,S275_97,{14,15,16},FALSE)),0)+IFERROR(ROUND(VLOOKUP($A125,S275_21,14,FALSE)*VLOOKUP($A125,'3121% SY'!$C$3:$M$324,11,FALSE),3),0)+IFERROR(ROUND(VLOOKUP($A125,S275_21,15,FALSE)*VLOOKUP($A125,'3121% SY'!$C$3:$M$324,11,FALSE),3),0)+IFERROR(ROUND(VLOOKUP($A125,S275_21,16,FALSE)*VLOOKUP($A125,'3121% SY'!$C$3:$M$324,11,FALSE),3),0)+IFERROR(VLOOKUP($A125,S275_09,6,FALSE),0)</f>
        <v>1</v>
      </c>
      <c r="T125" s="267">
        <f>IFERROR(VLOOKUP($A125,Supp_42,14,FALSE),0)+IFERROR(SUMPRODUCT(VLOOKUP($A125,S275_01,{17,18,19},FALSE)),0)+IFERROR(SUMPRODUCT(VLOOKUP($A125,S275_97,{17,18,19},FALSE)),0)+IFERROR(ROUND(VLOOKUP($A125,S275_21,17,FALSE)*VLOOKUP($A125,'3121% SY'!$C$3:$M$324,11,FALSE),3),0)+IFERROR(ROUND(VLOOKUP($A125,S275_21,18,FALSE)*VLOOKUP($A125,'3121% SY'!$C$3:$M$324,11,FALSE),3),0)+IFERROR(ROUND(VLOOKUP($A125,S275_21,19,FALSE)*VLOOKUP($A125,'3121% SY'!$C$3:$M$324,11,FALSE),3),0)+IFERROR(VLOOKUP($A125,S275_09,7,FALSE),0)</f>
        <v>0</v>
      </c>
      <c r="U125" s="267">
        <f>IFERROR(VLOOKUP($A125,Supp_43,14,FALSE),0)+IFERROR(SUMPRODUCT(VLOOKUP($A125,S275_01,{20,21,22},FALSE)),0)+IFERROR(SUMPRODUCT(VLOOKUP($A125,S275_97,{20,21,22},FALSE)),0)+IFERROR(ROUND(VLOOKUP($A125,S275_21,20,FALSE)*VLOOKUP($A125,'3121% SY'!$C$3:$M$324,11,FALSE),3),0)+IFERROR(ROUND(VLOOKUP($A125,S275_21,21,FALSE)*VLOOKUP($A125,'3121% SY'!$C$3:$M$324,11,FALSE),3),0)+IFERROR(ROUND(VLOOKUP($A125,S275_21,22,FALSE)*VLOOKUP($A125,'3121% SY'!$C$3:$M$324,11,FALSE),3),0)+IFERROR(VLOOKUP($A125,S275_09,8,FALSE),0)</f>
        <v>0</v>
      </c>
      <c r="V125" s="267">
        <f>IFERROR(VLOOKUP($A125,Supp_44,14,FALSE),0)+IFERROR(SUMPRODUCT(VLOOKUP($A125,S275_01,{23,24,25},FALSE)),0)+IFERROR(SUMPRODUCT(VLOOKUP($A125,S275_97,{23,24,25},FALSE)),0)+IFERROR(ROUND(VLOOKUP($A125,S275_21,23,FALSE)*VLOOKUP($A125,'3121% SY'!$C$3:$M$324,11,FALSE),3),0)+IFERROR(ROUND(VLOOKUP($A125,S275_21,24,FALSE)*VLOOKUP($A125,'3121% SY'!$C$3:$M$324,11,FALSE),3),0)+IFERROR(ROUND(VLOOKUP($A125,S275_21,25,FALSE)*VLOOKUP($A125,'3121% SY'!$C$3:$M$324,11,FALSE),3),0)+IFERROR(VLOOKUP($A125,S275_09,9,FALSE),0)</f>
        <v>0</v>
      </c>
      <c r="W125" s="267">
        <f>IFERROR(VLOOKUP($A125,Supp_45,14,FALSE),0)+IFERROR(SUMPRODUCT(VLOOKUP($A125,S275_01,{26,27,28},FALSE)),0)+IFERROR(SUMPRODUCT(VLOOKUP($A125,S275_97,{26,27,28},FALSE)),0)+IFERROR(ROUND(VLOOKUP($A125,S275_21,26,FALSE)*VLOOKUP($A125,'3121% SY'!$C$3:$M$324,11,FALSE),3),0)+IFERROR(ROUND(VLOOKUP($A125,S275_21,27,FALSE)*VLOOKUP($A125,'3121% SY'!$C$3:$M$324,11,FALSE),3),0)+IFERROR(ROUND(VLOOKUP($A125,S275_21,28,FALSE)*VLOOKUP($A125,'3121% SY'!$C$3:$M$324,11,FALSE),3),0)+IFERROR(VLOOKUP($A125,S275_09,10,FALSE),0)</f>
        <v>0</v>
      </c>
      <c r="X125" s="267">
        <f>IFERROR(VLOOKUP($A125,Supp_46,14,FALSE),0)+IFERROR(SUMPRODUCT(VLOOKUP($A125,S275_01,{29,30,31},FALSE)),0)+IFERROR(SUMPRODUCT(VLOOKUP($A125,S275_97,{29,30,31},FALSE)),0)+IFERROR(ROUND(VLOOKUP($A125,S275_21,29,FALSE)*VLOOKUP($A125,'3121% SY'!$C$3:$M$324,11,FALSE),3),0)+IFERROR(ROUND(VLOOKUP($A125,S275_21,30,FALSE)*VLOOKUP($A125,'3121% SY'!$C$3:$M$324,11,FALSE),3),0)+IFERROR(ROUND(VLOOKUP($A125,S275_21,31,FALSE)*VLOOKUP($A125,'3121% SY'!$C$3:$M$324,11,FALSE),3),0)+IFERROR(VLOOKUP($A125,S275_09,11,FALSE),0)</f>
        <v>0</v>
      </c>
      <c r="Y125" s="267">
        <f>IFERROR(VLOOKUP($A125,Supp_47,14,FALSE),0)+IFERROR(SUMPRODUCT(VLOOKUP($A125,S275_01,{32,33,34},FALSE)),0)+IFERROR(SUMPRODUCT(VLOOKUP($A125,S275_97,{32,33,34},FALSE)),0)+IFERROR(ROUND(VLOOKUP($A125,S275_21,32,FALSE)*VLOOKUP($A125,'3121% SY'!$C$3:$M$324,11,FALSE),3),0)+IFERROR(ROUND(VLOOKUP($A125,S275_21,33,FALSE)*VLOOKUP($A125,'3121% SY'!$C$3:$M$324,11,FALSE),3),0)+IFERROR(ROUND(VLOOKUP($A125,S275_21,34,FALSE)*VLOOKUP($A125,'3121% SY'!$C$3:$M$324,11,FALSE),3),0)+IFERROR(VLOOKUP($A125,S275_09,12,FALSE),0)</f>
        <v>0</v>
      </c>
      <c r="Z125" s="267">
        <f>IFERROR(VLOOKUP($A125,Supp_48,14,FALSE),0)+IFERROR(SUMPRODUCT(VLOOKUP($A125,S275_01,{35,36,37},FALSE)),0)+IFERROR(SUMPRODUCT(VLOOKUP($A125,S275_97,{35,36,37},FALSE)),0)+IFERROR(ROUND(VLOOKUP($A125,S275_21,35,FALSE)*VLOOKUP($A125,'3121% SY'!$C$3:$M$324,11,FALSE),3),0)+IFERROR(ROUND(VLOOKUP($A125,S275_21,36,FALSE)*VLOOKUP($A125,'3121% SY'!$C$3:$M$324,11,FALSE),3),0)+IFERROR(ROUND(VLOOKUP($A125,S275_21,37,FALSE)*VLOOKUP($A125,'3121% SY'!$C$3:$M$324,11,FALSE),3),0)+IFERROR(VLOOKUP($A125,S275_09,13,FALSE),0)</f>
        <v>0</v>
      </c>
      <c r="AA125" s="267">
        <f>IFERROR(VLOOKUP($A125,Supp_49,14,FALSE),0)+IFERROR(SUMPRODUCT(VLOOKUP($A125,S275_01,{38,39,40},FALSE)),0)+IFERROR(SUMPRODUCT(VLOOKUP($A125,S275_97,{38,39,40},FALSE)),0)+IFERROR(ROUND(VLOOKUP($A125,S275_21,38,FALSE)*VLOOKUP($A125,'3121% SY'!$C$3:$M$324,11,FALSE),3),0)+IFERROR(ROUND(VLOOKUP($A125,S275_21,39,FALSE)*VLOOKUP($A125,'3121% SY'!$C$3:$M$324,11,FALSE),3),0)+IFERROR(ROUND(VLOOKUP($A125,S275_21,40,FALSE)*VLOOKUP($A125,'3121% SY'!$C$3:$M$324,11,FALSE),3),0)+IFERROR(VLOOKUP($A125,S275_09,14,FALSE),0)</f>
        <v>0</v>
      </c>
      <c r="AB125" s="267">
        <f>IFERROR(VLOOKUP($A125,Supp_64,14,FALSE),0)+IFERROR(SUMPRODUCT(VLOOKUP($A125,S275_01,{41,42,43},FALSE)),0)+IFERROR(SUMPRODUCT(VLOOKUP($A125,S275_97,{41,42,43},FALSE)),0)+IFERROR(ROUND(VLOOKUP($A125,S275_21,41,FALSE)*VLOOKUP($A125,'3121% SY'!$C$3:$M$324,11,FALSE),3),0)+IFERROR(ROUND(VLOOKUP($A125,S275_21,42,FALSE)*VLOOKUP($A125,'3121% SY'!$C$3:$M$324,11,FALSE),3),0)+IFERROR(ROUND(VLOOKUP($A125,S275_21,43,FALSE)*VLOOKUP($A125,'3121% SY'!$C$3:$M$324,11,FALSE),3),0)+IFERROR(VLOOKUP($A125,S275_09,15,FALSE),0)</f>
        <v>0</v>
      </c>
      <c r="AC125" s="268">
        <f t="shared" si="25"/>
        <v>1</v>
      </c>
      <c r="AD125" s="267">
        <f>IFERROR(VLOOKUP($A125,Supp_24,14,FALSE),0)+IFERROR(SUMPRODUCT(VLOOKUP($A125,S275_01,{2,3,4},FALSE)),0)+IFERROR(SUMPRODUCT(VLOOKUP($A125,S275_97,{2,3,4},FALSE)),0)+IFERROR(ROUND(VLOOKUP($A125,S275_21,2,FALSE)*VLOOKUP($A125,'3121% SY'!$C$3:$M$324,11,FALSE),3),0)+IFERROR(ROUND(VLOOKUP($A125,S275_21,3,FALSE)*VLOOKUP($A125,'3121% SY'!$C$3:$M$324,11,FALSE),3),0)+IFERROR(ROUND(VLOOKUP($A125,S275_21,4,FALSE)*VLOOKUP($A125,'3121% SY'!$C$3:$M$324,11,FALSE),3),0)+IFERROR(VLOOKUP($A125,S275_09,2,FALSE),0)</f>
        <v>0</v>
      </c>
      <c r="AE125" s="267">
        <f>IFERROR(VLOOKUP($A125,Supp_25,14,FALSE),0)+IFERROR(SUMPRODUCT(VLOOKUP($A125,S275_01,{5,6,7},FALSE)),0)+IFERROR(SUMPRODUCT(VLOOKUP($A125,S275_97,{5,6,7},FALSE)),0)+IFERROR(ROUND(VLOOKUP($A125,S275_21,5,FALSE)*VLOOKUP($A125,'3121% SY'!$C$3:$M$324,11,FALSE),3),0)+IFERROR(ROUND(VLOOKUP($A125,S275_21,6,FALSE)*VLOOKUP($A125,'3121% SY'!$C$3:$M$324,11,FALSE),3),0)+IFERROR(ROUND(VLOOKUP($A125,S275_21,7,FALSE)*VLOOKUP($A125,'3121% SY'!$C$3:$M$324,11,FALSE),3),0)+IFERROR(VLOOKUP($A125,S275_09,3,FALSE),0)</f>
        <v>0.33500000000000002</v>
      </c>
      <c r="AF125" s="267">
        <f>IFERROR(VLOOKUP($A125,Supp_26,14,FALSE),0)+IFERROR(SUMPRODUCT(VLOOKUP($A125,S275_01,{8,9,10},FALSE)),0)+IFERROR(SUMPRODUCT(VLOOKUP($A125,S275_97,{8,9,10},FALSE)),0)+IFERROR(ROUND(VLOOKUP($A125,S275_21,8,FALSE)*VLOOKUP($A125,'3121% SY'!$C$3:$M$324,11,FALSE),3),0)+IFERROR(ROUND(VLOOKUP($A125,S275_21,9,FALSE)*VLOOKUP($A125,'3121% SY'!$C$3:$M$324,11,FALSE),3),0)+IFERROR(ROUND(VLOOKUP($A125,S275_21,10,FALSE)*VLOOKUP($A125,'3121% SY'!$C$3:$M$324,11,FALSE),3),0)+IFERROR(VLOOKUP($A125,S275_09,4,FALSE),0)</f>
        <v>0</v>
      </c>
      <c r="AG125" s="267">
        <f>IFERROR(VLOOKUP($A125,Supp_35,14,FALSE),0)+IFERROR(SUMPRODUCT(VLOOKUP($A125,S275_01,{11,12,13},FALSE)),0)+IFERROR(SUMPRODUCT(VLOOKUP($A125,S275_97,{11,12,13},FALSE)),0)+IFERROR(ROUND(VLOOKUP($A125,S275_21,11,FALSE)*VLOOKUP($A125,'3121% SY'!$C$3:$M$324,11,FALSE),3),0)+IFERROR(ROUND(VLOOKUP($A125,S275_21,12,FALSE)*VLOOKUP($A125,'3121% SY'!$C$3:$M$324,11,FALSE),3),0)+IFERROR(ROUND(VLOOKUP($A125,S275_21,13,FALSE)*VLOOKUP($A125,'3121% SY'!$C$3:$M$324,11,FALSE),3),0)+IFERROR(VLOOKUP($A125,S275_09,5,FALSE),0)</f>
        <v>0</v>
      </c>
      <c r="AH125" s="165">
        <f t="shared" si="26"/>
        <v>0.33500000000000002</v>
      </c>
      <c r="AI125" s="161">
        <f>IFERROR(VLOOKUP(A125,'Supp Staff Data'!A:ER,148,FALSE),0)+AB125</f>
        <v>0</v>
      </c>
      <c r="AJ125" s="174">
        <v>1</v>
      </c>
      <c r="AK125" s="25">
        <f>VLOOKUP(A125,'Enroll Data as of January 2025'!$A$3:$T$323,20,FALSE)-F125</f>
        <v>0</v>
      </c>
    </row>
    <row r="126" spans="1:37" x14ac:dyDescent="0.25">
      <c r="A126" s="171" t="s">
        <v>11</v>
      </c>
      <c r="B126" t="s">
        <v>308</v>
      </c>
      <c r="C126" s="173" t="s">
        <v>1077</v>
      </c>
      <c r="D126" s="259">
        <f t="shared" si="19"/>
        <v>1.9029999999999998</v>
      </c>
      <c r="E126" s="259">
        <f t="shared" si="20"/>
        <v>2.1320000000000001</v>
      </c>
      <c r="F126" s="262">
        <f t="shared" si="29"/>
        <v>0.22900000000000001</v>
      </c>
      <c r="G126" s="161">
        <f>ROUND(IF(F126&lt;0,F126*'2024-25 PSES Compliance'!$G$13,0),3)</f>
        <v>0</v>
      </c>
      <c r="H126" s="161">
        <f>ROUND(IF(F126&lt;0,F126*'2024-25 PSES Compliance'!$G$14,0),3)</f>
        <v>0</v>
      </c>
      <c r="I126" s="174">
        <f t="shared" si="21"/>
        <v>0.29315196998123827</v>
      </c>
      <c r="J126" s="174">
        <f t="shared" si="22"/>
        <v>0</v>
      </c>
      <c r="K126" s="161">
        <f>VLOOKUP($A126,'Enroll Data as of January 2025'!$A$3:$M$322,6,FALSE)</f>
        <v>1.0739999999999998</v>
      </c>
      <c r="L126" s="161">
        <f>VLOOKUP($A126,'Enroll Data as of January 2025'!$A$3:$M$322,7,FALSE)</f>
        <v>0.17599999999999999</v>
      </c>
      <c r="M126" s="161">
        <f>VLOOKUP($A126,'Enroll Data as of January 2025'!$A$3:$M$322,8,FALSE)</f>
        <v>6.0000000000000005E-2</v>
      </c>
      <c r="N126" s="161">
        <f>VLOOKUP($A126,'Enroll Data as of January 2025'!$A$3:$M$322,9,FALSE)</f>
        <v>0.48699999999999999</v>
      </c>
      <c r="O126" s="165">
        <f t="shared" si="23"/>
        <v>1.7969999999999997</v>
      </c>
      <c r="P126" s="161">
        <f>VLOOKUP($A126,'Enroll Data as of January 2025'!$A$3:$M$322,11,FALSE)</f>
        <v>6.7000000000000004E-2</v>
      </c>
      <c r="Q126" s="161">
        <f>VLOOKUP($A126,'Enroll Data as of January 2025'!$A$3:$M$322,12,FALSE)</f>
        <v>3.9E-2</v>
      </c>
      <c r="R126" s="165">
        <f t="shared" si="24"/>
        <v>0.10600000000000001</v>
      </c>
      <c r="S126" s="267">
        <f>IFERROR(VLOOKUP($A126,Supp_39,14,FALSE),0)+IFERROR(SUMPRODUCT(VLOOKUP($A126,S275_01,{14,15,16},FALSE)),0)+IFERROR(SUMPRODUCT(VLOOKUP($A126,S275_97,{14,15,16},FALSE)),0)+IFERROR(ROUND(VLOOKUP($A126,S275_21,14,FALSE)*VLOOKUP($A126,'3121% SY'!$C$3:$M$324,11,FALSE),3),0)+IFERROR(ROUND(VLOOKUP($A126,S275_21,15,FALSE)*VLOOKUP($A126,'3121% SY'!$C$3:$M$324,11,FALSE),3),0)+IFERROR(ROUND(VLOOKUP($A126,S275_21,16,FALSE)*VLOOKUP($A126,'3121% SY'!$C$3:$M$324,11,FALSE),3),0)+IFERROR(VLOOKUP($A126,S275_09,6,FALSE),0)</f>
        <v>0.625</v>
      </c>
      <c r="T126" s="267">
        <f>IFERROR(VLOOKUP($A126,Supp_42,14,FALSE),0)+IFERROR(SUMPRODUCT(VLOOKUP($A126,S275_01,{17,18,19},FALSE)),0)+IFERROR(SUMPRODUCT(VLOOKUP($A126,S275_97,{17,18,19},FALSE)),0)+IFERROR(ROUND(VLOOKUP($A126,S275_21,17,FALSE)*VLOOKUP($A126,'3121% SY'!$C$3:$M$324,11,FALSE),3),0)+IFERROR(ROUND(VLOOKUP($A126,S275_21,18,FALSE)*VLOOKUP($A126,'3121% SY'!$C$3:$M$324,11,FALSE),3),0)+IFERROR(ROUND(VLOOKUP($A126,S275_21,19,FALSE)*VLOOKUP($A126,'3121% SY'!$C$3:$M$324,11,FALSE),3),0)+IFERROR(VLOOKUP($A126,S275_09,7,FALSE),0)</f>
        <v>0</v>
      </c>
      <c r="U126" s="267">
        <f>IFERROR(VLOOKUP($A126,Supp_43,14,FALSE),0)+IFERROR(SUMPRODUCT(VLOOKUP($A126,S275_01,{20,21,22},FALSE)),0)+IFERROR(SUMPRODUCT(VLOOKUP($A126,S275_97,{20,21,22},FALSE)),0)+IFERROR(ROUND(VLOOKUP($A126,S275_21,20,FALSE)*VLOOKUP($A126,'3121% SY'!$C$3:$M$324,11,FALSE),3),0)+IFERROR(ROUND(VLOOKUP($A126,S275_21,21,FALSE)*VLOOKUP($A126,'3121% SY'!$C$3:$M$324,11,FALSE),3),0)+IFERROR(ROUND(VLOOKUP($A126,S275_21,22,FALSE)*VLOOKUP($A126,'3121% SY'!$C$3:$M$324,11,FALSE),3),0)+IFERROR(VLOOKUP($A126,S275_09,8,FALSE),0)</f>
        <v>0</v>
      </c>
      <c r="V126" s="267">
        <f>IFERROR(VLOOKUP($A126,Supp_44,14,FALSE),0)+IFERROR(SUMPRODUCT(VLOOKUP($A126,S275_01,{23,24,25},FALSE)),0)+IFERROR(SUMPRODUCT(VLOOKUP($A126,S275_97,{23,24,25},FALSE)),0)+IFERROR(ROUND(VLOOKUP($A126,S275_21,23,FALSE)*VLOOKUP($A126,'3121% SY'!$C$3:$M$324,11,FALSE),3),0)+IFERROR(ROUND(VLOOKUP($A126,S275_21,24,FALSE)*VLOOKUP($A126,'3121% SY'!$C$3:$M$324,11,FALSE),3),0)+IFERROR(ROUND(VLOOKUP($A126,S275_21,25,FALSE)*VLOOKUP($A126,'3121% SY'!$C$3:$M$324,11,FALSE),3),0)+IFERROR(VLOOKUP($A126,S275_09,9,FALSE),0)</f>
        <v>0</v>
      </c>
      <c r="W126" s="267">
        <f>IFERROR(VLOOKUP($A126,Supp_45,14,FALSE),0)+IFERROR(SUMPRODUCT(VLOOKUP($A126,S275_01,{26,27,28},FALSE)),0)+IFERROR(SUMPRODUCT(VLOOKUP($A126,S275_97,{26,27,28},FALSE)),0)+IFERROR(ROUND(VLOOKUP($A126,S275_21,26,FALSE)*VLOOKUP($A126,'3121% SY'!$C$3:$M$324,11,FALSE),3),0)+IFERROR(ROUND(VLOOKUP($A126,S275_21,27,FALSE)*VLOOKUP($A126,'3121% SY'!$C$3:$M$324,11,FALSE),3),0)+IFERROR(ROUND(VLOOKUP($A126,S275_21,28,FALSE)*VLOOKUP($A126,'3121% SY'!$C$3:$M$324,11,FALSE),3),0)+IFERROR(VLOOKUP($A126,S275_09,10,FALSE),0)</f>
        <v>0</v>
      </c>
      <c r="X126" s="267">
        <f>IFERROR(VLOOKUP($A126,Supp_46,14,FALSE),0)+IFERROR(SUMPRODUCT(VLOOKUP($A126,S275_01,{29,30,31},FALSE)),0)+IFERROR(SUMPRODUCT(VLOOKUP($A126,S275_97,{29,30,31},FALSE)),0)+IFERROR(ROUND(VLOOKUP($A126,S275_21,29,FALSE)*VLOOKUP($A126,'3121% SY'!$C$3:$M$324,11,FALSE),3),0)+IFERROR(ROUND(VLOOKUP($A126,S275_21,30,FALSE)*VLOOKUP($A126,'3121% SY'!$C$3:$M$324,11,FALSE),3),0)+IFERROR(ROUND(VLOOKUP($A126,S275_21,31,FALSE)*VLOOKUP($A126,'3121% SY'!$C$3:$M$324,11,FALSE),3),0)+IFERROR(VLOOKUP($A126,S275_09,11,FALSE),0)</f>
        <v>0</v>
      </c>
      <c r="Y126" s="267">
        <f>IFERROR(VLOOKUP($A126,Supp_47,14,FALSE),0)+IFERROR(SUMPRODUCT(VLOOKUP($A126,S275_01,{32,33,34},FALSE)),0)+IFERROR(SUMPRODUCT(VLOOKUP($A126,S275_97,{32,33,34},FALSE)),0)+IFERROR(ROUND(VLOOKUP($A126,S275_21,32,FALSE)*VLOOKUP($A126,'3121% SY'!$C$3:$M$324,11,FALSE),3),0)+IFERROR(ROUND(VLOOKUP($A126,S275_21,33,FALSE)*VLOOKUP($A126,'3121% SY'!$C$3:$M$324,11,FALSE),3),0)+IFERROR(ROUND(VLOOKUP($A126,S275_21,34,FALSE)*VLOOKUP($A126,'3121% SY'!$C$3:$M$324,11,FALSE),3),0)+IFERROR(VLOOKUP($A126,S275_09,12,FALSE),0)</f>
        <v>0</v>
      </c>
      <c r="Z126" s="267">
        <f>IFERROR(VLOOKUP($A126,Supp_48,14,FALSE),0)+IFERROR(SUMPRODUCT(VLOOKUP($A126,S275_01,{35,36,37},FALSE)),0)+IFERROR(SUMPRODUCT(VLOOKUP($A126,S275_97,{35,36,37},FALSE)),0)+IFERROR(ROUND(VLOOKUP($A126,S275_21,35,FALSE)*VLOOKUP($A126,'3121% SY'!$C$3:$M$324,11,FALSE),3),0)+IFERROR(ROUND(VLOOKUP($A126,S275_21,36,FALSE)*VLOOKUP($A126,'3121% SY'!$C$3:$M$324,11,FALSE),3),0)+IFERROR(ROUND(VLOOKUP($A126,S275_21,37,FALSE)*VLOOKUP($A126,'3121% SY'!$C$3:$M$324,11,FALSE),3),0)+IFERROR(VLOOKUP($A126,S275_09,13,FALSE),0)</f>
        <v>0</v>
      </c>
      <c r="AA126" s="267">
        <f>IFERROR(VLOOKUP($A126,Supp_49,14,FALSE),0)+IFERROR(SUMPRODUCT(VLOOKUP($A126,S275_01,{38,39,40},FALSE)),0)+IFERROR(SUMPRODUCT(VLOOKUP($A126,S275_97,{38,39,40},FALSE)),0)+IFERROR(ROUND(VLOOKUP($A126,S275_21,38,FALSE)*VLOOKUP($A126,'3121% SY'!$C$3:$M$324,11,FALSE),3),0)+IFERROR(ROUND(VLOOKUP($A126,S275_21,39,FALSE)*VLOOKUP($A126,'3121% SY'!$C$3:$M$324,11,FALSE),3),0)+IFERROR(ROUND(VLOOKUP($A126,S275_21,40,FALSE)*VLOOKUP($A126,'3121% SY'!$C$3:$M$324,11,FALSE),3),0)+IFERROR(VLOOKUP($A126,S275_09,14,FALSE),0)</f>
        <v>0</v>
      </c>
      <c r="AB126" s="267">
        <f>IFERROR(VLOOKUP($A126,Supp_64,14,FALSE),0)+IFERROR(SUMPRODUCT(VLOOKUP($A126,S275_01,{41,42,43},FALSE)),0)+IFERROR(SUMPRODUCT(VLOOKUP($A126,S275_97,{41,42,43},FALSE)),0)+IFERROR(ROUND(VLOOKUP($A126,S275_21,41,FALSE)*VLOOKUP($A126,'3121% SY'!$C$3:$M$324,11,FALSE),3),0)+IFERROR(ROUND(VLOOKUP($A126,S275_21,42,FALSE)*VLOOKUP($A126,'3121% SY'!$C$3:$M$324,11,FALSE),3),0)+IFERROR(ROUND(VLOOKUP($A126,S275_21,43,FALSE)*VLOOKUP($A126,'3121% SY'!$C$3:$M$324,11,FALSE),3),0)+IFERROR(VLOOKUP($A126,S275_09,15,FALSE),0)</f>
        <v>0</v>
      </c>
      <c r="AC126" s="268">
        <f t="shared" si="25"/>
        <v>0.625</v>
      </c>
      <c r="AD126" s="267">
        <f>IFERROR(VLOOKUP($A126,Supp_24,14,FALSE),0)+IFERROR(SUMPRODUCT(VLOOKUP($A126,S275_01,{2,3,4},FALSE)),0)+IFERROR(SUMPRODUCT(VLOOKUP($A126,S275_97,{2,3,4},FALSE)),0)+IFERROR(ROUND(VLOOKUP($A126,S275_21,2,FALSE)*VLOOKUP($A126,'3121% SY'!$C$3:$M$324,11,FALSE),3),0)+IFERROR(ROUND(VLOOKUP($A126,S275_21,3,FALSE)*VLOOKUP($A126,'3121% SY'!$C$3:$M$324,11,FALSE),3),0)+IFERROR(ROUND(VLOOKUP($A126,S275_21,4,FALSE)*VLOOKUP($A126,'3121% SY'!$C$3:$M$324,11,FALSE),3),0)+IFERROR(VLOOKUP($A126,S275_09,2,FALSE),0)</f>
        <v>0</v>
      </c>
      <c r="AE126" s="267">
        <f>IFERROR(VLOOKUP($A126,Supp_25,14,FALSE),0)+IFERROR(SUMPRODUCT(VLOOKUP($A126,S275_01,{5,6,7},FALSE)),0)+IFERROR(SUMPRODUCT(VLOOKUP($A126,S275_97,{5,6,7},FALSE)),0)+IFERROR(ROUND(VLOOKUP($A126,S275_21,5,FALSE)*VLOOKUP($A126,'3121% SY'!$C$3:$M$324,11,FALSE),3),0)+IFERROR(ROUND(VLOOKUP($A126,S275_21,6,FALSE)*VLOOKUP($A126,'3121% SY'!$C$3:$M$324,11,FALSE),3),0)+IFERROR(ROUND(VLOOKUP($A126,S275_21,7,FALSE)*VLOOKUP($A126,'3121% SY'!$C$3:$M$324,11,FALSE),3),0)+IFERROR(VLOOKUP($A126,S275_09,3,FALSE),0)</f>
        <v>0.90800000000000003</v>
      </c>
      <c r="AF126" s="267">
        <f>IFERROR(VLOOKUP($A126,Supp_26,14,FALSE),0)+IFERROR(SUMPRODUCT(VLOOKUP($A126,S275_01,{8,9,10},FALSE)),0)+IFERROR(SUMPRODUCT(VLOOKUP($A126,S275_97,{8,9,10},FALSE)),0)+IFERROR(ROUND(VLOOKUP($A126,S275_21,8,FALSE)*VLOOKUP($A126,'3121% SY'!$C$3:$M$324,11,FALSE),3),0)+IFERROR(ROUND(VLOOKUP($A126,S275_21,9,FALSE)*VLOOKUP($A126,'3121% SY'!$C$3:$M$324,11,FALSE),3),0)+IFERROR(ROUND(VLOOKUP($A126,S275_21,10,FALSE)*VLOOKUP($A126,'3121% SY'!$C$3:$M$324,11,FALSE),3),0)+IFERROR(VLOOKUP($A126,S275_09,4,FALSE),0)</f>
        <v>0.59899999999999998</v>
      </c>
      <c r="AG126" s="267">
        <f>IFERROR(VLOOKUP($A126,Supp_35,14,FALSE),0)+IFERROR(SUMPRODUCT(VLOOKUP($A126,S275_01,{11,12,13},FALSE)),0)+IFERROR(SUMPRODUCT(VLOOKUP($A126,S275_97,{11,12,13},FALSE)),0)+IFERROR(ROUND(VLOOKUP($A126,S275_21,11,FALSE)*VLOOKUP($A126,'3121% SY'!$C$3:$M$324,11,FALSE),3),0)+IFERROR(ROUND(VLOOKUP($A126,S275_21,12,FALSE)*VLOOKUP($A126,'3121% SY'!$C$3:$M$324,11,FALSE),3),0)+IFERROR(ROUND(VLOOKUP($A126,S275_21,13,FALSE)*VLOOKUP($A126,'3121% SY'!$C$3:$M$324,11,FALSE),3),0)+IFERROR(VLOOKUP($A126,S275_09,5,FALSE),0)</f>
        <v>0</v>
      </c>
      <c r="AH126" s="165">
        <f t="shared" si="26"/>
        <v>1.5070000000000001</v>
      </c>
      <c r="AI126" s="161">
        <f>IFERROR(VLOOKUP(A126,'Supp Staff Data'!A:ER,148,FALSE),0)+AB126</f>
        <v>0</v>
      </c>
      <c r="AJ126" s="174">
        <v>1</v>
      </c>
      <c r="AK126" s="25">
        <f>VLOOKUP(A126,'Enroll Data as of January 2025'!$A$3:$T$323,20,FALSE)-F126</f>
        <v>0</v>
      </c>
    </row>
    <row r="127" spans="1:37" x14ac:dyDescent="0.25">
      <c r="A127" t="s">
        <v>85</v>
      </c>
      <c r="B127" t="s">
        <v>381</v>
      </c>
      <c r="C127" s="173" t="s">
        <v>1086</v>
      </c>
      <c r="D127" s="259">
        <f t="shared" si="19"/>
        <v>0.91600000000000004</v>
      </c>
      <c r="E127" s="259">
        <f t="shared" si="20"/>
        <v>0.53300000000000003</v>
      </c>
      <c r="F127" s="262">
        <f t="shared" si="29"/>
        <v>-0.38300000000000001</v>
      </c>
      <c r="G127" s="161">
        <f>ROUND(IF(F127&lt;0,F127*'2024-25 PSES Compliance'!$G$13,0),3)</f>
        <v>-0.36799999999999999</v>
      </c>
      <c r="H127" s="161">
        <f>ROUND(IF(F127&lt;0,F127*'2024-25 PSES Compliance'!$G$14,0),3)</f>
        <v>-1.4999999999999999E-2</v>
      </c>
      <c r="I127" s="174">
        <f t="shared" si="21"/>
        <v>2.8571</v>
      </c>
      <c r="J127" s="174">
        <f t="shared" si="22"/>
        <v>0</v>
      </c>
      <c r="K127" s="161">
        <f>VLOOKUP($A127,'Enroll Data as of January 2025'!$A$3:$M$322,6,FALSE)</f>
        <v>0.50600000000000001</v>
      </c>
      <c r="L127" s="161">
        <f>VLOOKUP($A127,'Enroll Data as of January 2025'!$A$3:$M$322,7,FALSE)</f>
        <v>8.900000000000001E-2</v>
      </c>
      <c r="M127" s="161">
        <f>VLOOKUP($A127,'Enroll Data as of January 2025'!$A$3:$M$322,8,FALSE)</f>
        <v>0.03</v>
      </c>
      <c r="N127" s="161">
        <f>VLOOKUP($A127,'Enroll Data as of January 2025'!$A$3:$M$322,9,FALSE)</f>
        <v>0.23899999999999999</v>
      </c>
      <c r="O127" s="165">
        <f t="shared" si="23"/>
        <v>0.86399999999999999</v>
      </c>
      <c r="P127" s="161">
        <f>VLOOKUP($A127,'Enroll Data as of January 2025'!$A$3:$M$322,11,FALSE)</f>
        <v>3.2000000000000001E-2</v>
      </c>
      <c r="Q127" s="161">
        <f>VLOOKUP($A127,'Enroll Data as of January 2025'!$A$3:$M$322,12,FALSE)</f>
        <v>0.02</v>
      </c>
      <c r="R127" s="165">
        <f t="shared" si="24"/>
        <v>5.2000000000000005E-2</v>
      </c>
      <c r="S127" s="267">
        <f>IFERROR(VLOOKUP($A127,Supp_39,14,FALSE),0)+IFERROR(SUMPRODUCT(VLOOKUP($A127,S275_01,{14,15,16},FALSE)),0)+IFERROR(SUMPRODUCT(VLOOKUP($A127,S275_97,{14,15,16},FALSE)),0)+IFERROR(ROUND(VLOOKUP($A127,S275_21,14,FALSE)*VLOOKUP($A127,'3121% SY'!$C$3:$M$324,11,FALSE),3),0)+IFERROR(ROUND(VLOOKUP($A127,S275_21,15,FALSE)*VLOOKUP($A127,'3121% SY'!$C$3:$M$324,11,FALSE),3),0)+IFERROR(ROUND(VLOOKUP($A127,S275_21,16,FALSE)*VLOOKUP($A127,'3121% SY'!$C$3:$M$324,11,FALSE),3),0)+IFERROR(VLOOKUP($A127,S275_09,6,FALSE),0)</f>
        <v>0.53300000000000003</v>
      </c>
      <c r="T127" s="267">
        <f>IFERROR(VLOOKUP($A127,Supp_42,14,FALSE),0)+IFERROR(SUMPRODUCT(VLOOKUP($A127,S275_01,{17,18,19},FALSE)),0)+IFERROR(SUMPRODUCT(VLOOKUP($A127,S275_97,{17,18,19},FALSE)),0)+IFERROR(ROUND(VLOOKUP($A127,S275_21,17,FALSE)*VLOOKUP($A127,'3121% SY'!$C$3:$M$324,11,FALSE),3),0)+IFERROR(ROUND(VLOOKUP($A127,S275_21,18,FALSE)*VLOOKUP($A127,'3121% SY'!$C$3:$M$324,11,FALSE),3),0)+IFERROR(ROUND(VLOOKUP($A127,S275_21,19,FALSE)*VLOOKUP($A127,'3121% SY'!$C$3:$M$324,11,FALSE),3),0)+IFERROR(VLOOKUP($A127,S275_09,7,FALSE),0)</f>
        <v>0</v>
      </c>
      <c r="U127" s="267">
        <f>IFERROR(VLOOKUP($A127,Supp_43,14,FALSE),0)+IFERROR(SUMPRODUCT(VLOOKUP($A127,S275_01,{20,21,22},FALSE)),0)+IFERROR(SUMPRODUCT(VLOOKUP($A127,S275_97,{20,21,22},FALSE)),0)+IFERROR(ROUND(VLOOKUP($A127,S275_21,20,FALSE)*VLOOKUP($A127,'3121% SY'!$C$3:$M$324,11,FALSE),3),0)+IFERROR(ROUND(VLOOKUP($A127,S275_21,21,FALSE)*VLOOKUP($A127,'3121% SY'!$C$3:$M$324,11,FALSE),3),0)+IFERROR(ROUND(VLOOKUP($A127,S275_21,22,FALSE)*VLOOKUP($A127,'3121% SY'!$C$3:$M$324,11,FALSE),3),0)+IFERROR(VLOOKUP($A127,S275_09,8,FALSE),0)</f>
        <v>0</v>
      </c>
      <c r="V127" s="267">
        <f>IFERROR(VLOOKUP($A127,Supp_44,14,FALSE),0)+IFERROR(SUMPRODUCT(VLOOKUP($A127,S275_01,{23,24,25},FALSE)),0)+IFERROR(SUMPRODUCT(VLOOKUP($A127,S275_97,{23,24,25},FALSE)),0)+IFERROR(ROUND(VLOOKUP($A127,S275_21,23,FALSE)*VLOOKUP($A127,'3121% SY'!$C$3:$M$324,11,FALSE),3),0)+IFERROR(ROUND(VLOOKUP($A127,S275_21,24,FALSE)*VLOOKUP($A127,'3121% SY'!$C$3:$M$324,11,FALSE),3),0)+IFERROR(ROUND(VLOOKUP($A127,S275_21,25,FALSE)*VLOOKUP($A127,'3121% SY'!$C$3:$M$324,11,FALSE),3),0)+IFERROR(VLOOKUP($A127,S275_09,9,FALSE),0)</f>
        <v>0</v>
      </c>
      <c r="W127" s="267">
        <f>IFERROR(VLOOKUP($A127,Supp_45,14,FALSE),0)+IFERROR(SUMPRODUCT(VLOOKUP($A127,S275_01,{26,27,28},FALSE)),0)+IFERROR(SUMPRODUCT(VLOOKUP($A127,S275_97,{26,27,28},FALSE)),0)+IFERROR(ROUND(VLOOKUP($A127,S275_21,26,FALSE)*VLOOKUP($A127,'3121% SY'!$C$3:$M$324,11,FALSE),3),0)+IFERROR(ROUND(VLOOKUP($A127,S275_21,27,FALSE)*VLOOKUP($A127,'3121% SY'!$C$3:$M$324,11,FALSE),3),0)+IFERROR(ROUND(VLOOKUP($A127,S275_21,28,FALSE)*VLOOKUP($A127,'3121% SY'!$C$3:$M$324,11,FALSE),3),0)+IFERROR(VLOOKUP($A127,S275_09,10,FALSE),0)</f>
        <v>0</v>
      </c>
      <c r="X127" s="267">
        <f>IFERROR(VLOOKUP($A127,Supp_46,14,FALSE),0)+IFERROR(SUMPRODUCT(VLOOKUP($A127,S275_01,{29,30,31},FALSE)),0)+IFERROR(SUMPRODUCT(VLOOKUP($A127,S275_97,{29,30,31},FALSE)),0)+IFERROR(ROUND(VLOOKUP($A127,S275_21,29,FALSE)*VLOOKUP($A127,'3121% SY'!$C$3:$M$324,11,FALSE),3),0)+IFERROR(ROUND(VLOOKUP($A127,S275_21,30,FALSE)*VLOOKUP($A127,'3121% SY'!$C$3:$M$324,11,FALSE),3),0)+IFERROR(ROUND(VLOOKUP($A127,S275_21,31,FALSE)*VLOOKUP($A127,'3121% SY'!$C$3:$M$324,11,FALSE),3),0)+IFERROR(VLOOKUP($A127,S275_09,11,FALSE),0)</f>
        <v>0</v>
      </c>
      <c r="Y127" s="267">
        <f>IFERROR(VLOOKUP($A127,Supp_47,14,FALSE),0)+IFERROR(SUMPRODUCT(VLOOKUP($A127,S275_01,{32,33,34},FALSE)),0)+IFERROR(SUMPRODUCT(VLOOKUP($A127,S275_97,{32,33,34},FALSE)),0)+IFERROR(ROUND(VLOOKUP($A127,S275_21,32,FALSE)*VLOOKUP($A127,'3121% SY'!$C$3:$M$324,11,FALSE),3),0)+IFERROR(ROUND(VLOOKUP($A127,S275_21,33,FALSE)*VLOOKUP($A127,'3121% SY'!$C$3:$M$324,11,FALSE),3),0)+IFERROR(ROUND(VLOOKUP($A127,S275_21,34,FALSE)*VLOOKUP($A127,'3121% SY'!$C$3:$M$324,11,FALSE),3),0)+IFERROR(VLOOKUP($A127,S275_09,12,FALSE),0)</f>
        <v>0</v>
      </c>
      <c r="Z127" s="267">
        <f>IFERROR(VLOOKUP($A127,Supp_48,14,FALSE),0)+IFERROR(SUMPRODUCT(VLOOKUP($A127,S275_01,{35,36,37},FALSE)),0)+IFERROR(SUMPRODUCT(VLOOKUP($A127,S275_97,{35,36,37},FALSE)),0)+IFERROR(ROUND(VLOOKUP($A127,S275_21,35,FALSE)*VLOOKUP($A127,'3121% SY'!$C$3:$M$324,11,FALSE),3),0)+IFERROR(ROUND(VLOOKUP($A127,S275_21,36,FALSE)*VLOOKUP($A127,'3121% SY'!$C$3:$M$324,11,FALSE),3),0)+IFERROR(ROUND(VLOOKUP($A127,S275_21,37,FALSE)*VLOOKUP($A127,'3121% SY'!$C$3:$M$324,11,FALSE),3),0)+IFERROR(VLOOKUP($A127,S275_09,13,FALSE),0)</f>
        <v>0</v>
      </c>
      <c r="AA127" s="267">
        <f>IFERROR(VLOOKUP($A127,Supp_49,14,FALSE),0)+IFERROR(SUMPRODUCT(VLOOKUP($A127,S275_01,{38,39,40},FALSE)),0)+IFERROR(SUMPRODUCT(VLOOKUP($A127,S275_97,{38,39,40},FALSE)),0)+IFERROR(ROUND(VLOOKUP($A127,S275_21,38,FALSE)*VLOOKUP($A127,'3121% SY'!$C$3:$M$324,11,FALSE),3),0)+IFERROR(ROUND(VLOOKUP($A127,S275_21,39,FALSE)*VLOOKUP($A127,'3121% SY'!$C$3:$M$324,11,FALSE),3),0)+IFERROR(ROUND(VLOOKUP($A127,S275_21,40,FALSE)*VLOOKUP($A127,'3121% SY'!$C$3:$M$324,11,FALSE),3),0)+IFERROR(VLOOKUP($A127,S275_09,14,FALSE),0)</f>
        <v>0</v>
      </c>
      <c r="AB127" s="267">
        <f>IFERROR(VLOOKUP($A127,Supp_64,14,FALSE),0)+IFERROR(SUMPRODUCT(VLOOKUP($A127,S275_01,{41,42,43},FALSE)),0)+IFERROR(SUMPRODUCT(VLOOKUP($A127,S275_97,{41,42,43},FALSE)),0)+IFERROR(ROUND(VLOOKUP($A127,S275_21,41,FALSE)*VLOOKUP($A127,'3121% SY'!$C$3:$M$324,11,FALSE),3),0)+IFERROR(ROUND(VLOOKUP($A127,S275_21,42,FALSE)*VLOOKUP($A127,'3121% SY'!$C$3:$M$324,11,FALSE),3),0)+IFERROR(ROUND(VLOOKUP($A127,S275_21,43,FALSE)*VLOOKUP($A127,'3121% SY'!$C$3:$M$324,11,FALSE),3),0)+IFERROR(VLOOKUP($A127,S275_09,15,FALSE),0)</f>
        <v>0</v>
      </c>
      <c r="AC127" s="268">
        <f t="shared" si="25"/>
        <v>0.53300000000000003</v>
      </c>
      <c r="AD127" s="267">
        <f>IFERROR(VLOOKUP($A127,Supp_24,14,FALSE),0)+IFERROR(SUMPRODUCT(VLOOKUP($A127,S275_01,{2,3,4},FALSE)),0)+IFERROR(SUMPRODUCT(VLOOKUP($A127,S275_97,{2,3,4},FALSE)),0)+IFERROR(ROUND(VLOOKUP($A127,S275_21,2,FALSE)*VLOOKUP($A127,'3121% SY'!$C$3:$M$324,11,FALSE),3),0)+IFERROR(ROUND(VLOOKUP($A127,S275_21,3,FALSE)*VLOOKUP($A127,'3121% SY'!$C$3:$M$324,11,FALSE),3),0)+IFERROR(ROUND(VLOOKUP($A127,S275_21,4,FALSE)*VLOOKUP($A127,'3121% SY'!$C$3:$M$324,11,FALSE),3),0)+IFERROR(VLOOKUP($A127,S275_09,2,FALSE),0)</f>
        <v>0</v>
      </c>
      <c r="AE127" s="267">
        <f>IFERROR(VLOOKUP($A127,Supp_25,14,FALSE),0)+IFERROR(SUMPRODUCT(VLOOKUP($A127,S275_01,{5,6,7},FALSE)),0)+IFERROR(SUMPRODUCT(VLOOKUP($A127,S275_97,{5,6,7},FALSE)),0)+IFERROR(ROUND(VLOOKUP($A127,S275_21,5,FALSE)*VLOOKUP($A127,'3121% SY'!$C$3:$M$324,11,FALSE),3),0)+IFERROR(ROUND(VLOOKUP($A127,S275_21,6,FALSE)*VLOOKUP($A127,'3121% SY'!$C$3:$M$324,11,FALSE),3),0)+IFERROR(ROUND(VLOOKUP($A127,S275_21,7,FALSE)*VLOOKUP($A127,'3121% SY'!$C$3:$M$324,11,FALSE),3),0)+IFERROR(VLOOKUP($A127,S275_09,3,FALSE),0)</f>
        <v>0</v>
      </c>
      <c r="AF127" s="267">
        <f>IFERROR(VLOOKUP($A127,Supp_26,14,FALSE),0)+IFERROR(SUMPRODUCT(VLOOKUP($A127,S275_01,{8,9,10},FALSE)),0)+IFERROR(SUMPRODUCT(VLOOKUP($A127,S275_97,{8,9,10},FALSE)),0)+IFERROR(ROUND(VLOOKUP($A127,S275_21,8,FALSE)*VLOOKUP($A127,'3121% SY'!$C$3:$M$324,11,FALSE),3),0)+IFERROR(ROUND(VLOOKUP($A127,S275_21,9,FALSE)*VLOOKUP($A127,'3121% SY'!$C$3:$M$324,11,FALSE),3),0)+IFERROR(ROUND(VLOOKUP($A127,S275_21,10,FALSE)*VLOOKUP($A127,'3121% SY'!$C$3:$M$324,11,FALSE),3),0)+IFERROR(VLOOKUP($A127,S275_09,4,FALSE),0)</f>
        <v>0</v>
      </c>
      <c r="AG127" s="267">
        <f>IFERROR(VLOOKUP($A127,Supp_35,14,FALSE),0)+IFERROR(SUMPRODUCT(VLOOKUP($A127,S275_01,{11,12,13},FALSE)),0)+IFERROR(SUMPRODUCT(VLOOKUP($A127,S275_97,{11,12,13},FALSE)),0)+IFERROR(ROUND(VLOOKUP($A127,S275_21,11,FALSE)*VLOOKUP($A127,'3121% SY'!$C$3:$M$324,11,FALSE),3),0)+IFERROR(ROUND(VLOOKUP($A127,S275_21,12,FALSE)*VLOOKUP($A127,'3121% SY'!$C$3:$M$324,11,FALSE),3),0)+IFERROR(ROUND(VLOOKUP($A127,S275_21,13,FALSE)*VLOOKUP($A127,'3121% SY'!$C$3:$M$324,11,FALSE),3),0)+IFERROR(VLOOKUP($A127,S275_09,5,FALSE),0)</f>
        <v>0</v>
      </c>
      <c r="AH127" s="165">
        <f t="shared" si="26"/>
        <v>0</v>
      </c>
      <c r="AI127" s="161">
        <f>IFERROR(VLOOKUP(A127,'Supp Staff Data'!A:ER,148,FALSE),0)+AB127</f>
        <v>0</v>
      </c>
      <c r="AJ127" s="174">
        <v>2.8571</v>
      </c>
      <c r="AK127" s="25">
        <f>VLOOKUP(A127,'Enroll Data as of January 2025'!$A$3:$T$323,20,FALSE)-F127</f>
        <v>0</v>
      </c>
    </row>
    <row r="128" spans="1:37" x14ac:dyDescent="0.25">
      <c r="A128" s="171" t="s">
        <v>76</v>
      </c>
      <c r="B128" t="s">
        <v>372</v>
      </c>
      <c r="C128" s="173" t="s">
        <v>1077</v>
      </c>
      <c r="D128" s="259">
        <f t="shared" si="19"/>
        <v>7.625</v>
      </c>
      <c r="E128" s="259">
        <f t="shared" si="20"/>
        <v>9.5120000000000005</v>
      </c>
      <c r="F128" s="262">
        <f t="shared" si="29"/>
        <v>1.887</v>
      </c>
      <c r="G128" s="161">
        <f>ROUND(IF(F128&lt;0,F128*'2024-25 PSES Compliance'!$G$13,0),3)</f>
        <v>0</v>
      </c>
      <c r="H128" s="161">
        <f>ROUND(IF(F128&lt;0,F128*'2024-25 PSES Compliance'!$G$14,0),3)</f>
        <v>0</v>
      </c>
      <c r="I128" s="174">
        <f t="shared" si="21"/>
        <v>0.82033221194280914</v>
      </c>
      <c r="J128" s="174">
        <f t="shared" si="22"/>
        <v>0.18965517241379309</v>
      </c>
      <c r="K128" s="161">
        <f>VLOOKUP($A128,'Enroll Data as of January 2025'!$A$3:$M$322,6,FALSE)</f>
        <v>4.2690000000000001</v>
      </c>
      <c r="L128" s="161">
        <f>VLOOKUP($A128,'Enroll Data as of January 2025'!$A$3:$M$322,7,FALSE)</f>
        <v>0.70900000000000007</v>
      </c>
      <c r="M128" s="161">
        <f>VLOOKUP($A128,'Enroll Data as of January 2025'!$A$3:$M$322,8,FALSE)</f>
        <v>0.23800000000000002</v>
      </c>
      <c r="N128" s="161">
        <f>VLOOKUP($A128,'Enroll Data as of January 2025'!$A$3:$M$322,9,FALSE)</f>
        <v>1.9810000000000001</v>
      </c>
      <c r="O128" s="165">
        <f t="shared" si="23"/>
        <v>7.1970000000000001</v>
      </c>
      <c r="P128" s="161">
        <f>VLOOKUP($A128,'Enroll Data as of January 2025'!$A$3:$M$322,11,FALSE)</f>
        <v>0.26800000000000002</v>
      </c>
      <c r="Q128" s="161">
        <f>VLOOKUP($A128,'Enroll Data as of January 2025'!$A$3:$M$322,12,FALSE)</f>
        <v>0.16</v>
      </c>
      <c r="R128" s="165">
        <f t="shared" si="24"/>
        <v>0.42800000000000005</v>
      </c>
      <c r="S128" s="267">
        <f>IFERROR(VLOOKUP($A128,Supp_39,14,FALSE),0)+IFERROR(SUMPRODUCT(VLOOKUP($A128,S275_01,{14,15,16},FALSE)),0)+IFERROR(SUMPRODUCT(VLOOKUP($A128,S275_97,{14,15,16},FALSE)),0)+IFERROR(ROUND(VLOOKUP($A128,S275_21,14,FALSE)*VLOOKUP($A128,'3121% SY'!$C$3:$M$324,11,FALSE),3),0)+IFERROR(ROUND(VLOOKUP($A128,S275_21,15,FALSE)*VLOOKUP($A128,'3121% SY'!$C$3:$M$324,11,FALSE),3),0)+IFERROR(ROUND(VLOOKUP($A128,S275_21,16,FALSE)*VLOOKUP($A128,'3121% SY'!$C$3:$M$324,11,FALSE),3),0)+IFERROR(VLOOKUP($A128,S275_09,6,FALSE),0)</f>
        <v>3.5990000000000002</v>
      </c>
      <c r="T128" s="267">
        <f>IFERROR(VLOOKUP($A128,Supp_42,14,FALSE),0)+IFERROR(SUMPRODUCT(VLOOKUP($A128,S275_01,{17,18,19},FALSE)),0)+IFERROR(SUMPRODUCT(VLOOKUP($A128,S275_97,{17,18,19},FALSE)),0)+IFERROR(ROUND(VLOOKUP($A128,S275_21,17,FALSE)*VLOOKUP($A128,'3121% SY'!$C$3:$M$324,11,FALSE),3),0)+IFERROR(ROUND(VLOOKUP($A128,S275_21,18,FALSE)*VLOOKUP($A128,'3121% SY'!$C$3:$M$324,11,FALSE),3),0)+IFERROR(ROUND(VLOOKUP($A128,S275_21,19,FALSE)*VLOOKUP($A128,'3121% SY'!$C$3:$M$324,11,FALSE),3),0)+IFERROR(VLOOKUP($A128,S275_09,7,FALSE),0)</f>
        <v>1</v>
      </c>
      <c r="U128" s="267">
        <f>IFERROR(VLOOKUP($A128,Supp_43,14,FALSE),0)+IFERROR(SUMPRODUCT(VLOOKUP($A128,S275_01,{20,21,22},FALSE)),0)+IFERROR(SUMPRODUCT(VLOOKUP($A128,S275_97,{20,21,22},FALSE)),0)+IFERROR(ROUND(VLOOKUP($A128,S275_21,20,FALSE)*VLOOKUP($A128,'3121% SY'!$C$3:$M$324,11,FALSE),3),0)+IFERROR(ROUND(VLOOKUP($A128,S275_21,21,FALSE)*VLOOKUP($A128,'3121% SY'!$C$3:$M$324,11,FALSE),3),0)+IFERROR(ROUND(VLOOKUP($A128,S275_21,22,FALSE)*VLOOKUP($A128,'3121% SY'!$C$3:$M$324,11,FALSE),3),0)+IFERROR(VLOOKUP($A128,S275_09,8,FALSE),0)</f>
        <v>0</v>
      </c>
      <c r="V128" s="267">
        <f>IFERROR(VLOOKUP($A128,Supp_44,14,FALSE),0)+IFERROR(SUMPRODUCT(VLOOKUP($A128,S275_01,{23,24,25},FALSE)),0)+IFERROR(SUMPRODUCT(VLOOKUP($A128,S275_97,{23,24,25},FALSE)),0)+IFERROR(ROUND(VLOOKUP($A128,S275_21,23,FALSE)*VLOOKUP($A128,'3121% SY'!$C$3:$M$324,11,FALSE),3),0)+IFERROR(ROUND(VLOOKUP($A128,S275_21,24,FALSE)*VLOOKUP($A128,'3121% SY'!$C$3:$M$324,11,FALSE),3),0)+IFERROR(ROUND(VLOOKUP($A128,S275_21,25,FALSE)*VLOOKUP($A128,'3121% SY'!$C$3:$M$324,11,FALSE),3),0)+IFERROR(VLOOKUP($A128,S275_09,9,FALSE),0)</f>
        <v>0</v>
      </c>
      <c r="W128" s="267">
        <f>IFERROR(VLOOKUP($A128,Supp_45,14,FALSE),0)+IFERROR(SUMPRODUCT(VLOOKUP($A128,S275_01,{26,27,28},FALSE)),0)+IFERROR(SUMPRODUCT(VLOOKUP($A128,S275_97,{26,27,28},FALSE)),0)+IFERROR(ROUND(VLOOKUP($A128,S275_21,26,FALSE)*VLOOKUP($A128,'3121% SY'!$C$3:$M$324,11,FALSE),3),0)+IFERROR(ROUND(VLOOKUP($A128,S275_21,27,FALSE)*VLOOKUP($A128,'3121% SY'!$C$3:$M$324,11,FALSE),3),0)+IFERROR(ROUND(VLOOKUP($A128,S275_21,28,FALSE)*VLOOKUP($A128,'3121% SY'!$C$3:$M$324,11,FALSE),3),0)+IFERROR(VLOOKUP($A128,S275_09,10,FALSE),0)</f>
        <v>0</v>
      </c>
      <c r="X128" s="267">
        <f>IFERROR(VLOOKUP($A128,Supp_46,14,FALSE),0)+IFERROR(SUMPRODUCT(VLOOKUP($A128,S275_01,{29,30,31},FALSE)),0)+IFERROR(SUMPRODUCT(VLOOKUP($A128,S275_97,{29,30,31},FALSE)),0)+IFERROR(ROUND(VLOOKUP($A128,S275_21,29,FALSE)*VLOOKUP($A128,'3121% SY'!$C$3:$M$324,11,FALSE),3),0)+IFERROR(ROUND(VLOOKUP($A128,S275_21,30,FALSE)*VLOOKUP($A128,'3121% SY'!$C$3:$M$324,11,FALSE),3),0)+IFERROR(ROUND(VLOOKUP($A128,S275_21,31,FALSE)*VLOOKUP($A128,'3121% SY'!$C$3:$M$324,11,FALSE),3),0)+IFERROR(VLOOKUP($A128,S275_09,11,FALSE),0)</f>
        <v>1.4</v>
      </c>
      <c r="Y128" s="267">
        <f>IFERROR(VLOOKUP($A128,Supp_47,14,FALSE),0)+IFERROR(SUMPRODUCT(VLOOKUP($A128,S275_01,{32,33,34},FALSE)),0)+IFERROR(SUMPRODUCT(VLOOKUP($A128,S275_97,{32,33,34},FALSE)),0)+IFERROR(ROUND(VLOOKUP($A128,S275_21,32,FALSE)*VLOOKUP($A128,'3121% SY'!$C$3:$M$324,11,FALSE),3),0)+IFERROR(ROUND(VLOOKUP($A128,S275_21,33,FALSE)*VLOOKUP($A128,'3121% SY'!$C$3:$M$324,11,FALSE),3),0)+IFERROR(ROUND(VLOOKUP($A128,S275_21,34,FALSE)*VLOOKUP($A128,'3121% SY'!$C$3:$M$324,11,FALSE),3),0)+IFERROR(VLOOKUP($A128,S275_09,12,FALSE),0)</f>
        <v>0</v>
      </c>
      <c r="Z128" s="267">
        <f>IFERROR(VLOOKUP($A128,Supp_48,14,FALSE),0)+IFERROR(SUMPRODUCT(VLOOKUP($A128,S275_01,{35,36,37},FALSE)),0)+IFERROR(SUMPRODUCT(VLOOKUP($A128,S275_97,{35,36,37},FALSE)),0)+IFERROR(ROUND(VLOOKUP($A128,S275_21,35,FALSE)*VLOOKUP($A128,'3121% SY'!$C$3:$M$324,11,FALSE),3),0)+IFERROR(ROUND(VLOOKUP($A128,S275_21,36,FALSE)*VLOOKUP($A128,'3121% SY'!$C$3:$M$324,11,FALSE),3),0)+IFERROR(ROUND(VLOOKUP($A128,S275_21,37,FALSE)*VLOOKUP($A128,'3121% SY'!$C$3:$M$324,11,FALSE),3),0)+IFERROR(VLOOKUP($A128,S275_09,13,FALSE),0)</f>
        <v>0</v>
      </c>
      <c r="AA128" s="267">
        <f>IFERROR(VLOOKUP($A128,Supp_49,14,FALSE),0)+IFERROR(SUMPRODUCT(VLOOKUP($A128,S275_01,{38,39,40},FALSE)),0)+IFERROR(SUMPRODUCT(VLOOKUP($A128,S275_97,{38,39,40},FALSE)),0)+IFERROR(ROUND(VLOOKUP($A128,S275_21,38,FALSE)*VLOOKUP($A128,'3121% SY'!$C$3:$M$324,11,FALSE),3),0)+IFERROR(ROUND(VLOOKUP($A128,S275_21,39,FALSE)*VLOOKUP($A128,'3121% SY'!$C$3:$M$324,11,FALSE),3),0)+IFERROR(ROUND(VLOOKUP($A128,S275_21,40,FALSE)*VLOOKUP($A128,'3121% SY'!$C$3:$M$324,11,FALSE),3),0)+IFERROR(VLOOKUP($A128,S275_09,14,FALSE),0)</f>
        <v>0</v>
      </c>
      <c r="AB128" s="267">
        <f>IFERROR(VLOOKUP($A128,Supp_64,14,FALSE),0)+IFERROR(SUMPRODUCT(VLOOKUP($A128,S275_01,{41,42,43},FALSE)),0)+IFERROR(SUMPRODUCT(VLOOKUP($A128,S275_97,{41,42,43},FALSE)),0)+IFERROR(ROUND(VLOOKUP($A128,S275_21,41,FALSE)*VLOOKUP($A128,'3121% SY'!$C$3:$M$324,11,FALSE),3),0)+IFERROR(ROUND(VLOOKUP($A128,S275_21,42,FALSE)*VLOOKUP($A128,'3121% SY'!$C$3:$M$324,11,FALSE),3),0)+IFERROR(ROUND(VLOOKUP($A128,S275_21,43,FALSE)*VLOOKUP($A128,'3121% SY'!$C$3:$M$324,11,FALSE),3),0)+IFERROR(VLOOKUP($A128,S275_09,15,FALSE),0)</f>
        <v>1.804</v>
      </c>
      <c r="AC128" s="268">
        <f t="shared" si="25"/>
        <v>7.8030000000000008</v>
      </c>
      <c r="AD128" s="267">
        <f>IFERROR(VLOOKUP($A128,Supp_24,14,FALSE),0)+IFERROR(SUMPRODUCT(VLOOKUP($A128,S275_01,{2,3,4},FALSE)),0)+IFERROR(SUMPRODUCT(VLOOKUP($A128,S275_97,{2,3,4},FALSE)),0)+IFERROR(ROUND(VLOOKUP($A128,S275_21,2,FALSE)*VLOOKUP($A128,'3121% SY'!$C$3:$M$324,11,FALSE),3),0)+IFERROR(ROUND(VLOOKUP($A128,S275_21,3,FALSE)*VLOOKUP($A128,'3121% SY'!$C$3:$M$324,11,FALSE),3),0)+IFERROR(ROUND(VLOOKUP($A128,S275_21,4,FALSE)*VLOOKUP($A128,'3121% SY'!$C$3:$M$324,11,FALSE),3),0)+IFERROR(VLOOKUP($A128,S275_09,2,FALSE),0)</f>
        <v>0</v>
      </c>
      <c r="AE128" s="267">
        <f>IFERROR(VLOOKUP($A128,Supp_25,14,FALSE),0)+IFERROR(SUMPRODUCT(VLOOKUP($A128,S275_01,{5,6,7},FALSE)),0)+IFERROR(SUMPRODUCT(VLOOKUP($A128,S275_97,{5,6,7},FALSE)),0)+IFERROR(ROUND(VLOOKUP($A128,S275_21,5,FALSE)*VLOOKUP($A128,'3121% SY'!$C$3:$M$324,11,FALSE),3),0)+IFERROR(ROUND(VLOOKUP($A128,S275_21,6,FALSE)*VLOOKUP($A128,'3121% SY'!$C$3:$M$324,11,FALSE),3),0)+IFERROR(ROUND(VLOOKUP($A128,S275_21,7,FALSE)*VLOOKUP($A128,'3121% SY'!$C$3:$M$324,11,FALSE),3),0)+IFERROR(VLOOKUP($A128,S275_09,3,FALSE),0)</f>
        <v>0</v>
      </c>
      <c r="AF128" s="267">
        <f>IFERROR(VLOOKUP($A128,Supp_26,14,FALSE),0)+IFERROR(SUMPRODUCT(VLOOKUP($A128,S275_01,{8,9,10},FALSE)),0)+IFERROR(SUMPRODUCT(VLOOKUP($A128,S275_97,{8,9,10},FALSE)),0)+IFERROR(ROUND(VLOOKUP($A128,S275_21,8,FALSE)*VLOOKUP($A128,'3121% SY'!$C$3:$M$324,11,FALSE),3),0)+IFERROR(ROUND(VLOOKUP($A128,S275_21,9,FALSE)*VLOOKUP($A128,'3121% SY'!$C$3:$M$324,11,FALSE),3),0)+IFERROR(ROUND(VLOOKUP($A128,S275_21,10,FALSE)*VLOOKUP($A128,'3121% SY'!$C$3:$M$324,11,FALSE),3),0)+IFERROR(VLOOKUP($A128,S275_09,4,FALSE),0)</f>
        <v>1.7089999999999999</v>
      </c>
      <c r="AG128" s="267">
        <f>IFERROR(VLOOKUP($A128,Supp_35,14,FALSE),0)+IFERROR(SUMPRODUCT(VLOOKUP($A128,S275_01,{11,12,13},FALSE)),0)+IFERROR(SUMPRODUCT(VLOOKUP($A128,S275_97,{11,12,13},FALSE)),0)+IFERROR(ROUND(VLOOKUP($A128,S275_21,11,FALSE)*VLOOKUP($A128,'3121% SY'!$C$3:$M$324,11,FALSE),3),0)+IFERROR(ROUND(VLOOKUP($A128,S275_21,12,FALSE)*VLOOKUP($A128,'3121% SY'!$C$3:$M$324,11,FALSE),3),0)+IFERROR(ROUND(VLOOKUP($A128,S275_21,13,FALSE)*VLOOKUP($A128,'3121% SY'!$C$3:$M$324,11,FALSE),3),0)+IFERROR(VLOOKUP($A128,S275_09,5,FALSE),0)</f>
        <v>0</v>
      </c>
      <c r="AH128" s="165">
        <f t="shared" si="26"/>
        <v>1.7089999999999999</v>
      </c>
      <c r="AI128" s="161">
        <f>IFERROR(VLOOKUP(A128,'Supp Staff Data'!A:ER,148,FALSE),0)+AB128</f>
        <v>1.804</v>
      </c>
      <c r="AJ128" s="174">
        <v>1</v>
      </c>
      <c r="AK128" s="25">
        <f>VLOOKUP(A128,'Enroll Data as of January 2025'!$A$3:$T$323,20,FALSE)-F128</f>
        <v>0</v>
      </c>
    </row>
    <row r="129" spans="1:37" x14ac:dyDescent="0.25">
      <c r="A129" s="171" t="s">
        <v>123</v>
      </c>
      <c r="B129" t="s">
        <v>419</v>
      </c>
      <c r="C129" s="173" t="s">
        <v>1077</v>
      </c>
      <c r="D129" s="259">
        <f t="shared" si="19"/>
        <v>0.52200000000000002</v>
      </c>
      <c r="E129" s="259">
        <f t="shared" si="20"/>
        <v>0.80700000000000005</v>
      </c>
      <c r="F129" s="262">
        <f t="shared" si="29"/>
        <v>0.28499999999999998</v>
      </c>
      <c r="G129" s="161">
        <f>ROUND(IF(F129&lt;0,F129*'2024-25 PSES Compliance'!$G$13,0),3)</f>
        <v>0</v>
      </c>
      <c r="H129" s="161">
        <f>ROUND(IF(F129&lt;0,F129*'2024-25 PSES Compliance'!$G$14,0),3)</f>
        <v>0</v>
      </c>
      <c r="I129" s="174">
        <f t="shared" si="21"/>
        <v>0</v>
      </c>
      <c r="J129" s="174">
        <f t="shared" si="22"/>
        <v>0</v>
      </c>
      <c r="K129" s="161">
        <f>VLOOKUP($A129,'Enroll Data as of January 2025'!$A$3:$M$322,6,FALSE)</f>
        <v>0.31400000000000006</v>
      </c>
      <c r="L129" s="161">
        <f>VLOOKUP($A129,'Enroll Data as of January 2025'!$A$3:$M$322,7,FALSE)</f>
        <v>3.9E-2</v>
      </c>
      <c r="M129" s="161">
        <f>VLOOKUP($A129,'Enroll Data as of January 2025'!$A$3:$M$322,8,FALSE)</f>
        <v>1.3999999999999999E-2</v>
      </c>
      <c r="N129" s="161">
        <f>VLOOKUP($A129,'Enroll Data as of January 2025'!$A$3:$M$322,9,FALSE)</f>
        <v>0.128</v>
      </c>
      <c r="O129" s="165">
        <f t="shared" si="23"/>
        <v>0.49500000000000005</v>
      </c>
      <c r="P129" s="161">
        <f>VLOOKUP($A129,'Enroll Data as of January 2025'!$A$3:$M$322,11,FALSE)</f>
        <v>1.9E-2</v>
      </c>
      <c r="Q129" s="161">
        <f>VLOOKUP($A129,'Enroll Data as of January 2025'!$A$3:$M$322,12,FALSE)</f>
        <v>8.0000000000000002E-3</v>
      </c>
      <c r="R129" s="165">
        <f t="shared" si="24"/>
        <v>2.7E-2</v>
      </c>
      <c r="S129" s="267">
        <f>IFERROR(VLOOKUP($A129,Supp_39,14,FALSE),0)+IFERROR(SUMPRODUCT(VLOOKUP($A129,S275_01,{14,15,16},FALSE)),0)+IFERROR(SUMPRODUCT(VLOOKUP($A129,S275_97,{14,15,16},FALSE)),0)+IFERROR(ROUND(VLOOKUP($A129,S275_21,14,FALSE)*VLOOKUP($A129,'3121% SY'!$C$3:$M$324,11,FALSE),3),0)+IFERROR(ROUND(VLOOKUP($A129,S275_21,15,FALSE)*VLOOKUP($A129,'3121% SY'!$C$3:$M$324,11,FALSE),3),0)+IFERROR(ROUND(VLOOKUP($A129,S275_21,16,FALSE)*VLOOKUP($A129,'3121% SY'!$C$3:$M$324,11,FALSE),3),0)+IFERROR(VLOOKUP($A129,S275_09,6,FALSE),0)</f>
        <v>0.79</v>
      </c>
      <c r="T129" s="267">
        <f>IFERROR(VLOOKUP($A129,Supp_42,14,FALSE),0)+IFERROR(SUMPRODUCT(VLOOKUP($A129,S275_01,{17,18,19},FALSE)),0)+IFERROR(SUMPRODUCT(VLOOKUP($A129,S275_97,{17,18,19},FALSE)),0)+IFERROR(ROUND(VLOOKUP($A129,S275_21,17,FALSE)*VLOOKUP($A129,'3121% SY'!$C$3:$M$324,11,FALSE),3),0)+IFERROR(ROUND(VLOOKUP($A129,S275_21,18,FALSE)*VLOOKUP($A129,'3121% SY'!$C$3:$M$324,11,FALSE),3),0)+IFERROR(ROUND(VLOOKUP($A129,S275_21,19,FALSE)*VLOOKUP($A129,'3121% SY'!$C$3:$M$324,11,FALSE),3),0)+IFERROR(VLOOKUP($A129,S275_09,7,FALSE),0)</f>
        <v>0</v>
      </c>
      <c r="U129" s="267">
        <f>IFERROR(VLOOKUP($A129,Supp_43,14,FALSE),0)+IFERROR(SUMPRODUCT(VLOOKUP($A129,S275_01,{20,21,22},FALSE)),0)+IFERROR(SUMPRODUCT(VLOOKUP($A129,S275_97,{20,21,22},FALSE)),0)+IFERROR(ROUND(VLOOKUP($A129,S275_21,20,FALSE)*VLOOKUP($A129,'3121% SY'!$C$3:$M$324,11,FALSE),3),0)+IFERROR(ROUND(VLOOKUP($A129,S275_21,21,FALSE)*VLOOKUP($A129,'3121% SY'!$C$3:$M$324,11,FALSE),3),0)+IFERROR(ROUND(VLOOKUP($A129,S275_21,22,FALSE)*VLOOKUP($A129,'3121% SY'!$C$3:$M$324,11,FALSE),3),0)+IFERROR(VLOOKUP($A129,S275_09,8,FALSE),0)</f>
        <v>0</v>
      </c>
      <c r="V129" s="267">
        <f>IFERROR(VLOOKUP($A129,Supp_44,14,FALSE),0)+IFERROR(SUMPRODUCT(VLOOKUP($A129,S275_01,{23,24,25},FALSE)),0)+IFERROR(SUMPRODUCT(VLOOKUP($A129,S275_97,{23,24,25},FALSE)),0)+IFERROR(ROUND(VLOOKUP($A129,S275_21,23,FALSE)*VLOOKUP($A129,'3121% SY'!$C$3:$M$324,11,FALSE),3),0)+IFERROR(ROUND(VLOOKUP($A129,S275_21,24,FALSE)*VLOOKUP($A129,'3121% SY'!$C$3:$M$324,11,FALSE),3),0)+IFERROR(ROUND(VLOOKUP($A129,S275_21,25,FALSE)*VLOOKUP($A129,'3121% SY'!$C$3:$M$324,11,FALSE),3),0)+IFERROR(VLOOKUP($A129,S275_09,9,FALSE),0)</f>
        <v>0</v>
      </c>
      <c r="W129" s="267">
        <f>IFERROR(VLOOKUP($A129,Supp_45,14,FALSE),0)+IFERROR(SUMPRODUCT(VLOOKUP($A129,S275_01,{26,27,28},FALSE)),0)+IFERROR(SUMPRODUCT(VLOOKUP($A129,S275_97,{26,27,28},FALSE)),0)+IFERROR(ROUND(VLOOKUP($A129,S275_21,26,FALSE)*VLOOKUP($A129,'3121% SY'!$C$3:$M$324,11,FALSE),3),0)+IFERROR(ROUND(VLOOKUP($A129,S275_21,27,FALSE)*VLOOKUP($A129,'3121% SY'!$C$3:$M$324,11,FALSE),3),0)+IFERROR(ROUND(VLOOKUP($A129,S275_21,28,FALSE)*VLOOKUP($A129,'3121% SY'!$C$3:$M$324,11,FALSE),3),0)+IFERROR(VLOOKUP($A129,S275_09,10,FALSE),0)</f>
        <v>0</v>
      </c>
      <c r="X129" s="267">
        <f>IFERROR(VLOOKUP($A129,Supp_46,14,FALSE),0)+IFERROR(SUMPRODUCT(VLOOKUP($A129,S275_01,{29,30,31},FALSE)),0)+IFERROR(SUMPRODUCT(VLOOKUP($A129,S275_97,{29,30,31},FALSE)),0)+IFERROR(ROUND(VLOOKUP($A129,S275_21,29,FALSE)*VLOOKUP($A129,'3121% SY'!$C$3:$M$324,11,FALSE),3),0)+IFERROR(ROUND(VLOOKUP($A129,S275_21,30,FALSE)*VLOOKUP($A129,'3121% SY'!$C$3:$M$324,11,FALSE),3),0)+IFERROR(ROUND(VLOOKUP($A129,S275_21,31,FALSE)*VLOOKUP($A129,'3121% SY'!$C$3:$M$324,11,FALSE),3),0)+IFERROR(VLOOKUP($A129,S275_09,11,FALSE),0)</f>
        <v>0</v>
      </c>
      <c r="Y129" s="267">
        <f>IFERROR(VLOOKUP($A129,Supp_47,14,FALSE),0)+IFERROR(SUMPRODUCT(VLOOKUP($A129,S275_01,{32,33,34},FALSE)),0)+IFERROR(SUMPRODUCT(VLOOKUP($A129,S275_97,{32,33,34},FALSE)),0)+IFERROR(ROUND(VLOOKUP($A129,S275_21,32,FALSE)*VLOOKUP($A129,'3121% SY'!$C$3:$M$324,11,FALSE),3),0)+IFERROR(ROUND(VLOOKUP($A129,S275_21,33,FALSE)*VLOOKUP($A129,'3121% SY'!$C$3:$M$324,11,FALSE),3),0)+IFERROR(ROUND(VLOOKUP($A129,S275_21,34,FALSE)*VLOOKUP($A129,'3121% SY'!$C$3:$M$324,11,FALSE),3),0)+IFERROR(VLOOKUP($A129,S275_09,12,FALSE),0)</f>
        <v>0</v>
      </c>
      <c r="Z129" s="267">
        <f>IFERROR(VLOOKUP($A129,Supp_48,14,FALSE),0)+IFERROR(SUMPRODUCT(VLOOKUP($A129,S275_01,{35,36,37},FALSE)),0)+IFERROR(SUMPRODUCT(VLOOKUP($A129,S275_97,{35,36,37},FALSE)),0)+IFERROR(ROUND(VLOOKUP($A129,S275_21,35,FALSE)*VLOOKUP($A129,'3121% SY'!$C$3:$M$324,11,FALSE),3),0)+IFERROR(ROUND(VLOOKUP($A129,S275_21,36,FALSE)*VLOOKUP($A129,'3121% SY'!$C$3:$M$324,11,FALSE),3),0)+IFERROR(ROUND(VLOOKUP($A129,S275_21,37,FALSE)*VLOOKUP($A129,'3121% SY'!$C$3:$M$324,11,FALSE),3),0)+IFERROR(VLOOKUP($A129,S275_09,13,FALSE),0)</f>
        <v>0</v>
      </c>
      <c r="AA129" s="267">
        <f>IFERROR(VLOOKUP($A129,Supp_49,14,FALSE),0)+IFERROR(SUMPRODUCT(VLOOKUP($A129,S275_01,{38,39,40},FALSE)),0)+IFERROR(SUMPRODUCT(VLOOKUP($A129,S275_97,{38,39,40},FALSE)),0)+IFERROR(ROUND(VLOOKUP($A129,S275_21,38,FALSE)*VLOOKUP($A129,'3121% SY'!$C$3:$M$324,11,FALSE),3),0)+IFERROR(ROUND(VLOOKUP($A129,S275_21,39,FALSE)*VLOOKUP($A129,'3121% SY'!$C$3:$M$324,11,FALSE),3),0)+IFERROR(ROUND(VLOOKUP($A129,S275_21,40,FALSE)*VLOOKUP($A129,'3121% SY'!$C$3:$M$324,11,FALSE),3),0)+IFERROR(VLOOKUP($A129,S275_09,14,FALSE),0)</f>
        <v>0</v>
      </c>
      <c r="AB129" s="267">
        <f>IFERROR(VLOOKUP($A129,Supp_64,14,FALSE),0)+IFERROR(SUMPRODUCT(VLOOKUP($A129,S275_01,{41,42,43},FALSE)),0)+IFERROR(SUMPRODUCT(VLOOKUP($A129,S275_97,{41,42,43},FALSE)),0)+IFERROR(ROUND(VLOOKUP($A129,S275_21,41,FALSE)*VLOOKUP($A129,'3121% SY'!$C$3:$M$324,11,FALSE),3),0)+IFERROR(ROUND(VLOOKUP($A129,S275_21,42,FALSE)*VLOOKUP($A129,'3121% SY'!$C$3:$M$324,11,FALSE),3),0)+IFERROR(ROUND(VLOOKUP($A129,S275_21,43,FALSE)*VLOOKUP($A129,'3121% SY'!$C$3:$M$324,11,FALSE),3),0)+IFERROR(VLOOKUP($A129,S275_09,15,FALSE),0)</f>
        <v>0</v>
      </c>
      <c r="AC129" s="268">
        <f t="shared" si="25"/>
        <v>0.79</v>
      </c>
      <c r="AD129" s="267">
        <f>IFERROR(VLOOKUP($A129,Supp_24,14,FALSE),0)+IFERROR(SUMPRODUCT(VLOOKUP($A129,S275_01,{2,3,4},FALSE)),0)+IFERROR(SUMPRODUCT(VLOOKUP($A129,S275_97,{2,3,4},FALSE)),0)+IFERROR(ROUND(VLOOKUP($A129,S275_21,2,FALSE)*VLOOKUP($A129,'3121% SY'!$C$3:$M$324,11,FALSE),3),0)+IFERROR(ROUND(VLOOKUP($A129,S275_21,3,FALSE)*VLOOKUP($A129,'3121% SY'!$C$3:$M$324,11,FALSE),3),0)+IFERROR(ROUND(VLOOKUP($A129,S275_21,4,FALSE)*VLOOKUP($A129,'3121% SY'!$C$3:$M$324,11,FALSE),3),0)+IFERROR(VLOOKUP($A129,S275_09,2,FALSE),0)</f>
        <v>0</v>
      </c>
      <c r="AE129" s="267">
        <f>IFERROR(VLOOKUP($A129,Supp_25,14,FALSE),0)+IFERROR(SUMPRODUCT(VLOOKUP($A129,S275_01,{5,6,7},FALSE)),0)+IFERROR(SUMPRODUCT(VLOOKUP($A129,S275_97,{5,6,7},FALSE)),0)+IFERROR(ROUND(VLOOKUP($A129,S275_21,5,FALSE)*VLOOKUP($A129,'3121% SY'!$C$3:$M$324,11,FALSE),3),0)+IFERROR(ROUND(VLOOKUP($A129,S275_21,6,FALSE)*VLOOKUP($A129,'3121% SY'!$C$3:$M$324,11,FALSE),3),0)+IFERROR(ROUND(VLOOKUP($A129,S275_21,7,FALSE)*VLOOKUP($A129,'3121% SY'!$C$3:$M$324,11,FALSE),3),0)+IFERROR(VLOOKUP($A129,S275_09,3,FALSE),0)</f>
        <v>0</v>
      </c>
      <c r="AF129" s="267">
        <f>IFERROR(VLOOKUP($A129,Supp_26,14,FALSE),0)+IFERROR(SUMPRODUCT(VLOOKUP($A129,S275_01,{8,9,10},FALSE)),0)+IFERROR(SUMPRODUCT(VLOOKUP($A129,S275_97,{8,9,10},FALSE)),0)+IFERROR(ROUND(VLOOKUP($A129,S275_21,8,FALSE)*VLOOKUP($A129,'3121% SY'!$C$3:$M$324,11,FALSE),3),0)+IFERROR(ROUND(VLOOKUP($A129,S275_21,9,FALSE)*VLOOKUP($A129,'3121% SY'!$C$3:$M$324,11,FALSE),3),0)+IFERROR(ROUND(VLOOKUP($A129,S275_21,10,FALSE)*VLOOKUP($A129,'3121% SY'!$C$3:$M$324,11,FALSE),3),0)+IFERROR(VLOOKUP($A129,S275_09,4,FALSE),0)</f>
        <v>1.7000000000000001E-2</v>
      </c>
      <c r="AG129" s="267">
        <f>IFERROR(VLOOKUP($A129,Supp_35,14,FALSE),0)+IFERROR(SUMPRODUCT(VLOOKUP($A129,S275_01,{11,12,13},FALSE)),0)+IFERROR(SUMPRODUCT(VLOOKUP($A129,S275_97,{11,12,13},FALSE)),0)+IFERROR(ROUND(VLOOKUP($A129,S275_21,11,FALSE)*VLOOKUP($A129,'3121% SY'!$C$3:$M$324,11,FALSE),3),0)+IFERROR(ROUND(VLOOKUP($A129,S275_21,12,FALSE)*VLOOKUP($A129,'3121% SY'!$C$3:$M$324,11,FALSE),3),0)+IFERROR(ROUND(VLOOKUP($A129,S275_21,13,FALSE)*VLOOKUP($A129,'3121% SY'!$C$3:$M$324,11,FALSE),3),0)+IFERROR(VLOOKUP($A129,S275_09,5,FALSE),0)</f>
        <v>0</v>
      </c>
      <c r="AH129" s="165">
        <f t="shared" si="26"/>
        <v>1.7000000000000001E-2</v>
      </c>
      <c r="AI129" s="161">
        <f>IFERROR(VLOOKUP(A129,'Supp Staff Data'!A:ER,148,FALSE),0)+AB129</f>
        <v>0</v>
      </c>
      <c r="AJ129" s="174">
        <v>0</v>
      </c>
      <c r="AK129" s="25">
        <f>VLOOKUP(A129,'Enroll Data as of January 2025'!$A$3:$T$323,20,FALSE)-F129</f>
        <v>0</v>
      </c>
    </row>
    <row r="130" spans="1:37" x14ac:dyDescent="0.25">
      <c r="A130" s="171" t="s">
        <v>256</v>
      </c>
      <c r="B130" t="s">
        <v>552</v>
      </c>
      <c r="C130" s="173" t="s">
        <v>1077</v>
      </c>
      <c r="D130" s="259">
        <f t="shared" si="19"/>
        <v>5.0710000000000006</v>
      </c>
      <c r="E130" s="259">
        <f t="shared" si="20"/>
        <v>6.4439999999999991</v>
      </c>
      <c r="F130" s="262">
        <f t="shared" si="29"/>
        <v>1.373</v>
      </c>
      <c r="G130" s="161">
        <f>ROUND(IF(F130&lt;0,F130*'2024-25 PSES Compliance'!$G$13,0),3)</f>
        <v>0</v>
      </c>
      <c r="H130" s="161">
        <f>ROUND(IF(F130&lt;0,F130*'2024-25 PSES Compliance'!$G$14,0),3)</f>
        <v>0</v>
      </c>
      <c r="I130" s="174">
        <f t="shared" si="21"/>
        <v>0</v>
      </c>
      <c r="J130" s="174">
        <f t="shared" si="22"/>
        <v>0.43761638733705782</v>
      </c>
      <c r="K130" s="161">
        <f>VLOOKUP($A130,'Enroll Data as of January 2025'!$A$3:$M$322,6,FALSE)</f>
        <v>2.8280000000000003</v>
      </c>
      <c r="L130" s="161">
        <f>VLOOKUP($A130,'Enroll Data as of January 2025'!$A$3:$M$322,7,FALSE)</f>
        <v>0.47100000000000003</v>
      </c>
      <c r="M130" s="161">
        <f>VLOOKUP($A130,'Enroll Data as of January 2025'!$A$3:$M$322,8,FALSE)</f>
        <v>0.15800000000000003</v>
      </c>
      <c r="N130" s="161">
        <f>VLOOKUP($A130,'Enroll Data as of January 2025'!$A$3:$M$322,9,FALSE)</f>
        <v>1.329</v>
      </c>
      <c r="O130" s="165">
        <f t="shared" si="23"/>
        <v>4.7860000000000005</v>
      </c>
      <c r="P130" s="161">
        <f>VLOOKUP($A130,'Enroll Data as of January 2025'!$A$3:$M$322,11,FALSE)</f>
        <v>0.17899999999999999</v>
      </c>
      <c r="Q130" s="161">
        <f>VLOOKUP($A130,'Enroll Data as of January 2025'!$A$3:$M$322,12,FALSE)</f>
        <v>0.106</v>
      </c>
      <c r="R130" s="165">
        <f t="shared" si="24"/>
        <v>0.28499999999999998</v>
      </c>
      <c r="S130" s="267">
        <f>IFERROR(VLOOKUP($A130,Supp_39,14,FALSE),0)+IFERROR(SUMPRODUCT(VLOOKUP($A130,S275_01,{14,15,16},FALSE)),0)+IFERROR(SUMPRODUCT(VLOOKUP($A130,S275_97,{14,15,16},FALSE)),0)+IFERROR(ROUND(VLOOKUP($A130,S275_21,14,FALSE)*VLOOKUP($A130,'3121% SY'!$C$3:$M$324,11,FALSE),3),0)+IFERROR(ROUND(VLOOKUP($A130,S275_21,15,FALSE)*VLOOKUP($A130,'3121% SY'!$C$3:$M$324,11,FALSE),3),0)+IFERROR(ROUND(VLOOKUP($A130,S275_21,16,FALSE)*VLOOKUP($A130,'3121% SY'!$C$3:$M$324,11,FALSE),3),0)+IFERROR(VLOOKUP($A130,S275_09,6,FALSE),0)</f>
        <v>1.5</v>
      </c>
      <c r="T130" s="267">
        <f>IFERROR(VLOOKUP($A130,Supp_42,14,FALSE),0)+IFERROR(SUMPRODUCT(VLOOKUP($A130,S275_01,{17,18,19},FALSE)),0)+IFERROR(SUMPRODUCT(VLOOKUP($A130,S275_97,{17,18,19},FALSE)),0)+IFERROR(ROUND(VLOOKUP($A130,S275_21,17,FALSE)*VLOOKUP($A130,'3121% SY'!$C$3:$M$324,11,FALSE),3),0)+IFERROR(ROUND(VLOOKUP($A130,S275_21,18,FALSE)*VLOOKUP($A130,'3121% SY'!$C$3:$M$324,11,FALSE),3),0)+IFERROR(ROUND(VLOOKUP($A130,S275_21,19,FALSE)*VLOOKUP($A130,'3121% SY'!$C$3:$M$324,11,FALSE),3),0)+IFERROR(VLOOKUP($A130,S275_09,7,FALSE),0)</f>
        <v>0.5</v>
      </c>
      <c r="U130" s="267">
        <f>IFERROR(VLOOKUP($A130,Supp_43,14,FALSE),0)+IFERROR(SUMPRODUCT(VLOOKUP($A130,S275_01,{20,21,22},FALSE)),0)+IFERROR(SUMPRODUCT(VLOOKUP($A130,S275_97,{20,21,22},FALSE)),0)+IFERROR(ROUND(VLOOKUP($A130,S275_21,20,FALSE)*VLOOKUP($A130,'3121% SY'!$C$3:$M$324,11,FALSE),3),0)+IFERROR(ROUND(VLOOKUP($A130,S275_21,21,FALSE)*VLOOKUP($A130,'3121% SY'!$C$3:$M$324,11,FALSE),3),0)+IFERROR(ROUND(VLOOKUP($A130,S275_21,22,FALSE)*VLOOKUP($A130,'3121% SY'!$C$3:$M$324,11,FALSE),3),0)+IFERROR(VLOOKUP($A130,S275_09,8,FALSE),0)</f>
        <v>0.28999999999999998</v>
      </c>
      <c r="V130" s="267">
        <f>IFERROR(VLOOKUP($A130,Supp_44,14,FALSE),0)+IFERROR(SUMPRODUCT(VLOOKUP($A130,S275_01,{23,24,25},FALSE)),0)+IFERROR(SUMPRODUCT(VLOOKUP($A130,S275_97,{23,24,25},FALSE)),0)+IFERROR(ROUND(VLOOKUP($A130,S275_21,23,FALSE)*VLOOKUP($A130,'3121% SY'!$C$3:$M$324,11,FALSE),3),0)+IFERROR(ROUND(VLOOKUP($A130,S275_21,24,FALSE)*VLOOKUP($A130,'3121% SY'!$C$3:$M$324,11,FALSE),3),0)+IFERROR(ROUND(VLOOKUP($A130,S275_21,25,FALSE)*VLOOKUP($A130,'3121% SY'!$C$3:$M$324,11,FALSE),3),0)+IFERROR(VLOOKUP($A130,S275_09,9,FALSE),0)</f>
        <v>0</v>
      </c>
      <c r="W130" s="267">
        <f>IFERROR(VLOOKUP($A130,Supp_45,14,FALSE),0)+IFERROR(SUMPRODUCT(VLOOKUP($A130,S275_01,{26,27,28},FALSE)),0)+IFERROR(SUMPRODUCT(VLOOKUP($A130,S275_97,{26,27,28},FALSE)),0)+IFERROR(ROUND(VLOOKUP($A130,S275_21,26,FALSE)*VLOOKUP($A130,'3121% SY'!$C$3:$M$324,11,FALSE),3),0)+IFERROR(ROUND(VLOOKUP($A130,S275_21,27,FALSE)*VLOOKUP($A130,'3121% SY'!$C$3:$M$324,11,FALSE),3),0)+IFERROR(ROUND(VLOOKUP($A130,S275_21,28,FALSE)*VLOOKUP($A130,'3121% SY'!$C$3:$M$324,11,FALSE),3),0)+IFERROR(VLOOKUP($A130,S275_09,10,FALSE),0)</f>
        <v>0.17400000000000002</v>
      </c>
      <c r="X130" s="267">
        <f>IFERROR(VLOOKUP($A130,Supp_46,14,FALSE),0)+IFERROR(SUMPRODUCT(VLOOKUP($A130,S275_01,{29,30,31},FALSE)),0)+IFERROR(SUMPRODUCT(VLOOKUP($A130,S275_97,{29,30,31},FALSE)),0)+IFERROR(ROUND(VLOOKUP($A130,S275_21,29,FALSE)*VLOOKUP($A130,'3121% SY'!$C$3:$M$324,11,FALSE),3),0)+IFERROR(ROUND(VLOOKUP($A130,S275_21,30,FALSE)*VLOOKUP($A130,'3121% SY'!$C$3:$M$324,11,FALSE),3),0)+IFERROR(ROUND(VLOOKUP($A130,S275_21,31,FALSE)*VLOOKUP($A130,'3121% SY'!$C$3:$M$324,11,FALSE),3),0)+IFERROR(VLOOKUP($A130,S275_09,11,FALSE),0)</f>
        <v>0.23099999999999998</v>
      </c>
      <c r="Y130" s="267">
        <f>IFERROR(VLOOKUP($A130,Supp_47,14,FALSE),0)+IFERROR(SUMPRODUCT(VLOOKUP($A130,S275_01,{32,33,34},FALSE)),0)+IFERROR(SUMPRODUCT(VLOOKUP($A130,S275_97,{32,33,34},FALSE)),0)+IFERROR(ROUND(VLOOKUP($A130,S275_21,32,FALSE)*VLOOKUP($A130,'3121% SY'!$C$3:$M$324,11,FALSE),3),0)+IFERROR(ROUND(VLOOKUP($A130,S275_21,33,FALSE)*VLOOKUP($A130,'3121% SY'!$C$3:$M$324,11,FALSE),3),0)+IFERROR(ROUND(VLOOKUP($A130,S275_21,34,FALSE)*VLOOKUP($A130,'3121% SY'!$C$3:$M$324,11,FALSE),3),0)+IFERROR(VLOOKUP($A130,S275_09,12,FALSE),0)</f>
        <v>0.52</v>
      </c>
      <c r="Z130" s="267">
        <f>IFERROR(VLOOKUP($A130,Supp_48,14,FALSE),0)+IFERROR(SUMPRODUCT(VLOOKUP($A130,S275_01,{35,36,37},FALSE)),0)+IFERROR(SUMPRODUCT(VLOOKUP($A130,S275_97,{35,36,37},FALSE)),0)+IFERROR(ROUND(VLOOKUP($A130,S275_21,35,FALSE)*VLOOKUP($A130,'3121% SY'!$C$3:$M$324,11,FALSE),3),0)+IFERROR(ROUND(VLOOKUP($A130,S275_21,36,FALSE)*VLOOKUP($A130,'3121% SY'!$C$3:$M$324,11,FALSE),3),0)+IFERROR(ROUND(VLOOKUP($A130,S275_21,37,FALSE)*VLOOKUP($A130,'3121% SY'!$C$3:$M$324,11,FALSE),3),0)+IFERROR(VLOOKUP($A130,S275_09,13,FALSE),0)</f>
        <v>1.069</v>
      </c>
      <c r="AA130" s="267">
        <f>IFERROR(VLOOKUP($A130,Supp_49,14,FALSE),0)+IFERROR(SUMPRODUCT(VLOOKUP($A130,S275_01,{38,39,40},FALSE)),0)+IFERROR(SUMPRODUCT(VLOOKUP($A130,S275_97,{38,39,40},FALSE)),0)+IFERROR(ROUND(VLOOKUP($A130,S275_21,38,FALSE)*VLOOKUP($A130,'3121% SY'!$C$3:$M$324,11,FALSE),3),0)+IFERROR(ROUND(VLOOKUP($A130,S275_21,39,FALSE)*VLOOKUP($A130,'3121% SY'!$C$3:$M$324,11,FALSE),3),0)+IFERROR(ROUND(VLOOKUP($A130,S275_21,40,FALSE)*VLOOKUP($A130,'3121% SY'!$C$3:$M$324,11,FALSE),3),0)+IFERROR(VLOOKUP($A130,S275_09,14,FALSE),0)</f>
        <v>0.6</v>
      </c>
      <c r="AB130" s="267">
        <f>IFERROR(VLOOKUP($A130,Supp_64,14,FALSE),0)+IFERROR(SUMPRODUCT(VLOOKUP($A130,S275_01,{41,42,43},FALSE)),0)+IFERROR(SUMPRODUCT(VLOOKUP($A130,S275_97,{41,42,43},FALSE)),0)+IFERROR(ROUND(VLOOKUP($A130,S275_21,41,FALSE)*VLOOKUP($A130,'3121% SY'!$C$3:$M$324,11,FALSE),3),0)+IFERROR(ROUND(VLOOKUP($A130,S275_21,42,FALSE)*VLOOKUP($A130,'3121% SY'!$C$3:$M$324,11,FALSE),3),0)+IFERROR(ROUND(VLOOKUP($A130,S275_21,43,FALSE)*VLOOKUP($A130,'3121% SY'!$C$3:$M$324,11,FALSE),3),0)+IFERROR(VLOOKUP($A130,S275_09,15,FALSE),0)</f>
        <v>0</v>
      </c>
      <c r="AC130" s="268">
        <f t="shared" si="25"/>
        <v>4.8839999999999995</v>
      </c>
      <c r="AD130" s="267">
        <f>IFERROR(VLOOKUP($A130,Supp_24,14,FALSE),0)+IFERROR(SUMPRODUCT(VLOOKUP($A130,S275_01,{2,3,4},FALSE)),0)+IFERROR(SUMPRODUCT(VLOOKUP($A130,S275_97,{2,3,4},FALSE)),0)+IFERROR(ROUND(VLOOKUP($A130,S275_21,2,FALSE)*VLOOKUP($A130,'3121% SY'!$C$3:$M$324,11,FALSE),3),0)+IFERROR(ROUND(VLOOKUP($A130,S275_21,3,FALSE)*VLOOKUP($A130,'3121% SY'!$C$3:$M$324,11,FALSE),3),0)+IFERROR(ROUND(VLOOKUP($A130,S275_21,4,FALSE)*VLOOKUP($A130,'3121% SY'!$C$3:$M$324,11,FALSE),3),0)+IFERROR(VLOOKUP($A130,S275_09,2,FALSE),0)</f>
        <v>0</v>
      </c>
      <c r="AE130" s="267">
        <f>IFERROR(VLOOKUP($A130,Supp_25,14,FALSE),0)+IFERROR(SUMPRODUCT(VLOOKUP($A130,S275_01,{5,6,7},FALSE)),0)+IFERROR(SUMPRODUCT(VLOOKUP($A130,S275_97,{5,6,7},FALSE)),0)+IFERROR(ROUND(VLOOKUP($A130,S275_21,5,FALSE)*VLOOKUP($A130,'3121% SY'!$C$3:$M$324,11,FALSE),3),0)+IFERROR(ROUND(VLOOKUP($A130,S275_21,6,FALSE)*VLOOKUP($A130,'3121% SY'!$C$3:$M$324,11,FALSE),3),0)+IFERROR(ROUND(VLOOKUP($A130,S275_21,7,FALSE)*VLOOKUP($A130,'3121% SY'!$C$3:$M$324,11,FALSE),3),0)+IFERROR(VLOOKUP($A130,S275_09,3,FALSE),0)</f>
        <v>1.286</v>
      </c>
      <c r="AF130" s="267">
        <f>IFERROR(VLOOKUP($A130,Supp_26,14,FALSE),0)+IFERROR(SUMPRODUCT(VLOOKUP($A130,S275_01,{8,9,10},FALSE)),0)+IFERROR(SUMPRODUCT(VLOOKUP($A130,S275_97,{8,9,10},FALSE)),0)+IFERROR(ROUND(VLOOKUP($A130,S275_21,8,FALSE)*VLOOKUP($A130,'3121% SY'!$C$3:$M$324,11,FALSE),3),0)+IFERROR(ROUND(VLOOKUP($A130,S275_21,9,FALSE)*VLOOKUP($A130,'3121% SY'!$C$3:$M$324,11,FALSE),3),0)+IFERROR(ROUND(VLOOKUP($A130,S275_21,10,FALSE)*VLOOKUP($A130,'3121% SY'!$C$3:$M$324,11,FALSE),3),0)+IFERROR(VLOOKUP($A130,S275_09,4,FALSE),0)</f>
        <v>0.27400000000000002</v>
      </c>
      <c r="AG130" s="267">
        <f>IFERROR(VLOOKUP($A130,Supp_35,14,FALSE),0)+IFERROR(SUMPRODUCT(VLOOKUP($A130,S275_01,{11,12,13},FALSE)),0)+IFERROR(SUMPRODUCT(VLOOKUP($A130,S275_97,{11,12,13},FALSE)),0)+IFERROR(ROUND(VLOOKUP($A130,S275_21,11,FALSE)*VLOOKUP($A130,'3121% SY'!$C$3:$M$324,11,FALSE),3),0)+IFERROR(ROUND(VLOOKUP($A130,S275_21,12,FALSE)*VLOOKUP($A130,'3121% SY'!$C$3:$M$324,11,FALSE),3),0)+IFERROR(ROUND(VLOOKUP($A130,S275_21,13,FALSE)*VLOOKUP($A130,'3121% SY'!$C$3:$M$324,11,FALSE),3),0)+IFERROR(VLOOKUP($A130,S275_09,5,FALSE),0)</f>
        <v>0</v>
      </c>
      <c r="AH130" s="165">
        <f t="shared" si="26"/>
        <v>1.56</v>
      </c>
      <c r="AI130" s="161">
        <f>IFERROR(VLOOKUP(A130,'Supp Staff Data'!A:ER,148,FALSE),0)+AB130</f>
        <v>2.8200000000000003</v>
      </c>
      <c r="AJ130" s="174">
        <v>0</v>
      </c>
      <c r="AK130" s="25">
        <f>VLOOKUP(A130,'Enroll Data as of January 2025'!$A$3:$T$323,20,FALSE)-F130</f>
        <v>0</v>
      </c>
    </row>
    <row r="131" spans="1:37" x14ac:dyDescent="0.25">
      <c r="A131" s="171" t="s">
        <v>285</v>
      </c>
      <c r="B131" t="s">
        <v>581</v>
      </c>
      <c r="C131" s="173" t="s">
        <v>1077</v>
      </c>
      <c r="D131" s="259">
        <f t="shared" si="19"/>
        <v>0.42300000000000004</v>
      </c>
      <c r="E131" s="259">
        <f t="shared" si="20"/>
        <v>0.91300000000000003</v>
      </c>
      <c r="F131" s="262">
        <f t="shared" si="29"/>
        <v>0.49</v>
      </c>
      <c r="G131" s="161">
        <f>ROUND(IF(F131&lt;0,F131*'2024-25 PSES Compliance'!$G$13,0),3)</f>
        <v>0</v>
      </c>
      <c r="H131" s="161">
        <f>ROUND(IF(F131&lt;0,F131*'2024-25 PSES Compliance'!$G$14,0),3)</f>
        <v>0</v>
      </c>
      <c r="I131" s="174">
        <f t="shared" si="21"/>
        <v>0</v>
      </c>
      <c r="J131" s="174">
        <f t="shared" si="22"/>
        <v>0</v>
      </c>
      <c r="K131" s="161">
        <f>VLOOKUP($A131,'Enroll Data as of January 2025'!$A$3:$M$322,6,FALSE)</f>
        <v>0.24100000000000002</v>
      </c>
      <c r="L131" s="161">
        <f>VLOOKUP($A131,'Enroll Data as of January 2025'!$A$3:$M$322,7,FALSE)</f>
        <v>3.7000000000000005E-2</v>
      </c>
      <c r="M131" s="161">
        <f>VLOOKUP($A131,'Enroll Data as of January 2025'!$A$3:$M$322,8,FALSE)</f>
        <v>1.4E-2</v>
      </c>
      <c r="N131" s="161">
        <f>VLOOKUP($A131,'Enroll Data as of January 2025'!$A$3:$M$322,9,FALSE)</f>
        <v>0.10799999999999998</v>
      </c>
      <c r="O131" s="165">
        <f t="shared" si="23"/>
        <v>0.4</v>
      </c>
      <c r="P131" s="161">
        <f>VLOOKUP($A131,'Enroll Data as of January 2025'!$A$3:$M$322,11,FALSE)</f>
        <v>1.4999999999999999E-2</v>
      </c>
      <c r="Q131" s="161">
        <f>VLOOKUP($A131,'Enroll Data as of January 2025'!$A$3:$M$322,12,FALSE)</f>
        <v>8.0000000000000002E-3</v>
      </c>
      <c r="R131" s="165">
        <f t="shared" si="24"/>
        <v>2.3E-2</v>
      </c>
      <c r="S131" s="267">
        <f>IFERROR(VLOOKUP($A131,Supp_39,14,FALSE),0)+IFERROR(SUMPRODUCT(VLOOKUP($A131,S275_01,{14,15,16},FALSE)),0)+IFERROR(SUMPRODUCT(VLOOKUP($A131,S275_97,{14,15,16},FALSE)),0)+IFERROR(ROUND(VLOOKUP($A131,S275_21,14,FALSE)*VLOOKUP($A131,'3121% SY'!$C$3:$M$324,11,FALSE),3),0)+IFERROR(ROUND(VLOOKUP($A131,S275_21,15,FALSE)*VLOOKUP($A131,'3121% SY'!$C$3:$M$324,11,FALSE),3),0)+IFERROR(ROUND(VLOOKUP($A131,S275_21,16,FALSE)*VLOOKUP($A131,'3121% SY'!$C$3:$M$324,11,FALSE),3),0)+IFERROR(VLOOKUP($A131,S275_09,6,FALSE),0)</f>
        <v>0</v>
      </c>
      <c r="T131" s="267">
        <f>IFERROR(VLOOKUP($A131,Supp_42,14,FALSE),0)+IFERROR(SUMPRODUCT(VLOOKUP($A131,S275_01,{17,18,19},FALSE)),0)+IFERROR(SUMPRODUCT(VLOOKUP($A131,S275_97,{17,18,19},FALSE)),0)+IFERROR(ROUND(VLOOKUP($A131,S275_21,17,FALSE)*VLOOKUP($A131,'3121% SY'!$C$3:$M$324,11,FALSE),3),0)+IFERROR(ROUND(VLOOKUP($A131,S275_21,18,FALSE)*VLOOKUP($A131,'3121% SY'!$C$3:$M$324,11,FALSE),3),0)+IFERROR(ROUND(VLOOKUP($A131,S275_21,19,FALSE)*VLOOKUP($A131,'3121% SY'!$C$3:$M$324,11,FALSE),3),0)+IFERROR(VLOOKUP($A131,S275_09,7,FALSE),0)</f>
        <v>0</v>
      </c>
      <c r="U131" s="267">
        <f>IFERROR(VLOOKUP($A131,Supp_43,14,FALSE),0)+IFERROR(SUMPRODUCT(VLOOKUP($A131,S275_01,{20,21,22},FALSE)),0)+IFERROR(SUMPRODUCT(VLOOKUP($A131,S275_97,{20,21,22},FALSE)),0)+IFERROR(ROUND(VLOOKUP($A131,S275_21,20,FALSE)*VLOOKUP($A131,'3121% SY'!$C$3:$M$324,11,FALSE),3),0)+IFERROR(ROUND(VLOOKUP($A131,S275_21,21,FALSE)*VLOOKUP($A131,'3121% SY'!$C$3:$M$324,11,FALSE),3),0)+IFERROR(ROUND(VLOOKUP($A131,S275_21,22,FALSE)*VLOOKUP($A131,'3121% SY'!$C$3:$M$324,11,FALSE),3),0)+IFERROR(VLOOKUP($A131,S275_09,8,FALSE),0)</f>
        <v>0</v>
      </c>
      <c r="V131" s="267">
        <f>IFERROR(VLOOKUP($A131,Supp_44,14,FALSE),0)+IFERROR(SUMPRODUCT(VLOOKUP($A131,S275_01,{23,24,25},FALSE)),0)+IFERROR(SUMPRODUCT(VLOOKUP($A131,S275_97,{23,24,25},FALSE)),0)+IFERROR(ROUND(VLOOKUP($A131,S275_21,23,FALSE)*VLOOKUP($A131,'3121% SY'!$C$3:$M$324,11,FALSE),3),0)+IFERROR(ROUND(VLOOKUP($A131,S275_21,24,FALSE)*VLOOKUP($A131,'3121% SY'!$C$3:$M$324,11,FALSE),3),0)+IFERROR(ROUND(VLOOKUP($A131,S275_21,25,FALSE)*VLOOKUP($A131,'3121% SY'!$C$3:$M$324,11,FALSE),3),0)+IFERROR(VLOOKUP($A131,S275_09,9,FALSE),0)</f>
        <v>0</v>
      </c>
      <c r="W131" s="267">
        <f>IFERROR(VLOOKUP($A131,Supp_45,14,FALSE),0)+IFERROR(SUMPRODUCT(VLOOKUP($A131,S275_01,{26,27,28},FALSE)),0)+IFERROR(SUMPRODUCT(VLOOKUP($A131,S275_97,{26,27,28},FALSE)),0)+IFERROR(ROUND(VLOOKUP($A131,S275_21,26,FALSE)*VLOOKUP($A131,'3121% SY'!$C$3:$M$324,11,FALSE),3),0)+IFERROR(ROUND(VLOOKUP($A131,S275_21,27,FALSE)*VLOOKUP($A131,'3121% SY'!$C$3:$M$324,11,FALSE),3),0)+IFERROR(ROUND(VLOOKUP($A131,S275_21,28,FALSE)*VLOOKUP($A131,'3121% SY'!$C$3:$M$324,11,FALSE),3),0)+IFERROR(VLOOKUP($A131,S275_09,10,FALSE),0)</f>
        <v>0</v>
      </c>
      <c r="X131" s="267">
        <f>IFERROR(VLOOKUP($A131,Supp_46,14,FALSE),0)+IFERROR(SUMPRODUCT(VLOOKUP($A131,S275_01,{29,30,31},FALSE)),0)+IFERROR(SUMPRODUCT(VLOOKUP($A131,S275_97,{29,30,31},FALSE)),0)+IFERROR(ROUND(VLOOKUP($A131,S275_21,29,FALSE)*VLOOKUP($A131,'3121% SY'!$C$3:$M$324,11,FALSE),3),0)+IFERROR(ROUND(VLOOKUP($A131,S275_21,30,FALSE)*VLOOKUP($A131,'3121% SY'!$C$3:$M$324,11,FALSE),3),0)+IFERROR(ROUND(VLOOKUP($A131,S275_21,31,FALSE)*VLOOKUP($A131,'3121% SY'!$C$3:$M$324,11,FALSE),3),0)+IFERROR(VLOOKUP($A131,S275_09,11,FALSE),0)</f>
        <v>0</v>
      </c>
      <c r="Y131" s="267">
        <f>IFERROR(VLOOKUP($A131,Supp_47,14,FALSE),0)+IFERROR(SUMPRODUCT(VLOOKUP($A131,S275_01,{32,33,34},FALSE)),0)+IFERROR(SUMPRODUCT(VLOOKUP($A131,S275_97,{32,33,34},FALSE)),0)+IFERROR(ROUND(VLOOKUP($A131,S275_21,32,FALSE)*VLOOKUP($A131,'3121% SY'!$C$3:$M$324,11,FALSE),3),0)+IFERROR(ROUND(VLOOKUP($A131,S275_21,33,FALSE)*VLOOKUP($A131,'3121% SY'!$C$3:$M$324,11,FALSE),3),0)+IFERROR(ROUND(VLOOKUP($A131,S275_21,34,FALSE)*VLOOKUP($A131,'3121% SY'!$C$3:$M$324,11,FALSE),3),0)+IFERROR(VLOOKUP($A131,S275_09,12,FALSE),0)</f>
        <v>0</v>
      </c>
      <c r="Z131" s="267">
        <f>IFERROR(VLOOKUP($A131,Supp_48,14,FALSE),0)+IFERROR(SUMPRODUCT(VLOOKUP($A131,S275_01,{35,36,37},FALSE)),0)+IFERROR(SUMPRODUCT(VLOOKUP($A131,S275_97,{35,36,37},FALSE)),0)+IFERROR(ROUND(VLOOKUP($A131,S275_21,35,FALSE)*VLOOKUP($A131,'3121% SY'!$C$3:$M$324,11,FALSE),3),0)+IFERROR(ROUND(VLOOKUP($A131,S275_21,36,FALSE)*VLOOKUP($A131,'3121% SY'!$C$3:$M$324,11,FALSE),3),0)+IFERROR(ROUND(VLOOKUP($A131,S275_21,37,FALSE)*VLOOKUP($A131,'3121% SY'!$C$3:$M$324,11,FALSE),3),0)+IFERROR(VLOOKUP($A131,S275_09,13,FALSE),0)</f>
        <v>0</v>
      </c>
      <c r="AA131" s="267">
        <f>IFERROR(VLOOKUP($A131,Supp_49,14,FALSE),0)+IFERROR(SUMPRODUCT(VLOOKUP($A131,S275_01,{38,39,40},FALSE)),0)+IFERROR(SUMPRODUCT(VLOOKUP($A131,S275_97,{38,39,40},FALSE)),0)+IFERROR(ROUND(VLOOKUP($A131,S275_21,38,FALSE)*VLOOKUP($A131,'3121% SY'!$C$3:$M$324,11,FALSE),3),0)+IFERROR(ROUND(VLOOKUP($A131,S275_21,39,FALSE)*VLOOKUP($A131,'3121% SY'!$C$3:$M$324,11,FALSE),3),0)+IFERROR(ROUND(VLOOKUP($A131,S275_21,40,FALSE)*VLOOKUP($A131,'3121% SY'!$C$3:$M$324,11,FALSE),3),0)+IFERROR(VLOOKUP($A131,S275_09,14,FALSE),0)</f>
        <v>0</v>
      </c>
      <c r="AB131" s="267">
        <f>IFERROR(VLOOKUP($A131,Supp_64,14,FALSE),0)+IFERROR(SUMPRODUCT(VLOOKUP($A131,S275_01,{41,42,43},FALSE)),0)+IFERROR(SUMPRODUCT(VLOOKUP($A131,S275_97,{41,42,43},FALSE)),0)+IFERROR(ROUND(VLOOKUP($A131,S275_21,41,FALSE)*VLOOKUP($A131,'3121% SY'!$C$3:$M$324,11,FALSE),3),0)+IFERROR(ROUND(VLOOKUP($A131,S275_21,42,FALSE)*VLOOKUP($A131,'3121% SY'!$C$3:$M$324,11,FALSE),3),0)+IFERROR(ROUND(VLOOKUP($A131,S275_21,43,FALSE)*VLOOKUP($A131,'3121% SY'!$C$3:$M$324,11,FALSE),3),0)+IFERROR(VLOOKUP($A131,S275_09,15,FALSE),0)</f>
        <v>0</v>
      </c>
      <c r="AC131" s="268">
        <f t="shared" si="25"/>
        <v>0</v>
      </c>
      <c r="AD131" s="267">
        <f>IFERROR(VLOOKUP($A131,Supp_24,14,FALSE),0)+IFERROR(SUMPRODUCT(VLOOKUP($A131,S275_01,{2,3,4},FALSE)),0)+IFERROR(SUMPRODUCT(VLOOKUP($A131,S275_97,{2,3,4},FALSE)),0)+IFERROR(ROUND(VLOOKUP($A131,S275_21,2,FALSE)*VLOOKUP($A131,'3121% SY'!$C$3:$M$324,11,FALSE),3),0)+IFERROR(ROUND(VLOOKUP($A131,S275_21,3,FALSE)*VLOOKUP($A131,'3121% SY'!$C$3:$M$324,11,FALSE),3),0)+IFERROR(ROUND(VLOOKUP($A131,S275_21,4,FALSE)*VLOOKUP($A131,'3121% SY'!$C$3:$M$324,11,FALSE),3),0)+IFERROR(VLOOKUP($A131,S275_09,2,FALSE),0)</f>
        <v>0.67100000000000004</v>
      </c>
      <c r="AE131" s="267">
        <f>IFERROR(VLOOKUP($A131,Supp_25,14,FALSE),0)+IFERROR(SUMPRODUCT(VLOOKUP($A131,S275_01,{5,6,7},FALSE)),0)+IFERROR(SUMPRODUCT(VLOOKUP($A131,S275_97,{5,6,7},FALSE)),0)+IFERROR(ROUND(VLOOKUP($A131,S275_21,5,FALSE)*VLOOKUP($A131,'3121% SY'!$C$3:$M$324,11,FALSE),3),0)+IFERROR(ROUND(VLOOKUP($A131,S275_21,6,FALSE)*VLOOKUP($A131,'3121% SY'!$C$3:$M$324,11,FALSE),3),0)+IFERROR(ROUND(VLOOKUP($A131,S275_21,7,FALSE)*VLOOKUP($A131,'3121% SY'!$C$3:$M$324,11,FALSE),3),0)+IFERROR(VLOOKUP($A131,S275_09,3,FALSE),0)</f>
        <v>0.24199999999999999</v>
      </c>
      <c r="AF131" s="267">
        <f>IFERROR(VLOOKUP($A131,Supp_26,14,FALSE),0)+IFERROR(SUMPRODUCT(VLOOKUP($A131,S275_01,{8,9,10},FALSE)),0)+IFERROR(SUMPRODUCT(VLOOKUP($A131,S275_97,{8,9,10},FALSE)),0)+IFERROR(ROUND(VLOOKUP($A131,S275_21,8,FALSE)*VLOOKUP($A131,'3121% SY'!$C$3:$M$324,11,FALSE),3),0)+IFERROR(ROUND(VLOOKUP($A131,S275_21,9,FALSE)*VLOOKUP($A131,'3121% SY'!$C$3:$M$324,11,FALSE),3),0)+IFERROR(ROUND(VLOOKUP($A131,S275_21,10,FALSE)*VLOOKUP($A131,'3121% SY'!$C$3:$M$324,11,FALSE),3),0)+IFERROR(VLOOKUP($A131,S275_09,4,FALSE),0)</f>
        <v>0</v>
      </c>
      <c r="AG131" s="267">
        <f>IFERROR(VLOOKUP($A131,Supp_35,14,FALSE),0)+IFERROR(SUMPRODUCT(VLOOKUP($A131,S275_01,{11,12,13},FALSE)),0)+IFERROR(SUMPRODUCT(VLOOKUP($A131,S275_97,{11,12,13},FALSE)),0)+IFERROR(ROUND(VLOOKUP($A131,S275_21,11,FALSE)*VLOOKUP($A131,'3121% SY'!$C$3:$M$324,11,FALSE),3),0)+IFERROR(ROUND(VLOOKUP($A131,S275_21,12,FALSE)*VLOOKUP($A131,'3121% SY'!$C$3:$M$324,11,FALSE),3),0)+IFERROR(ROUND(VLOOKUP($A131,S275_21,13,FALSE)*VLOOKUP($A131,'3121% SY'!$C$3:$M$324,11,FALSE),3),0)+IFERROR(VLOOKUP($A131,S275_09,5,FALSE),0)</f>
        <v>0</v>
      </c>
      <c r="AH131" s="165">
        <f t="shared" si="26"/>
        <v>0.91300000000000003</v>
      </c>
      <c r="AI131" s="161">
        <f>IFERROR(VLOOKUP(A131,'Supp Staff Data'!A:ER,148,FALSE),0)+AB131</f>
        <v>0</v>
      </c>
      <c r="AJ131" s="174">
        <v>1</v>
      </c>
      <c r="AK131" s="25">
        <f>VLOOKUP(A131,'Enroll Data as of January 2025'!$A$3:$T$323,20,FALSE)-F131</f>
        <v>0</v>
      </c>
    </row>
    <row r="132" spans="1:37" x14ac:dyDescent="0.25">
      <c r="A132" s="171" t="s">
        <v>172</v>
      </c>
      <c r="B132" t="s">
        <v>468</v>
      </c>
      <c r="C132" s="173" t="s">
        <v>1077</v>
      </c>
      <c r="D132" s="259">
        <f t="shared" si="19"/>
        <v>5.2410000000000005</v>
      </c>
      <c r="E132" s="259">
        <f t="shared" si="20"/>
        <v>3.9739999999999998</v>
      </c>
      <c r="F132" s="262">
        <f t="shared" si="29"/>
        <v>-1.2669999999999999</v>
      </c>
      <c r="G132" s="161">
        <f>ROUND(IF(F132&lt;0,F132*'2024-25 PSES Compliance'!$G$13,0),3)</f>
        <v>-1.216</v>
      </c>
      <c r="H132" s="161">
        <f>ROUND(IF(F132&lt;0,F132*'2024-25 PSES Compliance'!$G$14,0),3)</f>
        <v>-5.0999999999999997E-2</v>
      </c>
      <c r="I132" s="174">
        <f t="shared" si="21"/>
        <v>0</v>
      </c>
      <c r="J132" s="174">
        <f t="shared" si="22"/>
        <v>0</v>
      </c>
      <c r="K132" s="161">
        <f>VLOOKUP($A132,'Enroll Data as of January 2025'!$A$3:$M$322,6,FALSE)</f>
        <v>2.968</v>
      </c>
      <c r="L132" s="161">
        <f>VLOOKUP($A132,'Enroll Data as of January 2025'!$A$3:$M$322,7,FALSE)</f>
        <v>0.47800000000000004</v>
      </c>
      <c r="M132" s="161">
        <f>VLOOKUP($A132,'Enroll Data as of January 2025'!$A$3:$M$322,8,FALSE)</f>
        <v>0.161</v>
      </c>
      <c r="N132" s="161">
        <f>VLOOKUP($A132,'Enroll Data as of January 2025'!$A$3:$M$322,9,FALSE)</f>
        <v>1.343</v>
      </c>
      <c r="O132" s="165">
        <f t="shared" si="23"/>
        <v>4.95</v>
      </c>
      <c r="P132" s="161">
        <f>VLOOKUP($A132,'Enroll Data as of January 2025'!$A$3:$M$322,11,FALSE)</f>
        <v>0.184</v>
      </c>
      <c r="Q132" s="161">
        <f>VLOOKUP($A132,'Enroll Data as of January 2025'!$A$3:$M$322,12,FALSE)</f>
        <v>0.107</v>
      </c>
      <c r="R132" s="165">
        <f t="shared" si="24"/>
        <v>0.29099999999999998</v>
      </c>
      <c r="S132" s="267">
        <f>IFERROR(VLOOKUP($A132,Supp_39,14,FALSE),0)+IFERROR(SUMPRODUCT(VLOOKUP($A132,S275_01,{14,15,16},FALSE)),0)+IFERROR(SUMPRODUCT(VLOOKUP($A132,S275_97,{14,15,16},FALSE)),0)+IFERROR(ROUND(VLOOKUP($A132,S275_21,14,FALSE)*VLOOKUP($A132,'3121% SY'!$C$3:$M$324,11,FALSE),3),0)+IFERROR(ROUND(VLOOKUP($A132,S275_21,15,FALSE)*VLOOKUP($A132,'3121% SY'!$C$3:$M$324,11,FALSE),3),0)+IFERROR(ROUND(VLOOKUP($A132,S275_21,16,FALSE)*VLOOKUP($A132,'3121% SY'!$C$3:$M$324,11,FALSE),3),0)+IFERROR(VLOOKUP($A132,S275_09,6,FALSE),0)</f>
        <v>1.9179999999999999</v>
      </c>
      <c r="T132" s="267">
        <f>IFERROR(VLOOKUP($A132,Supp_42,14,FALSE),0)+IFERROR(SUMPRODUCT(VLOOKUP($A132,S275_01,{17,18,19},FALSE)),0)+IFERROR(SUMPRODUCT(VLOOKUP($A132,S275_97,{17,18,19},FALSE)),0)+IFERROR(ROUND(VLOOKUP($A132,S275_21,17,FALSE)*VLOOKUP($A132,'3121% SY'!$C$3:$M$324,11,FALSE),3),0)+IFERROR(ROUND(VLOOKUP($A132,S275_21,18,FALSE)*VLOOKUP($A132,'3121% SY'!$C$3:$M$324,11,FALSE),3),0)+IFERROR(ROUND(VLOOKUP($A132,S275_21,19,FALSE)*VLOOKUP($A132,'3121% SY'!$C$3:$M$324,11,FALSE),3),0)+IFERROR(VLOOKUP($A132,S275_09,7,FALSE),0)</f>
        <v>0.95399999999999996</v>
      </c>
      <c r="U132" s="267">
        <f>IFERROR(VLOOKUP($A132,Supp_43,14,FALSE),0)+IFERROR(SUMPRODUCT(VLOOKUP($A132,S275_01,{20,21,22},FALSE)),0)+IFERROR(SUMPRODUCT(VLOOKUP($A132,S275_97,{20,21,22},FALSE)),0)+IFERROR(ROUND(VLOOKUP($A132,S275_21,20,FALSE)*VLOOKUP($A132,'3121% SY'!$C$3:$M$324,11,FALSE),3),0)+IFERROR(ROUND(VLOOKUP($A132,S275_21,21,FALSE)*VLOOKUP($A132,'3121% SY'!$C$3:$M$324,11,FALSE),3),0)+IFERROR(ROUND(VLOOKUP($A132,S275_21,22,FALSE)*VLOOKUP($A132,'3121% SY'!$C$3:$M$324,11,FALSE),3),0)+IFERROR(VLOOKUP($A132,S275_09,8,FALSE),0)</f>
        <v>0</v>
      </c>
      <c r="V132" s="267">
        <f>IFERROR(VLOOKUP($A132,Supp_44,14,FALSE),0)+IFERROR(SUMPRODUCT(VLOOKUP($A132,S275_01,{23,24,25},FALSE)),0)+IFERROR(SUMPRODUCT(VLOOKUP($A132,S275_97,{23,24,25},FALSE)),0)+IFERROR(ROUND(VLOOKUP($A132,S275_21,23,FALSE)*VLOOKUP($A132,'3121% SY'!$C$3:$M$324,11,FALSE),3),0)+IFERROR(ROUND(VLOOKUP($A132,S275_21,24,FALSE)*VLOOKUP($A132,'3121% SY'!$C$3:$M$324,11,FALSE),3),0)+IFERROR(ROUND(VLOOKUP($A132,S275_21,25,FALSE)*VLOOKUP($A132,'3121% SY'!$C$3:$M$324,11,FALSE),3),0)+IFERROR(VLOOKUP($A132,S275_09,9,FALSE),0)</f>
        <v>0</v>
      </c>
      <c r="W132" s="267">
        <f>IFERROR(VLOOKUP($A132,Supp_45,14,FALSE),0)+IFERROR(SUMPRODUCT(VLOOKUP($A132,S275_01,{26,27,28},FALSE)),0)+IFERROR(SUMPRODUCT(VLOOKUP($A132,S275_97,{26,27,28},FALSE)),0)+IFERROR(ROUND(VLOOKUP($A132,S275_21,26,FALSE)*VLOOKUP($A132,'3121% SY'!$C$3:$M$324,11,FALSE),3),0)+IFERROR(ROUND(VLOOKUP($A132,S275_21,27,FALSE)*VLOOKUP($A132,'3121% SY'!$C$3:$M$324,11,FALSE),3),0)+IFERROR(ROUND(VLOOKUP($A132,S275_21,28,FALSE)*VLOOKUP($A132,'3121% SY'!$C$3:$M$324,11,FALSE),3),0)+IFERROR(VLOOKUP($A132,S275_09,10,FALSE),0)</f>
        <v>0</v>
      </c>
      <c r="X132" s="267">
        <f>IFERROR(VLOOKUP($A132,Supp_46,14,FALSE),0)+IFERROR(SUMPRODUCT(VLOOKUP($A132,S275_01,{29,30,31},FALSE)),0)+IFERROR(SUMPRODUCT(VLOOKUP($A132,S275_97,{29,30,31},FALSE)),0)+IFERROR(ROUND(VLOOKUP($A132,S275_21,29,FALSE)*VLOOKUP($A132,'3121% SY'!$C$3:$M$324,11,FALSE),3),0)+IFERROR(ROUND(VLOOKUP($A132,S275_21,30,FALSE)*VLOOKUP($A132,'3121% SY'!$C$3:$M$324,11,FALSE),3),0)+IFERROR(ROUND(VLOOKUP($A132,S275_21,31,FALSE)*VLOOKUP($A132,'3121% SY'!$C$3:$M$324,11,FALSE),3),0)+IFERROR(VLOOKUP($A132,S275_09,11,FALSE),0)</f>
        <v>0</v>
      </c>
      <c r="Y132" s="267">
        <f>IFERROR(VLOOKUP($A132,Supp_47,14,FALSE),0)+IFERROR(SUMPRODUCT(VLOOKUP($A132,S275_01,{32,33,34},FALSE)),0)+IFERROR(SUMPRODUCT(VLOOKUP($A132,S275_97,{32,33,34},FALSE)),0)+IFERROR(ROUND(VLOOKUP($A132,S275_21,32,FALSE)*VLOOKUP($A132,'3121% SY'!$C$3:$M$324,11,FALSE),3),0)+IFERROR(ROUND(VLOOKUP($A132,S275_21,33,FALSE)*VLOOKUP($A132,'3121% SY'!$C$3:$M$324,11,FALSE),3),0)+IFERROR(ROUND(VLOOKUP($A132,S275_21,34,FALSE)*VLOOKUP($A132,'3121% SY'!$C$3:$M$324,11,FALSE),3),0)+IFERROR(VLOOKUP($A132,S275_09,12,FALSE),0)</f>
        <v>0</v>
      </c>
      <c r="Z132" s="267">
        <f>IFERROR(VLOOKUP($A132,Supp_48,14,FALSE),0)+IFERROR(SUMPRODUCT(VLOOKUP($A132,S275_01,{35,36,37},FALSE)),0)+IFERROR(SUMPRODUCT(VLOOKUP($A132,S275_97,{35,36,37},FALSE)),0)+IFERROR(ROUND(VLOOKUP($A132,S275_21,35,FALSE)*VLOOKUP($A132,'3121% SY'!$C$3:$M$324,11,FALSE),3),0)+IFERROR(ROUND(VLOOKUP($A132,S275_21,36,FALSE)*VLOOKUP($A132,'3121% SY'!$C$3:$M$324,11,FALSE),3),0)+IFERROR(ROUND(VLOOKUP($A132,S275_21,37,FALSE)*VLOOKUP($A132,'3121% SY'!$C$3:$M$324,11,FALSE),3),0)+IFERROR(VLOOKUP($A132,S275_09,13,FALSE),0)</f>
        <v>0</v>
      </c>
      <c r="AA132" s="267">
        <f>IFERROR(VLOOKUP($A132,Supp_49,14,FALSE),0)+IFERROR(SUMPRODUCT(VLOOKUP($A132,S275_01,{38,39,40},FALSE)),0)+IFERROR(SUMPRODUCT(VLOOKUP($A132,S275_97,{38,39,40},FALSE)),0)+IFERROR(ROUND(VLOOKUP($A132,S275_21,38,FALSE)*VLOOKUP($A132,'3121% SY'!$C$3:$M$324,11,FALSE),3),0)+IFERROR(ROUND(VLOOKUP($A132,S275_21,39,FALSE)*VLOOKUP($A132,'3121% SY'!$C$3:$M$324,11,FALSE),3),0)+IFERROR(ROUND(VLOOKUP($A132,S275_21,40,FALSE)*VLOOKUP($A132,'3121% SY'!$C$3:$M$324,11,FALSE),3),0)+IFERROR(VLOOKUP($A132,S275_09,14,FALSE),0)</f>
        <v>0</v>
      </c>
      <c r="AB132" s="267">
        <f>IFERROR(VLOOKUP($A132,Supp_64,14,FALSE),0)+IFERROR(SUMPRODUCT(VLOOKUP($A132,S275_01,{41,42,43},FALSE)),0)+IFERROR(SUMPRODUCT(VLOOKUP($A132,S275_97,{41,42,43},FALSE)),0)+IFERROR(ROUND(VLOOKUP($A132,S275_21,41,FALSE)*VLOOKUP($A132,'3121% SY'!$C$3:$M$324,11,FALSE),3),0)+IFERROR(ROUND(VLOOKUP($A132,S275_21,42,FALSE)*VLOOKUP($A132,'3121% SY'!$C$3:$M$324,11,FALSE),3),0)+IFERROR(ROUND(VLOOKUP($A132,S275_21,43,FALSE)*VLOOKUP($A132,'3121% SY'!$C$3:$M$324,11,FALSE),3),0)+IFERROR(VLOOKUP($A132,S275_09,15,FALSE),0)</f>
        <v>0</v>
      </c>
      <c r="AC132" s="268">
        <f t="shared" si="25"/>
        <v>2.8719999999999999</v>
      </c>
      <c r="AD132" s="267">
        <f>IFERROR(VLOOKUP($A132,Supp_24,14,FALSE),0)+IFERROR(SUMPRODUCT(VLOOKUP($A132,S275_01,{2,3,4},FALSE)),0)+IFERROR(SUMPRODUCT(VLOOKUP($A132,S275_97,{2,3,4},FALSE)),0)+IFERROR(ROUND(VLOOKUP($A132,S275_21,2,FALSE)*VLOOKUP($A132,'3121% SY'!$C$3:$M$324,11,FALSE),3),0)+IFERROR(ROUND(VLOOKUP($A132,S275_21,3,FALSE)*VLOOKUP($A132,'3121% SY'!$C$3:$M$324,11,FALSE),3),0)+IFERROR(ROUND(VLOOKUP($A132,S275_21,4,FALSE)*VLOOKUP($A132,'3121% SY'!$C$3:$M$324,11,FALSE),3),0)+IFERROR(VLOOKUP($A132,S275_09,2,FALSE),0)</f>
        <v>0</v>
      </c>
      <c r="AE132" s="267">
        <f>IFERROR(VLOOKUP($A132,Supp_25,14,FALSE),0)+IFERROR(SUMPRODUCT(VLOOKUP($A132,S275_01,{5,6,7},FALSE)),0)+IFERROR(SUMPRODUCT(VLOOKUP($A132,S275_97,{5,6,7},FALSE)),0)+IFERROR(ROUND(VLOOKUP($A132,S275_21,5,FALSE)*VLOOKUP($A132,'3121% SY'!$C$3:$M$324,11,FALSE),3),0)+IFERROR(ROUND(VLOOKUP($A132,S275_21,6,FALSE)*VLOOKUP($A132,'3121% SY'!$C$3:$M$324,11,FALSE),3),0)+IFERROR(ROUND(VLOOKUP($A132,S275_21,7,FALSE)*VLOOKUP($A132,'3121% SY'!$C$3:$M$324,11,FALSE),3),0)+IFERROR(VLOOKUP($A132,S275_09,3,FALSE),0)</f>
        <v>0</v>
      </c>
      <c r="AF132" s="267">
        <f>IFERROR(VLOOKUP($A132,Supp_26,14,FALSE),0)+IFERROR(SUMPRODUCT(VLOOKUP($A132,S275_01,{8,9,10},FALSE)),0)+IFERROR(SUMPRODUCT(VLOOKUP($A132,S275_97,{8,9,10},FALSE)),0)+IFERROR(ROUND(VLOOKUP($A132,S275_21,8,FALSE)*VLOOKUP($A132,'3121% SY'!$C$3:$M$324,11,FALSE),3),0)+IFERROR(ROUND(VLOOKUP($A132,S275_21,9,FALSE)*VLOOKUP($A132,'3121% SY'!$C$3:$M$324,11,FALSE),3),0)+IFERROR(ROUND(VLOOKUP($A132,S275_21,10,FALSE)*VLOOKUP($A132,'3121% SY'!$C$3:$M$324,11,FALSE),3),0)+IFERROR(VLOOKUP($A132,S275_09,4,FALSE),0)</f>
        <v>1.1019999999999999</v>
      </c>
      <c r="AG132" s="267">
        <f>IFERROR(VLOOKUP($A132,Supp_35,14,FALSE),0)+IFERROR(SUMPRODUCT(VLOOKUP($A132,S275_01,{11,12,13},FALSE)),0)+IFERROR(SUMPRODUCT(VLOOKUP($A132,S275_97,{11,12,13},FALSE)),0)+IFERROR(ROUND(VLOOKUP($A132,S275_21,11,FALSE)*VLOOKUP($A132,'3121% SY'!$C$3:$M$324,11,FALSE),3),0)+IFERROR(ROUND(VLOOKUP($A132,S275_21,12,FALSE)*VLOOKUP($A132,'3121% SY'!$C$3:$M$324,11,FALSE),3),0)+IFERROR(ROUND(VLOOKUP($A132,S275_21,13,FALSE)*VLOOKUP($A132,'3121% SY'!$C$3:$M$324,11,FALSE),3),0)+IFERROR(VLOOKUP($A132,S275_09,5,FALSE),0)</f>
        <v>0</v>
      </c>
      <c r="AH132" s="165">
        <f t="shared" si="26"/>
        <v>1.1019999999999999</v>
      </c>
      <c r="AI132" s="161">
        <f>IFERROR(VLOOKUP(A132,'Supp Staff Data'!A:ER,148,FALSE),0)+AB132</f>
        <v>0</v>
      </c>
      <c r="AJ132" s="174">
        <v>0</v>
      </c>
      <c r="AK132" s="25">
        <f>VLOOKUP(A132,'Enroll Data as of January 2025'!$A$3:$T$323,20,FALSE)-F132</f>
        <v>0</v>
      </c>
    </row>
    <row r="133" spans="1:37" x14ac:dyDescent="0.25">
      <c r="A133" s="171" t="s">
        <v>623</v>
      </c>
      <c r="B133" t="s">
        <v>1236</v>
      </c>
      <c r="C133" s="173" t="s">
        <v>1086</v>
      </c>
      <c r="D133" s="259">
        <f t="shared" si="19"/>
        <v>2.1390000000000002</v>
      </c>
      <c r="E133" s="259">
        <f t="shared" si="20"/>
        <v>0</v>
      </c>
      <c r="F133" s="262">
        <f>(AC133+AH133)-(O133+R133)</f>
        <v>-2.1390000000000002</v>
      </c>
      <c r="G133" s="161">
        <f>ROUND(IF(F133&lt;0,F133*'2024-25 PSES Compliance'!$G$13,0),3)</f>
        <v>-2.0529999999999999</v>
      </c>
      <c r="H133" s="161">
        <f>ROUND(IF(F133&lt;0,F133*'2024-25 PSES Compliance'!$G$14,0),3)</f>
        <v>-8.5999999999999993E-2</v>
      </c>
      <c r="I133" s="174">
        <f t="shared" si="21"/>
        <v>0</v>
      </c>
      <c r="J133" s="174">
        <f t="shared" si="22"/>
        <v>0</v>
      </c>
      <c r="K133" s="161">
        <f>VLOOKUP($A133,'Enroll Data as of January 2025'!$A$3:$M$322,6,FALSE)</f>
        <v>1.161</v>
      </c>
      <c r="L133" s="161">
        <f>VLOOKUP($A133,'Enroll Data as of January 2025'!$A$3:$M$322,7,FALSE)</f>
        <v>0.17700000000000002</v>
      </c>
      <c r="M133" s="161">
        <f>VLOOKUP($A133,'Enroll Data as of January 2025'!$A$3:$M$322,8,FALSE)</f>
        <v>5.7000000000000002E-2</v>
      </c>
      <c r="N133" s="161">
        <f>VLOOKUP($A133,'Enroll Data as of January 2025'!$A$3:$M$322,9,FALSE)</f>
        <v>0.63300000000000001</v>
      </c>
      <c r="O133" s="165">
        <f t="shared" si="23"/>
        <v>2.028</v>
      </c>
      <c r="P133" s="161">
        <f>VLOOKUP($A133,'Enroll Data as of January 2025'!$A$3:$M$322,11,FALSE)</f>
        <v>7.3999999999999996E-2</v>
      </c>
      <c r="Q133" s="161">
        <f>VLOOKUP($A133,'Enroll Data as of January 2025'!$A$3:$M$322,12,FALSE)</f>
        <v>3.6999999999999998E-2</v>
      </c>
      <c r="R133" s="165">
        <f t="shared" si="24"/>
        <v>0.11099999999999999</v>
      </c>
      <c r="S133" s="267">
        <f>IFERROR(VLOOKUP($A133,Supp_39,14,FALSE),0)+IFERROR(SUMPRODUCT(VLOOKUP($A133,S275_01,{14,15,16},FALSE)),0)+IFERROR(SUMPRODUCT(VLOOKUP($A133,S275_97,{14,15,16},FALSE)),0)+IFERROR(ROUND(VLOOKUP($A133,S275_21,14,FALSE)*VLOOKUP($A133,'3121% SY'!$C$3:$M$324,11,FALSE),3),0)+IFERROR(ROUND(VLOOKUP($A133,S275_21,15,FALSE)*VLOOKUP($A133,'3121% SY'!$C$3:$M$324,11,FALSE),3),0)+IFERROR(ROUND(VLOOKUP($A133,S275_21,16,FALSE)*VLOOKUP($A133,'3121% SY'!$C$3:$M$324,11,FALSE),3),0)+IFERROR(VLOOKUP($A133,S275_09,6,FALSE),0)</f>
        <v>0</v>
      </c>
      <c r="T133" s="267">
        <f>IFERROR(VLOOKUP($A133,Supp_42,14,FALSE),0)+IFERROR(SUMPRODUCT(VLOOKUP($A133,S275_01,{17,18,19},FALSE)),0)+IFERROR(SUMPRODUCT(VLOOKUP($A133,S275_97,{17,18,19},FALSE)),0)+IFERROR(ROUND(VLOOKUP($A133,S275_21,17,FALSE)*VLOOKUP($A133,'3121% SY'!$C$3:$M$324,11,FALSE),3),0)+IFERROR(ROUND(VLOOKUP($A133,S275_21,18,FALSE)*VLOOKUP($A133,'3121% SY'!$C$3:$M$324,11,FALSE),3),0)+IFERROR(ROUND(VLOOKUP($A133,S275_21,19,FALSE)*VLOOKUP($A133,'3121% SY'!$C$3:$M$324,11,FALSE),3),0)+IFERROR(VLOOKUP($A133,S275_09,7,FALSE),0)</f>
        <v>0</v>
      </c>
      <c r="U133" s="267">
        <f>IFERROR(VLOOKUP($A133,Supp_43,14,FALSE),0)+IFERROR(SUMPRODUCT(VLOOKUP($A133,S275_01,{20,21,22},FALSE)),0)+IFERROR(SUMPRODUCT(VLOOKUP($A133,S275_97,{20,21,22},FALSE)),0)+IFERROR(ROUND(VLOOKUP($A133,S275_21,20,FALSE)*VLOOKUP($A133,'3121% SY'!$C$3:$M$324,11,FALSE),3),0)+IFERROR(ROUND(VLOOKUP($A133,S275_21,21,FALSE)*VLOOKUP($A133,'3121% SY'!$C$3:$M$324,11,FALSE),3),0)+IFERROR(ROUND(VLOOKUP($A133,S275_21,22,FALSE)*VLOOKUP($A133,'3121% SY'!$C$3:$M$324,11,FALSE),3),0)+IFERROR(VLOOKUP($A133,S275_09,8,FALSE),0)</f>
        <v>0</v>
      </c>
      <c r="V133" s="267">
        <f>IFERROR(VLOOKUP($A133,Supp_44,14,FALSE),0)+IFERROR(SUMPRODUCT(VLOOKUP($A133,S275_01,{23,24,25},FALSE)),0)+IFERROR(SUMPRODUCT(VLOOKUP($A133,S275_97,{23,24,25},FALSE)),0)+IFERROR(ROUND(VLOOKUP($A133,S275_21,23,FALSE)*VLOOKUP($A133,'3121% SY'!$C$3:$M$324,11,FALSE),3),0)+IFERROR(ROUND(VLOOKUP($A133,S275_21,24,FALSE)*VLOOKUP($A133,'3121% SY'!$C$3:$M$324,11,FALSE),3),0)+IFERROR(ROUND(VLOOKUP($A133,S275_21,25,FALSE)*VLOOKUP($A133,'3121% SY'!$C$3:$M$324,11,FALSE),3),0)+IFERROR(VLOOKUP($A133,S275_09,9,FALSE),0)</f>
        <v>0</v>
      </c>
      <c r="W133" s="267">
        <f>IFERROR(VLOOKUP($A133,Supp_45,14,FALSE),0)+IFERROR(SUMPRODUCT(VLOOKUP($A133,S275_01,{26,27,28},FALSE)),0)+IFERROR(SUMPRODUCT(VLOOKUP($A133,S275_97,{26,27,28},FALSE)),0)+IFERROR(ROUND(VLOOKUP($A133,S275_21,26,FALSE)*VLOOKUP($A133,'3121% SY'!$C$3:$M$324,11,FALSE),3),0)+IFERROR(ROUND(VLOOKUP($A133,S275_21,27,FALSE)*VLOOKUP($A133,'3121% SY'!$C$3:$M$324,11,FALSE),3),0)+IFERROR(ROUND(VLOOKUP($A133,S275_21,28,FALSE)*VLOOKUP($A133,'3121% SY'!$C$3:$M$324,11,FALSE),3),0)+IFERROR(VLOOKUP($A133,S275_09,10,FALSE),0)</f>
        <v>0</v>
      </c>
      <c r="X133" s="267">
        <f>IFERROR(VLOOKUP($A133,Supp_46,14,FALSE),0)+IFERROR(SUMPRODUCT(VLOOKUP($A133,S275_01,{29,30,31},FALSE)),0)+IFERROR(SUMPRODUCT(VLOOKUP($A133,S275_97,{29,30,31},FALSE)),0)+IFERROR(ROUND(VLOOKUP($A133,S275_21,29,FALSE)*VLOOKUP($A133,'3121% SY'!$C$3:$M$324,11,FALSE),3),0)+IFERROR(ROUND(VLOOKUP($A133,S275_21,30,FALSE)*VLOOKUP($A133,'3121% SY'!$C$3:$M$324,11,FALSE),3),0)+IFERROR(ROUND(VLOOKUP($A133,S275_21,31,FALSE)*VLOOKUP($A133,'3121% SY'!$C$3:$M$324,11,FALSE),3),0)+IFERROR(VLOOKUP($A133,S275_09,11,FALSE),0)</f>
        <v>0</v>
      </c>
      <c r="Y133" s="267">
        <f>IFERROR(VLOOKUP($A133,Supp_47,14,FALSE),0)+IFERROR(SUMPRODUCT(VLOOKUP($A133,S275_01,{32,33,34},FALSE)),0)+IFERROR(SUMPRODUCT(VLOOKUP($A133,S275_97,{32,33,34},FALSE)),0)+IFERROR(ROUND(VLOOKUP($A133,S275_21,32,FALSE)*VLOOKUP($A133,'3121% SY'!$C$3:$M$324,11,FALSE),3),0)+IFERROR(ROUND(VLOOKUP($A133,S275_21,33,FALSE)*VLOOKUP($A133,'3121% SY'!$C$3:$M$324,11,FALSE),3),0)+IFERROR(ROUND(VLOOKUP($A133,S275_21,34,FALSE)*VLOOKUP($A133,'3121% SY'!$C$3:$M$324,11,FALSE),3),0)+IFERROR(VLOOKUP($A133,S275_09,12,FALSE),0)</f>
        <v>0</v>
      </c>
      <c r="Z133" s="267">
        <f>IFERROR(VLOOKUP($A133,Supp_48,14,FALSE),0)+IFERROR(SUMPRODUCT(VLOOKUP($A133,S275_01,{35,36,37},FALSE)),0)+IFERROR(SUMPRODUCT(VLOOKUP($A133,S275_97,{35,36,37},FALSE)),0)+IFERROR(ROUND(VLOOKUP($A133,S275_21,35,FALSE)*VLOOKUP($A133,'3121% SY'!$C$3:$M$324,11,FALSE),3),0)+IFERROR(ROUND(VLOOKUP($A133,S275_21,36,FALSE)*VLOOKUP($A133,'3121% SY'!$C$3:$M$324,11,FALSE),3),0)+IFERROR(ROUND(VLOOKUP($A133,S275_21,37,FALSE)*VLOOKUP($A133,'3121% SY'!$C$3:$M$324,11,FALSE),3),0)+IFERROR(VLOOKUP($A133,S275_09,13,FALSE),0)</f>
        <v>0</v>
      </c>
      <c r="AA133" s="267">
        <f>IFERROR(VLOOKUP($A133,Supp_49,14,FALSE),0)+IFERROR(SUMPRODUCT(VLOOKUP($A133,S275_01,{38,39,40},FALSE)),0)+IFERROR(SUMPRODUCT(VLOOKUP($A133,S275_97,{38,39,40},FALSE)),0)+IFERROR(ROUND(VLOOKUP($A133,S275_21,38,FALSE)*VLOOKUP($A133,'3121% SY'!$C$3:$M$324,11,FALSE),3),0)+IFERROR(ROUND(VLOOKUP($A133,S275_21,39,FALSE)*VLOOKUP($A133,'3121% SY'!$C$3:$M$324,11,FALSE),3),0)+IFERROR(ROUND(VLOOKUP($A133,S275_21,40,FALSE)*VLOOKUP($A133,'3121% SY'!$C$3:$M$324,11,FALSE),3),0)+IFERROR(VLOOKUP($A133,S275_09,14,FALSE),0)</f>
        <v>0</v>
      </c>
      <c r="AB133" s="267">
        <f>IFERROR(VLOOKUP($A133,Supp_64,14,FALSE),0)+IFERROR(SUMPRODUCT(VLOOKUP($A133,S275_01,{41,42,43},FALSE)),0)+IFERROR(SUMPRODUCT(VLOOKUP($A133,S275_97,{41,42,43},FALSE)),0)+IFERROR(ROUND(VLOOKUP($A133,S275_21,41,FALSE)*VLOOKUP($A133,'3121% SY'!$C$3:$M$324,11,FALSE),3),0)+IFERROR(ROUND(VLOOKUP($A133,S275_21,42,FALSE)*VLOOKUP($A133,'3121% SY'!$C$3:$M$324,11,FALSE),3),0)+IFERROR(ROUND(VLOOKUP($A133,S275_21,43,FALSE)*VLOOKUP($A133,'3121% SY'!$C$3:$M$324,11,FALSE),3),0)+IFERROR(VLOOKUP($A133,S275_09,15,FALSE),0)</f>
        <v>0</v>
      </c>
      <c r="AC133" s="268">
        <f t="shared" si="25"/>
        <v>0</v>
      </c>
      <c r="AD133" s="267">
        <f>IFERROR(VLOOKUP($A133,Supp_24,14,FALSE),0)+IFERROR(SUMPRODUCT(VLOOKUP($A133,S275_01,{2,3,4},FALSE)),0)+IFERROR(SUMPRODUCT(VLOOKUP($A133,S275_97,{2,3,4},FALSE)),0)+IFERROR(ROUND(VLOOKUP($A133,S275_21,2,FALSE)*VLOOKUP($A133,'3121% SY'!$C$3:$M$324,11,FALSE),3),0)+IFERROR(ROUND(VLOOKUP($A133,S275_21,3,FALSE)*VLOOKUP($A133,'3121% SY'!$C$3:$M$324,11,FALSE),3),0)+IFERROR(ROUND(VLOOKUP($A133,S275_21,4,FALSE)*VLOOKUP($A133,'3121% SY'!$C$3:$M$324,11,FALSE),3),0)+IFERROR(VLOOKUP($A133,S275_09,2,FALSE),0)</f>
        <v>0</v>
      </c>
      <c r="AE133" s="267">
        <f>IFERROR(VLOOKUP($A133,Supp_25,14,FALSE),0)+IFERROR(SUMPRODUCT(VLOOKUP($A133,S275_01,{5,6,7},FALSE)),0)+IFERROR(SUMPRODUCT(VLOOKUP($A133,S275_97,{5,6,7},FALSE)),0)+IFERROR(ROUND(VLOOKUP($A133,S275_21,5,FALSE)*VLOOKUP($A133,'3121% SY'!$C$3:$M$324,11,FALSE),3),0)+IFERROR(ROUND(VLOOKUP($A133,S275_21,6,FALSE)*VLOOKUP($A133,'3121% SY'!$C$3:$M$324,11,FALSE),3),0)+IFERROR(ROUND(VLOOKUP($A133,S275_21,7,FALSE)*VLOOKUP($A133,'3121% SY'!$C$3:$M$324,11,FALSE),3),0)+IFERROR(VLOOKUP($A133,S275_09,3,FALSE),0)</f>
        <v>0</v>
      </c>
      <c r="AF133" s="267">
        <f>IFERROR(VLOOKUP($A133,Supp_26,14,FALSE),0)+IFERROR(SUMPRODUCT(VLOOKUP($A133,S275_01,{8,9,10},FALSE)),0)+IFERROR(SUMPRODUCT(VLOOKUP($A133,S275_97,{8,9,10},FALSE)),0)+IFERROR(ROUND(VLOOKUP($A133,S275_21,8,FALSE)*VLOOKUP($A133,'3121% SY'!$C$3:$M$324,11,FALSE),3),0)+IFERROR(ROUND(VLOOKUP($A133,S275_21,9,FALSE)*VLOOKUP($A133,'3121% SY'!$C$3:$M$324,11,FALSE),3),0)+IFERROR(ROUND(VLOOKUP($A133,S275_21,10,FALSE)*VLOOKUP($A133,'3121% SY'!$C$3:$M$324,11,FALSE),3),0)+IFERROR(VLOOKUP($A133,S275_09,4,FALSE),0)</f>
        <v>0</v>
      </c>
      <c r="AG133" s="267">
        <f>IFERROR(VLOOKUP($A133,Supp_35,14,FALSE),0)+IFERROR(SUMPRODUCT(VLOOKUP($A133,S275_01,{11,12,13},FALSE)),0)+IFERROR(SUMPRODUCT(VLOOKUP($A133,S275_97,{11,12,13},FALSE)),0)+IFERROR(ROUND(VLOOKUP($A133,S275_21,11,FALSE)*VLOOKUP($A133,'3121% SY'!$C$3:$M$324,11,FALSE),3),0)+IFERROR(ROUND(VLOOKUP($A133,S275_21,12,FALSE)*VLOOKUP($A133,'3121% SY'!$C$3:$M$324,11,FALSE),3),0)+IFERROR(ROUND(VLOOKUP($A133,S275_21,13,FALSE)*VLOOKUP($A133,'3121% SY'!$C$3:$M$324,11,FALSE),3),0)+IFERROR(VLOOKUP($A133,S275_09,5,FALSE),0)</f>
        <v>0</v>
      </c>
      <c r="AH133" s="165">
        <f t="shared" si="26"/>
        <v>0</v>
      </c>
      <c r="AI133" s="161">
        <f>IFERROR(VLOOKUP(A133,'Supp Staff Data'!A:ER,148,FALSE),0)+AB133</f>
        <v>0</v>
      </c>
      <c r="AJ133" s="174">
        <v>1</v>
      </c>
      <c r="AK133" s="25">
        <f>VLOOKUP(A133,'Enroll Data as of January 2025'!$A$3:$T$323,20,FALSE)-F133</f>
        <v>0</v>
      </c>
    </row>
    <row r="134" spans="1:37" x14ac:dyDescent="0.25">
      <c r="A134" s="171" t="s">
        <v>145</v>
      </c>
      <c r="B134" t="s">
        <v>441</v>
      </c>
      <c r="C134" s="173" t="s">
        <v>1077</v>
      </c>
      <c r="D134" s="259">
        <f t="shared" ref="D134:D196" si="30">O134+R134</f>
        <v>4.38</v>
      </c>
      <c r="E134" s="259">
        <f t="shared" ref="E134:E196" si="31">AC134+AH134</f>
        <v>5.593</v>
      </c>
      <c r="F134" s="262">
        <f t="shared" ref="F134:F165" si="32">ROUND((AC134+AH134)-(O134+R134),3)</f>
        <v>1.2130000000000001</v>
      </c>
      <c r="G134" s="161">
        <f>ROUND(IF(F134&lt;0,F134*'2024-25 PSES Compliance'!$G$13,0),3)</f>
        <v>0</v>
      </c>
      <c r="H134" s="161">
        <f>ROUND(IF(F134&lt;0,F134*'2024-25 PSES Compliance'!$G$14,0),3)</f>
        <v>0</v>
      </c>
      <c r="I134" s="174">
        <f t="shared" ref="I134:I196" si="33">IFERROR(((AJ134*AC134)/(AC134+AH134)),0)</f>
        <v>0.48362440550688363</v>
      </c>
      <c r="J134" s="174">
        <f t="shared" ref="J134:J196" si="34">IFERROR(AI134/(AH134+AC134),0)</f>
        <v>0.83318433756481314</v>
      </c>
      <c r="K134" s="161">
        <f>VLOOKUP($A134,'Enroll Data as of January 2025'!$A$3:$M$322,6,FALSE)</f>
        <v>2.391</v>
      </c>
      <c r="L134" s="161">
        <f>VLOOKUP($A134,'Enroll Data as of January 2025'!$A$3:$M$322,7,FALSE)</f>
        <v>0.44400000000000006</v>
      </c>
      <c r="M134" s="161">
        <f>VLOOKUP($A134,'Enroll Data as of January 2025'!$A$3:$M$322,8,FALSE)</f>
        <v>0.14800000000000002</v>
      </c>
      <c r="N134" s="161">
        <f>VLOOKUP($A134,'Enroll Data as of January 2025'!$A$3:$M$322,9,FALSE)</f>
        <v>1.137</v>
      </c>
      <c r="O134" s="165">
        <f t="shared" ref="O134:O196" si="35">SUM(K134:N134)</f>
        <v>4.12</v>
      </c>
      <c r="P134" s="161">
        <f>VLOOKUP($A134,'Enroll Data as of January 2025'!$A$3:$M$322,11,FALSE)</f>
        <v>0.156</v>
      </c>
      <c r="Q134" s="161">
        <f>VLOOKUP($A134,'Enroll Data as of January 2025'!$A$3:$M$322,12,FALSE)</f>
        <v>0.104</v>
      </c>
      <c r="R134" s="165">
        <f t="shared" ref="R134:R196" si="36">SUM(P134:Q134)</f>
        <v>0.26</v>
      </c>
      <c r="S134" s="267">
        <f>IFERROR(VLOOKUP($A134,Supp_39,14,FALSE),0)+IFERROR(SUMPRODUCT(VLOOKUP($A134,S275_01,{14,15,16},FALSE)),0)+IFERROR(SUMPRODUCT(VLOOKUP($A134,S275_97,{14,15,16},FALSE)),0)+IFERROR(ROUND(VLOOKUP($A134,S275_21,14,FALSE)*VLOOKUP($A134,'3121% SY'!$C$3:$M$324,11,FALSE),3),0)+IFERROR(ROUND(VLOOKUP($A134,S275_21,15,FALSE)*VLOOKUP($A134,'3121% SY'!$C$3:$M$324,11,FALSE),3),0)+IFERROR(ROUND(VLOOKUP($A134,S275_21,16,FALSE)*VLOOKUP($A134,'3121% SY'!$C$3:$M$324,11,FALSE),3),0)+IFERROR(VLOOKUP($A134,S275_09,6,FALSE),0)</f>
        <v>0.81399999999999995</v>
      </c>
      <c r="T134" s="267">
        <f>IFERROR(VLOOKUP($A134,Supp_42,14,FALSE),0)+IFERROR(SUMPRODUCT(VLOOKUP($A134,S275_01,{17,18,19},FALSE)),0)+IFERROR(SUMPRODUCT(VLOOKUP($A134,S275_97,{17,18,19},FALSE)),0)+IFERROR(ROUND(VLOOKUP($A134,S275_21,17,FALSE)*VLOOKUP($A134,'3121% SY'!$C$3:$M$324,11,FALSE),3),0)+IFERROR(ROUND(VLOOKUP($A134,S275_21,18,FALSE)*VLOOKUP($A134,'3121% SY'!$C$3:$M$324,11,FALSE),3),0)+IFERROR(ROUND(VLOOKUP($A134,S275_21,19,FALSE)*VLOOKUP($A134,'3121% SY'!$C$3:$M$324,11,FALSE),3),0)+IFERROR(VLOOKUP($A134,S275_09,7,FALSE),0)</f>
        <v>0</v>
      </c>
      <c r="U134" s="267">
        <f>IFERROR(VLOOKUP($A134,Supp_43,14,FALSE),0)+IFERROR(SUMPRODUCT(VLOOKUP($A134,S275_01,{20,21,22},FALSE)),0)+IFERROR(SUMPRODUCT(VLOOKUP($A134,S275_97,{20,21,22},FALSE)),0)+IFERROR(ROUND(VLOOKUP($A134,S275_21,20,FALSE)*VLOOKUP($A134,'3121% SY'!$C$3:$M$324,11,FALSE),3),0)+IFERROR(ROUND(VLOOKUP($A134,S275_21,21,FALSE)*VLOOKUP($A134,'3121% SY'!$C$3:$M$324,11,FALSE),3),0)+IFERROR(ROUND(VLOOKUP($A134,S275_21,22,FALSE)*VLOOKUP($A134,'3121% SY'!$C$3:$M$324,11,FALSE),3),0)+IFERROR(VLOOKUP($A134,S275_09,8,FALSE),0)</f>
        <v>0.34399999999999997</v>
      </c>
      <c r="V134" s="267">
        <f>IFERROR(VLOOKUP($A134,Supp_44,14,FALSE),0)+IFERROR(SUMPRODUCT(VLOOKUP($A134,S275_01,{23,24,25},FALSE)),0)+IFERROR(SUMPRODUCT(VLOOKUP($A134,S275_97,{23,24,25},FALSE)),0)+IFERROR(ROUND(VLOOKUP($A134,S275_21,23,FALSE)*VLOOKUP($A134,'3121% SY'!$C$3:$M$324,11,FALSE),3),0)+IFERROR(ROUND(VLOOKUP($A134,S275_21,24,FALSE)*VLOOKUP($A134,'3121% SY'!$C$3:$M$324,11,FALSE),3),0)+IFERROR(ROUND(VLOOKUP($A134,S275_21,25,FALSE)*VLOOKUP($A134,'3121% SY'!$C$3:$M$324,11,FALSE),3),0)+IFERROR(VLOOKUP($A134,S275_09,9,FALSE),0)</f>
        <v>0</v>
      </c>
      <c r="W134" s="267">
        <f>IFERROR(VLOOKUP($A134,Supp_45,14,FALSE),0)+IFERROR(SUMPRODUCT(VLOOKUP($A134,S275_01,{26,27,28},FALSE)),0)+IFERROR(SUMPRODUCT(VLOOKUP($A134,S275_97,{26,27,28},FALSE)),0)+IFERROR(ROUND(VLOOKUP($A134,S275_21,26,FALSE)*VLOOKUP($A134,'3121% SY'!$C$3:$M$324,11,FALSE),3),0)+IFERROR(ROUND(VLOOKUP($A134,S275_21,27,FALSE)*VLOOKUP($A134,'3121% SY'!$C$3:$M$324,11,FALSE),3),0)+IFERROR(ROUND(VLOOKUP($A134,S275_21,28,FALSE)*VLOOKUP($A134,'3121% SY'!$C$3:$M$324,11,FALSE),3),0)+IFERROR(VLOOKUP($A134,S275_09,10,FALSE),0)</f>
        <v>0.4</v>
      </c>
      <c r="X134" s="267">
        <f>IFERROR(VLOOKUP($A134,Supp_46,14,FALSE),0)+IFERROR(SUMPRODUCT(VLOOKUP($A134,S275_01,{29,30,31},FALSE)),0)+IFERROR(SUMPRODUCT(VLOOKUP($A134,S275_97,{29,30,31},FALSE)),0)+IFERROR(ROUND(VLOOKUP($A134,S275_21,29,FALSE)*VLOOKUP($A134,'3121% SY'!$C$3:$M$324,11,FALSE),3),0)+IFERROR(ROUND(VLOOKUP($A134,S275_21,30,FALSE)*VLOOKUP($A134,'3121% SY'!$C$3:$M$324,11,FALSE),3),0)+IFERROR(ROUND(VLOOKUP($A134,S275_21,31,FALSE)*VLOOKUP($A134,'3121% SY'!$C$3:$M$324,11,FALSE),3),0)+IFERROR(VLOOKUP($A134,S275_09,11,FALSE),0)</f>
        <v>0.28699999999999998</v>
      </c>
      <c r="Y134" s="267">
        <f>IFERROR(VLOOKUP($A134,Supp_47,14,FALSE),0)+IFERROR(SUMPRODUCT(VLOOKUP($A134,S275_01,{32,33,34},FALSE)),0)+IFERROR(SUMPRODUCT(VLOOKUP($A134,S275_97,{32,33,34},FALSE)),0)+IFERROR(ROUND(VLOOKUP($A134,S275_21,32,FALSE)*VLOOKUP($A134,'3121% SY'!$C$3:$M$324,11,FALSE),3),0)+IFERROR(ROUND(VLOOKUP($A134,S275_21,33,FALSE)*VLOOKUP($A134,'3121% SY'!$C$3:$M$324,11,FALSE),3),0)+IFERROR(ROUND(VLOOKUP($A134,S275_21,34,FALSE)*VLOOKUP($A134,'3121% SY'!$C$3:$M$324,11,FALSE),3),0)+IFERROR(VLOOKUP($A134,S275_09,12,FALSE),0)</f>
        <v>0.81</v>
      </c>
      <c r="Z134" s="267">
        <f>IFERROR(VLOOKUP($A134,Supp_48,14,FALSE),0)+IFERROR(SUMPRODUCT(VLOOKUP($A134,S275_01,{35,36,37},FALSE)),0)+IFERROR(SUMPRODUCT(VLOOKUP($A134,S275_97,{35,36,37},FALSE)),0)+IFERROR(ROUND(VLOOKUP($A134,S275_21,35,FALSE)*VLOOKUP($A134,'3121% SY'!$C$3:$M$324,11,FALSE),3),0)+IFERROR(ROUND(VLOOKUP($A134,S275_21,36,FALSE)*VLOOKUP($A134,'3121% SY'!$C$3:$M$324,11,FALSE),3),0)+IFERROR(ROUND(VLOOKUP($A134,S275_21,37,FALSE)*VLOOKUP($A134,'3121% SY'!$C$3:$M$324,11,FALSE),3),0)+IFERROR(VLOOKUP($A134,S275_09,13,FALSE),0)</f>
        <v>7.1999999999999995E-2</v>
      </c>
      <c r="AA134" s="267">
        <f>IFERROR(VLOOKUP($A134,Supp_49,14,FALSE),0)+IFERROR(SUMPRODUCT(VLOOKUP($A134,S275_01,{38,39,40},FALSE)),0)+IFERROR(SUMPRODUCT(VLOOKUP($A134,S275_97,{38,39,40},FALSE)),0)+IFERROR(ROUND(VLOOKUP($A134,S275_21,38,FALSE)*VLOOKUP($A134,'3121% SY'!$C$3:$M$324,11,FALSE),3),0)+IFERROR(ROUND(VLOOKUP($A134,S275_21,39,FALSE)*VLOOKUP($A134,'3121% SY'!$C$3:$M$324,11,FALSE),3),0)+IFERROR(ROUND(VLOOKUP($A134,S275_21,40,FALSE)*VLOOKUP($A134,'3121% SY'!$C$3:$M$324,11,FALSE),3),0)+IFERROR(VLOOKUP($A134,S275_09,14,FALSE),0)</f>
        <v>0</v>
      </c>
      <c r="AB134" s="267">
        <f>IFERROR(VLOOKUP($A134,Supp_64,14,FALSE),0)+IFERROR(SUMPRODUCT(VLOOKUP($A134,S275_01,{41,42,43},FALSE)),0)+IFERROR(SUMPRODUCT(VLOOKUP($A134,S275_97,{41,42,43},FALSE)),0)+IFERROR(ROUND(VLOOKUP($A134,S275_21,41,FALSE)*VLOOKUP($A134,'3121% SY'!$C$3:$M$324,11,FALSE),3),0)+IFERROR(ROUND(VLOOKUP($A134,S275_21,42,FALSE)*VLOOKUP($A134,'3121% SY'!$C$3:$M$324,11,FALSE),3),0)+IFERROR(ROUND(VLOOKUP($A134,S275_21,43,FALSE)*VLOOKUP($A134,'3121% SY'!$C$3:$M$324,11,FALSE),3),0)+IFERROR(VLOOKUP($A134,S275_09,15,FALSE),0)</f>
        <v>0</v>
      </c>
      <c r="AC134" s="268">
        <f t="shared" ref="AC134:AC196" si="37">SUM(S134:AB134)</f>
        <v>2.7269999999999999</v>
      </c>
      <c r="AD134" s="267">
        <f>IFERROR(VLOOKUP($A134,Supp_24,14,FALSE),0)+IFERROR(SUMPRODUCT(VLOOKUP($A134,S275_01,{2,3,4},FALSE)),0)+IFERROR(SUMPRODUCT(VLOOKUP($A134,S275_97,{2,3,4},FALSE)),0)+IFERROR(ROUND(VLOOKUP($A134,S275_21,2,FALSE)*VLOOKUP($A134,'3121% SY'!$C$3:$M$324,11,FALSE),3),0)+IFERROR(ROUND(VLOOKUP($A134,S275_21,3,FALSE)*VLOOKUP($A134,'3121% SY'!$C$3:$M$324,11,FALSE),3),0)+IFERROR(ROUND(VLOOKUP($A134,S275_21,4,FALSE)*VLOOKUP($A134,'3121% SY'!$C$3:$M$324,11,FALSE),3),0)+IFERROR(VLOOKUP($A134,S275_09,2,FALSE),0)</f>
        <v>0</v>
      </c>
      <c r="AE134" s="267">
        <f>IFERROR(VLOOKUP($A134,Supp_25,14,FALSE),0)+IFERROR(SUMPRODUCT(VLOOKUP($A134,S275_01,{5,6,7},FALSE)),0)+IFERROR(SUMPRODUCT(VLOOKUP($A134,S275_97,{5,6,7},FALSE)),0)+IFERROR(ROUND(VLOOKUP($A134,S275_21,5,FALSE)*VLOOKUP($A134,'3121% SY'!$C$3:$M$324,11,FALSE),3),0)+IFERROR(ROUND(VLOOKUP($A134,S275_21,6,FALSE)*VLOOKUP($A134,'3121% SY'!$C$3:$M$324,11,FALSE),3),0)+IFERROR(ROUND(VLOOKUP($A134,S275_21,7,FALSE)*VLOOKUP($A134,'3121% SY'!$C$3:$M$324,11,FALSE),3),0)+IFERROR(VLOOKUP($A134,S275_09,3,FALSE),0)</f>
        <v>2.1709999999999998</v>
      </c>
      <c r="AF134" s="267">
        <f>IFERROR(VLOOKUP($A134,Supp_26,14,FALSE),0)+IFERROR(SUMPRODUCT(VLOOKUP($A134,S275_01,{8,9,10},FALSE)),0)+IFERROR(SUMPRODUCT(VLOOKUP($A134,S275_97,{8,9,10},FALSE)),0)+IFERROR(ROUND(VLOOKUP($A134,S275_21,8,FALSE)*VLOOKUP($A134,'3121% SY'!$C$3:$M$324,11,FALSE),3),0)+IFERROR(ROUND(VLOOKUP($A134,S275_21,9,FALSE)*VLOOKUP($A134,'3121% SY'!$C$3:$M$324,11,FALSE),3),0)+IFERROR(ROUND(VLOOKUP($A134,S275_21,10,FALSE)*VLOOKUP($A134,'3121% SY'!$C$3:$M$324,11,FALSE),3),0)+IFERROR(VLOOKUP($A134,S275_09,4,FALSE),0)</f>
        <v>0.69500000000000006</v>
      </c>
      <c r="AG134" s="267">
        <f>IFERROR(VLOOKUP($A134,Supp_35,14,FALSE),0)+IFERROR(SUMPRODUCT(VLOOKUP($A134,S275_01,{11,12,13},FALSE)),0)+IFERROR(SUMPRODUCT(VLOOKUP($A134,S275_97,{11,12,13},FALSE)),0)+IFERROR(ROUND(VLOOKUP($A134,S275_21,11,FALSE)*VLOOKUP($A134,'3121% SY'!$C$3:$M$324,11,FALSE),3),0)+IFERROR(ROUND(VLOOKUP($A134,S275_21,12,FALSE)*VLOOKUP($A134,'3121% SY'!$C$3:$M$324,11,FALSE),3),0)+IFERROR(ROUND(VLOOKUP($A134,S275_21,13,FALSE)*VLOOKUP($A134,'3121% SY'!$C$3:$M$324,11,FALSE),3),0)+IFERROR(VLOOKUP($A134,S275_09,5,FALSE),0)</f>
        <v>0</v>
      </c>
      <c r="AH134" s="165">
        <f t="shared" ref="AH134:AH196" si="38">SUM(AD134:AG134)</f>
        <v>2.8659999999999997</v>
      </c>
      <c r="AI134" s="161">
        <f>IFERROR(VLOOKUP(A134,'Supp Staff Data'!A:ER,148,FALSE),0)+AB134</f>
        <v>4.66</v>
      </c>
      <c r="AJ134" s="174">
        <v>0.9919</v>
      </c>
      <c r="AK134" s="25">
        <f>VLOOKUP(A134,'Enroll Data as of January 2025'!$A$3:$T$323,20,FALSE)-F134</f>
        <v>0</v>
      </c>
    </row>
    <row r="135" spans="1:37" x14ac:dyDescent="0.25">
      <c r="A135" s="171" t="s">
        <v>54</v>
      </c>
      <c r="B135" t="s">
        <v>350</v>
      </c>
      <c r="C135" s="173" t="s">
        <v>1077</v>
      </c>
      <c r="D135" s="259">
        <f t="shared" si="30"/>
        <v>1.3109999999999999</v>
      </c>
      <c r="E135" s="259">
        <f t="shared" si="31"/>
        <v>1.1360000000000001</v>
      </c>
      <c r="F135" s="262">
        <f t="shared" si="32"/>
        <v>-0.17499999999999999</v>
      </c>
      <c r="G135" s="161">
        <f>ROUND(IF(F135&lt;0,F135*'2024-25 PSES Compliance'!$G$13,0),3)</f>
        <v>-0.16800000000000001</v>
      </c>
      <c r="H135" s="161">
        <f>ROUND(IF(F135&lt;0,F135*'2024-25 PSES Compliance'!$G$14,0),3)</f>
        <v>-7.0000000000000001E-3</v>
      </c>
      <c r="I135" s="174">
        <f t="shared" si="33"/>
        <v>0.41917429577464782</v>
      </c>
      <c r="J135" s="174">
        <f t="shared" si="34"/>
        <v>0</v>
      </c>
      <c r="K135" s="161">
        <f>VLOOKUP($A135,'Enroll Data as of January 2025'!$A$3:$M$322,6,FALSE)</f>
        <v>0.72499999999999998</v>
      </c>
      <c r="L135" s="161">
        <f>VLOOKUP($A135,'Enroll Data as of January 2025'!$A$3:$M$322,7,FALSE)</f>
        <v>0.127</v>
      </c>
      <c r="M135" s="161">
        <f>VLOOKUP($A135,'Enroll Data as of January 2025'!$A$3:$M$322,8,FALSE)</f>
        <v>4.2999999999999997E-2</v>
      </c>
      <c r="N135" s="161">
        <f>VLOOKUP($A135,'Enroll Data as of January 2025'!$A$3:$M$322,9,FALSE)</f>
        <v>0.34100000000000003</v>
      </c>
      <c r="O135" s="165">
        <f t="shared" si="35"/>
        <v>1.236</v>
      </c>
      <c r="P135" s="161">
        <f>VLOOKUP($A135,'Enroll Data as of January 2025'!$A$3:$M$322,11,FALSE)</f>
        <v>4.5999999999999999E-2</v>
      </c>
      <c r="Q135" s="161">
        <f>VLOOKUP($A135,'Enroll Data as of January 2025'!$A$3:$M$322,12,FALSE)</f>
        <v>2.9000000000000001E-2</v>
      </c>
      <c r="R135" s="165">
        <f t="shared" si="36"/>
        <v>7.4999999999999997E-2</v>
      </c>
      <c r="S135" s="267">
        <f>IFERROR(VLOOKUP($A135,Supp_39,14,FALSE),0)+IFERROR(SUMPRODUCT(VLOOKUP($A135,S275_01,{14,15,16},FALSE)),0)+IFERROR(SUMPRODUCT(VLOOKUP($A135,S275_97,{14,15,16},FALSE)),0)+IFERROR(ROUND(VLOOKUP($A135,S275_21,14,FALSE)*VLOOKUP($A135,'3121% SY'!$C$3:$M$324,11,FALSE),3),0)+IFERROR(ROUND(VLOOKUP($A135,S275_21,15,FALSE)*VLOOKUP($A135,'3121% SY'!$C$3:$M$324,11,FALSE),3),0)+IFERROR(ROUND(VLOOKUP($A135,S275_21,16,FALSE)*VLOOKUP($A135,'3121% SY'!$C$3:$M$324,11,FALSE),3),0)+IFERROR(VLOOKUP($A135,S275_09,6,FALSE),0)</f>
        <v>0</v>
      </c>
      <c r="T135" s="267">
        <f>IFERROR(VLOOKUP($A135,Supp_42,14,FALSE),0)+IFERROR(SUMPRODUCT(VLOOKUP($A135,S275_01,{17,18,19},FALSE)),0)+IFERROR(SUMPRODUCT(VLOOKUP($A135,S275_97,{17,18,19},FALSE)),0)+IFERROR(ROUND(VLOOKUP($A135,S275_21,17,FALSE)*VLOOKUP($A135,'3121% SY'!$C$3:$M$324,11,FALSE),3),0)+IFERROR(ROUND(VLOOKUP($A135,S275_21,18,FALSE)*VLOOKUP($A135,'3121% SY'!$C$3:$M$324,11,FALSE),3),0)+IFERROR(ROUND(VLOOKUP($A135,S275_21,19,FALSE)*VLOOKUP($A135,'3121% SY'!$C$3:$M$324,11,FALSE),3),0)+IFERROR(VLOOKUP($A135,S275_09,7,FALSE),0)</f>
        <v>0.49</v>
      </c>
      <c r="U135" s="267">
        <f>IFERROR(VLOOKUP($A135,Supp_43,14,FALSE),0)+IFERROR(SUMPRODUCT(VLOOKUP($A135,S275_01,{20,21,22},FALSE)),0)+IFERROR(SUMPRODUCT(VLOOKUP($A135,S275_97,{20,21,22},FALSE)),0)+IFERROR(ROUND(VLOOKUP($A135,S275_21,20,FALSE)*VLOOKUP($A135,'3121% SY'!$C$3:$M$324,11,FALSE),3),0)+IFERROR(ROUND(VLOOKUP($A135,S275_21,21,FALSE)*VLOOKUP($A135,'3121% SY'!$C$3:$M$324,11,FALSE),3),0)+IFERROR(ROUND(VLOOKUP($A135,S275_21,22,FALSE)*VLOOKUP($A135,'3121% SY'!$C$3:$M$324,11,FALSE),3),0)+IFERROR(VLOOKUP($A135,S275_09,8,FALSE),0)</f>
        <v>0</v>
      </c>
      <c r="V135" s="267">
        <f>IFERROR(VLOOKUP($A135,Supp_44,14,FALSE),0)+IFERROR(SUMPRODUCT(VLOOKUP($A135,S275_01,{23,24,25},FALSE)),0)+IFERROR(SUMPRODUCT(VLOOKUP($A135,S275_97,{23,24,25},FALSE)),0)+IFERROR(ROUND(VLOOKUP($A135,S275_21,23,FALSE)*VLOOKUP($A135,'3121% SY'!$C$3:$M$324,11,FALSE),3),0)+IFERROR(ROUND(VLOOKUP($A135,S275_21,24,FALSE)*VLOOKUP($A135,'3121% SY'!$C$3:$M$324,11,FALSE),3),0)+IFERROR(ROUND(VLOOKUP($A135,S275_21,25,FALSE)*VLOOKUP($A135,'3121% SY'!$C$3:$M$324,11,FALSE),3),0)+IFERROR(VLOOKUP($A135,S275_09,9,FALSE),0)</f>
        <v>0</v>
      </c>
      <c r="W135" s="267">
        <f>IFERROR(VLOOKUP($A135,Supp_45,14,FALSE),0)+IFERROR(SUMPRODUCT(VLOOKUP($A135,S275_01,{26,27,28},FALSE)),0)+IFERROR(SUMPRODUCT(VLOOKUP($A135,S275_97,{26,27,28},FALSE)),0)+IFERROR(ROUND(VLOOKUP($A135,S275_21,26,FALSE)*VLOOKUP($A135,'3121% SY'!$C$3:$M$324,11,FALSE),3),0)+IFERROR(ROUND(VLOOKUP($A135,S275_21,27,FALSE)*VLOOKUP($A135,'3121% SY'!$C$3:$M$324,11,FALSE),3),0)+IFERROR(ROUND(VLOOKUP($A135,S275_21,28,FALSE)*VLOOKUP($A135,'3121% SY'!$C$3:$M$324,11,FALSE),3),0)+IFERROR(VLOOKUP($A135,S275_09,10,FALSE),0)</f>
        <v>0</v>
      </c>
      <c r="X135" s="267">
        <f>IFERROR(VLOOKUP($A135,Supp_46,14,FALSE),0)+IFERROR(SUMPRODUCT(VLOOKUP($A135,S275_01,{29,30,31},FALSE)),0)+IFERROR(SUMPRODUCT(VLOOKUP($A135,S275_97,{29,30,31},FALSE)),0)+IFERROR(ROUND(VLOOKUP($A135,S275_21,29,FALSE)*VLOOKUP($A135,'3121% SY'!$C$3:$M$324,11,FALSE),3),0)+IFERROR(ROUND(VLOOKUP($A135,S275_21,30,FALSE)*VLOOKUP($A135,'3121% SY'!$C$3:$M$324,11,FALSE),3),0)+IFERROR(ROUND(VLOOKUP($A135,S275_21,31,FALSE)*VLOOKUP($A135,'3121% SY'!$C$3:$M$324,11,FALSE),3),0)+IFERROR(VLOOKUP($A135,S275_09,11,FALSE),0)</f>
        <v>0</v>
      </c>
      <c r="Y135" s="267">
        <f>IFERROR(VLOOKUP($A135,Supp_47,14,FALSE),0)+IFERROR(SUMPRODUCT(VLOOKUP($A135,S275_01,{32,33,34},FALSE)),0)+IFERROR(SUMPRODUCT(VLOOKUP($A135,S275_97,{32,33,34},FALSE)),0)+IFERROR(ROUND(VLOOKUP($A135,S275_21,32,FALSE)*VLOOKUP($A135,'3121% SY'!$C$3:$M$324,11,FALSE),3),0)+IFERROR(ROUND(VLOOKUP($A135,S275_21,33,FALSE)*VLOOKUP($A135,'3121% SY'!$C$3:$M$324,11,FALSE),3),0)+IFERROR(ROUND(VLOOKUP($A135,S275_21,34,FALSE)*VLOOKUP($A135,'3121% SY'!$C$3:$M$324,11,FALSE),3),0)+IFERROR(VLOOKUP($A135,S275_09,12,FALSE),0)</f>
        <v>0</v>
      </c>
      <c r="Z135" s="267">
        <f>IFERROR(VLOOKUP($A135,Supp_48,14,FALSE),0)+IFERROR(SUMPRODUCT(VLOOKUP($A135,S275_01,{35,36,37},FALSE)),0)+IFERROR(SUMPRODUCT(VLOOKUP($A135,S275_97,{35,36,37},FALSE)),0)+IFERROR(ROUND(VLOOKUP($A135,S275_21,35,FALSE)*VLOOKUP($A135,'3121% SY'!$C$3:$M$324,11,FALSE),3),0)+IFERROR(ROUND(VLOOKUP($A135,S275_21,36,FALSE)*VLOOKUP($A135,'3121% SY'!$C$3:$M$324,11,FALSE),3),0)+IFERROR(ROUND(VLOOKUP($A135,S275_21,37,FALSE)*VLOOKUP($A135,'3121% SY'!$C$3:$M$324,11,FALSE),3),0)+IFERROR(VLOOKUP($A135,S275_09,13,FALSE),0)</f>
        <v>0</v>
      </c>
      <c r="AA135" s="267">
        <f>IFERROR(VLOOKUP($A135,Supp_49,14,FALSE),0)+IFERROR(SUMPRODUCT(VLOOKUP($A135,S275_01,{38,39,40},FALSE)),0)+IFERROR(SUMPRODUCT(VLOOKUP($A135,S275_97,{38,39,40},FALSE)),0)+IFERROR(ROUND(VLOOKUP($A135,S275_21,38,FALSE)*VLOOKUP($A135,'3121% SY'!$C$3:$M$324,11,FALSE),3),0)+IFERROR(ROUND(VLOOKUP($A135,S275_21,39,FALSE)*VLOOKUP($A135,'3121% SY'!$C$3:$M$324,11,FALSE),3),0)+IFERROR(ROUND(VLOOKUP($A135,S275_21,40,FALSE)*VLOOKUP($A135,'3121% SY'!$C$3:$M$324,11,FALSE),3),0)+IFERROR(VLOOKUP($A135,S275_09,14,FALSE),0)</f>
        <v>0</v>
      </c>
      <c r="AB135" s="267">
        <f>IFERROR(VLOOKUP($A135,Supp_64,14,FALSE),0)+IFERROR(SUMPRODUCT(VLOOKUP($A135,S275_01,{41,42,43},FALSE)),0)+IFERROR(SUMPRODUCT(VLOOKUP($A135,S275_97,{41,42,43},FALSE)),0)+IFERROR(ROUND(VLOOKUP($A135,S275_21,41,FALSE)*VLOOKUP($A135,'3121% SY'!$C$3:$M$324,11,FALSE),3),0)+IFERROR(ROUND(VLOOKUP($A135,S275_21,42,FALSE)*VLOOKUP($A135,'3121% SY'!$C$3:$M$324,11,FALSE),3),0)+IFERROR(ROUND(VLOOKUP($A135,S275_21,43,FALSE)*VLOOKUP($A135,'3121% SY'!$C$3:$M$324,11,FALSE),3),0)+IFERROR(VLOOKUP($A135,S275_09,15,FALSE),0)</f>
        <v>0</v>
      </c>
      <c r="AC135" s="268">
        <f t="shared" si="37"/>
        <v>0.49</v>
      </c>
      <c r="AD135" s="267">
        <f>IFERROR(VLOOKUP($A135,Supp_24,14,FALSE),0)+IFERROR(SUMPRODUCT(VLOOKUP($A135,S275_01,{2,3,4},FALSE)),0)+IFERROR(SUMPRODUCT(VLOOKUP($A135,S275_97,{2,3,4},FALSE)),0)+IFERROR(ROUND(VLOOKUP($A135,S275_21,2,FALSE)*VLOOKUP($A135,'3121% SY'!$C$3:$M$324,11,FALSE),3),0)+IFERROR(ROUND(VLOOKUP($A135,S275_21,3,FALSE)*VLOOKUP($A135,'3121% SY'!$C$3:$M$324,11,FALSE),3),0)+IFERROR(ROUND(VLOOKUP($A135,S275_21,4,FALSE)*VLOOKUP($A135,'3121% SY'!$C$3:$M$324,11,FALSE),3),0)+IFERROR(VLOOKUP($A135,S275_09,2,FALSE),0)</f>
        <v>0</v>
      </c>
      <c r="AE135" s="267">
        <f>IFERROR(VLOOKUP($A135,Supp_25,14,FALSE),0)+IFERROR(SUMPRODUCT(VLOOKUP($A135,S275_01,{5,6,7},FALSE)),0)+IFERROR(SUMPRODUCT(VLOOKUP($A135,S275_97,{5,6,7},FALSE)),0)+IFERROR(ROUND(VLOOKUP($A135,S275_21,5,FALSE)*VLOOKUP($A135,'3121% SY'!$C$3:$M$324,11,FALSE),3),0)+IFERROR(ROUND(VLOOKUP($A135,S275_21,6,FALSE)*VLOOKUP($A135,'3121% SY'!$C$3:$M$324,11,FALSE),3),0)+IFERROR(ROUND(VLOOKUP($A135,S275_21,7,FALSE)*VLOOKUP($A135,'3121% SY'!$C$3:$M$324,11,FALSE),3),0)+IFERROR(VLOOKUP($A135,S275_09,3,FALSE),0)</f>
        <v>0</v>
      </c>
      <c r="AF135" s="267">
        <f>IFERROR(VLOOKUP($A135,Supp_26,14,FALSE),0)+IFERROR(SUMPRODUCT(VLOOKUP($A135,S275_01,{8,9,10},FALSE)),0)+IFERROR(SUMPRODUCT(VLOOKUP($A135,S275_97,{8,9,10},FALSE)),0)+IFERROR(ROUND(VLOOKUP($A135,S275_21,8,FALSE)*VLOOKUP($A135,'3121% SY'!$C$3:$M$324,11,FALSE),3),0)+IFERROR(ROUND(VLOOKUP($A135,S275_21,9,FALSE)*VLOOKUP($A135,'3121% SY'!$C$3:$M$324,11,FALSE),3),0)+IFERROR(ROUND(VLOOKUP($A135,S275_21,10,FALSE)*VLOOKUP($A135,'3121% SY'!$C$3:$M$324,11,FALSE),3),0)+IFERROR(VLOOKUP($A135,S275_09,4,FALSE),0)</f>
        <v>0.64600000000000002</v>
      </c>
      <c r="AG135" s="267">
        <f>IFERROR(VLOOKUP($A135,Supp_35,14,FALSE),0)+IFERROR(SUMPRODUCT(VLOOKUP($A135,S275_01,{11,12,13},FALSE)),0)+IFERROR(SUMPRODUCT(VLOOKUP($A135,S275_97,{11,12,13},FALSE)),0)+IFERROR(ROUND(VLOOKUP($A135,S275_21,11,FALSE)*VLOOKUP($A135,'3121% SY'!$C$3:$M$324,11,FALSE),3),0)+IFERROR(ROUND(VLOOKUP($A135,S275_21,12,FALSE)*VLOOKUP($A135,'3121% SY'!$C$3:$M$324,11,FALSE),3),0)+IFERROR(ROUND(VLOOKUP($A135,S275_21,13,FALSE)*VLOOKUP($A135,'3121% SY'!$C$3:$M$324,11,FALSE),3),0)+IFERROR(VLOOKUP($A135,S275_09,5,FALSE),0)</f>
        <v>0</v>
      </c>
      <c r="AH135" s="165">
        <f t="shared" si="38"/>
        <v>0.64600000000000002</v>
      </c>
      <c r="AI135" s="161">
        <f>IFERROR(VLOOKUP(A135,'Supp Staff Data'!A:ER,148,FALSE),0)+AB135</f>
        <v>0</v>
      </c>
      <c r="AJ135" s="174">
        <v>0.9718</v>
      </c>
      <c r="AK135" s="25">
        <f>VLOOKUP(A135,'Enroll Data as of January 2025'!$A$3:$T$323,20,FALSE)-F135</f>
        <v>0</v>
      </c>
    </row>
    <row r="136" spans="1:37" x14ac:dyDescent="0.25">
      <c r="A136" s="171" t="s">
        <v>121</v>
      </c>
      <c r="B136" t="s">
        <v>417</v>
      </c>
      <c r="C136" s="173" t="s">
        <v>1077</v>
      </c>
      <c r="D136" s="259">
        <f t="shared" si="30"/>
        <v>0.45900000000000002</v>
      </c>
      <c r="E136" s="259">
        <f t="shared" si="31"/>
        <v>1</v>
      </c>
      <c r="F136" s="262">
        <f t="shared" si="32"/>
        <v>0.54100000000000004</v>
      </c>
      <c r="G136" s="161">
        <f>ROUND(IF(F136&lt;0,F136*'2024-25 PSES Compliance'!$G$13,0),3)</f>
        <v>0</v>
      </c>
      <c r="H136" s="161">
        <f>ROUND(IF(F136&lt;0,F136*'2024-25 PSES Compliance'!$G$14,0),3)</f>
        <v>0</v>
      </c>
      <c r="I136" s="174">
        <f t="shared" si="33"/>
        <v>0.97070000000000001</v>
      </c>
      <c r="J136" s="174">
        <f t="shared" si="34"/>
        <v>0</v>
      </c>
      <c r="K136" s="161">
        <f>VLOOKUP($A136,'Enroll Data as of January 2025'!$A$3:$M$322,6,FALSE)</f>
        <v>0.30099999999999999</v>
      </c>
      <c r="L136" s="161">
        <f>VLOOKUP($A136,'Enroll Data as of January 2025'!$A$3:$M$322,7,FALSE)</f>
        <v>2.0999999999999998E-2</v>
      </c>
      <c r="M136" s="161">
        <f>VLOOKUP($A136,'Enroll Data as of January 2025'!$A$3:$M$322,8,FALSE)</f>
        <v>7.0000000000000001E-3</v>
      </c>
      <c r="N136" s="161">
        <f>VLOOKUP($A136,'Enroll Data as of January 2025'!$A$3:$M$322,9,FALSE)</f>
        <v>0.11199999999999999</v>
      </c>
      <c r="O136" s="165">
        <f t="shared" si="35"/>
        <v>0.441</v>
      </c>
      <c r="P136" s="161">
        <f>VLOOKUP($A136,'Enroll Data as of January 2025'!$A$3:$M$322,11,FALSE)</f>
        <v>1.6E-2</v>
      </c>
      <c r="Q136" s="161">
        <f>VLOOKUP($A136,'Enroll Data as of January 2025'!$A$3:$M$322,12,FALSE)</f>
        <v>2E-3</v>
      </c>
      <c r="R136" s="165">
        <f t="shared" si="36"/>
        <v>1.8000000000000002E-2</v>
      </c>
      <c r="S136" s="267">
        <f>IFERROR(VLOOKUP($A136,Supp_39,14,FALSE),0)+IFERROR(SUMPRODUCT(VLOOKUP($A136,S275_01,{14,15,16},FALSE)),0)+IFERROR(SUMPRODUCT(VLOOKUP($A136,S275_97,{14,15,16},FALSE)),0)+IFERROR(ROUND(VLOOKUP($A136,S275_21,14,FALSE)*VLOOKUP($A136,'3121% SY'!$C$3:$M$324,11,FALSE),3),0)+IFERROR(ROUND(VLOOKUP($A136,S275_21,15,FALSE)*VLOOKUP($A136,'3121% SY'!$C$3:$M$324,11,FALSE),3),0)+IFERROR(ROUND(VLOOKUP($A136,S275_21,16,FALSE)*VLOOKUP($A136,'3121% SY'!$C$3:$M$324,11,FALSE),3),0)+IFERROR(VLOOKUP($A136,S275_09,6,FALSE),0)</f>
        <v>1</v>
      </c>
      <c r="T136" s="267">
        <f>IFERROR(VLOOKUP($A136,Supp_42,14,FALSE),0)+IFERROR(SUMPRODUCT(VLOOKUP($A136,S275_01,{17,18,19},FALSE)),0)+IFERROR(SUMPRODUCT(VLOOKUP($A136,S275_97,{17,18,19},FALSE)),0)+IFERROR(ROUND(VLOOKUP($A136,S275_21,17,FALSE)*VLOOKUP($A136,'3121% SY'!$C$3:$M$324,11,FALSE),3),0)+IFERROR(ROUND(VLOOKUP($A136,S275_21,18,FALSE)*VLOOKUP($A136,'3121% SY'!$C$3:$M$324,11,FALSE),3),0)+IFERROR(ROUND(VLOOKUP($A136,S275_21,19,FALSE)*VLOOKUP($A136,'3121% SY'!$C$3:$M$324,11,FALSE),3),0)+IFERROR(VLOOKUP($A136,S275_09,7,FALSE),0)</f>
        <v>0</v>
      </c>
      <c r="U136" s="267">
        <f>IFERROR(VLOOKUP($A136,Supp_43,14,FALSE),0)+IFERROR(SUMPRODUCT(VLOOKUP($A136,S275_01,{20,21,22},FALSE)),0)+IFERROR(SUMPRODUCT(VLOOKUP($A136,S275_97,{20,21,22},FALSE)),0)+IFERROR(ROUND(VLOOKUP($A136,S275_21,20,FALSE)*VLOOKUP($A136,'3121% SY'!$C$3:$M$324,11,FALSE),3),0)+IFERROR(ROUND(VLOOKUP($A136,S275_21,21,FALSE)*VLOOKUP($A136,'3121% SY'!$C$3:$M$324,11,FALSE),3),0)+IFERROR(ROUND(VLOOKUP($A136,S275_21,22,FALSE)*VLOOKUP($A136,'3121% SY'!$C$3:$M$324,11,FALSE),3),0)+IFERROR(VLOOKUP($A136,S275_09,8,FALSE),0)</f>
        <v>0</v>
      </c>
      <c r="V136" s="267">
        <f>IFERROR(VLOOKUP($A136,Supp_44,14,FALSE),0)+IFERROR(SUMPRODUCT(VLOOKUP($A136,S275_01,{23,24,25},FALSE)),0)+IFERROR(SUMPRODUCT(VLOOKUP($A136,S275_97,{23,24,25},FALSE)),0)+IFERROR(ROUND(VLOOKUP($A136,S275_21,23,FALSE)*VLOOKUP($A136,'3121% SY'!$C$3:$M$324,11,FALSE),3),0)+IFERROR(ROUND(VLOOKUP($A136,S275_21,24,FALSE)*VLOOKUP($A136,'3121% SY'!$C$3:$M$324,11,FALSE),3),0)+IFERROR(ROUND(VLOOKUP($A136,S275_21,25,FALSE)*VLOOKUP($A136,'3121% SY'!$C$3:$M$324,11,FALSE),3),0)+IFERROR(VLOOKUP($A136,S275_09,9,FALSE),0)</f>
        <v>0</v>
      </c>
      <c r="W136" s="267">
        <f>IFERROR(VLOOKUP($A136,Supp_45,14,FALSE),0)+IFERROR(SUMPRODUCT(VLOOKUP($A136,S275_01,{26,27,28},FALSE)),0)+IFERROR(SUMPRODUCT(VLOOKUP($A136,S275_97,{26,27,28},FALSE)),0)+IFERROR(ROUND(VLOOKUP($A136,S275_21,26,FALSE)*VLOOKUP($A136,'3121% SY'!$C$3:$M$324,11,FALSE),3),0)+IFERROR(ROUND(VLOOKUP($A136,S275_21,27,FALSE)*VLOOKUP($A136,'3121% SY'!$C$3:$M$324,11,FALSE),3),0)+IFERROR(ROUND(VLOOKUP($A136,S275_21,28,FALSE)*VLOOKUP($A136,'3121% SY'!$C$3:$M$324,11,FALSE),3),0)+IFERROR(VLOOKUP($A136,S275_09,10,FALSE),0)</f>
        <v>0</v>
      </c>
      <c r="X136" s="267">
        <f>IFERROR(VLOOKUP($A136,Supp_46,14,FALSE),0)+IFERROR(SUMPRODUCT(VLOOKUP($A136,S275_01,{29,30,31},FALSE)),0)+IFERROR(SUMPRODUCT(VLOOKUP($A136,S275_97,{29,30,31},FALSE)),0)+IFERROR(ROUND(VLOOKUP($A136,S275_21,29,FALSE)*VLOOKUP($A136,'3121% SY'!$C$3:$M$324,11,FALSE),3),0)+IFERROR(ROUND(VLOOKUP($A136,S275_21,30,FALSE)*VLOOKUP($A136,'3121% SY'!$C$3:$M$324,11,FALSE),3),0)+IFERROR(ROUND(VLOOKUP($A136,S275_21,31,FALSE)*VLOOKUP($A136,'3121% SY'!$C$3:$M$324,11,FALSE),3),0)+IFERROR(VLOOKUP($A136,S275_09,11,FALSE),0)</f>
        <v>0</v>
      </c>
      <c r="Y136" s="267">
        <f>IFERROR(VLOOKUP($A136,Supp_47,14,FALSE),0)+IFERROR(SUMPRODUCT(VLOOKUP($A136,S275_01,{32,33,34},FALSE)),0)+IFERROR(SUMPRODUCT(VLOOKUP($A136,S275_97,{32,33,34},FALSE)),0)+IFERROR(ROUND(VLOOKUP($A136,S275_21,32,FALSE)*VLOOKUP($A136,'3121% SY'!$C$3:$M$324,11,FALSE),3),0)+IFERROR(ROUND(VLOOKUP($A136,S275_21,33,FALSE)*VLOOKUP($A136,'3121% SY'!$C$3:$M$324,11,FALSE),3),0)+IFERROR(ROUND(VLOOKUP($A136,S275_21,34,FALSE)*VLOOKUP($A136,'3121% SY'!$C$3:$M$324,11,FALSE),3),0)+IFERROR(VLOOKUP($A136,S275_09,12,FALSE),0)</f>
        <v>0</v>
      </c>
      <c r="Z136" s="267">
        <f>IFERROR(VLOOKUP($A136,Supp_48,14,FALSE),0)+IFERROR(SUMPRODUCT(VLOOKUP($A136,S275_01,{35,36,37},FALSE)),0)+IFERROR(SUMPRODUCT(VLOOKUP($A136,S275_97,{35,36,37},FALSE)),0)+IFERROR(ROUND(VLOOKUP($A136,S275_21,35,FALSE)*VLOOKUP($A136,'3121% SY'!$C$3:$M$324,11,FALSE),3),0)+IFERROR(ROUND(VLOOKUP($A136,S275_21,36,FALSE)*VLOOKUP($A136,'3121% SY'!$C$3:$M$324,11,FALSE),3),0)+IFERROR(ROUND(VLOOKUP($A136,S275_21,37,FALSE)*VLOOKUP($A136,'3121% SY'!$C$3:$M$324,11,FALSE),3),0)+IFERROR(VLOOKUP($A136,S275_09,13,FALSE),0)</f>
        <v>0</v>
      </c>
      <c r="AA136" s="267">
        <f>IFERROR(VLOOKUP($A136,Supp_49,14,FALSE),0)+IFERROR(SUMPRODUCT(VLOOKUP($A136,S275_01,{38,39,40},FALSE)),0)+IFERROR(SUMPRODUCT(VLOOKUP($A136,S275_97,{38,39,40},FALSE)),0)+IFERROR(ROUND(VLOOKUP($A136,S275_21,38,FALSE)*VLOOKUP($A136,'3121% SY'!$C$3:$M$324,11,FALSE),3),0)+IFERROR(ROUND(VLOOKUP($A136,S275_21,39,FALSE)*VLOOKUP($A136,'3121% SY'!$C$3:$M$324,11,FALSE),3),0)+IFERROR(ROUND(VLOOKUP($A136,S275_21,40,FALSE)*VLOOKUP($A136,'3121% SY'!$C$3:$M$324,11,FALSE),3),0)+IFERROR(VLOOKUP($A136,S275_09,14,FALSE),0)</f>
        <v>0</v>
      </c>
      <c r="AB136" s="267">
        <f>IFERROR(VLOOKUP($A136,Supp_64,14,FALSE),0)+IFERROR(SUMPRODUCT(VLOOKUP($A136,S275_01,{41,42,43},FALSE)),0)+IFERROR(SUMPRODUCT(VLOOKUP($A136,S275_97,{41,42,43},FALSE)),0)+IFERROR(ROUND(VLOOKUP($A136,S275_21,41,FALSE)*VLOOKUP($A136,'3121% SY'!$C$3:$M$324,11,FALSE),3),0)+IFERROR(ROUND(VLOOKUP($A136,S275_21,42,FALSE)*VLOOKUP($A136,'3121% SY'!$C$3:$M$324,11,FALSE),3),0)+IFERROR(ROUND(VLOOKUP($A136,S275_21,43,FALSE)*VLOOKUP($A136,'3121% SY'!$C$3:$M$324,11,FALSE),3),0)+IFERROR(VLOOKUP($A136,S275_09,15,FALSE),0)</f>
        <v>0</v>
      </c>
      <c r="AC136" s="268">
        <f t="shared" si="37"/>
        <v>1</v>
      </c>
      <c r="AD136" s="267">
        <f>IFERROR(VLOOKUP($A136,Supp_24,14,FALSE),0)+IFERROR(SUMPRODUCT(VLOOKUP($A136,S275_01,{2,3,4},FALSE)),0)+IFERROR(SUMPRODUCT(VLOOKUP($A136,S275_97,{2,3,4},FALSE)),0)+IFERROR(ROUND(VLOOKUP($A136,S275_21,2,FALSE)*VLOOKUP($A136,'3121% SY'!$C$3:$M$324,11,FALSE),3),0)+IFERROR(ROUND(VLOOKUP($A136,S275_21,3,FALSE)*VLOOKUP($A136,'3121% SY'!$C$3:$M$324,11,FALSE),3),0)+IFERROR(ROUND(VLOOKUP($A136,S275_21,4,FALSE)*VLOOKUP($A136,'3121% SY'!$C$3:$M$324,11,FALSE),3),0)+IFERROR(VLOOKUP($A136,S275_09,2,FALSE),0)</f>
        <v>0</v>
      </c>
      <c r="AE136" s="267">
        <f>IFERROR(VLOOKUP($A136,Supp_25,14,FALSE),0)+IFERROR(SUMPRODUCT(VLOOKUP($A136,S275_01,{5,6,7},FALSE)),0)+IFERROR(SUMPRODUCT(VLOOKUP($A136,S275_97,{5,6,7},FALSE)),0)+IFERROR(ROUND(VLOOKUP($A136,S275_21,5,FALSE)*VLOOKUP($A136,'3121% SY'!$C$3:$M$324,11,FALSE),3),0)+IFERROR(ROUND(VLOOKUP($A136,S275_21,6,FALSE)*VLOOKUP($A136,'3121% SY'!$C$3:$M$324,11,FALSE),3),0)+IFERROR(ROUND(VLOOKUP($A136,S275_21,7,FALSE)*VLOOKUP($A136,'3121% SY'!$C$3:$M$324,11,FALSE),3),0)+IFERROR(VLOOKUP($A136,S275_09,3,FALSE),0)</f>
        <v>0</v>
      </c>
      <c r="AF136" s="267">
        <f>IFERROR(VLOOKUP($A136,Supp_26,14,FALSE),0)+IFERROR(SUMPRODUCT(VLOOKUP($A136,S275_01,{8,9,10},FALSE)),0)+IFERROR(SUMPRODUCT(VLOOKUP($A136,S275_97,{8,9,10},FALSE)),0)+IFERROR(ROUND(VLOOKUP($A136,S275_21,8,FALSE)*VLOOKUP($A136,'3121% SY'!$C$3:$M$324,11,FALSE),3),0)+IFERROR(ROUND(VLOOKUP($A136,S275_21,9,FALSE)*VLOOKUP($A136,'3121% SY'!$C$3:$M$324,11,FALSE),3),0)+IFERROR(ROUND(VLOOKUP($A136,S275_21,10,FALSE)*VLOOKUP($A136,'3121% SY'!$C$3:$M$324,11,FALSE),3),0)+IFERROR(VLOOKUP($A136,S275_09,4,FALSE),0)</f>
        <v>0</v>
      </c>
      <c r="AG136" s="267">
        <f>IFERROR(VLOOKUP($A136,Supp_35,14,FALSE),0)+IFERROR(SUMPRODUCT(VLOOKUP($A136,S275_01,{11,12,13},FALSE)),0)+IFERROR(SUMPRODUCT(VLOOKUP($A136,S275_97,{11,12,13},FALSE)),0)+IFERROR(ROUND(VLOOKUP($A136,S275_21,11,FALSE)*VLOOKUP($A136,'3121% SY'!$C$3:$M$324,11,FALSE),3),0)+IFERROR(ROUND(VLOOKUP($A136,S275_21,12,FALSE)*VLOOKUP($A136,'3121% SY'!$C$3:$M$324,11,FALSE),3),0)+IFERROR(ROUND(VLOOKUP($A136,S275_21,13,FALSE)*VLOOKUP($A136,'3121% SY'!$C$3:$M$324,11,FALSE),3),0)+IFERROR(VLOOKUP($A136,S275_09,5,FALSE),0)</f>
        <v>0</v>
      </c>
      <c r="AH136" s="165">
        <f t="shared" si="38"/>
        <v>0</v>
      </c>
      <c r="AI136" s="161">
        <f>IFERROR(VLOOKUP(A136,'Supp Staff Data'!A:ER,148,FALSE),0)+AB136</f>
        <v>0</v>
      </c>
      <c r="AJ136" s="174">
        <v>0.97070000000000001</v>
      </c>
      <c r="AK136" s="25">
        <f>VLOOKUP(A136,'Enroll Data as of January 2025'!$A$3:$T$323,20,FALSE)-F136</f>
        <v>0</v>
      </c>
    </row>
    <row r="137" spans="1:37" x14ac:dyDescent="0.25">
      <c r="A137" s="171" t="s">
        <v>142</v>
      </c>
      <c r="B137" t="s">
        <v>438</v>
      </c>
      <c r="C137" s="173" t="s">
        <v>1077</v>
      </c>
      <c r="D137" s="259">
        <f t="shared" si="30"/>
        <v>3.198</v>
      </c>
      <c r="E137" s="259">
        <f t="shared" si="31"/>
        <v>3.4779999999999998</v>
      </c>
      <c r="F137" s="262">
        <f t="shared" si="32"/>
        <v>0.28000000000000003</v>
      </c>
      <c r="G137" s="161">
        <f>ROUND(IF(F137&lt;0,F137*'2024-25 PSES Compliance'!$G$13,0),3)</f>
        <v>0</v>
      </c>
      <c r="H137" s="161">
        <f>ROUND(IF(F137&lt;0,F137*'2024-25 PSES Compliance'!$G$14,0),3)</f>
        <v>0</v>
      </c>
      <c r="I137" s="174">
        <f t="shared" si="33"/>
        <v>0</v>
      </c>
      <c r="J137" s="174">
        <f t="shared" si="34"/>
        <v>0.11069580218516389</v>
      </c>
      <c r="K137" s="161">
        <f>VLOOKUP($A137,'Enroll Data as of January 2025'!$A$3:$M$322,6,FALSE)</f>
        <v>1.8399999999999999</v>
      </c>
      <c r="L137" s="161">
        <f>VLOOKUP($A137,'Enroll Data as of January 2025'!$A$3:$M$322,7,FALSE)</f>
        <v>0.27700000000000002</v>
      </c>
      <c r="M137" s="161">
        <f>VLOOKUP($A137,'Enroll Data as of January 2025'!$A$3:$M$322,8,FALSE)</f>
        <v>9.2999999999999999E-2</v>
      </c>
      <c r="N137" s="161">
        <f>VLOOKUP($A137,'Enroll Data as of January 2025'!$A$3:$M$322,9,FALSE)</f>
        <v>0.81499999999999995</v>
      </c>
      <c r="O137" s="165">
        <f t="shared" si="35"/>
        <v>3.0249999999999999</v>
      </c>
      <c r="P137" s="161">
        <f>VLOOKUP($A137,'Enroll Data as of January 2025'!$A$3:$M$322,11,FALSE)</f>
        <v>0.11299999999999999</v>
      </c>
      <c r="Q137" s="161">
        <f>VLOOKUP($A137,'Enroll Data as of January 2025'!$A$3:$M$322,12,FALSE)</f>
        <v>0.06</v>
      </c>
      <c r="R137" s="165">
        <f t="shared" si="36"/>
        <v>0.17299999999999999</v>
      </c>
      <c r="S137" s="267">
        <f>IFERROR(VLOOKUP($A137,Supp_39,14,FALSE),0)+IFERROR(SUMPRODUCT(VLOOKUP($A137,S275_01,{14,15,16},FALSE)),0)+IFERROR(SUMPRODUCT(VLOOKUP($A137,S275_97,{14,15,16},FALSE)),0)+IFERROR(ROUND(VLOOKUP($A137,S275_21,14,FALSE)*VLOOKUP($A137,'3121% SY'!$C$3:$M$324,11,FALSE),3),0)+IFERROR(ROUND(VLOOKUP($A137,S275_21,15,FALSE)*VLOOKUP($A137,'3121% SY'!$C$3:$M$324,11,FALSE),3),0)+IFERROR(ROUND(VLOOKUP($A137,S275_21,16,FALSE)*VLOOKUP($A137,'3121% SY'!$C$3:$M$324,11,FALSE),3),0)+IFERROR(VLOOKUP($A137,S275_09,6,FALSE),0)</f>
        <v>1</v>
      </c>
      <c r="T137" s="267">
        <f>IFERROR(VLOOKUP($A137,Supp_42,14,FALSE),0)+IFERROR(SUMPRODUCT(VLOOKUP($A137,S275_01,{17,18,19},FALSE)),0)+IFERROR(SUMPRODUCT(VLOOKUP($A137,S275_97,{17,18,19},FALSE)),0)+IFERROR(ROUND(VLOOKUP($A137,S275_21,17,FALSE)*VLOOKUP($A137,'3121% SY'!$C$3:$M$324,11,FALSE),3),0)+IFERROR(ROUND(VLOOKUP($A137,S275_21,18,FALSE)*VLOOKUP($A137,'3121% SY'!$C$3:$M$324,11,FALSE),3),0)+IFERROR(ROUND(VLOOKUP($A137,S275_21,19,FALSE)*VLOOKUP($A137,'3121% SY'!$C$3:$M$324,11,FALSE),3),0)+IFERROR(VLOOKUP($A137,S275_09,7,FALSE),0)</f>
        <v>0</v>
      </c>
      <c r="U137" s="267">
        <f>IFERROR(VLOOKUP($A137,Supp_43,14,FALSE),0)+IFERROR(SUMPRODUCT(VLOOKUP($A137,S275_01,{20,21,22},FALSE)),0)+IFERROR(SUMPRODUCT(VLOOKUP($A137,S275_97,{20,21,22},FALSE)),0)+IFERROR(ROUND(VLOOKUP($A137,S275_21,20,FALSE)*VLOOKUP($A137,'3121% SY'!$C$3:$M$324,11,FALSE),3),0)+IFERROR(ROUND(VLOOKUP($A137,S275_21,21,FALSE)*VLOOKUP($A137,'3121% SY'!$C$3:$M$324,11,FALSE),3),0)+IFERROR(ROUND(VLOOKUP($A137,S275_21,22,FALSE)*VLOOKUP($A137,'3121% SY'!$C$3:$M$324,11,FALSE),3),0)+IFERROR(VLOOKUP($A137,S275_09,8,FALSE),0)</f>
        <v>0</v>
      </c>
      <c r="V137" s="267">
        <f>IFERROR(VLOOKUP($A137,Supp_44,14,FALSE),0)+IFERROR(SUMPRODUCT(VLOOKUP($A137,S275_01,{23,24,25},FALSE)),0)+IFERROR(SUMPRODUCT(VLOOKUP($A137,S275_97,{23,24,25},FALSE)),0)+IFERROR(ROUND(VLOOKUP($A137,S275_21,23,FALSE)*VLOOKUP($A137,'3121% SY'!$C$3:$M$324,11,FALSE),3),0)+IFERROR(ROUND(VLOOKUP($A137,S275_21,24,FALSE)*VLOOKUP($A137,'3121% SY'!$C$3:$M$324,11,FALSE),3),0)+IFERROR(ROUND(VLOOKUP($A137,S275_21,25,FALSE)*VLOOKUP($A137,'3121% SY'!$C$3:$M$324,11,FALSE),3),0)+IFERROR(VLOOKUP($A137,S275_09,9,FALSE),0)</f>
        <v>0</v>
      </c>
      <c r="W137" s="267">
        <f>IFERROR(VLOOKUP($A137,Supp_45,14,FALSE),0)+IFERROR(SUMPRODUCT(VLOOKUP($A137,S275_01,{26,27,28},FALSE)),0)+IFERROR(SUMPRODUCT(VLOOKUP($A137,S275_97,{26,27,28},FALSE)),0)+IFERROR(ROUND(VLOOKUP($A137,S275_21,26,FALSE)*VLOOKUP($A137,'3121% SY'!$C$3:$M$324,11,FALSE),3),0)+IFERROR(ROUND(VLOOKUP($A137,S275_21,27,FALSE)*VLOOKUP($A137,'3121% SY'!$C$3:$M$324,11,FALSE),3),0)+IFERROR(ROUND(VLOOKUP($A137,S275_21,28,FALSE)*VLOOKUP($A137,'3121% SY'!$C$3:$M$324,11,FALSE),3),0)+IFERROR(VLOOKUP($A137,S275_09,10,FALSE),0)</f>
        <v>0</v>
      </c>
      <c r="X137" s="267">
        <f>IFERROR(VLOOKUP($A137,Supp_46,14,FALSE),0)+IFERROR(SUMPRODUCT(VLOOKUP($A137,S275_01,{29,30,31},FALSE)),0)+IFERROR(SUMPRODUCT(VLOOKUP($A137,S275_97,{29,30,31},FALSE)),0)+IFERROR(ROUND(VLOOKUP($A137,S275_21,29,FALSE)*VLOOKUP($A137,'3121% SY'!$C$3:$M$324,11,FALSE),3),0)+IFERROR(ROUND(VLOOKUP($A137,S275_21,30,FALSE)*VLOOKUP($A137,'3121% SY'!$C$3:$M$324,11,FALSE),3),0)+IFERROR(ROUND(VLOOKUP($A137,S275_21,31,FALSE)*VLOOKUP($A137,'3121% SY'!$C$3:$M$324,11,FALSE),3),0)+IFERROR(VLOOKUP($A137,S275_09,11,FALSE),0)</f>
        <v>0.20399999999999999</v>
      </c>
      <c r="Y137" s="267">
        <f>IFERROR(VLOOKUP($A137,Supp_47,14,FALSE),0)+IFERROR(SUMPRODUCT(VLOOKUP($A137,S275_01,{32,33,34},FALSE)),0)+IFERROR(SUMPRODUCT(VLOOKUP($A137,S275_97,{32,33,34},FALSE)),0)+IFERROR(ROUND(VLOOKUP($A137,S275_21,32,FALSE)*VLOOKUP($A137,'3121% SY'!$C$3:$M$324,11,FALSE),3),0)+IFERROR(ROUND(VLOOKUP($A137,S275_21,33,FALSE)*VLOOKUP($A137,'3121% SY'!$C$3:$M$324,11,FALSE),3),0)+IFERROR(ROUND(VLOOKUP($A137,S275_21,34,FALSE)*VLOOKUP($A137,'3121% SY'!$C$3:$M$324,11,FALSE),3),0)+IFERROR(VLOOKUP($A137,S275_09,12,FALSE),0)</f>
        <v>0</v>
      </c>
      <c r="Z137" s="267">
        <f>IFERROR(VLOOKUP($A137,Supp_48,14,FALSE),0)+IFERROR(SUMPRODUCT(VLOOKUP($A137,S275_01,{35,36,37},FALSE)),0)+IFERROR(SUMPRODUCT(VLOOKUP($A137,S275_97,{35,36,37},FALSE)),0)+IFERROR(ROUND(VLOOKUP($A137,S275_21,35,FALSE)*VLOOKUP($A137,'3121% SY'!$C$3:$M$324,11,FALSE),3),0)+IFERROR(ROUND(VLOOKUP($A137,S275_21,36,FALSE)*VLOOKUP($A137,'3121% SY'!$C$3:$M$324,11,FALSE),3),0)+IFERROR(ROUND(VLOOKUP($A137,S275_21,37,FALSE)*VLOOKUP($A137,'3121% SY'!$C$3:$M$324,11,FALSE),3),0)+IFERROR(VLOOKUP($A137,S275_09,13,FALSE),0)</f>
        <v>0</v>
      </c>
      <c r="AA137" s="267">
        <f>IFERROR(VLOOKUP($A137,Supp_49,14,FALSE),0)+IFERROR(SUMPRODUCT(VLOOKUP($A137,S275_01,{38,39,40},FALSE)),0)+IFERROR(SUMPRODUCT(VLOOKUP($A137,S275_97,{38,39,40},FALSE)),0)+IFERROR(ROUND(VLOOKUP($A137,S275_21,38,FALSE)*VLOOKUP($A137,'3121% SY'!$C$3:$M$324,11,FALSE),3),0)+IFERROR(ROUND(VLOOKUP($A137,S275_21,39,FALSE)*VLOOKUP($A137,'3121% SY'!$C$3:$M$324,11,FALSE),3),0)+IFERROR(ROUND(VLOOKUP($A137,S275_21,40,FALSE)*VLOOKUP($A137,'3121% SY'!$C$3:$M$324,11,FALSE),3),0)+IFERROR(VLOOKUP($A137,S275_09,14,FALSE),0)</f>
        <v>0</v>
      </c>
      <c r="AB137" s="267">
        <f>IFERROR(VLOOKUP($A137,Supp_64,14,FALSE),0)+IFERROR(SUMPRODUCT(VLOOKUP($A137,S275_01,{41,42,43},FALSE)),0)+IFERROR(SUMPRODUCT(VLOOKUP($A137,S275_97,{41,42,43},FALSE)),0)+IFERROR(ROUND(VLOOKUP($A137,S275_21,41,FALSE)*VLOOKUP($A137,'3121% SY'!$C$3:$M$324,11,FALSE),3),0)+IFERROR(ROUND(VLOOKUP($A137,S275_21,42,FALSE)*VLOOKUP($A137,'3121% SY'!$C$3:$M$324,11,FALSE),3),0)+IFERROR(ROUND(VLOOKUP($A137,S275_21,43,FALSE)*VLOOKUP($A137,'3121% SY'!$C$3:$M$324,11,FALSE),3),0)+IFERROR(VLOOKUP($A137,S275_09,15,FALSE),0)</f>
        <v>0.38500000000000001</v>
      </c>
      <c r="AC137" s="268">
        <f t="shared" si="37"/>
        <v>1.589</v>
      </c>
      <c r="AD137" s="267">
        <f>IFERROR(VLOOKUP($A137,Supp_24,14,FALSE),0)+IFERROR(SUMPRODUCT(VLOOKUP($A137,S275_01,{2,3,4},FALSE)),0)+IFERROR(SUMPRODUCT(VLOOKUP($A137,S275_97,{2,3,4},FALSE)),0)+IFERROR(ROUND(VLOOKUP($A137,S275_21,2,FALSE)*VLOOKUP($A137,'3121% SY'!$C$3:$M$324,11,FALSE),3),0)+IFERROR(ROUND(VLOOKUP($A137,S275_21,3,FALSE)*VLOOKUP($A137,'3121% SY'!$C$3:$M$324,11,FALSE),3),0)+IFERROR(ROUND(VLOOKUP($A137,S275_21,4,FALSE)*VLOOKUP($A137,'3121% SY'!$C$3:$M$324,11,FALSE),3),0)+IFERROR(VLOOKUP($A137,S275_09,2,FALSE),0)</f>
        <v>0</v>
      </c>
      <c r="AE137" s="267">
        <f>IFERROR(VLOOKUP($A137,Supp_25,14,FALSE),0)+IFERROR(SUMPRODUCT(VLOOKUP($A137,S275_01,{5,6,7},FALSE)),0)+IFERROR(SUMPRODUCT(VLOOKUP($A137,S275_97,{5,6,7},FALSE)),0)+IFERROR(ROUND(VLOOKUP($A137,S275_21,5,FALSE)*VLOOKUP($A137,'3121% SY'!$C$3:$M$324,11,FALSE),3),0)+IFERROR(ROUND(VLOOKUP($A137,S275_21,6,FALSE)*VLOOKUP($A137,'3121% SY'!$C$3:$M$324,11,FALSE),3),0)+IFERROR(ROUND(VLOOKUP($A137,S275_21,7,FALSE)*VLOOKUP($A137,'3121% SY'!$C$3:$M$324,11,FALSE),3),0)+IFERROR(VLOOKUP($A137,S275_09,3,FALSE),0)</f>
        <v>0.73199999999999998</v>
      </c>
      <c r="AF137" s="267">
        <f>IFERROR(VLOOKUP($A137,Supp_26,14,FALSE),0)+IFERROR(SUMPRODUCT(VLOOKUP($A137,S275_01,{8,9,10},FALSE)),0)+IFERROR(SUMPRODUCT(VLOOKUP($A137,S275_97,{8,9,10},FALSE)),0)+IFERROR(ROUND(VLOOKUP($A137,S275_21,8,FALSE)*VLOOKUP($A137,'3121% SY'!$C$3:$M$324,11,FALSE),3),0)+IFERROR(ROUND(VLOOKUP($A137,S275_21,9,FALSE)*VLOOKUP($A137,'3121% SY'!$C$3:$M$324,11,FALSE),3),0)+IFERROR(ROUND(VLOOKUP($A137,S275_21,10,FALSE)*VLOOKUP($A137,'3121% SY'!$C$3:$M$324,11,FALSE),3),0)+IFERROR(VLOOKUP($A137,S275_09,4,FALSE),0)</f>
        <v>1.157</v>
      </c>
      <c r="AG137" s="267">
        <f>IFERROR(VLOOKUP($A137,Supp_35,14,FALSE),0)+IFERROR(SUMPRODUCT(VLOOKUP($A137,S275_01,{11,12,13},FALSE)),0)+IFERROR(SUMPRODUCT(VLOOKUP($A137,S275_97,{11,12,13},FALSE)),0)+IFERROR(ROUND(VLOOKUP($A137,S275_21,11,FALSE)*VLOOKUP($A137,'3121% SY'!$C$3:$M$324,11,FALSE),3),0)+IFERROR(ROUND(VLOOKUP($A137,S275_21,12,FALSE)*VLOOKUP($A137,'3121% SY'!$C$3:$M$324,11,FALSE),3),0)+IFERROR(ROUND(VLOOKUP($A137,S275_21,13,FALSE)*VLOOKUP($A137,'3121% SY'!$C$3:$M$324,11,FALSE),3),0)+IFERROR(VLOOKUP($A137,S275_09,5,FALSE),0)</f>
        <v>0</v>
      </c>
      <c r="AH137" s="165">
        <f t="shared" si="38"/>
        <v>1.889</v>
      </c>
      <c r="AI137" s="161">
        <f>IFERROR(VLOOKUP(A137,'Supp Staff Data'!A:ER,148,FALSE),0)+AB137</f>
        <v>0.38500000000000001</v>
      </c>
      <c r="AJ137" s="174">
        <v>0</v>
      </c>
      <c r="AK137" s="25">
        <f>VLOOKUP(A137,'Enroll Data as of January 2025'!$A$3:$T$323,20,FALSE)-F137</f>
        <v>0</v>
      </c>
    </row>
    <row r="138" spans="1:37" x14ac:dyDescent="0.25">
      <c r="A138" s="171" t="s">
        <v>133</v>
      </c>
      <c r="B138" t="s">
        <v>429</v>
      </c>
      <c r="C138" s="173" t="s">
        <v>1077</v>
      </c>
      <c r="D138" s="259">
        <f t="shared" si="30"/>
        <v>0.43100000000000005</v>
      </c>
      <c r="E138" s="259">
        <f t="shared" si="31"/>
        <v>0.68399999999999994</v>
      </c>
      <c r="F138" s="262">
        <f t="shared" si="32"/>
        <v>0.253</v>
      </c>
      <c r="G138" s="161">
        <f>ROUND(IF(F138&lt;0,F138*'2024-25 PSES Compliance'!$G$13,0),3)</f>
        <v>0</v>
      </c>
      <c r="H138" s="161">
        <f>ROUND(IF(F138&lt;0,F138*'2024-25 PSES Compliance'!$G$14,0),3)</f>
        <v>0</v>
      </c>
      <c r="I138" s="174">
        <f t="shared" si="33"/>
        <v>0.36622807017543862</v>
      </c>
      <c r="J138" s="174">
        <f t="shared" si="34"/>
        <v>0</v>
      </c>
      <c r="K138" s="161">
        <f>VLOOKUP($A138,'Enroll Data as of January 2025'!$A$3:$M$322,6,FALSE)</f>
        <v>0.246</v>
      </c>
      <c r="L138" s="161">
        <f>VLOOKUP($A138,'Enroll Data as of January 2025'!$A$3:$M$322,7,FALSE)</f>
        <v>3.8000000000000006E-2</v>
      </c>
      <c r="M138" s="161">
        <f>VLOOKUP($A138,'Enroll Data as of January 2025'!$A$3:$M$322,8,FALSE)</f>
        <v>1.2999999999999999E-2</v>
      </c>
      <c r="N138" s="161">
        <f>VLOOKUP($A138,'Enroll Data as of January 2025'!$A$3:$M$322,9,FALSE)</f>
        <v>0.111</v>
      </c>
      <c r="O138" s="165">
        <f t="shared" si="35"/>
        <v>0.40800000000000003</v>
      </c>
      <c r="P138" s="161">
        <f>VLOOKUP($A138,'Enroll Data as of January 2025'!$A$3:$M$322,11,FALSE)</f>
        <v>1.4999999999999999E-2</v>
      </c>
      <c r="Q138" s="161">
        <f>VLOOKUP($A138,'Enroll Data as of January 2025'!$A$3:$M$322,12,FALSE)</f>
        <v>8.0000000000000002E-3</v>
      </c>
      <c r="R138" s="165">
        <f t="shared" si="36"/>
        <v>2.3E-2</v>
      </c>
      <c r="S138" s="267">
        <f>IFERROR(VLOOKUP($A138,Supp_39,14,FALSE),0)+IFERROR(SUMPRODUCT(VLOOKUP($A138,S275_01,{14,15,16},FALSE)),0)+IFERROR(SUMPRODUCT(VLOOKUP($A138,S275_97,{14,15,16},FALSE)),0)+IFERROR(ROUND(VLOOKUP($A138,S275_21,14,FALSE)*VLOOKUP($A138,'3121% SY'!$C$3:$M$324,11,FALSE),3),0)+IFERROR(ROUND(VLOOKUP($A138,S275_21,15,FALSE)*VLOOKUP($A138,'3121% SY'!$C$3:$M$324,11,FALSE),3),0)+IFERROR(ROUND(VLOOKUP($A138,S275_21,16,FALSE)*VLOOKUP($A138,'3121% SY'!$C$3:$M$324,11,FALSE),3),0)+IFERROR(VLOOKUP($A138,S275_09,6,FALSE),0)</f>
        <v>0.40600000000000003</v>
      </c>
      <c r="T138" s="267">
        <f>IFERROR(VLOOKUP($A138,Supp_42,14,FALSE),0)+IFERROR(SUMPRODUCT(VLOOKUP($A138,S275_01,{17,18,19},FALSE)),0)+IFERROR(SUMPRODUCT(VLOOKUP($A138,S275_97,{17,18,19},FALSE)),0)+IFERROR(ROUND(VLOOKUP($A138,S275_21,17,FALSE)*VLOOKUP($A138,'3121% SY'!$C$3:$M$324,11,FALSE),3),0)+IFERROR(ROUND(VLOOKUP($A138,S275_21,18,FALSE)*VLOOKUP($A138,'3121% SY'!$C$3:$M$324,11,FALSE),3),0)+IFERROR(ROUND(VLOOKUP($A138,S275_21,19,FALSE)*VLOOKUP($A138,'3121% SY'!$C$3:$M$324,11,FALSE),3),0)+IFERROR(VLOOKUP($A138,S275_09,7,FALSE),0)</f>
        <v>9.5000000000000001E-2</v>
      </c>
      <c r="U138" s="267">
        <f>IFERROR(VLOOKUP($A138,Supp_43,14,FALSE),0)+IFERROR(SUMPRODUCT(VLOOKUP($A138,S275_01,{20,21,22},FALSE)),0)+IFERROR(SUMPRODUCT(VLOOKUP($A138,S275_97,{20,21,22},FALSE)),0)+IFERROR(ROUND(VLOOKUP($A138,S275_21,20,FALSE)*VLOOKUP($A138,'3121% SY'!$C$3:$M$324,11,FALSE),3),0)+IFERROR(ROUND(VLOOKUP($A138,S275_21,21,FALSE)*VLOOKUP($A138,'3121% SY'!$C$3:$M$324,11,FALSE),3),0)+IFERROR(ROUND(VLOOKUP($A138,S275_21,22,FALSE)*VLOOKUP($A138,'3121% SY'!$C$3:$M$324,11,FALSE),3),0)+IFERROR(VLOOKUP($A138,S275_09,8,FALSE),0)</f>
        <v>0</v>
      </c>
      <c r="V138" s="267">
        <f>IFERROR(VLOOKUP($A138,Supp_44,14,FALSE),0)+IFERROR(SUMPRODUCT(VLOOKUP($A138,S275_01,{23,24,25},FALSE)),0)+IFERROR(SUMPRODUCT(VLOOKUP($A138,S275_97,{23,24,25},FALSE)),0)+IFERROR(ROUND(VLOOKUP($A138,S275_21,23,FALSE)*VLOOKUP($A138,'3121% SY'!$C$3:$M$324,11,FALSE),3),0)+IFERROR(ROUND(VLOOKUP($A138,S275_21,24,FALSE)*VLOOKUP($A138,'3121% SY'!$C$3:$M$324,11,FALSE),3),0)+IFERROR(ROUND(VLOOKUP($A138,S275_21,25,FALSE)*VLOOKUP($A138,'3121% SY'!$C$3:$M$324,11,FALSE),3),0)+IFERROR(VLOOKUP($A138,S275_09,9,FALSE),0)</f>
        <v>0</v>
      </c>
      <c r="W138" s="267">
        <f>IFERROR(VLOOKUP($A138,Supp_45,14,FALSE),0)+IFERROR(SUMPRODUCT(VLOOKUP($A138,S275_01,{26,27,28},FALSE)),0)+IFERROR(SUMPRODUCT(VLOOKUP($A138,S275_97,{26,27,28},FALSE)),0)+IFERROR(ROUND(VLOOKUP($A138,S275_21,26,FALSE)*VLOOKUP($A138,'3121% SY'!$C$3:$M$324,11,FALSE),3),0)+IFERROR(ROUND(VLOOKUP($A138,S275_21,27,FALSE)*VLOOKUP($A138,'3121% SY'!$C$3:$M$324,11,FALSE),3),0)+IFERROR(ROUND(VLOOKUP($A138,S275_21,28,FALSE)*VLOOKUP($A138,'3121% SY'!$C$3:$M$324,11,FALSE),3),0)+IFERROR(VLOOKUP($A138,S275_09,10,FALSE),0)</f>
        <v>0</v>
      </c>
      <c r="X138" s="267">
        <f>IFERROR(VLOOKUP($A138,Supp_46,14,FALSE),0)+IFERROR(SUMPRODUCT(VLOOKUP($A138,S275_01,{29,30,31},FALSE)),0)+IFERROR(SUMPRODUCT(VLOOKUP($A138,S275_97,{29,30,31},FALSE)),0)+IFERROR(ROUND(VLOOKUP($A138,S275_21,29,FALSE)*VLOOKUP($A138,'3121% SY'!$C$3:$M$324,11,FALSE),3),0)+IFERROR(ROUND(VLOOKUP($A138,S275_21,30,FALSE)*VLOOKUP($A138,'3121% SY'!$C$3:$M$324,11,FALSE),3),0)+IFERROR(ROUND(VLOOKUP($A138,S275_21,31,FALSE)*VLOOKUP($A138,'3121% SY'!$C$3:$M$324,11,FALSE),3),0)+IFERROR(VLOOKUP($A138,S275_09,11,FALSE),0)</f>
        <v>0</v>
      </c>
      <c r="Y138" s="267">
        <f>IFERROR(VLOOKUP($A138,Supp_47,14,FALSE),0)+IFERROR(SUMPRODUCT(VLOOKUP($A138,S275_01,{32,33,34},FALSE)),0)+IFERROR(SUMPRODUCT(VLOOKUP($A138,S275_97,{32,33,34},FALSE)),0)+IFERROR(ROUND(VLOOKUP($A138,S275_21,32,FALSE)*VLOOKUP($A138,'3121% SY'!$C$3:$M$324,11,FALSE),3),0)+IFERROR(ROUND(VLOOKUP($A138,S275_21,33,FALSE)*VLOOKUP($A138,'3121% SY'!$C$3:$M$324,11,FALSE),3),0)+IFERROR(ROUND(VLOOKUP($A138,S275_21,34,FALSE)*VLOOKUP($A138,'3121% SY'!$C$3:$M$324,11,FALSE),3),0)+IFERROR(VLOOKUP($A138,S275_09,12,FALSE),0)</f>
        <v>0</v>
      </c>
      <c r="Z138" s="267">
        <f>IFERROR(VLOOKUP($A138,Supp_48,14,FALSE),0)+IFERROR(SUMPRODUCT(VLOOKUP($A138,S275_01,{35,36,37},FALSE)),0)+IFERROR(SUMPRODUCT(VLOOKUP($A138,S275_97,{35,36,37},FALSE)),0)+IFERROR(ROUND(VLOOKUP($A138,S275_21,35,FALSE)*VLOOKUP($A138,'3121% SY'!$C$3:$M$324,11,FALSE),3),0)+IFERROR(ROUND(VLOOKUP($A138,S275_21,36,FALSE)*VLOOKUP($A138,'3121% SY'!$C$3:$M$324,11,FALSE),3),0)+IFERROR(ROUND(VLOOKUP($A138,S275_21,37,FALSE)*VLOOKUP($A138,'3121% SY'!$C$3:$M$324,11,FALSE),3),0)+IFERROR(VLOOKUP($A138,S275_09,13,FALSE),0)</f>
        <v>0</v>
      </c>
      <c r="AA138" s="267">
        <f>IFERROR(VLOOKUP($A138,Supp_49,14,FALSE),0)+IFERROR(SUMPRODUCT(VLOOKUP($A138,S275_01,{38,39,40},FALSE)),0)+IFERROR(SUMPRODUCT(VLOOKUP($A138,S275_97,{38,39,40},FALSE)),0)+IFERROR(ROUND(VLOOKUP($A138,S275_21,38,FALSE)*VLOOKUP($A138,'3121% SY'!$C$3:$M$324,11,FALSE),3),0)+IFERROR(ROUND(VLOOKUP($A138,S275_21,39,FALSE)*VLOOKUP($A138,'3121% SY'!$C$3:$M$324,11,FALSE),3),0)+IFERROR(ROUND(VLOOKUP($A138,S275_21,40,FALSE)*VLOOKUP($A138,'3121% SY'!$C$3:$M$324,11,FALSE),3),0)+IFERROR(VLOOKUP($A138,S275_09,14,FALSE),0)</f>
        <v>0</v>
      </c>
      <c r="AB138" s="267">
        <f>IFERROR(VLOOKUP($A138,Supp_64,14,FALSE),0)+IFERROR(SUMPRODUCT(VLOOKUP($A138,S275_01,{41,42,43},FALSE)),0)+IFERROR(SUMPRODUCT(VLOOKUP($A138,S275_97,{41,42,43},FALSE)),0)+IFERROR(ROUND(VLOOKUP($A138,S275_21,41,FALSE)*VLOOKUP($A138,'3121% SY'!$C$3:$M$324,11,FALSE),3),0)+IFERROR(ROUND(VLOOKUP($A138,S275_21,42,FALSE)*VLOOKUP($A138,'3121% SY'!$C$3:$M$324,11,FALSE),3),0)+IFERROR(ROUND(VLOOKUP($A138,S275_21,43,FALSE)*VLOOKUP($A138,'3121% SY'!$C$3:$M$324,11,FALSE),3),0)+IFERROR(VLOOKUP($A138,S275_09,15,FALSE),0)</f>
        <v>0</v>
      </c>
      <c r="AC138" s="268">
        <f t="shared" si="37"/>
        <v>0.501</v>
      </c>
      <c r="AD138" s="267">
        <f>IFERROR(VLOOKUP($A138,Supp_24,14,FALSE),0)+IFERROR(SUMPRODUCT(VLOOKUP($A138,S275_01,{2,3,4},FALSE)),0)+IFERROR(SUMPRODUCT(VLOOKUP($A138,S275_97,{2,3,4},FALSE)),0)+IFERROR(ROUND(VLOOKUP($A138,S275_21,2,FALSE)*VLOOKUP($A138,'3121% SY'!$C$3:$M$324,11,FALSE),3),0)+IFERROR(ROUND(VLOOKUP($A138,S275_21,3,FALSE)*VLOOKUP($A138,'3121% SY'!$C$3:$M$324,11,FALSE),3),0)+IFERROR(ROUND(VLOOKUP($A138,S275_21,4,FALSE)*VLOOKUP($A138,'3121% SY'!$C$3:$M$324,11,FALSE),3),0)+IFERROR(VLOOKUP($A138,S275_09,2,FALSE),0)</f>
        <v>0</v>
      </c>
      <c r="AE138" s="267">
        <f>IFERROR(VLOOKUP($A138,Supp_25,14,FALSE),0)+IFERROR(SUMPRODUCT(VLOOKUP($A138,S275_01,{5,6,7},FALSE)),0)+IFERROR(SUMPRODUCT(VLOOKUP($A138,S275_97,{5,6,7},FALSE)),0)+IFERROR(ROUND(VLOOKUP($A138,S275_21,5,FALSE)*VLOOKUP($A138,'3121% SY'!$C$3:$M$324,11,FALSE),3),0)+IFERROR(ROUND(VLOOKUP($A138,S275_21,6,FALSE)*VLOOKUP($A138,'3121% SY'!$C$3:$M$324,11,FALSE),3),0)+IFERROR(ROUND(VLOOKUP($A138,S275_21,7,FALSE)*VLOOKUP($A138,'3121% SY'!$C$3:$M$324,11,FALSE),3),0)+IFERROR(VLOOKUP($A138,S275_09,3,FALSE),0)</f>
        <v>0.183</v>
      </c>
      <c r="AF138" s="267">
        <f>IFERROR(VLOOKUP($A138,Supp_26,14,FALSE),0)+IFERROR(SUMPRODUCT(VLOOKUP($A138,S275_01,{8,9,10},FALSE)),0)+IFERROR(SUMPRODUCT(VLOOKUP($A138,S275_97,{8,9,10},FALSE)),0)+IFERROR(ROUND(VLOOKUP($A138,S275_21,8,FALSE)*VLOOKUP($A138,'3121% SY'!$C$3:$M$324,11,FALSE),3),0)+IFERROR(ROUND(VLOOKUP($A138,S275_21,9,FALSE)*VLOOKUP($A138,'3121% SY'!$C$3:$M$324,11,FALSE),3),0)+IFERROR(ROUND(VLOOKUP($A138,S275_21,10,FALSE)*VLOOKUP($A138,'3121% SY'!$C$3:$M$324,11,FALSE),3),0)+IFERROR(VLOOKUP($A138,S275_09,4,FALSE),0)</f>
        <v>0</v>
      </c>
      <c r="AG138" s="267">
        <f>IFERROR(VLOOKUP($A138,Supp_35,14,FALSE),0)+IFERROR(SUMPRODUCT(VLOOKUP($A138,S275_01,{11,12,13},FALSE)),0)+IFERROR(SUMPRODUCT(VLOOKUP($A138,S275_97,{11,12,13},FALSE)),0)+IFERROR(ROUND(VLOOKUP($A138,S275_21,11,FALSE)*VLOOKUP($A138,'3121% SY'!$C$3:$M$324,11,FALSE),3),0)+IFERROR(ROUND(VLOOKUP($A138,S275_21,12,FALSE)*VLOOKUP($A138,'3121% SY'!$C$3:$M$324,11,FALSE),3),0)+IFERROR(ROUND(VLOOKUP($A138,S275_21,13,FALSE)*VLOOKUP($A138,'3121% SY'!$C$3:$M$324,11,FALSE),3),0)+IFERROR(VLOOKUP($A138,S275_09,5,FALSE),0)</f>
        <v>0</v>
      </c>
      <c r="AH138" s="165">
        <f t="shared" si="38"/>
        <v>0.183</v>
      </c>
      <c r="AI138" s="161">
        <f>IFERROR(VLOOKUP(A138,'Supp Staff Data'!A:ER,148,FALSE),0)+AB138</f>
        <v>0</v>
      </c>
      <c r="AJ138" s="174">
        <v>0.5</v>
      </c>
      <c r="AK138" s="25">
        <f>VLOOKUP(A138,'Enroll Data as of January 2025'!$A$3:$T$323,20,FALSE)-F138</f>
        <v>0</v>
      </c>
    </row>
    <row r="139" spans="1:37" x14ac:dyDescent="0.25">
      <c r="A139" s="171" t="s">
        <v>152</v>
      </c>
      <c r="B139" t="s">
        <v>448</v>
      </c>
      <c r="C139" s="173" t="s">
        <v>1077</v>
      </c>
      <c r="D139" s="259">
        <f t="shared" si="30"/>
        <v>3.5390000000000001</v>
      </c>
      <c r="E139" s="259">
        <f t="shared" si="31"/>
        <v>2.7560000000000002</v>
      </c>
      <c r="F139" s="262">
        <f t="shared" si="32"/>
        <v>-0.78300000000000003</v>
      </c>
      <c r="G139" s="161">
        <f>ROUND(IF(F139&lt;0,F139*'2024-25 PSES Compliance'!$G$13,0),3)</f>
        <v>-0.752</v>
      </c>
      <c r="H139" s="161">
        <f>ROUND(IF(F139&lt;0,F139*'2024-25 PSES Compliance'!$G$14,0),3)</f>
        <v>-3.1E-2</v>
      </c>
      <c r="I139" s="174">
        <f t="shared" si="33"/>
        <v>0.56240928882438312</v>
      </c>
      <c r="J139" s="174">
        <f t="shared" si="34"/>
        <v>0</v>
      </c>
      <c r="K139" s="161">
        <f>VLOOKUP($A139,'Enroll Data as of January 2025'!$A$3:$M$322,6,FALSE)</f>
        <v>2.0009999999999999</v>
      </c>
      <c r="L139" s="161">
        <f>VLOOKUP($A139,'Enroll Data as of January 2025'!$A$3:$M$322,7,FALSE)</f>
        <v>0.31800000000000006</v>
      </c>
      <c r="M139" s="161">
        <f>VLOOKUP($A139,'Enroll Data as of January 2025'!$A$3:$M$322,8,FALSE)</f>
        <v>0.107</v>
      </c>
      <c r="N139" s="161">
        <f>VLOOKUP($A139,'Enroll Data as of January 2025'!$A$3:$M$322,9,FALSE)</f>
        <v>0.91700000000000004</v>
      </c>
      <c r="O139" s="165">
        <f t="shared" si="35"/>
        <v>3.343</v>
      </c>
      <c r="P139" s="161">
        <f>VLOOKUP($A139,'Enroll Data as of January 2025'!$A$3:$M$322,11,FALSE)</f>
        <v>0.125</v>
      </c>
      <c r="Q139" s="161">
        <f>VLOOKUP($A139,'Enroll Data as of January 2025'!$A$3:$M$322,12,FALSE)</f>
        <v>7.0999999999999994E-2</v>
      </c>
      <c r="R139" s="165">
        <f t="shared" si="36"/>
        <v>0.19600000000000001</v>
      </c>
      <c r="S139" s="267">
        <f>IFERROR(VLOOKUP($A139,Supp_39,14,FALSE),0)+IFERROR(SUMPRODUCT(VLOOKUP($A139,S275_01,{14,15,16},FALSE)),0)+IFERROR(SUMPRODUCT(VLOOKUP($A139,S275_97,{14,15,16},FALSE)),0)+IFERROR(ROUND(VLOOKUP($A139,S275_21,14,FALSE)*VLOOKUP($A139,'3121% SY'!$C$3:$M$324,11,FALSE),3),0)+IFERROR(ROUND(VLOOKUP($A139,S275_21,15,FALSE)*VLOOKUP($A139,'3121% SY'!$C$3:$M$324,11,FALSE),3),0)+IFERROR(ROUND(VLOOKUP($A139,S275_21,16,FALSE)*VLOOKUP($A139,'3121% SY'!$C$3:$M$324,11,FALSE),3),0)+IFERROR(VLOOKUP($A139,S275_09,6,FALSE),0)</f>
        <v>1.55</v>
      </c>
      <c r="T139" s="267">
        <f>IFERROR(VLOOKUP($A139,Supp_42,14,FALSE),0)+IFERROR(SUMPRODUCT(VLOOKUP($A139,S275_01,{17,18,19},FALSE)),0)+IFERROR(SUMPRODUCT(VLOOKUP($A139,S275_97,{17,18,19},FALSE)),0)+IFERROR(ROUND(VLOOKUP($A139,S275_21,17,FALSE)*VLOOKUP($A139,'3121% SY'!$C$3:$M$324,11,FALSE),3),0)+IFERROR(ROUND(VLOOKUP($A139,S275_21,18,FALSE)*VLOOKUP($A139,'3121% SY'!$C$3:$M$324,11,FALSE),3),0)+IFERROR(ROUND(VLOOKUP($A139,S275_21,19,FALSE)*VLOOKUP($A139,'3121% SY'!$C$3:$M$324,11,FALSE),3),0)+IFERROR(VLOOKUP($A139,S275_09,7,FALSE),0)</f>
        <v>0</v>
      </c>
      <c r="U139" s="267">
        <f>IFERROR(VLOOKUP($A139,Supp_43,14,FALSE),0)+IFERROR(SUMPRODUCT(VLOOKUP($A139,S275_01,{20,21,22},FALSE)),0)+IFERROR(SUMPRODUCT(VLOOKUP($A139,S275_97,{20,21,22},FALSE)),0)+IFERROR(ROUND(VLOOKUP($A139,S275_21,20,FALSE)*VLOOKUP($A139,'3121% SY'!$C$3:$M$324,11,FALSE),3),0)+IFERROR(ROUND(VLOOKUP($A139,S275_21,21,FALSE)*VLOOKUP($A139,'3121% SY'!$C$3:$M$324,11,FALSE),3),0)+IFERROR(ROUND(VLOOKUP($A139,S275_21,22,FALSE)*VLOOKUP($A139,'3121% SY'!$C$3:$M$324,11,FALSE),3),0)+IFERROR(VLOOKUP($A139,S275_09,8,FALSE),0)</f>
        <v>0</v>
      </c>
      <c r="V139" s="267">
        <f>IFERROR(VLOOKUP($A139,Supp_44,14,FALSE),0)+IFERROR(SUMPRODUCT(VLOOKUP($A139,S275_01,{23,24,25},FALSE)),0)+IFERROR(SUMPRODUCT(VLOOKUP($A139,S275_97,{23,24,25},FALSE)),0)+IFERROR(ROUND(VLOOKUP($A139,S275_21,23,FALSE)*VLOOKUP($A139,'3121% SY'!$C$3:$M$324,11,FALSE),3),0)+IFERROR(ROUND(VLOOKUP($A139,S275_21,24,FALSE)*VLOOKUP($A139,'3121% SY'!$C$3:$M$324,11,FALSE),3),0)+IFERROR(ROUND(VLOOKUP($A139,S275_21,25,FALSE)*VLOOKUP($A139,'3121% SY'!$C$3:$M$324,11,FALSE),3),0)+IFERROR(VLOOKUP($A139,S275_09,9,FALSE),0)</f>
        <v>0</v>
      </c>
      <c r="W139" s="267">
        <f>IFERROR(VLOOKUP($A139,Supp_45,14,FALSE),0)+IFERROR(SUMPRODUCT(VLOOKUP($A139,S275_01,{26,27,28},FALSE)),0)+IFERROR(SUMPRODUCT(VLOOKUP($A139,S275_97,{26,27,28},FALSE)),0)+IFERROR(ROUND(VLOOKUP($A139,S275_21,26,FALSE)*VLOOKUP($A139,'3121% SY'!$C$3:$M$324,11,FALSE),3),0)+IFERROR(ROUND(VLOOKUP($A139,S275_21,27,FALSE)*VLOOKUP($A139,'3121% SY'!$C$3:$M$324,11,FALSE),3),0)+IFERROR(ROUND(VLOOKUP($A139,S275_21,28,FALSE)*VLOOKUP($A139,'3121% SY'!$C$3:$M$324,11,FALSE),3),0)+IFERROR(VLOOKUP($A139,S275_09,10,FALSE),0)</f>
        <v>0</v>
      </c>
      <c r="X139" s="267">
        <f>IFERROR(VLOOKUP($A139,Supp_46,14,FALSE),0)+IFERROR(SUMPRODUCT(VLOOKUP($A139,S275_01,{29,30,31},FALSE)),0)+IFERROR(SUMPRODUCT(VLOOKUP($A139,S275_97,{29,30,31},FALSE)),0)+IFERROR(ROUND(VLOOKUP($A139,S275_21,29,FALSE)*VLOOKUP($A139,'3121% SY'!$C$3:$M$324,11,FALSE),3),0)+IFERROR(ROUND(VLOOKUP($A139,S275_21,30,FALSE)*VLOOKUP($A139,'3121% SY'!$C$3:$M$324,11,FALSE),3),0)+IFERROR(ROUND(VLOOKUP($A139,S275_21,31,FALSE)*VLOOKUP($A139,'3121% SY'!$C$3:$M$324,11,FALSE),3),0)+IFERROR(VLOOKUP($A139,S275_09,11,FALSE),0)</f>
        <v>0</v>
      </c>
      <c r="Y139" s="267">
        <f>IFERROR(VLOOKUP($A139,Supp_47,14,FALSE),0)+IFERROR(SUMPRODUCT(VLOOKUP($A139,S275_01,{32,33,34},FALSE)),0)+IFERROR(SUMPRODUCT(VLOOKUP($A139,S275_97,{32,33,34},FALSE)),0)+IFERROR(ROUND(VLOOKUP($A139,S275_21,32,FALSE)*VLOOKUP($A139,'3121% SY'!$C$3:$M$324,11,FALSE),3),0)+IFERROR(ROUND(VLOOKUP($A139,S275_21,33,FALSE)*VLOOKUP($A139,'3121% SY'!$C$3:$M$324,11,FALSE),3),0)+IFERROR(ROUND(VLOOKUP($A139,S275_21,34,FALSE)*VLOOKUP($A139,'3121% SY'!$C$3:$M$324,11,FALSE),3),0)+IFERROR(VLOOKUP($A139,S275_09,12,FALSE),0)</f>
        <v>0</v>
      </c>
      <c r="Z139" s="267">
        <f>IFERROR(VLOOKUP($A139,Supp_48,14,FALSE),0)+IFERROR(SUMPRODUCT(VLOOKUP($A139,S275_01,{35,36,37},FALSE)),0)+IFERROR(SUMPRODUCT(VLOOKUP($A139,S275_97,{35,36,37},FALSE)),0)+IFERROR(ROUND(VLOOKUP($A139,S275_21,35,FALSE)*VLOOKUP($A139,'3121% SY'!$C$3:$M$324,11,FALSE),3),0)+IFERROR(ROUND(VLOOKUP($A139,S275_21,36,FALSE)*VLOOKUP($A139,'3121% SY'!$C$3:$M$324,11,FALSE),3),0)+IFERROR(ROUND(VLOOKUP($A139,S275_21,37,FALSE)*VLOOKUP($A139,'3121% SY'!$C$3:$M$324,11,FALSE),3),0)+IFERROR(VLOOKUP($A139,S275_09,13,FALSE),0)</f>
        <v>0</v>
      </c>
      <c r="AA139" s="267">
        <f>IFERROR(VLOOKUP($A139,Supp_49,14,FALSE),0)+IFERROR(SUMPRODUCT(VLOOKUP($A139,S275_01,{38,39,40},FALSE)),0)+IFERROR(SUMPRODUCT(VLOOKUP($A139,S275_97,{38,39,40},FALSE)),0)+IFERROR(ROUND(VLOOKUP($A139,S275_21,38,FALSE)*VLOOKUP($A139,'3121% SY'!$C$3:$M$324,11,FALSE),3),0)+IFERROR(ROUND(VLOOKUP($A139,S275_21,39,FALSE)*VLOOKUP($A139,'3121% SY'!$C$3:$M$324,11,FALSE),3),0)+IFERROR(ROUND(VLOOKUP($A139,S275_21,40,FALSE)*VLOOKUP($A139,'3121% SY'!$C$3:$M$324,11,FALSE),3),0)+IFERROR(VLOOKUP($A139,S275_09,14,FALSE),0)</f>
        <v>0</v>
      </c>
      <c r="AB139" s="267">
        <f>IFERROR(VLOOKUP($A139,Supp_64,14,FALSE),0)+IFERROR(SUMPRODUCT(VLOOKUP($A139,S275_01,{41,42,43},FALSE)),0)+IFERROR(SUMPRODUCT(VLOOKUP($A139,S275_97,{41,42,43},FALSE)),0)+IFERROR(ROUND(VLOOKUP($A139,S275_21,41,FALSE)*VLOOKUP($A139,'3121% SY'!$C$3:$M$324,11,FALSE),3),0)+IFERROR(ROUND(VLOOKUP($A139,S275_21,42,FALSE)*VLOOKUP($A139,'3121% SY'!$C$3:$M$324,11,FALSE),3),0)+IFERROR(ROUND(VLOOKUP($A139,S275_21,43,FALSE)*VLOOKUP($A139,'3121% SY'!$C$3:$M$324,11,FALSE),3),0)+IFERROR(VLOOKUP($A139,S275_09,15,FALSE),0)</f>
        <v>0</v>
      </c>
      <c r="AC139" s="268">
        <f t="shared" si="37"/>
        <v>1.55</v>
      </c>
      <c r="AD139" s="267">
        <f>IFERROR(VLOOKUP($A139,Supp_24,14,FALSE),0)+IFERROR(SUMPRODUCT(VLOOKUP($A139,S275_01,{2,3,4},FALSE)),0)+IFERROR(SUMPRODUCT(VLOOKUP($A139,S275_97,{2,3,4},FALSE)),0)+IFERROR(ROUND(VLOOKUP($A139,S275_21,2,FALSE)*VLOOKUP($A139,'3121% SY'!$C$3:$M$324,11,FALSE),3),0)+IFERROR(ROUND(VLOOKUP($A139,S275_21,3,FALSE)*VLOOKUP($A139,'3121% SY'!$C$3:$M$324,11,FALSE),3),0)+IFERROR(ROUND(VLOOKUP($A139,S275_21,4,FALSE)*VLOOKUP($A139,'3121% SY'!$C$3:$M$324,11,FALSE),3),0)+IFERROR(VLOOKUP($A139,S275_09,2,FALSE),0)</f>
        <v>0</v>
      </c>
      <c r="AE139" s="267">
        <f>IFERROR(VLOOKUP($A139,Supp_25,14,FALSE),0)+IFERROR(SUMPRODUCT(VLOOKUP($A139,S275_01,{5,6,7},FALSE)),0)+IFERROR(SUMPRODUCT(VLOOKUP($A139,S275_97,{5,6,7},FALSE)),0)+IFERROR(ROUND(VLOOKUP($A139,S275_21,5,FALSE)*VLOOKUP($A139,'3121% SY'!$C$3:$M$324,11,FALSE),3),0)+IFERROR(ROUND(VLOOKUP($A139,S275_21,6,FALSE)*VLOOKUP($A139,'3121% SY'!$C$3:$M$324,11,FALSE),3),0)+IFERROR(ROUND(VLOOKUP($A139,S275_21,7,FALSE)*VLOOKUP($A139,'3121% SY'!$C$3:$M$324,11,FALSE),3),0)+IFERROR(VLOOKUP($A139,S275_09,3,FALSE),0)</f>
        <v>0.80800000000000005</v>
      </c>
      <c r="AF139" s="267">
        <f>IFERROR(VLOOKUP($A139,Supp_26,14,FALSE),0)+IFERROR(SUMPRODUCT(VLOOKUP($A139,S275_01,{8,9,10},FALSE)),0)+IFERROR(SUMPRODUCT(VLOOKUP($A139,S275_97,{8,9,10},FALSE)),0)+IFERROR(ROUND(VLOOKUP($A139,S275_21,8,FALSE)*VLOOKUP($A139,'3121% SY'!$C$3:$M$324,11,FALSE),3),0)+IFERROR(ROUND(VLOOKUP($A139,S275_21,9,FALSE)*VLOOKUP($A139,'3121% SY'!$C$3:$M$324,11,FALSE),3),0)+IFERROR(ROUND(VLOOKUP($A139,S275_21,10,FALSE)*VLOOKUP($A139,'3121% SY'!$C$3:$M$324,11,FALSE),3),0)+IFERROR(VLOOKUP($A139,S275_09,4,FALSE),0)</f>
        <v>0.39800000000000002</v>
      </c>
      <c r="AG139" s="267">
        <f>IFERROR(VLOOKUP($A139,Supp_35,14,FALSE),0)+IFERROR(SUMPRODUCT(VLOOKUP($A139,S275_01,{11,12,13},FALSE)),0)+IFERROR(SUMPRODUCT(VLOOKUP($A139,S275_97,{11,12,13},FALSE)),0)+IFERROR(ROUND(VLOOKUP($A139,S275_21,11,FALSE)*VLOOKUP($A139,'3121% SY'!$C$3:$M$324,11,FALSE),3),0)+IFERROR(ROUND(VLOOKUP($A139,S275_21,12,FALSE)*VLOOKUP($A139,'3121% SY'!$C$3:$M$324,11,FALSE),3),0)+IFERROR(ROUND(VLOOKUP($A139,S275_21,13,FALSE)*VLOOKUP($A139,'3121% SY'!$C$3:$M$324,11,FALSE),3),0)+IFERROR(VLOOKUP($A139,S275_09,5,FALSE),0)</f>
        <v>0</v>
      </c>
      <c r="AH139" s="165">
        <f t="shared" si="38"/>
        <v>1.206</v>
      </c>
      <c r="AI139" s="161">
        <f>IFERROR(VLOOKUP(A139,'Supp Staff Data'!A:ER,148,FALSE),0)+AB139</f>
        <v>0</v>
      </c>
      <c r="AJ139" s="174">
        <v>1</v>
      </c>
      <c r="AK139" s="25">
        <f>VLOOKUP(A139,'Enroll Data as of January 2025'!$A$3:$T$323,20,FALSE)-F139</f>
        <v>0</v>
      </c>
    </row>
    <row r="140" spans="1:37" x14ac:dyDescent="0.25">
      <c r="A140" s="171" t="s">
        <v>206</v>
      </c>
      <c r="B140" t="s">
        <v>501</v>
      </c>
      <c r="C140" s="173" t="s">
        <v>1086</v>
      </c>
      <c r="D140" s="259">
        <f t="shared" si="30"/>
        <v>2.6049999999999995</v>
      </c>
      <c r="E140" s="259">
        <f t="shared" si="31"/>
        <v>2.65</v>
      </c>
      <c r="F140" s="262">
        <f t="shared" si="32"/>
        <v>4.4999999999999998E-2</v>
      </c>
      <c r="G140" s="161">
        <f>ROUND(IF(F140&lt;0,F140*'2024-25 PSES Compliance'!$G$13,0),3)</f>
        <v>0</v>
      </c>
      <c r="H140" s="161">
        <f>ROUND(IF(F140&lt;0,F140*'2024-25 PSES Compliance'!$G$14,0),3)</f>
        <v>0</v>
      </c>
      <c r="I140" s="174">
        <f t="shared" si="33"/>
        <v>0.40882547169811317</v>
      </c>
      <c r="J140" s="174">
        <f t="shared" si="34"/>
        <v>0</v>
      </c>
      <c r="K140" s="161">
        <f>VLOOKUP($A140,'Enroll Data as of January 2025'!$A$3:$M$322,6,FALSE)</f>
        <v>1.5129999999999999</v>
      </c>
      <c r="L140" s="161">
        <f>VLOOKUP($A140,'Enroll Data as of January 2025'!$A$3:$M$322,7,FALSE)</f>
        <v>0.22</v>
      </c>
      <c r="M140" s="161">
        <f>VLOOKUP($A140,'Enroll Data as of January 2025'!$A$3:$M$322,8,FALSE)</f>
        <v>7.3999999999999996E-2</v>
      </c>
      <c r="N140" s="161">
        <f>VLOOKUP($A140,'Enroll Data as of January 2025'!$A$3:$M$322,9,FALSE)</f>
        <v>0.65999999999999992</v>
      </c>
      <c r="O140" s="165">
        <f t="shared" si="35"/>
        <v>2.4669999999999996</v>
      </c>
      <c r="P140" s="161">
        <f>VLOOKUP($A140,'Enroll Data as of January 2025'!$A$3:$M$322,11,FALSE)</f>
        <v>9.0999999999999998E-2</v>
      </c>
      <c r="Q140" s="161">
        <f>VLOOKUP($A140,'Enroll Data as of January 2025'!$A$3:$M$322,12,FALSE)</f>
        <v>4.7E-2</v>
      </c>
      <c r="R140" s="165">
        <f t="shared" si="36"/>
        <v>0.13800000000000001</v>
      </c>
      <c r="S140" s="267">
        <f>IFERROR(VLOOKUP($A140,Supp_39,14,FALSE),0)+IFERROR(SUMPRODUCT(VLOOKUP($A140,S275_01,{14,15,16},FALSE)),0)+IFERROR(SUMPRODUCT(VLOOKUP($A140,S275_97,{14,15,16},FALSE)),0)+IFERROR(ROUND(VLOOKUP($A140,S275_21,14,FALSE)*VLOOKUP($A140,'3121% SY'!$C$3:$M$324,11,FALSE),3),0)+IFERROR(ROUND(VLOOKUP($A140,S275_21,15,FALSE)*VLOOKUP($A140,'3121% SY'!$C$3:$M$324,11,FALSE),3),0)+IFERROR(ROUND(VLOOKUP($A140,S275_21,16,FALSE)*VLOOKUP($A140,'3121% SY'!$C$3:$M$324,11,FALSE),3),0)+IFERROR(VLOOKUP($A140,S275_09,6,FALSE),0)</f>
        <v>0.5</v>
      </c>
      <c r="T140" s="267">
        <f>IFERROR(VLOOKUP($A140,Supp_42,14,FALSE),0)+IFERROR(SUMPRODUCT(VLOOKUP($A140,S275_01,{17,18,19},FALSE)),0)+IFERROR(SUMPRODUCT(VLOOKUP($A140,S275_97,{17,18,19},FALSE)),0)+IFERROR(ROUND(VLOOKUP($A140,S275_21,17,FALSE)*VLOOKUP($A140,'3121% SY'!$C$3:$M$324,11,FALSE),3),0)+IFERROR(ROUND(VLOOKUP($A140,S275_21,18,FALSE)*VLOOKUP($A140,'3121% SY'!$C$3:$M$324,11,FALSE),3),0)+IFERROR(ROUND(VLOOKUP($A140,S275_21,19,FALSE)*VLOOKUP($A140,'3121% SY'!$C$3:$M$324,11,FALSE),3),0)+IFERROR(VLOOKUP($A140,S275_09,7,FALSE),0)</f>
        <v>0.5</v>
      </c>
      <c r="U140" s="267">
        <f>IFERROR(VLOOKUP($A140,Supp_43,14,FALSE),0)+IFERROR(SUMPRODUCT(VLOOKUP($A140,S275_01,{20,21,22},FALSE)),0)+IFERROR(SUMPRODUCT(VLOOKUP($A140,S275_97,{20,21,22},FALSE)),0)+IFERROR(ROUND(VLOOKUP($A140,S275_21,20,FALSE)*VLOOKUP($A140,'3121% SY'!$C$3:$M$324,11,FALSE),3),0)+IFERROR(ROUND(VLOOKUP($A140,S275_21,21,FALSE)*VLOOKUP($A140,'3121% SY'!$C$3:$M$324,11,FALSE),3),0)+IFERROR(ROUND(VLOOKUP($A140,S275_21,22,FALSE)*VLOOKUP($A140,'3121% SY'!$C$3:$M$324,11,FALSE),3),0)+IFERROR(VLOOKUP($A140,S275_09,8,FALSE),0)</f>
        <v>0</v>
      </c>
      <c r="V140" s="267">
        <f>IFERROR(VLOOKUP($A140,Supp_44,14,FALSE),0)+IFERROR(SUMPRODUCT(VLOOKUP($A140,S275_01,{23,24,25},FALSE)),0)+IFERROR(SUMPRODUCT(VLOOKUP($A140,S275_97,{23,24,25},FALSE)),0)+IFERROR(ROUND(VLOOKUP($A140,S275_21,23,FALSE)*VLOOKUP($A140,'3121% SY'!$C$3:$M$324,11,FALSE),3),0)+IFERROR(ROUND(VLOOKUP($A140,S275_21,24,FALSE)*VLOOKUP($A140,'3121% SY'!$C$3:$M$324,11,FALSE),3),0)+IFERROR(ROUND(VLOOKUP($A140,S275_21,25,FALSE)*VLOOKUP($A140,'3121% SY'!$C$3:$M$324,11,FALSE),3),0)+IFERROR(VLOOKUP($A140,S275_09,9,FALSE),0)</f>
        <v>0</v>
      </c>
      <c r="W140" s="267">
        <f>IFERROR(VLOOKUP($A140,Supp_45,14,FALSE),0)+IFERROR(SUMPRODUCT(VLOOKUP($A140,S275_01,{26,27,28},FALSE)),0)+IFERROR(SUMPRODUCT(VLOOKUP($A140,S275_97,{26,27,28},FALSE)),0)+IFERROR(ROUND(VLOOKUP($A140,S275_21,26,FALSE)*VLOOKUP($A140,'3121% SY'!$C$3:$M$324,11,FALSE),3),0)+IFERROR(ROUND(VLOOKUP($A140,S275_21,27,FALSE)*VLOOKUP($A140,'3121% SY'!$C$3:$M$324,11,FALSE),3),0)+IFERROR(ROUND(VLOOKUP($A140,S275_21,28,FALSE)*VLOOKUP($A140,'3121% SY'!$C$3:$M$324,11,FALSE),3),0)+IFERROR(VLOOKUP($A140,S275_09,10,FALSE),0)</f>
        <v>0.22500000000000001</v>
      </c>
      <c r="X140" s="267">
        <f>IFERROR(VLOOKUP($A140,Supp_46,14,FALSE),0)+IFERROR(SUMPRODUCT(VLOOKUP($A140,S275_01,{29,30,31},FALSE)),0)+IFERROR(SUMPRODUCT(VLOOKUP($A140,S275_97,{29,30,31},FALSE)),0)+IFERROR(ROUND(VLOOKUP($A140,S275_21,29,FALSE)*VLOOKUP($A140,'3121% SY'!$C$3:$M$324,11,FALSE),3),0)+IFERROR(ROUND(VLOOKUP($A140,S275_21,30,FALSE)*VLOOKUP($A140,'3121% SY'!$C$3:$M$324,11,FALSE),3),0)+IFERROR(ROUND(VLOOKUP($A140,S275_21,31,FALSE)*VLOOKUP($A140,'3121% SY'!$C$3:$M$324,11,FALSE),3),0)+IFERROR(VLOOKUP($A140,S275_09,11,FALSE),0)</f>
        <v>0.4</v>
      </c>
      <c r="Y140" s="267">
        <f>IFERROR(VLOOKUP($A140,Supp_47,14,FALSE),0)+IFERROR(SUMPRODUCT(VLOOKUP($A140,S275_01,{32,33,34},FALSE)),0)+IFERROR(SUMPRODUCT(VLOOKUP($A140,S275_97,{32,33,34},FALSE)),0)+IFERROR(ROUND(VLOOKUP($A140,S275_21,32,FALSE)*VLOOKUP($A140,'3121% SY'!$C$3:$M$324,11,FALSE),3),0)+IFERROR(ROUND(VLOOKUP($A140,S275_21,33,FALSE)*VLOOKUP($A140,'3121% SY'!$C$3:$M$324,11,FALSE),3),0)+IFERROR(ROUND(VLOOKUP($A140,S275_21,34,FALSE)*VLOOKUP($A140,'3121% SY'!$C$3:$M$324,11,FALSE),3),0)+IFERROR(VLOOKUP($A140,S275_09,12,FALSE),0)</f>
        <v>0</v>
      </c>
      <c r="Z140" s="267">
        <f>IFERROR(VLOOKUP($A140,Supp_48,14,FALSE),0)+IFERROR(SUMPRODUCT(VLOOKUP($A140,S275_01,{35,36,37},FALSE)),0)+IFERROR(SUMPRODUCT(VLOOKUP($A140,S275_97,{35,36,37},FALSE)),0)+IFERROR(ROUND(VLOOKUP($A140,S275_21,35,FALSE)*VLOOKUP($A140,'3121% SY'!$C$3:$M$324,11,FALSE),3),0)+IFERROR(ROUND(VLOOKUP($A140,S275_21,36,FALSE)*VLOOKUP($A140,'3121% SY'!$C$3:$M$324,11,FALSE),3),0)+IFERROR(ROUND(VLOOKUP($A140,S275_21,37,FALSE)*VLOOKUP($A140,'3121% SY'!$C$3:$M$324,11,FALSE),3),0)+IFERROR(VLOOKUP($A140,S275_09,13,FALSE),0)</f>
        <v>0</v>
      </c>
      <c r="AA140" s="267">
        <f>IFERROR(VLOOKUP($A140,Supp_49,14,FALSE),0)+IFERROR(SUMPRODUCT(VLOOKUP($A140,S275_01,{38,39,40},FALSE)),0)+IFERROR(SUMPRODUCT(VLOOKUP($A140,S275_97,{38,39,40},FALSE)),0)+IFERROR(ROUND(VLOOKUP($A140,S275_21,38,FALSE)*VLOOKUP($A140,'3121% SY'!$C$3:$M$324,11,FALSE),3),0)+IFERROR(ROUND(VLOOKUP($A140,S275_21,39,FALSE)*VLOOKUP($A140,'3121% SY'!$C$3:$M$324,11,FALSE),3),0)+IFERROR(ROUND(VLOOKUP($A140,S275_21,40,FALSE)*VLOOKUP($A140,'3121% SY'!$C$3:$M$324,11,FALSE),3),0)+IFERROR(VLOOKUP($A140,S275_09,14,FALSE),0)</f>
        <v>0</v>
      </c>
      <c r="AB140" s="267">
        <f>IFERROR(VLOOKUP($A140,Supp_64,14,FALSE),0)+IFERROR(SUMPRODUCT(VLOOKUP($A140,S275_01,{41,42,43},FALSE)),0)+IFERROR(SUMPRODUCT(VLOOKUP($A140,S275_97,{41,42,43},FALSE)),0)+IFERROR(ROUND(VLOOKUP($A140,S275_21,41,FALSE)*VLOOKUP($A140,'3121% SY'!$C$3:$M$324,11,FALSE),3),0)+IFERROR(ROUND(VLOOKUP($A140,S275_21,42,FALSE)*VLOOKUP($A140,'3121% SY'!$C$3:$M$324,11,FALSE),3),0)+IFERROR(ROUND(VLOOKUP($A140,S275_21,43,FALSE)*VLOOKUP($A140,'3121% SY'!$C$3:$M$324,11,FALSE),3),0)+IFERROR(VLOOKUP($A140,S275_09,15,FALSE),0)</f>
        <v>0</v>
      </c>
      <c r="AC140" s="268">
        <f t="shared" si="37"/>
        <v>1.625</v>
      </c>
      <c r="AD140" s="267">
        <f>IFERROR(VLOOKUP($A140,Supp_24,14,FALSE),0)+IFERROR(SUMPRODUCT(VLOOKUP($A140,S275_01,{2,3,4},FALSE)),0)+IFERROR(SUMPRODUCT(VLOOKUP($A140,S275_97,{2,3,4},FALSE)),0)+IFERROR(ROUND(VLOOKUP($A140,S275_21,2,FALSE)*VLOOKUP($A140,'3121% SY'!$C$3:$M$324,11,FALSE),3),0)+IFERROR(ROUND(VLOOKUP($A140,S275_21,3,FALSE)*VLOOKUP($A140,'3121% SY'!$C$3:$M$324,11,FALSE),3),0)+IFERROR(ROUND(VLOOKUP($A140,S275_21,4,FALSE)*VLOOKUP($A140,'3121% SY'!$C$3:$M$324,11,FALSE),3),0)+IFERROR(VLOOKUP($A140,S275_09,2,FALSE),0)</f>
        <v>0</v>
      </c>
      <c r="AE140" s="267">
        <f>IFERROR(VLOOKUP($A140,Supp_25,14,FALSE),0)+IFERROR(SUMPRODUCT(VLOOKUP($A140,S275_01,{5,6,7},FALSE)),0)+IFERROR(SUMPRODUCT(VLOOKUP($A140,S275_97,{5,6,7},FALSE)),0)+IFERROR(ROUND(VLOOKUP($A140,S275_21,5,FALSE)*VLOOKUP($A140,'3121% SY'!$C$3:$M$324,11,FALSE),3),0)+IFERROR(ROUND(VLOOKUP($A140,S275_21,6,FALSE)*VLOOKUP($A140,'3121% SY'!$C$3:$M$324,11,FALSE),3),0)+IFERROR(ROUND(VLOOKUP($A140,S275_21,7,FALSE)*VLOOKUP($A140,'3121% SY'!$C$3:$M$324,11,FALSE),3),0)+IFERROR(VLOOKUP($A140,S275_09,3,FALSE),0)</f>
        <v>0.873</v>
      </c>
      <c r="AF140" s="267">
        <f>IFERROR(VLOOKUP($A140,Supp_26,14,FALSE),0)+IFERROR(SUMPRODUCT(VLOOKUP($A140,S275_01,{8,9,10},FALSE)),0)+IFERROR(SUMPRODUCT(VLOOKUP($A140,S275_97,{8,9,10},FALSE)),0)+IFERROR(ROUND(VLOOKUP($A140,S275_21,8,FALSE)*VLOOKUP($A140,'3121% SY'!$C$3:$M$324,11,FALSE),3),0)+IFERROR(ROUND(VLOOKUP($A140,S275_21,9,FALSE)*VLOOKUP($A140,'3121% SY'!$C$3:$M$324,11,FALSE),3),0)+IFERROR(ROUND(VLOOKUP($A140,S275_21,10,FALSE)*VLOOKUP($A140,'3121% SY'!$C$3:$M$324,11,FALSE),3),0)+IFERROR(VLOOKUP($A140,S275_09,4,FALSE),0)</f>
        <v>0.152</v>
      </c>
      <c r="AG140" s="267">
        <f>IFERROR(VLOOKUP($A140,Supp_35,14,FALSE),0)+IFERROR(SUMPRODUCT(VLOOKUP($A140,S275_01,{11,12,13},FALSE)),0)+IFERROR(SUMPRODUCT(VLOOKUP($A140,S275_97,{11,12,13},FALSE)),0)+IFERROR(ROUND(VLOOKUP($A140,S275_21,11,FALSE)*VLOOKUP($A140,'3121% SY'!$C$3:$M$324,11,FALSE),3),0)+IFERROR(ROUND(VLOOKUP($A140,S275_21,12,FALSE)*VLOOKUP($A140,'3121% SY'!$C$3:$M$324,11,FALSE),3),0)+IFERROR(ROUND(VLOOKUP($A140,S275_21,13,FALSE)*VLOOKUP($A140,'3121% SY'!$C$3:$M$324,11,FALSE),3),0)+IFERROR(VLOOKUP($A140,S275_09,5,FALSE),0)</f>
        <v>0</v>
      </c>
      <c r="AH140" s="165">
        <f t="shared" si="38"/>
        <v>1.0249999999999999</v>
      </c>
      <c r="AI140" s="161">
        <f>IFERROR(VLOOKUP(A140,'Supp Staff Data'!A:ER,148,FALSE),0)+AB140</f>
        <v>0</v>
      </c>
      <c r="AJ140" s="174">
        <v>0.66669999999999996</v>
      </c>
      <c r="AK140" s="25">
        <f>VLOOKUP(A140,'Enroll Data as of January 2025'!$A$3:$T$323,20,FALSE)-F140</f>
        <v>0</v>
      </c>
    </row>
    <row r="141" spans="1:37" x14ac:dyDescent="0.25">
      <c r="A141" s="171" t="s">
        <v>217</v>
      </c>
      <c r="B141" t="s">
        <v>512</v>
      </c>
      <c r="C141" s="173" t="s">
        <v>1077</v>
      </c>
      <c r="D141" s="259">
        <f t="shared" si="30"/>
        <v>28.538</v>
      </c>
      <c r="E141" s="259">
        <f t="shared" si="31"/>
        <v>23.434999999999999</v>
      </c>
      <c r="F141" s="262">
        <f t="shared" si="32"/>
        <v>-5.1029999999999998</v>
      </c>
      <c r="G141" s="161">
        <f>ROUND(IF(F141&lt;0,F141*'2024-25 PSES Compliance'!$G$13,0),3)</f>
        <v>-4.899</v>
      </c>
      <c r="H141" s="161">
        <f>ROUND(IF(F141&lt;0,F141*'2024-25 PSES Compliance'!$G$14,0),3)</f>
        <v>-0.20399999999999999</v>
      </c>
      <c r="I141" s="174">
        <f t="shared" si="33"/>
        <v>0</v>
      </c>
      <c r="J141" s="174">
        <f t="shared" si="34"/>
        <v>0</v>
      </c>
      <c r="K141" s="161">
        <f>VLOOKUP($A141,'Enroll Data as of January 2025'!$A$3:$M$322,6,FALSE)</f>
        <v>16.265000000000001</v>
      </c>
      <c r="L141" s="161">
        <f>VLOOKUP($A141,'Enroll Data as of January 2025'!$A$3:$M$322,7,FALSE)</f>
        <v>2.5450000000000004</v>
      </c>
      <c r="M141" s="161">
        <f>VLOOKUP($A141,'Enroll Data as of January 2025'!$A$3:$M$322,8,FALSE)</f>
        <v>0.85499999999999998</v>
      </c>
      <c r="N141" s="161">
        <f>VLOOKUP($A141,'Enroll Data as of January 2025'!$A$3:$M$322,9,FALSE)</f>
        <v>7.31</v>
      </c>
      <c r="O141" s="165">
        <f t="shared" si="35"/>
        <v>26.975000000000001</v>
      </c>
      <c r="P141" s="161">
        <f>VLOOKUP($A141,'Enroll Data as of January 2025'!$A$3:$M$322,11,FALSE)</f>
        <v>1.0010000000000001</v>
      </c>
      <c r="Q141" s="161">
        <f>VLOOKUP($A141,'Enroll Data as of January 2025'!$A$3:$M$322,12,FALSE)</f>
        <v>0.56200000000000006</v>
      </c>
      <c r="R141" s="165">
        <f t="shared" si="36"/>
        <v>1.5630000000000002</v>
      </c>
      <c r="S141" s="267">
        <f>IFERROR(VLOOKUP($A141,Supp_39,14,FALSE),0)+IFERROR(SUMPRODUCT(VLOOKUP($A141,S275_01,{14,15,16},FALSE)),0)+IFERROR(SUMPRODUCT(VLOOKUP($A141,S275_97,{14,15,16},FALSE)),0)+IFERROR(ROUND(VLOOKUP($A141,S275_21,14,FALSE)*VLOOKUP($A141,'3121% SY'!$C$3:$M$324,11,FALSE),3),0)+IFERROR(ROUND(VLOOKUP($A141,S275_21,15,FALSE)*VLOOKUP($A141,'3121% SY'!$C$3:$M$324,11,FALSE),3),0)+IFERROR(ROUND(VLOOKUP($A141,S275_21,16,FALSE)*VLOOKUP($A141,'3121% SY'!$C$3:$M$324,11,FALSE),3),0)+IFERROR(VLOOKUP($A141,S275_09,6,FALSE),0)</f>
        <v>9.5</v>
      </c>
      <c r="T141" s="267">
        <f>IFERROR(VLOOKUP($A141,Supp_42,14,FALSE),0)+IFERROR(SUMPRODUCT(VLOOKUP($A141,S275_01,{17,18,19},FALSE)),0)+IFERROR(SUMPRODUCT(VLOOKUP($A141,S275_97,{17,18,19},FALSE)),0)+IFERROR(ROUND(VLOOKUP($A141,S275_21,17,FALSE)*VLOOKUP($A141,'3121% SY'!$C$3:$M$324,11,FALSE),3),0)+IFERROR(ROUND(VLOOKUP($A141,S275_21,18,FALSE)*VLOOKUP($A141,'3121% SY'!$C$3:$M$324,11,FALSE),3),0)+IFERROR(ROUND(VLOOKUP($A141,S275_21,19,FALSE)*VLOOKUP($A141,'3121% SY'!$C$3:$M$324,11,FALSE),3),0)+IFERROR(VLOOKUP($A141,S275_09,7,FALSE),0)</f>
        <v>1.7</v>
      </c>
      <c r="U141" s="267">
        <f>IFERROR(VLOOKUP($A141,Supp_43,14,FALSE),0)+IFERROR(SUMPRODUCT(VLOOKUP($A141,S275_01,{20,21,22},FALSE)),0)+IFERROR(SUMPRODUCT(VLOOKUP($A141,S275_97,{20,21,22},FALSE)),0)+IFERROR(ROUND(VLOOKUP($A141,S275_21,20,FALSE)*VLOOKUP($A141,'3121% SY'!$C$3:$M$324,11,FALSE),3),0)+IFERROR(ROUND(VLOOKUP($A141,S275_21,21,FALSE)*VLOOKUP($A141,'3121% SY'!$C$3:$M$324,11,FALSE),3),0)+IFERROR(ROUND(VLOOKUP($A141,S275_21,22,FALSE)*VLOOKUP($A141,'3121% SY'!$C$3:$M$324,11,FALSE),3),0)+IFERROR(VLOOKUP($A141,S275_09,8,FALSE),0)</f>
        <v>1.0740000000000001</v>
      </c>
      <c r="V141" s="267">
        <f>IFERROR(VLOOKUP($A141,Supp_44,14,FALSE),0)+IFERROR(SUMPRODUCT(VLOOKUP($A141,S275_01,{23,24,25},FALSE)),0)+IFERROR(SUMPRODUCT(VLOOKUP($A141,S275_97,{23,24,25},FALSE)),0)+IFERROR(ROUND(VLOOKUP($A141,S275_21,23,FALSE)*VLOOKUP($A141,'3121% SY'!$C$3:$M$324,11,FALSE),3),0)+IFERROR(ROUND(VLOOKUP($A141,S275_21,24,FALSE)*VLOOKUP($A141,'3121% SY'!$C$3:$M$324,11,FALSE),3),0)+IFERROR(ROUND(VLOOKUP($A141,S275_21,25,FALSE)*VLOOKUP($A141,'3121% SY'!$C$3:$M$324,11,FALSE),3),0)+IFERROR(VLOOKUP($A141,S275_09,9,FALSE),0)</f>
        <v>0</v>
      </c>
      <c r="W141" s="267">
        <f>IFERROR(VLOOKUP($A141,Supp_45,14,FALSE),0)+IFERROR(SUMPRODUCT(VLOOKUP($A141,S275_01,{26,27,28},FALSE)),0)+IFERROR(SUMPRODUCT(VLOOKUP($A141,S275_97,{26,27,28},FALSE)),0)+IFERROR(ROUND(VLOOKUP($A141,S275_21,26,FALSE)*VLOOKUP($A141,'3121% SY'!$C$3:$M$324,11,FALSE),3),0)+IFERROR(ROUND(VLOOKUP($A141,S275_21,27,FALSE)*VLOOKUP($A141,'3121% SY'!$C$3:$M$324,11,FALSE),3),0)+IFERROR(ROUND(VLOOKUP($A141,S275_21,28,FALSE)*VLOOKUP($A141,'3121% SY'!$C$3:$M$324,11,FALSE),3),0)+IFERROR(VLOOKUP($A141,S275_09,10,FALSE),0)</f>
        <v>2.2559999999999998</v>
      </c>
      <c r="X141" s="267">
        <f>IFERROR(VLOOKUP($A141,Supp_46,14,FALSE),0)+IFERROR(SUMPRODUCT(VLOOKUP($A141,S275_01,{29,30,31},FALSE)),0)+IFERROR(SUMPRODUCT(VLOOKUP($A141,S275_97,{29,30,31},FALSE)),0)+IFERROR(ROUND(VLOOKUP($A141,S275_21,29,FALSE)*VLOOKUP($A141,'3121% SY'!$C$3:$M$324,11,FALSE),3),0)+IFERROR(ROUND(VLOOKUP($A141,S275_21,30,FALSE)*VLOOKUP($A141,'3121% SY'!$C$3:$M$324,11,FALSE),3),0)+IFERROR(ROUND(VLOOKUP($A141,S275_21,31,FALSE)*VLOOKUP($A141,'3121% SY'!$C$3:$M$324,11,FALSE),3),0)+IFERROR(VLOOKUP($A141,S275_09,11,FALSE),0)</f>
        <v>1.07</v>
      </c>
      <c r="Y141" s="267">
        <f>IFERROR(VLOOKUP($A141,Supp_47,14,FALSE),0)+IFERROR(SUMPRODUCT(VLOOKUP($A141,S275_01,{32,33,34},FALSE)),0)+IFERROR(SUMPRODUCT(VLOOKUP($A141,S275_97,{32,33,34},FALSE)),0)+IFERROR(ROUND(VLOOKUP($A141,S275_21,32,FALSE)*VLOOKUP($A141,'3121% SY'!$C$3:$M$324,11,FALSE),3),0)+IFERROR(ROUND(VLOOKUP($A141,S275_21,33,FALSE)*VLOOKUP($A141,'3121% SY'!$C$3:$M$324,11,FALSE),3),0)+IFERROR(ROUND(VLOOKUP($A141,S275_21,34,FALSE)*VLOOKUP($A141,'3121% SY'!$C$3:$M$324,11,FALSE),3),0)+IFERROR(VLOOKUP($A141,S275_09,12,FALSE),0)</f>
        <v>0</v>
      </c>
      <c r="Z141" s="267">
        <f>IFERROR(VLOOKUP($A141,Supp_48,14,FALSE),0)+IFERROR(SUMPRODUCT(VLOOKUP($A141,S275_01,{35,36,37},FALSE)),0)+IFERROR(SUMPRODUCT(VLOOKUP($A141,S275_97,{35,36,37},FALSE)),0)+IFERROR(ROUND(VLOOKUP($A141,S275_21,35,FALSE)*VLOOKUP($A141,'3121% SY'!$C$3:$M$324,11,FALSE),3),0)+IFERROR(ROUND(VLOOKUP($A141,S275_21,36,FALSE)*VLOOKUP($A141,'3121% SY'!$C$3:$M$324,11,FALSE),3),0)+IFERROR(ROUND(VLOOKUP($A141,S275_21,37,FALSE)*VLOOKUP($A141,'3121% SY'!$C$3:$M$324,11,FALSE),3),0)+IFERROR(VLOOKUP($A141,S275_09,13,FALSE),0)</f>
        <v>0.23199999999999998</v>
      </c>
      <c r="AA141" s="267">
        <f>IFERROR(VLOOKUP($A141,Supp_49,14,FALSE),0)+IFERROR(SUMPRODUCT(VLOOKUP($A141,S275_01,{38,39,40},FALSE)),0)+IFERROR(SUMPRODUCT(VLOOKUP($A141,S275_97,{38,39,40},FALSE)),0)+IFERROR(ROUND(VLOOKUP($A141,S275_21,38,FALSE)*VLOOKUP($A141,'3121% SY'!$C$3:$M$324,11,FALSE),3),0)+IFERROR(ROUND(VLOOKUP($A141,S275_21,39,FALSE)*VLOOKUP($A141,'3121% SY'!$C$3:$M$324,11,FALSE),3),0)+IFERROR(ROUND(VLOOKUP($A141,S275_21,40,FALSE)*VLOOKUP($A141,'3121% SY'!$C$3:$M$324,11,FALSE),3),0)+IFERROR(VLOOKUP($A141,S275_09,14,FALSE),0)</f>
        <v>0</v>
      </c>
      <c r="AB141" s="267">
        <f>IFERROR(VLOOKUP($A141,Supp_64,14,FALSE),0)+IFERROR(SUMPRODUCT(VLOOKUP($A141,S275_01,{41,42,43},FALSE)),0)+IFERROR(SUMPRODUCT(VLOOKUP($A141,S275_97,{41,42,43},FALSE)),0)+IFERROR(ROUND(VLOOKUP($A141,S275_21,41,FALSE)*VLOOKUP($A141,'3121% SY'!$C$3:$M$324,11,FALSE),3),0)+IFERROR(ROUND(VLOOKUP($A141,S275_21,42,FALSE)*VLOOKUP($A141,'3121% SY'!$C$3:$M$324,11,FALSE),3),0)+IFERROR(ROUND(VLOOKUP($A141,S275_21,43,FALSE)*VLOOKUP($A141,'3121% SY'!$C$3:$M$324,11,FALSE),3),0)+IFERROR(VLOOKUP($A141,S275_09,15,FALSE),0)</f>
        <v>0</v>
      </c>
      <c r="AC141" s="268">
        <f t="shared" si="37"/>
        <v>15.831999999999999</v>
      </c>
      <c r="AD141" s="267">
        <f>IFERROR(VLOOKUP($A141,Supp_24,14,FALSE),0)+IFERROR(SUMPRODUCT(VLOOKUP($A141,S275_01,{2,3,4},FALSE)),0)+IFERROR(SUMPRODUCT(VLOOKUP($A141,S275_97,{2,3,4},FALSE)),0)+IFERROR(ROUND(VLOOKUP($A141,S275_21,2,FALSE)*VLOOKUP($A141,'3121% SY'!$C$3:$M$324,11,FALSE),3),0)+IFERROR(ROUND(VLOOKUP($A141,S275_21,3,FALSE)*VLOOKUP($A141,'3121% SY'!$C$3:$M$324,11,FALSE),3),0)+IFERROR(ROUND(VLOOKUP($A141,S275_21,4,FALSE)*VLOOKUP($A141,'3121% SY'!$C$3:$M$324,11,FALSE),3),0)+IFERROR(VLOOKUP($A141,S275_09,2,FALSE),0)</f>
        <v>0</v>
      </c>
      <c r="AE141" s="267">
        <f>IFERROR(VLOOKUP($A141,Supp_25,14,FALSE),0)+IFERROR(SUMPRODUCT(VLOOKUP($A141,S275_01,{5,6,7},FALSE)),0)+IFERROR(SUMPRODUCT(VLOOKUP($A141,S275_97,{5,6,7},FALSE)),0)+IFERROR(ROUND(VLOOKUP($A141,S275_21,5,FALSE)*VLOOKUP($A141,'3121% SY'!$C$3:$M$324,11,FALSE),3),0)+IFERROR(ROUND(VLOOKUP($A141,S275_21,6,FALSE)*VLOOKUP($A141,'3121% SY'!$C$3:$M$324,11,FALSE),3),0)+IFERROR(ROUND(VLOOKUP($A141,S275_21,7,FALSE)*VLOOKUP($A141,'3121% SY'!$C$3:$M$324,11,FALSE),3),0)+IFERROR(VLOOKUP($A141,S275_09,3,FALSE),0)</f>
        <v>1.349</v>
      </c>
      <c r="AF141" s="267">
        <f>IFERROR(VLOOKUP($A141,Supp_26,14,FALSE),0)+IFERROR(SUMPRODUCT(VLOOKUP($A141,S275_01,{8,9,10},FALSE)),0)+IFERROR(SUMPRODUCT(VLOOKUP($A141,S275_97,{8,9,10},FALSE)),0)+IFERROR(ROUND(VLOOKUP($A141,S275_21,8,FALSE)*VLOOKUP($A141,'3121% SY'!$C$3:$M$324,11,FALSE),3),0)+IFERROR(ROUND(VLOOKUP($A141,S275_21,9,FALSE)*VLOOKUP($A141,'3121% SY'!$C$3:$M$324,11,FALSE),3),0)+IFERROR(ROUND(VLOOKUP($A141,S275_21,10,FALSE)*VLOOKUP($A141,'3121% SY'!$C$3:$M$324,11,FALSE),3),0)+IFERROR(VLOOKUP($A141,S275_09,4,FALSE),0)</f>
        <v>6.2539999999999996</v>
      </c>
      <c r="AG141" s="267">
        <f>IFERROR(VLOOKUP($A141,Supp_35,14,FALSE),0)+IFERROR(SUMPRODUCT(VLOOKUP($A141,S275_01,{11,12,13},FALSE)),0)+IFERROR(SUMPRODUCT(VLOOKUP($A141,S275_97,{11,12,13},FALSE)),0)+IFERROR(ROUND(VLOOKUP($A141,S275_21,11,FALSE)*VLOOKUP($A141,'3121% SY'!$C$3:$M$324,11,FALSE),3),0)+IFERROR(ROUND(VLOOKUP($A141,S275_21,12,FALSE)*VLOOKUP($A141,'3121% SY'!$C$3:$M$324,11,FALSE),3),0)+IFERROR(ROUND(VLOOKUP($A141,S275_21,13,FALSE)*VLOOKUP($A141,'3121% SY'!$C$3:$M$324,11,FALSE),3),0)+IFERROR(VLOOKUP($A141,S275_09,5,FALSE),0)</f>
        <v>0</v>
      </c>
      <c r="AH141" s="165">
        <f t="shared" si="38"/>
        <v>7.6029999999999998</v>
      </c>
      <c r="AI141" s="161">
        <f>IFERROR(VLOOKUP(A141,'Supp Staff Data'!A:ER,148,FALSE),0)+AB141</f>
        <v>0</v>
      </c>
      <c r="AJ141" s="174">
        <v>0</v>
      </c>
      <c r="AK141" s="25">
        <f>VLOOKUP(A141,'Enroll Data as of January 2025'!$A$3:$T$323,20,FALSE)-F141</f>
        <v>0</v>
      </c>
    </row>
    <row r="142" spans="1:37" x14ac:dyDescent="0.25">
      <c r="A142" s="171" t="s">
        <v>157</v>
      </c>
      <c r="B142" t="s">
        <v>453</v>
      </c>
      <c r="C142" s="173" t="s">
        <v>1077</v>
      </c>
      <c r="D142" s="259">
        <f t="shared" si="30"/>
        <v>0.628</v>
      </c>
      <c r="E142" s="259">
        <f t="shared" si="31"/>
        <v>1.1540000000000001</v>
      </c>
      <c r="F142" s="262">
        <f t="shared" si="32"/>
        <v>0.52600000000000002</v>
      </c>
      <c r="G142" s="161">
        <f>ROUND(IF(F142&lt;0,F142*'2024-25 PSES Compliance'!$G$13,0),3)</f>
        <v>0</v>
      </c>
      <c r="H142" s="161">
        <f>ROUND(IF(F142&lt;0,F142*'2024-25 PSES Compliance'!$G$14,0),3)</f>
        <v>0</v>
      </c>
      <c r="I142" s="174">
        <f t="shared" si="33"/>
        <v>0.96360485268630847</v>
      </c>
      <c r="J142" s="174">
        <f t="shared" si="34"/>
        <v>0</v>
      </c>
      <c r="K142" s="161">
        <f>VLOOKUP($A142,'Enroll Data as of January 2025'!$A$3:$M$322,6,FALSE)</f>
        <v>0.34099999999999997</v>
      </c>
      <c r="L142" s="161">
        <f>VLOOKUP($A142,'Enroll Data as of January 2025'!$A$3:$M$322,7,FALSE)</f>
        <v>6.3E-2</v>
      </c>
      <c r="M142" s="161">
        <f>VLOOKUP($A142,'Enroll Data as of January 2025'!$A$3:$M$322,8,FALSE)</f>
        <v>2.1999999999999999E-2</v>
      </c>
      <c r="N142" s="161">
        <f>VLOOKUP($A142,'Enroll Data as of January 2025'!$A$3:$M$322,9,FALSE)</f>
        <v>0.16500000000000001</v>
      </c>
      <c r="O142" s="165">
        <f t="shared" si="35"/>
        <v>0.59099999999999997</v>
      </c>
      <c r="P142" s="161">
        <f>VLOOKUP($A142,'Enroll Data as of January 2025'!$A$3:$M$322,11,FALSE)</f>
        <v>2.2000000000000002E-2</v>
      </c>
      <c r="Q142" s="161">
        <f>VLOOKUP($A142,'Enroll Data as of January 2025'!$A$3:$M$322,12,FALSE)</f>
        <v>1.4999999999999999E-2</v>
      </c>
      <c r="R142" s="165">
        <f t="shared" si="36"/>
        <v>3.7000000000000005E-2</v>
      </c>
      <c r="S142" s="267">
        <f>IFERROR(VLOOKUP($A142,Supp_39,14,FALSE),0)+IFERROR(SUMPRODUCT(VLOOKUP($A142,S275_01,{14,15,16},FALSE)),0)+IFERROR(SUMPRODUCT(VLOOKUP($A142,S275_97,{14,15,16},FALSE)),0)+IFERROR(ROUND(VLOOKUP($A142,S275_21,14,FALSE)*VLOOKUP($A142,'3121% SY'!$C$3:$M$324,11,FALSE),3),0)+IFERROR(ROUND(VLOOKUP($A142,S275_21,15,FALSE)*VLOOKUP($A142,'3121% SY'!$C$3:$M$324,11,FALSE),3),0)+IFERROR(ROUND(VLOOKUP($A142,S275_21,16,FALSE)*VLOOKUP($A142,'3121% SY'!$C$3:$M$324,11,FALSE),3),0)+IFERROR(VLOOKUP($A142,S275_09,6,FALSE),0)</f>
        <v>1</v>
      </c>
      <c r="T142" s="267">
        <f>IFERROR(VLOOKUP($A142,Supp_42,14,FALSE),0)+IFERROR(SUMPRODUCT(VLOOKUP($A142,S275_01,{17,18,19},FALSE)),0)+IFERROR(SUMPRODUCT(VLOOKUP($A142,S275_97,{17,18,19},FALSE)),0)+IFERROR(ROUND(VLOOKUP($A142,S275_21,17,FALSE)*VLOOKUP($A142,'3121% SY'!$C$3:$M$324,11,FALSE),3),0)+IFERROR(ROUND(VLOOKUP($A142,S275_21,18,FALSE)*VLOOKUP($A142,'3121% SY'!$C$3:$M$324,11,FALSE),3),0)+IFERROR(ROUND(VLOOKUP($A142,S275_21,19,FALSE)*VLOOKUP($A142,'3121% SY'!$C$3:$M$324,11,FALSE),3),0)+IFERROR(VLOOKUP($A142,S275_09,7,FALSE),0)</f>
        <v>0</v>
      </c>
      <c r="U142" s="267">
        <f>IFERROR(VLOOKUP($A142,Supp_43,14,FALSE),0)+IFERROR(SUMPRODUCT(VLOOKUP($A142,S275_01,{20,21,22},FALSE)),0)+IFERROR(SUMPRODUCT(VLOOKUP($A142,S275_97,{20,21,22},FALSE)),0)+IFERROR(ROUND(VLOOKUP($A142,S275_21,20,FALSE)*VLOOKUP($A142,'3121% SY'!$C$3:$M$324,11,FALSE),3),0)+IFERROR(ROUND(VLOOKUP($A142,S275_21,21,FALSE)*VLOOKUP($A142,'3121% SY'!$C$3:$M$324,11,FALSE),3),0)+IFERROR(ROUND(VLOOKUP($A142,S275_21,22,FALSE)*VLOOKUP($A142,'3121% SY'!$C$3:$M$324,11,FALSE),3),0)+IFERROR(VLOOKUP($A142,S275_09,8,FALSE),0)</f>
        <v>0</v>
      </c>
      <c r="V142" s="267">
        <f>IFERROR(VLOOKUP($A142,Supp_44,14,FALSE),0)+IFERROR(SUMPRODUCT(VLOOKUP($A142,S275_01,{23,24,25},FALSE)),0)+IFERROR(SUMPRODUCT(VLOOKUP($A142,S275_97,{23,24,25},FALSE)),0)+IFERROR(ROUND(VLOOKUP($A142,S275_21,23,FALSE)*VLOOKUP($A142,'3121% SY'!$C$3:$M$324,11,FALSE),3),0)+IFERROR(ROUND(VLOOKUP($A142,S275_21,24,FALSE)*VLOOKUP($A142,'3121% SY'!$C$3:$M$324,11,FALSE),3),0)+IFERROR(ROUND(VLOOKUP($A142,S275_21,25,FALSE)*VLOOKUP($A142,'3121% SY'!$C$3:$M$324,11,FALSE),3),0)+IFERROR(VLOOKUP($A142,S275_09,9,FALSE),0)</f>
        <v>0</v>
      </c>
      <c r="W142" s="267">
        <f>IFERROR(VLOOKUP($A142,Supp_45,14,FALSE),0)+IFERROR(SUMPRODUCT(VLOOKUP($A142,S275_01,{26,27,28},FALSE)),0)+IFERROR(SUMPRODUCT(VLOOKUP($A142,S275_97,{26,27,28},FALSE)),0)+IFERROR(ROUND(VLOOKUP($A142,S275_21,26,FALSE)*VLOOKUP($A142,'3121% SY'!$C$3:$M$324,11,FALSE),3),0)+IFERROR(ROUND(VLOOKUP($A142,S275_21,27,FALSE)*VLOOKUP($A142,'3121% SY'!$C$3:$M$324,11,FALSE),3),0)+IFERROR(ROUND(VLOOKUP($A142,S275_21,28,FALSE)*VLOOKUP($A142,'3121% SY'!$C$3:$M$324,11,FALSE),3),0)+IFERROR(VLOOKUP($A142,S275_09,10,FALSE),0)</f>
        <v>0.112</v>
      </c>
      <c r="X142" s="267">
        <f>IFERROR(VLOOKUP($A142,Supp_46,14,FALSE),0)+IFERROR(SUMPRODUCT(VLOOKUP($A142,S275_01,{29,30,31},FALSE)),0)+IFERROR(SUMPRODUCT(VLOOKUP($A142,S275_97,{29,30,31},FALSE)),0)+IFERROR(ROUND(VLOOKUP($A142,S275_21,29,FALSE)*VLOOKUP($A142,'3121% SY'!$C$3:$M$324,11,FALSE),3),0)+IFERROR(ROUND(VLOOKUP($A142,S275_21,30,FALSE)*VLOOKUP($A142,'3121% SY'!$C$3:$M$324,11,FALSE),3),0)+IFERROR(ROUND(VLOOKUP($A142,S275_21,31,FALSE)*VLOOKUP($A142,'3121% SY'!$C$3:$M$324,11,FALSE),3),0)+IFERROR(VLOOKUP($A142,S275_09,11,FALSE),0)</f>
        <v>0</v>
      </c>
      <c r="Y142" s="267">
        <f>IFERROR(VLOOKUP($A142,Supp_47,14,FALSE),0)+IFERROR(SUMPRODUCT(VLOOKUP($A142,S275_01,{32,33,34},FALSE)),0)+IFERROR(SUMPRODUCT(VLOOKUP($A142,S275_97,{32,33,34},FALSE)),0)+IFERROR(ROUND(VLOOKUP($A142,S275_21,32,FALSE)*VLOOKUP($A142,'3121% SY'!$C$3:$M$324,11,FALSE),3),0)+IFERROR(ROUND(VLOOKUP($A142,S275_21,33,FALSE)*VLOOKUP($A142,'3121% SY'!$C$3:$M$324,11,FALSE),3),0)+IFERROR(ROUND(VLOOKUP($A142,S275_21,34,FALSE)*VLOOKUP($A142,'3121% SY'!$C$3:$M$324,11,FALSE),3),0)+IFERROR(VLOOKUP($A142,S275_09,12,FALSE),0)</f>
        <v>0</v>
      </c>
      <c r="Z142" s="267">
        <f>IFERROR(VLOOKUP($A142,Supp_48,14,FALSE),0)+IFERROR(SUMPRODUCT(VLOOKUP($A142,S275_01,{35,36,37},FALSE)),0)+IFERROR(SUMPRODUCT(VLOOKUP($A142,S275_97,{35,36,37},FALSE)),0)+IFERROR(ROUND(VLOOKUP($A142,S275_21,35,FALSE)*VLOOKUP($A142,'3121% SY'!$C$3:$M$324,11,FALSE),3),0)+IFERROR(ROUND(VLOOKUP($A142,S275_21,36,FALSE)*VLOOKUP($A142,'3121% SY'!$C$3:$M$324,11,FALSE),3),0)+IFERROR(ROUND(VLOOKUP($A142,S275_21,37,FALSE)*VLOOKUP($A142,'3121% SY'!$C$3:$M$324,11,FALSE),3),0)+IFERROR(VLOOKUP($A142,S275_09,13,FALSE),0)</f>
        <v>0</v>
      </c>
      <c r="AA142" s="267">
        <f>IFERROR(VLOOKUP($A142,Supp_49,14,FALSE),0)+IFERROR(SUMPRODUCT(VLOOKUP($A142,S275_01,{38,39,40},FALSE)),0)+IFERROR(SUMPRODUCT(VLOOKUP($A142,S275_97,{38,39,40},FALSE)),0)+IFERROR(ROUND(VLOOKUP($A142,S275_21,38,FALSE)*VLOOKUP($A142,'3121% SY'!$C$3:$M$324,11,FALSE),3),0)+IFERROR(ROUND(VLOOKUP($A142,S275_21,39,FALSE)*VLOOKUP($A142,'3121% SY'!$C$3:$M$324,11,FALSE),3),0)+IFERROR(ROUND(VLOOKUP($A142,S275_21,40,FALSE)*VLOOKUP($A142,'3121% SY'!$C$3:$M$324,11,FALSE),3),0)+IFERROR(VLOOKUP($A142,S275_09,14,FALSE),0)</f>
        <v>0</v>
      </c>
      <c r="AB142" s="267">
        <f>IFERROR(VLOOKUP($A142,Supp_64,14,FALSE),0)+IFERROR(SUMPRODUCT(VLOOKUP($A142,S275_01,{41,42,43},FALSE)),0)+IFERROR(SUMPRODUCT(VLOOKUP($A142,S275_97,{41,42,43},FALSE)),0)+IFERROR(ROUND(VLOOKUP($A142,S275_21,41,FALSE)*VLOOKUP($A142,'3121% SY'!$C$3:$M$324,11,FALSE),3),0)+IFERROR(ROUND(VLOOKUP($A142,S275_21,42,FALSE)*VLOOKUP($A142,'3121% SY'!$C$3:$M$324,11,FALSE),3),0)+IFERROR(ROUND(VLOOKUP($A142,S275_21,43,FALSE)*VLOOKUP($A142,'3121% SY'!$C$3:$M$324,11,FALSE),3),0)+IFERROR(VLOOKUP($A142,S275_09,15,FALSE),0)</f>
        <v>0</v>
      </c>
      <c r="AC142" s="268">
        <f t="shared" si="37"/>
        <v>1.1120000000000001</v>
      </c>
      <c r="AD142" s="267">
        <f>IFERROR(VLOOKUP($A142,Supp_24,14,FALSE),0)+IFERROR(SUMPRODUCT(VLOOKUP($A142,S275_01,{2,3,4},FALSE)),0)+IFERROR(SUMPRODUCT(VLOOKUP($A142,S275_97,{2,3,4},FALSE)),0)+IFERROR(ROUND(VLOOKUP($A142,S275_21,2,FALSE)*VLOOKUP($A142,'3121% SY'!$C$3:$M$324,11,FALSE),3),0)+IFERROR(ROUND(VLOOKUP($A142,S275_21,3,FALSE)*VLOOKUP($A142,'3121% SY'!$C$3:$M$324,11,FALSE),3),0)+IFERROR(ROUND(VLOOKUP($A142,S275_21,4,FALSE)*VLOOKUP($A142,'3121% SY'!$C$3:$M$324,11,FALSE),3),0)+IFERROR(VLOOKUP($A142,S275_09,2,FALSE),0)</f>
        <v>0</v>
      </c>
      <c r="AE142" s="267">
        <f>IFERROR(VLOOKUP($A142,Supp_25,14,FALSE),0)+IFERROR(SUMPRODUCT(VLOOKUP($A142,S275_01,{5,6,7},FALSE)),0)+IFERROR(SUMPRODUCT(VLOOKUP($A142,S275_97,{5,6,7},FALSE)),0)+IFERROR(ROUND(VLOOKUP($A142,S275_21,5,FALSE)*VLOOKUP($A142,'3121% SY'!$C$3:$M$324,11,FALSE),3),0)+IFERROR(ROUND(VLOOKUP($A142,S275_21,6,FALSE)*VLOOKUP($A142,'3121% SY'!$C$3:$M$324,11,FALSE),3),0)+IFERROR(ROUND(VLOOKUP($A142,S275_21,7,FALSE)*VLOOKUP($A142,'3121% SY'!$C$3:$M$324,11,FALSE),3),0)+IFERROR(VLOOKUP($A142,S275_09,3,FALSE),0)</f>
        <v>4.2000000000000003E-2</v>
      </c>
      <c r="AF142" s="267">
        <f>IFERROR(VLOOKUP($A142,Supp_26,14,FALSE),0)+IFERROR(SUMPRODUCT(VLOOKUP($A142,S275_01,{8,9,10},FALSE)),0)+IFERROR(SUMPRODUCT(VLOOKUP($A142,S275_97,{8,9,10},FALSE)),0)+IFERROR(ROUND(VLOOKUP($A142,S275_21,8,FALSE)*VLOOKUP($A142,'3121% SY'!$C$3:$M$324,11,FALSE),3),0)+IFERROR(ROUND(VLOOKUP($A142,S275_21,9,FALSE)*VLOOKUP($A142,'3121% SY'!$C$3:$M$324,11,FALSE),3),0)+IFERROR(ROUND(VLOOKUP($A142,S275_21,10,FALSE)*VLOOKUP($A142,'3121% SY'!$C$3:$M$324,11,FALSE),3),0)+IFERROR(VLOOKUP($A142,S275_09,4,FALSE),0)</f>
        <v>0</v>
      </c>
      <c r="AG142" s="267">
        <f>IFERROR(VLOOKUP($A142,Supp_35,14,FALSE),0)+IFERROR(SUMPRODUCT(VLOOKUP($A142,S275_01,{11,12,13},FALSE)),0)+IFERROR(SUMPRODUCT(VLOOKUP($A142,S275_97,{11,12,13},FALSE)),0)+IFERROR(ROUND(VLOOKUP($A142,S275_21,11,FALSE)*VLOOKUP($A142,'3121% SY'!$C$3:$M$324,11,FALSE),3),0)+IFERROR(ROUND(VLOOKUP($A142,S275_21,12,FALSE)*VLOOKUP($A142,'3121% SY'!$C$3:$M$324,11,FALSE),3),0)+IFERROR(ROUND(VLOOKUP($A142,S275_21,13,FALSE)*VLOOKUP($A142,'3121% SY'!$C$3:$M$324,11,FALSE),3),0)+IFERROR(VLOOKUP($A142,S275_09,5,FALSE),0)</f>
        <v>0</v>
      </c>
      <c r="AH142" s="165">
        <f t="shared" si="38"/>
        <v>4.2000000000000003E-2</v>
      </c>
      <c r="AI142" s="161">
        <f>IFERROR(VLOOKUP(A142,'Supp Staff Data'!A:ER,148,FALSE),0)+AB142</f>
        <v>0</v>
      </c>
      <c r="AJ142" s="174">
        <v>1</v>
      </c>
      <c r="AK142" s="25">
        <f>VLOOKUP(A142,'Enroll Data as of January 2025'!$A$3:$T$323,20,FALSE)-F142</f>
        <v>0</v>
      </c>
    </row>
    <row r="143" spans="1:37" x14ac:dyDescent="0.25">
      <c r="A143" s="171" t="s">
        <v>181</v>
      </c>
      <c r="B143" t="s">
        <v>477</v>
      </c>
      <c r="C143" s="173" t="s">
        <v>1077</v>
      </c>
      <c r="D143" s="259">
        <f t="shared" si="30"/>
        <v>1.5429999999999999</v>
      </c>
      <c r="E143" s="259">
        <f t="shared" si="31"/>
        <v>2.851</v>
      </c>
      <c r="F143" s="262">
        <f t="shared" si="32"/>
        <v>1.3080000000000001</v>
      </c>
      <c r="G143" s="161">
        <f>ROUND(IF(F143&lt;0,F143*'2024-25 PSES Compliance'!$G$13,0),3)</f>
        <v>0</v>
      </c>
      <c r="H143" s="161">
        <f>ROUND(IF(F143&lt;0,F143*'2024-25 PSES Compliance'!$G$14,0),3)</f>
        <v>0</v>
      </c>
      <c r="I143" s="174">
        <f t="shared" si="33"/>
        <v>0.2662223781129428</v>
      </c>
      <c r="J143" s="174">
        <f t="shared" si="34"/>
        <v>0</v>
      </c>
      <c r="K143" s="161">
        <f>VLOOKUP($A143,'Enroll Data as of January 2025'!$A$3:$M$322,6,FALSE)</f>
        <v>0.873</v>
      </c>
      <c r="L143" s="161">
        <f>VLOOKUP($A143,'Enroll Data as of January 2025'!$A$3:$M$322,7,FALSE)</f>
        <v>0.14100000000000001</v>
      </c>
      <c r="M143" s="161">
        <f>VLOOKUP($A143,'Enroll Data as of January 2025'!$A$3:$M$322,8,FALSE)</f>
        <v>4.7E-2</v>
      </c>
      <c r="N143" s="161">
        <f>VLOOKUP($A143,'Enroll Data as of January 2025'!$A$3:$M$322,9,FALSE)</f>
        <v>0.39600000000000002</v>
      </c>
      <c r="O143" s="165">
        <f t="shared" si="35"/>
        <v>1.4569999999999999</v>
      </c>
      <c r="P143" s="161">
        <f>VLOOKUP($A143,'Enroll Data as of January 2025'!$A$3:$M$322,11,FALSE)</f>
        <v>5.3999999999999999E-2</v>
      </c>
      <c r="Q143" s="161">
        <f>VLOOKUP($A143,'Enroll Data as of January 2025'!$A$3:$M$322,12,FALSE)</f>
        <v>3.2000000000000001E-2</v>
      </c>
      <c r="R143" s="165">
        <f t="shared" si="36"/>
        <v>8.5999999999999993E-2</v>
      </c>
      <c r="S143" s="267">
        <f>IFERROR(VLOOKUP($A143,Supp_39,14,FALSE),0)+IFERROR(SUMPRODUCT(VLOOKUP($A143,S275_01,{14,15,16},FALSE)),0)+IFERROR(SUMPRODUCT(VLOOKUP($A143,S275_97,{14,15,16},FALSE)),0)+IFERROR(ROUND(VLOOKUP($A143,S275_21,14,FALSE)*VLOOKUP($A143,'3121% SY'!$C$3:$M$324,11,FALSE),3),0)+IFERROR(ROUND(VLOOKUP($A143,S275_21,15,FALSE)*VLOOKUP($A143,'3121% SY'!$C$3:$M$324,11,FALSE),3),0)+IFERROR(ROUND(VLOOKUP($A143,S275_21,16,FALSE)*VLOOKUP($A143,'3121% SY'!$C$3:$M$324,11,FALSE),3),0)+IFERROR(VLOOKUP($A143,S275_09,6,FALSE),0)</f>
        <v>0.43099999999999994</v>
      </c>
      <c r="T143" s="267">
        <f>IFERROR(VLOOKUP($A143,Supp_42,14,FALSE),0)+IFERROR(SUMPRODUCT(VLOOKUP($A143,S275_01,{17,18,19},FALSE)),0)+IFERROR(SUMPRODUCT(VLOOKUP($A143,S275_97,{17,18,19},FALSE)),0)+IFERROR(ROUND(VLOOKUP($A143,S275_21,17,FALSE)*VLOOKUP($A143,'3121% SY'!$C$3:$M$324,11,FALSE),3),0)+IFERROR(ROUND(VLOOKUP($A143,S275_21,18,FALSE)*VLOOKUP($A143,'3121% SY'!$C$3:$M$324,11,FALSE),3),0)+IFERROR(ROUND(VLOOKUP($A143,S275_21,19,FALSE)*VLOOKUP($A143,'3121% SY'!$C$3:$M$324,11,FALSE),3),0)+IFERROR(VLOOKUP($A143,S275_09,7,FALSE),0)</f>
        <v>7.0999999999999994E-2</v>
      </c>
      <c r="U143" s="267">
        <f>IFERROR(VLOOKUP($A143,Supp_43,14,FALSE),0)+IFERROR(SUMPRODUCT(VLOOKUP($A143,S275_01,{20,21,22},FALSE)),0)+IFERROR(SUMPRODUCT(VLOOKUP($A143,S275_97,{20,21,22},FALSE)),0)+IFERROR(ROUND(VLOOKUP($A143,S275_21,20,FALSE)*VLOOKUP($A143,'3121% SY'!$C$3:$M$324,11,FALSE),3),0)+IFERROR(ROUND(VLOOKUP($A143,S275_21,21,FALSE)*VLOOKUP($A143,'3121% SY'!$C$3:$M$324,11,FALSE),3),0)+IFERROR(ROUND(VLOOKUP($A143,S275_21,22,FALSE)*VLOOKUP($A143,'3121% SY'!$C$3:$M$324,11,FALSE),3),0)+IFERROR(VLOOKUP($A143,S275_09,8,FALSE),0)</f>
        <v>0.19500000000000001</v>
      </c>
      <c r="V143" s="267">
        <f>IFERROR(VLOOKUP($A143,Supp_44,14,FALSE),0)+IFERROR(SUMPRODUCT(VLOOKUP($A143,S275_01,{23,24,25},FALSE)),0)+IFERROR(SUMPRODUCT(VLOOKUP($A143,S275_97,{23,24,25},FALSE)),0)+IFERROR(ROUND(VLOOKUP($A143,S275_21,23,FALSE)*VLOOKUP($A143,'3121% SY'!$C$3:$M$324,11,FALSE),3),0)+IFERROR(ROUND(VLOOKUP($A143,S275_21,24,FALSE)*VLOOKUP($A143,'3121% SY'!$C$3:$M$324,11,FALSE),3),0)+IFERROR(ROUND(VLOOKUP($A143,S275_21,25,FALSE)*VLOOKUP($A143,'3121% SY'!$C$3:$M$324,11,FALSE),3),0)+IFERROR(VLOOKUP($A143,S275_09,9,FALSE),0)</f>
        <v>0</v>
      </c>
      <c r="W143" s="267">
        <f>IFERROR(VLOOKUP($A143,Supp_45,14,FALSE),0)+IFERROR(SUMPRODUCT(VLOOKUP($A143,S275_01,{26,27,28},FALSE)),0)+IFERROR(SUMPRODUCT(VLOOKUP($A143,S275_97,{26,27,28},FALSE)),0)+IFERROR(ROUND(VLOOKUP($A143,S275_21,26,FALSE)*VLOOKUP($A143,'3121% SY'!$C$3:$M$324,11,FALSE),3),0)+IFERROR(ROUND(VLOOKUP($A143,S275_21,27,FALSE)*VLOOKUP($A143,'3121% SY'!$C$3:$M$324,11,FALSE),3),0)+IFERROR(ROUND(VLOOKUP($A143,S275_21,28,FALSE)*VLOOKUP($A143,'3121% SY'!$C$3:$M$324,11,FALSE),3),0)+IFERROR(VLOOKUP($A143,S275_09,10,FALSE),0)</f>
        <v>6.2E-2</v>
      </c>
      <c r="X143" s="267">
        <f>IFERROR(VLOOKUP($A143,Supp_46,14,FALSE),0)+IFERROR(SUMPRODUCT(VLOOKUP($A143,S275_01,{29,30,31},FALSE)),0)+IFERROR(SUMPRODUCT(VLOOKUP($A143,S275_97,{29,30,31},FALSE)),0)+IFERROR(ROUND(VLOOKUP($A143,S275_21,29,FALSE)*VLOOKUP($A143,'3121% SY'!$C$3:$M$324,11,FALSE),3),0)+IFERROR(ROUND(VLOOKUP($A143,S275_21,30,FALSE)*VLOOKUP($A143,'3121% SY'!$C$3:$M$324,11,FALSE),3),0)+IFERROR(ROUND(VLOOKUP($A143,S275_21,31,FALSE)*VLOOKUP($A143,'3121% SY'!$C$3:$M$324,11,FALSE),3),0)+IFERROR(VLOOKUP($A143,S275_09,11,FALSE),0)</f>
        <v>0</v>
      </c>
      <c r="Y143" s="267">
        <f>IFERROR(VLOOKUP($A143,Supp_47,14,FALSE),0)+IFERROR(SUMPRODUCT(VLOOKUP($A143,S275_01,{32,33,34},FALSE)),0)+IFERROR(SUMPRODUCT(VLOOKUP($A143,S275_97,{32,33,34},FALSE)),0)+IFERROR(ROUND(VLOOKUP($A143,S275_21,32,FALSE)*VLOOKUP($A143,'3121% SY'!$C$3:$M$324,11,FALSE),3),0)+IFERROR(ROUND(VLOOKUP($A143,S275_21,33,FALSE)*VLOOKUP($A143,'3121% SY'!$C$3:$M$324,11,FALSE),3),0)+IFERROR(ROUND(VLOOKUP($A143,S275_21,34,FALSE)*VLOOKUP($A143,'3121% SY'!$C$3:$M$324,11,FALSE),3),0)+IFERROR(VLOOKUP($A143,S275_09,12,FALSE),0)</f>
        <v>0</v>
      </c>
      <c r="Z143" s="267">
        <f>IFERROR(VLOOKUP($A143,Supp_48,14,FALSE),0)+IFERROR(SUMPRODUCT(VLOOKUP($A143,S275_01,{35,36,37},FALSE)),0)+IFERROR(SUMPRODUCT(VLOOKUP($A143,S275_97,{35,36,37},FALSE)),0)+IFERROR(ROUND(VLOOKUP($A143,S275_21,35,FALSE)*VLOOKUP($A143,'3121% SY'!$C$3:$M$324,11,FALSE),3),0)+IFERROR(ROUND(VLOOKUP($A143,S275_21,36,FALSE)*VLOOKUP($A143,'3121% SY'!$C$3:$M$324,11,FALSE),3),0)+IFERROR(ROUND(VLOOKUP($A143,S275_21,37,FALSE)*VLOOKUP($A143,'3121% SY'!$C$3:$M$324,11,FALSE),3),0)+IFERROR(VLOOKUP($A143,S275_09,13,FALSE),0)</f>
        <v>0</v>
      </c>
      <c r="AA143" s="267">
        <f>IFERROR(VLOOKUP($A143,Supp_49,14,FALSE),0)+IFERROR(SUMPRODUCT(VLOOKUP($A143,S275_01,{38,39,40},FALSE)),0)+IFERROR(SUMPRODUCT(VLOOKUP($A143,S275_97,{38,39,40},FALSE)),0)+IFERROR(ROUND(VLOOKUP($A143,S275_21,38,FALSE)*VLOOKUP($A143,'3121% SY'!$C$3:$M$324,11,FALSE),3),0)+IFERROR(ROUND(VLOOKUP($A143,S275_21,39,FALSE)*VLOOKUP($A143,'3121% SY'!$C$3:$M$324,11,FALSE),3),0)+IFERROR(ROUND(VLOOKUP($A143,S275_21,40,FALSE)*VLOOKUP($A143,'3121% SY'!$C$3:$M$324,11,FALSE),3),0)+IFERROR(VLOOKUP($A143,S275_09,14,FALSE),0)</f>
        <v>0</v>
      </c>
      <c r="AB143" s="267">
        <f>IFERROR(VLOOKUP($A143,Supp_64,14,FALSE),0)+IFERROR(SUMPRODUCT(VLOOKUP($A143,S275_01,{41,42,43},FALSE)),0)+IFERROR(SUMPRODUCT(VLOOKUP($A143,S275_97,{41,42,43},FALSE)),0)+IFERROR(ROUND(VLOOKUP($A143,S275_21,41,FALSE)*VLOOKUP($A143,'3121% SY'!$C$3:$M$324,11,FALSE),3),0)+IFERROR(ROUND(VLOOKUP($A143,S275_21,42,FALSE)*VLOOKUP($A143,'3121% SY'!$C$3:$M$324,11,FALSE),3),0)+IFERROR(ROUND(VLOOKUP($A143,S275_21,43,FALSE)*VLOOKUP($A143,'3121% SY'!$C$3:$M$324,11,FALSE),3),0)+IFERROR(VLOOKUP($A143,S275_09,15,FALSE),0)</f>
        <v>0</v>
      </c>
      <c r="AC143" s="268">
        <f t="shared" si="37"/>
        <v>0.7589999999999999</v>
      </c>
      <c r="AD143" s="267">
        <f>IFERROR(VLOOKUP($A143,Supp_24,14,FALSE),0)+IFERROR(SUMPRODUCT(VLOOKUP($A143,S275_01,{2,3,4},FALSE)),0)+IFERROR(SUMPRODUCT(VLOOKUP($A143,S275_97,{2,3,4},FALSE)),0)+IFERROR(ROUND(VLOOKUP($A143,S275_21,2,FALSE)*VLOOKUP($A143,'3121% SY'!$C$3:$M$324,11,FALSE),3),0)+IFERROR(ROUND(VLOOKUP($A143,S275_21,3,FALSE)*VLOOKUP($A143,'3121% SY'!$C$3:$M$324,11,FALSE),3),0)+IFERROR(ROUND(VLOOKUP($A143,S275_21,4,FALSE)*VLOOKUP($A143,'3121% SY'!$C$3:$M$324,11,FALSE),3),0)+IFERROR(VLOOKUP($A143,S275_09,2,FALSE),0)</f>
        <v>0</v>
      </c>
      <c r="AE143" s="267">
        <f>IFERROR(VLOOKUP($A143,Supp_25,14,FALSE),0)+IFERROR(SUMPRODUCT(VLOOKUP($A143,S275_01,{5,6,7},FALSE)),0)+IFERROR(SUMPRODUCT(VLOOKUP($A143,S275_97,{5,6,7},FALSE)),0)+IFERROR(ROUND(VLOOKUP($A143,S275_21,5,FALSE)*VLOOKUP($A143,'3121% SY'!$C$3:$M$324,11,FALSE),3),0)+IFERROR(ROUND(VLOOKUP($A143,S275_21,6,FALSE)*VLOOKUP($A143,'3121% SY'!$C$3:$M$324,11,FALSE),3),0)+IFERROR(ROUND(VLOOKUP($A143,S275_21,7,FALSE)*VLOOKUP($A143,'3121% SY'!$C$3:$M$324,11,FALSE),3),0)+IFERROR(VLOOKUP($A143,S275_09,3,FALSE),0)</f>
        <v>2.0920000000000001</v>
      </c>
      <c r="AF143" s="267">
        <f>IFERROR(VLOOKUP($A143,Supp_26,14,FALSE),0)+IFERROR(SUMPRODUCT(VLOOKUP($A143,S275_01,{8,9,10},FALSE)),0)+IFERROR(SUMPRODUCT(VLOOKUP($A143,S275_97,{8,9,10},FALSE)),0)+IFERROR(ROUND(VLOOKUP($A143,S275_21,8,FALSE)*VLOOKUP($A143,'3121% SY'!$C$3:$M$324,11,FALSE),3),0)+IFERROR(ROUND(VLOOKUP($A143,S275_21,9,FALSE)*VLOOKUP($A143,'3121% SY'!$C$3:$M$324,11,FALSE),3),0)+IFERROR(ROUND(VLOOKUP($A143,S275_21,10,FALSE)*VLOOKUP($A143,'3121% SY'!$C$3:$M$324,11,FALSE),3),0)+IFERROR(VLOOKUP($A143,S275_09,4,FALSE),0)</f>
        <v>0</v>
      </c>
      <c r="AG143" s="267">
        <f>IFERROR(VLOOKUP($A143,Supp_35,14,FALSE),0)+IFERROR(SUMPRODUCT(VLOOKUP($A143,S275_01,{11,12,13},FALSE)),0)+IFERROR(SUMPRODUCT(VLOOKUP($A143,S275_97,{11,12,13},FALSE)),0)+IFERROR(ROUND(VLOOKUP($A143,S275_21,11,FALSE)*VLOOKUP($A143,'3121% SY'!$C$3:$M$324,11,FALSE),3),0)+IFERROR(ROUND(VLOOKUP($A143,S275_21,12,FALSE)*VLOOKUP($A143,'3121% SY'!$C$3:$M$324,11,FALSE),3),0)+IFERROR(ROUND(VLOOKUP($A143,S275_21,13,FALSE)*VLOOKUP($A143,'3121% SY'!$C$3:$M$324,11,FALSE),3),0)+IFERROR(VLOOKUP($A143,S275_09,5,FALSE),0)</f>
        <v>0</v>
      </c>
      <c r="AH143" s="165">
        <f t="shared" si="38"/>
        <v>2.0920000000000001</v>
      </c>
      <c r="AI143" s="161">
        <f>IFERROR(VLOOKUP(A143,'Supp Staff Data'!A:ER,148,FALSE),0)+AB143</f>
        <v>0</v>
      </c>
      <c r="AJ143" s="174">
        <v>1</v>
      </c>
      <c r="AK143" s="25">
        <f>VLOOKUP(A143,'Enroll Data as of January 2025'!$A$3:$T$323,20,FALSE)-F143</f>
        <v>0</v>
      </c>
    </row>
    <row r="144" spans="1:37" x14ac:dyDescent="0.25">
      <c r="A144" s="171" t="s">
        <v>166</v>
      </c>
      <c r="B144" t="s">
        <v>1611</v>
      </c>
      <c r="C144" s="173" t="s">
        <v>1077</v>
      </c>
      <c r="D144" s="259">
        <f t="shared" si="30"/>
        <v>0.74600000000000011</v>
      </c>
      <c r="E144" s="259">
        <f t="shared" si="31"/>
        <v>1.4419999999999999</v>
      </c>
      <c r="F144" s="262">
        <f t="shared" si="32"/>
        <v>0.69599999999999995</v>
      </c>
      <c r="G144" s="161">
        <f>ROUND(IF(F144&lt;0,F144*'2024-25 PSES Compliance'!$G$13,0),3)</f>
        <v>0</v>
      </c>
      <c r="H144" s="161">
        <f>ROUND(IF(F144&lt;0,F144*'2024-25 PSES Compliance'!$G$14,0),3)</f>
        <v>0</v>
      </c>
      <c r="I144" s="174">
        <f t="shared" si="33"/>
        <v>0.34674063800277394</v>
      </c>
      <c r="J144" s="174">
        <f t="shared" si="34"/>
        <v>0</v>
      </c>
      <c r="K144" s="161">
        <f>VLOOKUP($A144,'Enroll Data as of January 2025'!$A$3:$M$322,6,FALSE)</f>
        <v>0.377</v>
      </c>
      <c r="L144" s="161">
        <f>VLOOKUP($A144,'Enroll Data as of January 2025'!$A$3:$M$322,7,FALSE)</f>
        <v>8.900000000000001E-2</v>
      </c>
      <c r="M144" s="161">
        <f>VLOOKUP($A144,'Enroll Data as of January 2025'!$A$3:$M$322,8,FALSE)</f>
        <v>3.0000000000000002E-2</v>
      </c>
      <c r="N144" s="161">
        <f>VLOOKUP($A144,'Enroll Data as of January 2025'!$A$3:$M$322,9,FALSE)</f>
        <v>0.20200000000000001</v>
      </c>
      <c r="O144" s="165">
        <f t="shared" si="35"/>
        <v>0.69800000000000006</v>
      </c>
      <c r="P144" s="161">
        <f>VLOOKUP($A144,'Enroll Data as of January 2025'!$A$3:$M$322,11,FALSE)</f>
        <v>2.6000000000000002E-2</v>
      </c>
      <c r="Q144" s="161">
        <f>VLOOKUP($A144,'Enroll Data as of January 2025'!$A$3:$M$322,12,FALSE)</f>
        <v>2.1999999999999999E-2</v>
      </c>
      <c r="R144" s="165">
        <f t="shared" si="36"/>
        <v>4.8000000000000001E-2</v>
      </c>
      <c r="S144" s="267">
        <f>IFERROR(VLOOKUP($A144,Supp_39,14,FALSE),0)+IFERROR(SUMPRODUCT(VLOOKUP($A144,S275_01,{14,15,16},FALSE)),0)+IFERROR(SUMPRODUCT(VLOOKUP($A144,S275_97,{14,15,16},FALSE)),0)+IFERROR(ROUND(VLOOKUP($A144,S275_21,14,FALSE)*VLOOKUP($A144,'3121% SY'!$C$3:$M$324,11,FALSE),3),0)+IFERROR(ROUND(VLOOKUP($A144,S275_21,15,FALSE)*VLOOKUP($A144,'3121% SY'!$C$3:$M$324,11,FALSE),3),0)+IFERROR(ROUND(VLOOKUP($A144,S275_21,16,FALSE)*VLOOKUP($A144,'3121% SY'!$C$3:$M$324,11,FALSE),3),0)+IFERROR(VLOOKUP($A144,S275_09,6,FALSE),0)</f>
        <v>0.42500000000000004</v>
      </c>
      <c r="T144" s="267">
        <f>IFERROR(VLOOKUP($A144,Supp_42,14,FALSE),0)+IFERROR(SUMPRODUCT(VLOOKUP($A144,S275_01,{17,18,19},FALSE)),0)+IFERROR(SUMPRODUCT(VLOOKUP($A144,S275_97,{17,18,19},FALSE)),0)+IFERROR(ROUND(VLOOKUP($A144,S275_21,17,FALSE)*VLOOKUP($A144,'3121% SY'!$C$3:$M$324,11,FALSE),3),0)+IFERROR(ROUND(VLOOKUP($A144,S275_21,18,FALSE)*VLOOKUP($A144,'3121% SY'!$C$3:$M$324,11,FALSE),3),0)+IFERROR(ROUND(VLOOKUP($A144,S275_21,19,FALSE)*VLOOKUP($A144,'3121% SY'!$C$3:$M$324,11,FALSE),3),0)+IFERROR(VLOOKUP($A144,S275_09,7,FALSE),0)</f>
        <v>7.4999999999999997E-2</v>
      </c>
      <c r="U144" s="267">
        <f>IFERROR(VLOOKUP($A144,Supp_43,14,FALSE),0)+IFERROR(SUMPRODUCT(VLOOKUP($A144,S275_01,{20,21,22},FALSE)),0)+IFERROR(SUMPRODUCT(VLOOKUP($A144,S275_97,{20,21,22},FALSE)),0)+IFERROR(ROUND(VLOOKUP($A144,S275_21,20,FALSE)*VLOOKUP($A144,'3121% SY'!$C$3:$M$324,11,FALSE),3),0)+IFERROR(ROUND(VLOOKUP($A144,S275_21,21,FALSE)*VLOOKUP($A144,'3121% SY'!$C$3:$M$324,11,FALSE),3),0)+IFERROR(ROUND(VLOOKUP($A144,S275_21,22,FALSE)*VLOOKUP($A144,'3121% SY'!$C$3:$M$324,11,FALSE),3),0)+IFERROR(VLOOKUP($A144,S275_09,8,FALSE),0)</f>
        <v>0</v>
      </c>
      <c r="V144" s="267">
        <f>IFERROR(VLOOKUP($A144,Supp_44,14,FALSE),0)+IFERROR(SUMPRODUCT(VLOOKUP($A144,S275_01,{23,24,25},FALSE)),0)+IFERROR(SUMPRODUCT(VLOOKUP($A144,S275_97,{23,24,25},FALSE)),0)+IFERROR(ROUND(VLOOKUP($A144,S275_21,23,FALSE)*VLOOKUP($A144,'3121% SY'!$C$3:$M$324,11,FALSE),3),0)+IFERROR(ROUND(VLOOKUP($A144,S275_21,24,FALSE)*VLOOKUP($A144,'3121% SY'!$C$3:$M$324,11,FALSE),3),0)+IFERROR(ROUND(VLOOKUP($A144,S275_21,25,FALSE)*VLOOKUP($A144,'3121% SY'!$C$3:$M$324,11,FALSE),3),0)+IFERROR(VLOOKUP($A144,S275_09,9,FALSE),0)</f>
        <v>0</v>
      </c>
      <c r="W144" s="267">
        <f>IFERROR(VLOOKUP($A144,Supp_45,14,FALSE),0)+IFERROR(SUMPRODUCT(VLOOKUP($A144,S275_01,{26,27,28},FALSE)),0)+IFERROR(SUMPRODUCT(VLOOKUP($A144,S275_97,{26,27,28},FALSE)),0)+IFERROR(ROUND(VLOOKUP($A144,S275_21,26,FALSE)*VLOOKUP($A144,'3121% SY'!$C$3:$M$324,11,FALSE),3),0)+IFERROR(ROUND(VLOOKUP($A144,S275_21,27,FALSE)*VLOOKUP($A144,'3121% SY'!$C$3:$M$324,11,FALSE),3),0)+IFERROR(ROUND(VLOOKUP($A144,S275_21,28,FALSE)*VLOOKUP($A144,'3121% SY'!$C$3:$M$324,11,FALSE),3),0)+IFERROR(VLOOKUP($A144,S275_09,10,FALSE),0)</f>
        <v>0</v>
      </c>
      <c r="X144" s="267">
        <f>IFERROR(VLOOKUP($A144,Supp_46,14,FALSE),0)+IFERROR(SUMPRODUCT(VLOOKUP($A144,S275_01,{29,30,31},FALSE)),0)+IFERROR(SUMPRODUCT(VLOOKUP($A144,S275_97,{29,30,31},FALSE)),0)+IFERROR(ROUND(VLOOKUP($A144,S275_21,29,FALSE)*VLOOKUP($A144,'3121% SY'!$C$3:$M$324,11,FALSE),3),0)+IFERROR(ROUND(VLOOKUP($A144,S275_21,30,FALSE)*VLOOKUP($A144,'3121% SY'!$C$3:$M$324,11,FALSE),3),0)+IFERROR(ROUND(VLOOKUP($A144,S275_21,31,FALSE)*VLOOKUP($A144,'3121% SY'!$C$3:$M$324,11,FALSE),3),0)+IFERROR(VLOOKUP($A144,S275_09,11,FALSE),0)</f>
        <v>0</v>
      </c>
      <c r="Y144" s="267">
        <f>IFERROR(VLOOKUP($A144,Supp_47,14,FALSE),0)+IFERROR(SUMPRODUCT(VLOOKUP($A144,S275_01,{32,33,34},FALSE)),0)+IFERROR(SUMPRODUCT(VLOOKUP($A144,S275_97,{32,33,34},FALSE)),0)+IFERROR(ROUND(VLOOKUP($A144,S275_21,32,FALSE)*VLOOKUP($A144,'3121% SY'!$C$3:$M$324,11,FALSE),3),0)+IFERROR(ROUND(VLOOKUP($A144,S275_21,33,FALSE)*VLOOKUP($A144,'3121% SY'!$C$3:$M$324,11,FALSE),3),0)+IFERROR(ROUND(VLOOKUP($A144,S275_21,34,FALSE)*VLOOKUP($A144,'3121% SY'!$C$3:$M$324,11,FALSE),3),0)+IFERROR(VLOOKUP($A144,S275_09,12,FALSE),0)</f>
        <v>0</v>
      </c>
      <c r="Z144" s="267">
        <f>IFERROR(VLOOKUP($A144,Supp_48,14,FALSE),0)+IFERROR(SUMPRODUCT(VLOOKUP($A144,S275_01,{35,36,37},FALSE)),0)+IFERROR(SUMPRODUCT(VLOOKUP($A144,S275_97,{35,36,37},FALSE)),0)+IFERROR(ROUND(VLOOKUP($A144,S275_21,35,FALSE)*VLOOKUP($A144,'3121% SY'!$C$3:$M$324,11,FALSE),3),0)+IFERROR(ROUND(VLOOKUP($A144,S275_21,36,FALSE)*VLOOKUP($A144,'3121% SY'!$C$3:$M$324,11,FALSE),3),0)+IFERROR(ROUND(VLOOKUP($A144,S275_21,37,FALSE)*VLOOKUP($A144,'3121% SY'!$C$3:$M$324,11,FALSE),3),0)+IFERROR(VLOOKUP($A144,S275_09,13,FALSE),0)</f>
        <v>0</v>
      </c>
      <c r="AA144" s="267">
        <f>IFERROR(VLOOKUP($A144,Supp_49,14,FALSE),0)+IFERROR(SUMPRODUCT(VLOOKUP($A144,S275_01,{38,39,40},FALSE)),0)+IFERROR(SUMPRODUCT(VLOOKUP($A144,S275_97,{38,39,40},FALSE)),0)+IFERROR(ROUND(VLOOKUP($A144,S275_21,38,FALSE)*VLOOKUP($A144,'3121% SY'!$C$3:$M$324,11,FALSE),3),0)+IFERROR(ROUND(VLOOKUP($A144,S275_21,39,FALSE)*VLOOKUP($A144,'3121% SY'!$C$3:$M$324,11,FALSE),3),0)+IFERROR(ROUND(VLOOKUP($A144,S275_21,40,FALSE)*VLOOKUP($A144,'3121% SY'!$C$3:$M$324,11,FALSE),3),0)+IFERROR(VLOOKUP($A144,S275_09,14,FALSE),0)</f>
        <v>0</v>
      </c>
      <c r="AB144" s="267">
        <f>IFERROR(VLOOKUP($A144,Supp_64,14,FALSE),0)+IFERROR(SUMPRODUCT(VLOOKUP($A144,S275_01,{41,42,43},FALSE)),0)+IFERROR(SUMPRODUCT(VLOOKUP($A144,S275_97,{41,42,43},FALSE)),0)+IFERROR(ROUND(VLOOKUP($A144,S275_21,41,FALSE)*VLOOKUP($A144,'3121% SY'!$C$3:$M$324,11,FALSE),3),0)+IFERROR(ROUND(VLOOKUP($A144,S275_21,42,FALSE)*VLOOKUP($A144,'3121% SY'!$C$3:$M$324,11,FALSE),3),0)+IFERROR(ROUND(VLOOKUP($A144,S275_21,43,FALSE)*VLOOKUP($A144,'3121% SY'!$C$3:$M$324,11,FALSE),3),0)+IFERROR(VLOOKUP($A144,S275_09,15,FALSE),0)</f>
        <v>0</v>
      </c>
      <c r="AC144" s="268">
        <f t="shared" si="37"/>
        <v>0.5</v>
      </c>
      <c r="AD144" s="267">
        <f>IFERROR(VLOOKUP($A144,Supp_24,14,FALSE),0)+IFERROR(SUMPRODUCT(VLOOKUP($A144,S275_01,{2,3,4},FALSE)),0)+IFERROR(SUMPRODUCT(VLOOKUP($A144,S275_97,{2,3,4},FALSE)),0)+IFERROR(ROUND(VLOOKUP($A144,S275_21,2,FALSE)*VLOOKUP($A144,'3121% SY'!$C$3:$M$324,11,FALSE),3),0)+IFERROR(ROUND(VLOOKUP($A144,S275_21,3,FALSE)*VLOOKUP($A144,'3121% SY'!$C$3:$M$324,11,FALSE),3),0)+IFERROR(ROUND(VLOOKUP($A144,S275_21,4,FALSE)*VLOOKUP($A144,'3121% SY'!$C$3:$M$324,11,FALSE),3),0)+IFERROR(VLOOKUP($A144,S275_09,2,FALSE),0)</f>
        <v>0</v>
      </c>
      <c r="AE144" s="267">
        <f>IFERROR(VLOOKUP($A144,Supp_25,14,FALSE),0)+IFERROR(SUMPRODUCT(VLOOKUP($A144,S275_01,{5,6,7},FALSE)),0)+IFERROR(SUMPRODUCT(VLOOKUP($A144,S275_97,{5,6,7},FALSE)),0)+IFERROR(ROUND(VLOOKUP($A144,S275_21,5,FALSE)*VLOOKUP($A144,'3121% SY'!$C$3:$M$324,11,FALSE),3),0)+IFERROR(ROUND(VLOOKUP($A144,S275_21,6,FALSE)*VLOOKUP($A144,'3121% SY'!$C$3:$M$324,11,FALSE),3),0)+IFERROR(ROUND(VLOOKUP($A144,S275_21,7,FALSE)*VLOOKUP($A144,'3121% SY'!$C$3:$M$324,11,FALSE),3),0)+IFERROR(VLOOKUP($A144,S275_09,3,FALSE),0)</f>
        <v>0.20200000000000001</v>
      </c>
      <c r="AF144" s="267">
        <f>IFERROR(VLOOKUP($A144,Supp_26,14,FALSE),0)+IFERROR(SUMPRODUCT(VLOOKUP($A144,S275_01,{8,9,10},FALSE)),0)+IFERROR(SUMPRODUCT(VLOOKUP($A144,S275_97,{8,9,10},FALSE)),0)+IFERROR(ROUND(VLOOKUP($A144,S275_21,8,FALSE)*VLOOKUP($A144,'3121% SY'!$C$3:$M$324,11,FALSE),3),0)+IFERROR(ROUND(VLOOKUP($A144,S275_21,9,FALSE)*VLOOKUP($A144,'3121% SY'!$C$3:$M$324,11,FALSE),3),0)+IFERROR(ROUND(VLOOKUP($A144,S275_21,10,FALSE)*VLOOKUP($A144,'3121% SY'!$C$3:$M$324,11,FALSE),3),0)+IFERROR(VLOOKUP($A144,S275_09,4,FALSE),0)</f>
        <v>0.74</v>
      </c>
      <c r="AG144" s="267">
        <f>IFERROR(VLOOKUP($A144,Supp_35,14,FALSE),0)+IFERROR(SUMPRODUCT(VLOOKUP($A144,S275_01,{11,12,13},FALSE)),0)+IFERROR(SUMPRODUCT(VLOOKUP($A144,S275_97,{11,12,13},FALSE)),0)+IFERROR(ROUND(VLOOKUP($A144,S275_21,11,FALSE)*VLOOKUP($A144,'3121% SY'!$C$3:$M$324,11,FALSE),3),0)+IFERROR(ROUND(VLOOKUP($A144,S275_21,12,FALSE)*VLOOKUP($A144,'3121% SY'!$C$3:$M$324,11,FALSE),3),0)+IFERROR(ROUND(VLOOKUP($A144,S275_21,13,FALSE)*VLOOKUP($A144,'3121% SY'!$C$3:$M$324,11,FALSE),3),0)+IFERROR(VLOOKUP($A144,S275_09,5,FALSE),0)</f>
        <v>0</v>
      </c>
      <c r="AH144" s="165">
        <f t="shared" si="38"/>
        <v>0.94199999999999995</v>
      </c>
      <c r="AI144" s="161">
        <f>IFERROR(VLOOKUP(A144,'Supp Staff Data'!A:ER,148,FALSE),0)+AB144</f>
        <v>0</v>
      </c>
      <c r="AJ144" s="174">
        <v>1</v>
      </c>
      <c r="AK144" s="25">
        <f>VLOOKUP(A144,'Enroll Data as of January 2025'!$A$3:$T$323,20,FALSE)-F144</f>
        <v>0</v>
      </c>
    </row>
    <row r="145" spans="1:37" x14ac:dyDescent="0.25">
      <c r="A145" s="171" t="s">
        <v>173</v>
      </c>
      <c r="B145" t="s">
        <v>469</v>
      </c>
      <c r="C145" s="173" t="s">
        <v>1077</v>
      </c>
      <c r="D145" s="259">
        <f t="shared" si="30"/>
        <v>2.6700000000000004</v>
      </c>
      <c r="E145" s="259">
        <f t="shared" si="31"/>
        <v>2.738</v>
      </c>
      <c r="F145" s="262">
        <f t="shared" si="32"/>
        <v>6.8000000000000005E-2</v>
      </c>
      <c r="G145" s="161">
        <f>ROUND(IF(F145&lt;0,F145*'2024-25 PSES Compliance'!$G$13,0),3)</f>
        <v>0</v>
      </c>
      <c r="H145" s="161">
        <f>ROUND(IF(F145&lt;0,F145*'2024-25 PSES Compliance'!$G$14,0),3)</f>
        <v>0</v>
      </c>
      <c r="I145" s="174">
        <f t="shared" si="33"/>
        <v>0.71621621621621612</v>
      </c>
      <c r="J145" s="174">
        <f t="shared" si="34"/>
        <v>0</v>
      </c>
      <c r="K145" s="161">
        <f>VLOOKUP($A145,'Enroll Data as of January 2025'!$A$3:$M$322,6,FALSE)</f>
        <v>1.5030000000000001</v>
      </c>
      <c r="L145" s="161">
        <f>VLOOKUP($A145,'Enroll Data as of January 2025'!$A$3:$M$322,7,FALSE)</f>
        <v>0.24599999999999997</v>
      </c>
      <c r="M145" s="161">
        <f>VLOOKUP($A145,'Enroll Data as of January 2025'!$A$3:$M$322,8,FALSE)</f>
        <v>8.2000000000000003E-2</v>
      </c>
      <c r="N145" s="161">
        <f>VLOOKUP($A145,'Enroll Data as of January 2025'!$A$3:$M$322,9,FALSE)</f>
        <v>0.69000000000000006</v>
      </c>
      <c r="O145" s="165">
        <f t="shared" si="35"/>
        <v>2.5210000000000004</v>
      </c>
      <c r="P145" s="161">
        <f>VLOOKUP($A145,'Enroll Data as of January 2025'!$A$3:$M$322,11,FALSE)</f>
        <v>9.4E-2</v>
      </c>
      <c r="Q145" s="161">
        <f>VLOOKUP($A145,'Enroll Data as of January 2025'!$A$3:$M$322,12,FALSE)</f>
        <v>5.5E-2</v>
      </c>
      <c r="R145" s="165">
        <f t="shared" si="36"/>
        <v>0.14899999999999999</v>
      </c>
      <c r="S145" s="267">
        <f>IFERROR(VLOOKUP($A145,Supp_39,14,FALSE),0)+IFERROR(SUMPRODUCT(VLOOKUP($A145,S275_01,{14,15,16},FALSE)),0)+IFERROR(SUMPRODUCT(VLOOKUP($A145,S275_97,{14,15,16},FALSE)),0)+IFERROR(ROUND(VLOOKUP($A145,S275_21,14,FALSE)*VLOOKUP($A145,'3121% SY'!$C$3:$M$324,11,FALSE),3),0)+IFERROR(ROUND(VLOOKUP($A145,S275_21,15,FALSE)*VLOOKUP($A145,'3121% SY'!$C$3:$M$324,11,FALSE),3),0)+IFERROR(ROUND(VLOOKUP($A145,S275_21,16,FALSE)*VLOOKUP($A145,'3121% SY'!$C$3:$M$324,11,FALSE),3),0)+IFERROR(VLOOKUP($A145,S275_09,6,FALSE),0)</f>
        <v>1.5499999999999998</v>
      </c>
      <c r="T145" s="267">
        <f>IFERROR(VLOOKUP($A145,Supp_42,14,FALSE),0)+IFERROR(SUMPRODUCT(VLOOKUP($A145,S275_01,{17,18,19},FALSE)),0)+IFERROR(SUMPRODUCT(VLOOKUP($A145,S275_97,{17,18,19},FALSE)),0)+IFERROR(ROUND(VLOOKUP($A145,S275_21,17,FALSE)*VLOOKUP($A145,'3121% SY'!$C$3:$M$324,11,FALSE),3),0)+IFERROR(ROUND(VLOOKUP($A145,S275_21,18,FALSE)*VLOOKUP($A145,'3121% SY'!$C$3:$M$324,11,FALSE),3),0)+IFERROR(ROUND(VLOOKUP($A145,S275_21,19,FALSE)*VLOOKUP($A145,'3121% SY'!$C$3:$M$324,11,FALSE),3),0)+IFERROR(VLOOKUP($A145,S275_09,7,FALSE),0)</f>
        <v>0.3</v>
      </c>
      <c r="U145" s="267">
        <f>IFERROR(VLOOKUP($A145,Supp_43,14,FALSE),0)+IFERROR(SUMPRODUCT(VLOOKUP($A145,S275_01,{20,21,22},FALSE)),0)+IFERROR(SUMPRODUCT(VLOOKUP($A145,S275_97,{20,21,22},FALSE)),0)+IFERROR(ROUND(VLOOKUP($A145,S275_21,20,FALSE)*VLOOKUP($A145,'3121% SY'!$C$3:$M$324,11,FALSE),3),0)+IFERROR(ROUND(VLOOKUP($A145,S275_21,21,FALSE)*VLOOKUP($A145,'3121% SY'!$C$3:$M$324,11,FALSE),3),0)+IFERROR(ROUND(VLOOKUP($A145,S275_21,22,FALSE)*VLOOKUP($A145,'3121% SY'!$C$3:$M$324,11,FALSE),3),0)+IFERROR(VLOOKUP($A145,S275_09,8,FALSE),0)</f>
        <v>0</v>
      </c>
      <c r="V145" s="267">
        <f>IFERROR(VLOOKUP($A145,Supp_44,14,FALSE),0)+IFERROR(SUMPRODUCT(VLOOKUP($A145,S275_01,{23,24,25},FALSE)),0)+IFERROR(SUMPRODUCT(VLOOKUP($A145,S275_97,{23,24,25},FALSE)),0)+IFERROR(ROUND(VLOOKUP($A145,S275_21,23,FALSE)*VLOOKUP($A145,'3121% SY'!$C$3:$M$324,11,FALSE),3),0)+IFERROR(ROUND(VLOOKUP($A145,S275_21,24,FALSE)*VLOOKUP($A145,'3121% SY'!$C$3:$M$324,11,FALSE),3),0)+IFERROR(ROUND(VLOOKUP($A145,S275_21,25,FALSE)*VLOOKUP($A145,'3121% SY'!$C$3:$M$324,11,FALSE),3),0)+IFERROR(VLOOKUP($A145,S275_09,9,FALSE),0)</f>
        <v>0</v>
      </c>
      <c r="W145" s="267">
        <f>IFERROR(VLOOKUP($A145,Supp_45,14,FALSE),0)+IFERROR(SUMPRODUCT(VLOOKUP($A145,S275_01,{26,27,28},FALSE)),0)+IFERROR(SUMPRODUCT(VLOOKUP($A145,S275_97,{26,27,28},FALSE)),0)+IFERROR(ROUND(VLOOKUP($A145,S275_21,26,FALSE)*VLOOKUP($A145,'3121% SY'!$C$3:$M$324,11,FALSE),3),0)+IFERROR(ROUND(VLOOKUP($A145,S275_21,27,FALSE)*VLOOKUP($A145,'3121% SY'!$C$3:$M$324,11,FALSE),3),0)+IFERROR(ROUND(VLOOKUP($A145,S275_21,28,FALSE)*VLOOKUP($A145,'3121% SY'!$C$3:$M$324,11,FALSE),3),0)+IFERROR(VLOOKUP($A145,S275_09,10,FALSE),0)</f>
        <v>0</v>
      </c>
      <c r="X145" s="267">
        <f>IFERROR(VLOOKUP($A145,Supp_46,14,FALSE),0)+IFERROR(SUMPRODUCT(VLOOKUP($A145,S275_01,{29,30,31},FALSE)),0)+IFERROR(SUMPRODUCT(VLOOKUP($A145,S275_97,{29,30,31},FALSE)),0)+IFERROR(ROUND(VLOOKUP($A145,S275_21,29,FALSE)*VLOOKUP($A145,'3121% SY'!$C$3:$M$324,11,FALSE),3),0)+IFERROR(ROUND(VLOOKUP($A145,S275_21,30,FALSE)*VLOOKUP($A145,'3121% SY'!$C$3:$M$324,11,FALSE),3),0)+IFERROR(ROUND(VLOOKUP($A145,S275_21,31,FALSE)*VLOOKUP($A145,'3121% SY'!$C$3:$M$324,11,FALSE),3),0)+IFERROR(VLOOKUP($A145,S275_09,11,FALSE),0)</f>
        <v>0.11099999999999999</v>
      </c>
      <c r="Y145" s="267">
        <f>IFERROR(VLOOKUP($A145,Supp_47,14,FALSE),0)+IFERROR(SUMPRODUCT(VLOOKUP($A145,S275_01,{32,33,34},FALSE)),0)+IFERROR(SUMPRODUCT(VLOOKUP($A145,S275_97,{32,33,34},FALSE)),0)+IFERROR(ROUND(VLOOKUP($A145,S275_21,32,FALSE)*VLOOKUP($A145,'3121% SY'!$C$3:$M$324,11,FALSE),3),0)+IFERROR(ROUND(VLOOKUP($A145,S275_21,33,FALSE)*VLOOKUP($A145,'3121% SY'!$C$3:$M$324,11,FALSE),3),0)+IFERROR(ROUND(VLOOKUP($A145,S275_21,34,FALSE)*VLOOKUP($A145,'3121% SY'!$C$3:$M$324,11,FALSE),3),0)+IFERROR(VLOOKUP($A145,S275_09,12,FALSE),0)</f>
        <v>0</v>
      </c>
      <c r="Z145" s="267">
        <f>IFERROR(VLOOKUP($A145,Supp_48,14,FALSE),0)+IFERROR(SUMPRODUCT(VLOOKUP($A145,S275_01,{35,36,37},FALSE)),0)+IFERROR(SUMPRODUCT(VLOOKUP($A145,S275_97,{35,36,37},FALSE)),0)+IFERROR(ROUND(VLOOKUP($A145,S275_21,35,FALSE)*VLOOKUP($A145,'3121% SY'!$C$3:$M$324,11,FALSE),3),0)+IFERROR(ROUND(VLOOKUP($A145,S275_21,36,FALSE)*VLOOKUP($A145,'3121% SY'!$C$3:$M$324,11,FALSE),3),0)+IFERROR(ROUND(VLOOKUP($A145,S275_21,37,FALSE)*VLOOKUP($A145,'3121% SY'!$C$3:$M$324,11,FALSE),3),0)+IFERROR(VLOOKUP($A145,S275_09,13,FALSE),0)</f>
        <v>0</v>
      </c>
      <c r="AA145" s="267">
        <f>IFERROR(VLOOKUP($A145,Supp_49,14,FALSE),0)+IFERROR(SUMPRODUCT(VLOOKUP($A145,S275_01,{38,39,40},FALSE)),0)+IFERROR(SUMPRODUCT(VLOOKUP($A145,S275_97,{38,39,40},FALSE)),0)+IFERROR(ROUND(VLOOKUP($A145,S275_21,38,FALSE)*VLOOKUP($A145,'3121% SY'!$C$3:$M$324,11,FALSE),3),0)+IFERROR(ROUND(VLOOKUP($A145,S275_21,39,FALSE)*VLOOKUP($A145,'3121% SY'!$C$3:$M$324,11,FALSE),3),0)+IFERROR(ROUND(VLOOKUP($A145,S275_21,40,FALSE)*VLOOKUP($A145,'3121% SY'!$C$3:$M$324,11,FALSE),3),0)+IFERROR(VLOOKUP($A145,S275_09,14,FALSE),0)</f>
        <v>0</v>
      </c>
      <c r="AB145" s="267">
        <f>IFERROR(VLOOKUP($A145,Supp_64,14,FALSE),0)+IFERROR(SUMPRODUCT(VLOOKUP($A145,S275_01,{41,42,43},FALSE)),0)+IFERROR(SUMPRODUCT(VLOOKUP($A145,S275_97,{41,42,43},FALSE)),0)+IFERROR(ROUND(VLOOKUP($A145,S275_21,41,FALSE)*VLOOKUP($A145,'3121% SY'!$C$3:$M$324,11,FALSE),3),0)+IFERROR(ROUND(VLOOKUP($A145,S275_21,42,FALSE)*VLOOKUP($A145,'3121% SY'!$C$3:$M$324,11,FALSE),3),0)+IFERROR(ROUND(VLOOKUP($A145,S275_21,43,FALSE)*VLOOKUP($A145,'3121% SY'!$C$3:$M$324,11,FALSE),3),0)+IFERROR(VLOOKUP($A145,S275_09,15,FALSE),0)</f>
        <v>0</v>
      </c>
      <c r="AC145" s="268">
        <f t="shared" si="37"/>
        <v>1.9609999999999999</v>
      </c>
      <c r="AD145" s="267">
        <f>IFERROR(VLOOKUP($A145,Supp_24,14,FALSE),0)+IFERROR(SUMPRODUCT(VLOOKUP($A145,S275_01,{2,3,4},FALSE)),0)+IFERROR(SUMPRODUCT(VLOOKUP($A145,S275_97,{2,3,4},FALSE)),0)+IFERROR(ROUND(VLOOKUP($A145,S275_21,2,FALSE)*VLOOKUP($A145,'3121% SY'!$C$3:$M$324,11,FALSE),3),0)+IFERROR(ROUND(VLOOKUP($A145,S275_21,3,FALSE)*VLOOKUP($A145,'3121% SY'!$C$3:$M$324,11,FALSE),3),0)+IFERROR(ROUND(VLOOKUP($A145,S275_21,4,FALSE)*VLOOKUP($A145,'3121% SY'!$C$3:$M$324,11,FALSE),3),0)+IFERROR(VLOOKUP($A145,S275_09,2,FALSE),0)</f>
        <v>0</v>
      </c>
      <c r="AE145" s="267">
        <f>IFERROR(VLOOKUP($A145,Supp_25,14,FALSE),0)+IFERROR(SUMPRODUCT(VLOOKUP($A145,S275_01,{5,6,7},FALSE)),0)+IFERROR(SUMPRODUCT(VLOOKUP($A145,S275_97,{5,6,7},FALSE)),0)+IFERROR(ROUND(VLOOKUP($A145,S275_21,5,FALSE)*VLOOKUP($A145,'3121% SY'!$C$3:$M$324,11,FALSE),3),0)+IFERROR(ROUND(VLOOKUP($A145,S275_21,6,FALSE)*VLOOKUP($A145,'3121% SY'!$C$3:$M$324,11,FALSE),3),0)+IFERROR(ROUND(VLOOKUP($A145,S275_21,7,FALSE)*VLOOKUP($A145,'3121% SY'!$C$3:$M$324,11,FALSE),3),0)+IFERROR(VLOOKUP($A145,S275_09,3,FALSE),0)</f>
        <v>0</v>
      </c>
      <c r="AF145" s="267">
        <f>IFERROR(VLOOKUP($A145,Supp_26,14,FALSE),0)+IFERROR(SUMPRODUCT(VLOOKUP($A145,S275_01,{8,9,10},FALSE)),0)+IFERROR(SUMPRODUCT(VLOOKUP($A145,S275_97,{8,9,10},FALSE)),0)+IFERROR(ROUND(VLOOKUP($A145,S275_21,8,FALSE)*VLOOKUP($A145,'3121% SY'!$C$3:$M$324,11,FALSE),3),0)+IFERROR(ROUND(VLOOKUP($A145,S275_21,9,FALSE)*VLOOKUP($A145,'3121% SY'!$C$3:$M$324,11,FALSE),3),0)+IFERROR(ROUND(VLOOKUP($A145,S275_21,10,FALSE)*VLOOKUP($A145,'3121% SY'!$C$3:$M$324,11,FALSE),3),0)+IFERROR(VLOOKUP($A145,S275_09,4,FALSE),0)</f>
        <v>0.77700000000000002</v>
      </c>
      <c r="AG145" s="267">
        <f>IFERROR(VLOOKUP($A145,Supp_35,14,FALSE),0)+IFERROR(SUMPRODUCT(VLOOKUP($A145,S275_01,{11,12,13},FALSE)),0)+IFERROR(SUMPRODUCT(VLOOKUP($A145,S275_97,{11,12,13},FALSE)),0)+IFERROR(ROUND(VLOOKUP($A145,S275_21,11,FALSE)*VLOOKUP($A145,'3121% SY'!$C$3:$M$324,11,FALSE),3),0)+IFERROR(ROUND(VLOOKUP($A145,S275_21,12,FALSE)*VLOOKUP($A145,'3121% SY'!$C$3:$M$324,11,FALSE),3),0)+IFERROR(ROUND(VLOOKUP($A145,S275_21,13,FALSE)*VLOOKUP($A145,'3121% SY'!$C$3:$M$324,11,FALSE),3),0)+IFERROR(VLOOKUP($A145,S275_09,5,FALSE),0)</f>
        <v>0</v>
      </c>
      <c r="AH145" s="165">
        <f t="shared" si="38"/>
        <v>0.77700000000000002</v>
      </c>
      <c r="AI145" s="161">
        <f>IFERROR(VLOOKUP(A145,'Supp Staff Data'!A:ER,148,FALSE),0)+AB145</f>
        <v>0</v>
      </c>
      <c r="AJ145" s="174">
        <v>1</v>
      </c>
      <c r="AK145" s="25">
        <f>VLOOKUP(A145,'Enroll Data as of January 2025'!$A$3:$T$323,20,FALSE)-F145</f>
        <v>0</v>
      </c>
    </row>
    <row r="146" spans="1:37" x14ac:dyDescent="0.25">
      <c r="A146" s="171" t="s">
        <v>286</v>
      </c>
      <c r="B146" t="s">
        <v>582</v>
      </c>
      <c r="C146" s="173" t="s">
        <v>1077</v>
      </c>
      <c r="D146" s="259">
        <f t="shared" si="30"/>
        <v>0.81199999999999994</v>
      </c>
      <c r="E146" s="259">
        <f t="shared" si="31"/>
        <v>1.169</v>
      </c>
      <c r="F146" s="262">
        <f t="shared" si="32"/>
        <v>0.35699999999999998</v>
      </c>
      <c r="G146" s="161">
        <f>ROUND(IF(F146&lt;0,F146*'2024-25 PSES Compliance'!$G$13,0),3)</f>
        <v>0</v>
      </c>
      <c r="H146" s="161">
        <f>ROUND(IF(F146&lt;0,F146*'2024-25 PSES Compliance'!$G$14,0),3)</f>
        <v>0</v>
      </c>
      <c r="I146" s="174">
        <f t="shared" si="33"/>
        <v>0.52352437981180489</v>
      </c>
      <c r="J146" s="174">
        <f t="shared" si="34"/>
        <v>0</v>
      </c>
      <c r="K146" s="161">
        <f>VLOOKUP($A146,'Enroll Data as of January 2025'!$A$3:$M$322,6,FALSE)</f>
        <v>0.45499999999999996</v>
      </c>
      <c r="L146" s="161">
        <f>VLOOKUP($A146,'Enroll Data as of January 2025'!$A$3:$M$322,7,FALSE)</f>
        <v>7.6000000000000012E-2</v>
      </c>
      <c r="M146" s="161">
        <f>VLOOKUP($A146,'Enroll Data as of January 2025'!$A$3:$M$322,8,FALSE)</f>
        <v>2.5000000000000001E-2</v>
      </c>
      <c r="N146" s="161">
        <f>VLOOKUP($A146,'Enroll Data as of January 2025'!$A$3:$M$322,9,FALSE)</f>
        <v>0.21099999999999997</v>
      </c>
      <c r="O146" s="165">
        <f t="shared" si="35"/>
        <v>0.7669999999999999</v>
      </c>
      <c r="P146" s="161">
        <f>VLOOKUP($A146,'Enroll Data as of January 2025'!$A$3:$M$322,11,FALSE)</f>
        <v>2.8000000000000001E-2</v>
      </c>
      <c r="Q146" s="161">
        <f>VLOOKUP($A146,'Enroll Data as of January 2025'!$A$3:$M$322,12,FALSE)</f>
        <v>1.7000000000000001E-2</v>
      </c>
      <c r="R146" s="165">
        <f t="shared" si="36"/>
        <v>4.4999999999999998E-2</v>
      </c>
      <c r="S146" s="267">
        <f>IFERROR(VLOOKUP($A146,Supp_39,14,FALSE),0)+IFERROR(SUMPRODUCT(VLOOKUP($A146,S275_01,{14,15,16},FALSE)),0)+IFERROR(SUMPRODUCT(VLOOKUP($A146,S275_97,{14,15,16},FALSE)),0)+IFERROR(ROUND(VLOOKUP($A146,S275_21,14,FALSE)*VLOOKUP($A146,'3121% SY'!$C$3:$M$324,11,FALSE),3),0)+IFERROR(ROUND(VLOOKUP($A146,S275_21,15,FALSE)*VLOOKUP($A146,'3121% SY'!$C$3:$M$324,11,FALSE),3),0)+IFERROR(ROUND(VLOOKUP($A146,S275_21,16,FALSE)*VLOOKUP($A146,'3121% SY'!$C$3:$M$324,11,FALSE),3),0)+IFERROR(VLOOKUP($A146,S275_09,6,FALSE),0)</f>
        <v>0</v>
      </c>
      <c r="T146" s="267">
        <f>IFERROR(VLOOKUP($A146,Supp_42,14,FALSE),0)+IFERROR(SUMPRODUCT(VLOOKUP($A146,S275_01,{17,18,19},FALSE)),0)+IFERROR(SUMPRODUCT(VLOOKUP($A146,S275_97,{17,18,19},FALSE)),0)+IFERROR(ROUND(VLOOKUP($A146,S275_21,17,FALSE)*VLOOKUP($A146,'3121% SY'!$C$3:$M$324,11,FALSE),3),0)+IFERROR(ROUND(VLOOKUP($A146,S275_21,18,FALSE)*VLOOKUP($A146,'3121% SY'!$C$3:$M$324,11,FALSE),3),0)+IFERROR(ROUND(VLOOKUP($A146,S275_21,19,FALSE)*VLOOKUP($A146,'3121% SY'!$C$3:$M$324,11,FALSE),3),0)+IFERROR(VLOOKUP($A146,S275_09,7,FALSE),0)</f>
        <v>0</v>
      </c>
      <c r="U146" s="267">
        <f>IFERROR(VLOOKUP($A146,Supp_43,14,FALSE),0)+IFERROR(SUMPRODUCT(VLOOKUP($A146,S275_01,{20,21,22},FALSE)),0)+IFERROR(SUMPRODUCT(VLOOKUP($A146,S275_97,{20,21,22},FALSE)),0)+IFERROR(ROUND(VLOOKUP($A146,S275_21,20,FALSE)*VLOOKUP($A146,'3121% SY'!$C$3:$M$324,11,FALSE),3),0)+IFERROR(ROUND(VLOOKUP($A146,S275_21,21,FALSE)*VLOOKUP($A146,'3121% SY'!$C$3:$M$324,11,FALSE),3),0)+IFERROR(ROUND(VLOOKUP($A146,S275_21,22,FALSE)*VLOOKUP($A146,'3121% SY'!$C$3:$M$324,11,FALSE),3),0)+IFERROR(VLOOKUP($A146,S275_09,8,FALSE),0)</f>
        <v>0</v>
      </c>
      <c r="V146" s="267">
        <f>IFERROR(VLOOKUP($A146,Supp_44,14,FALSE),0)+IFERROR(SUMPRODUCT(VLOOKUP($A146,S275_01,{23,24,25},FALSE)),0)+IFERROR(SUMPRODUCT(VLOOKUP($A146,S275_97,{23,24,25},FALSE)),0)+IFERROR(ROUND(VLOOKUP($A146,S275_21,23,FALSE)*VLOOKUP($A146,'3121% SY'!$C$3:$M$324,11,FALSE),3),0)+IFERROR(ROUND(VLOOKUP($A146,S275_21,24,FALSE)*VLOOKUP($A146,'3121% SY'!$C$3:$M$324,11,FALSE),3),0)+IFERROR(ROUND(VLOOKUP($A146,S275_21,25,FALSE)*VLOOKUP($A146,'3121% SY'!$C$3:$M$324,11,FALSE),3),0)+IFERROR(VLOOKUP($A146,S275_09,9,FALSE),0)</f>
        <v>0</v>
      </c>
      <c r="W146" s="267">
        <f>IFERROR(VLOOKUP($A146,Supp_45,14,FALSE),0)+IFERROR(SUMPRODUCT(VLOOKUP($A146,S275_01,{26,27,28},FALSE)),0)+IFERROR(SUMPRODUCT(VLOOKUP($A146,S275_97,{26,27,28},FALSE)),0)+IFERROR(ROUND(VLOOKUP($A146,S275_21,26,FALSE)*VLOOKUP($A146,'3121% SY'!$C$3:$M$324,11,FALSE),3),0)+IFERROR(ROUND(VLOOKUP($A146,S275_21,27,FALSE)*VLOOKUP($A146,'3121% SY'!$C$3:$M$324,11,FALSE),3),0)+IFERROR(ROUND(VLOOKUP($A146,S275_21,28,FALSE)*VLOOKUP($A146,'3121% SY'!$C$3:$M$324,11,FALSE),3),0)+IFERROR(VLOOKUP($A146,S275_09,10,FALSE),0)</f>
        <v>0</v>
      </c>
      <c r="X146" s="267">
        <f>IFERROR(VLOOKUP($A146,Supp_46,14,FALSE),0)+IFERROR(SUMPRODUCT(VLOOKUP($A146,S275_01,{29,30,31},FALSE)),0)+IFERROR(SUMPRODUCT(VLOOKUP($A146,S275_97,{29,30,31},FALSE)),0)+IFERROR(ROUND(VLOOKUP($A146,S275_21,29,FALSE)*VLOOKUP($A146,'3121% SY'!$C$3:$M$324,11,FALSE),3),0)+IFERROR(ROUND(VLOOKUP($A146,S275_21,30,FALSE)*VLOOKUP($A146,'3121% SY'!$C$3:$M$324,11,FALSE),3),0)+IFERROR(ROUND(VLOOKUP($A146,S275_21,31,FALSE)*VLOOKUP($A146,'3121% SY'!$C$3:$M$324,11,FALSE),3),0)+IFERROR(VLOOKUP($A146,S275_09,11,FALSE),0)</f>
        <v>0</v>
      </c>
      <c r="Y146" s="267">
        <f>IFERROR(VLOOKUP($A146,Supp_47,14,FALSE),0)+IFERROR(SUMPRODUCT(VLOOKUP($A146,S275_01,{32,33,34},FALSE)),0)+IFERROR(SUMPRODUCT(VLOOKUP($A146,S275_97,{32,33,34},FALSE)),0)+IFERROR(ROUND(VLOOKUP($A146,S275_21,32,FALSE)*VLOOKUP($A146,'3121% SY'!$C$3:$M$324,11,FALSE),3),0)+IFERROR(ROUND(VLOOKUP($A146,S275_21,33,FALSE)*VLOOKUP($A146,'3121% SY'!$C$3:$M$324,11,FALSE),3),0)+IFERROR(ROUND(VLOOKUP($A146,S275_21,34,FALSE)*VLOOKUP($A146,'3121% SY'!$C$3:$M$324,11,FALSE),3),0)+IFERROR(VLOOKUP($A146,S275_09,12,FALSE),0)</f>
        <v>0</v>
      </c>
      <c r="Z146" s="267">
        <f>IFERROR(VLOOKUP($A146,Supp_48,14,FALSE),0)+IFERROR(SUMPRODUCT(VLOOKUP($A146,S275_01,{35,36,37},FALSE)),0)+IFERROR(SUMPRODUCT(VLOOKUP($A146,S275_97,{35,36,37},FALSE)),0)+IFERROR(ROUND(VLOOKUP($A146,S275_21,35,FALSE)*VLOOKUP($A146,'3121% SY'!$C$3:$M$324,11,FALSE),3),0)+IFERROR(ROUND(VLOOKUP($A146,S275_21,36,FALSE)*VLOOKUP($A146,'3121% SY'!$C$3:$M$324,11,FALSE),3),0)+IFERROR(ROUND(VLOOKUP($A146,S275_21,37,FALSE)*VLOOKUP($A146,'3121% SY'!$C$3:$M$324,11,FALSE),3),0)+IFERROR(VLOOKUP($A146,S275_09,13,FALSE),0)</f>
        <v>0.40799999999999997</v>
      </c>
      <c r="AA146" s="267">
        <f>IFERROR(VLOOKUP($A146,Supp_49,14,FALSE),0)+IFERROR(SUMPRODUCT(VLOOKUP($A146,S275_01,{38,39,40},FALSE)),0)+IFERROR(SUMPRODUCT(VLOOKUP($A146,S275_97,{38,39,40},FALSE)),0)+IFERROR(ROUND(VLOOKUP($A146,S275_21,38,FALSE)*VLOOKUP($A146,'3121% SY'!$C$3:$M$324,11,FALSE),3),0)+IFERROR(ROUND(VLOOKUP($A146,S275_21,39,FALSE)*VLOOKUP($A146,'3121% SY'!$C$3:$M$324,11,FALSE),3),0)+IFERROR(ROUND(VLOOKUP($A146,S275_21,40,FALSE)*VLOOKUP($A146,'3121% SY'!$C$3:$M$324,11,FALSE),3),0)+IFERROR(VLOOKUP($A146,S275_09,14,FALSE),0)</f>
        <v>0.20399999999999999</v>
      </c>
      <c r="AB146" s="267">
        <f>IFERROR(VLOOKUP($A146,Supp_64,14,FALSE),0)+IFERROR(SUMPRODUCT(VLOOKUP($A146,S275_01,{41,42,43},FALSE)),0)+IFERROR(SUMPRODUCT(VLOOKUP($A146,S275_97,{41,42,43},FALSE)),0)+IFERROR(ROUND(VLOOKUP($A146,S275_21,41,FALSE)*VLOOKUP($A146,'3121% SY'!$C$3:$M$324,11,FALSE),3),0)+IFERROR(ROUND(VLOOKUP($A146,S275_21,42,FALSE)*VLOOKUP($A146,'3121% SY'!$C$3:$M$324,11,FALSE),3),0)+IFERROR(ROUND(VLOOKUP($A146,S275_21,43,FALSE)*VLOOKUP($A146,'3121% SY'!$C$3:$M$324,11,FALSE),3),0)+IFERROR(VLOOKUP($A146,S275_09,15,FALSE),0)</f>
        <v>0</v>
      </c>
      <c r="AC146" s="268">
        <f t="shared" si="37"/>
        <v>0.61199999999999999</v>
      </c>
      <c r="AD146" s="267">
        <f>IFERROR(VLOOKUP($A146,Supp_24,14,FALSE),0)+IFERROR(SUMPRODUCT(VLOOKUP($A146,S275_01,{2,3,4},FALSE)),0)+IFERROR(SUMPRODUCT(VLOOKUP($A146,S275_97,{2,3,4},FALSE)),0)+IFERROR(ROUND(VLOOKUP($A146,S275_21,2,FALSE)*VLOOKUP($A146,'3121% SY'!$C$3:$M$324,11,FALSE),3),0)+IFERROR(ROUND(VLOOKUP($A146,S275_21,3,FALSE)*VLOOKUP($A146,'3121% SY'!$C$3:$M$324,11,FALSE),3),0)+IFERROR(ROUND(VLOOKUP($A146,S275_21,4,FALSE)*VLOOKUP($A146,'3121% SY'!$C$3:$M$324,11,FALSE),3),0)+IFERROR(VLOOKUP($A146,S275_09,2,FALSE),0)</f>
        <v>0</v>
      </c>
      <c r="AE146" s="267">
        <f>IFERROR(VLOOKUP($A146,Supp_25,14,FALSE),0)+IFERROR(SUMPRODUCT(VLOOKUP($A146,S275_01,{5,6,7},FALSE)),0)+IFERROR(SUMPRODUCT(VLOOKUP($A146,S275_97,{5,6,7},FALSE)),0)+IFERROR(ROUND(VLOOKUP($A146,S275_21,5,FALSE)*VLOOKUP($A146,'3121% SY'!$C$3:$M$324,11,FALSE),3),0)+IFERROR(ROUND(VLOOKUP($A146,S275_21,6,FALSE)*VLOOKUP($A146,'3121% SY'!$C$3:$M$324,11,FALSE),3),0)+IFERROR(ROUND(VLOOKUP($A146,S275_21,7,FALSE)*VLOOKUP($A146,'3121% SY'!$C$3:$M$324,11,FALSE),3),0)+IFERROR(VLOOKUP($A146,S275_09,3,FALSE),0)</f>
        <v>0.27800000000000002</v>
      </c>
      <c r="AF146" s="267">
        <f>IFERROR(VLOOKUP($A146,Supp_26,14,FALSE),0)+IFERROR(SUMPRODUCT(VLOOKUP($A146,S275_01,{8,9,10},FALSE)),0)+IFERROR(SUMPRODUCT(VLOOKUP($A146,S275_97,{8,9,10},FALSE)),0)+IFERROR(ROUND(VLOOKUP($A146,S275_21,8,FALSE)*VLOOKUP($A146,'3121% SY'!$C$3:$M$324,11,FALSE),3),0)+IFERROR(ROUND(VLOOKUP($A146,S275_21,9,FALSE)*VLOOKUP($A146,'3121% SY'!$C$3:$M$324,11,FALSE),3),0)+IFERROR(ROUND(VLOOKUP($A146,S275_21,10,FALSE)*VLOOKUP($A146,'3121% SY'!$C$3:$M$324,11,FALSE),3),0)+IFERROR(VLOOKUP($A146,S275_09,4,FALSE),0)</f>
        <v>0.27900000000000003</v>
      </c>
      <c r="AG146" s="267">
        <f>IFERROR(VLOOKUP($A146,Supp_35,14,FALSE),0)+IFERROR(SUMPRODUCT(VLOOKUP($A146,S275_01,{11,12,13},FALSE)),0)+IFERROR(SUMPRODUCT(VLOOKUP($A146,S275_97,{11,12,13},FALSE)),0)+IFERROR(ROUND(VLOOKUP($A146,S275_21,11,FALSE)*VLOOKUP($A146,'3121% SY'!$C$3:$M$324,11,FALSE),3),0)+IFERROR(ROUND(VLOOKUP($A146,S275_21,12,FALSE)*VLOOKUP($A146,'3121% SY'!$C$3:$M$324,11,FALSE),3),0)+IFERROR(ROUND(VLOOKUP($A146,S275_21,13,FALSE)*VLOOKUP($A146,'3121% SY'!$C$3:$M$324,11,FALSE),3),0)+IFERROR(VLOOKUP($A146,S275_09,5,FALSE),0)</f>
        <v>0</v>
      </c>
      <c r="AH146" s="165">
        <f t="shared" si="38"/>
        <v>0.55700000000000005</v>
      </c>
      <c r="AI146" s="161">
        <f>IFERROR(VLOOKUP(A146,'Supp Staff Data'!A:ER,148,FALSE),0)+AB146</f>
        <v>0</v>
      </c>
      <c r="AJ146" s="174">
        <v>1</v>
      </c>
      <c r="AK146" s="25">
        <f>VLOOKUP(A146,'Enroll Data as of January 2025'!$A$3:$T$323,20,FALSE)-F146</f>
        <v>0</v>
      </c>
    </row>
    <row r="147" spans="1:37" x14ac:dyDescent="0.25">
      <c r="A147" s="171" t="s">
        <v>280</v>
      </c>
      <c r="B147" t="s">
        <v>576</v>
      </c>
      <c r="C147" s="173" t="s">
        <v>1086</v>
      </c>
      <c r="D147" s="259">
        <f t="shared" si="30"/>
        <v>2.8540000000000001</v>
      </c>
      <c r="E147" s="259">
        <f t="shared" si="31"/>
        <v>4.9780000000000006</v>
      </c>
      <c r="F147" s="262">
        <f t="shared" si="32"/>
        <v>2.1240000000000001</v>
      </c>
      <c r="G147" s="161">
        <f>ROUND(IF(F147&lt;0,F147*'2024-25 PSES Compliance'!$G$13,0),3)</f>
        <v>0</v>
      </c>
      <c r="H147" s="161">
        <f>ROUND(IF(F147&lt;0,F147*'2024-25 PSES Compliance'!$G$14,0),3)</f>
        <v>0</v>
      </c>
      <c r="I147" s="174">
        <f t="shared" si="33"/>
        <v>0</v>
      </c>
      <c r="J147" s="174">
        <f t="shared" si="34"/>
        <v>0.60867818400964235</v>
      </c>
      <c r="K147" s="161">
        <f>VLOOKUP($A147,'Enroll Data as of January 2025'!$A$3:$M$322,6,FALSE)</f>
        <v>1.6280000000000001</v>
      </c>
      <c r="L147" s="161">
        <f>VLOOKUP($A147,'Enroll Data as of January 2025'!$A$3:$M$322,7,FALSE)</f>
        <v>0.253</v>
      </c>
      <c r="M147" s="161">
        <f>VLOOKUP($A147,'Enroll Data as of January 2025'!$A$3:$M$322,8,FALSE)</f>
        <v>8.5000000000000006E-2</v>
      </c>
      <c r="N147" s="161">
        <f>VLOOKUP($A147,'Enroll Data as of January 2025'!$A$3:$M$322,9,FALSE)</f>
        <v>0.7330000000000001</v>
      </c>
      <c r="O147" s="165">
        <f t="shared" si="35"/>
        <v>2.6990000000000003</v>
      </c>
      <c r="P147" s="161">
        <f>VLOOKUP($A147,'Enroll Data as of January 2025'!$A$3:$M$322,11,FALSE)</f>
        <v>0.1</v>
      </c>
      <c r="Q147" s="161">
        <f>VLOOKUP($A147,'Enroll Data as of January 2025'!$A$3:$M$322,12,FALSE)</f>
        <v>5.5E-2</v>
      </c>
      <c r="R147" s="165">
        <f t="shared" si="36"/>
        <v>0.155</v>
      </c>
      <c r="S147" s="267">
        <f>IFERROR(VLOOKUP($A147,Supp_39,14,FALSE),0)+IFERROR(SUMPRODUCT(VLOOKUP($A147,S275_01,{14,15,16},FALSE)),0)+IFERROR(SUMPRODUCT(VLOOKUP($A147,S275_97,{14,15,16},FALSE)),0)+IFERROR(ROUND(VLOOKUP($A147,S275_21,14,FALSE)*VLOOKUP($A147,'3121% SY'!$C$3:$M$324,11,FALSE),3),0)+IFERROR(ROUND(VLOOKUP($A147,S275_21,15,FALSE)*VLOOKUP($A147,'3121% SY'!$C$3:$M$324,11,FALSE),3),0)+IFERROR(ROUND(VLOOKUP($A147,S275_21,16,FALSE)*VLOOKUP($A147,'3121% SY'!$C$3:$M$324,11,FALSE),3),0)+IFERROR(VLOOKUP($A147,S275_09,6,FALSE),0)</f>
        <v>1.4409999999999998</v>
      </c>
      <c r="T147" s="267">
        <f>IFERROR(VLOOKUP($A147,Supp_42,14,FALSE),0)+IFERROR(SUMPRODUCT(VLOOKUP($A147,S275_01,{17,18,19},FALSE)),0)+IFERROR(SUMPRODUCT(VLOOKUP($A147,S275_97,{17,18,19},FALSE)),0)+IFERROR(ROUND(VLOOKUP($A147,S275_21,17,FALSE)*VLOOKUP($A147,'3121% SY'!$C$3:$M$324,11,FALSE),3),0)+IFERROR(ROUND(VLOOKUP($A147,S275_21,18,FALSE)*VLOOKUP($A147,'3121% SY'!$C$3:$M$324,11,FALSE),3),0)+IFERROR(ROUND(VLOOKUP($A147,S275_21,19,FALSE)*VLOOKUP($A147,'3121% SY'!$C$3:$M$324,11,FALSE),3),0)+IFERROR(VLOOKUP($A147,S275_09,7,FALSE),0)</f>
        <v>1.3340000000000001</v>
      </c>
      <c r="U147" s="267">
        <f>IFERROR(VLOOKUP($A147,Supp_43,14,FALSE),0)+IFERROR(SUMPRODUCT(VLOOKUP($A147,S275_01,{20,21,22},FALSE)),0)+IFERROR(SUMPRODUCT(VLOOKUP($A147,S275_97,{20,21,22},FALSE)),0)+IFERROR(ROUND(VLOOKUP($A147,S275_21,20,FALSE)*VLOOKUP($A147,'3121% SY'!$C$3:$M$324,11,FALSE),3),0)+IFERROR(ROUND(VLOOKUP($A147,S275_21,21,FALSE)*VLOOKUP($A147,'3121% SY'!$C$3:$M$324,11,FALSE),3),0)+IFERROR(ROUND(VLOOKUP($A147,S275_21,22,FALSE)*VLOOKUP($A147,'3121% SY'!$C$3:$M$324,11,FALSE),3),0)+IFERROR(VLOOKUP($A147,S275_09,8,FALSE),0)</f>
        <v>4.0999999999999995E-2</v>
      </c>
      <c r="V147" s="267">
        <f>IFERROR(VLOOKUP($A147,Supp_44,14,FALSE),0)+IFERROR(SUMPRODUCT(VLOOKUP($A147,S275_01,{23,24,25},FALSE)),0)+IFERROR(SUMPRODUCT(VLOOKUP($A147,S275_97,{23,24,25},FALSE)),0)+IFERROR(ROUND(VLOOKUP($A147,S275_21,23,FALSE)*VLOOKUP($A147,'3121% SY'!$C$3:$M$324,11,FALSE),3),0)+IFERROR(ROUND(VLOOKUP($A147,S275_21,24,FALSE)*VLOOKUP($A147,'3121% SY'!$C$3:$M$324,11,FALSE),3),0)+IFERROR(ROUND(VLOOKUP($A147,S275_21,25,FALSE)*VLOOKUP($A147,'3121% SY'!$C$3:$M$324,11,FALSE),3),0)+IFERROR(VLOOKUP($A147,S275_09,9,FALSE),0)</f>
        <v>0</v>
      </c>
      <c r="W147" s="267">
        <f>IFERROR(VLOOKUP($A147,Supp_45,14,FALSE),0)+IFERROR(SUMPRODUCT(VLOOKUP($A147,S275_01,{26,27,28},FALSE)),0)+IFERROR(SUMPRODUCT(VLOOKUP($A147,S275_97,{26,27,28},FALSE)),0)+IFERROR(ROUND(VLOOKUP($A147,S275_21,26,FALSE)*VLOOKUP($A147,'3121% SY'!$C$3:$M$324,11,FALSE),3),0)+IFERROR(ROUND(VLOOKUP($A147,S275_21,27,FALSE)*VLOOKUP($A147,'3121% SY'!$C$3:$M$324,11,FALSE),3),0)+IFERROR(ROUND(VLOOKUP($A147,S275_21,28,FALSE)*VLOOKUP($A147,'3121% SY'!$C$3:$M$324,11,FALSE),3),0)+IFERROR(VLOOKUP($A147,S275_09,10,FALSE),0)</f>
        <v>0.184</v>
      </c>
      <c r="X147" s="267">
        <f>IFERROR(VLOOKUP($A147,Supp_46,14,FALSE),0)+IFERROR(SUMPRODUCT(VLOOKUP($A147,S275_01,{29,30,31},FALSE)),0)+IFERROR(SUMPRODUCT(VLOOKUP($A147,S275_97,{29,30,31},FALSE)),0)+IFERROR(ROUND(VLOOKUP($A147,S275_21,29,FALSE)*VLOOKUP($A147,'3121% SY'!$C$3:$M$324,11,FALSE),3),0)+IFERROR(ROUND(VLOOKUP($A147,S275_21,30,FALSE)*VLOOKUP($A147,'3121% SY'!$C$3:$M$324,11,FALSE),3),0)+IFERROR(ROUND(VLOOKUP($A147,S275_21,31,FALSE)*VLOOKUP($A147,'3121% SY'!$C$3:$M$324,11,FALSE),3),0)+IFERROR(VLOOKUP($A147,S275_09,11,FALSE),0)</f>
        <v>9.4E-2</v>
      </c>
      <c r="Y147" s="267">
        <f>IFERROR(VLOOKUP($A147,Supp_47,14,FALSE),0)+IFERROR(SUMPRODUCT(VLOOKUP($A147,S275_01,{32,33,34},FALSE)),0)+IFERROR(SUMPRODUCT(VLOOKUP($A147,S275_97,{32,33,34},FALSE)),0)+IFERROR(ROUND(VLOOKUP($A147,S275_21,32,FALSE)*VLOOKUP($A147,'3121% SY'!$C$3:$M$324,11,FALSE),3),0)+IFERROR(ROUND(VLOOKUP($A147,S275_21,33,FALSE)*VLOOKUP($A147,'3121% SY'!$C$3:$M$324,11,FALSE),3),0)+IFERROR(ROUND(VLOOKUP($A147,S275_21,34,FALSE)*VLOOKUP($A147,'3121% SY'!$C$3:$M$324,11,FALSE),3),0)+IFERROR(VLOOKUP($A147,S275_09,12,FALSE),0)</f>
        <v>1.2000000000000002</v>
      </c>
      <c r="Z147" s="267">
        <f>IFERROR(VLOOKUP($A147,Supp_48,14,FALSE),0)+IFERROR(SUMPRODUCT(VLOOKUP($A147,S275_01,{35,36,37},FALSE)),0)+IFERROR(SUMPRODUCT(VLOOKUP($A147,S275_97,{35,36,37},FALSE)),0)+IFERROR(ROUND(VLOOKUP($A147,S275_21,35,FALSE)*VLOOKUP($A147,'3121% SY'!$C$3:$M$324,11,FALSE),3),0)+IFERROR(ROUND(VLOOKUP($A147,S275_21,36,FALSE)*VLOOKUP($A147,'3121% SY'!$C$3:$M$324,11,FALSE),3),0)+IFERROR(ROUND(VLOOKUP($A147,S275_21,37,FALSE)*VLOOKUP($A147,'3121% SY'!$C$3:$M$324,11,FALSE),3),0)+IFERROR(VLOOKUP($A147,S275_09,13,FALSE),0)</f>
        <v>1.7999999999999999E-2</v>
      </c>
      <c r="AA147" s="267">
        <f>IFERROR(VLOOKUP($A147,Supp_49,14,FALSE),0)+IFERROR(SUMPRODUCT(VLOOKUP($A147,S275_01,{38,39,40},FALSE)),0)+IFERROR(SUMPRODUCT(VLOOKUP($A147,S275_97,{38,39,40},FALSE)),0)+IFERROR(ROUND(VLOOKUP($A147,S275_21,38,FALSE)*VLOOKUP($A147,'3121% SY'!$C$3:$M$324,11,FALSE),3),0)+IFERROR(ROUND(VLOOKUP($A147,S275_21,39,FALSE)*VLOOKUP($A147,'3121% SY'!$C$3:$M$324,11,FALSE),3),0)+IFERROR(ROUND(VLOOKUP($A147,S275_21,40,FALSE)*VLOOKUP($A147,'3121% SY'!$C$3:$M$324,11,FALSE),3),0)+IFERROR(VLOOKUP($A147,S275_09,14,FALSE),0)</f>
        <v>0</v>
      </c>
      <c r="AB147" s="267">
        <f>IFERROR(VLOOKUP($A147,Supp_64,14,FALSE),0)+IFERROR(SUMPRODUCT(VLOOKUP($A147,S275_01,{41,42,43},FALSE)),0)+IFERROR(SUMPRODUCT(VLOOKUP($A147,S275_97,{41,42,43},FALSE)),0)+IFERROR(ROUND(VLOOKUP($A147,S275_21,41,FALSE)*VLOOKUP($A147,'3121% SY'!$C$3:$M$324,11,FALSE),3),0)+IFERROR(ROUND(VLOOKUP($A147,S275_21,42,FALSE)*VLOOKUP($A147,'3121% SY'!$C$3:$M$324,11,FALSE),3),0)+IFERROR(ROUND(VLOOKUP($A147,S275_21,43,FALSE)*VLOOKUP($A147,'3121% SY'!$C$3:$M$324,11,FALSE),3),0)+IFERROR(VLOOKUP($A147,S275_09,15,FALSE),0)</f>
        <v>0</v>
      </c>
      <c r="AC147" s="268">
        <f t="shared" si="37"/>
        <v>4.3120000000000003</v>
      </c>
      <c r="AD147" s="267">
        <f>IFERROR(VLOOKUP($A147,Supp_24,14,FALSE),0)+IFERROR(SUMPRODUCT(VLOOKUP($A147,S275_01,{2,3,4},FALSE)),0)+IFERROR(SUMPRODUCT(VLOOKUP($A147,S275_97,{2,3,4},FALSE)),0)+IFERROR(ROUND(VLOOKUP($A147,S275_21,2,FALSE)*VLOOKUP($A147,'3121% SY'!$C$3:$M$324,11,FALSE),3),0)+IFERROR(ROUND(VLOOKUP($A147,S275_21,3,FALSE)*VLOOKUP($A147,'3121% SY'!$C$3:$M$324,11,FALSE),3),0)+IFERROR(ROUND(VLOOKUP($A147,S275_21,4,FALSE)*VLOOKUP($A147,'3121% SY'!$C$3:$M$324,11,FALSE),3),0)+IFERROR(VLOOKUP($A147,S275_09,2,FALSE),0)</f>
        <v>0</v>
      </c>
      <c r="AE147" s="267">
        <f>IFERROR(VLOOKUP($A147,Supp_25,14,FALSE),0)+IFERROR(SUMPRODUCT(VLOOKUP($A147,S275_01,{5,6,7},FALSE)),0)+IFERROR(SUMPRODUCT(VLOOKUP($A147,S275_97,{5,6,7},FALSE)),0)+IFERROR(ROUND(VLOOKUP($A147,S275_21,5,FALSE)*VLOOKUP($A147,'3121% SY'!$C$3:$M$324,11,FALSE),3),0)+IFERROR(ROUND(VLOOKUP($A147,S275_21,6,FALSE)*VLOOKUP($A147,'3121% SY'!$C$3:$M$324,11,FALSE),3),0)+IFERROR(ROUND(VLOOKUP($A147,S275_21,7,FALSE)*VLOOKUP($A147,'3121% SY'!$C$3:$M$324,11,FALSE),3),0)+IFERROR(VLOOKUP($A147,S275_09,3,FALSE),0)</f>
        <v>0.54100000000000004</v>
      </c>
      <c r="AF147" s="267">
        <f>IFERROR(VLOOKUP($A147,Supp_26,14,FALSE),0)+IFERROR(SUMPRODUCT(VLOOKUP($A147,S275_01,{8,9,10},FALSE)),0)+IFERROR(SUMPRODUCT(VLOOKUP($A147,S275_97,{8,9,10},FALSE)),0)+IFERROR(ROUND(VLOOKUP($A147,S275_21,8,FALSE)*VLOOKUP($A147,'3121% SY'!$C$3:$M$324,11,FALSE),3),0)+IFERROR(ROUND(VLOOKUP($A147,S275_21,9,FALSE)*VLOOKUP($A147,'3121% SY'!$C$3:$M$324,11,FALSE),3),0)+IFERROR(ROUND(VLOOKUP($A147,S275_21,10,FALSE)*VLOOKUP($A147,'3121% SY'!$C$3:$M$324,11,FALSE),3),0)+IFERROR(VLOOKUP($A147,S275_09,4,FALSE),0)</f>
        <v>0</v>
      </c>
      <c r="AG147" s="267">
        <f>IFERROR(VLOOKUP($A147,Supp_35,14,FALSE),0)+IFERROR(SUMPRODUCT(VLOOKUP($A147,S275_01,{11,12,13},FALSE)),0)+IFERROR(SUMPRODUCT(VLOOKUP($A147,S275_97,{11,12,13},FALSE)),0)+IFERROR(ROUND(VLOOKUP($A147,S275_21,11,FALSE)*VLOOKUP($A147,'3121% SY'!$C$3:$M$324,11,FALSE),3),0)+IFERROR(ROUND(VLOOKUP($A147,S275_21,12,FALSE)*VLOOKUP($A147,'3121% SY'!$C$3:$M$324,11,FALSE),3),0)+IFERROR(ROUND(VLOOKUP($A147,S275_21,13,FALSE)*VLOOKUP($A147,'3121% SY'!$C$3:$M$324,11,FALSE),3),0)+IFERROR(VLOOKUP($A147,S275_09,5,FALSE),0)</f>
        <v>0.125</v>
      </c>
      <c r="AH147" s="165">
        <f t="shared" si="38"/>
        <v>0.66600000000000004</v>
      </c>
      <c r="AI147" s="161">
        <f>IFERROR(VLOOKUP(A147,'Supp Staff Data'!A:ER,148,FALSE),0)+AB147</f>
        <v>3.0300000000000002</v>
      </c>
      <c r="AJ147" s="174">
        <v>0</v>
      </c>
      <c r="AK147" s="25">
        <f>VLOOKUP(A147,'Enroll Data as of January 2025'!$A$3:$T$323,20,FALSE)-F147</f>
        <v>0</v>
      </c>
    </row>
    <row r="148" spans="1:37" x14ac:dyDescent="0.25">
      <c r="A148" s="171" t="s">
        <v>58</v>
      </c>
      <c r="B148" t="s">
        <v>354</v>
      </c>
      <c r="C148" s="173" t="s">
        <v>1077</v>
      </c>
      <c r="D148" s="259">
        <f t="shared" si="30"/>
        <v>1.006</v>
      </c>
      <c r="E148" s="259">
        <f t="shared" si="31"/>
        <v>1.788</v>
      </c>
      <c r="F148" s="262">
        <f t="shared" si="32"/>
        <v>0.78200000000000003</v>
      </c>
      <c r="G148" s="161">
        <f>ROUND(IF(F148&lt;0,F148*'2024-25 PSES Compliance'!$G$13,0),3)</f>
        <v>0</v>
      </c>
      <c r="H148" s="161">
        <f>ROUND(IF(F148&lt;0,F148*'2024-25 PSES Compliance'!$G$14,0),3)</f>
        <v>0</v>
      </c>
      <c r="I148" s="174">
        <f t="shared" si="33"/>
        <v>0.78299776286353473</v>
      </c>
      <c r="J148" s="174">
        <f t="shared" si="34"/>
        <v>0</v>
      </c>
      <c r="K148" s="161">
        <f>VLOOKUP($A148,'Enroll Data as of January 2025'!$A$3:$M$322,6,FALSE)</f>
        <v>0.57500000000000007</v>
      </c>
      <c r="L148" s="161">
        <f>VLOOKUP($A148,'Enroll Data as of January 2025'!$A$3:$M$322,7,FALSE)</f>
        <v>8.7999999999999995E-2</v>
      </c>
      <c r="M148" s="161">
        <f>VLOOKUP($A148,'Enroll Data as of January 2025'!$A$3:$M$322,8,FALSE)</f>
        <v>3.0000000000000002E-2</v>
      </c>
      <c r="N148" s="161">
        <f>VLOOKUP($A148,'Enroll Data as of January 2025'!$A$3:$M$322,9,FALSE)</f>
        <v>0.25900000000000001</v>
      </c>
      <c r="O148" s="165">
        <f t="shared" si="35"/>
        <v>0.95200000000000007</v>
      </c>
      <c r="P148" s="161">
        <f>VLOOKUP($A148,'Enroll Data as of January 2025'!$A$3:$M$322,11,FALSE)</f>
        <v>3.5000000000000003E-2</v>
      </c>
      <c r="Q148" s="161">
        <f>VLOOKUP($A148,'Enroll Data as of January 2025'!$A$3:$M$322,12,FALSE)</f>
        <v>1.9E-2</v>
      </c>
      <c r="R148" s="165">
        <f t="shared" si="36"/>
        <v>5.4000000000000006E-2</v>
      </c>
      <c r="S148" s="267">
        <f>IFERROR(VLOOKUP($A148,Supp_39,14,FALSE),0)+IFERROR(SUMPRODUCT(VLOOKUP($A148,S275_01,{14,15,16},FALSE)),0)+IFERROR(SUMPRODUCT(VLOOKUP($A148,S275_97,{14,15,16},FALSE)),0)+IFERROR(ROUND(VLOOKUP($A148,S275_21,14,FALSE)*VLOOKUP($A148,'3121% SY'!$C$3:$M$324,11,FALSE),3),0)+IFERROR(ROUND(VLOOKUP($A148,S275_21,15,FALSE)*VLOOKUP($A148,'3121% SY'!$C$3:$M$324,11,FALSE),3),0)+IFERROR(ROUND(VLOOKUP($A148,S275_21,16,FALSE)*VLOOKUP($A148,'3121% SY'!$C$3:$M$324,11,FALSE),3),0)+IFERROR(VLOOKUP($A148,S275_09,6,FALSE),0)</f>
        <v>1.45</v>
      </c>
      <c r="T148" s="267">
        <f>IFERROR(VLOOKUP($A148,Supp_42,14,FALSE),0)+IFERROR(SUMPRODUCT(VLOOKUP($A148,S275_01,{17,18,19},FALSE)),0)+IFERROR(SUMPRODUCT(VLOOKUP($A148,S275_97,{17,18,19},FALSE)),0)+IFERROR(ROUND(VLOOKUP($A148,S275_21,17,FALSE)*VLOOKUP($A148,'3121% SY'!$C$3:$M$324,11,FALSE),3),0)+IFERROR(ROUND(VLOOKUP($A148,S275_21,18,FALSE)*VLOOKUP($A148,'3121% SY'!$C$3:$M$324,11,FALSE),3),0)+IFERROR(ROUND(VLOOKUP($A148,S275_21,19,FALSE)*VLOOKUP($A148,'3121% SY'!$C$3:$M$324,11,FALSE),3),0)+IFERROR(VLOOKUP($A148,S275_09,7,FALSE),0)</f>
        <v>0.3</v>
      </c>
      <c r="U148" s="267">
        <f>IFERROR(VLOOKUP($A148,Supp_43,14,FALSE),0)+IFERROR(SUMPRODUCT(VLOOKUP($A148,S275_01,{20,21,22},FALSE)),0)+IFERROR(SUMPRODUCT(VLOOKUP($A148,S275_97,{20,21,22},FALSE)),0)+IFERROR(ROUND(VLOOKUP($A148,S275_21,20,FALSE)*VLOOKUP($A148,'3121% SY'!$C$3:$M$324,11,FALSE),3),0)+IFERROR(ROUND(VLOOKUP($A148,S275_21,21,FALSE)*VLOOKUP($A148,'3121% SY'!$C$3:$M$324,11,FALSE),3),0)+IFERROR(ROUND(VLOOKUP($A148,S275_21,22,FALSE)*VLOOKUP($A148,'3121% SY'!$C$3:$M$324,11,FALSE),3),0)+IFERROR(VLOOKUP($A148,S275_09,8,FALSE),0)</f>
        <v>0</v>
      </c>
      <c r="V148" s="267">
        <f>IFERROR(VLOOKUP($A148,Supp_44,14,FALSE),0)+IFERROR(SUMPRODUCT(VLOOKUP($A148,S275_01,{23,24,25},FALSE)),0)+IFERROR(SUMPRODUCT(VLOOKUP($A148,S275_97,{23,24,25},FALSE)),0)+IFERROR(ROUND(VLOOKUP($A148,S275_21,23,FALSE)*VLOOKUP($A148,'3121% SY'!$C$3:$M$324,11,FALSE),3),0)+IFERROR(ROUND(VLOOKUP($A148,S275_21,24,FALSE)*VLOOKUP($A148,'3121% SY'!$C$3:$M$324,11,FALSE),3),0)+IFERROR(ROUND(VLOOKUP($A148,S275_21,25,FALSE)*VLOOKUP($A148,'3121% SY'!$C$3:$M$324,11,FALSE),3),0)+IFERROR(VLOOKUP($A148,S275_09,9,FALSE),0)</f>
        <v>0</v>
      </c>
      <c r="W148" s="267">
        <f>IFERROR(VLOOKUP($A148,Supp_45,14,FALSE),0)+IFERROR(SUMPRODUCT(VLOOKUP($A148,S275_01,{26,27,28},FALSE)),0)+IFERROR(SUMPRODUCT(VLOOKUP($A148,S275_97,{26,27,28},FALSE)),0)+IFERROR(ROUND(VLOOKUP($A148,S275_21,26,FALSE)*VLOOKUP($A148,'3121% SY'!$C$3:$M$324,11,FALSE),3),0)+IFERROR(ROUND(VLOOKUP($A148,S275_21,27,FALSE)*VLOOKUP($A148,'3121% SY'!$C$3:$M$324,11,FALSE),3),0)+IFERROR(ROUND(VLOOKUP($A148,S275_21,28,FALSE)*VLOOKUP($A148,'3121% SY'!$C$3:$M$324,11,FALSE),3),0)+IFERROR(VLOOKUP($A148,S275_09,10,FALSE),0)</f>
        <v>0</v>
      </c>
      <c r="X148" s="267">
        <f>IFERROR(VLOOKUP($A148,Supp_46,14,FALSE),0)+IFERROR(SUMPRODUCT(VLOOKUP($A148,S275_01,{29,30,31},FALSE)),0)+IFERROR(SUMPRODUCT(VLOOKUP($A148,S275_97,{29,30,31},FALSE)),0)+IFERROR(ROUND(VLOOKUP($A148,S275_21,29,FALSE)*VLOOKUP($A148,'3121% SY'!$C$3:$M$324,11,FALSE),3),0)+IFERROR(ROUND(VLOOKUP($A148,S275_21,30,FALSE)*VLOOKUP($A148,'3121% SY'!$C$3:$M$324,11,FALSE),3),0)+IFERROR(ROUND(VLOOKUP($A148,S275_21,31,FALSE)*VLOOKUP($A148,'3121% SY'!$C$3:$M$324,11,FALSE),3),0)+IFERROR(VLOOKUP($A148,S275_09,11,FALSE),0)</f>
        <v>0</v>
      </c>
      <c r="Y148" s="267">
        <f>IFERROR(VLOOKUP($A148,Supp_47,14,FALSE),0)+IFERROR(SUMPRODUCT(VLOOKUP($A148,S275_01,{32,33,34},FALSE)),0)+IFERROR(SUMPRODUCT(VLOOKUP($A148,S275_97,{32,33,34},FALSE)),0)+IFERROR(ROUND(VLOOKUP($A148,S275_21,32,FALSE)*VLOOKUP($A148,'3121% SY'!$C$3:$M$324,11,FALSE),3),0)+IFERROR(ROUND(VLOOKUP($A148,S275_21,33,FALSE)*VLOOKUP($A148,'3121% SY'!$C$3:$M$324,11,FALSE),3),0)+IFERROR(ROUND(VLOOKUP($A148,S275_21,34,FALSE)*VLOOKUP($A148,'3121% SY'!$C$3:$M$324,11,FALSE),3),0)+IFERROR(VLOOKUP($A148,S275_09,12,FALSE),0)</f>
        <v>0</v>
      </c>
      <c r="Z148" s="267">
        <f>IFERROR(VLOOKUP($A148,Supp_48,14,FALSE),0)+IFERROR(SUMPRODUCT(VLOOKUP($A148,S275_01,{35,36,37},FALSE)),0)+IFERROR(SUMPRODUCT(VLOOKUP($A148,S275_97,{35,36,37},FALSE)),0)+IFERROR(ROUND(VLOOKUP($A148,S275_21,35,FALSE)*VLOOKUP($A148,'3121% SY'!$C$3:$M$324,11,FALSE),3),0)+IFERROR(ROUND(VLOOKUP($A148,S275_21,36,FALSE)*VLOOKUP($A148,'3121% SY'!$C$3:$M$324,11,FALSE),3),0)+IFERROR(ROUND(VLOOKUP($A148,S275_21,37,FALSE)*VLOOKUP($A148,'3121% SY'!$C$3:$M$324,11,FALSE),3),0)+IFERROR(VLOOKUP($A148,S275_09,13,FALSE),0)</f>
        <v>0</v>
      </c>
      <c r="AA148" s="267">
        <f>IFERROR(VLOOKUP($A148,Supp_49,14,FALSE),0)+IFERROR(SUMPRODUCT(VLOOKUP($A148,S275_01,{38,39,40},FALSE)),0)+IFERROR(SUMPRODUCT(VLOOKUP($A148,S275_97,{38,39,40},FALSE)),0)+IFERROR(ROUND(VLOOKUP($A148,S275_21,38,FALSE)*VLOOKUP($A148,'3121% SY'!$C$3:$M$324,11,FALSE),3),0)+IFERROR(ROUND(VLOOKUP($A148,S275_21,39,FALSE)*VLOOKUP($A148,'3121% SY'!$C$3:$M$324,11,FALSE),3),0)+IFERROR(ROUND(VLOOKUP($A148,S275_21,40,FALSE)*VLOOKUP($A148,'3121% SY'!$C$3:$M$324,11,FALSE),3),0)+IFERROR(VLOOKUP($A148,S275_09,14,FALSE),0)</f>
        <v>0</v>
      </c>
      <c r="AB148" s="267">
        <f>IFERROR(VLOOKUP($A148,Supp_64,14,FALSE),0)+IFERROR(SUMPRODUCT(VLOOKUP($A148,S275_01,{41,42,43},FALSE)),0)+IFERROR(SUMPRODUCT(VLOOKUP($A148,S275_97,{41,42,43},FALSE)),0)+IFERROR(ROUND(VLOOKUP($A148,S275_21,41,FALSE)*VLOOKUP($A148,'3121% SY'!$C$3:$M$324,11,FALSE),3),0)+IFERROR(ROUND(VLOOKUP($A148,S275_21,42,FALSE)*VLOOKUP($A148,'3121% SY'!$C$3:$M$324,11,FALSE),3),0)+IFERROR(ROUND(VLOOKUP($A148,S275_21,43,FALSE)*VLOOKUP($A148,'3121% SY'!$C$3:$M$324,11,FALSE),3),0)+IFERROR(VLOOKUP($A148,S275_09,15,FALSE),0)</f>
        <v>0</v>
      </c>
      <c r="AC148" s="268">
        <f t="shared" si="37"/>
        <v>1.75</v>
      </c>
      <c r="AD148" s="267">
        <f>IFERROR(VLOOKUP($A148,Supp_24,14,FALSE),0)+IFERROR(SUMPRODUCT(VLOOKUP($A148,S275_01,{2,3,4},FALSE)),0)+IFERROR(SUMPRODUCT(VLOOKUP($A148,S275_97,{2,3,4},FALSE)),0)+IFERROR(ROUND(VLOOKUP($A148,S275_21,2,FALSE)*VLOOKUP($A148,'3121% SY'!$C$3:$M$324,11,FALSE),3),0)+IFERROR(ROUND(VLOOKUP($A148,S275_21,3,FALSE)*VLOOKUP($A148,'3121% SY'!$C$3:$M$324,11,FALSE),3),0)+IFERROR(ROUND(VLOOKUP($A148,S275_21,4,FALSE)*VLOOKUP($A148,'3121% SY'!$C$3:$M$324,11,FALSE),3),0)+IFERROR(VLOOKUP($A148,S275_09,2,FALSE),0)</f>
        <v>0</v>
      </c>
      <c r="AE148" s="267">
        <f>IFERROR(VLOOKUP($A148,Supp_25,14,FALSE),0)+IFERROR(SUMPRODUCT(VLOOKUP($A148,S275_01,{5,6,7},FALSE)),0)+IFERROR(SUMPRODUCT(VLOOKUP($A148,S275_97,{5,6,7},FALSE)),0)+IFERROR(ROUND(VLOOKUP($A148,S275_21,5,FALSE)*VLOOKUP($A148,'3121% SY'!$C$3:$M$324,11,FALSE),3),0)+IFERROR(ROUND(VLOOKUP($A148,S275_21,6,FALSE)*VLOOKUP($A148,'3121% SY'!$C$3:$M$324,11,FALSE),3),0)+IFERROR(ROUND(VLOOKUP($A148,S275_21,7,FALSE)*VLOOKUP($A148,'3121% SY'!$C$3:$M$324,11,FALSE),3),0)+IFERROR(VLOOKUP($A148,S275_09,3,FALSE),0)</f>
        <v>0</v>
      </c>
      <c r="AF148" s="267">
        <f>IFERROR(VLOOKUP($A148,Supp_26,14,FALSE),0)+IFERROR(SUMPRODUCT(VLOOKUP($A148,S275_01,{8,9,10},FALSE)),0)+IFERROR(SUMPRODUCT(VLOOKUP($A148,S275_97,{8,9,10},FALSE)),0)+IFERROR(ROUND(VLOOKUP($A148,S275_21,8,FALSE)*VLOOKUP($A148,'3121% SY'!$C$3:$M$324,11,FALSE),3),0)+IFERROR(ROUND(VLOOKUP($A148,S275_21,9,FALSE)*VLOOKUP($A148,'3121% SY'!$C$3:$M$324,11,FALSE),3),0)+IFERROR(ROUND(VLOOKUP($A148,S275_21,10,FALSE)*VLOOKUP($A148,'3121% SY'!$C$3:$M$324,11,FALSE),3),0)+IFERROR(VLOOKUP($A148,S275_09,4,FALSE),0)</f>
        <v>3.7999999999999999E-2</v>
      </c>
      <c r="AG148" s="267">
        <f>IFERROR(VLOOKUP($A148,Supp_35,14,FALSE),0)+IFERROR(SUMPRODUCT(VLOOKUP($A148,S275_01,{11,12,13},FALSE)),0)+IFERROR(SUMPRODUCT(VLOOKUP($A148,S275_97,{11,12,13},FALSE)),0)+IFERROR(ROUND(VLOOKUP($A148,S275_21,11,FALSE)*VLOOKUP($A148,'3121% SY'!$C$3:$M$324,11,FALSE),3),0)+IFERROR(ROUND(VLOOKUP($A148,S275_21,12,FALSE)*VLOOKUP($A148,'3121% SY'!$C$3:$M$324,11,FALSE),3),0)+IFERROR(ROUND(VLOOKUP($A148,S275_21,13,FALSE)*VLOOKUP($A148,'3121% SY'!$C$3:$M$324,11,FALSE),3),0)+IFERROR(VLOOKUP($A148,S275_09,5,FALSE),0)</f>
        <v>0</v>
      </c>
      <c r="AH148" s="165">
        <f t="shared" si="38"/>
        <v>3.7999999999999999E-2</v>
      </c>
      <c r="AI148" s="161">
        <f>IFERROR(VLOOKUP(A148,'Supp Staff Data'!A:ER,148,FALSE),0)+AB148</f>
        <v>0</v>
      </c>
      <c r="AJ148" s="174">
        <v>0.8</v>
      </c>
      <c r="AK148" s="25">
        <f>VLOOKUP(A148,'Enroll Data as of January 2025'!$A$3:$T$323,20,FALSE)-F148</f>
        <v>0</v>
      </c>
    </row>
    <row r="149" spans="1:37" x14ac:dyDescent="0.25">
      <c r="A149" s="171" t="s">
        <v>59</v>
      </c>
      <c r="B149" t="s">
        <v>355</v>
      </c>
      <c r="C149" s="173" t="s">
        <v>1077</v>
      </c>
      <c r="D149" s="259">
        <f t="shared" si="30"/>
        <v>1.8569999999999998</v>
      </c>
      <c r="E149" s="259">
        <f t="shared" si="31"/>
        <v>1.095</v>
      </c>
      <c r="F149" s="262">
        <f t="shared" si="32"/>
        <v>-0.76200000000000001</v>
      </c>
      <c r="G149" s="161">
        <f>ROUND(IF(F149&lt;0,F149*'2024-25 PSES Compliance'!$G$13,0),3)</f>
        <v>-0.73199999999999998</v>
      </c>
      <c r="H149" s="161">
        <f>ROUND(IF(F149&lt;0,F149*'2024-25 PSES Compliance'!$G$14,0),3)</f>
        <v>-0.03</v>
      </c>
      <c r="I149" s="174">
        <f t="shared" si="33"/>
        <v>0</v>
      </c>
      <c r="J149" s="174">
        <f t="shared" si="34"/>
        <v>0</v>
      </c>
      <c r="K149" s="161">
        <f>VLOOKUP($A149,'Enroll Data as of January 2025'!$A$3:$M$322,6,FALSE)</f>
        <v>1.0609999999999999</v>
      </c>
      <c r="L149" s="161">
        <f>VLOOKUP($A149,'Enroll Data as of January 2025'!$A$3:$M$322,7,FALSE)</f>
        <v>0.16200000000000003</v>
      </c>
      <c r="M149" s="161">
        <f>VLOOKUP($A149,'Enroll Data as of January 2025'!$A$3:$M$322,8,FALSE)</f>
        <v>5.2999999999999999E-2</v>
      </c>
      <c r="N149" s="161">
        <f>VLOOKUP($A149,'Enroll Data as of January 2025'!$A$3:$M$322,9,FALSE)</f>
        <v>0.48099999999999998</v>
      </c>
      <c r="O149" s="165">
        <f t="shared" si="35"/>
        <v>1.7569999999999997</v>
      </c>
      <c r="P149" s="161">
        <f>VLOOKUP($A149,'Enroll Data as of January 2025'!$A$3:$M$322,11,FALSE)</f>
        <v>6.5000000000000002E-2</v>
      </c>
      <c r="Q149" s="161">
        <f>VLOOKUP($A149,'Enroll Data as of January 2025'!$A$3:$M$322,12,FALSE)</f>
        <v>3.5000000000000003E-2</v>
      </c>
      <c r="R149" s="165">
        <f t="shared" si="36"/>
        <v>0.1</v>
      </c>
      <c r="S149" s="267">
        <f>IFERROR(VLOOKUP($A149,Supp_39,14,FALSE),0)+IFERROR(SUMPRODUCT(VLOOKUP($A149,S275_01,{14,15,16},FALSE)),0)+IFERROR(SUMPRODUCT(VLOOKUP($A149,S275_97,{14,15,16},FALSE)),0)+IFERROR(ROUND(VLOOKUP($A149,S275_21,14,FALSE)*VLOOKUP($A149,'3121% SY'!$C$3:$M$324,11,FALSE),3),0)+IFERROR(ROUND(VLOOKUP($A149,S275_21,15,FALSE)*VLOOKUP($A149,'3121% SY'!$C$3:$M$324,11,FALSE),3),0)+IFERROR(ROUND(VLOOKUP($A149,S275_21,16,FALSE)*VLOOKUP($A149,'3121% SY'!$C$3:$M$324,11,FALSE),3),0)+IFERROR(VLOOKUP($A149,S275_09,6,FALSE),0)</f>
        <v>0</v>
      </c>
      <c r="T149" s="267">
        <f>IFERROR(VLOOKUP($A149,Supp_42,14,FALSE),0)+IFERROR(SUMPRODUCT(VLOOKUP($A149,S275_01,{17,18,19},FALSE)),0)+IFERROR(SUMPRODUCT(VLOOKUP($A149,S275_97,{17,18,19},FALSE)),0)+IFERROR(ROUND(VLOOKUP($A149,S275_21,17,FALSE)*VLOOKUP($A149,'3121% SY'!$C$3:$M$324,11,FALSE),3),0)+IFERROR(ROUND(VLOOKUP($A149,S275_21,18,FALSE)*VLOOKUP($A149,'3121% SY'!$C$3:$M$324,11,FALSE),3),0)+IFERROR(ROUND(VLOOKUP($A149,S275_21,19,FALSE)*VLOOKUP($A149,'3121% SY'!$C$3:$M$324,11,FALSE),3),0)+IFERROR(VLOOKUP($A149,S275_09,7,FALSE),0)</f>
        <v>0</v>
      </c>
      <c r="U149" s="267">
        <f>IFERROR(VLOOKUP($A149,Supp_43,14,FALSE),0)+IFERROR(SUMPRODUCT(VLOOKUP($A149,S275_01,{20,21,22},FALSE)),0)+IFERROR(SUMPRODUCT(VLOOKUP($A149,S275_97,{20,21,22},FALSE)),0)+IFERROR(ROUND(VLOOKUP($A149,S275_21,20,FALSE)*VLOOKUP($A149,'3121% SY'!$C$3:$M$324,11,FALSE),3),0)+IFERROR(ROUND(VLOOKUP($A149,S275_21,21,FALSE)*VLOOKUP($A149,'3121% SY'!$C$3:$M$324,11,FALSE),3),0)+IFERROR(ROUND(VLOOKUP($A149,S275_21,22,FALSE)*VLOOKUP($A149,'3121% SY'!$C$3:$M$324,11,FALSE),3),0)+IFERROR(VLOOKUP($A149,S275_09,8,FALSE),0)</f>
        <v>0</v>
      </c>
      <c r="V149" s="267">
        <f>IFERROR(VLOOKUP($A149,Supp_44,14,FALSE),0)+IFERROR(SUMPRODUCT(VLOOKUP($A149,S275_01,{23,24,25},FALSE)),0)+IFERROR(SUMPRODUCT(VLOOKUP($A149,S275_97,{23,24,25},FALSE)),0)+IFERROR(ROUND(VLOOKUP($A149,S275_21,23,FALSE)*VLOOKUP($A149,'3121% SY'!$C$3:$M$324,11,FALSE),3),0)+IFERROR(ROUND(VLOOKUP($A149,S275_21,24,FALSE)*VLOOKUP($A149,'3121% SY'!$C$3:$M$324,11,FALSE),3),0)+IFERROR(ROUND(VLOOKUP($A149,S275_21,25,FALSE)*VLOOKUP($A149,'3121% SY'!$C$3:$M$324,11,FALSE),3),0)+IFERROR(VLOOKUP($A149,S275_09,9,FALSE),0)</f>
        <v>0</v>
      </c>
      <c r="W149" s="267">
        <f>IFERROR(VLOOKUP($A149,Supp_45,14,FALSE),0)+IFERROR(SUMPRODUCT(VLOOKUP($A149,S275_01,{26,27,28},FALSE)),0)+IFERROR(SUMPRODUCT(VLOOKUP($A149,S275_97,{26,27,28},FALSE)),0)+IFERROR(ROUND(VLOOKUP($A149,S275_21,26,FALSE)*VLOOKUP($A149,'3121% SY'!$C$3:$M$324,11,FALSE),3),0)+IFERROR(ROUND(VLOOKUP($A149,S275_21,27,FALSE)*VLOOKUP($A149,'3121% SY'!$C$3:$M$324,11,FALSE),3),0)+IFERROR(ROUND(VLOOKUP($A149,S275_21,28,FALSE)*VLOOKUP($A149,'3121% SY'!$C$3:$M$324,11,FALSE),3),0)+IFERROR(VLOOKUP($A149,S275_09,10,FALSE),0)</f>
        <v>0</v>
      </c>
      <c r="X149" s="267">
        <f>IFERROR(VLOOKUP($A149,Supp_46,14,FALSE),0)+IFERROR(SUMPRODUCT(VLOOKUP($A149,S275_01,{29,30,31},FALSE)),0)+IFERROR(SUMPRODUCT(VLOOKUP($A149,S275_97,{29,30,31},FALSE)),0)+IFERROR(ROUND(VLOOKUP($A149,S275_21,29,FALSE)*VLOOKUP($A149,'3121% SY'!$C$3:$M$324,11,FALSE),3),0)+IFERROR(ROUND(VLOOKUP($A149,S275_21,30,FALSE)*VLOOKUP($A149,'3121% SY'!$C$3:$M$324,11,FALSE),3),0)+IFERROR(ROUND(VLOOKUP($A149,S275_21,31,FALSE)*VLOOKUP($A149,'3121% SY'!$C$3:$M$324,11,FALSE),3),0)+IFERROR(VLOOKUP($A149,S275_09,11,FALSE),0)</f>
        <v>0</v>
      </c>
      <c r="Y149" s="267">
        <f>IFERROR(VLOOKUP($A149,Supp_47,14,FALSE),0)+IFERROR(SUMPRODUCT(VLOOKUP($A149,S275_01,{32,33,34},FALSE)),0)+IFERROR(SUMPRODUCT(VLOOKUP($A149,S275_97,{32,33,34},FALSE)),0)+IFERROR(ROUND(VLOOKUP($A149,S275_21,32,FALSE)*VLOOKUP($A149,'3121% SY'!$C$3:$M$324,11,FALSE),3),0)+IFERROR(ROUND(VLOOKUP($A149,S275_21,33,FALSE)*VLOOKUP($A149,'3121% SY'!$C$3:$M$324,11,FALSE),3),0)+IFERROR(ROUND(VLOOKUP($A149,S275_21,34,FALSE)*VLOOKUP($A149,'3121% SY'!$C$3:$M$324,11,FALSE),3),0)+IFERROR(VLOOKUP($A149,S275_09,12,FALSE),0)</f>
        <v>0</v>
      </c>
      <c r="Z149" s="267">
        <f>IFERROR(VLOOKUP($A149,Supp_48,14,FALSE),0)+IFERROR(SUMPRODUCT(VLOOKUP($A149,S275_01,{35,36,37},FALSE)),0)+IFERROR(SUMPRODUCT(VLOOKUP($A149,S275_97,{35,36,37},FALSE)),0)+IFERROR(ROUND(VLOOKUP($A149,S275_21,35,FALSE)*VLOOKUP($A149,'3121% SY'!$C$3:$M$324,11,FALSE),3),0)+IFERROR(ROUND(VLOOKUP($A149,S275_21,36,FALSE)*VLOOKUP($A149,'3121% SY'!$C$3:$M$324,11,FALSE),3),0)+IFERROR(ROUND(VLOOKUP($A149,S275_21,37,FALSE)*VLOOKUP($A149,'3121% SY'!$C$3:$M$324,11,FALSE),3),0)+IFERROR(VLOOKUP($A149,S275_09,13,FALSE),0)</f>
        <v>0</v>
      </c>
      <c r="AA149" s="267">
        <f>IFERROR(VLOOKUP($A149,Supp_49,14,FALSE),0)+IFERROR(SUMPRODUCT(VLOOKUP($A149,S275_01,{38,39,40},FALSE)),0)+IFERROR(SUMPRODUCT(VLOOKUP($A149,S275_97,{38,39,40},FALSE)),0)+IFERROR(ROUND(VLOOKUP($A149,S275_21,38,FALSE)*VLOOKUP($A149,'3121% SY'!$C$3:$M$324,11,FALSE),3),0)+IFERROR(ROUND(VLOOKUP($A149,S275_21,39,FALSE)*VLOOKUP($A149,'3121% SY'!$C$3:$M$324,11,FALSE),3),0)+IFERROR(ROUND(VLOOKUP($A149,S275_21,40,FALSE)*VLOOKUP($A149,'3121% SY'!$C$3:$M$324,11,FALSE),3),0)+IFERROR(VLOOKUP($A149,S275_09,14,FALSE),0)</f>
        <v>0</v>
      </c>
      <c r="AB149" s="267">
        <f>IFERROR(VLOOKUP($A149,Supp_64,14,FALSE),0)+IFERROR(SUMPRODUCT(VLOOKUP($A149,S275_01,{41,42,43},FALSE)),0)+IFERROR(SUMPRODUCT(VLOOKUP($A149,S275_97,{41,42,43},FALSE)),0)+IFERROR(ROUND(VLOOKUP($A149,S275_21,41,FALSE)*VLOOKUP($A149,'3121% SY'!$C$3:$M$324,11,FALSE),3),0)+IFERROR(ROUND(VLOOKUP($A149,S275_21,42,FALSE)*VLOOKUP($A149,'3121% SY'!$C$3:$M$324,11,FALSE),3),0)+IFERROR(ROUND(VLOOKUP($A149,S275_21,43,FALSE)*VLOOKUP($A149,'3121% SY'!$C$3:$M$324,11,FALSE),3),0)+IFERROR(VLOOKUP($A149,S275_09,15,FALSE),0)</f>
        <v>0</v>
      </c>
      <c r="AC149" s="268">
        <f t="shared" si="37"/>
        <v>0</v>
      </c>
      <c r="AD149" s="267">
        <f>IFERROR(VLOOKUP($A149,Supp_24,14,FALSE),0)+IFERROR(SUMPRODUCT(VLOOKUP($A149,S275_01,{2,3,4},FALSE)),0)+IFERROR(SUMPRODUCT(VLOOKUP($A149,S275_97,{2,3,4},FALSE)),0)+IFERROR(ROUND(VLOOKUP($A149,S275_21,2,FALSE)*VLOOKUP($A149,'3121% SY'!$C$3:$M$324,11,FALSE),3),0)+IFERROR(ROUND(VLOOKUP($A149,S275_21,3,FALSE)*VLOOKUP($A149,'3121% SY'!$C$3:$M$324,11,FALSE),3),0)+IFERROR(ROUND(VLOOKUP($A149,S275_21,4,FALSE)*VLOOKUP($A149,'3121% SY'!$C$3:$M$324,11,FALSE),3),0)+IFERROR(VLOOKUP($A149,S275_09,2,FALSE),0)</f>
        <v>0.63300000000000001</v>
      </c>
      <c r="AE149" s="267">
        <f>IFERROR(VLOOKUP($A149,Supp_25,14,FALSE),0)+IFERROR(SUMPRODUCT(VLOOKUP($A149,S275_01,{5,6,7},FALSE)),0)+IFERROR(SUMPRODUCT(VLOOKUP($A149,S275_97,{5,6,7},FALSE)),0)+IFERROR(ROUND(VLOOKUP($A149,S275_21,5,FALSE)*VLOOKUP($A149,'3121% SY'!$C$3:$M$324,11,FALSE),3),0)+IFERROR(ROUND(VLOOKUP($A149,S275_21,6,FALSE)*VLOOKUP($A149,'3121% SY'!$C$3:$M$324,11,FALSE),3),0)+IFERROR(ROUND(VLOOKUP($A149,S275_21,7,FALSE)*VLOOKUP($A149,'3121% SY'!$C$3:$M$324,11,FALSE),3),0)+IFERROR(VLOOKUP($A149,S275_09,3,FALSE),0)</f>
        <v>0</v>
      </c>
      <c r="AF149" s="267">
        <f>IFERROR(VLOOKUP($A149,Supp_26,14,FALSE),0)+IFERROR(SUMPRODUCT(VLOOKUP($A149,S275_01,{8,9,10},FALSE)),0)+IFERROR(SUMPRODUCT(VLOOKUP($A149,S275_97,{8,9,10},FALSE)),0)+IFERROR(ROUND(VLOOKUP($A149,S275_21,8,FALSE)*VLOOKUP($A149,'3121% SY'!$C$3:$M$324,11,FALSE),3),0)+IFERROR(ROUND(VLOOKUP($A149,S275_21,9,FALSE)*VLOOKUP($A149,'3121% SY'!$C$3:$M$324,11,FALSE),3),0)+IFERROR(ROUND(VLOOKUP($A149,S275_21,10,FALSE)*VLOOKUP($A149,'3121% SY'!$C$3:$M$324,11,FALSE),3),0)+IFERROR(VLOOKUP($A149,S275_09,4,FALSE),0)</f>
        <v>0.46200000000000002</v>
      </c>
      <c r="AG149" s="267">
        <f>IFERROR(VLOOKUP($A149,Supp_35,14,FALSE),0)+IFERROR(SUMPRODUCT(VLOOKUP($A149,S275_01,{11,12,13},FALSE)),0)+IFERROR(SUMPRODUCT(VLOOKUP($A149,S275_97,{11,12,13},FALSE)),0)+IFERROR(ROUND(VLOOKUP($A149,S275_21,11,FALSE)*VLOOKUP($A149,'3121% SY'!$C$3:$M$324,11,FALSE),3),0)+IFERROR(ROUND(VLOOKUP($A149,S275_21,12,FALSE)*VLOOKUP($A149,'3121% SY'!$C$3:$M$324,11,FALSE),3),0)+IFERROR(ROUND(VLOOKUP($A149,S275_21,13,FALSE)*VLOOKUP($A149,'3121% SY'!$C$3:$M$324,11,FALSE),3),0)+IFERROR(VLOOKUP($A149,S275_09,5,FALSE),0)</f>
        <v>0</v>
      </c>
      <c r="AH149" s="165">
        <f t="shared" si="38"/>
        <v>1.095</v>
      </c>
      <c r="AI149" s="161">
        <f>IFERROR(VLOOKUP(A149,'Supp Staff Data'!A:ER,148,FALSE),0)+AB149</f>
        <v>0</v>
      </c>
      <c r="AJ149" s="174">
        <v>0.89659999999999995</v>
      </c>
      <c r="AK149" s="25">
        <f>VLOOKUP(A149,'Enroll Data as of January 2025'!$A$3:$T$323,20,FALSE)-F149</f>
        <v>0</v>
      </c>
    </row>
    <row r="150" spans="1:37" x14ac:dyDescent="0.25">
      <c r="A150" s="171" t="s">
        <v>162</v>
      </c>
      <c r="B150" t="s">
        <v>458</v>
      </c>
      <c r="C150" s="173" t="s">
        <v>1077</v>
      </c>
      <c r="D150" s="259">
        <f t="shared" si="30"/>
        <v>0.89500000000000002</v>
      </c>
      <c r="E150" s="259">
        <f t="shared" si="31"/>
        <v>1.2010000000000001</v>
      </c>
      <c r="F150" s="262">
        <f t="shared" si="32"/>
        <v>0.30599999999999999</v>
      </c>
      <c r="G150" s="161">
        <f>ROUND(IF(F150&lt;0,F150*'2024-25 PSES Compliance'!$G$13,0),3)</f>
        <v>0</v>
      </c>
      <c r="H150" s="161">
        <f>ROUND(IF(F150&lt;0,F150*'2024-25 PSES Compliance'!$G$14,0),3)</f>
        <v>0</v>
      </c>
      <c r="I150" s="174">
        <f t="shared" si="33"/>
        <v>0</v>
      </c>
      <c r="J150" s="174">
        <f t="shared" si="34"/>
        <v>0.37468776019983346</v>
      </c>
      <c r="K150" s="161">
        <f>VLOOKUP($A150,'Enroll Data as of January 2025'!$A$3:$M$322,6,FALSE)</f>
        <v>0.49</v>
      </c>
      <c r="L150" s="161">
        <f>VLOOKUP($A150,'Enroll Data as of January 2025'!$A$3:$M$322,7,FALSE)</f>
        <v>8.7000000000000008E-2</v>
      </c>
      <c r="M150" s="161">
        <f>VLOOKUP($A150,'Enroll Data as of January 2025'!$A$3:$M$322,8,FALSE)</f>
        <v>2.9000000000000005E-2</v>
      </c>
      <c r="N150" s="161">
        <f>VLOOKUP($A150,'Enroll Data as of January 2025'!$A$3:$M$322,9,FALSE)</f>
        <v>0.23799999999999999</v>
      </c>
      <c r="O150" s="165">
        <f t="shared" si="35"/>
        <v>0.84399999999999997</v>
      </c>
      <c r="P150" s="161">
        <f>VLOOKUP($A150,'Enroll Data as of January 2025'!$A$3:$M$322,11,FALSE)</f>
        <v>3.1E-2</v>
      </c>
      <c r="Q150" s="161">
        <f>VLOOKUP($A150,'Enroll Data as of January 2025'!$A$3:$M$322,12,FALSE)</f>
        <v>0.02</v>
      </c>
      <c r="R150" s="165">
        <f t="shared" si="36"/>
        <v>5.1000000000000004E-2</v>
      </c>
      <c r="S150" s="267">
        <f>IFERROR(VLOOKUP($A150,Supp_39,14,FALSE),0)+IFERROR(SUMPRODUCT(VLOOKUP($A150,S275_01,{14,15,16},FALSE)),0)+IFERROR(SUMPRODUCT(VLOOKUP($A150,S275_97,{14,15,16},FALSE)),0)+IFERROR(ROUND(VLOOKUP($A150,S275_21,14,FALSE)*VLOOKUP($A150,'3121% SY'!$C$3:$M$324,11,FALSE),3),0)+IFERROR(ROUND(VLOOKUP($A150,S275_21,15,FALSE)*VLOOKUP($A150,'3121% SY'!$C$3:$M$324,11,FALSE),3),0)+IFERROR(ROUND(VLOOKUP($A150,S275_21,16,FALSE)*VLOOKUP($A150,'3121% SY'!$C$3:$M$324,11,FALSE),3),0)+IFERROR(VLOOKUP($A150,S275_09,6,FALSE),0)</f>
        <v>0</v>
      </c>
      <c r="T150" s="267">
        <f>IFERROR(VLOOKUP($A150,Supp_42,14,FALSE),0)+IFERROR(SUMPRODUCT(VLOOKUP($A150,S275_01,{17,18,19},FALSE)),0)+IFERROR(SUMPRODUCT(VLOOKUP($A150,S275_97,{17,18,19},FALSE)),0)+IFERROR(ROUND(VLOOKUP($A150,S275_21,17,FALSE)*VLOOKUP($A150,'3121% SY'!$C$3:$M$324,11,FALSE),3),0)+IFERROR(ROUND(VLOOKUP($A150,S275_21,18,FALSE)*VLOOKUP($A150,'3121% SY'!$C$3:$M$324,11,FALSE),3),0)+IFERROR(ROUND(VLOOKUP($A150,S275_21,19,FALSE)*VLOOKUP($A150,'3121% SY'!$C$3:$M$324,11,FALSE),3),0)+IFERROR(VLOOKUP($A150,S275_09,7,FALSE),0)</f>
        <v>0</v>
      </c>
      <c r="U150" s="267">
        <f>IFERROR(VLOOKUP($A150,Supp_43,14,FALSE),0)+IFERROR(SUMPRODUCT(VLOOKUP($A150,S275_01,{20,21,22},FALSE)),0)+IFERROR(SUMPRODUCT(VLOOKUP($A150,S275_97,{20,21,22},FALSE)),0)+IFERROR(ROUND(VLOOKUP($A150,S275_21,20,FALSE)*VLOOKUP($A150,'3121% SY'!$C$3:$M$324,11,FALSE),3),0)+IFERROR(ROUND(VLOOKUP($A150,S275_21,21,FALSE)*VLOOKUP($A150,'3121% SY'!$C$3:$M$324,11,FALSE),3),0)+IFERROR(ROUND(VLOOKUP($A150,S275_21,22,FALSE)*VLOOKUP($A150,'3121% SY'!$C$3:$M$324,11,FALSE),3),0)+IFERROR(VLOOKUP($A150,S275_09,8,FALSE),0)</f>
        <v>0</v>
      </c>
      <c r="V150" s="267">
        <f>IFERROR(VLOOKUP($A150,Supp_44,14,FALSE),0)+IFERROR(SUMPRODUCT(VLOOKUP($A150,S275_01,{23,24,25},FALSE)),0)+IFERROR(SUMPRODUCT(VLOOKUP($A150,S275_97,{23,24,25},FALSE)),0)+IFERROR(ROUND(VLOOKUP($A150,S275_21,23,FALSE)*VLOOKUP($A150,'3121% SY'!$C$3:$M$324,11,FALSE),3),0)+IFERROR(ROUND(VLOOKUP($A150,S275_21,24,FALSE)*VLOOKUP($A150,'3121% SY'!$C$3:$M$324,11,FALSE),3),0)+IFERROR(ROUND(VLOOKUP($A150,S275_21,25,FALSE)*VLOOKUP($A150,'3121% SY'!$C$3:$M$324,11,FALSE),3),0)+IFERROR(VLOOKUP($A150,S275_09,9,FALSE),0)</f>
        <v>0</v>
      </c>
      <c r="W150" s="267">
        <f>IFERROR(VLOOKUP($A150,Supp_45,14,FALSE),0)+IFERROR(SUMPRODUCT(VLOOKUP($A150,S275_01,{26,27,28},FALSE)),0)+IFERROR(SUMPRODUCT(VLOOKUP($A150,S275_97,{26,27,28},FALSE)),0)+IFERROR(ROUND(VLOOKUP($A150,S275_21,26,FALSE)*VLOOKUP($A150,'3121% SY'!$C$3:$M$324,11,FALSE),3),0)+IFERROR(ROUND(VLOOKUP($A150,S275_21,27,FALSE)*VLOOKUP($A150,'3121% SY'!$C$3:$M$324,11,FALSE),3),0)+IFERROR(ROUND(VLOOKUP($A150,S275_21,28,FALSE)*VLOOKUP($A150,'3121% SY'!$C$3:$M$324,11,FALSE),3),0)+IFERROR(VLOOKUP($A150,S275_09,10,FALSE),0)</f>
        <v>0</v>
      </c>
      <c r="X150" s="267">
        <f>IFERROR(VLOOKUP($A150,Supp_46,14,FALSE),0)+IFERROR(SUMPRODUCT(VLOOKUP($A150,S275_01,{29,30,31},FALSE)),0)+IFERROR(SUMPRODUCT(VLOOKUP($A150,S275_97,{29,30,31},FALSE)),0)+IFERROR(ROUND(VLOOKUP($A150,S275_21,29,FALSE)*VLOOKUP($A150,'3121% SY'!$C$3:$M$324,11,FALSE),3),0)+IFERROR(ROUND(VLOOKUP($A150,S275_21,30,FALSE)*VLOOKUP($A150,'3121% SY'!$C$3:$M$324,11,FALSE),3),0)+IFERROR(ROUND(VLOOKUP($A150,S275_21,31,FALSE)*VLOOKUP($A150,'3121% SY'!$C$3:$M$324,11,FALSE),3),0)+IFERROR(VLOOKUP($A150,S275_09,11,FALSE),0)</f>
        <v>0</v>
      </c>
      <c r="Y150" s="267">
        <f>IFERROR(VLOOKUP($A150,Supp_47,14,FALSE),0)+IFERROR(SUMPRODUCT(VLOOKUP($A150,S275_01,{32,33,34},FALSE)),0)+IFERROR(SUMPRODUCT(VLOOKUP($A150,S275_97,{32,33,34},FALSE)),0)+IFERROR(ROUND(VLOOKUP($A150,S275_21,32,FALSE)*VLOOKUP($A150,'3121% SY'!$C$3:$M$324,11,FALSE),3),0)+IFERROR(ROUND(VLOOKUP($A150,S275_21,33,FALSE)*VLOOKUP($A150,'3121% SY'!$C$3:$M$324,11,FALSE),3),0)+IFERROR(ROUND(VLOOKUP($A150,S275_21,34,FALSE)*VLOOKUP($A150,'3121% SY'!$C$3:$M$324,11,FALSE),3),0)+IFERROR(VLOOKUP($A150,S275_09,12,FALSE),0)</f>
        <v>0</v>
      </c>
      <c r="Z150" s="267">
        <f>IFERROR(VLOOKUP($A150,Supp_48,14,FALSE),0)+IFERROR(SUMPRODUCT(VLOOKUP($A150,S275_01,{35,36,37},FALSE)),0)+IFERROR(SUMPRODUCT(VLOOKUP($A150,S275_97,{35,36,37},FALSE)),0)+IFERROR(ROUND(VLOOKUP($A150,S275_21,35,FALSE)*VLOOKUP($A150,'3121% SY'!$C$3:$M$324,11,FALSE),3),0)+IFERROR(ROUND(VLOOKUP($A150,S275_21,36,FALSE)*VLOOKUP($A150,'3121% SY'!$C$3:$M$324,11,FALSE),3),0)+IFERROR(ROUND(VLOOKUP($A150,S275_21,37,FALSE)*VLOOKUP($A150,'3121% SY'!$C$3:$M$324,11,FALSE),3),0)+IFERROR(VLOOKUP($A150,S275_09,13,FALSE),0)</f>
        <v>0</v>
      </c>
      <c r="AA150" s="267">
        <f>IFERROR(VLOOKUP($A150,Supp_49,14,FALSE),0)+IFERROR(SUMPRODUCT(VLOOKUP($A150,S275_01,{38,39,40},FALSE)),0)+IFERROR(SUMPRODUCT(VLOOKUP($A150,S275_97,{38,39,40},FALSE)),0)+IFERROR(ROUND(VLOOKUP($A150,S275_21,38,FALSE)*VLOOKUP($A150,'3121% SY'!$C$3:$M$324,11,FALSE),3),0)+IFERROR(ROUND(VLOOKUP($A150,S275_21,39,FALSE)*VLOOKUP($A150,'3121% SY'!$C$3:$M$324,11,FALSE),3),0)+IFERROR(ROUND(VLOOKUP($A150,S275_21,40,FALSE)*VLOOKUP($A150,'3121% SY'!$C$3:$M$324,11,FALSE),3),0)+IFERROR(VLOOKUP($A150,S275_09,14,FALSE),0)</f>
        <v>0</v>
      </c>
      <c r="AB150" s="267">
        <f>IFERROR(VLOOKUP($A150,Supp_64,14,FALSE),0)+IFERROR(SUMPRODUCT(VLOOKUP($A150,S275_01,{41,42,43},FALSE)),0)+IFERROR(SUMPRODUCT(VLOOKUP($A150,S275_97,{41,42,43},FALSE)),0)+IFERROR(ROUND(VLOOKUP($A150,S275_21,41,FALSE)*VLOOKUP($A150,'3121% SY'!$C$3:$M$324,11,FALSE),3),0)+IFERROR(ROUND(VLOOKUP($A150,S275_21,42,FALSE)*VLOOKUP($A150,'3121% SY'!$C$3:$M$324,11,FALSE),3),0)+IFERROR(ROUND(VLOOKUP($A150,S275_21,43,FALSE)*VLOOKUP($A150,'3121% SY'!$C$3:$M$324,11,FALSE),3),0)+IFERROR(VLOOKUP($A150,S275_09,15,FALSE),0)</f>
        <v>0</v>
      </c>
      <c r="AC150" s="268">
        <f t="shared" si="37"/>
        <v>0</v>
      </c>
      <c r="AD150" s="267">
        <f>IFERROR(VLOOKUP($A150,Supp_24,14,FALSE),0)+IFERROR(SUMPRODUCT(VLOOKUP($A150,S275_01,{2,3,4},FALSE)),0)+IFERROR(SUMPRODUCT(VLOOKUP($A150,S275_97,{2,3,4},FALSE)),0)+IFERROR(ROUND(VLOOKUP($A150,S275_21,2,FALSE)*VLOOKUP($A150,'3121% SY'!$C$3:$M$324,11,FALSE),3),0)+IFERROR(ROUND(VLOOKUP($A150,S275_21,3,FALSE)*VLOOKUP($A150,'3121% SY'!$C$3:$M$324,11,FALSE),3),0)+IFERROR(ROUND(VLOOKUP($A150,S275_21,4,FALSE)*VLOOKUP($A150,'3121% SY'!$C$3:$M$324,11,FALSE),3),0)+IFERROR(VLOOKUP($A150,S275_09,2,FALSE),0)</f>
        <v>0</v>
      </c>
      <c r="AE150" s="267">
        <f>IFERROR(VLOOKUP($A150,Supp_25,14,FALSE),0)+IFERROR(SUMPRODUCT(VLOOKUP($A150,S275_01,{5,6,7},FALSE)),0)+IFERROR(SUMPRODUCT(VLOOKUP($A150,S275_97,{5,6,7},FALSE)),0)+IFERROR(ROUND(VLOOKUP($A150,S275_21,5,FALSE)*VLOOKUP($A150,'3121% SY'!$C$3:$M$324,11,FALSE),3),0)+IFERROR(ROUND(VLOOKUP($A150,S275_21,6,FALSE)*VLOOKUP($A150,'3121% SY'!$C$3:$M$324,11,FALSE),3),0)+IFERROR(ROUND(VLOOKUP($A150,S275_21,7,FALSE)*VLOOKUP($A150,'3121% SY'!$C$3:$M$324,11,FALSE),3),0)+IFERROR(VLOOKUP($A150,S275_09,3,FALSE),0)</f>
        <v>0.58699999999999997</v>
      </c>
      <c r="AF150" s="267">
        <f>IFERROR(VLOOKUP($A150,Supp_26,14,FALSE),0)+IFERROR(SUMPRODUCT(VLOOKUP($A150,S275_01,{8,9,10},FALSE)),0)+IFERROR(SUMPRODUCT(VLOOKUP($A150,S275_97,{8,9,10},FALSE)),0)+IFERROR(ROUND(VLOOKUP($A150,S275_21,8,FALSE)*VLOOKUP($A150,'3121% SY'!$C$3:$M$324,11,FALSE),3),0)+IFERROR(ROUND(VLOOKUP($A150,S275_21,9,FALSE)*VLOOKUP($A150,'3121% SY'!$C$3:$M$324,11,FALSE),3),0)+IFERROR(ROUND(VLOOKUP($A150,S275_21,10,FALSE)*VLOOKUP($A150,'3121% SY'!$C$3:$M$324,11,FALSE),3),0)+IFERROR(VLOOKUP($A150,S275_09,4,FALSE),0)</f>
        <v>0.61399999999999999</v>
      </c>
      <c r="AG150" s="267">
        <f>IFERROR(VLOOKUP($A150,Supp_35,14,FALSE),0)+IFERROR(SUMPRODUCT(VLOOKUP($A150,S275_01,{11,12,13},FALSE)),0)+IFERROR(SUMPRODUCT(VLOOKUP($A150,S275_97,{11,12,13},FALSE)),0)+IFERROR(ROUND(VLOOKUP($A150,S275_21,11,FALSE)*VLOOKUP($A150,'3121% SY'!$C$3:$M$324,11,FALSE),3),0)+IFERROR(ROUND(VLOOKUP($A150,S275_21,12,FALSE)*VLOOKUP($A150,'3121% SY'!$C$3:$M$324,11,FALSE),3),0)+IFERROR(ROUND(VLOOKUP($A150,S275_21,13,FALSE)*VLOOKUP($A150,'3121% SY'!$C$3:$M$324,11,FALSE),3),0)+IFERROR(VLOOKUP($A150,S275_09,5,FALSE),0)</f>
        <v>0</v>
      </c>
      <c r="AH150" s="165">
        <f t="shared" si="38"/>
        <v>1.2010000000000001</v>
      </c>
      <c r="AI150" s="161">
        <f>IFERROR(VLOOKUP(A150,'Supp Staff Data'!A:ER,148,FALSE),0)+AB150</f>
        <v>0.45</v>
      </c>
      <c r="AJ150" s="174">
        <v>1</v>
      </c>
      <c r="AK150" s="25">
        <f>VLOOKUP(A150,'Enroll Data as of January 2025'!$A$3:$T$323,20,FALSE)-F150</f>
        <v>0</v>
      </c>
    </row>
    <row r="151" spans="1:37" x14ac:dyDescent="0.25">
      <c r="A151" s="171" t="s">
        <v>201</v>
      </c>
      <c r="B151" t="s">
        <v>496</v>
      </c>
      <c r="C151" s="173" t="s">
        <v>1077</v>
      </c>
      <c r="D151" s="259">
        <f t="shared" si="30"/>
        <v>4.3209999999999997</v>
      </c>
      <c r="E151" s="259">
        <f t="shared" si="31"/>
        <v>4.4029999999999996</v>
      </c>
      <c r="F151" s="262">
        <f t="shared" si="32"/>
        <v>8.2000000000000003E-2</v>
      </c>
      <c r="G151" s="161">
        <f>ROUND(IF(F151&lt;0,F151*'2024-25 PSES Compliance'!$G$13,0),3)</f>
        <v>0</v>
      </c>
      <c r="H151" s="161">
        <f>ROUND(IF(F151&lt;0,F151*'2024-25 PSES Compliance'!$G$14,0),3)</f>
        <v>0</v>
      </c>
      <c r="I151" s="174">
        <f t="shared" si="33"/>
        <v>0.97910515557574385</v>
      </c>
      <c r="J151" s="174">
        <f t="shared" si="34"/>
        <v>0</v>
      </c>
      <c r="K151" s="161">
        <f>VLOOKUP($A151,'Enroll Data as of January 2025'!$A$3:$M$322,6,FALSE)</f>
        <v>2.5110000000000001</v>
      </c>
      <c r="L151" s="161">
        <f>VLOOKUP($A151,'Enroll Data as of January 2025'!$A$3:$M$322,7,FALSE)</f>
        <v>0.37</v>
      </c>
      <c r="M151" s="161">
        <f>VLOOKUP($A151,'Enroll Data as of January 2025'!$A$3:$M$322,8,FALSE)</f>
        <v>0.125</v>
      </c>
      <c r="N151" s="161">
        <f>VLOOKUP($A151,'Enroll Data as of January 2025'!$A$3:$M$322,9,FALSE)</f>
        <v>1.0840000000000001</v>
      </c>
      <c r="O151" s="165">
        <f t="shared" si="35"/>
        <v>4.09</v>
      </c>
      <c r="P151" s="161">
        <f>VLOOKUP($A151,'Enroll Data as of January 2025'!$A$3:$M$322,11,FALSE)</f>
        <v>0.151</v>
      </c>
      <c r="Q151" s="161">
        <f>VLOOKUP($A151,'Enroll Data as of January 2025'!$A$3:$M$322,12,FALSE)</f>
        <v>0.08</v>
      </c>
      <c r="R151" s="165">
        <f t="shared" si="36"/>
        <v>0.23099999999999998</v>
      </c>
      <c r="S151" s="267">
        <f>IFERROR(VLOOKUP($A151,Supp_39,14,FALSE),0)+IFERROR(SUMPRODUCT(VLOOKUP($A151,S275_01,{14,15,16},FALSE)),0)+IFERROR(SUMPRODUCT(VLOOKUP($A151,S275_97,{14,15,16},FALSE)),0)+IFERROR(ROUND(VLOOKUP($A151,S275_21,14,FALSE)*VLOOKUP($A151,'3121% SY'!$C$3:$M$324,11,FALSE),3),0)+IFERROR(ROUND(VLOOKUP($A151,S275_21,15,FALSE)*VLOOKUP($A151,'3121% SY'!$C$3:$M$324,11,FALSE),3),0)+IFERROR(ROUND(VLOOKUP($A151,S275_21,16,FALSE)*VLOOKUP($A151,'3121% SY'!$C$3:$M$324,11,FALSE),3),0)+IFERROR(VLOOKUP($A151,S275_09,6,FALSE),0)</f>
        <v>2</v>
      </c>
      <c r="T151" s="267">
        <f>IFERROR(VLOOKUP($A151,Supp_42,14,FALSE),0)+IFERROR(SUMPRODUCT(VLOOKUP($A151,S275_01,{17,18,19},FALSE)),0)+IFERROR(SUMPRODUCT(VLOOKUP($A151,S275_97,{17,18,19},FALSE)),0)+IFERROR(ROUND(VLOOKUP($A151,S275_21,17,FALSE)*VLOOKUP($A151,'3121% SY'!$C$3:$M$324,11,FALSE),3),0)+IFERROR(ROUND(VLOOKUP($A151,S275_21,18,FALSE)*VLOOKUP($A151,'3121% SY'!$C$3:$M$324,11,FALSE),3),0)+IFERROR(ROUND(VLOOKUP($A151,S275_21,19,FALSE)*VLOOKUP($A151,'3121% SY'!$C$3:$M$324,11,FALSE),3),0)+IFERROR(VLOOKUP($A151,S275_09,7,FALSE),0)</f>
        <v>1</v>
      </c>
      <c r="U151" s="267">
        <f>IFERROR(VLOOKUP($A151,Supp_43,14,FALSE),0)+IFERROR(SUMPRODUCT(VLOOKUP($A151,S275_01,{20,21,22},FALSE)),0)+IFERROR(SUMPRODUCT(VLOOKUP($A151,S275_97,{20,21,22},FALSE)),0)+IFERROR(ROUND(VLOOKUP($A151,S275_21,20,FALSE)*VLOOKUP($A151,'3121% SY'!$C$3:$M$324,11,FALSE),3),0)+IFERROR(ROUND(VLOOKUP($A151,S275_21,21,FALSE)*VLOOKUP($A151,'3121% SY'!$C$3:$M$324,11,FALSE),3),0)+IFERROR(ROUND(VLOOKUP($A151,S275_21,22,FALSE)*VLOOKUP($A151,'3121% SY'!$C$3:$M$324,11,FALSE),3),0)+IFERROR(VLOOKUP($A151,S275_09,8,FALSE),0)</f>
        <v>0.156</v>
      </c>
      <c r="V151" s="267">
        <f>IFERROR(VLOOKUP($A151,Supp_44,14,FALSE),0)+IFERROR(SUMPRODUCT(VLOOKUP($A151,S275_01,{23,24,25},FALSE)),0)+IFERROR(SUMPRODUCT(VLOOKUP($A151,S275_97,{23,24,25},FALSE)),0)+IFERROR(ROUND(VLOOKUP($A151,S275_21,23,FALSE)*VLOOKUP($A151,'3121% SY'!$C$3:$M$324,11,FALSE),3),0)+IFERROR(ROUND(VLOOKUP($A151,S275_21,24,FALSE)*VLOOKUP($A151,'3121% SY'!$C$3:$M$324,11,FALSE),3),0)+IFERROR(ROUND(VLOOKUP($A151,S275_21,25,FALSE)*VLOOKUP($A151,'3121% SY'!$C$3:$M$324,11,FALSE),3),0)+IFERROR(VLOOKUP($A151,S275_09,9,FALSE),0)</f>
        <v>0</v>
      </c>
      <c r="W151" s="267">
        <f>IFERROR(VLOOKUP($A151,Supp_45,14,FALSE),0)+IFERROR(SUMPRODUCT(VLOOKUP($A151,S275_01,{26,27,28},FALSE)),0)+IFERROR(SUMPRODUCT(VLOOKUP($A151,S275_97,{26,27,28},FALSE)),0)+IFERROR(ROUND(VLOOKUP($A151,S275_21,26,FALSE)*VLOOKUP($A151,'3121% SY'!$C$3:$M$324,11,FALSE),3),0)+IFERROR(ROUND(VLOOKUP($A151,S275_21,27,FALSE)*VLOOKUP($A151,'3121% SY'!$C$3:$M$324,11,FALSE),3),0)+IFERROR(ROUND(VLOOKUP($A151,S275_21,28,FALSE)*VLOOKUP($A151,'3121% SY'!$C$3:$M$324,11,FALSE),3),0)+IFERROR(VLOOKUP($A151,S275_09,10,FALSE),0)</f>
        <v>0.155</v>
      </c>
      <c r="X151" s="267">
        <f>IFERROR(VLOOKUP($A151,Supp_46,14,FALSE),0)+IFERROR(SUMPRODUCT(VLOOKUP($A151,S275_01,{29,30,31},FALSE)),0)+IFERROR(SUMPRODUCT(VLOOKUP($A151,S275_97,{29,30,31},FALSE)),0)+IFERROR(ROUND(VLOOKUP($A151,S275_21,29,FALSE)*VLOOKUP($A151,'3121% SY'!$C$3:$M$324,11,FALSE),3),0)+IFERROR(ROUND(VLOOKUP($A151,S275_21,30,FALSE)*VLOOKUP($A151,'3121% SY'!$C$3:$M$324,11,FALSE),3),0)+IFERROR(ROUND(VLOOKUP($A151,S275_21,31,FALSE)*VLOOKUP($A151,'3121% SY'!$C$3:$M$324,11,FALSE),3),0)+IFERROR(VLOOKUP($A151,S275_09,11,FALSE),0)</f>
        <v>0.64999999999999991</v>
      </c>
      <c r="Y151" s="267">
        <f>IFERROR(VLOOKUP($A151,Supp_47,14,FALSE),0)+IFERROR(SUMPRODUCT(VLOOKUP($A151,S275_01,{32,33,34},FALSE)),0)+IFERROR(SUMPRODUCT(VLOOKUP($A151,S275_97,{32,33,34},FALSE)),0)+IFERROR(ROUND(VLOOKUP($A151,S275_21,32,FALSE)*VLOOKUP($A151,'3121% SY'!$C$3:$M$324,11,FALSE),3),0)+IFERROR(ROUND(VLOOKUP($A151,S275_21,33,FALSE)*VLOOKUP($A151,'3121% SY'!$C$3:$M$324,11,FALSE),3),0)+IFERROR(ROUND(VLOOKUP($A151,S275_21,34,FALSE)*VLOOKUP($A151,'3121% SY'!$C$3:$M$324,11,FALSE),3),0)+IFERROR(VLOOKUP($A151,S275_09,12,FALSE),0)</f>
        <v>0.35</v>
      </c>
      <c r="Z151" s="267">
        <f>IFERROR(VLOOKUP($A151,Supp_48,14,FALSE),0)+IFERROR(SUMPRODUCT(VLOOKUP($A151,S275_01,{35,36,37},FALSE)),0)+IFERROR(SUMPRODUCT(VLOOKUP($A151,S275_97,{35,36,37},FALSE)),0)+IFERROR(ROUND(VLOOKUP($A151,S275_21,35,FALSE)*VLOOKUP($A151,'3121% SY'!$C$3:$M$324,11,FALSE),3),0)+IFERROR(ROUND(VLOOKUP($A151,S275_21,36,FALSE)*VLOOKUP($A151,'3121% SY'!$C$3:$M$324,11,FALSE),3),0)+IFERROR(ROUND(VLOOKUP($A151,S275_21,37,FALSE)*VLOOKUP($A151,'3121% SY'!$C$3:$M$324,11,FALSE),3),0)+IFERROR(VLOOKUP($A151,S275_09,13,FALSE),0)</f>
        <v>0</v>
      </c>
      <c r="AA151" s="267">
        <f>IFERROR(VLOOKUP($A151,Supp_49,14,FALSE),0)+IFERROR(SUMPRODUCT(VLOOKUP($A151,S275_01,{38,39,40},FALSE)),0)+IFERROR(SUMPRODUCT(VLOOKUP($A151,S275_97,{38,39,40},FALSE)),0)+IFERROR(ROUND(VLOOKUP($A151,S275_21,38,FALSE)*VLOOKUP($A151,'3121% SY'!$C$3:$M$324,11,FALSE),3),0)+IFERROR(ROUND(VLOOKUP($A151,S275_21,39,FALSE)*VLOOKUP($A151,'3121% SY'!$C$3:$M$324,11,FALSE),3),0)+IFERROR(ROUND(VLOOKUP($A151,S275_21,40,FALSE)*VLOOKUP($A151,'3121% SY'!$C$3:$M$324,11,FALSE),3),0)+IFERROR(VLOOKUP($A151,S275_09,14,FALSE),0)</f>
        <v>0</v>
      </c>
      <c r="AB151" s="267">
        <f>IFERROR(VLOOKUP($A151,Supp_64,14,FALSE),0)+IFERROR(SUMPRODUCT(VLOOKUP($A151,S275_01,{41,42,43},FALSE)),0)+IFERROR(SUMPRODUCT(VLOOKUP($A151,S275_97,{41,42,43},FALSE)),0)+IFERROR(ROUND(VLOOKUP($A151,S275_21,41,FALSE)*VLOOKUP($A151,'3121% SY'!$C$3:$M$324,11,FALSE),3),0)+IFERROR(ROUND(VLOOKUP($A151,S275_21,42,FALSE)*VLOOKUP($A151,'3121% SY'!$C$3:$M$324,11,FALSE),3),0)+IFERROR(ROUND(VLOOKUP($A151,S275_21,43,FALSE)*VLOOKUP($A151,'3121% SY'!$C$3:$M$324,11,FALSE),3),0)+IFERROR(VLOOKUP($A151,S275_09,15,FALSE),0)</f>
        <v>0</v>
      </c>
      <c r="AC151" s="268">
        <f t="shared" si="37"/>
        <v>4.3109999999999999</v>
      </c>
      <c r="AD151" s="267">
        <f>IFERROR(VLOOKUP($A151,Supp_24,14,FALSE),0)+IFERROR(SUMPRODUCT(VLOOKUP($A151,S275_01,{2,3,4},FALSE)),0)+IFERROR(SUMPRODUCT(VLOOKUP($A151,S275_97,{2,3,4},FALSE)),0)+IFERROR(ROUND(VLOOKUP($A151,S275_21,2,FALSE)*VLOOKUP($A151,'3121% SY'!$C$3:$M$324,11,FALSE),3),0)+IFERROR(ROUND(VLOOKUP($A151,S275_21,3,FALSE)*VLOOKUP($A151,'3121% SY'!$C$3:$M$324,11,FALSE),3),0)+IFERROR(ROUND(VLOOKUP($A151,S275_21,4,FALSE)*VLOOKUP($A151,'3121% SY'!$C$3:$M$324,11,FALSE),3),0)+IFERROR(VLOOKUP($A151,S275_09,2,FALSE),0)</f>
        <v>0</v>
      </c>
      <c r="AE151" s="267">
        <f>IFERROR(VLOOKUP($A151,Supp_25,14,FALSE),0)+IFERROR(SUMPRODUCT(VLOOKUP($A151,S275_01,{5,6,7},FALSE)),0)+IFERROR(SUMPRODUCT(VLOOKUP($A151,S275_97,{5,6,7},FALSE)),0)+IFERROR(ROUND(VLOOKUP($A151,S275_21,5,FALSE)*VLOOKUP($A151,'3121% SY'!$C$3:$M$324,11,FALSE),3),0)+IFERROR(ROUND(VLOOKUP($A151,S275_21,6,FALSE)*VLOOKUP($A151,'3121% SY'!$C$3:$M$324,11,FALSE),3),0)+IFERROR(ROUND(VLOOKUP($A151,S275_21,7,FALSE)*VLOOKUP($A151,'3121% SY'!$C$3:$M$324,11,FALSE),3),0)+IFERROR(VLOOKUP($A151,S275_09,3,FALSE),0)</f>
        <v>9.1999999999999998E-2</v>
      </c>
      <c r="AF151" s="267">
        <f>IFERROR(VLOOKUP($A151,Supp_26,14,FALSE),0)+IFERROR(SUMPRODUCT(VLOOKUP($A151,S275_01,{8,9,10},FALSE)),0)+IFERROR(SUMPRODUCT(VLOOKUP($A151,S275_97,{8,9,10},FALSE)),0)+IFERROR(ROUND(VLOOKUP($A151,S275_21,8,FALSE)*VLOOKUP($A151,'3121% SY'!$C$3:$M$324,11,FALSE),3),0)+IFERROR(ROUND(VLOOKUP($A151,S275_21,9,FALSE)*VLOOKUP($A151,'3121% SY'!$C$3:$M$324,11,FALSE),3),0)+IFERROR(ROUND(VLOOKUP($A151,S275_21,10,FALSE)*VLOOKUP($A151,'3121% SY'!$C$3:$M$324,11,FALSE),3),0)+IFERROR(VLOOKUP($A151,S275_09,4,FALSE),0)</f>
        <v>0</v>
      </c>
      <c r="AG151" s="267">
        <f>IFERROR(VLOOKUP($A151,Supp_35,14,FALSE),0)+IFERROR(SUMPRODUCT(VLOOKUP($A151,S275_01,{11,12,13},FALSE)),0)+IFERROR(SUMPRODUCT(VLOOKUP($A151,S275_97,{11,12,13},FALSE)),0)+IFERROR(ROUND(VLOOKUP($A151,S275_21,11,FALSE)*VLOOKUP($A151,'3121% SY'!$C$3:$M$324,11,FALSE),3),0)+IFERROR(ROUND(VLOOKUP($A151,S275_21,12,FALSE)*VLOOKUP($A151,'3121% SY'!$C$3:$M$324,11,FALSE),3),0)+IFERROR(ROUND(VLOOKUP($A151,S275_21,13,FALSE)*VLOOKUP($A151,'3121% SY'!$C$3:$M$324,11,FALSE),3),0)+IFERROR(VLOOKUP($A151,S275_09,5,FALSE),0)</f>
        <v>0</v>
      </c>
      <c r="AH151" s="165">
        <f t="shared" si="38"/>
        <v>9.1999999999999998E-2</v>
      </c>
      <c r="AI151" s="161">
        <f>IFERROR(VLOOKUP(A151,'Supp Staff Data'!A:ER,148,FALSE),0)+AB151</f>
        <v>0</v>
      </c>
      <c r="AJ151" s="174">
        <v>1</v>
      </c>
      <c r="AK151" s="25">
        <f>VLOOKUP(A151,'Enroll Data as of January 2025'!$A$3:$T$323,20,FALSE)-F151</f>
        <v>0</v>
      </c>
    </row>
    <row r="152" spans="1:37" x14ac:dyDescent="0.25">
      <c r="A152" s="171" t="s">
        <v>241</v>
      </c>
      <c r="B152" t="s">
        <v>537</v>
      </c>
      <c r="C152" s="173" t="s">
        <v>1077</v>
      </c>
      <c r="D152" s="259">
        <f t="shared" si="30"/>
        <v>3.3940000000000001</v>
      </c>
      <c r="E152" s="259">
        <f t="shared" si="31"/>
        <v>3.6079999999999997</v>
      </c>
      <c r="F152" s="262">
        <f t="shared" si="32"/>
        <v>0.214</v>
      </c>
      <c r="G152" s="161">
        <f>ROUND(IF(F152&lt;0,F152*'2024-25 PSES Compliance'!$G$13,0),3)</f>
        <v>0</v>
      </c>
      <c r="H152" s="161">
        <f>ROUND(IF(F152&lt;0,F152*'2024-25 PSES Compliance'!$G$14,0),3)</f>
        <v>0</v>
      </c>
      <c r="I152" s="174">
        <f t="shared" si="33"/>
        <v>0.78963414634146345</v>
      </c>
      <c r="J152" s="174">
        <f t="shared" si="34"/>
        <v>0</v>
      </c>
      <c r="K152" s="161">
        <f>VLOOKUP($A152,'Enroll Data as of January 2025'!$A$3:$M$322,6,FALSE)</f>
        <v>1.9350000000000001</v>
      </c>
      <c r="L152" s="161">
        <f>VLOOKUP($A152,'Enroll Data as of January 2025'!$A$3:$M$322,7,FALSE)</f>
        <v>0.30400000000000005</v>
      </c>
      <c r="M152" s="161">
        <f>VLOOKUP($A152,'Enroll Data as of January 2025'!$A$3:$M$322,8,FALSE)</f>
        <v>0.10300000000000001</v>
      </c>
      <c r="N152" s="161">
        <f>VLOOKUP($A152,'Enroll Data as of January 2025'!$A$3:$M$322,9,FALSE)</f>
        <v>0.86599999999999999</v>
      </c>
      <c r="O152" s="165">
        <f t="shared" si="35"/>
        <v>3.2080000000000002</v>
      </c>
      <c r="P152" s="161">
        <f>VLOOKUP($A152,'Enroll Data as of January 2025'!$A$3:$M$322,11,FALSE)</f>
        <v>0.11899999999999999</v>
      </c>
      <c r="Q152" s="161">
        <f>VLOOKUP($A152,'Enroll Data as of January 2025'!$A$3:$M$322,12,FALSE)</f>
        <v>6.7000000000000004E-2</v>
      </c>
      <c r="R152" s="165">
        <f t="shared" si="36"/>
        <v>0.186</v>
      </c>
      <c r="S152" s="267">
        <f>IFERROR(VLOOKUP($A152,Supp_39,14,FALSE),0)+IFERROR(SUMPRODUCT(VLOOKUP($A152,S275_01,{14,15,16},FALSE)),0)+IFERROR(SUMPRODUCT(VLOOKUP($A152,S275_97,{14,15,16},FALSE)),0)+IFERROR(ROUND(VLOOKUP($A152,S275_21,14,FALSE)*VLOOKUP($A152,'3121% SY'!$C$3:$M$324,11,FALSE),3),0)+IFERROR(ROUND(VLOOKUP($A152,S275_21,15,FALSE)*VLOOKUP($A152,'3121% SY'!$C$3:$M$324,11,FALSE),3),0)+IFERROR(ROUND(VLOOKUP($A152,S275_21,16,FALSE)*VLOOKUP($A152,'3121% SY'!$C$3:$M$324,11,FALSE),3),0)+IFERROR(VLOOKUP($A152,S275_09,6,FALSE),0)</f>
        <v>1.33</v>
      </c>
      <c r="T152" s="267">
        <f>IFERROR(VLOOKUP($A152,Supp_42,14,FALSE),0)+IFERROR(SUMPRODUCT(VLOOKUP($A152,S275_01,{17,18,19},FALSE)),0)+IFERROR(SUMPRODUCT(VLOOKUP($A152,S275_97,{17,18,19},FALSE)),0)+IFERROR(ROUND(VLOOKUP($A152,S275_21,17,FALSE)*VLOOKUP($A152,'3121% SY'!$C$3:$M$324,11,FALSE),3),0)+IFERROR(ROUND(VLOOKUP($A152,S275_21,18,FALSE)*VLOOKUP($A152,'3121% SY'!$C$3:$M$324,11,FALSE),3),0)+IFERROR(ROUND(VLOOKUP($A152,S275_21,19,FALSE)*VLOOKUP($A152,'3121% SY'!$C$3:$M$324,11,FALSE),3),0)+IFERROR(VLOOKUP($A152,S275_09,7,FALSE),0)</f>
        <v>0</v>
      </c>
      <c r="U152" s="267">
        <f>IFERROR(VLOOKUP($A152,Supp_43,14,FALSE),0)+IFERROR(SUMPRODUCT(VLOOKUP($A152,S275_01,{20,21,22},FALSE)),0)+IFERROR(SUMPRODUCT(VLOOKUP($A152,S275_97,{20,21,22},FALSE)),0)+IFERROR(ROUND(VLOOKUP($A152,S275_21,20,FALSE)*VLOOKUP($A152,'3121% SY'!$C$3:$M$324,11,FALSE),3),0)+IFERROR(ROUND(VLOOKUP($A152,S275_21,21,FALSE)*VLOOKUP($A152,'3121% SY'!$C$3:$M$324,11,FALSE),3),0)+IFERROR(ROUND(VLOOKUP($A152,S275_21,22,FALSE)*VLOOKUP($A152,'3121% SY'!$C$3:$M$324,11,FALSE),3),0)+IFERROR(VLOOKUP($A152,S275_09,8,FALSE),0)</f>
        <v>0</v>
      </c>
      <c r="V152" s="267">
        <f>IFERROR(VLOOKUP($A152,Supp_44,14,FALSE),0)+IFERROR(SUMPRODUCT(VLOOKUP($A152,S275_01,{23,24,25},FALSE)),0)+IFERROR(SUMPRODUCT(VLOOKUP($A152,S275_97,{23,24,25},FALSE)),0)+IFERROR(ROUND(VLOOKUP($A152,S275_21,23,FALSE)*VLOOKUP($A152,'3121% SY'!$C$3:$M$324,11,FALSE),3),0)+IFERROR(ROUND(VLOOKUP($A152,S275_21,24,FALSE)*VLOOKUP($A152,'3121% SY'!$C$3:$M$324,11,FALSE),3),0)+IFERROR(ROUND(VLOOKUP($A152,S275_21,25,FALSE)*VLOOKUP($A152,'3121% SY'!$C$3:$M$324,11,FALSE),3),0)+IFERROR(VLOOKUP($A152,S275_09,9,FALSE),0)</f>
        <v>0</v>
      </c>
      <c r="W152" s="267">
        <f>IFERROR(VLOOKUP($A152,Supp_45,14,FALSE),0)+IFERROR(SUMPRODUCT(VLOOKUP($A152,S275_01,{26,27,28},FALSE)),0)+IFERROR(SUMPRODUCT(VLOOKUP($A152,S275_97,{26,27,28},FALSE)),0)+IFERROR(ROUND(VLOOKUP($A152,S275_21,26,FALSE)*VLOOKUP($A152,'3121% SY'!$C$3:$M$324,11,FALSE),3),0)+IFERROR(ROUND(VLOOKUP($A152,S275_21,27,FALSE)*VLOOKUP($A152,'3121% SY'!$C$3:$M$324,11,FALSE),3),0)+IFERROR(ROUND(VLOOKUP($A152,S275_21,28,FALSE)*VLOOKUP($A152,'3121% SY'!$C$3:$M$324,11,FALSE),3),0)+IFERROR(VLOOKUP($A152,S275_09,10,FALSE),0)</f>
        <v>0.25600000000000001</v>
      </c>
      <c r="X152" s="267">
        <f>IFERROR(VLOOKUP($A152,Supp_46,14,FALSE),0)+IFERROR(SUMPRODUCT(VLOOKUP($A152,S275_01,{29,30,31},FALSE)),0)+IFERROR(SUMPRODUCT(VLOOKUP($A152,S275_97,{29,30,31},FALSE)),0)+IFERROR(ROUND(VLOOKUP($A152,S275_21,29,FALSE)*VLOOKUP($A152,'3121% SY'!$C$3:$M$324,11,FALSE),3),0)+IFERROR(ROUND(VLOOKUP($A152,S275_21,30,FALSE)*VLOOKUP($A152,'3121% SY'!$C$3:$M$324,11,FALSE),3),0)+IFERROR(ROUND(VLOOKUP($A152,S275_21,31,FALSE)*VLOOKUP($A152,'3121% SY'!$C$3:$M$324,11,FALSE),3),0)+IFERROR(VLOOKUP($A152,S275_09,11,FALSE),0)</f>
        <v>1.113</v>
      </c>
      <c r="Y152" s="267">
        <f>IFERROR(VLOOKUP($A152,Supp_47,14,FALSE),0)+IFERROR(SUMPRODUCT(VLOOKUP($A152,S275_01,{32,33,34},FALSE)),0)+IFERROR(SUMPRODUCT(VLOOKUP($A152,S275_97,{32,33,34},FALSE)),0)+IFERROR(ROUND(VLOOKUP($A152,S275_21,32,FALSE)*VLOOKUP($A152,'3121% SY'!$C$3:$M$324,11,FALSE),3),0)+IFERROR(ROUND(VLOOKUP($A152,S275_21,33,FALSE)*VLOOKUP($A152,'3121% SY'!$C$3:$M$324,11,FALSE),3),0)+IFERROR(ROUND(VLOOKUP($A152,S275_21,34,FALSE)*VLOOKUP($A152,'3121% SY'!$C$3:$M$324,11,FALSE),3),0)+IFERROR(VLOOKUP($A152,S275_09,12,FALSE),0)</f>
        <v>0.15</v>
      </c>
      <c r="Z152" s="267">
        <f>IFERROR(VLOOKUP($A152,Supp_48,14,FALSE),0)+IFERROR(SUMPRODUCT(VLOOKUP($A152,S275_01,{35,36,37},FALSE)),0)+IFERROR(SUMPRODUCT(VLOOKUP($A152,S275_97,{35,36,37},FALSE)),0)+IFERROR(ROUND(VLOOKUP($A152,S275_21,35,FALSE)*VLOOKUP($A152,'3121% SY'!$C$3:$M$324,11,FALSE),3),0)+IFERROR(ROUND(VLOOKUP($A152,S275_21,36,FALSE)*VLOOKUP($A152,'3121% SY'!$C$3:$M$324,11,FALSE),3),0)+IFERROR(ROUND(VLOOKUP($A152,S275_21,37,FALSE)*VLOOKUP($A152,'3121% SY'!$C$3:$M$324,11,FALSE),3),0)+IFERROR(VLOOKUP($A152,S275_09,13,FALSE),0)</f>
        <v>0</v>
      </c>
      <c r="AA152" s="267">
        <f>IFERROR(VLOOKUP($A152,Supp_49,14,FALSE),0)+IFERROR(SUMPRODUCT(VLOOKUP($A152,S275_01,{38,39,40},FALSE)),0)+IFERROR(SUMPRODUCT(VLOOKUP($A152,S275_97,{38,39,40},FALSE)),0)+IFERROR(ROUND(VLOOKUP($A152,S275_21,38,FALSE)*VLOOKUP($A152,'3121% SY'!$C$3:$M$324,11,FALSE),3),0)+IFERROR(ROUND(VLOOKUP($A152,S275_21,39,FALSE)*VLOOKUP($A152,'3121% SY'!$C$3:$M$324,11,FALSE),3),0)+IFERROR(ROUND(VLOOKUP($A152,S275_21,40,FALSE)*VLOOKUP($A152,'3121% SY'!$C$3:$M$324,11,FALSE),3),0)+IFERROR(VLOOKUP($A152,S275_09,14,FALSE),0)</f>
        <v>0</v>
      </c>
      <c r="AB152" s="267">
        <f>IFERROR(VLOOKUP($A152,Supp_64,14,FALSE),0)+IFERROR(SUMPRODUCT(VLOOKUP($A152,S275_01,{41,42,43},FALSE)),0)+IFERROR(SUMPRODUCT(VLOOKUP($A152,S275_97,{41,42,43},FALSE)),0)+IFERROR(ROUND(VLOOKUP($A152,S275_21,41,FALSE)*VLOOKUP($A152,'3121% SY'!$C$3:$M$324,11,FALSE),3),0)+IFERROR(ROUND(VLOOKUP($A152,S275_21,42,FALSE)*VLOOKUP($A152,'3121% SY'!$C$3:$M$324,11,FALSE),3),0)+IFERROR(ROUND(VLOOKUP($A152,S275_21,43,FALSE)*VLOOKUP($A152,'3121% SY'!$C$3:$M$324,11,FALSE),3),0)+IFERROR(VLOOKUP($A152,S275_09,15,FALSE),0)</f>
        <v>0</v>
      </c>
      <c r="AC152" s="268">
        <f t="shared" si="37"/>
        <v>2.8489999999999998</v>
      </c>
      <c r="AD152" s="267">
        <f>IFERROR(VLOOKUP($A152,Supp_24,14,FALSE),0)+IFERROR(SUMPRODUCT(VLOOKUP($A152,S275_01,{2,3,4},FALSE)),0)+IFERROR(SUMPRODUCT(VLOOKUP($A152,S275_97,{2,3,4},FALSE)),0)+IFERROR(ROUND(VLOOKUP($A152,S275_21,2,FALSE)*VLOOKUP($A152,'3121% SY'!$C$3:$M$324,11,FALSE),3),0)+IFERROR(ROUND(VLOOKUP($A152,S275_21,3,FALSE)*VLOOKUP($A152,'3121% SY'!$C$3:$M$324,11,FALSE),3),0)+IFERROR(ROUND(VLOOKUP($A152,S275_21,4,FALSE)*VLOOKUP($A152,'3121% SY'!$C$3:$M$324,11,FALSE),3),0)+IFERROR(VLOOKUP($A152,S275_09,2,FALSE),0)</f>
        <v>0</v>
      </c>
      <c r="AE152" s="267">
        <f>IFERROR(VLOOKUP($A152,Supp_25,14,FALSE),0)+IFERROR(SUMPRODUCT(VLOOKUP($A152,S275_01,{5,6,7},FALSE)),0)+IFERROR(SUMPRODUCT(VLOOKUP($A152,S275_97,{5,6,7},FALSE)),0)+IFERROR(ROUND(VLOOKUP($A152,S275_21,5,FALSE)*VLOOKUP($A152,'3121% SY'!$C$3:$M$324,11,FALSE),3),0)+IFERROR(ROUND(VLOOKUP($A152,S275_21,6,FALSE)*VLOOKUP($A152,'3121% SY'!$C$3:$M$324,11,FALSE),3),0)+IFERROR(ROUND(VLOOKUP($A152,S275_21,7,FALSE)*VLOOKUP($A152,'3121% SY'!$C$3:$M$324,11,FALSE),3),0)+IFERROR(VLOOKUP($A152,S275_09,3,FALSE),0)</f>
        <v>0.1</v>
      </c>
      <c r="AF152" s="267">
        <f>IFERROR(VLOOKUP($A152,Supp_26,14,FALSE),0)+IFERROR(SUMPRODUCT(VLOOKUP($A152,S275_01,{8,9,10},FALSE)),0)+IFERROR(SUMPRODUCT(VLOOKUP($A152,S275_97,{8,9,10},FALSE)),0)+IFERROR(ROUND(VLOOKUP($A152,S275_21,8,FALSE)*VLOOKUP($A152,'3121% SY'!$C$3:$M$324,11,FALSE),3),0)+IFERROR(ROUND(VLOOKUP($A152,S275_21,9,FALSE)*VLOOKUP($A152,'3121% SY'!$C$3:$M$324,11,FALSE),3),0)+IFERROR(ROUND(VLOOKUP($A152,S275_21,10,FALSE)*VLOOKUP($A152,'3121% SY'!$C$3:$M$324,11,FALSE),3),0)+IFERROR(VLOOKUP($A152,S275_09,4,FALSE),0)</f>
        <v>0.65900000000000003</v>
      </c>
      <c r="AG152" s="267">
        <f>IFERROR(VLOOKUP($A152,Supp_35,14,FALSE),0)+IFERROR(SUMPRODUCT(VLOOKUP($A152,S275_01,{11,12,13},FALSE)),0)+IFERROR(SUMPRODUCT(VLOOKUP($A152,S275_97,{11,12,13},FALSE)),0)+IFERROR(ROUND(VLOOKUP($A152,S275_21,11,FALSE)*VLOOKUP($A152,'3121% SY'!$C$3:$M$324,11,FALSE),3),0)+IFERROR(ROUND(VLOOKUP($A152,S275_21,12,FALSE)*VLOOKUP($A152,'3121% SY'!$C$3:$M$324,11,FALSE),3),0)+IFERROR(ROUND(VLOOKUP($A152,S275_21,13,FALSE)*VLOOKUP($A152,'3121% SY'!$C$3:$M$324,11,FALSE),3),0)+IFERROR(VLOOKUP($A152,S275_09,5,FALSE),0)</f>
        <v>0</v>
      </c>
      <c r="AH152" s="165">
        <f t="shared" si="38"/>
        <v>0.75900000000000001</v>
      </c>
      <c r="AI152" s="161">
        <f>IFERROR(VLOOKUP(A152,'Supp Staff Data'!A:ER,148,FALSE),0)+AB152</f>
        <v>0</v>
      </c>
      <c r="AJ152" s="174">
        <v>1</v>
      </c>
      <c r="AK152" s="25">
        <f>VLOOKUP(A152,'Enroll Data as of January 2025'!$A$3:$T$323,20,FALSE)-F152</f>
        <v>0</v>
      </c>
    </row>
    <row r="153" spans="1:37" x14ac:dyDescent="0.25">
      <c r="A153" s="171" t="s">
        <v>293</v>
      </c>
      <c r="B153" t="s">
        <v>589</v>
      </c>
      <c r="C153" s="173" t="s">
        <v>1077</v>
      </c>
      <c r="D153" s="259">
        <f t="shared" si="30"/>
        <v>16.929000000000002</v>
      </c>
      <c r="E153" s="259">
        <f t="shared" si="31"/>
        <v>18.033999999999999</v>
      </c>
      <c r="F153" s="262">
        <f t="shared" si="32"/>
        <v>1.105</v>
      </c>
      <c r="G153" s="161">
        <f>ROUND(IF(F153&lt;0,F153*'2024-25 PSES Compliance'!$G$13,0),3)</f>
        <v>0</v>
      </c>
      <c r="H153" s="161">
        <f>ROUND(IF(F153&lt;0,F153*'2024-25 PSES Compliance'!$G$14,0),3)</f>
        <v>0</v>
      </c>
      <c r="I153" s="174">
        <f t="shared" si="33"/>
        <v>0.78146833758456258</v>
      </c>
      <c r="J153" s="174">
        <f t="shared" si="34"/>
        <v>0</v>
      </c>
      <c r="K153" s="161">
        <f>VLOOKUP($A153,'Enroll Data as of January 2025'!$A$3:$M$322,6,FALSE)</f>
        <v>9.41</v>
      </c>
      <c r="L153" s="161">
        <f>VLOOKUP($A153,'Enroll Data as of January 2025'!$A$3:$M$322,7,FALSE)</f>
        <v>1.629</v>
      </c>
      <c r="M153" s="161">
        <f>VLOOKUP($A153,'Enroll Data as of January 2025'!$A$3:$M$322,8,FALSE)</f>
        <v>0.54700000000000004</v>
      </c>
      <c r="N153" s="161">
        <f>VLOOKUP($A153,'Enroll Data as of January 2025'!$A$3:$M$322,9,FALSE)</f>
        <v>4.3710000000000004</v>
      </c>
      <c r="O153" s="165">
        <f t="shared" si="35"/>
        <v>15.957000000000001</v>
      </c>
      <c r="P153" s="161">
        <f>VLOOKUP($A153,'Enroll Data as of January 2025'!$A$3:$M$322,11,FALSE)</f>
        <v>0.59799999999999998</v>
      </c>
      <c r="Q153" s="161">
        <f>VLOOKUP($A153,'Enroll Data as of January 2025'!$A$3:$M$322,12,FALSE)</f>
        <v>0.374</v>
      </c>
      <c r="R153" s="165">
        <f t="shared" si="36"/>
        <v>0.97199999999999998</v>
      </c>
      <c r="S153" s="267">
        <f>IFERROR(VLOOKUP($A153,Supp_39,14,FALSE),0)+IFERROR(SUMPRODUCT(VLOOKUP($A153,S275_01,{14,15,16},FALSE)),0)+IFERROR(SUMPRODUCT(VLOOKUP($A153,S275_97,{14,15,16},FALSE)),0)+IFERROR(ROUND(VLOOKUP($A153,S275_21,14,FALSE)*VLOOKUP($A153,'3121% SY'!$C$3:$M$324,11,FALSE),3),0)+IFERROR(ROUND(VLOOKUP($A153,S275_21,15,FALSE)*VLOOKUP($A153,'3121% SY'!$C$3:$M$324,11,FALSE),3),0)+IFERROR(ROUND(VLOOKUP($A153,S275_21,16,FALSE)*VLOOKUP($A153,'3121% SY'!$C$3:$M$324,11,FALSE),3),0)+IFERROR(VLOOKUP($A153,S275_09,6,FALSE),0)</f>
        <v>6.4</v>
      </c>
      <c r="T153" s="267">
        <f>IFERROR(VLOOKUP($A153,Supp_42,14,FALSE),0)+IFERROR(SUMPRODUCT(VLOOKUP($A153,S275_01,{17,18,19},FALSE)),0)+IFERROR(SUMPRODUCT(VLOOKUP($A153,S275_97,{17,18,19},FALSE)),0)+IFERROR(ROUND(VLOOKUP($A153,S275_21,17,FALSE)*VLOOKUP($A153,'3121% SY'!$C$3:$M$324,11,FALSE),3),0)+IFERROR(ROUND(VLOOKUP($A153,S275_21,18,FALSE)*VLOOKUP($A153,'3121% SY'!$C$3:$M$324,11,FALSE),3),0)+IFERROR(ROUND(VLOOKUP($A153,S275_21,19,FALSE)*VLOOKUP($A153,'3121% SY'!$C$3:$M$324,11,FALSE),3),0)+IFERROR(VLOOKUP($A153,S275_09,7,FALSE),0)</f>
        <v>2.4</v>
      </c>
      <c r="U153" s="267">
        <f>IFERROR(VLOOKUP($A153,Supp_43,14,FALSE),0)+IFERROR(SUMPRODUCT(VLOOKUP($A153,S275_01,{20,21,22},FALSE)),0)+IFERROR(SUMPRODUCT(VLOOKUP($A153,S275_97,{20,21,22},FALSE)),0)+IFERROR(ROUND(VLOOKUP($A153,S275_21,20,FALSE)*VLOOKUP($A153,'3121% SY'!$C$3:$M$324,11,FALSE),3),0)+IFERROR(ROUND(VLOOKUP($A153,S275_21,21,FALSE)*VLOOKUP($A153,'3121% SY'!$C$3:$M$324,11,FALSE),3),0)+IFERROR(ROUND(VLOOKUP($A153,S275_21,22,FALSE)*VLOOKUP($A153,'3121% SY'!$C$3:$M$324,11,FALSE),3),0)+IFERROR(VLOOKUP($A153,S275_09,8,FALSE),0)</f>
        <v>1.319</v>
      </c>
      <c r="V153" s="267">
        <f>IFERROR(VLOOKUP($A153,Supp_44,14,FALSE),0)+IFERROR(SUMPRODUCT(VLOOKUP($A153,S275_01,{23,24,25},FALSE)),0)+IFERROR(SUMPRODUCT(VLOOKUP($A153,S275_97,{23,24,25},FALSE)),0)+IFERROR(ROUND(VLOOKUP($A153,S275_21,23,FALSE)*VLOOKUP($A153,'3121% SY'!$C$3:$M$324,11,FALSE),3),0)+IFERROR(ROUND(VLOOKUP($A153,S275_21,24,FALSE)*VLOOKUP($A153,'3121% SY'!$C$3:$M$324,11,FALSE),3),0)+IFERROR(ROUND(VLOOKUP($A153,S275_21,25,FALSE)*VLOOKUP($A153,'3121% SY'!$C$3:$M$324,11,FALSE),3),0)+IFERROR(VLOOKUP($A153,S275_09,9,FALSE),0)</f>
        <v>0</v>
      </c>
      <c r="W153" s="267">
        <f>IFERROR(VLOOKUP($A153,Supp_45,14,FALSE),0)+IFERROR(SUMPRODUCT(VLOOKUP($A153,S275_01,{26,27,28},FALSE)),0)+IFERROR(SUMPRODUCT(VLOOKUP($A153,S275_97,{26,27,28},FALSE)),0)+IFERROR(ROUND(VLOOKUP($A153,S275_21,26,FALSE)*VLOOKUP($A153,'3121% SY'!$C$3:$M$324,11,FALSE),3),0)+IFERROR(ROUND(VLOOKUP($A153,S275_21,27,FALSE)*VLOOKUP($A153,'3121% SY'!$C$3:$M$324,11,FALSE),3),0)+IFERROR(ROUND(VLOOKUP($A153,S275_21,28,FALSE)*VLOOKUP($A153,'3121% SY'!$C$3:$M$324,11,FALSE),3),0)+IFERROR(VLOOKUP($A153,S275_09,10,FALSE),0)</f>
        <v>0.38900000000000001</v>
      </c>
      <c r="X153" s="267">
        <f>IFERROR(VLOOKUP($A153,Supp_46,14,FALSE),0)+IFERROR(SUMPRODUCT(VLOOKUP($A153,S275_01,{29,30,31},FALSE)),0)+IFERROR(SUMPRODUCT(VLOOKUP($A153,S275_97,{29,30,31},FALSE)),0)+IFERROR(ROUND(VLOOKUP($A153,S275_21,29,FALSE)*VLOOKUP($A153,'3121% SY'!$C$3:$M$324,11,FALSE),3),0)+IFERROR(ROUND(VLOOKUP($A153,S275_21,30,FALSE)*VLOOKUP($A153,'3121% SY'!$C$3:$M$324,11,FALSE),3),0)+IFERROR(ROUND(VLOOKUP($A153,S275_21,31,FALSE)*VLOOKUP($A153,'3121% SY'!$C$3:$M$324,11,FALSE),3),0)+IFERROR(VLOOKUP($A153,S275_09,11,FALSE),0)</f>
        <v>3.5</v>
      </c>
      <c r="Y153" s="267">
        <f>IFERROR(VLOOKUP($A153,Supp_47,14,FALSE),0)+IFERROR(SUMPRODUCT(VLOOKUP($A153,S275_01,{32,33,34},FALSE)),0)+IFERROR(SUMPRODUCT(VLOOKUP($A153,S275_97,{32,33,34},FALSE)),0)+IFERROR(ROUND(VLOOKUP($A153,S275_21,32,FALSE)*VLOOKUP($A153,'3121% SY'!$C$3:$M$324,11,FALSE),3),0)+IFERROR(ROUND(VLOOKUP($A153,S275_21,33,FALSE)*VLOOKUP($A153,'3121% SY'!$C$3:$M$324,11,FALSE),3),0)+IFERROR(ROUND(VLOOKUP($A153,S275_21,34,FALSE)*VLOOKUP($A153,'3121% SY'!$C$3:$M$324,11,FALSE),3),0)+IFERROR(VLOOKUP($A153,S275_09,12,FALSE),0)</f>
        <v>8.5000000000000006E-2</v>
      </c>
      <c r="Z153" s="267">
        <f>IFERROR(VLOOKUP($A153,Supp_48,14,FALSE),0)+IFERROR(SUMPRODUCT(VLOOKUP($A153,S275_01,{35,36,37},FALSE)),0)+IFERROR(SUMPRODUCT(VLOOKUP($A153,S275_97,{35,36,37},FALSE)),0)+IFERROR(ROUND(VLOOKUP($A153,S275_21,35,FALSE)*VLOOKUP($A153,'3121% SY'!$C$3:$M$324,11,FALSE),3),0)+IFERROR(ROUND(VLOOKUP($A153,S275_21,36,FALSE)*VLOOKUP($A153,'3121% SY'!$C$3:$M$324,11,FALSE),3),0)+IFERROR(ROUND(VLOOKUP($A153,S275_21,37,FALSE)*VLOOKUP($A153,'3121% SY'!$C$3:$M$324,11,FALSE),3),0)+IFERROR(VLOOKUP($A153,S275_09,13,FALSE),0)</f>
        <v>0</v>
      </c>
      <c r="AA153" s="267">
        <f>IFERROR(VLOOKUP($A153,Supp_49,14,FALSE),0)+IFERROR(SUMPRODUCT(VLOOKUP($A153,S275_01,{38,39,40},FALSE)),0)+IFERROR(SUMPRODUCT(VLOOKUP($A153,S275_97,{38,39,40},FALSE)),0)+IFERROR(ROUND(VLOOKUP($A153,S275_21,38,FALSE)*VLOOKUP($A153,'3121% SY'!$C$3:$M$324,11,FALSE),3),0)+IFERROR(ROUND(VLOOKUP($A153,S275_21,39,FALSE)*VLOOKUP($A153,'3121% SY'!$C$3:$M$324,11,FALSE),3),0)+IFERROR(ROUND(VLOOKUP($A153,S275_21,40,FALSE)*VLOOKUP($A153,'3121% SY'!$C$3:$M$324,11,FALSE),3),0)+IFERROR(VLOOKUP($A153,S275_09,14,FALSE),0)</f>
        <v>0</v>
      </c>
      <c r="AB153" s="267">
        <f>IFERROR(VLOOKUP($A153,Supp_64,14,FALSE),0)+IFERROR(SUMPRODUCT(VLOOKUP($A153,S275_01,{41,42,43},FALSE)),0)+IFERROR(SUMPRODUCT(VLOOKUP($A153,S275_97,{41,42,43},FALSE)),0)+IFERROR(ROUND(VLOOKUP($A153,S275_21,41,FALSE)*VLOOKUP($A153,'3121% SY'!$C$3:$M$324,11,FALSE),3),0)+IFERROR(ROUND(VLOOKUP($A153,S275_21,42,FALSE)*VLOOKUP($A153,'3121% SY'!$C$3:$M$324,11,FALSE),3),0)+IFERROR(ROUND(VLOOKUP($A153,S275_21,43,FALSE)*VLOOKUP($A153,'3121% SY'!$C$3:$M$324,11,FALSE),3),0)+IFERROR(VLOOKUP($A153,S275_09,15,FALSE),0)</f>
        <v>0</v>
      </c>
      <c r="AC153" s="268">
        <f t="shared" si="37"/>
        <v>14.093</v>
      </c>
      <c r="AD153" s="267">
        <f>IFERROR(VLOOKUP($A153,Supp_24,14,FALSE),0)+IFERROR(SUMPRODUCT(VLOOKUP($A153,S275_01,{2,3,4},FALSE)),0)+IFERROR(SUMPRODUCT(VLOOKUP($A153,S275_97,{2,3,4},FALSE)),0)+IFERROR(ROUND(VLOOKUP($A153,S275_21,2,FALSE)*VLOOKUP($A153,'3121% SY'!$C$3:$M$324,11,FALSE),3),0)+IFERROR(ROUND(VLOOKUP($A153,S275_21,3,FALSE)*VLOOKUP($A153,'3121% SY'!$C$3:$M$324,11,FALSE),3),0)+IFERROR(ROUND(VLOOKUP($A153,S275_21,4,FALSE)*VLOOKUP($A153,'3121% SY'!$C$3:$M$324,11,FALSE),3),0)+IFERROR(VLOOKUP($A153,S275_09,2,FALSE),0)</f>
        <v>1.577</v>
      </c>
      <c r="AE153" s="267">
        <f>IFERROR(VLOOKUP($A153,Supp_25,14,FALSE),0)+IFERROR(SUMPRODUCT(VLOOKUP($A153,S275_01,{5,6,7},FALSE)),0)+IFERROR(SUMPRODUCT(VLOOKUP($A153,S275_97,{5,6,7},FALSE)),0)+IFERROR(ROUND(VLOOKUP($A153,S275_21,5,FALSE)*VLOOKUP($A153,'3121% SY'!$C$3:$M$324,11,FALSE),3),0)+IFERROR(ROUND(VLOOKUP($A153,S275_21,6,FALSE)*VLOOKUP($A153,'3121% SY'!$C$3:$M$324,11,FALSE),3),0)+IFERROR(ROUND(VLOOKUP($A153,S275_21,7,FALSE)*VLOOKUP($A153,'3121% SY'!$C$3:$M$324,11,FALSE),3),0)+IFERROR(VLOOKUP($A153,S275_09,3,FALSE),0)</f>
        <v>0.36699999999999999</v>
      </c>
      <c r="AF153" s="267">
        <f>IFERROR(VLOOKUP($A153,Supp_26,14,FALSE),0)+IFERROR(SUMPRODUCT(VLOOKUP($A153,S275_01,{8,9,10},FALSE)),0)+IFERROR(SUMPRODUCT(VLOOKUP($A153,S275_97,{8,9,10},FALSE)),0)+IFERROR(ROUND(VLOOKUP($A153,S275_21,8,FALSE)*VLOOKUP($A153,'3121% SY'!$C$3:$M$324,11,FALSE),3),0)+IFERROR(ROUND(VLOOKUP($A153,S275_21,9,FALSE)*VLOOKUP($A153,'3121% SY'!$C$3:$M$324,11,FALSE),3),0)+IFERROR(ROUND(VLOOKUP($A153,S275_21,10,FALSE)*VLOOKUP($A153,'3121% SY'!$C$3:$M$324,11,FALSE),3),0)+IFERROR(VLOOKUP($A153,S275_09,4,FALSE),0)</f>
        <v>1.9970000000000001</v>
      </c>
      <c r="AG153" s="267">
        <f>IFERROR(VLOOKUP($A153,Supp_35,14,FALSE),0)+IFERROR(SUMPRODUCT(VLOOKUP($A153,S275_01,{11,12,13},FALSE)),0)+IFERROR(SUMPRODUCT(VLOOKUP($A153,S275_97,{11,12,13},FALSE)),0)+IFERROR(ROUND(VLOOKUP($A153,S275_21,11,FALSE)*VLOOKUP($A153,'3121% SY'!$C$3:$M$324,11,FALSE),3),0)+IFERROR(ROUND(VLOOKUP($A153,S275_21,12,FALSE)*VLOOKUP($A153,'3121% SY'!$C$3:$M$324,11,FALSE),3),0)+IFERROR(ROUND(VLOOKUP($A153,S275_21,13,FALSE)*VLOOKUP($A153,'3121% SY'!$C$3:$M$324,11,FALSE),3),0)+IFERROR(VLOOKUP($A153,S275_09,5,FALSE),0)</f>
        <v>0</v>
      </c>
      <c r="AH153" s="165">
        <f t="shared" si="38"/>
        <v>3.9409999999999998</v>
      </c>
      <c r="AI153" s="161">
        <f>IFERROR(VLOOKUP(A153,'Supp Staff Data'!A:ER,148,FALSE),0)+AB153</f>
        <v>0</v>
      </c>
      <c r="AJ153" s="174">
        <v>1</v>
      </c>
      <c r="AK153" s="25">
        <f>VLOOKUP(A153,'Enroll Data as of January 2025'!$A$3:$T$323,20,FALSE)-F153</f>
        <v>0</v>
      </c>
    </row>
    <row r="154" spans="1:37" x14ac:dyDescent="0.25">
      <c r="A154" s="171" t="s">
        <v>93</v>
      </c>
      <c r="B154" t="s">
        <v>389</v>
      </c>
      <c r="C154" s="173" t="s">
        <v>1077</v>
      </c>
      <c r="D154" s="259">
        <f t="shared" si="30"/>
        <v>1.0850000000000002</v>
      </c>
      <c r="E154" s="259">
        <f t="shared" si="31"/>
        <v>1.931</v>
      </c>
      <c r="F154" s="262">
        <f t="shared" si="32"/>
        <v>0.84599999999999997</v>
      </c>
      <c r="G154" s="161">
        <f>ROUND(IF(F154&lt;0,F154*'2024-25 PSES Compliance'!$G$13,0),3)</f>
        <v>0</v>
      </c>
      <c r="H154" s="161">
        <f>ROUND(IF(F154&lt;0,F154*'2024-25 PSES Compliance'!$G$14,0),3)</f>
        <v>0</v>
      </c>
      <c r="I154" s="174">
        <f t="shared" si="33"/>
        <v>0.56499223200414295</v>
      </c>
      <c r="J154" s="174">
        <f t="shared" si="34"/>
        <v>0</v>
      </c>
      <c r="K154" s="161">
        <f>VLOOKUP($A154,'Enroll Data as of January 2025'!$A$3:$M$322,6,FALSE)</f>
        <v>0.66500000000000004</v>
      </c>
      <c r="L154" s="161">
        <f>VLOOKUP($A154,'Enroll Data as of January 2025'!$A$3:$M$322,7,FALSE)</f>
        <v>0.08</v>
      </c>
      <c r="M154" s="161">
        <f>VLOOKUP($A154,'Enroll Data as of January 2025'!$A$3:$M$322,8,FALSE)</f>
        <v>2.7000000000000003E-2</v>
      </c>
      <c r="N154" s="161">
        <f>VLOOKUP($A154,'Enroll Data as of January 2025'!$A$3:$M$322,9,FALSE)</f>
        <v>0.25900000000000001</v>
      </c>
      <c r="O154" s="165">
        <f t="shared" si="35"/>
        <v>1.0310000000000001</v>
      </c>
      <c r="P154" s="161">
        <f>VLOOKUP($A154,'Enroll Data as of January 2025'!$A$3:$M$322,11,FALSE)</f>
        <v>3.7999999999999999E-2</v>
      </c>
      <c r="Q154" s="161">
        <f>VLOOKUP($A154,'Enroll Data as of January 2025'!$A$3:$M$322,12,FALSE)</f>
        <v>1.6E-2</v>
      </c>
      <c r="R154" s="165">
        <f t="shared" si="36"/>
        <v>5.3999999999999999E-2</v>
      </c>
      <c r="S154" s="267">
        <f>IFERROR(VLOOKUP($A154,Supp_39,14,FALSE),0)+IFERROR(SUMPRODUCT(VLOOKUP($A154,S275_01,{14,15,16},FALSE)),0)+IFERROR(SUMPRODUCT(VLOOKUP($A154,S275_97,{14,15,16},FALSE)),0)+IFERROR(ROUND(VLOOKUP($A154,S275_21,14,FALSE)*VLOOKUP($A154,'3121% SY'!$C$3:$M$324,11,FALSE),3),0)+IFERROR(ROUND(VLOOKUP($A154,S275_21,15,FALSE)*VLOOKUP($A154,'3121% SY'!$C$3:$M$324,11,FALSE),3),0)+IFERROR(ROUND(VLOOKUP($A154,S275_21,16,FALSE)*VLOOKUP($A154,'3121% SY'!$C$3:$M$324,11,FALSE),3),0)+IFERROR(VLOOKUP($A154,S275_09,6,FALSE),0)</f>
        <v>0.84899999999999998</v>
      </c>
      <c r="T154" s="267">
        <f>IFERROR(VLOOKUP($A154,Supp_42,14,FALSE),0)+IFERROR(SUMPRODUCT(VLOOKUP($A154,S275_01,{17,18,19},FALSE)),0)+IFERROR(SUMPRODUCT(VLOOKUP($A154,S275_97,{17,18,19},FALSE)),0)+IFERROR(ROUND(VLOOKUP($A154,S275_21,17,FALSE)*VLOOKUP($A154,'3121% SY'!$C$3:$M$324,11,FALSE),3),0)+IFERROR(ROUND(VLOOKUP($A154,S275_21,18,FALSE)*VLOOKUP($A154,'3121% SY'!$C$3:$M$324,11,FALSE),3),0)+IFERROR(ROUND(VLOOKUP($A154,S275_21,19,FALSE)*VLOOKUP($A154,'3121% SY'!$C$3:$M$324,11,FALSE),3),0)+IFERROR(VLOOKUP($A154,S275_09,7,FALSE),0)</f>
        <v>0.151</v>
      </c>
      <c r="U154" s="267">
        <f>IFERROR(VLOOKUP($A154,Supp_43,14,FALSE),0)+IFERROR(SUMPRODUCT(VLOOKUP($A154,S275_01,{20,21,22},FALSE)),0)+IFERROR(SUMPRODUCT(VLOOKUP($A154,S275_97,{20,21,22},FALSE)),0)+IFERROR(ROUND(VLOOKUP($A154,S275_21,20,FALSE)*VLOOKUP($A154,'3121% SY'!$C$3:$M$324,11,FALSE),3),0)+IFERROR(ROUND(VLOOKUP($A154,S275_21,21,FALSE)*VLOOKUP($A154,'3121% SY'!$C$3:$M$324,11,FALSE),3),0)+IFERROR(ROUND(VLOOKUP($A154,S275_21,22,FALSE)*VLOOKUP($A154,'3121% SY'!$C$3:$M$324,11,FALSE),3),0)+IFERROR(VLOOKUP($A154,S275_09,8,FALSE),0)</f>
        <v>0</v>
      </c>
      <c r="V154" s="267">
        <f>IFERROR(VLOOKUP($A154,Supp_44,14,FALSE),0)+IFERROR(SUMPRODUCT(VLOOKUP($A154,S275_01,{23,24,25},FALSE)),0)+IFERROR(SUMPRODUCT(VLOOKUP($A154,S275_97,{23,24,25},FALSE)),0)+IFERROR(ROUND(VLOOKUP($A154,S275_21,23,FALSE)*VLOOKUP($A154,'3121% SY'!$C$3:$M$324,11,FALSE),3),0)+IFERROR(ROUND(VLOOKUP($A154,S275_21,24,FALSE)*VLOOKUP($A154,'3121% SY'!$C$3:$M$324,11,FALSE),3),0)+IFERROR(ROUND(VLOOKUP($A154,S275_21,25,FALSE)*VLOOKUP($A154,'3121% SY'!$C$3:$M$324,11,FALSE),3),0)+IFERROR(VLOOKUP($A154,S275_09,9,FALSE),0)</f>
        <v>0</v>
      </c>
      <c r="W154" s="267">
        <f>IFERROR(VLOOKUP($A154,Supp_45,14,FALSE),0)+IFERROR(SUMPRODUCT(VLOOKUP($A154,S275_01,{26,27,28},FALSE)),0)+IFERROR(SUMPRODUCT(VLOOKUP($A154,S275_97,{26,27,28},FALSE)),0)+IFERROR(ROUND(VLOOKUP($A154,S275_21,26,FALSE)*VLOOKUP($A154,'3121% SY'!$C$3:$M$324,11,FALSE),3),0)+IFERROR(ROUND(VLOOKUP($A154,S275_21,27,FALSE)*VLOOKUP($A154,'3121% SY'!$C$3:$M$324,11,FALSE),3),0)+IFERROR(ROUND(VLOOKUP($A154,S275_21,28,FALSE)*VLOOKUP($A154,'3121% SY'!$C$3:$M$324,11,FALSE),3),0)+IFERROR(VLOOKUP($A154,S275_09,10,FALSE),0)</f>
        <v>6.3E-2</v>
      </c>
      <c r="X154" s="267">
        <f>IFERROR(VLOOKUP($A154,Supp_46,14,FALSE),0)+IFERROR(SUMPRODUCT(VLOOKUP($A154,S275_01,{29,30,31},FALSE)),0)+IFERROR(SUMPRODUCT(VLOOKUP($A154,S275_97,{29,30,31},FALSE)),0)+IFERROR(ROUND(VLOOKUP($A154,S275_21,29,FALSE)*VLOOKUP($A154,'3121% SY'!$C$3:$M$324,11,FALSE),3),0)+IFERROR(ROUND(VLOOKUP($A154,S275_21,30,FALSE)*VLOOKUP($A154,'3121% SY'!$C$3:$M$324,11,FALSE),3),0)+IFERROR(ROUND(VLOOKUP($A154,S275_21,31,FALSE)*VLOOKUP($A154,'3121% SY'!$C$3:$M$324,11,FALSE),3),0)+IFERROR(VLOOKUP($A154,S275_09,11,FALSE),0)</f>
        <v>2.8000000000000001E-2</v>
      </c>
      <c r="Y154" s="267">
        <f>IFERROR(VLOOKUP($A154,Supp_47,14,FALSE),0)+IFERROR(SUMPRODUCT(VLOOKUP($A154,S275_01,{32,33,34},FALSE)),0)+IFERROR(SUMPRODUCT(VLOOKUP($A154,S275_97,{32,33,34},FALSE)),0)+IFERROR(ROUND(VLOOKUP($A154,S275_21,32,FALSE)*VLOOKUP($A154,'3121% SY'!$C$3:$M$324,11,FALSE),3),0)+IFERROR(ROUND(VLOOKUP($A154,S275_21,33,FALSE)*VLOOKUP($A154,'3121% SY'!$C$3:$M$324,11,FALSE),3),0)+IFERROR(ROUND(VLOOKUP($A154,S275_21,34,FALSE)*VLOOKUP($A154,'3121% SY'!$C$3:$M$324,11,FALSE),3),0)+IFERROR(VLOOKUP($A154,S275_09,12,FALSE),0)</f>
        <v>0</v>
      </c>
      <c r="Z154" s="267">
        <f>IFERROR(VLOOKUP($A154,Supp_48,14,FALSE),0)+IFERROR(SUMPRODUCT(VLOOKUP($A154,S275_01,{35,36,37},FALSE)),0)+IFERROR(SUMPRODUCT(VLOOKUP($A154,S275_97,{35,36,37},FALSE)),0)+IFERROR(ROUND(VLOOKUP($A154,S275_21,35,FALSE)*VLOOKUP($A154,'3121% SY'!$C$3:$M$324,11,FALSE),3),0)+IFERROR(ROUND(VLOOKUP($A154,S275_21,36,FALSE)*VLOOKUP($A154,'3121% SY'!$C$3:$M$324,11,FALSE),3),0)+IFERROR(ROUND(VLOOKUP($A154,S275_21,37,FALSE)*VLOOKUP($A154,'3121% SY'!$C$3:$M$324,11,FALSE),3),0)+IFERROR(VLOOKUP($A154,S275_09,13,FALSE),0)</f>
        <v>0</v>
      </c>
      <c r="AA154" s="267">
        <f>IFERROR(VLOOKUP($A154,Supp_49,14,FALSE),0)+IFERROR(SUMPRODUCT(VLOOKUP($A154,S275_01,{38,39,40},FALSE)),0)+IFERROR(SUMPRODUCT(VLOOKUP($A154,S275_97,{38,39,40},FALSE)),0)+IFERROR(ROUND(VLOOKUP($A154,S275_21,38,FALSE)*VLOOKUP($A154,'3121% SY'!$C$3:$M$324,11,FALSE),3),0)+IFERROR(ROUND(VLOOKUP($A154,S275_21,39,FALSE)*VLOOKUP($A154,'3121% SY'!$C$3:$M$324,11,FALSE),3),0)+IFERROR(ROUND(VLOOKUP($A154,S275_21,40,FALSE)*VLOOKUP($A154,'3121% SY'!$C$3:$M$324,11,FALSE),3),0)+IFERROR(VLOOKUP($A154,S275_09,14,FALSE),0)</f>
        <v>0</v>
      </c>
      <c r="AB154" s="267">
        <f>IFERROR(VLOOKUP($A154,Supp_64,14,FALSE),0)+IFERROR(SUMPRODUCT(VLOOKUP($A154,S275_01,{41,42,43},FALSE)),0)+IFERROR(SUMPRODUCT(VLOOKUP($A154,S275_97,{41,42,43},FALSE)),0)+IFERROR(ROUND(VLOOKUP($A154,S275_21,41,FALSE)*VLOOKUP($A154,'3121% SY'!$C$3:$M$324,11,FALSE),3),0)+IFERROR(ROUND(VLOOKUP($A154,S275_21,42,FALSE)*VLOOKUP($A154,'3121% SY'!$C$3:$M$324,11,FALSE),3),0)+IFERROR(ROUND(VLOOKUP($A154,S275_21,43,FALSE)*VLOOKUP($A154,'3121% SY'!$C$3:$M$324,11,FALSE),3),0)+IFERROR(VLOOKUP($A154,S275_09,15,FALSE),0)</f>
        <v>0</v>
      </c>
      <c r="AC154" s="268">
        <f t="shared" si="37"/>
        <v>1.091</v>
      </c>
      <c r="AD154" s="267">
        <f>IFERROR(VLOOKUP($A154,Supp_24,14,FALSE),0)+IFERROR(SUMPRODUCT(VLOOKUP($A154,S275_01,{2,3,4},FALSE)),0)+IFERROR(SUMPRODUCT(VLOOKUP($A154,S275_97,{2,3,4},FALSE)),0)+IFERROR(ROUND(VLOOKUP($A154,S275_21,2,FALSE)*VLOOKUP($A154,'3121% SY'!$C$3:$M$324,11,FALSE),3),0)+IFERROR(ROUND(VLOOKUP($A154,S275_21,3,FALSE)*VLOOKUP($A154,'3121% SY'!$C$3:$M$324,11,FALSE),3),0)+IFERROR(ROUND(VLOOKUP($A154,S275_21,4,FALSE)*VLOOKUP($A154,'3121% SY'!$C$3:$M$324,11,FALSE),3),0)+IFERROR(VLOOKUP($A154,S275_09,2,FALSE),0)</f>
        <v>0</v>
      </c>
      <c r="AE154" s="267">
        <f>IFERROR(VLOOKUP($A154,Supp_25,14,FALSE),0)+IFERROR(SUMPRODUCT(VLOOKUP($A154,S275_01,{5,6,7},FALSE)),0)+IFERROR(SUMPRODUCT(VLOOKUP($A154,S275_97,{5,6,7},FALSE)),0)+IFERROR(ROUND(VLOOKUP($A154,S275_21,5,FALSE)*VLOOKUP($A154,'3121% SY'!$C$3:$M$324,11,FALSE),3),0)+IFERROR(ROUND(VLOOKUP($A154,S275_21,6,FALSE)*VLOOKUP($A154,'3121% SY'!$C$3:$M$324,11,FALSE),3),0)+IFERROR(ROUND(VLOOKUP($A154,S275_21,7,FALSE)*VLOOKUP($A154,'3121% SY'!$C$3:$M$324,11,FALSE),3),0)+IFERROR(VLOOKUP($A154,S275_09,3,FALSE),0)</f>
        <v>0.84</v>
      </c>
      <c r="AF154" s="267">
        <f>IFERROR(VLOOKUP($A154,Supp_26,14,FALSE),0)+IFERROR(SUMPRODUCT(VLOOKUP($A154,S275_01,{8,9,10},FALSE)),0)+IFERROR(SUMPRODUCT(VLOOKUP($A154,S275_97,{8,9,10},FALSE)),0)+IFERROR(ROUND(VLOOKUP($A154,S275_21,8,FALSE)*VLOOKUP($A154,'3121% SY'!$C$3:$M$324,11,FALSE),3),0)+IFERROR(ROUND(VLOOKUP($A154,S275_21,9,FALSE)*VLOOKUP($A154,'3121% SY'!$C$3:$M$324,11,FALSE),3),0)+IFERROR(ROUND(VLOOKUP($A154,S275_21,10,FALSE)*VLOOKUP($A154,'3121% SY'!$C$3:$M$324,11,FALSE),3),0)+IFERROR(VLOOKUP($A154,S275_09,4,FALSE),0)</f>
        <v>0</v>
      </c>
      <c r="AG154" s="267">
        <f>IFERROR(VLOOKUP($A154,Supp_35,14,FALSE),0)+IFERROR(SUMPRODUCT(VLOOKUP($A154,S275_01,{11,12,13},FALSE)),0)+IFERROR(SUMPRODUCT(VLOOKUP($A154,S275_97,{11,12,13},FALSE)),0)+IFERROR(ROUND(VLOOKUP($A154,S275_21,11,FALSE)*VLOOKUP($A154,'3121% SY'!$C$3:$M$324,11,FALSE),3),0)+IFERROR(ROUND(VLOOKUP($A154,S275_21,12,FALSE)*VLOOKUP($A154,'3121% SY'!$C$3:$M$324,11,FALSE),3),0)+IFERROR(ROUND(VLOOKUP($A154,S275_21,13,FALSE)*VLOOKUP($A154,'3121% SY'!$C$3:$M$324,11,FALSE),3),0)+IFERROR(VLOOKUP($A154,S275_09,5,FALSE),0)</f>
        <v>0</v>
      </c>
      <c r="AH154" s="165">
        <f t="shared" si="38"/>
        <v>0.84</v>
      </c>
      <c r="AI154" s="161">
        <f>IFERROR(VLOOKUP(A154,'Supp Staff Data'!A:ER,148,FALSE),0)+AB154</f>
        <v>0</v>
      </c>
      <c r="AJ154" s="174">
        <v>1</v>
      </c>
      <c r="AK154" s="25">
        <f>VLOOKUP(A154,'Enroll Data as of January 2025'!$A$3:$T$323,20,FALSE)-F154</f>
        <v>0</v>
      </c>
    </row>
    <row r="155" spans="1:37" x14ac:dyDescent="0.25">
      <c r="A155" s="171" t="s">
        <v>128</v>
      </c>
      <c r="B155" t="s">
        <v>424</v>
      </c>
      <c r="C155" s="173" t="s">
        <v>1077</v>
      </c>
      <c r="D155" s="259">
        <f t="shared" si="30"/>
        <v>0.47200000000000003</v>
      </c>
      <c r="E155" s="259">
        <f t="shared" si="31"/>
        <v>2.4209999999999998</v>
      </c>
      <c r="F155" s="262">
        <f t="shared" si="32"/>
        <v>1.9490000000000001</v>
      </c>
      <c r="G155" s="161">
        <f>ROUND(IF(F155&lt;0,F155*'2024-25 PSES Compliance'!$G$13,0),3)</f>
        <v>0</v>
      </c>
      <c r="H155" s="161">
        <f>ROUND(IF(F155&lt;0,F155*'2024-25 PSES Compliance'!$G$14,0),3)</f>
        <v>0</v>
      </c>
      <c r="I155" s="174">
        <f t="shared" si="33"/>
        <v>0.25057942998760846</v>
      </c>
      <c r="J155" s="174">
        <f t="shared" si="34"/>
        <v>0</v>
      </c>
      <c r="K155" s="161">
        <f>VLOOKUP($A155,'Enroll Data as of January 2025'!$A$3:$M$322,6,FALSE)</f>
        <v>0.26100000000000001</v>
      </c>
      <c r="L155" s="161">
        <f>VLOOKUP($A155,'Enroll Data as of January 2025'!$A$3:$M$322,7,FALSE)</f>
        <v>4.7E-2</v>
      </c>
      <c r="M155" s="161">
        <f>VLOOKUP($A155,'Enroll Data as of January 2025'!$A$3:$M$322,8,FALSE)</f>
        <v>1.6E-2</v>
      </c>
      <c r="N155" s="161">
        <f>VLOOKUP($A155,'Enroll Data as of January 2025'!$A$3:$M$322,9,FALSE)</f>
        <v>0.12</v>
      </c>
      <c r="O155" s="165">
        <f t="shared" si="35"/>
        <v>0.44400000000000001</v>
      </c>
      <c r="P155" s="161">
        <f>VLOOKUP($A155,'Enroll Data as of January 2025'!$A$3:$M$322,11,FALSE)</f>
        <v>1.7000000000000001E-2</v>
      </c>
      <c r="Q155" s="161">
        <f>VLOOKUP($A155,'Enroll Data as of January 2025'!$A$3:$M$322,12,FALSE)</f>
        <v>1.0999999999999999E-2</v>
      </c>
      <c r="R155" s="165">
        <f t="shared" si="36"/>
        <v>2.8000000000000001E-2</v>
      </c>
      <c r="S155" s="267">
        <f>IFERROR(VLOOKUP($A155,Supp_39,14,FALSE),0)+IFERROR(SUMPRODUCT(VLOOKUP($A155,S275_01,{14,15,16},FALSE)),0)+IFERROR(SUMPRODUCT(VLOOKUP($A155,S275_97,{14,15,16},FALSE)),0)+IFERROR(ROUND(VLOOKUP($A155,S275_21,14,FALSE)*VLOOKUP($A155,'3121% SY'!$C$3:$M$324,11,FALSE),3),0)+IFERROR(ROUND(VLOOKUP($A155,S275_21,15,FALSE)*VLOOKUP($A155,'3121% SY'!$C$3:$M$324,11,FALSE),3),0)+IFERROR(ROUND(VLOOKUP($A155,S275_21,16,FALSE)*VLOOKUP($A155,'3121% SY'!$C$3:$M$324,11,FALSE),3),0)+IFERROR(VLOOKUP($A155,S275_09,6,FALSE),0)</f>
        <v>0.46799999999999997</v>
      </c>
      <c r="T155" s="267">
        <f>IFERROR(VLOOKUP($A155,Supp_42,14,FALSE),0)+IFERROR(SUMPRODUCT(VLOOKUP($A155,S275_01,{17,18,19},FALSE)),0)+IFERROR(SUMPRODUCT(VLOOKUP($A155,S275_97,{17,18,19},FALSE)),0)+IFERROR(ROUND(VLOOKUP($A155,S275_21,17,FALSE)*VLOOKUP($A155,'3121% SY'!$C$3:$M$324,11,FALSE),3),0)+IFERROR(ROUND(VLOOKUP($A155,S275_21,18,FALSE)*VLOOKUP($A155,'3121% SY'!$C$3:$M$324,11,FALSE),3),0)+IFERROR(ROUND(VLOOKUP($A155,S275_21,19,FALSE)*VLOOKUP($A155,'3121% SY'!$C$3:$M$324,11,FALSE),3),0)+IFERROR(VLOOKUP($A155,S275_09,7,FALSE),0)</f>
        <v>0.156</v>
      </c>
      <c r="U155" s="267">
        <f>IFERROR(VLOOKUP($A155,Supp_43,14,FALSE),0)+IFERROR(SUMPRODUCT(VLOOKUP($A155,S275_01,{20,21,22},FALSE)),0)+IFERROR(SUMPRODUCT(VLOOKUP($A155,S275_97,{20,21,22},FALSE)),0)+IFERROR(ROUND(VLOOKUP($A155,S275_21,20,FALSE)*VLOOKUP($A155,'3121% SY'!$C$3:$M$324,11,FALSE),3),0)+IFERROR(ROUND(VLOOKUP($A155,S275_21,21,FALSE)*VLOOKUP($A155,'3121% SY'!$C$3:$M$324,11,FALSE),3),0)+IFERROR(ROUND(VLOOKUP($A155,S275_21,22,FALSE)*VLOOKUP($A155,'3121% SY'!$C$3:$M$324,11,FALSE),3),0)+IFERROR(VLOOKUP($A155,S275_09,8,FALSE),0)</f>
        <v>0</v>
      </c>
      <c r="V155" s="267">
        <f>IFERROR(VLOOKUP($A155,Supp_44,14,FALSE),0)+IFERROR(SUMPRODUCT(VLOOKUP($A155,S275_01,{23,24,25},FALSE)),0)+IFERROR(SUMPRODUCT(VLOOKUP($A155,S275_97,{23,24,25},FALSE)),0)+IFERROR(ROUND(VLOOKUP($A155,S275_21,23,FALSE)*VLOOKUP($A155,'3121% SY'!$C$3:$M$324,11,FALSE),3),0)+IFERROR(ROUND(VLOOKUP($A155,S275_21,24,FALSE)*VLOOKUP($A155,'3121% SY'!$C$3:$M$324,11,FALSE),3),0)+IFERROR(ROUND(VLOOKUP($A155,S275_21,25,FALSE)*VLOOKUP($A155,'3121% SY'!$C$3:$M$324,11,FALSE),3),0)+IFERROR(VLOOKUP($A155,S275_09,9,FALSE),0)</f>
        <v>0</v>
      </c>
      <c r="W155" s="267">
        <f>IFERROR(VLOOKUP($A155,Supp_45,14,FALSE),0)+IFERROR(SUMPRODUCT(VLOOKUP($A155,S275_01,{26,27,28},FALSE)),0)+IFERROR(SUMPRODUCT(VLOOKUP($A155,S275_97,{26,27,28},FALSE)),0)+IFERROR(ROUND(VLOOKUP($A155,S275_21,26,FALSE)*VLOOKUP($A155,'3121% SY'!$C$3:$M$324,11,FALSE),3),0)+IFERROR(ROUND(VLOOKUP($A155,S275_21,27,FALSE)*VLOOKUP($A155,'3121% SY'!$C$3:$M$324,11,FALSE),3),0)+IFERROR(ROUND(VLOOKUP($A155,S275_21,28,FALSE)*VLOOKUP($A155,'3121% SY'!$C$3:$M$324,11,FALSE),3),0)+IFERROR(VLOOKUP($A155,S275_09,10,FALSE),0)</f>
        <v>0</v>
      </c>
      <c r="X155" s="267">
        <f>IFERROR(VLOOKUP($A155,Supp_46,14,FALSE),0)+IFERROR(SUMPRODUCT(VLOOKUP($A155,S275_01,{29,30,31},FALSE)),0)+IFERROR(SUMPRODUCT(VLOOKUP($A155,S275_97,{29,30,31},FALSE)),0)+IFERROR(ROUND(VLOOKUP($A155,S275_21,29,FALSE)*VLOOKUP($A155,'3121% SY'!$C$3:$M$324,11,FALSE),3),0)+IFERROR(ROUND(VLOOKUP($A155,S275_21,30,FALSE)*VLOOKUP($A155,'3121% SY'!$C$3:$M$324,11,FALSE),3),0)+IFERROR(ROUND(VLOOKUP($A155,S275_21,31,FALSE)*VLOOKUP($A155,'3121% SY'!$C$3:$M$324,11,FALSE),3),0)+IFERROR(VLOOKUP($A155,S275_09,11,FALSE),0)</f>
        <v>0</v>
      </c>
      <c r="Y155" s="267">
        <f>IFERROR(VLOOKUP($A155,Supp_47,14,FALSE),0)+IFERROR(SUMPRODUCT(VLOOKUP($A155,S275_01,{32,33,34},FALSE)),0)+IFERROR(SUMPRODUCT(VLOOKUP($A155,S275_97,{32,33,34},FALSE)),0)+IFERROR(ROUND(VLOOKUP($A155,S275_21,32,FALSE)*VLOOKUP($A155,'3121% SY'!$C$3:$M$324,11,FALSE),3),0)+IFERROR(ROUND(VLOOKUP($A155,S275_21,33,FALSE)*VLOOKUP($A155,'3121% SY'!$C$3:$M$324,11,FALSE),3),0)+IFERROR(ROUND(VLOOKUP($A155,S275_21,34,FALSE)*VLOOKUP($A155,'3121% SY'!$C$3:$M$324,11,FALSE),3),0)+IFERROR(VLOOKUP($A155,S275_09,12,FALSE),0)</f>
        <v>0</v>
      </c>
      <c r="Z155" s="267">
        <f>IFERROR(VLOOKUP($A155,Supp_48,14,FALSE),0)+IFERROR(SUMPRODUCT(VLOOKUP($A155,S275_01,{35,36,37},FALSE)),0)+IFERROR(SUMPRODUCT(VLOOKUP($A155,S275_97,{35,36,37},FALSE)),0)+IFERROR(ROUND(VLOOKUP($A155,S275_21,35,FALSE)*VLOOKUP($A155,'3121% SY'!$C$3:$M$324,11,FALSE),3),0)+IFERROR(ROUND(VLOOKUP($A155,S275_21,36,FALSE)*VLOOKUP($A155,'3121% SY'!$C$3:$M$324,11,FALSE),3),0)+IFERROR(ROUND(VLOOKUP($A155,S275_21,37,FALSE)*VLOOKUP($A155,'3121% SY'!$C$3:$M$324,11,FALSE),3),0)+IFERROR(VLOOKUP($A155,S275_09,13,FALSE),0)</f>
        <v>0</v>
      </c>
      <c r="AA155" s="267">
        <f>IFERROR(VLOOKUP($A155,Supp_49,14,FALSE),0)+IFERROR(SUMPRODUCT(VLOOKUP($A155,S275_01,{38,39,40},FALSE)),0)+IFERROR(SUMPRODUCT(VLOOKUP($A155,S275_97,{38,39,40},FALSE)),0)+IFERROR(ROUND(VLOOKUP($A155,S275_21,38,FALSE)*VLOOKUP($A155,'3121% SY'!$C$3:$M$324,11,FALSE),3),0)+IFERROR(ROUND(VLOOKUP($A155,S275_21,39,FALSE)*VLOOKUP($A155,'3121% SY'!$C$3:$M$324,11,FALSE),3),0)+IFERROR(ROUND(VLOOKUP($A155,S275_21,40,FALSE)*VLOOKUP($A155,'3121% SY'!$C$3:$M$324,11,FALSE),3),0)+IFERROR(VLOOKUP($A155,S275_09,14,FALSE),0)</f>
        <v>0</v>
      </c>
      <c r="AB155" s="267">
        <f>IFERROR(VLOOKUP($A155,Supp_64,14,FALSE),0)+IFERROR(SUMPRODUCT(VLOOKUP($A155,S275_01,{41,42,43},FALSE)),0)+IFERROR(SUMPRODUCT(VLOOKUP($A155,S275_97,{41,42,43},FALSE)),0)+IFERROR(ROUND(VLOOKUP($A155,S275_21,41,FALSE)*VLOOKUP($A155,'3121% SY'!$C$3:$M$324,11,FALSE),3),0)+IFERROR(ROUND(VLOOKUP($A155,S275_21,42,FALSE)*VLOOKUP($A155,'3121% SY'!$C$3:$M$324,11,FALSE),3),0)+IFERROR(ROUND(VLOOKUP($A155,S275_21,43,FALSE)*VLOOKUP($A155,'3121% SY'!$C$3:$M$324,11,FALSE),3),0)+IFERROR(VLOOKUP($A155,S275_09,15,FALSE),0)</f>
        <v>0</v>
      </c>
      <c r="AC155" s="268">
        <f t="shared" si="37"/>
        <v>0.624</v>
      </c>
      <c r="AD155" s="267">
        <f>IFERROR(VLOOKUP($A155,Supp_24,14,FALSE),0)+IFERROR(SUMPRODUCT(VLOOKUP($A155,S275_01,{2,3,4},FALSE)),0)+IFERROR(SUMPRODUCT(VLOOKUP($A155,S275_97,{2,3,4},FALSE)),0)+IFERROR(ROUND(VLOOKUP($A155,S275_21,2,FALSE)*VLOOKUP($A155,'3121% SY'!$C$3:$M$324,11,FALSE),3),0)+IFERROR(ROUND(VLOOKUP($A155,S275_21,3,FALSE)*VLOOKUP($A155,'3121% SY'!$C$3:$M$324,11,FALSE),3),0)+IFERROR(ROUND(VLOOKUP($A155,S275_21,4,FALSE)*VLOOKUP($A155,'3121% SY'!$C$3:$M$324,11,FALSE),3),0)+IFERROR(VLOOKUP($A155,S275_09,2,FALSE),0)</f>
        <v>0</v>
      </c>
      <c r="AE155" s="267">
        <f>IFERROR(VLOOKUP($A155,Supp_25,14,FALSE),0)+IFERROR(SUMPRODUCT(VLOOKUP($A155,S275_01,{5,6,7},FALSE)),0)+IFERROR(SUMPRODUCT(VLOOKUP($A155,S275_97,{5,6,7},FALSE)),0)+IFERROR(ROUND(VLOOKUP($A155,S275_21,5,FALSE)*VLOOKUP($A155,'3121% SY'!$C$3:$M$324,11,FALSE),3),0)+IFERROR(ROUND(VLOOKUP($A155,S275_21,6,FALSE)*VLOOKUP($A155,'3121% SY'!$C$3:$M$324,11,FALSE),3),0)+IFERROR(ROUND(VLOOKUP($A155,S275_21,7,FALSE)*VLOOKUP($A155,'3121% SY'!$C$3:$M$324,11,FALSE),3),0)+IFERROR(VLOOKUP($A155,S275_09,3,FALSE),0)</f>
        <v>1.7969999999999999</v>
      </c>
      <c r="AF155" s="267">
        <f>IFERROR(VLOOKUP($A155,Supp_26,14,FALSE),0)+IFERROR(SUMPRODUCT(VLOOKUP($A155,S275_01,{8,9,10},FALSE)),0)+IFERROR(SUMPRODUCT(VLOOKUP($A155,S275_97,{8,9,10},FALSE)),0)+IFERROR(ROUND(VLOOKUP($A155,S275_21,8,FALSE)*VLOOKUP($A155,'3121% SY'!$C$3:$M$324,11,FALSE),3),0)+IFERROR(ROUND(VLOOKUP($A155,S275_21,9,FALSE)*VLOOKUP($A155,'3121% SY'!$C$3:$M$324,11,FALSE),3),0)+IFERROR(ROUND(VLOOKUP($A155,S275_21,10,FALSE)*VLOOKUP($A155,'3121% SY'!$C$3:$M$324,11,FALSE),3),0)+IFERROR(VLOOKUP($A155,S275_09,4,FALSE),0)</f>
        <v>0</v>
      </c>
      <c r="AG155" s="267">
        <f>IFERROR(VLOOKUP($A155,Supp_35,14,FALSE),0)+IFERROR(SUMPRODUCT(VLOOKUP($A155,S275_01,{11,12,13},FALSE)),0)+IFERROR(SUMPRODUCT(VLOOKUP($A155,S275_97,{11,12,13},FALSE)),0)+IFERROR(ROUND(VLOOKUP($A155,S275_21,11,FALSE)*VLOOKUP($A155,'3121% SY'!$C$3:$M$324,11,FALSE),3),0)+IFERROR(ROUND(VLOOKUP($A155,S275_21,12,FALSE)*VLOOKUP($A155,'3121% SY'!$C$3:$M$324,11,FALSE),3),0)+IFERROR(ROUND(VLOOKUP($A155,S275_21,13,FALSE)*VLOOKUP($A155,'3121% SY'!$C$3:$M$324,11,FALSE),3),0)+IFERROR(VLOOKUP($A155,S275_09,5,FALSE),0)</f>
        <v>0</v>
      </c>
      <c r="AH155" s="165">
        <f t="shared" si="38"/>
        <v>1.7969999999999999</v>
      </c>
      <c r="AI155" s="161">
        <f>IFERROR(VLOOKUP(A155,'Supp Staff Data'!A:ER,148,FALSE),0)+AB155</f>
        <v>0</v>
      </c>
      <c r="AJ155" s="174">
        <v>0.97219999999999995</v>
      </c>
      <c r="AK155" s="25">
        <f>VLOOKUP(A155,'Enroll Data as of January 2025'!$A$3:$T$323,20,FALSE)-F155</f>
        <v>0</v>
      </c>
    </row>
    <row r="156" spans="1:37" x14ac:dyDescent="0.25">
      <c r="A156" s="171" t="s">
        <v>171</v>
      </c>
      <c r="B156" t="s">
        <v>467</v>
      </c>
      <c r="C156" s="173" t="s">
        <v>1077</v>
      </c>
      <c r="D156" s="259">
        <f t="shared" si="30"/>
        <v>3.9659999999999993</v>
      </c>
      <c r="E156" s="259">
        <f t="shared" si="31"/>
        <v>3.7210000000000001</v>
      </c>
      <c r="F156" s="262">
        <f t="shared" si="32"/>
        <v>-0.245</v>
      </c>
      <c r="G156" s="161">
        <f>ROUND(IF(F156&lt;0,F156*'2024-25 PSES Compliance'!$G$13,0),3)</f>
        <v>-0.23499999999999999</v>
      </c>
      <c r="H156" s="161">
        <f>ROUND(IF(F156&lt;0,F156*'2024-25 PSES Compliance'!$G$14,0),3)</f>
        <v>-0.01</v>
      </c>
      <c r="I156" s="174">
        <f t="shared" si="33"/>
        <v>0</v>
      </c>
      <c r="J156" s="174">
        <f t="shared" si="34"/>
        <v>0</v>
      </c>
      <c r="K156" s="161">
        <f>VLOOKUP($A156,'Enroll Data as of January 2025'!$A$3:$M$322,6,FALSE)</f>
        <v>2.2279999999999998</v>
      </c>
      <c r="L156" s="161">
        <f>VLOOKUP($A156,'Enroll Data as of January 2025'!$A$3:$M$322,7,FALSE)</f>
        <v>0.36799999999999999</v>
      </c>
      <c r="M156" s="161">
        <f>VLOOKUP($A156,'Enroll Data as of January 2025'!$A$3:$M$322,8,FALSE)</f>
        <v>0.123</v>
      </c>
      <c r="N156" s="161">
        <f>VLOOKUP($A156,'Enroll Data as of January 2025'!$A$3:$M$322,9,FALSE)</f>
        <v>1.0249999999999999</v>
      </c>
      <c r="O156" s="165">
        <f t="shared" si="35"/>
        <v>3.7439999999999993</v>
      </c>
      <c r="P156" s="161">
        <f>VLOOKUP($A156,'Enroll Data as of January 2025'!$A$3:$M$322,11,FALSE)</f>
        <v>0.13900000000000001</v>
      </c>
      <c r="Q156" s="161">
        <f>VLOOKUP($A156,'Enroll Data as of January 2025'!$A$3:$M$322,12,FALSE)</f>
        <v>8.3000000000000004E-2</v>
      </c>
      <c r="R156" s="165">
        <f t="shared" si="36"/>
        <v>0.22200000000000003</v>
      </c>
      <c r="S156" s="267">
        <f>IFERROR(VLOOKUP($A156,Supp_39,14,FALSE),0)+IFERROR(SUMPRODUCT(VLOOKUP($A156,S275_01,{14,15,16},FALSE)),0)+IFERROR(SUMPRODUCT(VLOOKUP($A156,S275_97,{14,15,16},FALSE)),0)+IFERROR(ROUND(VLOOKUP($A156,S275_21,14,FALSE)*VLOOKUP($A156,'3121% SY'!$C$3:$M$324,11,FALSE),3),0)+IFERROR(ROUND(VLOOKUP($A156,S275_21,15,FALSE)*VLOOKUP($A156,'3121% SY'!$C$3:$M$324,11,FALSE),3),0)+IFERROR(ROUND(VLOOKUP($A156,S275_21,16,FALSE)*VLOOKUP($A156,'3121% SY'!$C$3:$M$324,11,FALSE),3),0)+IFERROR(VLOOKUP($A156,S275_09,6,FALSE),0)</f>
        <v>1.4</v>
      </c>
      <c r="T156" s="267">
        <f>IFERROR(VLOOKUP($A156,Supp_42,14,FALSE),0)+IFERROR(SUMPRODUCT(VLOOKUP($A156,S275_01,{17,18,19},FALSE)),0)+IFERROR(SUMPRODUCT(VLOOKUP($A156,S275_97,{17,18,19},FALSE)),0)+IFERROR(ROUND(VLOOKUP($A156,S275_21,17,FALSE)*VLOOKUP($A156,'3121% SY'!$C$3:$M$324,11,FALSE),3),0)+IFERROR(ROUND(VLOOKUP($A156,S275_21,18,FALSE)*VLOOKUP($A156,'3121% SY'!$C$3:$M$324,11,FALSE),3),0)+IFERROR(ROUND(VLOOKUP($A156,S275_21,19,FALSE)*VLOOKUP($A156,'3121% SY'!$C$3:$M$324,11,FALSE),3),0)+IFERROR(VLOOKUP($A156,S275_09,7,FALSE),0)</f>
        <v>0.5</v>
      </c>
      <c r="U156" s="267">
        <f>IFERROR(VLOOKUP($A156,Supp_43,14,FALSE),0)+IFERROR(SUMPRODUCT(VLOOKUP($A156,S275_01,{20,21,22},FALSE)),0)+IFERROR(SUMPRODUCT(VLOOKUP($A156,S275_97,{20,21,22},FALSE)),0)+IFERROR(ROUND(VLOOKUP($A156,S275_21,20,FALSE)*VLOOKUP($A156,'3121% SY'!$C$3:$M$324,11,FALSE),3),0)+IFERROR(ROUND(VLOOKUP($A156,S275_21,21,FALSE)*VLOOKUP($A156,'3121% SY'!$C$3:$M$324,11,FALSE),3),0)+IFERROR(ROUND(VLOOKUP($A156,S275_21,22,FALSE)*VLOOKUP($A156,'3121% SY'!$C$3:$M$324,11,FALSE),3),0)+IFERROR(VLOOKUP($A156,S275_09,8,FALSE),0)</f>
        <v>0</v>
      </c>
      <c r="V156" s="267">
        <f>IFERROR(VLOOKUP($A156,Supp_44,14,FALSE),0)+IFERROR(SUMPRODUCT(VLOOKUP($A156,S275_01,{23,24,25},FALSE)),0)+IFERROR(SUMPRODUCT(VLOOKUP($A156,S275_97,{23,24,25},FALSE)),0)+IFERROR(ROUND(VLOOKUP($A156,S275_21,23,FALSE)*VLOOKUP($A156,'3121% SY'!$C$3:$M$324,11,FALSE),3),0)+IFERROR(ROUND(VLOOKUP($A156,S275_21,24,FALSE)*VLOOKUP($A156,'3121% SY'!$C$3:$M$324,11,FALSE),3),0)+IFERROR(ROUND(VLOOKUP($A156,S275_21,25,FALSE)*VLOOKUP($A156,'3121% SY'!$C$3:$M$324,11,FALSE),3),0)+IFERROR(VLOOKUP($A156,S275_09,9,FALSE),0)</f>
        <v>0</v>
      </c>
      <c r="W156" s="267">
        <f>IFERROR(VLOOKUP($A156,Supp_45,14,FALSE),0)+IFERROR(SUMPRODUCT(VLOOKUP($A156,S275_01,{26,27,28},FALSE)),0)+IFERROR(SUMPRODUCT(VLOOKUP($A156,S275_97,{26,27,28},FALSE)),0)+IFERROR(ROUND(VLOOKUP($A156,S275_21,26,FALSE)*VLOOKUP($A156,'3121% SY'!$C$3:$M$324,11,FALSE),3),0)+IFERROR(ROUND(VLOOKUP($A156,S275_21,27,FALSE)*VLOOKUP($A156,'3121% SY'!$C$3:$M$324,11,FALSE),3),0)+IFERROR(ROUND(VLOOKUP($A156,S275_21,28,FALSE)*VLOOKUP($A156,'3121% SY'!$C$3:$M$324,11,FALSE),3),0)+IFERROR(VLOOKUP($A156,S275_09,10,FALSE),0)</f>
        <v>0</v>
      </c>
      <c r="X156" s="267">
        <f>IFERROR(VLOOKUP($A156,Supp_46,14,FALSE),0)+IFERROR(SUMPRODUCT(VLOOKUP($A156,S275_01,{29,30,31},FALSE)),0)+IFERROR(SUMPRODUCT(VLOOKUP($A156,S275_97,{29,30,31},FALSE)),0)+IFERROR(ROUND(VLOOKUP($A156,S275_21,29,FALSE)*VLOOKUP($A156,'3121% SY'!$C$3:$M$324,11,FALSE),3),0)+IFERROR(ROUND(VLOOKUP($A156,S275_21,30,FALSE)*VLOOKUP($A156,'3121% SY'!$C$3:$M$324,11,FALSE),3),0)+IFERROR(ROUND(VLOOKUP($A156,S275_21,31,FALSE)*VLOOKUP($A156,'3121% SY'!$C$3:$M$324,11,FALSE),3),0)+IFERROR(VLOOKUP($A156,S275_09,11,FALSE),0)</f>
        <v>0</v>
      </c>
      <c r="Y156" s="267">
        <f>IFERROR(VLOOKUP($A156,Supp_47,14,FALSE),0)+IFERROR(SUMPRODUCT(VLOOKUP($A156,S275_01,{32,33,34},FALSE)),0)+IFERROR(SUMPRODUCT(VLOOKUP($A156,S275_97,{32,33,34},FALSE)),0)+IFERROR(ROUND(VLOOKUP($A156,S275_21,32,FALSE)*VLOOKUP($A156,'3121% SY'!$C$3:$M$324,11,FALSE),3),0)+IFERROR(ROUND(VLOOKUP($A156,S275_21,33,FALSE)*VLOOKUP($A156,'3121% SY'!$C$3:$M$324,11,FALSE),3),0)+IFERROR(ROUND(VLOOKUP($A156,S275_21,34,FALSE)*VLOOKUP($A156,'3121% SY'!$C$3:$M$324,11,FALSE),3),0)+IFERROR(VLOOKUP($A156,S275_09,12,FALSE),0)</f>
        <v>0</v>
      </c>
      <c r="Z156" s="267">
        <f>IFERROR(VLOOKUP($A156,Supp_48,14,FALSE),0)+IFERROR(SUMPRODUCT(VLOOKUP($A156,S275_01,{35,36,37},FALSE)),0)+IFERROR(SUMPRODUCT(VLOOKUP($A156,S275_97,{35,36,37},FALSE)),0)+IFERROR(ROUND(VLOOKUP($A156,S275_21,35,FALSE)*VLOOKUP($A156,'3121% SY'!$C$3:$M$324,11,FALSE),3),0)+IFERROR(ROUND(VLOOKUP($A156,S275_21,36,FALSE)*VLOOKUP($A156,'3121% SY'!$C$3:$M$324,11,FALSE),3),0)+IFERROR(ROUND(VLOOKUP($A156,S275_21,37,FALSE)*VLOOKUP($A156,'3121% SY'!$C$3:$M$324,11,FALSE),3),0)+IFERROR(VLOOKUP($A156,S275_09,13,FALSE),0)</f>
        <v>0</v>
      </c>
      <c r="AA156" s="267">
        <f>IFERROR(VLOOKUP($A156,Supp_49,14,FALSE),0)+IFERROR(SUMPRODUCT(VLOOKUP($A156,S275_01,{38,39,40},FALSE)),0)+IFERROR(SUMPRODUCT(VLOOKUP($A156,S275_97,{38,39,40},FALSE)),0)+IFERROR(ROUND(VLOOKUP($A156,S275_21,38,FALSE)*VLOOKUP($A156,'3121% SY'!$C$3:$M$324,11,FALSE),3),0)+IFERROR(ROUND(VLOOKUP($A156,S275_21,39,FALSE)*VLOOKUP($A156,'3121% SY'!$C$3:$M$324,11,FALSE),3),0)+IFERROR(ROUND(VLOOKUP($A156,S275_21,40,FALSE)*VLOOKUP($A156,'3121% SY'!$C$3:$M$324,11,FALSE),3),0)+IFERROR(VLOOKUP($A156,S275_09,14,FALSE),0)</f>
        <v>0</v>
      </c>
      <c r="AB156" s="267">
        <f>IFERROR(VLOOKUP($A156,Supp_64,14,FALSE),0)+IFERROR(SUMPRODUCT(VLOOKUP($A156,S275_01,{41,42,43},FALSE)),0)+IFERROR(SUMPRODUCT(VLOOKUP($A156,S275_97,{41,42,43},FALSE)),0)+IFERROR(ROUND(VLOOKUP($A156,S275_21,41,FALSE)*VLOOKUP($A156,'3121% SY'!$C$3:$M$324,11,FALSE),3),0)+IFERROR(ROUND(VLOOKUP($A156,S275_21,42,FALSE)*VLOOKUP($A156,'3121% SY'!$C$3:$M$324,11,FALSE),3),0)+IFERROR(ROUND(VLOOKUP($A156,S275_21,43,FALSE)*VLOOKUP($A156,'3121% SY'!$C$3:$M$324,11,FALSE),3),0)+IFERROR(VLOOKUP($A156,S275_09,15,FALSE),0)</f>
        <v>0</v>
      </c>
      <c r="AC156" s="268">
        <f t="shared" si="37"/>
        <v>1.9</v>
      </c>
      <c r="AD156" s="267">
        <f>IFERROR(VLOOKUP($A156,Supp_24,14,FALSE),0)+IFERROR(SUMPRODUCT(VLOOKUP($A156,S275_01,{2,3,4},FALSE)),0)+IFERROR(SUMPRODUCT(VLOOKUP($A156,S275_97,{2,3,4},FALSE)),0)+IFERROR(ROUND(VLOOKUP($A156,S275_21,2,FALSE)*VLOOKUP($A156,'3121% SY'!$C$3:$M$324,11,FALSE),3),0)+IFERROR(ROUND(VLOOKUP($A156,S275_21,3,FALSE)*VLOOKUP($A156,'3121% SY'!$C$3:$M$324,11,FALSE),3),0)+IFERROR(ROUND(VLOOKUP($A156,S275_21,4,FALSE)*VLOOKUP($A156,'3121% SY'!$C$3:$M$324,11,FALSE),3),0)+IFERROR(VLOOKUP($A156,S275_09,2,FALSE),0)</f>
        <v>1.2490000000000001</v>
      </c>
      <c r="AE156" s="267">
        <f>IFERROR(VLOOKUP($A156,Supp_25,14,FALSE),0)+IFERROR(SUMPRODUCT(VLOOKUP($A156,S275_01,{5,6,7},FALSE)),0)+IFERROR(SUMPRODUCT(VLOOKUP($A156,S275_97,{5,6,7},FALSE)),0)+IFERROR(ROUND(VLOOKUP($A156,S275_21,5,FALSE)*VLOOKUP($A156,'3121% SY'!$C$3:$M$324,11,FALSE),3),0)+IFERROR(ROUND(VLOOKUP($A156,S275_21,6,FALSE)*VLOOKUP($A156,'3121% SY'!$C$3:$M$324,11,FALSE),3),0)+IFERROR(ROUND(VLOOKUP($A156,S275_21,7,FALSE)*VLOOKUP($A156,'3121% SY'!$C$3:$M$324,11,FALSE),3),0)+IFERROR(VLOOKUP($A156,S275_09,3,FALSE),0)</f>
        <v>0</v>
      </c>
      <c r="AF156" s="267">
        <f>IFERROR(VLOOKUP($A156,Supp_26,14,FALSE),0)+IFERROR(SUMPRODUCT(VLOOKUP($A156,S275_01,{8,9,10},FALSE)),0)+IFERROR(SUMPRODUCT(VLOOKUP($A156,S275_97,{8,9,10},FALSE)),0)+IFERROR(ROUND(VLOOKUP($A156,S275_21,8,FALSE)*VLOOKUP($A156,'3121% SY'!$C$3:$M$324,11,FALSE),3),0)+IFERROR(ROUND(VLOOKUP($A156,S275_21,9,FALSE)*VLOOKUP($A156,'3121% SY'!$C$3:$M$324,11,FALSE),3),0)+IFERROR(ROUND(VLOOKUP($A156,S275_21,10,FALSE)*VLOOKUP($A156,'3121% SY'!$C$3:$M$324,11,FALSE),3),0)+IFERROR(VLOOKUP($A156,S275_09,4,FALSE),0)</f>
        <v>0.57199999999999995</v>
      </c>
      <c r="AG156" s="267">
        <f>IFERROR(VLOOKUP($A156,Supp_35,14,FALSE),0)+IFERROR(SUMPRODUCT(VLOOKUP($A156,S275_01,{11,12,13},FALSE)),0)+IFERROR(SUMPRODUCT(VLOOKUP($A156,S275_97,{11,12,13},FALSE)),0)+IFERROR(ROUND(VLOOKUP($A156,S275_21,11,FALSE)*VLOOKUP($A156,'3121% SY'!$C$3:$M$324,11,FALSE),3),0)+IFERROR(ROUND(VLOOKUP($A156,S275_21,12,FALSE)*VLOOKUP($A156,'3121% SY'!$C$3:$M$324,11,FALSE),3),0)+IFERROR(ROUND(VLOOKUP($A156,S275_21,13,FALSE)*VLOOKUP($A156,'3121% SY'!$C$3:$M$324,11,FALSE),3),0)+IFERROR(VLOOKUP($A156,S275_09,5,FALSE),0)</f>
        <v>0</v>
      </c>
      <c r="AH156" s="165">
        <f t="shared" si="38"/>
        <v>1.8210000000000002</v>
      </c>
      <c r="AI156" s="161">
        <f>IFERROR(VLOOKUP(A156,'Supp Staff Data'!A:ER,148,FALSE),0)+AB156</f>
        <v>0</v>
      </c>
      <c r="AJ156" s="174">
        <v>0</v>
      </c>
      <c r="AK156" s="25">
        <f>VLOOKUP(A156,'Enroll Data as of January 2025'!$A$3:$T$323,20,FALSE)-F156</f>
        <v>0</v>
      </c>
    </row>
    <row r="157" spans="1:37" x14ac:dyDescent="0.25">
      <c r="A157" s="171" t="s">
        <v>202</v>
      </c>
      <c r="B157" t="s">
        <v>497</v>
      </c>
      <c r="C157" s="173" t="s">
        <v>1077</v>
      </c>
      <c r="D157" s="259">
        <f t="shared" si="30"/>
        <v>2.8029999999999999</v>
      </c>
      <c r="E157" s="259">
        <f t="shared" si="31"/>
        <v>2.8419999999999996</v>
      </c>
      <c r="F157" s="262">
        <f t="shared" si="32"/>
        <v>3.9E-2</v>
      </c>
      <c r="G157" s="161">
        <f>ROUND(IF(F157&lt;0,F157*'2024-25 PSES Compliance'!$G$13,0),3)</f>
        <v>0</v>
      </c>
      <c r="H157" s="161">
        <f>ROUND(IF(F157&lt;0,F157*'2024-25 PSES Compliance'!$G$14,0),3)</f>
        <v>0</v>
      </c>
      <c r="I157" s="174">
        <f t="shared" si="33"/>
        <v>0</v>
      </c>
      <c r="J157" s="174">
        <f t="shared" si="34"/>
        <v>0</v>
      </c>
      <c r="K157" s="161">
        <f>VLOOKUP($A157,'Enroll Data as of January 2025'!$A$3:$M$322,6,FALSE)</f>
        <v>1.5409999999999999</v>
      </c>
      <c r="L157" s="161">
        <f>VLOOKUP($A157,'Enroll Data as of January 2025'!$A$3:$M$322,7,FALSE)</f>
        <v>0.27400000000000002</v>
      </c>
      <c r="M157" s="161">
        <f>VLOOKUP($A157,'Enroll Data as of January 2025'!$A$3:$M$322,8,FALSE)</f>
        <v>9.1999999999999998E-2</v>
      </c>
      <c r="N157" s="161">
        <f>VLOOKUP($A157,'Enroll Data as of January 2025'!$A$3:$M$322,9,FALSE)</f>
        <v>0.73399999999999999</v>
      </c>
      <c r="O157" s="165">
        <f t="shared" si="35"/>
        <v>2.641</v>
      </c>
      <c r="P157" s="161">
        <f>VLOOKUP($A157,'Enroll Data as of January 2025'!$A$3:$M$322,11,FALSE)</f>
        <v>9.9000000000000005E-2</v>
      </c>
      <c r="Q157" s="161">
        <f>VLOOKUP($A157,'Enroll Data as of January 2025'!$A$3:$M$322,12,FALSE)</f>
        <v>6.3E-2</v>
      </c>
      <c r="R157" s="165">
        <f t="shared" si="36"/>
        <v>0.16200000000000001</v>
      </c>
      <c r="S157" s="267">
        <f>IFERROR(VLOOKUP($A157,Supp_39,14,FALSE),0)+IFERROR(SUMPRODUCT(VLOOKUP($A157,S275_01,{14,15,16},FALSE)),0)+IFERROR(SUMPRODUCT(VLOOKUP($A157,S275_97,{14,15,16},FALSE)),0)+IFERROR(ROUND(VLOOKUP($A157,S275_21,14,FALSE)*VLOOKUP($A157,'3121% SY'!$C$3:$M$324,11,FALSE),3),0)+IFERROR(ROUND(VLOOKUP($A157,S275_21,15,FALSE)*VLOOKUP($A157,'3121% SY'!$C$3:$M$324,11,FALSE),3),0)+IFERROR(ROUND(VLOOKUP($A157,S275_21,16,FALSE)*VLOOKUP($A157,'3121% SY'!$C$3:$M$324,11,FALSE),3),0)+IFERROR(VLOOKUP($A157,S275_09,6,FALSE),0)</f>
        <v>0.92</v>
      </c>
      <c r="T157" s="267">
        <f>IFERROR(VLOOKUP($A157,Supp_42,14,FALSE),0)+IFERROR(SUMPRODUCT(VLOOKUP($A157,S275_01,{17,18,19},FALSE)),0)+IFERROR(SUMPRODUCT(VLOOKUP($A157,S275_97,{17,18,19},FALSE)),0)+IFERROR(ROUND(VLOOKUP($A157,S275_21,17,FALSE)*VLOOKUP($A157,'3121% SY'!$C$3:$M$324,11,FALSE),3),0)+IFERROR(ROUND(VLOOKUP($A157,S275_21,18,FALSE)*VLOOKUP($A157,'3121% SY'!$C$3:$M$324,11,FALSE),3),0)+IFERROR(ROUND(VLOOKUP($A157,S275_21,19,FALSE)*VLOOKUP($A157,'3121% SY'!$C$3:$M$324,11,FALSE),3),0)+IFERROR(VLOOKUP($A157,S275_09,7,FALSE),0)</f>
        <v>0.08</v>
      </c>
      <c r="U157" s="267">
        <f>IFERROR(VLOOKUP($A157,Supp_43,14,FALSE),0)+IFERROR(SUMPRODUCT(VLOOKUP($A157,S275_01,{20,21,22},FALSE)),0)+IFERROR(SUMPRODUCT(VLOOKUP($A157,S275_97,{20,21,22},FALSE)),0)+IFERROR(ROUND(VLOOKUP($A157,S275_21,20,FALSE)*VLOOKUP($A157,'3121% SY'!$C$3:$M$324,11,FALSE),3),0)+IFERROR(ROUND(VLOOKUP($A157,S275_21,21,FALSE)*VLOOKUP($A157,'3121% SY'!$C$3:$M$324,11,FALSE),3),0)+IFERROR(ROUND(VLOOKUP($A157,S275_21,22,FALSE)*VLOOKUP($A157,'3121% SY'!$C$3:$M$324,11,FALSE),3),0)+IFERROR(VLOOKUP($A157,S275_09,8,FALSE),0)</f>
        <v>0</v>
      </c>
      <c r="V157" s="267">
        <f>IFERROR(VLOOKUP($A157,Supp_44,14,FALSE),0)+IFERROR(SUMPRODUCT(VLOOKUP($A157,S275_01,{23,24,25},FALSE)),0)+IFERROR(SUMPRODUCT(VLOOKUP($A157,S275_97,{23,24,25},FALSE)),0)+IFERROR(ROUND(VLOOKUP($A157,S275_21,23,FALSE)*VLOOKUP($A157,'3121% SY'!$C$3:$M$324,11,FALSE),3),0)+IFERROR(ROUND(VLOOKUP($A157,S275_21,24,FALSE)*VLOOKUP($A157,'3121% SY'!$C$3:$M$324,11,FALSE),3),0)+IFERROR(ROUND(VLOOKUP($A157,S275_21,25,FALSE)*VLOOKUP($A157,'3121% SY'!$C$3:$M$324,11,FALSE),3),0)+IFERROR(VLOOKUP($A157,S275_09,9,FALSE),0)</f>
        <v>0</v>
      </c>
      <c r="W157" s="267">
        <f>IFERROR(VLOOKUP($A157,Supp_45,14,FALSE),0)+IFERROR(SUMPRODUCT(VLOOKUP($A157,S275_01,{26,27,28},FALSE)),0)+IFERROR(SUMPRODUCT(VLOOKUP($A157,S275_97,{26,27,28},FALSE)),0)+IFERROR(ROUND(VLOOKUP($A157,S275_21,26,FALSE)*VLOOKUP($A157,'3121% SY'!$C$3:$M$324,11,FALSE),3),0)+IFERROR(ROUND(VLOOKUP($A157,S275_21,27,FALSE)*VLOOKUP($A157,'3121% SY'!$C$3:$M$324,11,FALSE),3),0)+IFERROR(ROUND(VLOOKUP($A157,S275_21,28,FALSE)*VLOOKUP($A157,'3121% SY'!$C$3:$M$324,11,FALSE),3),0)+IFERROR(VLOOKUP($A157,S275_09,10,FALSE),0)</f>
        <v>0</v>
      </c>
      <c r="X157" s="267">
        <f>IFERROR(VLOOKUP($A157,Supp_46,14,FALSE),0)+IFERROR(SUMPRODUCT(VLOOKUP($A157,S275_01,{29,30,31},FALSE)),0)+IFERROR(SUMPRODUCT(VLOOKUP($A157,S275_97,{29,30,31},FALSE)),0)+IFERROR(ROUND(VLOOKUP($A157,S275_21,29,FALSE)*VLOOKUP($A157,'3121% SY'!$C$3:$M$324,11,FALSE),3),0)+IFERROR(ROUND(VLOOKUP($A157,S275_21,30,FALSE)*VLOOKUP($A157,'3121% SY'!$C$3:$M$324,11,FALSE),3),0)+IFERROR(ROUND(VLOOKUP($A157,S275_21,31,FALSE)*VLOOKUP($A157,'3121% SY'!$C$3:$M$324,11,FALSE),3),0)+IFERROR(VLOOKUP($A157,S275_09,11,FALSE),0)</f>
        <v>0</v>
      </c>
      <c r="Y157" s="267">
        <f>IFERROR(VLOOKUP($A157,Supp_47,14,FALSE),0)+IFERROR(SUMPRODUCT(VLOOKUP($A157,S275_01,{32,33,34},FALSE)),0)+IFERROR(SUMPRODUCT(VLOOKUP($A157,S275_97,{32,33,34},FALSE)),0)+IFERROR(ROUND(VLOOKUP($A157,S275_21,32,FALSE)*VLOOKUP($A157,'3121% SY'!$C$3:$M$324,11,FALSE),3),0)+IFERROR(ROUND(VLOOKUP($A157,S275_21,33,FALSE)*VLOOKUP($A157,'3121% SY'!$C$3:$M$324,11,FALSE),3),0)+IFERROR(ROUND(VLOOKUP($A157,S275_21,34,FALSE)*VLOOKUP($A157,'3121% SY'!$C$3:$M$324,11,FALSE),3),0)+IFERROR(VLOOKUP($A157,S275_09,12,FALSE),0)</f>
        <v>0</v>
      </c>
      <c r="Z157" s="267">
        <f>IFERROR(VLOOKUP($A157,Supp_48,14,FALSE),0)+IFERROR(SUMPRODUCT(VLOOKUP($A157,S275_01,{35,36,37},FALSE)),0)+IFERROR(SUMPRODUCT(VLOOKUP($A157,S275_97,{35,36,37},FALSE)),0)+IFERROR(ROUND(VLOOKUP($A157,S275_21,35,FALSE)*VLOOKUP($A157,'3121% SY'!$C$3:$M$324,11,FALSE),3),0)+IFERROR(ROUND(VLOOKUP($A157,S275_21,36,FALSE)*VLOOKUP($A157,'3121% SY'!$C$3:$M$324,11,FALSE),3),0)+IFERROR(ROUND(VLOOKUP($A157,S275_21,37,FALSE)*VLOOKUP($A157,'3121% SY'!$C$3:$M$324,11,FALSE),3),0)+IFERROR(VLOOKUP($A157,S275_09,13,FALSE),0)</f>
        <v>0</v>
      </c>
      <c r="AA157" s="267">
        <f>IFERROR(VLOOKUP($A157,Supp_49,14,FALSE),0)+IFERROR(SUMPRODUCT(VLOOKUP($A157,S275_01,{38,39,40},FALSE)),0)+IFERROR(SUMPRODUCT(VLOOKUP($A157,S275_97,{38,39,40},FALSE)),0)+IFERROR(ROUND(VLOOKUP($A157,S275_21,38,FALSE)*VLOOKUP($A157,'3121% SY'!$C$3:$M$324,11,FALSE),3),0)+IFERROR(ROUND(VLOOKUP($A157,S275_21,39,FALSE)*VLOOKUP($A157,'3121% SY'!$C$3:$M$324,11,FALSE),3),0)+IFERROR(ROUND(VLOOKUP($A157,S275_21,40,FALSE)*VLOOKUP($A157,'3121% SY'!$C$3:$M$324,11,FALSE),3),0)+IFERROR(VLOOKUP($A157,S275_09,14,FALSE),0)</f>
        <v>6.9999999999999993E-2</v>
      </c>
      <c r="AB157" s="267">
        <f>IFERROR(VLOOKUP($A157,Supp_64,14,FALSE),0)+IFERROR(SUMPRODUCT(VLOOKUP($A157,S275_01,{41,42,43},FALSE)),0)+IFERROR(SUMPRODUCT(VLOOKUP($A157,S275_97,{41,42,43},FALSE)),0)+IFERROR(ROUND(VLOOKUP($A157,S275_21,41,FALSE)*VLOOKUP($A157,'3121% SY'!$C$3:$M$324,11,FALSE),3),0)+IFERROR(ROUND(VLOOKUP($A157,S275_21,42,FALSE)*VLOOKUP($A157,'3121% SY'!$C$3:$M$324,11,FALSE),3),0)+IFERROR(ROUND(VLOOKUP($A157,S275_21,43,FALSE)*VLOOKUP($A157,'3121% SY'!$C$3:$M$324,11,FALSE),3),0)+IFERROR(VLOOKUP($A157,S275_09,15,FALSE),0)</f>
        <v>0</v>
      </c>
      <c r="AC157" s="268">
        <f t="shared" si="37"/>
        <v>1.07</v>
      </c>
      <c r="AD157" s="267">
        <f>IFERROR(VLOOKUP($A157,Supp_24,14,FALSE),0)+IFERROR(SUMPRODUCT(VLOOKUP($A157,S275_01,{2,3,4},FALSE)),0)+IFERROR(SUMPRODUCT(VLOOKUP($A157,S275_97,{2,3,4},FALSE)),0)+IFERROR(ROUND(VLOOKUP($A157,S275_21,2,FALSE)*VLOOKUP($A157,'3121% SY'!$C$3:$M$324,11,FALSE),3),0)+IFERROR(ROUND(VLOOKUP($A157,S275_21,3,FALSE)*VLOOKUP($A157,'3121% SY'!$C$3:$M$324,11,FALSE),3),0)+IFERROR(ROUND(VLOOKUP($A157,S275_21,4,FALSE)*VLOOKUP($A157,'3121% SY'!$C$3:$M$324,11,FALSE),3),0)+IFERROR(VLOOKUP($A157,S275_09,2,FALSE),0)</f>
        <v>0</v>
      </c>
      <c r="AE157" s="267">
        <f>IFERROR(VLOOKUP($A157,Supp_25,14,FALSE),0)+IFERROR(SUMPRODUCT(VLOOKUP($A157,S275_01,{5,6,7},FALSE)),0)+IFERROR(SUMPRODUCT(VLOOKUP($A157,S275_97,{5,6,7},FALSE)),0)+IFERROR(ROUND(VLOOKUP($A157,S275_21,5,FALSE)*VLOOKUP($A157,'3121% SY'!$C$3:$M$324,11,FALSE),3),0)+IFERROR(ROUND(VLOOKUP($A157,S275_21,6,FALSE)*VLOOKUP($A157,'3121% SY'!$C$3:$M$324,11,FALSE),3),0)+IFERROR(ROUND(VLOOKUP($A157,S275_21,7,FALSE)*VLOOKUP($A157,'3121% SY'!$C$3:$M$324,11,FALSE),3),0)+IFERROR(VLOOKUP($A157,S275_09,3,FALSE),0)</f>
        <v>0.64200000000000002</v>
      </c>
      <c r="AF157" s="267">
        <f>IFERROR(VLOOKUP($A157,Supp_26,14,FALSE),0)+IFERROR(SUMPRODUCT(VLOOKUP($A157,S275_01,{8,9,10},FALSE)),0)+IFERROR(SUMPRODUCT(VLOOKUP($A157,S275_97,{8,9,10},FALSE)),0)+IFERROR(ROUND(VLOOKUP($A157,S275_21,8,FALSE)*VLOOKUP($A157,'3121% SY'!$C$3:$M$324,11,FALSE),3),0)+IFERROR(ROUND(VLOOKUP($A157,S275_21,9,FALSE)*VLOOKUP($A157,'3121% SY'!$C$3:$M$324,11,FALSE),3),0)+IFERROR(ROUND(VLOOKUP($A157,S275_21,10,FALSE)*VLOOKUP($A157,'3121% SY'!$C$3:$M$324,11,FALSE),3),0)+IFERROR(VLOOKUP($A157,S275_09,4,FALSE),0)</f>
        <v>1.1299999999999999</v>
      </c>
      <c r="AG157" s="267">
        <f>IFERROR(VLOOKUP($A157,Supp_35,14,FALSE),0)+IFERROR(SUMPRODUCT(VLOOKUP($A157,S275_01,{11,12,13},FALSE)),0)+IFERROR(SUMPRODUCT(VLOOKUP($A157,S275_97,{11,12,13},FALSE)),0)+IFERROR(ROUND(VLOOKUP($A157,S275_21,11,FALSE)*VLOOKUP($A157,'3121% SY'!$C$3:$M$324,11,FALSE),3),0)+IFERROR(ROUND(VLOOKUP($A157,S275_21,12,FALSE)*VLOOKUP($A157,'3121% SY'!$C$3:$M$324,11,FALSE),3),0)+IFERROR(ROUND(VLOOKUP($A157,S275_21,13,FALSE)*VLOOKUP($A157,'3121% SY'!$C$3:$M$324,11,FALSE),3),0)+IFERROR(VLOOKUP($A157,S275_09,5,FALSE),0)</f>
        <v>0</v>
      </c>
      <c r="AH157" s="165">
        <f t="shared" si="38"/>
        <v>1.7719999999999998</v>
      </c>
      <c r="AI157" s="161">
        <f>IFERROR(VLOOKUP(A157,'Supp Staff Data'!A:ER,148,FALSE),0)+AB157</f>
        <v>0</v>
      </c>
      <c r="AJ157" s="174">
        <v>0</v>
      </c>
      <c r="AK157" s="25">
        <f>VLOOKUP(A157,'Enroll Data as of January 2025'!$A$3:$T$323,20,FALSE)-F157</f>
        <v>0</v>
      </c>
    </row>
    <row r="158" spans="1:37" x14ac:dyDescent="0.25">
      <c r="A158" s="171" t="s">
        <v>287</v>
      </c>
      <c r="B158" t="s">
        <v>583</v>
      </c>
      <c r="C158" s="173" t="s">
        <v>1077</v>
      </c>
      <c r="D158" s="259">
        <f t="shared" si="30"/>
        <v>0.81699999999999995</v>
      </c>
      <c r="E158" s="259">
        <f t="shared" si="31"/>
        <v>0.433</v>
      </c>
      <c r="F158" s="262">
        <f t="shared" si="32"/>
        <v>-0.38400000000000001</v>
      </c>
      <c r="G158" s="161">
        <f>ROUND(IF(F158&lt;0,F158*'2024-25 PSES Compliance'!$G$13,0),3)</f>
        <v>-0.36899999999999999</v>
      </c>
      <c r="H158" s="161">
        <f>ROUND(IF(F158&lt;0,F158*'2024-25 PSES Compliance'!$G$14,0),3)</f>
        <v>-1.4999999999999999E-2</v>
      </c>
      <c r="I158" s="174">
        <f t="shared" si="33"/>
        <v>0.91800000000000004</v>
      </c>
      <c r="J158" s="174">
        <f t="shared" si="34"/>
        <v>0</v>
      </c>
      <c r="K158" s="161">
        <f>VLOOKUP($A158,'Enroll Data as of January 2025'!$A$3:$M$322,6,FALSE)</f>
        <v>0.45199999999999996</v>
      </c>
      <c r="L158" s="161">
        <f>VLOOKUP($A158,'Enroll Data as of January 2025'!$A$3:$M$322,7,FALSE)</f>
        <v>7.9000000000000015E-2</v>
      </c>
      <c r="M158" s="161">
        <f>VLOOKUP($A158,'Enroll Data as of January 2025'!$A$3:$M$322,8,FALSE)</f>
        <v>2.6000000000000002E-2</v>
      </c>
      <c r="N158" s="161">
        <f>VLOOKUP($A158,'Enroll Data as of January 2025'!$A$3:$M$322,9,FALSE)</f>
        <v>0.21299999999999999</v>
      </c>
      <c r="O158" s="165">
        <f t="shared" si="35"/>
        <v>0.76999999999999991</v>
      </c>
      <c r="P158" s="161">
        <f>VLOOKUP($A158,'Enroll Data as of January 2025'!$A$3:$M$322,11,FALSE)</f>
        <v>2.9000000000000001E-2</v>
      </c>
      <c r="Q158" s="161">
        <f>VLOOKUP($A158,'Enroll Data as of January 2025'!$A$3:$M$322,12,FALSE)</f>
        <v>1.7999999999999999E-2</v>
      </c>
      <c r="R158" s="165">
        <f t="shared" si="36"/>
        <v>4.7E-2</v>
      </c>
      <c r="S158" s="267">
        <f>IFERROR(VLOOKUP($A158,Supp_39,14,FALSE),0)+IFERROR(SUMPRODUCT(VLOOKUP($A158,S275_01,{14,15,16},FALSE)),0)+IFERROR(SUMPRODUCT(VLOOKUP($A158,S275_97,{14,15,16},FALSE)),0)+IFERROR(ROUND(VLOOKUP($A158,S275_21,14,FALSE)*VLOOKUP($A158,'3121% SY'!$C$3:$M$324,11,FALSE),3),0)+IFERROR(ROUND(VLOOKUP($A158,S275_21,15,FALSE)*VLOOKUP($A158,'3121% SY'!$C$3:$M$324,11,FALSE),3),0)+IFERROR(ROUND(VLOOKUP($A158,S275_21,16,FALSE)*VLOOKUP($A158,'3121% SY'!$C$3:$M$324,11,FALSE),3),0)+IFERROR(VLOOKUP($A158,S275_09,6,FALSE),0)</f>
        <v>0.433</v>
      </c>
      <c r="T158" s="267">
        <f>IFERROR(VLOOKUP($A158,Supp_42,14,FALSE),0)+IFERROR(SUMPRODUCT(VLOOKUP($A158,S275_01,{17,18,19},FALSE)),0)+IFERROR(SUMPRODUCT(VLOOKUP($A158,S275_97,{17,18,19},FALSE)),0)+IFERROR(ROUND(VLOOKUP($A158,S275_21,17,FALSE)*VLOOKUP($A158,'3121% SY'!$C$3:$M$324,11,FALSE),3),0)+IFERROR(ROUND(VLOOKUP($A158,S275_21,18,FALSE)*VLOOKUP($A158,'3121% SY'!$C$3:$M$324,11,FALSE),3),0)+IFERROR(ROUND(VLOOKUP($A158,S275_21,19,FALSE)*VLOOKUP($A158,'3121% SY'!$C$3:$M$324,11,FALSE),3),0)+IFERROR(VLOOKUP($A158,S275_09,7,FALSE),0)</f>
        <v>0</v>
      </c>
      <c r="U158" s="267">
        <f>IFERROR(VLOOKUP($A158,Supp_43,14,FALSE),0)+IFERROR(SUMPRODUCT(VLOOKUP($A158,S275_01,{20,21,22},FALSE)),0)+IFERROR(SUMPRODUCT(VLOOKUP($A158,S275_97,{20,21,22},FALSE)),0)+IFERROR(ROUND(VLOOKUP($A158,S275_21,20,FALSE)*VLOOKUP($A158,'3121% SY'!$C$3:$M$324,11,FALSE),3),0)+IFERROR(ROUND(VLOOKUP($A158,S275_21,21,FALSE)*VLOOKUP($A158,'3121% SY'!$C$3:$M$324,11,FALSE),3),0)+IFERROR(ROUND(VLOOKUP($A158,S275_21,22,FALSE)*VLOOKUP($A158,'3121% SY'!$C$3:$M$324,11,FALSE),3),0)+IFERROR(VLOOKUP($A158,S275_09,8,FALSE),0)</f>
        <v>0</v>
      </c>
      <c r="V158" s="267">
        <f>IFERROR(VLOOKUP($A158,Supp_44,14,FALSE),0)+IFERROR(SUMPRODUCT(VLOOKUP($A158,S275_01,{23,24,25},FALSE)),0)+IFERROR(SUMPRODUCT(VLOOKUP($A158,S275_97,{23,24,25},FALSE)),0)+IFERROR(ROUND(VLOOKUP($A158,S275_21,23,FALSE)*VLOOKUP($A158,'3121% SY'!$C$3:$M$324,11,FALSE),3),0)+IFERROR(ROUND(VLOOKUP($A158,S275_21,24,FALSE)*VLOOKUP($A158,'3121% SY'!$C$3:$M$324,11,FALSE),3),0)+IFERROR(ROUND(VLOOKUP($A158,S275_21,25,FALSE)*VLOOKUP($A158,'3121% SY'!$C$3:$M$324,11,FALSE),3),0)+IFERROR(VLOOKUP($A158,S275_09,9,FALSE),0)</f>
        <v>0</v>
      </c>
      <c r="W158" s="267">
        <f>IFERROR(VLOOKUP($A158,Supp_45,14,FALSE),0)+IFERROR(SUMPRODUCT(VLOOKUP($A158,S275_01,{26,27,28},FALSE)),0)+IFERROR(SUMPRODUCT(VLOOKUP($A158,S275_97,{26,27,28},FALSE)),0)+IFERROR(ROUND(VLOOKUP($A158,S275_21,26,FALSE)*VLOOKUP($A158,'3121% SY'!$C$3:$M$324,11,FALSE),3),0)+IFERROR(ROUND(VLOOKUP($A158,S275_21,27,FALSE)*VLOOKUP($A158,'3121% SY'!$C$3:$M$324,11,FALSE),3),0)+IFERROR(ROUND(VLOOKUP($A158,S275_21,28,FALSE)*VLOOKUP($A158,'3121% SY'!$C$3:$M$324,11,FALSE),3),0)+IFERROR(VLOOKUP($A158,S275_09,10,FALSE),0)</f>
        <v>0</v>
      </c>
      <c r="X158" s="267">
        <f>IFERROR(VLOOKUP($A158,Supp_46,14,FALSE),0)+IFERROR(SUMPRODUCT(VLOOKUP($A158,S275_01,{29,30,31},FALSE)),0)+IFERROR(SUMPRODUCT(VLOOKUP($A158,S275_97,{29,30,31},FALSE)),0)+IFERROR(ROUND(VLOOKUP($A158,S275_21,29,FALSE)*VLOOKUP($A158,'3121% SY'!$C$3:$M$324,11,FALSE),3),0)+IFERROR(ROUND(VLOOKUP($A158,S275_21,30,FALSE)*VLOOKUP($A158,'3121% SY'!$C$3:$M$324,11,FALSE),3),0)+IFERROR(ROUND(VLOOKUP($A158,S275_21,31,FALSE)*VLOOKUP($A158,'3121% SY'!$C$3:$M$324,11,FALSE),3),0)+IFERROR(VLOOKUP($A158,S275_09,11,FALSE),0)</f>
        <v>0</v>
      </c>
      <c r="Y158" s="267">
        <f>IFERROR(VLOOKUP($A158,Supp_47,14,FALSE),0)+IFERROR(SUMPRODUCT(VLOOKUP($A158,S275_01,{32,33,34},FALSE)),0)+IFERROR(SUMPRODUCT(VLOOKUP($A158,S275_97,{32,33,34},FALSE)),0)+IFERROR(ROUND(VLOOKUP($A158,S275_21,32,FALSE)*VLOOKUP($A158,'3121% SY'!$C$3:$M$324,11,FALSE),3),0)+IFERROR(ROUND(VLOOKUP($A158,S275_21,33,FALSE)*VLOOKUP($A158,'3121% SY'!$C$3:$M$324,11,FALSE),3),0)+IFERROR(ROUND(VLOOKUP($A158,S275_21,34,FALSE)*VLOOKUP($A158,'3121% SY'!$C$3:$M$324,11,FALSE),3),0)+IFERROR(VLOOKUP($A158,S275_09,12,FALSE),0)</f>
        <v>0</v>
      </c>
      <c r="Z158" s="267">
        <f>IFERROR(VLOOKUP($A158,Supp_48,14,FALSE),0)+IFERROR(SUMPRODUCT(VLOOKUP($A158,S275_01,{35,36,37},FALSE)),0)+IFERROR(SUMPRODUCT(VLOOKUP($A158,S275_97,{35,36,37},FALSE)),0)+IFERROR(ROUND(VLOOKUP($A158,S275_21,35,FALSE)*VLOOKUP($A158,'3121% SY'!$C$3:$M$324,11,FALSE),3),0)+IFERROR(ROUND(VLOOKUP($A158,S275_21,36,FALSE)*VLOOKUP($A158,'3121% SY'!$C$3:$M$324,11,FALSE),3),0)+IFERROR(ROUND(VLOOKUP($A158,S275_21,37,FALSE)*VLOOKUP($A158,'3121% SY'!$C$3:$M$324,11,FALSE),3),0)+IFERROR(VLOOKUP($A158,S275_09,13,FALSE),0)</f>
        <v>0</v>
      </c>
      <c r="AA158" s="267">
        <f>IFERROR(VLOOKUP($A158,Supp_49,14,FALSE),0)+IFERROR(SUMPRODUCT(VLOOKUP($A158,S275_01,{38,39,40},FALSE)),0)+IFERROR(SUMPRODUCT(VLOOKUP($A158,S275_97,{38,39,40},FALSE)),0)+IFERROR(ROUND(VLOOKUP($A158,S275_21,38,FALSE)*VLOOKUP($A158,'3121% SY'!$C$3:$M$324,11,FALSE),3),0)+IFERROR(ROUND(VLOOKUP($A158,S275_21,39,FALSE)*VLOOKUP($A158,'3121% SY'!$C$3:$M$324,11,FALSE),3),0)+IFERROR(ROUND(VLOOKUP($A158,S275_21,40,FALSE)*VLOOKUP($A158,'3121% SY'!$C$3:$M$324,11,FALSE),3),0)+IFERROR(VLOOKUP($A158,S275_09,14,FALSE),0)</f>
        <v>0</v>
      </c>
      <c r="AB158" s="267">
        <f>IFERROR(VLOOKUP($A158,Supp_64,14,FALSE),0)+IFERROR(SUMPRODUCT(VLOOKUP($A158,S275_01,{41,42,43},FALSE)),0)+IFERROR(SUMPRODUCT(VLOOKUP($A158,S275_97,{41,42,43},FALSE)),0)+IFERROR(ROUND(VLOOKUP($A158,S275_21,41,FALSE)*VLOOKUP($A158,'3121% SY'!$C$3:$M$324,11,FALSE),3),0)+IFERROR(ROUND(VLOOKUP($A158,S275_21,42,FALSE)*VLOOKUP($A158,'3121% SY'!$C$3:$M$324,11,FALSE),3),0)+IFERROR(ROUND(VLOOKUP($A158,S275_21,43,FALSE)*VLOOKUP($A158,'3121% SY'!$C$3:$M$324,11,FALSE),3),0)+IFERROR(VLOOKUP($A158,S275_09,15,FALSE),0)</f>
        <v>0</v>
      </c>
      <c r="AC158" s="268">
        <f t="shared" si="37"/>
        <v>0.433</v>
      </c>
      <c r="AD158" s="267">
        <f>IFERROR(VLOOKUP($A158,Supp_24,14,FALSE),0)+IFERROR(SUMPRODUCT(VLOOKUP($A158,S275_01,{2,3,4},FALSE)),0)+IFERROR(SUMPRODUCT(VLOOKUP($A158,S275_97,{2,3,4},FALSE)),0)+IFERROR(ROUND(VLOOKUP($A158,S275_21,2,FALSE)*VLOOKUP($A158,'3121% SY'!$C$3:$M$324,11,FALSE),3),0)+IFERROR(ROUND(VLOOKUP($A158,S275_21,3,FALSE)*VLOOKUP($A158,'3121% SY'!$C$3:$M$324,11,FALSE),3),0)+IFERROR(ROUND(VLOOKUP($A158,S275_21,4,FALSE)*VLOOKUP($A158,'3121% SY'!$C$3:$M$324,11,FALSE),3),0)+IFERROR(VLOOKUP($A158,S275_09,2,FALSE),0)</f>
        <v>0</v>
      </c>
      <c r="AE158" s="267">
        <f>IFERROR(VLOOKUP($A158,Supp_25,14,FALSE),0)+IFERROR(SUMPRODUCT(VLOOKUP($A158,S275_01,{5,6,7},FALSE)),0)+IFERROR(SUMPRODUCT(VLOOKUP($A158,S275_97,{5,6,7},FALSE)),0)+IFERROR(ROUND(VLOOKUP($A158,S275_21,5,FALSE)*VLOOKUP($A158,'3121% SY'!$C$3:$M$324,11,FALSE),3),0)+IFERROR(ROUND(VLOOKUP($A158,S275_21,6,FALSE)*VLOOKUP($A158,'3121% SY'!$C$3:$M$324,11,FALSE),3),0)+IFERROR(ROUND(VLOOKUP($A158,S275_21,7,FALSE)*VLOOKUP($A158,'3121% SY'!$C$3:$M$324,11,FALSE),3),0)+IFERROR(VLOOKUP($A158,S275_09,3,FALSE),0)</f>
        <v>0</v>
      </c>
      <c r="AF158" s="267">
        <f>IFERROR(VLOOKUP($A158,Supp_26,14,FALSE),0)+IFERROR(SUMPRODUCT(VLOOKUP($A158,S275_01,{8,9,10},FALSE)),0)+IFERROR(SUMPRODUCT(VLOOKUP($A158,S275_97,{8,9,10},FALSE)),0)+IFERROR(ROUND(VLOOKUP($A158,S275_21,8,FALSE)*VLOOKUP($A158,'3121% SY'!$C$3:$M$324,11,FALSE),3),0)+IFERROR(ROUND(VLOOKUP($A158,S275_21,9,FALSE)*VLOOKUP($A158,'3121% SY'!$C$3:$M$324,11,FALSE),3),0)+IFERROR(ROUND(VLOOKUP($A158,S275_21,10,FALSE)*VLOOKUP($A158,'3121% SY'!$C$3:$M$324,11,FALSE),3),0)+IFERROR(VLOOKUP($A158,S275_09,4,FALSE),0)</f>
        <v>0</v>
      </c>
      <c r="AG158" s="267">
        <f>IFERROR(VLOOKUP($A158,Supp_35,14,FALSE),0)+IFERROR(SUMPRODUCT(VLOOKUP($A158,S275_01,{11,12,13},FALSE)),0)+IFERROR(SUMPRODUCT(VLOOKUP($A158,S275_97,{11,12,13},FALSE)),0)+IFERROR(ROUND(VLOOKUP($A158,S275_21,11,FALSE)*VLOOKUP($A158,'3121% SY'!$C$3:$M$324,11,FALSE),3),0)+IFERROR(ROUND(VLOOKUP($A158,S275_21,12,FALSE)*VLOOKUP($A158,'3121% SY'!$C$3:$M$324,11,FALSE),3),0)+IFERROR(ROUND(VLOOKUP($A158,S275_21,13,FALSE)*VLOOKUP($A158,'3121% SY'!$C$3:$M$324,11,FALSE),3),0)+IFERROR(VLOOKUP($A158,S275_09,5,FALSE),0)</f>
        <v>0</v>
      </c>
      <c r="AH158" s="165">
        <f t="shared" si="38"/>
        <v>0</v>
      </c>
      <c r="AI158" s="161">
        <f>IFERROR(VLOOKUP(A158,'Supp Staff Data'!A:ER,148,FALSE),0)+AB158</f>
        <v>0</v>
      </c>
      <c r="AJ158" s="174">
        <v>0.91800000000000004</v>
      </c>
      <c r="AK158" s="25">
        <f>VLOOKUP(A158,'Enroll Data as of January 2025'!$A$3:$T$323,20,FALSE)-F158</f>
        <v>0</v>
      </c>
    </row>
    <row r="159" spans="1:37" x14ac:dyDescent="0.25">
      <c r="A159" s="171" t="s">
        <v>655</v>
      </c>
      <c r="B159" t="s">
        <v>1230</v>
      </c>
      <c r="C159" s="173" t="s">
        <v>1077</v>
      </c>
      <c r="D159" s="259">
        <f t="shared" si="30"/>
        <v>0.2</v>
      </c>
      <c r="E159" s="259">
        <f t="shared" si="31"/>
        <v>0.86</v>
      </c>
      <c r="F159" s="262">
        <f t="shared" si="32"/>
        <v>0.66</v>
      </c>
      <c r="G159" s="161">
        <f>ROUND(IF(F159&lt;0,F159*'2024-25 PSES Compliance'!$G$13,0),3)</f>
        <v>0</v>
      </c>
      <c r="H159" s="161">
        <f>ROUND(IF(F159&lt;0,F159*'2024-25 PSES Compliance'!$G$14,0),3)</f>
        <v>0</v>
      </c>
      <c r="I159" s="174">
        <f t="shared" si="33"/>
        <v>1</v>
      </c>
      <c r="J159" s="174">
        <f t="shared" si="34"/>
        <v>0</v>
      </c>
      <c r="K159" s="161">
        <f>VLOOKUP($A159,'Enroll Data as of January 2025'!$A$3:$M$322,6,FALSE)</f>
        <v>0.14599999999999999</v>
      </c>
      <c r="L159" s="161">
        <f>VLOOKUP($A159,'Enroll Data as of January 2025'!$A$3:$M$322,7,FALSE)</f>
        <v>6.0000000000000001E-3</v>
      </c>
      <c r="M159" s="161">
        <f>VLOOKUP($A159,'Enroll Data as of January 2025'!$A$3:$M$322,8,FALSE)</f>
        <v>2E-3</v>
      </c>
      <c r="N159" s="161">
        <f>VLOOKUP($A159,'Enroll Data as of January 2025'!$A$3:$M$322,9,FALSE)</f>
        <v>3.9E-2</v>
      </c>
      <c r="O159" s="165">
        <f t="shared" si="35"/>
        <v>0.193</v>
      </c>
      <c r="P159" s="161">
        <f>VLOOKUP($A159,'Enroll Data as of January 2025'!$A$3:$M$322,11,FALSE)</f>
        <v>7.0000000000000001E-3</v>
      </c>
      <c r="Q159" s="161">
        <f>VLOOKUP($A159,'Enroll Data as of January 2025'!$A$3:$M$322,12,FALSE)</f>
        <v>0</v>
      </c>
      <c r="R159" s="165">
        <f t="shared" si="36"/>
        <v>7.0000000000000001E-3</v>
      </c>
      <c r="S159" s="267">
        <f>IFERROR(VLOOKUP($A159,Supp_39,14,FALSE),0)+IFERROR(SUMPRODUCT(VLOOKUP($A159,S275_01,{14,15,16},FALSE)),0)+IFERROR(SUMPRODUCT(VLOOKUP($A159,S275_97,{14,15,16},FALSE)),0)+IFERROR(ROUND(VLOOKUP($A159,S275_21,14,FALSE)*VLOOKUP($A159,'3121% SY'!$C$3:$M$324,11,FALSE),3),0)+IFERROR(ROUND(VLOOKUP($A159,S275_21,15,FALSE)*VLOOKUP($A159,'3121% SY'!$C$3:$M$324,11,FALSE),3),0)+IFERROR(ROUND(VLOOKUP($A159,S275_21,16,FALSE)*VLOOKUP($A159,'3121% SY'!$C$3:$M$324,11,FALSE),3),0)+IFERROR(VLOOKUP($A159,S275_09,6,FALSE),0)</f>
        <v>0.86</v>
      </c>
      <c r="T159" s="267">
        <f>IFERROR(VLOOKUP($A159,Supp_42,14,FALSE),0)+IFERROR(SUMPRODUCT(VLOOKUP($A159,S275_01,{17,18,19},FALSE)),0)+IFERROR(SUMPRODUCT(VLOOKUP($A159,S275_97,{17,18,19},FALSE)),0)+IFERROR(ROUND(VLOOKUP($A159,S275_21,17,FALSE)*VLOOKUP($A159,'3121% SY'!$C$3:$M$324,11,FALSE),3),0)+IFERROR(ROUND(VLOOKUP($A159,S275_21,18,FALSE)*VLOOKUP($A159,'3121% SY'!$C$3:$M$324,11,FALSE),3),0)+IFERROR(ROUND(VLOOKUP($A159,S275_21,19,FALSE)*VLOOKUP($A159,'3121% SY'!$C$3:$M$324,11,FALSE),3),0)+IFERROR(VLOOKUP($A159,S275_09,7,FALSE),0)</f>
        <v>0</v>
      </c>
      <c r="U159" s="267">
        <f>IFERROR(VLOOKUP($A159,Supp_43,14,FALSE),0)+IFERROR(SUMPRODUCT(VLOOKUP($A159,S275_01,{20,21,22},FALSE)),0)+IFERROR(SUMPRODUCT(VLOOKUP($A159,S275_97,{20,21,22},FALSE)),0)+IFERROR(ROUND(VLOOKUP($A159,S275_21,20,FALSE)*VLOOKUP($A159,'3121% SY'!$C$3:$M$324,11,FALSE),3),0)+IFERROR(ROUND(VLOOKUP($A159,S275_21,21,FALSE)*VLOOKUP($A159,'3121% SY'!$C$3:$M$324,11,FALSE),3),0)+IFERROR(ROUND(VLOOKUP($A159,S275_21,22,FALSE)*VLOOKUP($A159,'3121% SY'!$C$3:$M$324,11,FALSE),3),0)+IFERROR(VLOOKUP($A159,S275_09,8,FALSE),0)</f>
        <v>0</v>
      </c>
      <c r="V159" s="267">
        <f>IFERROR(VLOOKUP($A159,Supp_44,14,FALSE),0)+IFERROR(SUMPRODUCT(VLOOKUP($A159,S275_01,{23,24,25},FALSE)),0)+IFERROR(SUMPRODUCT(VLOOKUP($A159,S275_97,{23,24,25},FALSE)),0)+IFERROR(ROUND(VLOOKUP($A159,S275_21,23,FALSE)*VLOOKUP($A159,'3121% SY'!$C$3:$M$324,11,FALSE),3),0)+IFERROR(ROUND(VLOOKUP($A159,S275_21,24,FALSE)*VLOOKUP($A159,'3121% SY'!$C$3:$M$324,11,FALSE),3),0)+IFERROR(ROUND(VLOOKUP($A159,S275_21,25,FALSE)*VLOOKUP($A159,'3121% SY'!$C$3:$M$324,11,FALSE),3),0)+IFERROR(VLOOKUP($A159,S275_09,9,FALSE),0)</f>
        <v>0</v>
      </c>
      <c r="W159" s="267">
        <f>IFERROR(VLOOKUP($A159,Supp_45,14,FALSE),0)+IFERROR(SUMPRODUCT(VLOOKUP($A159,S275_01,{26,27,28},FALSE)),0)+IFERROR(SUMPRODUCT(VLOOKUP($A159,S275_97,{26,27,28},FALSE)),0)+IFERROR(ROUND(VLOOKUP($A159,S275_21,26,FALSE)*VLOOKUP($A159,'3121% SY'!$C$3:$M$324,11,FALSE),3),0)+IFERROR(ROUND(VLOOKUP($A159,S275_21,27,FALSE)*VLOOKUP($A159,'3121% SY'!$C$3:$M$324,11,FALSE),3),0)+IFERROR(ROUND(VLOOKUP($A159,S275_21,28,FALSE)*VLOOKUP($A159,'3121% SY'!$C$3:$M$324,11,FALSE),3),0)+IFERROR(VLOOKUP($A159,S275_09,10,FALSE),0)</f>
        <v>0</v>
      </c>
      <c r="X159" s="267">
        <f>IFERROR(VLOOKUP($A159,Supp_46,14,FALSE),0)+IFERROR(SUMPRODUCT(VLOOKUP($A159,S275_01,{29,30,31},FALSE)),0)+IFERROR(SUMPRODUCT(VLOOKUP($A159,S275_97,{29,30,31},FALSE)),0)+IFERROR(ROUND(VLOOKUP($A159,S275_21,29,FALSE)*VLOOKUP($A159,'3121% SY'!$C$3:$M$324,11,FALSE),3),0)+IFERROR(ROUND(VLOOKUP($A159,S275_21,30,FALSE)*VLOOKUP($A159,'3121% SY'!$C$3:$M$324,11,FALSE),3),0)+IFERROR(ROUND(VLOOKUP($A159,S275_21,31,FALSE)*VLOOKUP($A159,'3121% SY'!$C$3:$M$324,11,FALSE),3),0)+IFERROR(VLOOKUP($A159,S275_09,11,FALSE),0)</f>
        <v>0</v>
      </c>
      <c r="Y159" s="267">
        <f>IFERROR(VLOOKUP($A159,Supp_47,14,FALSE),0)+IFERROR(SUMPRODUCT(VLOOKUP($A159,S275_01,{32,33,34},FALSE)),0)+IFERROR(SUMPRODUCT(VLOOKUP($A159,S275_97,{32,33,34},FALSE)),0)+IFERROR(ROUND(VLOOKUP($A159,S275_21,32,FALSE)*VLOOKUP($A159,'3121% SY'!$C$3:$M$324,11,FALSE),3),0)+IFERROR(ROUND(VLOOKUP($A159,S275_21,33,FALSE)*VLOOKUP($A159,'3121% SY'!$C$3:$M$324,11,FALSE),3),0)+IFERROR(ROUND(VLOOKUP($A159,S275_21,34,FALSE)*VLOOKUP($A159,'3121% SY'!$C$3:$M$324,11,FALSE),3),0)+IFERROR(VLOOKUP($A159,S275_09,12,FALSE),0)</f>
        <v>0</v>
      </c>
      <c r="Z159" s="267">
        <f>IFERROR(VLOOKUP($A159,Supp_48,14,FALSE),0)+IFERROR(SUMPRODUCT(VLOOKUP($A159,S275_01,{35,36,37},FALSE)),0)+IFERROR(SUMPRODUCT(VLOOKUP($A159,S275_97,{35,36,37},FALSE)),0)+IFERROR(ROUND(VLOOKUP($A159,S275_21,35,FALSE)*VLOOKUP($A159,'3121% SY'!$C$3:$M$324,11,FALSE),3),0)+IFERROR(ROUND(VLOOKUP($A159,S275_21,36,FALSE)*VLOOKUP($A159,'3121% SY'!$C$3:$M$324,11,FALSE),3),0)+IFERROR(ROUND(VLOOKUP($A159,S275_21,37,FALSE)*VLOOKUP($A159,'3121% SY'!$C$3:$M$324,11,FALSE),3),0)+IFERROR(VLOOKUP($A159,S275_09,13,FALSE),0)</f>
        <v>0</v>
      </c>
      <c r="AA159" s="267">
        <f>IFERROR(VLOOKUP($A159,Supp_49,14,FALSE),0)+IFERROR(SUMPRODUCT(VLOOKUP($A159,S275_01,{38,39,40},FALSE)),0)+IFERROR(SUMPRODUCT(VLOOKUP($A159,S275_97,{38,39,40},FALSE)),0)+IFERROR(ROUND(VLOOKUP($A159,S275_21,38,FALSE)*VLOOKUP($A159,'3121% SY'!$C$3:$M$324,11,FALSE),3),0)+IFERROR(ROUND(VLOOKUP($A159,S275_21,39,FALSE)*VLOOKUP($A159,'3121% SY'!$C$3:$M$324,11,FALSE),3),0)+IFERROR(ROUND(VLOOKUP($A159,S275_21,40,FALSE)*VLOOKUP($A159,'3121% SY'!$C$3:$M$324,11,FALSE),3),0)+IFERROR(VLOOKUP($A159,S275_09,14,FALSE),0)</f>
        <v>0</v>
      </c>
      <c r="AB159" s="267">
        <f>IFERROR(VLOOKUP($A159,Supp_64,14,FALSE),0)+IFERROR(SUMPRODUCT(VLOOKUP($A159,S275_01,{41,42,43},FALSE)),0)+IFERROR(SUMPRODUCT(VLOOKUP($A159,S275_97,{41,42,43},FALSE)),0)+IFERROR(ROUND(VLOOKUP($A159,S275_21,41,FALSE)*VLOOKUP($A159,'3121% SY'!$C$3:$M$324,11,FALSE),3),0)+IFERROR(ROUND(VLOOKUP($A159,S275_21,42,FALSE)*VLOOKUP($A159,'3121% SY'!$C$3:$M$324,11,FALSE),3),0)+IFERROR(ROUND(VLOOKUP($A159,S275_21,43,FALSE)*VLOOKUP($A159,'3121% SY'!$C$3:$M$324,11,FALSE),3),0)+IFERROR(VLOOKUP($A159,S275_09,15,FALSE),0)</f>
        <v>0</v>
      </c>
      <c r="AC159" s="268">
        <f t="shared" si="37"/>
        <v>0.86</v>
      </c>
      <c r="AD159" s="267">
        <f>IFERROR(VLOOKUP($A159,Supp_24,14,FALSE),0)+IFERROR(SUMPRODUCT(VLOOKUP($A159,S275_01,{2,3,4},FALSE)),0)+IFERROR(SUMPRODUCT(VLOOKUP($A159,S275_97,{2,3,4},FALSE)),0)+IFERROR(ROUND(VLOOKUP($A159,S275_21,2,FALSE)*VLOOKUP($A159,'3121% SY'!$C$3:$M$324,11,FALSE),3),0)+IFERROR(ROUND(VLOOKUP($A159,S275_21,3,FALSE)*VLOOKUP($A159,'3121% SY'!$C$3:$M$324,11,FALSE),3),0)+IFERROR(ROUND(VLOOKUP($A159,S275_21,4,FALSE)*VLOOKUP($A159,'3121% SY'!$C$3:$M$324,11,FALSE),3),0)+IFERROR(VLOOKUP($A159,S275_09,2,FALSE),0)</f>
        <v>0</v>
      </c>
      <c r="AE159" s="267">
        <f>IFERROR(VLOOKUP($A159,Supp_25,14,FALSE),0)+IFERROR(SUMPRODUCT(VLOOKUP($A159,S275_01,{5,6,7},FALSE)),0)+IFERROR(SUMPRODUCT(VLOOKUP($A159,S275_97,{5,6,7},FALSE)),0)+IFERROR(ROUND(VLOOKUP($A159,S275_21,5,FALSE)*VLOOKUP($A159,'3121% SY'!$C$3:$M$324,11,FALSE),3),0)+IFERROR(ROUND(VLOOKUP($A159,S275_21,6,FALSE)*VLOOKUP($A159,'3121% SY'!$C$3:$M$324,11,FALSE),3),0)+IFERROR(ROUND(VLOOKUP($A159,S275_21,7,FALSE)*VLOOKUP($A159,'3121% SY'!$C$3:$M$324,11,FALSE),3),0)+IFERROR(VLOOKUP($A159,S275_09,3,FALSE),0)</f>
        <v>0</v>
      </c>
      <c r="AF159" s="267">
        <f>IFERROR(VLOOKUP($A159,Supp_26,14,FALSE),0)+IFERROR(SUMPRODUCT(VLOOKUP($A159,S275_01,{8,9,10},FALSE)),0)+IFERROR(SUMPRODUCT(VLOOKUP($A159,S275_97,{8,9,10},FALSE)),0)+IFERROR(ROUND(VLOOKUP($A159,S275_21,8,FALSE)*VLOOKUP($A159,'3121% SY'!$C$3:$M$324,11,FALSE),3),0)+IFERROR(ROUND(VLOOKUP($A159,S275_21,9,FALSE)*VLOOKUP($A159,'3121% SY'!$C$3:$M$324,11,FALSE),3),0)+IFERROR(ROUND(VLOOKUP($A159,S275_21,10,FALSE)*VLOOKUP($A159,'3121% SY'!$C$3:$M$324,11,FALSE),3),0)+IFERROR(VLOOKUP($A159,S275_09,4,FALSE),0)</f>
        <v>0</v>
      </c>
      <c r="AG159" s="267">
        <f>IFERROR(VLOOKUP($A159,Supp_35,14,FALSE),0)+IFERROR(SUMPRODUCT(VLOOKUP($A159,S275_01,{11,12,13},FALSE)),0)+IFERROR(SUMPRODUCT(VLOOKUP($A159,S275_97,{11,12,13},FALSE)),0)+IFERROR(ROUND(VLOOKUP($A159,S275_21,11,FALSE)*VLOOKUP($A159,'3121% SY'!$C$3:$M$324,11,FALSE),3),0)+IFERROR(ROUND(VLOOKUP($A159,S275_21,12,FALSE)*VLOOKUP($A159,'3121% SY'!$C$3:$M$324,11,FALSE),3),0)+IFERROR(ROUND(VLOOKUP($A159,S275_21,13,FALSE)*VLOOKUP($A159,'3121% SY'!$C$3:$M$324,11,FALSE),3),0)+IFERROR(VLOOKUP($A159,S275_09,5,FALSE),0)</f>
        <v>0</v>
      </c>
      <c r="AH159" s="165">
        <f t="shared" si="38"/>
        <v>0</v>
      </c>
      <c r="AI159" s="161">
        <f>IFERROR(VLOOKUP(A159,'Supp Staff Data'!A:ER,148,FALSE),0)+AB159</f>
        <v>0</v>
      </c>
      <c r="AJ159" s="174">
        <v>1</v>
      </c>
      <c r="AK159" s="25">
        <f>VLOOKUP(A159,'Enroll Data as of January 2025'!$A$3:$T$323,20,FALSE)-F159</f>
        <v>0</v>
      </c>
    </row>
    <row r="160" spans="1:37" x14ac:dyDescent="0.25">
      <c r="A160" s="171" t="s">
        <v>178</v>
      </c>
      <c r="B160" t="s">
        <v>474</v>
      </c>
      <c r="C160" s="173" t="s">
        <v>1077</v>
      </c>
      <c r="D160" s="259">
        <f t="shared" si="30"/>
        <v>1.7089999999999999</v>
      </c>
      <c r="E160" s="259">
        <f t="shared" si="31"/>
        <v>2.1020000000000003</v>
      </c>
      <c r="F160" s="262">
        <f t="shared" si="32"/>
        <v>0.39300000000000002</v>
      </c>
      <c r="G160" s="161">
        <f>ROUND(IF(F160&lt;0,F160*'2024-25 PSES Compliance'!$G$13,0),3)</f>
        <v>0</v>
      </c>
      <c r="H160" s="161">
        <f>ROUND(IF(F160&lt;0,F160*'2024-25 PSES Compliance'!$G$14,0),3)</f>
        <v>0</v>
      </c>
      <c r="I160" s="174">
        <f t="shared" si="33"/>
        <v>0.45557421503330159</v>
      </c>
      <c r="J160" s="174">
        <f t="shared" si="34"/>
        <v>0</v>
      </c>
      <c r="K160" s="161">
        <f>VLOOKUP($A160,'Enroll Data as of January 2025'!$A$3:$M$322,6,FALSE)</f>
        <v>0.96199999999999997</v>
      </c>
      <c r="L160" s="161">
        <f>VLOOKUP($A160,'Enroll Data as of January 2025'!$A$3:$M$322,7,FALSE)</f>
        <v>0.15700000000000003</v>
      </c>
      <c r="M160" s="161">
        <f>VLOOKUP($A160,'Enroll Data as of January 2025'!$A$3:$M$322,8,FALSE)</f>
        <v>5.2999999999999999E-2</v>
      </c>
      <c r="N160" s="161">
        <f>VLOOKUP($A160,'Enroll Data as of January 2025'!$A$3:$M$322,9,FALSE)</f>
        <v>0.44199999999999995</v>
      </c>
      <c r="O160" s="165">
        <f t="shared" si="35"/>
        <v>1.6139999999999999</v>
      </c>
      <c r="P160" s="161">
        <f>VLOOKUP($A160,'Enroll Data as of January 2025'!$A$3:$M$322,11,FALSE)</f>
        <v>6.0000000000000005E-2</v>
      </c>
      <c r="Q160" s="161">
        <f>VLOOKUP($A160,'Enroll Data as of January 2025'!$A$3:$M$322,12,FALSE)</f>
        <v>3.5000000000000003E-2</v>
      </c>
      <c r="R160" s="165">
        <f t="shared" si="36"/>
        <v>9.5000000000000001E-2</v>
      </c>
      <c r="S160" s="267">
        <f>IFERROR(VLOOKUP($A160,Supp_39,14,FALSE),0)+IFERROR(SUMPRODUCT(VLOOKUP($A160,S275_01,{14,15,16},FALSE)),0)+IFERROR(SUMPRODUCT(VLOOKUP($A160,S275_97,{14,15,16},FALSE)),0)+IFERROR(ROUND(VLOOKUP($A160,S275_21,14,FALSE)*VLOOKUP($A160,'3121% SY'!$C$3:$M$324,11,FALSE),3),0)+IFERROR(ROUND(VLOOKUP($A160,S275_21,15,FALSE)*VLOOKUP($A160,'3121% SY'!$C$3:$M$324,11,FALSE),3),0)+IFERROR(ROUND(VLOOKUP($A160,S275_21,16,FALSE)*VLOOKUP($A160,'3121% SY'!$C$3:$M$324,11,FALSE),3),0)+IFERROR(VLOOKUP($A160,S275_09,6,FALSE),0)</f>
        <v>0.82800000000000007</v>
      </c>
      <c r="T160" s="267">
        <f>IFERROR(VLOOKUP($A160,Supp_42,14,FALSE),0)+IFERROR(SUMPRODUCT(VLOOKUP($A160,S275_01,{17,18,19},FALSE)),0)+IFERROR(SUMPRODUCT(VLOOKUP($A160,S275_97,{17,18,19},FALSE)),0)+IFERROR(ROUND(VLOOKUP($A160,S275_21,17,FALSE)*VLOOKUP($A160,'3121% SY'!$C$3:$M$324,11,FALSE),3),0)+IFERROR(ROUND(VLOOKUP($A160,S275_21,18,FALSE)*VLOOKUP($A160,'3121% SY'!$C$3:$M$324,11,FALSE),3),0)+IFERROR(ROUND(VLOOKUP($A160,S275_21,19,FALSE)*VLOOKUP($A160,'3121% SY'!$C$3:$M$324,11,FALSE),3),0)+IFERROR(VLOOKUP($A160,S275_09,7,FALSE),0)</f>
        <v>0.157</v>
      </c>
      <c r="U160" s="267">
        <f>IFERROR(VLOOKUP($A160,Supp_43,14,FALSE),0)+IFERROR(SUMPRODUCT(VLOOKUP($A160,S275_01,{20,21,22},FALSE)),0)+IFERROR(SUMPRODUCT(VLOOKUP($A160,S275_97,{20,21,22},FALSE)),0)+IFERROR(ROUND(VLOOKUP($A160,S275_21,20,FALSE)*VLOOKUP($A160,'3121% SY'!$C$3:$M$324,11,FALSE),3),0)+IFERROR(ROUND(VLOOKUP($A160,S275_21,21,FALSE)*VLOOKUP($A160,'3121% SY'!$C$3:$M$324,11,FALSE),3),0)+IFERROR(ROUND(VLOOKUP($A160,S275_21,22,FALSE)*VLOOKUP($A160,'3121% SY'!$C$3:$M$324,11,FALSE),3),0)+IFERROR(VLOOKUP($A160,S275_09,8,FALSE),0)</f>
        <v>0</v>
      </c>
      <c r="V160" s="267">
        <f>IFERROR(VLOOKUP($A160,Supp_44,14,FALSE),0)+IFERROR(SUMPRODUCT(VLOOKUP($A160,S275_01,{23,24,25},FALSE)),0)+IFERROR(SUMPRODUCT(VLOOKUP($A160,S275_97,{23,24,25},FALSE)),0)+IFERROR(ROUND(VLOOKUP($A160,S275_21,23,FALSE)*VLOOKUP($A160,'3121% SY'!$C$3:$M$324,11,FALSE),3),0)+IFERROR(ROUND(VLOOKUP($A160,S275_21,24,FALSE)*VLOOKUP($A160,'3121% SY'!$C$3:$M$324,11,FALSE),3),0)+IFERROR(ROUND(VLOOKUP($A160,S275_21,25,FALSE)*VLOOKUP($A160,'3121% SY'!$C$3:$M$324,11,FALSE),3),0)+IFERROR(VLOOKUP($A160,S275_09,9,FALSE),0)</f>
        <v>0</v>
      </c>
      <c r="W160" s="267">
        <f>IFERROR(VLOOKUP($A160,Supp_45,14,FALSE),0)+IFERROR(SUMPRODUCT(VLOOKUP($A160,S275_01,{26,27,28},FALSE)),0)+IFERROR(SUMPRODUCT(VLOOKUP($A160,S275_97,{26,27,28},FALSE)),0)+IFERROR(ROUND(VLOOKUP($A160,S275_21,26,FALSE)*VLOOKUP($A160,'3121% SY'!$C$3:$M$324,11,FALSE),3),0)+IFERROR(ROUND(VLOOKUP($A160,S275_21,27,FALSE)*VLOOKUP($A160,'3121% SY'!$C$3:$M$324,11,FALSE),3),0)+IFERROR(ROUND(VLOOKUP($A160,S275_21,28,FALSE)*VLOOKUP($A160,'3121% SY'!$C$3:$M$324,11,FALSE),3),0)+IFERROR(VLOOKUP($A160,S275_09,10,FALSE),0)</f>
        <v>0</v>
      </c>
      <c r="X160" s="267">
        <f>IFERROR(VLOOKUP($A160,Supp_46,14,FALSE),0)+IFERROR(SUMPRODUCT(VLOOKUP($A160,S275_01,{29,30,31},FALSE)),0)+IFERROR(SUMPRODUCT(VLOOKUP($A160,S275_97,{29,30,31},FALSE)),0)+IFERROR(ROUND(VLOOKUP($A160,S275_21,29,FALSE)*VLOOKUP($A160,'3121% SY'!$C$3:$M$324,11,FALSE),3),0)+IFERROR(ROUND(VLOOKUP($A160,S275_21,30,FALSE)*VLOOKUP($A160,'3121% SY'!$C$3:$M$324,11,FALSE),3),0)+IFERROR(ROUND(VLOOKUP($A160,S275_21,31,FALSE)*VLOOKUP($A160,'3121% SY'!$C$3:$M$324,11,FALSE),3),0)+IFERROR(VLOOKUP($A160,S275_09,11,FALSE),0)</f>
        <v>0</v>
      </c>
      <c r="Y160" s="267">
        <f>IFERROR(VLOOKUP($A160,Supp_47,14,FALSE),0)+IFERROR(SUMPRODUCT(VLOOKUP($A160,S275_01,{32,33,34},FALSE)),0)+IFERROR(SUMPRODUCT(VLOOKUP($A160,S275_97,{32,33,34},FALSE)),0)+IFERROR(ROUND(VLOOKUP($A160,S275_21,32,FALSE)*VLOOKUP($A160,'3121% SY'!$C$3:$M$324,11,FALSE),3),0)+IFERROR(ROUND(VLOOKUP($A160,S275_21,33,FALSE)*VLOOKUP($A160,'3121% SY'!$C$3:$M$324,11,FALSE),3),0)+IFERROR(ROUND(VLOOKUP($A160,S275_21,34,FALSE)*VLOOKUP($A160,'3121% SY'!$C$3:$M$324,11,FALSE),3),0)+IFERROR(VLOOKUP($A160,S275_09,12,FALSE),0)</f>
        <v>0</v>
      </c>
      <c r="Z160" s="267">
        <f>IFERROR(VLOOKUP($A160,Supp_48,14,FALSE),0)+IFERROR(SUMPRODUCT(VLOOKUP($A160,S275_01,{35,36,37},FALSE)),0)+IFERROR(SUMPRODUCT(VLOOKUP($A160,S275_97,{35,36,37},FALSE)),0)+IFERROR(ROUND(VLOOKUP($A160,S275_21,35,FALSE)*VLOOKUP($A160,'3121% SY'!$C$3:$M$324,11,FALSE),3),0)+IFERROR(ROUND(VLOOKUP($A160,S275_21,36,FALSE)*VLOOKUP($A160,'3121% SY'!$C$3:$M$324,11,FALSE),3),0)+IFERROR(ROUND(VLOOKUP($A160,S275_21,37,FALSE)*VLOOKUP($A160,'3121% SY'!$C$3:$M$324,11,FALSE),3),0)+IFERROR(VLOOKUP($A160,S275_09,13,FALSE),0)</f>
        <v>0</v>
      </c>
      <c r="AA160" s="267">
        <f>IFERROR(VLOOKUP($A160,Supp_49,14,FALSE),0)+IFERROR(SUMPRODUCT(VLOOKUP($A160,S275_01,{38,39,40},FALSE)),0)+IFERROR(SUMPRODUCT(VLOOKUP($A160,S275_97,{38,39,40},FALSE)),0)+IFERROR(ROUND(VLOOKUP($A160,S275_21,38,FALSE)*VLOOKUP($A160,'3121% SY'!$C$3:$M$324,11,FALSE),3),0)+IFERROR(ROUND(VLOOKUP($A160,S275_21,39,FALSE)*VLOOKUP($A160,'3121% SY'!$C$3:$M$324,11,FALSE),3),0)+IFERROR(ROUND(VLOOKUP($A160,S275_21,40,FALSE)*VLOOKUP($A160,'3121% SY'!$C$3:$M$324,11,FALSE),3),0)+IFERROR(VLOOKUP($A160,S275_09,14,FALSE),0)</f>
        <v>0</v>
      </c>
      <c r="AB160" s="267">
        <f>IFERROR(VLOOKUP($A160,Supp_64,14,FALSE),0)+IFERROR(SUMPRODUCT(VLOOKUP($A160,S275_01,{41,42,43},FALSE)),0)+IFERROR(SUMPRODUCT(VLOOKUP($A160,S275_97,{41,42,43},FALSE)),0)+IFERROR(ROUND(VLOOKUP($A160,S275_21,41,FALSE)*VLOOKUP($A160,'3121% SY'!$C$3:$M$324,11,FALSE),3),0)+IFERROR(ROUND(VLOOKUP($A160,S275_21,42,FALSE)*VLOOKUP($A160,'3121% SY'!$C$3:$M$324,11,FALSE),3),0)+IFERROR(ROUND(VLOOKUP($A160,S275_21,43,FALSE)*VLOOKUP($A160,'3121% SY'!$C$3:$M$324,11,FALSE),3),0)+IFERROR(VLOOKUP($A160,S275_09,15,FALSE),0)</f>
        <v>0</v>
      </c>
      <c r="AC160" s="268">
        <f t="shared" si="37"/>
        <v>0.9850000000000001</v>
      </c>
      <c r="AD160" s="267">
        <f>IFERROR(VLOOKUP($A160,Supp_24,14,FALSE),0)+IFERROR(SUMPRODUCT(VLOOKUP($A160,S275_01,{2,3,4},FALSE)),0)+IFERROR(SUMPRODUCT(VLOOKUP($A160,S275_97,{2,3,4},FALSE)),0)+IFERROR(ROUND(VLOOKUP($A160,S275_21,2,FALSE)*VLOOKUP($A160,'3121% SY'!$C$3:$M$324,11,FALSE),3),0)+IFERROR(ROUND(VLOOKUP($A160,S275_21,3,FALSE)*VLOOKUP($A160,'3121% SY'!$C$3:$M$324,11,FALSE),3),0)+IFERROR(ROUND(VLOOKUP($A160,S275_21,4,FALSE)*VLOOKUP($A160,'3121% SY'!$C$3:$M$324,11,FALSE),3),0)+IFERROR(VLOOKUP($A160,S275_09,2,FALSE),0)</f>
        <v>0</v>
      </c>
      <c r="AE160" s="267">
        <f>IFERROR(VLOOKUP($A160,Supp_25,14,FALSE),0)+IFERROR(SUMPRODUCT(VLOOKUP($A160,S275_01,{5,6,7},FALSE)),0)+IFERROR(SUMPRODUCT(VLOOKUP($A160,S275_97,{5,6,7},FALSE)),0)+IFERROR(ROUND(VLOOKUP($A160,S275_21,5,FALSE)*VLOOKUP($A160,'3121% SY'!$C$3:$M$324,11,FALSE),3),0)+IFERROR(ROUND(VLOOKUP($A160,S275_21,6,FALSE)*VLOOKUP($A160,'3121% SY'!$C$3:$M$324,11,FALSE),3),0)+IFERROR(ROUND(VLOOKUP($A160,S275_21,7,FALSE)*VLOOKUP($A160,'3121% SY'!$C$3:$M$324,11,FALSE),3),0)+IFERROR(VLOOKUP($A160,S275_09,3,FALSE),0)</f>
        <v>1.117</v>
      </c>
      <c r="AF160" s="267">
        <f>IFERROR(VLOOKUP($A160,Supp_26,14,FALSE),0)+IFERROR(SUMPRODUCT(VLOOKUP($A160,S275_01,{8,9,10},FALSE)),0)+IFERROR(SUMPRODUCT(VLOOKUP($A160,S275_97,{8,9,10},FALSE)),0)+IFERROR(ROUND(VLOOKUP($A160,S275_21,8,FALSE)*VLOOKUP($A160,'3121% SY'!$C$3:$M$324,11,FALSE),3),0)+IFERROR(ROUND(VLOOKUP($A160,S275_21,9,FALSE)*VLOOKUP($A160,'3121% SY'!$C$3:$M$324,11,FALSE),3),0)+IFERROR(ROUND(VLOOKUP($A160,S275_21,10,FALSE)*VLOOKUP($A160,'3121% SY'!$C$3:$M$324,11,FALSE),3),0)+IFERROR(VLOOKUP($A160,S275_09,4,FALSE),0)</f>
        <v>0</v>
      </c>
      <c r="AG160" s="267">
        <f>IFERROR(VLOOKUP($A160,Supp_35,14,FALSE),0)+IFERROR(SUMPRODUCT(VLOOKUP($A160,S275_01,{11,12,13},FALSE)),0)+IFERROR(SUMPRODUCT(VLOOKUP($A160,S275_97,{11,12,13},FALSE)),0)+IFERROR(ROUND(VLOOKUP($A160,S275_21,11,FALSE)*VLOOKUP($A160,'3121% SY'!$C$3:$M$324,11,FALSE),3),0)+IFERROR(ROUND(VLOOKUP($A160,S275_21,12,FALSE)*VLOOKUP($A160,'3121% SY'!$C$3:$M$324,11,FALSE),3),0)+IFERROR(ROUND(VLOOKUP($A160,S275_21,13,FALSE)*VLOOKUP($A160,'3121% SY'!$C$3:$M$324,11,FALSE),3),0)+IFERROR(VLOOKUP($A160,S275_09,5,FALSE),0)</f>
        <v>0</v>
      </c>
      <c r="AH160" s="165">
        <f t="shared" si="38"/>
        <v>1.117</v>
      </c>
      <c r="AI160" s="161">
        <f>IFERROR(VLOOKUP(A160,'Supp Staff Data'!A:ER,148,FALSE),0)+AB160</f>
        <v>0</v>
      </c>
      <c r="AJ160" s="174">
        <v>0.97219999999999995</v>
      </c>
      <c r="AK160" s="25">
        <f>VLOOKUP(A160,'Enroll Data as of January 2025'!$A$3:$T$323,20,FALSE)-F160</f>
        <v>0</v>
      </c>
    </row>
    <row r="161" spans="1:37" x14ac:dyDescent="0.25">
      <c r="A161" s="171" t="s">
        <v>667</v>
      </c>
      <c r="B161" t="s">
        <v>1233</v>
      </c>
      <c r="C161" s="173" t="s">
        <v>1077</v>
      </c>
      <c r="D161" s="259">
        <f t="shared" si="30"/>
        <v>1.4929999999999999</v>
      </c>
      <c r="E161" s="259">
        <f t="shared" si="31"/>
        <v>1.3159999999999998</v>
      </c>
      <c r="F161" s="262">
        <f t="shared" si="32"/>
        <v>-0.17699999999999999</v>
      </c>
      <c r="G161" s="161">
        <f>ROUND(IF(F161&lt;0,F161*'2024-25 PSES Compliance'!$G$13,0),3)</f>
        <v>-0.17</v>
      </c>
      <c r="H161" s="161">
        <f>ROUND(IF(F161&lt;0,F161*'2024-25 PSES Compliance'!$G$14,0),3)</f>
        <v>-7.0000000000000001E-3</v>
      </c>
      <c r="I161" s="174">
        <f t="shared" si="33"/>
        <v>0</v>
      </c>
      <c r="J161" s="174">
        <f t="shared" si="34"/>
        <v>0</v>
      </c>
      <c r="K161" s="161">
        <f>VLOOKUP($A161,'Enroll Data as of January 2025'!$A$3:$M$322,6,FALSE)</f>
        <v>0.93799999999999994</v>
      </c>
      <c r="L161" s="161">
        <f>VLOOKUP($A161,'Enroll Data as of January 2025'!$A$3:$M$322,7,FALSE)</f>
        <v>6.8000000000000005E-2</v>
      </c>
      <c r="M161" s="161">
        <f>VLOOKUP($A161,'Enroll Data as of January 2025'!$A$3:$M$322,8,FALSE)</f>
        <v>2.1000000000000001E-2</v>
      </c>
      <c r="N161" s="161">
        <f>VLOOKUP($A161,'Enroll Data as of January 2025'!$A$3:$M$322,9,FALSE)</f>
        <v>0.40900000000000003</v>
      </c>
      <c r="O161" s="165">
        <f t="shared" si="35"/>
        <v>1.4359999999999999</v>
      </c>
      <c r="P161" s="161">
        <f>VLOOKUP($A161,'Enroll Data as of January 2025'!$A$3:$M$322,11,FALSE)</f>
        <v>0.05</v>
      </c>
      <c r="Q161" s="161">
        <f>VLOOKUP($A161,'Enroll Data as of January 2025'!$A$3:$M$322,12,FALSE)</f>
        <v>7.0000000000000001E-3</v>
      </c>
      <c r="R161" s="165">
        <f t="shared" si="36"/>
        <v>5.7000000000000002E-2</v>
      </c>
      <c r="S161" s="267">
        <f>IFERROR(VLOOKUP($A161,Supp_39,14,FALSE),0)+IFERROR(SUMPRODUCT(VLOOKUP($A161,S275_01,{14,15,16},FALSE)),0)+IFERROR(SUMPRODUCT(VLOOKUP($A161,S275_97,{14,15,16},FALSE)),0)+IFERROR(ROUND(VLOOKUP($A161,S275_21,14,FALSE)*VLOOKUP($A161,'3121% SY'!$C$3:$M$324,11,FALSE),3),0)+IFERROR(ROUND(VLOOKUP($A161,S275_21,15,FALSE)*VLOOKUP($A161,'3121% SY'!$C$3:$M$324,11,FALSE),3),0)+IFERROR(ROUND(VLOOKUP($A161,S275_21,16,FALSE)*VLOOKUP($A161,'3121% SY'!$C$3:$M$324,11,FALSE),3),0)+IFERROR(VLOOKUP($A161,S275_09,6,FALSE),0)</f>
        <v>0</v>
      </c>
      <c r="T161" s="267">
        <f>IFERROR(VLOOKUP($A161,Supp_42,14,FALSE),0)+IFERROR(SUMPRODUCT(VLOOKUP($A161,S275_01,{17,18,19},FALSE)),0)+IFERROR(SUMPRODUCT(VLOOKUP($A161,S275_97,{17,18,19},FALSE)),0)+IFERROR(ROUND(VLOOKUP($A161,S275_21,17,FALSE)*VLOOKUP($A161,'3121% SY'!$C$3:$M$324,11,FALSE),3),0)+IFERROR(ROUND(VLOOKUP($A161,S275_21,18,FALSE)*VLOOKUP($A161,'3121% SY'!$C$3:$M$324,11,FALSE),3),0)+IFERROR(ROUND(VLOOKUP($A161,S275_21,19,FALSE)*VLOOKUP($A161,'3121% SY'!$C$3:$M$324,11,FALSE),3),0)+IFERROR(VLOOKUP($A161,S275_09,7,FALSE),0)</f>
        <v>0</v>
      </c>
      <c r="U161" s="267">
        <f>IFERROR(VLOOKUP($A161,Supp_43,14,FALSE),0)+IFERROR(SUMPRODUCT(VLOOKUP($A161,S275_01,{20,21,22},FALSE)),0)+IFERROR(SUMPRODUCT(VLOOKUP($A161,S275_97,{20,21,22},FALSE)),0)+IFERROR(ROUND(VLOOKUP($A161,S275_21,20,FALSE)*VLOOKUP($A161,'3121% SY'!$C$3:$M$324,11,FALSE),3),0)+IFERROR(ROUND(VLOOKUP($A161,S275_21,21,FALSE)*VLOOKUP($A161,'3121% SY'!$C$3:$M$324,11,FALSE),3),0)+IFERROR(ROUND(VLOOKUP($A161,S275_21,22,FALSE)*VLOOKUP($A161,'3121% SY'!$C$3:$M$324,11,FALSE),3),0)+IFERROR(VLOOKUP($A161,S275_09,8,FALSE),0)</f>
        <v>0</v>
      </c>
      <c r="V161" s="267">
        <f>IFERROR(VLOOKUP($A161,Supp_44,14,FALSE),0)+IFERROR(SUMPRODUCT(VLOOKUP($A161,S275_01,{23,24,25},FALSE)),0)+IFERROR(SUMPRODUCT(VLOOKUP($A161,S275_97,{23,24,25},FALSE)),0)+IFERROR(ROUND(VLOOKUP($A161,S275_21,23,FALSE)*VLOOKUP($A161,'3121% SY'!$C$3:$M$324,11,FALSE),3),0)+IFERROR(ROUND(VLOOKUP($A161,S275_21,24,FALSE)*VLOOKUP($A161,'3121% SY'!$C$3:$M$324,11,FALSE),3),0)+IFERROR(ROUND(VLOOKUP($A161,S275_21,25,FALSE)*VLOOKUP($A161,'3121% SY'!$C$3:$M$324,11,FALSE),3),0)+IFERROR(VLOOKUP($A161,S275_09,9,FALSE),0)</f>
        <v>0</v>
      </c>
      <c r="W161" s="267">
        <f>IFERROR(VLOOKUP($A161,Supp_45,14,FALSE),0)+IFERROR(SUMPRODUCT(VLOOKUP($A161,S275_01,{26,27,28},FALSE)),0)+IFERROR(SUMPRODUCT(VLOOKUP($A161,S275_97,{26,27,28},FALSE)),0)+IFERROR(ROUND(VLOOKUP($A161,S275_21,26,FALSE)*VLOOKUP($A161,'3121% SY'!$C$3:$M$324,11,FALSE),3),0)+IFERROR(ROUND(VLOOKUP($A161,S275_21,27,FALSE)*VLOOKUP($A161,'3121% SY'!$C$3:$M$324,11,FALSE),3),0)+IFERROR(ROUND(VLOOKUP($A161,S275_21,28,FALSE)*VLOOKUP($A161,'3121% SY'!$C$3:$M$324,11,FALSE),3),0)+IFERROR(VLOOKUP($A161,S275_09,10,FALSE),0)</f>
        <v>0</v>
      </c>
      <c r="X161" s="267">
        <f>IFERROR(VLOOKUP($A161,Supp_46,14,FALSE),0)+IFERROR(SUMPRODUCT(VLOOKUP($A161,S275_01,{29,30,31},FALSE)),0)+IFERROR(SUMPRODUCT(VLOOKUP($A161,S275_97,{29,30,31},FALSE)),0)+IFERROR(ROUND(VLOOKUP($A161,S275_21,29,FALSE)*VLOOKUP($A161,'3121% SY'!$C$3:$M$324,11,FALSE),3),0)+IFERROR(ROUND(VLOOKUP($A161,S275_21,30,FALSE)*VLOOKUP($A161,'3121% SY'!$C$3:$M$324,11,FALSE),3),0)+IFERROR(ROUND(VLOOKUP($A161,S275_21,31,FALSE)*VLOOKUP($A161,'3121% SY'!$C$3:$M$324,11,FALSE),3),0)+IFERROR(VLOOKUP($A161,S275_09,11,FALSE),0)</f>
        <v>0</v>
      </c>
      <c r="Y161" s="267">
        <f>IFERROR(VLOOKUP($A161,Supp_47,14,FALSE),0)+IFERROR(SUMPRODUCT(VLOOKUP($A161,S275_01,{32,33,34},FALSE)),0)+IFERROR(SUMPRODUCT(VLOOKUP($A161,S275_97,{32,33,34},FALSE)),0)+IFERROR(ROUND(VLOOKUP($A161,S275_21,32,FALSE)*VLOOKUP($A161,'3121% SY'!$C$3:$M$324,11,FALSE),3),0)+IFERROR(ROUND(VLOOKUP($A161,S275_21,33,FALSE)*VLOOKUP($A161,'3121% SY'!$C$3:$M$324,11,FALSE),3),0)+IFERROR(ROUND(VLOOKUP($A161,S275_21,34,FALSE)*VLOOKUP($A161,'3121% SY'!$C$3:$M$324,11,FALSE),3),0)+IFERROR(VLOOKUP($A161,S275_09,12,FALSE),0)</f>
        <v>0</v>
      </c>
      <c r="Z161" s="267">
        <f>IFERROR(VLOOKUP($A161,Supp_48,14,FALSE),0)+IFERROR(SUMPRODUCT(VLOOKUP($A161,S275_01,{35,36,37},FALSE)),0)+IFERROR(SUMPRODUCT(VLOOKUP($A161,S275_97,{35,36,37},FALSE)),0)+IFERROR(ROUND(VLOOKUP($A161,S275_21,35,FALSE)*VLOOKUP($A161,'3121% SY'!$C$3:$M$324,11,FALSE),3),0)+IFERROR(ROUND(VLOOKUP($A161,S275_21,36,FALSE)*VLOOKUP($A161,'3121% SY'!$C$3:$M$324,11,FALSE),3),0)+IFERROR(ROUND(VLOOKUP($A161,S275_21,37,FALSE)*VLOOKUP($A161,'3121% SY'!$C$3:$M$324,11,FALSE),3),0)+IFERROR(VLOOKUP($A161,S275_09,13,FALSE),0)</f>
        <v>0</v>
      </c>
      <c r="AA161" s="267">
        <f>IFERROR(VLOOKUP($A161,Supp_49,14,FALSE),0)+IFERROR(SUMPRODUCT(VLOOKUP($A161,S275_01,{38,39,40},FALSE)),0)+IFERROR(SUMPRODUCT(VLOOKUP($A161,S275_97,{38,39,40},FALSE)),0)+IFERROR(ROUND(VLOOKUP($A161,S275_21,38,FALSE)*VLOOKUP($A161,'3121% SY'!$C$3:$M$324,11,FALSE),3),0)+IFERROR(ROUND(VLOOKUP($A161,S275_21,39,FALSE)*VLOOKUP($A161,'3121% SY'!$C$3:$M$324,11,FALSE),3),0)+IFERROR(ROUND(VLOOKUP($A161,S275_21,40,FALSE)*VLOOKUP($A161,'3121% SY'!$C$3:$M$324,11,FALSE),3),0)+IFERROR(VLOOKUP($A161,S275_09,14,FALSE),0)</f>
        <v>0</v>
      </c>
      <c r="AB161" s="267">
        <f>IFERROR(VLOOKUP($A161,Supp_64,14,FALSE),0)+IFERROR(SUMPRODUCT(VLOOKUP($A161,S275_01,{41,42,43},FALSE)),0)+IFERROR(SUMPRODUCT(VLOOKUP($A161,S275_97,{41,42,43},FALSE)),0)+IFERROR(ROUND(VLOOKUP($A161,S275_21,41,FALSE)*VLOOKUP($A161,'3121% SY'!$C$3:$M$324,11,FALSE),3),0)+IFERROR(ROUND(VLOOKUP($A161,S275_21,42,FALSE)*VLOOKUP($A161,'3121% SY'!$C$3:$M$324,11,FALSE),3),0)+IFERROR(ROUND(VLOOKUP($A161,S275_21,43,FALSE)*VLOOKUP($A161,'3121% SY'!$C$3:$M$324,11,FALSE),3),0)+IFERROR(VLOOKUP($A161,S275_09,15,FALSE),0)</f>
        <v>0</v>
      </c>
      <c r="AC161" s="268">
        <f t="shared" si="37"/>
        <v>0</v>
      </c>
      <c r="AD161" s="267">
        <f>IFERROR(VLOOKUP($A161,Supp_24,14,FALSE),0)+IFERROR(SUMPRODUCT(VLOOKUP($A161,S275_01,{2,3,4},FALSE)),0)+IFERROR(SUMPRODUCT(VLOOKUP($A161,S275_97,{2,3,4},FALSE)),0)+IFERROR(ROUND(VLOOKUP($A161,S275_21,2,FALSE)*VLOOKUP($A161,'3121% SY'!$C$3:$M$324,11,FALSE),3),0)+IFERROR(ROUND(VLOOKUP($A161,S275_21,3,FALSE)*VLOOKUP($A161,'3121% SY'!$C$3:$M$324,11,FALSE),3),0)+IFERROR(ROUND(VLOOKUP($A161,S275_21,4,FALSE)*VLOOKUP($A161,'3121% SY'!$C$3:$M$324,11,FALSE),3),0)+IFERROR(VLOOKUP($A161,S275_09,2,FALSE),0)</f>
        <v>0.73099999999999998</v>
      </c>
      <c r="AE161" s="267">
        <f>IFERROR(VLOOKUP($A161,Supp_25,14,FALSE),0)+IFERROR(SUMPRODUCT(VLOOKUP($A161,S275_01,{5,6,7},FALSE)),0)+IFERROR(SUMPRODUCT(VLOOKUP($A161,S275_97,{5,6,7},FALSE)),0)+IFERROR(ROUND(VLOOKUP($A161,S275_21,5,FALSE)*VLOOKUP($A161,'3121% SY'!$C$3:$M$324,11,FALSE),3),0)+IFERROR(ROUND(VLOOKUP($A161,S275_21,6,FALSE)*VLOOKUP($A161,'3121% SY'!$C$3:$M$324,11,FALSE),3),0)+IFERROR(ROUND(VLOOKUP($A161,S275_21,7,FALSE)*VLOOKUP($A161,'3121% SY'!$C$3:$M$324,11,FALSE),3),0)+IFERROR(VLOOKUP($A161,S275_09,3,FALSE),0)</f>
        <v>0</v>
      </c>
      <c r="AF161" s="267">
        <f>IFERROR(VLOOKUP($A161,Supp_26,14,FALSE),0)+IFERROR(SUMPRODUCT(VLOOKUP($A161,S275_01,{8,9,10},FALSE)),0)+IFERROR(SUMPRODUCT(VLOOKUP($A161,S275_97,{8,9,10},FALSE)),0)+IFERROR(ROUND(VLOOKUP($A161,S275_21,8,FALSE)*VLOOKUP($A161,'3121% SY'!$C$3:$M$324,11,FALSE),3),0)+IFERROR(ROUND(VLOOKUP($A161,S275_21,9,FALSE)*VLOOKUP($A161,'3121% SY'!$C$3:$M$324,11,FALSE),3),0)+IFERROR(ROUND(VLOOKUP($A161,S275_21,10,FALSE)*VLOOKUP($A161,'3121% SY'!$C$3:$M$324,11,FALSE),3),0)+IFERROR(VLOOKUP($A161,S275_09,4,FALSE),0)</f>
        <v>0.58499999999999996</v>
      </c>
      <c r="AG161" s="267">
        <f>IFERROR(VLOOKUP($A161,Supp_35,14,FALSE),0)+IFERROR(SUMPRODUCT(VLOOKUP($A161,S275_01,{11,12,13},FALSE)),0)+IFERROR(SUMPRODUCT(VLOOKUP($A161,S275_97,{11,12,13},FALSE)),0)+IFERROR(ROUND(VLOOKUP($A161,S275_21,11,FALSE)*VLOOKUP($A161,'3121% SY'!$C$3:$M$324,11,FALSE),3),0)+IFERROR(ROUND(VLOOKUP($A161,S275_21,12,FALSE)*VLOOKUP($A161,'3121% SY'!$C$3:$M$324,11,FALSE),3),0)+IFERROR(ROUND(VLOOKUP($A161,S275_21,13,FALSE)*VLOOKUP($A161,'3121% SY'!$C$3:$M$324,11,FALSE),3),0)+IFERROR(VLOOKUP($A161,S275_09,5,FALSE),0)</f>
        <v>0</v>
      </c>
      <c r="AH161" s="165">
        <f t="shared" si="38"/>
        <v>1.3159999999999998</v>
      </c>
      <c r="AI161" s="161">
        <f>IFERROR(VLOOKUP(A161,'Supp Staff Data'!A:ER,148,FALSE),0)+AB161</f>
        <v>0</v>
      </c>
      <c r="AJ161" s="174">
        <v>1</v>
      </c>
      <c r="AK161" s="25">
        <f>VLOOKUP(A161,'Enroll Data as of January 2025'!$A$3:$T$323,20,FALSE)-F161</f>
        <v>0</v>
      </c>
    </row>
    <row r="162" spans="1:37" x14ac:dyDescent="0.25">
      <c r="A162" s="171" t="s">
        <v>233</v>
      </c>
      <c r="B162" t="s">
        <v>529</v>
      </c>
      <c r="C162" s="173" t="s">
        <v>1077</v>
      </c>
      <c r="D162" s="259">
        <f t="shared" si="30"/>
        <v>4.2269999999999994</v>
      </c>
      <c r="E162" s="259">
        <f t="shared" si="31"/>
        <v>4.266</v>
      </c>
      <c r="F162" s="262">
        <f t="shared" si="32"/>
        <v>3.9E-2</v>
      </c>
      <c r="G162" s="161">
        <f>ROUND(IF(F162&lt;0,F162*'2024-25 PSES Compliance'!$G$13,0),3)</f>
        <v>0</v>
      </c>
      <c r="H162" s="161">
        <f>ROUND(IF(F162&lt;0,F162*'2024-25 PSES Compliance'!$G$14,0),3)</f>
        <v>0</v>
      </c>
      <c r="I162" s="174">
        <f t="shared" si="33"/>
        <v>0</v>
      </c>
      <c r="J162" s="174">
        <f t="shared" si="34"/>
        <v>6.7276136896390074E-2</v>
      </c>
      <c r="K162" s="161">
        <f>VLOOKUP($A162,'Enroll Data as of January 2025'!$A$3:$M$322,6,FALSE)</f>
        <v>2.3439999999999999</v>
      </c>
      <c r="L162" s="161">
        <f>VLOOKUP($A162,'Enroll Data as of January 2025'!$A$3:$M$322,7,FALSE)</f>
        <v>0.40800000000000003</v>
      </c>
      <c r="M162" s="161">
        <f>VLOOKUP($A162,'Enroll Data as of January 2025'!$A$3:$M$322,8,FALSE)</f>
        <v>0.13700000000000001</v>
      </c>
      <c r="N162" s="161">
        <f>VLOOKUP($A162,'Enroll Data as of January 2025'!$A$3:$M$322,9,FALSE)</f>
        <v>1.0940000000000001</v>
      </c>
      <c r="O162" s="165">
        <f t="shared" si="35"/>
        <v>3.9829999999999997</v>
      </c>
      <c r="P162" s="161">
        <f>VLOOKUP($A162,'Enroll Data as of January 2025'!$A$3:$M$322,11,FALSE)</f>
        <v>0.15</v>
      </c>
      <c r="Q162" s="161">
        <f>VLOOKUP($A162,'Enroll Data as of January 2025'!$A$3:$M$322,12,FALSE)</f>
        <v>9.4E-2</v>
      </c>
      <c r="R162" s="165">
        <f t="shared" si="36"/>
        <v>0.24399999999999999</v>
      </c>
      <c r="S162" s="267">
        <f>IFERROR(VLOOKUP($A162,Supp_39,14,FALSE),0)+IFERROR(SUMPRODUCT(VLOOKUP($A162,S275_01,{14,15,16},FALSE)),0)+IFERROR(SUMPRODUCT(VLOOKUP($A162,S275_97,{14,15,16},FALSE)),0)+IFERROR(ROUND(VLOOKUP($A162,S275_21,14,FALSE)*VLOOKUP($A162,'3121% SY'!$C$3:$M$324,11,FALSE),3),0)+IFERROR(ROUND(VLOOKUP($A162,S275_21,15,FALSE)*VLOOKUP($A162,'3121% SY'!$C$3:$M$324,11,FALSE),3),0)+IFERROR(ROUND(VLOOKUP($A162,S275_21,16,FALSE)*VLOOKUP($A162,'3121% SY'!$C$3:$M$324,11,FALSE),3),0)+IFERROR(VLOOKUP($A162,S275_09,6,FALSE),0)</f>
        <v>1.7</v>
      </c>
      <c r="T162" s="267">
        <f>IFERROR(VLOOKUP($A162,Supp_42,14,FALSE),0)+IFERROR(SUMPRODUCT(VLOOKUP($A162,S275_01,{17,18,19},FALSE)),0)+IFERROR(SUMPRODUCT(VLOOKUP($A162,S275_97,{17,18,19},FALSE)),0)+IFERROR(ROUND(VLOOKUP($A162,S275_21,17,FALSE)*VLOOKUP($A162,'3121% SY'!$C$3:$M$324,11,FALSE),3),0)+IFERROR(ROUND(VLOOKUP($A162,S275_21,18,FALSE)*VLOOKUP($A162,'3121% SY'!$C$3:$M$324,11,FALSE),3),0)+IFERROR(ROUND(VLOOKUP($A162,S275_21,19,FALSE)*VLOOKUP($A162,'3121% SY'!$C$3:$M$324,11,FALSE),3),0)+IFERROR(VLOOKUP($A162,S275_09,7,FALSE),0)</f>
        <v>0.24</v>
      </c>
      <c r="U162" s="267">
        <f>IFERROR(VLOOKUP($A162,Supp_43,14,FALSE),0)+IFERROR(SUMPRODUCT(VLOOKUP($A162,S275_01,{20,21,22},FALSE)),0)+IFERROR(SUMPRODUCT(VLOOKUP($A162,S275_97,{20,21,22},FALSE)),0)+IFERROR(ROUND(VLOOKUP($A162,S275_21,20,FALSE)*VLOOKUP($A162,'3121% SY'!$C$3:$M$324,11,FALSE),3),0)+IFERROR(ROUND(VLOOKUP($A162,S275_21,21,FALSE)*VLOOKUP($A162,'3121% SY'!$C$3:$M$324,11,FALSE),3),0)+IFERROR(ROUND(VLOOKUP($A162,S275_21,22,FALSE)*VLOOKUP($A162,'3121% SY'!$C$3:$M$324,11,FALSE),3),0)+IFERROR(VLOOKUP($A162,S275_09,8,FALSE),0)</f>
        <v>0</v>
      </c>
      <c r="V162" s="267">
        <f>IFERROR(VLOOKUP($A162,Supp_44,14,FALSE),0)+IFERROR(SUMPRODUCT(VLOOKUP($A162,S275_01,{23,24,25},FALSE)),0)+IFERROR(SUMPRODUCT(VLOOKUP($A162,S275_97,{23,24,25},FALSE)),0)+IFERROR(ROUND(VLOOKUP($A162,S275_21,23,FALSE)*VLOOKUP($A162,'3121% SY'!$C$3:$M$324,11,FALSE),3),0)+IFERROR(ROUND(VLOOKUP($A162,S275_21,24,FALSE)*VLOOKUP($A162,'3121% SY'!$C$3:$M$324,11,FALSE),3),0)+IFERROR(ROUND(VLOOKUP($A162,S275_21,25,FALSE)*VLOOKUP($A162,'3121% SY'!$C$3:$M$324,11,FALSE),3),0)+IFERROR(VLOOKUP($A162,S275_09,9,FALSE),0)</f>
        <v>0</v>
      </c>
      <c r="W162" s="267">
        <f>IFERROR(VLOOKUP($A162,Supp_45,14,FALSE),0)+IFERROR(SUMPRODUCT(VLOOKUP($A162,S275_01,{26,27,28},FALSE)),0)+IFERROR(SUMPRODUCT(VLOOKUP($A162,S275_97,{26,27,28},FALSE)),0)+IFERROR(ROUND(VLOOKUP($A162,S275_21,26,FALSE)*VLOOKUP($A162,'3121% SY'!$C$3:$M$324,11,FALSE),3),0)+IFERROR(ROUND(VLOOKUP($A162,S275_21,27,FALSE)*VLOOKUP($A162,'3121% SY'!$C$3:$M$324,11,FALSE),3),0)+IFERROR(ROUND(VLOOKUP($A162,S275_21,28,FALSE)*VLOOKUP($A162,'3121% SY'!$C$3:$M$324,11,FALSE),3),0)+IFERROR(VLOOKUP($A162,S275_09,10,FALSE),0)</f>
        <v>0.2</v>
      </c>
      <c r="X162" s="267">
        <f>IFERROR(VLOOKUP($A162,Supp_46,14,FALSE),0)+IFERROR(SUMPRODUCT(VLOOKUP($A162,S275_01,{29,30,31},FALSE)),0)+IFERROR(SUMPRODUCT(VLOOKUP($A162,S275_97,{29,30,31},FALSE)),0)+IFERROR(ROUND(VLOOKUP($A162,S275_21,29,FALSE)*VLOOKUP($A162,'3121% SY'!$C$3:$M$324,11,FALSE),3),0)+IFERROR(ROUND(VLOOKUP($A162,S275_21,30,FALSE)*VLOOKUP($A162,'3121% SY'!$C$3:$M$324,11,FALSE),3),0)+IFERROR(ROUND(VLOOKUP($A162,S275_21,31,FALSE)*VLOOKUP($A162,'3121% SY'!$C$3:$M$324,11,FALSE),3),0)+IFERROR(VLOOKUP($A162,S275_09,11,FALSE),0)</f>
        <v>1.0389999999999999</v>
      </c>
      <c r="Y162" s="267">
        <f>IFERROR(VLOOKUP($A162,Supp_47,14,FALSE),0)+IFERROR(SUMPRODUCT(VLOOKUP($A162,S275_01,{32,33,34},FALSE)),0)+IFERROR(SUMPRODUCT(VLOOKUP($A162,S275_97,{32,33,34},FALSE)),0)+IFERROR(ROUND(VLOOKUP($A162,S275_21,32,FALSE)*VLOOKUP($A162,'3121% SY'!$C$3:$M$324,11,FALSE),3),0)+IFERROR(ROUND(VLOOKUP($A162,S275_21,33,FALSE)*VLOOKUP($A162,'3121% SY'!$C$3:$M$324,11,FALSE),3),0)+IFERROR(ROUND(VLOOKUP($A162,S275_21,34,FALSE)*VLOOKUP($A162,'3121% SY'!$C$3:$M$324,11,FALSE),3),0)+IFERROR(VLOOKUP($A162,S275_09,12,FALSE),0)</f>
        <v>0</v>
      </c>
      <c r="Z162" s="267">
        <f>IFERROR(VLOOKUP($A162,Supp_48,14,FALSE),0)+IFERROR(SUMPRODUCT(VLOOKUP($A162,S275_01,{35,36,37},FALSE)),0)+IFERROR(SUMPRODUCT(VLOOKUP($A162,S275_97,{35,36,37},FALSE)),0)+IFERROR(ROUND(VLOOKUP($A162,S275_21,35,FALSE)*VLOOKUP($A162,'3121% SY'!$C$3:$M$324,11,FALSE),3),0)+IFERROR(ROUND(VLOOKUP($A162,S275_21,36,FALSE)*VLOOKUP($A162,'3121% SY'!$C$3:$M$324,11,FALSE),3),0)+IFERROR(ROUND(VLOOKUP($A162,S275_21,37,FALSE)*VLOOKUP($A162,'3121% SY'!$C$3:$M$324,11,FALSE),3),0)+IFERROR(VLOOKUP($A162,S275_09,13,FALSE),0)</f>
        <v>0</v>
      </c>
      <c r="AA162" s="267">
        <f>IFERROR(VLOOKUP($A162,Supp_49,14,FALSE),0)+IFERROR(SUMPRODUCT(VLOOKUP($A162,S275_01,{38,39,40},FALSE)),0)+IFERROR(SUMPRODUCT(VLOOKUP($A162,S275_97,{38,39,40},FALSE)),0)+IFERROR(ROUND(VLOOKUP($A162,S275_21,38,FALSE)*VLOOKUP($A162,'3121% SY'!$C$3:$M$324,11,FALSE),3),0)+IFERROR(ROUND(VLOOKUP($A162,S275_21,39,FALSE)*VLOOKUP($A162,'3121% SY'!$C$3:$M$324,11,FALSE),3),0)+IFERROR(ROUND(VLOOKUP($A162,S275_21,40,FALSE)*VLOOKUP($A162,'3121% SY'!$C$3:$M$324,11,FALSE),3),0)+IFERROR(VLOOKUP($A162,S275_09,14,FALSE),0)</f>
        <v>0</v>
      </c>
      <c r="AB162" s="267">
        <f>IFERROR(VLOOKUP($A162,Supp_64,14,FALSE),0)+IFERROR(SUMPRODUCT(VLOOKUP($A162,S275_01,{41,42,43},FALSE)),0)+IFERROR(SUMPRODUCT(VLOOKUP($A162,S275_97,{41,42,43},FALSE)),0)+IFERROR(ROUND(VLOOKUP($A162,S275_21,41,FALSE)*VLOOKUP($A162,'3121% SY'!$C$3:$M$324,11,FALSE),3),0)+IFERROR(ROUND(VLOOKUP($A162,S275_21,42,FALSE)*VLOOKUP($A162,'3121% SY'!$C$3:$M$324,11,FALSE),3),0)+IFERROR(ROUND(VLOOKUP($A162,S275_21,43,FALSE)*VLOOKUP($A162,'3121% SY'!$C$3:$M$324,11,FALSE),3),0)+IFERROR(VLOOKUP($A162,S275_09,15,FALSE),0)</f>
        <v>0.28700000000000003</v>
      </c>
      <c r="AC162" s="268">
        <f t="shared" si="37"/>
        <v>3.4660000000000002</v>
      </c>
      <c r="AD162" s="267">
        <f>IFERROR(VLOOKUP($A162,Supp_24,14,FALSE),0)+IFERROR(SUMPRODUCT(VLOOKUP($A162,S275_01,{2,3,4},FALSE)),0)+IFERROR(SUMPRODUCT(VLOOKUP($A162,S275_97,{2,3,4},FALSE)),0)+IFERROR(ROUND(VLOOKUP($A162,S275_21,2,FALSE)*VLOOKUP($A162,'3121% SY'!$C$3:$M$324,11,FALSE),3),0)+IFERROR(ROUND(VLOOKUP($A162,S275_21,3,FALSE)*VLOOKUP($A162,'3121% SY'!$C$3:$M$324,11,FALSE),3),0)+IFERROR(ROUND(VLOOKUP($A162,S275_21,4,FALSE)*VLOOKUP($A162,'3121% SY'!$C$3:$M$324,11,FALSE),3),0)+IFERROR(VLOOKUP($A162,S275_09,2,FALSE),0)</f>
        <v>0</v>
      </c>
      <c r="AE162" s="267">
        <f>IFERROR(VLOOKUP($A162,Supp_25,14,FALSE),0)+IFERROR(SUMPRODUCT(VLOOKUP($A162,S275_01,{5,6,7},FALSE)),0)+IFERROR(SUMPRODUCT(VLOOKUP($A162,S275_97,{5,6,7},FALSE)),0)+IFERROR(ROUND(VLOOKUP($A162,S275_21,5,FALSE)*VLOOKUP($A162,'3121% SY'!$C$3:$M$324,11,FALSE),3),0)+IFERROR(ROUND(VLOOKUP($A162,S275_21,6,FALSE)*VLOOKUP($A162,'3121% SY'!$C$3:$M$324,11,FALSE),3),0)+IFERROR(ROUND(VLOOKUP($A162,S275_21,7,FALSE)*VLOOKUP($A162,'3121% SY'!$C$3:$M$324,11,FALSE),3),0)+IFERROR(VLOOKUP($A162,S275_09,3,FALSE),0)</f>
        <v>0</v>
      </c>
      <c r="AF162" s="267">
        <f>IFERROR(VLOOKUP($A162,Supp_26,14,FALSE),0)+IFERROR(SUMPRODUCT(VLOOKUP($A162,S275_01,{8,9,10},FALSE)),0)+IFERROR(SUMPRODUCT(VLOOKUP($A162,S275_97,{8,9,10},FALSE)),0)+IFERROR(ROUND(VLOOKUP($A162,S275_21,8,FALSE)*VLOOKUP($A162,'3121% SY'!$C$3:$M$324,11,FALSE),3),0)+IFERROR(ROUND(VLOOKUP($A162,S275_21,9,FALSE)*VLOOKUP($A162,'3121% SY'!$C$3:$M$324,11,FALSE),3),0)+IFERROR(ROUND(VLOOKUP($A162,S275_21,10,FALSE)*VLOOKUP($A162,'3121% SY'!$C$3:$M$324,11,FALSE),3),0)+IFERROR(VLOOKUP($A162,S275_09,4,FALSE),0)</f>
        <v>0</v>
      </c>
      <c r="AG162" s="267">
        <f>IFERROR(VLOOKUP($A162,Supp_35,14,FALSE),0)+IFERROR(SUMPRODUCT(VLOOKUP($A162,S275_01,{11,12,13},FALSE)),0)+IFERROR(SUMPRODUCT(VLOOKUP($A162,S275_97,{11,12,13},FALSE)),0)+IFERROR(ROUND(VLOOKUP($A162,S275_21,11,FALSE)*VLOOKUP($A162,'3121% SY'!$C$3:$M$324,11,FALSE),3),0)+IFERROR(ROUND(VLOOKUP($A162,S275_21,12,FALSE)*VLOOKUP($A162,'3121% SY'!$C$3:$M$324,11,FALSE),3),0)+IFERROR(ROUND(VLOOKUP($A162,S275_21,13,FALSE)*VLOOKUP($A162,'3121% SY'!$C$3:$M$324,11,FALSE),3),0)+IFERROR(VLOOKUP($A162,S275_09,5,FALSE),0)</f>
        <v>0.8</v>
      </c>
      <c r="AH162" s="165">
        <f t="shared" si="38"/>
        <v>0.8</v>
      </c>
      <c r="AI162" s="161">
        <f>IFERROR(VLOOKUP(A162,'Supp Staff Data'!A:ER,148,FALSE),0)+AB162</f>
        <v>0.28700000000000003</v>
      </c>
      <c r="AJ162" s="174">
        <v>0</v>
      </c>
      <c r="AK162" s="25">
        <f>VLOOKUP(A162,'Enroll Data as of January 2025'!$A$3:$T$323,20,FALSE)-F162</f>
        <v>0</v>
      </c>
    </row>
    <row r="163" spans="1:37" x14ac:dyDescent="0.25">
      <c r="A163" s="171" t="s">
        <v>53</v>
      </c>
      <c r="B163" t="s">
        <v>349</v>
      </c>
      <c r="C163" s="173" t="s">
        <v>1077</v>
      </c>
      <c r="D163" s="259">
        <f t="shared" si="30"/>
        <v>0.53700000000000003</v>
      </c>
      <c r="E163" s="259">
        <f t="shared" si="31"/>
        <v>0.63600000000000001</v>
      </c>
      <c r="F163" s="262">
        <f t="shared" si="32"/>
        <v>9.9000000000000005E-2</v>
      </c>
      <c r="G163" s="161">
        <f>ROUND(IF(F163&lt;0,F163*'2024-25 PSES Compliance'!$G$13,0),3)</f>
        <v>0</v>
      </c>
      <c r="H163" s="161">
        <f>ROUND(IF(F163&lt;0,F163*'2024-25 PSES Compliance'!$G$14,0),3)</f>
        <v>0</v>
      </c>
      <c r="I163" s="174">
        <f t="shared" si="33"/>
        <v>0</v>
      </c>
      <c r="J163" s="174">
        <f t="shared" si="34"/>
        <v>0</v>
      </c>
      <c r="K163" s="161">
        <f>VLOOKUP($A163,'Enroll Data as of January 2025'!$A$3:$M$322,6,FALSE)</f>
        <v>0.29900000000000004</v>
      </c>
      <c r="L163" s="161">
        <f>VLOOKUP($A163,'Enroll Data as of January 2025'!$A$3:$M$322,7,FALSE)</f>
        <v>0.05</v>
      </c>
      <c r="M163" s="161">
        <f>VLOOKUP($A163,'Enroll Data as of January 2025'!$A$3:$M$322,8,FALSE)</f>
        <v>1.7000000000000001E-2</v>
      </c>
      <c r="N163" s="161">
        <f>VLOOKUP($A163,'Enroll Data as of January 2025'!$A$3:$M$322,9,FALSE)</f>
        <v>0.14099999999999999</v>
      </c>
      <c r="O163" s="165">
        <f t="shared" si="35"/>
        <v>0.50700000000000001</v>
      </c>
      <c r="P163" s="161">
        <f>VLOOKUP($A163,'Enroll Data as of January 2025'!$A$3:$M$322,11,FALSE)</f>
        <v>1.9E-2</v>
      </c>
      <c r="Q163" s="161">
        <f>VLOOKUP($A163,'Enroll Data as of January 2025'!$A$3:$M$322,12,FALSE)</f>
        <v>1.0999999999999999E-2</v>
      </c>
      <c r="R163" s="165">
        <f t="shared" si="36"/>
        <v>0.03</v>
      </c>
      <c r="S163" s="267">
        <f>IFERROR(VLOOKUP($A163,Supp_39,14,FALSE),0)+IFERROR(SUMPRODUCT(VLOOKUP($A163,S275_01,{14,15,16},FALSE)),0)+IFERROR(SUMPRODUCT(VLOOKUP($A163,S275_97,{14,15,16},FALSE)),0)+IFERROR(ROUND(VLOOKUP($A163,S275_21,14,FALSE)*VLOOKUP($A163,'3121% SY'!$C$3:$M$324,11,FALSE),3),0)+IFERROR(ROUND(VLOOKUP($A163,S275_21,15,FALSE)*VLOOKUP($A163,'3121% SY'!$C$3:$M$324,11,FALSE),3),0)+IFERROR(ROUND(VLOOKUP($A163,S275_21,16,FALSE)*VLOOKUP($A163,'3121% SY'!$C$3:$M$324,11,FALSE),3),0)+IFERROR(VLOOKUP($A163,S275_09,6,FALSE),0)</f>
        <v>0</v>
      </c>
      <c r="T163" s="267">
        <f>IFERROR(VLOOKUP($A163,Supp_42,14,FALSE),0)+IFERROR(SUMPRODUCT(VLOOKUP($A163,S275_01,{17,18,19},FALSE)),0)+IFERROR(SUMPRODUCT(VLOOKUP($A163,S275_97,{17,18,19},FALSE)),0)+IFERROR(ROUND(VLOOKUP($A163,S275_21,17,FALSE)*VLOOKUP($A163,'3121% SY'!$C$3:$M$324,11,FALSE),3),0)+IFERROR(ROUND(VLOOKUP($A163,S275_21,18,FALSE)*VLOOKUP($A163,'3121% SY'!$C$3:$M$324,11,FALSE),3),0)+IFERROR(ROUND(VLOOKUP($A163,S275_21,19,FALSE)*VLOOKUP($A163,'3121% SY'!$C$3:$M$324,11,FALSE),3),0)+IFERROR(VLOOKUP($A163,S275_09,7,FALSE),0)</f>
        <v>0</v>
      </c>
      <c r="U163" s="267">
        <f>IFERROR(VLOOKUP($A163,Supp_43,14,FALSE),0)+IFERROR(SUMPRODUCT(VLOOKUP($A163,S275_01,{20,21,22},FALSE)),0)+IFERROR(SUMPRODUCT(VLOOKUP($A163,S275_97,{20,21,22},FALSE)),0)+IFERROR(ROUND(VLOOKUP($A163,S275_21,20,FALSE)*VLOOKUP($A163,'3121% SY'!$C$3:$M$324,11,FALSE),3),0)+IFERROR(ROUND(VLOOKUP($A163,S275_21,21,FALSE)*VLOOKUP($A163,'3121% SY'!$C$3:$M$324,11,FALSE),3),0)+IFERROR(ROUND(VLOOKUP($A163,S275_21,22,FALSE)*VLOOKUP($A163,'3121% SY'!$C$3:$M$324,11,FALSE),3),0)+IFERROR(VLOOKUP($A163,S275_09,8,FALSE),0)</f>
        <v>0</v>
      </c>
      <c r="V163" s="267">
        <f>IFERROR(VLOOKUP($A163,Supp_44,14,FALSE),0)+IFERROR(SUMPRODUCT(VLOOKUP($A163,S275_01,{23,24,25},FALSE)),0)+IFERROR(SUMPRODUCT(VLOOKUP($A163,S275_97,{23,24,25},FALSE)),0)+IFERROR(ROUND(VLOOKUP($A163,S275_21,23,FALSE)*VLOOKUP($A163,'3121% SY'!$C$3:$M$324,11,FALSE),3),0)+IFERROR(ROUND(VLOOKUP($A163,S275_21,24,FALSE)*VLOOKUP($A163,'3121% SY'!$C$3:$M$324,11,FALSE),3),0)+IFERROR(ROUND(VLOOKUP($A163,S275_21,25,FALSE)*VLOOKUP($A163,'3121% SY'!$C$3:$M$324,11,FALSE),3),0)+IFERROR(VLOOKUP($A163,S275_09,9,FALSE),0)</f>
        <v>0</v>
      </c>
      <c r="W163" s="267">
        <f>IFERROR(VLOOKUP($A163,Supp_45,14,FALSE),0)+IFERROR(SUMPRODUCT(VLOOKUP($A163,S275_01,{26,27,28},FALSE)),0)+IFERROR(SUMPRODUCT(VLOOKUP($A163,S275_97,{26,27,28},FALSE)),0)+IFERROR(ROUND(VLOOKUP($A163,S275_21,26,FALSE)*VLOOKUP($A163,'3121% SY'!$C$3:$M$324,11,FALSE),3),0)+IFERROR(ROUND(VLOOKUP($A163,S275_21,27,FALSE)*VLOOKUP($A163,'3121% SY'!$C$3:$M$324,11,FALSE),3),0)+IFERROR(ROUND(VLOOKUP($A163,S275_21,28,FALSE)*VLOOKUP($A163,'3121% SY'!$C$3:$M$324,11,FALSE),3),0)+IFERROR(VLOOKUP($A163,S275_09,10,FALSE),0)</f>
        <v>0</v>
      </c>
      <c r="X163" s="267">
        <f>IFERROR(VLOOKUP($A163,Supp_46,14,FALSE),0)+IFERROR(SUMPRODUCT(VLOOKUP($A163,S275_01,{29,30,31},FALSE)),0)+IFERROR(SUMPRODUCT(VLOOKUP($A163,S275_97,{29,30,31},FALSE)),0)+IFERROR(ROUND(VLOOKUP($A163,S275_21,29,FALSE)*VLOOKUP($A163,'3121% SY'!$C$3:$M$324,11,FALSE),3),0)+IFERROR(ROUND(VLOOKUP($A163,S275_21,30,FALSE)*VLOOKUP($A163,'3121% SY'!$C$3:$M$324,11,FALSE),3),0)+IFERROR(ROUND(VLOOKUP($A163,S275_21,31,FALSE)*VLOOKUP($A163,'3121% SY'!$C$3:$M$324,11,FALSE),3),0)+IFERROR(VLOOKUP($A163,S275_09,11,FALSE),0)</f>
        <v>0</v>
      </c>
      <c r="Y163" s="267">
        <f>IFERROR(VLOOKUP($A163,Supp_47,14,FALSE),0)+IFERROR(SUMPRODUCT(VLOOKUP($A163,S275_01,{32,33,34},FALSE)),0)+IFERROR(SUMPRODUCT(VLOOKUP($A163,S275_97,{32,33,34},FALSE)),0)+IFERROR(ROUND(VLOOKUP($A163,S275_21,32,FALSE)*VLOOKUP($A163,'3121% SY'!$C$3:$M$324,11,FALSE),3),0)+IFERROR(ROUND(VLOOKUP($A163,S275_21,33,FALSE)*VLOOKUP($A163,'3121% SY'!$C$3:$M$324,11,FALSE),3),0)+IFERROR(ROUND(VLOOKUP($A163,S275_21,34,FALSE)*VLOOKUP($A163,'3121% SY'!$C$3:$M$324,11,FALSE),3),0)+IFERROR(VLOOKUP($A163,S275_09,12,FALSE),0)</f>
        <v>0</v>
      </c>
      <c r="Z163" s="267">
        <f>IFERROR(VLOOKUP($A163,Supp_48,14,FALSE),0)+IFERROR(SUMPRODUCT(VLOOKUP($A163,S275_01,{35,36,37},FALSE)),0)+IFERROR(SUMPRODUCT(VLOOKUP($A163,S275_97,{35,36,37},FALSE)),0)+IFERROR(ROUND(VLOOKUP($A163,S275_21,35,FALSE)*VLOOKUP($A163,'3121% SY'!$C$3:$M$324,11,FALSE),3),0)+IFERROR(ROUND(VLOOKUP($A163,S275_21,36,FALSE)*VLOOKUP($A163,'3121% SY'!$C$3:$M$324,11,FALSE),3),0)+IFERROR(ROUND(VLOOKUP($A163,S275_21,37,FALSE)*VLOOKUP($A163,'3121% SY'!$C$3:$M$324,11,FALSE),3),0)+IFERROR(VLOOKUP($A163,S275_09,13,FALSE),0)</f>
        <v>0</v>
      </c>
      <c r="AA163" s="267">
        <f>IFERROR(VLOOKUP($A163,Supp_49,14,FALSE),0)+IFERROR(SUMPRODUCT(VLOOKUP($A163,S275_01,{38,39,40},FALSE)),0)+IFERROR(SUMPRODUCT(VLOOKUP($A163,S275_97,{38,39,40},FALSE)),0)+IFERROR(ROUND(VLOOKUP($A163,S275_21,38,FALSE)*VLOOKUP($A163,'3121% SY'!$C$3:$M$324,11,FALSE),3),0)+IFERROR(ROUND(VLOOKUP($A163,S275_21,39,FALSE)*VLOOKUP($A163,'3121% SY'!$C$3:$M$324,11,FALSE),3),0)+IFERROR(ROUND(VLOOKUP($A163,S275_21,40,FALSE)*VLOOKUP($A163,'3121% SY'!$C$3:$M$324,11,FALSE),3),0)+IFERROR(VLOOKUP($A163,S275_09,14,FALSE),0)</f>
        <v>0</v>
      </c>
      <c r="AB163" s="267">
        <f>IFERROR(VLOOKUP($A163,Supp_64,14,FALSE),0)+IFERROR(SUMPRODUCT(VLOOKUP($A163,S275_01,{41,42,43},FALSE)),0)+IFERROR(SUMPRODUCT(VLOOKUP($A163,S275_97,{41,42,43},FALSE)),0)+IFERROR(ROUND(VLOOKUP($A163,S275_21,41,FALSE)*VLOOKUP($A163,'3121% SY'!$C$3:$M$324,11,FALSE),3),0)+IFERROR(ROUND(VLOOKUP($A163,S275_21,42,FALSE)*VLOOKUP($A163,'3121% SY'!$C$3:$M$324,11,FALSE),3),0)+IFERROR(ROUND(VLOOKUP($A163,S275_21,43,FALSE)*VLOOKUP($A163,'3121% SY'!$C$3:$M$324,11,FALSE),3),0)+IFERROR(VLOOKUP($A163,S275_09,15,FALSE),0)</f>
        <v>0</v>
      </c>
      <c r="AC163" s="268">
        <f t="shared" si="37"/>
        <v>0</v>
      </c>
      <c r="AD163" s="267">
        <f>IFERROR(VLOOKUP($A163,Supp_24,14,FALSE),0)+IFERROR(SUMPRODUCT(VLOOKUP($A163,S275_01,{2,3,4},FALSE)),0)+IFERROR(SUMPRODUCT(VLOOKUP($A163,S275_97,{2,3,4},FALSE)),0)+IFERROR(ROUND(VLOOKUP($A163,S275_21,2,FALSE)*VLOOKUP($A163,'3121% SY'!$C$3:$M$324,11,FALSE),3),0)+IFERROR(ROUND(VLOOKUP($A163,S275_21,3,FALSE)*VLOOKUP($A163,'3121% SY'!$C$3:$M$324,11,FALSE),3),0)+IFERROR(ROUND(VLOOKUP($A163,S275_21,4,FALSE)*VLOOKUP($A163,'3121% SY'!$C$3:$M$324,11,FALSE),3),0)+IFERROR(VLOOKUP($A163,S275_09,2,FALSE),0)</f>
        <v>0</v>
      </c>
      <c r="AE163" s="267">
        <f>IFERROR(VLOOKUP($A163,Supp_25,14,FALSE),0)+IFERROR(SUMPRODUCT(VLOOKUP($A163,S275_01,{5,6,7},FALSE)),0)+IFERROR(SUMPRODUCT(VLOOKUP($A163,S275_97,{5,6,7},FALSE)),0)+IFERROR(ROUND(VLOOKUP($A163,S275_21,5,FALSE)*VLOOKUP($A163,'3121% SY'!$C$3:$M$324,11,FALSE),3),0)+IFERROR(ROUND(VLOOKUP($A163,S275_21,6,FALSE)*VLOOKUP($A163,'3121% SY'!$C$3:$M$324,11,FALSE),3),0)+IFERROR(ROUND(VLOOKUP($A163,S275_21,7,FALSE)*VLOOKUP($A163,'3121% SY'!$C$3:$M$324,11,FALSE),3),0)+IFERROR(VLOOKUP($A163,S275_09,3,FALSE),0)</f>
        <v>0.13300000000000001</v>
      </c>
      <c r="AF163" s="267">
        <f>IFERROR(VLOOKUP($A163,Supp_26,14,FALSE),0)+IFERROR(SUMPRODUCT(VLOOKUP($A163,S275_01,{8,9,10},FALSE)),0)+IFERROR(SUMPRODUCT(VLOOKUP($A163,S275_97,{8,9,10},FALSE)),0)+IFERROR(ROUND(VLOOKUP($A163,S275_21,8,FALSE)*VLOOKUP($A163,'3121% SY'!$C$3:$M$324,11,FALSE),3),0)+IFERROR(ROUND(VLOOKUP($A163,S275_21,9,FALSE)*VLOOKUP($A163,'3121% SY'!$C$3:$M$324,11,FALSE),3),0)+IFERROR(ROUND(VLOOKUP($A163,S275_21,10,FALSE)*VLOOKUP($A163,'3121% SY'!$C$3:$M$324,11,FALSE),3),0)+IFERROR(VLOOKUP($A163,S275_09,4,FALSE),0)</f>
        <v>0.503</v>
      </c>
      <c r="AG163" s="267">
        <f>IFERROR(VLOOKUP($A163,Supp_35,14,FALSE),0)+IFERROR(SUMPRODUCT(VLOOKUP($A163,S275_01,{11,12,13},FALSE)),0)+IFERROR(SUMPRODUCT(VLOOKUP($A163,S275_97,{11,12,13},FALSE)),0)+IFERROR(ROUND(VLOOKUP($A163,S275_21,11,FALSE)*VLOOKUP($A163,'3121% SY'!$C$3:$M$324,11,FALSE),3),0)+IFERROR(ROUND(VLOOKUP($A163,S275_21,12,FALSE)*VLOOKUP($A163,'3121% SY'!$C$3:$M$324,11,FALSE),3),0)+IFERROR(ROUND(VLOOKUP($A163,S275_21,13,FALSE)*VLOOKUP($A163,'3121% SY'!$C$3:$M$324,11,FALSE),3),0)+IFERROR(VLOOKUP($A163,S275_09,5,FALSE),0)</f>
        <v>0</v>
      </c>
      <c r="AH163" s="165">
        <f t="shared" si="38"/>
        <v>0.63600000000000001</v>
      </c>
      <c r="AI163" s="161">
        <f>IFERROR(VLOOKUP(A163,'Supp Staff Data'!A:ER,148,FALSE),0)+AB163</f>
        <v>0</v>
      </c>
      <c r="AJ163" s="174">
        <v>0</v>
      </c>
      <c r="AK163" s="25">
        <f>VLOOKUP(A163,'Enroll Data as of January 2025'!$A$3:$T$323,20,FALSE)-F163</f>
        <v>0</v>
      </c>
    </row>
    <row r="164" spans="1:37" x14ac:dyDescent="0.25">
      <c r="A164" s="171" t="s">
        <v>258</v>
      </c>
      <c r="B164" t="s">
        <v>554</v>
      </c>
      <c r="C164" s="173" t="s">
        <v>1077</v>
      </c>
      <c r="D164" s="259">
        <f t="shared" si="30"/>
        <v>11.109999999999998</v>
      </c>
      <c r="E164" s="259">
        <f t="shared" si="31"/>
        <v>5.8510000000000009</v>
      </c>
      <c r="F164" s="262">
        <f t="shared" si="32"/>
        <v>-5.2590000000000003</v>
      </c>
      <c r="G164" s="161">
        <f>ROUND(IF(F164&lt;0,F164*'2024-25 PSES Compliance'!$G$13,0),3)</f>
        <v>-5.0490000000000004</v>
      </c>
      <c r="H164" s="161">
        <f>ROUND(IF(F164&lt;0,F164*'2024-25 PSES Compliance'!$G$14,0),3)</f>
        <v>-0.21</v>
      </c>
      <c r="I164" s="174">
        <f t="shared" si="33"/>
        <v>0</v>
      </c>
      <c r="J164" s="174">
        <f t="shared" si="34"/>
        <v>0</v>
      </c>
      <c r="K164" s="161">
        <f>VLOOKUP($A164,'Enroll Data as of January 2025'!$A$3:$M$322,6,FALSE)</f>
        <v>6.1669999999999998</v>
      </c>
      <c r="L164" s="161">
        <f>VLOOKUP($A164,'Enroll Data as of January 2025'!$A$3:$M$322,7,FALSE)</f>
        <v>1.0469999999999999</v>
      </c>
      <c r="M164" s="161">
        <f>VLOOKUP($A164,'Enroll Data as of January 2025'!$A$3:$M$322,8,FALSE)</f>
        <v>0.35</v>
      </c>
      <c r="N164" s="161">
        <f>VLOOKUP($A164,'Enroll Data as of January 2025'!$A$3:$M$322,9,FALSE)</f>
        <v>2.9169999999999998</v>
      </c>
      <c r="O164" s="165">
        <f t="shared" si="35"/>
        <v>10.480999999999998</v>
      </c>
      <c r="P164" s="161">
        <f>VLOOKUP($A164,'Enroll Data as of January 2025'!$A$3:$M$322,11,FALSE)</f>
        <v>0.39100000000000001</v>
      </c>
      <c r="Q164" s="161">
        <f>VLOOKUP($A164,'Enroll Data as of January 2025'!$A$3:$M$322,12,FALSE)</f>
        <v>0.23799999999999999</v>
      </c>
      <c r="R164" s="165">
        <f t="shared" si="36"/>
        <v>0.629</v>
      </c>
      <c r="S164" s="267">
        <f>IFERROR(VLOOKUP($A164,Supp_39,14,FALSE),0)+IFERROR(SUMPRODUCT(VLOOKUP($A164,S275_01,{14,15,16},FALSE)),0)+IFERROR(SUMPRODUCT(VLOOKUP($A164,S275_97,{14,15,16},FALSE)),0)+IFERROR(ROUND(VLOOKUP($A164,S275_21,14,FALSE)*VLOOKUP($A164,'3121% SY'!$C$3:$M$324,11,FALSE),3),0)+IFERROR(ROUND(VLOOKUP($A164,S275_21,15,FALSE)*VLOOKUP($A164,'3121% SY'!$C$3:$M$324,11,FALSE),3),0)+IFERROR(ROUND(VLOOKUP($A164,S275_21,16,FALSE)*VLOOKUP($A164,'3121% SY'!$C$3:$M$324,11,FALSE),3),0)+IFERROR(VLOOKUP($A164,S275_09,6,FALSE),0)</f>
        <v>4.3330000000000002</v>
      </c>
      <c r="T164" s="267">
        <f>IFERROR(VLOOKUP($A164,Supp_42,14,FALSE),0)+IFERROR(SUMPRODUCT(VLOOKUP($A164,S275_01,{17,18,19},FALSE)),0)+IFERROR(SUMPRODUCT(VLOOKUP($A164,S275_97,{17,18,19},FALSE)),0)+IFERROR(ROUND(VLOOKUP($A164,S275_21,17,FALSE)*VLOOKUP($A164,'3121% SY'!$C$3:$M$324,11,FALSE),3),0)+IFERROR(ROUND(VLOOKUP($A164,S275_21,18,FALSE)*VLOOKUP($A164,'3121% SY'!$C$3:$M$324,11,FALSE),3),0)+IFERROR(ROUND(VLOOKUP($A164,S275_21,19,FALSE)*VLOOKUP($A164,'3121% SY'!$C$3:$M$324,11,FALSE),3),0)+IFERROR(VLOOKUP($A164,S275_09,7,FALSE),0)</f>
        <v>0.66700000000000004</v>
      </c>
      <c r="U164" s="267">
        <f>IFERROR(VLOOKUP($A164,Supp_43,14,FALSE),0)+IFERROR(SUMPRODUCT(VLOOKUP($A164,S275_01,{20,21,22},FALSE)),0)+IFERROR(SUMPRODUCT(VLOOKUP($A164,S275_97,{20,21,22},FALSE)),0)+IFERROR(ROUND(VLOOKUP($A164,S275_21,20,FALSE)*VLOOKUP($A164,'3121% SY'!$C$3:$M$324,11,FALSE),3),0)+IFERROR(ROUND(VLOOKUP($A164,S275_21,21,FALSE)*VLOOKUP($A164,'3121% SY'!$C$3:$M$324,11,FALSE),3),0)+IFERROR(ROUND(VLOOKUP($A164,S275_21,22,FALSE)*VLOOKUP($A164,'3121% SY'!$C$3:$M$324,11,FALSE),3),0)+IFERROR(VLOOKUP($A164,S275_09,8,FALSE),0)</f>
        <v>0</v>
      </c>
      <c r="V164" s="267">
        <f>IFERROR(VLOOKUP($A164,Supp_44,14,FALSE),0)+IFERROR(SUMPRODUCT(VLOOKUP($A164,S275_01,{23,24,25},FALSE)),0)+IFERROR(SUMPRODUCT(VLOOKUP($A164,S275_97,{23,24,25},FALSE)),0)+IFERROR(ROUND(VLOOKUP($A164,S275_21,23,FALSE)*VLOOKUP($A164,'3121% SY'!$C$3:$M$324,11,FALSE),3),0)+IFERROR(ROUND(VLOOKUP($A164,S275_21,24,FALSE)*VLOOKUP($A164,'3121% SY'!$C$3:$M$324,11,FALSE),3),0)+IFERROR(ROUND(VLOOKUP($A164,S275_21,25,FALSE)*VLOOKUP($A164,'3121% SY'!$C$3:$M$324,11,FALSE),3),0)+IFERROR(VLOOKUP($A164,S275_09,9,FALSE),0)</f>
        <v>0</v>
      </c>
      <c r="W164" s="267">
        <f>IFERROR(VLOOKUP($A164,Supp_45,14,FALSE),0)+IFERROR(SUMPRODUCT(VLOOKUP($A164,S275_01,{26,27,28},FALSE)),0)+IFERROR(SUMPRODUCT(VLOOKUP($A164,S275_97,{26,27,28},FALSE)),0)+IFERROR(ROUND(VLOOKUP($A164,S275_21,26,FALSE)*VLOOKUP($A164,'3121% SY'!$C$3:$M$324,11,FALSE),3),0)+IFERROR(ROUND(VLOOKUP($A164,S275_21,27,FALSE)*VLOOKUP($A164,'3121% SY'!$C$3:$M$324,11,FALSE),3),0)+IFERROR(ROUND(VLOOKUP($A164,S275_21,28,FALSE)*VLOOKUP($A164,'3121% SY'!$C$3:$M$324,11,FALSE),3),0)+IFERROR(VLOOKUP($A164,S275_09,10,FALSE),0)</f>
        <v>0.29299999999999998</v>
      </c>
      <c r="X164" s="267">
        <f>IFERROR(VLOOKUP($A164,Supp_46,14,FALSE),0)+IFERROR(SUMPRODUCT(VLOOKUP($A164,S275_01,{29,30,31},FALSE)),0)+IFERROR(SUMPRODUCT(VLOOKUP($A164,S275_97,{29,30,31},FALSE)),0)+IFERROR(ROUND(VLOOKUP($A164,S275_21,29,FALSE)*VLOOKUP($A164,'3121% SY'!$C$3:$M$324,11,FALSE),3),0)+IFERROR(ROUND(VLOOKUP($A164,S275_21,30,FALSE)*VLOOKUP($A164,'3121% SY'!$C$3:$M$324,11,FALSE),3),0)+IFERROR(ROUND(VLOOKUP($A164,S275_21,31,FALSE)*VLOOKUP($A164,'3121% SY'!$C$3:$M$324,11,FALSE),3),0)+IFERROR(VLOOKUP($A164,S275_09,11,FALSE),0)</f>
        <v>0.35199999999999998</v>
      </c>
      <c r="Y164" s="267">
        <f>IFERROR(VLOOKUP($A164,Supp_47,14,FALSE),0)+IFERROR(SUMPRODUCT(VLOOKUP($A164,S275_01,{32,33,34},FALSE)),0)+IFERROR(SUMPRODUCT(VLOOKUP($A164,S275_97,{32,33,34},FALSE)),0)+IFERROR(ROUND(VLOOKUP($A164,S275_21,32,FALSE)*VLOOKUP($A164,'3121% SY'!$C$3:$M$324,11,FALSE),3),0)+IFERROR(ROUND(VLOOKUP($A164,S275_21,33,FALSE)*VLOOKUP($A164,'3121% SY'!$C$3:$M$324,11,FALSE),3),0)+IFERROR(ROUND(VLOOKUP($A164,S275_21,34,FALSE)*VLOOKUP($A164,'3121% SY'!$C$3:$M$324,11,FALSE),3),0)+IFERROR(VLOOKUP($A164,S275_09,12,FALSE),0)</f>
        <v>0</v>
      </c>
      <c r="Z164" s="267">
        <f>IFERROR(VLOOKUP($A164,Supp_48,14,FALSE),0)+IFERROR(SUMPRODUCT(VLOOKUP($A164,S275_01,{35,36,37},FALSE)),0)+IFERROR(SUMPRODUCT(VLOOKUP($A164,S275_97,{35,36,37},FALSE)),0)+IFERROR(ROUND(VLOOKUP($A164,S275_21,35,FALSE)*VLOOKUP($A164,'3121% SY'!$C$3:$M$324,11,FALSE),3),0)+IFERROR(ROUND(VLOOKUP($A164,S275_21,36,FALSE)*VLOOKUP($A164,'3121% SY'!$C$3:$M$324,11,FALSE),3),0)+IFERROR(ROUND(VLOOKUP($A164,S275_21,37,FALSE)*VLOOKUP($A164,'3121% SY'!$C$3:$M$324,11,FALSE),3),0)+IFERROR(VLOOKUP($A164,S275_09,13,FALSE),0)</f>
        <v>0</v>
      </c>
      <c r="AA164" s="267">
        <f>IFERROR(VLOOKUP($A164,Supp_49,14,FALSE),0)+IFERROR(SUMPRODUCT(VLOOKUP($A164,S275_01,{38,39,40},FALSE)),0)+IFERROR(SUMPRODUCT(VLOOKUP($A164,S275_97,{38,39,40},FALSE)),0)+IFERROR(ROUND(VLOOKUP($A164,S275_21,38,FALSE)*VLOOKUP($A164,'3121% SY'!$C$3:$M$324,11,FALSE),3),0)+IFERROR(ROUND(VLOOKUP($A164,S275_21,39,FALSE)*VLOOKUP($A164,'3121% SY'!$C$3:$M$324,11,FALSE),3),0)+IFERROR(ROUND(VLOOKUP($A164,S275_21,40,FALSE)*VLOOKUP($A164,'3121% SY'!$C$3:$M$324,11,FALSE),3),0)+IFERROR(VLOOKUP($A164,S275_09,14,FALSE),0)</f>
        <v>0</v>
      </c>
      <c r="AB164" s="267">
        <f>IFERROR(VLOOKUP($A164,Supp_64,14,FALSE),0)+IFERROR(SUMPRODUCT(VLOOKUP($A164,S275_01,{41,42,43},FALSE)),0)+IFERROR(SUMPRODUCT(VLOOKUP($A164,S275_97,{41,42,43},FALSE)),0)+IFERROR(ROUND(VLOOKUP($A164,S275_21,41,FALSE)*VLOOKUP($A164,'3121% SY'!$C$3:$M$324,11,FALSE),3),0)+IFERROR(ROUND(VLOOKUP($A164,S275_21,42,FALSE)*VLOOKUP($A164,'3121% SY'!$C$3:$M$324,11,FALSE),3),0)+IFERROR(ROUND(VLOOKUP($A164,S275_21,43,FALSE)*VLOOKUP($A164,'3121% SY'!$C$3:$M$324,11,FALSE),3),0)+IFERROR(VLOOKUP($A164,S275_09,15,FALSE),0)</f>
        <v>0</v>
      </c>
      <c r="AC164" s="268">
        <f t="shared" si="37"/>
        <v>5.6450000000000005</v>
      </c>
      <c r="AD164" s="267">
        <f>IFERROR(VLOOKUP($A164,Supp_24,14,FALSE),0)+IFERROR(SUMPRODUCT(VLOOKUP($A164,S275_01,{2,3,4},FALSE)),0)+IFERROR(SUMPRODUCT(VLOOKUP($A164,S275_97,{2,3,4},FALSE)),0)+IFERROR(ROUND(VLOOKUP($A164,S275_21,2,FALSE)*VLOOKUP($A164,'3121% SY'!$C$3:$M$324,11,FALSE),3),0)+IFERROR(ROUND(VLOOKUP($A164,S275_21,3,FALSE)*VLOOKUP($A164,'3121% SY'!$C$3:$M$324,11,FALSE),3),0)+IFERROR(ROUND(VLOOKUP($A164,S275_21,4,FALSE)*VLOOKUP($A164,'3121% SY'!$C$3:$M$324,11,FALSE),3),0)+IFERROR(VLOOKUP($A164,S275_09,2,FALSE),0)</f>
        <v>0</v>
      </c>
      <c r="AE164" s="267">
        <f>IFERROR(VLOOKUP($A164,Supp_25,14,FALSE),0)+IFERROR(SUMPRODUCT(VLOOKUP($A164,S275_01,{5,6,7},FALSE)),0)+IFERROR(SUMPRODUCT(VLOOKUP($A164,S275_97,{5,6,7},FALSE)),0)+IFERROR(ROUND(VLOOKUP($A164,S275_21,5,FALSE)*VLOOKUP($A164,'3121% SY'!$C$3:$M$324,11,FALSE),3),0)+IFERROR(ROUND(VLOOKUP($A164,S275_21,6,FALSE)*VLOOKUP($A164,'3121% SY'!$C$3:$M$324,11,FALSE),3),0)+IFERROR(ROUND(VLOOKUP($A164,S275_21,7,FALSE)*VLOOKUP($A164,'3121% SY'!$C$3:$M$324,11,FALSE),3),0)+IFERROR(VLOOKUP($A164,S275_09,3,FALSE),0)</f>
        <v>0</v>
      </c>
      <c r="AF164" s="267">
        <f>IFERROR(VLOOKUP($A164,Supp_26,14,FALSE),0)+IFERROR(SUMPRODUCT(VLOOKUP($A164,S275_01,{8,9,10},FALSE)),0)+IFERROR(SUMPRODUCT(VLOOKUP($A164,S275_97,{8,9,10},FALSE)),0)+IFERROR(ROUND(VLOOKUP($A164,S275_21,8,FALSE)*VLOOKUP($A164,'3121% SY'!$C$3:$M$324,11,FALSE),3),0)+IFERROR(ROUND(VLOOKUP($A164,S275_21,9,FALSE)*VLOOKUP($A164,'3121% SY'!$C$3:$M$324,11,FALSE),3),0)+IFERROR(ROUND(VLOOKUP($A164,S275_21,10,FALSE)*VLOOKUP($A164,'3121% SY'!$C$3:$M$324,11,FALSE),3),0)+IFERROR(VLOOKUP($A164,S275_09,4,FALSE),0)</f>
        <v>0.20599999999999999</v>
      </c>
      <c r="AG164" s="267">
        <f>IFERROR(VLOOKUP($A164,Supp_35,14,FALSE),0)+IFERROR(SUMPRODUCT(VLOOKUP($A164,S275_01,{11,12,13},FALSE)),0)+IFERROR(SUMPRODUCT(VLOOKUP($A164,S275_97,{11,12,13},FALSE)),0)+IFERROR(ROUND(VLOOKUP($A164,S275_21,11,FALSE)*VLOOKUP($A164,'3121% SY'!$C$3:$M$324,11,FALSE),3),0)+IFERROR(ROUND(VLOOKUP($A164,S275_21,12,FALSE)*VLOOKUP($A164,'3121% SY'!$C$3:$M$324,11,FALSE),3),0)+IFERROR(ROUND(VLOOKUP($A164,S275_21,13,FALSE)*VLOOKUP($A164,'3121% SY'!$C$3:$M$324,11,FALSE),3),0)+IFERROR(VLOOKUP($A164,S275_09,5,FALSE),0)</f>
        <v>0</v>
      </c>
      <c r="AH164" s="165">
        <f t="shared" si="38"/>
        <v>0.20599999999999999</v>
      </c>
      <c r="AI164" s="161">
        <f>IFERROR(VLOOKUP(A164,'Supp Staff Data'!A:ER,148,FALSE),0)+AB164</f>
        <v>0</v>
      </c>
      <c r="AJ164" s="174">
        <v>0</v>
      </c>
      <c r="AK164" s="25">
        <f>VLOOKUP(A164,'Enroll Data as of January 2025'!$A$3:$T$323,20,FALSE)-F164</f>
        <v>0</v>
      </c>
    </row>
    <row r="165" spans="1:37" x14ac:dyDescent="0.25">
      <c r="A165" s="171" t="s">
        <v>153</v>
      </c>
      <c r="B165" t="s">
        <v>449</v>
      </c>
      <c r="C165" s="173" t="s">
        <v>1086</v>
      </c>
      <c r="D165" s="259">
        <f t="shared" si="30"/>
        <v>0.57900000000000007</v>
      </c>
      <c r="E165" s="259">
        <f t="shared" si="31"/>
        <v>0.77100000000000002</v>
      </c>
      <c r="F165" s="262">
        <f t="shared" si="32"/>
        <v>0.192</v>
      </c>
      <c r="G165" s="161">
        <f>ROUND(IF(F165&lt;0,F165*'2024-25 PSES Compliance'!$G$13,0),3)</f>
        <v>0</v>
      </c>
      <c r="H165" s="161">
        <f>ROUND(IF(F165&lt;0,F165*'2024-25 PSES Compliance'!$G$14,0),3)</f>
        <v>0</v>
      </c>
      <c r="I165" s="174">
        <f t="shared" si="33"/>
        <v>0.54218015564202326</v>
      </c>
      <c r="J165" s="174">
        <f t="shared" si="34"/>
        <v>0</v>
      </c>
      <c r="K165" s="161">
        <f>VLOOKUP($A165,'Enroll Data as of January 2025'!$A$3:$M$322,6,FALSE)</f>
        <v>0.317</v>
      </c>
      <c r="L165" s="161">
        <f>VLOOKUP($A165,'Enroll Data as of January 2025'!$A$3:$M$322,7,FALSE)</f>
        <v>5.7000000000000009E-2</v>
      </c>
      <c r="M165" s="161">
        <f>VLOOKUP($A165,'Enroll Data as of January 2025'!$A$3:$M$322,8,FALSE)</f>
        <v>2.0000000000000004E-2</v>
      </c>
      <c r="N165" s="161">
        <f>VLOOKUP($A165,'Enroll Data as of January 2025'!$A$3:$M$322,9,FALSE)</f>
        <v>0.152</v>
      </c>
      <c r="O165" s="165">
        <f t="shared" si="35"/>
        <v>0.54600000000000004</v>
      </c>
      <c r="P165" s="161">
        <f>VLOOKUP($A165,'Enroll Data as of January 2025'!$A$3:$M$322,11,FALSE)</f>
        <v>0.02</v>
      </c>
      <c r="Q165" s="161">
        <f>VLOOKUP($A165,'Enroll Data as of January 2025'!$A$3:$M$322,12,FALSE)</f>
        <v>1.2999999999999999E-2</v>
      </c>
      <c r="R165" s="165">
        <f t="shared" si="36"/>
        <v>3.3000000000000002E-2</v>
      </c>
      <c r="S165" s="267">
        <f>IFERROR(VLOOKUP($A165,Supp_39,14,FALSE),0)+IFERROR(SUMPRODUCT(VLOOKUP($A165,S275_01,{14,15,16},FALSE)),0)+IFERROR(SUMPRODUCT(VLOOKUP($A165,S275_97,{14,15,16},FALSE)),0)+IFERROR(ROUND(VLOOKUP($A165,S275_21,14,FALSE)*VLOOKUP($A165,'3121% SY'!$C$3:$M$324,11,FALSE),3),0)+IFERROR(ROUND(VLOOKUP($A165,S275_21,15,FALSE)*VLOOKUP($A165,'3121% SY'!$C$3:$M$324,11,FALSE),3),0)+IFERROR(ROUND(VLOOKUP($A165,S275_21,16,FALSE)*VLOOKUP($A165,'3121% SY'!$C$3:$M$324,11,FALSE),3),0)+IFERROR(VLOOKUP($A165,S275_09,6,FALSE),0)</f>
        <v>0.48299999999999998</v>
      </c>
      <c r="T165" s="267">
        <f>IFERROR(VLOOKUP($A165,Supp_42,14,FALSE),0)+IFERROR(SUMPRODUCT(VLOOKUP($A165,S275_01,{17,18,19},FALSE)),0)+IFERROR(SUMPRODUCT(VLOOKUP($A165,S275_97,{17,18,19},FALSE)),0)+IFERROR(ROUND(VLOOKUP($A165,S275_21,17,FALSE)*VLOOKUP($A165,'3121% SY'!$C$3:$M$324,11,FALSE),3),0)+IFERROR(ROUND(VLOOKUP($A165,S275_21,18,FALSE)*VLOOKUP($A165,'3121% SY'!$C$3:$M$324,11,FALSE),3),0)+IFERROR(ROUND(VLOOKUP($A165,S275_21,19,FALSE)*VLOOKUP($A165,'3121% SY'!$C$3:$M$324,11,FALSE),3),0)+IFERROR(VLOOKUP($A165,S275_09,7,FALSE),0)</f>
        <v>0.14399999999999999</v>
      </c>
      <c r="U165" s="267">
        <f>IFERROR(VLOOKUP($A165,Supp_43,14,FALSE),0)+IFERROR(SUMPRODUCT(VLOOKUP($A165,S275_01,{20,21,22},FALSE)),0)+IFERROR(SUMPRODUCT(VLOOKUP($A165,S275_97,{20,21,22},FALSE)),0)+IFERROR(ROUND(VLOOKUP($A165,S275_21,20,FALSE)*VLOOKUP($A165,'3121% SY'!$C$3:$M$324,11,FALSE),3),0)+IFERROR(ROUND(VLOOKUP($A165,S275_21,21,FALSE)*VLOOKUP($A165,'3121% SY'!$C$3:$M$324,11,FALSE),3),0)+IFERROR(ROUND(VLOOKUP($A165,S275_21,22,FALSE)*VLOOKUP($A165,'3121% SY'!$C$3:$M$324,11,FALSE),3),0)+IFERROR(VLOOKUP($A165,S275_09,8,FALSE),0)</f>
        <v>0</v>
      </c>
      <c r="V165" s="267">
        <f>IFERROR(VLOOKUP($A165,Supp_44,14,FALSE),0)+IFERROR(SUMPRODUCT(VLOOKUP($A165,S275_01,{23,24,25},FALSE)),0)+IFERROR(SUMPRODUCT(VLOOKUP($A165,S275_97,{23,24,25},FALSE)),0)+IFERROR(ROUND(VLOOKUP($A165,S275_21,23,FALSE)*VLOOKUP($A165,'3121% SY'!$C$3:$M$324,11,FALSE),3),0)+IFERROR(ROUND(VLOOKUP($A165,S275_21,24,FALSE)*VLOOKUP($A165,'3121% SY'!$C$3:$M$324,11,FALSE),3),0)+IFERROR(ROUND(VLOOKUP($A165,S275_21,25,FALSE)*VLOOKUP($A165,'3121% SY'!$C$3:$M$324,11,FALSE),3),0)+IFERROR(VLOOKUP($A165,S275_09,9,FALSE),0)</f>
        <v>0</v>
      </c>
      <c r="W165" s="267">
        <f>IFERROR(VLOOKUP($A165,Supp_45,14,FALSE),0)+IFERROR(SUMPRODUCT(VLOOKUP($A165,S275_01,{26,27,28},FALSE)),0)+IFERROR(SUMPRODUCT(VLOOKUP($A165,S275_97,{26,27,28},FALSE)),0)+IFERROR(ROUND(VLOOKUP($A165,S275_21,26,FALSE)*VLOOKUP($A165,'3121% SY'!$C$3:$M$324,11,FALSE),3),0)+IFERROR(ROUND(VLOOKUP($A165,S275_21,27,FALSE)*VLOOKUP($A165,'3121% SY'!$C$3:$M$324,11,FALSE),3),0)+IFERROR(ROUND(VLOOKUP($A165,S275_21,28,FALSE)*VLOOKUP($A165,'3121% SY'!$C$3:$M$324,11,FALSE),3),0)+IFERROR(VLOOKUP($A165,S275_09,10,FALSE),0)</f>
        <v>0</v>
      </c>
      <c r="X165" s="267">
        <f>IFERROR(VLOOKUP($A165,Supp_46,14,FALSE),0)+IFERROR(SUMPRODUCT(VLOOKUP($A165,S275_01,{29,30,31},FALSE)),0)+IFERROR(SUMPRODUCT(VLOOKUP($A165,S275_97,{29,30,31},FALSE)),0)+IFERROR(ROUND(VLOOKUP($A165,S275_21,29,FALSE)*VLOOKUP($A165,'3121% SY'!$C$3:$M$324,11,FALSE),3),0)+IFERROR(ROUND(VLOOKUP($A165,S275_21,30,FALSE)*VLOOKUP($A165,'3121% SY'!$C$3:$M$324,11,FALSE),3),0)+IFERROR(ROUND(VLOOKUP($A165,S275_21,31,FALSE)*VLOOKUP($A165,'3121% SY'!$C$3:$M$324,11,FALSE),3),0)+IFERROR(VLOOKUP($A165,S275_09,11,FALSE),0)</f>
        <v>0</v>
      </c>
      <c r="Y165" s="267">
        <f>IFERROR(VLOOKUP($A165,Supp_47,14,FALSE),0)+IFERROR(SUMPRODUCT(VLOOKUP($A165,S275_01,{32,33,34},FALSE)),0)+IFERROR(SUMPRODUCT(VLOOKUP($A165,S275_97,{32,33,34},FALSE)),0)+IFERROR(ROUND(VLOOKUP($A165,S275_21,32,FALSE)*VLOOKUP($A165,'3121% SY'!$C$3:$M$324,11,FALSE),3),0)+IFERROR(ROUND(VLOOKUP($A165,S275_21,33,FALSE)*VLOOKUP($A165,'3121% SY'!$C$3:$M$324,11,FALSE),3),0)+IFERROR(ROUND(VLOOKUP($A165,S275_21,34,FALSE)*VLOOKUP($A165,'3121% SY'!$C$3:$M$324,11,FALSE),3),0)+IFERROR(VLOOKUP($A165,S275_09,12,FALSE),0)</f>
        <v>0</v>
      </c>
      <c r="Z165" s="267">
        <f>IFERROR(VLOOKUP($A165,Supp_48,14,FALSE),0)+IFERROR(SUMPRODUCT(VLOOKUP($A165,S275_01,{35,36,37},FALSE)),0)+IFERROR(SUMPRODUCT(VLOOKUP($A165,S275_97,{35,36,37},FALSE)),0)+IFERROR(ROUND(VLOOKUP($A165,S275_21,35,FALSE)*VLOOKUP($A165,'3121% SY'!$C$3:$M$324,11,FALSE),3),0)+IFERROR(ROUND(VLOOKUP($A165,S275_21,36,FALSE)*VLOOKUP($A165,'3121% SY'!$C$3:$M$324,11,FALSE),3),0)+IFERROR(ROUND(VLOOKUP($A165,S275_21,37,FALSE)*VLOOKUP($A165,'3121% SY'!$C$3:$M$324,11,FALSE),3),0)+IFERROR(VLOOKUP($A165,S275_09,13,FALSE),0)</f>
        <v>0</v>
      </c>
      <c r="AA165" s="267">
        <f>IFERROR(VLOOKUP($A165,Supp_49,14,FALSE),0)+IFERROR(SUMPRODUCT(VLOOKUP($A165,S275_01,{38,39,40},FALSE)),0)+IFERROR(SUMPRODUCT(VLOOKUP($A165,S275_97,{38,39,40},FALSE)),0)+IFERROR(ROUND(VLOOKUP($A165,S275_21,38,FALSE)*VLOOKUP($A165,'3121% SY'!$C$3:$M$324,11,FALSE),3),0)+IFERROR(ROUND(VLOOKUP($A165,S275_21,39,FALSE)*VLOOKUP($A165,'3121% SY'!$C$3:$M$324,11,FALSE),3),0)+IFERROR(ROUND(VLOOKUP($A165,S275_21,40,FALSE)*VLOOKUP($A165,'3121% SY'!$C$3:$M$324,11,FALSE),3),0)+IFERROR(VLOOKUP($A165,S275_09,14,FALSE),0)</f>
        <v>0</v>
      </c>
      <c r="AB165" s="267">
        <f>IFERROR(VLOOKUP($A165,Supp_64,14,FALSE),0)+IFERROR(SUMPRODUCT(VLOOKUP($A165,S275_01,{41,42,43},FALSE)),0)+IFERROR(SUMPRODUCT(VLOOKUP($A165,S275_97,{41,42,43},FALSE)),0)+IFERROR(ROUND(VLOOKUP($A165,S275_21,41,FALSE)*VLOOKUP($A165,'3121% SY'!$C$3:$M$324,11,FALSE),3),0)+IFERROR(ROUND(VLOOKUP($A165,S275_21,42,FALSE)*VLOOKUP($A165,'3121% SY'!$C$3:$M$324,11,FALSE),3),0)+IFERROR(ROUND(VLOOKUP($A165,S275_21,43,FALSE)*VLOOKUP($A165,'3121% SY'!$C$3:$M$324,11,FALSE),3),0)+IFERROR(VLOOKUP($A165,S275_09,15,FALSE),0)</f>
        <v>0</v>
      </c>
      <c r="AC165" s="268">
        <f t="shared" si="37"/>
        <v>0.627</v>
      </c>
      <c r="AD165" s="267">
        <f>IFERROR(VLOOKUP($A165,Supp_24,14,FALSE),0)+IFERROR(SUMPRODUCT(VLOOKUP($A165,S275_01,{2,3,4},FALSE)),0)+IFERROR(SUMPRODUCT(VLOOKUP($A165,S275_97,{2,3,4},FALSE)),0)+IFERROR(ROUND(VLOOKUP($A165,S275_21,2,FALSE)*VLOOKUP($A165,'3121% SY'!$C$3:$M$324,11,FALSE),3),0)+IFERROR(ROUND(VLOOKUP($A165,S275_21,3,FALSE)*VLOOKUP($A165,'3121% SY'!$C$3:$M$324,11,FALSE),3),0)+IFERROR(ROUND(VLOOKUP($A165,S275_21,4,FALSE)*VLOOKUP($A165,'3121% SY'!$C$3:$M$324,11,FALSE),3),0)+IFERROR(VLOOKUP($A165,S275_09,2,FALSE),0)</f>
        <v>0</v>
      </c>
      <c r="AE165" s="267">
        <f>IFERROR(VLOOKUP($A165,Supp_25,14,FALSE),0)+IFERROR(SUMPRODUCT(VLOOKUP($A165,S275_01,{5,6,7},FALSE)),0)+IFERROR(SUMPRODUCT(VLOOKUP($A165,S275_97,{5,6,7},FALSE)),0)+IFERROR(ROUND(VLOOKUP($A165,S275_21,5,FALSE)*VLOOKUP($A165,'3121% SY'!$C$3:$M$324,11,FALSE),3),0)+IFERROR(ROUND(VLOOKUP($A165,S275_21,6,FALSE)*VLOOKUP($A165,'3121% SY'!$C$3:$M$324,11,FALSE),3),0)+IFERROR(ROUND(VLOOKUP($A165,S275_21,7,FALSE)*VLOOKUP($A165,'3121% SY'!$C$3:$M$324,11,FALSE),3),0)+IFERROR(VLOOKUP($A165,S275_09,3,FALSE),0)</f>
        <v>0.14399999999999999</v>
      </c>
      <c r="AF165" s="267">
        <f>IFERROR(VLOOKUP($A165,Supp_26,14,FALSE),0)+IFERROR(SUMPRODUCT(VLOOKUP($A165,S275_01,{8,9,10},FALSE)),0)+IFERROR(SUMPRODUCT(VLOOKUP($A165,S275_97,{8,9,10},FALSE)),0)+IFERROR(ROUND(VLOOKUP($A165,S275_21,8,FALSE)*VLOOKUP($A165,'3121% SY'!$C$3:$M$324,11,FALSE),3),0)+IFERROR(ROUND(VLOOKUP($A165,S275_21,9,FALSE)*VLOOKUP($A165,'3121% SY'!$C$3:$M$324,11,FALSE),3),0)+IFERROR(ROUND(VLOOKUP($A165,S275_21,10,FALSE)*VLOOKUP($A165,'3121% SY'!$C$3:$M$324,11,FALSE),3),0)+IFERROR(VLOOKUP($A165,S275_09,4,FALSE),0)</f>
        <v>0</v>
      </c>
      <c r="AG165" s="267">
        <f>IFERROR(VLOOKUP($A165,Supp_35,14,FALSE),0)+IFERROR(SUMPRODUCT(VLOOKUP($A165,S275_01,{11,12,13},FALSE)),0)+IFERROR(SUMPRODUCT(VLOOKUP($A165,S275_97,{11,12,13},FALSE)),0)+IFERROR(ROUND(VLOOKUP($A165,S275_21,11,FALSE)*VLOOKUP($A165,'3121% SY'!$C$3:$M$324,11,FALSE),3),0)+IFERROR(ROUND(VLOOKUP($A165,S275_21,12,FALSE)*VLOOKUP($A165,'3121% SY'!$C$3:$M$324,11,FALSE),3),0)+IFERROR(ROUND(VLOOKUP($A165,S275_21,13,FALSE)*VLOOKUP($A165,'3121% SY'!$C$3:$M$324,11,FALSE),3),0)+IFERROR(VLOOKUP($A165,S275_09,5,FALSE),0)</f>
        <v>0</v>
      </c>
      <c r="AH165" s="165">
        <f t="shared" si="38"/>
        <v>0.14399999999999999</v>
      </c>
      <c r="AI165" s="161">
        <f>IFERROR(VLOOKUP(A165,'Supp Staff Data'!A:ER,148,FALSE),0)+AB165</f>
        <v>0</v>
      </c>
      <c r="AJ165" s="174">
        <v>0.66669999999999996</v>
      </c>
      <c r="AK165" s="25">
        <f>VLOOKUP(A165,'Enroll Data as of January 2025'!$A$3:$T$323,20,FALSE)-F165</f>
        <v>0</v>
      </c>
    </row>
    <row r="166" spans="1:37" x14ac:dyDescent="0.25">
      <c r="A166" s="171" t="s">
        <v>223</v>
      </c>
      <c r="B166" t="s">
        <v>518</v>
      </c>
      <c r="C166" s="173" t="s">
        <v>1077</v>
      </c>
      <c r="D166" s="259">
        <f t="shared" si="30"/>
        <v>10.751999999999999</v>
      </c>
      <c r="E166" s="259">
        <f t="shared" si="31"/>
        <v>8.3770000000000007</v>
      </c>
      <c r="F166" s="262">
        <f t="shared" ref="F166:F196" si="39">ROUND((AC166+AH166)-(O166+R166),3)</f>
        <v>-2.375</v>
      </c>
      <c r="G166" s="161">
        <f>ROUND(IF(F166&lt;0,F166*'2024-25 PSES Compliance'!$G$13,0),3)</f>
        <v>-2.2799999999999998</v>
      </c>
      <c r="H166" s="161">
        <f>ROUND(IF(F166&lt;0,F166*'2024-25 PSES Compliance'!$G$14,0),3)</f>
        <v>-9.5000000000000001E-2</v>
      </c>
      <c r="I166" s="174">
        <f t="shared" si="33"/>
        <v>0.64555263220723413</v>
      </c>
      <c r="J166" s="174">
        <f t="shared" si="34"/>
        <v>0</v>
      </c>
      <c r="K166" s="161">
        <f>VLOOKUP($A166,'Enroll Data as of January 2025'!$A$3:$M$322,6,FALSE)</f>
        <v>5.8660000000000005</v>
      </c>
      <c r="L166" s="161">
        <f>VLOOKUP($A166,'Enroll Data as of January 2025'!$A$3:$M$322,7,FALSE)</f>
        <v>1.069</v>
      </c>
      <c r="M166" s="161">
        <f>VLOOKUP($A166,'Enroll Data as of January 2025'!$A$3:$M$322,8,FALSE)</f>
        <v>0.35800000000000004</v>
      </c>
      <c r="N166" s="161">
        <f>VLOOKUP($A166,'Enroll Data as of January 2025'!$A$3:$M$322,9,FALSE)</f>
        <v>2.8299999999999996</v>
      </c>
      <c r="O166" s="165">
        <f t="shared" si="35"/>
        <v>10.122999999999999</v>
      </c>
      <c r="P166" s="161">
        <f>VLOOKUP($A166,'Enroll Data as of January 2025'!$A$3:$M$322,11,FALSE)</f>
        <v>0.38</v>
      </c>
      <c r="Q166" s="161">
        <f>VLOOKUP($A166,'Enroll Data as of January 2025'!$A$3:$M$322,12,FALSE)</f>
        <v>0.249</v>
      </c>
      <c r="R166" s="165">
        <f t="shared" si="36"/>
        <v>0.629</v>
      </c>
      <c r="S166" s="267">
        <f>IFERROR(VLOOKUP($A166,Supp_39,14,FALSE),0)+IFERROR(SUMPRODUCT(VLOOKUP($A166,S275_01,{14,15,16},FALSE)),0)+IFERROR(SUMPRODUCT(VLOOKUP($A166,S275_97,{14,15,16},FALSE)),0)+IFERROR(ROUND(VLOOKUP($A166,S275_21,14,FALSE)*VLOOKUP($A166,'3121% SY'!$C$3:$M$324,11,FALSE),3),0)+IFERROR(ROUND(VLOOKUP($A166,S275_21,15,FALSE)*VLOOKUP($A166,'3121% SY'!$C$3:$M$324,11,FALSE),3),0)+IFERROR(ROUND(VLOOKUP($A166,S275_21,16,FALSE)*VLOOKUP($A166,'3121% SY'!$C$3:$M$324,11,FALSE),3),0)+IFERROR(VLOOKUP($A166,S275_09,6,FALSE),0)</f>
        <v>3.9</v>
      </c>
      <c r="T166" s="267">
        <f>IFERROR(VLOOKUP($A166,Supp_42,14,FALSE),0)+IFERROR(SUMPRODUCT(VLOOKUP($A166,S275_01,{17,18,19},FALSE)),0)+IFERROR(SUMPRODUCT(VLOOKUP($A166,S275_97,{17,18,19},FALSE)),0)+IFERROR(ROUND(VLOOKUP($A166,S275_21,17,FALSE)*VLOOKUP($A166,'3121% SY'!$C$3:$M$324,11,FALSE),3),0)+IFERROR(ROUND(VLOOKUP($A166,S275_21,18,FALSE)*VLOOKUP($A166,'3121% SY'!$C$3:$M$324,11,FALSE),3),0)+IFERROR(ROUND(VLOOKUP($A166,S275_21,19,FALSE)*VLOOKUP($A166,'3121% SY'!$C$3:$M$324,11,FALSE),3),0)+IFERROR(VLOOKUP($A166,S275_09,7,FALSE),0)</f>
        <v>0</v>
      </c>
      <c r="U166" s="267">
        <f>IFERROR(VLOOKUP($A166,Supp_43,14,FALSE),0)+IFERROR(SUMPRODUCT(VLOOKUP($A166,S275_01,{20,21,22},FALSE)),0)+IFERROR(SUMPRODUCT(VLOOKUP($A166,S275_97,{20,21,22},FALSE)),0)+IFERROR(ROUND(VLOOKUP($A166,S275_21,20,FALSE)*VLOOKUP($A166,'3121% SY'!$C$3:$M$324,11,FALSE),3),0)+IFERROR(ROUND(VLOOKUP($A166,S275_21,21,FALSE)*VLOOKUP($A166,'3121% SY'!$C$3:$M$324,11,FALSE),3),0)+IFERROR(ROUND(VLOOKUP($A166,S275_21,22,FALSE)*VLOOKUP($A166,'3121% SY'!$C$3:$M$324,11,FALSE),3),0)+IFERROR(VLOOKUP($A166,S275_09,8,FALSE),0)</f>
        <v>0.30199999999999999</v>
      </c>
      <c r="V166" s="267">
        <f>IFERROR(VLOOKUP($A166,Supp_44,14,FALSE),0)+IFERROR(SUMPRODUCT(VLOOKUP($A166,S275_01,{23,24,25},FALSE)),0)+IFERROR(SUMPRODUCT(VLOOKUP($A166,S275_97,{23,24,25},FALSE)),0)+IFERROR(ROUND(VLOOKUP($A166,S275_21,23,FALSE)*VLOOKUP($A166,'3121% SY'!$C$3:$M$324,11,FALSE),3),0)+IFERROR(ROUND(VLOOKUP($A166,S275_21,24,FALSE)*VLOOKUP($A166,'3121% SY'!$C$3:$M$324,11,FALSE),3),0)+IFERROR(ROUND(VLOOKUP($A166,S275_21,25,FALSE)*VLOOKUP($A166,'3121% SY'!$C$3:$M$324,11,FALSE),3),0)+IFERROR(VLOOKUP($A166,S275_09,9,FALSE),0)</f>
        <v>0</v>
      </c>
      <c r="W166" s="267">
        <f>IFERROR(VLOOKUP($A166,Supp_45,14,FALSE),0)+IFERROR(SUMPRODUCT(VLOOKUP($A166,S275_01,{26,27,28},FALSE)),0)+IFERROR(SUMPRODUCT(VLOOKUP($A166,S275_97,{26,27,28},FALSE)),0)+IFERROR(ROUND(VLOOKUP($A166,S275_21,26,FALSE)*VLOOKUP($A166,'3121% SY'!$C$3:$M$324,11,FALSE),3),0)+IFERROR(ROUND(VLOOKUP($A166,S275_21,27,FALSE)*VLOOKUP($A166,'3121% SY'!$C$3:$M$324,11,FALSE),3),0)+IFERROR(ROUND(VLOOKUP($A166,S275_21,28,FALSE)*VLOOKUP($A166,'3121% SY'!$C$3:$M$324,11,FALSE),3),0)+IFERROR(VLOOKUP($A166,S275_09,10,FALSE),0)</f>
        <v>1.028</v>
      </c>
      <c r="X166" s="267">
        <f>IFERROR(VLOOKUP($A166,Supp_46,14,FALSE),0)+IFERROR(SUMPRODUCT(VLOOKUP($A166,S275_01,{29,30,31},FALSE)),0)+IFERROR(SUMPRODUCT(VLOOKUP($A166,S275_97,{29,30,31},FALSE)),0)+IFERROR(ROUND(VLOOKUP($A166,S275_21,29,FALSE)*VLOOKUP($A166,'3121% SY'!$C$3:$M$324,11,FALSE),3),0)+IFERROR(ROUND(VLOOKUP($A166,S275_21,30,FALSE)*VLOOKUP($A166,'3121% SY'!$C$3:$M$324,11,FALSE),3),0)+IFERROR(ROUND(VLOOKUP($A166,S275_21,31,FALSE)*VLOOKUP($A166,'3121% SY'!$C$3:$M$324,11,FALSE),3),0)+IFERROR(VLOOKUP($A166,S275_09,11,FALSE),0)</f>
        <v>0.378</v>
      </c>
      <c r="Y166" s="267">
        <f>IFERROR(VLOOKUP($A166,Supp_47,14,FALSE),0)+IFERROR(SUMPRODUCT(VLOOKUP($A166,S275_01,{32,33,34},FALSE)),0)+IFERROR(SUMPRODUCT(VLOOKUP($A166,S275_97,{32,33,34},FALSE)),0)+IFERROR(ROUND(VLOOKUP($A166,S275_21,32,FALSE)*VLOOKUP($A166,'3121% SY'!$C$3:$M$324,11,FALSE),3),0)+IFERROR(ROUND(VLOOKUP($A166,S275_21,33,FALSE)*VLOOKUP($A166,'3121% SY'!$C$3:$M$324,11,FALSE),3),0)+IFERROR(ROUND(VLOOKUP($A166,S275_21,34,FALSE)*VLOOKUP($A166,'3121% SY'!$C$3:$M$324,11,FALSE),3),0)+IFERROR(VLOOKUP($A166,S275_09,12,FALSE),0)</f>
        <v>0</v>
      </c>
      <c r="Z166" s="267">
        <f>IFERROR(VLOOKUP($A166,Supp_48,14,FALSE),0)+IFERROR(SUMPRODUCT(VLOOKUP($A166,S275_01,{35,36,37},FALSE)),0)+IFERROR(SUMPRODUCT(VLOOKUP($A166,S275_97,{35,36,37},FALSE)),0)+IFERROR(ROUND(VLOOKUP($A166,S275_21,35,FALSE)*VLOOKUP($A166,'3121% SY'!$C$3:$M$324,11,FALSE),3),0)+IFERROR(ROUND(VLOOKUP($A166,S275_21,36,FALSE)*VLOOKUP($A166,'3121% SY'!$C$3:$M$324,11,FALSE),3),0)+IFERROR(ROUND(VLOOKUP($A166,S275_21,37,FALSE)*VLOOKUP($A166,'3121% SY'!$C$3:$M$324,11,FALSE),3),0)+IFERROR(VLOOKUP($A166,S275_09,13,FALSE),0)</f>
        <v>0</v>
      </c>
      <c r="AA166" s="267">
        <f>IFERROR(VLOOKUP($A166,Supp_49,14,FALSE),0)+IFERROR(SUMPRODUCT(VLOOKUP($A166,S275_01,{38,39,40},FALSE)),0)+IFERROR(SUMPRODUCT(VLOOKUP($A166,S275_97,{38,39,40},FALSE)),0)+IFERROR(ROUND(VLOOKUP($A166,S275_21,38,FALSE)*VLOOKUP($A166,'3121% SY'!$C$3:$M$324,11,FALSE),3),0)+IFERROR(ROUND(VLOOKUP($A166,S275_21,39,FALSE)*VLOOKUP($A166,'3121% SY'!$C$3:$M$324,11,FALSE),3),0)+IFERROR(ROUND(VLOOKUP($A166,S275_21,40,FALSE)*VLOOKUP($A166,'3121% SY'!$C$3:$M$324,11,FALSE),3),0)+IFERROR(VLOOKUP($A166,S275_09,14,FALSE),0)</f>
        <v>0</v>
      </c>
      <c r="AB166" s="267">
        <f>IFERROR(VLOOKUP($A166,Supp_64,14,FALSE),0)+IFERROR(SUMPRODUCT(VLOOKUP($A166,S275_01,{41,42,43},FALSE)),0)+IFERROR(SUMPRODUCT(VLOOKUP($A166,S275_97,{41,42,43},FALSE)),0)+IFERROR(ROUND(VLOOKUP($A166,S275_21,41,FALSE)*VLOOKUP($A166,'3121% SY'!$C$3:$M$324,11,FALSE),3),0)+IFERROR(ROUND(VLOOKUP($A166,S275_21,42,FALSE)*VLOOKUP($A166,'3121% SY'!$C$3:$M$324,11,FALSE),3),0)+IFERROR(ROUND(VLOOKUP($A166,S275_21,43,FALSE)*VLOOKUP($A166,'3121% SY'!$C$3:$M$324,11,FALSE),3),0)+IFERROR(VLOOKUP($A166,S275_09,15,FALSE),0)</f>
        <v>0</v>
      </c>
      <c r="AC166" s="268">
        <f t="shared" si="37"/>
        <v>5.6080000000000005</v>
      </c>
      <c r="AD166" s="267">
        <f>IFERROR(VLOOKUP($A166,Supp_24,14,FALSE),0)+IFERROR(SUMPRODUCT(VLOOKUP($A166,S275_01,{2,3,4},FALSE)),0)+IFERROR(SUMPRODUCT(VLOOKUP($A166,S275_97,{2,3,4},FALSE)),0)+IFERROR(ROUND(VLOOKUP($A166,S275_21,2,FALSE)*VLOOKUP($A166,'3121% SY'!$C$3:$M$324,11,FALSE),3),0)+IFERROR(ROUND(VLOOKUP($A166,S275_21,3,FALSE)*VLOOKUP($A166,'3121% SY'!$C$3:$M$324,11,FALSE),3),0)+IFERROR(ROUND(VLOOKUP($A166,S275_21,4,FALSE)*VLOOKUP($A166,'3121% SY'!$C$3:$M$324,11,FALSE),3),0)+IFERROR(VLOOKUP($A166,S275_09,2,FALSE),0)</f>
        <v>1.63</v>
      </c>
      <c r="AE166" s="267">
        <f>IFERROR(VLOOKUP($A166,Supp_25,14,FALSE),0)+IFERROR(SUMPRODUCT(VLOOKUP($A166,S275_01,{5,6,7},FALSE)),0)+IFERROR(SUMPRODUCT(VLOOKUP($A166,S275_97,{5,6,7},FALSE)),0)+IFERROR(ROUND(VLOOKUP($A166,S275_21,5,FALSE)*VLOOKUP($A166,'3121% SY'!$C$3:$M$324,11,FALSE),3),0)+IFERROR(ROUND(VLOOKUP($A166,S275_21,6,FALSE)*VLOOKUP($A166,'3121% SY'!$C$3:$M$324,11,FALSE),3),0)+IFERROR(ROUND(VLOOKUP($A166,S275_21,7,FALSE)*VLOOKUP($A166,'3121% SY'!$C$3:$M$324,11,FALSE),3),0)+IFERROR(VLOOKUP($A166,S275_09,3,FALSE),0)</f>
        <v>5.8000000000000003E-2</v>
      </c>
      <c r="AF166" s="267">
        <f>IFERROR(VLOOKUP($A166,Supp_26,14,FALSE),0)+IFERROR(SUMPRODUCT(VLOOKUP($A166,S275_01,{8,9,10},FALSE)),0)+IFERROR(SUMPRODUCT(VLOOKUP($A166,S275_97,{8,9,10},FALSE)),0)+IFERROR(ROUND(VLOOKUP($A166,S275_21,8,FALSE)*VLOOKUP($A166,'3121% SY'!$C$3:$M$324,11,FALSE),3),0)+IFERROR(ROUND(VLOOKUP($A166,S275_21,9,FALSE)*VLOOKUP($A166,'3121% SY'!$C$3:$M$324,11,FALSE),3),0)+IFERROR(ROUND(VLOOKUP($A166,S275_21,10,FALSE)*VLOOKUP($A166,'3121% SY'!$C$3:$M$324,11,FALSE),3),0)+IFERROR(VLOOKUP($A166,S275_09,4,FALSE),0)</f>
        <v>1.081</v>
      </c>
      <c r="AG166" s="267">
        <f>IFERROR(VLOOKUP($A166,Supp_35,14,FALSE),0)+IFERROR(SUMPRODUCT(VLOOKUP($A166,S275_01,{11,12,13},FALSE)),0)+IFERROR(SUMPRODUCT(VLOOKUP($A166,S275_97,{11,12,13},FALSE)),0)+IFERROR(ROUND(VLOOKUP($A166,S275_21,11,FALSE)*VLOOKUP($A166,'3121% SY'!$C$3:$M$324,11,FALSE),3),0)+IFERROR(ROUND(VLOOKUP($A166,S275_21,12,FALSE)*VLOOKUP($A166,'3121% SY'!$C$3:$M$324,11,FALSE),3),0)+IFERROR(ROUND(VLOOKUP($A166,S275_21,13,FALSE)*VLOOKUP($A166,'3121% SY'!$C$3:$M$324,11,FALSE),3),0)+IFERROR(VLOOKUP($A166,S275_09,5,FALSE),0)</f>
        <v>0</v>
      </c>
      <c r="AH166" s="165">
        <f t="shared" si="38"/>
        <v>2.7690000000000001</v>
      </c>
      <c r="AI166" s="161">
        <f>IFERROR(VLOOKUP(A166,'Supp Staff Data'!A:ER,148,FALSE),0)+AB166</f>
        <v>0</v>
      </c>
      <c r="AJ166" s="174">
        <v>0.96430000000000005</v>
      </c>
      <c r="AK166" s="25">
        <f>VLOOKUP(A166,'Enroll Data as of January 2025'!$A$3:$T$323,20,FALSE)-F166</f>
        <v>0</v>
      </c>
    </row>
    <row r="167" spans="1:37" x14ac:dyDescent="0.25">
      <c r="A167" s="171" t="s">
        <v>126</v>
      </c>
      <c r="B167" t="s">
        <v>422</v>
      </c>
      <c r="C167" s="173" t="s">
        <v>1078</v>
      </c>
      <c r="D167" s="259">
        <f t="shared" si="30"/>
        <v>2.964</v>
      </c>
      <c r="E167" s="259">
        <f t="shared" si="31"/>
        <v>2.702</v>
      </c>
      <c r="F167" s="262">
        <f t="shared" si="39"/>
        <v>-0.26200000000000001</v>
      </c>
      <c r="G167" s="161">
        <f>ROUND(IF(F167&lt;0,F167*'2024-25 PSES Compliance'!$G$13,0),3)</f>
        <v>-0.252</v>
      </c>
      <c r="H167" s="161">
        <f>ROUND(IF(F167&lt;0,F167*'2024-25 PSES Compliance'!$G$14,0),3)</f>
        <v>-0.01</v>
      </c>
      <c r="I167" s="174">
        <f t="shared" si="33"/>
        <v>0</v>
      </c>
      <c r="J167" s="174">
        <f t="shared" si="34"/>
        <v>0</v>
      </c>
      <c r="K167" s="161">
        <f>VLOOKUP($A167,'Enroll Data as of January 2025'!$A$3:$M$322,6,FALSE)</f>
        <v>1.6829999999999998</v>
      </c>
      <c r="L167" s="161">
        <f>VLOOKUP($A167,'Enroll Data as of January 2025'!$A$3:$M$322,7,FALSE)</f>
        <v>0.26800000000000002</v>
      </c>
      <c r="M167" s="161">
        <f>VLOOKUP($A167,'Enroll Data as of January 2025'!$A$3:$M$322,8,FALSE)</f>
        <v>0.09</v>
      </c>
      <c r="N167" s="161">
        <f>VLOOKUP($A167,'Enroll Data as of January 2025'!$A$3:$M$322,9,FALSE)</f>
        <v>0.7589999999999999</v>
      </c>
      <c r="O167" s="165">
        <f t="shared" si="35"/>
        <v>2.8</v>
      </c>
      <c r="P167" s="161">
        <f>VLOOKUP($A167,'Enroll Data as of January 2025'!$A$3:$M$322,11,FALSE)</f>
        <v>0.10400000000000001</v>
      </c>
      <c r="Q167" s="161">
        <f>VLOOKUP($A167,'Enroll Data as of January 2025'!$A$3:$M$322,12,FALSE)</f>
        <v>0.06</v>
      </c>
      <c r="R167" s="165">
        <f t="shared" si="36"/>
        <v>0.16400000000000001</v>
      </c>
      <c r="S167" s="267">
        <f>IFERROR(VLOOKUP($A167,Supp_39,14,FALSE),0)+IFERROR(SUMPRODUCT(VLOOKUP($A167,S275_01,{14,15,16},FALSE)),0)+IFERROR(SUMPRODUCT(VLOOKUP($A167,S275_97,{14,15,16},FALSE)),0)+IFERROR(ROUND(VLOOKUP($A167,S275_21,14,FALSE)*VLOOKUP($A167,'3121% SY'!$C$3:$M$324,11,FALSE),3),0)+IFERROR(ROUND(VLOOKUP($A167,S275_21,15,FALSE)*VLOOKUP($A167,'3121% SY'!$C$3:$M$324,11,FALSE),3),0)+IFERROR(ROUND(VLOOKUP($A167,S275_21,16,FALSE)*VLOOKUP($A167,'3121% SY'!$C$3:$M$324,11,FALSE),3),0)+IFERROR(VLOOKUP($A167,S275_09,6,FALSE),0)</f>
        <v>1.58</v>
      </c>
      <c r="T167" s="267">
        <f>IFERROR(VLOOKUP($A167,Supp_42,14,FALSE),0)+IFERROR(SUMPRODUCT(VLOOKUP($A167,S275_01,{17,18,19},FALSE)),0)+IFERROR(SUMPRODUCT(VLOOKUP($A167,S275_97,{17,18,19},FALSE)),0)+IFERROR(ROUND(VLOOKUP($A167,S275_21,17,FALSE)*VLOOKUP($A167,'3121% SY'!$C$3:$M$324,11,FALSE),3),0)+IFERROR(ROUND(VLOOKUP($A167,S275_21,18,FALSE)*VLOOKUP($A167,'3121% SY'!$C$3:$M$324,11,FALSE),3),0)+IFERROR(ROUND(VLOOKUP($A167,S275_21,19,FALSE)*VLOOKUP($A167,'3121% SY'!$C$3:$M$324,11,FALSE),3),0)+IFERROR(VLOOKUP($A167,S275_09,7,FALSE),0)</f>
        <v>0</v>
      </c>
      <c r="U167" s="267">
        <f>IFERROR(VLOOKUP($A167,Supp_43,14,FALSE),0)+IFERROR(SUMPRODUCT(VLOOKUP($A167,S275_01,{20,21,22},FALSE)),0)+IFERROR(SUMPRODUCT(VLOOKUP($A167,S275_97,{20,21,22},FALSE)),0)+IFERROR(ROUND(VLOOKUP($A167,S275_21,20,FALSE)*VLOOKUP($A167,'3121% SY'!$C$3:$M$324,11,FALSE),3),0)+IFERROR(ROUND(VLOOKUP($A167,S275_21,21,FALSE)*VLOOKUP($A167,'3121% SY'!$C$3:$M$324,11,FALSE),3),0)+IFERROR(ROUND(VLOOKUP($A167,S275_21,22,FALSE)*VLOOKUP($A167,'3121% SY'!$C$3:$M$324,11,FALSE),3),0)+IFERROR(VLOOKUP($A167,S275_09,8,FALSE),0)</f>
        <v>0</v>
      </c>
      <c r="V167" s="267">
        <f>IFERROR(VLOOKUP($A167,Supp_44,14,FALSE),0)+IFERROR(SUMPRODUCT(VLOOKUP($A167,S275_01,{23,24,25},FALSE)),0)+IFERROR(SUMPRODUCT(VLOOKUP($A167,S275_97,{23,24,25},FALSE)),0)+IFERROR(ROUND(VLOOKUP($A167,S275_21,23,FALSE)*VLOOKUP($A167,'3121% SY'!$C$3:$M$324,11,FALSE),3),0)+IFERROR(ROUND(VLOOKUP($A167,S275_21,24,FALSE)*VLOOKUP($A167,'3121% SY'!$C$3:$M$324,11,FALSE),3),0)+IFERROR(ROUND(VLOOKUP($A167,S275_21,25,FALSE)*VLOOKUP($A167,'3121% SY'!$C$3:$M$324,11,FALSE),3),0)+IFERROR(VLOOKUP($A167,S275_09,9,FALSE),0)</f>
        <v>0</v>
      </c>
      <c r="W167" s="267">
        <f>IFERROR(VLOOKUP($A167,Supp_45,14,FALSE),0)+IFERROR(SUMPRODUCT(VLOOKUP($A167,S275_01,{26,27,28},FALSE)),0)+IFERROR(SUMPRODUCT(VLOOKUP($A167,S275_97,{26,27,28},FALSE)),0)+IFERROR(ROUND(VLOOKUP($A167,S275_21,26,FALSE)*VLOOKUP($A167,'3121% SY'!$C$3:$M$324,11,FALSE),3),0)+IFERROR(ROUND(VLOOKUP($A167,S275_21,27,FALSE)*VLOOKUP($A167,'3121% SY'!$C$3:$M$324,11,FALSE),3),0)+IFERROR(ROUND(VLOOKUP($A167,S275_21,28,FALSE)*VLOOKUP($A167,'3121% SY'!$C$3:$M$324,11,FALSE),3),0)+IFERROR(VLOOKUP($A167,S275_09,10,FALSE),0)</f>
        <v>0</v>
      </c>
      <c r="X167" s="267">
        <f>IFERROR(VLOOKUP($A167,Supp_46,14,FALSE),0)+IFERROR(SUMPRODUCT(VLOOKUP($A167,S275_01,{29,30,31},FALSE)),0)+IFERROR(SUMPRODUCT(VLOOKUP($A167,S275_97,{29,30,31},FALSE)),0)+IFERROR(ROUND(VLOOKUP($A167,S275_21,29,FALSE)*VLOOKUP($A167,'3121% SY'!$C$3:$M$324,11,FALSE),3),0)+IFERROR(ROUND(VLOOKUP($A167,S275_21,30,FALSE)*VLOOKUP($A167,'3121% SY'!$C$3:$M$324,11,FALSE),3),0)+IFERROR(ROUND(VLOOKUP($A167,S275_21,31,FALSE)*VLOOKUP($A167,'3121% SY'!$C$3:$M$324,11,FALSE),3),0)+IFERROR(VLOOKUP($A167,S275_09,11,FALSE),0)</f>
        <v>0</v>
      </c>
      <c r="Y167" s="267">
        <f>IFERROR(VLOOKUP($A167,Supp_47,14,FALSE),0)+IFERROR(SUMPRODUCT(VLOOKUP($A167,S275_01,{32,33,34},FALSE)),0)+IFERROR(SUMPRODUCT(VLOOKUP($A167,S275_97,{32,33,34},FALSE)),0)+IFERROR(ROUND(VLOOKUP($A167,S275_21,32,FALSE)*VLOOKUP($A167,'3121% SY'!$C$3:$M$324,11,FALSE),3),0)+IFERROR(ROUND(VLOOKUP($A167,S275_21,33,FALSE)*VLOOKUP($A167,'3121% SY'!$C$3:$M$324,11,FALSE),3),0)+IFERROR(ROUND(VLOOKUP($A167,S275_21,34,FALSE)*VLOOKUP($A167,'3121% SY'!$C$3:$M$324,11,FALSE),3),0)+IFERROR(VLOOKUP($A167,S275_09,12,FALSE),0)</f>
        <v>0</v>
      </c>
      <c r="Z167" s="267">
        <f>IFERROR(VLOOKUP($A167,Supp_48,14,FALSE),0)+IFERROR(SUMPRODUCT(VLOOKUP($A167,S275_01,{35,36,37},FALSE)),0)+IFERROR(SUMPRODUCT(VLOOKUP($A167,S275_97,{35,36,37},FALSE)),0)+IFERROR(ROUND(VLOOKUP($A167,S275_21,35,FALSE)*VLOOKUP($A167,'3121% SY'!$C$3:$M$324,11,FALSE),3),0)+IFERROR(ROUND(VLOOKUP($A167,S275_21,36,FALSE)*VLOOKUP($A167,'3121% SY'!$C$3:$M$324,11,FALSE),3),0)+IFERROR(ROUND(VLOOKUP($A167,S275_21,37,FALSE)*VLOOKUP($A167,'3121% SY'!$C$3:$M$324,11,FALSE),3),0)+IFERROR(VLOOKUP($A167,S275_09,13,FALSE),0)</f>
        <v>0</v>
      </c>
      <c r="AA167" s="267">
        <f>IFERROR(VLOOKUP($A167,Supp_49,14,FALSE),0)+IFERROR(SUMPRODUCT(VLOOKUP($A167,S275_01,{38,39,40},FALSE)),0)+IFERROR(SUMPRODUCT(VLOOKUP($A167,S275_97,{38,39,40},FALSE)),0)+IFERROR(ROUND(VLOOKUP($A167,S275_21,38,FALSE)*VLOOKUP($A167,'3121% SY'!$C$3:$M$324,11,FALSE),3),0)+IFERROR(ROUND(VLOOKUP($A167,S275_21,39,FALSE)*VLOOKUP($A167,'3121% SY'!$C$3:$M$324,11,FALSE),3),0)+IFERROR(ROUND(VLOOKUP($A167,S275_21,40,FALSE)*VLOOKUP($A167,'3121% SY'!$C$3:$M$324,11,FALSE),3),0)+IFERROR(VLOOKUP($A167,S275_09,14,FALSE),0)</f>
        <v>0</v>
      </c>
      <c r="AB167" s="267">
        <f>IFERROR(VLOOKUP($A167,Supp_64,14,FALSE),0)+IFERROR(SUMPRODUCT(VLOOKUP($A167,S275_01,{41,42,43},FALSE)),0)+IFERROR(SUMPRODUCT(VLOOKUP($A167,S275_97,{41,42,43},FALSE)),0)+IFERROR(ROUND(VLOOKUP($A167,S275_21,41,FALSE)*VLOOKUP($A167,'3121% SY'!$C$3:$M$324,11,FALSE),3),0)+IFERROR(ROUND(VLOOKUP($A167,S275_21,42,FALSE)*VLOOKUP($A167,'3121% SY'!$C$3:$M$324,11,FALSE),3),0)+IFERROR(ROUND(VLOOKUP($A167,S275_21,43,FALSE)*VLOOKUP($A167,'3121% SY'!$C$3:$M$324,11,FALSE),3),0)+IFERROR(VLOOKUP($A167,S275_09,15,FALSE),0)</f>
        <v>0</v>
      </c>
      <c r="AC167" s="268">
        <f t="shared" si="37"/>
        <v>1.58</v>
      </c>
      <c r="AD167" s="267">
        <f>IFERROR(VLOOKUP($A167,Supp_24,14,FALSE),0)+IFERROR(SUMPRODUCT(VLOOKUP($A167,S275_01,{2,3,4},FALSE)),0)+IFERROR(SUMPRODUCT(VLOOKUP($A167,S275_97,{2,3,4},FALSE)),0)+IFERROR(ROUND(VLOOKUP($A167,S275_21,2,FALSE)*VLOOKUP($A167,'3121% SY'!$C$3:$M$324,11,FALSE),3),0)+IFERROR(ROUND(VLOOKUP($A167,S275_21,3,FALSE)*VLOOKUP($A167,'3121% SY'!$C$3:$M$324,11,FALSE),3),0)+IFERROR(ROUND(VLOOKUP($A167,S275_21,4,FALSE)*VLOOKUP($A167,'3121% SY'!$C$3:$M$324,11,FALSE),3),0)+IFERROR(VLOOKUP($A167,S275_09,2,FALSE),0)</f>
        <v>0.151</v>
      </c>
      <c r="AE167" s="267">
        <f>IFERROR(VLOOKUP($A167,Supp_25,14,FALSE),0)+IFERROR(SUMPRODUCT(VLOOKUP($A167,S275_01,{5,6,7},FALSE)),0)+IFERROR(SUMPRODUCT(VLOOKUP($A167,S275_97,{5,6,7},FALSE)),0)+IFERROR(ROUND(VLOOKUP($A167,S275_21,5,FALSE)*VLOOKUP($A167,'3121% SY'!$C$3:$M$324,11,FALSE),3),0)+IFERROR(ROUND(VLOOKUP($A167,S275_21,6,FALSE)*VLOOKUP($A167,'3121% SY'!$C$3:$M$324,11,FALSE),3),0)+IFERROR(ROUND(VLOOKUP($A167,S275_21,7,FALSE)*VLOOKUP($A167,'3121% SY'!$C$3:$M$324,11,FALSE),3),0)+IFERROR(VLOOKUP($A167,S275_09,3,FALSE),0)</f>
        <v>0.79</v>
      </c>
      <c r="AF167" s="267">
        <f>IFERROR(VLOOKUP($A167,Supp_26,14,FALSE),0)+IFERROR(SUMPRODUCT(VLOOKUP($A167,S275_01,{8,9,10},FALSE)),0)+IFERROR(SUMPRODUCT(VLOOKUP($A167,S275_97,{8,9,10},FALSE)),0)+IFERROR(ROUND(VLOOKUP($A167,S275_21,8,FALSE)*VLOOKUP($A167,'3121% SY'!$C$3:$M$324,11,FALSE),3),0)+IFERROR(ROUND(VLOOKUP($A167,S275_21,9,FALSE)*VLOOKUP($A167,'3121% SY'!$C$3:$M$324,11,FALSE),3),0)+IFERROR(ROUND(VLOOKUP($A167,S275_21,10,FALSE)*VLOOKUP($A167,'3121% SY'!$C$3:$M$324,11,FALSE),3),0)+IFERROR(VLOOKUP($A167,S275_09,4,FALSE),0)</f>
        <v>0.111</v>
      </c>
      <c r="AG167" s="267">
        <f>IFERROR(VLOOKUP($A167,Supp_35,14,FALSE),0)+IFERROR(SUMPRODUCT(VLOOKUP($A167,S275_01,{11,12,13},FALSE)),0)+IFERROR(SUMPRODUCT(VLOOKUP($A167,S275_97,{11,12,13},FALSE)),0)+IFERROR(ROUND(VLOOKUP($A167,S275_21,11,FALSE)*VLOOKUP($A167,'3121% SY'!$C$3:$M$324,11,FALSE),3),0)+IFERROR(ROUND(VLOOKUP($A167,S275_21,12,FALSE)*VLOOKUP($A167,'3121% SY'!$C$3:$M$324,11,FALSE),3),0)+IFERROR(ROUND(VLOOKUP($A167,S275_21,13,FALSE)*VLOOKUP($A167,'3121% SY'!$C$3:$M$324,11,FALSE),3),0)+IFERROR(VLOOKUP($A167,S275_09,5,FALSE),0)</f>
        <v>7.0000000000000007E-2</v>
      </c>
      <c r="AH167" s="165">
        <f t="shared" si="38"/>
        <v>1.1220000000000001</v>
      </c>
      <c r="AI167" s="161">
        <f>IFERROR(VLOOKUP(A167,'Supp Staff Data'!A:ER,148,FALSE),0)+AB167</f>
        <v>0</v>
      </c>
      <c r="AJ167" s="174">
        <v>0</v>
      </c>
      <c r="AK167" s="25">
        <f>VLOOKUP(A167,'Enroll Data as of January 2025'!$A$3:$T$323,20,FALSE)-F167</f>
        <v>0</v>
      </c>
    </row>
    <row r="168" spans="1:37" x14ac:dyDescent="0.25">
      <c r="A168" s="171" t="s">
        <v>274</v>
      </c>
      <c r="B168" t="s">
        <v>570</v>
      </c>
      <c r="C168" s="173" t="s">
        <v>1077</v>
      </c>
      <c r="D168" s="259">
        <f t="shared" si="30"/>
        <v>8.3179999999999996</v>
      </c>
      <c r="E168" s="259">
        <f t="shared" si="31"/>
        <v>9.2390000000000008</v>
      </c>
      <c r="F168" s="262">
        <f t="shared" si="39"/>
        <v>0.92100000000000004</v>
      </c>
      <c r="G168" s="161">
        <f>ROUND(IF(F168&lt;0,F168*'2024-25 PSES Compliance'!$G$13,0),3)</f>
        <v>0</v>
      </c>
      <c r="H168" s="161">
        <f>ROUND(IF(F168&lt;0,F168*'2024-25 PSES Compliance'!$G$14,0),3)</f>
        <v>0</v>
      </c>
      <c r="I168" s="174">
        <f t="shared" si="33"/>
        <v>0.74054819785691084</v>
      </c>
      <c r="J168" s="174">
        <f t="shared" si="34"/>
        <v>0</v>
      </c>
      <c r="K168" s="161">
        <f>VLOOKUP($A168,'Enroll Data as of January 2025'!$A$3:$M$322,6,FALSE)</f>
        <v>4.75</v>
      </c>
      <c r="L168" s="161">
        <f>VLOOKUP($A168,'Enroll Data as of January 2025'!$A$3:$M$322,7,FALSE)</f>
        <v>0.73199999999999998</v>
      </c>
      <c r="M168" s="161">
        <f>VLOOKUP($A168,'Enroll Data as of January 2025'!$A$3:$M$322,8,FALSE)</f>
        <v>0.24500000000000002</v>
      </c>
      <c r="N168" s="161">
        <f>VLOOKUP($A168,'Enroll Data as of January 2025'!$A$3:$M$322,9,FALSE)</f>
        <v>2.1389999999999998</v>
      </c>
      <c r="O168" s="165">
        <f t="shared" si="35"/>
        <v>7.8659999999999997</v>
      </c>
      <c r="P168" s="161">
        <f>VLOOKUP($A168,'Enroll Data as of January 2025'!$A$3:$M$322,11,FALSE)</f>
        <v>0.29199999999999998</v>
      </c>
      <c r="Q168" s="161">
        <f>VLOOKUP($A168,'Enroll Data as of January 2025'!$A$3:$M$322,12,FALSE)</f>
        <v>0.16</v>
      </c>
      <c r="R168" s="165">
        <f t="shared" si="36"/>
        <v>0.45199999999999996</v>
      </c>
      <c r="S168" s="267">
        <f>IFERROR(VLOOKUP($A168,Supp_39,14,FALSE),0)+IFERROR(SUMPRODUCT(VLOOKUP($A168,S275_01,{14,15,16},FALSE)),0)+IFERROR(SUMPRODUCT(VLOOKUP($A168,S275_97,{14,15,16},FALSE)),0)+IFERROR(ROUND(VLOOKUP($A168,S275_21,14,FALSE)*VLOOKUP($A168,'3121% SY'!$C$3:$M$324,11,FALSE),3),0)+IFERROR(ROUND(VLOOKUP($A168,S275_21,15,FALSE)*VLOOKUP($A168,'3121% SY'!$C$3:$M$324,11,FALSE),3),0)+IFERROR(ROUND(VLOOKUP($A168,S275_21,16,FALSE)*VLOOKUP($A168,'3121% SY'!$C$3:$M$324,11,FALSE),3),0)+IFERROR(VLOOKUP($A168,S275_09,6,FALSE),0)</f>
        <v>4.0830000000000002</v>
      </c>
      <c r="T168" s="267">
        <f>IFERROR(VLOOKUP($A168,Supp_42,14,FALSE),0)+IFERROR(SUMPRODUCT(VLOOKUP($A168,S275_01,{17,18,19},FALSE)),0)+IFERROR(SUMPRODUCT(VLOOKUP($A168,S275_97,{17,18,19},FALSE)),0)+IFERROR(ROUND(VLOOKUP($A168,S275_21,17,FALSE)*VLOOKUP($A168,'3121% SY'!$C$3:$M$324,11,FALSE),3),0)+IFERROR(ROUND(VLOOKUP($A168,S275_21,18,FALSE)*VLOOKUP($A168,'3121% SY'!$C$3:$M$324,11,FALSE),3),0)+IFERROR(ROUND(VLOOKUP($A168,S275_21,19,FALSE)*VLOOKUP($A168,'3121% SY'!$C$3:$M$324,11,FALSE),3),0)+IFERROR(VLOOKUP($A168,S275_09,7,FALSE),0)</f>
        <v>1</v>
      </c>
      <c r="U168" s="267">
        <f>IFERROR(VLOOKUP($A168,Supp_43,14,FALSE),0)+IFERROR(SUMPRODUCT(VLOOKUP($A168,S275_01,{20,21,22},FALSE)),0)+IFERROR(SUMPRODUCT(VLOOKUP($A168,S275_97,{20,21,22},FALSE)),0)+IFERROR(ROUND(VLOOKUP($A168,S275_21,20,FALSE)*VLOOKUP($A168,'3121% SY'!$C$3:$M$324,11,FALSE),3),0)+IFERROR(ROUND(VLOOKUP($A168,S275_21,21,FALSE)*VLOOKUP($A168,'3121% SY'!$C$3:$M$324,11,FALSE),3),0)+IFERROR(ROUND(VLOOKUP($A168,S275_21,22,FALSE)*VLOOKUP($A168,'3121% SY'!$C$3:$M$324,11,FALSE),3),0)+IFERROR(VLOOKUP($A168,S275_09,8,FALSE),0)</f>
        <v>0</v>
      </c>
      <c r="V168" s="267">
        <f>IFERROR(VLOOKUP($A168,Supp_44,14,FALSE),0)+IFERROR(SUMPRODUCT(VLOOKUP($A168,S275_01,{23,24,25},FALSE)),0)+IFERROR(SUMPRODUCT(VLOOKUP($A168,S275_97,{23,24,25},FALSE)),0)+IFERROR(ROUND(VLOOKUP($A168,S275_21,23,FALSE)*VLOOKUP($A168,'3121% SY'!$C$3:$M$324,11,FALSE),3),0)+IFERROR(ROUND(VLOOKUP($A168,S275_21,24,FALSE)*VLOOKUP($A168,'3121% SY'!$C$3:$M$324,11,FALSE),3),0)+IFERROR(ROUND(VLOOKUP($A168,S275_21,25,FALSE)*VLOOKUP($A168,'3121% SY'!$C$3:$M$324,11,FALSE),3),0)+IFERROR(VLOOKUP($A168,S275_09,9,FALSE),0)</f>
        <v>0</v>
      </c>
      <c r="W168" s="267">
        <f>IFERROR(VLOOKUP($A168,Supp_45,14,FALSE),0)+IFERROR(SUMPRODUCT(VLOOKUP($A168,S275_01,{26,27,28},FALSE)),0)+IFERROR(SUMPRODUCT(VLOOKUP($A168,S275_97,{26,27,28},FALSE)),0)+IFERROR(ROUND(VLOOKUP($A168,S275_21,26,FALSE)*VLOOKUP($A168,'3121% SY'!$C$3:$M$324,11,FALSE),3),0)+IFERROR(ROUND(VLOOKUP($A168,S275_21,27,FALSE)*VLOOKUP($A168,'3121% SY'!$C$3:$M$324,11,FALSE),3),0)+IFERROR(ROUND(VLOOKUP($A168,S275_21,28,FALSE)*VLOOKUP($A168,'3121% SY'!$C$3:$M$324,11,FALSE),3),0)+IFERROR(VLOOKUP($A168,S275_09,10,FALSE),0)</f>
        <v>0.629</v>
      </c>
      <c r="X168" s="267">
        <f>IFERROR(VLOOKUP($A168,Supp_46,14,FALSE),0)+IFERROR(SUMPRODUCT(VLOOKUP($A168,S275_01,{29,30,31},FALSE)),0)+IFERROR(SUMPRODUCT(VLOOKUP($A168,S275_97,{29,30,31},FALSE)),0)+IFERROR(ROUND(VLOOKUP($A168,S275_21,29,FALSE)*VLOOKUP($A168,'3121% SY'!$C$3:$M$324,11,FALSE),3),0)+IFERROR(ROUND(VLOOKUP($A168,S275_21,30,FALSE)*VLOOKUP($A168,'3121% SY'!$C$3:$M$324,11,FALSE),3),0)+IFERROR(ROUND(VLOOKUP($A168,S275_21,31,FALSE)*VLOOKUP($A168,'3121% SY'!$C$3:$M$324,11,FALSE),3),0)+IFERROR(VLOOKUP($A168,S275_09,11,FALSE),0)</f>
        <v>1.3299999999999998</v>
      </c>
      <c r="Y168" s="267">
        <f>IFERROR(VLOOKUP($A168,Supp_47,14,FALSE),0)+IFERROR(SUMPRODUCT(VLOOKUP($A168,S275_01,{32,33,34},FALSE)),0)+IFERROR(SUMPRODUCT(VLOOKUP($A168,S275_97,{32,33,34},FALSE)),0)+IFERROR(ROUND(VLOOKUP($A168,S275_21,32,FALSE)*VLOOKUP($A168,'3121% SY'!$C$3:$M$324,11,FALSE),3),0)+IFERROR(ROUND(VLOOKUP($A168,S275_21,33,FALSE)*VLOOKUP($A168,'3121% SY'!$C$3:$M$324,11,FALSE),3),0)+IFERROR(ROUND(VLOOKUP($A168,S275_21,34,FALSE)*VLOOKUP($A168,'3121% SY'!$C$3:$M$324,11,FALSE),3),0)+IFERROR(VLOOKUP($A168,S275_09,12,FALSE),0)</f>
        <v>0.253</v>
      </c>
      <c r="Z168" s="267">
        <f>IFERROR(VLOOKUP($A168,Supp_48,14,FALSE),0)+IFERROR(SUMPRODUCT(VLOOKUP($A168,S275_01,{35,36,37},FALSE)),0)+IFERROR(SUMPRODUCT(VLOOKUP($A168,S275_97,{35,36,37},FALSE)),0)+IFERROR(ROUND(VLOOKUP($A168,S275_21,35,FALSE)*VLOOKUP($A168,'3121% SY'!$C$3:$M$324,11,FALSE),3),0)+IFERROR(ROUND(VLOOKUP($A168,S275_21,36,FALSE)*VLOOKUP($A168,'3121% SY'!$C$3:$M$324,11,FALSE),3),0)+IFERROR(ROUND(VLOOKUP($A168,S275_21,37,FALSE)*VLOOKUP($A168,'3121% SY'!$C$3:$M$324,11,FALSE),3),0)+IFERROR(VLOOKUP($A168,S275_09,13,FALSE),0)</f>
        <v>7.3000000000000009E-2</v>
      </c>
      <c r="AA168" s="267">
        <f>IFERROR(VLOOKUP($A168,Supp_49,14,FALSE),0)+IFERROR(SUMPRODUCT(VLOOKUP($A168,S275_01,{38,39,40},FALSE)),0)+IFERROR(SUMPRODUCT(VLOOKUP($A168,S275_97,{38,39,40},FALSE)),0)+IFERROR(ROUND(VLOOKUP($A168,S275_21,38,FALSE)*VLOOKUP($A168,'3121% SY'!$C$3:$M$324,11,FALSE),3),0)+IFERROR(ROUND(VLOOKUP($A168,S275_21,39,FALSE)*VLOOKUP($A168,'3121% SY'!$C$3:$M$324,11,FALSE),3),0)+IFERROR(ROUND(VLOOKUP($A168,S275_21,40,FALSE)*VLOOKUP($A168,'3121% SY'!$C$3:$M$324,11,FALSE),3),0)+IFERROR(VLOOKUP($A168,S275_09,14,FALSE),0)</f>
        <v>0</v>
      </c>
      <c r="AB168" s="267">
        <f>IFERROR(VLOOKUP($A168,Supp_64,14,FALSE),0)+IFERROR(SUMPRODUCT(VLOOKUP($A168,S275_01,{41,42,43},FALSE)),0)+IFERROR(SUMPRODUCT(VLOOKUP($A168,S275_97,{41,42,43},FALSE)),0)+IFERROR(ROUND(VLOOKUP($A168,S275_21,41,FALSE)*VLOOKUP($A168,'3121% SY'!$C$3:$M$324,11,FALSE),3),0)+IFERROR(ROUND(VLOOKUP($A168,S275_21,42,FALSE)*VLOOKUP($A168,'3121% SY'!$C$3:$M$324,11,FALSE),3),0)+IFERROR(ROUND(VLOOKUP($A168,S275_21,43,FALSE)*VLOOKUP($A168,'3121% SY'!$C$3:$M$324,11,FALSE),3),0)+IFERROR(VLOOKUP($A168,S275_09,15,FALSE),0)</f>
        <v>0</v>
      </c>
      <c r="AC168" s="268">
        <f t="shared" si="37"/>
        <v>7.3680000000000003</v>
      </c>
      <c r="AD168" s="267">
        <f>IFERROR(VLOOKUP($A168,Supp_24,14,FALSE),0)+IFERROR(SUMPRODUCT(VLOOKUP($A168,S275_01,{2,3,4},FALSE)),0)+IFERROR(SUMPRODUCT(VLOOKUP($A168,S275_97,{2,3,4},FALSE)),0)+IFERROR(ROUND(VLOOKUP($A168,S275_21,2,FALSE)*VLOOKUP($A168,'3121% SY'!$C$3:$M$324,11,FALSE),3),0)+IFERROR(ROUND(VLOOKUP($A168,S275_21,3,FALSE)*VLOOKUP($A168,'3121% SY'!$C$3:$M$324,11,FALSE),3),0)+IFERROR(ROUND(VLOOKUP($A168,S275_21,4,FALSE)*VLOOKUP($A168,'3121% SY'!$C$3:$M$324,11,FALSE),3),0)+IFERROR(VLOOKUP($A168,S275_09,2,FALSE),0)</f>
        <v>0.68799999999999994</v>
      </c>
      <c r="AE168" s="267">
        <f>IFERROR(VLOOKUP($A168,Supp_25,14,FALSE),0)+IFERROR(SUMPRODUCT(VLOOKUP($A168,S275_01,{5,6,7},FALSE)),0)+IFERROR(SUMPRODUCT(VLOOKUP($A168,S275_97,{5,6,7},FALSE)),0)+IFERROR(ROUND(VLOOKUP($A168,S275_21,5,FALSE)*VLOOKUP($A168,'3121% SY'!$C$3:$M$324,11,FALSE),3),0)+IFERROR(ROUND(VLOOKUP($A168,S275_21,6,FALSE)*VLOOKUP($A168,'3121% SY'!$C$3:$M$324,11,FALSE),3),0)+IFERROR(ROUND(VLOOKUP($A168,S275_21,7,FALSE)*VLOOKUP($A168,'3121% SY'!$C$3:$M$324,11,FALSE),3),0)+IFERROR(VLOOKUP($A168,S275_09,3,FALSE),0)</f>
        <v>5.2999999999999999E-2</v>
      </c>
      <c r="AF168" s="267">
        <f>IFERROR(VLOOKUP($A168,Supp_26,14,FALSE),0)+IFERROR(SUMPRODUCT(VLOOKUP($A168,S275_01,{8,9,10},FALSE)),0)+IFERROR(SUMPRODUCT(VLOOKUP($A168,S275_97,{8,9,10},FALSE)),0)+IFERROR(ROUND(VLOOKUP($A168,S275_21,8,FALSE)*VLOOKUP($A168,'3121% SY'!$C$3:$M$324,11,FALSE),3),0)+IFERROR(ROUND(VLOOKUP($A168,S275_21,9,FALSE)*VLOOKUP($A168,'3121% SY'!$C$3:$M$324,11,FALSE),3),0)+IFERROR(ROUND(VLOOKUP($A168,S275_21,10,FALSE)*VLOOKUP($A168,'3121% SY'!$C$3:$M$324,11,FALSE),3),0)+IFERROR(VLOOKUP($A168,S275_09,4,FALSE),0)</f>
        <v>1.1299999999999999</v>
      </c>
      <c r="AG168" s="267">
        <f>IFERROR(VLOOKUP($A168,Supp_35,14,FALSE),0)+IFERROR(SUMPRODUCT(VLOOKUP($A168,S275_01,{11,12,13},FALSE)),0)+IFERROR(SUMPRODUCT(VLOOKUP($A168,S275_97,{11,12,13},FALSE)),0)+IFERROR(ROUND(VLOOKUP($A168,S275_21,11,FALSE)*VLOOKUP($A168,'3121% SY'!$C$3:$M$324,11,FALSE),3),0)+IFERROR(ROUND(VLOOKUP($A168,S275_21,12,FALSE)*VLOOKUP($A168,'3121% SY'!$C$3:$M$324,11,FALSE),3),0)+IFERROR(ROUND(VLOOKUP($A168,S275_21,13,FALSE)*VLOOKUP($A168,'3121% SY'!$C$3:$M$324,11,FALSE),3),0)+IFERROR(VLOOKUP($A168,S275_09,5,FALSE),0)</f>
        <v>0</v>
      </c>
      <c r="AH168" s="165">
        <f t="shared" si="38"/>
        <v>1.871</v>
      </c>
      <c r="AI168" s="161">
        <f>IFERROR(VLOOKUP(A168,'Supp Staff Data'!A:ER,148,FALSE),0)+AB168</f>
        <v>0</v>
      </c>
      <c r="AJ168" s="174">
        <v>0.92859999999999998</v>
      </c>
      <c r="AK168" s="25">
        <f>VLOOKUP(A168,'Enroll Data as of January 2025'!$A$3:$T$323,20,FALSE)-F168</f>
        <v>0</v>
      </c>
    </row>
    <row r="169" spans="1:37" x14ac:dyDescent="0.25">
      <c r="A169" s="171" t="s">
        <v>303</v>
      </c>
      <c r="B169" t="s">
        <v>599</v>
      </c>
      <c r="C169" s="173" t="s">
        <v>1077</v>
      </c>
      <c r="D169" s="259">
        <f t="shared" si="30"/>
        <v>4.4710000000000001</v>
      </c>
      <c r="E169" s="259">
        <f t="shared" si="31"/>
        <v>3.7110000000000003</v>
      </c>
      <c r="F169" s="262">
        <f t="shared" si="39"/>
        <v>-0.76</v>
      </c>
      <c r="G169" s="161">
        <f>ROUND(IF(F169&lt;0,F169*'2024-25 PSES Compliance'!$G$13,0),3)</f>
        <v>-0.73</v>
      </c>
      <c r="H169" s="161">
        <f>ROUND(IF(F169&lt;0,F169*'2024-25 PSES Compliance'!$G$14,0),3)</f>
        <v>-0.03</v>
      </c>
      <c r="I169" s="174">
        <f t="shared" si="33"/>
        <v>0.28662355160334141</v>
      </c>
      <c r="J169" s="174">
        <f t="shared" si="34"/>
        <v>0</v>
      </c>
      <c r="K169" s="161">
        <f>VLOOKUP($A169,'Enroll Data as of January 2025'!$A$3:$M$322,6,FALSE)</f>
        <v>2.5190000000000001</v>
      </c>
      <c r="L169" s="161">
        <f>VLOOKUP($A169,'Enroll Data as of January 2025'!$A$3:$M$322,7,FALSE)</f>
        <v>0.40600000000000003</v>
      </c>
      <c r="M169" s="161">
        <f>VLOOKUP($A169,'Enroll Data as of January 2025'!$A$3:$M$322,8,FALSE)</f>
        <v>0.13600000000000001</v>
      </c>
      <c r="N169" s="161">
        <f>VLOOKUP($A169,'Enroll Data as of January 2025'!$A$3:$M$322,9,FALSE)</f>
        <v>1.163</v>
      </c>
      <c r="O169" s="165">
        <f t="shared" si="35"/>
        <v>4.2240000000000002</v>
      </c>
      <c r="P169" s="161">
        <f>VLOOKUP($A169,'Enroll Data as of January 2025'!$A$3:$M$322,11,FALSE)</f>
        <v>0.157</v>
      </c>
      <c r="Q169" s="161">
        <f>VLOOKUP($A169,'Enroll Data as of January 2025'!$A$3:$M$322,12,FALSE)</f>
        <v>0.09</v>
      </c>
      <c r="R169" s="165">
        <f t="shared" si="36"/>
        <v>0.247</v>
      </c>
      <c r="S169" s="267">
        <f>IFERROR(VLOOKUP($A169,Supp_39,14,FALSE),0)+IFERROR(SUMPRODUCT(VLOOKUP($A169,S275_01,{14,15,16},FALSE)),0)+IFERROR(SUMPRODUCT(VLOOKUP($A169,S275_97,{14,15,16},FALSE)),0)+IFERROR(ROUND(VLOOKUP($A169,S275_21,14,FALSE)*VLOOKUP($A169,'3121% SY'!$C$3:$M$324,11,FALSE),3),0)+IFERROR(ROUND(VLOOKUP($A169,S275_21,15,FALSE)*VLOOKUP($A169,'3121% SY'!$C$3:$M$324,11,FALSE),3),0)+IFERROR(ROUND(VLOOKUP($A169,S275_21,16,FALSE)*VLOOKUP($A169,'3121% SY'!$C$3:$M$324,11,FALSE),3),0)+IFERROR(VLOOKUP($A169,S275_09,6,FALSE),0)</f>
        <v>0.78</v>
      </c>
      <c r="T169" s="267">
        <f>IFERROR(VLOOKUP($A169,Supp_42,14,FALSE),0)+IFERROR(SUMPRODUCT(VLOOKUP($A169,S275_01,{17,18,19},FALSE)),0)+IFERROR(SUMPRODUCT(VLOOKUP($A169,S275_97,{17,18,19},FALSE)),0)+IFERROR(ROUND(VLOOKUP($A169,S275_21,17,FALSE)*VLOOKUP($A169,'3121% SY'!$C$3:$M$324,11,FALSE),3),0)+IFERROR(ROUND(VLOOKUP($A169,S275_21,18,FALSE)*VLOOKUP($A169,'3121% SY'!$C$3:$M$324,11,FALSE),3),0)+IFERROR(ROUND(VLOOKUP($A169,S275_21,19,FALSE)*VLOOKUP($A169,'3121% SY'!$C$3:$M$324,11,FALSE),3),0)+IFERROR(VLOOKUP($A169,S275_09,7,FALSE),0)</f>
        <v>0.22</v>
      </c>
      <c r="U169" s="267">
        <f>IFERROR(VLOOKUP($A169,Supp_43,14,FALSE),0)+IFERROR(SUMPRODUCT(VLOOKUP($A169,S275_01,{20,21,22},FALSE)),0)+IFERROR(SUMPRODUCT(VLOOKUP($A169,S275_97,{20,21,22},FALSE)),0)+IFERROR(ROUND(VLOOKUP($A169,S275_21,20,FALSE)*VLOOKUP($A169,'3121% SY'!$C$3:$M$324,11,FALSE),3),0)+IFERROR(ROUND(VLOOKUP($A169,S275_21,21,FALSE)*VLOOKUP($A169,'3121% SY'!$C$3:$M$324,11,FALSE),3),0)+IFERROR(ROUND(VLOOKUP($A169,S275_21,22,FALSE)*VLOOKUP($A169,'3121% SY'!$C$3:$M$324,11,FALSE),3),0)+IFERROR(VLOOKUP($A169,S275_09,8,FALSE),0)</f>
        <v>0.3</v>
      </c>
      <c r="V169" s="267">
        <f>IFERROR(VLOOKUP($A169,Supp_44,14,FALSE),0)+IFERROR(SUMPRODUCT(VLOOKUP($A169,S275_01,{23,24,25},FALSE)),0)+IFERROR(SUMPRODUCT(VLOOKUP($A169,S275_97,{23,24,25},FALSE)),0)+IFERROR(ROUND(VLOOKUP($A169,S275_21,23,FALSE)*VLOOKUP($A169,'3121% SY'!$C$3:$M$324,11,FALSE),3),0)+IFERROR(ROUND(VLOOKUP($A169,S275_21,24,FALSE)*VLOOKUP($A169,'3121% SY'!$C$3:$M$324,11,FALSE),3),0)+IFERROR(ROUND(VLOOKUP($A169,S275_21,25,FALSE)*VLOOKUP($A169,'3121% SY'!$C$3:$M$324,11,FALSE),3),0)+IFERROR(VLOOKUP($A169,S275_09,9,FALSE),0)</f>
        <v>0</v>
      </c>
      <c r="W169" s="267">
        <f>IFERROR(VLOOKUP($A169,Supp_45,14,FALSE),0)+IFERROR(SUMPRODUCT(VLOOKUP($A169,S275_01,{26,27,28},FALSE)),0)+IFERROR(SUMPRODUCT(VLOOKUP($A169,S275_97,{26,27,28},FALSE)),0)+IFERROR(ROUND(VLOOKUP($A169,S275_21,26,FALSE)*VLOOKUP($A169,'3121% SY'!$C$3:$M$324,11,FALSE),3),0)+IFERROR(ROUND(VLOOKUP($A169,S275_21,27,FALSE)*VLOOKUP($A169,'3121% SY'!$C$3:$M$324,11,FALSE),3),0)+IFERROR(ROUND(VLOOKUP($A169,S275_21,28,FALSE)*VLOOKUP($A169,'3121% SY'!$C$3:$M$324,11,FALSE),3),0)+IFERROR(VLOOKUP($A169,S275_09,10,FALSE),0)</f>
        <v>0</v>
      </c>
      <c r="X169" s="267">
        <f>IFERROR(VLOOKUP($A169,Supp_46,14,FALSE),0)+IFERROR(SUMPRODUCT(VLOOKUP($A169,S275_01,{29,30,31},FALSE)),0)+IFERROR(SUMPRODUCT(VLOOKUP($A169,S275_97,{29,30,31},FALSE)),0)+IFERROR(ROUND(VLOOKUP($A169,S275_21,29,FALSE)*VLOOKUP($A169,'3121% SY'!$C$3:$M$324,11,FALSE),3),0)+IFERROR(ROUND(VLOOKUP($A169,S275_21,30,FALSE)*VLOOKUP($A169,'3121% SY'!$C$3:$M$324,11,FALSE),3),0)+IFERROR(ROUND(VLOOKUP($A169,S275_21,31,FALSE)*VLOOKUP($A169,'3121% SY'!$C$3:$M$324,11,FALSE),3),0)+IFERROR(VLOOKUP($A169,S275_09,11,FALSE),0)</f>
        <v>0</v>
      </c>
      <c r="Y169" s="267">
        <f>IFERROR(VLOOKUP($A169,Supp_47,14,FALSE),0)+IFERROR(SUMPRODUCT(VLOOKUP($A169,S275_01,{32,33,34},FALSE)),0)+IFERROR(SUMPRODUCT(VLOOKUP($A169,S275_97,{32,33,34},FALSE)),0)+IFERROR(ROUND(VLOOKUP($A169,S275_21,32,FALSE)*VLOOKUP($A169,'3121% SY'!$C$3:$M$324,11,FALSE),3),0)+IFERROR(ROUND(VLOOKUP($A169,S275_21,33,FALSE)*VLOOKUP($A169,'3121% SY'!$C$3:$M$324,11,FALSE),3),0)+IFERROR(ROUND(VLOOKUP($A169,S275_21,34,FALSE)*VLOOKUP($A169,'3121% SY'!$C$3:$M$324,11,FALSE),3),0)+IFERROR(VLOOKUP($A169,S275_09,12,FALSE),0)</f>
        <v>0</v>
      </c>
      <c r="Z169" s="267">
        <f>IFERROR(VLOOKUP($A169,Supp_48,14,FALSE),0)+IFERROR(SUMPRODUCT(VLOOKUP($A169,S275_01,{35,36,37},FALSE)),0)+IFERROR(SUMPRODUCT(VLOOKUP($A169,S275_97,{35,36,37},FALSE)),0)+IFERROR(ROUND(VLOOKUP($A169,S275_21,35,FALSE)*VLOOKUP($A169,'3121% SY'!$C$3:$M$324,11,FALSE),3),0)+IFERROR(ROUND(VLOOKUP($A169,S275_21,36,FALSE)*VLOOKUP($A169,'3121% SY'!$C$3:$M$324,11,FALSE),3),0)+IFERROR(ROUND(VLOOKUP($A169,S275_21,37,FALSE)*VLOOKUP($A169,'3121% SY'!$C$3:$M$324,11,FALSE),3),0)+IFERROR(VLOOKUP($A169,S275_09,13,FALSE),0)</f>
        <v>0</v>
      </c>
      <c r="AA169" s="267">
        <f>IFERROR(VLOOKUP($A169,Supp_49,14,FALSE),0)+IFERROR(SUMPRODUCT(VLOOKUP($A169,S275_01,{38,39,40},FALSE)),0)+IFERROR(SUMPRODUCT(VLOOKUP($A169,S275_97,{38,39,40},FALSE)),0)+IFERROR(ROUND(VLOOKUP($A169,S275_21,38,FALSE)*VLOOKUP($A169,'3121% SY'!$C$3:$M$324,11,FALSE),3),0)+IFERROR(ROUND(VLOOKUP($A169,S275_21,39,FALSE)*VLOOKUP($A169,'3121% SY'!$C$3:$M$324,11,FALSE),3),0)+IFERROR(ROUND(VLOOKUP($A169,S275_21,40,FALSE)*VLOOKUP($A169,'3121% SY'!$C$3:$M$324,11,FALSE),3),0)+IFERROR(VLOOKUP($A169,S275_09,14,FALSE),0)</f>
        <v>0</v>
      </c>
      <c r="AB169" s="267">
        <f>IFERROR(VLOOKUP($A169,Supp_64,14,FALSE),0)+IFERROR(SUMPRODUCT(VLOOKUP($A169,S275_01,{41,42,43},FALSE)),0)+IFERROR(SUMPRODUCT(VLOOKUP($A169,S275_97,{41,42,43},FALSE)),0)+IFERROR(ROUND(VLOOKUP($A169,S275_21,41,FALSE)*VLOOKUP($A169,'3121% SY'!$C$3:$M$324,11,FALSE),3),0)+IFERROR(ROUND(VLOOKUP($A169,S275_21,42,FALSE)*VLOOKUP($A169,'3121% SY'!$C$3:$M$324,11,FALSE),3),0)+IFERROR(ROUND(VLOOKUP($A169,S275_21,43,FALSE)*VLOOKUP($A169,'3121% SY'!$C$3:$M$324,11,FALSE),3),0)+IFERROR(VLOOKUP($A169,S275_09,15,FALSE),0)</f>
        <v>0</v>
      </c>
      <c r="AC169" s="268">
        <f t="shared" si="37"/>
        <v>1.3</v>
      </c>
      <c r="AD169" s="267">
        <f>IFERROR(VLOOKUP($A169,Supp_24,14,FALSE),0)+IFERROR(SUMPRODUCT(VLOOKUP($A169,S275_01,{2,3,4},FALSE)),0)+IFERROR(SUMPRODUCT(VLOOKUP($A169,S275_97,{2,3,4},FALSE)),0)+IFERROR(ROUND(VLOOKUP($A169,S275_21,2,FALSE)*VLOOKUP($A169,'3121% SY'!$C$3:$M$324,11,FALSE),3),0)+IFERROR(ROUND(VLOOKUP($A169,S275_21,3,FALSE)*VLOOKUP($A169,'3121% SY'!$C$3:$M$324,11,FALSE),3),0)+IFERROR(ROUND(VLOOKUP($A169,S275_21,4,FALSE)*VLOOKUP($A169,'3121% SY'!$C$3:$M$324,11,FALSE),3),0)+IFERROR(VLOOKUP($A169,S275_09,2,FALSE),0)</f>
        <v>0</v>
      </c>
      <c r="AE169" s="267">
        <f>IFERROR(VLOOKUP($A169,Supp_25,14,FALSE),0)+IFERROR(SUMPRODUCT(VLOOKUP($A169,S275_01,{5,6,7},FALSE)),0)+IFERROR(SUMPRODUCT(VLOOKUP($A169,S275_97,{5,6,7},FALSE)),0)+IFERROR(ROUND(VLOOKUP($A169,S275_21,5,FALSE)*VLOOKUP($A169,'3121% SY'!$C$3:$M$324,11,FALSE),3),0)+IFERROR(ROUND(VLOOKUP($A169,S275_21,6,FALSE)*VLOOKUP($A169,'3121% SY'!$C$3:$M$324,11,FALSE),3),0)+IFERROR(ROUND(VLOOKUP($A169,S275_21,7,FALSE)*VLOOKUP($A169,'3121% SY'!$C$3:$M$324,11,FALSE),3),0)+IFERROR(VLOOKUP($A169,S275_09,3,FALSE),0)</f>
        <v>0</v>
      </c>
      <c r="AF169" s="267">
        <f>IFERROR(VLOOKUP($A169,Supp_26,14,FALSE),0)+IFERROR(SUMPRODUCT(VLOOKUP($A169,S275_01,{8,9,10},FALSE)),0)+IFERROR(SUMPRODUCT(VLOOKUP($A169,S275_97,{8,9,10},FALSE)),0)+IFERROR(ROUND(VLOOKUP($A169,S275_21,8,FALSE)*VLOOKUP($A169,'3121% SY'!$C$3:$M$324,11,FALSE),3),0)+IFERROR(ROUND(VLOOKUP($A169,S275_21,9,FALSE)*VLOOKUP($A169,'3121% SY'!$C$3:$M$324,11,FALSE),3),0)+IFERROR(ROUND(VLOOKUP($A169,S275_21,10,FALSE)*VLOOKUP($A169,'3121% SY'!$C$3:$M$324,11,FALSE),3),0)+IFERROR(VLOOKUP($A169,S275_09,4,FALSE),0)</f>
        <v>2.4110000000000005</v>
      </c>
      <c r="AG169" s="267">
        <f>IFERROR(VLOOKUP($A169,Supp_35,14,FALSE),0)+IFERROR(SUMPRODUCT(VLOOKUP($A169,S275_01,{11,12,13},FALSE)),0)+IFERROR(SUMPRODUCT(VLOOKUP($A169,S275_97,{11,12,13},FALSE)),0)+IFERROR(ROUND(VLOOKUP($A169,S275_21,11,FALSE)*VLOOKUP($A169,'3121% SY'!$C$3:$M$324,11,FALSE),3),0)+IFERROR(ROUND(VLOOKUP($A169,S275_21,12,FALSE)*VLOOKUP($A169,'3121% SY'!$C$3:$M$324,11,FALSE),3),0)+IFERROR(ROUND(VLOOKUP($A169,S275_21,13,FALSE)*VLOOKUP($A169,'3121% SY'!$C$3:$M$324,11,FALSE),3),0)+IFERROR(VLOOKUP($A169,S275_09,5,FALSE),0)</f>
        <v>0</v>
      </c>
      <c r="AH169" s="165">
        <f t="shared" si="38"/>
        <v>2.4110000000000005</v>
      </c>
      <c r="AI169" s="161">
        <f>IFERROR(VLOOKUP(A169,'Supp Staff Data'!A:ER,148,FALSE),0)+AB169</f>
        <v>0</v>
      </c>
      <c r="AJ169" s="174">
        <v>0.81820000000000004</v>
      </c>
      <c r="AK169" s="25">
        <f>VLOOKUP(A169,'Enroll Data as of January 2025'!$A$3:$T$323,20,FALSE)-F169</f>
        <v>0</v>
      </c>
    </row>
    <row r="170" spans="1:37" x14ac:dyDescent="0.25">
      <c r="A170" s="171" t="s">
        <v>86</v>
      </c>
      <c r="B170" t="s">
        <v>382</v>
      </c>
      <c r="C170" s="173" t="s">
        <v>1077</v>
      </c>
      <c r="D170" s="259">
        <f t="shared" si="30"/>
        <v>2.9909999999999997</v>
      </c>
      <c r="E170" s="259">
        <f t="shared" si="31"/>
        <v>2.6259999999999999</v>
      </c>
      <c r="F170" s="262">
        <f t="shared" si="39"/>
        <v>-0.36499999999999999</v>
      </c>
      <c r="G170" s="161">
        <f>ROUND(IF(F170&lt;0,F170*'2024-25 PSES Compliance'!$G$13,0),3)</f>
        <v>-0.35</v>
      </c>
      <c r="H170" s="161">
        <f>ROUND(IF(F170&lt;0,F170*'2024-25 PSES Compliance'!$G$14,0),3)</f>
        <v>-1.4999999999999999E-2</v>
      </c>
      <c r="I170" s="174">
        <f t="shared" si="33"/>
        <v>0.72536176694592536</v>
      </c>
      <c r="J170" s="174">
        <f t="shared" si="34"/>
        <v>0</v>
      </c>
      <c r="K170" s="161">
        <f>VLOOKUP($A170,'Enroll Data as of January 2025'!$A$3:$M$322,6,FALSE)</f>
        <v>1.6709999999999998</v>
      </c>
      <c r="L170" s="161">
        <f>VLOOKUP($A170,'Enroll Data as of January 2025'!$A$3:$M$322,7,FALSE)</f>
        <v>0.28000000000000003</v>
      </c>
      <c r="M170" s="161">
        <f>VLOOKUP($A170,'Enroll Data as of January 2025'!$A$3:$M$322,8,FALSE)</f>
        <v>9.4E-2</v>
      </c>
      <c r="N170" s="161">
        <f>VLOOKUP($A170,'Enroll Data as of January 2025'!$A$3:$M$322,9,FALSE)</f>
        <v>0.77900000000000003</v>
      </c>
      <c r="O170" s="165">
        <f t="shared" si="35"/>
        <v>2.8239999999999998</v>
      </c>
      <c r="P170" s="161">
        <f>VLOOKUP($A170,'Enroll Data as of January 2025'!$A$3:$M$322,11,FALSE)</f>
        <v>0.104</v>
      </c>
      <c r="Q170" s="161">
        <f>VLOOKUP($A170,'Enroll Data as of January 2025'!$A$3:$M$322,12,FALSE)</f>
        <v>6.3E-2</v>
      </c>
      <c r="R170" s="165">
        <f t="shared" si="36"/>
        <v>0.16699999999999998</v>
      </c>
      <c r="S170" s="267">
        <f>IFERROR(VLOOKUP($A170,Supp_39,14,FALSE),0)+IFERROR(SUMPRODUCT(VLOOKUP($A170,S275_01,{14,15,16},FALSE)),0)+IFERROR(SUMPRODUCT(VLOOKUP($A170,S275_97,{14,15,16},FALSE)),0)+IFERROR(ROUND(VLOOKUP($A170,S275_21,14,FALSE)*VLOOKUP($A170,'3121% SY'!$C$3:$M$324,11,FALSE),3),0)+IFERROR(ROUND(VLOOKUP($A170,S275_21,15,FALSE)*VLOOKUP($A170,'3121% SY'!$C$3:$M$324,11,FALSE),3),0)+IFERROR(ROUND(VLOOKUP($A170,S275_21,16,FALSE)*VLOOKUP($A170,'3121% SY'!$C$3:$M$324,11,FALSE),3),0)+IFERROR(VLOOKUP($A170,S275_09,6,FALSE),0)</f>
        <v>1.5</v>
      </c>
      <c r="T170" s="267">
        <f>IFERROR(VLOOKUP($A170,Supp_42,14,FALSE),0)+IFERROR(SUMPRODUCT(VLOOKUP($A170,S275_01,{17,18,19},FALSE)),0)+IFERROR(SUMPRODUCT(VLOOKUP($A170,S275_97,{17,18,19},FALSE)),0)+IFERROR(ROUND(VLOOKUP($A170,S275_21,17,FALSE)*VLOOKUP($A170,'3121% SY'!$C$3:$M$324,11,FALSE),3),0)+IFERROR(ROUND(VLOOKUP($A170,S275_21,18,FALSE)*VLOOKUP($A170,'3121% SY'!$C$3:$M$324,11,FALSE),3),0)+IFERROR(ROUND(VLOOKUP($A170,S275_21,19,FALSE)*VLOOKUP($A170,'3121% SY'!$C$3:$M$324,11,FALSE),3),0)+IFERROR(VLOOKUP($A170,S275_09,7,FALSE),0)</f>
        <v>0.5</v>
      </c>
      <c r="U170" s="267">
        <f>IFERROR(VLOOKUP($A170,Supp_43,14,FALSE),0)+IFERROR(SUMPRODUCT(VLOOKUP($A170,S275_01,{20,21,22},FALSE)),0)+IFERROR(SUMPRODUCT(VLOOKUP($A170,S275_97,{20,21,22},FALSE)),0)+IFERROR(ROUND(VLOOKUP($A170,S275_21,20,FALSE)*VLOOKUP($A170,'3121% SY'!$C$3:$M$324,11,FALSE),3),0)+IFERROR(ROUND(VLOOKUP($A170,S275_21,21,FALSE)*VLOOKUP($A170,'3121% SY'!$C$3:$M$324,11,FALSE),3),0)+IFERROR(ROUND(VLOOKUP($A170,S275_21,22,FALSE)*VLOOKUP($A170,'3121% SY'!$C$3:$M$324,11,FALSE),3),0)+IFERROR(VLOOKUP($A170,S275_09,8,FALSE),0)</f>
        <v>0</v>
      </c>
      <c r="V170" s="267">
        <f>IFERROR(VLOOKUP($A170,Supp_44,14,FALSE),0)+IFERROR(SUMPRODUCT(VLOOKUP($A170,S275_01,{23,24,25},FALSE)),0)+IFERROR(SUMPRODUCT(VLOOKUP($A170,S275_97,{23,24,25},FALSE)),0)+IFERROR(ROUND(VLOOKUP($A170,S275_21,23,FALSE)*VLOOKUP($A170,'3121% SY'!$C$3:$M$324,11,FALSE),3),0)+IFERROR(ROUND(VLOOKUP($A170,S275_21,24,FALSE)*VLOOKUP($A170,'3121% SY'!$C$3:$M$324,11,FALSE),3),0)+IFERROR(ROUND(VLOOKUP($A170,S275_21,25,FALSE)*VLOOKUP($A170,'3121% SY'!$C$3:$M$324,11,FALSE),3),0)+IFERROR(VLOOKUP($A170,S275_09,9,FALSE),0)</f>
        <v>0</v>
      </c>
      <c r="W170" s="267">
        <f>IFERROR(VLOOKUP($A170,Supp_45,14,FALSE),0)+IFERROR(SUMPRODUCT(VLOOKUP($A170,S275_01,{26,27,28},FALSE)),0)+IFERROR(SUMPRODUCT(VLOOKUP($A170,S275_97,{26,27,28},FALSE)),0)+IFERROR(ROUND(VLOOKUP($A170,S275_21,26,FALSE)*VLOOKUP($A170,'3121% SY'!$C$3:$M$324,11,FALSE),3),0)+IFERROR(ROUND(VLOOKUP($A170,S275_21,27,FALSE)*VLOOKUP($A170,'3121% SY'!$C$3:$M$324,11,FALSE),3),0)+IFERROR(ROUND(VLOOKUP($A170,S275_21,28,FALSE)*VLOOKUP($A170,'3121% SY'!$C$3:$M$324,11,FALSE),3),0)+IFERROR(VLOOKUP($A170,S275_09,10,FALSE),0)</f>
        <v>0</v>
      </c>
      <c r="X170" s="267">
        <f>IFERROR(VLOOKUP($A170,Supp_46,14,FALSE),0)+IFERROR(SUMPRODUCT(VLOOKUP($A170,S275_01,{29,30,31},FALSE)),0)+IFERROR(SUMPRODUCT(VLOOKUP($A170,S275_97,{29,30,31},FALSE)),0)+IFERROR(ROUND(VLOOKUP($A170,S275_21,29,FALSE)*VLOOKUP($A170,'3121% SY'!$C$3:$M$324,11,FALSE),3),0)+IFERROR(ROUND(VLOOKUP($A170,S275_21,30,FALSE)*VLOOKUP($A170,'3121% SY'!$C$3:$M$324,11,FALSE),3),0)+IFERROR(ROUND(VLOOKUP($A170,S275_21,31,FALSE)*VLOOKUP($A170,'3121% SY'!$C$3:$M$324,11,FALSE),3),0)+IFERROR(VLOOKUP($A170,S275_09,11,FALSE),0)</f>
        <v>0</v>
      </c>
      <c r="Y170" s="267">
        <f>IFERROR(VLOOKUP($A170,Supp_47,14,FALSE),0)+IFERROR(SUMPRODUCT(VLOOKUP($A170,S275_01,{32,33,34},FALSE)),0)+IFERROR(SUMPRODUCT(VLOOKUP($A170,S275_97,{32,33,34},FALSE)),0)+IFERROR(ROUND(VLOOKUP($A170,S275_21,32,FALSE)*VLOOKUP($A170,'3121% SY'!$C$3:$M$324,11,FALSE),3),0)+IFERROR(ROUND(VLOOKUP($A170,S275_21,33,FALSE)*VLOOKUP($A170,'3121% SY'!$C$3:$M$324,11,FALSE),3),0)+IFERROR(ROUND(VLOOKUP($A170,S275_21,34,FALSE)*VLOOKUP($A170,'3121% SY'!$C$3:$M$324,11,FALSE),3),0)+IFERROR(VLOOKUP($A170,S275_09,12,FALSE),0)</f>
        <v>0</v>
      </c>
      <c r="Z170" s="267">
        <f>IFERROR(VLOOKUP($A170,Supp_48,14,FALSE),0)+IFERROR(SUMPRODUCT(VLOOKUP($A170,S275_01,{35,36,37},FALSE)),0)+IFERROR(SUMPRODUCT(VLOOKUP($A170,S275_97,{35,36,37},FALSE)),0)+IFERROR(ROUND(VLOOKUP($A170,S275_21,35,FALSE)*VLOOKUP($A170,'3121% SY'!$C$3:$M$324,11,FALSE),3),0)+IFERROR(ROUND(VLOOKUP($A170,S275_21,36,FALSE)*VLOOKUP($A170,'3121% SY'!$C$3:$M$324,11,FALSE),3),0)+IFERROR(ROUND(VLOOKUP($A170,S275_21,37,FALSE)*VLOOKUP($A170,'3121% SY'!$C$3:$M$324,11,FALSE),3),0)+IFERROR(VLOOKUP($A170,S275_09,13,FALSE),0)</f>
        <v>0</v>
      </c>
      <c r="AA170" s="267">
        <f>IFERROR(VLOOKUP($A170,Supp_49,14,FALSE),0)+IFERROR(SUMPRODUCT(VLOOKUP($A170,S275_01,{38,39,40},FALSE)),0)+IFERROR(SUMPRODUCT(VLOOKUP($A170,S275_97,{38,39,40},FALSE)),0)+IFERROR(ROUND(VLOOKUP($A170,S275_21,38,FALSE)*VLOOKUP($A170,'3121% SY'!$C$3:$M$324,11,FALSE),3),0)+IFERROR(ROUND(VLOOKUP($A170,S275_21,39,FALSE)*VLOOKUP($A170,'3121% SY'!$C$3:$M$324,11,FALSE),3),0)+IFERROR(ROUND(VLOOKUP($A170,S275_21,40,FALSE)*VLOOKUP($A170,'3121% SY'!$C$3:$M$324,11,FALSE),3),0)+IFERROR(VLOOKUP($A170,S275_09,14,FALSE),0)</f>
        <v>0</v>
      </c>
      <c r="AB170" s="267">
        <f>IFERROR(VLOOKUP($A170,Supp_64,14,FALSE),0)+IFERROR(SUMPRODUCT(VLOOKUP($A170,S275_01,{41,42,43},FALSE)),0)+IFERROR(SUMPRODUCT(VLOOKUP($A170,S275_97,{41,42,43},FALSE)),0)+IFERROR(ROUND(VLOOKUP($A170,S275_21,41,FALSE)*VLOOKUP($A170,'3121% SY'!$C$3:$M$324,11,FALSE),3),0)+IFERROR(ROUND(VLOOKUP($A170,S275_21,42,FALSE)*VLOOKUP($A170,'3121% SY'!$C$3:$M$324,11,FALSE),3),0)+IFERROR(ROUND(VLOOKUP($A170,S275_21,43,FALSE)*VLOOKUP($A170,'3121% SY'!$C$3:$M$324,11,FALSE),3),0)+IFERROR(VLOOKUP($A170,S275_09,15,FALSE),0)</f>
        <v>0</v>
      </c>
      <c r="AC170" s="268">
        <f t="shared" si="37"/>
        <v>2</v>
      </c>
      <c r="AD170" s="267">
        <f>IFERROR(VLOOKUP($A170,Supp_24,14,FALSE),0)+IFERROR(SUMPRODUCT(VLOOKUP($A170,S275_01,{2,3,4},FALSE)),0)+IFERROR(SUMPRODUCT(VLOOKUP($A170,S275_97,{2,3,4},FALSE)),0)+IFERROR(ROUND(VLOOKUP($A170,S275_21,2,FALSE)*VLOOKUP($A170,'3121% SY'!$C$3:$M$324,11,FALSE),3),0)+IFERROR(ROUND(VLOOKUP($A170,S275_21,3,FALSE)*VLOOKUP($A170,'3121% SY'!$C$3:$M$324,11,FALSE),3),0)+IFERROR(ROUND(VLOOKUP($A170,S275_21,4,FALSE)*VLOOKUP($A170,'3121% SY'!$C$3:$M$324,11,FALSE),3),0)+IFERROR(VLOOKUP($A170,S275_09,2,FALSE),0)</f>
        <v>0</v>
      </c>
      <c r="AE170" s="267">
        <f>IFERROR(VLOOKUP($A170,Supp_25,14,FALSE),0)+IFERROR(SUMPRODUCT(VLOOKUP($A170,S275_01,{5,6,7},FALSE)),0)+IFERROR(SUMPRODUCT(VLOOKUP($A170,S275_97,{5,6,7},FALSE)),0)+IFERROR(ROUND(VLOOKUP($A170,S275_21,5,FALSE)*VLOOKUP($A170,'3121% SY'!$C$3:$M$324,11,FALSE),3),0)+IFERROR(ROUND(VLOOKUP($A170,S275_21,6,FALSE)*VLOOKUP($A170,'3121% SY'!$C$3:$M$324,11,FALSE),3),0)+IFERROR(ROUND(VLOOKUP($A170,S275_21,7,FALSE)*VLOOKUP($A170,'3121% SY'!$C$3:$M$324,11,FALSE),3),0)+IFERROR(VLOOKUP($A170,S275_09,3,FALSE),0)</f>
        <v>0.626</v>
      </c>
      <c r="AF170" s="267">
        <f>IFERROR(VLOOKUP($A170,Supp_26,14,FALSE),0)+IFERROR(SUMPRODUCT(VLOOKUP($A170,S275_01,{8,9,10},FALSE)),0)+IFERROR(SUMPRODUCT(VLOOKUP($A170,S275_97,{8,9,10},FALSE)),0)+IFERROR(ROUND(VLOOKUP($A170,S275_21,8,FALSE)*VLOOKUP($A170,'3121% SY'!$C$3:$M$324,11,FALSE),3),0)+IFERROR(ROUND(VLOOKUP($A170,S275_21,9,FALSE)*VLOOKUP($A170,'3121% SY'!$C$3:$M$324,11,FALSE),3),0)+IFERROR(ROUND(VLOOKUP($A170,S275_21,10,FALSE)*VLOOKUP($A170,'3121% SY'!$C$3:$M$324,11,FALSE),3),0)+IFERROR(VLOOKUP($A170,S275_09,4,FALSE),0)</f>
        <v>0</v>
      </c>
      <c r="AG170" s="267">
        <f>IFERROR(VLOOKUP($A170,Supp_35,14,FALSE),0)+IFERROR(SUMPRODUCT(VLOOKUP($A170,S275_01,{11,12,13},FALSE)),0)+IFERROR(SUMPRODUCT(VLOOKUP($A170,S275_97,{11,12,13},FALSE)),0)+IFERROR(ROUND(VLOOKUP($A170,S275_21,11,FALSE)*VLOOKUP($A170,'3121% SY'!$C$3:$M$324,11,FALSE),3),0)+IFERROR(ROUND(VLOOKUP($A170,S275_21,12,FALSE)*VLOOKUP($A170,'3121% SY'!$C$3:$M$324,11,FALSE),3),0)+IFERROR(ROUND(VLOOKUP($A170,S275_21,13,FALSE)*VLOOKUP($A170,'3121% SY'!$C$3:$M$324,11,FALSE),3),0)+IFERROR(VLOOKUP($A170,S275_09,5,FALSE),0)</f>
        <v>0</v>
      </c>
      <c r="AH170" s="165">
        <f t="shared" si="38"/>
        <v>0.626</v>
      </c>
      <c r="AI170" s="161">
        <f>IFERROR(VLOOKUP(A170,'Supp Staff Data'!A:ER,148,FALSE),0)+AB170</f>
        <v>0</v>
      </c>
      <c r="AJ170" s="174">
        <v>0.95240000000000002</v>
      </c>
      <c r="AK170" s="25">
        <f>VLOOKUP(A170,'Enroll Data as of January 2025'!$A$3:$T$323,20,FALSE)-F170</f>
        <v>0</v>
      </c>
    </row>
    <row r="171" spans="1:37" x14ac:dyDescent="0.25">
      <c r="A171" s="171" t="s">
        <v>276</v>
      </c>
      <c r="B171" t="s">
        <v>572</v>
      </c>
      <c r="C171" s="173" t="s">
        <v>1078</v>
      </c>
      <c r="D171" s="259">
        <f t="shared" si="30"/>
        <v>0.40600000000000003</v>
      </c>
      <c r="E171" s="259">
        <f t="shared" si="31"/>
        <v>0.52500000000000002</v>
      </c>
      <c r="F171" s="262">
        <f t="shared" si="39"/>
        <v>0.11899999999999999</v>
      </c>
      <c r="G171" s="161">
        <f>ROUND(IF(F171&lt;0,F171*'2024-25 PSES Compliance'!$G$13,0),3)</f>
        <v>0</v>
      </c>
      <c r="H171" s="161">
        <f>ROUND(IF(F171&lt;0,F171*'2024-25 PSES Compliance'!$G$14,0),3)</f>
        <v>0</v>
      </c>
      <c r="I171" s="174">
        <f t="shared" si="33"/>
        <v>0.8571428571428571</v>
      </c>
      <c r="J171" s="174">
        <f t="shared" si="34"/>
        <v>0</v>
      </c>
      <c r="K171" s="161">
        <f>VLOOKUP($A171,'Enroll Data as of January 2025'!$A$3:$M$322,6,FALSE)</f>
        <v>0.23399999999999999</v>
      </c>
      <c r="L171" s="161">
        <f>VLOOKUP($A171,'Enroll Data as of January 2025'!$A$3:$M$322,7,FALSE)</f>
        <v>3.5999999999999997E-2</v>
      </c>
      <c r="M171" s="161">
        <f>VLOOKUP($A171,'Enroll Data as of January 2025'!$A$3:$M$322,8,FALSE)</f>
        <v>1.2E-2</v>
      </c>
      <c r="N171" s="161">
        <f>VLOOKUP($A171,'Enroll Data as of January 2025'!$A$3:$M$322,9,FALSE)</f>
        <v>0.10100000000000001</v>
      </c>
      <c r="O171" s="165">
        <f t="shared" si="35"/>
        <v>0.38300000000000001</v>
      </c>
      <c r="P171" s="161">
        <f>VLOOKUP($A171,'Enroll Data as of January 2025'!$A$3:$M$322,11,FALSE)</f>
        <v>1.4999999999999999E-2</v>
      </c>
      <c r="Q171" s="161">
        <f>VLOOKUP($A171,'Enroll Data as of January 2025'!$A$3:$M$322,12,FALSE)</f>
        <v>8.0000000000000002E-3</v>
      </c>
      <c r="R171" s="165">
        <f t="shared" si="36"/>
        <v>2.3E-2</v>
      </c>
      <c r="S171" s="267">
        <f>IFERROR(VLOOKUP($A171,Supp_39,14,FALSE),0)+IFERROR(SUMPRODUCT(VLOOKUP($A171,S275_01,{14,15,16},FALSE)),0)+IFERROR(SUMPRODUCT(VLOOKUP($A171,S275_97,{14,15,16},FALSE)),0)+IFERROR(ROUND(VLOOKUP($A171,S275_21,14,FALSE)*VLOOKUP($A171,'3121% SY'!$C$3:$M$324,11,FALSE),3),0)+IFERROR(ROUND(VLOOKUP($A171,S275_21,15,FALSE)*VLOOKUP($A171,'3121% SY'!$C$3:$M$324,11,FALSE),3),0)+IFERROR(ROUND(VLOOKUP($A171,S275_21,16,FALSE)*VLOOKUP($A171,'3121% SY'!$C$3:$M$324,11,FALSE),3),0)+IFERROR(VLOOKUP($A171,S275_09,6,FALSE),0)</f>
        <v>0.45</v>
      </c>
      <c r="T171" s="267">
        <f>IFERROR(VLOOKUP($A171,Supp_42,14,FALSE),0)+IFERROR(SUMPRODUCT(VLOOKUP($A171,S275_01,{17,18,19},FALSE)),0)+IFERROR(SUMPRODUCT(VLOOKUP($A171,S275_97,{17,18,19},FALSE)),0)+IFERROR(ROUND(VLOOKUP($A171,S275_21,17,FALSE)*VLOOKUP($A171,'3121% SY'!$C$3:$M$324,11,FALSE),3),0)+IFERROR(ROUND(VLOOKUP($A171,S275_21,18,FALSE)*VLOOKUP($A171,'3121% SY'!$C$3:$M$324,11,FALSE),3),0)+IFERROR(ROUND(VLOOKUP($A171,S275_21,19,FALSE)*VLOOKUP($A171,'3121% SY'!$C$3:$M$324,11,FALSE),3),0)+IFERROR(VLOOKUP($A171,S275_09,7,FALSE),0)</f>
        <v>0</v>
      </c>
      <c r="U171" s="267">
        <f>IFERROR(VLOOKUP($A171,Supp_43,14,FALSE),0)+IFERROR(SUMPRODUCT(VLOOKUP($A171,S275_01,{20,21,22},FALSE)),0)+IFERROR(SUMPRODUCT(VLOOKUP($A171,S275_97,{20,21,22},FALSE)),0)+IFERROR(ROUND(VLOOKUP($A171,S275_21,20,FALSE)*VLOOKUP($A171,'3121% SY'!$C$3:$M$324,11,FALSE),3),0)+IFERROR(ROUND(VLOOKUP($A171,S275_21,21,FALSE)*VLOOKUP($A171,'3121% SY'!$C$3:$M$324,11,FALSE),3),0)+IFERROR(ROUND(VLOOKUP($A171,S275_21,22,FALSE)*VLOOKUP($A171,'3121% SY'!$C$3:$M$324,11,FALSE),3),0)+IFERROR(VLOOKUP($A171,S275_09,8,FALSE),0)</f>
        <v>0</v>
      </c>
      <c r="V171" s="267">
        <f>IFERROR(VLOOKUP($A171,Supp_44,14,FALSE),0)+IFERROR(SUMPRODUCT(VLOOKUP($A171,S275_01,{23,24,25},FALSE)),0)+IFERROR(SUMPRODUCT(VLOOKUP($A171,S275_97,{23,24,25},FALSE)),0)+IFERROR(ROUND(VLOOKUP($A171,S275_21,23,FALSE)*VLOOKUP($A171,'3121% SY'!$C$3:$M$324,11,FALSE),3),0)+IFERROR(ROUND(VLOOKUP($A171,S275_21,24,FALSE)*VLOOKUP($A171,'3121% SY'!$C$3:$M$324,11,FALSE),3),0)+IFERROR(ROUND(VLOOKUP($A171,S275_21,25,FALSE)*VLOOKUP($A171,'3121% SY'!$C$3:$M$324,11,FALSE),3),0)+IFERROR(VLOOKUP($A171,S275_09,9,FALSE),0)</f>
        <v>0</v>
      </c>
      <c r="W171" s="267">
        <f>IFERROR(VLOOKUP($A171,Supp_45,14,FALSE),0)+IFERROR(SUMPRODUCT(VLOOKUP($A171,S275_01,{26,27,28},FALSE)),0)+IFERROR(SUMPRODUCT(VLOOKUP($A171,S275_97,{26,27,28},FALSE)),0)+IFERROR(ROUND(VLOOKUP($A171,S275_21,26,FALSE)*VLOOKUP($A171,'3121% SY'!$C$3:$M$324,11,FALSE),3),0)+IFERROR(ROUND(VLOOKUP($A171,S275_21,27,FALSE)*VLOOKUP($A171,'3121% SY'!$C$3:$M$324,11,FALSE),3),0)+IFERROR(ROUND(VLOOKUP($A171,S275_21,28,FALSE)*VLOOKUP($A171,'3121% SY'!$C$3:$M$324,11,FALSE),3),0)+IFERROR(VLOOKUP($A171,S275_09,10,FALSE),0)</f>
        <v>0</v>
      </c>
      <c r="X171" s="267">
        <f>IFERROR(VLOOKUP($A171,Supp_46,14,FALSE),0)+IFERROR(SUMPRODUCT(VLOOKUP($A171,S275_01,{29,30,31},FALSE)),0)+IFERROR(SUMPRODUCT(VLOOKUP($A171,S275_97,{29,30,31},FALSE)),0)+IFERROR(ROUND(VLOOKUP($A171,S275_21,29,FALSE)*VLOOKUP($A171,'3121% SY'!$C$3:$M$324,11,FALSE),3),0)+IFERROR(ROUND(VLOOKUP($A171,S275_21,30,FALSE)*VLOOKUP($A171,'3121% SY'!$C$3:$M$324,11,FALSE),3),0)+IFERROR(ROUND(VLOOKUP($A171,S275_21,31,FALSE)*VLOOKUP($A171,'3121% SY'!$C$3:$M$324,11,FALSE),3),0)+IFERROR(VLOOKUP($A171,S275_09,11,FALSE),0)</f>
        <v>0</v>
      </c>
      <c r="Y171" s="267">
        <f>IFERROR(VLOOKUP($A171,Supp_47,14,FALSE),0)+IFERROR(SUMPRODUCT(VLOOKUP($A171,S275_01,{32,33,34},FALSE)),0)+IFERROR(SUMPRODUCT(VLOOKUP($A171,S275_97,{32,33,34},FALSE)),0)+IFERROR(ROUND(VLOOKUP($A171,S275_21,32,FALSE)*VLOOKUP($A171,'3121% SY'!$C$3:$M$324,11,FALSE),3),0)+IFERROR(ROUND(VLOOKUP($A171,S275_21,33,FALSE)*VLOOKUP($A171,'3121% SY'!$C$3:$M$324,11,FALSE),3),0)+IFERROR(ROUND(VLOOKUP($A171,S275_21,34,FALSE)*VLOOKUP($A171,'3121% SY'!$C$3:$M$324,11,FALSE),3),0)+IFERROR(VLOOKUP($A171,S275_09,12,FALSE),0)</f>
        <v>0</v>
      </c>
      <c r="Z171" s="267">
        <f>IFERROR(VLOOKUP($A171,Supp_48,14,FALSE),0)+IFERROR(SUMPRODUCT(VLOOKUP($A171,S275_01,{35,36,37},FALSE)),0)+IFERROR(SUMPRODUCT(VLOOKUP($A171,S275_97,{35,36,37},FALSE)),0)+IFERROR(ROUND(VLOOKUP($A171,S275_21,35,FALSE)*VLOOKUP($A171,'3121% SY'!$C$3:$M$324,11,FALSE),3),0)+IFERROR(ROUND(VLOOKUP($A171,S275_21,36,FALSE)*VLOOKUP($A171,'3121% SY'!$C$3:$M$324,11,FALSE),3),0)+IFERROR(ROUND(VLOOKUP($A171,S275_21,37,FALSE)*VLOOKUP($A171,'3121% SY'!$C$3:$M$324,11,FALSE),3),0)+IFERROR(VLOOKUP($A171,S275_09,13,FALSE),0)</f>
        <v>0</v>
      </c>
      <c r="AA171" s="267">
        <f>IFERROR(VLOOKUP($A171,Supp_49,14,FALSE),0)+IFERROR(SUMPRODUCT(VLOOKUP($A171,S275_01,{38,39,40},FALSE)),0)+IFERROR(SUMPRODUCT(VLOOKUP($A171,S275_97,{38,39,40},FALSE)),0)+IFERROR(ROUND(VLOOKUP($A171,S275_21,38,FALSE)*VLOOKUP($A171,'3121% SY'!$C$3:$M$324,11,FALSE),3),0)+IFERROR(ROUND(VLOOKUP($A171,S275_21,39,FALSE)*VLOOKUP($A171,'3121% SY'!$C$3:$M$324,11,FALSE),3),0)+IFERROR(ROUND(VLOOKUP($A171,S275_21,40,FALSE)*VLOOKUP($A171,'3121% SY'!$C$3:$M$324,11,FALSE),3),0)+IFERROR(VLOOKUP($A171,S275_09,14,FALSE),0)</f>
        <v>0</v>
      </c>
      <c r="AB171" s="267">
        <f>IFERROR(VLOOKUP($A171,Supp_64,14,FALSE),0)+IFERROR(SUMPRODUCT(VLOOKUP($A171,S275_01,{41,42,43},FALSE)),0)+IFERROR(SUMPRODUCT(VLOOKUP($A171,S275_97,{41,42,43},FALSE)),0)+IFERROR(ROUND(VLOOKUP($A171,S275_21,41,FALSE)*VLOOKUP($A171,'3121% SY'!$C$3:$M$324,11,FALSE),3),0)+IFERROR(ROUND(VLOOKUP($A171,S275_21,42,FALSE)*VLOOKUP($A171,'3121% SY'!$C$3:$M$324,11,FALSE),3),0)+IFERROR(ROUND(VLOOKUP($A171,S275_21,43,FALSE)*VLOOKUP($A171,'3121% SY'!$C$3:$M$324,11,FALSE),3),0)+IFERROR(VLOOKUP($A171,S275_09,15,FALSE),0)</f>
        <v>0</v>
      </c>
      <c r="AC171" s="268">
        <f t="shared" si="37"/>
        <v>0.45</v>
      </c>
      <c r="AD171" s="267">
        <f>IFERROR(VLOOKUP($A171,Supp_24,14,FALSE),0)+IFERROR(SUMPRODUCT(VLOOKUP($A171,S275_01,{2,3,4},FALSE)),0)+IFERROR(SUMPRODUCT(VLOOKUP($A171,S275_97,{2,3,4},FALSE)),0)+IFERROR(ROUND(VLOOKUP($A171,S275_21,2,FALSE)*VLOOKUP($A171,'3121% SY'!$C$3:$M$324,11,FALSE),3),0)+IFERROR(ROUND(VLOOKUP($A171,S275_21,3,FALSE)*VLOOKUP($A171,'3121% SY'!$C$3:$M$324,11,FALSE),3),0)+IFERROR(ROUND(VLOOKUP($A171,S275_21,4,FALSE)*VLOOKUP($A171,'3121% SY'!$C$3:$M$324,11,FALSE),3),0)+IFERROR(VLOOKUP($A171,S275_09,2,FALSE),0)</f>
        <v>0</v>
      </c>
      <c r="AE171" s="267">
        <f>IFERROR(VLOOKUP($A171,Supp_25,14,FALSE),0)+IFERROR(SUMPRODUCT(VLOOKUP($A171,S275_01,{5,6,7},FALSE)),0)+IFERROR(SUMPRODUCT(VLOOKUP($A171,S275_97,{5,6,7},FALSE)),0)+IFERROR(ROUND(VLOOKUP($A171,S275_21,5,FALSE)*VLOOKUP($A171,'3121% SY'!$C$3:$M$324,11,FALSE),3),0)+IFERROR(ROUND(VLOOKUP($A171,S275_21,6,FALSE)*VLOOKUP($A171,'3121% SY'!$C$3:$M$324,11,FALSE),3),0)+IFERROR(ROUND(VLOOKUP($A171,S275_21,7,FALSE)*VLOOKUP($A171,'3121% SY'!$C$3:$M$324,11,FALSE),3),0)+IFERROR(VLOOKUP($A171,S275_09,3,FALSE),0)</f>
        <v>0</v>
      </c>
      <c r="AF171" s="267">
        <f>IFERROR(VLOOKUP($A171,Supp_26,14,FALSE),0)+IFERROR(SUMPRODUCT(VLOOKUP($A171,S275_01,{8,9,10},FALSE)),0)+IFERROR(SUMPRODUCT(VLOOKUP($A171,S275_97,{8,9,10},FALSE)),0)+IFERROR(ROUND(VLOOKUP($A171,S275_21,8,FALSE)*VLOOKUP($A171,'3121% SY'!$C$3:$M$324,11,FALSE),3),0)+IFERROR(ROUND(VLOOKUP($A171,S275_21,9,FALSE)*VLOOKUP($A171,'3121% SY'!$C$3:$M$324,11,FALSE),3),0)+IFERROR(ROUND(VLOOKUP($A171,S275_21,10,FALSE)*VLOOKUP($A171,'3121% SY'!$C$3:$M$324,11,FALSE),3),0)+IFERROR(VLOOKUP($A171,S275_09,4,FALSE),0)</f>
        <v>7.4999999999999997E-2</v>
      </c>
      <c r="AG171" s="267">
        <f>IFERROR(VLOOKUP($A171,Supp_35,14,FALSE),0)+IFERROR(SUMPRODUCT(VLOOKUP($A171,S275_01,{11,12,13},FALSE)),0)+IFERROR(SUMPRODUCT(VLOOKUP($A171,S275_97,{11,12,13},FALSE)),0)+IFERROR(ROUND(VLOOKUP($A171,S275_21,11,FALSE)*VLOOKUP($A171,'3121% SY'!$C$3:$M$324,11,FALSE),3),0)+IFERROR(ROUND(VLOOKUP($A171,S275_21,12,FALSE)*VLOOKUP($A171,'3121% SY'!$C$3:$M$324,11,FALSE),3),0)+IFERROR(ROUND(VLOOKUP($A171,S275_21,13,FALSE)*VLOOKUP($A171,'3121% SY'!$C$3:$M$324,11,FALSE),3),0)+IFERROR(VLOOKUP($A171,S275_09,5,FALSE),0)</f>
        <v>0</v>
      </c>
      <c r="AH171" s="165">
        <f t="shared" si="38"/>
        <v>7.4999999999999997E-2</v>
      </c>
      <c r="AI171" s="161">
        <f>IFERROR(VLOOKUP(A171,'Supp Staff Data'!A:ER,148,FALSE),0)+AB171</f>
        <v>0</v>
      </c>
      <c r="AJ171" s="174">
        <v>1</v>
      </c>
      <c r="AK171" s="25">
        <f>VLOOKUP(A171,'Enroll Data as of January 2025'!$A$3:$T$323,20,FALSE)-F171</f>
        <v>0</v>
      </c>
    </row>
    <row r="172" spans="1:37" x14ac:dyDescent="0.25">
      <c r="A172" s="171" t="s">
        <v>146</v>
      </c>
      <c r="B172" t="s">
        <v>442</v>
      </c>
      <c r="C172" s="173" t="s">
        <v>1077</v>
      </c>
      <c r="D172" s="259">
        <f t="shared" si="30"/>
        <v>4.2039999999999997</v>
      </c>
      <c r="E172" s="259">
        <f t="shared" si="31"/>
        <v>4.657</v>
      </c>
      <c r="F172" s="262">
        <f t="shared" si="39"/>
        <v>0.45300000000000001</v>
      </c>
      <c r="G172" s="161">
        <f>ROUND(IF(F172&lt;0,F172*'2024-25 PSES Compliance'!$G$13,0),3)</f>
        <v>0</v>
      </c>
      <c r="H172" s="161">
        <f>ROUND(IF(F172&lt;0,F172*'2024-25 PSES Compliance'!$G$14,0),3)</f>
        <v>0</v>
      </c>
      <c r="I172" s="174">
        <f t="shared" si="33"/>
        <v>0.65207869873308999</v>
      </c>
      <c r="J172" s="174">
        <f t="shared" si="34"/>
        <v>1.1434399828215589</v>
      </c>
      <c r="K172" s="161">
        <f>VLOOKUP($A172,'Enroll Data as of January 2025'!$A$3:$M$322,6,FALSE)</f>
        <v>2.3090000000000002</v>
      </c>
      <c r="L172" s="161">
        <f>VLOOKUP($A172,'Enroll Data as of January 2025'!$A$3:$M$322,7,FALSE)</f>
        <v>0.41100000000000003</v>
      </c>
      <c r="M172" s="161">
        <f>VLOOKUP($A172,'Enroll Data as of January 2025'!$A$3:$M$322,8,FALSE)</f>
        <v>0.13700000000000001</v>
      </c>
      <c r="N172" s="161">
        <f>VLOOKUP($A172,'Enroll Data as of January 2025'!$A$3:$M$322,9,FALSE)</f>
        <v>1.103</v>
      </c>
      <c r="O172" s="165">
        <f t="shared" si="35"/>
        <v>3.96</v>
      </c>
      <c r="P172" s="161">
        <f>VLOOKUP($A172,'Enroll Data as of January 2025'!$A$3:$M$322,11,FALSE)</f>
        <v>0.14899999999999999</v>
      </c>
      <c r="Q172" s="161">
        <f>VLOOKUP($A172,'Enroll Data as of January 2025'!$A$3:$M$322,12,FALSE)</f>
        <v>9.5000000000000001E-2</v>
      </c>
      <c r="R172" s="165">
        <f t="shared" si="36"/>
        <v>0.24399999999999999</v>
      </c>
      <c r="S172" s="267">
        <f>IFERROR(VLOOKUP($A172,Supp_39,14,FALSE),0)+IFERROR(SUMPRODUCT(VLOOKUP($A172,S275_01,{14,15,16},FALSE)),0)+IFERROR(SUMPRODUCT(VLOOKUP($A172,S275_97,{14,15,16},FALSE)),0)+IFERROR(ROUND(VLOOKUP($A172,S275_21,14,FALSE)*VLOOKUP($A172,'3121% SY'!$C$3:$M$324,11,FALSE),3),0)+IFERROR(ROUND(VLOOKUP($A172,S275_21,15,FALSE)*VLOOKUP($A172,'3121% SY'!$C$3:$M$324,11,FALSE),3),0)+IFERROR(ROUND(VLOOKUP($A172,S275_21,16,FALSE)*VLOOKUP($A172,'3121% SY'!$C$3:$M$324,11,FALSE),3),0)+IFERROR(VLOOKUP($A172,S275_09,6,FALSE),0)</f>
        <v>1.603</v>
      </c>
      <c r="T172" s="267">
        <f>IFERROR(VLOOKUP($A172,Supp_42,14,FALSE),0)+IFERROR(SUMPRODUCT(VLOOKUP($A172,S275_01,{17,18,19},FALSE)),0)+IFERROR(SUMPRODUCT(VLOOKUP($A172,S275_97,{17,18,19},FALSE)),0)+IFERROR(ROUND(VLOOKUP($A172,S275_21,17,FALSE)*VLOOKUP($A172,'3121% SY'!$C$3:$M$324,11,FALSE),3),0)+IFERROR(ROUND(VLOOKUP($A172,S275_21,18,FALSE)*VLOOKUP($A172,'3121% SY'!$C$3:$M$324,11,FALSE),3),0)+IFERROR(ROUND(VLOOKUP($A172,S275_21,19,FALSE)*VLOOKUP($A172,'3121% SY'!$C$3:$M$324,11,FALSE),3),0)+IFERROR(VLOOKUP($A172,S275_09,7,FALSE),0)</f>
        <v>0.151</v>
      </c>
      <c r="U172" s="267">
        <f>IFERROR(VLOOKUP($A172,Supp_43,14,FALSE),0)+IFERROR(SUMPRODUCT(VLOOKUP($A172,S275_01,{20,21,22},FALSE)),0)+IFERROR(SUMPRODUCT(VLOOKUP($A172,S275_97,{20,21,22},FALSE)),0)+IFERROR(ROUND(VLOOKUP($A172,S275_21,20,FALSE)*VLOOKUP($A172,'3121% SY'!$C$3:$M$324,11,FALSE),3),0)+IFERROR(ROUND(VLOOKUP($A172,S275_21,21,FALSE)*VLOOKUP($A172,'3121% SY'!$C$3:$M$324,11,FALSE),3),0)+IFERROR(ROUND(VLOOKUP($A172,S275_21,22,FALSE)*VLOOKUP($A172,'3121% SY'!$C$3:$M$324,11,FALSE),3),0)+IFERROR(VLOOKUP($A172,S275_09,8,FALSE),0)</f>
        <v>0.25700000000000001</v>
      </c>
      <c r="V172" s="267">
        <f>IFERROR(VLOOKUP($A172,Supp_44,14,FALSE),0)+IFERROR(SUMPRODUCT(VLOOKUP($A172,S275_01,{23,24,25},FALSE)),0)+IFERROR(SUMPRODUCT(VLOOKUP($A172,S275_97,{23,24,25},FALSE)),0)+IFERROR(ROUND(VLOOKUP($A172,S275_21,23,FALSE)*VLOOKUP($A172,'3121% SY'!$C$3:$M$324,11,FALSE),3),0)+IFERROR(ROUND(VLOOKUP($A172,S275_21,24,FALSE)*VLOOKUP($A172,'3121% SY'!$C$3:$M$324,11,FALSE),3),0)+IFERROR(ROUND(VLOOKUP($A172,S275_21,25,FALSE)*VLOOKUP($A172,'3121% SY'!$C$3:$M$324,11,FALSE),3),0)+IFERROR(VLOOKUP($A172,S275_09,9,FALSE),0)</f>
        <v>0</v>
      </c>
      <c r="W172" s="267">
        <f>IFERROR(VLOOKUP($A172,Supp_45,14,FALSE),0)+IFERROR(SUMPRODUCT(VLOOKUP($A172,S275_01,{26,27,28},FALSE)),0)+IFERROR(SUMPRODUCT(VLOOKUP($A172,S275_97,{26,27,28},FALSE)),0)+IFERROR(ROUND(VLOOKUP($A172,S275_21,26,FALSE)*VLOOKUP($A172,'3121% SY'!$C$3:$M$324,11,FALSE),3),0)+IFERROR(ROUND(VLOOKUP($A172,S275_21,27,FALSE)*VLOOKUP($A172,'3121% SY'!$C$3:$M$324,11,FALSE),3),0)+IFERROR(ROUND(VLOOKUP($A172,S275_21,28,FALSE)*VLOOKUP($A172,'3121% SY'!$C$3:$M$324,11,FALSE),3),0)+IFERROR(VLOOKUP($A172,S275_09,10,FALSE),0)</f>
        <v>0.56500000000000006</v>
      </c>
      <c r="X172" s="267">
        <f>IFERROR(VLOOKUP($A172,Supp_46,14,FALSE),0)+IFERROR(SUMPRODUCT(VLOOKUP($A172,S275_01,{29,30,31},FALSE)),0)+IFERROR(SUMPRODUCT(VLOOKUP($A172,S275_97,{29,30,31},FALSE)),0)+IFERROR(ROUND(VLOOKUP($A172,S275_21,29,FALSE)*VLOOKUP($A172,'3121% SY'!$C$3:$M$324,11,FALSE),3),0)+IFERROR(ROUND(VLOOKUP($A172,S275_21,30,FALSE)*VLOOKUP($A172,'3121% SY'!$C$3:$M$324,11,FALSE),3),0)+IFERROR(ROUND(VLOOKUP($A172,S275_21,31,FALSE)*VLOOKUP($A172,'3121% SY'!$C$3:$M$324,11,FALSE),3),0)+IFERROR(VLOOKUP($A172,S275_09,11,FALSE),0)</f>
        <v>0.25700000000000001</v>
      </c>
      <c r="Y172" s="267">
        <f>IFERROR(VLOOKUP($A172,Supp_47,14,FALSE),0)+IFERROR(SUMPRODUCT(VLOOKUP($A172,S275_01,{32,33,34},FALSE)),0)+IFERROR(SUMPRODUCT(VLOOKUP($A172,S275_97,{32,33,34},FALSE)),0)+IFERROR(ROUND(VLOOKUP($A172,S275_21,32,FALSE)*VLOOKUP($A172,'3121% SY'!$C$3:$M$324,11,FALSE),3),0)+IFERROR(ROUND(VLOOKUP($A172,S275_21,33,FALSE)*VLOOKUP($A172,'3121% SY'!$C$3:$M$324,11,FALSE),3),0)+IFERROR(ROUND(VLOOKUP($A172,S275_21,34,FALSE)*VLOOKUP($A172,'3121% SY'!$C$3:$M$324,11,FALSE),3),0)+IFERROR(VLOOKUP($A172,S275_09,12,FALSE),0)</f>
        <v>1</v>
      </c>
      <c r="Z172" s="267">
        <f>IFERROR(VLOOKUP($A172,Supp_48,14,FALSE),0)+IFERROR(SUMPRODUCT(VLOOKUP($A172,S275_01,{35,36,37},FALSE)),0)+IFERROR(SUMPRODUCT(VLOOKUP($A172,S275_97,{35,36,37},FALSE)),0)+IFERROR(ROUND(VLOOKUP($A172,S275_21,35,FALSE)*VLOOKUP($A172,'3121% SY'!$C$3:$M$324,11,FALSE),3),0)+IFERROR(ROUND(VLOOKUP($A172,S275_21,36,FALSE)*VLOOKUP($A172,'3121% SY'!$C$3:$M$324,11,FALSE),3),0)+IFERROR(ROUND(VLOOKUP($A172,S275_21,37,FALSE)*VLOOKUP($A172,'3121% SY'!$C$3:$M$324,11,FALSE),3),0)+IFERROR(VLOOKUP($A172,S275_09,13,FALSE),0)</f>
        <v>3.2000000000000001E-2</v>
      </c>
      <c r="AA172" s="267">
        <f>IFERROR(VLOOKUP($A172,Supp_49,14,FALSE),0)+IFERROR(SUMPRODUCT(VLOOKUP($A172,S275_01,{38,39,40},FALSE)),0)+IFERROR(SUMPRODUCT(VLOOKUP($A172,S275_97,{38,39,40},FALSE)),0)+IFERROR(ROUND(VLOOKUP($A172,S275_21,38,FALSE)*VLOOKUP($A172,'3121% SY'!$C$3:$M$324,11,FALSE),3),0)+IFERROR(ROUND(VLOOKUP($A172,S275_21,39,FALSE)*VLOOKUP($A172,'3121% SY'!$C$3:$M$324,11,FALSE),3),0)+IFERROR(ROUND(VLOOKUP($A172,S275_21,40,FALSE)*VLOOKUP($A172,'3121% SY'!$C$3:$M$324,11,FALSE),3),0)+IFERROR(VLOOKUP($A172,S275_09,14,FALSE),0)</f>
        <v>0</v>
      </c>
      <c r="AB172" s="267">
        <f>IFERROR(VLOOKUP($A172,Supp_64,14,FALSE),0)+IFERROR(SUMPRODUCT(VLOOKUP($A172,S275_01,{41,42,43},FALSE)),0)+IFERROR(SUMPRODUCT(VLOOKUP($A172,S275_97,{41,42,43},FALSE)),0)+IFERROR(ROUND(VLOOKUP($A172,S275_21,41,FALSE)*VLOOKUP($A172,'3121% SY'!$C$3:$M$324,11,FALSE),3),0)+IFERROR(ROUND(VLOOKUP($A172,S275_21,42,FALSE)*VLOOKUP($A172,'3121% SY'!$C$3:$M$324,11,FALSE),3),0)+IFERROR(ROUND(VLOOKUP($A172,S275_21,43,FALSE)*VLOOKUP($A172,'3121% SY'!$C$3:$M$324,11,FALSE),3),0)+IFERROR(VLOOKUP($A172,S275_09,15,FALSE),0)</f>
        <v>0</v>
      </c>
      <c r="AC172" s="268">
        <f t="shared" si="37"/>
        <v>3.8650000000000002</v>
      </c>
      <c r="AD172" s="267">
        <f>IFERROR(VLOOKUP($A172,Supp_24,14,FALSE),0)+IFERROR(SUMPRODUCT(VLOOKUP($A172,S275_01,{2,3,4},FALSE)),0)+IFERROR(SUMPRODUCT(VLOOKUP($A172,S275_97,{2,3,4},FALSE)),0)+IFERROR(ROUND(VLOOKUP($A172,S275_21,2,FALSE)*VLOOKUP($A172,'3121% SY'!$C$3:$M$324,11,FALSE),3),0)+IFERROR(ROUND(VLOOKUP($A172,S275_21,3,FALSE)*VLOOKUP($A172,'3121% SY'!$C$3:$M$324,11,FALSE),3),0)+IFERROR(ROUND(VLOOKUP($A172,S275_21,4,FALSE)*VLOOKUP($A172,'3121% SY'!$C$3:$M$324,11,FALSE),3),0)+IFERROR(VLOOKUP($A172,S275_09,2,FALSE),0)</f>
        <v>0</v>
      </c>
      <c r="AE172" s="267">
        <f>IFERROR(VLOOKUP($A172,Supp_25,14,FALSE),0)+IFERROR(SUMPRODUCT(VLOOKUP($A172,S275_01,{5,6,7},FALSE)),0)+IFERROR(SUMPRODUCT(VLOOKUP($A172,S275_97,{5,6,7},FALSE)),0)+IFERROR(ROUND(VLOOKUP($A172,S275_21,5,FALSE)*VLOOKUP($A172,'3121% SY'!$C$3:$M$324,11,FALSE),3),0)+IFERROR(ROUND(VLOOKUP($A172,S275_21,6,FALSE)*VLOOKUP($A172,'3121% SY'!$C$3:$M$324,11,FALSE),3),0)+IFERROR(ROUND(VLOOKUP($A172,S275_21,7,FALSE)*VLOOKUP($A172,'3121% SY'!$C$3:$M$324,11,FALSE),3),0)+IFERROR(VLOOKUP($A172,S275_09,3,FALSE),0)</f>
        <v>0.39600000000000002</v>
      </c>
      <c r="AF172" s="267">
        <f>IFERROR(VLOOKUP($A172,Supp_26,14,FALSE),0)+IFERROR(SUMPRODUCT(VLOOKUP($A172,S275_01,{8,9,10},FALSE)),0)+IFERROR(SUMPRODUCT(VLOOKUP($A172,S275_97,{8,9,10},FALSE)),0)+IFERROR(ROUND(VLOOKUP($A172,S275_21,8,FALSE)*VLOOKUP($A172,'3121% SY'!$C$3:$M$324,11,FALSE),3),0)+IFERROR(ROUND(VLOOKUP($A172,S275_21,9,FALSE)*VLOOKUP($A172,'3121% SY'!$C$3:$M$324,11,FALSE),3),0)+IFERROR(ROUND(VLOOKUP($A172,S275_21,10,FALSE)*VLOOKUP($A172,'3121% SY'!$C$3:$M$324,11,FALSE),3),0)+IFERROR(VLOOKUP($A172,S275_09,4,FALSE),0)</f>
        <v>0.39600000000000002</v>
      </c>
      <c r="AG172" s="267">
        <f>IFERROR(VLOOKUP($A172,Supp_35,14,FALSE),0)+IFERROR(SUMPRODUCT(VLOOKUP($A172,S275_01,{11,12,13},FALSE)),0)+IFERROR(SUMPRODUCT(VLOOKUP($A172,S275_97,{11,12,13},FALSE)),0)+IFERROR(ROUND(VLOOKUP($A172,S275_21,11,FALSE)*VLOOKUP($A172,'3121% SY'!$C$3:$M$324,11,FALSE),3),0)+IFERROR(ROUND(VLOOKUP($A172,S275_21,12,FALSE)*VLOOKUP($A172,'3121% SY'!$C$3:$M$324,11,FALSE),3),0)+IFERROR(ROUND(VLOOKUP($A172,S275_21,13,FALSE)*VLOOKUP($A172,'3121% SY'!$C$3:$M$324,11,FALSE),3),0)+IFERROR(VLOOKUP($A172,S275_09,5,FALSE),0)</f>
        <v>0</v>
      </c>
      <c r="AH172" s="165">
        <f t="shared" si="38"/>
        <v>0.79200000000000004</v>
      </c>
      <c r="AI172" s="161">
        <f>IFERROR(VLOOKUP(A172,'Supp Staff Data'!A:ER,148,FALSE),0)+AB172</f>
        <v>5.3250000000000002</v>
      </c>
      <c r="AJ172" s="174">
        <v>0.78569999999999995</v>
      </c>
      <c r="AK172" s="25">
        <f>VLOOKUP(A172,'Enroll Data as of January 2025'!$A$3:$T$323,20,FALSE)-F172</f>
        <v>0</v>
      </c>
    </row>
    <row r="173" spans="1:37" x14ac:dyDescent="0.25">
      <c r="A173" s="171" t="s">
        <v>251</v>
      </c>
      <c r="B173" t="s">
        <v>547</v>
      </c>
      <c r="C173" s="173" t="s">
        <v>1077</v>
      </c>
      <c r="D173" s="259">
        <f t="shared" si="30"/>
        <v>3.5540000000000003</v>
      </c>
      <c r="E173" s="259">
        <f t="shared" si="31"/>
        <v>6.4080000000000004</v>
      </c>
      <c r="F173" s="262">
        <f t="shared" si="39"/>
        <v>2.8540000000000001</v>
      </c>
      <c r="G173" s="161">
        <f>ROUND(IF(F173&lt;0,F173*'2024-25 PSES Compliance'!$G$13,0),3)</f>
        <v>0</v>
      </c>
      <c r="H173" s="161">
        <f>ROUND(IF(F173&lt;0,F173*'2024-25 PSES Compliance'!$G$14,0),3)</f>
        <v>0</v>
      </c>
      <c r="I173" s="174">
        <f t="shared" si="33"/>
        <v>0.63436329588014984</v>
      </c>
      <c r="J173" s="174">
        <f t="shared" si="34"/>
        <v>0</v>
      </c>
      <c r="K173" s="161">
        <f>VLOOKUP($A173,'Enroll Data as of January 2025'!$A$3:$M$322,6,FALSE)</f>
        <v>2.0100000000000002</v>
      </c>
      <c r="L173" s="161">
        <f>VLOOKUP($A173,'Enroll Data as of January 2025'!$A$3:$M$322,7,FALSE)</f>
        <v>0.32300000000000006</v>
      </c>
      <c r="M173" s="161">
        <f>VLOOKUP($A173,'Enroll Data as of January 2025'!$A$3:$M$322,8,FALSE)</f>
        <v>0.108</v>
      </c>
      <c r="N173" s="161">
        <f>VLOOKUP($A173,'Enroll Data as of January 2025'!$A$3:$M$322,9,FALSE)</f>
        <v>0.91600000000000004</v>
      </c>
      <c r="O173" s="165">
        <f t="shared" si="35"/>
        <v>3.3570000000000002</v>
      </c>
      <c r="P173" s="161">
        <f>VLOOKUP($A173,'Enroll Data as of January 2025'!$A$3:$M$322,11,FALSE)</f>
        <v>0.125</v>
      </c>
      <c r="Q173" s="161">
        <f>VLOOKUP($A173,'Enroll Data as of January 2025'!$A$3:$M$322,12,FALSE)</f>
        <v>7.1999999999999995E-2</v>
      </c>
      <c r="R173" s="165">
        <f t="shared" si="36"/>
        <v>0.19700000000000001</v>
      </c>
      <c r="S173" s="267">
        <f>IFERROR(VLOOKUP($A173,Supp_39,14,FALSE),0)+IFERROR(SUMPRODUCT(VLOOKUP($A173,S275_01,{14,15,16},FALSE)),0)+IFERROR(SUMPRODUCT(VLOOKUP($A173,S275_97,{14,15,16},FALSE)),0)+IFERROR(ROUND(VLOOKUP($A173,S275_21,14,FALSE)*VLOOKUP($A173,'3121% SY'!$C$3:$M$324,11,FALSE),3),0)+IFERROR(ROUND(VLOOKUP($A173,S275_21,15,FALSE)*VLOOKUP($A173,'3121% SY'!$C$3:$M$324,11,FALSE),3),0)+IFERROR(ROUND(VLOOKUP($A173,S275_21,16,FALSE)*VLOOKUP($A173,'3121% SY'!$C$3:$M$324,11,FALSE),3),0)+IFERROR(VLOOKUP($A173,S275_09,6,FALSE),0)</f>
        <v>2.5</v>
      </c>
      <c r="T173" s="267">
        <f>IFERROR(VLOOKUP($A173,Supp_42,14,FALSE),0)+IFERROR(SUMPRODUCT(VLOOKUP($A173,S275_01,{17,18,19},FALSE)),0)+IFERROR(SUMPRODUCT(VLOOKUP($A173,S275_97,{17,18,19},FALSE)),0)+IFERROR(ROUND(VLOOKUP($A173,S275_21,17,FALSE)*VLOOKUP($A173,'3121% SY'!$C$3:$M$324,11,FALSE),3),0)+IFERROR(ROUND(VLOOKUP($A173,S275_21,18,FALSE)*VLOOKUP($A173,'3121% SY'!$C$3:$M$324,11,FALSE),3),0)+IFERROR(ROUND(VLOOKUP($A173,S275_21,19,FALSE)*VLOOKUP($A173,'3121% SY'!$C$3:$M$324,11,FALSE),3),0)+IFERROR(VLOOKUP($A173,S275_09,7,FALSE),0)</f>
        <v>0.5</v>
      </c>
      <c r="U173" s="267">
        <f>IFERROR(VLOOKUP($A173,Supp_43,14,FALSE),0)+IFERROR(SUMPRODUCT(VLOOKUP($A173,S275_01,{20,21,22},FALSE)),0)+IFERROR(SUMPRODUCT(VLOOKUP($A173,S275_97,{20,21,22},FALSE)),0)+IFERROR(ROUND(VLOOKUP($A173,S275_21,20,FALSE)*VLOOKUP($A173,'3121% SY'!$C$3:$M$324,11,FALSE),3),0)+IFERROR(ROUND(VLOOKUP($A173,S275_21,21,FALSE)*VLOOKUP($A173,'3121% SY'!$C$3:$M$324,11,FALSE),3),0)+IFERROR(ROUND(VLOOKUP($A173,S275_21,22,FALSE)*VLOOKUP($A173,'3121% SY'!$C$3:$M$324,11,FALSE),3),0)+IFERROR(VLOOKUP($A173,S275_09,8,FALSE),0)</f>
        <v>0</v>
      </c>
      <c r="V173" s="267">
        <f>IFERROR(VLOOKUP($A173,Supp_44,14,FALSE),0)+IFERROR(SUMPRODUCT(VLOOKUP($A173,S275_01,{23,24,25},FALSE)),0)+IFERROR(SUMPRODUCT(VLOOKUP($A173,S275_97,{23,24,25},FALSE)),0)+IFERROR(ROUND(VLOOKUP($A173,S275_21,23,FALSE)*VLOOKUP($A173,'3121% SY'!$C$3:$M$324,11,FALSE),3),0)+IFERROR(ROUND(VLOOKUP($A173,S275_21,24,FALSE)*VLOOKUP($A173,'3121% SY'!$C$3:$M$324,11,FALSE),3),0)+IFERROR(ROUND(VLOOKUP($A173,S275_21,25,FALSE)*VLOOKUP($A173,'3121% SY'!$C$3:$M$324,11,FALSE),3),0)+IFERROR(VLOOKUP($A173,S275_09,9,FALSE),0)</f>
        <v>0</v>
      </c>
      <c r="W173" s="267">
        <f>IFERROR(VLOOKUP($A173,Supp_45,14,FALSE),0)+IFERROR(SUMPRODUCT(VLOOKUP($A173,S275_01,{26,27,28},FALSE)),0)+IFERROR(SUMPRODUCT(VLOOKUP($A173,S275_97,{26,27,28},FALSE)),0)+IFERROR(ROUND(VLOOKUP($A173,S275_21,26,FALSE)*VLOOKUP($A173,'3121% SY'!$C$3:$M$324,11,FALSE),3),0)+IFERROR(ROUND(VLOOKUP($A173,S275_21,27,FALSE)*VLOOKUP($A173,'3121% SY'!$C$3:$M$324,11,FALSE),3),0)+IFERROR(ROUND(VLOOKUP($A173,S275_21,28,FALSE)*VLOOKUP($A173,'3121% SY'!$C$3:$M$324,11,FALSE),3),0)+IFERROR(VLOOKUP($A173,S275_09,10,FALSE),0)</f>
        <v>0.77700000000000002</v>
      </c>
      <c r="X173" s="267">
        <f>IFERROR(VLOOKUP($A173,Supp_46,14,FALSE),0)+IFERROR(SUMPRODUCT(VLOOKUP($A173,S275_01,{29,30,31},FALSE)),0)+IFERROR(SUMPRODUCT(VLOOKUP($A173,S275_97,{29,30,31},FALSE)),0)+IFERROR(ROUND(VLOOKUP($A173,S275_21,29,FALSE)*VLOOKUP($A173,'3121% SY'!$C$3:$M$324,11,FALSE),3),0)+IFERROR(ROUND(VLOOKUP($A173,S275_21,30,FALSE)*VLOOKUP($A173,'3121% SY'!$C$3:$M$324,11,FALSE),3),0)+IFERROR(ROUND(VLOOKUP($A173,S275_21,31,FALSE)*VLOOKUP($A173,'3121% SY'!$C$3:$M$324,11,FALSE),3),0)+IFERROR(VLOOKUP($A173,S275_09,11,FALSE),0)</f>
        <v>0.28800000000000003</v>
      </c>
      <c r="Y173" s="267">
        <f>IFERROR(VLOOKUP($A173,Supp_47,14,FALSE),0)+IFERROR(SUMPRODUCT(VLOOKUP($A173,S275_01,{32,33,34},FALSE)),0)+IFERROR(SUMPRODUCT(VLOOKUP($A173,S275_97,{32,33,34},FALSE)),0)+IFERROR(ROUND(VLOOKUP($A173,S275_21,32,FALSE)*VLOOKUP($A173,'3121% SY'!$C$3:$M$324,11,FALSE),3),0)+IFERROR(ROUND(VLOOKUP($A173,S275_21,33,FALSE)*VLOOKUP($A173,'3121% SY'!$C$3:$M$324,11,FALSE),3),0)+IFERROR(ROUND(VLOOKUP($A173,S275_21,34,FALSE)*VLOOKUP($A173,'3121% SY'!$C$3:$M$324,11,FALSE),3),0)+IFERROR(VLOOKUP($A173,S275_09,12,FALSE),0)</f>
        <v>0</v>
      </c>
      <c r="Z173" s="267">
        <f>IFERROR(VLOOKUP($A173,Supp_48,14,FALSE),0)+IFERROR(SUMPRODUCT(VLOOKUP($A173,S275_01,{35,36,37},FALSE)),0)+IFERROR(SUMPRODUCT(VLOOKUP($A173,S275_97,{35,36,37},FALSE)),0)+IFERROR(ROUND(VLOOKUP($A173,S275_21,35,FALSE)*VLOOKUP($A173,'3121% SY'!$C$3:$M$324,11,FALSE),3),0)+IFERROR(ROUND(VLOOKUP($A173,S275_21,36,FALSE)*VLOOKUP($A173,'3121% SY'!$C$3:$M$324,11,FALSE),3),0)+IFERROR(ROUND(VLOOKUP($A173,S275_21,37,FALSE)*VLOOKUP($A173,'3121% SY'!$C$3:$M$324,11,FALSE),3),0)+IFERROR(VLOOKUP($A173,S275_09,13,FALSE),0)</f>
        <v>0</v>
      </c>
      <c r="AA173" s="267">
        <f>IFERROR(VLOOKUP($A173,Supp_49,14,FALSE),0)+IFERROR(SUMPRODUCT(VLOOKUP($A173,S275_01,{38,39,40},FALSE)),0)+IFERROR(SUMPRODUCT(VLOOKUP($A173,S275_97,{38,39,40},FALSE)),0)+IFERROR(ROUND(VLOOKUP($A173,S275_21,38,FALSE)*VLOOKUP($A173,'3121% SY'!$C$3:$M$324,11,FALSE),3),0)+IFERROR(ROUND(VLOOKUP($A173,S275_21,39,FALSE)*VLOOKUP($A173,'3121% SY'!$C$3:$M$324,11,FALSE),3),0)+IFERROR(ROUND(VLOOKUP($A173,S275_21,40,FALSE)*VLOOKUP($A173,'3121% SY'!$C$3:$M$324,11,FALSE),3),0)+IFERROR(VLOOKUP($A173,S275_09,14,FALSE),0)</f>
        <v>0</v>
      </c>
      <c r="AB173" s="267">
        <f>IFERROR(VLOOKUP($A173,Supp_64,14,FALSE),0)+IFERROR(SUMPRODUCT(VLOOKUP($A173,S275_01,{41,42,43},FALSE)),0)+IFERROR(SUMPRODUCT(VLOOKUP($A173,S275_97,{41,42,43},FALSE)),0)+IFERROR(ROUND(VLOOKUP($A173,S275_21,41,FALSE)*VLOOKUP($A173,'3121% SY'!$C$3:$M$324,11,FALSE),3),0)+IFERROR(ROUND(VLOOKUP($A173,S275_21,42,FALSE)*VLOOKUP($A173,'3121% SY'!$C$3:$M$324,11,FALSE),3),0)+IFERROR(ROUND(VLOOKUP($A173,S275_21,43,FALSE)*VLOOKUP($A173,'3121% SY'!$C$3:$M$324,11,FALSE),3),0)+IFERROR(VLOOKUP($A173,S275_09,15,FALSE),0)</f>
        <v>0</v>
      </c>
      <c r="AC173" s="268">
        <f t="shared" si="37"/>
        <v>4.0650000000000004</v>
      </c>
      <c r="AD173" s="267">
        <f>IFERROR(VLOOKUP($A173,Supp_24,14,FALSE),0)+IFERROR(SUMPRODUCT(VLOOKUP($A173,S275_01,{2,3,4},FALSE)),0)+IFERROR(SUMPRODUCT(VLOOKUP($A173,S275_97,{2,3,4},FALSE)),0)+IFERROR(ROUND(VLOOKUP($A173,S275_21,2,FALSE)*VLOOKUP($A173,'3121% SY'!$C$3:$M$324,11,FALSE),3),0)+IFERROR(ROUND(VLOOKUP($A173,S275_21,3,FALSE)*VLOOKUP($A173,'3121% SY'!$C$3:$M$324,11,FALSE),3),0)+IFERROR(ROUND(VLOOKUP($A173,S275_21,4,FALSE)*VLOOKUP($A173,'3121% SY'!$C$3:$M$324,11,FALSE),3),0)+IFERROR(VLOOKUP($A173,S275_09,2,FALSE),0)</f>
        <v>0</v>
      </c>
      <c r="AE173" s="267">
        <f>IFERROR(VLOOKUP($A173,Supp_25,14,FALSE),0)+IFERROR(SUMPRODUCT(VLOOKUP($A173,S275_01,{5,6,7},FALSE)),0)+IFERROR(SUMPRODUCT(VLOOKUP($A173,S275_97,{5,6,7},FALSE)),0)+IFERROR(ROUND(VLOOKUP($A173,S275_21,5,FALSE)*VLOOKUP($A173,'3121% SY'!$C$3:$M$324,11,FALSE),3),0)+IFERROR(ROUND(VLOOKUP($A173,S275_21,6,FALSE)*VLOOKUP($A173,'3121% SY'!$C$3:$M$324,11,FALSE),3),0)+IFERROR(ROUND(VLOOKUP($A173,S275_21,7,FALSE)*VLOOKUP($A173,'3121% SY'!$C$3:$M$324,11,FALSE),3),0)+IFERROR(VLOOKUP($A173,S275_09,3,FALSE),0)</f>
        <v>0</v>
      </c>
      <c r="AF173" s="267">
        <f>IFERROR(VLOOKUP($A173,Supp_26,14,FALSE),0)+IFERROR(SUMPRODUCT(VLOOKUP($A173,S275_01,{8,9,10},FALSE)),0)+IFERROR(SUMPRODUCT(VLOOKUP($A173,S275_97,{8,9,10},FALSE)),0)+IFERROR(ROUND(VLOOKUP($A173,S275_21,8,FALSE)*VLOOKUP($A173,'3121% SY'!$C$3:$M$324,11,FALSE),3),0)+IFERROR(ROUND(VLOOKUP($A173,S275_21,9,FALSE)*VLOOKUP($A173,'3121% SY'!$C$3:$M$324,11,FALSE),3),0)+IFERROR(ROUND(VLOOKUP($A173,S275_21,10,FALSE)*VLOOKUP($A173,'3121% SY'!$C$3:$M$324,11,FALSE),3),0)+IFERROR(VLOOKUP($A173,S275_09,4,FALSE),0)</f>
        <v>0.80499999999999994</v>
      </c>
      <c r="AG173" s="267">
        <f>IFERROR(VLOOKUP($A173,Supp_35,14,FALSE),0)+IFERROR(SUMPRODUCT(VLOOKUP($A173,S275_01,{11,12,13},FALSE)),0)+IFERROR(SUMPRODUCT(VLOOKUP($A173,S275_97,{11,12,13},FALSE)),0)+IFERROR(ROUND(VLOOKUP($A173,S275_21,11,FALSE)*VLOOKUP($A173,'3121% SY'!$C$3:$M$324,11,FALSE),3),0)+IFERROR(ROUND(VLOOKUP($A173,S275_21,12,FALSE)*VLOOKUP($A173,'3121% SY'!$C$3:$M$324,11,FALSE),3),0)+IFERROR(ROUND(VLOOKUP($A173,S275_21,13,FALSE)*VLOOKUP($A173,'3121% SY'!$C$3:$M$324,11,FALSE),3),0)+IFERROR(VLOOKUP($A173,S275_09,5,FALSE),0)</f>
        <v>1.538</v>
      </c>
      <c r="AH173" s="165">
        <f t="shared" si="38"/>
        <v>2.343</v>
      </c>
      <c r="AI173" s="161">
        <f>IFERROR(VLOOKUP(A173,'Supp Staff Data'!A:ER,148,FALSE),0)+AB173</f>
        <v>0</v>
      </c>
      <c r="AJ173" s="174">
        <v>1</v>
      </c>
      <c r="AK173" s="25">
        <f>VLOOKUP(A173,'Enroll Data as of January 2025'!$A$3:$T$323,20,FALSE)-F173</f>
        <v>0</v>
      </c>
    </row>
    <row r="174" spans="1:37" x14ac:dyDescent="0.25">
      <c r="A174" s="171" t="s">
        <v>23</v>
      </c>
      <c r="B174" t="s">
        <v>320</v>
      </c>
      <c r="C174" s="173" t="s">
        <v>1077</v>
      </c>
      <c r="D174" s="259">
        <f t="shared" si="30"/>
        <v>6.206999999999999</v>
      </c>
      <c r="E174" s="259">
        <f t="shared" si="31"/>
        <v>6.149</v>
      </c>
      <c r="F174" s="262">
        <f t="shared" si="39"/>
        <v>-5.8000000000000003E-2</v>
      </c>
      <c r="G174" s="161">
        <f>ROUND(IF(F174&lt;0,F174*'2024-25 PSES Compliance'!$G$13,0),3)</f>
        <v>-5.6000000000000001E-2</v>
      </c>
      <c r="H174" s="161">
        <f>ROUND(IF(F174&lt;0,F174*'2024-25 PSES Compliance'!$G$14,0),3)</f>
        <v>-2E-3</v>
      </c>
      <c r="I174" s="174">
        <f t="shared" si="33"/>
        <v>0.36225402504472271</v>
      </c>
      <c r="J174" s="174">
        <f t="shared" si="34"/>
        <v>0</v>
      </c>
      <c r="K174" s="161">
        <f>VLOOKUP($A174,'Enroll Data as of January 2025'!$A$3:$M$322,6,FALSE)</f>
        <v>3.5729999999999995</v>
      </c>
      <c r="L174" s="161">
        <f>VLOOKUP($A174,'Enroll Data as of January 2025'!$A$3:$M$322,7,FALSE)</f>
        <v>0.53499999999999992</v>
      </c>
      <c r="M174" s="161">
        <f>VLOOKUP($A174,'Enroll Data as of January 2025'!$A$3:$M$322,8,FALSE)</f>
        <v>0.18</v>
      </c>
      <c r="N174" s="161">
        <f>VLOOKUP($A174,'Enroll Data as of January 2025'!$A$3:$M$322,9,FALSE)</f>
        <v>1.5859999999999999</v>
      </c>
      <c r="O174" s="165">
        <f t="shared" si="35"/>
        <v>5.8739999999999988</v>
      </c>
      <c r="P174" s="161">
        <f>VLOOKUP($A174,'Enroll Data as of January 2025'!$A$3:$M$322,11,FALSE)</f>
        <v>0.217</v>
      </c>
      <c r="Q174" s="161">
        <f>VLOOKUP($A174,'Enroll Data as of January 2025'!$A$3:$M$322,12,FALSE)</f>
        <v>0.11600000000000001</v>
      </c>
      <c r="R174" s="165">
        <f t="shared" si="36"/>
        <v>0.33300000000000002</v>
      </c>
      <c r="S174" s="267">
        <f>IFERROR(VLOOKUP($A174,Supp_39,14,FALSE),0)+IFERROR(SUMPRODUCT(VLOOKUP($A174,S275_01,{14,15,16},FALSE)),0)+IFERROR(SUMPRODUCT(VLOOKUP($A174,S275_97,{14,15,16},FALSE)),0)+IFERROR(ROUND(VLOOKUP($A174,S275_21,14,FALSE)*VLOOKUP($A174,'3121% SY'!$C$3:$M$324,11,FALSE),3),0)+IFERROR(ROUND(VLOOKUP($A174,S275_21,15,FALSE)*VLOOKUP($A174,'3121% SY'!$C$3:$M$324,11,FALSE),3),0)+IFERROR(ROUND(VLOOKUP($A174,S275_21,16,FALSE)*VLOOKUP($A174,'3121% SY'!$C$3:$M$324,11,FALSE),3),0)+IFERROR(VLOOKUP($A174,S275_09,6,FALSE),0)</f>
        <v>1.94</v>
      </c>
      <c r="T174" s="267">
        <f>IFERROR(VLOOKUP($A174,Supp_42,14,FALSE),0)+IFERROR(SUMPRODUCT(VLOOKUP($A174,S275_01,{17,18,19},FALSE)),0)+IFERROR(SUMPRODUCT(VLOOKUP($A174,S275_97,{17,18,19},FALSE)),0)+IFERROR(ROUND(VLOOKUP($A174,S275_21,17,FALSE)*VLOOKUP($A174,'3121% SY'!$C$3:$M$324,11,FALSE),3),0)+IFERROR(ROUND(VLOOKUP($A174,S275_21,18,FALSE)*VLOOKUP($A174,'3121% SY'!$C$3:$M$324,11,FALSE),3),0)+IFERROR(ROUND(VLOOKUP($A174,S275_21,19,FALSE)*VLOOKUP($A174,'3121% SY'!$C$3:$M$324,11,FALSE),3),0)+IFERROR(VLOOKUP($A174,S275_09,7,FALSE),0)</f>
        <v>0.67</v>
      </c>
      <c r="U174" s="267">
        <f>IFERROR(VLOOKUP($A174,Supp_43,14,FALSE),0)+IFERROR(SUMPRODUCT(VLOOKUP($A174,S275_01,{20,21,22},FALSE)),0)+IFERROR(SUMPRODUCT(VLOOKUP($A174,S275_97,{20,21,22},FALSE)),0)+IFERROR(ROUND(VLOOKUP($A174,S275_21,20,FALSE)*VLOOKUP($A174,'3121% SY'!$C$3:$M$324,11,FALSE),3),0)+IFERROR(ROUND(VLOOKUP($A174,S275_21,21,FALSE)*VLOOKUP($A174,'3121% SY'!$C$3:$M$324,11,FALSE),3),0)+IFERROR(ROUND(VLOOKUP($A174,S275_21,22,FALSE)*VLOOKUP($A174,'3121% SY'!$C$3:$M$324,11,FALSE),3),0)+IFERROR(VLOOKUP($A174,S275_09,8,FALSE),0)</f>
        <v>0.11</v>
      </c>
      <c r="V174" s="267">
        <f>IFERROR(VLOOKUP($A174,Supp_44,14,FALSE),0)+IFERROR(SUMPRODUCT(VLOOKUP($A174,S275_01,{23,24,25},FALSE)),0)+IFERROR(SUMPRODUCT(VLOOKUP($A174,S275_97,{23,24,25},FALSE)),0)+IFERROR(ROUND(VLOOKUP($A174,S275_21,23,FALSE)*VLOOKUP($A174,'3121% SY'!$C$3:$M$324,11,FALSE),3),0)+IFERROR(ROUND(VLOOKUP($A174,S275_21,24,FALSE)*VLOOKUP($A174,'3121% SY'!$C$3:$M$324,11,FALSE),3),0)+IFERROR(ROUND(VLOOKUP($A174,S275_21,25,FALSE)*VLOOKUP($A174,'3121% SY'!$C$3:$M$324,11,FALSE),3),0)+IFERROR(VLOOKUP($A174,S275_09,9,FALSE),0)</f>
        <v>0</v>
      </c>
      <c r="W174" s="267">
        <f>IFERROR(VLOOKUP($A174,Supp_45,14,FALSE),0)+IFERROR(SUMPRODUCT(VLOOKUP($A174,S275_01,{26,27,28},FALSE)),0)+IFERROR(SUMPRODUCT(VLOOKUP($A174,S275_97,{26,27,28},FALSE)),0)+IFERROR(ROUND(VLOOKUP($A174,S275_21,26,FALSE)*VLOOKUP($A174,'3121% SY'!$C$3:$M$324,11,FALSE),3),0)+IFERROR(ROUND(VLOOKUP($A174,S275_21,27,FALSE)*VLOOKUP($A174,'3121% SY'!$C$3:$M$324,11,FALSE),3),0)+IFERROR(ROUND(VLOOKUP($A174,S275_21,28,FALSE)*VLOOKUP($A174,'3121% SY'!$C$3:$M$324,11,FALSE),3),0)+IFERROR(VLOOKUP($A174,S275_09,10,FALSE),0)</f>
        <v>9.7000000000000003E-2</v>
      </c>
      <c r="X174" s="267">
        <f>IFERROR(VLOOKUP($A174,Supp_46,14,FALSE),0)+IFERROR(SUMPRODUCT(VLOOKUP($A174,S275_01,{29,30,31},FALSE)),0)+IFERROR(SUMPRODUCT(VLOOKUP($A174,S275_97,{29,30,31},FALSE)),0)+IFERROR(ROUND(VLOOKUP($A174,S275_21,29,FALSE)*VLOOKUP($A174,'3121% SY'!$C$3:$M$324,11,FALSE),3),0)+IFERROR(ROUND(VLOOKUP($A174,S275_21,30,FALSE)*VLOOKUP($A174,'3121% SY'!$C$3:$M$324,11,FALSE),3),0)+IFERROR(ROUND(VLOOKUP($A174,S275_21,31,FALSE)*VLOOKUP($A174,'3121% SY'!$C$3:$M$324,11,FALSE),3),0)+IFERROR(VLOOKUP($A174,S275_09,11,FALSE),0)</f>
        <v>0.153</v>
      </c>
      <c r="Y174" s="267">
        <f>IFERROR(VLOOKUP($A174,Supp_47,14,FALSE),0)+IFERROR(SUMPRODUCT(VLOOKUP($A174,S275_01,{32,33,34},FALSE)),0)+IFERROR(SUMPRODUCT(VLOOKUP($A174,S275_97,{32,33,34},FALSE)),0)+IFERROR(ROUND(VLOOKUP($A174,S275_21,32,FALSE)*VLOOKUP($A174,'3121% SY'!$C$3:$M$324,11,FALSE),3),0)+IFERROR(ROUND(VLOOKUP($A174,S275_21,33,FALSE)*VLOOKUP($A174,'3121% SY'!$C$3:$M$324,11,FALSE),3),0)+IFERROR(ROUND(VLOOKUP($A174,S275_21,34,FALSE)*VLOOKUP($A174,'3121% SY'!$C$3:$M$324,11,FALSE),3),0)+IFERROR(VLOOKUP($A174,S275_09,12,FALSE),0)</f>
        <v>0</v>
      </c>
      <c r="Z174" s="267">
        <f>IFERROR(VLOOKUP($A174,Supp_48,14,FALSE),0)+IFERROR(SUMPRODUCT(VLOOKUP($A174,S275_01,{35,36,37},FALSE)),0)+IFERROR(SUMPRODUCT(VLOOKUP($A174,S275_97,{35,36,37},FALSE)),0)+IFERROR(ROUND(VLOOKUP($A174,S275_21,35,FALSE)*VLOOKUP($A174,'3121% SY'!$C$3:$M$324,11,FALSE),3),0)+IFERROR(ROUND(VLOOKUP($A174,S275_21,36,FALSE)*VLOOKUP($A174,'3121% SY'!$C$3:$M$324,11,FALSE),3),0)+IFERROR(ROUND(VLOOKUP($A174,S275_21,37,FALSE)*VLOOKUP($A174,'3121% SY'!$C$3:$M$324,11,FALSE),3),0)+IFERROR(VLOOKUP($A174,S275_09,13,FALSE),0)</f>
        <v>0</v>
      </c>
      <c r="AA174" s="267">
        <f>IFERROR(VLOOKUP($A174,Supp_49,14,FALSE),0)+IFERROR(SUMPRODUCT(VLOOKUP($A174,S275_01,{38,39,40},FALSE)),0)+IFERROR(SUMPRODUCT(VLOOKUP($A174,S275_97,{38,39,40},FALSE)),0)+IFERROR(ROUND(VLOOKUP($A174,S275_21,38,FALSE)*VLOOKUP($A174,'3121% SY'!$C$3:$M$324,11,FALSE),3),0)+IFERROR(ROUND(VLOOKUP($A174,S275_21,39,FALSE)*VLOOKUP($A174,'3121% SY'!$C$3:$M$324,11,FALSE),3),0)+IFERROR(ROUND(VLOOKUP($A174,S275_21,40,FALSE)*VLOOKUP($A174,'3121% SY'!$C$3:$M$324,11,FALSE),3),0)+IFERROR(VLOOKUP($A174,S275_09,14,FALSE),0)</f>
        <v>0</v>
      </c>
      <c r="AB174" s="267">
        <f>IFERROR(VLOOKUP($A174,Supp_64,14,FALSE),0)+IFERROR(SUMPRODUCT(VLOOKUP($A174,S275_01,{41,42,43},FALSE)),0)+IFERROR(SUMPRODUCT(VLOOKUP($A174,S275_97,{41,42,43},FALSE)),0)+IFERROR(ROUND(VLOOKUP($A174,S275_21,41,FALSE)*VLOOKUP($A174,'3121% SY'!$C$3:$M$324,11,FALSE),3),0)+IFERROR(ROUND(VLOOKUP($A174,S275_21,42,FALSE)*VLOOKUP($A174,'3121% SY'!$C$3:$M$324,11,FALSE),3),0)+IFERROR(ROUND(VLOOKUP($A174,S275_21,43,FALSE)*VLOOKUP($A174,'3121% SY'!$C$3:$M$324,11,FALSE),3),0)+IFERROR(VLOOKUP($A174,S275_09,15,FALSE),0)</f>
        <v>0</v>
      </c>
      <c r="AC174" s="268">
        <f t="shared" si="37"/>
        <v>2.9699999999999998</v>
      </c>
      <c r="AD174" s="267">
        <f>IFERROR(VLOOKUP($A174,Supp_24,14,FALSE),0)+IFERROR(SUMPRODUCT(VLOOKUP($A174,S275_01,{2,3,4},FALSE)),0)+IFERROR(SUMPRODUCT(VLOOKUP($A174,S275_97,{2,3,4},FALSE)),0)+IFERROR(ROUND(VLOOKUP($A174,S275_21,2,FALSE)*VLOOKUP($A174,'3121% SY'!$C$3:$M$324,11,FALSE),3),0)+IFERROR(ROUND(VLOOKUP($A174,S275_21,3,FALSE)*VLOOKUP($A174,'3121% SY'!$C$3:$M$324,11,FALSE),3),0)+IFERROR(ROUND(VLOOKUP($A174,S275_21,4,FALSE)*VLOOKUP($A174,'3121% SY'!$C$3:$M$324,11,FALSE),3),0)+IFERROR(VLOOKUP($A174,S275_09,2,FALSE),0)</f>
        <v>0</v>
      </c>
      <c r="AE174" s="267">
        <f>IFERROR(VLOOKUP($A174,Supp_25,14,FALSE),0)+IFERROR(SUMPRODUCT(VLOOKUP($A174,S275_01,{5,6,7},FALSE)),0)+IFERROR(SUMPRODUCT(VLOOKUP($A174,S275_97,{5,6,7},FALSE)),0)+IFERROR(ROUND(VLOOKUP($A174,S275_21,5,FALSE)*VLOOKUP($A174,'3121% SY'!$C$3:$M$324,11,FALSE),3),0)+IFERROR(ROUND(VLOOKUP($A174,S275_21,6,FALSE)*VLOOKUP($A174,'3121% SY'!$C$3:$M$324,11,FALSE),3),0)+IFERROR(ROUND(VLOOKUP($A174,S275_21,7,FALSE)*VLOOKUP($A174,'3121% SY'!$C$3:$M$324,11,FALSE),3),0)+IFERROR(VLOOKUP($A174,S275_09,3,FALSE),0)</f>
        <v>1.885</v>
      </c>
      <c r="AF174" s="267">
        <f>IFERROR(VLOOKUP($A174,Supp_26,14,FALSE),0)+IFERROR(SUMPRODUCT(VLOOKUP($A174,S275_01,{8,9,10},FALSE)),0)+IFERROR(SUMPRODUCT(VLOOKUP($A174,S275_97,{8,9,10},FALSE)),0)+IFERROR(ROUND(VLOOKUP($A174,S275_21,8,FALSE)*VLOOKUP($A174,'3121% SY'!$C$3:$M$324,11,FALSE),3),0)+IFERROR(ROUND(VLOOKUP($A174,S275_21,9,FALSE)*VLOOKUP($A174,'3121% SY'!$C$3:$M$324,11,FALSE),3),0)+IFERROR(ROUND(VLOOKUP($A174,S275_21,10,FALSE)*VLOOKUP($A174,'3121% SY'!$C$3:$M$324,11,FALSE),3),0)+IFERROR(VLOOKUP($A174,S275_09,4,FALSE),0)</f>
        <v>1.294</v>
      </c>
      <c r="AG174" s="267">
        <f>IFERROR(VLOOKUP($A174,Supp_35,14,FALSE),0)+IFERROR(SUMPRODUCT(VLOOKUP($A174,S275_01,{11,12,13},FALSE)),0)+IFERROR(SUMPRODUCT(VLOOKUP($A174,S275_97,{11,12,13},FALSE)),0)+IFERROR(ROUND(VLOOKUP($A174,S275_21,11,FALSE)*VLOOKUP($A174,'3121% SY'!$C$3:$M$324,11,FALSE),3),0)+IFERROR(ROUND(VLOOKUP($A174,S275_21,12,FALSE)*VLOOKUP($A174,'3121% SY'!$C$3:$M$324,11,FALSE),3),0)+IFERROR(ROUND(VLOOKUP($A174,S275_21,13,FALSE)*VLOOKUP($A174,'3121% SY'!$C$3:$M$324,11,FALSE),3),0)+IFERROR(VLOOKUP($A174,S275_09,5,FALSE),0)</f>
        <v>0</v>
      </c>
      <c r="AH174" s="165">
        <f t="shared" si="38"/>
        <v>3.1790000000000003</v>
      </c>
      <c r="AI174" s="161">
        <f>IFERROR(VLOOKUP(A174,'Supp Staff Data'!A:ER,148,FALSE),0)+AB174</f>
        <v>0</v>
      </c>
      <c r="AJ174" s="174">
        <v>0.75</v>
      </c>
      <c r="AK174" s="25">
        <f>VLOOKUP(A174,'Enroll Data as of January 2025'!$A$3:$T$323,20,FALSE)-F174</f>
        <v>0</v>
      </c>
    </row>
    <row r="175" spans="1:37" x14ac:dyDescent="0.25">
      <c r="A175" s="171" t="s">
        <v>25</v>
      </c>
      <c r="B175" t="s">
        <v>321</v>
      </c>
      <c r="C175" s="173" t="s">
        <v>1077</v>
      </c>
      <c r="D175" s="259">
        <f t="shared" si="30"/>
        <v>5.5920000000000005</v>
      </c>
      <c r="E175" s="259">
        <f t="shared" si="31"/>
        <v>4.0839999999999996</v>
      </c>
      <c r="F175" s="262">
        <f t="shared" si="39"/>
        <v>-1.508</v>
      </c>
      <c r="G175" s="161">
        <f>ROUND(IF(F175&lt;0,F175*'2024-25 PSES Compliance'!$G$13,0),3)</f>
        <v>-1.448</v>
      </c>
      <c r="H175" s="161">
        <f>ROUND(IF(F175&lt;0,F175*'2024-25 PSES Compliance'!$G$14,0),3)</f>
        <v>-0.06</v>
      </c>
      <c r="I175" s="174">
        <f t="shared" si="33"/>
        <v>0.80337904015670925</v>
      </c>
      <c r="J175" s="174">
        <f t="shared" si="34"/>
        <v>0</v>
      </c>
      <c r="K175" s="161">
        <f>VLOOKUP($A175,'Enroll Data as of January 2025'!$A$3:$M$322,6,FALSE)</f>
        <v>3.1189999999999998</v>
      </c>
      <c r="L175" s="161">
        <f>VLOOKUP($A175,'Enroll Data as of January 2025'!$A$3:$M$322,7,FALSE)</f>
        <v>0.53700000000000003</v>
      </c>
      <c r="M175" s="161">
        <f>VLOOKUP($A175,'Enroll Data as of January 2025'!$A$3:$M$322,8,FALSE)</f>
        <v>0.18099999999999999</v>
      </c>
      <c r="N175" s="161">
        <f>VLOOKUP($A175,'Enroll Data as of January 2025'!$A$3:$M$322,9,FALSE)</f>
        <v>1.4350000000000001</v>
      </c>
      <c r="O175" s="165">
        <f t="shared" si="35"/>
        <v>5.2720000000000002</v>
      </c>
      <c r="P175" s="161">
        <f>VLOOKUP($A175,'Enroll Data as of January 2025'!$A$3:$M$322,11,FALSE)</f>
        <v>0.19699999999999998</v>
      </c>
      <c r="Q175" s="161">
        <f>VLOOKUP($A175,'Enroll Data as of January 2025'!$A$3:$M$322,12,FALSE)</f>
        <v>0.123</v>
      </c>
      <c r="R175" s="165">
        <f t="shared" si="36"/>
        <v>0.31999999999999995</v>
      </c>
      <c r="S175" s="267">
        <f>IFERROR(VLOOKUP($A175,Supp_39,14,FALSE),0)+IFERROR(SUMPRODUCT(VLOOKUP($A175,S275_01,{14,15,16},FALSE)),0)+IFERROR(SUMPRODUCT(VLOOKUP($A175,S275_97,{14,15,16},FALSE)),0)+IFERROR(ROUND(VLOOKUP($A175,S275_21,14,FALSE)*VLOOKUP($A175,'3121% SY'!$C$3:$M$324,11,FALSE),3),0)+IFERROR(ROUND(VLOOKUP($A175,S275_21,15,FALSE)*VLOOKUP($A175,'3121% SY'!$C$3:$M$324,11,FALSE),3),0)+IFERROR(ROUND(VLOOKUP($A175,S275_21,16,FALSE)*VLOOKUP($A175,'3121% SY'!$C$3:$M$324,11,FALSE),3),0)+IFERROR(VLOOKUP($A175,S275_09,6,FALSE),0)</f>
        <v>2.3170000000000002</v>
      </c>
      <c r="T175" s="267">
        <f>IFERROR(VLOOKUP($A175,Supp_42,14,FALSE),0)+IFERROR(SUMPRODUCT(VLOOKUP($A175,S275_01,{17,18,19},FALSE)),0)+IFERROR(SUMPRODUCT(VLOOKUP($A175,S275_97,{17,18,19},FALSE)),0)+IFERROR(ROUND(VLOOKUP($A175,S275_21,17,FALSE)*VLOOKUP($A175,'3121% SY'!$C$3:$M$324,11,FALSE),3),0)+IFERROR(ROUND(VLOOKUP($A175,S275_21,18,FALSE)*VLOOKUP($A175,'3121% SY'!$C$3:$M$324,11,FALSE),3),0)+IFERROR(ROUND(VLOOKUP($A175,S275_21,19,FALSE)*VLOOKUP($A175,'3121% SY'!$C$3:$M$324,11,FALSE),3),0)+IFERROR(VLOOKUP($A175,S275_09,7,FALSE),0)</f>
        <v>0.63300000000000001</v>
      </c>
      <c r="U175" s="267">
        <f>IFERROR(VLOOKUP($A175,Supp_43,14,FALSE),0)+IFERROR(SUMPRODUCT(VLOOKUP($A175,S275_01,{20,21,22},FALSE)),0)+IFERROR(SUMPRODUCT(VLOOKUP($A175,S275_97,{20,21,22},FALSE)),0)+IFERROR(ROUND(VLOOKUP($A175,S275_21,20,FALSE)*VLOOKUP($A175,'3121% SY'!$C$3:$M$324,11,FALSE),3),0)+IFERROR(ROUND(VLOOKUP($A175,S275_21,21,FALSE)*VLOOKUP($A175,'3121% SY'!$C$3:$M$324,11,FALSE),3),0)+IFERROR(ROUND(VLOOKUP($A175,S275_21,22,FALSE)*VLOOKUP($A175,'3121% SY'!$C$3:$M$324,11,FALSE),3),0)+IFERROR(VLOOKUP($A175,S275_09,8,FALSE),0)</f>
        <v>0</v>
      </c>
      <c r="V175" s="267">
        <f>IFERROR(VLOOKUP($A175,Supp_44,14,FALSE),0)+IFERROR(SUMPRODUCT(VLOOKUP($A175,S275_01,{23,24,25},FALSE)),0)+IFERROR(SUMPRODUCT(VLOOKUP($A175,S275_97,{23,24,25},FALSE)),0)+IFERROR(ROUND(VLOOKUP($A175,S275_21,23,FALSE)*VLOOKUP($A175,'3121% SY'!$C$3:$M$324,11,FALSE),3),0)+IFERROR(ROUND(VLOOKUP($A175,S275_21,24,FALSE)*VLOOKUP($A175,'3121% SY'!$C$3:$M$324,11,FALSE),3),0)+IFERROR(ROUND(VLOOKUP($A175,S275_21,25,FALSE)*VLOOKUP($A175,'3121% SY'!$C$3:$M$324,11,FALSE),3),0)+IFERROR(VLOOKUP($A175,S275_09,9,FALSE),0)</f>
        <v>0</v>
      </c>
      <c r="W175" s="267">
        <f>IFERROR(VLOOKUP($A175,Supp_45,14,FALSE),0)+IFERROR(SUMPRODUCT(VLOOKUP($A175,S275_01,{26,27,28},FALSE)),0)+IFERROR(SUMPRODUCT(VLOOKUP($A175,S275_97,{26,27,28},FALSE)),0)+IFERROR(ROUND(VLOOKUP($A175,S275_21,26,FALSE)*VLOOKUP($A175,'3121% SY'!$C$3:$M$324,11,FALSE),3),0)+IFERROR(ROUND(VLOOKUP($A175,S275_21,27,FALSE)*VLOOKUP($A175,'3121% SY'!$C$3:$M$324,11,FALSE),3),0)+IFERROR(ROUND(VLOOKUP($A175,S275_21,28,FALSE)*VLOOKUP($A175,'3121% SY'!$C$3:$M$324,11,FALSE),3),0)+IFERROR(VLOOKUP($A175,S275_09,10,FALSE),0)</f>
        <v>0</v>
      </c>
      <c r="X175" s="267">
        <f>IFERROR(VLOOKUP($A175,Supp_46,14,FALSE),0)+IFERROR(SUMPRODUCT(VLOOKUP($A175,S275_01,{29,30,31},FALSE)),0)+IFERROR(SUMPRODUCT(VLOOKUP($A175,S275_97,{29,30,31},FALSE)),0)+IFERROR(ROUND(VLOOKUP($A175,S275_21,29,FALSE)*VLOOKUP($A175,'3121% SY'!$C$3:$M$324,11,FALSE),3),0)+IFERROR(ROUND(VLOOKUP($A175,S275_21,30,FALSE)*VLOOKUP($A175,'3121% SY'!$C$3:$M$324,11,FALSE),3),0)+IFERROR(ROUND(VLOOKUP($A175,S275_21,31,FALSE)*VLOOKUP($A175,'3121% SY'!$C$3:$M$324,11,FALSE),3),0)+IFERROR(VLOOKUP($A175,S275_09,11,FALSE),0)</f>
        <v>0.17800000000000002</v>
      </c>
      <c r="Y175" s="267">
        <f>IFERROR(VLOOKUP($A175,Supp_47,14,FALSE),0)+IFERROR(SUMPRODUCT(VLOOKUP($A175,S275_01,{32,33,34},FALSE)),0)+IFERROR(SUMPRODUCT(VLOOKUP($A175,S275_97,{32,33,34},FALSE)),0)+IFERROR(ROUND(VLOOKUP($A175,S275_21,32,FALSE)*VLOOKUP($A175,'3121% SY'!$C$3:$M$324,11,FALSE),3),0)+IFERROR(ROUND(VLOOKUP($A175,S275_21,33,FALSE)*VLOOKUP($A175,'3121% SY'!$C$3:$M$324,11,FALSE),3),0)+IFERROR(ROUND(VLOOKUP($A175,S275_21,34,FALSE)*VLOOKUP($A175,'3121% SY'!$C$3:$M$324,11,FALSE),3),0)+IFERROR(VLOOKUP($A175,S275_09,12,FALSE),0)</f>
        <v>0</v>
      </c>
      <c r="Z175" s="267">
        <f>IFERROR(VLOOKUP($A175,Supp_48,14,FALSE),0)+IFERROR(SUMPRODUCT(VLOOKUP($A175,S275_01,{35,36,37},FALSE)),0)+IFERROR(SUMPRODUCT(VLOOKUP($A175,S275_97,{35,36,37},FALSE)),0)+IFERROR(ROUND(VLOOKUP($A175,S275_21,35,FALSE)*VLOOKUP($A175,'3121% SY'!$C$3:$M$324,11,FALSE),3),0)+IFERROR(ROUND(VLOOKUP($A175,S275_21,36,FALSE)*VLOOKUP($A175,'3121% SY'!$C$3:$M$324,11,FALSE),3),0)+IFERROR(ROUND(VLOOKUP($A175,S275_21,37,FALSE)*VLOOKUP($A175,'3121% SY'!$C$3:$M$324,11,FALSE),3),0)+IFERROR(VLOOKUP($A175,S275_09,13,FALSE),0)</f>
        <v>0.153</v>
      </c>
      <c r="AA175" s="267">
        <f>IFERROR(VLOOKUP($A175,Supp_49,14,FALSE),0)+IFERROR(SUMPRODUCT(VLOOKUP($A175,S275_01,{38,39,40},FALSE)),0)+IFERROR(SUMPRODUCT(VLOOKUP($A175,S275_97,{38,39,40},FALSE)),0)+IFERROR(ROUND(VLOOKUP($A175,S275_21,38,FALSE)*VLOOKUP($A175,'3121% SY'!$C$3:$M$324,11,FALSE),3),0)+IFERROR(ROUND(VLOOKUP($A175,S275_21,39,FALSE)*VLOOKUP($A175,'3121% SY'!$C$3:$M$324,11,FALSE),3),0)+IFERROR(ROUND(VLOOKUP($A175,S275_21,40,FALSE)*VLOOKUP($A175,'3121% SY'!$C$3:$M$324,11,FALSE),3),0)+IFERROR(VLOOKUP($A175,S275_09,14,FALSE),0)</f>
        <v>0</v>
      </c>
      <c r="AB175" s="267">
        <f>IFERROR(VLOOKUP($A175,Supp_64,14,FALSE),0)+IFERROR(SUMPRODUCT(VLOOKUP($A175,S275_01,{41,42,43},FALSE)),0)+IFERROR(SUMPRODUCT(VLOOKUP($A175,S275_97,{41,42,43},FALSE)),0)+IFERROR(ROUND(VLOOKUP($A175,S275_21,41,FALSE)*VLOOKUP($A175,'3121% SY'!$C$3:$M$324,11,FALSE),3),0)+IFERROR(ROUND(VLOOKUP($A175,S275_21,42,FALSE)*VLOOKUP($A175,'3121% SY'!$C$3:$M$324,11,FALSE),3),0)+IFERROR(ROUND(VLOOKUP($A175,S275_21,43,FALSE)*VLOOKUP($A175,'3121% SY'!$C$3:$M$324,11,FALSE),3),0)+IFERROR(VLOOKUP($A175,S275_09,15,FALSE),0)</f>
        <v>0</v>
      </c>
      <c r="AC175" s="268">
        <f t="shared" si="37"/>
        <v>3.2810000000000001</v>
      </c>
      <c r="AD175" s="267">
        <f>IFERROR(VLOOKUP($A175,Supp_24,14,FALSE),0)+IFERROR(SUMPRODUCT(VLOOKUP($A175,S275_01,{2,3,4},FALSE)),0)+IFERROR(SUMPRODUCT(VLOOKUP($A175,S275_97,{2,3,4},FALSE)),0)+IFERROR(ROUND(VLOOKUP($A175,S275_21,2,FALSE)*VLOOKUP($A175,'3121% SY'!$C$3:$M$324,11,FALSE),3),0)+IFERROR(ROUND(VLOOKUP($A175,S275_21,3,FALSE)*VLOOKUP($A175,'3121% SY'!$C$3:$M$324,11,FALSE),3),0)+IFERROR(ROUND(VLOOKUP($A175,S275_21,4,FALSE)*VLOOKUP($A175,'3121% SY'!$C$3:$M$324,11,FALSE),3),0)+IFERROR(VLOOKUP($A175,S275_09,2,FALSE),0)</f>
        <v>0</v>
      </c>
      <c r="AE175" s="267">
        <f>IFERROR(VLOOKUP($A175,Supp_25,14,FALSE),0)+IFERROR(SUMPRODUCT(VLOOKUP($A175,S275_01,{5,6,7},FALSE)),0)+IFERROR(SUMPRODUCT(VLOOKUP($A175,S275_97,{5,6,7},FALSE)),0)+IFERROR(ROUND(VLOOKUP($A175,S275_21,5,FALSE)*VLOOKUP($A175,'3121% SY'!$C$3:$M$324,11,FALSE),3),0)+IFERROR(ROUND(VLOOKUP($A175,S275_21,6,FALSE)*VLOOKUP($A175,'3121% SY'!$C$3:$M$324,11,FALSE),3),0)+IFERROR(ROUND(VLOOKUP($A175,S275_21,7,FALSE)*VLOOKUP($A175,'3121% SY'!$C$3:$M$324,11,FALSE),3),0)+IFERROR(VLOOKUP($A175,S275_09,3,FALSE),0)</f>
        <v>0</v>
      </c>
      <c r="AF175" s="267">
        <f>IFERROR(VLOOKUP($A175,Supp_26,14,FALSE),0)+IFERROR(SUMPRODUCT(VLOOKUP($A175,S275_01,{8,9,10},FALSE)),0)+IFERROR(SUMPRODUCT(VLOOKUP($A175,S275_97,{8,9,10},FALSE)),0)+IFERROR(ROUND(VLOOKUP($A175,S275_21,8,FALSE)*VLOOKUP($A175,'3121% SY'!$C$3:$M$324,11,FALSE),3),0)+IFERROR(ROUND(VLOOKUP($A175,S275_21,9,FALSE)*VLOOKUP($A175,'3121% SY'!$C$3:$M$324,11,FALSE),3),0)+IFERROR(ROUND(VLOOKUP($A175,S275_21,10,FALSE)*VLOOKUP($A175,'3121% SY'!$C$3:$M$324,11,FALSE),3),0)+IFERROR(VLOOKUP($A175,S275_09,4,FALSE),0)</f>
        <v>0.80299999999999994</v>
      </c>
      <c r="AG175" s="267">
        <f>IFERROR(VLOOKUP($A175,Supp_35,14,FALSE),0)+IFERROR(SUMPRODUCT(VLOOKUP($A175,S275_01,{11,12,13},FALSE)),0)+IFERROR(SUMPRODUCT(VLOOKUP($A175,S275_97,{11,12,13},FALSE)),0)+IFERROR(ROUND(VLOOKUP($A175,S275_21,11,FALSE)*VLOOKUP($A175,'3121% SY'!$C$3:$M$324,11,FALSE),3),0)+IFERROR(ROUND(VLOOKUP($A175,S275_21,12,FALSE)*VLOOKUP($A175,'3121% SY'!$C$3:$M$324,11,FALSE),3),0)+IFERROR(ROUND(VLOOKUP($A175,S275_21,13,FALSE)*VLOOKUP($A175,'3121% SY'!$C$3:$M$324,11,FALSE),3),0)+IFERROR(VLOOKUP($A175,S275_09,5,FALSE),0)</f>
        <v>0</v>
      </c>
      <c r="AH175" s="165">
        <f t="shared" si="38"/>
        <v>0.80299999999999994</v>
      </c>
      <c r="AI175" s="161">
        <f>IFERROR(VLOOKUP(A175,'Supp Staff Data'!A:ER,148,FALSE),0)+AB175</f>
        <v>0</v>
      </c>
      <c r="AJ175" s="174">
        <v>1</v>
      </c>
      <c r="AK175" s="25">
        <f>VLOOKUP(A175,'Enroll Data as of January 2025'!$A$3:$T$323,20,FALSE)-F175</f>
        <v>0</v>
      </c>
    </row>
    <row r="176" spans="1:37" x14ac:dyDescent="0.25">
      <c r="A176" s="171" t="s">
        <v>257</v>
      </c>
      <c r="B176" t="s">
        <v>553</v>
      </c>
      <c r="C176" s="173" t="s">
        <v>1086</v>
      </c>
      <c r="D176" s="259">
        <f t="shared" si="30"/>
        <v>3.2449999999999997</v>
      </c>
      <c r="E176" s="259">
        <f t="shared" si="31"/>
        <v>4.0289999999999999</v>
      </c>
      <c r="F176" s="262">
        <f t="shared" si="39"/>
        <v>0.78400000000000003</v>
      </c>
      <c r="G176" s="161">
        <f>ROUND(IF(F176&lt;0,F176*'2024-25 PSES Compliance'!$G$13,0),3)</f>
        <v>0</v>
      </c>
      <c r="H176" s="161">
        <f>ROUND(IF(F176&lt;0,F176*'2024-25 PSES Compliance'!$G$14,0),3)</f>
        <v>0</v>
      </c>
      <c r="I176" s="174">
        <f t="shared" si="33"/>
        <v>0</v>
      </c>
      <c r="J176" s="174">
        <f t="shared" si="34"/>
        <v>0</v>
      </c>
      <c r="K176" s="161">
        <f>VLOOKUP($A176,'Enroll Data as of January 2025'!$A$3:$M$322,6,FALSE)</f>
        <v>1.6139999999999999</v>
      </c>
      <c r="L176" s="161">
        <f>VLOOKUP($A176,'Enroll Data as of January 2025'!$A$3:$M$322,7,FALSE)</f>
        <v>0.379</v>
      </c>
      <c r="M176" s="161">
        <f>VLOOKUP($A176,'Enroll Data as of January 2025'!$A$3:$M$322,8,FALSE)</f>
        <v>0.126</v>
      </c>
      <c r="N176" s="161">
        <f>VLOOKUP($A176,'Enroll Data as of January 2025'!$A$3:$M$322,9,FALSE)</f>
        <v>0.91600000000000004</v>
      </c>
      <c r="O176" s="165">
        <f t="shared" si="35"/>
        <v>3.0349999999999997</v>
      </c>
      <c r="P176" s="161">
        <f>VLOOKUP($A176,'Enroll Data as of January 2025'!$A$3:$M$322,11,FALSE)</f>
        <v>0.11599999999999999</v>
      </c>
      <c r="Q176" s="161">
        <f>VLOOKUP($A176,'Enroll Data as of January 2025'!$A$3:$M$322,12,FALSE)</f>
        <v>9.4E-2</v>
      </c>
      <c r="R176" s="165">
        <f t="shared" si="36"/>
        <v>0.21</v>
      </c>
      <c r="S176" s="267">
        <f>IFERROR(VLOOKUP($A176,Supp_39,14,FALSE),0)+IFERROR(SUMPRODUCT(VLOOKUP($A176,S275_01,{14,15,16},FALSE)),0)+IFERROR(SUMPRODUCT(VLOOKUP($A176,S275_97,{14,15,16},FALSE)),0)+IFERROR(ROUND(VLOOKUP($A176,S275_21,14,FALSE)*VLOOKUP($A176,'3121% SY'!$C$3:$M$324,11,FALSE),3),0)+IFERROR(ROUND(VLOOKUP($A176,S275_21,15,FALSE)*VLOOKUP($A176,'3121% SY'!$C$3:$M$324,11,FALSE),3),0)+IFERROR(ROUND(VLOOKUP($A176,S275_21,16,FALSE)*VLOOKUP($A176,'3121% SY'!$C$3:$M$324,11,FALSE),3),0)+IFERROR(VLOOKUP($A176,S275_09,6,FALSE),0)</f>
        <v>0.8</v>
      </c>
      <c r="T176" s="267">
        <f>IFERROR(VLOOKUP($A176,Supp_42,14,FALSE),0)+IFERROR(SUMPRODUCT(VLOOKUP($A176,S275_01,{17,18,19},FALSE)),0)+IFERROR(SUMPRODUCT(VLOOKUP($A176,S275_97,{17,18,19},FALSE)),0)+IFERROR(ROUND(VLOOKUP($A176,S275_21,17,FALSE)*VLOOKUP($A176,'3121% SY'!$C$3:$M$324,11,FALSE),3),0)+IFERROR(ROUND(VLOOKUP($A176,S275_21,18,FALSE)*VLOOKUP($A176,'3121% SY'!$C$3:$M$324,11,FALSE),3),0)+IFERROR(ROUND(VLOOKUP($A176,S275_21,19,FALSE)*VLOOKUP($A176,'3121% SY'!$C$3:$M$324,11,FALSE),3),0)+IFERROR(VLOOKUP($A176,S275_09,7,FALSE),0)</f>
        <v>1</v>
      </c>
      <c r="U176" s="267">
        <f>IFERROR(VLOOKUP($A176,Supp_43,14,FALSE),0)+IFERROR(SUMPRODUCT(VLOOKUP($A176,S275_01,{20,21,22},FALSE)),0)+IFERROR(SUMPRODUCT(VLOOKUP($A176,S275_97,{20,21,22},FALSE)),0)+IFERROR(ROUND(VLOOKUP($A176,S275_21,20,FALSE)*VLOOKUP($A176,'3121% SY'!$C$3:$M$324,11,FALSE),3),0)+IFERROR(ROUND(VLOOKUP($A176,S275_21,21,FALSE)*VLOOKUP($A176,'3121% SY'!$C$3:$M$324,11,FALSE),3),0)+IFERROR(ROUND(VLOOKUP($A176,S275_21,22,FALSE)*VLOOKUP($A176,'3121% SY'!$C$3:$M$324,11,FALSE),3),0)+IFERROR(VLOOKUP($A176,S275_09,8,FALSE),0)</f>
        <v>0</v>
      </c>
      <c r="V176" s="267">
        <f>IFERROR(VLOOKUP($A176,Supp_44,14,FALSE),0)+IFERROR(SUMPRODUCT(VLOOKUP($A176,S275_01,{23,24,25},FALSE)),0)+IFERROR(SUMPRODUCT(VLOOKUP($A176,S275_97,{23,24,25},FALSE)),0)+IFERROR(ROUND(VLOOKUP($A176,S275_21,23,FALSE)*VLOOKUP($A176,'3121% SY'!$C$3:$M$324,11,FALSE),3),0)+IFERROR(ROUND(VLOOKUP($A176,S275_21,24,FALSE)*VLOOKUP($A176,'3121% SY'!$C$3:$M$324,11,FALSE),3),0)+IFERROR(ROUND(VLOOKUP($A176,S275_21,25,FALSE)*VLOOKUP($A176,'3121% SY'!$C$3:$M$324,11,FALSE),3),0)+IFERROR(VLOOKUP($A176,S275_09,9,FALSE),0)</f>
        <v>0</v>
      </c>
      <c r="W176" s="267">
        <f>IFERROR(VLOOKUP($A176,Supp_45,14,FALSE),0)+IFERROR(SUMPRODUCT(VLOOKUP($A176,S275_01,{26,27,28},FALSE)),0)+IFERROR(SUMPRODUCT(VLOOKUP($A176,S275_97,{26,27,28},FALSE)),0)+IFERROR(ROUND(VLOOKUP($A176,S275_21,26,FALSE)*VLOOKUP($A176,'3121% SY'!$C$3:$M$324,11,FALSE),3),0)+IFERROR(ROUND(VLOOKUP($A176,S275_21,27,FALSE)*VLOOKUP($A176,'3121% SY'!$C$3:$M$324,11,FALSE),3),0)+IFERROR(ROUND(VLOOKUP($A176,S275_21,28,FALSE)*VLOOKUP($A176,'3121% SY'!$C$3:$M$324,11,FALSE),3),0)+IFERROR(VLOOKUP($A176,S275_09,10,FALSE),0)</f>
        <v>0</v>
      </c>
      <c r="X176" s="267">
        <f>IFERROR(VLOOKUP($A176,Supp_46,14,FALSE),0)+IFERROR(SUMPRODUCT(VLOOKUP($A176,S275_01,{29,30,31},FALSE)),0)+IFERROR(SUMPRODUCT(VLOOKUP($A176,S275_97,{29,30,31},FALSE)),0)+IFERROR(ROUND(VLOOKUP($A176,S275_21,29,FALSE)*VLOOKUP($A176,'3121% SY'!$C$3:$M$324,11,FALSE),3),0)+IFERROR(ROUND(VLOOKUP($A176,S275_21,30,FALSE)*VLOOKUP($A176,'3121% SY'!$C$3:$M$324,11,FALSE),3),0)+IFERROR(ROUND(VLOOKUP($A176,S275_21,31,FALSE)*VLOOKUP($A176,'3121% SY'!$C$3:$M$324,11,FALSE),3),0)+IFERROR(VLOOKUP($A176,S275_09,11,FALSE),0)</f>
        <v>0</v>
      </c>
      <c r="Y176" s="267">
        <f>IFERROR(VLOOKUP($A176,Supp_47,14,FALSE),0)+IFERROR(SUMPRODUCT(VLOOKUP($A176,S275_01,{32,33,34},FALSE)),0)+IFERROR(SUMPRODUCT(VLOOKUP($A176,S275_97,{32,33,34},FALSE)),0)+IFERROR(ROUND(VLOOKUP($A176,S275_21,32,FALSE)*VLOOKUP($A176,'3121% SY'!$C$3:$M$324,11,FALSE),3),0)+IFERROR(ROUND(VLOOKUP($A176,S275_21,33,FALSE)*VLOOKUP($A176,'3121% SY'!$C$3:$M$324,11,FALSE),3),0)+IFERROR(ROUND(VLOOKUP($A176,S275_21,34,FALSE)*VLOOKUP($A176,'3121% SY'!$C$3:$M$324,11,FALSE),3),0)+IFERROR(VLOOKUP($A176,S275_09,12,FALSE),0)</f>
        <v>0</v>
      </c>
      <c r="Z176" s="267">
        <f>IFERROR(VLOOKUP($A176,Supp_48,14,FALSE),0)+IFERROR(SUMPRODUCT(VLOOKUP($A176,S275_01,{35,36,37},FALSE)),0)+IFERROR(SUMPRODUCT(VLOOKUP($A176,S275_97,{35,36,37},FALSE)),0)+IFERROR(ROUND(VLOOKUP($A176,S275_21,35,FALSE)*VLOOKUP($A176,'3121% SY'!$C$3:$M$324,11,FALSE),3),0)+IFERROR(ROUND(VLOOKUP($A176,S275_21,36,FALSE)*VLOOKUP($A176,'3121% SY'!$C$3:$M$324,11,FALSE),3),0)+IFERROR(ROUND(VLOOKUP($A176,S275_21,37,FALSE)*VLOOKUP($A176,'3121% SY'!$C$3:$M$324,11,FALSE),3),0)+IFERROR(VLOOKUP($A176,S275_09,13,FALSE),0)</f>
        <v>0</v>
      </c>
      <c r="AA176" s="267">
        <f>IFERROR(VLOOKUP($A176,Supp_49,14,FALSE),0)+IFERROR(SUMPRODUCT(VLOOKUP($A176,S275_01,{38,39,40},FALSE)),0)+IFERROR(SUMPRODUCT(VLOOKUP($A176,S275_97,{38,39,40},FALSE)),0)+IFERROR(ROUND(VLOOKUP($A176,S275_21,38,FALSE)*VLOOKUP($A176,'3121% SY'!$C$3:$M$324,11,FALSE),3),0)+IFERROR(ROUND(VLOOKUP($A176,S275_21,39,FALSE)*VLOOKUP($A176,'3121% SY'!$C$3:$M$324,11,FALSE),3),0)+IFERROR(ROUND(VLOOKUP($A176,S275_21,40,FALSE)*VLOOKUP($A176,'3121% SY'!$C$3:$M$324,11,FALSE),3),0)+IFERROR(VLOOKUP($A176,S275_09,14,FALSE),0)</f>
        <v>0</v>
      </c>
      <c r="AB176" s="267">
        <f>IFERROR(VLOOKUP($A176,Supp_64,14,FALSE),0)+IFERROR(SUMPRODUCT(VLOOKUP($A176,S275_01,{41,42,43},FALSE)),0)+IFERROR(SUMPRODUCT(VLOOKUP($A176,S275_97,{41,42,43},FALSE)),0)+IFERROR(ROUND(VLOOKUP($A176,S275_21,41,FALSE)*VLOOKUP($A176,'3121% SY'!$C$3:$M$324,11,FALSE),3),0)+IFERROR(ROUND(VLOOKUP($A176,S275_21,42,FALSE)*VLOOKUP($A176,'3121% SY'!$C$3:$M$324,11,FALSE),3),0)+IFERROR(ROUND(VLOOKUP($A176,S275_21,43,FALSE)*VLOOKUP($A176,'3121% SY'!$C$3:$M$324,11,FALSE),3),0)+IFERROR(VLOOKUP($A176,S275_09,15,FALSE),0)</f>
        <v>0</v>
      </c>
      <c r="AC176" s="268">
        <f t="shared" si="37"/>
        <v>1.8</v>
      </c>
      <c r="AD176" s="267">
        <f>IFERROR(VLOOKUP($A176,Supp_24,14,FALSE),0)+IFERROR(SUMPRODUCT(VLOOKUP($A176,S275_01,{2,3,4},FALSE)),0)+IFERROR(SUMPRODUCT(VLOOKUP($A176,S275_97,{2,3,4},FALSE)),0)+IFERROR(ROUND(VLOOKUP($A176,S275_21,2,FALSE)*VLOOKUP($A176,'3121% SY'!$C$3:$M$324,11,FALSE),3),0)+IFERROR(ROUND(VLOOKUP($A176,S275_21,3,FALSE)*VLOOKUP($A176,'3121% SY'!$C$3:$M$324,11,FALSE),3),0)+IFERROR(ROUND(VLOOKUP($A176,S275_21,4,FALSE)*VLOOKUP($A176,'3121% SY'!$C$3:$M$324,11,FALSE),3),0)+IFERROR(VLOOKUP($A176,S275_09,2,FALSE),0)</f>
        <v>0</v>
      </c>
      <c r="AE176" s="267">
        <f>IFERROR(VLOOKUP($A176,Supp_25,14,FALSE),0)+IFERROR(SUMPRODUCT(VLOOKUP($A176,S275_01,{5,6,7},FALSE)),0)+IFERROR(SUMPRODUCT(VLOOKUP($A176,S275_97,{5,6,7},FALSE)),0)+IFERROR(ROUND(VLOOKUP($A176,S275_21,5,FALSE)*VLOOKUP($A176,'3121% SY'!$C$3:$M$324,11,FALSE),3),0)+IFERROR(ROUND(VLOOKUP($A176,S275_21,6,FALSE)*VLOOKUP($A176,'3121% SY'!$C$3:$M$324,11,FALSE),3),0)+IFERROR(ROUND(VLOOKUP($A176,S275_21,7,FALSE)*VLOOKUP($A176,'3121% SY'!$C$3:$M$324,11,FALSE),3),0)+IFERROR(VLOOKUP($A176,S275_09,3,FALSE),0)</f>
        <v>1.7230000000000001</v>
      </c>
      <c r="AF176" s="267">
        <f>IFERROR(VLOOKUP($A176,Supp_26,14,FALSE),0)+IFERROR(SUMPRODUCT(VLOOKUP($A176,S275_01,{8,9,10},FALSE)),0)+IFERROR(SUMPRODUCT(VLOOKUP($A176,S275_97,{8,9,10},FALSE)),0)+IFERROR(ROUND(VLOOKUP($A176,S275_21,8,FALSE)*VLOOKUP($A176,'3121% SY'!$C$3:$M$324,11,FALSE),3),0)+IFERROR(ROUND(VLOOKUP($A176,S275_21,9,FALSE)*VLOOKUP($A176,'3121% SY'!$C$3:$M$324,11,FALSE),3),0)+IFERROR(ROUND(VLOOKUP($A176,S275_21,10,FALSE)*VLOOKUP($A176,'3121% SY'!$C$3:$M$324,11,FALSE),3),0)+IFERROR(VLOOKUP($A176,S275_09,4,FALSE),0)</f>
        <v>0.50600000000000001</v>
      </c>
      <c r="AG176" s="267">
        <f>IFERROR(VLOOKUP($A176,Supp_35,14,FALSE),0)+IFERROR(SUMPRODUCT(VLOOKUP($A176,S275_01,{11,12,13},FALSE)),0)+IFERROR(SUMPRODUCT(VLOOKUP($A176,S275_97,{11,12,13},FALSE)),0)+IFERROR(ROUND(VLOOKUP($A176,S275_21,11,FALSE)*VLOOKUP($A176,'3121% SY'!$C$3:$M$324,11,FALSE),3),0)+IFERROR(ROUND(VLOOKUP($A176,S275_21,12,FALSE)*VLOOKUP($A176,'3121% SY'!$C$3:$M$324,11,FALSE),3),0)+IFERROR(ROUND(VLOOKUP($A176,S275_21,13,FALSE)*VLOOKUP($A176,'3121% SY'!$C$3:$M$324,11,FALSE),3),0)+IFERROR(VLOOKUP($A176,S275_09,5,FALSE),0)</f>
        <v>0</v>
      </c>
      <c r="AH176" s="165">
        <f t="shared" si="38"/>
        <v>2.2290000000000001</v>
      </c>
      <c r="AI176" s="161">
        <f>IFERROR(VLOOKUP(A176,'Supp Staff Data'!A:ER,148,FALSE),0)+AB176</f>
        <v>0</v>
      </c>
      <c r="AJ176" s="174">
        <v>0</v>
      </c>
      <c r="AK176" s="25">
        <f>VLOOKUP(A176,'Enroll Data as of January 2025'!$A$3:$T$323,20,FALSE)-F176</f>
        <v>0</v>
      </c>
    </row>
    <row r="177" spans="1:37" x14ac:dyDescent="0.25">
      <c r="A177" s="171" t="s">
        <v>674</v>
      </c>
      <c r="B177" t="s">
        <v>1245</v>
      </c>
      <c r="C177" s="173" t="s">
        <v>1078</v>
      </c>
      <c r="D177" s="259">
        <f t="shared" si="30"/>
        <v>0.88900000000000001</v>
      </c>
      <c r="E177" s="259">
        <f t="shared" si="31"/>
        <v>6.9000000000000006E-2</v>
      </c>
      <c r="F177" s="262">
        <f t="shared" si="39"/>
        <v>-0.82</v>
      </c>
      <c r="G177" s="161">
        <f>ROUND(IF(F177&lt;0,F177*'2024-25 PSES Compliance'!$G$13,0),3)</f>
        <v>-0.78700000000000003</v>
      </c>
      <c r="H177" s="161">
        <f>ROUND(IF(F177&lt;0,F177*'2024-25 PSES Compliance'!$G$14,0),3)</f>
        <v>-3.3000000000000002E-2</v>
      </c>
      <c r="I177" s="174">
        <f t="shared" si="33"/>
        <v>0</v>
      </c>
      <c r="J177" s="174">
        <f t="shared" si="34"/>
        <v>0</v>
      </c>
      <c r="K177" s="161">
        <f>VLOOKUP($A177,'Enroll Data as of January 2025'!$A$3:$M$322,6,FALSE)</f>
        <v>0.64700000000000002</v>
      </c>
      <c r="L177" s="161">
        <f>VLOOKUP($A177,'Enroll Data as of January 2025'!$A$3:$M$322,7,FALSE)</f>
        <v>2.7E-2</v>
      </c>
      <c r="M177" s="161">
        <f>VLOOKUP($A177,'Enroll Data as of January 2025'!$A$3:$M$322,8,FALSE)</f>
        <v>0.01</v>
      </c>
      <c r="N177" s="161">
        <f>VLOOKUP($A177,'Enroll Data as of January 2025'!$A$3:$M$322,9,FALSE)</f>
        <v>0.17499999999999999</v>
      </c>
      <c r="O177" s="165">
        <f t="shared" si="35"/>
        <v>0.85899999999999999</v>
      </c>
      <c r="P177" s="161">
        <f>VLOOKUP($A177,'Enroll Data as of January 2025'!$A$3:$M$322,11,FALSE)</f>
        <v>0.03</v>
      </c>
      <c r="Q177" s="161">
        <f>VLOOKUP($A177,'Enroll Data as of January 2025'!$A$3:$M$322,12,FALSE)</f>
        <v>0</v>
      </c>
      <c r="R177" s="165">
        <f t="shared" si="36"/>
        <v>0.03</v>
      </c>
      <c r="S177" s="267">
        <f>IFERROR(VLOOKUP($A177,Supp_39,14,FALSE),0)+IFERROR(SUMPRODUCT(VLOOKUP($A177,S275_01,{14,15,16},FALSE)),0)+IFERROR(SUMPRODUCT(VLOOKUP($A177,S275_97,{14,15,16},FALSE)),0)+IFERROR(ROUND(VLOOKUP($A177,S275_21,14,FALSE)*VLOOKUP($A177,'3121% SY'!$C$3:$M$324,11,FALSE),3),0)+IFERROR(ROUND(VLOOKUP($A177,S275_21,15,FALSE)*VLOOKUP($A177,'3121% SY'!$C$3:$M$324,11,FALSE),3),0)+IFERROR(ROUND(VLOOKUP($A177,S275_21,16,FALSE)*VLOOKUP($A177,'3121% SY'!$C$3:$M$324,11,FALSE),3),0)+IFERROR(VLOOKUP($A177,S275_09,6,FALSE),0)</f>
        <v>0</v>
      </c>
      <c r="T177" s="267">
        <f>IFERROR(VLOOKUP($A177,Supp_42,14,FALSE),0)+IFERROR(SUMPRODUCT(VLOOKUP($A177,S275_01,{17,18,19},FALSE)),0)+IFERROR(SUMPRODUCT(VLOOKUP($A177,S275_97,{17,18,19},FALSE)),0)+IFERROR(ROUND(VLOOKUP($A177,S275_21,17,FALSE)*VLOOKUP($A177,'3121% SY'!$C$3:$M$324,11,FALSE),3),0)+IFERROR(ROUND(VLOOKUP($A177,S275_21,18,FALSE)*VLOOKUP($A177,'3121% SY'!$C$3:$M$324,11,FALSE),3),0)+IFERROR(ROUND(VLOOKUP($A177,S275_21,19,FALSE)*VLOOKUP($A177,'3121% SY'!$C$3:$M$324,11,FALSE),3),0)+IFERROR(VLOOKUP($A177,S275_09,7,FALSE),0)</f>
        <v>0</v>
      </c>
      <c r="U177" s="267">
        <f>IFERROR(VLOOKUP($A177,Supp_43,14,FALSE),0)+IFERROR(SUMPRODUCT(VLOOKUP($A177,S275_01,{20,21,22},FALSE)),0)+IFERROR(SUMPRODUCT(VLOOKUP($A177,S275_97,{20,21,22},FALSE)),0)+IFERROR(ROUND(VLOOKUP($A177,S275_21,20,FALSE)*VLOOKUP($A177,'3121% SY'!$C$3:$M$324,11,FALSE),3),0)+IFERROR(ROUND(VLOOKUP($A177,S275_21,21,FALSE)*VLOOKUP($A177,'3121% SY'!$C$3:$M$324,11,FALSE),3),0)+IFERROR(ROUND(VLOOKUP($A177,S275_21,22,FALSE)*VLOOKUP($A177,'3121% SY'!$C$3:$M$324,11,FALSE),3),0)+IFERROR(VLOOKUP($A177,S275_09,8,FALSE),0)</f>
        <v>0</v>
      </c>
      <c r="V177" s="267">
        <f>IFERROR(VLOOKUP($A177,Supp_44,14,FALSE),0)+IFERROR(SUMPRODUCT(VLOOKUP($A177,S275_01,{23,24,25},FALSE)),0)+IFERROR(SUMPRODUCT(VLOOKUP($A177,S275_97,{23,24,25},FALSE)),0)+IFERROR(ROUND(VLOOKUP($A177,S275_21,23,FALSE)*VLOOKUP($A177,'3121% SY'!$C$3:$M$324,11,FALSE),3),0)+IFERROR(ROUND(VLOOKUP($A177,S275_21,24,FALSE)*VLOOKUP($A177,'3121% SY'!$C$3:$M$324,11,FALSE),3),0)+IFERROR(ROUND(VLOOKUP($A177,S275_21,25,FALSE)*VLOOKUP($A177,'3121% SY'!$C$3:$M$324,11,FALSE),3),0)+IFERROR(VLOOKUP($A177,S275_09,9,FALSE),0)</f>
        <v>0</v>
      </c>
      <c r="W177" s="267">
        <f>IFERROR(VLOOKUP($A177,Supp_45,14,FALSE),0)+IFERROR(SUMPRODUCT(VLOOKUP($A177,S275_01,{26,27,28},FALSE)),0)+IFERROR(SUMPRODUCT(VLOOKUP($A177,S275_97,{26,27,28},FALSE)),0)+IFERROR(ROUND(VLOOKUP($A177,S275_21,26,FALSE)*VLOOKUP($A177,'3121% SY'!$C$3:$M$324,11,FALSE),3),0)+IFERROR(ROUND(VLOOKUP($A177,S275_21,27,FALSE)*VLOOKUP($A177,'3121% SY'!$C$3:$M$324,11,FALSE),3),0)+IFERROR(ROUND(VLOOKUP($A177,S275_21,28,FALSE)*VLOOKUP($A177,'3121% SY'!$C$3:$M$324,11,FALSE),3),0)+IFERROR(VLOOKUP($A177,S275_09,10,FALSE),0)</f>
        <v>0</v>
      </c>
      <c r="X177" s="267">
        <f>IFERROR(VLOOKUP($A177,Supp_46,14,FALSE),0)+IFERROR(SUMPRODUCT(VLOOKUP($A177,S275_01,{29,30,31},FALSE)),0)+IFERROR(SUMPRODUCT(VLOOKUP($A177,S275_97,{29,30,31},FALSE)),0)+IFERROR(ROUND(VLOOKUP($A177,S275_21,29,FALSE)*VLOOKUP($A177,'3121% SY'!$C$3:$M$324,11,FALSE),3),0)+IFERROR(ROUND(VLOOKUP($A177,S275_21,30,FALSE)*VLOOKUP($A177,'3121% SY'!$C$3:$M$324,11,FALSE),3),0)+IFERROR(ROUND(VLOOKUP($A177,S275_21,31,FALSE)*VLOOKUP($A177,'3121% SY'!$C$3:$M$324,11,FALSE),3),0)+IFERROR(VLOOKUP($A177,S275_09,11,FALSE),0)</f>
        <v>0</v>
      </c>
      <c r="Y177" s="267">
        <f>IFERROR(VLOOKUP($A177,Supp_47,14,FALSE),0)+IFERROR(SUMPRODUCT(VLOOKUP($A177,S275_01,{32,33,34},FALSE)),0)+IFERROR(SUMPRODUCT(VLOOKUP($A177,S275_97,{32,33,34},FALSE)),0)+IFERROR(ROUND(VLOOKUP($A177,S275_21,32,FALSE)*VLOOKUP($A177,'3121% SY'!$C$3:$M$324,11,FALSE),3),0)+IFERROR(ROUND(VLOOKUP($A177,S275_21,33,FALSE)*VLOOKUP($A177,'3121% SY'!$C$3:$M$324,11,FALSE),3),0)+IFERROR(ROUND(VLOOKUP($A177,S275_21,34,FALSE)*VLOOKUP($A177,'3121% SY'!$C$3:$M$324,11,FALSE),3),0)+IFERROR(VLOOKUP($A177,S275_09,12,FALSE),0)</f>
        <v>0</v>
      </c>
      <c r="Z177" s="267">
        <f>IFERROR(VLOOKUP($A177,Supp_48,14,FALSE),0)+IFERROR(SUMPRODUCT(VLOOKUP($A177,S275_01,{35,36,37},FALSE)),0)+IFERROR(SUMPRODUCT(VLOOKUP($A177,S275_97,{35,36,37},FALSE)),0)+IFERROR(ROUND(VLOOKUP($A177,S275_21,35,FALSE)*VLOOKUP($A177,'3121% SY'!$C$3:$M$324,11,FALSE),3),0)+IFERROR(ROUND(VLOOKUP($A177,S275_21,36,FALSE)*VLOOKUP($A177,'3121% SY'!$C$3:$M$324,11,FALSE),3),0)+IFERROR(ROUND(VLOOKUP($A177,S275_21,37,FALSE)*VLOOKUP($A177,'3121% SY'!$C$3:$M$324,11,FALSE),3),0)+IFERROR(VLOOKUP($A177,S275_09,13,FALSE),0)</f>
        <v>0</v>
      </c>
      <c r="AA177" s="267">
        <f>IFERROR(VLOOKUP($A177,Supp_49,14,FALSE),0)+IFERROR(SUMPRODUCT(VLOOKUP($A177,S275_01,{38,39,40},FALSE)),0)+IFERROR(SUMPRODUCT(VLOOKUP($A177,S275_97,{38,39,40},FALSE)),0)+IFERROR(ROUND(VLOOKUP($A177,S275_21,38,FALSE)*VLOOKUP($A177,'3121% SY'!$C$3:$M$324,11,FALSE),3),0)+IFERROR(ROUND(VLOOKUP($A177,S275_21,39,FALSE)*VLOOKUP($A177,'3121% SY'!$C$3:$M$324,11,FALSE),3),0)+IFERROR(ROUND(VLOOKUP($A177,S275_21,40,FALSE)*VLOOKUP($A177,'3121% SY'!$C$3:$M$324,11,FALSE),3),0)+IFERROR(VLOOKUP($A177,S275_09,14,FALSE),0)</f>
        <v>0</v>
      </c>
      <c r="AB177" s="267">
        <f>IFERROR(VLOOKUP($A177,Supp_64,14,FALSE),0)+IFERROR(SUMPRODUCT(VLOOKUP($A177,S275_01,{41,42,43},FALSE)),0)+IFERROR(SUMPRODUCT(VLOOKUP($A177,S275_97,{41,42,43},FALSE)),0)+IFERROR(ROUND(VLOOKUP($A177,S275_21,41,FALSE)*VLOOKUP($A177,'3121% SY'!$C$3:$M$324,11,FALSE),3),0)+IFERROR(ROUND(VLOOKUP($A177,S275_21,42,FALSE)*VLOOKUP($A177,'3121% SY'!$C$3:$M$324,11,FALSE),3),0)+IFERROR(ROUND(VLOOKUP($A177,S275_21,43,FALSE)*VLOOKUP($A177,'3121% SY'!$C$3:$M$324,11,FALSE),3),0)+IFERROR(VLOOKUP($A177,S275_09,15,FALSE),0)</f>
        <v>0</v>
      </c>
      <c r="AC177" s="268">
        <f t="shared" si="37"/>
        <v>0</v>
      </c>
      <c r="AD177" s="267">
        <f>IFERROR(VLOOKUP($A177,Supp_24,14,FALSE),0)+IFERROR(SUMPRODUCT(VLOOKUP($A177,S275_01,{2,3,4},FALSE)),0)+IFERROR(SUMPRODUCT(VLOOKUP($A177,S275_97,{2,3,4},FALSE)),0)+IFERROR(ROUND(VLOOKUP($A177,S275_21,2,FALSE)*VLOOKUP($A177,'3121% SY'!$C$3:$M$324,11,FALSE),3),0)+IFERROR(ROUND(VLOOKUP($A177,S275_21,3,FALSE)*VLOOKUP($A177,'3121% SY'!$C$3:$M$324,11,FALSE),3),0)+IFERROR(ROUND(VLOOKUP($A177,S275_21,4,FALSE)*VLOOKUP($A177,'3121% SY'!$C$3:$M$324,11,FALSE),3),0)+IFERROR(VLOOKUP($A177,S275_09,2,FALSE),0)</f>
        <v>0</v>
      </c>
      <c r="AE177" s="267">
        <f>IFERROR(VLOOKUP($A177,Supp_25,14,FALSE),0)+IFERROR(SUMPRODUCT(VLOOKUP($A177,S275_01,{5,6,7},FALSE)),0)+IFERROR(SUMPRODUCT(VLOOKUP($A177,S275_97,{5,6,7},FALSE)),0)+IFERROR(ROUND(VLOOKUP($A177,S275_21,5,FALSE)*VLOOKUP($A177,'3121% SY'!$C$3:$M$324,11,FALSE),3),0)+IFERROR(ROUND(VLOOKUP($A177,S275_21,6,FALSE)*VLOOKUP($A177,'3121% SY'!$C$3:$M$324,11,FALSE),3),0)+IFERROR(ROUND(VLOOKUP($A177,S275_21,7,FALSE)*VLOOKUP($A177,'3121% SY'!$C$3:$M$324,11,FALSE),3),0)+IFERROR(VLOOKUP($A177,S275_09,3,FALSE),0)</f>
        <v>0</v>
      </c>
      <c r="AF177" s="267">
        <f>IFERROR(VLOOKUP($A177,Supp_26,14,FALSE),0)+IFERROR(SUMPRODUCT(VLOOKUP($A177,S275_01,{8,9,10},FALSE)),0)+IFERROR(SUMPRODUCT(VLOOKUP($A177,S275_97,{8,9,10},FALSE)),0)+IFERROR(ROUND(VLOOKUP($A177,S275_21,8,FALSE)*VLOOKUP($A177,'3121% SY'!$C$3:$M$324,11,FALSE),3),0)+IFERROR(ROUND(VLOOKUP($A177,S275_21,9,FALSE)*VLOOKUP($A177,'3121% SY'!$C$3:$M$324,11,FALSE),3),0)+IFERROR(ROUND(VLOOKUP($A177,S275_21,10,FALSE)*VLOOKUP($A177,'3121% SY'!$C$3:$M$324,11,FALSE),3),0)+IFERROR(VLOOKUP($A177,S275_09,4,FALSE),0)</f>
        <v>6.9000000000000006E-2</v>
      </c>
      <c r="AG177" s="267">
        <f>IFERROR(VLOOKUP($A177,Supp_35,14,FALSE),0)+IFERROR(SUMPRODUCT(VLOOKUP($A177,S275_01,{11,12,13},FALSE)),0)+IFERROR(SUMPRODUCT(VLOOKUP($A177,S275_97,{11,12,13},FALSE)),0)+IFERROR(ROUND(VLOOKUP($A177,S275_21,11,FALSE)*VLOOKUP($A177,'3121% SY'!$C$3:$M$324,11,FALSE),3),0)+IFERROR(ROUND(VLOOKUP($A177,S275_21,12,FALSE)*VLOOKUP($A177,'3121% SY'!$C$3:$M$324,11,FALSE),3),0)+IFERROR(ROUND(VLOOKUP($A177,S275_21,13,FALSE)*VLOOKUP($A177,'3121% SY'!$C$3:$M$324,11,FALSE),3),0)+IFERROR(VLOOKUP($A177,S275_09,5,FALSE),0)</f>
        <v>0</v>
      </c>
      <c r="AH177" s="165">
        <f t="shared" si="38"/>
        <v>6.9000000000000006E-2</v>
      </c>
      <c r="AI177" s="161">
        <f>IFERROR(VLOOKUP(A177,'Supp Staff Data'!A:ER,148,FALSE),0)+AB177</f>
        <v>0</v>
      </c>
      <c r="AJ177" s="174">
        <v>1</v>
      </c>
      <c r="AK177" s="25">
        <f>VLOOKUP(A177,'Enroll Data as of January 2025'!$A$3:$T$323,20,FALSE)-F177</f>
        <v>0</v>
      </c>
    </row>
    <row r="178" spans="1:37" x14ac:dyDescent="0.25">
      <c r="A178" s="171" t="s">
        <v>633</v>
      </c>
      <c r="B178" t="s">
        <v>1246</v>
      </c>
      <c r="C178" s="173" t="s">
        <v>1077</v>
      </c>
      <c r="D178" s="259">
        <f t="shared" si="30"/>
        <v>0.91300000000000014</v>
      </c>
      <c r="E178" s="259">
        <f t="shared" si="31"/>
        <v>7</v>
      </c>
      <c r="F178" s="262">
        <f t="shared" si="39"/>
        <v>6.0869999999999997</v>
      </c>
      <c r="G178" s="161">
        <f>ROUND(IF(F178&lt;0,F178*'2024-25 PSES Compliance'!$G$13,0),3)</f>
        <v>0</v>
      </c>
      <c r="H178" s="161">
        <f>ROUND(IF(F178&lt;0,F178*'2024-25 PSES Compliance'!$G$14,0),3)</f>
        <v>0</v>
      </c>
      <c r="I178" s="174">
        <f t="shared" si="33"/>
        <v>0</v>
      </c>
      <c r="J178" s="174">
        <f t="shared" si="34"/>
        <v>0</v>
      </c>
      <c r="K178" s="161">
        <f>VLOOKUP($A178,'Enroll Data as of January 2025'!$A$3:$M$322,6,FALSE)</f>
        <v>0.65500000000000003</v>
      </c>
      <c r="L178" s="161">
        <f>VLOOKUP($A178,'Enroll Data as of January 2025'!$A$3:$M$322,7,FALSE)</f>
        <v>2.7000000000000003E-2</v>
      </c>
      <c r="M178" s="161">
        <f>VLOOKUP($A178,'Enroll Data as of January 2025'!$A$3:$M$322,8,FALSE)</f>
        <v>1.0999999999999999E-2</v>
      </c>
      <c r="N178" s="161">
        <f>VLOOKUP($A178,'Enroll Data as of January 2025'!$A$3:$M$322,9,FALSE)</f>
        <v>0.189</v>
      </c>
      <c r="O178" s="165">
        <f t="shared" si="35"/>
        <v>0.88200000000000012</v>
      </c>
      <c r="P178" s="161">
        <f>VLOOKUP($A178,'Enroll Data as of January 2025'!$A$3:$M$322,11,FALSE)</f>
        <v>3.1E-2</v>
      </c>
      <c r="Q178" s="161">
        <f>VLOOKUP($A178,'Enroll Data as of January 2025'!$A$3:$M$322,12,FALSE)</f>
        <v>0</v>
      </c>
      <c r="R178" s="165">
        <f t="shared" si="36"/>
        <v>3.1E-2</v>
      </c>
      <c r="S178" s="267">
        <f>IFERROR(VLOOKUP($A178,Supp_39,14,FALSE),0)+IFERROR(SUMPRODUCT(VLOOKUP($A178,S275_01,{14,15,16},FALSE)),0)+IFERROR(SUMPRODUCT(VLOOKUP($A178,S275_97,{14,15,16},FALSE)),0)+IFERROR(ROUND(VLOOKUP($A178,S275_21,14,FALSE)*VLOOKUP($A178,'3121% SY'!$C$3:$M$324,11,FALSE),3),0)+IFERROR(ROUND(VLOOKUP($A178,S275_21,15,FALSE)*VLOOKUP($A178,'3121% SY'!$C$3:$M$324,11,FALSE),3),0)+IFERROR(ROUND(VLOOKUP($A178,S275_21,16,FALSE)*VLOOKUP($A178,'3121% SY'!$C$3:$M$324,11,FALSE),3),0)+IFERROR(VLOOKUP($A178,S275_09,6,FALSE),0)</f>
        <v>0</v>
      </c>
      <c r="T178" s="267">
        <f>IFERROR(VLOOKUP($A178,Supp_42,14,FALSE),0)+IFERROR(SUMPRODUCT(VLOOKUP($A178,S275_01,{17,18,19},FALSE)),0)+IFERROR(SUMPRODUCT(VLOOKUP($A178,S275_97,{17,18,19},FALSE)),0)+IFERROR(ROUND(VLOOKUP($A178,S275_21,17,FALSE)*VLOOKUP($A178,'3121% SY'!$C$3:$M$324,11,FALSE),3),0)+IFERROR(ROUND(VLOOKUP($A178,S275_21,18,FALSE)*VLOOKUP($A178,'3121% SY'!$C$3:$M$324,11,FALSE),3),0)+IFERROR(ROUND(VLOOKUP($A178,S275_21,19,FALSE)*VLOOKUP($A178,'3121% SY'!$C$3:$M$324,11,FALSE),3),0)+IFERROR(VLOOKUP($A178,S275_09,7,FALSE),0)</f>
        <v>0</v>
      </c>
      <c r="U178" s="267">
        <f>IFERROR(VLOOKUP($A178,Supp_43,14,FALSE),0)+IFERROR(SUMPRODUCT(VLOOKUP($A178,S275_01,{20,21,22},FALSE)),0)+IFERROR(SUMPRODUCT(VLOOKUP($A178,S275_97,{20,21,22},FALSE)),0)+IFERROR(ROUND(VLOOKUP($A178,S275_21,20,FALSE)*VLOOKUP($A178,'3121% SY'!$C$3:$M$324,11,FALSE),3),0)+IFERROR(ROUND(VLOOKUP($A178,S275_21,21,FALSE)*VLOOKUP($A178,'3121% SY'!$C$3:$M$324,11,FALSE),3),0)+IFERROR(ROUND(VLOOKUP($A178,S275_21,22,FALSE)*VLOOKUP($A178,'3121% SY'!$C$3:$M$324,11,FALSE),3),0)+IFERROR(VLOOKUP($A178,S275_09,8,FALSE),0)</f>
        <v>0</v>
      </c>
      <c r="V178" s="267">
        <f>IFERROR(VLOOKUP($A178,Supp_44,14,FALSE),0)+IFERROR(SUMPRODUCT(VLOOKUP($A178,S275_01,{23,24,25},FALSE)),0)+IFERROR(SUMPRODUCT(VLOOKUP($A178,S275_97,{23,24,25},FALSE)),0)+IFERROR(ROUND(VLOOKUP($A178,S275_21,23,FALSE)*VLOOKUP($A178,'3121% SY'!$C$3:$M$324,11,FALSE),3),0)+IFERROR(ROUND(VLOOKUP($A178,S275_21,24,FALSE)*VLOOKUP($A178,'3121% SY'!$C$3:$M$324,11,FALSE),3),0)+IFERROR(ROUND(VLOOKUP($A178,S275_21,25,FALSE)*VLOOKUP($A178,'3121% SY'!$C$3:$M$324,11,FALSE),3),0)+IFERROR(VLOOKUP($A178,S275_09,9,FALSE),0)</f>
        <v>0</v>
      </c>
      <c r="W178" s="267">
        <f>IFERROR(VLOOKUP($A178,Supp_45,14,FALSE),0)+IFERROR(SUMPRODUCT(VLOOKUP($A178,S275_01,{26,27,28},FALSE)),0)+IFERROR(SUMPRODUCT(VLOOKUP($A178,S275_97,{26,27,28},FALSE)),0)+IFERROR(ROUND(VLOOKUP($A178,S275_21,26,FALSE)*VLOOKUP($A178,'3121% SY'!$C$3:$M$324,11,FALSE),3),0)+IFERROR(ROUND(VLOOKUP($A178,S275_21,27,FALSE)*VLOOKUP($A178,'3121% SY'!$C$3:$M$324,11,FALSE),3),0)+IFERROR(ROUND(VLOOKUP($A178,S275_21,28,FALSE)*VLOOKUP($A178,'3121% SY'!$C$3:$M$324,11,FALSE),3),0)+IFERROR(VLOOKUP($A178,S275_09,10,FALSE),0)</f>
        <v>0</v>
      </c>
      <c r="X178" s="267">
        <f>IFERROR(VLOOKUP($A178,Supp_46,14,FALSE),0)+IFERROR(SUMPRODUCT(VLOOKUP($A178,S275_01,{29,30,31},FALSE)),0)+IFERROR(SUMPRODUCT(VLOOKUP($A178,S275_97,{29,30,31},FALSE)),0)+IFERROR(ROUND(VLOOKUP($A178,S275_21,29,FALSE)*VLOOKUP($A178,'3121% SY'!$C$3:$M$324,11,FALSE),3),0)+IFERROR(ROUND(VLOOKUP($A178,S275_21,30,FALSE)*VLOOKUP($A178,'3121% SY'!$C$3:$M$324,11,FALSE),3),0)+IFERROR(ROUND(VLOOKUP($A178,S275_21,31,FALSE)*VLOOKUP($A178,'3121% SY'!$C$3:$M$324,11,FALSE),3),0)+IFERROR(VLOOKUP($A178,S275_09,11,FALSE),0)</f>
        <v>0</v>
      </c>
      <c r="Y178" s="267">
        <f>IFERROR(VLOOKUP($A178,Supp_47,14,FALSE),0)+IFERROR(SUMPRODUCT(VLOOKUP($A178,S275_01,{32,33,34},FALSE)),0)+IFERROR(SUMPRODUCT(VLOOKUP($A178,S275_97,{32,33,34},FALSE)),0)+IFERROR(ROUND(VLOOKUP($A178,S275_21,32,FALSE)*VLOOKUP($A178,'3121% SY'!$C$3:$M$324,11,FALSE),3),0)+IFERROR(ROUND(VLOOKUP($A178,S275_21,33,FALSE)*VLOOKUP($A178,'3121% SY'!$C$3:$M$324,11,FALSE),3),0)+IFERROR(ROUND(VLOOKUP($A178,S275_21,34,FALSE)*VLOOKUP($A178,'3121% SY'!$C$3:$M$324,11,FALSE),3),0)+IFERROR(VLOOKUP($A178,S275_09,12,FALSE),0)</f>
        <v>0</v>
      </c>
      <c r="Z178" s="267">
        <f>IFERROR(VLOOKUP($A178,Supp_48,14,FALSE),0)+IFERROR(SUMPRODUCT(VLOOKUP($A178,S275_01,{35,36,37},FALSE)),0)+IFERROR(SUMPRODUCT(VLOOKUP($A178,S275_97,{35,36,37},FALSE)),0)+IFERROR(ROUND(VLOOKUP($A178,S275_21,35,FALSE)*VLOOKUP($A178,'3121% SY'!$C$3:$M$324,11,FALSE),3),0)+IFERROR(ROUND(VLOOKUP($A178,S275_21,36,FALSE)*VLOOKUP($A178,'3121% SY'!$C$3:$M$324,11,FALSE),3),0)+IFERROR(ROUND(VLOOKUP($A178,S275_21,37,FALSE)*VLOOKUP($A178,'3121% SY'!$C$3:$M$324,11,FALSE),3),0)+IFERROR(VLOOKUP($A178,S275_09,13,FALSE),0)</f>
        <v>0</v>
      </c>
      <c r="AA178" s="267">
        <f>IFERROR(VLOOKUP($A178,Supp_49,14,FALSE),0)+IFERROR(SUMPRODUCT(VLOOKUP($A178,S275_01,{38,39,40},FALSE)),0)+IFERROR(SUMPRODUCT(VLOOKUP($A178,S275_97,{38,39,40},FALSE)),0)+IFERROR(ROUND(VLOOKUP($A178,S275_21,38,FALSE)*VLOOKUP($A178,'3121% SY'!$C$3:$M$324,11,FALSE),3),0)+IFERROR(ROUND(VLOOKUP($A178,S275_21,39,FALSE)*VLOOKUP($A178,'3121% SY'!$C$3:$M$324,11,FALSE),3),0)+IFERROR(ROUND(VLOOKUP($A178,S275_21,40,FALSE)*VLOOKUP($A178,'3121% SY'!$C$3:$M$324,11,FALSE),3),0)+IFERROR(VLOOKUP($A178,S275_09,14,FALSE),0)</f>
        <v>0</v>
      </c>
      <c r="AB178" s="267">
        <f>IFERROR(VLOOKUP($A178,Supp_64,14,FALSE),0)+IFERROR(SUMPRODUCT(VLOOKUP($A178,S275_01,{41,42,43},FALSE)),0)+IFERROR(SUMPRODUCT(VLOOKUP($A178,S275_97,{41,42,43},FALSE)),0)+IFERROR(ROUND(VLOOKUP($A178,S275_21,41,FALSE)*VLOOKUP($A178,'3121% SY'!$C$3:$M$324,11,FALSE),3),0)+IFERROR(ROUND(VLOOKUP($A178,S275_21,42,FALSE)*VLOOKUP($A178,'3121% SY'!$C$3:$M$324,11,FALSE),3),0)+IFERROR(ROUND(VLOOKUP($A178,S275_21,43,FALSE)*VLOOKUP($A178,'3121% SY'!$C$3:$M$324,11,FALSE),3),0)+IFERROR(VLOOKUP($A178,S275_09,15,FALSE),0)</f>
        <v>0</v>
      </c>
      <c r="AC178" s="268">
        <f t="shared" si="37"/>
        <v>0</v>
      </c>
      <c r="AD178" s="267">
        <f>IFERROR(VLOOKUP($A178,Supp_24,14,FALSE),0)+IFERROR(SUMPRODUCT(VLOOKUP($A178,S275_01,{2,3,4},FALSE)),0)+IFERROR(SUMPRODUCT(VLOOKUP($A178,S275_97,{2,3,4},FALSE)),0)+IFERROR(ROUND(VLOOKUP($A178,S275_21,2,FALSE)*VLOOKUP($A178,'3121% SY'!$C$3:$M$324,11,FALSE),3),0)+IFERROR(ROUND(VLOOKUP($A178,S275_21,3,FALSE)*VLOOKUP($A178,'3121% SY'!$C$3:$M$324,11,FALSE),3),0)+IFERROR(ROUND(VLOOKUP($A178,S275_21,4,FALSE)*VLOOKUP($A178,'3121% SY'!$C$3:$M$324,11,FALSE),3),0)+IFERROR(VLOOKUP($A178,S275_09,2,FALSE),0)</f>
        <v>0</v>
      </c>
      <c r="AE178" s="267">
        <f>IFERROR(VLOOKUP($A178,Supp_25,14,FALSE),0)+IFERROR(SUMPRODUCT(VLOOKUP($A178,S275_01,{5,6,7},FALSE)),0)+IFERROR(SUMPRODUCT(VLOOKUP($A178,S275_97,{5,6,7},FALSE)),0)+IFERROR(ROUND(VLOOKUP($A178,S275_21,5,FALSE)*VLOOKUP($A178,'3121% SY'!$C$3:$M$324,11,FALSE),3),0)+IFERROR(ROUND(VLOOKUP($A178,S275_21,6,FALSE)*VLOOKUP($A178,'3121% SY'!$C$3:$M$324,11,FALSE),3),0)+IFERROR(ROUND(VLOOKUP($A178,S275_21,7,FALSE)*VLOOKUP($A178,'3121% SY'!$C$3:$M$324,11,FALSE),3),0)+IFERROR(VLOOKUP($A178,S275_09,3,FALSE),0)</f>
        <v>6</v>
      </c>
      <c r="AF178" s="267">
        <f>IFERROR(VLOOKUP($A178,Supp_26,14,FALSE),0)+IFERROR(SUMPRODUCT(VLOOKUP($A178,S275_01,{8,9,10},FALSE)),0)+IFERROR(SUMPRODUCT(VLOOKUP($A178,S275_97,{8,9,10},FALSE)),0)+IFERROR(ROUND(VLOOKUP($A178,S275_21,8,FALSE)*VLOOKUP($A178,'3121% SY'!$C$3:$M$324,11,FALSE),3),0)+IFERROR(ROUND(VLOOKUP($A178,S275_21,9,FALSE)*VLOOKUP($A178,'3121% SY'!$C$3:$M$324,11,FALSE),3),0)+IFERROR(ROUND(VLOOKUP($A178,S275_21,10,FALSE)*VLOOKUP($A178,'3121% SY'!$C$3:$M$324,11,FALSE),3),0)+IFERROR(VLOOKUP($A178,S275_09,4,FALSE),0)</f>
        <v>0</v>
      </c>
      <c r="AG178" s="267">
        <f>IFERROR(VLOOKUP($A178,Supp_35,14,FALSE),0)+IFERROR(SUMPRODUCT(VLOOKUP($A178,S275_01,{11,12,13},FALSE)),0)+IFERROR(SUMPRODUCT(VLOOKUP($A178,S275_97,{11,12,13},FALSE)),0)+IFERROR(ROUND(VLOOKUP($A178,S275_21,11,FALSE)*VLOOKUP($A178,'3121% SY'!$C$3:$M$324,11,FALSE),3),0)+IFERROR(ROUND(VLOOKUP($A178,S275_21,12,FALSE)*VLOOKUP($A178,'3121% SY'!$C$3:$M$324,11,FALSE),3),0)+IFERROR(ROUND(VLOOKUP($A178,S275_21,13,FALSE)*VLOOKUP($A178,'3121% SY'!$C$3:$M$324,11,FALSE),3),0)+IFERROR(VLOOKUP($A178,S275_09,5,FALSE),0)</f>
        <v>1</v>
      </c>
      <c r="AH178" s="165">
        <f t="shared" si="38"/>
        <v>7</v>
      </c>
      <c r="AI178" s="161">
        <f>IFERROR(VLOOKUP(A178,'Supp Staff Data'!A:ER,148,FALSE),0)+AB178</f>
        <v>0</v>
      </c>
      <c r="AJ178" s="174">
        <v>0.9556</v>
      </c>
      <c r="AK178" s="25">
        <f>VLOOKUP(A178,'Enroll Data as of January 2025'!$A$3:$T$323,20,FALSE)-F178</f>
        <v>0</v>
      </c>
    </row>
    <row r="179" spans="1:37" x14ac:dyDescent="0.25">
      <c r="A179" s="171" t="s">
        <v>12</v>
      </c>
      <c r="B179" t="s">
        <v>309</v>
      </c>
      <c r="C179" s="173" t="s">
        <v>1077</v>
      </c>
      <c r="D179" s="259">
        <f t="shared" si="30"/>
        <v>12.138999999999999</v>
      </c>
      <c r="E179" s="259">
        <f t="shared" si="31"/>
        <v>8.9960000000000004</v>
      </c>
      <c r="F179" s="262">
        <f t="shared" si="39"/>
        <v>-3.1429999999999998</v>
      </c>
      <c r="G179" s="161">
        <f>ROUND(IF(F179&lt;0,F179*'2024-25 PSES Compliance'!$G$13,0),3)</f>
        <v>-3.0169999999999999</v>
      </c>
      <c r="H179" s="161">
        <f>ROUND(IF(F179&lt;0,F179*'2024-25 PSES Compliance'!$G$14,0),3)</f>
        <v>-0.126</v>
      </c>
      <c r="I179" s="174">
        <f t="shared" si="33"/>
        <v>0</v>
      </c>
      <c r="J179" s="174">
        <f t="shared" si="34"/>
        <v>0</v>
      </c>
      <c r="K179" s="161">
        <f>VLOOKUP($A179,'Enroll Data as of January 2025'!$A$3:$M$322,6,FALSE)</f>
        <v>6.8440000000000003</v>
      </c>
      <c r="L179" s="161">
        <f>VLOOKUP($A179,'Enroll Data as of January 2025'!$A$3:$M$322,7,FALSE)</f>
        <v>1.1159999999999999</v>
      </c>
      <c r="M179" s="161">
        <f>VLOOKUP($A179,'Enroll Data as of January 2025'!$A$3:$M$322,8,FALSE)</f>
        <v>0.374</v>
      </c>
      <c r="N179" s="161">
        <f>VLOOKUP($A179,'Enroll Data as of January 2025'!$A$3:$M$322,9,FALSE)</f>
        <v>3.1280000000000001</v>
      </c>
      <c r="O179" s="165">
        <f t="shared" si="35"/>
        <v>11.462</v>
      </c>
      <c r="P179" s="161">
        <f>VLOOKUP($A179,'Enroll Data as of January 2025'!$A$3:$M$322,11,FALSE)</f>
        <v>0.42699999999999999</v>
      </c>
      <c r="Q179" s="161">
        <f>VLOOKUP($A179,'Enroll Data as of January 2025'!$A$3:$M$322,12,FALSE)</f>
        <v>0.25</v>
      </c>
      <c r="R179" s="165">
        <f t="shared" si="36"/>
        <v>0.67700000000000005</v>
      </c>
      <c r="S179" s="267">
        <f>IFERROR(VLOOKUP($A179,Supp_39,14,FALSE),0)+IFERROR(SUMPRODUCT(VLOOKUP($A179,S275_01,{14,15,16},FALSE)),0)+IFERROR(SUMPRODUCT(VLOOKUP($A179,S275_97,{14,15,16},FALSE)),0)+IFERROR(ROUND(VLOOKUP($A179,S275_21,14,FALSE)*VLOOKUP($A179,'3121% SY'!$C$3:$M$324,11,FALSE),3),0)+IFERROR(ROUND(VLOOKUP($A179,S275_21,15,FALSE)*VLOOKUP($A179,'3121% SY'!$C$3:$M$324,11,FALSE),3),0)+IFERROR(ROUND(VLOOKUP($A179,S275_21,16,FALSE)*VLOOKUP($A179,'3121% SY'!$C$3:$M$324,11,FALSE),3),0)+IFERROR(VLOOKUP($A179,S275_09,6,FALSE),0)</f>
        <v>1.5</v>
      </c>
      <c r="T179" s="267">
        <f>IFERROR(VLOOKUP($A179,Supp_42,14,FALSE),0)+IFERROR(SUMPRODUCT(VLOOKUP($A179,S275_01,{17,18,19},FALSE)),0)+IFERROR(SUMPRODUCT(VLOOKUP($A179,S275_97,{17,18,19},FALSE)),0)+IFERROR(ROUND(VLOOKUP($A179,S275_21,17,FALSE)*VLOOKUP($A179,'3121% SY'!$C$3:$M$324,11,FALSE),3),0)+IFERROR(ROUND(VLOOKUP($A179,S275_21,18,FALSE)*VLOOKUP($A179,'3121% SY'!$C$3:$M$324,11,FALSE),3),0)+IFERROR(ROUND(VLOOKUP($A179,S275_21,19,FALSE)*VLOOKUP($A179,'3121% SY'!$C$3:$M$324,11,FALSE),3),0)+IFERROR(VLOOKUP($A179,S275_09,7,FALSE),0)</f>
        <v>0.6</v>
      </c>
      <c r="U179" s="267">
        <f>IFERROR(VLOOKUP($A179,Supp_43,14,FALSE),0)+IFERROR(SUMPRODUCT(VLOOKUP($A179,S275_01,{20,21,22},FALSE)),0)+IFERROR(SUMPRODUCT(VLOOKUP($A179,S275_97,{20,21,22},FALSE)),0)+IFERROR(ROUND(VLOOKUP($A179,S275_21,20,FALSE)*VLOOKUP($A179,'3121% SY'!$C$3:$M$324,11,FALSE),3),0)+IFERROR(ROUND(VLOOKUP($A179,S275_21,21,FALSE)*VLOOKUP($A179,'3121% SY'!$C$3:$M$324,11,FALSE),3),0)+IFERROR(ROUND(VLOOKUP($A179,S275_21,22,FALSE)*VLOOKUP($A179,'3121% SY'!$C$3:$M$324,11,FALSE),3),0)+IFERROR(VLOOKUP($A179,S275_09,8,FALSE),0)</f>
        <v>0.436</v>
      </c>
      <c r="V179" s="267">
        <f>IFERROR(VLOOKUP($A179,Supp_44,14,FALSE),0)+IFERROR(SUMPRODUCT(VLOOKUP($A179,S275_01,{23,24,25},FALSE)),0)+IFERROR(SUMPRODUCT(VLOOKUP($A179,S275_97,{23,24,25},FALSE)),0)+IFERROR(ROUND(VLOOKUP($A179,S275_21,23,FALSE)*VLOOKUP($A179,'3121% SY'!$C$3:$M$324,11,FALSE),3),0)+IFERROR(ROUND(VLOOKUP($A179,S275_21,24,FALSE)*VLOOKUP($A179,'3121% SY'!$C$3:$M$324,11,FALSE),3),0)+IFERROR(ROUND(VLOOKUP($A179,S275_21,25,FALSE)*VLOOKUP($A179,'3121% SY'!$C$3:$M$324,11,FALSE),3),0)+IFERROR(VLOOKUP($A179,S275_09,9,FALSE),0)</f>
        <v>0</v>
      </c>
      <c r="W179" s="267">
        <f>IFERROR(VLOOKUP($A179,Supp_45,14,FALSE),0)+IFERROR(SUMPRODUCT(VLOOKUP($A179,S275_01,{26,27,28},FALSE)),0)+IFERROR(SUMPRODUCT(VLOOKUP($A179,S275_97,{26,27,28},FALSE)),0)+IFERROR(ROUND(VLOOKUP($A179,S275_21,26,FALSE)*VLOOKUP($A179,'3121% SY'!$C$3:$M$324,11,FALSE),3),0)+IFERROR(ROUND(VLOOKUP($A179,S275_21,27,FALSE)*VLOOKUP($A179,'3121% SY'!$C$3:$M$324,11,FALSE),3),0)+IFERROR(ROUND(VLOOKUP($A179,S275_21,28,FALSE)*VLOOKUP($A179,'3121% SY'!$C$3:$M$324,11,FALSE),3),0)+IFERROR(VLOOKUP($A179,S275_09,10,FALSE),0)</f>
        <v>0.80400000000000005</v>
      </c>
      <c r="X179" s="267">
        <f>IFERROR(VLOOKUP($A179,Supp_46,14,FALSE),0)+IFERROR(SUMPRODUCT(VLOOKUP($A179,S275_01,{29,30,31},FALSE)),0)+IFERROR(SUMPRODUCT(VLOOKUP($A179,S275_97,{29,30,31},FALSE)),0)+IFERROR(ROUND(VLOOKUP($A179,S275_21,29,FALSE)*VLOOKUP($A179,'3121% SY'!$C$3:$M$324,11,FALSE),3),0)+IFERROR(ROUND(VLOOKUP($A179,S275_21,30,FALSE)*VLOOKUP($A179,'3121% SY'!$C$3:$M$324,11,FALSE),3),0)+IFERROR(ROUND(VLOOKUP($A179,S275_21,31,FALSE)*VLOOKUP($A179,'3121% SY'!$C$3:$M$324,11,FALSE),3),0)+IFERROR(VLOOKUP($A179,S275_09,11,FALSE),0)</f>
        <v>1.673</v>
      </c>
      <c r="Y179" s="267">
        <f>IFERROR(VLOOKUP($A179,Supp_47,14,FALSE),0)+IFERROR(SUMPRODUCT(VLOOKUP($A179,S275_01,{32,33,34},FALSE)),0)+IFERROR(SUMPRODUCT(VLOOKUP($A179,S275_97,{32,33,34},FALSE)),0)+IFERROR(ROUND(VLOOKUP($A179,S275_21,32,FALSE)*VLOOKUP($A179,'3121% SY'!$C$3:$M$324,11,FALSE),3),0)+IFERROR(ROUND(VLOOKUP($A179,S275_21,33,FALSE)*VLOOKUP($A179,'3121% SY'!$C$3:$M$324,11,FALSE),3),0)+IFERROR(ROUND(VLOOKUP($A179,S275_21,34,FALSE)*VLOOKUP($A179,'3121% SY'!$C$3:$M$324,11,FALSE),3),0)+IFERROR(VLOOKUP($A179,S275_09,12,FALSE),0)</f>
        <v>0</v>
      </c>
      <c r="Z179" s="267">
        <f>IFERROR(VLOOKUP($A179,Supp_48,14,FALSE),0)+IFERROR(SUMPRODUCT(VLOOKUP($A179,S275_01,{35,36,37},FALSE)),0)+IFERROR(SUMPRODUCT(VLOOKUP($A179,S275_97,{35,36,37},FALSE)),0)+IFERROR(ROUND(VLOOKUP($A179,S275_21,35,FALSE)*VLOOKUP($A179,'3121% SY'!$C$3:$M$324,11,FALSE),3),0)+IFERROR(ROUND(VLOOKUP($A179,S275_21,36,FALSE)*VLOOKUP($A179,'3121% SY'!$C$3:$M$324,11,FALSE),3),0)+IFERROR(ROUND(VLOOKUP($A179,S275_21,37,FALSE)*VLOOKUP($A179,'3121% SY'!$C$3:$M$324,11,FALSE),3),0)+IFERROR(VLOOKUP($A179,S275_09,13,FALSE),0)</f>
        <v>0</v>
      </c>
      <c r="AA179" s="267">
        <f>IFERROR(VLOOKUP($A179,Supp_49,14,FALSE),0)+IFERROR(SUMPRODUCT(VLOOKUP($A179,S275_01,{38,39,40},FALSE)),0)+IFERROR(SUMPRODUCT(VLOOKUP($A179,S275_97,{38,39,40},FALSE)),0)+IFERROR(ROUND(VLOOKUP($A179,S275_21,38,FALSE)*VLOOKUP($A179,'3121% SY'!$C$3:$M$324,11,FALSE),3),0)+IFERROR(ROUND(VLOOKUP($A179,S275_21,39,FALSE)*VLOOKUP($A179,'3121% SY'!$C$3:$M$324,11,FALSE),3),0)+IFERROR(ROUND(VLOOKUP($A179,S275_21,40,FALSE)*VLOOKUP($A179,'3121% SY'!$C$3:$M$324,11,FALSE),3),0)+IFERROR(VLOOKUP($A179,S275_09,14,FALSE),0)</f>
        <v>0</v>
      </c>
      <c r="AB179" s="267">
        <f>IFERROR(VLOOKUP($A179,Supp_64,14,FALSE),0)+IFERROR(SUMPRODUCT(VLOOKUP($A179,S275_01,{41,42,43},FALSE)),0)+IFERROR(SUMPRODUCT(VLOOKUP($A179,S275_97,{41,42,43},FALSE)),0)+IFERROR(ROUND(VLOOKUP($A179,S275_21,41,FALSE)*VLOOKUP($A179,'3121% SY'!$C$3:$M$324,11,FALSE),3),0)+IFERROR(ROUND(VLOOKUP($A179,S275_21,42,FALSE)*VLOOKUP($A179,'3121% SY'!$C$3:$M$324,11,FALSE),3),0)+IFERROR(ROUND(VLOOKUP($A179,S275_21,43,FALSE)*VLOOKUP($A179,'3121% SY'!$C$3:$M$324,11,FALSE),3),0)+IFERROR(VLOOKUP($A179,S275_09,15,FALSE),0)</f>
        <v>0</v>
      </c>
      <c r="AC179" s="268">
        <f t="shared" si="37"/>
        <v>5.0129999999999999</v>
      </c>
      <c r="AD179" s="267">
        <f>IFERROR(VLOOKUP($A179,Supp_24,14,FALSE),0)+IFERROR(SUMPRODUCT(VLOOKUP($A179,S275_01,{2,3,4},FALSE)),0)+IFERROR(SUMPRODUCT(VLOOKUP($A179,S275_97,{2,3,4},FALSE)),0)+IFERROR(ROUND(VLOOKUP($A179,S275_21,2,FALSE)*VLOOKUP($A179,'3121% SY'!$C$3:$M$324,11,FALSE),3),0)+IFERROR(ROUND(VLOOKUP($A179,S275_21,3,FALSE)*VLOOKUP($A179,'3121% SY'!$C$3:$M$324,11,FALSE),3),0)+IFERROR(ROUND(VLOOKUP($A179,S275_21,4,FALSE)*VLOOKUP($A179,'3121% SY'!$C$3:$M$324,11,FALSE),3),0)+IFERROR(VLOOKUP($A179,S275_09,2,FALSE),0)</f>
        <v>0</v>
      </c>
      <c r="AE179" s="267">
        <f>IFERROR(VLOOKUP($A179,Supp_25,14,FALSE),0)+IFERROR(SUMPRODUCT(VLOOKUP($A179,S275_01,{5,6,7},FALSE)),0)+IFERROR(SUMPRODUCT(VLOOKUP($A179,S275_97,{5,6,7},FALSE)),0)+IFERROR(ROUND(VLOOKUP($A179,S275_21,5,FALSE)*VLOOKUP($A179,'3121% SY'!$C$3:$M$324,11,FALSE),3),0)+IFERROR(ROUND(VLOOKUP($A179,S275_21,6,FALSE)*VLOOKUP($A179,'3121% SY'!$C$3:$M$324,11,FALSE),3),0)+IFERROR(ROUND(VLOOKUP($A179,S275_21,7,FALSE)*VLOOKUP($A179,'3121% SY'!$C$3:$M$324,11,FALSE),3),0)+IFERROR(VLOOKUP($A179,S275_09,3,FALSE),0)</f>
        <v>0.84099999999999997</v>
      </c>
      <c r="AF179" s="267">
        <f>IFERROR(VLOOKUP($A179,Supp_26,14,FALSE),0)+IFERROR(SUMPRODUCT(VLOOKUP($A179,S275_01,{8,9,10},FALSE)),0)+IFERROR(SUMPRODUCT(VLOOKUP($A179,S275_97,{8,9,10},FALSE)),0)+IFERROR(ROUND(VLOOKUP($A179,S275_21,8,FALSE)*VLOOKUP($A179,'3121% SY'!$C$3:$M$324,11,FALSE),3),0)+IFERROR(ROUND(VLOOKUP($A179,S275_21,9,FALSE)*VLOOKUP($A179,'3121% SY'!$C$3:$M$324,11,FALSE),3),0)+IFERROR(ROUND(VLOOKUP($A179,S275_21,10,FALSE)*VLOOKUP($A179,'3121% SY'!$C$3:$M$324,11,FALSE),3),0)+IFERROR(VLOOKUP($A179,S275_09,4,FALSE),0)</f>
        <v>3.1420000000000003</v>
      </c>
      <c r="AG179" s="267">
        <f>IFERROR(VLOOKUP($A179,Supp_35,14,FALSE),0)+IFERROR(SUMPRODUCT(VLOOKUP($A179,S275_01,{11,12,13},FALSE)),0)+IFERROR(SUMPRODUCT(VLOOKUP($A179,S275_97,{11,12,13},FALSE)),0)+IFERROR(ROUND(VLOOKUP($A179,S275_21,11,FALSE)*VLOOKUP($A179,'3121% SY'!$C$3:$M$324,11,FALSE),3),0)+IFERROR(ROUND(VLOOKUP($A179,S275_21,12,FALSE)*VLOOKUP($A179,'3121% SY'!$C$3:$M$324,11,FALSE),3),0)+IFERROR(ROUND(VLOOKUP($A179,S275_21,13,FALSE)*VLOOKUP($A179,'3121% SY'!$C$3:$M$324,11,FALSE),3),0)+IFERROR(VLOOKUP($A179,S275_09,5,FALSE),0)</f>
        <v>0</v>
      </c>
      <c r="AH179" s="165">
        <f t="shared" si="38"/>
        <v>3.9830000000000005</v>
      </c>
      <c r="AI179" s="161">
        <f>IFERROR(VLOOKUP(A179,'Supp Staff Data'!A:ER,148,FALSE),0)+AB179</f>
        <v>0</v>
      </c>
      <c r="AJ179" s="174">
        <v>0</v>
      </c>
      <c r="AK179" s="25">
        <f>VLOOKUP(A179,'Enroll Data as of January 2025'!$A$3:$T$323,20,FALSE)-F179</f>
        <v>0</v>
      </c>
    </row>
    <row r="180" spans="1:37" x14ac:dyDescent="0.25">
      <c r="A180" s="171" t="s">
        <v>83</v>
      </c>
      <c r="B180" t="s">
        <v>379</v>
      </c>
      <c r="C180" s="173" t="s">
        <v>1077</v>
      </c>
      <c r="D180" s="259">
        <f t="shared" si="30"/>
        <v>0.995</v>
      </c>
      <c r="E180" s="259">
        <f t="shared" si="31"/>
        <v>1.873</v>
      </c>
      <c r="F180" s="262">
        <f t="shared" si="39"/>
        <v>0.878</v>
      </c>
      <c r="G180" s="161">
        <f>ROUND(IF(F180&lt;0,F180*'2024-25 PSES Compliance'!$G$13,0),3)</f>
        <v>0</v>
      </c>
      <c r="H180" s="161">
        <f>ROUND(IF(F180&lt;0,F180*'2024-25 PSES Compliance'!$G$14,0),3)</f>
        <v>0</v>
      </c>
      <c r="I180" s="174">
        <f t="shared" si="33"/>
        <v>0.33475707421249334</v>
      </c>
      <c r="J180" s="174">
        <f t="shared" si="34"/>
        <v>2.9364655632674853E-2</v>
      </c>
      <c r="K180" s="161">
        <f>VLOOKUP($A180,'Enroll Data as of January 2025'!$A$3:$M$322,6,FALSE)</f>
        <v>0.45900000000000002</v>
      </c>
      <c r="L180" s="161">
        <f>VLOOKUP($A180,'Enroll Data as of January 2025'!$A$3:$M$322,7,FALSE)</f>
        <v>0.14399999999999999</v>
      </c>
      <c r="M180" s="161">
        <f>VLOOKUP($A180,'Enroll Data as of January 2025'!$A$3:$M$322,8,FALSE)</f>
        <v>4.8000000000000001E-2</v>
      </c>
      <c r="N180" s="161">
        <f>VLOOKUP($A180,'Enroll Data as of January 2025'!$A$3:$M$322,9,FALSE)</f>
        <v>0.27</v>
      </c>
      <c r="O180" s="165">
        <f t="shared" si="35"/>
        <v>0.92100000000000004</v>
      </c>
      <c r="P180" s="161">
        <f>VLOOKUP($A180,'Enroll Data as of January 2025'!$A$3:$M$322,11,FALSE)</f>
        <v>3.5999999999999997E-2</v>
      </c>
      <c r="Q180" s="161">
        <f>VLOOKUP($A180,'Enroll Data as of January 2025'!$A$3:$M$322,12,FALSE)</f>
        <v>3.7999999999999999E-2</v>
      </c>
      <c r="R180" s="165">
        <f t="shared" si="36"/>
        <v>7.3999999999999996E-2</v>
      </c>
      <c r="S180" s="267">
        <f>IFERROR(VLOOKUP($A180,Supp_39,14,FALSE),0)+IFERROR(SUMPRODUCT(VLOOKUP($A180,S275_01,{14,15,16},FALSE)),0)+IFERROR(SUMPRODUCT(VLOOKUP($A180,S275_97,{14,15,16},FALSE)),0)+IFERROR(ROUND(VLOOKUP($A180,S275_21,14,FALSE)*VLOOKUP($A180,'3121% SY'!$C$3:$M$324,11,FALSE),3),0)+IFERROR(ROUND(VLOOKUP($A180,S275_21,15,FALSE)*VLOOKUP($A180,'3121% SY'!$C$3:$M$324,11,FALSE),3),0)+IFERROR(ROUND(VLOOKUP($A180,S275_21,16,FALSE)*VLOOKUP($A180,'3121% SY'!$C$3:$M$324,11,FALSE),3),0)+IFERROR(VLOOKUP($A180,S275_09,6,FALSE),0)</f>
        <v>0.57199999999999995</v>
      </c>
      <c r="T180" s="267">
        <f>IFERROR(VLOOKUP($A180,Supp_42,14,FALSE),0)+IFERROR(SUMPRODUCT(VLOOKUP($A180,S275_01,{17,18,19},FALSE)),0)+IFERROR(SUMPRODUCT(VLOOKUP($A180,S275_97,{17,18,19},FALSE)),0)+IFERROR(ROUND(VLOOKUP($A180,S275_21,17,FALSE)*VLOOKUP($A180,'3121% SY'!$C$3:$M$324,11,FALSE),3),0)+IFERROR(ROUND(VLOOKUP($A180,S275_21,18,FALSE)*VLOOKUP($A180,'3121% SY'!$C$3:$M$324,11,FALSE),3),0)+IFERROR(ROUND(VLOOKUP($A180,S275_21,19,FALSE)*VLOOKUP($A180,'3121% SY'!$C$3:$M$324,11,FALSE),3),0)+IFERROR(VLOOKUP($A180,S275_09,7,FALSE),0)</f>
        <v>0</v>
      </c>
      <c r="U180" s="267">
        <f>IFERROR(VLOOKUP($A180,Supp_43,14,FALSE),0)+IFERROR(SUMPRODUCT(VLOOKUP($A180,S275_01,{20,21,22},FALSE)),0)+IFERROR(SUMPRODUCT(VLOOKUP($A180,S275_97,{20,21,22},FALSE)),0)+IFERROR(ROUND(VLOOKUP($A180,S275_21,20,FALSE)*VLOOKUP($A180,'3121% SY'!$C$3:$M$324,11,FALSE),3),0)+IFERROR(ROUND(VLOOKUP($A180,S275_21,21,FALSE)*VLOOKUP($A180,'3121% SY'!$C$3:$M$324,11,FALSE),3),0)+IFERROR(ROUND(VLOOKUP($A180,S275_21,22,FALSE)*VLOOKUP($A180,'3121% SY'!$C$3:$M$324,11,FALSE),3),0)+IFERROR(VLOOKUP($A180,S275_09,8,FALSE),0)</f>
        <v>0</v>
      </c>
      <c r="V180" s="267">
        <f>IFERROR(VLOOKUP($A180,Supp_44,14,FALSE),0)+IFERROR(SUMPRODUCT(VLOOKUP($A180,S275_01,{23,24,25},FALSE)),0)+IFERROR(SUMPRODUCT(VLOOKUP($A180,S275_97,{23,24,25},FALSE)),0)+IFERROR(ROUND(VLOOKUP($A180,S275_21,23,FALSE)*VLOOKUP($A180,'3121% SY'!$C$3:$M$324,11,FALSE),3),0)+IFERROR(ROUND(VLOOKUP($A180,S275_21,24,FALSE)*VLOOKUP($A180,'3121% SY'!$C$3:$M$324,11,FALSE),3),0)+IFERROR(ROUND(VLOOKUP($A180,S275_21,25,FALSE)*VLOOKUP($A180,'3121% SY'!$C$3:$M$324,11,FALSE),3),0)+IFERROR(VLOOKUP($A180,S275_09,9,FALSE),0)</f>
        <v>0</v>
      </c>
      <c r="W180" s="267">
        <f>IFERROR(VLOOKUP($A180,Supp_45,14,FALSE),0)+IFERROR(SUMPRODUCT(VLOOKUP($A180,S275_01,{26,27,28},FALSE)),0)+IFERROR(SUMPRODUCT(VLOOKUP($A180,S275_97,{26,27,28},FALSE)),0)+IFERROR(ROUND(VLOOKUP($A180,S275_21,26,FALSE)*VLOOKUP($A180,'3121% SY'!$C$3:$M$324,11,FALSE),3),0)+IFERROR(ROUND(VLOOKUP($A180,S275_21,27,FALSE)*VLOOKUP($A180,'3121% SY'!$C$3:$M$324,11,FALSE),3),0)+IFERROR(ROUND(VLOOKUP($A180,S275_21,28,FALSE)*VLOOKUP($A180,'3121% SY'!$C$3:$M$324,11,FALSE),3),0)+IFERROR(VLOOKUP($A180,S275_09,10,FALSE),0)</f>
        <v>0</v>
      </c>
      <c r="X180" s="267">
        <f>IFERROR(VLOOKUP($A180,Supp_46,14,FALSE),0)+IFERROR(SUMPRODUCT(VLOOKUP($A180,S275_01,{29,30,31},FALSE)),0)+IFERROR(SUMPRODUCT(VLOOKUP($A180,S275_97,{29,30,31},FALSE)),0)+IFERROR(ROUND(VLOOKUP($A180,S275_21,29,FALSE)*VLOOKUP($A180,'3121% SY'!$C$3:$M$324,11,FALSE),3),0)+IFERROR(ROUND(VLOOKUP($A180,S275_21,30,FALSE)*VLOOKUP($A180,'3121% SY'!$C$3:$M$324,11,FALSE),3),0)+IFERROR(ROUND(VLOOKUP($A180,S275_21,31,FALSE)*VLOOKUP($A180,'3121% SY'!$C$3:$M$324,11,FALSE),3),0)+IFERROR(VLOOKUP($A180,S275_09,11,FALSE),0)</f>
        <v>0</v>
      </c>
      <c r="Y180" s="267">
        <f>IFERROR(VLOOKUP($A180,Supp_47,14,FALSE),0)+IFERROR(SUMPRODUCT(VLOOKUP($A180,S275_01,{32,33,34},FALSE)),0)+IFERROR(SUMPRODUCT(VLOOKUP($A180,S275_97,{32,33,34},FALSE)),0)+IFERROR(ROUND(VLOOKUP($A180,S275_21,32,FALSE)*VLOOKUP($A180,'3121% SY'!$C$3:$M$324,11,FALSE),3),0)+IFERROR(ROUND(VLOOKUP($A180,S275_21,33,FALSE)*VLOOKUP($A180,'3121% SY'!$C$3:$M$324,11,FALSE),3),0)+IFERROR(ROUND(VLOOKUP($A180,S275_21,34,FALSE)*VLOOKUP($A180,'3121% SY'!$C$3:$M$324,11,FALSE),3),0)+IFERROR(VLOOKUP($A180,S275_09,12,FALSE),0)</f>
        <v>0</v>
      </c>
      <c r="Z180" s="267">
        <f>IFERROR(VLOOKUP($A180,Supp_48,14,FALSE),0)+IFERROR(SUMPRODUCT(VLOOKUP($A180,S275_01,{35,36,37},FALSE)),0)+IFERROR(SUMPRODUCT(VLOOKUP($A180,S275_97,{35,36,37},FALSE)),0)+IFERROR(ROUND(VLOOKUP($A180,S275_21,35,FALSE)*VLOOKUP($A180,'3121% SY'!$C$3:$M$324,11,FALSE),3),0)+IFERROR(ROUND(VLOOKUP($A180,S275_21,36,FALSE)*VLOOKUP($A180,'3121% SY'!$C$3:$M$324,11,FALSE),3),0)+IFERROR(ROUND(VLOOKUP($A180,S275_21,37,FALSE)*VLOOKUP($A180,'3121% SY'!$C$3:$M$324,11,FALSE),3),0)+IFERROR(VLOOKUP($A180,S275_09,13,FALSE),0)</f>
        <v>0</v>
      </c>
      <c r="AA180" s="267">
        <f>IFERROR(VLOOKUP($A180,Supp_49,14,FALSE),0)+IFERROR(SUMPRODUCT(VLOOKUP($A180,S275_01,{38,39,40},FALSE)),0)+IFERROR(SUMPRODUCT(VLOOKUP($A180,S275_97,{38,39,40},FALSE)),0)+IFERROR(ROUND(VLOOKUP($A180,S275_21,38,FALSE)*VLOOKUP($A180,'3121% SY'!$C$3:$M$324,11,FALSE),3),0)+IFERROR(ROUND(VLOOKUP($A180,S275_21,39,FALSE)*VLOOKUP($A180,'3121% SY'!$C$3:$M$324,11,FALSE),3),0)+IFERROR(ROUND(VLOOKUP($A180,S275_21,40,FALSE)*VLOOKUP($A180,'3121% SY'!$C$3:$M$324,11,FALSE),3),0)+IFERROR(VLOOKUP($A180,S275_09,14,FALSE),0)</f>
        <v>0</v>
      </c>
      <c r="AB180" s="267">
        <f>IFERROR(VLOOKUP($A180,Supp_64,14,FALSE),0)+IFERROR(SUMPRODUCT(VLOOKUP($A180,S275_01,{41,42,43},FALSE)),0)+IFERROR(SUMPRODUCT(VLOOKUP($A180,S275_97,{41,42,43},FALSE)),0)+IFERROR(ROUND(VLOOKUP($A180,S275_21,41,FALSE)*VLOOKUP($A180,'3121% SY'!$C$3:$M$324,11,FALSE),3),0)+IFERROR(ROUND(VLOOKUP($A180,S275_21,42,FALSE)*VLOOKUP($A180,'3121% SY'!$C$3:$M$324,11,FALSE),3),0)+IFERROR(ROUND(VLOOKUP($A180,S275_21,43,FALSE)*VLOOKUP($A180,'3121% SY'!$C$3:$M$324,11,FALSE),3),0)+IFERROR(VLOOKUP($A180,S275_09,15,FALSE),0)</f>
        <v>5.5E-2</v>
      </c>
      <c r="AC180" s="268">
        <f t="shared" si="37"/>
        <v>0.627</v>
      </c>
      <c r="AD180" s="267">
        <f>IFERROR(VLOOKUP($A180,Supp_24,14,FALSE),0)+IFERROR(SUMPRODUCT(VLOOKUP($A180,S275_01,{2,3,4},FALSE)),0)+IFERROR(SUMPRODUCT(VLOOKUP($A180,S275_97,{2,3,4},FALSE)),0)+IFERROR(ROUND(VLOOKUP($A180,S275_21,2,FALSE)*VLOOKUP($A180,'3121% SY'!$C$3:$M$324,11,FALSE),3),0)+IFERROR(ROUND(VLOOKUP($A180,S275_21,3,FALSE)*VLOOKUP($A180,'3121% SY'!$C$3:$M$324,11,FALSE),3),0)+IFERROR(ROUND(VLOOKUP($A180,S275_21,4,FALSE)*VLOOKUP($A180,'3121% SY'!$C$3:$M$324,11,FALSE),3),0)+IFERROR(VLOOKUP($A180,S275_09,2,FALSE),0)</f>
        <v>0.36299999999999999</v>
      </c>
      <c r="AE180" s="267">
        <f>IFERROR(VLOOKUP($A180,Supp_25,14,FALSE),0)+IFERROR(SUMPRODUCT(VLOOKUP($A180,S275_01,{5,6,7},FALSE)),0)+IFERROR(SUMPRODUCT(VLOOKUP($A180,S275_97,{5,6,7},FALSE)),0)+IFERROR(ROUND(VLOOKUP($A180,S275_21,5,FALSE)*VLOOKUP($A180,'3121% SY'!$C$3:$M$324,11,FALSE),3),0)+IFERROR(ROUND(VLOOKUP($A180,S275_21,6,FALSE)*VLOOKUP($A180,'3121% SY'!$C$3:$M$324,11,FALSE),3),0)+IFERROR(ROUND(VLOOKUP($A180,S275_21,7,FALSE)*VLOOKUP($A180,'3121% SY'!$C$3:$M$324,11,FALSE),3),0)+IFERROR(VLOOKUP($A180,S275_09,3,FALSE),0)</f>
        <v>0.88300000000000001</v>
      </c>
      <c r="AF180" s="267">
        <f>IFERROR(VLOOKUP($A180,Supp_26,14,FALSE),0)+IFERROR(SUMPRODUCT(VLOOKUP($A180,S275_01,{8,9,10},FALSE)),0)+IFERROR(SUMPRODUCT(VLOOKUP($A180,S275_97,{8,9,10},FALSE)),0)+IFERROR(ROUND(VLOOKUP($A180,S275_21,8,FALSE)*VLOOKUP($A180,'3121% SY'!$C$3:$M$324,11,FALSE),3),0)+IFERROR(ROUND(VLOOKUP($A180,S275_21,9,FALSE)*VLOOKUP($A180,'3121% SY'!$C$3:$M$324,11,FALSE),3),0)+IFERROR(ROUND(VLOOKUP($A180,S275_21,10,FALSE)*VLOOKUP($A180,'3121% SY'!$C$3:$M$324,11,FALSE),3),0)+IFERROR(VLOOKUP($A180,S275_09,4,FALSE),0)</f>
        <v>0</v>
      </c>
      <c r="AG180" s="267">
        <f>IFERROR(VLOOKUP($A180,Supp_35,14,FALSE),0)+IFERROR(SUMPRODUCT(VLOOKUP($A180,S275_01,{11,12,13},FALSE)),0)+IFERROR(SUMPRODUCT(VLOOKUP($A180,S275_97,{11,12,13},FALSE)),0)+IFERROR(ROUND(VLOOKUP($A180,S275_21,11,FALSE)*VLOOKUP($A180,'3121% SY'!$C$3:$M$324,11,FALSE),3),0)+IFERROR(ROUND(VLOOKUP($A180,S275_21,12,FALSE)*VLOOKUP($A180,'3121% SY'!$C$3:$M$324,11,FALSE),3),0)+IFERROR(ROUND(VLOOKUP($A180,S275_21,13,FALSE)*VLOOKUP($A180,'3121% SY'!$C$3:$M$324,11,FALSE),3),0)+IFERROR(VLOOKUP($A180,S275_09,5,FALSE),0)</f>
        <v>0</v>
      </c>
      <c r="AH180" s="165">
        <f t="shared" si="38"/>
        <v>1.246</v>
      </c>
      <c r="AI180" s="161">
        <f>IFERROR(VLOOKUP(A180,'Supp Staff Data'!A:ER,148,FALSE),0)+AB180</f>
        <v>5.5E-2</v>
      </c>
      <c r="AJ180" s="174">
        <v>1</v>
      </c>
      <c r="AK180" s="25">
        <f>VLOOKUP(A180,'Enroll Data as of January 2025'!$A$3:$T$323,20,FALSE)-F180</f>
        <v>0</v>
      </c>
    </row>
    <row r="181" spans="1:37" x14ac:dyDescent="0.25">
      <c r="A181" s="171" t="s">
        <v>31</v>
      </c>
      <c r="B181" t="s">
        <v>327</v>
      </c>
      <c r="C181" s="173" t="s">
        <v>1077</v>
      </c>
      <c r="D181" s="259">
        <f t="shared" si="30"/>
        <v>4.6039999999999992</v>
      </c>
      <c r="E181" s="259">
        <f t="shared" si="31"/>
        <v>5.2449999999999992</v>
      </c>
      <c r="F181" s="262">
        <f t="shared" si="39"/>
        <v>0.64100000000000001</v>
      </c>
      <c r="G181" s="161">
        <f>ROUND(IF(F181&lt;0,F181*'2024-25 PSES Compliance'!$G$13,0),3)</f>
        <v>0</v>
      </c>
      <c r="H181" s="161">
        <f>ROUND(IF(F181&lt;0,F181*'2024-25 PSES Compliance'!$G$14,0),3)</f>
        <v>0</v>
      </c>
      <c r="I181" s="174">
        <f t="shared" si="33"/>
        <v>0.38418280266920884</v>
      </c>
      <c r="J181" s="174">
        <f t="shared" si="34"/>
        <v>3.5843660629170646E-2</v>
      </c>
      <c r="K181" s="161">
        <f>VLOOKUP($A181,'Enroll Data as of January 2025'!$A$3:$M$322,6,FALSE)</f>
        <v>2.5709999999999997</v>
      </c>
      <c r="L181" s="161">
        <f>VLOOKUP($A181,'Enroll Data as of January 2025'!$A$3:$M$322,7,FALSE)</f>
        <v>0.44</v>
      </c>
      <c r="M181" s="161">
        <f>VLOOKUP($A181,'Enroll Data as of January 2025'!$A$3:$M$322,8,FALSE)</f>
        <v>0.14800000000000002</v>
      </c>
      <c r="N181" s="161">
        <f>VLOOKUP($A181,'Enroll Data as of January 2025'!$A$3:$M$322,9,FALSE)</f>
        <v>1.1829999999999998</v>
      </c>
      <c r="O181" s="165">
        <f t="shared" si="35"/>
        <v>4.3419999999999996</v>
      </c>
      <c r="P181" s="161">
        <f>VLOOKUP($A181,'Enroll Data as of January 2025'!$A$3:$M$322,11,FALSE)</f>
        <v>0.16199999999999998</v>
      </c>
      <c r="Q181" s="161">
        <f>VLOOKUP($A181,'Enroll Data as of January 2025'!$A$3:$M$322,12,FALSE)</f>
        <v>0.1</v>
      </c>
      <c r="R181" s="165">
        <f t="shared" si="36"/>
        <v>0.26200000000000001</v>
      </c>
      <c r="S181" s="267">
        <f>IFERROR(VLOOKUP($A181,Supp_39,14,FALSE),0)+IFERROR(SUMPRODUCT(VLOOKUP($A181,S275_01,{14,15,16},FALSE)),0)+IFERROR(SUMPRODUCT(VLOOKUP($A181,S275_97,{14,15,16},FALSE)),0)+IFERROR(ROUND(VLOOKUP($A181,S275_21,14,FALSE)*VLOOKUP($A181,'3121% SY'!$C$3:$M$324,11,FALSE),3),0)+IFERROR(ROUND(VLOOKUP($A181,S275_21,15,FALSE)*VLOOKUP($A181,'3121% SY'!$C$3:$M$324,11,FALSE),3),0)+IFERROR(ROUND(VLOOKUP($A181,S275_21,16,FALSE)*VLOOKUP($A181,'3121% SY'!$C$3:$M$324,11,FALSE),3),0)+IFERROR(VLOOKUP($A181,S275_09,6,FALSE),0)</f>
        <v>0.91500000000000004</v>
      </c>
      <c r="T181" s="267">
        <f>IFERROR(VLOOKUP($A181,Supp_42,14,FALSE),0)+IFERROR(SUMPRODUCT(VLOOKUP($A181,S275_01,{17,18,19},FALSE)),0)+IFERROR(SUMPRODUCT(VLOOKUP($A181,S275_97,{17,18,19},FALSE)),0)+IFERROR(ROUND(VLOOKUP($A181,S275_21,17,FALSE)*VLOOKUP($A181,'3121% SY'!$C$3:$M$324,11,FALSE),3),0)+IFERROR(ROUND(VLOOKUP($A181,S275_21,18,FALSE)*VLOOKUP($A181,'3121% SY'!$C$3:$M$324,11,FALSE),3),0)+IFERROR(ROUND(VLOOKUP($A181,S275_21,19,FALSE)*VLOOKUP($A181,'3121% SY'!$C$3:$M$324,11,FALSE),3),0)+IFERROR(VLOOKUP($A181,S275_09,7,FALSE),0)</f>
        <v>0.88500000000000001</v>
      </c>
      <c r="U181" s="267">
        <f>IFERROR(VLOOKUP($A181,Supp_43,14,FALSE),0)+IFERROR(SUMPRODUCT(VLOOKUP($A181,S275_01,{20,21,22},FALSE)),0)+IFERROR(SUMPRODUCT(VLOOKUP($A181,S275_97,{20,21,22},FALSE)),0)+IFERROR(ROUND(VLOOKUP($A181,S275_21,20,FALSE)*VLOOKUP($A181,'3121% SY'!$C$3:$M$324,11,FALSE),3),0)+IFERROR(ROUND(VLOOKUP($A181,S275_21,21,FALSE)*VLOOKUP($A181,'3121% SY'!$C$3:$M$324,11,FALSE),3),0)+IFERROR(ROUND(VLOOKUP($A181,S275_21,22,FALSE)*VLOOKUP($A181,'3121% SY'!$C$3:$M$324,11,FALSE),3),0)+IFERROR(VLOOKUP($A181,S275_09,8,FALSE),0)</f>
        <v>0.13500000000000001</v>
      </c>
      <c r="V181" s="267">
        <f>IFERROR(VLOOKUP($A181,Supp_44,14,FALSE),0)+IFERROR(SUMPRODUCT(VLOOKUP($A181,S275_01,{23,24,25},FALSE)),0)+IFERROR(SUMPRODUCT(VLOOKUP($A181,S275_97,{23,24,25},FALSE)),0)+IFERROR(ROUND(VLOOKUP($A181,S275_21,23,FALSE)*VLOOKUP($A181,'3121% SY'!$C$3:$M$324,11,FALSE),3),0)+IFERROR(ROUND(VLOOKUP($A181,S275_21,24,FALSE)*VLOOKUP($A181,'3121% SY'!$C$3:$M$324,11,FALSE),3),0)+IFERROR(ROUND(VLOOKUP($A181,S275_21,25,FALSE)*VLOOKUP($A181,'3121% SY'!$C$3:$M$324,11,FALSE),3),0)+IFERROR(VLOOKUP($A181,S275_09,9,FALSE),0)</f>
        <v>0</v>
      </c>
      <c r="W181" s="267">
        <f>IFERROR(VLOOKUP($A181,Supp_45,14,FALSE),0)+IFERROR(SUMPRODUCT(VLOOKUP($A181,S275_01,{26,27,28},FALSE)),0)+IFERROR(SUMPRODUCT(VLOOKUP($A181,S275_97,{26,27,28},FALSE)),0)+IFERROR(ROUND(VLOOKUP($A181,S275_21,26,FALSE)*VLOOKUP($A181,'3121% SY'!$C$3:$M$324,11,FALSE),3),0)+IFERROR(ROUND(VLOOKUP($A181,S275_21,27,FALSE)*VLOOKUP($A181,'3121% SY'!$C$3:$M$324,11,FALSE),3),0)+IFERROR(ROUND(VLOOKUP($A181,S275_21,28,FALSE)*VLOOKUP($A181,'3121% SY'!$C$3:$M$324,11,FALSE),3),0)+IFERROR(VLOOKUP($A181,S275_09,10,FALSE),0)</f>
        <v>1E-3</v>
      </c>
      <c r="X181" s="267">
        <f>IFERROR(VLOOKUP($A181,Supp_46,14,FALSE),0)+IFERROR(SUMPRODUCT(VLOOKUP($A181,S275_01,{29,30,31},FALSE)),0)+IFERROR(SUMPRODUCT(VLOOKUP($A181,S275_97,{29,30,31},FALSE)),0)+IFERROR(ROUND(VLOOKUP($A181,S275_21,29,FALSE)*VLOOKUP($A181,'3121% SY'!$C$3:$M$324,11,FALSE),3),0)+IFERROR(ROUND(VLOOKUP($A181,S275_21,30,FALSE)*VLOOKUP($A181,'3121% SY'!$C$3:$M$324,11,FALSE),3),0)+IFERROR(ROUND(VLOOKUP($A181,S275_21,31,FALSE)*VLOOKUP($A181,'3121% SY'!$C$3:$M$324,11,FALSE),3),0)+IFERROR(VLOOKUP($A181,S275_09,11,FALSE),0)</f>
        <v>0</v>
      </c>
      <c r="Y181" s="267">
        <f>IFERROR(VLOOKUP($A181,Supp_47,14,FALSE),0)+IFERROR(SUMPRODUCT(VLOOKUP($A181,S275_01,{32,33,34},FALSE)),0)+IFERROR(SUMPRODUCT(VLOOKUP($A181,S275_97,{32,33,34},FALSE)),0)+IFERROR(ROUND(VLOOKUP($A181,S275_21,32,FALSE)*VLOOKUP($A181,'3121% SY'!$C$3:$M$324,11,FALSE),3),0)+IFERROR(ROUND(VLOOKUP($A181,S275_21,33,FALSE)*VLOOKUP($A181,'3121% SY'!$C$3:$M$324,11,FALSE),3),0)+IFERROR(ROUND(VLOOKUP($A181,S275_21,34,FALSE)*VLOOKUP($A181,'3121% SY'!$C$3:$M$324,11,FALSE),3),0)+IFERROR(VLOOKUP($A181,S275_09,12,FALSE),0)</f>
        <v>0</v>
      </c>
      <c r="Z181" s="267">
        <f>IFERROR(VLOOKUP($A181,Supp_48,14,FALSE),0)+IFERROR(SUMPRODUCT(VLOOKUP($A181,S275_01,{35,36,37},FALSE)),0)+IFERROR(SUMPRODUCT(VLOOKUP($A181,S275_97,{35,36,37},FALSE)),0)+IFERROR(ROUND(VLOOKUP($A181,S275_21,35,FALSE)*VLOOKUP($A181,'3121% SY'!$C$3:$M$324,11,FALSE),3),0)+IFERROR(ROUND(VLOOKUP($A181,S275_21,36,FALSE)*VLOOKUP($A181,'3121% SY'!$C$3:$M$324,11,FALSE),3),0)+IFERROR(ROUND(VLOOKUP($A181,S275_21,37,FALSE)*VLOOKUP($A181,'3121% SY'!$C$3:$M$324,11,FALSE),3),0)+IFERROR(VLOOKUP($A181,S275_09,13,FALSE),0)</f>
        <v>0</v>
      </c>
      <c r="AA181" s="267">
        <f>IFERROR(VLOOKUP($A181,Supp_49,14,FALSE),0)+IFERROR(SUMPRODUCT(VLOOKUP($A181,S275_01,{38,39,40},FALSE)),0)+IFERROR(SUMPRODUCT(VLOOKUP($A181,S275_97,{38,39,40},FALSE)),0)+IFERROR(ROUND(VLOOKUP($A181,S275_21,38,FALSE)*VLOOKUP($A181,'3121% SY'!$C$3:$M$324,11,FALSE),3),0)+IFERROR(ROUND(VLOOKUP($A181,S275_21,39,FALSE)*VLOOKUP($A181,'3121% SY'!$C$3:$M$324,11,FALSE),3),0)+IFERROR(ROUND(VLOOKUP($A181,S275_21,40,FALSE)*VLOOKUP($A181,'3121% SY'!$C$3:$M$324,11,FALSE),3),0)+IFERROR(VLOOKUP($A181,S275_09,14,FALSE),0)</f>
        <v>0</v>
      </c>
      <c r="AB181" s="267">
        <f>IFERROR(VLOOKUP($A181,Supp_64,14,FALSE),0)+IFERROR(SUMPRODUCT(VLOOKUP($A181,S275_01,{41,42,43},FALSE)),0)+IFERROR(SUMPRODUCT(VLOOKUP($A181,S275_97,{41,42,43},FALSE)),0)+IFERROR(ROUND(VLOOKUP($A181,S275_21,41,FALSE)*VLOOKUP($A181,'3121% SY'!$C$3:$M$324,11,FALSE),3),0)+IFERROR(ROUND(VLOOKUP($A181,S275_21,42,FALSE)*VLOOKUP($A181,'3121% SY'!$C$3:$M$324,11,FALSE),3),0)+IFERROR(ROUND(VLOOKUP($A181,S275_21,43,FALSE)*VLOOKUP($A181,'3121% SY'!$C$3:$M$324,11,FALSE),3),0)+IFERROR(VLOOKUP($A181,S275_09,15,FALSE),0)</f>
        <v>0.188</v>
      </c>
      <c r="AC181" s="268">
        <f t="shared" si="37"/>
        <v>2.1240000000000001</v>
      </c>
      <c r="AD181" s="267">
        <f>IFERROR(VLOOKUP($A181,Supp_24,14,FALSE),0)+IFERROR(SUMPRODUCT(VLOOKUP($A181,S275_01,{2,3,4},FALSE)),0)+IFERROR(SUMPRODUCT(VLOOKUP($A181,S275_97,{2,3,4},FALSE)),0)+IFERROR(ROUND(VLOOKUP($A181,S275_21,2,FALSE)*VLOOKUP($A181,'3121% SY'!$C$3:$M$324,11,FALSE),3),0)+IFERROR(ROUND(VLOOKUP($A181,S275_21,3,FALSE)*VLOOKUP($A181,'3121% SY'!$C$3:$M$324,11,FALSE),3),0)+IFERROR(ROUND(VLOOKUP($A181,S275_21,4,FALSE)*VLOOKUP($A181,'3121% SY'!$C$3:$M$324,11,FALSE),3),0)+IFERROR(VLOOKUP($A181,S275_09,2,FALSE),0)</f>
        <v>0</v>
      </c>
      <c r="AE181" s="267">
        <f>IFERROR(VLOOKUP($A181,Supp_25,14,FALSE),0)+IFERROR(SUMPRODUCT(VLOOKUP($A181,S275_01,{5,6,7},FALSE)),0)+IFERROR(SUMPRODUCT(VLOOKUP($A181,S275_97,{5,6,7},FALSE)),0)+IFERROR(ROUND(VLOOKUP($A181,S275_21,5,FALSE)*VLOOKUP($A181,'3121% SY'!$C$3:$M$324,11,FALSE),3),0)+IFERROR(ROUND(VLOOKUP($A181,S275_21,6,FALSE)*VLOOKUP($A181,'3121% SY'!$C$3:$M$324,11,FALSE),3),0)+IFERROR(ROUND(VLOOKUP($A181,S275_21,7,FALSE)*VLOOKUP($A181,'3121% SY'!$C$3:$M$324,11,FALSE),3),0)+IFERROR(VLOOKUP($A181,S275_09,3,FALSE),0)</f>
        <v>2.2959999999999998</v>
      </c>
      <c r="AF181" s="267">
        <f>IFERROR(VLOOKUP($A181,Supp_26,14,FALSE),0)+IFERROR(SUMPRODUCT(VLOOKUP($A181,S275_01,{8,9,10},FALSE)),0)+IFERROR(SUMPRODUCT(VLOOKUP($A181,S275_97,{8,9,10},FALSE)),0)+IFERROR(ROUND(VLOOKUP($A181,S275_21,8,FALSE)*VLOOKUP($A181,'3121% SY'!$C$3:$M$324,11,FALSE),3),0)+IFERROR(ROUND(VLOOKUP($A181,S275_21,9,FALSE)*VLOOKUP($A181,'3121% SY'!$C$3:$M$324,11,FALSE),3),0)+IFERROR(ROUND(VLOOKUP($A181,S275_21,10,FALSE)*VLOOKUP($A181,'3121% SY'!$C$3:$M$324,11,FALSE),3),0)+IFERROR(VLOOKUP($A181,S275_09,4,FALSE),0)</f>
        <v>0.82499999999999996</v>
      </c>
      <c r="AG181" s="267">
        <f>IFERROR(VLOOKUP($A181,Supp_35,14,FALSE),0)+IFERROR(SUMPRODUCT(VLOOKUP($A181,S275_01,{11,12,13},FALSE)),0)+IFERROR(SUMPRODUCT(VLOOKUP($A181,S275_97,{11,12,13},FALSE)),0)+IFERROR(ROUND(VLOOKUP($A181,S275_21,11,FALSE)*VLOOKUP($A181,'3121% SY'!$C$3:$M$324,11,FALSE),3),0)+IFERROR(ROUND(VLOOKUP($A181,S275_21,12,FALSE)*VLOOKUP($A181,'3121% SY'!$C$3:$M$324,11,FALSE),3),0)+IFERROR(ROUND(VLOOKUP($A181,S275_21,13,FALSE)*VLOOKUP($A181,'3121% SY'!$C$3:$M$324,11,FALSE),3),0)+IFERROR(VLOOKUP($A181,S275_09,5,FALSE),0)</f>
        <v>0</v>
      </c>
      <c r="AH181" s="165">
        <f t="shared" si="38"/>
        <v>3.1209999999999996</v>
      </c>
      <c r="AI181" s="161">
        <f>IFERROR(VLOOKUP(A181,'Supp Staff Data'!A:ER,148,FALSE),0)+AB181</f>
        <v>0.188</v>
      </c>
      <c r="AJ181" s="174">
        <v>0.94869999999999999</v>
      </c>
      <c r="AK181" s="25">
        <f>VLOOKUP(A181,'Enroll Data as of January 2025'!$A$3:$T$323,20,FALSE)-F181</f>
        <v>0</v>
      </c>
    </row>
    <row r="182" spans="1:37" x14ac:dyDescent="0.25">
      <c r="A182" s="171" t="s">
        <v>89</v>
      </c>
      <c r="B182" t="s">
        <v>385</v>
      </c>
      <c r="C182" s="173" t="s">
        <v>1077</v>
      </c>
      <c r="D182" s="259">
        <f t="shared" si="30"/>
        <v>5.5600000000000005</v>
      </c>
      <c r="E182" s="259">
        <f t="shared" si="31"/>
        <v>5.8699999999999992</v>
      </c>
      <c r="F182" s="262">
        <f t="shared" si="39"/>
        <v>0.31</v>
      </c>
      <c r="G182" s="161">
        <f>ROUND(IF(F182&lt;0,F182*'2024-25 PSES Compliance'!$G$13,0),3)</f>
        <v>0</v>
      </c>
      <c r="H182" s="161">
        <f>ROUND(IF(F182&lt;0,F182*'2024-25 PSES Compliance'!$G$14,0),3)</f>
        <v>0</v>
      </c>
      <c r="I182" s="174">
        <f t="shared" si="33"/>
        <v>0.58364565587734241</v>
      </c>
      <c r="J182" s="174">
        <f t="shared" si="34"/>
        <v>0.61328790459965943</v>
      </c>
      <c r="K182" s="161">
        <f>VLOOKUP($A182,'Enroll Data as of January 2025'!$A$3:$M$322,6,FALSE)</f>
        <v>3.1360000000000001</v>
      </c>
      <c r="L182" s="161">
        <f>VLOOKUP($A182,'Enroll Data as of January 2025'!$A$3:$M$322,7,FALSE)</f>
        <v>0.50700000000000001</v>
      </c>
      <c r="M182" s="161">
        <f>VLOOKUP($A182,'Enroll Data as of January 2025'!$A$3:$M$322,8,FALSE)</f>
        <v>0.16999999999999998</v>
      </c>
      <c r="N182" s="161">
        <f>VLOOKUP($A182,'Enroll Data as of January 2025'!$A$3:$M$322,9,FALSE)</f>
        <v>1.4390000000000001</v>
      </c>
      <c r="O182" s="165">
        <f t="shared" si="35"/>
        <v>5.2520000000000007</v>
      </c>
      <c r="P182" s="161">
        <f>VLOOKUP($A182,'Enroll Data as of January 2025'!$A$3:$M$322,11,FALSE)</f>
        <v>0.19500000000000001</v>
      </c>
      <c r="Q182" s="161">
        <f>VLOOKUP($A182,'Enroll Data as of January 2025'!$A$3:$M$322,12,FALSE)</f>
        <v>0.113</v>
      </c>
      <c r="R182" s="165">
        <f t="shared" si="36"/>
        <v>0.308</v>
      </c>
      <c r="S182" s="267">
        <f>IFERROR(VLOOKUP($A182,Supp_39,14,FALSE),0)+IFERROR(SUMPRODUCT(VLOOKUP($A182,S275_01,{14,15,16},FALSE)),0)+IFERROR(SUMPRODUCT(VLOOKUP($A182,S275_97,{14,15,16},FALSE)),0)+IFERROR(ROUND(VLOOKUP($A182,S275_21,14,FALSE)*VLOOKUP($A182,'3121% SY'!$C$3:$M$324,11,FALSE),3),0)+IFERROR(ROUND(VLOOKUP($A182,S275_21,15,FALSE)*VLOOKUP($A182,'3121% SY'!$C$3:$M$324,11,FALSE),3),0)+IFERROR(ROUND(VLOOKUP($A182,S275_21,16,FALSE)*VLOOKUP($A182,'3121% SY'!$C$3:$M$324,11,FALSE),3),0)+IFERROR(VLOOKUP($A182,S275_09,6,FALSE),0)</f>
        <v>1.05</v>
      </c>
      <c r="T182" s="267">
        <f>IFERROR(VLOOKUP($A182,Supp_42,14,FALSE),0)+IFERROR(SUMPRODUCT(VLOOKUP($A182,S275_01,{17,18,19},FALSE)),0)+IFERROR(SUMPRODUCT(VLOOKUP($A182,S275_97,{17,18,19},FALSE)),0)+IFERROR(ROUND(VLOOKUP($A182,S275_21,17,FALSE)*VLOOKUP($A182,'3121% SY'!$C$3:$M$324,11,FALSE),3),0)+IFERROR(ROUND(VLOOKUP($A182,S275_21,18,FALSE)*VLOOKUP($A182,'3121% SY'!$C$3:$M$324,11,FALSE),3),0)+IFERROR(ROUND(VLOOKUP($A182,S275_21,19,FALSE)*VLOOKUP($A182,'3121% SY'!$C$3:$M$324,11,FALSE),3),0)+IFERROR(VLOOKUP($A182,S275_09,7,FALSE),0)</f>
        <v>1</v>
      </c>
      <c r="U182" s="267">
        <f>IFERROR(VLOOKUP($A182,Supp_43,14,FALSE),0)+IFERROR(SUMPRODUCT(VLOOKUP($A182,S275_01,{20,21,22},FALSE)),0)+IFERROR(SUMPRODUCT(VLOOKUP($A182,S275_97,{20,21,22},FALSE)),0)+IFERROR(ROUND(VLOOKUP($A182,S275_21,20,FALSE)*VLOOKUP($A182,'3121% SY'!$C$3:$M$324,11,FALSE),3),0)+IFERROR(ROUND(VLOOKUP($A182,S275_21,21,FALSE)*VLOOKUP($A182,'3121% SY'!$C$3:$M$324,11,FALSE),3),0)+IFERROR(ROUND(VLOOKUP($A182,S275_21,22,FALSE)*VLOOKUP($A182,'3121% SY'!$C$3:$M$324,11,FALSE),3),0)+IFERROR(VLOOKUP($A182,S275_09,8,FALSE),0)</f>
        <v>0.222</v>
      </c>
      <c r="V182" s="267">
        <f>IFERROR(VLOOKUP($A182,Supp_44,14,FALSE),0)+IFERROR(SUMPRODUCT(VLOOKUP($A182,S275_01,{23,24,25},FALSE)),0)+IFERROR(SUMPRODUCT(VLOOKUP($A182,S275_97,{23,24,25},FALSE)),0)+IFERROR(ROUND(VLOOKUP($A182,S275_21,23,FALSE)*VLOOKUP($A182,'3121% SY'!$C$3:$M$324,11,FALSE),3),0)+IFERROR(ROUND(VLOOKUP($A182,S275_21,24,FALSE)*VLOOKUP($A182,'3121% SY'!$C$3:$M$324,11,FALSE),3),0)+IFERROR(ROUND(VLOOKUP($A182,S275_21,25,FALSE)*VLOOKUP($A182,'3121% SY'!$C$3:$M$324,11,FALSE),3),0)+IFERROR(VLOOKUP($A182,S275_09,9,FALSE),0)</f>
        <v>0</v>
      </c>
      <c r="W182" s="267">
        <f>IFERROR(VLOOKUP($A182,Supp_45,14,FALSE),0)+IFERROR(SUMPRODUCT(VLOOKUP($A182,S275_01,{26,27,28},FALSE)),0)+IFERROR(SUMPRODUCT(VLOOKUP($A182,S275_97,{26,27,28},FALSE)),0)+IFERROR(ROUND(VLOOKUP($A182,S275_21,26,FALSE)*VLOOKUP($A182,'3121% SY'!$C$3:$M$324,11,FALSE),3),0)+IFERROR(ROUND(VLOOKUP($A182,S275_21,27,FALSE)*VLOOKUP($A182,'3121% SY'!$C$3:$M$324,11,FALSE),3),0)+IFERROR(ROUND(VLOOKUP($A182,S275_21,28,FALSE)*VLOOKUP($A182,'3121% SY'!$C$3:$M$324,11,FALSE),3),0)+IFERROR(VLOOKUP($A182,S275_09,10,FALSE),0)</f>
        <v>0.85399999999999998</v>
      </c>
      <c r="X182" s="267">
        <f>IFERROR(VLOOKUP($A182,Supp_46,14,FALSE),0)+IFERROR(SUMPRODUCT(VLOOKUP($A182,S275_01,{29,30,31},FALSE)),0)+IFERROR(SUMPRODUCT(VLOOKUP($A182,S275_97,{29,30,31},FALSE)),0)+IFERROR(ROUND(VLOOKUP($A182,S275_21,29,FALSE)*VLOOKUP($A182,'3121% SY'!$C$3:$M$324,11,FALSE),3),0)+IFERROR(ROUND(VLOOKUP($A182,S275_21,30,FALSE)*VLOOKUP($A182,'3121% SY'!$C$3:$M$324,11,FALSE),3),0)+IFERROR(ROUND(VLOOKUP($A182,S275_21,31,FALSE)*VLOOKUP($A182,'3121% SY'!$C$3:$M$324,11,FALSE),3),0)+IFERROR(VLOOKUP($A182,S275_09,11,FALSE),0)</f>
        <v>0.3</v>
      </c>
      <c r="Y182" s="267">
        <f>IFERROR(VLOOKUP($A182,Supp_47,14,FALSE),0)+IFERROR(SUMPRODUCT(VLOOKUP($A182,S275_01,{32,33,34},FALSE)),0)+IFERROR(SUMPRODUCT(VLOOKUP($A182,S275_97,{32,33,34},FALSE)),0)+IFERROR(ROUND(VLOOKUP($A182,S275_21,32,FALSE)*VLOOKUP($A182,'3121% SY'!$C$3:$M$324,11,FALSE),3),0)+IFERROR(ROUND(VLOOKUP($A182,S275_21,33,FALSE)*VLOOKUP($A182,'3121% SY'!$C$3:$M$324,11,FALSE),3),0)+IFERROR(ROUND(VLOOKUP($A182,S275_21,34,FALSE)*VLOOKUP($A182,'3121% SY'!$C$3:$M$324,11,FALSE),3),0)+IFERROR(VLOOKUP($A182,S275_09,12,FALSE),0)</f>
        <v>0</v>
      </c>
      <c r="Z182" s="267">
        <f>IFERROR(VLOOKUP($A182,Supp_48,14,FALSE),0)+IFERROR(SUMPRODUCT(VLOOKUP($A182,S275_01,{35,36,37},FALSE)),0)+IFERROR(SUMPRODUCT(VLOOKUP($A182,S275_97,{35,36,37},FALSE)),0)+IFERROR(ROUND(VLOOKUP($A182,S275_21,35,FALSE)*VLOOKUP($A182,'3121% SY'!$C$3:$M$324,11,FALSE),3),0)+IFERROR(ROUND(VLOOKUP($A182,S275_21,36,FALSE)*VLOOKUP($A182,'3121% SY'!$C$3:$M$324,11,FALSE),3),0)+IFERROR(ROUND(VLOOKUP($A182,S275_21,37,FALSE)*VLOOKUP($A182,'3121% SY'!$C$3:$M$324,11,FALSE),3),0)+IFERROR(VLOOKUP($A182,S275_09,13,FALSE),0)</f>
        <v>0</v>
      </c>
      <c r="AA182" s="267">
        <f>IFERROR(VLOOKUP($A182,Supp_49,14,FALSE),0)+IFERROR(SUMPRODUCT(VLOOKUP($A182,S275_01,{38,39,40},FALSE)),0)+IFERROR(SUMPRODUCT(VLOOKUP($A182,S275_97,{38,39,40},FALSE)),0)+IFERROR(ROUND(VLOOKUP($A182,S275_21,38,FALSE)*VLOOKUP($A182,'3121% SY'!$C$3:$M$324,11,FALSE),3),0)+IFERROR(ROUND(VLOOKUP($A182,S275_21,39,FALSE)*VLOOKUP($A182,'3121% SY'!$C$3:$M$324,11,FALSE),3),0)+IFERROR(ROUND(VLOOKUP($A182,S275_21,40,FALSE)*VLOOKUP($A182,'3121% SY'!$C$3:$M$324,11,FALSE),3),0)+IFERROR(VLOOKUP($A182,S275_09,14,FALSE),0)</f>
        <v>0</v>
      </c>
      <c r="AB182" s="267">
        <f>IFERROR(VLOOKUP($A182,Supp_64,14,FALSE),0)+IFERROR(SUMPRODUCT(VLOOKUP($A182,S275_01,{41,42,43},FALSE)),0)+IFERROR(SUMPRODUCT(VLOOKUP($A182,S275_97,{41,42,43},FALSE)),0)+IFERROR(ROUND(VLOOKUP($A182,S275_21,41,FALSE)*VLOOKUP($A182,'3121% SY'!$C$3:$M$324,11,FALSE),3),0)+IFERROR(ROUND(VLOOKUP($A182,S275_21,42,FALSE)*VLOOKUP($A182,'3121% SY'!$C$3:$M$324,11,FALSE),3),0)+IFERROR(ROUND(VLOOKUP($A182,S275_21,43,FALSE)*VLOOKUP($A182,'3121% SY'!$C$3:$M$324,11,FALSE),3),0)+IFERROR(VLOOKUP($A182,S275_09,15,FALSE),0)</f>
        <v>0</v>
      </c>
      <c r="AC182" s="268">
        <f t="shared" si="37"/>
        <v>3.4259999999999997</v>
      </c>
      <c r="AD182" s="267">
        <f>IFERROR(VLOOKUP($A182,Supp_24,14,FALSE),0)+IFERROR(SUMPRODUCT(VLOOKUP($A182,S275_01,{2,3,4},FALSE)),0)+IFERROR(SUMPRODUCT(VLOOKUP($A182,S275_97,{2,3,4},FALSE)),0)+IFERROR(ROUND(VLOOKUP($A182,S275_21,2,FALSE)*VLOOKUP($A182,'3121% SY'!$C$3:$M$324,11,FALSE),3),0)+IFERROR(ROUND(VLOOKUP($A182,S275_21,3,FALSE)*VLOOKUP($A182,'3121% SY'!$C$3:$M$324,11,FALSE),3),0)+IFERROR(ROUND(VLOOKUP($A182,S275_21,4,FALSE)*VLOOKUP($A182,'3121% SY'!$C$3:$M$324,11,FALSE),3),0)+IFERROR(VLOOKUP($A182,S275_09,2,FALSE),0)</f>
        <v>1</v>
      </c>
      <c r="AE182" s="267">
        <f>IFERROR(VLOOKUP($A182,Supp_25,14,FALSE),0)+IFERROR(SUMPRODUCT(VLOOKUP($A182,S275_01,{5,6,7},FALSE)),0)+IFERROR(SUMPRODUCT(VLOOKUP($A182,S275_97,{5,6,7},FALSE)),0)+IFERROR(ROUND(VLOOKUP($A182,S275_21,5,FALSE)*VLOOKUP($A182,'3121% SY'!$C$3:$M$324,11,FALSE),3),0)+IFERROR(ROUND(VLOOKUP($A182,S275_21,6,FALSE)*VLOOKUP($A182,'3121% SY'!$C$3:$M$324,11,FALSE),3),0)+IFERROR(ROUND(VLOOKUP($A182,S275_21,7,FALSE)*VLOOKUP($A182,'3121% SY'!$C$3:$M$324,11,FALSE),3),0)+IFERROR(VLOOKUP($A182,S275_09,3,FALSE),0)</f>
        <v>0.44400000000000001</v>
      </c>
      <c r="AF182" s="267">
        <f>IFERROR(VLOOKUP($A182,Supp_26,14,FALSE),0)+IFERROR(SUMPRODUCT(VLOOKUP($A182,S275_01,{8,9,10},FALSE)),0)+IFERROR(SUMPRODUCT(VLOOKUP($A182,S275_97,{8,9,10},FALSE)),0)+IFERROR(ROUND(VLOOKUP($A182,S275_21,8,FALSE)*VLOOKUP($A182,'3121% SY'!$C$3:$M$324,11,FALSE),3),0)+IFERROR(ROUND(VLOOKUP($A182,S275_21,9,FALSE)*VLOOKUP($A182,'3121% SY'!$C$3:$M$324,11,FALSE),3),0)+IFERROR(ROUND(VLOOKUP($A182,S275_21,10,FALSE)*VLOOKUP($A182,'3121% SY'!$C$3:$M$324,11,FALSE),3),0)+IFERROR(VLOOKUP($A182,S275_09,4,FALSE),0)</f>
        <v>1</v>
      </c>
      <c r="AG182" s="267">
        <f>IFERROR(VLOOKUP($A182,Supp_35,14,FALSE),0)+IFERROR(SUMPRODUCT(VLOOKUP($A182,S275_01,{11,12,13},FALSE)),0)+IFERROR(SUMPRODUCT(VLOOKUP($A182,S275_97,{11,12,13},FALSE)),0)+IFERROR(ROUND(VLOOKUP($A182,S275_21,11,FALSE)*VLOOKUP($A182,'3121% SY'!$C$3:$M$324,11,FALSE),3),0)+IFERROR(ROUND(VLOOKUP($A182,S275_21,12,FALSE)*VLOOKUP($A182,'3121% SY'!$C$3:$M$324,11,FALSE),3),0)+IFERROR(ROUND(VLOOKUP($A182,S275_21,13,FALSE)*VLOOKUP($A182,'3121% SY'!$C$3:$M$324,11,FALSE),3),0)+IFERROR(VLOOKUP($A182,S275_09,5,FALSE),0)</f>
        <v>0</v>
      </c>
      <c r="AH182" s="165">
        <f t="shared" si="38"/>
        <v>2.444</v>
      </c>
      <c r="AI182" s="161">
        <f>IFERROR(VLOOKUP(A182,'Supp Staff Data'!A:ER,148,FALSE),0)+AB182</f>
        <v>3.6</v>
      </c>
      <c r="AJ182" s="174">
        <v>1</v>
      </c>
      <c r="AK182" s="25">
        <f>VLOOKUP(A182,'Enroll Data as of January 2025'!$A$3:$T$323,20,FALSE)-F182</f>
        <v>0</v>
      </c>
    </row>
    <row r="183" spans="1:37" x14ac:dyDescent="0.25">
      <c r="A183" s="171" t="s">
        <v>250</v>
      </c>
      <c r="B183" t="s">
        <v>546</v>
      </c>
      <c r="C183" s="173" t="s">
        <v>1077</v>
      </c>
      <c r="D183" s="259">
        <f t="shared" si="30"/>
        <v>0.94400000000000006</v>
      </c>
      <c r="E183" s="259">
        <f t="shared" si="31"/>
        <v>0.44200000000000006</v>
      </c>
      <c r="F183" s="262">
        <f t="shared" si="39"/>
        <v>-0.502</v>
      </c>
      <c r="G183" s="161">
        <f>ROUND(IF(F183&lt;0,F183*'2024-25 PSES Compliance'!$G$13,0),3)</f>
        <v>-0.48199999999999998</v>
      </c>
      <c r="H183" s="161">
        <f>ROUND(IF(F183&lt;0,F183*'2024-25 PSES Compliance'!$G$14,0),3)</f>
        <v>-0.02</v>
      </c>
      <c r="I183" s="174">
        <f t="shared" si="33"/>
        <v>0</v>
      </c>
      <c r="J183" s="174">
        <f t="shared" si="34"/>
        <v>1.2217194570135745</v>
      </c>
      <c r="K183" s="161">
        <f>VLOOKUP($A183,'Enroll Data as of January 2025'!$A$3:$M$322,6,FALSE)</f>
        <v>0.55000000000000004</v>
      </c>
      <c r="L183" s="161">
        <f>VLOOKUP($A183,'Enroll Data as of January 2025'!$A$3:$M$322,7,FALSE)</f>
        <v>7.9000000000000001E-2</v>
      </c>
      <c r="M183" s="161">
        <f>VLOOKUP($A183,'Enroll Data as of January 2025'!$A$3:$M$322,8,FALSE)</f>
        <v>2.6000000000000002E-2</v>
      </c>
      <c r="N183" s="161">
        <f>VLOOKUP($A183,'Enroll Data as of January 2025'!$A$3:$M$322,9,FALSE)</f>
        <v>0.23899999999999999</v>
      </c>
      <c r="O183" s="165">
        <f t="shared" si="35"/>
        <v>0.89400000000000002</v>
      </c>
      <c r="P183" s="161">
        <f>VLOOKUP($A183,'Enroll Data as of January 2025'!$A$3:$M$322,11,FALSE)</f>
        <v>3.3000000000000002E-2</v>
      </c>
      <c r="Q183" s="161">
        <f>VLOOKUP($A183,'Enroll Data as of January 2025'!$A$3:$M$322,12,FALSE)</f>
        <v>1.7000000000000001E-2</v>
      </c>
      <c r="R183" s="165">
        <f t="shared" si="36"/>
        <v>0.05</v>
      </c>
      <c r="S183" s="267">
        <f>IFERROR(VLOOKUP($A183,Supp_39,14,FALSE),0)+IFERROR(SUMPRODUCT(VLOOKUP($A183,S275_01,{14,15,16},FALSE)),0)+IFERROR(SUMPRODUCT(VLOOKUP($A183,S275_97,{14,15,16},FALSE)),0)+IFERROR(ROUND(VLOOKUP($A183,S275_21,14,FALSE)*VLOOKUP($A183,'3121% SY'!$C$3:$M$324,11,FALSE),3),0)+IFERROR(ROUND(VLOOKUP($A183,S275_21,15,FALSE)*VLOOKUP($A183,'3121% SY'!$C$3:$M$324,11,FALSE),3),0)+IFERROR(ROUND(VLOOKUP($A183,S275_21,16,FALSE)*VLOOKUP($A183,'3121% SY'!$C$3:$M$324,11,FALSE),3),0)+IFERROR(VLOOKUP($A183,S275_09,6,FALSE),0)</f>
        <v>0</v>
      </c>
      <c r="T183" s="267">
        <f>IFERROR(VLOOKUP($A183,Supp_42,14,FALSE),0)+IFERROR(SUMPRODUCT(VLOOKUP($A183,S275_01,{17,18,19},FALSE)),0)+IFERROR(SUMPRODUCT(VLOOKUP($A183,S275_97,{17,18,19},FALSE)),0)+IFERROR(ROUND(VLOOKUP($A183,S275_21,17,FALSE)*VLOOKUP($A183,'3121% SY'!$C$3:$M$324,11,FALSE),3),0)+IFERROR(ROUND(VLOOKUP($A183,S275_21,18,FALSE)*VLOOKUP($A183,'3121% SY'!$C$3:$M$324,11,FALSE),3),0)+IFERROR(ROUND(VLOOKUP($A183,S275_21,19,FALSE)*VLOOKUP($A183,'3121% SY'!$C$3:$M$324,11,FALSE),3),0)+IFERROR(VLOOKUP($A183,S275_09,7,FALSE),0)</f>
        <v>3.9E-2</v>
      </c>
      <c r="U183" s="267">
        <f>IFERROR(VLOOKUP($A183,Supp_43,14,FALSE),0)+IFERROR(SUMPRODUCT(VLOOKUP($A183,S275_01,{20,21,22},FALSE)),0)+IFERROR(SUMPRODUCT(VLOOKUP($A183,S275_97,{20,21,22},FALSE)),0)+IFERROR(ROUND(VLOOKUP($A183,S275_21,20,FALSE)*VLOOKUP($A183,'3121% SY'!$C$3:$M$324,11,FALSE),3),0)+IFERROR(ROUND(VLOOKUP($A183,S275_21,21,FALSE)*VLOOKUP($A183,'3121% SY'!$C$3:$M$324,11,FALSE),3),0)+IFERROR(ROUND(VLOOKUP($A183,S275_21,22,FALSE)*VLOOKUP($A183,'3121% SY'!$C$3:$M$324,11,FALSE),3),0)+IFERROR(VLOOKUP($A183,S275_09,8,FALSE),0)</f>
        <v>9.0000000000000011E-3</v>
      </c>
      <c r="V183" s="267">
        <f>IFERROR(VLOOKUP($A183,Supp_44,14,FALSE),0)+IFERROR(SUMPRODUCT(VLOOKUP($A183,S275_01,{23,24,25},FALSE)),0)+IFERROR(SUMPRODUCT(VLOOKUP($A183,S275_97,{23,24,25},FALSE)),0)+IFERROR(ROUND(VLOOKUP($A183,S275_21,23,FALSE)*VLOOKUP($A183,'3121% SY'!$C$3:$M$324,11,FALSE),3),0)+IFERROR(ROUND(VLOOKUP($A183,S275_21,24,FALSE)*VLOOKUP($A183,'3121% SY'!$C$3:$M$324,11,FALSE),3),0)+IFERROR(ROUND(VLOOKUP($A183,S275_21,25,FALSE)*VLOOKUP($A183,'3121% SY'!$C$3:$M$324,11,FALSE),3),0)+IFERROR(VLOOKUP($A183,S275_09,9,FALSE),0)</f>
        <v>0</v>
      </c>
      <c r="W183" s="267">
        <f>IFERROR(VLOOKUP($A183,Supp_45,14,FALSE),0)+IFERROR(SUMPRODUCT(VLOOKUP($A183,S275_01,{26,27,28},FALSE)),0)+IFERROR(SUMPRODUCT(VLOOKUP($A183,S275_97,{26,27,28},FALSE)),0)+IFERROR(ROUND(VLOOKUP($A183,S275_21,26,FALSE)*VLOOKUP($A183,'3121% SY'!$C$3:$M$324,11,FALSE),3),0)+IFERROR(ROUND(VLOOKUP($A183,S275_21,27,FALSE)*VLOOKUP($A183,'3121% SY'!$C$3:$M$324,11,FALSE),3),0)+IFERROR(ROUND(VLOOKUP($A183,S275_21,28,FALSE)*VLOOKUP($A183,'3121% SY'!$C$3:$M$324,11,FALSE),3),0)+IFERROR(VLOOKUP($A183,S275_09,10,FALSE),0)</f>
        <v>3.9E-2</v>
      </c>
      <c r="X183" s="267">
        <f>IFERROR(VLOOKUP($A183,Supp_46,14,FALSE),0)+IFERROR(SUMPRODUCT(VLOOKUP($A183,S275_01,{29,30,31},FALSE)),0)+IFERROR(SUMPRODUCT(VLOOKUP($A183,S275_97,{29,30,31},FALSE)),0)+IFERROR(ROUND(VLOOKUP($A183,S275_21,29,FALSE)*VLOOKUP($A183,'3121% SY'!$C$3:$M$324,11,FALSE),3),0)+IFERROR(ROUND(VLOOKUP($A183,S275_21,30,FALSE)*VLOOKUP($A183,'3121% SY'!$C$3:$M$324,11,FALSE),3),0)+IFERROR(ROUND(VLOOKUP($A183,S275_21,31,FALSE)*VLOOKUP($A183,'3121% SY'!$C$3:$M$324,11,FALSE),3),0)+IFERROR(VLOOKUP($A183,S275_09,11,FALSE),0)</f>
        <v>0</v>
      </c>
      <c r="Y183" s="267">
        <f>IFERROR(VLOOKUP($A183,Supp_47,14,FALSE),0)+IFERROR(SUMPRODUCT(VLOOKUP($A183,S275_01,{32,33,34},FALSE)),0)+IFERROR(SUMPRODUCT(VLOOKUP($A183,S275_97,{32,33,34},FALSE)),0)+IFERROR(ROUND(VLOOKUP($A183,S275_21,32,FALSE)*VLOOKUP($A183,'3121% SY'!$C$3:$M$324,11,FALSE),3),0)+IFERROR(ROUND(VLOOKUP($A183,S275_21,33,FALSE)*VLOOKUP($A183,'3121% SY'!$C$3:$M$324,11,FALSE),3),0)+IFERROR(ROUND(VLOOKUP($A183,S275_21,34,FALSE)*VLOOKUP($A183,'3121% SY'!$C$3:$M$324,11,FALSE),3),0)+IFERROR(VLOOKUP($A183,S275_09,12,FALSE),0)</f>
        <v>0</v>
      </c>
      <c r="Z183" s="267">
        <f>IFERROR(VLOOKUP($A183,Supp_48,14,FALSE),0)+IFERROR(SUMPRODUCT(VLOOKUP($A183,S275_01,{35,36,37},FALSE)),0)+IFERROR(SUMPRODUCT(VLOOKUP($A183,S275_97,{35,36,37},FALSE)),0)+IFERROR(ROUND(VLOOKUP($A183,S275_21,35,FALSE)*VLOOKUP($A183,'3121% SY'!$C$3:$M$324,11,FALSE),3),0)+IFERROR(ROUND(VLOOKUP($A183,S275_21,36,FALSE)*VLOOKUP($A183,'3121% SY'!$C$3:$M$324,11,FALSE),3),0)+IFERROR(ROUND(VLOOKUP($A183,S275_21,37,FALSE)*VLOOKUP($A183,'3121% SY'!$C$3:$M$324,11,FALSE),3),0)+IFERROR(VLOOKUP($A183,S275_09,13,FALSE),0)</f>
        <v>0</v>
      </c>
      <c r="AA183" s="267">
        <f>IFERROR(VLOOKUP($A183,Supp_49,14,FALSE),0)+IFERROR(SUMPRODUCT(VLOOKUP($A183,S275_01,{38,39,40},FALSE)),0)+IFERROR(SUMPRODUCT(VLOOKUP($A183,S275_97,{38,39,40},FALSE)),0)+IFERROR(ROUND(VLOOKUP($A183,S275_21,38,FALSE)*VLOOKUP($A183,'3121% SY'!$C$3:$M$324,11,FALSE),3),0)+IFERROR(ROUND(VLOOKUP($A183,S275_21,39,FALSE)*VLOOKUP($A183,'3121% SY'!$C$3:$M$324,11,FALSE),3),0)+IFERROR(ROUND(VLOOKUP($A183,S275_21,40,FALSE)*VLOOKUP($A183,'3121% SY'!$C$3:$M$324,11,FALSE),3),0)+IFERROR(VLOOKUP($A183,S275_09,14,FALSE),0)</f>
        <v>0</v>
      </c>
      <c r="AB183" s="267">
        <f>IFERROR(VLOOKUP($A183,Supp_64,14,FALSE),0)+IFERROR(SUMPRODUCT(VLOOKUP($A183,S275_01,{41,42,43},FALSE)),0)+IFERROR(SUMPRODUCT(VLOOKUP($A183,S275_97,{41,42,43},FALSE)),0)+IFERROR(ROUND(VLOOKUP($A183,S275_21,41,FALSE)*VLOOKUP($A183,'3121% SY'!$C$3:$M$324,11,FALSE),3),0)+IFERROR(ROUND(VLOOKUP($A183,S275_21,42,FALSE)*VLOOKUP($A183,'3121% SY'!$C$3:$M$324,11,FALSE),3),0)+IFERROR(ROUND(VLOOKUP($A183,S275_21,43,FALSE)*VLOOKUP($A183,'3121% SY'!$C$3:$M$324,11,FALSE),3),0)+IFERROR(VLOOKUP($A183,S275_09,15,FALSE),0)</f>
        <v>0</v>
      </c>
      <c r="AC183" s="268">
        <f t="shared" si="37"/>
        <v>8.6999999999999994E-2</v>
      </c>
      <c r="AD183" s="267">
        <f>IFERROR(VLOOKUP($A183,Supp_24,14,FALSE),0)+IFERROR(SUMPRODUCT(VLOOKUP($A183,S275_01,{2,3,4},FALSE)),0)+IFERROR(SUMPRODUCT(VLOOKUP($A183,S275_97,{2,3,4},FALSE)),0)+IFERROR(ROUND(VLOOKUP($A183,S275_21,2,FALSE)*VLOOKUP($A183,'3121% SY'!$C$3:$M$324,11,FALSE),3),0)+IFERROR(ROUND(VLOOKUP($A183,S275_21,3,FALSE)*VLOOKUP($A183,'3121% SY'!$C$3:$M$324,11,FALSE),3),0)+IFERROR(ROUND(VLOOKUP($A183,S275_21,4,FALSE)*VLOOKUP($A183,'3121% SY'!$C$3:$M$324,11,FALSE),3),0)+IFERROR(VLOOKUP($A183,S275_09,2,FALSE),0)</f>
        <v>0</v>
      </c>
      <c r="AE183" s="267">
        <f>IFERROR(VLOOKUP($A183,Supp_25,14,FALSE),0)+IFERROR(SUMPRODUCT(VLOOKUP($A183,S275_01,{5,6,7},FALSE)),0)+IFERROR(SUMPRODUCT(VLOOKUP($A183,S275_97,{5,6,7},FALSE)),0)+IFERROR(ROUND(VLOOKUP($A183,S275_21,5,FALSE)*VLOOKUP($A183,'3121% SY'!$C$3:$M$324,11,FALSE),3),0)+IFERROR(ROUND(VLOOKUP($A183,S275_21,6,FALSE)*VLOOKUP($A183,'3121% SY'!$C$3:$M$324,11,FALSE),3),0)+IFERROR(ROUND(VLOOKUP($A183,S275_21,7,FALSE)*VLOOKUP($A183,'3121% SY'!$C$3:$M$324,11,FALSE),3),0)+IFERROR(VLOOKUP($A183,S275_09,3,FALSE),0)</f>
        <v>0</v>
      </c>
      <c r="AF183" s="267">
        <f>IFERROR(VLOOKUP($A183,Supp_26,14,FALSE),0)+IFERROR(SUMPRODUCT(VLOOKUP($A183,S275_01,{8,9,10},FALSE)),0)+IFERROR(SUMPRODUCT(VLOOKUP($A183,S275_97,{8,9,10},FALSE)),0)+IFERROR(ROUND(VLOOKUP($A183,S275_21,8,FALSE)*VLOOKUP($A183,'3121% SY'!$C$3:$M$324,11,FALSE),3),0)+IFERROR(ROUND(VLOOKUP($A183,S275_21,9,FALSE)*VLOOKUP($A183,'3121% SY'!$C$3:$M$324,11,FALSE),3),0)+IFERROR(ROUND(VLOOKUP($A183,S275_21,10,FALSE)*VLOOKUP($A183,'3121% SY'!$C$3:$M$324,11,FALSE),3),0)+IFERROR(VLOOKUP($A183,S275_09,4,FALSE),0)</f>
        <v>0.35500000000000004</v>
      </c>
      <c r="AG183" s="267">
        <f>IFERROR(VLOOKUP($A183,Supp_35,14,FALSE),0)+IFERROR(SUMPRODUCT(VLOOKUP($A183,S275_01,{11,12,13},FALSE)),0)+IFERROR(SUMPRODUCT(VLOOKUP($A183,S275_97,{11,12,13},FALSE)),0)+IFERROR(ROUND(VLOOKUP($A183,S275_21,11,FALSE)*VLOOKUP($A183,'3121% SY'!$C$3:$M$324,11,FALSE),3),0)+IFERROR(ROUND(VLOOKUP($A183,S275_21,12,FALSE)*VLOOKUP($A183,'3121% SY'!$C$3:$M$324,11,FALSE),3),0)+IFERROR(ROUND(VLOOKUP($A183,S275_21,13,FALSE)*VLOOKUP($A183,'3121% SY'!$C$3:$M$324,11,FALSE),3),0)+IFERROR(VLOOKUP($A183,S275_09,5,FALSE),0)</f>
        <v>0</v>
      </c>
      <c r="AH183" s="165">
        <f t="shared" si="38"/>
        <v>0.35500000000000004</v>
      </c>
      <c r="AI183" s="161">
        <f>IFERROR(VLOOKUP(A183,'Supp Staff Data'!A:ER,148,FALSE),0)+AB183</f>
        <v>0.54</v>
      </c>
      <c r="AJ183" s="174">
        <v>0</v>
      </c>
      <c r="AK183" s="25">
        <f>VLOOKUP(A183,'Enroll Data as of January 2025'!$A$3:$T$323,20,FALSE)-F183</f>
        <v>0</v>
      </c>
    </row>
    <row r="184" spans="1:37" x14ac:dyDescent="0.25">
      <c r="A184" s="171" t="s">
        <v>95</v>
      </c>
      <c r="B184" t="s">
        <v>391</v>
      </c>
      <c r="C184" s="173" t="s">
        <v>1077</v>
      </c>
      <c r="D184" s="259">
        <f t="shared" si="30"/>
        <v>5.976</v>
      </c>
      <c r="E184" s="259">
        <f t="shared" si="31"/>
        <v>4.2059999999999995</v>
      </c>
      <c r="F184" s="262">
        <f t="shared" si="39"/>
        <v>-1.77</v>
      </c>
      <c r="G184" s="161">
        <f>ROUND(IF(F184&lt;0,F184*'2024-25 PSES Compliance'!$G$13,0),3)</f>
        <v>-1.6990000000000001</v>
      </c>
      <c r="H184" s="161">
        <f>ROUND(IF(F184&lt;0,F184*'2024-25 PSES Compliance'!$G$14,0),3)</f>
        <v>-7.0999999999999994E-2</v>
      </c>
      <c r="I184" s="174">
        <f t="shared" si="33"/>
        <v>1</v>
      </c>
      <c r="J184" s="174">
        <f t="shared" si="34"/>
        <v>0</v>
      </c>
      <c r="K184" s="161">
        <f>VLOOKUP($A184,'Enroll Data as of January 2025'!$A$3:$M$322,6,FALSE)</f>
        <v>3.3970000000000002</v>
      </c>
      <c r="L184" s="161">
        <f>VLOOKUP($A184,'Enroll Data as of January 2025'!$A$3:$M$322,7,FALSE)</f>
        <v>0.54500000000000004</v>
      </c>
      <c r="M184" s="161">
        <f>VLOOKUP($A184,'Enroll Data as of January 2025'!$A$3:$M$322,8,FALSE)</f>
        <v>0.184</v>
      </c>
      <c r="N184" s="161">
        <f>VLOOKUP($A184,'Enroll Data as of January 2025'!$A$3:$M$322,9,FALSE)</f>
        <v>1.5179999999999998</v>
      </c>
      <c r="O184" s="165">
        <f t="shared" si="35"/>
        <v>5.6440000000000001</v>
      </c>
      <c r="P184" s="161">
        <f>VLOOKUP($A184,'Enroll Data as of January 2025'!$A$3:$M$322,11,FALSE)</f>
        <v>0.21000000000000002</v>
      </c>
      <c r="Q184" s="161">
        <f>VLOOKUP($A184,'Enroll Data as of January 2025'!$A$3:$M$322,12,FALSE)</f>
        <v>0.122</v>
      </c>
      <c r="R184" s="165">
        <f t="shared" si="36"/>
        <v>0.33200000000000002</v>
      </c>
      <c r="S184" s="267">
        <f>IFERROR(VLOOKUP($A184,Supp_39,14,FALSE),0)+IFERROR(SUMPRODUCT(VLOOKUP($A184,S275_01,{14,15,16},FALSE)),0)+IFERROR(SUMPRODUCT(VLOOKUP($A184,S275_97,{14,15,16},FALSE)),0)+IFERROR(ROUND(VLOOKUP($A184,S275_21,14,FALSE)*VLOOKUP($A184,'3121% SY'!$C$3:$M$324,11,FALSE),3),0)+IFERROR(ROUND(VLOOKUP($A184,S275_21,15,FALSE)*VLOOKUP($A184,'3121% SY'!$C$3:$M$324,11,FALSE),3),0)+IFERROR(ROUND(VLOOKUP($A184,S275_21,16,FALSE)*VLOOKUP($A184,'3121% SY'!$C$3:$M$324,11,FALSE),3),0)+IFERROR(VLOOKUP($A184,S275_09,6,FALSE),0)</f>
        <v>2.6</v>
      </c>
      <c r="T184" s="267">
        <f>IFERROR(VLOOKUP($A184,Supp_42,14,FALSE),0)+IFERROR(SUMPRODUCT(VLOOKUP($A184,S275_01,{17,18,19},FALSE)),0)+IFERROR(SUMPRODUCT(VLOOKUP($A184,S275_97,{17,18,19},FALSE)),0)+IFERROR(ROUND(VLOOKUP($A184,S275_21,17,FALSE)*VLOOKUP($A184,'3121% SY'!$C$3:$M$324,11,FALSE),3),0)+IFERROR(ROUND(VLOOKUP($A184,S275_21,18,FALSE)*VLOOKUP($A184,'3121% SY'!$C$3:$M$324,11,FALSE),3),0)+IFERROR(ROUND(VLOOKUP($A184,S275_21,19,FALSE)*VLOOKUP($A184,'3121% SY'!$C$3:$M$324,11,FALSE),3),0)+IFERROR(VLOOKUP($A184,S275_09,7,FALSE),0)</f>
        <v>0.75</v>
      </c>
      <c r="U184" s="267">
        <f>IFERROR(VLOOKUP($A184,Supp_43,14,FALSE),0)+IFERROR(SUMPRODUCT(VLOOKUP($A184,S275_01,{20,21,22},FALSE)),0)+IFERROR(SUMPRODUCT(VLOOKUP($A184,S275_97,{20,21,22},FALSE)),0)+IFERROR(ROUND(VLOOKUP($A184,S275_21,20,FALSE)*VLOOKUP($A184,'3121% SY'!$C$3:$M$324,11,FALSE),3),0)+IFERROR(ROUND(VLOOKUP($A184,S275_21,21,FALSE)*VLOOKUP($A184,'3121% SY'!$C$3:$M$324,11,FALSE),3),0)+IFERROR(ROUND(VLOOKUP($A184,S275_21,22,FALSE)*VLOOKUP($A184,'3121% SY'!$C$3:$M$324,11,FALSE),3),0)+IFERROR(VLOOKUP($A184,S275_09,8,FALSE),0)</f>
        <v>0.16300000000000001</v>
      </c>
      <c r="V184" s="267">
        <f>IFERROR(VLOOKUP($A184,Supp_44,14,FALSE),0)+IFERROR(SUMPRODUCT(VLOOKUP($A184,S275_01,{23,24,25},FALSE)),0)+IFERROR(SUMPRODUCT(VLOOKUP($A184,S275_97,{23,24,25},FALSE)),0)+IFERROR(ROUND(VLOOKUP($A184,S275_21,23,FALSE)*VLOOKUP($A184,'3121% SY'!$C$3:$M$324,11,FALSE),3),0)+IFERROR(ROUND(VLOOKUP($A184,S275_21,24,FALSE)*VLOOKUP($A184,'3121% SY'!$C$3:$M$324,11,FALSE),3),0)+IFERROR(ROUND(VLOOKUP($A184,S275_21,25,FALSE)*VLOOKUP($A184,'3121% SY'!$C$3:$M$324,11,FALSE),3),0)+IFERROR(VLOOKUP($A184,S275_09,9,FALSE),0)</f>
        <v>0</v>
      </c>
      <c r="W184" s="267">
        <f>IFERROR(VLOOKUP($A184,Supp_45,14,FALSE),0)+IFERROR(SUMPRODUCT(VLOOKUP($A184,S275_01,{26,27,28},FALSE)),0)+IFERROR(SUMPRODUCT(VLOOKUP($A184,S275_97,{26,27,28},FALSE)),0)+IFERROR(ROUND(VLOOKUP($A184,S275_21,26,FALSE)*VLOOKUP($A184,'3121% SY'!$C$3:$M$324,11,FALSE),3),0)+IFERROR(ROUND(VLOOKUP($A184,S275_21,27,FALSE)*VLOOKUP($A184,'3121% SY'!$C$3:$M$324,11,FALSE),3),0)+IFERROR(ROUND(VLOOKUP($A184,S275_21,28,FALSE)*VLOOKUP($A184,'3121% SY'!$C$3:$M$324,11,FALSE),3),0)+IFERROR(VLOOKUP($A184,S275_09,10,FALSE),0)</f>
        <v>0.40799999999999997</v>
      </c>
      <c r="X184" s="267">
        <f>IFERROR(VLOOKUP($A184,Supp_46,14,FALSE),0)+IFERROR(SUMPRODUCT(VLOOKUP($A184,S275_01,{29,30,31},FALSE)),0)+IFERROR(SUMPRODUCT(VLOOKUP($A184,S275_97,{29,30,31},FALSE)),0)+IFERROR(ROUND(VLOOKUP($A184,S275_21,29,FALSE)*VLOOKUP($A184,'3121% SY'!$C$3:$M$324,11,FALSE),3),0)+IFERROR(ROUND(VLOOKUP($A184,S275_21,30,FALSE)*VLOOKUP($A184,'3121% SY'!$C$3:$M$324,11,FALSE),3),0)+IFERROR(ROUND(VLOOKUP($A184,S275_21,31,FALSE)*VLOOKUP($A184,'3121% SY'!$C$3:$M$324,11,FALSE),3),0)+IFERROR(VLOOKUP($A184,S275_09,11,FALSE),0)</f>
        <v>0.28500000000000003</v>
      </c>
      <c r="Y184" s="267">
        <f>IFERROR(VLOOKUP($A184,Supp_47,14,FALSE),0)+IFERROR(SUMPRODUCT(VLOOKUP($A184,S275_01,{32,33,34},FALSE)),0)+IFERROR(SUMPRODUCT(VLOOKUP($A184,S275_97,{32,33,34},FALSE)),0)+IFERROR(ROUND(VLOOKUP($A184,S275_21,32,FALSE)*VLOOKUP($A184,'3121% SY'!$C$3:$M$324,11,FALSE),3),0)+IFERROR(ROUND(VLOOKUP($A184,S275_21,33,FALSE)*VLOOKUP($A184,'3121% SY'!$C$3:$M$324,11,FALSE),3),0)+IFERROR(ROUND(VLOOKUP($A184,S275_21,34,FALSE)*VLOOKUP($A184,'3121% SY'!$C$3:$M$324,11,FALSE),3),0)+IFERROR(VLOOKUP($A184,S275_09,12,FALSE),0)</f>
        <v>0</v>
      </c>
      <c r="Z184" s="267">
        <f>IFERROR(VLOOKUP($A184,Supp_48,14,FALSE),0)+IFERROR(SUMPRODUCT(VLOOKUP($A184,S275_01,{35,36,37},FALSE)),0)+IFERROR(SUMPRODUCT(VLOOKUP($A184,S275_97,{35,36,37},FALSE)),0)+IFERROR(ROUND(VLOOKUP($A184,S275_21,35,FALSE)*VLOOKUP($A184,'3121% SY'!$C$3:$M$324,11,FALSE),3),0)+IFERROR(ROUND(VLOOKUP($A184,S275_21,36,FALSE)*VLOOKUP($A184,'3121% SY'!$C$3:$M$324,11,FALSE),3),0)+IFERROR(ROUND(VLOOKUP($A184,S275_21,37,FALSE)*VLOOKUP($A184,'3121% SY'!$C$3:$M$324,11,FALSE),3),0)+IFERROR(VLOOKUP($A184,S275_09,13,FALSE),0)</f>
        <v>0</v>
      </c>
      <c r="AA184" s="267">
        <f>IFERROR(VLOOKUP($A184,Supp_49,14,FALSE),0)+IFERROR(SUMPRODUCT(VLOOKUP($A184,S275_01,{38,39,40},FALSE)),0)+IFERROR(SUMPRODUCT(VLOOKUP($A184,S275_97,{38,39,40},FALSE)),0)+IFERROR(ROUND(VLOOKUP($A184,S275_21,38,FALSE)*VLOOKUP($A184,'3121% SY'!$C$3:$M$324,11,FALSE),3),0)+IFERROR(ROUND(VLOOKUP($A184,S275_21,39,FALSE)*VLOOKUP($A184,'3121% SY'!$C$3:$M$324,11,FALSE),3),0)+IFERROR(ROUND(VLOOKUP($A184,S275_21,40,FALSE)*VLOOKUP($A184,'3121% SY'!$C$3:$M$324,11,FALSE),3),0)+IFERROR(VLOOKUP($A184,S275_09,14,FALSE),0)</f>
        <v>0</v>
      </c>
      <c r="AB184" s="267">
        <f>IFERROR(VLOOKUP($A184,Supp_64,14,FALSE),0)+IFERROR(SUMPRODUCT(VLOOKUP($A184,S275_01,{41,42,43},FALSE)),0)+IFERROR(SUMPRODUCT(VLOOKUP($A184,S275_97,{41,42,43},FALSE)),0)+IFERROR(ROUND(VLOOKUP($A184,S275_21,41,FALSE)*VLOOKUP($A184,'3121% SY'!$C$3:$M$324,11,FALSE),3),0)+IFERROR(ROUND(VLOOKUP($A184,S275_21,42,FALSE)*VLOOKUP($A184,'3121% SY'!$C$3:$M$324,11,FALSE),3),0)+IFERROR(ROUND(VLOOKUP($A184,S275_21,43,FALSE)*VLOOKUP($A184,'3121% SY'!$C$3:$M$324,11,FALSE),3),0)+IFERROR(VLOOKUP($A184,S275_09,15,FALSE),0)</f>
        <v>0</v>
      </c>
      <c r="AC184" s="268">
        <f t="shared" si="37"/>
        <v>4.2059999999999995</v>
      </c>
      <c r="AD184" s="267">
        <f>IFERROR(VLOOKUP($A184,Supp_24,14,FALSE),0)+IFERROR(SUMPRODUCT(VLOOKUP($A184,S275_01,{2,3,4},FALSE)),0)+IFERROR(SUMPRODUCT(VLOOKUP($A184,S275_97,{2,3,4},FALSE)),0)+IFERROR(ROUND(VLOOKUP($A184,S275_21,2,FALSE)*VLOOKUP($A184,'3121% SY'!$C$3:$M$324,11,FALSE),3),0)+IFERROR(ROUND(VLOOKUP($A184,S275_21,3,FALSE)*VLOOKUP($A184,'3121% SY'!$C$3:$M$324,11,FALSE),3),0)+IFERROR(ROUND(VLOOKUP($A184,S275_21,4,FALSE)*VLOOKUP($A184,'3121% SY'!$C$3:$M$324,11,FALSE),3),0)+IFERROR(VLOOKUP($A184,S275_09,2,FALSE),0)</f>
        <v>0</v>
      </c>
      <c r="AE184" s="267">
        <f>IFERROR(VLOOKUP($A184,Supp_25,14,FALSE),0)+IFERROR(SUMPRODUCT(VLOOKUP($A184,S275_01,{5,6,7},FALSE)),0)+IFERROR(SUMPRODUCT(VLOOKUP($A184,S275_97,{5,6,7},FALSE)),0)+IFERROR(ROUND(VLOOKUP($A184,S275_21,5,FALSE)*VLOOKUP($A184,'3121% SY'!$C$3:$M$324,11,FALSE),3),0)+IFERROR(ROUND(VLOOKUP($A184,S275_21,6,FALSE)*VLOOKUP($A184,'3121% SY'!$C$3:$M$324,11,FALSE),3),0)+IFERROR(ROUND(VLOOKUP($A184,S275_21,7,FALSE)*VLOOKUP($A184,'3121% SY'!$C$3:$M$324,11,FALSE),3),0)+IFERROR(VLOOKUP($A184,S275_09,3,FALSE),0)</f>
        <v>0</v>
      </c>
      <c r="AF184" s="267">
        <f>IFERROR(VLOOKUP($A184,Supp_26,14,FALSE),0)+IFERROR(SUMPRODUCT(VLOOKUP($A184,S275_01,{8,9,10},FALSE)),0)+IFERROR(SUMPRODUCT(VLOOKUP($A184,S275_97,{8,9,10},FALSE)),0)+IFERROR(ROUND(VLOOKUP($A184,S275_21,8,FALSE)*VLOOKUP($A184,'3121% SY'!$C$3:$M$324,11,FALSE),3),0)+IFERROR(ROUND(VLOOKUP($A184,S275_21,9,FALSE)*VLOOKUP($A184,'3121% SY'!$C$3:$M$324,11,FALSE),3),0)+IFERROR(ROUND(VLOOKUP($A184,S275_21,10,FALSE)*VLOOKUP($A184,'3121% SY'!$C$3:$M$324,11,FALSE),3),0)+IFERROR(VLOOKUP($A184,S275_09,4,FALSE),0)</f>
        <v>0</v>
      </c>
      <c r="AG184" s="267">
        <f>IFERROR(VLOOKUP($A184,Supp_35,14,FALSE),0)+IFERROR(SUMPRODUCT(VLOOKUP($A184,S275_01,{11,12,13},FALSE)),0)+IFERROR(SUMPRODUCT(VLOOKUP($A184,S275_97,{11,12,13},FALSE)),0)+IFERROR(ROUND(VLOOKUP($A184,S275_21,11,FALSE)*VLOOKUP($A184,'3121% SY'!$C$3:$M$324,11,FALSE),3),0)+IFERROR(ROUND(VLOOKUP($A184,S275_21,12,FALSE)*VLOOKUP($A184,'3121% SY'!$C$3:$M$324,11,FALSE),3),0)+IFERROR(ROUND(VLOOKUP($A184,S275_21,13,FALSE)*VLOOKUP($A184,'3121% SY'!$C$3:$M$324,11,FALSE),3),0)+IFERROR(VLOOKUP($A184,S275_09,5,FALSE),0)</f>
        <v>0</v>
      </c>
      <c r="AH184" s="165">
        <f t="shared" si="38"/>
        <v>0</v>
      </c>
      <c r="AI184" s="161">
        <f>IFERROR(VLOOKUP(A184,'Supp Staff Data'!A:ER,148,FALSE),0)+AB184</f>
        <v>0</v>
      </c>
      <c r="AJ184" s="174">
        <v>1</v>
      </c>
      <c r="AK184" s="25">
        <f>VLOOKUP(A184,'Enroll Data as of January 2025'!$A$3:$T$323,20,FALSE)-F184</f>
        <v>0</v>
      </c>
    </row>
    <row r="185" spans="1:37" x14ac:dyDescent="0.25">
      <c r="A185" s="171" t="s">
        <v>61</v>
      </c>
      <c r="B185" t="s">
        <v>357</v>
      </c>
      <c r="C185" s="173" t="s">
        <v>1077</v>
      </c>
      <c r="D185" s="259">
        <f t="shared" si="30"/>
        <v>10.775</v>
      </c>
      <c r="E185" s="259">
        <f t="shared" si="31"/>
        <v>13.947000000000001</v>
      </c>
      <c r="F185" s="262">
        <f t="shared" si="39"/>
        <v>3.1720000000000002</v>
      </c>
      <c r="G185" s="161">
        <f>ROUND(IF(F185&lt;0,F185*'2024-25 PSES Compliance'!$G$13,0),3)</f>
        <v>0</v>
      </c>
      <c r="H185" s="161">
        <f>ROUND(IF(F185&lt;0,F185*'2024-25 PSES Compliance'!$G$14,0),3)</f>
        <v>0</v>
      </c>
      <c r="I185" s="174">
        <f t="shared" si="33"/>
        <v>0.72725317272531731</v>
      </c>
      <c r="J185" s="174">
        <f t="shared" si="34"/>
        <v>0.50190005019000516</v>
      </c>
      <c r="K185" s="161">
        <f>VLOOKUP($A185,'Enroll Data as of January 2025'!$A$3:$M$322,6,FALSE)</f>
        <v>6.1180000000000003</v>
      </c>
      <c r="L185" s="161">
        <f>VLOOKUP($A185,'Enroll Data as of January 2025'!$A$3:$M$322,7,FALSE)</f>
        <v>0.96699999999999997</v>
      </c>
      <c r="M185" s="161">
        <f>VLOOKUP($A185,'Enroll Data as of January 2025'!$A$3:$M$322,8,FALSE)</f>
        <v>0.32500000000000001</v>
      </c>
      <c r="N185" s="161">
        <f>VLOOKUP($A185,'Enroll Data as of January 2025'!$A$3:$M$322,9,FALSE)</f>
        <v>2.7730000000000001</v>
      </c>
      <c r="O185" s="165">
        <f t="shared" si="35"/>
        <v>10.183</v>
      </c>
      <c r="P185" s="161">
        <f>VLOOKUP($A185,'Enroll Data as of January 2025'!$A$3:$M$322,11,FALSE)</f>
        <v>0.378</v>
      </c>
      <c r="Q185" s="161">
        <f>VLOOKUP($A185,'Enroll Data as of January 2025'!$A$3:$M$322,12,FALSE)</f>
        <v>0.214</v>
      </c>
      <c r="R185" s="165">
        <f t="shared" si="36"/>
        <v>0.59199999999999997</v>
      </c>
      <c r="S185" s="267">
        <f>IFERROR(VLOOKUP($A185,Supp_39,14,FALSE),0)+IFERROR(SUMPRODUCT(VLOOKUP($A185,S275_01,{14,15,16},FALSE)),0)+IFERROR(SUMPRODUCT(VLOOKUP($A185,S275_97,{14,15,16},FALSE)),0)+IFERROR(ROUND(VLOOKUP($A185,S275_21,14,FALSE)*VLOOKUP($A185,'3121% SY'!$C$3:$M$324,11,FALSE),3),0)+IFERROR(ROUND(VLOOKUP($A185,S275_21,15,FALSE)*VLOOKUP($A185,'3121% SY'!$C$3:$M$324,11,FALSE),3),0)+IFERROR(ROUND(VLOOKUP($A185,S275_21,16,FALSE)*VLOOKUP($A185,'3121% SY'!$C$3:$M$324,11,FALSE),3),0)+IFERROR(VLOOKUP($A185,S275_09,6,FALSE),0)</f>
        <v>4.9800000000000004</v>
      </c>
      <c r="T185" s="267">
        <f>IFERROR(VLOOKUP($A185,Supp_42,14,FALSE),0)+IFERROR(SUMPRODUCT(VLOOKUP($A185,S275_01,{17,18,19},FALSE)),0)+IFERROR(SUMPRODUCT(VLOOKUP($A185,S275_97,{17,18,19},FALSE)),0)+IFERROR(ROUND(VLOOKUP($A185,S275_21,17,FALSE)*VLOOKUP($A185,'3121% SY'!$C$3:$M$324,11,FALSE),3),0)+IFERROR(ROUND(VLOOKUP($A185,S275_21,18,FALSE)*VLOOKUP($A185,'3121% SY'!$C$3:$M$324,11,FALSE),3),0)+IFERROR(ROUND(VLOOKUP($A185,S275_21,19,FALSE)*VLOOKUP($A185,'3121% SY'!$C$3:$M$324,11,FALSE),3),0)+IFERROR(VLOOKUP($A185,S275_09,7,FALSE),0)</f>
        <v>2.83</v>
      </c>
      <c r="U185" s="267">
        <f>IFERROR(VLOOKUP($A185,Supp_43,14,FALSE),0)+IFERROR(SUMPRODUCT(VLOOKUP($A185,S275_01,{20,21,22},FALSE)),0)+IFERROR(SUMPRODUCT(VLOOKUP($A185,S275_97,{20,21,22},FALSE)),0)+IFERROR(ROUND(VLOOKUP($A185,S275_21,20,FALSE)*VLOOKUP($A185,'3121% SY'!$C$3:$M$324,11,FALSE),3),0)+IFERROR(ROUND(VLOOKUP($A185,S275_21,21,FALSE)*VLOOKUP($A185,'3121% SY'!$C$3:$M$324,11,FALSE),3),0)+IFERROR(ROUND(VLOOKUP($A185,S275_21,22,FALSE)*VLOOKUP($A185,'3121% SY'!$C$3:$M$324,11,FALSE),3),0)+IFERROR(VLOOKUP($A185,S275_09,8,FALSE),0)</f>
        <v>0.246</v>
      </c>
      <c r="V185" s="267">
        <f>IFERROR(VLOOKUP($A185,Supp_44,14,FALSE),0)+IFERROR(SUMPRODUCT(VLOOKUP($A185,S275_01,{23,24,25},FALSE)),0)+IFERROR(SUMPRODUCT(VLOOKUP($A185,S275_97,{23,24,25},FALSE)),0)+IFERROR(ROUND(VLOOKUP($A185,S275_21,23,FALSE)*VLOOKUP($A185,'3121% SY'!$C$3:$M$324,11,FALSE),3),0)+IFERROR(ROUND(VLOOKUP($A185,S275_21,24,FALSE)*VLOOKUP($A185,'3121% SY'!$C$3:$M$324,11,FALSE),3),0)+IFERROR(ROUND(VLOOKUP($A185,S275_21,25,FALSE)*VLOOKUP($A185,'3121% SY'!$C$3:$M$324,11,FALSE),3),0)+IFERROR(VLOOKUP($A185,S275_09,9,FALSE),0)</f>
        <v>0</v>
      </c>
      <c r="W185" s="267">
        <f>IFERROR(VLOOKUP($A185,Supp_45,14,FALSE),0)+IFERROR(SUMPRODUCT(VLOOKUP($A185,S275_01,{26,27,28},FALSE)),0)+IFERROR(SUMPRODUCT(VLOOKUP($A185,S275_97,{26,27,28},FALSE)),0)+IFERROR(ROUND(VLOOKUP($A185,S275_21,26,FALSE)*VLOOKUP($A185,'3121% SY'!$C$3:$M$324,11,FALSE),3),0)+IFERROR(ROUND(VLOOKUP($A185,S275_21,27,FALSE)*VLOOKUP($A185,'3121% SY'!$C$3:$M$324,11,FALSE),3),0)+IFERROR(ROUND(VLOOKUP($A185,S275_21,28,FALSE)*VLOOKUP($A185,'3121% SY'!$C$3:$M$324,11,FALSE),3),0)+IFERROR(VLOOKUP($A185,S275_09,10,FALSE),0)</f>
        <v>0.89200000000000002</v>
      </c>
      <c r="X185" s="267">
        <f>IFERROR(VLOOKUP($A185,Supp_46,14,FALSE),0)+IFERROR(SUMPRODUCT(VLOOKUP($A185,S275_01,{29,30,31},FALSE)),0)+IFERROR(SUMPRODUCT(VLOOKUP($A185,S275_97,{29,30,31},FALSE)),0)+IFERROR(ROUND(VLOOKUP($A185,S275_21,29,FALSE)*VLOOKUP($A185,'3121% SY'!$C$3:$M$324,11,FALSE),3),0)+IFERROR(ROUND(VLOOKUP($A185,S275_21,30,FALSE)*VLOOKUP($A185,'3121% SY'!$C$3:$M$324,11,FALSE),3),0)+IFERROR(ROUND(VLOOKUP($A185,S275_21,31,FALSE)*VLOOKUP($A185,'3121% SY'!$C$3:$M$324,11,FALSE),3),0)+IFERROR(VLOOKUP($A185,S275_09,11,FALSE),0)</f>
        <v>0.70300000000000007</v>
      </c>
      <c r="Y185" s="267">
        <f>IFERROR(VLOOKUP($A185,Supp_47,14,FALSE),0)+IFERROR(SUMPRODUCT(VLOOKUP($A185,S275_01,{32,33,34},FALSE)),0)+IFERROR(SUMPRODUCT(VLOOKUP($A185,S275_97,{32,33,34},FALSE)),0)+IFERROR(ROUND(VLOOKUP($A185,S275_21,32,FALSE)*VLOOKUP($A185,'3121% SY'!$C$3:$M$324,11,FALSE),3),0)+IFERROR(ROUND(VLOOKUP($A185,S275_21,33,FALSE)*VLOOKUP($A185,'3121% SY'!$C$3:$M$324,11,FALSE),3),0)+IFERROR(ROUND(VLOOKUP($A185,S275_21,34,FALSE)*VLOOKUP($A185,'3121% SY'!$C$3:$M$324,11,FALSE),3),0)+IFERROR(VLOOKUP($A185,S275_09,12,FALSE),0)</f>
        <v>0.246</v>
      </c>
      <c r="Z185" s="267">
        <f>IFERROR(VLOOKUP($A185,Supp_48,14,FALSE),0)+IFERROR(SUMPRODUCT(VLOOKUP($A185,S275_01,{35,36,37},FALSE)),0)+IFERROR(SUMPRODUCT(VLOOKUP($A185,S275_97,{35,36,37},FALSE)),0)+IFERROR(ROUND(VLOOKUP($A185,S275_21,35,FALSE)*VLOOKUP($A185,'3121% SY'!$C$3:$M$324,11,FALSE),3),0)+IFERROR(ROUND(VLOOKUP($A185,S275_21,36,FALSE)*VLOOKUP($A185,'3121% SY'!$C$3:$M$324,11,FALSE),3),0)+IFERROR(ROUND(VLOOKUP($A185,S275_21,37,FALSE)*VLOOKUP($A185,'3121% SY'!$C$3:$M$324,11,FALSE),3),0)+IFERROR(VLOOKUP($A185,S275_09,13,FALSE),0)</f>
        <v>0.246</v>
      </c>
      <c r="AA185" s="267">
        <f>IFERROR(VLOOKUP($A185,Supp_49,14,FALSE),0)+IFERROR(SUMPRODUCT(VLOOKUP($A185,S275_01,{38,39,40},FALSE)),0)+IFERROR(SUMPRODUCT(VLOOKUP($A185,S275_97,{38,39,40},FALSE)),0)+IFERROR(ROUND(VLOOKUP($A185,S275_21,38,FALSE)*VLOOKUP($A185,'3121% SY'!$C$3:$M$324,11,FALSE),3),0)+IFERROR(ROUND(VLOOKUP($A185,S275_21,39,FALSE)*VLOOKUP($A185,'3121% SY'!$C$3:$M$324,11,FALSE),3),0)+IFERROR(ROUND(VLOOKUP($A185,S275_21,40,FALSE)*VLOOKUP($A185,'3121% SY'!$C$3:$M$324,11,FALSE),3),0)+IFERROR(VLOOKUP($A185,S275_09,14,FALSE),0)</f>
        <v>0</v>
      </c>
      <c r="AB185" s="267">
        <f>IFERROR(VLOOKUP($A185,Supp_64,14,FALSE),0)+IFERROR(SUMPRODUCT(VLOOKUP($A185,S275_01,{41,42,43},FALSE)),0)+IFERROR(SUMPRODUCT(VLOOKUP($A185,S275_97,{41,42,43},FALSE)),0)+IFERROR(ROUND(VLOOKUP($A185,S275_21,41,FALSE)*VLOOKUP($A185,'3121% SY'!$C$3:$M$324,11,FALSE),3),0)+IFERROR(ROUND(VLOOKUP($A185,S275_21,42,FALSE)*VLOOKUP($A185,'3121% SY'!$C$3:$M$324,11,FALSE),3),0)+IFERROR(ROUND(VLOOKUP($A185,S275_21,43,FALSE)*VLOOKUP($A185,'3121% SY'!$C$3:$M$324,11,FALSE),3),0)+IFERROR(VLOOKUP($A185,S275_09,15,FALSE),0)</f>
        <v>0</v>
      </c>
      <c r="AC185" s="268">
        <f t="shared" si="37"/>
        <v>10.143000000000001</v>
      </c>
      <c r="AD185" s="267">
        <f>IFERROR(VLOOKUP($A185,Supp_24,14,FALSE),0)+IFERROR(SUMPRODUCT(VLOOKUP($A185,S275_01,{2,3,4},FALSE)),0)+IFERROR(SUMPRODUCT(VLOOKUP($A185,S275_97,{2,3,4},FALSE)),0)+IFERROR(ROUND(VLOOKUP($A185,S275_21,2,FALSE)*VLOOKUP($A185,'3121% SY'!$C$3:$M$324,11,FALSE),3),0)+IFERROR(ROUND(VLOOKUP($A185,S275_21,3,FALSE)*VLOOKUP($A185,'3121% SY'!$C$3:$M$324,11,FALSE),3),0)+IFERROR(ROUND(VLOOKUP($A185,S275_21,4,FALSE)*VLOOKUP($A185,'3121% SY'!$C$3:$M$324,11,FALSE),3),0)+IFERROR(VLOOKUP($A185,S275_09,2,FALSE),0)</f>
        <v>0</v>
      </c>
      <c r="AE185" s="267">
        <f>IFERROR(VLOOKUP($A185,Supp_25,14,FALSE),0)+IFERROR(SUMPRODUCT(VLOOKUP($A185,S275_01,{5,6,7},FALSE)),0)+IFERROR(SUMPRODUCT(VLOOKUP($A185,S275_97,{5,6,7},FALSE)),0)+IFERROR(ROUND(VLOOKUP($A185,S275_21,5,FALSE)*VLOOKUP($A185,'3121% SY'!$C$3:$M$324,11,FALSE),3),0)+IFERROR(ROUND(VLOOKUP($A185,S275_21,6,FALSE)*VLOOKUP($A185,'3121% SY'!$C$3:$M$324,11,FALSE),3),0)+IFERROR(ROUND(VLOOKUP($A185,S275_21,7,FALSE)*VLOOKUP($A185,'3121% SY'!$C$3:$M$324,11,FALSE),3),0)+IFERROR(VLOOKUP($A185,S275_09,3,FALSE),0)</f>
        <v>0</v>
      </c>
      <c r="AF185" s="267">
        <f>IFERROR(VLOOKUP($A185,Supp_26,14,FALSE),0)+IFERROR(SUMPRODUCT(VLOOKUP($A185,S275_01,{8,9,10},FALSE)),0)+IFERROR(SUMPRODUCT(VLOOKUP($A185,S275_97,{8,9,10},FALSE)),0)+IFERROR(ROUND(VLOOKUP($A185,S275_21,8,FALSE)*VLOOKUP($A185,'3121% SY'!$C$3:$M$324,11,FALSE),3),0)+IFERROR(ROUND(VLOOKUP($A185,S275_21,9,FALSE)*VLOOKUP($A185,'3121% SY'!$C$3:$M$324,11,FALSE),3),0)+IFERROR(ROUND(VLOOKUP($A185,S275_21,10,FALSE)*VLOOKUP($A185,'3121% SY'!$C$3:$M$324,11,FALSE),3),0)+IFERROR(VLOOKUP($A185,S275_09,4,FALSE),0)</f>
        <v>3.8040000000000003</v>
      </c>
      <c r="AG185" s="267">
        <f>IFERROR(VLOOKUP($A185,Supp_35,14,FALSE),0)+IFERROR(SUMPRODUCT(VLOOKUP($A185,S275_01,{11,12,13},FALSE)),0)+IFERROR(SUMPRODUCT(VLOOKUP($A185,S275_97,{11,12,13},FALSE)),0)+IFERROR(ROUND(VLOOKUP($A185,S275_21,11,FALSE)*VLOOKUP($A185,'3121% SY'!$C$3:$M$324,11,FALSE),3),0)+IFERROR(ROUND(VLOOKUP($A185,S275_21,12,FALSE)*VLOOKUP($A185,'3121% SY'!$C$3:$M$324,11,FALSE),3),0)+IFERROR(ROUND(VLOOKUP($A185,S275_21,13,FALSE)*VLOOKUP($A185,'3121% SY'!$C$3:$M$324,11,FALSE),3),0)+IFERROR(VLOOKUP($A185,S275_09,5,FALSE),0)</f>
        <v>0</v>
      </c>
      <c r="AH185" s="165">
        <f t="shared" si="38"/>
        <v>3.8040000000000003</v>
      </c>
      <c r="AI185" s="161">
        <f>IFERROR(VLOOKUP(A185,'Supp Staff Data'!A:ER,148,FALSE),0)+AB185</f>
        <v>7.0000000000000018</v>
      </c>
      <c r="AJ185" s="174">
        <v>1</v>
      </c>
      <c r="AK185" s="25">
        <f>VLOOKUP(A185,'Enroll Data as of January 2025'!$A$3:$T$323,20,FALSE)-F185</f>
        <v>0</v>
      </c>
    </row>
    <row r="186" spans="1:37" x14ac:dyDescent="0.25">
      <c r="A186" s="171" t="s">
        <v>299</v>
      </c>
      <c r="B186" t="s">
        <v>595</v>
      </c>
      <c r="C186" s="173" t="s">
        <v>1077</v>
      </c>
      <c r="D186" s="259">
        <f t="shared" si="30"/>
        <v>6.7880000000000003</v>
      </c>
      <c r="E186" s="259">
        <f t="shared" si="31"/>
        <v>7.1529999999999996</v>
      </c>
      <c r="F186" s="262">
        <f t="shared" si="39"/>
        <v>0.36499999999999999</v>
      </c>
      <c r="G186" s="161">
        <f>ROUND(IF(F186&lt;0,F186*'2024-25 PSES Compliance'!$G$13,0),3)</f>
        <v>0</v>
      </c>
      <c r="H186" s="161">
        <f>ROUND(IF(F186&lt;0,F186*'2024-25 PSES Compliance'!$G$14,0),3)</f>
        <v>0</v>
      </c>
      <c r="I186" s="174">
        <f t="shared" si="33"/>
        <v>0</v>
      </c>
      <c r="J186" s="174">
        <f t="shared" si="34"/>
        <v>0</v>
      </c>
      <c r="K186" s="161">
        <f>VLOOKUP($A186,'Enroll Data as of January 2025'!$A$3:$M$322,6,FALSE)</f>
        <v>3.758</v>
      </c>
      <c r="L186" s="161">
        <f>VLOOKUP($A186,'Enroll Data as of January 2025'!$A$3:$M$322,7,FALSE)</f>
        <v>0.65100000000000013</v>
      </c>
      <c r="M186" s="161">
        <f>VLOOKUP($A186,'Enroll Data as of January 2025'!$A$3:$M$322,8,FALSE)</f>
        <v>0.218</v>
      </c>
      <c r="N186" s="161">
        <f>VLOOKUP($A186,'Enroll Data as of January 2025'!$A$3:$M$322,9,FALSE)</f>
        <v>1.7730000000000001</v>
      </c>
      <c r="O186" s="165">
        <f t="shared" si="35"/>
        <v>6.4</v>
      </c>
      <c r="P186" s="161">
        <f>VLOOKUP($A186,'Enroll Data as of January 2025'!$A$3:$M$322,11,FALSE)</f>
        <v>0.23899999999999999</v>
      </c>
      <c r="Q186" s="161">
        <f>VLOOKUP($A186,'Enroll Data as of January 2025'!$A$3:$M$322,12,FALSE)</f>
        <v>0.14899999999999999</v>
      </c>
      <c r="R186" s="165">
        <f t="shared" si="36"/>
        <v>0.38800000000000001</v>
      </c>
      <c r="S186" s="267">
        <f>IFERROR(VLOOKUP($A186,Supp_39,14,FALSE),0)+IFERROR(SUMPRODUCT(VLOOKUP($A186,S275_01,{14,15,16},FALSE)),0)+IFERROR(SUMPRODUCT(VLOOKUP($A186,S275_97,{14,15,16},FALSE)),0)+IFERROR(ROUND(VLOOKUP($A186,S275_21,14,FALSE)*VLOOKUP($A186,'3121% SY'!$C$3:$M$324,11,FALSE),3),0)+IFERROR(ROUND(VLOOKUP($A186,S275_21,15,FALSE)*VLOOKUP($A186,'3121% SY'!$C$3:$M$324,11,FALSE),3),0)+IFERROR(ROUND(VLOOKUP($A186,S275_21,16,FALSE)*VLOOKUP($A186,'3121% SY'!$C$3:$M$324,11,FALSE),3),0)+IFERROR(VLOOKUP($A186,S275_09,6,FALSE),0)</f>
        <v>3.38</v>
      </c>
      <c r="T186" s="267">
        <f>IFERROR(VLOOKUP($A186,Supp_42,14,FALSE),0)+IFERROR(SUMPRODUCT(VLOOKUP($A186,S275_01,{17,18,19},FALSE)),0)+IFERROR(SUMPRODUCT(VLOOKUP($A186,S275_97,{17,18,19},FALSE)),0)+IFERROR(ROUND(VLOOKUP($A186,S275_21,17,FALSE)*VLOOKUP($A186,'3121% SY'!$C$3:$M$324,11,FALSE),3),0)+IFERROR(ROUND(VLOOKUP($A186,S275_21,18,FALSE)*VLOOKUP($A186,'3121% SY'!$C$3:$M$324,11,FALSE),3),0)+IFERROR(ROUND(VLOOKUP($A186,S275_21,19,FALSE)*VLOOKUP($A186,'3121% SY'!$C$3:$M$324,11,FALSE),3),0)+IFERROR(VLOOKUP($A186,S275_09,7,FALSE),0)</f>
        <v>1</v>
      </c>
      <c r="U186" s="267">
        <f>IFERROR(VLOOKUP($A186,Supp_43,14,FALSE),0)+IFERROR(SUMPRODUCT(VLOOKUP($A186,S275_01,{20,21,22},FALSE)),0)+IFERROR(SUMPRODUCT(VLOOKUP($A186,S275_97,{20,21,22},FALSE)),0)+IFERROR(ROUND(VLOOKUP($A186,S275_21,20,FALSE)*VLOOKUP($A186,'3121% SY'!$C$3:$M$324,11,FALSE),3),0)+IFERROR(ROUND(VLOOKUP($A186,S275_21,21,FALSE)*VLOOKUP($A186,'3121% SY'!$C$3:$M$324,11,FALSE),3),0)+IFERROR(ROUND(VLOOKUP($A186,S275_21,22,FALSE)*VLOOKUP($A186,'3121% SY'!$C$3:$M$324,11,FALSE),3),0)+IFERROR(VLOOKUP($A186,S275_09,8,FALSE),0)</f>
        <v>0</v>
      </c>
      <c r="V186" s="267">
        <f>IFERROR(VLOOKUP($A186,Supp_44,14,FALSE),0)+IFERROR(SUMPRODUCT(VLOOKUP($A186,S275_01,{23,24,25},FALSE)),0)+IFERROR(SUMPRODUCT(VLOOKUP($A186,S275_97,{23,24,25},FALSE)),0)+IFERROR(ROUND(VLOOKUP($A186,S275_21,23,FALSE)*VLOOKUP($A186,'3121% SY'!$C$3:$M$324,11,FALSE),3),0)+IFERROR(ROUND(VLOOKUP($A186,S275_21,24,FALSE)*VLOOKUP($A186,'3121% SY'!$C$3:$M$324,11,FALSE),3),0)+IFERROR(ROUND(VLOOKUP($A186,S275_21,25,FALSE)*VLOOKUP($A186,'3121% SY'!$C$3:$M$324,11,FALSE),3),0)+IFERROR(VLOOKUP($A186,S275_09,9,FALSE),0)</f>
        <v>0</v>
      </c>
      <c r="W186" s="267">
        <f>IFERROR(VLOOKUP($A186,Supp_45,14,FALSE),0)+IFERROR(SUMPRODUCT(VLOOKUP($A186,S275_01,{26,27,28},FALSE)),0)+IFERROR(SUMPRODUCT(VLOOKUP($A186,S275_97,{26,27,28},FALSE)),0)+IFERROR(ROUND(VLOOKUP($A186,S275_21,26,FALSE)*VLOOKUP($A186,'3121% SY'!$C$3:$M$324,11,FALSE),3),0)+IFERROR(ROUND(VLOOKUP($A186,S275_21,27,FALSE)*VLOOKUP($A186,'3121% SY'!$C$3:$M$324,11,FALSE),3),0)+IFERROR(ROUND(VLOOKUP($A186,S275_21,28,FALSE)*VLOOKUP($A186,'3121% SY'!$C$3:$M$324,11,FALSE),3),0)+IFERROR(VLOOKUP($A186,S275_09,10,FALSE),0)</f>
        <v>0</v>
      </c>
      <c r="X186" s="267">
        <f>IFERROR(VLOOKUP($A186,Supp_46,14,FALSE),0)+IFERROR(SUMPRODUCT(VLOOKUP($A186,S275_01,{29,30,31},FALSE)),0)+IFERROR(SUMPRODUCT(VLOOKUP($A186,S275_97,{29,30,31},FALSE)),0)+IFERROR(ROUND(VLOOKUP($A186,S275_21,29,FALSE)*VLOOKUP($A186,'3121% SY'!$C$3:$M$324,11,FALSE),3),0)+IFERROR(ROUND(VLOOKUP($A186,S275_21,30,FALSE)*VLOOKUP($A186,'3121% SY'!$C$3:$M$324,11,FALSE),3),0)+IFERROR(ROUND(VLOOKUP($A186,S275_21,31,FALSE)*VLOOKUP($A186,'3121% SY'!$C$3:$M$324,11,FALSE),3),0)+IFERROR(VLOOKUP($A186,S275_09,11,FALSE),0)</f>
        <v>0.22999999999999998</v>
      </c>
      <c r="Y186" s="267">
        <f>IFERROR(VLOOKUP($A186,Supp_47,14,FALSE),0)+IFERROR(SUMPRODUCT(VLOOKUP($A186,S275_01,{32,33,34},FALSE)),0)+IFERROR(SUMPRODUCT(VLOOKUP($A186,S275_97,{32,33,34},FALSE)),0)+IFERROR(ROUND(VLOOKUP($A186,S275_21,32,FALSE)*VLOOKUP($A186,'3121% SY'!$C$3:$M$324,11,FALSE),3),0)+IFERROR(ROUND(VLOOKUP($A186,S275_21,33,FALSE)*VLOOKUP($A186,'3121% SY'!$C$3:$M$324,11,FALSE),3),0)+IFERROR(ROUND(VLOOKUP($A186,S275_21,34,FALSE)*VLOOKUP($A186,'3121% SY'!$C$3:$M$324,11,FALSE),3),0)+IFERROR(VLOOKUP($A186,S275_09,12,FALSE),0)</f>
        <v>0</v>
      </c>
      <c r="Z186" s="267">
        <f>IFERROR(VLOOKUP($A186,Supp_48,14,FALSE),0)+IFERROR(SUMPRODUCT(VLOOKUP($A186,S275_01,{35,36,37},FALSE)),0)+IFERROR(SUMPRODUCT(VLOOKUP($A186,S275_97,{35,36,37},FALSE)),0)+IFERROR(ROUND(VLOOKUP($A186,S275_21,35,FALSE)*VLOOKUP($A186,'3121% SY'!$C$3:$M$324,11,FALSE),3),0)+IFERROR(ROUND(VLOOKUP($A186,S275_21,36,FALSE)*VLOOKUP($A186,'3121% SY'!$C$3:$M$324,11,FALSE),3),0)+IFERROR(ROUND(VLOOKUP($A186,S275_21,37,FALSE)*VLOOKUP($A186,'3121% SY'!$C$3:$M$324,11,FALSE),3),0)+IFERROR(VLOOKUP($A186,S275_09,13,FALSE),0)</f>
        <v>0</v>
      </c>
      <c r="AA186" s="267">
        <f>IFERROR(VLOOKUP($A186,Supp_49,14,FALSE),0)+IFERROR(SUMPRODUCT(VLOOKUP($A186,S275_01,{38,39,40},FALSE)),0)+IFERROR(SUMPRODUCT(VLOOKUP($A186,S275_97,{38,39,40},FALSE)),0)+IFERROR(ROUND(VLOOKUP($A186,S275_21,38,FALSE)*VLOOKUP($A186,'3121% SY'!$C$3:$M$324,11,FALSE),3),0)+IFERROR(ROUND(VLOOKUP($A186,S275_21,39,FALSE)*VLOOKUP($A186,'3121% SY'!$C$3:$M$324,11,FALSE),3),0)+IFERROR(ROUND(VLOOKUP($A186,S275_21,40,FALSE)*VLOOKUP($A186,'3121% SY'!$C$3:$M$324,11,FALSE),3),0)+IFERROR(VLOOKUP($A186,S275_09,14,FALSE),0)</f>
        <v>0</v>
      </c>
      <c r="AB186" s="267">
        <f>IFERROR(VLOOKUP($A186,Supp_64,14,FALSE),0)+IFERROR(SUMPRODUCT(VLOOKUP($A186,S275_01,{41,42,43},FALSE)),0)+IFERROR(SUMPRODUCT(VLOOKUP($A186,S275_97,{41,42,43},FALSE)),0)+IFERROR(ROUND(VLOOKUP($A186,S275_21,41,FALSE)*VLOOKUP($A186,'3121% SY'!$C$3:$M$324,11,FALSE),3),0)+IFERROR(ROUND(VLOOKUP($A186,S275_21,42,FALSE)*VLOOKUP($A186,'3121% SY'!$C$3:$M$324,11,FALSE),3),0)+IFERROR(ROUND(VLOOKUP($A186,S275_21,43,FALSE)*VLOOKUP($A186,'3121% SY'!$C$3:$M$324,11,FALSE),3),0)+IFERROR(VLOOKUP($A186,S275_09,15,FALSE),0)</f>
        <v>0</v>
      </c>
      <c r="AC186" s="268">
        <f t="shared" si="37"/>
        <v>4.6099999999999994</v>
      </c>
      <c r="AD186" s="267">
        <f>IFERROR(VLOOKUP($A186,Supp_24,14,FALSE),0)+IFERROR(SUMPRODUCT(VLOOKUP($A186,S275_01,{2,3,4},FALSE)),0)+IFERROR(SUMPRODUCT(VLOOKUP($A186,S275_97,{2,3,4},FALSE)),0)+IFERROR(ROUND(VLOOKUP($A186,S275_21,2,FALSE)*VLOOKUP($A186,'3121% SY'!$C$3:$M$324,11,FALSE),3),0)+IFERROR(ROUND(VLOOKUP($A186,S275_21,3,FALSE)*VLOOKUP($A186,'3121% SY'!$C$3:$M$324,11,FALSE),3),0)+IFERROR(ROUND(VLOOKUP($A186,S275_21,4,FALSE)*VLOOKUP($A186,'3121% SY'!$C$3:$M$324,11,FALSE),3),0)+IFERROR(VLOOKUP($A186,S275_09,2,FALSE),0)</f>
        <v>0</v>
      </c>
      <c r="AE186" s="267">
        <f>IFERROR(VLOOKUP($A186,Supp_25,14,FALSE),0)+IFERROR(SUMPRODUCT(VLOOKUP($A186,S275_01,{5,6,7},FALSE)),0)+IFERROR(SUMPRODUCT(VLOOKUP($A186,S275_97,{5,6,7},FALSE)),0)+IFERROR(ROUND(VLOOKUP($A186,S275_21,5,FALSE)*VLOOKUP($A186,'3121% SY'!$C$3:$M$324,11,FALSE),3),0)+IFERROR(ROUND(VLOOKUP($A186,S275_21,6,FALSE)*VLOOKUP($A186,'3121% SY'!$C$3:$M$324,11,FALSE),3),0)+IFERROR(ROUND(VLOOKUP($A186,S275_21,7,FALSE)*VLOOKUP($A186,'3121% SY'!$C$3:$M$324,11,FALSE),3),0)+IFERROR(VLOOKUP($A186,S275_09,3,FALSE),0)</f>
        <v>0.76900000000000002</v>
      </c>
      <c r="AF186" s="267">
        <f>IFERROR(VLOOKUP($A186,Supp_26,14,FALSE),0)+IFERROR(SUMPRODUCT(VLOOKUP($A186,S275_01,{8,9,10},FALSE)),0)+IFERROR(SUMPRODUCT(VLOOKUP($A186,S275_97,{8,9,10},FALSE)),0)+IFERROR(ROUND(VLOOKUP($A186,S275_21,8,FALSE)*VLOOKUP($A186,'3121% SY'!$C$3:$M$324,11,FALSE),3),0)+IFERROR(ROUND(VLOOKUP($A186,S275_21,9,FALSE)*VLOOKUP($A186,'3121% SY'!$C$3:$M$324,11,FALSE),3),0)+IFERROR(ROUND(VLOOKUP($A186,S275_21,10,FALSE)*VLOOKUP($A186,'3121% SY'!$C$3:$M$324,11,FALSE),3),0)+IFERROR(VLOOKUP($A186,S275_09,4,FALSE),0)</f>
        <v>1.774</v>
      </c>
      <c r="AG186" s="267">
        <f>IFERROR(VLOOKUP($A186,Supp_35,14,FALSE),0)+IFERROR(SUMPRODUCT(VLOOKUP($A186,S275_01,{11,12,13},FALSE)),0)+IFERROR(SUMPRODUCT(VLOOKUP($A186,S275_97,{11,12,13},FALSE)),0)+IFERROR(ROUND(VLOOKUP($A186,S275_21,11,FALSE)*VLOOKUP($A186,'3121% SY'!$C$3:$M$324,11,FALSE),3),0)+IFERROR(ROUND(VLOOKUP($A186,S275_21,12,FALSE)*VLOOKUP($A186,'3121% SY'!$C$3:$M$324,11,FALSE),3),0)+IFERROR(ROUND(VLOOKUP($A186,S275_21,13,FALSE)*VLOOKUP($A186,'3121% SY'!$C$3:$M$324,11,FALSE),3),0)+IFERROR(VLOOKUP($A186,S275_09,5,FALSE),0)</f>
        <v>0</v>
      </c>
      <c r="AH186" s="165">
        <f t="shared" si="38"/>
        <v>2.5430000000000001</v>
      </c>
      <c r="AI186" s="161">
        <f>IFERROR(VLOOKUP(A186,'Supp Staff Data'!A:ER,148,FALSE),0)+AB186</f>
        <v>0</v>
      </c>
      <c r="AJ186" s="174">
        <v>0</v>
      </c>
      <c r="AK186" s="25">
        <f>VLOOKUP(A186,'Enroll Data as of January 2025'!$A$3:$T$323,20,FALSE)-F186</f>
        <v>0</v>
      </c>
    </row>
    <row r="187" spans="1:37" x14ac:dyDescent="0.25">
      <c r="A187" s="171" t="s">
        <v>78</v>
      </c>
      <c r="B187" t="s">
        <v>374</v>
      </c>
      <c r="C187" s="173" t="s">
        <v>1077</v>
      </c>
      <c r="D187" s="259">
        <f t="shared" si="30"/>
        <v>1.7470000000000001</v>
      </c>
      <c r="E187" s="259">
        <f t="shared" si="31"/>
        <v>1.7049999999999998</v>
      </c>
      <c r="F187" s="262">
        <f t="shared" si="39"/>
        <v>-4.2000000000000003E-2</v>
      </c>
      <c r="G187" s="161">
        <f>ROUND(IF(F187&lt;0,F187*'2024-25 PSES Compliance'!$G$13,0),3)</f>
        <v>-0.04</v>
      </c>
      <c r="H187" s="161">
        <f>ROUND(IF(F187&lt;0,F187*'2024-25 PSES Compliance'!$G$14,0),3)</f>
        <v>-2E-3</v>
      </c>
      <c r="I187" s="174">
        <f t="shared" si="33"/>
        <v>0</v>
      </c>
      <c r="J187" s="174">
        <f t="shared" si="34"/>
        <v>0.9384164222873902</v>
      </c>
      <c r="K187" s="161">
        <f>VLOOKUP($A187,'Enroll Data as of January 2025'!$A$3:$M$322,6,FALSE)</f>
        <v>0.87</v>
      </c>
      <c r="L187" s="161">
        <f>VLOOKUP($A187,'Enroll Data as of January 2025'!$A$3:$M$322,7,FALSE)</f>
        <v>0.20400000000000001</v>
      </c>
      <c r="M187" s="161">
        <f>VLOOKUP($A187,'Enroll Data as of January 2025'!$A$3:$M$322,8,FALSE)</f>
        <v>6.7000000000000004E-2</v>
      </c>
      <c r="N187" s="161">
        <f>VLOOKUP($A187,'Enroll Data as of January 2025'!$A$3:$M$322,9,FALSE)</f>
        <v>0.49399999999999999</v>
      </c>
      <c r="O187" s="165">
        <f t="shared" si="35"/>
        <v>1.635</v>
      </c>
      <c r="P187" s="161">
        <f>VLOOKUP($A187,'Enroll Data as of January 2025'!$A$3:$M$322,11,FALSE)</f>
        <v>6.2E-2</v>
      </c>
      <c r="Q187" s="161">
        <f>VLOOKUP($A187,'Enroll Data as of January 2025'!$A$3:$M$322,12,FALSE)</f>
        <v>0.05</v>
      </c>
      <c r="R187" s="165">
        <f t="shared" si="36"/>
        <v>0.112</v>
      </c>
      <c r="S187" s="267">
        <f>IFERROR(VLOOKUP($A187,Supp_39,14,FALSE),0)+IFERROR(SUMPRODUCT(VLOOKUP($A187,S275_01,{14,15,16},FALSE)),0)+IFERROR(SUMPRODUCT(VLOOKUP($A187,S275_97,{14,15,16},FALSE)),0)+IFERROR(ROUND(VLOOKUP($A187,S275_21,14,FALSE)*VLOOKUP($A187,'3121% SY'!$C$3:$M$324,11,FALSE),3),0)+IFERROR(ROUND(VLOOKUP($A187,S275_21,15,FALSE)*VLOOKUP($A187,'3121% SY'!$C$3:$M$324,11,FALSE),3),0)+IFERROR(ROUND(VLOOKUP($A187,S275_21,16,FALSE)*VLOOKUP($A187,'3121% SY'!$C$3:$M$324,11,FALSE),3),0)+IFERROR(VLOOKUP($A187,S275_09,6,FALSE),0)</f>
        <v>0.45</v>
      </c>
      <c r="T187" s="267">
        <f>IFERROR(VLOOKUP($A187,Supp_42,14,FALSE),0)+IFERROR(SUMPRODUCT(VLOOKUP($A187,S275_01,{17,18,19},FALSE)),0)+IFERROR(SUMPRODUCT(VLOOKUP($A187,S275_97,{17,18,19},FALSE)),0)+IFERROR(ROUND(VLOOKUP($A187,S275_21,17,FALSE)*VLOOKUP($A187,'3121% SY'!$C$3:$M$324,11,FALSE),3),0)+IFERROR(ROUND(VLOOKUP($A187,S275_21,18,FALSE)*VLOOKUP($A187,'3121% SY'!$C$3:$M$324,11,FALSE),3),0)+IFERROR(ROUND(VLOOKUP($A187,S275_21,19,FALSE)*VLOOKUP($A187,'3121% SY'!$C$3:$M$324,11,FALSE),3),0)+IFERROR(VLOOKUP($A187,S275_09,7,FALSE),0)</f>
        <v>0.15</v>
      </c>
      <c r="U187" s="267">
        <f>IFERROR(VLOOKUP($A187,Supp_43,14,FALSE),0)+IFERROR(SUMPRODUCT(VLOOKUP($A187,S275_01,{20,21,22},FALSE)),0)+IFERROR(SUMPRODUCT(VLOOKUP($A187,S275_97,{20,21,22},FALSE)),0)+IFERROR(ROUND(VLOOKUP($A187,S275_21,20,FALSE)*VLOOKUP($A187,'3121% SY'!$C$3:$M$324,11,FALSE),3),0)+IFERROR(ROUND(VLOOKUP($A187,S275_21,21,FALSE)*VLOOKUP($A187,'3121% SY'!$C$3:$M$324,11,FALSE),3),0)+IFERROR(ROUND(VLOOKUP($A187,S275_21,22,FALSE)*VLOOKUP($A187,'3121% SY'!$C$3:$M$324,11,FALSE),3),0)+IFERROR(VLOOKUP($A187,S275_09,8,FALSE),0)</f>
        <v>0.06</v>
      </c>
      <c r="V187" s="267">
        <f>IFERROR(VLOOKUP($A187,Supp_44,14,FALSE),0)+IFERROR(SUMPRODUCT(VLOOKUP($A187,S275_01,{23,24,25},FALSE)),0)+IFERROR(SUMPRODUCT(VLOOKUP($A187,S275_97,{23,24,25},FALSE)),0)+IFERROR(ROUND(VLOOKUP($A187,S275_21,23,FALSE)*VLOOKUP($A187,'3121% SY'!$C$3:$M$324,11,FALSE),3),0)+IFERROR(ROUND(VLOOKUP($A187,S275_21,24,FALSE)*VLOOKUP($A187,'3121% SY'!$C$3:$M$324,11,FALSE),3),0)+IFERROR(ROUND(VLOOKUP($A187,S275_21,25,FALSE)*VLOOKUP($A187,'3121% SY'!$C$3:$M$324,11,FALSE),3),0)+IFERROR(VLOOKUP($A187,S275_09,9,FALSE),0)</f>
        <v>0</v>
      </c>
      <c r="W187" s="267">
        <f>IFERROR(VLOOKUP($A187,Supp_45,14,FALSE),0)+IFERROR(SUMPRODUCT(VLOOKUP($A187,S275_01,{26,27,28},FALSE)),0)+IFERROR(SUMPRODUCT(VLOOKUP($A187,S275_97,{26,27,28},FALSE)),0)+IFERROR(ROUND(VLOOKUP($A187,S275_21,26,FALSE)*VLOOKUP($A187,'3121% SY'!$C$3:$M$324,11,FALSE),3),0)+IFERROR(ROUND(VLOOKUP($A187,S275_21,27,FALSE)*VLOOKUP($A187,'3121% SY'!$C$3:$M$324,11,FALSE),3),0)+IFERROR(ROUND(VLOOKUP($A187,S275_21,28,FALSE)*VLOOKUP($A187,'3121% SY'!$C$3:$M$324,11,FALSE),3),0)+IFERROR(VLOOKUP($A187,S275_09,10,FALSE),0)</f>
        <v>7.9000000000000001E-2</v>
      </c>
      <c r="X187" s="267">
        <f>IFERROR(VLOOKUP($A187,Supp_46,14,FALSE),0)+IFERROR(SUMPRODUCT(VLOOKUP($A187,S275_01,{29,30,31},FALSE)),0)+IFERROR(SUMPRODUCT(VLOOKUP($A187,S275_97,{29,30,31},FALSE)),0)+IFERROR(ROUND(VLOOKUP($A187,S275_21,29,FALSE)*VLOOKUP($A187,'3121% SY'!$C$3:$M$324,11,FALSE),3),0)+IFERROR(ROUND(VLOOKUP($A187,S275_21,30,FALSE)*VLOOKUP($A187,'3121% SY'!$C$3:$M$324,11,FALSE),3),0)+IFERROR(ROUND(VLOOKUP($A187,S275_21,31,FALSE)*VLOOKUP($A187,'3121% SY'!$C$3:$M$324,11,FALSE),3),0)+IFERROR(VLOOKUP($A187,S275_09,11,FALSE),0)</f>
        <v>7.9000000000000001E-2</v>
      </c>
      <c r="Y187" s="267">
        <f>IFERROR(VLOOKUP($A187,Supp_47,14,FALSE),0)+IFERROR(SUMPRODUCT(VLOOKUP($A187,S275_01,{32,33,34},FALSE)),0)+IFERROR(SUMPRODUCT(VLOOKUP($A187,S275_97,{32,33,34},FALSE)),0)+IFERROR(ROUND(VLOOKUP($A187,S275_21,32,FALSE)*VLOOKUP($A187,'3121% SY'!$C$3:$M$324,11,FALSE),3),0)+IFERROR(ROUND(VLOOKUP($A187,S275_21,33,FALSE)*VLOOKUP($A187,'3121% SY'!$C$3:$M$324,11,FALSE),3),0)+IFERROR(ROUND(VLOOKUP($A187,S275_21,34,FALSE)*VLOOKUP($A187,'3121% SY'!$C$3:$M$324,11,FALSE),3),0)+IFERROR(VLOOKUP($A187,S275_09,12,FALSE),0)</f>
        <v>2.4E-2</v>
      </c>
      <c r="Z187" s="267">
        <f>IFERROR(VLOOKUP($A187,Supp_48,14,FALSE),0)+IFERROR(SUMPRODUCT(VLOOKUP($A187,S275_01,{35,36,37},FALSE)),0)+IFERROR(SUMPRODUCT(VLOOKUP($A187,S275_97,{35,36,37},FALSE)),0)+IFERROR(ROUND(VLOOKUP($A187,S275_21,35,FALSE)*VLOOKUP($A187,'3121% SY'!$C$3:$M$324,11,FALSE),3),0)+IFERROR(ROUND(VLOOKUP($A187,S275_21,36,FALSE)*VLOOKUP($A187,'3121% SY'!$C$3:$M$324,11,FALSE),3),0)+IFERROR(ROUND(VLOOKUP($A187,S275_21,37,FALSE)*VLOOKUP($A187,'3121% SY'!$C$3:$M$324,11,FALSE),3),0)+IFERROR(VLOOKUP($A187,S275_09,13,FALSE),0)</f>
        <v>3.7999999999999999E-2</v>
      </c>
      <c r="AA187" s="267">
        <f>IFERROR(VLOOKUP($A187,Supp_49,14,FALSE),0)+IFERROR(SUMPRODUCT(VLOOKUP($A187,S275_01,{38,39,40},FALSE)),0)+IFERROR(SUMPRODUCT(VLOOKUP($A187,S275_97,{38,39,40},FALSE)),0)+IFERROR(ROUND(VLOOKUP($A187,S275_21,38,FALSE)*VLOOKUP($A187,'3121% SY'!$C$3:$M$324,11,FALSE),3),0)+IFERROR(ROUND(VLOOKUP($A187,S275_21,39,FALSE)*VLOOKUP($A187,'3121% SY'!$C$3:$M$324,11,FALSE),3),0)+IFERROR(ROUND(VLOOKUP($A187,S275_21,40,FALSE)*VLOOKUP($A187,'3121% SY'!$C$3:$M$324,11,FALSE),3),0)+IFERROR(VLOOKUP($A187,S275_09,14,FALSE),0)</f>
        <v>0</v>
      </c>
      <c r="AB187" s="267">
        <f>IFERROR(VLOOKUP($A187,Supp_64,14,FALSE),0)+IFERROR(SUMPRODUCT(VLOOKUP($A187,S275_01,{41,42,43},FALSE)),0)+IFERROR(SUMPRODUCT(VLOOKUP($A187,S275_97,{41,42,43},FALSE)),0)+IFERROR(ROUND(VLOOKUP($A187,S275_21,41,FALSE)*VLOOKUP($A187,'3121% SY'!$C$3:$M$324,11,FALSE),3),0)+IFERROR(ROUND(VLOOKUP($A187,S275_21,42,FALSE)*VLOOKUP($A187,'3121% SY'!$C$3:$M$324,11,FALSE),3),0)+IFERROR(ROUND(VLOOKUP($A187,S275_21,43,FALSE)*VLOOKUP($A187,'3121% SY'!$C$3:$M$324,11,FALSE),3),0)+IFERROR(VLOOKUP($A187,S275_09,15,FALSE),0)</f>
        <v>0</v>
      </c>
      <c r="AC187" s="268">
        <f t="shared" si="37"/>
        <v>0.87999999999999989</v>
      </c>
      <c r="AD187" s="267">
        <f>IFERROR(VLOOKUP($A187,Supp_24,14,FALSE),0)+IFERROR(SUMPRODUCT(VLOOKUP($A187,S275_01,{2,3,4},FALSE)),0)+IFERROR(SUMPRODUCT(VLOOKUP($A187,S275_97,{2,3,4},FALSE)),0)+IFERROR(ROUND(VLOOKUP($A187,S275_21,2,FALSE)*VLOOKUP($A187,'3121% SY'!$C$3:$M$324,11,FALSE),3),0)+IFERROR(ROUND(VLOOKUP($A187,S275_21,3,FALSE)*VLOOKUP($A187,'3121% SY'!$C$3:$M$324,11,FALSE),3),0)+IFERROR(ROUND(VLOOKUP($A187,S275_21,4,FALSE)*VLOOKUP($A187,'3121% SY'!$C$3:$M$324,11,FALSE),3),0)+IFERROR(VLOOKUP($A187,S275_09,2,FALSE),0)</f>
        <v>0</v>
      </c>
      <c r="AE187" s="267">
        <f>IFERROR(VLOOKUP($A187,Supp_25,14,FALSE),0)+IFERROR(SUMPRODUCT(VLOOKUP($A187,S275_01,{5,6,7},FALSE)),0)+IFERROR(SUMPRODUCT(VLOOKUP($A187,S275_97,{5,6,7},FALSE)),0)+IFERROR(ROUND(VLOOKUP($A187,S275_21,5,FALSE)*VLOOKUP($A187,'3121% SY'!$C$3:$M$324,11,FALSE),3),0)+IFERROR(ROUND(VLOOKUP($A187,S275_21,6,FALSE)*VLOOKUP($A187,'3121% SY'!$C$3:$M$324,11,FALSE),3),0)+IFERROR(ROUND(VLOOKUP($A187,S275_21,7,FALSE)*VLOOKUP($A187,'3121% SY'!$C$3:$M$324,11,FALSE),3),0)+IFERROR(VLOOKUP($A187,S275_09,3,FALSE),0)</f>
        <v>0.82499999999999996</v>
      </c>
      <c r="AF187" s="267">
        <f>IFERROR(VLOOKUP($A187,Supp_26,14,FALSE),0)+IFERROR(SUMPRODUCT(VLOOKUP($A187,S275_01,{8,9,10},FALSE)),0)+IFERROR(SUMPRODUCT(VLOOKUP($A187,S275_97,{8,9,10},FALSE)),0)+IFERROR(ROUND(VLOOKUP($A187,S275_21,8,FALSE)*VLOOKUP($A187,'3121% SY'!$C$3:$M$324,11,FALSE),3),0)+IFERROR(ROUND(VLOOKUP($A187,S275_21,9,FALSE)*VLOOKUP($A187,'3121% SY'!$C$3:$M$324,11,FALSE),3),0)+IFERROR(ROUND(VLOOKUP($A187,S275_21,10,FALSE)*VLOOKUP($A187,'3121% SY'!$C$3:$M$324,11,FALSE),3),0)+IFERROR(VLOOKUP($A187,S275_09,4,FALSE),0)</f>
        <v>0</v>
      </c>
      <c r="AG187" s="267">
        <f>IFERROR(VLOOKUP($A187,Supp_35,14,FALSE),0)+IFERROR(SUMPRODUCT(VLOOKUP($A187,S275_01,{11,12,13},FALSE)),0)+IFERROR(SUMPRODUCT(VLOOKUP($A187,S275_97,{11,12,13},FALSE)),0)+IFERROR(ROUND(VLOOKUP($A187,S275_21,11,FALSE)*VLOOKUP($A187,'3121% SY'!$C$3:$M$324,11,FALSE),3),0)+IFERROR(ROUND(VLOOKUP($A187,S275_21,12,FALSE)*VLOOKUP($A187,'3121% SY'!$C$3:$M$324,11,FALSE),3),0)+IFERROR(ROUND(VLOOKUP($A187,S275_21,13,FALSE)*VLOOKUP($A187,'3121% SY'!$C$3:$M$324,11,FALSE),3),0)+IFERROR(VLOOKUP($A187,S275_09,5,FALSE),0)</f>
        <v>0</v>
      </c>
      <c r="AH187" s="165">
        <f t="shared" si="38"/>
        <v>0.82499999999999996</v>
      </c>
      <c r="AI187" s="161">
        <f>IFERROR(VLOOKUP(A187,'Supp Staff Data'!A:ER,148,FALSE),0)+AB187</f>
        <v>1.6</v>
      </c>
      <c r="AJ187" s="174">
        <v>0</v>
      </c>
      <c r="AK187" s="25">
        <f>VLOOKUP(A187,'Enroll Data as of January 2025'!$A$3:$T$323,20,FALSE)-F187</f>
        <v>0</v>
      </c>
    </row>
    <row r="188" spans="1:37" x14ac:dyDescent="0.25">
      <c r="A188" s="171" t="s">
        <v>212</v>
      </c>
      <c r="B188" t="s">
        <v>507</v>
      </c>
      <c r="C188" s="173" t="s">
        <v>1077</v>
      </c>
      <c r="D188" s="259">
        <f t="shared" si="30"/>
        <v>4.1340000000000003</v>
      </c>
      <c r="E188" s="259">
        <f t="shared" si="31"/>
        <v>4.2270000000000003</v>
      </c>
      <c r="F188" s="262">
        <f t="shared" si="39"/>
        <v>9.2999999999999999E-2</v>
      </c>
      <c r="G188" s="161">
        <f>ROUND(IF(F188&lt;0,F188*'2024-25 PSES Compliance'!$G$13,0),3)</f>
        <v>0</v>
      </c>
      <c r="H188" s="161">
        <f>ROUND(IF(F188&lt;0,F188*'2024-25 PSES Compliance'!$G$14,0),3)</f>
        <v>0</v>
      </c>
      <c r="I188" s="174">
        <f t="shared" si="33"/>
        <v>0</v>
      </c>
      <c r="J188" s="174">
        <f t="shared" si="34"/>
        <v>0</v>
      </c>
      <c r="K188" s="161">
        <f>VLOOKUP($A188,'Enroll Data as of January 2025'!$A$3:$M$322,6,FALSE)</f>
        <v>2.4139999999999997</v>
      </c>
      <c r="L188" s="161">
        <f>VLOOKUP($A188,'Enroll Data as of January 2025'!$A$3:$M$322,7,FALSE)</f>
        <v>0.34600000000000003</v>
      </c>
      <c r="M188" s="161">
        <f>VLOOKUP($A188,'Enroll Data as of January 2025'!$A$3:$M$322,8,FALSE)</f>
        <v>0.11700000000000001</v>
      </c>
      <c r="N188" s="161">
        <f>VLOOKUP($A188,'Enroll Data as of January 2025'!$A$3:$M$322,9,FALSE)</f>
        <v>1.038</v>
      </c>
      <c r="O188" s="165">
        <f t="shared" si="35"/>
        <v>3.915</v>
      </c>
      <c r="P188" s="161">
        <f>VLOOKUP($A188,'Enroll Data as of January 2025'!$A$3:$M$322,11,FALSE)</f>
        <v>0.14499999999999999</v>
      </c>
      <c r="Q188" s="161">
        <f>VLOOKUP($A188,'Enroll Data as of January 2025'!$A$3:$M$322,12,FALSE)</f>
        <v>7.3999999999999996E-2</v>
      </c>
      <c r="R188" s="165">
        <f t="shared" si="36"/>
        <v>0.21899999999999997</v>
      </c>
      <c r="S188" s="267">
        <f>IFERROR(VLOOKUP($A188,Supp_39,14,FALSE),0)+IFERROR(SUMPRODUCT(VLOOKUP($A188,S275_01,{14,15,16},FALSE)),0)+IFERROR(SUMPRODUCT(VLOOKUP($A188,S275_97,{14,15,16},FALSE)),0)+IFERROR(ROUND(VLOOKUP($A188,S275_21,14,FALSE)*VLOOKUP($A188,'3121% SY'!$C$3:$M$324,11,FALSE),3),0)+IFERROR(ROUND(VLOOKUP($A188,S275_21,15,FALSE)*VLOOKUP($A188,'3121% SY'!$C$3:$M$324,11,FALSE),3),0)+IFERROR(ROUND(VLOOKUP($A188,S275_21,16,FALSE)*VLOOKUP($A188,'3121% SY'!$C$3:$M$324,11,FALSE),3),0)+IFERROR(VLOOKUP($A188,S275_09,6,FALSE),0)</f>
        <v>2</v>
      </c>
      <c r="T188" s="267">
        <f>IFERROR(VLOOKUP($A188,Supp_42,14,FALSE),0)+IFERROR(SUMPRODUCT(VLOOKUP($A188,S275_01,{17,18,19},FALSE)),0)+IFERROR(SUMPRODUCT(VLOOKUP($A188,S275_97,{17,18,19},FALSE)),0)+IFERROR(ROUND(VLOOKUP($A188,S275_21,17,FALSE)*VLOOKUP($A188,'3121% SY'!$C$3:$M$324,11,FALSE),3),0)+IFERROR(ROUND(VLOOKUP($A188,S275_21,18,FALSE)*VLOOKUP($A188,'3121% SY'!$C$3:$M$324,11,FALSE),3),0)+IFERROR(ROUND(VLOOKUP($A188,S275_21,19,FALSE)*VLOOKUP($A188,'3121% SY'!$C$3:$M$324,11,FALSE),3),0)+IFERROR(VLOOKUP($A188,S275_09,7,FALSE),0)</f>
        <v>0.8</v>
      </c>
      <c r="U188" s="267">
        <f>IFERROR(VLOOKUP($A188,Supp_43,14,FALSE),0)+IFERROR(SUMPRODUCT(VLOOKUP($A188,S275_01,{20,21,22},FALSE)),0)+IFERROR(SUMPRODUCT(VLOOKUP($A188,S275_97,{20,21,22},FALSE)),0)+IFERROR(ROUND(VLOOKUP($A188,S275_21,20,FALSE)*VLOOKUP($A188,'3121% SY'!$C$3:$M$324,11,FALSE),3),0)+IFERROR(ROUND(VLOOKUP($A188,S275_21,21,FALSE)*VLOOKUP($A188,'3121% SY'!$C$3:$M$324,11,FALSE),3),0)+IFERROR(ROUND(VLOOKUP($A188,S275_21,22,FALSE)*VLOOKUP($A188,'3121% SY'!$C$3:$M$324,11,FALSE),3),0)+IFERROR(VLOOKUP($A188,S275_09,8,FALSE),0)</f>
        <v>0</v>
      </c>
      <c r="V188" s="267">
        <f>IFERROR(VLOOKUP($A188,Supp_44,14,FALSE),0)+IFERROR(SUMPRODUCT(VLOOKUP($A188,S275_01,{23,24,25},FALSE)),0)+IFERROR(SUMPRODUCT(VLOOKUP($A188,S275_97,{23,24,25},FALSE)),0)+IFERROR(ROUND(VLOOKUP($A188,S275_21,23,FALSE)*VLOOKUP($A188,'3121% SY'!$C$3:$M$324,11,FALSE),3),0)+IFERROR(ROUND(VLOOKUP($A188,S275_21,24,FALSE)*VLOOKUP($A188,'3121% SY'!$C$3:$M$324,11,FALSE),3),0)+IFERROR(ROUND(VLOOKUP($A188,S275_21,25,FALSE)*VLOOKUP($A188,'3121% SY'!$C$3:$M$324,11,FALSE),3),0)+IFERROR(VLOOKUP($A188,S275_09,9,FALSE),0)</f>
        <v>0</v>
      </c>
      <c r="W188" s="267">
        <f>IFERROR(VLOOKUP($A188,Supp_45,14,FALSE),0)+IFERROR(SUMPRODUCT(VLOOKUP($A188,S275_01,{26,27,28},FALSE)),0)+IFERROR(SUMPRODUCT(VLOOKUP($A188,S275_97,{26,27,28},FALSE)),0)+IFERROR(ROUND(VLOOKUP($A188,S275_21,26,FALSE)*VLOOKUP($A188,'3121% SY'!$C$3:$M$324,11,FALSE),3),0)+IFERROR(ROUND(VLOOKUP($A188,S275_21,27,FALSE)*VLOOKUP($A188,'3121% SY'!$C$3:$M$324,11,FALSE),3),0)+IFERROR(ROUND(VLOOKUP($A188,S275_21,28,FALSE)*VLOOKUP($A188,'3121% SY'!$C$3:$M$324,11,FALSE),3),0)+IFERROR(VLOOKUP($A188,S275_09,10,FALSE),0)</f>
        <v>0</v>
      </c>
      <c r="X188" s="267">
        <f>IFERROR(VLOOKUP($A188,Supp_46,14,FALSE),0)+IFERROR(SUMPRODUCT(VLOOKUP($A188,S275_01,{29,30,31},FALSE)),0)+IFERROR(SUMPRODUCT(VLOOKUP($A188,S275_97,{29,30,31},FALSE)),0)+IFERROR(ROUND(VLOOKUP($A188,S275_21,29,FALSE)*VLOOKUP($A188,'3121% SY'!$C$3:$M$324,11,FALSE),3),0)+IFERROR(ROUND(VLOOKUP($A188,S275_21,30,FALSE)*VLOOKUP($A188,'3121% SY'!$C$3:$M$324,11,FALSE),3),0)+IFERROR(ROUND(VLOOKUP($A188,S275_21,31,FALSE)*VLOOKUP($A188,'3121% SY'!$C$3:$M$324,11,FALSE),3),0)+IFERROR(VLOOKUP($A188,S275_09,11,FALSE),0)</f>
        <v>0</v>
      </c>
      <c r="Y188" s="267">
        <f>IFERROR(VLOOKUP($A188,Supp_47,14,FALSE),0)+IFERROR(SUMPRODUCT(VLOOKUP($A188,S275_01,{32,33,34},FALSE)),0)+IFERROR(SUMPRODUCT(VLOOKUP($A188,S275_97,{32,33,34},FALSE)),0)+IFERROR(ROUND(VLOOKUP($A188,S275_21,32,FALSE)*VLOOKUP($A188,'3121% SY'!$C$3:$M$324,11,FALSE),3),0)+IFERROR(ROUND(VLOOKUP($A188,S275_21,33,FALSE)*VLOOKUP($A188,'3121% SY'!$C$3:$M$324,11,FALSE),3),0)+IFERROR(ROUND(VLOOKUP($A188,S275_21,34,FALSE)*VLOOKUP($A188,'3121% SY'!$C$3:$M$324,11,FALSE),3),0)+IFERROR(VLOOKUP($A188,S275_09,12,FALSE),0)</f>
        <v>0</v>
      </c>
      <c r="Z188" s="267">
        <f>IFERROR(VLOOKUP($A188,Supp_48,14,FALSE),0)+IFERROR(SUMPRODUCT(VLOOKUP($A188,S275_01,{35,36,37},FALSE)),0)+IFERROR(SUMPRODUCT(VLOOKUP($A188,S275_97,{35,36,37},FALSE)),0)+IFERROR(ROUND(VLOOKUP($A188,S275_21,35,FALSE)*VLOOKUP($A188,'3121% SY'!$C$3:$M$324,11,FALSE),3),0)+IFERROR(ROUND(VLOOKUP($A188,S275_21,36,FALSE)*VLOOKUP($A188,'3121% SY'!$C$3:$M$324,11,FALSE),3),0)+IFERROR(ROUND(VLOOKUP($A188,S275_21,37,FALSE)*VLOOKUP($A188,'3121% SY'!$C$3:$M$324,11,FALSE),3),0)+IFERROR(VLOOKUP($A188,S275_09,13,FALSE),0)</f>
        <v>0</v>
      </c>
      <c r="AA188" s="267">
        <f>IFERROR(VLOOKUP($A188,Supp_49,14,FALSE),0)+IFERROR(SUMPRODUCT(VLOOKUP($A188,S275_01,{38,39,40},FALSE)),0)+IFERROR(SUMPRODUCT(VLOOKUP($A188,S275_97,{38,39,40},FALSE)),0)+IFERROR(ROUND(VLOOKUP($A188,S275_21,38,FALSE)*VLOOKUP($A188,'3121% SY'!$C$3:$M$324,11,FALSE),3),0)+IFERROR(ROUND(VLOOKUP($A188,S275_21,39,FALSE)*VLOOKUP($A188,'3121% SY'!$C$3:$M$324,11,FALSE),3),0)+IFERROR(ROUND(VLOOKUP($A188,S275_21,40,FALSE)*VLOOKUP($A188,'3121% SY'!$C$3:$M$324,11,FALSE),3),0)+IFERROR(VLOOKUP($A188,S275_09,14,FALSE),0)</f>
        <v>0</v>
      </c>
      <c r="AB188" s="267">
        <f>IFERROR(VLOOKUP($A188,Supp_64,14,FALSE),0)+IFERROR(SUMPRODUCT(VLOOKUP($A188,S275_01,{41,42,43},FALSE)),0)+IFERROR(SUMPRODUCT(VLOOKUP($A188,S275_97,{41,42,43},FALSE)),0)+IFERROR(ROUND(VLOOKUP($A188,S275_21,41,FALSE)*VLOOKUP($A188,'3121% SY'!$C$3:$M$324,11,FALSE),3),0)+IFERROR(ROUND(VLOOKUP($A188,S275_21,42,FALSE)*VLOOKUP($A188,'3121% SY'!$C$3:$M$324,11,FALSE),3),0)+IFERROR(ROUND(VLOOKUP($A188,S275_21,43,FALSE)*VLOOKUP($A188,'3121% SY'!$C$3:$M$324,11,FALSE),3),0)+IFERROR(VLOOKUP($A188,S275_09,15,FALSE),0)</f>
        <v>0</v>
      </c>
      <c r="AC188" s="268">
        <f t="shared" si="37"/>
        <v>2.8</v>
      </c>
      <c r="AD188" s="267">
        <f>IFERROR(VLOOKUP($A188,Supp_24,14,FALSE),0)+IFERROR(SUMPRODUCT(VLOOKUP($A188,S275_01,{2,3,4},FALSE)),0)+IFERROR(SUMPRODUCT(VLOOKUP($A188,S275_97,{2,3,4},FALSE)),0)+IFERROR(ROUND(VLOOKUP($A188,S275_21,2,FALSE)*VLOOKUP($A188,'3121% SY'!$C$3:$M$324,11,FALSE),3),0)+IFERROR(ROUND(VLOOKUP($A188,S275_21,3,FALSE)*VLOOKUP($A188,'3121% SY'!$C$3:$M$324,11,FALSE),3),0)+IFERROR(ROUND(VLOOKUP($A188,S275_21,4,FALSE)*VLOOKUP($A188,'3121% SY'!$C$3:$M$324,11,FALSE),3),0)+IFERROR(VLOOKUP($A188,S275_09,2,FALSE),0)</f>
        <v>0</v>
      </c>
      <c r="AE188" s="267">
        <f>IFERROR(VLOOKUP($A188,Supp_25,14,FALSE),0)+IFERROR(SUMPRODUCT(VLOOKUP($A188,S275_01,{5,6,7},FALSE)),0)+IFERROR(SUMPRODUCT(VLOOKUP($A188,S275_97,{5,6,7},FALSE)),0)+IFERROR(ROUND(VLOOKUP($A188,S275_21,5,FALSE)*VLOOKUP($A188,'3121% SY'!$C$3:$M$324,11,FALSE),3),0)+IFERROR(ROUND(VLOOKUP($A188,S275_21,6,FALSE)*VLOOKUP($A188,'3121% SY'!$C$3:$M$324,11,FALSE),3),0)+IFERROR(ROUND(VLOOKUP($A188,S275_21,7,FALSE)*VLOOKUP($A188,'3121% SY'!$C$3:$M$324,11,FALSE),3),0)+IFERROR(VLOOKUP($A188,S275_09,3,FALSE),0)</f>
        <v>0.88200000000000001</v>
      </c>
      <c r="AF188" s="267">
        <f>IFERROR(VLOOKUP($A188,Supp_26,14,FALSE),0)+IFERROR(SUMPRODUCT(VLOOKUP($A188,S275_01,{8,9,10},FALSE)),0)+IFERROR(SUMPRODUCT(VLOOKUP($A188,S275_97,{8,9,10},FALSE)),0)+IFERROR(ROUND(VLOOKUP($A188,S275_21,8,FALSE)*VLOOKUP($A188,'3121% SY'!$C$3:$M$324,11,FALSE),3),0)+IFERROR(ROUND(VLOOKUP($A188,S275_21,9,FALSE)*VLOOKUP($A188,'3121% SY'!$C$3:$M$324,11,FALSE),3),0)+IFERROR(ROUND(VLOOKUP($A188,S275_21,10,FALSE)*VLOOKUP($A188,'3121% SY'!$C$3:$M$324,11,FALSE),3),0)+IFERROR(VLOOKUP($A188,S275_09,4,FALSE),0)</f>
        <v>0</v>
      </c>
      <c r="AG188" s="267">
        <f>IFERROR(VLOOKUP($A188,Supp_35,14,FALSE),0)+IFERROR(SUMPRODUCT(VLOOKUP($A188,S275_01,{11,12,13},FALSE)),0)+IFERROR(SUMPRODUCT(VLOOKUP($A188,S275_97,{11,12,13},FALSE)),0)+IFERROR(ROUND(VLOOKUP($A188,S275_21,11,FALSE)*VLOOKUP($A188,'3121% SY'!$C$3:$M$324,11,FALSE),3),0)+IFERROR(ROUND(VLOOKUP($A188,S275_21,12,FALSE)*VLOOKUP($A188,'3121% SY'!$C$3:$M$324,11,FALSE),3),0)+IFERROR(ROUND(VLOOKUP($A188,S275_21,13,FALSE)*VLOOKUP($A188,'3121% SY'!$C$3:$M$324,11,FALSE),3),0)+IFERROR(VLOOKUP($A188,S275_09,5,FALSE),0)</f>
        <v>0.54500000000000004</v>
      </c>
      <c r="AH188" s="165">
        <f t="shared" si="38"/>
        <v>1.427</v>
      </c>
      <c r="AI188" s="161">
        <f>IFERROR(VLOOKUP(A188,'Supp Staff Data'!A:ER,148,FALSE),0)+AB188</f>
        <v>0</v>
      </c>
      <c r="AJ188" s="174">
        <v>0</v>
      </c>
      <c r="AK188" s="25">
        <f>VLOOKUP(A188,'Enroll Data as of January 2025'!$A$3:$T$323,20,FALSE)-F188</f>
        <v>0</v>
      </c>
    </row>
    <row r="189" spans="1:37" x14ac:dyDescent="0.25">
      <c r="A189" s="171" t="s">
        <v>244</v>
      </c>
      <c r="B189" t="s">
        <v>540</v>
      </c>
      <c r="C189" s="173" t="s">
        <v>1077</v>
      </c>
      <c r="D189" s="259">
        <f t="shared" si="30"/>
        <v>8.8439999999999994</v>
      </c>
      <c r="E189" s="259">
        <f t="shared" si="31"/>
        <v>8.98</v>
      </c>
      <c r="F189" s="262">
        <f t="shared" si="39"/>
        <v>0.13600000000000001</v>
      </c>
      <c r="G189" s="161">
        <f>ROUND(IF(F189&lt;0,F189*'2024-25 PSES Compliance'!$G$13,0),3)</f>
        <v>0</v>
      </c>
      <c r="H189" s="161">
        <f>ROUND(IF(F189&lt;0,F189*'2024-25 PSES Compliance'!$G$14,0),3)</f>
        <v>0</v>
      </c>
      <c r="I189" s="174">
        <f t="shared" si="33"/>
        <v>0.85122494432071272</v>
      </c>
      <c r="J189" s="174">
        <f t="shared" si="34"/>
        <v>0</v>
      </c>
      <c r="K189" s="161">
        <f>VLOOKUP($A189,'Enroll Data as of January 2025'!$A$3:$M$322,6,FALSE)</f>
        <v>4.976</v>
      </c>
      <c r="L189" s="161">
        <f>VLOOKUP($A189,'Enroll Data as of January 2025'!$A$3:$M$322,7,FALSE)</f>
        <v>0.81699999999999995</v>
      </c>
      <c r="M189" s="161">
        <f>VLOOKUP($A189,'Enroll Data as of January 2025'!$A$3:$M$322,8,FALSE)</f>
        <v>0.27400000000000002</v>
      </c>
      <c r="N189" s="161">
        <f>VLOOKUP($A189,'Enroll Data as of January 2025'!$A$3:$M$322,9,FALSE)</f>
        <v>2.282</v>
      </c>
      <c r="O189" s="165">
        <f t="shared" si="35"/>
        <v>8.3490000000000002</v>
      </c>
      <c r="P189" s="161">
        <f>VLOOKUP($A189,'Enroll Data as of January 2025'!$A$3:$M$322,11,FALSE)</f>
        <v>0.311</v>
      </c>
      <c r="Q189" s="161">
        <f>VLOOKUP($A189,'Enroll Data as of January 2025'!$A$3:$M$322,12,FALSE)</f>
        <v>0.184</v>
      </c>
      <c r="R189" s="165">
        <f t="shared" si="36"/>
        <v>0.495</v>
      </c>
      <c r="S189" s="267">
        <f>IFERROR(VLOOKUP($A189,Supp_39,14,FALSE),0)+IFERROR(SUMPRODUCT(VLOOKUP($A189,S275_01,{14,15,16},FALSE)),0)+IFERROR(SUMPRODUCT(VLOOKUP($A189,S275_97,{14,15,16},FALSE)),0)+IFERROR(ROUND(VLOOKUP($A189,S275_21,14,FALSE)*VLOOKUP($A189,'3121% SY'!$C$3:$M$324,11,FALSE),3),0)+IFERROR(ROUND(VLOOKUP($A189,S275_21,15,FALSE)*VLOOKUP($A189,'3121% SY'!$C$3:$M$324,11,FALSE),3),0)+IFERROR(ROUND(VLOOKUP($A189,S275_21,16,FALSE)*VLOOKUP($A189,'3121% SY'!$C$3:$M$324,11,FALSE),3),0)+IFERROR(VLOOKUP($A189,S275_09,6,FALSE),0)</f>
        <v>4.33</v>
      </c>
      <c r="T189" s="267">
        <f>IFERROR(VLOOKUP($A189,Supp_42,14,FALSE),0)+IFERROR(SUMPRODUCT(VLOOKUP($A189,S275_01,{17,18,19},FALSE)),0)+IFERROR(SUMPRODUCT(VLOOKUP($A189,S275_97,{17,18,19},FALSE)),0)+IFERROR(ROUND(VLOOKUP($A189,S275_21,17,FALSE)*VLOOKUP($A189,'3121% SY'!$C$3:$M$324,11,FALSE),3),0)+IFERROR(ROUND(VLOOKUP($A189,S275_21,18,FALSE)*VLOOKUP($A189,'3121% SY'!$C$3:$M$324,11,FALSE),3),0)+IFERROR(ROUND(VLOOKUP($A189,S275_21,19,FALSE)*VLOOKUP($A189,'3121% SY'!$C$3:$M$324,11,FALSE),3),0)+IFERROR(VLOOKUP($A189,S275_09,7,FALSE),0)</f>
        <v>0.67</v>
      </c>
      <c r="U189" s="267">
        <f>IFERROR(VLOOKUP($A189,Supp_43,14,FALSE),0)+IFERROR(SUMPRODUCT(VLOOKUP($A189,S275_01,{20,21,22},FALSE)),0)+IFERROR(SUMPRODUCT(VLOOKUP($A189,S275_97,{20,21,22},FALSE)),0)+IFERROR(ROUND(VLOOKUP($A189,S275_21,20,FALSE)*VLOOKUP($A189,'3121% SY'!$C$3:$M$324,11,FALSE),3),0)+IFERROR(ROUND(VLOOKUP($A189,S275_21,21,FALSE)*VLOOKUP($A189,'3121% SY'!$C$3:$M$324,11,FALSE),3),0)+IFERROR(ROUND(VLOOKUP($A189,S275_21,22,FALSE)*VLOOKUP($A189,'3121% SY'!$C$3:$M$324,11,FALSE),3),0)+IFERROR(VLOOKUP($A189,S275_09,8,FALSE),0)</f>
        <v>0</v>
      </c>
      <c r="V189" s="267">
        <f>IFERROR(VLOOKUP($A189,Supp_44,14,FALSE),0)+IFERROR(SUMPRODUCT(VLOOKUP($A189,S275_01,{23,24,25},FALSE)),0)+IFERROR(SUMPRODUCT(VLOOKUP($A189,S275_97,{23,24,25},FALSE)),0)+IFERROR(ROUND(VLOOKUP($A189,S275_21,23,FALSE)*VLOOKUP($A189,'3121% SY'!$C$3:$M$324,11,FALSE),3),0)+IFERROR(ROUND(VLOOKUP($A189,S275_21,24,FALSE)*VLOOKUP($A189,'3121% SY'!$C$3:$M$324,11,FALSE),3),0)+IFERROR(ROUND(VLOOKUP($A189,S275_21,25,FALSE)*VLOOKUP($A189,'3121% SY'!$C$3:$M$324,11,FALSE),3),0)+IFERROR(VLOOKUP($A189,S275_09,9,FALSE),0)</f>
        <v>0</v>
      </c>
      <c r="W189" s="267">
        <f>IFERROR(VLOOKUP($A189,Supp_45,14,FALSE),0)+IFERROR(SUMPRODUCT(VLOOKUP($A189,S275_01,{26,27,28},FALSE)),0)+IFERROR(SUMPRODUCT(VLOOKUP($A189,S275_97,{26,27,28},FALSE)),0)+IFERROR(ROUND(VLOOKUP($A189,S275_21,26,FALSE)*VLOOKUP($A189,'3121% SY'!$C$3:$M$324,11,FALSE),3),0)+IFERROR(ROUND(VLOOKUP($A189,S275_21,27,FALSE)*VLOOKUP($A189,'3121% SY'!$C$3:$M$324,11,FALSE),3),0)+IFERROR(ROUND(VLOOKUP($A189,S275_21,28,FALSE)*VLOOKUP($A189,'3121% SY'!$C$3:$M$324,11,FALSE),3),0)+IFERROR(VLOOKUP($A189,S275_09,10,FALSE),0)</f>
        <v>0.44</v>
      </c>
      <c r="X189" s="267">
        <f>IFERROR(VLOOKUP($A189,Supp_46,14,FALSE),0)+IFERROR(SUMPRODUCT(VLOOKUP($A189,S275_01,{29,30,31},FALSE)),0)+IFERROR(SUMPRODUCT(VLOOKUP($A189,S275_97,{29,30,31},FALSE)),0)+IFERROR(ROUND(VLOOKUP($A189,S275_21,29,FALSE)*VLOOKUP($A189,'3121% SY'!$C$3:$M$324,11,FALSE),3),0)+IFERROR(ROUND(VLOOKUP($A189,S275_21,30,FALSE)*VLOOKUP($A189,'3121% SY'!$C$3:$M$324,11,FALSE),3),0)+IFERROR(ROUND(VLOOKUP($A189,S275_21,31,FALSE)*VLOOKUP($A189,'3121% SY'!$C$3:$M$324,11,FALSE),3),0)+IFERROR(VLOOKUP($A189,S275_09,11,FALSE),0)</f>
        <v>2</v>
      </c>
      <c r="Y189" s="267">
        <f>IFERROR(VLOOKUP($A189,Supp_47,14,FALSE),0)+IFERROR(SUMPRODUCT(VLOOKUP($A189,S275_01,{32,33,34},FALSE)),0)+IFERROR(SUMPRODUCT(VLOOKUP($A189,S275_97,{32,33,34},FALSE)),0)+IFERROR(ROUND(VLOOKUP($A189,S275_21,32,FALSE)*VLOOKUP($A189,'3121% SY'!$C$3:$M$324,11,FALSE),3),0)+IFERROR(ROUND(VLOOKUP($A189,S275_21,33,FALSE)*VLOOKUP($A189,'3121% SY'!$C$3:$M$324,11,FALSE),3),0)+IFERROR(ROUND(VLOOKUP($A189,S275_21,34,FALSE)*VLOOKUP($A189,'3121% SY'!$C$3:$M$324,11,FALSE),3),0)+IFERROR(VLOOKUP($A189,S275_09,12,FALSE),0)</f>
        <v>0</v>
      </c>
      <c r="Z189" s="267">
        <f>IFERROR(VLOOKUP($A189,Supp_48,14,FALSE),0)+IFERROR(SUMPRODUCT(VLOOKUP($A189,S275_01,{35,36,37},FALSE)),0)+IFERROR(SUMPRODUCT(VLOOKUP($A189,S275_97,{35,36,37},FALSE)),0)+IFERROR(ROUND(VLOOKUP($A189,S275_21,35,FALSE)*VLOOKUP($A189,'3121% SY'!$C$3:$M$324,11,FALSE),3),0)+IFERROR(ROUND(VLOOKUP($A189,S275_21,36,FALSE)*VLOOKUP($A189,'3121% SY'!$C$3:$M$324,11,FALSE),3),0)+IFERROR(ROUND(VLOOKUP($A189,S275_21,37,FALSE)*VLOOKUP($A189,'3121% SY'!$C$3:$M$324,11,FALSE),3),0)+IFERROR(VLOOKUP($A189,S275_09,13,FALSE),0)</f>
        <v>0.20399999999999999</v>
      </c>
      <c r="AA189" s="267">
        <f>IFERROR(VLOOKUP($A189,Supp_49,14,FALSE),0)+IFERROR(SUMPRODUCT(VLOOKUP($A189,S275_01,{38,39,40},FALSE)),0)+IFERROR(SUMPRODUCT(VLOOKUP($A189,S275_97,{38,39,40},FALSE)),0)+IFERROR(ROUND(VLOOKUP($A189,S275_21,38,FALSE)*VLOOKUP($A189,'3121% SY'!$C$3:$M$324,11,FALSE),3),0)+IFERROR(ROUND(VLOOKUP($A189,S275_21,39,FALSE)*VLOOKUP($A189,'3121% SY'!$C$3:$M$324,11,FALSE),3),0)+IFERROR(ROUND(VLOOKUP($A189,S275_21,40,FALSE)*VLOOKUP($A189,'3121% SY'!$C$3:$M$324,11,FALSE),3),0)+IFERROR(VLOOKUP($A189,S275_09,14,FALSE),0)</f>
        <v>0</v>
      </c>
      <c r="AB189" s="267">
        <f>IFERROR(VLOOKUP($A189,Supp_64,14,FALSE),0)+IFERROR(SUMPRODUCT(VLOOKUP($A189,S275_01,{41,42,43},FALSE)),0)+IFERROR(SUMPRODUCT(VLOOKUP($A189,S275_97,{41,42,43},FALSE)),0)+IFERROR(ROUND(VLOOKUP($A189,S275_21,41,FALSE)*VLOOKUP($A189,'3121% SY'!$C$3:$M$324,11,FALSE),3),0)+IFERROR(ROUND(VLOOKUP($A189,S275_21,42,FALSE)*VLOOKUP($A189,'3121% SY'!$C$3:$M$324,11,FALSE),3),0)+IFERROR(ROUND(VLOOKUP($A189,S275_21,43,FALSE)*VLOOKUP($A189,'3121% SY'!$C$3:$M$324,11,FALSE),3),0)+IFERROR(VLOOKUP($A189,S275_09,15,FALSE),0)</f>
        <v>0</v>
      </c>
      <c r="AC189" s="268">
        <f t="shared" si="37"/>
        <v>7.6440000000000001</v>
      </c>
      <c r="AD189" s="267">
        <f>IFERROR(VLOOKUP($A189,Supp_24,14,FALSE),0)+IFERROR(SUMPRODUCT(VLOOKUP($A189,S275_01,{2,3,4},FALSE)),0)+IFERROR(SUMPRODUCT(VLOOKUP($A189,S275_97,{2,3,4},FALSE)),0)+IFERROR(ROUND(VLOOKUP($A189,S275_21,2,FALSE)*VLOOKUP($A189,'3121% SY'!$C$3:$M$324,11,FALSE),3),0)+IFERROR(ROUND(VLOOKUP($A189,S275_21,3,FALSE)*VLOOKUP($A189,'3121% SY'!$C$3:$M$324,11,FALSE),3),0)+IFERROR(ROUND(VLOOKUP($A189,S275_21,4,FALSE)*VLOOKUP($A189,'3121% SY'!$C$3:$M$324,11,FALSE),3),0)+IFERROR(VLOOKUP($A189,S275_09,2,FALSE),0)</f>
        <v>0</v>
      </c>
      <c r="AE189" s="267">
        <f>IFERROR(VLOOKUP($A189,Supp_25,14,FALSE),0)+IFERROR(SUMPRODUCT(VLOOKUP($A189,S275_01,{5,6,7},FALSE)),0)+IFERROR(SUMPRODUCT(VLOOKUP($A189,S275_97,{5,6,7},FALSE)),0)+IFERROR(ROUND(VLOOKUP($A189,S275_21,5,FALSE)*VLOOKUP($A189,'3121% SY'!$C$3:$M$324,11,FALSE),3),0)+IFERROR(ROUND(VLOOKUP($A189,S275_21,6,FALSE)*VLOOKUP($A189,'3121% SY'!$C$3:$M$324,11,FALSE),3),0)+IFERROR(ROUND(VLOOKUP($A189,S275_21,7,FALSE)*VLOOKUP($A189,'3121% SY'!$C$3:$M$324,11,FALSE),3),0)+IFERROR(VLOOKUP($A189,S275_09,3,FALSE),0)</f>
        <v>0</v>
      </c>
      <c r="AF189" s="267">
        <f>IFERROR(VLOOKUP($A189,Supp_26,14,FALSE),0)+IFERROR(SUMPRODUCT(VLOOKUP($A189,S275_01,{8,9,10},FALSE)),0)+IFERROR(SUMPRODUCT(VLOOKUP($A189,S275_97,{8,9,10},FALSE)),0)+IFERROR(ROUND(VLOOKUP($A189,S275_21,8,FALSE)*VLOOKUP($A189,'3121% SY'!$C$3:$M$324,11,FALSE),3),0)+IFERROR(ROUND(VLOOKUP($A189,S275_21,9,FALSE)*VLOOKUP($A189,'3121% SY'!$C$3:$M$324,11,FALSE),3),0)+IFERROR(ROUND(VLOOKUP($A189,S275_21,10,FALSE)*VLOOKUP($A189,'3121% SY'!$C$3:$M$324,11,FALSE),3),0)+IFERROR(VLOOKUP($A189,S275_09,4,FALSE),0)</f>
        <v>0.83599999999999997</v>
      </c>
      <c r="AG189" s="267">
        <f>IFERROR(VLOOKUP($A189,Supp_35,14,FALSE),0)+IFERROR(SUMPRODUCT(VLOOKUP($A189,S275_01,{11,12,13},FALSE)),0)+IFERROR(SUMPRODUCT(VLOOKUP($A189,S275_97,{11,12,13},FALSE)),0)+IFERROR(ROUND(VLOOKUP($A189,S275_21,11,FALSE)*VLOOKUP($A189,'3121% SY'!$C$3:$M$324,11,FALSE),3),0)+IFERROR(ROUND(VLOOKUP($A189,S275_21,12,FALSE)*VLOOKUP($A189,'3121% SY'!$C$3:$M$324,11,FALSE),3),0)+IFERROR(ROUND(VLOOKUP($A189,S275_21,13,FALSE)*VLOOKUP($A189,'3121% SY'!$C$3:$M$324,11,FALSE),3),0)+IFERROR(VLOOKUP($A189,S275_09,5,FALSE),0)</f>
        <v>0.5</v>
      </c>
      <c r="AH189" s="165">
        <f t="shared" si="38"/>
        <v>1.3359999999999999</v>
      </c>
      <c r="AI189" s="161">
        <f>IFERROR(VLOOKUP(A189,'Supp Staff Data'!A:ER,148,FALSE),0)+AB189</f>
        <v>0</v>
      </c>
      <c r="AJ189" s="174">
        <v>1</v>
      </c>
      <c r="AK189" s="25">
        <f>VLOOKUP(A189,'Enroll Data as of January 2025'!$A$3:$T$323,20,FALSE)-F189</f>
        <v>0</v>
      </c>
    </row>
    <row r="190" spans="1:37" x14ac:dyDescent="0.25">
      <c r="A190" s="171" t="s">
        <v>290</v>
      </c>
      <c r="B190" t="s">
        <v>586</v>
      </c>
      <c r="C190" s="173" t="s">
        <v>1077</v>
      </c>
      <c r="D190" s="259">
        <f t="shared" si="30"/>
        <v>6.2590000000000003</v>
      </c>
      <c r="E190" s="259">
        <f t="shared" si="31"/>
        <v>7.6159999999999997</v>
      </c>
      <c r="F190" s="262">
        <f t="shared" si="39"/>
        <v>1.357</v>
      </c>
      <c r="G190" s="161">
        <f>ROUND(IF(F190&lt;0,F190*'2024-25 PSES Compliance'!$G$13,0),3)</f>
        <v>0</v>
      </c>
      <c r="H190" s="161">
        <f>ROUND(IF(F190&lt;0,F190*'2024-25 PSES Compliance'!$G$14,0),3)</f>
        <v>0</v>
      </c>
      <c r="I190" s="174">
        <f t="shared" si="33"/>
        <v>0.77967436974789917</v>
      </c>
      <c r="J190" s="174">
        <f t="shared" si="34"/>
        <v>0.1374737394957983</v>
      </c>
      <c r="K190" s="161">
        <f>VLOOKUP($A190,'Enroll Data as of January 2025'!$A$3:$M$322,6,FALSE)</f>
        <v>3.4539999999999997</v>
      </c>
      <c r="L190" s="161">
        <f>VLOOKUP($A190,'Enroll Data as of January 2025'!$A$3:$M$322,7,FALSE)</f>
        <v>0.6140000000000001</v>
      </c>
      <c r="M190" s="161">
        <f>VLOOKUP($A190,'Enroll Data as of January 2025'!$A$3:$M$322,8,FALSE)</f>
        <v>0.20599999999999999</v>
      </c>
      <c r="N190" s="161">
        <f>VLOOKUP($A190,'Enroll Data as of January 2025'!$A$3:$M$322,9,FALSE)</f>
        <v>1.6220000000000001</v>
      </c>
      <c r="O190" s="165">
        <f t="shared" si="35"/>
        <v>5.8959999999999999</v>
      </c>
      <c r="P190" s="161">
        <f>VLOOKUP($A190,'Enroll Data as of January 2025'!$A$3:$M$322,11,FALSE)</f>
        <v>0.221</v>
      </c>
      <c r="Q190" s="161">
        <f>VLOOKUP($A190,'Enroll Data as of January 2025'!$A$3:$M$322,12,FALSE)</f>
        <v>0.14199999999999999</v>
      </c>
      <c r="R190" s="165">
        <f t="shared" si="36"/>
        <v>0.36299999999999999</v>
      </c>
      <c r="S190" s="267">
        <f>IFERROR(VLOOKUP($A190,Supp_39,14,FALSE),0)+IFERROR(SUMPRODUCT(VLOOKUP($A190,S275_01,{14,15,16},FALSE)),0)+IFERROR(SUMPRODUCT(VLOOKUP($A190,S275_97,{14,15,16},FALSE)),0)+IFERROR(ROUND(VLOOKUP($A190,S275_21,14,FALSE)*VLOOKUP($A190,'3121% SY'!$C$3:$M$324,11,FALSE),3),0)+IFERROR(ROUND(VLOOKUP($A190,S275_21,15,FALSE)*VLOOKUP($A190,'3121% SY'!$C$3:$M$324,11,FALSE),3),0)+IFERROR(ROUND(VLOOKUP($A190,S275_21,16,FALSE)*VLOOKUP($A190,'3121% SY'!$C$3:$M$324,11,FALSE),3),0)+IFERROR(VLOOKUP($A190,S275_09,6,FALSE),0)</f>
        <v>2.75</v>
      </c>
      <c r="T190" s="267">
        <f>IFERROR(VLOOKUP($A190,Supp_42,14,FALSE),0)+IFERROR(SUMPRODUCT(VLOOKUP($A190,S275_01,{17,18,19},FALSE)),0)+IFERROR(SUMPRODUCT(VLOOKUP($A190,S275_97,{17,18,19},FALSE)),0)+IFERROR(ROUND(VLOOKUP($A190,S275_21,17,FALSE)*VLOOKUP($A190,'3121% SY'!$C$3:$M$324,11,FALSE),3),0)+IFERROR(ROUND(VLOOKUP($A190,S275_21,18,FALSE)*VLOOKUP($A190,'3121% SY'!$C$3:$M$324,11,FALSE),3),0)+IFERROR(ROUND(VLOOKUP($A190,S275_21,19,FALSE)*VLOOKUP($A190,'3121% SY'!$C$3:$M$324,11,FALSE),3),0)+IFERROR(VLOOKUP($A190,S275_09,7,FALSE),0)</f>
        <v>1.397</v>
      </c>
      <c r="U190" s="267">
        <f>IFERROR(VLOOKUP($A190,Supp_43,14,FALSE),0)+IFERROR(SUMPRODUCT(VLOOKUP($A190,S275_01,{20,21,22},FALSE)),0)+IFERROR(SUMPRODUCT(VLOOKUP($A190,S275_97,{20,21,22},FALSE)),0)+IFERROR(ROUND(VLOOKUP($A190,S275_21,20,FALSE)*VLOOKUP($A190,'3121% SY'!$C$3:$M$324,11,FALSE),3),0)+IFERROR(ROUND(VLOOKUP($A190,S275_21,21,FALSE)*VLOOKUP($A190,'3121% SY'!$C$3:$M$324,11,FALSE),3),0)+IFERROR(ROUND(VLOOKUP($A190,S275_21,22,FALSE)*VLOOKUP($A190,'3121% SY'!$C$3:$M$324,11,FALSE),3),0)+IFERROR(VLOOKUP($A190,S275_09,8,FALSE),0)</f>
        <v>0</v>
      </c>
      <c r="V190" s="267">
        <f>IFERROR(VLOOKUP($A190,Supp_44,14,FALSE),0)+IFERROR(SUMPRODUCT(VLOOKUP($A190,S275_01,{23,24,25},FALSE)),0)+IFERROR(SUMPRODUCT(VLOOKUP($A190,S275_97,{23,24,25},FALSE)),0)+IFERROR(ROUND(VLOOKUP($A190,S275_21,23,FALSE)*VLOOKUP($A190,'3121% SY'!$C$3:$M$324,11,FALSE),3),0)+IFERROR(ROUND(VLOOKUP($A190,S275_21,24,FALSE)*VLOOKUP($A190,'3121% SY'!$C$3:$M$324,11,FALSE),3),0)+IFERROR(ROUND(VLOOKUP($A190,S275_21,25,FALSE)*VLOOKUP($A190,'3121% SY'!$C$3:$M$324,11,FALSE),3),0)+IFERROR(VLOOKUP($A190,S275_09,9,FALSE),0)</f>
        <v>0</v>
      </c>
      <c r="W190" s="267">
        <f>IFERROR(VLOOKUP($A190,Supp_45,14,FALSE),0)+IFERROR(SUMPRODUCT(VLOOKUP($A190,S275_01,{26,27,28},FALSE)),0)+IFERROR(SUMPRODUCT(VLOOKUP($A190,S275_97,{26,27,28},FALSE)),0)+IFERROR(ROUND(VLOOKUP($A190,S275_21,26,FALSE)*VLOOKUP($A190,'3121% SY'!$C$3:$M$324,11,FALSE),3),0)+IFERROR(ROUND(VLOOKUP($A190,S275_21,27,FALSE)*VLOOKUP($A190,'3121% SY'!$C$3:$M$324,11,FALSE),3),0)+IFERROR(ROUND(VLOOKUP($A190,S275_21,28,FALSE)*VLOOKUP($A190,'3121% SY'!$C$3:$M$324,11,FALSE),3),0)+IFERROR(VLOOKUP($A190,S275_09,10,FALSE),0)</f>
        <v>0.317</v>
      </c>
      <c r="X190" s="267">
        <f>IFERROR(VLOOKUP($A190,Supp_46,14,FALSE),0)+IFERROR(SUMPRODUCT(VLOOKUP($A190,S275_01,{29,30,31},FALSE)),0)+IFERROR(SUMPRODUCT(VLOOKUP($A190,S275_97,{29,30,31},FALSE)),0)+IFERROR(ROUND(VLOOKUP($A190,S275_21,29,FALSE)*VLOOKUP($A190,'3121% SY'!$C$3:$M$324,11,FALSE),3),0)+IFERROR(ROUND(VLOOKUP($A190,S275_21,30,FALSE)*VLOOKUP($A190,'3121% SY'!$C$3:$M$324,11,FALSE),3),0)+IFERROR(ROUND(VLOOKUP($A190,S275_21,31,FALSE)*VLOOKUP($A190,'3121% SY'!$C$3:$M$324,11,FALSE),3),0)+IFERROR(VLOOKUP($A190,S275_09,11,FALSE),0)</f>
        <v>1.02</v>
      </c>
      <c r="Y190" s="267">
        <f>IFERROR(VLOOKUP($A190,Supp_47,14,FALSE),0)+IFERROR(SUMPRODUCT(VLOOKUP($A190,S275_01,{32,33,34},FALSE)),0)+IFERROR(SUMPRODUCT(VLOOKUP($A190,S275_97,{32,33,34},FALSE)),0)+IFERROR(ROUND(VLOOKUP($A190,S275_21,32,FALSE)*VLOOKUP($A190,'3121% SY'!$C$3:$M$324,11,FALSE),3),0)+IFERROR(ROUND(VLOOKUP($A190,S275_21,33,FALSE)*VLOOKUP($A190,'3121% SY'!$C$3:$M$324,11,FALSE),3),0)+IFERROR(ROUND(VLOOKUP($A190,S275_21,34,FALSE)*VLOOKUP($A190,'3121% SY'!$C$3:$M$324,11,FALSE),3),0)+IFERROR(VLOOKUP($A190,S275_09,12,FALSE),0)</f>
        <v>0.43</v>
      </c>
      <c r="Z190" s="267">
        <f>IFERROR(VLOOKUP($A190,Supp_48,14,FALSE),0)+IFERROR(SUMPRODUCT(VLOOKUP($A190,S275_01,{35,36,37},FALSE)),0)+IFERROR(SUMPRODUCT(VLOOKUP($A190,S275_97,{35,36,37},FALSE)),0)+IFERROR(ROUND(VLOOKUP($A190,S275_21,35,FALSE)*VLOOKUP($A190,'3121% SY'!$C$3:$M$324,11,FALSE),3),0)+IFERROR(ROUND(VLOOKUP($A190,S275_21,36,FALSE)*VLOOKUP($A190,'3121% SY'!$C$3:$M$324,11,FALSE),3),0)+IFERROR(ROUND(VLOOKUP($A190,S275_21,37,FALSE)*VLOOKUP($A190,'3121% SY'!$C$3:$M$324,11,FALSE),3),0)+IFERROR(VLOOKUP($A190,S275_09,13,FALSE),0)</f>
        <v>0</v>
      </c>
      <c r="AA190" s="267">
        <f>IFERROR(VLOOKUP($A190,Supp_49,14,FALSE),0)+IFERROR(SUMPRODUCT(VLOOKUP($A190,S275_01,{38,39,40},FALSE)),0)+IFERROR(SUMPRODUCT(VLOOKUP($A190,S275_97,{38,39,40},FALSE)),0)+IFERROR(ROUND(VLOOKUP($A190,S275_21,38,FALSE)*VLOOKUP($A190,'3121% SY'!$C$3:$M$324,11,FALSE),3),0)+IFERROR(ROUND(VLOOKUP($A190,S275_21,39,FALSE)*VLOOKUP($A190,'3121% SY'!$C$3:$M$324,11,FALSE),3),0)+IFERROR(ROUND(VLOOKUP($A190,S275_21,40,FALSE)*VLOOKUP($A190,'3121% SY'!$C$3:$M$324,11,FALSE),3),0)+IFERROR(VLOOKUP($A190,S275_09,14,FALSE),0)</f>
        <v>2.4E-2</v>
      </c>
      <c r="AB190" s="267">
        <f>IFERROR(VLOOKUP($A190,Supp_64,14,FALSE),0)+IFERROR(SUMPRODUCT(VLOOKUP($A190,S275_01,{41,42,43},FALSE)),0)+IFERROR(SUMPRODUCT(VLOOKUP($A190,S275_97,{41,42,43},FALSE)),0)+IFERROR(ROUND(VLOOKUP($A190,S275_21,41,FALSE)*VLOOKUP($A190,'3121% SY'!$C$3:$M$324,11,FALSE),3),0)+IFERROR(ROUND(VLOOKUP($A190,S275_21,42,FALSE)*VLOOKUP($A190,'3121% SY'!$C$3:$M$324,11,FALSE),3),0)+IFERROR(ROUND(VLOOKUP($A190,S275_21,43,FALSE)*VLOOKUP($A190,'3121% SY'!$C$3:$M$324,11,FALSE),3),0)+IFERROR(VLOOKUP($A190,S275_09,15,FALSE),0)</f>
        <v>0</v>
      </c>
      <c r="AC190" s="268">
        <f t="shared" si="37"/>
        <v>5.9379999999999997</v>
      </c>
      <c r="AD190" s="267">
        <f>IFERROR(VLOOKUP($A190,Supp_24,14,FALSE),0)+IFERROR(SUMPRODUCT(VLOOKUP($A190,S275_01,{2,3,4},FALSE)),0)+IFERROR(SUMPRODUCT(VLOOKUP($A190,S275_97,{2,3,4},FALSE)),0)+IFERROR(ROUND(VLOOKUP($A190,S275_21,2,FALSE)*VLOOKUP($A190,'3121% SY'!$C$3:$M$324,11,FALSE),3),0)+IFERROR(ROUND(VLOOKUP($A190,S275_21,3,FALSE)*VLOOKUP($A190,'3121% SY'!$C$3:$M$324,11,FALSE),3),0)+IFERROR(ROUND(VLOOKUP($A190,S275_21,4,FALSE)*VLOOKUP($A190,'3121% SY'!$C$3:$M$324,11,FALSE),3),0)+IFERROR(VLOOKUP($A190,S275_09,2,FALSE),0)</f>
        <v>6.9000000000000006E-2</v>
      </c>
      <c r="AE190" s="267">
        <f>IFERROR(VLOOKUP($A190,Supp_25,14,FALSE),0)+IFERROR(SUMPRODUCT(VLOOKUP($A190,S275_01,{5,6,7},FALSE)),0)+IFERROR(SUMPRODUCT(VLOOKUP($A190,S275_97,{5,6,7},FALSE)),0)+IFERROR(ROUND(VLOOKUP($A190,S275_21,5,FALSE)*VLOOKUP($A190,'3121% SY'!$C$3:$M$324,11,FALSE),3),0)+IFERROR(ROUND(VLOOKUP($A190,S275_21,6,FALSE)*VLOOKUP($A190,'3121% SY'!$C$3:$M$324,11,FALSE),3),0)+IFERROR(ROUND(VLOOKUP($A190,S275_21,7,FALSE)*VLOOKUP($A190,'3121% SY'!$C$3:$M$324,11,FALSE),3),0)+IFERROR(VLOOKUP($A190,S275_09,3,FALSE),0)</f>
        <v>0.78999999999999992</v>
      </c>
      <c r="AF190" s="267">
        <f>IFERROR(VLOOKUP($A190,Supp_26,14,FALSE),0)+IFERROR(SUMPRODUCT(VLOOKUP($A190,S275_01,{8,9,10},FALSE)),0)+IFERROR(SUMPRODUCT(VLOOKUP($A190,S275_97,{8,9,10},FALSE)),0)+IFERROR(ROUND(VLOOKUP($A190,S275_21,8,FALSE)*VLOOKUP($A190,'3121% SY'!$C$3:$M$324,11,FALSE),3),0)+IFERROR(ROUND(VLOOKUP($A190,S275_21,9,FALSE)*VLOOKUP($A190,'3121% SY'!$C$3:$M$324,11,FALSE),3),0)+IFERROR(ROUND(VLOOKUP($A190,S275_21,10,FALSE)*VLOOKUP($A190,'3121% SY'!$C$3:$M$324,11,FALSE),3),0)+IFERROR(VLOOKUP($A190,S275_09,4,FALSE),0)</f>
        <v>0.81899999999999995</v>
      </c>
      <c r="AG190" s="267">
        <f>IFERROR(VLOOKUP($A190,Supp_35,14,FALSE),0)+IFERROR(SUMPRODUCT(VLOOKUP($A190,S275_01,{11,12,13},FALSE)),0)+IFERROR(SUMPRODUCT(VLOOKUP($A190,S275_97,{11,12,13},FALSE)),0)+IFERROR(ROUND(VLOOKUP($A190,S275_21,11,FALSE)*VLOOKUP($A190,'3121% SY'!$C$3:$M$324,11,FALSE),3),0)+IFERROR(ROUND(VLOOKUP($A190,S275_21,12,FALSE)*VLOOKUP($A190,'3121% SY'!$C$3:$M$324,11,FALSE),3),0)+IFERROR(ROUND(VLOOKUP($A190,S275_21,13,FALSE)*VLOOKUP($A190,'3121% SY'!$C$3:$M$324,11,FALSE),3),0)+IFERROR(VLOOKUP($A190,S275_09,5,FALSE),0)</f>
        <v>0</v>
      </c>
      <c r="AH190" s="165">
        <f t="shared" si="38"/>
        <v>1.6779999999999999</v>
      </c>
      <c r="AI190" s="161">
        <f>IFERROR(VLOOKUP(A190,'Supp Staff Data'!A:ER,148,FALSE),0)+AB190</f>
        <v>1.0469999999999999</v>
      </c>
      <c r="AJ190" s="174">
        <v>1</v>
      </c>
      <c r="AK190" s="25">
        <f>VLOOKUP(A190,'Enroll Data as of January 2025'!$A$3:$T$323,20,FALSE)-F190</f>
        <v>0</v>
      </c>
    </row>
    <row r="191" spans="1:37" x14ac:dyDescent="0.25">
      <c r="A191" s="171" t="s">
        <v>632</v>
      </c>
      <c r="B191" t="s">
        <v>1227</v>
      </c>
      <c r="C191" s="173" t="s">
        <v>1077</v>
      </c>
      <c r="D191" s="259">
        <f t="shared" si="30"/>
        <v>3.504</v>
      </c>
      <c r="E191" s="259">
        <f t="shared" si="31"/>
        <v>6.3900000000000006</v>
      </c>
      <c r="F191" s="262">
        <f t="shared" si="39"/>
        <v>2.8860000000000001</v>
      </c>
      <c r="G191" s="161">
        <f>ROUND(IF(F191&lt;0,F191*'2024-25 PSES Compliance'!$G$13,0),3)</f>
        <v>0</v>
      </c>
      <c r="H191" s="161">
        <f>ROUND(IF(F191&lt;0,F191*'2024-25 PSES Compliance'!$G$14,0),3)</f>
        <v>0</v>
      </c>
      <c r="I191" s="174">
        <f t="shared" si="33"/>
        <v>0.63326417840375582</v>
      </c>
      <c r="J191" s="174">
        <f t="shared" si="34"/>
        <v>0</v>
      </c>
      <c r="K191" s="161">
        <f>VLOOKUP($A191,'Enroll Data as of January 2025'!$A$3:$M$322,6,FALSE)</f>
        <v>1.9729999999999999</v>
      </c>
      <c r="L191" s="161">
        <f>VLOOKUP($A191,'Enroll Data as of January 2025'!$A$3:$M$322,7,FALSE)</f>
        <v>0.32200000000000006</v>
      </c>
      <c r="M191" s="161">
        <f>VLOOKUP($A191,'Enroll Data as of January 2025'!$A$3:$M$322,8,FALSE)</f>
        <v>0.108</v>
      </c>
      <c r="N191" s="161">
        <f>VLOOKUP($A191,'Enroll Data as of January 2025'!$A$3:$M$322,9,FALSE)</f>
        <v>0.90599999999999992</v>
      </c>
      <c r="O191" s="165">
        <f t="shared" si="35"/>
        <v>3.3090000000000002</v>
      </c>
      <c r="P191" s="161">
        <f>VLOOKUP($A191,'Enroll Data as of January 2025'!$A$3:$M$322,11,FALSE)</f>
        <v>0.12300000000000001</v>
      </c>
      <c r="Q191" s="161">
        <f>VLOOKUP($A191,'Enroll Data as of January 2025'!$A$3:$M$322,12,FALSE)</f>
        <v>7.1999999999999995E-2</v>
      </c>
      <c r="R191" s="165">
        <f t="shared" si="36"/>
        <v>0.19500000000000001</v>
      </c>
      <c r="S191" s="267">
        <f>IFERROR(VLOOKUP($A191,Supp_39,14,FALSE),0)+IFERROR(SUMPRODUCT(VLOOKUP($A191,S275_01,{14,15,16},FALSE)),0)+IFERROR(SUMPRODUCT(VLOOKUP($A191,S275_97,{14,15,16},FALSE)),0)+IFERROR(ROUND(VLOOKUP($A191,S275_21,14,FALSE)*VLOOKUP($A191,'3121% SY'!$C$3:$M$324,11,FALSE),3),0)+IFERROR(ROUND(VLOOKUP($A191,S275_21,15,FALSE)*VLOOKUP($A191,'3121% SY'!$C$3:$M$324,11,FALSE),3),0)+IFERROR(ROUND(VLOOKUP($A191,S275_21,16,FALSE)*VLOOKUP($A191,'3121% SY'!$C$3:$M$324,11,FALSE),3),0)+IFERROR(VLOOKUP($A191,S275_09,6,FALSE),0)</f>
        <v>2.0270000000000001</v>
      </c>
      <c r="T191" s="267">
        <f>IFERROR(VLOOKUP($A191,Supp_42,14,FALSE),0)+IFERROR(SUMPRODUCT(VLOOKUP($A191,S275_01,{17,18,19},FALSE)),0)+IFERROR(SUMPRODUCT(VLOOKUP($A191,S275_97,{17,18,19},FALSE)),0)+IFERROR(ROUND(VLOOKUP($A191,S275_21,17,FALSE)*VLOOKUP($A191,'3121% SY'!$C$3:$M$324,11,FALSE),3),0)+IFERROR(ROUND(VLOOKUP($A191,S275_21,18,FALSE)*VLOOKUP($A191,'3121% SY'!$C$3:$M$324,11,FALSE),3),0)+IFERROR(ROUND(VLOOKUP($A191,S275_21,19,FALSE)*VLOOKUP($A191,'3121% SY'!$C$3:$M$324,11,FALSE),3),0)+IFERROR(VLOOKUP($A191,S275_09,7,FALSE),0)</f>
        <v>2.0270000000000001</v>
      </c>
      <c r="U191" s="267">
        <f>IFERROR(VLOOKUP($A191,Supp_43,14,FALSE),0)+IFERROR(SUMPRODUCT(VLOOKUP($A191,S275_01,{20,21,22},FALSE)),0)+IFERROR(SUMPRODUCT(VLOOKUP($A191,S275_97,{20,21,22},FALSE)),0)+IFERROR(ROUND(VLOOKUP($A191,S275_21,20,FALSE)*VLOOKUP($A191,'3121% SY'!$C$3:$M$324,11,FALSE),3),0)+IFERROR(ROUND(VLOOKUP($A191,S275_21,21,FALSE)*VLOOKUP($A191,'3121% SY'!$C$3:$M$324,11,FALSE),3),0)+IFERROR(ROUND(VLOOKUP($A191,S275_21,22,FALSE)*VLOOKUP($A191,'3121% SY'!$C$3:$M$324,11,FALSE),3),0)+IFERROR(VLOOKUP($A191,S275_09,8,FALSE),0)</f>
        <v>0</v>
      </c>
      <c r="V191" s="267">
        <f>IFERROR(VLOOKUP($A191,Supp_44,14,FALSE),0)+IFERROR(SUMPRODUCT(VLOOKUP($A191,S275_01,{23,24,25},FALSE)),0)+IFERROR(SUMPRODUCT(VLOOKUP($A191,S275_97,{23,24,25},FALSE)),0)+IFERROR(ROUND(VLOOKUP($A191,S275_21,23,FALSE)*VLOOKUP($A191,'3121% SY'!$C$3:$M$324,11,FALSE),3),0)+IFERROR(ROUND(VLOOKUP($A191,S275_21,24,FALSE)*VLOOKUP($A191,'3121% SY'!$C$3:$M$324,11,FALSE),3),0)+IFERROR(ROUND(VLOOKUP($A191,S275_21,25,FALSE)*VLOOKUP($A191,'3121% SY'!$C$3:$M$324,11,FALSE),3),0)+IFERROR(VLOOKUP($A191,S275_09,9,FALSE),0)</f>
        <v>0</v>
      </c>
      <c r="W191" s="267">
        <f>IFERROR(VLOOKUP($A191,Supp_45,14,FALSE),0)+IFERROR(SUMPRODUCT(VLOOKUP($A191,S275_01,{26,27,28},FALSE)),0)+IFERROR(SUMPRODUCT(VLOOKUP($A191,S275_97,{26,27,28},FALSE)),0)+IFERROR(ROUND(VLOOKUP($A191,S275_21,26,FALSE)*VLOOKUP($A191,'3121% SY'!$C$3:$M$324,11,FALSE),3),0)+IFERROR(ROUND(VLOOKUP($A191,S275_21,27,FALSE)*VLOOKUP($A191,'3121% SY'!$C$3:$M$324,11,FALSE),3),0)+IFERROR(ROUND(VLOOKUP($A191,S275_21,28,FALSE)*VLOOKUP($A191,'3121% SY'!$C$3:$M$324,11,FALSE),3),0)+IFERROR(VLOOKUP($A191,S275_09,10,FALSE),0)</f>
        <v>0.11899999999999999</v>
      </c>
      <c r="X191" s="267">
        <f>IFERROR(VLOOKUP($A191,Supp_46,14,FALSE),0)+IFERROR(SUMPRODUCT(VLOOKUP($A191,S275_01,{29,30,31},FALSE)),0)+IFERROR(SUMPRODUCT(VLOOKUP($A191,S275_97,{29,30,31},FALSE)),0)+IFERROR(ROUND(VLOOKUP($A191,S275_21,29,FALSE)*VLOOKUP($A191,'3121% SY'!$C$3:$M$324,11,FALSE),3),0)+IFERROR(ROUND(VLOOKUP($A191,S275_21,30,FALSE)*VLOOKUP($A191,'3121% SY'!$C$3:$M$324,11,FALSE),3),0)+IFERROR(ROUND(VLOOKUP($A191,S275_21,31,FALSE)*VLOOKUP($A191,'3121% SY'!$C$3:$M$324,11,FALSE),3),0)+IFERROR(VLOOKUP($A191,S275_09,11,FALSE),0)</f>
        <v>0</v>
      </c>
      <c r="Y191" s="267">
        <f>IFERROR(VLOOKUP($A191,Supp_47,14,FALSE),0)+IFERROR(SUMPRODUCT(VLOOKUP($A191,S275_01,{32,33,34},FALSE)),0)+IFERROR(SUMPRODUCT(VLOOKUP($A191,S275_97,{32,33,34},FALSE)),0)+IFERROR(ROUND(VLOOKUP($A191,S275_21,32,FALSE)*VLOOKUP($A191,'3121% SY'!$C$3:$M$324,11,FALSE),3),0)+IFERROR(ROUND(VLOOKUP($A191,S275_21,33,FALSE)*VLOOKUP($A191,'3121% SY'!$C$3:$M$324,11,FALSE),3),0)+IFERROR(ROUND(VLOOKUP($A191,S275_21,34,FALSE)*VLOOKUP($A191,'3121% SY'!$C$3:$M$324,11,FALSE),3),0)+IFERROR(VLOOKUP($A191,S275_09,12,FALSE),0)</f>
        <v>0</v>
      </c>
      <c r="Z191" s="267">
        <f>IFERROR(VLOOKUP($A191,Supp_48,14,FALSE),0)+IFERROR(SUMPRODUCT(VLOOKUP($A191,S275_01,{35,36,37},FALSE)),0)+IFERROR(SUMPRODUCT(VLOOKUP($A191,S275_97,{35,36,37},FALSE)),0)+IFERROR(ROUND(VLOOKUP($A191,S275_21,35,FALSE)*VLOOKUP($A191,'3121% SY'!$C$3:$M$324,11,FALSE),3),0)+IFERROR(ROUND(VLOOKUP($A191,S275_21,36,FALSE)*VLOOKUP($A191,'3121% SY'!$C$3:$M$324,11,FALSE),3),0)+IFERROR(ROUND(VLOOKUP($A191,S275_21,37,FALSE)*VLOOKUP($A191,'3121% SY'!$C$3:$M$324,11,FALSE),3),0)+IFERROR(VLOOKUP($A191,S275_09,13,FALSE),0)</f>
        <v>0</v>
      </c>
      <c r="AA191" s="267">
        <f>IFERROR(VLOOKUP($A191,Supp_49,14,FALSE),0)+IFERROR(SUMPRODUCT(VLOOKUP($A191,S275_01,{38,39,40},FALSE)),0)+IFERROR(SUMPRODUCT(VLOOKUP($A191,S275_97,{38,39,40},FALSE)),0)+IFERROR(ROUND(VLOOKUP($A191,S275_21,38,FALSE)*VLOOKUP($A191,'3121% SY'!$C$3:$M$324,11,FALSE),3),0)+IFERROR(ROUND(VLOOKUP($A191,S275_21,39,FALSE)*VLOOKUP($A191,'3121% SY'!$C$3:$M$324,11,FALSE),3),0)+IFERROR(ROUND(VLOOKUP($A191,S275_21,40,FALSE)*VLOOKUP($A191,'3121% SY'!$C$3:$M$324,11,FALSE),3),0)+IFERROR(VLOOKUP($A191,S275_09,14,FALSE),0)</f>
        <v>0</v>
      </c>
      <c r="AB191" s="267">
        <f>IFERROR(VLOOKUP($A191,Supp_64,14,FALSE),0)+IFERROR(SUMPRODUCT(VLOOKUP($A191,S275_01,{41,42,43},FALSE)),0)+IFERROR(SUMPRODUCT(VLOOKUP($A191,S275_97,{41,42,43},FALSE)),0)+IFERROR(ROUND(VLOOKUP($A191,S275_21,41,FALSE)*VLOOKUP($A191,'3121% SY'!$C$3:$M$324,11,FALSE),3),0)+IFERROR(ROUND(VLOOKUP($A191,S275_21,42,FALSE)*VLOOKUP($A191,'3121% SY'!$C$3:$M$324,11,FALSE),3),0)+IFERROR(ROUND(VLOOKUP($A191,S275_21,43,FALSE)*VLOOKUP($A191,'3121% SY'!$C$3:$M$324,11,FALSE),3),0)+IFERROR(VLOOKUP($A191,S275_09,15,FALSE),0)</f>
        <v>0</v>
      </c>
      <c r="AC191" s="268">
        <f t="shared" si="37"/>
        <v>4.173</v>
      </c>
      <c r="AD191" s="267">
        <f>IFERROR(VLOOKUP($A191,Supp_24,14,FALSE),0)+IFERROR(SUMPRODUCT(VLOOKUP($A191,S275_01,{2,3,4},FALSE)),0)+IFERROR(SUMPRODUCT(VLOOKUP($A191,S275_97,{2,3,4},FALSE)),0)+IFERROR(ROUND(VLOOKUP($A191,S275_21,2,FALSE)*VLOOKUP($A191,'3121% SY'!$C$3:$M$324,11,FALSE),3),0)+IFERROR(ROUND(VLOOKUP($A191,S275_21,3,FALSE)*VLOOKUP($A191,'3121% SY'!$C$3:$M$324,11,FALSE),3),0)+IFERROR(ROUND(VLOOKUP($A191,S275_21,4,FALSE)*VLOOKUP($A191,'3121% SY'!$C$3:$M$324,11,FALSE),3),0)+IFERROR(VLOOKUP($A191,S275_09,2,FALSE),0)</f>
        <v>0</v>
      </c>
      <c r="AE191" s="267">
        <f>IFERROR(VLOOKUP($A191,Supp_25,14,FALSE),0)+IFERROR(SUMPRODUCT(VLOOKUP($A191,S275_01,{5,6,7},FALSE)),0)+IFERROR(SUMPRODUCT(VLOOKUP($A191,S275_97,{5,6,7},FALSE)),0)+IFERROR(ROUND(VLOOKUP($A191,S275_21,5,FALSE)*VLOOKUP($A191,'3121% SY'!$C$3:$M$324,11,FALSE),3),0)+IFERROR(ROUND(VLOOKUP($A191,S275_21,6,FALSE)*VLOOKUP($A191,'3121% SY'!$C$3:$M$324,11,FALSE),3),0)+IFERROR(ROUND(VLOOKUP($A191,S275_21,7,FALSE)*VLOOKUP($A191,'3121% SY'!$C$3:$M$324,11,FALSE),3),0)+IFERROR(VLOOKUP($A191,S275_09,3,FALSE),0)</f>
        <v>0</v>
      </c>
      <c r="AF191" s="267">
        <f>IFERROR(VLOOKUP($A191,Supp_26,14,FALSE),0)+IFERROR(SUMPRODUCT(VLOOKUP($A191,S275_01,{8,9,10},FALSE)),0)+IFERROR(SUMPRODUCT(VLOOKUP($A191,S275_97,{8,9,10},FALSE)),0)+IFERROR(ROUND(VLOOKUP($A191,S275_21,8,FALSE)*VLOOKUP($A191,'3121% SY'!$C$3:$M$324,11,FALSE),3),0)+IFERROR(ROUND(VLOOKUP($A191,S275_21,9,FALSE)*VLOOKUP($A191,'3121% SY'!$C$3:$M$324,11,FALSE),3),0)+IFERROR(ROUND(VLOOKUP($A191,S275_21,10,FALSE)*VLOOKUP($A191,'3121% SY'!$C$3:$M$324,11,FALSE),3),0)+IFERROR(VLOOKUP($A191,S275_09,4,FALSE),0)</f>
        <v>0.217</v>
      </c>
      <c r="AG191" s="267">
        <f>IFERROR(VLOOKUP($A191,Supp_35,14,FALSE),0)+IFERROR(SUMPRODUCT(VLOOKUP($A191,S275_01,{11,12,13},FALSE)),0)+IFERROR(SUMPRODUCT(VLOOKUP($A191,S275_97,{11,12,13},FALSE)),0)+IFERROR(ROUND(VLOOKUP($A191,S275_21,11,FALSE)*VLOOKUP($A191,'3121% SY'!$C$3:$M$324,11,FALSE),3),0)+IFERROR(ROUND(VLOOKUP($A191,S275_21,12,FALSE)*VLOOKUP($A191,'3121% SY'!$C$3:$M$324,11,FALSE),3),0)+IFERROR(ROUND(VLOOKUP($A191,S275_21,13,FALSE)*VLOOKUP($A191,'3121% SY'!$C$3:$M$324,11,FALSE),3),0)+IFERROR(VLOOKUP($A191,S275_09,5,FALSE),0)</f>
        <v>2</v>
      </c>
      <c r="AH191" s="165">
        <f t="shared" si="38"/>
        <v>2.2170000000000001</v>
      </c>
      <c r="AI191" s="161">
        <f>IFERROR(VLOOKUP(A191,'Supp Staff Data'!A:ER,148,FALSE),0)+AB191</f>
        <v>0</v>
      </c>
      <c r="AJ191" s="174">
        <v>0.96970000000000001</v>
      </c>
      <c r="AK191" s="25">
        <f>VLOOKUP(A191,'Enroll Data as of January 2025'!$A$3:$T$323,20,FALSE)-F191</f>
        <v>0</v>
      </c>
    </row>
    <row r="192" spans="1:37" x14ac:dyDescent="0.25">
      <c r="A192" s="171" t="s">
        <v>288</v>
      </c>
      <c r="B192" t="s">
        <v>584</v>
      </c>
      <c r="C192" s="173" t="s">
        <v>1077</v>
      </c>
      <c r="D192" s="259">
        <f t="shared" si="30"/>
        <v>0.7350000000000001</v>
      </c>
      <c r="E192" s="259">
        <f t="shared" si="31"/>
        <v>1.0529999999999999</v>
      </c>
      <c r="F192" s="262">
        <f t="shared" si="39"/>
        <v>0.318</v>
      </c>
      <c r="G192" s="161">
        <f>ROUND(IF(F192&lt;0,F192*'2024-25 PSES Compliance'!$G$13,0),3)</f>
        <v>0</v>
      </c>
      <c r="H192" s="161">
        <f>ROUND(IF(F192&lt;0,F192*'2024-25 PSES Compliance'!$G$14,0),3)</f>
        <v>0</v>
      </c>
      <c r="I192" s="174">
        <f t="shared" si="33"/>
        <v>0.54552706552706554</v>
      </c>
      <c r="J192" s="174">
        <f t="shared" si="34"/>
        <v>0</v>
      </c>
      <c r="K192" s="161">
        <f>VLOOKUP($A192,'Enroll Data as of January 2025'!$A$3:$M$322,6,FALSE)</f>
        <v>0.41100000000000003</v>
      </c>
      <c r="L192" s="161">
        <f>VLOOKUP($A192,'Enroll Data as of January 2025'!$A$3:$M$322,7,FALSE)</f>
        <v>6.9000000000000006E-2</v>
      </c>
      <c r="M192" s="161">
        <f>VLOOKUP($A192,'Enroll Data as of January 2025'!$A$3:$M$322,8,FALSE)</f>
        <v>2.3E-2</v>
      </c>
      <c r="N192" s="161">
        <f>VLOOKUP($A192,'Enroll Data as of January 2025'!$A$3:$M$322,9,FALSE)</f>
        <v>0.19</v>
      </c>
      <c r="O192" s="165">
        <f t="shared" si="35"/>
        <v>0.69300000000000006</v>
      </c>
      <c r="P192" s="161">
        <f>VLOOKUP($A192,'Enroll Data as of January 2025'!$A$3:$M$322,11,FALSE)</f>
        <v>2.5999999999999999E-2</v>
      </c>
      <c r="Q192" s="161">
        <f>VLOOKUP($A192,'Enroll Data as of January 2025'!$A$3:$M$322,12,FALSE)</f>
        <v>1.6E-2</v>
      </c>
      <c r="R192" s="165">
        <f t="shared" si="36"/>
        <v>4.1999999999999996E-2</v>
      </c>
      <c r="S192" s="267">
        <f>IFERROR(VLOOKUP($A192,Supp_39,14,FALSE),0)+IFERROR(SUMPRODUCT(VLOOKUP($A192,S275_01,{14,15,16},FALSE)),0)+IFERROR(SUMPRODUCT(VLOOKUP($A192,S275_97,{14,15,16},FALSE)),0)+IFERROR(ROUND(VLOOKUP($A192,S275_21,14,FALSE)*VLOOKUP($A192,'3121% SY'!$C$3:$M$324,11,FALSE),3),0)+IFERROR(ROUND(VLOOKUP($A192,S275_21,15,FALSE)*VLOOKUP($A192,'3121% SY'!$C$3:$M$324,11,FALSE),3),0)+IFERROR(ROUND(VLOOKUP($A192,S275_21,16,FALSE)*VLOOKUP($A192,'3121% SY'!$C$3:$M$324,11,FALSE),3),0)+IFERROR(VLOOKUP($A192,S275_09,6,FALSE),0)</f>
        <v>0.6</v>
      </c>
      <c r="T192" s="267">
        <f>IFERROR(VLOOKUP($A192,Supp_42,14,FALSE),0)+IFERROR(SUMPRODUCT(VLOOKUP($A192,S275_01,{17,18,19},FALSE)),0)+IFERROR(SUMPRODUCT(VLOOKUP($A192,S275_97,{17,18,19},FALSE)),0)+IFERROR(ROUND(VLOOKUP($A192,S275_21,17,FALSE)*VLOOKUP($A192,'3121% SY'!$C$3:$M$324,11,FALSE),3),0)+IFERROR(ROUND(VLOOKUP($A192,S275_21,18,FALSE)*VLOOKUP($A192,'3121% SY'!$C$3:$M$324,11,FALSE),3),0)+IFERROR(ROUND(VLOOKUP($A192,S275_21,19,FALSE)*VLOOKUP($A192,'3121% SY'!$C$3:$M$324,11,FALSE),3),0)+IFERROR(VLOOKUP($A192,S275_09,7,FALSE),0)</f>
        <v>0</v>
      </c>
      <c r="U192" s="267">
        <f>IFERROR(VLOOKUP($A192,Supp_43,14,FALSE),0)+IFERROR(SUMPRODUCT(VLOOKUP($A192,S275_01,{20,21,22},FALSE)),0)+IFERROR(SUMPRODUCT(VLOOKUP($A192,S275_97,{20,21,22},FALSE)),0)+IFERROR(ROUND(VLOOKUP($A192,S275_21,20,FALSE)*VLOOKUP($A192,'3121% SY'!$C$3:$M$324,11,FALSE),3),0)+IFERROR(ROUND(VLOOKUP($A192,S275_21,21,FALSE)*VLOOKUP($A192,'3121% SY'!$C$3:$M$324,11,FALSE),3),0)+IFERROR(ROUND(VLOOKUP($A192,S275_21,22,FALSE)*VLOOKUP($A192,'3121% SY'!$C$3:$M$324,11,FALSE),3),0)+IFERROR(VLOOKUP($A192,S275_09,8,FALSE),0)</f>
        <v>0</v>
      </c>
      <c r="V192" s="267">
        <f>IFERROR(VLOOKUP($A192,Supp_44,14,FALSE),0)+IFERROR(SUMPRODUCT(VLOOKUP($A192,S275_01,{23,24,25},FALSE)),0)+IFERROR(SUMPRODUCT(VLOOKUP($A192,S275_97,{23,24,25},FALSE)),0)+IFERROR(ROUND(VLOOKUP($A192,S275_21,23,FALSE)*VLOOKUP($A192,'3121% SY'!$C$3:$M$324,11,FALSE),3),0)+IFERROR(ROUND(VLOOKUP($A192,S275_21,24,FALSE)*VLOOKUP($A192,'3121% SY'!$C$3:$M$324,11,FALSE),3),0)+IFERROR(ROUND(VLOOKUP($A192,S275_21,25,FALSE)*VLOOKUP($A192,'3121% SY'!$C$3:$M$324,11,FALSE),3),0)+IFERROR(VLOOKUP($A192,S275_09,9,FALSE),0)</f>
        <v>0</v>
      </c>
      <c r="W192" s="267">
        <f>IFERROR(VLOOKUP($A192,Supp_45,14,FALSE),0)+IFERROR(SUMPRODUCT(VLOOKUP($A192,S275_01,{26,27,28},FALSE)),0)+IFERROR(SUMPRODUCT(VLOOKUP($A192,S275_97,{26,27,28},FALSE)),0)+IFERROR(ROUND(VLOOKUP($A192,S275_21,26,FALSE)*VLOOKUP($A192,'3121% SY'!$C$3:$M$324,11,FALSE),3),0)+IFERROR(ROUND(VLOOKUP($A192,S275_21,27,FALSE)*VLOOKUP($A192,'3121% SY'!$C$3:$M$324,11,FALSE),3),0)+IFERROR(ROUND(VLOOKUP($A192,S275_21,28,FALSE)*VLOOKUP($A192,'3121% SY'!$C$3:$M$324,11,FALSE),3),0)+IFERROR(VLOOKUP($A192,S275_09,10,FALSE),0)</f>
        <v>0</v>
      </c>
      <c r="X192" s="267">
        <f>IFERROR(VLOOKUP($A192,Supp_46,14,FALSE),0)+IFERROR(SUMPRODUCT(VLOOKUP($A192,S275_01,{29,30,31},FALSE)),0)+IFERROR(SUMPRODUCT(VLOOKUP($A192,S275_97,{29,30,31},FALSE)),0)+IFERROR(ROUND(VLOOKUP($A192,S275_21,29,FALSE)*VLOOKUP($A192,'3121% SY'!$C$3:$M$324,11,FALSE),3),0)+IFERROR(ROUND(VLOOKUP($A192,S275_21,30,FALSE)*VLOOKUP($A192,'3121% SY'!$C$3:$M$324,11,FALSE),3),0)+IFERROR(ROUND(VLOOKUP($A192,S275_21,31,FALSE)*VLOOKUP($A192,'3121% SY'!$C$3:$M$324,11,FALSE),3),0)+IFERROR(VLOOKUP($A192,S275_09,11,FALSE),0)</f>
        <v>0</v>
      </c>
      <c r="Y192" s="267">
        <f>IFERROR(VLOOKUP($A192,Supp_47,14,FALSE),0)+IFERROR(SUMPRODUCT(VLOOKUP($A192,S275_01,{32,33,34},FALSE)),0)+IFERROR(SUMPRODUCT(VLOOKUP($A192,S275_97,{32,33,34},FALSE)),0)+IFERROR(ROUND(VLOOKUP($A192,S275_21,32,FALSE)*VLOOKUP($A192,'3121% SY'!$C$3:$M$324,11,FALSE),3),0)+IFERROR(ROUND(VLOOKUP($A192,S275_21,33,FALSE)*VLOOKUP($A192,'3121% SY'!$C$3:$M$324,11,FALSE),3),0)+IFERROR(ROUND(VLOOKUP($A192,S275_21,34,FALSE)*VLOOKUP($A192,'3121% SY'!$C$3:$M$324,11,FALSE),3),0)+IFERROR(VLOOKUP($A192,S275_09,12,FALSE),0)</f>
        <v>0</v>
      </c>
      <c r="Z192" s="267">
        <f>IFERROR(VLOOKUP($A192,Supp_48,14,FALSE),0)+IFERROR(SUMPRODUCT(VLOOKUP($A192,S275_01,{35,36,37},FALSE)),0)+IFERROR(SUMPRODUCT(VLOOKUP($A192,S275_97,{35,36,37},FALSE)),0)+IFERROR(ROUND(VLOOKUP($A192,S275_21,35,FALSE)*VLOOKUP($A192,'3121% SY'!$C$3:$M$324,11,FALSE),3),0)+IFERROR(ROUND(VLOOKUP($A192,S275_21,36,FALSE)*VLOOKUP($A192,'3121% SY'!$C$3:$M$324,11,FALSE),3),0)+IFERROR(ROUND(VLOOKUP($A192,S275_21,37,FALSE)*VLOOKUP($A192,'3121% SY'!$C$3:$M$324,11,FALSE),3),0)+IFERROR(VLOOKUP($A192,S275_09,13,FALSE),0)</f>
        <v>0</v>
      </c>
      <c r="AA192" s="267">
        <f>IFERROR(VLOOKUP($A192,Supp_49,14,FALSE),0)+IFERROR(SUMPRODUCT(VLOOKUP($A192,S275_01,{38,39,40},FALSE)),0)+IFERROR(SUMPRODUCT(VLOOKUP($A192,S275_97,{38,39,40},FALSE)),0)+IFERROR(ROUND(VLOOKUP($A192,S275_21,38,FALSE)*VLOOKUP($A192,'3121% SY'!$C$3:$M$324,11,FALSE),3),0)+IFERROR(ROUND(VLOOKUP($A192,S275_21,39,FALSE)*VLOOKUP($A192,'3121% SY'!$C$3:$M$324,11,FALSE),3),0)+IFERROR(ROUND(VLOOKUP($A192,S275_21,40,FALSE)*VLOOKUP($A192,'3121% SY'!$C$3:$M$324,11,FALSE),3),0)+IFERROR(VLOOKUP($A192,S275_09,14,FALSE),0)</f>
        <v>0</v>
      </c>
      <c r="AB192" s="267">
        <f>IFERROR(VLOOKUP($A192,Supp_64,14,FALSE),0)+IFERROR(SUMPRODUCT(VLOOKUP($A192,S275_01,{41,42,43},FALSE)),0)+IFERROR(SUMPRODUCT(VLOOKUP($A192,S275_97,{41,42,43},FALSE)),0)+IFERROR(ROUND(VLOOKUP($A192,S275_21,41,FALSE)*VLOOKUP($A192,'3121% SY'!$C$3:$M$324,11,FALSE),3),0)+IFERROR(ROUND(VLOOKUP($A192,S275_21,42,FALSE)*VLOOKUP($A192,'3121% SY'!$C$3:$M$324,11,FALSE),3),0)+IFERROR(ROUND(VLOOKUP($A192,S275_21,43,FALSE)*VLOOKUP($A192,'3121% SY'!$C$3:$M$324,11,FALSE),3),0)+IFERROR(VLOOKUP($A192,S275_09,15,FALSE),0)</f>
        <v>0</v>
      </c>
      <c r="AC192" s="268">
        <f t="shared" si="37"/>
        <v>0.6</v>
      </c>
      <c r="AD192" s="267">
        <f>IFERROR(VLOOKUP($A192,Supp_24,14,FALSE),0)+IFERROR(SUMPRODUCT(VLOOKUP($A192,S275_01,{2,3,4},FALSE)),0)+IFERROR(SUMPRODUCT(VLOOKUP($A192,S275_97,{2,3,4},FALSE)),0)+IFERROR(ROUND(VLOOKUP($A192,S275_21,2,FALSE)*VLOOKUP($A192,'3121% SY'!$C$3:$M$324,11,FALSE),3),0)+IFERROR(ROUND(VLOOKUP($A192,S275_21,3,FALSE)*VLOOKUP($A192,'3121% SY'!$C$3:$M$324,11,FALSE),3),0)+IFERROR(ROUND(VLOOKUP($A192,S275_21,4,FALSE)*VLOOKUP($A192,'3121% SY'!$C$3:$M$324,11,FALSE),3),0)+IFERROR(VLOOKUP($A192,S275_09,2,FALSE),0)</f>
        <v>0</v>
      </c>
      <c r="AE192" s="267">
        <f>IFERROR(VLOOKUP($A192,Supp_25,14,FALSE),0)+IFERROR(SUMPRODUCT(VLOOKUP($A192,S275_01,{5,6,7},FALSE)),0)+IFERROR(SUMPRODUCT(VLOOKUP($A192,S275_97,{5,6,7},FALSE)),0)+IFERROR(ROUND(VLOOKUP($A192,S275_21,5,FALSE)*VLOOKUP($A192,'3121% SY'!$C$3:$M$324,11,FALSE),3),0)+IFERROR(ROUND(VLOOKUP($A192,S275_21,6,FALSE)*VLOOKUP($A192,'3121% SY'!$C$3:$M$324,11,FALSE),3),0)+IFERROR(ROUND(VLOOKUP($A192,S275_21,7,FALSE)*VLOOKUP($A192,'3121% SY'!$C$3:$M$324,11,FALSE),3),0)+IFERROR(VLOOKUP($A192,S275_09,3,FALSE),0)</f>
        <v>0</v>
      </c>
      <c r="AF192" s="267">
        <f>IFERROR(VLOOKUP($A192,Supp_26,14,FALSE),0)+IFERROR(SUMPRODUCT(VLOOKUP($A192,S275_01,{8,9,10},FALSE)),0)+IFERROR(SUMPRODUCT(VLOOKUP($A192,S275_97,{8,9,10},FALSE)),0)+IFERROR(ROUND(VLOOKUP($A192,S275_21,8,FALSE)*VLOOKUP($A192,'3121% SY'!$C$3:$M$324,11,FALSE),3),0)+IFERROR(ROUND(VLOOKUP($A192,S275_21,9,FALSE)*VLOOKUP($A192,'3121% SY'!$C$3:$M$324,11,FALSE),3),0)+IFERROR(ROUND(VLOOKUP($A192,S275_21,10,FALSE)*VLOOKUP($A192,'3121% SY'!$C$3:$M$324,11,FALSE),3),0)+IFERROR(VLOOKUP($A192,S275_09,4,FALSE),0)</f>
        <v>0.45300000000000001</v>
      </c>
      <c r="AG192" s="267">
        <f>IFERROR(VLOOKUP($A192,Supp_35,14,FALSE),0)+IFERROR(SUMPRODUCT(VLOOKUP($A192,S275_01,{11,12,13},FALSE)),0)+IFERROR(SUMPRODUCT(VLOOKUP($A192,S275_97,{11,12,13},FALSE)),0)+IFERROR(ROUND(VLOOKUP($A192,S275_21,11,FALSE)*VLOOKUP($A192,'3121% SY'!$C$3:$M$324,11,FALSE),3),0)+IFERROR(ROUND(VLOOKUP($A192,S275_21,12,FALSE)*VLOOKUP($A192,'3121% SY'!$C$3:$M$324,11,FALSE),3),0)+IFERROR(ROUND(VLOOKUP($A192,S275_21,13,FALSE)*VLOOKUP($A192,'3121% SY'!$C$3:$M$324,11,FALSE),3),0)+IFERROR(VLOOKUP($A192,S275_09,5,FALSE),0)</f>
        <v>0</v>
      </c>
      <c r="AH192" s="165">
        <f t="shared" si="38"/>
        <v>0.45300000000000001</v>
      </c>
      <c r="AI192" s="161">
        <f>IFERROR(VLOOKUP(A192,'Supp Staff Data'!A:ER,148,FALSE),0)+AB192</f>
        <v>0</v>
      </c>
      <c r="AJ192" s="174">
        <v>0.95740000000000003</v>
      </c>
      <c r="AK192" s="25">
        <f>VLOOKUP(A192,'Enroll Data as of January 2025'!$A$3:$T$323,20,FALSE)-F192</f>
        <v>0</v>
      </c>
    </row>
    <row r="193" spans="1:37" x14ac:dyDescent="0.25">
      <c r="A193" s="171" t="s">
        <v>224</v>
      </c>
      <c r="B193" t="s">
        <v>519</v>
      </c>
      <c r="C193" s="173" t="s">
        <v>1077</v>
      </c>
      <c r="D193" s="259">
        <f t="shared" si="30"/>
        <v>2.4030000000000005</v>
      </c>
      <c r="E193" s="259">
        <f t="shared" si="31"/>
        <v>1.4430000000000001</v>
      </c>
      <c r="F193" s="262">
        <f t="shared" si="39"/>
        <v>-0.96</v>
      </c>
      <c r="G193" s="161">
        <f>ROUND(IF(F193&lt;0,F193*'2024-25 PSES Compliance'!$G$13,0),3)</f>
        <v>-0.92200000000000004</v>
      </c>
      <c r="H193" s="161">
        <f>ROUND(IF(F193&lt;0,F193*'2024-25 PSES Compliance'!$G$14,0),3)</f>
        <v>-3.7999999999999999E-2</v>
      </c>
      <c r="I193" s="174">
        <f t="shared" si="33"/>
        <v>0</v>
      </c>
      <c r="J193" s="174">
        <f t="shared" si="34"/>
        <v>0</v>
      </c>
      <c r="K193" s="161">
        <f>VLOOKUP($A193,'Enroll Data as of January 2025'!$A$3:$M$322,6,FALSE)</f>
        <v>1.325</v>
      </c>
      <c r="L193" s="161">
        <f>VLOOKUP($A193,'Enroll Data as of January 2025'!$A$3:$M$322,7,FALSE)</f>
        <v>0.23499999999999999</v>
      </c>
      <c r="M193" s="161">
        <f>VLOOKUP($A193,'Enroll Data as of January 2025'!$A$3:$M$322,8,FALSE)</f>
        <v>7.8000000000000014E-2</v>
      </c>
      <c r="N193" s="161">
        <f>VLOOKUP($A193,'Enroll Data as of January 2025'!$A$3:$M$322,9,FALSE)</f>
        <v>0.626</v>
      </c>
      <c r="O193" s="165">
        <f t="shared" si="35"/>
        <v>2.2640000000000002</v>
      </c>
      <c r="P193" s="161">
        <f>VLOOKUP($A193,'Enroll Data as of January 2025'!$A$3:$M$322,11,FALSE)</f>
        <v>8.5000000000000006E-2</v>
      </c>
      <c r="Q193" s="161">
        <f>VLOOKUP($A193,'Enroll Data as of January 2025'!$A$3:$M$322,12,FALSE)</f>
        <v>5.3999999999999999E-2</v>
      </c>
      <c r="R193" s="165">
        <f t="shared" si="36"/>
        <v>0.13900000000000001</v>
      </c>
      <c r="S193" s="267">
        <f>IFERROR(VLOOKUP($A193,Supp_39,14,FALSE),0)+IFERROR(SUMPRODUCT(VLOOKUP($A193,S275_01,{14,15,16},FALSE)),0)+IFERROR(SUMPRODUCT(VLOOKUP($A193,S275_97,{14,15,16},FALSE)),0)+IFERROR(ROUND(VLOOKUP($A193,S275_21,14,FALSE)*VLOOKUP($A193,'3121% SY'!$C$3:$M$324,11,FALSE),3),0)+IFERROR(ROUND(VLOOKUP($A193,S275_21,15,FALSE)*VLOOKUP($A193,'3121% SY'!$C$3:$M$324,11,FALSE),3),0)+IFERROR(ROUND(VLOOKUP($A193,S275_21,16,FALSE)*VLOOKUP($A193,'3121% SY'!$C$3:$M$324,11,FALSE),3),0)+IFERROR(VLOOKUP($A193,S275_09,6,FALSE),0)</f>
        <v>0</v>
      </c>
      <c r="T193" s="267">
        <f>IFERROR(VLOOKUP($A193,Supp_42,14,FALSE),0)+IFERROR(SUMPRODUCT(VLOOKUP($A193,S275_01,{17,18,19},FALSE)),0)+IFERROR(SUMPRODUCT(VLOOKUP($A193,S275_97,{17,18,19},FALSE)),0)+IFERROR(ROUND(VLOOKUP($A193,S275_21,17,FALSE)*VLOOKUP($A193,'3121% SY'!$C$3:$M$324,11,FALSE),3),0)+IFERROR(ROUND(VLOOKUP($A193,S275_21,18,FALSE)*VLOOKUP($A193,'3121% SY'!$C$3:$M$324,11,FALSE),3),0)+IFERROR(ROUND(VLOOKUP($A193,S275_21,19,FALSE)*VLOOKUP($A193,'3121% SY'!$C$3:$M$324,11,FALSE),3),0)+IFERROR(VLOOKUP($A193,S275_09,7,FALSE),0)</f>
        <v>0</v>
      </c>
      <c r="U193" s="267">
        <f>IFERROR(VLOOKUP($A193,Supp_43,14,FALSE),0)+IFERROR(SUMPRODUCT(VLOOKUP($A193,S275_01,{20,21,22},FALSE)),0)+IFERROR(SUMPRODUCT(VLOOKUP($A193,S275_97,{20,21,22},FALSE)),0)+IFERROR(ROUND(VLOOKUP($A193,S275_21,20,FALSE)*VLOOKUP($A193,'3121% SY'!$C$3:$M$324,11,FALSE),3),0)+IFERROR(ROUND(VLOOKUP($A193,S275_21,21,FALSE)*VLOOKUP($A193,'3121% SY'!$C$3:$M$324,11,FALSE),3),0)+IFERROR(ROUND(VLOOKUP($A193,S275_21,22,FALSE)*VLOOKUP($A193,'3121% SY'!$C$3:$M$324,11,FALSE),3),0)+IFERROR(VLOOKUP($A193,S275_09,8,FALSE),0)</f>
        <v>0</v>
      </c>
      <c r="V193" s="267">
        <f>IFERROR(VLOOKUP($A193,Supp_44,14,FALSE),0)+IFERROR(SUMPRODUCT(VLOOKUP($A193,S275_01,{23,24,25},FALSE)),0)+IFERROR(SUMPRODUCT(VLOOKUP($A193,S275_97,{23,24,25},FALSE)),0)+IFERROR(ROUND(VLOOKUP($A193,S275_21,23,FALSE)*VLOOKUP($A193,'3121% SY'!$C$3:$M$324,11,FALSE),3),0)+IFERROR(ROUND(VLOOKUP($A193,S275_21,24,FALSE)*VLOOKUP($A193,'3121% SY'!$C$3:$M$324,11,FALSE),3),0)+IFERROR(ROUND(VLOOKUP($A193,S275_21,25,FALSE)*VLOOKUP($A193,'3121% SY'!$C$3:$M$324,11,FALSE),3),0)+IFERROR(VLOOKUP($A193,S275_09,9,FALSE),0)</f>
        <v>0</v>
      </c>
      <c r="W193" s="267">
        <f>IFERROR(VLOOKUP($A193,Supp_45,14,FALSE),0)+IFERROR(SUMPRODUCT(VLOOKUP($A193,S275_01,{26,27,28},FALSE)),0)+IFERROR(SUMPRODUCT(VLOOKUP($A193,S275_97,{26,27,28},FALSE)),0)+IFERROR(ROUND(VLOOKUP($A193,S275_21,26,FALSE)*VLOOKUP($A193,'3121% SY'!$C$3:$M$324,11,FALSE),3),0)+IFERROR(ROUND(VLOOKUP($A193,S275_21,27,FALSE)*VLOOKUP($A193,'3121% SY'!$C$3:$M$324,11,FALSE),3),0)+IFERROR(ROUND(VLOOKUP($A193,S275_21,28,FALSE)*VLOOKUP($A193,'3121% SY'!$C$3:$M$324,11,FALSE),3),0)+IFERROR(VLOOKUP($A193,S275_09,10,FALSE),0)</f>
        <v>0</v>
      </c>
      <c r="X193" s="267">
        <f>IFERROR(VLOOKUP($A193,Supp_46,14,FALSE),0)+IFERROR(SUMPRODUCT(VLOOKUP($A193,S275_01,{29,30,31},FALSE)),0)+IFERROR(SUMPRODUCT(VLOOKUP($A193,S275_97,{29,30,31},FALSE)),0)+IFERROR(ROUND(VLOOKUP($A193,S275_21,29,FALSE)*VLOOKUP($A193,'3121% SY'!$C$3:$M$324,11,FALSE),3),0)+IFERROR(ROUND(VLOOKUP($A193,S275_21,30,FALSE)*VLOOKUP($A193,'3121% SY'!$C$3:$M$324,11,FALSE),3),0)+IFERROR(ROUND(VLOOKUP($A193,S275_21,31,FALSE)*VLOOKUP($A193,'3121% SY'!$C$3:$M$324,11,FALSE),3),0)+IFERROR(VLOOKUP($A193,S275_09,11,FALSE),0)</f>
        <v>0</v>
      </c>
      <c r="Y193" s="267">
        <f>IFERROR(VLOOKUP($A193,Supp_47,14,FALSE),0)+IFERROR(SUMPRODUCT(VLOOKUP($A193,S275_01,{32,33,34},FALSE)),0)+IFERROR(SUMPRODUCT(VLOOKUP($A193,S275_97,{32,33,34},FALSE)),0)+IFERROR(ROUND(VLOOKUP($A193,S275_21,32,FALSE)*VLOOKUP($A193,'3121% SY'!$C$3:$M$324,11,FALSE),3),0)+IFERROR(ROUND(VLOOKUP($A193,S275_21,33,FALSE)*VLOOKUP($A193,'3121% SY'!$C$3:$M$324,11,FALSE),3),0)+IFERROR(ROUND(VLOOKUP($A193,S275_21,34,FALSE)*VLOOKUP($A193,'3121% SY'!$C$3:$M$324,11,FALSE),3),0)+IFERROR(VLOOKUP($A193,S275_09,12,FALSE),0)</f>
        <v>0</v>
      </c>
      <c r="Z193" s="267">
        <f>IFERROR(VLOOKUP($A193,Supp_48,14,FALSE),0)+IFERROR(SUMPRODUCT(VLOOKUP($A193,S275_01,{35,36,37},FALSE)),0)+IFERROR(SUMPRODUCT(VLOOKUP($A193,S275_97,{35,36,37},FALSE)),0)+IFERROR(ROUND(VLOOKUP($A193,S275_21,35,FALSE)*VLOOKUP($A193,'3121% SY'!$C$3:$M$324,11,FALSE),3),0)+IFERROR(ROUND(VLOOKUP($A193,S275_21,36,FALSE)*VLOOKUP($A193,'3121% SY'!$C$3:$M$324,11,FALSE),3),0)+IFERROR(ROUND(VLOOKUP($A193,S275_21,37,FALSE)*VLOOKUP($A193,'3121% SY'!$C$3:$M$324,11,FALSE),3),0)+IFERROR(VLOOKUP($A193,S275_09,13,FALSE),0)</f>
        <v>0</v>
      </c>
      <c r="AA193" s="267">
        <f>IFERROR(VLOOKUP($A193,Supp_49,14,FALSE),0)+IFERROR(SUMPRODUCT(VLOOKUP($A193,S275_01,{38,39,40},FALSE)),0)+IFERROR(SUMPRODUCT(VLOOKUP($A193,S275_97,{38,39,40},FALSE)),0)+IFERROR(ROUND(VLOOKUP($A193,S275_21,38,FALSE)*VLOOKUP($A193,'3121% SY'!$C$3:$M$324,11,FALSE),3),0)+IFERROR(ROUND(VLOOKUP($A193,S275_21,39,FALSE)*VLOOKUP($A193,'3121% SY'!$C$3:$M$324,11,FALSE),3),0)+IFERROR(ROUND(VLOOKUP($A193,S275_21,40,FALSE)*VLOOKUP($A193,'3121% SY'!$C$3:$M$324,11,FALSE),3),0)+IFERROR(VLOOKUP($A193,S275_09,14,FALSE),0)</f>
        <v>0</v>
      </c>
      <c r="AB193" s="267">
        <f>IFERROR(VLOOKUP($A193,Supp_64,14,FALSE),0)+IFERROR(SUMPRODUCT(VLOOKUP($A193,S275_01,{41,42,43},FALSE)),0)+IFERROR(SUMPRODUCT(VLOOKUP($A193,S275_97,{41,42,43},FALSE)),0)+IFERROR(ROUND(VLOOKUP($A193,S275_21,41,FALSE)*VLOOKUP($A193,'3121% SY'!$C$3:$M$324,11,FALSE),3),0)+IFERROR(ROUND(VLOOKUP($A193,S275_21,42,FALSE)*VLOOKUP($A193,'3121% SY'!$C$3:$M$324,11,FALSE),3),0)+IFERROR(ROUND(VLOOKUP($A193,S275_21,43,FALSE)*VLOOKUP($A193,'3121% SY'!$C$3:$M$324,11,FALSE),3),0)+IFERROR(VLOOKUP($A193,S275_09,15,FALSE),0)</f>
        <v>0</v>
      </c>
      <c r="AC193" s="268">
        <f t="shared" si="37"/>
        <v>0</v>
      </c>
      <c r="AD193" s="267">
        <f>IFERROR(VLOOKUP($A193,Supp_24,14,FALSE),0)+IFERROR(SUMPRODUCT(VLOOKUP($A193,S275_01,{2,3,4},FALSE)),0)+IFERROR(SUMPRODUCT(VLOOKUP($A193,S275_97,{2,3,4},FALSE)),0)+IFERROR(ROUND(VLOOKUP($A193,S275_21,2,FALSE)*VLOOKUP($A193,'3121% SY'!$C$3:$M$324,11,FALSE),3),0)+IFERROR(ROUND(VLOOKUP($A193,S275_21,3,FALSE)*VLOOKUP($A193,'3121% SY'!$C$3:$M$324,11,FALSE),3),0)+IFERROR(ROUND(VLOOKUP($A193,S275_21,4,FALSE)*VLOOKUP($A193,'3121% SY'!$C$3:$M$324,11,FALSE),3),0)+IFERROR(VLOOKUP($A193,S275_09,2,FALSE),0)</f>
        <v>0</v>
      </c>
      <c r="AE193" s="267">
        <f>IFERROR(VLOOKUP($A193,Supp_25,14,FALSE),0)+IFERROR(SUMPRODUCT(VLOOKUP($A193,S275_01,{5,6,7},FALSE)),0)+IFERROR(SUMPRODUCT(VLOOKUP($A193,S275_97,{5,6,7},FALSE)),0)+IFERROR(ROUND(VLOOKUP($A193,S275_21,5,FALSE)*VLOOKUP($A193,'3121% SY'!$C$3:$M$324,11,FALSE),3),0)+IFERROR(ROUND(VLOOKUP($A193,S275_21,6,FALSE)*VLOOKUP($A193,'3121% SY'!$C$3:$M$324,11,FALSE),3),0)+IFERROR(ROUND(VLOOKUP($A193,S275_21,7,FALSE)*VLOOKUP($A193,'3121% SY'!$C$3:$M$324,11,FALSE),3),0)+IFERROR(VLOOKUP($A193,S275_09,3,FALSE),0)</f>
        <v>1.0840000000000001</v>
      </c>
      <c r="AF193" s="267">
        <f>IFERROR(VLOOKUP($A193,Supp_26,14,FALSE),0)+IFERROR(SUMPRODUCT(VLOOKUP($A193,S275_01,{8,9,10},FALSE)),0)+IFERROR(SUMPRODUCT(VLOOKUP($A193,S275_97,{8,9,10},FALSE)),0)+IFERROR(ROUND(VLOOKUP($A193,S275_21,8,FALSE)*VLOOKUP($A193,'3121% SY'!$C$3:$M$324,11,FALSE),3),0)+IFERROR(ROUND(VLOOKUP($A193,S275_21,9,FALSE)*VLOOKUP($A193,'3121% SY'!$C$3:$M$324,11,FALSE),3),0)+IFERROR(ROUND(VLOOKUP($A193,S275_21,10,FALSE)*VLOOKUP($A193,'3121% SY'!$C$3:$M$324,11,FALSE),3),0)+IFERROR(VLOOKUP($A193,S275_09,4,FALSE),0)</f>
        <v>0.35899999999999999</v>
      </c>
      <c r="AG193" s="267">
        <f>IFERROR(VLOOKUP($A193,Supp_35,14,FALSE),0)+IFERROR(SUMPRODUCT(VLOOKUP($A193,S275_01,{11,12,13},FALSE)),0)+IFERROR(SUMPRODUCT(VLOOKUP($A193,S275_97,{11,12,13},FALSE)),0)+IFERROR(ROUND(VLOOKUP($A193,S275_21,11,FALSE)*VLOOKUP($A193,'3121% SY'!$C$3:$M$324,11,FALSE),3),0)+IFERROR(ROUND(VLOOKUP($A193,S275_21,12,FALSE)*VLOOKUP($A193,'3121% SY'!$C$3:$M$324,11,FALSE),3),0)+IFERROR(ROUND(VLOOKUP($A193,S275_21,13,FALSE)*VLOOKUP($A193,'3121% SY'!$C$3:$M$324,11,FALSE),3),0)+IFERROR(VLOOKUP($A193,S275_09,5,FALSE),0)</f>
        <v>0</v>
      </c>
      <c r="AH193" s="165">
        <f t="shared" si="38"/>
        <v>1.4430000000000001</v>
      </c>
      <c r="AI193" s="161">
        <f>IFERROR(VLOOKUP(A193,'Supp Staff Data'!A:ER,148,FALSE),0)+AB193</f>
        <v>0</v>
      </c>
      <c r="AJ193" s="174">
        <v>1</v>
      </c>
      <c r="AK193" s="25">
        <f>VLOOKUP(A193,'Enroll Data as of January 2025'!$A$3:$T$323,20,FALSE)-F193</f>
        <v>0</v>
      </c>
    </row>
    <row r="194" spans="1:37" x14ac:dyDescent="0.25">
      <c r="A194" s="171" t="s">
        <v>259</v>
      </c>
      <c r="B194" t="s">
        <v>555</v>
      </c>
      <c r="C194" s="173" t="s">
        <v>1077</v>
      </c>
      <c r="D194" s="259">
        <f t="shared" si="30"/>
        <v>6.5410000000000004</v>
      </c>
      <c r="E194" s="259">
        <f t="shared" si="31"/>
        <v>6.5440000000000005</v>
      </c>
      <c r="F194" s="262">
        <f t="shared" si="39"/>
        <v>3.0000000000000001E-3</v>
      </c>
      <c r="G194" s="161">
        <f>ROUND(IF(F194&lt;0,F194*'2024-25 PSES Compliance'!$G$13,0),3)</f>
        <v>0</v>
      </c>
      <c r="H194" s="161">
        <f>ROUND(IF(F194&lt;0,F194*'2024-25 PSES Compliance'!$G$14,0),3)</f>
        <v>0</v>
      </c>
      <c r="I194" s="174">
        <f t="shared" si="33"/>
        <v>0</v>
      </c>
      <c r="J194" s="174">
        <f t="shared" si="34"/>
        <v>1.0100855745721269</v>
      </c>
      <c r="K194" s="161">
        <f>VLOOKUP($A194,'Enroll Data as of January 2025'!$A$3:$M$322,6,FALSE)</f>
        <v>3.66</v>
      </c>
      <c r="L194" s="161">
        <f>VLOOKUP($A194,'Enroll Data as of January 2025'!$A$3:$M$322,7,FALSE)</f>
        <v>0.6120000000000001</v>
      </c>
      <c r="M194" s="161">
        <f>VLOOKUP($A194,'Enroll Data as of January 2025'!$A$3:$M$322,8,FALSE)</f>
        <v>0.20499999999999999</v>
      </c>
      <c r="N194" s="161">
        <f>VLOOKUP($A194,'Enroll Data as of January 2025'!$A$3:$M$322,9,FALSE)</f>
        <v>1.6970000000000001</v>
      </c>
      <c r="O194" s="165">
        <f t="shared" si="35"/>
        <v>6.1740000000000004</v>
      </c>
      <c r="P194" s="161">
        <f>VLOOKUP($A194,'Enroll Data as of January 2025'!$A$3:$M$322,11,FALSE)</f>
        <v>0.22900000000000001</v>
      </c>
      <c r="Q194" s="161">
        <f>VLOOKUP($A194,'Enroll Data as of January 2025'!$A$3:$M$322,12,FALSE)</f>
        <v>0.13800000000000001</v>
      </c>
      <c r="R194" s="165">
        <f t="shared" si="36"/>
        <v>0.36699999999999999</v>
      </c>
      <c r="S194" s="267">
        <f>IFERROR(VLOOKUP($A194,Supp_39,14,FALSE),0)+IFERROR(SUMPRODUCT(VLOOKUP($A194,S275_01,{14,15,16},FALSE)),0)+IFERROR(SUMPRODUCT(VLOOKUP($A194,S275_97,{14,15,16},FALSE)),0)+IFERROR(ROUND(VLOOKUP($A194,S275_21,14,FALSE)*VLOOKUP($A194,'3121% SY'!$C$3:$M$324,11,FALSE),3),0)+IFERROR(ROUND(VLOOKUP($A194,S275_21,15,FALSE)*VLOOKUP($A194,'3121% SY'!$C$3:$M$324,11,FALSE),3),0)+IFERROR(ROUND(VLOOKUP($A194,S275_21,16,FALSE)*VLOOKUP($A194,'3121% SY'!$C$3:$M$324,11,FALSE),3),0)+IFERROR(VLOOKUP($A194,S275_09,6,FALSE),0)</f>
        <v>2.5499999999999998</v>
      </c>
      <c r="T194" s="267">
        <f>IFERROR(VLOOKUP($A194,Supp_42,14,FALSE),0)+IFERROR(SUMPRODUCT(VLOOKUP($A194,S275_01,{17,18,19},FALSE)),0)+IFERROR(SUMPRODUCT(VLOOKUP($A194,S275_97,{17,18,19},FALSE)),0)+IFERROR(ROUND(VLOOKUP($A194,S275_21,17,FALSE)*VLOOKUP($A194,'3121% SY'!$C$3:$M$324,11,FALSE),3),0)+IFERROR(ROUND(VLOOKUP($A194,S275_21,18,FALSE)*VLOOKUP($A194,'3121% SY'!$C$3:$M$324,11,FALSE),3),0)+IFERROR(ROUND(VLOOKUP($A194,S275_21,19,FALSE)*VLOOKUP($A194,'3121% SY'!$C$3:$M$324,11,FALSE),3),0)+IFERROR(VLOOKUP($A194,S275_09,7,FALSE),0)</f>
        <v>0.6</v>
      </c>
      <c r="U194" s="267">
        <f>IFERROR(VLOOKUP($A194,Supp_43,14,FALSE),0)+IFERROR(SUMPRODUCT(VLOOKUP($A194,S275_01,{20,21,22},FALSE)),0)+IFERROR(SUMPRODUCT(VLOOKUP($A194,S275_97,{20,21,22},FALSE)),0)+IFERROR(ROUND(VLOOKUP($A194,S275_21,20,FALSE)*VLOOKUP($A194,'3121% SY'!$C$3:$M$324,11,FALSE),3),0)+IFERROR(ROUND(VLOOKUP($A194,S275_21,21,FALSE)*VLOOKUP($A194,'3121% SY'!$C$3:$M$324,11,FALSE),3),0)+IFERROR(ROUND(VLOOKUP($A194,S275_21,22,FALSE)*VLOOKUP($A194,'3121% SY'!$C$3:$M$324,11,FALSE),3),0)+IFERROR(VLOOKUP($A194,S275_09,8,FALSE),0)</f>
        <v>0.249</v>
      </c>
      <c r="V194" s="267">
        <f>IFERROR(VLOOKUP($A194,Supp_44,14,FALSE),0)+IFERROR(SUMPRODUCT(VLOOKUP($A194,S275_01,{23,24,25},FALSE)),0)+IFERROR(SUMPRODUCT(VLOOKUP($A194,S275_97,{23,24,25},FALSE)),0)+IFERROR(ROUND(VLOOKUP($A194,S275_21,23,FALSE)*VLOOKUP($A194,'3121% SY'!$C$3:$M$324,11,FALSE),3),0)+IFERROR(ROUND(VLOOKUP($A194,S275_21,24,FALSE)*VLOOKUP($A194,'3121% SY'!$C$3:$M$324,11,FALSE),3),0)+IFERROR(ROUND(VLOOKUP($A194,S275_21,25,FALSE)*VLOOKUP($A194,'3121% SY'!$C$3:$M$324,11,FALSE),3),0)+IFERROR(VLOOKUP($A194,S275_09,9,FALSE),0)</f>
        <v>0</v>
      </c>
      <c r="W194" s="267">
        <f>IFERROR(VLOOKUP($A194,Supp_45,14,FALSE),0)+IFERROR(SUMPRODUCT(VLOOKUP($A194,S275_01,{26,27,28},FALSE)),0)+IFERROR(SUMPRODUCT(VLOOKUP($A194,S275_97,{26,27,28},FALSE)),0)+IFERROR(ROUND(VLOOKUP($A194,S275_21,26,FALSE)*VLOOKUP($A194,'3121% SY'!$C$3:$M$324,11,FALSE),3),0)+IFERROR(ROUND(VLOOKUP($A194,S275_21,27,FALSE)*VLOOKUP($A194,'3121% SY'!$C$3:$M$324,11,FALSE),3),0)+IFERROR(ROUND(VLOOKUP($A194,S275_21,28,FALSE)*VLOOKUP($A194,'3121% SY'!$C$3:$M$324,11,FALSE),3),0)+IFERROR(VLOOKUP($A194,S275_09,10,FALSE),0)</f>
        <v>0.88600000000000001</v>
      </c>
      <c r="X194" s="267">
        <f>IFERROR(VLOOKUP($A194,Supp_46,14,FALSE),0)+IFERROR(SUMPRODUCT(VLOOKUP($A194,S275_01,{29,30,31},FALSE)),0)+IFERROR(SUMPRODUCT(VLOOKUP($A194,S275_97,{29,30,31},FALSE)),0)+IFERROR(ROUND(VLOOKUP($A194,S275_21,29,FALSE)*VLOOKUP($A194,'3121% SY'!$C$3:$M$324,11,FALSE),3),0)+IFERROR(ROUND(VLOOKUP($A194,S275_21,30,FALSE)*VLOOKUP($A194,'3121% SY'!$C$3:$M$324,11,FALSE),3),0)+IFERROR(ROUND(VLOOKUP($A194,S275_21,31,FALSE)*VLOOKUP($A194,'3121% SY'!$C$3:$M$324,11,FALSE),3),0)+IFERROR(VLOOKUP($A194,S275_09,11,FALSE),0)</f>
        <v>0.498</v>
      </c>
      <c r="Y194" s="267">
        <f>IFERROR(VLOOKUP($A194,Supp_47,14,FALSE),0)+IFERROR(SUMPRODUCT(VLOOKUP($A194,S275_01,{32,33,34},FALSE)),0)+IFERROR(SUMPRODUCT(VLOOKUP($A194,S275_97,{32,33,34},FALSE)),0)+IFERROR(ROUND(VLOOKUP($A194,S275_21,32,FALSE)*VLOOKUP($A194,'3121% SY'!$C$3:$M$324,11,FALSE),3),0)+IFERROR(ROUND(VLOOKUP($A194,S275_21,33,FALSE)*VLOOKUP($A194,'3121% SY'!$C$3:$M$324,11,FALSE),3),0)+IFERROR(ROUND(VLOOKUP($A194,S275_21,34,FALSE)*VLOOKUP($A194,'3121% SY'!$C$3:$M$324,11,FALSE),3),0)+IFERROR(VLOOKUP($A194,S275_09,12,FALSE),0)</f>
        <v>0</v>
      </c>
      <c r="Z194" s="267">
        <f>IFERROR(VLOOKUP($A194,Supp_48,14,FALSE),0)+IFERROR(SUMPRODUCT(VLOOKUP($A194,S275_01,{35,36,37},FALSE)),0)+IFERROR(SUMPRODUCT(VLOOKUP($A194,S275_97,{35,36,37},FALSE)),0)+IFERROR(ROUND(VLOOKUP($A194,S275_21,35,FALSE)*VLOOKUP($A194,'3121% SY'!$C$3:$M$324,11,FALSE),3),0)+IFERROR(ROUND(VLOOKUP($A194,S275_21,36,FALSE)*VLOOKUP($A194,'3121% SY'!$C$3:$M$324,11,FALSE),3),0)+IFERROR(ROUND(VLOOKUP($A194,S275_21,37,FALSE)*VLOOKUP($A194,'3121% SY'!$C$3:$M$324,11,FALSE),3),0)+IFERROR(VLOOKUP($A194,S275_09,13,FALSE),0)</f>
        <v>0</v>
      </c>
      <c r="AA194" s="267">
        <f>IFERROR(VLOOKUP($A194,Supp_49,14,FALSE),0)+IFERROR(SUMPRODUCT(VLOOKUP($A194,S275_01,{38,39,40},FALSE)),0)+IFERROR(SUMPRODUCT(VLOOKUP($A194,S275_97,{38,39,40},FALSE)),0)+IFERROR(ROUND(VLOOKUP($A194,S275_21,38,FALSE)*VLOOKUP($A194,'3121% SY'!$C$3:$M$324,11,FALSE),3),0)+IFERROR(ROUND(VLOOKUP($A194,S275_21,39,FALSE)*VLOOKUP($A194,'3121% SY'!$C$3:$M$324,11,FALSE),3),0)+IFERROR(ROUND(VLOOKUP($A194,S275_21,40,FALSE)*VLOOKUP($A194,'3121% SY'!$C$3:$M$324,11,FALSE),3),0)+IFERROR(VLOOKUP($A194,S275_09,14,FALSE),0)</f>
        <v>0.26100000000000001</v>
      </c>
      <c r="AB194" s="267">
        <f>IFERROR(VLOOKUP($A194,Supp_64,14,FALSE),0)+IFERROR(SUMPRODUCT(VLOOKUP($A194,S275_01,{41,42,43},FALSE)),0)+IFERROR(SUMPRODUCT(VLOOKUP($A194,S275_97,{41,42,43},FALSE)),0)+IFERROR(ROUND(VLOOKUP($A194,S275_21,41,FALSE)*VLOOKUP($A194,'3121% SY'!$C$3:$M$324,11,FALSE),3),0)+IFERROR(ROUND(VLOOKUP($A194,S275_21,42,FALSE)*VLOOKUP($A194,'3121% SY'!$C$3:$M$324,11,FALSE),3),0)+IFERROR(ROUND(VLOOKUP($A194,S275_21,43,FALSE)*VLOOKUP($A194,'3121% SY'!$C$3:$M$324,11,FALSE),3),0)+IFERROR(VLOOKUP($A194,S275_09,15,FALSE),0)</f>
        <v>0</v>
      </c>
      <c r="AC194" s="268">
        <f t="shared" si="37"/>
        <v>5.0440000000000005</v>
      </c>
      <c r="AD194" s="267">
        <f>IFERROR(VLOOKUP($A194,Supp_24,14,FALSE),0)+IFERROR(SUMPRODUCT(VLOOKUP($A194,S275_01,{2,3,4},FALSE)),0)+IFERROR(SUMPRODUCT(VLOOKUP($A194,S275_97,{2,3,4},FALSE)),0)+IFERROR(ROUND(VLOOKUP($A194,S275_21,2,FALSE)*VLOOKUP($A194,'3121% SY'!$C$3:$M$324,11,FALSE),3),0)+IFERROR(ROUND(VLOOKUP($A194,S275_21,3,FALSE)*VLOOKUP($A194,'3121% SY'!$C$3:$M$324,11,FALSE),3),0)+IFERROR(ROUND(VLOOKUP($A194,S275_21,4,FALSE)*VLOOKUP($A194,'3121% SY'!$C$3:$M$324,11,FALSE),3),0)+IFERROR(VLOOKUP($A194,S275_09,2,FALSE),0)</f>
        <v>0</v>
      </c>
      <c r="AE194" s="267">
        <f>IFERROR(VLOOKUP($A194,Supp_25,14,FALSE),0)+IFERROR(SUMPRODUCT(VLOOKUP($A194,S275_01,{5,6,7},FALSE)),0)+IFERROR(SUMPRODUCT(VLOOKUP($A194,S275_97,{5,6,7},FALSE)),0)+IFERROR(ROUND(VLOOKUP($A194,S275_21,5,FALSE)*VLOOKUP($A194,'3121% SY'!$C$3:$M$324,11,FALSE),3),0)+IFERROR(ROUND(VLOOKUP($A194,S275_21,6,FALSE)*VLOOKUP($A194,'3121% SY'!$C$3:$M$324,11,FALSE),3),0)+IFERROR(ROUND(VLOOKUP($A194,S275_21,7,FALSE)*VLOOKUP($A194,'3121% SY'!$C$3:$M$324,11,FALSE),3),0)+IFERROR(VLOOKUP($A194,S275_09,3,FALSE),0)</f>
        <v>0</v>
      </c>
      <c r="AF194" s="267">
        <f>IFERROR(VLOOKUP($A194,Supp_26,14,FALSE),0)+IFERROR(SUMPRODUCT(VLOOKUP($A194,S275_01,{8,9,10},FALSE)),0)+IFERROR(SUMPRODUCT(VLOOKUP($A194,S275_97,{8,9,10},FALSE)),0)+IFERROR(ROUND(VLOOKUP($A194,S275_21,8,FALSE)*VLOOKUP($A194,'3121% SY'!$C$3:$M$324,11,FALSE),3),0)+IFERROR(ROUND(VLOOKUP($A194,S275_21,9,FALSE)*VLOOKUP($A194,'3121% SY'!$C$3:$M$324,11,FALSE),3),0)+IFERROR(ROUND(VLOOKUP($A194,S275_21,10,FALSE)*VLOOKUP($A194,'3121% SY'!$C$3:$M$324,11,FALSE),3),0)+IFERROR(VLOOKUP($A194,S275_09,4,FALSE),0)</f>
        <v>1.5</v>
      </c>
      <c r="AG194" s="267">
        <f>IFERROR(VLOOKUP($A194,Supp_35,14,FALSE),0)+IFERROR(SUMPRODUCT(VLOOKUP($A194,S275_01,{11,12,13},FALSE)),0)+IFERROR(SUMPRODUCT(VLOOKUP($A194,S275_97,{11,12,13},FALSE)),0)+IFERROR(ROUND(VLOOKUP($A194,S275_21,11,FALSE)*VLOOKUP($A194,'3121% SY'!$C$3:$M$324,11,FALSE),3),0)+IFERROR(ROUND(VLOOKUP($A194,S275_21,12,FALSE)*VLOOKUP($A194,'3121% SY'!$C$3:$M$324,11,FALSE),3),0)+IFERROR(ROUND(VLOOKUP($A194,S275_21,13,FALSE)*VLOOKUP($A194,'3121% SY'!$C$3:$M$324,11,FALSE),3),0)+IFERROR(VLOOKUP($A194,S275_09,5,FALSE),0)</f>
        <v>0</v>
      </c>
      <c r="AH194" s="165">
        <f t="shared" si="38"/>
        <v>1.5</v>
      </c>
      <c r="AI194" s="161">
        <f>IFERROR(VLOOKUP(A194,'Supp Staff Data'!A:ER,148,FALSE),0)+AB194</f>
        <v>6.6099999999999994</v>
      </c>
      <c r="AJ194" s="174">
        <v>0</v>
      </c>
      <c r="AK194" s="25">
        <f>VLOOKUP(A194,'Enroll Data as of January 2025'!$A$3:$T$323,20,FALSE)-F194</f>
        <v>0</v>
      </c>
    </row>
    <row r="195" spans="1:37" x14ac:dyDescent="0.25">
      <c r="A195" s="171" t="s">
        <v>652</v>
      </c>
      <c r="B195" t="s">
        <v>653</v>
      </c>
      <c r="C195" s="173" t="s">
        <v>1086</v>
      </c>
      <c r="D195" s="259">
        <f t="shared" si="30"/>
        <v>2.8759999999999999</v>
      </c>
      <c r="E195" s="259">
        <f t="shared" si="31"/>
        <v>1.3919999999999999</v>
      </c>
      <c r="F195" s="262">
        <f t="shared" si="39"/>
        <v>-1.484</v>
      </c>
      <c r="G195" s="161">
        <f>ROUND(IF(F195&lt;0,F195*'2024-25 PSES Compliance'!$G$13,0),3)</f>
        <v>-1.425</v>
      </c>
      <c r="H195" s="161">
        <f>ROUND(IF(F195&lt;0,F195*'2024-25 PSES Compliance'!$G$14,0),3)</f>
        <v>-5.8999999999999997E-2</v>
      </c>
      <c r="I195" s="174">
        <f t="shared" si="33"/>
        <v>0.46264367816091956</v>
      </c>
      <c r="J195" s="174">
        <f t="shared" si="34"/>
        <v>0</v>
      </c>
      <c r="K195" s="161">
        <f>VLOOKUP($A195,'Enroll Data as of January 2025'!$A$3:$M$322,6,FALSE)</f>
        <v>1.458</v>
      </c>
      <c r="L195" s="161">
        <f>VLOOKUP($A195,'Enroll Data as of January 2025'!$A$3:$M$322,7,FALSE)</f>
        <v>0.32900000000000001</v>
      </c>
      <c r="M195" s="161">
        <f>VLOOKUP($A195,'Enroll Data as of January 2025'!$A$3:$M$322,8,FALSE)</f>
        <v>0.109</v>
      </c>
      <c r="N195" s="161">
        <f>VLOOKUP($A195,'Enroll Data as of January 2025'!$A$3:$M$322,9,FALSE)</f>
        <v>0.79700000000000004</v>
      </c>
      <c r="O195" s="165">
        <f t="shared" si="35"/>
        <v>2.6930000000000001</v>
      </c>
      <c r="P195" s="161">
        <f>VLOOKUP($A195,'Enroll Data as of January 2025'!$A$3:$M$322,11,FALSE)</f>
        <v>0.10200000000000001</v>
      </c>
      <c r="Q195" s="161">
        <f>VLOOKUP($A195,'Enroll Data as of January 2025'!$A$3:$M$322,12,FALSE)</f>
        <v>8.1000000000000003E-2</v>
      </c>
      <c r="R195" s="165">
        <f t="shared" si="36"/>
        <v>0.183</v>
      </c>
      <c r="S195" s="267">
        <f>IFERROR(VLOOKUP($A195,Supp_39,14,FALSE),0)+IFERROR(SUMPRODUCT(VLOOKUP($A195,S275_01,{14,15,16},FALSE)),0)+IFERROR(SUMPRODUCT(VLOOKUP($A195,S275_97,{14,15,16},FALSE)),0)+IFERROR(ROUND(VLOOKUP($A195,S275_21,14,FALSE)*VLOOKUP($A195,'3121% SY'!$C$3:$M$324,11,FALSE),3),0)+IFERROR(ROUND(VLOOKUP($A195,S275_21,15,FALSE)*VLOOKUP($A195,'3121% SY'!$C$3:$M$324,11,FALSE),3),0)+IFERROR(ROUND(VLOOKUP($A195,S275_21,16,FALSE)*VLOOKUP($A195,'3121% SY'!$C$3:$M$324,11,FALSE),3),0)+IFERROR(VLOOKUP($A195,S275_09,6,FALSE),0)</f>
        <v>0</v>
      </c>
      <c r="T195" s="267">
        <f>IFERROR(VLOOKUP($A195,Supp_42,14,FALSE),0)+IFERROR(SUMPRODUCT(VLOOKUP($A195,S275_01,{17,18,19},FALSE)),0)+IFERROR(SUMPRODUCT(VLOOKUP($A195,S275_97,{17,18,19},FALSE)),0)+IFERROR(ROUND(VLOOKUP($A195,S275_21,17,FALSE)*VLOOKUP($A195,'3121% SY'!$C$3:$M$324,11,FALSE),3),0)+IFERROR(ROUND(VLOOKUP($A195,S275_21,18,FALSE)*VLOOKUP($A195,'3121% SY'!$C$3:$M$324,11,FALSE),3),0)+IFERROR(ROUND(VLOOKUP($A195,S275_21,19,FALSE)*VLOOKUP($A195,'3121% SY'!$C$3:$M$324,11,FALSE),3),0)+IFERROR(VLOOKUP($A195,S275_09,7,FALSE),0)</f>
        <v>0</v>
      </c>
      <c r="U195" s="267">
        <f>IFERROR(VLOOKUP($A195,Supp_43,14,FALSE),0)+IFERROR(SUMPRODUCT(VLOOKUP($A195,S275_01,{20,21,22},FALSE)),0)+IFERROR(SUMPRODUCT(VLOOKUP($A195,S275_97,{20,21,22},FALSE)),0)+IFERROR(ROUND(VLOOKUP($A195,S275_21,20,FALSE)*VLOOKUP($A195,'3121% SY'!$C$3:$M$324,11,FALSE),3),0)+IFERROR(ROUND(VLOOKUP($A195,S275_21,21,FALSE)*VLOOKUP($A195,'3121% SY'!$C$3:$M$324,11,FALSE),3),0)+IFERROR(ROUND(VLOOKUP($A195,S275_21,22,FALSE)*VLOOKUP($A195,'3121% SY'!$C$3:$M$324,11,FALSE),3),0)+IFERROR(VLOOKUP($A195,S275_09,8,FALSE),0)</f>
        <v>0</v>
      </c>
      <c r="V195" s="267">
        <f>IFERROR(VLOOKUP($A195,Supp_44,14,FALSE),0)+IFERROR(SUMPRODUCT(VLOOKUP($A195,S275_01,{23,24,25},FALSE)),0)+IFERROR(SUMPRODUCT(VLOOKUP($A195,S275_97,{23,24,25},FALSE)),0)+IFERROR(ROUND(VLOOKUP($A195,S275_21,23,FALSE)*VLOOKUP($A195,'3121% SY'!$C$3:$M$324,11,FALSE),3),0)+IFERROR(ROUND(VLOOKUP($A195,S275_21,24,FALSE)*VLOOKUP($A195,'3121% SY'!$C$3:$M$324,11,FALSE),3),0)+IFERROR(ROUND(VLOOKUP($A195,S275_21,25,FALSE)*VLOOKUP($A195,'3121% SY'!$C$3:$M$324,11,FALSE),3),0)+IFERROR(VLOOKUP($A195,S275_09,9,FALSE),0)</f>
        <v>0</v>
      </c>
      <c r="W195" s="267">
        <f>IFERROR(VLOOKUP($A195,Supp_45,14,FALSE),0)+IFERROR(SUMPRODUCT(VLOOKUP($A195,S275_01,{26,27,28},FALSE)),0)+IFERROR(SUMPRODUCT(VLOOKUP($A195,S275_97,{26,27,28},FALSE)),0)+IFERROR(ROUND(VLOOKUP($A195,S275_21,26,FALSE)*VLOOKUP($A195,'3121% SY'!$C$3:$M$324,11,FALSE),3),0)+IFERROR(ROUND(VLOOKUP($A195,S275_21,27,FALSE)*VLOOKUP($A195,'3121% SY'!$C$3:$M$324,11,FALSE),3),0)+IFERROR(ROUND(VLOOKUP($A195,S275_21,28,FALSE)*VLOOKUP($A195,'3121% SY'!$C$3:$M$324,11,FALSE),3),0)+IFERROR(VLOOKUP($A195,S275_09,10,FALSE),0)</f>
        <v>0</v>
      </c>
      <c r="X195" s="267">
        <f>IFERROR(VLOOKUP($A195,Supp_46,14,FALSE),0)+IFERROR(SUMPRODUCT(VLOOKUP($A195,S275_01,{29,30,31},FALSE)),0)+IFERROR(SUMPRODUCT(VLOOKUP($A195,S275_97,{29,30,31},FALSE)),0)+IFERROR(ROUND(VLOOKUP($A195,S275_21,29,FALSE)*VLOOKUP($A195,'3121% SY'!$C$3:$M$324,11,FALSE),3),0)+IFERROR(ROUND(VLOOKUP($A195,S275_21,30,FALSE)*VLOOKUP($A195,'3121% SY'!$C$3:$M$324,11,FALSE),3),0)+IFERROR(ROUND(VLOOKUP($A195,S275_21,31,FALSE)*VLOOKUP($A195,'3121% SY'!$C$3:$M$324,11,FALSE),3),0)+IFERROR(VLOOKUP($A195,S275_09,11,FALSE),0)</f>
        <v>0.504</v>
      </c>
      <c r="Y195" s="267">
        <f>IFERROR(VLOOKUP($A195,Supp_47,14,FALSE),0)+IFERROR(SUMPRODUCT(VLOOKUP($A195,S275_01,{32,33,34},FALSE)),0)+IFERROR(SUMPRODUCT(VLOOKUP($A195,S275_97,{32,33,34},FALSE)),0)+IFERROR(ROUND(VLOOKUP($A195,S275_21,32,FALSE)*VLOOKUP($A195,'3121% SY'!$C$3:$M$324,11,FALSE),3),0)+IFERROR(ROUND(VLOOKUP($A195,S275_21,33,FALSE)*VLOOKUP($A195,'3121% SY'!$C$3:$M$324,11,FALSE),3),0)+IFERROR(ROUND(VLOOKUP($A195,S275_21,34,FALSE)*VLOOKUP($A195,'3121% SY'!$C$3:$M$324,11,FALSE),3),0)+IFERROR(VLOOKUP($A195,S275_09,12,FALSE),0)</f>
        <v>0.14000000000000001</v>
      </c>
      <c r="Z195" s="267">
        <f>IFERROR(VLOOKUP($A195,Supp_48,14,FALSE),0)+IFERROR(SUMPRODUCT(VLOOKUP($A195,S275_01,{35,36,37},FALSE)),0)+IFERROR(SUMPRODUCT(VLOOKUP($A195,S275_97,{35,36,37},FALSE)),0)+IFERROR(ROUND(VLOOKUP($A195,S275_21,35,FALSE)*VLOOKUP($A195,'3121% SY'!$C$3:$M$324,11,FALSE),3),0)+IFERROR(ROUND(VLOOKUP($A195,S275_21,36,FALSE)*VLOOKUP($A195,'3121% SY'!$C$3:$M$324,11,FALSE),3),0)+IFERROR(ROUND(VLOOKUP($A195,S275_21,37,FALSE)*VLOOKUP($A195,'3121% SY'!$C$3:$M$324,11,FALSE),3),0)+IFERROR(VLOOKUP($A195,S275_09,13,FALSE),0)</f>
        <v>0</v>
      </c>
      <c r="AA195" s="267">
        <f>IFERROR(VLOOKUP($A195,Supp_49,14,FALSE),0)+IFERROR(SUMPRODUCT(VLOOKUP($A195,S275_01,{38,39,40},FALSE)),0)+IFERROR(SUMPRODUCT(VLOOKUP($A195,S275_97,{38,39,40},FALSE)),0)+IFERROR(ROUND(VLOOKUP($A195,S275_21,38,FALSE)*VLOOKUP($A195,'3121% SY'!$C$3:$M$324,11,FALSE),3),0)+IFERROR(ROUND(VLOOKUP($A195,S275_21,39,FALSE)*VLOOKUP($A195,'3121% SY'!$C$3:$M$324,11,FALSE),3),0)+IFERROR(ROUND(VLOOKUP($A195,S275_21,40,FALSE)*VLOOKUP($A195,'3121% SY'!$C$3:$M$324,11,FALSE),3),0)+IFERROR(VLOOKUP($A195,S275_09,14,FALSE),0)</f>
        <v>0</v>
      </c>
      <c r="AB195" s="267">
        <f>IFERROR(VLOOKUP($A195,Supp_64,14,FALSE),0)+IFERROR(SUMPRODUCT(VLOOKUP($A195,S275_01,{41,42,43},FALSE)),0)+IFERROR(SUMPRODUCT(VLOOKUP($A195,S275_97,{41,42,43},FALSE)),0)+IFERROR(ROUND(VLOOKUP($A195,S275_21,41,FALSE)*VLOOKUP($A195,'3121% SY'!$C$3:$M$324,11,FALSE),3),0)+IFERROR(ROUND(VLOOKUP($A195,S275_21,42,FALSE)*VLOOKUP($A195,'3121% SY'!$C$3:$M$324,11,FALSE),3),0)+IFERROR(ROUND(VLOOKUP($A195,S275_21,43,FALSE)*VLOOKUP($A195,'3121% SY'!$C$3:$M$324,11,FALSE),3),0)+IFERROR(VLOOKUP($A195,S275_09,15,FALSE),0)</f>
        <v>0</v>
      </c>
      <c r="AC195" s="268">
        <f t="shared" si="37"/>
        <v>0.64400000000000002</v>
      </c>
      <c r="AD195" s="267">
        <f>IFERROR(VLOOKUP($A195,Supp_24,14,FALSE),0)+IFERROR(SUMPRODUCT(VLOOKUP($A195,S275_01,{2,3,4},FALSE)),0)+IFERROR(SUMPRODUCT(VLOOKUP($A195,S275_97,{2,3,4},FALSE)),0)+IFERROR(ROUND(VLOOKUP($A195,S275_21,2,FALSE)*VLOOKUP($A195,'3121% SY'!$C$3:$M$324,11,FALSE),3),0)+IFERROR(ROUND(VLOOKUP($A195,S275_21,3,FALSE)*VLOOKUP($A195,'3121% SY'!$C$3:$M$324,11,FALSE),3),0)+IFERROR(ROUND(VLOOKUP($A195,S275_21,4,FALSE)*VLOOKUP($A195,'3121% SY'!$C$3:$M$324,11,FALSE),3),0)+IFERROR(VLOOKUP($A195,S275_09,2,FALSE),0)</f>
        <v>0</v>
      </c>
      <c r="AE195" s="267">
        <f>IFERROR(VLOOKUP($A195,Supp_25,14,FALSE),0)+IFERROR(SUMPRODUCT(VLOOKUP($A195,S275_01,{5,6,7},FALSE)),0)+IFERROR(SUMPRODUCT(VLOOKUP($A195,S275_97,{5,6,7},FALSE)),0)+IFERROR(ROUND(VLOOKUP($A195,S275_21,5,FALSE)*VLOOKUP($A195,'3121% SY'!$C$3:$M$324,11,FALSE),3),0)+IFERROR(ROUND(VLOOKUP($A195,S275_21,6,FALSE)*VLOOKUP($A195,'3121% SY'!$C$3:$M$324,11,FALSE),3),0)+IFERROR(ROUND(VLOOKUP($A195,S275_21,7,FALSE)*VLOOKUP($A195,'3121% SY'!$C$3:$M$324,11,FALSE),3),0)+IFERROR(VLOOKUP($A195,S275_09,3,FALSE),0)</f>
        <v>0.748</v>
      </c>
      <c r="AF195" s="267">
        <f>IFERROR(VLOOKUP($A195,Supp_26,14,FALSE),0)+IFERROR(SUMPRODUCT(VLOOKUP($A195,S275_01,{8,9,10},FALSE)),0)+IFERROR(SUMPRODUCT(VLOOKUP($A195,S275_97,{8,9,10},FALSE)),0)+IFERROR(ROUND(VLOOKUP($A195,S275_21,8,FALSE)*VLOOKUP($A195,'3121% SY'!$C$3:$M$324,11,FALSE),3),0)+IFERROR(ROUND(VLOOKUP($A195,S275_21,9,FALSE)*VLOOKUP($A195,'3121% SY'!$C$3:$M$324,11,FALSE),3),0)+IFERROR(ROUND(VLOOKUP($A195,S275_21,10,FALSE)*VLOOKUP($A195,'3121% SY'!$C$3:$M$324,11,FALSE),3),0)+IFERROR(VLOOKUP($A195,S275_09,4,FALSE),0)</f>
        <v>0</v>
      </c>
      <c r="AG195" s="267">
        <f>IFERROR(VLOOKUP($A195,Supp_35,14,FALSE),0)+IFERROR(SUMPRODUCT(VLOOKUP($A195,S275_01,{11,12,13},FALSE)),0)+IFERROR(SUMPRODUCT(VLOOKUP($A195,S275_97,{11,12,13},FALSE)),0)+IFERROR(ROUND(VLOOKUP($A195,S275_21,11,FALSE)*VLOOKUP($A195,'3121% SY'!$C$3:$M$324,11,FALSE),3),0)+IFERROR(ROUND(VLOOKUP($A195,S275_21,12,FALSE)*VLOOKUP($A195,'3121% SY'!$C$3:$M$324,11,FALSE),3),0)+IFERROR(ROUND(VLOOKUP($A195,S275_21,13,FALSE)*VLOOKUP($A195,'3121% SY'!$C$3:$M$324,11,FALSE),3),0)+IFERROR(VLOOKUP($A195,S275_09,5,FALSE),0)</f>
        <v>0</v>
      </c>
      <c r="AH195" s="165">
        <f t="shared" si="38"/>
        <v>0.748</v>
      </c>
      <c r="AI195" s="161">
        <f>IFERROR(VLOOKUP(A195,'Supp Staff Data'!A:ER,148,FALSE),0)+AB195</f>
        <v>0</v>
      </c>
      <c r="AJ195" s="174">
        <v>1</v>
      </c>
      <c r="AK195" s="25">
        <f>VLOOKUP(A195,'Enroll Data as of January 2025'!$A$3:$T$323,20,FALSE)-F195</f>
        <v>0</v>
      </c>
    </row>
    <row r="196" spans="1:37" x14ac:dyDescent="0.25">
      <c r="A196" s="171" t="s">
        <v>238</v>
      </c>
      <c r="B196" t="s">
        <v>534</v>
      </c>
      <c r="C196" s="173" t="s">
        <v>1077</v>
      </c>
      <c r="D196" s="259">
        <f t="shared" si="30"/>
        <v>10.7</v>
      </c>
      <c r="E196" s="259">
        <f t="shared" si="31"/>
        <v>10.574999999999999</v>
      </c>
      <c r="F196" s="262">
        <f t="shared" si="39"/>
        <v>-0.125</v>
      </c>
      <c r="G196" s="161">
        <f>ROUND(IF(F196&lt;0,F196*'2024-25 PSES Compliance'!$G$13,0),3)</f>
        <v>-0.12</v>
      </c>
      <c r="H196" s="161">
        <f>ROUND(IF(F196&lt;0,F196*'2024-25 PSES Compliance'!$G$14,0),3)</f>
        <v>-5.0000000000000001E-3</v>
      </c>
      <c r="I196" s="174">
        <f t="shared" si="33"/>
        <v>0.74174940898345154</v>
      </c>
      <c r="J196" s="174">
        <f t="shared" si="34"/>
        <v>0</v>
      </c>
      <c r="K196" s="161">
        <f>VLOOKUP($A196,'Enroll Data as of January 2025'!$A$3:$M$322,6,FALSE)</f>
        <v>6.0640000000000001</v>
      </c>
      <c r="L196" s="161">
        <f>VLOOKUP($A196,'Enroll Data as of January 2025'!$A$3:$M$322,7,FALSE)</f>
        <v>0.95</v>
      </c>
      <c r="M196" s="161">
        <f>VLOOKUP($A196,'Enroll Data as of January 2025'!$A$3:$M$322,8,FALSE)</f>
        <v>0.31800000000000006</v>
      </c>
      <c r="N196" s="161">
        <f>VLOOKUP($A196,'Enroll Data as of January 2025'!$A$3:$M$322,9,FALSE)</f>
        <v>2.7839999999999998</v>
      </c>
      <c r="O196" s="165">
        <f t="shared" si="35"/>
        <v>10.116</v>
      </c>
      <c r="P196" s="161">
        <f>VLOOKUP($A196,'Enroll Data as of January 2025'!$A$3:$M$322,11,FALSE)</f>
        <v>0.375</v>
      </c>
      <c r="Q196" s="161">
        <f>VLOOKUP($A196,'Enroll Data as of January 2025'!$A$3:$M$322,12,FALSE)</f>
        <v>0.20899999999999999</v>
      </c>
      <c r="R196" s="165">
        <f t="shared" si="36"/>
        <v>0.58399999999999996</v>
      </c>
      <c r="S196" s="267">
        <f>IFERROR(VLOOKUP($A196,Supp_39,14,FALSE),0)+IFERROR(SUMPRODUCT(VLOOKUP($A196,S275_01,{14,15,16},FALSE)),0)+IFERROR(SUMPRODUCT(VLOOKUP($A196,S275_97,{14,15,16},FALSE)),0)+IFERROR(ROUND(VLOOKUP($A196,S275_21,14,FALSE)*VLOOKUP($A196,'3121% SY'!$C$3:$M$324,11,FALSE),3),0)+IFERROR(ROUND(VLOOKUP($A196,S275_21,15,FALSE)*VLOOKUP($A196,'3121% SY'!$C$3:$M$324,11,FALSE),3),0)+IFERROR(ROUND(VLOOKUP($A196,S275_21,16,FALSE)*VLOOKUP($A196,'3121% SY'!$C$3:$M$324,11,FALSE),3),0)+IFERROR(VLOOKUP($A196,S275_09,6,FALSE),0)</f>
        <v>4</v>
      </c>
      <c r="T196" s="267">
        <f>IFERROR(VLOOKUP($A196,Supp_42,14,FALSE),0)+IFERROR(SUMPRODUCT(VLOOKUP($A196,S275_01,{17,18,19},FALSE)),0)+IFERROR(SUMPRODUCT(VLOOKUP($A196,S275_97,{17,18,19},FALSE)),0)+IFERROR(ROUND(VLOOKUP($A196,S275_21,17,FALSE)*VLOOKUP($A196,'3121% SY'!$C$3:$M$324,11,FALSE),3),0)+IFERROR(ROUND(VLOOKUP($A196,S275_21,18,FALSE)*VLOOKUP($A196,'3121% SY'!$C$3:$M$324,11,FALSE),3),0)+IFERROR(ROUND(VLOOKUP($A196,S275_21,19,FALSE)*VLOOKUP($A196,'3121% SY'!$C$3:$M$324,11,FALSE),3),0)+IFERROR(VLOOKUP($A196,S275_09,7,FALSE),0)</f>
        <v>1</v>
      </c>
      <c r="U196" s="267">
        <f>IFERROR(VLOOKUP($A196,Supp_43,14,FALSE),0)+IFERROR(SUMPRODUCT(VLOOKUP($A196,S275_01,{20,21,22},FALSE)),0)+IFERROR(SUMPRODUCT(VLOOKUP($A196,S275_97,{20,21,22},FALSE)),0)+IFERROR(ROUND(VLOOKUP($A196,S275_21,20,FALSE)*VLOOKUP($A196,'3121% SY'!$C$3:$M$324,11,FALSE),3),0)+IFERROR(ROUND(VLOOKUP($A196,S275_21,21,FALSE)*VLOOKUP($A196,'3121% SY'!$C$3:$M$324,11,FALSE),3),0)+IFERROR(ROUND(VLOOKUP($A196,S275_21,22,FALSE)*VLOOKUP($A196,'3121% SY'!$C$3:$M$324,11,FALSE),3),0)+IFERROR(VLOOKUP($A196,S275_09,8,FALSE),0)</f>
        <v>0.20300000000000001</v>
      </c>
      <c r="V196" s="267">
        <f>IFERROR(VLOOKUP($A196,Supp_44,14,FALSE),0)+IFERROR(SUMPRODUCT(VLOOKUP($A196,S275_01,{23,24,25},FALSE)),0)+IFERROR(SUMPRODUCT(VLOOKUP($A196,S275_97,{23,24,25},FALSE)),0)+IFERROR(ROUND(VLOOKUP($A196,S275_21,23,FALSE)*VLOOKUP($A196,'3121% SY'!$C$3:$M$324,11,FALSE),3),0)+IFERROR(ROUND(VLOOKUP($A196,S275_21,24,FALSE)*VLOOKUP($A196,'3121% SY'!$C$3:$M$324,11,FALSE),3),0)+IFERROR(ROUND(VLOOKUP($A196,S275_21,25,FALSE)*VLOOKUP($A196,'3121% SY'!$C$3:$M$324,11,FALSE),3),0)+IFERROR(VLOOKUP($A196,S275_09,9,FALSE),0)</f>
        <v>0</v>
      </c>
      <c r="W196" s="267">
        <f>IFERROR(VLOOKUP($A196,Supp_45,14,FALSE),0)+IFERROR(SUMPRODUCT(VLOOKUP($A196,S275_01,{26,27,28},FALSE)),0)+IFERROR(SUMPRODUCT(VLOOKUP($A196,S275_97,{26,27,28},FALSE)),0)+IFERROR(ROUND(VLOOKUP($A196,S275_21,26,FALSE)*VLOOKUP($A196,'3121% SY'!$C$3:$M$324,11,FALSE),3),0)+IFERROR(ROUND(VLOOKUP($A196,S275_21,27,FALSE)*VLOOKUP($A196,'3121% SY'!$C$3:$M$324,11,FALSE),3),0)+IFERROR(ROUND(VLOOKUP($A196,S275_21,28,FALSE)*VLOOKUP($A196,'3121% SY'!$C$3:$M$324,11,FALSE),3),0)+IFERROR(VLOOKUP($A196,S275_09,10,FALSE),0)</f>
        <v>0.7340000000000001</v>
      </c>
      <c r="X196" s="267">
        <f>IFERROR(VLOOKUP($A196,Supp_46,14,FALSE),0)+IFERROR(SUMPRODUCT(VLOOKUP($A196,S275_01,{29,30,31},FALSE)),0)+IFERROR(SUMPRODUCT(VLOOKUP($A196,S275_97,{29,30,31},FALSE)),0)+IFERROR(ROUND(VLOOKUP($A196,S275_21,29,FALSE)*VLOOKUP($A196,'3121% SY'!$C$3:$M$324,11,FALSE),3),0)+IFERROR(ROUND(VLOOKUP($A196,S275_21,30,FALSE)*VLOOKUP($A196,'3121% SY'!$C$3:$M$324,11,FALSE),3),0)+IFERROR(ROUND(VLOOKUP($A196,S275_21,31,FALSE)*VLOOKUP($A196,'3121% SY'!$C$3:$M$324,11,FALSE),3),0)+IFERROR(VLOOKUP($A196,S275_09,11,FALSE),0)</f>
        <v>1.603</v>
      </c>
      <c r="Y196" s="267">
        <f>IFERROR(VLOOKUP($A196,Supp_47,14,FALSE),0)+IFERROR(SUMPRODUCT(VLOOKUP($A196,S275_01,{32,33,34},FALSE)),0)+IFERROR(SUMPRODUCT(VLOOKUP($A196,S275_97,{32,33,34},FALSE)),0)+IFERROR(ROUND(VLOOKUP($A196,S275_21,32,FALSE)*VLOOKUP($A196,'3121% SY'!$C$3:$M$324,11,FALSE),3),0)+IFERROR(ROUND(VLOOKUP($A196,S275_21,33,FALSE)*VLOOKUP($A196,'3121% SY'!$C$3:$M$324,11,FALSE),3),0)+IFERROR(ROUND(VLOOKUP($A196,S275_21,34,FALSE)*VLOOKUP($A196,'3121% SY'!$C$3:$M$324,11,FALSE),3),0)+IFERROR(VLOOKUP($A196,S275_09,12,FALSE),0)</f>
        <v>0.14000000000000001</v>
      </c>
      <c r="Z196" s="267">
        <f>IFERROR(VLOOKUP($A196,Supp_48,14,FALSE),0)+IFERROR(SUMPRODUCT(VLOOKUP($A196,S275_01,{35,36,37},FALSE)),0)+IFERROR(SUMPRODUCT(VLOOKUP($A196,S275_97,{35,36,37},FALSE)),0)+IFERROR(ROUND(VLOOKUP($A196,S275_21,35,FALSE)*VLOOKUP($A196,'3121% SY'!$C$3:$M$324,11,FALSE),3),0)+IFERROR(ROUND(VLOOKUP($A196,S275_21,36,FALSE)*VLOOKUP($A196,'3121% SY'!$C$3:$M$324,11,FALSE),3),0)+IFERROR(ROUND(VLOOKUP($A196,S275_21,37,FALSE)*VLOOKUP($A196,'3121% SY'!$C$3:$M$324,11,FALSE),3),0)+IFERROR(VLOOKUP($A196,S275_09,13,FALSE),0)</f>
        <v>0.16399999999999998</v>
      </c>
      <c r="AA196" s="267">
        <f>IFERROR(VLOOKUP($A196,Supp_49,14,FALSE),0)+IFERROR(SUMPRODUCT(VLOOKUP($A196,S275_01,{38,39,40},FALSE)),0)+IFERROR(SUMPRODUCT(VLOOKUP($A196,S275_97,{38,39,40},FALSE)),0)+IFERROR(ROUND(VLOOKUP($A196,S275_21,38,FALSE)*VLOOKUP($A196,'3121% SY'!$C$3:$M$324,11,FALSE),3),0)+IFERROR(ROUND(VLOOKUP($A196,S275_21,39,FALSE)*VLOOKUP($A196,'3121% SY'!$C$3:$M$324,11,FALSE),3),0)+IFERROR(ROUND(VLOOKUP($A196,S275_21,40,FALSE)*VLOOKUP($A196,'3121% SY'!$C$3:$M$324,11,FALSE),3),0)+IFERROR(VLOOKUP($A196,S275_09,14,FALSE),0)</f>
        <v>0</v>
      </c>
      <c r="AB196" s="267">
        <f>IFERROR(VLOOKUP($A196,Supp_64,14,FALSE),0)+IFERROR(SUMPRODUCT(VLOOKUP($A196,S275_01,{41,42,43},FALSE)),0)+IFERROR(SUMPRODUCT(VLOOKUP($A196,S275_97,{41,42,43},FALSE)),0)+IFERROR(ROUND(VLOOKUP($A196,S275_21,41,FALSE)*VLOOKUP($A196,'3121% SY'!$C$3:$M$324,11,FALSE),3),0)+IFERROR(ROUND(VLOOKUP($A196,S275_21,42,FALSE)*VLOOKUP($A196,'3121% SY'!$C$3:$M$324,11,FALSE),3),0)+IFERROR(ROUND(VLOOKUP($A196,S275_21,43,FALSE)*VLOOKUP($A196,'3121% SY'!$C$3:$M$324,11,FALSE),3),0)+IFERROR(VLOOKUP($A196,S275_09,15,FALSE),0)</f>
        <v>0</v>
      </c>
      <c r="AC196" s="268">
        <f t="shared" si="37"/>
        <v>7.8439999999999994</v>
      </c>
      <c r="AD196" s="267">
        <f>IFERROR(VLOOKUP($A196,Supp_24,14,FALSE),0)+IFERROR(SUMPRODUCT(VLOOKUP($A196,S275_01,{2,3,4},FALSE)),0)+IFERROR(SUMPRODUCT(VLOOKUP($A196,S275_97,{2,3,4},FALSE)),0)+IFERROR(ROUND(VLOOKUP($A196,S275_21,2,FALSE)*VLOOKUP($A196,'3121% SY'!$C$3:$M$324,11,FALSE),3),0)+IFERROR(ROUND(VLOOKUP($A196,S275_21,3,FALSE)*VLOOKUP($A196,'3121% SY'!$C$3:$M$324,11,FALSE),3),0)+IFERROR(ROUND(VLOOKUP($A196,S275_21,4,FALSE)*VLOOKUP($A196,'3121% SY'!$C$3:$M$324,11,FALSE),3),0)+IFERROR(VLOOKUP($A196,S275_09,2,FALSE),0)</f>
        <v>0</v>
      </c>
      <c r="AE196" s="267">
        <f>IFERROR(VLOOKUP($A196,Supp_25,14,FALSE),0)+IFERROR(SUMPRODUCT(VLOOKUP($A196,S275_01,{5,6,7},FALSE)),0)+IFERROR(SUMPRODUCT(VLOOKUP($A196,S275_97,{5,6,7},FALSE)),0)+IFERROR(ROUND(VLOOKUP($A196,S275_21,5,FALSE)*VLOOKUP($A196,'3121% SY'!$C$3:$M$324,11,FALSE),3),0)+IFERROR(ROUND(VLOOKUP($A196,S275_21,6,FALSE)*VLOOKUP($A196,'3121% SY'!$C$3:$M$324,11,FALSE),3),0)+IFERROR(ROUND(VLOOKUP($A196,S275_21,7,FALSE)*VLOOKUP($A196,'3121% SY'!$C$3:$M$324,11,FALSE),3),0)+IFERROR(VLOOKUP($A196,S275_09,3,FALSE),0)</f>
        <v>0.94900000000000007</v>
      </c>
      <c r="AF196" s="267">
        <f>IFERROR(VLOOKUP($A196,Supp_26,14,FALSE),0)+IFERROR(SUMPRODUCT(VLOOKUP($A196,S275_01,{8,9,10},FALSE)),0)+IFERROR(SUMPRODUCT(VLOOKUP($A196,S275_97,{8,9,10},FALSE)),0)+IFERROR(ROUND(VLOOKUP($A196,S275_21,8,FALSE)*VLOOKUP($A196,'3121% SY'!$C$3:$M$324,11,FALSE),3),0)+IFERROR(ROUND(VLOOKUP($A196,S275_21,9,FALSE)*VLOOKUP($A196,'3121% SY'!$C$3:$M$324,11,FALSE),3),0)+IFERROR(ROUND(VLOOKUP($A196,S275_21,10,FALSE)*VLOOKUP($A196,'3121% SY'!$C$3:$M$324,11,FALSE),3),0)+IFERROR(VLOOKUP($A196,S275_09,4,FALSE),0)</f>
        <v>1.782</v>
      </c>
      <c r="AG196" s="267">
        <f>IFERROR(VLOOKUP($A196,Supp_35,14,FALSE),0)+IFERROR(SUMPRODUCT(VLOOKUP($A196,S275_01,{11,12,13},FALSE)),0)+IFERROR(SUMPRODUCT(VLOOKUP($A196,S275_97,{11,12,13},FALSE)),0)+IFERROR(ROUND(VLOOKUP($A196,S275_21,11,FALSE)*VLOOKUP($A196,'3121% SY'!$C$3:$M$324,11,FALSE),3),0)+IFERROR(ROUND(VLOOKUP($A196,S275_21,12,FALSE)*VLOOKUP($A196,'3121% SY'!$C$3:$M$324,11,FALSE),3),0)+IFERROR(ROUND(VLOOKUP($A196,S275_21,13,FALSE)*VLOOKUP($A196,'3121% SY'!$C$3:$M$324,11,FALSE),3),0)+IFERROR(VLOOKUP($A196,S275_09,5,FALSE),0)</f>
        <v>0</v>
      </c>
      <c r="AH196" s="165">
        <f t="shared" si="38"/>
        <v>2.7309999999999999</v>
      </c>
      <c r="AI196" s="161">
        <f>IFERROR(VLOOKUP(A196,'Supp Staff Data'!A:ER,148,FALSE),0)+AB196</f>
        <v>0</v>
      </c>
      <c r="AJ196" s="174">
        <v>1</v>
      </c>
      <c r="AK196" s="25">
        <f>VLOOKUP(A196,'Enroll Data as of January 2025'!$A$3:$T$323,20,FALSE)-F196</f>
        <v>0</v>
      </c>
    </row>
    <row r="197" spans="1:37" x14ac:dyDescent="0.25">
      <c r="A197" s="171" t="s">
        <v>115</v>
      </c>
      <c r="B197" t="s">
        <v>411</v>
      </c>
      <c r="C197" s="173" t="s">
        <v>1077</v>
      </c>
      <c r="D197" s="259">
        <f t="shared" ref="D197:D260" si="40">O197+R197</f>
        <v>2.6829999999999998</v>
      </c>
      <c r="E197" s="259">
        <f t="shared" ref="E197:E260" si="41">AC197+AH197</f>
        <v>3.9960000000000004</v>
      </c>
      <c r="F197" s="262">
        <f t="shared" ref="F197:F228" si="42">ROUND((AC197+AH197)-(O197+R197),3)</f>
        <v>1.3129999999999999</v>
      </c>
      <c r="G197" s="161">
        <f>ROUND(IF(F197&lt;0,F197*'2024-25 PSES Compliance'!$G$13,0),3)</f>
        <v>0</v>
      </c>
      <c r="H197" s="161">
        <f>ROUND(IF(F197&lt;0,F197*'2024-25 PSES Compliance'!$G$14,0),3)</f>
        <v>0</v>
      </c>
      <c r="I197" s="174">
        <f t="shared" ref="I197:I260" si="43">IFERROR(((AJ197*AC197)/(AC197+AH197)),0)</f>
        <v>0.96879999999999999</v>
      </c>
      <c r="J197" s="174">
        <f t="shared" ref="J197:J260" si="44">IFERROR(AI197/(AH197+AC197),0)</f>
        <v>0</v>
      </c>
      <c r="K197" s="161">
        <f>VLOOKUP($A197,'Enroll Data as of January 2025'!$A$3:$M$322,6,FALSE)</f>
        <v>1.5720000000000001</v>
      </c>
      <c r="L197" s="161">
        <f>VLOOKUP($A197,'Enroll Data as of January 2025'!$A$3:$M$322,7,FALSE)</f>
        <v>0.217</v>
      </c>
      <c r="M197" s="161">
        <f>VLOOKUP($A197,'Enroll Data as of January 2025'!$A$3:$M$322,8,FALSE)</f>
        <v>7.2999999999999995E-2</v>
      </c>
      <c r="N197" s="161">
        <f>VLOOKUP($A197,'Enroll Data as of January 2025'!$A$3:$M$322,9,FALSE)</f>
        <v>0.68300000000000005</v>
      </c>
      <c r="O197" s="165">
        <f t="shared" ref="O197:O260" si="45">SUM(K197:N197)</f>
        <v>2.5449999999999999</v>
      </c>
      <c r="P197" s="161">
        <f>VLOOKUP($A197,'Enroll Data as of January 2025'!$A$3:$M$322,11,FALSE)</f>
        <v>9.2999999999999999E-2</v>
      </c>
      <c r="Q197" s="161">
        <f>VLOOKUP($A197,'Enroll Data as of January 2025'!$A$3:$M$322,12,FALSE)</f>
        <v>4.4999999999999998E-2</v>
      </c>
      <c r="R197" s="165">
        <f t="shared" ref="R197:R260" si="46">SUM(P197:Q197)</f>
        <v>0.13800000000000001</v>
      </c>
      <c r="S197" s="267">
        <f>IFERROR(VLOOKUP($A197,Supp_39,14,FALSE),0)+IFERROR(SUMPRODUCT(VLOOKUP($A197,S275_01,{14,15,16},FALSE)),0)+IFERROR(SUMPRODUCT(VLOOKUP($A197,S275_97,{14,15,16},FALSE)),0)+IFERROR(ROUND(VLOOKUP($A197,S275_21,14,FALSE)*VLOOKUP($A197,'3121% SY'!$C$3:$M$324,11,FALSE),3),0)+IFERROR(ROUND(VLOOKUP($A197,S275_21,15,FALSE)*VLOOKUP($A197,'3121% SY'!$C$3:$M$324,11,FALSE),3),0)+IFERROR(ROUND(VLOOKUP($A197,S275_21,16,FALSE)*VLOOKUP($A197,'3121% SY'!$C$3:$M$324,11,FALSE),3),0)+IFERROR(VLOOKUP($A197,S275_09,6,FALSE),0)</f>
        <v>3</v>
      </c>
      <c r="T197" s="267">
        <f>IFERROR(VLOOKUP($A197,Supp_42,14,FALSE),0)+IFERROR(SUMPRODUCT(VLOOKUP($A197,S275_01,{17,18,19},FALSE)),0)+IFERROR(SUMPRODUCT(VLOOKUP($A197,S275_97,{17,18,19},FALSE)),0)+IFERROR(ROUND(VLOOKUP($A197,S275_21,17,FALSE)*VLOOKUP($A197,'3121% SY'!$C$3:$M$324,11,FALSE),3),0)+IFERROR(ROUND(VLOOKUP($A197,S275_21,18,FALSE)*VLOOKUP($A197,'3121% SY'!$C$3:$M$324,11,FALSE),3),0)+IFERROR(ROUND(VLOOKUP($A197,S275_21,19,FALSE)*VLOOKUP($A197,'3121% SY'!$C$3:$M$324,11,FALSE),3),0)+IFERROR(VLOOKUP($A197,S275_09,7,FALSE),0)</f>
        <v>0</v>
      </c>
      <c r="U197" s="267">
        <f>IFERROR(VLOOKUP($A197,Supp_43,14,FALSE),0)+IFERROR(SUMPRODUCT(VLOOKUP($A197,S275_01,{20,21,22},FALSE)),0)+IFERROR(SUMPRODUCT(VLOOKUP($A197,S275_97,{20,21,22},FALSE)),0)+IFERROR(ROUND(VLOOKUP($A197,S275_21,20,FALSE)*VLOOKUP($A197,'3121% SY'!$C$3:$M$324,11,FALSE),3),0)+IFERROR(ROUND(VLOOKUP($A197,S275_21,21,FALSE)*VLOOKUP($A197,'3121% SY'!$C$3:$M$324,11,FALSE),3),0)+IFERROR(ROUND(VLOOKUP($A197,S275_21,22,FALSE)*VLOOKUP($A197,'3121% SY'!$C$3:$M$324,11,FALSE),3),0)+IFERROR(VLOOKUP($A197,S275_09,8,FALSE),0)</f>
        <v>0</v>
      </c>
      <c r="V197" s="267">
        <f>IFERROR(VLOOKUP($A197,Supp_44,14,FALSE),0)+IFERROR(SUMPRODUCT(VLOOKUP($A197,S275_01,{23,24,25},FALSE)),0)+IFERROR(SUMPRODUCT(VLOOKUP($A197,S275_97,{23,24,25},FALSE)),0)+IFERROR(ROUND(VLOOKUP($A197,S275_21,23,FALSE)*VLOOKUP($A197,'3121% SY'!$C$3:$M$324,11,FALSE),3),0)+IFERROR(ROUND(VLOOKUP($A197,S275_21,24,FALSE)*VLOOKUP($A197,'3121% SY'!$C$3:$M$324,11,FALSE),3),0)+IFERROR(ROUND(VLOOKUP($A197,S275_21,25,FALSE)*VLOOKUP($A197,'3121% SY'!$C$3:$M$324,11,FALSE),3),0)+IFERROR(VLOOKUP($A197,S275_09,9,FALSE),0)</f>
        <v>0</v>
      </c>
      <c r="W197" s="267">
        <f>IFERROR(VLOOKUP($A197,Supp_45,14,FALSE),0)+IFERROR(SUMPRODUCT(VLOOKUP($A197,S275_01,{26,27,28},FALSE)),0)+IFERROR(SUMPRODUCT(VLOOKUP($A197,S275_97,{26,27,28},FALSE)),0)+IFERROR(ROUND(VLOOKUP($A197,S275_21,26,FALSE)*VLOOKUP($A197,'3121% SY'!$C$3:$M$324,11,FALSE),3),0)+IFERROR(ROUND(VLOOKUP($A197,S275_21,27,FALSE)*VLOOKUP($A197,'3121% SY'!$C$3:$M$324,11,FALSE),3),0)+IFERROR(ROUND(VLOOKUP($A197,S275_21,28,FALSE)*VLOOKUP($A197,'3121% SY'!$C$3:$M$324,11,FALSE),3),0)+IFERROR(VLOOKUP($A197,S275_09,10,FALSE),0)</f>
        <v>0</v>
      </c>
      <c r="X197" s="267">
        <f>IFERROR(VLOOKUP($A197,Supp_46,14,FALSE),0)+IFERROR(SUMPRODUCT(VLOOKUP($A197,S275_01,{29,30,31},FALSE)),0)+IFERROR(SUMPRODUCT(VLOOKUP($A197,S275_97,{29,30,31},FALSE)),0)+IFERROR(ROUND(VLOOKUP($A197,S275_21,29,FALSE)*VLOOKUP($A197,'3121% SY'!$C$3:$M$324,11,FALSE),3),0)+IFERROR(ROUND(VLOOKUP($A197,S275_21,30,FALSE)*VLOOKUP($A197,'3121% SY'!$C$3:$M$324,11,FALSE),3),0)+IFERROR(ROUND(VLOOKUP($A197,S275_21,31,FALSE)*VLOOKUP($A197,'3121% SY'!$C$3:$M$324,11,FALSE),3),0)+IFERROR(VLOOKUP($A197,S275_09,11,FALSE),0)</f>
        <v>0.498</v>
      </c>
      <c r="Y197" s="267">
        <f>IFERROR(VLOOKUP($A197,Supp_47,14,FALSE),0)+IFERROR(SUMPRODUCT(VLOOKUP($A197,S275_01,{32,33,34},FALSE)),0)+IFERROR(SUMPRODUCT(VLOOKUP($A197,S275_97,{32,33,34},FALSE)),0)+IFERROR(ROUND(VLOOKUP($A197,S275_21,32,FALSE)*VLOOKUP($A197,'3121% SY'!$C$3:$M$324,11,FALSE),3),0)+IFERROR(ROUND(VLOOKUP($A197,S275_21,33,FALSE)*VLOOKUP($A197,'3121% SY'!$C$3:$M$324,11,FALSE),3),0)+IFERROR(ROUND(VLOOKUP($A197,S275_21,34,FALSE)*VLOOKUP($A197,'3121% SY'!$C$3:$M$324,11,FALSE),3),0)+IFERROR(VLOOKUP($A197,S275_09,12,FALSE),0)</f>
        <v>0.498</v>
      </c>
      <c r="Z197" s="267">
        <f>IFERROR(VLOOKUP($A197,Supp_48,14,FALSE),0)+IFERROR(SUMPRODUCT(VLOOKUP($A197,S275_01,{35,36,37},FALSE)),0)+IFERROR(SUMPRODUCT(VLOOKUP($A197,S275_97,{35,36,37},FALSE)),0)+IFERROR(ROUND(VLOOKUP($A197,S275_21,35,FALSE)*VLOOKUP($A197,'3121% SY'!$C$3:$M$324,11,FALSE),3),0)+IFERROR(ROUND(VLOOKUP($A197,S275_21,36,FALSE)*VLOOKUP($A197,'3121% SY'!$C$3:$M$324,11,FALSE),3),0)+IFERROR(ROUND(VLOOKUP($A197,S275_21,37,FALSE)*VLOOKUP($A197,'3121% SY'!$C$3:$M$324,11,FALSE),3),0)+IFERROR(VLOOKUP($A197,S275_09,13,FALSE),0)</f>
        <v>0</v>
      </c>
      <c r="AA197" s="267">
        <f>IFERROR(VLOOKUP($A197,Supp_49,14,FALSE),0)+IFERROR(SUMPRODUCT(VLOOKUP($A197,S275_01,{38,39,40},FALSE)),0)+IFERROR(SUMPRODUCT(VLOOKUP($A197,S275_97,{38,39,40},FALSE)),0)+IFERROR(ROUND(VLOOKUP($A197,S275_21,38,FALSE)*VLOOKUP($A197,'3121% SY'!$C$3:$M$324,11,FALSE),3),0)+IFERROR(ROUND(VLOOKUP($A197,S275_21,39,FALSE)*VLOOKUP($A197,'3121% SY'!$C$3:$M$324,11,FALSE),3),0)+IFERROR(ROUND(VLOOKUP($A197,S275_21,40,FALSE)*VLOOKUP($A197,'3121% SY'!$C$3:$M$324,11,FALSE),3),0)+IFERROR(VLOOKUP($A197,S275_09,14,FALSE),0)</f>
        <v>0</v>
      </c>
      <c r="AB197" s="267">
        <f>IFERROR(VLOOKUP($A197,Supp_64,14,FALSE),0)+IFERROR(SUMPRODUCT(VLOOKUP($A197,S275_01,{41,42,43},FALSE)),0)+IFERROR(SUMPRODUCT(VLOOKUP($A197,S275_97,{41,42,43},FALSE)),0)+IFERROR(ROUND(VLOOKUP($A197,S275_21,41,FALSE)*VLOOKUP($A197,'3121% SY'!$C$3:$M$324,11,FALSE),3),0)+IFERROR(ROUND(VLOOKUP($A197,S275_21,42,FALSE)*VLOOKUP($A197,'3121% SY'!$C$3:$M$324,11,FALSE),3),0)+IFERROR(ROUND(VLOOKUP($A197,S275_21,43,FALSE)*VLOOKUP($A197,'3121% SY'!$C$3:$M$324,11,FALSE),3),0)+IFERROR(VLOOKUP($A197,S275_09,15,FALSE),0)</f>
        <v>0</v>
      </c>
      <c r="AC197" s="268">
        <f t="shared" ref="AC197:AC260" si="47">SUM(S197:AB197)</f>
        <v>3.9960000000000004</v>
      </c>
      <c r="AD197" s="267">
        <f>IFERROR(VLOOKUP($A197,Supp_24,14,FALSE),0)+IFERROR(SUMPRODUCT(VLOOKUP($A197,S275_01,{2,3,4},FALSE)),0)+IFERROR(SUMPRODUCT(VLOOKUP($A197,S275_97,{2,3,4},FALSE)),0)+IFERROR(ROUND(VLOOKUP($A197,S275_21,2,FALSE)*VLOOKUP($A197,'3121% SY'!$C$3:$M$324,11,FALSE),3),0)+IFERROR(ROUND(VLOOKUP($A197,S275_21,3,FALSE)*VLOOKUP($A197,'3121% SY'!$C$3:$M$324,11,FALSE),3),0)+IFERROR(ROUND(VLOOKUP($A197,S275_21,4,FALSE)*VLOOKUP($A197,'3121% SY'!$C$3:$M$324,11,FALSE),3),0)+IFERROR(VLOOKUP($A197,S275_09,2,FALSE),0)</f>
        <v>0</v>
      </c>
      <c r="AE197" s="267">
        <f>IFERROR(VLOOKUP($A197,Supp_25,14,FALSE),0)+IFERROR(SUMPRODUCT(VLOOKUP($A197,S275_01,{5,6,7},FALSE)),0)+IFERROR(SUMPRODUCT(VLOOKUP($A197,S275_97,{5,6,7},FALSE)),0)+IFERROR(ROUND(VLOOKUP($A197,S275_21,5,FALSE)*VLOOKUP($A197,'3121% SY'!$C$3:$M$324,11,FALSE),3),0)+IFERROR(ROUND(VLOOKUP($A197,S275_21,6,FALSE)*VLOOKUP($A197,'3121% SY'!$C$3:$M$324,11,FALSE),3),0)+IFERROR(ROUND(VLOOKUP($A197,S275_21,7,FALSE)*VLOOKUP($A197,'3121% SY'!$C$3:$M$324,11,FALSE),3),0)+IFERROR(VLOOKUP($A197,S275_09,3,FALSE),0)</f>
        <v>0</v>
      </c>
      <c r="AF197" s="267">
        <f>IFERROR(VLOOKUP($A197,Supp_26,14,FALSE),0)+IFERROR(SUMPRODUCT(VLOOKUP($A197,S275_01,{8,9,10},FALSE)),0)+IFERROR(SUMPRODUCT(VLOOKUP($A197,S275_97,{8,9,10},FALSE)),0)+IFERROR(ROUND(VLOOKUP($A197,S275_21,8,FALSE)*VLOOKUP($A197,'3121% SY'!$C$3:$M$324,11,FALSE),3),0)+IFERROR(ROUND(VLOOKUP($A197,S275_21,9,FALSE)*VLOOKUP($A197,'3121% SY'!$C$3:$M$324,11,FALSE),3),0)+IFERROR(ROUND(VLOOKUP($A197,S275_21,10,FALSE)*VLOOKUP($A197,'3121% SY'!$C$3:$M$324,11,FALSE),3),0)+IFERROR(VLOOKUP($A197,S275_09,4,FALSE),0)</f>
        <v>0</v>
      </c>
      <c r="AG197" s="267">
        <f>IFERROR(VLOOKUP($A197,Supp_35,14,FALSE),0)+IFERROR(SUMPRODUCT(VLOOKUP($A197,S275_01,{11,12,13},FALSE)),0)+IFERROR(SUMPRODUCT(VLOOKUP($A197,S275_97,{11,12,13},FALSE)),0)+IFERROR(ROUND(VLOOKUP($A197,S275_21,11,FALSE)*VLOOKUP($A197,'3121% SY'!$C$3:$M$324,11,FALSE),3),0)+IFERROR(ROUND(VLOOKUP($A197,S275_21,12,FALSE)*VLOOKUP($A197,'3121% SY'!$C$3:$M$324,11,FALSE),3),0)+IFERROR(ROUND(VLOOKUP($A197,S275_21,13,FALSE)*VLOOKUP($A197,'3121% SY'!$C$3:$M$324,11,FALSE),3),0)+IFERROR(VLOOKUP($A197,S275_09,5,FALSE),0)</f>
        <v>0</v>
      </c>
      <c r="AH197" s="165">
        <f t="shared" ref="AH197:AH260" si="48">SUM(AD197:AG197)</f>
        <v>0</v>
      </c>
      <c r="AI197" s="161">
        <f>IFERROR(VLOOKUP(A197,'Supp Staff Data'!A:ER,148,FALSE),0)+AB197</f>
        <v>0</v>
      </c>
      <c r="AJ197" s="174">
        <v>0.96879999999999999</v>
      </c>
      <c r="AK197" s="25">
        <f>VLOOKUP(A197,'Enroll Data as of January 2025'!$A$3:$T$323,20,FALSE)-F197</f>
        <v>0</v>
      </c>
    </row>
    <row r="198" spans="1:37" x14ac:dyDescent="0.25">
      <c r="A198" s="171" t="s">
        <v>94</v>
      </c>
      <c r="B198" t="s">
        <v>390</v>
      </c>
      <c r="C198" s="173" t="s">
        <v>1077</v>
      </c>
      <c r="D198" s="259">
        <f t="shared" si="40"/>
        <v>3.5110000000000001</v>
      </c>
      <c r="E198" s="259">
        <f t="shared" si="41"/>
        <v>4.2789999999999999</v>
      </c>
      <c r="F198" s="262">
        <f t="shared" si="42"/>
        <v>0.76800000000000002</v>
      </c>
      <c r="G198" s="161">
        <f>ROUND(IF(F198&lt;0,F198*'2024-25 PSES Compliance'!$G$13,0),3)</f>
        <v>0</v>
      </c>
      <c r="H198" s="161">
        <f>ROUND(IF(F198&lt;0,F198*'2024-25 PSES Compliance'!$G$14,0),3)</f>
        <v>0</v>
      </c>
      <c r="I198" s="174">
        <f t="shared" si="43"/>
        <v>0.83173638700630981</v>
      </c>
      <c r="J198" s="174">
        <f t="shared" si="44"/>
        <v>0</v>
      </c>
      <c r="K198" s="161">
        <f>VLOOKUP($A198,'Enroll Data as of January 2025'!$A$3:$M$322,6,FALSE)</f>
        <v>1.9259999999999999</v>
      </c>
      <c r="L198" s="161">
        <f>VLOOKUP($A198,'Enroll Data as of January 2025'!$A$3:$M$322,7,FALSE)</f>
        <v>0.34300000000000003</v>
      </c>
      <c r="M198" s="161">
        <f>VLOOKUP($A198,'Enroll Data as of January 2025'!$A$3:$M$322,8,FALSE)</f>
        <v>0.115</v>
      </c>
      <c r="N198" s="161">
        <f>VLOOKUP($A198,'Enroll Data as of January 2025'!$A$3:$M$322,9,FALSE)</f>
        <v>0.92400000000000004</v>
      </c>
      <c r="O198" s="165">
        <f t="shared" si="45"/>
        <v>3.3080000000000003</v>
      </c>
      <c r="P198" s="161">
        <f>VLOOKUP($A198,'Enroll Data as of January 2025'!$A$3:$M$322,11,FALSE)</f>
        <v>0.124</v>
      </c>
      <c r="Q198" s="161">
        <f>VLOOKUP($A198,'Enroll Data as of January 2025'!$A$3:$M$322,12,FALSE)</f>
        <v>7.9000000000000001E-2</v>
      </c>
      <c r="R198" s="165">
        <f t="shared" si="46"/>
        <v>0.20300000000000001</v>
      </c>
      <c r="S198" s="267">
        <f>IFERROR(VLOOKUP($A198,Supp_39,14,FALSE),0)+IFERROR(SUMPRODUCT(VLOOKUP($A198,S275_01,{14,15,16},FALSE)),0)+IFERROR(SUMPRODUCT(VLOOKUP($A198,S275_97,{14,15,16},FALSE)),0)+IFERROR(ROUND(VLOOKUP($A198,S275_21,14,FALSE)*VLOOKUP($A198,'3121% SY'!$C$3:$M$324,11,FALSE),3),0)+IFERROR(ROUND(VLOOKUP($A198,S275_21,15,FALSE)*VLOOKUP($A198,'3121% SY'!$C$3:$M$324,11,FALSE),3),0)+IFERROR(ROUND(VLOOKUP($A198,S275_21,16,FALSE)*VLOOKUP($A198,'3121% SY'!$C$3:$M$324,11,FALSE),3),0)+IFERROR(VLOOKUP($A198,S275_09,6,FALSE),0)</f>
        <v>1.9</v>
      </c>
      <c r="T198" s="267">
        <f>IFERROR(VLOOKUP($A198,Supp_42,14,FALSE),0)+IFERROR(SUMPRODUCT(VLOOKUP($A198,S275_01,{17,18,19},FALSE)),0)+IFERROR(SUMPRODUCT(VLOOKUP($A198,S275_97,{17,18,19},FALSE)),0)+IFERROR(ROUND(VLOOKUP($A198,S275_21,17,FALSE)*VLOOKUP($A198,'3121% SY'!$C$3:$M$324,11,FALSE),3),0)+IFERROR(ROUND(VLOOKUP($A198,S275_21,18,FALSE)*VLOOKUP($A198,'3121% SY'!$C$3:$M$324,11,FALSE),3),0)+IFERROR(ROUND(VLOOKUP($A198,S275_21,19,FALSE)*VLOOKUP($A198,'3121% SY'!$C$3:$M$324,11,FALSE),3),0)+IFERROR(VLOOKUP($A198,S275_09,7,FALSE),0)</f>
        <v>0</v>
      </c>
      <c r="U198" s="267">
        <f>IFERROR(VLOOKUP($A198,Supp_43,14,FALSE),0)+IFERROR(SUMPRODUCT(VLOOKUP($A198,S275_01,{20,21,22},FALSE)),0)+IFERROR(SUMPRODUCT(VLOOKUP($A198,S275_97,{20,21,22},FALSE)),0)+IFERROR(ROUND(VLOOKUP($A198,S275_21,20,FALSE)*VLOOKUP($A198,'3121% SY'!$C$3:$M$324,11,FALSE),3),0)+IFERROR(ROUND(VLOOKUP($A198,S275_21,21,FALSE)*VLOOKUP($A198,'3121% SY'!$C$3:$M$324,11,FALSE),3),0)+IFERROR(ROUND(VLOOKUP($A198,S275_21,22,FALSE)*VLOOKUP($A198,'3121% SY'!$C$3:$M$324,11,FALSE),3),0)+IFERROR(VLOOKUP($A198,S275_09,8,FALSE),0)</f>
        <v>0.16999999999999998</v>
      </c>
      <c r="V198" s="267">
        <f>IFERROR(VLOOKUP($A198,Supp_44,14,FALSE),0)+IFERROR(SUMPRODUCT(VLOOKUP($A198,S275_01,{23,24,25},FALSE)),0)+IFERROR(SUMPRODUCT(VLOOKUP($A198,S275_97,{23,24,25},FALSE)),0)+IFERROR(ROUND(VLOOKUP($A198,S275_21,23,FALSE)*VLOOKUP($A198,'3121% SY'!$C$3:$M$324,11,FALSE),3),0)+IFERROR(ROUND(VLOOKUP($A198,S275_21,24,FALSE)*VLOOKUP($A198,'3121% SY'!$C$3:$M$324,11,FALSE),3),0)+IFERROR(ROUND(VLOOKUP($A198,S275_21,25,FALSE)*VLOOKUP($A198,'3121% SY'!$C$3:$M$324,11,FALSE),3),0)+IFERROR(VLOOKUP($A198,S275_09,9,FALSE),0)</f>
        <v>0</v>
      </c>
      <c r="W198" s="267">
        <f>IFERROR(VLOOKUP($A198,Supp_45,14,FALSE),0)+IFERROR(SUMPRODUCT(VLOOKUP($A198,S275_01,{26,27,28},FALSE)),0)+IFERROR(SUMPRODUCT(VLOOKUP($A198,S275_97,{26,27,28},FALSE)),0)+IFERROR(ROUND(VLOOKUP($A198,S275_21,26,FALSE)*VLOOKUP($A198,'3121% SY'!$C$3:$M$324,11,FALSE),3),0)+IFERROR(ROUND(VLOOKUP($A198,S275_21,27,FALSE)*VLOOKUP($A198,'3121% SY'!$C$3:$M$324,11,FALSE),3),0)+IFERROR(ROUND(VLOOKUP($A198,S275_21,28,FALSE)*VLOOKUP($A198,'3121% SY'!$C$3:$M$324,11,FALSE),3),0)+IFERROR(VLOOKUP($A198,S275_09,10,FALSE),0)</f>
        <v>0.3</v>
      </c>
      <c r="X198" s="267">
        <f>IFERROR(VLOOKUP($A198,Supp_46,14,FALSE),0)+IFERROR(SUMPRODUCT(VLOOKUP($A198,S275_01,{29,30,31},FALSE)),0)+IFERROR(SUMPRODUCT(VLOOKUP($A198,S275_97,{29,30,31},FALSE)),0)+IFERROR(ROUND(VLOOKUP($A198,S275_21,29,FALSE)*VLOOKUP($A198,'3121% SY'!$C$3:$M$324,11,FALSE),3),0)+IFERROR(ROUND(VLOOKUP($A198,S275_21,30,FALSE)*VLOOKUP($A198,'3121% SY'!$C$3:$M$324,11,FALSE),3),0)+IFERROR(ROUND(VLOOKUP($A198,S275_21,31,FALSE)*VLOOKUP($A198,'3121% SY'!$C$3:$M$324,11,FALSE),3),0)+IFERROR(VLOOKUP($A198,S275_09,11,FALSE),0)</f>
        <v>1.1890000000000001</v>
      </c>
      <c r="Y198" s="267">
        <f>IFERROR(VLOOKUP($A198,Supp_47,14,FALSE),0)+IFERROR(SUMPRODUCT(VLOOKUP($A198,S275_01,{32,33,34},FALSE)),0)+IFERROR(SUMPRODUCT(VLOOKUP($A198,S275_97,{32,33,34},FALSE)),0)+IFERROR(ROUND(VLOOKUP($A198,S275_21,32,FALSE)*VLOOKUP($A198,'3121% SY'!$C$3:$M$324,11,FALSE),3),0)+IFERROR(ROUND(VLOOKUP($A198,S275_21,33,FALSE)*VLOOKUP($A198,'3121% SY'!$C$3:$M$324,11,FALSE),3),0)+IFERROR(ROUND(VLOOKUP($A198,S275_21,34,FALSE)*VLOOKUP($A198,'3121% SY'!$C$3:$M$324,11,FALSE),3),0)+IFERROR(VLOOKUP($A198,S275_09,12,FALSE),0)</f>
        <v>0</v>
      </c>
      <c r="Z198" s="267">
        <f>IFERROR(VLOOKUP($A198,Supp_48,14,FALSE),0)+IFERROR(SUMPRODUCT(VLOOKUP($A198,S275_01,{35,36,37},FALSE)),0)+IFERROR(SUMPRODUCT(VLOOKUP($A198,S275_97,{35,36,37},FALSE)),0)+IFERROR(ROUND(VLOOKUP($A198,S275_21,35,FALSE)*VLOOKUP($A198,'3121% SY'!$C$3:$M$324,11,FALSE),3),0)+IFERROR(ROUND(VLOOKUP($A198,S275_21,36,FALSE)*VLOOKUP($A198,'3121% SY'!$C$3:$M$324,11,FALSE),3),0)+IFERROR(ROUND(VLOOKUP($A198,S275_21,37,FALSE)*VLOOKUP($A198,'3121% SY'!$C$3:$M$324,11,FALSE),3),0)+IFERROR(VLOOKUP($A198,S275_09,13,FALSE),0)</f>
        <v>0</v>
      </c>
      <c r="AA198" s="267">
        <f>IFERROR(VLOOKUP($A198,Supp_49,14,FALSE),0)+IFERROR(SUMPRODUCT(VLOOKUP($A198,S275_01,{38,39,40},FALSE)),0)+IFERROR(SUMPRODUCT(VLOOKUP($A198,S275_97,{38,39,40},FALSE)),0)+IFERROR(ROUND(VLOOKUP($A198,S275_21,38,FALSE)*VLOOKUP($A198,'3121% SY'!$C$3:$M$324,11,FALSE),3),0)+IFERROR(ROUND(VLOOKUP($A198,S275_21,39,FALSE)*VLOOKUP($A198,'3121% SY'!$C$3:$M$324,11,FALSE),3),0)+IFERROR(ROUND(VLOOKUP($A198,S275_21,40,FALSE)*VLOOKUP($A198,'3121% SY'!$C$3:$M$324,11,FALSE),3),0)+IFERROR(VLOOKUP($A198,S275_09,14,FALSE),0)</f>
        <v>0</v>
      </c>
      <c r="AB198" s="267">
        <f>IFERROR(VLOOKUP($A198,Supp_64,14,FALSE),0)+IFERROR(SUMPRODUCT(VLOOKUP($A198,S275_01,{41,42,43},FALSE)),0)+IFERROR(SUMPRODUCT(VLOOKUP($A198,S275_97,{41,42,43},FALSE)),0)+IFERROR(ROUND(VLOOKUP($A198,S275_21,41,FALSE)*VLOOKUP($A198,'3121% SY'!$C$3:$M$324,11,FALSE),3),0)+IFERROR(ROUND(VLOOKUP($A198,S275_21,42,FALSE)*VLOOKUP($A198,'3121% SY'!$C$3:$M$324,11,FALSE),3),0)+IFERROR(ROUND(VLOOKUP($A198,S275_21,43,FALSE)*VLOOKUP($A198,'3121% SY'!$C$3:$M$324,11,FALSE),3),0)+IFERROR(VLOOKUP($A198,S275_09,15,FALSE),0)</f>
        <v>0</v>
      </c>
      <c r="AC198" s="268">
        <f t="shared" si="47"/>
        <v>3.5589999999999997</v>
      </c>
      <c r="AD198" s="267">
        <f>IFERROR(VLOOKUP($A198,Supp_24,14,FALSE),0)+IFERROR(SUMPRODUCT(VLOOKUP($A198,S275_01,{2,3,4},FALSE)),0)+IFERROR(SUMPRODUCT(VLOOKUP($A198,S275_97,{2,3,4},FALSE)),0)+IFERROR(ROUND(VLOOKUP($A198,S275_21,2,FALSE)*VLOOKUP($A198,'3121% SY'!$C$3:$M$324,11,FALSE),3),0)+IFERROR(ROUND(VLOOKUP($A198,S275_21,3,FALSE)*VLOOKUP($A198,'3121% SY'!$C$3:$M$324,11,FALSE),3),0)+IFERROR(ROUND(VLOOKUP($A198,S275_21,4,FALSE)*VLOOKUP($A198,'3121% SY'!$C$3:$M$324,11,FALSE),3),0)+IFERROR(VLOOKUP($A198,S275_09,2,FALSE),0)</f>
        <v>0</v>
      </c>
      <c r="AE198" s="267">
        <f>IFERROR(VLOOKUP($A198,Supp_25,14,FALSE),0)+IFERROR(SUMPRODUCT(VLOOKUP($A198,S275_01,{5,6,7},FALSE)),0)+IFERROR(SUMPRODUCT(VLOOKUP($A198,S275_97,{5,6,7},FALSE)),0)+IFERROR(ROUND(VLOOKUP($A198,S275_21,5,FALSE)*VLOOKUP($A198,'3121% SY'!$C$3:$M$324,11,FALSE),3),0)+IFERROR(ROUND(VLOOKUP($A198,S275_21,6,FALSE)*VLOOKUP($A198,'3121% SY'!$C$3:$M$324,11,FALSE),3),0)+IFERROR(ROUND(VLOOKUP($A198,S275_21,7,FALSE)*VLOOKUP($A198,'3121% SY'!$C$3:$M$324,11,FALSE),3),0)+IFERROR(VLOOKUP($A198,S275_09,3,FALSE),0)</f>
        <v>0.72</v>
      </c>
      <c r="AF198" s="267">
        <f>IFERROR(VLOOKUP($A198,Supp_26,14,FALSE),0)+IFERROR(SUMPRODUCT(VLOOKUP($A198,S275_01,{8,9,10},FALSE)),0)+IFERROR(SUMPRODUCT(VLOOKUP($A198,S275_97,{8,9,10},FALSE)),0)+IFERROR(ROUND(VLOOKUP($A198,S275_21,8,FALSE)*VLOOKUP($A198,'3121% SY'!$C$3:$M$324,11,FALSE),3),0)+IFERROR(ROUND(VLOOKUP($A198,S275_21,9,FALSE)*VLOOKUP($A198,'3121% SY'!$C$3:$M$324,11,FALSE),3),0)+IFERROR(ROUND(VLOOKUP($A198,S275_21,10,FALSE)*VLOOKUP($A198,'3121% SY'!$C$3:$M$324,11,FALSE),3),0)+IFERROR(VLOOKUP($A198,S275_09,4,FALSE),0)</f>
        <v>0</v>
      </c>
      <c r="AG198" s="267">
        <f>IFERROR(VLOOKUP($A198,Supp_35,14,FALSE),0)+IFERROR(SUMPRODUCT(VLOOKUP($A198,S275_01,{11,12,13},FALSE)),0)+IFERROR(SUMPRODUCT(VLOOKUP($A198,S275_97,{11,12,13},FALSE)),0)+IFERROR(ROUND(VLOOKUP($A198,S275_21,11,FALSE)*VLOOKUP($A198,'3121% SY'!$C$3:$M$324,11,FALSE),3),0)+IFERROR(ROUND(VLOOKUP($A198,S275_21,12,FALSE)*VLOOKUP($A198,'3121% SY'!$C$3:$M$324,11,FALSE),3),0)+IFERROR(ROUND(VLOOKUP($A198,S275_21,13,FALSE)*VLOOKUP($A198,'3121% SY'!$C$3:$M$324,11,FALSE),3),0)+IFERROR(VLOOKUP($A198,S275_09,5,FALSE),0)</f>
        <v>0</v>
      </c>
      <c r="AH198" s="165">
        <f t="shared" si="48"/>
        <v>0.72</v>
      </c>
      <c r="AI198" s="161">
        <f>IFERROR(VLOOKUP(A198,'Supp Staff Data'!A:ER,148,FALSE),0)+AB198</f>
        <v>0</v>
      </c>
      <c r="AJ198" s="174">
        <v>1</v>
      </c>
      <c r="AK198" s="25">
        <f>VLOOKUP(A198,'Enroll Data as of January 2025'!$A$3:$T$323,20,FALSE)-F198</f>
        <v>0</v>
      </c>
    </row>
    <row r="199" spans="1:37" x14ac:dyDescent="0.25">
      <c r="A199" s="171" t="s">
        <v>278</v>
      </c>
      <c r="B199" t="s">
        <v>574</v>
      </c>
      <c r="C199" s="173" t="s">
        <v>1077</v>
      </c>
      <c r="D199" s="259">
        <f t="shared" si="40"/>
        <v>0.92100000000000004</v>
      </c>
      <c r="E199" s="259">
        <f t="shared" si="41"/>
        <v>1.3880000000000001</v>
      </c>
      <c r="F199" s="262">
        <f t="shared" si="42"/>
        <v>0.46700000000000003</v>
      </c>
      <c r="G199" s="161">
        <f>ROUND(IF(F199&lt;0,F199*'2024-25 PSES Compliance'!$G$13,0),3)</f>
        <v>0</v>
      </c>
      <c r="H199" s="161">
        <f>ROUND(IF(F199&lt;0,F199*'2024-25 PSES Compliance'!$G$14,0),3)</f>
        <v>0</v>
      </c>
      <c r="I199" s="174">
        <f t="shared" si="43"/>
        <v>0.92769999999999997</v>
      </c>
      <c r="J199" s="174">
        <f t="shared" si="44"/>
        <v>0</v>
      </c>
      <c r="K199" s="161">
        <f>VLOOKUP($A199,'Enroll Data as of January 2025'!$A$3:$M$322,6,FALSE)</f>
        <v>0.505</v>
      </c>
      <c r="L199" s="161">
        <f>VLOOKUP($A199,'Enroll Data as of January 2025'!$A$3:$M$322,7,FALSE)</f>
        <v>8.8000000000000009E-2</v>
      </c>
      <c r="M199" s="161">
        <f>VLOOKUP($A199,'Enroll Data as of January 2025'!$A$3:$M$322,8,FALSE)</f>
        <v>2.9000000000000005E-2</v>
      </c>
      <c r="N199" s="161">
        <f>VLOOKUP($A199,'Enroll Data as of January 2025'!$A$3:$M$322,9,FALSE)</f>
        <v>0.247</v>
      </c>
      <c r="O199" s="165">
        <f t="shared" si="45"/>
        <v>0.86899999999999999</v>
      </c>
      <c r="P199" s="161">
        <f>VLOOKUP($A199,'Enroll Data as of January 2025'!$A$3:$M$322,11,FALSE)</f>
        <v>3.2000000000000001E-2</v>
      </c>
      <c r="Q199" s="161">
        <f>VLOOKUP($A199,'Enroll Data as of January 2025'!$A$3:$M$322,12,FALSE)</f>
        <v>0.02</v>
      </c>
      <c r="R199" s="165">
        <f t="shared" si="46"/>
        <v>5.2000000000000005E-2</v>
      </c>
      <c r="S199" s="267">
        <f>IFERROR(VLOOKUP($A199,Supp_39,14,FALSE),0)+IFERROR(SUMPRODUCT(VLOOKUP($A199,S275_01,{14,15,16},FALSE)),0)+IFERROR(SUMPRODUCT(VLOOKUP($A199,S275_97,{14,15,16},FALSE)),0)+IFERROR(ROUND(VLOOKUP($A199,S275_21,14,FALSE)*VLOOKUP($A199,'3121% SY'!$C$3:$M$324,11,FALSE),3),0)+IFERROR(ROUND(VLOOKUP($A199,S275_21,15,FALSE)*VLOOKUP($A199,'3121% SY'!$C$3:$M$324,11,FALSE),3),0)+IFERROR(ROUND(VLOOKUP($A199,S275_21,16,FALSE)*VLOOKUP($A199,'3121% SY'!$C$3:$M$324,11,FALSE),3),0)+IFERROR(VLOOKUP($A199,S275_09,6,FALSE),0)</f>
        <v>1.1600000000000001</v>
      </c>
      <c r="T199" s="267">
        <f>IFERROR(VLOOKUP($A199,Supp_42,14,FALSE),0)+IFERROR(SUMPRODUCT(VLOOKUP($A199,S275_01,{17,18,19},FALSE)),0)+IFERROR(SUMPRODUCT(VLOOKUP($A199,S275_97,{17,18,19},FALSE)),0)+IFERROR(ROUND(VLOOKUP($A199,S275_21,17,FALSE)*VLOOKUP($A199,'3121% SY'!$C$3:$M$324,11,FALSE),3),0)+IFERROR(ROUND(VLOOKUP($A199,S275_21,18,FALSE)*VLOOKUP($A199,'3121% SY'!$C$3:$M$324,11,FALSE),3),0)+IFERROR(ROUND(VLOOKUP($A199,S275_21,19,FALSE)*VLOOKUP($A199,'3121% SY'!$C$3:$M$324,11,FALSE),3),0)+IFERROR(VLOOKUP($A199,S275_09,7,FALSE),0)</f>
        <v>0.22800000000000001</v>
      </c>
      <c r="U199" s="267">
        <f>IFERROR(VLOOKUP($A199,Supp_43,14,FALSE),0)+IFERROR(SUMPRODUCT(VLOOKUP($A199,S275_01,{20,21,22},FALSE)),0)+IFERROR(SUMPRODUCT(VLOOKUP($A199,S275_97,{20,21,22},FALSE)),0)+IFERROR(ROUND(VLOOKUP($A199,S275_21,20,FALSE)*VLOOKUP($A199,'3121% SY'!$C$3:$M$324,11,FALSE),3),0)+IFERROR(ROUND(VLOOKUP($A199,S275_21,21,FALSE)*VLOOKUP($A199,'3121% SY'!$C$3:$M$324,11,FALSE),3),0)+IFERROR(ROUND(VLOOKUP($A199,S275_21,22,FALSE)*VLOOKUP($A199,'3121% SY'!$C$3:$M$324,11,FALSE),3),0)+IFERROR(VLOOKUP($A199,S275_09,8,FALSE),0)</f>
        <v>0</v>
      </c>
      <c r="V199" s="267">
        <f>IFERROR(VLOOKUP($A199,Supp_44,14,FALSE),0)+IFERROR(SUMPRODUCT(VLOOKUP($A199,S275_01,{23,24,25},FALSE)),0)+IFERROR(SUMPRODUCT(VLOOKUP($A199,S275_97,{23,24,25},FALSE)),0)+IFERROR(ROUND(VLOOKUP($A199,S275_21,23,FALSE)*VLOOKUP($A199,'3121% SY'!$C$3:$M$324,11,FALSE),3),0)+IFERROR(ROUND(VLOOKUP($A199,S275_21,24,FALSE)*VLOOKUP($A199,'3121% SY'!$C$3:$M$324,11,FALSE),3),0)+IFERROR(ROUND(VLOOKUP($A199,S275_21,25,FALSE)*VLOOKUP($A199,'3121% SY'!$C$3:$M$324,11,FALSE),3),0)+IFERROR(VLOOKUP($A199,S275_09,9,FALSE),0)</f>
        <v>0</v>
      </c>
      <c r="W199" s="267">
        <f>IFERROR(VLOOKUP($A199,Supp_45,14,FALSE),0)+IFERROR(SUMPRODUCT(VLOOKUP($A199,S275_01,{26,27,28},FALSE)),0)+IFERROR(SUMPRODUCT(VLOOKUP($A199,S275_97,{26,27,28},FALSE)),0)+IFERROR(ROUND(VLOOKUP($A199,S275_21,26,FALSE)*VLOOKUP($A199,'3121% SY'!$C$3:$M$324,11,FALSE),3),0)+IFERROR(ROUND(VLOOKUP($A199,S275_21,27,FALSE)*VLOOKUP($A199,'3121% SY'!$C$3:$M$324,11,FALSE),3),0)+IFERROR(ROUND(VLOOKUP($A199,S275_21,28,FALSE)*VLOOKUP($A199,'3121% SY'!$C$3:$M$324,11,FALSE),3),0)+IFERROR(VLOOKUP($A199,S275_09,10,FALSE),0)</f>
        <v>0</v>
      </c>
      <c r="X199" s="267">
        <f>IFERROR(VLOOKUP($A199,Supp_46,14,FALSE),0)+IFERROR(SUMPRODUCT(VLOOKUP($A199,S275_01,{29,30,31},FALSE)),0)+IFERROR(SUMPRODUCT(VLOOKUP($A199,S275_97,{29,30,31},FALSE)),0)+IFERROR(ROUND(VLOOKUP($A199,S275_21,29,FALSE)*VLOOKUP($A199,'3121% SY'!$C$3:$M$324,11,FALSE),3),0)+IFERROR(ROUND(VLOOKUP($A199,S275_21,30,FALSE)*VLOOKUP($A199,'3121% SY'!$C$3:$M$324,11,FALSE),3),0)+IFERROR(ROUND(VLOOKUP($A199,S275_21,31,FALSE)*VLOOKUP($A199,'3121% SY'!$C$3:$M$324,11,FALSE),3),0)+IFERROR(VLOOKUP($A199,S275_09,11,FALSE),0)</f>
        <v>0</v>
      </c>
      <c r="Y199" s="267">
        <f>IFERROR(VLOOKUP($A199,Supp_47,14,FALSE),0)+IFERROR(SUMPRODUCT(VLOOKUP($A199,S275_01,{32,33,34},FALSE)),0)+IFERROR(SUMPRODUCT(VLOOKUP($A199,S275_97,{32,33,34},FALSE)),0)+IFERROR(ROUND(VLOOKUP($A199,S275_21,32,FALSE)*VLOOKUP($A199,'3121% SY'!$C$3:$M$324,11,FALSE),3),0)+IFERROR(ROUND(VLOOKUP($A199,S275_21,33,FALSE)*VLOOKUP($A199,'3121% SY'!$C$3:$M$324,11,FALSE),3),0)+IFERROR(ROUND(VLOOKUP($A199,S275_21,34,FALSE)*VLOOKUP($A199,'3121% SY'!$C$3:$M$324,11,FALSE),3),0)+IFERROR(VLOOKUP($A199,S275_09,12,FALSE),0)</f>
        <v>0</v>
      </c>
      <c r="Z199" s="267">
        <f>IFERROR(VLOOKUP($A199,Supp_48,14,FALSE),0)+IFERROR(SUMPRODUCT(VLOOKUP($A199,S275_01,{35,36,37},FALSE)),0)+IFERROR(SUMPRODUCT(VLOOKUP($A199,S275_97,{35,36,37},FALSE)),0)+IFERROR(ROUND(VLOOKUP($A199,S275_21,35,FALSE)*VLOOKUP($A199,'3121% SY'!$C$3:$M$324,11,FALSE),3),0)+IFERROR(ROUND(VLOOKUP($A199,S275_21,36,FALSE)*VLOOKUP($A199,'3121% SY'!$C$3:$M$324,11,FALSE),3),0)+IFERROR(ROUND(VLOOKUP($A199,S275_21,37,FALSE)*VLOOKUP($A199,'3121% SY'!$C$3:$M$324,11,FALSE),3),0)+IFERROR(VLOOKUP($A199,S275_09,13,FALSE),0)</f>
        <v>0</v>
      </c>
      <c r="AA199" s="267">
        <f>IFERROR(VLOOKUP($A199,Supp_49,14,FALSE),0)+IFERROR(SUMPRODUCT(VLOOKUP($A199,S275_01,{38,39,40},FALSE)),0)+IFERROR(SUMPRODUCT(VLOOKUP($A199,S275_97,{38,39,40},FALSE)),0)+IFERROR(ROUND(VLOOKUP($A199,S275_21,38,FALSE)*VLOOKUP($A199,'3121% SY'!$C$3:$M$324,11,FALSE),3),0)+IFERROR(ROUND(VLOOKUP($A199,S275_21,39,FALSE)*VLOOKUP($A199,'3121% SY'!$C$3:$M$324,11,FALSE),3),0)+IFERROR(ROUND(VLOOKUP($A199,S275_21,40,FALSE)*VLOOKUP($A199,'3121% SY'!$C$3:$M$324,11,FALSE),3),0)+IFERROR(VLOOKUP($A199,S275_09,14,FALSE),0)</f>
        <v>0</v>
      </c>
      <c r="AB199" s="267">
        <f>IFERROR(VLOOKUP($A199,Supp_64,14,FALSE),0)+IFERROR(SUMPRODUCT(VLOOKUP($A199,S275_01,{41,42,43},FALSE)),0)+IFERROR(SUMPRODUCT(VLOOKUP($A199,S275_97,{41,42,43},FALSE)),0)+IFERROR(ROUND(VLOOKUP($A199,S275_21,41,FALSE)*VLOOKUP($A199,'3121% SY'!$C$3:$M$324,11,FALSE),3),0)+IFERROR(ROUND(VLOOKUP($A199,S275_21,42,FALSE)*VLOOKUP($A199,'3121% SY'!$C$3:$M$324,11,FALSE),3),0)+IFERROR(ROUND(VLOOKUP($A199,S275_21,43,FALSE)*VLOOKUP($A199,'3121% SY'!$C$3:$M$324,11,FALSE),3),0)+IFERROR(VLOOKUP($A199,S275_09,15,FALSE),0)</f>
        <v>0</v>
      </c>
      <c r="AC199" s="268">
        <f t="shared" si="47"/>
        <v>1.3880000000000001</v>
      </c>
      <c r="AD199" s="267">
        <f>IFERROR(VLOOKUP($A199,Supp_24,14,FALSE),0)+IFERROR(SUMPRODUCT(VLOOKUP($A199,S275_01,{2,3,4},FALSE)),0)+IFERROR(SUMPRODUCT(VLOOKUP($A199,S275_97,{2,3,4},FALSE)),0)+IFERROR(ROUND(VLOOKUP($A199,S275_21,2,FALSE)*VLOOKUP($A199,'3121% SY'!$C$3:$M$324,11,FALSE),3),0)+IFERROR(ROUND(VLOOKUP($A199,S275_21,3,FALSE)*VLOOKUP($A199,'3121% SY'!$C$3:$M$324,11,FALSE),3),0)+IFERROR(ROUND(VLOOKUP($A199,S275_21,4,FALSE)*VLOOKUP($A199,'3121% SY'!$C$3:$M$324,11,FALSE),3),0)+IFERROR(VLOOKUP($A199,S275_09,2,FALSE),0)</f>
        <v>0</v>
      </c>
      <c r="AE199" s="267">
        <f>IFERROR(VLOOKUP($A199,Supp_25,14,FALSE),0)+IFERROR(SUMPRODUCT(VLOOKUP($A199,S275_01,{5,6,7},FALSE)),0)+IFERROR(SUMPRODUCT(VLOOKUP($A199,S275_97,{5,6,7},FALSE)),0)+IFERROR(ROUND(VLOOKUP($A199,S275_21,5,FALSE)*VLOOKUP($A199,'3121% SY'!$C$3:$M$324,11,FALSE),3),0)+IFERROR(ROUND(VLOOKUP($A199,S275_21,6,FALSE)*VLOOKUP($A199,'3121% SY'!$C$3:$M$324,11,FALSE),3),0)+IFERROR(ROUND(VLOOKUP($A199,S275_21,7,FALSE)*VLOOKUP($A199,'3121% SY'!$C$3:$M$324,11,FALSE),3),0)+IFERROR(VLOOKUP($A199,S275_09,3,FALSE),0)</f>
        <v>0</v>
      </c>
      <c r="AF199" s="267">
        <f>IFERROR(VLOOKUP($A199,Supp_26,14,FALSE),0)+IFERROR(SUMPRODUCT(VLOOKUP($A199,S275_01,{8,9,10},FALSE)),0)+IFERROR(SUMPRODUCT(VLOOKUP($A199,S275_97,{8,9,10},FALSE)),0)+IFERROR(ROUND(VLOOKUP($A199,S275_21,8,FALSE)*VLOOKUP($A199,'3121% SY'!$C$3:$M$324,11,FALSE),3),0)+IFERROR(ROUND(VLOOKUP($A199,S275_21,9,FALSE)*VLOOKUP($A199,'3121% SY'!$C$3:$M$324,11,FALSE),3),0)+IFERROR(ROUND(VLOOKUP($A199,S275_21,10,FALSE)*VLOOKUP($A199,'3121% SY'!$C$3:$M$324,11,FALSE),3),0)+IFERROR(VLOOKUP($A199,S275_09,4,FALSE),0)</f>
        <v>0</v>
      </c>
      <c r="AG199" s="267">
        <f>IFERROR(VLOOKUP($A199,Supp_35,14,FALSE),0)+IFERROR(SUMPRODUCT(VLOOKUP($A199,S275_01,{11,12,13},FALSE)),0)+IFERROR(SUMPRODUCT(VLOOKUP($A199,S275_97,{11,12,13},FALSE)),0)+IFERROR(ROUND(VLOOKUP($A199,S275_21,11,FALSE)*VLOOKUP($A199,'3121% SY'!$C$3:$M$324,11,FALSE),3),0)+IFERROR(ROUND(VLOOKUP($A199,S275_21,12,FALSE)*VLOOKUP($A199,'3121% SY'!$C$3:$M$324,11,FALSE),3),0)+IFERROR(ROUND(VLOOKUP($A199,S275_21,13,FALSE)*VLOOKUP($A199,'3121% SY'!$C$3:$M$324,11,FALSE),3),0)+IFERROR(VLOOKUP($A199,S275_09,5,FALSE),0)</f>
        <v>0</v>
      </c>
      <c r="AH199" s="165">
        <f t="shared" si="48"/>
        <v>0</v>
      </c>
      <c r="AI199" s="161">
        <f>IFERROR(VLOOKUP(A199,'Supp Staff Data'!A:ER,148,FALSE),0)+AB199</f>
        <v>0</v>
      </c>
      <c r="AJ199" s="174">
        <v>0.92769999999999997</v>
      </c>
      <c r="AK199" s="25">
        <f>VLOOKUP(A199,'Enroll Data as of January 2025'!$A$3:$T$323,20,FALSE)-F199</f>
        <v>0</v>
      </c>
    </row>
    <row r="200" spans="1:37" x14ac:dyDescent="0.25">
      <c r="A200" s="171" t="s">
        <v>16</v>
      </c>
      <c r="B200" t="s">
        <v>313</v>
      </c>
      <c r="C200" s="173" t="s">
        <v>1077</v>
      </c>
      <c r="D200" s="259">
        <f t="shared" si="40"/>
        <v>7.1230000000000002</v>
      </c>
      <c r="E200" s="259">
        <f t="shared" si="41"/>
        <v>7.7289999999999992</v>
      </c>
      <c r="F200" s="262">
        <f t="shared" si="42"/>
        <v>0.60599999999999998</v>
      </c>
      <c r="G200" s="161">
        <f>ROUND(IF(F200&lt;0,F200*'2024-25 PSES Compliance'!$G$13,0),3)</f>
        <v>0</v>
      </c>
      <c r="H200" s="161">
        <f>ROUND(IF(F200&lt;0,F200*'2024-25 PSES Compliance'!$G$14,0),3)</f>
        <v>0</v>
      </c>
      <c r="I200" s="174">
        <f t="shared" si="43"/>
        <v>0.36240134558157588</v>
      </c>
      <c r="J200" s="174">
        <f t="shared" si="44"/>
        <v>0</v>
      </c>
      <c r="K200" s="161">
        <f>VLOOKUP($A200,'Enroll Data as of January 2025'!$A$3:$M$322,6,FALSE)</f>
        <v>4.0259999999999998</v>
      </c>
      <c r="L200" s="161">
        <f>VLOOKUP($A200,'Enroll Data as of January 2025'!$A$3:$M$322,7,FALSE)</f>
        <v>0.64200000000000013</v>
      </c>
      <c r="M200" s="161">
        <f>VLOOKUP($A200,'Enroll Data as of January 2025'!$A$3:$M$322,8,FALSE)</f>
        <v>0.216</v>
      </c>
      <c r="N200" s="161">
        <f>VLOOKUP($A200,'Enroll Data as of January 2025'!$A$3:$M$322,9,FALSE)</f>
        <v>1.8459999999999999</v>
      </c>
      <c r="O200" s="165">
        <f t="shared" si="45"/>
        <v>6.73</v>
      </c>
      <c r="P200" s="161">
        <f>VLOOKUP($A200,'Enroll Data as of January 2025'!$A$3:$M$322,11,FALSE)</f>
        <v>0.25</v>
      </c>
      <c r="Q200" s="161">
        <f>VLOOKUP($A200,'Enroll Data as of January 2025'!$A$3:$M$322,12,FALSE)</f>
        <v>0.14299999999999999</v>
      </c>
      <c r="R200" s="165">
        <f t="shared" si="46"/>
        <v>0.39300000000000002</v>
      </c>
      <c r="S200" s="267">
        <f>IFERROR(VLOOKUP($A200,Supp_39,14,FALSE),0)+IFERROR(SUMPRODUCT(VLOOKUP($A200,S275_01,{14,15,16},FALSE)),0)+IFERROR(SUMPRODUCT(VLOOKUP($A200,S275_97,{14,15,16},FALSE)),0)+IFERROR(ROUND(VLOOKUP($A200,S275_21,14,FALSE)*VLOOKUP($A200,'3121% SY'!$C$3:$M$324,11,FALSE),3),0)+IFERROR(ROUND(VLOOKUP($A200,S275_21,15,FALSE)*VLOOKUP($A200,'3121% SY'!$C$3:$M$324,11,FALSE),3),0)+IFERROR(ROUND(VLOOKUP($A200,S275_21,16,FALSE)*VLOOKUP($A200,'3121% SY'!$C$3:$M$324,11,FALSE),3),0)+IFERROR(VLOOKUP($A200,S275_09,6,FALSE),0)</f>
        <v>2.5069999999999997</v>
      </c>
      <c r="T200" s="267">
        <f>IFERROR(VLOOKUP($A200,Supp_42,14,FALSE),0)+IFERROR(SUMPRODUCT(VLOOKUP($A200,S275_01,{17,18,19},FALSE)),0)+IFERROR(SUMPRODUCT(VLOOKUP($A200,S275_97,{17,18,19},FALSE)),0)+IFERROR(ROUND(VLOOKUP($A200,S275_21,17,FALSE)*VLOOKUP($A200,'3121% SY'!$C$3:$M$324,11,FALSE),3),0)+IFERROR(ROUND(VLOOKUP($A200,S275_21,18,FALSE)*VLOOKUP($A200,'3121% SY'!$C$3:$M$324,11,FALSE),3),0)+IFERROR(ROUND(VLOOKUP($A200,S275_21,19,FALSE)*VLOOKUP($A200,'3121% SY'!$C$3:$M$324,11,FALSE),3),0)+IFERROR(VLOOKUP($A200,S275_09,7,FALSE),0)</f>
        <v>0</v>
      </c>
      <c r="U200" s="267">
        <f>IFERROR(VLOOKUP($A200,Supp_43,14,FALSE),0)+IFERROR(SUMPRODUCT(VLOOKUP($A200,S275_01,{20,21,22},FALSE)),0)+IFERROR(SUMPRODUCT(VLOOKUP($A200,S275_97,{20,21,22},FALSE)),0)+IFERROR(ROUND(VLOOKUP($A200,S275_21,20,FALSE)*VLOOKUP($A200,'3121% SY'!$C$3:$M$324,11,FALSE),3),0)+IFERROR(ROUND(VLOOKUP($A200,S275_21,21,FALSE)*VLOOKUP($A200,'3121% SY'!$C$3:$M$324,11,FALSE),3),0)+IFERROR(ROUND(VLOOKUP($A200,S275_21,22,FALSE)*VLOOKUP($A200,'3121% SY'!$C$3:$M$324,11,FALSE),3),0)+IFERROR(VLOOKUP($A200,S275_09,8,FALSE),0)</f>
        <v>8.4000000000000005E-2</v>
      </c>
      <c r="V200" s="267">
        <f>IFERROR(VLOOKUP($A200,Supp_44,14,FALSE),0)+IFERROR(SUMPRODUCT(VLOOKUP($A200,S275_01,{23,24,25},FALSE)),0)+IFERROR(SUMPRODUCT(VLOOKUP($A200,S275_97,{23,24,25},FALSE)),0)+IFERROR(ROUND(VLOOKUP($A200,S275_21,23,FALSE)*VLOOKUP($A200,'3121% SY'!$C$3:$M$324,11,FALSE),3),0)+IFERROR(ROUND(VLOOKUP($A200,S275_21,24,FALSE)*VLOOKUP($A200,'3121% SY'!$C$3:$M$324,11,FALSE),3),0)+IFERROR(ROUND(VLOOKUP($A200,S275_21,25,FALSE)*VLOOKUP($A200,'3121% SY'!$C$3:$M$324,11,FALSE),3),0)+IFERROR(VLOOKUP($A200,S275_09,9,FALSE),0)</f>
        <v>0</v>
      </c>
      <c r="W200" s="267">
        <f>IFERROR(VLOOKUP($A200,Supp_45,14,FALSE),0)+IFERROR(SUMPRODUCT(VLOOKUP($A200,S275_01,{26,27,28},FALSE)),0)+IFERROR(SUMPRODUCT(VLOOKUP($A200,S275_97,{26,27,28},FALSE)),0)+IFERROR(ROUND(VLOOKUP($A200,S275_21,26,FALSE)*VLOOKUP($A200,'3121% SY'!$C$3:$M$324,11,FALSE),3),0)+IFERROR(ROUND(VLOOKUP($A200,S275_21,27,FALSE)*VLOOKUP($A200,'3121% SY'!$C$3:$M$324,11,FALSE),3),0)+IFERROR(ROUND(VLOOKUP($A200,S275_21,28,FALSE)*VLOOKUP($A200,'3121% SY'!$C$3:$M$324,11,FALSE),3),0)+IFERROR(VLOOKUP($A200,S275_09,10,FALSE),0)</f>
        <v>0</v>
      </c>
      <c r="X200" s="267">
        <f>IFERROR(VLOOKUP($A200,Supp_46,14,FALSE),0)+IFERROR(SUMPRODUCT(VLOOKUP($A200,S275_01,{29,30,31},FALSE)),0)+IFERROR(SUMPRODUCT(VLOOKUP($A200,S275_97,{29,30,31},FALSE)),0)+IFERROR(ROUND(VLOOKUP($A200,S275_21,29,FALSE)*VLOOKUP($A200,'3121% SY'!$C$3:$M$324,11,FALSE),3),0)+IFERROR(ROUND(VLOOKUP($A200,S275_21,30,FALSE)*VLOOKUP($A200,'3121% SY'!$C$3:$M$324,11,FALSE),3),0)+IFERROR(ROUND(VLOOKUP($A200,S275_21,31,FALSE)*VLOOKUP($A200,'3121% SY'!$C$3:$M$324,11,FALSE),3),0)+IFERROR(VLOOKUP($A200,S275_09,11,FALSE),0)</f>
        <v>0.21000000000000002</v>
      </c>
      <c r="Y200" s="267">
        <f>IFERROR(VLOOKUP($A200,Supp_47,14,FALSE),0)+IFERROR(SUMPRODUCT(VLOOKUP($A200,S275_01,{32,33,34},FALSE)),0)+IFERROR(SUMPRODUCT(VLOOKUP($A200,S275_97,{32,33,34},FALSE)),0)+IFERROR(ROUND(VLOOKUP($A200,S275_21,32,FALSE)*VLOOKUP($A200,'3121% SY'!$C$3:$M$324,11,FALSE),3),0)+IFERROR(ROUND(VLOOKUP($A200,S275_21,33,FALSE)*VLOOKUP($A200,'3121% SY'!$C$3:$M$324,11,FALSE),3),0)+IFERROR(ROUND(VLOOKUP($A200,S275_21,34,FALSE)*VLOOKUP($A200,'3121% SY'!$C$3:$M$324,11,FALSE),3),0)+IFERROR(VLOOKUP($A200,S275_09,12,FALSE),0)</f>
        <v>0</v>
      </c>
      <c r="Z200" s="267">
        <f>IFERROR(VLOOKUP($A200,Supp_48,14,FALSE),0)+IFERROR(SUMPRODUCT(VLOOKUP($A200,S275_01,{35,36,37},FALSE)),0)+IFERROR(SUMPRODUCT(VLOOKUP($A200,S275_97,{35,36,37},FALSE)),0)+IFERROR(ROUND(VLOOKUP($A200,S275_21,35,FALSE)*VLOOKUP($A200,'3121% SY'!$C$3:$M$324,11,FALSE),3),0)+IFERROR(ROUND(VLOOKUP($A200,S275_21,36,FALSE)*VLOOKUP($A200,'3121% SY'!$C$3:$M$324,11,FALSE),3),0)+IFERROR(ROUND(VLOOKUP($A200,S275_21,37,FALSE)*VLOOKUP($A200,'3121% SY'!$C$3:$M$324,11,FALSE),3),0)+IFERROR(VLOOKUP($A200,S275_09,13,FALSE),0)</f>
        <v>0</v>
      </c>
      <c r="AA200" s="267">
        <f>IFERROR(VLOOKUP($A200,Supp_49,14,FALSE),0)+IFERROR(SUMPRODUCT(VLOOKUP($A200,S275_01,{38,39,40},FALSE)),0)+IFERROR(SUMPRODUCT(VLOOKUP($A200,S275_97,{38,39,40},FALSE)),0)+IFERROR(ROUND(VLOOKUP($A200,S275_21,38,FALSE)*VLOOKUP($A200,'3121% SY'!$C$3:$M$324,11,FALSE),3),0)+IFERROR(ROUND(VLOOKUP($A200,S275_21,39,FALSE)*VLOOKUP($A200,'3121% SY'!$C$3:$M$324,11,FALSE),3),0)+IFERROR(ROUND(VLOOKUP($A200,S275_21,40,FALSE)*VLOOKUP($A200,'3121% SY'!$C$3:$M$324,11,FALSE),3),0)+IFERROR(VLOOKUP($A200,S275_09,14,FALSE),0)</f>
        <v>0</v>
      </c>
      <c r="AB200" s="267">
        <f>IFERROR(VLOOKUP($A200,Supp_64,14,FALSE),0)+IFERROR(SUMPRODUCT(VLOOKUP($A200,S275_01,{41,42,43},FALSE)),0)+IFERROR(SUMPRODUCT(VLOOKUP($A200,S275_97,{41,42,43},FALSE)),0)+IFERROR(ROUND(VLOOKUP($A200,S275_21,41,FALSE)*VLOOKUP($A200,'3121% SY'!$C$3:$M$324,11,FALSE),3),0)+IFERROR(ROUND(VLOOKUP($A200,S275_21,42,FALSE)*VLOOKUP($A200,'3121% SY'!$C$3:$M$324,11,FALSE),3),0)+IFERROR(ROUND(VLOOKUP($A200,S275_21,43,FALSE)*VLOOKUP($A200,'3121% SY'!$C$3:$M$324,11,FALSE),3),0)+IFERROR(VLOOKUP($A200,S275_09,15,FALSE),0)</f>
        <v>0</v>
      </c>
      <c r="AC200" s="268">
        <f t="shared" si="47"/>
        <v>2.8009999999999997</v>
      </c>
      <c r="AD200" s="267">
        <f>IFERROR(VLOOKUP($A200,Supp_24,14,FALSE),0)+IFERROR(SUMPRODUCT(VLOOKUP($A200,S275_01,{2,3,4},FALSE)),0)+IFERROR(SUMPRODUCT(VLOOKUP($A200,S275_97,{2,3,4},FALSE)),0)+IFERROR(ROUND(VLOOKUP($A200,S275_21,2,FALSE)*VLOOKUP($A200,'3121% SY'!$C$3:$M$324,11,FALSE),3),0)+IFERROR(ROUND(VLOOKUP($A200,S275_21,3,FALSE)*VLOOKUP($A200,'3121% SY'!$C$3:$M$324,11,FALSE),3),0)+IFERROR(ROUND(VLOOKUP($A200,S275_21,4,FALSE)*VLOOKUP($A200,'3121% SY'!$C$3:$M$324,11,FALSE),3),0)+IFERROR(VLOOKUP($A200,S275_09,2,FALSE),0)</f>
        <v>0</v>
      </c>
      <c r="AE200" s="267">
        <f>IFERROR(VLOOKUP($A200,Supp_25,14,FALSE),0)+IFERROR(SUMPRODUCT(VLOOKUP($A200,S275_01,{5,6,7},FALSE)),0)+IFERROR(SUMPRODUCT(VLOOKUP($A200,S275_97,{5,6,7},FALSE)),0)+IFERROR(ROUND(VLOOKUP($A200,S275_21,5,FALSE)*VLOOKUP($A200,'3121% SY'!$C$3:$M$324,11,FALSE),3),0)+IFERROR(ROUND(VLOOKUP($A200,S275_21,6,FALSE)*VLOOKUP($A200,'3121% SY'!$C$3:$M$324,11,FALSE),3),0)+IFERROR(ROUND(VLOOKUP($A200,S275_21,7,FALSE)*VLOOKUP($A200,'3121% SY'!$C$3:$M$324,11,FALSE),3),0)+IFERROR(VLOOKUP($A200,S275_09,3,FALSE),0)</f>
        <v>4.1239999999999997</v>
      </c>
      <c r="AF200" s="267">
        <f>IFERROR(VLOOKUP($A200,Supp_26,14,FALSE),0)+IFERROR(SUMPRODUCT(VLOOKUP($A200,S275_01,{8,9,10},FALSE)),0)+IFERROR(SUMPRODUCT(VLOOKUP($A200,S275_97,{8,9,10},FALSE)),0)+IFERROR(ROUND(VLOOKUP($A200,S275_21,8,FALSE)*VLOOKUP($A200,'3121% SY'!$C$3:$M$324,11,FALSE),3),0)+IFERROR(ROUND(VLOOKUP($A200,S275_21,9,FALSE)*VLOOKUP($A200,'3121% SY'!$C$3:$M$324,11,FALSE),3),0)+IFERROR(ROUND(VLOOKUP($A200,S275_21,10,FALSE)*VLOOKUP($A200,'3121% SY'!$C$3:$M$324,11,FALSE),3),0)+IFERROR(VLOOKUP($A200,S275_09,4,FALSE),0)</f>
        <v>0.80400000000000005</v>
      </c>
      <c r="AG200" s="267">
        <f>IFERROR(VLOOKUP($A200,Supp_35,14,FALSE),0)+IFERROR(SUMPRODUCT(VLOOKUP($A200,S275_01,{11,12,13},FALSE)),0)+IFERROR(SUMPRODUCT(VLOOKUP($A200,S275_97,{11,12,13},FALSE)),0)+IFERROR(ROUND(VLOOKUP($A200,S275_21,11,FALSE)*VLOOKUP($A200,'3121% SY'!$C$3:$M$324,11,FALSE),3),0)+IFERROR(ROUND(VLOOKUP($A200,S275_21,12,FALSE)*VLOOKUP($A200,'3121% SY'!$C$3:$M$324,11,FALSE),3),0)+IFERROR(ROUND(VLOOKUP($A200,S275_21,13,FALSE)*VLOOKUP($A200,'3121% SY'!$C$3:$M$324,11,FALSE),3),0)+IFERROR(VLOOKUP($A200,S275_09,5,FALSE),0)</f>
        <v>0</v>
      </c>
      <c r="AH200" s="165">
        <f t="shared" si="48"/>
        <v>4.9279999999999999</v>
      </c>
      <c r="AI200" s="161">
        <f>IFERROR(VLOOKUP(A200,'Supp Staff Data'!A:ER,148,FALSE),0)+AB200</f>
        <v>0</v>
      </c>
      <c r="AJ200" s="174">
        <v>1</v>
      </c>
      <c r="AK200" s="25">
        <f>VLOOKUP(A200,'Enroll Data as of January 2025'!$A$3:$T$323,20,FALSE)-F200</f>
        <v>0</v>
      </c>
    </row>
    <row r="201" spans="1:37" x14ac:dyDescent="0.25">
      <c r="A201" s="171" t="s">
        <v>167</v>
      </c>
      <c r="B201" t="s">
        <v>463</v>
      </c>
      <c r="C201" s="173" t="s">
        <v>1077</v>
      </c>
      <c r="D201" s="259">
        <f t="shared" si="40"/>
        <v>7.0780000000000003</v>
      </c>
      <c r="E201" s="259">
        <f t="shared" si="41"/>
        <v>6.8320000000000007</v>
      </c>
      <c r="F201" s="262">
        <f t="shared" si="42"/>
        <v>-0.246</v>
      </c>
      <c r="G201" s="161">
        <f>ROUND(IF(F201&lt;0,F201*'2024-25 PSES Compliance'!$G$13,0),3)</f>
        <v>-0.23599999999999999</v>
      </c>
      <c r="H201" s="161">
        <f>ROUND(IF(F201&lt;0,F201*'2024-25 PSES Compliance'!$G$14,0),3)</f>
        <v>-0.01</v>
      </c>
      <c r="I201" s="174">
        <f t="shared" si="43"/>
        <v>0.79054449648711944</v>
      </c>
      <c r="J201" s="174">
        <f t="shared" si="44"/>
        <v>0</v>
      </c>
      <c r="K201" s="161">
        <f>VLOOKUP($A201,'Enroll Data as of January 2025'!$A$3:$M$322,6,FALSE)</f>
        <v>3.931</v>
      </c>
      <c r="L201" s="161">
        <f>VLOOKUP($A201,'Enroll Data as of January 2025'!$A$3:$M$322,7,FALSE)</f>
        <v>0.67800000000000005</v>
      </c>
      <c r="M201" s="161">
        <f>VLOOKUP($A201,'Enroll Data as of January 2025'!$A$3:$M$322,8,FALSE)</f>
        <v>0.22800000000000001</v>
      </c>
      <c r="N201" s="161">
        <f>VLOOKUP($A201,'Enroll Data as of January 2025'!$A$3:$M$322,9,FALSE)</f>
        <v>1.8359999999999999</v>
      </c>
      <c r="O201" s="165">
        <f t="shared" si="45"/>
        <v>6.673</v>
      </c>
      <c r="P201" s="161">
        <f>VLOOKUP($A201,'Enroll Data as of January 2025'!$A$3:$M$322,11,FALSE)</f>
        <v>0.25</v>
      </c>
      <c r="Q201" s="161">
        <f>VLOOKUP($A201,'Enroll Data as of January 2025'!$A$3:$M$322,12,FALSE)</f>
        <v>0.155</v>
      </c>
      <c r="R201" s="165">
        <f t="shared" si="46"/>
        <v>0.40500000000000003</v>
      </c>
      <c r="S201" s="267">
        <f>IFERROR(VLOOKUP($A201,Supp_39,14,FALSE),0)+IFERROR(SUMPRODUCT(VLOOKUP($A201,S275_01,{14,15,16},FALSE)),0)+IFERROR(SUMPRODUCT(VLOOKUP($A201,S275_97,{14,15,16},FALSE)),0)+IFERROR(ROUND(VLOOKUP($A201,S275_21,14,FALSE)*VLOOKUP($A201,'3121% SY'!$C$3:$M$324,11,FALSE),3),0)+IFERROR(ROUND(VLOOKUP($A201,S275_21,15,FALSE)*VLOOKUP($A201,'3121% SY'!$C$3:$M$324,11,FALSE),3),0)+IFERROR(ROUND(VLOOKUP($A201,S275_21,16,FALSE)*VLOOKUP($A201,'3121% SY'!$C$3:$M$324,11,FALSE),3),0)+IFERROR(VLOOKUP($A201,S275_09,6,FALSE),0)</f>
        <v>3.8330000000000002</v>
      </c>
      <c r="T201" s="267">
        <f>IFERROR(VLOOKUP($A201,Supp_42,14,FALSE),0)+IFERROR(SUMPRODUCT(VLOOKUP($A201,S275_01,{17,18,19},FALSE)),0)+IFERROR(SUMPRODUCT(VLOOKUP($A201,S275_97,{17,18,19},FALSE)),0)+IFERROR(ROUND(VLOOKUP($A201,S275_21,17,FALSE)*VLOOKUP($A201,'3121% SY'!$C$3:$M$324,11,FALSE),3),0)+IFERROR(ROUND(VLOOKUP($A201,S275_21,18,FALSE)*VLOOKUP($A201,'3121% SY'!$C$3:$M$324,11,FALSE),3),0)+IFERROR(ROUND(VLOOKUP($A201,S275_21,19,FALSE)*VLOOKUP($A201,'3121% SY'!$C$3:$M$324,11,FALSE),3),0)+IFERROR(VLOOKUP($A201,S275_09,7,FALSE),0)</f>
        <v>0.85499999999999998</v>
      </c>
      <c r="U201" s="267">
        <f>IFERROR(VLOOKUP($A201,Supp_43,14,FALSE),0)+IFERROR(SUMPRODUCT(VLOOKUP($A201,S275_01,{20,21,22},FALSE)),0)+IFERROR(SUMPRODUCT(VLOOKUP($A201,S275_97,{20,21,22},FALSE)),0)+IFERROR(ROUND(VLOOKUP($A201,S275_21,20,FALSE)*VLOOKUP($A201,'3121% SY'!$C$3:$M$324,11,FALSE),3),0)+IFERROR(ROUND(VLOOKUP($A201,S275_21,21,FALSE)*VLOOKUP($A201,'3121% SY'!$C$3:$M$324,11,FALSE),3),0)+IFERROR(ROUND(VLOOKUP($A201,S275_21,22,FALSE)*VLOOKUP($A201,'3121% SY'!$C$3:$M$324,11,FALSE),3),0)+IFERROR(VLOOKUP($A201,S275_09,8,FALSE),0)</f>
        <v>0</v>
      </c>
      <c r="V201" s="267">
        <f>IFERROR(VLOOKUP($A201,Supp_44,14,FALSE),0)+IFERROR(SUMPRODUCT(VLOOKUP($A201,S275_01,{23,24,25},FALSE)),0)+IFERROR(SUMPRODUCT(VLOOKUP($A201,S275_97,{23,24,25},FALSE)),0)+IFERROR(ROUND(VLOOKUP($A201,S275_21,23,FALSE)*VLOOKUP($A201,'3121% SY'!$C$3:$M$324,11,FALSE),3),0)+IFERROR(ROUND(VLOOKUP($A201,S275_21,24,FALSE)*VLOOKUP($A201,'3121% SY'!$C$3:$M$324,11,FALSE),3),0)+IFERROR(ROUND(VLOOKUP($A201,S275_21,25,FALSE)*VLOOKUP($A201,'3121% SY'!$C$3:$M$324,11,FALSE),3),0)+IFERROR(VLOOKUP($A201,S275_09,9,FALSE),0)</f>
        <v>0</v>
      </c>
      <c r="W201" s="267">
        <f>IFERROR(VLOOKUP($A201,Supp_45,14,FALSE),0)+IFERROR(SUMPRODUCT(VLOOKUP($A201,S275_01,{26,27,28},FALSE)),0)+IFERROR(SUMPRODUCT(VLOOKUP($A201,S275_97,{26,27,28},FALSE)),0)+IFERROR(ROUND(VLOOKUP($A201,S275_21,26,FALSE)*VLOOKUP($A201,'3121% SY'!$C$3:$M$324,11,FALSE),3),0)+IFERROR(ROUND(VLOOKUP($A201,S275_21,27,FALSE)*VLOOKUP($A201,'3121% SY'!$C$3:$M$324,11,FALSE),3),0)+IFERROR(ROUND(VLOOKUP($A201,S275_21,28,FALSE)*VLOOKUP($A201,'3121% SY'!$C$3:$M$324,11,FALSE),3),0)+IFERROR(VLOOKUP($A201,S275_09,10,FALSE),0)</f>
        <v>0.52500000000000002</v>
      </c>
      <c r="X201" s="267">
        <f>IFERROR(VLOOKUP($A201,Supp_46,14,FALSE),0)+IFERROR(SUMPRODUCT(VLOOKUP($A201,S275_01,{29,30,31},FALSE)),0)+IFERROR(SUMPRODUCT(VLOOKUP($A201,S275_97,{29,30,31},FALSE)),0)+IFERROR(ROUND(VLOOKUP($A201,S275_21,29,FALSE)*VLOOKUP($A201,'3121% SY'!$C$3:$M$324,11,FALSE),3),0)+IFERROR(ROUND(VLOOKUP($A201,S275_21,30,FALSE)*VLOOKUP($A201,'3121% SY'!$C$3:$M$324,11,FALSE),3),0)+IFERROR(ROUND(VLOOKUP($A201,S275_21,31,FALSE)*VLOOKUP($A201,'3121% SY'!$C$3:$M$324,11,FALSE),3),0)+IFERROR(VLOOKUP($A201,S275_09,11,FALSE),0)</f>
        <v>0.188</v>
      </c>
      <c r="Y201" s="267">
        <f>IFERROR(VLOOKUP($A201,Supp_47,14,FALSE),0)+IFERROR(SUMPRODUCT(VLOOKUP($A201,S275_01,{32,33,34},FALSE)),0)+IFERROR(SUMPRODUCT(VLOOKUP($A201,S275_97,{32,33,34},FALSE)),0)+IFERROR(ROUND(VLOOKUP($A201,S275_21,32,FALSE)*VLOOKUP($A201,'3121% SY'!$C$3:$M$324,11,FALSE),3),0)+IFERROR(ROUND(VLOOKUP($A201,S275_21,33,FALSE)*VLOOKUP($A201,'3121% SY'!$C$3:$M$324,11,FALSE),3),0)+IFERROR(ROUND(VLOOKUP($A201,S275_21,34,FALSE)*VLOOKUP($A201,'3121% SY'!$C$3:$M$324,11,FALSE),3),0)+IFERROR(VLOOKUP($A201,S275_09,12,FALSE),0)</f>
        <v>0</v>
      </c>
      <c r="Z201" s="267">
        <f>IFERROR(VLOOKUP($A201,Supp_48,14,FALSE),0)+IFERROR(SUMPRODUCT(VLOOKUP($A201,S275_01,{35,36,37},FALSE)),0)+IFERROR(SUMPRODUCT(VLOOKUP($A201,S275_97,{35,36,37},FALSE)),0)+IFERROR(ROUND(VLOOKUP($A201,S275_21,35,FALSE)*VLOOKUP($A201,'3121% SY'!$C$3:$M$324,11,FALSE),3),0)+IFERROR(ROUND(VLOOKUP($A201,S275_21,36,FALSE)*VLOOKUP($A201,'3121% SY'!$C$3:$M$324,11,FALSE),3),0)+IFERROR(ROUND(VLOOKUP($A201,S275_21,37,FALSE)*VLOOKUP($A201,'3121% SY'!$C$3:$M$324,11,FALSE),3),0)+IFERROR(VLOOKUP($A201,S275_09,13,FALSE),0)</f>
        <v>0</v>
      </c>
      <c r="AA201" s="267">
        <f>IFERROR(VLOOKUP($A201,Supp_49,14,FALSE),0)+IFERROR(SUMPRODUCT(VLOOKUP($A201,S275_01,{38,39,40},FALSE)),0)+IFERROR(SUMPRODUCT(VLOOKUP($A201,S275_97,{38,39,40},FALSE)),0)+IFERROR(ROUND(VLOOKUP($A201,S275_21,38,FALSE)*VLOOKUP($A201,'3121% SY'!$C$3:$M$324,11,FALSE),3),0)+IFERROR(ROUND(VLOOKUP($A201,S275_21,39,FALSE)*VLOOKUP($A201,'3121% SY'!$C$3:$M$324,11,FALSE),3),0)+IFERROR(ROUND(VLOOKUP($A201,S275_21,40,FALSE)*VLOOKUP($A201,'3121% SY'!$C$3:$M$324,11,FALSE),3),0)+IFERROR(VLOOKUP($A201,S275_09,14,FALSE),0)</f>
        <v>0</v>
      </c>
      <c r="AB201" s="267">
        <f>IFERROR(VLOOKUP($A201,Supp_64,14,FALSE),0)+IFERROR(SUMPRODUCT(VLOOKUP($A201,S275_01,{41,42,43},FALSE)),0)+IFERROR(SUMPRODUCT(VLOOKUP($A201,S275_97,{41,42,43},FALSE)),0)+IFERROR(ROUND(VLOOKUP($A201,S275_21,41,FALSE)*VLOOKUP($A201,'3121% SY'!$C$3:$M$324,11,FALSE),3),0)+IFERROR(ROUND(VLOOKUP($A201,S275_21,42,FALSE)*VLOOKUP($A201,'3121% SY'!$C$3:$M$324,11,FALSE),3),0)+IFERROR(ROUND(VLOOKUP($A201,S275_21,43,FALSE)*VLOOKUP($A201,'3121% SY'!$C$3:$M$324,11,FALSE),3),0)+IFERROR(VLOOKUP($A201,S275_09,15,FALSE),0)</f>
        <v>0</v>
      </c>
      <c r="AC201" s="268">
        <f t="shared" si="47"/>
        <v>5.4010000000000007</v>
      </c>
      <c r="AD201" s="267">
        <f>IFERROR(VLOOKUP($A201,Supp_24,14,FALSE),0)+IFERROR(SUMPRODUCT(VLOOKUP($A201,S275_01,{2,3,4},FALSE)),0)+IFERROR(SUMPRODUCT(VLOOKUP($A201,S275_97,{2,3,4},FALSE)),0)+IFERROR(ROUND(VLOOKUP($A201,S275_21,2,FALSE)*VLOOKUP($A201,'3121% SY'!$C$3:$M$324,11,FALSE),3),0)+IFERROR(ROUND(VLOOKUP($A201,S275_21,3,FALSE)*VLOOKUP($A201,'3121% SY'!$C$3:$M$324,11,FALSE),3),0)+IFERROR(ROUND(VLOOKUP($A201,S275_21,4,FALSE)*VLOOKUP($A201,'3121% SY'!$C$3:$M$324,11,FALSE),3),0)+IFERROR(VLOOKUP($A201,S275_09,2,FALSE),0)</f>
        <v>0</v>
      </c>
      <c r="AE201" s="267">
        <f>IFERROR(VLOOKUP($A201,Supp_25,14,FALSE),0)+IFERROR(SUMPRODUCT(VLOOKUP($A201,S275_01,{5,6,7},FALSE)),0)+IFERROR(SUMPRODUCT(VLOOKUP($A201,S275_97,{5,6,7},FALSE)),0)+IFERROR(ROUND(VLOOKUP($A201,S275_21,5,FALSE)*VLOOKUP($A201,'3121% SY'!$C$3:$M$324,11,FALSE),3),0)+IFERROR(ROUND(VLOOKUP($A201,S275_21,6,FALSE)*VLOOKUP($A201,'3121% SY'!$C$3:$M$324,11,FALSE),3),0)+IFERROR(ROUND(VLOOKUP($A201,S275_21,7,FALSE)*VLOOKUP($A201,'3121% SY'!$C$3:$M$324,11,FALSE),3),0)+IFERROR(VLOOKUP($A201,S275_09,3,FALSE),0)</f>
        <v>0.71599999999999997</v>
      </c>
      <c r="AF201" s="267">
        <f>IFERROR(VLOOKUP($A201,Supp_26,14,FALSE),0)+IFERROR(SUMPRODUCT(VLOOKUP($A201,S275_01,{8,9,10},FALSE)),0)+IFERROR(SUMPRODUCT(VLOOKUP($A201,S275_97,{8,9,10},FALSE)),0)+IFERROR(ROUND(VLOOKUP($A201,S275_21,8,FALSE)*VLOOKUP($A201,'3121% SY'!$C$3:$M$324,11,FALSE),3),0)+IFERROR(ROUND(VLOOKUP($A201,S275_21,9,FALSE)*VLOOKUP($A201,'3121% SY'!$C$3:$M$324,11,FALSE),3),0)+IFERROR(ROUND(VLOOKUP($A201,S275_21,10,FALSE)*VLOOKUP($A201,'3121% SY'!$C$3:$M$324,11,FALSE),3),0)+IFERROR(VLOOKUP($A201,S275_09,4,FALSE),0)</f>
        <v>0.71499999999999997</v>
      </c>
      <c r="AG201" s="267">
        <f>IFERROR(VLOOKUP($A201,Supp_35,14,FALSE),0)+IFERROR(SUMPRODUCT(VLOOKUP($A201,S275_01,{11,12,13},FALSE)),0)+IFERROR(SUMPRODUCT(VLOOKUP($A201,S275_97,{11,12,13},FALSE)),0)+IFERROR(ROUND(VLOOKUP($A201,S275_21,11,FALSE)*VLOOKUP($A201,'3121% SY'!$C$3:$M$324,11,FALSE),3),0)+IFERROR(ROUND(VLOOKUP($A201,S275_21,12,FALSE)*VLOOKUP($A201,'3121% SY'!$C$3:$M$324,11,FALSE),3),0)+IFERROR(ROUND(VLOOKUP($A201,S275_21,13,FALSE)*VLOOKUP($A201,'3121% SY'!$C$3:$M$324,11,FALSE),3),0)+IFERROR(VLOOKUP($A201,S275_09,5,FALSE),0)</f>
        <v>0</v>
      </c>
      <c r="AH201" s="165">
        <f t="shared" si="48"/>
        <v>1.431</v>
      </c>
      <c r="AI201" s="161">
        <f>IFERROR(VLOOKUP(A201,'Supp Staff Data'!A:ER,148,FALSE),0)+AB201</f>
        <v>0</v>
      </c>
      <c r="AJ201" s="174">
        <v>1</v>
      </c>
      <c r="AK201" s="25">
        <f>VLOOKUP(A201,'Enroll Data as of January 2025'!$A$3:$T$323,20,FALSE)-F201</f>
        <v>0</v>
      </c>
    </row>
    <row r="202" spans="1:37" x14ac:dyDescent="0.25">
      <c r="A202" s="171" t="s">
        <v>243</v>
      </c>
      <c r="B202" t="s">
        <v>539</v>
      </c>
      <c r="C202" s="173" t="s">
        <v>1077</v>
      </c>
      <c r="D202" s="259">
        <f t="shared" si="40"/>
        <v>1.1350000000000002</v>
      </c>
      <c r="E202" s="259">
        <f t="shared" si="41"/>
        <v>2.3650000000000002</v>
      </c>
      <c r="F202" s="262">
        <f t="shared" si="42"/>
        <v>1.23</v>
      </c>
      <c r="G202" s="161">
        <f>ROUND(IF(F202&lt;0,F202*'2024-25 PSES Compliance'!$G$13,0),3)</f>
        <v>0</v>
      </c>
      <c r="H202" s="161">
        <f>ROUND(IF(F202&lt;0,F202*'2024-25 PSES Compliance'!$G$14,0),3)</f>
        <v>0</v>
      </c>
      <c r="I202" s="174">
        <f t="shared" si="43"/>
        <v>0.41695560253699782</v>
      </c>
      <c r="J202" s="174">
        <f t="shared" si="44"/>
        <v>0</v>
      </c>
      <c r="K202" s="161">
        <f>VLOOKUP($A202,'Enroll Data as of January 2025'!$A$3:$M$322,6,FALSE)</f>
        <v>0.58899999999999997</v>
      </c>
      <c r="L202" s="161">
        <f>VLOOKUP($A202,'Enroll Data as of January 2025'!$A$3:$M$322,7,FALSE)</f>
        <v>0.127</v>
      </c>
      <c r="M202" s="161">
        <f>VLOOKUP($A202,'Enroll Data as of January 2025'!$A$3:$M$322,8,FALSE)</f>
        <v>4.3000000000000003E-2</v>
      </c>
      <c r="N202" s="161">
        <f>VLOOKUP($A202,'Enroll Data as of January 2025'!$A$3:$M$322,9,FALSE)</f>
        <v>0.30400000000000005</v>
      </c>
      <c r="O202" s="165">
        <f t="shared" si="45"/>
        <v>1.0630000000000002</v>
      </c>
      <c r="P202" s="161">
        <f>VLOOKUP($A202,'Enroll Data as of January 2025'!$A$3:$M$322,11,FALSE)</f>
        <v>4.0999999999999995E-2</v>
      </c>
      <c r="Q202" s="161">
        <f>VLOOKUP($A202,'Enroll Data as of January 2025'!$A$3:$M$322,12,FALSE)</f>
        <v>3.1E-2</v>
      </c>
      <c r="R202" s="165">
        <f t="shared" si="46"/>
        <v>7.1999999999999995E-2</v>
      </c>
      <c r="S202" s="267">
        <f>IFERROR(VLOOKUP($A202,Supp_39,14,FALSE),0)+IFERROR(SUMPRODUCT(VLOOKUP($A202,S275_01,{14,15,16},FALSE)),0)+IFERROR(SUMPRODUCT(VLOOKUP($A202,S275_97,{14,15,16},FALSE)),0)+IFERROR(ROUND(VLOOKUP($A202,S275_21,14,FALSE)*VLOOKUP($A202,'3121% SY'!$C$3:$M$324,11,FALSE),3),0)+IFERROR(ROUND(VLOOKUP($A202,S275_21,15,FALSE)*VLOOKUP($A202,'3121% SY'!$C$3:$M$324,11,FALSE),3),0)+IFERROR(ROUND(VLOOKUP($A202,S275_21,16,FALSE)*VLOOKUP($A202,'3121% SY'!$C$3:$M$324,11,FALSE),3),0)+IFERROR(VLOOKUP($A202,S275_09,6,FALSE),0)</f>
        <v>0.79</v>
      </c>
      <c r="T202" s="267">
        <f>IFERROR(VLOOKUP($A202,Supp_42,14,FALSE),0)+IFERROR(SUMPRODUCT(VLOOKUP($A202,S275_01,{17,18,19},FALSE)),0)+IFERROR(SUMPRODUCT(VLOOKUP($A202,S275_97,{17,18,19},FALSE)),0)+IFERROR(ROUND(VLOOKUP($A202,S275_21,17,FALSE)*VLOOKUP($A202,'3121% SY'!$C$3:$M$324,11,FALSE),3),0)+IFERROR(ROUND(VLOOKUP($A202,S275_21,18,FALSE)*VLOOKUP($A202,'3121% SY'!$C$3:$M$324,11,FALSE),3),0)+IFERROR(ROUND(VLOOKUP($A202,S275_21,19,FALSE)*VLOOKUP($A202,'3121% SY'!$C$3:$M$324,11,FALSE),3),0)+IFERROR(VLOOKUP($A202,S275_09,7,FALSE),0)</f>
        <v>0.21</v>
      </c>
      <c r="U202" s="267">
        <f>IFERROR(VLOOKUP($A202,Supp_43,14,FALSE),0)+IFERROR(SUMPRODUCT(VLOOKUP($A202,S275_01,{20,21,22},FALSE)),0)+IFERROR(SUMPRODUCT(VLOOKUP($A202,S275_97,{20,21,22},FALSE)),0)+IFERROR(ROUND(VLOOKUP($A202,S275_21,20,FALSE)*VLOOKUP($A202,'3121% SY'!$C$3:$M$324,11,FALSE),3),0)+IFERROR(ROUND(VLOOKUP($A202,S275_21,21,FALSE)*VLOOKUP($A202,'3121% SY'!$C$3:$M$324,11,FALSE),3),0)+IFERROR(ROUND(VLOOKUP($A202,S275_21,22,FALSE)*VLOOKUP($A202,'3121% SY'!$C$3:$M$324,11,FALSE),3),0)+IFERROR(VLOOKUP($A202,S275_09,8,FALSE),0)</f>
        <v>0</v>
      </c>
      <c r="V202" s="267">
        <f>IFERROR(VLOOKUP($A202,Supp_44,14,FALSE),0)+IFERROR(SUMPRODUCT(VLOOKUP($A202,S275_01,{23,24,25},FALSE)),0)+IFERROR(SUMPRODUCT(VLOOKUP($A202,S275_97,{23,24,25},FALSE)),0)+IFERROR(ROUND(VLOOKUP($A202,S275_21,23,FALSE)*VLOOKUP($A202,'3121% SY'!$C$3:$M$324,11,FALSE),3),0)+IFERROR(ROUND(VLOOKUP($A202,S275_21,24,FALSE)*VLOOKUP($A202,'3121% SY'!$C$3:$M$324,11,FALSE),3),0)+IFERROR(ROUND(VLOOKUP($A202,S275_21,25,FALSE)*VLOOKUP($A202,'3121% SY'!$C$3:$M$324,11,FALSE),3),0)+IFERROR(VLOOKUP($A202,S275_09,9,FALSE),0)</f>
        <v>0</v>
      </c>
      <c r="W202" s="267">
        <f>IFERROR(VLOOKUP($A202,Supp_45,14,FALSE),0)+IFERROR(SUMPRODUCT(VLOOKUP($A202,S275_01,{26,27,28},FALSE)),0)+IFERROR(SUMPRODUCT(VLOOKUP($A202,S275_97,{26,27,28},FALSE)),0)+IFERROR(ROUND(VLOOKUP($A202,S275_21,26,FALSE)*VLOOKUP($A202,'3121% SY'!$C$3:$M$324,11,FALSE),3),0)+IFERROR(ROUND(VLOOKUP($A202,S275_21,27,FALSE)*VLOOKUP($A202,'3121% SY'!$C$3:$M$324,11,FALSE),3),0)+IFERROR(ROUND(VLOOKUP($A202,S275_21,28,FALSE)*VLOOKUP($A202,'3121% SY'!$C$3:$M$324,11,FALSE),3),0)+IFERROR(VLOOKUP($A202,S275_09,10,FALSE),0)</f>
        <v>0</v>
      </c>
      <c r="X202" s="267">
        <f>IFERROR(VLOOKUP($A202,Supp_46,14,FALSE),0)+IFERROR(SUMPRODUCT(VLOOKUP($A202,S275_01,{29,30,31},FALSE)),0)+IFERROR(SUMPRODUCT(VLOOKUP($A202,S275_97,{29,30,31},FALSE)),0)+IFERROR(ROUND(VLOOKUP($A202,S275_21,29,FALSE)*VLOOKUP($A202,'3121% SY'!$C$3:$M$324,11,FALSE),3),0)+IFERROR(ROUND(VLOOKUP($A202,S275_21,30,FALSE)*VLOOKUP($A202,'3121% SY'!$C$3:$M$324,11,FALSE),3),0)+IFERROR(ROUND(VLOOKUP($A202,S275_21,31,FALSE)*VLOOKUP($A202,'3121% SY'!$C$3:$M$324,11,FALSE),3),0)+IFERROR(VLOOKUP($A202,S275_09,11,FALSE),0)</f>
        <v>0</v>
      </c>
      <c r="Y202" s="267">
        <f>IFERROR(VLOOKUP($A202,Supp_47,14,FALSE),0)+IFERROR(SUMPRODUCT(VLOOKUP($A202,S275_01,{32,33,34},FALSE)),0)+IFERROR(SUMPRODUCT(VLOOKUP($A202,S275_97,{32,33,34},FALSE)),0)+IFERROR(ROUND(VLOOKUP($A202,S275_21,32,FALSE)*VLOOKUP($A202,'3121% SY'!$C$3:$M$324,11,FALSE),3),0)+IFERROR(ROUND(VLOOKUP($A202,S275_21,33,FALSE)*VLOOKUP($A202,'3121% SY'!$C$3:$M$324,11,FALSE),3),0)+IFERROR(ROUND(VLOOKUP($A202,S275_21,34,FALSE)*VLOOKUP($A202,'3121% SY'!$C$3:$M$324,11,FALSE),3),0)+IFERROR(VLOOKUP($A202,S275_09,12,FALSE),0)</f>
        <v>0</v>
      </c>
      <c r="Z202" s="267">
        <f>IFERROR(VLOOKUP($A202,Supp_48,14,FALSE),0)+IFERROR(SUMPRODUCT(VLOOKUP($A202,S275_01,{35,36,37},FALSE)),0)+IFERROR(SUMPRODUCT(VLOOKUP($A202,S275_97,{35,36,37},FALSE)),0)+IFERROR(ROUND(VLOOKUP($A202,S275_21,35,FALSE)*VLOOKUP($A202,'3121% SY'!$C$3:$M$324,11,FALSE),3),0)+IFERROR(ROUND(VLOOKUP($A202,S275_21,36,FALSE)*VLOOKUP($A202,'3121% SY'!$C$3:$M$324,11,FALSE),3),0)+IFERROR(ROUND(VLOOKUP($A202,S275_21,37,FALSE)*VLOOKUP($A202,'3121% SY'!$C$3:$M$324,11,FALSE),3),0)+IFERROR(VLOOKUP($A202,S275_09,13,FALSE),0)</f>
        <v>0</v>
      </c>
      <c r="AA202" s="267">
        <f>IFERROR(VLOOKUP($A202,Supp_49,14,FALSE),0)+IFERROR(SUMPRODUCT(VLOOKUP($A202,S275_01,{38,39,40},FALSE)),0)+IFERROR(SUMPRODUCT(VLOOKUP($A202,S275_97,{38,39,40},FALSE)),0)+IFERROR(ROUND(VLOOKUP($A202,S275_21,38,FALSE)*VLOOKUP($A202,'3121% SY'!$C$3:$M$324,11,FALSE),3),0)+IFERROR(ROUND(VLOOKUP($A202,S275_21,39,FALSE)*VLOOKUP($A202,'3121% SY'!$C$3:$M$324,11,FALSE),3),0)+IFERROR(ROUND(VLOOKUP($A202,S275_21,40,FALSE)*VLOOKUP($A202,'3121% SY'!$C$3:$M$324,11,FALSE),3),0)+IFERROR(VLOOKUP($A202,S275_09,14,FALSE),0)</f>
        <v>0</v>
      </c>
      <c r="AB202" s="267">
        <f>IFERROR(VLOOKUP($A202,Supp_64,14,FALSE),0)+IFERROR(SUMPRODUCT(VLOOKUP($A202,S275_01,{41,42,43},FALSE)),0)+IFERROR(SUMPRODUCT(VLOOKUP($A202,S275_97,{41,42,43},FALSE)),0)+IFERROR(ROUND(VLOOKUP($A202,S275_21,41,FALSE)*VLOOKUP($A202,'3121% SY'!$C$3:$M$324,11,FALSE),3),0)+IFERROR(ROUND(VLOOKUP($A202,S275_21,42,FALSE)*VLOOKUP($A202,'3121% SY'!$C$3:$M$324,11,FALSE),3),0)+IFERROR(ROUND(VLOOKUP($A202,S275_21,43,FALSE)*VLOOKUP($A202,'3121% SY'!$C$3:$M$324,11,FALSE),3),0)+IFERROR(VLOOKUP($A202,S275_09,15,FALSE),0)</f>
        <v>0</v>
      </c>
      <c r="AC202" s="268">
        <f t="shared" si="47"/>
        <v>1</v>
      </c>
      <c r="AD202" s="267">
        <f>IFERROR(VLOOKUP($A202,Supp_24,14,FALSE),0)+IFERROR(SUMPRODUCT(VLOOKUP($A202,S275_01,{2,3,4},FALSE)),0)+IFERROR(SUMPRODUCT(VLOOKUP($A202,S275_97,{2,3,4},FALSE)),0)+IFERROR(ROUND(VLOOKUP($A202,S275_21,2,FALSE)*VLOOKUP($A202,'3121% SY'!$C$3:$M$324,11,FALSE),3),0)+IFERROR(ROUND(VLOOKUP($A202,S275_21,3,FALSE)*VLOOKUP($A202,'3121% SY'!$C$3:$M$324,11,FALSE),3),0)+IFERROR(ROUND(VLOOKUP($A202,S275_21,4,FALSE)*VLOOKUP($A202,'3121% SY'!$C$3:$M$324,11,FALSE),3),0)+IFERROR(VLOOKUP($A202,S275_09,2,FALSE),0)</f>
        <v>0</v>
      </c>
      <c r="AE202" s="267">
        <f>IFERROR(VLOOKUP($A202,Supp_25,14,FALSE),0)+IFERROR(SUMPRODUCT(VLOOKUP($A202,S275_01,{5,6,7},FALSE)),0)+IFERROR(SUMPRODUCT(VLOOKUP($A202,S275_97,{5,6,7},FALSE)),0)+IFERROR(ROUND(VLOOKUP($A202,S275_21,5,FALSE)*VLOOKUP($A202,'3121% SY'!$C$3:$M$324,11,FALSE),3),0)+IFERROR(ROUND(VLOOKUP($A202,S275_21,6,FALSE)*VLOOKUP($A202,'3121% SY'!$C$3:$M$324,11,FALSE),3),0)+IFERROR(ROUND(VLOOKUP($A202,S275_21,7,FALSE)*VLOOKUP($A202,'3121% SY'!$C$3:$M$324,11,FALSE),3),0)+IFERROR(VLOOKUP($A202,S275_09,3,FALSE),0)</f>
        <v>1.365</v>
      </c>
      <c r="AF202" s="267">
        <f>IFERROR(VLOOKUP($A202,Supp_26,14,FALSE),0)+IFERROR(SUMPRODUCT(VLOOKUP($A202,S275_01,{8,9,10},FALSE)),0)+IFERROR(SUMPRODUCT(VLOOKUP($A202,S275_97,{8,9,10},FALSE)),0)+IFERROR(ROUND(VLOOKUP($A202,S275_21,8,FALSE)*VLOOKUP($A202,'3121% SY'!$C$3:$M$324,11,FALSE),3),0)+IFERROR(ROUND(VLOOKUP($A202,S275_21,9,FALSE)*VLOOKUP($A202,'3121% SY'!$C$3:$M$324,11,FALSE),3),0)+IFERROR(ROUND(VLOOKUP($A202,S275_21,10,FALSE)*VLOOKUP($A202,'3121% SY'!$C$3:$M$324,11,FALSE),3),0)+IFERROR(VLOOKUP($A202,S275_09,4,FALSE),0)</f>
        <v>0</v>
      </c>
      <c r="AG202" s="267">
        <f>IFERROR(VLOOKUP($A202,Supp_35,14,FALSE),0)+IFERROR(SUMPRODUCT(VLOOKUP($A202,S275_01,{11,12,13},FALSE)),0)+IFERROR(SUMPRODUCT(VLOOKUP($A202,S275_97,{11,12,13},FALSE)),0)+IFERROR(ROUND(VLOOKUP($A202,S275_21,11,FALSE)*VLOOKUP($A202,'3121% SY'!$C$3:$M$324,11,FALSE),3),0)+IFERROR(ROUND(VLOOKUP($A202,S275_21,12,FALSE)*VLOOKUP($A202,'3121% SY'!$C$3:$M$324,11,FALSE),3),0)+IFERROR(ROUND(VLOOKUP($A202,S275_21,13,FALSE)*VLOOKUP($A202,'3121% SY'!$C$3:$M$324,11,FALSE),3),0)+IFERROR(VLOOKUP($A202,S275_09,5,FALSE),0)</f>
        <v>0</v>
      </c>
      <c r="AH202" s="165">
        <f t="shared" si="48"/>
        <v>1.365</v>
      </c>
      <c r="AI202" s="161">
        <f>IFERROR(VLOOKUP(A202,'Supp Staff Data'!A:ER,148,FALSE),0)+AB202</f>
        <v>0</v>
      </c>
      <c r="AJ202" s="174">
        <v>0.98609999999999998</v>
      </c>
      <c r="AK202" s="25">
        <f>VLOOKUP(A202,'Enroll Data as of January 2025'!$A$3:$T$323,20,FALSE)-F202</f>
        <v>0</v>
      </c>
    </row>
    <row r="203" spans="1:37" x14ac:dyDescent="0.25">
      <c r="A203" s="171" t="s">
        <v>180</v>
      </c>
      <c r="B203" t="s">
        <v>476</v>
      </c>
      <c r="C203" s="173" t="s">
        <v>1077</v>
      </c>
      <c r="D203" s="259">
        <f t="shared" si="40"/>
        <v>4.7990000000000004</v>
      </c>
      <c r="E203" s="259">
        <f t="shared" si="41"/>
        <v>6.0270000000000001</v>
      </c>
      <c r="F203" s="262">
        <f t="shared" si="42"/>
        <v>1.228</v>
      </c>
      <c r="G203" s="161">
        <f>ROUND(IF(F203&lt;0,F203*'2024-25 PSES Compliance'!$G$13,0),3)</f>
        <v>0</v>
      </c>
      <c r="H203" s="161">
        <f>ROUND(IF(F203&lt;0,F203*'2024-25 PSES Compliance'!$G$14,0),3)</f>
        <v>0</v>
      </c>
      <c r="I203" s="174">
        <f t="shared" si="43"/>
        <v>0.75159849012775848</v>
      </c>
      <c r="J203" s="174">
        <f t="shared" si="44"/>
        <v>0</v>
      </c>
      <c r="K203" s="161">
        <f>VLOOKUP($A203,'Enroll Data as of January 2025'!$A$3:$M$322,6,FALSE)</f>
        <v>2.669</v>
      </c>
      <c r="L203" s="161">
        <f>VLOOKUP($A203,'Enroll Data as of January 2025'!$A$3:$M$322,7,FALSE)</f>
        <v>0.46200000000000002</v>
      </c>
      <c r="M203" s="161">
        <f>VLOOKUP($A203,'Enroll Data as of January 2025'!$A$3:$M$322,8,FALSE)</f>
        <v>0.15400000000000003</v>
      </c>
      <c r="N203" s="161">
        <f>VLOOKUP($A203,'Enroll Data as of January 2025'!$A$3:$M$322,9,FALSE)</f>
        <v>1.2389999999999999</v>
      </c>
      <c r="O203" s="165">
        <f t="shared" si="45"/>
        <v>4.524</v>
      </c>
      <c r="P203" s="161">
        <f>VLOOKUP($A203,'Enroll Data as of January 2025'!$A$3:$M$322,11,FALSE)</f>
        <v>0.16899999999999998</v>
      </c>
      <c r="Q203" s="161">
        <f>VLOOKUP($A203,'Enroll Data as of January 2025'!$A$3:$M$322,12,FALSE)</f>
        <v>0.106</v>
      </c>
      <c r="R203" s="165">
        <f t="shared" si="46"/>
        <v>0.27499999999999997</v>
      </c>
      <c r="S203" s="267">
        <f>IFERROR(VLOOKUP($A203,Supp_39,14,FALSE),0)+IFERROR(SUMPRODUCT(VLOOKUP($A203,S275_01,{14,15,16},FALSE)),0)+IFERROR(SUMPRODUCT(VLOOKUP($A203,S275_97,{14,15,16},FALSE)),0)+IFERROR(ROUND(VLOOKUP($A203,S275_21,14,FALSE)*VLOOKUP($A203,'3121% SY'!$C$3:$M$324,11,FALSE),3),0)+IFERROR(ROUND(VLOOKUP($A203,S275_21,15,FALSE)*VLOOKUP($A203,'3121% SY'!$C$3:$M$324,11,FALSE),3),0)+IFERROR(ROUND(VLOOKUP($A203,S275_21,16,FALSE)*VLOOKUP($A203,'3121% SY'!$C$3:$M$324,11,FALSE),3),0)+IFERROR(VLOOKUP($A203,S275_09,6,FALSE),0)</f>
        <v>1</v>
      </c>
      <c r="T203" s="267">
        <f>IFERROR(VLOOKUP($A203,Supp_42,14,FALSE),0)+IFERROR(SUMPRODUCT(VLOOKUP($A203,S275_01,{17,18,19},FALSE)),0)+IFERROR(SUMPRODUCT(VLOOKUP($A203,S275_97,{17,18,19},FALSE)),0)+IFERROR(ROUND(VLOOKUP($A203,S275_21,17,FALSE)*VLOOKUP($A203,'3121% SY'!$C$3:$M$324,11,FALSE),3),0)+IFERROR(ROUND(VLOOKUP($A203,S275_21,18,FALSE)*VLOOKUP($A203,'3121% SY'!$C$3:$M$324,11,FALSE),3),0)+IFERROR(ROUND(VLOOKUP($A203,S275_21,19,FALSE)*VLOOKUP($A203,'3121% SY'!$C$3:$M$324,11,FALSE),3),0)+IFERROR(VLOOKUP($A203,S275_09,7,FALSE),0)</f>
        <v>1</v>
      </c>
      <c r="U203" s="267">
        <f>IFERROR(VLOOKUP($A203,Supp_43,14,FALSE),0)+IFERROR(SUMPRODUCT(VLOOKUP($A203,S275_01,{20,21,22},FALSE)),0)+IFERROR(SUMPRODUCT(VLOOKUP($A203,S275_97,{20,21,22},FALSE)),0)+IFERROR(ROUND(VLOOKUP($A203,S275_21,20,FALSE)*VLOOKUP($A203,'3121% SY'!$C$3:$M$324,11,FALSE),3),0)+IFERROR(ROUND(VLOOKUP($A203,S275_21,21,FALSE)*VLOOKUP($A203,'3121% SY'!$C$3:$M$324,11,FALSE),3),0)+IFERROR(ROUND(VLOOKUP($A203,S275_21,22,FALSE)*VLOOKUP($A203,'3121% SY'!$C$3:$M$324,11,FALSE),3),0)+IFERROR(VLOOKUP($A203,S275_09,8,FALSE),0)</f>
        <v>2</v>
      </c>
      <c r="V203" s="267">
        <f>IFERROR(VLOOKUP($A203,Supp_44,14,FALSE),0)+IFERROR(SUMPRODUCT(VLOOKUP($A203,S275_01,{23,24,25},FALSE)),0)+IFERROR(SUMPRODUCT(VLOOKUP($A203,S275_97,{23,24,25},FALSE)),0)+IFERROR(ROUND(VLOOKUP($A203,S275_21,23,FALSE)*VLOOKUP($A203,'3121% SY'!$C$3:$M$324,11,FALSE),3),0)+IFERROR(ROUND(VLOOKUP($A203,S275_21,24,FALSE)*VLOOKUP($A203,'3121% SY'!$C$3:$M$324,11,FALSE),3),0)+IFERROR(ROUND(VLOOKUP($A203,S275_21,25,FALSE)*VLOOKUP($A203,'3121% SY'!$C$3:$M$324,11,FALSE),3),0)+IFERROR(VLOOKUP($A203,S275_09,9,FALSE),0)</f>
        <v>0</v>
      </c>
      <c r="W203" s="267">
        <f>IFERROR(VLOOKUP($A203,Supp_45,14,FALSE),0)+IFERROR(SUMPRODUCT(VLOOKUP($A203,S275_01,{26,27,28},FALSE)),0)+IFERROR(SUMPRODUCT(VLOOKUP($A203,S275_97,{26,27,28},FALSE)),0)+IFERROR(ROUND(VLOOKUP($A203,S275_21,26,FALSE)*VLOOKUP($A203,'3121% SY'!$C$3:$M$324,11,FALSE),3),0)+IFERROR(ROUND(VLOOKUP($A203,S275_21,27,FALSE)*VLOOKUP($A203,'3121% SY'!$C$3:$M$324,11,FALSE),3),0)+IFERROR(ROUND(VLOOKUP($A203,S275_21,28,FALSE)*VLOOKUP($A203,'3121% SY'!$C$3:$M$324,11,FALSE),3),0)+IFERROR(VLOOKUP($A203,S275_09,10,FALSE),0)</f>
        <v>0.48499999999999999</v>
      </c>
      <c r="X203" s="267">
        <f>IFERROR(VLOOKUP($A203,Supp_46,14,FALSE),0)+IFERROR(SUMPRODUCT(VLOOKUP($A203,S275_01,{29,30,31},FALSE)),0)+IFERROR(SUMPRODUCT(VLOOKUP($A203,S275_97,{29,30,31},FALSE)),0)+IFERROR(ROUND(VLOOKUP($A203,S275_21,29,FALSE)*VLOOKUP($A203,'3121% SY'!$C$3:$M$324,11,FALSE),3),0)+IFERROR(ROUND(VLOOKUP($A203,S275_21,30,FALSE)*VLOOKUP($A203,'3121% SY'!$C$3:$M$324,11,FALSE),3),0)+IFERROR(ROUND(VLOOKUP($A203,S275_21,31,FALSE)*VLOOKUP($A203,'3121% SY'!$C$3:$M$324,11,FALSE),3),0)+IFERROR(VLOOKUP($A203,S275_09,11,FALSE),0)</f>
        <v>0.24199999999999999</v>
      </c>
      <c r="Y203" s="267">
        <f>IFERROR(VLOOKUP($A203,Supp_47,14,FALSE),0)+IFERROR(SUMPRODUCT(VLOOKUP($A203,S275_01,{32,33,34},FALSE)),0)+IFERROR(SUMPRODUCT(VLOOKUP($A203,S275_97,{32,33,34},FALSE)),0)+IFERROR(ROUND(VLOOKUP($A203,S275_21,32,FALSE)*VLOOKUP($A203,'3121% SY'!$C$3:$M$324,11,FALSE),3),0)+IFERROR(ROUND(VLOOKUP($A203,S275_21,33,FALSE)*VLOOKUP($A203,'3121% SY'!$C$3:$M$324,11,FALSE),3),0)+IFERROR(ROUND(VLOOKUP($A203,S275_21,34,FALSE)*VLOOKUP($A203,'3121% SY'!$C$3:$M$324,11,FALSE),3),0)+IFERROR(VLOOKUP($A203,S275_09,12,FALSE),0)</f>
        <v>0</v>
      </c>
      <c r="Z203" s="267">
        <f>IFERROR(VLOOKUP($A203,Supp_48,14,FALSE),0)+IFERROR(SUMPRODUCT(VLOOKUP($A203,S275_01,{35,36,37},FALSE)),0)+IFERROR(SUMPRODUCT(VLOOKUP($A203,S275_97,{35,36,37},FALSE)),0)+IFERROR(ROUND(VLOOKUP($A203,S275_21,35,FALSE)*VLOOKUP($A203,'3121% SY'!$C$3:$M$324,11,FALSE),3),0)+IFERROR(ROUND(VLOOKUP($A203,S275_21,36,FALSE)*VLOOKUP($A203,'3121% SY'!$C$3:$M$324,11,FALSE),3),0)+IFERROR(ROUND(VLOOKUP($A203,S275_21,37,FALSE)*VLOOKUP($A203,'3121% SY'!$C$3:$M$324,11,FALSE),3),0)+IFERROR(VLOOKUP($A203,S275_09,13,FALSE),0)</f>
        <v>0</v>
      </c>
      <c r="AA203" s="267">
        <f>IFERROR(VLOOKUP($A203,Supp_49,14,FALSE),0)+IFERROR(SUMPRODUCT(VLOOKUP($A203,S275_01,{38,39,40},FALSE)),0)+IFERROR(SUMPRODUCT(VLOOKUP($A203,S275_97,{38,39,40},FALSE)),0)+IFERROR(ROUND(VLOOKUP($A203,S275_21,38,FALSE)*VLOOKUP($A203,'3121% SY'!$C$3:$M$324,11,FALSE),3),0)+IFERROR(ROUND(VLOOKUP($A203,S275_21,39,FALSE)*VLOOKUP($A203,'3121% SY'!$C$3:$M$324,11,FALSE),3),0)+IFERROR(ROUND(VLOOKUP($A203,S275_21,40,FALSE)*VLOOKUP($A203,'3121% SY'!$C$3:$M$324,11,FALSE),3),0)+IFERROR(VLOOKUP($A203,S275_09,14,FALSE),0)</f>
        <v>0</v>
      </c>
      <c r="AB203" s="267">
        <f>IFERROR(VLOOKUP($A203,Supp_64,14,FALSE),0)+IFERROR(SUMPRODUCT(VLOOKUP($A203,S275_01,{41,42,43},FALSE)),0)+IFERROR(SUMPRODUCT(VLOOKUP($A203,S275_97,{41,42,43},FALSE)),0)+IFERROR(ROUND(VLOOKUP($A203,S275_21,41,FALSE)*VLOOKUP($A203,'3121% SY'!$C$3:$M$324,11,FALSE),3),0)+IFERROR(ROUND(VLOOKUP($A203,S275_21,42,FALSE)*VLOOKUP($A203,'3121% SY'!$C$3:$M$324,11,FALSE),3),0)+IFERROR(ROUND(VLOOKUP($A203,S275_21,43,FALSE)*VLOOKUP($A203,'3121% SY'!$C$3:$M$324,11,FALSE),3),0)+IFERROR(VLOOKUP($A203,S275_09,15,FALSE),0)</f>
        <v>0</v>
      </c>
      <c r="AC203" s="268">
        <f t="shared" si="47"/>
        <v>4.7270000000000003</v>
      </c>
      <c r="AD203" s="267">
        <f>IFERROR(VLOOKUP($A203,Supp_24,14,FALSE),0)+IFERROR(SUMPRODUCT(VLOOKUP($A203,S275_01,{2,3,4},FALSE)),0)+IFERROR(SUMPRODUCT(VLOOKUP($A203,S275_97,{2,3,4},FALSE)),0)+IFERROR(ROUND(VLOOKUP($A203,S275_21,2,FALSE)*VLOOKUP($A203,'3121% SY'!$C$3:$M$324,11,FALSE),3),0)+IFERROR(ROUND(VLOOKUP($A203,S275_21,3,FALSE)*VLOOKUP($A203,'3121% SY'!$C$3:$M$324,11,FALSE),3),0)+IFERROR(ROUND(VLOOKUP($A203,S275_21,4,FALSE)*VLOOKUP($A203,'3121% SY'!$C$3:$M$324,11,FALSE),3),0)+IFERROR(VLOOKUP($A203,S275_09,2,FALSE),0)</f>
        <v>0</v>
      </c>
      <c r="AE203" s="267">
        <f>IFERROR(VLOOKUP($A203,Supp_25,14,FALSE),0)+IFERROR(SUMPRODUCT(VLOOKUP($A203,S275_01,{5,6,7},FALSE)),0)+IFERROR(SUMPRODUCT(VLOOKUP($A203,S275_97,{5,6,7},FALSE)),0)+IFERROR(ROUND(VLOOKUP($A203,S275_21,5,FALSE)*VLOOKUP($A203,'3121% SY'!$C$3:$M$324,11,FALSE),3),0)+IFERROR(ROUND(VLOOKUP($A203,S275_21,6,FALSE)*VLOOKUP($A203,'3121% SY'!$C$3:$M$324,11,FALSE),3),0)+IFERROR(ROUND(VLOOKUP($A203,S275_21,7,FALSE)*VLOOKUP($A203,'3121% SY'!$C$3:$M$324,11,FALSE),3),0)+IFERROR(VLOOKUP($A203,S275_09,3,FALSE),0)</f>
        <v>0</v>
      </c>
      <c r="AF203" s="267">
        <f>IFERROR(VLOOKUP($A203,Supp_26,14,FALSE),0)+IFERROR(SUMPRODUCT(VLOOKUP($A203,S275_01,{8,9,10},FALSE)),0)+IFERROR(SUMPRODUCT(VLOOKUP($A203,S275_97,{8,9,10},FALSE)),0)+IFERROR(ROUND(VLOOKUP($A203,S275_21,8,FALSE)*VLOOKUP($A203,'3121% SY'!$C$3:$M$324,11,FALSE),3),0)+IFERROR(ROUND(VLOOKUP($A203,S275_21,9,FALSE)*VLOOKUP($A203,'3121% SY'!$C$3:$M$324,11,FALSE),3),0)+IFERROR(ROUND(VLOOKUP($A203,S275_21,10,FALSE)*VLOOKUP($A203,'3121% SY'!$C$3:$M$324,11,FALSE),3),0)+IFERROR(VLOOKUP($A203,S275_09,4,FALSE),0)</f>
        <v>1.3</v>
      </c>
      <c r="AG203" s="267">
        <f>IFERROR(VLOOKUP($A203,Supp_35,14,FALSE),0)+IFERROR(SUMPRODUCT(VLOOKUP($A203,S275_01,{11,12,13},FALSE)),0)+IFERROR(SUMPRODUCT(VLOOKUP($A203,S275_97,{11,12,13},FALSE)),0)+IFERROR(ROUND(VLOOKUP($A203,S275_21,11,FALSE)*VLOOKUP($A203,'3121% SY'!$C$3:$M$324,11,FALSE),3),0)+IFERROR(ROUND(VLOOKUP($A203,S275_21,12,FALSE)*VLOOKUP($A203,'3121% SY'!$C$3:$M$324,11,FALSE),3),0)+IFERROR(ROUND(VLOOKUP($A203,S275_21,13,FALSE)*VLOOKUP($A203,'3121% SY'!$C$3:$M$324,11,FALSE),3),0)+IFERROR(VLOOKUP($A203,S275_09,5,FALSE),0)</f>
        <v>0</v>
      </c>
      <c r="AH203" s="165">
        <f t="shared" si="48"/>
        <v>1.3</v>
      </c>
      <c r="AI203" s="161">
        <f>IFERROR(VLOOKUP(A203,'Supp Staff Data'!A:ER,148,FALSE),0)+AB203</f>
        <v>0</v>
      </c>
      <c r="AJ203" s="174">
        <v>0.95830000000000004</v>
      </c>
      <c r="AK203" s="25">
        <f>VLOOKUP(A203,'Enroll Data as of January 2025'!$A$3:$T$323,20,FALSE)-F203</f>
        <v>0</v>
      </c>
    </row>
    <row r="204" spans="1:37" x14ac:dyDescent="0.25">
      <c r="A204" s="171" t="s">
        <v>236</v>
      </c>
      <c r="B204" t="s">
        <v>532</v>
      </c>
      <c r="C204" s="173" t="s">
        <v>1077</v>
      </c>
      <c r="D204" s="259">
        <f t="shared" si="40"/>
        <v>3.26</v>
      </c>
      <c r="E204" s="259">
        <f t="shared" si="41"/>
        <v>4.6160000000000005</v>
      </c>
      <c r="F204" s="262">
        <f t="shared" si="42"/>
        <v>1.3560000000000001</v>
      </c>
      <c r="G204" s="161">
        <f>ROUND(IF(F204&lt;0,F204*'2024-25 PSES Compliance'!$G$13,0),3)</f>
        <v>0</v>
      </c>
      <c r="H204" s="161">
        <f>ROUND(IF(F204&lt;0,F204*'2024-25 PSES Compliance'!$G$14,0),3)</f>
        <v>0</v>
      </c>
      <c r="I204" s="174">
        <f t="shared" si="43"/>
        <v>0.74740034662045063</v>
      </c>
      <c r="J204" s="174">
        <f t="shared" si="44"/>
        <v>0</v>
      </c>
      <c r="K204" s="161">
        <f>VLOOKUP($A204,'Enroll Data as of January 2025'!$A$3:$M$322,6,FALSE)</f>
        <v>1.8089999999999999</v>
      </c>
      <c r="L204" s="161">
        <f>VLOOKUP($A204,'Enroll Data as of January 2025'!$A$3:$M$322,7,FALSE)</f>
        <v>0.31000000000000005</v>
      </c>
      <c r="M204" s="161">
        <f>VLOOKUP($A204,'Enroll Data as of January 2025'!$A$3:$M$322,8,FALSE)</f>
        <v>0.104</v>
      </c>
      <c r="N204" s="161">
        <f>VLOOKUP($A204,'Enroll Data as of January 2025'!$A$3:$M$322,9,FALSE)</f>
        <v>0.85100000000000009</v>
      </c>
      <c r="O204" s="165">
        <f t="shared" si="45"/>
        <v>3.0739999999999998</v>
      </c>
      <c r="P204" s="161">
        <f>VLOOKUP($A204,'Enroll Data as of January 2025'!$A$3:$M$322,11,FALSE)</f>
        <v>0.115</v>
      </c>
      <c r="Q204" s="161">
        <f>VLOOKUP($A204,'Enroll Data as of January 2025'!$A$3:$M$322,12,FALSE)</f>
        <v>7.0999999999999994E-2</v>
      </c>
      <c r="R204" s="165">
        <f t="shared" si="46"/>
        <v>0.186</v>
      </c>
      <c r="S204" s="267">
        <f>IFERROR(VLOOKUP($A204,Supp_39,14,FALSE),0)+IFERROR(SUMPRODUCT(VLOOKUP($A204,S275_01,{14,15,16},FALSE)),0)+IFERROR(SUMPRODUCT(VLOOKUP($A204,S275_97,{14,15,16},FALSE)),0)+IFERROR(ROUND(VLOOKUP($A204,S275_21,14,FALSE)*VLOOKUP($A204,'3121% SY'!$C$3:$M$324,11,FALSE),3),0)+IFERROR(ROUND(VLOOKUP($A204,S275_21,15,FALSE)*VLOOKUP($A204,'3121% SY'!$C$3:$M$324,11,FALSE),3),0)+IFERROR(ROUND(VLOOKUP($A204,S275_21,16,FALSE)*VLOOKUP($A204,'3121% SY'!$C$3:$M$324,11,FALSE),3),0)+IFERROR(VLOOKUP($A204,S275_09,6,FALSE),0)</f>
        <v>2.0670000000000002</v>
      </c>
      <c r="T204" s="267">
        <f>IFERROR(VLOOKUP($A204,Supp_42,14,FALSE),0)+IFERROR(SUMPRODUCT(VLOOKUP($A204,S275_01,{17,18,19},FALSE)),0)+IFERROR(SUMPRODUCT(VLOOKUP($A204,S275_97,{17,18,19},FALSE)),0)+IFERROR(ROUND(VLOOKUP($A204,S275_21,17,FALSE)*VLOOKUP($A204,'3121% SY'!$C$3:$M$324,11,FALSE),3),0)+IFERROR(ROUND(VLOOKUP($A204,S275_21,18,FALSE)*VLOOKUP($A204,'3121% SY'!$C$3:$M$324,11,FALSE),3),0)+IFERROR(ROUND(VLOOKUP($A204,S275_21,19,FALSE)*VLOOKUP($A204,'3121% SY'!$C$3:$M$324,11,FALSE),3),0)+IFERROR(VLOOKUP($A204,S275_09,7,FALSE),0)</f>
        <v>0.1</v>
      </c>
      <c r="U204" s="267">
        <f>IFERROR(VLOOKUP($A204,Supp_43,14,FALSE),0)+IFERROR(SUMPRODUCT(VLOOKUP($A204,S275_01,{20,21,22},FALSE)),0)+IFERROR(SUMPRODUCT(VLOOKUP($A204,S275_97,{20,21,22},FALSE)),0)+IFERROR(ROUND(VLOOKUP($A204,S275_21,20,FALSE)*VLOOKUP($A204,'3121% SY'!$C$3:$M$324,11,FALSE),3),0)+IFERROR(ROUND(VLOOKUP($A204,S275_21,21,FALSE)*VLOOKUP($A204,'3121% SY'!$C$3:$M$324,11,FALSE),3),0)+IFERROR(ROUND(VLOOKUP($A204,S275_21,22,FALSE)*VLOOKUP($A204,'3121% SY'!$C$3:$M$324,11,FALSE),3),0)+IFERROR(VLOOKUP($A204,S275_09,8,FALSE),0)</f>
        <v>7.1999999999999995E-2</v>
      </c>
      <c r="V204" s="267">
        <f>IFERROR(VLOOKUP($A204,Supp_44,14,FALSE),0)+IFERROR(SUMPRODUCT(VLOOKUP($A204,S275_01,{23,24,25},FALSE)),0)+IFERROR(SUMPRODUCT(VLOOKUP($A204,S275_97,{23,24,25},FALSE)),0)+IFERROR(ROUND(VLOOKUP($A204,S275_21,23,FALSE)*VLOOKUP($A204,'3121% SY'!$C$3:$M$324,11,FALSE),3),0)+IFERROR(ROUND(VLOOKUP($A204,S275_21,24,FALSE)*VLOOKUP($A204,'3121% SY'!$C$3:$M$324,11,FALSE),3),0)+IFERROR(ROUND(VLOOKUP($A204,S275_21,25,FALSE)*VLOOKUP($A204,'3121% SY'!$C$3:$M$324,11,FALSE),3),0)+IFERROR(VLOOKUP($A204,S275_09,9,FALSE),0)</f>
        <v>0</v>
      </c>
      <c r="W204" s="267">
        <f>IFERROR(VLOOKUP($A204,Supp_45,14,FALSE),0)+IFERROR(SUMPRODUCT(VLOOKUP($A204,S275_01,{26,27,28},FALSE)),0)+IFERROR(SUMPRODUCT(VLOOKUP($A204,S275_97,{26,27,28},FALSE)),0)+IFERROR(ROUND(VLOOKUP($A204,S275_21,26,FALSE)*VLOOKUP($A204,'3121% SY'!$C$3:$M$324,11,FALSE),3),0)+IFERROR(ROUND(VLOOKUP($A204,S275_21,27,FALSE)*VLOOKUP($A204,'3121% SY'!$C$3:$M$324,11,FALSE),3),0)+IFERROR(ROUND(VLOOKUP($A204,S275_21,28,FALSE)*VLOOKUP($A204,'3121% SY'!$C$3:$M$324,11,FALSE),3),0)+IFERROR(VLOOKUP($A204,S275_09,10,FALSE),0)</f>
        <v>0</v>
      </c>
      <c r="X204" s="267">
        <f>IFERROR(VLOOKUP($A204,Supp_46,14,FALSE),0)+IFERROR(SUMPRODUCT(VLOOKUP($A204,S275_01,{29,30,31},FALSE)),0)+IFERROR(SUMPRODUCT(VLOOKUP($A204,S275_97,{29,30,31},FALSE)),0)+IFERROR(ROUND(VLOOKUP($A204,S275_21,29,FALSE)*VLOOKUP($A204,'3121% SY'!$C$3:$M$324,11,FALSE),3),0)+IFERROR(ROUND(VLOOKUP($A204,S275_21,30,FALSE)*VLOOKUP($A204,'3121% SY'!$C$3:$M$324,11,FALSE),3),0)+IFERROR(ROUND(VLOOKUP($A204,S275_21,31,FALSE)*VLOOKUP($A204,'3121% SY'!$C$3:$M$324,11,FALSE),3),0)+IFERROR(VLOOKUP($A204,S275_09,11,FALSE),0)</f>
        <v>1.0740000000000001</v>
      </c>
      <c r="Y204" s="267">
        <f>IFERROR(VLOOKUP($A204,Supp_47,14,FALSE),0)+IFERROR(SUMPRODUCT(VLOOKUP($A204,S275_01,{32,33,34},FALSE)),0)+IFERROR(SUMPRODUCT(VLOOKUP($A204,S275_97,{32,33,34},FALSE)),0)+IFERROR(ROUND(VLOOKUP($A204,S275_21,32,FALSE)*VLOOKUP($A204,'3121% SY'!$C$3:$M$324,11,FALSE),3),0)+IFERROR(ROUND(VLOOKUP($A204,S275_21,33,FALSE)*VLOOKUP($A204,'3121% SY'!$C$3:$M$324,11,FALSE),3),0)+IFERROR(ROUND(VLOOKUP($A204,S275_21,34,FALSE)*VLOOKUP($A204,'3121% SY'!$C$3:$M$324,11,FALSE),3),0)+IFERROR(VLOOKUP($A204,S275_09,12,FALSE),0)</f>
        <v>0.13700000000000001</v>
      </c>
      <c r="Z204" s="267">
        <f>IFERROR(VLOOKUP($A204,Supp_48,14,FALSE),0)+IFERROR(SUMPRODUCT(VLOOKUP($A204,S275_01,{35,36,37},FALSE)),0)+IFERROR(SUMPRODUCT(VLOOKUP($A204,S275_97,{35,36,37},FALSE)),0)+IFERROR(ROUND(VLOOKUP($A204,S275_21,35,FALSE)*VLOOKUP($A204,'3121% SY'!$C$3:$M$324,11,FALSE),3),0)+IFERROR(ROUND(VLOOKUP($A204,S275_21,36,FALSE)*VLOOKUP($A204,'3121% SY'!$C$3:$M$324,11,FALSE),3),0)+IFERROR(ROUND(VLOOKUP($A204,S275_21,37,FALSE)*VLOOKUP($A204,'3121% SY'!$C$3:$M$324,11,FALSE),3),0)+IFERROR(VLOOKUP($A204,S275_09,13,FALSE),0)</f>
        <v>0</v>
      </c>
      <c r="AA204" s="267">
        <f>IFERROR(VLOOKUP($A204,Supp_49,14,FALSE),0)+IFERROR(SUMPRODUCT(VLOOKUP($A204,S275_01,{38,39,40},FALSE)),0)+IFERROR(SUMPRODUCT(VLOOKUP($A204,S275_97,{38,39,40},FALSE)),0)+IFERROR(ROUND(VLOOKUP($A204,S275_21,38,FALSE)*VLOOKUP($A204,'3121% SY'!$C$3:$M$324,11,FALSE),3),0)+IFERROR(ROUND(VLOOKUP($A204,S275_21,39,FALSE)*VLOOKUP($A204,'3121% SY'!$C$3:$M$324,11,FALSE),3),0)+IFERROR(ROUND(VLOOKUP($A204,S275_21,40,FALSE)*VLOOKUP($A204,'3121% SY'!$C$3:$M$324,11,FALSE),3),0)+IFERROR(VLOOKUP($A204,S275_09,14,FALSE),0)</f>
        <v>0</v>
      </c>
      <c r="AB204" s="267">
        <f>IFERROR(VLOOKUP($A204,Supp_64,14,FALSE),0)+IFERROR(SUMPRODUCT(VLOOKUP($A204,S275_01,{41,42,43},FALSE)),0)+IFERROR(SUMPRODUCT(VLOOKUP($A204,S275_97,{41,42,43},FALSE)),0)+IFERROR(ROUND(VLOOKUP($A204,S275_21,41,FALSE)*VLOOKUP($A204,'3121% SY'!$C$3:$M$324,11,FALSE),3),0)+IFERROR(ROUND(VLOOKUP($A204,S275_21,42,FALSE)*VLOOKUP($A204,'3121% SY'!$C$3:$M$324,11,FALSE),3),0)+IFERROR(ROUND(VLOOKUP($A204,S275_21,43,FALSE)*VLOOKUP($A204,'3121% SY'!$C$3:$M$324,11,FALSE),3),0)+IFERROR(VLOOKUP($A204,S275_09,15,FALSE),0)</f>
        <v>0</v>
      </c>
      <c r="AC204" s="268">
        <f t="shared" si="47"/>
        <v>3.4500000000000006</v>
      </c>
      <c r="AD204" s="267">
        <f>IFERROR(VLOOKUP($A204,Supp_24,14,FALSE),0)+IFERROR(SUMPRODUCT(VLOOKUP($A204,S275_01,{2,3,4},FALSE)),0)+IFERROR(SUMPRODUCT(VLOOKUP($A204,S275_97,{2,3,4},FALSE)),0)+IFERROR(ROUND(VLOOKUP($A204,S275_21,2,FALSE)*VLOOKUP($A204,'3121% SY'!$C$3:$M$324,11,FALSE),3),0)+IFERROR(ROUND(VLOOKUP($A204,S275_21,3,FALSE)*VLOOKUP($A204,'3121% SY'!$C$3:$M$324,11,FALSE),3),0)+IFERROR(ROUND(VLOOKUP($A204,S275_21,4,FALSE)*VLOOKUP($A204,'3121% SY'!$C$3:$M$324,11,FALSE),3),0)+IFERROR(VLOOKUP($A204,S275_09,2,FALSE),0)</f>
        <v>0</v>
      </c>
      <c r="AE204" s="267">
        <f>IFERROR(VLOOKUP($A204,Supp_25,14,FALSE),0)+IFERROR(SUMPRODUCT(VLOOKUP($A204,S275_01,{5,6,7},FALSE)),0)+IFERROR(SUMPRODUCT(VLOOKUP($A204,S275_97,{5,6,7},FALSE)),0)+IFERROR(ROUND(VLOOKUP($A204,S275_21,5,FALSE)*VLOOKUP($A204,'3121% SY'!$C$3:$M$324,11,FALSE),3),0)+IFERROR(ROUND(VLOOKUP($A204,S275_21,6,FALSE)*VLOOKUP($A204,'3121% SY'!$C$3:$M$324,11,FALSE),3),0)+IFERROR(ROUND(VLOOKUP($A204,S275_21,7,FALSE)*VLOOKUP($A204,'3121% SY'!$C$3:$M$324,11,FALSE),3),0)+IFERROR(VLOOKUP($A204,S275_09,3,FALSE),0)</f>
        <v>1.1659999999999999</v>
      </c>
      <c r="AF204" s="267">
        <f>IFERROR(VLOOKUP($A204,Supp_26,14,FALSE),0)+IFERROR(SUMPRODUCT(VLOOKUP($A204,S275_01,{8,9,10},FALSE)),0)+IFERROR(SUMPRODUCT(VLOOKUP($A204,S275_97,{8,9,10},FALSE)),0)+IFERROR(ROUND(VLOOKUP($A204,S275_21,8,FALSE)*VLOOKUP($A204,'3121% SY'!$C$3:$M$324,11,FALSE),3),0)+IFERROR(ROUND(VLOOKUP($A204,S275_21,9,FALSE)*VLOOKUP($A204,'3121% SY'!$C$3:$M$324,11,FALSE),3),0)+IFERROR(ROUND(VLOOKUP($A204,S275_21,10,FALSE)*VLOOKUP($A204,'3121% SY'!$C$3:$M$324,11,FALSE),3),0)+IFERROR(VLOOKUP($A204,S275_09,4,FALSE),0)</f>
        <v>0</v>
      </c>
      <c r="AG204" s="267">
        <f>IFERROR(VLOOKUP($A204,Supp_35,14,FALSE),0)+IFERROR(SUMPRODUCT(VLOOKUP($A204,S275_01,{11,12,13},FALSE)),0)+IFERROR(SUMPRODUCT(VLOOKUP($A204,S275_97,{11,12,13},FALSE)),0)+IFERROR(ROUND(VLOOKUP($A204,S275_21,11,FALSE)*VLOOKUP($A204,'3121% SY'!$C$3:$M$324,11,FALSE),3),0)+IFERROR(ROUND(VLOOKUP($A204,S275_21,12,FALSE)*VLOOKUP($A204,'3121% SY'!$C$3:$M$324,11,FALSE),3),0)+IFERROR(ROUND(VLOOKUP($A204,S275_21,13,FALSE)*VLOOKUP($A204,'3121% SY'!$C$3:$M$324,11,FALSE),3),0)+IFERROR(VLOOKUP($A204,S275_09,5,FALSE),0)</f>
        <v>0</v>
      </c>
      <c r="AH204" s="165">
        <f t="shared" si="48"/>
        <v>1.1659999999999999</v>
      </c>
      <c r="AI204" s="161">
        <f>IFERROR(VLOOKUP(A204,'Supp Staff Data'!A:ER,148,FALSE),0)+AB204</f>
        <v>0</v>
      </c>
      <c r="AJ204" s="174">
        <v>1</v>
      </c>
      <c r="AK204" s="25">
        <f>VLOOKUP(A204,'Enroll Data as of January 2025'!$A$3:$T$323,20,FALSE)-F204</f>
        <v>0</v>
      </c>
    </row>
    <row r="205" spans="1:37" x14ac:dyDescent="0.25">
      <c r="A205" s="171" t="s">
        <v>74</v>
      </c>
      <c r="B205" t="s">
        <v>370</v>
      </c>
      <c r="C205" s="173" t="s">
        <v>1077</v>
      </c>
      <c r="D205" s="259">
        <f t="shared" si="40"/>
        <v>3.4730000000000003</v>
      </c>
      <c r="E205" s="259">
        <f t="shared" si="41"/>
        <v>3.198</v>
      </c>
      <c r="F205" s="262">
        <f t="shared" si="42"/>
        <v>-0.27500000000000002</v>
      </c>
      <c r="G205" s="161">
        <f>ROUND(IF(F205&lt;0,F205*'2024-25 PSES Compliance'!$G$13,0),3)</f>
        <v>-0.26400000000000001</v>
      </c>
      <c r="H205" s="161">
        <f>ROUND(IF(F205&lt;0,F205*'2024-25 PSES Compliance'!$G$14,0),3)</f>
        <v>-1.0999999999999999E-2</v>
      </c>
      <c r="I205" s="174">
        <f t="shared" si="43"/>
        <v>0</v>
      </c>
      <c r="J205" s="174">
        <f t="shared" si="44"/>
        <v>0</v>
      </c>
      <c r="K205" s="161">
        <f>VLOOKUP($A205,'Enroll Data as of January 2025'!$A$3:$M$322,6,FALSE)</f>
        <v>1.9849999999999999</v>
      </c>
      <c r="L205" s="161">
        <f>VLOOKUP($A205,'Enroll Data as of January 2025'!$A$3:$M$322,7,FALSE)</f>
        <v>0.30900000000000005</v>
      </c>
      <c r="M205" s="161">
        <f>VLOOKUP($A205,'Enroll Data as of January 2025'!$A$3:$M$322,8,FALSE)</f>
        <v>0.104</v>
      </c>
      <c r="N205" s="161">
        <f>VLOOKUP($A205,'Enroll Data as of January 2025'!$A$3:$M$322,9,FALSE)</f>
        <v>0.88500000000000001</v>
      </c>
      <c r="O205" s="165">
        <f t="shared" si="45"/>
        <v>3.2830000000000004</v>
      </c>
      <c r="P205" s="161">
        <f>VLOOKUP($A205,'Enroll Data as of January 2025'!$A$3:$M$322,11,FALSE)</f>
        <v>0.122</v>
      </c>
      <c r="Q205" s="161">
        <f>VLOOKUP($A205,'Enroll Data as of January 2025'!$A$3:$M$322,12,FALSE)</f>
        <v>6.8000000000000005E-2</v>
      </c>
      <c r="R205" s="165">
        <f t="shared" si="46"/>
        <v>0.19</v>
      </c>
      <c r="S205" s="267">
        <f>IFERROR(VLOOKUP($A205,Supp_39,14,FALSE),0)+IFERROR(SUMPRODUCT(VLOOKUP($A205,S275_01,{14,15,16},FALSE)),0)+IFERROR(SUMPRODUCT(VLOOKUP($A205,S275_97,{14,15,16},FALSE)),0)+IFERROR(ROUND(VLOOKUP($A205,S275_21,14,FALSE)*VLOOKUP($A205,'3121% SY'!$C$3:$M$324,11,FALSE),3),0)+IFERROR(ROUND(VLOOKUP($A205,S275_21,15,FALSE)*VLOOKUP($A205,'3121% SY'!$C$3:$M$324,11,FALSE),3),0)+IFERROR(ROUND(VLOOKUP($A205,S275_21,16,FALSE)*VLOOKUP($A205,'3121% SY'!$C$3:$M$324,11,FALSE),3),0)+IFERROR(VLOOKUP($A205,S275_09,6,FALSE),0)</f>
        <v>1</v>
      </c>
      <c r="T205" s="267">
        <f>IFERROR(VLOOKUP($A205,Supp_42,14,FALSE),0)+IFERROR(SUMPRODUCT(VLOOKUP($A205,S275_01,{17,18,19},FALSE)),0)+IFERROR(SUMPRODUCT(VLOOKUP($A205,S275_97,{17,18,19},FALSE)),0)+IFERROR(ROUND(VLOOKUP($A205,S275_21,17,FALSE)*VLOOKUP($A205,'3121% SY'!$C$3:$M$324,11,FALSE),3),0)+IFERROR(ROUND(VLOOKUP($A205,S275_21,18,FALSE)*VLOOKUP($A205,'3121% SY'!$C$3:$M$324,11,FALSE),3),0)+IFERROR(ROUND(VLOOKUP($A205,S275_21,19,FALSE)*VLOOKUP($A205,'3121% SY'!$C$3:$M$324,11,FALSE),3),0)+IFERROR(VLOOKUP($A205,S275_09,7,FALSE),0)</f>
        <v>0</v>
      </c>
      <c r="U205" s="267">
        <f>IFERROR(VLOOKUP($A205,Supp_43,14,FALSE),0)+IFERROR(SUMPRODUCT(VLOOKUP($A205,S275_01,{20,21,22},FALSE)),0)+IFERROR(SUMPRODUCT(VLOOKUP($A205,S275_97,{20,21,22},FALSE)),0)+IFERROR(ROUND(VLOOKUP($A205,S275_21,20,FALSE)*VLOOKUP($A205,'3121% SY'!$C$3:$M$324,11,FALSE),3),0)+IFERROR(ROUND(VLOOKUP($A205,S275_21,21,FALSE)*VLOOKUP($A205,'3121% SY'!$C$3:$M$324,11,FALSE),3),0)+IFERROR(ROUND(VLOOKUP($A205,S275_21,22,FALSE)*VLOOKUP($A205,'3121% SY'!$C$3:$M$324,11,FALSE),3),0)+IFERROR(VLOOKUP($A205,S275_09,8,FALSE),0)</f>
        <v>0</v>
      </c>
      <c r="V205" s="267">
        <f>IFERROR(VLOOKUP($A205,Supp_44,14,FALSE),0)+IFERROR(SUMPRODUCT(VLOOKUP($A205,S275_01,{23,24,25},FALSE)),0)+IFERROR(SUMPRODUCT(VLOOKUP($A205,S275_97,{23,24,25},FALSE)),0)+IFERROR(ROUND(VLOOKUP($A205,S275_21,23,FALSE)*VLOOKUP($A205,'3121% SY'!$C$3:$M$324,11,FALSE),3),0)+IFERROR(ROUND(VLOOKUP($A205,S275_21,24,FALSE)*VLOOKUP($A205,'3121% SY'!$C$3:$M$324,11,FALSE),3),0)+IFERROR(ROUND(VLOOKUP($A205,S275_21,25,FALSE)*VLOOKUP($A205,'3121% SY'!$C$3:$M$324,11,FALSE),3),0)+IFERROR(VLOOKUP($A205,S275_09,9,FALSE),0)</f>
        <v>0</v>
      </c>
      <c r="W205" s="267">
        <f>IFERROR(VLOOKUP($A205,Supp_45,14,FALSE),0)+IFERROR(SUMPRODUCT(VLOOKUP($A205,S275_01,{26,27,28},FALSE)),0)+IFERROR(SUMPRODUCT(VLOOKUP($A205,S275_97,{26,27,28},FALSE)),0)+IFERROR(ROUND(VLOOKUP($A205,S275_21,26,FALSE)*VLOOKUP($A205,'3121% SY'!$C$3:$M$324,11,FALSE),3),0)+IFERROR(ROUND(VLOOKUP($A205,S275_21,27,FALSE)*VLOOKUP($A205,'3121% SY'!$C$3:$M$324,11,FALSE),3),0)+IFERROR(ROUND(VLOOKUP($A205,S275_21,28,FALSE)*VLOOKUP($A205,'3121% SY'!$C$3:$M$324,11,FALSE),3),0)+IFERROR(VLOOKUP($A205,S275_09,10,FALSE),0)</f>
        <v>0</v>
      </c>
      <c r="X205" s="267">
        <f>IFERROR(VLOOKUP($A205,Supp_46,14,FALSE),0)+IFERROR(SUMPRODUCT(VLOOKUP($A205,S275_01,{29,30,31},FALSE)),0)+IFERROR(SUMPRODUCT(VLOOKUP($A205,S275_97,{29,30,31},FALSE)),0)+IFERROR(ROUND(VLOOKUP($A205,S275_21,29,FALSE)*VLOOKUP($A205,'3121% SY'!$C$3:$M$324,11,FALSE),3),0)+IFERROR(ROUND(VLOOKUP($A205,S275_21,30,FALSE)*VLOOKUP($A205,'3121% SY'!$C$3:$M$324,11,FALSE),3),0)+IFERROR(ROUND(VLOOKUP($A205,S275_21,31,FALSE)*VLOOKUP($A205,'3121% SY'!$C$3:$M$324,11,FALSE),3),0)+IFERROR(VLOOKUP($A205,S275_09,11,FALSE),0)</f>
        <v>0</v>
      </c>
      <c r="Y205" s="267">
        <f>IFERROR(VLOOKUP($A205,Supp_47,14,FALSE),0)+IFERROR(SUMPRODUCT(VLOOKUP($A205,S275_01,{32,33,34},FALSE)),0)+IFERROR(SUMPRODUCT(VLOOKUP($A205,S275_97,{32,33,34},FALSE)),0)+IFERROR(ROUND(VLOOKUP($A205,S275_21,32,FALSE)*VLOOKUP($A205,'3121% SY'!$C$3:$M$324,11,FALSE),3),0)+IFERROR(ROUND(VLOOKUP($A205,S275_21,33,FALSE)*VLOOKUP($A205,'3121% SY'!$C$3:$M$324,11,FALSE),3),0)+IFERROR(ROUND(VLOOKUP($A205,S275_21,34,FALSE)*VLOOKUP($A205,'3121% SY'!$C$3:$M$324,11,FALSE),3),0)+IFERROR(VLOOKUP($A205,S275_09,12,FALSE),0)</f>
        <v>0</v>
      </c>
      <c r="Z205" s="267">
        <f>IFERROR(VLOOKUP($A205,Supp_48,14,FALSE),0)+IFERROR(SUMPRODUCT(VLOOKUP($A205,S275_01,{35,36,37},FALSE)),0)+IFERROR(SUMPRODUCT(VLOOKUP($A205,S275_97,{35,36,37},FALSE)),0)+IFERROR(ROUND(VLOOKUP($A205,S275_21,35,FALSE)*VLOOKUP($A205,'3121% SY'!$C$3:$M$324,11,FALSE),3),0)+IFERROR(ROUND(VLOOKUP($A205,S275_21,36,FALSE)*VLOOKUP($A205,'3121% SY'!$C$3:$M$324,11,FALSE),3),0)+IFERROR(ROUND(VLOOKUP($A205,S275_21,37,FALSE)*VLOOKUP($A205,'3121% SY'!$C$3:$M$324,11,FALSE),3),0)+IFERROR(VLOOKUP($A205,S275_09,13,FALSE),0)</f>
        <v>0</v>
      </c>
      <c r="AA205" s="267">
        <f>IFERROR(VLOOKUP($A205,Supp_49,14,FALSE),0)+IFERROR(SUMPRODUCT(VLOOKUP($A205,S275_01,{38,39,40},FALSE)),0)+IFERROR(SUMPRODUCT(VLOOKUP($A205,S275_97,{38,39,40},FALSE)),0)+IFERROR(ROUND(VLOOKUP($A205,S275_21,38,FALSE)*VLOOKUP($A205,'3121% SY'!$C$3:$M$324,11,FALSE),3),0)+IFERROR(ROUND(VLOOKUP($A205,S275_21,39,FALSE)*VLOOKUP($A205,'3121% SY'!$C$3:$M$324,11,FALSE),3),0)+IFERROR(ROUND(VLOOKUP($A205,S275_21,40,FALSE)*VLOOKUP($A205,'3121% SY'!$C$3:$M$324,11,FALSE),3),0)+IFERROR(VLOOKUP($A205,S275_09,14,FALSE),0)</f>
        <v>0</v>
      </c>
      <c r="AB205" s="267">
        <f>IFERROR(VLOOKUP($A205,Supp_64,14,FALSE),0)+IFERROR(SUMPRODUCT(VLOOKUP($A205,S275_01,{41,42,43},FALSE)),0)+IFERROR(SUMPRODUCT(VLOOKUP($A205,S275_97,{41,42,43},FALSE)),0)+IFERROR(ROUND(VLOOKUP($A205,S275_21,41,FALSE)*VLOOKUP($A205,'3121% SY'!$C$3:$M$324,11,FALSE),3),0)+IFERROR(ROUND(VLOOKUP($A205,S275_21,42,FALSE)*VLOOKUP($A205,'3121% SY'!$C$3:$M$324,11,FALSE),3),0)+IFERROR(ROUND(VLOOKUP($A205,S275_21,43,FALSE)*VLOOKUP($A205,'3121% SY'!$C$3:$M$324,11,FALSE),3),0)+IFERROR(VLOOKUP($A205,S275_09,15,FALSE),0)</f>
        <v>0</v>
      </c>
      <c r="AC205" s="268">
        <f t="shared" si="47"/>
        <v>1</v>
      </c>
      <c r="AD205" s="267">
        <f>IFERROR(VLOOKUP($A205,Supp_24,14,FALSE),0)+IFERROR(SUMPRODUCT(VLOOKUP($A205,S275_01,{2,3,4},FALSE)),0)+IFERROR(SUMPRODUCT(VLOOKUP($A205,S275_97,{2,3,4},FALSE)),0)+IFERROR(ROUND(VLOOKUP($A205,S275_21,2,FALSE)*VLOOKUP($A205,'3121% SY'!$C$3:$M$324,11,FALSE),3),0)+IFERROR(ROUND(VLOOKUP($A205,S275_21,3,FALSE)*VLOOKUP($A205,'3121% SY'!$C$3:$M$324,11,FALSE),3),0)+IFERROR(ROUND(VLOOKUP($A205,S275_21,4,FALSE)*VLOOKUP($A205,'3121% SY'!$C$3:$M$324,11,FALSE),3),0)+IFERROR(VLOOKUP($A205,S275_09,2,FALSE),0)</f>
        <v>0</v>
      </c>
      <c r="AE205" s="267">
        <f>IFERROR(VLOOKUP($A205,Supp_25,14,FALSE),0)+IFERROR(SUMPRODUCT(VLOOKUP($A205,S275_01,{5,6,7},FALSE)),0)+IFERROR(SUMPRODUCT(VLOOKUP($A205,S275_97,{5,6,7},FALSE)),0)+IFERROR(ROUND(VLOOKUP($A205,S275_21,5,FALSE)*VLOOKUP($A205,'3121% SY'!$C$3:$M$324,11,FALSE),3),0)+IFERROR(ROUND(VLOOKUP($A205,S275_21,6,FALSE)*VLOOKUP($A205,'3121% SY'!$C$3:$M$324,11,FALSE),3),0)+IFERROR(ROUND(VLOOKUP($A205,S275_21,7,FALSE)*VLOOKUP($A205,'3121% SY'!$C$3:$M$324,11,FALSE),3),0)+IFERROR(VLOOKUP($A205,S275_09,3,FALSE),0)</f>
        <v>0.61599999999999999</v>
      </c>
      <c r="AF205" s="267">
        <f>IFERROR(VLOOKUP($A205,Supp_26,14,FALSE),0)+IFERROR(SUMPRODUCT(VLOOKUP($A205,S275_01,{8,9,10},FALSE)),0)+IFERROR(SUMPRODUCT(VLOOKUP($A205,S275_97,{8,9,10},FALSE)),0)+IFERROR(ROUND(VLOOKUP($A205,S275_21,8,FALSE)*VLOOKUP($A205,'3121% SY'!$C$3:$M$324,11,FALSE),3),0)+IFERROR(ROUND(VLOOKUP($A205,S275_21,9,FALSE)*VLOOKUP($A205,'3121% SY'!$C$3:$M$324,11,FALSE),3),0)+IFERROR(ROUND(VLOOKUP($A205,S275_21,10,FALSE)*VLOOKUP($A205,'3121% SY'!$C$3:$M$324,11,FALSE),3),0)+IFERROR(VLOOKUP($A205,S275_09,4,FALSE),0)</f>
        <v>1.5820000000000001</v>
      </c>
      <c r="AG205" s="267">
        <f>IFERROR(VLOOKUP($A205,Supp_35,14,FALSE),0)+IFERROR(SUMPRODUCT(VLOOKUP($A205,S275_01,{11,12,13},FALSE)),0)+IFERROR(SUMPRODUCT(VLOOKUP($A205,S275_97,{11,12,13},FALSE)),0)+IFERROR(ROUND(VLOOKUP($A205,S275_21,11,FALSE)*VLOOKUP($A205,'3121% SY'!$C$3:$M$324,11,FALSE),3),0)+IFERROR(ROUND(VLOOKUP($A205,S275_21,12,FALSE)*VLOOKUP($A205,'3121% SY'!$C$3:$M$324,11,FALSE),3),0)+IFERROR(ROUND(VLOOKUP($A205,S275_21,13,FALSE)*VLOOKUP($A205,'3121% SY'!$C$3:$M$324,11,FALSE),3),0)+IFERROR(VLOOKUP($A205,S275_09,5,FALSE),0)</f>
        <v>0</v>
      </c>
      <c r="AH205" s="165">
        <f t="shared" si="48"/>
        <v>2.198</v>
      </c>
      <c r="AI205" s="161">
        <f>IFERROR(VLOOKUP(A205,'Supp Staff Data'!A:ER,148,FALSE),0)+AB205</f>
        <v>0</v>
      </c>
      <c r="AJ205" s="174">
        <v>0</v>
      </c>
      <c r="AK205" s="25">
        <f>VLOOKUP(A205,'Enroll Data as of January 2025'!$A$3:$T$323,20,FALSE)-F205</f>
        <v>0</v>
      </c>
    </row>
    <row r="206" spans="1:37" x14ac:dyDescent="0.25">
      <c r="A206" s="171" t="s">
        <v>149</v>
      </c>
      <c r="B206" t="s">
        <v>445</v>
      </c>
      <c r="C206" s="173" t="s">
        <v>1077</v>
      </c>
      <c r="D206" s="259">
        <f t="shared" si="40"/>
        <v>1.7210000000000001</v>
      </c>
      <c r="E206" s="259">
        <f t="shared" si="41"/>
        <v>4.7089999999999996</v>
      </c>
      <c r="F206" s="262">
        <f t="shared" si="42"/>
        <v>2.988</v>
      </c>
      <c r="G206" s="161">
        <f>ROUND(IF(F206&lt;0,F206*'2024-25 PSES Compliance'!$G$13,0),3)</f>
        <v>0</v>
      </c>
      <c r="H206" s="161">
        <f>ROUND(IF(F206&lt;0,F206*'2024-25 PSES Compliance'!$G$14,0),3)</f>
        <v>0</v>
      </c>
      <c r="I206" s="174">
        <f t="shared" si="43"/>
        <v>0.23181991930346141</v>
      </c>
      <c r="J206" s="174">
        <f t="shared" si="44"/>
        <v>0</v>
      </c>
      <c r="K206" s="161">
        <f>VLOOKUP($A206,'Enroll Data as of January 2025'!$A$3:$M$322,6,FALSE)</f>
        <v>0.92300000000000004</v>
      </c>
      <c r="L206" s="161">
        <f>VLOOKUP($A206,'Enroll Data as of January 2025'!$A$3:$M$322,7,FALSE)</f>
        <v>0.17800000000000002</v>
      </c>
      <c r="M206" s="161">
        <f>VLOOKUP($A206,'Enroll Data as of January 2025'!$A$3:$M$322,8,FALSE)</f>
        <v>0.06</v>
      </c>
      <c r="N206" s="161">
        <f>VLOOKUP($A206,'Enroll Data as of January 2025'!$A$3:$M$322,9,FALSE)</f>
        <v>0.45800000000000002</v>
      </c>
      <c r="O206" s="165">
        <f t="shared" si="45"/>
        <v>1.619</v>
      </c>
      <c r="P206" s="161">
        <f>VLOOKUP($A206,'Enroll Data as of January 2025'!$A$3:$M$322,11,FALSE)</f>
        <v>6.0000000000000005E-2</v>
      </c>
      <c r="Q206" s="161">
        <f>VLOOKUP($A206,'Enroll Data as of January 2025'!$A$3:$M$322,12,FALSE)</f>
        <v>4.2000000000000003E-2</v>
      </c>
      <c r="R206" s="165">
        <f t="shared" si="46"/>
        <v>0.10200000000000001</v>
      </c>
      <c r="S206" s="267">
        <f>IFERROR(VLOOKUP($A206,Supp_39,14,FALSE),0)+IFERROR(SUMPRODUCT(VLOOKUP($A206,S275_01,{14,15,16},FALSE)),0)+IFERROR(SUMPRODUCT(VLOOKUP($A206,S275_97,{14,15,16},FALSE)),0)+IFERROR(ROUND(VLOOKUP($A206,S275_21,14,FALSE)*VLOOKUP($A206,'3121% SY'!$C$3:$M$324,11,FALSE),3),0)+IFERROR(ROUND(VLOOKUP($A206,S275_21,15,FALSE)*VLOOKUP($A206,'3121% SY'!$C$3:$M$324,11,FALSE),3),0)+IFERROR(ROUND(VLOOKUP($A206,S275_21,16,FALSE)*VLOOKUP($A206,'3121% SY'!$C$3:$M$324,11,FALSE),3),0)+IFERROR(VLOOKUP($A206,S275_09,6,FALSE),0)</f>
        <v>0.7</v>
      </c>
      <c r="T206" s="267">
        <f>IFERROR(VLOOKUP($A206,Supp_42,14,FALSE),0)+IFERROR(SUMPRODUCT(VLOOKUP($A206,S275_01,{17,18,19},FALSE)),0)+IFERROR(SUMPRODUCT(VLOOKUP($A206,S275_97,{17,18,19},FALSE)),0)+IFERROR(ROUND(VLOOKUP($A206,S275_21,17,FALSE)*VLOOKUP($A206,'3121% SY'!$C$3:$M$324,11,FALSE),3),0)+IFERROR(ROUND(VLOOKUP($A206,S275_21,18,FALSE)*VLOOKUP($A206,'3121% SY'!$C$3:$M$324,11,FALSE),3),0)+IFERROR(ROUND(VLOOKUP($A206,S275_21,19,FALSE)*VLOOKUP($A206,'3121% SY'!$C$3:$M$324,11,FALSE),3),0)+IFERROR(VLOOKUP($A206,S275_09,7,FALSE),0)</f>
        <v>0</v>
      </c>
      <c r="U206" s="267">
        <f>IFERROR(VLOOKUP($A206,Supp_43,14,FALSE),0)+IFERROR(SUMPRODUCT(VLOOKUP($A206,S275_01,{20,21,22},FALSE)),0)+IFERROR(SUMPRODUCT(VLOOKUP($A206,S275_97,{20,21,22},FALSE)),0)+IFERROR(ROUND(VLOOKUP($A206,S275_21,20,FALSE)*VLOOKUP($A206,'3121% SY'!$C$3:$M$324,11,FALSE),3),0)+IFERROR(ROUND(VLOOKUP($A206,S275_21,21,FALSE)*VLOOKUP($A206,'3121% SY'!$C$3:$M$324,11,FALSE),3),0)+IFERROR(ROUND(VLOOKUP($A206,S275_21,22,FALSE)*VLOOKUP($A206,'3121% SY'!$C$3:$M$324,11,FALSE),3),0)+IFERROR(VLOOKUP($A206,S275_09,8,FALSE),0)</f>
        <v>0</v>
      </c>
      <c r="V206" s="267">
        <f>IFERROR(VLOOKUP($A206,Supp_44,14,FALSE),0)+IFERROR(SUMPRODUCT(VLOOKUP($A206,S275_01,{23,24,25},FALSE)),0)+IFERROR(SUMPRODUCT(VLOOKUP($A206,S275_97,{23,24,25},FALSE)),0)+IFERROR(ROUND(VLOOKUP($A206,S275_21,23,FALSE)*VLOOKUP($A206,'3121% SY'!$C$3:$M$324,11,FALSE),3),0)+IFERROR(ROUND(VLOOKUP($A206,S275_21,24,FALSE)*VLOOKUP($A206,'3121% SY'!$C$3:$M$324,11,FALSE),3),0)+IFERROR(ROUND(VLOOKUP($A206,S275_21,25,FALSE)*VLOOKUP($A206,'3121% SY'!$C$3:$M$324,11,FALSE),3),0)+IFERROR(VLOOKUP($A206,S275_09,9,FALSE),0)</f>
        <v>0</v>
      </c>
      <c r="W206" s="267">
        <f>IFERROR(VLOOKUP($A206,Supp_45,14,FALSE),0)+IFERROR(SUMPRODUCT(VLOOKUP($A206,S275_01,{26,27,28},FALSE)),0)+IFERROR(SUMPRODUCT(VLOOKUP($A206,S275_97,{26,27,28},FALSE)),0)+IFERROR(ROUND(VLOOKUP($A206,S275_21,26,FALSE)*VLOOKUP($A206,'3121% SY'!$C$3:$M$324,11,FALSE),3),0)+IFERROR(ROUND(VLOOKUP($A206,S275_21,27,FALSE)*VLOOKUP($A206,'3121% SY'!$C$3:$M$324,11,FALSE),3),0)+IFERROR(ROUND(VLOOKUP($A206,S275_21,28,FALSE)*VLOOKUP($A206,'3121% SY'!$C$3:$M$324,11,FALSE),3),0)+IFERROR(VLOOKUP($A206,S275_09,10,FALSE),0)</f>
        <v>0</v>
      </c>
      <c r="X206" s="267">
        <f>IFERROR(VLOOKUP($A206,Supp_46,14,FALSE),0)+IFERROR(SUMPRODUCT(VLOOKUP($A206,S275_01,{29,30,31},FALSE)),0)+IFERROR(SUMPRODUCT(VLOOKUP($A206,S275_97,{29,30,31},FALSE)),0)+IFERROR(ROUND(VLOOKUP($A206,S275_21,29,FALSE)*VLOOKUP($A206,'3121% SY'!$C$3:$M$324,11,FALSE),3),0)+IFERROR(ROUND(VLOOKUP($A206,S275_21,30,FALSE)*VLOOKUP($A206,'3121% SY'!$C$3:$M$324,11,FALSE),3),0)+IFERROR(ROUND(VLOOKUP($A206,S275_21,31,FALSE)*VLOOKUP($A206,'3121% SY'!$C$3:$M$324,11,FALSE),3),0)+IFERROR(VLOOKUP($A206,S275_09,11,FALSE),0)</f>
        <v>0.31900000000000001</v>
      </c>
      <c r="Y206" s="267">
        <f>IFERROR(VLOOKUP($A206,Supp_47,14,FALSE),0)+IFERROR(SUMPRODUCT(VLOOKUP($A206,S275_01,{32,33,34},FALSE)),0)+IFERROR(SUMPRODUCT(VLOOKUP($A206,S275_97,{32,33,34},FALSE)),0)+IFERROR(ROUND(VLOOKUP($A206,S275_21,32,FALSE)*VLOOKUP($A206,'3121% SY'!$C$3:$M$324,11,FALSE),3),0)+IFERROR(ROUND(VLOOKUP($A206,S275_21,33,FALSE)*VLOOKUP($A206,'3121% SY'!$C$3:$M$324,11,FALSE),3),0)+IFERROR(ROUND(VLOOKUP($A206,S275_21,34,FALSE)*VLOOKUP($A206,'3121% SY'!$C$3:$M$324,11,FALSE),3),0)+IFERROR(VLOOKUP($A206,S275_09,12,FALSE),0)</f>
        <v>8.1000000000000003E-2</v>
      </c>
      <c r="Z206" s="267">
        <f>IFERROR(VLOOKUP($A206,Supp_48,14,FALSE),0)+IFERROR(SUMPRODUCT(VLOOKUP($A206,S275_01,{35,36,37},FALSE)),0)+IFERROR(SUMPRODUCT(VLOOKUP($A206,S275_97,{35,36,37},FALSE)),0)+IFERROR(ROUND(VLOOKUP($A206,S275_21,35,FALSE)*VLOOKUP($A206,'3121% SY'!$C$3:$M$324,11,FALSE),3),0)+IFERROR(ROUND(VLOOKUP($A206,S275_21,36,FALSE)*VLOOKUP($A206,'3121% SY'!$C$3:$M$324,11,FALSE),3),0)+IFERROR(ROUND(VLOOKUP($A206,S275_21,37,FALSE)*VLOOKUP($A206,'3121% SY'!$C$3:$M$324,11,FALSE),3),0)+IFERROR(VLOOKUP($A206,S275_09,13,FALSE),0)</f>
        <v>0</v>
      </c>
      <c r="AA206" s="267">
        <f>IFERROR(VLOOKUP($A206,Supp_49,14,FALSE),0)+IFERROR(SUMPRODUCT(VLOOKUP($A206,S275_01,{38,39,40},FALSE)),0)+IFERROR(SUMPRODUCT(VLOOKUP($A206,S275_97,{38,39,40},FALSE)),0)+IFERROR(ROUND(VLOOKUP($A206,S275_21,38,FALSE)*VLOOKUP($A206,'3121% SY'!$C$3:$M$324,11,FALSE),3),0)+IFERROR(ROUND(VLOOKUP($A206,S275_21,39,FALSE)*VLOOKUP($A206,'3121% SY'!$C$3:$M$324,11,FALSE),3),0)+IFERROR(ROUND(VLOOKUP($A206,S275_21,40,FALSE)*VLOOKUP($A206,'3121% SY'!$C$3:$M$324,11,FALSE),3),0)+IFERROR(VLOOKUP($A206,S275_09,14,FALSE),0)</f>
        <v>0</v>
      </c>
      <c r="AB206" s="267">
        <f>IFERROR(VLOOKUP($A206,Supp_64,14,FALSE),0)+IFERROR(SUMPRODUCT(VLOOKUP($A206,S275_01,{41,42,43},FALSE)),0)+IFERROR(SUMPRODUCT(VLOOKUP($A206,S275_97,{41,42,43},FALSE)),0)+IFERROR(ROUND(VLOOKUP($A206,S275_21,41,FALSE)*VLOOKUP($A206,'3121% SY'!$C$3:$M$324,11,FALSE),3),0)+IFERROR(ROUND(VLOOKUP($A206,S275_21,42,FALSE)*VLOOKUP($A206,'3121% SY'!$C$3:$M$324,11,FALSE),3),0)+IFERROR(ROUND(VLOOKUP($A206,S275_21,43,FALSE)*VLOOKUP($A206,'3121% SY'!$C$3:$M$324,11,FALSE),3),0)+IFERROR(VLOOKUP($A206,S275_09,15,FALSE),0)</f>
        <v>0</v>
      </c>
      <c r="AC206" s="268">
        <f t="shared" si="47"/>
        <v>1.0999999999999999</v>
      </c>
      <c r="AD206" s="267">
        <f>IFERROR(VLOOKUP($A206,Supp_24,14,FALSE),0)+IFERROR(SUMPRODUCT(VLOOKUP($A206,S275_01,{2,3,4},FALSE)),0)+IFERROR(SUMPRODUCT(VLOOKUP($A206,S275_97,{2,3,4},FALSE)),0)+IFERROR(ROUND(VLOOKUP($A206,S275_21,2,FALSE)*VLOOKUP($A206,'3121% SY'!$C$3:$M$324,11,FALSE),3),0)+IFERROR(ROUND(VLOOKUP($A206,S275_21,3,FALSE)*VLOOKUP($A206,'3121% SY'!$C$3:$M$324,11,FALSE),3),0)+IFERROR(ROUND(VLOOKUP($A206,S275_21,4,FALSE)*VLOOKUP($A206,'3121% SY'!$C$3:$M$324,11,FALSE),3),0)+IFERROR(VLOOKUP($A206,S275_09,2,FALSE),0)</f>
        <v>0</v>
      </c>
      <c r="AE206" s="267">
        <f>IFERROR(VLOOKUP($A206,Supp_25,14,FALSE),0)+IFERROR(SUMPRODUCT(VLOOKUP($A206,S275_01,{5,6,7},FALSE)),0)+IFERROR(SUMPRODUCT(VLOOKUP($A206,S275_97,{5,6,7},FALSE)),0)+IFERROR(ROUND(VLOOKUP($A206,S275_21,5,FALSE)*VLOOKUP($A206,'3121% SY'!$C$3:$M$324,11,FALSE),3),0)+IFERROR(ROUND(VLOOKUP($A206,S275_21,6,FALSE)*VLOOKUP($A206,'3121% SY'!$C$3:$M$324,11,FALSE),3),0)+IFERROR(ROUND(VLOOKUP($A206,S275_21,7,FALSE)*VLOOKUP($A206,'3121% SY'!$C$3:$M$324,11,FALSE),3),0)+IFERROR(VLOOKUP($A206,S275_09,3,FALSE),0)</f>
        <v>3.609</v>
      </c>
      <c r="AF206" s="267">
        <f>IFERROR(VLOOKUP($A206,Supp_26,14,FALSE),0)+IFERROR(SUMPRODUCT(VLOOKUP($A206,S275_01,{8,9,10},FALSE)),0)+IFERROR(SUMPRODUCT(VLOOKUP($A206,S275_97,{8,9,10},FALSE)),0)+IFERROR(ROUND(VLOOKUP($A206,S275_21,8,FALSE)*VLOOKUP($A206,'3121% SY'!$C$3:$M$324,11,FALSE),3),0)+IFERROR(ROUND(VLOOKUP($A206,S275_21,9,FALSE)*VLOOKUP($A206,'3121% SY'!$C$3:$M$324,11,FALSE),3),0)+IFERROR(ROUND(VLOOKUP($A206,S275_21,10,FALSE)*VLOOKUP($A206,'3121% SY'!$C$3:$M$324,11,FALSE),3),0)+IFERROR(VLOOKUP($A206,S275_09,4,FALSE),0)</f>
        <v>0</v>
      </c>
      <c r="AG206" s="267">
        <f>IFERROR(VLOOKUP($A206,Supp_35,14,FALSE),0)+IFERROR(SUMPRODUCT(VLOOKUP($A206,S275_01,{11,12,13},FALSE)),0)+IFERROR(SUMPRODUCT(VLOOKUP($A206,S275_97,{11,12,13},FALSE)),0)+IFERROR(ROUND(VLOOKUP($A206,S275_21,11,FALSE)*VLOOKUP($A206,'3121% SY'!$C$3:$M$324,11,FALSE),3),0)+IFERROR(ROUND(VLOOKUP($A206,S275_21,12,FALSE)*VLOOKUP($A206,'3121% SY'!$C$3:$M$324,11,FALSE),3),0)+IFERROR(ROUND(VLOOKUP($A206,S275_21,13,FALSE)*VLOOKUP($A206,'3121% SY'!$C$3:$M$324,11,FALSE),3),0)+IFERROR(VLOOKUP($A206,S275_09,5,FALSE),0)</f>
        <v>0</v>
      </c>
      <c r="AH206" s="165">
        <f t="shared" si="48"/>
        <v>3.609</v>
      </c>
      <c r="AI206" s="161">
        <f>IFERROR(VLOOKUP(A206,'Supp Staff Data'!A:ER,148,FALSE),0)+AB206</f>
        <v>0</v>
      </c>
      <c r="AJ206" s="174">
        <v>0.99239999999999995</v>
      </c>
      <c r="AK206" s="25">
        <f>VLOOKUP(A206,'Enroll Data as of January 2025'!$A$3:$T$323,20,FALSE)-F206</f>
        <v>0</v>
      </c>
    </row>
    <row r="207" spans="1:37" x14ac:dyDescent="0.25">
      <c r="A207" s="171" t="s">
        <v>1247</v>
      </c>
      <c r="B207" t="s">
        <v>1232</v>
      </c>
      <c r="C207" s="173" t="s">
        <v>1077</v>
      </c>
      <c r="D207" s="259">
        <f t="shared" si="40"/>
        <v>0.83100000000000007</v>
      </c>
      <c r="E207" s="259">
        <f t="shared" si="41"/>
        <v>6.5640000000000001</v>
      </c>
      <c r="F207" s="262">
        <f t="shared" si="42"/>
        <v>5.7329999999999997</v>
      </c>
      <c r="G207" s="161">
        <f>ROUND(IF(F207&lt;0,F207*'2024-25 PSES Compliance'!$G$13,0),3)</f>
        <v>0</v>
      </c>
      <c r="H207" s="161">
        <f>ROUND(IF(F207&lt;0,F207*'2024-25 PSES Compliance'!$G$14,0),3)</f>
        <v>0</v>
      </c>
      <c r="I207" s="174">
        <f t="shared" si="43"/>
        <v>0</v>
      </c>
      <c r="J207" s="174">
        <f t="shared" si="44"/>
        <v>0</v>
      </c>
      <c r="K207" s="161">
        <f>VLOOKUP($A207,'Enroll Data as of January 2025'!$A$3:$M$322,6,FALSE)</f>
        <v>0.42299999999999999</v>
      </c>
      <c r="L207" s="161">
        <f>VLOOKUP($A207,'Enroll Data as of January 2025'!$A$3:$M$322,7,FALSE)</f>
        <v>9.4E-2</v>
      </c>
      <c r="M207" s="161">
        <f>VLOOKUP($A207,'Enroll Data as of January 2025'!$A$3:$M$322,8,FALSE)</f>
        <v>3.2000000000000001E-2</v>
      </c>
      <c r="N207" s="161">
        <f>VLOOKUP($A207,'Enroll Data as of January 2025'!$A$3:$M$322,9,FALSE)</f>
        <v>0.22900000000000001</v>
      </c>
      <c r="O207" s="165">
        <f t="shared" si="45"/>
        <v>0.77800000000000002</v>
      </c>
      <c r="P207" s="161">
        <f>VLOOKUP($A207,'Enroll Data as of January 2025'!$A$3:$M$322,11,FALSE)</f>
        <v>0.03</v>
      </c>
      <c r="Q207" s="161">
        <f>VLOOKUP($A207,'Enroll Data as of January 2025'!$A$3:$M$322,12,FALSE)</f>
        <v>2.3E-2</v>
      </c>
      <c r="R207" s="165">
        <f t="shared" si="46"/>
        <v>5.2999999999999999E-2</v>
      </c>
      <c r="S207" s="267">
        <f>IFERROR(VLOOKUP($A207,Supp_39,14,FALSE),0)+IFERROR(SUMPRODUCT(VLOOKUP($A207,S275_01,{14,15,16},FALSE)),0)+IFERROR(SUMPRODUCT(VLOOKUP($A207,S275_97,{14,15,16},FALSE)),0)+IFERROR(ROUND(VLOOKUP($A207,S275_21,14,FALSE)*VLOOKUP($A207,'3121% SY'!$C$3:$M$324,11,FALSE),3),0)+IFERROR(ROUND(VLOOKUP($A207,S275_21,15,FALSE)*VLOOKUP($A207,'3121% SY'!$C$3:$M$324,11,FALSE),3),0)+IFERROR(ROUND(VLOOKUP($A207,S275_21,16,FALSE)*VLOOKUP($A207,'3121% SY'!$C$3:$M$324,11,FALSE),3),0)+IFERROR(VLOOKUP($A207,S275_09,6,FALSE),0)</f>
        <v>0</v>
      </c>
      <c r="T207" s="267">
        <f>IFERROR(VLOOKUP($A207,Supp_42,14,FALSE),0)+IFERROR(SUMPRODUCT(VLOOKUP($A207,S275_01,{17,18,19},FALSE)),0)+IFERROR(SUMPRODUCT(VLOOKUP($A207,S275_97,{17,18,19},FALSE)),0)+IFERROR(ROUND(VLOOKUP($A207,S275_21,17,FALSE)*VLOOKUP($A207,'3121% SY'!$C$3:$M$324,11,FALSE),3),0)+IFERROR(ROUND(VLOOKUP($A207,S275_21,18,FALSE)*VLOOKUP($A207,'3121% SY'!$C$3:$M$324,11,FALSE),3),0)+IFERROR(ROUND(VLOOKUP($A207,S275_21,19,FALSE)*VLOOKUP($A207,'3121% SY'!$C$3:$M$324,11,FALSE),3),0)+IFERROR(VLOOKUP($A207,S275_09,7,FALSE),0)</f>
        <v>0</v>
      </c>
      <c r="U207" s="267">
        <f>IFERROR(VLOOKUP($A207,Supp_43,14,FALSE),0)+IFERROR(SUMPRODUCT(VLOOKUP($A207,S275_01,{20,21,22},FALSE)),0)+IFERROR(SUMPRODUCT(VLOOKUP($A207,S275_97,{20,21,22},FALSE)),0)+IFERROR(ROUND(VLOOKUP($A207,S275_21,20,FALSE)*VLOOKUP($A207,'3121% SY'!$C$3:$M$324,11,FALSE),3),0)+IFERROR(ROUND(VLOOKUP($A207,S275_21,21,FALSE)*VLOOKUP($A207,'3121% SY'!$C$3:$M$324,11,FALSE),3),0)+IFERROR(ROUND(VLOOKUP($A207,S275_21,22,FALSE)*VLOOKUP($A207,'3121% SY'!$C$3:$M$324,11,FALSE),3),0)+IFERROR(VLOOKUP($A207,S275_09,8,FALSE),0)</f>
        <v>0</v>
      </c>
      <c r="V207" s="267">
        <f>IFERROR(VLOOKUP($A207,Supp_44,14,FALSE),0)+IFERROR(SUMPRODUCT(VLOOKUP($A207,S275_01,{23,24,25},FALSE)),0)+IFERROR(SUMPRODUCT(VLOOKUP($A207,S275_97,{23,24,25},FALSE)),0)+IFERROR(ROUND(VLOOKUP($A207,S275_21,23,FALSE)*VLOOKUP($A207,'3121% SY'!$C$3:$M$324,11,FALSE),3),0)+IFERROR(ROUND(VLOOKUP($A207,S275_21,24,FALSE)*VLOOKUP($A207,'3121% SY'!$C$3:$M$324,11,FALSE),3),0)+IFERROR(ROUND(VLOOKUP($A207,S275_21,25,FALSE)*VLOOKUP($A207,'3121% SY'!$C$3:$M$324,11,FALSE),3),0)+IFERROR(VLOOKUP($A207,S275_09,9,FALSE),0)</f>
        <v>0</v>
      </c>
      <c r="W207" s="267">
        <f>IFERROR(VLOOKUP($A207,Supp_45,14,FALSE),0)+IFERROR(SUMPRODUCT(VLOOKUP($A207,S275_01,{26,27,28},FALSE)),0)+IFERROR(SUMPRODUCT(VLOOKUP($A207,S275_97,{26,27,28},FALSE)),0)+IFERROR(ROUND(VLOOKUP($A207,S275_21,26,FALSE)*VLOOKUP($A207,'3121% SY'!$C$3:$M$324,11,FALSE),3),0)+IFERROR(ROUND(VLOOKUP($A207,S275_21,27,FALSE)*VLOOKUP($A207,'3121% SY'!$C$3:$M$324,11,FALSE),3),0)+IFERROR(ROUND(VLOOKUP($A207,S275_21,28,FALSE)*VLOOKUP($A207,'3121% SY'!$C$3:$M$324,11,FALSE),3),0)+IFERROR(VLOOKUP($A207,S275_09,10,FALSE),0)</f>
        <v>0</v>
      </c>
      <c r="X207" s="267">
        <f>IFERROR(VLOOKUP($A207,Supp_46,14,FALSE),0)+IFERROR(SUMPRODUCT(VLOOKUP($A207,S275_01,{29,30,31},FALSE)),0)+IFERROR(SUMPRODUCT(VLOOKUP($A207,S275_97,{29,30,31},FALSE)),0)+IFERROR(ROUND(VLOOKUP($A207,S275_21,29,FALSE)*VLOOKUP($A207,'3121% SY'!$C$3:$M$324,11,FALSE),3),0)+IFERROR(ROUND(VLOOKUP($A207,S275_21,30,FALSE)*VLOOKUP($A207,'3121% SY'!$C$3:$M$324,11,FALSE),3),0)+IFERROR(ROUND(VLOOKUP($A207,S275_21,31,FALSE)*VLOOKUP($A207,'3121% SY'!$C$3:$M$324,11,FALSE),3),0)+IFERROR(VLOOKUP($A207,S275_09,11,FALSE),0)</f>
        <v>0</v>
      </c>
      <c r="Y207" s="267">
        <f>IFERROR(VLOOKUP($A207,Supp_47,14,FALSE),0)+IFERROR(SUMPRODUCT(VLOOKUP($A207,S275_01,{32,33,34},FALSE)),0)+IFERROR(SUMPRODUCT(VLOOKUP($A207,S275_97,{32,33,34},FALSE)),0)+IFERROR(ROUND(VLOOKUP($A207,S275_21,32,FALSE)*VLOOKUP($A207,'3121% SY'!$C$3:$M$324,11,FALSE),3),0)+IFERROR(ROUND(VLOOKUP($A207,S275_21,33,FALSE)*VLOOKUP($A207,'3121% SY'!$C$3:$M$324,11,FALSE),3),0)+IFERROR(ROUND(VLOOKUP($A207,S275_21,34,FALSE)*VLOOKUP($A207,'3121% SY'!$C$3:$M$324,11,FALSE),3),0)+IFERROR(VLOOKUP($A207,S275_09,12,FALSE),0)</f>
        <v>0</v>
      </c>
      <c r="Z207" s="267">
        <f>IFERROR(VLOOKUP($A207,Supp_48,14,FALSE),0)+IFERROR(SUMPRODUCT(VLOOKUP($A207,S275_01,{35,36,37},FALSE)),0)+IFERROR(SUMPRODUCT(VLOOKUP($A207,S275_97,{35,36,37},FALSE)),0)+IFERROR(ROUND(VLOOKUP($A207,S275_21,35,FALSE)*VLOOKUP($A207,'3121% SY'!$C$3:$M$324,11,FALSE),3),0)+IFERROR(ROUND(VLOOKUP($A207,S275_21,36,FALSE)*VLOOKUP($A207,'3121% SY'!$C$3:$M$324,11,FALSE),3),0)+IFERROR(ROUND(VLOOKUP($A207,S275_21,37,FALSE)*VLOOKUP($A207,'3121% SY'!$C$3:$M$324,11,FALSE),3),0)+IFERROR(VLOOKUP($A207,S275_09,13,FALSE),0)</f>
        <v>0</v>
      </c>
      <c r="AA207" s="267">
        <f>IFERROR(VLOOKUP($A207,Supp_49,14,FALSE),0)+IFERROR(SUMPRODUCT(VLOOKUP($A207,S275_01,{38,39,40},FALSE)),0)+IFERROR(SUMPRODUCT(VLOOKUP($A207,S275_97,{38,39,40},FALSE)),0)+IFERROR(ROUND(VLOOKUP($A207,S275_21,38,FALSE)*VLOOKUP($A207,'3121% SY'!$C$3:$M$324,11,FALSE),3),0)+IFERROR(ROUND(VLOOKUP($A207,S275_21,39,FALSE)*VLOOKUP($A207,'3121% SY'!$C$3:$M$324,11,FALSE),3),0)+IFERROR(ROUND(VLOOKUP($A207,S275_21,40,FALSE)*VLOOKUP($A207,'3121% SY'!$C$3:$M$324,11,FALSE),3),0)+IFERROR(VLOOKUP($A207,S275_09,14,FALSE),0)</f>
        <v>0</v>
      </c>
      <c r="AB207" s="267">
        <f>IFERROR(VLOOKUP($A207,Supp_64,14,FALSE),0)+IFERROR(SUMPRODUCT(VLOOKUP($A207,S275_01,{41,42,43},FALSE)),0)+IFERROR(SUMPRODUCT(VLOOKUP($A207,S275_97,{41,42,43},FALSE)),0)+IFERROR(ROUND(VLOOKUP($A207,S275_21,41,FALSE)*VLOOKUP($A207,'3121% SY'!$C$3:$M$324,11,FALSE),3),0)+IFERROR(ROUND(VLOOKUP($A207,S275_21,42,FALSE)*VLOOKUP($A207,'3121% SY'!$C$3:$M$324,11,FALSE),3),0)+IFERROR(ROUND(VLOOKUP($A207,S275_21,43,FALSE)*VLOOKUP($A207,'3121% SY'!$C$3:$M$324,11,FALSE),3),0)+IFERROR(VLOOKUP($A207,S275_09,15,FALSE),0)</f>
        <v>0</v>
      </c>
      <c r="AC207" s="268">
        <f t="shared" si="47"/>
        <v>0</v>
      </c>
      <c r="AD207" s="267">
        <f>IFERROR(VLOOKUP($A207,Supp_24,14,FALSE),0)+IFERROR(SUMPRODUCT(VLOOKUP($A207,S275_01,{2,3,4},FALSE)),0)+IFERROR(SUMPRODUCT(VLOOKUP($A207,S275_97,{2,3,4},FALSE)),0)+IFERROR(ROUND(VLOOKUP($A207,S275_21,2,FALSE)*VLOOKUP($A207,'3121% SY'!$C$3:$M$324,11,FALSE),3),0)+IFERROR(ROUND(VLOOKUP($A207,S275_21,3,FALSE)*VLOOKUP($A207,'3121% SY'!$C$3:$M$324,11,FALSE),3),0)+IFERROR(ROUND(VLOOKUP($A207,S275_21,4,FALSE)*VLOOKUP($A207,'3121% SY'!$C$3:$M$324,11,FALSE),3),0)+IFERROR(VLOOKUP($A207,S275_09,2,FALSE),0)</f>
        <v>0</v>
      </c>
      <c r="AE207" s="267">
        <f>IFERROR(VLOOKUP($A207,Supp_25,14,FALSE),0)+IFERROR(SUMPRODUCT(VLOOKUP($A207,S275_01,{5,6,7},FALSE)),0)+IFERROR(SUMPRODUCT(VLOOKUP($A207,S275_97,{5,6,7},FALSE)),0)+IFERROR(ROUND(VLOOKUP($A207,S275_21,5,FALSE)*VLOOKUP($A207,'3121% SY'!$C$3:$M$324,11,FALSE),3),0)+IFERROR(ROUND(VLOOKUP($A207,S275_21,6,FALSE)*VLOOKUP($A207,'3121% SY'!$C$3:$M$324,11,FALSE),3),0)+IFERROR(ROUND(VLOOKUP($A207,S275_21,7,FALSE)*VLOOKUP($A207,'3121% SY'!$C$3:$M$324,11,FALSE),3),0)+IFERROR(VLOOKUP($A207,S275_09,3,FALSE),0)</f>
        <v>6.5640000000000001</v>
      </c>
      <c r="AF207" s="267">
        <f>IFERROR(VLOOKUP($A207,Supp_26,14,FALSE),0)+IFERROR(SUMPRODUCT(VLOOKUP($A207,S275_01,{8,9,10},FALSE)),0)+IFERROR(SUMPRODUCT(VLOOKUP($A207,S275_97,{8,9,10},FALSE)),0)+IFERROR(ROUND(VLOOKUP($A207,S275_21,8,FALSE)*VLOOKUP($A207,'3121% SY'!$C$3:$M$324,11,FALSE),3),0)+IFERROR(ROUND(VLOOKUP($A207,S275_21,9,FALSE)*VLOOKUP($A207,'3121% SY'!$C$3:$M$324,11,FALSE),3),0)+IFERROR(ROUND(VLOOKUP($A207,S275_21,10,FALSE)*VLOOKUP($A207,'3121% SY'!$C$3:$M$324,11,FALSE),3),0)+IFERROR(VLOOKUP($A207,S275_09,4,FALSE),0)</f>
        <v>0</v>
      </c>
      <c r="AG207" s="267">
        <f>IFERROR(VLOOKUP($A207,Supp_35,14,FALSE),0)+IFERROR(SUMPRODUCT(VLOOKUP($A207,S275_01,{11,12,13},FALSE)),0)+IFERROR(SUMPRODUCT(VLOOKUP($A207,S275_97,{11,12,13},FALSE)),0)+IFERROR(ROUND(VLOOKUP($A207,S275_21,11,FALSE)*VLOOKUP($A207,'3121% SY'!$C$3:$M$324,11,FALSE),3),0)+IFERROR(ROUND(VLOOKUP($A207,S275_21,12,FALSE)*VLOOKUP($A207,'3121% SY'!$C$3:$M$324,11,FALSE),3),0)+IFERROR(ROUND(VLOOKUP($A207,S275_21,13,FALSE)*VLOOKUP($A207,'3121% SY'!$C$3:$M$324,11,FALSE),3),0)+IFERROR(VLOOKUP($A207,S275_09,5,FALSE),0)</f>
        <v>0</v>
      </c>
      <c r="AH207" s="165">
        <f t="shared" si="48"/>
        <v>6.5640000000000001</v>
      </c>
      <c r="AI207" s="161">
        <f>IFERROR(VLOOKUP(A207,'Supp Staff Data'!A:ER,148,FALSE),0)+AB207</f>
        <v>0</v>
      </c>
      <c r="AJ207" s="174">
        <v>0.97519999999999996</v>
      </c>
      <c r="AK207" s="25">
        <f>VLOOKUP(A207,'Enroll Data as of January 2025'!$A$3:$T$323,20,FALSE)-F207</f>
        <v>0</v>
      </c>
    </row>
    <row r="208" spans="1:37" x14ac:dyDescent="0.25">
      <c r="A208" s="171" t="s">
        <v>103</v>
      </c>
      <c r="B208" t="s">
        <v>399</v>
      </c>
      <c r="C208" s="173" t="s">
        <v>1077</v>
      </c>
      <c r="D208" s="259">
        <f t="shared" si="40"/>
        <v>0.24199999999999999</v>
      </c>
      <c r="E208" s="259">
        <f t="shared" si="41"/>
        <v>2.4350000000000001</v>
      </c>
      <c r="F208" s="262">
        <f t="shared" si="42"/>
        <v>2.1930000000000001</v>
      </c>
      <c r="G208" s="161">
        <f>ROUND(IF(F208&lt;0,F208*'2024-25 PSES Compliance'!$G$13,0),3)</f>
        <v>0</v>
      </c>
      <c r="H208" s="161">
        <f>ROUND(IF(F208&lt;0,F208*'2024-25 PSES Compliance'!$G$14,0),3)</f>
        <v>0</v>
      </c>
      <c r="I208" s="174">
        <f t="shared" si="43"/>
        <v>0.41067761806981518</v>
      </c>
      <c r="J208" s="174">
        <f t="shared" si="44"/>
        <v>0</v>
      </c>
      <c r="K208" s="161">
        <f>VLOOKUP($A208,'Enroll Data as of January 2025'!$A$3:$M$322,6,FALSE)</f>
        <v>0.13999999999999999</v>
      </c>
      <c r="L208" s="161">
        <f>VLOOKUP($A208,'Enroll Data as of January 2025'!$A$3:$M$322,7,FALSE)</f>
        <v>2.0000000000000004E-2</v>
      </c>
      <c r="M208" s="161">
        <f>VLOOKUP($A208,'Enroll Data as of January 2025'!$A$3:$M$322,8,FALSE)</f>
        <v>7.0000000000000001E-3</v>
      </c>
      <c r="N208" s="161">
        <f>VLOOKUP($A208,'Enroll Data as of January 2025'!$A$3:$M$322,9,FALSE)</f>
        <v>6.3E-2</v>
      </c>
      <c r="O208" s="165">
        <f t="shared" si="45"/>
        <v>0.22999999999999998</v>
      </c>
      <c r="P208" s="161">
        <f>VLOOKUP($A208,'Enroll Data as of January 2025'!$A$3:$M$322,11,FALSE)</f>
        <v>8.0000000000000002E-3</v>
      </c>
      <c r="Q208" s="161">
        <f>VLOOKUP($A208,'Enroll Data as of January 2025'!$A$3:$M$322,12,FALSE)</f>
        <v>4.0000000000000001E-3</v>
      </c>
      <c r="R208" s="165">
        <f t="shared" si="46"/>
        <v>1.2E-2</v>
      </c>
      <c r="S208" s="267">
        <f>IFERROR(VLOOKUP($A208,Supp_39,14,FALSE),0)+IFERROR(SUMPRODUCT(VLOOKUP($A208,S275_01,{14,15,16},FALSE)),0)+IFERROR(SUMPRODUCT(VLOOKUP($A208,S275_97,{14,15,16},FALSE)),0)+IFERROR(ROUND(VLOOKUP($A208,S275_21,14,FALSE)*VLOOKUP($A208,'3121% SY'!$C$3:$M$324,11,FALSE),3),0)+IFERROR(ROUND(VLOOKUP($A208,S275_21,15,FALSE)*VLOOKUP($A208,'3121% SY'!$C$3:$M$324,11,FALSE),3),0)+IFERROR(ROUND(VLOOKUP($A208,S275_21,16,FALSE)*VLOOKUP($A208,'3121% SY'!$C$3:$M$324,11,FALSE),3),0)+IFERROR(VLOOKUP($A208,S275_09,6,FALSE),0)</f>
        <v>1</v>
      </c>
      <c r="T208" s="267">
        <f>IFERROR(VLOOKUP($A208,Supp_42,14,FALSE),0)+IFERROR(SUMPRODUCT(VLOOKUP($A208,S275_01,{17,18,19},FALSE)),0)+IFERROR(SUMPRODUCT(VLOOKUP($A208,S275_97,{17,18,19},FALSE)),0)+IFERROR(ROUND(VLOOKUP($A208,S275_21,17,FALSE)*VLOOKUP($A208,'3121% SY'!$C$3:$M$324,11,FALSE),3),0)+IFERROR(ROUND(VLOOKUP($A208,S275_21,18,FALSE)*VLOOKUP($A208,'3121% SY'!$C$3:$M$324,11,FALSE),3),0)+IFERROR(ROUND(VLOOKUP($A208,S275_21,19,FALSE)*VLOOKUP($A208,'3121% SY'!$C$3:$M$324,11,FALSE),3),0)+IFERROR(VLOOKUP($A208,S275_09,7,FALSE),0)</f>
        <v>0</v>
      </c>
      <c r="U208" s="267">
        <f>IFERROR(VLOOKUP($A208,Supp_43,14,FALSE),0)+IFERROR(SUMPRODUCT(VLOOKUP($A208,S275_01,{20,21,22},FALSE)),0)+IFERROR(SUMPRODUCT(VLOOKUP($A208,S275_97,{20,21,22},FALSE)),0)+IFERROR(ROUND(VLOOKUP($A208,S275_21,20,FALSE)*VLOOKUP($A208,'3121% SY'!$C$3:$M$324,11,FALSE),3),0)+IFERROR(ROUND(VLOOKUP($A208,S275_21,21,FALSE)*VLOOKUP($A208,'3121% SY'!$C$3:$M$324,11,FALSE),3),0)+IFERROR(ROUND(VLOOKUP($A208,S275_21,22,FALSE)*VLOOKUP($A208,'3121% SY'!$C$3:$M$324,11,FALSE),3),0)+IFERROR(VLOOKUP($A208,S275_09,8,FALSE),0)</f>
        <v>0</v>
      </c>
      <c r="V208" s="267">
        <f>IFERROR(VLOOKUP($A208,Supp_44,14,FALSE),0)+IFERROR(SUMPRODUCT(VLOOKUP($A208,S275_01,{23,24,25},FALSE)),0)+IFERROR(SUMPRODUCT(VLOOKUP($A208,S275_97,{23,24,25},FALSE)),0)+IFERROR(ROUND(VLOOKUP($A208,S275_21,23,FALSE)*VLOOKUP($A208,'3121% SY'!$C$3:$M$324,11,FALSE),3),0)+IFERROR(ROUND(VLOOKUP($A208,S275_21,24,FALSE)*VLOOKUP($A208,'3121% SY'!$C$3:$M$324,11,FALSE),3),0)+IFERROR(ROUND(VLOOKUP($A208,S275_21,25,FALSE)*VLOOKUP($A208,'3121% SY'!$C$3:$M$324,11,FALSE),3),0)+IFERROR(VLOOKUP($A208,S275_09,9,FALSE),0)</f>
        <v>0</v>
      </c>
      <c r="W208" s="267">
        <f>IFERROR(VLOOKUP($A208,Supp_45,14,FALSE),0)+IFERROR(SUMPRODUCT(VLOOKUP($A208,S275_01,{26,27,28},FALSE)),0)+IFERROR(SUMPRODUCT(VLOOKUP($A208,S275_97,{26,27,28},FALSE)),0)+IFERROR(ROUND(VLOOKUP($A208,S275_21,26,FALSE)*VLOOKUP($A208,'3121% SY'!$C$3:$M$324,11,FALSE),3),0)+IFERROR(ROUND(VLOOKUP($A208,S275_21,27,FALSE)*VLOOKUP($A208,'3121% SY'!$C$3:$M$324,11,FALSE),3),0)+IFERROR(ROUND(VLOOKUP($A208,S275_21,28,FALSE)*VLOOKUP($A208,'3121% SY'!$C$3:$M$324,11,FALSE),3),0)+IFERROR(VLOOKUP($A208,S275_09,10,FALSE),0)</f>
        <v>0</v>
      </c>
      <c r="X208" s="267">
        <f>IFERROR(VLOOKUP($A208,Supp_46,14,FALSE),0)+IFERROR(SUMPRODUCT(VLOOKUP($A208,S275_01,{29,30,31},FALSE)),0)+IFERROR(SUMPRODUCT(VLOOKUP($A208,S275_97,{29,30,31},FALSE)),0)+IFERROR(ROUND(VLOOKUP($A208,S275_21,29,FALSE)*VLOOKUP($A208,'3121% SY'!$C$3:$M$324,11,FALSE),3),0)+IFERROR(ROUND(VLOOKUP($A208,S275_21,30,FALSE)*VLOOKUP($A208,'3121% SY'!$C$3:$M$324,11,FALSE),3),0)+IFERROR(ROUND(VLOOKUP($A208,S275_21,31,FALSE)*VLOOKUP($A208,'3121% SY'!$C$3:$M$324,11,FALSE),3),0)+IFERROR(VLOOKUP($A208,S275_09,11,FALSE),0)</f>
        <v>0</v>
      </c>
      <c r="Y208" s="267">
        <f>IFERROR(VLOOKUP($A208,Supp_47,14,FALSE),0)+IFERROR(SUMPRODUCT(VLOOKUP($A208,S275_01,{32,33,34},FALSE)),0)+IFERROR(SUMPRODUCT(VLOOKUP($A208,S275_97,{32,33,34},FALSE)),0)+IFERROR(ROUND(VLOOKUP($A208,S275_21,32,FALSE)*VLOOKUP($A208,'3121% SY'!$C$3:$M$324,11,FALSE),3),0)+IFERROR(ROUND(VLOOKUP($A208,S275_21,33,FALSE)*VLOOKUP($A208,'3121% SY'!$C$3:$M$324,11,FALSE),3),0)+IFERROR(ROUND(VLOOKUP($A208,S275_21,34,FALSE)*VLOOKUP($A208,'3121% SY'!$C$3:$M$324,11,FALSE),3),0)+IFERROR(VLOOKUP($A208,S275_09,12,FALSE),0)</f>
        <v>0</v>
      </c>
      <c r="Z208" s="267">
        <f>IFERROR(VLOOKUP($A208,Supp_48,14,FALSE),0)+IFERROR(SUMPRODUCT(VLOOKUP($A208,S275_01,{35,36,37},FALSE)),0)+IFERROR(SUMPRODUCT(VLOOKUP($A208,S275_97,{35,36,37},FALSE)),0)+IFERROR(ROUND(VLOOKUP($A208,S275_21,35,FALSE)*VLOOKUP($A208,'3121% SY'!$C$3:$M$324,11,FALSE),3),0)+IFERROR(ROUND(VLOOKUP($A208,S275_21,36,FALSE)*VLOOKUP($A208,'3121% SY'!$C$3:$M$324,11,FALSE),3),0)+IFERROR(ROUND(VLOOKUP($A208,S275_21,37,FALSE)*VLOOKUP($A208,'3121% SY'!$C$3:$M$324,11,FALSE),3),0)+IFERROR(VLOOKUP($A208,S275_09,13,FALSE),0)</f>
        <v>0</v>
      </c>
      <c r="AA208" s="267">
        <f>IFERROR(VLOOKUP($A208,Supp_49,14,FALSE),0)+IFERROR(SUMPRODUCT(VLOOKUP($A208,S275_01,{38,39,40},FALSE)),0)+IFERROR(SUMPRODUCT(VLOOKUP($A208,S275_97,{38,39,40},FALSE)),0)+IFERROR(ROUND(VLOOKUP($A208,S275_21,38,FALSE)*VLOOKUP($A208,'3121% SY'!$C$3:$M$324,11,FALSE),3),0)+IFERROR(ROUND(VLOOKUP($A208,S275_21,39,FALSE)*VLOOKUP($A208,'3121% SY'!$C$3:$M$324,11,FALSE),3),0)+IFERROR(ROUND(VLOOKUP($A208,S275_21,40,FALSE)*VLOOKUP($A208,'3121% SY'!$C$3:$M$324,11,FALSE),3),0)+IFERROR(VLOOKUP($A208,S275_09,14,FALSE),0)</f>
        <v>0</v>
      </c>
      <c r="AB208" s="267">
        <f>IFERROR(VLOOKUP($A208,Supp_64,14,FALSE),0)+IFERROR(SUMPRODUCT(VLOOKUP($A208,S275_01,{41,42,43},FALSE)),0)+IFERROR(SUMPRODUCT(VLOOKUP($A208,S275_97,{41,42,43},FALSE)),0)+IFERROR(ROUND(VLOOKUP($A208,S275_21,41,FALSE)*VLOOKUP($A208,'3121% SY'!$C$3:$M$324,11,FALSE),3),0)+IFERROR(ROUND(VLOOKUP($A208,S275_21,42,FALSE)*VLOOKUP($A208,'3121% SY'!$C$3:$M$324,11,FALSE),3),0)+IFERROR(ROUND(VLOOKUP($A208,S275_21,43,FALSE)*VLOOKUP($A208,'3121% SY'!$C$3:$M$324,11,FALSE),3),0)+IFERROR(VLOOKUP($A208,S275_09,15,FALSE),0)</f>
        <v>0</v>
      </c>
      <c r="AC208" s="268">
        <f t="shared" si="47"/>
        <v>1</v>
      </c>
      <c r="AD208" s="267">
        <f>IFERROR(VLOOKUP($A208,Supp_24,14,FALSE),0)+IFERROR(SUMPRODUCT(VLOOKUP($A208,S275_01,{2,3,4},FALSE)),0)+IFERROR(SUMPRODUCT(VLOOKUP($A208,S275_97,{2,3,4},FALSE)),0)+IFERROR(ROUND(VLOOKUP($A208,S275_21,2,FALSE)*VLOOKUP($A208,'3121% SY'!$C$3:$M$324,11,FALSE),3),0)+IFERROR(ROUND(VLOOKUP($A208,S275_21,3,FALSE)*VLOOKUP($A208,'3121% SY'!$C$3:$M$324,11,FALSE),3),0)+IFERROR(ROUND(VLOOKUP($A208,S275_21,4,FALSE)*VLOOKUP($A208,'3121% SY'!$C$3:$M$324,11,FALSE),3),0)+IFERROR(VLOOKUP($A208,S275_09,2,FALSE),0)</f>
        <v>0</v>
      </c>
      <c r="AE208" s="267">
        <f>IFERROR(VLOOKUP($A208,Supp_25,14,FALSE),0)+IFERROR(SUMPRODUCT(VLOOKUP($A208,S275_01,{5,6,7},FALSE)),0)+IFERROR(SUMPRODUCT(VLOOKUP($A208,S275_97,{5,6,7},FALSE)),0)+IFERROR(ROUND(VLOOKUP($A208,S275_21,5,FALSE)*VLOOKUP($A208,'3121% SY'!$C$3:$M$324,11,FALSE),3),0)+IFERROR(ROUND(VLOOKUP($A208,S275_21,6,FALSE)*VLOOKUP($A208,'3121% SY'!$C$3:$M$324,11,FALSE),3),0)+IFERROR(ROUND(VLOOKUP($A208,S275_21,7,FALSE)*VLOOKUP($A208,'3121% SY'!$C$3:$M$324,11,FALSE),3),0)+IFERROR(VLOOKUP($A208,S275_09,3,FALSE),0)</f>
        <v>1</v>
      </c>
      <c r="AF208" s="267">
        <f>IFERROR(VLOOKUP($A208,Supp_26,14,FALSE),0)+IFERROR(SUMPRODUCT(VLOOKUP($A208,S275_01,{8,9,10},FALSE)),0)+IFERROR(SUMPRODUCT(VLOOKUP($A208,S275_97,{8,9,10},FALSE)),0)+IFERROR(ROUND(VLOOKUP($A208,S275_21,8,FALSE)*VLOOKUP($A208,'3121% SY'!$C$3:$M$324,11,FALSE),3),0)+IFERROR(ROUND(VLOOKUP($A208,S275_21,9,FALSE)*VLOOKUP($A208,'3121% SY'!$C$3:$M$324,11,FALSE),3),0)+IFERROR(ROUND(VLOOKUP($A208,S275_21,10,FALSE)*VLOOKUP($A208,'3121% SY'!$C$3:$M$324,11,FALSE),3),0)+IFERROR(VLOOKUP($A208,S275_09,4,FALSE),0)</f>
        <v>0.435</v>
      </c>
      <c r="AG208" s="267">
        <f>IFERROR(VLOOKUP($A208,Supp_35,14,FALSE),0)+IFERROR(SUMPRODUCT(VLOOKUP($A208,S275_01,{11,12,13},FALSE)),0)+IFERROR(SUMPRODUCT(VLOOKUP($A208,S275_97,{11,12,13},FALSE)),0)+IFERROR(ROUND(VLOOKUP($A208,S275_21,11,FALSE)*VLOOKUP($A208,'3121% SY'!$C$3:$M$324,11,FALSE),3),0)+IFERROR(ROUND(VLOOKUP($A208,S275_21,12,FALSE)*VLOOKUP($A208,'3121% SY'!$C$3:$M$324,11,FALSE),3),0)+IFERROR(ROUND(VLOOKUP($A208,S275_21,13,FALSE)*VLOOKUP($A208,'3121% SY'!$C$3:$M$324,11,FALSE),3),0)+IFERROR(VLOOKUP($A208,S275_09,5,FALSE),0)</f>
        <v>0</v>
      </c>
      <c r="AH208" s="165">
        <f t="shared" si="48"/>
        <v>1.4350000000000001</v>
      </c>
      <c r="AI208" s="161">
        <f>IFERROR(VLOOKUP(A208,'Supp Staff Data'!A:ER,148,FALSE),0)+AB208</f>
        <v>0</v>
      </c>
      <c r="AJ208" s="174">
        <v>1</v>
      </c>
      <c r="AK208" s="25">
        <f>VLOOKUP(A208,'Enroll Data as of January 2025'!$A$3:$T$323,20,FALSE)-F208</f>
        <v>0</v>
      </c>
    </row>
    <row r="209" spans="1:37" x14ac:dyDescent="0.25">
      <c r="A209" s="171" t="s">
        <v>20</v>
      </c>
      <c r="B209" t="s">
        <v>317</v>
      </c>
      <c r="C209" s="173" t="s">
        <v>1078</v>
      </c>
      <c r="D209" s="259">
        <f t="shared" si="40"/>
        <v>3.4009999999999998</v>
      </c>
      <c r="E209" s="259">
        <f t="shared" si="41"/>
        <v>4.1360000000000001</v>
      </c>
      <c r="F209" s="262">
        <f t="shared" si="42"/>
        <v>0.73499999999999999</v>
      </c>
      <c r="G209" s="161">
        <f>ROUND(IF(F209&lt;0,F209*'2024-25 PSES Compliance'!$G$13,0),3)</f>
        <v>0</v>
      </c>
      <c r="H209" s="161">
        <f>ROUND(IF(F209&lt;0,F209*'2024-25 PSES Compliance'!$G$14,0),3)</f>
        <v>0</v>
      </c>
      <c r="I209" s="174">
        <f t="shared" si="43"/>
        <v>1.1359920212765955</v>
      </c>
      <c r="J209" s="174">
        <f t="shared" si="44"/>
        <v>0</v>
      </c>
      <c r="K209" s="161">
        <f>VLOOKUP($A209,'Enroll Data as of January 2025'!$A$3:$M$322,6,FALSE)</f>
        <v>1.9460000000000002</v>
      </c>
      <c r="L209" s="161">
        <f>VLOOKUP($A209,'Enroll Data as of January 2025'!$A$3:$M$322,7,FALSE)</f>
        <v>0.30200000000000005</v>
      </c>
      <c r="M209" s="161">
        <f>VLOOKUP($A209,'Enroll Data as of January 2025'!$A$3:$M$322,8,FALSE)</f>
        <v>0.10200000000000001</v>
      </c>
      <c r="N209" s="161">
        <f>VLOOKUP($A209,'Enroll Data as of January 2025'!$A$3:$M$322,9,FALSE)</f>
        <v>0.86399999999999988</v>
      </c>
      <c r="O209" s="165">
        <f t="shared" si="45"/>
        <v>3.214</v>
      </c>
      <c r="P209" s="161">
        <f>VLOOKUP($A209,'Enroll Data as of January 2025'!$A$3:$M$322,11,FALSE)</f>
        <v>0.12</v>
      </c>
      <c r="Q209" s="161">
        <f>VLOOKUP($A209,'Enroll Data as of January 2025'!$A$3:$M$322,12,FALSE)</f>
        <v>6.7000000000000004E-2</v>
      </c>
      <c r="R209" s="165">
        <f t="shared" si="46"/>
        <v>0.187</v>
      </c>
      <c r="S209" s="267">
        <f>IFERROR(VLOOKUP($A209,Supp_39,14,FALSE),0)+IFERROR(SUMPRODUCT(VLOOKUP($A209,S275_01,{14,15,16},FALSE)),0)+IFERROR(SUMPRODUCT(VLOOKUP($A209,S275_97,{14,15,16},FALSE)),0)+IFERROR(ROUND(VLOOKUP($A209,S275_21,14,FALSE)*VLOOKUP($A209,'3121% SY'!$C$3:$M$324,11,FALSE),3),0)+IFERROR(ROUND(VLOOKUP($A209,S275_21,15,FALSE)*VLOOKUP($A209,'3121% SY'!$C$3:$M$324,11,FALSE),3),0)+IFERROR(ROUND(VLOOKUP($A209,S275_21,16,FALSE)*VLOOKUP($A209,'3121% SY'!$C$3:$M$324,11,FALSE),3),0)+IFERROR(VLOOKUP($A209,S275_09,6,FALSE),0)</f>
        <v>1.1000000000000001</v>
      </c>
      <c r="T209" s="267">
        <f>IFERROR(VLOOKUP($A209,Supp_42,14,FALSE),0)+IFERROR(SUMPRODUCT(VLOOKUP($A209,S275_01,{17,18,19},FALSE)),0)+IFERROR(SUMPRODUCT(VLOOKUP($A209,S275_97,{17,18,19},FALSE)),0)+IFERROR(ROUND(VLOOKUP($A209,S275_21,17,FALSE)*VLOOKUP($A209,'3121% SY'!$C$3:$M$324,11,FALSE),3),0)+IFERROR(ROUND(VLOOKUP($A209,S275_21,18,FALSE)*VLOOKUP($A209,'3121% SY'!$C$3:$M$324,11,FALSE),3),0)+IFERROR(ROUND(VLOOKUP($A209,S275_21,19,FALSE)*VLOOKUP($A209,'3121% SY'!$C$3:$M$324,11,FALSE),3),0)+IFERROR(VLOOKUP($A209,S275_09,7,FALSE),0)</f>
        <v>0.43</v>
      </c>
      <c r="U209" s="267">
        <f>IFERROR(VLOOKUP($A209,Supp_43,14,FALSE),0)+IFERROR(SUMPRODUCT(VLOOKUP($A209,S275_01,{20,21,22},FALSE)),0)+IFERROR(SUMPRODUCT(VLOOKUP($A209,S275_97,{20,21,22},FALSE)),0)+IFERROR(ROUND(VLOOKUP($A209,S275_21,20,FALSE)*VLOOKUP($A209,'3121% SY'!$C$3:$M$324,11,FALSE),3),0)+IFERROR(ROUND(VLOOKUP($A209,S275_21,21,FALSE)*VLOOKUP($A209,'3121% SY'!$C$3:$M$324,11,FALSE),3),0)+IFERROR(ROUND(VLOOKUP($A209,S275_21,22,FALSE)*VLOOKUP($A209,'3121% SY'!$C$3:$M$324,11,FALSE),3),0)+IFERROR(VLOOKUP($A209,S275_09,8,FALSE),0)</f>
        <v>0</v>
      </c>
      <c r="V209" s="267">
        <f>IFERROR(VLOOKUP($A209,Supp_44,14,FALSE),0)+IFERROR(SUMPRODUCT(VLOOKUP($A209,S275_01,{23,24,25},FALSE)),0)+IFERROR(SUMPRODUCT(VLOOKUP($A209,S275_97,{23,24,25},FALSE)),0)+IFERROR(ROUND(VLOOKUP($A209,S275_21,23,FALSE)*VLOOKUP($A209,'3121% SY'!$C$3:$M$324,11,FALSE),3),0)+IFERROR(ROUND(VLOOKUP($A209,S275_21,24,FALSE)*VLOOKUP($A209,'3121% SY'!$C$3:$M$324,11,FALSE),3),0)+IFERROR(ROUND(VLOOKUP($A209,S275_21,25,FALSE)*VLOOKUP($A209,'3121% SY'!$C$3:$M$324,11,FALSE),3),0)+IFERROR(VLOOKUP($A209,S275_09,9,FALSE),0)</f>
        <v>0.77</v>
      </c>
      <c r="W209" s="267">
        <f>IFERROR(VLOOKUP($A209,Supp_45,14,FALSE),0)+IFERROR(SUMPRODUCT(VLOOKUP($A209,S275_01,{26,27,28},FALSE)),0)+IFERROR(SUMPRODUCT(VLOOKUP($A209,S275_97,{26,27,28},FALSE)),0)+IFERROR(ROUND(VLOOKUP($A209,S275_21,26,FALSE)*VLOOKUP($A209,'3121% SY'!$C$3:$M$324,11,FALSE),3),0)+IFERROR(ROUND(VLOOKUP($A209,S275_21,27,FALSE)*VLOOKUP($A209,'3121% SY'!$C$3:$M$324,11,FALSE),3),0)+IFERROR(ROUND(VLOOKUP($A209,S275_21,28,FALSE)*VLOOKUP($A209,'3121% SY'!$C$3:$M$324,11,FALSE),3),0)+IFERROR(VLOOKUP($A209,S275_09,10,FALSE),0)</f>
        <v>0.23</v>
      </c>
      <c r="X209" s="267">
        <f>IFERROR(VLOOKUP($A209,Supp_46,14,FALSE),0)+IFERROR(SUMPRODUCT(VLOOKUP($A209,S275_01,{29,30,31},FALSE)),0)+IFERROR(SUMPRODUCT(VLOOKUP($A209,S275_97,{29,30,31},FALSE)),0)+IFERROR(ROUND(VLOOKUP($A209,S275_21,29,FALSE)*VLOOKUP($A209,'3121% SY'!$C$3:$M$324,11,FALSE),3),0)+IFERROR(ROUND(VLOOKUP($A209,S275_21,30,FALSE)*VLOOKUP($A209,'3121% SY'!$C$3:$M$324,11,FALSE),3),0)+IFERROR(ROUND(VLOOKUP($A209,S275_21,31,FALSE)*VLOOKUP($A209,'3121% SY'!$C$3:$M$324,11,FALSE),3),0)+IFERROR(VLOOKUP($A209,S275_09,11,FALSE),0)</f>
        <v>0</v>
      </c>
      <c r="Y209" s="267">
        <f>IFERROR(VLOOKUP($A209,Supp_47,14,FALSE),0)+IFERROR(SUMPRODUCT(VLOOKUP($A209,S275_01,{32,33,34},FALSE)),0)+IFERROR(SUMPRODUCT(VLOOKUP($A209,S275_97,{32,33,34},FALSE)),0)+IFERROR(ROUND(VLOOKUP($A209,S275_21,32,FALSE)*VLOOKUP($A209,'3121% SY'!$C$3:$M$324,11,FALSE),3),0)+IFERROR(ROUND(VLOOKUP($A209,S275_21,33,FALSE)*VLOOKUP($A209,'3121% SY'!$C$3:$M$324,11,FALSE),3),0)+IFERROR(ROUND(VLOOKUP($A209,S275_21,34,FALSE)*VLOOKUP($A209,'3121% SY'!$C$3:$M$324,11,FALSE),3),0)+IFERROR(VLOOKUP($A209,S275_09,12,FALSE),0)</f>
        <v>0</v>
      </c>
      <c r="Z209" s="267">
        <f>IFERROR(VLOOKUP($A209,Supp_48,14,FALSE),0)+IFERROR(SUMPRODUCT(VLOOKUP($A209,S275_01,{35,36,37},FALSE)),0)+IFERROR(SUMPRODUCT(VLOOKUP($A209,S275_97,{35,36,37},FALSE)),0)+IFERROR(ROUND(VLOOKUP($A209,S275_21,35,FALSE)*VLOOKUP($A209,'3121% SY'!$C$3:$M$324,11,FALSE),3),0)+IFERROR(ROUND(VLOOKUP($A209,S275_21,36,FALSE)*VLOOKUP($A209,'3121% SY'!$C$3:$M$324,11,FALSE),3),0)+IFERROR(ROUND(VLOOKUP($A209,S275_21,37,FALSE)*VLOOKUP($A209,'3121% SY'!$C$3:$M$324,11,FALSE),3),0)+IFERROR(VLOOKUP($A209,S275_09,13,FALSE),0)</f>
        <v>0</v>
      </c>
      <c r="AA209" s="267">
        <f>IFERROR(VLOOKUP($A209,Supp_49,14,FALSE),0)+IFERROR(SUMPRODUCT(VLOOKUP($A209,S275_01,{38,39,40},FALSE)),0)+IFERROR(SUMPRODUCT(VLOOKUP($A209,S275_97,{38,39,40},FALSE)),0)+IFERROR(ROUND(VLOOKUP($A209,S275_21,38,FALSE)*VLOOKUP($A209,'3121% SY'!$C$3:$M$324,11,FALSE),3),0)+IFERROR(ROUND(VLOOKUP($A209,S275_21,39,FALSE)*VLOOKUP($A209,'3121% SY'!$C$3:$M$324,11,FALSE),3),0)+IFERROR(ROUND(VLOOKUP($A209,S275_21,40,FALSE)*VLOOKUP($A209,'3121% SY'!$C$3:$M$324,11,FALSE),3),0)+IFERROR(VLOOKUP($A209,S275_09,14,FALSE),0)</f>
        <v>0</v>
      </c>
      <c r="AB209" s="267">
        <f>IFERROR(VLOOKUP($A209,Supp_64,14,FALSE),0)+IFERROR(SUMPRODUCT(VLOOKUP($A209,S275_01,{41,42,43},FALSE)),0)+IFERROR(SUMPRODUCT(VLOOKUP($A209,S275_97,{41,42,43},FALSE)),0)+IFERROR(ROUND(VLOOKUP($A209,S275_21,41,FALSE)*VLOOKUP($A209,'3121% SY'!$C$3:$M$324,11,FALSE),3),0)+IFERROR(ROUND(VLOOKUP($A209,S275_21,42,FALSE)*VLOOKUP($A209,'3121% SY'!$C$3:$M$324,11,FALSE),3),0)+IFERROR(ROUND(VLOOKUP($A209,S275_21,43,FALSE)*VLOOKUP($A209,'3121% SY'!$C$3:$M$324,11,FALSE),3),0)+IFERROR(VLOOKUP($A209,S275_09,15,FALSE),0)</f>
        <v>0</v>
      </c>
      <c r="AC209" s="268">
        <f t="shared" si="47"/>
        <v>2.5299999999999998</v>
      </c>
      <c r="AD209" s="267">
        <f>IFERROR(VLOOKUP($A209,Supp_24,14,FALSE),0)+IFERROR(SUMPRODUCT(VLOOKUP($A209,S275_01,{2,3,4},FALSE)),0)+IFERROR(SUMPRODUCT(VLOOKUP($A209,S275_97,{2,3,4},FALSE)),0)+IFERROR(ROUND(VLOOKUP($A209,S275_21,2,FALSE)*VLOOKUP($A209,'3121% SY'!$C$3:$M$324,11,FALSE),3),0)+IFERROR(ROUND(VLOOKUP($A209,S275_21,3,FALSE)*VLOOKUP($A209,'3121% SY'!$C$3:$M$324,11,FALSE),3),0)+IFERROR(ROUND(VLOOKUP($A209,S275_21,4,FALSE)*VLOOKUP($A209,'3121% SY'!$C$3:$M$324,11,FALSE),3),0)+IFERROR(VLOOKUP($A209,S275_09,2,FALSE),0)</f>
        <v>0</v>
      </c>
      <c r="AE209" s="267">
        <f>IFERROR(VLOOKUP($A209,Supp_25,14,FALSE),0)+IFERROR(SUMPRODUCT(VLOOKUP($A209,S275_01,{5,6,7},FALSE)),0)+IFERROR(SUMPRODUCT(VLOOKUP($A209,S275_97,{5,6,7},FALSE)),0)+IFERROR(ROUND(VLOOKUP($A209,S275_21,5,FALSE)*VLOOKUP($A209,'3121% SY'!$C$3:$M$324,11,FALSE),3),0)+IFERROR(ROUND(VLOOKUP($A209,S275_21,6,FALSE)*VLOOKUP($A209,'3121% SY'!$C$3:$M$324,11,FALSE),3),0)+IFERROR(ROUND(VLOOKUP($A209,S275_21,7,FALSE)*VLOOKUP($A209,'3121% SY'!$C$3:$M$324,11,FALSE),3),0)+IFERROR(VLOOKUP($A209,S275_09,3,FALSE),0)</f>
        <v>0.92700000000000005</v>
      </c>
      <c r="AF209" s="267">
        <f>IFERROR(VLOOKUP($A209,Supp_26,14,FALSE),0)+IFERROR(SUMPRODUCT(VLOOKUP($A209,S275_01,{8,9,10},FALSE)),0)+IFERROR(SUMPRODUCT(VLOOKUP($A209,S275_97,{8,9,10},FALSE)),0)+IFERROR(ROUND(VLOOKUP($A209,S275_21,8,FALSE)*VLOOKUP($A209,'3121% SY'!$C$3:$M$324,11,FALSE),3),0)+IFERROR(ROUND(VLOOKUP($A209,S275_21,9,FALSE)*VLOOKUP($A209,'3121% SY'!$C$3:$M$324,11,FALSE),3),0)+IFERROR(ROUND(VLOOKUP($A209,S275_21,10,FALSE)*VLOOKUP($A209,'3121% SY'!$C$3:$M$324,11,FALSE),3),0)+IFERROR(VLOOKUP($A209,S275_09,4,FALSE),0)</f>
        <v>0.67900000000000005</v>
      </c>
      <c r="AG209" s="267">
        <f>IFERROR(VLOOKUP($A209,Supp_35,14,FALSE),0)+IFERROR(SUMPRODUCT(VLOOKUP($A209,S275_01,{11,12,13},FALSE)),0)+IFERROR(SUMPRODUCT(VLOOKUP($A209,S275_97,{11,12,13},FALSE)),0)+IFERROR(ROUND(VLOOKUP($A209,S275_21,11,FALSE)*VLOOKUP($A209,'3121% SY'!$C$3:$M$324,11,FALSE),3),0)+IFERROR(ROUND(VLOOKUP($A209,S275_21,12,FALSE)*VLOOKUP($A209,'3121% SY'!$C$3:$M$324,11,FALSE),3),0)+IFERROR(ROUND(VLOOKUP($A209,S275_21,13,FALSE)*VLOOKUP($A209,'3121% SY'!$C$3:$M$324,11,FALSE),3),0)+IFERROR(VLOOKUP($A209,S275_09,5,FALSE),0)</f>
        <v>0</v>
      </c>
      <c r="AH209" s="165">
        <f t="shared" si="48"/>
        <v>1.6060000000000001</v>
      </c>
      <c r="AI209" s="161">
        <f>IFERROR(VLOOKUP(A209,'Supp Staff Data'!A:ER,148,FALSE),0)+AB209</f>
        <v>0</v>
      </c>
      <c r="AJ209" s="174">
        <v>1.8571</v>
      </c>
      <c r="AK209" s="25">
        <f>VLOOKUP(A209,'Enroll Data as of January 2025'!$A$3:$T$323,20,FALSE)-F209</f>
        <v>0</v>
      </c>
    </row>
    <row r="210" spans="1:37" x14ac:dyDescent="0.25">
      <c r="A210" s="171" t="s">
        <v>106</v>
      </c>
      <c r="B210" t="s">
        <v>402</v>
      </c>
      <c r="C210" s="173" t="s">
        <v>1086</v>
      </c>
      <c r="D210" s="259">
        <f t="shared" si="40"/>
        <v>14.775999999999998</v>
      </c>
      <c r="E210" s="259">
        <f t="shared" si="41"/>
        <v>19.744999999999997</v>
      </c>
      <c r="F210" s="262">
        <f t="shared" si="42"/>
        <v>4.9690000000000003</v>
      </c>
      <c r="G210" s="161">
        <f>ROUND(IF(F210&lt;0,F210*'2024-25 PSES Compliance'!$G$13,0),3)</f>
        <v>0</v>
      </c>
      <c r="H210" s="161">
        <f>ROUND(IF(F210&lt;0,F210*'2024-25 PSES Compliance'!$G$14,0),3)</f>
        <v>0</v>
      </c>
      <c r="I210" s="174">
        <f t="shared" si="43"/>
        <v>0</v>
      </c>
      <c r="J210" s="174">
        <f t="shared" si="44"/>
        <v>0</v>
      </c>
      <c r="K210" s="161">
        <f>VLOOKUP($A210,'Enroll Data as of January 2025'!$A$3:$M$322,6,FALSE)</f>
        <v>8.2779999999999987</v>
      </c>
      <c r="L210" s="161">
        <f>VLOOKUP($A210,'Enroll Data as of January 2025'!$A$3:$M$322,7,FALSE)</f>
        <v>1.383</v>
      </c>
      <c r="M210" s="161">
        <f>VLOOKUP($A210,'Enroll Data as of January 2025'!$A$3:$M$322,8,FALSE)</f>
        <v>0.46300000000000002</v>
      </c>
      <c r="N210" s="161">
        <f>VLOOKUP($A210,'Enroll Data as of January 2025'!$A$3:$M$322,9,FALSE)</f>
        <v>3.8200000000000003</v>
      </c>
      <c r="O210" s="165">
        <f t="shared" si="45"/>
        <v>13.943999999999997</v>
      </c>
      <c r="P210" s="161">
        <f>VLOOKUP($A210,'Enroll Data as of January 2025'!$A$3:$M$322,11,FALSE)</f>
        <v>0.51900000000000002</v>
      </c>
      <c r="Q210" s="161">
        <f>VLOOKUP($A210,'Enroll Data as of January 2025'!$A$3:$M$322,12,FALSE)</f>
        <v>0.313</v>
      </c>
      <c r="R210" s="165">
        <f t="shared" si="46"/>
        <v>0.83200000000000007</v>
      </c>
      <c r="S210" s="267">
        <f>IFERROR(VLOOKUP($A210,Supp_39,14,FALSE),0)+IFERROR(SUMPRODUCT(VLOOKUP($A210,S275_01,{14,15,16},FALSE)),0)+IFERROR(SUMPRODUCT(VLOOKUP($A210,S275_97,{14,15,16},FALSE)),0)+IFERROR(ROUND(VLOOKUP($A210,S275_21,14,FALSE)*VLOOKUP($A210,'3121% SY'!$C$3:$M$324,11,FALSE),3),0)+IFERROR(ROUND(VLOOKUP($A210,S275_21,15,FALSE)*VLOOKUP($A210,'3121% SY'!$C$3:$M$324,11,FALSE),3),0)+IFERROR(ROUND(VLOOKUP($A210,S275_21,16,FALSE)*VLOOKUP($A210,'3121% SY'!$C$3:$M$324,11,FALSE),3),0)+IFERROR(VLOOKUP($A210,S275_09,6,FALSE),0)</f>
        <v>7.01</v>
      </c>
      <c r="T210" s="267">
        <f>IFERROR(VLOOKUP($A210,Supp_42,14,FALSE),0)+IFERROR(SUMPRODUCT(VLOOKUP($A210,S275_01,{17,18,19},FALSE)),0)+IFERROR(SUMPRODUCT(VLOOKUP($A210,S275_97,{17,18,19},FALSE)),0)+IFERROR(ROUND(VLOOKUP($A210,S275_21,17,FALSE)*VLOOKUP($A210,'3121% SY'!$C$3:$M$324,11,FALSE),3),0)+IFERROR(ROUND(VLOOKUP($A210,S275_21,18,FALSE)*VLOOKUP($A210,'3121% SY'!$C$3:$M$324,11,FALSE),3),0)+IFERROR(ROUND(VLOOKUP($A210,S275_21,19,FALSE)*VLOOKUP($A210,'3121% SY'!$C$3:$M$324,11,FALSE),3),0)+IFERROR(VLOOKUP($A210,S275_09,7,FALSE),0)</f>
        <v>1.49</v>
      </c>
      <c r="U210" s="267">
        <f>IFERROR(VLOOKUP($A210,Supp_43,14,FALSE),0)+IFERROR(SUMPRODUCT(VLOOKUP($A210,S275_01,{20,21,22},FALSE)),0)+IFERROR(SUMPRODUCT(VLOOKUP($A210,S275_97,{20,21,22},FALSE)),0)+IFERROR(ROUND(VLOOKUP($A210,S275_21,20,FALSE)*VLOOKUP($A210,'3121% SY'!$C$3:$M$324,11,FALSE),3),0)+IFERROR(ROUND(VLOOKUP($A210,S275_21,21,FALSE)*VLOOKUP($A210,'3121% SY'!$C$3:$M$324,11,FALSE),3),0)+IFERROR(ROUND(VLOOKUP($A210,S275_21,22,FALSE)*VLOOKUP($A210,'3121% SY'!$C$3:$M$324,11,FALSE),3),0)+IFERROR(VLOOKUP($A210,S275_09,8,FALSE),0)</f>
        <v>0</v>
      </c>
      <c r="V210" s="267">
        <f>IFERROR(VLOOKUP($A210,Supp_44,14,FALSE),0)+IFERROR(SUMPRODUCT(VLOOKUP($A210,S275_01,{23,24,25},FALSE)),0)+IFERROR(SUMPRODUCT(VLOOKUP($A210,S275_97,{23,24,25},FALSE)),0)+IFERROR(ROUND(VLOOKUP($A210,S275_21,23,FALSE)*VLOOKUP($A210,'3121% SY'!$C$3:$M$324,11,FALSE),3),0)+IFERROR(ROUND(VLOOKUP($A210,S275_21,24,FALSE)*VLOOKUP($A210,'3121% SY'!$C$3:$M$324,11,FALSE),3),0)+IFERROR(ROUND(VLOOKUP($A210,S275_21,25,FALSE)*VLOOKUP($A210,'3121% SY'!$C$3:$M$324,11,FALSE),3),0)+IFERROR(VLOOKUP($A210,S275_09,9,FALSE),0)</f>
        <v>0</v>
      </c>
      <c r="W210" s="267">
        <f>IFERROR(VLOOKUP($A210,Supp_45,14,FALSE),0)+IFERROR(SUMPRODUCT(VLOOKUP($A210,S275_01,{26,27,28},FALSE)),0)+IFERROR(SUMPRODUCT(VLOOKUP($A210,S275_97,{26,27,28},FALSE)),0)+IFERROR(ROUND(VLOOKUP($A210,S275_21,26,FALSE)*VLOOKUP($A210,'3121% SY'!$C$3:$M$324,11,FALSE),3),0)+IFERROR(ROUND(VLOOKUP($A210,S275_21,27,FALSE)*VLOOKUP($A210,'3121% SY'!$C$3:$M$324,11,FALSE),3),0)+IFERROR(ROUND(VLOOKUP($A210,S275_21,28,FALSE)*VLOOKUP($A210,'3121% SY'!$C$3:$M$324,11,FALSE),3),0)+IFERROR(VLOOKUP($A210,S275_09,10,FALSE),0)</f>
        <v>0.84100000000000008</v>
      </c>
      <c r="X210" s="267">
        <f>IFERROR(VLOOKUP($A210,Supp_46,14,FALSE),0)+IFERROR(SUMPRODUCT(VLOOKUP($A210,S275_01,{29,30,31},FALSE)),0)+IFERROR(SUMPRODUCT(VLOOKUP($A210,S275_97,{29,30,31},FALSE)),0)+IFERROR(ROUND(VLOOKUP($A210,S275_21,29,FALSE)*VLOOKUP($A210,'3121% SY'!$C$3:$M$324,11,FALSE),3),0)+IFERROR(ROUND(VLOOKUP($A210,S275_21,30,FALSE)*VLOOKUP($A210,'3121% SY'!$C$3:$M$324,11,FALSE),3),0)+IFERROR(ROUND(VLOOKUP($A210,S275_21,31,FALSE)*VLOOKUP($A210,'3121% SY'!$C$3:$M$324,11,FALSE),3),0)+IFERROR(VLOOKUP($A210,S275_09,11,FALSE),0)</f>
        <v>3.0459999999999998</v>
      </c>
      <c r="Y210" s="267">
        <f>IFERROR(VLOOKUP($A210,Supp_47,14,FALSE),0)+IFERROR(SUMPRODUCT(VLOOKUP($A210,S275_01,{32,33,34},FALSE)),0)+IFERROR(SUMPRODUCT(VLOOKUP($A210,S275_97,{32,33,34},FALSE)),0)+IFERROR(ROUND(VLOOKUP($A210,S275_21,32,FALSE)*VLOOKUP($A210,'3121% SY'!$C$3:$M$324,11,FALSE),3),0)+IFERROR(ROUND(VLOOKUP($A210,S275_21,33,FALSE)*VLOOKUP($A210,'3121% SY'!$C$3:$M$324,11,FALSE),3),0)+IFERROR(ROUND(VLOOKUP($A210,S275_21,34,FALSE)*VLOOKUP($A210,'3121% SY'!$C$3:$M$324,11,FALSE),3),0)+IFERROR(VLOOKUP($A210,S275_09,12,FALSE),0)</f>
        <v>0</v>
      </c>
      <c r="Z210" s="267">
        <f>IFERROR(VLOOKUP($A210,Supp_48,14,FALSE),0)+IFERROR(SUMPRODUCT(VLOOKUP($A210,S275_01,{35,36,37},FALSE)),0)+IFERROR(SUMPRODUCT(VLOOKUP($A210,S275_97,{35,36,37},FALSE)),0)+IFERROR(ROUND(VLOOKUP($A210,S275_21,35,FALSE)*VLOOKUP($A210,'3121% SY'!$C$3:$M$324,11,FALSE),3),0)+IFERROR(ROUND(VLOOKUP($A210,S275_21,36,FALSE)*VLOOKUP($A210,'3121% SY'!$C$3:$M$324,11,FALSE),3),0)+IFERROR(ROUND(VLOOKUP($A210,S275_21,37,FALSE)*VLOOKUP($A210,'3121% SY'!$C$3:$M$324,11,FALSE),3),0)+IFERROR(VLOOKUP($A210,S275_09,13,FALSE),0)</f>
        <v>0</v>
      </c>
      <c r="AA210" s="267">
        <f>IFERROR(VLOOKUP($A210,Supp_49,14,FALSE),0)+IFERROR(SUMPRODUCT(VLOOKUP($A210,S275_01,{38,39,40},FALSE)),0)+IFERROR(SUMPRODUCT(VLOOKUP($A210,S275_97,{38,39,40},FALSE)),0)+IFERROR(ROUND(VLOOKUP($A210,S275_21,38,FALSE)*VLOOKUP($A210,'3121% SY'!$C$3:$M$324,11,FALSE),3),0)+IFERROR(ROUND(VLOOKUP($A210,S275_21,39,FALSE)*VLOOKUP($A210,'3121% SY'!$C$3:$M$324,11,FALSE),3),0)+IFERROR(ROUND(VLOOKUP($A210,S275_21,40,FALSE)*VLOOKUP($A210,'3121% SY'!$C$3:$M$324,11,FALSE),3),0)+IFERROR(VLOOKUP($A210,S275_09,14,FALSE),0)</f>
        <v>0</v>
      </c>
      <c r="AB210" s="267">
        <f>IFERROR(VLOOKUP($A210,Supp_64,14,FALSE),0)+IFERROR(SUMPRODUCT(VLOOKUP($A210,S275_01,{41,42,43},FALSE)),0)+IFERROR(SUMPRODUCT(VLOOKUP($A210,S275_97,{41,42,43},FALSE)),0)+IFERROR(ROUND(VLOOKUP($A210,S275_21,41,FALSE)*VLOOKUP($A210,'3121% SY'!$C$3:$M$324,11,FALSE),3),0)+IFERROR(ROUND(VLOOKUP($A210,S275_21,42,FALSE)*VLOOKUP($A210,'3121% SY'!$C$3:$M$324,11,FALSE),3),0)+IFERROR(ROUND(VLOOKUP($A210,S275_21,43,FALSE)*VLOOKUP($A210,'3121% SY'!$C$3:$M$324,11,FALSE),3),0)+IFERROR(VLOOKUP($A210,S275_09,15,FALSE),0)</f>
        <v>0</v>
      </c>
      <c r="AC210" s="268">
        <f t="shared" si="47"/>
        <v>12.386999999999999</v>
      </c>
      <c r="AD210" s="267">
        <f>IFERROR(VLOOKUP($A210,Supp_24,14,FALSE),0)+IFERROR(SUMPRODUCT(VLOOKUP($A210,S275_01,{2,3,4},FALSE)),0)+IFERROR(SUMPRODUCT(VLOOKUP($A210,S275_97,{2,3,4},FALSE)),0)+IFERROR(ROUND(VLOOKUP($A210,S275_21,2,FALSE)*VLOOKUP($A210,'3121% SY'!$C$3:$M$324,11,FALSE),3),0)+IFERROR(ROUND(VLOOKUP($A210,S275_21,3,FALSE)*VLOOKUP($A210,'3121% SY'!$C$3:$M$324,11,FALSE),3),0)+IFERROR(ROUND(VLOOKUP($A210,S275_21,4,FALSE)*VLOOKUP($A210,'3121% SY'!$C$3:$M$324,11,FALSE),3),0)+IFERROR(VLOOKUP($A210,S275_09,2,FALSE),0)</f>
        <v>0</v>
      </c>
      <c r="AE210" s="267">
        <f>IFERROR(VLOOKUP($A210,Supp_25,14,FALSE),0)+IFERROR(SUMPRODUCT(VLOOKUP($A210,S275_01,{5,6,7},FALSE)),0)+IFERROR(SUMPRODUCT(VLOOKUP($A210,S275_97,{5,6,7},FALSE)),0)+IFERROR(ROUND(VLOOKUP($A210,S275_21,5,FALSE)*VLOOKUP($A210,'3121% SY'!$C$3:$M$324,11,FALSE),3),0)+IFERROR(ROUND(VLOOKUP($A210,S275_21,6,FALSE)*VLOOKUP($A210,'3121% SY'!$C$3:$M$324,11,FALSE),3),0)+IFERROR(ROUND(VLOOKUP($A210,S275_21,7,FALSE)*VLOOKUP($A210,'3121% SY'!$C$3:$M$324,11,FALSE),3),0)+IFERROR(VLOOKUP($A210,S275_09,3,FALSE),0)</f>
        <v>3.653</v>
      </c>
      <c r="AF210" s="267">
        <f>IFERROR(VLOOKUP($A210,Supp_26,14,FALSE),0)+IFERROR(SUMPRODUCT(VLOOKUP($A210,S275_01,{8,9,10},FALSE)),0)+IFERROR(SUMPRODUCT(VLOOKUP($A210,S275_97,{8,9,10},FALSE)),0)+IFERROR(ROUND(VLOOKUP($A210,S275_21,8,FALSE)*VLOOKUP($A210,'3121% SY'!$C$3:$M$324,11,FALSE),3),0)+IFERROR(ROUND(VLOOKUP($A210,S275_21,9,FALSE)*VLOOKUP($A210,'3121% SY'!$C$3:$M$324,11,FALSE),3),0)+IFERROR(ROUND(VLOOKUP($A210,S275_21,10,FALSE)*VLOOKUP($A210,'3121% SY'!$C$3:$M$324,11,FALSE),3),0)+IFERROR(VLOOKUP($A210,S275_09,4,FALSE),0)</f>
        <v>2.15</v>
      </c>
      <c r="AG210" s="267">
        <f>IFERROR(VLOOKUP($A210,Supp_35,14,FALSE),0)+IFERROR(SUMPRODUCT(VLOOKUP($A210,S275_01,{11,12,13},FALSE)),0)+IFERROR(SUMPRODUCT(VLOOKUP($A210,S275_97,{11,12,13},FALSE)),0)+IFERROR(ROUND(VLOOKUP($A210,S275_21,11,FALSE)*VLOOKUP($A210,'3121% SY'!$C$3:$M$324,11,FALSE),3),0)+IFERROR(ROUND(VLOOKUP($A210,S275_21,12,FALSE)*VLOOKUP($A210,'3121% SY'!$C$3:$M$324,11,FALSE),3),0)+IFERROR(ROUND(VLOOKUP($A210,S275_21,13,FALSE)*VLOOKUP($A210,'3121% SY'!$C$3:$M$324,11,FALSE),3),0)+IFERROR(VLOOKUP($A210,S275_09,5,FALSE),0)</f>
        <v>1.5549999999999999</v>
      </c>
      <c r="AH210" s="165">
        <f t="shared" si="48"/>
        <v>7.3579999999999997</v>
      </c>
      <c r="AI210" s="161">
        <f>IFERROR(VLOOKUP(A210,'Supp Staff Data'!A:ER,148,FALSE),0)+AB210</f>
        <v>0</v>
      </c>
      <c r="AJ210" s="174">
        <v>0</v>
      </c>
      <c r="AK210" s="25">
        <f>VLOOKUP(A210,'Enroll Data as of January 2025'!$A$3:$T$323,20,FALSE)-F210</f>
        <v>0</v>
      </c>
    </row>
    <row r="211" spans="1:37" x14ac:dyDescent="0.25">
      <c r="A211" s="171" t="s">
        <v>46</v>
      </c>
      <c r="B211" t="s">
        <v>342</v>
      </c>
      <c r="C211" s="173" t="s">
        <v>1077</v>
      </c>
      <c r="D211" s="259">
        <f t="shared" si="40"/>
        <v>6.0810000000000004</v>
      </c>
      <c r="E211" s="259">
        <f t="shared" si="41"/>
        <v>8.4420000000000002</v>
      </c>
      <c r="F211" s="262">
        <f t="shared" si="42"/>
        <v>2.3610000000000002</v>
      </c>
      <c r="G211" s="161">
        <f>ROUND(IF(F211&lt;0,F211*'2024-25 PSES Compliance'!$G$13,0),3)</f>
        <v>0</v>
      </c>
      <c r="H211" s="161">
        <f>ROUND(IF(F211&lt;0,F211*'2024-25 PSES Compliance'!$G$14,0),3)</f>
        <v>0</v>
      </c>
      <c r="I211" s="174">
        <f t="shared" si="43"/>
        <v>0.24085501066098078</v>
      </c>
      <c r="J211" s="174">
        <f t="shared" si="44"/>
        <v>0</v>
      </c>
      <c r="K211" s="161">
        <f>VLOOKUP($A211,'Enroll Data as of January 2025'!$A$3:$M$322,6,FALSE)</f>
        <v>3.4020000000000001</v>
      </c>
      <c r="L211" s="161">
        <f>VLOOKUP($A211,'Enroll Data as of January 2025'!$A$3:$M$322,7,FALSE)</f>
        <v>0.56700000000000006</v>
      </c>
      <c r="M211" s="161">
        <f>VLOOKUP($A211,'Enroll Data as of January 2025'!$A$3:$M$322,8,FALSE)</f>
        <v>0.19</v>
      </c>
      <c r="N211" s="161">
        <f>VLOOKUP($A211,'Enroll Data as of January 2025'!$A$3:$M$322,9,FALSE)</f>
        <v>1.5799999999999998</v>
      </c>
      <c r="O211" s="165">
        <f t="shared" si="45"/>
        <v>5.7390000000000008</v>
      </c>
      <c r="P211" s="161">
        <f>VLOOKUP($A211,'Enroll Data as of January 2025'!$A$3:$M$322,11,FALSE)</f>
        <v>0.214</v>
      </c>
      <c r="Q211" s="161">
        <f>VLOOKUP($A211,'Enroll Data as of January 2025'!$A$3:$M$322,12,FALSE)</f>
        <v>0.128</v>
      </c>
      <c r="R211" s="165">
        <f t="shared" si="46"/>
        <v>0.34199999999999997</v>
      </c>
      <c r="S211" s="267">
        <f>IFERROR(VLOOKUP($A211,Supp_39,14,FALSE),0)+IFERROR(SUMPRODUCT(VLOOKUP($A211,S275_01,{14,15,16},FALSE)),0)+IFERROR(SUMPRODUCT(VLOOKUP($A211,S275_97,{14,15,16},FALSE)),0)+IFERROR(ROUND(VLOOKUP($A211,S275_21,14,FALSE)*VLOOKUP($A211,'3121% SY'!$C$3:$M$324,11,FALSE),3),0)+IFERROR(ROUND(VLOOKUP($A211,S275_21,15,FALSE)*VLOOKUP($A211,'3121% SY'!$C$3:$M$324,11,FALSE),3),0)+IFERROR(ROUND(VLOOKUP($A211,S275_21,16,FALSE)*VLOOKUP($A211,'3121% SY'!$C$3:$M$324,11,FALSE),3),0)+IFERROR(VLOOKUP($A211,S275_09,6,FALSE),0)</f>
        <v>2.1619999999999999</v>
      </c>
      <c r="T211" s="267">
        <f>IFERROR(VLOOKUP($A211,Supp_42,14,FALSE),0)+IFERROR(SUMPRODUCT(VLOOKUP($A211,S275_01,{17,18,19},FALSE)),0)+IFERROR(SUMPRODUCT(VLOOKUP($A211,S275_97,{17,18,19},FALSE)),0)+IFERROR(ROUND(VLOOKUP($A211,S275_21,17,FALSE)*VLOOKUP($A211,'3121% SY'!$C$3:$M$324,11,FALSE),3),0)+IFERROR(ROUND(VLOOKUP($A211,S275_21,18,FALSE)*VLOOKUP($A211,'3121% SY'!$C$3:$M$324,11,FALSE),3),0)+IFERROR(ROUND(VLOOKUP($A211,S275_21,19,FALSE)*VLOOKUP($A211,'3121% SY'!$C$3:$M$324,11,FALSE),3),0)+IFERROR(VLOOKUP($A211,S275_09,7,FALSE),0)</f>
        <v>1.0329999999999999</v>
      </c>
      <c r="U211" s="267">
        <f>IFERROR(VLOOKUP($A211,Supp_43,14,FALSE),0)+IFERROR(SUMPRODUCT(VLOOKUP($A211,S275_01,{20,21,22},FALSE)),0)+IFERROR(SUMPRODUCT(VLOOKUP($A211,S275_97,{20,21,22},FALSE)),0)+IFERROR(ROUND(VLOOKUP($A211,S275_21,20,FALSE)*VLOOKUP($A211,'3121% SY'!$C$3:$M$324,11,FALSE),3),0)+IFERROR(ROUND(VLOOKUP($A211,S275_21,21,FALSE)*VLOOKUP($A211,'3121% SY'!$C$3:$M$324,11,FALSE),3),0)+IFERROR(ROUND(VLOOKUP($A211,S275_21,22,FALSE)*VLOOKUP($A211,'3121% SY'!$C$3:$M$324,11,FALSE),3),0)+IFERROR(VLOOKUP($A211,S275_09,8,FALSE),0)</f>
        <v>0</v>
      </c>
      <c r="V211" s="267">
        <f>IFERROR(VLOOKUP($A211,Supp_44,14,FALSE),0)+IFERROR(SUMPRODUCT(VLOOKUP($A211,S275_01,{23,24,25},FALSE)),0)+IFERROR(SUMPRODUCT(VLOOKUP($A211,S275_97,{23,24,25},FALSE)),0)+IFERROR(ROUND(VLOOKUP($A211,S275_21,23,FALSE)*VLOOKUP($A211,'3121% SY'!$C$3:$M$324,11,FALSE),3),0)+IFERROR(ROUND(VLOOKUP($A211,S275_21,24,FALSE)*VLOOKUP($A211,'3121% SY'!$C$3:$M$324,11,FALSE),3),0)+IFERROR(ROUND(VLOOKUP($A211,S275_21,25,FALSE)*VLOOKUP($A211,'3121% SY'!$C$3:$M$324,11,FALSE),3),0)+IFERROR(VLOOKUP($A211,S275_09,9,FALSE),0)</f>
        <v>0</v>
      </c>
      <c r="W211" s="267">
        <f>IFERROR(VLOOKUP($A211,Supp_45,14,FALSE),0)+IFERROR(SUMPRODUCT(VLOOKUP($A211,S275_01,{26,27,28},FALSE)),0)+IFERROR(SUMPRODUCT(VLOOKUP($A211,S275_97,{26,27,28},FALSE)),0)+IFERROR(ROUND(VLOOKUP($A211,S275_21,26,FALSE)*VLOOKUP($A211,'3121% SY'!$C$3:$M$324,11,FALSE),3),0)+IFERROR(ROUND(VLOOKUP($A211,S275_21,27,FALSE)*VLOOKUP($A211,'3121% SY'!$C$3:$M$324,11,FALSE),3),0)+IFERROR(ROUND(VLOOKUP($A211,S275_21,28,FALSE)*VLOOKUP($A211,'3121% SY'!$C$3:$M$324,11,FALSE),3),0)+IFERROR(VLOOKUP($A211,S275_09,10,FALSE),0)</f>
        <v>0</v>
      </c>
      <c r="X211" s="267">
        <f>IFERROR(VLOOKUP($A211,Supp_46,14,FALSE),0)+IFERROR(SUMPRODUCT(VLOOKUP($A211,S275_01,{29,30,31},FALSE)),0)+IFERROR(SUMPRODUCT(VLOOKUP($A211,S275_97,{29,30,31},FALSE)),0)+IFERROR(ROUND(VLOOKUP($A211,S275_21,29,FALSE)*VLOOKUP($A211,'3121% SY'!$C$3:$M$324,11,FALSE),3),0)+IFERROR(ROUND(VLOOKUP($A211,S275_21,30,FALSE)*VLOOKUP($A211,'3121% SY'!$C$3:$M$324,11,FALSE),3),0)+IFERROR(ROUND(VLOOKUP($A211,S275_21,31,FALSE)*VLOOKUP($A211,'3121% SY'!$C$3:$M$324,11,FALSE),3),0)+IFERROR(VLOOKUP($A211,S275_09,11,FALSE),0)</f>
        <v>0</v>
      </c>
      <c r="Y211" s="267">
        <f>IFERROR(VLOOKUP($A211,Supp_47,14,FALSE),0)+IFERROR(SUMPRODUCT(VLOOKUP($A211,S275_01,{32,33,34},FALSE)),0)+IFERROR(SUMPRODUCT(VLOOKUP($A211,S275_97,{32,33,34},FALSE)),0)+IFERROR(ROUND(VLOOKUP($A211,S275_21,32,FALSE)*VLOOKUP($A211,'3121% SY'!$C$3:$M$324,11,FALSE),3),0)+IFERROR(ROUND(VLOOKUP($A211,S275_21,33,FALSE)*VLOOKUP($A211,'3121% SY'!$C$3:$M$324,11,FALSE),3),0)+IFERROR(ROUND(VLOOKUP($A211,S275_21,34,FALSE)*VLOOKUP($A211,'3121% SY'!$C$3:$M$324,11,FALSE),3),0)+IFERROR(VLOOKUP($A211,S275_09,12,FALSE),0)</f>
        <v>0</v>
      </c>
      <c r="Z211" s="267">
        <f>IFERROR(VLOOKUP($A211,Supp_48,14,FALSE),0)+IFERROR(SUMPRODUCT(VLOOKUP($A211,S275_01,{35,36,37},FALSE)),0)+IFERROR(SUMPRODUCT(VLOOKUP($A211,S275_97,{35,36,37},FALSE)),0)+IFERROR(ROUND(VLOOKUP($A211,S275_21,35,FALSE)*VLOOKUP($A211,'3121% SY'!$C$3:$M$324,11,FALSE),3),0)+IFERROR(ROUND(VLOOKUP($A211,S275_21,36,FALSE)*VLOOKUP($A211,'3121% SY'!$C$3:$M$324,11,FALSE),3),0)+IFERROR(ROUND(VLOOKUP($A211,S275_21,37,FALSE)*VLOOKUP($A211,'3121% SY'!$C$3:$M$324,11,FALSE),3),0)+IFERROR(VLOOKUP($A211,S275_09,13,FALSE),0)</f>
        <v>0</v>
      </c>
      <c r="AA211" s="267">
        <f>IFERROR(VLOOKUP($A211,Supp_49,14,FALSE),0)+IFERROR(SUMPRODUCT(VLOOKUP($A211,S275_01,{38,39,40},FALSE)),0)+IFERROR(SUMPRODUCT(VLOOKUP($A211,S275_97,{38,39,40},FALSE)),0)+IFERROR(ROUND(VLOOKUP($A211,S275_21,38,FALSE)*VLOOKUP($A211,'3121% SY'!$C$3:$M$324,11,FALSE),3),0)+IFERROR(ROUND(VLOOKUP($A211,S275_21,39,FALSE)*VLOOKUP($A211,'3121% SY'!$C$3:$M$324,11,FALSE),3),0)+IFERROR(ROUND(VLOOKUP($A211,S275_21,40,FALSE)*VLOOKUP($A211,'3121% SY'!$C$3:$M$324,11,FALSE),3),0)+IFERROR(VLOOKUP($A211,S275_09,14,FALSE),0)</f>
        <v>0</v>
      </c>
      <c r="AB211" s="267">
        <f>IFERROR(VLOOKUP($A211,Supp_64,14,FALSE),0)+IFERROR(SUMPRODUCT(VLOOKUP($A211,S275_01,{41,42,43},FALSE)),0)+IFERROR(SUMPRODUCT(VLOOKUP($A211,S275_97,{41,42,43},FALSE)),0)+IFERROR(ROUND(VLOOKUP($A211,S275_21,41,FALSE)*VLOOKUP($A211,'3121% SY'!$C$3:$M$324,11,FALSE),3),0)+IFERROR(ROUND(VLOOKUP($A211,S275_21,42,FALSE)*VLOOKUP($A211,'3121% SY'!$C$3:$M$324,11,FALSE),3),0)+IFERROR(ROUND(VLOOKUP($A211,S275_21,43,FALSE)*VLOOKUP($A211,'3121% SY'!$C$3:$M$324,11,FALSE),3),0)+IFERROR(VLOOKUP($A211,S275_09,15,FALSE),0)</f>
        <v>0</v>
      </c>
      <c r="AC211" s="268">
        <f t="shared" si="47"/>
        <v>3.1949999999999998</v>
      </c>
      <c r="AD211" s="267">
        <f>IFERROR(VLOOKUP($A211,Supp_24,14,FALSE),0)+IFERROR(SUMPRODUCT(VLOOKUP($A211,S275_01,{2,3,4},FALSE)),0)+IFERROR(SUMPRODUCT(VLOOKUP($A211,S275_97,{2,3,4},FALSE)),0)+IFERROR(ROUND(VLOOKUP($A211,S275_21,2,FALSE)*VLOOKUP($A211,'3121% SY'!$C$3:$M$324,11,FALSE),3),0)+IFERROR(ROUND(VLOOKUP($A211,S275_21,3,FALSE)*VLOOKUP($A211,'3121% SY'!$C$3:$M$324,11,FALSE),3),0)+IFERROR(ROUND(VLOOKUP($A211,S275_21,4,FALSE)*VLOOKUP($A211,'3121% SY'!$C$3:$M$324,11,FALSE),3),0)+IFERROR(VLOOKUP($A211,S275_09,2,FALSE),0)</f>
        <v>1.282</v>
      </c>
      <c r="AE211" s="267">
        <f>IFERROR(VLOOKUP($A211,Supp_25,14,FALSE),0)+IFERROR(SUMPRODUCT(VLOOKUP($A211,S275_01,{5,6,7},FALSE)),0)+IFERROR(SUMPRODUCT(VLOOKUP($A211,S275_97,{5,6,7},FALSE)),0)+IFERROR(ROUND(VLOOKUP($A211,S275_21,5,FALSE)*VLOOKUP($A211,'3121% SY'!$C$3:$M$324,11,FALSE),3),0)+IFERROR(ROUND(VLOOKUP($A211,S275_21,6,FALSE)*VLOOKUP($A211,'3121% SY'!$C$3:$M$324,11,FALSE),3),0)+IFERROR(ROUND(VLOOKUP($A211,S275_21,7,FALSE)*VLOOKUP($A211,'3121% SY'!$C$3:$M$324,11,FALSE),3),0)+IFERROR(VLOOKUP($A211,S275_09,3,FALSE),0)</f>
        <v>2.625</v>
      </c>
      <c r="AF211" s="267">
        <f>IFERROR(VLOOKUP($A211,Supp_26,14,FALSE),0)+IFERROR(SUMPRODUCT(VLOOKUP($A211,S275_01,{8,9,10},FALSE)),0)+IFERROR(SUMPRODUCT(VLOOKUP($A211,S275_97,{8,9,10},FALSE)),0)+IFERROR(ROUND(VLOOKUP($A211,S275_21,8,FALSE)*VLOOKUP($A211,'3121% SY'!$C$3:$M$324,11,FALSE),3),0)+IFERROR(ROUND(VLOOKUP($A211,S275_21,9,FALSE)*VLOOKUP($A211,'3121% SY'!$C$3:$M$324,11,FALSE),3),0)+IFERROR(ROUND(VLOOKUP($A211,S275_21,10,FALSE)*VLOOKUP($A211,'3121% SY'!$C$3:$M$324,11,FALSE),3),0)+IFERROR(VLOOKUP($A211,S275_09,4,FALSE),0)</f>
        <v>1.34</v>
      </c>
      <c r="AG211" s="267">
        <f>IFERROR(VLOOKUP($A211,Supp_35,14,FALSE),0)+IFERROR(SUMPRODUCT(VLOOKUP($A211,S275_01,{11,12,13},FALSE)),0)+IFERROR(SUMPRODUCT(VLOOKUP($A211,S275_97,{11,12,13},FALSE)),0)+IFERROR(ROUND(VLOOKUP($A211,S275_21,11,FALSE)*VLOOKUP($A211,'3121% SY'!$C$3:$M$324,11,FALSE),3),0)+IFERROR(ROUND(VLOOKUP($A211,S275_21,12,FALSE)*VLOOKUP($A211,'3121% SY'!$C$3:$M$324,11,FALSE),3),0)+IFERROR(ROUND(VLOOKUP($A211,S275_21,13,FALSE)*VLOOKUP($A211,'3121% SY'!$C$3:$M$324,11,FALSE),3),0)+IFERROR(VLOOKUP($A211,S275_09,5,FALSE),0)</f>
        <v>0</v>
      </c>
      <c r="AH211" s="165">
        <f t="shared" si="48"/>
        <v>5.2469999999999999</v>
      </c>
      <c r="AI211" s="161">
        <f>IFERROR(VLOOKUP(A211,'Supp Staff Data'!A:ER,148,FALSE),0)+AB211</f>
        <v>0</v>
      </c>
      <c r="AJ211" s="174">
        <v>0.63639999999999997</v>
      </c>
      <c r="AK211" s="25">
        <f>VLOOKUP(A211,'Enroll Data as of January 2025'!$A$3:$T$323,20,FALSE)-F211</f>
        <v>0</v>
      </c>
    </row>
    <row r="212" spans="1:37" x14ac:dyDescent="0.25">
      <c r="A212" s="171" t="s">
        <v>615</v>
      </c>
      <c r="B212" t="s">
        <v>1239</v>
      </c>
      <c r="C212" s="173" t="s">
        <v>1077</v>
      </c>
      <c r="D212" s="259">
        <f t="shared" si="40"/>
        <v>4.694</v>
      </c>
      <c r="E212" s="259">
        <f t="shared" si="41"/>
        <v>3.8570000000000002</v>
      </c>
      <c r="F212" s="262">
        <f t="shared" si="42"/>
        <v>-0.83699999999999997</v>
      </c>
      <c r="G212" s="161">
        <f>ROUND(IF(F212&lt;0,F212*'2024-25 PSES Compliance'!$G$13,0),3)</f>
        <v>-0.80400000000000005</v>
      </c>
      <c r="H212" s="161">
        <f>ROUND(IF(F212&lt;0,F212*'2024-25 PSES Compliance'!$G$14,0),3)</f>
        <v>-3.3000000000000002E-2</v>
      </c>
      <c r="I212" s="174">
        <f t="shared" si="43"/>
        <v>0</v>
      </c>
      <c r="J212" s="174">
        <f t="shared" si="44"/>
        <v>0</v>
      </c>
      <c r="K212" s="161">
        <f>VLOOKUP($A212,'Enroll Data as of January 2025'!$A$3:$M$322,6,FALSE)</f>
        <v>2.4380000000000002</v>
      </c>
      <c r="L212" s="161">
        <f>VLOOKUP($A212,'Enroll Data as of January 2025'!$A$3:$M$322,7,FALSE)</f>
        <v>0.51600000000000001</v>
      </c>
      <c r="M212" s="161">
        <f>VLOOKUP($A212,'Enroll Data as of January 2025'!$A$3:$M$322,8,FALSE)</f>
        <v>0.17100000000000001</v>
      </c>
      <c r="N212" s="161">
        <f>VLOOKUP($A212,'Enroll Data as of January 2025'!$A$3:$M$322,9,FALSE)</f>
        <v>1.276</v>
      </c>
      <c r="O212" s="165">
        <f t="shared" si="45"/>
        <v>4.4009999999999998</v>
      </c>
      <c r="P212" s="161">
        <f>VLOOKUP($A212,'Enroll Data as of January 2025'!$A$3:$M$322,11,FALSE)</f>
        <v>0.16799999999999998</v>
      </c>
      <c r="Q212" s="161">
        <f>VLOOKUP($A212,'Enroll Data as of January 2025'!$A$3:$M$322,12,FALSE)</f>
        <v>0.125</v>
      </c>
      <c r="R212" s="165">
        <f t="shared" si="46"/>
        <v>0.29299999999999998</v>
      </c>
      <c r="S212" s="267">
        <f>IFERROR(VLOOKUP($A212,Supp_39,14,FALSE),0)+IFERROR(SUMPRODUCT(VLOOKUP($A212,S275_01,{14,15,16},FALSE)),0)+IFERROR(SUMPRODUCT(VLOOKUP($A212,S275_97,{14,15,16},FALSE)),0)+IFERROR(ROUND(VLOOKUP($A212,S275_21,14,FALSE)*VLOOKUP($A212,'3121% SY'!$C$3:$M$324,11,FALSE),3),0)+IFERROR(ROUND(VLOOKUP($A212,S275_21,15,FALSE)*VLOOKUP($A212,'3121% SY'!$C$3:$M$324,11,FALSE),3),0)+IFERROR(ROUND(VLOOKUP($A212,S275_21,16,FALSE)*VLOOKUP($A212,'3121% SY'!$C$3:$M$324,11,FALSE),3),0)+IFERROR(VLOOKUP($A212,S275_09,6,FALSE),0)</f>
        <v>2</v>
      </c>
      <c r="T212" s="267">
        <f>IFERROR(VLOOKUP($A212,Supp_42,14,FALSE),0)+IFERROR(SUMPRODUCT(VLOOKUP($A212,S275_01,{17,18,19},FALSE)),0)+IFERROR(SUMPRODUCT(VLOOKUP($A212,S275_97,{17,18,19},FALSE)),0)+IFERROR(ROUND(VLOOKUP($A212,S275_21,17,FALSE)*VLOOKUP($A212,'3121% SY'!$C$3:$M$324,11,FALSE),3),0)+IFERROR(ROUND(VLOOKUP($A212,S275_21,18,FALSE)*VLOOKUP($A212,'3121% SY'!$C$3:$M$324,11,FALSE),3),0)+IFERROR(ROUND(VLOOKUP($A212,S275_21,19,FALSE)*VLOOKUP($A212,'3121% SY'!$C$3:$M$324,11,FALSE),3),0)+IFERROR(VLOOKUP($A212,S275_09,7,FALSE),0)</f>
        <v>1</v>
      </c>
      <c r="U212" s="267">
        <f>IFERROR(VLOOKUP($A212,Supp_43,14,FALSE),0)+IFERROR(SUMPRODUCT(VLOOKUP($A212,S275_01,{20,21,22},FALSE)),0)+IFERROR(SUMPRODUCT(VLOOKUP($A212,S275_97,{20,21,22},FALSE)),0)+IFERROR(ROUND(VLOOKUP($A212,S275_21,20,FALSE)*VLOOKUP($A212,'3121% SY'!$C$3:$M$324,11,FALSE),3),0)+IFERROR(ROUND(VLOOKUP($A212,S275_21,21,FALSE)*VLOOKUP($A212,'3121% SY'!$C$3:$M$324,11,FALSE),3),0)+IFERROR(ROUND(VLOOKUP($A212,S275_21,22,FALSE)*VLOOKUP($A212,'3121% SY'!$C$3:$M$324,11,FALSE),3),0)+IFERROR(VLOOKUP($A212,S275_09,8,FALSE),0)</f>
        <v>0</v>
      </c>
      <c r="V212" s="267">
        <f>IFERROR(VLOOKUP($A212,Supp_44,14,FALSE),0)+IFERROR(SUMPRODUCT(VLOOKUP($A212,S275_01,{23,24,25},FALSE)),0)+IFERROR(SUMPRODUCT(VLOOKUP($A212,S275_97,{23,24,25},FALSE)),0)+IFERROR(ROUND(VLOOKUP($A212,S275_21,23,FALSE)*VLOOKUP($A212,'3121% SY'!$C$3:$M$324,11,FALSE),3),0)+IFERROR(ROUND(VLOOKUP($A212,S275_21,24,FALSE)*VLOOKUP($A212,'3121% SY'!$C$3:$M$324,11,FALSE),3),0)+IFERROR(ROUND(VLOOKUP($A212,S275_21,25,FALSE)*VLOOKUP($A212,'3121% SY'!$C$3:$M$324,11,FALSE),3),0)+IFERROR(VLOOKUP($A212,S275_09,9,FALSE),0)</f>
        <v>0</v>
      </c>
      <c r="W212" s="267">
        <f>IFERROR(VLOOKUP($A212,Supp_45,14,FALSE),0)+IFERROR(SUMPRODUCT(VLOOKUP($A212,S275_01,{26,27,28},FALSE)),0)+IFERROR(SUMPRODUCT(VLOOKUP($A212,S275_97,{26,27,28},FALSE)),0)+IFERROR(ROUND(VLOOKUP($A212,S275_21,26,FALSE)*VLOOKUP($A212,'3121% SY'!$C$3:$M$324,11,FALSE),3),0)+IFERROR(ROUND(VLOOKUP($A212,S275_21,27,FALSE)*VLOOKUP($A212,'3121% SY'!$C$3:$M$324,11,FALSE),3),0)+IFERROR(ROUND(VLOOKUP($A212,S275_21,28,FALSE)*VLOOKUP($A212,'3121% SY'!$C$3:$M$324,11,FALSE),3),0)+IFERROR(VLOOKUP($A212,S275_09,10,FALSE),0)</f>
        <v>9.5000000000000001E-2</v>
      </c>
      <c r="X212" s="267">
        <f>IFERROR(VLOOKUP($A212,Supp_46,14,FALSE),0)+IFERROR(SUMPRODUCT(VLOOKUP($A212,S275_01,{29,30,31},FALSE)),0)+IFERROR(SUMPRODUCT(VLOOKUP($A212,S275_97,{29,30,31},FALSE)),0)+IFERROR(ROUND(VLOOKUP($A212,S275_21,29,FALSE)*VLOOKUP($A212,'3121% SY'!$C$3:$M$324,11,FALSE),3),0)+IFERROR(ROUND(VLOOKUP($A212,S275_21,30,FALSE)*VLOOKUP($A212,'3121% SY'!$C$3:$M$324,11,FALSE),3),0)+IFERROR(ROUND(VLOOKUP($A212,S275_21,31,FALSE)*VLOOKUP($A212,'3121% SY'!$C$3:$M$324,11,FALSE),3),0)+IFERROR(VLOOKUP($A212,S275_09,11,FALSE),0)</f>
        <v>0</v>
      </c>
      <c r="Y212" s="267">
        <f>IFERROR(VLOOKUP($A212,Supp_47,14,FALSE),0)+IFERROR(SUMPRODUCT(VLOOKUP($A212,S275_01,{32,33,34},FALSE)),0)+IFERROR(SUMPRODUCT(VLOOKUP($A212,S275_97,{32,33,34},FALSE)),0)+IFERROR(ROUND(VLOOKUP($A212,S275_21,32,FALSE)*VLOOKUP($A212,'3121% SY'!$C$3:$M$324,11,FALSE),3),0)+IFERROR(ROUND(VLOOKUP($A212,S275_21,33,FALSE)*VLOOKUP($A212,'3121% SY'!$C$3:$M$324,11,FALSE),3),0)+IFERROR(ROUND(VLOOKUP($A212,S275_21,34,FALSE)*VLOOKUP($A212,'3121% SY'!$C$3:$M$324,11,FALSE),3),0)+IFERROR(VLOOKUP($A212,S275_09,12,FALSE),0)</f>
        <v>0</v>
      </c>
      <c r="Z212" s="267">
        <f>IFERROR(VLOOKUP($A212,Supp_48,14,FALSE),0)+IFERROR(SUMPRODUCT(VLOOKUP($A212,S275_01,{35,36,37},FALSE)),0)+IFERROR(SUMPRODUCT(VLOOKUP($A212,S275_97,{35,36,37},FALSE)),0)+IFERROR(ROUND(VLOOKUP($A212,S275_21,35,FALSE)*VLOOKUP($A212,'3121% SY'!$C$3:$M$324,11,FALSE),3),0)+IFERROR(ROUND(VLOOKUP($A212,S275_21,36,FALSE)*VLOOKUP($A212,'3121% SY'!$C$3:$M$324,11,FALSE),3),0)+IFERROR(ROUND(VLOOKUP($A212,S275_21,37,FALSE)*VLOOKUP($A212,'3121% SY'!$C$3:$M$324,11,FALSE),3),0)+IFERROR(VLOOKUP($A212,S275_09,13,FALSE),0)</f>
        <v>0</v>
      </c>
      <c r="AA212" s="267">
        <f>IFERROR(VLOOKUP($A212,Supp_49,14,FALSE),0)+IFERROR(SUMPRODUCT(VLOOKUP($A212,S275_01,{38,39,40},FALSE)),0)+IFERROR(SUMPRODUCT(VLOOKUP($A212,S275_97,{38,39,40},FALSE)),0)+IFERROR(ROUND(VLOOKUP($A212,S275_21,38,FALSE)*VLOOKUP($A212,'3121% SY'!$C$3:$M$324,11,FALSE),3),0)+IFERROR(ROUND(VLOOKUP($A212,S275_21,39,FALSE)*VLOOKUP($A212,'3121% SY'!$C$3:$M$324,11,FALSE),3),0)+IFERROR(ROUND(VLOOKUP($A212,S275_21,40,FALSE)*VLOOKUP($A212,'3121% SY'!$C$3:$M$324,11,FALSE),3),0)+IFERROR(VLOOKUP($A212,S275_09,14,FALSE),0)</f>
        <v>0</v>
      </c>
      <c r="AB212" s="267">
        <f>IFERROR(VLOOKUP($A212,Supp_64,14,FALSE),0)+IFERROR(SUMPRODUCT(VLOOKUP($A212,S275_01,{41,42,43},FALSE)),0)+IFERROR(SUMPRODUCT(VLOOKUP($A212,S275_97,{41,42,43},FALSE)),0)+IFERROR(ROUND(VLOOKUP($A212,S275_21,41,FALSE)*VLOOKUP($A212,'3121% SY'!$C$3:$M$324,11,FALSE),3),0)+IFERROR(ROUND(VLOOKUP($A212,S275_21,42,FALSE)*VLOOKUP($A212,'3121% SY'!$C$3:$M$324,11,FALSE),3),0)+IFERROR(ROUND(VLOOKUP($A212,S275_21,43,FALSE)*VLOOKUP($A212,'3121% SY'!$C$3:$M$324,11,FALSE),3),0)+IFERROR(VLOOKUP($A212,S275_09,15,FALSE),0)</f>
        <v>0</v>
      </c>
      <c r="AC212" s="268">
        <f t="shared" si="47"/>
        <v>3.0950000000000002</v>
      </c>
      <c r="AD212" s="267">
        <f>IFERROR(VLOOKUP($A212,Supp_24,14,FALSE),0)+IFERROR(SUMPRODUCT(VLOOKUP($A212,S275_01,{2,3,4},FALSE)),0)+IFERROR(SUMPRODUCT(VLOOKUP($A212,S275_97,{2,3,4},FALSE)),0)+IFERROR(ROUND(VLOOKUP($A212,S275_21,2,FALSE)*VLOOKUP($A212,'3121% SY'!$C$3:$M$324,11,FALSE),3),0)+IFERROR(ROUND(VLOOKUP($A212,S275_21,3,FALSE)*VLOOKUP($A212,'3121% SY'!$C$3:$M$324,11,FALSE),3),0)+IFERROR(ROUND(VLOOKUP($A212,S275_21,4,FALSE)*VLOOKUP($A212,'3121% SY'!$C$3:$M$324,11,FALSE),3),0)+IFERROR(VLOOKUP($A212,S275_09,2,FALSE),0)</f>
        <v>0</v>
      </c>
      <c r="AE212" s="267">
        <f>IFERROR(VLOOKUP($A212,Supp_25,14,FALSE),0)+IFERROR(SUMPRODUCT(VLOOKUP($A212,S275_01,{5,6,7},FALSE)),0)+IFERROR(SUMPRODUCT(VLOOKUP($A212,S275_97,{5,6,7},FALSE)),0)+IFERROR(ROUND(VLOOKUP($A212,S275_21,5,FALSE)*VLOOKUP($A212,'3121% SY'!$C$3:$M$324,11,FALSE),3),0)+IFERROR(ROUND(VLOOKUP($A212,S275_21,6,FALSE)*VLOOKUP($A212,'3121% SY'!$C$3:$M$324,11,FALSE),3),0)+IFERROR(ROUND(VLOOKUP($A212,S275_21,7,FALSE)*VLOOKUP($A212,'3121% SY'!$C$3:$M$324,11,FALSE),3),0)+IFERROR(VLOOKUP($A212,S275_09,3,FALSE),0)</f>
        <v>0</v>
      </c>
      <c r="AF212" s="267">
        <f>IFERROR(VLOOKUP($A212,Supp_26,14,FALSE),0)+IFERROR(SUMPRODUCT(VLOOKUP($A212,S275_01,{8,9,10},FALSE)),0)+IFERROR(SUMPRODUCT(VLOOKUP($A212,S275_97,{8,9,10},FALSE)),0)+IFERROR(ROUND(VLOOKUP($A212,S275_21,8,FALSE)*VLOOKUP($A212,'3121% SY'!$C$3:$M$324,11,FALSE),3),0)+IFERROR(ROUND(VLOOKUP($A212,S275_21,9,FALSE)*VLOOKUP($A212,'3121% SY'!$C$3:$M$324,11,FALSE),3),0)+IFERROR(ROUND(VLOOKUP($A212,S275_21,10,FALSE)*VLOOKUP($A212,'3121% SY'!$C$3:$M$324,11,FALSE),3),0)+IFERROR(VLOOKUP($A212,S275_09,4,FALSE),0)</f>
        <v>0.76200000000000001</v>
      </c>
      <c r="AG212" s="267">
        <f>IFERROR(VLOOKUP($A212,Supp_35,14,FALSE),0)+IFERROR(SUMPRODUCT(VLOOKUP($A212,S275_01,{11,12,13},FALSE)),0)+IFERROR(SUMPRODUCT(VLOOKUP($A212,S275_97,{11,12,13},FALSE)),0)+IFERROR(ROUND(VLOOKUP($A212,S275_21,11,FALSE)*VLOOKUP($A212,'3121% SY'!$C$3:$M$324,11,FALSE),3),0)+IFERROR(ROUND(VLOOKUP($A212,S275_21,12,FALSE)*VLOOKUP($A212,'3121% SY'!$C$3:$M$324,11,FALSE),3),0)+IFERROR(ROUND(VLOOKUP($A212,S275_21,13,FALSE)*VLOOKUP($A212,'3121% SY'!$C$3:$M$324,11,FALSE),3),0)+IFERROR(VLOOKUP($A212,S275_09,5,FALSE),0)</f>
        <v>0</v>
      </c>
      <c r="AH212" s="165">
        <f t="shared" si="48"/>
        <v>0.76200000000000001</v>
      </c>
      <c r="AI212" s="161">
        <f>IFERROR(VLOOKUP(A212,'Supp Staff Data'!A:ER,148,FALSE),0)+AB212</f>
        <v>0</v>
      </c>
      <c r="AJ212" s="174">
        <v>0</v>
      </c>
      <c r="AK212" s="25">
        <f>VLOOKUP(A212,'Enroll Data as of January 2025'!$A$3:$T$323,20,FALSE)-F212</f>
        <v>0</v>
      </c>
    </row>
    <row r="213" spans="1:37" x14ac:dyDescent="0.25">
      <c r="A213" s="171" t="s">
        <v>301</v>
      </c>
      <c r="B213" t="s">
        <v>597</v>
      </c>
      <c r="C213" s="173" t="s">
        <v>1077</v>
      </c>
      <c r="D213" s="259">
        <f t="shared" si="40"/>
        <v>16.202999999999999</v>
      </c>
      <c r="E213" s="259">
        <f t="shared" si="41"/>
        <v>21.956</v>
      </c>
      <c r="F213" s="262">
        <f t="shared" si="42"/>
        <v>5.7530000000000001</v>
      </c>
      <c r="G213" s="161">
        <f>ROUND(IF(F213&lt;0,F213*'2024-25 PSES Compliance'!$G$13,0),3)</f>
        <v>0</v>
      </c>
      <c r="H213" s="161">
        <f>ROUND(IF(F213&lt;0,F213*'2024-25 PSES Compliance'!$G$14,0),3)</f>
        <v>0</v>
      </c>
      <c r="I213" s="174">
        <f t="shared" si="43"/>
        <v>0.49537229458917842</v>
      </c>
      <c r="J213" s="174">
        <f t="shared" si="44"/>
        <v>0</v>
      </c>
      <c r="K213" s="161">
        <f>VLOOKUP($A213,'Enroll Data as of January 2025'!$A$3:$M$322,6,FALSE)</f>
        <v>9.0370000000000008</v>
      </c>
      <c r="L213" s="161">
        <f>VLOOKUP($A213,'Enroll Data as of January 2025'!$A$3:$M$322,7,FALSE)</f>
        <v>1.5390000000000001</v>
      </c>
      <c r="M213" s="161">
        <f>VLOOKUP($A213,'Enroll Data as of January 2025'!$A$3:$M$322,8,FALSE)</f>
        <v>0.51600000000000001</v>
      </c>
      <c r="N213" s="161">
        <f>VLOOKUP($A213,'Enroll Data as of January 2025'!$A$3:$M$322,9,FALSE)</f>
        <v>4.1890000000000001</v>
      </c>
      <c r="O213" s="165">
        <f t="shared" si="45"/>
        <v>15.281000000000001</v>
      </c>
      <c r="P213" s="161">
        <f>VLOOKUP($A213,'Enroll Data as of January 2025'!$A$3:$M$322,11,FALSE)</f>
        <v>0.57100000000000006</v>
      </c>
      <c r="Q213" s="161">
        <f>VLOOKUP($A213,'Enroll Data as of January 2025'!$A$3:$M$322,12,FALSE)</f>
        <v>0.35099999999999998</v>
      </c>
      <c r="R213" s="165">
        <f t="shared" si="46"/>
        <v>0.92200000000000004</v>
      </c>
      <c r="S213" s="267">
        <f>IFERROR(VLOOKUP($A213,Supp_39,14,FALSE),0)+IFERROR(SUMPRODUCT(VLOOKUP($A213,S275_01,{14,15,16},FALSE)),0)+IFERROR(SUMPRODUCT(VLOOKUP($A213,S275_97,{14,15,16},FALSE)),0)+IFERROR(ROUND(VLOOKUP($A213,S275_21,14,FALSE)*VLOOKUP($A213,'3121% SY'!$C$3:$M$324,11,FALSE),3),0)+IFERROR(ROUND(VLOOKUP($A213,S275_21,15,FALSE)*VLOOKUP($A213,'3121% SY'!$C$3:$M$324,11,FALSE),3),0)+IFERROR(ROUND(VLOOKUP($A213,S275_21,16,FALSE)*VLOOKUP($A213,'3121% SY'!$C$3:$M$324,11,FALSE),3),0)+IFERROR(VLOOKUP($A213,S275_09,6,FALSE),0)</f>
        <v>6.9450000000000003</v>
      </c>
      <c r="T213" s="267">
        <f>IFERROR(VLOOKUP($A213,Supp_42,14,FALSE),0)+IFERROR(SUMPRODUCT(VLOOKUP($A213,S275_01,{17,18,19},FALSE)),0)+IFERROR(SUMPRODUCT(VLOOKUP($A213,S275_97,{17,18,19},FALSE)),0)+IFERROR(ROUND(VLOOKUP($A213,S275_21,17,FALSE)*VLOOKUP($A213,'3121% SY'!$C$3:$M$324,11,FALSE),3),0)+IFERROR(ROUND(VLOOKUP($A213,S275_21,18,FALSE)*VLOOKUP($A213,'3121% SY'!$C$3:$M$324,11,FALSE),3),0)+IFERROR(ROUND(VLOOKUP($A213,S275_21,19,FALSE)*VLOOKUP($A213,'3121% SY'!$C$3:$M$324,11,FALSE),3),0)+IFERROR(VLOOKUP($A213,S275_09,7,FALSE),0)</f>
        <v>2.5550000000000002</v>
      </c>
      <c r="U213" s="267">
        <f>IFERROR(VLOOKUP($A213,Supp_43,14,FALSE),0)+IFERROR(SUMPRODUCT(VLOOKUP($A213,S275_01,{20,21,22},FALSE)),0)+IFERROR(SUMPRODUCT(VLOOKUP($A213,S275_97,{20,21,22},FALSE)),0)+IFERROR(ROUND(VLOOKUP($A213,S275_21,20,FALSE)*VLOOKUP($A213,'3121% SY'!$C$3:$M$324,11,FALSE),3),0)+IFERROR(ROUND(VLOOKUP($A213,S275_21,21,FALSE)*VLOOKUP($A213,'3121% SY'!$C$3:$M$324,11,FALSE),3),0)+IFERROR(ROUND(VLOOKUP($A213,S275_21,22,FALSE)*VLOOKUP($A213,'3121% SY'!$C$3:$M$324,11,FALSE),3),0)+IFERROR(VLOOKUP($A213,S275_09,8,FALSE),0)</f>
        <v>0</v>
      </c>
      <c r="V213" s="267">
        <f>IFERROR(VLOOKUP($A213,Supp_44,14,FALSE),0)+IFERROR(SUMPRODUCT(VLOOKUP($A213,S275_01,{23,24,25},FALSE)),0)+IFERROR(SUMPRODUCT(VLOOKUP($A213,S275_97,{23,24,25},FALSE)),0)+IFERROR(ROUND(VLOOKUP($A213,S275_21,23,FALSE)*VLOOKUP($A213,'3121% SY'!$C$3:$M$324,11,FALSE),3),0)+IFERROR(ROUND(VLOOKUP($A213,S275_21,24,FALSE)*VLOOKUP($A213,'3121% SY'!$C$3:$M$324,11,FALSE),3),0)+IFERROR(ROUND(VLOOKUP($A213,S275_21,25,FALSE)*VLOOKUP($A213,'3121% SY'!$C$3:$M$324,11,FALSE),3),0)+IFERROR(VLOOKUP($A213,S275_09,9,FALSE),0)</f>
        <v>0</v>
      </c>
      <c r="W213" s="267">
        <f>IFERROR(VLOOKUP($A213,Supp_45,14,FALSE),0)+IFERROR(SUMPRODUCT(VLOOKUP($A213,S275_01,{26,27,28},FALSE)),0)+IFERROR(SUMPRODUCT(VLOOKUP($A213,S275_97,{26,27,28},FALSE)),0)+IFERROR(ROUND(VLOOKUP($A213,S275_21,26,FALSE)*VLOOKUP($A213,'3121% SY'!$C$3:$M$324,11,FALSE),3),0)+IFERROR(ROUND(VLOOKUP($A213,S275_21,27,FALSE)*VLOOKUP($A213,'3121% SY'!$C$3:$M$324,11,FALSE),3),0)+IFERROR(ROUND(VLOOKUP($A213,S275_21,28,FALSE)*VLOOKUP($A213,'3121% SY'!$C$3:$M$324,11,FALSE),3),0)+IFERROR(VLOOKUP($A213,S275_09,10,FALSE),0)</f>
        <v>0.38800000000000001</v>
      </c>
      <c r="X213" s="267">
        <f>IFERROR(VLOOKUP($A213,Supp_46,14,FALSE),0)+IFERROR(SUMPRODUCT(VLOOKUP($A213,S275_01,{29,30,31},FALSE)),0)+IFERROR(SUMPRODUCT(VLOOKUP($A213,S275_97,{29,30,31},FALSE)),0)+IFERROR(ROUND(VLOOKUP($A213,S275_21,29,FALSE)*VLOOKUP($A213,'3121% SY'!$C$3:$M$324,11,FALSE),3),0)+IFERROR(ROUND(VLOOKUP($A213,S275_21,30,FALSE)*VLOOKUP($A213,'3121% SY'!$C$3:$M$324,11,FALSE),3),0)+IFERROR(ROUND(VLOOKUP($A213,S275_21,31,FALSE)*VLOOKUP($A213,'3121% SY'!$C$3:$M$324,11,FALSE),3),0)+IFERROR(VLOOKUP($A213,S275_09,11,FALSE),0)</f>
        <v>1.135</v>
      </c>
      <c r="Y213" s="267">
        <f>IFERROR(VLOOKUP($A213,Supp_47,14,FALSE),0)+IFERROR(SUMPRODUCT(VLOOKUP($A213,S275_01,{32,33,34},FALSE)),0)+IFERROR(SUMPRODUCT(VLOOKUP($A213,S275_97,{32,33,34},FALSE)),0)+IFERROR(ROUND(VLOOKUP($A213,S275_21,32,FALSE)*VLOOKUP($A213,'3121% SY'!$C$3:$M$324,11,FALSE),3),0)+IFERROR(ROUND(VLOOKUP($A213,S275_21,33,FALSE)*VLOOKUP($A213,'3121% SY'!$C$3:$M$324,11,FALSE),3),0)+IFERROR(ROUND(VLOOKUP($A213,S275_21,34,FALSE)*VLOOKUP($A213,'3121% SY'!$C$3:$M$324,11,FALSE),3),0)+IFERROR(VLOOKUP($A213,S275_09,12,FALSE),0)</f>
        <v>0</v>
      </c>
      <c r="Z213" s="267">
        <f>IFERROR(VLOOKUP($A213,Supp_48,14,FALSE),0)+IFERROR(SUMPRODUCT(VLOOKUP($A213,S275_01,{35,36,37},FALSE)),0)+IFERROR(SUMPRODUCT(VLOOKUP($A213,S275_97,{35,36,37},FALSE)),0)+IFERROR(ROUND(VLOOKUP($A213,S275_21,35,FALSE)*VLOOKUP($A213,'3121% SY'!$C$3:$M$324,11,FALSE),3),0)+IFERROR(ROUND(VLOOKUP($A213,S275_21,36,FALSE)*VLOOKUP($A213,'3121% SY'!$C$3:$M$324,11,FALSE),3),0)+IFERROR(ROUND(VLOOKUP($A213,S275_21,37,FALSE)*VLOOKUP($A213,'3121% SY'!$C$3:$M$324,11,FALSE),3),0)+IFERROR(VLOOKUP($A213,S275_09,13,FALSE),0)</f>
        <v>0</v>
      </c>
      <c r="AA213" s="267">
        <f>IFERROR(VLOOKUP($A213,Supp_49,14,FALSE),0)+IFERROR(SUMPRODUCT(VLOOKUP($A213,S275_01,{38,39,40},FALSE)),0)+IFERROR(SUMPRODUCT(VLOOKUP($A213,S275_97,{38,39,40},FALSE)),0)+IFERROR(ROUND(VLOOKUP($A213,S275_21,38,FALSE)*VLOOKUP($A213,'3121% SY'!$C$3:$M$324,11,FALSE),3),0)+IFERROR(ROUND(VLOOKUP($A213,S275_21,39,FALSE)*VLOOKUP($A213,'3121% SY'!$C$3:$M$324,11,FALSE),3),0)+IFERROR(ROUND(VLOOKUP($A213,S275_21,40,FALSE)*VLOOKUP($A213,'3121% SY'!$C$3:$M$324,11,FALSE),3),0)+IFERROR(VLOOKUP($A213,S275_09,14,FALSE),0)</f>
        <v>0</v>
      </c>
      <c r="AB213" s="267">
        <f>IFERROR(VLOOKUP($A213,Supp_64,14,FALSE),0)+IFERROR(SUMPRODUCT(VLOOKUP($A213,S275_01,{41,42,43},FALSE)),0)+IFERROR(SUMPRODUCT(VLOOKUP($A213,S275_97,{41,42,43},FALSE)),0)+IFERROR(ROUND(VLOOKUP($A213,S275_21,41,FALSE)*VLOOKUP($A213,'3121% SY'!$C$3:$M$324,11,FALSE),3),0)+IFERROR(ROUND(VLOOKUP($A213,S275_21,42,FALSE)*VLOOKUP($A213,'3121% SY'!$C$3:$M$324,11,FALSE),3),0)+IFERROR(ROUND(VLOOKUP($A213,S275_21,43,FALSE)*VLOOKUP($A213,'3121% SY'!$C$3:$M$324,11,FALSE),3),0)+IFERROR(VLOOKUP($A213,S275_09,15,FALSE),0)</f>
        <v>0</v>
      </c>
      <c r="AC213" s="268">
        <f t="shared" si="47"/>
        <v>11.023</v>
      </c>
      <c r="AD213" s="267">
        <f>IFERROR(VLOOKUP($A213,Supp_24,14,FALSE),0)+IFERROR(SUMPRODUCT(VLOOKUP($A213,S275_01,{2,3,4},FALSE)),0)+IFERROR(SUMPRODUCT(VLOOKUP($A213,S275_97,{2,3,4},FALSE)),0)+IFERROR(ROUND(VLOOKUP($A213,S275_21,2,FALSE)*VLOOKUP($A213,'3121% SY'!$C$3:$M$324,11,FALSE),3),0)+IFERROR(ROUND(VLOOKUP($A213,S275_21,3,FALSE)*VLOOKUP($A213,'3121% SY'!$C$3:$M$324,11,FALSE),3),0)+IFERROR(ROUND(VLOOKUP($A213,S275_21,4,FALSE)*VLOOKUP($A213,'3121% SY'!$C$3:$M$324,11,FALSE),3),0)+IFERROR(VLOOKUP($A213,S275_09,2,FALSE),0)</f>
        <v>3.1749999999999998</v>
      </c>
      <c r="AE213" s="267">
        <f>IFERROR(VLOOKUP($A213,Supp_25,14,FALSE),0)+IFERROR(SUMPRODUCT(VLOOKUP($A213,S275_01,{5,6,7},FALSE)),0)+IFERROR(SUMPRODUCT(VLOOKUP($A213,S275_97,{5,6,7},FALSE)),0)+IFERROR(ROUND(VLOOKUP($A213,S275_21,5,FALSE)*VLOOKUP($A213,'3121% SY'!$C$3:$M$324,11,FALSE),3),0)+IFERROR(ROUND(VLOOKUP($A213,S275_21,6,FALSE)*VLOOKUP($A213,'3121% SY'!$C$3:$M$324,11,FALSE),3),0)+IFERROR(ROUND(VLOOKUP($A213,S275_21,7,FALSE)*VLOOKUP($A213,'3121% SY'!$C$3:$M$324,11,FALSE),3),0)+IFERROR(VLOOKUP($A213,S275_09,3,FALSE),0)</f>
        <v>4.1820000000000004</v>
      </c>
      <c r="AF213" s="267">
        <f>IFERROR(VLOOKUP($A213,Supp_26,14,FALSE),0)+IFERROR(SUMPRODUCT(VLOOKUP($A213,S275_01,{8,9,10},FALSE)),0)+IFERROR(SUMPRODUCT(VLOOKUP($A213,S275_97,{8,9,10},FALSE)),0)+IFERROR(ROUND(VLOOKUP($A213,S275_21,8,FALSE)*VLOOKUP($A213,'3121% SY'!$C$3:$M$324,11,FALSE),3),0)+IFERROR(ROUND(VLOOKUP($A213,S275_21,9,FALSE)*VLOOKUP($A213,'3121% SY'!$C$3:$M$324,11,FALSE),3),0)+IFERROR(ROUND(VLOOKUP($A213,S275_21,10,FALSE)*VLOOKUP($A213,'3121% SY'!$C$3:$M$324,11,FALSE),3),0)+IFERROR(VLOOKUP($A213,S275_09,4,FALSE),0)</f>
        <v>3.5760000000000001</v>
      </c>
      <c r="AG213" s="267">
        <f>IFERROR(VLOOKUP($A213,Supp_35,14,FALSE),0)+IFERROR(SUMPRODUCT(VLOOKUP($A213,S275_01,{11,12,13},FALSE)),0)+IFERROR(SUMPRODUCT(VLOOKUP($A213,S275_97,{11,12,13},FALSE)),0)+IFERROR(ROUND(VLOOKUP($A213,S275_21,11,FALSE)*VLOOKUP($A213,'3121% SY'!$C$3:$M$324,11,FALSE),3),0)+IFERROR(ROUND(VLOOKUP($A213,S275_21,12,FALSE)*VLOOKUP($A213,'3121% SY'!$C$3:$M$324,11,FALSE),3),0)+IFERROR(ROUND(VLOOKUP($A213,S275_21,13,FALSE)*VLOOKUP($A213,'3121% SY'!$C$3:$M$324,11,FALSE),3),0)+IFERROR(VLOOKUP($A213,S275_09,5,FALSE),0)</f>
        <v>0</v>
      </c>
      <c r="AH213" s="165">
        <f t="shared" si="48"/>
        <v>10.933</v>
      </c>
      <c r="AI213" s="161">
        <f>IFERROR(VLOOKUP(A213,'Supp Staff Data'!A:ER,148,FALSE),0)+AB213</f>
        <v>0</v>
      </c>
      <c r="AJ213" s="174">
        <v>0.98670000000000002</v>
      </c>
      <c r="AK213" s="25">
        <f>VLOOKUP(A213,'Enroll Data as of January 2025'!$A$3:$T$323,20,FALSE)-F213</f>
        <v>0</v>
      </c>
    </row>
    <row r="214" spans="1:37" x14ac:dyDescent="0.25">
      <c r="A214" s="171" t="s">
        <v>263</v>
      </c>
      <c r="B214" t="s">
        <v>559</v>
      </c>
      <c r="C214" s="173" t="s">
        <v>1077</v>
      </c>
      <c r="D214" s="259">
        <f t="shared" si="40"/>
        <v>7.4959999999999996</v>
      </c>
      <c r="E214" s="259">
        <f t="shared" si="41"/>
        <v>9.6159999999999997</v>
      </c>
      <c r="F214" s="262">
        <f t="shared" si="42"/>
        <v>2.12</v>
      </c>
      <c r="G214" s="161">
        <f>ROUND(IF(F214&lt;0,F214*'2024-25 PSES Compliance'!$G$13,0),3)</f>
        <v>0</v>
      </c>
      <c r="H214" s="161">
        <f>ROUND(IF(F214&lt;0,F214*'2024-25 PSES Compliance'!$G$14,0),3)</f>
        <v>0</v>
      </c>
      <c r="I214" s="174">
        <f t="shared" si="43"/>
        <v>0.56198003327787027</v>
      </c>
      <c r="J214" s="174">
        <f t="shared" si="44"/>
        <v>0</v>
      </c>
      <c r="K214" s="161">
        <f>VLOOKUP($A214,'Enroll Data as of January 2025'!$A$3:$M$322,6,FALSE)</f>
        <v>4.1899999999999995</v>
      </c>
      <c r="L214" s="161">
        <f>VLOOKUP($A214,'Enroll Data as of January 2025'!$A$3:$M$322,7,FALSE)</f>
        <v>0.69900000000000007</v>
      </c>
      <c r="M214" s="161">
        <f>VLOOKUP($A214,'Enroll Data as of January 2025'!$A$3:$M$322,8,FALSE)</f>
        <v>0.23400000000000001</v>
      </c>
      <c r="N214" s="161">
        <f>VLOOKUP($A214,'Enroll Data as of January 2025'!$A$3:$M$322,9,FALSE)</f>
        <v>1.952</v>
      </c>
      <c r="O214" s="165">
        <f t="shared" si="45"/>
        <v>7.0749999999999993</v>
      </c>
      <c r="P214" s="161">
        <f>VLOOKUP($A214,'Enroll Data as of January 2025'!$A$3:$M$322,11,FALSE)</f>
        <v>0.26300000000000001</v>
      </c>
      <c r="Q214" s="161">
        <f>VLOOKUP($A214,'Enroll Data as of January 2025'!$A$3:$M$322,12,FALSE)</f>
        <v>0.158</v>
      </c>
      <c r="R214" s="165">
        <f t="shared" si="46"/>
        <v>0.42100000000000004</v>
      </c>
      <c r="S214" s="267">
        <f>IFERROR(VLOOKUP($A214,Supp_39,14,FALSE),0)+IFERROR(SUMPRODUCT(VLOOKUP($A214,S275_01,{14,15,16},FALSE)),0)+IFERROR(SUMPRODUCT(VLOOKUP($A214,S275_97,{14,15,16},FALSE)),0)+IFERROR(ROUND(VLOOKUP($A214,S275_21,14,FALSE)*VLOOKUP($A214,'3121% SY'!$C$3:$M$324,11,FALSE),3),0)+IFERROR(ROUND(VLOOKUP($A214,S275_21,15,FALSE)*VLOOKUP($A214,'3121% SY'!$C$3:$M$324,11,FALSE),3),0)+IFERROR(ROUND(VLOOKUP($A214,S275_21,16,FALSE)*VLOOKUP($A214,'3121% SY'!$C$3:$M$324,11,FALSE),3),0)+IFERROR(VLOOKUP($A214,S275_09,6,FALSE),0)</f>
        <v>3.86</v>
      </c>
      <c r="T214" s="267">
        <f>IFERROR(VLOOKUP($A214,Supp_42,14,FALSE),0)+IFERROR(SUMPRODUCT(VLOOKUP($A214,S275_01,{17,18,19},FALSE)),0)+IFERROR(SUMPRODUCT(VLOOKUP($A214,S275_97,{17,18,19},FALSE)),0)+IFERROR(ROUND(VLOOKUP($A214,S275_21,17,FALSE)*VLOOKUP($A214,'3121% SY'!$C$3:$M$324,11,FALSE),3),0)+IFERROR(ROUND(VLOOKUP($A214,S275_21,18,FALSE)*VLOOKUP($A214,'3121% SY'!$C$3:$M$324,11,FALSE),3),0)+IFERROR(ROUND(VLOOKUP($A214,S275_21,19,FALSE)*VLOOKUP($A214,'3121% SY'!$C$3:$M$324,11,FALSE),3),0)+IFERROR(VLOOKUP($A214,S275_09,7,FALSE),0)</f>
        <v>0</v>
      </c>
      <c r="U214" s="267">
        <f>IFERROR(VLOOKUP($A214,Supp_43,14,FALSE),0)+IFERROR(SUMPRODUCT(VLOOKUP($A214,S275_01,{20,21,22},FALSE)),0)+IFERROR(SUMPRODUCT(VLOOKUP($A214,S275_97,{20,21,22},FALSE)),0)+IFERROR(ROUND(VLOOKUP($A214,S275_21,20,FALSE)*VLOOKUP($A214,'3121% SY'!$C$3:$M$324,11,FALSE),3),0)+IFERROR(ROUND(VLOOKUP($A214,S275_21,21,FALSE)*VLOOKUP($A214,'3121% SY'!$C$3:$M$324,11,FALSE),3),0)+IFERROR(ROUND(VLOOKUP($A214,S275_21,22,FALSE)*VLOOKUP($A214,'3121% SY'!$C$3:$M$324,11,FALSE),3),0)+IFERROR(VLOOKUP($A214,S275_09,8,FALSE),0)</f>
        <v>0.75</v>
      </c>
      <c r="V214" s="267">
        <f>IFERROR(VLOOKUP($A214,Supp_44,14,FALSE),0)+IFERROR(SUMPRODUCT(VLOOKUP($A214,S275_01,{23,24,25},FALSE)),0)+IFERROR(SUMPRODUCT(VLOOKUP($A214,S275_97,{23,24,25},FALSE)),0)+IFERROR(ROUND(VLOOKUP($A214,S275_21,23,FALSE)*VLOOKUP($A214,'3121% SY'!$C$3:$M$324,11,FALSE),3),0)+IFERROR(ROUND(VLOOKUP($A214,S275_21,24,FALSE)*VLOOKUP($A214,'3121% SY'!$C$3:$M$324,11,FALSE),3),0)+IFERROR(ROUND(VLOOKUP($A214,S275_21,25,FALSE)*VLOOKUP($A214,'3121% SY'!$C$3:$M$324,11,FALSE),3),0)+IFERROR(VLOOKUP($A214,S275_09,9,FALSE),0)</f>
        <v>0.25</v>
      </c>
      <c r="W214" s="267">
        <f>IFERROR(VLOOKUP($A214,Supp_45,14,FALSE),0)+IFERROR(SUMPRODUCT(VLOOKUP($A214,S275_01,{26,27,28},FALSE)),0)+IFERROR(SUMPRODUCT(VLOOKUP($A214,S275_97,{26,27,28},FALSE)),0)+IFERROR(ROUND(VLOOKUP($A214,S275_21,26,FALSE)*VLOOKUP($A214,'3121% SY'!$C$3:$M$324,11,FALSE),3),0)+IFERROR(ROUND(VLOOKUP($A214,S275_21,27,FALSE)*VLOOKUP($A214,'3121% SY'!$C$3:$M$324,11,FALSE),3),0)+IFERROR(ROUND(VLOOKUP($A214,S275_21,28,FALSE)*VLOOKUP($A214,'3121% SY'!$C$3:$M$324,11,FALSE),3),0)+IFERROR(VLOOKUP($A214,S275_09,10,FALSE),0)</f>
        <v>0.27200000000000002</v>
      </c>
      <c r="X214" s="267">
        <f>IFERROR(VLOOKUP($A214,Supp_46,14,FALSE),0)+IFERROR(SUMPRODUCT(VLOOKUP($A214,S275_01,{29,30,31},FALSE)),0)+IFERROR(SUMPRODUCT(VLOOKUP($A214,S275_97,{29,30,31},FALSE)),0)+IFERROR(ROUND(VLOOKUP($A214,S275_21,29,FALSE)*VLOOKUP($A214,'3121% SY'!$C$3:$M$324,11,FALSE),3),0)+IFERROR(ROUND(VLOOKUP($A214,S275_21,30,FALSE)*VLOOKUP($A214,'3121% SY'!$C$3:$M$324,11,FALSE),3),0)+IFERROR(ROUND(VLOOKUP($A214,S275_21,31,FALSE)*VLOOKUP($A214,'3121% SY'!$C$3:$M$324,11,FALSE),3),0)+IFERROR(VLOOKUP($A214,S275_09,11,FALSE),0)</f>
        <v>0.27200000000000002</v>
      </c>
      <c r="Y214" s="267">
        <f>IFERROR(VLOOKUP($A214,Supp_47,14,FALSE),0)+IFERROR(SUMPRODUCT(VLOOKUP($A214,S275_01,{32,33,34},FALSE)),0)+IFERROR(SUMPRODUCT(VLOOKUP($A214,S275_97,{32,33,34},FALSE)),0)+IFERROR(ROUND(VLOOKUP($A214,S275_21,32,FALSE)*VLOOKUP($A214,'3121% SY'!$C$3:$M$324,11,FALSE),3),0)+IFERROR(ROUND(VLOOKUP($A214,S275_21,33,FALSE)*VLOOKUP($A214,'3121% SY'!$C$3:$M$324,11,FALSE),3),0)+IFERROR(ROUND(VLOOKUP($A214,S275_21,34,FALSE)*VLOOKUP($A214,'3121% SY'!$C$3:$M$324,11,FALSE),3),0)+IFERROR(VLOOKUP($A214,S275_09,12,FALSE),0)</f>
        <v>0</v>
      </c>
      <c r="Z214" s="267">
        <f>IFERROR(VLOOKUP($A214,Supp_48,14,FALSE),0)+IFERROR(SUMPRODUCT(VLOOKUP($A214,S275_01,{35,36,37},FALSE)),0)+IFERROR(SUMPRODUCT(VLOOKUP($A214,S275_97,{35,36,37},FALSE)),0)+IFERROR(ROUND(VLOOKUP($A214,S275_21,35,FALSE)*VLOOKUP($A214,'3121% SY'!$C$3:$M$324,11,FALSE),3),0)+IFERROR(ROUND(VLOOKUP($A214,S275_21,36,FALSE)*VLOOKUP($A214,'3121% SY'!$C$3:$M$324,11,FALSE),3),0)+IFERROR(ROUND(VLOOKUP($A214,S275_21,37,FALSE)*VLOOKUP($A214,'3121% SY'!$C$3:$M$324,11,FALSE),3),0)+IFERROR(VLOOKUP($A214,S275_09,13,FALSE),0)</f>
        <v>0</v>
      </c>
      <c r="AA214" s="267">
        <f>IFERROR(VLOOKUP($A214,Supp_49,14,FALSE),0)+IFERROR(SUMPRODUCT(VLOOKUP($A214,S275_01,{38,39,40},FALSE)),0)+IFERROR(SUMPRODUCT(VLOOKUP($A214,S275_97,{38,39,40},FALSE)),0)+IFERROR(ROUND(VLOOKUP($A214,S275_21,38,FALSE)*VLOOKUP($A214,'3121% SY'!$C$3:$M$324,11,FALSE),3),0)+IFERROR(ROUND(VLOOKUP($A214,S275_21,39,FALSE)*VLOOKUP($A214,'3121% SY'!$C$3:$M$324,11,FALSE),3),0)+IFERROR(ROUND(VLOOKUP($A214,S275_21,40,FALSE)*VLOOKUP($A214,'3121% SY'!$C$3:$M$324,11,FALSE),3),0)+IFERROR(VLOOKUP($A214,S275_09,14,FALSE),0)</f>
        <v>0</v>
      </c>
      <c r="AB214" s="267">
        <f>IFERROR(VLOOKUP($A214,Supp_64,14,FALSE),0)+IFERROR(SUMPRODUCT(VLOOKUP($A214,S275_01,{41,42,43},FALSE)),0)+IFERROR(SUMPRODUCT(VLOOKUP($A214,S275_97,{41,42,43},FALSE)),0)+IFERROR(ROUND(VLOOKUP($A214,S275_21,41,FALSE)*VLOOKUP($A214,'3121% SY'!$C$3:$M$324,11,FALSE),3),0)+IFERROR(ROUND(VLOOKUP($A214,S275_21,42,FALSE)*VLOOKUP($A214,'3121% SY'!$C$3:$M$324,11,FALSE),3),0)+IFERROR(ROUND(VLOOKUP($A214,S275_21,43,FALSE)*VLOOKUP($A214,'3121% SY'!$C$3:$M$324,11,FALSE),3),0)+IFERROR(VLOOKUP($A214,S275_09,15,FALSE),0)</f>
        <v>0</v>
      </c>
      <c r="AC214" s="268">
        <f t="shared" si="47"/>
        <v>5.4039999999999999</v>
      </c>
      <c r="AD214" s="267">
        <f>IFERROR(VLOOKUP($A214,Supp_24,14,FALSE),0)+IFERROR(SUMPRODUCT(VLOOKUP($A214,S275_01,{2,3,4},FALSE)),0)+IFERROR(SUMPRODUCT(VLOOKUP($A214,S275_97,{2,3,4},FALSE)),0)+IFERROR(ROUND(VLOOKUP($A214,S275_21,2,FALSE)*VLOOKUP($A214,'3121% SY'!$C$3:$M$324,11,FALSE),3),0)+IFERROR(ROUND(VLOOKUP($A214,S275_21,3,FALSE)*VLOOKUP($A214,'3121% SY'!$C$3:$M$324,11,FALSE),3),0)+IFERROR(ROUND(VLOOKUP($A214,S275_21,4,FALSE)*VLOOKUP($A214,'3121% SY'!$C$3:$M$324,11,FALSE),3),0)+IFERROR(VLOOKUP($A214,S275_09,2,FALSE),0)</f>
        <v>0</v>
      </c>
      <c r="AE214" s="267">
        <f>IFERROR(VLOOKUP($A214,Supp_25,14,FALSE),0)+IFERROR(SUMPRODUCT(VLOOKUP($A214,S275_01,{5,6,7},FALSE)),0)+IFERROR(SUMPRODUCT(VLOOKUP($A214,S275_97,{5,6,7},FALSE)),0)+IFERROR(ROUND(VLOOKUP($A214,S275_21,5,FALSE)*VLOOKUP($A214,'3121% SY'!$C$3:$M$324,11,FALSE),3),0)+IFERROR(ROUND(VLOOKUP($A214,S275_21,6,FALSE)*VLOOKUP($A214,'3121% SY'!$C$3:$M$324,11,FALSE),3),0)+IFERROR(ROUND(VLOOKUP($A214,S275_21,7,FALSE)*VLOOKUP($A214,'3121% SY'!$C$3:$M$324,11,FALSE),3),0)+IFERROR(VLOOKUP($A214,S275_09,3,FALSE),0)</f>
        <v>0.91600000000000004</v>
      </c>
      <c r="AF214" s="267">
        <f>IFERROR(VLOOKUP($A214,Supp_26,14,FALSE),0)+IFERROR(SUMPRODUCT(VLOOKUP($A214,S275_01,{8,9,10},FALSE)),0)+IFERROR(SUMPRODUCT(VLOOKUP($A214,S275_97,{8,9,10},FALSE)),0)+IFERROR(ROUND(VLOOKUP($A214,S275_21,8,FALSE)*VLOOKUP($A214,'3121% SY'!$C$3:$M$324,11,FALSE),3),0)+IFERROR(ROUND(VLOOKUP($A214,S275_21,9,FALSE)*VLOOKUP($A214,'3121% SY'!$C$3:$M$324,11,FALSE),3),0)+IFERROR(ROUND(VLOOKUP($A214,S275_21,10,FALSE)*VLOOKUP($A214,'3121% SY'!$C$3:$M$324,11,FALSE),3),0)+IFERROR(VLOOKUP($A214,S275_09,4,FALSE),0)</f>
        <v>3.2959999999999998</v>
      </c>
      <c r="AG214" s="267">
        <f>IFERROR(VLOOKUP($A214,Supp_35,14,FALSE),0)+IFERROR(SUMPRODUCT(VLOOKUP($A214,S275_01,{11,12,13},FALSE)),0)+IFERROR(SUMPRODUCT(VLOOKUP($A214,S275_97,{11,12,13},FALSE)),0)+IFERROR(ROUND(VLOOKUP($A214,S275_21,11,FALSE)*VLOOKUP($A214,'3121% SY'!$C$3:$M$324,11,FALSE),3),0)+IFERROR(ROUND(VLOOKUP($A214,S275_21,12,FALSE)*VLOOKUP($A214,'3121% SY'!$C$3:$M$324,11,FALSE),3),0)+IFERROR(ROUND(VLOOKUP($A214,S275_21,13,FALSE)*VLOOKUP($A214,'3121% SY'!$C$3:$M$324,11,FALSE),3),0)+IFERROR(VLOOKUP($A214,S275_09,5,FALSE),0)</f>
        <v>0</v>
      </c>
      <c r="AH214" s="165">
        <f t="shared" si="48"/>
        <v>4.2119999999999997</v>
      </c>
      <c r="AI214" s="161">
        <f>IFERROR(VLOOKUP(A214,'Supp Staff Data'!A:ER,148,FALSE),0)+AB214</f>
        <v>0</v>
      </c>
      <c r="AJ214" s="174">
        <v>1</v>
      </c>
      <c r="AK214" s="25">
        <f>VLOOKUP(A214,'Enroll Data as of January 2025'!$A$3:$T$323,20,FALSE)-F214</f>
        <v>0</v>
      </c>
    </row>
    <row r="215" spans="1:37" x14ac:dyDescent="0.25">
      <c r="A215" s="171" t="s">
        <v>45</v>
      </c>
      <c r="B215" t="s">
        <v>341</v>
      </c>
      <c r="C215" s="173" t="s">
        <v>1077</v>
      </c>
      <c r="D215" s="259">
        <f t="shared" si="40"/>
        <v>7.3959999999999999</v>
      </c>
      <c r="E215" s="259">
        <f t="shared" si="41"/>
        <v>8.0440000000000005</v>
      </c>
      <c r="F215" s="262">
        <f t="shared" si="42"/>
        <v>0.64800000000000002</v>
      </c>
      <c r="G215" s="161">
        <f>ROUND(IF(F215&lt;0,F215*'2024-25 PSES Compliance'!$G$13,0),3)</f>
        <v>0</v>
      </c>
      <c r="H215" s="161">
        <f>ROUND(IF(F215&lt;0,F215*'2024-25 PSES Compliance'!$G$14,0),3)</f>
        <v>0</v>
      </c>
      <c r="I215" s="174">
        <f t="shared" si="43"/>
        <v>0.43610144206862256</v>
      </c>
      <c r="J215" s="174">
        <f t="shared" si="44"/>
        <v>0</v>
      </c>
      <c r="K215" s="161">
        <f>VLOOKUP($A215,'Enroll Data as of January 2025'!$A$3:$M$322,6,FALSE)</f>
        <v>4.125</v>
      </c>
      <c r="L215" s="161">
        <f>VLOOKUP($A215,'Enroll Data as of January 2025'!$A$3:$M$322,7,FALSE)</f>
        <v>0.69599999999999995</v>
      </c>
      <c r="M215" s="161">
        <f>VLOOKUP($A215,'Enroll Data as of January 2025'!$A$3:$M$322,8,FALSE)</f>
        <v>0.23300000000000001</v>
      </c>
      <c r="N215" s="161">
        <f>VLOOKUP($A215,'Enroll Data as of January 2025'!$A$3:$M$322,9,FALSE)</f>
        <v>1.9239999999999999</v>
      </c>
      <c r="O215" s="165">
        <f t="shared" si="45"/>
        <v>6.9779999999999998</v>
      </c>
      <c r="P215" s="161">
        <f>VLOOKUP($A215,'Enroll Data as of January 2025'!$A$3:$M$322,11,FALSE)</f>
        <v>0.26</v>
      </c>
      <c r="Q215" s="161">
        <f>VLOOKUP($A215,'Enroll Data as of January 2025'!$A$3:$M$322,12,FALSE)</f>
        <v>0.158</v>
      </c>
      <c r="R215" s="165">
        <f t="shared" si="46"/>
        <v>0.41800000000000004</v>
      </c>
      <c r="S215" s="267">
        <f>IFERROR(VLOOKUP($A215,Supp_39,14,FALSE),0)+IFERROR(SUMPRODUCT(VLOOKUP($A215,S275_01,{14,15,16},FALSE)),0)+IFERROR(SUMPRODUCT(VLOOKUP($A215,S275_97,{14,15,16},FALSE)),0)+IFERROR(ROUND(VLOOKUP($A215,S275_21,14,FALSE)*VLOOKUP($A215,'3121% SY'!$C$3:$M$324,11,FALSE),3),0)+IFERROR(ROUND(VLOOKUP($A215,S275_21,15,FALSE)*VLOOKUP($A215,'3121% SY'!$C$3:$M$324,11,FALSE),3),0)+IFERROR(ROUND(VLOOKUP($A215,S275_21,16,FALSE)*VLOOKUP($A215,'3121% SY'!$C$3:$M$324,11,FALSE),3),0)+IFERROR(VLOOKUP($A215,S275_09,6,FALSE),0)</f>
        <v>2</v>
      </c>
      <c r="T215" s="267">
        <f>IFERROR(VLOOKUP($A215,Supp_42,14,FALSE),0)+IFERROR(SUMPRODUCT(VLOOKUP($A215,S275_01,{17,18,19},FALSE)),0)+IFERROR(SUMPRODUCT(VLOOKUP($A215,S275_97,{17,18,19},FALSE)),0)+IFERROR(ROUND(VLOOKUP($A215,S275_21,17,FALSE)*VLOOKUP($A215,'3121% SY'!$C$3:$M$324,11,FALSE),3),0)+IFERROR(ROUND(VLOOKUP($A215,S275_21,18,FALSE)*VLOOKUP($A215,'3121% SY'!$C$3:$M$324,11,FALSE),3),0)+IFERROR(ROUND(VLOOKUP($A215,S275_21,19,FALSE)*VLOOKUP($A215,'3121% SY'!$C$3:$M$324,11,FALSE),3),0)+IFERROR(VLOOKUP($A215,S275_09,7,FALSE),0)</f>
        <v>1</v>
      </c>
      <c r="U215" s="267">
        <f>IFERROR(VLOOKUP($A215,Supp_43,14,FALSE),0)+IFERROR(SUMPRODUCT(VLOOKUP($A215,S275_01,{20,21,22},FALSE)),0)+IFERROR(SUMPRODUCT(VLOOKUP($A215,S275_97,{20,21,22},FALSE)),0)+IFERROR(ROUND(VLOOKUP($A215,S275_21,20,FALSE)*VLOOKUP($A215,'3121% SY'!$C$3:$M$324,11,FALSE),3),0)+IFERROR(ROUND(VLOOKUP($A215,S275_21,21,FALSE)*VLOOKUP($A215,'3121% SY'!$C$3:$M$324,11,FALSE),3),0)+IFERROR(ROUND(VLOOKUP($A215,S275_21,22,FALSE)*VLOOKUP($A215,'3121% SY'!$C$3:$M$324,11,FALSE),3),0)+IFERROR(VLOOKUP($A215,S275_09,8,FALSE),0)</f>
        <v>0</v>
      </c>
      <c r="V215" s="267">
        <f>IFERROR(VLOOKUP($A215,Supp_44,14,FALSE),0)+IFERROR(SUMPRODUCT(VLOOKUP($A215,S275_01,{23,24,25},FALSE)),0)+IFERROR(SUMPRODUCT(VLOOKUP($A215,S275_97,{23,24,25},FALSE)),0)+IFERROR(ROUND(VLOOKUP($A215,S275_21,23,FALSE)*VLOOKUP($A215,'3121% SY'!$C$3:$M$324,11,FALSE),3),0)+IFERROR(ROUND(VLOOKUP($A215,S275_21,24,FALSE)*VLOOKUP($A215,'3121% SY'!$C$3:$M$324,11,FALSE),3),0)+IFERROR(ROUND(VLOOKUP($A215,S275_21,25,FALSE)*VLOOKUP($A215,'3121% SY'!$C$3:$M$324,11,FALSE),3),0)+IFERROR(VLOOKUP($A215,S275_09,9,FALSE),0)</f>
        <v>0</v>
      </c>
      <c r="W215" s="267">
        <f>IFERROR(VLOOKUP($A215,Supp_45,14,FALSE),0)+IFERROR(SUMPRODUCT(VLOOKUP($A215,S275_01,{26,27,28},FALSE)),0)+IFERROR(SUMPRODUCT(VLOOKUP($A215,S275_97,{26,27,28},FALSE)),0)+IFERROR(ROUND(VLOOKUP($A215,S275_21,26,FALSE)*VLOOKUP($A215,'3121% SY'!$C$3:$M$324,11,FALSE),3),0)+IFERROR(ROUND(VLOOKUP($A215,S275_21,27,FALSE)*VLOOKUP($A215,'3121% SY'!$C$3:$M$324,11,FALSE),3),0)+IFERROR(ROUND(VLOOKUP($A215,S275_21,28,FALSE)*VLOOKUP($A215,'3121% SY'!$C$3:$M$324,11,FALSE),3),0)+IFERROR(VLOOKUP($A215,S275_09,10,FALSE),0)</f>
        <v>0.32800000000000001</v>
      </c>
      <c r="X215" s="267">
        <f>IFERROR(VLOOKUP($A215,Supp_46,14,FALSE),0)+IFERROR(SUMPRODUCT(VLOOKUP($A215,S275_01,{29,30,31},FALSE)),0)+IFERROR(SUMPRODUCT(VLOOKUP($A215,S275_97,{29,30,31},FALSE)),0)+IFERROR(ROUND(VLOOKUP($A215,S275_21,29,FALSE)*VLOOKUP($A215,'3121% SY'!$C$3:$M$324,11,FALSE),3),0)+IFERROR(ROUND(VLOOKUP($A215,S275_21,30,FALSE)*VLOOKUP($A215,'3121% SY'!$C$3:$M$324,11,FALSE),3),0)+IFERROR(ROUND(VLOOKUP($A215,S275_21,31,FALSE)*VLOOKUP($A215,'3121% SY'!$C$3:$M$324,11,FALSE),3),0)+IFERROR(VLOOKUP($A215,S275_09,11,FALSE),0)</f>
        <v>0.18</v>
      </c>
      <c r="Y215" s="267">
        <f>IFERROR(VLOOKUP($A215,Supp_47,14,FALSE),0)+IFERROR(SUMPRODUCT(VLOOKUP($A215,S275_01,{32,33,34},FALSE)),0)+IFERROR(SUMPRODUCT(VLOOKUP($A215,S275_97,{32,33,34},FALSE)),0)+IFERROR(ROUND(VLOOKUP($A215,S275_21,32,FALSE)*VLOOKUP($A215,'3121% SY'!$C$3:$M$324,11,FALSE),3),0)+IFERROR(ROUND(VLOOKUP($A215,S275_21,33,FALSE)*VLOOKUP($A215,'3121% SY'!$C$3:$M$324,11,FALSE),3),0)+IFERROR(ROUND(VLOOKUP($A215,S275_21,34,FALSE)*VLOOKUP($A215,'3121% SY'!$C$3:$M$324,11,FALSE),3),0)+IFERROR(VLOOKUP($A215,S275_09,12,FALSE),0)</f>
        <v>0</v>
      </c>
      <c r="Z215" s="267">
        <f>IFERROR(VLOOKUP($A215,Supp_48,14,FALSE),0)+IFERROR(SUMPRODUCT(VLOOKUP($A215,S275_01,{35,36,37},FALSE)),0)+IFERROR(SUMPRODUCT(VLOOKUP($A215,S275_97,{35,36,37},FALSE)),0)+IFERROR(ROUND(VLOOKUP($A215,S275_21,35,FALSE)*VLOOKUP($A215,'3121% SY'!$C$3:$M$324,11,FALSE),3),0)+IFERROR(ROUND(VLOOKUP($A215,S275_21,36,FALSE)*VLOOKUP($A215,'3121% SY'!$C$3:$M$324,11,FALSE),3),0)+IFERROR(ROUND(VLOOKUP($A215,S275_21,37,FALSE)*VLOOKUP($A215,'3121% SY'!$C$3:$M$324,11,FALSE),3),0)+IFERROR(VLOOKUP($A215,S275_09,13,FALSE),0)</f>
        <v>0</v>
      </c>
      <c r="AA215" s="267">
        <f>IFERROR(VLOOKUP($A215,Supp_49,14,FALSE),0)+IFERROR(SUMPRODUCT(VLOOKUP($A215,S275_01,{38,39,40},FALSE)),0)+IFERROR(SUMPRODUCT(VLOOKUP($A215,S275_97,{38,39,40},FALSE)),0)+IFERROR(ROUND(VLOOKUP($A215,S275_21,38,FALSE)*VLOOKUP($A215,'3121% SY'!$C$3:$M$324,11,FALSE),3),0)+IFERROR(ROUND(VLOOKUP($A215,S275_21,39,FALSE)*VLOOKUP($A215,'3121% SY'!$C$3:$M$324,11,FALSE),3),0)+IFERROR(ROUND(VLOOKUP($A215,S275_21,40,FALSE)*VLOOKUP($A215,'3121% SY'!$C$3:$M$324,11,FALSE),3),0)+IFERROR(VLOOKUP($A215,S275_09,14,FALSE),0)</f>
        <v>0</v>
      </c>
      <c r="AB215" s="267">
        <f>IFERROR(VLOOKUP($A215,Supp_64,14,FALSE),0)+IFERROR(SUMPRODUCT(VLOOKUP($A215,S275_01,{41,42,43},FALSE)),0)+IFERROR(SUMPRODUCT(VLOOKUP($A215,S275_97,{41,42,43},FALSE)),0)+IFERROR(ROUND(VLOOKUP($A215,S275_21,41,FALSE)*VLOOKUP($A215,'3121% SY'!$C$3:$M$324,11,FALSE),3),0)+IFERROR(ROUND(VLOOKUP($A215,S275_21,42,FALSE)*VLOOKUP($A215,'3121% SY'!$C$3:$M$324,11,FALSE),3),0)+IFERROR(ROUND(VLOOKUP($A215,S275_21,43,FALSE)*VLOOKUP($A215,'3121% SY'!$C$3:$M$324,11,FALSE),3),0)+IFERROR(VLOOKUP($A215,S275_09,15,FALSE),0)</f>
        <v>0</v>
      </c>
      <c r="AC215" s="268">
        <f t="shared" si="47"/>
        <v>3.508</v>
      </c>
      <c r="AD215" s="267">
        <f>IFERROR(VLOOKUP($A215,Supp_24,14,FALSE),0)+IFERROR(SUMPRODUCT(VLOOKUP($A215,S275_01,{2,3,4},FALSE)),0)+IFERROR(SUMPRODUCT(VLOOKUP($A215,S275_97,{2,3,4},FALSE)),0)+IFERROR(ROUND(VLOOKUP($A215,S275_21,2,FALSE)*VLOOKUP($A215,'3121% SY'!$C$3:$M$324,11,FALSE),3),0)+IFERROR(ROUND(VLOOKUP($A215,S275_21,3,FALSE)*VLOOKUP($A215,'3121% SY'!$C$3:$M$324,11,FALSE),3),0)+IFERROR(ROUND(VLOOKUP($A215,S275_21,4,FALSE)*VLOOKUP($A215,'3121% SY'!$C$3:$M$324,11,FALSE),3),0)+IFERROR(VLOOKUP($A215,S275_09,2,FALSE),0)</f>
        <v>0</v>
      </c>
      <c r="AE215" s="267">
        <f>IFERROR(VLOOKUP($A215,Supp_25,14,FALSE),0)+IFERROR(SUMPRODUCT(VLOOKUP($A215,S275_01,{5,6,7},FALSE)),0)+IFERROR(SUMPRODUCT(VLOOKUP($A215,S275_97,{5,6,7},FALSE)),0)+IFERROR(ROUND(VLOOKUP($A215,S275_21,5,FALSE)*VLOOKUP($A215,'3121% SY'!$C$3:$M$324,11,FALSE),3),0)+IFERROR(ROUND(VLOOKUP($A215,S275_21,6,FALSE)*VLOOKUP($A215,'3121% SY'!$C$3:$M$324,11,FALSE),3),0)+IFERROR(ROUND(VLOOKUP($A215,S275_21,7,FALSE)*VLOOKUP($A215,'3121% SY'!$C$3:$M$324,11,FALSE),3),0)+IFERROR(VLOOKUP($A215,S275_09,3,FALSE),0)</f>
        <v>3.1829999999999998</v>
      </c>
      <c r="AF215" s="267">
        <f>IFERROR(VLOOKUP($A215,Supp_26,14,FALSE),0)+IFERROR(SUMPRODUCT(VLOOKUP($A215,S275_01,{8,9,10},FALSE)),0)+IFERROR(SUMPRODUCT(VLOOKUP($A215,S275_97,{8,9,10},FALSE)),0)+IFERROR(ROUND(VLOOKUP($A215,S275_21,8,FALSE)*VLOOKUP($A215,'3121% SY'!$C$3:$M$324,11,FALSE),3),0)+IFERROR(ROUND(VLOOKUP($A215,S275_21,9,FALSE)*VLOOKUP($A215,'3121% SY'!$C$3:$M$324,11,FALSE),3),0)+IFERROR(ROUND(VLOOKUP($A215,S275_21,10,FALSE)*VLOOKUP($A215,'3121% SY'!$C$3:$M$324,11,FALSE),3),0)+IFERROR(VLOOKUP($A215,S275_09,4,FALSE),0)</f>
        <v>1.353</v>
      </c>
      <c r="AG215" s="267">
        <f>IFERROR(VLOOKUP($A215,Supp_35,14,FALSE),0)+IFERROR(SUMPRODUCT(VLOOKUP($A215,S275_01,{11,12,13},FALSE)),0)+IFERROR(SUMPRODUCT(VLOOKUP($A215,S275_97,{11,12,13},FALSE)),0)+IFERROR(ROUND(VLOOKUP($A215,S275_21,11,FALSE)*VLOOKUP($A215,'3121% SY'!$C$3:$M$324,11,FALSE),3),0)+IFERROR(ROUND(VLOOKUP($A215,S275_21,12,FALSE)*VLOOKUP($A215,'3121% SY'!$C$3:$M$324,11,FALSE),3),0)+IFERROR(ROUND(VLOOKUP($A215,S275_21,13,FALSE)*VLOOKUP($A215,'3121% SY'!$C$3:$M$324,11,FALSE),3),0)+IFERROR(VLOOKUP($A215,S275_09,5,FALSE),0)</f>
        <v>0</v>
      </c>
      <c r="AH215" s="165">
        <f t="shared" si="48"/>
        <v>4.5359999999999996</v>
      </c>
      <c r="AI215" s="161">
        <f>IFERROR(VLOOKUP(A215,'Supp Staff Data'!A:ER,148,FALSE),0)+AB215</f>
        <v>0</v>
      </c>
      <c r="AJ215" s="174">
        <v>1</v>
      </c>
      <c r="AK215" s="25">
        <f>VLOOKUP(A215,'Enroll Data as of January 2025'!$A$3:$T$323,20,FALSE)-F215</f>
        <v>0</v>
      </c>
    </row>
    <row r="216" spans="1:37" x14ac:dyDescent="0.25">
      <c r="A216" s="171" t="s">
        <v>30</v>
      </c>
      <c r="B216" t="s">
        <v>326</v>
      </c>
      <c r="C216" s="173" t="s">
        <v>1077</v>
      </c>
      <c r="D216" s="259">
        <f t="shared" si="40"/>
        <v>2.7079999999999997</v>
      </c>
      <c r="E216" s="259">
        <f t="shared" si="41"/>
        <v>1.6379999999999999</v>
      </c>
      <c r="F216" s="262">
        <f t="shared" si="42"/>
        <v>-1.07</v>
      </c>
      <c r="G216" s="161">
        <f>ROUND(IF(F216&lt;0,F216*'2024-25 PSES Compliance'!$G$13,0),3)</f>
        <v>-1.0269999999999999</v>
      </c>
      <c r="H216" s="161">
        <f>ROUND(IF(F216&lt;0,F216*'2024-25 PSES Compliance'!$G$14,0),3)</f>
        <v>-4.2999999999999997E-2</v>
      </c>
      <c r="I216" s="174">
        <f t="shared" si="43"/>
        <v>1</v>
      </c>
      <c r="J216" s="174">
        <f t="shared" si="44"/>
        <v>0</v>
      </c>
      <c r="K216" s="161">
        <f>VLOOKUP($A216,'Enroll Data as of January 2025'!$A$3:$M$322,6,FALSE)</f>
        <v>1.5449999999999999</v>
      </c>
      <c r="L216" s="161">
        <f>VLOOKUP($A216,'Enroll Data as of January 2025'!$A$3:$M$322,7,FALSE)</f>
        <v>0.23800000000000002</v>
      </c>
      <c r="M216" s="161">
        <f>VLOOKUP($A216,'Enroll Data as of January 2025'!$A$3:$M$322,8,FALSE)</f>
        <v>0.08</v>
      </c>
      <c r="N216" s="161">
        <f>VLOOKUP($A216,'Enroll Data as of January 2025'!$A$3:$M$322,9,FALSE)</f>
        <v>0.69800000000000006</v>
      </c>
      <c r="O216" s="165">
        <f t="shared" si="45"/>
        <v>2.5609999999999999</v>
      </c>
      <c r="P216" s="161">
        <f>VLOOKUP($A216,'Enroll Data as of January 2025'!$A$3:$M$322,11,FALSE)</f>
        <v>9.5000000000000001E-2</v>
      </c>
      <c r="Q216" s="161">
        <f>VLOOKUP($A216,'Enroll Data as of January 2025'!$A$3:$M$322,12,FALSE)</f>
        <v>5.1999999999999998E-2</v>
      </c>
      <c r="R216" s="165">
        <f t="shared" si="46"/>
        <v>0.14699999999999999</v>
      </c>
      <c r="S216" s="267">
        <f>IFERROR(VLOOKUP($A216,Supp_39,14,FALSE),0)+IFERROR(SUMPRODUCT(VLOOKUP($A216,S275_01,{14,15,16},FALSE)),0)+IFERROR(SUMPRODUCT(VLOOKUP($A216,S275_97,{14,15,16},FALSE)),0)+IFERROR(ROUND(VLOOKUP($A216,S275_21,14,FALSE)*VLOOKUP($A216,'3121% SY'!$C$3:$M$324,11,FALSE),3),0)+IFERROR(ROUND(VLOOKUP($A216,S275_21,15,FALSE)*VLOOKUP($A216,'3121% SY'!$C$3:$M$324,11,FALSE),3),0)+IFERROR(ROUND(VLOOKUP($A216,S275_21,16,FALSE)*VLOOKUP($A216,'3121% SY'!$C$3:$M$324,11,FALSE),3),0)+IFERROR(VLOOKUP($A216,S275_09,6,FALSE),0)</f>
        <v>1.6379999999999999</v>
      </c>
      <c r="T216" s="267">
        <f>IFERROR(VLOOKUP($A216,Supp_42,14,FALSE),0)+IFERROR(SUMPRODUCT(VLOOKUP($A216,S275_01,{17,18,19},FALSE)),0)+IFERROR(SUMPRODUCT(VLOOKUP($A216,S275_97,{17,18,19},FALSE)),0)+IFERROR(ROUND(VLOOKUP($A216,S275_21,17,FALSE)*VLOOKUP($A216,'3121% SY'!$C$3:$M$324,11,FALSE),3),0)+IFERROR(ROUND(VLOOKUP($A216,S275_21,18,FALSE)*VLOOKUP($A216,'3121% SY'!$C$3:$M$324,11,FALSE),3),0)+IFERROR(ROUND(VLOOKUP($A216,S275_21,19,FALSE)*VLOOKUP($A216,'3121% SY'!$C$3:$M$324,11,FALSE),3),0)+IFERROR(VLOOKUP($A216,S275_09,7,FALSE),0)</f>
        <v>0</v>
      </c>
      <c r="U216" s="267">
        <f>IFERROR(VLOOKUP($A216,Supp_43,14,FALSE),0)+IFERROR(SUMPRODUCT(VLOOKUP($A216,S275_01,{20,21,22},FALSE)),0)+IFERROR(SUMPRODUCT(VLOOKUP($A216,S275_97,{20,21,22},FALSE)),0)+IFERROR(ROUND(VLOOKUP($A216,S275_21,20,FALSE)*VLOOKUP($A216,'3121% SY'!$C$3:$M$324,11,FALSE),3),0)+IFERROR(ROUND(VLOOKUP($A216,S275_21,21,FALSE)*VLOOKUP($A216,'3121% SY'!$C$3:$M$324,11,FALSE),3),0)+IFERROR(ROUND(VLOOKUP($A216,S275_21,22,FALSE)*VLOOKUP($A216,'3121% SY'!$C$3:$M$324,11,FALSE),3),0)+IFERROR(VLOOKUP($A216,S275_09,8,FALSE),0)</f>
        <v>0</v>
      </c>
      <c r="V216" s="267">
        <f>IFERROR(VLOOKUP($A216,Supp_44,14,FALSE),0)+IFERROR(SUMPRODUCT(VLOOKUP($A216,S275_01,{23,24,25},FALSE)),0)+IFERROR(SUMPRODUCT(VLOOKUP($A216,S275_97,{23,24,25},FALSE)),0)+IFERROR(ROUND(VLOOKUP($A216,S275_21,23,FALSE)*VLOOKUP($A216,'3121% SY'!$C$3:$M$324,11,FALSE),3),0)+IFERROR(ROUND(VLOOKUP($A216,S275_21,24,FALSE)*VLOOKUP($A216,'3121% SY'!$C$3:$M$324,11,FALSE),3),0)+IFERROR(ROUND(VLOOKUP($A216,S275_21,25,FALSE)*VLOOKUP($A216,'3121% SY'!$C$3:$M$324,11,FALSE),3),0)+IFERROR(VLOOKUP($A216,S275_09,9,FALSE),0)</f>
        <v>0</v>
      </c>
      <c r="W216" s="267">
        <f>IFERROR(VLOOKUP($A216,Supp_45,14,FALSE),0)+IFERROR(SUMPRODUCT(VLOOKUP($A216,S275_01,{26,27,28},FALSE)),0)+IFERROR(SUMPRODUCT(VLOOKUP($A216,S275_97,{26,27,28},FALSE)),0)+IFERROR(ROUND(VLOOKUP($A216,S275_21,26,FALSE)*VLOOKUP($A216,'3121% SY'!$C$3:$M$324,11,FALSE),3),0)+IFERROR(ROUND(VLOOKUP($A216,S275_21,27,FALSE)*VLOOKUP($A216,'3121% SY'!$C$3:$M$324,11,FALSE),3),0)+IFERROR(ROUND(VLOOKUP($A216,S275_21,28,FALSE)*VLOOKUP($A216,'3121% SY'!$C$3:$M$324,11,FALSE),3),0)+IFERROR(VLOOKUP($A216,S275_09,10,FALSE),0)</f>
        <v>0</v>
      </c>
      <c r="X216" s="267">
        <f>IFERROR(VLOOKUP($A216,Supp_46,14,FALSE),0)+IFERROR(SUMPRODUCT(VLOOKUP($A216,S275_01,{29,30,31},FALSE)),0)+IFERROR(SUMPRODUCT(VLOOKUP($A216,S275_97,{29,30,31},FALSE)),0)+IFERROR(ROUND(VLOOKUP($A216,S275_21,29,FALSE)*VLOOKUP($A216,'3121% SY'!$C$3:$M$324,11,FALSE),3),0)+IFERROR(ROUND(VLOOKUP($A216,S275_21,30,FALSE)*VLOOKUP($A216,'3121% SY'!$C$3:$M$324,11,FALSE),3),0)+IFERROR(ROUND(VLOOKUP($A216,S275_21,31,FALSE)*VLOOKUP($A216,'3121% SY'!$C$3:$M$324,11,FALSE),3),0)+IFERROR(VLOOKUP($A216,S275_09,11,FALSE),0)</f>
        <v>0</v>
      </c>
      <c r="Y216" s="267">
        <f>IFERROR(VLOOKUP($A216,Supp_47,14,FALSE),0)+IFERROR(SUMPRODUCT(VLOOKUP($A216,S275_01,{32,33,34},FALSE)),0)+IFERROR(SUMPRODUCT(VLOOKUP($A216,S275_97,{32,33,34},FALSE)),0)+IFERROR(ROUND(VLOOKUP($A216,S275_21,32,FALSE)*VLOOKUP($A216,'3121% SY'!$C$3:$M$324,11,FALSE),3),0)+IFERROR(ROUND(VLOOKUP($A216,S275_21,33,FALSE)*VLOOKUP($A216,'3121% SY'!$C$3:$M$324,11,FALSE),3),0)+IFERROR(ROUND(VLOOKUP($A216,S275_21,34,FALSE)*VLOOKUP($A216,'3121% SY'!$C$3:$M$324,11,FALSE),3),0)+IFERROR(VLOOKUP($A216,S275_09,12,FALSE),0)</f>
        <v>0</v>
      </c>
      <c r="Z216" s="267">
        <f>IFERROR(VLOOKUP($A216,Supp_48,14,FALSE),0)+IFERROR(SUMPRODUCT(VLOOKUP($A216,S275_01,{35,36,37},FALSE)),0)+IFERROR(SUMPRODUCT(VLOOKUP($A216,S275_97,{35,36,37},FALSE)),0)+IFERROR(ROUND(VLOOKUP($A216,S275_21,35,FALSE)*VLOOKUP($A216,'3121% SY'!$C$3:$M$324,11,FALSE),3),0)+IFERROR(ROUND(VLOOKUP($A216,S275_21,36,FALSE)*VLOOKUP($A216,'3121% SY'!$C$3:$M$324,11,FALSE),3),0)+IFERROR(ROUND(VLOOKUP($A216,S275_21,37,FALSE)*VLOOKUP($A216,'3121% SY'!$C$3:$M$324,11,FALSE),3),0)+IFERROR(VLOOKUP($A216,S275_09,13,FALSE),0)</f>
        <v>0</v>
      </c>
      <c r="AA216" s="267">
        <f>IFERROR(VLOOKUP($A216,Supp_49,14,FALSE),0)+IFERROR(SUMPRODUCT(VLOOKUP($A216,S275_01,{38,39,40},FALSE)),0)+IFERROR(SUMPRODUCT(VLOOKUP($A216,S275_97,{38,39,40},FALSE)),0)+IFERROR(ROUND(VLOOKUP($A216,S275_21,38,FALSE)*VLOOKUP($A216,'3121% SY'!$C$3:$M$324,11,FALSE),3),0)+IFERROR(ROUND(VLOOKUP($A216,S275_21,39,FALSE)*VLOOKUP($A216,'3121% SY'!$C$3:$M$324,11,FALSE),3),0)+IFERROR(ROUND(VLOOKUP($A216,S275_21,40,FALSE)*VLOOKUP($A216,'3121% SY'!$C$3:$M$324,11,FALSE),3),0)+IFERROR(VLOOKUP($A216,S275_09,14,FALSE),0)</f>
        <v>0</v>
      </c>
      <c r="AB216" s="267">
        <f>IFERROR(VLOOKUP($A216,Supp_64,14,FALSE),0)+IFERROR(SUMPRODUCT(VLOOKUP($A216,S275_01,{41,42,43},FALSE)),0)+IFERROR(SUMPRODUCT(VLOOKUP($A216,S275_97,{41,42,43},FALSE)),0)+IFERROR(ROUND(VLOOKUP($A216,S275_21,41,FALSE)*VLOOKUP($A216,'3121% SY'!$C$3:$M$324,11,FALSE),3),0)+IFERROR(ROUND(VLOOKUP($A216,S275_21,42,FALSE)*VLOOKUP($A216,'3121% SY'!$C$3:$M$324,11,FALSE),3),0)+IFERROR(ROUND(VLOOKUP($A216,S275_21,43,FALSE)*VLOOKUP($A216,'3121% SY'!$C$3:$M$324,11,FALSE),3),0)+IFERROR(VLOOKUP($A216,S275_09,15,FALSE),0)</f>
        <v>0</v>
      </c>
      <c r="AC216" s="268">
        <f t="shared" si="47"/>
        <v>1.6379999999999999</v>
      </c>
      <c r="AD216" s="267">
        <f>IFERROR(VLOOKUP($A216,Supp_24,14,FALSE),0)+IFERROR(SUMPRODUCT(VLOOKUP($A216,S275_01,{2,3,4},FALSE)),0)+IFERROR(SUMPRODUCT(VLOOKUP($A216,S275_97,{2,3,4},FALSE)),0)+IFERROR(ROUND(VLOOKUP($A216,S275_21,2,FALSE)*VLOOKUP($A216,'3121% SY'!$C$3:$M$324,11,FALSE),3),0)+IFERROR(ROUND(VLOOKUP($A216,S275_21,3,FALSE)*VLOOKUP($A216,'3121% SY'!$C$3:$M$324,11,FALSE),3),0)+IFERROR(ROUND(VLOOKUP($A216,S275_21,4,FALSE)*VLOOKUP($A216,'3121% SY'!$C$3:$M$324,11,FALSE),3),0)+IFERROR(VLOOKUP($A216,S275_09,2,FALSE),0)</f>
        <v>0</v>
      </c>
      <c r="AE216" s="267">
        <f>IFERROR(VLOOKUP($A216,Supp_25,14,FALSE),0)+IFERROR(SUMPRODUCT(VLOOKUP($A216,S275_01,{5,6,7},FALSE)),0)+IFERROR(SUMPRODUCT(VLOOKUP($A216,S275_97,{5,6,7},FALSE)),0)+IFERROR(ROUND(VLOOKUP($A216,S275_21,5,FALSE)*VLOOKUP($A216,'3121% SY'!$C$3:$M$324,11,FALSE),3),0)+IFERROR(ROUND(VLOOKUP($A216,S275_21,6,FALSE)*VLOOKUP($A216,'3121% SY'!$C$3:$M$324,11,FALSE),3),0)+IFERROR(ROUND(VLOOKUP($A216,S275_21,7,FALSE)*VLOOKUP($A216,'3121% SY'!$C$3:$M$324,11,FALSE),3),0)+IFERROR(VLOOKUP($A216,S275_09,3,FALSE),0)</f>
        <v>0</v>
      </c>
      <c r="AF216" s="267">
        <f>IFERROR(VLOOKUP($A216,Supp_26,14,FALSE),0)+IFERROR(SUMPRODUCT(VLOOKUP($A216,S275_01,{8,9,10},FALSE)),0)+IFERROR(SUMPRODUCT(VLOOKUP($A216,S275_97,{8,9,10},FALSE)),0)+IFERROR(ROUND(VLOOKUP($A216,S275_21,8,FALSE)*VLOOKUP($A216,'3121% SY'!$C$3:$M$324,11,FALSE),3),0)+IFERROR(ROUND(VLOOKUP($A216,S275_21,9,FALSE)*VLOOKUP($A216,'3121% SY'!$C$3:$M$324,11,FALSE),3),0)+IFERROR(ROUND(VLOOKUP($A216,S275_21,10,FALSE)*VLOOKUP($A216,'3121% SY'!$C$3:$M$324,11,FALSE),3),0)+IFERROR(VLOOKUP($A216,S275_09,4,FALSE),0)</f>
        <v>0</v>
      </c>
      <c r="AG216" s="267">
        <f>IFERROR(VLOOKUP($A216,Supp_35,14,FALSE),0)+IFERROR(SUMPRODUCT(VLOOKUP($A216,S275_01,{11,12,13},FALSE)),0)+IFERROR(SUMPRODUCT(VLOOKUP($A216,S275_97,{11,12,13},FALSE)),0)+IFERROR(ROUND(VLOOKUP($A216,S275_21,11,FALSE)*VLOOKUP($A216,'3121% SY'!$C$3:$M$324,11,FALSE),3),0)+IFERROR(ROUND(VLOOKUP($A216,S275_21,12,FALSE)*VLOOKUP($A216,'3121% SY'!$C$3:$M$324,11,FALSE),3),0)+IFERROR(ROUND(VLOOKUP($A216,S275_21,13,FALSE)*VLOOKUP($A216,'3121% SY'!$C$3:$M$324,11,FALSE),3),0)+IFERROR(VLOOKUP($A216,S275_09,5,FALSE),0)</f>
        <v>0</v>
      </c>
      <c r="AH216" s="165">
        <f t="shared" si="48"/>
        <v>0</v>
      </c>
      <c r="AI216" s="161">
        <f>IFERROR(VLOOKUP(A216,'Supp Staff Data'!A:ER,148,FALSE),0)+AB216</f>
        <v>0</v>
      </c>
      <c r="AJ216" s="174">
        <v>1</v>
      </c>
      <c r="AK216" s="25">
        <f>VLOOKUP(A216,'Enroll Data as of January 2025'!$A$3:$T$323,20,FALSE)-F216</f>
        <v>0</v>
      </c>
    </row>
    <row r="217" spans="1:37" x14ac:dyDescent="0.25">
      <c r="A217" s="171" t="s">
        <v>230</v>
      </c>
      <c r="B217" t="s">
        <v>526</v>
      </c>
      <c r="C217" s="173" t="s">
        <v>1077</v>
      </c>
      <c r="D217" s="259">
        <f t="shared" si="40"/>
        <v>9.0509999999999984</v>
      </c>
      <c r="E217" s="259">
        <f t="shared" si="41"/>
        <v>10.837</v>
      </c>
      <c r="F217" s="262">
        <f t="shared" si="42"/>
        <v>1.786</v>
      </c>
      <c r="G217" s="161">
        <f>ROUND(IF(F217&lt;0,F217*'2024-25 PSES Compliance'!$G$13,0),3)</f>
        <v>0</v>
      </c>
      <c r="H217" s="161">
        <f>ROUND(IF(F217&lt;0,F217*'2024-25 PSES Compliance'!$G$14,0),3)</f>
        <v>0</v>
      </c>
      <c r="I217" s="174">
        <f t="shared" si="43"/>
        <v>0.6435360339577374</v>
      </c>
      <c r="J217" s="174">
        <f t="shared" si="44"/>
        <v>0</v>
      </c>
      <c r="K217" s="161">
        <f>VLOOKUP($A217,'Enroll Data as of January 2025'!$A$3:$M$322,6,FALSE)</f>
        <v>4.9820000000000002</v>
      </c>
      <c r="L217" s="161">
        <f>VLOOKUP($A217,'Enroll Data as of January 2025'!$A$3:$M$322,7,FALSE)</f>
        <v>0.88500000000000001</v>
      </c>
      <c r="M217" s="161">
        <f>VLOOKUP($A217,'Enroll Data as of January 2025'!$A$3:$M$322,8,FALSE)</f>
        <v>0.29500000000000004</v>
      </c>
      <c r="N217" s="161">
        <f>VLOOKUP($A217,'Enroll Data as of January 2025'!$A$3:$M$322,9,FALSE)</f>
        <v>2.3649999999999998</v>
      </c>
      <c r="O217" s="165">
        <f t="shared" si="45"/>
        <v>8.5269999999999992</v>
      </c>
      <c r="P217" s="161">
        <f>VLOOKUP($A217,'Enroll Data as of January 2025'!$A$3:$M$322,11,FALSE)</f>
        <v>0.32</v>
      </c>
      <c r="Q217" s="161">
        <f>VLOOKUP($A217,'Enroll Data as of January 2025'!$A$3:$M$322,12,FALSE)</f>
        <v>0.20399999999999999</v>
      </c>
      <c r="R217" s="165">
        <f t="shared" si="46"/>
        <v>0.52400000000000002</v>
      </c>
      <c r="S217" s="267">
        <f>IFERROR(VLOOKUP($A217,Supp_39,14,FALSE),0)+IFERROR(SUMPRODUCT(VLOOKUP($A217,S275_01,{14,15,16},FALSE)),0)+IFERROR(SUMPRODUCT(VLOOKUP($A217,S275_97,{14,15,16},FALSE)),0)+IFERROR(ROUND(VLOOKUP($A217,S275_21,14,FALSE)*VLOOKUP($A217,'3121% SY'!$C$3:$M$324,11,FALSE),3),0)+IFERROR(ROUND(VLOOKUP($A217,S275_21,15,FALSE)*VLOOKUP($A217,'3121% SY'!$C$3:$M$324,11,FALSE),3),0)+IFERROR(ROUND(VLOOKUP($A217,S275_21,16,FALSE)*VLOOKUP($A217,'3121% SY'!$C$3:$M$324,11,FALSE),3),0)+IFERROR(VLOOKUP($A217,S275_09,6,FALSE),0)</f>
        <v>3.5</v>
      </c>
      <c r="T217" s="267">
        <f>IFERROR(VLOOKUP($A217,Supp_42,14,FALSE),0)+IFERROR(SUMPRODUCT(VLOOKUP($A217,S275_01,{17,18,19},FALSE)),0)+IFERROR(SUMPRODUCT(VLOOKUP($A217,S275_97,{17,18,19},FALSE)),0)+IFERROR(ROUND(VLOOKUP($A217,S275_21,17,FALSE)*VLOOKUP($A217,'3121% SY'!$C$3:$M$324,11,FALSE),3),0)+IFERROR(ROUND(VLOOKUP($A217,S275_21,18,FALSE)*VLOOKUP($A217,'3121% SY'!$C$3:$M$324,11,FALSE),3),0)+IFERROR(ROUND(VLOOKUP($A217,S275_21,19,FALSE)*VLOOKUP($A217,'3121% SY'!$C$3:$M$324,11,FALSE),3),0)+IFERROR(VLOOKUP($A217,S275_09,7,FALSE),0)</f>
        <v>1.5</v>
      </c>
      <c r="U217" s="267">
        <f>IFERROR(VLOOKUP($A217,Supp_43,14,FALSE),0)+IFERROR(SUMPRODUCT(VLOOKUP($A217,S275_01,{20,21,22},FALSE)),0)+IFERROR(SUMPRODUCT(VLOOKUP($A217,S275_97,{20,21,22},FALSE)),0)+IFERROR(ROUND(VLOOKUP($A217,S275_21,20,FALSE)*VLOOKUP($A217,'3121% SY'!$C$3:$M$324,11,FALSE),3),0)+IFERROR(ROUND(VLOOKUP($A217,S275_21,21,FALSE)*VLOOKUP($A217,'3121% SY'!$C$3:$M$324,11,FALSE),3),0)+IFERROR(ROUND(VLOOKUP($A217,S275_21,22,FALSE)*VLOOKUP($A217,'3121% SY'!$C$3:$M$324,11,FALSE),3),0)+IFERROR(VLOOKUP($A217,S275_09,8,FALSE),0)</f>
        <v>0.16200000000000001</v>
      </c>
      <c r="V217" s="267">
        <f>IFERROR(VLOOKUP($A217,Supp_44,14,FALSE),0)+IFERROR(SUMPRODUCT(VLOOKUP($A217,S275_01,{23,24,25},FALSE)),0)+IFERROR(SUMPRODUCT(VLOOKUP($A217,S275_97,{23,24,25},FALSE)),0)+IFERROR(ROUND(VLOOKUP($A217,S275_21,23,FALSE)*VLOOKUP($A217,'3121% SY'!$C$3:$M$324,11,FALSE),3),0)+IFERROR(ROUND(VLOOKUP($A217,S275_21,24,FALSE)*VLOOKUP($A217,'3121% SY'!$C$3:$M$324,11,FALSE),3),0)+IFERROR(ROUND(VLOOKUP($A217,S275_21,25,FALSE)*VLOOKUP($A217,'3121% SY'!$C$3:$M$324,11,FALSE),3),0)+IFERROR(VLOOKUP($A217,S275_09,9,FALSE),0)</f>
        <v>0</v>
      </c>
      <c r="W217" s="267">
        <f>IFERROR(VLOOKUP($A217,Supp_45,14,FALSE),0)+IFERROR(SUMPRODUCT(VLOOKUP($A217,S275_01,{26,27,28},FALSE)),0)+IFERROR(SUMPRODUCT(VLOOKUP($A217,S275_97,{26,27,28},FALSE)),0)+IFERROR(ROUND(VLOOKUP($A217,S275_21,26,FALSE)*VLOOKUP($A217,'3121% SY'!$C$3:$M$324,11,FALSE),3),0)+IFERROR(ROUND(VLOOKUP($A217,S275_21,27,FALSE)*VLOOKUP($A217,'3121% SY'!$C$3:$M$324,11,FALSE),3),0)+IFERROR(ROUND(VLOOKUP($A217,S275_21,28,FALSE)*VLOOKUP($A217,'3121% SY'!$C$3:$M$324,11,FALSE),3),0)+IFERROR(VLOOKUP($A217,S275_09,10,FALSE),0)</f>
        <v>0.47399999999999998</v>
      </c>
      <c r="X217" s="267">
        <f>IFERROR(VLOOKUP($A217,Supp_46,14,FALSE),0)+IFERROR(SUMPRODUCT(VLOOKUP($A217,S275_01,{29,30,31},FALSE)),0)+IFERROR(SUMPRODUCT(VLOOKUP($A217,S275_97,{29,30,31},FALSE)),0)+IFERROR(ROUND(VLOOKUP($A217,S275_21,29,FALSE)*VLOOKUP($A217,'3121% SY'!$C$3:$M$324,11,FALSE),3),0)+IFERROR(ROUND(VLOOKUP($A217,S275_21,30,FALSE)*VLOOKUP($A217,'3121% SY'!$C$3:$M$324,11,FALSE),3),0)+IFERROR(ROUND(VLOOKUP($A217,S275_21,31,FALSE)*VLOOKUP($A217,'3121% SY'!$C$3:$M$324,11,FALSE),3),0)+IFERROR(VLOOKUP($A217,S275_09,11,FALSE),0)</f>
        <v>1.3379999999999999</v>
      </c>
      <c r="Y217" s="267">
        <f>IFERROR(VLOOKUP($A217,Supp_47,14,FALSE),0)+IFERROR(SUMPRODUCT(VLOOKUP($A217,S275_01,{32,33,34},FALSE)),0)+IFERROR(SUMPRODUCT(VLOOKUP($A217,S275_97,{32,33,34},FALSE)),0)+IFERROR(ROUND(VLOOKUP($A217,S275_21,32,FALSE)*VLOOKUP($A217,'3121% SY'!$C$3:$M$324,11,FALSE),3),0)+IFERROR(ROUND(VLOOKUP($A217,S275_21,33,FALSE)*VLOOKUP($A217,'3121% SY'!$C$3:$M$324,11,FALSE),3),0)+IFERROR(ROUND(VLOOKUP($A217,S275_21,34,FALSE)*VLOOKUP($A217,'3121% SY'!$C$3:$M$324,11,FALSE),3),0)+IFERROR(VLOOKUP($A217,S275_09,12,FALSE),0)</f>
        <v>0</v>
      </c>
      <c r="Z217" s="267">
        <f>IFERROR(VLOOKUP($A217,Supp_48,14,FALSE),0)+IFERROR(SUMPRODUCT(VLOOKUP($A217,S275_01,{35,36,37},FALSE)),0)+IFERROR(SUMPRODUCT(VLOOKUP($A217,S275_97,{35,36,37},FALSE)),0)+IFERROR(ROUND(VLOOKUP($A217,S275_21,35,FALSE)*VLOOKUP($A217,'3121% SY'!$C$3:$M$324,11,FALSE),3),0)+IFERROR(ROUND(VLOOKUP($A217,S275_21,36,FALSE)*VLOOKUP($A217,'3121% SY'!$C$3:$M$324,11,FALSE),3),0)+IFERROR(ROUND(VLOOKUP($A217,S275_21,37,FALSE)*VLOOKUP($A217,'3121% SY'!$C$3:$M$324,11,FALSE),3),0)+IFERROR(VLOOKUP($A217,S275_09,13,FALSE),0)</f>
        <v>0</v>
      </c>
      <c r="AA217" s="267">
        <f>IFERROR(VLOOKUP($A217,Supp_49,14,FALSE),0)+IFERROR(SUMPRODUCT(VLOOKUP($A217,S275_01,{38,39,40},FALSE)),0)+IFERROR(SUMPRODUCT(VLOOKUP($A217,S275_97,{38,39,40},FALSE)),0)+IFERROR(ROUND(VLOOKUP($A217,S275_21,38,FALSE)*VLOOKUP($A217,'3121% SY'!$C$3:$M$324,11,FALSE),3),0)+IFERROR(ROUND(VLOOKUP($A217,S275_21,39,FALSE)*VLOOKUP($A217,'3121% SY'!$C$3:$M$324,11,FALSE),3),0)+IFERROR(ROUND(VLOOKUP($A217,S275_21,40,FALSE)*VLOOKUP($A217,'3121% SY'!$C$3:$M$324,11,FALSE),3),0)+IFERROR(VLOOKUP($A217,S275_09,14,FALSE),0)</f>
        <v>0</v>
      </c>
      <c r="AB217" s="267">
        <f>IFERROR(VLOOKUP($A217,Supp_64,14,FALSE),0)+IFERROR(SUMPRODUCT(VLOOKUP($A217,S275_01,{41,42,43},FALSE)),0)+IFERROR(SUMPRODUCT(VLOOKUP($A217,S275_97,{41,42,43},FALSE)),0)+IFERROR(ROUND(VLOOKUP($A217,S275_21,41,FALSE)*VLOOKUP($A217,'3121% SY'!$C$3:$M$324,11,FALSE),3),0)+IFERROR(ROUND(VLOOKUP($A217,S275_21,42,FALSE)*VLOOKUP($A217,'3121% SY'!$C$3:$M$324,11,FALSE),3),0)+IFERROR(ROUND(VLOOKUP($A217,S275_21,43,FALSE)*VLOOKUP($A217,'3121% SY'!$C$3:$M$324,11,FALSE),3),0)+IFERROR(VLOOKUP($A217,S275_09,15,FALSE),0)</f>
        <v>0</v>
      </c>
      <c r="AC217" s="268">
        <f t="shared" si="47"/>
        <v>6.9740000000000002</v>
      </c>
      <c r="AD217" s="267">
        <f>IFERROR(VLOOKUP($A217,Supp_24,14,FALSE),0)+IFERROR(SUMPRODUCT(VLOOKUP($A217,S275_01,{2,3,4},FALSE)),0)+IFERROR(SUMPRODUCT(VLOOKUP($A217,S275_97,{2,3,4},FALSE)),0)+IFERROR(ROUND(VLOOKUP($A217,S275_21,2,FALSE)*VLOOKUP($A217,'3121% SY'!$C$3:$M$324,11,FALSE),3),0)+IFERROR(ROUND(VLOOKUP($A217,S275_21,3,FALSE)*VLOOKUP($A217,'3121% SY'!$C$3:$M$324,11,FALSE),3),0)+IFERROR(ROUND(VLOOKUP($A217,S275_21,4,FALSE)*VLOOKUP($A217,'3121% SY'!$C$3:$M$324,11,FALSE),3),0)+IFERROR(VLOOKUP($A217,S275_09,2,FALSE),0)</f>
        <v>0</v>
      </c>
      <c r="AE217" s="267">
        <f>IFERROR(VLOOKUP($A217,Supp_25,14,FALSE),0)+IFERROR(SUMPRODUCT(VLOOKUP($A217,S275_01,{5,6,7},FALSE)),0)+IFERROR(SUMPRODUCT(VLOOKUP($A217,S275_97,{5,6,7},FALSE)),0)+IFERROR(ROUND(VLOOKUP($A217,S275_21,5,FALSE)*VLOOKUP($A217,'3121% SY'!$C$3:$M$324,11,FALSE),3),0)+IFERROR(ROUND(VLOOKUP($A217,S275_21,6,FALSE)*VLOOKUP($A217,'3121% SY'!$C$3:$M$324,11,FALSE),3),0)+IFERROR(ROUND(VLOOKUP($A217,S275_21,7,FALSE)*VLOOKUP($A217,'3121% SY'!$C$3:$M$324,11,FALSE),3),0)+IFERROR(VLOOKUP($A217,S275_09,3,FALSE),0)</f>
        <v>0.63900000000000001</v>
      </c>
      <c r="AF217" s="267">
        <f>IFERROR(VLOOKUP($A217,Supp_26,14,FALSE),0)+IFERROR(SUMPRODUCT(VLOOKUP($A217,S275_01,{8,9,10},FALSE)),0)+IFERROR(SUMPRODUCT(VLOOKUP($A217,S275_97,{8,9,10},FALSE)),0)+IFERROR(ROUND(VLOOKUP($A217,S275_21,8,FALSE)*VLOOKUP($A217,'3121% SY'!$C$3:$M$324,11,FALSE),3),0)+IFERROR(ROUND(VLOOKUP($A217,S275_21,9,FALSE)*VLOOKUP($A217,'3121% SY'!$C$3:$M$324,11,FALSE),3),0)+IFERROR(ROUND(VLOOKUP($A217,S275_21,10,FALSE)*VLOOKUP($A217,'3121% SY'!$C$3:$M$324,11,FALSE),3),0)+IFERROR(VLOOKUP($A217,S275_09,4,FALSE),0)</f>
        <v>3.2240000000000002</v>
      </c>
      <c r="AG217" s="267">
        <f>IFERROR(VLOOKUP($A217,Supp_35,14,FALSE),0)+IFERROR(SUMPRODUCT(VLOOKUP($A217,S275_01,{11,12,13},FALSE)),0)+IFERROR(SUMPRODUCT(VLOOKUP($A217,S275_97,{11,12,13},FALSE)),0)+IFERROR(ROUND(VLOOKUP($A217,S275_21,11,FALSE)*VLOOKUP($A217,'3121% SY'!$C$3:$M$324,11,FALSE),3),0)+IFERROR(ROUND(VLOOKUP($A217,S275_21,12,FALSE)*VLOOKUP($A217,'3121% SY'!$C$3:$M$324,11,FALSE),3),0)+IFERROR(ROUND(VLOOKUP($A217,S275_21,13,FALSE)*VLOOKUP($A217,'3121% SY'!$C$3:$M$324,11,FALSE),3),0)+IFERROR(VLOOKUP($A217,S275_09,5,FALSE),0)</f>
        <v>0</v>
      </c>
      <c r="AH217" s="165">
        <f t="shared" si="48"/>
        <v>3.8630000000000004</v>
      </c>
      <c r="AI217" s="161">
        <f>IFERROR(VLOOKUP(A217,'Supp Staff Data'!A:ER,148,FALSE),0)+AB217</f>
        <v>0</v>
      </c>
      <c r="AJ217" s="174">
        <v>1</v>
      </c>
      <c r="AK217" s="25">
        <f>VLOOKUP(A217,'Enroll Data as of January 2025'!$A$3:$T$323,20,FALSE)-F217</f>
        <v>0</v>
      </c>
    </row>
    <row r="218" spans="1:37" x14ac:dyDescent="0.25">
      <c r="A218" s="171" t="s">
        <v>195</v>
      </c>
      <c r="B218" t="s">
        <v>490</v>
      </c>
      <c r="C218" s="173" t="s">
        <v>1077</v>
      </c>
      <c r="D218" s="259">
        <f t="shared" si="40"/>
        <v>10</v>
      </c>
      <c r="E218" s="259">
        <f t="shared" si="41"/>
        <v>12.277000000000001</v>
      </c>
      <c r="F218" s="262">
        <f t="shared" si="42"/>
        <v>2.2770000000000001</v>
      </c>
      <c r="G218" s="161">
        <f>ROUND(IF(F218&lt;0,F218*'2024-25 PSES Compliance'!$G$13,0),3)</f>
        <v>0</v>
      </c>
      <c r="H218" s="161">
        <f>ROUND(IF(F218&lt;0,F218*'2024-25 PSES Compliance'!$G$14,0),3)</f>
        <v>0</v>
      </c>
      <c r="I218" s="174">
        <f t="shared" si="43"/>
        <v>0.56618066302842718</v>
      </c>
      <c r="J218" s="174">
        <f t="shared" si="44"/>
        <v>1.0914718579457522E-2</v>
      </c>
      <c r="K218" s="161">
        <f>VLOOKUP($A218,'Enroll Data as of January 2025'!$A$3:$M$322,6,FALSE)</f>
        <v>5.5579999999999998</v>
      </c>
      <c r="L218" s="161">
        <f>VLOOKUP($A218,'Enroll Data as of January 2025'!$A$3:$M$322,7,FALSE)</f>
        <v>0.96299999999999997</v>
      </c>
      <c r="M218" s="161">
        <f>VLOOKUP($A218,'Enroll Data as of January 2025'!$A$3:$M$322,8,FALSE)</f>
        <v>0.32400000000000007</v>
      </c>
      <c r="N218" s="161">
        <f>VLOOKUP($A218,'Enroll Data as of January 2025'!$A$3:$M$322,9,FALSE)</f>
        <v>2.581</v>
      </c>
      <c r="O218" s="165">
        <f t="shared" si="45"/>
        <v>9.4260000000000002</v>
      </c>
      <c r="P218" s="161">
        <f>VLOOKUP($A218,'Enroll Data as of January 2025'!$A$3:$M$322,11,FALSE)</f>
        <v>0.35299999999999998</v>
      </c>
      <c r="Q218" s="161">
        <f>VLOOKUP($A218,'Enroll Data as of January 2025'!$A$3:$M$322,12,FALSE)</f>
        <v>0.221</v>
      </c>
      <c r="R218" s="165">
        <f t="shared" si="46"/>
        <v>0.57399999999999995</v>
      </c>
      <c r="S218" s="267">
        <f>IFERROR(VLOOKUP($A218,Supp_39,14,FALSE),0)+IFERROR(SUMPRODUCT(VLOOKUP($A218,S275_01,{14,15,16},FALSE)),0)+IFERROR(SUMPRODUCT(VLOOKUP($A218,S275_97,{14,15,16},FALSE)),0)+IFERROR(ROUND(VLOOKUP($A218,S275_21,14,FALSE)*VLOOKUP($A218,'3121% SY'!$C$3:$M$324,11,FALSE),3),0)+IFERROR(ROUND(VLOOKUP($A218,S275_21,15,FALSE)*VLOOKUP($A218,'3121% SY'!$C$3:$M$324,11,FALSE),3),0)+IFERROR(ROUND(VLOOKUP($A218,S275_21,16,FALSE)*VLOOKUP($A218,'3121% SY'!$C$3:$M$324,11,FALSE),3),0)+IFERROR(VLOOKUP($A218,S275_09,6,FALSE),0)</f>
        <v>3.9169999999999998</v>
      </c>
      <c r="T218" s="267">
        <f>IFERROR(VLOOKUP($A218,Supp_42,14,FALSE),0)+IFERROR(SUMPRODUCT(VLOOKUP($A218,S275_01,{17,18,19},FALSE)),0)+IFERROR(SUMPRODUCT(VLOOKUP($A218,S275_97,{17,18,19},FALSE)),0)+IFERROR(ROUND(VLOOKUP($A218,S275_21,17,FALSE)*VLOOKUP($A218,'3121% SY'!$C$3:$M$324,11,FALSE),3),0)+IFERROR(ROUND(VLOOKUP($A218,S275_21,18,FALSE)*VLOOKUP($A218,'3121% SY'!$C$3:$M$324,11,FALSE),3),0)+IFERROR(ROUND(VLOOKUP($A218,S275_21,19,FALSE)*VLOOKUP($A218,'3121% SY'!$C$3:$M$324,11,FALSE),3),0)+IFERROR(VLOOKUP($A218,S275_09,7,FALSE),0)</f>
        <v>0</v>
      </c>
      <c r="U218" s="267">
        <f>IFERROR(VLOOKUP($A218,Supp_43,14,FALSE),0)+IFERROR(SUMPRODUCT(VLOOKUP($A218,S275_01,{20,21,22},FALSE)),0)+IFERROR(SUMPRODUCT(VLOOKUP($A218,S275_97,{20,21,22},FALSE)),0)+IFERROR(ROUND(VLOOKUP($A218,S275_21,20,FALSE)*VLOOKUP($A218,'3121% SY'!$C$3:$M$324,11,FALSE),3),0)+IFERROR(ROUND(VLOOKUP($A218,S275_21,21,FALSE)*VLOOKUP($A218,'3121% SY'!$C$3:$M$324,11,FALSE),3),0)+IFERROR(ROUND(VLOOKUP($A218,S275_21,22,FALSE)*VLOOKUP($A218,'3121% SY'!$C$3:$M$324,11,FALSE),3),0)+IFERROR(VLOOKUP($A218,S275_09,8,FALSE),0)</f>
        <v>0.2</v>
      </c>
      <c r="V218" s="267">
        <f>IFERROR(VLOOKUP($A218,Supp_44,14,FALSE),0)+IFERROR(SUMPRODUCT(VLOOKUP($A218,S275_01,{23,24,25},FALSE)),0)+IFERROR(SUMPRODUCT(VLOOKUP($A218,S275_97,{23,24,25},FALSE)),0)+IFERROR(ROUND(VLOOKUP($A218,S275_21,23,FALSE)*VLOOKUP($A218,'3121% SY'!$C$3:$M$324,11,FALSE),3),0)+IFERROR(ROUND(VLOOKUP($A218,S275_21,24,FALSE)*VLOOKUP($A218,'3121% SY'!$C$3:$M$324,11,FALSE),3),0)+IFERROR(ROUND(VLOOKUP($A218,S275_21,25,FALSE)*VLOOKUP($A218,'3121% SY'!$C$3:$M$324,11,FALSE),3),0)+IFERROR(VLOOKUP($A218,S275_09,9,FALSE),0)</f>
        <v>1.55</v>
      </c>
      <c r="W218" s="267">
        <f>IFERROR(VLOOKUP($A218,Supp_45,14,FALSE),0)+IFERROR(SUMPRODUCT(VLOOKUP($A218,S275_01,{26,27,28},FALSE)),0)+IFERROR(SUMPRODUCT(VLOOKUP($A218,S275_97,{26,27,28},FALSE)),0)+IFERROR(ROUND(VLOOKUP($A218,S275_21,26,FALSE)*VLOOKUP($A218,'3121% SY'!$C$3:$M$324,11,FALSE),3),0)+IFERROR(ROUND(VLOOKUP($A218,S275_21,27,FALSE)*VLOOKUP($A218,'3121% SY'!$C$3:$M$324,11,FALSE),3),0)+IFERROR(ROUND(VLOOKUP($A218,S275_21,28,FALSE)*VLOOKUP($A218,'3121% SY'!$C$3:$M$324,11,FALSE),3),0)+IFERROR(VLOOKUP($A218,S275_09,10,FALSE),0)</f>
        <v>0.46800000000000003</v>
      </c>
      <c r="X218" s="267">
        <f>IFERROR(VLOOKUP($A218,Supp_46,14,FALSE),0)+IFERROR(SUMPRODUCT(VLOOKUP($A218,S275_01,{29,30,31},FALSE)),0)+IFERROR(SUMPRODUCT(VLOOKUP($A218,S275_97,{29,30,31},FALSE)),0)+IFERROR(ROUND(VLOOKUP($A218,S275_21,29,FALSE)*VLOOKUP($A218,'3121% SY'!$C$3:$M$324,11,FALSE),3),0)+IFERROR(ROUND(VLOOKUP($A218,S275_21,30,FALSE)*VLOOKUP($A218,'3121% SY'!$C$3:$M$324,11,FALSE),3),0)+IFERROR(ROUND(VLOOKUP($A218,S275_21,31,FALSE)*VLOOKUP($A218,'3121% SY'!$C$3:$M$324,11,FALSE),3),0)+IFERROR(VLOOKUP($A218,S275_09,11,FALSE),0)</f>
        <v>0.68199999999999994</v>
      </c>
      <c r="Y218" s="267">
        <f>IFERROR(VLOOKUP($A218,Supp_47,14,FALSE),0)+IFERROR(SUMPRODUCT(VLOOKUP($A218,S275_01,{32,33,34},FALSE)),0)+IFERROR(SUMPRODUCT(VLOOKUP($A218,S275_97,{32,33,34},FALSE)),0)+IFERROR(ROUND(VLOOKUP($A218,S275_21,32,FALSE)*VLOOKUP($A218,'3121% SY'!$C$3:$M$324,11,FALSE),3),0)+IFERROR(ROUND(VLOOKUP($A218,S275_21,33,FALSE)*VLOOKUP($A218,'3121% SY'!$C$3:$M$324,11,FALSE),3),0)+IFERROR(ROUND(VLOOKUP($A218,S275_21,34,FALSE)*VLOOKUP($A218,'3121% SY'!$C$3:$M$324,11,FALSE),3),0)+IFERROR(VLOOKUP($A218,S275_09,12,FALSE),0)</f>
        <v>0</v>
      </c>
      <c r="Z218" s="267">
        <f>IFERROR(VLOOKUP($A218,Supp_48,14,FALSE),0)+IFERROR(SUMPRODUCT(VLOOKUP($A218,S275_01,{35,36,37},FALSE)),0)+IFERROR(SUMPRODUCT(VLOOKUP($A218,S275_97,{35,36,37},FALSE)),0)+IFERROR(ROUND(VLOOKUP($A218,S275_21,35,FALSE)*VLOOKUP($A218,'3121% SY'!$C$3:$M$324,11,FALSE),3),0)+IFERROR(ROUND(VLOOKUP($A218,S275_21,36,FALSE)*VLOOKUP($A218,'3121% SY'!$C$3:$M$324,11,FALSE),3),0)+IFERROR(ROUND(VLOOKUP($A218,S275_21,37,FALSE)*VLOOKUP($A218,'3121% SY'!$C$3:$M$324,11,FALSE),3),0)+IFERROR(VLOOKUP($A218,S275_09,13,FALSE),0)</f>
        <v>0</v>
      </c>
      <c r="AA218" s="267">
        <f>IFERROR(VLOOKUP($A218,Supp_49,14,FALSE),0)+IFERROR(SUMPRODUCT(VLOOKUP($A218,S275_01,{38,39,40},FALSE)),0)+IFERROR(SUMPRODUCT(VLOOKUP($A218,S275_97,{38,39,40},FALSE)),0)+IFERROR(ROUND(VLOOKUP($A218,S275_21,38,FALSE)*VLOOKUP($A218,'3121% SY'!$C$3:$M$324,11,FALSE),3),0)+IFERROR(ROUND(VLOOKUP($A218,S275_21,39,FALSE)*VLOOKUP($A218,'3121% SY'!$C$3:$M$324,11,FALSE),3),0)+IFERROR(ROUND(VLOOKUP($A218,S275_21,40,FALSE)*VLOOKUP($A218,'3121% SY'!$C$3:$M$324,11,FALSE),3),0)+IFERROR(VLOOKUP($A218,S275_09,14,FALSE),0)</f>
        <v>0</v>
      </c>
      <c r="AB218" s="267">
        <f>IFERROR(VLOOKUP($A218,Supp_64,14,FALSE),0)+IFERROR(SUMPRODUCT(VLOOKUP($A218,S275_01,{41,42,43},FALSE)),0)+IFERROR(SUMPRODUCT(VLOOKUP($A218,S275_97,{41,42,43},FALSE)),0)+IFERROR(ROUND(VLOOKUP($A218,S275_21,41,FALSE)*VLOOKUP($A218,'3121% SY'!$C$3:$M$324,11,FALSE),3),0)+IFERROR(ROUND(VLOOKUP($A218,S275_21,42,FALSE)*VLOOKUP($A218,'3121% SY'!$C$3:$M$324,11,FALSE),3),0)+IFERROR(ROUND(VLOOKUP($A218,S275_21,43,FALSE)*VLOOKUP($A218,'3121% SY'!$C$3:$M$324,11,FALSE),3),0)+IFERROR(VLOOKUP($A218,S275_09,15,FALSE),0)</f>
        <v>0.13400000000000001</v>
      </c>
      <c r="AC218" s="268">
        <f t="shared" si="47"/>
        <v>6.9510000000000005</v>
      </c>
      <c r="AD218" s="267">
        <f>IFERROR(VLOOKUP($A218,Supp_24,14,FALSE),0)+IFERROR(SUMPRODUCT(VLOOKUP($A218,S275_01,{2,3,4},FALSE)),0)+IFERROR(SUMPRODUCT(VLOOKUP($A218,S275_97,{2,3,4},FALSE)),0)+IFERROR(ROUND(VLOOKUP($A218,S275_21,2,FALSE)*VLOOKUP($A218,'3121% SY'!$C$3:$M$324,11,FALSE),3),0)+IFERROR(ROUND(VLOOKUP($A218,S275_21,3,FALSE)*VLOOKUP($A218,'3121% SY'!$C$3:$M$324,11,FALSE),3),0)+IFERROR(ROUND(VLOOKUP($A218,S275_21,4,FALSE)*VLOOKUP($A218,'3121% SY'!$C$3:$M$324,11,FALSE),3),0)+IFERROR(VLOOKUP($A218,S275_09,2,FALSE),0)</f>
        <v>0</v>
      </c>
      <c r="AE218" s="267">
        <f>IFERROR(VLOOKUP($A218,Supp_25,14,FALSE),0)+IFERROR(SUMPRODUCT(VLOOKUP($A218,S275_01,{5,6,7},FALSE)),0)+IFERROR(SUMPRODUCT(VLOOKUP($A218,S275_97,{5,6,7},FALSE)),0)+IFERROR(ROUND(VLOOKUP($A218,S275_21,5,FALSE)*VLOOKUP($A218,'3121% SY'!$C$3:$M$324,11,FALSE),3),0)+IFERROR(ROUND(VLOOKUP($A218,S275_21,6,FALSE)*VLOOKUP($A218,'3121% SY'!$C$3:$M$324,11,FALSE),3),0)+IFERROR(ROUND(VLOOKUP($A218,S275_21,7,FALSE)*VLOOKUP($A218,'3121% SY'!$C$3:$M$324,11,FALSE),3),0)+IFERROR(VLOOKUP($A218,S275_09,3,FALSE),0)</f>
        <v>3.149</v>
      </c>
      <c r="AF218" s="267">
        <f>IFERROR(VLOOKUP($A218,Supp_26,14,FALSE),0)+IFERROR(SUMPRODUCT(VLOOKUP($A218,S275_01,{8,9,10},FALSE)),0)+IFERROR(SUMPRODUCT(VLOOKUP($A218,S275_97,{8,9,10},FALSE)),0)+IFERROR(ROUND(VLOOKUP($A218,S275_21,8,FALSE)*VLOOKUP($A218,'3121% SY'!$C$3:$M$324,11,FALSE),3),0)+IFERROR(ROUND(VLOOKUP($A218,S275_21,9,FALSE)*VLOOKUP($A218,'3121% SY'!$C$3:$M$324,11,FALSE),3),0)+IFERROR(ROUND(VLOOKUP($A218,S275_21,10,FALSE)*VLOOKUP($A218,'3121% SY'!$C$3:$M$324,11,FALSE),3),0)+IFERROR(VLOOKUP($A218,S275_09,4,FALSE),0)</f>
        <v>2.177</v>
      </c>
      <c r="AG218" s="267">
        <f>IFERROR(VLOOKUP($A218,Supp_35,14,FALSE),0)+IFERROR(SUMPRODUCT(VLOOKUP($A218,S275_01,{11,12,13},FALSE)),0)+IFERROR(SUMPRODUCT(VLOOKUP($A218,S275_97,{11,12,13},FALSE)),0)+IFERROR(ROUND(VLOOKUP($A218,S275_21,11,FALSE)*VLOOKUP($A218,'3121% SY'!$C$3:$M$324,11,FALSE),3),0)+IFERROR(ROUND(VLOOKUP($A218,S275_21,12,FALSE)*VLOOKUP($A218,'3121% SY'!$C$3:$M$324,11,FALSE),3),0)+IFERROR(ROUND(VLOOKUP($A218,S275_21,13,FALSE)*VLOOKUP($A218,'3121% SY'!$C$3:$M$324,11,FALSE),3),0)+IFERROR(VLOOKUP($A218,S275_09,5,FALSE),0)</f>
        <v>0</v>
      </c>
      <c r="AH218" s="165">
        <f t="shared" si="48"/>
        <v>5.3260000000000005</v>
      </c>
      <c r="AI218" s="161">
        <f>IFERROR(VLOOKUP(A218,'Supp Staff Data'!A:ER,148,FALSE),0)+AB218</f>
        <v>0.13400000000000001</v>
      </c>
      <c r="AJ218" s="174">
        <v>1</v>
      </c>
      <c r="AK218" s="25">
        <f>VLOOKUP(A218,'Enroll Data as of January 2025'!$A$3:$T$323,20,FALSE)-F218</f>
        <v>0</v>
      </c>
    </row>
    <row r="219" spans="1:37" x14ac:dyDescent="0.25">
      <c r="A219" s="171" t="s">
        <v>101</v>
      </c>
      <c r="B219" t="s">
        <v>397</v>
      </c>
      <c r="C219" s="173" t="s">
        <v>1077</v>
      </c>
      <c r="D219" s="259">
        <f t="shared" si="40"/>
        <v>6.98</v>
      </c>
      <c r="E219" s="259">
        <f t="shared" si="41"/>
        <v>7.1630000000000003</v>
      </c>
      <c r="F219" s="262">
        <f t="shared" si="42"/>
        <v>0.183</v>
      </c>
      <c r="G219" s="161">
        <f>ROUND(IF(F219&lt;0,F219*'2024-25 PSES Compliance'!$G$13,0),3)</f>
        <v>0</v>
      </c>
      <c r="H219" s="161">
        <f>ROUND(IF(F219&lt;0,F219*'2024-25 PSES Compliance'!$G$14,0),3)</f>
        <v>0</v>
      </c>
      <c r="I219" s="174">
        <f t="shared" si="43"/>
        <v>0.60067329331285768</v>
      </c>
      <c r="J219" s="174">
        <f t="shared" si="44"/>
        <v>0</v>
      </c>
      <c r="K219" s="161">
        <f>VLOOKUP($A219,'Enroll Data as of January 2025'!$A$3:$M$322,6,FALSE)</f>
        <v>4.1210000000000004</v>
      </c>
      <c r="L219" s="161">
        <f>VLOOKUP($A219,'Enroll Data as of January 2025'!$A$3:$M$322,7,FALSE)</f>
        <v>0.55799999999999994</v>
      </c>
      <c r="M219" s="161">
        <f>VLOOKUP($A219,'Enroll Data as of January 2025'!$A$3:$M$322,8,FALSE)</f>
        <v>0.188</v>
      </c>
      <c r="N219" s="161">
        <f>VLOOKUP($A219,'Enroll Data as of January 2025'!$A$3:$M$322,9,FALSE)</f>
        <v>1.754</v>
      </c>
      <c r="O219" s="165">
        <f t="shared" si="45"/>
        <v>6.6210000000000004</v>
      </c>
      <c r="P219" s="161">
        <f>VLOOKUP($A219,'Enroll Data as of January 2025'!$A$3:$M$322,11,FALSE)</f>
        <v>0.24299999999999999</v>
      </c>
      <c r="Q219" s="161">
        <f>VLOOKUP($A219,'Enroll Data as of January 2025'!$A$3:$M$322,12,FALSE)</f>
        <v>0.11600000000000001</v>
      </c>
      <c r="R219" s="165">
        <f t="shared" si="46"/>
        <v>0.35899999999999999</v>
      </c>
      <c r="S219" s="267">
        <f>IFERROR(VLOOKUP($A219,Supp_39,14,FALSE),0)+IFERROR(SUMPRODUCT(VLOOKUP($A219,S275_01,{14,15,16},FALSE)),0)+IFERROR(SUMPRODUCT(VLOOKUP($A219,S275_97,{14,15,16},FALSE)),0)+IFERROR(ROUND(VLOOKUP($A219,S275_21,14,FALSE)*VLOOKUP($A219,'3121% SY'!$C$3:$M$324,11,FALSE),3),0)+IFERROR(ROUND(VLOOKUP($A219,S275_21,15,FALSE)*VLOOKUP($A219,'3121% SY'!$C$3:$M$324,11,FALSE),3),0)+IFERROR(ROUND(VLOOKUP($A219,S275_21,16,FALSE)*VLOOKUP($A219,'3121% SY'!$C$3:$M$324,11,FALSE),3),0)+IFERROR(VLOOKUP($A219,S275_09,6,FALSE),0)</f>
        <v>2.3679999999999999</v>
      </c>
      <c r="T219" s="267">
        <f>IFERROR(VLOOKUP($A219,Supp_42,14,FALSE),0)+IFERROR(SUMPRODUCT(VLOOKUP($A219,S275_01,{17,18,19},FALSE)),0)+IFERROR(SUMPRODUCT(VLOOKUP($A219,S275_97,{17,18,19},FALSE)),0)+IFERROR(ROUND(VLOOKUP($A219,S275_21,17,FALSE)*VLOOKUP($A219,'3121% SY'!$C$3:$M$324,11,FALSE),3),0)+IFERROR(ROUND(VLOOKUP($A219,S275_21,18,FALSE)*VLOOKUP($A219,'3121% SY'!$C$3:$M$324,11,FALSE),3),0)+IFERROR(ROUND(VLOOKUP($A219,S275_21,19,FALSE)*VLOOKUP($A219,'3121% SY'!$C$3:$M$324,11,FALSE),3),0)+IFERROR(VLOOKUP($A219,S275_09,7,FALSE),0)</f>
        <v>1.08</v>
      </c>
      <c r="U219" s="267">
        <f>IFERROR(VLOOKUP($A219,Supp_43,14,FALSE),0)+IFERROR(SUMPRODUCT(VLOOKUP($A219,S275_01,{20,21,22},FALSE)),0)+IFERROR(SUMPRODUCT(VLOOKUP($A219,S275_97,{20,21,22},FALSE)),0)+IFERROR(ROUND(VLOOKUP($A219,S275_21,20,FALSE)*VLOOKUP($A219,'3121% SY'!$C$3:$M$324,11,FALSE),3),0)+IFERROR(ROUND(VLOOKUP($A219,S275_21,21,FALSE)*VLOOKUP($A219,'3121% SY'!$C$3:$M$324,11,FALSE),3),0)+IFERROR(ROUND(VLOOKUP($A219,S275_21,22,FALSE)*VLOOKUP($A219,'3121% SY'!$C$3:$M$324,11,FALSE),3),0)+IFERROR(VLOOKUP($A219,S275_09,8,FALSE),0)</f>
        <v>0</v>
      </c>
      <c r="V219" s="267">
        <f>IFERROR(VLOOKUP($A219,Supp_44,14,FALSE),0)+IFERROR(SUMPRODUCT(VLOOKUP($A219,S275_01,{23,24,25},FALSE)),0)+IFERROR(SUMPRODUCT(VLOOKUP($A219,S275_97,{23,24,25},FALSE)),0)+IFERROR(ROUND(VLOOKUP($A219,S275_21,23,FALSE)*VLOOKUP($A219,'3121% SY'!$C$3:$M$324,11,FALSE),3),0)+IFERROR(ROUND(VLOOKUP($A219,S275_21,24,FALSE)*VLOOKUP($A219,'3121% SY'!$C$3:$M$324,11,FALSE),3),0)+IFERROR(ROUND(VLOOKUP($A219,S275_21,25,FALSE)*VLOOKUP($A219,'3121% SY'!$C$3:$M$324,11,FALSE),3),0)+IFERROR(VLOOKUP($A219,S275_09,9,FALSE),0)</f>
        <v>0</v>
      </c>
      <c r="W219" s="267">
        <f>IFERROR(VLOOKUP($A219,Supp_45,14,FALSE),0)+IFERROR(SUMPRODUCT(VLOOKUP($A219,S275_01,{26,27,28},FALSE)),0)+IFERROR(SUMPRODUCT(VLOOKUP($A219,S275_97,{26,27,28},FALSE)),0)+IFERROR(ROUND(VLOOKUP($A219,S275_21,26,FALSE)*VLOOKUP($A219,'3121% SY'!$C$3:$M$324,11,FALSE),3),0)+IFERROR(ROUND(VLOOKUP($A219,S275_21,27,FALSE)*VLOOKUP($A219,'3121% SY'!$C$3:$M$324,11,FALSE),3),0)+IFERROR(ROUND(VLOOKUP($A219,S275_21,28,FALSE)*VLOOKUP($A219,'3121% SY'!$C$3:$M$324,11,FALSE),3),0)+IFERROR(VLOOKUP($A219,S275_09,10,FALSE),0)</f>
        <v>0</v>
      </c>
      <c r="X219" s="267">
        <f>IFERROR(VLOOKUP($A219,Supp_46,14,FALSE),0)+IFERROR(SUMPRODUCT(VLOOKUP($A219,S275_01,{29,30,31},FALSE)),0)+IFERROR(SUMPRODUCT(VLOOKUP($A219,S275_97,{29,30,31},FALSE)),0)+IFERROR(ROUND(VLOOKUP($A219,S275_21,29,FALSE)*VLOOKUP($A219,'3121% SY'!$C$3:$M$324,11,FALSE),3),0)+IFERROR(ROUND(VLOOKUP($A219,S275_21,30,FALSE)*VLOOKUP($A219,'3121% SY'!$C$3:$M$324,11,FALSE),3),0)+IFERROR(ROUND(VLOOKUP($A219,S275_21,31,FALSE)*VLOOKUP($A219,'3121% SY'!$C$3:$M$324,11,FALSE),3),0)+IFERROR(VLOOKUP($A219,S275_09,11,FALSE),0)</f>
        <v>0.90599999999999992</v>
      </c>
      <c r="Y219" s="267">
        <f>IFERROR(VLOOKUP($A219,Supp_47,14,FALSE),0)+IFERROR(SUMPRODUCT(VLOOKUP($A219,S275_01,{32,33,34},FALSE)),0)+IFERROR(SUMPRODUCT(VLOOKUP($A219,S275_97,{32,33,34},FALSE)),0)+IFERROR(ROUND(VLOOKUP($A219,S275_21,32,FALSE)*VLOOKUP($A219,'3121% SY'!$C$3:$M$324,11,FALSE),3),0)+IFERROR(ROUND(VLOOKUP($A219,S275_21,33,FALSE)*VLOOKUP($A219,'3121% SY'!$C$3:$M$324,11,FALSE),3),0)+IFERROR(ROUND(VLOOKUP($A219,S275_21,34,FALSE)*VLOOKUP($A219,'3121% SY'!$C$3:$M$324,11,FALSE),3),0)+IFERROR(VLOOKUP($A219,S275_09,12,FALSE),0)</f>
        <v>0</v>
      </c>
      <c r="Z219" s="267">
        <f>IFERROR(VLOOKUP($A219,Supp_48,14,FALSE),0)+IFERROR(SUMPRODUCT(VLOOKUP($A219,S275_01,{35,36,37},FALSE)),0)+IFERROR(SUMPRODUCT(VLOOKUP($A219,S275_97,{35,36,37},FALSE)),0)+IFERROR(ROUND(VLOOKUP($A219,S275_21,35,FALSE)*VLOOKUP($A219,'3121% SY'!$C$3:$M$324,11,FALSE),3),0)+IFERROR(ROUND(VLOOKUP($A219,S275_21,36,FALSE)*VLOOKUP($A219,'3121% SY'!$C$3:$M$324,11,FALSE),3),0)+IFERROR(ROUND(VLOOKUP($A219,S275_21,37,FALSE)*VLOOKUP($A219,'3121% SY'!$C$3:$M$324,11,FALSE),3),0)+IFERROR(VLOOKUP($A219,S275_09,13,FALSE),0)</f>
        <v>0</v>
      </c>
      <c r="AA219" s="267">
        <f>IFERROR(VLOOKUP($A219,Supp_49,14,FALSE),0)+IFERROR(SUMPRODUCT(VLOOKUP($A219,S275_01,{38,39,40},FALSE)),0)+IFERROR(SUMPRODUCT(VLOOKUP($A219,S275_97,{38,39,40},FALSE)),0)+IFERROR(ROUND(VLOOKUP($A219,S275_21,38,FALSE)*VLOOKUP($A219,'3121% SY'!$C$3:$M$324,11,FALSE),3),0)+IFERROR(ROUND(VLOOKUP($A219,S275_21,39,FALSE)*VLOOKUP($A219,'3121% SY'!$C$3:$M$324,11,FALSE),3),0)+IFERROR(ROUND(VLOOKUP($A219,S275_21,40,FALSE)*VLOOKUP($A219,'3121% SY'!$C$3:$M$324,11,FALSE),3),0)+IFERROR(VLOOKUP($A219,S275_09,14,FALSE),0)</f>
        <v>0</v>
      </c>
      <c r="AB219" s="267">
        <f>IFERROR(VLOOKUP($A219,Supp_64,14,FALSE),0)+IFERROR(SUMPRODUCT(VLOOKUP($A219,S275_01,{41,42,43},FALSE)),0)+IFERROR(SUMPRODUCT(VLOOKUP($A219,S275_97,{41,42,43},FALSE)),0)+IFERROR(ROUND(VLOOKUP($A219,S275_21,41,FALSE)*VLOOKUP($A219,'3121% SY'!$C$3:$M$324,11,FALSE),3),0)+IFERROR(ROUND(VLOOKUP($A219,S275_21,42,FALSE)*VLOOKUP($A219,'3121% SY'!$C$3:$M$324,11,FALSE),3),0)+IFERROR(ROUND(VLOOKUP($A219,S275_21,43,FALSE)*VLOOKUP($A219,'3121% SY'!$C$3:$M$324,11,FALSE),3),0)+IFERROR(VLOOKUP($A219,S275_09,15,FALSE),0)</f>
        <v>0</v>
      </c>
      <c r="AC219" s="268">
        <f t="shared" si="47"/>
        <v>4.3540000000000001</v>
      </c>
      <c r="AD219" s="267">
        <f>IFERROR(VLOOKUP($A219,Supp_24,14,FALSE),0)+IFERROR(SUMPRODUCT(VLOOKUP($A219,S275_01,{2,3,4},FALSE)),0)+IFERROR(SUMPRODUCT(VLOOKUP($A219,S275_97,{2,3,4},FALSE)),0)+IFERROR(ROUND(VLOOKUP($A219,S275_21,2,FALSE)*VLOOKUP($A219,'3121% SY'!$C$3:$M$324,11,FALSE),3),0)+IFERROR(ROUND(VLOOKUP($A219,S275_21,3,FALSE)*VLOOKUP($A219,'3121% SY'!$C$3:$M$324,11,FALSE),3),0)+IFERROR(ROUND(VLOOKUP($A219,S275_21,4,FALSE)*VLOOKUP($A219,'3121% SY'!$C$3:$M$324,11,FALSE),3),0)+IFERROR(VLOOKUP($A219,S275_09,2,FALSE),0)</f>
        <v>0.73799999999999999</v>
      </c>
      <c r="AE219" s="267">
        <f>IFERROR(VLOOKUP($A219,Supp_25,14,FALSE),0)+IFERROR(SUMPRODUCT(VLOOKUP($A219,S275_01,{5,6,7},FALSE)),0)+IFERROR(SUMPRODUCT(VLOOKUP($A219,S275_97,{5,6,7},FALSE)),0)+IFERROR(ROUND(VLOOKUP($A219,S275_21,5,FALSE)*VLOOKUP($A219,'3121% SY'!$C$3:$M$324,11,FALSE),3),0)+IFERROR(ROUND(VLOOKUP($A219,S275_21,6,FALSE)*VLOOKUP($A219,'3121% SY'!$C$3:$M$324,11,FALSE),3),0)+IFERROR(ROUND(VLOOKUP($A219,S275_21,7,FALSE)*VLOOKUP($A219,'3121% SY'!$C$3:$M$324,11,FALSE),3),0)+IFERROR(VLOOKUP($A219,S275_09,3,FALSE),0)</f>
        <v>1.58</v>
      </c>
      <c r="AF219" s="267">
        <f>IFERROR(VLOOKUP($A219,Supp_26,14,FALSE),0)+IFERROR(SUMPRODUCT(VLOOKUP($A219,S275_01,{8,9,10},FALSE)),0)+IFERROR(SUMPRODUCT(VLOOKUP($A219,S275_97,{8,9,10},FALSE)),0)+IFERROR(ROUND(VLOOKUP($A219,S275_21,8,FALSE)*VLOOKUP($A219,'3121% SY'!$C$3:$M$324,11,FALSE),3),0)+IFERROR(ROUND(VLOOKUP($A219,S275_21,9,FALSE)*VLOOKUP($A219,'3121% SY'!$C$3:$M$324,11,FALSE),3),0)+IFERROR(ROUND(VLOOKUP($A219,S275_21,10,FALSE)*VLOOKUP($A219,'3121% SY'!$C$3:$M$324,11,FALSE),3),0)+IFERROR(VLOOKUP($A219,S275_09,4,FALSE),0)</f>
        <v>0.49099999999999999</v>
      </c>
      <c r="AG219" s="267">
        <f>IFERROR(VLOOKUP($A219,Supp_35,14,FALSE),0)+IFERROR(SUMPRODUCT(VLOOKUP($A219,S275_01,{11,12,13},FALSE)),0)+IFERROR(SUMPRODUCT(VLOOKUP($A219,S275_97,{11,12,13},FALSE)),0)+IFERROR(ROUND(VLOOKUP($A219,S275_21,11,FALSE)*VLOOKUP($A219,'3121% SY'!$C$3:$M$324,11,FALSE),3),0)+IFERROR(ROUND(VLOOKUP($A219,S275_21,12,FALSE)*VLOOKUP($A219,'3121% SY'!$C$3:$M$324,11,FALSE),3),0)+IFERROR(ROUND(VLOOKUP($A219,S275_21,13,FALSE)*VLOOKUP($A219,'3121% SY'!$C$3:$M$324,11,FALSE),3),0)+IFERROR(VLOOKUP($A219,S275_09,5,FALSE),0)</f>
        <v>0</v>
      </c>
      <c r="AH219" s="165">
        <f t="shared" si="48"/>
        <v>2.8090000000000002</v>
      </c>
      <c r="AI219" s="161">
        <f>IFERROR(VLOOKUP(A219,'Supp Staff Data'!A:ER,148,FALSE),0)+AB219</f>
        <v>0</v>
      </c>
      <c r="AJ219" s="174">
        <v>0.98819999999999997</v>
      </c>
      <c r="AK219" s="25">
        <f>VLOOKUP(A219,'Enroll Data as of January 2025'!$A$3:$T$323,20,FALSE)-F219</f>
        <v>0</v>
      </c>
    </row>
    <row r="220" spans="1:37" x14ac:dyDescent="0.25">
      <c r="A220" s="171" t="s">
        <v>289</v>
      </c>
      <c r="B220" t="s">
        <v>585</v>
      </c>
      <c r="C220" s="173" t="s">
        <v>1077</v>
      </c>
      <c r="D220" s="259">
        <f t="shared" si="40"/>
        <v>3.05</v>
      </c>
      <c r="E220" s="259">
        <f t="shared" si="41"/>
        <v>5.4850000000000003</v>
      </c>
      <c r="F220" s="262">
        <f t="shared" si="42"/>
        <v>2.4350000000000001</v>
      </c>
      <c r="G220" s="161">
        <f>ROUND(IF(F220&lt;0,F220*'2024-25 PSES Compliance'!$G$13,0),3)</f>
        <v>0</v>
      </c>
      <c r="H220" s="161">
        <f>ROUND(IF(F220&lt;0,F220*'2024-25 PSES Compliance'!$G$14,0),3)</f>
        <v>0</v>
      </c>
      <c r="I220" s="174">
        <f t="shared" si="43"/>
        <v>0.24089533272561531</v>
      </c>
      <c r="J220" s="174">
        <f t="shared" si="44"/>
        <v>0</v>
      </c>
      <c r="K220" s="161">
        <f>VLOOKUP($A220,'Enroll Data as of January 2025'!$A$3:$M$322,6,FALSE)</f>
        <v>1.5189999999999999</v>
      </c>
      <c r="L220" s="161">
        <f>VLOOKUP($A220,'Enroll Data as of January 2025'!$A$3:$M$322,7,FALSE)</f>
        <v>0.35500000000000004</v>
      </c>
      <c r="M220" s="161">
        <f>VLOOKUP($A220,'Enroll Data as of January 2025'!$A$3:$M$322,8,FALSE)</f>
        <v>0.11700000000000001</v>
      </c>
      <c r="N220" s="161">
        <f>VLOOKUP($A220,'Enroll Data as of January 2025'!$A$3:$M$322,9,FALSE)</f>
        <v>0.86199999999999999</v>
      </c>
      <c r="O220" s="165">
        <f t="shared" si="45"/>
        <v>2.8529999999999998</v>
      </c>
      <c r="P220" s="161">
        <f>VLOOKUP($A220,'Enroll Data as of January 2025'!$A$3:$M$322,11,FALSE)</f>
        <v>0.10900000000000001</v>
      </c>
      <c r="Q220" s="161">
        <f>VLOOKUP($A220,'Enroll Data as of January 2025'!$A$3:$M$322,12,FALSE)</f>
        <v>8.7999999999999995E-2</v>
      </c>
      <c r="R220" s="165">
        <f t="shared" si="46"/>
        <v>0.19700000000000001</v>
      </c>
      <c r="S220" s="267">
        <f>IFERROR(VLOOKUP($A220,Supp_39,14,FALSE),0)+IFERROR(SUMPRODUCT(VLOOKUP($A220,S275_01,{14,15,16},FALSE)),0)+IFERROR(SUMPRODUCT(VLOOKUP($A220,S275_97,{14,15,16},FALSE)),0)+IFERROR(ROUND(VLOOKUP($A220,S275_21,14,FALSE)*VLOOKUP($A220,'3121% SY'!$C$3:$M$324,11,FALSE),3),0)+IFERROR(ROUND(VLOOKUP($A220,S275_21,15,FALSE)*VLOOKUP($A220,'3121% SY'!$C$3:$M$324,11,FALSE),3),0)+IFERROR(ROUND(VLOOKUP($A220,S275_21,16,FALSE)*VLOOKUP($A220,'3121% SY'!$C$3:$M$324,11,FALSE),3),0)+IFERROR(VLOOKUP($A220,S275_09,6,FALSE),0)</f>
        <v>0.5</v>
      </c>
      <c r="T220" s="267">
        <f>IFERROR(VLOOKUP($A220,Supp_42,14,FALSE),0)+IFERROR(SUMPRODUCT(VLOOKUP($A220,S275_01,{17,18,19},FALSE)),0)+IFERROR(SUMPRODUCT(VLOOKUP($A220,S275_97,{17,18,19},FALSE)),0)+IFERROR(ROUND(VLOOKUP($A220,S275_21,17,FALSE)*VLOOKUP($A220,'3121% SY'!$C$3:$M$324,11,FALSE),3),0)+IFERROR(ROUND(VLOOKUP($A220,S275_21,18,FALSE)*VLOOKUP($A220,'3121% SY'!$C$3:$M$324,11,FALSE),3),0)+IFERROR(ROUND(VLOOKUP($A220,S275_21,19,FALSE)*VLOOKUP($A220,'3121% SY'!$C$3:$M$324,11,FALSE),3),0)+IFERROR(VLOOKUP($A220,S275_09,7,FALSE),0)</f>
        <v>0.5</v>
      </c>
      <c r="U220" s="267">
        <f>IFERROR(VLOOKUP($A220,Supp_43,14,FALSE),0)+IFERROR(SUMPRODUCT(VLOOKUP($A220,S275_01,{20,21,22},FALSE)),0)+IFERROR(SUMPRODUCT(VLOOKUP($A220,S275_97,{20,21,22},FALSE)),0)+IFERROR(ROUND(VLOOKUP($A220,S275_21,20,FALSE)*VLOOKUP($A220,'3121% SY'!$C$3:$M$324,11,FALSE),3),0)+IFERROR(ROUND(VLOOKUP($A220,S275_21,21,FALSE)*VLOOKUP($A220,'3121% SY'!$C$3:$M$324,11,FALSE),3),0)+IFERROR(ROUND(VLOOKUP($A220,S275_21,22,FALSE)*VLOOKUP($A220,'3121% SY'!$C$3:$M$324,11,FALSE),3),0)+IFERROR(VLOOKUP($A220,S275_09,8,FALSE),0)</f>
        <v>7.1000000000000008E-2</v>
      </c>
      <c r="V220" s="267">
        <f>IFERROR(VLOOKUP($A220,Supp_44,14,FALSE),0)+IFERROR(SUMPRODUCT(VLOOKUP($A220,S275_01,{23,24,25},FALSE)),0)+IFERROR(SUMPRODUCT(VLOOKUP($A220,S275_97,{23,24,25},FALSE)),0)+IFERROR(ROUND(VLOOKUP($A220,S275_21,23,FALSE)*VLOOKUP($A220,'3121% SY'!$C$3:$M$324,11,FALSE),3),0)+IFERROR(ROUND(VLOOKUP($A220,S275_21,24,FALSE)*VLOOKUP($A220,'3121% SY'!$C$3:$M$324,11,FALSE),3),0)+IFERROR(ROUND(VLOOKUP($A220,S275_21,25,FALSE)*VLOOKUP($A220,'3121% SY'!$C$3:$M$324,11,FALSE),3),0)+IFERROR(VLOOKUP($A220,S275_09,9,FALSE),0)</f>
        <v>0</v>
      </c>
      <c r="W220" s="267">
        <f>IFERROR(VLOOKUP($A220,Supp_45,14,FALSE),0)+IFERROR(SUMPRODUCT(VLOOKUP($A220,S275_01,{26,27,28},FALSE)),0)+IFERROR(SUMPRODUCT(VLOOKUP($A220,S275_97,{26,27,28},FALSE)),0)+IFERROR(ROUND(VLOOKUP($A220,S275_21,26,FALSE)*VLOOKUP($A220,'3121% SY'!$C$3:$M$324,11,FALSE),3),0)+IFERROR(ROUND(VLOOKUP($A220,S275_21,27,FALSE)*VLOOKUP($A220,'3121% SY'!$C$3:$M$324,11,FALSE),3),0)+IFERROR(ROUND(VLOOKUP($A220,S275_21,28,FALSE)*VLOOKUP($A220,'3121% SY'!$C$3:$M$324,11,FALSE),3),0)+IFERROR(VLOOKUP($A220,S275_09,10,FALSE),0)</f>
        <v>5.3999999999999999E-2</v>
      </c>
      <c r="X220" s="267">
        <f>IFERROR(VLOOKUP($A220,Supp_46,14,FALSE),0)+IFERROR(SUMPRODUCT(VLOOKUP($A220,S275_01,{29,30,31},FALSE)),0)+IFERROR(SUMPRODUCT(VLOOKUP($A220,S275_97,{29,30,31},FALSE)),0)+IFERROR(ROUND(VLOOKUP($A220,S275_21,29,FALSE)*VLOOKUP($A220,'3121% SY'!$C$3:$M$324,11,FALSE),3),0)+IFERROR(ROUND(VLOOKUP($A220,S275_21,30,FALSE)*VLOOKUP($A220,'3121% SY'!$C$3:$M$324,11,FALSE),3),0)+IFERROR(ROUND(VLOOKUP($A220,S275_21,31,FALSE)*VLOOKUP($A220,'3121% SY'!$C$3:$M$324,11,FALSE),3),0)+IFERROR(VLOOKUP($A220,S275_09,11,FALSE),0)</f>
        <v>0.19</v>
      </c>
      <c r="Y220" s="267">
        <f>IFERROR(VLOOKUP($A220,Supp_47,14,FALSE),0)+IFERROR(SUMPRODUCT(VLOOKUP($A220,S275_01,{32,33,34},FALSE)),0)+IFERROR(SUMPRODUCT(VLOOKUP($A220,S275_97,{32,33,34},FALSE)),0)+IFERROR(ROUND(VLOOKUP($A220,S275_21,32,FALSE)*VLOOKUP($A220,'3121% SY'!$C$3:$M$324,11,FALSE),3),0)+IFERROR(ROUND(VLOOKUP($A220,S275_21,33,FALSE)*VLOOKUP($A220,'3121% SY'!$C$3:$M$324,11,FALSE),3),0)+IFERROR(ROUND(VLOOKUP($A220,S275_21,34,FALSE)*VLOOKUP($A220,'3121% SY'!$C$3:$M$324,11,FALSE),3),0)+IFERROR(VLOOKUP($A220,S275_09,12,FALSE),0)</f>
        <v>0</v>
      </c>
      <c r="Z220" s="267">
        <f>IFERROR(VLOOKUP($A220,Supp_48,14,FALSE),0)+IFERROR(SUMPRODUCT(VLOOKUP($A220,S275_01,{35,36,37},FALSE)),0)+IFERROR(SUMPRODUCT(VLOOKUP($A220,S275_97,{35,36,37},FALSE)),0)+IFERROR(ROUND(VLOOKUP($A220,S275_21,35,FALSE)*VLOOKUP($A220,'3121% SY'!$C$3:$M$324,11,FALSE),3),0)+IFERROR(ROUND(VLOOKUP($A220,S275_21,36,FALSE)*VLOOKUP($A220,'3121% SY'!$C$3:$M$324,11,FALSE),3),0)+IFERROR(ROUND(VLOOKUP($A220,S275_21,37,FALSE)*VLOOKUP($A220,'3121% SY'!$C$3:$M$324,11,FALSE),3),0)+IFERROR(VLOOKUP($A220,S275_09,13,FALSE),0)</f>
        <v>0</v>
      </c>
      <c r="AA220" s="267">
        <f>IFERROR(VLOOKUP($A220,Supp_49,14,FALSE),0)+IFERROR(SUMPRODUCT(VLOOKUP($A220,S275_01,{38,39,40},FALSE)),0)+IFERROR(SUMPRODUCT(VLOOKUP($A220,S275_97,{38,39,40},FALSE)),0)+IFERROR(ROUND(VLOOKUP($A220,S275_21,38,FALSE)*VLOOKUP($A220,'3121% SY'!$C$3:$M$324,11,FALSE),3),0)+IFERROR(ROUND(VLOOKUP($A220,S275_21,39,FALSE)*VLOOKUP($A220,'3121% SY'!$C$3:$M$324,11,FALSE),3),0)+IFERROR(ROUND(VLOOKUP($A220,S275_21,40,FALSE)*VLOOKUP($A220,'3121% SY'!$C$3:$M$324,11,FALSE),3),0)+IFERROR(VLOOKUP($A220,S275_09,14,FALSE),0)</f>
        <v>4.2000000000000003E-2</v>
      </c>
      <c r="AB220" s="267">
        <f>IFERROR(VLOOKUP($A220,Supp_64,14,FALSE),0)+IFERROR(SUMPRODUCT(VLOOKUP($A220,S275_01,{41,42,43},FALSE)),0)+IFERROR(SUMPRODUCT(VLOOKUP($A220,S275_97,{41,42,43},FALSE)),0)+IFERROR(ROUND(VLOOKUP($A220,S275_21,41,FALSE)*VLOOKUP($A220,'3121% SY'!$C$3:$M$324,11,FALSE),3),0)+IFERROR(ROUND(VLOOKUP($A220,S275_21,42,FALSE)*VLOOKUP($A220,'3121% SY'!$C$3:$M$324,11,FALSE),3),0)+IFERROR(ROUND(VLOOKUP($A220,S275_21,43,FALSE)*VLOOKUP($A220,'3121% SY'!$C$3:$M$324,11,FALSE),3),0)+IFERROR(VLOOKUP($A220,S275_09,15,FALSE),0)</f>
        <v>0</v>
      </c>
      <c r="AC220" s="268">
        <f t="shared" si="47"/>
        <v>1.357</v>
      </c>
      <c r="AD220" s="267">
        <f>IFERROR(VLOOKUP($A220,Supp_24,14,FALSE),0)+IFERROR(SUMPRODUCT(VLOOKUP($A220,S275_01,{2,3,4},FALSE)),0)+IFERROR(SUMPRODUCT(VLOOKUP($A220,S275_97,{2,3,4},FALSE)),0)+IFERROR(ROUND(VLOOKUP($A220,S275_21,2,FALSE)*VLOOKUP($A220,'3121% SY'!$C$3:$M$324,11,FALSE),3),0)+IFERROR(ROUND(VLOOKUP($A220,S275_21,3,FALSE)*VLOOKUP($A220,'3121% SY'!$C$3:$M$324,11,FALSE),3),0)+IFERROR(ROUND(VLOOKUP($A220,S275_21,4,FALSE)*VLOOKUP($A220,'3121% SY'!$C$3:$M$324,11,FALSE),3),0)+IFERROR(VLOOKUP($A220,S275_09,2,FALSE),0)</f>
        <v>0</v>
      </c>
      <c r="AE220" s="267">
        <f>IFERROR(VLOOKUP($A220,Supp_25,14,FALSE),0)+IFERROR(SUMPRODUCT(VLOOKUP($A220,S275_01,{5,6,7},FALSE)),0)+IFERROR(SUMPRODUCT(VLOOKUP($A220,S275_97,{5,6,7},FALSE)),0)+IFERROR(ROUND(VLOOKUP($A220,S275_21,5,FALSE)*VLOOKUP($A220,'3121% SY'!$C$3:$M$324,11,FALSE),3),0)+IFERROR(ROUND(VLOOKUP($A220,S275_21,6,FALSE)*VLOOKUP($A220,'3121% SY'!$C$3:$M$324,11,FALSE),3),0)+IFERROR(ROUND(VLOOKUP($A220,S275_21,7,FALSE)*VLOOKUP($A220,'3121% SY'!$C$3:$M$324,11,FALSE),3),0)+IFERROR(VLOOKUP($A220,S275_09,3,FALSE),0)</f>
        <v>3.0939999999999999</v>
      </c>
      <c r="AF220" s="267">
        <f>IFERROR(VLOOKUP($A220,Supp_26,14,FALSE),0)+IFERROR(SUMPRODUCT(VLOOKUP($A220,S275_01,{8,9,10},FALSE)),0)+IFERROR(SUMPRODUCT(VLOOKUP($A220,S275_97,{8,9,10},FALSE)),0)+IFERROR(ROUND(VLOOKUP($A220,S275_21,8,FALSE)*VLOOKUP($A220,'3121% SY'!$C$3:$M$324,11,FALSE),3),0)+IFERROR(ROUND(VLOOKUP($A220,S275_21,9,FALSE)*VLOOKUP($A220,'3121% SY'!$C$3:$M$324,11,FALSE),3),0)+IFERROR(ROUND(VLOOKUP($A220,S275_21,10,FALSE)*VLOOKUP($A220,'3121% SY'!$C$3:$M$324,11,FALSE),3),0)+IFERROR(VLOOKUP($A220,S275_09,4,FALSE),0)</f>
        <v>1.034</v>
      </c>
      <c r="AG220" s="267">
        <f>IFERROR(VLOOKUP($A220,Supp_35,14,FALSE),0)+IFERROR(SUMPRODUCT(VLOOKUP($A220,S275_01,{11,12,13},FALSE)),0)+IFERROR(SUMPRODUCT(VLOOKUP($A220,S275_97,{11,12,13},FALSE)),0)+IFERROR(ROUND(VLOOKUP($A220,S275_21,11,FALSE)*VLOOKUP($A220,'3121% SY'!$C$3:$M$324,11,FALSE),3),0)+IFERROR(ROUND(VLOOKUP($A220,S275_21,12,FALSE)*VLOOKUP($A220,'3121% SY'!$C$3:$M$324,11,FALSE),3),0)+IFERROR(ROUND(VLOOKUP($A220,S275_21,13,FALSE)*VLOOKUP($A220,'3121% SY'!$C$3:$M$324,11,FALSE),3),0)+IFERROR(VLOOKUP($A220,S275_09,5,FALSE),0)</f>
        <v>0</v>
      </c>
      <c r="AH220" s="165">
        <f t="shared" si="48"/>
        <v>4.1280000000000001</v>
      </c>
      <c r="AI220" s="161">
        <f>IFERROR(VLOOKUP(A220,'Supp Staff Data'!A:ER,148,FALSE),0)+AB220</f>
        <v>0</v>
      </c>
      <c r="AJ220" s="174">
        <v>0.97370000000000001</v>
      </c>
      <c r="AK220" s="25">
        <f>VLOOKUP(A220,'Enroll Data as of January 2025'!$A$3:$T$323,20,FALSE)-F220</f>
        <v>0</v>
      </c>
    </row>
    <row r="221" spans="1:37" x14ac:dyDescent="0.25">
      <c r="A221" s="171" t="s">
        <v>189</v>
      </c>
      <c r="B221" t="s">
        <v>484</v>
      </c>
      <c r="C221" s="173" t="s">
        <v>1077</v>
      </c>
      <c r="D221" s="259">
        <f t="shared" si="40"/>
        <v>7.4729999999999999</v>
      </c>
      <c r="E221" s="259">
        <f t="shared" si="41"/>
        <v>10.198</v>
      </c>
      <c r="F221" s="262">
        <f t="shared" si="42"/>
        <v>2.7250000000000001</v>
      </c>
      <c r="G221" s="161">
        <f>ROUND(IF(F221&lt;0,F221*'2024-25 PSES Compliance'!$G$13,0),3)</f>
        <v>0</v>
      </c>
      <c r="H221" s="161">
        <f>ROUND(IF(F221&lt;0,F221*'2024-25 PSES Compliance'!$G$14,0),3)</f>
        <v>0</v>
      </c>
      <c r="I221" s="174">
        <f t="shared" si="43"/>
        <v>0.58580113747793672</v>
      </c>
      <c r="J221" s="174">
        <f t="shared" si="44"/>
        <v>0</v>
      </c>
      <c r="K221" s="161">
        <f>VLOOKUP($A221,'Enroll Data as of January 2025'!$A$3:$M$322,6,FALSE)</f>
        <v>3.6949999999999998</v>
      </c>
      <c r="L221" s="161">
        <f>VLOOKUP($A221,'Enroll Data as of January 2025'!$A$3:$M$322,7,FALSE)</f>
        <v>0.89</v>
      </c>
      <c r="M221" s="161">
        <f>VLOOKUP($A221,'Enroll Data as of January 2025'!$A$3:$M$322,8,FALSE)</f>
        <v>0.29400000000000004</v>
      </c>
      <c r="N221" s="161">
        <f>VLOOKUP($A221,'Enroll Data as of January 2025'!$A$3:$M$322,9,FALSE)</f>
        <v>2.1040000000000001</v>
      </c>
      <c r="O221" s="165">
        <f t="shared" si="45"/>
        <v>6.9829999999999997</v>
      </c>
      <c r="P221" s="161">
        <f>VLOOKUP($A221,'Enroll Data as of January 2025'!$A$3:$M$322,11,FALSE)</f>
        <v>0.26800000000000002</v>
      </c>
      <c r="Q221" s="161">
        <f>VLOOKUP($A221,'Enroll Data as of January 2025'!$A$3:$M$322,12,FALSE)</f>
        <v>0.222</v>
      </c>
      <c r="R221" s="165">
        <f t="shared" si="46"/>
        <v>0.49</v>
      </c>
      <c r="S221" s="267">
        <f>IFERROR(VLOOKUP($A221,Supp_39,14,FALSE),0)+IFERROR(SUMPRODUCT(VLOOKUP($A221,S275_01,{14,15,16},FALSE)),0)+IFERROR(SUMPRODUCT(VLOOKUP($A221,S275_97,{14,15,16},FALSE)),0)+IFERROR(ROUND(VLOOKUP($A221,S275_21,14,FALSE)*VLOOKUP($A221,'3121% SY'!$C$3:$M$324,11,FALSE),3),0)+IFERROR(ROUND(VLOOKUP($A221,S275_21,15,FALSE)*VLOOKUP($A221,'3121% SY'!$C$3:$M$324,11,FALSE),3),0)+IFERROR(ROUND(VLOOKUP($A221,S275_21,16,FALSE)*VLOOKUP($A221,'3121% SY'!$C$3:$M$324,11,FALSE),3),0)+IFERROR(VLOOKUP($A221,S275_09,6,FALSE),0)</f>
        <v>2.5499999999999998</v>
      </c>
      <c r="T221" s="267">
        <f>IFERROR(VLOOKUP($A221,Supp_42,14,FALSE),0)+IFERROR(SUMPRODUCT(VLOOKUP($A221,S275_01,{17,18,19},FALSE)),0)+IFERROR(SUMPRODUCT(VLOOKUP($A221,S275_97,{17,18,19},FALSE)),0)+IFERROR(ROUND(VLOOKUP($A221,S275_21,17,FALSE)*VLOOKUP($A221,'3121% SY'!$C$3:$M$324,11,FALSE),3),0)+IFERROR(ROUND(VLOOKUP($A221,S275_21,18,FALSE)*VLOOKUP($A221,'3121% SY'!$C$3:$M$324,11,FALSE),3),0)+IFERROR(ROUND(VLOOKUP($A221,S275_21,19,FALSE)*VLOOKUP($A221,'3121% SY'!$C$3:$M$324,11,FALSE),3),0)+IFERROR(VLOOKUP($A221,S275_09,7,FALSE),0)</f>
        <v>1.1000000000000001</v>
      </c>
      <c r="U221" s="267">
        <f>IFERROR(VLOOKUP($A221,Supp_43,14,FALSE),0)+IFERROR(SUMPRODUCT(VLOOKUP($A221,S275_01,{20,21,22},FALSE)),0)+IFERROR(SUMPRODUCT(VLOOKUP($A221,S275_97,{20,21,22},FALSE)),0)+IFERROR(ROUND(VLOOKUP($A221,S275_21,20,FALSE)*VLOOKUP($A221,'3121% SY'!$C$3:$M$324,11,FALSE),3),0)+IFERROR(ROUND(VLOOKUP($A221,S275_21,21,FALSE)*VLOOKUP($A221,'3121% SY'!$C$3:$M$324,11,FALSE),3),0)+IFERROR(ROUND(VLOOKUP($A221,S275_21,22,FALSE)*VLOOKUP($A221,'3121% SY'!$C$3:$M$324,11,FALSE),3),0)+IFERROR(VLOOKUP($A221,S275_09,8,FALSE),0)</f>
        <v>0.308</v>
      </c>
      <c r="V221" s="267">
        <f>IFERROR(VLOOKUP($A221,Supp_44,14,FALSE),0)+IFERROR(SUMPRODUCT(VLOOKUP($A221,S275_01,{23,24,25},FALSE)),0)+IFERROR(SUMPRODUCT(VLOOKUP($A221,S275_97,{23,24,25},FALSE)),0)+IFERROR(ROUND(VLOOKUP($A221,S275_21,23,FALSE)*VLOOKUP($A221,'3121% SY'!$C$3:$M$324,11,FALSE),3),0)+IFERROR(ROUND(VLOOKUP($A221,S275_21,24,FALSE)*VLOOKUP($A221,'3121% SY'!$C$3:$M$324,11,FALSE),3),0)+IFERROR(ROUND(VLOOKUP($A221,S275_21,25,FALSE)*VLOOKUP($A221,'3121% SY'!$C$3:$M$324,11,FALSE),3),0)+IFERROR(VLOOKUP($A221,S275_09,9,FALSE),0)</f>
        <v>0</v>
      </c>
      <c r="W221" s="267">
        <f>IFERROR(VLOOKUP($A221,Supp_45,14,FALSE),0)+IFERROR(SUMPRODUCT(VLOOKUP($A221,S275_01,{26,27,28},FALSE)),0)+IFERROR(SUMPRODUCT(VLOOKUP($A221,S275_97,{26,27,28},FALSE)),0)+IFERROR(ROUND(VLOOKUP($A221,S275_21,26,FALSE)*VLOOKUP($A221,'3121% SY'!$C$3:$M$324,11,FALSE),3),0)+IFERROR(ROUND(VLOOKUP($A221,S275_21,27,FALSE)*VLOOKUP($A221,'3121% SY'!$C$3:$M$324,11,FALSE),3),0)+IFERROR(ROUND(VLOOKUP($A221,S275_21,28,FALSE)*VLOOKUP($A221,'3121% SY'!$C$3:$M$324,11,FALSE),3),0)+IFERROR(VLOOKUP($A221,S275_09,10,FALSE),0)</f>
        <v>0.4</v>
      </c>
      <c r="X221" s="267">
        <f>IFERROR(VLOOKUP($A221,Supp_46,14,FALSE),0)+IFERROR(SUMPRODUCT(VLOOKUP($A221,S275_01,{29,30,31},FALSE)),0)+IFERROR(SUMPRODUCT(VLOOKUP($A221,S275_97,{29,30,31},FALSE)),0)+IFERROR(ROUND(VLOOKUP($A221,S275_21,29,FALSE)*VLOOKUP($A221,'3121% SY'!$C$3:$M$324,11,FALSE),3),0)+IFERROR(ROUND(VLOOKUP($A221,S275_21,30,FALSE)*VLOOKUP($A221,'3121% SY'!$C$3:$M$324,11,FALSE),3),0)+IFERROR(ROUND(VLOOKUP($A221,S275_21,31,FALSE)*VLOOKUP($A221,'3121% SY'!$C$3:$M$324,11,FALSE),3),0)+IFERROR(VLOOKUP($A221,S275_09,11,FALSE),0)</f>
        <v>1.282</v>
      </c>
      <c r="Y221" s="267">
        <f>IFERROR(VLOOKUP($A221,Supp_47,14,FALSE),0)+IFERROR(SUMPRODUCT(VLOOKUP($A221,S275_01,{32,33,34},FALSE)),0)+IFERROR(SUMPRODUCT(VLOOKUP($A221,S275_97,{32,33,34},FALSE)),0)+IFERROR(ROUND(VLOOKUP($A221,S275_21,32,FALSE)*VLOOKUP($A221,'3121% SY'!$C$3:$M$324,11,FALSE),3),0)+IFERROR(ROUND(VLOOKUP($A221,S275_21,33,FALSE)*VLOOKUP($A221,'3121% SY'!$C$3:$M$324,11,FALSE),3),0)+IFERROR(ROUND(VLOOKUP($A221,S275_21,34,FALSE)*VLOOKUP($A221,'3121% SY'!$C$3:$M$324,11,FALSE),3),0)+IFERROR(VLOOKUP($A221,S275_09,12,FALSE),0)</f>
        <v>0.33400000000000002</v>
      </c>
      <c r="Z221" s="267">
        <f>IFERROR(VLOOKUP($A221,Supp_48,14,FALSE),0)+IFERROR(SUMPRODUCT(VLOOKUP($A221,S275_01,{35,36,37},FALSE)),0)+IFERROR(SUMPRODUCT(VLOOKUP($A221,S275_97,{35,36,37},FALSE)),0)+IFERROR(ROUND(VLOOKUP($A221,S275_21,35,FALSE)*VLOOKUP($A221,'3121% SY'!$C$3:$M$324,11,FALSE),3),0)+IFERROR(ROUND(VLOOKUP($A221,S275_21,36,FALSE)*VLOOKUP($A221,'3121% SY'!$C$3:$M$324,11,FALSE),3),0)+IFERROR(ROUND(VLOOKUP($A221,S275_21,37,FALSE)*VLOOKUP($A221,'3121% SY'!$C$3:$M$324,11,FALSE),3),0)+IFERROR(VLOOKUP($A221,S275_09,13,FALSE),0)</f>
        <v>0</v>
      </c>
      <c r="AA221" s="267">
        <f>IFERROR(VLOOKUP($A221,Supp_49,14,FALSE),0)+IFERROR(SUMPRODUCT(VLOOKUP($A221,S275_01,{38,39,40},FALSE)),0)+IFERROR(SUMPRODUCT(VLOOKUP($A221,S275_97,{38,39,40},FALSE)),0)+IFERROR(ROUND(VLOOKUP($A221,S275_21,38,FALSE)*VLOOKUP($A221,'3121% SY'!$C$3:$M$324,11,FALSE),3),0)+IFERROR(ROUND(VLOOKUP($A221,S275_21,39,FALSE)*VLOOKUP($A221,'3121% SY'!$C$3:$M$324,11,FALSE),3),0)+IFERROR(ROUND(VLOOKUP($A221,S275_21,40,FALSE)*VLOOKUP($A221,'3121% SY'!$C$3:$M$324,11,FALSE),3),0)+IFERROR(VLOOKUP($A221,S275_09,14,FALSE),0)</f>
        <v>0</v>
      </c>
      <c r="AB221" s="267">
        <f>IFERROR(VLOOKUP($A221,Supp_64,14,FALSE),0)+IFERROR(SUMPRODUCT(VLOOKUP($A221,S275_01,{41,42,43},FALSE)),0)+IFERROR(SUMPRODUCT(VLOOKUP($A221,S275_97,{41,42,43},FALSE)),0)+IFERROR(ROUND(VLOOKUP($A221,S275_21,41,FALSE)*VLOOKUP($A221,'3121% SY'!$C$3:$M$324,11,FALSE),3),0)+IFERROR(ROUND(VLOOKUP($A221,S275_21,42,FALSE)*VLOOKUP($A221,'3121% SY'!$C$3:$M$324,11,FALSE),3),0)+IFERROR(ROUND(VLOOKUP($A221,S275_21,43,FALSE)*VLOOKUP($A221,'3121% SY'!$C$3:$M$324,11,FALSE),3),0)+IFERROR(VLOOKUP($A221,S275_09,15,FALSE),0)</f>
        <v>0</v>
      </c>
      <c r="AC221" s="268">
        <f t="shared" si="47"/>
        <v>5.9739999999999993</v>
      </c>
      <c r="AD221" s="267">
        <f>IFERROR(VLOOKUP($A221,Supp_24,14,FALSE),0)+IFERROR(SUMPRODUCT(VLOOKUP($A221,S275_01,{2,3,4},FALSE)),0)+IFERROR(SUMPRODUCT(VLOOKUP($A221,S275_97,{2,3,4},FALSE)),0)+IFERROR(ROUND(VLOOKUP($A221,S275_21,2,FALSE)*VLOOKUP($A221,'3121% SY'!$C$3:$M$324,11,FALSE),3),0)+IFERROR(ROUND(VLOOKUP($A221,S275_21,3,FALSE)*VLOOKUP($A221,'3121% SY'!$C$3:$M$324,11,FALSE),3),0)+IFERROR(ROUND(VLOOKUP($A221,S275_21,4,FALSE)*VLOOKUP($A221,'3121% SY'!$C$3:$M$324,11,FALSE),3),0)+IFERROR(VLOOKUP($A221,S275_09,2,FALSE),0)</f>
        <v>0</v>
      </c>
      <c r="AE221" s="267">
        <f>IFERROR(VLOOKUP($A221,Supp_25,14,FALSE),0)+IFERROR(SUMPRODUCT(VLOOKUP($A221,S275_01,{5,6,7},FALSE)),0)+IFERROR(SUMPRODUCT(VLOOKUP($A221,S275_97,{5,6,7},FALSE)),0)+IFERROR(ROUND(VLOOKUP($A221,S275_21,5,FALSE)*VLOOKUP($A221,'3121% SY'!$C$3:$M$324,11,FALSE),3),0)+IFERROR(ROUND(VLOOKUP($A221,S275_21,6,FALSE)*VLOOKUP($A221,'3121% SY'!$C$3:$M$324,11,FALSE),3),0)+IFERROR(ROUND(VLOOKUP($A221,S275_21,7,FALSE)*VLOOKUP($A221,'3121% SY'!$C$3:$M$324,11,FALSE),3),0)+IFERROR(VLOOKUP($A221,S275_09,3,FALSE),0)</f>
        <v>2.101</v>
      </c>
      <c r="AF221" s="267">
        <f>IFERROR(VLOOKUP($A221,Supp_26,14,FALSE),0)+IFERROR(SUMPRODUCT(VLOOKUP($A221,S275_01,{8,9,10},FALSE)),0)+IFERROR(SUMPRODUCT(VLOOKUP($A221,S275_97,{8,9,10},FALSE)),0)+IFERROR(ROUND(VLOOKUP($A221,S275_21,8,FALSE)*VLOOKUP($A221,'3121% SY'!$C$3:$M$324,11,FALSE),3),0)+IFERROR(ROUND(VLOOKUP($A221,S275_21,9,FALSE)*VLOOKUP($A221,'3121% SY'!$C$3:$M$324,11,FALSE),3),0)+IFERROR(ROUND(VLOOKUP($A221,S275_21,10,FALSE)*VLOOKUP($A221,'3121% SY'!$C$3:$M$324,11,FALSE),3),0)+IFERROR(VLOOKUP($A221,S275_09,4,FALSE),0)</f>
        <v>2.1230000000000002</v>
      </c>
      <c r="AG221" s="267">
        <f>IFERROR(VLOOKUP($A221,Supp_35,14,FALSE),0)+IFERROR(SUMPRODUCT(VLOOKUP($A221,S275_01,{11,12,13},FALSE)),0)+IFERROR(SUMPRODUCT(VLOOKUP($A221,S275_97,{11,12,13},FALSE)),0)+IFERROR(ROUND(VLOOKUP($A221,S275_21,11,FALSE)*VLOOKUP($A221,'3121% SY'!$C$3:$M$324,11,FALSE),3),0)+IFERROR(ROUND(VLOOKUP($A221,S275_21,12,FALSE)*VLOOKUP($A221,'3121% SY'!$C$3:$M$324,11,FALSE),3),0)+IFERROR(ROUND(VLOOKUP($A221,S275_21,13,FALSE)*VLOOKUP($A221,'3121% SY'!$C$3:$M$324,11,FALSE),3),0)+IFERROR(VLOOKUP($A221,S275_09,5,FALSE),0)</f>
        <v>0</v>
      </c>
      <c r="AH221" s="165">
        <f t="shared" si="48"/>
        <v>4.2240000000000002</v>
      </c>
      <c r="AI221" s="161">
        <f>IFERROR(VLOOKUP(A221,'Supp Staff Data'!A:ER,148,FALSE),0)+AB221</f>
        <v>0</v>
      </c>
      <c r="AJ221" s="174">
        <v>1</v>
      </c>
      <c r="AK221" s="25">
        <f>VLOOKUP(A221,'Enroll Data as of January 2025'!$A$3:$T$323,20,FALSE)-F221</f>
        <v>0</v>
      </c>
    </row>
    <row r="222" spans="1:37" x14ac:dyDescent="0.25">
      <c r="A222" s="171" t="s">
        <v>270</v>
      </c>
      <c r="B222" t="s">
        <v>566</v>
      </c>
      <c r="C222" s="173" t="s">
        <v>1078</v>
      </c>
      <c r="D222" s="259">
        <f t="shared" si="40"/>
        <v>10.212999999999999</v>
      </c>
      <c r="E222" s="259">
        <f t="shared" si="41"/>
        <v>11.51</v>
      </c>
      <c r="F222" s="262">
        <f t="shared" si="42"/>
        <v>1.2969999999999999</v>
      </c>
      <c r="G222" s="161">
        <f>ROUND(IF(F222&lt;0,F222*'2024-25 PSES Compliance'!$G$13,0),3)</f>
        <v>0</v>
      </c>
      <c r="H222" s="161">
        <f>ROUND(IF(F222&lt;0,F222*'2024-25 PSES Compliance'!$G$14,0),3)</f>
        <v>0</v>
      </c>
      <c r="I222" s="174">
        <f t="shared" si="43"/>
        <v>0.7177237185056472</v>
      </c>
      <c r="J222" s="174">
        <f t="shared" si="44"/>
        <v>0</v>
      </c>
      <c r="K222" s="161">
        <f>VLOOKUP($A222,'Enroll Data as of January 2025'!$A$3:$M$322,6,FALSE)</f>
        <v>5.71</v>
      </c>
      <c r="L222" s="161">
        <f>VLOOKUP($A222,'Enroll Data as of January 2025'!$A$3:$M$322,7,FALSE)</f>
        <v>0.95200000000000007</v>
      </c>
      <c r="M222" s="161">
        <f>VLOOKUP($A222,'Enroll Data as of January 2025'!$A$3:$M$322,8,FALSE)</f>
        <v>0.31900000000000006</v>
      </c>
      <c r="N222" s="161">
        <f>VLOOKUP($A222,'Enroll Data as of January 2025'!$A$3:$M$322,9,FALSE)</f>
        <v>2.6579999999999999</v>
      </c>
      <c r="O222" s="165">
        <f t="shared" si="45"/>
        <v>9.6389999999999993</v>
      </c>
      <c r="P222" s="161">
        <f>VLOOKUP($A222,'Enroll Data as of January 2025'!$A$3:$M$322,11,FALSE)</f>
        <v>0.35899999999999999</v>
      </c>
      <c r="Q222" s="161">
        <f>VLOOKUP($A222,'Enroll Data as of January 2025'!$A$3:$M$322,12,FALSE)</f>
        <v>0.215</v>
      </c>
      <c r="R222" s="165">
        <f t="shared" si="46"/>
        <v>0.57399999999999995</v>
      </c>
      <c r="S222" s="267">
        <f>IFERROR(VLOOKUP($A222,Supp_39,14,FALSE),0)+IFERROR(SUMPRODUCT(VLOOKUP($A222,S275_01,{14,15,16},FALSE)),0)+IFERROR(SUMPRODUCT(VLOOKUP($A222,S275_97,{14,15,16},FALSE)),0)+IFERROR(ROUND(VLOOKUP($A222,S275_21,14,FALSE)*VLOOKUP($A222,'3121% SY'!$C$3:$M$324,11,FALSE),3),0)+IFERROR(ROUND(VLOOKUP($A222,S275_21,15,FALSE)*VLOOKUP($A222,'3121% SY'!$C$3:$M$324,11,FALSE),3),0)+IFERROR(ROUND(VLOOKUP($A222,S275_21,16,FALSE)*VLOOKUP($A222,'3121% SY'!$C$3:$M$324,11,FALSE),3),0)+IFERROR(VLOOKUP($A222,S275_09,6,FALSE),0)</f>
        <v>4.25</v>
      </c>
      <c r="T222" s="267">
        <f>IFERROR(VLOOKUP($A222,Supp_42,14,FALSE),0)+IFERROR(SUMPRODUCT(VLOOKUP($A222,S275_01,{17,18,19},FALSE)),0)+IFERROR(SUMPRODUCT(VLOOKUP($A222,S275_97,{17,18,19},FALSE)),0)+IFERROR(ROUND(VLOOKUP($A222,S275_21,17,FALSE)*VLOOKUP($A222,'3121% SY'!$C$3:$M$324,11,FALSE),3),0)+IFERROR(ROUND(VLOOKUP($A222,S275_21,18,FALSE)*VLOOKUP($A222,'3121% SY'!$C$3:$M$324,11,FALSE),3),0)+IFERROR(ROUND(VLOOKUP($A222,S275_21,19,FALSE)*VLOOKUP($A222,'3121% SY'!$C$3:$M$324,11,FALSE),3),0)+IFERROR(VLOOKUP($A222,S275_09,7,FALSE),0)</f>
        <v>0.69</v>
      </c>
      <c r="U222" s="267">
        <f>IFERROR(VLOOKUP($A222,Supp_43,14,FALSE),0)+IFERROR(SUMPRODUCT(VLOOKUP($A222,S275_01,{20,21,22},FALSE)),0)+IFERROR(SUMPRODUCT(VLOOKUP($A222,S275_97,{20,21,22},FALSE)),0)+IFERROR(ROUND(VLOOKUP($A222,S275_21,20,FALSE)*VLOOKUP($A222,'3121% SY'!$C$3:$M$324,11,FALSE),3),0)+IFERROR(ROUND(VLOOKUP($A222,S275_21,21,FALSE)*VLOOKUP($A222,'3121% SY'!$C$3:$M$324,11,FALSE),3),0)+IFERROR(ROUND(VLOOKUP($A222,S275_21,22,FALSE)*VLOOKUP($A222,'3121% SY'!$C$3:$M$324,11,FALSE),3),0)+IFERROR(VLOOKUP($A222,S275_09,8,FALSE),0)</f>
        <v>0.26099999999999995</v>
      </c>
      <c r="V222" s="267">
        <f>IFERROR(VLOOKUP($A222,Supp_44,14,FALSE),0)+IFERROR(SUMPRODUCT(VLOOKUP($A222,S275_01,{23,24,25},FALSE)),0)+IFERROR(SUMPRODUCT(VLOOKUP($A222,S275_97,{23,24,25},FALSE)),0)+IFERROR(ROUND(VLOOKUP($A222,S275_21,23,FALSE)*VLOOKUP($A222,'3121% SY'!$C$3:$M$324,11,FALSE),3),0)+IFERROR(ROUND(VLOOKUP($A222,S275_21,24,FALSE)*VLOOKUP($A222,'3121% SY'!$C$3:$M$324,11,FALSE),3),0)+IFERROR(ROUND(VLOOKUP($A222,S275_21,25,FALSE)*VLOOKUP($A222,'3121% SY'!$C$3:$M$324,11,FALSE),3),0)+IFERROR(VLOOKUP($A222,S275_09,9,FALSE),0)</f>
        <v>1.6E-2</v>
      </c>
      <c r="W222" s="267">
        <f>IFERROR(VLOOKUP($A222,Supp_45,14,FALSE),0)+IFERROR(SUMPRODUCT(VLOOKUP($A222,S275_01,{26,27,28},FALSE)),0)+IFERROR(SUMPRODUCT(VLOOKUP($A222,S275_97,{26,27,28},FALSE)),0)+IFERROR(ROUND(VLOOKUP($A222,S275_21,26,FALSE)*VLOOKUP($A222,'3121% SY'!$C$3:$M$324,11,FALSE),3),0)+IFERROR(ROUND(VLOOKUP($A222,S275_21,27,FALSE)*VLOOKUP($A222,'3121% SY'!$C$3:$M$324,11,FALSE),3),0)+IFERROR(ROUND(VLOOKUP($A222,S275_21,28,FALSE)*VLOOKUP($A222,'3121% SY'!$C$3:$M$324,11,FALSE),3),0)+IFERROR(VLOOKUP($A222,S275_09,10,FALSE),0)</f>
        <v>0.92399999999999993</v>
      </c>
      <c r="X222" s="267">
        <f>IFERROR(VLOOKUP($A222,Supp_46,14,FALSE),0)+IFERROR(SUMPRODUCT(VLOOKUP($A222,S275_01,{29,30,31},FALSE)),0)+IFERROR(SUMPRODUCT(VLOOKUP($A222,S275_97,{29,30,31},FALSE)),0)+IFERROR(ROUND(VLOOKUP($A222,S275_21,29,FALSE)*VLOOKUP($A222,'3121% SY'!$C$3:$M$324,11,FALSE),3),0)+IFERROR(ROUND(VLOOKUP($A222,S275_21,30,FALSE)*VLOOKUP($A222,'3121% SY'!$C$3:$M$324,11,FALSE),3),0)+IFERROR(ROUND(VLOOKUP($A222,S275_21,31,FALSE)*VLOOKUP($A222,'3121% SY'!$C$3:$M$324,11,FALSE),3),0)+IFERROR(VLOOKUP($A222,S275_09,11,FALSE),0)</f>
        <v>1.84</v>
      </c>
      <c r="Y222" s="267">
        <f>IFERROR(VLOOKUP($A222,Supp_47,14,FALSE),0)+IFERROR(SUMPRODUCT(VLOOKUP($A222,S275_01,{32,33,34},FALSE)),0)+IFERROR(SUMPRODUCT(VLOOKUP($A222,S275_97,{32,33,34},FALSE)),0)+IFERROR(ROUND(VLOOKUP($A222,S275_21,32,FALSE)*VLOOKUP($A222,'3121% SY'!$C$3:$M$324,11,FALSE),3),0)+IFERROR(ROUND(VLOOKUP($A222,S275_21,33,FALSE)*VLOOKUP($A222,'3121% SY'!$C$3:$M$324,11,FALSE),3),0)+IFERROR(ROUND(VLOOKUP($A222,S275_21,34,FALSE)*VLOOKUP($A222,'3121% SY'!$C$3:$M$324,11,FALSE),3),0)+IFERROR(VLOOKUP($A222,S275_09,12,FALSE),0)</f>
        <v>0.28000000000000003</v>
      </c>
      <c r="Z222" s="267">
        <f>IFERROR(VLOOKUP($A222,Supp_48,14,FALSE),0)+IFERROR(SUMPRODUCT(VLOOKUP($A222,S275_01,{35,36,37},FALSE)),0)+IFERROR(SUMPRODUCT(VLOOKUP($A222,S275_97,{35,36,37},FALSE)),0)+IFERROR(ROUND(VLOOKUP($A222,S275_21,35,FALSE)*VLOOKUP($A222,'3121% SY'!$C$3:$M$324,11,FALSE),3),0)+IFERROR(ROUND(VLOOKUP($A222,S275_21,36,FALSE)*VLOOKUP($A222,'3121% SY'!$C$3:$M$324,11,FALSE),3),0)+IFERROR(ROUND(VLOOKUP($A222,S275_21,37,FALSE)*VLOOKUP($A222,'3121% SY'!$C$3:$M$324,11,FALSE),3),0)+IFERROR(VLOOKUP($A222,S275_09,13,FALSE),0)</f>
        <v>0</v>
      </c>
      <c r="AA222" s="267">
        <f>IFERROR(VLOOKUP($A222,Supp_49,14,FALSE),0)+IFERROR(SUMPRODUCT(VLOOKUP($A222,S275_01,{38,39,40},FALSE)),0)+IFERROR(SUMPRODUCT(VLOOKUP($A222,S275_97,{38,39,40},FALSE)),0)+IFERROR(ROUND(VLOOKUP($A222,S275_21,38,FALSE)*VLOOKUP($A222,'3121% SY'!$C$3:$M$324,11,FALSE),3),0)+IFERROR(ROUND(VLOOKUP($A222,S275_21,39,FALSE)*VLOOKUP($A222,'3121% SY'!$C$3:$M$324,11,FALSE),3),0)+IFERROR(ROUND(VLOOKUP($A222,S275_21,40,FALSE)*VLOOKUP($A222,'3121% SY'!$C$3:$M$324,11,FALSE),3),0)+IFERROR(VLOOKUP($A222,S275_09,14,FALSE),0)</f>
        <v>0</v>
      </c>
      <c r="AB222" s="267">
        <f>IFERROR(VLOOKUP($A222,Supp_64,14,FALSE),0)+IFERROR(SUMPRODUCT(VLOOKUP($A222,S275_01,{41,42,43},FALSE)),0)+IFERROR(SUMPRODUCT(VLOOKUP($A222,S275_97,{41,42,43},FALSE)),0)+IFERROR(ROUND(VLOOKUP($A222,S275_21,41,FALSE)*VLOOKUP($A222,'3121% SY'!$C$3:$M$324,11,FALSE),3),0)+IFERROR(ROUND(VLOOKUP($A222,S275_21,42,FALSE)*VLOOKUP($A222,'3121% SY'!$C$3:$M$324,11,FALSE),3),0)+IFERROR(ROUND(VLOOKUP($A222,S275_21,43,FALSE)*VLOOKUP($A222,'3121% SY'!$C$3:$M$324,11,FALSE),3),0)+IFERROR(VLOOKUP($A222,S275_09,15,FALSE),0)</f>
        <v>0</v>
      </c>
      <c r="AC222" s="268">
        <f t="shared" si="47"/>
        <v>8.2609999999999992</v>
      </c>
      <c r="AD222" s="267">
        <f>IFERROR(VLOOKUP($A222,Supp_24,14,FALSE),0)+IFERROR(SUMPRODUCT(VLOOKUP($A222,S275_01,{2,3,4},FALSE)),0)+IFERROR(SUMPRODUCT(VLOOKUP($A222,S275_97,{2,3,4},FALSE)),0)+IFERROR(ROUND(VLOOKUP($A222,S275_21,2,FALSE)*VLOOKUP($A222,'3121% SY'!$C$3:$M$324,11,FALSE),3),0)+IFERROR(ROUND(VLOOKUP($A222,S275_21,3,FALSE)*VLOOKUP($A222,'3121% SY'!$C$3:$M$324,11,FALSE),3),0)+IFERROR(ROUND(VLOOKUP($A222,S275_21,4,FALSE)*VLOOKUP($A222,'3121% SY'!$C$3:$M$324,11,FALSE),3),0)+IFERROR(VLOOKUP($A222,S275_09,2,FALSE),0)</f>
        <v>4.5999999999999999E-2</v>
      </c>
      <c r="AE222" s="267">
        <f>IFERROR(VLOOKUP($A222,Supp_25,14,FALSE),0)+IFERROR(SUMPRODUCT(VLOOKUP($A222,S275_01,{5,6,7},FALSE)),0)+IFERROR(SUMPRODUCT(VLOOKUP($A222,S275_97,{5,6,7},FALSE)),0)+IFERROR(ROUND(VLOOKUP($A222,S275_21,5,FALSE)*VLOOKUP($A222,'3121% SY'!$C$3:$M$324,11,FALSE),3),0)+IFERROR(ROUND(VLOOKUP($A222,S275_21,6,FALSE)*VLOOKUP($A222,'3121% SY'!$C$3:$M$324,11,FALSE),3),0)+IFERROR(ROUND(VLOOKUP($A222,S275_21,7,FALSE)*VLOOKUP($A222,'3121% SY'!$C$3:$M$324,11,FALSE),3),0)+IFERROR(VLOOKUP($A222,S275_09,3,FALSE),0)</f>
        <v>1.861</v>
      </c>
      <c r="AF222" s="267">
        <f>IFERROR(VLOOKUP($A222,Supp_26,14,FALSE),0)+IFERROR(SUMPRODUCT(VLOOKUP($A222,S275_01,{8,9,10},FALSE)),0)+IFERROR(SUMPRODUCT(VLOOKUP($A222,S275_97,{8,9,10},FALSE)),0)+IFERROR(ROUND(VLOOKUP($A222,S275_21,8,FALSE)*VLOOKUP($A222,'3121% SY'!$C$3:$M$324,11,FALSE),3),0)+IFERROR(ROUND(VLOOKUP($A222,S275_21,9,FALSE)*VLOOKUP($A222,'3121% SY'!$C$3:$M$324,11,FALSE),3),0)+IFERROR(ROUND(VLOOKUP($A222,S275_21,10,FALSE)*VLOOKUP($A222,'3121% SY'!$C$3:$M$324,11,FALSE),3),0)+IFERROR(VLOOKUP($A222,S275_09,4,FALSE),0)</f>
        <v>1.3420000000000001</v>
      </c>
      <c r="AG222" s="267">
        <f>IFERROR(VLOOKUP($A222,Supp_35,14,FALSE),0)+IFERROR(SUMPRODUCT(VLOOKUP($A222,S275_01,{11,12,13},FALSE)),0)+IFERROR(SUMPRODUCT(VLOOKUP($A222,S275_97,{11,12,13},FALSE)),0)+IFERROR(ROUND(VLOOKUP($A222,S275_21,11,FALSE)*VLOOKUP($A222,'3121% SY'!$C$3:$M$324,11,FALSE),3),0)+IFERROR(ROUND(VLOOKUP($A222,S275_21,12,FALSE)*VLOOKUP($A222,'3121% SY'!$C$3:$M$324,11,FALSE),3),0)+IFERROR(ROUND(VLOOKUP($A222,S275_21,13,FALSE)*VLOOKUP($A222,'3121% SY'!$C$3:$M$324,11,FALSE),3),0)+IFERROR(VLOOKUP($A222,S275_09,5,FALSE),0)</f>
        <v>0</v>
      </c>
      <c r="AH222" s="165">
        <f t="shared" si="48"/>
        <v>3.2490000000000001</v>
      </c>
      <c r="AI222" s="161">
        <f>IFERROR(VLOOKUP(A222,'Supp Staff Data'!A:ER,148,FALSE),0)+AB222</f>
        <v>0</v>
      </c>
      <c r="AJ222" s="174">
        <v>1</v>
      </c>
      <c r="AK222" s="25">
        <f>VLOOKUP(A222,'Enroll Data as of January 2025'!$A$3:$T$323,20,FALSE)-F222</f>
        <v>0</v>
      </c>
    </row>
    <row r="223" spans="1:37" x14ac:dyDescent="0.25">
      <c r="A223" s="171" t="s">
        <v>66</v>
      </c>
      <c r="B223" t="s">
        <v>362</v>
      </c>
      <c r="C223" s="173" t="s">
        <v>1077</v>
      </c>
      <c r="D223" s="259">
        <f t="shared" si="40"/>
        <v>16.011999999999997</v>
      </c>
      <c r="E223" s="259">
        <f t="shared" si="41"/>
        <v>19.841999999999999</v>
      </c>
      <c r="F223" s="262">
        <f t="shared" si="42"/>
        <v>3.83</v>
      </c>
      <c r="G223" s="161">
        <f>ROUND(IF(F223&lt;0,F223*'2024-25 PSES Compliance'!$G$13,0),3)</f>
        <v>0</v>
      </c>
      <c r="H223" s="161">
        <f>ROUND(IF(F223&lt;0,F223*'2024-25 PSES Compliance'!$G$14,0),3)</f>
        <v>0</v>
      </c>
      <c r="I223" s="174">
        <f t="shared" si="43"/>
        <v>0.75219231932264896</v>
      </c>
      <c r="J223" s="174">
        <f t="shared" si="44"/>
        <v>0</v>
      </c>
      <c r="K223" s="161">
        <f>VLOOKUP($A223,'Enroll Data as of January 2025'!$A$3:$M$322,6,FALSE)</f>
        <v>8.9689999999999994</v>
      </c>
      <c r="L223" s="161">
        <f>VLOOKUP($A223,'Enroll Data as of January 2025'!$A$3:$M$322,7,FALSE)</f>
        <v>1.482</v>
      </c>
      <c r="M223" s="161">
        <f>VLOOKUP($A223,'Enroll Data as of January 2025'!$A$3:$M$322,8,FALSE)</f>
        <v>0.497</v>
      </c>
      <c r="N223" s="161">
        <f>VLOOKUP($A223,'Enroll Data as of January 2025'!$A$3:$M$322,9,FALSE)</f>
        <v>4.1669999999999998</v>
      </c>
      <c r="O223" s="165">
        <f t="shared" si="45"/>
        <v>15.114999999999998</v>
      </c>
      <c r="P223" s="161">
        <f>VLOOKUP($A223,'Enroll Data as of January 2025'!$A$3:$M$322,11,FALSE)</f>
        <v>0.56300000000000006</v>
      </c>
      <c r="Q223" s="161">
        <f>VLOOKUP($A223,'Enroll Data as of January 2025'!$A$3:$M$322,12,FALSE)</f>
        <v>0.33400000000000002</v>
      </c>
      <c r="R223" s="165">
        <f t="shared" si="46"/>
        <v>0.89700000000000002</v>
      </c>
      <c r="S223" s="267">
        <f>IFERROR(VLOOKUP($A223,Supp_39,14,FALSE),0)+IFERROR(SUMPRODUCT(VLOOKUP($A223,S275_01,{14,15,16},FALSE)),0)+IFERROR(SUMPRODUCT(VLOOKUP($A223,S275_97,{14,15,16},FALSE)),0)+IFERROR(ROUND(VLOOKUP($A223,S275_21,14,FALSE)*VLOOKUP($A223,'3121% SY'!$C$3:$M$324,11,FALSE),3),0)+IFERROR(ROUND(VLOOKUP($A223,S275_21,15,FALSE)*VLOOKUP($A223,'3121% SY'!$C$3:$M$324,11,FALSE),3),0)+IFERROR(ROUND(VLOOKUP($A223,S275_21,16,FALSE)*VLOOKUP($A223,'3121% SY'!$C$3:$M$324,11,FALSE),3),0)+IFERROR(VLOOKUP($A223,S275_09,6,FALSE),0)</f>
        <v>7.33</v>
      </c>
      <c r="T223" s="267">
        <f>IFERROR(VLOOKUP($A223,Supp_42,14,FALSE),0)+IFERROR(SUMPRODUCT(VLOOKUP($A223,S275_01,{17,18,19},FALSE)),0)+IFERROR(SUMPRODUCT(VLOOKUP($A223,S275_97,{17,18,19},FALSE)),0)+IFERROR(ROUND(VLOOKUP($A223,S275_21,17,FALSE)*VLOOKUP($A223,'3121% SY'!$C$3:$M$324,11,FALSE),3),0)+IFERROR(ROUND(VLOOKUP($A223,S275_21,18,FALSE)*VLOOKUP($A223,'3121% SY'!$C$3:$M$324,11,FALSE),3),0)+IFERROR(ROUND(VLOOKUP($A223,S275_21,19,FALSE)*VLOOKUP($A223,'3121% SY'!$C$3:$M$324,11,FALSE),3),0)+IFERROR(VLOOKUP($A223,S275_09,7,FALSE),0)</f>
        <v>1.67</v>
      </c>
      <c r="U223" s="267">
        <f>IFERROR(VLOOKUP($A223,Supp_43,14,FALSE),0)+IFERROR(SUMPRODUCT(VLOOKUP($A223,S275_01,{20,21,22},FALSE)),0)+IFERROR(SUMPRODUCT(VLOOKUP($A223,S275_97,{20,21,22},FALSE)),0)+IFERROR(ROUND(VLOOKUP($A223,S275_21,20,FALSE)*VLOOKUP($A223,'3121% SY'!$C$3:$M$324,11,FALSE),3),0)+IFERROR(ROUND(VLOOKUP($A223,S275_21,21,FALSE)*VLOOKUP($A223,'3121% SY'!$C$3:$M$324,11,FALSE),3),0)+IFERROR(ROUND(VLOOKUP($A223,S275_21,22,FALSE)*VLOOKUP($A223,'3121% SY'!$C$3:$M$324,11,FALSE),3),0)+IFERROR(VLOOKUP($A223,S275_09,8,FALSE),0)</f>
        <v>3.5329999999999999</v>
      </c>
      <c r="V223" s="267">
        <f>IFERROR(VLOOKUP($A223,Supp_44,14,FALSE),0)+IFERROR(SUMPRODUCT(VLOOKUP($A223,S275_01,{23,24,25},FALSE)),0)+IFERROR(SUMPRODUCT(VLOOKUP($A223,S275_97,{23,24,25},FALSE)),0)+IFERROR(ROUND(VLOOKUP($A223,S275_21,23,FALSE)*VLOOKUP($A223,'3121% SY'!$C$3:$M$324,11,FALSE),3),0)+IFERROR(ROUND(VLOOKUP($A223,S275_21,24,FALSE)*VLOOKUP($A223,'3121% SY'!$C$3:$M$324,11,FALSE),3),0)+IFERROR(ROUND(VLOOKUP($A223,S275_21,25,FALSE)*VLOOKUP($A223,'3121% SY'!$C$3:$M$324,11,FALSE),3),0)+IFERROR(VLOOKUP($A223,S275_09,9,FALSE),0)</f>
        <v>0.16700000000000001</v>
      </c>
      <c r="W223" s="267">
        <f>IFERROR(VLOOKUP($A223,Supp_45,14,FALSE),0)+IFERROR(SUMPRODUCT(VLOOKUP($A223,S275_01,{26,27,28},FALSE)),0)+IFERROR(SUMPRODUCT(VLOOKUP($A223,S275_97,{26,27,28},FALSE)),0)+IFERROR(ROUND(VLOOKUP($A223,S275_21,26,FALSE)*VLOOKUP($A223,'3121% SY'!$C$3:$M$324,11,FALSE),3),0)+IFERROR(ROUND(VLOOKUP($A223,S275_21,27,FALSE)*VLOOKUP($A223,'3121% SY'!$C$3:$M$324,11,FALSE),3),0)+IFERROR(ROUND(VLOOKUP($A223,S275_21,28,FALSE)*VLOOKUP($A223,'3121% SY'!$C$3:$M$324,11,FALSE),3),0)+IFERROR(VLOOKUP($A223,S275_09,10,FALSE),0)</f>
        <v>0</v>
      </c>
      <c r="X223" s="267">
        <f>IFERROR(VLOOKUP($A223,Supp_46,14,FALSE),0)+IFERROR(SUMPRODUCT(VLOOKUP($A223,S275_01,{29,30,31},FALSE)),0)+IFERROR(SUMPRODUCT(VLOOKUP($A223,S275_97,{29,30,31},FALSE)),0)+IFERROR(ROUND(VLOOKUP($A223,S275_21,29,FALSE)*VLOOKUP($A223,'3121% SY'!$C$3:$M$324,11,FALSE),3),0)+IFERROR(ROUND(VLOOKUP($A223,S275_21,30,FALSE)*VLOOKUP($A223,'3121% SY'!$C$3:$M$324,11,FALSE),3),0)+IFERROR(ROUND(VLOOKUP($A223,S275_21,31,FALSE)*VLOOKUP($A223,'3121% SY'!$C$3:$M$324,11,FALSE),3),0)+IFERROR(VLOOKUP($A223,S275_09,11,FALSE),0)</f>
        <v>1.9170000000000003</v>
      </c>
      <c r="Y223" s="267">
        <f>IFERROR(VLOOKUP($A223,Supp_47,14,FALSE),0)+IFERROR(SUMPRODUCT(VLOOKUP($A223,S275_01,{32,33,34},FALSE)),0)+IFERROR(SUMPRODUCT(VLOOKUP($A223,S275_97,{32,33,34},FALSE)),0)+IFERROR(ROUND(VLOOKUP($A223,S275_21,32,FALSE)*VLOOKUP($A223,'3121% SY'!$C$3:$M$324,11,FALSE),3),0)+IFERROR(ROUND(VLOOKUP($A223,S275_21,33,FALSE)*VLOOKUP($A223,'3121% SY'!$C$3:$M$324,11,FALSE),3),0)+IFERROR(ROUND(VLOOKUP($A223,S275_21,34,FALSE)*VLOOKUP($A223,'3121% SY'!$C$3:$M$324,11,FALSE),3),0)+IFERROR(VLOOKUP($A223,S275_09,12,FALSE),0)</f>
        <v>0.308</v>
      </c>
      <c r="Z223" s="267">
        <f>IFERROR(VLOOKUP($A223,Supp_48,14,FALSE),0)+IFERROR(SUMPRODUCT(VLOOKUP($A223,S275_01,{35,36,37},FALSE)),0)+IFERROR(SUMPRODUCT(VLOOKUP($A223,S275_97,{35,36,37},FALSE)),0)+IFERROR(ROUND(VLOOKUP($A223,S275_21,35,FALSE)*VLOOKUP($A223,'3121% SY'!$C$3:$M$324,11,FALSE),3),0)+IFERROR(ROUND(VLOOKUP($A223,S275_21,36,FALSE)*VLOOKUP($A223,'3121% SY'!$C$3:$M$324,11,FALSE),3),0)+IFERROR(ROUND(VLOOKUP($A223,S275_21,37,FALSE)*VLOOKUP($A223,'3121% SY'!$C$3:$M$324,11,FALSE),3),0)+IFERROR(VLOOKUP($A223,S275_09,13,FALSE),0)</f>
        <v>0</v>
      </c>
      <c r="AA223" s="267">
        <f>IFERROR(VLOOKUP($A223,Supp_49,14,FALSE),0)+IFERROR(SUMPRODUCT(VLOOKUP($A223,S275_01,{38,39,40},FALSE)),0)+IFERROR(SUMPRODUCT(VLOOKUP($A223,S275_97,{38,39,40},FALSE)),0)+IFERROR(ROUND(VLOOKUP($A223,S275_21,38,FALSE)*VLOOKUP($A223,'3121% SY'!$C$3:$M$324,11,FALSE),3),0)+IFERROR(ROUND(VLOOKUP($A223,S275_21,39,FALSE)*VLOOKUP($A223,'3121% SY'!$C$3:$M$324,11,FALSE),3),0)+IFERROR(ROUND(VLOOKUP($A223,S275_21,40,FALSE)*VLOOKUP($A223,'3121% SY'!$C$3:$M$324,11,FALSE),3),0)+IFERROR(VLOOKUP($A223,S275_09,14,FALSE),0)</f>
        <v>0</v>
      </c>
      <c r="AB223" s="267">
        <f>IFERROR(VLOOKUP($A223,Supp_64,14,FALSE),0)+IFERROR(SUMPRODUCT(VLOOKUP($A223,S275_01,{41,42,43},FALSE)),0)+IFERROR(SUMPRODUCT(VLOOKUP($A223,S275_97,{41,42,43},FALSE)),0)+IFERROR(ROUND(VLOOKUP($A223,S275_21,41,FALSE)*VLOOKUP($A223,'3121% SY'!$C$3:$M$324,11,FALSE),3),0)+IFERROR(ROUND(VLOOKUP($A223,S275_21,42,FALSE)*VLOOKUP($A223,'3121% SY'!$C$3:$M$324,11,FALSE),3),0)+IFERROR(ROUND(VLOOKUP($A223,S275_21,43,FALSE)*VLOOKUP($A223,'3121% SY'!$C$3:$M$324,11,FALSE),3),0)+IFERROR(VLOOKUP($A223,S275_09,15,FALSE),0)</f>
        <v>0</v>
      </c>
      <c r="AC223" s="268">
        <f t="shared" si="47"/>
        <v>14.924999999999999</v>
      </c>
      <c r="AD223" s="267">
        <f>IFERROR(VLOOKUP($A223,Supp_24,14,FALSE),0)+IFERROR(SUMPRODUCT(VLOOKUP($A223,S275_01,{2,3,4},FALSE)),0)+IFERROR(SUMPRODUCT(VLOOKUP($A223,S275_97,{2,3,4},FALSE)),0)+IFERROR(ROUND(VLOOKUP($A223,S275_21,2,FALSE)*VLOOKUP($A223,'3121% SY'!$C$3:$M$324,11,FALSE),3),0)+IFERROR(ROUND(VLOOKUP($A223,S275_21,3,FALSE)*VLOOKUP($A223,'3121% SY'!$C$3:$M$324,11,FALSE),3),0)+IFERROR(ROUND(VLOOKUP($A223,S275_21,4,FALSE)*VLOOKUP($A223,'3121% SY'!$C$3:$M$324,11,FALSE),3),0)+IFERROR(VLOOKUP($A223,S275_09,2,FALSE),0)</f>
        <v>0</v>
      </c>
      <c r="AE223" s="267">
        <f>IFERROR(VLOOKUP($A223,Supp_25,14,FALSE),0)+IFERROR(SUMPRODUCT(VLOOKUP($A223,S275_01,{5,6,7},FALSE)),0)+IFERROR(SUMPRODUCT(VLOOKUP($A223,S275_97,{5,6,7},FALSE)),0)+IFERROR(ROUND(VLOOKUP($A223,S275_21,5,FALSE)*VLOOKUP($A223,'3121% SY'!$C$3:$M$324,11,FALSE),3),0)+IFERROR(ROUND(VLOOKUP($A223,S275_21,6,FALSE)*VLOOKUP($A223,'3121% SY'!$C$3:$M$324,11,FALSE),3),0)+IFERROR(ROUND(VLOOKUP($A223,S275_21,7,FALSE)*VLOOKUP($A223,'3121% SY'!$C$3:$M$324,11,FALSE),3),0)+IFERROR(VLOOKUP($A223,S275_09,3,FALSE),0)</f>
        <v>3.8639999999999999</v>
      </c>
      <c r="AF223" s="267">
        <f>IFERROR(VLOOKUP($A223,Supp_26,14,FALSE),0)+IFERROR(SUMPRODUCT(VLOOKUP($A223,S275_01,{8,9,10},FALSE)),0)+IFERROR(SUMPRODUCT(VLOOKUP($A223,S275_97,{8,9,10},FALSE)),0)+IFERROR(ROUND(VLOOKUP($A223,S275_21,8,FALSE)*VLOOKUP($A223,'3121% SY'!$C$3:$M$324,11,FALSE),3),0)+IFERROR(ROUND(VLOOKUP($A223,S275_21,9,FALSE)*VLOOKUP($A223,'3121% SY'!$C$3:$M$324,11,FALSE),3),0)+IFERROR(ROUND(VLOOKUP($A223,S275_21,10,FALSE)*VLOOKUP($A223,'3121% SY'!$C$3:$M$324,11,FALSE),3),0)+IFERROR(VLOOKUP($A223,S275_09,4,FALSE),0)</f>
        <v>1.0529999999999999</v>
      </c>
      <c r="AG223" s="267">
        <f>IFERROR(VLOOKUP($A223,Supp_35,14,FALSE),0)+IFERROR(SUMPRODUCT(VLOOKUP($A223,S275_01,{11,12,13},FALSE)),0)+IFERROR(SUMPRODUCT(VLOOKUP($A223,S275_97,{11,12,13},FALSE)),0)+IFERROR(ROUND(VLOOKUP($A223,S275_21,11,FALSE)*VLOOKUP($A223,'3121% SY'!$C$3:$M$324,11,FALSE),3),0)+IFERROR(ROUND(VLOOKUP($A223,S275_21,12,FALSE)*VLOOKUP($A223,'3121% SY'!$C$3:$M$324,11,FALSE),3),0)+IFERROR(ROUND(VLOOKUP($A223,S275_21,13,FALSE)*VLOOKUP($A223,'3121% SY'!$C$3:$M$324,11,FALSE),3),0)+IFERROR(VLOOKUP($A223,S275_09,5,FALSE),0)</f>
        <v>0</v>
      </c>
      <c r="AH223" s="165">
        <f t="shared" si="48"/>
        <v>4.9169999999999998</v>
      </c>
      <c r="AI223" s="161">
        <f>IFERROR(VLOOKUP(A223,'Supp Staff Data'!A:ER,148,FALSE),0)+AB223</f>
        <v>0</v>
      </c>
      <c r="AJ223" s="174">
        <v>1</v>
      </c>
      <c r="AK223" s="25">
        <f>VLOOKUP(A223,'Enroll Data as of January 2025'!$A$3:$T$323,20,FALSE)-F223</f>
        <v>0</v>
      </c>
    </row>
    <row r="224" spans="1:37" x14ac:dyDescent="0.25">
      <c r="A224" s="171" t="s">
        <v>65</v>
      </c>
      <c r="B224" t="s">
        <v>361</v>
      </c>
      <c r="C224" s="173" t="s">
        <v>1077</v>
      </c>
      <c r="D224" s="259">
        <f t="shared" si="40"/>
        <v>11.85</v>
      </c>
      <c r="E224" s="259">
        <f t="shared" si="41"/>
        <v>12.731999999999999</v>
      </c>
      <c r="F224" s="262">
        <f t="shared" si="42"/>
        <v>0.88200000000000001</v>
      </c>
      <c r="G224" s="161">
        <f>ROUND(IF(F224&lt;0,F224*'2024-25 PSES Compliance'!$G$13,0),3)</f>
        <v>0</v>
      </c>
      <c r="H224" s="161">
        <f>ROUND(IF(F224&lt;0,F224*'2024-25 PSES Compliance'!$G$14,0),3)</f>
        <v>0</v>
      </c>
      <c r="I224" s="174">
        <f t="shared" si="43"/>
        <v>0.85476019478479415</v>
      </c>
      <c r="J224" s="174">
        <f t="shared" si="44"/>
        <v>0</v>
      </c>
      <c r="K224" s="161">
        <f>VLOOKUP($A224,'Enroll Data as of January 2025'!$A$3:$M$322,6,FALSE)</f>
        <v>6.7210000000000001</v>
      </c>
      <c r="L224" s="161">
        <f>VLOOKUP($A224,'Enroll Data as of January 2025'!$A$3:$M$322,7,FALSE)</f>
        <v>1.0650000000000002</v>
      </c>
      <c r="M224" s="161">
        <f>VLOOKUP($A224,'Enroll Data as of January 2025'!$A$3:$M$322,8,FALSE)</f>
        <v>0.35799999999999998</v>
      </c>
      <c r="N224" s="161">
        <f>VLOOKUP($A224,'Enroll Data as of January 2025'!$A$3:$M$322,9,FALSE)</f>
        <v>3.0549999999999997</v>
      </c>
      <c r="O224" s="165">
        <f t="shared" si="45"/>
        <v>11.199</v>
      </c>
      <c r="P224" s="161">
        <f>VLOOKUP($A224,'Enroll Data as of January 2025'!$A$3:$M$322,11,FALSE)</f>
        <v>0.41499999999999998</v>
      </c>
      <c r="Q224" s="161">
        <f>VLOOKUP($A224,'Enroll Data as of January 2025'!$A$3:$M$322,12,FALSE)</f>
        <v>0.23599999999999999</v>
      </c>
      <c r="R224" s="165">
        <f t="shared" si="46"/>
        <v>0.65100000000000002</v>
      </c>
      <c r="S224" s="267">
        <f>IFERROR(VLOOKUP($A224,Supp_39,14,FALSE),0)+IFERROR(SUMPRODUCT(VLOOKUP($A224,S275_01,{14,15,16},FALSE)),0)+IFERROR(SUMPRODUCT(VLOOKUP($A224,S275_97,{14,15,16},FALSE)),0)+IFERROR(ROUND(VLOOKUP($A224,S275_21,14,FALSE)*VLOOKUP($A224,'3121% SY'!$C$3:$M$324,11,FALSE),3),0)+IFERROR(ROUND(VLOOKUP($A224,S275_21,15,FALSE)*VLOOKUP($A224,'3121% SY'!$C$3:$M$324,11,FALSE),3),0)+IFERROR(ROUND(VLOOKUP($A224,S275_21,16,FALSE)*VLOOKUP($A224,'3121% SY'!$C$3:$M$324,11,FALSE),3),0)+IFERROR(VLOOKUP($A224,S275_09,6,FALSE),0)</f>
        <v>9.36</v>
      </c>
      <c r="T224" s="267">
        <f>IFERROR(VLOOKUP($A224,Supp_42,14,FALSE),0)+IFERROR(SUMPRODUCT(VLOOKUP($A224,S275_01,{17,18,19},FALSE)),0)+IFERROR(SUMPRODUCT(VLOOKUP($A224,S275_97,{17,18,19},FALSE)),0)+IFERROR(ROUND(VLOOKUP($A224,S275_21,17,FALSE)*VLOOKUP($A224,'3121% SY'!$C$3:$M$324,11,FALSE),3),0)+IFERROR(ROUND(VLOOKUP($A224,S275_21,18,FALSE)*VLOOKUP($A224,'3121% SY'!$C$3:$M$324,11,FALSE),3),0)+IFERROR(ROUND(VLOOKUP($A224,S275_21,19,FALSE)*VLOOKUP($A224,'3121% SY'!$C$3:$M$324,11,FALSE),3),0)+IFERROR(VLOOKUP($A224,S275_09,7,FALSE),0)</f>
        <v>1.34</v>
      </c>
      <c r="U224" s="267">
        <f>IFERROR(VLOOKUP($A224,Supp_43,14,FALSE),0)+IFERROR(SUMPRODUCT(VLOOKUP($A224,S275_01,{20,21,22},FALSE)),0)+IFERROR(SUMPRODUCT(VLOOKUP($A224,S275_97,{20,21,22},FALSE)),0)+IFERROR(ROUND(VLOOKUP($A224,S275_21,20,FALSE)*VLOOKUP($A224,'3121% SY'!$C$3:$M$324,11,FALSE),3),0)+IFERROR(ROUND(VLOOKUP($A224,S275_21,21,FALSE)*VLOOKUP($A224,'3121% SY'!$C$3:$M$324,11,FALSE),3),0)+IFERROR(ROUND(VLOOKUP($A224,S275_21,22,FALSE)*VLOOKUP($A224,'3121% SY'!$C$3:$M$324,11,FALSE),3),0)+IFERROR(VLOOKUP($A224,S275_09,8,FALSE),0)</f>
        <v>0</v>
      </c>
      <c r="V224" s="267">
        <f>IFERROR(VLOOKUP($A224,Supp_44,14,FALSE),0)+IFERROR(SUMPRODUCT(VLOOKUP($A224,S275_01,{23,24,25},FALSE)),0)+IFERROR(SUMPRODUCT(VLOOKUP($A224,S275_97,{23,24,25},FALSE)),0)+IFERROR(ROUND(VLOOKUP($A224,S275_21,23,FALSE)*VLOOKUP($A224,'3121% SY'!$C$3:$M$324,11,FALSE),3),0)+IFERROR(ROUND(VLOOKUP($A224,S275_21,24,FALSE)*VLOOKUP($A224,'3121% SY'!$C$3:$M$324,11,FALSE),3),0)+IFERROR(ROUND(VLOOKUP($A224,S275_21,25,FALSE)*VLOOKUP($A224,'3121% SY'!$C$3:$M$324,11,FALSE),3),0)+IFERROR(VLOOKUP($A224,S275_09,9,FALSE),0)</f>
        <v>0</v>
      </c>
      <c r="W224" s="267">
        <f>IFERROR(VLOOKUP($A224,Supp_45,14,FALSE),0)+IFERROR(SUMPRODUCT(VLOOKUP($A224,S275_01,{26,27,28},FALSE)),0)+IFERROR(SUMPRODUCT(VLOOKUP($A224,S275_97,{26,27,28},FALSE)),0)+IFERROR(ROUND(VLOOKUP($A224,S275_21,26,FALSE)*VLOOKUP($A224,'3121% SY'!$C$3:$M$324,11,FALSE),3),0)+IFERROR(ROUND(VLOOKUP($A224,S275_21,27,FALSE)*VLOOKUP($A224,'3121% SY'!$C$3:$M$324,11,FALSE),3),0)+IFERROR(ROUND(VLOOKUP($A224,S275_21,28,FALSE)*VLOOKUP($A224,'3121% SY'!$C$3:$M$324,11,FALSE),3),0)+IFERROR(VLOOKUP($A224,S275_09,10,FALSE),0)</f>
        <v>0</v>
      </c>
      <c r="X224" s="267">
        <f>IFERROR(VLOOKUP($A224,Supp_46,14,FALSE),0)+IFERROR(SUMPRODUCT(VLOOKUP($A224,S275_01,{29,30,31},FALSE)),0)+IFERROR(SUMPRODUCT(VLOOKUP($A224,S275_97,{29,30,31},FALSE)),0)+IFERROR(ROUND(VLOOKUP($A224,S275_21,29,FALSE)*VLOOKUP($A224,'3121% SY'!$C$3:$M$324,11,FALSE),3),0)+IFERROR(ROUND(VLOOKUP($A224,S275_21,30,FALSE)*VLOOKUP($A224,'3121% SY'!$C$3:$M$324,11,FALSE),3),0)+IFERROR(ROUND(VLOOKUP($A224,S275_21,31,FALSE)*VLOOKUP($A224,'3121% SY'!$C$3:$M$324,11,FALSE),3),0)+IFERROR(VLOOKUP($A224,S275_09,11,FALSE),0)</f>
        <v>0.49399999999999999</v>
      </c>
      <c r="Y224" s="267">
        <f>IFERROR(VLOOKUP($A224,Supp_47,14,FALSE),0)+IFERROR(SUMPRODUCT(VLOOKUP($A224,S275_01,{32,33,34},FALSE)),0)+IFERROR(SUMPRODUCT(VLOOKUP($A224,S275_97,{32,33,34},FALSE)),0)+IFERROR(ROUND(VLOOKUP($A224,S275_21,32,FALSE)*VLOOKUP($A224,'3121% SY'!$C$3:$M$324,11,FALSE),3),0)+IFERROR(ROUND(VLOOKUP($A224,S275_21,33,FALSE)*VLOOKUP($A224,'3121% SY'!$C$3:$M$324,11,FALSE),3),0)+IFERROR(ROUND(VLOOKUP($A224,S275_21,34,FALSE)*VLOOKUP($A224,'3121% SY'!$C$3:$M$324,11,FALSE),3),0)+IFERROR(VLOOKUP($A224,S275_09,12,FALSE),0)</f>
        <v>0</v>
      </c>
      <c r="Z224" s="267">
        <f>IFERROR(VLOOKUP($A224,Supp_48,14,FALSE),0)+IFERROR(SUMPRODUCT(VLOOKUP($A224,S275_01,{35,36,37},FALSE)),0)+IFERROR(SUMPRODUCT(VLOOKUP($A224,S275_97,{35,36,37},FALSE)),0)+IFERROR(ROUND(VLOOKUP($A224,S275_21,35,FALSE)*VLOOKUP($A224,'3121% SY'!$C$3:$M$324,11,FALSE),3),0)+IFERROR(ROUND(VLOOKUP($A224,S275_21,36,FALSE)*VLOOKUP($A224,'3121% SY'!$C$3:$M$324,11,FALSE),3),0)+IFERROR(ROUND(VLOOKUP($A224,S275_21,37,FALSE)*VLOOKUP($A224,'3121% SY'!$C$3:$M$324,11,FALSE),3),0)+IFERROR(VLOOKUP($A224,S275_09,13,FALSE),0)</f>
        <v>0</v>
      </c>
      <c r="AA224" s="267">
        <f>IFERROR(VLOOKUP($A224,Supp_49,14,FALSE),0)+IFERROR(SUMPRODUCT(VLOOKUP($A224,S275_01,{38,39,40},FALSE)),0)+IFERROR(SUMPRODUCT(VLOOKUP($A224,S275_97,{38,39,40},FALSE)),0)+IFERROR(ROUND(VLOOKUP($A224,S275_21,38,FALSE)*VLOOKUP($A224,'3121% SY'!$C$3:$M$324,11,FALSE),3),0)+IFERROR(ROUND(VLOOKUP($A224,S275_21,39,FALSE)*VLOOKUP($A224,'3121% SY'!$C$3:$M$324,11,FALSE),3),0)+IFERROR(ROUND(VLOOKUP($A224,S275_21,40,FALSE)*VLOOKUP($A224,'3121% SY'!$C$3:$M$324,11,FALSE),3),0)+IFERROR(VLOOKUP($A224,S275_09,14,FALSE),0)</f>
        <v>0</v>
      </c>
      <c r="AB224" s="267">
        <f>IFERROR(VLOOKUP($A224,Supp_64,14,FALSE),0)+IFERROR(SUMPRODUCT(VLOOKUP($A224,S275_01,{41,42,43},FALSE)),0)+IFERROR(SUMPRODUCT(VLOOKUP($A224,S275_97,{41,42,43},FALSE)),0)+IFERROR(ROUND(VLOOKUP($A224,S275_21,41,FALSE)*VLOOKUP($A224,'3121% SY'!$C$3:$M$324,11,FALSE),3),0)+IFERROR(ROUND(VLOOKUP($A224,S275_21,42,FALSE)*VLOOKUP($A224,'3121% SY'!$C$3:$M$324,11,FALSE),3),0)+IFERROR(ROUND(VLOOKUP($A224,S275_21,43,FALSE)*VLOOKUP($A224,'3121% SY'!$C$3:$M$324,11,FALSE),3),0)+IFERROR(VLOOKUP($A224,S275_09,15,FALSE),0)</f>
        <v>0</v>
      </c>
      <c r="AC224" s="268">
        <f t="shared" si="47"/>
        <v>11.193999999999999</v>
      </c>
      <c r="AD224" s="267">
        <f>IFERROR(VLOOKUP($A224,Supp_24,14,FALSE),0)+IFERROR(SUMPRODUCT(VLOOKUP($A224,S275_01,{2,3,4},FALSE)),0)+IFERROR(SUMPRODUCT(VLOOKUP($A224,S275_97,{2,3,4},FALSE)),0)+IFERROR(ROUND(VLOOKUP($A224,S275_21,2,FALSE)*VLOOKUP($A224,'3121% SY'!$C$3:$M$324,11,FALSE),3),0)+IFERROR(ROUND(VLOOKUP($A224,S275_21,3,FALSE)*VLOOKUP($A224,'3121% SY'!$C$3:$M$324,11,FALSE),3),0)+IFERROR(ROUND(VLOOKUP($A224,S275_21,4,FALSE)*VLOOKUP($A224,'3121% SY'!$C$3:$M$324,11,FALSE),3),0)+IFERROR(VLOOKUP($A224,S275_09,2,FALSE),0)</f>
        <v>0</v>
      </c>
      <c r="AE224" s="267">
        <f>IFERROR(VLOOKUP($A224,Supp_25,14,FALSE),0)+IFERROR(SUMPRODUCT(VLOOKUP($A224,S275_01,{5,6,7},FALSE)),0)+IFERROR(SUMPRODUCT(VLOOKUP($A224,S275_97,{5,6,7},FALSE)),0)+IFERROR(ROUND(VLOOKUP($A224,S275_21,5,FALSE)*VLOOKUP($A224,'3121% SY'!$C$3:$M$324,11,FALSE),3),0)+IFERROR(ROUND(VLOOKUP($A224,S275_21,6,FALSE)*VLOOKUP($A224,'3121% SY'!$C$3:$M$324,11,FALSE),3),0)+IFERROR(ROUND(VLOOKUP($A224,S275_21,7,FALSE)*VLOOKUP($A224,'3121% SY'!$C$3:$M$324,11,FALSE),3),0)+IFERROR(VLOOKUP($A224,S275_09,3,FALSE),0)</f>
        <v>0.76900000000000002</v>
      </c>
      <c r="AF224" s="267">
        <f>IFERROR(VLOOKUP($A224,Supp_26,14,FALSE),0)+IFERROR(SUMPRODUCT(VLOOKUP($A224,S275_01,{8,9,10},FALSE)),0)+IFERROR(SUMPRODUCT(VLOOKUP($A224,S275_97,{8,9,10},FALSE)),0)+IFERROR(ROUND(VLOOKUP($A224,S275_21,8,FALSE)*VLOOKUP($A224,'3121% SY'!$C$3:$M$324,11,FALSE),3),0)+IFERROR(ROUND(VLOOKUP($A224,S275_21,9,FALSE)*VLOOKUP($A224,'3121% SY'!$C$3:$M$324,11,FALSE),3),0)+IFERROR(ROUND(VLOOKUP($A224,S275_21,10,FALSE)*VLOOKUP($A224,'3121% SY'!$C$3:$M$324,11,FALSE),3),0)+IFERROR(VLOOKUP($A224,S275_09,4,FALSE),0)</f>
        <v>0.76900000000000002</v>
      </c>
      <c r="AG224" s="267">
        <f>IFERROR(VLOOKUP($A224,Supp_35,14,FALSE),0)+IFERROR(SUMPRODUCT(VLOOKUP($A224,S275_01,{11,12,13},FALSE)),0)+IFERROR(SUMPRODUCT(VLOOKUP($A224,S275_97,{11,12,13},FALSE)),0)+IFERROR(ROUND(VLOOKUP($A224,S275_21,11,FALSE)*VLOOKUP($A224,'3121% SY'!$C$3:$M$324,11,FALSE),3),0)+IFERROR(ROUND(VLOOKUP($A224,S275_21,12,FALSE)*VLOOKUP($A224,'3121% SY'!$C$3:$M$324,11,FALSE),3),0)+IFERROR(ROUND(VLOOKUP($A224,S275_21,13,FALSE)*VLOOKUP($A224,'3121% SY'!$C$3:$M$324,11,FALSE),3),0)+IFERROR(VLOOKUP($A224,S275_09,5,FALSE),0)</f>
        <v>0</v>
      </c>
      <c r="AH224" s="165">
        <f t="shared" si="48"/>
        <v>1.538</v>
      </c>
      <c r="AI224" s="161">
        <f>IFERROR(VLOOKUP(A224,'Supp Staff Data'!A:ER,148,FALSE),0)+AB224</f>
        <v>0</v>
      </c>
      <c r="AJ224" s="174">
        <v>0.97219999999999995</v>
      </c>
      <c r="AK224" s="25">
        <f>VLOOKUP(A224,'Enroll Data as of January 2025'!$A$3:$T$323,20,FALSE)-F224</f>
        <v>0</v>
      </c>
    </row>
    <row r="225" spans="1:37" x14ac:dyDescent="0.25">
      <c r="A225" s="171" t="s">
        <v>168</v>
      </c>
      <c r="B225" t="s">
        <v>464</v>
      </c>
      <c r="C225" s="173" t="s">
        <v>1077</v>
      </c>
      <c r="D225" s="259">
        <f t="shared" si="40"/>
        <v>4.9960000000000004</v>
      </c>
      <c r="E225" s="259">
        <f t="shared" si="41"/>
        <v>7.4190000000000005</v>
      </c>
      <c r="F225" s="262">
        <f t="shared" si="42"/>
        <v>2.423</v>
      </c>
      <c r="G225" s="161">
        <f>ROUND(IF(F225&lt;0,F225*'2024-25 PSES Compliance'!$G$13,0),3)</f>
        <v>0</v>
      </c>
      <c r="H225" s="161">
        <f>ROUND(IF(F225&lt;0,F225*'2024-25 PSES Compliance'!$G$14,0),3)</f>
        <v>0</v>
      </c>
      <c r="I225" s="174">
        <f t="shared" si="43"/>
        <v>0.49332794177112815</v>
      </c>
      <c r="J225" s="174">
        <f t="shared" si="44"/>
        <v>0</v>
      </c>
      <c r="K225" s="161">
        <f>VLOOKUP($A225,'Enroll Data as of January 2025'!$A$3:$M$322,6,FALSE)</f>
        <v>2.8319999999999999</v>
      </c>
      <c r="L225" s="161">
        <f>VLOOKUP($A225,'Enroll Data as of January 2025'!$A$3:$M$322,7,FALSE)</f>
        <v>0.45100000000000001</v>
      </c>
      <c r="M225" s="161">
        <f>VLOOKUP($A225,'Enroll Data as of January 2025'!$A$3:$M$322,8,FALSE)</f>
        <v>0.15100000000000002</v>
      </c>
      <c r="N225" s="161">
        <f>VLOOKUP($A225,'Enroll Data as of January 2025'!$A$3:$M$322,9,FALSE)</f>
        <v>1.2869999999999999</v>
      </c>
      <c r="O225" s="165">
        <f t="shared" si="45"/>
        <v>4.7210000000000001</v>
      </c>
      <c r="P225" s="161">
        <f>VLOOKUP($A225,'Enroll Data as of January 2025'!$A$3:$M$322,11,FALSE)</f>
        <v>0.17499999999999999</v>
      </c>
      <c r="Q225" s="161">
        <f>VLOOKUP($A225,'Enroll Data as of January 2025'!$A$3:$M$322,12,FALSE)</f>
        <v>0.1</v>
      </c>
      <c r="R225" s="165">
        <f t="shared" si="46"/>
        <v>0.27500000000000002</v>
      </c>
      <c r="S225" s="267">
        <f>IFERROR(VLOOKUP($A225,Supp_39,14,FALSE),0)+IFERROR(SUMPRODUCT(VLOOKUP($A225,S275_01,{14,15,16},FALSE)),0)+IFERROR(SUMPRODUCT(VLOOKUP($A225,S275_97,{14,15,16},FALSE)),0)+IFERROR(ROUND(VLOOKUP($A225,S275_21,14,FALSE)*VLOOKUP($A225,'3121% SY'!$C$3:$M$324,11,FALSE),3),0)+IFERROR(ROUND(VLOOKUP($A225,S275_21,15,FALSE)*VLOOKUP($A225,'3121% SY'!$C$3:$M$324,11,FALSE),3),0)+IFERROR(ROUND(VLOOKUP($A225,S275_21,16,FALSE)*VLOOKUP($A225,'3121% SY'!$C$3:$M$324,11,FALSE),3),0)+IFERROR(VLOOKUP($A225,S275_09,6,FALSE),0)</f>
        <v>3</v>
      </c>
      <c r="T225" s="267">
        <f>IFERROR(VLOOKUP($A225,Supp_42,14,FALSE),0)+IFERROR(SUMPRODUCT(VLOOKUP($A225,S275_01,{17,18,19},FALSE)),0)+IFERROR(SUMPRODUCT(VLOOKUP($A225,S275_97,{17,18,19},FALSE)),0)+IFERROR(ROUND(VLOOKUP($A225,S275_21,17,FALSE)*VLOOKUP($A225,'3121% SY'!$C$3:$M$324,11,FALSE),3),0)+IFERROR(ROUND(VLOOKUP($A225,S275_21,18,FALSE)*VLOOKUP($A225,'3121% SY'!$C$3:$M$324,11,FALSE),3),0)+IFERROR(ROUND(VLOOKUP($A225,S275_21,19,FALSE)*VLOOKUP($A225,'3121% SY'!$C$3:$M$324,11,FALSE),3),0)+IFERROR(VLOOKUP($A225,S275_09,7,FALSE),0)</f>
        <v>0.5</v>
      </c>
      <c r="U225" s="267">
        <f>IFERROR(VLOOKUP($A225,Supp_43,14,FALSE),0)+IFERROR(SUMPRODUCT(VLOOKUP($A225,S275_01,{20,21,22},FALSE)),0)+IFERROR(SUMPRODUCT(VLOOKUP($A225,S275_97,{20,21,22},FALSE)),0)+IFERROR(ROUND(VLOOKUP($A225,S275_21,20,FALSE)*VLOOKUP($A225,'3121% SY'!$C$3:$M$324,11,FALSE),3),0)+IFERROR(ROUND(VLOOKUP($A225,S275_21,21,FALSE)*VLOOKUP($A225,'3121% SY'!$C$3:$M$324,11,FALSE),3),0)+IFERROR(ROUND(VLOOKUP($A225,S275_21,22,FALSE)*VLOOKUP($A225,'3121% SY'!$C$3:$M$324,11,FALSE),3),0)+IFERROR(VLOOKUP($A225,S275_09,8,FALSE),0)</f>
        <v>0</v>
      </c>
      <c r="V225" s="267">
        <f>IFERROR(VLOOKUP($A225,Supp_44,14,FALSE),0)+IFERROR(SUMPRODUCT(VLOOKUP($A225,S275_01,{23,24,25},FALSE)),0)+IFERROR(SUMPRODUCT(VLOOKUP($A225,S275_97,{23,24,25},FALSE)),0)+IFERROR(ROUND(VLOOKUP($A225,S275_21,23,FALSE)*VLOOKUP($A225,'3121% SY'!$C$3:$M$324,11,FALSE),3),0)+IFERROR(ROUND(VLOOKUP($A225,S275_21,24,FALSE)*VLOOKUP($A225,'3121% SY'!$C$3:$M$324,11,FALSE),3),0)+IFERROR(ROUND(VLOOKUP($A225,S275_21,25,FALSE)*VLOOKUP($A225,'3121% SY'!$C$3:$M$324,11,FALSE),3),0)+IFERROR(VLOOKUP($A225,S275_09,9,FALSE),0)</f>
        <v>0</v>
      </c>
      <c r="W225" s="267">
        <f>IFERROR(VLOOKUP($A225,Supp_45,14,FALSE),0)+IFERROR(SUMPRODUCT(VLOOKUP($A225,S275_01,{26,27,28},FALSE)),0)+IFERROR(SUMPRODUCT(VLOOKUP($A225,S275_97,{26,27,28},FALSE)),0)+IFERROR(ROUND(VLOOKUP($A225,S275_21,26,FALSE)*VLOOKUP($A225,'3121% SY'!$C$3:$M$324,11,FALSE),3),0)+IFERROR(ROUND(VLOOKUP($A225,S275_21,27,FALSE)*VLOOKUP($A225,'3121% SY'!$C$3:$M$324,11,FALSE),3),0)+IFERROR(ROUND(VLOOKUP($A225,S275_21,28,FALSE)*VLOOKUP($A225,'3121% SY'!$C$3:$M$324,11,FALSE),3),0)+IFERROR(VLOOKUP($A225,S275_09,10,FALSE),0)</f>
        <v>0</v>
      </c>
      <c r="X225" s="267">
        <f>IFERROR(VLOOKUP($A225,Supp_46,14,FALSE),0)+IFERROR(SUMPRODUCT(VLOOKUP($A225,S275_01,{29,30,31},FALSE)),0)+IFERROR(SUMPRODUCT(VLOOKUP($A225,S275_97,{29,30,31},FALSE)),0)+IFERROR(ROUND(VLOOKUP($A225,S275_21,29,FALSE)*VLOOKUP($A225,'3121% SY'!$C$3:$M$324,11,FALSE),3),0)+IFERROR(ROUND(VLOOKUP($A225,S275_21,30,FALSE)*VLOOKUP($A225,'3121% SY'!$C$3:$M$324,11,FALSE),3),0)+IFERROR(ROUND(VLOOKUP($A225,S275_21,31,FALSE)*VLOOKUP($A225,'3121% SY'!$C$3:$M$324,11,FALSE),3),0)+IFERROR(VLOOKUP($A225,S275_09,11,FALSE),0)</f>
        <v>0.16</v>
      </c>
      <c r="Y225" s="267">
        <f>IFERROR(VLOOKUP($A225,Supp_47,14,FALSE),0)+IFERROR(SUMPRODUCT(VLOOKUP($A225,S275_01,{32,33,34},FALSE)),0)+IFERROR(SUMPRODUCT(VLOOKUP($A225,S275_97,{32,33,34},FALSE)),0)+IFERROR(ROUND(VLOOKUP($A225,S275_21,32,FALSE)*VLOOKUP($A225,'3121% SY'!$C$3:$M$324,11,FALSE),3),0)+IFERROR(ROUND(VLOOKUP($A225,S275_21,33,FALSE)*VLOOKUP($A225,'3121% SY'!$C$3:$M$324,11,FALSE),3),0)+IFERROR(ROUND(VLOOKUP($A225,S275_21,34,FALSE)*VLOOKUP($A225,'3121% SY'!$C$3:$M$324,11,FALSE),3),0)+IFERROR(VLOOKUP($A225,S275_09,12,FALSE),0)</f>
        <v>0</v>
      </c>
      <c r="Z225" s="267">
        <f>IFERROR(VLOOKUP($A225,Supp_48,14,FALSE),0)+IFERROR(SUMPRODUCT(VLOOKUP($A225,S275_01,{35,36,37},FALSE)),0)+IFERROR(SUMPRODUCT(VLOOKUP($A225,S275_97,{35,36,37},FALSE)),0)+IFERROR(ROUND(VLOOKUP($A225,S275_21,35,FALSE)*VLOOKUP($A225,'3121% SY'!$C$3:$M$324,11,FALSE),3),0)+IFERROR(ROUND(VLOOKUP($A225,S275_21,36,FALSE)*VLOOKUP($A225,'3121% SY'!$C$3:$M$324,11,FALSE),3),0)+IFERROR(ROUND(VLOOKUP($A225,S275_21,37,FALSE)*VLOOKUP($A225,'3121% SY'!$C$3:$M$324,11,FALSE),3),0)+IFERROR(VLOOKUP($A225,S275_09,13,FALSE),0)</f>
        <v>0</v>
      </c>
      <c r="AA225" s="267">
        <f>IFERROR(VLOOKUP($A225,Supp_49,14,FALSE),0)+IFERROR(SUMPRODUCT(VLOOKUP($A225,S275_01,{38,39,40},FALSE)),0)+IFERROR(SUMPRODUCT(VLOOKUP($A225,S275_97,{38,39,40},FALSE)),0)+IFERROR(ROUND(VLOOKUP($A225,S275_21,38,FALSE)*VLOOKUP($A225,'3121% SY'!$C$3:$M$324,11,FALSE),3),0)+IFERROR(ROUND(VLOOKUP($A225,S275_21,39,FALSE)*VLOOKUP($A225,'3121% SY'!$C$3:$M$324,11,FALSE),3),0)+IFERROR(ROUND(VLOOKUP($A225,S275_21,40,FALSE)*VLOOKUP($A225,'3121% SY'!$C$3:$M$324,11,FALSE),3),0)+IFERROR(VLOOKUP($A225,S275_09,14,FALSE),0)</f>
        <v>0</v>
      </c>
      <c r="AB225" s="267">
        <f>IFERROR(VLOOKUP($A225,Supp_64,14,FALSE),0)+IFERROR(SUMPRODUCT(VLOOKUP($A225,S275_01,{41,42,43},FALSE)),0)+IFERROR(SUMPRODUCT(VLOOKUP($A225,S275_97,{41,42,43},FALSE)),0)+IFERROR(ROUND(VLOOKUP($A225,S275_21,41,FALSE)*VLOOKUP($A225,'3121% SY'!$C$3:$M$324,11,FALSE),3),0)+IFERROR(ROUND(VLOOKUP($A225,S275_21,42,FALSE)*VLOOKUP($A225,'3121% SY'!$C$3:$M$324,11,FALSE),3),0)+IFERROR(ROUND(VLOOKUP($A225,S275_21,43,FALSE)*VLOOKUP($A225,'3121% SY'!$C$3:$M$324,11,FALSE),3),0)+IFERROR(VLOOKUP($A225,S275_09,15,FALSE),0)</f>
        <v>0</v>
      </c>
      <c r="AC225" s="268">
        <f t="shared" si="47"/>
        <v>3.66</v>
      </c>
      <c r="AD225" s="267">
        <f>IFERROR(VLOOKUP($A225,Supp_24,14,FALSE),0)+IFERROR(SUMPRODUCT(VLOOKUP($A225,S275_01,{2,3,4},FALSE)),0)+IFERROR(SUMPRODUCT(VLOOKUP($A225,S275_97,{2,3,4},FALSE)),0)+IFERROR(ROUND(VLOOKUP($A225,S275_21,2,FALSE)*VLOOKUP($A225,'3121% SY'!$C$3:$M$324,11,FALSE),3),0)+IFERROR(ROUND(VLOOKUP($A225,S275_21,3,FALSE)*VLOOKUP($A225,'3121% SY'!$C$3:$M$324,11,FALSE),3),0)+IFERROR(ROUND(VLOOKUP($A225,S275_21,4,FALSE)*VLOOKUP($A225,'3121% SY'!$C$3:$M$324,11,FALSE),3),0)+IFERROR(VLOOKUP($A225,S275_09,2,FALSE),0)</f>
        <v>0</v>
      </c>
      <c r="AE225" s="267">
        <f>IFERROR(VLOOKUP($A225,Supp_25,14,FALSE),0)+IFERROR(SUMPRODUCT(VLOOKUP($A225,S275_01,{5,6,7},FALSE)),0)+IFERROR(SUMPRODUCT(VLOOKUP($A225,S275_97,{5,6,7},FALSE)),0)+IFERROR(ROUND(VLOOKUP($A225,S275_21,5,FALSE)*VLOOKUP($A225,'3121% SY'!$C$3:$M$324,11,FALSE),3),0)+IFERROR(ROUND(VLOOKUP($A225,S275_21,6,FALSE)*VLOOKUP($A225,'3121% SY'!$C$3:$M$324,11,FALSE),3),0)+IFERROR(ROUND(VLOOKUP($A225,S275_21,7,FALSE)*VLOOKUP($A225,'3121% SY'!$C$3:$M$324,11,FALSE),3),0)+IFERROR(VLOOKUP($A225,S275_09,3,FALSE),0)</f>
        <v>3.0830000000000002</v>
      </c>
      <c r="AF225" s="267">
        <f>IFERROR(VLOOKUP($A225,Supp_26,14,FALSE),0)+IFERROR(SUMPRODUCT(VLOOKUP($A225,S275_01,{8,9,10},FALSE)),0)+IFERROR(SUMPRODUCT(VLOOKUP($A225,S275_97,{8,9,10},FALSE)),0)+IFERROR(ROUND(VLOOKUP($A225,S275_21,8,FALSE)*VLOOKUP($A225,'3121% SY'!$C$3:$M$324,11,FALSE),3),0)+IFERROR(ROUND(VLOOKUP($A225,S275_21,9,FALSE)*VLOOKUP($A225,'3121% SY'!$C$3:$M$324,11,FALSE),3),0)+IFERROR(ROUND(VLOOKUP($A225,S275_21,10,FALSE)*VLOOKUP($A225,'3121% SY'!$C$3:$M$324,11,FALSE),3),0)+IFERROR(VLOOKUP($A225,S275_09,4,FALSE),0)</f>
        <v>0.67600000000000005</v>
      </c>
      <c r="AG225" s="267">
        <f>IFERROR(VLOOKUP($A225,Supp_35,14,FALSE),0)+IFERROR(SUMPRODUCT(VLOOKUP($A225,S275_01,{11,12,13},FALSE)),0)+IFERROR(SUMPRODUCT(VLOOKUP($A225,S275_97,{11,12,13},FALSE)),0)+IFERROR(ROUND(VLOOKUP($A225,S275_21,11,FALSE)*VLOOKUP($A225,'3121% SY'!$C$3:$M$324,11,FALSE),3),0)+IFERROR(ROUND(VLOOKUP($A225,S275_21,12,FALSE)*VLOOKUP($A225,'3121% SY'!$C$3:$M$324,11,FALSE),3),0)+IFERROR(ROUND(VLOOKUP($A225,S275_21,13,FALSE)*VLOOKUP($A225,'3121% SY'!$C$3:$M$324,11,FALSE),3),0)+IFERROR(VLOOKUP($A225,S275_09,5,FALSE),0)</f>
        <v>0</v>
      </c>
      <c r="AH225" s="165">
        <f t="shared" si="48"/>
        <v>3.7590000000000003</v>
      </c>
      <c r="AI225" s="161">
        <f>IFERROR(VLOOKUP(A225,'Supp Staff Data'!A:ER,148,FALSE),0)+AB225</f>
        <v>0</v>
      </c>
      <c r="AJ225" s="174">
        <v>1</v>
      </c>
      <c r="AK225" s="25">
        <f>VLOOKUP(A225,'Enroll Data as of January 2025'!$A$3:$T$323,20,FALSE)-F225</f>
        <v>0</v>
      </c>
    </row>
    <row r="226" spans="1:37" x14ac:dyDescent="0.25">
      <c r="A226" s="171" t="s">
        <v>292</v>
      </c>
      <c r="B226" t="s">
        <v>588</v>
      </c>
      <c r="C226" s="173" t="s">
        <v>1077</v>
      </c>
      <c r="D226" s="259">
        <f t="shared" si="40"/>
        <v>18.226999999999997</v>
      </c>
      <c r="E226" s="259">
        <f t="shared" si="41"/>
        <v>18.738</v>
      </c>
      <c r="F226" s="262">
        <f t="shared" si="42"/>
        <v>0.51100000000000001</v>
      </c>
      <c r="G226" s="161">
        <f>ROUND(IF(F226&lt;0,F226*'2024-25 PSES Compliance'!$G$13,0),3)</f>
        <v>0</v>
      </c>
      <c r="H226" s="161">
        <f>ROUND(IF(F226&lt;0,F226*'2024-25 PSES Compliance'!$G$14,0),3)</f>
        <v>0</v>
      </c>
      <c r="I226" s="174">
        <f t="shared" si="43"/>
        <v>0.56724303554274746</v>
      </c>
      <c r="J226" s="174">
        <f t="shared" si="44"/>
        <v>7.759632831678942E-2</v>
      </c>
      <c r="K226" s="161">
        <f>VLOOKUP($A226,'Enroll Data as of January 2025'!$A$3:$M$322,6,FALSE)</f>
        <v>10.352</v>
      </c>
      <c r="L226" s="161">
        <f>VLOOKUP($A226,'Enroll Data as of January 2025'!$A$3:$M$322,7,FALSE)</f>
        <v>1.63</v>
      </c>
      <c r="M226" s="161">
        <f>VLOOKUP($A226,'Enroll Data as of January 2025'!$A$3:$M$322,8,FALSE)</f>
        <v>0.54600000000000004</v>
      </c>
      <c r="N226" s="161">
        <f>VLOOKUP($A226,'Enroll Data as of January 2025'!$A$3:$M$322,9,FALSE)</f>
        <v>4.6999999999999993</v>
      </c>
      <c r="O226" s="165">
        <f t="shared" si="45"/>
        <v>17.227999999999998</v>
      </c>
      <c r="P226" s="161">
        <f>VLOOKUP($A226,'Enroll Data as of January 2025'!$A$3:$M$322,11,FALSE)</f>
        <v>0.63900000000000001</v>
      </c>
      <c r="Q226" s="161">
        <f>VLOOKUP($A226,'Enroll Data as of January 2025'!$A$3:$M$322,12,FALSE)</f>
        <v>0.36</v>
      </c>
      <c r="R226" s="165">
        <f t="shared" si="46"/>
        <v>0.999</v>
      </c>
      <c r="S226" s="267">
        <f>IFERROR(VLOOKUP($A226,Supp_39,14,FALSE),0)+IFERROR(SUMPRODUCT(VLOOKUP($A226,S275_01,{14,15,16},FALSE)),0)+IFERROR(SUMPRODUCT(VLOOKUP($A226,S275_97,{14,15,16},FALSE)),0)+IFERROR(ROUND(VLOOKUP($A226,S275_21,14,FALSE)*VLOOKUP($A226,'3121% SY'!$C$3:$M$324,11,FALSE),3),0)+IFERROR(ROUND(VLOOKUP($A226,S275_21,15,FALSE)*VLOOKUP($A226,'3121% SY'!$C$3:$M$324,11,FALSE),3),0)+IFERROR(ROUND(VLOOKUP($A226,S275_21,16,FALSE)*VLOOKUP($A226,'3121% SY'!$C$3:$M$324,11,FALSE),3),0)+IFERROR(VLOOKUP($A226,S275_09,6,FALSE),0)</f>
        <v>5.55</v>
      </c>
      <c r="T226" s="267">
        <f>IFERROR(VLOOKUP($A226,Supp_42,14,FALSE),0)+IFERROR(SUMPRODUCT(VLOOKUP($A226,S275_01,{17,18,19},FALSE)),0)+IFERROR(SUMPRODUCT(VLOOKUP($A226,S275_97,{17,18,19},FALSE)),0)+IFERROR(ROUND(VLOOKUP($A226,S275_21,17,FALSE)*VLOOKUP($A226,'3121% SY'!$C$3:$M$324,11,FALSE),3),0)+IFERROR(ROUND(VLOOKUP($A226,S275_21,18,FALSE)*VLOOKUP($A226,'3121% SY'!$C$3:$M$324,11,FALSE),3),0)+IFERROR(ROUND(VLOOKUP($A226,S275_21,19,FALSE)*VLOOKUP($A226,'3121% SY'!$C$3:$M$324,11,FALSE),3),0)+IFERROR(VLOOKUP($A226,S275_09,7,FALSE),0)</f>
        <v>2.0009999999999999</v>
      </c>
      <c r="U226" s="267">
        <f>IFERROR(VLOOKUP($A226,Supp_43,14,FALSE),0)+IFERROR(SUMPRODUCT(VLOOKUP($A226,S275_01,{20,21,22},FALSE)),0)+IFERROR(SUMPRODUCT(VLOOKUP($A226,S275_97,{20,21,22},FALSE)),0)+IFERROR(ROUND(VLOOKUP($A226,S275_21,20,FALSE)*VLOOKUP($A226,'3121% SY'!$C$3:$M$324,11,FALSE),3),0)+IFERROR(ROUND(VLOOKUP($A226,S275_21,21,FALSE)*VLOOKUP($A226,'3121% SY'!$C$3:$M$324,11,FALSE),3),0)+IFERROR(ROUND(VLOOKUP($A226,S275_21,22,FALSE)*VLOOKUP($A226,'3121% SY'!$C$3:$M$324,11,FALSE),3),0)+IFERROR(VLOOKUP($A226,S275_09,8,FALSE),0)</f>
        <v>0.21900000000000003</v>
      </c>
      <c r="V226" s="267">
        <f>IFERROR(VLOOKUP($A226,Supp_44,14,FALSE),0)+IFERROR(SUMPRODUCT(VLOOKUP($A226,S275_01,{23,24,25},FALSE)),0)+IFERROR(SUMPRODUCT(VLOOKUP($A226,S275_97,{23,24,25},FALSE)),0)+IFERROR(ROUND(VLOOKUP($A226,S275_21,23,FALSE)*VLOOKUP($A226,'3121% SY'!$C$3:$M$324,11,FALSE),3),0)+IFERROR(ROUND(VLOOKUP($A226,S275_21,24,FALSE)*VLOOKUP($A226,'3121% SY'!$C$3:$M$324,11,FALSE),3),0)+IFERROR(ROUND(VLOOKUP($A226,S275_21,25,FALSE)*VLOOKUP($A226,'3121% SY'!$C$3:$M$324,11,FALSE),3),0)+IFERROR(VLOOKUP($A226,S275_09,9,FALSE),0)</f>
        <v>0.36</v>
      </c>
      <c r="W226" s="267">
        <f>IFERROR(VLOOKUP($A226,Supp_45,14,FALSE),0)+IFERROR(SUMPRODUCT(VLOOKUP($A226,S275_01,{26,27,28},FALSE)),0)+IFERROR(SUMPRODUCT(VLOOKUP($A226,S275_97,{26,27,28},FALSE)),0)+IFERROR(ROUND(VLOOKUP($A226,S275_21,26,FALSE)*VLOOKUP($A226,'3121% SY'!$C$3:$M$324,11,FALSE),3),0)+IFERROR(ROUND(VLOOKUP($A226,S275_21,27,FALSE)*VLOOKUP($A226,'3121% SY'!$C$3:$M$324,11,FALSE),3),0)+IFERROR(ROUND(VLOOKUP($A226,S275_21,28,FALSE)*VLOOKUP($A226,'3121% SY'!$C$3:$M$324,11,FALSE),3),0)+IFERROR(VLOOKUP($A226,S275_09,10,FALSE),0)</f>
        <v>0</v>
      </c>
      <c r="X226" s="267">
        <f>IFERROR(VLOOKUP($A226,Supp_46,14,FALSE),0)+IFERROR(SUMPRODUCT(VLOOKUP($A226,S275_01,{29,30,31},FALSE)),0)+IFERROR(SUMPRODUCT(VLOOKUP($A226,S275_97,{29,30,31},FALSE)),0)+IFERROR(ROUND(VLOOKUP($A226,S275_21,29,FALSE)*VLOOKUP($A226,'3121% SY'!$C$3:$M$324,11,FALSE),3),0)+IFERROR(ROUND(VLOOKUP($A226,S275_21,30,FALSE)*VLOOKUP($A226,'3121% SY'!$C$3:$M$324,11,FALSE),3),0)+IFERROR(ROUND(VLOOKUP($A226,S275_21,31,FALSE)*VLOOKUP($A226,'3121% SY'!$C$3:$M$324,11,FALSE),3),0)+IFERROR(VLOOKUP($A226,S275_09,11,FALSE),0)</f>
        <v>1.0449999999999999</v>
      </c>
      <c r="Y226" s="267">
        <f>IFERROR(VLOOKUP($A226,Supp_47,14,FALSE),0)+IFERROR(SUMPRODUCT(VLOOKUP($A226,S275_01,{32,33,34},FALSE)),0)+IFERROR(SUMPRODUCT(VLOOKUP($A226,S275_97,{32,33,34},FALSE)),0)+IFERROR(ROUND(VLOOKUP($A226,S275_21,32,FALSE)*VLOOKUP($A226,'3121% SY'!$C$3:$M$324,11,FALSE),3),0)+IFERROR(ROUND(VLOOKUP($A226,S275_21,33,FALSE)*VLOOKUP($A226,'3121% SY'!$C$3:$M$324,11,FALSE),3),0)+IFERROR(ROUND(VLOOKUP($A226,S275_21,34,FALSE)*VLOOKUP($A226,'3121% SY'!$C$3:$M$324,11,FALSE),3),0)+IFERROR(VLOOKUP($A226,S275_09,12,FALSE),0)</f>
        <v>0</v>
      </c>
      <c r="Z226" s="267">
        <f>IFERROR(VLOOKUP($A226,Supp_48,14,FALSE),0)+IFERROR(SUMPRODUCT(VLOOKUP($A226,S275_01,{35,36,37},FALSE)),0)+IFERROR(SUMPRODUCT(VLOOKUP($A226,S275_97,{35,36,37},FALSE)),0)+IFERROR(ROUND(VLOOKUP($A226,S275_21,35,FALSE)*VLOOKUP($A226,'3121% SY'!$C$3:$M$324,11,FALSE),3),0)+IFERROR(ROUND(VLOOKUP($A226,S275_21,36,FALSE)*VLOOKUP($A226,'3121% SY'!$C$3:$M$324,11,FALSE),3),0)+IFERROR(ROUND(VLOOKUP($A226,S275_21,37,FALSE)*VLOOKUP($A226,'3121% SY'!$C$3:$M$324,11,FALSE),3),0)+IFERROR(VLOOKUP($A226,S275_09,13,FALSE),0)</f>
        <v>0</v>
      </c>
      <c r="AA226" s="267">
        <f>IFERROR(VLOOKUP($A226,Supp_49,14,FALSE),0)+IFERROR(SUMPRODUCT(VLOOKUP($A226,S275_01,{38,39,40},FALSE)),0)+IFERROR(SUMPRODUCT(VLOOKUP($A226,S275_97,{38,39,40},FALSE)),0)+IFERROR(ROUND(VLOOKUP($A226,S275_21,38,FALSE)*VLOOKUP($A226,'3121% SY'!$C$3:$M$324,11,FALSE),3),0)+IFERROR(ROUND(VLOOKUP($A226,S275_21,39,FALSE)*VLOOKUP($A226,'3121% SY'!$C$3:$M$324,11,FALSE),3),0)+IFERROR(ROUND(VLOOKUP($A226,S275_21,40,FALSE)*VLOOKUP($A226,'3121% SY'!$C$3:$M$324,11,FALSE),3),0)+IFERROR(VLOOKUP($A226,S275_09,14,FALSE),0)</f>
        <v>0</v>
      </c>
      <c r="AB226" s="267">
        <f>IFERROR(VLOOKUP($A226,Supp_64,14,FALSE),0)+IFERROR(SUMPRODUCT(VLOOKUP($A226,S275_01,{41,42,43},FALSE)),0)+IFERROR(SUMPRODUCT(VLOOKUP($A226,S275_97,{41,42,43},FALSE)),0)+IFERROR(ROUND(VLOOKUP($A226,S275_21,41,FALSE)*VLOOKUP($A226,'3121% SY'!$C$3:$M$324,11,FALSE),3),0)+IFERROR(ROUND(VLOOKUP($A226,S275_21,42,FALSE)*VLOOKUP($A226,'3121% SY'!$C$3:$M$324,11,FALSE),3),0)+IFERROR(ROUND(VLOOKUP($A226,S275_21,43,FALSE)*VLOOKUP($A226,'3121% SY'!$C$3:$M$324,11,FALSE),3),0)+IFERROR(VLOOKUP($A226,S275_09,15,FALSE),0)</f>
        <v>1.4540000000000002</v>
      </c>
      <c r="AC226" s="268">
        <f t="shared" si="47"/>
        <v>10.629000000000001</v>
      </c>
      <c r="AD226" s="267">
        <f>IFERROR(VLOOKUP($A226,Supp_24,14,FALSE),0)+IFERROR(SUMPRODUCT(VLOOKUP($A226,S275_01,{2,3,4},FALSE)),0)+IFERROR(SUMPRODUCT(VLOOKUP($A226,S275_97,{2,3,4},FALSE)),0)+IFERROR(ROUND(VLOOKUP($A226,S275_21,2,FALSE)*VLOOKUP($A226,'3121% SY'!$C$3:$M$324,11,FALSE),3),0)+IFERROR(ROUND(VLOOKUP($A226,S275_21,3,FALSE)*VLOOKUP($A226,'3121% SY'!$C$3:$M$324,11,FALSE),3),0)+IFERROR(ROUND(VLOOKUP($A226,S275_21,4,FALSE)*VLOOKUP($A226,'3121% SY'!$C$3:$M$324,11,FALSE),3),0)+IFERROR(VLOOKUP($A226,S275_09,2,FALSE),0)</f>
        <v>0</v>
      </c>
      <c r="AE226" s="267">
        <f>IFERROR(VLOOKUP($A226,Supp_25,14,FALSE),0)+IFERROR(SUMPRODUCT(VLOOKUP($A226,S275_01,{5,6,7},FALSE)),0)+IFERROR(SUMPRODUCT(VLOOKUP($A226,S275_97,{5,6,7},FALSE)),0)+IFERROR(ROUND(VLOOKUP($A226,S275_21,5,FALSE)*VLOOKUP($A226,'3121% SY'!$C$3:$M$324,11,FALSE),3),0)+IFERROR(ROUND(VLOOKUP($A226,S275_21,6,FALSE)*VLOOKUP($A226,'3121% SY'!$C$3:$M$324,11,FALSE),3),0)+IFERROR(ROUND(VLOOKUP($A226,S275_21,7,FALSE)*VLOOKUP($A226,'3121% SY'!$C$3:$M$324,11,FALSE),3),0)+IFERROR(VLOOKUP($A226,S275_09,3,FALSE),0)</f>
        <v>3.407</v>
      </c>
      <c r="AF226" s="267">
        <f>IFERROR(VLOOKUP($A226,Supp_26,14,FALSE),0)+IFERROR(SUMPRODUCT(VLOOKUP($A226,S275_01,{8,9,10},FALSE)),0)+IFERROR(SUMPRODUCT(VLOOKUP($A226,S275_97,{8,9,10},FALSE)),0)+IFERROR(ROUND(VLOOKUP($A226,S275_21,8,FALSE)*VLOOKUP($A226,'3121% SY'!$C$3:$M$324,11,FALSE),3),0)+IFERROR(ROUND(VLOOKUP($A226,S275_21,9,FALSE)*VLOOKUP($A226,'3121% SY'!$C$3:$M$324,11,FALSE),3),0)+IFERROR(ROUND(VLOOKUP($A226,S275_21,10,FALSE)*VLOOKUP($A226,'3121% SY'!$C$3:$M$324,11,FALSE),3),0)+IFERROR(VLOOKUP($A226,S275_09,4,FALSE),0)</f>
        <v>3.5</v>
      </c>
      <c r="AG226" s="267">
        <f>IFERROR(VLOOKUP($A226,Supp_35,14,FALSE),0)+IFERROR(SUMPRODUCT(VLOOKUP($A226,S275_01,{11,12,13},FALSE)),0)+IFERROR(SUMPRODUCT(VLOOKUP($A226,S275_97,{11,12,13},FALSE)),0)+IFERROR(ROUND(VLOOKUP($A226,S275_21,11,FALSE)*VLOOKUP($A226,'3121% SY'!$C$3:$M$324,11,FALSE),3),0)+IFERROR(ROUND(VLOOKUP($A226,S275_21,12,FALSE)*VLOOKUP($A226,'3121% SY'!$C$3:$M$324,11,FALSE),3),0)+IFERROR(ROUND(VLOOKUP($A226,S275_21,13,FALSE)*VLOOKUP($A226,'3121% SY'!$C$3:$M$324,11,FALSE),3),0)+IFERROR(VLOOKUP($A226,S275_09,5,FALSE),0)</f>
        <v>1.202</v>
      </c>
      <c r="AH226" s="165">
        <f t="shared" si="48"/>
        <v>8.109</v>
      </c>
      <c r="AI226" s="161">
        <f>IFERROR(VLOOKUP(A226,'Supp Staff Data'!A:ER,148,FALSE),0)+AB226</f>
        <v>1.4540000000000002</v>
      </c>
      <c r="AJ226" s="174">
        <v>1</v>
      </c>
      <c r="AK226" s="25">
        <f>VLOOKUP(A226,'Enroll Data as of January 2025'!$A$3:$T$323,20,FALSE)-F226</f>
        <v>0</v>
      </c>
    </row>
    <row r="227" spans="1:37" x14ac:dyDescent="0.25">
      <c r="A227" s="171" t="s">
        <v>271</v>
      </c>
      <c r="B227" t="s">
        <v>567</v>
      </c>
      <c r="C227" s="173" t="s">
        <v>1077</v>
      </c>
      <c r="D227" s="259">
        <f t="shared" si="40"/>
        <v>16.712000000000003</v>
      </c>
      <c r="E227" s="259">
        <f t="shared" si="41"/>
        <v>19.704999999999998</v>
      </c>
      <c r="F227" s="262">
        <f t="shared" si="42"/>
        <v>2.9929999999999999</v>
      </c>
      <c r="G227" s="161">
        <f>ROUND(IF(F227&lt;0,F227*'2024-25 PSES Compliance'!$G$13,0),3)</f>
        <v>0</v>
      </c>
      <c r="H227" s="161">
        <f>ROUND(IF(F227&lt;0,F227*'2024-25 PSES Compliance'!$G$14,0),3)</f>
        <v>0</v>
      </c>
      <c r="I227" s="174">
        <f t="shared" si="43"/>
        <v>0.32172037553920324</v>
      </c>
      <c r="J227" s="174">
        <f t="shared" si="44"/>
        <v>0</v>
      </c>
      <c r="K227" s="161">
        <f>VLOOKUP($A227,'Enroll Data as of January 2025'!$A$3:$M$322,6,FALSE)</f>
        <v>9.4310000000000009</v>
      </c>
      <c r="L227" s="161">
        <f>VLOOKUP($A227,'Enroll Data as of January 2025'!$A$3:$M$322,7,FALSE)</f>
        <v>1.5279999999999998</v>
      </c>
      <c r="M227" s="161">
        <f>VLOOKUP($A227,'Enroll Data as of January 2025'!$A$3:$M$322,8,FALSE)</f>
        <v>0.51200000000000001</v>
      </c>
      <c r="N227" s="161">
        <f>VLOOKUP($A227,'Enroll Data as of January 2025'!$A$3:$M$322,9,FALSE)</f>
        <v>4.3129999999999997</v>
      </c>
      <c r="O227" s="165">
        <f t="shared" si="45"/>
        <v>15.784000000000002</v>
      </c>
      <c r="P227" s="161">
        <f>VLOOKUP($A227,'Enroll Data as of January 2025'!$A$3:$M$322,11,FALSE)</f>
        <v>0.58600000000000008</v>
      </c>
      <c r="Q227" s="161">
        <f>VLOOKUP($A227,'Enroll Data as of January 2025'!$A$3:$M$322,12,FALSE)</f>
        <v>0.34200000000000003</v>
      </c>
      <c r="R227" s="165">
        <f t="shared" si="46"/>
        <v>0.92800000000000016</v>
      </c>
      <c r="S227" s="267">
        <f>IFERROR(VLOOKUP($A227,Supp_39,14,FALSE),0)+IFERROR(SUMPRODUCT(VLOOKUP($A227,S275_01,{14,15,16},FALSE)),0)+IFERROR(SUMPRODUCT(VLOOKUP($A227,S275_97,{14,15,16},FALSE)),0)+IFERROR(ROUND(VLOOKUP($A227,S275_21,14,FALSE)*VLOOKUP($A227,'3121% SY'!$C$3:$M$324,11,FALSE),3),0)+IFERROR(ROUND(VLOOKUP($A227,S275_21,15,FALSE)*VLOOKUP($A227,'3121% SY'!$C$3:$M$324,11,FALSE),3),0)+IFERROR(ROUND(VLOOKUP($A227,S275_21,16,FALSE)*VLOOKUP($A227,'3121% SY'!$C$3:$M$324,11,FALSE),3),0)+IFERROR(VLOOKUP($A227,S275_09,6,FALSE),0)</f>
        <v>6.8</v>
      </c>
      <c r="T227" s="267">
        <f>IFERROR(VLOOKUP($A227,Supp_42,14,FALSE),0)+IFERROR(SUMPRODUCT(VLOOKUP($A227,S275_01,{17,18,19},FALSE)),0)+IFERROR(SUMPRODUCT(VLOOKUP($A227,S275_97,{17,18,19},FALSE)),0)+IFERROR(ROUND(VLOOKUP($A227,S275_21,17,FALSE)*VLOOKUP($A227,'3121% SY'!$C$3:$M$324,11,FALSE),3),0)+IFERROR(ROUND(VLOOKUP($A227,S275_21,18,FALSE)*VLOOKUP($A227,'3121% SY'!$C$3:$M$324,11,FALSE),3),0)+IFERROR(ROUND(VLOOKUP($A227,S275_21,19,FALSE)*VLOOKUP($A227,'3121% SY'!$C$3:$M$324,11,FALSE),3),0)+IFERROR(VLOOKUP($A227,S275_09,7,FALSE),0)</f>
        <v>1.2</v>
      </c>
      <c r="U227" s="267">
        <f>IFERROR(VLOOKUP($A227,Supp_43,14,FALSE),0)+IFERROR(SUMPRODUCT(VLOOKUP($A227,S275_01,{20,21,22},FALSE)),0)+IFERROR(SUMPRODUCT(VLOOKUP($A227,S275_97,{20,21,22},FALSE)),0)+IFERROR(ROUND(VLOOKUP($A227,S275_21,20,FALSE)*VLOOKUP($A227,'3121% SY'!$C$3:$M$324,11,FALSE),3),0)+IFERROR(ROUND(VLOOKUP($A227,S275_21,21,FALSE)*VLOOKUP($A227,'3121% SY'!$C$3:$M$324,11,FALSE),3),0)+IFERROR(ROUND(VLOOKUP($A227,S275_21,22,FALSE)*VLOOKUP($A227,'3121% SY'!$C$3:$M$324,11,FALSE),3),0)+IFERROR(VLOOKUP($A227,S275_09,8,FALSE),0)</f>
        <v>0.63900000000000001</v>
      </c>
      <c r="V227" s="267">
        <f>IFERROR(VLOOKUP($A227,Supp_44,14,FALSE),0)+IFERROR(SUMPRODUCT(VLOOKUP($A227,S275_01,{23,24,25},FALSE)),0)+IFERROR(SUMPRODUCT(VLOOKUP($A227,S275_97,{23,24,25},FALSE)),0)+IFERROR(ROUND(VLOOKUP($A227,S275_21,23,FALSE)*VLOOKUP($A227,'3121% SY'!$C$3:$M$324,11,FALSE),3),0)+IFERROR(ROUND(VLOOKUP($A227,S275_21,24,FALSE)*VLOOKUP($A227,'3121% SY'!$C$3:$M$324,11,FALSE),3),0)+IFERROR(ROUND(VLOOKUP($A227,S275_21,25,FALSE)*VLOOKUP($A227,'3121% SY'!$C$3:$M$324,11,FALSE),3),0)+IFERROR(VLOOKUP($A227,S275_09,9,FALSE),0)</f>
        <v>0</v>
      </c>
      <c r="W227" s="267">
        <f>IFERROR(VLOOKUP($A227,Supp_45,14,FALSE),0)+IFERROR(SUMPRODUCT(VLOOKUP($A227,S275_01,{26,27,28},FALSE)),0)+IFERROR(SUMPRODUCT(VLOOKUP($A227,S275_97,{26,27,28},FALSE)),0)+IFERROR(ROUND(VLOOKUP($A227,S275_21,26,FALSE)*VLOOKUP($A227,'3121% SY'!$C$3:$M$324,11,FALSE),3),0)+IFERROR(ROUND(VLOOKUP($A227,S275_21,27,FALSE)*VLOOKUP($A227,'3121% SY'!$C$3:$M$324,11,FALSE),3),0)+IFERROR(ROUND(VLOOKUP($A227,S275_21,28,FALSE)*VLOOKUP($A227,'3121% SY'!$C$3:$M$324,11,FALSE),3),0)+IFERROR(VLOOKUP($A227,S275_09,10,FALSE),0)</f>
        <v>1.0999999999999999</v>
      </c>
      <c r="X227" s="267">
        <f>IFERROR(VLOOKUP($A227,Supp_46,14,FALSE),0)+IFERROR(SUMPRODUCT(VLOOKUP($A227,S275_01,{29,30,31},FALSE)),0)+IFERROR(SUMPRODUCT(VLOOKUP($A227,S275_97,{29,30,31},FALSE)),0)+IFERROR(ROUND(VLOOKUP($A227,S275_21,29,FALSE)*VLOOKUP($A227,'3121% SY'!$C$3:$M$324,11,FALSE),3),0)+IFERROR(ROUND(VLOOKUP($A227,S275_21,30,FALSE)*VLOOKUP($A227,'3121% SY'!$C$3:$M$324,11,FALSE),3),0)+IFERROR(ROUND(VLOOKUP($A227,S275_21,31,FALSE)*VLOOKUP($A227,'3121% SY'!$C$3:$M$324,11,FALSE),3),0)+IFERROR(VLOOKUP($A227,S275_09,11,FALSE),0)</f>
        <v>1.94</v>
      </c>
      <c r="Y227" s="267">
        <f>IFERROR(VLOOKUP($A227,Supp_47,14,FALSE),0)+IFERROR(SUMPRODUCT(VLOOKUP($A227,S275_01,{32,33,34},FALSE)),0)+IFERROR(SUMPRODUCT(VLOOKUP($A227,S275_97,{32,33,34},FALSE)),0)+IFERROR(ROUND(VLOOKUP($A227,S275_21,32,FALSE)*VLOOKUP($A227,'3121% SY'!$C$3:$M$324,11,FALSE),3),0)+IFERROR(ROUND(VLOOKUP($A227,S275_21,33,FALSE)*VLOOKUP($A227,'3121% SY'!$C$3:$M$324,11,FALSE),3),0)+IFERROR(ROUND(VLOOKUP($A227,S275_21,34,FALSE)*VLOOKUP($A227,'3121% SY'!$C$3:$M$324,11,FALSE),3),0)+IFERROR(VLOOKUP($A227,S275_09,12,FALSE),0)</f>
        <v>1</v>
      </c>
      <c r="Z227" s="267">
        <f>IFERROR(VLOOKUP($A227,Supp_48,14,FALSE),0)+IFERROR(SUMPRODUCT(VLOOKUP($A227,S275_01,{35,36,37},FALSE)),0)+IFERROR(SUMPRODUCT(VLOOKUP($A227,S275_97,{35,36,37},FALSE)),0)+IFERROR(ROUND(VLOOKUP($A227,S275_21,35,FALSE)*VLOOKUP($A227,'3121% SY'!$C$3:$M$324,11,FALSE),3),0)+IFERROR(ROUND(VLOOKUP($A227,S275_21,36,FALSE)*VLOOKUP($A227,'3121% SY'!$C$3:$M$324,11,FALSE),3),0)+IFERROR(ROUND(VLOOKUP($A227,S275_21,37,FALSE)*VLOOKUP($A227,'3121% SY'!$C$3:$M$324,11,FALSE),3),0)+IFERROR(VLOOKUP($A227,S275_09,13,FALSE),0)</f>
        <v>0</v>
      </c>
      <c r="AA227" s="267">
        <f>IFERROR(VLOOKUP($A227,Supp_49,14,FALSE),0)+IFERROR(SUMPRODUCT(VLOOKUP($A227,S275_01,{38,39,40},FALSE)),0)+IFERROR(SUMPRODUCT(VLOOKUP($A227,S275_97,{38,39,40},FALSE)),0)+IFERROR(ROUND(VLOOKUP($A227,S275_21,38,FALSE)*VLOOKUP($A227,'3121% SY'!$C$3:$M$324,11,FALSE),3),0)+IFERROR(ROUND(VLOOKUP($A227,S275_21,39,FALSE)*VLOOKUP($A227,'3121% SY'!$C$3:$M$324,11,FALSE),3),0)+IFERROR(ROUND(VLOOKUP($A227,S275_21,40,FALSE)*VLOOKUP($A227,'3121% SY'!$C$3:$M$324,11,FALSE),3),0)+IFERROR(VLOOKUP($A227,S275_09,14,FALSE),0)</f>
        <v>0</v>
      </c>
      <c r="AB227" s="267">
        <f>IFERROR(VLOOKUP($A227,Supp_64,14,FALSE),0)+IFERROR(SUMPRODUCT(VLOOKUP($A227,S275_01,{41,42,43},FALSE)),0)+IFERROR(SUMPRODUCT(VLOOKUP($A227,S275_97,{41,42,43},FALSE)),0)+IFERROR(ROUND(VLOOKUP($A227,S275_21,41,FALSE)*VLOOKUP($A227,'3121% SY'!$C$3:$M$324,11,FALSE),3),0)+IFERROR(ROUND(VLOOKUP($A227,S275_21,42,FALSE)*VLOOKUP($A227,'3121% SY'!$C$3:$M$324,11,FALSE),3),0)+IFERROR(ROUND(VLOOKUP($A227,S275_21,43,FALSE)*VLOOKUP($A227,'3121% SY'!$C$3:$M$324,11,FALSE),3),0)+IFERROR(VLOOKUP($A227,S275_09,15,FALSE),0)</f>
        <v>0</v>
      </c>
      <c r="AC227" s="268">
        <f t="shared" si="47"/>
        <v>12.678999999999998</v>
      </c>
      <c r="AD227" s="267">
        <f>IFERROR(VLOOKUP($A227,Supp_24,14,FALSE),0)+IFERROR(SUMPRODUCT(VLOOKUP($A227,S275_01,{2,3,4},FALSE)),0)+IFERROR(SUMPRODUCT(VLOOKUP($A227,S275_97,{2,3,4},FALSE)),0)+IFERROR(ROUND(VLOOKUP($A227,S275_21,2,FALSE)*VLOOKUP($A227,'3121% SY'!$C$3:$M$324,11,FALSE),3),0)+IFERROR(ROUND(VLOOKUP($A227,S275_21,3,FALSE)*VLOOKUP($A227,'3121% SY'!$C$3:$M$324,11,FALSE),3),0)+IFERROR(ROUND(VLOOKUP($A227,S275_21,4,FALSE)*VLOOKUP($A227,'3121% SY'!$C$3:$M$324,11,FALSE),3),0)+IFERROR(VLOOKUP($A227,S275_09,2,FALSE),0)</f>
        <v>0</v>
      </c>
      <c r="AE227" s="267">
        <f>IFERROR(VLOOKUP($A227,Supp_25,14,FALSE),0)+IFERROR(SUMPRODUCT(VLOOKUP($A227,S275_01,{5,6,7},FALSE)),0)+IFERROR(SUMPRODUCT(VLOOKUP($A227,S275_97,{5,6,7},FALSE)),0)+IFERROR(ROUND(VLOOKUP($A227,S275_21,5,FALSE)*VLOOKUP($A227,'3121% SY'!$C$3:$M$324,11,FALSE),3),0)+IFERROR(ROUND(VLOOKUP($A227,S275_21,6,FALSE)*VLOOKUP($A227,'3121% SY'!$C$3:$M$324,11,FALSE),3),0)+IFERROR(ROUND(VLOOKUP($A227,S275_21,7,FALSE)*VLOOKUP($A227,'3121% SY'!$C$3:$M$324,11,FALSE),3),0)+IFERROR(VLOOKUP($A227,S275_09,3,FALSE),0)</f>
        <v>4.6319999999999997</v>
      </c>
      <c r="AF227" s="267">
        <f>IFERROR(VLOOKUP($A227,Supp_26,14,FALSE),0)+IFERROR(SUMPRODUCT(VLOOKUP($A227,S275_01,{8,9,10},FALSE)),0)+IFERROR(SUMPRODUCT(VLOOKUP($A227,S275_97,{8,9,10},FALSE)),0)+IFERROR(ROUND(VLOOKUP($A227,S275_21,8,FALSE)*VLOOKUP($A227,'3121% SY'!$C$3:$M$324,11,FALSE),3),0)+IFERROR(ROUND(VLOOKUP($A227,S275_21,9,FALSE)*VLOOKUP($A227,'3121% SY'!$C$3:$M$324,11,FALSE),3),0)+IFERROR(ROUND(VLOOKUP($A227,S275_21,10,FALSE)*VLOOKUP($A227,'3121% SY'!$C$3:$M$324,11,FALSE),3),0)+IFERROR(VLOOKUP($A227,S275_09,4,FALSE),0)</f>
        <v>2.3940000000000001</v>
      </c>
      <c r="AG227" s="267">
        <f>IFERROR(VLOOKUP($A227,Supp_35,14,FALSE),0)+IFERROR(SUMPRODUCT(VLOOKUP($A227,S275_01,{11,12,13},FALSE)),0)+IFERROR(SUMPRODUCT(VLOOKUP($A227,S275_97,{11,12,13},FALSE)),0)+IFERROR(ROUND(VLOOKUP($A227,S275_21,11,FALSE)*VLOOKUP($A227,'3121% SY'!$C$3:$M$324,11,FALSE),3),0)+IFERROR(ROUND(VLOOKUP($A227,S275_21,12,FALSE)*VLOOKUP($A227,'3121% SY'!$C$3:$M$324,11,FALSE),3),0)+IFERROR(ROUND(VLOOKUP($A227,S275_21,13,FALSE)*VLOOKUP($A227,'3121% SY'!$C$3:$M$324,11,FALSE),3),0)+IFERROR(VLOOKUP($A227,S275_09,5,FALSE),0)</f>
        <v>0</v>
      </c>
      <c r="AH227" s="165">
        <f t="shared" si="48"/>
        <v>7.0259999999999998</v>
      </c>
      <c r="AI227" s="161">
        <f>IFERROR(VLOOKUP(A227,'Supp Staff Data'!A:ER,148,FALSE),0)+AB227</f>
        <v>0</v>
      </c>
      <c r="AJ227" s="174">
        <v>0.5</v>
      </c>
      <c r="AK227" s="25">
        <f>VLOOKUP(A227,'Enroll Data as of January 2025'!$A$3:$T$323,20,FALSE)-F227</f>
        <v>0</v>
      </c>
    </row>
    <row r="228" spans="1:37" x14ac:dyDescent="0.25">
      <c r="A228" s="171" t="s">
        <v>34</v>
      </c>
      <c r="B228" t="s">
        <v>330</v>
      </c>
      <c r="C228" s="173" t="s">
        <v>1077</v>
      </c>
      <c r="D228" s="259">
        <f t="shared" si="40"/>
        <v>9.4640000000000004</v>
      </c>
      <c r="E228" s="259">
        <f t="shared" si="41"/>
        <v>8.0210000000000008</v>
      </c>
      <c r="F228" s="262">
        <f t="shared" si="42"/>
        <v>-1.4430000000000001</v>
      </c>
      <c r="G228" s="161">
        <f>ROUND(IF(F228&lt;0,F228*'2024-25 PSES Compliance'!$G$13,0),3)</f>
        <v>-1.385</v>
      </c>
      <c r="H228" s="161">
        <f>ROUND(IF(F228&lt;0,F228*'2024-25 PSES Compliance'!$G$14,0),3)</f>
        <v>-5.8000000000000003E-2</v>
      </c>
      <c r="I228" s="174">
        <f t="shared" si="43"/>
        <v>0.62180642064580482</v>
      </c>
      <c r="J228" s="174">
        <f t="shared" si="44"/>
        <v>1.6830819099862858E-2</v>
      </c>
      <c r="K228" s="161">
        <f>VLOOKUP($A228,'Enroll Data as of January 2025'!$A$3:$M$322,6,FALSE)</f>
        <v>5.3479999999999999</v>
      </c>
      <c r="L228" s="161">
        <f>VLOOKUP($A228,'Enroll Data as of January 2025'!$A$3:$M$322,7,FALSE)</f>
        <v>0.85699999999999998</v>
      </c>
      <c r="M228" s="161">
        <f>VLOOKUP($A228,'Enroll Data as of January 2025'!$A$3:$M$322,8,FALSE)</f>
        <v>0.28800000000000003</v>
      </c>
      <c r="N228" s="161">
        <f>VLOOKUP($A228,'Enroll Data as of January 2025'!$A$3:$M$322,9,FALSE)</f>
        <v>2.4480000000000004</v>
      </c>
      <c r="O228" s="165">
        <f t="shared" si="45"/>
        <v>8.9410000000000007</v>
      </c>
      <c r="P228" s="161">
        <f>VLOOKUP($A228,'Enroll Data as of January 2025'!$A$3:$M$322,11,FALSE)</f>
        <v>0.33199999999999996</v>
      </c>
      <c r="Q228" s="161">
        <f>VLOOKUP($A228,'Enroll Data as of January 2025'!$A$3:$M$322,12,FALSE)</f>
        <v>0.191</v>
      </c>
      <c r="R228" s="165">
        <f t="shared" si="46"/>
        <v>0.52299999999999991</v>
      </c>
      <c r="S228" s="267">
        <f>IFERROR(VLOOKUP($A228,Supp_39,14,FALSE),0)+IFERROR(SUMPRODUCT(VLOOKUP($A228,S275_01,{14,15,16},FALSE)),0)+IFERROR(SUMPRODUCT(VLOOKUP($A228,S275_97,{14,15,16},FALSE)),0)+IFERROR(ROUND(VLOOKUP($A228,S275_21,14,FALSE)*VLOOKUP($A228,'3121% SY'!$C$3:$M$324,11,FALSE),3),0)+IFERROR(ROUND(VLOOKUP($A228,S275_21,15,FALSE)*VLOOKUP($A228,'3121% SY'!$C$3:$M$324,11,FALSE),3),0)+IFERROR(ROUND(VLOOKUP($A228,S275_21,16,FALSE)*VLOOKUP($A228,'3121% SY'!$C$3:$M$324,11,FALSE),3),0)+IFERROR(VLOOKUP($A228,S275_09,6,FALSE),0)</f>
        <v>3.99</v>
      </c>
      <c r="T228" s="267">
        <f>IFERROR(VLOOKUP($A228,Supp_42,14,FALSE),0)+IFERROR(SUMPRODUCT(VLOOKUP($A228,S275_01,{17,18,19},FALSE)),0)+IFERROR(SUMPRODUCT(VLOOKUP($A228,S275_97,{17,18,19},FALSE)),0)+IFERROR(ROUND(VLOOKUP($A228,S275_21,17,FALSE)*VLOOKUP($A228,'3121% SY'!$C$3:$M$324,11,FALSE),3),0)+IFERROR(ROUND(VLOOKUP($A228,S275_21,18,FALSE)*VLOOKUP($A228,'3121% SY'!$C$3:$M$324,11,FALSE),3),0)+IFERROR(ROUND(VLOOKUP($A228,S275_21,19,FALSE)*VLOOKUP($A228,'3121% SY'!$C$3:$M$324,11,FALSE),3),0)+IFERROR(VLOOKUP($A228,S275_09,7,FALSE),0)</f>
        <v>0.56999999999999995</v>
      </c>
      <c r="U228" s="267">
        <f>IFERROR(VLOOKUP($A228,Supp_43,14,FALSE),0)+IFERROR(SUMPRODUCT(VLOOKUP($A228,S275_01,{20,21,22},FALSE)),0)+IFERROR(SUMPRODUCT(VLOOKUP($A228,S275_97,{20,21,22},FALSE)),0)+IFERROR(ROUND(VLOOKUP($A228,S275_21,20,FALSE)*VLOOKUP($A228,'3121% SY'!$C$3:$M$324,11,FALSE),3),0)+IFERROR(ROUND(VLOOKUP($A228,S275_21,21,FALSE)*VLOOKUP($A228,'3121% SY'!$C$3:$M$324,11,FALSE),3),0)+IFERROR(ROUND(VLOOKUP($A228,S275_21,22,FALSE)*VLOOKUP($A228,'3121% SY'!$C$3:$M$324,11,FALSE),3),0)+IFERROR(VLOOKUP($A228,S275_09,8,FALSE),0)</f>
        <v>0</v>
      </c>
      <c r="V228" s="267">
        <f>IFERROR(VLOOKUP($A228,Supp_44,14,FALSE),0)+IFERROR(SUMPRODUCT(VLOOKUP($A228,S275_01,{23,24,25},FALSE)),0)+IFERROR(SUMPRODUCT(VLOOKUP($A228,S275_97,{23,24,25},FALSE)),0)+IFERROR(ROUND(VLOOKUP($A228,S275_21,23,FALSE)*VLOOKUP($A228,'3121% SY'!$C$3:$M$324,11,FALSE),3),0)+IFERROR(ROUND(VLOOKUP($A228,S275_21,24,FALSE)*VLOOKUP($A228,'3121% SY'!$C$3:$M$324,11,FALSE),3),0)+IFERROR(ROUND(VLOOKUP($A228,S275_21,25,FALSE)*VLOOKUP($A228,'3121% SY'!$C$3:$M$324,11,FALSE),3),0)+IFERROR(VLOOKUP($A228,S275_09,9,FALSE),0)</f>
        <v>0</v>
      </c>
      <c r="W228" s="267">
        <f>IFERROR(VLOOKUP($A228,Supp_45,14,FALSE),0)+IFERROR(SUMPRODUCT(VLOOKUP($A228,S275_01,{26,27,28},FALSE)),0)+IFERROR(SUMPRODUCT(VLOOKUP($A228,S275_97,{26,27,28},FALSE)),0)+IFERROR(ROUND(VLOOKUP($A228,S275_21,26,FALSE)*VLOOKUP($A228,'3121% SY'!$C$3:$M$324,11,FALSE),3),0)+IFERROR(ROUND(VLOOKUP($A228,S275_21,27,FALSE)*VLOOKUP($A228,'3121% SY'!$C$3:$M$324,11,FALSE),3),0)+IFERROR(ROUND(VLOOKUP($A228,S275_21,28,FALSE)*VLOOKUP($A228,'3121% SY'!$C$3:$M$324,11,FALSE),3),0)+IFERROR(VLOOKUP($A228,S275_09,10,FALSE),0)</f>
        <v>0.70800000000000007</v>
      </c>
      <c r="X228" s="267">
        <f>IFERROR(VLOOKUP($A228,Supp_46,14,FALSE),0)+IFERROR(SUMPRODUCT(VLOOKUP($A228,S275_01,{29,30,31},FALSE)),0)+IFERROR(SUMPRODUCT(VLOOKUP($A228,S275_97,{29,30,31},FALSE)),0)+IFERROR(ROUND(VLOOKUP($A228,S275_21,29,FALSE)*VLOOKUP($A228,'3121% SY'!$C$3:$M$324,11,FALSE),3),0)+IFERROR(ROUND(VLOOKUP($A228,S275_21,30,FALSE)*VLOOKUP($A228,'3121% SY'!$C$3:$M$324,11,FALSE),3),0)+IFERROR(ROUND(VLOOKUP($A228,S275_21,31,FALSE)*VLOOKUP($A228,'3121% SY'!$C$3:$M$324,11,FALSE),3),0)+IFERROR(VLOOKUP($A228,S275_09,11,FALSE),0)</f>
        <v>0</v>
      </c>
      <c r="Y228" s="267">
        <f>IFERROR(VLOOKUP($A228,Supp_47,14,FALSE),0)+IFERROR(SUMPRODUCT(VLOOKUP($A228,S275_01,{32,33,34},FALSE)),0)+IFERROR(SUMPRODUCT(VLOOKUP($A228,S275_97,{32,33,34},FALSE)),0)+IFERROR(ROUND(VLOOKUP($A228,S275_21,32,FALSE)*VLOOKUP($A228,'3121% SY'!$C$3:$M$324,11,FALSE),3),0)+IFERROR(ROUND(VLOOKUP($A228,S275_21,33,FALSE)*VLOOKUP($A228,'3121% SY'!$C$3:$M$324,11,FALSE),3),0)+IFERROR(ROUND(VLOOKUP($A228,S275_21,34,FALSE)*VLOOKUP($A228,'3121% SY'!$C$3:$M$324,11,FALSE),3),0)+IFERROR(VLOOKUP($A228,S275_09,12,FALSE),0)</f>
        <v>0</v>
      </c>
      <c r="Z228" s="267">
        <f>IFERROR(VLOOKUP($A228,Supp_48,14,FALSE),0)+IFERROR(SUMPRODUCT(VLOOKUP($A228,S275_01,{35,36,37},FALSE)),0)+IFERROR(SUMPRODUCT(VLOOKUP($A228,S275_97,{35,36,37},FALSE)),0)+IFERROR(ROUND(VLOOKUP($A228,S275_21,35,FALSE)*VLOOKUP($A228,'3121% SY'!$C$3:$M$324,11,FALSE),3),0)+IFERROR(ROUND(VLOOKUP($A228,S275_21,36,FALSE)*VLOOKUP($A228,'3121% SY'!$C$3:$M$324,11,FALSE),3),0)+IFERROR(ROUND(VLOOKUP($A228,S275_21,37,FALSE)*VLOOKUP($A228,'3121% SY'!$C$3:$M$324,11,FALSE),3),0)+IFERROR(VLOOKUP($A228,S275_09,13,FALSE),0)</f>
        <v>0</v>
      </c>
      <c r="AA228" s="267">
        <f>IFERROR(VLOOKUP($A228,Supp_49,14,FALSE),0)+IFERROR(SUMPRODUCT(VLOOKUP($A228,S275_01,{38,39,40},FALSE)),0)+IFERROR(SUMPRODUCT(VLOOKUP($A228,S275_97,{38,39,40},FALSE)),0)+IFERROR(ROUND(VLOOKUP($A228,S275_21,38,FALSE)*VLOOKUP($A228,'3121% SY'!$C$3:$M$324,11,FALSE),3),0)+IFERROR(ROUND(VLOOKUP($A228,S275_21,39,FALSE)*VLOOKUP($A228,'3121% SY'!$C$3:$M$324,11,FALSE),3),0)+IFERROR(ROUND(VLOOKUP($A228,S275_21,40,FALSE)*VLOOKUP($A228,'3121% SY'!$C$3:$M$324,11,FALSE),3),0)+IFERROR(VLOOKUP($A228,S275_09,14,FALSE),0)</f>
        <v>0</v>
      </c>
      <c r="AB228" s="267">
        <f>IFERROR(VLOOKUP($A228,Supp_64,14,FALSE),0)+IFERROR(SUMPRODUCT(VLOOKUP($A228,S275_01,{41,42,43},FALSE)),0)+IFERROR(SUMPRODUCT(VLOOKUP($A228,S275_97,{41,42,43},FALSE)),0)+IFERROR(ROUND(VLOOKUP($A228,S275_21,41,FALSE)*VLOOKUP($A228,'3121% SY'!$C$3:$M$324,11,FALSE),3),0)+IFERROR(ROUND(VLOOKUP($A228,S275_21,42,FALSE)*VLOOKUP($A228,'3121% SY'!$C$3:$M$324,11,FALSE),3),0)+IFERROR(ROUND(VLOOKUP($A228,S275_21,43,FALSE)*VLOOKUP($A228,'3121% SY'!$C$3:$M$324,11,FALSE),3),0)+IFERROR(VLOOKUP($A228,S275_09,15,FALSE),0)</f>
        <v>0.13500000000000001</v>
      </c>
      <c r="AC228" s="268">
        <f t="shared" si="47"/>
        <v>5.4030000000000005</v>
      </c>
      <c r="AD228" s="267">
        <f>IFERROR(VLOOKUP($A228,Supp_24,14,FALSE),0)+IFERROR(SUMPRODUCT(VLOOKUP($A228,S275_01,{2,3,4},FALSE)),0)+IFERROR(SUMPRODUCT(VLOOKUP($A228,S275_97,{2,3,4},FALSE)),0)+IFERROR(ROUND(VLOOKUP($A228,S275_21,2,FALSE)*VLOOKUP($A228,'3121% SY'!$C$3:$M$324,11,FALSE),3),0)+IFERROR(ROUND(VLOOKUP($A228,S275_21,3,FALSE)*VLOOKUP($A228,'3121% SY'!$C$3:$M$324,11,FALSE),3),0)+IFERROR(ROUND(VLOOKUP($A228,S275_21,4,FALSE)*VLOOKUP($A228,'3121% SY'!$C$3:$M$324,11,FALSE),3),0)+IFERROR(VLOOKUP($A228,S275_09,2,FALSE),0)</f>
        <v>0</v>
      </c>
      <c r="AE228" s="267">
        <f>IFERROR(VLOOKUP($A228,Supp_25,14,FALSE),0)+IFERROR(SUMPRODUCT(VLOOKUP($A228,S275_01,{5,6,7},FALSE)),0)+IFERROR(SUMPRODUCT(VLOOKUP($A228,S275_97,{5,6,7},FALSE)),0)+IFERROR(ROUND(VLOOKUP($A228,S275_21,5,FALSE)*VLOOKUP($A228,'3121% SY'!$C$3:$M$324,11,FALSE),3),0)+IFERROR(ROUND(VLOOKUP($A228,S275_21,6,FALSE)*VLOOKUP($A228,'3121% SY'!$C$3:$M$324,11,FALSE),3),0)+IFERROR(ROUND(VLOOKUP($A228,S275_21,7,FALSE)*VLOOKUP($A228,'3121% SY'!$C$3:$M$324,11,FALSE),3),0)+IFERROR(VLOOKUP($A228,S275_09,3,FALSE),0)</f>
        <v>1.9189999999999998</v>
      </c>
      <c r="AF228" s="267">
        <f>IFERROR(VLOOKUP($A228,Supp_26,14,FALSE),0)+IFERROR(SUMPRODUCT(VLOOKUP($A228,S275_01,{8,9,10},FALSE)),0)+IFERROR(SUMPRODUCT(VLOOKUP($A228,S275_97,{8,9,10},FALSE)),0)+IFERROR(ROUND(VLOOKUP($A228,S275_21,8,FALSE)*VLOOKUP($A228,'3121% SY'!$C$3:$M$324,11,FALSE),3),0)+IFERROR(ROUND(VLOOKUP($A228,S275_21,9,FALSE)*VLOOKUP($A228,'3121% SY'!$C$3:$M$324,11,FALSE),3),0)+IFERROR(ROUND(VLOOKUP($A228,S275_21,10,FALSE)*VLOOKUP($A228,'3121% SY'!$C$3:$M$324,11,FALSE),3),0)+IFERROR(VLOOKUP($A228,S275_09,4,FALSE),0)</f>
        <v>0.69899999999999995</v>
      </c>
      <c r="AG228" s="267">
        <f>IFERROR(VLOOKUP($A228,Supp_35,14,FALSE),0)+IFERROR(SUMPRODUCT(VLOOKUP($A228,S275_01,{11,12,13},FALSE)),0)+IFERROR(SUMPRODUCT(VLOOKUP($A228,S275_97,{11,12,13},FALSE)),0)+IFERROR(ROUND(VLOOKUP($A228,S275_21,11,FALSE)*VLOOKUP($A228,'3121% SY'!$C$3:$M$324,11,FALSE),3),0)+IFERROR(ROUND(VLOOKUP($A228,S275_21,12,FALSE)*VLOOKUP($A228,'3121% SY'!$C$3:$M$324,11,FALSE),3),0)+IFERROR(ROUND(VLOOKUP($A228,S275_21,13,FALSE)*VLOOKUP($A228,'3121% SY'!$C$3:$M$324,11,FALSE),3),0)+IFERROR(VLOOKUP($A228,S275_09,5,FALSE),0)</f>
        <v>0</v>
      </c>
      <c r="AH228" s="165">
        <f t="shared" si="48"/>
        <v>2.6179999999999999</v>
      </c>
      <c r="AI228" s="161">
        <f>IFERROR(VLOOKUP(A228,'Supp Staff Data'!A:ER,148,FALSE),0)+AB228</f>
        <v>0.13500000000000001</v>
      </c>
      <c r="AJ228" s="174">
        <v>0.92310000000000003</v>
      </c>
      <c r="AK228" s="25">
        <f>VLOOKUP(A228,'Enroll Data as of January 2025'!$A$3:$T$323,20,FALSE)-F228</f>
        <v>0</v>
      </c>
    </row>
    <row r="229" spans="1:37" x14ac:dyDescent="0.25">
      <c r="A229" s="171" t="s">
        <v>164</v>
      </c>
      <c r="B229" t="s">
        <v>460</v>
      </c>
      <c r="C229" s="173" t="s">
        <v>1077</v>
      </c>
      <c r="D229" s="259">
        <f t="shared" si="40"/>
        <v>10.907000000000002</v>
      </c>
      <c r="E229" s="259">
        <f t="shared" si="41"/>
        <v>11.28</v>
      </c>
      <c r="F229" s="262">
        <f t="shared" ref="F229:F260" si="49">ROUND((AC229+AH229)-(O229+R229),3)</f>
        <v>0.373</v>
      </c>
      <c r="G229" s="161">
        <f>ROUND(IF(F229&lt;0,F229*'2024-25 PSES Compliance'!$G$13,0),3)</f>
        <v>0</v>
      </c>
      <c r="H229" s="161">
        <f>ROUND(IF(F229&lt;0,F229*'2024-25 PSES Compliance'!$G$14,0),3)</f>
        <v>0</v>
      </c>
      <c r="I229" s="174">
        <f t="shared" si="43"/>
        <v>0.50865248226950366</v>
      </c>
      <c r="J229" s="174">
        <f t="shared" si="44"/>
        <v>0</v>
      </c>
      <c r="K229" s="161">
        <f>VLOOKUP($A229,'Enroll Data as of January 2025'!$A$3:$M$322,6,FALSE)</f>
        <v>6.1080000000000005</v>
      </c>
      <c r="L229" s="161">
        <f>VLOOKUP($A229,'Enroll Data as of January 2025'!$A$3:$M$322,7,FALSE)</f>
        <v>1.0310000000000001</v>
      </c>
      <c r="M229" s="161">
        <f>VLOOKUP($A229,'Enroll Data as of January 2025'!$A$3:$M$322,8,FALSE)</f>
        <v>0.34699999999999998</v>
      </c>
      <c r="N229" s="161">
        <f>VLOOKUP($A229,'Enroll Data as of January 2025'!$A$3:$M$322,9,FALSE)</f>
        <v>2.8029999999999999</v>
      </c>
      <c r="O229" s="165">
        <f t="shared" si="45"/>
        <v>10.289000000000001</v>
      </c>
      <c r="P229" s="161">
        <f>VLOOKUP($A229,'Enroll Data as of January 2025'!$A$3:$M$322,11,FALSE)</f>
        <v>0.38400000000000001</v>
      </c>
      <c r="Q229" s="161">
        <f>VLOOKUP($A229,'Enroll Data as of January 2025'!$A$3:$M$322,12,FALSE)</f>
        <v>0.23400000000000001</v>
      </c>
      <c r="R229" s="165">
        <f t="shared" si="46"/>
        <v>0.61799999999999999</v>
      </c>
      <c r="S229" s="267">
        <f>IFERROR(VLOOKUP($A229,Supp_39,14,FALSE),0)+IFERROR(SUMPRODUCT(VLOOKUP($A229,S275_01,{14,15,16},FALSE)),0)+IFERROR(SUMPRODUCT(VLOOKUP($A229,S275_97,{14,15,16},FALSE)),0)+IFERROR(ROUND(VLOOKUP($A229,S275_21,14,FALSE)*VLOOKUP($A229,'3121% SY'!$C$3:$M$324,11,FALSE),3),0)+IFERROR(ROUND(VLOOKUP($A229,S275_21,15,FALSE)*VLOOKUP($A229,'3121% SY'!$C$3:$M$324,11,FALSE),3),0)+IFERROR(ROUND(VLOOKUP($A229,S275_21,16,FALSE)*VLOOKUP($A229,'3121% SY'!$C$3:$M$324,11,FALSE),3),0)+IFERROR(VLOOKUP($A229,S275_09,6,FALSE),0)</f>
        <v>5.6619999999999999</v>
      </c>
      <c r="T229" s="267">
        <f>IFERROR(VLOOKUP($A229,Supp_42,14,FALSE),0)+IFERROR(SUMPRODUCT(VLOOKUP($A229,S275_01,{17,18,19},FALSE)),0)+IFERROR(SUMPRODUCT(VLOOKUP($A229,S275_97,{17,18,19},FALSE)),0)+IFERROR(ROUND(VLOOKUP($A229,S275_21,17,FALSE)*VLOOKUP($A229,'3121% SY'!$C$3:$M$324,11,FALSE),3),0)+IFERROR(ROUND(VLOOKUP($A229,S275_21,18,FALSE)*VLOOKUP($A229,'3121% SY'!$C$3:$M$324,11,FALSE),3),0)+IFERROR(ROUND(VLOOKUP($A229,S275_21,19,FALSE)*VLOOKUP($A229,'3121% SY'!$C$3:$M$324,11,FALSE),3),0)+IFERROR(VLOOKUP($A229,S275_09,7,FALSE),0)</f>
        <v>1.3380000000000001</v>
      </c>
      <c r="U229" s="267">
        <f>IFERROR(VLOOKUP($A229,Supp_43,14,FALSE),0)+IFERROR(SUMPRODUCT(VLOOKUP($A229,S275_01,{20,21,22},FALSE)),0)+IFERROR(SUMPRODUCT(VLOOKUP($A229,S275_97,{20,21,22},FALSE)),0)+IFERROR(ROUND(VLOOKUP($A229,S275_21,20,FALSE)*VLOOKUP($A229,'3121% SY'!$C$3:$M$324,11,FALSE),3),0)+IFERROR(ROUND(VLOOKUP($A229,S275_21,21,FALSE)*VLOOKUP($A229,'3121% SY'!$C$3:$M$324,11,FALSE),3),0)+IFERROR(ROUND(VLOOKUP($A229,S275_21,22,FALSE)*VLOOKUP($A229,'3121% SY'!$C$3:$M$324,11,FALSE),3),0)+IFERROR(VLOOKUP($A229,S275_09,8,FALSE),0)</f>
        <v>0.16900000000000001</v>
      </c>
      <c r="V229" s="267">
        <f>IFERROR(VLOOKUP($A229,Supp_44,14,FALSE),0)+IFERROR(SUMPRODUCT(VLOOKUP($A229,S275_01,{23,24,25},FALSE)),0)+IFERROR(SUMPRODUCT(VLOOKUP($A229,S275_97,{23,24,25},FALSE)),0)+IFERROR(ROUND(VLOOKUP($A229,S275_21,23,FALSE)*VLOOKUP($A229,'3121% SY'!$C$3:$M$324,11,FALSE),3),0)+IFERROR(ROUND(VLOOKUP($A229,S275_21,24,FALSE)*VLOOKUP($A229,'3121% SY'!$C$3:$M$324,11,FALSE),3),0)+IFERROR(ROUND(VLOOKUP($A229,S275_21,25,FALSE)*VLOOKUP($A229,'3121% SY'!$C$3:$M$324,11,FALSE),3),0)+IFERROR(VLOOKUP($A229,S275_09,9,FALSE),0)</f>
        <v>0</v>
      </c>
      <c r="W229" s="267">
        <f>IFERROR(VLOOKUP($A229,Supp_45,14,FALSE),0)+IFERROR(SUMPRODUCT(VLOOKUP($A229,S275_01,{26,27,28},FALSE)),0)+IFERROR(SUMPRODUCT(VLOOKUP($A229,S275_97,{26,27,28},FALSE)),0)+IFERROR(ROUND(VLOOKUP($A229,S275_21,26,FALSE)*VLOOKUP($A229,'3121% SY'!$C$3:$M$324,11,FALSE),3),0)+IFERROR(ROUND(VLOOKUP($A229,S275_21,27,FALSE)*VLOOKUP($A229,'3121% SY'!$C$3:$M$324,11,FALSE),3),0)+IFERROR(ROUND(VLOOKUP($A229,S275_21,28,FALSE)*VLOOKUP($A229,'3121% SY'!$C$3:$M$324,11,FALSE),3),0)+IFERROR(VLOOKUP($A229,S275_09,10,FALSE),0)</f>
        <v>3.0000000000000001E-3</v>
      </c>
      <c r="X229" s="267">
        <f>IFERROR(VLOOKUP($A229,Supp_46,14,FALSE),0)+IFERROR(SUMPRODUCT(VLOOKUP($A229,S275_01,{29,30,31},FALSE)),0)+IFERROR(SUMPRODUCT(VLOOKUP($A229,S275_97,{29,30,31},FALSE)),0)+IFERROR(ROUND(VLOOKUP($A229,S275_21,29,FALSE)*VLOOKUP($A229,'3121% SY'!$C$3:$M$324,11,FALSE),3),0)+IFERROR(ROUND(VLOOKUP($A229,S275_21,30,FALSE)*VLOOKUP($A229,'3121% SY'!$C$3:$M$324,11,FALSE),3),0)+IFERROR(ROUND(VLOOKUP($A229,S275_21,31,FALSE)*VLOOKUP($A229,'3121% SY'!$C$3:$M$324,11,FALSE),3),0)+IFERROR(VLOOKUP($A229,S275_09,11,FALSE),0)</f>
        <v>0</v>
      </c>
      <c r="Y229" s="267">
        <f>IFERROR(VLOOKUP($A229,Supp_47,14,FALSE),0)+IFERROR(SUMPRODUCT(VLOOKUP($A229,S275_01,{32,33,34},FALSE)),0)+IFERROR(SUMPRODUCT(VLOOKUP($A229,S275_97,{32,33,34},FALSE)),0)+IFERROR(ROUND(VLOOKUP($A229,S275_21,32,FALSE)*VLOOKUP($A229,'3121% SY'!$C$3:$M$324,11,FALSE),3),0)+IFERROR(ROUND(VLOOKUP($A229,S275_21,33,FALSE)*VLOOKUP($A229,'3121% SY'!$C$3:$M$324,11,FALSE),3),0)+IFERROR(ROUND(VLOOKUP($A229,S275_21,34,FALSE)*VLOOKUP($A229,'3121% SY'!$C$3:$M$324,11,FALSE),3),0)+IFERROR(VLOOKUP($A229,S275_09,12,FALSE),0)</f>
        <v>0</v>
      </c>
      <c r="Z229" s="267">
        <f>IFERROR(VLOOKUP($A229,Supp_48,14,FALSE),0)+IFERROR(SUMPRODUCT(VLOOKUP($A229,S275_01,{35,36,37},FALSE)),0)+IFERROR(SUMPRODUCT(VLOOKUP($A229,S275_97,{35,36,37},FALSE)),0)+IFERROR(ROUND(VLOOKUP($A229,S275_21,35,FALSE)*VLOOKUP($A229,'3121% SY'!$C$3:$M$324,11,FALSE),3),0)+IFERROR(ROUND(VLOOKUP($A229,S275_21,36,FALSE)*VLOOKUP($A229,'3121% SY'!$C$3:$M$324,11,FALSE),3),0)+IFERROR(ROUND(VLOOKUP($A229,S275_21,37,FALSE)*VLOOKUP($A229,'3121% SY'!$C$3:$M$324,11,FALSE),3),0)+IFERROR(VLOOKUP($A229,S275_09,13,FALSE),0)</f>
        <v>0</v>
      </c>
      <c r="AA229" s="267">
        <f>IFERROR(VLOOKUP($A229,Supp_49,14,FALSE),0)+IFERROR(SUMPRODUCT(VLOOKUP($A229,S275_01,{38,39,40},FALSE)),0)+IFERROR(SUMPRODUCT(VLOOKUP($A229,S275_97,{38,39,40},FALSE)),0)+IFERROR(ROUND(VLOOKUP($A229,S275_21,38,FALSE)*VLOOKUP($A229,'3121% SY'!$C$3:$M$324,11,FALSE),3),0)+IFERROR(ROUND(VLOOKUP($A229,S275_21,39,FALSE)*VLOOKUP($A229,'3121% SY'!$C$3:$M$324,11,FALSE),3),0)+IFERROR(ROUND(VLOOKUP($A229,S275_21,40,FALSE)*VLOOKUP($A229,'3121% SY'!$C$3:$M$324,11,FALSE),3),0)+IFERROR(VLOOKUP($A229,S275_09,14,FALSE),0)</f>
        <v>0</v>
      </c>
      <c r="AB229" s="267">
        <f>IFERROR(VLOOKUP($A229,Supp_64,14,FALSE),0)+IFERROR(SUMPRODUCT(VLOOKUP($A229,S275_01,{41,42,43},FALSE)),0)+IFERROR(SUMPRODUCT(VLOOKUP($A229,S275_97,{41,42,43},FALSE)),0)+IFERROR(ROUND(VLOOKUP($A229,S275_21,41,FALSE)*VLOOKUP($A229,'3121% SY'!$C$3:$M$324,11,FALSE),3),0)+IFERROR(ROUND(VLOOKUP($A229,S275_21,42,FALSE)*VLOOKUP($A229,'3121% SY'!$C$3:$M$324,11,FALSE),3),0)+IFERROR(ROUND(VLOOKUP($A229,S275_21,43,FALSE)*VLOOKUP($A229,'3121% SY'!$C$3:$M$324,11,FALSE),3),0)+IFERROR(VLOOKUP($A229,S275_09,15,FALSE),0)</f>
        <v>0</v>
      </c>
      <c r="AC229" s="268">
        <f t="shared" si="47"/>
        <v>7.1719999999999997</v>
      </c>
      <c r="AD229" s="267">
        <f>IFERROR(VLOOKUP($A229,Supp_24,14,FALSE),0)+IFERROR(SUMPRODUCT(VLOOKUP($A229,S275_01,{2,3,4},FALSE)),0)+IFERROR(SUMPRODUCT(VLOOKUP($A229,S275_97,{2,3,4},FALSE)),0)+IFERROR(ROUND(VLOOKUP($A229,S275_21,2,FALSE)*VLOOKUP($A229,'3121% SY'!$C$3:$M$324,11,FALSE),3),0)+IFERROR(ROUND(VLOOKUP($A229,S275_21,3,FALSE)*VLOOKUP($A229,'3121% SY'!$C$3:$M$324,11,FALSE),3),0)+IFERROR(ROUND(VLOOKUP($A229,S275_21,4,FALSE)*VLOOKUP($A229,'3121% SY'!$C$3:$M$324,11,FALSE),3),0)+IFERROR(VLOOKUP($A229,S275_09,2,FALSE),0)</f>
        <v>0</v>
      </c>
      <c r="AE229" s="267">
        <f>IFERROR(VLOOKUP($A229,Supp_25,14,FALSE),0)+IFERROR(SUMPRODUCT(VLOOKUP($A229,S275_01,{5,6,7},FALSE)),0)+IFERROR(SUMPRODUCT(VLOOKUP($A229,S275_97,{5,6,7},FALSE)),0)+IFERROR(ROUND(VLOOKUP($A229,S275_21,5,FALSE)*VLOOKUP($A229,'3121% SY'!$C$3:$M$324,11,FALSE),3),0)+IFERROR(ROUND(VLOOKUP($A229,S275_21,6,FALSE)*VLOOKUP($A229,'3121% SY'!$C$3:$M$324,11,FALSE),3),0)+IFERROR(ROUND(VLOOKUP($A229,S275_21,7,FALSE)*VLOOKUP($A229,'3121% SY'!$C$3:$M$324,11,FALSE),3),0)+IFERROR(VLOOKUP($A229,S275_09,3,FALSE),0)</f>
        <v>2.0139999999999998</v>
      </c>
      <c r="AF229" s="267">
        <f>IFERROR(VLOOKUP($A229,Supp_26,14,FALSE),0)+IFERROR(SUMPRODUCT(VLOOKUP($A229,S275_01,{8,9,10},FALSE)),0)+IFERROR(SUMPRODUCT(VLOOKUP($A229,S275_97,{8,9,10},FALSE)),0)+IFERROR(ROUND(VLOOKUP($A229,S275_21,8,FALSE)*VLOOKUP($A229,'3121% SY'!$C$3:$M$324,11,FALSE),3),0)+IFERROR(ROUND(VLOOKUP($A229,S275_21,9,FALSE)*VLOOKUP($A229,'3121% SY'!$C$3:$M$324,11,FALSE),3),0)+IFERROR(ROUND(VLOOKUP($A229,S275_21,10,FALSE)*VLOOKUP($A229,'3121% SY'!$C$3:$M$324,11,FALSE),3),0)+IFERROR(VLOOKUP($A229,S275_09,4,FALSE),0)</f>
        <v>0</v>
      </c>
      <c r="AG229" s="267">
        <f>IFERROR(VLOOKUP($A229,Supp_35,14,FALSE),0)+IFERROR(SUMPRODUCT(VLOOKUP($A229,S275_01,{11,12,13},FALSE)),0)+IFERROR(SUMPRODUCT(VLOOKUP($A229,S275_97,{11,12,13},FALSE)),0)+IFERROR(ROUND(VLOOKUP($A229,S275_21,11,FALSE)*VLOOKUP($A229,'3121% SY'!$C$3:$M$324,11,FALSE),3),0)+IFERROR(ROUND(VLOOKUP($A229,S275_21,12,FALSE)*VLOOKUP($A229,'3121% SY'!$C$3:$M$324,11,FALSE),3),0)+IFERROR(ROUND(VLOOKUP($A229,S275_21,13,FALSE)*VLOOKUP($A229,'3121% SY'!$C$3:$M$324,11,FALSE),3),0)+IFERROR(VLOOKUP($A229,S275_09,5,FALSE),0)</f>
        <v>2.0939999999999999</v>
      </c>
      <c r="AH229" s="165">
        <f t="shared" si="48"/>
        <v>4.1079999999999997</v>
      </c>
      <c r="AI229" s="161">
        <f>IFERROR(VLOOKUP(A229,'Supp Staff Data'!A:ER,148,FALSE),0)+AB229</f>
        <v>0</v>
      </c>
      <c r="AJ229" s="174">
        <v>0.8</v>
      </c>
      <c r="AK229" s="25">
        <f>VLOOKUP(A229,'Enroll Data as of January 2025'!$A$3:$T$323,20,FALSE)-F229</f>
        <v>0</v>
      </c>
    </row>
    <row r="230" spans="1:37" x14ac:dyDescent="0.25">
      <c r="A230" s="171" t="s">
        <v>98</v>
      </c>
      <c r="B230" t="s">
        <v>394</v>
      </c>
      <c r="C230" s="173" t="s">
        <v>1077</v>
      </c>
      <c r="D230" s="259">
        <f t="shared" si="40"/>
        <v>21.218</v>
      </c>
      <c r="E230" s="259">
        <f t="shared" si="41"/>
        <v>22.093000000000004</v>
      </c>
      <c r="F230" s="262">
        <f t="shared" si="49"/>
        <v>0.875</v>
      </c>
      <c r="G230" s="161">
        <f>ROUND(IF(F230&lt;0,F230*'2024-25 PSES Compliance'!$G$13,0),3)</f>
        <v>0</v>
      </c>
      <c r="H230" s="161">
        <f>ROUND(IF(F230&lt;0,F230*'2024-25 PSES Compliance'!$G$14,0),3)</f>
        <v>0</v>
      </c>
      <c r="I230" s="174">
        <f t="shared" si="43"/>
        <v>0</v>
      </c>
      <c r="J230" s="174">
        <f t="shared" si="44"/>
        <v>5.9566378490924721E-2</v>
      </c>
      <c r="K230" s="161">
        <f>VLOOKUP($A230,'Enroll Data as of January 2025'!$A$3:$M$322,6,FALSE)</f>
        <v>11.616</v>
      </c>
      <c r="L230" s="161">
        <f>VLOOKUP($A230,'Enroll Data as of January 2025'!$A$3:$M$322,7,FALSE)</f>
        <v>2.1110000000000002</v>
      </c>
      <c r="M230" s="161">
        <f>VLOOKUP($A230,'Enroll Data as of January 2025'!$A$3:$M$322,8,FALSE)</f>
        <v>0.70799999999999996</v>
      </c>
      <c r="N230" s="161">
        <f>VLOOKUP($A230,'Enroll Data as of January 2025'!$A$3:$M$322,9,FALSE)</f>
        <v>5.5410000000000004</v>
      </c>
      <c r="O230" s="165">
        <f t="shared" si="45"/>
        <v>19.975999999999999</v>
      </c>
      <c r="P230" s="161">
        <f>VLOOKUP($A230,'Enroll Data as of January 2025'!$A$3:$M$322,11,FALSE)</f>
        <v>0.75</v>
      </c>
      <c r="Q230" s="161">
        <f>VLOOKUP($A230,'Enroll Data as of January 2025'!$A$3:$M$322,12,FALSE)</f>
        <v>0.49199999999999999</v>
      </c>
      <c r="R230" s="165">
        <f t="shared" si="46"/>
        <v>1.242</v>
      </c>
      <c r="S230" s="267">
        <f>IFERROR(VLOOKUP($A230,Supp_39,14,FALSE),0)+IFERROR(SUMPRODUCT(VLOOKUP($A230,S275_01,{14,15,16},FALSE)),0)+IFERROR(SUMPRODUCT(VLOOKUP($A230,S275_97,{14,15,16},FALSE)),0)+IFERROR(ROUND(VLOOKUP($A230,S275_21,14,FALSE)*VLOOKUP($A230,'3121% SY'!$C$3:$M$324,11,FALSE),3),0)+IFERROR(ROUND(VLOOKUP($A230,S275_21,15,FALSE)*VLOOKUP($A230,'3121% SY'!$C$3:$M$324,11,FALSE),3),0)+IFERROR(ROUND(VLOOKUP($A230,S275_21,16,FALSE)*VLOOKUP($A230,'3121% SY'!$C$3:$M$324,11,FALSE),3),0)+IFERROR(VLOOKUP($A230,S275_09,6,FALSE),0)</f>
        <v>8.6820000000000004</v>
      </c>
      <c r="T230" s="267">
        <f>IFERROR(VLOOKUP($A230,Supp_42,14,FALSE),0)+IFERROR(SUMPRODUCT(VLOOKUP($A230,S275_01,{17,18,19},FALSE)),0)+IFERROR(SUMPRODUCT(VLOOKUP($A230,S275_97,{17,18,19},FALSE)),0)+IFERROR(ROUND(VLOOKUP($A230,S275_21,17,FALSE)*VLOOKUP($A230,'3121% SY'!$C$3:$M$324,11,FALSE),3),0)+IFERROR(ROUND(VLOOKUP($A230,S275_21,18,FALSE)*VLOOKUP($A230,'3121% SY'!$C$3:$M$324,11,FALSE),3),0)+IFERROR(ROUND(VLOOKUP($A230,S275_21,19,FALSE)*VLOOKUP($A230,'3121% SY'!$C$3:$M$324,11,FALSE),3),0)+IFERROR(VLOOKUP($A230,S275_09,7,FALSE),0)</f>
        <v>1.3180000000000001</v>
      </c>
      <c r="U230" s="267">
        <f>IFERROR(VLOOKUP($A230,Supp_43,14,FALSE),0)+IFERROR(SUMPRODUCT(VLOOKUP($A230,S275_01,{20,21,22},FALSE)),0)+IFERROR(SUMPRODUCT(VLOOKUP($A230,S275_97,{20,21,22},FALSE)),0)+IFERROR(ROUND(VLOOKUP($A230,S275_21,20,FALSE)*VLOOKUP($A230,'3121% SY'!$C$3:$M$324,11,FALSE),3),0)+IFERROR(ROUND(VLOOKUP($A230,S275_21,21,FALSE)*VLOOKUP($A230,'3121% SY'!$C$3:$M$324,11,FALSE),3),0)+IFERROR(ROUND(VLOOKUP($A230,S275_21,22,FALSE)*VLOOKUP($A230,'3121% SY'!$C$3:$M$324,11,FALSE),3),0)+IFERROR(VLOOKUP($A230,S275_09,8,FALSE),0)</f>
        <v>0.253</v>
      </c>
      <c r="V230" s="267">
        <f>IFERROR(VLOOKUP($A230,Supp_44,14,FALSE),0)+IFERROR(SUMPRODUCT(VLOOKUP($A230,S275_01,{23,24,25},FALSE)),0)+IFERROR(SUMPRODUCT(VLOOKUP($A230,S275_97,{23,24,25},FALSE)),0)+IFERROR(ROUND(VLOOKUP($A230,S275_21,23,FALSE)*VLOOKUP($A230,'3121% SY'!$C$3:$M$324,11,FALSE),3),0)+IFERROR(ROUND(VLOOKUP($A230,S275_21,24,FALSE)*VLOOKUP($A230,'3121% SY'!$C$3:$M$324,11,FALSE),3),0)+IFERROR(ROUND(VLOOKUP($A230,S275_21,25,FALSE)*VLOOKUP($A230,'3121% SY'!$C$3:$M$324,11,FALSE),3),0)+IFERROR(VLOOKUP($A230,S275_09,9,FALSE),0)</f>
        <v>0</v>
      </c>
      <c r="W230" s="267">
        <f>IFERROR(VLOOKUP($A230,Supp_45,14,FALSE),0)+IFERROR(SUMPRODUCT(VLOOKUP($A230,S275_01,{26,27,28},FALSE)),0)+IFERROR(SUMPRODUCT(VLOOKUP($A230,S275_97,{26,27,28},FALSE)),0)+IFERROR(ROUND(VLOOKUP($A230,S275_21,26,FALSE)*VLOOKUP($A230,'3121% SY'!$C$3:$M$324,11,FALSE),3),0)+IFERROR(ROUND(VLOOKUP($A230,S275_21,27,FALSE)*VLOOKUP($A230,'3121% SY'!$C$3:$M$324,11,FALSE),3),0)+IFERROR(ROUND(VLOOKUP($A230,S275_21,28,FALSE)*VLOOKUP($A230,'3121% SY'!$C$3:$M$324,11,FALSE),3),0)+IFERROR(VLOOKUP($A230,S275_09,10,FALSE),0)</f>
        <v>1.52</v>
      </c>
      <c r="X230" s="267">
        <f>IFERROR(VLOOKUP($A230,Supp_46,14,FALSE),0)+IFERROR(SUMPRODUCT(VLOOKUP($A230,S275_01,{29,30,31},FALSE)),0)+IFERROR(SUMPRODUCT(VLOOKUP($A230,S275_97,{29,30,31},FALSE)),0)+IFERROR(ROUND(VLOOKUP($A230,S275_21,29,FALSE)*VLOOKUP($A230,'3121% SY'!$C$3:$M$324,11,FALSE),3),0)+IFERROR(ROUND(VLOOKUP($A230,S275_21,30,FALSE)*VLOOKUP($A230,'3121% SY'!$C$3:$M$324,11,FALSE),3),0)+IFERROR(ROUND(VLOOKUP($A230,S275_21,31,FALSE)*VLOOKUP($A230,'3121% SY'!$C$3:$M$324,11,FALSE),3),0)+IFERROR(VLOOKUP($A230,S275_09,11,FALSE),0)</f>
        <v>1.1520000000000001</v>
      </c>
      <c r="Y230" s="267">
        <f>IFERROR(VLOOKUP($A230,Supp_47,14,FALSE),0)+IFERROR(SUMPRODUCT(VLOOKUP($A230,S275_01,{32,33,34},FALSE)),0)+IFERROR(SUMPRODUCT(VLOOKUP($A230,S275_97,{32,33,34},FALSE)),0)+IFERROR(ROUND(VLOOKUP($A230,S275_21,32,FALSE)*VLOOKUP($A230,'3121% SY'!$C$3:$M$324,11,FALSE),3),0)+IFERROR(ROUND(VLOOKUP($A230,S275_21,33,FALSE)*VLOOKUP($A230,'3121% SY'!$C$3:$M$324,11,FALSE),3),0)+IFERROR(ROUND(VLOOKUP($A230,S275_21,34,FALSE)*VLOOKUP($A230,'3121% SY'!$C$3:$M$324,11,FALSE),3),0)+IFERROR(VLOOKUP($A230,S275_09,12,FALSE),0)</f>
        <v>0.24199999999999999</v>
      </c>
      <c r="Z230" s="267">
        <f>IFERROR(VLOOKUP($A230,Supp_48,14,FALSE),0)+IFERROR(SUMPRODUCT(VLOOKUP($A230,S275_01,{35,36,37},FALSE)),0)+IFERROR(SUMPRODUCT(VLOOKUP($A230,S275_97,{35,36,37},FALSE)),0)+IFERROR(ROUND(VLOOKUP($A230,S275_21,35,FALSE)*VLOOKUP($A230,'3121% SY'!$C$3:$M$324,11,FALSE),3),0)+IFERROR(ROUND(VLOOKUP($A230,S275_21,36,FALSE)*VLOOKUP($A230,'3121% SY'!$C$3:$M$324,11,FALSE),3),0)+IFERROR(ROUND(VLOOKUP($A230,S275_21,37,FALSE)*VLOOKUP($A230,'3121% SY'!$C$3:$M$324,11,FALSE),3),0)+IFERROR(VLOOKUP($A230,S275_09,13,FALSE),0)</f>
        <v>0</v>
      </c>
      <c r="AA230" s="267">
        <f>IFERROR(VLOOKUP($A230,Supp_49,14,FALSE),0)+IFERROR(SUMPRODUCT(VLOOKUP($A230,S275_01,{38,39,40},FALSE)),0)+IFERROR(SUMPRODUCT(VLOOKUP($A230,S275_97,{38,39,40},FALSE)),0)+IFERROR(ROUND(VLOOKUP($A230,S275_21,38,FALSE)*VLOOKUP($A230,'3121% SY'!$C$3:$M$324,11,FALSE),3),0)+IFERROR(ROUND(VLOOKUP($A230,S275_21,39,FALSE)*VLOOKUP($A230,'3121% SY'!$C$3:$M$324,11,FALSE),3),0)+IFERROR(ROUND(VLOOKUP($A230,S275_21,40,FALSE)*VLOOKUP($A230,'3121% SY'!$C$3:$M$324,11,FALSE),3),0)+IFERROR(VLOOKUP($A230,S275_09,14,FALSE),0)</f>
        <v>0</v>
      </c>
      <c r="AB230" s="267">
        <f>IFERROR(VLOOKUP($A230,Supp_64,14,FALSE),0)+IFERROR(SUMPRODUCT(VLOOKUP($A230,S275_01,{41,42,43},FALSE)),0)+IFERROR(SUMPRODUCT(VLOOKUP($A230,S275_97,{41,42,43},FALSE)),0)+IFERROR(ROUND(VLOOKUP($A230,S275_21,41,FALSE)*VLOOKUP($A230,'3121% SY'!$C$3:$M$324,11,FALSE),3),0)+IFERROR(ROUND(VLOOKUP($A230,S275_21,42,FALSE)*VLOOKUP($A230,'3121% SY'!$C$3:$M$324,11,FALSE),3),0)+IFERROR(ROUND(VLOOKUP($A230,S275_21,43,FALSE)*VLOOKUP($A230,'3121% SY'!$C$3:$M$324,11,FALSE),3),0)+IFERROR(VLOOKUP($A230,S275_09,15,FALSE),0)</f>
        <v>1.3160000000000001</v>
      </c>
      <c r="AC230" s="268">
        <f t="shared" si="47"/>
        <v>14.483000000000002</v>
      </c>
      <c r="AD230" s="267">
        <f>IFERROR(VLOOKUP($A230,Supp_24,14,FALSE),0)+IFERROR(SUMPRODUCT(VLOOKUP($A230,S275_01,{2,3,4},FALSE)),0)+IFERROR(SUMPRODUCT(VLOOKUP($A230,S275_97,{2,3,4},FALSE)),0)+IFERROR(ROUND(VLOOKUP($A230,S275_21,2,FALSE)*VLOOKUP($A230,'3121% SY'!$C$3:$M$324,11,FALSE),3),0)+IFERROR(ROUND(VLOOKUP($A230,S275_21,3,FALSE)*VLOOKUP($A230,'3121% SY'!$C$3:$M$324,11,FALSE),3),0)+IFERROR(ROUND(VLOOKUP($A230,S275_21,4,FALSE)*VLOOKUP($A230,'3121% SY'!$C$3:$M$324,11,FALSE),3),0)+IFERROR(VLOOKUP($A230,S275_09,2,FALSE),0)</f>
        <v>0</v>
      </c>
      <c r="AE230" s="267">
        <f>IFERROR(VLOOKUP($A230,Supp_25,14,FALSE),0)+IFERROR(SUMPRODUCT(VLOOKUP($A230,S275_01,{5,6,7},FALSE)),0)+IFERROR(SUMPRODUCT(VLOOKUP($A230,S275_97,{5,6,7},FALSE)),0)+IFERROR(ROUND(VLOOKUP($A230,S275_21,5,FALSE)*VLOOKUP($A230,'3121% SY'!$C$3:$M$324,11,FALSE),3),0)+IFERROR(ROUND(VLOOKUP($A230,S275_21,6,FALSE)*VLOOKUP($A230,'3121% SY'!$C$3:$M$324,11,FALSE),3),0)+IFERROR(ROUND(VLOOKUP($A230,S275_21,7,FALSE)*VLOOKUP($A230,'3121% SY'!$C$3:$M$324,11,FALSE),3),0)+IFERROR(VLOOKUP($A230,S275_09,3,FALSE),0)</f>
        <v>1.68</v>
      </c>
      <c r="AF230" s="267">
        <f>IFERROR(VLOOKUP($A230,Supp_26,14,FALSE),0)+IFERROR(SUMPRODUCT(VLOOKUP($A230,S275_01,{8,9,10},FALSE)),0)+IFERROR(SUMPRODUCT(VLOOKUP($A230,S275_97,{8,9,10},FALSE)),0)+IFERROR(ROUND(VLOOKUP($A230,S275_21,8,FALSE)*VLOOKUP($A230,'3121% SY'!$C$3:$M$324,11,FALSE),3),0)+IFERROR(ROUND(VLOOKUP($A230,S275_21,9,FALSE)*VLOOKUP($A230,'3121% SY'!$C$3:$M$324,11,FALSE),3),0)+IFERROR(ROUND(VLOOKUP($A230,S275_21,10,FALSE)*VLOOKUP($A230,'3121% SY'!$C$3:$M$324,11,FALSE),3),0)+IFERROR(VLOOKUP($A230,S275_09,4,FALSE),0)</f>
        <v>5.149</v>
      </c>
      <c r="AG230" s="267">
        <f>IFERROR(VLOOKUP($A230,Supp_35,14,FALSE),0)+IFERROR(SUMPRODUCT(VLOOKUP($A230,S275_01,{11,12,13},FALSE)),0)+IFERROR(SUMPRODUCT(VLOOKUP($A230,S275_97,{11,12,13},FALSE)),0)+IFERROR(ROUND(VLOOKUP($A230,S275_21,11,FALSE)*VLOOKUP($A230,'3121% SY'!$C$3:$M$324,11,FALSE),3),0)+IFERROR(ROUND(VLOOKUP($A230,S275_21,12,FALSE)*VLOOKUP($A230,'3121% SY'!$C$3:$M$324,11,FALSE),3),0)+IFERROR(ROUND(VLOOKUP($A230,S275_21,13,FALSE)*VLOOKUP($A230,'3121% SY'!$C$3:$M$324,11,FALSE),3),0)+IFERROR(VLOOKUP($A230,S275_09,5,FALSE),0)</f>
        <v>0.78100000000000003</v>
      </c>
      <c r="AH230" s="165">
        <f t="shared" si="48"/>
        <v>7.6099999999999994</v>
      </c>
      <c r="AI230" s="161">
        <f>IFERROR(VLOOKUP(A230,'Supp Staff Data'!A:ER,148,FALSE),0)+AB230</f>
        <v>1.3160000000000001</v>
      </c>
      <c r="AJ230" s="174">
        <v>0</v>
      </c>
      <c r="AK230" s="25">
        <f>VLOOKUP(A230,'Enroll Data as of January 2025'!$A$3:$T$323,20,FALSE)-F230</f>
        <v>0</v>
      </c>
    </row>
    <row r="231" spans="1:37" x14ac:dyDescent="0.25">
      <c r="A231" s="171" t="s">
        <v>79</v>
      </c>
      <c r="B231" t="s">
        <v>375</v>
      </c>
      <c r="C231" s="173" t="s">
        <v>1077</v>
      </c>
      <c r="D231" s="259">
        <f t="shared" si="40"/>
        <v>7.0659999999999998</v>
      </c>
      <c r="E231" s="259">
        <f t="shared" si="41"/>
        <v>10.071</v>
      </c>
      <c r="F231" s="262">
        <f t="shared" si="49"/>
        <v>3.0049999999999999</v>
      </c>
      <c r="G231" s="161">
        <f>ROUND(IF(F231&lt;0,F231*'2024-25 PSES Compliance'!$G$13,0),3)</f>
        <v>0</v>
      </c>
      <c r="H231" s="161">
        <f>ROUND(IF(F231&lt;0,F231*'2024-25 PSES Compliance'!$G$14,0),3)</f>
        <v>0</v>
      </c>
      <c r="I231" s="174">
        <f t="shared" si="43"/>
        <v>0.34399743818885908</v>
      </c>
      <c r="J231" s="174">
        <f t="shared" si="44"/>
        <v>0</v>
      </c>
      <c r="K231" s="161">
        <f>VLOOKUP($A231,'Enroll Data as of January 2025'!$A$3:$M$322,6,FALSE)</f>
        <v>3.9409999999999998</v>
      </c>
      <c r="L231" s="161">
        <f>VLOOKUP($A231,'Enroll Data as of January 2025'!$A$3:$M$322,7,FALSE)</f>
        <v>0.66000000000000014</v>
      </c>
      <c r="M231" s="161">
        <f>VLOOKUP($A231,'Enroll Data as of January 2025'!$A$3:$M$322,8,FALSE)</f>
        <v>0.221</v>
      </c>
      <c r="N231" s="161">
        <f>VLOOKUP($A231,'Enroll Data as of January 2025'!$A$3:$M$322,9,FALSE)</f>
        <v>1.8460000000000001</v>
      </c>
      <c r="O231" s="165">
        <f t="shared" si="45"/>
        <v>6.6680000000000001</v>
      </c>
      <c r="P231" s="161">
        <f>VLOOKUP($A231,'Enroll Data as of January 2025'!$A$3:$M$322,11,FALSE)</f>
        <v>0.249</v>
      </c>
      <c r="Q231" s="161">
        <f>VLOOKUP($A231,'Enroll Data as of January 2025'!$A$3:$M$322,12,FALSE)</f>
        <v>0.14899999999999999</v>
      </c>
      <c r="R231" s="165">
        <f t="shared" si="46"/>
        <v>0.39800000000000002</v>
      </c>
      <c r="S231" s="267">
        <f>IFERROR(VLOOKUP($A231,Supp_39,14,FALSE),0)+IFERROR(SUMPRODUCT(VLOOKUP($A231,S275_01,{14,15,16},FALSE)),0)+IFERROR(SUMPRODUCT(VLOOKUP($A231,S275_97,{14,15,16},FALSE)),0)+IFERROR(ROUND(VLOOKUP($A231,S275_21,14,FALSE)*VLOOKUP($A231,'3121% SY'!$C$3:$M$324,11,FALSE),3),0)+IFERROR(ROUND(VLOOKUP($A231,S275_21,15,FALSE)*VLOOKUP($A231,'3121% SY'!$C$3:$M$324,11,FALSE),3),0)+IFERROR(ROUND(VLOOKUP($A231,S275_21,16,FALSE)*VLOOKUP($A231,'3121% SY'!$C$3:$M$324,11,FALSE),3),0)+IFERROR(VLOOKUP($A231,S275_09,6,FALSE),0)</f>
        <v>2</v>
      </c>
      <c r="T231" s="267">
        <f>IFERROR(VLOOKUP($A231,Supp_42,14,FALSE),0)+IFERROR(SUMPRODUCT(VLOOKUP($A231,S275_01,{17,18,19},FALSE)),0)+IFERROR(SUMPRODUCT(VLOOKUP($A231,S275_97,{17,18,19},FALSE)),0)+IFERROR(ROUND(VLOOKUP($A231,S275_21,17,FALSE)*VLOOKUP($A231,'3121% SY'!$C$3:$M$324,11,FALSE),3),0)+IFERROR(ROUND(VLOOKUP($A231,S275_21,18,FALSE)*VLOOKUP($A231,'3121% SY'!$C$3:$M$324,11,FALSE),3),0)+IFERROR(ROUND(VLOOKUP($A231,S275_21,19,FALSE)*VLOOKUP($A231,'3121% SY'!$C$3:$M$324,11,FALSE),3),0)+IFERROR(VLOOKUP($A231,S275_09,7,FALSE),0)</f>
        <v>1.34</v>
      </c>
      <c r="U231" s="267">
        <f>IFERROR(VLOOKUP($A231,Supp_43,14,FALSE),0)+IFERROR(SUMPRODUCT(VLOOKUP($A231,S275_01,{20,21,22},FALSE)),0)+IFERROR(SUMPRODUCT(VLOOKUP($A231,S275_97,{20,21,22},FALSE)),0)+IFERROR(ROUND(VLOOKUP($A231,S275_21,20,FALSE)*VLOOKUP($A231,'3121% SY'!$C$3:$M$324,11,FALSE),3),0)+IFERROR(ROUND(VLOOKUP($A231,S275_21,21,FALSE)*VLOOKUP($A231,'3121% SY'!$C$3:$M$324,11,FALSE),3),0)+IFERROR(ROUND(VLOOKUP($A231,S275_21,22,FALSE)*VLOOKUP($A231,'3121% SY'!$C$3:$M$324,11,FALSE),3),0)+IFERROR(VLOOKUP($A231,S275_09,8,FALSE),0)</f>
        <v>0</v>
      </c>
      <c r="V231" s="267">
        <f>IFERROR(VLOOKUP($A231,Supp_44,14,FALSE),0)+IFERROR(SUMPRODUCT(VLOOKUP($A231,S275_01,{23,24,25},FALSE)),0)+IFERROR(SUMPRODUCT(VLOOKUP($A231,S275_97,{23,24,25},FALSE)),0)+IFERROR(ROUND(VLOOKUP($A231,S275_21,23,FALSE)*VLOOKUP($A231,'3121% SY'!$C$3:$M$324,11,FALSE),3),0)+IFERROR(ROUND(VLOOKUP($A231,S275_21,24,FALSE)*VLOOKUP($A231,'3121% SY'!$C$3:$M$324,11,FALSE),3),0)+IFERROR(ROUND(VLOOKUP($A231,S275_21,25,FALSE)*VLOOKUP($A231,'3121% SY'!$C$3:$M$324,11,FALSE),3),0)+IFERROR(VLOOKUP($A231,S275_09,9,FALSE),0)</f>
        <v>0</v>
      </c>
      <c r="W231" s="267">
        <f>IFERROR(VLOOKUP($A231,Supp_45,14,FALSE),0)+IFERROR(SUMPRODUCT(VLOOKUP($A231,S275_01,{26,27,28},FALSE)),0)+IFERROR(SUMPRODUCT(VLOOKUP($A231,S275_97,{26,27,28},FALSE)),0)+IFERROR(ROUND(VLOOKUP($A231,S275_21,26,FALSE)*VLOOKUP($A231,'3121% SY'!$C$3:$M$324,11,FALSE),3),0)+IFERROR(ROUND(VLOOKUP($A231,S275_21,27,FALSE)*VLOOKUP($A231,'3121% SY'!$C$3:$M$324,11,FALSE),3),0)+IFERROR(ROUND(VLOOKUP($A231,S275_21,28,FALSE)*VLOOKUP($A231,'3121% SY'!$C$3:$M$324,11,FALSE),3),0)+IFERROR(VLOOKUP($A231,S275_09,10,FALSE),0)</f>
        <v>0.23400000000000001</v>
      </c>
      <c r="X231" s="267">
        <f>IFERROR(VLOOKUP($A231,Supp_46,14,FALSE),0)+IFERROR(SUMPRODUCT(VLOOKUP($A231,S275_01,{29,30,31},FALSE)),0)+IFERROR(SUMPRODUCT(VLOOKUP($A231,S275_97,{29,30,31},FALSE)),0)+IFERROR(ROUND(VLOOKUP($A231,S275_21,29,FALSE)*VLOOKUP($A231,'3121% SY'!$C$3:$M$324,11,FALSE),3),0)+IFERROR(ROUND(VLOOKUP($A231,S275_21,30,FALSE)*VLOOKUP($A231,'3121% SY'!$C$3:$M$324,11,FALSE),3),0)+IFERROR(ROUND(VLOOKUP($A231,S275_21,31,FALSE)*VLOOKUP($A231,'3121% SY'!$C$3:$M$324,11,FALSE),3),0)+IFERROR(VLOOKUP($A231,S275_09,11,FALSE),0)</f>
        <v>0.23400000000000001</v>
      </c>
      <c r="Y231" s="267">
        <f>IFERROR(VLOOKUP($A231,Supp_47,14,FALSE),0)+IFERROR(SUMPRODUCT(VLOOKUP($A231,S275_01,{32,33,34},FALSE)),0)+IFERROR(SUMPRODUCT(VLOOKUP($A231,S275_97,{32,33,34},FALSE)),0)+IFERROR(ROUND(VLOOKUP($A231,S275_21,32,FALSE)*VLOOKUP($A231,'3121% SY'!$C$3:$M$324,11,FALSE),3),0)+IFERROR(ROUND(VLOOKUP($A231,S275_21,33,FALSE)*VLOOKUP($A231,'3121% SY'!$C$3:$M$324,11,FALSE),3),0)+IFERROR(ROUND(VLOOKUP($A231,S275_21,34,FALSE)*VLOOKUP($A231,'3121% SY'!$C$3:$M$324,11,FALSE),3),0)+IFERROR(VLOOKUP($A231,S275_09,12,FALSE),0)</f>
        <v>0</v>
      </c>
      <c r="Z231" s="267">
        <f>IFERROR(VLOOKUP($A231,Supp_48,14,FALSE),0)+IFERROR(SUMPRODUCT(VLOOKUP($A231,S275_01,{35,36,37},FALSE)),0)+IFERROR(SUMPRODUCT(VLOOKUP($A231,S275_97,{35,36,37},FALSE)),0)+IFERROR(ROUND(VLOOKUP($A231,S275_21,35,FALSE)*VLOOKUP($A231,'3121% SY'!$C$3:$M$324,11,FALSE),3),0)+IFERROR(ROUND(VLOOKUP($A231,S275_21,36,FALSE)*VLOOKUP($A231,'3121% SY'!$C$3:$M$324,11,FALSE),3),0)+IFERROR(ROUND(VLOOKUP($A231,S275_21,37,FALSE)*VLOOKUP($A231,'3121% SY'!$C$3:$M$324,11,FALSE),3),0)+IFERROR(VLOOKUP($A231,S275_09,13,FALSE),0)</f>
        <v>0.23400000000000001</v>
      </c>
      <c r="AA231" s="267">
        <f>IFERROR(VLOOKUP($A231,Supp_49,14,FALSE),0)+IFERROR(SUMPRODUCT(VLOOKUP($A231,S275_01,{38,39,40},FALSE)),0)+IFERROR(SUMPRODUCT(VLOOKUP($A231,S275_97,{38,39,40},FALSE)),0)+IFERROR(ROUND(VLOOKUP($A231,S275_21,38,FALSE)*VLOOKUP($A231,'3121% SY'!$C$3:$M$324,11,FALSE),3),0)+IFERROR(ROUND(VLOOKUP($A231,S275_21,39,FALSE)*VLOOKUP($A231,'3121% SY'!$C$3:$M$324,11,FALSE),3),0)+IFERROR(ROUND(VLOOKUP($A231,S275_21,40,FALSE)*VLOOKUP($A231,'3121% SY'!$C$3:$M$324,11,FALSE),3),0)+IFERROR(VLOOKUP($A231,S275_09,14,FALSE),0)</f>
        <v>0</v>
      </c>
      <c r="AB231" s="267">
        <f>IFERROR(VLOOKUP($A231,Supp_64,14,FALSE),0)+IFERROR(SUMPRODUCT(VLOOKUP($A231,S275_01,{41,42,43},FALSE)),0)+IFERROR(SUMPRODUCT(VLOOKUP($A231,S275_97,{41,42,43},FALSE)),0)+IFERROR(ROUND(VLOOKUP($A231,S275_21,41,FALSE)*VLOOKUP($A231,'3121% SY'!$C$3:$M$324,11,FALSE),3),0)+IFERROR(ROUND(VLOOKUP($A231,S275_21,42,FALSE)*VLOOKUP($A231,'3121% SY'!$C$3:$M$324,11,FALSE),3),0)+IFERROR(ROUND(VLOOKUP($A231,S275_21,43,FALSE)*VLOOKUP($A231,'3121% SY'!$C$3:$M$324,11,FALSE),3),0)+IFERROR(VLOOKUP($A231,S275_09,15,FALSE),0)</f>
        <v>0</v>
      </c>
      <c r="AC231" s="268">
        <f t="shared" si="47"/>
        <v>4.0419999999999998</v>
      </c>
      <c r="AD231" s="267">
        <f>IFERROR(VLOOKUP($A231,Supp_24,14,FALSE),0)+IFERROR(SUMPRODUCT(VLOOKUP($A231,S275_01,{2,3,4},FALSE)),0)+IFERROR(SUMPRODUCT(VLOOKUP($A231,S275_97,{2,3,4},FALSE)),0)+IFERROR(ROUND(VLOOKUP($A231,S275_21,2,FALSE)*VLOOKUP($A231,'3121% SY'!$C$3:$M$324,11,FALSE),3),0)+IFERROR(ROUND(VLOOKUP($A231,S275_21,3,FALSE)*VLOOKUP($A231,'3121% SY'!$C$3:$M$324,11,FALSE),3),0)+IFERROR(ROUND(VLOOKUP($A231,S275_21,4,FALSE)*VLOOKUP($A231,'3121% SY'!$C$3:$M$324,11,FALSE),3),0)+IFERROR(VLOOKUP($A231,S275_09,2,FALSE),0)</f>
        <v>0.66400000000000003</v>
      </c>
      <c r="AE231" s="267">
        <f>IFERROR(VLOOKUP($A231,Supp_25,14,FALSE),0)+IFERROR(SUMPRODUCT(VLOOKUP($A231,S275_01,{5,6,7},FALSE)),0)+IFERROR(SUMPRODUCT(VLOOKUP($A231,S275_97,{5,6,7},FALSE)),0)+IFERROR(ROUND(VLOOKUP($A231,S275_21,5,FALSE)*VLOOKUP($A231,'3121% SY'!$C$3:$M$324,11,FALSE),3),0)+IFERROR(ROUND(VLOOKUP($A231,S275_21,6,FALSE)*VLOOKUP($A231,'3121% SY'!$C$3:$M$324,11,FALSE),3),0)+IFERROR(ROUND(VLOOKUP($A231,S275_21,7,FALSE)*VLOOKUP($A231,'3121% SY'!$C$3:$M$324,11,FALSE),3),0)+IFERROR(VLOOKUP($A231,S275_09,3,FALSE),0)</f>
        <v>2.5609999999999999</v>
      </c>
      <c r="AF231" s="267">
        <f>IFERROR(VLOOKUP($A231,Supp_26,14,FALSE),0)+IFERROR(SUMPRODUCT(VLOOKUP($A231,S275_01,{8,9,10},FALSE)),0)+IFERROR(SUMPRODUCT(VLOOKUP($A231,S275_97,{8,9,10},FALSE)),0)+IFERROR(ROUND(VLOOKUP($A231,S275_21,8,FALSE)*VLOOKUP($A231,'3121% SY'!$C$3:$M$324,11,FALSE),3),0)+IFERROR(ROUND(VLOOKUP($A231,S275_21,9,FALSE)*VLOOKUP($A231,'3121% SY'!$C$3:$M$324,11,FALSE),3),0)+IFERROR(ROUND(VLOOKUP($A231,S275_21,10,FALSE)*VLOOKUP($A231,'3121% SY'!$C$3:$M$324,11,FALSE),3),0)+IFERROR(VLOOKUP($A231,S275_09,4,FALSE),0)</f>
        <v>2.8040000000000003</v>
      </c>
      <c r="AG231" s="267">
        <f>IFERROR(VLOOKUP($A231,Supp_35,14,FALSE),0)+IFERROR(SUMPRODUCT(VLOOKUP($A231,S275_01,{11,12,13},FALSE)),0)+IFERROR(SUMPRODUCT(VLOOKUP($A231,S275_97,{11,12,13},FALSE)),0)+IFERROR(ROUND(VLOOKUP($A231,S275_21,11,FALSE)*VLOOKUP($A231,'3121% SY'!$C$3:$M$324,11,FALSE),3),0)+IFERROR(ROUND(VLOOKUP($A231,S275_21,12,FALSE)*VLOOKUP($A231,'3121% SY'!$C$3:$M$324,11,FALSE),3),0)+IFERROR(ROUND(VLOOKUP($A231,S275_21,13,FALSE)*VLOOKUP($A231,'3121% SY'!$C$3:$M$324,11,FALSE),3),0)+IFERROR(VLOOKUP($A231,S275_09,5,FALSE),0)</f>
        <v>0</v>
      </c>
      <c r="AH231" s="165">
        <f t="shared" si="48"/>
        <v>6.0289999999999999</v>
      </c>
      <c r="AI231" s="161">
        <f>IFERROR(VLOOKUP(A231,'Supp Staff Data'!A:ER,148,FALSE),0)+AB231</f>
        <v>0</v>
      </c>
      <c r="AJ231" s="174">
        <v>0.85709999999999997</v>
      </c>
      <c r="AK231" s="25">
        <f>VLOOKUP(A231,'Enroll Data as of January 2025'!$A$3:$T$323,20,FALSE)-F231</f>
        <v>0</v>
      </c>
    </row>
    <row r="232" spans="1:37" x14ac:dyDescent="0.25">
      <c r="A232" s="171" t="s">
        <v>72</v>
      </c>
      <c r="B232" t="s">
        <v>368</v>
      </c>
      <c r="C232" s="173" t="s">
        <v>1077</v>
      </c>
      <c r="D232" s="259">
        <f t="shared" si="40"/>
        <v>13.791</v>
      </c>
      <c r="E232" s="259">
        <f t="shared" si="41"/>
        <v>17.835000000000001</v>
      </c>
      <c r="F232" s="262">
        <f t="shared" si="49"/>
        <v>4.0439999999999996</v>
      </c>
      <c r="G232" s="161">
        <f>ROUND(IF(F232&lt;0,F232*'2024-25 PSES Compliance'!$G$13,0),3)</f>
        <v>0</v>
      </c>
      <c r="H232" s="161">
        <f>ROUND(IF(F232&lt;0,F232*'2024-25 PSES Compliance'!$G$14,0),3)</f>
        <v>0</v>
      </c>
      <c r="I232" s="174">
        <f t="shared" si="43"/>
        <v>0.5693299691617606</v>
      </c>
      <c r="J232" s="174">
        <f t="shared" si="44"/>
        <v>0</v>
      </c>
      <c r="K232" s="161">
        <f>VLOOKUP($A232,'Enroll Data as of January 2025'!$A$3:$M$322,6,FALSE)</f>
        <v>7.7739999999999991</v>
      </c>
      <c r="L232" s="161">
        <f>VLOOKUP($A232,'Enroll Data as of January 2025'!$A$3:$M$322,7,FALSE)</f>
        <v>1.258</v>
      </c>
      <c r="M232" s="161">
        <f>VLOOKUP($A232,'Enroll Data as of January 2025'!$A$3:$M$322,8,FALSE)</f>
        <v>0.42099999999999999</v>
      </c>
      <c r="N232" s="161">
        <f>VLOOKUP($A232,'Enroll Data as of January 2025'!$A$3:$M$322,9,FALSE)</f>
        <v>3.573</v>
      </c>
      <c r="O232" s="165">
        <f t="shared" si="45"/>
        <v>13.026</v>
      </c>
      <c r="P232" s="161">
        <f>VLOOKUP($A232,'Enroll Data as of January 2025'!$A$3:$M$322,11,FALSE)</f>
        <v>0.48400000000000004</v>
      </c>
      <c r="Q232" s="161">
        <f>VLOOKUP($A232,'Enroll Data as of January 2025'!$A$3:$M$322,12,FALSE)</f>
        <v>0.28100000000000003</v>
      </c>
      <c r="R232" s="165">
        <f t="shared" si="46"/>
        <v>0.76500000000000012</v>
      </c>
      <c r="S232" s="267">
        <f>IFERROR(VLOOKUP($A232,Supp_39,14,FALSE),0)+IFERROR(SUMPRODUCT(VLOOKUP($A232,S275_01,{14,15,16},FALSE)),0)+IFERROR(SUMPRODUCT(VLOOKUP($A232,S275_97,{14,15,16},FALSE)),0)+IFERROR(ROUND(VLOOKUP($A232,S275_21,14,FALSE)*VLOOKUP($A232,'3121% SY'!$C$3:$M$324,11,FALSE),3),0)+IFERROR(ROUND(VLOOKUP($A232,S275_21,15,FALSE)*VLOOKUP($A232,'3121% SY'!$C$3:$M$324,11,FALSE),3),0)+IFERROR(ROUND(VLOOKUP($A232,S275_21,16,FALSE)*VLOOKUP($A232,'3121% SY'!$C$3:$M$324,11,FALSE),3),0)+IFERROR(VLOOKUP($A232,S275_09,6,FALSE),0)</f>
        <v>5</v>
      </c>
      <c r="T232" s="267">
        <f>IFERROR(VLOOKUP($A232,Supp_42,14,FALSE),0)+IFERROR(SUMPRODUCT(VLOOKUP($A232,S275_01,{17,18,19},FALSE)),0)+IFERROR(SUMPRODUCT(VLOOKUP($A232,S275_97,{17,18,19},FALSE)),0)+IFERROR(ROUND(VLOOKUP($A232,S275_21,17,FALSE)*VLOOKUP($A232,'3121% SY'!$C$3:$M$324,11,FALSE),3),0)+IFERROR(ROUND(VLOOKUP($A232,S275_21,18,FALSE)*VLOOKUP($A232,'3121% SY'!$C$3:$M$324,11,FALSE),3),0)+IFERROR(ROUND(VLOOKUP($A232,S275_21,19,FALSE)*VLOOKUP($A232,'3121% SY'!$C$3:$M$324,11,FALSE),3),0)+IFERROR(VLOOKUP($A232,S275_09,7,FALSE),0)</f>
        <v>1</v>
      </c>
      <c r="U232" s="267">
        <f>IFERROR(VLOOKUP($A232,Supp_43,14,FALSE),0)+IFERROR(SUMPRODUCT(VLOOKUP($A232,S275_01,{20,21,22},FALSE)),0)+IFERROR(SUMPRODUCT(VLOOKUP($A232,S275_97,{20,21,22},FALSE)),0)+IFERROR(ROUND(VLOOKUP($A232,S275_21,20,FALSE)*VLOOKUP($A232,'3121% SY'!$C$3:$M$324,11,FALSE),3),0)+IFERROR(ROUND(VLOOKUP($A232,S275_21,21,FALSE)*VLOOKUP($A232,'3121% SY'!$C$3:$M$324,11,FALSE),3),0)+IFERROR(ROUND(VLOOKUP($A232,S275_21,22,FALSE)*VLOOKUP($A232,'3121% SY'!$C$3:$M$324,11,FALSE),3),0)+IFERROR(VLOOKUP($A232,S275_09,8,FALSE),0)</f>
        <v>0</v>
      </c>
      <c r="V232" s="267">
        <f>IFERROR(VLOOKUP($A232,Supp_44,14,FALSE),0)+IFERROR(SUMPRODUCT(VLOOKUP($A232,S275_01,{23,24,25},FALSE)),0)+IFERROR(SUMPRODUCT(VLOOKUP($A232,S275_97,{23,24,25},FALSE)),0)+IFERROR(ROUND(VLOOKUP($A232,S275_21,23,FALSE)*VLOOKUP($A232,'3121% SY'!$C$3:$M$324,11,FALSE),3),0)+IFERROR(ROUND(VLOOKUP($A232,S275_21,24,FALSE)*VLOOKUP($A232,'3121% SY'!$C$3:$M$324,11,FALSE),3),0)+IFERROR(ROUND(VLOOKUP($A232,S275_21,25,FALSE)*VLOOKUP($A232,'3121% SY'!$C$3:$M$324,11,FALSE),3),0)+IFERROR(VLOOKUP($A232,S275_09,9,FALSE),0)</f>
        <v>0</v>
      </c>
      <c r="W232" s="267">
        <f>IFERROR(VLOOKUP($A232,Supp_45,14,FALSE),0)+IFERROR(SUMPRODUCT(VLOOKUP($A232,S275_01,{26,27,28},FALSE)),0)+IFERROR(SUMPRODUCT(VLOOKUP($A232,S275_97,{26,27,28},FALSE)),0)+IFERROR(ROUND(VLOOKUP($A232,S275_21,26,FALSE)*VLOOKUP($A232,'3121% SY'!$C$3:$M$324,11,FALSE),3),0)+IFERROR(ROUND(VLOOKUP($A232,S275_21,27,FALSE)*VLOOKUP($A232,'3121% SY'!$C$3:$M$324,11,FALSE),3),0)+IFERROR(ROUND(VLOOKUP($A232,S275_21,28,FALSE)*VLOOKUP($A232,'3121% SY'!$C$3:$M$324,11,FALSE),3),0)+IFERROR(VLOOKUP($A232,S275_09,10,FALSE),0)</f>
        <v>0.90599999999999992</v>
      </c>
      <c r="X232" s="267">
        <f>IFERROR(VLOOKUP($A232,Supp_46,14,FALSE),0)+IFERROR(SUMPRODUCT(VLOOKUP($A232,S275_01,{29,30,31},FALSE)),0)+IFERROR(SUMPRODUCT(VLOOKUP($A232,S275_97,{29,30,31},FALSE)),0)+IFERROR(ROUND(VLOOKUP($A232,S275_21,29,FALSE)*VLOOKUP($A232,'3121% SY'!$C$3:$M$324,11,FALSE),3),0)+IFERROR(ROUND(VLOOKUP($A232,S275_21,30,FALSE)*VLOOKUP($A232,'3121% SY'!$C$3:$M$324,11,FALSE),3),0)+IFERROR(ROUND(VLOOKUP($A232,S275_21,31,FALSE)*VLOOKUP($A232,'3121% SY'!$C$3:$M$324,11,FALSE),3),0)+IFERROR(VLOOKUP($A232,S275_09,11,FALSE),0)</f>
        <v>2.7480000000000002</v>
      </c>
      <c r="Y232" s="267">
        <f>IFERROR(VLOOKUP($A232,Supp_47,14,FALSE),0)+IFERROR(SUMPRODUCT(VLOOKUP($A232,S275_01,{32,33,34},FALSE)),0)+IFERROR(SUMPRODUCT(VLOOKUP($A232,S275_97,{32,33,34},FALSE)),0)+IFERROR(ROUND(VLOOKUP($A232,S275_21,32,FALSE)*VLOOKUP($A232,'3121% SY'!$C$3:$M$324,11,FALSE),3),0)+IFERROR(ROUND(VLOOKUP($A232,S275_21,33,FALSE)*VLOOKUP($A232,'3121% SY'!$C$3:$M$324,11,FALSE),3),0)+IFERROR(ROUND(VLOOKUP($A232,S275_21,34,FALSE)*VLOOKUP($A232,'3121% SY'!$C$3:$M$324,11,FALSE),3),0)+IFERROR(VLOOKUP($A232,S275_09,12,FALSE),0)</f>
        <v>0.5</v>
      </c>
      <c r="Z232" s="267">
        <f>IFERROR(VLOOKUP($A232,Supp_48,14,FALSE),0)+IFERROR(SUMPRODUCT(VLOOKUP($A232,S275_01,{35,36,37},FALSE)),0)+IFERROR(SUMPRODUCT(VLOOKUP($A232,S275_97,{35,36,37},FALSE)),0)+IFERROR(ROUND(VLOOKUP($A232,S275_21,35,FALSE)*VLOOKUP($A232,'3121% SY'!$C$3:$M$324,11,FALSE),3),0)+IFERROR(ROUND(VLOOKUP($A232,S275_21,36,FALSE)*VLOOKUP($A232,'3121% SY'!$C$3:$M$324,11,FALSE),3),0)+IFERROR(ROUND(VLOOKUP($A232,S275_21,37,FALSE)*VLOOKUP($A232,'3121% SY'!$C$3:$M$324,11,FALSE),3),0)+IFERROR(VLOOKUP($A232,S275_09,13,FALSE),0)</f>
        <v>0</v>
      </c>
      <c r="AA232" s="267">
        <f>IFERROR(VLOOKUP($A232,Supp_49,14,FALSE),0)+IFERROR(SUMPRODUCT(VLOOKUP($A232,S275_01,{38,39,40},FALSE)),0)+IFERROR(SUMPRODUCT(VLOOKUP($A232,S275_97,{38,39,40},FALSE)),0)+IFERROR(ROUND(VLOOKUP($A232,S275_21,38,FALSE)*VLOOKUP($A232,'3121% SY'!$C$3:$M$324,11,FALSE),3),0)+IFERROR(ROUND(VLOOKUP($A232,S275_21,39,FALSE)*VLOOKUP($A232,'3121% SY'!$C$3:$M$324,11,FALSE),3),0)+IFERROR(ROUND(VLOOKUP($A232,S275_21,40,FALSE)*VLOOKUP($A232,'3121% SY'!$C$3:$M$324,11,FALSE),3),0)+IFERROR(VLOOKUP($A232,S275_09,14,FALSE),0)</f>
        <v>0</v>
      </c>
      <c r="AB232" s="267">
        <f>IFERROR(VLOOKUP($A232,Supp_64,14,FALSE),0)+IFERROR(SUMPRODUCT(VLOOKUP($A232,S275_01,{41,42,43},FALSE)),0)+IFERROR(SUMPRODUCT(VLOOKUP($A232,S275_97,{41,42,43},FALSE)),0)+IFERROR(ROUND(VLOOKUP($A232,S275_21,41,FALSE)*VLOOKUP($A232,'3121% SY'!$C$3:$M$324,11,FALSE),3),0)+IFERROR(ROUND(VLOOKUP($A232,S275_21,42,FALSE)*VLOOKUP($A232,'3121% SY'!$C$3:$M$324,11,FALSE),3),0)+IFERROR(ROUND(VLOOKUP($A232,S275_21,43,FALSE)*VLOOKUP($A232,'3121% SY'!$C$3:$M$324,11,FALSE),3),0)+IFERROR(VLOOKUP($A232,S275_09,15,FALSE),0)</f>
        <v>0</v>
      </c>
      <c r="AC232" s="268">
        <f t="shared" si="47"/>
        <v>10.154</v>
      </c>
      <c r="AD232" s="267">
        <f>IFERROR(VLOOKUP($A232,Supp_24,14,FALSE),0)+IFERROR(SUMPRODUCT(VLOOKUP($A232,S275_01,{2,3,4},FALSE)),0)+IFERROR(SUMPRODUCT(VLOOKUP($A232,S275_97,{2,3,4},FALSE)),0)+IFERROR(ROUND(VLOOKUP($A232,S275_21,2,FALSE)*VLOOKUP($A232,'3121% SY'!$C$3:$M$324,11,FALSE),3),0)+IFERROR(ROUND(VLOOKUP($A232,S275_21,3,FALSE)*VLOOKUP($A232,'3121% SY'!$C$3:$M$324,11,FALSE),3),0)+IFERROR(ROUND(VLOOKUP($A232,S275_21,4,FALSE)*VLOOKUP($A232,'3121% SY'!$C$3:$M$324,11,FALSE),3),0)+IFERROR(VLOOKUP($A232,S275_09,2,FALSE),0)</f>
        <v>0</v>
      </c>
      <c r="AE232" s="267">
        <f>IFERROR(VLOOKUP($A232,Supp_25,14,FALSE),0)+IFERROR(SUMPRODUCT(VLOOKUP($A232,S275_01,{5,6,7},FALSE)),0)+IFERROR(SUMPRODUCT(VLOOKUP($A232,S275_97,{5,6,7},FALSE)),0)+IFERROR(ROUND(VLOOKUP($A232,S275_21,5,FALSE)*VLOOKUP($A232,'3121% SY'!$C$3:$M$324,11,FALSE),3),0)+IFERROR(ROUND(VLOOKUP($A232,S275_21,6,FALSE)*VLOOKUP($A232,'3121% SY'!$C$3:$M$324,11,FALSE),3),0)+IFERROR(ROUND(VLOOKUP($A232,S275_21,7,FALSE)*VLOOKUP($A232,'3121% SY'!$C$3:$M$324,11,FALSE),3),0)+IFERROR(VLOOKUP($A232,S275_09,3,FALSE),0)</f>
        <v>5.0979999999999999</v>
      </c>
      <c r="AF232" s="267">
        <f>IFERROR(VLOOKUP($A232,Supp_26,14,FALSE),0)+IFERROR(SUMPRODUCT(VLOOKUP($A232,S275_01,{8,9,10},FALSE)),0)+IFERROR(SUMPRODUCT(VLOOKUP($A232,S275_97,{8,9,10},FALSE)),0)+IFERROR(ROUND(VLOOKUP($A232,S275_21,8,FALSE)*VLOOKUP($A232,'3121% SY'!$C$3:$M$324,11,FALSE),3),0)+IFERROR(ROUND(VLOOKUP($A232,S275_21,9,FALSE)*VLOOKUP($A232,'3121% SY'!$C$3:$M$324,11,FALSE),3),0)+IFERROR(ROUND(VLOOKUP($A232,S275_21,10,FALSE)*VLOOKUP($A232,'3121% SY'!$C$3:$M$324,11,FALSE),3),0)+IFERROR(VLOOKUP($A232,S275_09,4,FALSE),0)</f>
        <v>1.1080000000000001</v>
      </c>
      <c r="AG232" s="267">
        <f>IFERROR(VLOOKUP($A232,Supp_35,14,FALSE),0)+IFERROR(SUMPRODUCT(VLOOKUP($A232,S275_01,{11,12,13},FALSE)),0)+IFERROR(SUMPRODUCT(VLOOKUP($A232,S275_97,{11,12,13},FALSE)),0)+IFERROR(ROUND(VLOOKUP($A232,S275_21,11,FALSE)*VLOOKUP($A232,'3121% SY'!$C$3:$M$324,11,FALSE),3),0)+IFERROR(ROUND(VLOOKUP($A232,S275_21,12,FALSE)*VLOOKUP($A232,'3121% SY'!$C$3:$M$324,11,FALSE),3),0)+IFERROR(ROUND(VLOOKUP($A232,S275_21,13,FALSE)*VLOOKUP($A232,'3121% SY'!$C$3:$M$324,11,FALSE),3),0)+IFERROR(VLOOKUP($A232,S275_09,5,FALSE),0)</f>
        <v>1.4750000000000001</v>
      </c>
      <c r="AH232" s="165">
        <f t="shared" si="48"/>
        <v>7.6809999999999992</v>
      </c>
      <c r="AI232" s="161">
        <f>IFERROR(VLOOKUP(A232,'Supp Staff Data'!A:ER,148,FALSE),0)+AB232</f>
        <v>0</v>
      </c>
      <c r="AJ232" s="174">
        <v>1</v>
      </c>
      <c r="AK232" s="25">
        <f>VLOOKUP(A232,'Enroll Data as of January 2025'!$A$3:$T$323,20,FALSE)-F232</f>
        <v>0</v>
      </c>
    </row>
    <row r="233" spans="1:37" x14ac:dyDescent="0.25">
      <c r="A233" s="171" t="s">
        <v>75</v>
      </c>
      <c r="B233" t="s">
        <v>371</v>
      </c>
      <c r="C233" s="173" t="s">
        <v>1077</v>
      </c>
      <c r="D233" s="259">
        <f t="shared" si="40"/>
        <v>14.549999999999997</v>
      </c>
      <c r="E233" s="259">
        <f t="shared" si="41"/>
        <v>16.167999999999999</v>
      </c>
      <c r="F233" s="262">
        <f t="shared" si="49"/>
        <v>1.6180000000000001</v>
      </c>
      <c r="G233" s="161">
        <f>ROUND(IF(F233&lt;0,F233*'2024-25 PSES Compliance'!$G$13,0),3)</f>
        <v>0</v>
      </c>
      <c r="H233" s="161">
        <f>ROUND(IF(F233&lt;0,F233*'2024-25 PSES Compliance'!$G$14,0),3)</f>
        <v>0</v>
      </c>
      <c r="I233" s="174">
        <f t="shared" si="43"/>
        <v>0.74993814943097481</v>
      </c>
      <c r="J233" s="174">
        <f t="shared" si="44"/>
        <v>0.19940623453735776</v>
      </c>
      <c r="K233" s="161">
        <f>VLOOKUP($A233,'Enroll Data as of January 2025'!$A$3:$M$322,6,FALSE)</f>
        <v>8.2639999999999993</v>
      </c>
      <c r="L233" s="161">
        <f>VLOOKUP($A233,'Enroll Data as of January 2025'!$A$3:$M$322,7,FALSE)</f>
        <v>1.3280000000000001</v>
      </c>
      <c r="M233" s="161">
        <f>VLOOKUP($A233,'Enroll Data as of January 2025'!$A$3:$M$322,8,FALSE)</f>
        <v>0.44700000000000001</v>
      </c>
      <c r="N233" s="161">
        <f>VLOOKUP($A233,'Enroll Data as of January 2025'!$A$3:$M$322,9,FALSE)</f>
        <v>3.7030000000000003</v>
      </c>
      <c r="O233" s="165">
        <f t="shared" si="45"/>
        <v>13.741999999999997</v>
      </c>
      <c r="P233" s="161">
        <f>VLOOKUP($A233,'Enroll Data as of January 2025'!$A$3:$M$322,11,FALSE)</f>
        <v>0.51100000000000001</v>
      </c>
      <c r="Q233" s="161">
        <f>VLOOKUP($A233,'Enroll Data as of January 2025'!$A$3:$M$322,12,FALSE)</f>
        <v>0.29699999999999999</v>
      </c>
      <c r="R233" s="165">
        <f t="shared" si="46"/>
        <v>0.80800000000000005</v>
      </c>
      <c r="S233" s="267">
        <f>IFERROR(VLOOKUP($A233,Supp_39,14,FALSE),0)+IFERROR(SUMPRODUCT(VLOOKUP($A233,S275_01,{14,15,16},FALSE)),0)+IFERROR(SUMPRODUCT(VLOOKUP($A233,S275_97,{14,15,16},FALSE)),0)+IFERROR(ROUND(VLOOKUP($A233,S275_21,14,FALSE)*VLOOKUP($A233,'3121% SY'!$C$3:$M$324,11,FALSE),3),0)+IFERROR(ROUND(VLOOKUP($A233,S275_21,15,FALSE)*VLOOKUP($A233,'3121% SY'!$C$3:$M$324,11,FALSE),3),0)+IFERROR(ROUND(VLOOKUP($A233,S275_21,16,FALSE)*VLOOKUP($A233,'3121% SY'!$C$3:$M$324,11,FALSE),3),0)+IFERROR(VLOOKUP($A233,S275_09,6,FALSE),0)</f>
        <v>6.5440000000000005</v>
      </c>
      <c r="T233" s="267">
        <f>IFERROR(VLOOKUP($A233,Supp_42,14,FALSE),0)+IFERROR(SUMPRODUCT(VLOOKUP($A233,S275_01,{17,18,19},FALSE)),0)+IFERROR(SUMPRODUCT(VLOOKUP($A233,S275_97,{17,18,19},FALSE)),0)+IFERROR(ROUND(VLOOKUP($A233,S275_21,17,FALSE)*VLOOKUP($A233,'3121% SY'!$C$3:$M$324,11,FALSE),3),0)+IFERROR(ROUND(VLOOKUP($A233,S275_21,18,FALSE)*VLOOKUP($A233,'3121% SY'!$C$3:$M$324,11,FALSE),3),0)+IFERROR(ROUND(VLOOKUP($A233,S275_21,19,FALSE)*VLOOKUP($A233,'3121% SY'!$C$3:$M$324,11,FALSE),3),0)+IFERROR(VLOOKUP($A233,S275_09,7,FALSE),0)</f>
        <v>2.2000000000000002</v>
      </c>
      <c r="U233" s="267">
        <f>IFERROR(VLOOKUP($A233,Supp_43,14,FALSE),0)+IFERROR(SUMPRODUCT(VLOOKUP($A233,S275_01,{20,21,22},FALSE)),0)+IFERROR(SUMPRODUCT(VLOOKUP($A233,S275_97,{20,21,22},FALSE)),0)+IFERROR(ROUND(VLOOKUP($A233,S275_21,20,FALSE)*VLOOKUP($A233,'3121% SY'!$C$3:$M$324,11,FALSE),3),0)+IFERROR(ROUND(VLOOKUP($A233,S275_21,21,FALSE)*VLOOKUP($A233,'3121% SY'!$C$3:$M$324,11,FALSE),3),0)+IFERROR(ROUND(VLOOKUP($A233,S275_21,22,FALSE)*VLOOKUP($A233,'3121% SY'!$C$3:$M$324,11,FALSE),3),0)+IFERROR(VLOOKUP($A233,S275_09,8,FALSE),0)</f>
        <v>0</v>
      </c>
      <c r="V233" s="267">
        <f>IFERROR(VLOOKUP($A233,Supp_44,14,FALSE),0)+IFERROR(SUMPRODUCT(VLOOKUP($A233,S275_01,{23,24,25},FALSE)),0)+IFERROR(SUMPRODUCT(VLOOKUP($A233,S275_97,{23,24,25},FALSE)),0)+IFERROR(ROUND(VLOOKUP($A233,S275_21,23,FALSE)*VLOOKUP($A233,'3121% SY'!$C$3:$M$324,11,FALSE),3),0)+IFERROR(ROUND(VLOOKUP($A233,S275_21,24,FALSE)*VLOOKUP($A233,'3121% SY'!$C$3:$M$324,11,FALSE),3),0)+IFERROR(ROUND(VLOOKUP($A233,S275_21,25,FALSE)*VLOOKUP($A233,'3121% SY'!$C$3:$M$324,11,FALSE),3),0)+IFERROR(VLOOKUP($A233,S275_09,9,FALSE),0)</f>
        <v>0</v>
      </c>
      <c r="W233" s="267">
        <f>IFERROR(VLOOKUP($A233,Supp_45,14,FALSE),0)+IFERROR(SUMPRODUCT(VLOOKUP($A233,S275_01,{26,27,28},FALSE)),0)+IFERROR(SUMPRODUCT(VLOOKUP($A233,S275_97,{26,27,28},FALSE)),0)+IFERROR(ROUND(VLOOKUP($A233,S275_21,26,FALSE)*VLOOKUP($A233,'3121% SY'!$C$3:$M$324,11,FALSE),3),0)+IFERROR(ROUND(VLOOKUP($A233,S275_21,27,FALSE)*VLOOKUP($A233,'3121% SY'!$C$3:$M$324,11,FALSE),3),0)+IFERROR(ROUND(VLOOKUP($A233,S275_21,28,FALSE)*VLOOKUP($A233,'3121% SY'!$C$3:$M$324,11,FALSE),3),0)+IFERROR(VLOOKUP($A233,S275_09,10,FALSE),0)</f>
        <v>0.11700000000000001</v>
      </c>
      <c r="X233" s="267">
        <f>IFERROR(VLOOKUP($A233,Supp_46,14,FALSE),0)+IFERROR(SUMPRODUCT(VLOOKUP($A233,S275_01,{29,30,31},FALSE)),0)+IFERROR(SUMPRODUCT(VLOOKUP($A233,S275_97,{29,30,31},FALSE)),0)+IFERROR(ROUND(VLOOKUP($A233,S275_21,29,FALSE)*VLOOKUP($A233,'3121% SY'!$C$3:$M$324,11,FALSE),3),0)+IFERROR(ROUND(VLOOKUP($A233,S275_21,30,FALSE)*VLOOKUP($A233,'3121% SY'!$C$3:$M$324,11,FALSE),3),0)+IFERROR(ROUND(VLOOKUP($A233,S275_21,31,FALSE)*VLOOKUP($A233,'3121% SY'!$C$3:$M$324,11,FALSE),3),0)+IFERROR(VLOOKUP($A233,S275_09,11,FALSE),0)</f>
        <v>0.04</v>
      </c>
      <c r="Y233" s="267">
        <f>IFERROR(VLOOKUP($A233,Supp_47,14,FALSE),0)+IFERROR(SUMPRODUCT(VLOOKUP($A233,S275_01,{32,33,34},FALSE)),0)+IFERROR(SUMPRODUCT(VLOOKUP($A233,S275_97,{32,33,34},FALSE)),0)+IFERROR(ROUND(VLOOKUP($A233,S275_21,32,FALSE)*VLOOKUP($A233,'3121% SY'!$C$3:$M$324,11,FALSE),3),0)+IFERROR(ROUND(VLOOKUP($A233,S275_21,33,FALSE)*VLOOKUP($A233,'3121% SY'!$C$3:$M$324,11,FALSE),3),0)+IFERROR(ROUND(VLOOKUP($A233,S275_21,34,FALSE)*VLOOKUP($A233,'3121% SY'!$C$3:$M$324,11,FALSE),3),0)+IFERROR(VLOOKUP($A233,S275_09,12,FALSE),0)</f>
        <v>0</v>
      </c>
      <c r="Z233" s="267">
        <f>IFERROR(VLOOKUP($A233,Supp_48,14,FALSE),0)+IFERROR(SUMPRODUCT(VLOOKUP($A233,S275_01,{35,36,37},FALSE)),0)+IFERROR(SUMPRODUCT(VLOOKUP($A233,S275_97,{35,36,37},FALSE)),0)+IFERROR(ROUND(VLOOKUP($A233,S275_21,35,FALSE)*VLOOKUP($A233,'3121% SY'!$C$3:$M$324,11,FALSE),3),0)+IFERROR(ROUND(VLOOKUP($A233,S275_21,36,FALSE)*VLOOKUP($A233,'3121% SY'!$C$3:$M$324,11,FALSE),3),0)+IFERROR(ROUND(VLOOKUP($A233,S275_21,37,FALSE)*VLOOKUP($A233,'3121% SY'!$C$3:$M$324,11,FALSE),3),0)+IFERROR(VLOOKUP($A233,S275_09,13,FALSE),0)</f>
        <v>0</v>
      </c>
      <c r="AA233" s="267">
        <f>IFERROR(VLOOKUP($A233,Supp_49,14,FALSE),0)+IFERROR(SUMPRODUCT(VLOOKUP($A233,S275_01,{38,39,40},FALSE)),0)+IFERROR(SUMPRODUCT(VLOOKUP($A233,S275_97,{38,39,40},FALSE)),0)+IFERROR(ROUND(VLOOKUP($A233,S275_21,38,FALSE)*VLOOKUP($A233,'3121% SY'!$C$3:$M$324,11,FALSE),3),0)+IFERROR(ROUND(VLOOKUP($A233,S275_21,39,FALSE)*VLOOKUP($A233,'3121% SY'!$C$3:$M$324,11,FALSE),3),0)+IFERROR(ROUND(VLOOKUP($A233,S275_21,40,FALSE)*VLOOKUP($A233,'3121% SY'!$C$3:$M$324,11,FALSE),3),0)+IFERROR(VLOOKUP($A233,S275_09,14,FALSE),0)</f>
        <v>0</v>
      </c>
      <c r="AB233" s="267">
        <f>IFERROR(VLOOKUP($A233,Supp_64,14,FALSE),0)+IFERROR(SUMPRODUCT(VLOOKUP($A233,S275_01,{41,42,43},FALSE)),0)+IFERROR(SUMPRODUCT(VLOOKUP($A233,S275_97,{41,42,43},FALSE)),0)+IFERROR(ROUND(VLOOKUP($A233,S275_21,41,FALSE)*VLOOKUP($A233,'3121% SY'!$C$3:$M$324,11,FALSE),3),0)+IFERROR(ROUND(VLOOKUP($A233,S275_21,42,FALSE)*VLOOKUP($A233,'3121% SY'!$C$3:$M$324,11,FALSE),3),0)+IFERROR(ROUND(VLOOKUP($A233,S275_21,43,FALSE)*VLOOKUP($A233,'3121% SY'!$C$3:$M$324,11,FALSE),3),0)+IFERROR(VLOOKUP($A233,S275_09,15,FALSE),0)</f>
        <v>3.2240000000000002</v>
      </c>
      <c r="AC233" s="268">
        <f t="shared" si="47"/>
        <v>12.125</v>
      </c>
      <c r="AD233" s="267">
        <f>IFERROR(VLOOKUP($A233,Supp_24,14,FALSE),0)+IFERROR(SUMPRODUCT(VLOOKUP($A233,S275_01,{2,3,4},FALSE)),0)+IFERROR(SUMPRODUCT(VLOOKUP($A233,S275_97,{2,3,4},FALSE)),0)+IFERROR(ROUND(VLOOKUP($A233,S275_21,2,FALSE)*VLOOKUP($A233,'3121% SY'!$C$3:$M$324,11,FALSE),3),0)+IFERROR(ROUND(VLOOKUP($A233,S275_21,3,FALSE)*VLOOKUP($A233,'3121% SY'!$C$3:$M$324,11,FALSE),3),0)+IFERROR(ROUND(VLOOKUP($A233,S275_21,4,FALSE)*VLOOKUP($A233,'3121% SY'!$C$3:$M$324,11,FALSE),3),0)+IFERROR(VLOOKUP($A233,S275_09,2,FALSE),0)</f>
        <v>0.499</v>
      </c>
      <c r="AE233" s="267">
        <f>IFERROR(VLOOKUP($A233,Supp_25,14,FALSE),0)+IFERROR(SUMPRODUCT(VLOOKUP($A233,S275_01,{5,6,7},FALSE)),0)+IFERROR(SUMPRODUCT(VLOOKUP($A233,S275_97,{5,6,7},FALSE)),0)+IFERROR(ROUND(VLOOKUP($A233,S275_21,5,FALSE)*VLOOKUP($A233,'3121% SY'!$C$3:$M$324,11,FALSE),3),0)+IFERROR(ROUND(VLOOKUP($A233,S275_21,6,FALSE)*VLOOKUP($A233,'3121% SY'!$C$3:$M$324,11,FALSE),3),0)+IFERROR(ROUND(VLOOKUP($A233,S275_21,7,FALSE)*VLOOKUP($A233,'3121% SY'!$C$3:$M$324,11,FALSE),3),0)+IFERROR(VLOOKUP($A233,S275_09,3,FALSE),0)</f>
        <v>0</v>
      </c>
      <c r="AF233" s="267">
        <f>IFERROR(VLOOKUP($A233,Supp_26,14,FALSE),0)+IFERROR(SUMPRODUCT(VLOOKUP($A233,S275_01,{8,9,10},FALSE)),0)+IFERROR(SUMPRODUCT(VLOOKUP($A233,S275_97,{8,9,10},FALSE)),0)+IFERROR(ROUND(VLOOKUP($A233,S275_21,8,FALSE)*VLOOKUP($A233,'3121% SY'!$C$3:$M$324,11,FALSE),3),0)+IFERROR(ROUND(VLOOKUP($A233,S275_21,9,FALSE)*VLOOKUP($A233,'3121% SY'!$C$3:$M$324,11,FALSE),3),0)+IFERROR(ROUND(VLOOKUP($A233,S275_21,10,FALSE)*VLOOKUP($A233,'3121% SY'!$C$3:$M$324,11,FALSE),3),0)+IFERROR(VLOOKUP($A233,S275_09,4,FALSE),0)</f>
        <v>3.5439999999999996</v>
      </c>
      <c r="AG233" s="267">
        <f>IFERROR(VLOOKUP($A233,Supp_35,14,FALSE),0)+IFERROR(SUMPRODUCT(VLOOKUP($A233,S275_01,{11,12,13},FALSE)),0)+IFERROR(SUMPRODUCT(VLOOKUP($A233,S275_97,{11,12,13},FALSE)),0)+IFERROR(ROUND(VLOOKUP($A233,S275_21,11,FALSE)*VLOOKUP($A233,'3121% SY'!$C$3:$M$324,11,FALSE),3),0)+IFERROR(ROUND(VLOOKUP($A233,S275_21,12,FALSE)*VLOOKUP($A233,'3121% SY'!$C$3:$M$324,11,FALSE),3),0)+IFERROR(ROUND(VLOOKUP($A233,S275_21,13,FALSE)*VLOOKUP($A233,'3121% SY'!$C$3:$M$324,11,FALSE),3),0)+IFERROR(VLOOKUP($A233,S275_09,5,FALSE),0)</f>
        <v>0</v>
      </c>
      <c r="AH233" s="165">
        <f t="shared" si="48"/>
        <v>4.0429999999999993</v>
      </c>
      <c r="AI233" s="161">
        <f>IFERROR(VLOOKUP(A233,'Supp Staff Data'!A:ER,148,FALSE),0)+AB233</f>
        <v>3.2240000000000002</v>
      </c>
      <c r="AJ233" s="174">
        <v>1</v>
      </c>
      <c r="AK233" s="25">
        <f>VLOOKUP(A233,'Enroll Data as of January 2025'!$A$3:$T$323,20,FALSE)-F233</f>
        <v>0</v>
      </c>
    </row>
    <row r="234" spans="1:37" x14ac:dyDescent="0.25">
      <c r="A234" s="171" t="s">
        <v>26</v>
      </c>
      <c r="B234" t="s">
        <v>322</v>
      </c>
      <c r="C234" s="173" t="s">
        <v>1077</v>
      </c>
      <c r="D234" s="259">
        <f t="shared" si="40"/>
        <v>29.856000000000002</v>
      </c>
      <c r="E234" s="259">
        <f t="shared" si="41"/>
        <v>28.299000000000003</v>
      </c>
      <c r="F234" s="262">
        <f t="shared" si="49"/>
        <v>-1.5569999999999999</v>
      </c>
      <c r="G234" s="161">
        <f>ROUND(IF(F234&lt;0,F234*'2024-25 PSES Compliance'!$G$13,0),3)</f>
        <v>-1.4950000000000001</v>
      </c>
      <c r="H234" s="161">
        <f>ROUND(IF(F234&lt;0,F234*'2024-25 PSES Compliance'!$G$14,0),3)</f>
        <v>-6.2E-2</v>
      </c>
      <c r="I234" s="174">
        <f t="shared" si="43"/>
        <v>0.85669537792854877</v>
      </c>
      <c r="J234" s="174">
        <f t="shared" si="44"/>
        <v>0</v>
      </c>
      <c r="K234" s="161">
        <f>VLOOKUP($A234,'Enroll Data as of January 2025'!$A$3:$M$322,6,FALSE)</f>
        <v>16.533999999999999</v>
      </c>
      <c r="L234" s="161">
        <f>VLOOKUP($A234,'Enroll Data as of January 2025'!$A$3:$M$322,7,FALSE)</f>
        <v>2.9019999999999997</v>
      </c>
      <c r="M234" s="161">
        <f>VLOOKUP($A234,'Enroll Data as of January 2025'!$A$3:$M$322,8,FALSE)</f>
        <v>0.97399999999999998</v>
      </c>
      <c r="N234" s="161">
        <f>VLOOKUP($A234,'Enroll Data as of January 2025'!$A$3:$M$322,9,FALSE)</f>
        <v>7.7240000000000002</v>
      </c>
      <c r="O234" s="165">
        <f t="shared" si="45"/>
        <v>28.134</v>
      </c>
      <c r="P234" s="161">
        <f>VLOOKUP($A234,'Enroll Data as of January 2025'!$A$3:$M$322,11,FALSE)</f>
        <v>1.0529999999999999</v>
      </c>
      <c r="Q234" s="161">
        <f>VLOOKUP($A234,'Enroll Data as of January 2025'!$A$3:$M$322,12,FALSE)</f>
        <v>0.66900000000000004</v>
      </c>
      <c r="R234" s="165">
        <f t="shared" si="46"/>
        <v>1.722</v>
      </c>
      <c r="S234" s="267">
        <f>IFERROR(VLOOKUP($A234,Supp_39,14,FALSE),0)+IFERROR(SUMPRODUCT(VLOOKUP($A234,S275_01,{14,15,16},FALSE)),0)+IFERROR(SUMPRODUCT(VLOOKUP($A234,S275_97,{14,15,16},FALSE)),0)+IFERROR(ROUND(VLOOKUP($A234,S275_21,14,FALSE)*VLOOKUP($A234,'3121% SY'!$C$3:$M$324,11,FALSE),3),0)+IFERROR(ROUND(VLOOKUP($A234,S275_21,15,FALSE)*VLOOKUP($A234,'3121% SY'!$C$3:$M$324,11,FALSE),3),0)+IFERROR(ROUND(VLOOKUP($A234,S275_21,16,FALSE)*VLOOKUP($A234,'3121% SY'!$C$3:$M$324,11,FALSE),3),0)+IFERROR(VLOOKUP($A234,S275_09,6,FALSE),0)</f>
        <v>10.218</v>
      </c>
      <c r="T234" s="267">
        <f>IFERROR(VLOOKUP($A234,Supp_42,14,FALSE),0)+IFERROR(SUMPRODUCT(VLOOKUP($A234,S275_01,{17,18,19},FALSE)),0)+IFERROR(SUMPRODUCT(VLOOKUP($A234,S275_97,{17,18,19},FALSE)),0)+IFERROR(ROUND(VLOOKUP($A234,S275_21,17,FALSE)*VLOOKUP($A234,'3121% SY'!$C$3:$M$324,11,FALSE),3),0)+IFERROR(ROUND(VLOOKUP($A234,S275_21,18,FALSE)*VLOOKUP($A234,'3121% SY'!$C$3:$M$324,11,FALSE),3),0)+IFERROR(ROUND(VLOOKUP($A234,S275_21,19,FALSE)*VLOOKUP($A234,'3121% SY'!$C$3:$M$324,11,FALSE),3),0)+IFERROR(VLOOKUP($A234,S275_09,7,FALSE),0)</f>
        <v>2.9020000000000001</v>
      </c>
      <c r="U234" s="267">
        <f>IFERROR(VLOOKUP($A234,Supp_43,14,FALSE),0)+IFERROR(SUMPRODUCT(VLOOKUP($A234,S275_01,{20,21,22},FALSE)),0)+IFERROR(SUMPRODUCT(VLOOKUP($A234,S275_97,{20,21,22},FALSE)),0)+IFERROR(ROUND(VLOOKUP($A234,S275_21,20,FALSE)*VLOOKUP($A234,'3121% SY'!$C$3:$M$324,11,FALSE),3),0)+IFERROR(ROUND(VLOOKUP($A234,S275_21,21,FALSE)*VLOOKUP($A234,'3121% SY'!$C$3:$M$324,11,FALSE),3),0)+IFERROR(ROUND(VLOOKUP($A234,S275_21,22,FALSE)*VLOOKUP($A234,'3121% SY'!$C$3:$M$324,11,FALSE),3),0)+IFERROR(VLOOKUP($A234,S275_09,8,FALSE),0)</f>
        <v>0.70099999999999996</v>
      </c>
      <c r="V234" s="267">
        <f>IFERROR(VLOOKUP($A234,Supp_44,14,FALSE),0)+IFERROR(SUMPRODUCT(VLOOKUP($A234,S275_01,{23,24,25},FALSE)),0)+IFERROR(SUMPRODUCT(VLOOKUP($A234,S275_97,{23,24,25},FALSE)),0)+IFERROR(ROUND(VLOOKUP($A234,S275_21,23,FALSE)*VLOOKUP($A234,'3121% SY'!$C$3:$M$324,11,FALSE),3),0)+IFERROR(ROUND(VLOOKUP($A234,S275_21,24,FALSE)*VLOOKUP($A234,'3121% SY'!$C$3:$M$324,11,FALSE),3),0)+IFERROR(ROUND(VLOOKUP($A234,S275_21,25,FALSE)*VLOOKUP($A234,'3121% SY'!$C$3:$M$324,11,FALSE),3),0)+IFERROR(VLOOKUP($A234,S275_09,9,FALSE),0)</f>
        <v>1</v>
      </c>
      <c r="W234" s="267">
        <f>IFERROR(VLOOKUP($A234,Supp_45,14,FALSE),0)+IFERROR(SUMPRODUCT(VLOOKUP($A234,S275_01,{26,27,28},FALSE)),0)+IFERROR(SUMPRODUCT(VLOOKUP($A234,S275_97,{26,27,28},FALSE)),0)+IFERROR(ROUND(VLOOKUP($A234,S275_21,26,FALSE)*VLOOKUP($A234,'3121% SY'!$C$3:$M$324,11,FALSE),3),0)+IFERROR(ROUND(VLOOKUP($A234,S275_21,27,FALSE)*VLOOKUP($A234,'3121% SY'!$C$3:$M$324,11,FALSE),3),0)+IFERROR(ROUND(VLOOKUP($A234,S275_21,28,FALSE)*VLOOKUP($A234,'3121% SY'!$C$3:$M$324,11,FALSE),3),0)+IFERROR(VLOOKUP($A234,S275_09,10,FALSE),0)</f>
        <v>1.4530000000000001</v>
      </c>
      <c r="X234" s="267">
        <f>IFERROR(VLOOKUP($A234,Supp_46,14,FALSE),0)+IFERROR(SUMPRODUCT(VLOOKUP($A234,S275_01,{29,30,31},FALSE)),0)+IFERROR(SUMPRODUCT(VLOOKUP($A234,S275_97,{29,30,31},FALSE)),0)+IFERROR(ROUND(VLOOKUP($A234,S275_21,29,FALSE)*VLOOKUP($A234,'3121% SY'!$C$3:$M$324,11,FALSE),3),0)+IFERROR(ROUND(VLOOKUP($A234,S275_21,30,FALSE)*VLOOKUP($A234,'3121% SY'!$C$3:$M$324,11,FALSE),3),0)+IFERROR(ROUND(VLOOKUP($A234,S275_21,31,FALSE)*VLOOKUP($A234,'3121% SY'!$C$3:$M$324,11,FALSE),3),0)+IFERROR(VLOOKUP($A234,S275_09,11,FALSE),0)</f>
        <v>6.2709999999999999</v>
      </c>
      <c r="Y234" s="267">
        <f>IFERROR(VLOOKUP($A234,Supp_47,14,FALSE),0)+IFERROR(SUMPRODUCT(VLOOKUP($A234,S275_01,{32,33,34},FALSE)),0)+IFERROR(SUMPRODUCT(VLOOKUP($A234,S275_97,{32,33,34},FALSE)),0)+IFERROR(ROUND(VLOOKUP($A234,S275_21,32,FALSE)*VLOOKUP($A234,'3121% SY'!$C$3:$M$324,11,FALSE),3),0)+IFERROR(ROUND(VLOOKUP($A234,S275_21,33,FALSE)*VLOOKUP($A234,'3121% SY'!$C$3:$M$324,11,FALSE),3),0)+IFERROR(ROUND(VLOOKUP($A234,S275_21,34,FALSE)*VLOOKUP($A234,'3121% SY'!$C$3:$M$324,11,FALSE),3),0)+IFERROR(VLOOKUP($A234,S275_09,12,FALSE),0)</f>
        <v>1.728</v>
      </c>
      <c r="Z234" s="267">
        <f>IFERROR(VLOOKUP($A234,Supp_48,14,FALSE),0)+IFERROR(SUMPRODUCT(VLOOKUP($A234,S275_01,{35,36,37},FALSE)),0)+IFERROR(SUMPRODUCT(VLOOKUP($A234,S275_97,{35,36,37},FALSE)),0)+IFERROR(ROUND(VLOOKUP($A234,S275_21,35,FALSE)*VLOOKUP($A234,'3121% SY'!$C$3:$M$324,11,FALSE),3),0)+IFERROR(ROUND(VLOOKUP($A234,S275_21,36,FALSE)*VLOOKUP($A234,'3121% SY'!$C$3:$M$324,11,FALSE),3),0)+IFERROR(ROUND(VLOOKUP($A234,S275_21,37,FALSE)*VLOOKUP($A234,'3121% SY'!$C$3:$M$324,11,FALSE),3),0)+IFERROR(VLOOKUP($A234,S275_09,13,FALSE),0)</f>
        <v>0.52600000000000002</v>
      </c>
      <c r="AA234" s="267">
        <f>IFERROR(VLOOKUP($A234,Supp_49,14,FALSE),0)+IFERROR(SUMPRODUCT(VLOOKUP($A234,S275_01,{38,39,40},FALSE)),0)+IFERROR(SUMPRODUCT(VLOOKUP($A234,S275_97,{38,39,40},FALSE)),0)+IFERROR(ROUND(VLOOKUP($A234,S275_21,38,FALSE)*VLOOKUP($A234,'3121% SY'!$C$3:$M$324,11,FALSE),3),0)+IFERROR(ROUND(VLOOKUP($A234,S275_21,39,FALSE)*VLOOKUP($A234,'3121% SY'!$C$3:$M$324,11,FALSE),3),0)+IFERROR(ROUND(VLOOKUP($A234,S275_21,40,FALSE)*VLOOKUP($A234,'3121% SY'!$C$3:$M$324,11,FALSE),3),0)+IFERROR(VLOOKUP($A234,S275_09,14,FALSE),0)</f>
        <v>0.52600000000000002</v>
      </c>
      <c r="AB234" s="267">
        <f>IFERROR(VLOOKUP($A234,Supp_64,14,FALSE),0)+IFERROR(SUMPRODUCT(VLOOKUP($A234,S275_01,{41,42,43},FALSE)),0)+IFERROR(SUMPRODUCT(VLOOKUP($A234,S275_97,{41,42,43},FALSE)),0)+IFERROR(ROUND(VLOOKUP($A234,S275_21,41,FALSE)*VLOOKUP($A234,'3121% SY'!$C$3:$M$324,11,FALSE),3),0)+IFERROR(ROUND(VLOOKUP($A234,S275_21,42,FALSE)*VLOOKUP($A234,'3121% SY'!$C$3:$M$324,11,FALSE),3),0)+IFERROR(ROUND(VLOOKUP($A234,S275_21,43,FALSE)*VLOOKUP($A234,'3121% SY'!$C$3:$M$324,11,FALSE),3),0)+IFERROR(VLOOKUP($A234,S275_09,15,FALSE),0)</f>
        <v>0</v>
      </c>
      <c r="AC234" s="268">
        <f t="shared" si="47"/>
        <v>25.325000000000003</v>
      </c>
      <c r="AD234" s="267">
        <f>IFERROR(VLOOKUP($A234,Supp_24,14,FALSE),0)+IFERROR(SUMPRODUCT(VLOOKUP($A234,S275_01,{2,3,4},FALSE)),0)+IFERROR(SUMPRODUCT(VLOOKUP($A234,S275_97,{2,3,4},FALSE)),0)+IFERROR(ROUND(VLOOKUP($A234,S275_21,2,FALSE)*VLOOKUP($A234,'3121% SY'!$C$3:$M$324,11,FALSE),3),0)+IFERROR(ROUND(VLOOKUP($A234,S275_21,3,FALSE)*VLOOKUP($A234,'3121% SY'!$C$3:$M$324,11,FALSE),3),0)+IFERROR(ROUND(VLOOKUP($A234,S275_21,4,FALSE)*VLOOKUP($A234,'3121% SY'!$C$3:$M$324,11,FALSE),3),0)+IFERROR(VLOOKUP($A234,S275_09,2,FALSE),0)</f>
        <v>1.0229999999999999</v>
      </c>
      <c r="AE234" s="267">
        <f>IFERROR(VLOOKUP($A234,Supp_25,14,FALSE),0)+IFERROR(SUMPRODUCT(VLOOKUP($A234,S275_01,{5,6,7},FALSE)),0)+IFERROR(SUMPRODUCT(VLOOKUP($A234,S275_97,{5,6,7},FALSE)),0)+IFERROR(ROUND(VLOOKUP($A234,S275_21,5,FALSE)*VLOOKUP($A234,'3121% SY'!$C$3:$M$324,11,FALSE),3),0)+IFERROR(ROUND(VLOOKUP($A234,S275_21,6,FALSE)*VLOOKUP($A234,'3121% SY'!$C$3:$M$324,11,FALSE),3),0)+IFERROR(ROUND(VLOOKUP($A234,S275_21,7,FALSE)*VLOOKUP($A234,'3121% SY'!$C$3:$M$324,11,FALSE),3),0)+IFERROR(VLOOKUP($A234,S275_09,3,FALSE),0)</f>
        <v>0</v>
      </c>
      <c r="AF234" s="267">
        <f>IFERROR(VLOOKUP($A234,Supp_26,14,FALSE),0)+IFERROR(SUMPRODUCT(VLOOKUP($A234,S275_01,{8,9,10},FALSE)),0)+IFERROR(SUMPRODUCT(VLOOKUP($A234,S275_97,{8,9,10},FALSE)),0)+IFERROR(ROUND(VLOOKUP($A234,S275_21,8,FALSE)*VLOOKUP($A234,'3121% SY'!$C$3:$M$324,11,FALSE),3),0)+IFERROR(ROUND(VLOOKUP($A234,S275_21,9,FALSE)*VLOOKUP($A234,'3121% SY'!$C$3:$M$324,11,FALSE),3),0)+IFERROR(ROUND(VLOOKUP($A234,S275_21,10,FALSE)*VLOOKUP($A234,'3121% SY'!$C$3:$M$324,11,FALSE),3),0)+IFERROR(VLOOKUP($A234,S275_09,4,FALSE),0)</f>
        <v>0.60799999999999998</v>
      </c>
      <c r="AG234" s="267">
        <f>IFERROR(VLOOKUP($A234,Supp_35,14,FALSE),0)+IFERROR(SUMPRODUCT(VLOOKUP($A234,S275_01,{11,12,13},FALSE)),0)+IFERROR(SUMPRODUCT(VLOOKUP($A234,S275_97,{11,12,13},FALSE)),0)+IFERROR(ROUND(VLOOKUP($A234,S275_21,11,FALSE)*VLOOKUP($A234,'3121% SY'!$C$3:$M$324,11,FALSE),3),0)+IFERROR(ROUND(VLOOKUP($A234,S275_21,12,FALSE)*VLOOKUP($A234,'3121% SY'!$C$3:$M$324,11,FALSE),3),0)+IFERROR(ROUND(VLOOKUP($A234,S275_21,13,FALSE)*VLOOKUP($A234,'3121% SY'!$C$3:$M$324,11,FALSE),3),0)+IFERROR(VLOOKUP($A234,S275_09,5,FALSE),0)</f>
        <v>1.343</v>
      </c>
      <c r="AH234" s="165">
        <f t="shared" si="48"/>
        <v>2.9739999999999998</v>
      </c>
      <c r="AI234" s="161">
        <f>IFERROR(VLOOKUP(A234,'Supp Staff Data'!A:ER,148,FALSE),0)+AB234</f>
        <v>0</v>
      </c>
      <c r="AJ234" s="174">
        <v>0.95730000000000004</v>
      </c>
      <c r="AK234" s="25">
        <f>VLOOKUP(A234,'Enroll Data as of January 2025'!$A$3:$T$323,20,FALSE)-F234</f>
        <v>0</v>
      </c>
    </row>
    <row r="235" spans="1:37" x14ac:dyDescent="0.25">
      <c r="A235" s="171" t="s">
        <v>183</v>
      </c>
      <c r="B235" t="s">
        <v>479</v>
      </c>
      <c r="C235" s="173" t="s">
        <v>1077</v>
      </c>
      <c r="D235" s="259">
        <f t="shared" si="40"/>
        <v>15.170999999999999</v>
      </c>
      <c r="E235" s="259">
        <f t="shared" si="41"/>
        <v>17.45</v>
      </c>
      <c r="F235" s="262">
        <f t="shared" si="49"/>
        <v>2.2789999999999999</v>
      </c>
      <c r="G235" s="161">
        <f>ROUND(IF(F235&lt;0,F235*'2024-25 PSES Compliance'!$G$13,0),3)</f>
        <v>0</v>
      </c>
      <c r="H235" s="161">
        <f>ROUND(IF(F235&lt;0,F235*'2024-25 PSES Compliance'!$G$14,0),3)</f>
        <v>0</v>
      </c>
      <c r="I235" s="174">
        <f t="shared" si="43"/>
        <v>0.64739255014326658</v>
      </c>
      <c r="J235" s="174">
        <f t="shared" si="44"/>
        <v>0</v>
      </c>
      <c r="K235" s="161">
        <f>VLOOKUP($A235,'Enroll Data as of January 2025'!$A$3:$M$322,6,FALSE)</f>
        <v>8.4819999999999993</v>
      </c>
      <c r="L235" s="161">
        <f>VLOOKUP($A235,'Enroll Data as of January 2025'!$A$3:$M$322,7,FALSE)</f>
        <v>1.4</v>
      </c>
      <c r="M235" s="161">
        <f>VLOOKUP($A235,'Enroll Data as of January 2025'!$A$3:$M$322,8,FALSE)</f>
        <v>0.46900000000000003</v>
      </c>
      <c r="N235" s="161">
        <f>VLOOKUP($A235,'Enroll Data as of January 2025'!$A$3:$M$322,9,FALSE)</f>
        <v>3.9720000000000004</v>
      </c>
      <c r="O235" s="165">
        <f t="shared" si="45"/>
        <v>14.323</v>
      </c>
      <c r="P235" s="161">
        <f>VLOOKUP($A235,'Enroll Data as of January 2025'!$A$3:$M$322,11,FALSE)</f>
        <v>0.53299999999999992</v>
      </c>
      <c r="Q235" s="161">
        <f>VLOOKUP($A235,'Enroll Data as of January 2025'!$A$3:$M$322,12,FALSE)</f>
        <v>0.315</v>
      </c>
      <c r="R235" s="165">
        <f t="shared" si="46"/>
        <v>0.84799999999999986</v>
      </c>
      <c r="S235" s="267">
        <f>IFERROR(VLOOKUP($A235,Supp_39,14,FALSE),0)+IFERROR(SUMPRODUCT(VLOOKUP($A235,S275_01,{14,15,16},FALSE)),0)+IFERROR(SUMPRODUCT(VLOOKUP($A235,S275_97,{14,15,16},FALSE)),0)+IFERROR(ROUND(VLOOKUP($A235,S275_21,14,FALSE)*VLOOKUP($A235,'3121% SY'!$C$3:$M$324,11,FALSE),3),0)+IFERROR(ROUND(VLOOKUP($A235,S275_21,15,FALSE)*VLOOKUP($A235,'3121% SY'!$C$3:$M$324,11,FALSE),3),0)+IFERROR(ROUND(VLOOKUP($A235,S275_21,16,FALSE)*VLOOKUP($A235,'3121% SY'!$C$3:$M$324,11,FALSE),3),0)+IFERROR(VLOOKUP($A235,S275_09,6,FALSE),0)</f>
        <v>6</v>
      </c>
      <c r="T235" s="267">
        <f>IFERROR(VLOOKUP($A235,Supp_42,14,FALSE),0)+IFERROR(SUMPRODUCT(VLOOKUP($A235,S275_01,{17,18,19},FALSE)),0)+IFERROR(SUMPRODUCT(VLOOKUP($A235,S275_97,{17,18,19},FALSE)),0)+IFERROR(ROUND(VLOOKUP($A235,S275_21,17,FALSE)*VLOOKUP($A235,'3121% SY'!$C$3:$M$324,11,FALSE),3),0)+IFERROR(ROUND(VLOOKUP($A235,S275_21,18,FALSE)*VLOOKUP($A235,'3121% SY'!$C$3:$M$324,11,FALSE),3),0)+IFERROR(ROUND(VLOOKUP($A235,S275_21,19,FALSE)*VLOOKUP($A235,'3121% SY'!$C$3:$M$324,11,FALSE),3),0)+IFERROR(VLOOKUP($A235,S275_09,7,FALSE),0)</f>
        <v>1</v>
      </c>
      <c r="U235" s="267">
        <f>IFERROR(VLOOKUP($A235,Supp_43,14,FALSE),0)+IFERROR(SUMPRODUCT(VLOOKUP($A235,S275_01,{20,21,22},FALSE)),0)+IFERROR(SUMPRODUCT(VLOOKUP($A235,S275_97,{20,21,22},FALSE)),0)+IFERROR(ROUND(VLOOKUP($A235,S275_21,20,FALSE)*VLOOKUP($A235,'3121% SY'!$C$3:$M$324,11,FALSE),3),0)+IFERROR(ROUND(VLOOKUP($A235,S275_21,21,FALSE)*VLOOKUP($A235,'3121% SY'!$C$3:$M$324,11,FALSE),3),0)+IFERROR(ROUND(VLOOKUP($A235,S275_21,22,FALSE)*VLOOKUP($A235,'3121% SY'!$C$3:$M$324,11,FALSE),3),0)+IFERROR(VLOOKUP($A235,S275_09,8,FALSE),0)</f>
        <v>1.429</v>
      </c>
      <c r="V235" s="267">
        <f>IFERROR(VLOOKUP($A235,Supp_44,14,FALSE),0)+IFERROR(SUMPRODUCT(VLOOKUP($A235,S275_01,{23,24,25},FALSE)),0)+IFERROR(SUMPRODUCT(VLOOKUP($A235,S275_97,{23,24,25},FALSE)),0)+IFERROR(ROUND(VLOOKUP($A235,S275_21,23,FALSE)*VLOOKUP($A235,'3121% SY'!$C$3:$M$324,11,FALSE),3),0)+IFERROR(ROUND(VLOOKUP($A235,S275_21,24,FALSE)*VLOOKUP($A235,'3121% SY'!$C$3:$M$324,11,FALSE),3),0)+IFERROR(ROUND(VLOOKUP($A235,S275_21,25,FALSE)*VLOOKUP($A235,'3121% SY'!$C$3:$M$324,11,FALSE),3),0)+IFERROR(VLOOKUP($A235,S275_09,9,FALSE),0)</f>
        <v>0</v>
      </c>
      <c r="W235" s="267">
        <f>IFERROR(VLOOKUP($A235,Supp_45,14,FALSE),0)+IFERROR(SUMPRODUCT(VLOOKUP($A235,S275_01,{26,27,28},FALSE)),0)+IFERROR(SUMPRODUCT(VLOOKUP($A235,S275_97,{26,27,28},FALSE)),0)+IFERROR(ROUND(VLOOKUP($A235,S275_21,26,FALSE)*VLOOKUP($A235,'3121% SY'!$C$3:$M$324,11,FALSE),3),0)+IFERROR(ROUND(VLOOKUP($A235,S275_21,27,FALSE)*VLOOKUP($A235,'3121% SY'!$C$3:$M$324,11,FALSE),3),0)+IFERROR(ROUND(VLOOKUP($A235,S275_21,28,FALSE)*VLOOKUP($A235,'3121% SY'!$C$3:$M$324,11,FALSE),3),0)+IFERROR(VLOOKUP($A235,S275_09,10,FALSE),0)</f>
        <v>0.98699999999999999</v>
      </c>
      <c r="X235" s="267">
        <f>IFERROR(VLOOKUP($A235,Supp_46,14,FALSE),0)+IFERROR(SUMPRODUCT(VLOOKUP($A235,S275_01,{29,30,31},FALSE)),0)+IFERROR(SUMPRODUCT(VLOOKUP($A235,S275_97,{29,30,31},FALSE)),0)+IFERROR(ROUND(VLOOKUP($A235,S275_21,29,FALSE)*VLOOKUP($A235,'3121% SY'!$C$3:$M$324,11,FALSE),3),0)+IFERROR(ROUND(VLOOKUP($A235,S275_21,30,FALSE)*VLOOKUP($A235,'3121% SY'!$C$3:$M$324,11,FALSE),3),0)+IFERROR(ROUND(VLOOKUP($A235,S275_21,31,FALSE)*VLOOKUP($A235,'3121% SY'!$C$3:$M$324,11,FALSE),3),0)+IFERROR(VLOOKUP($A235,S275_09,11,FALSE),0)</f>
        <v>1.573</v>
      </c>
      <c r="Y235" s="267">
        <f>IFERROR(VLOOKUP($A235,Supp_47,14,FALSE),0)+IFERROR(SUMPRODUCT(VLOOKUP($A235,S275_01,{32,33,34},FALSE)),0)+IFERROR(SUMPRODUCT(VLOOKUP($A235,S275_97,{32,33,34},FALSE)),0)+IFERROR(ROUND(VLOOKUP($A235,S275_21,32,FALSE)*VLOOKUP($A235,'3121% SY'!$C$3:$M$324,11,FALSE),3),0)+IFERROR(ROUND(VLOOKUP($A235,S275_21,33,FALSE)*VLOOKUP($A235,'3121% SY'!$C$3:$M$324,11,FALSE),3),0)+IFERROR(ROUND(VLOOKUP($A235,S275_21,34,FALSE)*VLOOKUP($A235,'3121% SY'!$C$3:$M$324,11,FALSE),3),0)+IFERROR(VLOOKUP($A235,S275_09,12,FALSE),0)</f>
        <v>0.2</v>
      </c>
      <c r="Z235" s="267">
        <f>IFERROR(VLOOKUP($A235,Supp_48,14,FALSE),0)+IFERROR(SUMPRODUCT(VLOOKUP($A235,S275_01,{35,36,37},FALSE)),0)+IFERROR(SUMPRODUCT(VLOOKUP($A235,S275_97,{35,36,37},FALSE)),0)+IFERROR(ROUND(VLOOKUP($A235,S275_21,35,FALSE)*VLOOKUP($A235,'3121% SY'!$C$3:$M$324,11,FALSE),3),0)+IFERROR(ROUND(VLOOKUP($A235,S275_21,36,FALSE)*VLOOKUP($A235,'3121% SY'!$C$3:$M$324,11,FALSE),3),0)+IFERROR(ROUND(VLOOKUP($A235,S275_21,37,FALSE)*VLOOKUP($A235,'3121% SY'!$C$3:$M$324,11,FALSE),3),0)+IFERROR(VLOOKUP($A235,S275_09,13,FALSE),0)</f>
        <v>0.108</v>
      </c>
      <c r="AA235" s="267">
        <f>IFERROR(VLOOKUP($A235,Supp_49,14,FALSE),0)+IFERROR(SUMPRODUCT(VLOOKUP($A235,S275_01,{38,39,40},FALSE)),0)+IFERROR(SUMPRODUCT(VLOOKUP($A235,S275_97,{38,39,40},FALSE)),0)+IFERROR(ROUND(VLOOKUP($A235,S275_21,38,FALSE)*VLOOKUP($A235,'3121% SY'!$C$3:$M$324,11,FALSE),3),0)+IFERROR(ROUND(VLOOKUP($A235,S275_21,39,FALSE)*VLOOKUP($A235,'3121% SY'!$C$3:$M$324,11,FALSE),3),0)+IFERROR(ROUND(VLOOKUP($A235,S275_21,40,FALSE)*VLOOKUP($A235,'3121% SY'!$C$3:$M$324,11,FALSE),3),0)+IFERROR(VLOOKUP($A235,S275_09,14,FALSE),0)</f>
        <v>0</v>
      </c>
      <c r="AB235" s="267">
        <f>IFERROR(VLOOKUP($A235,Supp_64,14,FALSE),0)+IFERROR(SUMPRODUCT(VLOOKUP($A235,S275_01,{41,42,43},FALSE)),0)+IFERROR(SUMPRODUCT(VLOOKUP($A235,S275_97,{41,42,43},FALSE)),0)+IFERROR(ROUND(VLOOKUP($A235,S275_21,41,FALSE)*VLOOKUP($A235,'3121% SY'!$C$3:$M$324,11,FALSE),3),0)+IFERROR(ROUND(VLOOKUP($A235,S275_21,42,FALSE)*VLOOKUP($A235,'3121% SY'!$C$3:$M$324,11,FALSE),3),0)+IFERROR(ROUND(VLOOKUP($A235,S275_21,43,FALSE)*VLOOKUP($A235,'3121% SY'!$C$3:$M$324,11,FALSE),3),0)+IFERROR(VLOOKUP($A235,S275_09,15,FALSE),0)</f>
        <v>0</v>
      </c>
      <c r="AC235" s="268">
        <f t="shared" si="47"/>
        <v>11.297000000000001</v>
      </c>
      <c r="AD235" s="267">
        <f>IFERROR(VLOOKUP($A235,Supp_24,14,FALSE),0)+IFERROR(SUMPRODUCT(VLOOKUP($A235,S275_01,{2,3,4},FALSE)),0)+IFERROR(SUMPRODUCT(VLOOKUP($A235,S275_97,{2,3,4},FALSE)),0)+IFERROR(ROUND(VLOOKUP($A235,S275_21,2,FALSE)*VLOOKUP($A235,'3121% SY'!$C$3:$M$324,11,FALSE),3),0)+IFERROR(ROUND(VLOOKUP($A235,S275_21,3,FALSE)*VLOOKUP($A235,'3121% SY'!$C$3:$M$324,11,FALSE),3),0)+IFERROR(ROUND(VLOOKUP($A235,S275_21,4,FALSE)*VLOOKUP($A235,'3121% SY'!$C$3:$M$324,11,FALSE),3),0)+IFERROR(VLOOKUP($A235,S275_09,2,FALSE),0)</f>
        <v>0</v>
      </c>
      <c r="AE235" s="267">
        <f>IFERROR(VLOOKUP($A235,Supp_25,14,FALSE),0)+IFERROR(SUMPRODUCT(VLOOKUP($A235,S275_01,{5,6,7},FALSE)),0)+IFERROR(SUMPRODUCT(VLOOKUP($A235,S275_97,{5,6,7},FALSE)),0)+IFERROR(ROUND(VLOOKUP($A235,S275_21,5,FALSE)*VLOOKUP($A235,'3121% SY'!$C$3:$M$324,11,FALSE),3),0)+IFERROR(ROUND(VLOOKUP($A235,S275_21,6,FALSE)*VLOOKUP($A235,'3121% SY'!$C$3:$M$324,11,FALSE),3),0)+IFERROR(ROUND(VLOOKUP($A235,S275_21,7,FALSE)*VLOOKUP($A235,'3121% SY'!$C$3:$M$324,11,FALSE),3),0)+IFERROR(VLOOKUP($A235,S275_09,3,FALSE),0)</f>
        <v>0.2</v>
      </c>
      <c r="AF235" s="267">
        <f>IFERROR(VLOOKUP($A235,Supp_26,14,FALSE),0)+IFERROR(SUMPRODUCT(VLOOKUP($A235,S275_01,{8,9,10},FALSE)),0)+IFERROR(SUMPRODUCT(VLOOKUP($A235,S275_97,{8,9,10},FALSE)),0)+IFERROR(ROUND(VLOOKUP($A235,S275_21,8,FALSE)*VLOOKUP($A235,'3121% SY'!$C$3:$M$324,11,FALSE),3),0)+IFERROR(ROUND(VLOOKUP($A235,S275_21,9,FALSE)*VLOOKUP($A235,'3121% SY'!$C$3:$M$324,11,FALSE),3),0)+IFERROR(ROUND(VLOOKUP($A235,S275_21,10,FALSE)*VLOOKUP($A235,'3121% SY'!$C$3:$M$324,11,FALSE),3),0)+IFERROR(VLOOKUP($A235,S275_09,4,FALSE),0)</f>
        <v>4.4909999999999997</v>
      </c>
      <c r="AG235" s="267">
        <f>IFERROR(VLOOKUP($A235,Supp_35,14,FALSE),0)+IFERROR(SUMPRODUCT(VLOOKUP($A235,S275_01,{11,12,13},FALSE)),0)+IFERROR(SUMPRODUCT(VLOOKUP($A235,S275_97,{11,12,13},FALSE)),0)+IFERROR(ROUND(VLOOKUP($A235,S275_21,11,FALSE)*VLOOKUP($A235,'3121% SY'!$C$3:$M$324,11,FALSE),3),0)+IFERROR(ROUND(VLOOKUP($A235,S275_21,12,FALSE)*VLOOKUP($A235,'3121% SY'!$C$3:$M$324,11,FALSE),3),0)+IFERROR(ROUND(VLOOKUP($A235,S275_21,13,FALSE)*VLOOKUP($A235,'3121% SY'!$C$3:$M$324,11,FALSE),3),0)+IFERROR(VLOOKUP($A235,S275_09,5,FALSE),0)</f>
        <v>1.462</v>
      </c>
      <c r="AH235" s="165">
        <f t="shared" si="48"/>
        <v>6.1529999999999996</v>
      </c>
      <c r="AI235" s="161">
        <f>IFERROR(VLOOKUP(A235,'Supp Staff Data'!A:ER,148,FALSE),0)+AB235</f>
        <v>0</v>
      </c>
      <c r="AJ235" s="174">
        <v>1</v>
      </c>
      <c r="AK235" s="25">
        <f>VLOOKUP(A235,'Enroll Data as of January 2025'!$A$3:$T$323,20,FALSE)-F235</f>
        <v>0</v>
      </c>
    </row>
    <row r="236" spans="1:37" x14ac:dyDescent="0.25">
      <c r="A236" s="171" t="s">
        <v>229</v>
      </c>
      <c r="B236" t="s">
        <v>525</v>
      </c>
      <c r="C236" s="173" t="s">
        <v>1077</v>
      </c>
      <c r="D236" s="259">
        <f t="shared" si="40"/>
        <v>6.9909999999999997</v>
      </c>
      <c r="E236" s="259">
        <f t="shared" si="41"/>
        <v>9.4980000000000011</v>
      </c>
      <c r="F236" s="262">
        <f t="shared" si="49"/>
        <v>2.5070000000000001</v>
      </c>
      <c r="G236" s="161">
        <f>ROUND(IF(F236&lt;0,F236*'2024-25 PSES Compliance'!$G$13,0),3)</f>
        <v>0</v>
      </c>
      <c r="H236" s="161">
        <f>ROUND(IF(F236&lt;0,F236*'2024-25 PSES Compliance'!$G$14,0),3)</f>
        <v>0</v>
      </c>
      <c r="I236" s="174">
        <f t="shared" si="43"/>
        <v>0.71288692356285532</v>
      </c>
      <c r="J236" s="174">
        <f t="shared" si="44"/>
        <v>0</v>
      </c>
      <c r="K236" s="161">
        <f>VLOOKUP($A236,'Enroll Data as of January 2025'!$A$3:$M$322,6,FALSE)</f>
        <v>3.9809999999999999</v>
      </c>
      <c r="L236" s="161">
        <f>VLOOKUP($A236,'Enroll Data as of January 2025'!$A$3:$M$322,7,FALSE)</f>
        <v>0.623</v>
      </c>
      <c r="M236" s="161">
        <f>VLOOKUP($A236,'Enroll Data as of January 2025'!$A$3:$M$322,8,FALSE)</f>
        <v>0.20899999999999999</v>
      </c>
      <c r="N236" s="161">
        <f>VLOOKUP($A236,'Enroll Data as of January 2025'!$A$3:$M$322,9,FALSE)</f>
        <v>1.796</v>
      </c>
      <c r="O236" s="165">
        <f t="shared" si="45"/>
        <v>6.609</v>
      </c>
      <c r="P236" s="161">
        <f>VLOOKUP($A236,'Enroll Data as of January 2025'!$A$3:$M$322,11,FALSE)</f>
        <v>0.245</v>
      </c>
      <c r="Q236" s="161">
        <f>VLOOKUP($A236,'Enroll Data as of January 2025'!$A$3:$M$322,12,FALSE)</f>
        <v>0.13700000000000001</v>
      </c>
      <c r="R236" s="165">
        <f t="shared" si="46"/>
        <v>0.38200000000000001</v>
      </c>
      <c r="S236" s="267">
        <f>IFERROR(VLOOKUP($A236,Supp_39,14,FALSE),0)+IFERROR(SUMPRODUCT(VLOOKUP($A236,S275_01,{14,15,16},FALSE)),0)+IFERROR(SUMPRODUCT(VLOOKUP($A236,S275_97,{14,15,16},FALSE)),0)+IFERROR(ROUND(VLOOKUP($A236,S275_21,14,FALSE)*VLOOKUP($A236,'3121% SY'!$C$3:$M$324,11,FALSE),3),0)+IFERROR(ROUND(VLOOKUP($A236,S275_21,15,FALSE)*VLOOKUP($A236,'3121% SY'!$C$3:$M$324,11,FALSE),3),0)+IFERROR(ROUND(VLOOKUP($A236,S275_21,16,FALSE)*VLOOKUP($A236,'3121% SY'!$C$3:$M$324,11,FALSE),3),0)+IFERROR(VLOOKUP($A236,S275_09,6,FALSE),0)</f>
        <v>3.4</v>
      </c>
      <c r="T236" s="267">
        <f>IFERROR(VLOOKUP($A236,Supp_42,14,FALSE),0)+IFERROR(SUMPRODUCT(VLOOKUP($A236,S275_01,{17,18,19},FALSE)),0)+IFERROR(SUMPRODUCT(VLOOKUP($A236,S275_97,{17,18,19},FALSE)),0)+IFERROR(ROUND(VLOOKUP($A236,S275_21,17,FALSE)*VLOOKUP($A236,'3121% SY'!$C$3:$M$324,11,FALSE),3),0)+IFERROR(ROUND(VLOOKUP($A236,S275_21,18,FALSE)*VLOOKUP($A236,'3121% SY'!$C$3:$M$324,11,FALSE),3),0)+IFERROR(ROUND(VLOOKUP($A236,S275_21,19,FALSE)*VLOOKUP($A236,'3121% SY'!$C$3:$M$324,11,FALSE),3),0)+IFERROR(VLOOKUP($A236,S275_09,7,FALSE),0)</f>
        <v>0</v>
      </c>
      <c r="U236" s="267">
        <f>IFERROR(VLOOKUP($A236,Supp_43,14,FALSE),0)+IFERROR(SUMPRODUCT(VLOOKUP($A236,S275_01,{20,21,22},FALSE)),0)+IFERROR(SUMPRODUCT(VLOOKUP($A236,S275_97,{20,21,22},FALSE)),0)+IFERROR(ROUND(VLOOKUP($A236,S275_21,20,FALSE)*VLOOKUP($A236,'3121% SY'!$C$3:$M$324,11,FALSE),3),0)+IFERROR(ROUND(VLOOKUP($A236,S275_21,21,FALSE)*VLOOKUP($A236,'3121% SY'!$C$3:$M$324,11,FALSE),3),0)+IFERROR(ROUND(VLOOKUP($A236,S275_21,22,FALSE)*VLOOKUP($A236,'3121% SY'!$C$3:$M$324,11,FALSE),3),0)+IFERROR(VLOOKUP($A236,S275_09,8,FALSE),0)</f>
        <v>0.33300000000000002</v>
      </c>
      <c r="V236" s="267">
        <f>IFERROR(VLOOKUP($A236,Supp_44,14,FALSE),0)+IFERROR(SUMPRODUCT(VLOOKUP($A236,S275_01,{23,24,25},FALSE)),0)+IFERROR(SUMPRODUCT(VLOOKUP($A236,S275_97,{23,24,25},FALSE)),0)+IFERROR(ROUND(VLOOKUP($A236,S275_21,23,FALSE)*VLOOKUP($A236,'3121% SY'!$C$3:$M$324,11,FALSE),3),0)+IFERROR(ROUND(VLOOKUP($A236,S275_21,24,FALSE)*VLOOKUP($A236,'3121% SY'!$C$3:$M$324,11,FALSE),3),0)+IFERROR(ROUND(VLOOKUP($A236,S275_21,25,FALSE)*VLOOKUP($A236,'3121% SY'!$C$3:$M$324,11,FALSE),3),0)+IFERROR(VLOOKUP($A236,S275_09,9,FALSE),0)</f>
        <v>0.66700000000000004</v>
      </c>
      <c r="W236" s="267">
        <f>IFERROR(VLOOKUP($A236,Supp_45,14,FALSE),0)+IFERROR(SUMPRODUCT(VLOOKUP($A236,S275_01,{26,27,28},FALSE)),0)+IFERROR(SUMPRODUCT(VLOOKUP($A236,S275_97,{26,27,28},FALSE)),0)+IFERROR(ROUND(VLOOKUP($A236,S275_21,26,FALSE)*VLOOKUP($A236,'3121% SY'!$C$3:$M$324,11,FALSE),3),0)+IFERROR(ROUND(VLOOKUP($A236,S275_21,27,FALSE)*VLOOKUP($A236,'3121% SY'!$C$3:$M$324,11,FALSE),3),0)+IFERROR(ROUND(VLOOKUP($A236,S275_21,28,FALSE)*VLOOKUP($A236,'3121% SY'!$C$3:$M$324,11,FALSE),3),0)+IFERROR(VLOOKUP($A236,S275_09,10,FALSE),0)</f>
        <v>0.16500000000000001</v>
      </c>
      <c r="X236" s="267">
        <f>IFERROR(VLOOKUP($A236,Supp_46,14,FALSE),0)+IFERROR(SUMPRODUCT(VLOOKUP($A236,S275_01,{29,30,31},FALSE)),0)+IFERROR(SUMPRODUCT(VLOOKUP($A236,S275_97,{29,30,31},FALSE)),0)+IFERROR(ROUND(VLOOKUP($A236,S275_21,29,FALSE)*VLOOKUP($A236,'3121% SY'!$C$3:$M$324,11,FALSE),3),0)+IFERROR(ROUND(VLOOKUP($A236,S275_21,30,FALSE)*VLOOKUP($A236,'3121% SY'!$C$3:$M$324,11,FALSE),3),0)+IFERROR(ROUND(VLOOKUP($A236,S275_21,31,FALSE)*VLOOKUP($A236,'3121% SY'!$C$3:$M$324,11,FALSE),3),0)+IFERROR(VLOOKUP($A236,S275_09,11,FALSE),0)</f>
        <v>2.016</v>
      </c>
      <c r="Y236" s="267">
        <f>IFERROR(VLOOKUP($A236,Supp_47,14,FALSE),0)+IFERROR(SUMPRODUCT(VLOOKUP($A236,S275_01,{32,33,34},FALSE)),0)+IFERROR(SUMPRODUCT(VLOOKUP($A236,S275_97,{32,33,34},FALSE)),0)+IFERROR(ROUND(VLOOKUP($A236,S275_21,32,FALSE)*VLOOKUP($A236,'3121% SY'!$C$3:$M$324,11,FALSE),3),0)+IFERROR(ROUND(VLOOKUP($A236,S275_21,33,FALSE)*VLOOKUP($A236,'3121% SY'!$C$3:$M$324,11,FALSE),3),0)+IFERROR(ROUND(VLOOKUP($A236,S275_21,34,FALSE)*VLOOKUP($A236,'3121% SY'!$C$3:$M$324,11,FALSE),3),0)+IFERROR(VLOOKUP($A236,S275_09,12,FALSE),0)</f>
        <v>0.19</v>
      </c>
      <c r="Z236" s="267">
        <f>IFERROR(VLOOKUP($A236,Supp_48,14,FALSE),0)+IFERROR(SUMPRODUCT(VLOOKUP($A236,S275_01,{35,36,37},FALSE)),0)+IFERROR(SUMPRODUCT(VLOOKUP($A236,S275_97,{35,36,37},FALSE)),0)+IFERROR(ROUND(VLOOKUP($A236,S275_21,35,FALSE)*VLOOKUP($A236,'3121% SY'!$C$3:$M$324,11,FALSE),3),0)+IFERROR(ROUND(VLOOKUP($A236,S275_21,36,FALSE)*VLOOKUP($A236,'3121% SY'!$C$3:$M$324,11,FALSE),3),0)+IFERROR(ROUND(VLOOKUP($A236,S275_21,37,FALSE)*VLOOKUP($A236,'3121% SY'!$C$3:$M$324,11,FALSE),3),0)+IFERROR(VLOOKUP($A236,S275_09,13,FALSE),0)</f>
        <v>0</v>
      </c>
      <c r="AA236" s="267">
        <f>IFERROR(VLOOKUP($A236,Supp_49,14,FALSE),0)+IFERROR(SUMPRODUCT(VLOOKUP($A236,S275_01,{38,39,40},FALSE)),0)+IFERROR(SUMPRODUCT(VLOOKUP($A236,S275_97,{38,39,40},FALSE)),0)+IFERROR(ROUND(VLOOKUP($A236,S275_21,38,FALSE)*VLOOKUP($A236,'3121% SY'!$C$3:$M$324,11,FALSE),3),0)+IFERROR(ROUND(VLOOKUP($A236,S275_21,39,FALSE)*VLOOKUP($A236,'3121% SY'!$C$3:$M$324,11,FALSE),3),0)+IFERROR(ROUND(VLOOKUP($A236,S275_21,40,FALSE)*VLOOKUP($A236,'3121% SY'!$C$3:$M$324,11,FALSE),3),0)+IFERROR(VLOOKUP($A236,S275_09,14,FALSE),0)</f>
        <v>0</v>
      </c>
      <c r="AB236" s="267">
        <f>IFERROR(VLOOKUP($A236,Supp_64,14,FALSE),0)+IFERROR(SUMPRODUCT(VLOOKUP($A236,S275_01,{41,42,43},FALSE)),0)+IFERROR(SUMPRODUCT(VLOOKUP($A236,S275_97,{41,42,43},FALSE)),0)+IFERROR(ROUND(VLOOKUP($A236,S275_21,41,FALSE)*VLOOKUP($A236,'3121% SY'!$C$3:$M$324,11,FALSE),3),0)+IFERROR(ROUND(VLOOKUP($A236,S275_21,42,FALSE)*VLOOKUP($A236,'3121% SY'!$C$3:$M$324,11,FALSE),3),0)+IFERROR(ROUND(VLOOKUP($A236,S275_21,43,FALSE)*VLOOKUP($A236,'3121% SY'!$C$3:$M$324,11,FALSE),3),0)+IFERROR(VLOOKUP($A236,S275_09,15,FALSE),0)</f>
        <v>0</v>
      </c>
      <c r="AC236" s="268">
        <f t="shared" si="47"/>
        <v>6.7710000000000008</v>
      </c>
      <c r="AD236" s="267">
        <f>IFERROR(VLOOKUP($A236,Supp_24,14,FALSE),0)+IFERROR(SUMPRODUCT(VLOOKUP($A236,S275_01,{2,3,4},FALSE)),0)+IFERROR(SUMPRODUCT(VLOOKUP($A236,S275_97,{2,3,4},FALSE)),0)+IFERROR(ROUND(VLOOKUP($A236,S275_21,2,FALSE)*VLOOKUP($A236,'3121% SY'!$C$3:$M$324,11,FALSE),3),0)+IFERROR(ROUND(VLOOKUP($A236,S275_21,3,FALSE)*VLOOKUP($A236,'3121% SY'!$C$3:$M$324,11,FALSE),3),0)+IFERROR(ROUND(VLOOKUP($A236,S275_21,4,FALSE)*VLOOKUP($A236,'3121% SY'!$C$3:$M$324,11,FALSE),3),0)+IFERROR(VLOOKUP($A236,S275_09,2,FALSE),0)</f>
        <v>0</v>
      </c>
      <c r="AE236" s="267">
        <f>IFERROR(VLOOKUP($A236,Supp_25,14,FALSE),0)+IFERROR(SUMPRODUCT(VLOOKUP($A236,S275_01,{5,6,7},FALSE)),0)+IFERROR(SUMPRODUCT(VLOOKUP($A236,S275_97,{5,6,7},FALSE)),0)+IFERROR(ROUND(VLOOKUP($A236,S275_21,5,FALSE)*VLOOKUP($A236,'3121% SY'!$C$3:$M$324,11,FALSE),3),0)+IFERROR(ROUND(VLOOKUP($A236,S275_21,6,FALSE)*VLOOKUP($A236,'3121% SY'!$C$3:$M$324,11,FALSE),3),0)+IFERROR(ROUND(VLOOKUP($A236,S275_21,7,FALSE)*VLOOKUP($A236,'3121% SY'!$C$3:$M$324,11,FALSE),3),0)+IFERROR(VLOOKUP($A236,S275_09,3,FALSE),0)</f>
        <v>1.9379999999999999</v>
      </c>
      <c r="AF236" s="267">
        <f>IFERROR(VLOOKUP($A236,Supp_26,14,FALSE),0)+IFERROR(SUMPRODUCT(VLOOKUP($A236,S275_01,{8,9,10},FALSE)),0)+IFERROR(SUMPRODUCT(VLOOKUP($A236,S275_97,{8,9,10},FALSE)),0)+IFERROR(ROUND(VLOOKUP($A236,S275_21,8,FALSE)*VLOOKUP($A236,'3121% SY'!$C$3:$M$324,11,FALSE),3),0)+IFERROR(ROUND(VLOOKUP($A236,S275_21,9,FALSE)*VLOOKUP($A236,'3121% SY'!$C$3:$M$324,11,FALSE),3),0)+IFERROR(ROUND(VLOOKUP($A236,S275_21,10,FALSE)*VLOOKUP($A236,'3121% SY'!$C$3:$M$324,11,FALSE),3),0)+IFERROR(VLOOKUP($A236,S275_09,4,FALSE),0)</f>
        <v>0.78900000000000003</v>
      </c>
      <c r="AG236" s="267">
        <f>IFERROR(VLOOKUP($A236,Supp_35,14,FALSE),0)+IFERROR(SUMPRODUCT(VLOOKUP($A236,S275_01,{11,12,13},FALSE)),0)+IFERROR(SUMPRODUCT(VLOOKUP($A236,S275_97,{11,12,13},FALSE)),0)+IFERROR(ROUND(VLOOKUP($A236,S275_21,11,FALSE)*VLOOKUP($A236,'3121% SY'!$C$3:$M$324,11,FALSE),3),0)+IFERROR(ROUND(VLOOKUP($A236,S275_21,12,FALSE)*VLOOKUP($A236,'3121% SY'!$C$3:$M$324,11,FALSE),3),0)+IFERROR(ROUND(VLOOKUP($A236,S275_21,13,FALSE)*VLOOKUP($A236,'3121% SY'!$C$3:$M$324,11,FALSE),3),0)+IFERROR(VLOOKUP($A236,S275_09,5,FALSE),0)</f>
        <v>0</v>
      </c>
      <c r="AH236" s="165">
        <f t="shared" si="48"/>
        <v>2.7269999999999999</v>
      </c>
      <c r="AI236" s="161">
        <f>IFERROR(VLOOKUP(A236,'Supp Staff Data'!A:ER,148,FALSE),0)+AB236</f>
        <v>0</v>
      </c>
      <c r="AJ236" s="174">
        <v>1</v>
      </c>
      <c r="AK236" s="25">
        <f>VLOOKUP(A236,'Enroll Data as of January 2025'!$A$3:$T$323,20,FALSE)-F236</f>
        <v>0</v>
      </c>
    </row>
    <row r="237" spans="1:37" x14ac:dyDescent="0.25">
      <c r="A237" s="171" t="s">
        <v>150</v>
      </c>
      <c r="B237" t="s">
        <v>446</v>
      </c>
      <c r="C237" s="173" t="s">
        <v>1077</v>
      </c>
      <c r="D237" s="259">
        <f t="shared" si="40"/>
        <v>15.572000000000001</v>
      </c>
      <c r="E237" s="259">
        <f t="shared" si="41"/>
        <v>18.817999999999998</v>
      </c>
      <c r="F237" s="262">
        <f t="shared" si="49"/>
        <v>3.246</v>
      </c>
      <c r="G237" s="161">
        <f>ROUND(IF(F237&lt;0,F237*'2024-25 PSES Compliance'!$G$13,0),3)</f>
        <v>0</v>
      </c>
      <c r="H237" s="161">
        <f>ROUND(IF(F237&lt;0,F237*'2024-25 PSES Compliance'!$G$14,0),3)</f>
        <v>0</v>
      </c>
      <c r="I237" s="174">
        <f t="shared" si="43"/>
        <v>0</v>
      </c>
      <c r="J237" s="174">
        <f t="shared" si="44"/>
        <v>0</v>
      </c>
      <c r="K237" s="161">
        <f>VLOOKUP($A237,'Enroll Data as of January 2025'!$A$3:$M$322,6,FALSE)</f>
        <v>8.5560000000000009</v>
      </c>
      <c r="L237" s="161">
        <f>VLOOKUP($A237,'Enroll Data as of January 2025'!$A$3:$M$322,7,FALSE)</f>
        <v>1.5390000000000001</v>
      </c>
      <c r="M237" s="161">
        <f>VLOOKUP($A237,'Enroll Data as of January 2025'!$A$3:$M$322,8,FALSE)</f>
        <v>0.51600000000000001</v>
      </c>
      <c r="N237" s="161">
        <f>VLOOKUP($A237,'Enroll Data as of January 2025'!$A$3:$M$322,9,FALSE)</f>
        <v>4.0540000000000003</v>
      </c>
      <c r="O237" s="165">
        <f t="shared" si="45"/>
        <v>14.665000000000001</v>
      </c>
      <c r="P237" s="161">
        <f>VLOOKUP($A237,'Enroll Data as of January 2025'!$A$3:$M$322,11,FALSE)</f>
        <v>0.55000000000000004</v>
      </c>
      <c r="Q237" s="161">
        <f>VLOOKUP($A237,'Enroll Data as of January 2025'!$A$3:$M$322,12,FALSE)</f>
        <v>0.35699999999999998</v>
      </c>
      <c r="R237" s="165">
        <f t="shared" si="46"/>
        <v>0.90700000000000003</v>
      </c>
      <c r="S237" s="267">
        <f>IFERROR(VLOOKUP($A237,Supp_39,14,FALSE),0)+IFERROR(SUMPRODUCT(VLOOKUP($A237,S275_01,{14,15,16},FALSE)),0)+IFERROR(SUMPRODUCT(VLOOKUP($A237,S275_97,{14,15,16},FALSE)),0)+IFERROR(ROUND(VLOOKUP($A237,S275_21,14,FALSE)*VLOOKUP($A237,'3121% SY'!$C$3:$M$324,11,FALSE),3),0)+IFERROR(ROUND(VLOOKUP($A237,S275_21,15,FALSE)*VLOOKUP($A237,'3121% SY'!$C$3:$M$324,11,FALSE),3),0)+IFERROR(ROUND(VLOOKUP($A237,S275_21,16,FALSE)*VLOOKUP($A237,'3121% SY'!$C$3:$M$324,11,FALSE),3),0)+IFERROR(VLOOKUP($A237,S275_09,6,FALSE),0)</f>
        <v>8</v>
      </c>
      <c r="T237" s="267">
        <f>IFERROR(VLOOKUP($A237,Supp_42,14,FALSE),0)+IFERROR(SUMPRODUCT(VLOOKUP($A237,S275_01,{17,18,19},FALSE)),0)+IFERROR(SUMPRODUCT(VLOOKUP($A237,S275_97,{17,18,19},FALSE)),0)+IFERROR(ROUND(VLOOKUP($A237,S275_21,17,FALSE)*VLOOKUP($A237,'3121% SY'!$C$3:$M$324,11,FALSE),3),0)+IFERROR(ROUND(VLOOKUP($A237,S275_21,18,FALSE)*VLOOKUP($A237,'3121% SY'!$C$3:$M$324,11,FALSE),3),0)+IFERROR(ROUND(VLOOKUP($A237,S275_21,19,FALSE)*VLOOKUP($A237,'3121% SY'!$C$3:$M$324,11,FALSE),3),0)+IFERROR(VLOOKUP($A237,S275_09,7,FALSE),0)</f>
        <v>1.5</v>
      </c>
      <c r="U237" s="267">
        <f>IFERROR(VLOOKUP($A237,Supp_43,14,FALSE),0)+IFERROR(SUMPRODUCT(VLOOKUP($A237,S275_01,{20,21,22},FALSE)),0)+IFERROR(SUMPRODUCT(VLOOKUP($A237,S275_97,{20,21,22},FALSE)),0)+IFERROR(ROUND(VLOOKUP($A237,S275_21,20,FALSE)*VLOOKUP($A237,'3121% SY'!$C$3:$M$324,11,FALSE),3),0)+IFERROR(ROUND(VLOOKUP($A237,S275_21,21,FALSE)*VLOOKUP($A237,'3121% SY'!$C$3:$M$324,11,FALSE),3),0)+IFERROR(ROUND(VLOOKUP($A237,S275_21,22,FALSE)*VLOOKUP($A237,'3121% SY'!$C$3:$M$324,11,FALSE),3),0)+IFERROR(VLOOKUP($A237,S275_09,8,FALSE),0)</f>
        <v>0.54200000000000004</v>
      </c>
      <c r="V237" s="267">
        <f>IFERROR(VLOOKUP($A237,Supp_44,14,FALSE),0)+IFERROR(SUMPRODUCT(VLOOKUP($A237,S275_01,{23,24,25},FALSE)),0)+IFERROR(SUMPRODUCT(VLOOKUP($A237,S275_97,{23,24,25},FALSE)),0)+IFERROR(ROUND(VLOOKUP($A237,S275_21,23,FALSE)*VLOOKUP($A237,'3121% SY'!$C$3:$M$324,11,FALSE),3),0)+IFERROR(ROUND(VLOOKUP($A237,S275_21,24,FALSE)*VLOOKUP($A237,'3121% SY'!$C$3:$M$324,11,FALSE),3),0)+IFERROR(ROUND(VLOOKUP($A237,S275_21,25,FALSE)*VLOOKUP($A237,'3121% SY'!$C$3:$M$324,11,FALSE),3),0)+IFERROR(VLOOKUP($A237,S275_09,9,FALSE),0)</f>
        <v>0</v>
      </c>
      <c r="W237" s="267">
        <f>IFERROR(VLOOKUP($A237,Supp_45,14,FALSE),0)+IFERROR(SUMPRODUCT(VLOOKUP($A237,S275_01,{26,27,28},FALSE)),0)+IFERROR(SUMPRODUCT(VLOOKUP($A237,S275_97,{26,27,28},FALSE)),0)+IFERROR(ROUND(VLOOKUP($A237,S275_21,26,FALSE)*VLOOKUP($A237,'3121% SY'!$C$3:$M$324,11,FALSE),3),0)+IFERROR(ROUND(VLOOKUP($A237,S275_21,27,FALSE)*VLOOKUP($A237,'3121% SY'!$C$3:$M$324,11,FALSE),3),0)+IFERROR(ROUND(VLOOKUP($A237,S275_21,28,FALSE)*VLOOKUP($A237,'3121% SY'!$C$3:$M$324,11,FALSE),3),0)+IFERROR(VLOOKUP($A237,S275_09,10,FALSE),0)</f>
        <v>0.378</v>
      </c>
      <c r="X237" s="267">
        <f>IFERROR(VLOOKUP($A237,Supp_46,14,FALSE),0)+IFERROR(SUMPRODUCT(VLOOKUP($A237,S275_01,{29,30,31},FALSE)),0)+IFERROR(SUMPRODUCT(VLOOKUP($A237,S275_97,{29,30,31},FALSE)),0)+IFERROR(ROUND(VLOOKUP($A237,S275_21,29,FALSE)*VLOOKUP($A237,'3121% SY'!$C$3:$M$324,11,FALSE),3),0)+IFERROR(ROUND(VLOOKUP($A237,S275_21,30,FALSE)*VLOOKUP($A237,'3121% SY'!$C$3:$M$324,11,FALSE),3),0)+IFERROR(ROUND(VLOOKUP($A237,S275_21,31,FALSE)*VLOOKUP($A237,'3121% SY'!$C$3:$M$324,11,FALSE),3),0)+IFERROR(VLOOKUP($A237,S275_09,11,FALSE),0)</f>
        <v>0.27100000000000002</v>
      </c>
      <c r="Y237" s="267">
        <f>IFERROR(VLOOKUP($A237,Supp_47,14,FALSE),0)+IFERROR(SUMPRODUCT(VLOOKUP($A237,S275_01,{32,33,34},FALSE)),0)+IFERROR(SUMPRODUCT(VLOOKUP($A237,S275_97,{32,33,34},FALSE)),0)+IFERROR(ROUND(VLOOKUP($A237,S275_21,32,FALSE)*VLOOKUP($A237,'3121% SY'!$C$3:$M$324,11,FALSE),3),0)+IFERROR(ROUND(VLOOKUP($A237,S275_21,33,FALSE)*VLOOKUP($A237,'3121% SY'!$C$3:$M$324,11,FALSE),3),0)+IFERROR(ROUND(VLOOKUP($A237,S275_21,34,FALSE)*VLOOKUP($A237,'3121% SY'!$C$3:$M$324,11,FALSE),3),0)+IFERROR(VLOOKUP($A237,S275_09,12,FALSE),0)</f>
        <v>0</v>
      </c>
      <c r="Z237" s="267">
        <f>IFERROR(VLOOKUP($A237,Supp_48,14,FALSE),0)+IFERROR(SUMPRODUCT(VLOOKUP($A237,S275_01,{35,36,37},FALSE)),0)+IFERROR(SUMPRODUCT(VLOOKUP($A237,S275_97,{35,36,37},FALSE)),0)+IFERROR(ROUND(VLOOKUP($A237,S275_21,35,FALSE)*VLOOKUP($A237,'3121% SY'!$C$3:$M$324,11,FALSE),3),0)+IFERROR(ROUND(VLOOKUP($A237,S275_21,36,FALSE)*VLOOKUP($A237,'3121% SY'!$C$3:$M$324,11,FALSE),3),0)+IFERROR(ROUND(VLOOKUP($A237,S275_21,37,FALSE)*VLOOKUP($A237,'3121% SY'!$C$3:$M$324,11,FALSE),3),0)+IFERROR(VLOOKUP($A237,S275_09,13,FALSE),0)</f>
        <v>0.216</v>
      </c>
      <c r="AA237" s="267">
        <f>IFERROR(VLOOKUP($A237,Supp_49,14,FALSE),0)+IFERROR(SUMPRODUCT(VLOOKUP($A237,S275_01,{38,39,40},FALSE)),0)+IFERROR(SUMPRODUCT(VLOOKUP($A237,S275_97,{38,39,40},FALSE)),0)+IFERROR(ROUND(VLOOKUP($A237,S275_21,38,FALSE)*VLOOKUP($A237,'3121% SY'!$C$3:$M$324,11,FALSE),3),0)+IFERROR(ROUND(VLOOKUP($A237,S275_21,39,FALSE)*VLOOKUP($A237,'3121% SY'!$C$3:$M$324,11,FALSE),3),0)+IFERROR(ROUND(VLOOKUP($A237,S275_21,40,FALSE)*VLOOKUP($A237,'3121% SY'!$C$3:$M$324,11,FALSE),3),0)+IFERROR(VLOOKUP($A237,S275_09,14,FALSE),0)</f>
        <v>0.27099999999999996</v>
      </c>
      <c r="AB237" s="267">
        <f>IFERROR(VLOOKUP($A237,Supp_64,14,FALSE),0)+IFERROR(SUMPRODUCT(VLOOKUP($A237,S275_01,{41,42,43},FALSE)),0)+IFERROR(SUMPRODUCT(VLOOKUP($A237,S275_97,{41,42,43},FALSE)),0)+IFERROR(ROUND(VLOOKUP($A237,S275_21,41,FALSE)*VLOOKUP($A237,'3121% SY'!$C$3:$M$324,11,FALSE),3),0)+IFERROR(ROUND(VLOOKUP($A237,S275_21,42,FALSE)*VLOOKUP($A237,'3121% SY'!$C$3:$M$324,11,FALSE),3),0)+IFERROR(ROUND(VLOOKUP($A237,S275_21,43,FALSE)*VLOOKUP($A237,'3121% SY'!$C$3:$M$324,11,FALSE),3),0)+IFERROR(VLOOKUP($A237,S275_09,15,FALSE),0)</f>
        <v>0</v>
      </c>
      <c r="AC237" s="268">
        <f t="shared" si="47"/>
        <v>11.178000000000001</v>
      </c>
      <c r="AD237" s="267">
        <f>IFERROR(VLOOKUP($A237,Supp_24,14,FALSE),0)+IFERROR(SUMPRODUCT(VLOOKUP($A237,S275_01,{2,3,4},FALSE)),0)+IFERROR(SUMPRODUCT(VLOOKUP($A237,S275_97,{2,3,4},FALSE)),0)+IFERROR(ROUND(VLOOKUP($A237,S275_21,2,FALSE)*VLOOKUP($A237,'3121% SY'!$C$3:$M$324,11,FALSE),3),0)+IFERROR(ROUND(VLOOKUP($A237,S275_21,3,FALSE)*VLOOKUP($A237,'3121% SY'!$C$3:$M$324,11,FALSE),3),0)+IFERROR(ROUND(VLOOKUP($A237,S275_21,4,FALSE)*VLOOKUP($A237,'3121% SY'!$C$3:$M$324,11,FALSE),3),0)+IFERROR(VLOOKUP($A237,S275_09,2,FALSE),0)</f>
        <v>0</v>
      </c>
      <c r="AE237" s="267">
        <f>IFERROR(VLOOKUP($A237,Supp_25,14,FALSE),0)+IFERROR(SUMPRODUCT(VLOOKUP($A237,S275_01,{5,6,7},FALSE)),0)+IFERROR(SUMPRODUCT(VLOOKUP($A237,S275_97,{5,6,7},FALSE)),0)+IFERROR(ROUND(VLOOKUP($A237,S275_21,5,FALSE)*VLOOKUP($A237,'3121% SY'!$C$3:$M$324,11,FALSE),3),0)+IFERROR(ROUND(VLOOKUP($A237,S275_21,6,FALSE)*VLOOKUP($A237,'3121% SY'!$C$3:$M$324,11,FALSE),3),0)+IFERROR(ROUND(VLOOKUP($A237,S275_21,7,FALSE)*VLOOKUP($A237,'3121% SY'!$C$3:$M$324,11,FALSE),3),0)+IFERROR(VLOOKUP($A237,S275_09,3,FALSE),0)</f>
        <v>1.6259999999999999</v>
      </c>
      <c r="AF237" s="267">
        <f>IFERROR(VLOOKUP($A237,Supp_26,14,FALSE),0)+IFERROR(SUMPRODUCT(VLOOKUP($A237,S275_01,{8,9,10},FALSE)),0)+IFERROR(SUMPRODUCT(VLOOKUP($A237,S275_97,{8,9,10},FALSE)),0)+IFERROR(ROUND(VLOOKUP($A237,S275_21,8,FALSE)*VLOOKUP($A237,'3121% SY'!$C$3:$M$324,11,FALSE),3),0)+IFERROR(ROUND(VLOOKUP($A237,S275_21,9,FALSE)*VLOOKUP($A237,'3121% SY'!$C$3:$M$324,11,FALSE),3),0)+IFERROR(ROUND(VLOOKUP($A237,S275_21,10,FALSE)*VLOOKUP($A237,'3121% SY'!$C$3:$M$324,11,FALSE),3),0)+IFERROR(VLOOKUP($A237,S275_09,4,FALSE),0)</f>
        <v>6.0139999999999993</v>
      </c>
      <c r="AG237" s="267">
        <f>IFERROR(VLOOKUP($A237,Supp_35,14,FALSE),0)+IFERROR(SUMPRODUCT(VLOOKUP($A237,S275_01,{11,12,13},FALSE)),0)+IFERROR(SUMPRODUCT(VLOOKUP($A237,S275_97,{11,12,13},FALSE)),0)+IFERROR(ROUND(VLOOKUP($A237,S275_21,11,FALSE)*VLOOKUP($A237,'3121% SY'!$C$3:$M$324,11,FALSE),3),0)+IFERROR(ROUND(VLOOKUP($A237,S275_21,12,FALSE)*VLOOKUP($A237,'3121% SY'!$C$3:$M$324,11,FALSE),3),0)+IFERROR(ROUND(VLOOKUP($A237,S275_21,13,FALSE)*VLOOKUP($A237,'3121% SY'!$C$3:$M$324,11,FALSE),3),0)+IFERROR(VLOOKUP($A237,S275_09,5,FALSE),0)</f>
        <v>0</v>
      </c>
      <c r="AH237" s="165">
        <f t="shared" si="48"/>
        <v>7.6399999999999988</v>
      </c>
      <c r="AI237" s="161">
        <f>IFERROR(VLOOKUP(A237,'Supp Staff Data'!A:ER,148,FALSE),0)+AB237</f>
        <v>0</v>
      </c>
      <c r="AJ237" s="174">
        <v>0</v>
      </c>
      <c r="AK237" s="25">
        <f>VLOOKUP(A237,'Enroll Data as of January 2025'!$A$3:$T$323,20,FALSE)-F237</f>
        <v>0</v>
      </c>
    </row>
    <row r="238" spans="1:37" x14ac:dyDescent="0.25">
      <c r="A238" s="171" t="s">
        <v>163</v>
      </c>
      <c r="B238" t="s">
        <v>459</v>
      </c>
      <c r="C238" s="173" t="s">
        <v>1077</v>
      </c>
      <c r="D238" s="259">
        <f t="shared" si="40"/>
        <v>4.0220000000000002</v>
      </c>
      <c r="E238" s="259">
        <f t="shared" si="41"/>
        <v>4.1400000000000006</v>
      </c>
      <c r="F238" s="262">
        <f t="shared" si="49"/>
        <v>0.11799999999999999</v>
      </c>
      <c r="G238" s="161">
        <f>ROUND(IF(F238&lt;0,F238*'2024-25 PSES Compliance'!$G$13,0),3)</f>
        <v>0</v>
      </c>
      <c r="H238" s="161">
        <f>ROUND(IF(F238&lt;0,F238*'2024-25 PSES Compliance'!$G$14,0),3)</f>
        <v>0</v>
      </c>
      <c r="I238" s="174">
        <f t="shared" si="43"/>
        <v>0.90555555555555545</v>
      </c>
      <c r="J238" s="174">
        <f t="shared" si="44"/>
        <v>1.28743961352657</v>
      </c>
      <c r="K238" s="161">
        <f>VLOOKUP($A238,'Enroll Data as of January 2025'!$A$3:$M$322,6,FALSE)</f>
        <v>2.0150000000000001</v>
      </c>
      <c r="L238" s="161">
        <f>VLOOKUP($A238,'Enroll Data as of January 2025'!$A$3:$M$322,7,FALSE)</f>
        <v>0.45999999999999996</v>
      </c>
      <c r="M238" s="161">
        <f>VLOOKUP($A238,'Enroll Data as of January 2025'!$A$3:$M$322,8,FALSE)</f>
        <v>0.151</v>
      </c>
      <c r="N238" s="161">
        <f>VLOOKUP($A238,'Enroll Data as of January 2025'!$A$3:$M$322,9,FALSE)</f>
        <v>1.1400000000000001</v>
      </c>
      <c r="O238" s="165">
        <f t="shared" si="45"/>
        <v>3.766</v>
      </c>
      <c r="P238" s="161">
        <f>VLOOKUP($A238,'Enroll Data as of January 2025'!$A$3:$M$322,11,FALSE)</f>
        <v>0.14300000000000002</v>
      </c>
      <c r="Q238" s="161">
        <f>VLOOKUP($A238,'Enroll Data as of January 2025'!$A$3:$M$322,12,FALSE)</f>
        <v>0.113</v>
      </c>
      <c r="R238" s="165">
        <f t="shared" si="46"/>
        <v>0.25600000000000001</v>
      </c>
      <c r="S238" s="267">
        <f>IFERROR(VLOOKUP($A238,Supp_39,14,FALSE),0)+IFERROR(SUMPRODUCT(VLOOKUP($A238,S275_01,{14,15,16},FALSE)),0)+IFERROR(SUMPRODUCT(VLOOKUP($A238,S275_97,{14,15,16},FALSE)),0)+IFERROR(ROUND(VLOOKUP($A238,S275_21,14,FALSE)*VLOOKUP($A238,'3121% SY'!$C$3:$M$324,11,FALSE),3),0)+IFERROR(ROUND(VLOOKUP($A238,S275_21,15,FALSE)*VLOOKUP($A238,'3121% SY'!$C$3:$M$324,11,FALSE),3),0)+IFERROR(ROUND(VLOOKUP($A238,S275_21,16,FALSE)*VLOOKUP($A238,'3121% SY'!$C$3:$M$324,11,FALSE),3),0)+IFERROR(VLOOKUP($A238,S275_09,6,FALSE),0)</f>
        <v>1.34</v>
      </c>
      <c r="T238" s="267">
        <f>IFERROR(VLOOKUP($A238,Supp_42,14,FALSE),0)+IFERROR(SUMPRODUCT(VLOOKUP($A238,S275_01,{17,18,19},FALSE)),0)+IFERROR(SUMPRODUCT(VLOOKUP($A238,S275_97,{17,18,19},FALSE)),0)+IFERROR(ROUND(VLOOKUP($A238,S275_21,17,FALSE)*VLOOKUP($A238,'3121% SY'!$C$3:$M$324,11,FALSE),3),0)+IFERROR(ROUND(VLOOKUP($A238,S275_21,18,FALSE)*VLOOKUP($A238,'3121% SY'!$C$3:$M$324,11,FALSE),3),0)+IFERROR(ROUND(VLOOKUP($A238,S275_21,19,FALSE)*VLOOKUP($A238,'3121% SY'!$C$3:$M$324,11,FALSE),3),0)+IFERROR(VLOOKUP($A238,S275_09,7,FALSE),0)</f>
        <v>0.66</v>
      </c>
      <c r="U238" s="267">
        <f>IFERROR(VLOOKUP($A238,Supp_43,14,FALSE),0)+IFERROR(SUMPRODUCT(VLOOKUP($A238,S275_01,{20,21,22},FALSE)),0)+IFERROR(SUMPRODUCT(VLOOKUP($A238,S275_97,{20,21,22},FALSE)),0)+IFERROR(ROUND(VLOOKUP($A238,S275_21,20,FALSE)*VLOOKUP($A238,'3121% SY'!$C$3:$M$324,11,FALSE),3),0)+IFERROR(ROUND(VLOOKUP($A238,S275_21,21,FALSE)*VLOOKUP($A238,'3121% SY'!$C$3:$M$324,11,FALSE),3),0)+IFERROR(ROUND(VLOOKUP($A238,S275_21,22,FALSE)*VLOOKUP($A238,'3121% SY'!$C$3:$M$324,11,FALSE),3),0)+IFERROR(VLOOKUP($A238,S275_09,8,FALSE),0)</f>
        <v>0.21000000000000002</v>
      </c>
      <c r="V238" s="267">
        <f>IFERROR(VLOOKUP($A238,Supp_44,14,FALSE),0)+IFERROR(SUMPRODUCT(VLOOKUP($A238,S275_01,{23,24,25},FALSE)),0)+IFERROR(SUMPRODUCT(VLOOKUP($A238,S275_97,{23,24,25},FALSE)),0)+IFERROR(ROUND(VLOOKUP($A238,S275_21,23,FALSE)*VLOOKUP($A238,'3121% SY'!$C$3:$M$324,11,FALSE),3),0)+IFERROR(ROUND(VLOOKUP($A238,S275_21,24,FALSE)*VLOOKUP($A238,'3121% SY'!$C$3:$M$324,11,FALSE),3),0)+IFERROR(ROUND(VLOOKUP($A238,S275_21,25,FALSE)*VLOOKUP($A238,'3121% SY'!$C$3:$M$324,11,FALSE),3),0)+IFERROR(VLOOKUP($A238,S275_09,9,FALSE),0)</f>
        <v>0</v>
      </c>
      <c r="W238" s="267">
        <f>IFERROR(VLOOKUP($A238,Supp_45,14,FALSE),0)+IFERROR(SUMPRODUCT(VLOOKUP($A238,S275_01,{26,27,28},FALSE)),0)+IFERROR(SUMPRODUCT(VLOOKUP($A238,S275_97,{26,27,28},FALSE)),0)+IFERROR(ROUND(VLOOKUP($A238,S275_21,26,FALSE)*VLOOKUP($A238,'3121% SY'!$C$3:$M$324,11,FALSE),3),0)+IFERROR(ROUND(VLOOKUP($A238,S275_21,27,FALSE)*VLOOKUP($A238,'3121% SY'!$C$3:$M$324,11,FALSE),3),0)+IFERROR(ROUND(VLOOKUP($A238,S275_21,28,FALSE)*VLOOKUP($A238,'3121% SY'!$C$3:$M$324,11,FALSE),3),0)+IFERROR(VLOOKUP($A238,S275_09,10,FALSE),0)</f>
        <v>0.35699999999999998</v>
      </c>
      <c r="X238" s="267">
        <f>IFERROR(VLOOKUP($A238,Supp_46,14,FALSE),0)+IFERROR(SUMPRODUCT(VLOOKUP($A238,S275_01,{29,30,31},FALSE)),0)+IFERROR(SUMPRODUCT(VLOOKUP($A238,S275_97,{29,30,31},FALSE)),0)+IFERROR(ROUND(VLOOKUP($A238,S275_21,29,FALSE)*VLOOKUP($A238,'3121% SY'!$C$3:$M$324,11,FALSE),3),0)+IFERROR(ROUND(VLOOKUP($A238,S275_21,30,FALSE)*VLOOKUP($A238,'3121% SY'!$C$3:$M$324,11,FALSE),3),0)+IFERROR(ROUND(VLOOKUP($A238,S275_21,31,FALSE)*VLOOKUP($A238,'3121% SY'!$C$3:$M$324,11,FALSE),3),0)+IFERROR(VLOOKUP($A238,S275_09,11,FALSE),0)</f>
        <v>0.21000000000000002</v>
      </c>
      <c r="Y238" s="267">
        <f>IFERROR(VLOOKUP($A238,Supp_47,14,FALSE),0)+IFERROR(SUMPRODUCT(VLOOKUP($A238,S275_01,{32,33,34},FALSE)),0)+IFERROR(SUMPRODUCT(VLOOKUP($A238,S275_97,{32,33,34},FALSE)),0)+IFERROR(ROUND(VLOOKUP($A238,S275_21,32,FALSE)*VLOOKUP($A238,'3121% SY'!$C$3:$M$324,11,FALSE),3),0)+IFERROR(ROUND(VLOOKUP($A238,S275_21,33,FALSE)*VLOOKUP($A238,'3121% SY'!$C$3:$M$324,11,FALSE),3),0)+IFERROR(ROUND(VLOOKUP($A238,S275_21,34,FALSE)*VLOOKUP($A238,'3121% SY'!$C$3:$M$324,11,FALSE),3),0)+IFERROR(VLOOKUP($A238,S275_09,12,FALSE),0)</f>
        <v>0.92</v>
      </c>
      <c r="Z238" s="267">
        <f>IFERROR(VLOOKUP($A238,Supp_48,14,FALSE),0)+IFERROR(SUMPRODUCT(VLOOKUP($A238,S275_01,{35,36,37},FALSE)),0)+IFERROR(SUMPRODUCT(VLOOKUP($A238,S275_97,{35,36,37},FALSE)),0)+IFERROR(ROUND(VLOOKUP($A238,S275_21,35,FALSE)*VLOOKUP($A238,'3121% SY'!$C$3:$M$324,11,FALSE),3),0)+IFERROR(ROUND(VLOOKUP($A238,S275_21,36,FALSE)*VLOOKUP($A238,'3121% SY'!$C$3:$M$324,11,FALSE),3),0)+IFERROR(ROUND(VLOOKUP($A238,S275_21,37,FALSE)*VLOOKUP($A238,'3121% SY'!$C$3:$M$324,11,FALSE),3),0)+IFERROR(VLOOKUP($A238,S275_09,13,FALSE),0)</f>
        <v>5.1999999999999998E-2</v>
      </c>
      <c r="AA238" s="267">
        <f>IFERROR(VLOOKUP($A238,Supp_49,14,FALSE),0)+IFERROR(SUMPRODUCT(VLOOKUP($A238,S275_01,{38,39,40},FALSE)),0)+IFERROR(SUMPRODUCT(VLOOKUP($A238,S275_97,{38,39,40},FALSE)),0)+IFERROR(ROUND(VLOOKUP($A238,S275_21,38,FALSE)*VLOOKUP($A238,'3121% SY'!$C$3:$M$324,11,FALSE),3),0)+IFERROR(ROUND(VLOOKUP($A238,S275_21,39,FALSE)*VLOOKUP($A238,'3121% SY'!$C$3:$M$324,11,FALSE),3),0)+IFERROR(ROUND(VLOOKUP($A238,S275_21,40,FALSE)*VLOOKUP($A238,'3121% SY'!$C$3:$M$324,11,FALSE),3),0)+IFERROR(VLOOKUP($A238,S275_09,14,FALSE),0)</f>
        <v>0</v>
      </c>
      <c r="AB238" s="267">
        <f>IFERROR(VLOOKUP($A238,Supp_64,14,FALSE),0)+IFERROR(SUMPRODUCT(VLOOKUP($A238,S275_01,{41,42,43},FALSE)),0)+IFERROR(SUMPRODUCT(VLOOKUP($A238,S275_97,{41,42,43},FALSE)),0)+IFERROR(ROUND(VLOOKUP($A238,S275_21,41,FALSE)*VLOOKUP($A238,'3121% SY'!$C$3:$M$324,11,FALSE),3),0)+IFERROR(ROUND(VLOOKUP($A238,S275_21,42,FALSE)*VLOOKUP($A238,'3121% SY'!$C$3:$M$324,11,FALSE),3),0)+IFERROR(ROUND(VLOOKUP($A238,S275_21,43,FALSE)*VLOOKUP($A238,'3121% SY'!$C$3:$M$324,11,FALSE),3),0)+IFERROR(VLOOKUP($A238,S275_09,15,FALSE),0)</f>
        <v>0</v>
      </c>
      <c r="AC238" s="268">
        <f t="shared" si="47"/>
        <v>3.7490000000000001</v>
      </c>
      <c r="AD238" s="267">
        <f>IFERROR(VLOOKUP($A238,Supp_24,14,FALSE),0)+IFERROR(SUMPRODUCT(VLOOKUP($A238,S275_01,{2,3,4},FALSE)),0)+IFERROR(SUMPRODUCT(VLOOKUP($A238,S275_97,{2,3,4},FALSE)),0)+IFERROR(ROUND(VLOOKUP($A238,S275_21,2,FALSE)*VLOOKUP($A238,'3121% SY'!$C$3:$M$324,11,FALSE),3),0)+IFERROR(ROUND(VLOOKUP($A238,S275_21,3,FALSE)*VLOOKUP($A238,'3121% SY'!$C$3:$M$324,11,FALSE),3),0)+IFERROR(ROUND(VLOOKUP($A238,S275_21,4,FALSE)*VLOOKUP($A238,'3121% SY'!$C$3:$M$324,11,FALSE),3),0)+IFERROR(VLOOKUP($A238,S275_09,2,FALSE),0)</f>
        <v>0</v>
      </c>
      <c r="AE238" s="267">
        <f>IFERROR(VLOOKUP($A238,Supp_25,14,FALSE),0)+IFERROR(SUMPRODUCT(VLOOKUP($A238,S275_01,{5,6,7},FALSE)),0)+IFERROR(SUMPRODUCT(VLOOKUP($A238,S275_97,{5,6,7},FALSE)),0)+IFERROR(ROUND(VLOOKUP($A238,S275_21,5,FALSE)*VLOOKUP($A238,'3121% SY'!$C$3:$M$324,11,FALSE),3),0)+IFERROR(ROUND(VLOOKUP($A238,S275_21,6,FALSE)*VLOOKUP($A238,'3121% SY'!$C$3:$M$324,11,FALSE),3),0)+IFERROR(ROUND(VLOOKUP($A238,S275_21,7,FALSE)*VLOOKUP($A238,'3121% SY'!$C$3:$M$324,11,FALSE),3),0)+IFERROR(VLOOKUP($A238,S275_09,3,FALSE),0)</f>
        <v>0.39100000000000001</v>
      </c>
      <c r="AF238" s="267">
        <f>IFERROR(VLOOKUP($A238,Supp_26,14,FALSE),0)+IFERROR(SUMPRODUCT(VLOOKUP($A238,S275_01,{8,9,10},FALSE)),0)+IFERROR(SUMPRODUCT(VLOOKUP($A238,S275_97,{8,9,10},FALSE)),0)+IFERROR(ROUND(VLOOKUP($A238,S275_21,8,FALSE)*VLOOKUP($A238,'3121% SY'!$C$3:$M$324,11,FALSE),3),0)+IFERROR(ROUND(VLOOKUP($A238,S275_21,9,FALSE)*VLOOKUP($A238,'3121% SY'!$C$3:$M$324,11,FALSE),3),0)+IFERROR(ROUND(VLOOKUP($A238,S275_21,10,FALSE)*VLOOKUP($A238,'3121% SY'!$C$3:$M$324,11,FALSE),3),0)+IFERROR(VLOOKUP($A238,S275_09,4,FALSE),0)</f>
        <v>0</v>
      </c>
      <c r="AG238" s="267">
        <f>IFERROR(VLOOKUP($A238,Supp_35,14,FALSE),0)+IFERROR(SUMPRODUCT(VLOOKUP($A238,S275_01,{11,12,13},FALSE)),0)+IFERROR(SUMPRODUCT(VLOOKUP($A238,S275_97,{11,12,13},FALSE)),0)+IFERROR(ROUND(VLOOKUP($A238,S275_21,11,FALSE)*VLOOKUP($A238,'3121% SY'!$C$3:$M$324,11,FALSE),3),0)+IFERROR(ROUND(VLOOKUP($A238,S275_21,12,FALSE)*VLOOKUP($A238,'3121% SY'!$C$3:$M$324,11,FALSE),3),0)+IFERROR(ROUND(VLOOKUP($A238,S275_21,13,FALSE)*VLOOKUP($A238,'3121% SY'!$C$3:$M$324,11,FALSE),3),0)+IFERROR(VLOOKUP($A238,S275_09,5,FALSE),0)</f>
        <v>0</v>
      </c>
      <c r="AH238" s="165">
        <f t="shared" si="48"/>
        <v>0.39100000000000001</v>
      </c>
      <c r="AI238" s="161">
        <f>IFERROR(VLOOKUP(A238,'Supp Staff Data'!A:ER,148,FALSE),0)+AB238</f>
        <v>5.33</v>
      </c>
      <c r="AJ238" s="174">
        <v>1</v>
      </c>
      <c r="AK238" s="25">
        <f>VLOOKUP(A238,'Enroll Data as of January 2025'!$A$3:$T$323,20,FALSE)-F238</f>
        <v>0</v>
      </c>
    </row>
    <row r="239" spans="1:37" x14ac:dyDescent="0.25">
      <c r="A239" s="171" t="s">
        <v>29</v>
      </c>
      <c r="B239" t="s">
        <v>325</v>
      </c>
      <c r="C239" s="173" t="s">
        <v>1077</v>
      </c>
      <c r="D239" s="259">
        <f t="shared" si="40"/>
        <v>11.645000000000001</v>
      </c>
      <c r="E239" s="259">
        <f t="shared" si="41"/>
        <v>14.750000000000002</v>
      </c>
      <c r="F239" s="262">
        <f t="shared" si="49"/>
        <v>3.105</v>
      </c>
      <c r="G239" s="161">
        <f>ROUND(IF(F239&lt;0,F239*'2024-25 PSES Compliance'!$G$13,0),3)</f>
        <v>0</v>
      </c>
      <c r="H239" s="161">
        <f>ROUND(IF(F239&lt;0,F239*'2024-25 PSES Compliance'!$G$14,0),3)</f>
        <v>0</v>
      </c>
      <c r="I239" s="174">
        <f t="shared" si="43"/>
        <v>0.55498305084745769</v>
      </c>
      <c r="J239" s="174">
        <f t="shared" si="44"/>
        <v>0</v>
      </c>
      <c r="K239" s="161">
        <f>VLOOKUP($A239,'Enroll Data as of January 2025'!$A$3:$M$322,6,FALSE)</f>
        <v>6.5600000000000005</v>
      </c>
      <c r="L239" s="161">
        <f>VLOOKUP($A239,'Enroll Data as of January 2025'!$A$3:$M$322,7,FALSE)</f>
        <v>1.0740000000000001</v>
      </c>
      <c r="M239" s="161">
        <f>VLOOKUP($A239,'Enroll Data as of January 2025'!$A$3:$M$322,8,FALSE)</f>
        <v>0.36</v>
      </c>
      <c r="N239" s="161">
        <f>VLOOKUP($A239,'Enroll Data as of January 2025'!$A$3:$M$322,9,FALSE)</f>
        <v>3.0000000000000004</v>
      </c>
      <c r="O239" s="165">
        <f t="shared" si="45"/>
        <v>10.994000000000002</v>
      </c>
      <c r="P239" s="161">
        <f>VLOOKUP($A239,'Enroll Data as of January 2025'!$A$3:$M$322,11,FALSE)</f>
        <v>0.41000000000000003</v>
      </c>
      <c r="Q239" s="161">
        <f>VLOOKUP($A239,'Enroll Data as of January 2025'!$A$3:$M$322,12,FALSE)</f>
        <v>0.24099999999999999</v>
      </c>
      <c r="R239" s="165">
        <f t="shared" si="46"/>
        <v>0.65100000000000002</v>
      </c>
      <c r="S239" s="267">
        <f>IFERROR(VLOOKUP($A239,Supp_39,14,FALSE),0)+IFERROR(SUMPRODUCT(VLOOKUP($A239,S275_01,{14,15,16},FALSE)),0)+IFERROR(SUMPRODUCT(VLOOKUP($A239,S275_97,{14,15,16},FALSE)),0)+IFERROR(ROUND(VLOOKUP($A239,S275_21,14,FALSE)*VLOOKUP($A239,'3121% SY'!$C$3:$M$324,11,FALSE),3),0)+IFERROR(ROUND(VLOOKUP($A239,S275_21,15,FALSE)*VLOOKUP($A239,'3121% SY'!$C$3:$M$324,11,FALSE),3),0)+IFERROR(ROUND(VLOOKUP($A239,S275_21,16,FALSE)*VLOOKUP($A239,'3121% SY'!$C$3:$M$324,11,FALSE),3),0)+IFERROR(VLOOKUP($A239,S275_09,6,FALSE),0)</f>
        <v>6.2629999999999999</v>
      </c>
      <c r="T239" s="267">
        <f>IFERROR(VLOOKUP($A239,Supp_42,14,FALSE),0)+IFERROR(SUMPRODUCT(VLOOKUP($A239,S275_01,{17,18,19},FALSE)),0)+IFERROR(SUMPRODUCT(VLOOKUP($A239,S275_97,{17,18,19},FALSE)),0)+IFERROR(ROUND(VLOOKUP($A239,S275_21,17,FALSE)*VLOOKUP($A239,'3121% SY'!$C$3:$M$324,11,FALSE),3),0)+IFERROR(ROUND(VLOOKUP($A239,S275_21,18,FALSE)*VLOOKUP($A239,'3121% SY'!$C$3:$M$324,11,FALSE),3),0)+IFERROR(ROUND(VLOOKUP($A239,S275_21,19,FALSE)*VLOOKUP($A239,'3121% SY'!$C$3:$M$324,11,FALSE),3),0)+IFERROR(VLOOKUP($A239,S275_09,7,FALSE),0)</f>
        <v>1.7000000000000001E-2</v>
      </c>
      <c r="U239" s="267">
        <f>IFERROR(VLOOKUP($A239,Supp_43,14,FALSE),0)+IFERROR(SUMPRODUCT(VLOOKUP($A239,S275_01,{20,21,22},FALSE)),0)+IFERROR(SUMPRODUCT(VLOOKUP($A239,S275_97,{20,21,22},FALSE)),0)+IFERROR(ROUND(VLOOKUP($A239,S275_21,20,FALSE)*VLOOKUP($A239,'3121% SY'!$C$3:$M$324,11,FALSE),3),0)+IFERROR(ROUND(VLOOKUP($A239,S275_21,21,FALSE)*VLOOKUP($A239,'3121% SY'!$C$3:$M$324,11,FALSE),3),0)+IFERROR(ROUND(VLOOKUP($A239,S275_21,22,FALSE)*VLOOKUP($A239,'3121% SY'!$C$3:$M$324,11,FALSE),3),0)+IFERROR(VLOOKUP($A239,S275_09,8,FALSE),0)</f>
        <v>0</v>
      </c>
      <c r="V239" s="267">
        <f>IFERROR(VLOOKUP($A239,Supp_44,14,FALSE),0)+IFERROR(SUMPRODUCT(VLOOKUP($A239,S275_01,{23,24,25},FALSE)),0)+IFERROR(SUMPRODUCT(VLOOKUP($A239,S275_97,{23,24,25},FALSE)),0)+IFERROR(ROUND(VLOOKUP($A239,S275_21,23,FALSE)*VLOOKUP($A239,'3121% SY'!$C$3:$M$324,11,FALSE),3),0)+IFERROR(ROUND(VLOOKUP($A239,S275_21,24,FALSE)*VLOOKUP($A239,'3121% SY'!$C$3:$M$324,11,FALSE),3),0)+IFERROR(ROUND(VLOOKUP($A239,S275_21,25,FALSE)*VLOOKUP($A239,'3121% SY'!$C$3:$M$324,11,FALSE),3),0)+IFERROR(VLOOKUP($A239,S275_09,9,FALSE),0)</f>
        <v>0</v>
      </c>
      <c r="W239" s="267">
        <f>IFERROR(VLOOKUP($A239,Supp_45,14,FALSE),0)+IFERROR(SUMPRODUCT(VLOOKUP($A239,S275_01,{26,27,28},FALSE)),0)+IFERROR(SUMPRODUCT(VLOOKUP($A239,S275_97,{26,27,28},FALSE)),0)+IFERROR(ROUND(VLOOKUP($A239,S275_21,26,FALSE)*VLOOKUP($A239,'3121% SY'!$C$3:$M$324,11,FALSE),3),0)+IFERROR(ROUND(VLOOKUP($A239,S275_21,27,FALSE)*VLOOKUP($A239,'3121% SY'!$C$3:$M$324,11,FALSE),3),0)+IFERROR(ROUND(VLOOKUP($A239,S275_21,28,FALSE)*VLOOKUP($A239,'3121% SY'!$C$3:$M$324,11,FALSE),3),0)+IFERROR(VLOOKUP($A239,S275_09,10,FALSE),0)</f>
        <v>0.40200000000000002</v>
      </c>
      <c r="X239" s="267">
        <f>IFERROR(VLOOKUP($A239,Supp_46,14,FALSE),0)+IFERROR(SUMPRODUCT(VLOOKUP($A239,S275_01,{29,30,31},FALSE)),0)+IFERROR(SUMPRODUCT(VLOOKUP($A239,S275_97,{29,30,31},FALSE)),0)+IFERROR(ROUND(VLOOKUP($A239,S275_21,29,FALSE)*VLOOKUP($A239,'3121% SY'!$C$3:$M$324,11,FALSE),3),0)+IFERROR(ROUND(VLOOKUP($A239,S275_21,30,FALSE)*VLOOKUP($A239,'3121% SY'!$C$3:$M$324,11,FALSE),3),0)+IFERROR(ROUND(VLOOKUP($A239,S275_21,31,FALSE)*VLOOKUP($A239,'3121% SY'!$C$3:$M$324,11,FALSE),3),0)+IFERROR(VLOOKUP($A239,S275_09,11,FALSE),0)</f>
        <v>1.333</v>
      </c>
      <c r="Y239" s="267">
        <f>IFERROR(VLOOKUP($A239,Supp_47,14,FALSE),0)+IFERROR(SUMPRODUCT(VLOOKUP($A239,S275_01,{32,33,34},FALSE)),0)+IFERROR(SUMPRODUCT(VLOOKUP($A239,S275_97,{32,33,34},FALSE)),0)+IFERROR(ROUND(VLOOKUP($A239,S275_21,32,FALSE)*VLOOKUP($A239,'3121% SY'!$C$3:$M$324,11,FALSE),3),0)+IFERROR(ROUND(VLOOKUP($A239,S275_21,33,FALSE)*VLOOKUP($A239,'3121% SY'!$C$3:$M$324,11,FALSE),3),0)+IFERROR(ROUND(VLOOKUP($A239,S275_21,34,FALSE)*VLOOKUP($A239,'3121% SY'!$C$3:$M$324,11,FALSE),3),0)+IFERROR(VLOOKUP($A239,S275_09,12,FALSE),0)</f>
        <v>1.7999999999999999E-2</v>
      </c>
      <c r="Z239" s="267">
        <f>IFERROR(VLOOKUP($A239,Supp_48,14,FALSE),0)+IFERROR(SUMPRODUCT(VLOOKUP($A239,S275_01,{35,36,37},FALSE)),0)+IFERROR(SUMPRODUCT(VLOOKUP($A239,S275_97,{35,36,37},FALSE)),0)+IFERROR(ROUND(VLOOKUP($A239,S275_21,35,FALSE)*VLOOKUP($A239,'3121% SY'!$C$3:$M$324,11,FALSE),3),0)+IFERROR(ROUND(VLOOKUP($A239,S275_21,36,FALSE)*VLOOKUP($A239,'3121% SY'!$C$3:$M$324,11,FALSE),3),0)+IFERROR(ROUND(VLOOKUP($A239,S275_21,37,FALSE)*VLOOKUP($A239,'3121% SY'!$C$3:$M$324,11,FALSE),3),0)+IFERROR(VLOOKUP($A239,S275_09,13,FALSE),0)</f>
        <v>0.153</v>
      </c>
      <c r="AA239" s="267">
        <f>IFERROR(VLOOKUP($A239,Supp_49,14,FALSE),0)+IFERROR(SUMPRODUCT(VLOOKUP($A239,S275_01,{38,39,40},FALSE)),0)+IFERROR(SUMPRODUCT(VLOOKUP($A239,S275_97,{38,39,40},FALSE)),0)+IFERROR(ROUND(VLOOKUP($A239,S275_21,38,FALSE)*VLOOKUP($A239,'3121% SY'!$C$3:$M$324,11,FALSE),3),0)+IFERROR(ROUND(VLOOKUP($A239,S275_21,39,FALSE)*VLOOKUP($A239,'3121% SY'!$C$3:$M$324,11,FALSE),3),0)+IFERROR(ROUND(VLOOKUP($A239,S275_21,40,FALSE)*VLOOKUP($A239,'3121% SY'!$C$3:$M$324,11,FALSE),3),0)+IFERROR(VLOOKUP($A239,S275_09,14,FALSE),0)</f>
        <v>0</v>
      </c>
      <c r="AB239" s="267">
        <f>IFERROR(VLOOKUP($A239,Supp_64,14,FALSE),0)+IFERROR(SUMPRODUCT(VLOOKUP($A239,S275_01,{41,42,43},FALSE)),0)+IFERROR(SUMPRODUCT(VLOOKUP($A239,S275_97,{41,42,43},FALSE)),0)+IFERROR(ROUND(VLOOKUP($A239,S275_21,41,FALSE)*VLOOKUP($A239,'3121% SY'!$C$3:$M$324,11,FALSE),3),0)+IFERROR(ROUND(VLOOKUP($A239,S275_21,42,FALSE)*VLOOKUP($A239,'3121% SY'!$C$3:$M$324,11,FALSE),3),0)+IFERROR(ROUND(VLOOKUP($A239,S275_21,43,FALSE)*VLOOKUP($A239,'3121% SY'!$C$3:$M$324,11,FALSE),3),0)+IFERROR(VLOOKUP($A239,S275_09,15,FALSE),0)</f>
        <v>0</v>
      </c>
      <c r="AC239" s="268">
        <f t="shared" si="47"/>
        <v>8.1860000000000017</v>
      </c>
      <c r="AD239" s="267">
        <f>IFERROR(VLOOKUP($A239,Supp_24,14,FALSE),0)+IFERROR(SUMPRODUCT(VLOOKUP($A239,S275_01,{2,3,4},FALSE)),0)+IFERROR(SUMPRODUCT(VLOOKUP($A239,S275_97,{2,3,4},FALSE)),0)+IFERROR(ROUND(VLOOKUP($A239,S275_21,2,FALSE)*VLOOKUP($A239,'3121% SY'!$C$3:$M$324,11,FALSE),3),0)+IFERROR(ROUND(VLOOKUP($A239,S275_21,3,FALSE)*VLOOKUP($A239,'3121% SY'!$C$3:$M$324,11,FALSE),3),0)+IFERROR(ROUND(VLOOKUP($A239,S275_21,4,FALSE)*VLOOKUP($A239,'3121% SY'!$C$3:$M$324,11,FALSE),3),0)+IFERROR(VLOOKUP($A239,S275_09,2,FALSE),0)</f>
        <v>0</v>
      </c>
      <c r="AE239" s="267">
        <f>IFERROR(VLOOKUP($A239,Supp_25,14,FALSE),0)+IFERROR(SUMPRODUCT(VLOOKUP($A239,S275_01,{5,6,7},FALSE)),0)+IFERROR(SUMPRODUCT(VLOOKUP($A239,S275_97,{5,6,7},FALSE)),0)+IFERROR(ROUND(VLOOKUP($A239,S275_21,5,FALSE)*VLOOKUP($A239,'3121% SY'!$C$3:$M$324,11,FALSE),3),0)+IFERROR(ROUND(VLOOKUP($A239,S275_21,6,FALSE)*VLOOKUP($A239,'3121% SY'!$C$3:$M$324,11,FALSE),3),0)+IFERROR(ROUND(VLOOKUP($A239,S275_21,7,FALSE)*VLOOKUP($A239,'3121% SY'!$C$3:$M$324,11,FALSE),3),0)+IFERROR(VLOOKUP($A239,S275_09,3,FALSE),0)</f>
        <v>3.5779999999999998</v>
      </c>
      <c r="AF239" s="267">
        <f>IFERROR(VLOOKUP($A239,Supp_26,14,FALSE),0)+IFERROR(SUMPRODUCT(VLOOKUP($A239,S275_01,{8,9,10},FALSE)),0)+IFERROR(SUMPRODUCT(VLOOKUP($A239,S275_97,{8,9,10},FALSE)),0)+IFERROR(ROUND(VLOOKUP($A239,S275_21,8,FALSE)*VLOOKUP($A239,'3121% SY'!$C$3:$M$324,11,FALSE),3),0)+IFERROR(ROUND(VLOOKUP($A239,S275_21,9,FALSE)*VLOOKUP($A239,'3121% SY'!$C$3:$M$324,11,FALSE),3),0)+IFERROR(ROUND(VLOOKUP($A239,S275_21,10,FALSE)*VLOOKUP($A239,'3121% SY'!$C$3:$M$324,11,FALSE),3),0)+IFERROR(VLOOKUP($A239,S275_09,4,FALSE),0)</f>
        <v>2.9860000000000002</v>
      </c>
      <c r="AG239" s="267">
        <f>IFERROR(VLOOKUP($A239,Supp_35,14,FALSE),0)+IFERROR(SUMPRODUCT(VLOOKUP($A239,S275_01,{11,12,13},FALSE)),0)+IFERROR(SUMPRODUCT(VLOOKUP($A239,S275_97,{11,12,13},FALSE)),0)+IFERROR(ROUND(VLOOKUP($A239,S275_21,11,FALSE)*VLOOKUP($A239,'3121% SY'!$C$3:$M$324,11,FALSE),3),0)+IFERROR(ROUND(VLOOKUP($A239,S275_21,12,FALSE)*VLOOKUP($A239,'3121% SY'!$C$3:$M$324,11,FALSE),3),0)+IFERROR(ROUND(VLOOKUP($A239,S275_21,13,FALSE)*VLOOKUP($A239,'3121% SY'!$C$3:$M$324,11,FALSE),3),0)+IFERROR(VLOOKUP($A239,S275_09,5,FALSE),0)</f>
        <v>0</v>
      </c>
      <c r="AH239" s="165">
        <f t="shared" si="48"/>
        <v>6.5640000000000001</v>
      </c>
      <c r="AI239" s="161">
        <f>IFERROR(VLOOKUP(A239,'Supp Staff Data'!A:ER,148,FALSE),0)+AB239</f>
        <v>0</v>
      </c>
      <c r="AJ239" s="174">
        <v>1</v>
      </c>
      <c r="AK239" s="25">
        <f>VLOOKUP(A239,'Enroll Data as of January 2025'!$A$3:$T$323,20,FALSE)-F239</f>
        <v>0</v>
      </c>
    </row>
    <row r="240" spans="1:37" x14ac:dyDescent="0.25">
      <c r="A240" s="171" t="s">
        <v>40</v>
      </c>
      <c r="B240" t="s">
        <v>336</v>
      </c>
      <c r="C240" s="173" t="s">
        <v>1077</v>
      </c>
      <c r="D240" s="259">
        <f t="shared" si="40"/>
        <v>21.381999999999998</v>
      </c>
      <c r="E240" s="259">
        <f t="shared" si="41"/>
        <v>23.843</v>
      </c>
      <c r="F240" s="262">
        <f t="shared" si="49"/>
        <v>2.4609999999999999</v>
      </c>
      <c r="G240" s="161">
        <f>ROUND(IF(F240&lt;0,F240*'2024-25 PSES Compliance'!$G$13,0),3)</f>
        <v>0</v>
      </c>
      <c r="H240" s="161">
        <f>ROUND(IF(F240&lt;0,F240*'2024-25 PSES Compliance'!$G$14,0),3)</f>
        <v>0</v>
      </c>
      <c r="I240" s="174">
        <f t="shared" si="43"/>
        <v>0.44308922954326224</v>
      </c>
      <c r="J240" s="174">
        <f t="shared" si="44"/>
        <v>0.12582309273161935</v>
      </c>
      <c r="K240" s="161">
        <f>VLOOKUP($A240,'Enroll Data as of January 2025'!$A$3:$M$322,6,FALSE)</f>
        <v>12.122999999999999</v>
      </c>
      <c r="L240" s="161">
        <f>VLOOKUP($A240,'Enroll Data as of January 2025'!$A$3:$M$322,7,FALSE)</f>
        <v>1.9260000000000002</v>
      </c>
      <c r="M240" s="161">
        <f>VLOOKUP($A240,'Enroll Data as of January 2025'!$A$3:$M$322,8,FALSE)</f>
        <v>0.64600000000000002</v>
      </c>
      <c r="N240" s="161">
        <f>VLOOKUP($A240,'Enroll Data as of January 2025'!$A$3:$M$322,9,FALSE)</f>
        <v>5.508</v>
      </c>
      <c r="O240" s="165">
        <f t="shared" si="45"/>
        <v>20.202999999999999</v>
      </c>
      <c r="P240" s="161">
        <f>VLOOKUP($A240,'Enroll Data as of January 2025'!$A$3:$M$322,11,FALSE)</f>
        <v>0.75099999999999989</v>
      </c>
      <c r="Q240" s="161">
        <f>VLOOKUP($A240,'Enroll Data as of January 2025'!$A$3:$M$322,12,FALSE)</f>
        <v>0.42799999999999999</v>
      </c>
      <c r="R240" s="165">
        <f t="shared" si="46"/>
        <v>1.1789999999999998</v>
      </c>
      <c r="S240" s="267">
        <f>IFERROR(VLOOKUP($A240,Supp_39,14,FALSE),0)+IFERROR(SUMPRODUCT(VLOOKUP($A240,S275_01,{14,15,16},FALSE)),0)+IFERROR(SUMPRODUCT(VLOOKUP($A240,S275_97,{14,15,16},FALSE)),0)+IFERROR(ROUND(VLOOKUP($A240,S275_21,14,FALSE)*VLOOKUP($A240,'3121% SY'!$C$3:$M$324,11,FALSE),3),0)+IFERROR(ROUND(VLOOKUP($A240,S275_21,15,FALSE)*VLOOKUP($A240,'3121% SY'!$C$3:$M$324,11,FALSE),3),0)+IFERROR(ROUND(VLOOKUP($A240,S275_21,16,FALSE)*VLOOKUP($A240,'3121% SY'!$C$3:$M$324,11,FALSE),3),0)+IFERROR(VLOOKUP($A240,S275_09,6,FALSE),0)</f>
        <v>8.1539999999999999</v>
      </c>
      <c r="T240" s="267">
        <f>IFERROR(VLOOKUP($A240,Supp_42,14,FALSE),0)+IFERROR(SUMPRODUCT(VLOOKUP($A240,S275_01,{17,18,19},FALSE)),0)+IFERROR(SUMPRODUCT(VLOOKUP($A240,S275_97,{17,18,19},FALSE)),0)+IFERROR(ROUND(VLOOKUP($A240,S275_21,17,FALSE)*VLOOKUP($A240,'3121% SY'!$C$3:$M$324,11,FALSE),3),0)+IFERROR(ROUND(VLOOKUP($A240,S275_21,18,FALSE)*VLOOKUP($A240,'3121% SY'!$C$3:$M$324,11,FALSE),3),0)+IFERROR(ROUND(VLOOKUP($A240,S275_21,19,FALSE)*VLOOKUP($A240,'3121% SY'!$C$3:$M$324,11,FALSE),3),0)+IFERROR(VLOOKUP($A240,S275_09,7,FALSE),0)</f>
        <v>1.4039999999999999</v>
      </c>
      <c r="U240" s="267">
        <f>IFERROR(VLOOKUP($A240,Supp_43,14,FALSE),0)+IFERROR(SUMPRODUCT(VLOOKUP($A240,S275_01,{20,21,22},FALSE)),0)+IFERROR(SUMPRODUCT(VLOOKUP($A240,S275_97,{20,21,22},FALSE)),0)+IFERROR(ROUND(VLOOKUP($A240,S275_21,20,FALSE)*VLOOKUP($A240,'3121% SY'!$C$3:$M$324,11,FALSE),3),0)+IFERROR(ROUND(VLOOKUP($A240,S275_21,21,FALSE)*VLOOKUP($A240,'3121% SY'!$C$3:$M$324,11,FALSE),3),0)+IFERROR(ROUND(VLOOKUP($A240,S275_21,22,FALSE)*VLOOKUP($A240,'3121% SY'!$C$3:$M$324,11,FALSE),3),0)+IFERROR(VLOOKUP($A240,S275_09,8,FALSE),0)</f>
        <v>0.24399999999999999</v>
      </c>
      <c r="V240" s="267">
        <f>IFERROR(VLOOKUP($A240,Supp_44,14,FALSE),0)+IFERROR(SUMPRODUCT(VLOOKUP($A240,S275_01,{23,24,25},FALSE)),0)+IFERROR(SUMPRODUCT(VLOOKUP($A240,S275_97,{23,24,25},FALSE)),0)+IFERROR(ROUND(VLOOKUP($A240,S275_21,23,FALSE)*VLOOKUP($A240,'3121% SY'!$C$3:$M$324,11,FALSE),3),0)+IFERROR(ROUND(VLOOKUP($A240,S275_21,24,FALSE)*VLOOKUP($A240,'3121% SY'!$C$3:$M$324,11,FALSE),3),0)+IFERROR(ROUND(VLOOKUP($A240,S275_21,25,FALSE)*VLOOKUP($A240,'3121% SY'!$C$3:$M$324,11,FALSE),3),0)+IFERROR(VLOOKUP($A240,S275_09,9,FALSE),0)</f>
        <v>0</v>
      </c>
      <c r="W240" s="267">
        <f>IFERROR(VLOOKUP($A240,Supp_45,14,FALSE),0)+IFERROR(SUMPRODUCT(VLOOKUP($A240,S275_01,{26,27,28},FALSE)),0)+IFERROR(SUMPRODUCT(VLOOKUP($A240,S275_97,{26,27,28},FALSE)),0)+IFERROR(ROUND(VLOOKUP($A240,S275_21,26,FALSE)*VLOOKUP($A240,'3121% SY'!$C$3:$M$324,11,FALSE),3),0)+IFERROR(ROUND(VLOOKUP($A240,S275_21,27,FALSE)*VLOOKUP($A240,'3121% SY'!$C$3:$M$324,11,FALSE),3),0)+IFERROR(ROUND(VLOOKUP($A240,S275_21,28,FALSE)*VLOOKUP($A240,'3121% SY'!$C$3:$M$324,11,FALSE),3),0)+IFERROR(VLOOKUP($A240,S275_09,10,FALSE),0)</f>
        <v>0.99199999999999999</v>
      </c>
      <c r="X240" s="267">
        <f>IFERROR(VLOOKUP($A240,Supp_46,14,FALSE),0)+IFERROR(SUMPRODUCT(VLOOKUP($A240,S275_01,{29,30,31},FALSE)),0)+IFERROR(SUMPRODUCT(VLOOKUP($A240,S275_97,{29,30,31},FALSE)),0)+IFERROR(ROUND(VLOOKUP($A240,S275_21,29,FALSE)*VLOOKUP($A240,'3121% SY'!$C$3:$M$324,11,FALSE),3),0)+IFERROR(ROUND(VLOOKUP($A240,S275_21,30,FALSE)*VLOOKUP($A240,'3121% SY'!$C$3:$M$324,11,FALSE),3),0)+IFERROR(ROUND(VLOOKUP($A240,S275_21,31,FALSE)*VLOOKUP($A240,'3121% SY'!$C$3:$M$324,11,FALSE),3),0)+IFERROR(VLOOKUP($A240,S275_09,11,FALSE),0)</f>
        <v>0.78499999999999992</v>
      </c>
      <c r="Y240" s="267">
        <f>IFERROR(VLOOKUP($A240,Supp_47,14,FALSE),0)+IFERROR(SUMPRODUCT(VLOOKUP($A240,S275_01,{32,33,34},FALSE)),0)+IFERROR(SUMPRODUCT(VLOOKUP($A240,S275_97,{32,33,34},FALSE)),0)+IFERROR(ROUND(VLOOKUP($A240,S275_21,32,FALSE)*VLOOKUP($A240,'3121% SY'!$C$3:$M$324,11,FALSE),3),0)+IFERROR(ROUND(VLOOKUP($A240,S275_21,33,FALSE)*VLOOKUP($A240,'3121% SY'!$C$3:$M$324,11,FALSE),3),0)+IFERROR(ROUND(VLOOKUP($A240,S275_21,34,FALSE)*VLOOKUP($A240,'3121% SY'!$C$3:$M$324,11,FALSE),3),0)+IFERROR(VLOOKUP($A240,S275_09,12,FALSE),0)</f>
        <v>0</v>
      </c>
      <c r="Z240" s="267">
        <f>IFERROR(VLOOKUP($A240,Supp_48,14,FALSE),0)+IFERROR(SUMPRODUCT(VLOOKUP($A240,S275_01,{35,36,37},FALSE)),0)+IFERROR(SUMPRODUCT(VLOOKUP($A240,S275_97,{35,36,37},FALSE)),0)+IFERROR(ROUND(VLOOKUP($A240,S275_21,35,FALSE)*VLOOKUP($A240,'3121% SY'!$C$3:$M$324,11,FALSE),3),0)+IFERROR(ROUND(VLOOKUP($A240,S275_21,36,FALSE)*VLOOKUP($A240,'3121% SY'!$C$3:$M$324,11,FALSE),3),0)+IFERROR(ROUND(VLOOKUP($A240,S275_21,37,FALSE)*VLOOKUP($A240,'3121% SY'!$C$3:$M$324,11,FALSE),3),0)+IFERROR(VLOOKUP($A240,S275_09,13,FALSE),0)</f>
        <v>0.127</v>
      </c>
      <c r="AA240" s="267">
        <f>IFERROR(VLOOKUP($A240,Supp_49,14,FALSE),0)+IFERROR(SUMPRODUCT(VLOOKUP($A240,S275_01,{38,39,40},FALSE)),0)+IFERROR(SUMPRODUCT(VLOOKUP($A240,S275_97,{38,39,40},FALSE)),0)+IFERROR(ROUND(VLOOKUP($A240,S275_21,38,FALSE)*VLOOKUP($A240,'3121% SY'!$C$3:$M$324,11,FALSE),3),0)+IFERROR(ROUND(VLOOKUP($A240,S275_21,39,FALSE)*VLOOKUP($A240,'3121% SY'!$C$3:$M$324,11,FALSE),3),0)+IFERROR(ROUND(VLOOKUP($A240,S275_21,40,FALSE)*VLOOKUP($A240,'3121% SY'!$C$3:$M$324,11,FALSE),3),0)+IFERROR(VLOOKUP($A240,S275_09,14,FALSE),0)</f>
        <v>0.17900000000000002</v>
      </c>
      <c r="AB240" s="267">
        <f>IFERROR(VLOOKUP($A240,Supp_64,14,FALSE),0)+IFERROR(SUMPRODUCT(VLOOKUP($A240,S275_01,{41,42,43},FALSE)),0)+IFERROR(SUMPRODUCT(VLOOKUP($A240,S275_97,{41,42,43},FALSE)),0)+IFERROR(ROUND(VLOOKUP($A240,S275_21,41,FALSE)*VLOOKUP($A240,'3121% SY'!$C$3:$M$324,11,FALSE),3),0)+IFERROR(ROUND(VLOOKUP($A240,S275_21,42,FALSE)*VLOOKUP($A240,'3121% SY'!$C$3:$M$324,11,FALSE),3),0)+IFERROR(ROUND(VLOOKUP($A240,S275_21,43,FALSE)*VLOOKUP($A240,'3121% SY'!$C$3:$M$324,11,FALSE),3),0)+IFERROR(VLOOKUP($A240,S275_09,15,FALSE),0)</f>
        <v>0</v>
      </c>
      <c r="AC240" s="268">
        <f t="shared" si="47"/>
        <v>11.885000000000002</v>
      </c>
      <c r="AD240" s="267">
        <f>IFERROR(VLOOKUP($A240,Supp_24,14,FALSE),0)+IFERROR(SUMPRODUCT(VLOOKUP($A240,S275_01,{2,3,4},FALSE)),0)+IFERROR(SUMPRODUCT(VLOOKUP($A240,S275_97,{2,3,4},FALSE)),0)+IFERROR(ROUND(VLOOKUP($A240,S275_21,2,FALSE)*VLOOKUP($A240,'3121% SY'!$C$3:$M$324,11,FALSE),3),0)+IFERROR(ROUND(VLOOKUP($A240,S275_21,3,FALSE)*VLOOKUP($A240,'3121% SY'!$C$3:$M$324,11,FALSE),3),0)+IFERROR(ROUND(VLOOKUP($A240,S275_21,4,FALSE)*VLOOKUP($A240,'3121% SY'!$C$3:$M$324,11,FALSE),3),0)+IFERROR(VLOOKUP($A240,S275_09,2,FALSE),0)</f>
        <v>0</v>
      </c>
      <c r="AE240" s="267">
        <f>IFERROR(VLOOKUP($A240,Supp_25,14,FALSE),0)+IFERROR(SUMPRODUCT(VLOOKUP($A240,S275_01,{5,6,7},FALSE)),0)+IFERROR(SUMPRODUCT(VLOOKUP($A240,S275_97,{5,6,7},FALSE)),0)+IFERROR(ROUND(VLOOKUP($A240,S275_21,5,FALSE)*VLOOKUP($A240,'3121% SY'!$C$3:$M$324,11,FALSE),3),0)+IFERROR(ROUND(VLOOKUP($A240,S275_21,6,FALSE)*VLOOKUP($A240,'3121% SY'!$C$3:$M$324,11,FALSE),3),0)+IFERROR(ROUND(VLOOKUP($A240,S275_21,7,FALSE)*VLOOKUP($A240,'3121% SY'!$C$3:$M$324,11,FALSE),3),0)+IFERROR(VLOOKUP($A240,S275_09,3,FALSE),0)</f>
        <v>2.081</v>
      </c>
      <c r="AF240" s="267">
        <f>IFERROR(VLOOKUP($A240,Supp_26,14,FALSE),0)+IFERROR(SUMPRODUCT(VLOOKUP($A240,S275_01,{8,9,10},FALSE)),0)+IFERROR(SUMPRODUCT(VLOOKUP($A240,S275_97,{8,9,10},FALSE)),0)+IFERROR(ROUND(VLOOKUP($A240,S275_21,8,FALSE)*VLOOKUP($A240,'3121% SY'!$C$3:$M$324,11,FALSE),3),0)+IFERROR(ROUND(VLOOKUP($A240,S275_21,9,FALSE)*VLOOKUP($A240,'3121% SY'!$C$3:$M$324,11,FALSE),3),0)+IFERROR(ROUND(VLOOKUP($A240,S275_21,10,FALSE)*VLOOKUP($A240,'3121% SY'!$C$3:$M$324,11,FALSE),3),0)+IFERROR(VLOOKUP($A240,S275_09,4,FALSE),0)</f>
        <v>6.8769999999999989</v>
      </c>
      <c r="AG240" s="267">
        <f>IFERROR(VLOOKUP($A240,Supp_35,14,FALSE),0)+IFERROR(SUMPRODUCT(VLOOKUP($A240,S275_01,{11,12,13},FALSE)),0)+IFERROR(SUMPRODUCT(VLOOKUP($A240,S275_97,{11,12,13},FALSE)),0)+IFERROR(ROUND(VLOOKUP($A240,S275_21,11,FALSE)*VLOOKUP($A240,'3121% SY'!$C$3:$M$324,11,FALSE),3),0)+IFERROR(ROUND(VLOOKUP($A240,S275_21,12,FALSE)*VLOOKUP($A240,'3121% SY'!$C$3:$M$324,11,FALSE),3),0)+IFERROR(ROUND(VLOOKUP($A240,S275_21,13,FALSE)*VLOOKUP($A240,'3121% SY'!$C$3:$M$324,11,FALSE),3),0)+IFERROR(VLOOKUP($A240,S275_09,5,FALSE),0)</f>
        <v>3</v>
      </c>
      <c r="AH240" s="165">
        <f t="shared" si="48"/>
        <v>11.957999999999998</v>
      </c>
      <c r="AI240" s="161">
        <f>IFERROR(VLOOKUP(A240,'Supp Staff Data'!A:ER,148,FALSE),0)+AB240</f>
        <v>3</v>
      </c>
      <c r="AJ240" s="174">
        <v>0.88890000000000002</v>
      </c>
      <c r="AK240" s="25">
        <f>VLOOKUP(A240,'Enroll Data as of January 2025'!$A$3:$T$323,20,FALSE)-F240</f>
        <v>0</v>
      </c>
    </row>
    <row r="241" spans="1:37" x14ac:dyDescent="0.25">
      <c r="A241" s="171" t="s">
        <v>237</v>
      </c>
      <c r="B241" t="s">
        <v>533</v>
      </c>
      <c r="C241" s="173" t="s">
        <v>1077</v>
      </c>
      <c r="D241" s="259">
        <f t="shared" si="40"/>
        <v>13.608999999999998</v>
      </c>
      <c r="E241" s="259">
        <f t="shared" si="41"/>
        <v>16.823999999999998</v>
      </c>
      <c r="F241" s="262">
        <f t="shared" si="49"/>
        <v>3.2149999999999999</v>
      </c>
      <c r="G241" s="161">
        <f>ROUND(IF(F241&lt;0,F241*'2024-25 PSES Compliance'!$G$13,0),3)</f>
        <v>0</v>
      </c>
      <c r="H241" s="161">
        <f>ROUND(IF(F241&lt;0,F241*'2024-25 PSES Compliance'!$G$14,0),3)</f>
        <v>0</v>
      </c>
      <c r="I241" s="174">
        <f t="shared" si="43"/>
        <v>0.77519336661911553</v>
      </c>
      <c r="J241" s="174">
        <f t="shared" si="44"/>
        <v>0</v>
      </c>
      <c r="K241" s="161">
        <f>VLOOKUP($A241,'Enroll Data as of January 2025'!$A$3:$M$322,6,FALSE)</f>
        <v>7.6629999999999994</v>
      </c>
      <c r="L241" s="161">
        <f>VLOOKUP($A241,'Enroll Data as of January 2025'!$A$3:$M$322,7,FALSE)</f>
        <v>1.2890000000000001</v>
      </c>
      <c r="M241" s="161">
        <f>VLOOKUP($A241,'Enroll Data as of January 2025'!$A$3:$M$322,8,FALSE)</f>
        <v>0.434</v>
      </c>
      <c r="N241" s="161">
        <f>VLOOKUP($A241,'Enroll Data as of January 2025'!$A$3:$M$322,9,FALSE)</f>
        <v>3.4489999999999998</v>
      </c>
      <c r="O241" s="165">
        <f t="shared" si="45"/>
        <v>12.834999999999999</v>
      </c>
      <c r="P241" s="161">
        <f>VLOOKUP($A241,'Enroll Data as of January 2025'!$A$3:$M$322,11,FALSE)</f>
        <v>0.48</v>
      </c>
      <c r="Q241" s="161">
        <f>VLOOKUP($A241,'Enroll Data as of January 2025'!$A$3:$M$322,12,FALSE)</f>
        <v>0.29399999999999998</v>
      </c>
      <c r="R241" s="165">
        <f t="shared" si="46"/>
        <v>0.77400000000000002</v>
      </c>
      <c r="S241" s="267">
        <f>IFERROR(VLOOKUP($A241,Supp_39,14,FALSE),0)+IFERROR(SUMPRODUCT(VLOOKUP($A241,S275_01,{14,15,16},FALSE)),0)+IFERROR(SUMPRODUCT(VLOOKUP($A241,S275_97,{14,15,16},FALSE)),0)+IFERROR(ROUND(VLOOKUP($A241,S275_21,14,FALSE)*VLOOKUP($A241,'3121% SY'!$C$3:$M$324,11,FALSE),3),0)+IFERROR(ROUND(VLOOKUP($A241,S275_21,15,FALSE)*VLOOKUP($A241,'3121% SY'!$C$3:$M$324,11,FALSE),3),0)+IFERROR(ROUND(VLOOKUP($A241,S275_21,16,FALSE)*VLOOKUP($A241,'3121% SY'!$C$3:$M$324,11,FALSE),3),0)+IFERROR(VLOOKUP($A241,S275_09,6,FALSE),0)</f>
        <v>5.78</v>
      </c>
      <c r="T241" s="267">
        <f>IFERROR(VLOOKUP($A241,Supp_42,14,FALSE),0)+IFERROR(SUMPRODUCT(VLOOKUP($A241,S275_01,{17,18,19},FALSE)),0)+IFERROR(SUMPRODUCT(VLOOKUP($A241,S275_97,{17,18,19},FALSE)),0)+IFERROR(ROUND(VLOOKUP($A241,S275_21,17,FALSE)*VLOOKUP($A241,'3121% SY'!$C$3:$M$324,11,FALSE),3),0)+IFERROR(ROUND(VLOOKUP($A241,S275_21,18,FALSE)*VLOOKUP($A241,'3121% SY'!$C$3:$M$324,11,FALSE),3),0)+IFERROR(ROUND(VLOOKUP($A241,S275_21,19,FALSE)*VLOOKUP($A241,'3121% SY'!$C$3:$M$324,11,FALSE),3),0)+IFERROR(VLOOKUP($A241,S275_09,7,FALSE),0)</f>
        <v>1.32</v>
      </c>
      <c r="U241" s="267">
        <f>IFERROR(VLOOKUP($A241,Supp_43,14,FALSE),0)+IFERROR(SUMPRODUCT(VLOOKUP($A241,S275_01,{20,21,22},FALSE)),0)+IFERROR(SUMPRODUCT(VLOOKUP($A241,S275_97,{20,21,22},FALSE)),0)+IFERROR(ROUND(VLOOKUP($A241,S275_21,20,FALSE)*VLOOKUP($A241,'3121% SY'!$C$3:$M$324,11,FALSE),3),0)+IFERROR(ROUND(VLOOKUP($A241,S275_21,21,FALSE)*VLOOKUP($A241,'3121% SY'!$C$3:$M$324,11,FALSE),3),0)+IFERROR(ROUND(VLOOKUP($A241,S275_21,22,FALSE)*VLOOKUP($A241,'3121% SY'!$C$3:$M$324,11,FALSE),3),0)+IFERROR(VLOOKUP($A241,S275_09,8,FALSE),0)</f>
        <v>0.79500000000000004</v>
      </c>
      <c r="V241" s="267">
        <f>IFERROR(VLOOKUP($A241,Supp_44,14,FALSE),0)+IFERROR(SUMPRODUCT(VLOOKUP($A241,S275_01,{23,24,25},FALSE)),0)+IFERROR(SUMPRODUCT(VLOOKUP($A241,S275_97,{23,24,25},FALSE)),0)+IFERROR(ROUND(VLOOKUP($A241,S275_21,23,FALSE)*VLOOKUP($A241,'3121% SY'!$C$3:$M$324,11,FALSE),3),0)+IFERROR(ROUND(VLOOKUP($A241,S275_21,24,FALSE)*VLOOKUP($A241,'3121% SY'!$C$3:$M$324,11,FALSE),3),0)+IFERROR(ROUND(VLOOKUP($A241,S275_21,25,FALSE)*VLOOKUP($A241,'3121% SY'!$C$3:$M$324,11,FALSE),3),0)+IFERROR(VLOOKUP($A241,S275_09,9,FALSE),0)</f>
        <v>0</v>
      </c>
      <c r="W241" s="267">
        <f>IFERROR(VLOOKUP($A241,Supp_45,14,FALSE),0)+IFERROR(SUMPRODUCT(VLOOKUP($A241,S275_01,{26,27,28},FALSE)),0)+IFERROR(SUMPRODUCT(VLOOKUP($A241,S275_97,{26,27,28},FALSE)),0)+IFERROR(ROUND(VLOOKUP($A241,S275_21,26,FALSE)*VLOOKUP($A241,'3121% SY'!$C$3:$M$324,11,FALSE),3),0)+IFERROR(ROUND(VLOOKUP($A241,S275_21,27,FALSE)*VLOOKUP($A241,'3121% SY'!$C$3:$M$324,11,FALSE),3),0)+IFERROR(ROUND(VLOOKUP($A241,S275_21,28,FALSE)*VLOOKUP($A241,'3121% SY'!$C$3:$M$324,11,FALSE),3),0)+IFERROR(VLOOKUP($A241,S275_09,10,FALSE),0)</f>
        <v>0.52500000000000002</v>
      </c>
      <c r="X241" s="267">
        <f>IFERROR(VLOOKUP($A241,Supp_46,14,FALSE),0)+IFERROR(SUMPRODUCT(VLOOKUP($A241,S275_01,{29,30,31},FALSE)),0)+IFERROR(SUMPRODUCT(VLOOKUP($A241,S275_97,{29,30,31},FALSE)),0)+IFERROR(ROUND(VLOOKUP($A241,S275_21,29,FALSE)*VLOOKUP($A241,'3121% SY'!$C$3:$M$324,11,FALSE),3),0)+IFERROR(ROUND(VLOOKUP($A241,S275_21,30,FALSE)*VLOOKUP($A241,'3121% SY'!$C$3:$M$324,11,FALSE),3),0)+IFERROR(ROUND(VLOOKUP($A241,S275_21,31,FALSE)*VLOOKUP($A241,'3121% SY'!$C$3:$M$324,11,FALSE),3),0)+IFERROR(VLOOKUP($A241,S275_09,11,FALSE),0)</f>
        <v>3.8940000000000001</v>
      </c>
      <c r="Y241" s="267">
        <f>IFERROR(VLOOKUP($A241,Supp_47,14,FALSE),0)+IFERROR(SUMPRODUCT(VLOOKUP($A241,S275_01,{32,33,34},FALSE)),0)+IFERROR(SUMPRODUCT(VLOOKUP($A241,S275_97,{32,33,34},FALSE)),0)+IFERROR(ROUND(VLOOKUP($A241,S275_21,32,FALSE)*VLOOKUP($A241,'3121% SY'!$C$3:$M$324,11,FALSE),3),0)+IFERROR(ROUND(VLOOKUP($A241,S275_21,33,FALSE)*VLOOKUP($A241,'3121% SY'!$C$3:$M$324,11,FALSE),3),0)+IFERROR(ROUND(VLOOKUP($A241,S275_21,34,FALSE)*VLOOKUP($A241,'3121% SY'!$C$3:$M$324,11,FALSE),3),0)+IFERROR(VLOOKUP($A241,S275_09,12,FALSE),0)</f>
        <v>0.108</v>
      </c>
      <c r="Z241" s="267">
        <f>IFERROR(VLOOKUP($A241,Supp_48,14,FALSE),0)+IFERROR(SUMPRODUCT(VLOOKUP($A241,S275_01,{35,36,37},FALSE)),0)+IFERROR(SUMPRODUCT(VLOOKUP($A241,S275_97,{35,36,37},FALSE)),0)+IFERROR(ROUND(VLOOKUP($A241,S275_21,35,FALSE)*VLOOKUP($A241,'3121% SY'!$C$3:$M$324,11,FALSE),3),0)+IFERROR(ROUND(VLOOKUP($A241,S275_21,36,FALSE)*VLOOKUP($A241,'3121% SY'!$C$3:$M$324,11,FALSE),3),0)+IFERROR(ROUND(VLOOKUP($A241,S275_21,37,FALSE)*VLOOKUP($A241,'3121% SY'!$C$3:$M$324,11,FALSE),3),0)+IFERROR(VLOOKUP($A241,S275_09,13,FALSE),0)</f>
        <v>0.75700000000000001</v>
      </c>
      <c r="AA241" s="267">
        <f>IFERROR(VLOOKUP($A241,Supp_49,14,FALSE),0)+IFERROR(SUMPRODUCT(VLOOKUP($A241,S275_01,{38,39,40},FALSE)),0)+IFERROR(SUMPRODUCT(VLOOKUP($A241,S275_97,{38,39,40},FALSE)),0)+IFERROR(ROUND(VLOOKUP($A241,S275_21,38,FALSE)*VLOOKUP($A241,'3121% SY'!$C$3:$M$324,11,FALSE),3),0)+IFERROR(ROUND(VLOOKUP($A241,S275_21,39,FALSE)*VLOOKUP($A241,'3121% SY'!$C$3:$M$324,11,FALSE),3),0)+IFERROR(ROUND(VLOOKUP($A241,S275_21,40,FALSE)*VLOOKUP($A241,'3121% SY'!$C$3:$M$324,11,FALSE),3),0)+IFERROR(VLOOKUP($A241,S275_09,14,FALSE),0)</f>
        <v>0.222</v>
      </c>
      <c r="AB241" s="267">
        <f>IFERROR(VLOOKUP($A241,Supp_64,14,FALSE),0)+IFERROR(SUMPRODUCT(VLOOKUP($A241,S275_01,{41,42,43},FALSE)),0)+IFERROR(SUMPRODUCT(VLOOKUP($A241,S275_97,{41,42,43},FALSE)),0)+IFERROR(ROUND(VLOOKUP($A241,S275_21,41,FALSE)*VLOOKUP($A241,'3121% SY'!$C$3:$M$324,11,FALSE),3),0)+IFERROR(ROUND(VLOOKUP($A241,S275_21,42,FALSE)*VLOOKUP($A241,'3121% SY'!$C$3:$M$324,11,FALSE),3),0)+IFERROR(ROUND(VLOOKUP($A241,S275_21,43,FALSE)*VLOOKUP($A241,'3121% SY'!$C$3:$M$324,11,FALSE),3),0)+IFERROR(VLOOKUP($A241,S275_09,15,FALSE),0)</f>
        <v>0</v>
      </c>
      <c r="AC241" s="268">
        <f t="shared" si="47"/>
        <v>13.401</v>
      </c>
      <c r="AD241" s="267">
        <f>IFERROR(VLOOKUP($A241,Supp_24,14,FALSE),0)+IFERROR(SUMPRODUCT(VLOOKUP($A241,S275_01,{2,3,4},FALSE)),0)+IFERROR(SUMPRODUCT(VLOOKUP($A241,S275_97,{2,3,4},FALSE)),0)+IFERROR(ROUND(VLOOKUP($A241,S275_21,2,FALSE)*VLOOKUP($A241,'3121% SY'!$C$3:$M$324,11,FALSE),3),0)+IFERROR(ROUND(VLOOKUP($A241,S275_21,3,FALSE)*VLOOKUP($A241,'3121% SY'!$C$3:$M$324,11,FALSE),3),0)+IFERROR(ROUND(VLOOKUP($A241,S275_21,4,FALSE)*VLOOKUP($A241,'3121% SY'!$C$3:$M$324,11,FALSE),3),0)+IFERROR(VLOOKUP($A241,S275_09,2,FALSE),0)</f>
        <v>0</v>
      </c>
      <c r="AE241" s="267">
        <f>IFERROR(VLOOKUP($A241,Supp_25,14,FALSE),0)+IFERROR(SUMPRODUCT(VLOOKUP($A241,S275_01,{5,6,7},FALSE)),0)+IFERROR(SUMPRODUCT(VLOOKUP($A241,S275_97,{5,6,7},FALSE)),0)+IFERROR(ROUND(VLOOKUP($A241,S275_21,5,FALSE)*VLOOKUP($A241,'3121% SY'!$C$3:$M$324,11,FALSE),3),0)+IFERROR(ROUND(VLOOKUP($A241,S275_21,6,FALSE)*VLOOKUP($A241,'3121% SY'!$C$3:$M$324,11,FALSE),3),0)+IFERROR(ROUND(VLOOKUP($A241,S275_21,7,FALSE)*VLOOKUP($A241,'3121% SY'!$C$3:$M$324,11,FALSE),3),0)+IFERROR(VLOOKUP($A241,S275_09,3,FALSE),0)</f>
        <v>9.4E-2</v>
      </c>
      <c r="AF241" s="267">
        <f>IFERROR(VLOOKUP($A241,Supp_26,14,FALSE),0)+IFERROR(SUMPRODUCT(VLOOKUP($A241,S275_01,{8,9,10},FALSE)),0)+IFERROR(SUMPRODUCT(VLOOKUP($A241,S275_97,{8,9,10},FALSE)),0)+IFERROR(ROUND(VLOOKUP($A241,S275_21,8,FALSE)*VLOOKUP($A241,'3121% SY'!$C$3:$M$324,11,FALSE),3),0)+IFERROR(ROUND(VLOOKUP($A241,S275_21,9,FALSE)*VLOOKUP($A241,'3121% SY'!$C$3:$M$324,11,FALSE),3),0)+IFERROR(ROUND(VLOOKUP($A241,S275_21,10,FALSE)*VLOOKUP($A241,'3121% SY'!$C$3:$M$324,11,FALSE),3),0)+IFERROR(VLOOKUP($A241,S275_09,4,FALSE),0)</f>
        <v>1.7909999999999999</v>
      </c>
      <c r="AG241" s="267">
        <f>IFERROR(VLOOKUP($A241,Supp_35,14,FALSE),0)+IFERROR(SUMPRODUCT(VLOOKUP($A241,S275_01,{11,12,13},FALSE)),0)+IFERROR(SUMPRODUCT(VLOOKUP($A241,S275_97,{11,12,13},FALSE)),0)+IFERROR(ROUND(VLOOKUP($A241,S275_21,11,FALSE)*VLOOKUP($A241,'3121% SY'!$C$3:$M$324,11,FALSE),3),0)+IFERROR(ROUND(VLOOKUP($A241,S275_21,12,FALSE)*VLOOKUP($A241,'3121% SY'!$C$3:$M$324,11,FALSE),3),0)+IFERROR(ROUND(VLOOKUP($A241,S275_21,13,FALSE)*VLOOKUP($A241,'3121% SY'!$C$3:$M$324,11,FALSE),3),0)+IFERROR(VLOOKUP($A241,S275_09,5,FALSE),0)</f>
        <v>1.538</v>
      </c>
      <c r="AH241" s="165">
        <f t="shared" si="48"/>
        <v>3.423</v>
      </c>
      <c r="AI241" s="161">
        <f>IFERROR(VLOOKUP(A241,'Supp Staff Data'!A:ER,148,FALSE),0)+AB241</f>
        <v>0</v>
      </c>
      <c r="AJ241" s="174">
        <v>0.97319999999999995</v>
      </c>
      <c r="AK241" s="25">
        <f>VLOOKUP(A241,'Enroll Data as of January 2025'!$A$3:$T$323,20,FALSE)-F241</f>
        <v>0</v>
      </c>
    </row>
    <row r="242" spans="1:37" x14ac:dyDescent="0.25">
      <c r="A242" s="171" t="s">
        <v>36</v>
      </c>
      <c r="B242" t="s">
        <v>332</v>
      </c>
      <c r="C242" s="173" t="s">
        <v>1077</v>
      </c>
      <c r="D242" s="259">
        <f t="shared" si="40"/>
        <v>13.738000000000001</v>
      </c>
      <c r="E242" s="259">
        <f t="shared" si="41"/>
        <v>15.583</v>
      </c>
      <c r="F242" s="262">
        <f t="shared" si="49"/>
        <v>1.845</v>
      </c>
      <c r="G242" s="161">
        <f>ROUND(IF(F242&lt;0,F242*'2024-25 PSES Compliance'!$G$13,0),3)</f>
        <v>0</v>
      </c>
      <c r="H242" s="161">
        <f>ROUND(IF(F242&lt;0,F242*'2024-25 PSES Compliance'!$G$14,0),3)</f>
        <v>0</v>
      </c>
      <c r="I242" s="174">
        <f t="shared" si="43"/>
        <v>0.56421284733363286</v>
      </c>
      <c r="J242" s="174">
        <f t="shared" si="44"/>
        <v>0</v>
      </c>
      <c r="K242" s="161">
        <f>VLOOKUP($A242,'Enroll Data as of January 2025'!$A$3:$M$322,6,FALSE)</f>
        <v>7.7940000000000005</v>
      </c>
      <c r="L242" s="161">
        <f>VLOOKUP($A242,'Enroll Data as of January 2025'!$A$3:$M$322,7,FALSE)</f>
        <v>1.246</v>
      </c>
      <c r="M242" s="161">
        <f>VLOOKUP($A242,'Enroll Data as of January 2025'!$A$3:$M$322,8,FALSE)</f>
        <v>0.41899999999999998</v>
      </c>
      <c r="N242" s="161">
        <f>VLOOKUP($A242,'Enroll Data as of January 2025'!$A$3:$M$322,9,FALSE)</f>
        <v>3.5190000000000001</v>
      </c>
      <c r="O242" s="165">
        <f t="shared" si="45"/>
        <v>12.978000000000002</v>
      </c>
      <c r="P242" s="161">
        <f>VLOOKUP($A242,'Enroll Data as of January 2025'!$A$3:$M$322,11,FALSE)</f>
        <v>0.48299999999999998</v>
      </c>
      <c r="Q242" s="161">
        <f>VLOOKUP($A242,'Enroll Data as of January 2025'!$A$3:$M$322,12,FALSE)</f>
        <v>0.27700000000000002</v>
      </c>
      <c r="R242" s="165">
        <f t="shared" si="46"/>
        <v>0.76</v>
      </c>
      <c r="S242" s="267">
        <f>IFERROR(VLOOKUP($A242,Supp_39,14,FALSE),0)+IFERROR(SUMPRODUCT(VLOOKUP($A242,S275_01,{14,15,16},FALSE)),0)+IFERROR(SUMPRODUCT(VLOOKUP($A242,S275_97,{14,15,16},FALSE)),0)+IFERROR(ROUND(VLOOKUP($A242,S275_21,14,FALSE)*VLOOKUP($A242,'3121% SY'!$C$3:$M$324,11,FALSE),3),0)+IFERROR(ROUND(VLOOKUP($A242,S275_21,15,FALSE)*VLOOKUP($A242,'3121% SY'!$C$3:$M$324,11,FALSE),3),0)+IFERROR(ROUND(VLOOKUP($A242,S275_21,16,FALSE)*VLOOKUP($A242,'3121% SY'!$C$3:$M$324,11,FALSE),3),0)+IFERROR(VLOOKUP($A242,S275_09,6,FALSE),0)</f>
        <v>6.2129999999999992</v>
      </c>
      <c r="T242" s="267">
        <f>IFERROR(VLOOKUP($A242,Supp_42,14,FALSE),0)+IFERROR(SUMPRODUCT(VLOOKUP($A242,S275_01,{17,18,19},FALSE)),0)+IFERROR(SUMPRODUCT(VLOOKUP($A242,S275_97,{17,18,19},FALSE)),0)+IFERROR(ROUND(VLOOKUP($A242,S275_21,17,FALSE)*VLOOKUP($A242,'3121% SY'!$C$3:$M$324,11,FALSE),3),0)+IFERROR(ROUND(VLOOKUP($A242,S275_21,18,FALSE)*VLOOKUP($A242,'3121% SY'!$C$3:$M$324,11,FALSE),3),0)+IFERROR(ROUND(VLOOKUP($A242,S275_21,19,FALSE)*VLOOKUP($A242,'3121% SY'!$C$3:$M$324,11,FALSE),3),0)+IFERROR(VLOOKUP($A242,S275_09,7,FALSE),0)</f>
        <v>1.0369999999999999</v>
      </c>
      <c r="U242" s="267">
        <f>IFERROR(VLOOKUP($A242,Supp_43,14,FALSE),0)+IFERROR(SUMPRODUCT(VLOOKUP($A242,S275_01,{20,21,22},FALSE)),0)+IFERROR(SUMPRODUCT(VLOOKUP($A242,S275_97,{20,21,22},FALSE)),0)+IFERROR(ROUND(VLOOKUP($A242,S275_21,20,FALSE)*VLOOKUP($A242,'3121% SY'!$C$3:$M$324,11,FALSE),3),0)+IFERROR(ROUND(VLOOKUP($A242,S275_21,21,FALSE)*VLOOKUP($A242,'3121% SY'!$C$3:$M$324,11,FALSE),3),0)+IFERROR(ROUND(VLOOKUP($A242,S275_21,22,FALSE)*VLOOKUP($A242,'3121% SY'!$C$3:$M$324,11,FALSE),3),0)+IFERROR(VLOOKUP($A242,S275_09,8,FALSE),0)</f>
        <v>0.33</v>
      </c>
      <c r="V242" s="267">
        <f>IFERROR(VLOOKUP($A242,Supp_44,14,FALSE),0)+IFERROR(SUMPRODUCT(VLOOKUP($A242,S275_01,{23,24,25},FALSE)),0)+IFERROR(SUMPRODUCT(VLOOKUP($A242,S275_97,{23,24,25},FALSE)),0)+IFERROR(ROUND(VLOOKUP($A242,S275_21,23,FALSE)*VLOOKUP($A242,'3121% SY'!$C$3:$M$324,11,FALSE),3),0)+IFERROR(ROUND(VLOOKUP($A242,S275_21,24,FALSE)*VLOOKUP($A242,'3121% SY'!$C$3:$M$324,11,FALSE),3),0)+IFERROR(ROUND(VLOOKUP($A242,S275_21,25,FALSE)*VLOOKUP($A242,'3121% SY'!$C$3:$M$324,11,FALSE),3),0)+IFERROR(VLOOKUP($A242,S275_09,9,FALSE),0)</f>
        <v>0</v>
      </c>
      <c r="W242" s="267">
        <f>IFERROR(VLOOKUP($A242,Supp_45,14,FALSE),0)+IFERROR(SUMPRODUCT(VLOOKUP($A242,S275_01,{26,27,28},FALSE)),0)+IFERROR(SUMPRODUCT(VLOOKUP($A242,S275_97,{26,27,28},FALSE)),0)+IFERROR(ROUND(VLOOKUP($A242,S275_21,26,FALSE)*VLOOKUP($A242,'3121% SY'!$C$3:$M$324,11,FALSE),3),0)+IFERROR(ROUND(VLOOKUP($A242,S275_21,27,FALSE)*VLOOKUP($A242,'3121% SY'!$C$3:$M$324,11,FALSE),3),0)+IFERROR(ROUND(VLOOKUP($A242,S275_21,28,FALSE)*VLOOKUP($A242,'3121% SY'!$C$3:$M$324,11,FALSE),3),0)+IFERROR(VLOOKUP($A242,S275_09,10,FALSE),0)</f>
        <v>1.3190000000000002</v>
      </c>
      <c r="X242" s="267">
        <f>IFERROR(VLOOKUP($A242,Supp_46,14,FALSE),0)+IFERROR(SUMPRODUCT(VLOOKUP($A242,S275_01,{29,30,31},FALSE)),0)+IFERROR(SUMPRODUCT(VLOOKUP($A242,S275_97,{29,30,31},FALSE)),0)+IFERROR(ROUND(VLOOKUP($A242,S275_21,29,FALSE)*VLOOKUP($A242,'3121% SY'!$C$3:$M$324,11,FALSE),3),0)+IFERROR(ROUND(VLOOKUP($A242,S275_21,30,FALSE)*VLOOKUP($A242,'3121% SY'!$C$3:$M$324,11,FALSE),3),0)+IFERROR(ROUND(VLOOKUP($A242,S275_21,31,FALSE)*VLOOKUP($A242,'3121% SY'!$C$3:$M$324,11,FALSE),3),0)+IFERROR(VLOOKUP($A242,S275_09,11,FALSE),0)</f>
        <v>0</v>
      </c>
      <c r="Y242" s="267">
        <f>IFERROR(VLOOKUP($A242,Supp_47,14,FALSE),0)+IFERROR(SUMPRODUCT(VLOOKUP($A242,S275_01,{32,33,34},FALSE)),0)+IFERROR(SUMPRODUCT(VLOOKUP($A242,S275_97,{32,33,34},FALSE)),0)+IFERROR(ROUND(VLOOKUP($A242,S275_21,32,FALSE)*VLOOKUP($A242,'3121% SY'!$C$3:$M$324,11,FALSE),3),0)+IFERROR(ROUND(VLOOKUP($A242,S275_21,33,FALSE)*VLOOKUP($A242,'3121% SY'!$C$3:$M$324,11,FALSE),3),0)+IFERROR(ROUND(VLOOKUP($A242,S275_21,34,FALSE)*VLOOKUP($A242,'3121% SY'!$C$3:$M$324,11,FALSE),3),0)+IFERROR(VLOOKUP($A242,S275_09,12,FALSE),0)</f>
        <v>0</v>
      </c>
      <c r="Z242" s="267">
        <f>IFERROR(VLOOKUP($A242,Supp_48,14,FALSE),0)+IFERROR(SUMPRODUCT(VLOOKUP($A242,S275_01,{35,36,37},FALSE)),0)+IFERROR(SUMPRODUCT(VLOOKUP($A242,S275_97,{35,36,37},FALSE)),0)+IFERROR(ROUND(VLOOKUP($A242,S275_21,35,FALSE)*VLOOKUP($A242,'3121% SY'!$C$3:$M$324,11,FALSE),3),0)+IFERROR(ROUND(VLOOKUP($A242,S275_21,36,FALSE)*VLOOKUP($A242,'3121% SY'!$C$3:$M$324,11,FALSE),3),0)+IFERROR(ROUND(VLOOKUP($A242,S275_21,37,FALSE)*VLOOKUP($A242,'3121% SY'!$C$3:$M$324,11,FALSE),3),0)+IFERROR(VLOOKUP($A242,S275_09,13,FALSE),0)</f>
        <v>4.7E-2</v>
      </c>
      <c r="AA242" s="267">
        <f>IFERROR(VLOOKUP($A242,Supp_49,14,FALSE),0)+IFERROR(SUMPRODUCT(VLOOKUP($A242,S275_01,{38,39,40},FALSE)),0)+IFERROR(SUMPRODUCT(VLOOKUP($A242,S275_97,{38,39,40},FALSE)),0)+IFERROR(ROUND(VLOOKUP($A242,S275_21,38,FALSE)*VLOOKUP($A242,'3121% SY'!$C$3:$M$324,11,FALSE),3),0)+IFERROR(ROUND(VLOOKUP($A242,S275_21,39,FALSE)*VLOOKUP($A242,'3121% SY'!$C$3:$M$324,11,FALSE),3),0)+IFERROR(ROUND(VLOOKUP($A242,S275_21,40,FALSE)*VLOOKUP($A242,'3121% SY'!$C$3:$M$324,11,FALSE),3),0)+IFERROR(VLOOKUP($A242,S275_09,14,FALSE),0)</f>
        <v>0</v>
      </c>
      <c r="AB242" s="267">
        <f>IFERROR(VLOOKUP($A242,Supp_64,14,FALSE),0)+IFERROR(SUMPRODUCT(VLOOKUP($A242,S275_01,{41,42,43},FALSE)),0)+IFERROR(SUMPRODUCT(VLOOKUP($A242,S275_97,{41,42,43},FALSE)),0)+IFERROR(ROUND(VLOOKUP($A242,S275_21,41,FALSE)*VLOOKUP($A242,'3121% SY'!$C$3:$M$324,11,FALSE),3),0)+IFERROR(ROUND(VLOOKUP($A242,S275_21,42,FALSE)*VLOOKUP($A242,'3121% SY'!$C$3:$M$324,11,FALSE),3),0)+IFERROR(ROUND(VLOOKUP($A242,S275_21,43,FALSE)*VLOOKUP($A242,'3121% SY'!$C$3:$M$324,11,FALSE),3),0)+IFERROR(VLOOKUP($A242,S275_09,15,FALSE),0)</f>
        <v>0</v>
      </c>
      <c r="AC242" s="268">
        <f t="shared" si="47"/>
        <v>8.9459999999999997</v>
      </c>
      <c r="AD242" s="267">
        <f>IFERROR(VLOOKUP($A242,Supp_24,14,FALSE),0)+IFERROR(SUMPRODUCT(VLOOKUP($A242,S275_01,{2,3,4},FALSE)),0)+IFERROR(SUMPRODUCT(VLOOKUP($A242,S275_97,{2,3,4},FALSE)),0)+IFERROR(ROUND(VLOOKUP($A242,S275_21,2,FALSE)*VLOOKUP($A242,'3121% SY'!$C$3:$M$324,11,FALSE),3),0)+IFERROR(ROUND(VLOOKUP($A242,S275_21,3,FALSE)*VLOOKUP($A242,'3121% SY'!$C$3:$M$324,11,FALSE),3),0)+IFERROR(ROUND(VLOOKUP($A242,S275_21,4,FALSE)*VLOOKUP($A242,'3121% SY'!$C$3:$M$324,11,FALSE),3),0)+IFERROR(VLOOKUP($A242,S275_09,2,FALSE),0)</f>
        <v>1.359</v>
      </c>
      <c r="AE242" s="267">
        <f>IFERROR(VLOOKUP($A242,Supp_25,14,FALSE),0)+IFERROR(SUMPRODUCT(VLOOKUP($A242,S275_01,{5,6,7},FALSE)),0)+IFERROR(SUMPRODUCT(VLOOKUP($A242,S275_97,{5,6,7},FALSE)),0)+IFERROR(ROUND(VLOOKUP($A242,S275_21,5,FALSE)*VLOOKUP($A242,'3121% SY'!$C$3:$M$324,11,FALSE),3),0)+IFERROR(ROUND(VLOOKUP($A242,S275_21,6,FALSE)*VLOOKUP($A242,'3121% SY'!$C$3:$M$324,11,FALSE),3),0)+IFERROR(ROUND(VLOOKUP($A242,S275_21,7,FALSE)*VLOOKUP($A242,'3121% SY'!$C$3:$M$324,11,FALSE),3),0)+IFERROR(VLOOKUP($A242,S275_09,3,FALSE),0)</f>
        <v>3.944</v>
      </c>
      <c r="AF242" s="267">
        <f>IFERROR(VLOOKUP($A242,Supp_26,14,FALSE),0)+IFERROR(SUMPRODUCT(VLOOKUP($A242,S275_01,{8,9,10},FALSE)),0)+IFERROR(SUMPRODUCT(VLOOKUP($A242,S275_97,{8,9,10},FALSE)),0)+IFERROR(ROUND(VLOOKUP($A242,S275_21,8,FALSE)*VLOOKUP($A242,'3121% SY'!$C$3:$M$324,11,FALSE),3),0)+IFERROR(ROUND(VLOOKUP($A242,S275_21,9,FALSE)*VLOOKUP($A242,'3121% SY'!$C$3:$M$324,11,FALSE),3),0)+IFERROR(ROUND(VLOOKUP($A242,S275_21,10,FALSE)*VLOOKUP($A242,'3121% SY'!$C$3:$M$324,11,FALSE),3),0)+IFERROR(VLOOKUP($A242,S275_09,4,FALSE),0)</f>
        <v>0</v>
      </c>
      <c r="AG242" s="267">
        <f>IFERROR(VLOOKUP($A242,Supp_35,14,FALSE),0)+IFERROR(SUMPRODUCT(VLOOKUP($A242,S275_01,{11,12,13},FALSE)),0)+IFERROR(SUMPRODUCT(VLOOKUP($A242,S275_97,{11,12,13},FALSE)),0)+IFERROR(ROUND(VLOOKUP($A242,S275_21,11,FALSE)*VLOOKUP($A242,'3121% SY'!$C$3:$M$324,11,FALSE),3),0)+IFERROR(ROUND(VLOOKUP($A242,S275_21,12,FALSE)*VLOOKUP($A242,'3121% SY'!$C$3:$M$324,11,FALSE),3),0)+IFERROR(ROUND(VLOOKUP($A242,S275_21,13,FALSE)*VLOOKUP($A242,'3121% SY'!$C$3:$M$324,11,FALSE),3),0)+IFERROR(VLOOKUP($A242,S275_09,5,FALSE),0)</f>
        <v>1.3340000000000001</v>
      </c>
      <c r="AH242" s="165">
        <f t="shared" si="48"/>
        <v>6.6370000000000005</v>
      </c>
      <c r="AI242" s="161">
        <f>IFERROR(VLOOKUP(A242,'Supp Staff Data'!A:ER,148,FALSE),0)+AB242</f>
        <v>0</v>
      </c>
      <c r="AJ242" s="174">
        <v>0.98280000000000001</v>
      </c>
      <c r="AK242" s="25">
        <f>VLOOKUP(A242,'Enroll Data as of January 2025'!$A$3:$T$323,20,FALSE)-F242</f>
        <v>0</v>
      </c>
    </row>
    <row r="243" spans="1:37" x14ac:dyDescent="0.25">
      <c r="A243" s="171" t="s">
        <v>148</v>
      </c>
      <c r="B243" t="s">
        <v>444</v>
      </c>
      <c r="C243" s="173" t="s">
        <v>1077</v>
      </c>
      <c r="D243" s="259">
        <f t="shared" si="40"/>
        <v>15.583000000000002</v>
      </c>
      <c r="E243" s="259">
        <f t="shared" si="41"/>
        <v>16.434999999999999</v>
      </c>
      <c r="F243" s="262">
        <f t="shared" si="49"/>
        <v>0.85199999999999998</v>
      </c>
      <c r="G243" s="161">
        <f>ROUND(IF(F243&lt;0,F243*'2024-25 PSES Compliance'!$G$13,0),3)</f>
        <v>0</v>
      </c>
      <c r="H243" s="161">
        <f>ROUND(IF(F243&lt;0,F243*'2024-25 PSES Compliance'!$G$14,0),3)</f>
        <v>0</v>
      </c>
      <c r="I243" s="174">
        <f t="shared" si="43"/>
        <v>0.40237298448433223</v>
      </c>
      <c r="J243" s="174">
        <f t="shared" si="44"/>
        <v>0</v>
      </c>
      <c r="K243" s="161">
        <f>VLOOKUP($A243,'Enroll Data as of January 2025'!$A$3:$M$322,6,FALSE)</f>
        <v>8.859</v>
      </c>
      <c r="L243" s="161">
        <f>VLOOKUP($A243,'Enroll Data as of January 2025'!$A$3:$M$322,7,FALSE)</f>
        <v>1.3839999999999999</v>
      </c>
      <c r="M243" s="161">
        <f>VLOOKUP($A243,'Enroll Data as of January 2025'!$A$3:$M$322,8,FALSE)</f>
        <v>0.46400000000000002</v>
      </c>
      <c r="N243" s="161">
        <f>VLOOKUP($A243,'Enroll Data as of January 2025'!$A$3:$M$322,9,FALSE)</f>
        <v>4.0250000000000004</v>
      </c>
      <c r="O243" s="165">
        <f t="shared" si="45"/>
        <v>14.732000000000001</v>
      </c>
      <c r="P243" s="161">
        <f>VLOOKUP($A243,'Enroll Data as of January 2025'!$A$3:$M$322,11,FALSE)</f>
        <v>0.54600000000000004</v>
      </c>
      <c r="Q243" s="161">
        <f>VLOOKUP($A243,'Enroll Data as of January 2025'!$A$3:$M$322,12,FALSE)</f>
        <v>0.30499999999999999</v>
      </c>
      <c r="R243" s="165">
        <f t="shared" si="46"/>
        <v>0.85099999999999998</v>
      </c>
      <c r="S243" s="267">
        <f>IFERROR(VLOOKUP($A243,Supp_39,14,FALSE),0)+IFERROR(SUMPRODUCT(VLOOKUP($A243,S275_01,{14,15,16},FALSE)),0)+IFERROR(SUMPRODUCT(VLOOKUP($A243,S275_97,{14,15,16},FALSE)),0)+IFERROR(ROUND(VLOOKUP($A243,S275_21,14,FALSE)*VLOOKUP($A243,'3121% SY'!$C$3:$M$324,11,FALSE),3),0)+IFERROR(ROUND(VLOOKUP($A243,S275_21,15,FALSE)*VLOOKUP($A243,'3121% SY'!$C$3:$M$324,11,FALSE),3),0)+IFERROR(ROUND(VLOOKUP($A243,S275_21,16,FALSE)*VLOOKUP($A243,'3121% SY'!$C$3:$M$324,11,FALSE),3),0)+IFERROR(VLOOKUP($A243,S275_09,6,FALSE),0)</f>
        <v>2.657</v>
      </c>
      <c r="T243" s="267">
        <f>IFERROR(VLOOKUP($A243,Supp_42,14,FALSE),0)+IFERROR(SUMPRODUCT(VLOOKUP($A243,S275_01,{17,18,19},FALSE)),0)+IFERROR(SUMPRODUCT(VLOOKUP($A243,S275_97,{17,18,19},FALSE)),0)+IFERROR(ROUND(VLOOKUP($A243,S275_21,17,FALSE)*VLOOKUP($A243,'3121% SY'!$C$3:$M$324,11,FALSE),3),0)+IFERROR(ROUND(VLOOKUP($A243,S275_21,18,FALSE)*VLOOKUP($A243,'3121% SY'!$C$3:$M$324,11,FALSE),3),0)+IFERROR(ROUND(VLOOKUP($A243,S275_21,19,FALSE)*VLOOKUP($A243,'3121% SY'!$C$3:$M$324,11,FALSE),3),0)+IFERROR(VLOOKUP($A243,S275_09,7,FALSE),0)</f>
        <v>1.667</v>
      </c>
      <c r="U243" s="267">
        <f>IFERROR(VLOOKUP($A243,Supp_43,14,FALSE),0)+IFERROR(SUMPRODUCT(VLOOKUP($A243,S275_01,{20,21,22},FALSE)),0)+IFERROR(SUMPRODUCT(VLOOKUP($A243,S275_97,{20,21,22},FALSE)),0)+IFERROR(ROUND(VLOOKUP($A243,S275_21,20,FALSE)*VLOOKUP($A243,'3121% SY'!$C$3:$M$324,11,FALSE),3),0)+IFERROR(ROUND(VLOOKUP($A243,S275_21,21,FALSE)*VLOOKUP($A243,'3121% SY'!$C$3:$M$324,11,FALSE),3),0)+IFERROR(ROUND(VLOOKUP($A243,S275_21,22,FALSE)*VLOOKUP($A243,'3121% SY'!$C$3:$M$324,11,FALSE),3),0)+IFERROR(VLOOKUP($A243,S275_09,8,FALSE),0)</f>
        <v>0</v>
      </c>
      <c r="V243" s="267">
        <f>IFERROR(VLOOKUP($A243,Supp_44,14,FALSE),0)+IFERROR(SUMPRODUCT(VLOOKUP($A243,S275_01,{23,24,25},FALSE)),0)+IFERROR(SUMPRODUCT(VLOOKUP($A243,S275_97,{23,24,25},FALSE)),0)+IFERROR(ROUND(VLOOKUP($A243,S275_21,23,FALSE)*VLOOKUP($A243,'3121% SY'!$C$3:$M$324,11,FALSE),3),0)+IFERROR(ROUND(VLOOKUP($A243,S275_21,24,FALSE)*VLOOKUP($A243,'3121% SY'!$C$3:$M$324,11,FALSE),3),0)+IFERROR(ROUND(VLOOKUP($A243,S275_21,25,FALSE)*VLOOKUP($A243,'3121% SY'!$C$3:$M$324,11,FALSE),3),0)+IFERROR(VLOOKUP($A243,S275_09,9,FALSE),0)</f>
        <v>0</v>
      </c>
      <c r="W243" s="267">
        <f>IFERROR(VLOOKUP($A243,Supp_45,14,FALSE),0)+IFERROR(SUMPRODUCT(VLOOKUP($A243,S275_01,{26,27,28},FALSE)),0)+IFERROR(SUMPRODUCT(VLOOKUP($A243,S275_97,{26,27,28},FALSE)),0)+IFERROR(ROUND(VLOOKUP($A243,S275_21,26,FALSE)*VLOOKUP($A243,'3121% SY'!$C$3:$M$324,11,FALSE),3),0)+IFERROR(ROUND(VLOOKUP($A243,S275_21,27,FALSE)*VLOOKUP($A243,'3121% SY'!$C$3:$M$324,11,FALSE),3),0)+IFERROR(ROUND(VLOOKUP($A243,S275_21,28,FALSE)*VLOOKUP($A243,'3121% SY'!$C$3:$M$324,11,FALSE),3),0)+IFERROR(VLOOKUP($A243,S275_09,10,FALSE),0)</f>
        <v>0.499</v>
      </c>
      <c r="X243" s="267">
        <f>IFERROR(VLOOKUP($A243,Supp_46,14,FALSE),0)+IFERROR(SUMPRODUCT(VLOOKUP($A243,S275_01,{29,30,31},FALSE)),0)+IFERROR(SUMPRODUCT(VLOOKUP($A243,S275_97,{29,30,31},FALSE)),0)+IFERROR(ROUND(VLOOKUP($A243,S275_21,29,FALSE)*VLOOKUP($A243,'3121% SY'!$C$3:$M$324,11,FALSE),3),0)+IFERROR(ROUND(VLOOKUP($A243,S275_21,30,FALSE)*VLOOKUP($A243,'3121% SY'!$C$3:$M$324,11,FALSE),3),0)+IFERROR(ROUND(VLOOKUP($A243,S275_21,31,FALSE)*VLOOKUP($A243,'3121% SY'!$C$3:$M$324,11,FALSE),3),0)+IFERROR(VLOOKUP($A243,S275_09,11,FALSE),0)</f>
        <v>1.5779999999999998</v>
      </c>
      <c r="Y243" s="267">
        <f>IFERROR(VLOOKUP($A243,Supp_47,14,FALSE),0)+IFERROR(SUMPRODUCT(VLOOKUP($A243,S275_01,{32,33,34},FALSE)),0)+IFERROR(SUMPRODUCT(VLOOKUP($A243,S275_97,{32,33,34},FALSE)),0)+IFERROR(ROUND(VLOOKUP($A243,S275_21,32,FALSE)*VLOOKUP($A243,'3121% SY'!$C$3:$M$324,11,FALSE),3),0)+IFERROR(ROUND(VLOOKUP($A243,S275_21,33,FALSE)*VLOOKUP($A243,'3121% SY'!$C$3:$M$324,11,FALSE),3),0)+IFERROR(ROUND(VLOOKUP($A243,S275_21,34,FALSE)*VLOOKUP($A243,'3121% SY'!$C$3:$M$324,11,FALSE),3),0)+IFERROR(VLOOKUP($A243,S275_09,12,FALSE),0)</f>
        <v>0</v>
      </c>
      <c r="Z243" s="267">
        <f>IFERROR(VLOOKUP($A243,Supp_48,14,FALSE),0)+IFERROR(SUMPRODUCT(VLOOKUP($A243,S275_01,{35,36,37},FALSE)),0)+IFERROR(SUMPRODUCT(VLOOKUP($A243,S275_97,{35,36,37},FALSE)),0)+IFERROR(ROUND(VLOOKUP($A243,S275_21,35,FALSE)*VLOOKUP($A243,'3121% SY'!$C$3:$M$324,11,FALSE),3),0)+IFERROR(ROUND(VLOOKUP($A243,S275_21,36,FALSE)*VLOOKUP($A243,'3121% SY'!$C$3:$M$324,11,FALSE),3),0)+IFERROR(ROUND(VLOOKUP($A243,S275_21,37,FALSE)*VLOOKUP($A243,'3121% SY'!$C$3:$M$324,11,FALSE),3),0)+IFERROR(VLOOKUP($A243,S275_09,13,FALSE),0)</f>
        <v>0.21200000000000002</v>
      </c>
      <c r="AA243" s="267">
        <f>IFERROR(VLOOKUP($A243,Supp_49,14,FALSE),0)+IFERROR(SUMPRODUCT(VLOOKUP($A243,S275_01,{38,39,40},FALSE)),0)+IFERROR(SUMPRODUCT(VLOOKUP($A243,S275_97,{38,39,40},FALSE)),0)+IFERROR(ROUND(VLOOKUP($A243,S275_21,38,FALSE)*VLOOKUP($A243,'3121% SY'!$C$3:$M$324,11,FALSE),3),0)+IFERROR(ROUND(VLOOKUP($A243,S275_21,39,FALSE)*VLOOKUP($A243,'3121% SY'!$C$3:$M$324,11,FALSE),3),0)+IFERROR(ROUND(VLOOKUP($A243,S275_21,40,FALSE)*VLOOKUP($A243,'3121% SY'!$C$3:$M$324,11,FALSE),3),0)+IFERROR(VLOOKUP($A243,S275_09,14,FALSE),0)</f>
        <v>0</v>
      </c>
      <c r="AB243" s="267">
        <f>IFERROR(VLOOKUP($A243,Supp_64,14,FALSE),0)+IFERROR(SUMPRODUCT(VLOOKUP($A243,S275_01,{41,42,43},FALSE)),0)+IFERROR(SUMPRODUCT(VLOOKUP($A243,S275_97,{41,42,43},FALSE)),0)+IFERROR(ROUND(VLOOKUP($A243,S275_21,41,FALSE)*VLOOKUP($A243,'3121% SY'!$C$3:$M$324,11,FALSE),3),0)+IFERROR(ROUND(VLOOKUP($A243,S275_21,42,FALSE)*VLOOKUP($A243,'3121% SY'!$C$3:$M$324,11,FALSE),3),0)+IFERROR(ROUND(VLOOKUP($A243,S275_21,43,FALSE)*VLOOKUP($A243,'3121% SY'!$C$3:$M$324,11,FALSE),3),0)+IFERROR(VLOOKUP($A243,S275_09,15,FALSE),0)</f>
        <v>0</v>
      </c>
      <c r="AC243" s="268">
        <f t="shared" si="47"/>
        <v>6.6129999999999995</v>
      </c>
      <c r="AD243" s="267">
        <f>IFERROR(VLOOKUP($A243,Supp_24,14,FALSE),0)+IFERROR(SUMPRODUCT(VLOOKUP($A243,S275_01,{2,3,4},FALSE)),0)+IFERROR(SUMPRODUCT(VLOOKUP($A243,S275_97,{2,3,4},FALSE)),0)+IFERROR(ROUND(VLOOKUP($A243,S275_21,2,FALSE)*VLOOKUP($A243,'3121% SY'!$C$3:$M$324,11,FALSE),3),0)+IFERROR(ROUND(VLOOKUP($A243,S275_21,3,FALSE)*VLOOKUP($A243,'3121% SY'!$C$3:$M$324,11,FALSE),3),0)+IFERROR(ROUND(VLOOKUP($A243,S275_21,4,FALSE)*VLOOKUP($A243,'3121% SY'!$C$3:$M$324,11,FALSE),3),0)+IFERROR(VLOOKUP($A243,S275_09,2,FALSE),0)</f>
        <v>1.6879999999999999</v>
      </c>
      <c r="AE243" s="267">
        <f>IFERROR(VLOOKUP($A243,Supp_25,14,FALSE),0)+IFERROR(SUMPRODUCT(VLOOKUP($A243,S275_01,{5,6,7},FALSE)),0)+IFERROR(SUMPRODUCT(VLOOKUP($A243,S275_97,{5,6,7},FALSE)),0)+IFERROR(ROUND(VLOOKUP($A243,S275_21,5,FALSE)*VLOOKUP($A243,'3121% SY'!$C$3:$M$324,11,FALSE),3),0)+IFERROR(ROUND(VLOOKUP($A243,S275_21,6,FALSE)*VLOOKUP($A243,'3121% SY'!$C$3:$M$324,11,FALSE),3),0)+IFERROR(ROUND(VLOOKUP($A243,S275_21,7,FALSE)*VLOOKUP($A243,'3121% SY'!$C$3:$M$324,11,FALSE),3),0)+IFERROR(VLOOKUP($A243,S275_09,3,FALSE),0)</f>
        <v>4.2390000000000008</v>
      </c>
      <c r="AF243" s="267">
        <f>IFERROR(VLOOKUP($A243,Supp_26,14,FALSE),0)+IFERROR(SUMPRODUCT(VLOOKUP($A243,S275_01,{8,9,10},FALSE)),0)+IFERROR(SUMPRODUCT(VLOOKUP($A243,S275_97,{8,9,10},FALSE)),0)+IFERROR(ROUND(VLOOKUP($A243,S275_21,8,FALSE)*VLOOKUP($A243,'3121% SY'!$C$3:$M$324,11,FALSE),3),0)+IFERROR(ROUND(VLOOKUP($A243,S275_21,9,FALSE)*VLOOKUP($A243,'3121% SY'!$C$3:$M$324,11,FALSE),3),0)+IFERROR(ROUND(VLOOKUP($A243,S275_21,10,FALSE)*VLOOKUP($A243,'3121% SY'!$C$3:$M$324,11,FALSE),3),0)+IFERROR(VLOOKUP($A243,S275_09,4,FALSE),0)</f>
        <v>2.4329999999999998</v>
      </c>
      <c r="AG243" s="267">
        <f>IFERROR(VLOOKUP($A243,Supp_35,14,FALSE),0)+IFERROR(SUMPRODUCT(VLOOKUP($A243,S275_01,{11,12,13},FALSE)),0)+IFERROR(SUMPRODUCT(VLOOKUP($A243,S275_97,{11,12,13},FALSE)),0)+IFERROR(ROUND(VLOOKUP($A243,S275_21,11,FALSE)*VLOOKUP($A243,'3121% SY'!$C$3:$M$324,11,FALSE),3),0)+IFERROR(ROUND(VLOOKUP($A243,S275_21,12,FALSE)*VLOOKUP($A243,'3121% SY'!$C$3:$M$324,11,FALSE),3),0)+IFERROR(ROUND(VLOOKUP($A243,S275_21,13,FALSE)*VLOOKUP($A243,'3121% SY'!$C$3:$M$324,11,FALSE),3),0)+IFERROR(VLOOKUP($A243,S275_09,5,FALSE),0)</f>
        <v>1.462</v>
      </c>
      <c r="AH243" s="165">
        <f t="shared" si="48"/>
        <v>9.8219999999999992</v>
      </c>
      <c r="AI243" s="161">
        <f>IFERROR(VLOOKUP(A243,'Supp Staff Data'!A:ER,148,FALSE),0)+AB243</f>
        <v>0</v>
      </c>
      <c r="AJ243" s="174">
        <v>1</v>
      </c>
      <c r="AK243" s="25">
        <f>VLOOKUP(A243,'Enroll Data as of January 2025'!$A$3:$T$323,20,FALSE)-F243</f>
        <v>0</v>
      </c>
    </row>
    <row r="244" spans="1:37" x14ac:dyDescent="0.25">
      <c r="A244" s="171" t="s">
        <v>174</v>
      </c>
      <c r="B244" t="s">
        <v>470</v>
      </c>
      <c r="C244" s="173" t="s">
        <v>1077</v>
      </c>
      <c r="D244" s="259">
        <f t="shared" si="40"/>
        <v>4.7149999999999999</v>
      </c>
      <c r="E244" s="259">
        <f t="shared" si="41"/>
        <v>3.3369999999999997</v>
      </c>
      <c r="F244" s="262">
        <f t="shared" si="49"/>
        <v>-1.3779999999999999</v>
      </c>
      <c r="G244" s="161">
        <f>ROUND(IF(F244&lt;0,F244*'2024-25 PSES Compliance'!$G$13,0),3)</f>
        <v>-1.323</v>
      </c>
      <c r="H244" s="161">
        <f>ROUND(IF(F244&lt;0,F244*'2024-25 PSES Compliance'!$G$14,0),3)</f>
        <v>-5.5E-2</v>
      </c>
      <c r="I244" s="174">
        <f t="shared" si="43"/>
        <v>0.38527120167815404</v>
      </c>
      <c r="J244" s="174">
        <f t="shared" si="44"/>
        <v>0</v>
      </c>
      <c r="K244" s="161">
        <f>VLOOKUP($A244,'Enroll Data as of January 2025'!$A$3:$M$322,6,FALSE)</f>
        <v>2.6639999999999997</v>
      </c>
      <c r="L244" s="161">
        <f>VLOOKUP($A244,'Enroll Data as of January 2025'!$A$3:$M$322,7,FALSE)</f>
        <v>0.42499999999999999</v>
      </c>
      <c r="M244" s="161">
        <f>VLOOKUP($A244,'Enroll Data as of January 2025'!$A$3:$M$322,8,FALSE)</f>
        <v>0.14200000000000002</v>
      </c>
      <c r="N244" s="161">
        <f>VLOOKUP($A244,'Enroll Data as of January 2025'!$A$3:$M$322,9,FALSE)</f>
        <v>1.2250000000000001</v>
      </c>
      <c r="O244" s="165">
        <f t="shared" si="45"/>
        <v>4.4559999999999995</v>
      </c>
      <c r="P244" s="161">
        <f>VLOOKUP($A244,'Enroll Data as of January 2025'!$A$3:$M$322,11,FALSE)</f>
        <v>0.16499999999999998</v>
      </c>
      <c r="Q244" s="161">
        <f>VLOOKUP($A244,'Enroll Data as of January 2025'!$A$3:$M$322,12,FALSE)</f>
        <v>9.4E-2</v>
      </c>
      <c r="R244" s="165">
        <f t="shared" si="46"/>
        <v>0.25900000000000001</v>
      </c>
      <c r="S244" s="267">
        <f>IFERROR(VLOOKUP($A244,Supp_39,14,FALSE),0)+IFERROR(SUMPRODUCT(VLOOKUP($A244,S275_01,{14,15,16},FALSE)),0)+IFERROR(SUMPRODUCT(VLOOKUP($A244,S275_97,{14,15,16},FALSE)),0)+IFERROR(ROUND(VLOOKUP($A244,S275_21,14,FALSE)*VLOOKUP($A244,'3121% SY'!$C$3:$M$324,11,FALSE),3),0)+IFERROR(ROUND(VLOOKUP($A244,S275_21,15,FALSE)*VLOOKUP($A244,'3121% SY'!$C$3:$M$324,11,FALSE),3),0)+IFERROR(ROUND(VLOOKUP($A244,S275_21,16,FALSE)*VLOOKUP($A244,'3121% SY'!$C$3:$M$324,11,FALSE),3),0)+IFERROR(VLOOKUP($A244,S275_09,6,FALSE),0)</f>
        <v>1.5</v>
      </c>
      <c r="T244" s="267">
        <f>IFERROR(VLOOKUP($A244,Supp_42,14,FALSE),0)+IFERROR(SUMPRODUCT(VLOOKUP($A244,S275_01,{17,18,19},FALSE)),0)+IFERROR(SUMPRODUCT(VLOOKUP($A244,S275_97,{17,18,19},FALSE)),0)+IFERROR(ROUND(VLOOKUP($A244,S275_21,17,FALSE)*VLOOKUP($A244,'3121% SY'!$C$3:$M$324,11,FALSE),3),0)+IFERROR(ROUND(VLOOKUP($A244,S275_21,18,FALSE)*VLOOKUP($A244,'3121% SY'!$C$3:$M$324,11,FALSE),3),0)+IFERROR(ROUND(VLOOKUP($A244,S275_21,19,FALSE)*VLOOKUP($A244,'3121% SY'!$C$3:$M$324,11,FALSE),3),0)+IFERROR(VLOOKUP($A244,S275_09,7,FALSE),0)</f>
        <v>0</v>
      </c>
      <c r="U244" s="267">
        <f>IFERROR(VLOOKUP($A244,Supp_43,14,FALSE),0)+IFERROR(SUMPRODUCT(VLOOKUP($A244,S275_01,{20,21,22},FALSE)),0)+IFERROR(SUMPRODUCT(VLOOKUP($A244,S275_97,{20,21,22},FALSE)),0)+IFERROR(ROUND(VLOOKUP($A244,S275_21,20,FALSE)*VLOOKUP($A244,'3121% SY'!$C$3:$M$324,11,FALSE),3),0)+IFERROR(ROUND(VLOOKUP($A244,S275_21,21,FALSE)*VLOOKUP($A244,'3121% SY'!$C$3:$M$324,11,FALSE),3),0)+IFERROR(ROUND(VLOOKUP($A244,S275_21,22,FALSE)*VLOOKUP($A244,'3121% SY'!$C$3:$M$324,11,FALSE),3),0)+IFERROR(VLOOKUP($A244,S275_09,8,FALSE),0)</f>
        <v>0</v>
      </c>
      <c r="V244" s="267">
        <f>IFERROR(VLOOKUP($A244,Supp_44,14,FALSE),0)+IFERROR(SUMPRODUCT(VLOOKUP($A244,S275_01,{23,24,25},FALSE)),0)+IFERROR(SUMPRODUCT(VLOOKUP($A244,S275_97,{23,24,25},FALSE)),0)+IFERROR(ROUND(VLOOKUP($A244,S275_21,23,FALSE)*VLOOKUP($A244,'3121% SY'!$C$3:$M$324,11,FALSE),3),0)+IFERROR(ROUND(VLOOKUP($A244,S275_21,24,FALSE)*VLOOKUP($A244,'3121% SY'!$C$3:$M$324,11,FALSE),3),0)+IFERROR(ROUND(VLOOKUP($A244,S275_21,25,FALSE)*VLOOKUP($A244,'3121% SY'!$C$3:$M$324,11,FALSE),3),0)+IFERROR(VLOOKUP($A244,S275_09,9,FALSE),0)</f>
        <v>0</v>
      </c>
      <c r="W244" s="267">
        <f>IFERROR(VLOOKUP($A244,Supp_45,14,FALSE),0)+IFERROR(SUMPRODUCT(VLOOKUP($A244,S275_01,{26,27,28},FALSE)),0)+IFERROR(SUMPRODUCT(VLOOKUP($A244,S275_97,{26,27,28},FALSE)),0)+IFERROR(ROUND(VLOOKUP($A244,S275_21,26,FALSE)*VLOOKUP($A244,'3121% SY'!$C$3:$M$324,11,FALSE),3),0)+IFERROR(ROUND(VLOOKUP($A244,S275_21,27,FALSE)*VLOOKUP($A244,'3121% SY'!$C$3:$M$324,11,FALSE),3),0)+IFERROR(ROUND(VLOOKUP($A244,S275_21,28,FALSE)*VLOOKUP($A244,'3121% SY'!$C$3:$M$324,11,FALSE),3),0)+IFERROR(VLOOKUP($A244,S275_09,10,FALSE),0)</f>
        <v>0</v>
      </c>
      <c r="X244" s="267">
        <f>IFERROR(VLOOKUP($A244,Supp_46,14,FALSE),0)+IFERROR(SUMPRODUCT(VLOOKUP($A244,S275_01,{29,30,31},FALSE)),0)+IFERROR(SUMPRODUCT(VLOOKUP($A244,S275_97,{29,30,31},FALSE)),0)+IFERROR(ROUND(VLOOKUP($A244,S275_21,29,FALSE)*VLOOKUP($A244,'3121% SY'!$C$3:$M$324,11,FALSE),3),0)+IFERROR(ROUND(VLOOKUP($A244,S275_21,30,FALSE)*VLOOKUP($A244,'3121% SY'!$C$3:$M$324,11,FALSE),3),0)+IFERROR(ROUND(VLOOKUP($A244,S275_21,31,FALSE)*VLOOKUP($A244,'3121% SY'!$C$3:$M$324,11,FALSE),3),0)+IFERROR(VLOOKUP($A244,S275_09,11,FALSE),0)</f>
        <v>0</v>
      </c>
      <c r="Y244" s="267">
        <f>IFERROR(VLOOKUP($A244,Supp_47,14,FALSE),0)+IFERROR(SUMPRODUCT(VLOOKUP($A244,S275_01,{32,33,34},FALSE)),0)+IFERROR(SUMPRODUCT(VLOOKUP($A244,S275_97,{32,33,34},FALSE)),0)+IFERROR(ROUND(VLOOKUP($A244,S275_21,32,FALSE)*VLOOKUP($A244,'3121% SY'!$C$3:$M$324,11,FALSE),3),0)+IFERROR(ROUND(VLOOKUP($A244,S275_21,33,FALSE)*VLOOKUP($A244,'3121% SY'!$C$3:$M$324,11,FALSE),3),0)+IFERROR(ROUND(VLOOKUP($A244,S275_21,34,FALSE)*VLOOKUP($A244,'3121% SY'!$C$3:$M$324,11,FALSE),3),0)+IFERROR(VLOOKUP($A244,S275_09,12,FALSE),0)</f>
        <v>0</v>
      </c>
      <c r="Z244" s="267">
        <f>IFERROR(VLOOKUP($A244,Supp_48,14,FALSE),0)+IFERROR(SUMPRODUCT(VLOOKUP($A244,S275_01,{35,36,37},FALSE)),0)+IFERROR(SUMPRODUCT(VLOOKUP($A244,S275_97,{35,36,37},FALSE)),0)+IFERROR(ROUND(VLOOKUP($A244,S275_21,35,FALSE)*VLOOKUP($A244,'3121% SY'!$C$3:$M$324,11,FALSE),3),0)+IFERROR(ROUND(VLOOKUP($A244,S275_21,36,FALSE)*VLOOKUP($A244,'3121% SY'!$C$3:$M$324,11,FALSE),3),0)+IFERROR(ROUND(VLOOKUP($A244,S275_21,37,FALSE)*VLOOKUP($A244,'3121% SY'!$C$3:$M$324,11,FALSE),3),0)+IFERROR(VLOOKUP($A244,S275_09,13,FALSE),0)</f>
        <v>0</v>
      </c>
      <c r="AA244" s="267">
        <f>IFERROR(VLOOKUP($A244,Supp_49,14,FALSE),0)+IFERROR(SUMPRODUCT(VLOOKUP($A244,S275_01,{38,39,40},FALSE)),0)+IFERROR(SUMPRODUCT(VLOOKUP($A244,S275_97,{38,39,40},FALSE)),0)+IFERROR(ROUND(VLOOKUP($A244,S275_21,38,FALSE)*VLOOKUP($A244,'3121% SY'!$C$3:$M$324,11,FALSE),3),0)+IFERROR(ROUND(VLOOKUP($A244,S275_21,39,FALSE)*VLOOKUP($A244,'3121% SY'!$C$3:$M$324,11,FALSE),3),0)+IFERROR(ROUND(VLOOKUP($A244,S275_21,40,FALSE)*VLOOKUP($A244,'3121% SY'!$C$3:$M$324,11,FALSE),3),0)+IFERROR(VLOOKUP($A244,S275_09,14,FALSE),0)</f>
        <v>0</v>
      </c>
      <c r="AB244" s="267">
        <f>IFERROR(VLOOKUP($A244,Supp_64,14,FALSE),0)+IFERROR(SUMPRODUCT(VLOOKUP($A244,S275_01,{41,42,43},FALSE)),0)+IFERROR(SUMPRODUCT(VLOOKUP($A244,S275_97,{41,42,43},FALSE)),0)+IFERROR(ROUND(VLOOKUP($A244,S275_21,41,FALSE)*VLOOKUP($A244,'3121% SY'!$C$3:$M$324,11,FALSE),3),0)+IFERROR(ROUND(VLOOKUP($A244,S275_21,42,FALSE)*VLOOKUP($A244,'3121% SY'!$C$3:$M$324,11,FALSE),3),0)+IFERROR(ROUND(VLOOKUP($A244,S275_21,43,FALSE)*VLOOKUP($A244,'3121% SY'!$C$3:$M$324,11,FALSE),3),0)+IFERROR(VLOOKUP($A244,S275_09,15,FALSE),0)</f>
        <v>0</v>
      </c>
      <c r="AC244" s="268">
        <f t="shared" si="47"/>
        <v>1.5</v>
      </c>
      <c r="AD244" s="267">
        <f>IFERROR(VLOOKUP($A244,Supp_24,14,FALSE),0)+IFERROR(SUMPRODUCT(VLOOKUP($A244,S275_01,{2,3,4},FALSE)),0)+IFERROR(SUMPRODUCT(VLOOKUP($A244,S275_97,{2,3,4},FALSE)),0)+IFERROR(ROUND(VLOOKUP($A244,S275_21,2,FALSE)*VLOOKUP($A244,'3121% SY'!$C$3:$M$324,11,FALSE),3),0)+IFERROR(ROUND(VLOOKUP($A244,S275_21,3,FALSE)*VLOOKUP($A244,'3121% SY'!$C$3:$M$324,11,FALSE),3),0)+IFERROR(ROUND(VLOOKUP($A244,S275_21,4,FALSE)*VLOOKUP($A244,'3121% SY'!$C$3:$M$324,11,FALSE),3),0)+IFERROR(VLOOKUP($A244,S275_09,2,FALSE),0)</f>
        <v>0</v>
      </c>
      <c r="AE244" s="267">
        <f>IFERROR(VLOOKUP($A244,Supp_25,14,FALSE),0)+IFERROR(SUMPRODUCT(VLOOKUP($A244,S275_01,{5,6,7},FALSE)),0)+IFERROR(SUMPRODUCT(VLOOKUP($A244,S275_97,{5,6,7},FALSE)),0)+IFERROR(ROUND(VLOOKUP($A244,S275_21,5,FALSE)*VLOOKUP($A244,'3121% SY'!$C$3:$M$324,11,FALSE),3),0)+IFERROR(ROUND(VLOOKUP($A244,S275_21,6,FALSE)*VLOOKUP($A244,'3121% SY'!$C$3:$M$324,11,FALSE),3),0)+IFERROR(ROUND(VLOOKUP($A244,S275_21,7,FALSE)*VLOOKUP($A244,'3121% SY'!$C$3:$M$324,11,FALSE),3),0)+IFERROR(VLOOKUP($A244,S275_09,3,FALSE),0)</f>
        <v>1.0329999999999999</v>
      </c>
      <c r="AF244" s="267">
        <f>IFERROR(VLOOKUP($A244,Supp_26,14,FALSE),0)+IFERROR(SUMPRODUCT(VLOOKUP($A244,S275_01,{8,9,10},FALSE)),0)+IFERROR(SUMPRODUCT(VLOOKUP($A244,S275_97,{8,9,10},FALSE)),0)+IFERROR(ROUND(VLOOKUP($A244,S275_21,8,FALSE)*VLOOKUP($A244,'3121% SY'!$C$3:$M$324,11,FALSE),3),0)+IFERROR(ROUND(VLOOKUP($A244,S275_21,9,FALSE)*VLOOKUP($A244,'3121% SY'!$C$3:$M$324,11,FALSE),3),0)+IFERROR(ROUND(VLOOKUP($A244,S275_21,10,FALSE)*VLOOKUP($A244,'3121% SY'!$C$3:$M$324,11,FALSE),3),0)+IFERROR(VLOOKUP($A244,S275_09,4,FALSE),0)</f>
        <v>0.80400000000000005</v>
      </c>
      <c r="AG244" s="267">
        <f>IFERROR(VLOOKUP($A244,Supp_35,14,FALSE),0)+IFERROR(SUMPRODUCT(VLOOKUP($A244,S275_01,{11,12,13},FALSE)),0)+IFERROR(SUMPRODUCT(VLOOKUP($A244,S275_97,{11,12,13},FALSE)),0)+IFERROR(ROUND(VLOOKUP($A244,S275_21,11,FALSE)*VLOOKUP($A244,'3121% SY'!$C$3:$M$324,11,FALSE),3),0)+IFERROR(ROUND(VLOOKUP($A244,S275_21,12,FALSE)*VLOOKUP($A244,'3121% SY'!$C$3:$M$324,11,FALSE),3),0)+IFERROR(ROUND(VLOOKUP($A244,S275_21,13,FALSE)*VLOOKUP($A244,'3121% SY'!$C$3:$M$324,11,FALSE),3),0)+IFERROR(VLOOKUP($A244,S275_09,5,FALSE),0)</f>
        <v>0</v>
      </c>
      <c r="AH244" s="165">
        <f t="shared" si="48"/>
        <v>1.837</v>
      </c>
      <c r="AI244" s="161">
        <f>IFERROR(VLOOKUP(A244,'Supp Staff Data'!A:ER,148,FALSE),0)+AB244</f>
        <v>0</v>
      </c>
      <c r="AJ244" s="174">
        <v>0.85709999999999997</v>
      </c>
      <c r="AK244" s="25">
        <f>VLOOKUP(A244,'Enroll Data as of January 2025'!$A$3:$T$323,20,FALSE)-F244</f>
        <v>0</v>
      </c>
    </row>
    <row r="245" spans="1:37" x14ac:dyDescent="0.25">
      <c r="A245" s="171" t="s">
        <v>109</v>
      </c>
      <c r="B245" t="s">
        <v>405</v>
      </c>
      <c r="C245" s="173" t="s">
        <v>1077</v>
      </c>
      <c r="D245" s="259">
        <f t="shared" si="40"/>
        <v>36.567</v>
      </c>
      <c r="E245" s="259">
        <f t="shared" si="41"/>
        <v>45.913000000000004</v>
      </c>
      <c r="F245" s="262">
        <f t="shared" si="49"/>
        <v>9.3460000000000001</v>
      </c>
      <c r="G245" s="161">
        <f>ROUND(IF(F245&lt;0,F245*'2024-25 PSES Compliance'!$G$13,0),3)</f>
        <v>0</v>
      </c>
      <c r="H245" s="161">
        <f>ROUND(IF(F245&lt;0,F245*'2024-25 PSES Compliance'!$G$14,0),3)</f>
        <v>0</v>
      </c>
      <c r="I245" s="174">
        <f t="shared" si="43"/>
        <v>0.80630758173066452</v>
      </c>
      <c r="J245" s="174">
        <f t="shared" si="44"/>
        <v>0</v>
      </c>
      <c r="K245" s="161">
        <f>VLOOKUP($A245,'Enroll Data as of January 2025'!$A$3:$M$322,6,FALSE)</f>
        <v>20.709</v>
      </c>
      <c r="L245" s="161">
        <f>VLOOKUP($A245,'Enroll Data as of January 2025'!$A$3:$M$322,7,FALSE)</f>
        <v>3.3130000000000002</v>
      </c>
      <c r="M245" s="161">
        <f>VLOOKUP($A245,'Enroll Data as of January 2025'!$A$3:$M$322,8,FALSE)</f>
        <v>1.1120000000000001</v>
      </c>
      <c r="N245" s="161">
        <f>VLOOKUP($A245,'Enroll Data as of January 2025'!$A$3:$M$322,9,FALSE)</f>
        <v>9.4109999999999996</v>
      </c>
      <c r="O245" s="165">
        <f t="shared" si="45"/>
        <v>34.545000000000002</v>
      </c>
      <c r="P245" s="161">
        <f>VLOOKUP($A245,'Enroll Data as of January 2025'!$A$3:$M$322,11,FALSE)</f>
        <v>1.2839999999999998</v>
      </c>
      <c r="Q245" s="161">
        <f>VLOOKUP($A245,'Enroll Data as of January 2025'!$A$3:$M$322,12,FALSE)</f>
        <v>0.73799999999999999</v>
      </c>
      <c r="R245" s="165">
        <f t="shared" si="46"/>
        <v>2.0219999999999998</v>
      </c>
      <c r="S245" s="267">
        <f>IFERROR(VLOOKUP($A245,Supp_39,14,FALSE),0)+IFERROR(SUMPRODUCT(VLOOKUP($A245,S275_01,{14,15,16},FALSE)),0)+IFERROR(SUMPRODUCT(VLOOKUP($A245,S275_97,{14,15,16},FALSE)),0)+IFERROR(ROUND(VLOOKUP($A245,S275_21,14,FALSE)*VLOOKUP($A245,'3121% SY'!$C$3:$M$324,11,FALSE),3),0)+IFERROR(ROUND(VLOOKUP($A245,S275_21,15,FALSE)*VLOOKUP($A245,'3121% SY'!$C$3:$M$324,11,FALSE),3),0)+IFERROR(ROUND(VLOOKUP($A245,S275_21,16,FALSE)*VLOOKUP($A245,'3121% SY'!$C$3:$M$324,11,FALSE),3),0)+IFERROR(VLOOKUP($A245,S275_09,6,FALSE),0)</f>
        <v>12.870000000000001</v>
      </c>
      <c r="T245" s="267">
        <f>IFERROR(VLOOKUP($A245,Supp_42,14,FALSE),0)+IFERROR(SUMPRODUCT(VLOOKUP($A245,S275_01,{17,18,19},FALSE)),0)+IFERROR(SUMPRODUCT(VLOOKUP($A245,S275_97,{17,18,19},FALSE)),0)+IFERROR(ROUND(VLOOKUP($A245,S275_21,17,FALSE)*VLOOKUP($A245,'3121% SY'!$C$3:$M$324,11,FALSE),3),0)+IFERROR(ROUND(VLOOKUP($A245,S275_21,18,FALSE)*VLOOKUP($A245,'3121% SY'!$C$3:$M$324,11,FALSE),3),0)+IFERROR(ROUND(VLOOKUP($A245,S275_21,19,FALSE)*VLOOKUP($A245,'3121% SY'!$C$3:$M$324,11,FALSE),3),0)+IFERROR(VLOOKUP($A245,S275_09,7,FALSE),0)</f>
        <v>3.25</v>
      </c>
      <c r="U245" s="267">
        <f>IFERROR(VLOOKUP($A245,Supp_43,14,FALSE),0)+IFERROR(SUMPRODUCT(VLOOKUP($A245,S275_01,{20,21,22},FALSE)),0)+IFERROR(SUMPRODUCT(VLOOKUP($A245,S275_97,{20,21,22},FALSE)),0)+IFERROR(ROUND(VLOOKUP($A245,S275_21,20,FALSE)*VLOOKUP($A245,'3121% SY'!$C$3:$M$324,11,FALSE),3),0)+IFERROR(ROUND(VLOOKUP($A245,S275_21,21,FALSE)*VLOOKUP($A245,'3121% SY'!$C$3:$M$324,11,FALSE),3),0)+IFERROR(ROUND(VLOOKUP($A245,S275_21,22,FALSE)*VLOOKUP($A245,'3121% SY'!$C$3:$M$324,11,FALSE),3),0)+IFERROR(VLOOKUP($A245,S275_09,8,FALSE),0)</f>
        <v>3.5670000000000002</v>
      </c>
      <c r="V245" s="267">
        <f>IFERROR(VLOOKUP($A245,Supp_44,14,FALSE),0)+IFERROR(SUMPRODUCT(VLOOKUP($A245,S275_01,{23,24,25},FALSE)),0)+IFERROR(SUMPRODUCT(VLOOKUP($A245,S275_97,{23,24,25},FALSE)),0)+IFERROR(ROUND(VLOOKUP($A245,S275_21,23,FALSE)*VLOOKUP($A245,'3121% SY'!$C$3:$M$324,11,FALSE),3),0)+IFERROR(ROUND(VLOOKUP($A245,S275_21,24,FALSE)*VLOOKUP($A245,'3121% SY'!$C$3:$M$324,11,FALSE),3),0)+IFERROR(ROUND(VLOOKUP($A245,S275_21,25,FALSE)*VLOOKUP($A245,'3121% SY'!$C$3:$M$324,11,FALSE),3),0)+IFERROR(VLOOKUP($A245,S275_09,9,FALSE),0)</f>
        <v>1.3</v>
      </c>
      <c r="W245" s="267">
        <f>IFERROR(VLOOKUP($A245,Supp_45,14,FALSE),0)+IFERROR(SUMPRODUCT(VLOOKUP($A245,S275_01,{26,27,28},FALSE)),0)+IFERROR(SUMPRODUCT(VLOOKUP($A245,S275_97,{26,27,28},FALSE)),0)+IFERROR(ROUND(VLOOKUP($A245,S275_21,26,FALSE)*VLOOKUP($A245,'3121% SY'!$C$3:$M$324,11,FALSE),3),0)+IFERROR(ROUND(VLOOKUP($A245,S275_21,27,FALSE)*VLOOKUP($A245,'3121% SY'!$C$3:$M$324,11,FALSE),3),0)+IFERROR(ROUND(VLOOKUP($A245,S275_21,28,FALSE)*VLOOKUP($A245,'3121% SY'!$C$3:$M$324,11,FALSE),3),0)+IFERROR(VLOOKUP($A245,S275_09,10,FALSE),0)</f>
        <v>2.109</v>
      </c>
      <c r="X245" s="267">
        <f>IFERROR(VLOOKUP($A245,Supp_46,14,FALSE),0)+IFERROR(SUMPRODUCT(VLOOKUP($A245,S275_01,{29,30,31},FALSE)),0)+IFERROR(SUMPRODUCT(VLOOKUP($A245,S275_97,{29,30,31},FALSE)),0)+IFERROR(ROUND(VLOOKUP($A245,S275_21,29,FALSE)*VLOOKUP($A245,'3121% SY'!$C$3:$M$324,11,FALSE),3),0)+IFERROR(ROUND(VLOOKUP($A245,S275_21,30,FALSE)*VLOOKUP($A245,'3121% SY'!$C$3:$M$324,11,FALSE),3),0)+IFERROR(ROUND(VLOOKUP($A245,S275_21,31,FALSE)*VLOOKUP($A245,'3121% SY'!$C$3:$M$324,11,FALSE),3),0)+IFERROR(VLOOKUP($A245,S275_09,11,FALSE),0)</f>
        <v>12.243</v>
      </c>
      <c r="Y245" s="267">
        <f>IFERROR(VLOOKUP($A245,Supp_47,14,FALSE),0)+IFERROR(SUMPRODUCT(VLOOKUP($A245,S275_01,{32,33,34},FALSE)),0)+IFERROR(SUMPRODUCT(VLOOKUP($A245,S275_97,{32,33,34},FALSE)),0)+IFERROR(ROUND(VLOOKUP($A245,S275_21,32,FALSE)*VLOOKUP($A245,'3121% SY'!$C$3:$M$324,11,FALSE),3),0)+IFERROR(ROUND(VLOOKUP($A245,S275_21,33,FALSE)*VLOOKUP($A245,'3121% SY'!$C$3:$M$324,11,FALSE),3),0)+IFERROR(ROUND(VLOOKUP($A245,S275_21,34,FALSE)*VLOOKUP($A245,'3121% SY'!$C$3:$M$324,11,FALSE),3),0)+IFERROR(VLOOKUP($A245,S275_09,12,FALSE),0)</f>
        <v>0.65</v>
      </c>
      <c r="Z245" s="267">
        <f>IFERROR(VLOOKUP($A245,Supp_48,14,FALSE),0)+IFERROR(SUMPRODUCT(VLOOKUP($A245,S275_01,{35,36,37},FALSE)),0)+IFERROR(SUMPRODUCT(VLOOKUP($A245,S275_97,{35,36,37},FALSE)),0)+IFERROR(ROUND(VLOOKUP($A245,S275_21,35,FALSE)*VLOOKUP($A245,'3121% SY'!$C$3:$M$324,11,FALSE),3),0)+IFERROR(ROUND(VLOOKUP($A245,S275_21,36,FALSE)*VLOOKUP($A245,'3121% SY'!$C$3:$M$324,11,FALSE),3),0)+IFERROR(ROUND(VLOOKUP($A245,S275_21,37,FALSE)*VLOOKUP($A245,'3121% SY'!$C$3:$M$324,11,FALSE),3),0)+IFERROR(VLOOKUP($A245,S275_09,13,FALSE),0)</f>
        <v>1.0309999999999999</v>
      </c>
      <c r="AA245" s="267">
        <f>IFERROR(VLOOKUP($A245,Supp_49,14,FALSE),0)+IFERROR(SUMPRODUCT(VLOOKUP($A245,S275_01,{38,39,40},FALSE)),0)+IFERROR(SUMPRODUCT(VLOOKUP($A245,S275_97,{38,39,40},FALSE)),0)+IFERROR(ROUND(VLOOKUP($A245,S275_21,38,FALSE)*VLOOKUP($A245,'3121% SY'!$C$3:$M$324,11,FALSE),3),0)+IFERROR(ROUND(VLOOKUP($A245,S275_21,39,FALSE)*VLOOKUP($A245,'3121% SY'!$C$3:$M$324,11,FALSE),3),0)+IFERROR(ROUND(VLOOKUP($A245,S275_21,40,FALSE)*VLOOKUP($A245,'3121% SY'!$C$3:$M$324,11,FALSE),3),0)+IFERROR(VLOOKUP($A245,S275_09,14,FALSE),0)</f>
        <v>0</v>
      </c>
      <c r="AB245" s="267">
        <f>IFERROR(VLOOKUP($A245,Supp_64,14,FALSE),0)+IFERROR(SUMPRODUCT(VLOOKUP($A245,S275_01,{41,42,43},FALSE)),0)+IFERROR(SUMPRODUCT(VLOOKUP($A245,S275_97,{41,42,43},FALSE)),0)+IFERROR(ROUND(VLOOKUP($A245,S275_21,41,FALSE)*VLOOKUP($A245,'3121% SY'!$C$3:$M$324,11,FALSE),3),0)+IFERROR(ROUND(VLOOKUP($A245,S275_21,42,FALSE)*VLOOKUP($A245,'3121% SY'!$C$3:$M$324,11,FALSE),3),0)+IFERROR(ROUND(VLOOKUP($A245,S275_21,43,FALSE)*VLOOKUP($A245,'3121% SY'!$C$3:$M$324,11,FALSE),3),0)+IFERROR(VLOOKUP($A245,S275_09,15,FALSE),0)</f>
        <v>0</v>
      </c>
      <c r="AC245" s="268">
        <f t="shared" si="47"/>
        <v>37.020000000000003</v>
      </c>
      <c r="AD245" s="267">
        <f>IFERROR(VLOOKUP($A245,Supp_24,14,FALSE),0)+IFERROR(SUMPRODUCT(VLOOKUP($A245,S275_01,{2,3,4},FALSE)),0)+IFERROR(SUMPRODUCT(VLOOKUP($A245,S275_97,{2,3,4},FALSE)),0)+IFERROR(ROUND(VLOOKUP($A245,S275_21,2,FALSE)*VLOOKUP($A245,'3121% SY'!$C$3:$M$324,11,FALSE),3),0)+IFERROR(ROUND(VLOOKUP($A245,S275_21,3,FALSE)*VLOOKUP($A245,'3121% SY'!$C$3:$M$324,11,FALSE),3),0)+IFERROR(ROUND(VLOOKUP($A245,S275_21,4,FALSE)*VLOOKUP($A245,'3121% SY'!$C$3:$M$324,11,FALSE),3),0)+IFERROR(VLOOKUP($A245,S275_09,2,FALSE),0)</f>
        <v>0.70799999999999996</v>
      </c>
      <c r="AE245" s="267">
        <f>IFERROR(VLOOKUP($A245,Supp_25,14,FALSE),0)+IFERROR(SUMPRODUCT(VLOOKUP($A245,S275_01,{5,6,7},FALSE)),0)+IFERROR(SUMPRODUCT(VLOOKUP($A245,S275_97,{5,6,7},FALSE)),0)+IFERROR(ROUND(VLOOKUP($A245,S275_21,5,FALSE)*VLOOKUP($A245,'3121% SY'!$C$3:$M$324,11,FALSE),3),0)+IFERROR(ROUND(VLOOKUP($A245,S275_21,6,FALSE)*VLOOKUP($A245,'3121% SY'!$C$3:$M$324,11,FALSE),3),0)+IFERROR(ROUND(VLOOKUP($A245,S275_21,7,FALSE)*VLOOKUP($A245,'3121% SY'!$C$3:$M$324,11,FALSE),3),0)+IFERROR(VLOOKUP($A245,S275_09,3,FALSE),0)</f>
        <v>6.1740000000000004</v>
      </c>
      <c r="AF245" s="267">
        <f>IFERROR(VLOOKUP($A245,Supp_26,14,FALSE),0)+IFERROR(SUMPRODUCT(VLOOKUP($A245,S275_01,{8,9,10},FALSE)),0)+IFERROR(SUMPRODUCT(VLOOKUP($A245,S275_97,{8,9,10},FALSE)),0)+IFERROR(ROUND(VLOOKUP($A245,S275_21,8,FALSE)*VLOOKUP($A245,'3121% SY'!$C$3:$M$324,11,FALSE),3),0)+IFERROR(ROUND(VLOOKUP($A245,S275_21,9,FALSE)*VLOOKUP($A245,'3121% SY'!$C$3:$M$324,11,FALSE),3),0)+IFERROR(ROUND(VLOOKUP($A245,S275_21,10,FALSE)*VLOOKUP($A245,'3121% SY'!$C$3:$M$324,11,FALSE),3),0)+IFERROR(VLOOKUP($A245,S275_09,4,FALSE),0)</f>
        <v>2.0110000000000001</v>
      </c>
      <c r="AG245" s="267">
        <f>IFERROR(VLOOKUP($A245,Supp_35,14,FALSE),0)+IFERROR(SUMPRODUCT(VLOOKUP($A245,S275_01,{11,12,13},FALSE)),0)+IFERROR(SUMPRODUCT(VLOOKUP($A245,S275_97,{11,12,13},FALSE)),0)+IFERROR(ROUND(VLOOKUP($A245,S275_21,11,FALSE)*VLOOKUP($A245,'3121% SY'!$C$3:$M$324,11,FALSE),3),0)+IFERROR(ROUND(VLOOKUP($A245,S275_21,12,FALSE)*VLOOKUP($A245,'3121% SY'!$C$3:$M$324,11,FALSE),3),0)+IFERROR(ROUND(VLOOKUP($A245,S275_21,13,FALSE)*VLOOKUP($A245,'3121% SY'!$C$3:$M$324,11,FALSE),3),0)+IFERROR(VLOOKUP($A245,S275_09,5,FALSE),0)</f>
        <v>0</v>
      </c>
      <c r="AH245" s="165">
        <f t="shared" si="48"/>
        <v>8.8930000000000007</v>
      </c>
      <c r="AI245" s="161">
        <f>IFERROR(VLOOKUP(A245,'Supp Staff Data'!A:ER,148,FALSE),0)+AB245</f>
        <v>0</v>
      </c>
      <c r="AJ245" s="174">
        <v>1</v>
      </c>
      <c r="AK245" s="25">
        <f>VLOOKUP(A245,'Enroll Data as of January 2025'!$A$3:$T$323,20,FALSE)-F245</f>
        <v>0</v>
      </c>
    </row>
    <row r="246" spans="1:37" x14ac:dyDescent="0.25">
      <c r="A246" s="171" t="s">
        <v>190</v>
      </c>
      <c r="B246" t="s">
        <v>485</v>
      </c>
      <c r="C246" s="173" t="s">
        <v>1077</v>
      </c>
      <c r="D246" s="259">
        <f t="shared" si="40"/>
        <v>13.99</v>
      </c>
      <c r="E246" s="259">
        <f t="shared" si="41"/>
        <v>16.29</v>
      </c>
      <c r="F246" s="262">
        <f t="shared" si="49"/>
        <v>2.2999999999999998</v>
      </c>
      <c r="G246" s="161">
        <f>ROUND(IF(F246&lt;0,F246*'2024-25 PSES Compliance'!$G$13,0),3)</f>
        <v>0</v>
      </c>
      <c r="H246" s="161">
        <f>ROUND(IF(F246&lt;0,F246*'2024-25 PSES Compliance'!$G$14,0),3)</f>
        <v>0</v>
      </c>
      <c r="I246" s="174">
        <f t="shared" si="43"/>
        <v>0.47415592387968081</v>
      </c>
      <c r="J246" s="174">
        <f t="shared" si="44"/>
        <v>0</v>
      </c>
      <c r="K246" s="161">
        <f>VLOOKUP($A246,'Enroll Data as of January 2025'!$A$3:$M$322,6,FALSE)</f>
        <v>7.8230000000000004</v>
      </c>
      <c r="L246" s="161">
        <f>VLOOKUP($A246,'Enroll Data as of January 2025'!$A$3:$M$322,7,FALSE)</f>
        <v>1.3239999999999998</v>
      </c>
      <c r="M246" s="161">
        <f>VLOOKUP($A246,'Enroll Data as of January 2025'!$A$3:$M$322,8,FALSE)</f>
        <v>0.44500000000000001</v>
      </c>
      <c r="N246" s="161">
        <f>VLOOKUP($A246,'Enroll Data as of January 2025'!$A$3:$M$322,9,FALSE)</f>
        <v>3.6029999999999998</v>
      </c>
      <c r="O246" s="165">
        <f t="shared" si="45"/>
        <v>13.195</v>
      </c>
      <c r="P246" s="161">
        <f>VLOOKUP($A246,'Enroll Data as of January 2025'!$A$3:$M$322,11,FALSE)</f>
        <v>0.49399999999999999</v>
      </c>
      <c r="Q246" s="161">
        <f>VLOOKUP($A246,'Enroll Data as of January 2025'!$A$3:$M$322,12,FALSE)</f>
        <v>0.30099999999999999</v>
      </c>
      <c r="R246" s="165">
        <f t="shared" si="46"/>
        <v>0.79499999999999993</v>
      </c>
      <c r="S246" s="267">
        <f>IFERROR(VLOOKUP($A246,Supp_39,14,FALSE),0)+IFERROR(SUMPRODUCT(VLOOKUP($A246,S275_01,{14,15,16},FALSE)),0)+IFERROR(SUMPRODUCT(VLOOKUP($A246,S275_97,{14,15,16},FALSE)),0)+IFERROR(ROUND(VLOOKUP($A246,S275_21,14,FALSE)*VLOOKUP($A246,'3121% SY'!$C$3:$M$324,11,FALSE),3),0)+IFERROR(ROUND(VLOOKUP($A246,S275_21,15,FALSE)*VLOOKUP($A246,'3121% SY'!$C$3:$M$324,11,FALSE),3),0)+IFERROR(ROUND(VLOOKUP($A246,S275_21,16,FALSE)*VLOOKUP($A246,'3121% SY'!$C$3:$M$324,11,FALSE),3),0)+IFERROR(VLOOKUP($A246,S275_09,6,FALSE),0)</f>
        <v>5</v>
      </c>
      <c r="T246" s="267">
        <f>IFERROR(VLOOKUP($A246,Supp_42,14,FALSE),0)+IFERROR(SUMPRODUCT(VLOOKUP($A246,S275_01,{17,18,19},FALSE)),0)+IFERROR(SUMPRODUCT(VLOOKUP($A246,S275_97,{17,18,19},FALSE)),0)+IFERROR(ROUND(VLOOKUP($A246,S275_21,17,FALSE)*VLOOKUP($A246,'3121% SY'!$C$3:$M$324,11,FALSE),3),0)+IFERROR(ROUND(VLOOKUP($A246,S275_21,18,FALSE)*VLOOKUP($A246,'3121% SY'!$C$3:$M$324,11,FALSE),3),0)+IFERROR(ROUND(VLOOKUP($A246,S275_21,19,FALSE)*VLOOKUP($A246,'3121% SY'!$C$3:$M$324,11,FALSE),3),0)+IFERROR(VLOOKUP($A246,S275_09,7,FALSE),0)</f>
        <v>1.2</v>
      </c>
      <c r="U246" s="267">
        <f>IFERROR(VLOOKUP($A246,Supp_43,14,FALSE),0)+IFERROR(SUMPRODUCT(VLOOKUP($A246,S275_01,{20,21,22},FALSE)),0)+IFERROR(SUMPRODUCT(VLOOKUP($A246,S275_97,{20,21,22},FALSE)),0)+IFERROR(ROUND(VLOOKUP($A246,S275_21,20,FALSE)*VLOOKUP($A246,'3121% SY'!$C$3:$M$324,11,FALSE),3),0)+IFERROR(ROUND(VLOOKUP($A246,S275_21,21,FALSE)*VLOOKUP($A246,'3121% SY'!$C$3:$M$324,11,FALSE),3),0)+IFERROR(ROUND(VLOOKUP($A246,S275_21,22,FALSE)*VLOOKUP($A246,'3121% SY'!$C$3:$M$324,11,FALSE),3),0)+IFERROR(VLOOKUP($A246,S275_09,8,FALSE),0)</f>
        <v>0</v>
      </c>
      <c r="V246" s="267">
        <f>IFERROR(VLOOKUP($A246,Supp_44,14,FALSE),0)+IFERROR(SUMPRODUCT(VLOOKUP($A246,S275_01,{23,24,25},FALSE)),0)+IFERROR(SUMPRODUCT(VLOOKUP($A246,S275_97,{23,24,25},FALSE)),0)+IFERROR(ROUND(VLOOKUP($A246,S275_21,23,FALSE)*VLOOKUP($A246,'3121% SY'!$C$3:$M$324,11,FALSE),3),0)+IFERROR(ROUND(VLOOKUP($A246,S275_21,24,FALSE)*VLOOKUP($A246,'3121% SY'!$C$3:$M$324,11,FALSE),3),0)+IFERROR(ROUND(VLOOKUP($A246,S275_21,25,FALSE)*VLOOKUP($A246,'3121% SY'!$C$3:$M$324,11,FALSE),3),0)+IFERROR(VLOOKUP($A246,S275_09,9,FALSE),0)</f>
        <v>0</v>
      </c>
      <c r="W246" s="267">
        <f>IFERROR(VLOOKUP($A246,Supp_45,14,FALSE),0)+IFERROR(SUMPRODUCT(VLOOKUP($A246,S275_01,{26,27,28},FALSE)),0)+IFERROR(SUMPRODUCT(VLOOKUP($A246,S275_97,{26,27,28},FALSE)),0)+IFERROR(ROUND(VLOOKUP($A246,S275_21,26,FALSE)*VLOOKUP($A246,'3121% SY'!$C$3:$M$324,11,FALSE),3),0)+IFERROR(ROUND(VLOOKUP($A246,S275_21,27,FALSE)*VLOOKUP($A246,'3121% SY'!$C$3:$M$324,11,FALSE),3),0)+IFERROR(ROUND(VLOOKUP($A246,S275_21,28,FALSE)*VLOOKUP($A246,'3121% SY'!$C$3:$M$324,11,FALSE),3),0)+IFERROR(VLOOKUP($A246,S275_09,10,FALSE),0)</f>
        <v>0.52400000000000002</v>
      </c>
      <c r="X246" s="267">
        <f>IFERROR(VLOOKUP($A246,Supp_46,14,FALSE),0)+IFERROR(SUMPRODUCT(VLOOKUP($A246,S275_01,{29,30,31},FALSE)),0)+IFERROR(SUMPRODUCT(VLOOKUP($A246,S275_97,{29,30,31},FALSE)),0)+IFERROR(ROUND(VLOOKUP($A246,S275_21,29,FALSE)*VLOOKUP($A246,'3121% SY'!$C$3:$M$324,11,FALSE),3),0)+IFERROR(ROUND(VLOOKUP($A246,S275_21,30,FALSE)*VLOOKUP($A246,'3121% SY'!$C$3:$M$324,11,FALSE),3),0)+IFERROR(ROUND(VLOOKUP($A246,S275_21,31,FALSE)*VLOOKUP($A246,'3121% SY'!$C$3:$M$324,11,FALSE),3),0)+IFERROR(VLOOKUP($A246,S275_09,11,FALSE),0)</f>
        <v>0.84000000000000008</v>
      </c>
      <c r="Y246" s="267">
        <f>IFERROR(VLOOKUP($A246,Supp_47,14,FALSE),0)+IFERROR(SUMPRODUCT(VLOOKUP($A246,S275_01,{32,33,34},FALSE)),0)+IFERROR(SUMPRODUCT(VLOOKUP($A246,S275_97,{32,33,34},FALSE)),0)+IFERROR(ROUND(VLOOKUP($A246,S275_21,32,FALSE)*VLOOKUP($A246,'3121% SY'!$C$3:$M$324,11,FALSE),3),0)+IFERROR(ROUND(VLOOKUP($A246,S275_21,33,FALSE)*VLOOKUP($A246,'3121% SY'!$C$3:$M$324,11,FALSE),3),0)+IFERROR(ROUND(VLOOKUP($A246,S275_21,34,FALSE)*VLOOKUP($A246,'3121% SY'!$C$3:$M$324,11,FALSE),3),0)+IFERROR(VLOOKUP($A246,S275_09,12,FALSE),0)</f>
        <v>0.16</v>
      </c>
      <c r="Z246" s="267">
        <f>IFERROR(VLOOKUP($A246,Supp_48,14,FALSE),0)+IFERROR(SUMPRODUCT(VLOOKUP($A246,S275_01,{35,36,37},FALSE)),0)+IFERROR(SUMPRODUCT(VLOOKUP($A246,S275_97,{35,36,37},FALSE)),0)+IFERROR(ROUND(VLOOKUP($A246,S275_21,35,FALSE)*VLOOKUP($A246,'3121% SY'!$C$3:$M$324,11,FALSE),3),0)+IFERROR(ROUND(VLOOKUP($A246,S275_21,36,FALSE)*VLOOKUP($A246,'3121% SY'!$C$3:$M$324,11,FALSE),3),0)+IFERROR(ROUND(VLOOKUP($A246,S275_21,37,FALSE)*VLOOKUP($A246,'3121% SY'!$C$3:$M$324,11,FALSE),3),0)+IFERROR(VLOOKUP($A246,S275_09,13,FALSE),0)</f>
        <v>0</v>
      </c>
      <c r="AA246" s="267">
        <f>IFERROR(VLOOKUP($A246,Supp_49,14,FALSE),0)+IFERROR(SUMPRODUCT(VLOOKUP($A246,S275_01,{38,39,40},FALSE)),0)+IFERROR(SUMPRODUCT(VLOOKUP($A246,S275_97,{38,39,40},FALSE)),0)+IFERROR(ROUND(VLOOKUP($A246,S275_21,38,FALSE)*VLOOKUP($A246,'3121% SY'!$C$3:$M$324,11,FALSE),3),0)+IFERROR(ROUND(VLOOKUP($A246,S275_21,39,FALSE)*VLOOKUP($A246,'3121% SY'!$C$3:$M$324,11,FALSE),3),0)+IFERROR(ROUND(VLOOKUP($A246,S275_21,40,FALSE)*VLOOKUP($A246,'3121% SY'!$C$3:$M$324,11,FALSE),3),0)+IFERROR(VLOOKUP($A246,S275_09,14,FALSE),0)</f>
        <v>0</v>
      </c>
      <c r="AB246" s="267">
        <f>IFERROR(VLOOKUP($A246,Supp_64,14,FALSE),0)+IFERROR(SUMPRODUCT(VLOOKUP($A246,S275_01,{41,42,43},FALSE)),0)+IFERROR(SUMPRODUCT(VLOOKUP($A246,S275_97,{41,42,43},FALSE)),0)+IFERROR(ROUND(VLOOKUP($A246,S275_21,41,FALSE)*VLOOKUP($A246,'3121% SY'!$C$3:$M$324,11,FALSE),3),0)+IFERROR(ROUND(VLOOKUP($A246,S275_21,42,FALSE)*VLOOKUP($A246,'3121% SY'!$C$3:$M$324,11,FALSE),3),0)+IFERROR(ROUND(VLOOKUP($A246,S275_21,43,FALSE)*VLOOKUP($A246,'3121% SY'!$C$3:$M$324,11,FALSE),3),0)+IFERROR(VLOOKUP($A246,S275_09,15,FALSE),0)</f>
        <v>0</v>
      </c>
      <c r="AC246" s="268">
        <f t="shared" si="47"/>
        <v>7.7240000000000002</v>
      </c>
      <c r="AD246" s="267">
        <f>IFERROR(VLOOKUP($A246,Supp_24,14,FALSE),0)+IFERROR(SUMPRODUCT(VLOOKUP($A246,S275_01,{2,3,4},FALSE)),0)+IFERROR(SUMPRODUCT(VLOOKUP($A246,S275_97,{2,3,4},FALSE)),0)+IFERROR(ROUND(VLOOKUP($A246,S275_21,2,FALSE)*VLOOKUP($A246,'3121% SY'!$C$3:$M$324,11,FALSE),3),0)+IFERROR(ROUND(VLOOKUP($A246,S275_21,3,FALSE)*VLOOKUP($A246,'3121% SY'!$C$3:$M$324,11,FALSE),3),0)+IFERROR(ROUND(VLOOKUP($A246,S275_21,4,FALSE)*VLOOKUP($A246,'3121% SY'!$C$3:$M$324,11,FALSE),3),0)+IFERROR(VLOOKUP($A246,S275_09,2,FALSE),0)</f>
        <v>0</v>
      </c>
      <c r="AE246" s="267">
        <f>IFERROR(VLOOKUP($A246,Supp_25,14,FALSE),0)+IFERROR(SUMPRODUCT(VLOOKUP($A246,S275_01,{5,6,7},FALSE)),0)+IFERROR(SUMPRODUCT(VLOOKUP($A246,S275_97,{5,6,7},FALSE)),0)+IFERROR(ROUND(VLOOKUP($A246,S275_21,5,FALSE)*VLOOKUP($A246,'3121% SY'!$C$3:$M$324,11,FALSE),3),0)+IFERROR(ROUND(VLOOKUP($A246,S275_21,6,FALSE)*VLOOKUP($A246,'3121% SY'!$C$3:$M$324,11,FALSE),3),0)+IFERROR(ROUND(VLOOKUP($A246,S275_21,7,FALSE)*VLOOKUP($A246,'3121% SY'!$C$3:$M$324,11,FALSE),3),0)+IFERROR(VLOOKUP($A246,S275_09,3,FALSE),0)</f>
        <v>5.3789999999999996</v>
      </c>
      <c r="AF246" s="267">
        <f>IFERROR(VLOOKUP($A246,Supp_26,14,FALSE),0)+IFERROR(SUMPRODUCT(VLOOKUP($A246,S275_01,{8,9,10},FALSE)),0)+IFERROR(SUMPRODUCT(VLOOKUP($A246,S275_97,{8,9,10},FALSE)),0)+IFERROR(ROUND(VLOOKUP($A246,S275_21,8,FALSE)*VLOOKUP($A246,'3121% SY'!$C$3:$M$324,11,FALSE),3),0)+IFERROR(ROUND(VLOOKUP($A246,S275_21,9,FALSE)*VLOOKUP($A246,'3121% SY'!$C$3:$M$324,11,FALSE),3),0)+IFERROR(ROUND(VLOOKUP($A246,S275_21,10,FALSE)*VLOOKUP($A246,'3121% SY'!$C$3:$M$324,11,FALSE),3),0)+IFERROR(VLOOKUP($A246,S275_09,4,FALSE),0)</f>
        <v>3.1870000000000003</v>
      </c>
      <c r="AG246" s="267">
        <f>IFERROR(VLOOKUP($A246,Supp_35,14,FALSE),0)+IFERROR(SUMPRODUCT(VLOOKUP($A246,S275_01,{11,12,13},FALSE)),0)+IFERROR(SUMPRODUCT(VLOOKUP($A246,S275_97,{11,12,13},FALSE)),0)+IFERROR(ROUND(VLOOKUP($A246,S275_21,11,FALSE)*VLOOKUP($A246,'3121% SY'!$C$3:$M$324,11,FALSE),3),0)+IFERROR(ROUND(VLOOKUP($A246,S275_21,12,FALSE)*VLOOKUP($A246,'3121% SY'!$C$3:$M$324,11,FALSE),3),0)+IFERROR(ROUND(VLOOKUP($A246,S275_21,13,FALSE)*VLOOKUP($A246,'3121% SY'!$C$3:$M$324,11,FALSE),3),0)+IFERROR(VLOOKUP($A246,S275_09,5,FALSE),0)</f>
        <v>0</v>
      </c>
      <c r="AH246" s="165">
        <f t="shared" si="48"/>
        <v>8.5659999999999989</v>
      </c>
      <c r="AI246" s="161">
        <f>IFERROR(VLOOKUP(A246,'Supp Staff Data'!A:ER,148,FALSE),0)+AB246</f>
        <v>0</v>
      </c>
      <c r="AJ246" s="174">
        <v>1</v>
      </c>
      <c r="AK246" s="25">
        <f>VLOOKUP(A246,'Enroll Data as of January 2025'!$A$3:$T$323,20,FALSE)-F246</f>
        <v>0</v>
      </c>
    </row>
    <row r="247" spans="1:37" x14ac:dyDescent="0.25">
      <c r="A247" s="171" t="s">
        <v>143</v>
      </c>
      <c r="B247" t="s">
        <v>439</v>
      </c>
      <c r="C247" s="173" t="s">
        <v>1077</v>
      </c>
      <c r="D247" s="259">
        <f t="shared" si="40"/>
        <v>3.8959999999999999</v>
      </c>
      <c r="E247" s="259">
        <f t="shared" si="41"/>
        <v>3.4160000000000004</v>
      </c>
      <c r="F247" s="262">
        <f t="shared" si="49"/>
        <v>-0.48</v>
      </c>
      <c r="G247" s="161">
        <f>ROUND(IF(F247&lt;0,F247*'2024-25 PSES Compliance'!$G$13,0),3)</f>
        <v>-0.46100000000000002</v>
      </c>
      <c r="H247" s="161">
        <f>ROUND(IF(F247&lt;0,F247*'2024-25 PSES Compliance'!$G$14,0),3)</f>
        <v>-1.9E-2</v>
      </c>
      <c r="I247" s="174">
        <f t="shared" si="43"/>
        <v>0</v>
      </c>
      <c r="J247" s="174">
        <f t="shared" si="44"/>
        <v>0</v>
      </c>
      <c r="K247" s="161">
        <f>VLOOKUP($A247,'Enroll Data as of January 2025'!$A$3:$M$322,6,FALSE)</f>
        <v>2.1310000000000002</v>
      </c>
      <c r="L247" s="161">
        <f>VLOOKUP($A247,'Enroll Data as of January 2025'!$A$3:$M$322,7,FALSE)</f>
        <v>0.38700000000000007</v>
      </c>
      <c r="M247" s="161">
        <f>VLOOKUP($A247,'Enroll Data as of January 2025'!$A$3:$M$322,8,FALSE)</f>
        <v>0.129</v>
      </c>
      <c r="N247" s="161">
        <f>VLOOKUP($A247,'Enroll Data as of January 2025'!$A$3:$M$322,9,FALSE)</f>
        <v>1.0209999999999999</v>
      </c>
      <c r="O247" s="165">
        <f t="shared" si="45"/>
        <v>3.6680000000000001</v>
      </c>
      <c r="P247" s="161">
        <f>VLOOKUP($A247,'Enroll Data as of January 2025'!$A$3:$M$322,11,FALSE)</f>
        <v>0.13799999999999998</v>
      </c>
      <c r="Q247" s="161">
        <f>VLOOKUP($A247,'Enroll Data as of January 2025'!$A$3:$M$322,12,FALSE)</f>
        <v>0.09</v>
      </c>
      <c r="R247" s="165">
        <f t="shared" si="46"/>
        <v>0.22799999999999998</v>
      </c>
      <c r="S247" s="267">
        <f>IFERROR(VLOOKUP($A247,Supp_39,14,FALSE),0)+IFERROR(SUMPRODUCT(VLOOKUP($A247,S275_01,{14,15,16},FALSE)),0)+IFERROR(SUMPRODUCT(VLOOKUP($A247,S275_97,{14,15,16},FALSE)),0)+IFERROR(ROUND(VLOOKUP($A247,S275_21,14,FALSE)*VLOOKUP($A247,'3121% SY'!$C$3:$M$324,11,FALSE),3),0)+IFERROR(ROUND(VLOOKUP($A247,S275_21,15,FALSE)*VLOOKUP($A247,'3121% SY'!$C$3:$M$324,11,FALSE),3),0)+IFERROR(ROUND(VLOOKUP($A247,S275_21,16,FALSE)*VLOOKUP($A247,'3121% SY'!$C$3:$M$324,11,FALSE),3),0)+IFERROR(VLOOKUP($A247,S275_09,6,FALSE),0)</f>
        <v>1.5</v>
      </c>
      <c r="T247" s="267">
        <f>IFERROR(VLOOKUP($A247,Supp_42,14,FALSE),0)+IFERROR(SUMPRODUCT(VLOOKUP($A247,S275_01,{17,18,19},FALSE)),0)+IFERROR(SUMPRODUCT(VLOOKUP($A247,S275_97,{17,18,19},FALSE)),0)+IFERROR(ROUND(VLOOKUP($A247,S275_21,17,FALSE)*VLOOKUP($A247,'3121% SY'!$C$3:$M$324,11,FALSE),3),0)+IFERROR(ROUND(VLOOKUP($A247,S275_21,18,FALSE)*VLOOKUP($A247,'3121% SY'!$C$3:$M$324,11,FALSE),3),0)+IFERROR(ROUND(VLOOKUP($A247,S275_21,19,FALSE)*VLOOKUP($A247,'3121% SY'!$C$3:$M$324,11,FALSE),3),0)+IFERROR(VLOOKUP($A247,S275_09,7,FALSE),0)</f>
        <v>0.5</v>
      </c>
      <c r="U247" s="267">
        <f>IFERROR(VLOOKUP($A247,Supp_43,14,FALSE),0)+IFERROR(SUMPRODUCT(VLOOKUP($A247,S275_01,{20,21,22},FALSE)),0)+IFERROR(SUMPRODUCT(VLOOKUP($A247,S275_97,{20,21,22},FALSE)),0)+IFERROR(ROUND(VLOOKUP($A247,S275_21,20,FALSE)*VLOOKUP($A247,'3121% SY'!$C$3:$M$324,11,FALSE),3),0)+IFERROR(ROUND(VLOOKUP($A247,S275_21,21,FALSE)*VLOOKUP($A247,'3121% SY'!$C$3:$M$324,11,FALSE),3),0)+IFERROR(ROUND(VLOOKUP($A247,S275_21,22,FALSE)*VLOOKUP($A247,'3121% SY'!$C$3:$M$324,11,FALSE),3),0)+IFERROR(VLOOKUP($A247,S275_09,8,FALSE),0)</f>
        <v>0.192</v>
      </c>
      <c r="V247" s="267">
        <f>IFERROR(VLOOKUP($A247,Supp_44,14,FALSE),0)+IFERROR(SUMPRODUCT(VLOOKUP($A247,S275_01,{23,24,25},FALSE)),0)+IFERROR(SUMPRODUCT(VLOOKUP($A247,S275_97,{23,24,25},FALSE)),0)+IFERROR(ROUND(VLOOKUP($A247,S275_21,23,FALSE)*VLOOKUP($A247,'3121% SY'!$C$3:$M$324,11,FALSE),3),0)+IFERROR(ROUND(VLOOKUP($A247,S275_21,24,FALSE)*VLOOKUP($A247,'3121% SY'!$C$3:$M$324,11,FALSE),3),0)+IFERROR(ROUND(VLOOKUP($A247,S275_21,25,FALSE)*VLOOKUP($A247,'3121% SY'!$C$3:$M$324,11,FALSE),3),0)+IFERROR(VLOOKUP($A247,S275_09,9,FALSE),0)</f>
        <v>0</v>
      </c>
      <c r="W247" s="267">
        <f>IFERROR(VLOOKUP($A247,Supp_45,14,FALSE),0)+IFERROR(SUMPRODUCT(VLOOKUP($A247,S275_01,{26,27,28},FALSE)),0)+IFERROR(SUMPRODUCT(VLOOKUP($A247,S275_97,{26,27,28},FALSE)),0)+IFERROR(ROUND(VLOOKUP($A247,S275_21,26,FALSE)*VLOOKUP($A247,'3121% SY'!$C$3:$M$324,11,FALSE),3),0)+IFERROR(ROUND(VLOOKUP($A247,S275_21,27,FALSE)*VLOOKUP($A247,'3121% SY'!$C$3:$M$324,11,FALSE),3),0)+IFERROR(ROUND(VLOOKUP($A247,S275_21,28,FALSE)*VLOOKUP($A247,'3121% SY'!$C$3:$M$324,11,FALSE),3),0)+IFERROR(VLOOKUP($A247,S275_09,10,FALSE),0)</f>
        <v>0.57399999999999995</v>
      </c>
      <c r="X247" s="267">
        <f>IFERROR(VLOOKUP($A247,Supp_46,14,FALSE),0)+IFERROR(SUMPRODUCT(VLOOKUP($A247,S275_01,{29,30,31},FALSE)),0)+IFERROR(SUMPRODUCT(VLOOKUP($A247,S275_97,{29,30,31},FALSE)),0)+IFERROR(ROUND(VLOOKUP($A247,S275_21,29,FALSE)*VLOOKUP($A247,'3121% SY'!$C$3:$M$324,11,FALSE),3),0)+IFERROR(ROUND(VLOOKUP($A247,S275_21,30,FALSE)*VLOOKUP($A247,'3121% SY'!$C$3:$M$324,11,FALSE),3),0)+IFERROR(ROUND(VLOOKUP($A247,S275_21,31,FALSE)*VLOOKUP($A247,'3121% SY'!$C$3:$M$324,11,FALSE),3),0)+IFERROR(VLOOKUP($A247,S275_09,11,FALSE),0)</f>
        <v>0.192</v>
      </c>
      <c r="Y247" s="267">
        <f>IFERROR(VLOOKUP($A247,Supp_47,14,FALSE),0)+IFERROR(SUMPRODUCT(VLOOKUP($A247,S275_01,{32,33,34},FALSE)),0)+IFERROR(SUMPRODUCT(VLOOKUP($A247,S275_97,{32,33,34},FALSE)),0)+IFERROR(ROUND(VLOOKUP($A247,S275_21,32,FALSE)*VLOOKUP($A247,'3121% SY'!$C$3:$M$324,11,FALSE),3),0)+IFERROR(ROUND(VLOOKUP($A247,S275_21,33,FALSE)*VLOOKUP($A247,'3121% SY'!$C$3:$M$324,11,FALSE),3),0)+IFERROR(ROUND(VLOOKUP($A247,S275_21,34,FALSE)*VLOOKUP($A247,'3121% SY'!$C$3:$M$324,11,FALSE),3),0)+IFERROR(VLOOKUP($A247,S275_09,12,FALSE),0)</f>
        <v>0</v>
      </c>
      <c r="Z247" s="267">
        <f>IFERROR(VLOOKUP($A247,Supp_48,14,FALSE),0)+IFERROR(SUMPRODUCT(VLOOKUP($A247,S275_01,{35,36,37},FALSE)),0)+IFERROR(SUMPRODUCT(VLOOKUP($A247,S275_97,{35,36,37},FALSE)),0)+IFERROR(ROUND(VLOOKUP($A247,S275_21,35,FALSE)*VLOOKUP($A247,'3121% SY'!$C$3:$M$324,11,FALSE),3),0)+IFERROR(ROUND(VLOOKUP($A247,S275_21,36,FALSE)*VLOOKUP($A247,'3121% SY'!$C$3:$M$324,11,FALSE),3),0)+IFERROR(ROUND(VLOOKUP($A247,S275_21,37,FALSE)*VLOOKUP($A247,'3121% SY'!$C$3:$M$324,11,FALSE),3),0)+IFERROR(VLOOKUP($A247,S275_09,13,FALSE),0)</f>
        <v>0</v>
      </c>
      <c r="AA247" s="267">
        <f>IFERROR(VLOOKUP($A247,Supp_49,14,FALSE),0)+IFERROR(SUMPRODUCT(VLOOKUP($A247,S275_01,{38,39,40},FALSE)),0)+IFERROR(SUMPRODUCT(VLOOKUP($A247,S275_97,{38,39,40},FALSE)),0)+IFERROR(ROUND(VLOOKUP($A247,S275_21,38,FALSE)*VLOOKUP($A247,'3121% SY'!$C$3:$M$324,11,FALSE),3),0)+IFERROR(ROUND(VLOOKUP($A247,S275_21,39,FALSE)*VLOOKUP($A247,'3121% SY'!$C$3:$M$324,11,FALSE),3),0)+IFERROR(ROUND(VLOOKUP($A247,S275_21,40,FALSE)*VLOOKUP($A247,'3121% SY'!$C$3:$M$324,11,FALSE),3),0)+IFERROR(VLOOKUP($A247,S275_09,14,FALSE),0)</f>
        <v>0</v>
      </c>
      <c r="AB247" s="267">
        <f>IFERROR(VLOOKUP($A247,Supp_64,14,FALSE),0)+IFERROR(SUMPRODUCT(VLOOKUP($A247,S275_01,{41,42,43},FALSE)),0)+IFERROR(SUMPRODUCT(VLOOKUP($A247,S275_97,{41,42,43},FALSE)),0)+IFERROR(ROUND(VLOOKUP($A247,S275_21,41,FALSE)*VLOOKUP($A247,'3121% SY'!$C$3:$M$324,11,FALSE),3),0)+IFERROR(ROUND(VLOOKUP($A247,S275_21,42,FALSE)*VLOOKUP($A247,'3121% SY'!$C$3:$M$324,11,FALSE),3),0)+IFERROR(ROUND(VLOOKUP($A247,S275_21,43,FALSE)*VLOOKUP($A247,'3121% SY'!$C$3:$M$324,11,FALSE),3),0)+IFERROR(VLOOKUP($A247,S275_09,15,FALSE),0)</f>
        <v>0</v>
      </c>
      <c r="AC247" s="268">
        <f t="shared" si="47"/>
        <v>2.9580000000000002</v>
      </c>
      <c r="AD247" s="267">
        <f>IFERROR(VLOOKUP($A247,Supp_24,14,FALSE),0)+IFERROR(SUMPRODUCT(VLOOKUP($A247,S275_01,{2,3,4},FALSE)),0)+IFERROR(SUMPRODUCT(VLOOKUP($A247,S275_97,{2,3,4},FALSE)),0)+IFERROR(ROUND(VLOOKUP($A247,S275_21,2,FALSE)*VLOOKUP($A247,'3121% SY'!$C$3:$M$324,11,FALSE),3),0)+IFERROR(ROUND(VLOOKUP($A247,S275_21,3,FALSE)*VLOOKUP($A247,'3121% SY'!$C$3:$M$324,11,FALSE),3),0)+IFERROR(ROUND(VLOOKUP($A247,S275_21,4,FALSE)*VLOOKUP($A247,'3121% SY'!$C$3:$M$324,11,FALSE),3),0)+IFERROR(VLOOKUP($A247,S275_09,2,FALSE),0)</f>
        <v>0</v>
      </c>
      <c r="AE247" s="267">
        <f>IFERROR(VLOOKUP($A247,Supp_25,14,FALSE),0)+IFERROR(SUMPRODUCT(VLOOKUP($A247,S275_01,{5,6,7},FALSE)),0)+IFERROR(SUMPRODUCT(VLOOKUP($A247,S275_97,{5,6,7},FALSE)),0)+IFERROR(ROUND(VLOOKUP($A247,S275_21,5,FALSE)*VLOOKUP($A247,'3121% SY'!$C$3:$M$324,11,FALSE),3),0)+IFERROR(ROUND(VLOOKUP($A247,S275_21,6,FALSE)*VLOOKUP($A247,'3121% SY'!$C$3:$M$324,11,FALSE),3),0)+IFERROR(ROUND(VLOOKUP($A247,S275_21,7,FALSE)*VLOOKUP($A247,'3121% SY'!$C$3:$M$324,11,FALSE),3),0)+IFERROR(VLOOKUP($A247,S275_09,3,FALSE),0)</f>
        <v>7.0999999999999994E-2</v>
      </c>
      <c r="AF247" s="267">
        <f>IFERROR(VLOOKUP($A247,Supp_26,14,FALSE),0)+IFERROR(SUMPRODUCT(VLOOKUP($A247,S275_01,{8,9,10},FALSE)),0)+IFERROR(SUMPRODUCT(VLOOKUP($A247,S275_97,{8,9,10},FALSE)),0)+IFERROR(ROUND(VLOOKUP($A247,S275_21,8,FALSE)*VLOOKUP($A247,'3121% SY'!$C$3:$M$324,11,FALSE),3),0)+IFERROR(ROUND(VLOOKUP($A247,S275_21,9,FALSE)*VLOOKUP($A247,'3121% SY'!$C$3:$M$324,11,FALSE),3),0)+IFERROR(ROUND(VLOOKUP($A247,S275_21,10,FALSE)*VLOOKUP($A247,'3121% SY'!$C$3:$M$324,11,FALSE),3),0)+IFERROR(VLOOKUP($A247,S275_09,4,FALSE),0)</f>
        <v>0.38700000000000001</v>
      </c>
      <c r="AG247" s="267">
        <f>IFERROR(VLOOKUP($A247,Supp_35,14,FALSE),0)+IFERROR(SUMPRODUCT(VLOOKUP($A247,S275_01,{11,12,13},FALSE)),0)+IFERROR(SUMPRODUCT(VLOOKUP($A247,S275_97,{11,12,13},FALSE)),0)+IFERROR(ROUND(VLOOKUP($A247,S275_21,11,FALSE)*VLOOKUP($A247,'3121% SY'!$C$3:$M$324,11,FALSE),3),0)+IFERROR(ROUND(VLOOKUP($A247,S275_21,12,FALSE)*VLOOKUP($A247,'3121% SY'!$C$3:$M$324,11,FALSE),3),0)+IFERROR(ROUND(VLOOKUP($A247,S275_21,13,FALSE)*VLOOKUP($A247,'3121% SY'!$C$3:$M$324,11,FALSE),3),0)+IFERROR(VLOOKUP($A247,S275_09,5,FALSE),0)</f>
        <v>0</v>
      </c>
      <c r="AH247" s="165">
        <f t="shared" si="48"/>
        <v>0.45800000000000002</v>
      </c>
      <c r="AI247" s="161">
        <f>IFERROR(VLOOKUP(A247,'Supp Staff Data'!A:ER,148,FALSE),0)+AB247</f>
        <v>0</v>
      </c>
      <c r="AJ247" s="174">
        <v>0</v>
      </c>
      <c r="AK247" s="25">
        <f>VLOOKUP(A247,'Enroll Data as of January 2025'!$A$3:$T$323,20,FALSE)-F247</f>
        <v>0</v>
      </c>
    </row>
    <row r="248" spans="1:37" x14ac:dyDescent="0.25">
      <c r="A248" s="171" t="s">
        <v>9</v>
      </c>
      <c r="B248" t="s">
        <v>306</v>
      </c>
      <c r="C248" s="173" t="s">
        <v>1077</v>
      </c>
      <c r="D248" s="259">
        <f t="shared" si="40"/>
        <v>24.317999999999998</v>
      </c>
      <c r="E248" s="259">
        <f t="shared" si="41"/>
        <v>28.07</v>
      </c>
      <c r="F248" s="262">
        <f t="shared" si="49"/>
        <v>3.7519999999999998</v>
      </c>
      <c r="G248" s="161">
        <f>ROUND(IF(F248&lt;0,F248*'2024-25 PSES Compliance'!$G$13,0),3)</f>
        <v>0</v>
      </c>
      <c r="H248" s="161">
        <f>ROUND(IF(F248&lt;0,F248*'2024-25 PSES Compliance'!$G$14,0),3)</f>
        <v>0</v>
      </c>
      <c r="I248" s="174">
        <f t="shared" si="43"/>
        <v>0.3608122550765942</v>
      </c>
      <c r="J248" s="174">
        <f t="shared" si="44"/>
        <v>0</v>
      </c>
      <c r="K248" s="161">
        <f>VLOOKUP($A248,'Enroll Data as of January 2025'!$A$3:$M$322,6,FALSE)</f>
        <v>13.794</v>
      </c>
      <c r="L248" s="161">
        <f>VLOOKUP($A248,'Enroll Data as of January 2025'!$A$3:$M$322,7,FALSE)</f>
        <v>2.1890000000000001</v>
      </c>
      <c r="M248" s="161">
        <f>VLOOKUP($A248,'Enroll Data as of January 2025'!$A$3:$M$322,8,FALSE)</f>
        <v>0.73499999999999999</v>
      </c>
      <c r="N248" s="161">
        <f>VLOOKUP($A248,'Enroll Data as of January 2025'!$A$3:$M$322,9,FALSE)</f>
        <v>6.2610000000000001</v>
      </c>
      <c r="O248" s="165">
        <f t="shared" si="45"/>
        <v>22.978999999999999</v>
      </c>
      <c r="P248" s="161">
        <f>VLOOKUP($A248,'Enroll Data as of January 2025'!$A$3:$M$322,11,FALSE)</f>
        <v>0.85299999999999998</v>
      </c>
      <c r="Q248" s="161">
        <f>VLOOKUP($A248,'Enroll Data as of January 2025'!$A$3:$M$322,12,FALSE)</f>
        <v>0.48599999999999999</v>
      </c>
      <c r="R248" s="165">
        <f t="shared" si="46"/>
        <v>1.339</v>
      </c>
      <c r="S248" s="267">
        <f>IFERROR(VLOOKUP($A248,Supp_39,14,FALSE),0)+IFERROR(SUMPRODUCT(VLOOKUP($A248,S275_01,{14,15,16},FALSE)),0)+IFERROR(SUMPRODUCT(VLOOKUP($A248,S275_97,{14,15,16},FALSE)),0)+IFERROR(ROUND(VLOOKUP($A248,S275_21,14,FALSE)*VLOOKUP($A248,'3121% SY'!$C$3:$M$324,11,FALSE),3),0)+IFERROR(ROUND(VLOOKUP($A248,S275_21,15,FALSE)*VLOOKUP($A248,'3121% SY'!$C$3:$M$324,11,FALSE),3),0)+IFERROR(ROUND(VLOOKUP($A248,S275_21,16,FALSE)*VLOOKUP($A248,'3121% SY'!$C$3:$M$324,11,FALSE),3),0)+IFERROR(VLOOKUP($A248,S275_09,6,FALSE),0)</f>
        <v>4.5789999999999997</v>
      </c>
      <c r="T248" s="267">
        <f>IFERROR(VLOOKUP($A248,Supp_42,14,FALSE),0)+IFERROR(SUMPRODUCT(VLOOKUP($A248,S275_01,{17,18,19},FALSE)),0)+IFERROR(SUMPRODUCT(VLOOKUP($A248,S275_97,{17,18,19},FALSE)),0)+IFERROR(ROUND(VLOOKUP($A248,S275_21,17,FALSE)*VLOOKUP($A248,'3121% SY'!$C$3:$M$324,11,FALSE),3),0)+IFERROR(ROUND(VLOOKUP($A248,S275_21,18,FALSE)*VLOOKUP($A248,'3121% SY'!$C$3:$M$324,11,FALSE),3),0)+IFERROR(ROUND(VLOOKUP($A248,S275_21,19,FALSE)*VLOOKUP($A248,'3121% SY'!$C$3:$M$324,11,FALSE),3),0)+IFERROR(VLOOKUP($A248,S275_09,7,FALSE),0)</f>
        <v>2.25</v>
      </c>
      <c r="U248" s="267">
        <f>IFERROR(VLOOKUP($A248,Supp_43,14,FALSE),0)+IFERROR(SUMPRODUCT(VLOOKUP($A248,S275_01,{20,21,22},FALSE)),0)+IFERROR(SUMPRODUCT(VLOOKUP($A248,S275_97,{20,21,22},FALSE)),0)+IFERROR(ROUND(VLOOKUP($A248,S275_21,20,FALSE)*VLOOKUP($A248,'3121% SY'!$C$3:$M$324,11,FALSE),3),0)+IFERROR(ROUND(VLOOKUP($A248,S275_21,21,FALSE)*VLOOKUP($A248,'3121% SY'!$C$3:$M$324,11,FALSE),3),0)+IFERROR(ROUND(VLOOKUP($A248,S275_21,22,FALSE)*VLOOKUP($A248,'3121% SY'!$C$3:$M$324,11,FALSE),3),0)+IFERROR(VLOOKUP($A248,S275_09,8,FALSE),0)</f>
        <v>0.249</v>
      </c>
      <c r="V248" s="267">
        <f>IFERROR(VLOOKUP($A248,Supp_44,14,FALSE),0)+IFERROR(SUMPRODUCT(VLOOKUP($A248,S275_01,{23,24,25},FALSE)),0)+IFERROR(SUMPRODUCT(VLOOKUP($A248,S275_97,{23,24,25},FALSE)),0)+IFERROR(ROUND(VLOOKUP($A248,S275_21,23,FALSE)*VLOOKUP($A248,'3121% SY'!$C$3:$M$324,11,FALSE),3),0)+IFERROR(ROUND(VLOOKUP($A248,S275_21,24,FALSE)*VLOOKUP($A248,'3121% SY'!$C$3:$M$324,11,FALSE),3),0)+IFERROR(ROUND(VLOOKUP($A248,S275_21,25,FALSE)*VLOOKUP($A248,'3121% SY'!$C$3:$M$324,11,FALSE),3),0)+IFERROR(VLOOKUP($A248,S275_09,9,FALSE),0)</f>
        <v>0</v>
      </c>
      <c r="W248" s="267">
        <f>IFERROR(VLOOKUP($A248,Supp_45,14,FALSE),0)+IFERROR(SUMPRODUCT(VLOOKUP($A248,S275_01,{26,27,28},FALSE)),0)+IFERROR(SUMPRODUCT(VLOOKUP($A248,S275_97,{26,27,28},FALSE)),0)+IFERROR(ROUND(VLOOKUP($A248,S275_21,26,FALSE)*VLOOKUP($A248,'3121% SY'!$C$3:$M$324,11,FALSE),3),0)+IFERROR(ROUND(VLOOKUP($A248,S275_21,27,FALSE)*VLOOKUP($A248,'3121% SY'!$C$3:$M$324,11,FALSE),3),0)+IFERROR(ROUND(VLOOKUP($A248,S275_21,28,FALSE)*VLOOKUP($A248,'3121% SY'!$C$3:$M$324,11,FALSE),3),0)+IFERROR(VLOOKUP($A248,S275_09,10,FALSE),0)</f>
        <v>0.80599999999999994</v>
      </c>
      <c r="X248" s="267">
        <f>IFERROR(VLOOKUP($A248,Supp_46,14,FALSE),0)+IFERROR(SUMPRODUCT(VLOOKUP($A248,S275_01,{29,30,31},FALSE)),0)+IFERROR(SUMPRODUCT(VLOOKUP($A248,S275_97,{29,30,31},FALSE)),0)+IFERROR(ROUND(VLOOKUP($A248,S275_21,29,FALSE)*VLOOKUP($A248,'3121% SY'!$C$3:$M$324,11,FALSE),3),0)+IFERROR(ROUND(VLOOKUP($A248,S275_21,30,FALSE)*VLOOKUP($A248,'3121% SY'!$C$3:$M$324,11,FALSE),3),0)+IFERROR(ROUND(VLOOKUP($A248,S275_21,31,FALSE)*VLOOKUP($A248,'3121% SY'!$C$3:$M$324,11,FALSE),3),0)+IFERROR(VLOOKUP($A248,S275_09,11,FALSE),0)</f>
        <v>1.9950000000000001</v>
      </c>
      <c r="Y248" s="267">
        <f>IFERROR(VLOOKUP($A248,Supp_47,14,FALSE),0)+IFERROR(SUMPRODUCT(VLOOKUP($A248,S275_01,{32,33,34},FALSE)),0)+IFERROR(SUMPRODUCT(VLOOKUP($A248,S275_97,{32,33,34},FALSE)),0)+IFERROR(ROUND(VLOOKUP($A248,S275_21,32,FALSE)*VLOOKUP($A248,'3121% SY'!$C$3:$M$324,11,FALSE),3),0)+IFERROR(ROUND(VLOOKUP($A248,S275_21,33,FALSE)*VLOOKUP($A248,'3121% SY'!$C$3:$M$324,11,FALSE),3),0)+IFERROR(ROUND(VLOOKUP($A248,S275_21,34,FALSE)*VLOOKUP($A248,'3121% SY'!$C$3:$M$324,11,FALSE),3),0)+IFERROR(VLOOKUP($A248,S275_09,12,FALSE),0)</f>
        <v>0</v>
      </c>
      <c r="Z248" s="267">
        <f>IFERROR(VLOOKUP($A248,Supp_48,14,FALSE),0)+IFERROR(SUMPRODUCT(VLOOKUP($A248,S275_01,{35,36,37},FALSE)),0)+IFERROR(SUMPRODUCT(VLOOKUP($A248,S275_97,{35,36,37},FALSE)),0)+IFERROR(ROUND(VLOOKUP($A248,S275_21,35,FALSE)*VLOOKUP($A248,'3121% SY'!$C$3:$M$324,11,FALSE),3),0)+IFERROR(ROUND(VLOOKUP($A248,S275_21,36,FALSE)*VLOOKUP($A248,'3121% SY'!$C$3:$M$324,11,FALSE),3),0)+IFERROR(ROUND(VLOOKUP($A248,S275_21,37,FALSE)*VLOOKUP($A248,'3121% SY'!$C$3:$M$324,11,FALSE),3),0)+IFERROR(VLOOKUP($A248,S275_09,13,FALSE),0)</f>
        <v>0</v>
      </c>
      <c r="AA248" s="267">
        <f>IFERROR(VLOOKUP($A248,Supp_49,14,FALSE),0)+IFERROR(SUMPRODUCT(VLOOKUP($A248,S275_01,{38,39,40},FALSE)),0)+IFERROR(SUMPRODUCT(VLOOKUP($A248,S275_97,{38,39,40},FALSE)),0)+IFERROR(ROUND(VLOOKUP($A248,S275_21,38,FALSE)*VLOOKUP($A248,'3121% SY'!$C$3:$M$324,11,FALSE),3),0)+IFERROR(ROUND(VLOOKUP($A248,S275_21,39,FALSE)*VLOOKUP($A248,'3121% SY'!$C$3:$M$324,11,FALSE),3),0)+IFERROR(ROUND(VLOOKUP($A248,S275_21,40,FALSE)*VLOOKUP($A248,'3121% SY'!$C$3:$M$324,11,FALSE),3),0)+IFERROR(VLOOKUP($A248,S275_09,14,FALSE),0)</f>
        <v>0.249</v>
      </c>
      <c r="AB248" s="267">
        <f>IFERROR(VLOOKUP($A248,Supp_64,14,FALSE),0)+IFERROR(SUMPRODUCT(VLOOKUP($A248,S275_01,{41,42,43},FALSE)),0)+IFERROR(SUMPRODUCT(VLOOKUP($A248,S275_97,{41,42,43},FALSE)),0)+IFERROR(ROUND(VLOOKUP($A248,S275_21,41,FALSE)*VLOOKUP($A248,'3121% SY'!$C$3:$M$324,11,FALSE),3),0)+IFERROR(ROUND(VLOOKUP($A248,S275_21,42,FALSE)*VLOOKUP($A248,'3121% SY'!$C$3:$M$324,11,FALSE),3),0)+IFERROR(ROUND(VLOOKUP($A248,S275_21,43,FALSE)*VLOOKUP($A248,'3121% SY'!$C$3:$M$324,11,FALSE),3),0)+IFERROR(VLOOKUP($A248,S275_09,15,FALSE),0)</f>
        <v>0</v>
      </c>
      <c r="AC248" s="268">
        <f t="shared" si="47"/>
        <v>10.128</v>
      </c>
      <c r="AD248" s="267">
        <f>IFERROR(VLOOKUP($A248,Supp_24,14,FALSE),0)+IFERROR(SUMPRODUCT(VLOOKUP($A248,S275_01,{2,3,4},FALSE)),0)+IFERROR(SUMPRODUCT(VLOOKUP($A248,S275_97,{2,3,4},FALSE)),0)+IFERROR(ROUND(VLOOKUP($A248,S275_21,2,FALSE)*VLOOKUP($A248,'3121% SY'!$C$3:$M$324,11,FALSE),3),0)+IFERROR(ROUND(VLOOKUP($A248,S275_21,3,FALSE)*VLOOKUP($A248,'3121% SY'!$C$3:$M$324,11,FALSE),3),0)+IFERROR(ROUND(VLOOKUP($A248,S275_21,4,FALSE)*VLOOKUP($A248,'3121% SY'!$C$3:$M$324,11,FALSE),3),0)+IFERROR(VLOOKUP($A248,S275_09,2,FALSE),0)</f>
        <v>2.1019999999999999</v>
      </c>
      <c r="AE248" s="267">
        <f>IFERROR(VLOOKUP($A248,Supp_25,14,FALSE),0)+IFERROR(SUMPRODUCT(VLOOKUP($A248,S275_01,{5,6,7},FALSE)),0)+IFERROR(SUMPRODUCT(VLOOKUP($A248,S275_97,{5,6,7},FALSE)),0)+IFERROR(ROUND(VLOOKUP($A248,S275_21,5,FALSE)*VLOOKUP($A248,'3121% SY'!$C$3:$M$324,11,FALSE),3),0)+IFERROR(ROUND(VLOOKUP($A248,S275_21,6,FALSE)*VLOOKUP($A248,'3121% SY'!$C$3:$M$324,11,FALSE),3),0)+IFERROR(ROUND(VLOOKUP($A248,S275_21,7,FALSE)*VLOOKUP($A248,'3121% SY'!$C$3:$M$324,11,FALSE),3),0)+IFERROR(VLOOKUP($A248,S275_09,3,FALSE),0)</f>
        <v>9.2050000000000001</v>
      </c>
      <c r="AF248" s="267">
        <f>IFERROR(VLOOKUP($A248,Supp_26,14,FALSE),0)+IFERROR(SUMPRODUCT(VLOOKUP($A248,S275_01,{8,9,10},FALSE)),0)+IFERROR(SUMPRODUCT(VLOOKUP($A248,S275_97,{8,9,10},FALSE)),0)+IFERROR(ROUND(VLOOKUP($A248,S275_21,8,FALSE)*VLOOKUP($A248,'3121% SY'!$C$3:$M$324,11,FALSE),3),0)+IFERROR(ROUND(VLOOKUP($A248,S275_21,9,FALSE)*VLOOKUP($A248,'3121% SY'!$C$3:$M$324,11,FALSE),3),0)+IFERROR(ROUND(VLOOKUP($A248,S275_21,10,FALSE)*VLOOKUP($A248,'3121% SY'!$C$3:$M$324,11,FALSE),3),0)+IFERROR(VLOOKUP($A248,S275_09,4,FALSE),0)</f>
        <v>3.4939999999999998</v>
      </c>
      <c r="AG248" s="267">
        <f>IFERROR(VLOOKUP($A248,Supp_35,14,FALSE),0)+IFERROR(SUMPRODUCT(VLOOKUP($A248,S275_01,{11,12,13},FALSE)),0)+IFERROR(SUMPRODUCT(VLOOKUP($A248,S275_97,{11,12,13},FALSE)),0)+IFERROR(ROUND(VLOOKUP($A248,S275_21,11,FALSE)*VLOOKUP($A248,'3121% SY'!$C$3:$M$324,11,FALSE),3),0)+IFERROR(ROUND(VLOOKUP($A248,S275_21,12,FALSE)*VLOOKUP($A248,'3121% SY'!$C$3:$M$324,11,FALSE),3),0)+IFERROR(ROUND(VLOOKUP($A248,S275_21,13,FALSE)*VLOOKUP($A248,'3121% SY'!$C$3:$M$324,11,FALSE),3),0)+IFERROR(VLOOKUP($A248,S275_09,5,FALSE),0)</f>
        <v>3.141</v>
      </c>
      <c r="AH248" s="165">
        <f t="shared" si="48"/>
        <v>17.942</v>
      </c>
      <c r="AI248" s="161">
        <f>IFERROR(VLOOKUP(A248,'Supp Staff Data'!A:ER,148,FALSE),0)+AB248</f>
        <v>0</v>
      </c>
      <c r="AJ248" s="174">
        <v>1</v>
      </c>
      <c r="AK248" s="25">
        <f>VLOOKUP(A248,'Enroll Data as of January 2025'!$A$3:$T$323,20,FALSE)-F248</f>
        <v>0</v>
      </c>
    </row>
    <row r="249" spans="1:37" x14ac:dyDescent="0.25">
      <c r="A249" s="171" t="s">
        <v>297</v>
      </c>
      <c r="B249" t="s">
        <v>593</v>
      </c>
      <c r="C249" s="173" t="s">
        <v>1077</v>
      </c>
      <c r="D249" s="259">
        <f t="shared" si="40"/>
        <v>14.409000000000001</v>
      </c>
      <c r="E249" s="259">
        <f t="shared" si="41"/>
        <v>16.225999999999999</v>
      </c>
      <c r="F249" s="262">
        <f t="shared" si="49"/>
        <v>1.8169999999999999</v>
      </c>
      <c r="G249" s="161">
        <f>ROUND(IF(F249&lt;0,F249*'2024-25 PSES Compliance'!$G$13,0),3)</f>
        <v>0</v>
      </c>
      <c r="H249" s="161">
        <f>ROUND(IF(F249&lt;0,F249*'2024-25 PSES Compliance'!$G$14,0),3)</f>
        <v>0</v>
      </c>
      <c r="I249" s="174">
        <f t="shared" si="43"/>
        <v>0.4801005978059904</v>
      </c>
      <c r="J249" s="174">
        <f t="shared" si="44"/>
        <v>0</v>
      </c>
      <c r="K249" s="161">
        <f>VLOOKUP($A249,'Enroll Data as of January 2025'!$A$3:$M$322,6,FALSE)</f>
        <v>7.7910000000000004</v>
      </c>
      <c r="L249" s="161">
        <f>VLOOKUP($A249,'Enroll Data as of January 2025'!$A$3:$M$322,7,FALSE)</f>
        <v>1.4810000000000001</v>
      </c>
      <c r="M249" s="161">
        <f>VLOOKUP($A249,'Enroll Data as of January 2025'!$A$3:$M$322,8,FALSE)</f>
        <v>0.496</v>
      </c>
      <c r="N249" s="161">
        <f>VLOOKUP($A249,'Enroll Data as of January 2025'!$A$3:$M$322,9,FALSE)</f>
        <v>3.7810000000000001</v>
      </c>
      <c r="O249" s="165">
        <f t="shared" si="45"/>
        <v>13.549000000000001</v>
      </c>
      <c r="P249" s="161">
        <f>VLOOKUP($A249,'Enroll Data as of January 2025'!$A$3:$M$322,11,FALSE)</f>
        <v>0.51</v>
      </c>
      <c r="Q249" s="161">
        <f>VLOOKUP($A249,'Enroll Data as of January 2025'!$A$3:$M$322,12,FALSE)</f>
        <v>0.35</v>
      </c>
      <c r="R249" s="165">
        <f t="shared" si="46"/>
        <v>0.86</v>
      </c>
      <c r="S249" s="267">
        <f>IFERROR(VLOOKUP($A249,Supp_39,14,FALSE),0)+IFERROR(SUMPRODUCT(VLOOKUP($A249,S275_01,{14,15,16},FALSE)),0)+IFERROR(SUMPRODUCT(VLOOKUP($A249,S275_97,{14,15,16},FALSE)),0)+IFERROR(ROUND(VLOOKUP($A249,S275_21,14,FALSE)*VLOOKUP($A249,'3121% SY'!$C$3:$M$324,11,FALSE),3),0)+IFERROR(ROUND(VLOOKUP($A249,S275_21,15,FALSE)*VLOOKUP($A249,'3121% SY'!$C$3:$M$324,11,FALSE),3),0)+IFERROR(ROUND(VLOOKUP($A249,S275_21,16,FALSE)*VLOOKUP($A249,'3121% SY'!$C$3:$M$324,11,FALSE),3),0)+IFERROR(VLOOKUP($A249,S275_09,6,FALSE),0)</f>
        <v>6</v>
      </c>
      <c r="T249" s="267">
        <f>IFERROR(VLOOKUP($A249,Supp_42,14,FALSE),0)+IFERROR(SUMPRODUCT(VLOOKUP($A249,S275_01,{17,18,19},FALSE)),0)+IFERROR(SUMPRODUCT(VLOOKUP($A249,S275_97,{17,18,19},FALSE)),0)+IFERROR(ROUND(VLOOKUP($A249,S275_21,17,FALSE)*VLOOKUP($A249,'3121% SY'!$C$3:$M$324,11,FALSE),3),0)+IFERROR(ROUND(VLOOKUP($A249,S275_21,18,FALSE)*VLOOKUP($A249,'3121% SY'!$C$3:$M$324,11,FALSE),3),0)+IFERROR(ROUND(VLOOKUP($A249,S275_21,19,FALSE)*VLOOKUP($A249,'3121% SY'!$C$3:$M$324,11,FALSE),3),0)+IFERROR(VLOOKUP($A249,S275_09,7,FALSE),0)</f>
        <v>0.75</v>
      </c>
      <c r="U249" s="267">
        <f>IFERROR(VLOOKUP($A249,Supp_43,14,FALSE),0)+IFERROR(SUMPRODUCT(VLOOKUP($A249,S275_01,{20,21,22},FALSE)),0)+IFERROR(SUMPRODUCT(VLOOKUP($A249,S275_97,{20,21,22},FALSE)),0)+IFERROR(ROUND(VLOOKUP($A249,S275_21,20,FALSE)*VLOOKUP($A249,'3121% SY'!$C$3:$M$324,11,FALSE),3),0)+IFERROR(ROUND(VLOOKUP($A249,S275_21,21,FALSE)*VLOOKUP($A249,'3121% SY'!$C$3:$M$324,11,FALSE),3),0)+IFERROR(ROUND(VLOOKUP($A249,S275_21,22,FALSE)*VLOOKUP($A249,'3121% SY'!$C$3:$M$324,11,FALSE),3),0)+IFERROR(VLOOKUP($A249,S275_09,8,FALSE),0)</f>
        <v>0</v>
      </c>
      <c r="V249" s="267">
        <f>IFERROR(VLOOKUP($A249,Supp_44,14,FALSE),0)+IFERROR(SUMPRODUCT(VLOOKUP($A249,S275_01,{23,24,25},FALSE)),0)+IFERROR(SUMPRODUCT(VLOOKUP($A249,S275_97,{23,24,25},FALSE)),0)+IFERROR(ROUND(VLOOKUP($A249,S275_21,23,FALSE)*VLOOKUP($A249,'3121% SY'!$C$3:$M$324,11,FALSE),3),0)+IFERROR(ROUND(VLOOKUP($A249,S275_21,24,FALSE)*VLOOKUP($A249,'3121% SY'!$C$3:$M$324,11,FALSE),3),0)+IFERROR(ROUND(VLOOKUP($A249,S275_21,25,FALSE)*VLOOKUP($A249,'3121% SY'!$C$3:$M$324,11,FALSE),3),0)+IFERROR(VLOOKUP($A249,S275_09,9,FALSE),0)</f>
        <v>1</v>
      </c>
      <c r="W249" s="267">
        <f>IFERROR(VLOOKUP($A249,Supp_45,14,FALSE),0)+IFERROR(SUMPRODUCT(VLOOKUP($A249,S275_01,{26,27,28},FALSE)),0)+IFERROR(SUMPRODUCT(VLOOKUP($A249,S275_97,{26,27,28},FALSE)),0)+IFERROR(ROUND(VLOOKUP($A249,S275_21,26,FALSE)*VLOOKUP($A249,'3121% SY'!$C$3:$M$324,11,FALSE),3),0)+IFERROR(ROUND(VLOOKUP($A249,S275_21,27,FALSE)*VLOOKUP($A249,'3121% SY'!$C$3:$M$324,11,FALSE),3),0)+IFERROR(ROUND(VLOOKUP($A249,S275_21,28,FALSE)*VLOOKUP($A249,'3121% SY'!$C$3:$M$324,11,FALSE),3),0)+IFERROR(VLOOKUP($A249,S275_09,10,FALSE),0)</f>
        <v>0.45000000000000007</v>
      </c>
      <c r="X249" s="267">
        <f>IFERROR(VLOOKUP($A249,Supp_46,14,FALSE),0)+IFERROR(SUMPRODUCT(VLOOKUP($A249,S275_01,{29,30,31},FALSE)),0)+IFERROR(SUMPRODUCT(VLOOKUP($A249,S275_97,{29,30,31},FALSE)),0)+IFERROR(ROUND(VLOOKUP($A249,S275_21,29,FALSE)*VLOOKUP($A249,'3121% SY'!$C$3:$M$324,11,FALSE),3),0)+IFERROR(ROUND(VLOOKUP($A249,S275_21,30,FALSE)*VLOOKUP($A249,'3121% SY'!$C$3:$M$324,11,FALSE),3),0)+IFERROR(ROUND(VLOOKUP($A249,S275_21,31,FALSE)*VLOOKUP($A249,'3121% SY'!$C$3:$M$324,11,FALSE),3),0)+IFERROR(VLOOKUP($A249,S275_09,11,FALSE),0)</f>
        <v>0.70299999999999996</v>
      </c>
      <c r="Y249" s="267">
        <f>IFERROR(VLOOKUP($A249,Supp_47,14,FALSE),0)+IFERROR(SUMPRODUCT(VLOOKUP($A249,S275_01,{32,33,34},FALSE)),0)+IFERROR(SUMPRODUCT(VLOOKUP($A249,S275_97,{32,33,34},FALSE)),0)+IFERROR(ROUND(VLOOKUP($A249,S275_21,32,FALSE)*VLOOKUP($A249,'3121% SY'!$C$3:$M$324,11,FALSE),3),0)+IFERROR(ROUND(VLOOKUP($A249,S275_21,33,FALSE)*VLOOKUP($A249,'3121% SY'!$C$3:$M$324,11,FALSE),3),0)+IFERROR(ROUND(VLOOKUP($A249,S275_21,34,FALSE)*VLOOKUP($A249,'3121% SY'!$C$3:$M$324,11,FALSE),3),0)+IFERROR(VLOOKUP($A249,S275_09,12,FALSE),0)</f>
        <v>0</v>
      </c>
      <c r="Z249" s="267">
        <f>IFERROR(VLOOKUP($A249,Supp_48,14,FALSE),0)+IFERROR(SUMPRODUCT(VLOOKUP($A249,S275_01,{35,36,37},FALSE)),0)+IFERROR(SUMPRODUCT(VLOOKUP($A249,S275_97,{35,36,37},FALSE)),0)+IFERROR(ROUND(VLOOKUP($A249,S275_21,35,FALSE)*VLOOKUP($A249,'3121% SY'!$C$3:$M$324,11,FALSE),3),0)+IFERROR(ROUND(VLOOKUP($A249,S275_21,36,FALSE)*VLOOKUP($A249,'3121% SY'!$C$3:$M$324,11,FALSE),3),0)+IFERROR(ROUND(VLOOKUP($A249,S275_21,37,FALSE)*VLOOKUP($A249,'3121% SY'!$C$3:$M$324,11,FALSE),3),0)+IFERROR(VLOOKUP($A249,S275_09,13,FALSE),0)</f>
        <v>0.156</v>
      </c>
      <c r="AA249" s="267">
        <f>IFERROR(VLOOKUP($A249,Supp_49,14,FALSE),0)+IFERROR(SUMPRODUCT(VLOOKUP($A249,S275_01,{38,39,40},FALSE)),0)+IFERROR(SUMPRODUCT(VLOOKUP($A249,S275_97,{38,39,40},FALSE)),0)+IFERROR(ROUND(VLOOKUP($A249,S275_21,38,FALSE)*VLOOKUP($A249,'3121% SY'!$C$3:$M$324,11,FALSE),3),0)+IFERROR(ROUND(VLOOKUP($A249,S275_21,39,FALSE)*VLOOKUP($A249,'3121% SY'!$C$3:$M$324,11,FALSE),3),0)+IFERROR(ROUND(VLOOKUP($A249,S275_21,40,FALSE)*VLOOKUP($A249,'3121% SY'!$C$3:$M$324,11,FALSE),3),0)+IFERROR(VLOOKUP($A249,S275_09,14,FALSE),0)</f>
        <v>0.312</v>
      </c>
      <c r="AB249" s="267">
        <f>IFERROR(VLOOKUP($A249,Supp_64,14,FALSE),0)+IFERROR(SUMPRODUCT(VLOOKUP($A249,S275_01,{41,42,43},FALSE)),0)+IFERROR(SUMPRODUCT(VLOOKUP($A249,S275_97,{41,42,43},FALSE)),0)+IFERROR(ROUND(VLOOKUP($A249,S275_21,41,FALSE)*VLOOKUP($A249,'3121% SY'!$C$3:$M$324,11,FALSE),3),0)+IFERROR(ROUND(VLOOKUP($A249,S275_21,42,FALSE)*VLOOKUP($A249,'3121% SY'!$C$3:$M$324,11,FALSE),3),0)+IFERROR(ROUND(VLOOKUP($A249,S275_21,43,FALSE)*VLOOKUP($A249,'3121% SY'!$C$3:$M$324,11,FALSE),3),0)+IFERROR(VLOOKUP($A249,S275_09,15,FALSE),0)</f>
        <v>0</v>
      </c>
      <c r="AC249" s="268">
        <f t="shared" si="47"/>
        <v>9.3709999999999987</v>
      </c>
      <c r="AD249" s="267">
        <f>IFERROR(VLOOKUP($A249,Supp_24,14,FALSE),0)+IFERROR(SUMPRODUCT(VLOOKUP($A249,S275_01,{2,3,4},FALSE)),0)+IFERROR(SUMPRODUCT(VLOOKUP($A249,S275_97,{2,3,4},FALSE)),0)+IFERROR(ROUND(VLOOKUP($A249,S275_21,2,FALSE)*VLOOKUP($A249,'3121% SY'!$C$3:$M$324,11,FALSE),3),0)+IFERROR(ROUND(VLOOKUP($A249,S275_21,3,FALSE)*VLOOKUP($A249,'3121% SY'!$C$3:$M$324,11,FALSE),3),0)+IFERROR(ROUND(VLOOKUP($A249,S275_21,4,FALSE)*VLOOKUP($A249,'3121% SY'!$C$3:$M$324,11,FALSE),3),0)+IFERROR(VLOOKUP($A249,S275_09,2,FALSE),0)</f>
        <v>0.65</v>
      </c>
      <c r="AE249" s="267">
        <f>IFERROR(VLOOKUP($A249,Supp_25,14,FALSE),0)+IFERROR(SUMPRODUCT(VLOOKUP($A249,S275_01,{5,6,7},FALSE)),0)+IFERROR(SUMPRODUCT(VLOOKUP($A249,S275_97,{5,6,7},FALSE)),0)+IFERROR(ROUND(VLOOKUP($A249,S275_21,5,FALSE)*VLOOKUP($A249,'3121% SY'!$C$3:$M$324,11,FALSE),3),0)+IFERROR(ROUND(VLOOKUP($A249,S275_21,6,FALSE)*VLOOKUP($A249,'3121% SY'!$C$3:$M$324,11,FALSE),3),0)+IFERROR(ROUND(VLOOKUP($A249,S275_21,7,FALSE)*VLOOKUP($A249,'3121% SY'!$C$3:$M$324,11,FALSE),3),0)+IFERROR(VLOOKUP($A249,S275_09,3,FALSE),0)</f>
        <v>0</v>
      </c>
      <c r="AF249" s="267">
        <f>IFERROR(VLOOKUP($A249,Supp_26,14,FALSE),0)+IFERROR(SUMPRODUCT(VLOOKUP($A249,S275_01,{8,9,10},FALSE)),0)+IFERROR(SUMPRODUCT(VLOOKUP($A249,S275_97,{8,9,10},FALSE)),0)+IFERROR(ROUND(VLOOKUP($A249,S275_21,8,FALSE)*VLOOKUP($A249,'3121% SY'!$C$3:$M$324,11,FALSE),3),0)+IFERROR(ROUND(VLOOKUP($A249,S275_21,9,FALSE)*VLOOKUP($A249,'3121% SY'!$C$3:$M$324,11,FALSE),3),0)+IFERROR(ROUND(VLOOKUP($A249,S275_21,10,FALSE)*VLOOKUP($A249,'3121% SY'!$C$3:$M$324,11,FALSE),3),0)+IFERROR(VLOOKUP($A249,S275_09,4,FALSE),0)</f>
        <v>4.3649999999999993</v>
      </c>
      <c r="AG249" s="267">
        <f>IFERROR(VLOOKUP($A249,Supp_35,14,FALSE),0)+IFERROR(SUMPRODUCT(VLOOKUP($A249,S275_01,{11,12,13},FALSE)),0)+IFERROR(SUMPRODUCT(VLOOKUP($A249,S275_97,{11,12,13},FALSE)),0)+IFERROR(ROUND(VLOOKUP($A249,S275_21,11,FALSE)*VLOOKUP($A249,'3121% SY'!$C$3:$M$324,11,FALSE),3),0)+IFERROR(ROUND(VLOOKUP($A249,S275_21,12,FALSE)*VLOOKUP($A249,'3121% SY'!$C$3:$M$324,11,FALSE),3),0)+IFERROR(ROUND(VLOOKUP($A249,S275_21,13,FALSE)*VLOOKUP($A249,'3121% SY'!$C$3:$M$324,11,FALSE),3),0)+IFERROR(VLOOKUP($A249,S275_09,5,FALSE),0)</f>
        <v>1.84</v>
      </c>
      <c r="AH249" s="165">
        <f t="shared" si="48"/>
        <v>6.8549999999999995</v>
      </c>
      <c r="AI249" s="161">
        <f>IFERROR(VLOOKUP(A249,'Supp Staff Data'!A:ER,148,FALSE),0)+AB249</f>
        <v>0</v>
      </c>
      <c r="AJ249" s="174">
        <v>0.83130000000000004</v>
      </c>
      <c r="AK249" s="25">
        <f>VLOOKUP(A249,'Enroll Data as of January 2025'!$A$3:$T$323,20,FALSE)-F249</f>
        <v>0</v>
      </c>
    </row>
    <row r="250" spans="1:37" x14ac:dyDescent="0.25">
      <c r="A250" s="171" t="s">
        <v>105</v>
      </c>
      <c r="B250" t="s">
        <v>401</v>
      </c>
      <c r="C250" s="173" t="s">
        <v>1077</v>
      </c>
      <c r="D250" s="259">
        <f t="shared" si="40"/>
        <v>14.555000000000001</v>
      </c>
      <c r="E250" s="259">
        <f t="shared" si="41"/>
        <v>15.840000000000002</v>
      </c>
      <c r="F250" s="262">
        <f t="shared" si="49"/>
        <v>1.2849999999999999</v>
      </c>
      <c r="G250" s="161">
        <f>ROUND(IF(F250&lt;0,F250*'2024-25 PSES Compliance'!$G$13,0),3)</f>
        <v>0</v>
      </c>
      <c r="H250" s="161">
        <f>ROUND(IF(F250&lt;0,F250*'2024-25 PSES Compliance'!$G$14,0),3)</f>
        <v>0</v>
      </c>
      <c r="I250" s="174">
        <f t="shared" si="43"/>
        <v>0.72763431818181823</v>
      </c>
      <c r="J250" s="174">
        <f t="shared" si="44"/>
        <v>0</v>
      </c>
      <c r="K250" s="161">
        <f>VLOOKUP($A250,'Enroll Data as of January 2025'!$A$3:$M$322,6,FALSE)</f>
        <v>8.2390000000000008</v>
      </c>
      <c r="L250" s="161">
        <f>VLOOKUP($A250,'Enroll Data as of January 2025'!$A$3:$M$322,7,FALSE)</f>
        <v>1.3180000000000001</v>
      </c>
      <c r="M250" s="161">
        <f>VLOOKUP($A250,'Enroll Data as of January 2025'!$A$3:$M$322,8,FALSE)</f>
        <v>0.442</v>
      </c>
      <c r="N250" s="161">
        <f>VLOOKUP($A250,'Enroll Data as of January 2025'!$A$3:$M$322,9,FALSE)</f>
        <v>3.7519999999999998</v>
      </c>
      <c r="O250" s="165">
        <f t="shared" si="45"/>
        <v>13.751000000000001</v>
      </c>
      <c r="P250" s="161">
        <f>VLOOKUP($A250,'Enroll Data as of January 2025'!$A$3:$M$322,11,FALSE)</f>
        <v>0.51100000000000001</v>
      </c>
      <c r="Q250" s="161">
        <f>VLOOKUP($A250,'Enroll Data as of January 2025'!$A$3:$M$322,12,FALSE)</f>
        <v>0.29299999999999998</v>
      </c>
      <c r="R250" s="165">
        <f t="shared" si="46"/>
        <v>0.80400000000000005</v>
      </c>
      <c r="S250" s="267">
        <f>IFERROR(VLOOKUP($A250,Supp_39,14,FALSE),0)+IFERROR(SUMPRODUCT(VLOOKUP($A250,S275_01,{14,15,16},FALSE)),0)+IFERROR(SUMPRODUCT(VLOOKUP($A250,S275_97,{14,15,16},FALSE)),0)+IFERROR(ROUND(VLOOKUP($A250,S275_21,14,FALSE)*VLOOKUP($A250,'3121% SY'!$C$3:$M$324,11,FALSE),3),0)+IFERROR(ROUND(VLOOKUP($A250,S275_21,15,FALSE)*VLOOKUP($A250,'3121% SY'!$C$3:$M$324,11,FALSE),3),0)+IFERROR(ROUND(VLOOKUP($A250,S275_21,16,FALSE)*VLOOKUP($A250,'3121% SY'!$C$3:$M$324,11,FALSE),3),0)+IFERROR(VLOOKUP($A250,S275_09,6,FALSE),0)</f>
        <v>3.84</v>
      </c>
      <c r="T250" s="267">
        <f>IFERROR(VLOOKUP($A250,Supp_42,14,FALSE),0)+IFERROR(SUMPRODUCT(VLOOKUP($A250,S275_01,{17,18,19},FALSE)),0)+IFERROR(SUMPRODUCT(VLOOKUP($A250,S275_97,{17,18,19},FALSE)),0)+IFERROR(ROUND(VLOOKUP($A250,S275_21,17,FALSE)*VLOOKUP($A250,'3121% SY'!$C$3:$M$324,11,FALSE),3),0)+IFERROR(ROUND(VLOOKUP($A250,S275_21,18,FALSE)*VLOOKUP($A250,'3121% SY'!$C$3:$M$324,11,FALSE),3),0)+IFERROR(ROUND(VLOOKUP($A250,S275_21,19,FALSE)*VLOOKUP($A250,'3121% SY'!$C$3:$M$324,11,FALSE),3),0)+IFERROR(VLOOKUP($A250,S275_09,7,FALSE),0)</f>
        <v>0.68200000000000005</v>
      </c>
      <c r="U250" s="267">
        <f>IFERROR(VLOOKUP($A250,Supp_43,14,FALSE),0)+IFERROR(SUMPRODUCT(VLOOKUP($A250,S275_01,{20,21,22},FALSE)),0)+IFERROR(SUMPRODUCT(VLOOKUP($A250,S275_97,{20,21,22},FALSE)),0)+IFERROR(ROUND(VLOOKUP($A250,S275_21,20,FALSE)*VLOOKUP($A250,'3121% SY'!$C$3:$M$324,11,FALSE),3),0)+IFERROR(ROUND(VLOOKUP($A250,S275_21,21,FALSE)*VLOOKUP($A250,'3121% SY'!$C$3:$M$324,11,FALSE),3),0)+IFERROR(ROUND(VLOOKUP($A250,S275_21,22,FALSE)*VLOOKUP($A250,'3121% SY'!$C$3:$M$324,11,FALSE),3),0)+IFERROR(VLOOKUP($A250,S275_09,8,FALSE),0)</f>
        <v>3.5310000000000001</v>
      </c>
      <c r="V250" s="267">
        <f>IFERROR(VLOOKUP($A250,Supp_44,14,FALSE),0)+IFERROR(SUMPRODUCT(VLOOKUP($A250,S275_01,{23,24,25},FALSE)),0)+IFERROR(SUMPRODUCT(VLOOKUP($A250,S275_97,{23,24,25},FALSE)),0)+IFERROR(ROUND(VLOOKUP($A250,S275_21,23,FALSE)*VLOOKUP($A250,'3121% SY'!$C$3:$M$324,11,FALSE),3),0)+IFERROR(ROUND(VLOOKUP($A250,S275_21,24,FALSE)*VLOOKUP($A250,'3121% SY'!$C$3:$M$324,11,FALSE),3),0)+IFERROR(ROUND(VLOOKUP($A250,S275_21,25,FALSE)*VLOOKUP($A250,'3121% SY'!$C$3:$M$324,11,FALSE),3),0)+IFERROR(VLOOKUP($A250,S275_09,9,FALSE),0)</f>
        <v>0</v>
      </c>
      <c r="W250" s="267">
        <f>IFERROR(VLOOKUP($A250,Supp_45,14,FALSE),0)+IFERROR(SUMPRODUCT(VLOOKUP($A250,S275_01,{26,27,28},FALSE)),0)+IFERROR(SUMPRODUCT(VLOOKUP($A250,S275_97,{26,27,28},FALSE)),0)+IFERROR(ROUND(VLOOKUP($A250,S275_21,26,FALSE)*VLOOKUP($A250,'3121% SY'!$C$3:$M$324,11,FALSE),3),0)+IFERROR(ROUND(VLOOKUP($A250,S275_21,27,FALSE)*VLOOKUP($A250,'3121% SY'!$C$3:$M$324,11,FALSE),3),0)+IFERROR(ROUND(VLOOKUP($A250,S275_21,28,FALSE)*VLOOKUP($A250,'3121% SY'!$C$3:$M$324,11,FALSE),3),0)+IFERROR(VLOOKUP($A250,S275_09,10,FALSE),0)</f>
        <v>1.327</v>
      </c>
      <c r="X250" s="267">
        <f>IFERROR(VLOOKUP($A250,Supp_46,14,FALSE),0)+IFERROR(SUMPRODUCT(VLOOKUP($A250,S275_01,{29,30,31},FALSE)),0)+IFERROR(SUMPRODUCT(VLOOKUP($A250,S275_97,{29,30,31},FALSE)),0)+IFERROR(ROUND(VLOOKUP($A250,S275_21,29,FALSE)*VLOOKUP($A250,'3121% SY'!$C$3:$M$324,11,FALSE),3),0)+IFERROR(ROUND(VLOOKUP($A250,S275_21,30,FALSE)*VLOOKUP($A250,'3121% SY'!$C$3:$M$324,11,FALSE),3),0)+IFERROR(ROUND(VLOOKUP($A250,S275_21,31,FALSE)*VLOOKUP($A250,'3121% SY'!$C$3:$M$324,11,FALSE),3),0)+IFERROR(VLOOKUP($A250,S275_09,11,FALSE),0)</f>
        <v>2.0609999999999999</v>
      </c>
      <c r="Y250" s="267">
        <f>IFERROR(VLOOKUP($A250,Supp_47,14,FALSE),0)+IFERROR(SUMPRODUCT(VLOOKUP($A250,S275_01,{32,33,34},FALSE)),0)+IFERROR(SUMPRODUCT(VLOOKUP($A250,S275_97,{32,33,34},FALSE)),0)+IFERROR(ROUND(VLOOKUP($A250,S275_21,32,FALSE)*VLOOKUP($A250,'3121% SY'!$C$3:$M$324,11,FALSE),3),0)+IFERROR(ROUND(VLOOKUP($A250,S275_21,33,FALSE)*VLOOKUP($A250,'3121% SY'!$C$3:$M$324,11,FALSE),3),0)+IFERROR(ROUND(VLOOKUP($A250,S275_21,34,FALSE)*VLOOKUP($A250,'3121% SY'!$C$3:$M$324,11,FALSE),3),0)+IFERROR(VLOOKUP($A250,S275_09,12,FALSE),0)</f>
        <v>0</v>
      </c>
      <c r="Z250" s="267">
        <f>IFERROR(VLOOKUP($A250,Supp_48,14,FALSE),0)+IFERROR(SUMPRODUCT(VLOOKUP($A250,S275_01,{35,36,37},FALSE)),0)+IFERROR(SUMPRODUCT(VLOOKUP($A250,S275_97,{35,36,37},FALSE)),0)+IFERROR(ROUND(VLOOKUP($A250,S275_21,35,FALSE)*VLOOKUP($A250,'3121% SY'!$C$3:$M$324,11,FALSE),3),0)+IFERROR(ROUND(VLOOKUP($A250,S275_21,36,FALSE)*VLOOKUP($A250,'3121% SY'!$C$3:$M$324,11,FALSE),3),0)+IFERROR(ROUND(VLOOKUP($A250,S275_21,37,FALSE)*VLOOKUP($A250,'3121% SY'!$C$3:$M$324,11,FALSE),3),0)+IFERROR(VLOOKUP($A250,S275_09,13,FALSE),0)</f>
        <v>0.26500000000000001</v>
      </c>
      <c r="AA250" s="267">
        <f>IFERROR(VLOOKUP($A250,Supp_49,14,FALSE),0)+IFERROR(SUMPRODUCT(VLOOKUP($A250,S275_01,{38,39,40},FALSE)),0)+IFERROR(SUMPRODUCT(VLOOKUP($A250,S275_97,{38,39,40},FALSE)),0)+IFERROR(ROUND(VLOOKUP($A250,S275_21,38,FALSE)*VLOOKUP($A250,'3121% SY'!$C$3:$M$324,11,FALSE),3),0)+IFERROR(ROUND(VLOOKUP($A250,S275_21,39,FALSE)*VLOOKUP($A250,'3121% SY'!$C$3:$M$324,11,FALSE),3),0)+IFERROR(ROUND(VLOOKUP($A250,S275_21,40,FALSE)*VLOOKUP($A250,'3121% SY'!$C$3:$M$324,11,FALSE),3),0)+IFERROR(VLOOKUP($A250,S275_09,14,FALSE),0)</f>
        <v>0</v>
      </c>
      <c r="AB250" s="267">
        <f>IFERROR(VLOOKUP($A250,Supp_64,14,FALSE),0)+IFERROR(SUMPRODUCT(VLOOKUP($A250,S275_01,{41,42,43},FALSE)),0)+IFERROR(SUMPRODUCT(VLOOKUP($A250,S275_97,{41,42,43},FALSE)),0)+IFERROR(ROUND(VLOOKUP($A250,S275_21,41,FALSE)*VLOOKUP($A250,'3121% SY'!$C$3:$M$324,11,FALSE),3),0)+IFERROR(ROUND(VLOOKUP($A250,S275_21,42,FALSE)*VLOOKUP($A250,'3121% SY'!$C$3:$M$324,11,FALSE),3),0)+IFERROR(ROUND(VLOOKUP($A250,S275_21,43,FALSE)*VLOOKUP($A250,'3121% SY'!$C$3:$M$324,11,FALSE),3),0)+IFERROR(VLOOKUP($A250,S275_09,15,FALSE),0)</f>
        <v>0</v>
      </c>
      <c r="AC250" s="268">
        <f t="shared" si="47"/>
        <v>11.706000000000001</v>
      </c>
      <c r="AD250" s="267">
        <f>IFERROR(VLOOKUP($A250,Supp_24,14,FALSE),0)+IFERROR(SUMPRODUCT(VLOOKUP($A250,S275_01,{2,3,4},FALSE)),0)+IFERROR(SUMPRODUCT(VLOOKUP($A250,S275_97,{2,3,4},FALSE)),0)+IFERROR(ROUND(VLOOKUP($A250,S275_21,2,FALSE)*VLOOKUP($A250,'3121% SY'!$C$3:$M$324,11,FALSE),3),0)+IFERROR(ROUND(VLOOKUP($A250,S275_21,3,FALSE)*VLOOKUP($A250,'3121% SY'!$C$3:$M$324,11,FALSE),3),0)+IFERROR(ROUND(VLOOKUP($A250,S275_21,4,FALSE)*VLOOKUP($A250,'3121% SY'!$C$3:$M$324,11,FALSE),3),0)+IFERROR(VLOOKUP($A250,S275_09,2,FALSE),0)</f>
        <v>0</v>
      </c>
      <c r="AE250" s="267">
        <f>IFERROR(VLOOKUP($A250,Supp_25,14,FALSE),0)+IFERROR(SUMPRODUCT(VLOOKUP($A250,S275_01,{5,6,7},FALSE)),0)+IFERROR(SUMPRODUCT(VLOOKUP($A250,S275_97,{5,6,7},FALSE)),0)+IFERROR(ROUND(VLOOKUP($A250,S275_21,5,FALSE)*VLOOKUP($A250,'3121% SY'!$C$3:$M$324,11,FALSE),3),0)+IFERROR(ROUND(VLOOKUP($A250,S275_21,6,FALSE)*VLOOKUP($A250,'3121% SY'!$C$3:$M$324,11,FALSE),3),0)+IFERROR(ROUND(VLOOKUP($A250,S275_21,7,FALSE)*VLOOKUP($A250,'3121% SY'!$C$3:$M$324,11,FALSE),3),0)+IFERROR(VLOOKUP($A250,S275_09,3,FALSE),0)</f>
        <v>0</v>
      </c>
      <c r="AF250" s="267">
        <f>IFERROR(VLOOKUP($A250,Supp_26,14,FALSE),0)+IFERROR(SUMPRODUCT(VLOOKUP($A250,S275_01,{8,9,10},FALSE)),0)+IFERROR(SUMPRODUCT(VLOOKUP($A250,S275_97,{8,9,10},FALSE)),0)+IFERROR(ROUND(VLOOKUP($A250,S275_21,8,FALSE)*VLOOKUP($A250,'3121% SY'!$C$3:$M$324,11,FALSE),3),0)+IFERROR(ROUND(VLOOKUP($A250,S275_21,9,FALSE)*VLOOKUP($A250,'3121% SY'!$C$3:$M$324,11,FALSE),3),0)+IFERROR(ROUND(VLOOKUP($A250,S275_21,10,FALSE)*VLOOKUP($A250,'3121% SY'!$C$3:$M$324,11,FALSE),3),0)+IFERROR(VLOOKUP($A250,S275_09,4,FALSE),0)</f>
        <v>1.929</v>
      </c>
      <c r="AG250" s="267">
        <f>IFERROR(VLOOKUP($A250,Supp_35,14,FALSE),0)+IFERROR(SUMPRODUCT(VLOOKUP($A250,S275_01,{11,12,13},FALSE)),0)+IFERROR(SUMPRODUCT(VLOOKUP($A250,S275_97,{11,12,13},FALSE)),0)+IFERROR(ROUND(VLOOKUP($A250,S275_21,11,FALSE)*VLOOKUP($A250,'3121% SY'!$C$3:$M$324,11,FALSE),3),0)+IFERROR(ROUND(VLOOKUP($A250,S275_21,12,FALSE)*VLOOKUP($A250,'3121% SY'!$C$3:$M$324,11,FALSE),3),0)+IFERROR(ROUND(VLOOKUP($A250,S275_21,13,FALSE)*VLOOKUP($A250,'3121% SY'!$C$3:$M$324,11,FALSE),3),0)+IFERROR(VLOOKUP($A250,S275_09,5,FALSE),0)</f>
        <v>2.2050000000000001</v>
      </c>
      <c r="AH250" s="165">
        <f t="shared" si="48"/>
        <v>4.1340000000000003</v>
      </c>
      <c r="AI250" s="161">
        <f>IFERROR(VLOOKUP(A250,'Supp Staff Data'!A:ER,148,FALSE),0)+AB250</f>
        <v>0</v>
      </c>
      <c r="AJ250" s="174">
        <v>0.98460000000000003</v>
      </c>
      <c r="AK250" s="25">
        <f>VLOOKUP(A250,'Enroll Data as of January 2025'!$A$3:$T$323,20,FALSE)-F250</f>
        <v>0</v>
      </c>
    </row>
    <row r="251" spans="1:37" x14ac:dyDescent="0.25">
      <c r="A251" s="171" t="s">
        <v>203</v>
      </c>
      <c r="B251" t="s">
        <v>498</v>
      </c>
      <c r="C251" s="173" t="s">
        <v>1077</v>
      </c>
      <c r="D251" s="259">
        <f t="shared" si="40"/>
        <v>16.402999999999999</v>
      </c>
      <c r="E251" s="259">
        <f t="shared" si="41"/>
        <v>21.305</v>
      </c>
      <c r="F251" s="262">
        <f t="shared" si="49"/>
        <v>4.9020000000000001</v>
      </c>
      <c r="G251" s="161">
        <f>ROUND(IF(F251&lt;0,F251*'2024-25 PSES Compliance'!$G$13,0),3)</f>
        <v>0</v>
      </c>
      <c r="H251" s="161">
        <f>ROUND(IF(F251&lt;0,F251*'2024-25 PSES Compliance'!$G$14,0),3)</f>
        <v>0</v>
      </c>
      <c r="I251" s="174">
        <f t="shared" si="43"/>
        <v>0.67411405773292654</v>
      </c>
      <c r="J251" s="174">
        <f t="shared" si="44"/>
        <v>0</v>
      </c>
      <c r="K251" s="161">
        <f>VLOOKUP($A251,'Enroll Data as of January 2025'!$A$3:$M$322,6,FALSE)</f>
        <v>9.2059999999999995</v>
      </c>
      <c r="L251" s="161">
        <f>VLOOKUP($A251,'Enroll Data as of January 2025'!$A$3:$M$322,7,FALSE)</f>
        <v>1.5219999999999998</v>
      </c>
      <c r="M251" s="161">
        <f>VLOOKUP($A251,'Enroll Data as of January 2025'!$A$3:$M$322,8,FALSE)</f>
        <v>0.51</v>
      </c>
      <c r="N251" s="161">
        <f>VLOOKUP($A251,'Enroll Data as of January 2025'!$A$3:$M$322,9,FALSE)</f>
        <v>4.2460000000000004</v>
      </c>
      <c r="O251" s="165">
        <f t="shared" si="45"/>
        <v>15.484</v>
      </c>
      <c r="P251" s="161">
        <f>VLOOKUP($A251,'Enroll Data as of January 2025'!$A$3:$M$322,11,FALSE)</f>
        <v>0.57600000000000007</v>
      </c>
      <c r="Q251" s="161">
        <f>VLOOKUP($A251,'Enroll Data as of January 2025'!$A$3:$M$322,12,FALSE)</f>
        <v>0.34300000000000003</v>
      </c>
      <c r="R251" s="165">
        <f t="shared" si="46"/>
        <v>0.91900000000000004</v>
      </c>
      <c r="S251" s="267">
        <f>IFERROR(VLOOKUP($A251,Supp_39,14,FALSE),0)+IFERROR(SUMPRODUCT(VLOOKUP($A251,S275_01,{14,15,16},FALSE)),0)+IFERROR(SUMPRODUCT(VLOOKUP($A251,S275_97,{14,15,16},FALSE)),0)+IFERROR(ROUND(VLOOKUP($A251,S275_21,14,FALSE)*VLOOKUP($A251,'3121% SY'!$C$3:$M$324,11,FALSE),3),0)+IFERROR(ROUND(VLOOKUP($A251,S275_21,15,FALSE)*VLOOKUP($A251,'3121% SY'!$C$3:$M$324,11,FALSE),3),0)+IFERROR(ROUND(VLOOKUP($A251,S275_21,16,FALSE)*VLOOKUP($A251,'3121% SY'!$C$3:$M$324,11,FALSE),3),0)+IFERROR(VLOOKUP($A251,S275_09,6,FALSE),0)</f>
        <v>7.7030000000000003</v>
      </c>
      <c r="T251" s="267">
        <f>IFERROR(VLOOKUP($A251,Supp_42,14,FALSE),0)+IFERROR(SUMPRODUCT(VLOOKUP($A251,S275_01,{17,18,19},FALSE)),0)+IFERROR(SUMPRODUCT(VLOOKUP($A251,S275_97,{17,18,19},FALSE)),0)+IFERROR(ROUND(VLOOKUP($A251,S275_21,17,FALSE)*VLOOKUP($A251,'3121% SY'!$C$3:$M$324,11,FALSE),3),0)+IFERROR(ROUND(VLOOKUP($A251,S275_21,18,FALSE)*VLOOKUP($A251,'3121% SY'!$C$3:$M$324,11,FALSE),3),0)+IFERROR(ROUND(VLOOKUP($A251,S275_21,19,FALSE)*VLOOKUP($A251,'3121% SY'!$C$3:$M$324,11,FALSE),3),0)+IFERROR(VLOOKUP($A251,S275_09,7,FALSE),0)</f>
        <v>1.0169999999999999</v>
      </c>
      <c r="U251" s="267">
        <f>IFERROR(VLOOKUP($A251,Supp_43,14,FALSE),0)+IFERROR(SUMPRODUCT(VLOOKUP($A251,S275_01,{20,21,22},FALSE)),0)+IFERROR(SUMPRODUCT(VLOOKUP($A251,S275_97,{20,21,22},FALSE)),0)+IFERROR(ROUND(VLOOKUP($A251,S275_21,20,FALSE)*VLOOKUP($A251,'3121% SY'!$C$3:$M$324,11,FALSE),3),0)+IFERROR(ROUND(VLOOKUP($A251,S275_21,21,FALSE)*VLOOKUP($A251,'3121% SY'!$C$3:$M$324,11,FALSE),3),0)+IFERROR(ROUND(VLOOKUP($A251,S275_21,22,FALSE)*VLOOKUP($A251,'3121% SY'!$C$3:$M$324,11,FALSE),3),0)+IFERROR(VLOOKUP($A251,S275_09,8,FALSE),0)</f>
        <v>0.5089999999999999</v>
      </c>
      <c r="V251" s="267">
        <f>IFERROR(VLOOKUP($A251,Supp_44,14,FALSE),0)+IFERROR(SUMPRODUCT(VLOOKUP($A251,S275_01,{23,24,25},FALSE)),0)+IFERROR(SUMPRODUCT(VLOOKUP($A251,S275_97,{23,24,25},FALSE)),0)+IFERROR(ROUND(VLOOKUP($A251,S275_21,23,FALSE)*VLOOKUP($A251,'3121% SY'!$C$3:$M$324,11,FALSE),3),0)+IFERROR(ROUND(VLOOKUP($A251,S275_21,24,FALSE)*VLOOKUP($A251,'3121% SY'!$C$3:$M$324,11,FALSE),3),0)+IFERROR(ROUND(VLOOKUP($A251,S275_21,25,FALSE)*VLOOKUP($A251,'3121% SY'!$C$3:$M$324,11,FALSE),3),0)+IFERROR(VLOOKUP($A251,S275_09,9,FALSE),0)</f>
        <v>0.78</v>
      </c>
      <c r="W251" s="267">
        <f>IFERROR(VLOOKUP($A251,Supp_45,14,FALSE),0)+IFERROR(SUMPRODUCT(VLOOKUP($A251,S275_01,{26,27,28},FALSE)),0)+IFERROR(SUMPRODUCT(VLOOKUP($A251,S275_97,{26,27,28},FALSE)),0)+IFERROR(ROUND(VLOOKUP($A251,S275_21,26,FALSE)*VLOOKUP($A251,'3121% SY'!$C$3:$M$324,11,FALSE),3),0)+IFERROR(ROUND(VLOOKUP($A251,S275_21,27,FALSE)*VLOOKUP($A251,'3121% SY'!$C$3:$M$324,11,FALSE),3),0)+IFERROR(ROUND(VLOOKUP($A251,S275_21,28,FALSE)*VLOOKUP($A251,'3121% SY'!$C$3:$M$324,11,FALSE),3),0)+IFERROR(VLOOKUP($A251,S275_09,10,FALSE),0)</f>
        <v>1.27</v>
      </c>
      <c r="X251" s="267">
        <f>IFERROR(VLOOKUP($A251,Supp_46,14,FALSE),0)+IFERROR(SUMPRODUCT(VLOOKUP($A251,S275_01,{29,30,31},FALSE)),0)+IFERROR(SUMPRODUCT(VLOOKUP($A251,S275_97,{29,30,31},FALSE)),0)+IFERROR(ROUND(VLOOKUP($A251,S275_21,29,FALSE)*VLOOKUP($A251,'3121% SY'!$C$3:$M$324,11,FALSE),3),0)+IFERROR(ROUND(VLOOKUP($A251,S275_21,30,FALSE)*VLOOKUP($A251,'3121% SY'!$C$3:$M$324,11,FALSE),3),0)+IFERROR(ROUND(VLOOKUP($A251,S275_21,31,FALSE)*VLOOKUP($A251,'3121% SY'!$C$3:$M$324,11,FALSE),3),0)+IFERROR(VLOOKUP($A251,S275_09,11,FALSE),0)</f>
        <v>2.609</v>
      </c>
      <c r="Y251" s="267">
        <f>IFERROR(VLOOKUP($A251,Supp_47,14,FALSE),0)+IFERROR(SUMPRODUCT(VLOOKUP($A251,S275_01,{32,33,34},FALSE)),0)+IFERROR(SUMPRODUCT(VLOOKUP($A251,S275_97,{32,33,34},FALSE)),0)+IFERROR(ROUND(VLOOKUP($A251,S275_21,32,FALSE)*VLOOKUP($A251,'3121% SY'!$C$3:$M$324,11,FALSE),3),0)+IFERROR(ROUND(VLOOKUP($A251,S275_21,33,FALSE)*VLOOKUP($A251,'3121% SY'!$C$3:$M$324,11,FALSE),3),0)+IFERROR(ROUND(VLOOKUP($A251,S275_21,34,FALSE)*VLOOKUP($A251,'3121% SY'!$C$3:$M$324,11,FALSE),3),0)+IFERROR(VLOOKUP($A251,S275_09,12,FALSE),0)</f>
        <v>0.39100000000000001</v>
      </c>
      <c r="Z251" s="267">
        <f>IFERROR(VLOOKUP($A251,Supp_48,14,FALSE),0)+IFERROR(SUMPRODUCT(VLOOKUP($A251,S275_01,{35,36,37},FALSE)),0)+IFERROR(SUMPRODUCT(VLOOKUP($A251,S275_97,{35,36,37},FALSE)),0)+IFERROR(ROUND(VLOOKUP($A251,S275_21,35,FALSE)*VLOOKUP($A251,'3121% SY'!$C$3:$M$324,11,FALSE),3),0)+IFERROR(ROUND(VLOOKUP($A251,S275_21,36,FALSE)*VLOOKUP($A251,'3121% SY'!$C$3:$M$324,11,FALSE),3),0)+IFERROR(ROUND(VLOOKUP($A251,S275_21,37,FALSE)*VLOOKUP($A251,'3121% SY'!$C$3:$M$324,11,FALSE),3),0)+IFERROR(VLOOKUP($A251,S275_09,13,FALSE),0)</f>
        <v>8.3000000000000004E-2</v>
      </c>
      <c r="AA251" s="267">
        <f>IFERROR(VLOOKUP($A251,Supp_49,14,FALSE),0)+IFERROR(SUMPRODUCT(VLOOKUP($A251,S275_01,{38,39,40},FALSE)),0)+IFERROR(SUMPRODUCT(VLOOKUP($A251,S275_97,{38,39,40},FALSE)),0)+IFERROR(ROUND(VLOOKUP($A251,S275_21,38,FALSE)*VLOOKUP($A251,'3121% SY'!$C$3:$M$324,11,FALSE),3),0)+IFERROR(ROUND(VLOOKUP($A251,S275_21,39,FALSE)*VLOOKUP($A251,'3121% SY'!$C$3:$M$324,11,FALSE),3),0)+IFERROR(ROUND(VLOOKUP($A251,S275_21,40,FALSE)*VLOOKUP($A251,'3121% SY'!$C$3:$M$324,11,FALSE),3),0)+IFERROR(VLOOKUP($A251,S275_09,14,FALSE),0)</f>
        <v>0</v>
      </c>
      <c r="AB251" s="267">
        <f>IFERROR(VLOOKUP($A251,Supp_64,14,FALSE),0)+IFERROR(SUMPRODUCT(VLOOKUP($A251,S275_01,{41,42,43},FALSE)),0)+IFERROR(SUMPRODUCT(VLOOKUP($A251,S275_97,{41,42,43},FALSE)),0)+IFERROR(ROUND(VLOOKUP($A251,S275_21,41,FALSE)*VLOOKUP($A251,'3121% SY'!$C$3:$M$324,11,FALSE),3),0)+IFERROR(ROUND(VLOOKUP($A251,S275_21,42,FALSE)*VLOOKUP($A251,'3121% SY'!$C$3:$M$324,11,FALSE),3),0)+IFERROR(ROUND(VLOOKUP($A251,S275_21,43,FALSE)*VLOOKUP($A251,'3121% SY'!$C$3:$M$324,11,FALSE),3),0)+IFERROR(VLOOKUP($A251,S275_09,15,FALSE),0)</f>
        <v>0</v>
      </c>
      <c r="AC251" s="268">
        <f t="shared" si="47"/>
        <v>14.362</v>
      </c>
      <c r="AD251" s="267">
        <f>IFERROR(VLOOKUP($A251,Supp_24,14,FALSE),0)+IFERROR(SUMPRODUCT(VLOOKUP($A251,S275_01,{2,3,4},FALSE)),0)+IFERROR(SUMPRODUCT(VLOOKUP($A251,S275_97,{2,3,4},FALSE)),0)+IFERROR(ROUND(VLOOKUP($A251,S275_21,2,FALSE)*VLOOKUP($A251,'3121% SY'!$C$3:$M$324,11,FALSE),3),0)+IFERROR(ROUND(VLOOKUP($A251,S275_21,3,FALSE)*VLOOKUP($A251,'3121% SY'!$C$3:$M$324,11,FALSE),3),0)+IFERROR(ROUND(VLOOKUP($A251,S275_21,4,FALSE)*VLOOKUP($A251,'3121% SY'!$C$3:$M$324,11,FALSE),3),0)+IFERROR(VLOOKUP($A251,S275_09,2,FALSE),0)</f>
        <v>2.6629999999999998</v>
      </c>
      <c r="AE251" s="267">
        <f>IFERROR(VLOOKUP($A251,Supp_25,14,FALSE),0)+IFERROR(SUMPRODUCT(VLOOKUP($A251,S275_01,{5,6,7},FALSE)),0)+IFERROR(SUMPRODUCT(VLOOKUP($A251,S275_97,{5,6,7},FALSE)),0)+IFERROR(ROUND(VLOOKUP($A251,S275_21,5,FALSE)*VLOOKUP($A251,'3121% SY'!$C$3:$M$324,11,FALSE),3),0)+IFERROR(ROUND(VLOOKUP($A251,S275_21,6,FALSE)*VLOOKUP($A251,'3121% SY'!$C$3:$M$324,11,FALSE),3),0)+IFERROR(ROUND(VLOOKUP($A251,S275_21,7,FALSE)*VLOOKUP($A251,'3121% SY'!$C$3:$M$324,11,FALSE),3),0)+IFERROR(VLOOKUP($A251,S275_09,3,FALSE),0)</f>
        <v>0</v>
      </c>
      <c r="AF251" s="267">
        <f>IFERROR(VLOOKUP($A251,Supp_26,14,FALSE),0)+IFERROR(SUMPRODUCT(VLOOKUP($A251,S275_01,{8,9,10},FALSE)),0)+IFERROR(SUMPRODUCT(VLOOKUP($A251,S275_97,{8,9,10},FALSE)),0)+IFERROR(ROUND(VLOOKUP($A251,S275_21,8,FALSE)*VLOOKUP($A251,'3121% SY'!$C$3:$M$324,11,FALSE),3),0)+IFERROR(ROUND(VLOOKUP($A251,S275_21,9,FALSE)*VLOOKUP($A251,'3121% SY'!$C$3:$M$324,11,FALSE),3),0)+IFERROR(ROUND(VLOOKUP($A251,S275_21,10,FALSE)*VLOOKUP($A251,'3121% SY'!$C$3:$M$324,11,FALSE),3),0)+IFERROR(VLOOKUP($A251,S275_09,4,FALSE),0)</f>
        <v>3.004</v>
      </c>
      <c r="AG251" s="267">
        <f>IFERROR(VLOOKUP($A251,Supp_35,14,FALSE),0)+IFERROR(SUMPRODUCT(VLOOKUP($A251,S275_01,{11,12,13},FALSE)),0)+IFERROR(SUMPRODUCT(VLOOKUP($A251,S275_97,{11,12,13},FALSE)),0)+IFERROR(ROUND(VLOOKUP($A251,S275_21,11,FALSE)*VLOOKUP($A251,'3121% SY'!$C$3:$M$324,11,FALSE),3),0)+IFERROR(ROUND(VLOOKUP($A251,S275_21,12,FALSE)*VLOOKUP($A251,'3121% SY'!$C$3:$M$324,11,FALSE),3),0)+IFERROR(ROUND(VLOOKUP($A251,S275_21,13,FALSE)*VLOOKUP($A251,'3121% SY'!$C$3:$M$324,11,FALSE),3),0)+IFERROR(VLOOKUP($A251,S275_09,5,FALSE),0)</f>
        <v>1.276</v>
      </c>
      <c r="AH251" s="165">
        <f t="shared" si="48"/>
        <v>6.9429999999999996</v>
      </c>
      <c r="AI251" s="161">
        <f>IFERROR(VLOOKUP(A251,'Supp Staff Data'!A:ER,148,FALSE),0)+AB251</f>
        <v>0</v>
      </c>
      <c r="AJ251" s="174">
        <v>1</v>
      </c>
      <c r="AK251" s="25">
        <f>VLOOKUP(A251,'Enroll Data as of January 2025'!$A$3:$T$323,20,FALSE)-F251</f>
        <v>0</v>
      </c>
    </row>
    <row r="252" spans="1:37" x14ac:dyDescent="0.25">
      <c r="A252" s="171" t="s">
        <v>279</v>
      </c>
      <c r="B252" t="s">
        <v>575</v>
      </c>
      <c r="C252" s="173" t="s">
        <v>1077</v>
      </c>
      <c r="D252" s="259">
        <f t="shared" si="40"/>
        <v>14.507000000000001</v>
      </c>
      <c r="E252" s="259">
        <f t="shared" si="41"/>
        <v>14.413</v>
      </c>
      <c r="F252" s="262">
        <f t="shared" si="49"/>
        <v>-9.4E-2</v>
      </c>
      <c r="G252" s="161">
        <f>ROUND(IF(F252&lt;0,F252*'2024-25 PSES Compliance'!$G$13,0),3)</f>
        <v>-0.09</v>
      </c>
      <c r="H252" s="161">
        <f>ROUND(IF(F252&lt;0,F252*'2024-25 PSES Compliance'!$G$14,0),3)</f>
        <v>-4.0000000000000001E-3</v>
      </c>
      <c r="I252" s="174">
        <f t="shared" si="43"/>
        <v>0.61160063831263456</v>
      </c>
      <c r="J252" s="174">
        <f t="shared" si="44"/>
        <v>0</v>
      </c>
      <c r="K252" s="161">
        <f>VLOOKUP($A252,'Enroll Data as of January 2025'!$A$3:$M$322,6,FALSE)</f>
        <v>8.218</v>
      </c>
      <c r="L252" s="161">
        <f>VLOOKUP($A252,'Enroll Data as of January 2025'!$A$3:$M$322,7,FALSE)</f>
        <v>1.3160000000000003</v>
      </c>
      <c r="M252" s="161">
        <f>VLOOKUP($A252,'Enroll Data as of January 2025'!$A$3:$M$322,8,FALSE)</f>
        <v>0.442</v>
      </c>
      <c r="N252" s="161">
        <f>VLOOKUP($A252,'Enroll Data as of January 2025'!$A$3:$M$322,9,FALSE)</f>
        <v>3.7269999999999999</v>
      </c>
      <c r="O252" s="165">
        <f t="shared" si="45"/>
        <v>13.703000000000001</v>
      </c>
      <c r="P252" s="161">
        <f>VLOOKUP($A252,'Enroll Data as of January 2025'!$A$3:$M$322,11,FALSE)</f>
        <v>0.51</v>
      </c>
      <c r="Q252" s="161">
        <f>VLOOKUP($A252,'Enroll Data as of January 2025'!$A$3:$M$322,12,FALSE)</f>
        <v>0.29399999999999998</v>
      </c>
      <c r="R252" s="165">
        <f t="shared" si="46"/>
        <v>0.80400000000000005</v>
      </c>
      <c r="S252" s="267">
        <f>IFERROR(VLOOKUP($A252,Supp_39,14,FALSE),0)+IFERROR(SUMPRODUCT(VLOOKUP($A252,S275_01,{14,15,16},FALSE)),0)+IFERROR(SUMPRODUCT(VLOOKUP($A252,S275_97,{14,15,16},FALSE)),0)+IFERROR(ROUND(VLOOKUP($A252,S275_21,14,FALSE)*VLOOKUP($A252,'3121% SY'!$C$3:$M$324,11,FALSE),3),0)+IFERROR(ROUND(VLOOKUP($A252,S275_21,15,FALSE)*VLOOKUP($A252,'3121% SY'!$C$3:$M$324,11,FALSE),3),0)+IFERROR(ROUND(VLOOKUP($A252,S275_21,16,FALSE)*VLOOKUP($A252,'3121% SY'!$C$3:$M$324,11,FALSE),3),0)+IFERROR(VLOOKUP($A252,S275_09,6,FALSE),0)</f>
        <v>5.5</v>
      </c>
      <c r="T252" s="267">
        <f>IFERROR(VLOOKUP($A252,Supp_42,14,FALSE),0)+IFERROR(SUMPRODUCT(VLOOKUP($A252,S275_01,{17,18,19},FALSE)),0)+IFERROR(SUMPRODUCT(VLOOKUP($A252,S275_97,{17,18,19},FALSE)),0)+IFERROR(ROUND(VLOOKUP($A252,S275_21,17,FALSE)*VLOOKUP($A252,'3121% SY'!$C$3:$M$324,11,FALSE),3),0)+IFERROR(ROUND(VLOOKUP($A252,S275_21,18,FALSE)*VLOOKUP($A252,'3121% SY'!$C$3:$M$324,11,FALSE),3),0)+IFERROR(ROUND(VLOOKUP($A252,S275_21,19,FALSE)*VLOOKUP($A252,'3121% SY'!$C$3:$M$324,11,FALSE),3),0)+IFERROR(VLOOKUP($A252,S275_09,7,FALSE),0)</f>
        <v>1.5</v>
      </c>
      <c r="U252" s="267">
        <f>IFERROR(VLOOKUP($A252,Supp_43,14,FALSE),0)+IFERROR(SUMPRODUCT(VLOOKUP($A252,S275_01,{20,21,22},FALSE)),0)+IFERROR(SUMPRODUCT(VLOOKUP($A252,S275_97,{20,21,22},FALSE)),0)+IFERROR(ROUND(VLOOKUP($A252,S275_21,20,FALSE)*VLOOKUP($A252,'3121% SY'!$C$3:$M$324,11,FALSE),3),0)+IFERROR(ROUND(VLOOKUP($A252,S275_21,21,FALSE)*VLOOKUP($A252,'3121% SY'!$C$3:$M$324,11,FALSE),3),0)+IFERROR(ROUND(VLOOKUP($A252,S275_21,22,FALSE)*VLOOKUP($A252,'3121% SY'!$C$3:$M$324,11,FALSE),3),0)+IFERROR(VLOOKUP($A252,S275_09,8,FALSE),0)</f>
        <v>0.20899999999999999</v>
      </c>
      <c r="V252" s="267">
        <f>IFERROR(VLOOKUP($A252,Supp_44,14,FALSE),0)+IFERROR(SUMPRODUCT(VLOOKUP($A252,S275_01,{23,24,25},FALSE)),0)+IFERROR(SUMPRODUCT(VLOOKUP($A252,S275_97,{23,24,25},FALSE)),0)+IFERROR(ROUND(VLOOKUP($A252,S275_21,23,FALSE)*VLOOKUP($A252,'3121% SY'!$C$3:$M$324,11,FALSE),3),0)+IFERROR(ROUND(VLOOKUP($A252,S275_21,24,FALSE)*VLOOKUP($A252,'3121% SY'!$C$3:$M$324,11,FALSE),3),0)+IFERROR(ROUND(VLOOKUP($A252,S275_21,25,FALSE)*VLOOKUP($A252,'3121% SY'!$C$3:$M$324,11,FALSE),3),0)+IFERROR(VLOOKUP($A252,S275_09,9,FALSE),0)</f>
        <v>0</v>
      </c>
      <c r="W252" s="267">
        <f>IFERROR(VLOOKUP($A252,Supp_45,14,FALSE),0)+IFERROR(SUMPRODUCT(VLOOKUP($A252,S275_01,{26,27,28},FALSE)),0)+IFERROR(SUMPRODUCT(VLOOKUP($A252,S275_97,{26,27,28},FALSE)),0)+IFERROR(ROUND(VLOOKUP($A252,S275_21,26,FALSE)*VLOOKUP($A252,'3121% SY'!$C$3:$M$324,11,FALSE),3),0)+IFERROR(ROUND(VLOOKUP($A252,S275_21,27,FALSE)*VLOOKUP($A252,'3121% SY'!$C$3:$M$324,11,FALSE),3),0)+IFERROR(ROUND(VLOOKUP($A252,S275_21,28,FALSE)*VLOOKUP($A252,'3121% SY'!$C$3:$M$324,11,FALSE),3),0)+IFERROR(VLOOKUP($A252,S275_09,10,FALSE),0)</f>
        <v>0.84499999999999997</v>
      </c>
      <c r="X252" s="267">
        <f>IFERROR(VLOOKUP($A252,Supp_46,14,FALSE),0)+IFERROR(SUMPRODUCT(VLOOKUP($A252,S275_01,{29,30,31},FALSE)),0)+IFERROR(SUMPRODUCT(VLOOKUP($A252,S275_97,{29,30,31},FALSE)),0)+IFERROR(ROUND(VLOOKUP($A252,S275_21,29,FALSE)*VLOOKUP($A252,'3121% SY'!$C$3:$M$324,11,FALSE),3),0)+IFERROR(ROUND(VLOOKUP($A252,S275_21,30,FALSE)*VLOOKUP($A252,'3121% SY'!$C$3:$M$324,11,FALSE),3),0)+IFERROR(ROUND(VLOOKUP($A252,S275_21,31,FALSE)*VLOOKUP($A252,'3121% SY'!$C$3:$M$324,11,FALSE),3),0)+IFERROR(VLOOKUP($A252,S275_09,11,FALSE),0)</f>
        <v>0.57599999999999996</v>
      </c>
      <c r="Y252" s="267">
        <f>IFERROR(VLOOKUP($A252,Supp_47,14,FALSE),0)+IFERROR(SUMPRODUCT(VLOOKUP($A252,S275_01,{32,33,34},FALSE)),0)+IFERROR(SUMPRODUCT(VLOOKUP($A252,S275_97,{32,33,34},FALSE)),0)+IFERROR(ROUND(VLOOKUP($A252,S275_21,32,FALSE)*VLOOKUP($A252,'3121% SY'!$C$3:$M$324,11,FALSE),3),0)+IFERROR(ROUND(VLOOKUP($A252,S275_21,33,FALSE)*VLOOKUP($A252,'3121% SY'!$C$3:$M$324,11,FALSE),3),0)+IFERROR(ROUND(VLOOKUP($A252,S275_21,34,FALSE)*VLOOKUP($A252,'3121% SY'!$C$3:$M$324,11,FALSE),3),0)+IFERROR(VLOOKUP($A252,S275_09,12,FALSE),0)</f>
        <v>0</v>
      </c>
      <c r="Z252" s="267">
        <f>IFERROR(VLOOKUP($A252,Supp_48,14,FALSE),0)+IFERROR(SUMPRODUCT(VLOOKUP($A252,S275_01,{35,36,37},FALSE)),0)+IFERROR(SUMPRODUCT(VLOOKUP($A252,S275_97,{35,36,37},FALSE)),0)+IFERROR(ROUND(VLOOKUP($A252,S275_21,35,FALSE)*VLOOKUP($A252,'3121% SY'!$C$3:$M$324,11,FALSE),3),0)+IFERROR(ROUND(VLOOKUP($A252,S275_21,36,FALSE)*VLOOKUP($A252,'3121% SY'!$C$3:$M$324,11,FALSE),3),0)+IFERROR(ROUND(VLOOKUP($A252,S275_21,37,FALSE)*VLOOKUP($A252,'3121% SY'!$C$3:$M$324,11,FALSE),3),0)+IFERROR(VLOOKUP($A252,S275_09,13,FALSE),0)</f>
        <v>0.153</v>
      </c>
      <c r="AA252" s="267">
        <f>IFERROR(VLOOKUP($A252,Supp_49,14,FALSE),0)+IFERROR(SUMPRODUCT(VLOOKUP($A252,S275_01,{38,39,40},FALSE)),0)+IFERROR(SUMPRODUCT(VLOOKUP($A252,S275_97,{38,39,40},FALSE)),0)+IFERROR(ROUND(VLOOKUP($A252,S275_21,38,FALSE)*VLOOKUP($A252,'3121% SY'!$C$3:$M$324,11,FALSE),3),0)+IFERROR(ROUND(VLOOKUP($A252,S275_21,39,FALSE)*VLOOKUP($A252,'3121% SY'!$C$3:$M$324,11,FALSE),3),0)+IFERROR(ROUND(VLOOKUP($A252,S275_21,40,FALSE)*VLOOKUP($A252,'3121% SY'!$C$3:$M$324,11,FALSE),3),0)+IFERROR(VLOOKUP($A252,S275_09,14,FALSE),0)</f>
        <v>3.2000000000000001E-2</v>
      </c>
      <c r="AB252" s="267">
        <f>IFERROR(VLOOKUP($A252,Supp_64,14,FALSE),0)+IFERROR(SUMPRODUCT(VLOOKUP($A252,S275_01,{41,42,43},FALSE)),0)+IFERROR(SUMPRODUCT(VLOOKUP($A252,S275_97,{41,42,43},FALSE)),0)+IFERROR(ROUND(VLOOKUP($A252,S275_21,41,FALSE)*VLOOKUP($A252,'3121% SY'!$C$3:$M$324,11,FALSE),3),0)+IFERROR(ROUND(VLOOKUP($A252,S275_21,42,FALSE)*VLOOKUP($A252,'3121% SY'!$C$3:$M$324,11,FALSE),3),0)+IFERROR(ROUND(VLOOKUP($A252,S275_21,43,FALSE)*VLOOKUP($A252,'3121% SY'!$C$3:$M$324,11,FALSE),3),0)+IFERROR(VLOOKUP($A252,S275_09,15,FALSE),0)</f>
        <v>0</v>
      </c>
      <c r="AC252" s="268">
        <f t="shared" si="47"/>
        <v>8.8150000000000013</v>
      </c>
      <c r="AD252" s="267">
        <f>IFERROR(VLOOKUP($A252,Supp_24,14,FALSE),0)+IFERROR(SUMPRODUCT(VLOOKUP($A252,S275_01,{2,3,4},FALSE)),0)+IFERROR(SUMPRODUCT(VLOOKUP($A252,S275_97,{2,3,4},FALSE)),0)+IFERROR(ROUND(VLOOKUP($A252,S275_21,2,FALSE)*VLOOKUP($A252,'3121% SY'!$C$3:$M$324,11,FALSE),3),0)+IFERROR(ROUND(VLOOKUP($A252,S275_21,3,FALSE)*VLOOKUP($A252,'3121% SY'!$C$3:$M$324,11,FALSE),3),0)+IFERROR(ROUND(VLOOKUP($A252,S275_21,4,FALSE)*VLOOKUP($A252,'3121% SY'!$C$3:$M$324,11,FALSE),3),0)+IFERROR(VLOOKUP($A252,S275_09,2,FALSE),0)</f>
        <v>0</v>
      </c>
      <c r="AE252" s="267">
        <f>IFERROR(VLOOKUP($A252,Supp_25,14,FALSE),0)+IFERROR(SUMPRODUCT(VLOOKUP($A252,S275_01,{5,6,7},FALSE)),0)+IFERROR(SUMPRODUCT(VLOOKUP($A252,S275_97,{5,6,7},FALSE)),0)+IFERROR(ROUND(VLOOKUP($A252,S275_21,5,FALSE)*VLOOKUP($A252,'3121% SY'!$C$3:$M$324,11,FALSE),3),0)+IFERROR(ROUND(VLOOKUP($A252,S275_21,6,FALSE)*VLOOKUP($A252,'3121% SY'!$C$3:$M$324,11,FALSE),3),0)+IFERROR(ROUND(VLOOKUP($A252,S275_21,7,FALSE)*VLOOKUP($A252,'3121% SY'!$C$3:$M$324,11,FALSE),3),0)+IFERROR(VLOOKUP($A252,S275_09,3,FALSE),0)</f>
        <v>2.6179999999999999</v>
      </c>
      <c r="AF252" s="267">
        <f>IFERROR(VLOOKUP($A252,Supp_26,14,FALSE),0)+IFERROR(SUMPRODUCT(VLOOKUP($A252,S275_01,{8,9,10},FALSE)),0)+IFERROR(SUMPRODUCT(VLOOKUP($A252,S275_97,{8,9,10},FALSE)),0)+IFERROR(ROUND(VLOOKUP($A252,S275_21,8,FALSE)*VLOOKUP($A252,'3121% SY'!$C$3:$M$324,11,FALSE),3),0)+IFERROR(ROUND(VLOOKUP($A252,S275_21,9,FALSE)*VLOOKUP($A252,'3121% SY'!$C$3:$M$324,11,FALSE),3),0)+IFERROR(ROUND(VLOOKUP($A252,S275_21,10,FALSE)*VLOOKUP($A252,'3121% SY'!$C$3:$M$324,11,FALSE),3),0)+IFERROR(VLOOKUP($A252,S275_09,4,FALSE),0)</f>
        <v>2.98</v>
      </c>
      <c r="AG252" s="267">
        <f>IFERROR(VLOOKUP($A252,Supp_35,14,FALSE),0)+IFERROR(SUMPRODUCT(VLOOKUP($A252,S275_01,{11,12,13},FALSE)),0)+IFERROR(SUMPRODUCT(VLOOKUP($A252,S275_97,{11,12,13},FALSE)),0)+IFERROR(ROUND(VLOOKUP($A252,S275_21,11,FALSE)*VLOOKUP($A252,'3121% SY'!$C$3:$M$324,11,FALSE),3),0)+IFERROR(ROUND(VLOOKUP($A252,S275_21,12,FALSE)*VLOOKUP($A252,'3121% SY'!$C$3:$M$324,11,FALSE),3),0)+IFERROR(ROUND(VLOOKUP($A252,S275_21,13,FALSE)*VLOOKUP($A252,'3121% SY'!$C$3:$M$324,11,FALSE),3),0)+IFERROR(VLOOKUP($A252,S275_09,5,FALSE),0)</f>
        <v>0</v>
      </c>
      <c r="AH252" s="165">
        <f t="shared" si="48"/>
        <v>5.5979999999999999</v>
      </c>
      <c r="AI252" s="161">
        <f>IFERROR(VLOOKUP(A252,'Supp Staff Data'!A:ER,148,FALSE),0)+AB252</f>
        <v>0</v>
      </c>
      <c r="AJ252" s="174">
        <v>1</v>
      </c>
      <c r="AK252" s="25">
        <f>VLOOKUP(A252,'Enroll Data as of January 2025'!$A$3:$T$323,20,FALSE)-F252</f>
        <v>0</v>
      </c>
    </row>
    <row r="253" spans="1:37" x14ac:dyDescent="0.25">
      <c r="A253" s="171" t="s">
        <v>197</v>
      </c>
      <c r="B253" t="s">
        <v>492</v>
      </c>
      <c r="C253" s="173" t="s">
        <v>1077</v>
      </c>
      <c r="D253" s="259">
        <f t="shared" si="40"/>
        <v>20.134</v>
      </c>
      <c r="E253" s="259">
        <f t="shared" si="41"/>
        <v>23.733000000000001</v>
      </c>
      <c r="F253" s="262">
        <f t="shared" si="49"/>
        <v>3.5990000000000002</v>
      </c>
      <c r="G253" s="161">
        <f>ROUND(IF(F253&lt;0,F253*'2024-25 PSES Compliance'!$G$13,0),3)</f>
        <v>0</v>
      </c>
      <c r="H253" s="161">
        <f>ROUND(IF(F253&lt;0,F253*'2024-25 PSES Compliance'!$G$14,0),3)</f>
        <v>0</v>
      </c>
      <c r="I253" s="174">
        <f t="shared" si="43"/>
        <v>0</v>
      </c>
      <c r="J253" s="174">
        <f t="shared" si="44"/>
        <v>0</v>
      </c>
      <c r="K253" s="161">
        <f>VLOOKUP($A253,'Enroll Data as of January 2025'!$A$3:$M$322,6,FALSE)</f>
        <v>11.213999999999999</v>
      </c>
      <c r="L253" s="161">
        <f>VLOOKUP($A253,'Enroll Data as of January 2025'!$A$3:$M$322,7,FALSE)</f>
        <v>1.8980000000000001</v>
      </c>
      <c r="M253" s="161">
        <f>VLOOKUP($A253,'Enroll Data as of January 2025'!$A$3:$M$322,8,FALSE)</f>
        <v>0.63600000000000012</v>
      </c>
      <c r="N253" s="161">
        <f>VLOOKUP($A253,'Enroll Data as of January 2025'!$A$3:$M$322,9,FALSE)</f>
        <v>5.2460000000000004</v>
      </c>
      <c r="O253" s="165">
        <f t="shared" si="45"/>
        <v>18.994</v>
      </c>
      <c r="P253" s="161">
        <f>VLOOKUP($A253,'Enroll Data as of January 2025'!$A$3:$M$322,11,FALSE)</f>
        <v>0.70900000000000007</v>
      </c>
      <c r="Q253" s="161">
        <f>VLOOKUP($A253,'Enroll Data as of January 2025'!$A$3:$M$322,12,FALSE)</f>
        <v>0.43099999999999999</v>
      </c>
      <c r="R253" s="165">
        <f t="shared" si="46"/>
        <v>1.1400000000000001</v>
      </c>
      <c r="S253" s="267">
        <f>IFERROR(VLOOKUP($A253,Supp_39,14,FALSE),0)+IFERROR(SUMPRODUCT(VLOOKUP($A253,S275_01,{14,15,16},FALSE)),0)+IFERROR(SUMPRODUCT(VLOOKUP($A253,S275_97,{14,15,16},FALSE)),0)+IFERROR(ROUND(VLOOKUP($A253,S275_21,14,FALSE)*VLOOKUP($A253,'3121% SY'!$C$3:$M$324,11,FALSE),3),0)+IFERROR(ROUND(VLOOKUP($A253,S275_21,15,FALSE)*VLOOKUP($A253,'3121% SY'!$C$3:$M$324,11,FALSE),3),0)+IFERROR(ROUND(VLOOKUP($A253,S275_21,16,FALSE)*VLOOKUP($A253,'3121% SY'!$C$3:$M$324,11,FALSE),3),0)+IFERROR(VLOOKUP($A253,S275_09,6,FALSE),0)</f>
        <v>7.54</v>
      </c>
      <c r="T253" s="267">
        <f>IFERROR(VLOOKUP($A253,Supp_42,14,FALSE),0)+IFERROR(SUMPRODUCT(VLOOKUP($A253,S275_01,{17,18,19},FALSE)),0)+IFERROR(SUMPRODUCT(VLOOKUP($A253,S275_97,{17,18,19},FALSE)),0)+IFERROR(ROUND(VLOOKUP($A253,S275_21,17,FALSE)*VLOOKUP($A253,'3121% SY'!$C$3:$M$324,11,FALSE),3),0)+IFERROR(ROUND(VLOOKUP($A253,S275_21,18,FALSE)*VLOOKUP($A253,'3121% SY'!$C$3:$M$324,11,FALSE),3),0)+IFERROR(ROUND(VLOOKUP($A253,S275_21,19,FALSE)*VLOOKUP($A253,'3121% SY'!$C$3:$M$324,11,FALSE),3),0)+IFERROR(VLOOKUP($A253,S275_09,7,FALSE),0)</f>
        <v>2.96</v>
      </c>
      <c r="U253" s="267">
        <f>IFERROR(VLOOKUP($A253,Supp_43,14,FALSE),0)+IFERROR(SUMPRODUCT(VLOOKUP($A253,S275_01,{20,21,22},FALSE)),0)+IFERROR(SUMPRODUCT(VLOOKUP($A253,S275_97,{20,21,22},FALSE)),0)+IFERROR(ROUND(VLOOKUP($A253,S275_21,20,FALSE)*VLOOKUP($A253,'3121% SY'!$C$3:$M$324,11,FALSE),3),0)+IFERROR(ROUND(VLOOKUP($A253,S275_21,21,FALSE)*VLOOKUP($A253,'3121% SY'!$C$3:$M$324,11,FALSE),3),0)+IFERROR(ROUND(VLOOKUP($A253,S275_21,22,FALSE)*VLOOKUP($A253,'3121% SY'!$C$3:$M$324,11,FALSE),3),0)+IFERROR(VLOOKUP($A253,S275_09,8,FALSE),0)</f>
        <v>0.312</v>
      </c>
      <c r="V253" s="267">
        <f>IFERROR(VLOOKUP($A253,Supp_44,14,FALSE),0)+IFERROR(SUMPRODUCT(VLOOKUP($A253,S275_01,{23,24,25},FALSE)),0)+IFERROR(SUMPRODUCT(VLOOKUP($A253,S275_97,{23,24,25},FALSE)),0)+IFERROR(ROUND(VLOOKUP($A253,S275_21,23,FALSE)*VLOOKUP($A253,'3121% SY'!$C$3:$M$324,11,FALSE),3),0)+IFERROR(ROUND(VLOOKUP($A253,S275_21,24,FALSE)*VLOOKUP($A253,'3121% SY'!$C$3:$M$324,11,FALSE),3),0)+IFERROR(ROUND(VLOOKUP($A253,S275_21,25,FALSE)*VLOOKUP($A253,'3121% SY'!$C$3:$M$324,11,FALSE),3),0)+IFERROR(VLOOKUP($A253,S275_09,9,FALSE),0)</f>
        <v>0</v>
      </c>
      <c r="W253" s="267">
        <f>IFERROR(VLOOKUP($A253,Supp_45,14,FALSE),0)+IFERROR(SUMPRODUCT(VLOOKUP($A253,S275_01,{26,27,28},FALSE)),0)+IFERROR(SUMPRODUCT(VLOOKUP($A253,S275_97,{26,27,28},FALSE)),0)+IFERROR(ROUND(VLOOKUP($A253,S275_21,26,FALSE)*VLOOKUP($A253,'3121% SY'!$C$3:$M$324,11,FALSE),3),0)+IFERROR(ROUND(VLOOKUP($A253,S275_21,27,FALSE)*VLOOKUP($A253,'3121% SY'!$C$3:$M$324,11,FALSE),3),0)+IFERROR(ROUND(VLOOKUP($A253,S275_21,28,FALSE)*VLOOKUP($A253,'3121% SY'!$C$3:$M$324,11,FALSE),3),0)+IFERROR(VLOOKUP($A253,S275_09,10,FALSE),0)</f>
        <v>1.649</v>
      </c>
      <c r="X253" s="267">
        <f>IFERROR(VLOOKUP($A253,Supp_46,14,FALSE),0)+IFERROR(SUMPRODUCT(VLOOKUP($A253,S275_01,{29,30,31},FALSE)),0)+IFERROR(SUMPRODUCT(VLOOKUP($A253,S275_97,{29,30,31},FALSE)),0)+IFERROR(ROUND(VLOOKUP($A253,S275_21,29,FALSE)*VLOOKUP($A253,'3121% SY'!$C$3:$M$324,11,FALSE),3),0)+IFERROR(ROUND(VLOOKUP($A253,S275_21,30,FALSE)*VLOOKUP($A253,'3121% SY'!$C$3:$M$324,11,FALSE),3),0)+IFERROR(ROUND(VLOOKUP($A253,S275_21,31,FALSE)*VLOOKUP($A253,'3121% SY'!$C$3:$M$324,11,FALSE),3),0)+IFERROR(VLOOKUP($A253,S275_09,11,FALSE),0)</f>
        <v>3.7510000000000003</v>
      </c>
      <c r="Y253" s="267">
        <f>IFERROR(VLOOKUP($A253,Supp_47,14,FALSE),0)+IFERROR(SUMPRODUCT(VLOOKUP($A253,S275_01,{32,33,34},FALSE)),0)+IFERROR(SUMPRODUCT(VLOOKUP($A253,S275_97,{32,33,34},FALSE)),0)+IFERROR(ROUND(VLOOKUP($A253,S275_21,32,FALSE)*VLOOKUP($A253,'3121% SY'!$C$3:$M$324,11,FALSE),3),0)+IFERROR(ROUND(VLOOKUP($A253,S275_21,33,FALSE)*VLOOKUP($A253,'3121% SY'!$C$3:$M$324,11,FALSE),3),0)+IFERROR(ROUND(VLOOKUP($A253,S275_21,34,FALSE)*VLOOKUP($A253,'3121% SY'!$C$3:$M$324,11,FALSE),3),0)+IFERROR(VLOOKUP($A253,S275_09,12,FALSE),0)</f>
        <v>0.5</v>
      </c>
      <c r="Z253" s="267">
        <f>IFERROR(VLOOKUP($A253,Supp_48,14,FALSE),0)+IFERROR(SUMPRODUCT(VLOOKUP($A253,S275_01,{35,36,37},FALSE)),0)+IFERROR(SUMPRODUCT(VLOOKUP($A253,S275_97,{35,36,37},FALSE)),0)+IFERROR(ROUND(VLOOKUP($A253,S275_21,35,FALSE)*VLOOKUP($A253,'3121% SY'!$C$3:$M$324,11,FALSE),3),0)+IFERROR(ROUND(VLOOKUP($A253,S275_21,36,FALSE)*VLOOKUP($A253,'3121% SY'!$C$3:$M$324,11,FALSE),3),0)+IFERROR(ROUND(VLOOKUP($A253,S275_21,37,FALSE)*VLOOKUP($A253,'3121% SY'!$C$3:$M$324,11,FALSE),3),0)+IFERROR(VLOOKUP($A253,S275_09,13,FALSE),0)</f>
        <v>0.155</v>
      </c>
      <c r="AA253" s="267">
        <f>IFERROR(VLOOKUP($A253,Supp_49,14,FALSE),0)+IFERROR(SUMPRODUCT(VLOOKUP($A253,S275_01,{38,39,40},FALSE)),0)+IFERROR(SUMPRODUCT(VLOOKUP($A253,S275_97,{38,39,40},FALSE)),0)+IFERROR(ROUND(VLOOKUP($A253,S275_21,38,FALSE)*VLOOKUP($A253,'3121% SY'!$C$3:$M$324,11,FALSE),3),0)+IFERROR(ROUND(VLOOKUP($A253,S275_21,39,FALSE)*VLOOKUP($A253,'3121% SY'!$C$3:$M$324,11,FALSE),3),0)+IFERROR(ROUND(VLOOKUP($A253,S275_21,40,FALSE)*VLOOKUP($A253,'3121% SY'!$C$3:$M$324,11,FALSE),3),0)+IFERROR(VLOOKUP($A253,S275_09,14,FALSE),0)</f>
        <v>0</v>
      </c>
      <c r="AB253" s="267">
        <f>IFERROR(VLOOKUP($A253,Supp_64,14,FALSE),0)+IFERROR(SUMPRODUCT(VLOOKUP($A253,S275_01,{41,42,43},FALSE)),0)+IFERROR(SUMPRODUCT(VLOOKUP($A253,S275_97,{41,42,43},FALSE)),0)+IFERROR(ROUND(VLOOKUP($A253,S275_21,41,FALSE)*VLOOKUP($A253,'3121% SY'!$C$3:$M$324,11,FALSE),3),0)+IFERROR(ROUND(VLOOKUP($A253,S275_21,42,FALSE)*VLOOKUP($A253,'3121% SY'!$C$3:$M$324,11,FALSE),3),0)+IFERROR(ROUND(VLOOKUP($A253,S275_21,43,FALSE)*VLOOKUP($A253,'3121% SY'!$C$3:$M$324,11,FALSE),3),0)+IFERROR(VLOOKUP($A253,S275_09,15,FALSE),0)</f>
        <v>0</v>
      </c>
      <c r="AC253" s="268">
        <f t="shared" si="47"/>
        <v>16.867000000000001</v>
      </c>
      <c r="AD253" s="267">
        <f>IFERROR(VLOOKUP($A253,Supp_24,14,FALSE),0)+IFERROR(SUMPRODUCT(VLOOKUP($A253,S275_01,{2,3,4},FALSE)),0)+IFERROR(SUMPRODUCT(VLOOKUP($A253,S275_97,{2,3,4},FALSE)),0)+IFERROR(ROUND(VLOOKUP($A253,S275_21,2,FALSE)*VLOOKUP($A253,'3121% SY'!$C$3:$M$324,11,FALSE),3),0)+IFERROR(ROUND(VLOOKUP($A253,S275_21,3,FALSE)*VLOOKUP($A253,'3121% SY'!$C$3:$M$324,11,FALSE),3),0)+IFERROR(ROUND(VLOOKUP($A253,S275_21,4,FALSE)*VLOOKUP($A253,'3121% SY'!$C$3:$M$324,11,FALSE),3),0)+IFERROR(VLOOKUP($A253,S275_09,2,FALSE),0)</f>
        <v>0</v>
      </c>
      <c r="AE253" s="267">
        <f>IFERROR(VLOOKUP($A253,Supp_25,14,FALSE),0)+IFERROR(SUMPRODUCT(VLOOKUP($A253,S275_01,{5,6,7},FALSE)),0)+IFERROR(SUMPRODUCT(VLOOKUP($A253,S275_97,{5,6,7},FALSE)),0)+IFERROR(ROUND(VLOOKUP($A253,S275_21,5,FALSE)*VLOOKUP($A253,'3121% SY'!$C$3:$M$324,11,FALSE),3),0)+IFERROR(ROUND(VLOOKUP($A253,S275_21,6,FALSE)*VLOOKUP($A253,'3121% SY'!$C$3:$M$324,11,FALSE),3),0)+IFERROR(ROUND(VLOOKUP($A253,S275_21,7,FALSE)*VLOOKUP($A253,'3121% SY'!$C$3:$M$324,11,FALSE),3),0)+IFERROR(VLOOKUP($A253,S275_09,3,FALSE),0)</f>
        <v>3.0979999999999999</v>
      </c>
      <c r="AF253" s="267">
        <f>IFERROR(VLOOKUP($A253,Supp_26,14,FALSE),0)+IFERROR(SUMPRODUCT(VLOOKUP($A253,S275_01,{8,9,10},FALSE)),0)+IFERROR(SUMPRODUCT(VLOOKUP($A253,S275_97,{8,9,10},FALSE)),0)+IFERROR(ROUND(VLOOKUP($A253,S275_21,8,FALSE)*VLOOKUP($A253,'3121% SY'!$C$3:$M$324,11,FALSE),3),0)+IFERROR(ROUND(VLOOKUP($A253,S275_21,9,FALSE)*VLOOKUP($A253,'3121% SY'!$C$3:$M$324,11,FALSE),3),0)+IFERROR(ROUND(VLOOKUP($A253,S275_21,10,FALSE)*VLOOKUP($A253,'3121% SY'!$C$3:$M$324,11,FALSE),3),0)+IFERROR(VLOOKUP($A253,S275_09,4,FALSE),0)</f>
        <v>1.4910000000000001</v>
      </c>
      <c r="AG253" s="267">
        <f>IFERROR(VLOOKUP($A253,Supp_35,14,FALSE),0)+IFERROR(SUMPRODUCT(VLOOKUP($A253,S275_01,{11,12,13},FALSE)),0)+IFERROR(SUMPRODUCT(VLOOKUP($A253,S275_97,{11,12,13},FALSE)),0)+IFERROR(ROUND(VLOOKUP($A253,S275_21,11,FALSE)*VLOOKUP($A253,'3121% SY'!$C$3:$M$324,11,FALSE),3),0)+IFERROR(ROUND(VLOOKUP($A253,S275_21,12,FALSE)*VLOOKUP($A253,'3121% SY'!$C$3:$M$324,11,FALSE),3),0)+IFERROR(ROUND(VLOOKUP($A253,S275_21,13,FALSE)*VLOOKUP($A253,'3121% SY'!$C$3:$M$324,11,FALSE),3),0)+IFERROR(VLOOKUP($A253,S275_09,5,FALSE),0)</f>
        <v>2.2770000000000001</v>
      </c>
      <c r="AH253" s="165">
        <f t="shared" si="48"/>
        <v>6.8660000000000005</v>
      </c>
      <c r="AI253" s="161">
        <f>IFERROR(VLOOKUP(A253,'Supp Staff Data'!A:ER,148,FALSE),0)+AB253</f>
        <v>0</v>
      </c>
      <c r="AJ253" s="174">
        <v>0</v>
      </c>
      <c r="AK253" s="25">
        <f>VLOOKUP(A253,'Enroll Data as of January 2025'!$A$3:$T$323,20,FALSE)-F253</f>
        <v>0</v>
      </c>
    </row>
    <row r="254" spans="1:37" x14ac:dyDescent="0.25">
      <c r="A254" s="171" t="s">
        <v>222</v>
      </c>
      <c r="B254" t="s">
        <v>517</v>
      </c>
      <c r="C254" s="173" t="s">
        <v>1077</v>
      </c>
      <c r="D254" s="259">
        <f t="shared" si="40"/>
        <v>14.112</v>
      </c>
      <c r="E254" s="259">
        <f t="shared" si="41"/>
        <v>15.532</v>
      </c>
      <c r="F254" s="262">
        <f t="shared" si="49"/>
        <v>1.42</v>
      </c>
      <c r="G254" s="161">
        <f>ROUND(IF(F254&lt;0,F254*'2024-25 PSES Compliance'!$G$13,0),3)</f>
        <v>0</v>
      </c>
      <c r="H254" s="161">
        <f>ROUND(IF(F254&lt;0,F254*'2024-25 PSES Compliance'!$G$14,0),3)</f>
        <v>0</v>
      </c>
      <c r="I254" s="174">
        <f t="shared" si="43"/>
        <v>0.53212722122070566</v>
      </c>
      <c r="J254" s="174">
        <f t="shared" si="44"/>
        <v>0</v>
      </c>
      <c r="K254" s="161">
        <f>VLOOKUP($A254,'Enroll Data as of January 2025'!$A$3:$M$322,6,FALSE)</f>
        <v>7.9559999999999995</v>
      </c>
      <c r="L254" s="161">
        <f>VLOOKUP($A254,'Enroll Data as of January 2025'!$A$3:$M$322,7,FALSE)</f>
        <v>1.2909999999999999</v>
      </c>
      <c r="M254" s="161">
        <f>VLOOKUP($A254,'Enroll Data as of January 2025'!$A$3:$M$322,8,FALSE)</f>
        <v>0.433</v>
      </c>
      <c r="N254" s="161">
        <f>VLOOKUP($A254,'Enroll Data as of January 2025'!$A$3:$M$322,9,FALSE)</f>
        <v>3.6470000000000002</v>
      </c>
      <c r="O254" s="165">
        <f t="shared" si="45"/>
        <v>13.327</v>
      </c>
      <c r="P254" s="161">
        <f>VLOOKUP($A254,'Enroll Data as of January 2025'!$A$3:$M$322,11,FALSE)</f>
        <v>0.49600000000000005</v>
      </c>
      <c r="Q254" s="161">
        <f>VLOOKUP($A254,'Enroll Data as of January 2025'!$A$3:$M$322,12,FALSE)</f>
        <v>0.28899999999999998</v>
      </c>
      <c r="R254" s="165">
        <f t="shared" si="46"/>
        <v>0.78500000000000003</v>
      </c>
      <c r="S254" s="267">
        <f>IFERROR(VLOOKUP($A254,Supp_39,14,FALSE),0)+IFERROR(SUMPRODUCT(VLOOKUP($A254,S275_01,{14,15,16},FALSE)),0)+IFERROR(SUMPRODUCT(VLOOKUP($A254,S275_97,{14,15,16},FALSE)),0)+IFERROR(ROUND(VLOOKUP($A254,S275_21,14,FALSE)*VLOOKUP($A254,'3121% SY'!$C$3:$M$324,11,FALSE),3),0)+IFERROR(ROUND(VLOOKUP($A254,S275_21,15,FALSE)*VLOOKUP($A254,'3121% SY'!$C$3:$M$324,11,FALSE),3),0)+IFERROR(ROUND(VLOOKUP($A254,S275_21,16,FALSE)*VLOOKUP($A254,'3121% SY'!$C$3:$M$324,11,FALSE),3),0)+IFERROR(VLOOKUP($A254,S275_09,6,FALSE),0)</f>
        <v>5</v>
      </c>
      <c r="T254" s="267">
        <f>IFERROR(VLOOKUP($A254,Supp_42,14,FALSE),0)+IFERROR(SUMPRODUCT(VLOOKUP($A254,S275_01,{17,18,19},FALSE)),0)+IFERROR(SUMPRODUCT(VLOOKUP($A254,S275_97,{17,18,19},FALSE)),0)+IFERROR(ROUND(VLOOKUP($A254,S275_21,17,FALSE)*VLOOKUP($A254,'3121% SY'!$C$3:$M$324,11,FALSE),3),0)+IFERROR(ROUND(VLOOKUP($A254,S275_21,18,FALSE)*VLOOKUP($A254,'3121% SY'!$C$3:$M$324,11,FALSE),3),0)+IFERROR(ROUND(VLOOKUP($A254,S275_21,19,FALSE)*VLOOKUP($A254,'3121% SY'!$C$3:$M$324,11,FALSE),3),0)+IFERROR(VLOOKUP($A254,S275_09,7,FALSE),0)</f>
        <v>1.5</v>
      </c>
      <c r="U254" s="267">
        <f>IFERROR(VLOOKUP($A254,Supp_43,14,FALSE),0)+IFERROR(SUMPRODUCT(VLOOKUP($A254,S275_01,{20,21,22},FALSE)),0)+IFERROR(SUMPRODUCT(VLOOKUP($A254,S275_97,{20,21,22},FALSE)),0)+IFERROR(ROUND(VLOOKUP($A254,S275_21,20,FALSE)*VLOOKUP($A254,'3121% SY'!$C$3:$M$324,11,FALSE),3),0)+IFERROR(ROUND(VLOOKUP($A254,S275_21,21,FALSE)*VLOOKUP($A254,'3121% SY'!$C$3:$M$324,11,FALSE),3),0)+IFERROR(ROUND(VLOOKUP($A254,S275_21,22,FALSE)*VLOOKUP($A254,'3121% SY'!$C$3:$M$324,11,FALSE),3),0)+IFERROR(VLOOKUP($A254,S275_09,8,FALSE),0)</f>
        <v>0.246</v>
      </c>
      <c r="V254" s="267">
        <f>IFERROR(VLOOKUP($A254,Supp_44,14,FALSE),0)+IFERROR(SUMPRODUCT(VLOOKUP($A254,S275_01,{23,24,25},FALSE)),0)+IFERROR(SUMPRODUCT(VLOOKUP($A254,S275_97,{23,24,25},FALSE)),0)+IFERROR(ROUND(VLOOKUP($A254,S275_21,23,FALSE)*VLOOKUP($A254,'3121% SY'!$C$3:$M$324,11,FALSE),3),0)+IFERROR(ROUND(VLOOKUP($A254,S275_21,24,FALSE)*VLOOKUP($A254,'3121% SY'!$C$3:$M$324,11,FALSE),3),0)+IFERROR(ROUND(VLOOKUP($A254,S275_21,25,FALSE)*VLOOKUP($A254,'3121% SY'!$C$3:$M$324,11,FALSE),3),0)+IFERROR(VLOOKUP($A254,S275_09,9,FALSE),0)</f>
        <v>0</v>
      </c>
      <c r="W254" s="267">
        <f>IFERROR(VLOOKUP($A254,Supp_45,14,FALSE),0)+IFERROR(SUMPRODUCT(VLOOKUP($A254,S275_01,{26,27,28},FALSE)),0)+IFERROR(SUMPRODUCT(VLOOKUP($A254,S275_97,{26,27,28},FALSE)),0)+IFERROR(ROUND(VLOOKUP($A254,S275_21,26,FALSE)*VLOOKUP($A254,'3121% SY'!$C$3:$M$324,11,FALSE),3),0)+IFERROR(ROUND(VLOOKUP($A254,S275_21,27,FALSE)*VLOOKUP($A254,'3121% SY'!$C$3:$M$324,11,FALSE),3),0)+IFERROR(ROUND(VLOOKUP($A254,S275_21,28,FALSE)*VLOOKUP($A254,'3121% SY'!$C$3:$M$324,11,FALSE),3),0)+IFERROR(VLOOKUP($A254,S275_09,10,FALSE),0)</f>
        <v>0.41000000000000003</v>
      </c>
      <c r="X254" s="267">
        <f>IFERROR(VLOOKUP($A254,Supp_46,14,FALSE),0)+IFERROR(SUMPRODUCT(VLOOKUP($A254,S275_01,{29,30,31},FALSE)),0)+IFERROR(SUMPRODUCT(VLOOKUP($A254,S275_97,{29,30,31},FALSE)),0)+IFERROR(ROUND(VLOOKUP($A254,S275_21,29,FALSE)*VLOOKUP($A254,'3121% SY'!$C$3:$M$324,11,FALSE),3),0)+IFERROR(ROUND(VLOOKUP($A254,S275_21,30,FALSE)*VLOOKUP($A254,'3121% SY'!$C$3:$M$324,11,FALSE),3),0)+IFERROR(ROUND(VLOOKUP($A254,S275_21,31,FALSE)*VLOOKUP($A254,'3121% SY'!$C$3:$M$324,11,FALSE),3),0)+IFERROR(VLOOKUP($A254,S275_09,11,FALSE),0)</f>
        <v>1</v>
      </c>
      <c r="Y254" s="267">
        <f>IFERROR(VLOOKUP($A254,Supp_47,14,FALSE),0)+IFERROR(SUMPRODUCT(VLOOKUP($A254,S275_01,{32,33,34},FALSE)),0)+IFERROR(SUMPRODUCT(VLOOKUP($A254,S275_97,{32,33,34},FALSE)),0)+IFERROR(ROUND(VLOOKUP($A254,S275_21,32,FALSE)*VLOOKUP($A254,'3121% SY'!$C$3:$M$324,11,FALSE),3),0)+IFERROR(ROUND(VLOOKUP($A254,S275_21,33,FALSE)*VLOOKUP($A254,'3121% SY'!$C$3:$M$324,11,FALSE),3),0)+IFERROR(ROUND(VLOOKUP($A254,S275_21,34,FALSE)*VLOOKUP($A254,'3121% SY'!$C$3:$M$324,11,FALSE),3),0)+IFERROR(VLOOKUP($A254,S275_09,12,FALSE),0)</f>
        <v>0</v>
      </c>
      <c r="Z254" s="267">
        <f>IFERROR(VLOOKUP($A254,Supp_48,14,FALSE),0)+IFERROR(SUMPRODUCT(VLOOKUP($A254,S275_01,{35,36,37},FALSE)),0)+IFERROR(SUMPRODUCT(VLOOKUP($A254,S275_97,{35,36,37},FALSE)),0)+IFERROR(ROUND(VLOOKUP($A254,S275_21,35,FALSE)*VLOOKUP($A254,'3121% SY'!$C$3:$M$324,11,FALSE),3),0)+IFERROR(ROUND(VLOOKUP($A254,S275_21,36,FALSE)*VLOOKUP($A254,'3121% SY'!$C$3:$M$324,11,FALSE),3),0)+IFERROR(ROUND(VLOOKUP($A254,S275_21,37,FALSE)*VLOOKUP($A254,'3121% SY'!$C$3:$M$324,11,FALSE),3),0)+IFERROR(VLOOKUP($A254,S275_09,13,FALSE),0)</f>
        <v>0.109</v>
      </c>
      <c r="AA254" s="267">
        <f>IFERROR(VLOOKUP($A254,Supp_49,14,FALSE),0)+IFERROR(SUMPRODUCT(VLOOKUP($A254,S275_01,{38,39,40},FALSE)),0)+IFERROR(SUMPRODUCT(VLOOKUP($A254,S275_97,{38,39,40},FALSE)),0)+IFERROR(ROUND(VLOOKUP($A254,S275_21,38,FALSE)*VLOOKUP($A254,'3121% SY'!$C$3:$M$324,11,FALSE),3),0)+IFERROR(ROUND(VLOOKUP($A254,S275_21,39,FALSE)*VLOOKUP($A254,'3121% SY'!$C$3:$M$324,11,FALSE),3),0)+IFERROR(ROUND(VLOOKUP($A254,S275_21,40,FALSE)*VLOOKUP($A254,'3121% SY'!$C$3:$M$324,11,FALSE),3),0)+IFERROR(VLOOKUP($A254,S275_09,14,FALSE),0)</f>
        <v>0</v>
      </c>
      <c r="AB254" s="267">
        <f>IFERROR(VLOOKUP($A254,Supp_64,14,FALSE),0)+IFERROR(SUMPRODUCT(VLOOKUP($A254,S275_01,{41,42,43},FALSE)),0)+IFERROR(SUMPRODUCT(VLOOKUP($A254,S275_97,{41,42,43},FALSE)),0)+IFERROR(ROUND(VLOOKUP($A254,S275_21,41,FALSE)*VLOOKUP($A254,'3121% SY'!$C$3:$M$324,11,FALSE),3),0)+IFERROR(ROUND(VLOOKUP($A254,S275_21,42,FALSE)*VLOOKUP($A254,'3121% SY'!$C$3:$M$324,11,FALSE),3),0)+IFERROR(ROUND(VLOOKUP($A254,S275_21,43,FALSE)*VLOOKUP($A254,'3121% SY'!$C$3:$M$324,11,FALSE),3),0)+IFERROR(VLOOKUP($A254,S275_09,15,FALSE),0)</f>
        <v>0</v>
      </c>
      <c r="AC254" s="268">
        <f t="shared" si="47"/>
        <v>8.2650000000000006</v>
      </c>
      <c r="AD254" s="267">
        <f>IFERROR(VLOOKUP($A254,Supp_24,14,FALSE),0)+IFERROR(SUMPRODUCT(VLOOKUP($A254,S275_01,{2,3,4},FALSE)),0)+IFERROR(SUMPRODUCT(VLOOKUP($A254,S275_97,{2,3,4},FALSE)),0)+IFERROR(ROUND(VLOOKUP($A254,S275_21,2,FALSE)*VLOOKUP($A254,'3121% SY'!$C$3:$M$324,11,FALSE),3),0)+IFERROR(ROUND(VLOOKUP($A254,S275_21,3,FALSE)*VLOOKUP($A254,'3121% SY'!$C$3:$M$324,11,FALSE),3),0)+IFERROR(ROUND(VLOOKUP($A254,S275_21,4,FALSE)*VLOOKUP($A254,'3121% SY'!$C$3:$M$324,11,FALSE),3),0)+IFERROR(VLOOKUP($A254,S275_09,2,FALSE),0)</f>
        <v>0</v>
      </c>
      <c r="AE254" s="267">
        <f>IFERROR(VLOOKUP($A254,Supp_25,14,FALSE),0)+IFERROR(SUMPRODUCT(VLOOKUP($A254,S275_01,{5,6,7},FALSE)),0)+IFERROR(SUMPRODUCT(VLOOKUP($A254,S275_97,{5,6,7},FALSE)),0)+IFERROR(ROUND(VLOOKUP($A254,S275_21,5,FALSE)*VLOOKUP($A254,'3121% SY'!$C$3:$M$324,11,FALSE),3),0)+IFERROR(ROUND(VLOOKUP($A254,S275_21,6,FALSE)*VLOOKUP($A254,'3121% SY'!$C$3:$M$324,11,FALSE),3),0)+IFERROR(ROUND(VLOOKUP($A254,S275_21,7,FALSE)*VLOOKUP($A254,'3121% SY'!$C$3:$M$324,11,FALSE),3),0)+IFERROR(VLOOKUP($A254,S275_09,3,FALSE),0)</f>
        <v>3.669</v>
      </c>
      <c r="AF254" s="267">
        <f>IFERROR(VLOOKUP($A254,Supp_26,14,FALSE),0)+IFERROR(SUMPRODUCT(VLOOKUP($A254,S275_01,{8,9,10},FALSE)),0)+IFERROR(SUMPRODUCT(VLOOKUP($A254,S275_97,{8,9,10},FALSE)),0)+IFERROR(ROUND(VLOOKUP($A254,S275_21,8,FALSE)*VLOOKUP($A254,'3121% SY'!$C$3:$M$324,11,FALSE),3),0)+IFERROR(ROUND(VLOOKUP($A254,S275_21,9,FALSE)*VLOOKUP($A254,'3121% SY'!$C$3:$M$324,11,FALSE),3),0)+IFERROR(ROUND(VLOOKUP($A254,S275_21,10,FALSE)*VLOOKUP($A254,'3121% SY'!$C$3:$M$324,11,FALSE),3),0)+IFERROR(VLOOKUP($A254,S275_09,4,FALSE),0)</f>
        <v>3.5980000000000003</v>
      </c>
      <c r="AG254" s="267">
        <f>IFERROR(VLOOKUP($A254,Supp_35,14,FALSE),0)+IFERROR(SUMPRODUCT(VLOOKUP($A254,S275_01,{11,12,13},FALSE)),0)+IFERROR(SUMPRODUCT(VLOOKUP($A254,S275_97,{11,12,13},FALSE)),0)+IFERROR(ROUND(VLOOKUP($A254,S275_21,11,FALSE)*VLOOKUP($A254,'3121% SY'!$C$3:$M$324,11,FALSE),3),0)+IFERROR(ROUND(VLOOKUP($A254,S275_21,12,FALSE)*VLOOKUP($A254,'3121% SY'!$C$3:$M$324,11,FALSE),3),0)+IFERROR(ROUND(VLOOKUP($A254,S275_21,13,FALSE)*VLOOKUP($A254,'3121% SY'!$C$3:$M$324,11,FALSE),3),0)+IFERROR(VLOOKUP($A254,S275_09,5,FALSE),0)</f>
        <v>0</v>
      </c>
      <c r="AH254" s="165">
        <f t="shared" si="48"/>
        <v>7.2670000000000003</v>
      </c>
      <c r="AI254" s="161">
        <f>IFERROR(VLOOKUP(A254,'Supp Staff Data'!A:ER,148,FALSE),0)+AB254</f>
        <v>0</v>
      </c>
      <c r="AJ254" s="174">
        <v>1</v>
      </c>
      <c r="AK254" s="25">
        <f>VLOOKUP(A254,'Enroll Data as of January 2025'!$A$3:$T$323,20,FALSE)-F254</f>
        <v>0</v>
      </c>
    </row>
    <row r="255" spans="1:37" x14ac:dyDescent="0.25">
      <c r="A255" s="171" t="s">
        <v>262</v>
      </c>
      <c r="B255" t="s">
        <v>558</v>
      </c>
      <c r="C255" s="173" t="s">
        <v>1077</v>
      </c>
      <c r="D255" s="259">
        <f t="shared" si="40"/>
        <v>25.54</v>
      </c>
      <c r="E255" s="259">
        <f t="shared" si="41"/>
        <v>30.815999999999999</v>
      </c>
      <c r="F255" s="262">
        <f t="shared" si="49"/>
        <v>5.2759999999999998</v>
      </c>
      <c r="G255" s="161">
        <f>ROUND(IF(F255&lt;0,F255*'2024-25 PSES Compliance'!$G$13,0),3)</f>
        <v>0</v>
      </c>
      <c r="H255" s="161">
        <f>ROUND(IF(F255&lt;0,F255*'2024-25 PSES Compliance'!$G$14,0),3)</f>
        <v>0</v>
      </c>
      <c r="I255" s="174">
        <f t="shared" si="43"/>
        <v>0.66886534267912767</v>
      </c>
      <c r="J255" s="174">
        <f t="shared" si="44"/>
        <v>1.9016095534787125E-2</v>
      </c>
      <c r="K255" s="161">
        <f>VLOOKUP($A255,'Enroll Data as of January 2025'!$A$3:$M$322,6,FALSE)</f>
        <v>14.384999999999998</v>
      </c>
      <c r="L255" s="161">
        <f>VLOOKUP($A255,'Enroll Data as of January 2025'!$A$3:$M$322,7,FALSE)</f>
        <v>2.351</v>
      </c>
      <c r="M255" s="161">
        <f>VLOOKUP($A255,'Enroll Data as of January 2025'!$A$3:$M$322,8,FALSE)</f>
        <v>0.78900000000000003</v>
      </c>
      <c r="N255" s="161">
        <f>VLOOKUP($A255,'Enroll Data as of January 2025'!$A$3:$M$322,9,FALSE)</f>
        <v>6.59</v>
      </c>
      <c r="O255" s="165">
        <f t="shared" si="45"/>
        <v>24.114999999999998</v>
      </c>
      <c r="P255" s="161">
        <f>VLOOKUP($A255,'Enroll Data as of January 2025'!$A$3:$M$322,11,FALSE)</f>
        <v>0.89700000000000002</v>
      </c>
      <c r="Q255" s="161">
        <f>VLOOKUP($A255,'Enroll Data as of January 2025'!$A$3:$M$322,12,FALSE)</f>
        <v>0.52800000000000002</v>
      </c>
      <c r="R255" s="165">
        <f t="shared" si="46"/>
        <v>1.425</v>
      </c>
      <c r="S255" s="267">
        <f>IFERROR(VLOOKUP($A255,Supp_39,14,FALSE),0)+IFERROR(SUMPRODUCT(VLOOKUP($A255,S275_01,{14,15,16},FALSE)),0)+IFERROR(SUMPRODUCT(VLOOKUP($A255,S275_97,{14,15,16},FALSE)),0)+IFERROR(ROUND(VLOOKUP($A255,S275_21,14,FALSE)*VLOOKUP($A255,'3121% SY'!$C$3:$M$324,11,FALSE),3),0)+IFERROR(ROUND(VLOOKUP($A255,S275_21,15,FALSE)*VLOOKUP($A255,'3121% SY'!$C$3:$M$324,11,FALSE),3),0)+IFERROR(ROUND(VLOOKUP($A255,S275_21,16,FALSE)*VLOOKUP($A255,'3121% SY'!$C$3:$M$324,11,FALSE),3),0)+IFERROR(VLOOKUP($A255,S275_09,6,FALSE),0)</f>
        <v>10.82</v>
      </c>
      <c r="T255" s="267">
        <f>IFERROR(VLOOKUP($A255,Supp_42,14,FALSE),0)+IFERROR(SUMPRODUCT(VLOOKUP($A255,S275_01,{17,18,19},FALSE)),0)+IFERROR(SUMPRODUCT(VLOOKUP($A255,S275_97,{17,18,19},FALSE)),0)+IFERROR(ROUND(VLOOKUP($A255,S275_21,17,FALSE)*VLOOKUP($A255,'3121% SY'!$C$3:$M$324,11,FALSE),3),0)+IFERROR(ROUND(VLOOKUP($A255,S275_21,18,FALSE)*VLOOKUP($A255,'3121% SY'!$C$3:$M$324,11,FALSE),3),0)+IFERROR(ROUND(VLOOKUP($A255,S275_21,19,FALSE)*VLOOKUP($A255,'3121% SY'!$C$3:$M$324,11,FALSE),3),0)+IFERROR(VLOOKUP($A255,S275_09,7,FALSE),0)</f>
        <v>2.7930000000000001</v>
      </c>
      <c r="U255" s="267">
        <f>IFERROR(VLOOKUP($A255,Supp_43,14,FALSE),0)+IFERROR(SUMPRODUCT(VLOOKUP($A255,S275_01,{20,21,22},FALSE)),0)+IFERROR(SUMPRODUCT(VLOOKUP($A255,S275_97,{20,21,22},FALSE)),0)+IFERROR(ROUND(VLOOKUP($A255,S275_21,20,FALSE)*VLOOKUP($A255,'3121% SY'!$C$3:$M$324,11,FALSE),3),0)+IFERROR(ROUND(VLOOKUP($A255,S275_21,21,FALSE)*VLOOKUP($A255,'3121% SY'!$C$3:$M$324,11,FALSE),3),0)+IFERROR(ROUND(VLOOKUP($A255,S275_21,22,FALSE)*VLOOKUP($A255,'3121% SY'!$C$3:$M$324,11,FALSE),3),0)+IFERROR(VLOOKUP($A255,S275_09,8,FALSE),0)</f>
        <v>0.44800000000000001</v>
      </c>
      <c r="V255" s="267">
        <f>IFERROR(VLOOKUP($A255,Supp_44,14,FALSE),0)+IFERROR(SUMPRODUCT(VLOOKUP($A255,S275_01,{23,24,25},FALSE)),0)+IFERROR(SUMPRODUCT(VLOOKUP($A255,S275_97,{23,24,25},FALSE)),0)+IFERROR(ROUND(VLOOKUP($A255,S275_21,23,FALSE)*VLOOKUP($A255,'3121% SY'!$C$3:$M$324,11,FALSE),3),0)+IFERROR(ROUND(VLOOKUP($A255,S275_21,24,FALSE)*VLOOKUP($A255,'3121% SY'!$C$3:$M$324,11,FALSE),3),0)+IFERROR(ROUND(VLOOKUP($A255,S275_21,25,FALSE)*VLOOKUP($A255,'3121% SY'!$C$3:$M$324,11,FALSE),3),0)+IFERROR(VLOOKUP($A255,S275_09,9,FALSE),0)</f>
        <v>0</v>
      </c>
      <c r="W255" s="267">
        <f>IFERROR(VLOOKUP($A255,Supp_45,14,FALSE),0)+IFERROR(SUMPRODUCT(VLOOKUP($A255,S275_01,{26,27,28},FALSE)),0)+IFERROR(SUMPRODUCT(VLOOKUP($A255,S275_97,{26,27,28},FALSE)),0)+IFERROR(ROUND(VLOOKUP($A255,S275_21,26,FALSE)*VLOOKUP($A255,'3121% SY'!$C$3:$M$324,11,FALSE),3),0)+IFERROR(ROUND(VLOOKUP($A255,S275_21,27,FALSE)*VLOOKUP($A255,'3121% SY'!$C$3:$M$324,11,FALSE),3),0)+IFERROR(ROUND(VLOOKUP($A255,S275_21,28,FALSE)*VLOOKUP($A255,'3121% SY'!$C$3:$M$324,11,FALSE),3),0)+IFERROR(VLOOKUP($A255,S275_09,10,FALSE),0)</f>
        <v>1.758</v>
      </c>
      <c r="X255" s="267">
        <f>IFERROR(VLOOKUP($A255,Supp_46,14,FALSE),0)+IFERROR(SUMPRODUCT(VLOOKUP($A255,S275_01,{29,30,31},FALSE)),0)+IFERROR(SUMPRODUCT(VLOOKUP($A255,S275_97,{29,30,31},FALSE)),0)+IFERROR(ROUND(VLOOKUP($A255,S275_21,29,FALSE)*VLOOKUP($A255,'3121% SY'!$C$3:$M$324,11,FALSE),3),0)+IFERROR(ROUND(VLOOKUP($A255,S275_21,30,FALSE)*VLOOKUP($A255,'3121% SY'!$C$3:$M$324,11,FALSE),3),0)+IFERROR(ROUND(VLOOKUP($A255,S275_21,31,FALSE)*VLOOKUP($A255,'3121% SY'!$C$3:$M$324,11,FALSE),3),0)+IFERROR(VLOOKUP($A255,S275_09,11,FALSE),0)</f>
        <v>3.1930000000000001</v>
      </c>
      <c r="Y255" s="267">
        <f>IFERROR(VLOOKUP($A255,Supp_47,14,FALSE),0)+IFERROR(SUMPRODUCT(VLOOKUP($A255,S275_01,{32,33,34},FALSE)),0)+IFERROR(SUMPRODUCT(VLOOKUP($A255,S275_97,{32,33,34},FALSE)),0)+IFERROR(ROUND(VLOOKUP($A255,S275_21,32,FALSE)*VLOOKUP($A255,'3121% SY'!$C$3:$M$324,11,FALSE),3),0)+IFERROR(ROUND(VLOOKUP($A255,S275_21,33,FALSE)*VLOOKUP($A255,'3121% SY'!$C$3:$M$324,11,FALSE),3),0)+IFERROR(ROUND(VLOOKUP($A255,S275_21,34,FALSE)*VLOOKUP($A255,'3121% SY'!$C$3:$M$324,11,FALSE),3),0)+IFERROR(VLOOKUP($A255,S275_09,12,FALSE),0)</f>
        <v>0.73899999999999999</v>
      </c>
      <c r="Z255" s="267">
        <f>IFERROR(VLOOKUP($A255,Supp_48,14,FALSE),0)+IFERROR(SUMPRODUCT(VLOOKUP($A255,S275_01,{35,36,37},FALSE)),0)+IFERROR(SUMPRODUCT(VLOOKUP($A255,S275_97,{35,36,37},FALSE)),0)+IFERROR(ROUND(VLOOKUP($A255,S275_21,35,FALSE)*VLOOKUP($A255,'3121% SY'!$C$3:$M$324,11,FALSE),3),0)+IFERROR(ROUND(VLOOKUP($A255,S275_21,36,FALSE)*VLOOKUP($A255,'3121% SY'!$C$3:$M$324,11,FALSE),3),0)+IFERROR(ROUND(VLOOKUP($A255,S275_21,37,FALSE)*VLOOKUP($A255,'3121% SY'!$C$3:$M$324,11,FALSE),3),0)+IFERROR(VLOOKUP($A255,S275_09,13,FALSE),0)</f>
        <v>0.39500000000000002</v>
      </c>
      <c r="AA255" s="267">
        <f>IFERROR(VLOOKUP($A255,Supp_49,14,FALSE),0)+IFERROR(SUMPRODUCT(VLOOKUP($A255,S275_01,{38,39,40},FALSE)),0)+IFERROR(SUMPRODUCT(VLOOKUP($A255,S275_97,{38,39,40},FALSE)),0)+IFERROR(ROUND(VLOOKUP($A255,S275_21,38,FALSE)*VLOOKUP($A255,'3121% SY'!$C$3:$M$324,11,FALSE),3),0)+IFERROR(ROUND(VLOOKUP($A255,S275_21,39,FALSE)*VLOOKUP($A255,'3121% SY'!$C$3:$M$324,11,FALSE),3),0)+IFERROR(ROUND(VLOOKUP($A255,S275_21,40,FALSE)*VLOOKUP($A255,'3121% SY'!$C$3:$M$324,11,FALSE),3),0)+IFERROR(VLOOKUP($A255,S275_09,14,FALSE),0)</f>
        <v>0</v>
      </c>
      <c r="AB255" s="267">
        <f>IFERROR(VLOOKUP($A255,Supp_64,14,FALSE),0)+IFERROR(SUMPRODUCT(VLOOKUP($A255,S275_01,{41,42,43},FALSE)),0)+IFERROR(SUMPRODUCT(VLOOKUP($A255,S275_97,{41,42,43},FALSE)),0)+IFERROR(ROUND(VLOOKUP($A255,S275_21,41,FALSE)*VLOOKUP($A255,'3121% SY'!$C$3:$M$324,11,FALSE),3),0)+IFERROR(ROUND(VLOOKUP($A255,S275_21,42,FALSE)*VLOOKUP($A255,'3121% SY'!$C$3:$M$324,11,FALSE),3),0)+IFERROR(ROUND(VLOOKUP($A255,S275_21,43,FALSE)*VLOOKUP($A255,'3121% SY'!$C$3:$M$324,11,FALSE),3),0)+IFERROR(VLOOKUP($A255,S275_09,15,FALSE),0)</f>
        <v>0.58599999999999997</v>
      </c>
      <c r="AC255" s="268">
        <f t="shared" si="47"/>
        <v>20.731999999999999</v>
      </c>
      <c r="AD255" s="267">
        <f>IFERROR(VLOOKUP($A255,Supp_24,14,FALSE),0)+IFERROR(SUMPRODUCT(VLOOKUP($A255,S275_01,{2,3,4},FALSE)),0)+IFERROR(SUMPRODUCT(VLOOKUP($A255,S275_97,{2,3,4},FALSE)),0)+IFERROR(ROUND(VLOOKUP($A255,S275_21,2,FALSE)*VLOOKUP($A255,'3121% SY'!$C$3:$M$324,11,FALSE),3),0)+IFERROR(ROUND(VLOOKUP($A255,S275_21,3,FALSE)*VLOOKUP($A255,'3121% SY'!$C$3:$M$324,11,FALSE),3),0)+IFERROR(ROUND(VLOOKUP($A255,S275_21,4,FALSE)*VLOOKUP($A255,'3121% SY'!$C$3:$M$324,11,FALSE),3),0)+IFERROR(VLOOKUP($A255,S275_09,2,FALSE),0)</f>
        <v>0.58300000000000007</v>
      </c>
      <c r="AE255" s="267">
        <f>IFERROR(VLOOKUP($A255,Supp_25,14,FALSE),0)+IFERROR(SUMPRODUCT(VLOOKUP($A255,S275_01,{5,6,7},FALSE)),0)+IFERROR(SUMPRODUCT(VLOOKUP($A255,S275_97,{5,6,7},FALSE)),0)+IFERROR(ROUND(VLOOKUP($A255,S275_21,5,FALSE)*VLOOKUP($A255,'3121% SY'!$C$3:$M$324,11,FALSE),3),0)+IFERROR(ROUND(VLOOKUP($A255,S275_21,6,FALSE)*VLOOKUP($A255,'3121% SY'!$C$3:$M$324,11,FALSE),3),0)+IFERROR(ROUND(VLOOKUP($A255,S275_21,7,FALSE)*VLOOKUP($A255,'3121% SY'!$C$3:$M$324,11,FALSE),3),0)+IFERROR(VLOOKUP($A255,S275_09,3,FALSE),0)</f>
        <v>1.3580000000000001</v>
      </c>
      <c r="AF255" s="267">
        <f>IFERROR(VLOOKUP($A255,Supp_26,14,FALSE),0)+IFERROR(SUMPRODUCT(VLOOKUP($A255,S275_01,{8,9,10},FALSE)),0)+IFERROR(SUMPRODUCT(VLOOKUP($A255,S275_97,{8,9,10},FALSE)),0)+IFERROR(ROUND(VLOOKUP($A255,S275_21,8,FALSE)*VLOOKUP($A255,'3121% SY'!$C$3:$M$324,11,FALSE),3),0)+IFERROR(ROUND(VLOOKUP($A255,S275_21,9,FALSE)*VLOOKUP($A255,'3121% SY'!$C$3:$M$324,11,FALSE),3),0)+IFERROR(ROUND(VLOOKUP($A255,S275_21,10,FALSE)*VLOOKUP($A255,'3121% SY'!$C$3:$M$324,11,FALSE),3),0)+IFERROR(VLOOKUP($A255,S275_09,4,FALSE),0)</f>
        <v>4.508</v>
      </c>
      <c r="AG255" s="267">
        <f>IFERROR(VLOOKUP($A255,Supp_35,14,FALSE),0)+IFERROR(SUMPRODUCT(VLOOKUP($A255,S275_01,{11,12,13},FALSE)),0)+IFERROR(SUMPRODUCT(VLOOKUP($A255,S275_97,{11,12,13},FALSE)),0)+IFERROR(ROUND(VLOOKUP($A255,S275_21,11,FALSE)*VLOOKUP($A255,'3121% SY'!$C$3:$M$324,11,FALSE),3),0)+IFERROR(ROUND(VLOOKUP($A255,S275_21,12,FALSE)*VLOOKUP($A255,'3121% SY'!$C$3:$M$324,11,FALSE),3),0)+IFERROR(ROUND(VLOOKUP($A255,S275_21,13,FALSE)*VLOOKUP($A255,'3121% SY'!$C$3:$M$324,11,FALSE),3),0)+IFERROR(VLOOKUP($A255,S275_09,5,FALSE),0)</f>
        <v>3.6349999999999998</v>
      </c>
      <c r="AH255" s="165">
        <f t="shared" si="48"/>
        <v>10.084</v>
      </c>
      <c r="AI255" s="161">
        <f>IFERROR(VLOOKUP(A255,'Supp Staff Data'!A:ER,148,FALSE),0)+AB255</f>
        <v>0.58599999999999997</v>
      </c>
      <c r="AJ255" s="174">
        <v>0.99419999999999997</v>
      </c>
      <c r="AK255" s="25">
        <f>VLOOKUP(A255,'Enroll Data as of January 2025'!$A$3:$T$323,20,FALSE)-F255</f>
        <v>0</v>
      </c>
    </row>
    <row r="256" spans="1:37" x14ac:dyDescent="0.25">
      <c r="A256" s="171" t="s">
        <v>118</v>
      </c>
      <c r="B256" t="s">
        <v>414</v>
      </c>
      <c r="C256" s="173" t="s">
        <v>1077</v>
      </c>
      <c r="D256" s="259">
        <f t="shared" si="40"/>
        <v>27.391000000000002</v>
      </c>
      <c r="E256" s="259">
        <f t="shared" si="41"/>
        <v>31.262999999999998</v>
      </c>
      <c r="F256" s="262">
        <f t="shared" si="49"/>
        <v>3.8719999999999999</v>
      </c>
      <c r="G256" s="161">
        <f>ROUND(IF(F256&lt;0,F256*'2024-25 PSES Compliance'!$G$13,0),3)</f>
        <v>0</v>
      </c>
      <c r="H256" s="161">
        <f>ROUND(IF(F256&lt;0,F256*'2024-25 PSES Compliance'!$G$14,0),3)</f>
        <v>0</v>
      </c>
      <c r="I256" s="174">
        <f t="shared" si="43"/>
        <v>0.53929771615008149</v>
      </c>
      <c r="J256" s="174">
        <f t="shared" si="44"/>
        <v>0</v>
      </c>
      <c r="K256" s="161">
        <f>VLOOKUP($A256,'Enroll Data as of January 2025'!$A$3:$M$322,6,FALSE)</f>
        <v>15.572000000000001</v>
      </c>
      <c r="L256" s="161">
        <f>VLOOKUP($A256,'Enroll Data as of January 2025'!$A$3:$M$322,7,FALSE)</f>
        <v>2.4630000000000001</v>
      </c>
      <c r="M256" s="161">
        <f>VLOOKUP($A256,'Enroll Data as of January 2025'!$A$3:$M$322,8,FALSE)</f>
        <v>0.82799999999999996</v>
      </c>
      <c r="N256" s="161">
        <f>VLOOKUP($A256,'Enroll Data as of January 2025'!$A$3:$M$322,9,FALSE)</f>
        <v>7.0210000000000008</v>
      </c>
      <c r="O256" s="165">
        <f t="shared" si="45"/>
        <v>25.884</v>
      </c>
      <c r="P256" s="161">
        <f>VLOOKUP($A256,'Enroll Data as of January 2025'!$A$3:$M$322,11,FALSE)</f>
        <v>0.96100000000000008</v>
      </c>
      <c r="Q256" s="161">
        <f>VLOOKUP($A256,'Enroll Data as of January 2025'!$A$3:$M$322,12,FALSE)</f>
        <v>0.54600000000000004</v>
      </c>
      <c r="R256" s="165">
        <f t="shared" si="46"/>
        <v>1.5070000000000001</v>
      </c>
      <c r="S256" s="267">
        <f>IFERROR(VLOOKUP($A256,Supp_39,14,FALSE),0)+IFERROR(SUMPRODUCT(VLOOKUP($A256,S275_01,{14,15,16},FALSE)),0)+IFERROR(SUMPRODUCT(VLOOKUP($A256,S275_97,{14,15,16},FALSE)),0)+IFERROR(ROUND(VLOOKUP($A256,S275_21,14,FALSE)*VLOOKUP($A256,'3121% SY'!$C$3:$M$324,11,FALSE),3),0)+IFERROR(ROUND(VLOOKUP($A256,S275_21,15,FALSE)*VLOOKUP($A256,'3121% SY'!$C$3:$M$324,11,FALSE),3),0)+IFERROR(ROUND(VLOOKUP($A256,S275_21,16,FALSE)*VLOOKUP($A256,'3121% SY'!$C$3:$M$324,11,FALSE),3),0)+IFERROR(VLOOKUP($A256,S275_09,6,FALSE),0)</f>
        <v>11.719999999999999</v>
      </c>
      <c r="T256" s="267">
        <f>IFERROR(VLOOKUP($A256,Supp_42,14,FALSE),0)+IFERROR(SUMPRODUCT(VLOOKUP($A256,S275_01,{17,18,19},FALSE)),0)+IFERROR(SUMPRODUCT(VLOOKUP($A256,S275_97,{17,18,19},FALSE)),0)+IFERROR(ROUND(VLOOKUP($A256,S275_21,17,FALSE)*VLOOKUP($A256,'3121% SY'!$C$3:$M$324,11,FALSE),3),0)+IFERROR(ROUND(VLOOKUP($A256,S275_21,18,FALSE)*VLOOKUP($A256,'3121% SY'!$C$3:$M$324,11,FALSE),3),0)+IFERROR(ROUND(VLOOKUP($A256,S275_21,19,FALSE)*VLOOKUP($A256,'3121% SY'!$C$3:$M$324,11,FALSE),3),0)+IFERROR(VLOOKUP($A256,S275_09,7,FALSE),0)</f>
        <v>1.98</v>
      </c>
      <c r="U256" s="267">
        <f>IFERROR(VLOOKUP($A256,Supp_43,14,FALSE),0)+IFERROR(SUMPRODUCT(VLOOKUP($A256,S275_01,{20,21,22},FALSE)),0)+IFERROR(SUMPRODUCT(VLOOKUP($A256,S275_97,{20,21,22},FALSE)),0)+IFERROR(ROUND(VLOOKUP($A256,S275_21,20,FALSE)*VLOOKUP($A256,'3121% SY'!$C$3:$M$324,11,FALSE),3),0)+IFERROR(ROUND(VLOOKUP($A256,S275_21,21,FALSE)*VLOOKUP($A256,'3121% SY'!$C$3:$M$324,11,FALSE),3),0)+IFERROR(ROUND(VLOOKUP($A256,S275_21,22,FALSE)*VLOOKUP($A256,'3121% SY'!$C$3:$M$324,11,FALSE),3),0)+IFERROR(VLOOKUP($A256,S275_09,8,FALSE),0)</f>
        <v>0.87499999999999989</v>
      </c>
      <c r="V256" s="267">
        <f>IFERROR(VLOOKUP($A256,Supp_44,14,FALSE),0)+IFERROR(SUMPRODUCT(VLOOKUP($A256,S275_01,{23,24,25},FALSE)),0)+IFERROR(SUMPRODUCT(VLOOKUP($A256,S275_97,{23,24,25},FALSE)),0)+IFERROR(ROUND(VLOOKUP($A256,S275_21,23,FALSE)*VLOOKUP($A256,'3121% SY'!$C$3:$M$324,11,FALSE),3),0)+IFERROR(ROUND(VLOOKUP($A256,S275_21,24,FALSE)*VLOOKUP($A256,'3121% SY'!$C$3:$M$324,11,FALSE),3),0)+IFERROR(ROUND(VLOOKUP($A256,S275_21,25,FALSE)*VLOOKUP($A256,'3121% SY'!$C$3:$M$324,11,FALSE),3),0)+IFERROR(VLOOKUP($A256,S275_09,9,FALSE),0)</f>
        <v>0</v>
      </c>
      <c r="W256" s="267">
        <f>IFERROR(VLOOKUP($A256,Supp_45,14,FALSE),0)+IFERROR(SUMPRODUCT(VLOOKUP($A256,S275_01,{26,27,28},FALSE)),0)+IFERROR(SUMPRODUCT(VLOOKUP($A256,S275_97,{26,27,28},FALSE)),0)+IFERROR(ROUND(VLOOKUP($A256,S275_21,26,FALSE)*VLOOKUP($A256,'3121% SY'!$C$3:$M$324,11,FALSE),3),0)+IFERROR(ROUND(VLOOKUP($A256,S275_21,27,FALSE)*VLOOKUP($A256,'3121% SY'!$C$3:$M$324,11,FALSE),3),0)+IFERROR(ROUND(VLOOKUP($A256,S275_21,28,FALSE)*VLOOKUP($A256,'3121% SY'!$C$3:$M$324,11,FALSE),3),0)+IFERROR(VLOOKUP($A256,S275_09,10,FALSE),0)</f>
        <v>1.948</v>
      </c>
      <c r="X256" s="267">
        <f>IFERROR(VLOOKUP($A256,Supp_46,14,FALSE),0)+IFERROR(SUMPRODUCT(VLOOKUP($A256,S275_01,{29,30,31},FALSE)),0)+IFERROR(SUMPRODUCT(VLOOKUP($A256,S275_97,{29,30,31},FALSE)),0)+IFERROR(ROUND(VLOOKUP($A256,S275_21,29,FALSE)*VLOOKUP($A256,'3121% SY'!$C$3:$M$324,11,FALSE),3),0)+IFERROR(ROUND(VLOOKUP($A256,S275_21,30,FALSE)*VLOOKUP($A256,'3121% SY'!$C$3:$M$324,11,FALSE),3),0)+IFERROR(ROUND(VLOOKUP($A256,S275_21,31,FALSE)*VLOOKUP($A256,'3121% SY'!$C$3:$M$324,11,FALSE),3),0)+IFERROR(VLOOKUP($A256,S275_09,11,FALSE),0)</f>
        <v>1.3450000000000002</v>
      </c>
      <c r="Y256" s="267">
        <f>IFERROR(VLOOKUP($A256,Supp_47,14,FALSE),0)+IFERROR(SUMPRODUCT(VLOOKUP($A256,S275_01,{32,33,34},FALSE)),0)+IFERROR(SUMPRODUCT(VLOOKUP($A256,S275_97,{32,33,34},FALSE)),0)+IFERROR(ROUND(VLOOKUP($A256,S275_21,32,FALSE)*VLOOKUP($A256,'3121% SY'!$C$3:$M$324,11,FALSE),3),0)+IFERROR(ROUND(VLOOKUP($A256,S275_21,33,FALSE)*VLOOKUP($A256,'3121% SY'!$C$3:$M$324,11,FALSE),3),0)+IFERROR(ROUND(VLOOKUP($A256,S275_21,34,FALSE)*VLOOKUP($A256,'3121% SY'!$C$3:$M$324,11,FALSE),3),0)+IFERROR(VLOOKUP($A256,S275_09,12,FALSE),0)</f>
        <v>0</v>
      </c>
      <c r="Z256" s="267">
        <f>IFERROR(VLOOKUP($A256,Supp_48,14,FALSE),0)+IFERROR(SUMPRODUCT(VLOOKUP($A256,S275_01,{35,36,37},FALSE)),0)+IFERROR(SUMPRODUCT(VLOOKUP($A256,S275_97,{35,36,37},FALSE)),0)+IFERROR(ROUND(VLOOKUP($A256,S275_21,35,FALSE)*VLOOKUP($A256,'3121% SY'!$C$3:$M$324,11,FALSE),3),0)+IFERROR(ROUND(VLOOKUP($A256,S275_21,36,FALSE)*VLOOKUP($A256,'3121% SY'!$C$3:$M$324,11,FALSE),3),0)+IFERROR(ROUND(VLOOKUP($A256,S275_21,37,FALSE)*VLOOKUP($A256,'3121% SY'!$C$3:$M$324,11,FALSE),3),0)+IFERROR(VLOOKUP($A256,S275_09,13,FALSE),0)</f>
        <v>0.19700000000000001</v>
      </c>
      <c r="AA256" s="267">
        <f>IFERROR(VLOOKUP($A256,Supp_49,14,FALSE),0)+IFERROR(SUMPRODUCT(VLOOKUP($A256,S275_01,{38,39,40},FALSE)),0)+IFERROR(SUMPRODUCT(VLOOKUP($A256,S275_97,{38,39,40},FALSE)),0)+IFERROR(ROUND(VLOOKUP($A256,S275_21,38,FALSE)*VLOOKUP($A256,'3121% SY'!$C$3:$M$324,11,FALSE),3),0)+IFERROR(ROUND(VLOOKUP($A256,S275_21,39,FALSE)*VLOOKUP($A256,'3121% SY'!$C$3:$M$324,11,FALSE),3),0)+IFERROR(ROUND(VLOOKUP($A256,S275_21,40,FALSE)*VLOOKUP($A256,'3121% SY'!$C$3:$M$324,11,FALSE),3),0)+IFERROR(VLOOKUP($A256,S275_09,14,FALSE),0)</f>
        <v>0</v>
      </c>
      <c r="AB256" s="267">
        <f>IFERROR(VLOOKUP($A256,Supp_64,14,FALSE),0)+IFERROR(SUMPRODUCT(VLOOKUP($A256,S275_01,{41,42,43},FALSE)),0)+IFERROR(SUMPRODUCT(VLOOKUP($A256,S275_97,{41,42,43},FALSE)),0)+IFERROR(ROUND(VLOOKUP($A256,S275_21,41,FALSE)*VLOOKUP($A256,'3121% SY'!$C$3:$M$324,11,FALSE),3),0)+IFERROR(ROUND(VLOOKUP($A256,S275_21,42,FALSE)*VLOOKUP($A256,'3121% SY'!$C$3:$M$324,11,FALSE),3),0)+IFERROR(ROUND(VLOOKUP($A256,S275_21,43,FALSE)*VLOOKUP($A256,'3121% SY'!$C$3:$M$324,11,FALSE),3),0)+IFERROR(VLOOKUP($A256,S275_09,15,FALSE),0)</f>
        <v>0</v>
      </c>
      <c r="AC256" s="268">
        <f t="shared" si="47"/>
        <v>18.064999999999998</v>
      </c>
      <c r="AD256" s="267">
        <f>IFERROR(VLOOKUP($A256,Supp_24,14,FALSE),0)+IFERROR(SUMPRODUCT(VLOOKUP($A256,S275_01,{2,3,4},FALSE)),0)+IFERROR(SUMPRODUCT(VLOOKUP($A256,S275_97,{2,3,4},FALSE)),0)+IFERROR(ROUND(VLOOKUP($A256,S275_21,2,FALSE)*VLOOKUP($A256,'3121% SY'!$C$3:$M$324,11,FALSE),3),0)+IFERROR(ROUND(VLOOKUP($A256,S275_21,3,FALSE)*VLOOKUP($A256,'3121% SY'!$C$3:$M$324,11,FALSE),3),0)+IFERROR(ROUND(VLOOKUP($A256,S275_21,4,FALSE)*VLOOKUP($A256,'3121% SY'!$C$3:$M$324,11,FALSE),3),0)+IFERROR(VLOOKUP($A256,S275_09,2,FALSE),0)</f>
        <v>0</v>
      </c>
      <c r="AE256" s="267">
        <f>IFERROR(VLOOKUP($A256,Supp_25,14,FALSE),0)+IFERROR(SUMPRODUCT(VLOOKUP($A256,S275_01,{5,6,7},FALSE)),0)+IFERROR(SUMPRODUCT(VLOOKUP($A256,S275_97,{5,6,7},FALSE)),0)+IFERROR(ROUND(VLOOKUP($A256,S275_21,5,FALSE)*VLOOKUP($A256,'3121% SY'!$C$3:$M$324,11,FALSE),3),0)+IFERROR(ROUND(VLOOKUP($A256,S275_21,6,FALSE)*VLOOKUP($A256,'3121% SY'!$C$3:$M$324,11,FALSE),3),0)+IFERROR(ROUND(VLOOKUP($A256,S275_21,7,FALSE)*VLOOKUP($A256,'3121% SY'!$C$3:$M$324,11,FALSE),3),0)+IFERROR(VLOOKUP($A256,S275_09,3,FALSE),0)</f>
        <v>8.511000000000001</v>
      </c>
      <c r="AF256" s="267">
        <f>IFERROR(VLOOKUP($A256,Supp_26,14,FALSE),0)+IFERROR(SUMPRODUCT(VLOOKUP($A256,S275_01,{8,9,10},FALSE)),0)+IFERROR(SUMPRODUCT(VLOOKUP($A256,S275_97,{8,9,10},FALSE)),0)+IFERROR(ROUND(VLOOKUP($A256,S275_21,8,FALSE)*VLOOKUP($A256,'3121% SY'!$C$3:$M$324,11,FALSE),3),0)+IFERROR(ROUND(VLOOKUP($A256,S275_21,9,FALSE)*VLOOKUP($A256,'3121% SY'!$C$3:$M$324,11,FALSE),3),0)+IFERROR(ROUND(VLOOKUP($A256,S275_21,10,FALSE)*VLOOKUP($A256,'3121% SY'!$C$3:$M$324,11,FALSE),3),0)+IFERROR(VLOOKUP($A256,S275_09,4,FALSE),0)</f>
        <v>1.016</v>
      </c>
      <c r="AG256" s="267">
        <f>IFERROR(VLOOKUP($A256,Supp_35,14,FALSE),0)+IFERROR(SUMPRODUCT(VLOOKUP($A256,S275_01,{11,12,13},FALSE)),0)+IFERROR(SUMPRODUCT(VLOOKUP($A256,S275_97,{11,12,13},FALSE)),0)+IFERROR(ROUND(VLOOKUP($A256,S275_21,11,FALSE)*VLOOKUP($A256,'3121% SY'!$C$3:$M$324,11,FALSE),3),0)+IFERROR(ROUND(VLOOKUP($A256,S275_21,12,FALSE)*VLOOKUP($A256,'3121% SY'!$C$3:$M$324,11,FALSE),3),0)+IFERROR(ROUND(VLOOKUP($A256,S275_21,13,FALSE)*VLOOKUP($A256,'3121% SY'!$C$3:$M$324,11,FALSE),3),0)+IFERROR(VLOOKUP($A256,S275_09,5,FALSE),0)</f>
        <v>3.6709999999999998</v>
      </c>
      <c r="AH256" s="165">
        <f t="shared" si="48"/>
        <v>13.198</v>
      </c>
      <c r="AI256" s="161">
        <f>IFERROR(VLOOKUP(A256,'Supp Staff Data'!A:ER,148,FALSE),0)+AB256</f>
        <v>0</v>
      </c>
      <c r="AJ256" s="174">
        <v>0.93330000000000002</v>
      </c>
      <c r="AK256" s="25">
        <f>VLOOKUP(A256,'Enroll Data as of January 2025'!$A$3:$T$323,20,FALSE)-F256</f>
        <v>0</v>
      </c>
    </row>
    <row r="257" spans="1:37" x14ac:dyDescent="0.25">
      <c r="A257" s="171" t="s">
        <v>221</v>
      </c>
      <c r="B257" t="s">
        <v>516</v>
      </c>
      <c r="C257" s="173" t="s">
        <v>1077</v>
      </c>
      <c r="D257" s="259">
        <f t="shared" si="40"/>
        <v>51.08</v>
      </c>
      <c r="E257" s="259">
        <f t="shared" si="41"/>
        <v>50.336000000000006</v>
      </c>
      <c r="F257" s="262">
        <f t="shared" si="49"/>
        <v>-0.74399999999999999</v>
      </c>
      <c r="G257" s="161">
        <f>ROUND(IF(F257&lt;0,F257*'2024-25 PSES Compliance'!$G$13,0),3)</f>
        <v>-0.71399999999999997</v>
      </c>
      <c r="H257" s="161">
        <f>ROUND(IF(F257&lt;0,F257*'2024-25 PSES Compliance'!$G$14,0),3)</f>
        <v>-0.03</v>
      </c>
      <c r="I257" s="174">
        <f t="shared" si="43"/>
        <v>0.88203656428798483</v>
      </c>
      <c r="J257" s="174">
        <f t="shared" si="44"/>
        <v>0</v>
      </c>
      <c r="K257" s="161">
        <f>VLOOKUP($A257,'Enroll Data as of January 2025'!$A$3:$M$322,6,FALSE)</f>
        <v>29.283999999999999</v>
      </c>
      <c r="L257" s="161">
        <f>VLOOKUP($A257,'Enroll Data as of January 2025'!$A$3:$M$322,7,FALSE)</f>
        <v>4.5190000000000001</v>
      </c>
      <c r="M257" s="161">
        <f>VLOOKUP($A257,'Enroll Data as of January 2025'!$A$3:$M$322,8,FALSE)</f>
        <v>1.522</v>
      </c>
      <c r="N257" s="161">
        <f>VLOOKUP($A257,'Enroll Data as of January 2025'!$A$3:$M$322,9,FALSE)</f>
        <v>12.969999999999999</v>
      </c>
      <c r="O257" s="165">
        <f t="shared" si="45"/>
        <v>48.294999999999995</v>
      </c>
      <c r="P257" s="161">
        <f>VLOOKUP($A257,'Enroll Data as of January 2025'!$A$3:$M$322,11,FALSE)</f>
        <v>1.7909999999999999</v>
      </c>
      <c r="Q257" s="161">
        <f>VLOOKUP($A257,'Enroll Data as of January 2025'!$A$3:$M$322,12,FALSE)</f>
        <v>0.99399999999999999</v>
      </c>
      <c r="R257" s="165">
        <f t="shared" si="46"/>
        <v>2.7850000000000001</v>
      </c>
      <c r="S257" s="267">
        <f>IFERROR(VLOOKUP($A257,Supp_39,14,FALSE),0)+IFERROR(SUMPRODUCT(VLOOKUP($A257,S275_01,{14,15,16},FALSE)),0)+IFERROR(SUMPRODUCT(VLOOKUP($A257,S275_97,{14,15,16},FALSE)),0)+IFERROR(ROUND(VLOOKUP($A257,S275_21,14,FALSE)*VLOOKUP($A257,'3121% SY'!$C$3:$M$324,11,FALSE),3),0)+IFERROR(ROUND(VLOOKUP($A257,S275_21,15,FALSE)*VLOOKUP($A257,'3121% SY'!$C$3:$M$324,11,FALSE),3),0)+IFERROR(ROUND(VLOOKUP($A257,S275_21,16,FALSE)*VLOOKUP($A257,'3121% SY'!$C$3:$M$324,11,FALSE),3),0)+IFERROR(VLOOKUP($A257,S275_09,6,FALSE),0)</f>
        <v>16.359000000000002</v>
      </c>
      <c r="T257" s="267">
        <f>IFERROR(VLOOKUP($A257,Supp_42,14,FALSE),0)+IFERROR(SUMPRODUCT(VLOOKUP($A257,S275_01,{17,18,19},FALSE)),0)+IFERROR(SUMPRODUCT(VLOOKUP($A257,S275_97,{17,18,19},FALSE)),0)+IFERROR(ROUND(VLOOKUP($A257,S275_21,17,FALSE)*VLOOKUP($A257,'3121% SY'!$C$3:$M$324,11,FALSE),3),0)+IFERROR(ROUND(VLOOKUP($A257,S275_21,18,FALSE)*VLOOKUP($A257,'3121% SY'!$C$3:$M$324,11,FALSE),3),0)+IFERROR(ROUND(VLOOKUP($A257,S275_21,19,FALSE)*VLOOKUP($A257,'3121% SY'!$C$3:$M$324,11,FALSE),3),0)+IFERROR(VLOOKUP($A257,S275_09,7,FALSE),0)</f>
        <v>4</v>
      </c>
      <c r="U257" s="267">
        <f>IFERROR(VLOOKUP($A257,Supp_43,14,FALSE),0)+IFERROR(SUMPRODUCT(VLOOKUP($A257,S275_01,{20,21,22},FALSE)),0)+IFERROR(SUMPRODUCT(VLOOKUP($A257,S275_97,{20,21,22},FALSE)),0)+IFERROR(ROUND(VLOOKUP($A257,S275_21,20,FALSE)*VLOOKUP($A257,'3121% SY'!$C$3:$M$324,11,FALSE),3),0)+IFERROR(ROUND(VLOOKUP($A257,S275_21,21,FALSE)*VLOOKUP($A257,'3121% SY'!$C$3:$M$324,11,FALSE),3),0)+IFERROR(ROUND(VLOOKUP($A257,S275_21,22,FALSE)*VLOOKUP($A257,'3121% SY'!$C$3:$M$324,11,FALSE),3),0)+IFERROR(VLOOKUP($A257,S275_09,8,FALSE),0)</f>
        <v>2.1559999999999997</v>
      </c>
      <c r="V257" s="267">
        <f>IFERROR(VLOOKUP($A257,Supp_44,14,FALSE),0)+IFERROR(SUMPRODUCT(VLOOKUP($A257,S275_01,{23,24,25},FALSE)),0)+IFERROR(SUMPRODUCT(VLOOKUP($A257,S275_97,{23,24,25},FALSE)),0)+IFERROR(ROUND(VLOOKUP($A257,S275_21,23,FALSE)*VLOOKUP($A257,'3121% SY'!$C$3:$M$324,11,FALSE),3),0)+IFERROR(ROUND(VLOOKUP($A257,S275_21,24,FALSE)*VLOOKUP($A257,'3121% SY'!$C$3:$M$324,11,FALSE),3),0)+IFERROR(ROUND(VLOOKUP($A257,S275_21,25,FALSE)*VLOOKUP($A257,'3121% SY'!$C$3:$M$324,11,FALSE),3),0)+IFERROR(VLOOKUP($A257,S275_09,9,FALSE),0)</f>
        <v>0</v>
      </c>
      <c r="W257" s="267">
        <f>IFERROR(VLOOKUP($A257,Supp_45,14,FALSE),0)+IFERROR(SUMPRODUCT(VLOOKUP($A257,S275_01,{26,27,28},FALSE)),0)+IFERROR(SUMPRODUCT(VLOOKUP($A257,S275_97,{26,27,28},FALSE)),0)+IFERROR(ROUND(VLOOKUP($A257,S275_21,26,FALSE)*VLOOKUP($A257,'3121% SY'!$C$3:$M$324,11,FALSE),3),0)+IFERROR(ROUND(VLOOKUP($A257,S275_21,27,FALSE)*VLOOKUP($A257,'3121% SY'!$C$3:$M$324,11,FALSE),3),0)+IFERROR(ROUND(VLOOKUP($A257,S275_21,28,FALSE)*VLOOKUP($A257,'3121% SY'!$C$3:$M$324,11,FALSE),3),0)+IFERROR(VLOOKUP($A257,S275_09,10,FALSE),0)</f>
        <v>7.1180000000000003</v>
      </c>
      <c r="X257" s="267">
        <f>IFERROR(VLOOKUP($A257,Supp_46,14,FALSE),0)+IFERROR(SUMPRODUCT(VLOOKUP($A257,S275_01,{29,30,31},FALSE)),0)+IFERROR(SUMPRODUCT(VLOOKUP($A257,S275_97,{29,30,31},FALSE)),0)+IFERROR(ROUND(VLOOKUP($A257,S275_21,29,FALSE)*VLOOKUP($A257,'3121% SY'!$C$3:$M$324,11,FALSE),3),0)+IFERROR(ROUND(VLOOKUP($A257,S275_21,30,FALSE)*VLOOKUP($A257,'3121% SY'!$C$3:$M$324,11,FALSE),3),0)+IFERROR(ROUND(VLOOKUP($A257,S275_21,31,FALSE)*VLOOKUP($A257,'3121% SY'!$C$3:$M$324,11,FALSE),3),0)+IFERROR(VLOOKUP($A257,S275_09,11,FALSE),0)</f>
        <v>15.093999999999999</v>
      </c>
      <c r="Y257" s="267">
        <f>IFERROR(VLOOKUP($A257,Supp_47,14,FALSE),0)+IFERROR(SUMPRODUCT(VLOOKUP($A257,S275_01,{32,33,34},FALSE)),0)+IFERROR(SUMPRODUCT(VLOOKUP($A257,S275_97,{32,33,34},FALSE)),0)+IFERROR(ROUND(VLOOKUP($A257,S275_21,32,FALSE)*VLOOKUP($A257,'3121% SY'!$C$3:$M$324,11,FALSE),3),0)+IFERROR(ROUND(VLOOKUP($A257,S275_21,33,FALSE)*VLOOKUP($A257,'3121% SY'!$C$3:$M$324,11,FALSE),3),0)+IFERROR(ROUND(VLOOKUP($A257,S275_21,34,FALSE)*VLOOKUP($A257,'3121% SY'!$C$3:$M$324,11,FALSE),3),0)+IFERROR(VLOOKUP($A257,S275_09,12,FALSE),0)</f>
        <v>0</v>
      </c>
      <c r="Z257" s="267">
        <f>IFERROR(VLOOKUP($A257,Supp_48,14,FALSE),0)+IFERROR(SUMPRODUCT(VLOOKUP($A257,S275_01,{35,36,37},FALSE)),0)+IFERROR(SUMPRODUCT(VLOOKUP($A257,S275_97,{35,36,37},FALSE)),0)+IFERROR(ROUND(VLOOKUP($A257,S275_21,35,FALSE)*VLOOKUP($A257,'3121% SY'!$C$3:$M$324,11,FALSE),3),0)+IFERROR(ROUND(VLOOKUP($A257,S275_21,36,FALSE)*VLOOKUP($A257,'3121% SY'!$C$3:$M$324,11,FALSE),3),0)+IFERROR(ROUND(VLOOKUP($A257,S275_21,37,FALSE)*VLOOKUP($A257,'3121% SY'!$C$3:$M$324,11,FALSE),3),0)+IFERROR(VLOOKUP($A257,S275_09,13,FALSE),0)</f>
        <v>0.46200000000000002</v>
      </c>
      <c r="AA257" s="267">
        <f>IFERROR(VLOOKUP($A257,Supp_49,14,FALSE),0)+IFERROR(SUMPRODUCT(VLOOKUP($A257,S275_01,{38,39,40},FALSE)),0)+IFERROR(SUMPRODUCT(VLOOKUP($A257,S275_97,{38,39,40},FALSE)),0)+IFERROR(ROUND(VLOOKUP($A257,S275_21,38,FALSE)*VLOOKUP($A257,'3121% SY'!$C$3:$M$324,11,FALSE),3),0)+IFERROR(ROUND(VLOOKUP($A257,S275_21,39,FALSE)*VLOOKUP($A257,'3121% SY'!$C$3:$M$324,11,FALSE),3),0)+IFERROR(ROUND(VLOOKUP($A257,S275_21,40,FALSE)*VLOOKUP($A257,'3121% SY'!$C$3:$M$324,11,FALSE),3),0)+IFERROR(VLOOKUP($A257,S275_09,14,FALSE),0)</f>
        <v>0</v>
      </c>
      <c r="AB257" s="267">
        <f>IFERROR(VLOOKUP($A257,Supp_64,14,FALSE),0)+IFERROR(SUMPRODUCT(VLOOKUP($A257,S275_01,{41,42,43},FALSE)),0)+IFERROR(SUMPRODUCT(VLOOKUP($A257,S275_97,{41,42,43},FALSE)),0)+IFERROR(ROUND(VLOOKUP($A257,S275_21,41,FALSE)*VLOOKUP($A257,'3121% SY'!$C$3:$M$324,11,FALSE),3),0)+IFERROR(ROUND(VLOOKUP($A257,S275_21,42,FALSE)*VLOOKUP($A257,'3121% SY'!$C$3:$M$324,11,FALSE),3),0)+IFERROR(ROUND(VLOOKUP($A257,S275_21,43,FALSE)*VLOOKUP($A257,'3121% SY'!$C$3:$M$324,11,FALSE),3),0)+IFERROR(VLOOKUP($A257,S275_09,15,FALSE),0)</f>
        <v>0</v>
      </c>
      <c r="AC257" s="268">
        <f t="shared" si="47"/>
        <v>45.189000000000007</v>
      </c>
      <c r="AD257" s="267">
        <f>IFERROR(VLOOKUP($A257,Supp_24,14,FALSE),0)+IFERROR(SUMPRODUCT(VLOOKUP($A257,S275_01,{2,3,4},FALSE)),0)+IFERROR(SUMPRODUCT(VLOOKUP($A257,S275_97,{2,3,4},FALSE)),0)+IFERROR(ROUND(VLOOKUP($A257,S275_21,2,FALSE)*VLOOKUP($A257,'3121% SY'!$C$3:$M$324,11,FALSE),3),0)+IFERROR(ROUND(VLOOKUP($A257,S275_21,3,FALSE)*VLOOKUP($A257,'3121% SY'!$C$3:$M$324,11,FALSE),3),0)+IFERROR(ROUND(VLOOKUP($A257,S275_21,4,FALSE)*VLOOKUP($A257,'3121% SY'!$C$3:$M$324,11,FALSE),3),0)+IFERROR(VLOOKUP($A257,S275_09,2,FALSE),0)</f>
        <v>0</v>
      </c>
      <c r="AE257" s="267">
        <f>IFERROR(VLOOKUP($A257,Supp_25,14,FALSE),0)+IFERROR(SUMPRODUCT(VLOOKUP($A257,S275_01,{5,6,7},FALSE)),0)+IFERROR(SUMPRODUCT(VLOOKUP($A257,S275_97,{5,6,7},FALSE)),0)+IFERROR(ROUND(VLOOKUP($A257,S275_21,5,FALSE)*VLOOKUP($A257,'3121% SY'!$C$3:$M$324,11,FALSE),3),0)+IFERROR(ROUND(VLOOKUP($A257,S275_21,6,FALSE)*VLOOKUP($A257,'3121% SY'!$C$3:$M$324,11,FALSE),3),0)+IFERROR(ROUND(VLOOKUP($A257,S275_21,7,FALSE)*VLOOKUP($A257,'3121% SY'!$C$3:$M$324,11,FALSE),3),0)+IFERROR(VLOOKUP($A257,S275_09,3,FALSE),0)</f>
        <v>0</v>
      </c>
      <c r="AF257" s="267">
        <f>IFERROR(VLOOKUP($A257,Supp_26,14,FALSE),0)+IFERROR(SUMPRODUCT(VLOOKUP($A257,S275_01,{8,9,10},FALSE)),0)+IFERROR(SUMPRODUCT(VLOOKUP($A257,S275_97,{8,9,10},FALSE)),0)+IFERROR(ROUND(VLOOKUP($A257,S275_21,8,FALSE)*VLOOKUP($A257,'3121% SY'!$C$3:$M$324,11,FALSE),3),0)+IFERROR(ROUND(VLOOKUP($A257,S275_21,9,FALSE)*VLOOKUP($A257,'3121% SY'!$C$3:$M$324,11,FALSE),3),0)+IFERROR(ROUND(VLOOKUP($A257,S275_21,10,FALSE)*VLOOKUP($A257,'3121% SY'!$C$3:$M$324,11,FALSE),3),0)+IFERROR(VLOOKUP($A257,S275_09,4,FALSE),0)</f>
        <v>3.7770000000000001</v>
      </c>
      <c r="AG257" s="267">
        <f>IFERROR(VLOOKUP($A257,Supp_35,14,FALSE),0)+IFERROR(SUMPRODUCT(VLOOKUP($A257,S275_01,{11,12,13},FALSE)),0)+IFERROR(SUMPRODUCT(VLOOKUP($A257,S275_97,{11,12,13},FALSE)),0)+IFERROR(ROUND(VLOOKUP($A257,S275_21,11,FALSE)*VLOOKUP($A257,'3121% SY'!$C$3:$M$324,11,FALSE),3),0)+IFERROR(ROUND(VLOOKUP($A257,S275_21,12,FALSE)*VLOOKUP($A257,'3121% SY'!$C$3:$M$324,11,FALSE),3),0)+IFERROR(ROUND(VLOOKUP($A257,S275_21,13,FALSE)*VLOOKUP($A257,'3121% SY'!$C$3:$M$324,11,FALSE),3),0)+IFERROR(VLOOKUP($A257,S275_09,5,FALSE),0)</f>
        <v>1.37</v>
      </c>
      <c r="AH257" s="165">
        <f t="shared" si="48"/>
        <v>5.1470000000000002</v>
      </c>
      <c r="AI257" s="161">
        <f>IFERROR(VLOOKUP(A257,'Supp Staff Data'!A:ER,148,FALSE),0)+AB257</f>
        <v>0</v>
      </c>
      <c r="AJ257" s="174">
        <v>0.98250000000000004</v>
      </c>
      <c r="AK257" s="25">
        <f>VLOOKUP(A257,'Enroll Data as of January 2025'!$A$3:$T$323,20,FALSE)-F257</f>
        <v>0</v>
      </c>
    </row>
    <row r="258" spans="1:37" x14ac:dyDescent="0.25">
      <c r="A258" s="171" t="s">
        <v>88</v>
      </c>
      <c r="B258" t="s">
        <v>384</v>
      </c>
      <c r="C258" s="173" t="s">
        <v>1077</v>
      </c>
      <c r="D258" s="259">
        <f t="shared" si="40"/>
        <v>26.972000000000005</v>
      </c>
      <c r="E258" s="259">
        <f t="shared" si="41"/>
        <v>28.743999999999993</v>
      </c>
      <c r="F258" s="262">
        <f t="shared" si="49"/>
        <v>1.772</v>
      </c>
      <c r="G258" s="161">
        <f>ROUND(IF(F258&lt;0,F258*'2024-25 PSES Compliance'!$G$13,0),3)</f>
        <v>0</v>
      </c>
      <c r="H258" s="161">
        <f>ROUND(IF(F258&lt;0,F258*'2024-25 PSES Compliance'!$G$14,0),3)</f>
        <v>0</v>
      </c>
      <c r="I258" s="174">
        <f t="shared" si="43"/>
        <v>0.78774639576955185</v>
      </c>
      <c r="J258" s="174">
        <f t="shared" si="44"/>
        <v>0</v>
      </c>
      <c r="K258" s="161">
        <f>VLOOKUP($A258,'Enroll Data as of January 2025'!$A$3:$M$322,6,FALSE)</f>
        <v>15.048999999999999</v>
      </c>
      <c r="L258" s="161">
        <f>VLOOKUP($A258,'Enroll Data as of January 2025'!$A$3:$M$322,7,FALSE)</f>
        <v>2.5600000000000005</v>
      </c>
      <c r="M258" s="161">
        <f>VLOOKUP($A258,'Enroll Data as of January 2025'!$A$3:$M$322,8,FALSE)</f>
        <v>0.85899999999999999</v>
      </c>
      <c r="N258" s="161">
        <f>VLOOKUP($A258,'Enroll Data as of January 2025'!$A$3:$M$322,9,FALSE)</f>
        <v>6.9690000000000003</v>
      </c>
      <c r="O258" s="165">
        <f t="shared" si="45"/>
        <v>25.437000000000005</v>
      </c>
      <c r="P258" s="161">
        <f>VLOOKUP($A258,'Enroll Data as of January 2025'!$A$3:$M$322,11,FALSE)</f>
        <v>0.95100000000000007</v>
      </c>
      <c r="Q258" s="161">
        <f>VLOOKUP($A258,'Enroll Data as of January 2025'!$A$3:$M$322,12,FALSE)</f>
        <v>0.58399999999999996</v>
      </c>
      <c r="R258" s="165">
        <f t="shared" si="46"/>
        <v>1.5350000000000001</v>
      </c>
      <c r="S258" s="267">
        <f>IFERROR(VLOOKUP($A258,Supp_39,14,FALSE),0)+IFERROR(SUMPRODUCT(VLOOKUP($A258,S275_01,{14,15,16},FALSE)),0)+IFERROR(SUMPRODUCT(VLOOKUP($A258,S275_97,{14,15,16},FALSE)),0)+IFERROR(ROUND(VLOOKUP($A258,S275_21,14,FALSE)*VLOOKUP($A258,'3121% SY'!$C$3:$M$324,11,FALSE),3),0)+IFERROR(ROUND(VLOOKUP($A258,S275_21,15,FALSE)*VLOOKUP($A258,'3121% SY'!$C$3:$M$324,11,FALSE),3),0)+IFERROR(ROUND(VLOOKUP($A258,S275_21,16,FALSE)*VLOOKUP($A258,'3121% SY'!$C$3:$M$324,11,FALSE),3),0)+IFERROR(VLOOKUP($A258,S275_09,6,FALSE),0)</f>
        <v>11.7</v>
      </c>
      <c r="T258" s="267">
        <f>IFERROR(VLOOKUP($A258,Supp_42,14,FALSE),0)+IFERROR(SUMPRODUCT(VLOOKUP($A258,S275_01,{17,18,19},FALSE)),0)+IFERROR(SUMPRODUCT(VLOOKUP($A258,S275_97,{17,18,19},FALSE)),0)+IFERROR(ROUND(VLOOKUP($A258,S275_21,17,FALSE)*VLOOKUP($A258,'3121% SY'!$C$3:$M$324,11,FALSE),3),0)+IFERROR(ROUND(VLOOKUP($A258,S275_21,18,FALSE)*VLOOKUP($A258,'3121% SY'!$C$3:$M$324,11,FALSE),3),0)+IFERROR(ROUND(VLOOKUP($A258,S275_21,19,FALSE)*VLOOKUP($A258,'3121% SY'!$C$3:$M$324,11,FALSE),3),0)+IFERROR(VLOOKUP($A258,S275_09,7,FALSE),0)</f>
        <v>2</v>
      </c>
      <c r="U258" s="267">
        <f>IFERROR(VLOOKUP($A258,Supp_43,14,FALSE),0)+IFERROR(SUMPRODUCT(VLOOKUP($A258,S275_01,{20,21,22},FALSE)),0)+IFERROR(SUMPRODUCT(VLOOKUP($A258,S275_97,{20,21,22},FALSE)),0)+IFERROR(ROUND(VLOOKUP($A258,S275_21,20,FALSE)*VLOOKUP($A258,'3121% SY'!$C$3:$M$324,11,FALSE),3),0)+IFERROR(ROUND(VLOOKUP($A258,S275_21,21,FALSE)*VLOOKUP($A258,'3121% SY'!$C$3:$M$324,11,FALSE),3),0)+IFERROR(ROUND(VLOOKUP($A258,S275_21,22,FALSE)*VLOOKUP($A258,'3121% SY'!$C$3:$M$324,11,FALSE),3),0)+IFERROR(VLOOKUP($A258,S275_09,8,FALSE),0)</f>
        <v>1.5589999999999999</v>
      </c>
      <c r="V258" s="267">
        <f>IFERROR(VLOOKUP($A258,Supp_44,14,FALSE),0)+IFERROR(SUMPRODUCT(VLOOKUP($A258,S275_01,{23,24,25},FALSE)),0)+IFERROR(SUMPRODUCT(VLOOKUP($A258,S275_97,{23,24,25},FALSE)),0)+IFERROR(ROUND(VLOOKUP($A258,S275_21,23,FALSE)*VLOOKUP($A258,'3121% SY'!$C$3:$M$324,11,FALSE),3),0)+IFERROR(ROUND(VLOOKUP($A258,S275_21,24,FALSE)*VLOOKUP($A258,'3121% SY'!$C$3:$M$324,11,FALSE),3),0)+IFERROR(ROUND(VLOOKUP($A258,S275_21,25,FALSE)*VLOOKUP($A258,'3121% SY'!$C$3:$M$324,11,FALSE),3),0)+IFERROR(VLOOKUP($A258,S275_09,9,FALSE),0)</f>
        <v>0.98</v>
      </c>
      <c r="W258" s="267">
        <f>IFERROR(VLOOKUP($A258,Supp_45,14,FALSE),0)+IFERROR(SUMPRODUCT(VLOOKUP($A258,S275_01,{26,27,28},FALSE)),0)+IFERROR(SUMPRODUCT(VLOOKUP($A258,S275_97,{26,27,28},FALSE)),0)+IFERROR(ROUND(VLOOKUP($A258,S275_21,26,FALSE)*VLOOKUP($A258,'3121% SY'!$C$3:$M$324,11,FALSE),3),0)+IFERROR(ROUND(VLOOKUP($A258,S275_21,27,FALSE)*VLOOKUP($A258,'3121% SY'!$C$3:$M$324,11,FALSE),3),0)+IFERROR(ROUND(VLOOKUP($A258,S275_21,28,FALSE)*VLOOKUP($A258,'3121% SY'!$C$3:$M$324,11,FALSE),3),0)+IFERROR(VLOOKUP($A258,S275_09,10,FALSE),0)</f>
        <v>2.5190000000000001</v>
      </c>
      <c r="X258" s="267">
        <f>IFERROR(VLOOKUP($A258,Supp_46,14,FALSE),0)+IFERROR(SUMPRODUCT(VLOOKUP($A258,S275_01,{29,30,31},FALSE)),0)+IFERROR(SUMPRODUCT(VLOOKUP($A258,S275_97,{29,30,31},FALSE)),0)+IFERROR(ROUND(VLOOKUP($A258,S275_21,29,FALSE)*VLOOKUP($A258,'3121% SY'!$C$3:$M$324,11,FALSE),3),0)+IFERROR(ROUND(VLOOKUP($A258,S275_21,30,FALSE)*VLOOKUP($A258,'3121% SY'!$C$3:$M$324,11,FALSE),3),0)+IFERROR(ROUND(VLOOKUP($A258,S275_21,31,FALSE)*VLOOKUP($A258,'3121% SY'!$C$3:$M$324,11,FALSE),3),0)+IFERROR(VLOOKUP($A258,S275_09,11,FALSE),0)</f>
        <v>4.9409999999999998</v>
      </c>
      <c r="Y258" s="267">
        <f>IFERROR(VLOOKUP($A258,Supp_47,14,FALSE),0)+IFERROR(SUMPRODUCT(VLOOKUP($A258,S275_01,{32,33,34},FALSE)),0)+IFERROR(SUMPRODUCT(VLOOKUP($A258,S275_97,{32,33,34},FALSE)),0)+IFERROR(ROUND(VLOOKUP($A258,S275_21,32,FALSE)*VLOOKUP($A258,'3121% SY'!$C$3:$M$324,11,FALSE),3),0)+IFERROR(ROUND(VLOOKUP($A258,S275_21,33,FALSE)*VLOOKUP($A258,'3121% SY'!$C$3:$M$324,11,FALSE),3),0)+IFERROR(ROUND(VLOOKUP($A258,S275_21,34,FALSE)*VLOOKUP($A258,'3121% SY'!$C$3:$M$324,11,FALSE),3),0)+IFERROR(VLOOKUP($A258,S275_09,12,FALSE),0)</f>
        <v>0.4</v>
      </c>
      <c r="Z258" s="267">
        <f>IFERROR(VLOOKUP($A258,Supp_48,14,FALSE),0)+IFERROR(SUMPRODUCT(VLOOKUP($A258,S275_01,{35,36,37},FALSE)),0)+IFERROR(SUMPRODUCT(VLOOKUP($A258,S275_97,{35,36,37},FALSE)),0)+IFERROR(ROUND(VLOOKUP($A258,S275_21,35,FALSE)*VLOOKUP($A258,'3121% SY'!$C$3:$M$324,11,FALSE),3),0)+IFERROR(ROUND(VLOOKUP($A258,S275_21,36,FALSE)*VLOOKUP($A258,'3121% SY'!$C$3:$M$324,11,FALSE),3),0)+IFERROR(ROUND(VLOOKUP($A258,S275_21,37,FALSE)*VLOOKUP($A258,'3121% SY'!$C$3:$M$324,11,FALSE),3),0)+IFERROR(VLOOKUP($A258,S275_09,13,FALSE),0)</f>
        <v>0.28500000000000003</v>
      </c>
      <c r="AA258" s="267">
        <f>IFERROR(VLOOKUP($A258,Supp_49,14,FALSE),0)+IFERROR(SUMPRODUCT(VLOOKUP($A258,S275_01,{38,39,40},FALSE)),0)+IFERROR(SUMPRODUCT(VLOOKUP($A258,S275_97,{38,39,40},FALSE)),0)+IFERROR(ROUND(VLOOKUP($A258,S275_21,38,FALSE)*VLOOKUP($A258,'3121% SY'!$C$3:$M$324,11,FALSE),3),0)+IFERROR(ROUND(VLOOKUP($A258,S275_21,39,FALSE)*VLOOKUP($A258,'3121% SY'!$C$3:$M$324,11,FALSE),3),0)+IFERROR(ROUND(VLOOKUP($A258,S275_21,40,FALSE)*VLOOKUP($A258,'3121% SY'!$C$3:$M$324,11,FALSE),3),0)+IFERROR(VLOOKUP($A258,S275_09,14,FALSE),0)</f>
        <v>0</v>
      </c>
      <c r="AB258" s="267">
        <f>IFERROR(VLOOKUP($A258,Supp_64,14,FALSE),0)+IFERROR(SUMPRODUCT(VLOOKUP($A258,S275_01,{41,42,43},FALSE)),0)+IFERROR(SUMPRODUCT(VLOOKUP($A258,S275_97,{41,42,43},FALSE)),0)+IFERROR(ROUND(VLOOKUP($A258,S275_21,41,FALSE)*VLOOKUP($A258,'3121% SY'!$C$3:$M$324,11,FALSE),3),0)+IFERROR(ROUND(VLOOKUP($A258,S275_21,42,FALSE)*VLOOKUP($A258,'3121% SY'!$C$3:$M$324,11,FALSE),3),0)+IFERROR(ROUND(VLOOKUP($A258,S275_21,43,FALSE)*VLOOKUP($A258,'3121% SY'!$C$3:$M$324,11,FALSE),3),0)+IFERROR(VLOOKUP($A258,S275_09,15,FALSE),0)</f>
        <v>0</v>
      </c>
      <c r="AC258" s="268">
        <f t="shared" si="47"/>
        <v>24.383999999999993</v>
      </c>
      <c r="AD258" s="267">
        <f>IFERROR(VLOOKUP($A258,Supp_24,14,FALSE),0)+IFERROR(SUMPRODUCT(VLOOKUP($A258,S275_01,{2,3,4},FALSE)),0)+IFERROR(SUMPRODUCT(VLOOKUP($A258,S275_97,{2,3,4},FALSE)),0)+IFERROR(ROUND(VLOOKUP($A258,S275_21,2,FALSE)*VLOOKUP($A258,'3121% SY'!$C$3:$M$324,11,FALSE),3),0)+IFERROR(ROUND(VLOOKUP($A258,S275_21,3,FALSE)*VLOOKUP($A258,'3121% SY'!$C$3:$M$324,11,FALSE),3),0)+IFERROR(ROUND(VLOOKUP($A258,S275_21,4,FALSE)*VLOOKUP($A258,'3121% SY'!$C$3:$M$324,11,FALSE),3),0)+IFERROR(VLOOKUP($A258,S275_09,2,FALSE),0)</f>
        <v>0.50800000000000001</v>
      </c>
      <c r="AE258" s="267">
        <f>IFERROR(VLOOKUP($A258,Supp_25,14,FALSE),0)+IFERROR(SUMPRODUCT(VLOOKUP($A258,S275_01,{5,6,7},FALSE)),0)+IFERROR(SUMPRODUCT(VLOOKUP($A258,S275_97,{5,6,7},FALSE)),0)+IFERROR(ROUND(VLOOKUP($A258,S275_21,5,FALSE)*VLOOKUP($A258,'3121% SY'!$C$3:$M$324,11,FALSE),3),0)+IFERROR(ROUND(VLOOKUP($A258,S275_21,6,FALSE)*VLOOKUP($A258,'3121% SY'!$C$3:$M$324,11,FALSE),3),0)+IFERROR(ROUND(VLOOKUP($A258,S275_21,7,FALSE)*VLOOKUP($A258,'3121% SY'!$C$3:$M$324,11,FALSE),3),0)+IFERROR(VLOOKUP($A258,S275_09,3,FALSE),0)</f>
        <v>0</v>
      </c>
      <c r="AF258" s="267">
        <f>IFERROR(VLOOKUP($A258,Supp_26,14,FALSE),0)+IFERROR(SUMPRODUCT(VLOOKUP($A258,S275_01,{8,9,10},FALSE)),0)+IFERROR(SUMPRODUCT(VLOOKUP($A258,S275_97,{8,9,10},FALSE)),0)+IFERROR(ROUND(VLOOKUP($A258,S275_21,8,FALSE)*VLOOKUP($A258,'3121% SY'!$C$3:$M$324,11,FALSE),3),0)+IFERROR(ROUND(VLOOKUP($A258,S275_21,9,FALSE)*VLOOKUP($A258,'3121% SY'!$C$3:$M$324,11,FALSE),3),0)+IFERROR(ROUND(VLOOKUP($A258,S275_21,10,FALSE)*VLOOKUP($A258,'3121% SY'!$C$3:$M$324,11,FALSE),3),0)+IFERROR(VLOOKUP($A258,S275_09,4,FALSE),0)</f>
        <v>3.8520000000000003</v>
      </c>
      <c r="AG258" s="267">
        <f>IFERROR(VLOOKUP($A258,Supp_35,14,FALSE),0)+IFERROR(SUMPRODUCT(VLOOKUP($A258,S275_01,{11,12,13},FALSE)),0)+IFERROR(SUMPRODUCT(VLOOKUP($A258,S275_97,{11,12,13},FALSE)),0)+IFERROR(ROUND(VLOOKUP($A258,S275_21,11,FALSE)*VLOOKUP($A258,'3121% SY'!$C$3:$M$324,11,FALSE),3),0)+IFERROR(ROUND(VLOOKUP($A258,S275_21,12,FALSE)*VLOOKUP($A258,'3121% SY'!$C$3:$M$324,11,FALSE),3),0)+IFERROR(ROUND(VLOOKUP($A258,S275_21,13,FALSE)*VLOOKUP($A258,'3121% SY'!$C$3:$M$324,11,FALSE),3),0)+IFERROR(VLOOKUP($A258,S275_09,5,FALSE),0)</f>
        <v>0</v>
      </c>
      <c r="AH258" s="165">
        <f t="shared" si="48"/>
        <v>4.3600000000000003</v>
      </c>
      <c r="AI258" s="161">
        <f>IFERROR(VLOOKUP(A258,'Supp Staff Data'!A:ER,148,FALSE),0)+AB258</f>
        <v>0</v>
      </c>
      <c r="AJ258" s="174">
        <v>0.92859999999999998</v>
      </c>
      <c r="AK258" s="25">
        <f>VLOOKUP(A258,'Enroll Data as of January 2025'!$A$3:$T$323,20,FALSE)-F258</f>
        <v>0</v>
      </c>
    </row>
    <row r="259" spans="1:37" x14ac:dyDescent="0.25">
      <c r="A259" s="172" t="s">
        <v>225</v>
      </c>
      <c r="B259" t="s">
        <v>520</v>
      </c>
      <c r="C259" s="173" t="s">
        <v>1086</v>
      </c>
      <c r="D259" s="259">
        <f t="shared" si="40"/>
        <v>10.966000000000001</v>
      </c>
      <c r="E259" s="259">
        <f t="shared" si="41"/>
        <v>16.131</v>
      </c>
      <c r="F259" s="262">
        <f t="shared" si="49"/>
        <v>5.165</v>
      </c>
      <c r="G259" s="161">
        <f>ROUND(IF(F259&lt;0,F259*'2024-25 PSES Compliance'!$G$13,0),3)</f>
        <v>0</v>
      </c>
      <c r="H259" s="161">
        <f>ROUND(IF(F259&lt;0,F259*'2024-25 PSES Compliance'!$G$14,0),3)</f>
        <v>0</v>
      </c>
      <c r="I259" s="174">
        <f t="shared" si="43"/>
        <v>0.21179096150269666</v>
      </c>
      <c r="J259" s="174">
        <f t="shared" si="44"/>
        <v>0</v>
      </c>
      <c r="K259" s="161">
        <f>VLOOKUP($A259,'Enroll Data as of January 2025'!$A$3:$M$322,6,FALSE)</f>
        <v>6.1609999999999996</v>
      </c>
      <c r="L259" s="161">
        <f>VLOOKUP($A259,'Enroll Data as of January 2025'!$A$3:$M$322,7,FALSE)</f>
        <v>1.0310000000000001</v>
      </c>
      <c r="M259" s="161">
        <f>VLOOKUP($A259,'Enroll Data as of January 2025'!$A$3:$M$322,8,FALSE)</f>
        <v>0.34599999999999997</v>
      </c>
      <c r="N259" s="161">
        <f>VLOOKUP($A259,'Enroll Data as of January 2025'!$A$3:$M$322,9,FALSE)</f>
        <v>2.8069999999999999</v>
      </c>
      <c r="O259" s="165">
        <f t="shared" si="45"/>
        <v>10.345000000000001</v>
      </c>
      <c r="P259" s="161">
        <f>VLOOKUP($A259,'Enroll Data as of January 2025'!$A$3:$M$322,11,FALSE)</f>
        <v>0.38700000000000001</v>
      </c>
      <c r="Q259" s="161">
        <f>VLOOKUP($A259,'Enroll Data as of January 2025'!$A$3:$M$322,12,FALSE)</f>
        <v>0.23400000000000001</v>
      </c>
      <c r="R259" s="165">
        <f t="shared" si="46"/>
        <v>0.621</v>
      </c>
      <c r="S259" s="267">
        <f>IFERROR(VLOOKUP($A259,Supp_39,14,FALSE),0)+IFERROR(SUMPRODUCT(VLOOKUP($A259,S275_01,{14,15,16},FALSE)),0)+IFERROR(SUMPRODUCT(VLOOKUP($A259,S275_97,{14,15,16},FALSE)),0)+IFERROR(ROUND(VLOOKUP($A259,S275_21,14,FALSE)*VLOOKUP($A259,'3121% SY'!$C$3:$M$324,11,FALSE),3),0)+IFERROR(ROUND(VLOOKUP($A259,S275_21,15,FALSE)*VLOOKUP($A259,'3121% SY'!$C$3:$M$324,11,FALSE),3),0)+IFERROR(ROUND(VLOOKUP($A259,S275_21,16,FALSE)*VLOOKUP($A259,'3121% SY'!$C$3:$M$324,11,FALSE),3),0)+IFERROR(VLOOKUP($A259,S275_09,6,FALSE),0)</f>
        <v>3.5</v>
      </c>
      <c r="T259" s="267">
        <f>IFERROR(VLOOKUP($A259,Supp_42,14,FALSE),0)+IFERROR(SUMPRODUCT(VLOOKUP($A259,S275_01,{17,18,19},FALSE)),0)+IFERROR(SUMPRODUCT(VLOOKUP($A259,S275_97,{17,18,19},FALSE)),0)+IFERROR(ROUND(VLOOKUP($A259,S275_21,17,FALSE)*VLOOKUP($A259,'3121% SY'!$C$3:$M$324,11,FALSE),3),0)+IFERROR(ROUND(VLOOKUP($A259,S275_21,18,FALSE)*VLOOKUP($A259,'3121% SY'!$C$3:$M$324,11,FALSE),3),0)+IFERROR(ROUND(VLOOKUP($A259,S275_21,19,FALSE)*VLOOKUP($A259,'3121% SY'!$C$3:$M$324,11,FALSE),3),0)+IFERROR(VLOOKUP($A259,S275_09,7,FALSE),0)</f>
        <v>0.75</v>
      </c>
      <c r="U259" s="267">
        <f>IFERROR(VLOOKUP($A259,Supp_43,14,FALSE),0)+IFERROR(SUMPRODUCT(VLOOKUP($A259,S275_01,{20,21,22},FALSE)),0)+IFERROR(SUMPRODUCT(VLOOKUP($A259,S275_97,{20,21,22},FALSE)),0)+IFERROR(ROUND(VLOOKUP($A259,S275_21,20,FALSE)*VLOOKUP($A259,'3121% SY'!$C$3:$M$324,11,FALSE),3),0)+IFERROR(ROUND(VLOOKUP($A259,S275_21,21,FALSE)*VLOOKUP($A259,'3121% SY'!$C$3:$M$324,11,FALSE),3),0)+IFERROR(ROUND(VLOOKUP($A259,S275_21,22,FALSE)*VLOOKUP($A259,'3121% SY'!$C$3:$M$324,11,FALSE),3),0)+IFERROR(VLOOKUP($A259,S275_09,8,FALSE),0)</f>
        <v>0</v>
      </c>
      <c r="V259" s="267">
        <f>IFERROR(VLOOKUP($A259,Supp_44,14,FALSE),0)+IFERROR(SUMPRODUCT(VLOOKUP($A259,S275_01,{23,24,25},FALSE)),0)+IFERROR(SUMPRODUCT(VLOOKUP($A259,S275_97,{23,24,25},FALSE)),0)+IFERROR(ROUND(VLOOKUP($A259,S275_21,23,FALSE)*VLOOKUP($A259,'3121% SY'!$C$3:$M$324,11,FALSE),3),0)+IFERROR(ROUND(VLOOKUP($A259,S275_21,24,FALSE)*VLOOKUP($A259,'3121% SY'!$C$3:$M$324,11,FALSE),3),0)+IFERROR(ROUND(VLOOKUP($A259,S275_21,25,FALSE)*VLOOKUP($A259,'3121% SY'!$C$3:$M$324,11,FALSE),3),0)+IFERROR(VLOOKUP($A259,S275_09,9,FALSE),0)</f>
        <v>0</v>
      </c>
      <c r="W259" s="267">
        <f>IFERROR(VLOOKUP($A259,Supp_45,14,FALSE),0)+IFERROR(SUMPRODUCT(VLOOKUP($A259,S275_01,{26,27,28},FALSE)),0)+IFERROR(SUMPRODUCT(VLOOKUP($A259,S275_97,{26,27,28},FALSE)),0)+IFERROR(ROUND(VLOOKUP($A259,S275_21,26,FALSE)*VLOOKUP($A259,'3121% SY'!$C$3:$M$324,11,FALSE),3),0)+IFERROR(ROUND(VLOOKUP($A259,S275_21,27,FALSE)*VLOOKUP($A259,'3121% SY'!$C$3:$M$324,11,FALSE),3),0)+IFERROR(ROUND(VLOOKUP($A259,S275_21,28,FALSE)*VLOOKUP($A259,'3121% SY'!$C$3:$M$324,11,FALSE),3),0)+IFERROR(VLOOKUP($A259,S275_09,10,FALSE),0)</f>
        <v>0</v>
      </c>
      <c r="X259" s="267">
        <f>IFERROR(VLOOKUP($A259,Supp_46,14,FALSE),0)+IFERROR(SUMPRODUCT(VLOOKUP($A259,S275_01,{29,30,31},FALSE)),0)+IFERROR(SUMPRODUCT(VLOOKUP($A259,S275_97,{29,30,31},FALSE)),0)+IFERROR(ROUND(VLOOKUP($A259,S275_21,29,FALSE)*VLOOKUP($A259,'3121% SY'!$C$3:$M$324,11,FALSE),3),0)+IFERROR(ROUND(VLOOKUP($A259,S275_21,30,FALSE)*VLOOKUP($A259,'3121% SY'!$C$3:$M$324,11,FALSE),3),0)+IFERROR(ROUND(VLOOKUP($A259,S275_21,31,FALSE)*VLOOKUP($A259,'3121% SY'!$C$3:$M$324,11,FALSE),3),0)+IFERROR(VLOOKUP($A259,S275_09,11,FALSE),0)</f>
        <v>0.71599999999999997</v>
      </c>
      <c r="Y259" s="267">
        <f>IFERROR(VLOOKUP($A259,Supp_47,14,FALSE),0)+IFERROR(SUMPRODUCT(VLOOKUP($A259,S275_01,{32,33,34},FALSE)),0)+IFERROR(SUMPRODUCT(VLOOKUP($A259,S275_97,{32,33,34},FALSE)),0)+IFERROR(ROUND(VLOOKUP($A259,S275_21,32,FALSE)*VLOOKUP($A259,'3121% SY'!$C$3:$M$324,11,FALSE),3),0)+IFERROR(ROUND(VLOOKUP($A259,S275_21,33,FALSE)*VLOOKUP($A259,'3121% SY'!$C$3:$M$324,11,FALSE),3),0)+IFERROR(ROUND(VLOOKUP($A259,S275_21,34,FALSE)*VLOOKUP($A259,'3121% SY'!$C$3:$M$324,11,FALSE),3),0)+IFERROR(VLOOKUP($A259,S275_09,12,FALSE),0)</f>
        <v>0.72799999999999998</v>
      </c>
      <c r="Z259" s="267">
        <f>IFERROR(VLOOKUP($A259,Supp_48,14,FALSE),0)+IFERROR(SUMPRODUCT(VLOOKUP($A259,S275_01,{35,36,37},FALSE)),0)+IFERROR(SUMPRODUCT(VLOOKUP($A259,S275_97,{35,36,37},FALSE)),0)+IFERROR(ROUND(VLOOKUP($A259,S275_21,35,FALSE)*VLOOKUP($A259,'3121% SY'!$C$3:$M$324,11,FALSE),3),0)+IFERROR(ROUND(VLOOKUP($A259,S275_21,36,FALSE)*VLOOKUP($A259,'3121% SY'!$C$3:$M$324,11,FALSE),3),0)+IFERROR(ROUND(VLOOKUP($A259,S275_21,37,FALSE)*VLOOKUP($A259,'3121% SY'!$C$3:$M$324,11,FALSE),3),0)+IFERROR(VLOOKUP($A259,S275_09,13,FALSE),0)</f>
        <v>0</v>
      </c>
      <c r="AA259" s="267">
        <f>IFERROR(VLOOKUP($A259,Supp_49,14,FALSE),0)+IFERROR(SUMPRODUCT(VLOOKUP($A259,S275_01,{38,39,40},FALSE)),0)+IFERROR(SUMPRODUCT(VLOOKUP($A259,S275_97,{38,39,40},FALSE)),0)+IFERROR(ROUND(VLOOKUP($A259,S275_21,38,FALSE)*VLOOKUP($A259,'3121% SY'!$C$3:$M$324,11,FALSE),3),0)+IFERROR(ROUND(VLOOKUP($A259,S275_21,39,FALSE)*VLOOKUP($A259,'3121% SY'!$C$3:$M$324,11,FALSE),3),0)+IFERROR(ROUND(VLOOKUP($A259,S275_21,40,FALSE)*VLOOKUP($A259,'3121% SY'!$C$3:$M$324,11,FALSE),3),0)+IFERROR(VLOOKUP($A259,S275_09,14,FALSE),0)</f>
        <v>0</v>
      </c>
      <c r="AB259" s="267">
        <f>IFERROR(VLOOKUP($A259,Supp_64,14,FALSE),0)+IFERROR(SUMPRODUCT(VLOOKUP($A259,S275_01,{41,42,43},FALSE)),0)+IFERROR(SUMPRODUCT(VLOOKUP($A259,S275_97,{41,42,43},FALSE)),0)+IFERROR(ROUND(VLOOKUP($A259,S275_21,41,FALSE)*VLOOKUP($A259,'3121% SY'!$C$3:$M$324,11,FALSE),3),0)+IFERROR(ROUND(VLOOKUP($A259,S275_21,42,FALSE)*VLOOKUP($A259,'3121% SY'!$C$3:$M$324,11,FALSE),3),0)+IFERROR(ROUND(VLOOKUP($A259,S275_21,43,FALSE)*VLOOKUP($A259,'3121% SY'!$C$3:$M$324,11,FALSE),3),0)+IFERROR(VLOOKUP($A259,S275_09,15,FALSE),0)</f>
        <v>0</v>
      </c>
      <c r="AC259" s="268">
        <f t="shared" si="47"/>
        <v>5.694</v>
      </c>
      <c r="AD259" s="267">
        <f>IFERROR(VLOOKUP($A259,Supp_24,14,FALSE),0)+IFERROR(SUMPRODUCT(VLOOKUP($A259,S275_01,{2,3,4},FALSE)),0)+IFERROR(SUMPRODUCT(VLOOKUP($A259,S275_97,{2,3,4},FALSE)),0)+IFERROR(ROUND(VLOOKUP($A259,S275_21,2,FALSE)*VLOOKUP($A259,'3121% SY'!$C$3:$M$324,11,FALSE),3),0)+IFERROR(ROUND(VLOOKUP($A259,S275_21,3,FALSE)*VLOOKUP($A259,'3121% SY'!$C$3:$M$324,11,FALSE),3),0)+IFERROR(ROUND(VLOOKUP($A259,S275_21,4,FALSE)*VLOOKUP($A259,'3121% SY'!$C$3:$M$324,11,FALSE),3),0)+IFERROR(VLOOKUP($A259,S275_09,2,FALSE),0)</f>
        <v>0</v>
      </c>
      <c r="AE259" s="267">
        <f>IFERROR(VLOOKUP($A259,Supp_25,14,FALSE),0)+IFERROR(SUMPRODUCT(VLOOKUP($A259,S275_01,{5,6,7},FALSE)),0)+IFERROR(SUMPRODUCT(VLOOKUP($A259,S275_97,{5,6,7},FALSE)),0)+IFERROR(ROUND(VLOOKUP($A259,S275_21,5,FALSE)*VLOOKUP($A259,'3121% SY'!$C$3:$M$324,11,FALSE),3),0)+IFERROR(ROUND(VLOOKUP($A259,S275_21,6,FALSE)*VLOOKUP($A259,'3121% SY'!$C$3:$M$324,11,FALSE),3),0)+IFERROR(ROUND(VLOOKUP($A259,S275_21,7,FALSE)*VLOOKUP($A259,'3121% SY'!$C$3:$M$324,11,FALSE),3),0)+IFERROR(VLOOKUP($A259,S275_09,3,FALSE),0)</f>
        <v>7.2439999999999998</v>
      </c>
      <c r="AF259" s="267">
        <f>IFERROR(VLOOKUP($A259,Supp_26,14,FALSE),0)+IFERROR(SUMPRODUCT(VLOOKUP($A259,S275_01,{8,9,10},FALSE)),0)+IFERROR(SUMPRODUCT(VLOOKUP($A259,S275_97,{8,9,10},FALSE)),0)+IFERROR(ROUND(VLOOKUP($A259,S275_21,8,FALSE)*VLOOKUP($A259,'3121% SY'!$C$3:$M$324,11,FALSE),3),0)+IFERROR(ROUND(VLOOKUP($A259,S275_21,9,FALSE)*VLOOKUP($A259,'3121% SY'!$C$3:$M$324,11,FALSE),3),0)+IFERROR(ROUND(VLOOKUP($A259,S275_21,10,FALSE)*VLOOKUP($A259,'3121% SY'!$C$3:$M$324,11,FALSE),3),0)+IFERROR(VLOOKUP($A259,S275_09,4,FALSE),0)</f>
        <v>3.1930000000000001</v>
      </c>
      <c r="AG259" s="267">
        <f>IFERROR(VLOOKUP($A259,Supp_35,14,FALSE),0)+IFERROR(SUMPRODUCT(VLOOKUP($A259,S275_01,{11,12,13},FALSE)),0)+IFERROR(SUMPRODUCT(VLOOKUP($A259,S275_97,{11,12,13},FALSE)),0)+IFERROR(ROUND(VLOOKUP($A259,S275_21,11,FALSE)*VLOOKUP($A259,'3121% SY'!$C$3:$M$324,11,FALSE),3),0)+IFERROR(ROUND(VLOOKUP($A259,S275_21,12,FALSE)*VLOOKUP($A259,'3121% SY'!$C$3:$M$324,11,FALSE),3),0)+IFERROR(ROUND(VLOOKUP($A259,S275_21,13,FALSE)*VLOOKUP($A259,'3121% SY'!$C$3:$M$324,11,FALSE),3),0)+IFERROR(VLOOKUP($A259,S275_09,5,FALSE),0)</f>
        <v>0</v>
      </c>
      <c r="AH259" s="165">
        <f t="shared" si="48"/>
        <v>10.436999999999999</v>
      </c>
      <c r="AI259" s="161">
        <f>IFERROR(VLOOKUP(A259,'Supp Staff Data'!A:ER,148,FALSE),0)+AB259</f>
        <v>0</v>
      </c>
      <c r="AJ259" s="174">
        <v>0.6</v>
      </c>
      <c r="AK259" s="25">
        <f>VLOOKUP(A259,'Enroll Data as of January 2025'!$A$3:$T$323,20,FALSE)-F259</f>
        <v>0</v>
      </c>
    </row>
    <row r="260" spans="1:37" x14ac:dyDescent="0.25">
      <c r="A260" s="171" t="s">
        <v>117</v>
      </c>
      <c r="B260" t="s">
        <v>413</v>
      </c>
      <c r="C260" s="173" t="s">
        <v>1077</v>
      </c>
      <c r="D260" s="259">
        <f t="shared" si="40"/>
        <v>17.962999999999997</v>
      </c>
      <c r="E260" s="259">
        <f t="shared" si="41"/>
        <v>24.259</v>
      </c>
      <c r="F260" s="262">
        <f t="shared" si="49"/>
        <v>6.2960000000000003</v>
      </c>
      <c r="G260" s="161">
        <f>ROUND(IF(F260&lt;0,F260*'2024-25 PSES Compliance'!$G$13,0),3)</f>
        <v>0</v>
      </c>
      <c r="H260" s="161">
        <f>ROUND(IF(F260&lt;0,F260*'2024-25 PSES Compliance'!$G$14,0),3)</f>
        <v>0</v>
      </c>
      <c r="I260" s="174">
        <f t="shared" si="43"/>
        <v>0</v>
      </c>
      <c r="J260" s="174">
        <f t="shared" si="44"/>
        <v>0</v>
      </c>
      <c r="K260" s="161">
        <f>VLOOKUP($A260,'Enroll Data as of January 2025'!$A$3:$M$322,6,FALSE)</f>
        <v>10.414</v>
      </c>
      <c r="L260" s="161">
        <f>VLOOKUP($A260,'Enroll Data as of January 2025'!$A$3:$M$322,7,FALSE)</f>
        <v>1.5309999999999999</v>
      </c>
      <c r="M260" s="161">
        <f>VLOOKUP($A260,'Enroll Data as of January 2025'!$A$3:$M$322,8,FALSE)</f>
        <v>0.51600000000000001</v>
      </c>
      <c r="N260" s="161">
        <f>VLOOKUP($A260,'Enroll Data as of January 2025'!$A$3:$M$322,9,FALSE)</f>
        <v>4.5439999999999996</v>
      </c>
      <c r="O260" s="165">
        <f t="shared" si="45"/>
        <v>17.004999999999999</v>
      </c>
      <c r="P260" s="161">
        <f>VLOOKUP($A260,'Enroll Data as of January 2025'!$A$3:$M$322,11,FALSE)</f>
        <v>0.628</v>
      </c>
      <c r="Q260" s="161">
        <f>VLOOKUP($A260,'Enroll Data as of January 2025'!$A$3:$M$322,12,FALSE)</f>
        <v>0.33</v>
      </c>
      <c r="R260" s="165">
        <f t="shared" si="46"/>
        <v>0.95799999999999996</v>
      </c>
      <c r="S260" s="267">
        <f>IFERROR(VLOOKUP($A260,Supp_39,14,FALSE),0)+IFERROR(SUMPRODUCT(VLOOKUP($A260,S275_01,{14,15,16},FALSE)),0)+IFERROR(SUMPRODUCT(VLOOKUP($A260,S275_97,{14,15,16},FALSE)),0)+IFERROR(ROUND(VLOOKUP($A260,S275_21,14,FALSE)*VLOOKUP($A260,'3121% SY'!$C$3:$M$324,11,FALSE),3),0)+IFERROR(ROUND(VLOOKUP($A260,S275_21,15,FALSE)*VLOOKUP($A260,'3121% SY'!$C$3:$M$324,11,FALSE),3),0)+IFERROR(ROUND(VLOOKUP($A260,S275_21,16,FALSE)*VLOOKUP($A260,'3121% SY'!$C$3:$M$324,11,FALSE),3),0)+IFERROR(VLOOKUP($A260,S275_09,6,FALSE),0)</f>
        <v>9.4160000000000004</v>
      </c>
      <c r="T260" s="267">
        <f>IFERROR(VLOOKUP($A260,Supp_42,14,FALSE),0)+IFERROR(SUMPRODUCT(VLOOKUP($A260,S275_01,{17,18,19},FALSE)),0)+IFERROR(SUMPRODUCT(VLOOKUP($A260,S275_97,{17,18,19},FALSE)),0)+IFERROR(ROUND(VLOOKUP($A260,S275_21,17,FALSE)*VLOOKUP($A260,'3121% SY'!$C$3:$M$324,11,FALSE),3),0)+IFERROR(ROUND(VLOOKUP($A260,S275_21,18,FALSE)*VLOOKUP($A260,'3121% SY'!$C$3:$M$324,11,FALSE),3),0)+IFERROR(ROUND(VLOOKUP($A260,S275_21,19,FALSE)*VLOOKUP($A260,'3121% SY'!$C$3:$M$324,11,FALSE),3),0)+IFERROR(VLOOKUP($A260,S275_09,7,FALSE),0)</f>
        <v>1.6839999999999999</v>
      </c>
      <c r="U260" s="267">
        <f>IFERROR(VLOOKUP($A260,Supp_43,14,FALSE),0)+IFERROR(SUMPRODUCT(VLOOKUP($A260,S275_01,{20,21,22},FALSE)),0)+IFERROR(SUMPRODUCT(VLOOKUP($A260,S275_97,{20,21,22},FALSE)),0)+IFERROR(ROUND(VLOOKUP($A260,S275_21,20,FALSE)*VLOOKUP($A260,'3121% SY'!$C$3:$M$324,11,FALSE),3),0)+IFERROR(ROUND(VLOOKUP($A260,S275_21,21,FALSE)*VLOOKUP($A260,'3121% SY'!$C$3:$M$324,11,FALSE),3),0)+IFERROR(ROUND(VLOOKUP($A260,S275_21,22,FALSE)*VLOOKUP($A260,'3121% SY'!$C$3:$M$324,11,FALSE),3),0)+IFERROR(VLOOKUP($A260,S275_09,8,FALSE),0)</f>
        <v>1.0090000000000001</v>
      </c>
      <c r="V260" s="267">
        <f>IFERROR(VLOOKUP($A260,Supp_44,14,FALSE),0)+IFERROR(SUMPRODUCT(VLOOKUP($A260,S275_01,{23,24,25},FALSE)),0)+IFERROR(SUMPRODUCT(VLOOKUP($A260,S275_97,{23,24,25},FALSE)),0)+IFERROR(ROUND(VLOOKUP($A260,S275_21,23,FALSE)*VLOOKUP($A260,'3121% SY'!$C$3:$M$324,11,FALSE),3),0)+IFERROR(ROUND(VLOOKUP($A260,S275_21,24,FALSE)*VLOOKUP($A260,'3121% SY'!$C$3:$M$324,11,FALSE),3),0)+IFERROR(ROUND(VLOOKUP($A260,S275_21,25,FALSE)*VLOOKUP($A260,'3121% SY'!$C$3:$M$324,11,FALSE),3),0)+IFERROR(VLOOKUP($A260,S275_09,9,FALSE),0)</f>
        <v>0.154</v>
      </c>
      <c r="W260" s="267">
        <f>IFERROR(VLOOKUP($A260,Supp_45,14,FALSE),0)+IFERROR(SUMPRODUCT(VLOOKUP($A260,S275_01,{26,27,28},FALSE)),0)+IFERROR(SUMPRODUCT(VLOOKUP($A260,S275_97,{26,27,28},FALSE)),0)+IFERROR(ROUND(VLOOKUP($A260,S275_21,26,FALSE)*VLOOKUP($A260,'3121% SY'!$C$3:$M$324,11,FALSE),3),0)+IFERROR(ROUND(VLOOKUP($A260,S275_21,27,FALSE)*VLOOKUP($A260,'3121% SY'!$C$3:$M$324,11,FALSE),3),0)+IFERROR(ROUND(VLOOKUP($A260,S275_21,28,FALSE)*VLOOKUP($A260,'3121% SY'!$C$3:$M$324,11,FALSE),3),0)+IFERROR(VLOOKUP($A260,S275_09,10,FALSE),0)</f>
        <v>0.9870000000000001</v>
      </c>
      <c r="X260" s="267">
        <f>IFERROR(VLOOKUP($A260,Supp_46,14,FALSE),0)+IFERROR(SUMPRODUCT(VLOOKUP($A260,S275_01,{29,30,31},FALSE)),0)+IFERROR(SUMPRODUCT(VLOOKUP($A260,S275_97,{29,30,31},FALSE)),0)+IFERROR(ROUND(VLOOKUP($A260,S275_21,29,FALSE)*VLOOKUP($A260,'3121% SY'!$C$3:$M$324,11,FALSE),3),0)+IFERROR(ROUND(VLOOKUP($A260,S275_21,30,FALSE)*VLOOKUP($A260,'3121% SY'!$C$3:$M$324,11,FALSE),3),0)+IFERROR(ROUND(VLOOKUP($A260,S275_21,31,FALSE)*VLOOKUP($A260,'3121% SY'!$C$3:$M$324,11,FALSE),3),0)+IFERROR(VLOOKUP($A260,S275_09,11,FALSE),0)</f>
        <v>2.0619999999999998</v>
      </c>
      <c r="Y260" s="267">
        <f>IFERROR(VLOOKUP($A260,Supp_47,14,FALSE),0)+IFERROR(SUMPRODUCT(VLOOKUP($A260,S275_01,{32,33,34},FALSE)),0)+IFERROR(SUMPRODUCT(VLOOKUP($A260,S275_97,{32,33,34},FALSE)),0)+IFERROR(ROUND(VLOOKUP($A260,S275_21,32,FALSE)*VLOOKUP($A260,'3121% SY'!$C$3:$M$324,11,FALSE),3),0)+IFERROR(ROUND(VLOOKUP($A260,S275_21,33,FALSE)*VLOOKUP($A260,'3121% SY'!$C$3:$M$324,11,FALSE),3),0)+IFERROR(ROUND(VLOOKUP($A260,S275_21,34,FALSE)*VLOOKUP($A260,'3121% SY'!$C$3:$M$324,11,FALSE),3),0)+IFERROR(VLOOKUP($A260,S275_09,12,FALSE),0)</f>
        <v>0</v>
      </c>
      <c r="Z260" s="267">
        <f>IFERROR(VLOOKUP($A260,Supp_48,14,FALSE),0)+IFERROR(SUMPRODUCT(VLOOKUP($A260,S275_01,{35,36,37},FALSE)),0)+IFERROR(SUMPRODUCT(VLOOKUP($A260,S275_97,{35,36,37},FALSE)),0)+IFERROR(ROUND(VLOOKUP($A260,S275_21,35,FALSE)*VLOOKUP($A260,'3121% SY'!$C$3:$M$324,11,FALSE),3),0)+IFERROR(ROUND(VLOOKUP($A260,S275_21,36,FALSE)*VLOOKUP($A260,'3121% SY'!$C$3:$M$324,11,FALSE),3),0)+IFERROR(ROUND(VLOOKUP($A260,S275_21,37,FALSE)*VLOOKUP($A260,'3121% SY'!$C$3:$M$324,11,FALSE),3),0)+IFERROR(VLOOKUP($A260,S275_09,13,FALSE),0)</f>
        <v>0.126</v>
      </c>
      <c r="AA260" s="267">
        <f>IFERROR(VLOOKUP($A260,Supp_49,14,FALSE),0)+IFERROR(SUMPRODUCT(VLOOKUP($A260,S275_01,{38,39,40},FALSE)),0)+IFERROR(SUMPRODUCT(VLOOKUP($A260,S275_97,{38,39,40},FALSE)),0)+IFERROR(ROUND(VLOOKUP($A260,S275_21,38,FALSE)*VLOOKUP($A260,'3121% SY'!$C$3:$M$324,11,FALSE),3),0)+IFERROR(ROUND(VLOOKUP($A260,S275_21,39,FALSE)*VLOOKUP($A260,'3121% SY'!$C$3:$M$324,11,FALSE),3),0)+IFERROR(ROUND(VLOOKUP($A260,S275_21,40,FALSE)*VLOOKUP($A260,'3121% SY'!$C$3:$M$324,11,FALSE),3),0)+IFERROR(VLOOKUP($A260,S275_09,14,FALSE),0)</f>
        <v>0</v>
      </c>
      <c r="AB260" s="267">
        <f>IFERROR(VLOOKUP($A260,Supp_64,14,FALSE),0)+IFERROR(SUMPRODUCT(VLOOKUP($A260,S275_01,{41,42,43},FALSE)),0)+IFERROR(SUMPRODUCT(VLOOKUP($A260,S275_97,{41,42,43},FALSE)),0)+IFERROR(ROUND(VLOOKUP($A260,S275_21,41,FALSE)*VLOOKUP($A260,'3121% SY'!$C$3:$M$324,11,FALSE),3),0)+IFERROR(ROUND(VLOOKUP($A260,S275_21,42,FALSE)*VLOOKUP($A260,'3121% SY'!$C$3:$M$324,11,FALSE),3),0)+IFERROR(ROUND(VLOOKUP($A260,S275_21,43,FALSE)*VLOOKUP($A260,'3121% SY'!$C$3:$M$324,11,FALSE),3),0)+IFERROR(VLOOKUP($A260,S275_09,15,FALSE),0)</f>
        <v>0</v>
      </c>
      <c r="AC260" s="268">
        <f t="shared" si="47"/>
        <v>15.437999999999999</v>
      </c>
      <c r="AD260" s="267">
        <f>IFERROR(VLOOKUP($A260,Supp_24,14,FALSE),0)+IFERROR(SUMPRODUCT(VLOOKUP($A260,S275_01,{2,3,4},FALSE)),0)+IFERROR(SUMPRODUCT(VLOOKUP($A260,S275_97,{2,3,4},FALSE)),0)+IFERROR(ROUND(VLOOKUP($A260,S275_21,2,FALSE)*VLOOKUP($A260,'3121% SY'!$C$3:$M$324,11,FALSE),3),0)+IFERROR(ROUND(VLOOKUP($A260,S275_21,3,FALSE)*VLOOKUP($A260,'3121% SY'!$C$3:$M$324,11,FALSE),3),0)+IFERROR(ROUND(VLOOKUP($A260,S275_21,4,FALSE)*VLOOKUP($A260,'3121% SY'!$C$3:$M$324,11,FALSE),3),0)+IFERROR(VLOOKUP($A260,S275_09,2,FALSE),0)</f>
        <v>0</v>
      </c>
      <c r="AE260" s="267">
        <f>IFERROR(VLOOKUP($A260,Supp_25,14,FALSE),0)+IFERROR(SUMPRODUCT(VLOOKUP($A260,S275_01,{5,6,7},FALSE)),0)+IFERROR(SUMPRODUCT(VLOOKUP($A260,S275_97,{5,6,7},FALSE)),0)+IFERROR(ROUND(VLOOKUP($A260,S275_21,5,FALSE)*VLOOKUP($A260,'3121% SY'!$C$3:$M$324,11,FALSE),3),0)+IFERROR(ROUND(VLOOKUP($A260,S275_21,6,FALSE)*VLOOKUP($A260,'3121% SY'!$C$3:$M$324,11,FALSE),3),0)+IFERROR(ROUND(VLOOKUP($A260,S275_21,7,FALSE)*VLOOKUP($A260,'3121% SY'!$C$3:$M$324,11,FALSE),3),0)+IFERROR(VLOOKUP($A260,S275_09,3,FALSE),0)</f>
        <v>5.0529999999999999</v>
      </c>
      <c r="AF260" s="267">
        <f>IFERROR(VLOOKUP($A260,Supp_26,14,FALSE),0)+IFERROR(SUMPRODUCT(VLOOKUP($A260,S275_01,{8,9,10},FALSE)),0)+IFERROR(SUMPRODUCT(VLOOKUP($A260,S275_97,{8,9,10},FALSE)),0)+IFERROR(ROUND(VLOOKUP($A260,S275_21,8,FALSE)*VLOOKUP($A260,'3121% SY'!$C$3:$M$324,11,FALSE),3),0)+IFERROR(ROUND(VLOOKUP($A260,S275_21,9,FALSE)*VLOOKUP($A260,'3121% SY'!$C$3:$M$324,11,FALSE),3),0)+IFERROR(ROUND(VLOOKUP($A260,S275_21,10,FALSE)*VLOOKUP($A260,'3121% SY'!$C$3:$M$324,11,FALSE),3),0)+IFERROR(VLOOKUP($A260,S275_09,4,FALSE),0)</f>
        <v>3.7679999999999998</v>
      </c>
      <c r="AG260" s="267">
        <f>IFERROR(VLOOKUP($A260,Supp_35,14,FALSE),0)+IFERROR(SUMPRODUCT(VLOOKUP($A260,S275_01,{11,12,13},FALSE)),0)+IFERROR(SUMPRODUCT(VLOOKUP($A260,S275_97,{11,12,13},FALSE)),0)+IFERROR(ROUND(VLOOKUP($A260,S275_21,11,FALSE)*VLOOKUP($A260,'3121% SY'!$C$3:$M$324,11,FALSE),3),0)+IFERROR(ROUND(VLOOKUP($A260,S275_21,12,FALSE)*VLOOKUP($A260,'3121% SY'!$C$3:$M$324,11,FALSE),3),0)+IFERROR(ROUND(VLOOKUP($A260,S275_21,13,FALSE)*VLOOKUP($A260,'3121% SY'!$C$3:$M$324,11,FALSE),3),0)+IFERROR(VLOOKUP($A260,S275_09,5,FALSE),0)</f>
        <v>0</v>
      </c>
      <c r="AH260" s="165">
        <f t="shared" si="48"/>
        <v>8.8209999999999997</v>
      </c>
      <c r="AI260" s="161">
        <f>IFERROR(VLOOKUP(A260,'Supp Staff Data'!A:ER,148,FALSE),0)+AB260</f>
        <v>0</v>
      </c>
      <c r="AJ260" s="174">
        <v>0</v>
      </c>
      <c r="AK260" s="25">
        <f>VLOOKUP(A260,'Enroll Data as of January 2025'!$A$3:$T$323,20,FALSE)-F260</f>
        <v>0</v>
      </c>
    </row>
    <row r="261" spans="1:37" x14ac:dyDescent="0.25">
      <c r="A261" s="171" t="s">
        <v>99</v>
      </c>
      <c r="B261" t="s">
        <v>395</v>
      </c>
      <c r="C261" s="173" t="s">
        <v>1077</v>
      </c>
      <c r="D261" s="259">
        <f t="shared" ref="D261:D325" si="50">O261+R261</f>
        <v>21.524000000000001</v>
      </c>
      <c r="E261" s="259">
        <f t="shared" ref="E261:E325" si="51">AC261+AH261</f>
        <v>25.415999999999997</v>
      </c>
      <c r="F261" s="262">
        <f t="shared" ref="F261:F292" si="52">ROUND((AC261+AH261)-(O261+R261),3)</f>
        <v>3.8919999999999999</v>
      </c>
      <c r="G261" s="161">
        <f>ROUND(IF(F261&lt;0,F261*'2024-25 PSES Compliance'!$G$13,0),3)</f>
        <v>0</v>
      </c>
      <c r="H261" s="161">
        <f>ROUND(IF(F261&lt;0,F261*'2024-25 PSES Compliance'!$G$14,0),3)</f>
        <v>0</v>
      </c>
      <c r="I261" s="174">
        <f t="shared" ref="I261:I325" si="53">IFERROR(((AJ261*AC261)/(AC261+AH261)),0)</f>
        <v>0.44845766446333024</v>
      </c>
      <c r="J261" s="174">
        <f t="shared" ref="J261:J325" si="54">IFERROR(AI261/(AH261+AC261),0)</f>
        <v>0</v>
      </c>
      <c r="K261" s="161">
        <f>VLOOKUP($A261,'Enroll Data as of January 2025'!$A$3:$M$322,6,FALSE)</f>
        <v>12.507999999999999</v>
      </c>
      <c r="L261" s="161">
        <f>VLOOKUP($A261,'Enroll Data as of January 2025'!$A$3:$M$322,7,FALSE)</f>
        <v>1.7929999999999999</v>
      </c>
      <c r="M261" s="161">
        <f>VLOOKUP($A261,'Enroll Data as of January 2025'!$A$3:$M$322,8,FALSE)</f>
        <v>0.60299999999999998</v>
      </c>
      <c r="N261" s="161">
        <f>VLOOKUP($A261,'Enroll Data as of January 2025'!$A$3:$M$322,9,FALSE)</f>
        <v>5.4880000000000004</v>
      </c>
      <c r="O261" s="165">
        <f t="shared" ref="O261:O324" si="55">SUM(K261:N261)</f>
        <v>20.391999999999999</v>
      </c>
      <c r="P261" s="161">
        <f>VLOOKUP($A261,'Enroll Data as of January 2025'!$A$3:$M$322,11,FALSE)</f>
        <v>0.751</v>
      </c>
      <c r="Q261" s="161">
        <f>VLOOKUP($A261,'Enroll Data as of January 2025'!$A$3:$M$322,12,FALSE)</f>
        <v>0.38100000000000001</v>
      </c>
      <c r="R261" s="165">
        <f t="shared" ref="R261:R324" si="56">SUM(P261:Q261)</f>
        <v>1.1320000000000001</v>
      </c>
      <c r="S261" s="267">
        <f>IFERROR(VLOOKUP($A261,Supp_39,14,FALSE),0)+IFERROR(SUMPRODUCT(VLOOKUP($A261,S275_01,{14,15,16},FALSE)),0)+IFERROR(SUMPRODUCT(VLOOKUP($A261,S275_97,{14,15,16},FALSE)),0)+IFERROR(ROUND(VLOOKUP($A261,S275_21,14,FALSE)*VLOOKUP($A261,'3121% SY'!$C$3:$M$324,11,FALSE),3),0)+IFERROR(ROUND(VLOOKUP($A261,S275_21,15,FALSE)*VLOOKUP($A261,'3121% SY'!$C$3:$M$324,11,FALSE),3),0)+IFERROR(ROUND(VLOOKUP($A261,S275_21,16,FALSE)*VLOOKUP($A261,'3121% SY'!$C$3:$M$324,11,FALSE),3),0)+IFERROR(VLOOKUP($A261,S275_09,6,FALSE),0)</f>
        <v>4</v>
      </c>
      <c r="T261" s="267">
        <f>IFERROR(VLOOKUP($A261,Supp_42,14,FALSE),0)+IFERROR(SUMPRODUCT(VLOOKUP($A261,S275_01,{17,18,19},FALSE)),0)+IFERROR(SUMPRODUCT(VLOOKUP($A261,S275_97,{17,18,19},FALSE)),0)+IFERROR(ROUND(VLOOKUP($A261,S275_21,17,FALSE)*VLOOKUP($A261,'3121% SY'!$C$3:$M$324,11,FALSE),3),0)+IFERROR(ROUND(VLOOKUP($A261,S275_21,18,FALSE)*VLOOKUP($A261,'3121% SY'!$C$3:$M$324,11,FALSE),3),0)+IFERROR(ROUND(VLOOKUP($A261,S275_21,19,FALSE)*VLOOKUP($A261,'3121% SY'!$C$3:$M$324,11,FALSE),3),0)+IFERROR(VLOOKUP($A261,S275_09,7,FALSE),0)</f>
        <v>3.0579999999999998</v>
      </c>
      <c r="U261" s="267">
        <f>IFERROR(VLOOKUP($A261,Supp_43,14,FALSE),0)+IFERROR(SUMPRODUCT(VLOOKUP($A261,S275_01,{20,21,22},FALSE)),0)+IFERROR(SUMPRODUCT(VLOOKUP($A261,S275_97,{20,21,22},FALSE)),0)+IFERROR(ROUND(VLOOKUP($A261,S275_21,20,FALSE)*VLOOKUP($A261,'3121% SY'!$C$3:$M$324,11,FALSE),3),0)+IFERROR(ROUND(VLOOKUP($A261,S275_21,21,FALSE)*VLOOKUP($A261,'3121% SY'!$C$3:$M$324,11,FALSE),3),0)+IFERROR(ROUND(VLOOKUP($A261,S275_21,22,FALSE)*VLOOKUP($A261,'3121% SY'!$C$3:$M$324,11,FALSE),3),0)+IFERROR(VLOOKUP($A261,S275_09,8,FALSE),0)</f>
        <v>0.19500000000000001</v>
      </c>
      <c r="V261" s="267">
        <f>IFERROR(VLOOKUP($A261,Supp_44,14,FALSE),0)+IFERROR(SUMPRODUCT(VLOOKUP($A261,S275_01,{23,24,25},FALSE)),0)+IFERROR(SUMPRODUCT(VLOOKUP($A261,S275_97,{23,24,25},FALSE)),0)+IFERROR(ROUND(VLOOKUP($A261,S275_21,23,FALSE)*VLOOKUP($A261,'3121% SY'!$C$3:$M$324,11,FALSE),3),0)+IFERROR(ROUND(VLOOKUP($A261,S275_21,24,FALSE)*VLOOKUP($A261,'3121% SY'!$C$3:$M$324,11,FALSE),3),0)+IFERROR(ROUND(VLOOKUP($A261,S275_21,25,FALSE)*VLOOKUP($A261,'3121% SY'!$C$3:$M$324,11,FALSE),3),0)+IFERROR(VLOOKUP($A261,S275_09,9,FALSE),0)</f>
        <v>0</v>
      </c>
      <c r="W261" s="267">
        <f>IFERROR(VLOOKUP($A261,Supp_45,14,FALSE),0)+IFERROR(SUMPRODUCT(VLOOKUP($A261,S275_01,{26,27,28},FALSE)),0)+IFERROR(SUMPRODUCT(VLOOKUP($A261,S275_97,{26,27,28},FALSE)),0)+IFERROR(ROUND(VLOOKUP($A261,S275_21,26,FALSE)*VLOOKUP($A261,'3121% SY'!$C$3:$M$324,11,FALSE),3),0)+IFERROR(ROUND(VLOOKUP($A261,S275_21,27,FALSE)*VLOOKUP($A261,'3121% SY'!$C$3:$M$324,11,FALSE),3),0)+IFERROR(ROUND(VLOOKUP($A261,S275_21,28,FALSE)*VLOOKUP($A261,'3121% SY'!$C$3:$M$324,11,FALSE),3),0)+IFERROR(VLOOKUP($A261,S275_09,10,FALSE),0)</f>
        <v>0.58499999999999996</v>
      </c>
      <c r="X261" s="267">
        <f>IFERROR(VLOOKUP($A261,Supp_46,14,FALSE),0)+IFERROR(SUMPRODUCT(VLOOKUP($A261,S275_01,{29,30,31},FALSE)),0)+IFERROR(SUMPRODUCT(VLOOKUP($A261,S275_97,{29,30,31},FALSE)),0)+IFERROR(ROUND(VLOOKUP($A261,S275_21,29,FALSE)*VLOOKUP($A261,'3121% SY'!$C$3:$M$324,11,FALSE),3),0)+IFERROR(ROUND(VLOOKUP($A261,S275_21,30,FALSE)*VLOOKUP($A261,'3121% SY'!$C$3:$M$324,11,FALSE),3),0)+IFERROR(ROUND(VLOOKUP($A261,S275_21,31,FALSE)*VLOOKUP($A261,'3121% SY'!$C$3:$M$324,11,FALSE),3),0)+IFERROR(VLOOKUP($A261,S275_09,11,FALSE),0)</f>
        <v>2.2409999999999997</v>
      </c>
      <c r="Y261" s="267">
        <f>IFERROR(VLOOKUP($A261,Supp_47,14,FALSE),0)+IFERROR(SUMPRODUCT(VLOOKUP($A261,S275_01,{32,33,34},FALSE)),0)+IFERROR(SUMPRODUCT(VLOOKUP($A261,S275_97,{32,33,34},FALSE)),0)+IFERROR(ROUND(VLOOKUP($A261,S275_21,32,FALSE)*VLOOKUP($A261,'3121% SY'!$C$3:$M$324,11,FALSE),3),0)+IFERROR(ROUND(VLOOKUP($A261,S275_21,33,FALSE)*VLOOKUP($A261,'3121% SY'!$C$3:$M$324,11,FALSE),3),0)+IFERROR(ROUND(VLOOKUP($A261,S275_21,34,FALSE)*VLOOKUP($A261,'3121% SY'!$C$3:$M$324,11,FALSE),3),0)+IFERROR(VLOOKUP($A261,S275_09,12,FALSE),0)</f>
        <v>0.5</v>
      </c>
      <c r="Z261" s="267">
        <f>IFERROR(VLOOKUP($A261,Supp_48,14,FALSE),0)+IFERROR(SUMPRODUCT(VLOOKUP($A261,S275_01,{35,36,37},FALSE)),0)+IFERROR(SUMPRODUCT(VLOOKUP($A261,S275_97,{35,36,37},FALSE)),0)+IFERROR(ROUND(VLOOKUP($A261,S275_21,35,FALSE)*VLOOKUP($A261,'3121% SY'!$C$3:$M$324,11,FALSE),3),0)+IFERROR(ROUND(VLOOKUP($A261,S275_21,36,FALSE)*VLOOKUP($A261,'3121% SY'!$C$3:$M$324,11,FALSE),3),0)+IFERROR(ROUND(VLOOKUP($A261,S275_21,37,FALSE)*VLOOKUP($A261,'3121% SY'!$C$3:$M$324,11,FALSE),3),0)+IFERROR(VLOOKUP($A261,S275_09,13,FALSE),0)</f>
        <v>0.27300000000000002</v>
      </c>
      <c r="AA261" s="267">
        <f>IFERROR(VLOOKUP($A261,Supp_49,14,FALSE),0)+IFERROR(SUMPRODUCT(VLOOKUP($A261,S275_01,{38,39,40},FALSE)),0)+IFERROR(SUMPRODUCT(VLOOKUP($A261,S275_97,{38,39,40},FALSE)),0)+IFERROR(ROUND(VLOOKUP($A261,S275_21,38,FALSE)*VLOOKUP($A261,'3121% SY'!$C$3:$M$324,11,FALSE),3),0)+IFERROR(ROUND(VLOOKUP($A261,S275_21,39,FALSE)*VLOOKUP($A261,'3121% SY'!$C$3:$M$324,11,FALSE),3),0)+IFERROR(ROUND(VLOOKUP($A261,S275_21,40,FALSE)*VLOOKUP($A261,'3121% SY'!$C$3:$M$324,11,FALSE),3),0)+IFERROR(VLOOKUP($A261,S275_09,14,FALSE),0)</f>
        <v>0.54600000000000004</v>
      </c>
      <c r="AB261" s="267">
        <f>IFERROR(VLOOKUP($A261,Supp_64,14,FALSE),0)+IFERROR(SUMPRODUCT(VLOOKUP($A261,S275_01,{41,42,43},FALSE)),0)+IFERROR(SUMPRODUCT(VLOOKUP($A261,S275_97,{41,42,43},FALSE)),0)+IFERROR(ROUND(VLOOKUP($A261,S275_21,41,FALSE)*VLOOKUP($A261,'3121% SY'!$C$3:$M$324,11,FALSE),3),0)+IFERROR(ROUND(VLOOKUP($A261,S275_21,42,FALSE)*VLOOKUP($A261,'3121% SY'!$C$3:$M$324,11,FALSE),3),0)+IFERROR(ROUND(VLOOKUP($A261,S275_21,43,FALSE)*VLOOKUP($A261,'3121% SY'!$C$3:$M$324,11,FALSE),3),0)+IFERROR(VLOOKUP($A261,S275_09,15,FALSE),0)</f>
        <v>0</v>
      </c>
      <c r="AC261" s="268">
        <f t="shared" ref="AC261:AC324" si="57">SUM(S261:AB261)</f>
        <v>11.398</v>
      </c>
      <c r="AD261" s="267">
        <f>IFERROR(VLOOKUP($A261,Supp_24,14,FALSE),0)+IFERROR(SUMPRODUCT(VLOOKUP($A261,S275_01,{2,3,4},FALSE)),0)+IFERROR(SUMPRODUCT(VLOOKUP($A261,S275_97,{2,3,4},FALSE)),0)+IFERROR(ROUND(VLOOKUP($A261,S275_21,2,FALSE)*VLOOKUP($A261,'3121% SY'!$C$3:$M$324,11,FALSE),3),0)+IFERROR(ROUND(VLOOKUP($A261,S275_21,3,FALSE)*VLOOKUP($A261,'3121% SY'!$C$3:$M$324,11,FALSE),3),0)+IFERROR(ROUND(VLOOKUP($A261,S275_21,4,FALSE)*VLOOKUP($A261,'3121% SY'!$C$3:$M$324,11,FALSE),3),0)+IFERROR(VLOOKUP($A261,S275_09,2,FALSE),0)</f>
        <v>0</v>
      </c>
      <c r="AE261" s="267">
        <f>IFERROR(VLOOKUP($A261,Supp_25,14,FALSE),0)+IFERROR(SUMPRODUCT(VLOOKUP($A261,S275_01,{5,6,7},FALSE)),0)+IFERROR(SUMPRODUCT(VLOOKUP($A261,S275_97,{5,6,7},FALSE)),0)+IFERROR(ROUND(VLOOKUP($A261,S275_21,5,FALSE)*VLOOKUP($A261,'3121% SY'!$C$3:$M$324,11,FALSE),3),0)+IFERROR(ROUND(VLOOKUP($A261,S275_21,6,FALSE)*VLOOKUP($A261,'3121% SY'!$C$3:$M$324,11,FALSE),3),0)+IFERROR(ROUND(VLOOKUP($A261,S275_21,7,FALSE)*VLOOKUP($A261,'3121% SY'!$C$3:$M$324,11,FALSE),3),0)+IFERROR(VLOOKUP($A261,S275_09,3,FALSE),0)</f>
        <v>8.6789999999999985</v>
      </c>
      <c r="AF261" s="267">
        <f>IFERROR(VLOOKUP($A261,Supp_26,14,FALSE),0)+IFERROR(SUMPRODUCT(VLOOKUP($A261,S275_01,{8,9,10},FALSE)),0)+IFERROR(SUMPRODUCT(VLOOKUP($A261,S275_97,{8,9,10},FALSE)),0)+IFERROR(ROUND(VLOOKUP($A261,S275_21,8,FALSE)*VLOOKUP($A261,'3121% SY'!$C$3:$M$324,11,FALSE),3),0)+IFERROR(ROUND(VLOOKUP($A261,S275_21,9,FALSE)*VLOOKUP($A261,'3121% SY'!$C$3:$M$324,11,FALSE),3),0)+IFERROR(ROUND(VLOOKUP($A261,S275_21,10,FALSE)*VLOOKUP($A261,'3121% SY'!$C$3:$M$324,11,FALSE),3),0)+IFERROR(VLOOKUP($A261,S275_09,4,FALSE),0)</f>
        <v>3.2530000000000001</v>
      </c>
      <c r="AG261" s="267">
        <f>IFERROR(VLOOKUP($A261,Supp_35,14,FALSE),0)+IFERROR(SUMPRODUCT(VLOOKUP($A261,S275_01,{11,12,13},FALSE)),0)+IFERROR(SUMPRODUCT(VLOOKUP($A261,S275_97,{11,12,13},FALSE)),0)+IFERROR(ROUND(VLOOKUP($A261,S275_21,11,FALSE)*VLOOKUP($A261,'3121% SY'!$C$3:$M$324,11,FALSE),3),0)+IFERROR(ROUND(VLOOKUP($A261,S275_21,12,FALSE)*VLOOKUP($A261,'3121% SY'!$C$3:$M$324,11,FALSE),3),0)+IFERROR(ROUND(VLOOKUP($A261,S275_21,13,FALSE)*VLOOKUP($A261,'3121% SY'!$C$3:$M$324,11,FALSE),3),0)+IFERROR(VLOOKUP($A261,S275_09,5,FALSE),0)</f>
        <v>2.0859999999999999</v>
      </c>
      <c r="AH261" s="165">
        <f t="shared" ref="AH261:AH324" si="58">SUM(AD261:AG261)</f>
        <v>14.017999999999999</v>
      </c>
      <c r="AI261" s="161">
        <f>IFERROR(VLOOKUP(A261,'Supp Staff Data'!A:ER,148,FALSE),0)+AB261</f>
        <v>0</v>
      </c>
      <c r="AJ261" s="174">
        <v>1</v>
      </c>
      <c r="AK261" s="25">
        <f>VLOOKUP(A261,'Enroll Data as of January 2025'!$A$3:$T$323,20,FALSE)-F261</f>
        <v>0</v>
      </c>
    </row>
    <row r="262" spans="1:37" x14ac:dyDescent="0.25">
      <c r="A262" s="171" t="s">
        <v>196</v>
      </c>
      <c r="B262" t="s">
        <v>491</v>
      </c>
      <c r="C262" s="173" t="s">
        <v>1077</v>
      </c>
      <c r="D262" s="259">
        <f t="shared" si="50"/>
        <v>22.587</v>
      </c>
      <c r="E262" s="259">
        <f t="shared" si="51"/>
        <v>29.399000000000001</v>
      </c>
      <c r="F262" s="262">
        <f t="shared" si="52"/>
        <v>6.8120000000000003</v>
      </c>
      <c r="G262" s="161">
        <f>ROUND(IF(F262&lt;0,F262*'2024-25 PSES Compliance'!$G$13,0),3)</f>
        <v>0</v>
      </c>
      <c r="H262" s="161">
        <f>ROUND(IF(F262&lt;0,F262*'2024-25 PSES Compliance'!$G$14,0),3)</f>
        <v>0</v>
      </c>
      <c r="I262" s="174">
        <f t="shared" si="53"/>
        <v>0.46391867070308512</v>
      </c>
      <c r="J262" s="174">
        <f t="shared" si="54"/>
        <v>0</v>
      </c>
      <c r="K262" s="161">
        <f>VLOOKUP($A262,'Enroll Data as of January 2025'!$A$3:$M$322,6,FALSE)</f>
        <v>12.641999999999999</v>
      </c>
      <c r="L262" s="161">
        <f>VLOOKUP($A262,'Enroll Data as of January 2025'!$A$3:$M$322,7,FALSE)</f>
        <v>2.1109999999999998</v>
      </c>
      <c r="M262" s="161">
        <f>VLOOKUP($A262,'Enroll Data as of January 2025'!$A$3:$M$322,8,FALSE)</f>
        <v>0.70799999999999996</v>
      </c>
      <c r="N262" s="161">
        <f>VLOOKUP($A262,'Enroll Data as of January 2025'!$A$3:$M$322,9,FALSE)</f>
        <v>5.8540000000000001</v>
      </c>
      <c r="O262" s="165">
        <f t="shared" si="55"/>
        <v>21.315000000000001</v>
      </c>
      <c r="P262" s="161">
        <f>VLOOKUP($A262,'Enroll Data as of January 2025'!$A$3:$M$322,11,FALSE)</f>
        <v>0.79500000000000004</v>
      </c>
      <c r="Q262" s="161">
        <f>VLOOKUP($A262,'Enroll Data as of January 2025'!$A$3:$M$322,12,FALSE)</f>
        <v>0.47699999999999998</v>
      </c>
      <c r="R262" s="165">
        <f t="shared" si="56"/>
        <v>1.272</v>
      </c>
      <c r="S262" s="267">
        <f>IFERROR(VLOOKUP($A262,Supp_39,14,FALSE),0)+IFERROR(SUMPRODUCT(VLOOKUP($A262,S275_01,{14,15,16},FALSE)),0)+IFERROR(SUMPRODUCT(VLOOKUP($A262,S275_97,{14,15,16},FALSE)),0)+IFERROR(ROUND(VLOOKUP($A262,S275_21,14,FALSE)*VLOOKUP($A262,'3121% SY'!$C$3:$M$324,11,FALSE),3),0)+IFERROR(ROUND(VLOOKUP($A262,S275_21,15,FALSE)*VLOOKUP($A262,'3121% SY'!$C$3:$M$324,11,FALSE),3),0)+IFERROR(ROUND(VLOOKUP($A262,S275_21,16,FALSE)*VLOOKUP($A262,'3121% SY'!$C$3:$M$324,11,FALSE),3),0)+IFERROR(VLOOKUP($A262,S275_09,6,FALSE),0)</f>
        <v>8.1</v>
      </c>
      <c r="T262" s="267">
        <f>IFERROR(VLOOKUP($A262,Supp_42,14,FALSE),0)+IFERROR(SUMPRODUCT(VLOOKUP($A262,S275_01,{17,18,19},FALSE)),0)+IFERROR(SUMPRODUCT(VLOOKUP($A262,S275_97,{17,18,19},FALSE)),0)+IFERROR(ROUND(VLOOKUP($A262,S275_21,17,FALSE)*VLOOKUP($A262,'3121% SY'!$C$3:$M$324,11,FALSE),3),0)+IFERROR(ROUND(VLOOKUP($A262,S275_21,18,FALSE)*VLOOKUP($A262,'3121% SY'!$C$3:$M$324,11,FALSE),3),0)+IFERROR(ROUND(VLOOKUP($A262,S275_21,19,FALSE)*VLOOKUP($A262,'3121% SY'!$C$3:$M$324,11,FALSE),3),0)+IFERROR(VLOOKUP($A262,S275_09,7,FALSE),0)</f>
        <v>2</v>
      </c>
      <c r="U262" s="267">
        <f>IFERROR(VLOOKUP($A262,Supp_43,14,FALSE),0)+IFERROR(SUMPRODUCT(VLOOKUP($A262,S275_01,{20,21,22},FALSE)),0)+IFERROR(SUMPRODUCT(VLOOKUP($A262,S275_97,{20,21,22},FALSE)),0)+IFERROR(ROUND(VLOOKUP($A262,S275_21,20,FALSE)*VLOOKUP($A262,'3121% SY'!$C$3:$M$324,11,FALSE),3),0)+IFERROR(ROUND(VLOOKUP($A262,S275_21,21,FALSE)*VLOOKUP($A262,'3121% SY'!$C$3:$M$324,11,FALSE),3),0)+IFERROR(ROUND(VLOOKUP($A262,S275_21,22,FALSE)*VLOOKUP($A262,'3121% SY'!$C$3:$M$324,11,FALSE),3),0)+IFERROR(VLOOKUP($A262,S275_09,8,FALSE),0)</f>
        <v>1.248</v>
      </c>
      <c r="V262" s="267">
        <f>IFERROR(VLOOKUP($A262,Supp_44,14,FALSE),0)+IFERROR(SUMPRODUCT(VLOOKUP($A262,S275_01,{23,24,25},FALSE)),0)+IFERROR(SUMPRODUCT(VLOOKUP($A262,S275_97,{23,24,25},FALSE)),0)+IFERROR(ROUND(VLOOKUP($A262,S275_21,23,FALSE)*VLOOKUP($A262,'3121% SY'!$C$3:$M$324,11,FALSE),3),0)+IFERROR(ROUND(VLOOKUP($A262,S275_21,24,FALSE)*VLOOKUP($A262,'3121% SY'!$C$3:$M$324,11,FALSE),3),0)+IFERROR(ROUND(VLOOKUP($A262,S275_21,25,FALSE)*VLOOKUP($A262,'3121% SY'!$C$3:$M$324,11,FALSE),3),0)+IFERROR(VLOOKUP($A262,S275_09,9,FALSE),0)</f>
        <v>0.156</v>
      </c>
      <c r="W262" s="267">
        <f>IFERROR(VLOOKUP($A262,Supp_45,14,FALSE),0)+IFERROR(SUMPRODUCT(VLOOKUP($A262,S275_01,{26,27,28},FALSE)),0)+IFERROR(SUMPRODUCT(VLOOKUP($A262,S275_97,{26,27,28},FALSE)),0)+IFERROR(ROUND(VLOOKUP($A262,S275_21,26,FALSE)*VLOOKUP($A262,'3121% SY'!$C$3:$M$324,11,FALSE),3),0)+IFERROR(ROUND(VLOOKUP($A262,S275_21,27,FALSE)*VLOOKUP($A262,'3121% SY'!$C$3:$M$324,11,FALSE),3),0)+IFERROR(ROUND(VLOOKUP($A262,S275_21,28,FALSE)*VLOOKUP($A262,'3121% SY'!$C$3:$M$324,11,FALSE),3),0)+IFERROR(VLOOKUP($A262,S275_09,10,FALSE),0)</f>
        <v>1.5580000000000001</v>
      </c>
      <c r="X262" s="267">
        <f>IFERROR(VLOOKUP($A262,Supp_46,14,FALSE),0)+IFERROR(SUMPRODUCT(VLOOKUP($A262,S275_01,{29,30,31},FALSE)),0)+IFERROR(SUMPRODUCT(VLOOKUP($A262,S275_97,{29,30,31},FALSE)),0)+IFERROR(ROUND(VLOOKUP($A262,S275_21,29,FALSE)*VLOOKUP($A262,'3121% SY'!$C$3:$M$324,11,FALSE),3),0)+IFERROR(ROUND(VLOOKUP($A262,S275_21,30,FALSE)*VLOOKUP($A262,'3121% SY'!$C$3:$M$324,11,FALSE),3),0)+IFERROR(ROUND(VLOOKUP($A262,S275_21,31,FALSE)*VLOOKUP($A262,'3121% SY'!$C$3:$M$324,11,FALSE),3),0)+IFERROR(VLOOKUP($A262,S275_09,11,FALSE),0)</f>
        <v>1.5640000000000001</v>
      </c>
      <c r="Y262" s="267">
        <f>IFERROR(VLOOKUP($A262,Supp_47,14,FALSE),0)+IFERROR(SUMPRODUCT(VLOOKUP($A262,S275_01,{32,33,34},FALSE)),0)+IFERROR(SUMPRODUCT(VLOOKUP($A262,S275_97,{32,33,34},FALSE)),0)+IFERROR(ROUND(VLOOKUP($A262,S275_21,32,FALSE)*VLOOKUP($A262,'3121% SY'!$C$3:$M$324,11,FALSE),3),0)+IFERROR(ROUND(VLOOKUP($A262,S275_21,33,FALSE)*VLOOKUP($A262,'3121% SY'!$C$3:$M$324,11,FALSE),3),0)+IFERROR(ROUND(VLOOKUP($A262,S275_21,34,FALSE)*VLOOKUP($A262,'3121% SY'!$C$3:$M$324,11,FALSE),3),0)+IFERROR(VLOOKUP($A262,S275_09,12,FALSE),0)</f>
        <v>0</v>
      </c>
      <c r="Z262" s="267">
        <f>IFERROR(VLOOKUP($A262,Supp_48,14,FALSE),0)+IFERROR(SUMPRODUCT(VLOOKUP($A262,S275_01,{35,36,37},FALSE)),0)+IFERROR(SUMPRODUCT(VLOOKUP($A262,S275_97,{35,36,37},FALSE)),0)+IFERROR(ROUND(VLOOKUP($A262,S275_21,35,FALSE)*VLOOKUP($A262,'3121% SY'!$C$3:$M$324,11,FALSE),3),0)+IFERROR(ROUND(VLOOKUP($A262,S275_21,36,FALSE)*VLOOKUP($A262,'3121% SY'!$C$3:$M$324,11,FALSE),3),0)+IFERROR(ROUND(VLOOKUP($A262,S275_21,37,FALSE)*VLOOKUP($A262,'3121% SY'!$C$3:$M$324,11,FALSE),3),0)+IFERROR(VLOOKUP($A262,S275_09,13,FALSE),0)</f>
        <v>0</v>
      </c>
      <c r="AA262" s="267">
        <f>IFERROR(VLOOKUP($A262,Supp_49,14,FALSE),0)+IFERROR(SUMPRODUCT(VLOOKUP($A262,S275_01,{38,39,40},FALSE)),0)+IFERROR(SUMPRODUCT(VLOOKUP($A262,S275_97,{38,39,40},FALSE)),0)+IFERROR(ROUND(VLOOKUP($A262,S275_21,38,FALSE)*VLOOKUP($A262,'3121% SY'!$C$3:$M$324,11,FALSE),3),0)+IFERROR(ROUND(VLOOKUP($A262,S275_21,39,FALSE)*VLOOKUP($A262,'3121% SY'!$C$3:$M$324,11,FALSE),3),0)+IFERROR(ROUND(VLOOKUP($A262,S275_21,40,FALSE)*VLOOKUP($A262,'3121% SY'!$C$3:$M$324,11,FALSE),3),0)+IFERROR(VLOOKUP($A262,S275_09,14,FALSE),0)</f>
        <v>0</v>
      </c>
      <c r="AB262" s="267">
        <f>IFERROR(VLOOKUP($A262,Supp_64,14,FALSE),0)+IFERROR(SUMPRODUCT(VLOOKUP($A262,S275_01,{41,42,43},FALSE)),0)+IFERROR(SUMPRODUCT(VLOOKUP($A262,S275_97,{41,42,43},FALSE)),0)+IFERROR(ROUND(VLOOKUP($A262,S275_21,41,FALSE)*VLOOKUP($A262,'3121% SY'!$C$3:$M$324,11,FALSE),3),0)+IFERROR(ROUND(VLOOKUP($A262,S275_21,42,FALSE)*VLOOKUP($A262,'3121% SY'!$C$3:$M$324,11,FALSE),3),0)+IFERROR(ROUND(VLOOKUP($A262,S275_21,43,FALSE)*VLOOKUP($A262,'3121% SY'!$C$3:$M$324,11,FALSE),3),0)+IFERROR(VLOOKUP($A262,S275_09,15,FALSE),0)</f>
        <v>0</v>
      </c>
      <c r="AC262" s="268">
        <f t="shared" si="57"/>
        <v>14.625999999999999</v>
      </c>
      <c r="AD262" s="267">
        <f>IFERROR(VLOOKUP($A262,Supp_24,14,FALSE),0)+IFERROR(SUMPRODUCT(VLOOKUP($A262,S275_01,{2,3,4},FALSE)),0)+IFERROR(SUMPRODUCT(VLOOKUP($A262,S275_97,{2,3,4},FALSE)),0)+IFERROR(ROUND(VLOOKUP($A262,S275_21,2,FALSE)*VLOOKUP($A262,'3121% SY'!$C$3:$M$324,11,FALSE),3),0)+IFERROR(ROUND(VLOOKUP($A262,S275_21,3,FALSE)*VLOOKUP($A262,'3121% SY'!$C$3:$M$324,11,FALSE),3),0)+IFERROR(ROUND(VLOOKUP($A262,S275_21,4,FALSE)*VLOOKUP($A262,'3121% SY'!$C$3:$M$324,11,FALSE),3),0)+IFERROR(VLOOKUP($A262,S275_09,2,FALSE),0)</f>
        <v>9.2999999999999999E-2</v>
      </c>
      <c r="AE262" s="267">
        <f>IFERROR(VLOOKUP($A262,Supp_25,14,FALSE),0)+IFERROR(SUMPRODUCT(VLOOKUP($A262,S275_01,{5,6,7},FALSE)),0)+IFERROR(SUMPRODUCT(VLOOKUP($A262,S275_97,{5,6,7},FALSE)),0)+IFERROR(ROUND(VLOOKUP($A262,S275_21,5,FALSE)*VLOOKUP($A262,'3121% SY'!$C$3:$M$324,11,FALSE),3),0)+IFERROR(ROUND(VLOOKUP($A262,S275_21,6,FALSE)*VLOOKUP($A262,'3121% SY'!$C$3:$M$324,11,FALSE),3),0)+IFERROR(ROUND(VLOOKUP($A262,S275_21,7,FALSE)*VLOOKUP($A262,'3121% SY'!$C$3:$M$324,11,FALSE),3),0)+IFERROR(VLOOKUP($A262,S275_09,3,FALSE),0)</f>
        <v>6.2720000000000002</v>
      </c>
      <c r="AF262" s="267">
        <f>IFERROR(VLOOKUP($A262,Supp_26,14,FALSE),0)+IFERROR(SUMPRODUCT(VLOOKUP($A262,S275_01,{8,9,10},FALSE)),0)+IFERROR(SUMPRODUCT(VLOOKUP($A262,S275_97,{8,9,10},FALSE)),0)+IFERROR(ROUND(VLOOKUP($A262,S275_21,8,FALSE)*VLOOKUP($A262,'3121% SY'!$C$3:$M$324,11,FALSE),3),0)+IFERROR(ROUND(VLOOKUP($A262,S275_21,9,FALSE)*VLOOKUP($A262,'3121% SY'!$C$3:$M$324,11,FALSE),3),0)+IFERROR(ROUND(VLOOKUP($A262,S275_21,10,FALSE)*VLOOKUP($A262,'3121% SY'!$C$3:$M$324,11,FALSE),3),0)+IFERROR(VLOOKUP($A262,S275_09,4,FALSE),0)</f>
        <v>5.4939999999999998</v>
      </c>
      <c r="AG262" s="267">
        <f>IFERROR(VLOOKUP($A262,Supp_35,14,FALSE),0)+IFERROR(SUMPRODUCT(VLOOKUP($A262,S275_01,{11,12,13},FALSE)),0)+IFERROR(SUMPRODUCT(VLOOKUP($A262,S275_97,{11,12,13},FALSE)),0)+IFERROR(ROUND(VLOOKUP($A262,S275_21,11,FALSE)*VLOOKUP($A262,'3121% SY'!$C$3:$M$324,11,FALSE),3),0)+IFERROR(ROUND(VLOOKUP($A262,S275_21,12,FALSE)*VLOOKUP($A262,'3121% SY'!$C$3:$M$324,11,FALSE),3),0)+IFERROR(ROUND(VLOOKUP($A262,S275_21,13,FALSE)*VLOOKUP($A262,'3121% SY'!$C$3:$M$324,11,FALSE),3),0)+IFERROR(VLOOKUP($A262,S275_09,5,FALSE),0)</f>
        <v>2.9139999999999997</v>
      </c>
      <c r="AH262" s="165">
        <f t="shared" si="58"/>
        <v>14.773</v>
      </c>
      <c r="AI262" s="161">
        <f>IFERROR(VLOOKUP(A262,'Supp Staff Data'!A:ER,148,FALSE),0)+AB262</f>
        <v>0</v>
      </c>
      <c r="AJ262" s="174">
        <v>0.9325</v>
      </c>
      <c r="AK262" s="25">
        <f>VLOOKUP(A262,'Enroll Data as of January 2025'!$A$3:$T$323,20,FALSE)-F262</f>
        <v>0</v>
      </c>
    </row>
    <row r="263" spans="1:37" x14ac:dyDescent="0.25">
      <c r="A263" s="171" t="s">
        <v>295</v>
      </c>
      <c r="B263" t="s">
        <v>591</v>
      </c>
      <c r="C263" s="173" t="s">
        <v>1077</v>
      </c>
      <c r="D263" s="259">
        <f t="shared" si="50"/>
        <v>18.277000000000001</v>
      </c>
      <c r="E263" s="259">
        <f t="shared" si="51"/>
        <v>23.949000000000002</v>
      </c>
      <c r="F263" s="262">
        <f t="shared" si="52"/>
        <v>5.6719999999999997</v>
      </c>
      <c r="G263" s="161">
        <f>ROUND(IF(F263&lt;0,F263*'2024-25 PSES Compliance'!$G$13,0),3)</f>
        <v>0</v>
      </c>
      <c r="H263" s="161">
        <f>ROUND(IF(F263&lt;0,F263*'2024-25 PSES Compliance'!$G$14,0),3)</f>
        <v>0</v>
      </c>
      <c r="I263" s="174">
        <f t="shared" si="53"/>
        <v>0.2446657480479352</v>
      </c>
      <c r="J263" s="174">
        <f t="shared" si="54"/>
        <v>5.4156749759906461E-2</v>
      </c>
      <c r="K263" s="161">
        <f>VLOOKUP($A263,'Enroll Data as of January 2025'!$A$3:$M$322,6,FALSE)</f>
        <v>10.322000000000001</v>
      </c>
      <c r="L263" s="161">
        <f>VLOOKUP($A263,'Enroll Data as of January 2025'!$A$3:$M$322,7,FALSE)</f>
        <v>1.6639999999999999</v>
      </c>
      <c r="M263" s="161">
        <f>VLOOKUP($A263,'Enroll Data as of January 2025'!$A$3:$M$322,8,FALSE)</f>
        <v>0.55800000000000005</v>
      </c>
      <c r="N263" s="161">
        <f>VLOOKUP($A263,'Enroll Data as of January 2025'!$A$3:$M$322,9,FALSE)</f>
        <v>4.7200000000000006</v>
      </c>
      <c r="O263" s="165">
        <f t="shared" si="55"/>
        <v>17.264000000000003</v>
      </c>
      <c r="P263" s="161">
        <f>VLOOKUP($A263,'Enroll Data as of January 2025'!$A$3:$M$322,11,FALSE)</f>
        <v>0.6419999999999999</v>
      </c>
      <c r="Q263" s="161">
        <f>VLOOKUP($A263,'Enroll Data as of January 2025'!$A$3:$M$322,12,FALSE)</f>
        <v>0.371</v>
      </c>
      <c r="R263" s="165">
        <f t="shared" si="56"/>
        <v>1.0129999999999999</v>
      </c>
      <c r="S263" s="267">
        <f>IFERROR(VLOOKUP($A263,Supp_39,14,FALSE),0)+IFERROR(SUMPRODUCT(VLOOKUP($A263,S275_01,{14,15,16},FALSE)),0)+IFERROR(SUMPRODUCT(VLOOKUP($A263,S275_97,{14,15,16},FALSE)),0)+IFERROR(ROUND(VLOOKUP($A263,S275_21,14,FALSE)*VLOOKUP($A263,'3121% SY'!$C$3:$M$324,11,FALSE),3),0)+IFERROR(ROUND(VLOOKUP($A263,S275_21,15,FALSE)*VLOOKUP($A263,'3121% SY'!$C$3:$M$324,11,FALSE),3),0)+IFERROR(ROUND(VLOOKUP($A263,S275_21,16,FALSE)*VLOOKUP($A263,'3121% SY'!$C$3:$M$324,11,FALSE),3),0)+IFERROR(VLOOKUP($A263,S275_09,6,FALSE),0)</f>
        <v>5.8</v>
      </c>
      <c r="T263" s="267">
        <f>IFERROR(VLOOKUP($A263,Supp_42,14,FALSE),0)+IFERROR(SUMPRODUCT(VLOOKUP($A263,S275_01,{17,18,19},FALSE)),0)+IFERROR(SUMPRODUCT(VLOOKUP($A263,S275_97,{17,18,19},FALSE)),0)+IFERROR(ROUND(VLOOKUP($A263,S275_21,17,FALSE)*VLOOKUP($A263,'3121% SY'!$C$3:$M$324,11,FALSE),3),0)+IFERROR(ROUND(VLOOKUP($A263,S275_21,18,FALSE)*VLOOKUP($A263,'3121% SY'!$C$3:$M$324,11,FALSE),3),0)+IFERROR(ROUND(VLOOKUP($A263,S275_21,19,FALSE)*VLOOKUP($A263,'3121% SY'!$C$3:$M$324,11,FALSE),3),0)+IFERROR(VLOOKUP($A263,S275_09,7,FALSE),0)</f>
        <v>2.7</v>
      </c>
      <c r="U263" s="267">
        <f>IFERROR(VLOOKUP($A263,Supp_43,14,FALSE),0)+IFERROR(SUMPRODUCT(VLOOKUP($A263,S275_01,{20,21,22},FALSE)),0)+IFERROR(SUMPRODUCT(VLOOKUP($A263,S275_97,{20,21,22},FALSE)),0)+IFERROR(ROUND(VLOOKUP($A263,S275_21,20,FALSE)*VLOOKUP($A263,'3121% SY'!$C$3:$M$324,11,FALSE),3),0)+IFERROR(ROUND(VLOOKUP($A263,S275_21,21,FALSE)*VLOOKUP($A263,'3121% SY'!$C$3:$M$324,11,FALSE),3),0)+IFERROR(ROUND(VLOOKUP($A263,S275_21,22,FALSE)*VLOOKUP($A263,'3121% SY'!$C$3:$M$324,11,FALSE),3),0)+IFERROR(VLOOKUP($A263,S275_09,8,FALSE),0)</f>
        <v>0</v>
      </c>
      <c r="V263" s="267">
        <f>IFERROR(VLOOKUP($A263,Supp_44,14,FALSE),0)+IFERROR(SUMPRODUCT(VLOOKUP($A263,S275_01,{23,24,25},FALSE)),0)+IFERROR(SUMPRODUCT(VLOOKUP($A263,S275_97,{23,24,25},FALSE)),0)+IFERROR(ROUND(VLOOKUP($A263,S275_21,23,FALSE)*VLOOKUP($A263,'3121% SY'!$C$3:$M$324,11,FALSE),3),0)+IFERROR(ROUND(VLOOKUP($A263,S275_21,24,FALSE)*VLOOKUP($A263,'3121% SY'!$C$3:$M$324,11,FALSE),3),0)+IFERROR(ROUND(VLOOKUP($A263,S275_21,25,FALSE)*VLOOKUP($A263,'3121% SY'!$C$3:$M$324,11,FALSE),3),0)+IFERROR(VLOOKUP($A263,S275_09,9,FALSE),0)</f>
        <v>0</v>
      </c>
      <c r="W263" s="267">
        <f>IFERROR(VLOOKUP($A263,Supp_45,14,FALSE),0)+IFERROR(SUMPRODUCT(VLOOKUP($A263,S275_01,{26,27,28},FALSE)),0)+IFERROR(SUMPRODUCT(VLOOKUP($A263,S275_97,{26,27,28},FALSE)),0)+IFERROR(ROUND(VLOOKUP($A263,S275_21,26,FALSE)*VLOOKUP($A263,'3121% SY'!$C$3:$M$324,11,FALSE),3),0)+IFERROR(ROUND(VLOOKUP($A263,S275_21,27,FALSE)*VLOOKUP($A263,'3121% SY'!$C$3:$M$324,11,FALSE),3),0)+IFERROR(ROUND(VLOOKUP($A263,S275_21,28,FALSE)*VLOOKUP($A263,'3121% SY'!$C$3:$M$324,11,FALSE),3),0)+IFERROR(VLOOKUP($A263,S275_09,10,FALSE),0)</f>
        <v>0</v>
      </c>
      <c r="X263" s="267">
        <f>IFERROR(VLOOKUP($A263,Supp_46,14,FALSE),0)+IFERROR(SUMPRODUCT(VLOOKUP($A263,S275_01,{29,30,31},FALSE)),0)+IFERROR(SUMPRODUCT(VLOOKUP($A263,S275_97,{29,30,31},FALSE)),0)+IFERROR(ROUND(VLOOKUP($A263,S275_21,29,FALSE)*VLOOKUP($A263,'3121% SY'!$C$3:$M$324,11,FALSE),3),0)+IFERROR(ROUND(VLOOKUP($A263,S275_21,30,FALSE)*VLOOKUP($A263,'3121% SY'!$C$3:$M$324,11,FALSE),3),0)+IFERROR(ROUND(VLOOKUP($A263,S275_21,31,FALSE)*VLOOKUP($A263,'3121% SY'!$C$3:$M$324,11,FALSE),3),0)+IFERROR(VLOOKUP($A263,S275_09,11,FALSE),0)</f>
        <v>0.92200000000000004</v>
      </c>
      <c r="Y263" s="267">
        <f>IFERROR(VLOOKUP($A263,Supp_47,14,FALSE),0)+IFERROR(SUMPRODUCT(VLOOKUP($A263,S275_01,{32,33,34},FALSE)),0)+IFERROR(SUMPRODUCT(VLOOKUP($A263,S275_97,{32,33,34},FALSE)),0)+IFERROR(ROUND(VLOOKUP($A263,S275_21,32,FALSE)*VLOOKUP($A263,'3121% SY'!$C$3:$M$324,11,FALSE),3),0)+IFERROR(ROUND(VLOOKUP($A263,S275_21,33,FALSE)*VLOOKUP($A263,'3121% SY'!$C$3:$M$324,11,FALSE),3),0)+IFERROR(ROUND(VLOOKUP($A263,S275_21,34,FALSE)*VLOOKUP($A263,'3121% SY'!$C$3:$M$324,11,FALSE),3),0)+IFERROR(VLOOKUP($A263,S275_09,12,FALSE),0)</f>
        <v>1</v>
      </c>
      <c r="Z263" s="267">
        <f>IFERROR(VLOOKUP($A263,Supp_48,14,FALSE),0)+IFERROR(SUMPRODUCT(VLOOKUP($A263,S275_01,{35,36,37},FALSE)),0)+IFERROR(SUMPRODUCT(VLOOKUP($A263,S275_97,{35,36,37},FALSE)),0)+IFERROR(ROUND(VLOOKUP($A263,S275_21,35,FALSE)*VLOOKUP($A263,'3121% SY'!$C$3:$M$324,11,FALSE),3),0)+IFERROR(ROUND(VLOOKUP($A263,S275_21,36,FALSE)*VLOOKUP($A263,'3121% SY'!$C$3:$M$324,11,FALSE),3),0)+IFERROR(ROUND(VLOOKUP($A263,S275_21,37,FALSE)*VLOOKUP($A263,'3121% SY'!$C$3:$M$324,11,FALSE),3),0)+IFERROR(VLOOKUP($A263,S275_09,13,FALSE),0)</f>
        <v>0</v>
      </c>
      <c r="AA263" s="267">
        <f>IFERROR(VLOOKUP($A263,Supp_49,14,FALSE),0)+IFERROR(SUMPRODUCT(VLOOKUP($A263,S275_01,{38,39,40},FALSE)),0)+IFERROR(SUMPRODUCT(VLOOKUP($A263,S275_97,{38,39,40},FALSE)),0)+IFERROR(ROUND(VLOOKUP($A263,S275_21,38,FALSE)*VLOOKUP($A263,'3121% SY'!$C$3:$M$324,11,FALSE),3),0)+IFERROR(ROUND(VLOOKUP($A263,S275_21,39,FALSE)*VLOOKUP($A263,'3121% SY'!$C$3:$M$324,11,FALSE),3),0)+IFERROR(ROUND(VLOOKUP($A263,S275_21,40,FALSE)*VLOOKUP($A263,'3121% SY'!$C$3:$M$324,11,FALSE),3),0)+IFERROR(VLOOKUP($A263,S275_09,14,FALSE),0)</f>
        <v>0</v>
      </c>
      <c r="AB263" s="267">
        <f>IFERROR(VLOOKUP($A263,Supp_64,14,FALSE),0)+IFERROR(SUMPRODUCT(VLOOKUP($A263,S275_01,{41,42,43},FALSE)),0)+IFERROR(SUMPRODUCT(VLOOKUP($A263,S275_97,{41,42,43},FALSE)),0)+IFERROR(ROUND(VLOOKUP($A263,S275_21,41,FALSE)*VLOOKUP($A263,'3121% SY'!$C$3:$M$324,11,FALSE),3),0)+IFERROR(ROUND(VLOOKUP($A263,S275_21,42,FALSE)*VLOOKUP($A263,'3121% SY'!$C$3:$M$324,11,FALSE),3),0)+IFERROR(ROUND(VLOOKUP($A263,S275_21,43,FALSE)*VLOOKUP($A263,'3121% SY'!$C$3:$M$324,11,FALSE),3),0)+IFERROR(VLOOKUP($A263,S275_09,15,FALSE),0)</f>
        <v>1.2969999999999999</v>
      </c>
      <c r="AC263" s="268">
        <f t="shared" si="57"/>
        <v>11.719000000000001</v>
      </c>
      <c r="AD263" s="267">
        <f>IFERROR(VLOOKUP($A263,Supp_24,14,FALSE),0)+IFERROR(SUMPRODUCT(VLOOKUP($A263,S275_01,{2,3,4},FALSE)),0)+IFERROR(SUMPRODUCT(VLOOKUP($A263,S275_97,{2,3,4},FALSE)),0)+IFERROR(ROUND(VLOOKUP($A263,S275_21,2,FALSE)*VLOOKUP($A263,'3121% SY'!$C$3:$M$324,11,FALSE),3),0)+IFERROR(ROUND(VLOOKUP($A263,S275_21,3,FALSE)*VLOOKUP($A263,'3121% SY'!$C$3:$M$324,11,FALSE),3),0)+IFERROR(ROUND(VLOOKUP($A263,S275_21,4,FALSE)*VLOOKUP($A263,'3121% SY'!$C$3:$M$324,11,FALSE),3),0)+IFERROR(VLOOKUP($A263,S275_09,2,FALSE),0)</f>
        <v>0</v>
      </c>
      <c r="AE263" s="267">
        <f>IFERROR(VLOOKUP($A263,Supp_25,14,FALSE),0)+IFERROR(SUMPRODUCT(VLOOKUP($A263,S275_01,{5,6,7},FALSE)),0)+IFERROR(SUMPRODUCT(VLOOKUP($A263,S275_97,{5,6,7},FALSE)),0)+IFERROR(ROUND(VLOOKUP($A263,S275_21,5,FALSE)*VLOOKUP($A263,'3121% SY'!$C$3:$M$324,11,FALSE),3),0)+IFERROR(ROUND(VLOOKUP($A263,S275_21,6,FALSE)*VLOOKUP($A263,'3121% SY'!$C$3:$M$324,11,FALSE),3),0)+IFERROR(ROUND(VLOOKUP($A263,S275_21,7,FALSE)*VLOOKUP($A263,'3121% SY'!$C$3:$M$324,11,FALSE),3),0)+IFERROR(VLOOKUP($A263,S275_09,3,FALSE),0)</f>
        <v>3.403</v>
      </c>
      <c r="AF263" s="267">
        <f>IFERROR(VLOOKUP($A263,Supp_26,14,FALSE),0)+IFERROR(SUMPRODUCT(VLOOKUP($A263,S275_01,{8,9,10},FALSE)),0)+IFERROR(SUMPRODUCT(VLOOKUP($A263,S275_97,{8,9,10},FALSE)),0)+IFERROR(ROUND(VLOOKUP($A263,S275_21,8,FALSE)*VLOOKUP($A263,'3121% SY'!$C$3:$M$324,11,FALSE),3),0)+IFERROR(ROUND(VLOOKUP($A263,S275_21,9,FALSE)*VLOOKUP($A263,'3121% SY'!$C$3:$M$324,11,FALSE),3),0)+IFERROR(ROUND(VLOOKUP($A263,S275_21,10,FALSE)*VLOOKUP($A263,'3121% SY'!$C$3:$M$324,11,FALSE),3),0)+IFERROR(VLOOKUP($A263,S275_09,4,FALSE),0)</f>
        <v>4.7460000000000004</v>
      </c>
      <c r="AG263" s="267">
        <f>IFERROR(VLOOKUP($A263,Supp_35,14,FALSE),0)+IFERROR(SUMPRODUCT(VLOOKUP($A263,S275_01,{11,12,13},FALSE)),0)+IFERROR(SUMPRODUCT(VLOOKUP($A263,S275_97,{11,12,13},FALSE)),0)+IFERROR(ROUND(VLOOKUP($A263,S275_21,11,FALSE)*VLOOKUP($A263,'3121% SY'!$C$3:$M$324,11,FALSE),3),0)+IFERROR(ROUND(VLOOKUP($A263,S275_21,12,FALSE)*VLOOKUP($A263,'3121% SY'!$C$3:$M$324,11,FALSE),3),0)+IFERROR(ROUND(VLOOKUP($A263,S275_21,13,FALSE)*VLOOKUP($A263,'3121% SY'!$C$3:$M$324,11,FALSE),3),0)+IFERROR(VLOOKUP($A263,S275_09,5,FALSE),0)</f>
        <v>4.0810000000000004</v>
      </c>
      <c r="AH263" s="165">
        <f t="shared" si="58"/>
        <v>12.23</v>
      </c>
      <c r="AI263" s="161">
        <f>IFERROR(VLOOKUP(A263,'Supp Staff Data'!A:ER,148,FALSE),0)+AB263</f>
        <v>1.2969999999999999</v>
      </c>
      <c r="AJ263" s="174">
        <v>0.5</v>
      </c>
      <c r="AK263" s="25">
        <f>VLOOKUP(A263,'Enroll Data as of January 2025'!$A$3:$T$323,20,FALSE)-F263</f>
        <v>0</v>
      </c>
    </row>
    <row r="264" spans="1:37" x14ac:dyDescent="0.25">
      <c r="A264" s="171" t="s">
        <v>239</v>
      </c>
      <c r="B264" t="s">
        <v>535</v>
      </c>
      <c r="C264" s="173" t="s">
        <v>1077</v>
      </c>
      <c r="D264" s="259">
        <f t="shared" si="50"/>
        <v>6.7439999999999998</v>
      </c>
      <c r="E264" s="259">
        <f t="shared" si="51"/>
        <v>12.776000000000002</v>
      </c>
      <c r="F264" s="262">
        <f t="shared" si="52"/>
        <v>6.032</v>
      </c>
      <c r="G264" s="161">
        <f>ROUND(IF(F264&lt;0,F264*'2024-25 PSES Compliance'!$G$13,0),3)</f>
        <v>0</v>
      </c>
      <c r="H264" s="161">
        <f>ROUND(IF(F264&lt;0,F264*'2024-25 PSES Compliance'!$G$14,0),3)</f>
        <v>0</v>
      </c>
      <c r="I264" s="174">
        <f t="shared" si="53"/>
        <v>0.46939902943018169</v>
      </c>
      <c r="J264" s="174">
        <f t="shared" si="54"/>
        <v>0</v>
      </c>
      <c r="K264" s="161">
        <f>VLOOKUP($A264,'Enroll Data as of January 2025'!$A$3:$M$322,6,FALSE)</f>
        <v>3.7509999999999999</v>
      </c>
      <c r="L264" s="161">
        <f>VLOOKUP($A264,'Enroll Data as of January 2025'!$A$3:$M$322,7,FALSE)</f>
        <v>0.64300000000000013</v>
      </c>
      <c r="M264" s="161">
        <f>VLOOKUP($A264,'Enroll Data as of January 2025'!$A$3:$M$322,8,FALSE)</f>
        <v>0.216</v>
      </c>
      <c r="N264" s="161">
        <f>VLOOKUP($A264,'Enroll Data as of January 2025'!$A$3:$M$322,9,FALSE)</f>
        <v>1.7490000000000001</v>
      </c>
      <c r="O264" s="165">
        <f t="shared" si="55"/>
        <v>6.359</v>
      </c>
      <c r="P264" s="161">
        <f>VLOOKUP($A264,'Enroll Data as of January 2025'!$A$3:$M$322,11,FALSE)</f>
        <v>0.23799999999999999</v>
      </c>
      <c r="Q264" s="161">
        <f>VLOOKUP($A264,'Enroll Data as of January 2025'!$A$3:$M$322,12,FALSE)</f>
        <v>0.14699999999999999</v>
      </c>
      <c r="R264" s="165">
        <f t="shared" si="56"/>
        <v>0.38500000000000001</v>
      </c>
      <c r="S264" s="267">
        <f>IFERROR(VLOOKUP($A264,Supp_39,14,FALSE),0)+IFERROR(SUMPRODUCT(VLOOKUP($A264,S275_01,{14,15,16},FALSE)),0)+IFERROR(SUMPRODUCT(VLOOKUP($A264,S275_97,{14,15,16},FALSE)),0)+IFERROR(ROUND(VLOOKUP($A264,S275_21,14,FALSE)*VLOOKUP($A264,'3121% SY'!$C$3:$M$324,11,FALSE),3),0)+IFERROR(ROUND(VLOOKUP($A264,S275_21,15,FALSE)*VLOOKUP($A264,'3121% SY'!$C$3:$M$324,11,FALSE),3),0)+IFERROR(ROUND(VLOOKUP($A264,S275_21,16,FALSE)*VLOOKUP($A264,'3121% SY'!$C$3:$M$324,11,FALSE),3),0)+IFERROR(VLOOKUP($A264,S275_09,6,FALSE),0)</f>
        <v>3.8000000000000003</v>
      </c>
      <c r="T264" s="267">
        <f>IFERROR(VLOOKUP($A264,Supp_42,14,FALSE),0)+IFERROR(SUMPRODUCT(VLOOKUP($A264,S275_01,{17,18,19},FALSE)),0)+IFERROR(SUMPRODUCT(VLOOKUP($A264,S275_97,{17,18,19},FALSE)),0)+IFERROR(ROUND(VLOOKUP($A264,S275_21,17,FALSE)*VLOOKUP($A264,'3121% SY'!$C$3:$M$324,11,FALSE),3),0)+IFERROR(ROUND(VLOOKUP($A264,S275_21,18,FALSE)*VLOOKUP($A264,'3121% SY'!$C$3:$M$324,11,FALSE),3),0)+IFERROR(ROUND(VLOOKUP($A264,S275_21,19,FALSE)*VLOOKUP($A264,'3121% SY'!$C$3:$M$324,11,FALSE),3),0)+IFERROR(VLOOKUP($A264,S275_09,7,FALSE),0)</f>
        <v>1</v>
      </c>
      <c r="U264" s="267">
        <f>IFERROR(VLOOKUP($A264,Supp_43,14,FALSE),0)+IFERROR(SUMPRODUCT(VLOOKUP($A264,S275_01,{20,21,22},FALSE)),0)+IFERROR(SUMPRODUCT(VLOOKUP($A264,S275_97,{20,21,22},FALSE)),0)+IFERROR(ROUND(VLOOKUP($A264,S275_21,20,FALSE)*VLOOKUP($A264,'3121% SY'!$C$3:$M$324,11,FALSE),3),0)+IFERROR(ROUND(VLOOKUP($A264,S275_21,21,FALSE)*VLOOKUP($A264,'3121% SY'!$C$3:$M$324,11,FALSE),3),0)+IFERROR(ROUND(VLOOKUP($A264,S275_21,22,FALSE)*VLOOKUP($A264,'3121% SY'!$C$3:$M$324,11,FALSE),3),0)+IFERROR(VLOOKUP($A264,S275_09,8,FALSE),0)</f>
        <v>0.13100000000000001</v>
      </c>
      <c r="V264" s="267">
        <f>IFERROR(VLOOKUP($A264,Supp_44,14,FALSE),0)+IFERROR(SUMPRODUCT(VLOOKUP($A264,S275_01,{23,24,25},FALSE)),0)+IFERROR(SUMPRODUCT(VLOOKUP($A264,S275_97,{23,24,25},FALSE)),0)+IFERROR(ROUND(VLOOKUP($A264,S275_21,23,FALSE)*VLOOKUP($A264,'3121% SY'!$C$3:$M$324,11,FALSE),3),0)+IFERROR(ROUND(VLOOKUP($A264,S275_21,24,FALSE)*VLOOKUP($A264,'3121% SY'!$C$3:$M$324,11,FALSE),3),0)+IFERROR(ROUND(VLOOKUP($A264,S275_21,25,FALSE)*VLOOKUP($A264,'3121% SY'!$C$3:$M$324,11,FALSE),3),0)+IFERROR(VLOOKUP($A264,S275_09,9,FALSE),0)</f>
        <v>0</v>
      </c>
      <c r="W264" s="267">
        <f>IFERROR(VLOOKUP($A264,Supp_45,14,FALSE),0)+IFERROR(SUMPRODUCT(VLOOKUP($A264,S275_01,{26,27,28},FALSE)),0)+IFERROR(SUMPRODUCT(VLOOKUP($A264,S275_97,{26,27,28},FALSE)),0)+IFERROR(ROUND(VLOOKUP($A264,S275_21,26,FALSE)*VLOOKUP($A264,'3121% SY'!$C$3:$M$324,11,FALSE),3),0)+IFERROR(ROUND(VLOOKUP($A264,S275_21,27,FALSE)*VLOOKUP($A264,'3121% SY'!$C$3:$M$324,11,FALSE),3),0)+IFERROR(ROUND(VLOOKUP($A264,S275_21,28,FALSE)*VLOOKUP($A264,'3121% SY'!$C$3:$M$324,11,FALSE),3),0)+IFERROR(VLOOKUP($A264,S275_09,10,FALSE),0)</f>
        <v>0.58899999999999997</v>
      </c>
      <c r="X264" s="267">
        <f>IFERROR(VLOOKUP($A264,Supp_46,14,FALSE),0)+IFERROR(SUMPRODUCT(VLOOKUP($A264,S275_01,{29,30,31},FALSE)),0)+IFERROR(SUMPRODUCT(VLOOKUP($A264,S275_97,{29,30,31},FALSE)),0)+IFERROR(ROUND(VLOOKUP($A264,S275_21,29,FALSE)*VLOOKUP($A264,'3121% SY'!$C$3:$M$324,11,FALSE),3),0)+IFERROR(ROUND(VLOOKUP($A264,S275_21,30,FALSE)*VLOOKUP($A264,'3121% SY'!$C$3:$M$324,11,FALSE),3),0)+IFERROR(ROUND(VLOOKUP($A264,S275_21,31,FALSE)*VLOOKUP($A264,'3121% SY'!$C$3:$M$324,11,FALSE),3),0)+IFERROR(VLOOKUP($A264,S275_09,11,FALSE),0)</f>
        <v>0.58899999999999997</v>
      </c>
      <c r="Y264" s="267">
        <f>IFERROR(VLOOKUP($A264,Supp_47,14,FALSE),0)+IFERROR(SUMPRODUCT(VLOOKUP($A264,S275_01,{32,33,34},FALSE)),0)+IFERROR(SUMPRODUCT(VLOOKUP($A264,S275_97,{32,33,34},FALSE)),0)+IFERROR(ROUND(VLOOKUP($A264,S275_21,32,FALSE)*VLOOKUP($A264,'3121% SY'!$C$3:$M$324,11,FALSE),3),0)+IFERROR(ROUND(VLOOKUP($A264,S275_21,33,FALSE)*VLOOKUP($A264,'3121% SY'!$C$3:$M$324,11,FALSE),3),0)+IFERROR(ROUND(VLOOKUP($A264,S275_21,34,FALSE)*VLOOKUP($A264,'3121% SY'!$C$3:$M$324,11,FALSE),3),0)+IFERROR(VLOOKUP($A264,S275_09,12,FALSE),0)</f>
        <v>0</v>
      </c>
      <c r="Z264" s="267">
        <f>IFERROR(VLOOKUP($A264,Supp_48,14,FALSE),0)+IFERROR(SUMPRODUCT(VLOOKUP($A264,S275_01,{35,36,37},FALSE)),0)+IFERROR(SUMPRODUCT(VLOOKUP($A264,S275_97,{35,36,37},FALSE)),0)+IFERROR(ROUND(VLOOKUP($A264,S275_21,35,FALSE)*VLOOKUP($A264,'3121% SY'!$C$3:$M$324,11,FALSE),3),0)+IFERROR(ROUND(VLOOKUP($A264,S275_21,36,FALSE)*VLOOKUP($A264,'3121% SY'!$C$3:$M$324,11,FALSE),3),0)+IFERROR(ROUND(VLOOKUP($A264,S275_21,37,FALSE)*VLOOKUP($A264,'3121% SY'!$C$3:$M$324,11,FALSE),3),0)+IFERROR(VLOOKUP($A264,S275_09,13,FALSE),0)</f>
        <v>0.22100000000000003</v>
      </c>
      <c r="AA264" s="267">
        <f>IFERROR(VLOOKUP($A264,Supp_49,14,FALSE),0)+IFERROR(SUMPRODUCT(VLOOKUP($A264,S275_01,{38,39,40},FALSE)),0)+IFERROR(SUMPRODUCT(VLOOKUP($A264,S275_97,{38,39,40},FALSE)),0)+IFERROR(ROUND(VLOOKUP($A264,S275_21,38,FALSE)*VLOOKUP($A264,'3121% SY'!$C$3:$M$324,11,FALSE),3),0)+IFERROR(ROUND(VLOOKUP($A264,S275_21,39,FALSE)*VLOOKUP($A264,'3121% SY'!$C$3:$M$324,11,FALSE),3),0)+IFERROR(ROUND(VLOOKUP($A264,S275_21,40,FALSE)*VLOOKUP($A264,'3121% SY'!$C$3:$M$324,11,FALSE),3),0)+IFERROR(VLOOKUP($A264,S275_09,14,FALSE),0)</f>
        <v>0</v>
      </c>
      <c r="AB264" s="267">
        <f>IFERROR(VLOOKUP($A264,Supp_64,14,FALSE),0)+IFERROR(SUMPRODUCT(VLOOKUP($A264,S275_01,{41,42,43},FALSE)),0)+IFERROR(SUMPRODUCT(VLOOKUP($A264,S275_97,{41,42,43},FALSE)),0)+IFERROR(ROUND(VLOOKUP($A264,S275_21,41,FALSE)*VLOOKUP($A264,'3121% SY'!$C$3:$M$324,11,FALSE),3),0)+IFERROR(ROUND(VLOOKUP($A264,S275_21,42,FALSE)*VLOOKUP($A264,'3121% SY'!$C$3:$M$324,11,FALSE),3),0)+IFERROR(ROUND(VLOOKUP($A264,S275_21,43,FALSE)*VLOOKUP($A264,'3121% SY'!$C$3:$M$324,11,FALSE),3),0)+IFERROR(VLOOKUP($A264,S275_09,15,FALSE),0)</f>
        <v>0</v>
      </c>
      <c r="AC264" s="268">
        <f t="shared" si="57"/>
        <v>6.3300000000000018</v>
      </c>
      <c r="AD264" s="267">
        <f>IFERROR(VLOOKUP($A264,Supp_24,14,FALSE),0)+IFERROR(SUMPRODUCT(VLOOKUP($A264,S275_01,{2,3,4},FALSE)),0)+IFERROR(SUMPRODUCT(VLOOKUP($A264,S275_97,{2,3,4},FALSE)),0)+IFERROR(ROUND(VLOOKUP($A264,S275_21,2,FALSE)*VLOOKUP($A264,'3121% SY'!$C$3:$M$324,11,FALSE),3),0)+IFERROR(ROUND(VLOOKUP($A264,S275_21,3,FALSE)*VLOOKUP($A264,'3121% SY'!$C$3:$M$324,11,FALSE),3),0)+IFERROR(ROUND(VLOOKUP($A264,S275_21,4,FALSE)*VLOOKUP($A264,'3121% SY'!$C$3:$M$324,11,FALSE),3),0)+IFERROR(VLOOKUP($A264,S275_09,2,FALSE),0)</f>
        <v>0</v>
      </c>
      <c r="AE264" s="267">
        <f>IFERROR(VLOOKUP($A264,Supp_25,14,FALSE),0)+IFERROR(SUMPRODUCT(VLOOKUP($A264,S275_01,{5,6,7},FALSE)),0)+IFERROR(SUMPRODUCT(VLOOKUP($A264,S275_97,{5,6,7},FALSE)),0)+IFERROR(ROUND(VLOOKUP($A264,S275_21,5,FALSE)*VLOOKUP($A264,'3121% SY'!$C$3:$M$324,11,FALSE),3),0)+IFERROR(ROUND(VLOOKUP($A264,S275_21,6,FALSE)*VLOOKUP($A264,'3121% SY'!$C$3:$M$324,11,FALSE),3),0)+IFERROR(ROUND(VLOOKUP($A264,S275_21,7,FALSE)*VLOOKUP($A264,'3121% SY'!$C$3:$M$324,11,FALSE),3),0)+IFERROR(VLOOKUP($A264,S275_09,3,FALSE),0)</f>
        <v>2.7370000000000001</v>
      </c>
      <c r="AF264" s="267">
        <f>IFERROR(VLOOKUP($A264,Supp_26,14,FALSE),0)+IFERROR(SUMPRODUCT(VLOOKUP($A264,S275_01,{8,9,10},FALSE)),0)+IFERROR(SUMPRODUCT(VLOOKUP($A264,S275_97,{8,9,10},FALSE)),0)+IFERROR(ROUND(VLOOKUP($A264,S275_21,8,FALSE)*VLOOKUP($A264,'3121% SY'!$C$3:$M$324,11,FALSE),3),0)+IFERROR(ROUND(VLOOKUP($A264,S275_21,9,FALSE)*VLOOKUP($A264,'3121% SY'!$C$3:$M$324,11,FALSE),3),0)+IFERROR(ROUND(VLOOKUP($A264,S275_21,10,FALSE)*VLOOKUP($A264,'3121% SY'!$C$3:$M$324,11,FALSE),3),0)+IFERROR(VLOOKUP($A264,S275_09,4,FALSE),0)</f>
        <v>3.7090000000000001</v>
      </c>
      <c r="AG264" s="267">
        <f>IFERROR(VLOOKUP($A264,Supp_35,14,FALSE),0)+IFERROR(SUMPRODUCT(VLOOKUP($A264,S275_01,{11,12,13},FALSE)),0)+IFERROR(SUMPRODUCT(VLOOKUP($A264,S275_97,{11,12,13},FALSE)),0)+IFERROR(ROUND(VLOOKUP($A264,S275_21,11,FALSE)*VLOOKUP($A264,'3121% SY'!$C$3:$M$324,11,FALSE),3),0)+IFERROR(ROUND(VLOOKUP($A264,S275_21,12,FALSE)*VLOOKUP($A264,'3121% SY'!$C$3:$M$324,11,FALSE),3),0)+IFERROR(ROUND(VLOOKUP($A264,S275_21,13,FALSE)*VLOOKUP($A264,'3121% SY'!$C$3:$M$324,11,FALSE),3),0)+IFERROR(VLOOKUP($A264,S275_09,5,FALSE),0)</f>
        <v>0</v>
      </c>
      <c r="AH264" s="165">
        <f t="shared" si="58"/>
        <v>6.4459999999999997</v>
      </c>
      <c r="AI264" s="161">
        <f>IFERROR(VLOOKUP(A264,'Supp Staff Data'!A:ER,148,FALSE),0)+AB264</f>
        <v>0</v>
      </c>
      <c r="AJ264" s="174">
        <v>0.94740000000000002</v>
      </c>
      <c r="AK264" s="25">
        <f>VLOOKUP(A264,'Enroll Data as of January 2025'!$A$3:$T$323,20,FALSE)-F264</f>
        <v>0</v>
      </c>
    </row>
    <row r="265" spans="1:37" x14ac:dyDescent="0.25">
      <c r="A265" s="171" t="s">
        <v>27</v>
      </c>
      <c r="B265" t="s">
        <v>323</v>
      </c>
      <c r="C265" s="173" t="s">
        <v>1077</v>
      </c>
      <c r="D265" s="259">
        <f t="shared" si="50"/>
        <v>16.267999999999997</v>
      </c>
      <c r="E265" s="259">
        <f t="shared" si="51"/>
        <v>17.698</v>
      </c>
      <c r="F265" s="262">
        <f t="shared" si="52"/>
        <v>1.43</v>
      </c>
      <c r="G265" s="161">
        <f>ROUND(IF(F265&lt;0,F265*'2024-25 PSES Compliance'!$G$13,0),3)</f>
        <v>0</v>
      </c>
      <c r="H265" s="161">
        <f>ROUND(IF(F265&lt;0,F265*'2024-25 PSES Compliance'!$G$14,0),3)</f>
        <v>0</v>
      </c>
      <c r="I265" s="174">
        <f t="shared" si="53"/>
        <v>0.66255903491919987</v>
      </c>
      <c r="J265" s="174">
        <f t="shared" si="54"/>
        <v>0</v>
      </c>
      <c r="K265" s="161">
        <f>VLOOKUP($A265,'Enroll Data as of January 2025'!$A$3:$M$322,6,FALSE)</f>
        <v>9.1329999999999991</v>
      </c>
      <c r="L265" s="161">
        <f>VLOOKUP($A265,'Enroll Data as of January 2025'!$A$3:$M$322,7,FALSE)</f>
        <v>1.5269999999999999</v>
      </c>
      <c r="M265" s="161">
        <f>VLOOKUP($A265,'Enroll Data as of January 2025'!$A$3:$M$322,8,FALSE)</f>
        <v>0.51200000000000001</v>
      </c>
      <c r="N265" s="161">
        <f>VLOOKUP($A265,'Enroll Data as of January 2025'!$A$3:$M$322,9,FALSE)</f>
        <v>4.1779999999999999</v>
      </c>
      <c r="O265" s="165">
        <f t="shared" si="55"/>
        <v>15.349999999999998</v>
      </c>
      <c r="P265" s="161">
        <f>VLOOKUP($A265,'Enroll Data as of January 2025'!$A$3:$M$322,11,FALSE)</f>
        <v>0.57200000000000006</v>
      </c>
      <c r="Q265" s="161">
        <f>VLOOKUP($A265,'Enroll Data as of January 2025'!$A$3:$M$322,12,FALSE)</f>
        <v>0.34599999999999997</v>
      </c>
      <c r="R265" s="165">
        <f t="shared" si="56"/>
        <v>0.91800000000000004</v>
      </c>
      <c r="S265" s="267">
        <f>IFERROR(VLOOKUP($A265,Supp_39,14,FALSE),0)+IFERROR(SUMPRODUCT(VLOOKUP($A265,S275_01,{14,15,16},FALSE)),0)+IFERROR(SUMPRODUCT(VLOOKUP($A265,S275_97,{14,15,16},FALSE)),0)+IFERROR(ROUND(VLOOKUP($A265,S275_21,14,FALSE)*VLOOKUP($A265,'3121% SY'!$C$3:$M$324,11,FALSE),3),0)+IFERROR(ROUND(VLOOKUP($A265,S275_21,15,FALSE)*VLOOKUP($A265,'3121% SY'!$C$3:$M$324,11,FALSE),3),0)+IFERROR(ROUND(VLOOKUP($A265,S275_21,16,FALSE)*VLOOKUP($A265,'3121% SY'!$C$3:$M$324,11,FALSE),3),0)+IFERROR(VLOOKUP($A265,S275_09,6,FALSE),0)</f>
        <v>6.55</v>
      </c>
      <c r="T265" s="267">
        <f>IFERROR(VLOOKUP($A265,Supp_42,14,FALSE),0)+IFERROR(SUMPRODUCT(VLOOKUP($A265,S275_01,{17,18,19},FALSE)),0)+IFERROR(SUMPRODUCT(VLOOKUP($A265,S275_97,{17,18,19},FALSE)),0)+IFERROR(ROUND(VLOOKUP($A265,S275_21,17,FALSE)*VLOOKUP($A265,'3121% SY'!$C$3:$M$324,11,FALSE),3),0)+IFERROR(ROUND(VLOOKUP($A265,S275_21,18,FALSE)*VLOOKUP($A265,'3121% SY'!$C$3:$M$324,11,FALSE),3),0)+IFERROR(ROUND(VLOOKUP($A265,S275_21,19,FALSE)*VLOOKUP($A265,'3121% SY'!$C$3:$M$324,11,FALSE),3),0)+IFERROR(VLOOKUP($A265,S275_09,7,FALSE),0)</f>
        <v>0</v>
      </c>
      <c r="U265" s="267">
        <f>IFERROR(VLOOKUP($A265,Supp_43,14,FALSE),0)+IFERROR(SUMPRODUCT(VLOOKUP($A265,S275_01,{20,21,22},FALSE)),0)+IFERROR(SUMPRODUCT(VLOOKUP($A265,S275_97,{20,21,22},FALSE)),0)+IFERROR(ROUND(VLOOKUP($A265,S275_21,20,FALSE)*VLOOKUP($A265,'3121% SY'!$C$3:$M$324,11,FALSE),3),0)+IFERROR(ROUND(VLOOKUP($A265,S275_21,21,FALSE)*VLOOKUP($A265,'3121% SY'!$C$3:$M$324,11,FALSE),3),0)+IFERROR(ROUND(VLOOKUP($A265,S275_21,22,FALSE)*VLOOKUP($A265,'3121% SY'!$C$3:$M$324,11,FALSE),3),0)+IFERROR(VLOOKUP($A265,S275_09,8,FALSE),0)</f>
        <v>0.25700000000000001</v>
      </c>
      <c r="V265" s="267">
        <f>IFERROR(VLOOKUP($A265,Supp_44,14,FALSE),0)+IFERROR(SUMPRODUCT(VLOOKUP($A265,S275_01,{23,24,25},FALSE)),0)+IFERROR(SUMPRODUCT(VLOOKUP($A265,S275_97,{23,24,25},FALSE)),0)+IFERROR(ROUND(VLOOKUP($A265,S275_21,23,FALSE)*VLOOKUP($A265,'3121% SY'!$C$3:$M$324,11,FALSE),3),0)+IFERROR(ROUND(VLOOKUP($A265,S275_21,24,FALSE)*VLOOKUP($A265,'3121% SY'!$C$3:$M$324,11,FALSE),3),0)+IFERROR(ROUND(VLOOKUP($A265,S275_21,25,FALSE)*VLOOKUP($A265,'3121% SY'!$C$3:$M$324,11,FALSE),3),0)+IFERROR(VLOOKUP($A265,S275_09,9,FALSE),0)</f>
        <v>0</v>
      </c>
      <c r="W265" s="267">
        <f>IFERROR(VLOOKUP($A265,Supp_45,14,FALSE),0)+IFERROR(SUMPRODUCT(VLOOKUP($A265,S275_01,{26,27,28},FALSE)),0)+IFERROR(SUMPRODUCT(VLOOKUP($A265,S275_97,{26,27,28},FALSE)),0)+IFERROR(ROUND(VLOOKUP($A265,S275_21,26,FALSE)*VLOOKUP($A265,'3121% SY'!$C$3:$M$324,11,FALSE),3),0)+IFERROR(ROUND(VLOOKUP($A265,S275_21,27,FALSE)*VLOOKUP($A265,'3121% SY'!$C$3:$M$324,11,FALSE),3),0)+IFERROR(ROUND(VLOOKUP($A265,S275_21,28,FALSE)*VLOOKUP($A265,'3121% SY'!$C$3:$M$324,11,FALSE),3),0)+IFERROR(VLOOKUP($A265,S275_09,10,FALSE),0)</f>
        <v>1.2849999999999999</v>
      </c>
      <c r="X265" s="267">
        <f>IFERROR(VLOOKUP($A265,Supp_46,14,FALSE),0)+IFERROR(SUMPRODUCT(VLOOKUP($A265,S275_01,{29,30,31},FALSE)),0)+IFERROR(SUMPRODUCT(VLOOKUP($A265,S275_97,{29,30,31},FALSE)),0)+IFERROR(ROUND(VLOOKUP($A265,S275_21,29,FALSE)*VLOOKUP($A265,'3121% SY'!$C$3:$M$324,11,FALSE),3),0)+IFERROR(ROUND(VLOOKUP($A265,S275_21,30,FALSE)*VLOOKUP($A265,'3121% SY'!$C$3:$M$324,11,FALSE),3),0)+IFERROR(ROUND(VLOOKUP($A265,S275_21,31,FALSE)*VLOOKUP($A265,'3121% SY'!$C$3:$M$324,11,FALSE),3),0)+IFERROR(VLOOKUP($A265,S275_09,11,FALSE),0)</f>
        <v>4.2850000000000001</v>
      </c>
      <c r="Y265" s="267">
        <f>IFERROR(VLOOKUP($A265,Supp_47,14,FALSE),0)+IFERROR(SUMPRODUCT(VLOOKUP($A265,S275_01,{32,33,34},FALSE)),0)+IFERROR(SUMPRODUCT(VLOOKUP($A265,S275_97,{32,33,34},FALSE)),0)+IFERROR(ROUND(VLOOKUP($A265,S275_21,32,FALSE)*VLOOKUP($A265,'3121% SY'!$C$3:$M$324,11,FALSE),3),0)+IFERROR(ROUND(VLOOKUP($A265,S275_21,33,FALSE)*VLOOKUP($A265,'3121% SY'!$C$3:$M$324,11,FALSE),3),0)+IFERROR(ROUND(VLOOKUP($A265,S275_21,34,FALSE)*VLOOKUP($A265,'3121% SY'!$C$3:$M$324,11,FALSE),3),0)+IFERROR(VLOOKUP($A265,S275_09,12,FALSE),0)</f>
        <v>0</v>
      </c>
      <c r="Z265" s="267">
        <f>IFERROR(VLOOKUP($A265,Supp_48,14,FALSE),0)+IFERROR(SUMPRODUCT(VLOOKUP($A265,S275_01,{35,36,37},FALSE)),0)+IFERROR(SUMPRODUCT(VLOOKUP($A265,S275_97,{35,36,37},FALSE)),0)+IFERROR(ROUND(VLOOKUP($A265,S275_21,35,FALSE)*VLOOKUP($A265,'3121% SY'!$C$3:$M$324,11,FALSE),3),0)+IFERROR(ROUND(VLOOKUP($A265,S275_21,36,FALSE)*VLOOKUP($A265,'3121% SY'!$C$3:$M$324,11,FALSE),3),0)+IFERROR(ROUND(VLOOKUP($A265,S275_21,37,FALSE)*VLOOKUP($A265,'3121% SY'!$C$3:$M$324,11,FALSE),3),0)+IFERROR(VLOOKUP($A265,S275_09,13,FALSE),0)</f>
        <v>0</v>
      </c>
      <c r="AA265" s="267">
        <f>IFERROR(VLOOKUP($A265,Supp_49,14,FALSE),0)+IFERROR(SUMPRODUCT(VLOOKUP($A265,S275_01,{38,39,40},FALSE)),0)+IFERROR(SUMPRODUCT(VLOOKUP($A265,S275_97,{38,39,40},FALSE)),0)+IFERROR(ROUND(VLOOKUP($A265,S275_21,38,FALSE)*VLOOKUP($A265,'3121% SY'!$C$3:$M$324,11,FALSE),3),0)+IFERROR(ROUND(VLOOKUP($A265,S275_21,39,FALSE)*VLOOKUP($A265,'3121% SY'!$C$3:$M$324,11,FALSE),3),0)+IFERROR(ROUND(VLOOKUP($A265,S275_21,40,FALSE)*VLOOKUP($A265,'3121% SY'!$C$3:$M$324,11,FALSE),3),0)+IFERROR(VLOOKUP($A265,S275_09,14,FALSE),0)</f>
        <v>0</v>
      </c>
      <c r="AB265" s="267">
        <f>IFERROR(VLOOKUP($A265,Supp_64,14,FALSE),0)+IFERROR(SUMPRODUCT(VLOOKUP($A265,S275_01,{41,42,43},FALSE)),0)+IFERROR(SUMPRODUCT(VLOOKUP($A265,S275_97,{41,42,43},FALSE)),0)+IFERROR(ROUND(VLOOKUP($A265,S275_21,41,FALSE)*VLOOKUP($A265,'3121% SY'!$C$3:$M$324,11,FALSE),3),0)+IFERROR(ROUND(VLOOKUP($A265,S275_21,42,FALSE)*VLOOKUP($A265,'3121% SY'!$C$3:$M$324,11,FALSE),3),0)+IFERROR(ROUND(VLOOKUP($A265,S275_21,43,FALSE)*VLOOKUP($A265,'3121% SY'!$C$3:$M$324,11,FALSE),3),0)+IFERROR(VLOOKUP($A265,S275_09,15,FALSE),0)</f>
        <v>0</v>
      </c>
      <c r="AC265" s="268">
        <f t="shared" si="57"/>
        <v>12.376999999999999</v>
      </c>
      <c r="AD265" s="267">
        <f>IFERROR(VLOOKUP($A265,Supp_24,14,FALSE),0)+IFERROR(SUMPRODUCT(VLOOKUP($A265,S275_01,{2,3,4},FALSE)),0)+IFERROR(SUMPRODUCT(VLOOKUP($A265,S275_97,{2,3,4},FALSE)),0)+IFERROR(ROUND(VLOOKUP($A265,S275_21,2,FALSE)*VLOOKUP($A265,'3121% SY'!$C$3:$M$324,11,FALSE),3),0)+IFERROR(ROUND(VLOOKUP($A265,S275_21,3,FALSE)*VLOOKUP($A265,'3121% SY'!$C$3:$M$324,11,FALSE),3),0)+IFERROR(ROUND(VLOOKUP($A265,S275_21,4,FALSE)*VLOOKUP($A265,'3121% SY'!$C$3:$M$324,11,FALSE),3),0)+IFERROR(VLOOKUP($A265,S275_09,2,FALSE),0)</f>
        <v>0</v>
      </c>
      <c r="AE265" s="267">
        <f>IFERROR(VLOOKUP($A265,Supp_25,14,FALSE),0)+IFERROR(SUMPRODUCT(VLOOKUP($A265,S275_01,{5,6,7},FALSE)),0)+IFERROR(SUMPRODUCT(VLOOKUP($A265,S275_97,{5,6,7},FALSE)),0)+IFERROR(ROUND(VLOOKUP($A265,S275_21,5,FALSE)*VLOOKUP($A265,'3121% SY'!$C$3:$M$324,11,FALSE),3),0)+IFERROR(ROUND(VLOOKUP($A265,S275_21,6,FALSE)*VLOOKUP($A265,'3121% SY'!$C$3:$M$324,11,FALSE),3),0)+IFERROR(ROUND(VLOOKUP($A265,S275_21,7,FALSE)*VLOOKUP($A265,'3121% SY'!$C$3:$M$324,11,FALSE),3),0)+IFERROR(VLOOKUP($A265,S275_09,3,FALSE),0)</f>
        <v>3.6669999999999998</v>
      </c>
      <c r="AF265" s="267">
        <f>IFERROR(VLOOKUP($A265,Supp_26,14,FALSE),0)+IFERROR(SUMPRODUCT(VLOOKUP($A265,S275_01,{8,9,10},FALSE)),0)+IFERROR(SUMPRODUCT(VLOOKUP($A265,S275_97,{8,9,10},FALSE)),0)+IFERROR(ROUND(VLOOKUP($A265,S275_21,8,FALSE)*VLOOKUP($A265,'3121% SY'!$C$3:$M$324,11,FALSE),3),0)+IFERROR(ROUND(VLOOKUP($A265,S275_21,9,FALSE)*VLOOKUP($A265,'3121% SY'!$C$3:$M$324,11,FALSE),3),0)+IFERROR(ROUND(VLOOKUP($A265,S275_21,10,FALSE)*VLOOKUP($A265,'3121% SY'!$C$3:$M$324,11,FALSE),3),0)+IFERROR(VLOOKUP($A265,S275_09,4,FALSE),0)</f>
        <v>1.6539999999999999</v>
      </c>
      <c r="AG265" s="267">
        <f>IFERROR(VLOOKUP($A265,Supp_35,14,FALSE),0)+IFERROR(SUMPRODUCT(VLOOKUP($A265,S275_01,{11,12,13},FALSE)),0)+IFERROR(SUMPRODUCT(VLOOKUP($A265,S275_97,{11,12,13},FALSE)),0)+IFERROR(ROUND(VLOOKUP($A265,S275_21,11,FALSE)*VLOOKUP($A265,'3121% SY'!$C$3:$M$324,11,FALSE),3),0)+IFERROR(ROUND(VLOOKUP($A265,S275_21,12,FALSE)*VLOOKUP($A265,'3121% SY'!$C$3:$M$324,11,FALSE),3),0)+IFERROR(ROUND(VLOOKUP($A265,S275_21,13,FALSE)*VLOOKUP($A265,'3121% SY'!$C$3:$M$324,11,FALSE),3),0)+IFERROR(VLOOKUP($A265,S275_09,5,FALSE),0)</f>
        <v>0</v>
      </c>
      <c r="AH265" s="165">
        <f t="shared" si="58"/>
        <v>5.3209999999999997</v>
      </c>
      <c r="AI265" s="161">
        <f>IFERROR(VLOOKUP(A265,'Supp Staff Data'!A:ER,148,FALSE),0)+AB265</f>
        <v>0</v>
      </c>
      <c r="AJ265" s="174">
        <v>0.94740000000000002</v>
      </c>
      <c r="AK265" s="25">
        <f>VLOOKUP(A265,'Enroll Data as of January 2025'!$A$3:$T$323,20,FALSE)-F265</f>
        <v>0</v>
      </c>
    </row>
    <row r="266" spans="1:37" x14ac:dyDescent="0.25">
      <c r="A266" s="171" t="s">
        <v>125</v>
      </c>
      <c r="B266" t="s">
        <v>421</v>
      </c>
      <c r="C266" s="173" t="s">
        <v>1077</v>
      </c>
      <c r="D266" s="259">
        <f t="shared" si="50"/>
        <v>16.815999999999999</v>
      </c>
      <c r="E266" s="259">
        <f t="shared" si="51"/>
        <v>20.109000000000002</v>
      </c>
      <c r="F266" s="262">
        <f t="shared" si="52"/>
        <v>3.2930000000000001</v>
      </c>
      <c r="G266" s="161">
        <f>ROUND(IF(F266&lt;0,F266*'2024-25 PSES Compliance'!$G$13,0),3)</f>
        <v>0</v>
      </c>
      <c r="H266" s="161">
        <f>ROUND(IF(F266&lt;0,F266*'2024-25 PSES Compliance'!$G$14,0),3)</f>
        <v>0</v>
      </c>
      <c r="I266" s="174">
        <f t="shared" si="53"/>
        <v>0.50604207071460539</v>
      </c>
      <c r="J266" s="174">
        <f t="shared" si="54"/>
        <v>4.2020985628325618E-2</v>
      </c>
      <c r="K266" s="161">
        <f>VLOOKUP($A266,'Enroll Data as of January 2025'!$A$3:$M$322,6,FALSE)</f>
        <v>9.4390000000000001</v>
      </c>
      <c r="L266" s="161">
        <f>VLOOKUP($A266,'Enroll Data as of January 2025'!$A$3:$M$322,7,FALSE)</f>
        <v>1.5489999999999999</v>
      </c>
      <c r="M266" s="161">
        <f>VLOOKUP($A266,'Enroll Data as of January 2025'!$A$3:$M$322,8,FALSE)</f>
        <v>0.51900000000000002</v>
      </c>
      <c r="N266" s="161">
        <f>VLOOKUP($A266,'Enroll Data as of January 2025'!$A$3:$M$322,9,FALSE)</f>
        <v>4.37</v>
      </c>
      <c r="O266" s="165">
        <f t="shared" si="55"/>
        <v>15.876999999999999</v>
      </c>
      <c r="P266" s="161">
        <f>VLOOKUP($A266,'Enroll Data as of January 2025'!$A$3:$M$322,11,FALSE)</f>
        <v>0.59099999999999997</v>
      </c>
      <c r="Q266" s="161">
        <f>VLOOKUP($A266,'Enroll Data as of January 2025'!$A$3:$M$322,12,FALSE)</f>
        <v>0.34799999999999998</v>
      </c>
      <c r="R266" s="165">
        <f t="shared" si="56"/>
        <v>0.93899999999999995</v>
      </c>
      <c r="S266" s="267">
        <f>IFERROR(VLOOKUP($A266,Supp_39,14,FALSE),0)+IFERROR(SUMPRODUCT(VLOOKUP($A266,S275_01,{14,15,16},FALSE)),0)+IFERROR(SUMPRODUCT(VLOOKUP($A266,S275_97,{14,15,16},FALSE)),0)+IFERROR(ROUND(VLOOKUP($A266,S275_21,14,FALSE)*VLOOKUP($A266,'3121% SY'!$C$3:$M$324,11,FALSE),3),0)+IFERROR(ROUND(VLOOKUP($A266,S275_21,15,FALSE)*VLOOKUP($A266,'3121% SY'!$C$3:$M$324,11,FALSE),3),0)+IFERROR(ROUND(VLOOKUP($A266,S275_21,16,FALSE)*VLOOKUP($A266,'3121% SY'!$C$3:$M$324,11,FALSE),3),0)+IFERROR(VLOOKUP($A266,S275_09,6,FALSE),0)</f>
        <v>6</v>
      </c>
      <c r="T266" s="267">
        <f>IFERROR(VLOOKUP($A266,Supp_42,14,FALSE),0)+IFERROR(SUMPRODUCT(VLOOKUP($A266,S275_01,{17,18,19},FALSE)),0)+IFERROR(SUMPRODUCT(VLOOKUP($A266,S275_97,{17,18,19},FALSE)),0)+IFERROR(ROUND(VLOOKUP($A266,S275_21,17,FALSE)*VLOOKUP($A266,'3121% SY'!$C$3:$M$324,11,FALSE),3),0)+IFERROR(ROUND(VLOOKUP($A266,S275_21,18,FALSE)*VLOOKUP($A266,'3121% SY'!$C$3:$M$324,11,FALSE),3),0)+IFERROR(ROUND(VLOOKUP($A266,S275_21,19,FALSE)*VLOOKUP($A266,'3121% SY'!$C$3:$M$324,11,FALSE),3),0)+IFERROR(VLOOKUP($A266,S275_09,7,FALSE),0)</f>
        <v>2</v>
      </c>
      <c r="U266" s="267">
        <f>IFERROR(VLOOKUP($A266,Supp_43,14,FALSE),0)+IFERROR(SUMPRODUCT(VLOOKUP($A266,S275_01,{20,21,22},FALSE)),0)+IFERROR(SUMPRODUCT(VLOOKUP($A266,S275_97,{20,21,22},FALSE)),0)+IFERROR(ROUND(VLOOKUP($A266,S275_21,20,FALSE)*VLOOKUP($A266,'3121% SY'!$C$3:$M$324,11,FALSE),3),0)+IFERROR(ROUND(VLOOKUP($A266,S275_21,21,FALSE)*VLOOKUP($A266,'3121% SY'!$C$3:$M$324,11,FALSE),3),0)+IFERROR(ROUND(VLOOKUP($A266,S275_21,22,FALSE)*VLOOKUP($A266,'3121% SY'!$C$3:$M$324,11,FALSE),3),0)+IFERROR(VLOOKUP($A266,S275_09,8,FALSE),0)</f>
        <v>0</v>
      </c>
      <c r="V266" s="267">
        <f>IFERROR(VLOOKUP($A266,Supp_44,14,FALSE),0)+IFERROR(SUMPRODUCT(VLOOKUP($A266,S275_01,{23,24,25},FALSE)),0)+IFERROR(SUMPRODUCT(VLOOKUP($A266,S275_97,{23,24,25},FALSE)),0)+IFERROR(ROUND(VLOOKUP($A266,S275_21,23,FALSE)*VLOOKUP($A266,'3121% SY'!$C$3:$M$324,11,FALSE),3),0)+IFERROR(ROUND(VLOOKUP($A266,S275_21,24,FALSE)*VLOOKUP($A266,'3121% SY'!$C$3:$M$324,11,FALSE),3),0)+IFERROR(ROUND(VLOOKUP($A266,S275_21,25,FALSE)*VLOOKUP($A266,'3121% SY'!$C$3:$M$324,11,FALSE),3),0)+IFERROR(VLOOKUP($A266,S275_09,9,FALSE),0)</f>
        <v>0</v>
      </c>
      <c r="W266" s="267">
        <f>IFERROR(VLOOKUP($A266,Supp_45,14,FALSE),0)+IFERROR(SUMPRODUCT(VLOOKUP($A266,S275_01,{26,27,28},FALSE)),0)+IFERROR(SUMPRODUCT(VLOOKUP($A266,S275_97,{26,27,28},FALSE)),0)+IFERROR(ROUND(VLOOKUP($A266,S275_21,26,FALSE)*VLOOKUP($A266,'3121% SY'!$C$3:$M$324,11,FALSE),3),0)+IFERROR(ROUND(VLOOKUP($A266,S275_21,27,FALSE)*VLOOKUP($A266,'3121% SY'!$C$3:$M$324,11,FALSE),3),0)+IFERROR(ROUND(VLOOKUP($A266,S275_21,28,FALSE)*VLOOKUP($A266,'3121% SY'!$C$3:$M$324,11,FALSE),3),0)+IFERROR(VLOOKUP($A266,S275_09,10,FALSE),0)</f>
        <v>0.22800000000000001</v>
      </c>
      <c r="X266" s="267">
        <f>IFERROR(VLOOKUP($A266,Supp_46,14,FALSE),0)+IFERROR(SUMPRODUCT(VLOOKUP($A266,S275_01,{29,30,31},FALSE)),0)+IFERROR(SUMPRODUCT(VLOOKUP($A266,S275_97,{29,30,31},FALSE)),0)+IFERROR(ROUND(VLOOKUP($A266,S275_21,29,FALSE)*VLOOKUP($A266,'3121% SY'!$C$3:$M$324,11,FALSE),3),0)+IFERROR(ROUND(VLOOKUP($A266,S275_21,30,FALSE)*VLOOKUP($A266,'3121% SY'!$C$3:$M$324,11,FALSE),3),0)+IFERROR(ROUND(VLOOKUP($A266,S275_21,31,FALSE)*VLOOKUP($A266,'3121% SY'!$C$3:$M$324,11,FALSE),3),0)+IFERROR(VLOOKUP($A266,S275_09,11,FALSE),0)</f>
        <v>1.103</v>
      </c>
      <c r="Y266" s="267">
        <f>IFERROR(VLOOKUP($A266,Supp_47,14,FALSE),0)+IFERROR(SUMPRODUCT(VLOOKUP($A266,S275_01,{32,33,34},FALSE)),0)+IFERROR(SUMPRODUCT(VLOOKUP($A266,S275_97,{32,33,34},FALSE)),0)+IFERROR(ROUND(VLOOKUP($A266,S275_21,32,FALSE)*VLOOKUP($A266,'3121% SY'!$C$3:$M$324,11,FALSE),3),0)+IFERROR(ROUND(VLOOKUP($A266,S275_21,33,FALSE)*VLOOKUP($A266,'3121% SY'!$C$3:$M$324,11,FALSE),3),0)+IFERROR(ROUND(VLOOKUP($A266,S275_21,34,FALSE)*VLOOKUP($A266,'3121% SY'!$C$3:$M$324,11,FALSE),3),0)+IFERROR(VLOOKUP($A266,S275_09,12,FALSE),0)</f>
        <v>0</v>
      </c>
      <c r="Z266" s="267">
        <f>IFERROR(VLOOKUP($A266,Supp_48,14,FALSE),0)+IFERROR(SUMPRODUCT(VLOOKUP($A266,S275_01,{35,36,37},FALSE)),0)+IFERROR(SUMPRODUCT(VLOOKUP($A266,S275_97,{35,36,37},FALSE)),0)+IFERROR(ROUND(VLOOKUP($A266,S275_21,35,FALSE)*VLOOKUP($A266,'3121% SY'!$C$3:$M$324,11,FALSE),3),0)+IFERROR(ROUND(VLOOKUP($A266,S275_21,36,FALSE)*VLOOKUP($A266,'3121% SY'!$C$3:$M$324,11,FALSE),3),0)+IFERROR(ROUND(VLOOKUP($A266,S275_21,37,FALSE)*VLOOKUP($A266,'3121% SY'!$C$3:$M$324,11,FALSE),3),0)+IFERROR(VLOOKUP($A266,S275_09,13,FALSE),0)</f>
        <v>0</v>
      </c>
      <c r="AA266" s="267">
        <f>IFERROR(VLOOKUP($A266,Supp_49,14,FALSE),0)+IFERROR(SUMPRODUCT(VLOOKUP($A266,S275_01,{38,39,40},FALSE)),0)+IFERROR(SUMPRODUCT(VLOOKUP($A266,S275_97,{38,39,40},FALSE)),0)+IFERROR(ROUND(VLOOKUP($A266,S275_21,38,FALSE)*VLOOKUP($A266,'3121% SY'!$C$3:$M$324,11,FALSE),3),0)+IFERROR(ROUND(VLOOKUP($A266,S275_21,39,FALSE)*VLOOKUP($A266,'3121% SY'!$C$3:$M$324,11,FALSE),3),0)+IFERROR(ROUND(VLOOKUP($A266,S275_21,40,FALSE)*VLOOKUP($A266,'3121% SY'!$C$3:$M$324,11,FALSE),3),0)+IFERROR(VLOOKUP($A266,S275_09,14,FALSE),0)</f>
        <v>0</v>
      </c>
      <c r="AB266" s="267">
        <f>IFERROR(VLOOKUP($A266,Supp_64,14,FALSE),0)+IFERROR(SUMPRODUCT(VLOOKUP($A266,S275_01,{41,42,43},FALSE)),0)+IFERROR(SUMPRODUCT(VLOOKUP($A266,S275_97,{41,42,43},FALSE)),0)+IFERROR(ROUND(VLOOKUP($A266,S275_21,41,FALSE)*VLOOKUP($A266,'3121% SY'!$C$3:$M$324,11,FALSE),3),0)+IFERROR(ROUND(VLOOKUP($A266,S275_21,42,FALSE)*VLOOKUP($A266,'3121% SY'!$C$3:$M$324,11,FALSE),3),0)+IFERROR(ROUND(VLOOKUP($A266,S275_21,43,FALSE)*VLOOKUP($A266,'3121% SY'!$C$3:$M$324,11,FALSE),3),0)+IFERROR(VLOOKUP($A266,S275_09,15,FALSE),0)</f>
        <v>0.84499999999999997</v>
      </c>
      <c r="AC266" s="268">
        <f t="shared" si="57"/>
        <v>10.176</v>
      </c>
      <c r="AD266" s="267">
        <f>IFERROR(VLOOKUP($A266,Supp_24,14,FALSE),0)+IFERROR(SUMPRODUCT(VLOOKUP($A266,S275_01,{2,3,4},FALSE)),0)+IFERROR(SUMPRODUCT(VLOOKUP($A266,S275_97,{2,3,4},FALSE)),0)+IFERROR(ROUND(VLOOKUP($A266,S275_21,2,FALSE)*VLOOKUP($A266,'3121% SY'!$C$3:$M$324,11,FALSE),3),0)+IFERROR(ROUND(VLOOKUP($A266,S275_21,3,FALSE)*VLOOKUP($A266,'3121% SY'!$C$3:$M$324,11,FALSE),3),0)+IFERROR(ROUND(VLOOKUP($A266,S275_21,4,FALSE)*VLOOKUP($A266,'3121% SY'!$C$3:$M$324,11,FALSE),3),0)+IFERROR(VLOOKUP($A266,S275_09,2,FALSE),0)</f>
        <v>0</v>
      </c>
      <c r="AE266" s="267">
        <f>IFERROR(VLOOKUP($A266,Supp_25,14,FALSE),0)+IFERROR(SUMPRODUCT(VLOOKUP($A266,S275_01,{5,6,7},FALSE)),0)+IFERROR(SUMPRODUCT(VLOOKUP($A266,S275_97,{5,6,7},FALSE)),0)+IFERROR(ROUND(VLOOKUP($A266,S275_21,5,FALSE)*VLOOKUP($A266,'3121% SY'!$C$3:$M$324,11,FALSE),3),0)+IFERROR(ROUND(VLOOKUP($A266,S275_21,6,FALSE)*VLOOKUP($A266,'3121% SY'!$C$3:$M$324,11,FALSE),3),0)+IFERROR(ROUND(VLOOKUP($A266,S275_21,7,FALSE)*VLOOKUP($A266,'3121% SY'!$C$3:$M$324,11,FALSE),3),0)+IFERROR(VLOOKUP($A266,S275_09,3,FALSE),0)</f>
        <v>5.5490000000000004</v>
      </c>
      <c r="AF266" s="267">
        <f>IFERROR(VLOOKUP($A266,Supp_26,14,FALSE),0)+IFERROR(SUMPRODUCT(VLOOKUP($A266,S275_01,{8,9,10},FALSE)),0)+IFERROR(SUMPRODUCT(VLOOKUP($A266,S275_97,{8,9,10},FALSE)),0)+IFERROR(ROUND(VLOOKUP($A266,S275_21,8,FALSE)*VLOOKUP($A266,'3121% SY'!$C$3:$M$324,11,FALSE),3),0)+IFERROR(ROUND(VLOOKUP($A266,S275_21,9,FALSE)*VLOOKUP($A266,'3121% SY'!$C$3:$M$324,11,FALSE),3),0)+IFERROR(ROUND(VLOOKUP($A266,S275_21,10,FALSE)*VLOOKUP($A266,'3121% SY'!$C$3:$M$324,11,FALSE),3),0)+IFERROR(VLOOKUP($A266,S275_09,4,FALSE),0)</f>
        <v>4.3840000000000003</v>
      </c>
      <c r="AG266" s="267">
        <f>IFERROR(VLOOKUP($A266,Supp_35,14,FALSE),0)+IFERROR(SUMPRODUCT(VLOOKUP($A266,S275_01,{11,12,13},FALSE)),0)+IFERROR(SUMPRODUCT(VLOOKUP($A266,S275_97,{11,12,13},FALSE)),0)+IFERROR(ROUND(VLOOKUP($A266,S275_21,11,FALSE)*VLOOKUP($A266,'3121% SY'!$C$3:$M$324,11,FALSE),3),0)+IFERROR(ROUND(VLOOKUP($A266,S275_21,12,FALSE)*VLOOKUP($A266,'3121% SY'!$C$3:$M$324,11,FALSE),3),0)+IFERROR(ROUND(VLOOKUP($A266,S275_21,13,FALSE)*VLOOKUP($A266,'3121% SY'!$C$3:$M$324,11,FALSE),3),0)+IFERROR(VLOOKUP($A266,S275_09,5,FALSE),0)</f>
        <v>0</v>
      </c>
      <c r="AH266" s="165">
        <f t="shared" si="58"/>
        <v>9.9329999999999998</v>
      </c>
      <c r="AI266" s="161">
        <f>IFERROR(VLOOKUP(A266,'Supp Staff Data'!A:ER,148,FALSE),0)+AB266</f>
        <v>0.84499999999999997</v>
      </c>
      <c r="AJ266" s="174">
        <v>1</v>
      </c>
      <c r="AK266" s="25">
        <f>VLOOKUP(A266,'Enroll Data as of January 2025'!$A$3:$T$323,20,FALSE)-F266</f>
        <v>0</v>
      </c>
    </row>
    <row r="267" spans="1:37" x14ac:dyDescent="0.25">
      <c r="A267" s="171" t="s">
        <v>272</v>
      </c>
      <c r="B267" t="s">
        <v>568</v>
      </c>
      <c r="C267" s="173" t="s">
        <v>1086</v>
      </c>
      <c r="D267" s="259">
        <f t="shared" si="50"/>
        <v>9.0039999999999996</v>
      </c>
      <c r="E267" s="259">
        <f t="shared" si="51"/>
        <v>14.143999999999998</v>
      </c>
      <c r="F267" s="262">
        <f t="shared" si="52"/>
        <v>5.14</v>
      </c>
      <c r="G267" s="161">
        <f>ROUND(IF(F267&lt;0,F267*'2024-25 PSES Compliance'!$G$13,0),3)</f>
        <v>0</v>
      </c>
      <c r="H267" s="161">
        <f>ROUND(IF(F267&lt;0,F267*'2024-25 PSES Compliance'!$G$14,0),3)</f>
        <v>0</v>
      </c>
      <c r="I267" s="174">
        <f t="shared" si="53"/>
        <v>0.61708144796380093</v>
      </c>
      <c r="J267" s="174">
        <f t="shared" si="54"/>
        <v>0</v>
      </c>
      <c r="K267" s="161">
        <f>VLOOKUP($A267,'Enroll Data as of January 2025'!$A$3:$M$322,6,FALSE)</f>
        <v>5.1139999999999999</v>
      </c>
      <c r="L267" s="161">
        <f>VLOOKUP($A267,'Enroll Data as of January 2025'!$A$3:$M$322,7,FALSE)</f>
        <v>0.81100000000000005</v>
      </c>
      <c r="M267" s="161">
        <f>VLOOKUP($A267,'Enroll Data as of January 2025'!$A$3:$M$322,8,FALSE)</f>
        <v>0.27200000000000002</v>
      </c>
      <c r="N267" s="161">
        <f>VLOOKUP($A267,'Enroll Data as of January 2025'!$A$3:$M$322,9,FALSE)</f>
        <v>2.31</v>
      </c>
      <c r="O267" s="165">
        <f t="shared" si="55"/>
        <v>8.5069999999999997</v>
      </c>
      <c r="P267" s="161">
        <f>VLOOKUP($A267,'Enroll Data as of January 2025'!$A$3:$M$322,11,FALSE)</f>
        <v>0.31699999999999995</v>
      </c>
      <c r="Q267" s="161">
        <f>VLOOKUP($A267,'Enroll Data as of January 2025'!$A$3:$M$322,12,FALSE)</f>
        <v>0.18</v>
      </c>
      <c r="R267" s="165">
        <f t="shared" si="56"/>
        <v>0.49699999999999994</v>
      </c>
      <c r="S267" s="267">
        <f>IFERROR(VLOOKUP($A267,Supp_39,14,FALSE),0)+IFERROR(SUMPRODUCT(VLOOKUP($A267,S275_01,{14,15,16},FALSE)),0)+IFERROR(SUMPRODUCT(VLOOKUP($A267,S275_97,{14,15,16},FALSE)),0)+IFERROR(ROUND(VLOOKUP($A267,S275_21,14,FALSE)*VLOOKUP($A267,'3121% SY'!$C$3:$M$324,11,FALSE),3),0)+IFERROR(ROUND(VLOOKUP($A267,S275_21,15,FALSE)*VLOOKUP($A267,'3121% SY'!$C$3:$M$324,11,FALSE),3),0)+IFERROR(ROUND(VLOOKUP($A267,S275_21,16,FALSE)*VLOOKUP($A267,'3121% SY'!$C$3:$M$324,11,FALSE),3),0)+IFERROR(VLOOKUP($A267,S275_09,6,FALSE),0)</f>
        <v>4.1630000000000003</v>
      </c>
      <c r="T267" s="267">
        <f>IFERROR(VLOOKUP($A267,Supp_42,14,FALSE),0)+IFERROR(SUMPRODUCT(VLOOKUP($A267,S275_01,{17,18,19},FALSE)),0)+IFERROR(SUMPRODUCT(VLOOKUP($A267,S275_97,{17,18,19},FALSE)),0)+IFERROR(ROUND(VLOOKUP($A267,S275_21,17,FALSE)*VLOOKUP($A267,'3121% SY'!$C$3:$M$324,11,FALSE),3),0)+IFERROR(ROUND(VLOOKUP($A267,S275_21,18,FALSE)*VLOOKUP($A267,'3121% SY'!$C$3:$M$324,11,FALSE),3),0)+IFERROR(ROUND(VLOOKUP($A267,S275_21,19,FALSE)*VLOOKUP($A267,'3121% SY'!$C$3:$M$324,11,FALSE),3),0)+IFERROR(VLOOKUP($A267,S275_09,7,FALSE),0)</f>
        <v>1.887</v>
      </c>
      <c r="U267" s="267">
        <f>IFERROR(VLOOKUP($A267,Supp_43,14,FALSE),0)+IFERROR(SUMPRODUCT(VLOOKUP($A267,S275_01,{20,21,22},FALSE)),0)+IFERROR(SUMPRODUCT(VLOOKUP($A267,S275_97,{20,21,22},FALSE)),0)+IFERROR(ROUND(VLOOKUP($A267,S275_21,20,FALSE)*VLOOKUP($A267,'3121% SY'!$C$3:$M$324,11,FALSE),3),0)+IFERROR(ROUND(VLOOKUP($A267,S275_21,21,FALSE)*VLOOKUP($A267,'3121% SY'!$C$3:$M$324,11,FALSE),3),0)+IFERROR(ROUND(VLOOKUP($A267,S275_21,22,FALSE)*VLOOKUP($A267,'3121% SY'!$C$3:$M$324,11,FALSE),3),0)+IFERROR(VLOOKUP($A267,S275_09,8,FALSE),0)</f>
        <v>0.28400000000000003</v>
      </c>
      <c r="V267" s="267">
        <f>IFERROR(VLOOKUP($A267,Supp_44,14,FALSE),0)+IFERROR(SUMPRODUCT(VLOOKUP($A267,S275_01,{23,24,25},FALSE)),0)+IFERROR(SUMPRODUCT(VLOOKUP($A267,S275_97,{23,24,25},FALSE)),0)+IFERROR(ROUND(VLOOKUP($A267,S275_21,23,FALSE)*VLOOKUP($A267,'3121% SY'!$C$3:$M$324,11,FALSE),3),0)+IFERROR(ROUND(VLOOKUP($A267,S275_21,24,FALSE)*VLOOKUP($A267,'3121% SY'!$C$3:$M$324,11,FALSE),3),0)+IFERROR(ROUND(VLOOKUP($A267,S275_21,25,FALSE)*VLOOKUP($A267,'3121% SY'!$C$3:$M$324,11,FALSE),3),0)+IFERROR(VLOOKUP($A267,S275_09,9,FALSE),0)</f>
        <v>0</v>
      </c>
      <c r="W267" s="267">
        <f>IFERROR(VLOOKUP($A267,Supp_45,14,FALSE),0)+IFERROR(SUMPRODUCT(VLOOKUP($A267,S275_01,{26,27,28},FALSE)),0)+IFERROR(SUMPRODUCT(VLOOKUP($A267,S275_97,{26,27,28},FALSE)),0)+IFERROR(ROUND(VLOOKUP($A267,S275_21,26,FALSE)*VLOOKUP($A267,'3121% SY'!$C$3:$M$324,11,FALSE),3),0)+IFERROR(ROUND(VLOOKUP($A267,S275_21,27,FALSE)*VLOOKUP($A267,'3121% SY'!$C$3:$M$324,11,FALSE),3),0)+IFERROR(ROUND(VLOOKUP($A267,S275_21,28,FALSE)*VLOOKUP($A267,'3121% SY'!$C$3:$M$324,11,FALSE),3),0)+IFERROR(VLOOKUP($A267,S275_09,10,FALSE),0)</f>
        <v>0.193</v>
      </c>
      <c r="X267" s="267">
        <f>IFERROR(VLOOKUP($A267,Supp_46,14,FALSE),0)+IFERROR(SUMPRODUCT(VLOOKUP($A267,S275_01,{29,30,31},FALSE)),0)+IFERROR(SUMPRODUCT(VLOOKUP($A267,S275_97,{29,30,31},FALSE)),0)+IFERROR(ROUND(VLOOKUP($A267,S275_21,29,FALSE)*VLOOKUP($A267,'3121% SY'!$C$3:$M$324,11,FALSE),3),0)+IFERROR(ROUND(VLOOKUP($A267,S275_21,30,FALSE)*VLOOKUP($A267,'3121% SY'!$C$3:$M$324,11,FALSE),3),0)+IFERROR(ROUND(VLOOKUP($A267,S275_21,31,FALSE)*VLOOKUP($A267,'3121% SY'!$C$3:$M$324,11,FALSE),3),0)+IFERROR(VLOOKUP($A267,S275_09,11,FALSE),0)</f>
        <v>1.546</v>
      </c>
      <c r="Y267" s="267">
        <f>IFERROR(VLOOKUP($A267,Supp_47,14,FALSE),0)+IFERROR(SUMPRODUCT(VLOOKUP($A267,S275_01,{32,33,34},FALSE)),0)+IFERROR(SUMPRODUCT(VLOOKUP($A267,S275_97,{32,33,34},FALSE)),0)+IFERROR(ROUND(VLOOKUP($A267,S275_21,32,FALSE)*VLOOKUP($A267,'3121% SY'!$C$3:$M$324,11,FALSE),3),0)+IFERROR(ROUND(VLOOKUP($A267,S275_21,33,FALSE)*VLOOKUP($A267,'3121% SY'!$C$3:$M$324,11,FALSE),3),0)+IFERROR(ROUND(VLOOKUP($A267,S275_21,34,FALSE)*VLOOKUP($A267,'3121% SY'!$C$3:$M$324,11,FALSE),3),0)+IFERROR(VLOOKUP($A267,S275_09,12,FALSE),0)</f>
        <v>0.53900000000000003</v>
      </c>
      <c r="Z267" s="267">
        <f>IFERROR(VLOOKUP($A267,Supp_48,14,FALSE),0)+IFERROR(SUMPRODUCT(VLOOKUP($A267,S275_01,{35,36,37},FALSE)),0)+IFERROR(SUMPRODUCT(VLOOKUP($A267,S275_97,{35,36,37},FALSE)),0)+IFERROR(ROUND(VLOOKUP($A267,S275_21,35,FALSE)*VLOOKUP($A267,'3121% SY'!$C$3:$M$324,11,FALSE),3),0)+IFERROR(ROUND(VLOOKUP($A267,S275_21,36,FALSE)*VLOOKUP($A267,'3121% SY'!$C$3:$M$324,11,FALSE),3),0)+IFERROR(ROUND(VLOOKUP($A267,S275_21,37,FALSE)*VLOOKUP($A267,'3121% SY'!$C$3:$M$324,11,FALSE),3),0)+IFERROR(VLOOKUP($A267,S275_09,13,FALSE),0)</f>
        <v>0.11600000000000001</v>
      </c>
      <c r="AA267" s="267">
        <f>IFERROR(VLOOKUP($A267,Supp_49,14,FALSE),0)+IFERROR(SUMPRODUCT(VLOOKUP($A267,S275_01,{38,39,40},FALSE)),0)+IFERROR(SUMPRODUCT(VLOOKUP($A267,S275_97,{38,39,40},FALSE)),0)+IFERROR(ROUND(VLOOKUP($A267,S275_21,38,FALSE)*VLOOKUP($A267,'3121% SY'!$C$3:$M$324,11,FALSE),3),0)+IFERROR(ROUND(VLOOKUP($A267,S275_21,39,FALSE)*VLOOKUP($A267,'3121% SY'!$C$3:$M$324,11,FALSE),3),0)+IFERROR(ROUND(VLOOKUP($A267,S275_21,40,FALSE)*VLOOKUP($A267,'3121% SY'!$C$3:$M$324,11,FALSE),3),0)+IFERROR(VLOOKUP($A267,S275_09,14,FALSE),0)</f>
        <v>0</v>
      </c>
      <c r="AB267" s="267">
        <f>IFERROR(VLOOKUP($A267,Supp_64,14,FALSE),0)+IFERROR(SUMPRODUCT(VLOOKUP($A267,S275_01,{41,42,43},FALSE)),0)+IFERROR(SUMPRODUCT(VLOOKUP($A267,S275_97,{41,42,43},FALSE)),0)+IFERROR(ROUND(VLOOKUP($A267,S275_21,41,FALSE)*VLOOKUP($A267,'3121% SY'!$C$3:$M$324,11,FALSE),3),0)+IFERROR(ROUND(VLOOKUP($A267,S275_21,42,FALSE)*VLOOKUP($A267,'3121% SY'!$C$3:$M$324,11,FALSE),3),0)+IFERROR(ROUND(VLOOKUP($A267,S275_21,43,FALSE)*VLOOKUP($A267,'3121% SY'!$C$3:$M$324,11,FALSE),3),0)+IFERROR(VLOOKUP($A267,S275_09,15,FALSE),0)</f>
        <v>0</v>
      </c>
      <c r="AC267" s="268">
        <f t="shared" si="57"/>
        <v>8.7279999999999998</v>
      </c>
      <c r="AD267" s="267">
        <f>IFERROR(VLOOKUP($A267,Supp_24,14,FALSE),0)+IFERROR(SUMPRODUCT(VLOOKUP($A267,S275_01,{2,3,4},FALSE)),0)+IFERROR(SUMPRODUCT(VLOOKUP($A267,S275_97,{2,3,4},FALSE)),0)+IFERROR(ROUND(VLOOKUP($A267,S275_21,2,FALSE)*VLOOKUP($A267,'3121% SY'!$C$3:$M$324,11,FALSE),3),0)+IFERROR(ROUND(VLOOKUP($A267,S275_21,3,FALSE)*VLOOKUP($A267,'3121% SY'!$C$3:$M$324,11,FALSE),3),0)+IFERROR(ROUND(VLOOKUP($A267,S275_21,4,FALSE)*VLOOKUP($A267,'3121% SY'!$C$3:$M$324,11,FALSE),3),0)+IFERROR(VLOOKUP($A267,S275_09,2,FALSE),0)</f>
        <v>1.21</v>
      </c>
      <c r="AE267" s="267">
        <f>IFERROR(VLOOKUP($A267,Supp_25,14,FALSE),0)+IFERROR(SUMPRODUCT(VLOOKUP($A267,S275_01,{5,6,7},FALSE)),0)+IFERROR(SUMPRODUCT(VLOOKUP($A267,S275_97,{5,6,7},FALSE)),0)+IFERROR(ROUND(VLOOKUP($A267,S275_21,5,FALSE)*VLOOKUP($A267,'3121% SY'!$C$3:$M$324,11,FALSE),3),0)+IFERROR(ROUND(VLOOKUP($A267,S275_21,6,FALSE)*VLOOKUP($A267,'3121% SY'!$C$3:$M$324,11,FALSE),3),0)+IFERROR(ROUND(VLOOKUP($A267,S275_21,7,FALSE)*VLOOKUP($A267,'3121% SY'!$C$3:$M$324,11,FALSE),3),0)+IFERROR(VLOOKUP($A267,S275_09,3,FALSE),0)</f>
        <v>3.1239999999999997</v>
      </c>
      <c r="AF267" s="267">
        <f>IFERROR(VLOOKUP($A267,Supp_26,14,FALSE),0)+IFERROR(SUMPRODUCT(VLOOKUP($A267,S275_01,{8,9,10},FALSE)),0)+IFERROR(SUMPRODUCT(VLOOKUP($A267,S275_97,{8,9,10},FALSE)),0)+IFERROR(ROUND(VLOOKUP($A267,S275_21,8,FALSE)*VLOOKUP($A267,'3121% SY'!$C$3:$M$324,11,FALSE),3),0)+IFERROR(ROUND(VLOOKUP($A267,S275_21,9,FALSE)*VLOOKUP($A267,'3121% SY'!$C$3:$M$324,11,FALSE),3),0)+IFERROR(ROUND(VLOOKUP($A267,S275_21,10,FALSE)*VLOOKUP($A267,'3121% SY'!$C$3:$M$324,11,FALSE),3),0)+IFERROR(VLOOKUP($A267,S275_09,4,FALSE),0)</f>
        <v>1.0820000000000001</v>
      </c>
      <c r="AG267" s="267">
        <f>IFERROR(VLOOKUP($A267,Supp_35,14,FALSE),0)+IFERROR(SUMPRODUCT(VLOOKUP($A267,S275_01,{11,12,13},FALSE)),0)+IFERROR(SUMPRODUCT(VLOOKUP($A267,S275_97,{11,12,13},FALSE)),0)+IFERROR(ROUND(VLOOKUP($A267,S275_21,11,FALSE)*VLOOKUP($A267,'3121% SY'!$C$3:$M$324,11,FALSE),3),0)+IFERROR(ROUND(VLOOKUP($A267,S275_21,12,FALSE)*VLOOKUP($A267,'3121% SY'!$C$3:$M$324,11,FALSE),3),0)+IFERROR(ROUND(VLOOKUP($A267,S275_21,13,FALSE)*VLOOKUP($A267,'3121% SY'!$C$3:$M$324,11,FALSE),3),0)+IFERROR(VLOOKUP($A267,S275_09,5,FALSE),0)</f>
        <v>0</v>
      </c>
      <c r="AH267" s="165">
        <f t="shared" si="58"/>
        <v>5.4159999999999995</v>
      </c>
      <c r="AI267" s="161">
        <f>IFERROR(VLOOKUP(A267,'Supp Staff Data'!A:ER,148,FALSE),0)+AB267</f>
        <v>0</v>
      </c>
      <c r="AJ267" s="174">
        <v>1</v>
      </c>
      <c r="AK267" s="25">
        <f>VLOOKUP(A267,'Enroll Data as of January 2025'!$A$3:$T$323,20,FALSE)-F267</f>
        <v>0</v>
      </c>
    </row>
    <row r="268" spans="1:37" x14ac:dyDescent="0.25">
      <c r="A268" s="171" t="s">
        <v>18</v>
      </c>
      <c r="B268" t="s">
        <v>315</v>
      </c>
      <c r="C268" s="173" t="s">
        <v>1077</v>
      </c>
      <c r="D268" s="259">
        <f t="shared" si="50"/>
        <v>12.527999999999999</v>
      </c>
      <c r="E268" s="259">
        <f t="shared" si="51"/>
        <v>19.906999999999996</v>
      </c>
      <c r="F268" s="262">
        <f t="shared" si="52"/>
        <v>7.3789999999999996</v>
      </c>
      <c r="G268" s="161">
        <f>ROUND(IF(F268&lt;0,F268*'2024-25 PSES Compliance'!$G$13,0),3)</f>
        <v>0</v>
      </c>
      <c r="H268" s="161">
        <f>ROUND(IF(F268&lt;0,F268*'2024-25 PSES Compliance'!$G$14,0),3)</f>
        <v>0</v>
      </c>
      <c r="I268" s="174">
        <f t="shared" si="53"/>
        <v>0.37284890741950072</v>
      </c>
      <c r="J268" s="174">
        <f t="shared" si="54"/>
        <v>0</v>
      </c>
      <c r="K268" s="161">
        <f>VLOOKUP($A268,'Enroll Data as of January 2025'!$A$3:$M$322,6,FALSE)</f>
        <v>7.1239999999999997</v>
      </c>
      <c r="L268" s="161">
        <f>VLOOKUP($A268,'Enroll Data as of January 2025'!$A$3:$M$322,7,FALSE)</f>
        <v>1.119</v>
      </c>
      <c r="M268" s="161">
        <f>VLOOKUP($A268,'Enroll Data as of January 2025'!$A$3:$M$322,8,FALSE)</f>
        <v>0.376</v>
      </c>
      <c r="N268" s="161">
        <f>VLOOKUP($A268,'Enroll Data as of January 2025'!$A$3:$M$322,9,FALSE)</f>
        <v>3.2229999999999999</v>
      </c>
      <c r="O268" s="165">
        <f t="shared" si="55"/>
        <v>11.841999999999999</v>
      </c>
      <c r="P268" s="161">
        <f>VLOOKUP($A268,'Enroll Data as of January 2025'!$A$3:$M$322,11,FALSE)</f>
        <v>0.439</v>
      </c>
      <c r="Q268" s="161">
        <f>VLOOKUP($A268,'Enroll Data as of January 2025'!$A$3:$M$322,12,FALSE)</f>
        <v>0.247</v>
      </c>
      <c r="R268" s="165">
        <f t="shared" si="56"/>
        <v>0.68599999999999994</v>
      </c>
      <c r="S268" s="267">
        <f>IFERROR(VLOOKUP($A268,Supp_39,14,FALSE),0)+IFERROR(SUMPRODUCT(VLOOKUP($A268,S275_01,{14,15,16},FALSE)),0)+IFERROR(SUMPRODUCT(VLOOKUP($A268,S275_97,{14,15,16},FALSE)),0)+IFERROR(ROUND(VLOOKUP($A268,S275_21,14,FALSE)*VLOOKUP($A268,'3121% SY'!$C$3:$M$324,11,FALSE),3),0)+IFERROR(ROUND(VLOOKUP($A268,S275_21,15,FALSE)*VLOOKUP($A268,'3121% SY'!$C$3:$M$324,11,FALSE),3),0)+IFERROR(ROUND(VLOOKUP($A268,S275_21,16,FALSE)*VLOOKUP($A268,'3121% SY'!$C$3:$M$324,11,FALSE),3),0)+IFERROR(VLOOKUP($A268,S275_09,6,FALSE),0)</f>
        <v>4.5199999999999996</v>
      </c>
      <c r="T268" s="267">
        <f>IFERROR(VLOOKUP($A268,Supp_42,14,FALSE),0)+IFERROR(SUMPRODUCT(VLOOKUP($A268,S275_01,{17,18,19},FALSE)),0)+IFERROR(SUMPRODUCT(VLOOKUP($A268,S275_97,{17,18,19},FALSE)),0)+IFERROR(ROUND(VLOOKUP($A268,S275_21,17,FALSE)*VLOOKUP($A268,'3121% SY'!$C$3:$M$324,11,FALSE),3),0)+IFERROR(ROUND(VLOOKUP($A268,S275_21,18,FALSE)*VLOOKUP($A268,'3121% SY'!$C$3:$M$324,11,FALSE),3),0)+IFERROR(ROUND(VLOOKUP($A268,S275_21,19,FALSE)*VLOOKUP($A268,'3121% SY'!$C$3:$M$324,11,FALSE),3),0)+IFERROR(VLOOKUP($A268,S275_09,7,FALSE),0)</f>
        <v>2</v>
      </c>
      <c r="U268" s="267">
        <f>IFERROR(VLOOKUP($A268,Supp_43,14,FALSE),0)+IFERROR(SUMPRODUCT(VLOOKUP($A268,S275_01,{20,21,22},FALSE)),0)+IFERROR(SUMPRODUCT(VLOOKUP($A268,S275_97,{20,21,22},FALSE)),0)+IFERROR(ROUND(VLOOKUP($A268,S275_21,20,FALSE)*VLOOKUP($A268,'3121% SY'!$C$3:$M$324,11,FALSE),3),0)+IFERROR(ROUND(VLOOKUP($A268,S275_21,21,FALSE)*VLOOKUP($A268,'3121% SY'!$C$3:$M$324,11,FALSE),3),0)+IFERROR(ROUND(VLOOKUP($A268,S275_21,22,FALSE)*VLOOKUP($A268,'3121% SY'!$C$3:$M$324,11,FALSE),3),0)+IFERROR(VLOOKUP($A268,S275_09,8,FALSE),0)</f>
        <v>0.28100000000000003</v>
      </c>
      <c r="V268" s="267">
        <f>IFERROR(VLOOKUP($A268,Supp_44,14,FALSE),0)+IFERROR(SUMPRODUCT(VLOOKUP($A268,S275_01,{23,24,25},FALSE)),0)+IFERROR(SUMPRODUCT(VLOOKUP($A268,S275_97,{23,24,25},FALSE)),0)+IFERROR(ROUND(VLOOKUP($A268,S275_21,23,FALSE)*VLOOKUP($A268,'3121% SY'!$C$3:$M$324,11,FALSE),3),0)+IFERROR(ROUND(VLOOKUP($A268,S275_21,24,FALSE)*VLOOKUP($A268,'3121% SY'!$C$3:$M$324,11,FALSE),3),0)+IFERROR(ROUND(VLOOKUP($A268,S275_21,25,FALSE)*VLOOKUP($A268,'3121% SY'!$C$3:$M$324,11,FALSE),3),0)+IFERROR(VLOOKUP($A268,S275_09,9,FALSE),0)</f>
        <v>0</v>
      </c>
      <c r="W268" s="267">
        <f>IFERROR(VLOOKUP($A268,Supp_45,14,FALSE),0)+IFERROR(SUMPRODUCT(VLOOKUP($A268,S275_01,{26,27,28},FALSE)),0)+IFERROR(SUMPRODUCT(VLOOKUP($A268,S275_97,{26,27,28},FALSE)),0)+IFERROR(ROUND(VLOOKUP($A268,S275_21,26,FALSE)*VLOOKUP($A268,'3121% SY'!$C$3:$M$324,11,FALSE),3),0)+IFERROR(ROUND(VLOOKUP($A268,S275_21,27,FALSE)*VLOOKUP($A268,'3121% SY'!$C$3:$M$324,11,FALSE),3),0)+IFERROR(ROUND(VLOOKUP($A268,S275_21,28,FALSE)*VLOOKUP($A268,'3121% SY'!$C$3:$M$324,11,FALSE),3),0)+IFERROR(VLOOKUP($A268,S275_09,10,FALSE),0)</f>
        <v>0.84299999999999997</v>
      </c>
      <c r="X268" s="267">
        <f>IFERROR(VLOOKUP($A268,Supp_46,14,FALSE),0)+IFERROR(SUMPRODUCT(VLOOKUP($A268,S275_01,{29,30,31},FALSE)),0)+IFERROR(SUMPRODUCT(VLOOKUP($A268,S275_97,{29,30,31},FALSE)),0)+IFERROR(ROUND(VLOOKUP($A268,S275_21,29,FALSE)*VLOOKUP($A268,'3121% SY'!$C$3:$M$324,11,FALSE),3),0)+IFERROR(ROUND(VLOOKUP($A268,S275_21,30,FALSE)*VLOOKUP($A268,'3121% SY'!$C$3:$M$324,11,FALSE),3),0)+IFERROR(ROUND(VLOOKUP($A268,S275_21,31,FALSE)*VLOOKUP($A268,'3121% SY'!$C$3:$M$324,11,FALSE),3),0)+IFERROR(VLOOKUP($A268,S275_09,11,FALSE),0)</f>
        <v>0</v>
      </c>
      <c r="Y268" s="267">
        <f>IFERROR(VLOOKUP($A268,Supp_47,14,FALSE),0)+IFERROR(SUMPRODUCT(VLOOKUP($A268,S275_01,{32,33,34},FALSE)),0)+IFERROR(SUMPRODUCT(VLOOKUP($A268,S275_97,{32,33,34},FALSE)),0)+IFERROR(ROUND(VLOOKUP($A268,S275_21,32,FALSE)*VLOOKUP($A268,'3121% SY'!$C$3:$M$324,11,FALSE),3),0)+IFERROR(ROUND(VLOOKUP($A268,S275_21,33,FALSE)*VLOOKUP($A268,'3121% SY'!$C$3:$M$324,11,FALSE),3),0)+IFERROR(ROUND(VLOOKUP($A268,S275_21,34,FALSE)*VLOOKUP($A268,'3121% SY'!$C$3:$M$324,11,FALSE),3),0)+IFERROR(VLOOKUP($A268,S275_09,12,FALSE),0)</f>
        <v>0</v>
      </c>
      <c r="Z268" s="267">
        <f>IFERROR(VLOOKUP($A268,Supp_48,14,FALSE),0)+IFERROR(SUMPRODUCT(VLOOKUP($A268,S275_01,{35,36,37},FALSE)),0)+IFERROR(SUMPRODUCT(VLOOKUP($A268,S275_97,{35,36,37},FALSE)),0)+IFERROR(ROUND(VLOOKUP($A268,S275_21,35,FALSE)*VLOOKUP($A268,'3121% SY'!$C$3:$M$324,11,FALSE),3),0)+IFERROR(ROUND(VLOOKUP($A268,S275_21,36,FALSE)*VLOOKUP($A268,'3121% SY'!$C$3:$M$324,11,FALSE),3),0)+IFERROR(ROUND(VLOOKUP($A268,S275_21,37,FALSE)*VLOOKUP($A268,'3121% SY'!$C$3:$M$324,11,FALSE),3),0)+IFERROR(VLOOKUP($A268,S275_09,13,FALSE),0)</f>
        <v>0.24199999999999999</v>
      </c>
      <c r="AA268" s="267">
        <f>IFERROR(VLOOKUP($A268,Supp_49,14,FALSE),0)+IFERROR(SUMPRODUCT(VLOOKUP($A268,S275_01,{38,39,40},FALSE)),0)+IFERROR(SUMPRODUCT(VLOOKUP($A268,S275_97,{38,39,40},FALSE)),0)+IFERROR(ROUND(VLOOKUP($A268,S275_21,38,FALSE)*VLOOKUP($A268,'3121% SY'!$C$3:$M$324,11,FALSE),3),0)+IFERROR(ROUND(VLOOKUP($A268,S275_21,39,FALSE)*VLOOKUP($A268,'3121% SY'!$C$3:$M$324,11,FALSE),3),0)+IFERROR(ROUND(VLOOKUP($A268,S275_21,40,FALSE)*VLOOKUP($A268,'3121% SY'!$C$3:$M$324,11,FALSE),3),0)+IFERROR(VLOOKUP($A268,S275_09,14,FALSE),0)</f>
        <v>0</v>
      </c>
      <c r="AB268" s="267">
        <f>IFERROR(VLOOKUP($A268,Supp_64,14,FALSE),0)+IFERROR(SUMPRODUCT(VLOOKUP($A268,S275_01,{41,42,43},FALSE)),0)+IFERROR(SUMPRODUCT(VLOOKUP($A268,S275_97,{41,42,43},FALSE)),0)+IFERROR(ROUND(VLOOKUP($A268,S275_21,41,FALSE)*VLOOKUP($A268,'3121% SY'!$C$3:$M$324,11,FALSE),3),0)+IFERROR(ROUND(VLOOKUP($A268,S275_21,42,FALSE)*VLOOKUP($A268,'3121% SY'!$C$3:$M$324,11,FALSE),3),0)+IFERROR(ROUND(VLOOKUP($A268,S275_21,43,FALSE)*VLOOKUP($A268,'3121% SY'!$C$3:$M$324,11,FALSE),3),0)+IFERROR(VLOOKUP($A268,S275_09,15,FALSE),0)</f>
        <v>0</v>
      </c>
      <c r="AC268" s="268">
        <f t="shared" si="57"/>
        <v>7.8859999999999992</v>
      </c>
      <c r="AD268" s="267">
        <f>IFERROR(VLOOKUP($A268,Supp_24,14,FALSE),0)+IFERROR(SUMPRODUCT(VLOOKUP($A268,S275_01,{2,3,4},FALSE)),0)+IFERROR(SUMPRODUCT(VLOOKUP($A268,S275_97,{2,3,4},FALSE)),0)+IFERROR(ROUND(VLOOKUP($A268,S275_21,2,FALSE)*VLOOKUP($A268,'3121% SY'!$C$3:$M$324,11,FALSE),3),0)+IFERROR(ROUND(VLOOKUP($A268,S275_21,3,FALSE)*VLOOKUP($A268,'3121% SY'!$C$3:$M$324,11,FALSE),3),0)+IFERROR(ROUND(VLOOKUP($A268,S275_21,4,FALSE)*VLOOKUP($A268,'3121% SY'!$C$3:$M$324,11,FALSE),3),0)+IFERROR(VLOOKUP($A268,S275_09,2,FALSE),0)</f>
        <v>0</v>
      </c>
      <c r="AE268" s="267">
        <f>IFERROR(VLOOKUP($A268,Supp_25,14,FALSE),0)+IFERROR(SUMPRODUCT(VLOOKUP($A268,S275_01,{5,6,7},FALSE)),0)+IFERROR(SUMPRODUCT(VLOOKUP($A268,S275_97,{5,6,7},FALSE)),0)+IFERROR(ROUND(VLOOKUP($A268,S275_21,5,FALSE)*VLOOKUP($A268,'3121% SY'!$C$3:$M$324,11,FALSE),3),0)+IFERROR(ROUND(VLOOKUP($A268,S275_21,6,FALSE)*VLOOKUP($A268,'3121% SY'!$C$3:$M$324,11,FALSE),3),0)+IFERROR(ROUND(VLOOKUP($A268,S275_21,7,FALSE)*VLOOKUP($A268,'3121% SY'!$C$3:$M$324,11,FALSE),3),0)+IFERROR(VLOOKUP($A268,S275_09,3,FALSE),0)</f>
        <v>7.6059999999999999</v>
      </c>
      <c r="AF268" s="267">
        <f>IFERROR(VLOOKUP($A268,Supp_26,14,FALSE),0)+IFERROR(SUMPRODUCT(VLOOKUP($A268,S275_01,{8,9,10},FALSE)),0)+IFERROR(SUMPRODUCT(VLOOKUP($A268,S275_97,{8,9,10},FALSE)),0)+IFERROR(ROUND(VLOOKUP($A268,S275_21,8,FALSE)*VLOOKUP($A268,'3121% SY'!$C$3:$M$324,11,FALSE),3),0)+IFERROR(ROUND(VLOOKUP($A268,S275_21,9,FALSE)*VLOOKUP($A268,'3121% SY'!$C$3:$M$324,11,FALSE),3),0)+IFERROR(ROUND(VLOOKUP($A268,S275_21,10,FALSE)*VLOOKUP($A268,'3121% SY'!$C$3:$M$324,11,FALSE),3),0)+IFERROR(VLOOKUP($A268,S275_09,4,FALSE),0)</f>
        <v>4.4149999999999991</v>
      </c>
      <c r="AG268" s="267">
        <f>IFERROR(VLOOKUP($A268,Supp_35,14,FALSE),0)+IFERROR(SUMPRODUCT(VLOOKUP($A268,S275_01,{11,12,13},FALSE)),0)+IFERROR(SUMPRODUCT(VLOOKUP($A268,S275_97,{11,12,13},FALSE)),0)+IFERROR(ROUND(VLOOKUP($A268,S275_21,11,FALSE)*VLOOKUP($A268,'3121% SY'!$C$3:$M$324,11,FALSE),3),0)+IFERROR(ROUND(VLOOKUP($A268,S275_21,12,FALSE)*VLOOKUP($A268,'3121% SY'!$C$3:$M$324,11,FALSE),3),0)+IFERROR(ROUND(VLOOKUP($A268,S275_21,13,FALSE)*VLOOKUP($A268,'3121% SY'!$C$3:$M$324,11,FALSE),3),0)+IFERROR(VLOOKUP($A268,S275_09,5,FALSE),0)</f>
        <v>0</v>
      </c>
      <c r="AH268" s="165">
        <f t="shared" si="58"/>
        <v>12.020999999999999</v>
      </c>
      <c r="AI268" s="161">
        <f>IFERROR(VLOOKUP(A268,'Supp Staff Data'!A:ER,148,FALSE),0)+AB268</f>
        <v>0</v>
      </c>
      <c r="AJ268" s="174">
        <v>0.94120000000000004</v>
      </c>
      <c r="AK268" s="25">
        <f>VLOOKUP(A268,'Enroll Data as of January 2025'!$A$3:$T$323,20,FALSE)-F268</f>
        <v>0</v>
      </c>
    </row>
    <row r="269" spans="1:37" x14ac:dyDescent="0.25">
      <c r="A269" s="171" t="s">
        <v>52</v>
      </c>
      <c r="B269" t="s">
        <v>348</v>
      </c>
      <c r="C269" s="173" t="s">
        <v>1077</v>
      </c>
      <c r="D269" s="259">
        <f t="shared" si="50"/>
        <v>29.414999999999999</v>
      </c>
      <c r="E269" s="259">
        <f t="shared" si="51"/>
        <v>44.390999999999991</v>
      </c>
      <c r="F269" s="262">
        <f t="shared" si="52"/>
        <v>14.976000000000001</v>
      </c>
      <c r="G269" s="161">
        <f>ROUND(IF(F269&lt;0,F269*'2024-25 PSES Compliance'!$G$13,0),3)</f>
        <v>0</v>
      </c>
      <c r="H269" s="161">
        <f>ROUND(IF(F269&lt;0,F269*'2024-25 PSES Compliance'!$G$14,0),3)</f>
        <v>0</v>
      </c>
      <c r="I269" s="174">
        <f t="shared" si="53"/>
        <v>0.4151013245928229</v>
      </c>
      <c r="J269" s="174">
        <f t="shared" si="54"/>
        <v>0</v>
      </c>
      <c r="K269" s="161">
        <f>VLOOKUP($A269,'Enroll Data as of January 2025'!$A$3:$M$322,6,FALSE)</f>
        <v>16.574999999999999</v>
      </c>
      <c r="L269" s="161">
        <f>VLOOKUP($A269,'Enroll Data as of January 2025'!$A$3:$M$322,7,FALSE)</f>
        <v>2.7109999999999999</v>
      </c>
      <c r="M269" s="161">
        <f>VLOOKUP($A269,'Enroll Data as of January 2025'!$A$3:$M$322,8,FALSE)</f>
        <v>0.91</v>
      </c>
      <c r="N269" s="161">
        <f>VLOOKUP($A269,'Enroll Data as of January 2025'!$A$3:$M$322,9,FALSE)</f>
        <v>7.5760000000000005</v>
      </c>
      <c r="O269" s="165">
        <f t="shared" si="55"/>
        <v>27.771999999999998</v>
      </c>
      <c r="P269" s="161">
        <f>VLOOKUP($A269,'Enroll Data as of January 2025'!$A$3:$M$322,11,FALSE)</f>
        <v>1.034</v>
      </c>
      <c r="Q269" s="161">
        <f>VLOOKUP($A269,'Enroll Data as of January 2025'!$A$3:$M$322,12,FALSE)</f>
        <v>0.60899999999999999</v>
      </c>
      <c r="R269" s="165">
        <f t="shared" si="56"/>
        <v>1.643</v>
      </c>
      <c r="S269" s="267">
        <f>IFERROR(VLOOKUP($A269,Supp_39,14,FALSE),0)+IFERROR(SUMPRODUCT(VLOOKUP($A269,S275_01,{14,15,16},FALSE)),0)+IFERROR(SUMPRODUCT(VLOOKUP($A269,S275_97,{14,15,16},FALSE)),0)+IFERROR(ROUND(VLOOKUP($A269,S275_21,14,FALSE)*VLOOKUP($A269,'3121% SY'!$C$3:$M$324,11,FALSE),3),0)+IFERROR(ROUND(VLOOKUP($A269,S275_21,15,FALSE)*VLOOKUP($A269,'3121% SY'!$C$3:$M$324,11,FALSE),3),0)+IFERROR(ROUND(VLOOKUP($A269,S275_21,16,FALSE)*VLOOKUP($A269,'3121% SY'!$C$3:$M$324,11,FALSE),3),0)+IFERROR(VLOOKUP($A269,S275_09,6,FALSE),0)</f>
        <v>9.0169999999999995</v>
      </c>
      <c r="T269" s="267">
        <f>IFERROR(VLOOKUP($A269,Supp_42,14,FALSE),0)+IFERROR(SUMPRODUCT(VLOOKUP($A269,S275_01,{17,18,19},FALSE)),0)+IFERROR(SUMPRODUCT(VLOOKUP($A269,S275_97,{17,18,19},FALSE)),0)+IFERROR(ROUND(VLOOKUP($A269,S275_21,17,FALSE)*VLOOKUP($A269,'3121% SY'!$C$3:$M$324,11,FALSE),3),0)+IFERROR(ROUND(VLOOKUP($A269,S275_21,18,FALSE)*VLOOKUP($A269,'3121% SY'!$C$3:$M$324,11,FALSE),3),0)+IFERROR(ROUND(VLOOKUP($A269,S275_21,19,FALSE)*VLOOKUP($A269,'3121% SY'!$C$3:$M$324,11,FALSE),3),0)+IFERROR(VLOOKUP($A269,S275_09,7,FALSE),0)</f>
        <v>1.333</v>
      </c>
      <c r="U269" s="267">
        <f>IFERROR(VLOOKUP($A269,Supp_43,14,FALSE),0)+IFERROR(SUMPRODUCT(VLOOKUP($A269,S275_01,{20,21,22},FALSE)),0)+IFERROR(SUMPRODUCT(VLOOKUP($A269,S275_97,{20,21,22},FALSE)),0)+IFERROR(ROUND(VLOOKUP($A269,S275_21,20,FALSE)*VLOOKUP($A269,'3121% SY'!$C$3:$M$324,11,FALSE),3),0)+IFERROR(ROUND(VLOOKUP($A269,S275_21,21,FALSE)*VLOOKUP($A269,'3121% SY'!$C$3:$M$324,11,FALSE),3),0)+IFERROR(ROUND(VLOOKUP($A269,S275_21,22,FALSE)*VLOOKUP($A269,'3121% SY'!$C$3:$M$324,11,FALSE),3),0)+IFERROR(VLOOKUP($A269,S275_09,8,FALSE),0)</f>
        <v>0.497</v>
      </c>
      <c r="V269" s="267">
        <f>IFERROR(VLOOKUP($A269,Supp_44,14,FALSE),0)+IFERROR(SUMPRODUCT(VLOOKUP($A269,S275_01,{23,24,25},FALSE)),0)+IFERROR(SUMPRODUCT(VLOOKUP($A269,S275_97,{23,24,25},FALSE)),0)+IFERROR(ROUND(VLOOKUP($A269,S275_21,23,FALSE)*VLOOKUP($A269,'3121% SY'!$C$3:$M$324,11,FALSE),3),0)+IFERROR(ROUND(VLOOKUP($A269,S275_21,24,FALSE)*VLOOKUP($A269,'3121% SY'!$C$3:$M$324,11,FALSE),3),0)+IFERROR(ROUND(VLOOKUP($A269,S275_21,25,FALSE)*VLOOKUP($A269,'3121% SY'!$C$3:$M$324,11,FALSE),3),0)+IFERROR(VLOOKUP($A269,S275_09,9,FALSE),0)</f>
        <v>0</v>
      </c>
      <c r="W269" s="267">
        <f>IFERROR(VLOOKUP($A269,Supp_45,14,FALSE),0)+IFERROR(SUMPRODUCT(VLOOKUP($A269,S275_01,{26,27,28},FALSE)),0)+IFERROR(SUMPRODUCT(VLOOKUP($A269,S275_97,{26,27,28},FALSE)),0)+IFERROR(ROUND(VLOOKUP($A269,S275_21,26,FALSE)*VLOOKUP($A269,'3121% SY'!$C$3:$M$324,11,FALSE),3),0)+IFERROR(ROUND(VLOOKUP($A269,S275_21,27,FALSE)*VLOOKUP($A269,'3121% SY'!$C$3:$M$324,11,FALSE),3),0)+IFERROR(ROUND(VLOOKUP($A269,S275_21,28,FALSE)*VLOOKUP($A269,'3121% SY'!$C$3:$M$324,11,FALSE),3),0)+IFERROR(VLOOKUP($A269,S275_09,10,FALSE),0)</f>
        <v>2.8259999999999996</v>
      </c>
      <c r="X269" s="267">
        <f>IFERROR(VLOOKUP($A269,Supp_46,14,FALSE),0)+IFERROR(SUMPRODUCT(VLOOKUP($A269,S275_01,{29,30,31},FALSE)),0)+IFERROR(SUMPRODUCT(VLOOKUP($A269,S275_97,{29,30,31},FALSE)),0)+IFERROR(ROUND(VLOOKUP($A269,S275_21,29,FALSE)*VLOOKUP($A269,'3121% SY'!$C$3:$M$324,11,FALSE),3),0)+IFERROR(ROUND(VLOOKUP($A269,S275_21,30,FALSE)*VLOOKUP($A269,'3121% SY'!$C$3:$M$324,11,FALSE),3),0)+IFERROR(ROUND(VLOOKUP($A269,S275_21,31,FALSE)*VLOOKUP($A269,'3121% SY'!$C$3:$M$324,11,FALSE),3),0)+IFERROR(VLOOKUP($A269,S275_09,11,FALSE),0)</f>
        <v>6.09</v>
      </c>
      <c r="Y269" s="267">
        <f>IFERROR(VLOOKUP($A269,Supp_47,14,FALSE),0)+IFERROR(SUMPRODUCT(VLOOKUP($A269,S275_01,{32,33,34},FALSE)),0)+IFERROR(SUMPRODUCT(VLOOKUP($A269,S275_97,{32,33,34},FALSE)),0)+IFERROR(ROUND(VLOOKUP($A269,S275_21,32,FALSE)*VLOOKUP($A269,'3121% SY'!$C$3:$M$324,11,FALSE),3),0)+IFERROR(ROUND(VLOOKUP($A269,S275_21,33,FALSE)*VLOOKUP($A269,'3121% SY'!$C$3:$M$324,11,FALSE),3),0)+IFERROR(ROUND(VLOOKUP($A269,S275_21,34,FALSE)*VLOOKUP($A269,'3121% SY'!$C$3:$M$324,11,FALSE),3),0)+IFERROR(VLOOKUP($A269,S275_09,12,FALSE),0)</f>
        <v>0.97700000000000009</v>
      </c>
      <c r="Z269" s="267">
        <f>IFERROR(VLOOKUP($A269,Supp_48,14,FALSE),0)+IFERROR(SUMPRODUCT(VLOOKUP($A269,S275_01,{35,36,37},FALSE)),0)+IFERROR(SUMPRODUCT(VLOOKUP($A269,S275_97,{35,36,37},FALSE)),0)+IFERROR(ROUND(VLOOKUP($A269,S275_21,35,FALSE)*VLOOKUP($A269,'3121% SY'!$C$3:$M$324,11,FALSE),3),0)+IFERROR(ROUND(VLOOKUP($A269,S275_21,36,FALSE)*VLOOKUP($A269,'3121% SY'!$C$3:$M$324,11,FALSE),3),0)+IFERROR(ROUND(VLOOKUP($A269,S275_21,37,FALSE)*VLOOKUP($A269,'3121% SY'!$C$3:$M$324,11,FALSE),3),0)+IFERROR(VLOOKUP($A269,S275_09,13,FALSE),0)</f>
        <v>1.165</v>
      </c>
      <c r="AA269" s="267">
        <f>IFERROR(VLOOKUP($A269,Supp_49,14,FALSE),0)+IFERROR(SUMPRODUCT(VLOOKUP($A269,S275_01,{38,39,40},FALSE)),0)+IFERROR(SUMPRODUCT(VLOOKUP($A269,S275_97,{38,39,40},FALSE)),0)+IFERROR(ROUND(VLOOKUP($A269,S275_21,38,FALSE)*VLOOKUP($A269,'3121% SY'!$C$3:$M$324,11,FALSE),3),0)+IFERROR(ROUND(VLOOKUP($A269,S275_21,39,FALSE)*VLOOKUP($A269,'3121% SY'!$C$3:$M$324,11,FALSE),3),0)+IFERROR(ROUND(VLOOKUP($A269,S275_21,40,FALSE)*VLOOKUP($A269,'3121% SY'!$C$3:$M$324,11,FALSE),3),0)+IFERROR(VLOOKUP($A269,S275_09,14,FALSE),0)</f>
        <v>0.20799999999999999</v>
      </c>
      <c r="AB269" s="267">
        <f>IFERROR(VLOOKUP($A269,Supp_64,14,FALSE),0)+IFERROR(SUMPRODUCT(VLOOKUP($A269,S275_01,{41,42,43},FALSE)),0)+IFERROR(SUMPRODUCT(VLOOKUP($A269,S275_97,{41,42,43},FALSE)),0)+IFERROR(ROUND(VLOOKUP($A269,S275_21,41,FALSE)*VLOOKUP($A269,'3121% SY'!$C$3:$M$324,11,FALSE),3),0)+IFERROR(ROUND(VLOOKUP($A269,S275_21,42,FALSE)*VLOOKUP($A269,'3121% SY'!$C$3:$M$324,11,FALSE),3),0)+IFERROR(ROUND(VLOOKUP($A269,S275_21,43,FALSE)*VLOOKUP($A269,'3121% SY'!$C$3:$M$324,11,FALSE),3),0)+IFERROR(VLOOKUP($A269,S275_09,15,FALSE),0)</f>
        <v>0</v>
      </c>
      <c r="AC269" s="268">
        <f t="shared" si="57"/>
        <v>22.112999999999996</v>
      </c>
      <c r="AD269" s="267">
        <f>IFERROR(VLOOKUP($A269,Supp_24,14,FALSE),0)+IFERROR(SUMPRODUCT(VLOOKUP($A269,S275_01,{2,3,4},FALSE)),0)+IFERROR(SUMPRODUCT(VLOOKUP($A269,S275_97,{2,3,4},FALSE)),0)+IFERROR(ROUND(VLOOKUP($A269,S275_21,2,FALSE)*VLOOKUP($A269,'3121% SY'!$C$3:$M$324,11,FALSE),3),0)+IFERROR(ROUND(VLOOKUP($A269,S275_21,3,FALSE)*VLOOKUP($A269,'3121% SY'!$C$3:$M$324,11,FALSE),3),0)+IFERROR(ROUND(VLOOKUP($A269,S275_21,4,FALSE)*VLOOKUP($A269,'3121% SY'!$C$3:$M$324,11,FALSE),3),0)+IFERROR(VLOOKUP($A269,S275_09,2,FALSE),0)</f>
        <v>0</v>
      </c>
      <c r="AE269" s="267">
        <f>IFERROR(VLOOKUP($A269,Supp_25,14,FALSE),0)+IFERROR(SUMPRODUCT(VLOOKUP($A269,S275_01,{5,6,7},FALSE)),0)+IFERROR(SUMPRODUCT(VLOOKUP($A269,S275_97,{5,6,7},FALSE)),0)+IFERROR(ROUND(VLOOKUP($A269,S275_21,5,FALSE)*VLOOKUP($A269,'3121% SY'!$C$3:$M$324,11,FALSE),3),0)+IFERROR(ROUND(VLOOKUP($A269,S275_21,6,FALSE)*VLOOKUP($A269,'3121% SY'!$C$3:$M$324,11,FALSE),3),0)+IFERROR(ROUND(VLOOKUP($A269,S275_21,7,FALSE)*VLOOKUP($A269,'3121% SY'!$C$3:$M$324,11,FALSE),3),0)+IFERROR(VLOOKUP($A269,S275_09,3,FALSE),0)</f>
        <v>16.404</v>
      </c>
      <c r="AF269" s="267">
        <f>IFERROR(VLOOKUP($A269,Supp_26,14,FALSE),0)+IFERROR(SUMPRODUCT(VLOOKUP($A269,S275_01,{8,9,10},FALSE)),0)+IFERROR(SUMPRODUCT(VLOOKUP($A269,S275_97,{8,9,10},FALSE)),0)+IFERROR(ROUND(VLOOKUP($A269,S275_21,8,FALSE)*VLOOKUP($A269,'3121% SY'!$C$3:$M$324,11,FALSE),3),0)+IFERROR(ROUND(VLOOKUP($A269,S275_21,9,FALSE)*VLOOKUP($A269,'3121% SY'!$C$3:$M$324,11,FALSE),3),0)+IFERROR(ROUND(VLOOKUP($A269,S275_21,10,FALSE)*VLOOKUP($A269,'3121% SY'!$C$3:$M$324,11,FALSE),3),0)+IFERROR(VLOOKUP($A269,S275_09,4,FALSE),0)</f>
        <v>5.8740000000000006</v>
      </c>
      <c r="AG269" s="267">
        <f>IFERROR(VLOOKUP($A269,Supp_35,14,FALSE),0)+IFERROR(SUMPRODUCT(VLOOKUP($A269,S275_01,{11,12,13},FALSE)),0)+IFERROR(SUMPRODUCT(VLOOKUP($A269,S275_97,{11,12,13},FALSE)),0)+IFERROR(ROUND(VLOOKUP($A269,S275_21,11,FALSE)*VLOOKUP($A269,'3121% SY'!$C$3:$M$324,11,FALSE),3),0)+IFERROR(ROUND(VLOOKUP($A269,S275_21,12,FALSE)*VLOOKUP($A269,'3121% SY'!$C$3:$M$324,11,FALSE),3),0)+IFERROR(ROUND(VLOOKUP($A269,S275_21,13,FALSE)*VLOOKUP($A269,'3121% SY'!$C$3:$M$324,11,FALSE),3),0)+IFERROR(VLOOKUP($A269,S275_09,5,FALSE),0)</f>
        <v>0</v>
      </c>
      <c r="AH269" s="165">
        <f t="shared" si="58"/>
        <v>22.277999999999999</v>
      </c>
      <c r="AI269" s="161">
        <f>IFERROR(VLOOKUP(A269,'Supp Staff Data'!A:ER,148,FALSE),0)+AB269</f>
        <v>0</v>
      </c>
      <c r="AJ269" s="174">
        <v>0.83330000000000004</v>
      </c>
      <c r="AK269" s="25">
        <f>VLOOKUP(A269,'Enroll Data as of January 2025'!$A$3:$T$323,20,FALSE)-F269</f>
        <v>0</v>
      </c>
    </row>
    <row r="270" spans="1:37" x14ac:dyDescent="0.25">
      <c r="A270" s="171" t="s">
        <v>205</v>
      </c>
      <c r="B270" t="s">
        <v>500</v>
      </c>
      <c r="C270" s="173" t="s">
        <v>1077</v>
      </c>
      <c r="D270" s="259">
        <f t="shared" si="50"/>
        <v>13.807000000000002</v>
      </c>
      <c r="E270" s="259">
        <f t="shared" si="51"/>
        <v>20.58</v>
      </c>
      <c r="F270" s="262">
        <f t="shared" si="52"/>
        <v>6.7729999999999997</v>
      </c>
      <c r="G270" s="161">
        <f>ROUND(IF(F270&lt;0,F270*'2024-25 PSES Compliance'!$G$13,0),3)</f>
        <v>0</v>
      </c>
      <c r="H270" s="161">
        <f>ROUND(IF(F270&lt;0,F270*'2024-25 PSES Compliance'!$G$14,0),3)</f>
        <v>0</v>
      </c>
      <c r="I270" s="174">
        <f t="shared" si="53"/>
        <v>0.5750242954324587</v>
      </c>
      <c r="J270" s="174">
        <f t="shared" si="54"/>
        <v>0</v>
      </c>
      <c r="K270" s="161">
        <f>VLOOKUP($A270,'Enroll Data as of January 2025'!$A$3:$M$322,6,FALSE)</f>
        <v>7.8369999999999997</v>
      </c>
      <c r="L270" s="161">
        <f>VLOOKUP($A270,'Enroll Data as of January 2025'!$A$3:$M$322,7,FALSE)</f>
        <v>1.242</v>
      </c>
      <c r="M270" s="161">
        <f>VLOOKUP($A270,'Enroll Data as of January 2025'!$A$3:$M$322,8,FALSE)</f>
        <v>0.41599999999999998</v>
      </c>
      <c r="N270" s="161">
        <f>VLOOKUP($A270,'Enroll Data as of January 2025'!$A$3:$M$322,9,FALSE)</f>
        <v>3.5529999999999999</v>
      </c>
      <c r="O270" s="165">
        <f t="shared" si="55"/>
        <v>13.048000000000002</v>
      </c>
      <c r="P270" s="161">
        <f>VLOOKUP($A270,'Enroll Data as of January 2025'!$A$3:$M$322,11,FALSE)</f>
        <v>0.48400000000000004</v>
      </c>
      <c r="Q270" s="161">
        <f>VLOOKUP($A270,'Enroll Data as of January 2025'!$A$3:$M$322,12,FALSE)</f>
        <v>0.27500000000000002</v>
      </c>
      <c r="R270" s="165">
        <f t="shared" si="56"/>
        <v>0.75900000000000012</v>
      </c>
      <c r="S270" s="267">
        <f>IFERROR(VLOOKUP($A270,Supp_39,14,FALSE),0)+IFERROR(SUMPRODUCT(VLOOKUP($A270,S275_01,{14,15,16},FALSE)),0)+IFERROR(SUMPRODUCT(VLOOKUP($A270,S275_97,{14,15,16},FALSE)),0)+IFERROR(ROUND(VLOOKUP($A270,S275_21,14,FALSE)*VLOOKUP($A270,'3121% SY'!$C$3:$M$324,11,FALSE),3),0)+IFERROR(ROUND(VLOOKUP($A270,S275_21,15,FALSE)*VLOOKUP($A270,'3121% SY'!$C$3:$M$324,11,FALSE),3),0)+IFERROR(ROUND(VLOOKUP($A270,S275_21,16,FALSE)*VLOOKUP($A270,'3121% SY'!$C$3:$M$324,11,FALSE),3),0)+IFERROR(VLOOKUP($A270,S275_09,6,FALSE),0)</f>
        <v>4.9509999999999996</v>
      </c>
      <c r="T270" s="267">
        <f>IFERROR(VLOOKUP($A270,Supp_42,14,FALSE),0)+IFERROR(SUMPRODUCT(VLOOKUP($A270,S275_01,{17,18,19},FALSE)),0)+IFERROR(SUMPRODUCT(VLOOKUP($A270,S275_97,{17,18,19},FALSE)),0)+IFERROR(ROUND(VLOOKUP($A270,S275_21,17,FALSE)*VLOOKUP($A270,'3121% SY'!$C$3:$M$324,11,FALSE),3),0)+IFERROR(ROUND(VLOOKUP($A270,S275_21,18,FALSE)*VLOOKUP($A270,'3121% SY'!$C$3:$M$324,11,FALSE),3),0)+IFERROR(ROUND(VLOOKUP($A270,S275_21,19,FALSE)*VLOOKUP($A270,'3121% SY'!$C$3:$M$324,11,FALSE),3),0)+IFERROR(VLOOKUP($A270,S275_09,7,FALSE),0)</f>
        <v>1.9</v>
      </c>
      <c r="U270" s="267">
        <f>IFERROR(VLOOKUP($A270,Supp_43,14,FALSE),0)+IFERROR(SUMPRODUCT(VLOOKUP($A270,S275_01,{20,21,22},FALSE)),0)+IFERROR(SUMPRODUCT(VLOOKUP($A270,S275_97,{20,21,22},FALSE)),0)+IFERROR(ROUND(VLOOKUP($A270,S275_21,20,FALSE)*VLOOKUP($A270,'3121% SY'!$C$3:$M$324,11,FALSE),3),0)+IFERROR(ROUND(VLOOKUP($A270,S275_21,21,FALSE)*VLOOKUP($A270,'3121% SY'!$C$3:$M$324,11,FALSE),3),0)+IFERROR(ROUND(VLOOKUP($A270,S275_21,22,FALSE)*VLOOKUP($A270,'3121% SY'!$C$3:$M$324,11,FALSE),3),0)+IFERROR(VLOOKUP($A270,S275_09,8,FALSE),0)</f>
        <v>1.3210000000000002</v>
      </c>
      <c r="V270" s="267">
        <f>IFERROR(VLOOKUP($A270,Supp_44,14,FALSE),0)+IFERROR(SUMPRODUCT(VLOOKUP($A270,S275_01,{23,24,25},FALSE)),0)+IFERROR(SUMPRODUCT(VLOOKUP($A270,S275_97,{23,24,25},FALSE)),0)+IFERROR(ROUND(VLOOKUP($A270,S275_21,23,FALSE)*VLOOKUP($A270,'3121% SY'!$C$3:$M$324,11,FALSE),3),0)+IFERROR(ROUND(VLOOKUP($A270,S275_21,24,FALSE)*VLOOKUP($A270,'3121% SY'!$C$3:$M$324,11,FALSE),3),0)+IFERROR(ROUND(VLOOKUP($A270,S275_21,25,FALSE)*VLOOKUP($A270,'3121% SY'!$C$3:$M$324,11,FALSE),3),0)+IFERROR(VLOOKUP($A270,S275_09,9,FALSE),0)</f>
        <v>1</v>
      </c>
      <c r="W270" s="267">
        <f>IFERROR(VLOOKUP($A270,Supp_45,14,FALSE),0)+IFERROR(SUMPRODUCT(VLOOKUP($A270,S275_01,{26,27,28},FALSE)),0)+IFERROR(SUMPRODUCT(VLOOKUP($A270,S275_97,{26,27,28},FALSE)),0)+IFERROR(ROUND(VLOOKUP($A270,S275_21,26,FALSE)*VLOOKUP($A270,'3121% SY'!$C$3:$M$324,11,FALSE),3),0)+IFERROR(ROUND(VLOOKUP($A270,S275_21,27,FALSE)*VLOOKUP($A270,'3121% SY'!$C$3:$M$324,11,FALSE),3),0)+IFERROR(ROUND(VLOOKUP($A270,S275_21,28,FALSE)*VLOOKUP($A270,'3121% SY'!$C$3:$M$324,11,FALSE),3),0)+IFERROR(VLOOKUP($A270,S275_09,10,FALSE),0)</f>
        <v>0.94100000000000006</v>
      </c>
      <c r="X270" s="267">
        <f>IFERROR(VLOOKUP($A270,Supp_46,14,FALSE),0)+IFERROR(SUMPRODUCT(VLOOKUP($A270,S275_01,{29,30,31},FALSE)),0)+IFERROR(SUMPRODUCT(VLOOKUP($A270,S275_97,{29,30,31},FALSE)),0)+IFERROR(ROUND(VLOOKUP($A270,S275_21,29,FALSE)*VLOOKUP($A270,'3121% SY'!$C$3:$M$324,11,FALSE),3),0)+IFERROR(ROUND(VLOOKUP($A270,S275_21,30,FALSE)*VLOOKUP($A270,'3121% SY'!$C$3:$M$324,11,FALSE),3),0)+IFERROR(ROUND(VLOOKUP($A270,S275_21,31,FALSE)*VLOOKUP($A270,'3121% SY'!$C$3:$M$324,11,FALSE),3),0)+IFERROR(VLOOKUP($A270,S275_09,11,FALSE),0)</f>
        <v>1.3660000000000001</v>
      </c>
      <c r="Y270" s="267">
        <f>IFERROR(VLOOKUP($A270,Supp_47,14,FALSE),0)+IFERROR(SUMPRODUCT(VLOOKUP($A270,S275_01,{32,33,34},FALSE)),0)+IFERROR(SUMPRODUCT(VLOOKUP($A270,S275_97,{32,33,34},FALSE)),0)+IFERROR(ROUND(VLOOKUP($A270,S275_21,32,FALSE)*VLOOKUP($A270,'3121% SY'!$C$3:$M$324,11,FALSE),3),0)+IFERROR(ROUND(VLOOKUP($A270,S275_21,33,FALSE)*VLOOKUP($A270,'3121% SY'!$C$3:$M$324,11,FALSE),3),0)+IFERROR(ROUND(VLOOKUP($A270,S275_21,34,FALSE)*VLOOKUP($A270,'3121% SY'!$C$3:$M$324,11,FALSE),3),0)+IFERROR(VLOOKUP($A270,S275_09,12,FALSE),0)</f>
        <v>0.154</v>
      </c>
      <c r="Z270" s="267">
        <f>IFERROR(VLOOKUP($A270,Supp_48,14,FALSE),0)+IFERROR(SUMPRODUCT(VLOOKUP($A270,S275_01,{35,36,37},FALSE)),0)+IFERROR(SUMPRODUCT(VLOOKUP($A270,S275_97,{35,36,37},FALSE)),0)+IFERROR(ROUND(VLOOKUP($A270,S275_21,35,FALSE)*VLOOKUP($A270,'3121% SY'!$C$3:$M$324,11,FALSE),3),0)+IFERROR(ROUND(VLOOKUP($A270,S275_21,36,FALSE)*VLOOKUP($A270,'3121% SY'!$C$3:$M$324,11,FALSE),3),0)+IFERROR(ROUND(VLOOKUP($A270,S275_21,37,FALSE)*VLOOKUP($A270,'3121% SY'!$C$3:$M$324,11,FALSE),3),0)+IFERROR(VLOOKUP($A270,S275_09,13,FALSE),0)</f>
        <v>0.20100000000000001</v>
      </c>
      <c r="AA270" s="267">
        <f>IFERROR(VLOOKUP($A270,Supp_49,14,FALSE),0)+IFERROR(SUMPRODUCT(VLOOKUP($A270,S275_01,{38,39,40},FALSE)),0)+IFERROR(SUMPRODUCT(VLOOKUP($A270,S275_97,{38,39,40},FALSE)),0)+IFERROR(ROUND(VLOOKUP($A270,S275_21,38,FALSE)*VLOOKUP($A270,'3121% SY'!$C$3:$M$324,11,FALSE),3),0)+IFERROR(ROUND(VLOOKUP($A270,S275_21,39,FALSE)*VLOOKUP($A270,'3121% SY'!$C$3:$M$324,11,FALSE),3),0)+IFERROR(ROUND(VLOOKUP($A270,S275_21,40,FALSE)*VLOOKUP($A270,'3121% SY'!$C$3:$M$324,11,FALSE),3),0)+IFERROR(VLOOKUP($A270,S275_09,14,FALSE),0)</f>
        <v>0</v>
      </c>
      <c r="AB270" s="267">
        <f>IFERROR(VLOOKUP($A270,Supp_64,14,FALSE),0)+IFERROR(SUMPRODUCT(VLOOKUP($A270,S275_01,{41,42,43},FALSE)),0)+IFERROR(SUMPRODUCT(VLOOKUP($A270,S275_97,{41,42,43},FALSE)),0)+IFERROR(ROUND(VLOOKUP($A270,S275_21,41,FALSE)*VLOOKUP($A270,'3121% SY'!$C$3:$M$324,11,FALSE),3),0)+IFERROR(ROUND(VLOOKUP($A270,S275_21,42,FALSE)*VLOOKUP($A270,'3121% SY'!$C$3:$M$324,11,FALSE),3),0)+IFERROR(ROUND(VLOOKUP($A270,S275_21,43,FALSE)*VLOOKUP($A270,'3121% SY'!$C$3:$M$324,11,FALSE),3),0)+IFERROR(VLOOKUP($A270,S275_09,15,FALSE),0)</f>
        <v>0</v>
      </c>
      <c r="AC270" s="268">
        <f t="shared" si="57"/>
        <v>11.834</v>
      </c>
      <c r="AD270" s="267">
        <f>IFERROR(VLOOKUP($A270,Supp_24,14,FALSE),0)+IFERROR(SUMPRODUCT(VLOOKUP($A270,S275_01,{2,3,4},FALSE)),0)+IFERROR(SUMPRODUCT(VLOOKUP($A270,S275_97,{2,3,4},FALSE)),0)+IFERROR(ROUND(VLOOKUP($A270,S275_21,2,FALSE)*VLOOKUP($A270,'3121% SY'!$C$3:$M$324,11,FALSE),3),0)+IFERROR(ROUND(VLOOKUP($A270,S275_21,3,FALSE)*VLOOKUP($A270,'3121% SY'!$C$3:$M$324,11,FALSE),3),0)+IFERROR(ROUND(VLOOKUP($A270,S275_21,4,FALSE)*VLOOKUP($A270,'3121% SY'!$C$3:$M$324,11,FALSE),3),0)+IFERROR(VLOOKUP($A270,S275_09,2,FALSE),0)</f>
        <v>0</v>
      </c>
      <c r="AE270" s="267">
        <f>IFERROR(VLOOKUP($A270,Supp_25,14,FALSE),0)+IFERROR(SUMPRODUCT(VLOOKUP($A270,S275_01,{5,6,7},FALSE)),0)+IFERROR(SUMPRODUCT(VLOOKUP($A270,S275_97,{5,6,7},FALSE)),0)+IFERROR(ROUND(VLOOKUP($A270,S275_21,5,FALSE)*VLOOKUP($A270,'3121% SY'!$C$3:$M$324,11,FALSE),3),0)+IFERROR(ROUND(VLOOKUP($A270,S275_21,6,FALSE)*VLOOKUP($A270,'3121% SY'!$C$3:$M$324,11,FALSE),3),0)+IFERROR(ROUND(VLOOKUP($A270,S275_21,7,FALSE)*VLOOKUP($A270,'3121% SY'!$C$3:$M$324,11,FALSE),3),0)+IFERROR(VLOOKUP($A270,S275_09,3,FALSE),0)</f>
        <v>5.4260000000000002</v>
      </c>
      <c r="AF270" s="267">
        <f>IFERROR(VLOOKUP($A270,Supp_26,14,FALSE),0)+IFERROR(SUMPRODUCT(VLOOKUP($A270,S275_01,{8,9,10},FALSE)),0)+IFERROR(SUMPRODUCT(VLOOKUP($A270,S275_97,{8,9,10},FALSE)),0)+IFERROR(ROUND(VLOOKUP($A270,S275_21,8,FALSE)*VLOOKUP($A270,'3121% SY'!$C$3:$M$324,11,FALSE),3),0)+IFERROR(ROUND(VLOOKUP($A270,S275_21,9,FALSE)*VLOOKUP($A270,'3121% SY'!$C$3:$M$324,11,FALSE),3),0)+IFERROR(ROUND(VLOOKUP($A270,S275_21,10,FALSE)*VLOOKUP($A270,'3121% SY'!$C$3:$M$324,11,FALSE),3),0)+IFERROR(VLOOKUP($A270,S275_09,4,FALSE),0)</f>
        <v>3.32</v>
      </c>
      <c r="AG270" s="267">
        <f>IFERROR(VLOOKUP($A270,Supp_35,14,FALSE),0)+IFERROR(SUMPRODUCT(VLOOKUP($A270,S275_01,{11,12,13},FALSE)),0)+IFERROR(SUMPRODUCT(VLOOKUP($A270,S275_97,{11,12,13},FALSE)),0)+IFERROR(ROUND(VLOOKUP($A270,S275_21,11,FALSE)*VLOOKUP($A270,'3121% SY'!$C$3:$M$324,11,FALSE),3),0)+IFERROR(ROUND(VLOOKUP($A270,S275_21,12,FALSE)*VLOOKUP($A270,'3121% SY'!$C$3:$M$324,11,FALSE),3),0)+IFERROR(ROUND(VLOOKUP($A270,S275_21,13,FALSE)*VLOOKUP($A270,'3121% SY'!$C$3:$M$324,11,FALSE),3),0)+IFERROR(VLOOKUP($A270,S275_09,5,FALSE),0)</f>
        <v>0</v>
      </c>
      <c r="AH270" s="165">
        <f t="shared" si="58"/>
        <v>8.7460000000000004</v>
      </c>
      <c r="AI270" s="161">
        <f>IFERROR(VLOOKUP(A270,'Supp Staff Data'!A:ER,148,FALSE),0)+AB270</f>
        <v>0</v>
      </c>
      <c r="AJ270" s="174">
        <v>1</v>
      </c>
      <c r="AK270" s="25">
        <f>VLOOKUP(A270,'Enroll Data as of January 2025'!$A$3:$T$323,20,FALSE)-F270</f>
        <v>0</v>
      </c>
    </row>
    <row r="271" spans="1:37" x14ac:dyDescent="0.25">
      <c r="A271" s="171" t="s">
        <v>38</v>
      </c>
      <c r="B271" t="s">
        <v>334</v>
      </c>
      <c r="C271" s="173" t="s">
        <v>1077</v>
      </c>
      <c r="D271" s="259">
        <f t="shared" si="50"/>
        <v>37.839000000000006</v>
      </c>
      <c r="E271" s="259">
        <f t="shared" si="51"/>
        <v>47.021999999999998</v>
      </c>
      <c r="F271" s="262">
        <f t="shared" si="52"/>
        <v>9.1829999999999998</v>
      </c>
      <c r="G271" s="161">
        <f>ROUND(IF(F271&lt;0,F271*'2024-25 PSES Compliance'!$G$13,0),3)</f>
        <v>0</v>
      </c>
      <c r="H271" s="161">
        <f>ROUND(IF(F271&lt;0,F271*'2024-25 PSES Compliance'!$G$14,0),3)</f>
        <v>0</v>
      </c>
      <c r="I271" s="174">
        <f t="shared" si="53"/>
        <v>0.5211603079409638</v>
      </c>
      <c r="J271" s="174">
        <f t="shared" si="54"/>
        <v>0</v>
      </c>
      <c r="K271" s="161">
        <f>VLOOKUP($A271,'Enroll Data as of January 2025'!$A$3:$M$322,6,FALSE)</f>
        <v>21.849000000000004</v>
      </c>
      <c r="L271" s="161">
        <f>VLOOKUP($A271,'Enroll Data as of January 2025'!$A$3:$M$322,7,FALSE)</f>
        <v>3.22</v>
      </c>
      <c r="M271" s="161">
        <f>VLOOKUP($A271,'Enroll Data as of January 2025'!$A$3:$M$322,8,FALSE)</f>
        <v>1.0819999999999999</v>
      </c>
      <c r="N271" s="161">
        <f>VLOOKUP($A271,'Enroll Data as of January 2025'!$A$3:$M$322,9,FALSE)</f>
        <v>9.673</v>
      </c>
      <c r="O271" s="165">
        <f t="shared" si="55"/>
        <v>35.824000000000005</v>
      </c>
      <c r="P271" s="161">
        <f>VLOOKUP($A271,'Enroll Data as of January 2025'!$A$3:$M$322,11,FALSE)</f>
        <v>1.3220000000000001</v>
      </c>
      <c r="Q271" s="161">
        <f>VLOOKUP($A271,'Enroll Data as of January 2025'!$A$3:$M$322,12,FALSE)</f>
        <v>0.69299999999999995</v>
      </c>
      <c r="R271" s="165">
        <f t="shared" si="56"/>
        <v>2.0150000000000001</v>
      </c>
      <c r="S271" s="267">
        <f>IFERROR(VLOOKUP($A271,Supp_39,14,FALSE),0)+IFERROR(SUMPRODUCT(VLOOKUP($A271,S275_01,{14,15,16},FALSE)),0)+IFERROR(SUMPRODUCT(VLOOKUP($A271,S275_97,{14,15,16},FALSE)),0)+IFERROR(ROUND(VLOOKUP($A271,S275_21,14,FALSE)*VLOOKUP($A271,'3121% SY'!$C$3:$M$324,11,FALSE),3),0)+IFERROR(ROUND(VLOOKUP($A271,S275_21,15,FALSE)*VLOOKUP($A271,'3121% SY'!$C$3:$M$324,11,FALSE),3),0)+IFERROR(ROUND(VLOOKUP($A271,S275_21,16,FALSE)*VLOOKUP($A271,'3121% SY'!$C$3:$M$324,11,FALSE),3),0)+IFERROR(VLOOKUP($A271,S275_09,6,FALSE),0)</f>
        <v>17.794</v>
      </c>
      <c r="T271" s="267">
        <f>IFERROR(VLOOKUP($A271,Supp_42,14,FALSE),0)+IFERROR(SUMPRODUCT(VLOOKUP($A271,S275_01,{17,18,19},FALSE)),0)+IFERROR(SUMPRODUCT(VLOOKUP($A271,S275_97,{17,18,19},FALSE)),0)+IFERROR(ROUND(VLOOKUP($A271,S275_21,17,FALSE)*VLOOKUP($A271,'3121% SY'!$C$3:$M$324,11,FALSE),3),0)+IFERROR(ROUND(VLOOKUP($A271,S275_21,18,FALSE)*VLOOKUP($A271,'3121% SY'!$C$3:$M$324,11,FALSE),3),0)+IFERROR(ROUND(VLOOKUP($A271,S275_21,19,FALSE)*VLOOKUP($A271,'3121% SY'!$C$3:$M$324,11,FALSE),3),0)+IFERROR(VLOOKUP($A271,S275_09,7,FALSE),0)</f>
        <v>2.3340000000000001</v>
      </c>
      <c r="U271" s="267">
        <f>IFERROR(VLOOKUP($A271,Supp_43,14,FALSE),0)+IFERROR(SUMPRODUCT(VLOOKUP($A271,S275_01,{20,21,22},FALSE)),0)+IFERROR(SUMPRODUCT(VLOOKUP($A271,S275_97,{20,21,22},FALSE)),0)+IFERROR(ROUND(VLOOKUP($A271,S275_21,20,FALSE)*VLOOKUP($A271,'3121% SY'!$C$3:$M$324,11,FALSE),3),0)+IFERROR(ROUND(VLOOKUP($A271,S275_21,21,FALSE)*VLOOKUP($A271,'3121% SY'!$C$3:$M$324,11,FALSE),3),0)+IFERROR(ROUND(VLOOKUP($A271,S275_21,22,FALSE)*VLOOKUP($A271,'3121% SY'!$C$3:$M$324,11,FALSE),3),0)+IFERROR(VLOOKUP($A271,S275_09,8,FALSE),0)</f>
        <v>0.56599999999999995</v>
      </c>
      <c r="V271" s="267">
        <f>IFERROR(VLOOKUP($A271,Supp_44,14,FALSE),0)+IFERROR(SUMPRODUCT(VLOOKUP($A271,S275_01,{23,24,25},FALSE)),0)+IFERROR(SUMPRODUCT(VLOOKUP($A271,S275_97,{23,24,25},FALSE)),0)+IFERROR(ROUND(VLOOKUP($A271,S275_21,23,FALSE)*VLOOKUP($A271,'3121% SY'!$C$3:$M$324,11,FALSE),3),0)+IFERROR(ROUND(VLOOKUP($A271,S275_21,24,FALSE)*VLOOKUP($A271,'3121% SY'!$C$3:$M$324,11,FALSE),3),0)+IFERROR(ROUND(VLOOKUP($A271,S275_21,25,FALSE)*VLOOKUP($A271,'3121% SY'!$C$3:$M$324,11,FALSE),3),0)+IFERROR(VLOOKUP($A271,S275_09,9,FALSE),0)</f>
        <v>0</v>
      </c>
      <c r="W271" s="267">
        <f>IFERROR(VLOOKUP($A271,Supp_45,14,FALSE),0)+IFERROR(SUMPRODUCT(VLOOKUP($A271,S275_01,{26,27,28},FALSE)),0)+IFERROR(SUMPRODUCT(VLOOKUP($A271,S275_97,{26,27,28},FALSE)),0)+IFERROR(ROUND(VLOOKUP($A271,S275_21,26,FALSE)*VLOOKUP($A271,'3121% SY'!$C$3:$M$324,11,FALSE),3),0)+IFERROR(ROUND(VLOOKUP($A271,S275_21,27,FALSE)*VLOOKUP($A271,'3121% SY'!$C$3:$M$324,11,FALSE),3),0)+IFERROR(ROUND(VLOOKUP($A271,S275_21,28,FALSE)*VLOOKUP($A271,'3121% SY'!$C$3:$M$324,11,FALSE),3),0)+IFERROR(VLOOKUP($A271,S275_09,10,FALSE),0)</f>
        <v>1.9419999999999999</v>
      </c>
      <c r="X271" s="267">
        <f>IFERROR(VLOOKUP($A271,Supp_46,14,FALSE),0)+IFERROR(SUMPRODUCT(VLOOKUP($A271,S275_01,{29,30,31},FALSE)),0)+IFERROR(SUMPRODUCT(VLOOKUP($A271,S275_97,{29,30,31},FALSE)),0)+IFERROR(ROUND(VLOOKUP($A271,S275_21,29,FALSE)*VLOOKUP($A271,'3121% SY'!$C$3:$M$324,11,FALSE),3),0)+IFERROR(ROUND(VLOOKUP($A271,S275_21,30,FALSE)*VLOOKUP($A271,'3121% SY'!$C$3:$M$324,11,FALSE),3),0)+IFERROR(ROUND(VLOOKUP($A271,S275_21,31,FALSE)*VLOOKUP($A271,'3121% SY'!$C$3:$M$324,11,FALSE),3),0)+IFERROR(VLOOKUP($A271,S275_09,11,FALSE),0)</f>
        <v>1.5669999999999999</v>
      </c>
      <c r="Y271" s="267">
        <f>IFERROR(VLOOKUP($A271,Supp_47,14,FALSE),0)+IFERROR(SUMPRODUCT(VLOOKUP($A271,S275_01,{32,33,34},FALSE)),0)+IFERROR(SUMPRODUCT(VLOOKUP($A271,S275_97,{32,33,34},FALSE)),0)+IFERROR(ROUND(VLOOKUP($A271,S275_21,32,FALSE)*VLOOKUP($A271,'3121% SY'!$C$3:$M$324,11,FALSE),3),0)+IFERROR(ROUND(VLOOKUP($A271,S275_21,33,FALSE)*VLOOKUP($A271,'3121% SY'!$C$3:$M$324,11,FALSE),3),0)+IFERROR(ROUND(VLOOKUP($A271,S275_21,34,FALSE)*VLOOKUP($A271,'3121% SY'!$C$3:$M$324,11,FALSE),3),0)+IFERROR(VLOOKUP($A271,S275_09,12,FALSE),0)</f>
        <v>0</v>
      </c>
      <c r="Z271" s="267">
        <f>IFERROR(VLOOKUP($A271,Supp_48,14,FALSE),0)+IFERROR(SUMPRODUCT(VLOOKUP($A271,S275_01,{35,36,37},FALSE)),0)+IFERROR(SUMPRODUCT(VLOOKUP($A271,S275_97,{35,36,37},FALSE)),0)+IFERROR(ROUND(VLOOKUP($A271,S275_21,35,FALSE)*VLOOKUP($A271,'3121% SY'!$C$3:$M$324,11,FALSE),3),0)+IFERROR(ROUND(VLOOKUP($A271,S275_21,36,FALSE)*VLOOKUP($A271,'3121% SY'!$C$3:$M$324,11,FALSE),3),0)+IFERROR(ROUND(VLOOKUP($A271,S275_21,37,FALSE)*VLOOKUP($A271,'3121% SY'!$C$3:$M$324,11,FALSE),3),0)+IFERROR(VLOOKUP($A271,S275_09,13,FALSE),0)</f>
        <v>0.30300000000000005</v>
      </c>
      <c r="AA271" s="267">
        <f>IFERROR(VLOOKUP($A271,Supp_49,14,FALSE),0)+IFERROR(SUMPRODUCT(VLOOKUP($A271,S275_01,{38,39,40},FALSE)),0)+IFERROR(SUMPRODUCT(VLOOKUP($A271,S275_97,{38,39,40},FALSE)),0)+IFERROR(ROUND(VLOOKUP($A271,S275_21,38,FALSE)*VLOOKUP($A271,'3121% SY'!$C$3:$M$324,11,FALSE),3),0)+IFERROR(ROUND(VLOOKUP($A271,S275_21,39,FALSE)*VLOOKUP($A271,'3121% SY'!$C$3:$M$324,11,FALSE),3),0)+IFERROR(ROUND(VLOOKUP($A271,S275_21,40,FALSE)*VLOOKUP($A271,'3121% SY'!$C$3:$M$324,11,FALSE),3),0)+IFERROR(VLOOKUP($A271,S275_09,14,FALSE),0)</f>
        <v>0</v>
      </c>
      <c r="AB271" s="267">
        <f>IFERROR(VLOOKUP($A271,Supp_64,14,FALSE),0)+IFERROR(SUMPRODUCT(VLOOKUP($A271,S275_01,{41,42,43},FALSE)),0)+IFERROR(SUMPRODUCT(VLOOKUP($A271,S275_97,{41,42,43},FALSE)),0)+IFERROR(ROUND(VLOOKUP($A271,S275_21,41,FALSE)*VLOOKUP($A271,'3121% SY'!$C$3:$M$324,11,FALSE),3),0)+IFERROR(ROUND(VLOOKUP($A271,S275_21,42,FALSE)*VLOOKUP($A271,'3121% SY'!$C$3:$M$324,11,FALSE),3),0)+IFERROR(ROUND(VLOOKUP($A271,S275_21,43,FALSE)*VLOOKUP($A271,'3121% SY'!$C$3:$M$324,11,FALSE),3),0)+IFERROR(VLOOKUP($A271,S275_09,15,FALSE),0)</f>
        <v>0</v>
      </c>
      <c r="AC271" s="268">
        <f t="shared" si="57"/>
        <v>24.506</v>
      </c>
      <c r="AD271" s="267">
        <f>IFERROR(VLOOKUP($A271,Supp_24,14,FALSE),0)+IFERROR(SUMPRODUCT(VLOOKUP($A271,S275_01,{2,3,4},FALSE)),0)+IFERROR(SUMPRODUCT(VLOOKUP($A271,S275_97,{2,3,4},FALSE)),0)+IFERROR(ROUND(VLOOKUP($A271,S275_21,2,FALSE)*VLOOKUP($A271,'3121% SY'!$C$3:$M$324,11,FALSE),3),0)+IFERROR(ROUND(VLOOKUP($A271,S275_21,3,FALSE)*VLOOKUP($A271,'3121% SY'!$C$3:$M$324,11,FALSE),3),0)+IFERROR(ROUND(VLOOKUP($A271,S275_21,4,FALSE)*VLOOKUP($A271,'3121% SY'!$C$3:$M$324,11,FALSE),3),0)+IFERROR(VLOOKUP($A271,S275_09,2,FALSE),0)</f>
        <v>0</v>
      </c>
      <c r="AE271" s="267">
        <f>IFERROR(VLOOKUP($A271,Supp_25,14,FALSE),0)+IFERROR(SUMPRODUCT(VLOOKUP($A271,S275_01,{5,6,7},FALSE)),0)+IFERROR(SUMPRODUCT(VLOOKUP($A271,S275_97,{5,6,7},FALSE)),0)+IFERROR(ROUND(VLOOKUP($A271,S275_21,5,FALSE)*VLOOKUP($A271,'3121% SY'!$C$3:$M$324,11,FALSE),3),0)+IFERROR(ROUND(VLOOKUP($A271,S275_21,6,FALSE)*VLOOKUP($A271,'3121% SY'!$C$3:$M$324,11,FALSE),3),0)+IFERROR(ROUND(VLOOKUP($A271,S275_21,7,FALSE)*VLOOKUP($A271,'3121% SY'!$C$3:$M$324,11,FALSE),3),0)+IFERROR(VLOOKUP($A271,S275_09,3,FALSE),0)</f>
        <v>11.283999999999999</v>
      </c>
      <c r="AF271" s="267">
        <f>IFERROR(VLOOKUP($A271,Supp_26,14,FALSE),0)+IFERROR(SUMPRODUCT(VLOOKUP($A271,S275_01,{8,9,10},FALSE)),0)+IFERROR(SUMPRODUCT(VLOOKUP($A271,S275_97,{8,9,10},FALSE)),0)+IFERROR(ROUND(VLOOKUP($A271,S275_21,8,FALSE)*VLOOKUP($A271,'3121% SY'!$C$3:$M$324,11,FALSE),3),0)+IFERROR(ROUND(VLOOKUP($A271,S275_21,9,FALSE)*VLOOKUP($A271,'3121% SY'!$C$3:$M$324,11,FALSE),3),0)+IFERROR(ROUND(VLOOKUP($A271,S275_21,10,FALSE)*VLOOKUP($A271,'3121% SY'!$C$3:$M$324,11,FALSE),3),0)+IFERROR(VLOOKUP($A271,S275_09,4,FALSE),0)</f>
        <v>10.506</v>
      </c>
      <c r="AG271" s="267">
        <f>IFERROR(VLOOKUP($A271,Supp_35,14,FALSE),0)+IFERROR(SUMPRODUCT(VLOOKUP($A271,S275_01,{11,12,13},FALSE)),0)+IFERROR(SUMPRODUCT(VLOOKUP($A271,S275_97,{11,12,13},FALSE)),0)+IFERROR(ROUND(VLOOKUP($A271,S275_21,11,FALSE)*VLOOKUP($A271,'3121% SY'!$C$3:$M$324,11,FALSE),3),0)+IFERROR(ROUND(VLOOKUP($A271,S275_21,12,FALSE)*VLOOKUP($A271,'3121% SY'!$C$3:$M$324,11,FALSE),3),0)+IFERROR(ROUND(VLOOKUP($A271,S275_21,13,FALSE)*VLOOKUP($A271,'3121% SY'!$C$3:$M$324,11,FALSE),3),0)+IFERROR(VLOOKUP($A271,S275_09,5,FALSE),0)</f>
        <v>0.72599999999999998</v>
      </c>
      <c r="AH271" s="165">
        <f t="shared" si="58"/>
        <v>22.515999999999998</v>
      </c>
      <c r="AI271" s="161">
        <f>IFERROR(VLOOKUP(A271,'Supp Staff Data'!A:ER,148,FALSE),0)+AB271</f>
        <v>0</v>
      </c>
      <c r="AJ271" s="174">
        <v>1</v>
      </c>
      <c r="AK271" s="25">
        <f>VLOOKUP(A271,'Enroll Data as of January 2025'!$A$3:$T$323,20,FALSE)-F271</f>
        <v>0</v>
      </c>
    </row>
    <row r="272" spans="1:37" x14ac:dyDescent="0.25">
      <c r="A272" s="171" t="s">
        <v>231</v>
      </c>
      <c r="B272" t="s">
        <v>527</v>
      </c>
      <c r="C272" s="173" t="s">
        <v>1077</v>
      </c>
      <c r="D272" s="259">
        <f t="shared" si="50"/>
        <v>50.165999999999997</v>
      </c>
      <c r="E272" s="259">
        <f t="shared" si="51"/>
        <v>51.778999999999996</v>
      </c>
      <c r="F272" s="262">
        <f t="shared" si="52"/>
        <v>1.613</v>
      </c>
      <c r="G272" s="161">
        <f>ROUND(IF(F272&lt;0,F272*'2024-25 PSES Compliance'!$G$13,0),3)</f>
        <v>0</v>
      </c>
      <c r="H272" s="161">
        <f>ROUND(IF(F272&lt;0,F272*'2024-25 PSES Compliance'!$G$14,0),3)</f>
        <v>0</v>
      </c>
      <c r="I272" s="174">
        <f t="shared" si="53"/>
        <v>0.80314413179088051</v>
      </c>
      <c r="J272" s="174">
        <f t="shared" si="54"/>
        <v>0</v>
      </c>
      <c r="K272" s="161">
        <f>VLOOKUP($A272,'Enroll Data as of January 2025'!$A$3:$M$322,6,FALSE)</f>
        <v>28.558</v>
      </c>
      <c r="L272" s="161">
        <f>VLOOKUP($A272,'Enroll Data as of January 2025'!$A$3:$M$322,7,FALSE)</f>
        <v>4.5430000000000001</v>
      </c>
      <c r="M272" s="161">
        <f>VLOOKUP($A272,'Enroll Data as of January 2025'!$A$3:$M$322,8,FALSE)</f>
        <v>1.53</v>
      </c>
      <c r="N272" s="161">
        <f>VLOOKUP($A272,'Enroll Data as of January 2025'!$A$3:$M$322,9,FALSE)</f>
        <v>12.76</v>
      </c>
      <c r="O272" s="165">
        <f t="shared" si="55"/>
        <v>47.390999999999998</v>
      </c>
      <c r="P272" s="161">
        <f>VLOOKUP($A272,'Enroll Data as of January 2025'!$A$3:$M$322,11,FALSE)</f>
        <v>1.7629999999999999</v>
      </c>
      <c r="Q272" s="161">
        <f>VLOOKUP($A272,'Enroll Data as of January 2025'!$A$3:$M$322,12,FALSE)</f>
        <v>1.012</v>
      </c>
      <c r="R272" s="165">
        <f t="shared" si="56"/>
        <v>2.7749999999999999</v>
      </c>
      <c r="S272" s="267">
        <f>IFERROR(VLOOKUP($A272,Supp_39,14,FALSE),0)+IFERROR(SUMPRODUCT(VLOOKUP($A272,S275_01,{14,15,16},FALSE)),0)+IFERROR(SUMPRODUCT(VLOOKUP($A272,S275_97,{14,15,16},FALSE)),0)+IFERROR(ROUND(VLOOKUP($A272,S275_21,14,FALSE)*VLOOKUP($A272,'3121% SY'!$C$3:$M$324,11,FALSE),3),0)+IFERROR(ROUND(VLOOKUP($A272,S275_21,15,FALSE)*VLOOKUP($A272,'3121% SY'!$C$3:$M$324,11,FALSE),3),0)+IFERROR(ROUND(VLOOKUP($A272,S275_21,16,FALSE)*VLOOKUP($A272,'3121% SY'!$C$3:$M$324,11,FALSE),3),0)+IFERROR(VLOOKUP($A272,S275_09,6,FALSE),0)</f>
        <v>11</v>
      </c>
      <c r="T272" s="267">
        <f>IFERROR(VLOOKUP($A272,Supp_42,14,FALSE),0)+IFERROR(SUMPRODUCT(VLOOKUP($A272,S275_01,{17,18,19},FALSE)),0)+IFERROR(SUMPRODUCT(VLOOKUP($A272,S275_97,{17,18,19},FALSE)),0)+IFERROR(ROUND(VLOOKUP($A272,S275_21,17,FALSE)*VLOOKUP($A272,'3121% SY'!$C$3:$M$324,11,FALSE),3),0)+IFERROR(ROUND(VLOOKUP($A272,S275_21,18,FALSE)*VLOOKUP($A272,'3121% SY'!$C$3:$M$324,11,FALSE),3),0)+IFERROR(ROUND(VLOOKUP($A272,S275_21,19,FALSE)*VLOOKUP($A272,'3121% SY'!$C$3:$M$324,11,FALSE),3),0)+IFERROR(VLOOKUP($A272,S275_09,7,FALSE),0)</f>
        <v>2.1539999999999999</v>
      </c>
      <c r="U272" s="267">
        <f>IFERROR(VLOOKUP($A272,Supp_43,14,FALSE),0)+IFERROR(SUMPRODUCT(VLOOKUP($A272,S275_01,{20,21,22},FALSE)),0)+IFERROR(SUMPRODUCT(VLOOKUP($A272,S275_97,{20,21,22},FALSE)),0)+IFERROR(ROUND(VLOOKUP($A272,S275_21,20,FALSE)*VLOOKUP($A272,'3121% SY'!$C$3:$M$324,11,FALSE),3),0)+IFERROR(ROUND(VLOOKUP($A272,S275_21,21,FALSE)*VLOOKUP($A272,'3121% SY'!$C$3:$M$324,11,FALSE),3),0)+IFERROR(ROUND(VLOOKUP($A272,S275_21,22,FALSE)*VLOOKUP($A272,'3121% SY'!$C$3:$M$324,11,FALSE),3),0)+IFERROR(VLOOKUP($A272,S275_09,8,FALSE),0)</f>
        <v>10.805999999999999</v>
      </c>
      <c r="V272" s="267">
        <f>IFERROR(VLOOKUP($A272,Supp_44,14,FALSE),0)+IFERROR(SUMPRODUCT(VLOOKUP($A272,S275_01,{23,24,25},FALSE)),0)+IFERROR(SUMPRODUCT(VLOOKUP($A272,S275_97,{23,24,25},FALSE)),0)+IFERROR(ROUND(VLOOKUP($A272,S275_21,23,FALSE)*VLOOKUP($A272,'3121% SY'!$C$3:$M$324,11,FALSE),3),0)+IFERROR(ROUND(VLOOKUP($A272,S275_21,24,FALSE)*VLOOKUP($A272,'3121% SY'!$C$3:$M$324,11,FALSE),3),0)+IFERROR(ROUND(VLOOKUP($A272,S275_21,25,FALSE)*VLOOKUP($A272,'3121% SY'!$C$3:$M$324,11,FALSE),3),0)+IFERROR(VLOOKUP($A272,S275_09,9,FALSE),0)</f>
        <v>0</v>
      </c>
      <c r="W272" s="267">
        <f>IFERROR(VLOOKUP($A272,Supp_45,14,FALSE),0)+IFERROR(SUMPRODUCT(VLOOKUP($A272,S275_01,{26,27,28},FALSE)),0)+IFERROR(SUMPRODUCT(VLOOKUP($A272,S275_97,{26,27,28},FALSE)),0)+IFERROR(ROUND(VLOOKUP($A272,S275_21,26,FALSE)*VLOOKUP($A272,'3121% SY'!$C$3:$M$324,11,FALSE),3),0)+IFERROR(ROUND(VLOOKUP($A272,S275_21,27,FALSE)*VLOOKUP($A272,'3121% SY'!$C$3:$M$324,11,FALSE),3),0)+IFERROR(ROUND(VLOOKUP($A272,S275_21,28,FALSE)*VLOOKUP($A272,'3121% SY'!$C$3:$M$324,11,FALSE),3),0)+IFERROR(VLOOKUP($A272,S275_09,10,FALSE),0)</f>
        <v>5.58</v>
      </c>
      <c r="X272" s="267">
        <f>IFERROR(VLOOKUP($A272,Supp_46,14,FALSE),0)+IFERROR(SUMPRODUCT(VLOOKUP($A272,S275_01,{29,30,31},FALSE)),0)+IFERROR(SUMPRODUCT(VLOOKUP($A272,S275_97,{29,30,31},FALSE)),0)+IFERROR(ROUND(VLOOKUP($A272,S275_21,29,FALSE)*VLOOKUP($A272,'3121% SY'!$C$3:$M$324,11,FALSE),3),0)+IFERROR(ROUND(VLOOKUP($A272,S275_21,30,FALSE)*VLOOKUP($A272,'3121% SY'!$C$3:$M$324,11,FALSE),3),0)+IFERROR(ROUND(VLOOKUP($A272,S275_21,31,FALSE)*VLOOKUP($A272,'3121% SY'!$C$3:$M$324,11,FALSE),3),0)+IFERROR(VLOOKUP($A272,S275_09,11,FALSE),0)</f>
        <v>9.2960000000000012</v>
      </c>
      <c r="Y272" s="267">
        <f>IFERROR(VLOOKUP($A272,Supp_47,14,FALSE),0)+IFERROR(SUMPRODUCT(VLOOKUP($A272,S275_01,{32,33,34},FALSE)),0)+IFERROR(SUMPRODUCT(VLOOKUP($A272,S275_97,{32,33,34},FALSE)),0)+IFERROR(ROUND(VLOOKUP($A272,S275_21,32,FALSE)*VLOOKUP($A272,'3121% SY'!$C$3:$M$324,11,FALSE),3),0)+IFERROR(ROUND(VLOOKUP($A272,S275_21,33,FALSE)*VLOOKUP($A272,'3121% SY'!$C$3:$M$324,11,FALSE),3),0)+IFERROR(ROUND(VLOOKUP($A272,S275_21,34,FALSE)*VLOOKUP($A272,'3121% SY'!$C$3:$M$324,11,FALSE),3),0)+IFERROR(VLOOKUP($A272,S275_09,12,FALSE),0)</f>
        <v>0.99199999999999999</v>
      </c>
      <c r="Z272" s="267">
        <f>IFERROR(VLOOKUP($A272,Supp_48,14,FALSE),0)+IFERROR(SUMPRODUCT(VLOOKUP($A272,S275_01,{35,36,37},FALSE)),0)+IFERROR(SUMPRODUCT(VLOOKUP($A272,S275_97,{35,36,37},FALSE)),0)+IFERROR(ROUND(VLOOKUP($A272,S275_21,35,FALSE)*VLOOKUP($A272,'3121% SY'!$C$3:$M$324,11,FALSE),3),0)+IFERROR(ROUND(VLOOKUP($A272,S275_21,36,FALSE)*VLOOKUP($A272,'3121% SY'!$C$3:$M$324,11,FALSE),3),0)+IFERROR(ROUND(VLOOKUP($A272,S275_21,37,FALSE)*VLOOKUP($A272,'3121% SY'!$C$3:$M$324,11,FALSE),3),0)+IFERROR(VLOOKUP($A272,S275_09,13,FALSE),0)</f>
        <v>1.758</v>
      </c>
      <c r="AA272" s="267">
        <f>IFERROR(VLOOKUP($A272,Supp_49,14,FALSE),0)+IFERROR(SUMPRODUCT(VLOOKUP($A272,S275_01,{38,39,40},FALSE)),0)+IFERROR(SUMPRODUCT(VLOOKUP($A272,S275_97,{38,39,40},FALSE)),0)+IFERROR(ROUND(VLOOKUP($A272,S275_21,38,FALSE)*VLOOKUP($A272,'3121% SY'!$C$3:$M$324,11,FALSE),3),0)+IFERROR(ROUND(VLOOKUP($A272,S275_21,39,FALSE)*VLOOKUP($A272,'3121% SY'!$C$3:$M$324,11,FALSE),3),0)+IFERROR(ROUND(VLOOKUP($A272,S275_21,40,FALSE)*VLOOKUP($A272,'3121% SY'!$C$3:$M$324,11,FALSE),3),0)+IFERROR(VLOOKUP($A272,S275_09,14,FALSE),0)</f>
        <v>0</v>
      </c>
      <c r="AB272" s="267">
        <f>IFERROR(VLOOKUP($A272,Supp_64,14,FALSE),0)+IFERROR(SUMPRODUCT(VLOOKUP($A272,S275_01,{41,42,43},FALSE)),0)+IFERROR(SUMPRODUCT(VLOOKUP($A272,S275_97,{41,42,43},FALSE)),0)+IFERROR(ROUND(VLOOKUP($A272,S275_21,41,FALSE)*VLOOKUP($A272,'3121% SY'!$C$3:$M$324,11,FALSE),3),0)+IFERROR(ROUND(VLOOKUP($A272,S275_21,42,FALSE)*VLOOKUP($A272,'3121% SY'!$C$3:$M$324,11,FALSE),3),0)+IFERROR(ROUND(VLOOKUP($A272,S275_21,43,FALSE)*VLOOKUP($A272,'3121% SY'!$C$3:$M$324,11,FALSE),3),0)+IFERROR(VLOOKUP($A272,S275_09,15,FALSE),0)</f>
        <v>0</v>
      </c>
      <c r="AC272" s="268">
        <f t="shared" si="57"/>
        <v>41.585999999999999</v>
      </c>
      <c r="AD272" s="267">
        <f>IFERROR(VLOOKUP($A272,Supp_24,14,FALSE),0)+IFERROR(SUMPRODUCT(VLOOKUP($A272,S275_01,{2,3,4},FALSE)),0)+IFERROR(SUMPRODUCT(VLOOKUP($A272,S275_97,{2,3,4},FALSE)),0)+IFERROR(ROUND(VLOOKUP($A272,S275_21,2,FALSE)*VLOOKUP($A272,'3121% SY'!$C$3:$M$324,11,FALSE),3),0)+IFERROR(ROUND(VLOOKUP($A272,S275_21,3,FALSE)*VLOOKUP($A272,'3121% SY'!$C$3:$M$324,11,FALSE),3),0)+IFERROR(ROUND(VLOOKUP($A272,S275_21,4,FALSE)*VLOOKUP($A272,'3121% SY'!$C$3:$M$324,11,FALSE),3),0)+IFERROR(VLOOKUP($A272,S275_09,2,FALSE),0)</f>
        <v>0</v>
      </c>
      <c r="AE272" s="267">
        <f>IFERROR(VLOOKUP($A272,Supp_25,14,FALSE),0)+IFERROR(SUMPRODUCT(VLOOKUP($A272,S275_01,{5,6,7},FALSE)),0)+IFERROR(SUMPRODUCT(VLOOKUP($A272,S275_97,{5,6,7},FALSE)),0)+IFERROR(ROUND(VLOOKUP($A272,S275_21,5,FALSE)*VLOOKUP($A272,'3121% SY'!$C$3:$M$324,11,FALSE),3),0)+IFERROR(ROUND(VLOOKUP($A272,S275_21,6,FALSE)*VLOOKUP($A272,'3121% SY'!$C$3:$M$324,11,FALSE),3),0)+IFERROR(ROUND(VLOOKUP($A272,S275_21,7,FALSE)*VLOOKUP($A272,'3121% SY'!$C$3:$M$324,11,FALSE),3),0)+IFERROR(VLOOKUP($A272,S275_09,3,FALSE),0)</f>
        <v>0.123</v>
      </c>
      <c r="AF272" s="267">
        <f>IFERROR(VLOOKUP($A272,Supp_26,14,FALSE),0)+IFERROR(SUMPRODUCT(VLOOKUP($A272,S275_01,{8,9,10},FALSE)),0)+IFERROR(SUMPRODUCT(VLOOKUP($A272,S275_97,{8,9,10},FALSE)),0)+IFERROR(ROUND(VLOOKUP($A272,S275_21,8,FALSE)*VLOOKUP($A272,'3121% SY'!$C$3:$M$324,11,FALSE),3),0)+IFERROR(ROUND(VLOOKUP($A272,S275_21,9,FALSE)*VLOOKUP($A272,'3121% SY'!$C$3:$M$324,11,FALSE),3),0)+IFERROR(ROUND(VLOOKUP($A272,S275_21,10,FALSE)*VLOOKUP($A272,'3121% SY'!$C$3:$M$324,11,FALSE),3),0)+IFERROR(VLOOKUP($A272,S275_09,4,FALSE),0)</f>
        <v>10.07</v>
      </c>
      <c r="AG272" s="267">
        <f>IFERROR(VLOOKUP($A272,Supp_35,14,FALSE),0)+IFERROR(SUMPRODUCT(VLOOKUP($A272,S275_01,{11,12,13},FALSE)),0)+IFERROR(SUMPRODUCT(VLOOKUP($A272,S275_97,{11,12,13},FALSE)),0)+IFERROR(ROUND(VLOOKUP($A272,S275_21,11,FALSE)*VLOOKUP($A272,'3121% SY'!$C$3:$M$324,11,FALSE),3),0)+IFERROR(ROUND(VLOOKUP($A272,S275_21,12,FALSE)*VLOOKUP($A272,'3121% SY'!$C$3:$M$324,11,FALSE),3),0)+IFERROR(ROUND(VLOOKUP($A272,S275_21,13,FALSE)*VLOOKUP($A272,'3121% SY'!$C$3:$M$324,11,FALSE),3),0)+IFERROR(VLOOKUP($A272,S275_09,5,FALSE),0)</f>
        <v>0</v>
      </c>
      <c r="AH272" s="165">
        <f t="shared" si="58"/>
        <v>10.193</v>
      </c>
      <c r="AI272" s="161">
        <f>IFERROR(VLOOKUP(A272,'Supp Staff Data'!A:ER,148,FALSE),0)+AB272</f>
        <v>0</v>
      </c>
      <c r="AJ272" s="174">
        <v>1</v>
      </c>
      <c r="AK272" s="25">
        <f>VLOOKUP(A272,'Enroll Data as of January 2025'!$A$3:$T$323,20,FALSE)-F272</f>
        <v>0</v>
      </c>
    </row>
    <row r="273" spans="1:37" x14ac:dyDescent="0.25">
      <c r="A273" s="171" t="s">
        <v>116</v>
      </c>
      <c r="B273" t="s">
        <v>412</v>
      </c>
      <c r="C273" s="173" t="s">
        <v>1077</v>
      </c>
      <c r="D273" s="259">
        <f t="shared" si="50"/>
        <v>20.138000000000002</v>
      </c>
      <c r="E273" s="259">
        <f t="shared" si="51"/>
        <v>29.505000000000003</v>
      </c>
      <c r="F273" s="262">
        <f t="shared" si="52"/>
        <v>9.3670000000000009</v>
      </c>
      <c r="G273" s="161">
        <f>ROUND(IF(F273&lt;0,F273*'2024-25 PSES Compliance'!$G$13,0),3)</f>
        <v>0</v>
      </c>
      <c r="H273" s="161">
        <f>ROUND(IF(F273&lt;0,F273*'2024-25 PSES Compliance'!$G$14,0),3)</f>
        <v>0</v>
      </c>
      <c r="I273" s="174">
        <f t="shared" si="53"/>
        <v>0</v>
      </c>
      <c r="J273" s="174">
        <f t="shared" si="54"/>
        <v>0</v>
      </c>
      <c r="K273" s="161">
        <f>VLOOKUP($A273,'Enroll Data as of January 2025'!$A$3:$M$322,6,FALSE)</f>
        <v>10.961</v>
      </c>
      <c r="L273" s="161">
        <f>VLOOKUP($A273,'Enroll Data as of January 2025'!$A$3:$M$322,7,FALSE)</f>
        <v>2.0499999999999998</v>
      </c>
      <c r="M273" s="161">
        <f>VLOOKUP($A273,'Enroll Data as of January 2025'!$A$3:$M$322,8,FALSE)</f>
        <v>0.68700000000000006</v>
      </c>
      <c r="N273" s="161">
        <f>VLOOKUP($A273,'Enroll Data as of January 2025'!$A$3:$M$322,9,FALSE)</f>
        <v>5.2439999999999998</v>
      </c>
      <c r="O273" s="165">
        <f t="shared" si="55"/>
        <v>18.942</v>
      </c>
      <c r="P273" s="161">
        <f>VLOOKUP($A273,'Enroll Data as of January 2025'!$A$3:$M$322,11,FALSE)</f>
        <v>0.71400000000000008</v>
      </c>
      <c r="Q273" s="161">
        <f>VLOOKUP($A273,'Enroll Data as of January 2025'!$A$3:$M$322,12,FALSE)</f>
        <v>0.48199999999999998</v>
      </c>
      <c r="R273" s="165">
        <f t="shared" si="56"/>
        <v>1.1960000000000002</v>
      </c>
      <c r="S273" s="267">
        <f>IFERROR(VLOOKUP($A273,Supp_39,14,FALSE),0)+IFERROR(SUMPRODUCT(VLOOKUP($A273,S275_01,{14,15,16},FALSE)),0)+IFERROR(SUMPRODUCT(VLOOKUP($A273,S275_97,{14,15,16},FALSE)),0)+IFERROR(ROUND(VLOOKUP($A273,S275_21,14,FALSE)*VLOOKUP($A273,'3121% SY'!$C$3:$M$324,11,FALSE),3),0)+IFERROR(ROUND(VLOOKUP($A273,S275_21,15,FALSE)*VLOOKUP($A273,'3121% SY'!$C$3:$M$324,11,FALSE),3),0)+IFERROR(ROUND(VLOOKUP($A273,S275_21,16,FALSE)*VLOOKUP($A273,'3121% SY'!$C$3:$M$324,11,FALSE),3),0)+IFERROR(VLOOKUP($A273,S275_09,6,FALSE),0)</f>
        <v>10.184000000000001</v>
      </c>
      <c r="T273" s="267">
        <f>IFERROR(VLOOKUP($A273,Supp_42,14,FALSE),0)+IFERROR(SUMPRODUCT(VLOOKUP($A273,S275_01,{17,18,19},FALSE)),0)+IFERROR(SUMPRODUCT(VLOOKUP($A273,S275_97,{17,18,19},FALSE)),0)+IFERROR(ROUND(VLOOKUP($A273,S275_21,17,FALSE)*VLOOKUP($A273,'3121% SY'!$C$3:$M$324,11,FALSE),3),0)+IFERROR(ROUND(VLOOKUP($A273,S275_21,18,FALSE)*VLOOKUP($A273,'3121% SY'!$C$3:$M$324,11,FALSE),3),0)+IFERROR(ROUND(VLOOKUP($A273,S275_21,19,FALSE)*VLOOKUP($A273,'3121% SY'!$C$3:$M$324,11,FALSE),3),0)+IFERROR(VLOOKUP($A273,S275_09,7,FALSE),0)</f>
        <v>1.2</v>
      </c>
      <c r="U273" s="267">
        <f>IFERROR(VLOOKUP($A273,Supp_43,14,FALSE),0)+IFERROR(SUMPRODUCT(VLOOKUP($A273,S275_01,{20,21,22},FALSE)),0)+IFERROR(SUMPRODUCT(VLOOKUP($A273,S275_97,{20,21,22},FALSE)),0)+IFERROR(ROUND(VLOOKUP($A273,S275_21,20,FALSE)*VLOOKUP($A273,'3121% SY'!$C$3:$M$324,11,FALSE),3),0)+IFERROR(ROUND(VLOOKUP($A273,S275_21,21,FALSE)*VLOOKUP($A273,'3121% SY'!$C$3:$M$324,11,FALSE),3),0)+IFERROR(ROUND(VLOOKUP($A273,S275_21,22,FALSE)*VLOOKUP($A273,'3121% SY'!$C$3:$M$324,11,FALSE),3),0)+IFERROR(VLOOKUP($A273,S275_09,8,FALSE),0)</f>
        <v>0.65</v>
      </c>
      <c r="V273" s="267">
        <f>IFERROR(VLOOKUP($A273,Supp_44,14,FALSE),0)+IFERROR(SUMPRODUCT(VLOOKUP($A273,S275_01,{23,24,25},FALSE)),0)+IFERROR(SUMPRODUCT(VLOOKUP($A273,S275_97,{23,24,25},FALSE)),0)+IFERROR(ROUND(VLOOKUP($A273,S275_21,23,FALSE)*VLOOKUP($A273,'3121% SY'!$C$3:$M$324,11,FALSE),3),0)+IFERROR(ROUND(VLOOKUP($A273,S275_21,24,FALSE)*VLOOKUP($A273,'3121% SY'!$C$3:$M$324,11,FALSE),3),0)+IFERROR(ROUND(VLOOKUP($A273,S275_21,25,FALSE)*VLOOKUP($A273,'3121% SY'!$C$3:$M$324,11,FALSE),3),0)+IFERROR(VLOOKUP($A273,S275_09,9,FALSE),0)</f>
        <v>0</v>
      </c>
      <c r="W273" s="267">
        <f>IFERROR(VLOOKUP($A273,Supp_45,14,FALSE),0)+IFERROR(SUMPRODUCT(VLOOKUP($A273,S275_01,{26,27,28},FALSE)),0)+IFERROR(SUMPRODUCT(VLOOKUP($A273,S275_97,{26,27,28},FALSE)),0)+IFERROR(ROUND(VLOOKUP($A273,S275_21,26,FALSE)*VLOOKUP($A273,'3121% SY'!$C$3:$M$324,11,FALSE),3),0)+IFERROR(ROUND(VLOOKUP($A273,S275_21,27,FALSE)*VLOOKUP($A273,'3121% SY'!$C$3:$M$324,11,FALSE),3),0)+IFERROR(ROUND(VLOOKUP($A273,S275_21,28,FALSE)*VLOOKUP($A273,'3121% SY'!$C$3:$M$324,11,FALSE),3),0)+IFERROR(VLOOKUP($A273,S275_09,10,FALSE),0)</f>
        <v>2.1659999999999999</v>
      </c>
      <c r="X273" s="267">
        <f>IFERROR(VLOOKUP($A273,Supp_46,14,FALSE),0)+IFERROR(SUMPRODUCT(VLOOKUP($A273,S275_01,{29,30,31},FALSE)),0)+IFERROR(SUMPRODUCT(VLOOKUP($A273,S275_97,{29,30,31},FALSE)),0)+IFERROR(ROUND(VLOOKUP($A273,S275_21,29,FALSE)*VLOOKUP($A273,'3121% SY'!$C$3:$M$324,11,FALSE),3),0)+IFERROR(ROUND(VLOOKUP($A273,S275_21,30,FALSE)*VLOOKUP($A273,'3121% SY'!$C$3:$M$324,11,FALSE),3),0)+IFERROR(ROUND(VLOOKUP($A273,S275_21,31,FALSE)*VLOOKUP($A273,'3121% SY'!$C$3:$M$324,11,FALSE),3),0)+IFERROR(VLOOKUP($A273,S275_09,11,FALSE),0)</f>
        <v>1.2719999999999998</v>
      </c>
      <c r="Y273" s="267">
        <f>IFERROR(VLOOKUP($A273,Supp_47,14,FALSE),0)+IFERROR(SUMPRODUCT(VLOOKUP($A273,S275_01,{32,33,34},FALSE)),0)+IFERROR(SUMPRODUCT(VLOOKUP($A273,S275_97,{32,33,34},FALSE)),0)+IFERROR(ROUND(VLOOKUP($A273,S275_21,32,FALSE)*VLOOKUP($A273,'3121% SY'!$C$3:$M$324,11,FALSE),3),0)+IFERROR(ROUND(VLOOKUP($A273,S275_21,33,FALSE)*VLOOKUP($A273,'3121% SY'!$C$3:$M$324,11,FALSE),3),0)+IFERROR(ROUND(VLOOKUP($A273,S275_21,34,FALSE)*VLOOKUP($A273,'3121% SY'!$C$3:$M$324,11,FALSE),3),0)+IFERROR(VLOOKUP($A273,S275_09,12,FALSE),0)</f>
        <v>0</v>
      </c>
      <c r="Z273" s="267">
        <f>IFERROR(VLOOKUP($A273,Supp_48,14,FALSE),0)+IFERROR(SUMPRODUCT(VLOOKUP($A273,S275_01,{35,36,37},FALSE)),0)+IFERROR(SUMPRODUCT(VLOOKUP($A273,S275_97,{35,36,37},FALSE)),0)+IFERROR(ROUND(VLOOKUP($A273,S275_21,35,FALSE)*VLOOKUP($A273,'3121% SY'!$C$3:$M$324,11,FALSE),3),0)+IFERROR(ROUND(VLOOKUP($A273,S275_21,36,FALSE)*VLOOKUP($A273,'3121% SY'!$C$3:$M$324,11,FALSE),3),0)+IFERROR(ROUND(VLOOKUP($A273,S275_21,37,FALSE)*VLOOKUP($A273,'3121% SY'!$C$3:$M$324,11,FALSE),3),0)+IFERROR(VLOOKUP($A273,S275_09,13,FALSE),0)</f>
        <v>0.217</v>
      </c>
      <c r="AA273" s="267">
        <f>IFERROR(VLOOKUP($A273,Supp_49,14,FALSE),0)+IFERROR(SUMPRODUCT(VLOOKUP($A273,S275_01,{38,39,40},FALSE)),0)+IFERROR(SUMPRODUCT(VLOOKUP($A273,S275_97,{38,39,40},FALSE)),0)+IFERROR(ROUND(VLOOKUP($A273,S275_21,38,FALSE)*VLOOKUP($A273,'3121% SY'!$C$3:$M$324,11,FALSE),3),0)+IFERROR(ROUND(VLOOKUP($A273,S275_21,39,FALSE)*VLOOKUP($A273,'3121% SY'!$C$3:$M$324,11,FALSE),3),0)+IFERROR(ROUND(VLOOKUP($A273,S275_21,40,FALSE)*VLOOKUP($A273,'3121% SY'!$C$3:$M$324,11,FALSE),3),0)+IFERROR(VLOOKUP($A273,S275_09,14,FALSE),0)</f>
        <v>0</v>
      </c>
      <c r="AB273" s="267">
        <f>IFERROR(VLOOKUP($A273,Supp_64,14,FALSE),0)+IFERROR(SUMPRODUCT(VLOOKUP($A273,S275_01,{41,42,43},FALSE)),0)+IFERROR(SUMPRODUCT(VLOOKUP($A273,S275_97,{41,42,43},FALSE)),0)+IFERROR(ROUND(VLOOKUP($A273,S275_21,41,FALSE)*VLOOKUP($A273,'3121% SY'!$C$3:$M$324,11,FALSE),3),0)+IFERROR(ROUND(VLOOKUP($A273,S275_21,42,FALSE)*VLOOKUP($A273,'3121% SY'!$C$3:$M$324,11,FALSE),3),0)+IFERROR(ROUND(VLOOKUP($A273,S275_21,43,FALSE)*VLOOKUP($A273,'3121% SY'!$C$3:$M$324,11,FALSE),3),0)+IFERROR(VLOOKUP($A273,S275_09,15,FALSE),0)</f>
        <v>0</v>
      </c>
      <c r="AC273" s="268">
        <f t="shared" si="57"/>
        <v>15.689000000000002</v>
      </c>
      <c r="AD273" s="267">
        <f>IFERROR(VLOOKUP($A273,Supp_24,14,FALSE),0)+IFERROR(SUMPRODUCT(VLOOKUP($A273,S275_01,{2,3,4},FALSE)),0)+IFERROR(SUMPRODUCT(VLOOKUP($A273,S275_97,{2,3,4},FALSE)),0)+IFERROR(ROUND(VLOOKUP($A273,S275_21,2,FALSE)*VLOOKUP($A273,'3121% SY'!$C$3:$M$324,11,FALSE),3),0)+IFERROR(ROUND(VLOOKUP($A273,S275_21,3,FALSE)*VLOOKUP($A273,'3121% SY'!$C$3:$M$324,11,FALSE),3),0)+IFERROR(ROUND(VLOOKUP($A273,S275_21,4,FALSE)*VLOOKUP($A273,'3121% SY'!$C$3:$M$324,11,FALSE),3),0)+IFERROR(VLOOKUP($A273,S275_09,2,FALSE),0)</f>
        <v>0</v>
      </c>
      <c r="AE273" s="267">
        <f>IFERROR(VLOOKUP($A273,Supp_25,14,FALSE),0)+IFERROR(SUMPRODUCT(VLOOKUP($A273,S275_01,{5,6,7},FALSE)),0)+IFERROR(SUMPRODUCT(VLOOKUP($A273,S275_97,{5,6,7},FALSE)),0)+IFERROR(ROUND(VLOOKUP($A273,S275_21,5,FALSE)*VLOOKUP($A273,'3121% SY'!$C$3:$M$324,11,FALSE),3),0)+IFERROR(ROUND(VLOOKUP($A273,S275_21,6,FALSE)*VLOOKUP($A273,'3121% SY'!$C$3:$M$324,11,FALSE),3),0)+IFERROR(ROUND(VLOOKUP($A273,S275_21,7,FALSE)*VLOOKUP($A273,'3121% SY'!$C$3:$M$324,11,FALSE),3),0)+IFERROR(VLOOKUP($A273,S275_09,3,FALSE),0)</f>
        <v>1.728</v>
      </c>
      <c r="AF273" s="267">
        <f>IFERROR(VLOOKUP($A273,Supp_26,14,FALSE),0)+IFERROR(SUMPRODUCT(VLOOKUP($A273,S275_01,{8,9,10},FALSE)),0)+IFERROR(SUMPRODUCT(VLOOKUP($A273,S275_97,{8,9,10},FALSE)),0)+IFERROR(ROUND(VLOOKUP($A273,S275_21,8,FALSE)*VLOOKUP($A273,'3121% SY'!$C$3:$M$324,11,FALSE),3),0)+IFERROR(ROUND(VLOOKUP($A273,S275_21,9,FALSE)*VLOOKUP($A273,'3121% SY'!$C$3:$M$324,11,FALSE),3),0)+IFERROR(ROUND(VLOOKUP($A273,S275_21,10,FALSE)*VLOOKUP($A273,'3121% SY'!$C$3:$M$324,11,FALSE),3),0)+IFERROR(VLOOKUP($A273,S275_09,4,FALSE),0)</f>
        <v>6.5510000000000002</v>
      </c>
      <c r="AG273" s="267">
        <f>IFERROR(VLOOKUP($A273,Supp_35,14,FALSE),0)+IFERROR(SUMPRODUCT(VLOOKUP($A273,S275_01,{11,12,13},FALSE)),0)+IFERROR(SUMPRODUCT(VLOOKUP($A273,S275_97,{11,12,13},FALSE)),0)+IFERROR(ROUND(VLOOKUP($A273,S275_21,11,FALSE)*VLOOKUP($A273,'3121% SY'!$C$3:$M$324,11,FALSE),3),0)+IFERROR(ROUND(VLOOKUP($A273,S275_21,12,FALSE)*VLOOKUP($A273,'3121% SY'!$C$3:$M$324,11,FALSE),3),0)+IFERROR(ROUND(VLOOKUP($A273,S275_21,13,FALSE)*VLOOKUP($A273,'3121% SY'!$C$3:$M$324,11,FALSE),3),0)+IFERROR(VLOOKUP($A273,S275_09,5,FALSE),0)</f>
        <v>5.5369999999999999</v>
      </c>
      <c r="AH273" s="165">
        <f t="shared" si="58"/>
        <v>13.815999999999999</v>
      </c>
      <c r="AI273" s="161">
        <f>IFERROR(VLOOKUP(A273,'Supp Staff Data'!A:ER,148,FALSE),0)+AB273</f>
        <v>0</v>
      </c>
      <c r="AJ273" s="174">
        <v>0</v>
      </c>
      <c r="AK273" s="25">
        <f>VLOOKUP(A273,'Enroll Data as of January 2025'!$A$3:$T$323,20,FALSE)-F273</f>
        <v>0</v>
      </c>
    </row>
    <row r="274" spans="1:37" x14ac:dyDescent="0.25">
      <c r="A274" s="171" t="s">
        <v>255</v>
      </c>
      <c r="B274" t="s">
        <v>551</v>
      </c>
      <c r="C274" s="173" t="s">
        <v>1077</v>
      </c>
      <c r="D274" s="259">
        <f t="shared" si="50"/>
        <v>46.71</v>
      </c>
      <c r="E274" s="259">
        <f t="shared" si="51"/>
        <v>52.747</v>
      </c>
      <c r="F274" s="262">
        <f t="shared" si="52"/>
        <v>6.0369999999999999</v>
      </c>
      <c r="G274" s="161">
        <f>ROUND(IF(F274&lt;0,F274*'2024-25 PSES Compliance'!$G$13,0),3)</f>
        <v>0</v>
      </c>
      <c r="H274" s="161">
        <f>ROUND(IF(F274&lt;0,F274*'2024-25 PSES Compliance'!$G$14,0),3)</f>
        <v>0</v>
      </c>
      <c r="I274" s="174">
        <f t="shared" si="53"/>
        <v>0.74180522115001801</v>
      </c>
      <c r="J274" s="174">
        <f t="shared" si="54"/>
        <v>0</v>
      </c>
      <c r="K274" s="161">
        <f>VLOOKUP($A274,'Enroll Data as of January 2025'!$A$3:$M$322,6,FALSE)</f>
        <v>26.793999999999997</v>
      </c>
      <c r="L274" s="161">
        <f>VLOOKUP($A274,'Enroll Data as of January 2025'!$A$3:$M$322,7,FALSE)</f>
        <v>4.0880000000000001</v>
      </c>
      <c r="M274" s="161">
        <f>VLOOKUP($A274,'Enroll Data as of January 2025'!$A$3:$M$322,8,FALSE)</f>
        <v>1.375</v>
      </c>
      <c r="N274" s="161">
        <f>VLOOKUP($A274,'Enroll Data as of January 2025'!$A$3:$M$322,9,FALSE)</f>
        <v>11.923000000000002</v>
      </c>
      <c r="O274" s="165">
        <f t="shared" si="55"/>
        <v>44.18</v>
      </c>
      <c r="P274" s="161">
        <f>VLOOKUP($A274,'Enroll Data as of January 2025'!$A$3:$M$322,11,FALSE)</f>
        <v>1.6360000000000001</v>
      </c>
      <c r="Q274" s="161">
        <f>VLOOKUP($A274,'Enroll Data as of January 2025'!$A$3:$M$322,12,FALSE)</f>
        <v>0.89400000000000002</v>
      </c>
      <c r="R274" s="165">
        <f t="shared" si="56"/>
        <v>2.5300000000000002</v>
      </c>
      <c r="S274" s="267">
        <f>IFERROR(VLOOKUP($A274,Supp_39,14,FALSE),0)+IFERROR(SUMPRODUCT(VLOOKUP($A274,S275_01,{14,15,16},FALSE)),0)+IFERROR(SUMPRODUCT(VLOOKUP($A274,S275_97,{14,15,16},FALSE)),0)+IFERROR(ROUND(VLOOKUP($A274,S275_21,14,FALSE)*VLOOKUP($A274,'3121% SY'!$C$3:$M$324,11,FALSE),3),0)+IFERROR(ROUND(VLOOKUP($A274,S275_21,15,FALSE)*VLOOKUP($A274,'3121% SY'!$C$3:$M$324,11,FALSE),3),0)+IFERROR(ROUND(VLOOKUP($A274,S275_21,16,FALSE)*VLOOKUP($A274,'3121% SY'!$C$3:$M$324,11,FALSE),3),0)+IFERROR(VLOOKUP($A274,S275_09,6,FALSE),0)</f>
        <v>8.5670000000000002</v>
      </c>
      <c r="T274" s="267">
        <f>IFERROR(VLOOKUP($A274,Supp_42,14,FALSE),0)+IFERROR(SUMPRODUCT(VLOOKUP($A274,S275_01,{17,18,19},FALSE)),0)+IFERROR(SUMPRODUCT(VLOOKUP($A274,S275_97,{17,18,19},FALSE)),0)+IFERROR(ROUND(VLOOKUP($A274,S275_21,17,FALSE)*VLOOKUP($A274,'3121% SY'!$C$3:$M$324,11,FALSE),3),0)+IFERROR(ROUND(VLOOKUP($A274,S275_21,18,FALSE)*VLOOKUP($A274,'3121% SY'!$C$3:$M$324,11,FALSE),3),0)+IFERROR(ROUND(VLOOKUP($A274,S275_21,19,FALSE)*VLOOKUP($A274,'3121% SY'!$C$3:$M$324,11,FALSE),3),0)+IFERROR(VLOOKUP($A274,S275_09,7,FALSE),0)</f>
        <v>3.629</v>
      </c>
      <c r="U274" s="267">
        <f>IFERROR(VLOOKUP($A274,Supp_43,14,FALSE),0)+IFERROR(SUMPRODUCT(VLOOKUP($A274,S275_01,{20,21,22},FALSE)),0)+IFERROR(SUMPRODUCT(VLOOKUP($A274,S275_97,{20,21,22},FALSE)),0)+IFERROR(ROUND(VLOOKUP($A274,S275_21,20,FALSE)*VLOOKUP($A274,'3121% SY'!$C$3:$M$324,11,FALSE),3),0)+IFERROR(ROUND(VLOOKUP($A274,S275_21,21,FALSE)*VLOOKUP($A274,'3121% SY'!$C$3:$M$324,11,FALSE),3),0)+IFERROR(ROUND(VLOOKUP($A274,S275_21,22,FALSE)*VLOOKUP($A274,'3121% SY'!$C$3:$M$324,11,FALSE),3),0)+IFERROR(VLOOKUP($A274,S275_09,8,FALSE),0)</f>
        <v>11.733000000000001</v>
      </c>
      <c r="V274" s="267">
        <f>IFERROR(VLOOKUP($A274,Supp_44,14,FALSE),0)+IFERROR(SUMPRODUCT(VLOOKUP($A274,S275_01,{23,24,25},FALSE)),0)+IFERROR(SUMPRODUCT(VLOOKUP($A274,S275_97,{23,24,25},FALSE)),0)+IFERROR(ROUND(VLOOKUP($A274,S275_21,23,FALSE)*VLOOKUP($A274,'3121% SY'!$C$3:$M$324,11,FALSE),3),0)+IFERROR(ROUND(VLOOKUP($A274,S275_21,24,FALSE)*VLOOKUP($A274,'3121% SY'!$C$3:$M$324,11,FALSE),3),0)+IFERROR(ROUND(VLOOKUP($A274,S275_21,25,FALSE)*VLOOKUP($A274,'3121% SY'!$C$3:$M$324,11,FALSE),3),0)+IFERROR(VLOOKUP($A274,S275_09,9,FALSE),0)</f>
        <v>1.4</v>
      </c>
      <c r="W274" s="267">
        <f>IFERROR(VLOOKUP($A274,Supp_45,14,FALSE),0)+IFERROR(SUMPRODUCT(VLOOKUP($A274,S275_01,{26,27,28},FALSE)),0)+IFERROR(SUMPRODUCT(VLOOKUP($A274,S275_97,{26,27,28},FALSE)),0)+IFERROR(ROUND(VLOOKUP($A274,S275_21,26,FALSE)*VLOOKUP($A274,'3121% SY'!$C$3:$M$324,11,FALSE),3),0)+IFERROR(ROUND(VLOOKUP($A274,S275_21,27,FALSE)*VLOOKUP($A274,'3121% SY'!$C$3:$M$324,11,FALSE),3),0)+IFERROR(ROUND(VLOOKUP($A274,S275_21,28,FALSE)*VLOOKUP($A274,'3121% SY'!$C$3:$M$324,11,FALSE),3),0)+IFERROR(VLOOKUP($A274,S275_09,10,FALSE),0)</f>
        <v>4.4279999999999999</v>
      </c>
      <c r="X274" s="267">
        <f>IFERROR(VLOOKUP($A274,Supp_46,14,FALSE),0)+IFERROR(SUMPRODUCT(VLOOKUP($A274,S275_01,{29,30,31},FALSE)),0)+IFERROR(SUMPRODUCT(VLOOKUP($A274,S275_97,{29,30,31},FALSE)),0)+IFERROR(ROUND(VLOOKUP($A274,S275_21,29,FALSE)*VLOOKUP($A274,'3121% SY'!$C$3:$M$324,11,FALSE),3),0)+IFERROR(ROUND(VLOOKUP($A274,S275_21,30,FALSE)*VLOOKUP($A274,'3121% SY'!$C$3:$M$324,11,FALSE),3),0)+IFERROR(ROUND(VLOOKUP($A274,S275_21,31,FALSE)*VLOOKUP($A274,'3121% SY'!$C$3:$M$324,11,FALSE),3),0)+IFERROR(VLOOKUP($A274,S275_09,11,FALSE),0)</f>
        <v>7.7509999999999994</v>
      </c>
      <c r="Y274" s="267">
        <f>IFERROR(VLOOKUP($A274,Supp_47,14,FALSE),0)+IFERROR(SUMPRODUCT(VLOOKUP($A274,S275_01,{32,33,34},FALSE)),0)+IFERROR(SUMPRODUCT(VLOOKUP($A274,S275_97,{32,33,34},FALSE)),0)+IFERROR(ROUND(VLOOKUP($A274,S275_21,32,FALSE)*VLOOKUP($A274,'3121% SY'!$C$3:$M$324,11,FALSE),3),0)+IFERROR(ROUND(VLOOKUP($A274,S275_21,33,FALSE)*VLOOKUP($A274,'3121% SY'!$C$3:$M$324,11,FALSE),3),0)+IFERROR(ROUND(VLOOKUP($A274,S275_21,34,FALSE)*VLOOKUP($A274,'3121% SY'!$C$3:$M$324,11,FALSE),3),0)+IFERROR(VLOOKUP($A274,S275_09,12,FALSE),0)</f>
        <v>0.93300000000000005</v>
      </c>
      <c r="Z274" s="267">
        <f>IFERROR(VLOOKUP($A274,Supp_48,14,FALSE),0)+IFERROR(SUMPRODUCT(VLOOKUP($A274,S275_01,{35,36,37},FALSE)),0)+IFERROR(SUMPRODUCT(VLOOKUP($A274,S275_97,{35,36,37},FALSE)),0)+IFERROR(ROUND(VLOOKUP($A274,S275_21,35,FALSE)*VLOOKUP($A274,'3121% SY'!$C$3:$M$324,11,FALSE),3),0)+IFERROR(ROUND(VLOOKUP($A274,S275_21,36,FALSE)*VLOOKUP($A274,'3121% SY'!$C$3:$M$324,11,FALSE),3),0)+IFERROR(ROUND(VLOOKUP($A274,S275_21,37,FALSE)*VLOOKUP($A274,'3121% SY'!$C$3:$M$324,11,FALSE),3),0)+IFERROR(VLOOKUP($A274,S275_09,13,FALSE),0)</f>
        <v>0.68700000000000006</v>
      </c>
      <c r="AA274" s="267">
        <f>IFERROR(VLOOKUP($A274,Supp_49,14,FALSE),0)+IFERROR(SUMPRODUCT(VLOOKUP($A274,S275_01,{38,39,40},FALSE)),0)+IFERROR(SUMPRODUCT(VLOOKUP($A274,S275_97,{38,39,40},FALSE)),0)+IFERROR(ROUND(VLOOKUP($A274,S275_21,38,FALSE)*VLOOKUP($A274,'3121% SY'!$C$3:$M$324,11,FALSE),3),0)+IFERROR(ROUND(VLOOKUP($A274,S275_21,39,FALSE)*VLOOKUP($A274,'3121% SY'!$C$3:$M$324,11,FALSE),3),0)+IFERROR(ROUND(VLOOKUP($A274,S275_21,40,FALSE)*VLOOKUP($A274,'3121% SY'!$C$3:$M$324,11,FALSE),3),0)+IFERROR(VLOOKUP($A274,S275_09,14,FALSE),0)</f>
        <v>0</v>
      </c>
      <c r="AB274" s="267">
        <f>IFERROR(VLOOKUP($A274,Supp_64,14,FALSE),0)+IFERROR(SUMPRODUCT(VLOOKUP($A274,S275_01,{41,42,43},FALSE)),0)+IFERROR(SUMPRODUCT(VLOOKUP($A274,S275_97,{41,42,43},FALSE)),0)+IFERROR(ROUND(VLOOKUP($A274,S275_21,41,FALSE)*VLOOKUP($A274,'3121% SY'!$C$3:$M$324,11,FALSE),3),0)+IFERROR(ROUND(VLOOKUP($A274,S275_21,42,FALSE)*VLOOKUP($A274,'3121% SY'!$C$3:$M$324,11,FALSE),3),0)+IFERROR(ROUND(VLOOKUP($A274,S275_21,43,FALSE)*VLOOKUP($A274,'3121% SY'!$C$3:$M$324,11,FALSE),3),0)+IFERROR(VLOOKUP($A274,S275_09,15,FALSE),0)</f>
        <v>0</v>
      </c>
      <c r="AC274" s="268">
        <f t="shared" si="57"/>
        <v>39.128</v>
      </c>
      <c r="AD274" s="267">
        <f>IFERROR(VLOOKUP($A274,Supp_24,14,FALSE),0)+IFERROR(SUMPRODUCT(VLOOKUP($A274,S275_01,{2,3,4},FALSE)),0)+IFERROR(SUMPRODUCT(VLOOKUP($A274,S275_97,{2,3,4},FALSE)),0)+IFERROR(ROUND(VLOOKUP($A274,S275_21,2,FALSE)*VLOOKUP($A274,'3121% SY'!$C$3:$M$324,11,FALSE),3),0)+IFERROR(ROUND(VLOOKUP($A274,S275_21,3,FALSE)*VLOOKUP($A274,'3121% SY'!$C$3:$M$324,11,FALSE),3),0)+IFERROR(ROUND(VLOOKUP($A274,S275_21,4,FALSE)*VLOOKUP($A274,'3121% SY'!$C$3:$M$324,11,FALSE),3),0)+IFERROR(VLOOKUP($A274,S275_09,2,FALSE),0)</f>
        <v>2.37</v>
      </c>
      <c r="AE274" s="267">
        <f>IFERROR(VLOOKUP($A274,Supp_25,14,FALSE),0)+IFERROR(SUMPRODUCT(VLOOKUP($A274,S275_01,{5,6,7},FALSE)),0)+IFERROR(SUMPRODUCT(VLOOKUP($A274,S275_97,{5,6,7},FALSE)),0)+IFERROR(ROUND(VLOOKUP($A274,S275_21,5,FALSE)*VLOOKUP($A274,'3121% SY'!$C$3:$M$324,11,FALSE),3),0)+IFERROR(ROUND(VLOOKUP($A274,S275_21,6,FALSE)*VLOOKUP($A274,'3121% SY'!$C$3:$M$324,11,FALSE),3),0)+IFERROR(ROUND(VLOOKUP($A274,S275_21,7,FALSE)*VLOOKUP($A274,'3121% SY'!$C$3:$M$324,11,FALSE),3),0)+IFERROR(VLOOKUP($A274,S275_09,3,FALSE),0)</f>
        <v>2.6950000000000003</v>
      </c>
      <c r="AF274" s="267">
        <f>IFERROR(VLOOKUP($A274,Supp_26,14,FALSE),0)+IFERROR(SUMPRODUCT(VLOOKUP($A274,S275_01,{8,9,10},FALSE)),0)+IFERROR(SUMPRODUCT(VLOOKUP($A274,S275_97,{8,9,10},FALSE)),0)+IFERROR(ROUND(VLOOKUP($A274,S275_21,8,FALSE)*VLOOKUP($A274,'3121% SY'!$C$3:$M$324,11,FALSE),3),0)+IFERROR(ROUND(VLOOKUP($A274,S275_21,9,FALSE)*VLOOKUP($A274,'3121% SY'!$C$3:$M$324,11,FALSE),3),0)+IFERROR(ROUND(VLOOKUP($A274,S275_21,10,FALSE)*VLOOKUP($A274,'3121% SY'!$C$3:$M$324,11,FALSE),3),0)+IFERROR(VLOOKUP($A274,S275_09,4,FALSE),0)</f>
        <v>7.5149999999999988</v>
      </c>
      <c r="AG274" s="267">
        <f>IFERROR(VLOOKUP($A274,Supp_35,14,FALSE),0)+IFERROR(SUMPRODUCT(VLOOKUP($A274,S275_01,{11,12,13},FALSE)),0)+IFERROR(SUMPRODUCT(VLOOKUP($A274,S275_97,{11,12,13},FALSE)),0)+IFERROR(ROUND(VLOOKUP($A274,S275_21,11,FALSE)*VLOOKUP($A274,'3121% SY'!$C$3:$M$324,11,FALSE),3),0)+IFERROR(ROUND(VLOOKUP($A274,S275_21,12,FALSE)*VLOOKUP($A274,'3121% SY'!$C$3:$M$324,11,FALSE),3),0)+IFERROR(ROUND(VLOOKUP($A274,S275_21,13,FALSE)*VLOOKUP($A274,'3121% SY'!$C$3:$M$324,11,FALSE),3),0)+IFERROR(VLOOKUP($A274,S275_09,5,FALSE),0)</f>
        <v>1.0389999999999999</v>
      </c>
      <c r="AH274" s="165">
        <f t="shared" si="58"/>
        <v>13.618999999999998</v>
      </c>
      <c r="AI274" s="161">
        <f>IFERROR(VLOOKUP(A274,'Supp Staff Data'!A:ER,148,FALSE),0)+AB274</f>
        <v>0</v>
      </c>
      <c r="AJ274" s="174">
        <v>1</v>
      </c>
      <c r="AK274" s="25">
        <f>VLOOKUP(A274,'Enroll Data as of January 2025'!$A$3:$T$323,20,FALSE)-F274</f>
        <v>0</v>
      </c>
    </row>
    <row r="275" spans="1:37" x14ac:dyDescent="0.25">
      <c r="A275" s="171" t="s">
        <v>269</v>
      </c>
      <c r="B275" t="s">
        <v>565</v>
      </c>
      <c r="C275" s="173" t="s">
        <v>1077</v>
      </c>
      <c r="D275" s="259">
        <f t="shared" si="50"/>
        <v>23.311999999999998</v>
      </c>
      <c r="E275" s="259">
        <f t="shared" si="51"/>
        <v>24.305</v>
      </c>
      <c r="F275" s="262">
        <f t="shared" si="52"/>
        <v>0.99299999999999999</v>
      </c>
      <c r="G275" s="161">
        <f>ROUND(IF(F275&lt;0,F275*'2024-25 PSES Compliance'!$G$13,0),3)</f>
        <v>0</v>
      </c>
      <c r="H275" s="161">
        <f>ROUND(IF(F275&lt;0,F275*'2024-25 PSES Compliance'!$G$14,0),3)</f>
        <v>0</v>
      </c>
      <c r="I275" s="174">
        <f t="shared" si="53"/>
        <v>0.5025303435507098</v>
      </c>
      <c r="J275" s="174">
        <f t="shared" si="54"/>
        <v>0</v>
      </c>
      <c r="K275" s="161">
        <f>VLOOKUP($A275,'Enroll Data as of January 2025'!$A$3:$M$322,6,FALSE)</f>
        <v>12.898999999999999</v>
      </c>
      <c r="L275" s="161">
        <f>VLOOKUP($A275,'Enroll Data as of January 2025'!$A$3:$M$322,7,FALSE)</f>
        <v>2.25</v>
      </c>
      <c r="M275" s="161">
        <f>VLOOKUP($A275,'Enroll Data as of January 2025'!$A$3:$M$322,8,FALSE)</f>
        <v>0.754</v>
      </c>
      <c r="N275" s="161">
        <f>VLOOKUP($A275,'Enroll Data as of January 2025'!$A$3:$M$322,9,FALSE)</f>
        <v>6.07</v>
      </c>
      <c r="O275" s="165">
        <f t="shared" si="55"/>
        <v>21.972999999999999</v>
      </c>
      <c r="P275" s="161">
        <f>VLOOKUP($A275,'Enroll Data as of January 2025'!$A$3:$M$322,11,FALSE)</f>
        <v>0.82200000000000006</v>
      </c>
      <c r="Q275" s="161">
        <f>VLOOKUP($A275,'Enroll Data as of January 2025'!$A$3:$M$322,12,FALSE)</f>
        <v>0.51700000000000002</v>
      </c>
      <c r="R275" s="165">
        <f t="shared" si="56"/>
        <v>1.339</v>
      </c>
      <c r="S275" s="267">
        <f>IFERROR(VLOOKUP($A275,Supp_39,14,FALSE),0)+IFERROR(SUMPRODUCT(VLOOKUP($A275,S275_01,{14,15,16},FALSE)),0)+IFERROR(SUMPRODUCT(VLOOKUP($A275,S275_97,{14,15,16},FALSE)),0)+IFERROR(ROUND(VLOOKUP($A275,S275_21,14,FALSE)*VLOOKUP($A275,'3121% SY'!$C$3:$M$324,11,FALSE),3),0)+IFERROR(ROUND(VLOOKUP($A275,S275_21,15,FALSE)*VLOOKUP($A275,'3121% SY'!$C$3:$M$324,11,FALSE),3),0)+IFERROR(ROUND(VLOOKUP($A275,S275_21,16,FALSE)*VLOOKUP($A275,'3121% SY'!$C$3:$M$324,11,FALSE),3),0)+IFERROR(VLOOKUP($A275,S275_09,6,FALSE),0)</f>
        <v>3</v>
      </c>
      <c r="T275" s="267">
        <f>IFERROR(VLOOKUP($A275,Supp_42,14,FALSE),0)+IFERROR(SUMPRODUCT(VLOOKUP($A275,S275_01,{17,18,19},FALSE)),0)+IFERROR(SUMPRODUCT(VLOOKUP($A275,S275_97,{17,18,19},FALSE)),0)+IFERROR(ROUND(VLOOKUP($A275,S275_21,17,FALSE)*VLOOKUP($A275,'3121% SY'!$C$3:$M$324,11,FALSE),3),0)+IFERROR(ROUND(VLOOKUP($A275,S275_21,18,FALSE)*VLOOKUP($A275,'3121% SY'!$C$3:$M$324,11,FALSE),3),0)+IFERROR(ROUND(VLOOKUP($A275,S275_21,19,FALSE)*VLOOKUP($A275,'3121% SY'!$C$3:$M$324,11,FALSE),3),0)+IFERROR(VLOOKUP($A275,S275_09,7,FALSE),0)</f>
        <v>2</v>
      </c>
      <c r="U275" s="267">
        <f>IFERROR(VLOOKUP($A275,Supp_43,14,FALSE),0)+IFERROR(SUMPRODUCT(VLOOKUP($A275,S275_01,{20,21,22},FALSE)),0)+IFERROR(SUMPRODUCT(VLOOKUP($A275,S275_97,{20,21,22},FALSE)),0)+IFERROR(ROUND(VLOOKUP($A275,S275_21,20,FALSE)*VLOOKUP($A275,'3121% SY'!$C$3:$M$324,11,FALSE),3),0)+IFERROR(ROUND(VLOOKUP($A275,S275_21,21,FALSE)*VLOOKUP($A275,'3121% SY'!$C$3:$M$324,11,FALSE),3),0)+IFERROR(ROUND(VLOOKUP($A275,S275_21,22,FALSE)*VLOOKUP($A275,'3121% SY'!$C$3:$M$324,11,FALSE),3),0)+IFERROR(VLOOKUP($A275,S275_09,8,FALSE),0)</f>
        <v>0.81200000000000006</v>
      </c>
      <c r="V275" s="267">
        <f>IFERROR(VLOOKUP($A275,Supp_44,14,FALSE),0)+IFERROR(SUMPRODUCT(VLOOKUP($A275,S275_01,{23,24,25},FALSE)),0)+IFERROR(SUMPRODUCT(VLOOKUP($A275,S275_97,{23,24,25},FALSE)),0)+IFERROR(ROUND(VLOOKUP($A275,S275_21,23,FALSE)*VLOOKUP($A275,'3121% SY'!$C$3:$M$324,11,FALSE),3),0)+IFERROR(ROUND(VLOOKUP($A275,S275_21,24,FALSE)*VLOOKUP($A275,'3121% SY'!$C$3:$M$324,11,FALSE),3),0)+IFERROR(ROUND(VLOOKUP($A275,S275_21,25,FALSE)*VLOOKUP($A275,'3121% SY'!$C$3:$M$324,11,FALSE),3),0)+IFERROR(VLOOKUP($A275,S275_09,9,FALSE),0)</f>
        <v>0</v>
      </c>
      <c r="W275" s="267">
        <f>IFERROR(VLOOKUP($A275,Supp_45,14,FALSE),0)+IFERROR(SUMPRODUCT(VLOOKUP($A275,S275_01,{26,27,28},FALSE)),0)+IFERROR(SUMPRODUCT(VLOOKUP($A275,S275_97,{26,27,28},FALSE)),0)+IFERROR(ROUND(VLOOKUP($A275,S275_21,26,FALSE)*VLOOKUP($A275,'3121% SY'!$C$3:$M$324,11,FALSE),3),0)+IFERROR(ROUND(VLOOKUP($A275,S275_21,27,FALSE)*VLOOKUP($A275,'3121% SY'!$C$3:$M$324,11,FALSE),3),0)+IFERROR(ROUND(VLOOKUP($A275,S275_21,28,FALSE)*VLOOKUP($A275,'3121% SY'!$C$3:$M$324,11,FALSE),3),0)+IFERROR(VLOOKUP($A275,S275_09,10,FALSE),0)</f>
        <v>1.6040000000000001</v>
      </c>
      <c r="X275" s="267">
        <f>IFERROR(VLOOKUP($A275,Supp_46,14,FALSE),0)+IFERROR(SUMPRODUCT(VLOOKUP($A275,S275_01,{29,30,31},FALSE)),0)+IFERROR(SUMPRODUCT(VLOOKUP($A275,S275_97,{29,30,31},FALSE)),0)+IFERROR(ROUND(VLOOKUP($A275,S275_21,29,FALSE)*VLOOKUP($A275,'3121% SY'!$C$3:$M$324,11,FALSE),3),0)+IFERROR(ROUND(VLOOKUP($A275,S275_21,30,FALSE)*VLOOKUP($A275,'3121% SY'!$C$3:$M$324,11,FALSE),3),0)+IFERROR(ROUND(VLOOKUP($A275,S275_21,31,FALSE)*VLOOKUP($A275,'3121% SY'!$C$3:$M$324,11,FALSE),3),0)+IFERROR(VLOOKUP($A275,S275_09,11,FALSE),0)</f>
        <v>2.67</v>
      </c>
      <c r="Y275" s="267">
        <f>IFERROR(VLOOKUP($A275,Supp_47,14,FALSE),0)+IFERROR(SUMPRODUCT(VLOOKUP($A275,S275_01,{32,33,34},FALSE)),0)+IFERROR(SUMPRODUCT(VLOOKUP($A275,S275_97,{32,33,34},FALSE)),0)+IFERROR(ROUND(VLOOKUP($A275,S275_21,32,FALSE)*VLOOKUP($A275,'3121% SY'!$C$3:$M$324,11,FALSE),3),0)+IFERROR(ROUND(VLOOKUP($A275,S275_21,33,FALSE)*VLOOKUP($A275,'3121% SY'!$C$3:$M$324,11,FALSE),3),0)+IFERROR(ROUND(VLOOKUP($A275,S275_21,34,FALSE)*VLOOKUP($A275,'3121% SY'!$C$3:$M$324,11,FALSE),3),0)+IFERROR(VLOOKUP($A275,S275_09,12,FALSE),0)</f>
        <v>1.8</v>
      </c>
      <c r="Z275" s="267">
        <f>IFERROR(VLOOKUP($A275,Supp_48,14,FALSE),0)+IFERROR(SUMPRODUCT(VLOOKUP($A275,S275_01,{35,36,37},FALSE)),0)+IFERROR(SUMPRODUCT(VLOOKUP($A275,S275_97,{35,36,37},FALSE)),0)+IFERROR(ROUND(VLOOKUP($A275,S275_21,35,FALSE)*VLOOKUP($A275,'3121% SY'!$C$3:$M$324,11,FALSE),3),0)+IFERROR(ROUND(VLOOKUP($A275,S275_21,36,FALSE)*VLOOKUP($A275,'3121% SY'!$C$3:$M$324,11,FALSE),3),0)+IFERROR(ROUND(VLOOKUP($A275,S275_21,37,FALSE)*VLOOKUP($A275,'3121% SY'!$C$3:$M$324,11,FALSE),3),0)+IFERROR(VLOOKUP($A275,S275_09,13,FALSE),0)</f>
        <v>0.32800000000000001</v>
      </c>
      <c r="AA275" s="267">
        <f>IFERROR(VLOOKUP($A275,Supp_49,14,FALSE),0)+IFERROR(SUMPRODUCT(VLOOKUP($A275,S275_01,{38,39,40},FALSE)),0)+IFERROR(SUMPRODUCT(VLOOKUP($A275,S275_97,{38,39,40},FALSE)),0)+IFERROR(ROUND(VLOOKUP($A275,S275_21,38,FALSE)*VLOOKUP($A275,'3121% SY'!$C$3:$M$324,11,FALSE),3),0)+IFERROR(ROUND(VLOOKUP($A275,S275_21,39,FALSE)*VLOOKUP($A275,'3121% SY'!$C$3:$M$324,11,FALSE),3),0)+IFERROR(ROUND(VLOOKUP($A275,S275_21,40,FALSE)*VLOOKUP($A275,'3121% SY'!$C$3:$M$324,11,FALSE),3),0)+IFERROR(VLOOKUP($A275,S275_09,14,FALSE),0)</f>
        <v>0</v>
      </c>
      <c r="AB275" s="267">
        <f>IFERROR(VLOOKUP($A275,Supp_64,14,FALSE),0)+IFERROR(SUMPRODUCT(VLOOKUP($A275,S275_01,{41,42,43},FALSE)),0)+IFERROR(SUMPRODUCT(VLOOKUP($A275,S275_97,{41,42,43},FALSE)),0)+IFERROR(ROUND(VLOOKUP($A275,S275_21,41,FALSE)*VLOOKUP($A275,'3121% SY'!$C$3:$M$324,11,FALSE),3),0)+IFERROR(ROUND(VLOOKUP($A275,S275_21,42,FALSE)*VLOOKUP($A275,'3121% SY'!$C$3:$M$324,11,FALSE),3),0)+IFERROR(ROUND(VLOOKUP($A275,S275_21,43,FALSE)*VLOOKUP($A275,'3121% SY'!$C$3:$M$324,11,FALSE),3),0)+IFERROR(VLOOKUP($A275,S275_09,15,FALSE),0)</f>
        <v>0</v>
      </c>
      <c r="AC275" s="268">
        <f t="shared" si="57"/>
        <v>12.214</v>
      </c>
      <c r="AD275" s="267">
        <f>IFERROR(VLOOKUP($A275,Supp_24,14,FALSE),0)+IFERROR(SUMPRODUCT(VLOOKUP($A275,S275_01,{2,3,4},FALSE)),0)+IFERROR(SUMPRODUCT(VLOOKUP($A275,S275_97,{2,3,4},FALSE)),0)+IFERROR(ROUND(VLOOKUP($A275,S275_21,2,FALSE)*VLOOKUP($A275,'3121% SY'!$C$3:$M$324,11,FALSE),3),0)+IFERROR(ROUND(VLOOKUP($A275,S275_21,3,FALSE)*VLOOKUP($A275,'3121% SY'!$C$3:$M$324,11,FALSE),3),0)+IFERROR(ROUND(VLOOKUP($A275,S275_21,4,FALSE)*VLOOKUP($A275,'3121% SY'!$C$3:$M$324,11,FALSE),3),0)+IFERROR(VLOOKUP($A275,S275_09,2,FALSE),0)</f>
        <v>3.42</v>
      </c>
      <c r="AE275" s="267">
        <f>IFERROR(VLOOKUP($A275,Supp_25,14,FALSE),0)+IFERROR(SUMPRODUCT(VLOOKUP($A275,S275_01,{5,6,7},FALSE)),0)+IFERROR(SUMPRODUCT(VLOOKUP($A275,S275_97,{5,6,7},FALSE)),0)+IFERROR(ROUND(VLOOKUP($A275,S275_21,5,FALSE)*VLOOKUP($A275,'3121% SY'!$C$3:$M$324,11,FALSE),3),0)+IFERROR(ROUND(VLOOKUP($A275,S275_21,6,FALSE)*VLOOKUP($A275,'3121% SY'!$C$3:$M$324,11,FALSE),3),0)+IFERROR(ROUND(VLOOKUP($A275,S275_21,7,FALSE)*VLOOKUP($A275,'3121% SY'!$C$3:$M$324,11,FALSE),3),0)+IFERROR(VLOOKUP($A275,S275_09,3,FALSE),0)</f>
        <v>6.1060000000000008</v>
      </c>
      <c r="AF275" s="267">
        <f>IFERROR(VLOOKUP($A275,Supp_26,14,FALSE),0)+IFERROR(SUMPRODUCT(VLOOKUP($A275,S275_01,{8,9,10},FALSE)),0)+IFERROR(SUMPRODUCT(VLOOKUP($A275,S275_97,{8,9,10},FALSE)),0)+IFERROR(ROUND(VLOOKUP($A275,S275_21,8,FALSE)*VLOOKUP($A275,'3121% SY'!$C$3:$M$324,11,FALSE),3),0)+IFERROR(ROUND(VLOOKUP($A275,S275_21,9,FALSE)*VLOOKUP($A275,'3121% SY'!$C$3:$M$324,11,FALSE),3),0)+IFERROR(ROUND(VLOOKUP($A275,S275_21,10,FALSE)*VLOOKUP($A275,'3121% SY'!$C$3:$M$324,11,FALSE),3),0)+IFERROR(VLOOKUP($A275,S275_09,4,FALSE),0)</f>
        <v>2.5649999999999999</v>
      </c>
      <c r="AG275" s="267">
        <f>IFERROR(VLOOKUP($A275,Supp_35,14,FALSE),0)+IFERROR(SUMPRODUCT(VLOOKUP($A275,S275_01,{11,12,13},FALSE)),0)+IFERROR(SUMPRODUCT(VLOOKUP($A275,S275_97,{11,12,13},FALSE)),0)+IFERROR(ROUND(VLOOKUP($A275,S275_21,11,FALSE)*VLOOKUP($A275,'3121% SY'!$C$3:$M$324,11,FALSE),3),0)+IFERROR(ROUND(VLOOKUP($A275,S275_21,12,FALSE)*VLOOKUP($A275,'3121% SY'!$C$3:$M$324,11,FALSE),3),0)+IFERROR(ROUND(VLOOKUP($A275,S275_21,13,FALSE)*VLOOKUP($A275,'3121% SY'!$C$3:$M$324,11,FALSE),3),0)+IFERROR(VLOOKUP($A275,S275_09,5,FALSE),0)</f>
        <v>0</v>
      </c>
      <c r="AH275" s="165">
        <f t="shared" si="58"/>
        <v>12.090999999999999</v>
      </c>
      <c r="AI275" s="161">
        <f>IFERROR(VLOOKUP(A275,'Supp Staff Data'!A:ER,148,FALSE),0)+AB275</f>
        <v>0</v>
      </c>
      <c r="AJ275" s="174">
        <v>1</v>
      </c>
      <c r="AK275" s="25">
        <f>VLOOKUP(A275,'Enroll Data as of January 2025'!$A$3:$T$323,20,FALSE)-F275</f>
        <v>0</v>
      </c>
    </row>
    <row r="276" spans="1:37" x14ac:dyDescent="0.25">
      <c r="A276" s="171" t="s">
        <v>114</v>
      </c>
      <c r="B276" t="s">
        <v>410</v>
      </c>
      <c r="C276" s="173" t="s">
        <v>1077</v>
      </c>
      <c r="D276" s="259">
        <f t="shared" si="50"/>
        <v>119.452</v>
      </c>
      <c r="E276" s="259">
        <f t="shared" si="51"/>
        <v>131.65699999999998</v>
      </c>
      <c r="F276" s="262">
        <f t="shared" si="52"/>
        <v>12.205</v>
      </c>
      <c r="G276" s="161">
        <f>ROUND(IF(F276&lt;0,F276*'2024-25 PSES Compliance'!$G$13,0),3)</f>
        <v>0</v>
      </c>
      <c r="H276" s="161">
        <f>ROUND(IF(F276&lt;0,F276*'2024-25 PSES Compliance'!$G$14,0),3)</f>
        <v>0</v>
      </c>
      <c r="I276" s="174">
        <f t="shared" si="53"/>
        <v>0.48049094617073151</v>
      </c>
      <c r="J276" s="174">
        <f t="shared" si="54"/>
        <v>0</v>
      </c>
      <c r="K276" s="161">
        <f>VLOOKUP($A276,'Enroll Data as of January 2025'!$A$3:$M$322,6,FALSE)</f>
        <v>68.289999999999992</v>
      </c>
      <c r="L276" s="161">
        <f>VLOOKUP($A276,'Enroll Data as of January 2025'!$A$3:$M$322,7,FALSE)</f>
        <v>10.553999999999998</v>
      </c>
      <c r="M276" s="161">
        <f>VLOOKUP($A276,'Enroll Data as of January 2025'!$A$3:$M$322,8,FALSE)</f>
        <v>3.5469999999999997</v>
      </c>
      <c r="N276" s="161">
        <f>VLOOKUP($A276,'Enroll Data as of January 2025'!$A$3:$M$322,9,FALSE)</f>
        <v>30.553999999999998</v>
      </c>
      <c r="O276" s="165">
        <f t="shared" si="55"/>
        <v>112.94499999999999</v>
      </c>
      <c r="P276" s="161">
        <f>VLOOKUP($A276,'Enroll Data as of January 2025'!$A$3:$M$322,11,FALSE)</f>
        <v>4.1869999999999994</v>
      </c>
      <c r="Q276" s="161">
        <f>VLOOKUP($A276,'Enroll Data as of January 2025'!$A$3:$M$322,12,FALSE)</f>
        <v>2.3199999999999998</v>
      </c>
      <c r="R276" s="165">
        <f t="shared" si="56"/>
        <v>6.5069999999999997</v>
      </c>
      <c r="S276" s="267">
        <f>IFERROR(VLOOKUP($A276,Supp_39,14,FALSE),0)+IFERROR(SUMPRODUCT(VLOOKUP($A276,S275_01,{14,15,16},FALSE)),0)+IFERROR(SUMPRODUCT(VLOOKUP($A276,S275_97,{14,15,16},FALSE)),0)+IFERROR(ROUND(VLOOKUP($A276,S275_21,14,FALSE)*VLOOKUP($A276,'3121% SY'!$C$3:$M$324,11,FALSE),3),0)+IFERROR(ROUND(VLOOKUP($A276,S275_21,15,FALSE)*VLOOKUP($A276,'3121% SY'!$C$3:$M$324,11,FALSE),3),0)+IFERROR(ROUND(VLOOKUP($A276,S275_21,16,FALSE)*VLOOKUP($A276,'3121% SY'!$C$3:$M$324,11,FALSE),3),0)+IFERROR(VLOOKUP($A276,S275_09,6,FALSE),0)</f>
        <v>50.38</v>
      </c>
      <c r="T276" s="267">
        <f>IFERROR(VLOOKUP($A276,Supp_42,14,FALSE),0)+IFERROR(SUMPRODUCT(VLOOKUP($A276,S275_01,{17,18,19},FALSE)),0)+IFERROR(SUMPRODUCT(VLOOKUP($A276,S275_97,{17,18,19},FALSE)),0)+IFERROR(ROUND(VLOOKUP($A276,S275_21,17,FALSE)*VLOOKUP($A276,'3121% SY'!$C$3:$M$324,11,FALSE),3),0)+IFERROR(ROUND(VLOOKUP($A276,S275_21,18,FALSE)*VLOOKUP($A276,'3121% SY'!$C$3:$M$324,11,FALSE),3),0)+IFERROR(ROUND(VLOOKUP($A276,S275_21,19,FALSE)*VLOOKUP($A276,'3121% SY'!$C$3:$M$324,11,FALSE),3),0)+IFERROR(VLOOKUP($A276,S275_09,7,FALSE),0)</f>
        <v>11.702999999999999</v>
      </c>
      <c r="U276" s="267">
        <f>IFERROR(VLOOKUP($A276,Supp_43,14,FALSE),0)+IFERROR(SUMPRODUCT(VLOOKUP($A276,S275_01,{20,21,22},FALSE)),0)+IFERROR(SUMPRODUCT(VLOOKUP($A276,S275_97,{20,21,22},FALSE)),0)+IFERROR(ROUND(VLOOKUP($A276,S275_21,20,FALSE)*VLOOKUP($A276,'3121% SY'!$C$3:$M$324,11,FALSE),3),0)+IFERROR(ROUND(VLOOKUP($A276,S275_21,21,FALSE)*VLOOKUP($A276,'3121% SY'!$C$3:$M$324,11,FALSE),3),0)+IFERROR(ROUND(VLOOKUP($A276,S275_21,22,FALSE)*VLOOKUP($A276,'3121% SY'!$C$3:$M$324,11,FALSE),3),0)+IFERROR(VLOOKUP($A276,S275_09,8,FALSE),0)</f>
        <v>2.5739999999999998</v>
      </c>
      <c r="V276" s="267">
        <f>IFERROR(VLOOKUP($A276,Supp_44,14,FALSE),0)+IFERROR(SUMPRODUCT(VLOOKUP($A276,S275_01,{23,24,25},FALSE)),0)+IFERROR(SUMPRODUCT(VLOOKUP($A276,S275_97,{23,24,25},FALSE)),0)+IFERROR(ROUND(VLOOKUP($A276,S275_21,23,FALSE)*VLOOKUP($A276,'3121% SY'!$C$3:$M$324,11,FALSE),3),0)+IFERROR(ROUND(VLOOKUP($A276,S275_21,24,FALSE)*VLOOKUP($A276,'3121% SY'!$C$3:$M$324,11,FALSE),3),0)+IFERROR(ROUND(VLOOKUP($A276,S275_21,25,FALSE)*VLOOKUP($A276,'3121% SY'!$C$3:$M$324,11,FALSE),3),0)+IFERROR(VLOOKUP($A276,S275_09,9,FALSE),0)</f>
        <v>0</v>
      </c>
      <c r="W276" s="267">
        <f>IFERROR(VLOOKUP($A276,Supp_45,14,FALSE),0)+IFERROR(SUMPRODUCT(VLOOKUP($A276,S275_01,{26,27,28},FALSE)),0)+IFERROR(SUMPRODUCT(VLOOKUP($A276,S275_97,{26,27,28},FALSE)),0)+IFERROR(ROUND(VLOOKUP($A276,S275_21,26,FALSE)*VLOOKUP($A276,'3121% SY'!$C$3:$M$324,11,FALSE),3),0)+IFERROR(ROUND(VLOOKUP($A276,S275_21,27,FALSE)*VLOOKUP($A276,'3121% SY'!$C$3:$M$324,11,FALSE),3),0)+IFERROR(ROUND(VLOOKUP($A276,S275_21,28,FALSE)*VLOOKUP($A276,'3121% SY'!$C$3:$M$324,11,FALSE),3),0)+IFERROR(VLOOKUP($A276,S275_09,10,FALSE),0)</f>
        <v>6.9010000000000007</v>
      </c>
      <c r="X276" s="267">
        <f>IFERROR(VLOOKUP($A276,Supp_46,14,FALSE),0)+IFERROR(SUMPRODUCT(VLOOKUP($A276,S275_01,{29,30,31},FALSE)),0)+IFERROR(SUMPRODUCT(VLOOKUP($A276,S275_97,{29,30,31},FALSE)),0)+IFERROR(ROUND(VLOOKUP($A276,S275_21,29,FALSE)*VLOOKUP($A276,'3121% SY'!$C$3:$M$324,11,FALSE),3),0)+IFERROR(ROUND(VLOOKUP($A276,S275_21,30,FALSE)*VLOOKUP($A276,'3121% SY'!$C$3:$M$324,11,FALSE),3),0)+IFERROR(ROUND(VLOOKUP($A276,S275_21,31,FALSE)*VLOOKUP($A276,'3121% SY'!$C$3:$M$324,11,FALSE),3),0)+IFERROR(VLOOKUP($A276,S275_09,11,FALSE),0)</f>
        <v>4.6649999999999991</v>
      </c>
      <c r="Y276" s="267">
        <f>IFERROR(VLOOKUP($A276,Supp_47,14,FALSE),0)+IFERROR(SUMPRODUCT(VLOOKUP($A276,S275_01,{32,33,34},FALSE)),0)+IFERROR(SUMPRODUCT(VLOOKUP($A276,S275_97,{32,33,34},FALSE)),0)+IFERROR(ROUND(VLOOKUP($A276,S275_21,32,FALSE)*VLOOKUP($A276,'3121% SY'!$C$3:$M$324,11,FALSE),3),0)+IFERROR(ROUND(VLOOKUP($A276,S275_21,33,FALSE)*VLOOKUP($A276,'3121% SY'!$C$3:$M$324,11,FALSE),3),0)+IFERROR(ROUND(VLOOKUP($A276,S275_21,34,FALSE)*VLOOKUP($A276,'3121% SY'!$C$3:$M$324,11,FALSE),3),0)+IFERROR(VLOOKUP($A276,S275_09,12,FALSE),0)</f>
        <v>5.1999999999999998E-2</v>
      </c>
      <c r="Z276" s="267">
        <f>IFERROR(VLOOKUP($A276,Supp_48,14,FALSE),0)+IFERROR(SUMPRODUCT(VLOOKUP($A276,S275_01,{35,36,37},FALSE)),0)+IFERROR(SUMPRODUCT(VLOOKUP($A276,S275_97,{35,36,37},FALSE)),0)+IFERROR(ROUND(VLOOKUP($A276,S275_21,35,FALSE)*VLOOKUP($A276,'3121% SY'!$C$3:$M$324,11,FALSE),3),0)+IFERROR(ROUND(VLOOKUP($A276,S275_21,36,FALSE)*VLOOKUP($A276,'3121% SY'!$C$3:$M$324,11,FALSE),3),0)+IFERROR(ROUND(VLOOKUP($A276,S275_21,37,FALSE)*VLOOKUP($A276,'3121% SY'!$C$3:$M$324,11,FALSE),3),0)+IFERROR(VLOOKUP($A276,S275_09,13,FALSE),0)</f>
        <v>1.8719999999999999</v>
      </c>
      <c r="AA276" s="267">
        <f>IFERROR(VLOOKUP($A276,Supp_49,14,FALSE),0)+IFERROR(SUMPRODUCT(VLOOKUP($A276,S275_01,{38,39,40},FALSE)),0)+IFERROR(SUMPRODUCT(VLOOKUP($A276,S275_97,{38,39,40},FALSE)),0)+IFERROR(ROUND(VLOOKUP($A276,S275_21,38,FALSE)*VLOOKUP($A276,'3121% SY'!$C$3:$M$324,11,FALSE),3),0)+IFERROR(ROUND(VLOOKUP($A276,S275_21,39,FALSE)*VLOOKUP($A276,'3121% SY'!$C$3:$M$324,11,FALSE),3),0)+IFERROR(ROUND(VLOOKUP($A276,S275_21,40,FALSE)*VLOOKUP($A276,'3121% SY'!$C$3:$M$324,11,FALSE),3),0)+IFERROR(VLOOKUP($A276,S275_09,14,FALSE),0)</f>
        <v>0</v>
      </c>
      <c r="AB276" s="267">
        <f>IFERROR(VLOOKUP($A276,Supp_64,14,FALSE),0)+IFERROR(SUMPRODUCT(VLOOKUP($A276,S275_01,{41,42,43},FALSE)),0)+IFERROR(SUMPRODUCT(VLOOKUP($A276,S275_97,{41,42,43},FALSE)),0)+IFERROR(ROUND(VLOOKUP($A276,S275_21,41,FALSE)*VLOOKUP($A276,'3121% SY'!$C$3:$M$324,11,FALSE),3),0)+IFERROR(ROUND(VLOOKUP($A276,S275_21,42,FALSE)*VLOOKUP($A276,'3121% SY'!$C$3:$M$324,11,FALSE),3),0)+IFERROR(ROUND(VLOOKUP($A276,S275_21,43,FALSE)*VLOOKUP($A276,'3121% SY'!$C$3:$M$324,11,FALSE),3),0)+IFERROR(VLOOKUP($A276,S275_09,15,FALSE),0)</f>
        <v>0</v>
      </c>
      <c r="AC276" s="268">
        <f t="shared" si="57"/>
        <v>78.146999999999991</v>
      </c>
      <c r="AD276" s="267">
        <f>IFERROR(VLOOKUP($A276,Supp_24,14,FALSE),0)+IFERROR(SUMPRODUCT(VLOOKUP($A276,S275_01,{2,3,4},FALSE)),0)+IFERROR(SUMPRODUCT(VLOOKUP($A276,S275_97,{2,3,4},FALSE)),0)+IFERROR(ROUND(VLOOKUP($A276,S275_21,2,FALSE)*VLOOKUP($A276,'3121% SY'!$C$3:$M$324,11,FALSE),3),0)+IFERROR(ROUND(VLOOKUP($A276,S275_21,3,FALSE)*VLOOKUP($A276,'3121% SY'!$C$3:$M$324,11,FALSE),3),0)+IFERROR(ROUND(VLOOKUP($A276,S275_21,4,FALSE)*VLOOKUP($A276,'3121% SY'!$C$3:$M$324,11,FALSE),3),0)+IFERROR(VLOOKUP($A276,S275_09,2,FALSE),0)</f>
        <v>0</v>
      </c>
      <c r="AE276" s="267">
        <f>IFERROR(VLOOKUP($A276,Supp_25,14,FALSE),0)+IFERROR(SUMPRODUCT(VLOOKUP($A276,S275_01,{5,6,7},FALSE)),0)+IFERROR(SUMPRODUCT(VLOOKUP($A276,S275_97,{5,6,7},FALSE)),0)+IFERROR(ROUND(VLOOKUP($A276,S275_21,5,FALSE)*VLOOKUP($A276,'3121% SY'!$C$3:$M$324,11,FALSE),3),0)+IFERROR(ROUND(VLOOKUP($A276,S275_21,6,FALSE)*VLOOKUP($A276,'3121% SY'!$C$3:$M$324,11,FALSE),3),0)+IFERROR(ROUND(VLOOKUP($A276,S275_21,7,FALSE)*VLOOKUP($A276,'3121% SY'!$C$3:$M$324,11,FALSE),3),0)+IFERROR(VLOOKUP($A276,S275_09,3,FALSE),0)</f>
        <v>19.984000000000002</v>
      </c>
      <c r="AF276" s="267">
        <f>IFERROR(VLOOKUP($A276,Supp_26,14,FALSE),0)+IFERROR(SUMPRODUCT(VLOOKUP($A276,S275_01,{8,9,10},FALSE)),0)+IFERROR(SUMPRODUCT(VLOOKUP($A276,S275_97,{8,9,10},FALSE)),0)+IFERROR(ROUND(VLOOKUP($A276,S275_21,8,FALSE)*VLOOKUP($A276,'3121% SY'!$C$3:$M$324,11,FALSE),3),0)+IFERROR(ROUND(VLOOKUP($A276,S275_21,9,FALSE)*VLOOKUP($A276,'3121% SY'!$C$3:$M$324,11,FALSE),3),0)+IFERROR(ROUND(VLOOKUP($A276,S275_21,10,FALSE)*VLOOKUP($A276,'3121% SY'!$C$3:$M$324,11,FALSE),3),0)+IFERROR(VLOOKUP($A276,S275_09,4,FALSE),0)</f>
        <v>28.360000000000003</v>
      </c>
      <c r="AG276" s="267">
        <f>IFERROR(VLOOKUP($A276,Supp_35,14,FALSE),0)+IFERROR(SUMPRODUCT(VLOOKUP($A276,S275_01,{11,12,13},FALSE)),0)+IFERROR(SUMPRODUCT(VLOOKUP($A276,S275_97,{11,12,13},FALSE)),0)+IFERROR(ROUND(VLOOKUP($A276,S275_21,11,FALSE)*VLOOKUP($A276,'3121% SY'!$C$3:$M$324,11,FALSE),3),0)+IFERROR(ROUND(VLOOKUP($A276,S275_21,12,FALSE)*VLOOKUP($A276,'3121% SY'!$C$3:$M$324,11,FALSE),3),0)+IFERROR(ROUND(VLOOKUP($A276,S275_21,13,FALSE)*VLOOKUP($A276,'3121% SY'!$C$3:$M$324,11,FALSE),3),0)+IFERROR(VLOOKUP($A276,S275_09,5,FALSE),0)</f>
        <v>5.1660000000000004</v>
      </c>
      <c r="AH276" s="165">
        <f t="shared" si="58"/>
        <v>53.510000000000005</v>
      </c>
      <c r="AI276" s="161">
        <f>IFERROR(VLOOKUP(A276,'Supp Staff Data'!A:ER,148,FALSE),0)+AB276</f>
        <v>0</v>
      </c>
      <c r="AJ276" s="174">
        <v>0.8095</v>
      </c>
      <c r="AK276" s="25">
        <f>VLOOKUP(A276,'Enroll Data as of January 2025'!$A$3:$T$323,20,FALSE)-F276</f>
        <v>0</v>
      </c>
    </row>
    <row r="277" spans="1:37" x14ac:dyDescent="0.25">
      <c r="A277" s="171" t="s">
        <v>193</v>
      </c>
      <c r="B277" t="s">
        <v>488</v>
      </c>
      <c r="C277" s="173" t="s">
        <v>1077</v>
      </c>
      <c r="D277" s="259">
        <f t="shared" si="50"/>
        <v>37.372</v>
      </c>
      <c r="E277" s="259">
        <f t="shared" si="51"/>
        <v>54.343999999999994</v>
      </c>
      <c r="F277" s="262">
        <f t="shared" si="52"/>
        <v>16.972000000000001</v>
      </c>
      <c r="G277" s="161">
        <f>ROUND(IF(F277&lt;0,F277*'2024-25 PSES Compliance'!$G$13,0),3)</f>
        <v>0</v>
      </c>
      <c r="H277" s="161">
        <f>ROUND(IF(F277&lt;0,F277*'2024-25 PSES Compliance'!$G$14,0),3)</f>
        <v>0</v>
      </c>
      <c r="I277" s="174">
        <f t="shared" si="53"/>
        <v>0.5972508464595907</v>
      </c>
      <c r="J277" s="174">
        <f t="shared" si="54"/>
        <v>0</v>
      </c>
      <c r="K277" s="161">
        <f>VLOOKUP($A277,'Enroll Data as of January 2025'!$A$3:$M$322,6,FALSE)</f>
        <v>21.036999999999999</v>
      </c>
      <c r="L277" s="161">
        <f>VLOOKUP($A277,'Enroll Data as of January 2025'!$A$3:$M$322,7,FALSE)</f>
        <v>3.468</v>
      </c>
      <c r="M277" s="161">
        <f>VLOOKUP($A277,'Enroll Data as of January 2025'!$A$3:$M$322,8,FALSE)</f>
        <v>1.1659999999999999</v>
      </c>
      <c r="N277" s="161">
        <f>VLOOKUP($A277,'Enroll Data as of January 2025'!$A$3:$M$322,9,FALSE)</f>
        <v>9.6039999999999992</v>
      </c>
      <c r="O277" s="165">
        <f t="shared" si="55"/>
        <v>35.274999999999999</v>
      </c>
      <c r="P277" s="161">
        <f>VLOOKUP($A277,'Enroll Data as of January 2025'!$A$3:$M$322,11,FALSE)</f>
        <v>1.3149999999999999</v>
      </c>
      <c r="Q277" s="161">
        <f>VLOOKUP($A277,'Enroll Data as of January 2025'!$A$3:$M$322,12,FALSE)</f>
        <v>0.78200000000000003</v>
      </c>
      <c r="R277" s="165">
        <f t="shared" si="56"/>
        <v>2.097</v>
      </c>
      <c r="S277" s="267">
        <f>IFERROR(VLOOKUP($A277,Supp_39,14,FALSE),0)+IFERROR(SUMPRODUCT(VLOOKUP($A277,S275_01,{14,15,16},FALSE)),0)+IFERROR(SUMPRODUCT(VLOOKUP($A277,S275_97,{14,15,16},FALSE)),0)+IFERROR(ROUND(VLOOKUP($A277,S275_21,14,FALSE)*VLOOKUP($A277,'3121% SY'!$C$3:$M$324,11,FALSE),3),0)+IFERROR(ROUND(VLOOKUP($A277,S275_21,15,FALSE)*VLOOKUP($A277,'3121% SY'!$C$3:$M$324,11,FALSE),3),0)+IFERROR(ROUND(VLOOKUP($A277,S275_21,16,FALSE)*VLOOKUP($A277,'3121% SY'!$C$3:$M$324,11,FALSE),3),0)+IFERROR(VLOOKUP($A277,S275_09,6,FALSE),0)</f>
        <v>17.990000000000002</v>
      </c>
      <c r="T277" s="267">
        <f>IFERROR(VLOOKUP($A277,Supp_42,14,FALSE),0)+IFERROR(SUMPRODUCT(VLOOKUP($A277,S275_01,{17,18,19},FALSE)),0)+IFERROR(SUMPRODUCT(VLOOKUP($A277,S275_97,{17,18,19},FALSE)),0)+IFERROR(ROUND(VLOOKUP($A277,S275_21,17,FALSE)*VLOOKUP($A277,'3121% SY'!$C$3:$M$324,11,FALSE),3),0)+IFERROR(ROUND(VLOOKUP($A277,S275_21,18,FALSE)*VLOOKUP($A277,'3121% SY'!$C$3:$M$324,11,FALSE),3),0)+IFERROR(ROUND(VLOOKUP($A277,S275_21,19,FALSE)*VLOOKUP($A277,'3121% SY'!$C$3:$M$324,11,FALSE),3),0)+IFERROR(VLOOKUP($A277,S275_09,7,FALSE),0)</f>
        <v>6.5659999999999998</v>
      </c>
      <c r="U277" s="267">
        <f>IFERROR(VLOOKUP($A277,Supp_43,14,FALSE),0)+IFERROR(SUMPRODUCT(VLOOKUP($A277,S275_01,{20,21,22},FALSE)),0)+IFERROR(SUMPRODUCT(VLOOKUP($A277,S275_97,{20,21,22},FALSE)),0)+IFERROR(ROUND(VLOOKUP($A277,S275_21,20,FALSE)*VLOOKUP($A277,'3121% SY'!$C$3:$M$324,11,FALSE),3),0)+IFERROR(ROUND(VLOOKUP($A277,S275_21,21,FALSE)*VLOOKUP($A277,'3121% SY'!$C$3:$M$324,11,FALSE),3),0)+IFERROR(ROUND(VLOOKUP($A277,S275_21,22,FALSE)*VLOOKUP($A277,'3121% SY'!$C$3:$M$324,11,FALSE),3),0)+IFERROR(VLOOKUP($A277,S275_09,8,FALSE),0)</f>
        <v>1.3919999999999999</v>
      </c>
      <c r="V277" s="267">
        <f>IFERROR(VLOOKUP($A277,Supp_44,14,FALSE),0)+IFERROR(SUMPRODUCT(VLOOKUP($A277,S275_01,{23,24,25},FALSE)),0)+IFERROR(SUMPRODUCT(VLOOKUP($A277,S275_97,{23,24,25},FALSE)),0)+IFERROR(ROUND(VLOOKUP($A277,S275_21,23,FALSE)*VLOOKUP($A277,'3121% SY'!$C$3:$M$324,11,FALSE),3),0)+IFERROR(ROUND(VLOOKUP($A277,S275_21,24,FALSE)*VLOOKUP($A277,'3121% SY'!$C$3:$M$324,11,FALSE),3),0)+IFERROR(ROUND(VLOOKUP($A277,S275_21,25,FALSE)*VLOOKUP($A277,'3121% SY'!$C$3:$M$324,11,FALSE),3),0)+IFERROR(VLOOKUP($A277,S275_09,9,FALSE),0)</f>
        <v>0</v>
      </c>
      <c r="W277" s="267">
        <f>IFERROR(VLOOKUP($A277,Supp_45,14,FALSE),0)+IFERROR(SUMPRODUCT(VLOOKUP($A277,S275_01,{26,27,28},FALSE)),0)+IFERROR(SUMPRODUCT(VLOOKUP($A277,S275_97,{26,27,28},FALSE)),0)+IFERROR(ROUND(VLOOKUP($A277,S275_21,26,FALSE)*VLOOKUP($A277,'3121% SY'!$C$3:$M$324,11,FALSE),3),0)+IFERROR(ROUND(VLOOKUP($A277,S275_21,27,FALSE)*VLOOKUP($A277,'3121% SY'!$C$3:$M$324,11,FALSE),3),0)+IFERROR(ROUND(VLOOKUP($A277,S275_21,28,FALSE)*VLOOKUP($A277,'3121% SY'!$C$3:$M$324,11,FALSE),3),0)+IFERROR(VLOOKUP($A277,S275_09,10,FALSE),0)</f>
        <v>2.9259999999999997</v>
      </c>
      <c r="X277" s="267">
        <f>IFERROR(VLOOKUP($A277,Supp_46,14,FALSE),0)+IFERROR(SUMPRODUCT(VLOOKUP($A277,S275_01,{29,30,31},FALSE)),0)+IFERROR(SUMPRODUCT(VLOOKUP($A277,S275_97,{29,30,31},FALSE)),0)+IFERROR(ROUND(VLOOKUP($A277,S275_21,29,FALSE)*VLOOKUP($A277,'3121% SY'!$C$3:$M$324,11,FALSE),3),0)+IFERROR(ROUND(VLOOKUP($A277,S275_21,30,FALSE)*VLOOKUP($A277,'3121% SY'!$C$3:$M$324,11,FALSE),3),0)+IFERROR(ROUND(VLOOKUP($A277,S275_21,31,FALSE)*VLOOKUP($A277,'3121% SY'!$C$3:$M$324,11,FALSE),3),0)+IFERROR(VLOOKUP($A277,S275_09,11,FALSE),0)</f>
        <v>2.9260000000000002</v>
      </c>
      <c r="Y277" s="267">
        <f>IFERROR(VLOOKUP($A277,Supp_47,14,FALSE),0)+IFERROR(SUMPRODUCT(VLOOKUP($A277,S275_01,{32,33,34},FALSE)),0)+IFERROR(SUMPRODUCT(VLOOKUP($A277,S275_97,{32,33,34},FALSE)),0)+IFERROR(ROUND(VLOOKUP($A277,S275_21,32,FALSE)*VLOOKUP($A277,'3121% SY'!$C$3:$M$324,11,FALSE),3),0)+IFERROR(ROUND(VLOOKUP($A277,S275_21,33,FALSE)*VLOOKUP($A277,'3121% SY'!$C$3:$M$324,11,FALSE),3),0)+IFERROR(ROUND(VLOOKUP($A277,S275_21,34,FALSE)*VLOOKUP($A277,'3121% SY'!$C$3:$M$324,11,FALSE),3),0)+IFERROR(VLOOKUP($A277,S275_09,12,FALSE),0)</f>
        <v>0</v>
      </c>
      <c r="Z277" s="267">
        <f>IFERROR(VLOOKUP($A277,Supp_48,14,FALSE),0)+IFERROR(SUMPRODUCT(VLOOKUP($A277,S275_01,{35,36,37},FALSE)),0)+IFERROR(SUMPRODUCT(VLOOKUP($A277,S275_97,{35,36,37},FALSE)),0)+IFERROR(ROUND(VLOOKUP($A277,S275_21,35,FALSE)*VLOOKUP($A277,'3121% SY'!$C$3:$M$324,11,FALSE),3),0)+IFERROR(ROUND(VLOOKUP($A277,S275_21,36,FALSE)*VLOOKUP($A277,'3121% SY'!$C$3:$M$324,11,FALSE),3),0)+IFERROR(ROUND(VLOOKUP($A277,S275_21,37,FALSE)*VLOOKUP($A277,'3121% SY'!$C$3:$M$324,11,FALSE),3),0)+IFERROR(VLOOKUP($A277,S275_09,13,FALSE),0)</f>
        <v>0.65699999999999992</v>
      </c>
      <c r="AA277" s="267">
        <f>IFERROR(VLOOKUP($A277,Supp_49,14,FALSE),0)+IFERROR(SUMPRODUCT(VLOOKUP($A277,S275_01,{38,39,40},FALSE)),0)+IFERROR(SUMPRODUCT(VLOOKUP($A277,S275_97,{38,39,40},FALSE)),0)+IFERROR(ROUND(VLOOKUP($A277,S275_21,38,FALSE)*VLOOKUP($A277,'3121% SY'!$C$3:$M$324,11,FALSE),3),0)+IFERROR(ROUND(VLOOKUP($A277,S275_21,39,FALSE)*VLOOKUP($A277,'3121% SY'!$C$3:$M$324,11,FALSE),3),0)+IFERROR(ROUND(VLOOKUP($A277,S275_21,40,FALSE)*VLOOKUP($A277,'3121% SY'!$C$3:$M$324,11,FALSE),3),0)+IFERROR(VLOOKUP($A277,S275_09,14,FALSE),0)</f>
        <v>0</v>
      </c>
      <c r="AB277" s="267">
        <f>IFERROR(VLOOKUP($A277,Supp_64,14,FALSE),0)+IFERROR(SUMPRODUCT(VLOOKUP($A277,S275_01,{41,42,43},FALSE)),0)+IFERROR(SUMPRODUCT(VLOOKUP($A277,S275_97,{41,42,43},FALSE)),0)+IFERROR(ROUND(VLOOKUP($A277,S275_21,41,FALSE)*VLOOKUP($A277,'3121% SY'!$C$3:$M$324,11,FALSE),3),0)+IFERROR(ROUND(VLOOKUP($A277,S275_21,42,FALSE)*VLOOKUP($A277,'3121% SY'!$C$3:$M$324,11,FALSE),3),0)+IFERROR(ROUND(VLOOKUP($A277,S275_21,43,FALSE)*VLOOKUP($A277,'3121% SY'!$C$3:$M$324,11,FALSE),3),0)+IFERROR(VLOOKUP($A277,S275_09,15,FALSE),0)</f>
        <v>0</v>
      </c>
      <c r="AC277" s="268">
        <f t="shared" si="57"/>
        <v>32.456999999999994</v>
      </c>
      <c r="AD277" s="267">
        <f>IFERROR(VLOOKUP($A277,Supp_24,14,FALSE),0)+IFERROR(SUMPRODUCT(VLOOKUP($A277,S275_01,{2,3,4},FALSE)),0)+IFERROR(SUMPRODUCT(VLOOKUP($A277,S275_97,{2,3,4},FALSE)),0)+IFERROR(ROUND(VLOOKUP($A277,S275_21,2,FALSE)*VLOOKUP($A277,'3121% SY'!$C$3:$M$324,11,FALSE),3),0)+IFERROR(ROUND(VLOOKUP($A277,S275_21,3,FALSE)*VLOOKUP($A277,'3121% SY'!$C$3:$M$324,11,FALSE),3),0)+IFERROR(ROUND(VLOOKUP($A277,S275_21,4,FALSE)*VLOOKUP($A277,'3121% SY'!$C$3:$M$324,11,FALSE),3),0)+IFERROR(VLOOKUP($A277,S275_09,2,FALSE),0)</f>
        <v>0.59099999999999997</v>
      </c>
      <c r="AE277" s="267">
        <f>IFERROR(VLOOKUP($A277,Supp_25,14,FALSE),0)+IFERROR(SUMPRODUCT(VLOOKUP($A277,S275_01,{5,6,7},FALSE)),0)+IFERROR(SUMPRODUCT(VLOOKUP($A277,S275_97,{5,6,7},FALSE)),0)+IFERROR(ROUND(VLOOKUP($A277,S275_21,5,FALSE)*VLOOKUP($A277,'3121% SY'!$C$3:$M$324,11,FALSE),3),0)+IFERROR(ROUND(VLOOKUP($A277,S275_21,6,FALSE)*VLOOKUP($A277,'3121% SY'!$C$3:$M$324,11,FALSE),3),0)+IFERROR(ROUND(VLOOKUP($A277,S275_21,7,FALSE)*VLOOKUP($A277,'3121% SY'!$C$3:$M$324,11,FALSE),3),0)+IFERROR(VLOOKUP($A277,S275_09,3,FALSE),0)</f>
        <v>11.215</v>
      </c>
      <c r="AF277" s="267">
        <f>IFERROR(VLOOKUP($A277,Supp_26,14,FALSE),0)+IFERROR(SUMPRODUCT(VLOOKUP($A277,S275_01,{8,9,10},FALSE)),0)+IFERROR(SUMPRODUCT(VLOOKUP($A277,S275_97,{8,9,10},FALSE)),0)+IFERROR(ROUND(VLOOKUP($A277,S275_21,8,FALSE)*VLOOKUP($A277,'3121% SY'!$C$3:$M$324,11,FALSE),3),0)+IFERROR(ROUND(VLOOKUP($A277,S275_21,9,FALSE)*VLOOKUP($A277,'3121% SY'!$C$3:$M$324,11,FALSE),3),0)+IFERROR(ROUND(VLOOKUP($A277,S275_21,10,FALSE)*VLOOKUP($A277,'3121% SY'!$C$3:$M$324,11,FALSE),3),0)+IFERROR(VLOOKUP($A277,S275_09,4,FALSE),0)</f>
        <v>10.081000000000001</v>
      </c>
      <c r="AG277" s="267">
        <f>IFERROR(VLOOKUP($A277,Supp_35,14,FALSE),0)+IFERROR(SUMPRODUCT(VLOOKUP($A277,S275_01,{11,12,13},FALSE)),0)+IFERROR(SUMPRODUCT(VLOOKUP($A277,S275_97,{11,12,13},FALSE)),0)+IFERROR(ROUND(VLOOKUP($A277,S275_21,11,FALSE)*VLOOKUP($A277,'3121% SY'!$C$3:$M$324,11,FALSE),3),0)+IFERROR(ROUND(VLOOKUP($A277,S275_21,12,FALSE)*VLOOKUP($A277,'3121% SY'!$C$3:$M$324,11,FALSE),3),0)+IFERROR(ROUND(VLOOKUP($A277,S275_21,13,FALSE)*VLOOKUP($A277,'3121% SY'!$C$3:$M$324,11,FALSE),3),0)+IFERROR(VLOOKUP($A277,S275_09,5,FALSE),0)</f>
        <v>0</v>
      </c>
      <c r="AH277" s="165">
        <f t="shared" si="58"/>
        <v>21.887</v>
      </c>
      <c r="AI277" s="161">
        <f>IFERROR(VLOOKUP(A277,'Supp Staff Data'!A:ER,148,FALSE),0)+AB277</f>
        <v>0</v>
      </c>
      <c r="AJ277" s="174">
        <v>1</v>
      </c>
      <c r="AK277" s="25">
        <f>VLOOKUP(A277,'Enroll Data as of January 2025'!$A$3:$T$323,20,FALSE)-F277</f>
        <v>0</v>
      </c>
    </row>
    <row r="278" spans="1:37" x14ac:dyDescent="0.25">
      <c r="A278" s="171" t="s">
        <v>234</v>
      </c>
      <c r="B278" t="s">
        <v>530</v>
      </c>
      <c r="C278" s="173" t="s">
        <v>1077</v>
      </c>
      <c r="D278" s="259">
        <f t="shared" si="50"/>
        <v>26.987999999999996</v>
      </c>
      <c r="E278" s="259">
        <f t="shared" si="51"/>
        <v>38.707999999999998</v>
      </c>
      <c r="F278" s="262">
        <f t="shared" si="52"/>
        <v>11.72</v>
      </c>
      <c r="G278" s="161">
        <f>ROUND(IF(F278&lt;0,F278*'2024-25 PSES Compliance'!$G$13,0),3)</f>
        <v>0</v>
      </c>
      <c r="H278" s="161">
        <f>ROUND(IF(F278&lt;0,F278*'2024-25 PSES Compliance'!$G$14,0),3)</f>
        <v>0</v>
      </c>
      <c r="I278" s="174">
        <f t="shared" si="53"/>
        <v>0.65423168337294624</v>
      </c>
      <c r="J278" s="174">
        <f t="shared" si="54"/>
        <v>0</v>
      </c>
      <c r="K278" s="161">
        <f>VLOOKUP($A278,'Enroll Data as of January 2025'!$A$3:$M$322,6,FALSE)</f>
        <v>15.001999999999999</v>
      </c>
      <c r="L278" s="161">
        <f>VLOOKUP($A278,'Enroll Data as of January 2025'!$A$3:$M$322,7,FALSE)</f>
        <v>2.5720000000000001</v>
      </c>
      <c r="M278" s="161">
        <f>VLOOKUP($A278,'Enroll Data as of January 2025'!$A$3:$M$322,8,FALSE)</f>
        <v>0.86199999999999999</v>
      </c>
      <c r="N278" s="161">
        <f>VLOOKUP($A278,'Enroll Data as of January 2025'!$A$3:$M$322,9,FALSE)</f>
        <v>7.0149999999999997</v>
      </c>
      <c r="O278" s="165">
        <f t="shared" si="55"/>
        <v>25.450999999999997</v>
      </c>
      <c r="P278" s="161">
        <f>VLOOKUP($A278,'Enroll Data as of January 2025'!$A$3:$M$322,11,FALSE)</f>
        <v>0.95000000000000007</v>
      </c>
      <c r="Q278" s="161">
        <f>VLOOKUP($A278,'Enroll Data as of January 2025'!$A$3:$M$322,12,FALSE)</f>
        <v>0.58699999999999997</v>
      </c>
      <c r="R278" s="165">
        <f t="shared" si="56"/>
        <v>1.5369999999999999</v>
      </c>
      <c r="S278" s="267">
        <f>IFERROR(VLOOKUP($A278,Supp_39,14,FALSE),0)+IFERROR(SUMPRODUCT(VLOOKUP($A278,S275_01,{14,15,16},FALSE)),0)+IFERROR(SUMPRODUCT(VLOOKUP($A278,S275_97,{14,15,16},FALSE)),0)+IFERROR(ROUND(VLOOKUP($A278,S275_21,14,FALSE)*VLOOKUP($A278,'3121% SY'!$C$3:$M$324,11,FALSE),3),0)+IFERROR(ROUND(VLOOKUP($A278,S275_21,15,FALSE)*VLOOKUP($A278,'3121% SY'!$C$3:$M$324,11,FALSE),3),0)+IFERROR(ROUND(VLOOKUP($A278,S275_21,16,FALSE)*VLOOKUP($A278,'3121% SY'!$C$3:$M$324,11,FALSE),3),0)+IFERROR(VLOOKUP($A278,S275_09,6,FALSE),0)</f>
        <v>8.391</v>
      </c>
      <c r="T278" s="267">
        <f>IFERROR(VLOOKUP($A278,Supp_42,14,FALSE),0)+IFERROR(SUMPRODUCT(VLOOKUP($A278,S275_01,{17,18,19},FALSE)),0)+IFERROR(SUMPRODUCT(VLOOKUP($A278,S275_97,{17,18,19},FALSE)),0)+IFERROR(ROUND(VLOOKUP($A278,S275_21,17,FALSE)*VLOOKUP($A278,'3121% SY'!$C$3:$M$324,11,FALSE),3),0)+IFERROR(ROUND(VLOOKUP($A278,S275_21,18,FALSE)*VLOOKUP($A278,'3121% SY'!$C$3:$M$324,11,FALSE),3),0)+IFERROR(ROUND(VLOOKUP($A278,S275_21,19,FALSE)*VLOOKUP($A278,'3121% SY'!$C$3:$M$324,11,FALSE),3),0)+IFERROR(VLOOKUP($A278,S275_09,7,FALSE),0)</f>
        <v>4.4120000000000008</v>
      </c>
      <c r="U278" s="267">
        <f>IFERROR(VLOOKUP($A278,Supp_43,14,FALSE),0)+IFERROR(SUMPRODUCT(VLOOKUP($A278,S275_01,{20,21,22},FALSE)),0)+IFERROR(SUMPRODUCT(VLOOKUP($A278,S275_97,{20,21,22},FALSE)),0)+IFERROR(ROUND(VLOOKUP($A278,S275_21,20,FALSE)*VLOOKUP($A278,'3121% SY'!$C$3:$M$324,11,FALSE),3),0)+IFERROR(ROUND(VLOOKUP($A278,S275_21,21,FALSE)*VLOOKUP($A278,'3121% SY'!$C$3:$M$324,11,FALSE),3),0)+IFERROR(ROUND(VLOOKUP($A278,S275_21,22,FALSE)*VLOOKUP($A278,'3121% SY'!$C$3:$M$324,11,FALSE),3),0)+IFERROR(VLOOKUP($A278,S275_09,8,FALSE),0)</f>
        <v>0.99399999999999999</v>
      </c>
      <c r="V278" s="267">
        <f>IFERROR(VLOOKUP($A278,Supp_44,14,FALSE),0)+IFERROR(SUMPRODUCT(VLOOKUP($A278,S275_01,{23,24,25},FALSE)),0)+IFERROR(SUMPRODUCT(VLOOKUP($A278,S275_97,{23,24,25},FALSE)),0)+IFERROR(ROUND(VLOOKUP($A278,S275_21,23,FALSE)*VLOOKUP($A278,'3121% SY'!$C$3:$M$324,11,FALSE),3),0)+IFERROR(ROUND(VLOOKUP($A278,S275_21,24,FALSE)*VLOOKUP($A278,'3121% SY'!$C$3:$M$324,11,FALSE),3),0)+IFERROR(ROUND(VLOOKUP($A278,S275_21,25,FALSE)*VLOOKUP($A278,'3121% SY'!$C$3:$M$324,11,FALSE),3),0)+IFERROR(VLOOKUP($A278,S275_09,9,FALSE),0)</f>
        <v>0</v>
      </c>
      <c r="W278" s="267">
        <f>IFERROR(VLOOKUP($A278,Supp_45,14,FALSE),0)+IFERROR(SUMPRODUCT(VLOOKUP($A278,S275_01,{26,27,28},FALSE)),0)+IFERROR(SUMPRODUCT(VLOOKUP($A278,S275_97,{26,27,28},FALSE)),0)+IFERROR(ROUND(VLOOKUP($A278,S275_21,26,FALSE)*VLOOKUP($A278,'3121% SY'!$C$3:$M$324,11,FALSE),3),0)+IFERROR(ROUND(VLOOKUP($A278,S275_21,27,FALSE)*VLOOKUP($A278,'3121% SY'!$C$3:$M$324,11,FALSE),3),0)+IFERROR(ROUND(VLOOKUP($A278,S275_21,28,FALSE)*VLOOKUP($A278,'3121% SY'!$C$3:$M$324,11,FALSE),3),0)+IFERROR(VLOOKUP($A278,S275_09,10,FALSE),0)</f>
        <v>2.6750000000000003</v>
      </c>
      <c r="X278" s="267">
        <f>IFERROR(VLOOKUP($A278,Supp_46,14,FALSE),0)+IFERROR(SUMPRODUCT(VLOOKUP($A278,S275_01,{29,30,31},FALSE)),0)+IFERROR(SUMPRODUCT(VLOOKUP($A278,S275_97,{29,30,31},FALSE)),0)+IFERROR(ROUND(VLOOKUP($A278,S275_21,29,FALSE)*VLOOKUP($A278,'3121% SY'!$C$3:$M$324,11,FALSE),3),0)+IFERROR(ROUND(VLOOKUP($A278,S275_21,30,FALSE)*VLOOKUP($A278,'3121% SY'!$C$3:$M$324,11,FALSE),3),0)+IFERROR(ROUND(VLOOKUP($A278,S275_21,31,FALSE)*VLOOKUP($A278,'3121% SY'!$C$3:$M$324,11,FALSE),3),0)+IFERROR(VLOOKUP($A278,S275_09,11,FALSE),0)</f>
        <v>6.734</v>
      </c>
      <c r="Y278" s="267">
        <f>IFERROR(VLOOKUP($A278,Supp_47,14,FALSE),0)+IFERROR(SUMPRODUCT(VLOOKUP($A278,S275_01,{32,33,34},FALSE)),0)+IFERROR(SUMPRODUCT(VLOOKUP($A278,S275_97,{32,33,34},FALSE)),0)+IFERROR(ROUND(VLOOKUP($A278,S275_21,32,FALSE)*VLOOKUP($A278,'3121% SY'!$C$3:$M$324,11,FALSE),3),0)+IFERROR(ROUND(VLOOKUP($A278,S275_21,33,FALSE)*VLOOKUP($A278,'3121% SY'!$C$3:$M$324,11,FALSE),3),0)+IFERROR(ROUND(VLOOKUP($A278,S275_21,34,FALSE)*VLOOKUP($A278,'3121% SY'!$C$3:$M$324,11,FALSE),3),0)+IFERROR(VLOOKUP($A278,S275_09,12,FALSE),0)</f>
        <v>1.5</v>
      </c>
      <c r="Z278" s="267">
        <f>IFERROR(VLOOKUP($A278,Supp_48,14,FALSE),0)+IFERROR(SUMPRODUCT(VLOOKUP($A278,S275_01,{35,36,37},FALSE)),0)+IFERROR(SUMPRODUCT(VLOOKUP($A278,S275_97,{35,36,37},FALSE)),0)+IFERROR(ROUND(VLOOKUP($A278,S275_21,35,FALSE)*VLOOKUP($A278,'3121% SY'!$C$3:$M$324,11,FALSE),3),0)+IFERROR(ROUND(VLOOKUP($A278,S275_21,36,FALSE)*VLOOKUP($A278,'3121% SY'!$C$3:$M$324,11,FALSE),3),0)+IFERROR(ROUND(VLOOKUP($A278,S275_21,37,FALSE)*VLOOKUP($A278,'3121% SY'!$C$3:$M$324,11,FALSE),3),0)+IFERROR(VLOOKUP($A278,S275_09,13,FALSE),0)</f>
        <v>0.61799999999999999</v>
      </c>
      <c r="AA278" s="267">
        <f>IFERROR(VLOOKUP($A278,Supp_49,14,FALSE),0)+IFERROR(SUMPRODUCT(VLOOKUP($A278,S275_01,{38,39,40},FALSE)),0)+IFERROR(SUMPRODUCT(VLOOKUP($A278,S275_97,{38,39,40},FALSE)),0)+IFERROR(ROUND(VLOOKUP($A278,S275_21,38,FALSE)*VLOOKUP($A278,'3121% SY'!$C$3:$M$324,11,FALSE),3),0)+IFERROR(ROUND(VLOOKUP($A278,S275_21,39,FALSE)*VLOOKUP($A278,'3121% SY'!$C$3:$M$324,11,FALSE),3),0)+IFERROR(ROUND(VLOOKUP($A278,S275_21,40,FALSE)*VLOOKUP($A278,'3121% SY'!$C$3:$M$324,11,FALSE),3),0)+IFERROR(VLOOKUP($A278,S275_09,14,FALSE),0)</f>
        <v>0</v>
      </c>
      <c r="AB278" s="267">
        <f>IFERROR(VLOOKUP($A278,Supp_64,14,FALSE),0)+IFERROR(SUMPRODUCT(VLOOKUP($A278,S275_01,{41,42,43},FALSE)),0)+IFERROR(SUMPRODUCT(VLOOKUP($A278,S275_97,{41,42,43},FALSE)),0)+IFERROR(ROUND(VLOOKUP($A278,S275_21,41,FALSE)*VLOOKUP($A278,'3121% SY'!$C$3:$M$324,11,FALSE),3),0)+IFERROR(ROUND(VLOOKUP($A278,S275_21,42,FALSE)*VLOOKUP($A278,'3121% SY'!$C$3:$M$324,11,FALSE),3),0)+IFERROR(ROUND(VLOOKUP($A278,S275_21,43,FALSE)*VLOOKUP($A278,'3121% SY'!$C$3:$M$324,11,FALSE),3),0)+IFERROR(VLOOKUP($A278,S275_09,15,FALSE),0)</f>
        <v>0</v>
      </c>
      <c r="AC278" s="268">
        <f t="shared" si="57"/>
        <v>25.324000000000002</v>
      </c>
      <c r="AD278" s="267">
        <f>IFERROR(VLOOKUP($A278,Supp_24,14,FALSE),0)+IFERROR(SUMPRODUCT(VLOOKUP($A278,S275_01,{2,3,4},FALSE)),0)+IFERROR(SUMPRODUCT(VLOOKUP($A278,S275_97,{2,3,4},FALSE)),0)+IFERROR(ROUND(VLOOKUP($A278,S275_21,2,FALSE)*VLOOKUP($A278,'3121% SY'!$C$3:$M$324,11,FALSE),3),0)+IFERROR(ROUND(VLOOKUP($A278,S275_21,3,FALSE)*VLOOKUP($A278,'3121% SY'!$C$3:$M$324,11,FALSE),3),0)+IFERROR(ROUND(VLOOKUP($A278,S275_21,4,FALSE)*VLOOKUP($A278,'3121% SY'!$C$3:$M$324,11,FALSE),3),0)+IFERROR(VLOOKUP($A278,S275_09,2,FALSE),0)</f>
        <v>0</v>
      </c>
      <c r="AE278" s="267">
        <f>IFERROR(VLOOKUP($A278,Supp_25,14,FALSE),0)+IFERROR(SUMPRODUCT(VLOOKUP($A278,S275_01,{5,6,7},FALSE)),0)+IFERROR(SUMPRODUCT(VLOOKUP($A278,S275_97,{5,6,7},FALSE)),0)+IFERROR(ROUND(VLOOKUP($A278,S275_21,5,FALSE)*VLOOKUP($A278,'3121% SY'!$C$3:$M$324,11,FALSE),3),0)+IFERROR(ROUND(VLOOKUP($A278,S275_21,6,FALSE)*VLOOKUP($A278,'3121% SY'!$C$3:$M$324,11,FALSE),3),0)+IFERROR(ROUND(VLOOKUP($A278,S275_21,7,FALSE)*VLOOKUP($A278,'3121% SY'!$C$3:$M$324,11,FALSE),3),0)+IFERROR(VLOOKUP($A278,S275_09,3,FALSE),0)</f>
        <v>7.415</v>
      </c>
      <c r="AF278" s="267">
        <f>IFERROR(VLOOKUP($A278,Supp_26,14,FALSE),0)+IFERROR(SUMPRODUCT(VLOOKUP($A278,S275_01,{8,9,10},FALSE)),0)+IFERROR(SUMPRODUCT(VLOOKUP($A278,S275_97,{8,9,10},FALSE)),0)+IFERROR(ROUND(VLOOKUP($A278,S275_21,8,FALSE)*VLOOKUP($A278,'3121% SY'!$C$3:$M$324,11,FALSE),3),0)+IFERROR(ROUND(VLOOKUP($A278,S275_21,9,FALSE)*VLOOKUP($A278,'3121% SY'!$C$3:$M$324,11,FALSE),3),0)+IFERROR(ROUND(VLOOKUP($A278,S275_21,10,FALSE)*VLOOKUP($A278,'3121% SY'!$C$3:$M$324,11,FALSE),3),0)+IFERROR(VLOOKUP($A278,S275_09,4,FALSE),0)</f>
        <v>5.9690000000000003</v>
      </c>
      <c r="AG278" s="267">
        <f>IFERROR(VLOOKUP($A278,Supp_35,14,FALSE),0)+IFERROR(SUMPRODUCT(VLOOKUP($A278,S275_01,{11,12,13},FALSE)),0)+IFERROR(SUMPRODUCT(VLOOKUP($A278,S275_97,{11,12,13},FALSE)),0)+IFERROR(ROUND(VLOOKUP($A278,S275_21,11,FALSE)*VLOOKUP($A278,'3121% SY'!$C$3:$M$324,11,FALSE),3),0)+IFERROR(ROUND(VLOOKUP($A278,S275_21,12,FALSE)*VLOOKUP($A278,'3121% SY'!$C$3:$M$324,11,FALSE),3),0)+IFERROR(ROUND(VLOOKUP($A278,S275_21,13,FALSE)*VLOOKUP($A278,'3121% SY'!$C$3:$M$324,11,FALSE),3),0)+IFERROR(VLOOKUP($A278,S275_09,5,FALSE),0)</f>
        <v>0</v>
      </c>
      <c r="AH278" s="165">
        <f t="shared" si="58"/>
        <v>13.384</v>
      </c>
      <c r="AI278" s="161">
        <f>IFERROR(VLOOKUP(A278,'Supp Staff Data'!A:ER,148,FALSE),0)+AB278</f>
        <v>0</v>
      </c>
      <c r="AJ278" s="174">
        <v>1</v>
      </c>
      <c r="AK278" s="25">
        <f>VLOOKUP(A278,'Enroll Data as of January 2025'!$A$3:$T$323,20,FALSE)-F278</f>
        <v>0</v>
      </c>
    </row>
    <row r="279" spans="1:37" x14ac:dyDescent="0.25">
      <c r="A279" s="171" t="s">
        <v>296</v>
      </c>
      <c r="B279" t="s">
        <v>592</v>
      </c>
      <c r="C279" s="173" t="s">
        <v>1077</v>
      </c>
      <c r="D279" s="259">
        <f t="shared" si="50"/>
        <v>32.555999999999997</v>
      </c>
      <c r="E279" s="259">
        <f t="shared" si="51"/>
        <v>40.561</v>
      </c>
      <c r="F279" s="262">
        <f t="shared" si="52"/>
        <v>8.0050000000000008</v>
      </c>
      <c r="G279" s="161">
        <f>ROUND(IF(F279&lt;0,F279*'2024-25 PSES Compliance'!$G$13,0),3)</f>
        <v>0</v>
      </c>
      <c r="H279" s="161">
        <f>ROUND(IF(F279&lt;0,F279*'2024-25 PSES Compliance'!$G$14,0),3)</f>
        <v>0</v>
      </c>
      <c r="I279" s="174">
        <f t="shared" si="53"/>
        <v>0.69061413673232908</v>
      </c>
      <c r="J279" s="174">
        <f t="shared" si="54"/>
        <v>0</v>
      </c>
      <c r="K279" s="161">
        <f>VLOOKUP($A279,'Enroll Data as of January 2025'!$A$3:$M$322,6,FALSE)</f>
        <v>18.689</v>
      </c>
      <c r="L279" s="161">
        <f>VLOOKUP($A279,'Enroll Data as of January 2025'!$A$3:$M$322,7,FALSE)</f>
        <v>2.8449999999999998</v>
      </c>
      <c r="M279" s="161">
        <f>VLOOKUP($A279,'Enroll Data as of January 2025'!$A$3:$M$322,8,FALSE)</f>
        <v>0.95800000000000007</v>
      </c>
      <c r="N279" s="161">
        <f>VLOOKUP($A279,'Enroll Data as of January 2025'!$A$3:$M$322,9,FALSE)</f>
        <v>8.3019999999999996</v>
      </c>
      <c r="O279" s="165">
        <f t="shared" si="55"/>
        <v>30.793999999999997</v>
      </c>
      <c r="P279" s="161">
        <f>VLOOKUP($A279,'Enroll Data as of January 2025'!$A$3:$M$322,11,FALSE)</f>
        <v>1.1399999999999999</v>
      </c>
      <c r="Q279" s="161">
        <f>VLOOKUP($A279,'Enroll Data as of January 2025'!$A$3:$M$322,12,FALSE)</f>
        <v>0.622</v>
      </c>
      <c r="R279" s="165">
        <f t="shared" si="56"/>
        <v>1.762</v>
      </c>
      <c r="S279" s="267">
        <f>IFERROR(VLOOKUP($A279,Supp_39,14,FALSE),0)+IFERROR(SUMPRODUCT(VLOOKUP($A279,S275_01,{14,15,16},FALSE)),0)+IFERROR(SUMPRODUCT(VLOOKUP($A279,S275_97,{14,15,16},FALSE)),0)+IFERROR(ROUND(VLOOKUP($A279,S275_21,14,FALSE)*VLOOKUP($A279,'3121% SY'!$C$3:$M$324,11,FALSE),3),0)+IFERROR(ROUND(VLOOKUP($A279,S275_21,15,FALSE)*VLOOKUP($A279,'3121% SY'!$C$3:$M$324,11,FALSE),3),0)+IFERROR(ROUND(VLOOKUP($A279,S275_21,16,FALSE)*VLOOKUP($A279,'3121% SY'!$C$3:$M$324,11,FALSE),3),0)+IFERROR(VLOOKUP($A279,S275_09,6,FALSE),0)</f>
        <v>14</v>
      </c>
      <c r="T279" s="267">
        <f>IFERROR(VLOOKUP($A279,Supp_42,14,FALSE),0)+IFERROR(SUMPRODUCT(VLOOKUP($A279,S275_01,{17,18,19},FALSE)),0)+IFERROR(SUMPRODUCT(VLOOKUP($A279,S275_97,{17,18,19},FALSE)),0)+IFERROR(ROUND(VLOOKUP($A279,S275_21,17,FALSE)*VLOOKUP($A279,'3121% SY'!$C$3:$M$324,11,FALSE),3),0)+IFERROR(ROUND(VLOOKUP($A279,S275_21,18,FALSE)*VLOOKUP($A279,'3121% SY'!$C$3:$M$324,11,FALSE),3),0)+IFERROR(ROUND(VLOOKUP($A279,S275_21,19,FALSE)*VLOOKUP($A279,'3121% SY'!$C$3:$M$324,11,FALSE),3),0)+IFERROR(VLOOKUP($A279,S275_09,7,FALSE),0)</f>
        <v>5</v>
      </c>
      <c r="U279" s="267">
        <f>IFERROR(VLOOKUP($A279,Supp_43,14,FALSE),0)+IFERROR(SUMPRODUCT(VLOOKUP($A279,S275_01,{20,21,22},FALSE)),0)+IFERROR(SUMPRODUCT(VLOOKUP($A279,S275_97,{20,21,22},FALSE)),0)+IFERROR(ROUND(VLOOKUP($A279,S275_21,20,FALSE)*VLOOKUP($A279,'3121% SY'!$C$3:$M$324,11,FALSE),3),0)+IFERROR(ROUND(VLOOKUP($A279,S275_21,21,FALSE)*VLOOKUP($A279,'3121% SY'!$C$3:$M$324,11,FALSE),3),0)+IFERROR(ROUND(VLOOKUP($A279,S275_21,22,FALSE)*VLOOKUP($A279,'3121% SY'!$C$3:$M$324,11,FALSE),3),0)+IFERROR(VLOOKUP($A279,S275_09,8,FALSE),0)</f>
        <v>0</v>
      </c>
      <c r="V279" s="267">
        <f>IFERROR(VLOOKUP($A279,Supp_44,14,FALSE),0)+IFERROR(SUMPRODUCT(VLOOKUP($A279,S275_01,{23,24,25},FALSE)),0)+IFERROR(SUMPRODUCT(VLOOKUP($A279,S275_97,{23,24,25},FALSE)),0)+IFERROR(ROUND(VLOOKUP($A279,S275_21,23,FALSE)*VLOOKUP($A279,'3121% SY'!$C$3:$M$324,11,FALSE),3),0)+IFERROR(ROUND(VLOOKUP($A279,S275_21,24,FALSE)*VLOOKUP($A279,'3121% SY'!$C$3:$M$324,11,FALSE),3),0)+IFERROR(ROUND(VLOOKUP($A279,S275_21,25,FALSE)*VLOOKUP($A279,'3121% SY'!$C$3:$M$324,11,FALSE),3),0)+IFERROR(VLOOKUP($A279,S275_09,9,FALSE),0)</f>
        <v>0</v>
      </c>
      <c r="W279" s="267">
        <f>IFERROR(VLOOKUP($A279,Supp_45,14,FALSE),0)+IFERROR(SUMPRODUCT(VLOOKUP($A279,S275_01,{26,27,28},FALSE)),0)+IFERROR(SUMPRODUCT(VLOOKUP($A279,S275_97,{26,27,28},FALSE)),0)+IFERROR(ROUND(VLOOKUP($A279,S275_21,26,FALSE)*VLOOKUP($A279,'3121% SY'!$C$3:$M$324,11,FALSE),3),0)+IFERROR(ROUND(VLOOKUP($A279,S275_21,27,FALSE)*VLOOKUP($A279,'3121% SY'!$C$3:$M$324,11,FALSE),3),0)+IFERROR(ROUND(VLOOKUP($A279,S275_21,28,FALSE)*VLOOKUP($A279,'3121% SY'!$C$3:$M$324,11,FALSE),3),0)+IFERROR(VLOOKUP($A279,S275_09,10,FALSE),0)</f>
        <v>1.093</v>
      </c>
      <c r="X279" s="267">
        <f>IFERROR(VLOOKUP($A279,Supp_46,14,FALSE),0)+IFERROR(SUMPRODUCT(VLOOKUP($A279,S275_01,{29,30,31},FALSE)),0)+IFERROR(SUMPRODUCT(VLOOKUP($A279,S275_97,{29,30,31},FALSE)),0)+IFERROR(ROUND(VLOOKUP($A279,S275_21,29,FALSE)*VLOOKUP($A279,'3121% SY'!$C$3:$M$324,11,FALSE),3),0)+IFERROR(ROUND(VLOOKUP($A279,S275_21,30,FALSE)*VLOOKUP($A279,'3121% SY'!$C$3:$M$324,11,FALSE),3),0)+IFERROR(ROUND(VLOOKUP($A279,S275_21,31,FALSE)*VLOOKUP($A279,'3121% SY'!$C$3:$M$324,11,FALSE),3),0)+IFERROR(VLOOKUP($A279,S275_09,11,FALSE),0)</f>
        <v>5.9190000000000005</v>
      </c>
      <c r="Y279" s="267">
        <f>IFERROR(VLOOKUP($A279,Supp_47,14,FALSE),0)+IFERROR(SUMPRODUCT(VLOOKUP($A279,S275_01,{32,33,34},FALSE)),0)+IFERROR(SUMPRODUCT(VLOOKUP($A279,S275_97,{32,33,34},FALSE)),0)+IFERROR(ROUND(VLOOKUP($A279,S275_21,32,FALSE)*VLOOKUP($A279,'3121% SY'!$C$3:$M$324,11,FALSE),3),0)+IFERROR(ROUND(VLOOKUP($A279,S275_21,33,FALSE)*VLOOKUP($A279,'3121% SY'!$C$3:$M$324,11,FALSE),3),0)+IFERROR(ROUND(VLOOKUP($A279,S275_21,34,FALSE)*VLOOKUP($A279,'3121% SY'!$C$3:$M$324,11,FALSE),3),0)+IFERROR(VLOOKUP($A279,S275_09,12,FALSE),0)</f>
        <v>2</v>
      </c>
      <c r="Z279" s="267">
        <f>IFERROR(VLOOKUP($A279,Supp_48,14,FALSE),0)+IFERROR(SUMPRODUCT(VLOOKUP($A279,S275_01,{35,36,37},FALSE)),0)+IFERROR(SUMPRODUCT(VLOOKUP($A279,S275_97,{35,36,37},FALSE)),0)+IFERROR(ROUND(VLOOKUP($A279,S275_21,35,FALSE)*VLOOKUP($A279,'3121% SY'!$C$3:$M$324,11,FALSE),3),0)+IFERROR(ROUND(VLOOKUP($A279,S275_21,36,FALSE)*VLOOKUP($A279,'3121% SY'!$C$3:$M$324,11,FALSE),3),0)+IFERROR(ROUND(VLOOKUP($A279,S275_21,37,FALSE)*VLOOKUP($A279,'3121% SY'!$C$3:$M$324,11,FALSE),3),0)+IFERROR(VLOOKUP($A279,S275_09,13,FALSE),0)</f>
        <v>0</v>
      </c>
      <c r="AA279" s="267">
        <f>IFERROR(VLOOKUP($A279,Supp_49,14,FALSE),0)+IFERROR(SUMPRODUCT(VLOOKUP($A279,S275_01,{38,39,40},FALSE)),0)+IFERROR(SUMPRODUCT(VLOOKUP($A279,S275_97,{38,39,40},FALSE)),0)+IFERROR(ROUND(VLOOKUP($A279,S275_21,38,FALSE)*VLOOKUP($A279,'3121% SY'!$C$3:$M$324,11,FALSE),3),0)+IFERROR(ROUND(VLOOKUP($A279,S275_21,39,FALSE)*VLOOKUP($A279,'3121% SY'!$C$3:$M$324,11,FALSE),3),0)+IFERROR(ROUND(VLOOKUP($A279,S275_21,40,FALSE)*VLOOKUP($A279,'3121% SY'!$C$3:$M$324,11,FALSE),3),0)+IFERROR(VLOOKUP($A279,S275_09,14,FALSE),0)</f>
        <v>0</v>
      </c>
      <c r="AB279" s="267">
        <f>IFERROR(VLOOKUP($A279,Supp_64,14,FALSE),0)+IFERROR(SUMPRODUCT(VLOOKUP($A279,S275_01,{41,42,43},FALSE)),0)+IFERROR(SUMPRODUCT(VLOOKUP($A279,S275_97,{41,42,43},FALSE)),0)+IFERROR(ROUND(VLOOKUP($A279,S275_21,41,FALSE)*VLOOKUP($A279,'3121% SY'!$C$3:$M$324,11,FALSE),3),0)+IFERROR(ROUND(VLOOKUP($A279,S275_21,42,FALSE)*VLOOKUP($A279,'3121% SY'!$C$3:$M$324,11,FALSE),3),0)+IFERROR(ROUND(VLOOKUP($A279,S275_21,43,FALSE)*VLOOKUP($A279,'3121% SY'!$C$3:$M$324,11,FALSE),3),0)+IFERROR(VLOOKUP($A279,S275_09,15,FALSE),0)</f>
        <v>0</v>
      </c>
      <c r="AC279" s="268">
        <f t="shared" si="57"/>
        <v>28.012</v>
      </c>
      <c r="AD279" s="267">
        <f>IFERROR(VLOOKUP($A279,Supp_24,14,FALSE),0)+IFERROR(SUMPRODUCT(VLOOKUP($A279,S275_01,{2,3,4},FALSE)),0)+IFERROR(SUMPRODUCT(VLOOKUP($A279,S275_97,{2,3,4},FALSE)),0)+IFERROR(ROUND(VLOOKUP($A279,S275_21,2,FALSE)*VLOOKUP($A279,'3121% SY'!$C$3:$M$324,11,FALSE),3),0)+IFERROR(ROUND(VLOOKUP($A279,S275_21,3,FALSE)*VLOOKUP($A279,'3121% SY'!$C$3:$M$324,11,FALSE),3),0)+IFERROR(ROUND(VLOOKUP($A279,S275_21,4,FALSE)*VLOOKUP($A279,'3121% SY'!$C$3:$M$324,11,FALSE),3),0)+IFERROR(VLOOKUP($A279,S275_09,2,FALSE),0)</f>
        <v>0.26500000000000001</v>
      </c>
      <c r="AE279" s="267">
        <f>IFERROR(VLOOKUP($A279,Supp_25,14,FALSE),0)+IFERROR(SUMPRODUCT(VLOOKUP($A279,S275_01,{5,6,7},FALSE)),0)+IFERROR(SUMPRODUCT(VLOOKUP($A279,S275_97,{5,6,7},FALSE)),0)+IFERROR(ROUND(VLOOKUP($A279,S275_21,5,FALSE)*VLOOKUP($A279,'3121% SY'!$C$3:$M$324,11,FALSE),3),0)+IFERROR(ROUND(VLOOKUP($A279,S275_21,6,FALSE)*VLOOKUP($A279,'3121% SY'!$C$3:$M$324,11,FALSE),3),0)+IFERROR(ROUND(VLOOKUP($A279,S275_21,7,FALSE)*VLOOKUP($A279,'3121% SY'!$C$3:$M$324,11,FALSE),3),0)+IFERROR(VLOOKUP($A279,S275_09,3,FALSE),0)</f>
        <v>9.1810000000000009</v>
      </c>
      <c r="AF279" s="267">
        <f>IFERROR(VLOOKUP($A279,Supp_26,14,FALSE),0)+IFERROR(SUMPRODUCT(VLOOKUP($A279,S275_01,{8,9,10},FALSE)),0)+IFERROR(SUMPRODUCT(VLOOKUP($A279,S275_97,{8,9,10},FALSE)),0)+IFERROR(ROUND(VLOOKUP($A279,S275_21,8,FALSE)*VLOOKUP($A279,'3121% SY'!$C$3:$M$324,11,FALSE),3),0)+IFERROR(ROUND(VLOOKUP($A279,S275_21,9,FALSE)*VLOOKUP($A279,'3121% SY'!$C$3:$M$324,11,FALSE),3),0)+IFERROR(ROUND(VLOOKUP($A279,S275_21,10,FALSE)*VLOOKUP($A279,'3121% SY'!$C$3:$M$324,11,FALSE),3),0)+IFERROR(VLOOKUP($A279,S275_09,4,FALSE),0)</f>
        <v>3.1029999999999998</v>
      </c>
      <c r="AG279" s="267">
        <f>IFERROR(VLOOKUP($A279,Supp_35,14,FALSE),0)+IFERROR(SUMPRODUCT(VLOOKUP($A279,S275_01,{11,12,13},FALSE)),0)+IFERROR(SUMPRODUCT(VLOOKUP($A279,S275_97,{11,12,13},FALSE)),0)+IFERROR(ROUND(VLOOKUP($A279,S275_21,11,FALSE)*VLOOKUP($A279,'3121% SY'!$C$3:$M$324,11,FALSE),3),0)+IFERROR(ROUND(VLOOKUP($A279,S275_21,12,FALSE)*VLOOKUP($A279,'3121% SY'!$C$3:$M$324,11,FALSE),3),0)+IFERROR(ROUND(VLOOKUP($A279,S275_21,13,FALSE)*VLOOKUP($A279,'3121% SY'!$C$3:$M$324,11,FALSE),3),0)+IFERROR(VLOOKUP($A279,S275_09,5,FALSE),0)</f>
        <v>0</v>
      </c>
      <c r="AH279" s="165">
        <f t="shared" si="58"/>
        <v>12.549000000000001</v>
      </c>
      <c r="AI279" s="161">
        <f>IFERROR(VLOOKUP(A279,'Supp Staff Data'!A:ER,148,FALSE),0)+AB279</f>
        <v>0</v>
      </c>
      <c r="AJ279" s="174">
        <v>1</v>
      </c>
      <c r="AK279" s="25">
        <f>VLOOKUP(A279,'Enroll Data as of January 2025'!$A$3:$T$323,20,FALSE)-F279</f>
        <v>0</v>
      </c>
    </row>
    <row r="280" spans="1:37" x14ac:dyDescent="0.25">
      <c r="A280" s="171" t="s">
        <v>220</v>
      </c>
      <c r="B280" t="s">
        <v>515</v>
      </c>
      <c r="C280" s="173" t="s">
        <v>1077</v>
      </c>
      <c r="D280" s="259">
        <f t="shared" si="50"/>
        <v>24.512</v>
      </c>
      <c r="E280" s="259">
        <f t="shared" si="51"/>
        <v>34.518000000000001</v>
      </c>
      <c r="F280" s="262">
        <f t="shared" si="52"/>
        <v>10.006</v>
      </c>
      <c r="G280" s="161">
        <f>ROUND(IF(F280&lt;0,F280*'2024-25 PSES Compliance'!$G$13,0),3)</f>
        <v>0</v>
      </c>
      <c r="H280" s="161">
        <f>ROUND(IF(F280&lt;0,F280*'2024-25 PSES Compliance'!$G$14,0),3)</f>
        <v>0</v>
      </c>
      <c r="I280" s="174">
        <f t="shared" si="53"/>
        <v>0.57807520713830463</v>
      </c>
      <c r="J280" s="174">
        <f t="shared" si="54"/>
        <v>5.4667130192942809E-2</v>
      </c>
      <c r="K280" s="161">
        <f>VLOOKUP($A280,'Enroll Data as of January 2025'!$A$3:$M$322,6,FALSE)</f>
        <v>13.664</v>
      </c>
      <c r="L280" s="161">
        <f>VLOOKUP($A280,'Enroll Data as of January 2025'!$A$3:$M$322,7,FALSE)</f>
        <v>2.3329999999999997</v>
      </c>
      <c r="M280" s="161">
        <f>VLOOKUP($A280,'Enroll Data as of January 2025'!$A$3:$M$322,8,FALSE)</f>
        <v>0.78300000000000003</v>
      </c>
      <c r="N280" s="161">
        <f>VLOOKUP($A280,'Enroll Data as of January 2025'!$A$3:$M$322,9,FALSE)</f>
        <v>6.3360000000000003</v>
      </c>
      <c r="O280" s="165">
        <f t="shared" si="55"/>
        <v>23.116</v>
      </c>
      <c r="P280" s="161">
        <f>VLOOKUP($A280,'Enroll Data as of January 2025'!$A$3:$M$322,11,FALSE)</f>
        <v>0.86399999999999999</v>
      </c>
      <c r="Q280" s="161">
        <f>VLOOKUP($A280,'Enroll Data as of January 2025'!$A$3:$M$322,12,FALSE)</f>
        <v>0.53200000000000003</v>
      </c>
      <c r="R280" s="165">
        <f t="shared" si="56"/>
        <v>1.3959999999999999</v>
      </c>
      <c r="S280" s="267">
        <f>IFERROR(VLOOKUP($A280,Supp_39,14,FALSE),0)+IFERROR(SUMPRODUCT(VLOOKUP($A280,S275_01,{14,15,16},FALSE)),0)+IFERROR(SUMPRODUCT(VLOOKUP($A280,S275_97,{14,15,16},FALSE)),0)+IFERROR(ROUND(VLOOKUP($A280,S275_21,14,FALSE)*VLOOKUP($A280,'3121% SY'!$C$3:$M$324,11,FALSE),3),0)+IFERROR(ROUND(VLOOKUP($A280,S275_21,15,FALSE)*VLOOKUP($A280,'3121% SY'!$C$3:$M$324,11,FALSE),3),0)+IFERROR(ROUND(VLOOKUP($A280,S275_21,16,FALSE)*VLOOKUP($A280,'3121% SY'!$C$3:$M$324,11,FALSE),3),0)+IFERROR(VLOOKUP($A280,S275_09,6,FALSE),0)</f>
        <v>9.4740000000000002</v>
      </c>
      <c r="T280" s="267">
        <f>IFERROR(VLOOKUP($A280,Supp_42,14,FALSE),0)+IFERROR(SUMPRODUCT(VLOOKUP($A280,S275_01,{17,18,19},FALSE)),0)+IFERROR(SUMPRODUCT(VLOOKUP($A280,S275_97,{17,18,19},FALSE)),0)+IFERROR(ROUND(VLOOKUP($A280,S275_21,17,FALSE)*VLOOKUP($A280,'3121% SY'!$C$3:$M$324,11,FALSE),3),0)+IFERROR(ROUND(VLOOKUP($A280,S275_21,18,FALSE)*VLOOKUP($A280,'3121% SY'!$C$3:$M$324,11,FALSE),3),0)+IFERROR(ROUND(VLOOKUP($A280,S275_21,19,FALSE)*VLOOKUP($A280,'3121% SY'!$C$3:$M$324,11,FALSE),3),0)+IFERROR(VLOOKUP($A280,S275_09,7,FALSE),0)</f>
        <v>1.7430000000000001</v>
      </c>
      <c r="U280" s="267">
        <f>IFERROR(VLOOKUP($A280,Supp_43,14,FALSE),0)+IFERROR(SUMPRODUCT(VLOOKUP($A280,S275_01,{20,21,22},FALSE)),0)+IFERROR(SUMPRODUCT(VLOOKUP($A280,S275_97,{20,21,22},FALSE)),0)+IFERROR(ROUND(VLOOKUP($A280,S275_21,20,FALSE)*VLOOKUP($A280,'3121% SY'!$C$3:$M$324,11,FALSE),3),0)+IFERROR(ROUND(VLOOKUP($A280,S275_21,21,FALSE)*VLOOKUP($A280,'3121% SY'!$C$3:$M$324,11,FALSE),3),0)+IFERROR(ROUND(VLOOKUP($A280,S275_21,22,FALSE)*VLOOKUP($A280,'3121% SY'!$C$3:$M$324,11,FALSE),3),0)+IFERROR(VLOOKUP($A280,S275_09,8,FALSE),0)</f>
        <v>0.68900000000000006</v>
      </c>
      <c r="V280" s="267">
        <f>IFERROR(VLOOKUP($A280,Supp_44,14,FALSE),0)+IFERROR(SUMPRODUCT(VLOOKUP($A280,S275_01,{23,24,25},FALSE)),0)+IFERROR(SUMPRODUCT(VLOOKUP($A280,S275_97,{23,24,25},FALSE)),0)+IFERROR(ROUND(VLOOKUP($A280,S275_21,23,FALSE)*VLOOKUP($A280,'3121% SY'!$C$3:$M$324,11,FALSE),3),0)+IFERROR(ROUND(VLOOKUP($A280,S275_21,24,FALSE)*VLOOKUP($A280,'3121% SY'!$C$3:$M$324,11,FALSE),3),0)+IFERROR(ROUND(VLOOKUP($A280,S275_21,25,FALSE)*VLOOKUP($A280,'3121% SY'!$C$3:$M$324,11,FALSE),3),0)+IFERROR(VLOOKUP($A280,S275_09,9,FALSE),0)</f>
        <v>1E-3</v>
      </c>
      <c r="W280" s="267">
        <f>IFERROR(VLOOKUP($A280,Supp_45,14,FALSE),0)+IFERROR(SUMPRODUCT(VLOOKUP($A280,S275_01,{26,27,28},FALSE)),0)+IFERROR(SUMPRODUCT(VLOOKUP($A280,S275_97,{26,27,28},FALSE)),0)+IFERROR(ROUND(VLOOKUP($A280,S275_21,26,FALSE)*VLOOKUP($A280,'3121% SY'!$C$3:$M$324,11,FALSE),3),0)+IFERROR(ROUND(VLOOKUP($A280,S275_21,27,FALSE)*VLOOKUP($A280,'3121% SY'!$C$3:$M$324,11,FALSE),3),0)+IFERROR(ROUND(VLOOKUP($A280,S275_21,28,FALSE)*VLOOKUP($A280,'3121% SY'!$C$3:$M$324,11,FALSE),3),0)+IFERROR(VLOOKUP($A280,S275_09,10,FALSE),0)</f>
        <v>1.085</v>
      </c>
      <c r="X280" s="267">
        <f>IFERROR(VLOOKUP($A280,Supp_46,14,FALSE),0)+IFERROR(SUMPRODUCT(VLOOKUP($A280,S275_01,{29,30,31},FALSE)),0)+IFERROR(SUMPRODUCT(VLOOKUP($A280,S275_97,{29,30,31},FALSE)),0)+IFERROR(ROUND(VLOOKUP($A280,S275_21,29,FALSE)*VLOOKUP($A280,'3121% SY'!$C$3:$M$324,11,FALSE),3),0)+IFERROR(ROUND(VLOOKUP($A280,S275_21,30,FALSE)*VLOOKUP($A280,'3121% SY'!$C$3:$M$324,11,FALSE),3),0)+IFERROR(ROUND(VLOOKUP($A280,S275_21,31,FALSE)*VLOOKUP($A280,'3121% SY'!$C$3:$M$324,11,FALSE),3),0)+IFERROR(VLOOKUP($A280,S275_09,11,FALSE),0)</f>
        <v>4.2709999999999999</v>
      </c>
      <c r="Y280" s="267">
        <f>IFERROR(VLOOKUP($A280,Supp_47,14,FALSE),0)+IFERROR(SUMPRODUCT(VLOOKUP($A280,S275_01,{32,33,34},FALSE)),0)+IFERROR(SUMPRODUCT(VLOOKUP($A280,S275_97,{32,33,34},FALSE)),0)+IFERROR(ROUND(VLOOKUP($A280,S275_21,32,FALSE)*VLOOKUP($A280,'3121% SY'!$C$3:$M$324,11,FALSE),3),0)+IFERROR(ROUND(VLOOKUP($A280,S275_21,33,FALSE)*VLOOKUP($A280,'3121% SY'!$C$3:$M$324,11,FALSE),3),0)+IFERROR(ROUND(VLOOKUP($A280,S275_21,34,FALSE)*VLOOKUP($A280,'3121% SY'!$C$3:$M$324,11,FALSE),3),0)+IFERROR(VLOOKUP($A280,S275_09,12,FALSE),0)</f>
        <v>0.55500000000000005</v>
      </c>
      <c r="Z280" s="267">
        <f>IFERROR(VLOOKUP($A280,Supp_48,14,FALSE),0)+IFERROR(SUMPRODUCT(VLOOKUP($A280,S275_01,{35,36,37},FALSE)),0)+IFERROR(SUMPRODUCT(VLOOKUP($A280,S275_97,{35,36,37},FALSE)),0)+IFERROR(ROUND(VLOOKUP($A280,S275_21,35,FALSE)*VLOOKUP($A280,'3121% SY'!$C$3:$M$324,11,FALSE),3),0)+IFERROR(ROUND(VLOOKUP($A280,S275_21,36,FALSE)*VLOOKUP($A280,'3121% SY'!$C$3:$M$324,11,FALSE),3),0)+IFERROR(ROUND(VLOOKUP($A280,S275_21,37,FALSE)*VLOOKUP($A280,'3121% SY'!$C$3:$M$324,11,FALSE),3),0)+IFERROR(VLOOKUP($A280,S275_09,13,FALSE),0)</f>
        <v>0.249</v>
      </c>
      <c r="AA280" s="267">
        <f>IFERROR(VLOOKUP($A280,Supp_49,14,FALSE),0)+IFERROR(SUMPRODUCT(VLOOKUP($A280,S275_01,{38,39,40},FALSE)),0)+IFERROR(SUMPRODUCT(VLOOKUP($A280,S275_97,{38,39,40},FALSE)),0)+IFERROR(ROUND(VLOOKUP($A280,S275_21,38,FALSE)*VLOOKUP($A280,'3121% SY'!$C$3:$M$324,11,FALSE),3),0)+IFERROR(ROUND(VLOOKUP($A280,S275_21,39,FALSE)*VLOOKUP($A280,'3121% SY'!$C$3:$M$324,11,FALSE),3),0)+IFERROR(ROUND(VLOOKUP($A280,S275_21,40,FALSE)*VLOOKUP($A280,'3121% SY'!$C$3:$M$324,11,FALSE),3),0)+IFERROR(VLOOKUP($A280,S275_09,14,FALSE),0)</f>
        <v>0</v>
      </c>
      <c r="AB280" s="267">
        <f>IFERROR(VLOOKUP($A280,Supp_64,14,FALSE),0)+IFERROR(SUMPRODUCT(VLOOKUP($A280,S275_01,{41,42,43},FALSE)),0)+IFERROR(SUMPRODUCT(VLOOKUP($A280,S275_97,{41,42,43},FALSE)),0)+IFERROR(ROUND(VLOOKUP($A280,S275_21,41,FALSE)*VLOOKUP($A280,'3121% SY'!$C$3:$M$324,11,FALSE),3),0)+IFERROR(ROUND(VLOOKUP($A280,S275_21,42,FALSE)*VLOOKUP($A280,'3121% SY'!$C$3:$M$324,11,FALSE),3),0)+IFERROR(ROUND(VLOOKUP($A280,S275_21,43,FALSE)*VLOOKUP($A280,'3121% SY'!$C$3:$M$324,11,FALSE),3),0)+IFERROR(VLOOKUP($A280,S275_09,15,FALSE),0)</f>
        <v>1.887</v>
      </c>
      <c r="AC280" s="268">
        <f t="shared" si="57"/>
        <v>19.954000000000001</v>
      </c>
      <c r="AD280" s="267">
        <f>IFERROR(VLOOKUP($A280,Supp_24,14,FALSE),0)+IFERROR(SUMPRODUCT(VLOOKUP($A280,S275_01,{2,3,4},FALSE)),0)+IFERROR(SUMPRODUCT(VLOOKUP($A280,S275_97,{2,3,4},FALSE)),0)+IFERROR(ROUND(VLOOKUP($A280,S275_21,2,FALSE)*VLOOKUP($A280,'3121% SY'!$C$3:$M$324,11,FALSE),3),0)+IFERROR(ROUND(VLOOKUP($A280,S275_21,3,FALSE)*VLOOKUP($A280,'3121% SY'!$C$3:$M$324,11,FALSE),3),0)+IFERROR(ROUND(VLOOKUP($A280,S275_21,4,FALSE)*VLOOKUP($A280,'3121% SY'!$C$3:$M$324,11,FALSE),3),0)+IFERROR(VLOOKUP($A280,S275_09,2,FALSE),0)</f>
        <v>1.5569999999999999</v>
      </c>
      <c r="AE280" s="267">
        <f>IFERROR(VLOOKUP($A280,Supp_25,14,FALSE),0)+IFERROR(SUMPRODUCT(VLOOKUP($A280,S275_01,{5,6,7},FALSE)),0)+IFERROR(SUMPRODUCT(VLOOKUP($A280,S275_97,{5,6,7},FALSE)),0)+IFERROR(ROUND(VLOOKUP($A280,S275_21,5,FALSE)*VLOOKUP($A280,'3121% SY'!$C$3:$M$324,11,FALSE),3),0)+IFERROR(ROUND(VLOOKUP($A280,S275_21,6,FALSE)*VLOOKUP($A280,'3121% SY'!$C$3:$M$324,11,FALSE),3),0)+IFERROR(ROUND(VLOOKUP($A280,S275_21,7,FALSE)*VLOOKUP($A280,'3121% SY'!$C$3:$M$324,11,FALSE),3),0)+IFERROR(VLOOKUP($A280,S275_09,3,FALSE),0)</f>
        <v>5.165</v>
      </c>
      <c r="AF280" s="267">
        <f>IFERROR(VLOOKUP($A280,Supp_26,14,FALSE),0)+IFERROR(SUMPRODUCT(VLOOKUP($A280,S275_01,{8,9,10},FALSE)),0)+IFERROR(SUMPRODUCT(VLOOKUP($A280,S275_97,{8,9,10},FALSE)),0)+IFERROR(ROUND(VLOOKUP($A280,S275_21,8,FALSE)*VLOOKUP($A280,'3121% SY'!$C$3:$M$324,11,FALSE),3),0)+IFERROR(ROUND(VLOOKUP($A280,S275_21,9,FALSE)*VLOOKUP($A280,'3121% SY'!$C$3:$M$324,11,FALSE),3),0)+IFERROR(ROUND(VLOOKUP($A280,S275_21,10,FALSE)*VLOOKUP($A280,'3121% SY'!$C$3:$M$324,11,FALSE),3),0)+IFERROR(VLOOKUP($A280,S275_09,4,FALSE),0)</f>
        <v>5.6159999999999997</v>
      </c>
      <c r="AG280" s="267">
        <f>IFERROR(VLOOKUP($A280,Supp_35,14,FALSE),0)+IFERROR(SUMPRODUCT(VLOOKUP($A280,S275_01,{11,12,13},FALSE)),0)+IFERROR(SUMPRODUCT(VLOOKUP($A280,S275_97,{11,12,13},FALSE)),0)+IFERROR(ROUND(VLOOKUP($A280,S275_21,11,FALSE)*VLOOKUP($A280,'3121% SY'!$C$3:$M$324,11,FALSE),3),0)+IFERROR(ROUND(VLOOKUP($A280,S275_21,12,FALSE)*VLOOKUP($A280,'3121% SY'!$C$3:$M$324,11,FALSE),3),0)+IFERROR(ROUND(VLOOKUP($A280,S275_21,13,FALSE)*VLOOKUP($A280,'3121% SY'!$C$3:$M$324,11,FALSE),3),0)+IFERROR(VLOOKUP($A280,S275_09,5,FALSE),0)</f>
        <v>2.226</v>
      </c>
      <c r="AH280" s="165">
        <f t="shared" si="58"/>
        <v>14.564</v>
      </c>
      <c r="AI280" s="161">
        <f>IFERROR(VLOOKUP(A280,'Supp Staff Data'!A:ER,148,FALSE),0)+AB280</f>
        <v>1.887</v>
      </c>
      <c r="AJ280" s="174">
        <v>1</v>
      </c>
      <c r="AK280" s="25">
        <f>VLOOKUP(A280,'Enroll Data as of January 2025'!$A$3:$T$323,20,FALSE)-F280</f>
        <v>0</v>
      </c>
    </row>
    <row r="281" spans="1:37" x14ac:dyDescent="0.25">
      <c r="A281" s="171" t="s">
        <v>226</v>
      </c>
      <c r="B281" t="s">
        <v>521</v>
      </c>
      <c r="C281" s="173" t="s">
        <v>1077</v>
      </c>
      <c r="D281" s="259">
        <f t="shared" si="50"/>
        <v>23.738</v>
      </c>
      <c r="E281" s="259">
        <f t="shared" si="51"/>
        <v>35.139000000000003</v>
      </c>
      <c r="F281" s="262">
        <f t="shared" si="52"/>
        <v>11.401</v>
      </c>
      <c r="G281" s="161">
        <f>ROUND(IF(F281&lt;0,F281*'2024-25 PSES Compliance'!$G$13,0),3)</f>
        <v>0</v>
      </c>
      <c r="H281" s="161">
        <f>ROUND(IF(F281&lt;0,F281*'2024-25 PSES Compliance'!$G$14,0),3)</f>
        <v>0</v>
      </c>
      <c r="I281" s="174">
        <f t="shared" si="53"/>
        <v>0.5591554113662881</v>
      </c>
      <c r="J281" s="174">
        <f t="shared" si="54"/>
        <v>0</v>
      </c>
      <c r="K281" s="161">
        <f>VLOOKUP($A281,'Enroll Data as of January 2025'!$A$3:$M$322,6,FALSE)</f>
        <v>13.297000000000001</v>
      </c>
      <c r="L281" s="161">
        <f>VLOOKUP($A281,'Enroll Data as of January 2025'!$A$3:$M$322,7,FALSE)</f>
        <v>2.2210000000000001</v>
      </c>
      <c r="M281" s="161">
        <f>VLOOKUP($A281,'Enroll Data as of January 2025'!$A$3:$M$322,8,FALSE)</f>
        <v>0.746</v>
      </c>
      <c r="N281" s="161">
        <f>VLOOKUP($A281,'Enroll Data as of January 2025'!$A$3:$M$322,9,FALSE)</f>
        <v>6.1370000000000005</v>
      </c>
      <c r="O281" s="165">
        <f t="shared" si="55"/>
        <v>22.401</v>
      </c>
      <c r="P281" s="161">
        <f>VLOOKUP($A281,'Enroll Data as of January 2025'!$A$3:$M$322,11,FALSE)</f>
        <v>0.83399999999999996</v>
      </c>
      <c r="Q281" s="161">
        <f>VLOOKUP($A281,'Enroll Data as of January 2025'!$A$3:$M$322,12,FALSE)</f>
        <v>0.503</v>
      </c>
      <c r="R281" s="165">
        <f t="shared" si="56"/>
        <v>1.337</v>
      </c>
      <c r="S281" s="267">
        <f>IFERROR(VLOOKUP($A281,Supp_39,14,FALSE),0)+IFERROR(SUMPRODUCT(VLOOKUP($A281,S275_01,{14,15,16},FALSE)),0)+IFERROR(SUMPRODUCT(VLOOKUP($A281,S275_97,{14,15,16},FALSE)),0)+IFERROR(ROUND(VLOOKUP($A281,S275_21,14,FALSE)*VLOOKUP($A281,'3121% SY'!$C$3:$M$324,11,FALSE),3),0)+IFERROR(ROUND(VLOOKUP($A281,S275_21,15,FALSE)*VLOOKUP($A281,'3121% SY'!$C$3:$M$324,11,FALSE),3),0)+IFERROR(ROUND(VLOOKUP($A281,S275_21,16,FALSE)*VLOOKUP($A281,'3121% SY'!$C$3:$M$324,11,FALSE),3),0)+IFERROR(VLOOKUP($A281,S275_09,6,FALSE),0)</f>
        <v>7.1</v>
      </c>
      <c r="T281" s="267">
        <f>IFERROR(VLOOKUP($A281,Supp_42,14,FALSE),0)+IFERROR(SUMPRODUCT(VLOOKUP($A281,S275_01,{17,18,19},FALSE)),0)+IFERROR(SUMPRODUCT(VLOOKUP($A281,S275_97,{17,18,19},FALSE)),0)+IFERROR(ROUND(VLOOKUP($A281,S275_21,17,FALSE)*VLOOKUP($A281,'3121% SY'!$C$3:$M$324,11,FALSE),3),0)+IFERROR(ROUND(VLOOKUP($A281,S275_21,18,FALSE)*VLOOKUP($A281,'3121% SY'!$C$3:$M$324,11,FALSE),3),0)+IFERROR(ROUND(VLOOKUP($A281,S275_21,19,FALSE)*VLOOKUP($A281,'3121% SY'!$C$3:$M$324,11,FALSE),3),0)+IFERROR(VLOOKUP($A281,S275_09,7,FALSE),0)</f>
        <v>2.5</v>
      </c>
      <c r="U281" s="267">
        <f>IFERROR(VLOOKUP($A281,Supp_43,14,FALSE),0)+IFERROR(SUMPRODUCT(VLOOKUP($A281,S275_01,{20,21,22},FALSE)),0)+IFERROR(SUMPRODUCT(VLOOKUP($A281,S275_97,{20,21,22},FALSE)),0)+IFERROR(ROUND(VLOOKUP($A281,S275_21,20,FALSE)*VLOOKUP($A281,'3121% SY'!$C$3:$M$324,11,FALSE),3),0)+IFERROR(ROUND(VLOOKUP($A281,S275_21,21,FALSE)*VLOOKUP($A281,'3121% SY'!$C$3:$M$324,11,FALSE),3),0)+IFERROR(ROUND(VLOOKUP($A281,S275_21,22,FALSE)*VLOOKUP($A281,'3121% SY'!$C$3:$M$324,11,FALSE),3),0)+IFERROR(VLOOKUP($A281,S275_09,8,FALSE),0)</f>
        <v>1.18</v>
      </c>
      <c r="V281" s="267">
        <f>IFERROR(VLOOKUP($A281,Supp_44,14,FALSE),0)+IFERROR(SUMPRODUCT(VLOOKUP($A281,S275_01,{23,24,25},FALSE)),0)+IFERROR(SUMPRODUCT(VLOOKUP($A281,S275_97,{23,24,25},FALSE)),0)+IFERROR(ROUND(VLOOKUP($A281,S275_21,23,FALSE)*VLOOKUP($A281,'3121% SY'!$C$3:$M$324,11,FALSE),3),0)+IFERROR(ROUND(VLOOKUP($A281,S275_21,24,FALSE)*VLOOKUP($A281,'3121% SY'!$C$3:$M$324,11,FALSE),3),0)+IFERROR(ROUND(VLOOKUP($A281,S275_21,25,FALSE)*VLOOKUP($A281,'3121% SY'!$C$3:$M$324,11,FALSE),3),0)+IFERROR(VLOOKUP($A281,S275_09,9,FALSE),0)</f>
        <v>0</v>
      </c>
      <c r="W281" s="267">
        <f>IFERROR(VLOOKUP($A281,Supp_45,14,FALSE),0)+IFERROR(SUMPRODUCT(VLOOKUP($A281,S275_01,{26,27,28},FALSE)),0)+IFERROR(SUMPRODUCT(VLOOKUP($A281,S275_97,{26,27,28},FALSE)),0)+IFERROR(ROUND(VLOOKUP($A281,S275_21,26,FALSE)*VLOOKUP($A281,'3121% SY'!$C$3:$M$324,11,FALSE),3),0)+IFERROR(ROUND(VLOOKUP($A281,S275_21,27,FALSE)*VLOOKUP($A281,'3121% SY'!$C$3:$M$324,11,FALSE),3),0)+IFERROR(ROUND(VLOOKUP($A281,S275_21,28,FALSE)*VLOOKUP($A281,'3121% SY'!$C$3:$M$324,11,FALSE),3),0)+IFERROR(VLOOKUP($A281,S275_09,10,FALSE),0)</f>
        <v>1.149</v>
      </c>
      <c r="X281" s="267">
        <f>IFERROR(VLOOKUP($A281,Supp_46,14,FALSE),0)+IFERROR(SUMPRODUCT(VLOOKUP($A281,S275_01,{29,30,31},FALSE)),0)+IFERROR(SUMPRODUCT(VLOOKUP($A281,S275_97,{29,30,31},FALSE)),0)+IFERROR(ROUND(VLOOKUP($A281,S275_21,29,FALSE)*VLOOKUP($A281,'3121% SY'!$C$3:$M$324,11,FALSE),3),0)+IFERROR(ROUND(VLOOKUP($A281,S275_21,30,FALSE)*VLOOKUP($A281,'3121% SY'!$C$3:$M$324,11,FALSE),3),0)+IFERROR(ROUND(VLOOKUP($A281,S275_21,31,FALSE)*VLOOKUP($A281,'3121% SY'!$C$3:$M$324,11,FALSE),3),0)+IFERROR(VLOOKUP($A281,S275_09,11,FALSE),0)</f>
        <v>6.2210000000000001</v>
      </c>
      <c r="Y281" s="267">
        <f>IFERROR(VLOOKUP($A281,Supp_47,14,FALSE),0)+IFERROR(SUMPRODUCT(VLOOKUP($A281,S275_01,{32,33,34},FALSE)),0)+IFERROR(SUMPRODUCT(VLOOKUP($A281,S275_97,{32,33,34},FALSE)),0)+IFERROR(ROUND(VLOOKUP($A281,S275_21,32,FALSE)*VLOOKUP($A281,'3121% SY'!$C$3:$M$324,11,FALSE),3),0)+IFERROR(ROUND(VLOOKUP($A281,S275_21,33,FALSE)*VLOOKUP($A281,'3121% SY'!$C$3:$M$324,11,FALSE),3),0)+IFERROR(ROUND(VLOOKUP($A281,S275_21,34,FALSE)*VLOOKUP($A281,'3121% SY'!$C$3:$M$324,11,FALSE),3),0)+IFERROR(VLOOKUP($A281,S275_09,12,FALSE),0)</f>
        <v>1.6</v>
      </c>
      <c r="Z281" s="267">
        <f>IFERROR(VLOOKUP($A281,Supp_48,14,FALSE),0)+IFERROR(SUMPRODUCT(VLOOKUP($A281,S275_01,{35,36,37},FALSE)),0)+IFERROR(SUMPRODUCT(VLOOKUP($A281,S275_97,{35,36,37},FALSE)),0)+IFERROR(ROUND(VLOOKUP($A281,S275_21,35,FALSE)*VLOOKUP($A281,'3121% SY'!$C$3:$M$324,11,FALSE),3),0)+IFERROR(ROUND(VLOOKUP($A281,S275_21,36,FALSE)*VLOOKUP($A281,'3121% SY'!$C$3:$M$324,11,FALSE),3),0)+IFERROR(ROUND(VLOOKUP($A281,S275_21,37,FALSE)*VLOOKUP($A281,'3121% SY'!$C$3:$M$324,11,FALSE),3),0)+IFERROR(VLOOKUP($A281,S275_09,13,FALSE),0)</f>
        <v>0</v>
      </c>
      <c r="AA281" s="267">
        <f>IFERROR(VLOOKUP($A281,Supp_49,14,FALSE),0)+IFERROR(SUMPRODUCT(VLOOKUP($A281,S275_01,{38,39,40},FALSE)),0)+IFERROR(SUMPRODUCT(VLOOKUP($A281,S275_97,{38,39,40},FALSE)),0)+IFERROR(ROUND(VLOOKUP($A281,S275_21,38,FALSE)*VLOOKUP($A281,'3121% SY'!$C$3:$M$324,11,FALSE),3),0)+IFERROR(ROUND(VLOOKUP($A281,S275_21,39,FALSE)*VLOOKUP($A281,'3121% SY'!$C$3:$M$324,11,FALSE),3),0)+IFERROR(ROUND(VLOOKUP($A281,S275_21,40,FALSE)*VLOOKUP($A281,'3121% SY'!$C$3:$M$324,11,FALSE),3),0)+IFERROR(VLOOKUP($A281,S275_09,14,FALSE),0)</f>
        <v>0.46</v>
      </c>
      <c r="AB281" s="267">
        <f>IFERROR(VLOOKUP($A281,Supp_64,14,FALSE),0)+IFERROR(SUMPRODUCT(VLOOKUP($A281,S275_01,{41,42,43},FALSE)),0)+IFERROR(SUMPRODUCT(VLOOKUP($A281,S275_97,{41,42,43},FALSE)),0)+IFERROR(ROUND(VLOOKUP($A281,S275_21,41,FALSE)*VLOOKUP($A281,'3121% SY'!$C$3:$M$324,11,FALSE),3),0)+IFERROR(ROUND(VLOOKUP($A281,S275_21,42,FALSE)*VLOOKUP($A281,'3121% SY'!$C$3:$M$324,11,FALSE),3),0)+IFERROR(ROUND(VLOOKUP($A281,S275_21,43,FALSE)*VLOOKUP($A281,'3121% SY'!$C$3:$M$324,11,FALSE),3),0)+IFERROR(VLOOKUP($A281,S275_09,15,FALSE),0)</f>
        <v>0</v>
      </c>
      <c r="AC281" s="268">
        <f t="shared" si="57"/>
        <v>20.21</v>
      </c>
      <c r="AD281" s="267">
        <f>IFERROR(VLOOKUP($A281,Supp_24,14,FALSE),0)+IFERROR(SUMPRODUCT(VLOOKUP($A281,S275_01,{2,3,4},FALSE)),0)+IFERROR(SUMPRODUCT(VLOOKUP($A281,S275_97,{2,3,4},FALSE)),0)+IFERROR(ROUND(VLOOKUP($A281,S275_21,2,FALSE)*VLOOKUP($A281,'3121% SY'!$C$3:$M$324,11,FALSE),3),0)+IFERROR(ROUND(VLOOKUP($A281,S275_21,3,FALSE)*VLOOKUP($A281,'3121% SY'!$C$3:$M$324,11,FALSE),3),0)+IFERROR(ROUND(VLOOKUP($A281,S275_21,4,FALSE)*VLOOKUP($A281,'3121% SY'!$C$3:$M$324,11,FALSE),3),0)+IFERROR(VLOOKUP($A281,S275_09,2,FALSE),0)</f>
        <v>0</v>
      </c>
      <c r="AE281" s="267">
        <f>IFERROR(VLOOKUP($A281,Supp_25,14,FALSE),0)+IFERROR(SUMPRODUCT(VLOOKUP($A281,S275_01,{5,6,7},FALSE)),0)+IFERROR(SUMPRODUCT(VLOOKUP($A281,S275_97,{5,6,7},FALSE)),0)+IFERROR(ROUND(VLOOKUP($A281,S275_21,5,FALSE)*VLOOKUP($A281,'3121% SY'!$C$3:$M$324,11,FALSE),3),0)+IFERROR(ROUND(VLOOKUP($A281,S275_21,6,FALSE)*VLOOKUP($A281,'3121% SY'!$C$3:$M$324,11,FALSE),3),0)+IFERROR(ROUND(VLOOKUP($A281,S275_21,7,FALSE)*VLOOKUP($A281,'3121% SY'!$C$3:$M$324,11,FALSE),3),0)+IFERROR(VLOOKUP($A281,S275_09,3,FALSE),0)</f>
        <v>10.388</v>
      </c>
      <c r="AF281" s="267">
        <f>IFERROR(VLOOKUP($A281,Supp_26,14,FALSE),0)+IFERROR(SUMPRODUCT(VLOOKUP($A281,S275_01,{8,9,10},FALSE)),0)+IFERROR(SUMPRODUCT(VLOOKUP($A281,S275_97,{8,9,10},FALSE)),0)+IFERROR(ROUND(VLOOKUP($A281,S275_21,8,FALSE)*VLOOKUP($A281,'3121% SY'!$C$3:$M$324,11,FALSE),3),0)+IFERROR(ROUND(VLOOKUP($A281,S275_21,9,FALSE)*VLOOKUP($A281,'3121% SY'!$C$3:$M$324,11,FALSE),3),0)+IFERROR(ROUND(VLOOKUP($A281,S275_21,10,FALSE)*VLOOKUP($A281,'3121% SY'!$C$3:$M$324,11,FALSE),3),0)+IFERROR(VLOOKUP($A281,S275_09,4,FALSE),0)</f>
        <v>3.8980000000000001</v>
      </c>
      <c r="AG281" s="267">
        <f>IFERROR(VLOOKUP($A281,Supp_35,14,FALSE),0)+IFERROR(SUMPRODUCT(VLOOKUP($A281,S275_01,{11,12,13},FALSE)),0)+IFERROR(SUMPRODUCT(VLOOKUP($A281,S275_97,{11,12,13},FALSE)),0)+IFERROR(ROUND(VLOOKUP($A281,S275_21,11,FALSE)*VLOOKUP($A281,'3121% SY'!$C$3:$M$324,11,FALSE),3),0)+IFERROR(ROUND(VLOOKUP($A281,S275_21,12,FALSE)*VLOOKUP($A281,'3121% SY'!$C$3:$M$324,11,FALSE),3),0)+IFERROR(ROUND(VLOOKUP($A281,S275_21,13,FALSE)*VLOOKUP($A281,'3121% SY'!$C$3:$M$324,11,FALSE),3),0)+IFERROR(VLOOKUP($A281,S275_09,5,FALSE),0)</f>
        <v>0.64300000000000002</v>
      </c>
      <c r="AH281" s="165">
        <f t="shared" si="58"/>
        <v>14.929</v>
      </c>
      <c r="AI281" s="161">
        <f>IFERROR(VLOOKUP(A281,'Supp Staff Data'!A:ER,148,FALSE),0)+AB281</f>
        <v>0</v>
      </c>
      <c r="AJ281" s="174">
        <v>0.97219999999999995</v>
      </c>
      <c r="AK281" s="25">
        <f>VLOOKUP(A281,'Enroll Data as of January 2025'!$A$3:$T$323,20,FALSE)-F281</f>
        <v>0</v>
      </c>
    </row>
    <row r="282" spans="1:37" x14ac:dyDescent="0.25">
      <c r="A282" s="171" t="s">
        <v>48</v>
      </c>
      <c r="B282" t="s">
        <v>344</v>
      </c>
      <c r="C282" s="173" t="s">
        <v>1077</v>
      </c>
      <c r="D282" s="259">
        <f t="shared" si="50"/>
        <v>24.975000000000001</v>
      </c>
      <c r="E282" s="259">
        <f t="shared" si="51"/>
        <v>31.148000000000003</v>
      </c>
      <c r="F282" s="262">
        <f t="shared" si="52"/>
        <v>6.173</v>
      </c>
      <c r="G282" s="161">
        <f>ROUND(IF(F282&lt;0,F282*'2024-25 PSES Compliance'!$G$13,0),3)</f>
        <v>0</v>
      </c>
      <c r="H282" s="161">
        <f>ROUND(IF(F282&lt;0,F282*'2024-25 PSES Compliance'!$G$14,0),3)</f>
        <v>0</v>
      </c>
      <c r="I282" s="174">
        <f t="shared" si="53"/>
        <v>0</v>
      </c>
      <c r="J282" s="174">
        <f t="shared" si="54"/>
        <v>0</v>
      </c>
      <c r="K282" s="161">
        <f>VLOOKUP($A282,'Enroll Data as of January 2025'!$A$3:$M$322,6,FALSE)</f>
        <v>13.916999999999998</v>
      </c>
      <c r="L282" s="161">
        <f>VLOOKUP($A282,'Enroll Data as of January 2025'!$A$3:$M$322,7,FALSE)</f>
        <v>2.371</v>
      </c>
      <c r="M282" s="161">
        <f>VLOOKUP($A282,'Enroll Data as of January 2025'!$A$3:$M$322,8,FALSE)</f>
        <v>0.79500000000000004</v>
      </c>
      <c r="N282" s="161">
        <f>VLOOKUP($A282,'Enroll Data as of January 2025'!$A$3:$M$322,9,FALSE)</f>
        <v>6.4719999999999995</v>
      </c>
      <c r="O282" s="165">
        <f t="shared" si="55"/>
        <v>23.555</v>
      </c>
      <c r="P282" s="161">
        <f>VLOOKUP($A282,'Enroll Data as of January 2025'!$A$3:$M$322,11,FALSE)</f>
        <v>0.88</v>
      </c>
      <c r="Q282" s="161">
        <f>VLOOKUP($A282,'Enroll Data as of January 2025'!$A$3:$M$322,12,FALSE)</f>
        <v>0.54</v>
      </c>
      <c r="R282" s="165">
        <f t="shared" si="56"/>
        <v>1.42</v>
      </c>
      <c r="S282" s="267">
        <f>IFERROR(VLOOKUP($A282,Supp_39,14,FALSE),0)+IFERROR(SUMPRODUCT(VLOOKUP($A282,S275_01,{14,15,16},FALSE)),0)+IFERROR(SUMPRODUCT(VLOOKUP($A282,S275_97,{14,15,16},FALSE)),0)+IFERROR(ROUND(VLOOKUP($A282,S275_21,14,FALSE)*VLOOKUP($A282,'3121% SY'!$C$3:$M$324,11,FALSE),3),0)+IFERROR(ROUND(VLOOKUP($A282,S275_21,15,FALSE)*VLOOKUP($A282,'3121% SY'!$C$3:$M$324,11,FALSE),3),0)+IFERROR(ROUND(VLOOKUP($A282,S275_21,16,FALSE)*VLOOKUP($A282,'3121% SY'!$C$3:$M$324,11,FALSE),3),0)+IFERROR(VLOOKUP($A282,S275_09,6,FALSE),0)</f>
        <v>9.9029999999999987</v>
      </c>
      <c r="T282" s="267">
        <f>IFERROR(VLOOKUP($A282,Supp_42,14,FALSE),0)+IFERROR(SUMPRODUCT(VLOOKUP($A282,S275_01,{17,18,19},FALSE)),0)+IFERROR(SUMPRODUCT(VLOOKUP($A282,S275_97,{17,18,19},FALSE)),0)+IFERROR(ROUND(VLOOKUP($A282,S275_21,17,FALSE)*VLOOKUP($A282,'3121% SY'!$C$3:$M$324,11,FALSE),3),0)+IFERROR(ROUND(VLOOKUP($A282,S275_21,18,FALSE)*VLOOKUP($A282,'3121% SY'!$C$3:$M$324,11,FALSE),3),0)+IFERROR(ROUND(VLOOKUP($A282,S275_21,19,FALSE)*VLOOKUP($A282,'3121% SY'!$C$3:$M$324,11,FALSE),3),0)+IFERROR(VLOOKUP($A282,S275_09,7,FALSE),0)</f>
        <v>4</v>
      </c>
      <c r="U282" s="267">
        <f>IFERROR(VLOOKUP($A282,Supp_43,14,FALSE),0)+IFERROR(SUMPRODUCT(VLOOKUP($A282,S275_01,{20,21,22},FALSE)),0)+IFERROR(SUMPRODUCT(VLOOKUP($A282,S275_97,{20,21,22},FALSE)),0)+IFERROR(ROUND(VLOOKUP($A282,S275_21,20,FALSE)*VLOOKUP($A282,'3121% SY'!$C$3:$M$324,11,FALSE),3),0)+IFERROR(ROUND(VLOOKUP($A282,S275_21,21,FALSE)*VLOOKUP($A282,'3121% SY'!$C$3:$M$324,11,FALSE),3),0)+IFERROR(ROUND(VLOOKUP($A282,S275_21,22,FALSE)*VLOOKUP($A282,'3121% SY'!$C$3:$M$324,11,FALSE),3),0)+IFERROR(VLOOKUP($A282,S275_09,8,FALSE),0)</f>
        <v>0.46399999999999997</v>
      </c>
      <c r="V282" s="267">
        <f>IFERROR(VLOOKUP($A282,Supp_44,14,FALSE),0)+IFERROR(SUMPRODUCT(VLOOKUP($A282,S275_01,{23,24,25},FALSE)),0)+IFERROR(SUMPRODUCT(VLOOKUP($A282,S275_97,{23,24,25},FALSE)),0)+IFERROR(ROUND(VLOOKUP($A282,S275_21,23,FALSE)*VLOOKUP($A282,'3121% SY'!$C$3:$M$324,11,FALSE),3),0)+IFERROR(ROUND(VLOOKUP($A282,S275_21,24,FALSE)*VLOOKUP($A282,'3121% SY'!$C$3:$M$324,11,FALSE),3),0)+IFERROR(ROUND(VLOOKUP($A282,S275_21,25,FALSE)*VLOOKUP($A282,'3121% SY'!$C$3:$M$324,11,FALSE),3),0)+IFERROR(VLOOKUP($A282,S275_09,9,FALSE),0)</f>
        <v>0</v>
      </c>
      <c r="W282" s="267">
        <f>IFERROR(VLOOKUP($A282,Supp_45,14,FALSE),0)+IFERROR(SUMPRODUCT(VLOOKUP($A282,S275_01,{26,27,28},FALSE)),0)+IFERROR(SUMPRODUCT(VLOOKUP($A282,S275_97,{26,27,28},FALSE)),0)+IFERROR(ROUND(VLOOKUP($A282,S275_21,26,FALSE)*VLOOKUP($A282,'3121% SY'!$C$3:$M$324,11,FALSE),3),0)+IFERROR(ROUND(VLOOKUP($A282,S275_21,27,FALSE)*VLOOKUP($A282,'3121% SY'!$C$3:$M$324,11,FALSE),3),0)+IFERROR(ROUND(VLOOKUP($A282,S275_21,28,FALSE)*VLOOKUP($A282,'3121% SY'!$C$3:$M$324,11,FALSE),3),0)+IFERROR(VLOOKUP($A282,S275_09,10,FALSE),0)</f>
        <v>1.288</v>
      </c>
      <c r="X282" s="267">
        <f>IFERROR(VLOOKUP($A282,Supp_46,14,FALSE),0)+IFERROR(SUMPRODUCT(VLOOKUP($A282,S275_01,{29,30,31},FALSE)),0)+IFERROR(SUMPRODUCT(VLOOKUP($A282,S275_97,{29,30,31},FALSE)),0)+IFERROR(ROUND(VLOOKUP($A282,S275_21,29,FALSE)*VLOOKUP($A282,'3121% SY'!$C$3:$M$324,11,FALSE),3),0)+IFERROR(ROUND(VLOOKUP($A282,S275_21,30,FALSE)*VLOOKUP($A282,'3121% SY'!$C$3:$M$324,11,FALSE),3),0)+IFERROR(ROUND(VLOOKUP($A282,S275_21,31,FALSE)*VLOOKUP($A282,'3121% SY'!$C$3:$M$324,11,FALSE),3),0)+IFERROR(VLOOKUP($A282,S275_09,11,FALSE),0)</f>
        <v>2.7730000000000001</v>
      </c>
      <c r="Y282" s="267">
        <f>IFERROR(VLOOKUP($A282,Supp_47,14,FALSE),0)+IFERROR(SUMPRODUCT(VLOOKUP($A282,S275_01,{32,33,34},FALSE)),0)+IFERROR(SUMPRODUCT(VLOOKUP($A282,S275_97,{32,33,34},FALSE)),0)+IFERROR(ROUND(VLOOKUP($A282,S275_21,32,FALSE)*VLOOKUP($A282,'3121% SY'!$C$3:$M$324,11,FALSE),3),0)+IFERROR(ROUND(VLOOKUP($A282,S275_21,33,FALSE)*VLOOKUP($A282,'3121% SY'!$C$3:$M$324,11,FALSE),3),0)+IFERROR(ROUND(VLOOKUP($A282,S275_21,34,FALSE)*VLOOKUP($A282,'3121% SY'!$C$3:$M$324,11,FALSE),3),0)+IFERROR(VLOOKUP($A282,S275_09,12,FALSE),0)</f>
        <v>0</v>
      </c>
      <c r="Z282" s="267">
        <f>IFERROR(VLOOKUP($A282,Supp_48,14,FALSE),0)+IFERROR(SUMPRODUCT(VLOOKUP($A282,S275_01,{35,36,37},FALSE)),0)+IFERROR(SUMPRODUCT(VLOOKUP($A282,S275_97,{35,36,37},FALSE)),0)+IFERROR(ROUND(VLOOKUP($A282,S275_21,35,FALSE)*VLOOKUP($A282,'3121% SY'!$C$3:$M$324,11,FALSE),3),0)+IFERROR(ROUND(VLOOKUP($A282,S275_21,36,FALSE)*VLOOKUP($A282,'3121% SY'!$C$3:$M$324,11,FALSE),3),0)+IFERROR(ROUND(VLOOKUP($A282,S275_21,37,FALSE)*VLOOKUP($A282,'3121% SY'!$C$3:$M$324,11,FALSE),3),0)+IFERROR(VLOOKUP($A282,S275_09,13,FALSE),0)</f>
        <v>0.151</v>
      </c>
      <c r="AA282" s="267">
        <f>IFERROR(VLOOKUP($A282,Supp_49,14,FALSE),0)+IFERROR(SUMPRODUCT(VLOOKUP($A282,S275_01,{38,39,40},FALSE)),0)+IFERROR(SUMPRODUCT(VLOOKUP($A282,S275_97,{38,39,40},FALSE)),0)+IFERROR(ROUND(VLOOKUP($A282,S275_21,38,FALSE)*VLOOKUP($A282,'3121% SY'!$C$3:$M$324,11,FALSE),3),0)+IFERROR(ROUND(VLOOKUP($A282,S275_21,39,FALSE)*VLOOKUP($A282,'3121% SY'!$C$3:$M$324,11,FALSE),3),0)+IFERROR(ROUND(VLOOKUP($A282,S275_21,40,FALSE)*VLOOKUP($A282,'3121% SY'!$C$3:$M$324,11,FALSE),3),0)+IFERROR(VLOOKUP($A282,S275_09,14,FALSE),0)</f>
        <v>0</v>
      </c>
      <c r="AB282" s="267">
        <f>IFERROR(VLOOKUP($A282,Supp_64,14,FALSE),0)+IFERROR(SUMPRODUCT(VLOOKUP($A282,S275_01,{41,42,43},FALSE)),0)+IFERROR(SUMPRODUCT(VLOOKUP($A282,S275_97,{41,42,43},FALSE)),0)+IFERROR(ROUND(VLOOKUP($A282,S275_21,41,FALSE)*VLOOKUP($A282,'3121% SY'!$C$3:$M$324,11,FALSE),3),0)+IFERROR(ROUND(VLOOKUP($A282,S275_21,42,FALSE)*VLOOKUP($A282,'3121% SY'!$C$3:$M$324,11,FALSE),3),0)+IFERROR(ROUND(VLOOKUP($A282,S275_21,43,FALSE)*VLOOKUP($A282,'3121% SY'!$C$3:$M$324,11,FALSE),3),0)+IFERROR(VLOOKUP($A282,S275_09,15,FALSE),0)</f>
        <v>0</v>
      </c>
      <c r="AC282" s="268">
        <f t="shared" si="57"/>
        <v>18.579000000000001</v>
      </c>
      <c r="AD282" s="267">
        <f>IFERROR(VLOOKUP($A282,Supp_24,14,FALSE),0)+IFERROR(SUMPRODUCT(VLOOKUP($A282,S275_01,{2,3,4},FALSE)),0)+IFERROR(SUMPRODUCT(VLOOKUP($A282,S275_97,{2,3,4},FALSE)),0)+IFERROR(ROUND(VLOOKUP($A282,S275_21,2,FALSE)*VLOOKUP($A282,'3121% SY'!$C$3:$M$324,11,FALSE),3),0)+IFERROR(ROUND(VLOOKUP($A282,S275_21,3,FALSE)*VLOOKUP($A282,'3121% SY'!$C$3:$M$324,11,FALSE),3),0)+IFERROR(ROUND(VLOOKUP($A282,S275_21,4,FALSE)*VLOOKUP($A282,'3121% SY'!$C$3:$M$324,11,FALSE),3),0)+IFERROR(VLOOKUP($A282,S275_09,2,FALSE),0)</f>
        <v>0.84599999999999997</v>
      </c>
      <c r="AE282" s="267">
        <f>IFERROR(VLOOKUP($A282,Supp_25,14,FALSE),0)+IFERROR(SUMPRODUCT(VLOOKUP($A282,S275_01,{5,6,7},FALSE)),0)+IFERROR(SUMPRODUCT(VLOOKUP($A282,S275_97,{5,6,7},FALSE)),0)+IFERROR(ROUND(VLOOKUP($A282,S275_21,5,FALSE)*VLOOKUP($A282,'3121% SY'!$C$3:$M$324,11,FALSE),3),0)+IFERROR(ROUND(VLOOKUP($A282,S275_21,6,FALSE)*VLOOKUP($A282,'3121% SY'!$C$3:$M$324,11,FALSE),3),0)+IFERROR(ROUND(VLOOKUP($A282,S275_21,7,FALSE)*VLOOKUP($A282,'3121% SY'!$C$3:$M$324,11,FALSE),3),0)+IFERROR(VLOOKUP($A282,S275_09,3,FALSE),0)</f>
        <v>4.07</v>
      </c>
      <c r="AF282" s="267">
        <f>IFERROR(VLOOKUP($A282,Supp_26,14,FALSE),0)+IFERROR(SUMPRODUCT(VLOOKUP($A282,S275_01,{8,9,10},FALSE)),0)+IFERROR(SUMPRODUCT(VLOOKUP($A282,S275_97,{8,9,10},FALSE)),0)+IFERROR(ROUND(VLOOKUP($A282,S275_21,8,FALSE)*VLOOKUP($A282,'3121% SY'!$C$3:$M$324,11,FALSE),3),0)+IFERROR(ROUND(VLOOKUP($A282,S275_21,9,FALSE)*VLOOKUP($A282,'3121% SY'!$C$3:$M$324,11,FALSE),3),0)+IFERROR(ROUND(VLOOKUP($A282,S275_21,10,FALSE)*VLOOKUP($A282,'3121% SY'!$C$3:$M$324,11,FALSE),3),0)+IFERROR(VLOOKUP($A282,S275_09,4,FALSE),0)</f>
        <v>6.9450000000000003</v>
      </c>
      <c r="AG282" s="267">
        <f>IFERROR(VLOOKUP($A282,Supp_35,14,FALSE),0)+IFERROR(SUMPRODUCT(VLOOKUP($A282,S275_01,{11,12,13},FALSE)),0)+IFERROR(SUMPRODUCT(VLOOKUP($A282,S275_97,{11,12,13},FALSE)),0)+IFERROR(ROUND(VLOOKUP($A282,S275_21,11,FALSE)*VLOOKUP($A282,'3121% SY'!$C$3:$M$324,11,FALSE),3),0)+IFERROR(ROUND(VLOOKUP($A282,S275_21,12,FALSE)*VLOOKUP($A282,'3121% SY'!$C$3:$M$324,11,FALSE),3),0)+IFERROR(ROUND(VLOOKUP($A282,S275_21,13,FALSE)*VLOOKUP($A282,'3121% SY'!$C$3:$M$324,11,FALSE),3),0)+IFERROR(VLOOKUP($A282,S275_09,5,FALSE),0)</f>
        <v>0.70799999999999996</v>
      </c>
      <c r="AH282" s="165">
        <f t="shared" si="58"/>
        <v>12.569000000000001</v>
      </c>
      <c r="AI282" s="161">
        <f>IFERROR(VLOOKUP(A282,'Supp Staff Data'!A:ER,148,FALSE),0)+AB282</f>
        <v>0</v>
      </c>
      <c r="AJ282" s="174">
        <v>0</v>
      </c>
      <c r="AK282" s="25">
        <f>VLOOKUP(A282,'Enroll Data as of January 2025'!$A$3:$T$323,20,FALSE)-F282</f>
        <v>0</v>
      </c>
    </row>
    <row r="283" spans="1:37" x14ac:dyDescent="0.25">
      <c r="A283" s="171" t="s">
        <v>187</v>
      </c>
      <c r="B283" t="s">
        <v>483</v>
      </c>
      <c r="C283" s="173" t="s">
        <v>1077</v>
      </c>
      <c r="D283" s="259">
        <f t="shared" si="50"/>
        <v>30.173999999999999</v>
      </c>
      <c r="E283" s="259">
        <f t="shared" si="51"/>
        <v>34.998999999999995</v>
      </c>
      <c r="F283" s="262">
        <f t="shared" si="52"/>
        <v>4.8250000000000002</v>
      </c>
      <c r="G283" s="161">
        <f>ROUND(IF(F283&lt;0,F283*'2024-25 PSES Compliance'!$G$13,0),3)</f>
        <v>0</v>
      </c>
      <c r="H283" s="161">
        <f>ROUND(IF(F283&lt;0,F283*'2024-25 PSES Compliance'!$G$14,0),3)</f>
        <v>0</v>
      </c>
      <c r="I283" s="174">
        <f t="shared" si="53"/>
        <v>0.50630018000514299</v>
      </c>
      <c r="J283" s="174">
        <f t="shared" si="54"/>
        <v>0</v>
      </c>
      <c r="K283" s="161">
        <f>VLOOKUP($A283,'Enroll Data as of January 2025'!$A$3:$M$322,6,FALSE)</f>
        <v>17.077000000000002</v>
      </c>
      <c r="L283" s="161">
        <f>VLOOKUP($A283,'Enroll Data as of January 2025'!$A$3:$M$322,7,FALSE)</f>
        <v>2.6949999999999998</v>
      </c>
      <c r="M283" s="161">
        <f>VLOOKUP($A283,'Enroll Data as of January 2025'!$A$3:$M$322,8,FALSE)</f>
        <v>0.90300000000000002</v>
      </c>
      <c r="N283" s="161">
        <f>VLOOKUP($A283,'Enroll Data as of January 2025'!$A$3:$M$322,9,FALSE)</f>
        <v>7.8460000000000001</v>
      </c>
      <c r="O283" s="165">
        <f t="shared" si="55"/>
        <v>28.521000000000001</v>
      </c>
      <c r="P283" s="161">
        <f>VLOOKUP($A283,'Enroll Data as of January 2025'!$A$3:$M$322,11,FALSE)</f>
        <v>1.0569999999999999</v>
      </c>
      <c r="Q283" s="161">
        <f>VLOOKUP($A283,'Enroll Data as of January 2025'!$A$3:$M$322,12,FALSE)</f>
        <v>0.59599999999999997</v>
      </c>
      <c r="R283" s="165">
        <f t="shared" si="56"/>
        <v>1.653</v>
      </c>
      <c r="S283" s="267">
        <f>IFERROR(VLOOKUP($A283,Supp_39,14,FALSE),0)+IFERROR(SUMPRODUCT(VLOOKUP($A283,S275_01,{14,15,16},FALSE)),0)+IFERROR(SUMPRODUCT(VLOOKUP($A283,S275_97,{14,15,16},FALSE)),0)+IFERROR(ROUND(VLOOKUP($A283,S275_21,14,FALSE)*VLOOKUP($A283,'3121% SY'!$C$3:$M$324,11,FALSE),3),0)+IFERROR(ROUND(VLOOKUP($A283,S275_21,15,FALSE)*VLOOKUP($A283,'3121% SY'!$C$3:$M$324,11,FALSE),3),0)+IFERROR(ROUND(VLOOKUP($A283,S275_21,16,FALSE)*VLOOKUP($A283,'3121% SY'!$C$3:$M$324,11,FALSE),3),0)+IFERROR(VLOOKUP($A283,S275_09,6,FALSE),0)</f>
        <v>11.120000000000001</v>
      </c>
      <c r="T283" s="267">
        <f>IFERROR(VLOOKUP($A283,Supp_42,14,FALSE),0)+IFERROR(SUMPRODUCT(VLOOKUP($A283,S275_01,{17,18,19},FALSE)),0)+IFERROR(SUMPRODUCT(VLOOKUP($A283,S275_97,{17,18,19},FALSE)),0)+IFERROR(ROUND(VLOOKUP($A283,S275_21,17,FALSE)*VLOOKUP($A283,'3121% SY'!$C$3:$M$324,11,FALSE),3),0)+IFERROR(ROUND(VLOOKUP($A283,S275_21,18,FALSE)*VLOOKUP($A283,'3121% SY'!$C$3:$M$324,11,FALSE),3),0)+IFERROR(ROUND(VLOOKUP($A283,S275_21,19,FALSE)*VLOOKUP($A283,'3121% SY'!$C$3:$M$324,11,FALSE),3),0)+IFERROR(VLOOKUP($A283,S275_09,7,FALSE),0)</f>
        <v>2.88</v>
      </c>
      <c r="U283" s="267">
        <f>IFERROR(VLOOKUP($A283,Supp_43,14,FALSE),0)+IFERROR(SUMPRODUCT(VLOOKUP($A283,S275_01,{20,21,22},FALSE)),0)+IFERROR(SUMPRODUCT(VLOOKUP($A283,S275_97,{20,21,22},FALSE)),0)+IFERROR(ROUND(VLOOKUP($A283,S275_21,20,FALSE)*VLOOKUP($A283,'3121% SY'!$C$3:$M$324,11,FALSE),3),0)+IFERROR(ROUND(VLOOKUP($A283,S275_21,21,FALSE)*VLOOKUP($A283,'3121% SY'!$C$3:$M$324,11,FALSE),3),0)+IFERROR(ROUND(VLOOKUP($A283,S275_21,22,FALSE)*VLOOKUP($A283,'3121% SY'!$C$3:$M$324,11,FALSE),3),0)+IFERROR(VLOOKUP($A283,S275_09,8,FALSE),0)</f>
        <v>0.52600000000000002</v>
      </c>
      <c r="V283" s="267">
        <f>IFERROR(VLOOKUP($A283,Supp_44,14,FALSE),0)+IFERROR(SUMPRODUCT(VLOOKUP($A283,S275_01,{23,24,25},FALSE)),0)+IFERROR(SUMPRODUCT(VLOOKUP($A283,S275_97,{23,24,25},FALSE)),0)+IFERROR(ROUND(VLOOKUP($A283,S275_21,23,FALSE)*VLOOKUP($A283,'3121% SY'!$C$3:$M$324,11,FALSE),3),0)+IFERROR(ROUND(VLOOKUP($A283,S275_21,24,FALSE)*VLOOKUP($A283,'3121% SY'!$C$3:$M$324,11,FALSE),3),0)+IFERROR(ROUND(VLOOKUP($A283,S275_21,25,FALSE)*VLOOKUP($A283,'3121% SY'!$C$3:$M$324,11,FALSE),3),0)+IFERROR(VLOOKUP($A283,S275_09,9,FALSE),0)</f>
        <v>0</v>
      </c>
      <c r="W283" s="267">
        <f>IFERROR(VLOOKUP($A283,Supp_45,14,FALSE),0)+IFERROR(SUMPRODUCT(VLOOKUP($A283,S275_01,{26,27,28},FALSE)),0)+IFERROR(SUMPRODUCT(VLOOKUP($A283,S275_97,{26,27,28},FALSE)),0)+IFERROR(ROUND(VLOOKUP($A283,S275_21,26,FALSE)*VLOOKUP($A283,'3121% SY'!$C$3:$M$324,11,FALSE),3),0)+IFERROR(ROUND(VLOOKUP($A283,S275_21,27,FALSE)*VLOOKUP($A283,'3121% SY'!$C$3:$M$324,11,FALSE),3),0)+IFERROR(ROUND(VLOOKUP($A283,S275_21,28,FALSE)*VLOOKUP($A283,'3121% SY'!$C$3:$M$324,11,FALSE),3),0)+IFERROR(VLOOKUP($A283,S275_09,10,FALSE),0)</f>
        <v>2.7669999999999999</v>
      </c>
      <c r="X283" s="267">
        <f>IFERROR(VLOOKUP($A283,Supp_46,14,FALSE),0)+IFERROR(SUMPRODUCT(VLOOKUP($A283,S275_01,{29,30,31},FALSE)),0)+IFERROR(SUMPRODUCT(VLOOKUP($A283,S275_97,{29,30,31},FALSE)),0)+IFERROR(ROUND(VLOOKUP($A283,S275_21,29,FALSE)*VLOOKUP($A283,'3121% SY'!$C$3:$M$324,11,FALSE),3),0)+IFERROR(ROUND(VLOOKUP($A283,S275_21,30,FALSE)*VLOOKUP($A283,'3121% SY'!$C$3:$M$324,11,FALSE),3),0)+IFERROR(ROUND(VLOOKUP($A283,S275_21,31,FALSE)*VLOOKUP($A283,'3121% SY'!$C$3:$M$324,11,FALSE),3),0)+IFERROR(VLOOKUP($A283,S275_09,11,FALSE),0)</f>
        <v>0</v>
      </c>
      <c r="Y283" s="267">
        <f>IFERROR(VLOOKUP($A283,Supp_47,14,FALSE),0)+IFERROR(SUMPRODUCT(VLOOKUP($A283,S275_01,{32,33,34},FALSE)),0)+IFERROR(SUMPRODUCT(VLOOKUP($A283,S275_97,{32,33,34},FALSE)),0)+IFERROR(ROUND(VLOOKUP($A283,S275_21,32,FALSE)*VLOOKUP($A283,'3121% SY'!$C$3:$M$324,11,FALSE),3),0)+IFERROR(ROUND(VLOOKUP($A283,S275_21,33,FALSE)*VLOOKUP($A283,'3121% SY'!$C$3:$M$324,11,FALSE),3),0)+IFERROR(ROUND(VLOOKUP($A283,S275_21,34,FALSE)*VLOOKUP($A283,'3121% SY'!$C$3:$M$324,11,FALSE),3),0)+IFERROR(VLOOKUP($A283,S275_09,12,FALSE),0)</f>
        <v>0</v>
      </c>
      <c r="Z283" s="267">
        <f>IFERROR(VLOOKUP($A283,Supp_48,14,FALSE),0)+IFERROR(SUMPRODUCT(VLOOKUP($A283,S275_01,{35,36,37},FALSE)),0)+IFERROR(SUMPRODUCT(VLOOKUP($A283,S275_97,{35,36,37},FALSE)),0)+IFERROR(ROUND(VLOOKUP($A283,S275_21,35,FALSE)*VLOOKUP($A283,'3121% SY'!$C$3:$M$324,11,FALSE),3),0)+IFERROR(ROUND(VLOOKUP($A283,S275_21,36,FALSE)*VLOOKUP($A283,'3121% SY'!$C$3:$M$324,11,FALSE),3),0)+IFERROR(ROUND(VLOOKUP($A283,S275_21,37,FALSE)*VLOOKUP($A283,'3121% SY'!$C$3:$M$324,11,FALSE),3),0)+IFERROR(VLOOKUP($A283,S275_09,13,FALSE),0)</f>
        <v>0.42699999999999999</v>
      </c>
      <c r="AA283" s="267">
        <f>IFERROR(VLOOKUP($A283,Supp_49,14,FALSE),0)+IFERROR(SUMPRODUCT(VLOOKUP($A283,S275_01,{38,39,40},FALSE)),0)+IFERROR(SUMPRODUCT(VLOOKUP($A283,S275_97,{38,39,40},FALSE)),0)+IFERROR(ROUND(VLOOKUP($A283,S275_21,38,FALSE)*VLOOKUP($A283,'3121% SY'!$C$3:$M$324,11,FALSE),3),0)+IFERROR(ROUND(VLOOKUP($A283,S275_21,39,FALSE)*VLOOKUP($A283,'3121% SY'!$C$3:$M$324,11,FALSE),3),0)+IFERROR(ROUND(VLOOKUP($A283,S275_21,40,FALSE)*VLOOKUP($A283,'3121% SY'!$C$3:$M$324,11,FALSE),3),0)+IFERROR(VLOOKUP($A283,S275_09,14,FALSE),0)</f>
        <v>0</v>
      </c>
      <c r="AB283" s="267">
        <f>IFERROR(VLOOKUP($A283,Supp_64,14,FALSE),0)+IFERROR(SUMPRODUCT(VLOOKUP($A283,S275_01,{41,42,43},FALSE)),0)+IFERROR(SUMPRODUCT(VLOOKUP($A283,S275_97,{41,42,43},FALSE)),0)+IFERROR(ROUND(VLOOKUP($A283,S275_21,41,FALSE)*VLOOKUP($A283,'3121% SY'!$C$3:$M$324,11,FALSE),3),0)+IFERROR(ROUND(VLOOKUP($A283,S275_21,42,FALSE)*VLOOKUP($A283,'3121% SY'!$C$3:$M$324,11,FALSE),3),0)+IFERROR(ROUND(VLOOKUP($A283,S275_21,43,FALSE)*VLOOKUP($A283,'3121% SY'!$C$3:$M$324,11,FALSE),3),0)+IFERROR(VLOOKUP($A283,S275_09,15,FALSE),0)</f>
        <v>0</v>
      </c>
      <c r="AC283" s="268">
        <f t="shared" si="57"/>
        <v>17.72</v>
      </c>
      <c r="AD283" s="267">
        <f>IFERROR(VLOOKUP($A283,Supp_24,14,FALSE),0)+IFERROR(SUMPRODUCT(VLOOKUP($A283,S275_01,{2,3,4},FALSE)),0)+IFERROR(SUMPRODUCT(VLOOKUP($A283,S275_97,{2,3,4},FALSE)),0)+IFERROR(ROUND(VLOOKUP($A283,S275_21,2,FALSE)*VLOOKUP($A283,'3121% SY'!$C$3:$M$324,11,FALSE),3),0)+IFERROR(ROUND(VLOOKUP($A283,S275_21,3,FALSE)*VLOOKUP($A283,'3121% SY'!$C$3:$M$324,11,FALSE),3),0)+IFERROR(ROUND(VLOOKUP($A283,S275_21,4,FALSE)*VLOOKUP($A283,'3121% SY'!$C$3:$M$324,11,FALSE),3),0)+IFERROR(VLOOKUP($A283,S275_09,2,FALSE),0)</f>
        <v>0.36199999999999999</v>
      </c>
      <c r="AE283" s="267">
        <f>IFERROR(VLOOKUP($A283,Supp_25,14,FALSE),0)+IFERROR(SUMPRODUCT(VLOOKUP($A283,S275_01,{5,6,7},FALSE)),0)+IFERROR(SUMPRODUCT(VLOOKUP($A283,S275_97,{5,6,7},FALSE)),0)+IFERROR(ROUND(VLOOKUP($A283,S275_21,5,FALSE)*VLOOKUP($A283,'3121% SY'!$C$3:$M$324,11,FALSE),3),0)+IFERROR(ROUND(VLOOKUP($A283,S275_21,6,FALSE)*VLOOKUP($A283,'3121% SY'!$C$3:$M$324,11,FALSE),3),0)+IFERROR(ROUND(VLOOKUP($A283,S275_21,7,FALSE)*VLOOKUP($A283,'3121% SY'!$C$3:$M$324,11,FALSE),3),0)+IFERROR(VLOOKUP($A283,S275_09,3,FALSE),0)</f>
        <v>9.3239999999999998</v>
      </c>
      <c r="AF283" s="267">
        <f>IFERROR(VLOOKUP($A283,Supp_26,14,FALSE),0)+IFERROR(SUMPRODUCT(VLOOKUP($A283,S275_01,{8,9,10},FALSE)),0)+IFERROR(SUMPRODUCT(VLOOKUP($A283,S275_97,{8,9,10},FALSE)),0)+IFERROR(ROUND(VLOOKUP($A283,S275_21,8,FALSE)*VLOOKUP($A283,'3121% SY'!$C$3:$M$324,11,FALSE),3),0)+IFERROR(ROUND(VLOOKUP($A283,S275_21,9,FALSE)*VLOOKUP($A283,'3121% SY'!$C$3:$M$324,11,FALSE),3),0)+IFERROR(ROUND(VLOOKUP($A283,S275_21,10,FALSE)*VLOOKUP($A283,'3121% SY'!$C$3:$M$324,11,FALSE),3),0)+IFERROR(VLOOKUP($A283,S275_09,4,FALSE),0)</f>
        <v>6.8500000000000005</v>
      </c>
      <c r="AG283" s="267">
        <f>IFERROR(VLOOKUP($A283,Supp_35,14,FALSE),0)+IFERROR(SUMPRODUCT(VLOOKUP($A283,S275_01,{11,12,13},FALSE)),0)+IFERROR(SUMPRODUCT(VLOOKUP($A283,S275_97,{11,12,13},FALSE)),0)+IFERROR(ROUND(VLOOKUP($A283,S275_21,11,FALSE)*VLOOKUP($A283,'3121% SY'!$C$3:$M$324,11,FALSE),3),0)+IFERROR(ROUND(VLOOKUP($A283,S275_21,12,FALSE)*VLOOKUP($A283,'3121% SY'!$C$3:$M$324,11,FALSE),3),0)+IFERROR(ROUND(VLOOKUP($A283,S275_21,13,FALSE)*VLOOKUP($A283,'3121% SY'!$C$3:$M$324,11,FALSE),3),0)+IFERROR(VLOOKUP($A283,S275_09,5,FALSE),0)</f>
        <v>0.74299999999999999</v>
      </c>
      <c r="AH283" s="165">
        <f t="shared" si="58"/>
        <v>17.279</v>
      </c>
      <c r="AI283" s="161">
        <f>IFERROR(VLOOKUP(A283,'Supp Staff Data'!A:ER,148,FALSE),0)+AB283</f>
        <v>0</v>
      </c>
      <c r="AJ283" s="174">
        <v>1</v>
      </c>
      <c r="AK283" s="25">
        <f>VLOOKUP(A283,'Enroll Data as of January 2025'!$A$3:$T$323,20,FALSE)-F283</f>
        <v>0</v>
      </c>
    </row>
    <row r="284" spans="1:37" x14ac:dyDescent="0.25">
      <c r="A284" s="171" t="s">
        <v>214</v>
      </c>
      <c r="B284" t="s">
        <v>509</v>
      </c>
      <c r="C284" s="173" t="s">
        <v>1077</v>
      </c>
      <c r="D284" s="259">
        <f t="shared" si="50"/>
        <v>52.76</v>
      </c>
      <c r="E284" s="259">
        <f t="shared" si="51"/>
        <v>57.323999999999998</v>
      </c>
      <c r="F284" s="262">
        <f t="shared" si="52"/>
        <v>4.5640000000000001</v>
      </c>
      <c r="G284" s="161">
        <f>ROUND(IF(F284&lt;0,F284*'2024-25 PSES Compliance'!$G$13,0),3)</f>
        <v>0</v>
      </c>
      <c r="H284" s="161">
        <f>ROUND(IF(F284&lt;0,F284*'2024-25 PSES Compliance'!$G$14,0),3)</f>
        <v>0</v>
      </c>
      <c r="I284" s="174">
        <f t="shared" si="53"/>
        <v>0.53720954574000424</v>
      </c>
      <c r="J284" s="174">
        <f t="shared" si="54"/>
        <v>0</v>
      </c>
      <c r="K284" s="161">
        <f>VLOOKUP($A284,'Enroll Data as of January 2025'!$A$3:$M$322,6,FALSE)</f>
        <v>29.67</v>
      </c>
      <c r="L284" s="161">
        <f>VLOOKUP($A284,'Enroll Data as of January 2025'!$A$3:$M$322,7,FALSE)</f>
        <v>4.8820000000000006</v>
      </c>
      <c r="M284" s="161">
        <f>VLOOKUP($A284,'Enroll Data as of January 2025'!$A$3:$M$322,8,FALSE)</f>
        <v>1.6379999999999999</v>
      </c>
      <c r="N284" s="161">
        <f>VLOOKUP($A284,'Enroll Data as of January 2025'!$A$3:$M$322,9,FALSE)</f>
        <v>13.616</v>
      </c>
      <c r="O284" s="165">
        <f t="shared" si="55"/>
        <v>49.805999999999997</v>
      </c>
      <c r="P284" s="161">
        <f>VLOOKUP($A284,'Enroll Data as of January 2025'!$A$3:$M$322,11,FALSE)</f>
        <v>1.855</v>
      </c>
      <c r="Q284" s="161">
        <f>VLOOKUP($A284,'Enroll Data as of January 2025'!$A$3:$M$322,12,FALSE)</f>
        <v>1.099</v>
      </c>
      <c r="R284" s="165">
        <f t="shared" si="56"/>
        <v>2.9539999999999997</v>
      </c>
      <c r="S284" s="267">
        <f>IFERROR(VLOOKUP($A284,Supp_39,14,FALSE),0)+IFERROR(SUMPRODUCT(VLOOKUP($A284,S275_01,{14,15,16},FALSE)),0)+IFERROR(SUMPRODUCT(VLOOKUP($A284,S275_97,{14,15,16},FALSE)),0)+IFERROR(ROUND(VLOOKUP($A284,S275_21,14,FALSE)*VLOOKUP($A284,'3121% SY'!$C$3:$M$324,11,FALSE),3),0)+IFERROR(ROUND(VLOOKUP($A284,S275_21,15,FALSE)*VLOOKUP($A284,'3121% SY'!$C$3:$M$324,11,FALSE),3),0)+IFERROR(ROUND(VLOOKUP($A284,S275_21,16,FALSE)*VLOOKUP($A284,'3121% SY'!$C$3:$M$324,11,FALSE),3),0)+IFERROR(VLOOKUP($A284,S275_09,6,FALSE),0)</f>
        <v>18.100000000000001</v>
      </c>
      <c r="T284" s="267">
        <f>IFERROR(VLOOKUP($A284,Supp_42,14,FALSE),0)+IFERROR(SUMPRODUCT(VLOOKUP($A284,S275_01,{17,18,19},FALSE)),0)+IFERROR(SUMPRODUCT(VLOOKUP($A284,S275_97,{17,18,19},FALSE)),0)+IFERROR(ROUND(VLOOKUP($A284,S275_21,17,FALSE)*VLOOKUP($A284,'3121% SY'!$C$3:$M$324,11,FALSE),3),0)+IFERROR(ROUND(VLOOKUP($A284,S275_21,18,FALSE)*VLOOKUP($A284,'3121% SY'!$C$3:$M$324,11,FALSE),3),0)+IFERROR(ROUND(VLOOKUP($A284,S275_21,19,FALSE)*VLOOKUP($A284,'3121% SY'!$C$3:$M$324,11,FALSE),3),0)+IFERROR(VLOOKUP($A284,S275_09,7,FALSE),0)</f>
        <v>4.5940000000000003</v>
      </c>
      <c r="U284" s="267">
        <f>IFERROR(VLOOKUP($A284,Supp_43,14,FALSE),0)+IFERROR(SUMPRODUCT(VLOOKUP($A284,S275_01,{20,21,22},FALSE)),0)+IFERROR(SUMPRODUCT(VLOOKUP($A284,S275_97,{20,21,22},FALSE)),0)+IFERROR(ROUND(VLOOKUP($A284,S275_21,20,FALSE)*VLOOKUP($A284,'3121% SY'!$C$3:$M$324,11,FALSE),3),0)+IFERROR(ROUND(VLOOKUP($A284,S275_21,21,FALSE)*VLOOKUP($A284,'3121% SY'!$C$3:$M$324,11,FALSE),3),0)+IFERROR(ROUND(VLOOKUP($A284,S275_21,22,FALSE)*VLOOKUP($A284,'3121% SY'!$C$3:$M$324,11,FALSE),3),0)+IFERROR(VLOOKUP($A284,S275_09,8,FALSE),0)</f>
        <v>1.726</v>
      </c>
      <c r="V284" s="267">
        <f>IFERROR(VLOOKUP($A284,Supp_44,14,FALSE),0)+IFERROR(SUMPRODUCT(VLOOKUP($A284,S275_01,{23,24,25},FALSE)),0)+IFERROR(SUMPRODUCT(VLOOKUP($A284,S275_97,{23,24,25},FALSE)),0)+IFERROR(ROUND(VLOOKUP($A284,S275_21,23,FALSE)*VLOOKUP($A284,'3121% SY'!$C$3:$M$324,11,FALSE),3),0)+IFERROR(ROUND(VLOOKUP($A284,S275_21,24,FALSE)*VLOOKUP($A284,'3121% SY'!$C$3:$M$324,11,FALSE),3),0)+IFERROR(ROUND(VLOOKUP($A284,S275_21,25,FALSE)*VLOOKUP($A284,'3121% SY'!$C$3:$M$324,11,FALSE),3),0)+IFERROR(VLOOKUP($A284,S275_09,9,FALSE),0)</f>
        <v>0</v>
      </c>
      <c r="W284" s="267">
        <f>IFERROR(VLOOKUP($A284,Supp_45,14,FALSE),0)+IFERROR(SUMPRODUCT(VLOOKUP($A284,S275_01,{26,27,28},FALSE)),0)+IFERROR(SUMPRODUCT(VLOOKUP($A284,S275_97,{26,27,28},FALSE)),0)+IFERROR(ROUND(VLOOKUP($A284,S275_21,26,FALSE)*VLOOKUP($A284,'3121% SY'!$C$3:$M$324,11,FALSE),3),0)+IFERROR(ROUND(VLOOKUP($A284,S275_21,27,FALSE)*VLOOKUP($A284,'3121% SY'!$C$3:$M$324,11,FALSE),3),0)+IFERROR(ROUND(VLOOKUP($A284,S275_21,28,FALSE)*VLOOKUP($A284,'3121% SY'!$C$3:$M$324,11,FALSE),3),0)+IFERROR(VLOOKUP($A284,S275_09,10,FALSE),0)</f>
        <v>3.9840000000000004</v>
      </c>
      <c r="X284" s="267">
        <f>IFERROR(VLOOKUP($A284,Supp_46,14,FALSE),0)+IFERROR(SUMPRODUCT(VLOOKUP($A284,S275_01,{29,30,31},FALSE)),0)+IFERROR(SUMPRODUCT(VLOOKUP($A284,S275_97,{29,30,31},FALSE)),0)+IFERROR(ROUND(VLOOKUP($A284,S275_21,29,FALSE)*VLOOKUP($A284,'3121% SY'!$C$3:$M$324,11,FALSE),3),0)+IFERROR(ROUND(VLOOKUP($A284,S275_21,30,FALSE)*VLOOKUP($A284,'3121% SY'!$C$3:$M$324,11,FALSE),3),0)+IFERROR(ROUND(VLOOKUP($A284,S275_21,31,FALSE)*VLOOKUP($A284,'3121% SY'!$C$3:$M$324,11,FALSE),3),0)+IFERROR(VLOOKUP($A284,S275_09,11,FALSE),0)</f>
        <v>2.391</v>
      </c>
      <c r="Y284" s="267">
        <f>IFERROR(VLOOKUP($A284,Supp_47,14,FALSE),0)+IFERROR(SUMPRODUCT(VLOOKUP($A284,S275_01,{32,33,34},FALSE)),0)+IFERROR(SUMPRODUCT(VLOOKUP($A284,S275_97,{32,33,34},FALSE)),0)+IFERROR(ROUND(VLOOKUP($A284,S275_21,32,FALSE)*VLOOKUP($A284,'3121% SY'!$C$3:$M$324,11,FALSE),3),0)+IFERROR(ROUND(VLOOKUP($A284,S275_21,33,FALSE)*VLOOKUP($A284,'3121% SY'!$C$3:$M$324,11,FALSE),3),0)+IFERROR(ROUND(VLOOKUP($A284,S275_21,34,FALSE)*VLOOKUP($A284,'3121% SY'!$C$3:$M$324,11,FALSE),3),0)+IFERROR(VLOOKUP($A284,S275_09,12,FALSE),0)</f>
        <v>0</v>
      </c>
      <c r="Z284" s="267">
        <f>IFERROR(VLOOKUP($A284,Supp_48,14,FALSE),0)+IFERROR(SUMPRODUCT(VLOOKUP($A284,S275_01,{35,36,37},FALSE)),0)+IFERROR(SUMPRODUCT(VLOOKUP($A284,S275_97,{35,36,37},FALSE)),0)+IFERROR(ROUND(VLOOKUP($A284,S275_21,35,FALSE)*VLOOKUP($A284,'3121% SY'!$C$3:$M$324,11,FALSE),3),0)+IFERROR(ROUND(VLOOKUP($A284,S275_21,36,FALSE)*VLOOKUP($A284,'3121% SY'!$C$3:$M$324,11,FALSE),3),0)+IFERROR(ROUND(VLOOKUP($A284,S275_21,37,FALSE)*VLOOKUP($A284,'3121% SY'!$C$3:$M$324,11,FALSE),3),0)+IFERROR(VLOOKUP($A284,S275_09,13,FALSE),0)</f>
        <v>0</v>
      </c>
      <c r="AA284" s="267">
        <f>IFERROR(VLOOKUP($A284,Supp_49,14,FALSE),0)+IFERROR(SUMPRODUCT(VLOOKUP($A284,S275_01,{38,39,40},FALSE)),0)+IFERROR(SUMPRODUCT(VLOOKUP($A284,S275_97,{38,39,40},FALSE)),0)+IFERROR(ROUND(VLOOKUP($A284,S275_21,38,FALSE)*VLOOKUP($A284,'3121% SY'!$C$3:$M$324,11,FALSE),3),0)+IFERROR(ROUND(VLOOKUP($A284,S275_21,39,FALSE)*VLOOKUP($A284,'3121% SY'!$C$3:$M$324,11,FALSE),3),0)+IFERROR(ROUND(VLOOKUP($A284,S275_21,40,FALSE)*VLOOKUP($A284,'3121% SY'!$C$3:$M$324,11,FALSE),3),0)+IFERROR(VLOOKUP($A284,S275_09,14,FALSE),0)</f>
        <v>0</v>
      </c>
      <c r="AB284" s="267">
        <f>IFERROR(VLOOKUP($A284,Supp_64,14,FALSE),0)+IFERROR(SUMPRODUCT(VLOOKUP($A284,S275_01,{41,42,43},FALSE)),0)+IFERROR(SUMPRODUCT(VLOOKUP($A284,S275_97,{41,42,43},FALSE)),0)+IFERROR(ROUND(VLOOKUP($A284,S275_21,41,FALSE)*VLOOKUP($A284,'3121% SY'!$C$3:$M$324,11,FALSE),3),0)+IFERROR(ROUND(VLOOKUP($A284,S275_21,42,FALSE)*VLOOKUP($A284,'3121% SY'!$C$3:$M$324,11,FALSE),3),0)+IFERROR(ROUND(VLOOKUP($A284,S275_21,43,FALSE)*VLOOKUP($A284,'3121% SY'!$C$3:$M$324,11,FALSE),3),0)+IFERROR(VLOOKUP($A284,S275_09,15,FALSE),0)</f>
        <v>0</v>
      </c>
      <c r="AC284" s="268">
        <f t="shared" si="57"/>
        <v>30.795000000000002</v>
      </c>
      <c r="AD284" s="267">
        <f>IFERROR(VLOOKUP($A284,Supp_24,14,FALSE),0)+IFERROR(SUMPRODUCT(VLOOKUP($A284,S275_01,{2,3,4},FALSE)),0)+IFERROR(SUMPRODUCT(VLOOKUP($A284,S275_97,{2,3,4},FALSE)),0)+IFERROR(ROUND(VLOOKUP($A284,S275_21,2,FALSE)*VLOOKUP($A284,'3121% SY'!$C$3:$M$324,11,FALSE),3),0)+IFERROR(ROUND(VLOOKUP($A284,S275_21,3,FALSE)*VLOOKUP($A284,'3121% SY'!$C$3:$M$324,11,FALSE),3),0)+IFERROR(ROUND(VLOOKUP($A284,S275_21,4,FALSE)*VLOOKUP($A284,'3121% SY'!$C$3:$M$324,11,FALSE),3),0)+IFERROR(VLOOKUP($A284,S275_09,2,FALSE),0)</f>
        <v>4.6349999999999998</v>
      </c>
      <c r="AE284" s="267">
        <f>IFERROR(VLOOKUP($A284,Supp_25,14,FALSE),0)+IFERROR(SUMPRODUCT(VLOOKUP($A284,S275_01,{5,6,7},FALSE)),0)+IFERROR(SUMPRODUCT(VLOOKUP($A284,S275_97,{5,6,7},FALSE)),0)+IFERROR(ROUND(VLOOKUP($A284,S275_21,5,FALSE)*VLOOKUP($A284,'3121% SY'!$C$3:$M$324,11,FALSE),3),0)+IFERROR(ROUND(VLOOKUP($A284,S275_21,6,FALSE)*VLOOKUP($A284,'3121% SY'!$C$3:$M$324,11,FALSE),3),0)+IFERROR(ROUND(VLOOKUP($A284,S275_21,7,FALSE)*VLOOKUP($A284,'3121% SY'!$C$3:$M$324,11,FALSE),3),0)+IFERROR(VLOOKUP($A284,S275_09,3,FALSE),0)</f>
        <v>4.32</v>
      </c>
      <c r="AF284" s="267">
        <f>IFERROR(VLOOKUP($A284,Supp_26,14,FALSE),0)+IFERROR(SUMPRODUCT(VLOOKUP($A284,S275_01,{8,9,10},FALSE)),0)+IFERROR(SUMPRODUCT(VLOOKUP($A284,S275_97,{8,9,10},FALSE)),0)+IFERROR(ROUND(VLOOKUP($A284,S275_21,8,FALSE)*VLOOKUP($A284,'3121% SY'!$C$3:$M$324,11,FALSE),3),0)+IFERROR(ROUND(VLOOKUP($A284,S275_21,9,FALSE)*VLOOKUP($A284,'3121% SY'!$C$3:$M$324,11,FALSE),3),0)+IFERROR(ROUND(VLOOKUP($A284,S275_21,10,FALSE)*VLOOKUP($A284,'3121% SY'!$C$3:$M$324,11,FALSE),3),0)+IFERROR(VLOOKUP($A284,S275_09,4,FALSE),0)</f>
        <v>16.295999999999999</v>
      </c>
      <c r="AG284" s="267">
        <f>IFERROR(VLOOKUP($A284,Supp_35,14,FALSE),0)+IFERROR(SUMPRODUCT(VLOOKUP($A284,S275_01,{11,12,13},FALSE)),0)+IFERROR(SUMPRODUCT(VLOOKUP($A284,S275_97,{11,12,13},FALSE)),0)+IFERROR(ROUND(VLOOKUP($A284,S275_21,11,FALSE)*VLOOKUP($A284,'3121% SY'!$C$3:$M$324,11,FALSE),3),0)+IFERROR(ROUND(VLOOKUP($A284,S275_21,12,FALSE)*VLOOKUP($A284,'3121% SY'!$C$3:$M$324,11,FALSE),3),0)+IFERROR(ROUND(VLOOKUP($A284,S275_21,13,FALSE)*VLOOKUP($A284,'3121% SY'!$C$3:$M$324,11,FALSE),3),0)+IFERROR(VLOOKUP($A284,S275_09,5,FALSE),0)</f>
        <v>1.278</v>
      </c>
      <c r="AH284" s="165">
        <f t="shared" si="58"/>
        <v>26.528999999999996</v>
      </c>
      <c r="AI284" s="161">
        <f>IFERROR(VLOOKUP(A284,'Supp Staff Data'!A:ER,148,FALSE),0)+AB284</f>
        <v>0</v>
      </c>
      <c r="AJ284" s="174">
        <v>1</v>
      </c>
      <c r="AK284" s="25">
        <f>VLOOKUP(A284,'Enroll Data as of January 2025'!$A$3:$T$323,20,FALSE)-F284</f>
        <v>0</v>
      </c>
    </row>
    <row r="285" spans="1:37" x14ac:dyDescent="0.25">
      <c r="A285" s="171" t="s">
        <v>204</v>
      </c>
      <c r="B285" t="s">
        <v>499</v>
      </c>
      <c r="C285" s="173" t="s">
        <v>1077</v>
      </c>
      <c r="D285" s="259">
        <f t="shared" si="50"/>
        <v>22.839000000000002</v>
      </c>
      <c r="E285" s="259">
        <f t="shared" si="51"/>
        <v>34.273000000000003</v>
      </c>
      <c r="F285" s="262">
        <f t="shared" si="52"/>
        <v>11.433999999999999</v>
      </c>
      <c r="G285" s="161">
        <f>ROUND(IF(F285&lt;0,F285*'2024-25 PSES Compliance'!$G$13,0),3)</f>
        <v>0</v>
      </c>
      <c r="H285" s="161">
        <f>ROUND(IF(F285&lt;0,F285*'2024-25 PSES Compliance'!$G$14,0),3)</f>
        <v>0</v>
      </c>
      <c r="I285" s="174">
        <f t="shared" si="53"/>
        <v>0.4855133778776296</v>
      </c>
      <c r="J285" s="174">
        <f t="shared" si="54"/>
        <v>0</v>
      </c>
      <c r="K285" s="161">
        <f>VLOOKUP($A285,'Enroll Data as of January 2025'!$A$3:$M$322,6,FALSE)</f>
        <v>12.74</v>
      </c>
      <c r="L285" s="161">
        <f>VLOOKUP($A285,'Enroll Data as of January 2025'!$A$3:$M$322,7,FALSE)</f>
        <v>2.1509999999999998</v>
      </c>
      <c r="M285" s="161">
        <f>VLOOKUP($A285,'Enroll Data as of January 2025'!$A$3:$M$322,8,FALSE)</f>
        <v>0.72099999999999997</v>
      </c>
      <c r="N285" s="161">
        <f>VLOOKUP($A285,'Enroll Data as of January 2025'!$A$3:$M$322,9,FALSE)</f>
        <v>5.9349999999999996</v>
      </c>
      <c r="O285" s="165">
        <f t="shared" si="55"/>
        <v>21.547000000000001</v>
      </c>
      <c r="P285" s="161">
        <f>VLOOKUP($A285,'Enroll Data as of January 2025'!$A$3:$M$322,11,FALSE)</f>
        <v>0.80400000000000005</v>
      </c>
      <c r="Q285" s="161">
        <f>VLOOKUP($A285,'Enroll Data as of January 2025'!$A$3:$M$322,12,FALSE)</f>
        <v>0.48799999999999999</v>
      </c>
      <c r="R285" s="165">
        <f t="shared" si="56"/>
        <v>1.292</v>
      </c>
      <c r="S285" s="267">
        <f>IFERROR(VLOOKUP($A285,Supp_39,14,FALSE),0)+IFERROR(SUMPRODUCT(VLOOKUP($A285,S275_01,{14,15,16},FALSE)),0)+IFERROR(SUMPRODUCT(VLOOKUP($A285,S275_97,{14,15,16},FALSE)),0)+IFERROR(ROUND(VLOOKUP($A285,S275_21,14,FALSE)*VLOOKUP($A285,'3121% SY'!$C$3:$M$324,11,FALSE),3),0)+IFERROR(ROUND(VLOOKUP($A285,S275_21,15,FALSE)*VLOOKUP($A285,'3121% SY'!$C$3:$M$324,11,FALSE),3),0)+IFERROR(ROUND(VLOOKUP($A285,S275_21,16,FALSE)*VLOOKUP($A285,'3121% SY'!$C$3:$M$324,11,FALSE),3),0)+IFERROR(VLOOKUP($A285,S275_09,6,FALSE),0)</f>
        <v>8.6690000000000005</v>
      </c>
      <c r="T285" s="267">
        <f>IFERROR(VLOOKUP($A285,Supp_42,14,FALSE),0)+IFERROR(SUMPRODUCT(VLOOKUP($A285,S275_01,{17,18,19},FALSE)),0)+IFERROR(SUMPRODUCT(VLOOKUP($A285,S275_97,{17,18,19},FALSE)),0)+IFERROR(ROUND(VLOOKUP($A285,S275_21,17,FALSE)*VLOOKUP($A285,'3121% SY'!$C$3:$M$324,11,FALSE),3),0)+IFERROR(ROUND(VLOOKUP($A285,S275_21,18,FALSE)*VLOOKUP($A285,'3121% SY'!$C$3:$M$324,11,FALSE),3),0)+IFERROR(ROUND(VLOOKUP($A285,S275_21,19,FALSE)*VLOOKUP($A285,'3121% SY'!$C$3:$M$324,11,FALSE),3),0)+IFERROR(VLOOKUP($A285,S275_09,7,FALSE),0)</f>
        <v>2</v>
      </c>
      <c r="U285" s="267">
        <f>IFERROR(VLOOKUP($A285,Supp_43,14,FALSE),0)+IFERROR(SUMPRODUCT(VLOOKUP($A285,S275_01,{20,21,22},FALSE)),0)+IFERROR(SUMPRODUCT(VLOOKUP($A285,S275_97,{20,21,22},FALSE)),0)+IFERROR(ROUND(VLOOKUP($A285,S275_21,20,FALSE)*VLOOKUP($A285,'3121% SY'!$C$3:$M$324,11,FALSE),3),0)+IFERROR(ROUND(VLOOKUP($A285,S275_21,21,FALSE)*VLOOKUP($A285,'3121% SY'!$C$3:$M$324,11,FALSE),3),0)+IFERROR(ROUND(VLOOKUP($A285,S275_21,22,FALSE)*VLOOKUP($A285,'3121% SY'!$C$3:$M$324,11,FALSE),3),0)+IFERROR(VLOOKUP($A285,S275_09,8,FALSE),0)</f>
        <v>0.78200000000000003</v>
      </c>
      <c r="V285" s="267">
        <f>IFERROR(VLOOKUP($A285,Supp_44,14,FALSE),0)+IFERROR(SUMPRODUCT(VLOOKUP($A285,S275_01,{23,24,25},FALSE)),0)+IFERROR(SUMPRODUCT(VLOOKUP($A285,S275_97,{23,24,25},FALSE)),0)+IFERROR(ROUND(VLOOKUP($A285,S275_21,23,FALSE)*VLOOKUP($A285,'3121% SY'!$C$3:$M$324,11,FALSE),3),0)+IFERROR(ROUND(VLOOKUP($A285,S275_21,24,FALSE)*VLOOKUP($A285,'3121% SY'!$C$3:$M$324,11,FALSE),3),0)+IFERROR(ROUND(VLOOKUP($A285,S275_21,25,FALSE)*VLOOKUP($A285,'3121% SY'!$C$3:$M$324,11,FALSE),3),0)+IFERROR(VLOOKUP($A285,S275_09,9,FALSE),0)</f>
        <v>0</v>
      </c>
      <c r="W285" s="267">
        <f>IFERROR(VLOOKUP($A285,Supp_45,14,FALSE),0)+IFERROR(SUMPRODUCT(VLOOKUP($A285,S275_01,{26,27,28},FALSE)),0)+IFERROR(SUMPRODUCT(VLOOKUP($A285,S275_97,{26,27,28},FALSE)),0)+IFERROR(ROUND(VLOOKUP($A285,S275_21,26,FALSE)*VLOOKUP($A285,'3121% SY'!$C$3:$M$324,11,FALSE),3),0)+IFERROR(ROUND(VLOOKUP($A285,S275_21,27,FALSE)*VLOOKUP($A285,'3121% SY'!$C$3:$M$324,11,FALSE),3),0)+IFERROR(ROUND(VLOOKUP($A285,S275_21,28,FALSE)*VLOOKUP($A285,'3121% SY'!$C$3:$M$324,11,FALSE),3),0)+IFERROR(VLOOKUP($A285,S275_09,10,FALSE),0)</f>
        <v>1.847</v>
      </c>
      <c r="X285" s="267">
        <f>IFERROR(VLOOKUP($A285,Supp_46,14,FALSE),0)+IFERROR(SUMPRODUCT(VLOOKUP($A285,S275_01,{29,30,31},FALSE)),0)+IFERROR(SUMPRODUCT(VLOOKUP($A285,S275_97,{29,30,31},FALSE)),0)+IFERROR(ROUND(VLOOKUP($A285,S275_21,29,FALSE)*VLOOKUP($A285,'3121% SY'!$C$3:$M$324,11,FALSE),3),0)+IFERROR(ROUND(VLOOKUP($A285,S275_21,30,FALSE)*VLOOKUP($A285,'3121% SY'!$C$3:$M$324,11,FALSE),3),0)+IFERROR(ROUND(VLOOKUP($A285,S275_21,31,FALSE)*VLOOKUP($A285,'3121% SY'!$C$3:$M$324,11,FALSE),3),0)+IFERROR(VLOOKUP($A285,S275_09,11,FALSE),0)</f>
        <v>2.0409999999999999</v>
      </c>
      <c r="Y285" s="267">
        <f>IFERROR(VLOOKUP($A285,Supp_47,14,FALSE),0)+IFERROR(SUMPRODUCT(VLOOKUP($A285,S275_01,{32,33,34},FALSE)),0)+IFERROR(SUMPRODUCT(VLOOKUP($A285,S275_97,{32,33,34},FALSE)),0)+IFERROR(ROUND(VLOOKUP($A285,S275_21,32,FALSE)*VLOOKUP($A285,'3121% SY'!$C$3:$M$324,11,FALSE),3),0)+IFERROR(ROUND(VLOOKUP($A285,S275_21,33,FALSE)*VLOOKUP($A285,'3121% SY'!$C$3:$M$324,11,FALSE),3),0)+IFERROR(ROUND(VLOOKUP($A285,S275_21,34,FALSE)*VLOOKUP($A285,'3121% SY'!$C$3:$M$324,11,FALSE),3),0)+IFERROR(VLOOKUP($A285,S275_09,12,FALSE),0)</f>
        <v>0.151</v>
      </c>
      <c r="Z285" s="267">
        <f>IFERROR(VLOOKUP($A285,Supp_48,14,FALSE),0)+IFERROR(SUMPRODUCT(VLOOKUP($A285,S275_01,{35,36,37},FALSE)),0)+IFERROR(SUMPRODUCT(VLOOKUP($A285,S275_97,{35,36,37},FALSE)),0)+IFERROR(ROUND(VLOOKUP($A285,S275_21,35,FALSE)*VLOOKUP($A285,'3121% SY'!$C$3:$M$324,11,FALSE),3),0)+IFERROR(ROUND(VLOOKUP($A285,S275_21,36,FALSE)*VLOOKUP($A285,'3121% SY'!$C$3:$M$324,11,FALSE),3),0)+IFERROR(ROUND(VLOOKUP($A285,S275_21,37,FALSE)*VLOOKUP($A285,'3121% SY'!$C$3:$M$324,11,FALSE),3),0)+IFERROR(VLOOKUP($A285,S275_09,13,FALSE),0)</f>
        <v>1.071</v>
      </c>
      <c r="AA285" s="267">
        <f>IFERROR(VLOOKUP($A285,Supp_49,14,FALSE),0)+IFERROR(SUMPRODUCT(VLOOKUP($A285,S275_01,{38,39,40},FALSE)),0)+IFERROR(SUMPRODUCT(VLOOKUP($A285,S275_97,{38,39,40},FALSE)),0)+IFERROR(ROUND(VLOOKUP($A285,S275_21,38,FALSE)*VLOOKUP($A285,'3121% SY'!$C$3:$M$324,11,FALSE),3),0)+IFERROR(ROUND(VLOOKUP($A285,S275_21,39,FALSE)*VLOOKUP($A285,'3121% SY'!$C$3:$M$324,11,FALSE),3),0)+IFERROR(ROUND(VLOOKUP($A285,S275_21,40,FALSE)*VLOOKUP($A285,'3121% SY'!$C$3:$M$324,11,FALSE),3),0)+IFERROR(VLOOKUP($A285,S275_09,14,FALSE),0)</f>
        <v>7.9000000000000001E-2</v>
      </c>
      <c r="AB285" s="267">
        <f>IFERROR(VLOOKUP($A285,Supp_64,14,FALSE),0)+IFERROR(SUMPRODUCT(VLOOKUP($A285,S275_01,{41,42,43},FALSE)),0)+IFERROR(SUMPRODUCT(VLOOKUP($A285,S275_97,{41,42,43},FALSE)),0)+IFERROR(ROUND(VLOOKUP($A285,S275_21,41,FALSE)*VLOOKUP($A285,'3121% SY'!$C$3:$M$324,11,FALSE),3),0)+IFERROR(ROUND(VLOOKUP($A285,S275_21,42,FALSE)*VLOOKUP($A285,'3121% SY'!$C$3:$M$324,11,FALSE),3),0)+IFERROR(ROUND(VLOOKUP($A285,S275_21,43,FALSE)*VLOOKUP($A285,'3121% SY'!$C$3:$M$324,11,FALSE),3),0)+IFERROR(VLOOKUP($A285,S275_09,15,FALSE),0)</f>
        <v>0</v>
      </c>
      <c r="AC285" s="268">
        <f t="shared" si="57"/>
        <v>16.64</v>
      </c>
      <c r="AD285" s="267">
        <f>IFERROR(VLOOKUP($A285,Supp_24,14,FALSE),0)+IFERROR(SUMPRODUCT(VLOOKUP($A285,S275_01,{2,3,4},FALSE)),0)+IFERROR(SUMPRODUCT(VLOOKUP($A285,S275_97,{2,3,4},FALSE)),0)+IFERROR(ROUND(VLOOKUP($A285,S275_21,2,FALSE)*VLOOKUP($A285,'3121% SY'!$C$3:$M$324,11,FALSE),3),0)+IFERROR(ROUND(VLOOKUP($A285,S275_21,3,FALSE)*VLOOKUP($A285,'3121% SY'!$C$3:$M$324,11,FALSE),3),0)+IFERROR(ROUND(VLOOKUP($A285,S275_21,4,FALSE)*VLOOKUP($A285,'3121% SY'!$C$3:$M$324,11,FALSE),3),0)+IFERROR(VLOOKUP($A285,S275_09,2,FALSE),0)</f>
        <v>0.69199999999999995</v>
      </c>
      <c r="AE285" s="267">
        <f>IFERROR(VLOOKUP($A285,Supp_25,14,FALSE),0)+IFERROR(SUMPRODUCT(VLOOKUP($A285,S275_01,{5,6,7},FALSE)),0)+IFERROR(SUMPRODUCT(VLOOKUP($A285,S275_97,{5,6,7},FALSE)),0)+IFERROR(ROUND(VLOOKUP($A285,S275_21,5,FALSE)*VLOOKUP($A285,'3121% SY'!$C$3:$M$324,11,FALSE),3),0)+IFERROR(ROUND(VLOOKUP($A285,S275_21,6,FALSE)*VLOOKUP($A285,'3121% SY'!$C$3:$M$324,11,FALSE),3),0)+IFERROR(ROUND(VLOOKUP($A285,S275_21,7,FALSE)*VLOOKUP($A285,'3121% SY'!$C$3:$M$324,11,FALSE),3),0)+IFERROR(VLOOKUP($A285,S275_09,3,FALSE),0)</f>
        <v>10.250000000000002</v>
      </c>
      <c r="AF285" s="267">
        <f>IFERROR(VLOOKUP($A285,Supp_26,14,FALSE),0)+IFERROR(SUMPRODUCT(VLOOKUP($A285,S275_01,{8,9,10},FALSE)),0)+IFERROR(SUMPRODUCT(VLOOKUP($A285,S275_97,{8,9,10},FALSE)),0)+IFERROR(ROUND(VLOOKUP($A285,S275_21,8,FALSE)*VLOOKUP($A285,'3121% SY'!$C$3:$M$324,11,FALSE),3),0)+IFERROR(ROUND(VLOOKUP($A285,S275_21,9,FALSE)*VLOOKUP($A285,'3121% SY'!$C$3:$M$324,11,FALSE),3),0)+IFERROR(ROUND(VLOOKUP($A285,S275_21,10,FALSE)*VLOOKUP($A285,'3121% SY'!$C$3:$M$324,11,FALSE),3),0)+IFERROR(VLOOKUP($A285,S275_09,4,FALSE),0)</f>
        <v>6.6909999999999998</v>
      </c>
      <c r="AG285" s="267">
        <f>IFERROR(VLOOKUP($A285,Supp_35,14,FALSE),0)+IFERROR(SUMPRODUCT(VLOOKUP($A285,S275_01,{11,12,13},FALSE)),0)+IFERROR(SUMPRODUCT(VLOOKUP($A285,S275_97,{11,12,13},FALSE)),0)+IFERROR(ROUND(VLOOKUP($A285,S275_21,11,FALSE)*VLOOKUP($A285,'3121% SY'!$C$3:$M$324,11,FALSE),3),0)+IFERROR(ROUND(VLOOKUP($A285,S275_21,12,FALSE)*VLOOKUP($A285,'3121% SY'!$C$3:$M$324,11,FALSE),3),0)+IFERROR(ROUND(VLOOKUP($A285,S275_21,13,FALSE)*VLOOKUP($A285,'3121% SY'!$C$3:$M$324,11,FALSE),3),0)+IFERROR(VLOOKUP($A285,S275_09,5,FALSE),0)</f>
        <v>0</v>
      </c>
      <c r="AH285" s="165">
        <f t="shared" si="58"/>
        <v>17.633000000000003</v>
      </c>
      <c r="AI285" s="161">
        <f>IFERROR(VLOOKUP(A285,'Supp Staff Data'!A:ER,148,FALSE),0)+AB285</f>
        <v>0</v>
      </c>
      <c r="AJ285" s="174">
        <v>1</v>
      </c>
      <c r="AK285" s="25">
        <f>VLOOKUP(A285,'Enroll Data as of January 2025'!$A$3:$T$323,20,FALSE)-F285</f>
        <v>0</v>
      </c>
    </row>
    <row r="286" spans="1:37" x14ac:dyDescent="0.25">
      <c r="A286" s="171" t="s">
        <v>252</v>
      </c>
      <c r="B286" t="s">
        <v>548</v>
      </c>
      <c r="C286" s="173" t="s">
        <v>1077</v>
      </c>
      <c r="D286" s="259">
        <f t="shared" si="50"/>
        <v>29.268000000000004</v>
      </c>
      <c r="E286" s="259">
        <f t="shared" si="51"/>
        <v>31.557000000000002</v>
      </c>
      <c r="F286" s="262">
        <f t="shared" si="52"/>
        <v>2.2890000000000001</v>
      </c>
      <c r="G286" s="161">
        <f>ROUND(IF(F286&lt;0,F286*'2024-25 PSES Compliance'!$G$13,0),3)</f>
        <v>0</v>
      </c>
      <c r="H286" s="161">
        <f>ROUND(IF(F286&lt;0,F286*'2024-25 PSES Compliance'!$G$14,0),3)</f>
        <v>0</v>
      </c>
      <c r="I286" s="174">
        <f t="shared" si="53"/>
        <v>0.54135602243559267</v>
      </c>
      <c r="J286" s="174">
        <f t="shared" si="54"/>
        <v>0</v>
      </c>
      <c r="K286" s="161">
        <f>VLOOKUP($A286,'Enroll Data as of January 2025'!$A$3:$M$322,6,FALSE)</f>
        <v>16.393000000000001</v>
      </c>
      <c r="L286" s="161">
        <f>VLOOKUP($A286,'Enroll Data as of January 2025'!$A$3:$M$322,7,FALSE)</f>
        <v>2.7250000000000001</v>
      </c>
      <c r="M286" s="161">
        <f>VLOOKUP($A286,'Enroll Data as of January 2025'!$A$3:$M$322,8,FALSE)</f>
        <v>0.91300000000000003</v>
      </c>
      <c r="N286" s="161">
        <f>VLOOKUP($A286,'Enroll Data as of January 2025'!$A$3:$M$322,9,FALSE)</f>
        <v>7.5920000000000005</v>
      </c>
      <c r="O286" s="165">
        <f t="shared" si="55"/>
        <v>27.623000000000005</v>
      </c>
      <c r="P286" s="161">
        <f>VLOOKUP($A286,'Enroll Data as of January 2025'!$A$3:$M$322,11,FALSE)</f>
        <v>1.03</v>
      </c>
      <c r="Q286" s="161">
        <f>VLOOKUP($A286,'Enroll Data as of January 2025'!$A$3:$M$322,12,FALSE)</f>
        <v>0.61499999999999999</v>
      </c>
      <c r="R286" s="165">
        <f t="shared" si="56"/>
        <v>1.645</v>
      </c>
      <c r="S286" s="267">
        <f>IFERROR(VLOOKUP($A286,Supp_39,14,FALSE),0)+IFERROR(SUMPRODUCT(VLOOKUP($A286,S275_01,{14,15,16},FALSE)),0)+IFERROR(SUMPRODUCT(VLOOKUP($A286,S275_97,{14,15,16},FALSE)),0)+IFERROR(ROUND(VLOOKUP($A286,S275_21,14,FALSE)*VLOOKUP($A286,'3121% SY'!$C$3:$M$324,11,FALSE),3),0)+IFERROR(ROUND(VLOOKUP($A286,S275_21,15,FALSE)*VLOOKUP($A286,'3121% SY'!$C$3:$M$324,11,FALSE),3),0)+IFERROR(ROUND(VLOOKUP($A286,S275_21,16,FALSE)*VLOOKUP($A286,'3121% SY'!$C$3:$M$324,11,FALSE),3),0)+IFERROR(VLOOKUP($A286,S275_09,6,FALSE),0)</f>
        <v>7.29</v>
      </c>
      <c r="T286" s="267">
        <f>IFERROR(VLOOKUP($A286,Supp_42,14,FALSE),0)+IFERROR(SUMPRODUCT(VLOOKUP($A286,S275_01,{17,18,19},FALSE)),0)+IFERROR(SUMPRODUCT(VLOOKUP($A286,S275_97,{17,18,19},FALSE)),0)+IFERROR(ROUND(VLOOKUP($A286,S275_21,17,FALSE)*VLOOKUP($A286,'3121% SY'!$C$3:$M$324,11,FALSE),3),0)+IFERROR(ROUND(VLOOKUP($A286,S275_21,18,FALSE)*VLOOKUP($A286,'3121% SY'!$C$3:$M$324,11,FALSE),3),0)+IFERROR(ROUND(VLOOKUP($A286,S275_21,19,FALSE)*VLOOKUP($A286,'3121% SY'!$C$3:$M$324,11,FALSE),3),0)+IFERROR(VLOOKUP($A286,S275_09,7,FALSE),0)</f>
        <v>3</v>
      </c>
      <c r="U286" s="267">
        <f>IFERROR(VLOOKUP($A286,Supp_43,14,FALSE),0)+IFERROR(SUMPRODUCT(VLOOKUP($A286,S275_01,{20,21,22},FALSE)),0)+IFERROR(SUMPRODUCT(VLOOKUP($A286,S275_97,{20,21,22},FALSE)),0)+IFERROR(ROUND(VLOOKUP($A286,S275_21,20,FALSE)*VLOOKUP($A286,'3121% SY'!$C$3:$M$324,11,FALSE),3),0)+IFERROR(ROUND(VLOOKUP($A286,S275_21,21,FALSE)*VLOOKUP($A286,'3121% SY'!$C$3:$M$324,11,FALSE),3),0)+IFERROR(ROUND(VLOOKUP($A286,S275_21,22,FALSE)*VLOOKUP($A286,'3121% SY'!$C$3:$M$324,11,FALSE),3),0)+IFERROR(VLOOKUP($A286,S275_09,8,FALSE),0)</f>
        <v>0.22</v>
      </c>
      <c r="V286" s="267">
        <f>IFERROR(VLOOKUP($A286,Supp_44,14,FALSE),0)+IFERROR(SUMPRODUCT(VLOOKUP($A286,S275_01,{23,24,25},FALSE)),0)+IFERROR(SUMPRODUCT(VLOOKUP($A286,S275_97,{23,24,25},FALSE)),0)+IFERROR(ROUND(VLOOKUP($A286,S275_21,23,FALSE)*VLOOKUP($A286,'3121% SY'!$C$3:$M$324,11,FALSE),3),0)+IFERROR(ROUND(VLOOKUP($A286,S275_21,24,FALSE)*VLOOKUP($A286,'3121% SY'!$C$3:$M$324,11,FALSE),3),0)+IFERROR(ROUND(VLOOKUP($A286,S275_21,25,FALSE)*VLOOKUP($A286,'3121% SY'!$C$3:$M$324,11,FALSE),3),0)+IFERROR(VLOOKUP($A286,S275_09,9,FALSE),0)</f>
        <v>0</v>
      </c>
      <c r="W286" s="267">
        <f>IFERROR(VLOOKUP($A286,Supp_45,14,FALSE),0)+IFERROR(SUMPRODUCT(VLOOKUP($A286,S275_01,{26,27,28},FALSE)),0)+IFERROR(SUMPRODUCT(VLOOKUP($A286,S275_97,{26,27,28},FALSE)),0)+IFERROR(ROUND(VLOOKUP($A286,S275_21,26,FALSE)*VLOOKUP($A286,'3121% SY'!$C$3:$M$324,11,FALSE),3),0)+IFERROR(ROUND(VLOOKUP($A286,S275_21,27,FALSE)*VLOOKUP($A286,'3121% SY'!$C$3:$M$324,11,FALSE),3),0)+IFERROR(ROUND(VLOOKUP($A286,S275_21,28,FALSE)*VLOOKUP($A286,'3121% SY'!$C$3:$M$324,11,FALSE),3),0)+IFERROR(VLOOKUP($A286,S275_09,10,FALSE),0)</f>
        <v>0.74299999999999999</v>
      </c>
      <c r="X286" s="267">
        <f>IFERROR(VLOOKUP($A286,Supp_46,14,FALSE),0)+IFERROR(SUMPRODUCT(VLOOKUP($A286,S275_01,{29,30,31},FALSE)),0)+IFERROR(SUMPRODUCT(VLOOKUP($A286,S275_97,{29,30,31},FALSE)),0)+IFERROR(ROUND(VLOOKUP($A286,S275_21,29,FALSE)*VLOOKUP($A286,'3121% SY'!$C$3:$M$324,11,FALSE),3),0)+IFERROR(ROUND(VLOOKUP($A286,S275_21,30,FALSE)*VLOOKUP($A286,'3121% SY'!$C$3:$M$324,11,FALSE),3),0)+IFERROR(ROUND(VLOOKUP($A286,S275_21,31,FALSE)*VLOOKUP($A286,'3121% SY'!$C$3:$M$324,11,FALSE),3),0)+IFERROR(VLOOKUP($A286,S275_09,11,FALSE),0)</f>
        <v>5.149</v>
      </c>
      <c r="Y286" s="267">
        <f>IFERROR(VLOOKUP($A286,Supp_47,14,FALSE),0)+IFERROR(SUMPRODUCT(VLOOKUP($A286,S275_01,{32,33,34},FALSE)),0)+IFERROR(SUMPRODUCT(VLOOKUP($A286,S275_97,{32,33,34},FALSE)),0)+IFERROR(ROUND(VLOOKUP($A286,S275_21,32,FALSE)*VLOOKUP($A286,'3121% SY'!$C$3:$M$324,11,FALSE),3),0)+IFERROR(ROUND(VLOOKUP($A286,S275_21,33,FALSE)*VLOOKUP($A286,'3121% SY'!$C$3:$M$324,11,FALSE),3),0)+IFERROR(ROUND(VLOOKUP($A286,S275_21,34,FALSE)*VLOOKUP($A286,'3121% SY'!$C$3:$M$324,11,FALSE),3),0)+IFERROR(VLOOKUP($A286,S275_09,12,FALSE),0)</f>
        <v>0.55400000000000005</v>
      </c>
      <c r="Z286" s="267">
        <f>IFERROR(VLOOKUP($A286,Supp_48,14,FALSE),0)+IFERROR(SUMPRODUCT(VLOOKUP($A286,S275_01,{35,36,37},FALSE)),0)+IFERROR(SUMPRODUCT(VLOOKUP($A286,S275_97,{35,36,37},FALSE)),0)+IFERROR(ROUND(VLOOKUP($A286,S275_21,35,FALSE)*VLOOKUP($A286,'3121% SY'!$C$3:$M$324,11,FALSE),3),0)+IFERROR(ROUND(VLOOKUP($A286,S275_21,36,FALSE)*VLOOKUP($A286,'3121% SY'!$C$3:$M$324,11,FALSE),3),0)+IFERROR(ROUND(VLOOKUP($A286,S275_21,37,FALSE)*VLOOKUP($A286,'3121% SY'!$C$3:$M$324,11,FALSE),3),0)+IFERROR(VLOOKUP($A286,S275_09,13,FALSE),0)</f>
        <v>0.248</v>
      </c>
      <c r="AA286" s="267">
        <f>IFERROR(VLOOKUP($A286,Supp_49,14,FALSE),0)+IFERROR(SUMPRODUCT(VLOOKUP($A286,S275_01,{38,39,40},FALSE)),0)+IFERROR(SUMPRODUCT(VLOOKUP($A286,S275_97,{38,39,40},FALSE)),0)+IFERROR(ROUND(VLOOKUP($A286,S275_21,38,FALSE)*VLOOKUP($A286,'3121% SY'!$C$3:$M$324,11,FALSE),3),0)+IFERROR(ROUND(VLOOKUP($A286,S275_21,39,FALSE)*VLOOKUP($A286,'3121% SY'!$C$3:$M$324,11,FALSE),3),0)+IFERROR(ROUND(VLOOKUP($A286,S275_21,40,FALSE)*VLOOKUP($A286,'3121% SY'!$C$3:$M$324,11,FALSE),3),0)+IFERROR(VLOOKUP($A286,S275_09,14,FALSE),0)</f>
        <v>0</v>
      </c>
      <c r="AB286" s="267">
        <f>IFERROR(VLOOKUP($A286,Supp_64,14,FALSE),0)+IFERROR(SUMPRODUCT(VLOOKUP($A286,S275_01,{41,42,43},FALSE)),0)+IFERROR(SUMPRODUCT(VLOOKUP($A286,S275_97,{41,42,43},FALSE)),0)+IFERROR(ROUND(VLOOKUP($A286,S275_21,41,FALSE)*VLOOKUP($A286,'3121% SY'!$C$3:$M$324,11,FALSE),3),0)+IFERROR(ROUND(VLOOKUP($A286,S275_21,42,FALSE)*VLOOKUP($A286,'3121% SY'!$C$3:$M$324,11,FALSE),3),0)+IFERROR(ROUND(VLOOKUP($A286,S275_21,43,FALSE)*VLOOKUP($A286,'3121% SY'!$C$3:$M$324,11,FALSE),3),0)+IFERROR(VLOOKUP($A286,S275_09,15,FALSE),0)</f>
        <v>0</v>
      </c>
      <c r="AC286" s="268">
        <f t="shared" si="57"/>
        <v>17.204000000000001</v>
      </c>
      <c r="AD286" s="267">
        <f>IFERROR(VLOOKUP($A286,Supp_24,14,FALSE),0)+IFERROR(SUMPRODUCT(VLOOKUP($A286,S275_01,{2,3,4},FALSE)),0)+IFERROR(SUMPRODUCT(VLOOKUP($A286,S275_97,{2,3,4},FALSE)),0)+IFERROR(ROUND(VLOOKUP($A286,S275_21,2,FALSE)*VLOOKUP($A286,'3121% SY'!$C$3:$M$324,11,FALSE),3),0)+IFERROR(ROUND(VLOOKUP($A286,S275_21,3,FALSE)*VLOOKUP($A286,'3121% SY'!$C$3:$M$324,11,FALSE),3),0)+IFERROR(ROUND(VLOOKUP($A286,S275_21,4,FALSE)*VLOOKUP($A286,'3121% SY'!$C$3:$M$324,11,FALSE),3),0)+IFERROR(VLOOKUP($A286,S275_09,2,FALSE),0)</f>
        <v>0.11</v>
      </c>
      <c r="AE286" s="267">
        <f>IFERROR(VLOOKUP($A286,Supp_25,14,FALSE),0)+IFERROR(SUMPRODUCT(VLOOKUP($A286,S275_01,{5,6,7},FALSE)),0)+IFERROR(SUMPRODUCT(VLOOKUP($A286,S275_97,{5,6,7},FALSE)),0)+IFERROR(ROUND(VLOOKUP($A286,S275_21,5,FALSE)*VLOOKUP($A286,'3121% SY'!$C$3:$M$324,11,FALSE),3),0)+IFERROR(ROUND(VLOOKUP($A286,S275_21,6,FALSE)*VLOOKUP($A286,'3121% SY'!$C$3:$M$324,11,FALSE),3),0)+IFERROR(ROUND(VLOOKUP($A286,S275_21,7,FALSE)*VLOOKUP($A286,'3121% SY'!$C$3:$M$324,11,FALSE),3),0)+IFERROR(VLOOKUP($A286,S275_09,3,FALSE),0)</f>
        <v>7.0549999999999997</v>
      </c>
      <c r="AF286" s="267">
        <f>IFERROR(VLOOKUP($A286,Supp_26,14,FALSE),0)+IFERROR(SUMPRODUCT(VLOOKUP($A286,S275_01,{8,9,10},FALSE)),0)+IFERROR(SUMPRODUCT(VLOOKUP($A286,S275_97,{8,9,10},FALSE)),0)+IFERROR(ROUND(VLOOKUP($A286,S275_21,8,FALSE)*VLOOKUP($A286,'3121% SY'!$C$3:$M$324,11,FALSE),3),0)+IFERROR(ROUND(VLOOKUP($A286,S275_21,9,FALSE)*VLOOKUP($A286,'3121% SY'!$C$3:$M$324,11,FALSE),3),0)+IFERROR(ROUND(VLOOKUP($A286,S275_21,10,FALSE)*VLOOKUP($A286,'3121% SY'!$C$3:$M$324,11,FALSE),3),0)+IFERROR(VLOOKUP($A286,S275_09,4,FALSE),0)</f>
        <v>4.9950000000000001</v>
      </c>
      <c r="AG286" s="267">
        <f>IFERROR(VLOOKUP($A286,Supp_35,14,FALSE),0)+IFERROR(SUMPRODUCT(VLOOKUP($A286,S275_01,{11,12,13},FALSE)),0)+IFERROR(SUMPRODUCT(VLOOKUP($A286,S275_97,{11,12,13},FALSE)),0)+IFERROR(ROUND(VLOOKUP($A286,S275_21,11,FALSE)*VLOOKUP($A286,'3121% SY'!$C$3:$M$324,11,FALSE),3),0)+IFERROR(ROUND(VLOOKUP($A286,S275_21,12,FALSE)*VLOOKUP($A286,'3121% SY'!$C$3:$M$324,11,FALSE),3),0)+IFERROR(ROUND(VLOOKUP($A286,S275_21,13,FALSE)*VLOOKUP($A286,'3121% SY'!$C$3:$M$324,11,FALSE),3),0)+IFERROR(VLOOKUP($A286,S275_09,5,FALSE),0)</f>
        <v>2.1930000000000001</v>
      </c>
      <c r="AH286" s="165">
        <f t="shared" si="58"/>
        <v>14.353</v>
      </c>
      <c r="AI286" s="161">
        <f>IFERROR(VLOOKUP(A286,'Supp Staff Data'!A:ER,148,FALSE),0)+AB286</f>
        <v>0</v>
      </c>
      <c r="AJ286" s="174">
        <v>0.99299999999999999</v>
      </c>
      <c r="AK286" s="25">
        <f>VLOOKUP(A286,'Enroll Data as of January 2025'!$A$3:$T$323,20,FALSE)-F286</f>
        <v>0</v>
      </c>
    </row>
    <row r="287" spans="1:37" x14ac:dyDescent="0.25">
      <c r="A287" s="171" t="s">
        <v>161</v>
      </c>
      <c r="B287" t="s">
        <v>457</v>
      </c>
      <c r="C287" s="173" t="s">
        <v>1077</v>
      </c>
      <c r="D287" s="259">
        <f t="shared" si="50"/>
        <v>18.890999999999998</v>
      </c>
      <c r="E287" s="259">
        <f t="shared" si="51"/>
        <v>28.875</v>
      </c>
      <c r="F287" s="262">
        <f t="shared" si="52"/>
        <v>9.984</v>
      </c>
      <c r="G287" s="161">
        <f>ROUND(IF(F287&lt;0,F287*'2024-25 PSES Compliance'!$G$13,0),3)</f>
        <v>0</v>
      </c>
      <c r="H287" s="161">
        <f>ROUND(IF(F287&lt;0,F287*'2024-25 PSES Compliance'!$G$14,0),3)</f>
        <v>0</v>
      </c>
      <c r="I287" s="174">
        <f t="shared" si="53"/>
        <v>0.58587012987012987</v>
      </c>
      <c r="J287" s="174">
        <f t="shared" si="54"/>
        <v>0</v>
      </c>
      <c r="K287" s="161">
        <f>VLOOKUP($A287,'Enroll Data as of January 2025'!$A$3:$M$322,6,FALSE)</f>
        <v>10.507999999999999</v>
      </c>
      <c r="L287" s="161">
        <f>VLOOKUP($A287,'Enroll Data as of January 2025'!$A$3:$M$322,7,FALSE)</f>
        <v>1.8320000000000001</v>
      </c>
      <c r="M287" s="161">
        <f>VLOOKUP($A287,'Enroll Data as of January 2025'!$A$3:$M$322,8,FALSE)</f>
        <v>0.61699999999999999</v>
      </c>
      <c r="N287" s="161">
        <f>VLOOKUP($A287,'Enroll Data as of January 2025'!$A$3:$M$322,9,FALSE)</f>
        <v>4.8449999999999998</v>
      </c>
      <c r="O287" s="165">
        <f t="shared" si="55"/>
        <v>17.802</v>
      </c>
      <c r="P287" s="161">
        <f>VLOOKUP($A287,'Enroll Data as of January 2025'!$A$3:$M$322,11,FALSE)</f>
        <v>0.66700000000000004</v>
      </c>
      <c r="Q287" s="161">
        <f>VLOOKUP($A287,'Enroll Data as of January 2025'!$A$3:$M$322,12,FALSE)</f>
        <v>0.42199999999999999</v>
      </c>
      <c r="R287" s="165">
        <f t="shared" si="56"/>
        <v>1.089</v>
      </c>
      <c r="S287" s="267">
        <f>IFERROR(VLOOKUP($A287,Supp_39,14,FALSE),0)+IFERROR(SUMPRODUCT(VLOOKUP($A287,S275_01,{14,15,16},FALSE)),0)+IFERROR(SUMPRODUCT(VLOOKUP($A287,S275_97,{14,15,16},FALSE)),0)+IFERROR(ROUND(VLOOKUP($A287,S275_21,14,FALSE)*VLOOKUP($A287,'3121% SY'!$C$3:$M$324,11,FALSE),3),0)+IFERROR(ROUND(VLOOKUP($A287,S275_21,15,FALSE)*VLOOKUP($A287,'3121% SY'!$C$3:$M$324,11,FALSE),3),0)+IFERROR(ROUND(VLOOKUP($A287,S275_21,16,FALSE)*VLOOKUP($A287,'3121% SY'!$C$3:$M$324,11,FALSE),3),0)+IFERROR(VLOOKUP($A287,S275_09,6,FALSE),0)</f>
        <v>9.0500000000000007</v>
      </c>
      <c r="T287" s="267">
        <f>IFERROR(VLOOKUP($A287,Supp_42,14,FALSE),0)+IFERROR(SUMPRODUCT(VLOOKUP($A287,S275_01,{17,18,19},FALSE)),0)+IFERROR(SUMPRODUCT(VLOOKUP($A287,S275_97,{17,18,19},FALSE)),0)+IFERROR(ROUND(VLOOKUP($A287,S275_21,17,FALSE)*VLOOKUP($A287,'3121% SY'!$C$3:$M$324,11,FALSE),3),0)+IFERROR(ROUND(VLOOKUP($A287,S275_21,18,FALSE)*VLOOKUP($A287,'3121% SY'!$C$3:$M$324,11,FALSE),3),0)+IFERROR(ROUND(VLOOKUP($A287,S275_21,19,FALSE)*VLOOKUP($A287,'3121% SY'!$C$3:$M$324,11,FALSE),3),0)+IFERROR(VLOOKUP($A287,S275_09,7,FALSE),0)</f>
        <v>1.6</v>
      </c>
      <c r="U287" s="267">
        <f>IFERROR(VLOOKUP($A287,Supp_43,14,FALSE),0)+IFERROR(SUMPRODUCT(VLOOKUP($A287,S275_01,{20,21,22},FALSE)),0)+IFERROR(SUMPRODUCT(VLOOKUP($A287,S275_97,{20,21,22},FALSE)),0)+IFERROR(ROUND(VLOOKUP($A287,S275_21,20,FALSE)*VLOOKUP($A287,'3121% SY'!$C$3:$M$324,11,FALSE),3),0)+IFERROR(ROUND(VLOOKUP($A287,S275_21,21,FALSE)*VLOOKUP($A287,'3121% SY'!$C$3:$M$324,11,FALSE),3),0)+IFERROR(ROUND(VLOOKUP($A287,S275_21,22,FALSE)*VLOOKUP($A287,'3121% SY'!$C$3:$M$324,11,FALSE),3),0)+IFERROR(VLOOKUP($A287,S275_09,8,FALSE),0)</f>
        <v>1.0960000000000001</v>
      </c>
      <c r="V287" s="267">
        <f>IFERROR(VLOOKUP($A287,Supp_44,14,FALSE),0)+IFERROR(SUMPRODUCT(VLOOKUP($A287,S275_01,{23,24,25},FALSE)),0)+IFERROR(SUMPRODUCT(VLOOKUP($A287,S275_97,{23,24,25},FALSE)),0)+IFERROR(ROUND(VLOOKUP($A287,S275_21,23,FALSE)*VLOOKUP($A287,'3121% SY'!$C$3:$M$324,11,FALSE),3),0)+IFERROR(ROUND(VLOOKUP($A287,S275_21,24,FALSE)*VLOOKUP($A287,'3121% SY'!$C$3:$M$324,11,FALSE),3),0)+IFERROR(ROUND(VLOOKUP($A287,S275_21,25,FALSE)*VLOOKUP($A287,'3121% SY'!$C$3:$M$324,11,FALSE),3),0)+IFERROR(VLOOKUP($A287,S275_09,9,FALSE),0)</f>
        <v>0</v>
      </c>
      <c r="W287" s="267">
        <f>IFERROR(VLOOKUP($A287,Supp_45,14,FALSE),0)+IFERROR(SUMPRODUCT(VLOOKUP($A287,S275_01,{26,27,28},FALSE)),0)+IFERROR(SUMPRODUCT(VLOOKUP($A287,S275_97,{26,27,28},FALSE)),0)+IFERROR(ROUND(VLOOKUP($A287,S275_21,26,FALSE)*VLOOKUP($A287,'3121% SY'!$C$3:$M$324,11,FALSE),3),0)+IFERROR(ROUND(VLOOKUP($A287,S275_21,27,FALSE)*VLOOKUP($A287,'3121% SY'!$C$3:$M$324,11,FALSE),3),0)+IFERROR(ROUND(VLOOKUP($A287,S275_21,28,FALSE)*VLOOKUP($A287,'3121% SY'!$C$3:$M$324,11,FALSE),3),0)+IFERROR(VLOOKUP($A287,S275_09,10,FALSE),0)</f>
        <v>0.64</v>
      </c>
      <c r="X287" s="267">
        <f>IFERROR(VLOOKUP($A287,Supp_46,14,FALSE),0)+IFERROR(SUMPRODUCT(VLOOKUP($A287,S275_01,{29,30,31},FALSE)),0)+IFERROR(SUMPRODUCT(VLOOKUP($A287,S275_97,{29,30,31},FALSE)),0)+IFERROR(ROUND(VLOOKUP($A287,S275_21,29,FALSE)*VLOOKUP($A287,'3121% SY'!$C$3:$M$324,11,FALSE),3),0)+IFERROR(ROUND(VLOOKUP($A287,S275_21,30,FALSE)*VLOOKUP($A287,'3121% SY'!$C$3:$M$324,11,FALSE),3),0)+IFERROR(ROUND(VLOOKUP($A287,S275_21,31,FALSE)*VLOOKUP($A287,'3121% SY'!$C$3:$M$324,11,FALSE),3),0)+IFERROR(VLOOKUP($A287,S275_09,11,FALSE),0)</f>
        <v>3.8959999999999999</v>
      </c>
      <c r="Y287" s="267">
        <f>IFERROR(VLOOKUP($A287,Supp_47,14,FALSE),0)+IFERROR(SUMPRODUCT(VLOOKUP($A287,S275_01,{32,33,34},FALSE)),0)+IFERROR(SUMPRODUCT(VLOOKUP($A287,S275_97,{32,33,34},FALSE)),0)+IFERROR(ROUND(VLOOKUP($A287,S275_21,32,FALSE)*VLOOKUP($A287,'3121% SY'!$C$3:$M$324,11,FALSE),3),0)+IFERROR(ROUND(VLOOKUP($A287,S275_21,33,FALSE)*VLOOKUP($A287,'3121% SY'!$C$3:$M$324,11,FALSE),3),0)+IFERROR(ROUND(VLOOKUP($A287,S275_21,34,FALSE)*VLOOKUP($A287,'3121% SY'!$C$3:$M$324,11,FALSE),3),0)+IFERROR(VLOOKUP($A287,S275_09,12,FALSE),0)</f>
        <v>0.5</v>
      </c>
      <c r="Z287" s="267">
        <f>IFERROR(VLOOKUP($A287,Supp_48,14,FALSE),0)+IFERROR(SUMPRODUCT(VLOOKUP($A287,S275_01,{35,36,37},FALSE)),0)+IFERROR(SUMPRODUCT(VLOOKUP($A287,S275_97,{35,36,37},FALSE)),0)+IFERROR(ROUND(VLOOKUP($A287,S275_21,35,FALSE)*VLOOKUP($A287,'3121% SY'!$C$3:$M$324,11,FALSE),3),0)+IFERROR(ROUND(VLOOKUP($A287,S275_21,36,FALSE)*VLOOKUP($A287,'3121% SY'!$C$3:$M$324,11,FALSE),3),0)+IFERROR(ROUND(VLOOKUP($A287,S275_21,37,FALSE)*VLOOKUP($A287,'3121% SY'!$C$3:$M$324,11,FALSE),3),0)+IFERROR(VLOOKUP($A287,S275_09,13,FALSE),0)</f>
        <v>0.13500000000000001</v>
      </c>
      <c r="AA287" s="267">
        <f>IFERROR(VLOOKUP($A287,Supp_49,14,FALSE),0)+IFERROR(SUMPRODUCT(VLOOKUP($A287,S275_01,{38,39,40},FALSE)),0)+IFERROR(SUMPRODUCT(VLOOKUP($A287,S275_97,{38,39,40},FALSE)),0)+IFERROR(ROUND(VLOOKUP($A287,S275_21,38,FALSE)*VLOOKUP($A287,'3121% SY'!$C$3:$M$324,11,FALSE),3),0)+IFERROR(ROUND(VLOOKUP($A287,S275_21,39,FALSE)*VLOOKUP($A287,'3121% SY'!$C$3:$M$324,11,FALSE),3),0)+IFERROR(ROUND(VLOOKUP($A287,S275_21,40,FALSE)*VLOOKUP($A287,'3121% SY'!$C$3:$M$324,11,FALSE),3),0)+IFERROR(VLOOKUP($A287,S275_09,14,FALSE),0)</f>
        <v>0</v>
      </c>
      <c r="AB287" s="267">
        <f>IFERROR(VLOOKUP($A287,Supp_64,14,FALSE),0)+IFERROR(SUMPRODUCT(VLOOKUP($A287,S275_01,{41,42,43},FALSE)),0)+IFERROR(SUMPRODUCT(VLOOKUP($A287,S275_97,{41,42,43},FALSE)),0)+IFERROR(ROUND(VLOOKUP($A287,S275_21,41,FALSE)*VLOOKUP($A287,'3121% SY'!$C$3:$M$324,11,FALSE),3),0)+IFERROR(ROUND(VLOOKUP($A287,S275_21,42,FALSE)*VLOOKUP($A287,'3121% SY'!$C$3:$M$324,11,FALSE),3),0)+IFERROR(ROUND(VLOOKUP($A287,S275_21,43,FALSE)*VLOOKUP($A287,'3121% SY'!$C$3:$M$324,11,FALSE),3),0)+IFERROR(VLOOKUP($A287,S275_09,15,FALSE),0)</f>
        <v>0</v>
      </c>
      <c r="AC287" s="268">
        <f t="shared" si="57"/>
        <v>16.917000000000002</v>
      </c>
      <c r="AD287" s="267">
        <f>IFERROR(VLOOKUP($A287,Supp_24,14,FALSE),0)+IFERROR(SUMPRODUCT(VLOOKUP($A287,S275_01,{2,3,4},FALSE)),0)+IFERROR(SUMPRODUCT(VLOOKUP($A287,S275_97,{2,3,4},FALSE)),0)+IFERROR(ROUND(VLOOKUP($A287,S275_21,2,FALSE)*VLOOKUP($A287,'3121% SY'!$C$3:$M$324,11,FALSE),3),0)+IFERROR(ROUND(VLOOKUP($A287,S275_21,3,FALSE)*VLOOKUP($A287,'3121% SY'!$C$3:$M$324,11,FALSE),3),0)+IFERROR(ROUND(VLOOKUP($A287,S275_21,4,FALSE)*VLOOKUP($A287,'3121% SY'!$C$3:$M$324,11,FALSE),3),0)+IFERROR(VLOOKUP($A287,S275_09,2,FALSE),0)</f>
        <v>0</v>
      </c>
      <c r="AE287" s="267">
        <f>IFERROR(VLOOKUP($A287,Supp_25,14,FALSE),0)+IFERROR(SUMPRODUCT(VLOOKUP($A287,S275_01,{5,6,7},FALSE)),0)+IFERROR(SUMPRODUCT(VLOOKUP($A287,S275_97,{5,6,7},FALSE)),0)+IFERROR(ROUND(VLOOKUP($A287,S275_21,5,FALSE)*VLOOKUP($A287,'3121% SY'!$C$3:$M$324,11,FALSE),3),0)+IFERROR(ROUND(VLOOKUP($A287,S275_21,6,FALSE)*VLOOKUP($A287,'3121% SY'!$C$3:$M$324,11,FALSE),3),0)+IFERROR(ROUND(VLOOKUP($A287,S275_21,7,FALSE)*VLOOKUP($A287,'3121% SY'!$C$3:$M$324,11,FALSE),3),0)+IFERROR(VLOOKUP($A287,S275_09,3,FALSE),0)</f>
        <v>7.74</v>
      </c>
      <c r="AF287" s="267">
        <f>IFERROR(VLOOKUP($A287,Supp_26,14,FALSE),0)+IFERROR(SUMPRODUCT(VLOOKUP($A287,S275_01,{8,9,10},FALSE)),0)+IFERROR(SUMPRODUCT(VLOOKUP($A287,S275_97,{8,9,10},FALSE)),0)+IFERROR(ROUND(VLOOKUP($A287,S275_21,8,FALSE)*VLOOKUP($A287,'3121% SY'!$C$3:$M$324,11,FALSE),3),0)+IFERROR(ROUND(VLOOKUP($A287,S275_21,9,FALSE)*VLOOKUP($A287,'3121% SY'!$C$3:$M$324,11,FALSE),3),0)+IFERROR(ROUND(VLOOKUP($A287,S275_21,10,FALSE)*VLOOKUP($A287,'3121% SY'!$C$3:$M$324,11,FALSE),3),0)+IFERROR(VLOOKUP($A287,S275_09,4,FALSE),0)</f>
        <v>4.218</v>
      </c>
      <c r="AG287" s="267">
        <f>IFERROR(VLOOKUP($A287,Supp_35,14,FALSE),0)+IFERROR(SUMPRODUCT(VLOOKUP($A287,S275_01,{11,12,13},FALSE)),0)+IFERROR(SUMPRODUCT(VLOOKUP($A287,S275_97,{11,12,13},FALSE)),0)+IFERROR(ROUND(VLOOKUP($A287,S275_21,11,FALSE)*VLOOKUP($A287,'3121% SY'!$C$3:$M$324,11,FALSE),3),0)+IFERROR(ROUND(VLOOKUP($A287,S275_21,12,FALSE)*VLOOKUP($A287,'3121% SY'!$C$3:$M$324,11,FALSE),3),0)+IFERROR(ROUND(VLOOKUP($A287,S275_21,13,FALSE)*VLOOKUP($A287,'3121% SY'!$C$3:$M$324,11,FALSE),3),0)+IFERROR(VLOOKUP($A287,S275_09,5,FALSE),0)</f>
        <v>0</v>
      </c>
      <c r="AH287" s="165">
        <f t="shared" si="58"/>
        <v>11.958</v>
      </c>
      <c r="AI287" s="161">
        <f>IFERROR(VLOOKUP(A287,'Supp Staff Data'!A:ER,148,FALSE),0)+AB287</f>
        <v>0</v>
      </c>
      <c r="AJ287" s="174">
        <v>1</v>
      </c>
      <c r="AK287" s="25">
        <f>VLOOKUP(A287,'Enroll Data as of January 2025'!$A$3:$T$323,20,FALSE)-F287</f>
        <v>0</v>
      </c>
    </row>
    <row r="288" spans="1:37" x14ac:dyDescent="0.25">
      <c r="A288" s="171" t="s">
        <v>14</v>
      </c>
      <c r="B288" t="s">
        <v>311</v>
      </c>
      <c r="C288" s="173" t="s">
        <v>1077</v>
      </c>
      <c r="D288" s="259">
        <f t="shared" si="50"/>
        <v>96.140999999999991</v>
      </c>
      <c r="E288" s="259">
        <f t="shared" si="51"/>
        <v>125.57400000000001</v>
      </c>
      <c r="F288" s="262">
        <f t="shared" si="52"/>
        <v>29.433</v>
      </c>
      <c r="G288" s="161">
        <f>ROUND(IF(F288&lt;0,F288*'2024-25 PSES Compliance'!$G$13,0),3)</f>
        <v>0</v>
      </c>
      <c r="H288" s="161">
        <f>ROUND(IF(F288&lt;0,F288*'2024-25 PSES Compliance'!$G$14,0),3)</f>
        <v>0</v>
      </c>
      <c r="I288" s="174">
        <f t="shared" si="53"/>
        <v>0</v>
      </c>
      <c r="J288" s="174">
        <f t="shared" si="54"/>
        <v>0</v>
      </c>
      <c r="K288" s="161">
        <f>VLOOKUP($A288,'Enroll Data as of January 2025'!$A$3:$M$322,6,FALSE)</f>
        <v>54.552999999999997</v>
      </c>
      <c r="L288" s="161">
        <f>VLOOKUP($A288,'Enroll Data as of January 2025'!$A$3:$M$322,7,FALSE)</f>
        <v>8.6449999999999996</v>
      </c>
      <c r="M288" s="161">
        <f>VLOOKUP($A288,'Enroll Data as of January 2025'!$A$3:$M$322,8,FALSE)</f>
        <v>2.903</v>
      </c>
      <c r="N288" s="161">
        <f>VLOOKUP($A288,'Enroll Data as of January 2025'!$A$3:$M$322,9,FALSE)</f>
        <v>24.749000000000002</v>
      </c>
      <c r="O288" s="165">
        <f t="shared" si="55"/>
        <v>90.85</v>
      </c>
      <c r="P288" s="161">
        <f>VLOOKUP($A288,'Enroll Data as of January 2025'!$A$3:$M$322,11,FALSE)</f>
        <v>3.3730000000000002</v>
      </c>
      <c r="Q288" s="161">
        <f>VLOOKUP($A288,'Enroll Data as of January 2025'!$A$3:$M$322,12,FALSE)</f>
        <v>1.9179999999999999</v>
      </c>
      <c r="R288" s="165">
        <f t="shared" si="56"/>
        <v>5.2910000000000004</v>
      </c>
      <c r="S288" s="267">
        <f>IFERROR(VLOOKUP($A288,Supp_39,14,FALSE),0)+IFERROR(SUMPRODUCT(VLOOKUP($A288,S275_01,{14,15,16},FALSE)),0)+IFERROR(SUMPRODUCT(VLOOKUP($A288,S275_97,{14,15,16},FALSE)),0)+IFERROR(ROUND(VLOOKUP($A288,S275_21,14,FALSE)*VLOOKUP($A288,'3121% SY'!$C$3:$M$324,11,FALSE),3),0)+IFERROR(ROUND(VLOOKUP($A288,S275_21,15,FALSE)*VLOOKUP($A288,'3121% SY'!$C$3:$M$324,11,FALSE),3),0)+IFERROR(ROUND(VLOOKUP($A288,S275_21,16,FALSE)*VLOOKUP($A288,'3121% SY'!$C$3:$M$324,11,FALSE),3),0)+IFERROR(VLOOKUP($A288,S275_09,6,FALSE),0)</f>
        <v>32.094000000000001</v>
      </c>
      <c r="T288" s="267">
        <f>IFERROR(VLOOKUP($A288,Supp_42,14,FALSE),0)+IFERROR(SUMPRODUCT(VLOOKUP($A288,S275_01,{17,18,19},FALSE)),0)+IFERROR(SUMPRODUCT(VLOOKUP($A288,S275_97,{17,18,19},FALSE)),0)+IFERROR(ROUND(VLOOKUP($A288,S275_21,17,FALSE)*VLOOKUP($A288,'3121% SY'!$C$3:$M$324,11,FALSE),3),0)+IFERROR(ROUND(VLOOKUP($A288,S275_21,18,FALSE)*VLOOKUP($A288,'3121% SY'!$C$3:$M$324,11,FALSE),3),0)+IFERROR(ROUND(VLOOKUP($A288,S275_21,19,FALSE)*VLOOKUP($A288,'3121% SY'!$C$3:$M$324,11,FALSE),3),0)+IFERROR(VLOOKUP($A288,S275_09,7,FALSE),0)</f>
        <v>6.8</v>
      </c>
      <c r="U288" s="267">
        <f>IFERROR(VLOOKUP($A288,Supp_43,14,FALSE),0)+IFERROR(SUMPRODUCT(VLOOKUP($A288,S275_01,{20,21,22},FALSE)),0)+IFERROR(SUMPRODUCT(VLOOKUP($A288,S275_97,{20,21,22},FALSE)),0)+IFERROR(ROUND(VLOOKUP($A288,S275_21,20,FALSE)*VLOOKUP($A288,'3121% SY'!$C$3:$M$324,11,FALSE),3),0)+IFERROR(ROUND(VLOOKUP($A288,S275_21,21,FALSE)*VLOOKUP($A288,'3121% SY'!$C$3:$M$324,11,FALSE),3),0)+IFERROR(ROUND(VLOOKUP($A288,S275_21,22,FALSE)*VLOOKUP($A288,'3121% SY'!$C$3:$M$324,11,FALSE),3),0)+IFERROR(VLOOKUP($A288,S275_09,8,FALSE),0)</f>
        <v>0.93799999999999994</v>
      </c>
      <c r="V288" s="267">
        <f>IFERROR(VLOOKUP($A288,Supp_44,14,FALSE),0)+IFERROR(SUMPRODUCT(VLOOKUP($A288,S275_01,{23,24,25},FALSE)),0)+IFERROR(SUMPRODUCT(VLOOKUP($A288,S275_97,{23,24,25},FALSE)),0)+IFERROR(ROUND(VLOOKUP($A288,S275_21,23,FALSE)*VLOOKUP($A288,'3121% SY'!$C$3:$M$324,11,FALSE),3),0)+IFERROR(ROUND(VLOOKUP($A288,S275_21,24,FALSE)*VLOOKUP($A288,'3121% SY'!$C$3:$M$324,11,FALSE),3),0)+IFERROR(ROUND(VLOOKUP($A288,S275_21,25,FALSE)*VLOOKUP($A288,'3121% SY'!$C$3:$M$324,11,FALSE),3),0)+IFERROR(VLOOKUP($A288,S275_09,9,FALSE),0)</f>
        <v>0</v>
      </c>
      <c r="W288" s="267">
        <f>IFERROR(VLOOKUP($A288,Supp_45,14,FALSE),0)+IFERROR(SUMPRODUCT(VLOOKUP($A288,S275_01,{26,27,28},FALSE)),0)+IFERROR(SUMPRODUCT(VLOOKUP($A288,S275_97,{26,27,28},FALSE)),0)+IFERROR(ROUND(VLOOKUP($A288,S275_21,26,FALSE)*VLOOKUP($A288,'3121% SY'!$C$3:$M$324,11,FALSE),3),0)+IFERROR(ROUND(VLOOKUP($A288,S275_21,27,FALSE)*VLOOKUP($A288,'3121% SY'!$C$3:$M$324,11,FALSE),3),0)+IFERROR(ROUND(VLOOKUP($A288,S275_21,28,FALSE)*VLOOKUP($A288,'3121% SY'!$C$3:$M$324,11,FALSE),3),0)+IFERROR(VLOOKUP($A288,S275_09,10,FALSE),0)</f>
        <v>5.9270000000000005</v>
      </c>
      <c r="X288" s="267">
        <f>IFERROR(VLOOKUP($A288,Supp_46,14,FALSE),0)+IFERROR(SUMPRODUCT(VLOOKUP($A288,S275_01,{29,30,31},FALSE)),0)+IFERROR(SUMPRODUCT(VLOOKUP($A288,S275_97,{29,30,31},FALSE)),0)+IFERROR(ROUND(VLOOKUP($A288,S275_21,29,FALSE)*VLOOKUP($A288,'3121% SY'!$C$3:$M$324,11,FALSE),3),0)+IFERROR(ROUND(VLOOKUP($A288,S275_21,30,FALSE)*VLOOKUP($A288,'3121% SY'!$C$3:$M$324,11,FALSE),3),0)+IFERROR(ROUND(VLOOKUP($A288,S275_21,31,FALSE)*VLOOKUP($A288,'3121% SY'!$C$3:$M$324,11,FALSE),3),0)+IFERROR(VLOOKUP($A288,S275_09,11,FALSE),0)</f>
        <v>15.368</v>
      </c>
      <c r="Y288" s="267">
        <f>IFERROR(VLOOKUP($A288,Supp_47,14,FALSE),0)+IFERROR(SUMPRODUCT(VLOOKUP($A288,S275_01,{32,33,34},FALSE)),0)+IFERROR(SUMPRODUCT(VLOOKUP($A288,S275_97,{32,33,34},FALSE)),0)+IFERROR(ROUND(VLOOKUP($A288,S275_21,32,FALSE)*VLOOKUP($A288,'3121% SY'!$C$3:$M$324,11,FALSE),3),0)+IFERROR(ROUND(VLOOKUP($A288,S275_21,33,FALSE)*VLOOKUP($A288,'3121% SY'!$C$3:$M$324,11,FALSE),3),0)+IFERROR(ROUND(VLOOKUP($A288,S275_21,34,FALSE)*VLOOKUP($A288,'3121% SY'!$C$3:$M$324,11,FALSE),3),0)+IFERROR(VLOOKUP($A288,S275_09,12,FALSE),0)</f>
        <v>7.0590000000000002</v>
      </c>
      <c r="Z288" s="267">
        <f>IFERROR(VLOOKUP($A288,Supp_48,14,FALSE),0)+IFERROR(SUMPRODUCT(VLOOKUP($A288,S275_01,{35,36,37},FALSE)),0)+IFERROR(SUMPRODUCT(VLOOKUP($A288,S275_97,{35,36,37},FALSE)),0)+IFERROR(ROUND(VLOOKUP($A288,S275_21,35,FALSE)*VLOOKUP($A288,'3121% SY'!$C$3:$M$324,11,FALSE),3),0)+IFERROR(ROUND(VLOOKUP($A288,S275_21,36,FALSE)*VLOOKUP($A288,'3121% SY'!$C$3:$M$324,11,FALSE),3),0)+IFERROR(ROUND(VLOOKUP($A288,S275_21,37,FALSE)*VLOOKUP($A288,'3121% SY'!$C$3:$M$324,11,FALSE),3),0)+IFERROR(VLOOKUP($A288,S275_09,13,FALSE),0)</f>
        <v>0.81799999999999995</v>
      </c>
      <c r="AA288" s="267">
        <f>IFERROR(VLOOKUP($A288,Supp_49,14,FALSE),0)+IFERROR(SUMPRODUCT(VLOOKUP($A288,S275_01,{38,39,40},FALSE)),0)+IFERROR(SUMPRODUCT(VLOOKUP($A288,S275_97,{38,39,40},FALSE)),0)+IFERROR(ROUND(VLOOKUP($A288,S275_21,38,FALSE)*VLOOKUP($A288,'3121% SY'!$C$3:$M$324,11,FALSE),3),0)+IFERROR(ROUND(VLOOKUP($A288,S275_21,39,FALSE)*VLOOKUP($A288,'3121% SY'!$C$3:$M$324,11,FALSE),3),0)+IFERROR(ROUND(VLOOKUP($A288,S275_21,40,FALSE)*VLOOKUP($A288,'3121% SY'!$C$3:$M$324,11,FALSE),3),0)+IFERROR(VLOOKUP($A288,S275_09,14,FALSE),0)</f>
        <v>0</v>
      </c>
      <c r="AB288" s="267">
        <f>IFERROR(VLOOKUP($A288,Supp_64,14,FALSE),0)+IFERROR(SUMPRODUCT(VLOOKUP($A288,S275_01,{41,42,43},FALSE)),0)+IFERROR(SUMPRODUCT(VLOOKUP($A288,S275_97,{41,42,43},FALSE)),0)+IFERROR(ROUND(VLOOKUP($A288,S275_21,41,FALSE)*VLOOKUP($A288,'3121% SY'!$C$3:$M$324,11,FALSE),3),0)+IFERROR(ROUND(VLOOKUP($A288,S275_21,42,FALSE)*VLOOKUP($A288,'3121% SY'!$C$3:$M$324,11,FALSE),3),0)+IFERROR(ROUND(VLOOKUP($A288,S275_21,43,FALSE)*VLOOKUP($A288,'3121% SY'!$C$3:$M$324,11,FALSE),3),0)+IFERROR(VLOOKUP($A288,S275_09,15,FALSE),0)</f>
        <v>0</v>
      </c>
      <c r="AC288" s="268">
        <f t="shared" si="57"/>
        <v>69.004000000000005</v>
      </c>
      <c r="AD288" s="267">
        <f>IFERROR(VLOOKUP($A288,Supp_24,14,FALSE),0)+IFERROR(SUMPRODUCT(VLOOKUP($A288,S275_01,{2,3,4},FALSE)),0)+IFERROR(SUMPRODUCT(VLOOKUP($A288,S275_97,{2,3,4},FALSE)),0)+IFERROR(ROUND(VLOOKUP($A288,S275_21,2,FALSE)*VLOOKUP($A288,'3121% SY'!$C$3:$M$324,11,FALSE),3),0)+IFERROR(ROUND(VLOOKUP($A288,S275_21,3,FALSE)*VLOOKUP($A288,'3121% SY'!$C$3:$M$324,11,FALSE),3),0)+IFERROR(ROUND(VLOOKUP($A288,S275_21,4,FALSE)*VLOOKUP($A288,'3121% SY'!$C$3:$M$324,11,FALSE),3),0)+IFERROR(VLOOKUP($A288,S275_09,2,FALSE),0)</f>
        <v>2.3610000000000002</v>
      </c>
      <c r="AE288" s="267">
        <f>IFERROR(VLOOKUP($A288,Supp_25,14,FALSE),0)+IFERROR(SUMPRODUCT(VLOOKUP($A288,S275_01,{5,6,7},FALSE)),0)+IFERROR(SUMPRODUCT(VLOOKUP($A288,S275_97,{5,6,7},FALSE)),0)+IFERROR(ROUND(VLOOKUP($A288,S275_21,5,FALSE)*VLOOKUP($A288,'3121% SY'!$C$3:$M$324,11,FALSE),3),0)+IFERROR(ROUND(VLOOKUP($A288,S275_21,6,FALSE)*VLOOKUP($A288,'3121% SY'!$C$3:$M$324,11,FALSE),3),0)+IFERROR(ROUND(VLOOKUP($A288,S275_21,7,FALSE)*VLOOKUP($A288,'3121% SY'!$C$3:$M$324,11,FALSE),3),0)+IFERROR(VLOOKUP($A288,S275_09,3,FALSE),0)</f>
        <v>33.707000000000001</v>
      </c>
      <c r="AF288" s="267">
        <f>IFERROR(VLOOKUP($A288,Supp_26,14,FALSE),0)+IFERROR(SUMPRODUCT(VLOOKUP($A288,S275_01,{8,9,10},FALSE)),0)+IFERROR(SUMPRODUCT(VLOOKUP($A288,S275_97,{8,9,10},FALSE)),0)+IFERROR(ROUND(VLOOKUP($A288,S275_21,8,FALSE)*VLOOKUP($A288,'3121% SY'!$C$3:$M$324,11,FALSE),3),0)+IFERROR(ROUND(VLOOKUP($A288,S275_21,9,FALSE)*VLOOKUP($A288,'3121% SY'!$C$3:$M$324,11,FALSE),3),0)+IFERROR(ROUND(VLOOKUP($A288,S275_21,10,FALSE)*VLOOKUP($A288,'3121% SY'!$C$3:$M$324,11,FALSE),3),0)+IFERROR(VLOOKUP($A288,S275_09,4,FALSE),0)</f>
        <v>5.9660000000000002</v>
      </c>
      <c r="AG288" s="267">
        <f>IFERROR(VLOOKUP($A288,Supp_35,14,FALSE),0)+IFERROR(SUMPRODUCT(VLOOKUP($A288,S275_01,{11,12,13},FALSE)),0)+IFERROR(SUMPRODUCT(VLOOKUP($A288,S275_97,{11,12,13},FALSE)),0)+IFERROR(ROUND(VLOOKUP($A288,S275_21,11,FALSE)*VLOOKUP($A288,'3121% SY'!$C$3:$M$324,11,FALSE),3),0)+IFERROR(ROUND(VLOOKUP($A288,S275_21,12,FALSE)*VLOOKUP($A288,'3121% SY'!$C$3:$M$324,11,FALSE),3),0)+IFERROR(ROUND(VLOOKUP($A288,S275_21,13,FALSE)*VLOOKUP($A288,'3121% SY'!$C$3:$M$324,11,FALSE),3),0)+IFERROR(VLOOKUP($A288,S275_09,5,FALSE),0)</f>
        <v>14.536</v>
      </c>
      <c r="AH288" s="165">
        <f t="shared" si="58"/>
        <v>56.57</v>
      </c>
      <c r="AI288" s="161">
        <f>IFERROR(VLOOKUP(A288,'Supp Staff Data'!A:ER,148,FALSE),0)+AB288</f>
        <v>0</v>
      </c>
      <c r="AJ288" s="174">
        <v>0</v>
      </c>
      <c r="AK288" s="25">
        <f>VLOOKUP(A288,'Enroll Data as of January 2025'!$A$3:$T$323,20,FALSE)-F288</f>
        <v>0</v>
      </c>
    </row>
    <row r="289" spans="1:37" x14ac:dyDescent="0.25">
      <c r="A289" s="171" t="s">
        <v>208</v>
      </c>
      <c r="B289" t="s">
        <v>503</v>
      </c>
      <c r="C289" s="173" t="s">
        <v>1077</v>
      </c>
      <c r="D289" s="259">
        <f t="shared" si="50"/>
        <v>30.201999999999998</v>
      </c>
      <c r="E289" s="259">
        <f t="shared" si="51"/>
        <v>44.798999999999999</v>
      </c>
      <c r="F289" s="262">
        <f t="shared" si="52"/>
        <v>14.597</v>
      </c>
      <c r="G289" s="161">
        <f>ROUND(IF(F289&lt;0,F289*'2024-25 PSES Compliance'!$G$13,0),3)</f>
        <v>0</v>
      </c>
      <c r="H289" s="161">
        <f>ROUND(IF(F289&lt;0,F289*'2024-25 PSES Compliance'!$G$14,0),3)</f>
        <v>0</v>
      </c>
      <c r="I289" s="174">
        <f t="shared" si="53"/>
        <v>0.56731177035201674</v>
      </c>
      <c r="J289" s="174">
        <f t="shared" si="54"/>
        <v>0</v>
      </c>
      <c r="K289" s="161">
        <f>VLOOKUP($A289,'Enroll Data as of January 2025'!$A$3:$M$322,6,FALSE)</f>
        <v>17.010999999999999</v>
      </c>
      <c r="L289" s="161">
        <f>VLOOKUP($A289,'Enroll Data as of January 2025'!$A$3:$M$322,7,FALSE)</f>
        <v>2.7860000000000005</v>
      </c>
      <c r="M289" s="161">
        <f>VLOOKUP($A289,'Enroll Data as of January 2025'!$A$3:$M$322,8,FALSE)</f>
        <v>0.93600000000000005</v>
      </c>
      <c r="N289" s="161">
        <f>VLOOKUP($A289,'Enroll Data as of January 2025'!$A$3:$M$322,9,FALSE)</f>
        <v>7.7809999999999997</v>
      </c>
      <c r="O289" s="165">
        <f t="shared" si="55"/>
        <v>28.513999999999999</v>
      </c>
      <c r="P289" s="161">
        <f>VLOOKUP($A289,'Enroll Data as of January 2025'!$A$3:$M$322,11,FALSE)</f>
        <v>1.0620000000000001</v>
      </c>
      <c r="Q289" s="161">
        <f>VLOOKUP($A289,'Enroll Data as of January 2025'!$A$3:$M$322,12,FALSE)</f>
        <v>0.626</v>
      </c>
      <c r="R289" s="165">
        <f t="shared" si="56"/>
        <v>1.6880000000000002</v>
      </c>
      <c r="S289" s="267">
        <f>IFERROR(VLOOKUP($A289,Supp_39,14,FALSE),0)+IFERROR(SUMPRODUCT(VLOOKUP($A289,S275_01,{14,15,16},FALSE)),0)+IFERROR(SUMPRODUCT(VLOOKUP($A289,S275_97,{14,15,16},FALSE)),0)+IFERROR(ROUND(VLOOKUP($A289,S275_21,14,FALSE)*VLOOKUP($A289,'3121% SY'!$C$3:$M$324,11,FALSE),3),0)+IFERROR(ROUND(VLOOKUP($A289,S275_21,15,FALSE)*VLOOKUP($A289,'3121% SY'!$C$3:$M$324,11,FALSE),3),0)+IFERROR(ROUND(VLOOKUP($A289,S275_21,16,FALSE)*VLOOKUP($A289,'3121% SY'!$C$3:$M$324,11,FALSE),3),0)+IFERROR(VLOOKUP($A289,S275_09,6,FALSE),0)</f>
        <v>10.5</v>
      </c>
      <c r="T289" s="267">
        <f>IFERROR(VLOOKUP($A289,Supp_42,14,FALSE),0)+IFERROR(SUMPRODUCT(VLOOKUP($A289,S275_01,{17,18,19},FALSE)),0)+IFERROR(SUMPRODUCT(VLOOKUP($A289,S275_97,{17,18,19},FALSE)),0)+IFERROR(ROUND(VLOOKUP($A289,S275_21,17,FALSE)*VLOOKUP($A289,'3121% SY'!$C$3:$M$324,11,FALSE),3),0)+IFERROR(ROUND(VLOOKUP($A289,S275_21,18,FALSE)*VLOOKUP($A289,'3121% SY'!$C$3:$M$324,11,FALSE),3),0)+IFERROR(ROUND(VLOOKUP($A289,S275_21,19,FALSE)*VLOOKUP($A289,'3121% SY'!$C$3:$M$324,11,FALSE),3),0)+IFERROR(VLOOKUP($A289,S275_09,7,FALSE),0)</f>
        <v>4</v>
      </c>
      <c r="U289" s="267">
        <f>IFERROR(VLOOKUP($A289,Supp_43,14,FALSE),0)+IFERROR(SUMPRODUCT(VLOOKUP($A289,S275_01,{20,21,22},FALSE)),0)+IFERROR(SUMPRODUCT(VLOOKUP($A289,S275_97,{20,21,22},FALSE)),0)+IFERROR(ROUND(VLOOKUP($A289,S275_21,20,FALSE)*VLOOKUP($A289,'3121% SY'!$C$3:$M$324,11,FALSE),3),0)+IFERROR(ROUND(VLOOKUP($A289,S275_21,21,FALSE)*VLOOKUP($A289,'3121% SY'!$C$3:$M$324,11,FALSE),3),0)+IFERROR(ROUND(VLOOKUP($A289,S275_21,22,FALSE)*VLOOKUP($A289,'3121% SY'!$C$3:$M$324,11,FALSE),3),0)+IFERROR(VLOOKUP($A289,S275_09,8,FALSE),0)</f>
        <v>3.5719999999999996</v>
      </c>
      <c r="V289" s="267">
        <f>IFERROR(VLOOKUP($A289,Supp_44,14,FALSE),0)+IFERROR(SUMPRODUCT(VLOOKUP($A289,S275_01,{23,24,25},FALSE)),0)+IFERROR(SUMPRODUCT(VLOOKUP($A289,S275_97,{23,24,25},FALSE)),0)+IFERROR(ROUND(VLOOKUP($A289,S275_21,23,FALSE)*VLOOKUP($A289,'3121% SY'!$C$3:$M$324,11,FALSE),3),0)+IFERROR(ROUND(VLOOKUP($A289,S275_21,24,FALSE)*VLOOKUP($A289,'3121% SY'!$C$3:$M$324,11,FALSE),3),0)+IFERROR(ROUND(VLOOKUP($A289,S275_21,25,FALSE)*VLOOKUP($A289,'3121% SY'!$C$3:$M$324,11,FALSE),3),0)+IFERROR(VLOOKUP($A289,S275_09,9,FALSE),0)</f>
        <v>0.33</v>
      </c>
      <c r="W289" s="267">
        <f>IFERROR(VLOOKUP($A289,Supp_45,14,FALSE),0)+IFERROR(SUMPRODUCT(VLOOKUP($A289,S275_01,{26,27,28},FALSE)),0)+IFERROR(SUMPRODUCT(VLOOKUP($A289,S275_97,{26,27,28},FALSE)),0)+IFERROR(ROUND(VLOOKUP($A289,S275_21,26,FALSE)*VLOOKUP($A289,'3121% SY'!$C$3:$M$324,11,FALSE),3),0)+IFERROR(ROUND(VLOOKUP($A289,S275_21,27,FALSE)*VLOOKUP($A289,'3121% SY'!$C$3:$M$324,11,FALSE),3),0)+IFERROR(ROUND(VLOOKUP($A289,S275_21,28,FALSE)*VLOOKUP($A289,'3121% SY'!$C$3:$M$324,11,FALSE),3),0)+IFERROR(VLOOKUP($A289,S275_09,10,FALSE),0)</f>
        <v>2.6560000000000001</v>
      </c>
      <c r="X289" s="267">
        <f>IFERROR(VLOOKUP($A289,Supp_46,14,FALSE),0)+IFERROR(SUMPRODUCT(VLOOKUP($A289,S275_01,{29,30,31},FALSE)),0)+IFERROR(SUMPRODUCT(VLOOKUP($A289,S275_97,{29,30,31},FALSE)),0)+IFERROR(ROUND(VLOOKUP($A289,S275_21,29,FALSE)*VLOOKUP($A289,'3121% SY'!$C$3:$M$324,11,FALSE),3),0)+IFERROR(ROUND(VLOOKUP($A289,S275_21,30,FALSE)*VLOOKUP($A289,'3121% SY'!$C$3:$M$324,11,FALSE),3),0)+IFERROR(ROUND(VLOOKUP($A289,S275_21,31,FALSE)*VLOOKUP($A289,'3121% SY'!$C$3:$M$324,11,FALSE),3),0)+IFERROR(VLOOKUP($A289,S275_09,11,FALSE),0)</f>
        <v>3.407</v>
      </c>
      <c r="Y289" s="267">
        <f>IFERROR(VLOOKUP($A289,Supp_47,14,FALSE),0)+IFERROR(SUMPRODUCT(VLOOKUP($A289,S275_01,{32,33,34},FALSE)),0)+IFERROR(SUMPRODUCT(VLOOKUP($A289,S275_97,{32,33,34},FALSE)),0)+IFERROR(ROUND(VLOOKUP($A289,S275_21,32,FALSE)*VLOOKUP($A289,'3121% SY'!$C$3:$M$324,11,FALSE),3),0)+IFERROR(ROUND(VLOOKUP($A289,S275_21,33,FALSE)*VLOOKUP($A289,'3121% SY'!$C$3:$M$324,11,FALSE),3),0)+IFERROR(ROUND(VLOOKUP($A289,S275_21,34,FALSE)*VLOOKUP($A289,'3121% SY'!$C$3:$M$324,11,FALSE),3),0)+IFERROR(VLOOKUP($A289,S275_09,12,FALSE),0)</f>
        <v>0.79300000000000004</v>
      </c>
      <c r="Z289" s="267">
        <f>IFERROR(VLOOKUP($A289,Supp_48,14,FALSE),0)+IFERROR(SUMPRODUCT(VLOOKUP($A289,S275_01,{35,36,37},FALSE)),0)+IFERROR(SUMPRODUCT(VLOOKUP($A289,S275_97,{35,36,37},FALSE)),0)+IFERROR(ROUND(VLOOKUP($A289,S275_21,35,FALSE)*VLOOKUP($A289,'3121% SY'!$C$3:$M$324,11,FALSE),3),0)+IFERROR(ROUND(VLOOKUP($A289,S275_21,36,FALSE)*VLOOKUP($A289,'3121% SY'!$C$3:$M$324,11,FALSE),3),0)+IFERROR(ROUND(VLOOKUP($A289,S275_21,37,FALSE)*VLOOKUP($A289,'3121% SY'!$C$3:$M$324,11,FALSE),3),0)+IFERROR(VLOOKUP($A289,S275_09,13,FALSE),0)</f>
        <v>0.15699999999999997</v>
      </c>
      <c r="AA289" s="267">
        <f>IFERROR(VLOOKUP($A289,Supp_49,14,FALSE),0)+IFERROR(SUMPRODUCT(VLOOKUP($A289,S275_01,{38,39,40},FALSE)),0)+IFERROR(SUMPRODUCT(VLOOKUP($A289,S275_97,{38,39,40},FALSE)),0)+IFERROR(ROUND(VLOOKUP($A289,S275_21,38,FALSE)*VLOOKUP($A289,'3121% SY'!$C$3:$M$324,11,FALSE),3),0)+IFERROR(ROUND(VLOOKUP($A289,S275_21,39,FALSE)*VLOOKUP($A289,'3121% SY'!$C$3:$M$324,11,FALSE),3),0)+IFERROR(ROUND(VLOOKUP($A289,S275_21,40,FALSE)*VLOOKUP($A289,'3121% SY'!$C$3:$M$324,11,FALSE),3),0)+IFERROR(VLOOKUP($A289,S275_09,14,FALSE),0)</f>
        <v>0</v>
      </c>
      <c r="AB289" s="267">
        <f>IFERROR(VLOOKUP($A289,Supp_64,14,FALSE),0)+IFERROR(SUMPRODUCT(VLOOKUP($A289,S275_01,{41,42,43},FALSE)),0)+IFERROR(SUMPRODUCT(VLOOKUP($A289,S275_97,{41,42,43},FALSE)),0)+IFERROR(ROUND(VLOOKUP($A289,S275_21,41,FALSE)*VLOOKUP($A289,'3121% SY'!$C$3:$M$324,11,FALSE),3),0)+IFERROR(ROUND(VLOOKUP($A289,S275_21,42,FALSE)*VLOOKUP($A289,'3121% SY'!$C$3:$M$324,11,FALSE),3),0)+IFERROR(ROUND(VLOOKUP($A289,S275_21,43,FALSE)*VLOOKUP($A289,'3121% SY'!$C$3:$M$324,11,FALSE),3),0)+IFERROR(VLOOKUP($A289,S275_09,15,FALSE),0)</f>
        <v>0</v>
      </c>
      <c r="AC289" s="268">
        <f t="shared" si="57"/>
        <v>25.414999999999996</v>
      </c>
      <c r="AD289" s="267">
        <f>IFERROR(VLOOKUP($A289,Supp_24,14,FALSE),0)+IFERROR(SUMPRODUCT(VLOOKUP($A289,S275_01,{2,3,4},FALSE)),0)+IFERROR(SUMPRODUCT(VLOOKUP($A289,S275_97,{2,3,4},FALSE)),0)+IFERROR(ROUND(VLOOKUP($A289,S275_21,2,FALSE)*VLOOKUP($A289,'3121% SY'!$C$3:$M$324,11,FALSE),3),0)+IFERROR(ROUND(VLOOKUP($A289,S275_21,3,FALSE)*VLOOKUP($A289,'3121% SY'!$C$3:$M$324,11,FALSE),3),0)+IFERROR(ROUND(VLOOKUP($A289,S275_21,4,FALSE)*VLOOKUP($A289,'3121% SY'!$C$3:$M$324,11,FALSE),3),0)+IFERROR(VLOOKUP($A289,S275_09,2,FALSE),0)</f>
        <v>0</v>
      </c>
      <c r="AE289" s="267">
        <f>IFERROR(VLOOKUP($A289,Supp_25,14,FALSE),0)+IFERROR(SUMPRODUCT(VLOOKUP($A289,S275_01,{5,6,7},FALSE)),0)+IFERROR(SUMPRODUCT(VLOOKUP($A289,S275_97,{5,6,7},FALSE)),0)+IFERROR(ROUND(VLOOKUP($A289,S275_21,5,FALSE)*VLOOKUP($A289,'3121% SY'!$C$3:$M$324,11,FALSE),3),0)+IFERROR(ROUND(VLOOKUP($A289,S275_21,6,FALSE)*VLOOKUP($A289,'3121% SY'!$C$3:$M$324,11,FALSE),3),0)+IFERROR(ROUND(VLOOKUP($A289,S275_21,7,FALSE)*VLOOKUP($A289,'3121% SY'!$C$3:$M$324,11,FALSE),3),0)+IFERROR(VLOOKUP($A289,S275_09,3,FALSE),0)</f>
        <v>9.2410000000000014</v>
      </c>
      <c r="AF289" s="267">
        <f>IFERROR(VLOOKUP($A289,Supp_26,14,FALSE),0)+IFERROR(SUMPRODUCT(VLOOKUP($A289,S275_01,{8,9,10},FALSE)),0)+IFERROR(SUMPRODUCT(VLOOKUP($A289,S275_97,{8,9,10},FALSE)),0)+IFERROR(ROUND(VLOOKUP($A289,S275_21,8,FALSE)*VLOOKUP($A289,'3121% SY'!$C$3:$M$324,11,FALSE),3),0)+IFERROR(ROUND(VLOOKUP($A289,S275_21,9,FALSE)*VLOOKUP($A289,'3121% SY'!$C$3:$M$324,11,FALSE),3),0)+IFERROR(ROUND(VLOOKUP($A289,S275_21,10,FALSE)*VLOOKUP($A289,'3121% SY'!$C$3:$M$324,11,FALSE),3),0)+IFERROR(VLOOKUP($A289,S275_09,4,FALSE),0)</f>
        <v>5.7150000000000007</v>
      </c>
      <c r="AG289" s="267">
        <f>IFERROR(VLOOKUP($A289,Supp_35,14,FALSE),0)+IFERROR(SUMPRODUCT(VLOOKUP($A289,S275_01,{11,12,13},FALSE)),0)+IFERROR(SUMPRODUCT(VLOOKUP($A289,S275_97,{11,12,13},FALSE)),0)+IFERROR(ROUND(VLOOKUP($A289,S275_21,11,FALSE)*VLOOKUP($A289,'3121% SY'!$C$3:$M$324,11,FALSE),3),0)+IFERROR(ROUND(VLOOKUP($A289,S275_21,12,FALSE)*VLOOKUP($A289,'3121% SY'!$C$3:$M$324,11,FALSE),3),0)+IFERROR(ROUND(VLOOKUP($A289,S275_21,13,FALSE)*VLOOKUP($A289,'3121% SY'!$C$3:$M$324,11,FALSE),3),0)+IFERROR(VLOOKUP($A289,S275_09,5,FALSE),0)</f>
        <v>4.4279999999999999</v>
      </c>
      <c r="AH289" s="165">
        <f t="shared" si="58"/>
        <v>19.384000000000004</v>
      </c>
      <c r="AI289" s="161">
        <f>IFERROR(VLOOKUP(A289,'Supp Staff Data'!A:ER,148,FALSE),0)+AB289</f>
        <v>0</v>
      </c>
      <c r="AJ289" s="174">
        <v>1</v>
      </c>
      <c r="AK289" s="25">
        <f>VLOOKUP(A289,'Enroll Data as of January 2025'!$A$3:$T$323,20,FALSE)-F289</f>
        <v>0</v>
      </c>
    </row>
    <row r="290" spans="1:37" x14ac:dyDescent="0.25">
      <c r="A290" s="171" t="s">
        <v>268</v>
      </c>
      <c r="B290" t="s">
        <v>564</v>
      </c>
      <c r="C290" s="173" t="s">
        <v>1077</v>
      </c>
      <c r="D290" s="259">
        <f t="shared" si="50"/>
        <v>55.029999999999994</v>
      </c>
      <c r="E290" s="259">
        <f t="shared" si="51"/>
        <v>64.174999999999997</v>
      </c>
      <c r="F290" s="262">
        <f t="shared" si="52"/>
        <v>9.1449999999999996</v>
      </c>
      <c r="G290" s="161">
        <f>ROUND(IF(F290&lt;0,F290*'2024-25 PSES Compliance'!$G$13,0),3)</f>
        <v>0</v>
      </c>
      <c r="H290" s="161">
        <f>ROUND(IF(F290&lt;0,F290*'2024-25 PSES Compliance'!$G$14,0),3)</f>
        <v>0</v>
      </c>
      <c r="I290" s="174">
        <f t="shared" si="53"/>
        <v>0</v>
      </c>
      <c r="J290" s="174">
        <f t="shared" si="54"/>
        <v>0</v>
      </c>
      <c r="K290" s="161">
        <f>VLOOKUP($A290,'Enroll Data as of January 2025'!$A$3:$M$322,6,FALSE)</f>
        <v>31.064999999999998</v>
      </c>
      <c r="L290" s="161">
        <f>VLOOKUP($A290,'Enroll Data as of January 2025'!$A$3:$M$322,7,FALSE)</f>
        <v>5.0620000000000012</v>
      </c>
      <c r="M290" s="161">
        <f>VLOOKUP($A290,'Enroll Data as of January 2025'!$A$3:$M$322,8,FALSE)</f>
        <v>1.7</v>
      </c>
      <c r="N290" s="161">
        <f>VLOOKUP($A290,'Enroll Data as of January 2025'!$A$3:$M$322,9,FALSE)</f>
        <v>14.132999999999999</v>
      </c>
      <c r="O290" s="165">
        <f t="shared" si="55"/>
        <v>51.959999999999994</v>
      </c>
      <c r="P290" s="161">
        <f>VLOOKUP($A290,'Enroll Data as of January 2025'!$A$3:$M$322,11,FALSE)</f>
        <v>1.9340000000000002</v>
      </c>
      <c r="Q290" s="161">
        <f>VLOOKUP($A290,'Enroll Data as of January 2025'!$A$3:$M$322,12,FALSE)</f>
        <v>1.1359999999999999</v>
      </c>
      <c r="R290" s="165">
        <f t="shared" si="56"/>
        <v>3.0700000000000003</v>
      </c>
      <c r="S290" s="267">
        <f>IFERROR(VLOOKUP($A290,Supp_39,14,FALSE),0)+IFERROR(SUMPRODUCT(VLOOKUP($A290,S275_01,{14,15,16},FALSE)),0)+IFERROR(SUMPRODUCT(VLOOKUP($A290,S275_97,{14,15,16},FALSE)),0)+IFERROR(ROUND(VLOOKUP($A290,S275_21,14,FALSE)*VLOOKUP($A290,'3121% SY'!$C$3:$M$324,11,FALSE),3),0)+IFERROR(ROUND(VLOOKUP($A290,S275_21,15,FALSE)*VLOOKUP($A290,'3121% SY'!$C$3:$M$324,11,FALSE),3),0)+IFERROR(ROUND(VLOOKUP($A290,S275_21,16,FALSE)*VLOOKUP($A290,'3121% SY'!$C$3:$M$324,11,FALSE),3),0)+IFERROR(VLOOKUP($A290,S275_09,6,FALSE),0)</f>
        <v>14.54</v>
      </c>
      <c r="T290" s="267">
        <f>IFERROR(VLOOKUP($A290,Supp_42,14,FALSE),0)+IFERROR(SUMPRODUCT(VLOOKUP($A290,S275_01,{17,18,19},FALSE)),0)+IFERROR(SUMPRODUCT(VLOOKUP($A290,S275_97,{17,18,19},FALSE)),0)+IFERROR(ROUND(VLOOKUP($A290,S275_21,17,FALSE)*VLOOKUP($A290,'3121% SY'!$C$3:$M$324,11,FALSE),3),0)+IFERROR(ROUND(VLOOKUP($A290,S275_21,18,FALSE)*VLOOKUP($A290,'3121% SY'!$C$3:$M$324,11,FALSE),3),0)+IFERROR(ROUND(VLOOKUP($A290,S275_21,19,FALSE)*VLOOKUP($A290,'3121% SY'!$C$3:$M$324,11,FALSE),3),0)+IFERROR(VLOOKUP($A290,S275_09,7,FALSE),0)</f>
        <v>5.42</v>
      </c>
      <c r="U290" s="267">
        <f>IFERROR(VLOOKUP($A290,Supp_43,14,FALSE),0)+IFERROR(SUMPRODUCT(VLOOKUP($A290,S275_01,{20,21,22},FALSE)),0)+IFERROR(SUMPRODUCT(VLOOKUP($A290,S275_97,{20,21,22},FALSE)),0)+IFERROR(ROUND(VLOOKUP($A290,S275_21,20,FALSE)*VLOOKUP($A290,'3121% SY'!$C$3:$M$324,11,FALSE),3),0)+IFERROR(ROUND(VLOOKUP($A290,S275_21,21,FALSE)*VLOOKUP($A290,'3121% SY'!$C$3:$M$324,11,FALSE),3),0)+IFERROR(ROUND(VLOOKUP($A290,S275_21,22,FALSE)*VLOOKUP($A290,'3121% SY'!$C$3:$M$324,11,FALSE),3),0)+IFERROR(VLOOKUP($A290,S275_09,8,FALSE),0)</f>
        <v>1.5190000000000001</v>
      </c>
      <c r="V290" s="267">
        <f>IFERROR(VLOOKUP($A290,Supp_44,14,FALSE),0)+IFERROR(SUMPRODUCT(VLOOKUP($A290,S275_01,{23,24,25},FALSE)),0)+IFERROR(SUMPRODUCT(VLOOKUP($A290,S275_97,{23,24,25},FALSE)),0)+IFERROR(ROUND(VLOOKUP($A290,S275_21,23,FALSE)*VLOOKUP($A290,'3121% SY'!$C$3:$M$324,11,FALSE),3),0)+IFERROR(ROUND(VLOOKUP($A290,S275_21,24,FALSE)*VLOOKUP($A290,'3121% SY'!$C$3:$M$324,11,FALSE),3),0)+IFERROR(ROUND(VLOOKUP($A290,S275_21,25,FALSE)*VLOOKUP($A290,'3121% SY'!$C$3:$M$324,11,FALSE),3),0)+IFERROR(VLOOKUP($A290,S275_09,9,FALSE),0)</f>
        <v>0</v>
      </c>
      <c r="W290" s="267">
        <f>IFERROR(VLOOKUP($A290,Supp_45,14,FALSE),0)+IFERROR(SUMPRODUCT(VLOOKUP($A290,S275_01,{26,27,28},FALSE)),0)+IFERROR(SUMPRODUCT(VLOOKUP($A290,S275_97,{26,27,28},FALSE)),0)+IFERROR(ROUND(VLOOKUP($A290,S275_21,26,FALSE)*VLOOKUP($A290,'3121% SY'!$C$3:$M$324,11,FALSE),3),0)+IFERROR(ROUND(VLOOKUP($A290,S275_21,27,FALSE)*VLOOKUP($A290,'3121% SY'!$C$3:$M$324,11,FALSE),3),0)+IFERROR(ROUND(VLOOKUP($A290,S275_21,28,FALSE)*VLOOKUP($A290,'3121% SY'!$C$3:$M$324,11,FALSE),3),0)+IFERROR(VLOOKUP($A290,S275_09,10,FALSE),0)</f>
        <v>3.5439999999999996</v>
      </c>
      <c r="X290" s="267">
        <f>IFERROR(VLOOKUP($A290,Supp_46,14,FALSE),0)+IFERROR(SUMPRODUCT(VLOOKUP($A290,S275_01,{29,30,31},FALSE)),0)+IFERROR(SUMPRODUCT(VLOOKUP($A290,S275_97,{29,30,31},FALSE)),0)+IFERROR(ROUND(VLOOKUP($A290,S275_21,29,FALSE)*VLOOKUP($A290,'3121% SY'!$C$3:$M$324,11,FALSE),3),0)+IFERROR(ROUND(VLOOKUP($A290,S275_21,30,FALSE)*VLOOKUP($A290,'3121% SY'!$C$3:$M$324,11,FALSE),3),0)+IFERROR(ROUND(VLOOKUP($A290,S275_21,31,FALSE)*VLOOKUP($A290,'3121% SY'!$C$3:$M$324,11,FALSE),3),0)+IFERROR(VLOOKUP($A290,S275_09,11,FALSE),0)</f>
        <v>9.1229999999999993</v>
      </c>
      <c r="Y290" s="267">
        <f>IFERROR(VLOOKUP($A290,Supp_47,14,FALSE),0)+IFERROR(SUMPRODUCT(VLOOKUP($A290,S275_01,{32,33,34},FALSE)),0)+IFERROR(SUMPRODUCT(VLOOKUP($A290,S275_97,{32,33,34},FALSE)),0)+IFERROR(ROUND(VLOOKUP($A290,S275_21,32,FALSE)*VLOOKUP($A290,'3121% SY'!$C$3:$M$324,11,FALSE),3),0)+IFERROR(ROUND(VLOOKUP($A290,S275_21,33,FALSE)*VLOOKUP($A290,'3121% SY'!$C$3:$M$324,11,FALSE),3),0)+IFERROR(ROUND(VLOOKUP($A290,S275_21,34,FALSE)*VLOOKUP($A290,'3121% SY'!$C$3:$M$324,11,FALSE),3),0)+IFERROR(VLOOKUP($A290,S275_09,12,FALSE),0)</f>
        <v>1.502</v>
      </c>
      <c r="Z290" s="267">
        <f>IFERROR(VLOOKUP($A290,Supp_48,14,FALSE),0)+IFERROR(SUMPRODUCT(VLOOKUP($A290,S275_01,{35,36,37},FALSE)),0)+IFERROR(SUMPRODUCT(VLOOKUP($A290,S275_97,{35,36,37},FALSE)),0)+IFERROR(ROUND(VLOOKUP($A290,S275_21,35,FALSE)*VLOOKUP($A290,'3121% SY'!$C$3:$M$324,11,FALSE),3),0)+IFERROR(ROUND(VLOOKUP($A290,S275_21,36,FALSE)*VLOOKUP($A290,'3121% SY'!$C$3:$M$324,11,FALSE),3),0)+IFERROR(ROUND(VLOOKUP($A290,S275_21,37,FALSE)*VLOOKUP($A290,'3121% SY'!$C$3:$M$324,11,FALSE),3),0)+IFERROR(VLOOKUP($A290,S275_09,13,FALSE),0)</f>
        <v>0.35899999999999999</v>
      </c>
      <c r="AA290" s="267">
        <f>IFERROR(VLOOKUP($A290,Supp_49,14,FALSE),0)+IFERROR(SUMPRODUCT(VLOOKUP($A290,S275_01,{38,39,40},FALSE)),0)+IFERROR(SUMPRODUCT(VLOOKUP($A290,S275_97,{38,39,40},FALSE)),0)+IFERROR(ROUND(VLOOKUP($A290,S275_21,38,FALSE)*VLOOKUP($A290,'3121% SY'!$C$3:$M$324,11,FALSE),3),0)+IFERROR(ROUND(VLOOKUP($A290,S275_21,39,FALSE)*VLOOKUP($A290,'3121% SY'!$C$3:$M$324,11,FALSE),3),0)+IFERROR(ROUND(VLOOKUP($A290,S275_21,40,FALSE)*VLOOKUP($A290,'3121% SY'!$C$3:$M$324,11,FALSE),3),0)+IFERROR(VLOOKUP($A290,S275_09,14,FALSE),0)</f>
        <v>0</v>
      </c>
      <c r="AB290" s="267">
        <f>IFERROR(VLOOKUP($A290,Supp_64,14,FALSE),0)+IFERROR(SUMPRODUCT(VLOOKUP($A290,S275_01,{41,42,43},FALSE)),0)+IFERROR(SUMPRODUCT(VLOOKUP($A290,S275_97,{41,42,43},FALSE)),0)+IFERROR(ROUND(VLOOKUP($A290,S275_21,41,FALSE)*VLOOKUP($A290,'3121% SY'!$C$3:$M$324,11,FALSE),3),0)+IFERROR(ROUND(VLOOKUP($A290,S275_21,42,FALSE)*VLOOKUP($A290,'3121% SY'!$C$3:$M$324,11,FALSE),3),0)+IFERROR(ROUND(VLOOKUP($A290,S275_21,43,FALSE)*VLOOKUP($A290,'3121% SY'!$C$3:$M$324,11,FALSE),3),0)+IFERROR(VLOOKUP($A290,S275_09,15,FALSE),0)</f>
        <v>0</v>
      </c>
      <c r="AC290" s="268">
        <f t="shared" si="57"/>
        <v>36.007000000000005</v>
      </c>
      <c r="AD290" s="267">
        <f>IFERROR(VLOOKUP($A290,Supp_24,14,FALSE),0)+IFERROR(SUMPRODUCT(VLOOKUP($A290,S275_01,{2,3,4},FALSE)),0)+IFERROR(SUMPRODUCT(VLOOKUP($A290,S275_97,{2,3,4},FALSE)),0)+IFERROR(ROUND(VLOOKUP($A290,S275_21,2,FALSE)*VLOOKUP($A290,'3121% SY'!$C$3:$M$324,11,FALSE),3),0)+IFERROR(ROUND(VLOOKUP($A290,S275_21,3,FALSE)*VLOOKUP($A290,'3121% SY'!$C$3:$M$324,11,FALSE),3),0)+IFERROR(ROUND(VLOOKUP($A290,S275_21,4,FALSE)*VLOOKUP($A290,'3121% SY'!$C$3:$M$324,11,FALSE),3),0)+IFERROR(VLOOKUP($A290,S275_09,2,FALSE),0)</f>
        <v>3.06</v>
      </c>
      <c r="AE290" s="267">
        <f>IFERROR(VLOOKUP($A290,Supp_25,14,FALSE),0)+IFERROR(SUMPRODUCT(VLOOKUP($A290,S275_01,{5,6,7},FALSE)),0)+IFERROR(SUMPRODUCT(VLOOKUP($A290,S275_97,{5,6,7},FALSE)),0)+IFERROR(ROUND(VLOOKUP($A290,S275_21,5,FALSE)*VLOOKUP($A290,'3121% SY'!$C$3:$M$324,11,FALSE),3),0)+IFERROR(ROUND(VLOOKUP($A290,S275_21,6,FALSE)*VLOOKUP($A290,'3121% SY'!$C$3:$M$324,11,FALSE),3),0)+IFERROR(ROUND(VLOOKUP($A290,S275_21,7,FALSE)*VLOOKUP($A290,'3121% SY'!$C$3:$M$324,11,FALSE),3),0)+IFERROR(VLOOKUP($A290,S275_09,3,FALSE),0)</f>
        <v>18.640999999999998</v>
      </c>
      <c r="AF290" s="267">
        <f>IFERROR(VLOOKUP($A290,Supp_26,14,FALSE),0)+IFERROR(SUMPRODUCT(VLOOKUP($A290,S275_01,{8,9,10},FALSE)),0)+IFERROR(SUMPRODUCT(VLOOKUP($A290,S275_97,{8,9,10},FALSE)),0)+IFERROR(ROUND(VLOOKUP($A290,S275_21,8,FALSE)*VLOOKUP($A290,'3121% SY'!$C$3:$M$324,11,FALSE),3),0)+IFERROR(ROUND(VLOOKUP($A290,S275_21,9,FALSE)*VLOOKUP($A290,'3121% SY'!$C$3:$M$324,11,FALSE),3),0)+IFERROR(ROUND(VLOOKUP($A290,S275_21,10,FALSE)*VLOOKUP($A290,'3121% SY'!$C$3:$M$324,11,FALSE),3),0)+IFERROR(VLOOKUP($A290,S275_09,4,FALSE),0)</f>
        <v>5.4669999999999996</v>
      </c>
      <c r="AG290" s="267">
        <f>IFERROR(VLOOKUP($A290,Supp_35,14,FALSE),0)+IFERROR(SUMPRODUCT(VLOOKUP($A290,S275_01,{11,12,13},FALSE)),0)+IFERROR(SUMPRODUCT(VLOOKUP($A290,S275_97,{11,12,13},FALSE)),0)+IFERROR(ROUND(VLOOKUP($A290,S275_21,11,FALSE)*VLOOKUP($A290,'3121% SY'!$C$3:$M$324,11,FALSE),3),0)+IFERROR(ROUND(VLOOKUP($A290,S275_21,12,FALSE)*VLOOKUP($A290,'3121% SY'!$C$3:$M$324,11,FALSE),3),0)+IFERROR(ROUND(VLOOKUP($A290,S275_21,13,FALSE)*VLOOKUP($A290,'3121% SY'!$C$3:$M$324,11,FALSE),3),0)+IFERROR(VLOOKUP($A290,S275_09,5,FALSE),0)</f>
        <v>1</v>
      </c>
      <c r="AH290" s="165">
        <f t="shared" si="58"/>
        <v>28.167999999999996</v>
      </c>
      <c r="AI290" s="161">
        <f>IFERROR(VLOOKUP(A290,'Supp Staff Data'!A:ER,148,FALSE),0)+AB290</f>
        <v>0</v>
      </c>
      <c r="AJ290" s="174">
        <v>0</v>
      </c>
      <c r="AK290" s="25">
        <f>VLOOKUP(A290,'Enroll Data as of January 2025'!$A$3:$T$323,20,FALSE)-F290</f>
        <v>0</v>
      </c>
    </row>
    <row r="291" spans="1:37" x14ac:dyDescent="0.25">
      <c r="A291" s="171" t="s">
        <v>235</v>
      </c>
      <c r="B291" t="s">
        <v>531</v>
      </c>
      <c r="C291" s="173" t="s">
        <v>1077</v>
      </c>
      <c r="D291" s="259">
        <f t="shared" si="50"/>
        <v>16.716000000000001</v>
      </c>
      <c r="E291" s="259">
        <f t="shared" si="51"/>
        <v>32.153999999999996</v>
      </c>
      <c r="F291" s="262">
        <f t="shared" si="52"/>
        <v>15.438000000000001</v>
      </c>
      <c r="G291" s="161">
        <f>ROUND(IF(F291&lt;0,F291*'2024-25 PSES Compliance'!$G$13,0),3)</f>
        <v>0</v>
      </c>
      <c r="H291" s="161">
        <f>ROUND(IF(F291&lt;0,F291*'2024-25 PSES Compliance'!$G$14,0),3)</f>
        <v>0</v>
      </c>
      <c r="I291" s="174">
        <f t="shared" si="53"/>
        <v>0.25622006593269886</v>
      </c>
      <c r="J291" s="174">
        <f t="shared" si="54"/>
        <v>0</v>
      </c>
      <c r="K291" s="161">
        <f>VLOOKUP($A291,'Enroll Data as of January 2025'!$A$3:$M$322,6,FALSE)</f>
        <v>9.3140000000000001</v>
      </c>
      <c r="L291" s="161">
        <f>VLOOKUP($A291,'Enroll Data as of January 2025'!$A$3:$M$322,7,FALSE)</f>
        <v>1.5880000000000001</v>
      </c>
      <c r="M291" s="161">
        <f>VLOOKUP($A291,'Enroll Data as of January 2025'!$A$3:$M$322,8,FALSE)</f>
        <v>0.53200000000000003</v>
      </c>
      <c r="N291" s="161">
        <f>VLOOKUP($A291,'Enroll Data as of January 2025'!$A$3:$M$322,9,FALSE)</f>
        <v>4.3319999999999999</v>
      </c>
      <c r="O291" s="165">
        <f t="shared" si="55"/>
        <v>15.766000000000002</v>
      </c>
      <c r="P291" s="161">
        <f>VLOOKUP($A291,'Enroll Data as of January 2025'!$A$3:$M$322,11,FALSE)</f>
        <v>0.58799999999999997</v>
      </c>
      <c r="Q291" s="161">
        <f>VLOOKUP($A291,'Enroll Data as of January 2025'!$A$3:$M$322,12,FALSE)</f>
        <v>0.36199999999999999</v>
      </c>
      <c r="R291" s="165">
        <f t="shared" si="56"/>
        <v>0.95</v>
      </c>
      <c r="S291" s="267">
        <f>IFERROR(VLOOKUP($A291,Supp_39,14,FALSE),0)+IFERROR(SUMPRODUCT(VLOOKUP($A291,S275_01,{14,15,16},FALSE)),0)+IFERROR(SUMPRODUCT(VLOOKUP($A291,S275_97,{14,15,16},FALSE)),0)+IFERROR(ROUND(VLOOKUP($A291,S275_21,14,FALSE)*VLOOKUP($A291,'3121% SY'!$C$3:$M$324,11,FALSE),3),0)+IFERROR(ROUND(VLOOKUP($A291,S275_21,15,FALSE)*VLOOKUP($A291,'3121% SY'!$C$3:$M$324,11,FALSE),3),0)+IFERROR(ROUND(VLOOKUP($A291,S275_21,16,FALSE)*VLOOKUP($A291,'3121% SY'!$C$3:$M$324,11,FALSE),3),0)+IFERROR(VLOOKUP($A291,S275_09,6,FALSE),0)</f>
        <v>6.5</v>
      </c>
      <c r="T291" s="267">
        <f>IFERROR(VLOOKUP($A291,Supp_42,14,FALSE),0)+IFERROR(SUMPRODUCT(VLOOKUP($A291,S275_01,{17,18,19},FALSE)),0)+IFERROR(SUMPRODUCT(VLOOKUP($A291,S275_97,{17,18,19},FALSE)),0)+IFERROR(ROUND(VLOOKUP($A291,S275_21,17,FALSE)*VLOOKUP($A291,'3121% SY'!$C$3:$M$324,11,FALSE),3),0)+IFERROR(ROUND(VLOOKUP($A291,S275_21,18,FALSE)*VLOOKUP($A291,'3121% SY'!$C$3:$M$324,11,FALSE),3),0)+IFERROR(ROUND(VLOOKUP($A291,S275_21,19,FALSE)*VLOOKUP($A291,'3121% SY'!$C$3:$M$324,11,FALSE),3),0)+IFERROR(VLOOKUP($A291,S275_09,7,FALSE),0)</f>
        <v>1</v>
      </c>
      <c r="U291" s="267">
        <f>IFERROR(VLOOKUP($A291,Supp_43,14,FALSE),0)+IFERROR(SUMPRODUCT(VLOOKUP($A291,S275_01,{20,21,22},FALSE)),0)+IFERROR(SUMPRODUCT(VLOOKUP($A291,S275_97,{20,21,22},FALSE)),0)+IFERROR(ROUND(VLOOKUP($A291,S275_21,20,FALSE)*VLOOKUP($A291,'3121% SY'!$C$3:$M$324,11,FALSE),3),0)+IFERROR(ROUND(VLOOKUP($A291,S275_21,21,FALSE)*VLOOKUP($A291,'3121% SY'!$C$3:$M$324,11,FALSE),3),0)+IFERROR(ROUND(VLOOKUP($A291,S275_21,22,FALSE)*VLOOKUP($A291,'3121% SY'!$C$3:$M$324,11,FALSE),3),0)+IFERROR(VLOOKUP($A291,S275_09,8,FALSE),0)</f>
        <v>1.2549999999999999</v>
      </c>
      <c r="V291" s="267">
        <f>IFERROR(VLOOKUP($A291,Supp_44,14,FALSE),0)+IFERROR(SUMPRODUCT(VLOOKUP($A291,S275_01,{23,24,25},FALSE)),0)+IFERROR(SUMPRODUCT(VLOOKUP($A291,S275_97,{23,24,25},FALSE)),0)+IFERROR(ROUND(VLOOKUP($A291,S275_21,23,FALSE)*VLOOKUP($A291,'3121% SY'!$C$3:$M$324,11,FALSE),3),0)+IFERROR(ROUND(VLOOKUP($A291,S275_21,24,FALSE)*VLOOKUP($A291,'3121% SY'!$C$3:$M$324,11,FALSE),3),0)+IFERROR(ROUND(VLOOKUP($A291,S275_21,25,FALSE)*VLOOKUP($A291,'3121% SY'!$C$3:$M$324,11,FALSE),3),0)+IFERROR(VLOOKUP($A291,S275_09,9,FALSE),0)</f>
        <v>0</v>
      </c>
      <c r="W291" s="267">
        <f>IFERROR(VLOOKUP($A291,Supp_45,14,FALSE),0)+IFERROR(SUMPRODUCT(VLOOKUP($A291,S275_01,{26,27,28},FALSE)),0)+IFERROR(SUMPRODUCT(VLOOKUP($A291,S275_97,{26,27,28},FALSE)),0)+IFERROR(ROUND(VLOOKUP($A291,S275_21,26,FALSE)*VLOOKUP($A291,'3121% SY'!$C$3:$M$324,11,FALSE),3),0)+IFERROR(ROUND(VLOOKUP($A291,S275_21,27,FALSE)*VLOOKUP($A291,'3121% SY'!$C$3:$M$324,11,FALSE),3),0)+IFERROR(ROUND(VLOOKUP($A291,S275_21,28,FALSE)*VLOOKUP($A291,'3121% SY'!$C$3:$M$324,11,FALSE),3),0)+IFERROR(VLOOKUP($A291,S275_09,10,FALSE),0)</f>
        <v>2.8250000000000002</v>
      </c>
      <c r="X291" s="267">
        <f>IFERROR(VLOOKUP($A291,Supp_46,14,FALSE),0)+IFERROR(SUMPRODUCT(VLOOKUP($A291,S275_01,{29,30,31},FALSE)),0)+IFERROR(SUMPRODUCT(VLOOKUP($A291,S275_97,{29,30,31},FALSE)),0)+IFERROR(ROUND(VLOOKUP($A291,S275_21,29,FALSE)*VLOOKUP($A291,'3121% SY'!$C$3:$M$324,11,FALSE),3),0)+IFERROR(ROUND(VLOOKUP($A291,S275_21,30,FALSE)*VLOOKUP($A291,'3121% SY'!$C$3:$M$324,11,FALSE),3),0)+IFERROR(ROUND(VLOOKUP($A291,S275_21,31,FALSE)*VLOOKUP($A291,'3121% SY'!$C$3:$M$324,11,FALSE),3),0)+IFERROR(VLOOKUP($A291,S275_09,11,FALSE),0)</f>
        <v>2.883</v>
      </c>
      <c r="Y291" s="267">
        <f>IFERROR(VLOOKUP($A291,Supp_47,14,FALSE),0)+IFERROR(SUMPRODUCT(VLOOKUP($A291,S275_01,{32,33,34},FALSE)),0)+IFERROR(SUMPRODUCT(VLOOKUP($A291,S275_97,{32,33,34},FALSE)),0)+IFERROR(ROUND(VLOOKUP($A291,S275_21,32,FALSE)*VLOOKUP($A291,'3121% SY'!$C$3:$M$324,11,FALSE),3),0)+IFERROR(ROUND(VLOOKUP($A291,S275_21,33,FALSE)*VLOOKUP($A291,'3121% SY'!$C$3:$M$324,11,FALSE),3),0)+IFERROR(ROUND(VLOOKUP($A291,S275_21,34,FALSE)*VLOOKUP($A291,'3121% SY'!$C$3:$M$324,11,FALSE),3),0)+IFERROR(VLOOKUP($A291,S275_09,12,FALSE),0)</f>
        <v>1.7</v>
      </c>
      <c r="Z291" s="267">
        <f>IFERROR(VLOOKUP($A291,Supp_48,14,FALSE),0)+IFERROR(SUMPRODUCT(VLOOKUP($A291,S275_01,{35,36,37},FALSE)),0)+IFERROR(SUMPRODUCT(VLOOKUP($A291,S275_97,{35,36,37},FALSE)),0)+IFERROR(ROUND(VLOOKUP($A291,S275_21,35,FALSE)*VLOOKUP($A291,'3121% SY'!$C$3:$M$324,11,FALSE),3),0)+IFERROR(ROUND(VLOOKUP($A291,S275_21,36,FALSE)*VLOOKUP($A291,'3121% SY'!$C$3:$M$324,11,FALSE),3),0)+IFERROR(ROUND(VLOOKUP($A291,S275_21,37,FALSE)*VLOOKUP($A291,'3121% SY'!$C$3:$M$324,11,FALSE),3),0)+IFERROR(VLOOKUP($A291,S275_09,13,FALSE),0)</f>
        <v>0.314</v>
      </c>
      <c r="AA291" s="267">
        <f>IFERROR(VLOOKUP($A291,Supp_49,14,FALSE),0)+IFERROR(SUMPRODUCT(VLOOKUP($A291,S275_01,{38,39,40},FALSE)),0)+IFERROR(SUMPRODUCT(VLOOKUP($A291,S275_97,{38,39,40},FALSE)),0)+IFERROR(ROUND(VLOOKUP($A291,S275_21,38,FALSE)*VLOOKUP($A291,'3121% SY'!$C$3:$M$324,11,FALSE),3),0)+IFERROR(ROUND(VLOOKUP($A291,S275_21,39,FALSE)*VLOOKUP($A291,'3121% SY'!$C$3:$M$324,11,FALSE),3),0)+IFERROR(ROUND(VLOOKUP($A291,S275_21,40,FALSE)*VLOOKUP($A291,'3121% SY'!$C$3:$M$324,11,FALSE),3),0)+IFERROR(VLOOKUP($A291,S275_09,14,FALSE),0)</f>
        <v>0</v>
      </c>
      <c r="AB291" s="267">
        <f>IFERROR(VLOOKUP($A291,Supp_64,14,FALSE),0)+IFERROR(SUMPRODUCT(VLOOKUP($A291,S275_01,{41,42,43},FALSE)),0)+IFERROR(SUMPRODUCT(VLOOKUP($A291,S275_97,{41,42,43},FALSE)),0)+IFERROR(ROUND(VLOOKUP($A291,S275_21,41,FALSE)*VLOOKUP($A291,'3121% SY'!$C$3:$M$324,11,FALSE),3),0)+IFERROR(ROUND(VLOOKUP($A291,S275_21,42,FALSE)*VLOOKUP($A291,'3121% SY'!$C$3:$M$324,11,FALSE),3),0)+IFERROR(ROUND(VLOOKUP($A291,S275_21,43,FALSE)*VLOOKUP($A291,'3121% SY'!$C$3:$M$324,11,FALSE),3),0)+IFERROR(VLOOKUP($A291,S275_09,15,FALSE),0)</f>
        <v>0</v>
      </c>
      <c r="AC291" s="268">
        <f t="shared" si="57"/>
        <v>16.476999999999997</v>
      </c>
      <c r="AD291" s="267">
        <f>IFERROR(VLOOKUP($A291,Supp_24,14,FALSE),0)+IFERROR(SUMPRODUCT(VLOOKUP($A291,S275_01,{2,3,4},FALSE)),0)+IFERROR(SUMPRODUCT(VLOOKUP($A291,S275_97,{2,3,4},FALSE)),0)+IFERROR(ROUND(VLOOKUP($A291,S275_21,2,FALSE)*VLOOKUP($A291,'3121% SY'!$C$3:$M$324,11,FALSE),3),0)+IFERROR(ROUND(VLOOKUP($A291,S275_21,3,FALSE)*VLOOKUP($A291,'3121% SY'!$C$3:$M$324,11,FALSE),3),0)+IFERROR(ROUND(VLOOKUP($A291,S275_21,4,FALSE)*VLOOKUP($A291,'3121% SY'!$C$3:$M$324,11,FALSE),3),0)+IFERROR(VLOOKUP($A291,S275_09,2,FALSE),0)</f>
        <v>0</v>
      </c>
      <c r="AE291" s="267">
        <f>IFERROR(VLOOKUP($A291,Supp_25,14,FALSE),0)+IFERROR(SUMPRODUCT(VLOOKUP($A291,S275_01,{5,6,7},FALSE)),0)+IFERROR(SUMPRODUCT(VLOOKUP($A291,S275_97,{5,6,7},FALSE)),0)+IFERROR(ROUND(VLOOKUP($A291,S275_21,5,FALSE)*VLOOKUP($A291,'3121% SY'!$C$3:$M$324,11,FALSE),3),0)+IFERROR(ROUND(VLOOKUP($A291,S275_21,6,FALSE)*VLOOKUP($A291,'3121% SY'!$C$3:$M$324,11,FALSE),3),0)+IFERROR(ROUND(VLOOKUP($A291,S275_21,7,FALSE)*VLOOKUP($A291,'3121% SY'!$C$3:$M$324,11,FALSE),3),0)+IFERROR(VLOOKUP($A291,S275_09,3,FALSE),0)</f>
        <v>8.0060000000000002</v>
      </c>
      <c r="AF291" s="267">
        <f>IFERROR(VLOOKUP($A291,Supp_26,14,FALSE),0)+IFERROR(SUMPRODUCT(VLOOKUP($A291,S275_01,{8,9,10},FALSE)),0)+IFERROR(SUMPRODUCT(VLOOKUP($A291,S275_97,{8,9,10},FALSE)),0)+IFERROR(ROUND(VLOOKUP($A291,S275_21,8,FALSE)*VLOOKUP($A291,'3121% SY'!$C$3:$M$324,11,FALSE),3),0)+IFERROR(ROUND(VLOOKUP($A291,S275_21,9,FALSE)*VLOOKUP($A291,'3121% SY'!$C$3:$M$324,11,FALSE),3),0)+IFERROR(ROUND(VLOOKUP($A291,S275_21,10,FALSE)*VLOOKUP($A291,'3121% SY'!$C$3:$M$324,11,FALSE),3),0)+IFERROR(VLOOKUP($A291,S275_09,4,FALSE),0)</f>
        <v>6.2009999999999996</v>
      </c>
      <c r="AG291" s="267">
        <f>IFERROR(VLOOKUP($A291,Supp_35,14,FALSE),0)+IFERROR(SUMPRODUCT(VLOOKUP($A291,S275_01,{11,12,13},FALSE)),0)+IFERROR(SUMPRODUCT(VLOOKUP($A291,S275_97,{11,12,13},FALSE)),0)+IFERROR(ROUND(VLOOKUP($A291,S275_21,11,FALSE)*VLOOKUP($A291,'3121% SY'!$C$3:$M$324,11,FALSE),3),0)+IFERROR(ROUND(VLOOKUP($A291,S275_21,12,FALSE)*VLOOKUP($A291,'3121% SY'!$C$3:$M$324,11,FALSE),3),0)+IFERROR(ROUND(VLOOKUP($A291,S275_21,13,FALSE)*VLOOKUP($A291,'3121% SY'!$C$3:$M$324,11,FALSE),3),0)+IFERROR(VLOOKUP($A291,S275_09,5,FALSE),0)</f>
        <v>1.47</v>
      </c>
      <c r="AH291" s="165">
        <f t="shared" si="58"/>
        <v>15.677000000000001</v>
      </c>
      <c r="AI291" s="161">
        <f>IFERROR(VLOOKUP(A291,'Supp Staff Data'!A:ER,148,FALSE),0)+AB291</f>
        <v>0</v>
      </c>
      <c r="AJ291" s="174">
        <v>0.5</v>
      </c>
      <c r="AK291" s="25">
        <f>VLOOKUP(A291,'Enroll Data as of January 2025'!$A$3:$T$323,20,FALSE)-F291</f>
        <v>0</v>
      </c>
    </row>
    <row r="292" spans="1:37" x14ac:dyDescent="0.25">
      <c r="A292" s="171" t="s">
        <v>188</v>
      </c>
      <c r="B292" t="s">
        <v>1612</v>
      </c>
      <c r="C292" s="173" t="s">
        <v>1077</v>
      </c>
      <c r="D292" s="259">
        <f t="shared" si="50"/>
        <v>54.800000000000004</v>
      </c>
      <c r="E292" s="259">
        <f t="shared" si="51"/>
        <v>64.597999999999999</v>
      </c>
      <c r="F292" s="262">
        <f t="shared" si="52"/>
        <v>9.798</v>
      </c>
      <c r="G292" s="161">
        <f>ROUND(IF(F292&lt;0,F292*'2024-25 PSES Compliance'!$G$13,0),3)</f>
        <v>0</v>
      </c>
      <c r="H292" s="161">
        <f>ROUND(IF(F292&lt;0,F292*'2024-25 PSES Compliance'!$G$14,0),3)</f>
        <v>0</v>
      </c>
      <c r="I292" s="174">
        <f t="shared" si="53"/>
        <v>0.67743390197838937</v>
      </c>
      <c r="J292" s="174">
        <f t="shared" si="54"/>
        <v>0</v>
      </c>
      <c r="K292" s="161">
        <f>VLOOKUP($A292,'Enroll Data as of January 2025'!$A$3:$M$322,6,FALSE)</f>
        <v>31.164000000000001</v>
      </c>
      <c r="L292" s="161">
        <f>VLOOKUP($A292,'Enroll Data as of January 2025'!$A$3:$M$322,7,FALSE)</f>
        <v>4.9239999999999995</v>
      </c>
      <c r="M292" s="161">
        <f>VLOOKUP($A292,'Enroll Data as of January 2025'!$A$3:$M$322,8,FALSE)</f>
        <v>1.6539999999999999</v>
      </c>
      <c r="N292" s="161">
        <f>VLOOKUP($A292,'Enroll Data as of January 2025'!$A$3:$M$322,9,FALSE)</f>
        <v>14.042999999999999</v>
      </c>
      <c r="O292" s="165">
        <f t="shared" si="55"/>
        <v>51.785000000000004</v>
      </c>
      <c r="P292" s="161">
        <f>VLOOKUP($A292,'Enroll Data as of January 2025'!$A$3:$M$322,11,FALSE)</f>
        <v>1.923</v>
      </c>
      <c r="Q292" s="161">
        <f>VLOOKUP($A292,'Enroll Data as of January 2025'!$A$3:$M$322,12,FALSE)</f>
        <v>1.0920000000000001</v>
      </c>
      <c r="R292" s="165">
        <f t="shared" si="56"/>
        <v>3.0150000000000001</v>
      </c>
      <c r="S292" s="267">
        <f>IFERROR(VLOOKUP($A292,Supp_39,14,FALSE),0)+IFERROR(SUMPRODUCT(VLOOKUP($A292,S275_01,{14,15,16},FALSE)),0)+IFERROR(SUMPRODUCT(VLOOKUP($A292,S275_97,{14,15,16},FALSE)),0)+IFERROR(ROUND(VLOOKUP($A292,S275_21,14,FALSE)*VLOOKUP($A292,'3121% SY'!$C$3:$M$324,11,FALSE),3),0)+IFERROR(ROUND(VLOOKUP($A292,S275_21,15,FALSE)*VLOOKUP($A292,'3121% SY'!$C$3:$M$324,11,FALSE),3),0)+IFERROR(ROUND(VLOOKUP($A292,S275_21,16,FALSE)*VLOOKUP($A292,'3121% SY'!$C$3:$M$324,11,FALSE),3),0)+IFERROR(VLOOKUP($A292,S275_09,6,FALSE),0)</f>
        <v>22.290999999999997</v>
      </c>
      <c r="T292" s="267">
        <f>IFERROR(VLOOKUP($A292,Supp_42,14,FALSE),0)+IFERROR(SUMPRODUCT(VLOOKUP($A292,S275_01,{17,18,19},FALSE)),0)+IFERROR(SUMPRODUCT(VLOOKUP($A292,S275_97,{17,18,19},FALSE)),0)+IFERROR(ROUND(VLOOKUP($A292,S275_21,17,FALSE)*VLOOKUP($A292,'3121% SY'!$C$3:$M$324,11,FALSE),3),0)+IFERROR(ROUND(VLOOKUP($A292,S275_21,18,FALSE)*VLOOKUP($A292,'3121% SY'!$C$3:$M$324,11,FALSE),3),0)+IFERROR(ROUND(VLOOKUP($A292,S275_21,19,FALSE)*VLOOKUP($A292,'3121% SY'!$C$3:$M$324,11,FALSE),3),0)+IFERROR(VLOOKUP($A292,S275_09,7,FALSE),0)</f>
        <v>4.4889999999999999</v>
      </c>
      <c r="U292" s="267">
        <f>IFERROR(VLOOKUP($A292,Supp_43,14,FALSE),0)+IFERROR(SUMPRODUCT(VLOOKUP($A292,S275_01,{20,21,22},FALSE)),0)+IFERROR(SUMPRODUCT(VLOOKUP($A292,S275_97,{20,21,22},FALSE)),0)+IFERROR(ROUND(VLOOKUP($A292,S275_21,20,FALSE)*VLOOKUP($A292,'3121% SY'!$C$3:$M$324,11,FALSE),3),0)+IFERROR(ROUND(VLOOKUP($A292,S275_21,21,FALSE)*VLOOKUP($A292,'3121% SY'!$C$3:$M$324,11,FALSE),3),0)+IFERROR(ROUND(VLOOKUP($A292,S275_21,22,FALSE)*VLOOKUP($A292,'3121% SY'!$C$3:$M$324,11,FALSE),3),0)+IFERROR(VLOOKUP($A292,S275_09,8,FALSE),0)</f>
        <v>3.3980000000000001</v>
      </c>
      <c r="V292" s="267">
        <f>IFERROR(VLOOKUP($A292,Supp_44,14,FALSE),0)+IFERROR(SUMPRODUCT(VLOOKUP($A292,S275_01,{23,24,25},FALSE)),0)+IFERROR(SUMPRODUCT(VLOOKUP($A292,S275_97,{23,24,25},FALSE)),0)+IFERROR(ROUND(VLOOKUP($A292,S275_21,23,FALSE)*VLOOKUP($A292,'3121% SY'!$C$3:$M$324,11,FALSE),3),0)+IFERROR(ROUND(VLOOKUP($A292,S275_21,24,FALSE)*VLOOKUP($A292,'3121% SY'!$C$3:$M$324,11,FALSE),3),0)+IFERROR(ROUND(VLOOKUP($A292,S275_21,25,FALSE)*VLOOKUP($A292,'3121% SY'!$C$3:$M$324,11,FALSE),3),0)+IFERROR(VLOOKUP($A292,S275_09,9,FALSE),0)</f>
        <v>3.7299999999999995</v>
      </c>
      <c r="W292" s="267">
        <f>IFERROR(VLOOKUP($A292,Supp_45,14,FALSE),0)+IFERROR(SUMPRODUCT(VLOOKUP($A292,S275_01,{26,27,28},FALSE)),0)+IFERROR(SUMPRODUCT(VLOOKUP($A292,S275_97,{26,27,28},FALSE)),0)+IFERROR(ROUND(VLOOKUP($A292,S275_21,26,FALSE)*VLOOKUP($A292,'3121% SY'!$C$3:$M$324,11,FALSE),3),0)+IFERROR(ROUND(VLOOKUP($A292,S275_21,27,FALSE)*VLOOKUP($A292,'3121% SY'!$C$3:$M$324,11,FALSE),3),0)+IFERROR(ROUND(VLOOKUP($A292,S275_21,28,FALSE)*VLOOKUP($A292,'3121% SY'!$C$3:$M$324,11,FALSE),3),0)+IFERROR(VLOOKUP($A292,S275_09,10,FALSE),0)</f>
        <v>4.6429999999999998</v>
      </c>
      <c r="X292" s="267">
        <f>IFERROR(VLOOKUP($A292,Supp_46,14,FALSE),0)+IFERROR(SUMPRODUCT(VLOOKUP($A292,S275_01,{29,30,31},FALSE)),0)+IFERROR(SUMPRODUCT(VLOOKUP($A292,S275_97,{29,30,31},FALSE)),0)+IFERROR(ROUND(VLOOKUP($A292,S275_21,29,FALSE)*VLOOKUP($A292,'3121% SY'!$C$3:$M$324,11,FALSE),3),0)+IFERROR(ROUND(VLOOKUP($A292,S275_21,30,FALSE)*VLOOKUP($A292,'3121% SY'!$C$3:$M$324,11,FALSE),3),0)+IFERROR(ROUND(VLOOKUP($A292,S275_21,31,FALSE)*VLOOKUP($A292,'3121% SY'!$C$3:$M$324,11,FALSE),3),0)+IFERROR(VLOOKUP($A292,S275_09,11,FALSE),0)</f>
        <v>6.1159999999999997</v>
      </c>
      <c r="Y292" s="267">
        <f>IFERROR(VLOOKUP($A292,Supp_47,14,FALSE),0)+IFERROR(SUMPRODUCT(VLOOKUP($A292,S275_01,{32,33,34},FALSE)),0)+IFERROR(SUMPRODUCT(VLOOKUP($A292,S275_97,{32,33,34},FALSE)),0)+IFERROR(ROUND(VLOOKUP($A292,S275_21,32,FALSE)*VLOOKUP($A292,'3121% SY'!$C$3:$M$324,11,FALSE),3),0)+IFERROR(ROUND(VLOOKUP($A292,S275_21,33,FALSE)*VLOOKUP($A292,'3121% SY'!$C$3:$M$324,11,FALSE),3),0)+IFERROR(ROUND(VLOOKUP($A292,S275_21,34,FALSE)*VLOOKUP($A292,'3121% SY'!$C$3:$M$324,11,FALSE),3),0)+IFERROR(VLOOKUP($A292,S275_09,12,FALSE),0)</f>
        <v>0.45600000000000002</v>
      </c>
      <c r="Z292" s="267">
        <f>IFERROR(VLOOKUP($A292,Supp_48,14,FALSE),0)+IFERROR(SUMPRODUCT(VLOOKUP($A292,S275_01,{35,36,37},FALSE)),0)+IFERROR(SUMPRODUCT(VLOOKUP($A292,S275_97,{35,36,37},FALSE)),0)+IFERROR(ROUND(VLOOKUP($A292,S275_21,35,FALSE)*VLOOKUP($A292,'3121% SY'!$C$3:$M$324,11,FALSE),3),0)+IFERROR(ROUND(VLOOKUP($A292,S275_21,36,FALSE)*VLOOKUP($A292,'3121% SY'!$C$3:$M$324,11,FALSE),3),0)+IFERROR(ROUND(VLOOKUP($A292,S275_21,37,FALSE)*VLOOKUP($A292,'3121% SY'!$C$3:$M$324,11,FALSE),3),0)+IFERROR(VLOOKUP($A292,S275_09,13,FALSE),0)</f>
        <v>0.55000000000000004</v>
      </c>
      <c r="AA292" s="267">
        <f>IFERROR(VLOOKUP($A292,Supp_49,14,FALSE),0)+IFERROR(SUMPRODUCT(VLOOKUP($A292,S275_01,{38,39,40},FALSE)),0)+IFERROR(SUMPRODUCT(VLOOKUP($A292,S275_97,{38,39,40},FALSE)),0)+IFERROR(ROUND(VLOOKUP($A292,S275_21,38,FALSE)*VLOOKUP($A292,'3121% SY'!$C$3:$M$324,11,FALSE),3),0)+IFERROR(ROUND(VLOOKUP($A292,S275_21,39,FALSE)*VLOOKUP($A292,'3121% SY'!$C$3:$M$324,11,FALSE),3),0)+IFERROR(ROUND(VLOOKUP($A292,S275_21,40,FALSE)*VLOOKUP($A292,'3121% SY'!$C$3:$M$324,11,FALSE),3),0)+IFERROR(VLOOKUP($A292,S275_09,14,FALSE),0)</f>
        <v>0.27500000000000002</v>
      </c>
      <c r="AB292" s="267">
        <f>IFERROR(VLOOKUP($A292,Supp_64,14,FALSE),0)+IFERROR(SUMPRODUCT(VLOOKUP($A292,S275_01,{41,42,43},FALSE)),0)+IFERROR(SUMPRODUCT(VLOOKUP($A292,S275_97,{41,42,43},FALSE)),0)+IFERROR(ROUND(VLOOKUP($A292,S275_21,41,FALSE)*VLOOKUP($A292,'3121% SY'!$C$3:$M$324,11,FALSE),3),0)+IFERROR(ROUND(VLOOKUP($A292,S275_21,42,FALSE)*VLOOKUP($A292,'3121% SY'!$C$3:$M$324,11,FALSE),3),0)+IFERROR(ROUND(VLOOKUP($A292,S275_21,43,FALSE)*VLOOKUP($A292,'3121% SY'!$C$3:$M$324,11,FALSE),3),0)+IFERROR(VLOOKUP($A292,S275_09,15,FALSE),0)</f>
        <v>0</v>
      </c>
      <c r="AC292" s="268">
        <f t="shared" si="57"/>
        <v>45.947999999999993</v>
      </c>
      <c r="AD292" s="267">
        <f>IFERROR(VLOOKUP($A292,Supp_24,14,FALSE),0)+IFERROR(SUMPRODUCT(VLOOKUP($A292,S275_01,{2,3,4},FALSE)),0)+IFERROR(SUMPRODUCT(VLOOKUP($A292,S275_97,{2,3,4},FALSE)),0)+IFERROR(ROUND(VLOOKUP($A292,S275_21,2,FALSE)*VLOOKUP($A292,'3121% SY'!$C$3:$M$324,11,FALSE),3),0)+IFERROR(ROUND(VLOOKUP($A292,S275_21,3,FALSE)*VLOOKUP($A292,'3121% SY'!$C$3:$M$324,11,FALSE),3),0)+IFERROR(ROUND(VLOOKUP($A292,S275_21,4,FALSE)*VLOOKUP($A292,'3121% SY'!$C$3:$M$324,11,FALSE),3),0)+IFERROR(VLOOKUP($A292,S275_09,2,FALSE),0)</f>
        <v>0</v>
      </c>
      <c r="AE292" s="267">
        <f>IFERROR(VLOOKUP($A292,Supp_25,14,FALSE),0)+IFERROR(SUMPRODUCT(VLOOKUP($A292,S275_01,{5,6,7},FALSE)),0)+IFERROR(SUMPRODUCT(VLOOKUP($A292,S275_97,{5,6,7},FALSE)),0)+IFERROR(ROUND(VLOOKUP($A292,S275_21,5,FALSE)*VLOOKUP($A292,'3121% SY'!$C$3:$M$324,11,FALSE),3),0)+IFERROR(ROUND(VLOOKUP($A292,S275_21,6,FALSE)*VLOOKUP($A292,'3121% SY'!$C$3:$M$324,11,FALSE),3),0)+IFERROR(ROUND(VLOOKUP($A292,S275_21,7,FALSE)*VLOOKUP($A292,'3121% SY'!$C$3:$M$324,11,FALSE),3),0)+IFERROR(VLOOKUP($A292,S275_09,3,FALSE),0)</f>
        <v>3.73</v>
      </c>
      <c r="AF292" s="267">
        <f>IFERROR(VLOOKUP($A292,Supp_26,14,FALSE),0)+IFERROR(SUMPRODUCT(VLOOKUP($A292,S275_01,{8,9,10},FALSE)),0)+IFERROR(SUMPRODUCT(VLOOKUP($A292,S275_97,{8,9,10},FALSE)),0)+IFERROR(ROUND(VLOOKUP($A292,S275_21,8,FALSE)*VLOOKUP($A292,'3121% SY'!$C$3:$M$324,11,FALSE),3),0)+IFERROR(ROUND(VLOOKUP($A292,S275_21,9,FALSE)*VLOOKUP($A292,'3121% SY'!$C$3:$M$324,11,FALSE),3),0)+IFERROR(ROUND(VLOOKUP($A292,S275_21,10,FALSE)*VLOOKUP($A292,'3121% SY'!$C$3:$M$324,11,FALSE),3),0)+IFERROR(VLOOKUP($A292,S275_09,4,FALSE),0)</f>
        <v>11.936000000000002</v>
      </c>
      <c r="AG292" s="267">
        <f>IFERROR(VLOOKUP($A292,Supp_35,14,FALSE),0)+IFERROR(SUMPRODUCT(VLOOKUP($A292,S275_01,{11,12,13},FALSE)),0)+IFERROR(SUMPRODUCT(VLOOKUP($A292,S275_97,{11,12,13},FALSE)),0)+IFERROR(ROUND(VLOOKUP($A292,S275_21,11,FALSE)*VLOOKUP($A292,'3121% SY'!$C$3:$M$324,11,FALSE),3),0)+IFERROR(ROUND(VLOOKUP($A292,S275_21,12,FALSE)*VLOOKUP($A292,'3121% SY'!$C$3:$M$324,11,FALSE),3),0)+IFERROR(ROUND(VLOOKUP($A292,S275_21,13,FALSE)*VLOOKUP($A292,'3121% SY'!$C$3:$M$324,11,FALSE),3),0)+IFERROR(VLOOKUP($A292,S275_09,5,FALSE),0)</f>
        <v>2.984</v>
      </c>
      <c r="AH292" s="165">
        <f t="shared" si="58"/>
        <v>18.650000000000002</v>
      </c>
      <c r="AI292" s="161">
        <f>IFERROR(VLOOKUP(A292,'Supp Staff Data'!A:ER,148,FALSE),0)+AB292</f>
        <v>0</v>
      </c>
      <c r="AJ292" s="174">
        <v>0.95240000000000002</v>
      </c>
      <c r="AK292" s="25">
        <f>VLOOKUP(A292,'Enroll Data as of January 2025'!$A$3:$T$323,20,FALSE)-F292</f>
        <v>0</v>
      </c>
    </row>
    <row r="293" spans="1:37" x14ac:dyDescent="0.25">
      <c r="A293" s="171" t="s">
        <v>215</v>
      </c>
      <c r="B293" t="s">
        <v>510</v>
      </c>
      <c r="C293" s="173" t="s">
        <v>1077</v>
      </c>
      <c r="D293" s="259">
        <f t="shared" si="50"/>
        <v>79.989999999999995</v>
      </c>
      <c r="E293" s="259">
        <f t="shared" si="51"/>
        <v>76.938000000000017</v>
      </c>
      <c r="F293" s="262">
        <f t="shared" ref="F293:F325" si="59">ROUND((AC293+AH293)-(O293+R293),3)</f>
        <v>-3.052</v>
      </c>
      <c r="G293" s="161">
        <f>ROUND(IF(F293&lt;0,F293*'2024-25 PSES Compliance'!$G$13,0),3)</f>
        <v>-2.93</v>
      </c>
      <c r="H293" s="161">
        <f>ROUND(IF(F293&lt;0,F293*'2024-25 PSES Compliance'!$G$14,0),3)</f>
        <v>-0.122</v>
      </c>
      <c r="I293" s="174">
        <f t="shared" si="53"/>
        <v>0.84513379864306326</v>
      </c>
      <c r="J293" s="174">
        <f t="shared" si="54"/>
        <v>0</v>
      </c>
      <c r="K293" s="161">
        <f>VLOOKUP($A293,'Enroll Data as of January 2025'!$A$3:$M$322,6,FALSE)</f>
        <v>45.370000000000005</v>
      </c>
      <c r="L293" s="161">
        <f>VLOOKUP($A293,'Enroll Data as of January 2025'!$A$3:$M$322,7,FALSE)</f>
        <v>7.2669999999999995</v>
      </c>
      <c r="M293" s="161">
        <f>VLOOKUP($A293,'Enroll Data as of January 2025'!$A$3:$M$322,8,FALSE)</f>
        <v>2.4430000000000001</v>
      </c>
      <c r="N293" s="161">
        <f>VLOOKUP($A293,'Enroll Data as of January 2025'!$A$3:$M$322,9,FALSE)</f>
        <v>20.478999999999999</v>
      </c>
      <c r="O293" s="165">
        <f t="shared" si="55"/>
        <v>75.558999999999997</v>
      </c>
      <c r="P293" s="161">
        <f>VLOOKUP($A293,'Enroll Data as of January 2025'!$A$3:$M$322,11,FALSE)</f>
        <v>2.81</v>
      </c>
      <c r="Q293" s="161">
        <f>VLOOKUP($A293,'Enroll Data as of January 2025'!$A$3:$M$322,12,FALSE)</f>
        <v>1.621</v>
      </c>
      <c r="R293" s="165">
        <f t="shared" si="56"/>
        <v>4.431</v>
      </c>
      <c r="S293" s="267">
        <f>IFERROR(VLOOKUP($A293,Supp_39,14,FALSE),0)+IFERROR(SUMPRODUCT(VLOOKUP($A293,S275_01,{14,15,16},FALSE)),0)+IFERROR(SUMPRODUCT(VLOOKUP($A293,S275_97,{14,15,16},FALSE)),0)+IFERROR(ROUND(VLOOKUP($A293,S275_21,14,FALSE)*VLOOKUP($A293,'3121% SY'!$C$3:$M$324,11,FALSE),3),0)+IFERROR(ROUND(VLOOKUP($A293,S275_21,15,FALSE)*VLOOKUP($A293,'3121% SY'!$C$3:$M$324,11,FALSE),3),0)+IFERROR(ROUND(VLOOKUP($A293,S275_21,16,FALSE)*VLOOKUP($A293,'3121% SY'!$C$3:$M$324,11,FALSE),3),0)+IFERROR(VLOOKUP($A293,S275_09,6,FALSE),0)</f>
        <v>18.426000000000002</v>
      </c>
      <c r="T293" s="267">
        <f>IFERROR(VLOOKUP($A293,Supp_42,14,FALSE),0)+IFERROR(SUMPRODUCT(VLOOKUP($A293,S275_01,{17,18,19},FALSE)),0)+IFERROR(SUMPRODUCT(VLOOKUP($A293,S275_97,{17,18,19},FALSE)),0)+IFERROR(ROUND(VLOOKUP($A293,S275_21,17,FALSE)*VLOOKUP($A293,'3121% SY'!$C$3:$M$324,11,FALSE),3),0)+IFERROR(ROUND(VLOOKUP($A293,S275_21,18,FALSE)*VLOOKUP($A293,'3121% SY'!$C$3:$M$324,11,FALSE),3),0)+IFERROR(ROUND(VLOOKUP($A293,S275_21,19,FALSE)*VLOOKUP($A293,'3121% SY'!$C$3:$M$324,11,FALSE),3),0)+IFERROR(VLOOKUP($A293,S275_09,7,FALSE),0)</f>
        <v>7.556</v>
      </c>
      <c r="U293" s="267">
        <f>IFERROR(VLOOKUP($A293,Supp_43,14,FALSE),0)+IFERROR(SUMPRODUCT(VLOOKUP($A293,S275_01,{20,21,22},FALSE)),0)+IFERROR(SUMPRODUCT(VLOOKUP($A293,S275_97,{20,21,22},FALSE)),0)+IFERROR(ROUND(VLOOKUP($A293,S275_21,20,FALSE)*VLOOKUP($A293,'3121% SY'!$C$3:$M$324,11,FALSE),3),0)+IFERROR(ROUND(VLOOKUP($A293,S275_21,21,FALSE)*VLOOKUP($A293,'3121% SY'!$C$3:$M$324,11,FALSE),3),0)+IFERROR(ROUND(VLOOKUP($A293,S275_21,22,FALSE)*VLOOKUP($A293,'3121% SY'!$C$3:$M$324,11,FALSE),3),0)+IFERROR(VLOOKUP($A293,S275_09,8,FALSE),0)</f>
        <v>11.685</v>
      </c>
      <c r="V293" s="267">
        <f>IFERROR(VLOOKUP($A293,Supp_44,14,FALSE),0)+IFERROR(SUMPRODUCT(VLOOKUP($A293,S275_01,{23,24,25},FALSE)),0)+IFERROR(SUMPRODUCT(VLOOKUP($A293,S275_97,{23,24,25},FALSE)),0)+IFERROR(ROUND(VLOOKUP($A293,S275_21,23,FALSE)*VLOOKUP($A293,'3121% SY'!$C$3:$M$324,11,FALSE),3),0)+IFERROR(ROUND(VLOOKUP($A293,S275_21,24,FALSE)*VLOOKUP($A293,'3121% SY'!$C$3:$M$324,11,FALSE),3),0)+IFERROR(ROUND(VLOOKUP($A293,S275_21,25,FALSE)*VLOOKUP($A293,'3121% SY'!$C$3:$M$324,11,FALSE),3),0)+IFERROR(VLOOKUP($A293,S275_09,9,FALSE),0)</f>
        <v>0</v>
      </c>
      <c r="W293" s="267">
        <f>IFERROR(VLOOKUP($A293,Supp_45,14,FALSE),0)+IFERROR(SUMPRODUCT(VLOOKUP($A293,S275_01,{26,27,28},FALSE)),0)+IFERROR(SUMPRODUCT(VLOOKUP($A293,S275_97,{26,27,28},FALSE)),0)+IFERROR(ROUND(VLOOKUP($A293,S275_21,26,FALSE)*VLOOKUP($A293,'3121% SY'!$C$3:$M$324,11,FALSE),3),0)+IFERROR(ROUND(VLOOKUP($A293,S275_21,27,FALSE)*VLOOKUP($A293,'3121% SY'!$C$3:$M$324,11,FALSE),3),0)+IFERROR(ROUND(VLOOKUP($A293,S275_21,28,FALSE)*VLOOKUP($A293,'3121% SY'!$C$3:$M$324,11,FALSE),3),0)+IFERROR(VLOOKUP($A293,S275_09,10,FALSE),0)</f>
        <v>11.373000000000001</v>
      </c>
      <c r="X293" s="267">
        <f>IFERROR(VLOOKUP($A293,Supp_46,14,FALSE),0)+IFERROR(SUMPRODUCT(VLOOKUP($A293,S275_01,{29,30,31},FALSE)),0)+IFERROR(SUMPRODUCT(VLOOKUP($A293,S275_97,{29,30,31},FALSE)),0)+IFERROR(ROUND(VLOOKUP($A293,S275_21,29,FALSE)*VLOOKUP($A293,'3121% SY'!$C$3:$M$324,11,FALSE),3),0)+IFERROR(ROUND(VLOOKUP($A293,S275_21,30,FALSE)*VLOOKUP($A293,'3121% SY'!$C$3:$M$324,11,FALSE),3),0)+IFERROR(ROUND(VLOOKUP($A293,S275_21,31,FALSE)*VLOOKUP($A293,'3121% SY'!$C$3:$M$324,11,FALSE),3),0)+IFERROR(VLOOKUP($A293,S275_09,11,FALSE),0)</f>
        <v>15.574999999999999</v>
      </c>
      <c r="Y293" s="267">
        <f>IFERROR(VLOOKUP($A293,Supp_47,14,FALSE),0)+IFERROR(SUMPRODUCT(VLOOKUP($A293,S275_01,{32,33,34},FALSE)),0)+IFERROR(SUMPRODUCT(VLOOKUP($A293,S275_97,{32,33,34},FALSE)),0)+IFERROR(ROUND(VLOOKUP($A293,S275_21,32,FALSE)*VLOOKUP($A293,'3121% SY'!$C$3:$M$324,11,FALSE),3),0)+IFERROR(ROUND(VLOOKUP($A293,S275_21,33,FALSE)*VLOOKUP($A293,'3121% SY'!$C$3:$M$324,11,FALSE),3),0)+IFERROR(ROUND(VLOOKUP($A293,S275_21,34,FALSE)*VLOOKUP($A293,'3121% SY'!$C$3:$M$324,11,FALSE),3),0)+IFERROR(VLOOKUP($A293,S275_09,12,FALSE),0)</f>
        <v>2.7509999999999999</v>
      </c>
      <c r="Z293" s="267">
        <f>IFERROR(VLOOKUP($A293,Supp_48,14,FALSE),0)+IFERROR(SUMPRODUCT(VLOOKUP($A293,S275_01,{35,36,37},FALSE)),0)+IFERROR(SUMPRODUCT(VLOOKUP($A293,S275_97,{35,36,37},FALSE)),0)+IFERROR(ROUND(VLOOKUP($A293,S275_21,35,FALSE)*VLOOKUP($A293,'3121% SY'!$C$3:$M$324,11,FALSE),3),0)+IFERROR(ROUND(VLOOKUP($A293,S275_21,36,FALSE)*VLOOKUP($A293,'3121% SY'!$C$3:$M$324,11,FALSE),3),0)+IFERROR(ROUND(VLOOKUP($A293,S275_21,37,FALSE)*VLOOKUP($A293,'3121% SY'!$C$3:$M$324,11,FALSE),3),0)+IFERROR(VLOOKUP($A293,S275_09,13,FALSE),0)</f>
        <v>1.2669999999999999</v>
      </c>
      <c r="AA293" s="267">
        <f>IFERROR(VLOOKUP($A293,Supp_49,14,FALSE),0)+IFERROR(SUMPRODUCT(VLOOKUP($A293,S275_01,{38,39,40},FALSE)),0)+IFERROR(SUMPRODUCT(VLOOKUP($A293,S275_97,{38,39,40},FALSE)),0)+IFERROR(ROUND(VLOOKUP($A293,S275_21,38,FALSE)*VLOOKUP($A293,'3121% SY'!$C$3:$M$324,11,FALSE),3),0)+IFERROR(ROUND(VLOOKUP($A293,S275_21,39,FALSE)*VLOOKUP($A293,'3121% SY'!$C$3:$M$324,11,FALSE),3),0)+IFERROR(ROUND(VLOOKUP($A293,S275_21,40,FALSE)*VLOOKUP($A293,'3121% SY'!$C$3:$M$324,11,FALSE),3),0)+IFERROR(VLOOKUP($A293,S275_09,14,FALSE),0)</f>
        <v>0</v>
      </c>
      <c r="AB293" s="267">
        <f>IFERROR(VLOOKUP($A293,Supp_64,14,FALSE),0)+IFERROR(SUMPRODUCT(VLOOKUP($A293,S275_01,{41,42,43},FALSE)),0)+IFERROR(SUMPRODUCT(VLOOKUP($A293,S275_97,{41,42,43},FALSE)),0)+IFERROR(ROUND(VLOOKUP($A293,S275_21,41,FALSE)*VLOOKUP($A293,'3121% SY'!$C$3:$M$324,11,FALSE),3),0)+IFERROR(ROUND(VLOOKUP($A293,S275_21,42,FALSE)*VLOOKUP($A293,'3121% SY'!$C$3:$M$324,11,FALSE),3),0)+IFERROR(ROUND(VLOOKUP($A293,S275_21,43,FALSE)*VLOOKUP($A293,'3121% SY'!$C$3:$M$324,11,FALSE),3),0)+IFERROR(VLOOKUP($A293,S275_09,15,FALSE),0)</f>
        <v>0</v>
      </c>
      <c r="AC293" s="268">
        <f t="shared" si="57"/>
        <v>68.63300000000001</v>
      </c>
      <c r="AD293" s="267">
        <f>IFERROR(VLOOKUP($A293,Supp_24,14,FALSE),0)+IFERROR(SUMPRODUCT(VLOOKUP($A293,S275_01,{2,3,4},FALSE)),0)+IFERROR(SUMPRODUCT(VLOOKUP($A293,S275_97,{2,3,4},FALSE)),0)+IFERROR(ROUND(VLOOKUP($A293,S275_21,2,FALSE)*VLOOKUP($A293,'3121% SY'!$C$3:$M$324,11,FALSE),3),0)+IFERROR(ROUND(VLOOKUP($A293,S275_21,3,FALSE)*VLOOKUP($A293,'3121% SY'!$C$3:$M$324,11,FALSE),3),0)+IFERROR(ROUND(VLOOKUP($A293,S275_21,4,FALSE)*VLOOKUP($A293,'3121% SY'!$C$3:$M$324,11,FALSE),3),0)+IFERROR(VLOOKUP($A293,S275_09,2,FALSE),0)</f>
        <v>0</v>
      </c>
      <c r="AE293" s="267">
        <f>IFERROR(VLOOKUP($A293,Supp_25,14,FALSE),0)+IFERROR(SUMPRODUCT(VLOOKUP($A293,S275_01,{5,6,7},FALSE)),0)+IFERROR(SUMPRODUCT(VLOOKUP($A293,S275_97,{5,6,7},FALSE)),0)+IFERROR(ROUND(VLOOKUP($A293,S275_21,5,FALSE)*VLOOKUP($A293,'3121% SY'!$C$3:$M$324,11,FALSE),3),0)+IFERROR(ROUND(VLOOKUP($A293,S275_21,6,FALSE)*VLOOKUP($A293,'3121% SY'!$C$3:$M$324,11,FALSE),3),0)+IFERROR(ROUND(VLOOKUP($A293,S275_21,7,FALSE)*VLOOKUP($A293,'3121% SY'!$C$3:$M$324,11,FALSE),3),0)+IFERROR(VLOOKUP($A293,S275_09,3,FALSE),0)</f>
        <v>0</v>
      </c>
      <c r="AF293" s="267">
        <f>IFERROR(VLOOKUP($A293,Supp_26,14,FALSE),0)+IFERROR(SUMPRODUCT(VLOOKUP($A293,S275_01,{8,9,10},FALSE)),0)+IFERROR(SUMPRODUCT(VLOOKUP($A293,S275_97,{8,9,10},FALSE)),0)+IFERROR(ROUND(VLOOKUP($A293,S275_21,8,FALSE)*VLOOKUP($A293,'3121% SY'!$C$3:$M$324,11,FALSE),3),0)+IFERROR(ROUND(VLOOKUP($A293,S275_21,9,FALSE)*VLOOKUP($A293,'3121% SY'!$C$3:$M$324,11,FALSE),3),0)+IFERROR(ROUND(VLOOKUP($A293,S275_21,10,FALSE)*VLOOKUP($A293,'3121% SY'!$C$3:$M$324,11,FALSE),3),0)+IFERROR(VLOOKUP($A293,S275_09,4,FALSE),0)</f>
        <v>2.7690000000000001</v>
      </c>
      <c r="AG293" s="267">
        <f>IFERROR(VLOOKUP($A293,Supp_35,14,FALSE),0)+IFERROR(SUMPRODUCT(VLOOKUP($A293,S275_01,{11,12,13},FALSE)),0)+IFERROR(SUMPRODUCT(VLOOKUP($A293,S275_97,{11,12,13},FALSE)),0)+IFERROR(ROUND(VLOOKUP($A293,S275_21,11,FALSE)*VLOOKUP($A293,'3121% SY'!$C$3:$M$324,11,FALSE),3),0)+IFERROR(ROUND(VLOOKUP($A293,S275_21,12,FALSE)*VLOOKUP($A293,'3121% SY'!$C$3:$M$324,11,FALSE),3),0)+IFERROR(ROUND(VLOOKUP($A293,S275_21,13,FALSE)*VLOOKUP($A293,'3121% SY'!$C$3:$M$324,11,FALSE),3),0)+IFERROR(VLOOKUP($A293,S275_09,5,FALSE),0)</f>
        <v>5.5359999999999996</v>
      </c>
      <c r="AH293" s="165">
        <f t="shared" si="58"/>
        <v>8.3049999999999997</v>
      </c>
      <c r="AI293" s="161">
        <f>IFERROR(VLOOKUP(A293,'Supp Staff Data'!A:ER,148,FALSE),0)+AB293</f>
        <v>0</v>
      </c>
      <c r="AJ293" s="174">
        <v>0.94740000000000002</v>
      </c>
      <c r="AK293" s="25">
        <f>VLOOKUP(A293,'Enroll Data as of January 2025'!$A$3:$T$323,20,FALSE)-F293</f>
        <v>0</v>
      </c>
    </row>
    <row r="294" spans="1:37" x14ac:dyDescent="0.25">
      <c r="A294" s="171" t="s">
        <v>119</v>
      </c>
      <c r="B294" t="s">
        <v>415</v>
      </c>
      <c r="C294" s="173" t="s">
        <v>1077</v>
      </c>
      <c r="D294" s="259">
        <f t="shared" si="50"/>
        <v>54.807000000000002</v>
      </c>
      <c r="E294" s="259">
        <f t="shared" si="51"/>
        <v>62.942999999999998</v>
      </c>
      <c r="F294" s="262">
        <f t="shared" si="59"/>
        <v>8.1359999999999992</v>
      </c>
      <c r="G294" s="161">
        <f>ROUND(IF(F294&lt;0,F294*'2024-25 PSES Compliance'!$G$13,0),3)</f>
        <v>0</v>
      </c>
      <c r="H294" s="161">
        <f>ROUND(IF(F294&lt;0,F294*'2024-25 PSES Compliance'!$G$14,0),3)</f>
        <v>0</v>
      </c>
      <c r="I294" s="174">
        <f t="shared" si="53"/>
        <v>0.72932653353033694</v>
      </c>
      <c r="J294" s="174">
        <f t="shared" si="54"/>
        <v>0.10026531941597953</v>
      </c>
      <c r="K294" s="161">
        <f>VLOOKUP($A294,'Enroll Data as of January 2025'!$A$3:$M$322,6,FALSE)</f>
        <v>30.748000000000001</v>
      </c>
      <c r="L294" s="161">
        <f>VLOOKUP($A294,'Enroll Data as of January 2025'!$A$3:$M$322,7,FALSE)</f>
        <v>5.0830000000000002</v>
      </c>
      <c r="M294" s="161">
        <f>VLOOKUP($A294,'Enroll Data as of January 2025'!$A$3:$M$322,8,FALSE)</f>
        <v>1.7040000000000002</v>
      </c>
      <c r="N294" s="161">
        <f>VLOOKUP($A294,'Enroll Data as of January 2025'!$A$3:$M$322,9,FALSE)</f>
        <v>14.2</v>
      </c>
      <c r="O294" s="165">
        <f t="shared" si="55"/>
        <v>51.734999999999999</v>
      </c>
      <c r="P294" s="161">
        <f>VLOOKUP($A294,'Enroll Data as of January 2025'!$A$3:$M$322,11,FALSE)</f>
        <v>1.927</v>
      </c>
      <c r="Q294" s="161">
        <f>VLOOKUP($A294,'Enroll Data as of January 2025'!$A$3:$M$322,12,FALSE)</f>
        <v>1.145</v>
      </c>
      <c r="R294" s="165">
        <f t="shared" si="56"/>
        <v>3.0720000000000001</v>
      </c>
      <c r="S294" s="267">
        <f>IFERROR(VLOOKUP($A294,Supp_39,14,FALSE),0)+IFERROR(SUMPRODUCT(VLOOKUP($A294,S275_01,{14,15,16},FALSE)),0)+IFERROR(SUMPRODUCT(VLOOKUP($A294,S275_97,{14,15,16},FALSE)),0)+IFERROR(ROUND(VLOOKUP($A294,S275_21,14,FALSE)*VLOOKUP($A294,'3121% SY'!$C$3:$M$324,11,FALSE),3),0)+IFERROR(ROUND(VLOOKUP($A294,S275_21,15,FALSE)*VLOOKUP($A294,'3121% SY'!$C$3:$M$324,11,FALSE),3),0)+IFERROR(ROUND(VLOOKUP($A294,S275_21,16,FALSE)*VLOOKUP($A294,'3121% SY'!$C$3:$M$324,11,FALSE),3),0)+IFERROR(VLOOKUP($A294,S275_09,6,FALSE),0)</f>
        <v>24.34</v>
      </c>
      <c r="T294" s="267">
        <f>IFERROR(VLOOKUP($A294,Supp_42,14,FALSE),0)+IFERROR(SUMPRODUCT(VLOOKUP($A294,S275_01,{17,18,19},FALSE)),0)+IFERROR(SUMPRODUCT(VLOOKUP($A294,S275_97,{17,18,19},FALSE)),0)+IFERROR(ROUND(VLOOKUP($A294,S275_21,17,FALSE)*VLOOKUP($A294,'3121% SY'!$C$3:$M$324,11,FALSE),3),0)+IFERROR(ROUND(VLOOKUP($A294,S275_21,18,FALSE)*VLOOKUP($A294,'3121% SY'!$C$3:$M$324,11,FALSE),3),0)+IFERROR(ROUND(VLOOKUP($A294,S275_21,19,FALSE)*VLOOKUP($A294,'3121% SY'!$C$3:$M$324,11,FALSE),3),0)+IFERROR(VLOOKUP($A294,S275_09,7,FALSE),0)</f>
        <v>5.36</v>
      </c>
      <c r="U294" s="267">
        <f>IFERROR(VLOOKUP($A294,Supp_43,14,FALSE),0)+IFERROR(SUMPRODUCT(VLOOKUP($A294,S275_01,{20,21,22},FALSE)),0)+IFERROR(SUMPRODUCT(VLOOKUP($A294,S275_97,{20,21,22},FALSE)),0)+IFERROR(ROUND(VLOOKUP($A294,S275_21,20,FALSE)*VLOOKUP($A294,'3121% SY'!$C$3:$M$324,11,FALSE),3),0)+IFERROR(ROUND(VLOOKUP($A294,S275_21,21,FALSE)*VLOOKUP($A294,'3121% SY'!$C$3:$M$324,11,FALSE),3),0)+IFERROR(ROUND(VLOOKUP($A294,S275_21,22,FALSE)*VLOOKUP($A294,'3121% SY'!$C$3:$M$324,11,FALSE),3),0)+IFERROR(VLOOKUP($A294,S275_09,8,FALSE),0)</f>
        <v>2.5670000000000002</v>
      </c>
      <c r="V294" s="267">
        <f>IFERROR(VLOOKUP($A294,Supp_44,14,FALSE),0)+IFERROR(SUMPRODUCT(VLOOKUP($A294,S275_01,{23,24,25},FALSE)),0)+IFERROR(SUMPRODUCT(VLOOKUP($A294,S275_97,{23,24,25},FALSE)),0)+IFERROR(ROUND(VLOOKUP($A294,S275_21,23,FALSE)*VLOOKUP($A294,'3121% SY'!$C$3:$M$324,11,FALSE),3),0)+IFERROR(ROUND(VLOOKUP($A294,S275_21,24,FALSE)*VLOOKUP($A294,'3121% SY'!$C$3:$M$324,11,FALSE),3),0)+IFERROR(ROUND(VLOOKUP($A294,S275_21,25,FALSE)*VLOOKUP($A294,'3121% SY'!$C$3:$M$324,11,FALSE),3),0)+IFERROR(VLOOKUP($A294,S275_09,9,FALSE),0)</f>
        <v>0</v>
      </c>
      <c r="W294" s="267">
        <f>IFERROR(VLOOKUP($A294,Supp_45,14,FALSE),0)+IFERROR(SUMPRODUCT(VLOOKUP($A294,S275_01,{26,27,28},FALSE)),0)+IFERROR(SUMPRODUCT(VLOOKUP($A294,S275_97,{26,27,28},FALSE)),0)+IFERROR(ROUND(VLOOKUP($A294,S275_21,26,FALSE)*VLOOKUP($A294,'3121% SY'!$C$3:$M$324,11,FALSE),3),0)+IFERROR(ROUND(VLOOKUP($A294,S275_21,27,FALSE)*VLOOKUP($A294,'3121% SY'!$C$3:$M$324,11,FALSE),3),0)+IFERROR(ROUND(VLOOKUP($A294,S275_21,28,FALSE)*VLOOKUP($A294,'3121% SY'!$C$3:$M$324,11,FALSE),3),0)+IFERROR(VLOOKUP($A294,S275_09,10,FALSE),0)</f>
        <v>3.1840000000000002</v>
      </c>
      <c r="X294" s="267">
        <f>IFERROR(VLOOKUP($A294,Supp_46,14,FALSE),0)+IFERROR(SUMPRODUCT(VLOOKUP($A294,S275_01,{29,30,31},FALSE)),0)+IFERROR(SUMPRODUCT(VLOOKUP($A294,S275_97,{29,30,31},FALSE)),0)+IFERROR(ROUND(VLOOKUP($A294,S275_21,29,FALSE)*VLOOKUP($A294,'3121% SY'!$C$3:$M$324,11,FALSE),3),0)+IFERROR(ROUND(VLOOKUP($A294,S275_21,30,FALSE)*VLOOKUP($A294,'3121% SY'!$C$3:$M$324,11,FALSE),3),0)+IFERROR(ROUND(VLOOKUP($A294,S275_21,31,FALSE)*VLOOKUP($A294,'3121% SY'!$C$3:$M$324,11,FALSE),3),0)+IFERROR(VLOOKUP($A294,S275_09,11,FALSE),0)</f>
        <v>2.4500000000000002</v>
      </c>
      <c r="Y294" s="267">
        <f>IFERROR(VLOOKUP($A294,Supp_47,14,FALSE),0)+IFERROR(SUMPRODUCT(VLOOKUP($A294,S275_01,{32,33,34},FALSE)),0)+IFERROR(SUMPRODUCT(VLOOKUP($A294,S275_97,{32,33,34},FALSE)),0)+IFERROR(ROUND(VLOOKUP($A294,S275_21,32,FALSE)*VLOOKUP($A294,'3121% SY'!$C$3:$M$324,11,FALSE),3),0)+IFERROR(ROUND(VLOOKUP($A294,S275_21,33,FALSE)*VLOOKUP($A294,'3121% SY'!$C$3:$M$324,11,FALSE),3),0)+IFERROR(ROUND(VLOOKUP($A294,S275_21,34,FALSE)*VLOOKUP($A294,'3121% SY'!$C$3:$M$324,11,FALSE),3),0)+IFERROR(VLOOKUP($A294,S275_09,12,FALSE),0)</f>
        <v>0</v>
      </c>
      <c r="Z294" s="267">
        <f>IFERROR(VLOOKUP($A294,Supp_48,14,FALSE),0)+IFERROR(SUMPRODUCT(VLOOKUP($A294,S275_01,{35,36,37},FALSE)),0)+IFERROR(SUMPRODUCT(VLOOKUP($A294,S275_97,{35,36,37},FALSE)),0)+IFERROR(ROUND(VLOOKUP($A294,S275_21,35,FALSE)*VLOOKUP($A294,'3121% SY'!$C$3:$M$324,11,FALSE),3),0)+IFERROR(ROUND(VLOOKUP($A294,S275_21,36,FALSE)*VLOOKUP($A294,'3121% SY'!$C$3:$M$324,11,FALSE),3),0)+IFERROR(ROUND(VLOOKUP($A294,S275_21,37,FALSE)*VLOOKUP($A294,'3121% SY'!$C$3:$M$324,11,FALSE),3),0)+IFERROR(VLOOKUP($A294,S275_09,13,FALSE),0)</f>
        <v>0.29299999999999998</v>
      </c>
      <c r="AA294" s="267">
        <f>IFERROR(VLOOKUP($A294,Supp_49,14,FALSE),0)+IFERROR(SUMPRODUCT(VLOOKUP($A294,S275_01,{38,39,40},FALSE)),0)+IFERROR(SUMPRODUCT(VLOOKUP($A294,S275_97,{38,39,40},FALSE)),0)+IFERROR(ROUND(VLOOKUP($A294,S275_21,38,FALSE)*VLOOKUP($A294,'3121% SY'!$C$3:$M$324,11,FALSE),3),0)+IFERROR(ROUND(VLOOKUP($A294,S275_21,39,FALSE)*VLOOKUP($A294,'3121% SY'!$C$3:$M$324,11,FALSE),3),0)+IFERROR(ROUND(VLOOKUP($A294,S275_21,40,FALSE)*VLOOKUP($A294,'3121% SY'!$C$3:$M$324,11,FALSE),3),0)+IFERROR(VLOOKUP($A294,S275_09,14,FALSE),0)</f>
        <v>1.401</v>
      </c>
      <c r="AB294" s="267">
        <f>IFERROR(VLOOKUP($A294,Supp_64,14,FALSE),0)+IFERROR(SUMPRODUCT(VLOOKUP($A294,S275_01,{41,42,43},FALSE)),0)+IFERROR(SUMPRODUCT(VLOOKUP($A294,S275_97,{41,42,43},FALSE)),0)+IFERROR(ROUND(VLOOKUP($A294,S275_21,41,FALSE)*VLOOKUP($A294,'3121% SY'!$C$3:$M$324,11,FALSE),3),0)+IFERROR(ROUND(VLOOKUP($A294,S275_21,42,FALSE)*VLOOKUP($A294,'3121% SY'!$C$3:$M$324,11,FALSE),3),0)+IFERROR(ROUND(VLOOKUP($A294,S275_21,43,FALSE)*VLOOKUP($A294,'3121% SY'!$C$3:$M$324,11,FALSE),3),0)+IFERROR(VLOOKUP($A294,S275_09,15,FALSE),0)</f>
        <v>6.3109999999999999</v>
      </c>
      <c r="AC294" s="268">
        <f t="shared" si="57"/>
        <v>45.905999999999999</v>
      </c>
      <c r="AD294" s="267">
        <f>IFERROR(VLOOKUP($A294,Supp_24,14,FALSE),0)+IFERROR(SUMPRODUCT(VLOOKUP($A294,S275_01,{2,3,4},FALSE)),0)+IFERROR(SUMPRODUCT(VLOOKUP($A294,S275_97,{2,3,4},FALSE)),0)+IFERROR(ROUND(VLOOKUP($A294,S275_21,2,FALSE)*VLOOKUP($A294,'3121% SY'!$C$3:$M$324,11,FALSE),3),0)+IFERROR(ROUND(VLOOKUP($A294,S275_21,3,FALSE)*VLOOKUP($A294,'3121% SY'!$C$3:$M$324,11,FALSE),3),0)+IFERROR(ROUND(VLOOKUP($A294,S275_21,4,FALSE)*VLOOKUP($A294,'3121% SY'!$C$3:$M$324,11,FALSE),3),0)+IFERROR(VLOOKUP($A294,S275_09,2,FALSE),0)</f>
        <v>0</v>
      </c>
      <c r="AE294" s="267">
        <f>IFERROR(VLOOKUP($A294,Supp_25,14,FALSE),0)+IFERROR(SUMPRODUCT(VLOOKUP($A294,S275_01,{5,6,7},FALSE)),0)+IFERROR(SUMPRODUCT(VLOOKUP($A294,S275_97,{5,6,7},FALSE)),0)+IFERROR(ROUND(VLOOKUP($A294,S275_21,5,FALSE)*VLOOKUP($A294,'3121% SY'!$C$3:$M$324,11,FALSE),3),0)+IFERROR(ROUND(VLOOKUP($A294,S275_21,6,FALSE)*VLOOKUP($A294,'3121% SY'!$C$3:$M$324,11,FALSE),3),0)+IFERROR(ROUND(VLOOKUP($A294,S275_21,7,FALSE)*VLOOKUP($A294,'3121% SY'!$C$3:$M$324,11,FALSE),3),0)+IFERROR(VLOOKUP($A294,S275_09,3,FALSE),0)</f>
        <v>15.273999999999999</v>
      </c>
      <c r="AF294" s="267">
        <f>IFERROR(VLOOKUP($A294,Supp_26,14,FALSE),0)+IFERROR(SUMPRODUCT(VLOOKUP($A294,S275_01,{8,9,10},FALSE)),0)+IFERROR(SUMPRODUCT(VLOOKUP($A294,S275_97,{8,9,10},FALSE)),0)+IFERROR(ROUND(VLOOKUP($A294,S275_21,8,FALSE)*VLOOKUP($A294,'3121% SY'!$C$3:$M$324,11,FALSE),3),0)+IFERROR(ROUND(VLOOKUP($A294,S275_21,9,FALSE)*VLOOKUP($A294,'3121% SY'!$C$3:$M$324,11,FALSE),3),0)+IFERROR(ROUND(VLOOKUP($A294,S275_21,10,FALSE)*VLOOKUP($A294,'3121% SY'!$C$3:$M$324,11,FALSE),3),0)+IFERROR(VLOOKUP($A294,S275_09,4,FALSE),0)</f>
        <v>1.7629999999999999</v>
      </c>
      <c r="AG294" s="267">
        <f>IFERROR(VLOOKUP($A294,Supp_35,14,FALSE),0)+IFERROR(SUMPRODUCT(VLOOKUP($A294,S275_01,{11,12,13},FALSE)),0)+IFERROR(SUMPRODUCT(VLOOKUP($A294,S275_97,{11,12,13},FALSE)),0)+IFERROR(ROUND(VLOOKUP($A294,S275_21,11,FALSE)*VLOOKUP($A294,'3121% SY'!$C$3:$M$324,11,FALSE),3),0)+IFERROR(ROUND(VLOOKUP($A294,S275_21,12,FALSE)*VLOOKUP($A294,'3121% SY'!$C$3:$M$324,11,FALSE),3),0)+IFERROR(ROUND(VLOOKUP($A294,S275_21,13,FALSE)*VLOOKUP($A294,'3121% SY'!$C$3:$M$324,11,FALSE),3),0)+IFERROR(VLOOKUP($A294,S275_09,5,FALSE),0)</f>
        <v>0</v>
      </c>
      <c r="AH294" s="165">
        <f t="shared" si="58"/>
        <v>17.036999999999999</v>
      </c>
      <c r="AI294" s="161">
        <f>IFERROR(VLOOKUP(A294,'Supp Staff Data'!A:ER,148,FALSE),0)+AB294</f>
        <v>6.3109999999999999</v>
      </c>
      <c r="AJ294" s="174">
        <v>1</v>
      </c>
      <c r="AK294" s="25">
        <f>VLOOKUP(A294,'Enroll Data as of January 2025'!$A$3:$T$323,20,FALSE)-F294</f>
        <v>0</v>
      </c>
    </row>
    <row r="295" spans="1:37" x14ac:dyDescent="0.25">
      <c r="A295" s="171" t="s">
        <v>111</v>
      </c>
      <c r="B295" t="s">
        <v>407</v>
      </c>
      <c r="C295" s="173" t="s">
        <v>1077</v>
      </c>
      <c r="D295" s="259">
        <f t="shared" si="50"/>
        <v>50.56</v>
      </c>
      <c r="E295" s="259">
        <f t="shared" si="51"/>
        <v>64.878999999999991</v>
      </c>
      <c r="F295" s="262">
        <f t="shared" si="59"/>
        <v>14.319000000000001</v>
      </c>
      <c r="G295" s="161">
        <f>ROUND(IF(F295&lt;0,F295*'2024-25 PSES Compliance'!$G$13,0),3)</f>
        <v>0</v>
      </c>
      <c r="H295" s="161">
        <f>ROUND(IF(F295&lt;0,F295*'2024-25 PSES Compliance'!$G$14,0),3)</f>
        <v>0</v>
      </c>
      <c r="I295" s="174">
        <f t="shared" si="53"/>
        <v>0.49714083139382548</v>
      </c>
      <c r="J295" s="174">
        <f t="shared" si="54"/>
        <v>0</v>
      </c>
      <c r="K295" s="161">
        <f>VLOOKUP($A295,'Enroll Data as of January 2025'!$A$3:$M$322,6,FALSE)</f>
        <v>29.1</v>
      </c>
      <c r="L295" s="161">
        <f>VLOOKUP($A295,'Enroll Data as of January 2025'!$A$3:$M$322,7,FALSE)</f>
        <v>4.375</v>
      </c>
      <c r="M295" s="161">
        <f>VLOOKUP($A295,'Enroll Data as of January 2025'!$A$3:$M$322,8,FALSE)</f>
        <v>1.472</v>
      </c>
      <c r="N295" s="161">
        <f>VLOOKUP($A295,'Enroll Data as of January 2025'!$A$3:$M$322,9,FALSE)</f>
        <v>12.891999999999999</v>
      </c>
      <c r="O295" s="165">
        <f t="shared" si="55"/>
        <v>47.838999999999999</v>
      </c>
      <c r="P295" s="161">
        <f>VLOOKUP($A295,'Enroll Data as of January 2025'!$A$3:$M$322,11,FALSE)</f>
        <v>1.77</v>
      </c>
      <c r="Q295" s="161">
        <f>VLOOKUP($A295,'Enroll Data as of January 2025'!$A$3:$M$322,12,FALSE)</f>
        <v>0.95099999999999996</v>
      </c>
      <c r="R295" s="165">
        <f t="shared" si="56"/>
        <v>2.7210000000000001</v>
      </c>
      <c r="S295" s="267">
        <f>IFERROR(VLOOKUP($A295,Supp_39,14,FALSE),0)+IFERROR(SUMPRODUCT(VLOOKUP($A295,S275_01,{14,15,16},FALSE)),0)+IFERROR(SUMPRODUCT(VLOOKUP($A295,S275_97,{14,15,16},FALSE)),0)+IFERROR(ROUND(VLOOKUP($A295,S275_21,14,FALSE)*VLOOKUP($A295,'3121% SY'!$C$3:$M$324,11,FALSE),3),0)+IFERROR(ROUND(VLOOKUP($A295,S275_21,15,FALSE)*VLOOKUP($A295,'3121% SY'!$C$3:$M$324,11,FALSE),3),0)+IFERROR(ROUND(VLOOKUP($A295,S275_21,16,FALSE)*VLOOKUP($A295,'3121% SY'!$C$3:$M$324,11,FALSE),3),0)+IFERROR(VLOOKUP($A295,S275_09,6,FALSE),0)</f>
        <v>19.757999999999999</v>
      </c>
      <c r="T295" s="267">
        <f>IFERROR(VLOOKUP($A295,Supp_42,14,FALSE),0)+IFERROR(SUMPRODUCT(VLOOKUP($A295,S275_01,{17,18,19},FALSE)),0)+IFERROR(SUMPRODUCT(VLOOKUP($A295,S275_97,{17,18,19},FALSE)),0)+IFERROR(ROUND(VLOOKUP($A295,S275_21,17,FALSE)*VLOOKUP($A295,'3121% SY'!$C$3:$M$324,11,FALSE),3),0)+IFERROR(ROUND(VLOOKUP($A295,S275_21,18,FALSE)*VLOOKUP($A295,'3121% SY'!$C$3:$M$324,11,FALSE),3),0)+IFERROR(ROUND(VLOOKUP($A295,S275_21,19,FALSE)*VLOOKUP($A295,'3121% SY'!$C$3:$M$324,11,FALSE),3),0)+IFERROR(VLOOKUP($A295,S275_09,7,FALSE),0)</f>
        <v>6.94</v>
      </c>
      <c r="U295" s="267">
        <f>IFERROR(VLOOKUP($A295,Supp_43,14,FALSE),0)+IFERROR(SUMPRODUCT(VLOOKUP($A295,S275_01,{20,21,22},FALSE)),0)+IFERROR(SUMPRODUCT(VLOOKUP($A295,S275_97,{20,21,22},FALSE)),0)+IFERROR(ROUND(VLOOKUP($A295,S275_21,20,FALSE)*VLOOKUP($A295,'3121% SY'!$C$3:$M$324,11,FALSE),3),0)+IFERROR(ROUND(VLOOKUP($A295,S275_21,21,FALSE)*VLOOKUP($A295,'3121% SY'!$C$3:$M$324,11,FALSE),3),0)+IFERROR(ROUND(VLOOKUP($A295,S275_21,22,FALSE)*VLOOKUP($A295,'3121% SY'!$C$3:$M$324,11,FALSE),3),0)+IFERROR(VLOOKUP($A295,S275_09,8,FALSE),0)</f>
        <v>1.4319999999999999</v>
      </c>
      <c r="V295" s="267">
        <f>IFERROR(VLOOKUP($A295,Supp_44,14,FALSE),0)+IFERROR(SUMPRODUCT(VLOOKUP($A295,S275_01,{23,24,25},FALSE)),0)+IFERROR(SUMPRODUCT(VLOOKUP($A295,S275_97,{23,24,25},FALSE)),0)+IFERROR(ROUND(VLOOKUP($A295,S275_21,23,FALSE)*VLOOKUP($A295,'3121% SY'!$C$3:$M$324,11,FALSE),3),0)+IFERROR(ROUND(VLOOKUP($A295,S275_21,24,FALSE)*VLOOKUP($A295,'3121% SY'!$C$3:$M$324,11,FALSE),3),0)+IFERROR(ROUND(VLOOKUP($A295,S275_21,25,FALSE)*VLOOKUP($A295,'3121% SY'!$C$3:$M$324,11,FALSE),3),0)+IFERROR(VLOOKUP($A295,S275_09,9,FALSE),0)</f>
        <v>0</v>
      </c>
      <c r="W295" s="267">
        <f>IFERROR(VLOOKUP($A295,Supp_45,14,FALSE),0)+IFERROR(SUMPRODUCT(VLOOKUP($A295,S275_01,{26,27,28},FALSE)),0)+IFERROR(SUMPRODUCT(VLOOKUP($A295,S275_97,{26,27,28},FALSE)),0)+IFERROR(ROUND(VLOOKUP($A295,S275_21,26,FALSE)*VLOOKUP($A295,'3121% SY'!$C$3:$M$324,11,FALSE),3),0)+IFERROR(ROUND(VLOOKUP($A295,S275_21,27,FALSE)*VLOOKUP($A295,'3121% SY'!$C$3:$M$324,11,FALSE),3),0)+IFERROR(ROUND(VLOOKUP($A295,S275_21,28,FALSE)*VLOOKUP($A295,'3121% SY'!$C$3:$M$324,11,FALSE),3),0)+IFERROR(VLOOKUP($A295,S275_09,10,FALSE),0)</f>
        <v>3.262</v>
      </c>
      <c r="X295" s="267">
        <f>IFERROR(VLOOKUP($A295,Supp_46,14,FALSE),0)+IFERROR(SUMPRODUCT(VLOOKUP($A295,S275_01,{29,30,31},FALSE)),0)+IFERROR(SUMPRODUCT(VLOOKUP($A295,S275_97,{29,30,31},FALSE)),0)+IFERROR(ROUND(VLOOKUP($A295,S275_21,29,FALSE)*VLOOKUP($A295,'3121% SY'!$C$3:$M$324,11,FALSE),3),0)+IFERROR(ROUND(VLOOKUP($A295,S275_21,30,FALSE)*VLOOKUP($A295,'3121% SY'!$C$3:$M$324,11,FALSE),3),0)+IFERROR(ROUND(VLOOKUP($A295,S275_21,31,FALSE)*VLOOKUP($A295,'3121% SY'!$C$3:$M$324,11,FALSE),3),0)+IFERROR(VLOOKUP($A295,S275_09,11,FALSE),0)</f>
        <v>0.188</v>
      </c>
      <c r="Y295" s="267">
        <f>IFERROR(VLOOKUP($A295,Supp_47,14,FALSE),0)+IFERROR(SUMPRODUCT(VLOOKUP($A295,S275_01,{32,33,34},FALSE)),0)+IFERROR(SUMPRODUCT(VLOOKUP($A295,S275_97,{32,33,34},FALSE)),0)+IFERROR(ROUND(VLOOKUP($A295,S275_21,32,FALSE)*VLOOKUP($A295,'3121% SY'!$C$3:$M$324,11,FALSE),3),0)+IFERROR(ROUND(VLOOKUP($A295,S275_21,33,FALSE)*VLOOKUP($A295,'3121% SY'!$C$3:$M$324,11,FALSE),3),0)+IFERROR(ROUND(VLOOKUP($A295,S275_21,34,FALSE)*VLOOKUP($A295,'3121% SY'!$C$3:$M$324,11,FALSE),3),0)+IFERROR(VLOOKUP($A295,S275_09,12,FALSE),0)</f>
        <v>0</v>
      </c>
      <c r="Z295" s="267">
        <f>IFERROR(VLOOKUP($A295,Supp_48,14,FALSE),0)+IFERROR(SUMPRODUCT(VLOOKUP($A295,S275_01,{35,36,37},FALSE)),0)+IFERROR(SUMPRODUCT(VLOOKUP($A295,S275_97,{35,36,37},FALSE)),0)+IFERROR(ROUND(VLOOKUP($A295,S275_21,35,FALSE)*VLOOKUP($A295,'3121% SY'!$C$3:$M$324,11,FALSE),3),0)+IFERROR(ROUND(VLOOKUP($A295,S275_21,36,FALSE)*VLOOKUP($A295,'3121% SY'!$C$3:$M$324,11,FALSE),3),0)+IFERROR(ROUND(VLOOKUP($A295,S275_21,37,FALSE)*VLOOKUP($A295,'3121% SY'!$C$3:$M$324,11,FALSE),3),0)+IFERROR(VLOOKUP($A295,S275_09,13,FALSE),0)</f>
        <v>0.67400000000000004</v>
      </c>
      <c r="AA295" s="267">
        <f>IFERROR(VLOOKUP($A295,Supp_49,14,FALSE),0)+IFERROR(SUMPRODUCT(VLOOKUP($A295,S275_01,{38,39,40},FALSE)),0)+IFERROR(SUMPRODUCT(VLOOKUP($A295,S275_97,{38,39,40},FALSE)),0)+IFERROR(ROUND(VLOOKUP($A295,S275_21,38,FALSE)*VLOOKUP($A295,'3121% SY'!$C$3:$M$324,11,FALSE),3),0)+IFERROR(ROUND(VLOOKUP($A295,S275_21,39,FALSE)*VLOOKUP($A295,'3121% SY'!$C$3:$M$324,11,FALSE),3),0)+IFERROR(ROUND(VLOOKUP($A295,S275_21,40,FALSE)*VLOOKUP($A295,'3121% SY'!$C$3:$M$324,11,FALSE),3),0)+IFERROR(VLOOKUP($A295,S275_09,14,FALSE),0)</f>
        <v>0</v>
      </c>
      <c r="AB295" s="267">
        <f>IFERROR(VLOOKUP($A295,Supp_64,14,FALSE),0)+IFERROR(SUMPRODUCT(VLOOKUP($A295,S275_01,{41,42,43},FALSE)),0)+IFERROR(SUMPRODUCT(VLOOKUP($A295,S275_97,{41,42,43},FALSE)),0)+IFERROR(ROUND(VLOOKUP($A295,S275_21,41,FALSE)*VLOOKUP($A295,'3121% SY'!$C$3:$M$324,11,FALSE),3),0)+IFERROR(ROUND(VLOOKUP($A295,S275_21,42,FALSE)*VLOOKUP($A295,'3121% SY'!$C$3:$M$324,11,FALSE),3),0)+IFERROR(ROUND(VLOOKUP($A295,S275_21,43,FALSE)*VLOOKUP($A295,'3121% SY'!$C$3:$M$324,11,FALSE),3),0)+IFERROR(VLOOKUP($A295,S275_09,15,FALSE),0)</f>
        <v>0</v>
      </c>
      <c r="AC295" s="268">
        <f t="shared" si="57"/>
        <v>32.253999999999998</v>
      </c>
      <c r="AD295" s="267">
        <f>IFERROR(VLOOKUP($A295,Supp_24,14,FALSE),0)+IFERROR(SUMPRODUCT(VLOOKUP($A295,S275_01,{2,3,4},FALSE)),0)+IFERROR(SUMPRODUCT(VLOOKUP($A295,S275_97,{2,3,4},FALSE)),0)+IFERROR(ROUND(VLOOKUP($A295,S275_21,2,FALSE)*VLOOKUP($A295,'3121% SY'!$C$3:$M$324,11,FALSE),3),0)+IFERROR(ROUND(VLOOKUP($A295,S275_21,3,FALSE)*VLOOKUP($A295,'3121% SY'!$C$3:$M$324,11,FALSE),3),0)+IFERROR(ROUND(VLOOKUP($A295,S275_21,4,FALSE)*VLOOKUP($A295,'3121% SY'!$C$3:$M$324,11,FALSE),3),0)+IFERROR(VLOOKUP($A295,S275_09,2,FALSE),0)</f>
        <v>6.6310000000000002</v>
      </c>
      <c r="AE295" s="267">
        <f>IFERROR(VLOOKUP($A295,Supp_25,14,FALSE),0)+IFERROR(SUMPRODUCT(VLOOKUP($A295,S275_01,{5,6,7},FALSE)),0)+IFERROR(SUMPRODUCT(VLOOKUP($A295,S275_97,{5,6,7},FALSE)),0)+IFERROR(ROUND(VLOOKUP($A295,S275_21,5,FALSE)*VLOOKUP($A295,'3121% SY'!$C$3:$M$324,11,FALSE),3),0)+IFERROR(ROUND(VLOOKUP($A295,S275_21,6,FALSE)*VLOOKUP($A295,'3121% SY'!$C$3:$M$324,11,FALSE),3),0)+IFERROR(ROUND(VLOOKUP($A295,S275_21,7,FALSE)*VLOOKUP($A295,'3121% SY'!$C$3:$M$324,11,FALSE),3),0)+IFERROR(VLOOKUP($A295,S275_09,3,FALSE),0)</f>
        <v>13.471</v>
      </c>
      <c r="AF295" s="267">
        <f>IFERROR(VLOOKUP($A295,Supp_26,14,FALSE),0)+IFERROR(SUMPRODUCT(VLOOKUP($A295,S275_01,{8,9,10},FALSE)),0)+IFERROR(SUMPRODUCT(VLOOKUP($A295,S275_97,{8,9,10},FALSE)),0)+IFERROR(ROUND(VLOOKUP($A295,S275_21,8,FALSE)*VLOOKUP($A295,'3121% SY'!$C$3:$M$324,11,FALSE),3),0)+IFERROR(ROUND(VLOOKUP($A295,S275_21,9,FALSE)*VLOOKUP($A295,'3121% SY'!$C$3:$M$324,11,FALSE),3),0)+IFERROR(ROUND(VLOOKUP($A295,S275_21,10,FALSE)*VLOOKUP($A295,'3121% SY'!$C$3:$M$324,11,FALSE),3),0)+IFERROR(VLOOKUP($A295,S275_09,4,FALSE),0)</f>
        <v>9.5229999999999997</v>
      </c>
      <c r="AG295" s="267">
        <f>IFERROR(VLOOKUP($A295,Supp_35,14,FALSE),0)+IFERROR(SUMPRODUCT(VLOOKUP($A295,S275_01,{11,12,13},FALSE)),0)+IFERROR(SUMPRODUCT(VLOOKUP($A295,S275_97,{11,12,13},FALSE)),0)+IFERROR(ROUND(VLOOKUP($A295,S275_21,11,FALSE)*VLOOKUP($A295,'3121% SY'!$C$3:$M$324,11,FALSE),3),0)+IFERROR(ROUND(VLOOKUP($A295,S275_21,12,FALSE)*VLOOKUP($A295,'3121% SY'!$C$3:$M$324,11,FALSE),3),0)+IFERROR(ROUND(VLOOKUP($A295,S275_21,13,FALSE)*VLOOKUP($A295,'3121% SY'!$C$3:$M$324,11,FALSE),3),0)+IFERROR(VLOOKUP($A295,S275_09,5,FALSE),0)</f>
        <v>3</v>
      </c>
      <c r="AH295" s="165">
        <f t="shared" si="58"/>
        <v>32.625</v>
      </c>
      <c r="AI295" s="161">
        <f>IFERROR(VLOOKUP(A295,'Supp Staff Data'!A:ER,148,FALSE),0)+AB295</f>
        <v>0</v>
      </c>
      <c r="AJ295" s="174">
        <v>1</v>
      </c>
      <c r="AK295" s="25">
        <f>VLOOKUP(A295,'Enroll Data as of January 2025'!$A$3:$T$323,20,FALSE)-F295</f>
        <v>0</v>
      </c>
    </row>
    <row r="296" spans="1:37" x14ac:dyDescent="0.25">
      <c r="A296" s="171" t="s">
        <v>218</v>
      </c>
      <c r="B296" t="s">
        <v>513</v>
      </c>
      <c r="C296" s="173" t="s">
        <v>1077</v>
      </c>
      <c r="D296" s="259">
        <f t="shared" si="50"/>
        <v>48.143999999999998</v>
      </c>
      <c r="E296" s="259">
        <f t="shared" si="51"/>
        <v>57.879999999999995</v>
      </c>
      <c r="F296" s="262">
        <f t="shared" si="59"/>
        <v>9.7360000000000007</v>
      </c>
      <c r="G296" s="161">
        <f>ROUND(IF(F296&lt;0,F296*'2024-25 PSES Compliance'!$G$13,0),3)</f>
        <v>0</v>
      </c>
      <c r="H296" s="161">
        <f>ROUND(IF(F296&lt;0,F296*'2024-25 PSES Compliance'!$G$14,0),3)</f>
        <v>0</v>
      </c>
      <c r="I296" s="174">
        <f t="shared" si="53"/>
        <v>0.43967377505183142</v>
      </c>
      <c r="J296" s="174">
        <f t="shared" si="54"/>
        <v>0</v>
      </c>
      <c r="K296" s="161">
        <f>VLOOKUP($A296,'Enroll Data as of January 2025'!$A$3:$M$322,6,FALSE)</f>
        <v>26.963999999999999</v>
      </c>
      <c r="L296" s="161">
        <f>VLOOKUP($A296,'Enroll Data as of January 2025'!$A$3:$M$322,7,FALSE)</f>
        <v>4.5289999999999999</v>
      </c>
      <c r="M296" s="161">
        <f>VLOOKUP($A296,'Enroll Data as of January 2025'!$A$3:$M$322,8,FALSE)</f>
        <v>1.52</v>
      </c>
      <c r="N296" s="161">
        <f>VLOOKUP($A296,'Enroll Data as of January 2025'!$A$3:$M$322,9,FALSE)</f>
        <v>12.407999999999999</v>
      </c>
      <c r="O296" s="165">
        <f t="shared" si="55"/>
        <v>45.420999999999999</v>
      </c>
      <c r="P296" s="161">
        <f>VLOOKUP($A296,'Enroll Data as of January 2025'!$A$3:$M$322,11,FALSE)</f>
        <v>1.6950000000000001</v>
      </c>
      <c r="Q296" s="161">
        <f>VLOOKUP($A296,'Enroll Data as of January 2025'!$A$3:$M$322,12,FALSE)</f>
        <v>1.028</v>
      </c>
      <c r="R296" s="165">
        <f t="shared" si="56"/>
        <v>2.7229999999999999</v>
      </c>
      <c r="S296" s="267">
        <f>IFERROR(VLOOKUP($A296,Supp_39,14,FALSE),0)+IFERROR(SUMPRODUCT(VLOOKUP($A296,S275_01,{14,15,16},FALSE)),0)+IFERROR(SUMPRODUCT(VLOOKUP($A296,S275_97,{14,15,16},FALSE)),0)+IFERROR(ROUND(VLOOKUP($A296,S275_21,14,FALSE)*VLOOKUP($A296,'3121% SY'!$C$3:$M$324,11,FALSE),3),0)+IFERROR(ROUND(VLOOKUP($A296,S275_21,15,FALSE)*VLOOKUP($A296,'3121% SY'!$C$3:$M$324,11,FALSE),3),0)+IFERROR(ROUND(VLOOKUP($A296,S275_21,16,FALSE)*VLOOKUP($A296,'3121% SY'!$C$3:$M$324,11,FALSE),3),0)+IFERROR(VLOOKUP($A296,S275_09,6,FALSE),0)</f>
        <v>16.614999999999998</v>
      </c>
      <c r="T296" s="267">
        <f>IFERROR(VLOOKUP($A296,Supp_42,14,FALSE),0)+IFERROR(SUMPRODUCT(VLOOKUP($A296,S275_01,{17,18,19},FALSE)),0)+IFERROR(SUMPRODUCT(VLOOKUP($A296,S275_97,{17,18,19},FALSE)),0)+IFERROR(ROUND(VLOOKUP($A296,S275_21,17,FALSE)*VLOOKUP($A296,'3121% SY'!$C$3:$M$324,11,FALSE),3),0)+IFERROR(ROUND(VLOOKUP($A296,S275_21,18,FALSE)*VLOOKUP($A296,'3121% SY'!$C$3:$M$324,11,FALSE),3),0)+IFERROR(ROUND(VLOOKUP($A296,S275_21,19,FALSE)*VLOOKUP($A296,'3121% SY'!$C$3:$M$324,11,FALSE),3),0)+IFERROR(VLOOKUP($A296,S275_09,7,FALSE),0)</f>
        <v>2.1259999999999999</v>
      </c>
      <c r="U296" s="267">
        <f>IFERROR(VLOOKUP($A296,Supp_43,14,FALSE),0)+IFERROR(SUMPRODUCT(VLOOKUP($A296,S275_01,{20,21,22},FALSE)),0)+IFERROR(SUMPRODUCT(VLOOKUP($A296,S275_97,{20,21,22},FALSE)),0)+IFERROR(ROUND(VLOOKUP($A296,S275_21,20,FALSE)*VLOOKUP($A296,'3121% SY'!$C$3:$M$324,11,FALSE),3),0)+IFERROR(ROUND(VLOOKUP($A296,S275_21,21,FALSE)*VLOOKUP($A296,'3121% SY'!$C$3:$M$324,11,FALSE),3),0)+IFERROR(ROUND(VLOOKUP($A296,S275_21,22,FALSE)*VLOOKUP($A296,'3121% SY'!$C$3:$M$324,11,FALSE),3),0)+IFERROR(VLOOKUP($A296,S275_09,8,FALSE),0)</f>
        <v>1.4530000000000001</v>
      </c>
      <c r="V296" s="267">
        <f>IFERROR(VLOOKUP($A296,Supp_44,14,FALSE),0)+IFERROR(SUMPRODUCT(VLOOKUP($A296,S275_01,{23,24,25},FALSE)),0)+IFERROR(SUMPRODUCT(VLOOKUP($A296,S275_97,{23,24,25},FALSE)),0)+IFERROR(ROUND(VLOOKUP($A296,S275_21,23,FALSE)*VLOOKUP($A296,'3121% SY'!$C$3:$M$324,11,FALSE),3),0)+IFERROR(ROUND(VLOOKUP($A296,S275_21,24,FALSE)*VLOOKUP($A296,'3121% SY'!$C$3:$M$324,11,FALSE),3),0)+IFERROR(ROUND(VLOOKUP($A296,S275_21,25,FALSE)*VLOOKUP($A296,'3121% SY'!$C$3:$M$324,11,FALSE),3),0)+IFERROR(VLOOKUP($A296,S275_09,9,FALSE),0)</f>
        <v>0.7</v>
      </c>
      <c r="W296" s="267">
        <f>IFERROR(VLOOKUP($A296,Supp_45,14,FALSE),0)+IFERROR(SUMPRODUCT(VLOOKUP($A296,S275_01,{26,27,28},FALSE)),0)+IFERROR(SUMPRODUCT(VLOOKUP($A296,S275_97,{26,27,28},FALSE)),0)+IFERROR(ROUND(VLOOKUP($A296,S275_21,26,FALSE)*VLOOKUP($A296,'3121% SY'!$C$3:$M$324,11,FALSE),3),0)+IFERROR(ROUND(VLOOKUP($A296,S275_21,27,FALSE)*VLOOKUP($A296,'3121% SY'!$C$3:$M$324,11,FALSE),3),0)+IFERROR(ROUND(VLOOKUP($A296,S275_21,28,FALSE)*VLOOKUP($A296,'3121% SY'!$C$3:$M$324,11,FALSE),3),0)+IFERROR(VLOOKUP($A296,S275_09,10,FALSE),0)</f>
        <v>3.9659999999999997</v>
      </c>
      <c r="X296" s="267">
        <f>IFERROR(VLOOKUP($A296,Supp_46,14,FALSE),0)+IFERROR(SUMPRODUCT(VLOOKUP($A296,S275_01,{29,30,31},FALSE)),0)+IFERROR(SUMPRODUCT(VLOOKUP($A296,S275_97,{29,30,31},FALSE)),0)+IFERROR(ROUND(VLOOKUP($A296,S275_21,29,FALSE)*VLOOKUP($A296,'3121% SY'!$C$3:$M$324,11,FALSE),3),0)+IFERROR(ROUND(VLOOKUP($A296,S275_21,30,FALSE)*VLOOKUP($A296,'3121% SY'!$C$3:$M$324,11,FALSE),3),0)+IFERROR(ROUND(VLOOKUP($A296,S275_21,31,FALSE)*VLOOKUP($A296,'3121% SY'!$C$3:$M$324,11,FALSE),3),0)+IFERROR(VLOOKUP($A296,S275_09,11,FALSE),0)</f>
        <v>2.8609999999999998</v>
      </c>
      <c r="Y296" s="267">
        <f>IFERROR(VLOOKUP($A296,Supp_47,14,FALSE),0)+IFERROR(SUMPRODUCT(VLOOKUP($A296,S275_01,{32,33,34},FALSE)),0)+IFERROR(SUMPRODUCT(VLOOKUP($A296,S275_97,{32,33,34},FALSE)),0)+IFERROR(ROUND(VLOOKUP($A296,S275_21,32,FALSE)*VLOOKUP($A296,'3121% SY'!$C$3:$M$324,11,FALSE),3),0)+IFERROR(ROUND(VLOOKUP($A296,S275_21,33,FALSE)*VLOOKUP($A296,'3121% SY'!$C$3:$M$324,11,FALSE),3),0)+IFERROR(ROUND(VLOOKUP($A296,S275_21,34,FALSE)*VLOOKUP($A296,'3121% SY'!$C$3:$M$324,11,FALSE),3),0)+IFERROR(VLOOKUP($A296,S275_09,12,FALSE),0)</f>
        <v>0</v>
      </c>
      <c r="Z296" s="267">
        <f>IFERROR(VLOOKUP($A296,Supp_48,14,FALSE),0)+IFERROR(SUMPRODUCT(VLOOKUP($A296,S275_01,{35,36,37},FALSE)),0)+IFERROR(SUMPRODUCT(VLOOKUP($A296,S275_97,{35,36,37},FALSE)),0)+IFERROR(ROUND(VLOOKUP($A296,S275_21,35,FALSE)*VLOOKUP($A296,'3121% SY'!$C$3:$M$324,11,FALSE),3),0)+IFERROR(ROUND(VLOOKUP($A296,S275_21,36,FALSE)*VLOOKUP($A296,'3121% SY'!$C$3:$M$324,11,FALSE),3),0)+IFERROR(ROUND(VLOOKUP($A296,S275_21,37,FALSE)*VLOOKUP($A296,'3121% SY'!$C$3:$M$324,11,FALSE),3),0)+IFERROR(VLOOKUP($A296,S275_09,13,FALSE),0)</f>
        <v>0.90800000000000003</v>
      </c>
      <c r="AA296" s="267">
        <f>IFERROR(VLOOKUP($A296,Supp_49,14,FALSE),0)+IFERROR(SUMPRODUCT(VLOOKUP($A296,S275_01,{38,39,40},FALSE)),0)+IFERROR(SUMPRODUCT(VLOOKUP($A296,S275_97,{38,39,40},FALSE)),0)+IFERROR(ROUND(VLOOKUP($A296,S275_21,38,FALSE)*VLOOKUP($A296,'3121% SY'!$C$3:$M$324,11,FALSE),3),0)+IFERROR(ROUND(VLOOKUP($A296,S275_21,39,FALSE)*VLOOKUP($A296,'3121% SY'!$C$3:$M$324,11,FALSE),3),0)+IFERROR(ROUND(VLOOKUP($A296,S275_21,40,FALSE)*VLOOKUP($A296,'3121% SY'!$C$3:$M$324,11,FALSE),3),0)+IFERROR(VLOOKUP($A296,S275_09,14,FALSE),0)</f>
        <v>0</v>
      </c>
      <c r="AB296" s="267">
        <f>IFERROR(VLOOKUP($A296,Supp_64,14,FALSE),0)+IFERROR(SUMPRODUCT(VLOOKUP($A296,S275_01,{41,42,43},FALSE)),0)+IFERROR(SUMPRODUCT(VLOOKUP($A296,S275_97,{41,42,43},FALSE)),0)+IFERROR(ROUND(VLOOKUP($A296,S275_21,41,FALSE)*VLOOKUP($A296,'3121% SY'!$C$3:$M$324,11,FALSE),3),0)+IFERROR(ROUND(VLOOKUP($A296,S275_21,42,FALSE)*VLOOKUP($A296,'3121% SY'!$C$3:$M$324,11,FALSE),3),0)+IFERROR(ROUND(VLOOKUP($A296,S275_21,43,FALSE)*VLOOKUP($A296,'3121% SY'!$C$3:$M$324,11,FALSE),3),0)+IFERROR(VLOOKUP($A296,S275_09,15,FALSE),0)</f>
        <v>0</v>
      </c>
      <c r="AC296" s="268">
        <f t="shared" si="57"/>
        <v>28.629000000000001</v>
      </c>
      <c r="AD296" s="267">
        <f>IFERROR(VLOOKUP($A296,Supp_24,14,FALSE),0)+IFERROR(SUMPRODUCT(VLOOKUP($A296,S275_01,{2,3,4},FALSE)),0)+IFERROR(SUMPRODUCT(VLOOKUP($A296,S275_97,{2,3,4},FALSE)),0)+IFERROR(ROUND(VLOOKUP($A296,S275_21,2,FALSE)*VLOOKUP($A296,'3121% SY'!$C$3:$M$324,11,FALSE),3),0)+IFERROR(ROUND(VLOOKUP($A296,S275_21,3,FALSE)*VLOOKUP($A296,'3121% SY'!$C$3:$M$324,11,FALSE),3),0)+IFERROR(ROUND(VLOOKUP($A296,S275_21,4,FALSE)*VLOOKUP($A296,'3121% SY'!$C$3:$M$324,11,FALSE),3),0)+IFERROR(VLOOKUP($A296,S275_09,2,FALSE),0)</f>
        <v>1.8260000000000001</v>
      </c>
      <c r="AE296" s="267">
        <f>IFERROR(VLOOKUP($A296,Supp_25,14,FALSE),0)+IFERROR(SUMPRODUCT(VLOOKUP($A296,S275_01,{5,6,7},FALSE)),0)+IFERROR(SUMPRODUCT(VLOOKUP($A296,S275_97,{5,6,7},FALSE)),0)+IFERROR(ROUND(VLOOKUP($A296,S275_21,5,FALSE)*VLOOKUP($A296,'3121% SY'!$C$3:$M$324,11,FALSE),3),0)+IFERROR(ROUND(VLOOKUP($A296,S275_21,6,FALSE)*VLOOKUP($A296,'3121% SY'!$C$3:$M$324,11,FALSE),3),0)+IFERROR(ROUND(VLOOKUP($A296,S275_21,7,FALSE)*VLOOKUP($A296,'3121% SY'!$C$3:$M$324,11,FALSE),3),0)+IFERROR(VLOOKUP($A296,S275_09,3,FALSE),0)</f>
        <v>14.104999999999999</v>
      </c>
      <c r="AF296" s="267">
        <f>IFERROR(VLOOKUP($A296,Supp_26,14,FALSE),0)+IFERROR(SUMPRODUCT(VLOOKUP($A296,S275_01,{8,9,10},FALSE)),0)+IFERROR(SUMPRODUCT(VLOOKUP($A296,S275_97,{8,9,10},FALSE)),0)+IFERROR(ROUND(VLOOKUP($A296,S275_21,8,FALSE)*VLOOKUP($A296,'3121% SY'!$C$3:$M$324,11,FALSE),3),0)+IFERROR(ROUND(VLOOKUP($A296,S275_21,9,FALSE)*VLOOKUP($A296,'3121% SY'!$C$3:$M$324,11,FALSE),3),0)+IFERROR(ROUND(VLOOKUP($A296,S275_21,10,FALSE)*VLOOKUP($A296,'3121% SY'!$C$3:$M$324,11,FALSE),3),0)+IFERROR(VLOOKUP($A296,S275_09,4,FALSE),0)</f>
        <v>13.32</v>
      </c>
      <c r="AG296" s="267">
        <f>IFERROR(VLOOKUP($A296,Supp_35,14,FALSE),0)+IFERROR(SUMPRODUCT(VLOOKUP($A296,S275_01,{11,12,13},FALSE)),0)+IFERROR(SUMPRODUCT(VLOOKUP($A296,S275_97,{11,12,13},FALSE)),0)+IFERROR(ROUND(VLOOKUP($A296,S275_21,11,FALSE)*VLOOKUP($A296,'3121% SY'!$C$3:$M$324,11,FALSE),3),0)+IFERROR(ROUND(VLOOKUP($A296,S275_21,12,FALSE)*VLOOKUP($A296,'3121% SY'!$C$3:$M$324,11,FALSE),3),0)+IFERROR(ROUND(VLOOKUP($A296,S275_21,13,FALSE)*VLOOKUP($A296,'3121% SY'!$C$3:$M$324,11,FALSE),3),0)+IFERROR(VLOOKUP($A296,S275_09,5,FALSE),0)</f>
        <v>0</v>
      </c>
      <c r="AH296" s="165">
        <f t="shared" si="58"/>
        <v>29.250999999999998</v>
      </c>
      <c r="AI296" s="161">
        <f>IFERROR(VLOOKUP(A296,'Supp Staff Data'!A:ER,148,FALSE),0)+AB296</f>
        <v>0</v>
      </c>
      <c r="AJ296" s="174">
        <v>0.88890000000000002</v>
      </c>
      <c r="AK296" s="25">
        <f>VLOOKUP(A296,'Enroll Data as of January 2025'!$A$3:$T$323,20,FALSE)-F296</f>
        <v>0</v>
      </c>
    </row>
    <row r="297" spans="1:37" x14ac:dyDescent="0.25">
      <c r="A297" s="171" t="s">
        <v>43</v>
      </c>
      <c r="B297" t="s">
        <v>339</v>
      </c>
      <c r="C297" s="173" t="s">
        <v>1077</v>
      </c>
      <c r="D297" s="259">
        <f t="shared" si="50"/>
        <v>33.485999999999997</v>
      </c>
      <c r="E297" s="259">
        <f t="shared" si="51"/>
        <v>47.905000000000001</v>
      </c>
      <c r="F297" s="262">
        <f t="shared" si="59"/>
        <v>14.419</v>
      </c>
      <c r="G297" s="161">
        <f>ROUND(IF(F297&lt;0,F297*'2024-25 PSES Compliance'!$G$13,0),3)</f>
        <v>0</v>
      </c>
      <c r="H297" s="161">
        <f>ROUND(IF(F297&lt;0,F297*'2024-25 PSES Compliance'!$G$14,0),3)</f>
        <v>0</v>
      </c>
      <c r="I297" s="174">
        <f t="shared" si="53"/>
        <v>0.4875948710990502</v>
      </c>
      <c r="J297" s="174">
        <f t="shared" si="54"/>
        <v>0</v>
      </c>
      <c r="K297" s="161">
        <f>VLOOKUP($A297,'Enroll Data as of January 2025'!$A$3:$M$322,6,FALSE)</f>
        <v>18.876999999999999</v>
      </c>
      <c r="L297" s="161">
        <f>VLOOKUP($A297,'Enroll Data as of January 2025'!$A$3:$M$322,7,FALSE)</f>
        <v>3.0860000000000003</v>
      </c>
      <c r="M297" s="161">
        <f>VLOOKUP($A297,'Enroll Data as of January 2025'!$A$3:$M$322,8,FALSE)</f>
        <v>1.036</v>
      </c>
      <c r="N297" s="161">
        <f>VLOOKUP($A297,'Enroll Data as of January 2025'!$A$3:$M$322,9,FALSE)</f>
        <v>8.6169999999999991</v>
      </c>
      <c r="O297" s="165">
        <f t="shared" si="55"/>
        <v>31.616</v>
      </c>
      <c r="P297" s="161">
        <f>VLOOKUP($A297,'Enroll Data as of January 2025'!$A$3:$M$322,11,FALSE)</f>
        <v>1.177</v>
      </c>
      <c r="Q297" s="161">
        <f>VLOOKUP($A297,'Enroll Data as of January 2025'!$A$3:$M$322,12,FALSE)</f>
        <v>0.69299999999999995</v>
      </c>
      <c r="R297" s="165">
        <f t="shared" si="56"/>
        <v>1.87</v>
      </c>
      <c r="S297" s="267">
        <f>IFERROR(VLOOKUP($A297,Supp_39,14,FALSE),0)+IFERROR(SUMPRODUCT(VLOOKUP($A297,S275_01,{14,15,16},FALSE)),0)+IFERROR(SUMPRODUCT(VLOOKUP($A297,S275_97,{14,15,16},FALSE)),0)+IFERROR(ROUND(VLOOKUP($A297,S275_21,14,FALSE)*VLOOKUP($A297,'3121% SY'!$C$3:$M$324,11,FALSE),3),0)+IFERROR(ROUND(VLOOKUP($A297,S275_21,15,FALSE)*VLOOKUP($A297,'3121% SY'!$C$3:$M$324,11,FALSE),3),0)+IFERROR(ROUND(VLOOKUP($A297,S275_21,16,FALSE)*VLOOKUP($A297,'3121% SY'!$C$3:$M$324,11,FALSE),3),0)+IFERROR(VLOOKUP($A297,S275_09,6,FALSE),0)</f>
        <v>16</v>
      </c>
      <c r="T297" s="267">
        <f>IFERROR(VLOOKUP($A297,Supp_42,14,FALSE),0)+IFERROR(SUMPRODUCT(VLOOKUP($A297,S275_01,{17,18,19},FALSE)),0)+IFERROR(SUMPRODUCT(VLOOKUP($A297,S275_97,{17,18,19},FALSE)),0)+IFERROR(ROUND(VLOOKUP($A297,S275_21,17,FALSE)*VLOOKUP($A297,'3121% SY'!$C$3:$M$324,11,FALSE),3),0)+IFERROR(ROUND(VLOOKUP($A297,S275_21,18,FALSE)*VLOOKUP($A297,'3121% SY'!$C$3:$M$324,11,FALSE),3),0)+IFERROR(ROUND(VLOOKUP($A297,S275_21,19,FALSE)*VLOOKUP($A297,'3121% SY'!$C$3:$M$324,11,FALSE),3),0)+IFERROR(VLOOKUP($A297,S275_09,7,FALSE),0)</f>
        <v>3</v>
      </c>
      <c r="U297" s="267">
        <f>IFERROR(VLOOKUP($A297,Supp_43,14,FALSE),0)+IFERROR(SUMPRODUCT(VLOOKUP($A297,S275_01,{20,21,22},FALSE)),0)+IFERROR(SUMPRODUCT(VLOOKUP($A297,S275_97,{20,21,22},FALSE)),0)+IFERROR(ROUND(VLOOKUP($A297,S275_21,20,FALSE)*VLOOKUP($A297,'3121% SY'!$C$3:$M$324,11,FALSE),3),0)+IFERROR(ROUND(VLOOKUP($A297,S275_21,21,FALSE)*VLOOKUP($A297,'3121% SY'!$C$3:$M$324,11,FALSE),3),0)+IFERROR(ROUND(VLOOKUP($A297,S275_21,22,FALSE)*VLOOKUP($A297,'3121% SY'!$C$3:$M$324,11,FALSE),3),0)+IFERROR(VLOOKUP($A297,S275_09,8,FALSE),0)</f>
        <v>0.73999999999999988</v>
      </c>
      <c r="V297" s="267">
        <f>IFERROR(VLOOKUP($A297,Supp_44,14,FALSE),0)+IFERROR(SUMPRODUCT(VLOOKUP($A297,S275_01,{23,24,25},FALSE)),0)+IFERROR(SUMPRODUCT(VLOOKUP($A297,S275_97,{23,24,25},FALSE)),0)+IFERROR(ROUND(VLOOKUP($A297,S275_21,23,FALSE)*VLOOKUP($A297,'3121% SY'!$C$3:$M$324,11,FALSE),3),0)+IFERROR(ROUND(VLOOKUP($A297,S275_21,24,FALSE)*VLOOKUP($A297,'3121% SY'!$C$3:$M$324,11,FALSE),3),0)+IFERROR(ROUND(VLOOKUP($A297,S275_21,25,FALSE)*VLOOKUP($A297,'3121% SY'!$C$3:$M$324,11,FALSE),3),0)+IFERROR(VLOOKUP($A297,S275_09,9,FALSE),0)</f>
        <v>0</v>
      </c>
      <c r="W297" s="267">
        <f>IFERROR(VLOOKUP($A297,Supp_45,14,FALSE),0)+IFERROR(SUMPRODUCT(VLOOKUP($A297,S275_01,{26,27,28},FALSE)),0)+IFERROR(SUMPRODUCT(VLOOKUP($A297,S275_97,{26,27,28},FALSE)),0)+IFERROR(ROUND(VLOOKUP($A297,S275_21,26,FALSE)*VLOOKUP($A297,'3121% SY'!$C$3:$M$324,11,FALSE),3),0)+IFERROR(ROUND(VLOOKUP($A297,S275_21,27,FALSE)*VLOOKUP($A297,'3121% SY'!$C$3:$M$324,11,FALSE),3),0)+IFERROR(ROUND(VLOOKUP($A297,S275_21,28,FALSE)*VLOOKUP($A297,'3121% SY'!$C$3:$M$324,11,FALSE),3),0)+IFERROR(VLOOKUP($A297,S275_09,10,FALSE),0)</f>
        <v>4.6829999999999998</v>
      </c>
      <c r="X297" s="267">
        <f>IFERROR(VLOOKUP($A297,Supp_46,14,FALSE),0)+IFERROR(SUMPRODUCT(VLOOKUP($A297,S275_01,{29,30,31},FALSE)),0)+IFERROR(SUMPRODUCT(VLOOKUP($A297,S275_97,{29,30,31},FALSE)),0)+IFERROR(ROUND(VLOOKUP($A297,S275_21,29,FALSE)*VLOOKUP($A297,'3121% SY'!$C$3:$M$324,11,FALSE),3),0)+IFERROR(ROUND(VLOOKUP($A297,S275_21,30,FALSE)*VLOOKUP($A297,'3121% SY'!$C$3:$M$324,11,FALSE),3),0)+IFERROR(ROUND(VLOOKUP($A297,S275_21,31,FALSE)*VLOOKUP($A297,'3121% SY'!$C$3:$M$324,11,FALSE),3),0)+IFERROR(VLOOKUP($A297,S275_09,11,FALSE),0)</f>
        <v>3.2110000000000003</v>
      </c>
      <c r="Y297" s="267">
        <f>IFERROR(VLOOKUP($A297,Supp_47,14,FALSE),0)+IFERROR(SUMPRODUCT(VLOOKUP($A297,S275_01,{32,33,34},FALSE)),0)+IFERROR(SUMPRODUCT(VLOOKUP($A297,S275_97,{32,33,34},FALSE)),0)+IFERROR(ROUND(VLOOKUP($A297,S275_21,32,FALSE)*VLOOKUP($A297,'3121% SY'!$C$3:$M$324,11,FALSE),3),0)+IFERROR(ROUND(VLOOKUP($A297,S275_21,33,FALSE)*VLOOKUP($A297,'3121% SY'!$C$3:$M$324,11,FALSE),3),0)+IFERROR(ROUND(VLOOKUP($A297,S275_21,34,FALSE)*VLOOKUP($A297,'3121% SY'!$C$3:$M$324,11,FALSE),3),0)+IFERROR(VLOOKUP($A297,S275_09,12,FALSE),0)</f>
        <v>0.15</v>
      </c>
      <c r="Z297" s="267">
        <f>IFERROR(VLOOKUP($A297,Supp_48,14,FALSE),0)+IFERROR(SUMPRODUCT(VLOOKUP($A297,S275_01,{35,36,37},FALSE)),0)+IFERROR(SUMPRODUCT(VLOOKUP($A297,S275_97,{35,36,37},FALSE)),0)+IFERROR(ROUND(VLOOKUP($A297,S275_21,35,FALSE)*VLOOKUP($A297,'3121% SY'!$C$3:$M$324,11,FALSE),3),0)+IFERROR(ROUND(VLOOKUP($A297,S275_21,36,FALSE)*VLOOKUP($A297,'3121% SY'!$C$3:$M$324,11,FALSE),3),0)+IFERROR(ROUND(VLOOKUP($A297,S275_21,37,FALSE)*VLOOKUP($A297,'3121% SY'!$C$3:$M$324,11,FALSE),3),0)+IFERROR(VLOOKUP($A297,S275_09,13,FALSE),0)</f>
        <v>0.24700000000000003</v>
      </c>
      <c r="AA297" s="267">
        <f>IFERROR(VLOOKUP($A297,Supp_49,14,FALSE),0)+IFERROR(SUMPRODUCT(VLOOKUP($A297,S275_01,{38,39,40},FALSE)),0)+IFERROR(SUMPRODUCT(VLOOKUP($A297,S275_97,{38,39,40},FALSE)),0)+IFERROR(ROUND(VLOOKUP($A297,S275_21,38,FALSE)*VLOOKUP($A297,'3121% SY'!$C$3:$M$324,11,FALSE),3),0)+IFERROR(ROUND(VLOOKUP($A297,S275_21,39,FALSE)*VLOOKUP($A297,'3121% SY'!$C$3:$M$324,11,FALSE),3),0)+IFERROR(ROUND(VLOOKUP($A297,S275_21,40,FALSE)*VLOOKUP($A297,'3121% SY'!$C$3:$M$324,11,FALSE),3),0)+IFERROR(VLOOKUP($A297,S275_09,14,FALSE),0)</f>
        <v>0</v>
      </c>
      <c r="AB297" s="267">
        <f>IFERROR(VLOOKUP($A297,Supp_64,14,FALSE),0)+IFERROR(SUMPRODUCT(VLOOKUP($A297,S275_01,{41,42,43},FALSE)),0)+IFERROR(SUMPRODUCT(VLOOKUP($A297,S275_97,{41,42,43},FALSE)),0)+IFERROR(ROUND(VLOOKUP($A297,S275_21,41,FALSE)*VLOOKUP($A297,'3121% SY'!$C$3:$M$324,11,FALSE),3),0)+IFERROR(ROUND(VLOOKUP($A297,S275_21,42,FALSE)*VLOOKUP($A297,'3121% SY'!$C$3:$M$324,11,FALSE),3),0)+IFERROR(ROUND(VLOOKUP($A297,S275_21,43,FALSE)*VLOOKUP($A297,'3121% SY'!$C$3:$M$324,11,FALSE),3),0)+IFERROR(VLOOKUP($A297,S275_09,15,FALSE),0)</f>
        <v>0</v>
      </c>
      <c r="AC297" s="268">
        <f t="shared" si="57"/>
        <v>28.030999999999999</v>
      </c>
      <c r="AD297" s="267">
        <f>IFERROR(VLOOKUP($A297,Supp_24,14,FALSE),0)+IFERROR(SUMPRODUCT(VLOOKUP($A297,S275_01,{2,3,4},FALSE)),0)+IFERROR(SUMPRODUCT(VLOOKUP($A297,S275_97,{2,3,4},FALSE)),0)+IFERROR(ROUND(VLOOKUP($A297,S275_21,2,FALSE)*VLOOKUP($A297,'3121% SY'!$C$3:$M$324,11,FALSE),3),0)+IFERROR(ROUND(VLOOKUP($A297,S275_21,3,FALSE)*VLOOKUP($A297,'3121% SY'!$C$3:$M$324,11,FALSE),3),0)+IFERROR(ROUND(VLOOKUP($A297,S275_21,4,FALSE)*VLOOKUP($A297,'3121% SY'!$C$3:$M$324,11,FALSE),3),0)+IFERROR(VLOOKUP($A297,S275_09,2,FALSE),0)</f>
        <v>0</v>
      </c>
      <c r="AE297" s="267">
        <f>IFERROR(VLOOKUP($A297,Supp_25,14,FALSE),0)+IFERROR(SUMPRODUCT(VLOOKUP($A297,S275_01,{5,6,7},FALSE)),0)+IFERROR(SUMPRODUCT(VLOOKUP($A297,S275_97,{5,6,7},FALSE)),0)+IFERROR(ROUND(VLOOKUP($A297,S275_21,5,FALSE)*VLOOKUP($A297,'3121% SY'!$C$3:$M$324,11,FALSE),3),0)+IFERROR(ROUND(VLOOKUP($A297,S275_21,6,FALSE)*VLOOKUP($A297,'3121% SY'!$C$3:$M$324,11,FALSE),3),0)+IFERROR(ROUND(VLOOKUP($A297,S275_21,7,FALSE)*VLOOKUP($A297,'3121% SY'!$C$3:$M$324,11,FALSE),3),0)+IFERROR(VLOOKUP($A297,S275_09,3,FALSE),0)</f>
        <v>10.436999999999999</v>
      </c>
      <c r="AF297" s="267">
        <f>IFERROR(VLOOKUP($A297,Supp_26,14,FALSE),0)+IFERROR(SUMPRODUCT(VLOOKUP($A297,S275_01,{8,9,10},FALSE)),0)+IFERROR(SUMPRODUCT(VLOOKUP($A297,S275_97,{8,9,10},FALSE)),0)+IFERROR(ROUND(VLOOKUP($A297,S275_21,8,FALSE)*VLOOKUP($A297,'3121% SY'!$C$3:$M$324,11,FALSE),3),0)+IFERROR(ROUND(VLOOKUP($A297,S275_21,9,FALSE)*VLOOKUP($A297,'3121% SY'!$C$3:$M$324,11,FALSE),3),0)+IFERROR(ROUND(VLOOKUP($A297,S275_21,10,FALSE)*VLOOKUP($A297,'3121% SY'!$C$3:$M$324,11,FALSE),3),0)+IFERROR(VLOOKUP($A297,S275_09,4,FALSE),0)</f>
        <v>9.4369999999999994</v>
      </c>
      <c r="AG297" s="267">
        <f>IFERROR(VLOOKUP($A297,Supp_35,14,FALSE),0)+IFERROR(SUMPRODUCT(VLOOKUP($A297,S275_01,{11,12,13},FALSE)),0)+IFERROR(SUMPRODUCT(VLOOKUP($A297,S275_97,{11,12,13},FALSE)),0)+IFERROR(ROUND(VLOOKUP($A297,S275_21,11,FALSE)*VLOOKUP($A297,'3121% SY'!$C$3:$M$324,11,FALSE),3),0)+IFERROR(ROUND(VLOOKUP($A297,S275_21,12,FALSE)*VLOOKUP($A297,'3121% SY'!$C$3:$M$324,11,FALSE),3),0)+IFERROR(ROUND(VLOOKUP($A297,S275_21,13,FALSE)*VLOOKUP($A297,'3121% SY'!$C$3:$M$324,11,FALSE),3),0)+IFERROR(VLOOKUP($A297,S275_09,5,FALSE),0)</f>
        <v>0</v>
      </c>
      <c r="AH297" s="165">
        <f t="shared" si="58"/>
        <v>19.873999999999999</v>
      </c>
      <c r="AI297" s="161">
        <f>IFERROR(VLOOKUP(A297,'Supp Staff Data'!A:ER,148,FALSE),0)+AB297</f>
        <v>0</v>
      </c>
      <c r="AJ297" s="174">
        <v>0.83330000000000004</v>
      </c>
      <c r="AK297" s="25">
        <f>VLOOKUP(A297,'Enroll Data as of January 2025'!$A$3:$T$323,20,FALSE)-F297</f>
        <v>0</v>
      </c>
    </row>
    <row r="298" spans="1:37" x14ac:dyDescent="0.25">
      <c r="A298" s="171" t="s">
        <v>254</v>
      </c>
      <c r="B298" t="s">
        <v>550</v>
      </c>
      <c r="C298" s="173" t="s">
        <v>1077</v>
      </c>
      <c r="D298" s="259">
        <f t="shared" si="50"/>
        <v>30.34</v>
      </c>
      <c r="E298" s="259">
        <f t="shared" si="51"/>
        <v>49.305</v>
      </c>
      <c r="F298" s="262">
        <f t="shared" si="59"/>
        <v>18.965</v>
      </c>
      <c r="G298" s="161">
        <f>ROUND(IF(F298&lt;0,F298*'2024-25 PSES Compliance'!$G$13,0),3)</f>
        <v>0</v>
      </c>
      <c r="H298" s="161">
        <f>ROUND(IF(F298&lt;0,F298*'2024-25 PSES Compliance'!$G$14,0),3)</f>
        <v>0</v>
      </c>
      <c r="I298" s="174">
        <f t="shared" si="53"/>
        <v>0.54142013994523874</v>
      </c>
      <c r="J298" s="174">
        <f t="shared" si="54"/>
        <v>0</v>
      </c>
      <c r="K298" s="161">
        <f>VLOOKUP($A298,'Enroll Data as of January 2025'!$A$3:$M$322,6,FALSE)</f>
        <v>16.942999999999998</v>
      </c>
      <c r="L298" s="161">
        <f>VLOOKUP($A298,'Enroll Data as of January 2025'!$A$3:$M$322,7,FALSE)</f>
        <v>2.8659999999999997</v>
      </c>
      <c r="M298" s="161">
        <f>VLOOKUP($A298,'Enroll Data as of January 2025'!$A$3:$M$322,8,FALSE)</f>
        <v>0.96199999999999997</v>
      </c>
      <c r="N298" s="161">
        <f>VLOOKUP($A298,'Enroll Data as of January 2025'!$A$3:$M$322,9,FALSE)</f>
        <v>7.8480000000000008</v>
      </c>
      <c r="O298" s="165">
        <f t="shared" si="55"/>
        <v>28.619</v>
      </c>
      <c r="P298" s="161">
        <f>VLOOKUP($A298,'Enroll Data as of January 2025'!$A$3:$M$322,11,FALSE)</f>
        <v>1.069</v>
      </c>
      <c r="Q298" s="161">
        <f>VLOOKUP($A298,'Enroll Data as of January 2025'!$A$3:$M$322,12,FALSE)</f>
        <v>0.65200000000000002</v>
      </c>
      <c r="R298" s="165">
        <f t="shared" si="56"/>
        <v>1.7210000000000001</v>
      </c>
      <c r="S298" s="267">
        <f>IFERROR(VLOOKUP($A298,Supp_39,14,FALSE),0)+IFERROR(SUMPRODUCT(VLOOKUP($A298,S275_01,{14,15,16},FALSE)),0)+IFERROR(SUMPRODUCT(VLOOKUP($A298,S275_97,{14,15,16},FALSE)),0)+IFERROR(ROUND(VLOOKUP($A298,S275_21,14,FALSE)*VLOOKUP($A298,'3121% SY'!$C$3:$M$324,11,FALSE),3),0)+IFERROR(ROUND(VLOOKUP($A298,S275_21,15,FALSE)*VLOOKUP($A298,'3121% SY'!$C$3:$M$324,11,FALSE),3),0)+IFERROR(ROUND(VLOOKUP($A298,S275_21,16,FALSE)*VLOOKUP($A298,'3121% SY'!$C$3:$M$324,11,FALSE),3),0)+IFERROR(VLOOKUP($A298,S275_09,6,FALSE),0)</f>
        <v>14.366</v>
      </c>
      <c r="T298" s="267">
        <f>IFERROR(VLOOKUP($A298,Supp_42,14,FALSE),0)+IFERROR(SUMPRODUCT(VLOOKUP($A298,S275_01,{17,18,19},FALSE)),0)+IFERROR(SUMPRODUCT(VLOOKUP($A298,S275_97,{17,18,19},FALSE)),0)+IFERROR(ROUND(VLOOKUP($A298,S275_21,17,FALSE)*VLOOKUP($A298,'3121% SY'!$C$3:$M$324,11,FALSE),3),0)+IFERROR(ROUND(VLOOKUP($A298,S275_21,18,FALSE)*VLOOKUP($A298,'3121% SY'!$C$3:$M$324,11,FALSE),3),0)+IFERROR(ROUND(VLOOKUP($A298,S275_21,19,FALSE)*VLOOKUP($A298,'3121% SY'!$C$3:$M$324,11,FALSE),3),0)+IFERROR(VLOOKUP($A298,S275_09,7,FALSE),0)</f>
        <v>3.3340000000000001</v>
      </c>
      <c r="U298" s="267">
        <f>IFERROR(VLOOKUP($A298,Supp_43,14,FALSE),0)+IFERROR(SUMPRODUCT(VLOOKUP($A298,S275_01,{20,21,22},FALSE)),0)+IFERROR(SUMPRODUCT(VLOOKUP($A298,S275_97,{20,21,22},FALSE)),0)+IFERROR(ROUND(VLOOKUP($A298,S275_21,20,FALSE)*VLOOKUP($A298,'3121% SY'!$C$3:$M$324,11,FALSE),3),0)+IFERROR(ROUND(VLOOKUP($A298,S275_21,21,FALSE)*VLOOKUP($A298,'3121% SY'!$C$3:$M$324,11,FALSE),3),0)+IFERROR(ROUND(VLOOKUP($A298,S275_21,22,FALSE)*VLOOKUP($A298,'3121% SY'!$C$3:$M$324,11,FALSE),3),0)+IFERROR(VLOOKUP($A298,S275_09,8,FALSE),0)</f>
        <v>0.78200000000000003</v>
      </c>
      <c r="V298" s="267">
        <f>IFERROR(VLOOKUP($A298,Supp_44,14,FALSE),0)+IFERROR(SUMPRODUCT(VLOOKUP($A298,S275_01,{23,24,25},FALSE)),0)+IFERROR(SUMPRODUCT(VLOOKUP($A298,S275_97,{23,24,25},FALSE)),0)+IFERROR(ROUND(VLOOKUP($A298,S275_21,23,FALSE)*VLOOKUP($A298,'3121% SY'!$C$3:$M$324,11,FALSE),3),0)+IFERROR(ROUND(VLOOKUP($A298,S275_21,24,FALSE)*VLOOKUP($A298,'3121% SY'!$C$3:$M$324,11,FALSE),3),0)+IFERROR(ROUND(VLOOKUP($A298,S275_21,25,FALSE)*VLOOKUP($A298,'3121% SY'!$C$3:$M$324,11,FALSE),3),0)+IFERROR(VLOOKUP($A298,S275_09,9,FALSE),0)</f>
        <v>0</v>
      </c>
      <c r="W298" s="267">
        <f>IFERROR(VLOOKUP($A298,Supp_45,14,FALSE),0)+IFERROR(SUMPRODUCT(VLOOKUP($A298,S275_01,{26,27,28},FALSE)),0)+IFERROR(SUMPRODUCT(VLOOKUP($A298,S275_97,{26,27,28},FALSE)),0)+IFERROR(ROUND(VLOOKUP($A298,S275_21,26,FALSE)*VLOOKUP($A298,'3121% SY'!$C$3:$M$324,11,FALSE),3),0)+IFERROR(ROUND(VLOOKUP($A298,S275_21,27,FALSE)*VLOOKUP($A298,'3121% SY'!$C$3:$M$324,11,FALSE),3),0)+IFERROR(ROUND(VLOOKUP($A298,S275_21,28,FALSE)*VLOOKUP($A298,'3121% SY'!$C$3:$M$324,11,FALSE),3),0)+IFERROR(VLOOKUP($A298,S275_09,10,FALSE),0)</f>
        <v>2.2909999999999999</v>
      </c>
      <c r="X298" s="267">
        <f>IFERROR(VLOOKUP($A298,Supp_46,14,FALSE),0)+IFERROR(SUMPRODUCT(VLOOKUP($A298,S275_01,{29,30,31},FALSE)),0)+IFERROR(SUMPRODUCT(VLOOKUP($A298,S275_97,{29,30,31},FALSE)),0)+IFERROR(ROUND(VLOOKUP($A298,S275_21,29,FALSE)*VLOOKUP($A298,'3121% SY'!$C$3:$M$324,11,FALSE),3),0)+IFERROR(ROUND(VLOOKUP($A298,S275_21,30,FALSE)*VLOOKUP($A298,'3121% SY'!$C$3:$M$324,11,FALSE),3),0)+IFERROR(ROUND(VLOOKUP($A298,S275_21,31,FALSE)*VLOOKUP($A298,'3121% SY'!$C$3:$M$324,11,FALSE),3),0)+IFERROR(VLOOKUP($A298,S275_09,11,FALSE),0)</f>
        <v>5.8339999999999996</v>
      </c>
      <c r="Y298" s="267">
        <f>IFERROR(VLOOKUP($A298,Supp_47,14,FALSE),0)+IFERROR(SUMPRODUCT(VLOOKUP($A298,S275_01,{32,33,34},FALSE)),0)+IFERROR(SUMPRODUCT(VLOOKUP($A298,S275_97,{32,33,34},FALSE)),0)+IFERROR(ROUND(VLOOKUP($A298,S275_21,32,FALSE)*VLOOKUP($A298,'3121% SY'!$C$3:$M$324,11,FALSE),3),0)+IFERROR(ROUND(VLOOKUP($A298,S275_21,33,FALSE)*VLOOKUP($A298,'3121% SY'!$C$3:$M$324,11,FALSE),3),0)+IFERROR(ROUND(VLOOKUP($A298,S275_21,34,FALSE)*VLOOKUP($A298,'3121% SY'!$C$3:$M$324,11,FALSE),3),0)+IFERROR(VLOOKUP($A298,S275_09,12,FALSE),0)</f>
        <v>0.93600000000000005</v>
      </c>
      <c r="Z298" s="267">
        <f>IFERROR(VLOOKUP($A298,Supp_48,14,FALSE),0)+IFERROR(SUMPRODUCT(VLOOKUP($A298,S275_01,{35,36,37},FALSE)),0)+IFERROR(SUMPRODUCT(VLOOKUP($A298,S275_97,{35,36,37},FALSE)),0)+IFERROR(ROUND(VLOOKUP($A298,S275_21,35,FALSE)*VLOOKUP($A298,'3121% SY'!$C$3:$M$324,11,FALSE),3),0)+IFERROR(ROUND(VLOOKUP($A298,S275_21,36,FALSE)*VLOOKUP($A298,'3121% SY'!$C$3:$M$324,11,FALSE),3),0)+IFERROR(ROUND(VLOOKUP($A298,S275_21,37,FALSE)*VLOOKUP($A298,'3121% SY'!$C$3:$M$324,11,FALSE),3),0)+IFERROR(VLOOKUP($A298,S275_09,13,FALSE),0)</f>
        <v>0</v>
      </c>
      <c r="AA298" s="267">
        <f>IFERROR(VLOOKUP($A298,Supp_49,14,FALSE),0)+IFERROR(SUMPRODUCT(VLOOKUP($A298,S275_01,{38,39,40},FALSE)),0)+IFERROR(SUMPRODUCT(VLOOKUP($A298,S275_97,{38,39,40},FALSE)),0)+IFERROR(ROUND(VLOOKUP($A298,S275_21,38,FALSE)*VLOOKUP($A298,'3121% SY'!$C$3:$M$324,11,FALSE),3),0)+IFERROR(ROUND(VLOOKUP($A298,S275_21,39,FALSE)*VLOOKUP($A298,'3121% SY'!$C$3:$M$324,11,FALSE),3),0)+IFERROR(ROUND(VLOOKUP($A298,S275_21,40,FALSE)*VLOOKUP($A298,'3121% SY'!$C$3:$M$324,11,FALSE),3),0)+IFERROR(VLOOKUP($A298,S275_09,14,FALSE),0)</f>
        <v>0.26399999999999996</v>
      </c>
      <c r="AB298" s="267">
        <f>IFERROR(VLOOKUP($A298,Supp_64,14,FALSE),0)+IFERROR(SUMPRODUCT(VLOOKUP($A298,S275_01,{41,42,43},FALSE)),0)+IFERROR(SUMPRODUCT(VLOOKUP($A298,S275_97,{41,42,43},FALSE)),0)+IFERROR(ROUND(VLOOKUP($A298,S275_21,41,FALSE)*VLOOKUP($A298,'3121% SY'!$C$3:$M$324,11,FALSE),3),0)+IFERROR(ROUND(VLOOKUP($A298,S275_21,42,FALSE)*VLOOKUP($A298,'3121% SY'!$C$3:$M$324,11,FALSE),3),0)+IFERROR(ROUND(VLOOKUP($A298,S275_21,43,FALSE)*VLOOKUP($A298,'3121% SY'!$C$3:$M$324,11,FALSE),3),0)+IFERROR(VLOOKUP($A298,S275_09,15,FALSE),0)</f>
        <v>0</v>
      </c>
      <c r="AC298" s="268">
        <f t="shared" si="57"/>
        <v>27.806999999999999</v>
      </c>
      <c r="AD298" s="267">
        <f>IFERROR(VLOOKUP($A298,Supp_24,14,FALSE),0)+IFERROR(SUMPRODUCT(VLOOKUP($A298,S275_01,{2,3,4},FALSE)),0)+IFERROR(SUMPRODUCT(VLOOKUP($A298,S275_97,{2,3,4},FALSE)),0)+IFERROR(ROUND(VLOOKUP($A298,S275_21,2,FALSE)*VLOOKUP($A298,'3121% SY'!$C$3:$M$324,11,FALSE),3),0)+IFERROR(ROUND(VLOOKUP($A298,S275_21,3,FALSE)*VLOOKUP($A298,'3121% SY'!$C$3:$M$324,11,FALSE),3),0)+IFERROR(ROUND(VLOOKUP($A298,S275_21,4,FALSE)*VLOOKUP($A298,'3121% SY'!$C$3:$M$324,11,FALSE),3),0)+IFERROR(VLOOKUP($A298,S275_09,2,FALSE),0)</f>
        <v>0</v>
      </c>
      <c r="AE298" s="267">
        <f>IFERROR(VLOOKUP($A298,Supp_25,14,FALSE),0)+IFERROR(SUMPRODUCT(VLOOKUP($A298,S275_01,{5,6,7},FALSE)),0)+IFERROR(SUMPRODUCT(VLOOKUP($A298,S275_97,{5,6,7},FALSE)),0)+IFERROR(ROUND(VLOOKUP($A298,S275_21,5,FALSE)*VLOOKUP($A298,'3121% SY'!$C$3:$M$324,11,FALSE),3),0)+IFERROR(ROUND(VLOOKUP($A298,S275_21,6,FALSE)*VLOOKUP($A298,'3121% SY'!$C$3:$M$324,11,FALSE),3),0)+IFERROR(ROUND(VLOOKUP($A298,S275_21,7,FALSE)*VLOOKUP($A298,'3121% SY'!$C$3:$M$324,11,FALSE),3),0)+IFERROR(VLOOKUP($A298,S275_09,3,FALSE),0)</f>
        <v>12.177</v>
      </c>
      <c r="AF298" s="267">
        <f>IFERROR(VLOOKUP($A298,Supp_26,14,FALSE),0)+IFERROR(SUMPRODUCT(VLOOKUP($A298,S275_01,{8,9,10},FALSE)),0)+IFERROR(SUMPRODUCT(VLOOKUP($A298,S275_97,{8,9,10},FALSE)),0)+IFERROR(ROUND(VLOOKUP($A298,S275_21,8,FALSE)*VLOOKUP($A298,'3121% SY'!$C$3:$M$324,11,FALSE),3),0)+IFERROR(ROUND(VLOOKUP($A298,S275_21,9,FALSE)*VLOOKUP($A298,'3121% SY'!$C$3:$M$324,11,FALSE),3),0)+IFERROR(ROUND(VLOOKUP($A298,S275_21,10,FALSE)*VLOOKUP($A298,'3121% SY'!$C$3:$M$324,11,FALSE),3),0)+IFERROR(VLOOKUP($A298,S275_09,4,FALSE),0)</f>
        <v>9.3210000000000015</v>
      </c>
      <c r="AG298" s="267">
        <f>IFERROR(VLOOKUP($A298,Supp_35,14,FALSE),0)+IFERROR(SUMPRODUCT(VLOOKUP($A298,S275_01,{11,12,13},FALSE)),0)+IFERROR(SUMPRODUCT(VLOOKUP($A298,S275_97,{11,12,13},FALSE)),0)+IFERROR(ROUND(VLOOKUP($A298,S275_21,11,FALSE)*VLOOKUP($A298,'3121% SY'!$C$3:$M$324,11,FALSE),3),0)+IFERROR(ROUND(VLOOKUP($A298,S275_21,12,FALSE)*VLOOKUP($A298,'3121% SY'!$C$3:$M$324,11,FALSE),3),0)+IFERROR(ROUND(VLOOKUP($A298,S275_21,13,FALSE)*VLOOKUP($A298,'3121% SY'!$C$3:$M$324,11,FALSE),3),0)+IFERROR(VLOOKUP($A298,S275_09,5,FALSE),0)</f>
        <v>0</v>
      </c>
      <c r="AH298" s="165">
        <f t="shared" si="58"/>
        <v>21.498000000000001</v>
      </c>
      <c r="AI298" s="161">
        <f>IFERROR(VLOOKUP(A298,'Supp Staff Data'!A:ER,148,FALSE),0)+AB298</f>
        <v>0</v>
      </c>
      <c r="AJ298" s="174">
        <v>0.96</v>
      </c>
      <c r="AK298" s="25">
        <f>VLOOKUP(A298,'Enroll Data as of January 2025'!$A$3:$T$323,20,FALSE)-F298</f>
        <v>0</v>
      </c>
    </row>
    <row r="299" spans="1:37" x14ac:dyDescent="0.25">
      <c r="A299" s="171" t="s">
        <v>104</v>
      </c>
      <c r="B299" t="s">
        <v>400</v>
      </c>
      <c r="C299" s="173" t="s">
        <v>1078</v>
      </c>
      <c r="D299" s="259">
        <f t="shared" si="50"/>
        <v>107.014</v>
      </c>
      <c r="E299" s="259">
        <f t="shared" si="51"/>
        <v>162.94400000000002</v>
      </c>
      <c r="F299" s="262">
        <f t="shared" si="59"/>
        <v>55.93</v>
      </c>
      <c r="G299" s="161">
        <f>ROUND(IF(F299&lt;0,F299*'2024-25 PSES Compliance'!$G$13,0),3)</f>
        <v>0</v>
      </c>
      <c r="H299" s="161">
        <f>ROUND(IF(F299&lt;0,F299*'2024-25 PSES Compliance'!$G$14,0),3)</f>
        <v>0</v>
      </c>
      <c r="I299" s="174">
        <f t="shared" si="53"/>
        <v>0.68349248821681063</v>
      </c>
      <c r="J299" s="174">
        <f t="shared" si="54"/>
        <v>0</v>
      </c>
      <c r="K299" s="161">
        <f>VLOOKUP($A299,'Enroll Data as of January 2025'!$A$3:$M$322,6,FALSE)</f>
        <v>62.363</v>
      </c>
      <c r="L299" s="161">
        <f>VLOOKUP($A299,'Enroll Data as of January 2025'!$A$3:$M$322,7,FALSE)</f>
        <v>8.98</v>
      </c>
      <c r="M299" s="161">
        <f>VLOOKUP($A299,'Enroll Data as of January 2025'!$A$3:$M$322,8,FALSE)</f>
        <v>3.0289999999999999</v>
      </c>
      <c r="N299" s="161">
        <f>VLOOKUP($A299,'Enroll Data as of January 2025'!$A$3:$M$322,9,FALSE)</f>
        <v>26.982999999999997</v>
      </c>
      <c r="O299" s="165">
        <f t="shared" si="55"/>
        <v>101.35499999999999</v>
      </c>
      <c r="P299" s="161">
        <f>VLOOKUP($A299,'Enroll Data as of January 2025'!$A$3:$M$322,11,FALSE)</f>
        <v>3.74</v>
      </c>
      <c r="Q299" s="161">
        <f>VLOOKUP($A299,'Enroll Data as of January 2025'!$A$3:$M$322,12,FALSE)</f>
        <v>1.919</v>
      </c>
      <c r="R299" s="165">
        <f t="shared" si="56"/>
        <v>5.6590000000000007</v>
      </c>
      <c r="S299" s="267">
        <f>IFERROR(VLOOKUP($A299,Supp_39,14,FALSE),0)+IFERROR(SUMPRODUCT(VLOOKUP($A299,S275_01,{14,15,16},FALSE)),0)+IFERROR(SUMPRODUCT(VLOOKUP($A299,S275_97,{14,15,16},FALSE)),0)+IFERROR(ROUND(VLOOKUP($A299,S275_21,14,FALSE)*VLOOKUP($A299,'3121% SY'!$C$3:$M$324,11,FALSE),3),0)+IFERROR(ROUND(VLOOKUP($A299,S275_21,15,FALSE)*VLOOKUP($A299,'3121% SY'!$C$3:$M$324,11,FALSE),3),0)+IFERROR(ROUND(VLOOKUP($A299,S275_21,16,FALSE)*VLOOKUP($A299,'3121% SY'!$C$3:$M$324,11,FALSE),3),0)+IFERROR(VLOOKUP($A299,S275_09,6,FALSE),0)</f>
        <v>59.548999999999999</v>
      </c>
      <c r="T299" s="267">
        <f>IFERROR(VLOOKUP($A299,Supp_42,14,FALSE),0)+IFERROR(SUMPRODUCT(VLOOKUP($A299,S275_01,{17,18,19},FALSE)),0)+IFERROR(SUMPRODUCT(VLOOKUP($A299,S275_97,{17,18,19},FALSE)),0)+IFERROR(ROUND(VLOOKUP($A299,S275_21,17,FALSE)*VLOOKUP($A299,'3121% SY'!$C$3:$M$324,11,FALSE),3),0)+IFERROR(ROUND(VLOOKUP($A299,S275_21,18,FALSE)*VLOOKUP($A299,'3121% SY'!$C$3:$M$324,11,FALSE),3),0)+IFERROR(ROUND(VLOOKUP($A299,S275_21,19,FALSE)*VLOOKUP($A299,'3121% SY'!$C$3:$M$324,11,FALSE),3),0)+IFERROR(VLOOKUP($A299,S275_09,7,FALSE),0)</f>
        <v>12.071</v>
      </c>
      <c r="U299" s="267">
        <f>IFERROR(VLOOKUP($A299,Supp_43,14,FALSE),0)+IFERROR(SUMPRODUCT(VLOOKUP($A299,S275_01,{20,21,22},FALSE)),0)+IFERROR(SUMPRODUCT(VLOOKUP($A299,S275_97,{20,21,22},FALSE)),0)+IFERROR(ROUND(VLOOKUP($A299,S275_21,20,FALSE)*VLOOKUP($A299,'3121% SY'!$C$3:$M$324,11,FALSE),3),0)+IFERROR(ROUND(VLOOKUP($A299,S275_21,21,FALSE)*VLOOKUP($A299,'3121% SY'!$C$3:$M$324,11,FALSE),3),0)+IFERROR(ROUND(VLOOKUP($A299,S275_21,22,FALSE)*VLOOKUP($A299,'3121% SY'!$C$3:$M$324,11,FALSE),3),0)+IFERROR(VLOOKUP($A299,S275_09,8,FALSE),0)</f>
        <v>3.91</v>
      </c>
      <c r="V299" s="267">
        <f>IFERROR(VLOOKUP($A299,Supp_44,14,FALSE),0)+IFERROR(SUMPRODUCT(VLOOKUP($A299,S275_01,{23,24,25},FALSE)),0)+IFERROR(SUMPRODUCT(VLOOKUP($A299,S275_97,{23,24,25},FALSE)),0)+IFERROR(ROUND(VLOOKUP($A299,S275_21,23,FALSE)*VLOOKUP($A299,'3121% SY'!$C$3:$M$324,11,FALSE),3),0)+IFERROR(ROUND(VLOOKUP($A299,S275_21,24,FALSE)*VLOOKUP($A299,'3121% SY'!$C$3:$M$324,11,FALSE),3),0)+IFERROR(ROUND(VLOOKUP($A299,S275_21,25,FALSE)*VLOOKUP($A299,'3121% SY'!$C$3:$M$324,11,FALSE),3),0)+IFERROR(VLOOKUP($A299,S275_09,9,FALSE),0)</f>
        <v>2.5500000000000003</v>
      </c>
      <c r="W299" s="267">
        <f>IFERROR(VLOOKUP($A299,Supp_45,14,FALSE),0)+IFERROR(SUMPRODUCT(VLOOKUP($A299,S275_01,{26,27,28},FALSE)),0)+IFERROR(SUMPRODUCT(VLOOKUP($A299,S275_97,{26,27,28},FALSE)),0)+IFERROR(ROUND(VLOOKUP($A299,S275_21,26,FALSE)*VLOOKUP($A299,'3121% SY'!$C$3:$M$324,11,FALSE),3),0)+IFERROR(ROUND(VLOOKUP($A299,S275_21,27,FALSE)*VLOOKUP($A299,'3121% SY'!$C$3:$M$324,11,FALSE),3),0)+IFERROR(ROUND(VLOOKUP($A299,S275_21,28,FALSE)*VLOOKUP($A299,'3121% SY'!$C$3:$M$324,11,FALSE),3),0)+IFERROR(VLOOKUP($A299,S275_09,10,FALSE),0)</f>
        <v>7.5000000000000009</v>
      </c>
      <c r="X299" s="267">
        <f>IFERROR(VLOOKUP($A299,Supp_46,14,FALSE),0)+IFERROR(SUMPRODUCT(VLOOKUP($A299,S275_01,{29,30,31},FALSE)),0)+IFERROR(SUMPRODUCT(VLOOKUP($A299,S275_97,{29,30,31},FALSE)),0)+IFERROR(ROUND(VLOOKUP($A299,S275_21,29,FALSE)*VLOOKUP($A299,'3121% SY'!$C$3:$M$324,11,FALSE),3),0)+IFERROR(ROUND(VLOOKUP($A299,S275_21,30,FALSE)*VLOOKUP($A299,'3121% SY'!$C$3:$M$324,11,FALSE),3),0)+IFERROR(ROUND(VLOOKUP($A299,S275_21,31,FALSE)*VLOOKUP($A299,'3121% SY'!$C$3:$M$324,11,FALSE),3),0)+IFERROR(VLOOKUP($A299,S275_09,11,FALSE),0)</f>
        <v>19.924000000000003</v>
      </c>
      <c r="Y299" s="267">
        <f>IFERROR(VLOOKUP($A299,Supp_47,14,FALSE),0)+IFERROR(SUMPRODUCT(VLOOKUP($A299,S275_01,{32,33,34},FALSE)),0)+IFERROR(SUMPRODUCT(VLOOKUP($A299,S275_97,{32,33,34},FALSE)),0)+IFERROR(ROUND(VLOOKUP($A299,S275_21,32,FALSE)*VLOOKUP($A299,'3121% SY'!$C$3:$M$324,11,FALSE),3),0)+IFERROR(ROUND(VLOOKUP($A299,S275_21,33,FALSE)*VLOOKUP($A299,'3121% SY'!$C$3:$M$324,11,FALSE),3),0)+IFERROR(ROUND(VLOOKUP($A299,S275_21,34,FALSE)*VLOOKUP($A299,'3121% SY'!$C$3:$M$324,11,FALSE),3),0)+IFERROR(VLOOKUP($A299,S275_09,12,FALSE),0)</f>
        <v>3.544</v>
      </c>
      <c r="Z299" s="267">
        <f>IFERROR(VLOOKUP($A299,Supp_48,14,FALSE),0)+IFERROR(SUMPRODUCT(VLOOKUP($A299,S275_01,{35,36,37},FALSE)),0)+IFERROR(SUMPRODUCT(VLOOKUP($A299,S275_97,{35,36,37},FALSE)),0)+IFERROR(ROUND(VLOOKUP($A299,S275_21,35,FALSE)*VLOOKUP($A299,'3121% SY'!$C$3:$M$324,11,FALSE),3),0)+IFERROR(ROUND(VLOOKUP($A299,S275_21,36,FALSE)*VLOOKUP($A299,'3121% SY'!$C$3:$M$324,11,FALSE),3),0)+IFERROR(ROUND(VLOOKUP($A299,S275_21,37,FALSE)*VLOOKUP($A299,'3121% SY'!$C$3:$M$324,11,FALSE),3),0)+IFERROR(VLOOKUP($A299,S275_09,13,FALSE),0)</f>
        <v>1.2269999999999999</v>
      </c>
      <c r="AA299" s="267">
        <f>IFERROR(VLOOKUP($A299,Supp_49,14,FALSE),0)+IFERROR(SUMPRODUCT(VLOOKUP($A299,S275_01,{38,39,40},FALSE)),0)+IFERROR(SUMPRODUCT(VLOOKUP($A299,S275_97,{38,39,40},FALSE)),0)+IFERROR(ROUND(VLOOKUP($A299,S275_21,38,FALSE)*VLOOKUP($A299,'3121% SY'!$C$3:$M$324,11,FALSE),3),0)+IFERROR(ROUND(VLOOKUP($A299,S275_21,39,FALSE)*VLOOKUP($A299,'3121% SY'!$C$3:$M$324,11,FALSE),3),0)+IFERROR(ROUND(VLOOKUP($A299,S275_21,40,FALSE)*VLOOKUP($A299,'3121% SY'!$C$3:$M$324,11,FALSE),3),0)+IFERROR(VLOOKUP($A299,S275_09,14,FALSE),0)</f>
        <v>1.0960000000000001</v>
      </c>
      <c r="AB299" s="267">
        <f>IFERROR(VLOOKUP($A299,Supp_64,14,FALSE),0)+IFERROR(SUMPRODUCT(VLOOKUP($A299,S275_01,{41,42,43},FALSE)),0)+IFERROR(SUMPRODUCT(VLOOKUP($A299,S275_97,{41,42,43},FALSE)),0)+IFERROR(ROUND(VLOOKUP($A299,S275_21,41,FALSE)*VLOOKUP($A299,'3121% SY'!$C$3:$M$324,11,FALSE),3),0)+IFERROR(ROUND(VLOOKUP($A299,S275_21,42,FALSE)*VLOOKUP($A299,'3121% SY'!$C$3:$M$324,11,FALSE),3),0)+IFERROR(ROUND(VLOOKUP($A299,S275_21,43,FALSE)*VLOOKUP($A299,'3121% SY'!$C$3:$M$324,11,FALSE),3),0)+IFERROR(VLOOKUP($A299,S275_09,15,FALSE),0)</f>
        <v>0</v>
      </c>
      <c r="AC299" s="268">
        <f t="shared" si="57"/>
        <v>111.37100000000001</v>
      </c>
      <c r="AD299" s="267">
        <f>IFERROR(VLOOKUP($A299,Supp_24,14,FALSE),0)+IFERROR(SUMPRODUCT(VLOOKUP($A299,S275_01,{2,3,4},FALSE)),0)+IFERROR(SUMPRODUCT(VLOOKUP($A299,S275_97,{2,3,4},FALSE)),0)+IFERROR(ROUND(VLOOKUP($A299,S275_21,2,FALSE)*VLOOKUP($A299,'3121% SY'!$C$3:$M$324,11,FALSE),3),0)+IFERROR(ROUND(VLOOKUP($A299,S275_21,3,FALSE)*VLOOKUP($A299,'3121% SY'!$C$3:$M$324,11,FALSE),3),0)+IFERROR(ROUND(VLOOKUP($A299,S275_21,4,FALSE)*VLOOKUP($A299,'3121% SY'!$C$3:$M$324,11,FALSE),3),0)+IFERROR(VLOOKUP($A299,S275_09,2,FALSE),0)</f>
        <v>9.3469999999999995</v>
      </c>
      <c r="AE299" s="267">
        <f>IFERROR(VLOOKUP($A299,Supp_25,14,FALSE),0)+IFERROR(SUMPRODUCT(VLOOKUP($A299,S275_01,{5,6,7},FALSE)),0)+IFERROR(SUMPRODUCT(VLOOKUP($A299,S275_97,{5,6,7},FALSE)),0)+IFERROR(ROUND(VLOOKUP($A299,S275_21,5,FALSE)*VLOOKUP($A299,'3121% SY'!$C$3:$M$324,11,FALSE),3),0)+IFERROR(ROUND(VLOOKUP($A299,S275_21,6,FALSE)*VLOOKUP($A299,'3121% SY'!$C$3:$M$324,11,FALSE),3),0)+IFERROR(ROUND(VLOOKUP($A299,S275_21,7,FALSE)*VLOOKUP($A299,'3121% SY'!$C$3:$M$324,11,FALSE),3),0)+IFERROR(VLOOKUP($A299,S275_09,3,FALSE),0)</f>
        <v>33.963000000000001</v>
      </c>
      <c r="AF299" s="267">
        <f>IFERROR(VLOOKUP($A299,Supp_26,14,FALSE),0)+IFERROR(SUMPRODUCT(VLOOKUP($A299,S275_01,{8,9,10},FALSE)),0)+IFERROR(SUMPRODUCT(VLOOKUP($A299,S275_97,{8,9,10},FALSE)),0)+IFERROR(ROUND(VLOOKUP($A299,S275_21,8,FALSE)*VLOOKUP($A299,'3121% SY'!$C$3:$M$324,11,FALSE),3),0)+IFERROR(ROUND(VLOOKUP($A299,S275_21,9,FALSE)*VLOOKUP($A299,'3121% SY'!$C$3:$M$324,11,FALSE),3),0)+IFERROR(ROUND(VLOOKUP($A299,S275_21,10,FALSE)*VLOOKUP($A299,'3121% SY'!$C$3:$M$324,11,FALSE),3),0)+IFERROR(VLOOKUP($A299,S275_09,4,FALSE),0)</f>
        <v>8.2629999999999999</v>
      </c>
      <c r="AG299" s="267">
        <f>IFERROR(VLOOKUP($A299,Supp_35,14,FALSE),0)+IFERROR(SUMPRODUCT(VLOOKUP($A299,S275_01,{11,12,13},FALSE)),0)+IFERROR(SUMPRODUCT(VLOOKUP($A299,S275_97,{11,12,13},FALSE)),0)+IFERROR(ROUND(VLOOKUP($A299,S275_21,11,FALSE)*VLOOKUP($A299,'3121% SY'!$C$3:$M$324,11,FALSE),3),0)+IFERROR(ROUND(VLOOKUP($A299,S275_21,12,FALSE)*VLOOKUP($A299,'3121% SY'!$C$3:$M$324,11,FALSE),3),0)+IFERROR(ROUND(VLOOKUP($A299,S275_21,13,FALSE)*VLOOKUP($A299,'3121% SY'!$C$3:$M$324,11,FALSE),3),0)+IFERROR(VLOOKUP($A299,S275_09,5,FALSE),0)</f>
        <v>0</v>
      </c>
      <c r="AH299" s="165">
        <f t="shared" si="58"/>
        <v>51.573</v>
      </c>
      <c r="AI299" s="161">
        <f>IFERROR(VLOOKUP(A299,'Supp Staff Data'!A:ER,148,FALSE),0)+AB299</f>
        <v>0</v>
      </c>
      <c r="AJ299" s="174">
        <v>1</v>
      </c>
      <c r="AK299" s="25">
        <f>VLOOKUP(A299,'Enroll Data as of January 2025'!$A$3:$T$323,20,FALSE)-F299</f>
        <v>0</v>
      </c>
    </row>
    <row r="300" spans="1:37" x14ac:dyDescent="0.25">
      <c r="A300" s="171" t="s">
        <v>120</v>
      </c>
      <c r="B300" t="s">
        <v>416</v>
      </c>
      <c r="C300" s="173" t="s">
        <v>1077</v>
      </c>
      <c r="D300" s="259">
        <f t="shared" si="50"/>
        <v>43.250999999999998</v>
      </c>
      <c r="E300" s="259">
        <f t="shared" si="51"/>
        <v>64.647999999999996</v>
      </c>
      <c r="F300" s="262">
        <f t="shared" si="59"/>
        <v>21.396999999999998</v>
      </c>
      <c r="G300" s="161">
        <f>ROUND(IF(F300&lt;0,F300*'2024-25 PSES Compliance'!$G$13,0),3)</f>
        <v>0</v>
      </c>
      <c r="H300" s="161">
        <f>ROUND(IF(F300&lt;0,F300*'2024-25 PSES Compliance'!$G$14,0),3)</f>
        <v>0</v>
      </c>
      <c r="I300" s="174">
        <f t="shared" si="53"/>
        <v>0.5303846182403168</v>
      </c>
      <c r="J300" s="174">
        <f t="shared" si="54"/>
        <v>0</v>
      </c>
      <c r="K300" s="161">
        <f>VLOOKUP($A300,'Enroll Data as of January 2025'!$A$3:$M$322,6,FALSE)</f>
        <v>23.627000000000002</v>
      </c>
      <c r="L300" s="161">
        <f>VLOOKUP($A300,'Enroll Data as of January 2025'!$A$3:$M$322,7,FALSE)</f>
        <v>4.3389999999999995</v>
      </c>
      <c r="M300" s="161">
        <f>VLOOKUP($A300,'Enroll Data as of January 2025'!$A$3:$M$322,8,FALSE)</f>
        <v>1.4549999999999998</v>
      </c>
      <c r="N300" s="161">
        <f>VLOOKUP($A300,'Enroll Data as of January 2025'!$A$3:$M$322,9,FALSE)</f>
        <v>11.286</v>
      </c>
      <c r="O300" s="165">
        <f t="shared" si="55"/>
        <v>40.707000000000001</v>
      </c>
      <c r="P300" s="161">
        <f>VLOOKUP($A300,'Enroll Data as of January 2025'!$A$3:$M$322,11,FALSE)</f>
        <v>1.53</v>
      </c>
      <c r="Q300" s="161">
        <f>VLOOKUP($A300,'Enroll Data as of January 2025'!$A$3:$M$322,12,FALSE)</f>
        <v>1.014</v>
      </c>
      <c r="R300" s="165">
        <f t="shared" si="56"/>
        <v>2.544</v>
      </c>
      <c r="S300" s="267">
        <f>IFERROR(VLOOKUP($A300,Supp_39,14,FALSE),0)+IFERROR(SUMPRODUCT(VLOOKUP($A300,S275_01,{14,15,16},FALSE)),0)+IFERROR(SUMPRODUCT(VLOOKUP($A300,S275_97,{14,15,16},FALSE)),0)+IFERROR(ROUND(VLOOKUP($A300,S275_21,14,FALSE)*VLOOKUP($A300,'3121% SY'!$C$3:$M$324,11,FALSE),3),0)+IFERROR(ROUND(VLOOKUP($A300,S275_21,15,FALSE)*VLOOKUP($A300,'3121% SY'!$C$3:$M$324,11,FALSE),3),0)+IFERROR(ROUND(VLOOKUP($A300,S275_21,16,FALSE)*VLOOKUP($A300,'3121% SY'!$C$3:$M$324,11,FALSE),3),0)+IFERROR(VLOOKUP($A300,S275_09,6,FALSE),0)</f>
        <v>20.706</v>
      </c>
      <c r="T300" s="267">
        <f>IFERROR(VLOOKUP($A300,Supp_42,14,FALSE),0)+IFERROR(SUMPRODUCT(VLOOKUP($A300,S275_01,{17,18,19},FALSE)),0)+IFERROR(SUMPRODUCT(VLOOKUP($A300,S275_97,{17,18,19},FALSE)),0)+IFERROR(ROUND(VLOOKUP($A300,S275_21,17,FALSE)*VLOOKUP($A300,'3121% SY'!$C$3:$M$324,11,FALSE),3),0)+IFERROR(ROUND(VLOOKUP($A300,S275_21,18,FALSE)*VLOOKUP($A300,'3121% SY'!$C$3:$M$324,11,FALSE),3),0)+IFERROR(ROUND(VLOOKUP($A300,S275_21,19,FALSE)*VLOOKUP($A300,'3121% SY'!$C$3:$M$324,11,FALSE),3),0)+IFERROR(VLOOKUP($A300,S275_09,7,FALSE),0)</f>
        <v>3.2959999999999998</v>
      </c>
      <c r="U300" s="267">
        <f>IFERROR(VLOOKUP($A300,Supp_43,14,FALSE),0)+IFERROR(SUMPRODUCT(VLOOKUP($A300,S275_01,{20,21,22},FALSE)),0)+IFERROR(SUMPRODUCT(VLOOKUP($A300,S275_97,{20,21,22},FALSE)),0)+IFERROR(ROUND(VLOOKUP($A300,S275_21,20,FALSE)*VLOOKUP($A300,'3121% SY'!$C$3:$M$324,11,FALSE),3),0)+IFERROR(ROUND(VLOOKUP($A300,S275_21,21,FALSE)*VLOOKUP($A300,'3121% SY'!$C$3:$M$324,11,FALSE),3),0)+IFERROR(ROUND(VLOOKUP($A300,S275_21,22,FALSE)*VLOOKUP($A300,'3121% SY'!$C$3:$M$324,11,FALSE),3),0)+IFERROR(VLOOKUP($A300,S275_09,8,FALSE),0)</f>
        <v>2</v>
      </c>
      <c r="V300" s="267">
        <f>IFERROR(VLOOKUP($A300,Supp_44,14,FALSE),0)+IFERROR(SUMPRODUCT(VLOOKUP($A300,S275_01,{23,24,25},FALSE)),0)+IFERROR(SUMPRODUCT(VLOOKUP($A300,S275_97,{23,24,25},FALSE)),0)+IFERROR(ROUND(VLOOKUP($A300,S275_21,23,FALSE)*VLOOKUP($A300,'3121% SY'!$C$3:$M$324,11,FALSE),3),0)+IFERROR(ROUND(VLOOKUP($A300,S275_21,24,FALSE)*VLOOKUP($A300,'3121% SY'!$C$3:$M$324,11,FALSE),3),0)+IFERROR(ROUND(VLOOKUP($A300,S275_21,25,FALSE)*VLOOKUP($A300,'3121% SY'!$C$3:$M$324,11,FALSE),3),0)+IFERROR(VLOOKUP($A300,S275_09,9,FALSE),0)</f>
        <v>1</v>
      </c>
      <c r="W300" s="267">
        <f>IFERROR(VLOOKUP($A300,Supp_45,14,FALSE),0)+IFERROR(SUMPRODUCT(VLOOKUP($A300,S275_01,{26,27,28},FALSE)),0)+IFERROR(SUMPRODUCT(VLOOKUP($A300,S275_97,{26,27,28},FALSE)),0)+IFERROR(ROUND(VLOOKUP($A300,S275_21,26,FALSE)*VLOOKUP($A300,'3121% SY'!$C$3:$M$324,11,FALSE),3),0)+IFERROR(ROUND(VLOOKUP($A300,S275_21,27,FALSE)*VLOOKUP($A300,'3121% SY'!$C$3:$M$324,11,FALSE),3),0)+IFERROR(ROUND(VLOOKUP($A300,S275_21,28,FALSE)*VLOOKUP($A300,'3121% SY'!$C$3:$M$324,11,FALSE),3),0)+IFERROR(VLOOKUP($A300,S275_09,10,FALSE),0)</f>
        <v>0</v>
      </c>
      <c r="X300" s="267">
        <f>IFERROR(VLOOKUP($A300,Supp_46,14,FALSE),0)+IFERROR(SUMPRODUCT(VLOOKUP($A300,S275_01,{29,30,31},FALSE)),0)+IFERROR(SUMPRODUCT(VLOOKUP($A300,S275_97,{29,30,31},FALSE)),0)+IFERROR(ROUND(VLOOKUP($A300,S275_21,29,FALSE)*VLOOKUP($A300,'3121% SY'!$C$3:$M$324,11,FALSE),3),0)+IFERROR(ROUND(VLOOKUP($A300,S275_21,30,FALSE)*VLOOKUP($A300,'3121% SY'!$C$3:$M$324,11,FALSE),3),0)+IFERROR(ROUND(VLOOKUP($A300,S275_21,31,FALSE)*VLOOKUP($A300,'3121% SY'!$C$3:$M$324,11,FALSE),3),0)+IFERROR(VLOOKUP($A300,S275_09,11,FALSE),0)</f>
        <v>6.75</v>
      </c>
      <c r="Y300" s="267">
        <f>IFERROR(VLOOKUP($A300,Supp_47,14,FALSE),0)+IFERROR(SUMPRODUCT(VLOOKUP($A300,S275_01,{32,33,34},FALSE)),0)+IFERROR(SUMPRODUCT(VLOOKUP($A300,S275_97,{32,33,34},FALSE)),0)+IFERROR(ROUND(VLOOKUP($A300,S275_21,32,FALSE)*VLOOKUP($A300,'3121% SY'!$C$3:$M$324,11,FALSE),3),0)+IFERROR(ROUND(VLOOKUP($A300,S275_21,33,FALSE)*VLOOKUP($A300,'3121% SY'!$C$3:$M$324,11,FALSE),3),0)+IFERROR(ROUND(VLOOKUP($A300,S275_21,34,FALSE)*VLOOKUP($A300,'3121% SY'!$C$3:$M$324,11,FALSE),3),0)+IFERROR(VLOOKUP($A300,S275_09,12,FALSE),0)</f>
        <v>2.25</v>
      </c>
      <c r="Z300" s="267">
        <f>IFERROR(VLOOKUP($A300,Supp_48,14,FALSE),0)+IFERROR(SUMPRODUCT(VLOOKUP($A300,S275_01,{35,36,37},FALSE)),0)+IFERROR(SUMPRODUCT(VLOOKUP($A300,S275_97,{35,36,37},FALSE)),0)+IFERROR(ROUND(VLOOKUP($A300,S275_21,35,FALSE)*VLOOKUP($A300,'3121% SY'!$C$3:$M$324,11,FALSE),3),0)+IFERROR(ROUND(VLOOKUP($A300,S275_21,36,FALSE)*VLOOKUP($A300,'3121% SY'!$C$3:$M$324,11,FALSE),3),0)+IFERROR(ROUND(VLOOKUP($A300,S275_21,37,FALSE)*VLOOKUP($A300,'3121% SY'!$C$3:$M$324,11,FALSE),3),0)+IFERROR(VLOOKUP($A300,S275_09,13,FALSE),0)</f>
        <v>0</v>
      </c>
      <c r="AA300" s="267">
        <f>IFERROR(VLOOKUP($A300,Supp_49,14,FALSE),0)+IFERROR(SUMPRODUCT(VLOOKUP($A300,S275_01,{38,39,40},FALSE)),0)+IFERROR(SUMPRODUCT(VLOOKUP($A300,S275_97,{38,39,40},FALSE)),0)+IFERROR(ROUND(VLOOKUP($A300,S275_21,38,FALSE)*VLOOKUP($A300,'3121% SY'!$C$3:$M$324,11,FALSE),3),0)+IFERROR(ROUND(VLOOKUP($A300,S275_21,39,FALSE)*VLOOKUP($A300,'3121% SY'!$C$3:$M$324,11,FALSE),3),0)+IFERROR(ROUND(VLOOKUP($A300,S275_21,40,FALSE)*VLOOKUP($A300,'3121% SY'!$C$3:$M$324,11,FALSE),3),0)+IFERROR(VLOOKUP($A300,S275_09,14,FALSE),0)</f>
        <v>0</v>
      </c>
      <c r="AB300" s="267">
        <f>IFERROR(VLOOKUP($A300,Supp_64,14,FALSE),0)+IFERROR(SUMPRODUCT(VLOOKUP($A300,S275_01,{41,42,43},FALSE)),0)+IFERROR(SUMPRODUCT(VLOOKUP($A300,S275_97,{41,42,43},FALSE)),0)+IFERROR(ROUND(VLOOKUP($A300,S275_21,41,FALSE)*VLOOKUP($A300,'3121% SY'!$C$3:$M$324,11,FALSE),3),0)+IFERROR(ROUND(VLOOKUP($A300,S275_21,42,FALSE)*VLOOKUP($A300,'3121% SY'!$C$3:$M$324,11,FALSE),3),0)+IFERROR(ROUND(VLOOKUP($A300,S275_21,43,FALSE)*VLOOKUP($A300,'3121% SY'!$C$3:$M$324,11,FALSE),3),0)+IFERROR(VLOOKUP($A300,S275_09,15,FALSE),0)</f>
        <v>0</v>
      </c>
      <c r="AC300" s="268">
        <f t="shared" si="57"/>
        <v>36.001999999999995</v>
      </c>
      <c r="AD300" s="267">
        <f>IFERROR(VLOOKUP($A300,Supp_24,14,FALSE),0)+IFERROR(SUMPRODUCT(VLOOKUP($A300,S275_01,{2,3,4},FALSE)),0)+IFERROR(SUMPRODUCT(VLOOKUP($A300,S275_97,{2,3,4},FALSE)),0)+IFERROR(ROUND(VLOOKUP($A300,S275_21,2,FALSE)*VLOOKUP($A300,'3121% SY'!$C$3:$M$324,11,FALSE),3),0)+IFERROR(ROUND(VLOOKUP($A300,S275_21,3,FALSE)*VLOOKUP($A300,'3121% SY'!$C$3:$M$324,11,FALSE),3),0)+IFERROR(ROUND(VLOOKUP($A300,S275_21,4,FALSE)*VLOOKUP($A300,'3121% SY'!$C$3:$M$324,11,FALSE),3),0)+IFERROR(VLOOKUP($A300,S275_09,2,FALSE),0)</f>
        <v>0</v>
      </c>
      <c r="AE300" s="267">
        <f>IFERROR(VLOOKUP($A300,Supp_25,14,FALSE),0)+IFERROR(SUMPRODUCT(VLOOKUP($A300,S275_01,{5,6,7},FALSE)),0)+IFERROR(SUMPRODUCT(VLOOKUP($A300,S275_97,{5,6,7},FALSE)),0)+IFERROR(ROUND(VLOOKUP($A300,S275_21,5,FALSE)*VLOOKUP($A300,'3121% SY'!$C$3:$M$324,11,FALSE),3),0)+IFERROR(ROUND(VLOOKUP($A300,S275_21,6,FALSE)*VLOOKUP($A300,'3121% SY'!$C$3:$M$324,11,FALSE),3),0)+IFERROR(ROUND(VLOOKUP($A300,S275_21,7,FALSE)*VLOOKUP($A300,'3121% SY'!$C$3:$M$324,11,FALSE),3),0)+IFERROR(VLOOKUP($A300,S275_09,3,FALSE),0)</f>
        <v>14.869</v>
      </c>
      <c r="AF300" s="267">
        <f>IFERROR(VLOOKUP($A300,Supp_26,14,FALSE),0)+IFERROR(SUMPRODUCT(VLOOKUP($A300,S275_01,{8,9,10},FALSE)),0)+IFERROR(SUMPRODUCT(VLOOKUP($A300,S275_97,{8,9,10},FALSE)),0)+IFERROR(ROUND(VLOOKUP($A300,S275_21,8,FALSE)*VLOOKUP($A300,'3121% SY'!$C$3:$M$324,11,FALSE),3),0)+IFERROR(ROUND(VLOOKUP($A300,S275_21,9,FALSE)*VLOOKUP($A300,'3121% SY'!$C$3:$M$324,11,FALSE),3),0)+IFERROR(ROUND(VLOOKUP($A300,S275_21,10,FALSE)*VLOOKUP($A300,'3121% SY'!$C$3:$M$324,11,FALSE),3),0)+IFERROR(VLOOKUP($A300,S275_09,4,FALSE),0)</f>
        <v>7.73</v>
      </c>
      <c r="AG300" s="267">
        <f>IFERROR(VLOOKUP($A300,Supp_35,14,FALSE),0)+IFERROR(SUMPRODUCT(VLOOKUP($A300,S275_01,{11,12,13},FALSE)),0)+IFERROR(SUMPRODUCT(VLOOKUP($A300,S275_97,{11,12,13},FALSE)),0)+IFERROR(ROUND(VLOOKUP($A300,S275_21,11,FALSE)*VLOOKUP($A300,'3121% SY'!$C$3:$M$324,11,FALSE),3),0)+IFERROR(ROUND(VLOOKUP($A300,S275_21,12,FALSE)*VLOOKUP($A300,'3121% SY'!$C$3:$M$324,11,FALSE),3),0)+IFERROR(ROUND(VLOOKUP($A300,S275_21,13,FALSE)*VLOOKUP($A300,'3121% SY'!$C$3:$M$324,11,FALSE),3),0)+IFERROR(VLOOKUP($A300,S275_09,5,FALSE),0)</f>
        <v>6.0469999999999997</v>
      </c>
      <c r="AH300" s="165">
        <f t="shared" si="58"/>
        <v>28.646000000000001</v>
      </c>
      <c r="AI300" s="161">
        <f>IFERROR(VLOOKUP(A300,'Supp Staff Data'!A:ER,148,FALSE),0)+AB300</f>
        <v>0</v>
      </c>
      <c r="AJ300" s="174">
        <v>0.95240000000000002</v>
      </c>
      <c r="AK300" s="25">
        <f>VLOOKUP(A300,'Enroll Data as of January 2025'!$A$3:$T$323,20,FALSE)-F300</f>
        <v>0</v>
      </c>
    </row>
    <row r="301" spans="1:37" x14ac:dyDescent="0.25">
      <c r="A301" s="171" t="s">
        <v>110</v>
      </c>
      <c r="B301" t="s">
        <v>406</v>
      </c>
      <c r="C301" s="173" t="s">
        <v>1077</v>
      </c>
      <c r="D301" s="259">
        <f t="shared" si="50"/>
        <v>101.69499999999999</v>
      </c>
      <c r="E301" s="259">
        <f t="shared" si="51"/>
        <v>130.12200000000001</v>
      </c>
      <c r="F301" s="262">
        <f t="shared" si="59"/>
        <v>28.427</v>
      </c>
      <c r="G301" s="161">
        <f>ROUND(IF(F301&lt;0,F301*'2024-25 PSES Compliance'!$G$13,0),3)</f>
        <v>0</v>
      </c>
      <c r="H301" s="161">
        <f>ROUND(IF(F301&lt;0,F301*'2024-25 PSES Compliance'!$G$14,0),3)</f>
        <v>0</v>
      </c>
      <c r="I301" s="174">
        <f t="shared" si="53"/>
        <v>0.48042606169594682</v>
      </c>
      <c r="J301" s="174">
        <f t="shared" si="54"/>
        <v>0</v>
      </c>
      <c r="K301" s="161">
        <f>VLOOKUP($A301,'Enroll Data as of January 2025'!$A$3:$M$322,6,FALSE)</f>
        <v>58.287000000000006</v>
      </c>
      <c r="L301" s="161">
        <f>VLOOKUP($A301,'Enroll Data as of January 2025'!$A$3:$M$322,7,FALSE)</f>
        <v>8.8460000000000001</v>
      </c>
      <c r="M301" s="161">
        <f>VLOOKUP($A301,'Enroll Data as of January 2025'!$A$3:$M$322,8,FALSE)</f>
        <v>2.97</v>
      </c>
      <c r="N301" s="161">
        <f>VLOOKUP($A301,'Enroll Data as of January 2025'!$A$3:$M$322,9,FALSE)</f>
        <v>26.104999999999997</v>
      </c>
      <c r="O301" s="165">
        <f t="shared" si="55"/>
        <v>96.207999999999998</v>
      </c>
      <c r="P301" s="161">
        <f>VLOOKUP($A301,'Enroll Data as of January 2025'!$A$3:$M$322,11,FALSE)</f>
        <v>3.5590000000000002</v>
      </c>
      <c r="Q301" s="161">
        <f>VLOOKUP($A301,'Enroll Data as of January 2025'!$A$3:$M$322,12,FALSE)</f>
        <v>1.9279999999999999</v>
      </c>
      <c r="R301" s="165">
        <f t="shared" si="56"/>
        <v>5.4870000000000001</v>
      </c>
      <c r="S301" s="267">
        <f>IFERROR(VLOOKUP($A301,Supp_39,14,FALSE),0)+IFERROR(SUMPRODUCT(VLOOKUP($A301,S275_01,{14,15,16},FALSE)),0)+IFERROR(SUMPRODUCT(VLOOKUP($A301,S275_97,{14,15,16},FALSE)),0)+IFERROR(ROUND(VLOOKUP($A301,S275_21,14,FALSE)*VLOOKUP($A301,'3121% SY'!$C$3:$M$324,11,FALSE),3),0)+IFERROR(ROUND(VLOOKUP($A301,S275_21,15,FALSE)*VLOOKUP($A301,'3121% SY'!$C$3:$M$324,11,FALSE),3),0)+IFERROR(ROUND(VLOOKUP($A301,S275_21,16,FALSE)*VLOOKUP($A301,'3121% SY'!$C$3:$M$324,11,FALSE),3),0)+IFERROR(VLOOKUP($A301,S275_09,6,FALSE),0)</f>
        <v>31.372999999999998</v>
      </c>
      <c r="T301" s="267">
        <f>IFERROR(VLOOKUP($A301,Supp_42,14,FALSE),0)+IFERROR(SUMPRODUCT(VLOOKUP($A301,S275_01,{17,18,19},FALSE)),0)+IFERROR(SUMPRODUCT(VLOOKUP($A301,S275_97,{17,18,19},FALSE)),0)+IFERROR(ROUND(VLOOKUP($A301,S275_21,17,FALSE)*VLOOKUP($A301,'3121% SY'!$C$3:$M$324,11,FALSE),3),0)+IFERROR(ROUND(VLOOKUP($A301,S275_21,18,FALSE)*VLOOKUP($A301,'3121% SY'!$C$3:$M$324,11,FALSE),3),0)+IFERROR(ROUND(VLOOKUP($A301,S275_21,19,FALSE)*VLOOKUP($A301,'3121% SY'!$C$3:$M$324,11,FALSE),3),0)+IFERROR(VLOOKUP($A301,S275_09,7,FALSE),0)</f>
        <v>10.467000000000001</v>
      </c>
      <c r="U301" s="267">
        <f>IFERROR(VLOOKUP($A301,Supp_43,14,FALSE),0)+IFERROR(SUMPRODUCT(VLOOKUP($A301,S275_01,{20,21,22},FALSE)),0)+IFERROR(SUMPRODUCT(VLOOKUP($A301,S275_97,{20,21,22},FALSE)),0)+IFERROR(ROUND(VLOOKUP($A301,S275_21,20,FALSE)*VLOOKUP($A301,'3121% SY'!$C$3:$M$324,11,FALSE),3),0)+IFERROR(ROUND(VLOOKUP($A301,S275_21,21,FALSE)*VLOOKUP($A301,'3121% SY'!$C$3:$M$324,11,FALSE),3),0)+IFERROR(ROUND(VLOOKUP($A301,S275_21,22,FALSE)*VLOOKUP($A301,'3121% SY'!$C$3:$M$324,11,FALSE),3),0)+IFERROR(VLOOKUP($A301,S275_09,8,FALSE),0)</f>
        <v>7.2839999999999998</v>
      </c>
      <c r="V301" s="267">
        <f>IFERROR(VLOOKUP($A301,Supp_44,14,FALSE),0)+IFERROR(SUMPRODUCT(VLOOKUP($A301,S275_01,{23,24,25},FALSE)),0)+IFERROR(SUMPRODUCT(VLOOKUP($A301,S275_97,{23,24,25},FALSE)),0)+IFERROR(ROUND(VLOOKUP($A301,S275_21,23,FALSE)*VLOOKUP($A301,'3121% SY'!$C$3:$M$324,11,FALSE),3),0)+IFERROR(ROUND(VLOOKUP($A301,S275_21,24,FALSE)*VLOOKUP($A301,'3121% SY'!$C$3:$M$324,11,FALSE),3),0)+IFERROR(ROUND(VLOOKUP($A301,S275_21,25,FALSE)*VLOOKUP($A301,'3121% SY'!$C$3:$M$324,11,FALSE),3),0)+IFERROR(VLOOKUP($A301,S275_09,9,FALSE),0)</f>
        <v>3.4</v>
      </c>
      <c r="W301" s="267">
        <f>IFERROR(VLOOKUP($A301,Supp_45,14,FALSE),0)+IFERROR(SUMPRODUCT(VLOOKUP($A301,S275_01,{26,27,28},FALSE)),0)+IFERROR(SUMPRODUCT(VLOOKUP($A301,S275_97,{26,27,28},FALSE)),0)+IFERROR(ROUND(VLOOKUP($A301,S275_21,26,FALSE)*VLOOKUP($A301,'3121% SY'!$C$3:$M$324,11,FALSE),3),0)+IFERROR(ROUND(VLOOKUP($A301,S275_21,27,FALSE)*VLOOKUP($A301,'3121% SY'!$C$3:$M$324,11,FALSE),3),0)+IFERROR(ROUND(VLOOKUP($A301,S275_21,28,FALSE)*VLOOKUP($A301,'3121% SY'!$C$3:$M$324,11,FALSE),3),0)+IFERROR(VLOOKUP($A301,S275_09,10,FALSE),0)</f>
        <v>5.8719999999999999</v>
      </c>
      <c r="X301" s="267">
        <f>IFERROR(VLOOKUP($A301,Supp_46,14,FALSE),0)+IFERROR(SUMPRODUCT(VLOOKUP($A301,S275_01,{29,30,31},FALSE)),0)+IFERROR(SUMPRODUCT(VLOOKUP($A301,S275_97,{29,30,31},FALSE)),0)+IFERROR(ROUND(VLOOKUP($A301,S275_21,29,FALSE)*VLOOKUP($A301,'3121% SY'!$C$3:$M$324,11,FALSE),3),0)+IFERROR(ROUND(VLOOKUP($A301,S275_21,30,FALSE)*VLOOKUP($A301,'3121% SY'!$C$3:$M$324,11,FALSE),3),0)+IFERROR(ROUND(VLOOKUP($A301,S275_21,31,FALSE)*VLOOKUP($A301,'3121% SY'!$C$3:$M$324,11,FALSE),3),0)+IFERROR(VLOOKUP($A301,S275_09,11,FALSE),0)</f>
        <v>2</v>
      </c>
      <c r="Y301" s="267">
        <f>IFERROR(VLOOKUP($A301,Supp_47,14,FALSE),0)+IFERROR(SUMPRODUCT(VLOOKUP($A301,S275_01,{32,33,34},FALSE)),0)+IFERROR(SUMPRODUCT(VLOOKUP($A301,S275_97,{32,33,34},FALSE)),0)+IFERROR(ROUND(VLOOKUP($A301,S275_21,32,FALSE)*VLOOKUP($A301,'3121% SY'!$C$3:$M$324,11,FALSE),3),0)+IFERROR(ROUND(VLOOKUP($A301,S275_21,33,FALSE)*VLOOKUP($A301,'3121% SY'!$C$3:$M$324,11,FALSE),3),0)+IFERROR(ROUND(VLOOKUP($A301,S275_21,34,FALSE)*VLOOKUP($A301,'3121% SY'!$C$3:$M$324,11,FALSE),3),0)+IFERROR(VLOOKUP($A301,S275_09,12,FALSE),0)</f>
        <v>1</v>
      </c>
      <c r="Z301" s="267">
        <f>IFERROR(VLOOKUP($A301,Supp_48,14,FALSE),0)+IFERROR(SUMPRODUCT(VLOOKUP($A301,S275_01,{35,36,37},FALSE)),0)+IFERROR(SUMPRODUCT(VLOOKUP($A301,S275_97,{35,36,37},FALSE)),0)+IFERROR(ROUND(VLOOKUP($A301,S275_21,35,FALSE)*VLOOKUP($A301,'3121% SY'!$C$3:$M$324,11,FALSE),3),0)+IFERROR(ROUND(VLOOKUP($A301,S275_21,36,FALSE)*VLOOKUP($A301,'3121% SY'!$C$3:$M$324,11,FALSE),3),0)+IFERROR(ROUND(VLOOKUP($A301,S275_21,37,FALSE)*VLOOKUP($A301,'3121% SY'!$C$3:$M$324,11,FALSE),3),0)+IFERROR(VLOOKUP($A301,S275_09,13,FALSE),0)</f>
        <v>1.1180000000000001</v>
      </c>
      <c r="AA301" s="267">
        <f>IFERROR(VLOOKUP($A301,Supp_49,14,FALSE),0)+IFERROR(SUMPRODUCT(VLOOKUP($A301,S275_01,{38,39,40},FALSE)),0)+IFERROR(SUMPRODUCT(VLOOKUP($A301,S275_97,{38,39,40},FALSE)),0)+IFERROR(ROUND(VLOOKUP($A301,S275_21,38,FALSE)*VLOOKUP($A301,'3121% SY'!$C$3:$M$324,11,FALSE),3),0)+IFERROR(ROUND(VLOOKUP($A301,S275_21,39,FALSE)*VLOOKUP($A301,'3121% SY'!$C$3:$M$324,11,FALSE),3),0)+IFERROR(ROUND(VLOOKUP($A301,S275_21,40,FALSE)*VLOOKUP($A301,'3121% SY'!$C$3:$M$324,11,FALSE),3),0)+IFERROR(VLOOKUP($A301,S275_09,14,FALSE),0)</f>
        <v>0</v>
      </c>
      <c r="AB301" s="267">
        <f>IFERROR(VLOOKUP($A301,Supp_64,14,FALSE),0)+IFERROR(SUMPRODUCT(VLOOKUP($A301,S275_01,{41,42,43},FALSE)),0)+IFERROR(SUMPRODUCT(VLOOKUP($A301,S275_97,{41,42,43},FALSE)),0)+IFERROR(ROUND(VLOOKUP($A301,S275_21,41,FALSE)*VLOOKUP($A301,'3121% SY'!$C$3:$M$324,11,FALSE),3),0)+IFERROR(ROUND(VLOOKUP($A301,S275_21,42,FALSE)*VLOOKUP($A301,'3121% SY'!$C$3:$M$324,11,FALSE),3),0)+IFERROR(ROUND(VLOOKUP($A301,S275_21,43,FALSE)*VLOOKUP($A301,'3121% SY'!$C$3:$M$324,11,FALSE),3),0)+IFERROR(VLOOKUP($A301,S275_09,15,FALSE),0)</f>
        <v>0</v>
      </c>
      <c r="AC301" s="268">
        <f t="shared" si="57"/>
        <v>62.513999999999996</v>
      </c>
      <c r="AD301" s="267">
        <f>IFERROR(VLOOKUP($A301,Supp_24,14,FALSE),0)+IFERROR(SUMPRODUCT(VLOOKUP($A301,S275_01,{2,3,4},FALSE)),0)+IFERROR(SUMPRODUCT(VLOOKUP($A301,S275_97,{2,3,4},FALSE)),0)+IFERROR(ROUND(VLOOKUP($A301,S275_21,2,FALSE)*VLOOKUP($A301,'3121% SY'!$C$3:$M$324,11,FALSE),3),0)+IFERROR(ROUND(VLOOKUP($A301,S275_21,3,FALSE)*VLOOKUP($A301,'3121% SY'!$C$3:$M$324,11,FALSE),3),0)+IFERROR(ROUND(VLOOKUP($A301,S275_21,4,FALSE)*VLOOKUP($A301,'3121% SY'!$C$3:$M$324,11,FALSE),3),0)+IFERROR(VLOOKUP($A301,S275_09,2,FALSE),0)</f>
        <v>0</v>
      </c>
      <c r="AE301" s="267">
        <f>IFERROR(VLOOKUP($A301,Supp_25,14,FALSE),0)+IFERROR(SUMPRODUCT(VLOOKUP($A301,S275_01,{5,6,7},FALSE)),0)+IFERROR(SUMPRODUCT(VLOOKUP($A301,S275_97,{5,6,7},FALSE)),0)+IFERROR(ROUND(VLOOKUP($A301,S275_21,5,FALSE)*VLOOKUP($A301,'3121% SY'!$C$3:$M$324,11,FALSE),3),0)+IFERROR(ROUND(VLOOKUP($A301,S275_21,6,FALSE)*VLOOKUP($A301,'3121% SY'!$C$3:$M$324,11,FALSE),3),0)+IFERROR(ROUND(VLOOKUP($A301,S275_21,7,FALSE)*VLOOKUP($A301,'3121% SY'!$C$3:$M$324,11,FALSE),3),0)+IFERROR(VLOOKUP($A301,S275_09,3,FALSE),0)</f>
        <v>19.483000000000001</v>
      </c>
      <c r="AF301" s="267">
        <f>IFERROR(VLOOKUP($A301,Supp_26,14,FALSE),0)+IFERROR(SUMPRODUCT(VLOOKUP($A301,S275_01,{8,9,10},FALSE)),0)+IFERROR(SUMPRODUCT(VLOOKUP($A301,S275_97,{8,9,10},FALSE)),0)+IFERROR(ROUND(VLOOKUP($A301,S275_21,8,FALSE)*VLOOKUP($A301,'3121% SY'!$C$3:$M$324,11,FALSE),3),0)+IFERROR(ROUND(VLOOKUP($A301,S275_21,9,FALSE)*VLOOKUP($A301,'3121% SY'!$C$3:$M$324,11,FALSE),3),0)+IFERROR(ROUND(VLOOKUP($A301,S275_21,10,FALSE)*VLOOKUP($A301,'3121% SY'!$C$3:$M$324,11,FALSE),3),0)+IFERROR(VLOOKUP($A301,S275_09,4,FALSE),0)</f>
        <v>41.064</v>
      </c>
      <c r="AG301" s="267">
        <f>IFERROR(VLOOKUP($A301,Supp_35,14,FALSE),0)+IFERROR(SUMPRODUCT(VLOOKUP($A301,S275_01,{11,12,13},FALSE)),0)+IFERROR(SUMPRODUCT(VLOOKUP($A301,S275_97,{11,12,13},FALSE)),0)+IFERROR(ROUND(VLOOKUP($A301,S275_21,11,FALSE)*VLOOKUP($A301,'3121% SY'!$C$3:$M$324,11,FALSE),3),0)+IFERROR(ROUND(VLOOKUP($A301,S275_21,12,FALSE)*VLOOKUP($A301,'3121% SY'!$C$3:$M$324,11,FALSE),3),0)+IFERROR(ROUND(VLOOKUP($A301,S275_21,13,FALSE)*VLOOKUP($A301,'3121% SY'!$C$3:$M$324,11,FALSE),3),0)+IFERROR(VLOOKUP($A301,S275_09,5,FALSE),0)</f>
        <v>7.0609999999999999</v>
      </c>
      <c r="AH301" s="165">
        <f t="shared" si="58"/>
        <v>67.608000000000004</v>
      </c>
      <c r="AI301" s="161">
        <f>IFERROR(VLOOKUP(A301,'Supp Staff Data'!A:ER,148,FALSE),0)+AB301</f>
        <v>0</v>
      </c>
      <c r="AJ301" s="174">
        <v>1</v>
      </c>
      <c r="AK301" s="25">
        <f>VLOOKUP(A301,'Enroll Data as of January 2025'!$A$3:$T$323,20,FALSE)-F301</f>
        <v>0</v>
      </c>
    </row>
    <row r="302" spans="1:37" x14ac:dyDescent="0.25">
      <c r="A302" s="171" t="s">
        <v>192</v>
      </c>
      <c r="B302" t="s">
        <v>487</v>
      </c>
      <c r="C302" s="173" t="s">
        <v>1077</v>
      </c>
      <c r="D302" s="259">
        <f t="shared" si="50"/>
        <v>46.77</v>
      </c>
      <c r="E302" s="259">
        <f t="shared" si="51"/>
        <v>75.22999999999999</v>
      </c>
      <c r="F302" s="262">
        <f t="shared" si="59"/>
        <v>28.46</v>
      </c>
      <c r="G302" s="161">
        <f>ROUND(IF(F302&lt;0,F302*'2024-25 PSES Compliance'!$G$13,0),3)</f>
        <v>0</v>
      </c>
      <c r="H302" s="161">
        <f>ROUND(IF(F302&lt;0,F302*'2024-25 PSES Compliance'!$G$14,0),3)</f>
        <v>0</v>
      </c>
      <c r="I302" s="174">
        <f t="shared" si="53"/>
        <v>0.61934068855509772</v>
      </c>
      <c r="J302" s="174">
        <f t="shared" si="54"/>
        <v>0</v>
      </c>
      <c r="K302" s="161">
        <f>VLOOKUP($A302,'Enroll Data as of January 2025'!$A$3:$M$322,6,FALSE)</f>
        <v>26.434000000000001</v>
      </c>
      <c r="L302" s="161">
        <f>VLOOKUP($A302,'Enroll Data as of January 2025'!$A$3:$M$322,7,FALSE)</f>
        <v>4.2519999999999998</v>
      </c>
      <c r="M302" s="161">
        <f>VLOOKUP($A302,'Enroll Data as of January 2025'!$A$3:$M$322,8,FALSE)</f>
        <v>1.427</v>
      </c>
      <c r="N302" s="161">
        <f>VLOOKUP($A302,'Enroll Data as of January 2025'!$A$3:$M$322,9,FALSE)</f>
        <v>12.065999999999999</v>
      </c>
      <c r="O302" s="165">
        <f t="shared" si="55"/>
        <v>44.179000000000002</v>
      </c>
      <c r="P302" s="161">
        <f>VLOOKUP($A302,'Enroll Data as of January 2025'!$A$3:$M$322,11,FALSE)</f>
        <v>1.6420000000000001</v>
      </c>
      <c r="Q302" s="161">
        <f>VLOOKUP($A302,'Enroll Data as of January 2025'!$A$3:$M$322,12,FALSE)</f>
        <v>0.94899999999999995</v>
      </c>
      <c r="R302" s="165">
        <f t="shared" si="56"/>
        <v>2.5910000000000002</v>
      </c>
      <c r="S302" s="267">
        <f>IFERROR(VLOOKUP($A302,Supp_39,14,FALSE),0)+IFERROR(SUMPRODUCT(VLOOKUP($A302,S275_01,{14,15,16},FALSE)),0)+IFERROR(SUMPRODUCT(VLOOKUP($A302,S275_97,{14,15,16},FALSE)),0)+IFERROR(ROUND(VLOOKUP($A302,S275_21,14,FALSE)*VLOOKUP($A302,'3121% SY'!$C$3:$M$324,11,FALSE),3),0)+IFERROR(ROUND(VLOOKUP($A302,S275_21,15,FALSE)*VLOOKUP($A302,'3121% SY'!$C$3:$M$324,11,FALSE),3),0)+IFERROR(ROUND(VLOOKUP($A302,S275_21,16,FALSE)*VLOOKUP($A302,'3121% SY'!$C$3:$M$324,11,FALSE),3),0)+IFERROR(VLOOKUP($A302,S275_09,6,FALSE),0)</f>
        <v>24.329000000000001</v>
      </c>
      <c r="T302" s="267">
        <f>IFERROR(VLOOKUP($A302,Supp_42,14,FALSE),0)+IFERROR(SUMPRODUCT(VLOOKUP($A302,S275_01,{17,18,19},FALSE)),0)+IFERROR(SUMPRODUCT(VLOOKUP($A302,S275_97,{17,18,19},FALSE)),0)+IFERROR(ROUND(VLOOKUP($A302,S275_21,17,FALSE)*VLOOKUP($A302,'3121% SY'!$C$3:$M$324,11,FALSE),3),0)+IFERROR(ROUND(VLOOKUP($A302,S275_21,18,FALSE)*VLOOKUP($A302,'3121% SY'!$C$3:$M$324,11,FALSE),3),0)+IFERROR(ROUND(VLOOKUP($A302,S275_21,19,FALSE)*VLOOKUP($A302,'3121% SY'!$C$3:$M$324,11,FALSE),3),0)+IFERROR(VLOOKUP($A302,S275_09,7,FALSE),0)</f>
        <v>5.4710000000000001</v>
      </c>
      <c r="U302" s="267">
        <f>IFERROR(VLOOKUP($A302,Supp_43,14,FALSE),0)+IFERROR(SUMPRODUCT(VLOOKUP($A302,S275_01,{20,21,22},FALSE)),0)+IFERROR(SUMPRODUCT(VLOOKUP($A302,S275_97,{20,21,22},FALSE)),0)+IFERROR(ROUND(VLOOKUP($A302,S275_21,20,FALSE)*VLOOKUP($A302,'3121% SY'!$C$3:$M$324,11,FALSE),3),0)+IFERROR(ROUND(VLOOKUP($A302,S275_21,21,FALSE)*VLOOKUP($A302,'3121% SY'!$C$3:$M$324,11,FALSE),3),0)+IFERROR(ROUND(VLOOKUP($A302,S275_21,22,FALSE)*VLOOKUP($A302,'3121% SY'!$C$3:$M$324,11,FALSE),3),0)+IFERROR(VLOOKUP($A302,S275_09,8,FALSE),0)</f>
        <v>1.843</v>
      </c>
      <c r="V302" s="267">
        <f>IFERROR(VLOOKUP($A302,Supp_44,14,FALSE),0)+IFERROR(SUMPRODUCT(VLOOKUP($A302,S275_01,{23,24,25},FALSE)),0)+IFERROR(SUMPRODUCT(VLOOKUP($A302,S275_97,{23,24,25},FALSE)),0)+IFERROR(ROUND(VLOOKUP($A302,S275_21,23,FALSE)*VLOOKUP($A302,'3121% SY'!$C$3:$M$324,11,FALSE),3),0)+IFERROR(ROUND(VLOOKUP($A302,S275_21,24,FALSE)*VLOOKUP($A302,'3121% SY'!$C$3:$M$324,11,FALSE),3),0)+IFERROR(ROUND(VLOOKUP($A302,S275_21,25,FALSE)*VLOOKUP($A302,'3121% SY'!$C$3:$M$324,11,FALSE),3),0)+IFERROR(VLOOKUP($A302,S275_09,9,FALSE),0)</f>
        <v>0.21999999999999997</v>
      </c>
      <c r="W302" s="267">
        <f>IFERROR(VLOOKUP($A302,Supp_45,14,FALSE),0)+IFERROR(SUMPRODUCT(VLOOKUP($A302,S275_01,{26,27,28},FALSE)),0)+IFERROR(SUMPRODUCT(VLOOKUP($A302,S275_97,{26,27,28},FALSE)),0)+IFERROR(ROUND(VLOOKUP($A302,S275_21,26,FALSE)*VLOOKUP($A302,'3121% SY'!$C$3:$M$324,11,FALSE),3),0)+IFERROR(ROUND(VLOOKUP($A302,S275_21,27,FALSE)*VLOOKUP($A302,'3121% SY'!$C$3:$M$324,11,FALSE),3),0)+IFERROR(ROUND(VLOOKUP($A302,S275_21,28,FALSE)*VLOOKUP($A302,'3121% SY'!$C$3:$M$324,11,FALSE),3),0)+IFERROR(VLOOKUP($A302,S275_09,10,FALSE),0)</f>
        <v>3.5270000000000001</v>
      </c>
      <c r="X302" s="267">
        <f>IFERROR(VLOOKUP($A302,Supp_46,14,FALSE),0)+IFERROR(SUMPRODUCT(VLOOKUP($A302,S275_01,{29,30,31},FALSE)),0)+IFERROR(SUMPRODUCT(VLOOKUP($A302,S275_97,{29,30,31},FALSE)),0)+IFERROR(ROUND(VLOOKUP($A302,S275_21,29,FALSE)*VLOOKUP($A302,'3121% SY'!$C$3:$M$324,11,FALSE),3),0)+IFERROR(ROUND(VLOOKUP($A302,S275_21,30,FALSE)*VLOOKUP($A302,'3121% SY'!$C$3:$M$324,11,FALSE),3),0)+IFERROR(ROUND(VLOOKUP($A302,S275_21,31,FALSE)*VLOOKUP($A302,'3121% SY'!$C$3:$M$324,11,FALSE),3),0)+IFERROR(VLOOKUP($A302,S275_09,11,FALSE),0)</f>
        <v>9.7849999999999984</v>
      </c>
      <c r="Y302" s="267">
        <f>IFERROR(VLOOKUP($A302,Supp_47,14,FALSE),0)+IFERROR(SUMPRODUCT(VLOOKUP($A302,S275_01,{32,33,34},FALSE)),0)+IFERROR(SUMPRODUCT(VLOOKUP($A302,S275_97,{32,33,34},FALSE)),0)+IFERROR(ROUND(VLOOKUP($A302,S275_21,32,FALSE)*VLOOKUP($A302,'3121% SY'!$C$3:$M$324,11,FALSE),3),0)+IFERROR(ROUND(VLOOKUP($A302,S275_21,33,FALSE)*VLOOKUP($A302,'3121% SY'!$C$3:$M$324,11,FALSE),3),0)+IFERROR(ROUND(VLOOKUP($A302,S275_21,34,FALSE)*VLOOKUP($A302,'3121% SY'!$C$3:$M$324,11,FALSE),3),0)+IFERROR(VLOOKUP($A302,S275_09,12,FALSE),0)</f>
        <v>0.97900000000000009</v>
      </c>
      <c r="Z302" s="267">
        <f>IFERROR(VLOOKUP($A302,Supp_48,14,FALSE),0)+IFERROR(SUMPRODUCT(VLOOKUP($A302,S275_01,{35,36,37},FALSE)),0)+IFERROR(SUMPRODUCT(VLOOKUP($A302,S275_97,{35,36,37},FALSE)),0)+IFERROR(ROUND(VLOOKUP($A302,S275_21,35,FALSE)*VLOOKUP($A302,'3121% SY'!$C$3:$M$324,11,FALSE),3),0)+IFERROR(ROUND(VLOOKUP($A302,S275_21,36,FALSE)*VLOOKUP($A302,'3121% SY'!$C$3:$M$324,11,FALSE),3),0)+IFERROR(ROUND(VLOOKUP($A302,S275_21,37,FALSE)*VLOOKUP($A302,'3121% SY'!$C$3:$M$324,11,FALSE),3),0)+IFERROR(VLOOKUP($A302,S275_09,13,FALSE),0)</f>
        <v>0.439</v>
      </c>
      <c r="AA302" s="267">
        <f>IFERROR(VLOOKUP($A302,Supp_49,14,FALSE),0)+IFERROR(SUMPRODUCT(VLOOKUP($A302,S275_01,{38,39,40},FALSE)),0)+IFERROR(SUMPRODUCT(VLOOKUP($A302,S275_97,{38,39,40},FALSE)),0)+IFERROR(ROUND(VLOOKUP($A302,S275_21,38,FALSE)*VLOOKUP($A302,'3121% SY'!$C$3:$M$324,11,FALSE),3),0)+IFERROR(ROUND(VLOOKUP($A302,S275_21,39,FALSE)*VLOOKUP($A302,'3121% SY'!$C$3:$M$324,11,FALSE),3),0)+IFERROR(ROUND(VLOOKUP($A302,S275_21,40,FALSE)*VLOOKUP($A302,'3121% SY'!$C$3:$M$324,11,FALSE),3),0)+IFERROR(VLOOKUP($A302,S275_09,14,FALSE),0)</f>
        <v>0</v>
      </c>
      <c r="AB302" s="267">
        <f>IFERROR(VLOOKUP($A302,Supp_64,14,FALSE),0)+IFERROR(SUMPRODUCT(VLOOKUP($A302,S275_01,{41,42,43},FALSE)),0)+IFERROR(SUMPRODUCT(VLOOKUP($A302,S275_97,{41,42,43},FALSE)),0)+IFERROR(ROUND(VLOOKUP($A302,S275_21,41,FALSE)*VLOOKUP($A302,'3121% SY'!$C$3:$M$324,11,FALSE),3),0)+IFERROR(ROUND(VLOOKUP($A302,S275_21,42,FALSE)*VLOOKUP($A302,'3121% SY'!$C$3:$M$324,11,FALSE),3),0)+IFERROR(ROUND(VLOOKUP($A302,S275_21,43,FALSE)*VLOOKUP($A302,'3121% SY'!$C$3:$M$324,11,FALSE),3),0)+IFERROR(VLOOKUP($A302,S275_09,15,FALSE),0)</f>
        <v>0</v>
      </c>
      <c r="AC302" s="268">
        <f t="shared" si="57"/>
        <v>46.592999999999996</v>
      </c>
      <c r="AD302" s="267">
        <f>IFERROR(VLOOKUP($A302,Supp_24,14,FALSE),0)+IFERROR(SUMPRODUCT(VLOOKUP($A302,S275_01,{2,3,4},FALSE)),0)+IFERROR(SUMPRODUCT(VLOOKUP($A302,S275_97,{2,3,4},FALSE)),0)+IFERROR(ROUND(VLOOKUP($A302,S275_21,2,FALSE)*VLOOKUP($A302,'3121% SY'!$C$3:$M$324,11,FALSE),3),0)+IFERROR(ROUND(VLOOKUP($A302,S275_21,3,FALSE)*VLOOKUP($A302,'3121% SY'!$C$3:$M$324,11,FALSE),3),0)+IFERROR(ROUND(VLOOKUP($A302,S275_21,4,FALSE)*VLOOKUP($A302,'3121% SY'!$C$3:$M$324,11,FALSE),3),0)+IFERROR(VLOOKUP($A302,S275_09,2,FALSE),0)</f>
        <v>0</v>
      </c>
      <c r="AE302" s="267">
        <f>IFERROR(VLOOKUP($A302,Supp_25,14,FALSE),0)+IFERROR(SUMPRODUCT(VLOOKUP($A302,S275_01,{5,6,7},FALSE)),0)+IFERROR(SUMPRODUCT(VLOOKUP($A302,S275_97,{5,6,7},FALSE)),0)+IFERROR(ROUND(VLOOKUP($A302,S275_21,5,FALSE)*VLOOKUP($A302,'3121% SY'!$C$3:$M$324,11,FALSE),3),0)+IFERROR(ROUND(VLOOKUP($A302,S275_21,6,FALSE)*VLOOKUP($A302,'3121% SY'!$C$3:$M$324,11,FALSE),3),0)+IFERROR(ROUND(VLOOKUP($A302,S275_21,7,FALSE)*VLOOKUP($A302,'3121% SY'!$C$3:$M$324,11,FALSE),3),0)+IFERROR(VLOOKUP($A302,S275_09,3,FALSE),0)</f>
        <v>17.452000000000002</v>
      </c>
      <c r="AF302" s="267">
        <f>IFERROR(VLOOKUP($A302,Supp_26,14,FALSE),0)+IFERROR(SUMPRODUCT(VLOOKUP($A302,S275_01,{8,9,10},FALSE)),0)+IFERROR(SUMPRODUCT(VLOOKUP($A302,S275_97,{8,9,10},FALSE)),0)+IFERROR(ROUND(VLOOKUP($A302,S275_21,8,FALSE)*VLOOKUP($A302,'3121% SY'!$C$3:$M$324,11,FALSE),3),0)+IFERROR(ROUND(VLOOKUP($A302,S275_21,9,FALSE)*VLOOKUP($A302,'3121% SY'!$C$3:$M$324,11,FALSE),3),0)+IFERROR(ROUND(VLOOKUP($A302,S275_21,10,FALSE)*VLOOKUP($A302,'3121% SY'!$C$3:$M$324,11,FALSE),3),0)+IFERROR(VLOOKUP($A302,S275_09,4,FALSE),0)</f>
        <v>11.184999999999999</v>
      </c>
      <c r="AG302" s="267">
        <f>IFERROR(VLOOKUP($A302,Supp_35,14,FALSE),0)+IFERROR(SUMPRODUCT(VLOOKUP($A302,S275_01,{11,12,13},FALSE)),0)+IFERROR(SUMPRODUCT(VLOOKUP($A302,S275_97,{11,12,13},FALSE)),0)+IFERROR(ROUND(VLOOKUP($A302,S275_21,11,FALSE)*VLOOKUP($A302,'3121% SY'!$C$3:$M$324,11,FALSE),3),0)+IFERROR(ROUND(VLOOKUP($A302,S275_21,12,FALSE)*VLOOKUP($A302,'3121% SY'!$C$3:$M$324,11,FALSE),3),0)+IFERROR(ROUND(VLOOKUP($A302,S275_21,13,FALSE)*VLOOKUP($A302,'3121% SY'!$C$3:$M$324,11,FALSE),3),0)+IFERROR(VLOOKUP($A302,S275_09,5,FALSE),0)</f>
        <v>0</v>
      </c>
      <c r="AH302" s="165">
        <f t="shared" si="58"/>
        <v>28.637</v>
      </c>
      <c r="AI302" s="161">
        <f>IFERROR(VLOOKUP(A302,'Supp Staff Data'!A:ER,148,FALSE),0)+AB302</f>
        <v>0</v>
      </c>
      <c r="AJ302" s="174">
        <v>1</v>
      </c>
      <c r="AK302" s="25">
        <f>VLOOKUP(A302,'Enroll Data as of January 2025'!$A$3:$T$323,20,FALSE)-F302</f>
        <v>0</v>
      </c>
    </row>
    <row r="303" spans="1:37" x14ac:dyDescent="0.25">
      <c r="A303" s="171" t="s">
        <v>291</v>
      </c>
      <c r="B303" t="s">
        <v>587</v>
      </c>
      <c r="C303" s="173" t="s">
        <v>1077</v>
      </c>
      <c r="D303" s="259">
        <f t="shared" si="50"/>
        <v>74.629000000000019</v>
      </c>
      <c r="E303" s="259">
        <f t="shared" si="51"/>
        <v>90.361999999999995</v>
      </c>
      <c r="F303" s="262">
        <f t="shared" si="59"/>
        <v>15.733000000000001</v>
      </c>
      <c r="G303" s="161">
        <f>ROUND(IF(F303&lt;0,F303*'2024-25 PSES Compliance'!$G$13,0),3)</f>
        <v>0</v>
      </c>
      <c r="H303" s="161">
        <f>ROUND(IF(F303&lt;0,F303*'2024-25 PSES Compliance'!$G$14,0),3)</f>
        <v>0</v>
      </c>
      <c r="I303" s="174">
        <f t="shared" si="53"/>
        <v>0.4892168677098781</v>
      </c>
      <c r="J303" s="174">
        <f t="shared" si="54"/>
        <v>0</v>
      </c>
      <c r="K303" s="161">
        <f>VLOOKUP($A303,'Enroll Data as of January 2025'!$A$3:$M$322,6,FALSE)</f>
        <v>42.337000000000003</v>
      </c>
      <c r="L303" s="161">
        <f>VLOOKUP($A303,'Enroll Data as of January 2025'!$A$3:$M$322,7,FALSE)</f>
        <v>6.8490000000000002</v>
      </c>
      <c r="M303" s="161">
        <f>VLOOKUP($A303,'Enroll Data as of January 2025'!$A$3:$M$322,8,FALSE)</f>
        <v>2.3069999999999999</v>
      </c>
      <c r="N303" s="161">
        <f>VLOOKUP($A303,'Enroll Data as of January 2025'!$A$3:$M$322,9,FALSE)</f>
        <v>18.975000000000001</v>
      </c>
      <c r="O303" s="165">
        <f t="shared" si="55"/>
        <v>70.468000000000018</v>
      </c>
      <c r="P303" s="161">
        <f>VLOOKUP($A303,'Enroll Data as of January 2025'!$A$3:$M$322,11,FALSE)</f>
        <v>2.625</v>
      </c>
      <c r="Q303" s="161">
        <f>VLOOKUP($A303,'Enroll Data as of January 2025'!$A$3:$M$322,12,FALSE)</f>
        <v>1.536</v>
      </c>
      <c r="R303" s="165">
        <f t="shared" si="56"/>
        <v>4.1609999999999996</v>
      </c>
      <c r="S303" s="267">
        <f>IFERROR(VLOOKUP($A303,Supp_39,14,FALSE),0)+IFERROR(SUMPRODUCT(VLOOKUP($A303,S275_01,{14,15,16},FALSE)),0)+IFERROR(SUMPRODUCT(VLOOKUP($A303,S275_97,{14,15,16},FALSE)),0)+IFERROR(ROUND(VLOOKUP($A303,S275_21,14,FALSE)*VLOOKUP($A303,'3121% SY'!$C$3:$M$324,11,FALSE),3),0)+IFERROR(ROUND(VLOOKUP($A303,S275_21,15,FALSE)*VLOOKUP($A303,'3121% SY'!$C$3:$M$324,11,FALSE),3),0)+IFERROR(ROUND(VLOOKUP($A303,S275_21,16,FALSE)*VLOOKUP($A303,'3121% SY'!$C$3:$M$324,11,FALSE),3),0)+IFERROR(VLOOKUP($A303,S275_09,6,FALSE),0)</f>
        <v>12.84</v>
      </c>
      <c r="T303" s="267">
        <f>IFERROR(VLOOKUP($A303,Supp_42,14,FALSE),0)+IFERROR(SUMPRODUCT(VLOOKUP($A303,S275_01,{17,18,19},FALSE)),0)+IFERROR(SUMPRODUCT(VLOOKUP($A303,S275_97,{17,18,19},FALSE)),0)+IFERROR(ROUND(VLOOKUP($A303,S275_21,17,FALSE)*VLOOKUP($A303,'3121% SY'!$C$3:$M$324,11,FALSE),3),0)+IFERROR(ROUND(VLOOKUP($A303,S275_21,18,FALSE)*VLOOKUP($A303,'3121% SY'!$C$3:$M$324,11,FALSE),3),0)+IFERROR(ROUND(VLOOKUP($A303,S275_21,19,FALSE)*VLOOKUP($A303,'3121% SY'!$C$3:$M$324,11,FALSE),3),0)+IFERROR(VLOOKUP($A303,S275_09,7,FALSE),0)</f>
        <v>3.66</v>
      </c>
      <c r="U303" s="267">
        <f>IFERROR(VLOOKUP($A303,Supp_43,14,FALSE),0)+IFERROR(SUMPRODUCT(VLOOKUP($A303,S275_01,{20,21,22},FALSE)),0)+IFERROR(SUMPRODUCT(VLOOKUP($A303,S275_97,{20,21,22},FALSE)),0)+IFERROR(ROUND(VLOOKUP($A303,S275_21,20,FALSE)*VLOOKUP($A303,'3121% SY'!$C$3:$M$324,11,FALSE),3),0)+IFERROR(ROUND(VLOOKUP($A303,S275_21,21,FALSE)*VLOOKUP($A303,'3121% SY'!$C$3:$M$324,11,FALSE),3),0)+IFERROR(ROUND(VLOOKUP($A303,S275_21,22,FALSE)*VLOOKUP($A303,'3121% SY'!$C$3:$M$324,11,FALSE),3),0)+IFERROR(VLOOKUP($A303,S275_09,8,FALSE),0)</f>
        <v>1.9139999999999999</v>
      </c>
      <c r="V303" s="267">
        <f>IFERROR(VLOOKUP($A303,Supp_44,14,FALSE),0)+IFERROR(SUMPRODUCT(VLOOKUP($A303,S275_01,{23,24,25},FALSE)),0)+IFERROR(SUMPRODUCT(VLOOKUP($A303,S275_97,{23,24,25},FALSE)),0)+IFERROR(ROUND(VLOOKUP($A303,S275_21,23,FALSE)*VLOOKUP($A303,'3121% SY'!$C$3:$M$324,11,FALSE),3),0)+IFERROR(ROUND(VLOOKUP($A303,S275_21,24,FALSE)*VLOOKUP($A303,'3121% SY'!$C$3:$M$324,11,FALSE),3),0)+IFERROR(ROUND(VLOOKUP($A303,S275_21,25,FALSE)*VLOOKUP($A303,'3121% SY'!$C$3:$M$324,11,FALSE),3),0)+IFERROR(VLOOKUP($A303,S275_09,9,FALSE),0)</f>
        <v>0</v>
      </c>
      <c r="W303" s="267">
        <f>IFERROR(VLOOKUP($A303,Supp_45,14,FALSE),0)+IFERROR(SUMPRODUCT(VLOOKUP($A303,S275_01,{26,27,28},FALSE)),0)+IFERROR(SUMPRODUCT(VLOOKUP($A303,S275_97,{26,27,28},FALSE)),0)+IFERROR(ROUND(VLOOKUP($A303,S275_21,26,FALSE)*VLOOKUP($A303,'3121% SY'!$C$3:$M$324,11,FALSE),3),0)+IFERROR(ROUND(VLOOKUP($A303,S275_21,27,FALSE)*VLOOKUP($A303,'3121% SY'!$C$3:$M$324,11,FALSE),3),0)+IFERROR(ROUND(VLOOKUP($A303,S275_21,28,FALSE)*VLOOKUP($A303,'3121% SY'!$C$3:$M$324,11,FALSE),3),0)+IFERROR(VLOOKUP($A303,S275_09,10,FALSE),0)</f>
        <v>2.8180000000000001</v>
      </c>
      <c r="X303" s="267">
        <f>IFERROR(VLOOKUP($A303,Supp_46,14,FALSE),0)+IFERROR(SUMPRODUCT(VLOOKUP($A303,S275_01,{29,30,31},FALSE)),0)+IFERROR(SUMPRODUCT(VLOOKUP($A303,S275_97,{29,30,31},FALSE)),0)+IFERROR(ROUND(VLOOKUP($A303,S275_21,29,FALSE)*VLOOKUP($A303,'3121% SY'!$C$3:$M$324,11,FALSE),3),0)+IFERROR(ROUND(VLOOKUP($A303,S275_21,30,FALSE)*VLOOKUP($A303,'3121% SY'!$C$3:$M$324,11,FALSE),3),0)+IFERROR(ROUND(VLOOKUP($A303,S275_21,31,FALSE)*VLOOKUP($A303,'3121% SY'!$C$3:$M$324,11,FALSE),3),0)+IFERROR(VLOOKUP($A303,S275_09,11,FALSE),0)</f>
        <v>20.634999999999998</v>
      </c>
      <c r="Y303" s="267">
        <f>IFERROR(VLOOKUP($A303,Supp_47,14,FALSE),0)+IFERROR(SUMPRODUCT(VLOOKUP($A303,S275_01,{32,33,34},FALSE)),0)+IFERROR(SUMPRODUCT(VLOOKUP($A303,S275_97,{32,33,34},FALSE)),0)+IFERROR(ROUND(VLOOKUP($A303,S275_21,32,FALSE)*VLOOKUP($A303,'3121% SY'!$C$3:$M$324,11,FALSE),3),0)+IFERROR(ROUND(VLOOKUP($A303,S275_21,33,FALSE)*VLOOKUP($A303,'3121% SY'!$C$3:$M$324,11,FALSE),3),0)+IFERROR(ROUND(VLOOKUP($A303,S275_21,34,FALSE)*VLOOKUP($A303,'3121% SY'!$C$3:$M$324,11,FALSE),3),0)+IFERROR(VLOOKUP($A303,S275_09,12,FALSE),0)</f>
        <v>4</v>
      </c>
      <c r="Z303" s="267">
        <f>IFERROR(VLOOKUP($A303,Supp_48,14,FALSE),0)+IFERROR(SUMPRODUCT(VLOOKUP($A303,S275_01,{35,36,37},FALSE)),0)+IFERROR(SUMPRODUCT(VLOOKUP($A303,S275_97,{35,36,37},FALSE)),0)+IFERROR(ROUND(VLOOKUP($A303,S275_21,35,FALSE)*VLOOKUP($A303,'3121% SY'!$C$3:$M$324,11,FALSE),3),0)+IFERROR(ROUND(VLOOKUP($A303,S275_21,36,FALSE)*VLOOKUP($A303,'3121% SY'!$C$3:$M$324,11,FALSE),3),0)+IFERROR(ROUND(VLOOKUP($A303,S275_21,37,FALSE)*VLOOKUP($A303,'3121% SY'!$C$3:$M$324,11,FALSE),3),0)+IFERROR(VLOOKUP($A303,S275_09,13,FALSE),0)</f>
        <v>0</v>
      </c>
      <c r="AA303" s="267">
        <f>IFERROR(VLOOKUP($A303,Supp_49,14,FALSE),0)+IFERROR(SUMPRODUCT(VLOOKUP($A303,S275_01,{38,39,40},FALSE)),0)+IFERROR(SUMPRODUCT(VLOOKUP($A303,S275_97,{38,39,40},FALSE)),0)+IFERROR(ROUND(VLOOKUP($A303,S275_21,38,FALSE)*VLOOKUP($A303,'3121% SY'!$C$3:$M$324,11,FALSE),3),0)+IFERROR(ROUND(VLOOKUP($A303,S275_21,39,FALSE)*VLOOKUP($A303,'3121% SY'!$C$3:$M$324,11,FALSE),3),0)+IFERROR(ROUND(VLOOKUP($A303,S275_21,40,FALSE)*VLOOKUP($A303,'3121% SY'!$C$3:$M$324,11,FALSE),3),0)+IFERROR(VLOOKUP($A303,S275_09,14,FALSE),0)</f>
        <v>0</v>
      </c>
      <c r="AB303" s="267">
        <f>IFERROR(VLOOKUP($A303,Supp_64,14,FALSE),0)+IFERROR(SUMPRODUCT(VLOOKUP($A303,S275_01,{41,42,43},FALSE)),0)+IFERROR(SUMPRODUCT(VLOOKUP($A303,S275_97,{41,42,43},FALSE)),0)+IFERROR(ROUND(VLOOKUP($A303,S275_21,41,FALSE)*VLOOKUP($A303,'3121% SY'!$C$3:$M$324,11,FALSE),3),0)+IFERROR(ROUND(VLOOKUP($A303,S275_21,42,FALSE)*VLOOKUP($A303,'3121% SY'!$C$3:$M$324,11,FALSE),3),0)+IFERROR(ROUND(VLOOKUP($A303,S275_21,43,FALSE)*VLOOKUP($A303,'3121% SY'!$C$3:$M$324,11,FALSE),3),0)+IFERROR(VLOOKUP($A303,S275_09,15,FALSE),0)</f>
        <v>0</v>
      </c>
      <c r="AC303" s="268">
        <f t="shared" si="57"/>
        <v>45.867000000000004</v>
      </c>
      <c r="AD303" s="267">
        <f>IFERROR(VLOOKUP($A303,Supp_24,14,FALSE),0)+IFERROR(SUMPRODUCT(VLOOKUP($A303,S275_01,{2,3,4},FALSE)),0)+IFERROR(SUMPRODUCT(VLOOKUP($A303,S275_97,{2,3,4},FALSE)),0)+IFERROR(ROUND(VLOOKUP($A303,S275_21,2,FALSE)*VLOOKUP($A303,'3121% SY'!$C$3:$M$324,11,FALSE),3),0)+IFERROR(ROUND(VLOOKUP($A303,S275_21,3,FALSE)*VLOOKUP($A303,'3121% SY'!$C$3:$M$324,11,FALSE),3),0)+IFERROR(ROUND(VLOOKUP($A303,S275_21,4,FALSE)*VLOOKUP($A303,'3121% SY'!$C$3:$M$324,11,FALSE),3),0)+IFERROR(VLOOKUP($A303,S275_09,2,FALSE),0)</f>
        <v>0</v>
      </c>
      <c r="AE303" s="267">
        <f>IFERROR(VLOOKUP($A303,Supp_25,14,FALSE),0)+IFERROR(SUMPRODUCT(VLOOKUP($A303,S275_01,{5,6,7},FALSE)),0)+IFERROR(SUMPRODUCT(VLOOKUP($A303,S275_97,{5,6,7},FALSE)),0)+IFERROR(ROUND(VLOOKUP($A303,S275_21,5,FALSE)*VLOOKUP($A303,'3121% SY'!$C$3:$M$324,11,FALSE),3),0)+IFERROR(ROUND(VLOOKUP($A303,S275_21,6,FALSE)*VLOOKUP($A303,'3121% SY'!$C$3:$M$324,11,FALSE),3),0)+IFERROR(ROUND(VLOOKUP($A303,S275_21,7,FALSE)*VLOOKUP($A303,'3121% SY'!$C$3:$M$324,11,FALSE),3),0)+IFERROR(VLOOKUP($A303,S275_09,3,FALSE),0)</f>
        <v>19.561</v>
      </c>
      <c r="AF303" s="267">
        <f>IFERROR(VLOOKUP($A303,Supp_26,14,FALSE),0)+IFERROR(SUMPRODUCT(VLOOKUP($A303,S275_01,{8,9,10},FALSE)),0)+IFERROR(SUMPRODUCT(VLOOKUP($A303,S275_97,{8,9,10},FALSE)),0)+IFERROR(ROUND(VLOOKUP($A303,S275_21,8,FALSE)*VLOOKUP($A303,'3121% SY'!$C$3:$M$324,11,FALSE),3),0)+IFERROR(ROUND(VLOOKUP($A303,S275_21,9,FALSE)*VLOOKUP($A303,'3121% SY'!$C$3:$M$324,11,FALSE),3),0)+IFERROR(ROUND(VLOOKUP($A303,S275_21,10,FALSE)*VLOOKUP($A303,'3121% SY'!$C$3:$M$324,11,FALSE),3),0)+IFERROR(VLOOKUP($A303,S275_09,4,FALSE),0)</f>
        <v>11.571999999999999</v>
      </c>
      <c r="AG303" s="267">
        <f>IFERROR(VLOOKUP($A303,Supp_35,14,FALSE),0)+IFERROR(SUMPRODUCT(VLOOKUP($A303,S275_01,{11,12,13},FALSE)),0)+IFERROR(SUMPRODUCT(VLOOKUP($A303,S275_97,{11,12,13},FALSE)),0)+IFERROR(ROUND(VLOOKUP($A303,S275_21,11,FALSE)*VLOOKUP($A303,'3121% SY'!$C$3:$M$324,11,FALSE),3),0)+IFERROR(ROUND(VLOOKUP($A303,S275_21,12,FALSE)*VLOOKUP($A303,'3121% SY'!$C$3:$M$324,11,FALSE),3),0)+IFERROR(ROUND(VLOOKUP($A303,S275_21,13,FALSE)*VLOOKUP($A303,'3121% SY'!$C$3:$M$324,11,FALSE),3),0)+IFERROR(VLOOKUP($A303,S275_09,5,FALSE),0)</f>
        <v>13.362</v>
      </c>
      <c r="AH303" s="165">
        <f t="shared" si="58"/>
        <v>44.494999999999997</v>
      </c>
      <c r="AI303" s="161">
        <f>IFERROR(VLOOKUP(A303,'Supp Staff Data'!A:ER,148,FALSE),0)+AB303</f>
        <v>0</v>
      </c>
      <c r="AJ303" s="174">
        <v>0.96379999999999999</v>
      </c>
      <c r="AK303" s="25">
        <f>VLOOKUP(A303,'Enroll Data as of January 2025'!$A$3:$T$323,20,FALSE)-F303</f>
        <v>0</v>
      </c>
    </row>
    <row r="304" spans="1:37" x14ac:dyDescent="0.25">
      <c r="A304" s="171" t="s">
        <v>19</v>
      </c>
      <c r="B304" t="s">
        <v>316</v>
      </c>
      <c r="C304" s="173" t="s">
        <v>1077</v>
      </c>
      <c r="D304" s="259">
        <f t="shared" si="50"/>
        <v>68.010999999999996</v>
      </c>
      <c r="E304" s="259">
        <f t="shared" si="51"/>
        <v>92.899000000000001</v>
      </c>
      <c r="F304" s="262">
        <f t="shared" si="59"/>
        <v>24.888000000000002</v>
      </c>
      <c r="G304" s="161">
        <f>ROUND(IF(F304&lt;0,F304*'2024-25 PSES Compliance'!$G$13,0),3)</f>
        <v>0</v>
      </c>
      <c r="H304" s="161">
        <f>ROUND(IF(F304&lt;0,F304*'2024-25 PSES Compliance'!$G$14,0),3)</f>
        <v>0</v>
      </c>
      <c r="I304" s="174">
        <f t="shared" si="53"/>
        <v>0.82893249658230983</v>
      </c>
      <c r="J304" s="174">
        <f t="shared" si="54"/>
        <v>0</v>
      </c>
      <c r="K304" s="161">
        <f>VLOOKUP($A304,'Enroll Data as of January 2025'!$A$3:$M$322,6,FALSE)</f>
        <v>38.625</v>
      </c>
      <c r="L304" s="161">
        <f>VLOOKUP($A304,'Enroll Data as of January 2025'!$A$3:$M$322,7,FALSE)</f>
        <v>6.1029999999999998</v>
      </c>
      <c r="M304" s="161">
        <f>VLOOKUP($A304,'Enroll Data as of January 2025'!$A$3:$M$322,8,FALSE)</f>
        <v>2.0499999999999998</v>
      </c>
      <c r="N304" s="161">
        <f>VLOOKUP($A304,'Enroll Data as of January 2025'!$A$3:$M$322,9,FALSE)</f>
        <v>17.494999999999997</v>
      </c>
      <c r="O304" s="165">
        <f t="shared" si="55"/>
        <v>64.272999999999996</v>
      </c>
      <c r="P304" s="161">
        <f>VLOOKUP($A304,'Enroll Data as of January 2025'!$A$3:$M$322,11,FALSE)</f>
        <v>2.3860000000000001</v>
      </c>
      <c r="Q304" s="161">
        <f>VLOOKUP($A304,'Enroll Data as of January 2025'!$A$3:$M$322,12,FALSE)</f>
        <v>1.3520000000000001</v>
      </c>
      <c r="R304" s="165">
        <f t="shared" si="56"/>
        <v>3.7380000000000004</v>
      </c>
      <c r="S304" s="267">
        <f>IFERROR(VLOOKUP($A304,Supp_39,14,FALSE),0)+IFERROR(SUMPRODUCT(VLOOKUP($A304,S275_01,{14,15,16},FALSE)),0)+IFERROR(SUMPRODUCT(VLOOKUP($A304,S275_97,{14,15,16},FALSE)),0)+IFERROR(ROUND(VLOOKUP($A304,S275_21,14,FALSE)*VLOOKUP($A304,'3121% SY'!$C$3:$M$324,11,FALSE),3),0)+IFERROR(ROUND(VLOOKUP($A304,S275_21,15,FALSE)*VLOOKUP($A304,'3121% SY'!$C$3:$M$324,11,FALSE),3),0)+IFERROR(ROUND(VLOOKUP($A304,S275_21,16,FALSE)*VLOOKUP($A304,'3121% SY'!$C$3:$M$324,11,FALSE),3),0)+IFERROR(VLOOKUP($A304,S275_09,6,FALSE),0)</f>
        <v>27.713999999999999</v>
      </c>
      <c r="T304" s="267">
        <f>IFERROR(VLOOKUP($A304,Supp_42,14,FALSE),0)+IFERROR(SUMPRODUCT(VLOOKUP($A304,S275_01,{17,18,19},FALSE)),0)+IFERROR(SUMPRODUCT(VLOOKUP($A304,S275_97,{17,18,19},FALSE)),0)+IFERROR(ROUND(VLOOKUP($A304,S275_21,17,FALSE)*VLOOKUP($A304,'3121% SY'!$C$3:$M$324,11,FALSE),3),0)+IFERROR(ROUND(VLOOKUP($A304,S275_21,18,FALSE)*VLOOKUP($A304,'3121% SY'!$C$3:$M$324,11,FALSE),3),0)+IFERROR(ROUND(VLOOKUP($A304,S275_21,19,FALSE)*VLOOKUP($A304,'3121% SY'!$C$3:$M$324,11,FALSE),3),0)+IFERROR(VLOOKUP($A304,S275_09,7,FALSE),0)</f>
        <v>9.8000000000000007</v>
      </c>
      <c r="U304" s="267">
        <f>IFERROR(VLOOKUP($A304,Supp_43,14,FALSE),0)+IFERROR(SUMPRODUCT(VLOOKUP($A304,S275_01,{20,21,22},FALSE)),0)+IFERROR(SUMPRODUCT(VLOOKUP($A304,S275_97,{20,21,22},FALSE)),0)+IFERROR(ROUND(VLOOKUP($A304,S275_21,20,FALSE)*VLOOKUP($A304,'3121% SY'!$C$3:$M$324,11,FALSE),3),0)+IFERROR(ROUND(VLOOKUP($A304,S275_21,21,FALSE)*VLOOKUP($A304,'3121% SY'!$C$3:$M$324,11,FALSE),3),0)+IFERROR(ROUND(VLOOKUP($A304,S275_21,22,FALSE)*VLOOKUP($A304,'3121% SY'!$C$3:$M$324,11,FALSE),3),0)+IFERROR(VLOOKUP($A304,S275_09,8,FALSE),0)</f>
        <v>5.2069999999999999</v>
      </c>
      <c r="V304" s="267">
        <f>IFERROR(VLOOKUP($A304,Supp_44,14,FALSE),0)+IFERROR(SUMPRODUCT(VLOOKUP($A304,S275_01,{23,24,25},FALSE)),0)+IFERROR(SUMPRODUCT(VLOOKUP($A304,S275_97,{23,24,25},FALSE)),0)+IFERROR(ROUND(VLOOKUP($A304,S275_21,23,FALSE)*VLOOKUP($A304,'3121% SY'!$C$3:$M$324,11,FALSE),3),0)+IFERROR(ROUND(VLOOKUP($A304,S275_21,24,FALSE)*VLOOKUP($A304,'3121% SY'!$C$3:$M$324,11,FALSE),3),0)+IFERROR(ROUND(VLOOKUP($A304,S275_21,25,FALSE)*VLOOKUP($A304,'3121% SY'!$C$3:$M$324,11,FALSE),3),0)+IFERROR(VLOOKUP($A304,S275_09,9,FALSE),0)</f>
        <v>2.5369999999999999</v>
      </c>
      <c r="W304" s="267">
        <f>IFERROR(VLOOKUP($A304,Supp_45,14,FALSE),0)+IFERROR(SUMPRODUCT(VLOOKUP($A304,S275_01,{26,27,28},FALSE)),0)+IFERROR(SUMPRODUCT(VLOOKUP($A304,S275_97,{26,27,28},FALSE)),0)+IFERROR(ROUND(VLOOKUP($A304,S275_21,26,FALSE)*VLOOKUP($A304,'3121% SY'!$C$3:$M$324,11,FALSE),3),0)+IFERROR(ROUND(VLOOKUP($A304,S275_21,27,FALSE)*VLOOKUP($A304,'3121% SY'!$C$3:$M$324,11,FALSE),3),0)+IFERROR(ROUND(VLOOKUP($A304,S275_21,28,FALSE)*VLOOKUP($A304,'3121% SY'!$C$3:$M$324,11,FALSE),3),0)+IFERROR(VLOOKUP($A304,S275_09,10,FALSE),0)</f>
        <v>10.435000000000002</v>
      </c>
      <c r="X304" s="267">
        <f>IFERROR(VLOOKUP($A304,Supp_46,14,FALSE),0)+IFERROR(SUMPRODUCT(VLOOKUP($A304,S275_01,{29,30,31},FALSE)),0)+IFERROR(SUMPRODUCT(VLOOKUP($A304,S275_97,{29,30,31},FALSE)),0)+IFERROR(ROUND(VLOOKUP($A304,S275_21,29,FALSE)*VLOOKUP($A304,'3121% SY'!$C$3:$M$324,11,FALSE),3),0)+IFERROR(ROUND(VLOOKUP($A304,S275_21,30,FALSE)*VLOOKUP($A304,'3121% SY'!$C$3:$M$324,11,FALSE),3),0)+IFERROR(ROUND(VLOOKUP($A304,S275_21,31,FALSE)*VLOOKUP($A304,'3121% SY'!$C$3:$M$324,11,FALSE),3),0)+IFERROR(VLOOKUP($A304,S275_09,11,FALSE),0)</f>
        <v>16.97</v>
      </c>
      <c r="Y304" s="267">
        <f>IFERROR(VLOOKUP($A304,Supp_47,14,FALSE),0)+IFERROR(SUMPRODUCT(VLOOKUP($A304,S275_01,{32,33,34},FALSE)),0)+IFERROR(SUMPRODUCT(VLOOKUP($A304,S275_97,{32,33,34},FALSE)),0)+IFERROR(ROUND(VLOOKUP($A304,S275_21,32,FALSE)*VLOOKUP($A304,'3121% SY'!$C$3:$M$324,11,FALSE),3),0)+IFERROR(ROUND(VLOOKUP($A304,S275_21,33,FALSE)*VLOOKUP($A304,'3121% SY'!$C$3:$M$324,11,FALSE),3),0)+IFERROR(ROUND(VLOOKUP($A304,S275_21,34,FALSE)*VLOOKUP($A304,'3121% SY'!$C$3:$M$324,11,FALSE),3),0)+IFERROR(VLOOKUP($A304,S275_09,12,FALSE),0)</f>
        <v>3</v>
      </c>
      <c r="Z304" s="267">
        <f>IFERROR(VLOOKUP($A304,Supp_48,14,FALSE),0)+IFERROR(SUMPRODUCT(VLOOKUP($A304,S275_01,{35,36,37},FALSE)),0)+IFERROR(SUMPRODUCT(VLOOKUP($A304,S275_97,{35,36,37},FALSE)),0)+IFERROR(ROUND(VLOOKUP($A304,S275_21,35,FALSE)*VLOOKUP($A304,'3121% SY'!$C$3:$M$324,11,FALSE),3),0)+IFERROR(ROUND(VLOOKUP($A304,S275_21,36,FALSE)*VLOOKUP($A304,'3121% SY'!$C$3:$M$324,11,FALSE),3),0)+IFERROR(ROUND(VLOOKUP($A304,S275_21,37,FALSE)*VLOOKUP($A304,'3121% SY'!$C$3:$M$324,11,FALSE),3),0)+IFERROR(VLOOKUP($A304,S275_09,13,FALSE),0)</f>
        <v>1.075</v>
      </c>
      <c r="AA304" s="267">
        <f>IFERROR(VLOOKUP($A304,Supp_49,14,FALSE),0)+IFERROR(SUMPRODUCT(VLOOKUP($A304,S275_01,{38,39,40},FALSE)),0)+IFERROR(SUMPRODUCT(VLOOKUP($A304,S275_97,{38,39,40},FALSE)),0)+IFERROR(ROUND(VLOOKUP($A304,S275_21,38,FALSE)*VLOOKUP($A304,'3121% SY'!$C$3:$M$324,11,FALSE),3),0)+IFERROR(ROUND(VLOOKUP($A304,S275_21,39,FALSE)*VLOOKUP($A304,'3121% SY'!$C$3:$M$324,11,FALSE),3),0)+IFERROR(ROUND(VLOOKUP($A304,S275_21,40,FALSE)*VLOOKUP($A304,'3121% SY'!$C$3:$M$324,11,FALSE),3),0)+IFERROR(VLOOKUP($A304,S275_09,14,FALSE),0)</f>
        <v>0.26900000000000002</v>
      </c>
      <c r="AB304" s="267">
        <f>IFERROR(VLOOKUP($A304,Supp_64,14,FALSE),0)+IFERROR(SUMPRODUCT(VLOOKUP($A304,S275_01,{41,42,43},FALSE)),0)+IFERROR(SUMPRODUCT(VLOOKUP($A304,S275_97,{41,42,43},FALSE)),0)+IFERROR(ROUND(VLOOKUP($A304,S275_21,41,FALSE)*VLOOKUP($A304,'3121% SY'!$C$3:$M$324,11,FALSE),3),0)+IFERROR(ROUND(VLOOKUP($A304,S275_21,42,FALSE)*VLOOKUP($A304,'3121% SY'!$C$3:$M$324,11,FALSE),3),0)+IFERROR(ROUND(VLOOKUP($A304,S275_21,43,FALSE)*VLOOKUP($A304,'3121% SY'!$C$3:$M$324,11,FALSE),3),0)+IFERROR(VLOOKUP($A304,S275_09,15,FALSE),0)</f>
        <v>0</v>
      </c>
      <c r="AC304" s="268">
        <f t="shared" si="57"/>
        <v>77.007000000000005</v>
      </c>
      <c r="AD304" s="267">
        <f>IFERROR(VLOOKUP($A304,Supp_24,14,FALSE),0)+IFERROR(SUMPRODUCT(VLOOKUP($A304,S275_01,{2,3,4},FALSE)),0)+IFERROR(SUMPRODUCT(VLOOKUP($A304,S275_97,{2,3,4},FALSE)),0)+IFERROR(ROUND(VLOOKUP($A304,S275_21,2,FALSE)*VLOOKUP($A304,'3121% SY'!$C$3:$M$324,11,FALSE),3),0)+IFERROR(ROUND(VLOOKUP($A304,S275_21,3,FALSE)*VLOOKUP($A304,'3121% SY'!$C$3:$M$324,11,FALSE),3),0)+IFERROR(ROUND(VLOOKUP($A304,S275_21,4,FALSE)*VLOOKUP($A304,'3121% SY'!$C$3:$M$324,11,FALSE),3),0)+IFERROR(VLOOKUP($A304,S275_09,2,FALSE),0)</f>
        <v>0</v>
      </c>
      <c r="AE304" s="267">
        <f>IFERROR(VLOOKUP($A304,Supp_25,14,FALSE),0)+IFERROR(SUMPRODUCT(VLOOKUP($A304,S275_01,{5,6,7},FALSE)),0)+IFERROR(SUMPRODUCT(VLOOKUP($A304,S275_97,{5,6,7},FALSE)),0)+IFERROR(ROUND(VLOOKUP($A304,S275_21,5,FALSE)*VLOOKUP($A304,'3121% SY'!$C$3:$M$324,11,FALSE),3),0)+IFERROR(ROUND(VLOOKUP($A304,S275_21,6,FALSE)*VLOOKUP($A304,'3121% SY'!$C$3:$M$324,11,FALSE),3),0)+IFERROR(ROUND(VLOOKUP($A304,S275_21,7,FALSE)*VLOOKUP($A304,'3121% SY'!$C$3:$M$324,11,FALSE),3),0)+IFERROR(VLOOKUP($A304,S275_09,3,FALSE),0)</f>
        <v>5.476</v>
      </c>
      <c r="AF304" s="267">
        <f>IFERROR(VLOOKUP($A304,Supp_26,14,FALSE),0)+IFERROR(SUMPRODUCT(VLOOKUP($A304,S275_01,{8,9,10},FALSE)),0)+IFERROR(SUMPRODUCT(VLOOKUP($A304,S275_97,{8,9,10},FALSE)),0)+IFERROR(ROUND(VLOOKUP($A304,S275_21,8,FALSE)*VLOOKUP($A304,'3121% SY'!$C$3:$M$324,11,FALSE),3),0)+IFERROR(ROUND(VLOOKUP($A304,S275_21,9,FALSE)*VLOOKUP($A304,'3121% SY'!$C$3:$M$324,11,FALSE),3),0)+IFERROR(ROUND(VLOOKUP($A304,S275_21,10,FALSE)*VLOOKUP($A304,'3121% SY'!$C$3:$M$324,11,FALSE),3),0)+IFERROR(VLOOKUP($A304,S275_09,4,FALSE),0)</f>
        <v>10.416</v>
      </c>
      <c r="AG304" s="267">
        <f>IFERROR(VLOOKUP($A304,Supp_35,14,FALSE),0)+IFERROR(SUMPRODUCT(VLOOKUP($A304,S275_01,{11,12,13},FALSE)),0)+IFERROR(SUMPRODUCT(VLOOKUP($A304,S275_97,{11,12,13},FALSE)),0)+IFERROR(ROUND(VLOOKUP($A304,S275_21,11,FALSE)*VLOOKUP($A304,'3121% SY'!$C$3:$M$324,11,FALSE),3),0)+IFERROR(ROUND(VLOOKUP($A304,S275_21,12,FALSE)*VLOOKUP($A304,'3121% SY'!$C$3:$M$324,11,FALSE),3),0)+IFERROR(ROUND(VLOOKUP($A304,S275_21,13,FALSE)*VLOOKUP($A304,'3121% SY'!$C$3:$M$324,11,FALSE),3),0)+IFERROR(VLOOKUP($A304,S275_09,5,FALSE),0)</f>
        <v>0</v>
      </c>
      <c r="AH304" s="165">
        <f t="shared" si="58"/>
        <v>15.891999999999999</v>
      </c>
      <c r="AI304" s="161">
        <f>IFERROR(VLOOKUP(A304,'Supp Staff Data'!A:ER,148,FALSE),0)+AB304</f>
        <v>0</v>
      </c>
      <c r="AJ304" s="174">
        <v>1</v>
      </c>
      <c r="AK304" s="25">
        <f>VLOOKUP(A304,'Enroll Data as of January 2025'!$A$3:$T$323,20,FALSE)-F304</f>
        <v>0</v>
      </c>
    </row>
    <row r="305" spans="1:37" x14ac:dyDescent="0.25">
      <c r="A305" s="171" t="s">
        <v>216</v>
      </c>
      <c r="B305" t="s">
        <v>511</v>
      </c>
      <c r="C305" s="173" t="s">
        <v>1077</v>
      </c>
      <c r="D305" s="259">
        <f t="shared" si="50"/>
        <v>103.50800000000002</v>
      </c>
      <c r="E305" s="259">
        <f t="shared" si="51"/>
        <v>125.842</v>
      </c>
      <c r="F305" s="262">
        <f t="shared" si="59"/>
        <v>22.334</v>
      </c>
      <c r="G305" s="161">
        <f>ROUND(IF(F305&lt;0,F305*'2024-25 PSES Compliance'!$G$13,0),3)</f>
        <v>0</v>
      </c>
      <c r="H305" s="161">
        <f>ROUND(IF(F305&lt;0,F305*'2024-25 PSES Compliance'!$G$14,0),3)</f>
        <v>0</v>
      </c>
      <c r="I305" s="174">
        <f t="shared" si="53"/>
        <v>0.82316714610384445</v>
      </c>
      <c r="J305" s="174">
        <f t="shared" si="54"/>
        <v>0</v>
      </c>
      <c r="K305" s="161">
        <f>VLOOKUP($A305,'Enroll Data as of January 2025'!$A$3:$M$322,6,FALSE)</f>
        <v>58.472999999999999</v>
      </c>
      <c r="L305" s="161">
        <f>VLOOKUP($A305,'Enroll Data as of January 2025'!$A$3:$M$322,7,FALSE)</f>
        <v>9.4770000000000003</v>
      </c>
      <c r="M305" s="161">
        <f>VLOOKUP($A305,'Enroll Data as of January 2025'!$A$3:$M$322,8,FALSE)</f>
        <v>3.1829999999999998</v>
      </c>
      <c r="N305" s="161">
        <f>VLOOKUP($A305,'Enroll Data as of January 2025'!$A$3:$M$322,9,FALSE)</f>
        <v>26.615000000000002</v>
      </c>
      <c r="O305" s="165">
        <f t="shared" si="55"/>
        <v>97.748000000000019</v>
      </c>
      <c r="P305" s="161">
        <f>VLOOKUP($A305,'Enroll Data as of January 2025'!$A$3:$M$322,11,FALSE)</f>
        <v>3.6379999999999999</v>
      </c>
      <c r="Q305" s="161">
        <f>VLOOKUP($A305,'Enroll Data as of January 2025'!$A$3:$M$322,12,FALSE)</f>
        <v>2.1219999999999999</v>
      </c>
      <c r="R305" s="165">
        <f t="shared" si="56"/>
        <v>5.76</v>
      </c>
      <c r="S305" s="267">
        <f>IFERROR(VLOOKUP($A305,Supp_39,14,FALSE),0)+IFERROR(SUMPRODUCT(VLOOKUP($A305,S275_01,{14,15,16},FALSE)),0)+IFERROR(SUMPRODUCT(VLOOKUP($A305,S275_97,{14,15,16},FALSE)),0)+IFERROR(ROUND(VLOOKUP($A305,S275_21,14,FALSE)*VLOOKUP($A305,'3121% SY'!$C$3:$M$324,11,FALSE),3),0)+IFERROR(ROUND(VLOOKUP($A305,S275_21,15,FALSE)*VLOOKUP($A305,'3121% SY'!$C$3:$M$324,11,FALSE),3),0)+IFERROR(ROUND(VLOOKUP($A305,S275_21,16,FALSE)*VLOOKUP($A305,'3121% SY'!$C$3:$M$324,11,FALSE),3),0)+IFERROR(VLOOKUP($A305,S275_09,6,FALSE),0)</f>
        <v>45.228000000000002</v>
      </c>
      <c r="T305" s="267">
        <f>IFERROR(VLOOKUP($A305,Supp_42,14,FALSE),0)+IFERROR(SUMPRODUCT(VLOOKUP($A305,S275_01,{17,18,19},FALSE)),0)+IFERROR(SUMPRODUCT(VLOOKUP($A305,S275_97,{17,18,19},FALSE)),0)+IFERROR(ROUND(VLOOKUP($A305,S275_21,17,FALSE)*VLOOKUP($A305,'3121% SY'!$C$3:$M$324,11,FALSE),3),0)+IFERROR(ROUND(VLOOKUP($A305,S275_21,18,FALSE)*VLOOKUP($A305,'3121% SY'!$C$3:$M$324,11,FALSE),3),0)+IFERROR(ROUND(VLOOKUP($A305,S275_21,19,FALSE)*VLOOKUP($A305,'3121% SY'!$C$3:$M$324,11,FALSE),3),0)+IFERROR(VLOOKUP($A305,S275_09,7,FALSE),0)</f>
        <v>10.6</v>
      </c>
      <c r="U305" s="267">
        <f>IFERROR(VLOOKUP($A305,Supp_43,14,FALSE),0)+IFERROR(SUMPRODUCT(VLOOKUP($A305,S275_01,{20,21,22},FALSE)),0)+IFERROR(SUMPRODUCT(VLOOKUP($A305,S275_97,{20,21,22},FALSE)),0)+IFERROR(ROUND(VLOOKUP($A305,S275_21,20,FALSE)*VLOOKUP($A305,'3121% SY'!$C$3:$M$324,11,FALSE),3),0)+IFERROR(ROUND(VLOOKUP($A305,S275_21,21,FALSE)*VLOOKUP($A305,'3121% SY'!$C$3:$M$324,11,FALSE),3),0)+IFERROR(ROUND(VLOOKUP($A305,S275_21,22,FALSE)*VLOOKUP($A305,'3121% SY'!$C$3:$M$324,11,FALSE),3),0)+IFERROR(VLOOKUP($A305,S275_09,8,FALSE),0)</f>
        <v>4.6859999999999999</v>
      </c>
      <c r="V305" s="267">
        <f>IFERROR(VLOOKUP($A305,Supp_44,14,FALSE),0)+IFERROR(SUMPRODUCT(VLOOKUP($A305,S275_01,{23,24,25},FALSE)),0)+IFERROR(SUMPRODUCT(VLOOKUP($A305,S275_97,{23,24,25},FALSE)),0)+IFERROR(ROUND(VLOOKUP($A305,S275_21,23,FALSE)*VLOOKUP($A305,'3121% SY'!$C$3:$M$324,11,FALSE),3),0)+IFERROR(ROUND(VLOOKUP($A305,S275_21,24,FALSE)*VLOOKUP($A305,'3121% SY'!$C$3:$M$324,11,FALSE),3),0)+IFERROR(ROUND(VLOOKUP($A305,S275_21,25,FALSE)*VLOOKUP($A305,'3121% SY'!$C$3:$M$324,11,FALSE),3),0)+IFERROR(VLOOKUP($A305,S275_09,9,FALSE),0)</f>
        <v>0.79200000000000004</v>
      </c>
      <c r="W305" s="267">
        <f>IFERROR(VLOOKUP($A305,Supp_45,14,FALSE),0)+IFERROR(SUMPRODUCT(VLOOKUP($A305,S275_01,{26,27,28},FALSE)),0)+IFERROR(SUMPRODUCT(VLOOKUP($A305,S275_97,{26,27,28},FALSE)),0)+IFERROR(ROUND(VLOOKUP($A305,S275_21,26,FALSE)*VLOOKUP($A305,'3121% SY'!$C$3:$M$324,11,FALSE),3),0)+IFERROR(ROUND(VLOOKUP($A305,S275_21,27,FALSE)*VLOOKUP($A305,'3121% SY'!$C$3:$M$324,11,FALSE),3),0)+IFERROR(ROUND(VLOOKUP($A305,S275_21,28,FALSE)*VLOOKUP($A305,'3121% SY'!$C$3:$M$324,11,FALSE),3),0)+IFERROR(VLOOKUP($A305,S275_09,10,FALSE),0)</f>
        <v>11.607999999999999</v>
      </c>
      <c r="X305" s="267">
        <f>IFERROR(VLOOKUP($A305,Supp_46,14,FALSE),0)+IFERROR(SUMPRODUCT(VLOOKUP($A305,S275_01,{29,30,31},FALSE)),0)+IFERROR(SUMPRODUCT(VLOOKUP($A305,S275_97,{29,30,31},FALSE)),0)+IFERROR(ROUND(VLOOKUP($A305,S275_21,29,FALSE)*VLOOKUP($A305,'3121% SY'!$C$3:$M$324,11,FALSE),3),0)+IFERROR(ROUND(VLOOKUP($A305,S275_21,30,FALSE)*VLOOKUP($A305,'3121% SY'!$C$3:$M$324,11,FALSE),3),0)+IFERROR(ROUND(VLOOKUP($A305,S275_21,31,FALSE)*VLOOKUP($A305,'3121% SY'!$C$3:$M$324,11,FALSE),3),0)+IFERROR(VLOOKUP($A305,S275_09,11,FALSE),0)</f>
        <v>22.470000000000002</v>
      </c>
      <c r="Y305" s="267">
        <f>IFERROR(VLOOKUP($A305,Supp_47,14,FALSE),0)+IFERROR(SUMPRODUCT(VLOOKUP($A305,S275_01,{32,33,34},FALSE)),0)+IFERROR(SUMPRODUCT(VLOOKUP($A305,S275_97,{32,33,34},FALSE)),0)+IFERROR(ROUND(VLOOKUP($A305,S275_21,32,FALSE)*VLOOKUP($A305,'3121% SY'!$C$3:$M$324,11,FALSE),3),0)+IFERROR(ROUND(VLOOKUP($A305,S275_21,33,FALSE)*VLOOKUP($A305,'3121% SY'!$C$3:$M$324,11,FALSE),3),0)+IFERROR(ROUND(VLOOKUP($A305,S275_21,34,FALSE)*VLOOKUP($A305,'3121% SY'!$C$3:$M$324,11,FALSE),3),0)+IFERROR(VLOOKUP($A305,S275_09,12,FALSE),0)</f>
        <v>2.0650000000000004</v>
      </c>
      <c r="Z305" s="267">
        <f>IFERROR(VLOOKUP($A305,Supp_48,14,FALSE),0)+IFERROR(SUMPRODUCT(VLOOKUP($A305,S275_01,{35,36,37},FALSE)),0)+IFERROR(SUMPRODUCT(VLOOKUP($A305,S275_97,{35,36,37},FALSE)),0)+IFERROR(ROUND(VLOOKUP($A305,S275_21,35,FALSE)*VLOOKUP($A305,'3121% SY'!$C$3:$M$324,11,FALSE),3),0)+IFERROR(ROUND(VLOOKUP($A305,S275_21,36,FALSE)*VLOOKUP($A305,'3121% SY'!$C$3:$M$324,11,FALSE),3),0)+IFERROR(ROUND(VLOOKUP($A305,S275_21,37,FALSE)*VLOOKUP($A305,'3121% SY'!$C$3:$M$324,11,FALSE),3),0)+IFERROR(VLOOKUP($A305,S275_09,13,FALSE),0)</f>
        <v>6.0030000000000001</v>
      </c>
      <c r="AA305" s="267">
        <f>IFERROR(VLOOKUP($A305,Supp_49,14,FALSE),0)+IFERROR(SUMPRODUCT(VLOOKUP($A305,S275_01,{38,39,40},FALSE)),0)+IFERROR(SUMPRODUCT(VLOOKUP($A305,S275_97,{38,39,40},FALSE)),0)+IFERROR(ROUND(VLOOKUP($A305,S275_21,38,FALSE)*VLOOKUP($A305,'3121% SY'!$C$3:$M$324,11,FALSE),3),0)+IFERROR(ROUND(VLOOKUP($A305,S275_21,39,FALSE)*VLOOKUP($A305,'3121% SY'!$C$3:$M$324,11,FALSE),3),0)+IFERROR(ROUND(VLOOKUP($A305,S275_21,40,FALSE)*VLOOKUP($A305,'3121% SY'!$C$3:$M$324,11,FALSE),3),0)+IFERROR(VLOOKUP($A305,S275_09,14,FALSE),0)</f>
        <v>0.13700000000000001</v>
      </c>
      <c r="AB305" s="267">
        <f>IFERROR(VLOOKUP($A305,Supp_64,14,FALSE),0)+IFERROR(SUMPRODUCT(VLOOKUP($A305,S275_01,{41,42,43},FALSE)),0)+IFERROR(SUMPRODUCT(VLOOKUP($A305,S275_97,{41,42,43},FALSE)),0)+IFERROR(ROUND(VLOOKUP($A305,S275_21,41,FALSE)*VLOOKUP($A305,'3121% SY'!$C$3:$M$324,11,FALSE),3),0)+IFERROR(ROUND(VLOOKUP($A305,S275_21,42,FALSE)*VLOOKUP($A305,'3121% SY'!$C$3:$M$324,11,FALSE),3),0)+IFERROR(ROUND(VLOOKUP($A305,S275_21,43,FALSE)*VLOOKUP($A305,'3121% SY'!$C$3:$M$324,11,FALSE),3),0)+IFERROR(VLOOKUP($A305,S275_09,15,FALSE),0)</f>
        <v>0</v>
      </c>
      <c r="AC305" s="268">
        <f t="shared" si="57"/>
        <v>103.589</v>
      </c>
      <c r="AD305" s="267">
        <f>IFERROR(VLOOKUP($A305,Supp_24,14,FALSE),0)+IFERROR(SUMPRODUCT(VLOOKUP($A305,S275_01,{2,3,4},FALSE)),0)+IFERROR(SUMPRODUCT(VLOOKUP($A305,S275_97,{2,3,4},FALSE)),0)+IFERROR(ROUND(VLOOKUP($A305,S275_21,2,FALSE)*VLOOKUP($A305,'3121% SY'!$C$3:$M$324,11,FALSE),3),0)+IFERROR(ROUND(VLOOKUP($A305,S275_21,3,FALSE)*VLOOKUP($A305,'3121% SY'!$C$3:$M$324,11,FALSE),3),0)+IFERROR(ROUND(VLOOKUP($A305,S275_21,4,FALSE)*VLOOKUP($A305,'3121% SY'!$C$3:$M$324,11,FALSE),3),0)+IFERROR(VLOOKUP($A305,S275_09,2,FALSE),0)</f>
        <v>3.3180000000000001</v>
      </c>
      <c r="AE305" s="267">
        <f>IFERROR(VLOOKUP($A305,Supp_25,14,FALSE),0)+IFERROR(SUMPRODUCT(VLOOKUP($A305,S275_01,{5,6,7},FALSE)),0)+IFERROR(SUMPRODUCT(VLOOKUP($A305,S275_97,{5,6,7},FALSE)),0)+IFERROR(ROUND(VLOOKUP($A305,S275_21,5,FALSE)*VLOOKUP($A305,'3121% SY'!$C$3:$M$324,11,FALSE),3),0)+IFERROR(ROUND(VLOOKUP($A305,S275_21,6,FALSE)*VLOOKUP($A305,'3121% SY'!$C$3:$M$324,11,FALSE),3),0)+IFERROR(ROUND(VLOOKUP($A305,S275_21,7,FALSE)*VLOOKUP($A305,'3121% SY'!$C$3:$M$324,11,FALSE),3),0)+IFERROR(VLOOKUP($A305,S275_09,3,FALSE),0)</f>
        <v>10.026</v>
      </c>
      <c r="AF305" s="267">
        <f>IFERROR(VLOOKUP($A305,Supp_26,14,FALSE),0)+IFERROR(SUMPRODUCT(VLOOKUP($A305,S275_01,{8,9,10},FALSE)),0)+IFERROR(SUMPRODUCT(VLOOKUP($A305,S275_97,{8,9,10},FALSE)),0)+IFERROR(ROUND(VLOOKUP($A305,S275_21,8,FALSE)*VLOOKUP($A305,'3121% SY'!$C$3:$M$324,11,FALSE),3),0)+IFERROR(ROUND(VLOOKUP($A305,S275_21,9,FALSE)*VLOOKUP($A305,'3121% SY'!$C$3:$M$324,11,FALSE),3),0)+IFERROR(ROUND(VLOOKUP($A305,S275_21,10,FALSE)*VLOOKUP($A305,'3121% SY'!$C$3:$M$324,11,FALSE),3),0)+IFERROR(VLOOKUP($A305,S275_09,4,FALSE),0)</f>
        <v>5.3599999999999994</v>
      </c>
      <c r="AG305" s="267">
        <f>IFERROR(VLOOKUP($A305,Supp_35,14,FALSE),0)+IFERROR(SUMPRODUCT(VLOOKUP($A305,S275_01,{11,12,13},FALSE)),0)+IFERROR(SUMPRODUCT(VLOOKUP($A305,S275_97,{11,12,13},FALSE)),0)+IFERROR(ROUND(VLOOKUP($A305,S275_21,11,FALSE)*VLOOKUP($A305,'3121% SY'!$C$3:$M$324,11,FALSE),3),0)+IFERROR(ROUND(VLOOKUP($A305,S275_21,12,FALSE)*VLOOKUP($A305,'3121% SY'!$C$3:$M$324,11,FALSE),3),0)+IFERROR(ROUND(VLOOKUP($A305,S275_21,13,FALSE)*VLOOKUP($A305,'3121% SY'!$C$3:$M$324,11,FALSE),3),0)+IFERROR(VLOOKUP($A305,S275_09,5,FALSE),0)</f>
        <v>3.5489999999999999</v>
      </c>
      <c r="AH305" s="165">
        <f t="shared" si="58"/>
        <v>22.253</v>
      </c>
      <c r="AI305" s="161">
        <f>IFERROR(VLOOKUP(A305,'Supp Staff Data'!A:ER,148,FALSE),0)+AB305</f>
        <v>0</v>
      </c>
      <c r="AJ305" s="174">
        <v>1</v>
      </c>
      <c r="AK305" s="25">
        <f>VLOOKUP(A305,'Enroll Data as of January 2025'!$A$3:$T$323,20,FALSE)-F305</f>
        <v>0</v>
      </c>
    </row>
    <row r="306" spans="1:37" x14ac:dyDescent="0.25">
      <c r="A306" s="171" t="s">
        <v>96</v>
      </c>
      <c r="B306" t="s">
        <v>392</v>
      </c>
      <c r="C306" s="173" t="s">
        <v>1077</v>
      </c>
      <c r="D306" s="259">
        <f t="shared" si="50"/>
        <v>269.77</v>
      </c>
      <c r="E306" s="259">
        <f t="shared" si="51"/>
        <v>284.17300000000006</v>
      </c>
      <c r="F306" s="262">
        <f t="shared" si="59"/>
        <v>14.403</v>
      </c>
      <c r="G306" s="161">
        <f>ROUND(IF(F306&lt;0,F306*'2024-25 PSES Compliance'!$G$13,0),3)</f>
        <v>0</v>
      </c>
      <c r="H306" s="161">
        <f>ROUND(IF(F306&lt;0,F306*'2024-25 PSES Compliance'!$G$14,0),3)</f>
        <v>0</v>
      </c>
      <c r="I306" s="174">
        <f t="shared" si="53"/>
        <v>0.83743635250358051</v>
      </c>
      <c r="J306" s="174">
        <f t="shared" si="54"/>
        <v>0</v>
      </c>
      <c r="K306" s="161">
        <f>VLOOKUP($A306,'Enroll Data as of January 2025'!$A$3:$M$322,6,FALSE)</f>
        <v>152.971</v>
      </c>
      <c r="L306" s="161">
        <f>VLOOKUP($A306,'Enroll Data as of January 2025'!$A$3:$M$322,7,FALSE)</f>
        <v>24.582999999999998</v>
      </c>
      <c r="M306" s="161">
        <f>VLOOKUP($A306,'Enroll Data as of January 2025'!$A$3:$M$322,8,FALSE)</f>
        <v>8.2690000000000001</v>
      </c>
      <c r="N306" s="161">
        <f>VLOOKUP($A306,'Enroll Data as of January 2025'!$A$3:$M$322,9,FALSE)</f>
        <v>68.975999999999999</v>
      </c>
      <c r="O306" s="165">
        <f t="shared" si="55"/>
        <v>254.79900000000001</v>
      </c>
      <c r="P306" s="161">
        <f>VLOOKUP($A306,'Enroll Data as of January 2025'!$A$3:$M$322,11,FALSE)</f>
        <v>9.479000000000001</v>
      </c>
      <c r="Q306" s="161">
        <f>VLOOKUP($A306,'Enroll Data as of January 2025'!$A$3:$M$322,12,FALSE)</f>
        <v>5.492</v>
      </c>
      <c r="R306" s="165">
        <f t="shared" si="56"/>
        <v>14.971</v>
      </c>
      <c r="S306" s="267">
        <f>IFERROR(VLOOKUP($A306,Supp_39,14,FALSE),0)+IFERROR(SUMPRODUCT(VLOOKUP($A306,S275_01,{14,15,16},FALSE)),0)+IFERROR(SUMPRODUCT(VLOOKUP($A306,S275_97,{14,15,16},FALSE)),0)+IFERROR(ROUND(VLOOKUP($A306,S275_21,14,FALSE)*VLOOKUP($A306,'3121% SY'!$C$3:$M$324,11,FALSE),3),0)+IFERROR(ROUND(VLOOKUP($A306,S275_21,15,FALSE)*VLOOKUP($A306,'3121% SY'!$C$3:$M$324,11,FALSE),3),0)+IFERROR(ROUND(VLOOKUP($A306,S275_21,16,FALSE)*VLOOKUP($A306,'3121% SY'!$C$3:$M$324,11,FALSE),3),0)+IFERROR(VLOOKUP($A306,S275_09,6,FALSE),0)</f>
        <v>72.164000000000001</v>
      </c>
      <c r="T306" s="267">
        <f>IFERROR(VLOOKUP($A306,Supp_42,14,FALSE),0)+IFERROR(SUMPRODUCT(VLOOKUP($A306,S275_01,{17,18,19},FALSE)),0)+IFERROR(SUMPRODUCT(VLOOKUP($A306,S275_97,{17,18,19},FALSE)),0)+IFERROR(ROUND(VLOOKUP($A306,S275_21,17,FALSE)*VLOOKUP($A306,'3121% SY'!$C$3:$M$324,11,FALSE),3),0)+IFERROR(ROUND(VLOOKUP($A306,S275_21,18,FALSE)*VLOOKUP($A306,'3121% SY'!$C$3:$M$324,11,FALSE),3),0)+IFERROR(ROUND(VLOOKUP($A306,S275_21,19,FALSE)*VLOOKUP($A306,'3121% SY'!$C$3:$M$324,11,FALSE),3),0)+IFERROR(VLOOKUP($A306,S275_09,7,FALSE),0)</f>
        <v>21.061000000000003</v>
      </c>
      <c r="U306" s="267">
        <f>IFERROR(VLOOKUP($A306,Supp_43,14,FALSE),0)+IFERROR(SUMPRODUCT(VLOOKUP($A306,S275_01,{20,21,22},FALSE)),0)+IFERROR(SUMPRODUCT(VLOOKUP($A306,S275_97,{20,21,22},FALSE)),0)+IFERROR(ROUND(VLOOKUP($A306,S275_21,20,FALSE)*VLOOKUP($A306,'3121% SY'!$C$3:$M$324,11,FALSE),3),0)+IFERROR(ROUND(VLOOKUP($A306,S275_21,21,FALSE)*VLOOKUP($A306,'3121% SY'!$C$3:$M$324,11,FALSE),3),0)+IFERROR(ROUND(VLOOKUP($A306,S275_21,22,FALSE)*VLOOKUP($A306,'3121% SY'!$C$3:$M$324,11,FALSE),3),0)+IFERROR(VLOOKUP($A306,S275_09,8,FALSE),0)</f>
        <v>45.424999999999997</v>
      </c>
      <c r="V306" s="267">
        <f>IFERROR(VLOOKUP($A306,Supp_44,14,FALSE),0)+IFERROR(SUMPRODUCT(VLOOKUP($A306,S275_01,{23,24,25},FALSE)),0)+IFERROR(SUMPRODUCT(VLOOKUP($A306,S275_97,{23,24,25},FALSE)),0)+IFERROR(ROUND(VLOOKUP($A306,S275_21,23,FALSE)*VLOOKUP($A306,'3121% SY'!$C$3:$M$324,11,FALSE),3),0)+IFERROR(ROUND(VLOOKUP($A306,S275_21,24,FALSE)*VLOOKUP($A306,'3121% SY'!$C$3:$M$324,11,FALSE),3),0)+IFERROR(ROUND(VLOOKUP($A306,S275_21,25,FALSE)*VLOOKUP($A306,'3121% SY'!$C$3:$M$324,11,FALSE),3),0)+IFERROR(VLOOKUP($A306,S275_09,9,FALSE),0)</f>
        <v>6.6269999999999998</v>
      </c>
      <c r="W306" s="267">
        <f>IFERROR(VLOOKUP($A306,Supp_45,14,FALSE),0)+IFERROR(SUMPRODUCT(VLOOKUP($A306,S275_01,{26,27,28},FALSE)),0)+IFERROR(SUMPRODUCT(VLOOKUP($A306,S275_97,{26,27,28},FALSE)),0)+IFERROR(ROUND(VLOOKUP($A306,S275_21,26,FALSE)*VLOOKUP($A306,'3121% SY'!$C$3:$M$324,11,FALSE),3),0)+IFERROR(ROUND(VLOOKUP($A306,S275_21,27,FALSE)*VLOOKUP($A306,'3121% SY'!$C$3:$M$324,11,FALSE),3),0)+IFERROR(ROUND(VLOOKUP($A306,S275_21,28,FALSE)*VLOOKUP($A306,'3121% SY'!$C$3:$M$324,11,FALSE),3),0)+IFERROR(VLOOKUP($A306,S275_09,10,FALSE),0)</f>
        <v>24.825000000000003</v>
      </c>
      <c r="X306" s="267">
        <f>IFERROR(VLOOKUP($A306,Supp_46,14,FALSE),0)+IFERROR(SUMPRODUCT(VLOOKUP($A306,S275_01,{29,30,31},FALSE)),0)+IFERROR(SUMPRODUCT(VLOOKUP($A306,S275_97,{29,30,31},FALSE)),0)+IFERROR(ROUND(VLOOKUP($A306,S275_21,29,FALSE)*VLOOKUP($A306,'3121% SY'!$C$3:$M$324,11,FALSE),3),0)+IFERROR(ROUND(VLOOKUP($A306,S275_21,30,FALSE)*VLOOKUP($A306,'3121% SY'!$C$3:$M$324,11,FALSE),3),0)+IFERROR(ROUND(VLOOKUP($A306,S275_21,31,FALSE)*VLOOKUP($A306,'3121% SY'!$C$3:$M$324,11,FALSE),3),0)+IFERROR(VLOOKUP($A306,S275_09,11,FALSE),0)</f>
        <v>58.433</v>
      </c>
      <c r="Y306" s="267">
        <f>IFERROR(VLOOKUP($A306,Supp_47,14,FALSE),0)+IFERROR(SUMPRODUCT(VLOOKUP($A306,S275_01,{32,33,34},FALSE)),0)+IFERROR(SUMPRODUCT(VLOOKUP($A306,S275_97,{32,33,34},FALSE)),0)+IFERROR(ROUND(VLOOKUP($A306,S275_21,32,FALSE)*VLOOKUP($A306,'3121% SY'!$C$3:$M$324,11,FALSE),3),0)+IFERROR(ROUND(VLOOKUP($A306,S275_21,33,FALSE)*VLOOKUP($A306,'3121% SY'!$C$3:$M$324,11,FALSE),3),0)+IFERROR(ROUND(VLOOKUP($A306,S275_21,34,FALSE)*VLOOKUP($A306,'3121% SY'!$C$3:$M$324,11,FALSE),3),0)+IFERROR(VLOOKUP($A306,S275_09,12,FALSE),0)</f>
        <v>8.3180000000000014</v>
      </c>
      <c r="Z306" s="267">
        <f>IFERROR(VLOOKUP($A306,Supp_48,14,FALSE),0)+IFERROR(SUMPRODUCT(VLOOKUP($A306,S275_01,{35,36,37},FALSE)),0)+IFERROR(SUMPRODUCT(VLOOKUP($A306,S275_97,{35,36,37},FALSE)),0)+IFERROR(ROUND(VLOOKUP($A306,S275_21,35,FALSE)*VLOOKUP($A306,'3121% SY'!$C$3:$M$324,11,FALSE),3),0)+IFERROR(ROUND(VLOOKUP($A306,S275_21,36,FALSE)*VLOOKUP($A306,'3121% SY'!$C$3:$M$324,11,FALSE),3),0)+IFERROR(ROUND(VLOOKUP($A306,S275_21,37,FALSE)*VLOOKUP($A306,'3121% SY'!$C$3:$M$324,11,FALSE),3),0)+IFERROR(VLOOKUP($A306,S275_09,13,FALSE),0)</f>
        <v>2.7290000000000001</v>
      </c>
      <c r="AA306" s="267">
        <f>IFERROR(VLOOKUP($A306,Supp_49,14,FALSE),0)+IFERROR(SUMPRODUCT(VLOOKUP($A306,S275_01,{38,39,40},FALSE)),0)+IFERROR(SUMPRODUCT(VLOOKUP($A306,S275_97,{38,39,40},FALSE)),0)+IFERROR(ROUND(VLOOKUP($A306,S275_21,38,FALSE)*VLOOKUP($A306,'3121% SY'!$C$3:$M$324,11,FALSE),3),0)+IFERROR(ROUND(VLOOKUP($A306,S275_21,39,FALSE)*VLOOKUP($A306,'3121% SY'!$C$3:$M$324,11,FALSE),3),0)+IFERROR(ROUND(VLOOKUP($A306,S275_21,40,FALSE)*VLOOKUP($A306,'3121% SY'!$C$3:$M$324,11,FALSE),3),0)+IFERROR(VLOOKUP($A306,S275_09,14,FALSE),0)</f>
        <v>0</v>
      </c>
      <c r="AB306" s="267">
        <f>IFERROR(VLOOKUP($A306,Supp_64,14,FALSE),0)+IFERROR(SUMPRODUCT(VLOOKUP($A306,S275_01,{41,42,43},FALSE)),0)+IFERROR(SUMPRODUCT(VLOOKUP($A306,S275_97,{41,42,43},FALSE)),0)+IFERROR(ROUND(VLOOKUP($A306,S275_21,41,FALSE)*VLOOKUP($A306,'3121% SY'!$C$3:$M$324,11,FALSE),3),0)+IFERROR(ROUND(VLOOKUP($A306,S275_21,42,FALSE)*VLOOKUP($A306,'3121% SY'!$C$3:$M$324,11,FALSE),3),0)+IFERROR(ROUND(VLOOKUP($A306,S275_21,43,FALSE)*VLOOKUP($A306,'3121% SY'!$C$3:$M$324,11,FALSE),3),0)+IFERROR(VLOOKUP($A306,S275_09,15,FALSE),0)</f>
        <v>0</v>
      </c>
      <c r="AC306" s="268">
        <f t="shared" si="57"/>
        <v>239.58200000000005</v>
      </c>
      <c r="AD306" s="267">
        <f>IFERROR(VLOOKUP($A306,Supp_24,14,FALSE),0)+IFERROR(SUMPRODUCT(VLOOKUP($A306,S275_01,{2,3,4},FALSE)),0)+IFERROR(SUMPRODUCT(VLOOKUP($A306,S275_97,{2,3,4},FALSE)),0)+IFERROR(ROUND(VLOOKUP($A306,S275_21,2,FALSE)*VLOOKUP($A306,'3121% SY'!$C$3:$M$324,11,FALSE),3),0)+IFERROR(ROUND(VLOOKUP($A306,S275_21,3,FALSE)*VLOOKUP($A306,'3121% SY'!$C$3:$M$324,11,FALSE),3),0)+IFERROR(ROUND(VLOOKUP($A306,S275_21,4,FALSE)*VLOOKUP($A306,'3121% SY'!$C$3:$M$324,11,FALSE),3),0)+IFERROR(VLOOKUP($A306,S275_09,2,FALSE),0)</f>
        <v>1.7850000000000001</v>
      </c>
      <c r="AE306" s="267">
        <f>IFERROR(VLOOKUP($A306,Supp_25,14,FALSE),0)+IFERROR(SUMPRODUCT(VLOOKUP($A306,S275_01,{5,6,7},FALSE)),0)+IFERROR(SUMPRODUCT(VLOOKUP($A306,S275_97,{5,6,7},FALSE)),0)+IFERROR(ROUND(VLOOKUP($A306,S275_21,5,FALSE)*VLOOKUP($A306,'3121% SY'!$C$3:$M$324,11,FALSE),3),0)+IFERROR(ROUND(VLOOKUP($A306,S275_21,6,FALSE)*VLOOKUP($A306,'3121% SY'!$C$3:$M$324,11,FALSE),3),0)+IFERROR(ROUND(VLOOKUP($A306,S275_21,7,FALSE)*VLOOKUP($A306,'3121% SY'!$C$3:$M$324,11,FALSE),3),0)+IFERROR(VLOOKUP($A306,S275_09,3,FALSE),0)</f>
        <v>4.6429999999999998</v>
      </c>
      <c r="AF306" s="267">
        <f>IFERROR(VLOOKUP($A306,Supp_26,14,FALSE),0)+IFERROR(SUMPRODUCT(VLOOKUP($A306,S275_01,{8,9,10},FALSE)),0)+IFERROR(SUMPRODUCT(VLOOKUP($A306,S275_97,{8,9,10},FALSE)),0)+IFERROR(ROUND(VLOOKUP($A306,S275_21,8,FALSE)*VLOOKUP($A306,'3121% SY'!$C$3:$M$324,11,FALSE),3),0)+IFERROR(ROUND(VLOOKUP($A306,S275_21,9,FALSE)*VLOOKUP($A306,'3121% SY'!$C$3:$M$324,11,FALSE),3),0)+IFERROR(ROUND(VLOOKUP($A306,S275_21,10,FALSE)*VLOOKUP($A306,'3121% SY'!$C$3:$M$324,11,FALSE),3),0)+IFERROR(VLOOKUP($A306,S275_09,4,FALSE),0)</f>
        <v>3.9749999999999996</v>
      </c>
      <c r="AG306" s="267">
        <f>IFERROR(VLOOKUP($A306,Supp_35,14,FALSE),0)+IFERROR(SUMPRODUCT(VLOOKUP($A306,S275_01,{11,12,13},FALSE)),0)+IFERROR(SUMPRODUCT(VLOOKUP($A306,S275_97,{11,12,13},FALSE)),0)+IFERROR(ROUND(VLOOKUP($A306,S275_21,11,FALSE)*VLOOKUP($A306,'3121% SY'!$C$3:$M$324,11,FALSE),3),0)+IFERROR(ROUND(VLOOKUP($A306,S275_21,12,FALSE)*VLOOKUP($A306,'3121% SY'!$C$3:$M$324,11,FALSE),3),0)+IFERROR(ROUND(VLOOKUP($A306,S275_21,13,FALSE)*VLOOKUP($A306,'3121% SY'!$C$3:$M$324,11,FALSE),3),0)+IFERROR(VLOOKUP($A306,S275_09,5,FALSE),0)</f>
        <v>34.188000000000002</v>
      </c>
      <c r="AH306" s="165">
        <f t="shared" si="58"/>
        <v>44.591000000000001</v>
      </c>
      <c r="AI306" s="161">
        <f>IFERROR(VLOOKUP(A306,'Supp Staff Data'!A:ER,148,FALSE),0)+AB306</f>
        <v>0</v>
      </c>
      <c r="AJ306" s="174">
        <v>0.99329999999999996</v>
      </c>
      <c r="AK306" s="25">
        <f>VLOOKUP(A306,'Enroll Data as of January 2025'!$A$3:$T$323,20,FALSE)-F306</f>
        <v>0</v>
      </c>
    </row>
    <row r="307" spans="1:37" x14ac:dyDescent="0.25">
      <c r="A307" s="171" t="s">
        <v>191</v>
      </c>
      <c r="B307" t="s">
        <v>486</v>
      </c>
      <c r="C307" s="173" t="s">
        <v>1077</v>
      </c>
      <c r="D307" s="259">
        <f t="shared" si="50"/>
        <v>58.745000000000005</v>
      </c>
      <c r="E307" s="259">
        <f t="shared" si="51"/>
        <v>101.14400000000001</v>
      </c>
      <c r="F307" s="262">
        <f t="shared" si="59"/>
        <v>42.399000000000001</v>
      </c>
      <c r="G307" s="161">
        <f>ROUND(IF(F307&lt;0,F307*'2024-25 PSES Compliance'!$G$13,0),3)</f>
        <v>0</v>
      </c>
      <c r="H307" s="161">
        <f>ROUND(IF(F307&lt;0,F307*'2024-25 PSES Compliance'!$G$14,0),3)</f>
        <v>0</v>
      </c>
      <c r="I307" s="174">
        <f t="shared" si="53"/>
        <v>0</v>
      </c>
      <c r="J307" s="174">
        <f t="shared" si="54"/>
        <v>0</v>
      </c>
      <c r="K307" s="161">
        <f>VLOOKUP($A307,'Enroll Data as of January 2025'!$A$3:$M$322,6,FALSE)</f>
        <v>31.780999999999999</v>
      </c>
      <c r="L307" s="161">
        <f>VLOOKUP($A307,'Enroll Data as of January 2025'!$A$3:$M$322,7,FALSE)</f>
        <v>6.0760000000000005</v>
      </c>
      <c r="M307" s="161">
        <f>VLOOKUP($A307,'Enroll Data as of January 2025'!$A$3:$M$322,8,FALSE)</f>
        <v>2.036</v>
      </c>
      <c r="N307" s="161">
        <f>VLOOKUP($A307,'Enroll Data as of January 2025'!$A$3:$M$322,9,FALSE)</f>
        <v>15.329000000000001</v>
      </c>
      <c r="O307" s="165">
        <f t="shared" si="55"/>
        <v>55.222000000000001</v>
      </c>
      <c r="P307" s="161">
        <f>VLOOKUP($A307,'Enroll Data as of January 2025'!$A$3:$M$322,11,FALSE)</f>
        <v>2.0840000000000001</v>
      </c>
      <c r="Q307" s="161">
        <f>VLOOKUP($A307,'Enroll Data as of January 2025'!$A$3:$M$322,12,FALSE)</f>
        <v>1.4390000000000001</v>
      </c>
      <c r="R307" s="165">
        <f t="shared" si="56"/>
        <v>3.5230000000000001</v>
      </c>
      <c r="S307" s="267">
        <f>IFERROR(VLOOKUP($A307,Supp_39,14,FALSE),0)+IFERROR(SUMPRODUCT(VLOOKUP($A307,S275_01,{14,15,16},FALSE)),0)+IFERROR(SUMPRODUCT(VLOOKUP($A307,S275_97,{14,15,16},FALSE)),0)+IFERROR(ROUND(VLOOKUP($A307,S275_21,14,FALSE)*VLOOKUP($A307,'3121% SY'!$C$3:$M$324,11,FALSE),3),0)+IFERROR(ROUND(VLOOKUP($A307,S275_21,15,FALSE)*VLOOKUP($A307,'3121% SY'!$C$3:$M$324,11,FALSE),3),0)+IFERROR(ROUND(VLOOKUP($A307,S275_21,16,FALSE)*VLOOKUP($A307,'3121% SY'!$C$3:$M$324,11,FALSE),3),0)+IFERROR(VLOOKUP($A307,S275_09,6,FALSE),0)</f>
        <v>25.045000000000002</v>
      </c>
      <c r="T307" s="267">
        <f>IFERROR(VLOOKUP($A307,Supp_42,14,FALSE),0)+IFERROR(SUMPRODUCT(VLOOKUP($A307,S275_01,{17,18,19},FALSE)),0)+IFERROR(SUMPRODUCT(VLOOKUP($A307,S275_97,{17,18,19},FALSE)),0)+IFERROR(ROUND(VLOOKUP($A307,S275_21,17,FALSE)*VLOOKUP($A307,'3121% SY'!$C$3:$M$324,11,FALSE),3),0)+IFERROR(ROUND(VLOOKUP($A307,S275_21,18,FALSE)*VLOOKUP($A307,'3121% SY'!$C$3:$M$324,11,FALSE),3),0)+IFERROR(ROUND(VLOOKUP($A307,S275_21,19,FALSE)*VLOOKUP($A307,'3121% SY'!$C$3:$M$324,11,FALSE),3),0)+IFERROR(VLOOKUP($A307,S275_09,7,FALSE),0)</f>
        <v>5.2949999999999999</v>
      </c>
      <c r="U307" s="267">
        <f>IFERROR(VLOOKUP($A307,Supp_43,14,FALSE),0)+IFERROR(SUMPRODUCT(VLOOKUP($A307,S275_01,{20,21,22},FALSE)),0)+IFERROR(SUMPRODUCT(VLOOKUP($A307,S275_97,{20,21,22},FALSE)),0)+IFERROR(ROUND(VLOOKUP($A307,S275_21,20,FALSE)*VLOOKUP($A307,'3121% SY'!$C$3:$M$324,11,FALSE),3),0)+IFERROR(ROUND(VLOOKUP($A307,S275_21,21,FALSE)*VLOOKUP($A307,'3121% SY'!$C$3:$M$324,11,FALSE),3),0)+IFERROR(ROUND(VLOOKUP($A307,S275_21,22,FALSE)*VLOOKUP($A307,'3121% SY'!$C$3:$M$324,11,FALSE),3),0)+IFERROR(VLOOKUP($A307,S275_09,8,FALSE),0)</f>
        <v>3.06</v>
      </c>
      <c r="V307" s="267">
        <f>IFERROR(VLOOKUP($A307,Supp_44,14,FALSE),0)+IFERROR(SUMPRODUCT(VLOOKUP($A307,S275_01,{23,24,25},FALSE)),0)+IFERROR(SUMPRODUCT(VLOOKUP($A307,S275_97,{23,24,25},FALSE)),0)+IFERROR(ROUND(VLOOKUP($A307,S275_21,23,FALSE)*VLOOKUP($A307,'3121% SY'!$C$3:$M$324,11,FALSE),3),0)+IFERROR(ROUND(VLOOKUP($A307,S275_21,24,FALSE)*VLOOKUP($A307,'3121% SY'!$C$3:$M$324,11,FALSE),3),0)+IFERROR(ROUND(VLOOKUP($A307,S275_21,25,FALSE)*VLOOKUP($A307,'3121% SY'!$C$3:$M$324,11,FALSE),3),0)+IFERROR(VLOOKUP($A307,S275_09,9,FALSE),0)</f>
        <v>0.34</v>
      </c>
      <c r="W307" s="267">
        <f>IFERROR(VLOOKUP($A307,Supp_45,14,FALSE),0)+IFERROR(SUMPRODUCT(VLOOKUP($A307,S275_01,{26,27,28},FALSE)),0)+IFERROR(SUMPRODUCT(VLOOKUP($A307,S275_97,{26,27,28},FALSE)),0)+IFERROR(ROUND(VLOOKUP($A307,S275_21,26,FALSE)*VLOOKUP($A307,'3121% SY'!$C$3:$M$324,11,FALSE),3),0)+IFERROR(ROUND(VLOOKUP($A307,S275_21,27,FALSE)*VLOOKUP($A307,'3121% SY'!$C$3:$M$324,11,FALSE),3),0)+IFERROR(ROUND(VLOOKUP($A307,S275_21,28,FALSE)*VLOOKUP($A307,'3121% SY'!$C$3:$M$324,11,FALSE),3),0)+IFERROR(VLOOKUP($A307,S275_09,10,FALSE),0)</f>
        <v>2.72</v>
      </c>
      <c r="X307" s="267">
        <f>IFERROR(VLOOKUP($A307,Supp_46,14,FALSE),0)+IFERROR(SUMPRODUCT(VLOOKUP($A307,S275_01,{29,30,31},FALSE)),0)+IFERROR(SUMPRODUCT(VLOOKUP($A307,S275_97,{29,30,31},FALSE)),0)+IFERROR(ROUND(VLOOKUP($A307,S275_21,29,FALSE)*VLOOKUP($A307,'3121% SY'!$C$3:$M$324,11,FALSE),3),0)+IFERROR(ROUND(VLOOKUP($A307,S275_21,30,FALSE)*VLOOKUP($A307,'3121% SY'!$C$3:$M$324,11,FALSE),3),0)+IFERROR(ROUND(VLOOKUP($A307,S275_21,31,FALSE)*VLOOKUP($A307,'3121% SY'!$C$3:$M$324,11,FALSE),3),0)+IFERROR(VLOOKUP($A307,S275_09,11,FALSE),0)</f>
        <v>11.853</v>
      </c>
      <c r="Y307" s="267">
        <f>IFERROR(VLOOKUP($A307,Supp_47,14,FALSE),0)+IFERROR(SUMPRODUCT(VLOOKUP($A307,S275_01,{32,33,34},FALSE)),0)+IFERROR(SUMPRODUCT(VLOOKUP($A307,S275_97,{32,33,34},FALSE)),0)+IFERROR(ROUND(VLOOKUP($A307,S275_21,32,FALSE)*VLOOKUP($A307,'3121% SY'!$C$3:$M$324,11,FALSE),3),0)+IFERROR(ROUND(VLOOKUP($A307,S275_21,33,FALSE)*VLOOKUP($A307,'3121% SY'!$C$3:$M$324,11,FALSE),3),0)+IFERROR(ROUND(VLOOKUP($A307,S275_21,34,FALSE)*VLOOKUP($A307,'3121% SY'!$C$3:$M$324,11,FALSE),3),0)+IFERROR(VLOOKUP($A307,S275_09,12,FALSE),0)</f>
        <v>0.7350000000000001</v>
      </c>
      <c r="Z307" s="267">
        <f>IFERROR(VLOOKUP($A307,Supp_48,14,FALSE),0)+IFERROR(SUMPRODUCT(VLOOKUP($A307,S275_01,{35,36,37},FALSE)),0)+IFERROR(SUMPRODUCT(VLOOKUP($A307,S275_97,{35,36,37},FALSE)),0)+IFERROR(ROUND(VLOOKUP($A307,S275_21,35,FALSE)*VLOOKUP($A307,'3121% SY'!$C$3:$M$324,11,FALSE),3),0)+IFERROR(ROUND(VLOOKUP($A307,S275_21,36,FALSE)*VLOOKUP($A307,'3121% SY'!$C$3:$M$324,11,FALSE),3),0)+IFERROR(ROUND(VLOOKUP($A307,S275_21,37,FALSE)*VLOOKUP($A307,'3121% SY'!$C$3:$M$324,11,FALSE),3),0)+IFERROR(VLOOKUP($A307,S275_09,13,FALSE),0)</f>
        <v>1.53</v>
      </c>
      <c r="AA307" s="267">
        <f>IFERROR(VLOOKUP($A307,Supp_49,14,FALSE),0)+IFERROR(SUMPRODUCT(VLOOKUP($A307,S275_01,{38,39,40},FALSE)),0)+IFERROR(SUMPRODUCT(VLOOKUP($A307,S275_97,{38,39,40},FALSE)),0)+IFERROR(ROUND(VLOOKUP($A307,S275_21,38,FALSE)*VLOOKUP($A307,'3121% SY'!$C$3:$M$324,11,FALSE),3),0)+IFERROR(ROUND(VLOOKUP($A307,S275_21,39,FALSE)*VLOOKUP($A307,'3121% SY'!$C$3:$M$324,11,FALSE),3),0)+IFERROR(ROUND(VLOOKUP($A307,S275_21,40,FALSE)*VLOOKUP($A307,'3121% SY'!$C$3:$M$324,11,FALSE),3),0)+IFERROR(VLOOKUP($A307,S275_09,14,FALSE),0)</f>
        <v>0</v>
      </c>
      <c r="AB307" s="267">
        <f>IFERROR(VLOOKUP($A307,Supp_64,14,FALSE),0)+IFERROR(SUMPRODUCT(VLOOKUP($A307,S275_01,{41,42,43},FALSE)),0)+IFERROR(SUMPRODUCT(VLOOKUP($A307,S275_97,{41,42,43},FALSE)),0)+IFERROR(ROUND(VLOOKUP($A307,S275_21,41,FALSE)*VLOOKUP($A307,'3121% SY'!$C$3:$M$324,11,FALSE),3),0)+IFERROR(ROUND(VLOOKUP($A307,S275_21,42,FALSE)*VLOOKUP($A307,'3121% SY'!$C$3:$M$324,11,FALSE),3),0)+IFERROR(ROUND(VLOOKUP($A307,S275_21,43,FALSE)*VLOOKUP($A307,'3121% SY'!$C$3:$M$324,11,FALSE),3),0)+IFERROR(VLOOKUP($A307,S275_09,15,FALSE),0)</f>
        <v>0</v>
      </c>
      <c r="AC307" s="268">
        <f t="shared" si="57"/>
        <v>50.57800000000001</v>
      </c>
      <c r="AD307" s="267">
        <f>IFERROR(VLOOKUP($A307,Supp_24,14,FALSE),0)+IFERROR(SUMPRODUCT(VLOOKUP($A307,S275_01,{2,3,4},FALSE)),0)+IFERROR(SUMPRODUCT(VLOOKUP($A307,S275_97,{2,3,4},FALSE)),0)+IFERROR(ROUND(VLOOKUP($A307,S275_21,2,FALSE)*VLOOKUP($A307,'3121% SY'!$C$3:$M$324,11,FALSE),3),0)+IFERROR(ROUND(VLOOKUP($A307,S275_21,3,FALSE)*VLOOKUP($A307,'3121% SY'!$C$3:$M$324,11,FALSE),3),0)+IFERROR(ROUND(VLOOKUP($A307,S275_21,4,FALSE)*VLOOKUP($A307,'3121% SY'!$C$3:$M$324,11,FALSE),3),0)+IFERROR(VLOOKUP($A307,S275_09,2,FALSE),0)</f>
        <v>0</v>
      </c>
      <c r="AE307" s="267">
        <f>IFERROR(VLOOKUP($A307,Supp_25,14,FALSE),0)+IFERROR(SUMPRODUCT(VLOOKUP($A307,S275_01,{5,6,7},FALSE)),0)+IFERROR(SUMPRODUCT(VLOOKUP($A307,S275_97,{5,6,7},FALSE)),0)+IFERROR(ROUND(VLOOKUP($A307,S275_21,5,FALSE)*VLOOKUP($A307,'3121% SY'!$C$3:$M$324,11,FALSE),3),0)+IFERROR(ROUND(VLOOKUP($A307,S275_21,6,FALSE)*VLOOKUP($A307,'3121% SY'!$C$3:$M$324,11,FALSE),3),0)+IFERROR(ROUND(VLOOKUP($A307,S275_21,7,FALSE)*VLOOKUP($A307,'3121% SY'!$C$3:$M$324,11,FALSE),3),0)+IFERROR(VLOOKUP($A307,S275_09,3,FALSE),0)</f>
        <v>19.68</v>
      </c>
      <c r="AF307" s="267">
        <f>IFERROR(VLOOKUP($A307,Supp_26,14,FALSE),0)+IFERROR(SUMPRODUCT(VLOOKUP($A307,S275_01,{8,9,10},FALSE)),0)+IFERROR(SUMPRODUCT(VLOOKUP($A307,S275_97,{8,9,10},FALSE)),0)+IFERROR(ROUND(VLOOKUP($A307,S275_21,8,FALSE)*VLOOKUP($A307,'3121% SY'!$C$3:$M$324,11,FALSE),3),0)+IFERROR(ROUND(VLOOKUP($A307,S275_21,9,FALSE)*VLOOKUP($A307,'3121% SY'!$C$3:$M$324,11,FALSE),3),0)+IFERROR(ROUND(VLOOKUP($A307,S275_21,10,FALSE)*VLOOKUP($A307,'3121% SY'!$C$3:$M$324,11,FALSE),3),0)+IFERROR(VLOOKUP($A307,S275_09,4,FALSE),0)</f>
        <v>18.95</v>
      </c>
      <c r="AG307" s="267">
        <f>IFERROR(VLOOKUP($A307,Supp_35,14,FALSE),0)+IFERROR(SUMPRODUCT(VLOOKUP($A307,S275_01,{11,12,13},FALSE)),0)+IFERROR(SUMPRODUCT(VLOOKUP($A307,S275_97,{11,12,13},FALSE)),0)+IFERROR(ROUND(VLOOKUP($A307,S275_21,11,FALSE)*VLOOKUP($A307,'3121% SY'!$C$3:$M$324,11,FALSE),3),0)+IFERROR(ROUND(VLOOKUP($A307,S275_21,12,FALSE)*VLOOKUP($A307,'3121% SY'!$C$3:$M$324,11,FALSE),3),0)+IFERROR(ROUND(VLOOKUP($A307,S275_21,13,FALSE)*VLOOKUP($A307,'3121% SY'!$C$3:$M$324,11,FALSE),3),0)+IFERROR(VLOOKUP($A307,S275_09,5,FALSE),0)</f>
        <v>11.936</v>
      </c>
      <c r="AH307" s="165">
        <f t="shared" si="58"/>
        <v>50.565999999999995</v>
      </c>
      <c r="AI307" s="161">
        <f>IFERROR(VLOOKUP(A307,'Supp Staff Data'!A:ER,148,FALSE),0)+AB307</f>
        <v>0</v>
      </c>
      <c r="AJ307" s="174">
        <v>0</v>
      </c>
      <c r="AK307" s="25">
        <f>VLOOKUP(A307,'Enroll Data as of January 2025'!$A$3:$T$323,20,FALSE)-F307</f>
        <v>0</v>
      </c>
    </row>
    <row r="308" spans="1:37" x14ac:dyDescent="0.25">
      <c r="A308" s="171" t="s">
        <v>71</v>
      </c>
      <c r="B308" t="s">
        <v>367</v>
      </c>
      <c r="C308" s="173" t="s">
        <v>1077</v>
      </c>
      <c r="D308" s="259">
        <f t="shared" si="50"/>
        <v>40.821000000000005</v>
      </c>
      <c r="E308" s="259">
        <f t="shared" si="51"/>
        <v>50.606999999999999</v>
      </c>
      <c r="F308" s="262">
        <f t="shared" si="59"/>
        <v>9.7859999999999996</v>
      </c>
      <c r="G308" s="161">
        <f>ROUND(IF(F308&lt;0,F308*'2024-25 PSES Compliance'!$G$13,0),3)</f>
        <v>0</v>
      </c>
      <c r="H308" s="161">
        <f>ROUND(IF(F308&lt;0,F308*'2024-25 PSES Compliance'!$G$14,0),3)</f>
        <v>0</v>
      </c>
      <c r="I308" s="174">
        <f t="shared" si="53"/>
        <v>0</v>
      </c>
      <c r="J308" s="174">
        <f t="shared" si="54"/>
        <v>0</v>
      </c>
      <c r="K308" s="161">
        <f>VLOOKUP($A308,'Enroll Data as of January 2025'!$A$3:$M$322,6,FALSE)</f>
        <v>22.550999999999998</v>
      </c>
      <c r="L308" s="161">
        <f>VLOOKUP($A308,'Enroll Data as of January 2025'!$A$3:$M$322,7,FALSE)</f>
        <v>3.9159999999999999</v>
      </c>
      <c r="M308" s="161">
        <f>VLOOKUP($A308,'Enroll Data as of January 2025'!$A$3:$M$322,8,FALSE)</f>
        <v>1.3089999999999999</v>
      </c>
      <c r="N308" s="161">
        <f>VLOOKUP($A308,'Enroll Data as of January 2025'!$A$3:$M$322,9,FALSE)</f>
        <v>10.711</v>
      </c>
      <c r="O308" s="165">
        <f t="shared" si="55"/>
        <v>38.487000000000002</v>
      </c>
      <c r="P308" s="161">
        <f>VLOOKUP($A308,'Enroll Data as of January 2025'!$A$3:$M$322,11,FALSE)</f>
        <v>1.4380000000000002</v>
      </c>
      <c r="Q308" s="161">
        <f>VLOOKUP($A308,'Enroll Data as of January 2025'!$A$3:$M$322,12,FALSE)</f>
        <v>0.89600000000000002</v>
      </c>
      <c r="R308" s="165">
        <f t="shared" si="56"/>
        <v>2.3340000000000001</v>
      </c>
      <c r="S308" s="267">
        <f>IFERROR(VLOOKUP($A308,Supp_39,14,FALSE),0)+IFERROR(SUMPRODUCT(VLOOKUP($A308,S275_01,{14,15,16},FALSE)),0)+IFERROR(SUMPRODUCT(VLOOKUP($A308,S275_97,{14,15,16},FALSE)),0)+IFERROR(ROUND(VLOOKUP($A308,S275_21,14,FALSE)*VLOOKUP($A308,'3121% SY'!$C$3:$M$324,11,FALSE),3),0)+IFERROR(ROUND(VLOOKUP($A308,S275_21,15,FALSE)*VLOOKUP($A308,'3121% SY'!$C$3:$M$324,11,FALSE),3),0)+IFERROR(ROUND(VLOOKUP($A308,S275_21,16,FALSE)*VLOOKUP($A308,'3121% SY'!$C$3:$M$324,11,FALSE),3),0)+IFERROR(VLOOKUP($A308,S275_09,6,FALSE),0)</f>
        <v>13.898</v>
      </c>
      <c r="T308" s="267">
        <f>IFERROR(VLOOKUP($A308,Supp_42,14,FALSE),0)+IFERROR(SUMPRODUCT(VLOOKUP($A308,S275_01,{17,18,19},FALSE)),0)+IFERROR(SUMPRODUCT(VLOOKUP($A308,S275_97,{17,18,19},FALSE)),0)+IFERROR(ROUND(VLOOKUP($A308,S275_21,17,FALSE)*VLOOKUP($A308,'3121% SY'!$C$3:$M$324,11,FALSE),3),0)+IFERROR(ROUND(VLOOKUP($A308,S275_21,18,FALSE)*VLOOKUP($A308,'3121% SY'!$C$3:$M$324,11,FALSE),3),0)+IFERROR(ROUND(VLOOKUP($A308,S275_21,19,FALSE)*VLOOKUP($A308,'3121% SY'!$C$3:$M$324,11,FALSE),3),0)+IFERROR(VLOOKUP($A308,S275_09,7,FALSE),0)</f>
        <v>3.9860000000000002</v>
      </c>
      <c r="U308" s="267">
        <f>IFERROR(VLOOKUP($A308,Supp_43,14,FALSE),0)+IFERROR(SUMPRODUCT(VLOOKUP($A308,S275_01,{20,21,22},FALSE)),0)+IFERROR(SUMPRODUCT(VLOOKUP($A308,S275_97,{20,21,22},FALSE)),0)+IFERROR(ROUND(VLOOKUP($A308,S275_21,20,FALSE)*VLOOKUP($A308,'3121% SY'!$C$3:$M$324,11,FALSE),3),0)+IFERROR(ROUND(VLOOKUP($A308,S275_21,21,FALSE)*VLOOKUP($A308,'3121% SY'!$C$3:$M$324,11,FALSE),3),0)+IFERROR(ROUND(VLOOKUP($A308,S275_21,22,FALSE)*VLOOKUP($A308,'3121% SY'!$C$3:$M$324,11,FALSE),3),0)+IFERROR(VLOOKUP($A308,S275_09,8,FALSE),0)</f>
        <v>5.8019999999999996</v>
      </c>
      <c r="V308" s="267">
        <f>IFERROR(VLOOKUP($A308,Supp_44,14,FALSE),0)+IFERROR(SUMPRODUCT(VLOOKUP($A308,S275_01,{23,24,25},FALSE)),0)+IFERROR(SUMPRODUCT(VLOOKUP($A308,S275_97,{23,24,25},FALSE)),0)+IFERROR(ROUND(VLOOKUP($A308,S275_21,23,FALSE)*VLOOKUP($A308,'3121% SY'!$C$3:$M$324,11,FALSE),3),0)+IFERROR(ROUND(VLOOKUP($A308,S275_21,24,FALSE)*VLOOKUP($A308,'3121% SY'!$C$3:$M$324,11,FALSE),3),0)+IFERROR(ROUND(VLOOKUP($A308,S275_21,25,FALSE)*VLOOKUP($A308,'3121% SY'!$C$3:$M$324,11,FALSE),3),0)+IFERROR(VLOOKUP($A308,S275_09,9,FALSE),0)</f>
        <v>1</v>
      </c>
      <c r="W308" s="267">
        <f>IFERROR(VLOOKUP($A308,Supp_45,14,FALSE),0)+IFERROR(SUMPRODUCT(VLOOKUP($A308,S275_01,{26,27,28},FALSE)),0)+IFERROR(SUMPRODUCT(VLOOKUP($A308,S275_97,{26,27,28},FALSE)),0)+IFERROR(ROUND(VLOOKUP($A308,S275_21,26,FALSE)*VLOOKUP($A308,'3121% SY'!$C$3:$M$324,11,FALSE),3),0)+IFERROR(ROUND(VLOOKUP($A308,S275_21,27,FALSE)*VLOOKUP($A308,'3121% SY'!$C$3:$M$324,11,FALSE),3),0)+IFERROR(ROUND(VLOOKUP($A308,S275_21,28,FALSE)*VLOOKUP($A308,'3121% SY'!$C$3:$M$324,11,FALSE),3),0)+IFERROR(VLOOKUP($A308,S275_09,10,FALSE),0)</f>
        <v>3.2130000000000005</v>
      </c>
      <c r="X308" s="267">
        <f>IFERROR(VLOOKUP($A308,Supp_46,14,FALSE),0)+IFERROR(SUMPRODUCT(VLOOKUP($A308,S275_01,{29,30,31},FALSE)),0)+IFERROR(SUMPRODUCT(VLOOKUP($A308,S275_97,{29,30,31},FALSE)),0)+IFERROR(ROUND(VLOOKUP($A308,S275_21,29,FALSE)*VLOOKUP($A308,'3121% SY'!$C$3:$M$324,11,FALSE),3),0)+IFERROR(ROUND(VLOOKUP($A308,S275_21,30,FALSE)*VLOOKUP($A308,'3121% SY'!$C$3:$M$324,11,FALSE),3),0)+IFERROR(ROUND(VLOOKUP($A308,S275_21,31,FALSE)*VLOOKUP($A308,'3121% SY'!$C$3:$M$324,11,FALSE),3),0)+IFERROR(VLOOKUP($A308,S275_09,11,FALSE),0)</f>
        <v>5.1080000000000005</v>
      </c>
      <c r="Y308" s="267">
        <f>IFERROR(VLOOKUP($A308,Supp_47,14,FALSE),0)+IFERROR(SUMPRODUCT(VLOOKUP($A308,S275_01,{32,33,34},FALSE)),0)+IFERROR(SUMPRODUCT(VLOOKUP($A308,S275_97,{32,33,34},FALSE)),0)+IFERROR(ROUND(VLOOKUP($A308,S275_21,32,FALSE)*VLOOKUP($A308,'3121% SY'!$C$3:$M$324,11,FALSE),3),0)+IFERROR(ROUND(VLOOKUP($A308,S275_21,33,FALSE)*VLOOKUP($A308,'3121% SY'!$C$3:$M$324,11,FALSE),3),0)+IFERROR(ROUND(VLOOKUP($A308,S275_21,34,FALSE)*VLOOKUP($A308,'3121% SY'!$C$3:$M$324,11,FALSE),3),0)+IFERROR(VLOOKUP($A308,S275_09,12,FALSE),0)</f>
        <v>0.877</v>
      </c>
      <c r="Z308" s="267">
        <f>IFERROR(VLOOKUP($A308,Supp_48,14,FALSE),0)+IFERROR(SUMPRODUCT(VLOOKUP($A308,S275_01,{35,36,37},FALSE)),0)+IFERROR(SUMPRODUCT(VLOOKUP($A308,S275_97,{35,36,37},FALSE)),0)+IFERROR(ROUND(VLOOKUP($A308,S275_21,35,FALSE)*VLOOKUP($A308,'3121% SY'!$C$3:$M$324,11,FALSE),3),0)+IFERROR(ROUND(VLOOKUP($A308,S275_21,36,FALSE)*VLOOKUP($A308,'3121% SY'!$C$3:$M$324,11,FALSE),3),0)+IFERROR(ROUND(VLOOKUP($A308,S275_21,37,FALSE)*VLOOKUP($A308,'3121% SY'!$C$3:$M$324,11,FALSE),3),0)+IFERROR(VLOOKUP($A308,S275_09,13,FALSE),0)</f>
        <v>0.501</v>
      </c>
      <c r="AA308" s="267">
        <f>IFERROR(VLOOKUP($A308,Supp_49,14,FALSE),0)+IFERROR(SUMPRODUCT(VLOOKUP($A308,S275_01,{38,39,40},FALSE)),0)+IFERROR(SUMPRODUCT(VLOOKUP($A308,S275_97,{38,39,40},FALSE)),0)+IFERROR(ROUND(VLOOKUP($A308,S275_21,38,FALSE)*VLOOKUP($A308,'3121% SY'!$C$3:$M$324,11,FALSE),3),0)+IFERROR(ROUND(VLOOKUP($A308,S275_21,39,FALSE)*VLOOKUP($A308,'3121% SY'!$C$3:$M$324,11,FALSE),3),0)+IFERROR(ROUND(VLOOKUP($A308,S275_21,40,FALSE)*VLOOKUP($A308,'3121% SY'!$C$3:$M$324,11,FALSE),3),0)+IFERROR(VLOOKUP($A308,S275_09,14,FALSE),0)</f>
        <v>0.23</v>
      </c>
      <c r="AB308" s="267">
        <f>IFERROR(VLOOKUP($A308,Supp_64,14,FALSE),0)+IFERROR(SUMPRODUCT(VLOOKUP($A308,S275_01,{41,42,43},FALSE)),0)+IFERROR(SUMPRODUCT(VLOOKUP($A308,S275_97,{41,42,43},FALSE)),0)+IFERROR(ROUND(VLOOKUP($A308,S275_21,41,FALSE)*VLOOKUP($A308,'3121% SY'!$C$3:$M$324,11,FALSE),3),0)+IFERROR(ROUND(VLOOKUP($A308,S275_21,42,FALSE)*VLOOKUP($A308,'3121% SY'!$C$3:$M$324,11,FALSE),3),0)+IFERROR(ROUND(VLOOKUP($A308,S275_21,43,FALSE)*VLOOKUP($A308,'3121% SY'!$C$3:$M$324,11,FALSE),3),0)+IFERROR(VLOOKUP($A308,S275_09,15,FALSE),0)</f>
        <v>0</v>
      </c>
      <c r="AC308" s="268">
        <f t="shared" si="57"/>
        <v>34.615000000000002</v>
      </c>
      <c r="AD308" s="267">
        <f>IFERROR(VLOOKUP($A308,Supp_24,14,FALSE),0)+IFERROR(SUMPRODUCT(VLOOKUP($A308,S275_01,{2,3,4},FALSE)),0)+IFERROR(SUMPRODUCT(VLOOKUP($A308,S275_97,{2,3,4},FALSE)),0)+IFERROR(ROUND(VLOOKUP($A308,S275_21,2,FALSE)*VLOOKUP($A308,'3121% SY'!$C$3:$M$324,11,FALSE),3),0)+IFERROR(ROUND(VLOOKUP($A308,S275_21,3,FALSE)*VLOOKUP($A308,'3121% SY'!$C$3:$M$324,11,FALSE),3),0)+IFERROR(ROUND(VLOOKUP($A308,S275_21,4,FALSE)*VLOOKUP($A308,'3121% SY'!$C$3:$M$324,11,FALSE),3),0)+IFERROR(VLOOKUP($A308,S275_09,2,FALSE),0)</f>
        <v>0</v>
      </c>
      <c r="AE308" s="267">
        <f>IFERROR(VLOOKUP($A308,Supp_25,14,FALSE),0)+IFERROR(SUMPRODUCT(VLOOKUP($A308,S275_01,{5,6,7},FALSE)),0)+IFERROR(SUMPRODUCT(VLOOKUP($A308,S275_97,{5,6,7},FALSE)),0)+IFERROR(ROUND(VLOOKUP($A308,S275_21,5,FALSE)*VLOOKUP($A308,'3121% SY'!$C$3:$M$324,11,FALSE),3),0)+IFERROR(ROUND(VLOOKUP($A308,S275_21,6,FALSE)*VLOOKUP($A308,'3121% SY'!$C$3:$M$324,11,FALSE),3),0)+IFERROR(ROUND(VLOOKUP($A308,S275_21,7,FALSE)*VLOOKUP($A308,'3121% SY'!$C$3:$M$324,11,FALSE),3),0)+IFERROR(VLOOKUP($A308,S275_09,3,FALSE),0)</f>
        <v>6.9450000000000003</v>
      </c>
      <c r="AF308" s="267">
        <f>IFERROR(VLOOKUP($A308,Supp_26,14,FALSE),0)+IFERROR(SUMPRODUCT(VLOOKUP($A308,S275_01,{8,9,10},FALSE)),0)+IFERROR(SUMPRODUCT(VLOOKUP($A308,S275_97,{8,9,10},FALSE)),0)+IFERROR(ROUND(VLOOKUP($A308,S275_21,8,FALSE)*VLOOKUP($A308,'3121% SY'!$C$3:$M$324,11,FALSE),3),0)+IFERROR(ROUND(VLOOKUP($A308,S275_21,9,FALSE)*VLOOKUP($A308,'3121% SY'!$C$3:$M$324,11,FALSE),3),0)+IFERROR(ROUND(VLOOKUP($A308,S275_21,10,FALSE)*VLOOKUP($A308,'3121% SY'!$C$3:$M$324,11,FALSE),3),0)+IFERROR(VLOOKUP($A308,S275_09,4,FALSE),0)</f>
        <v>9.0469999999999988</v>
      </c>
      <c r="AG308" s="267">
        <f>IFERROR(VLOOKUP($A308,Supp_35,14,FALSE),0)+IFERROR(SUMPRODUCT(VLOOKUP($A308,S275_01,{11,12,13},FALSE)),0)+IFERROR(SUMPRODUCT(VLOOKUP($A308,S275_97,{11,12,13},FALSE)),0)+IFERROR(ROUND(VLOOKUP($A308,S275_21,11,FALSE)*VLOOKUP($A308,'3121% SY'!$C$3:$M$324,11,FALSE),3),0)+IFERROR(ROUND(VLOOKUP($A308,S275_21,12,FALSE)*VLOOKUP($A308,'3121% SY'!$C$3:$M$324,11,FALSE),3),0)+IFERROR(ROUND(VLOOKUP($A308,S275_21,13,FALSE)*VLOOKUP($A308,'3121% SY'!$C$3:$M$324,11,FALSE),3),0)+IFERROR(VLOOKUP($A308,S275_09,5,FALSE),0)</f>
        <v>0</v>
      </c>
      <c r="AH308" s="165">
        <f t="shared" si="58"/>
        <v>15.991999999999999</v>
      </c>
      <c r="AI308" s="161">
        <f>IFERROR(VLOOKUP(A308,'Supp Staff Data'!A:ER,148,FALSE),0)+AB308</f>
        <v>0</v>
      </c>
      <c r="AJ308" s="174">
        <v>0</v>
      </c>
      <c r="AK308" s="25">
        <f>VLOOKUP(A308,'Enroll Data as of January 2025'!$A$3:$T$323,20,FALSE)-F308</f>
        <v>0</v>
      </c>
    </row>
    <row r="309" spans="1:37" x14ac:dyDescent="0.25">
      <c r="A309" s="171" t="s">
        <v>39</v>
      </c>
      <c r="B309" t="s">
        <v>335</v>
      </c>
      <c r="C309" s="173" t="s">
        <v>1077</v>
      </c>
      <c r="D309" s="259">
        <f t="shared" si="50"/>
        <v>54.298999999999999</v>
      </c>
      <c r="E309" s="259">
        <f t="shared" si="51"/>
        <v>95.628</v>
      </c>
      <c r="F309" s="262">
        <f t="shared" si="59"/>
        <v>41.329000000000001</v>
      </c>
      <c r="G309" s="161">
        <f>ROUND(IF(F309&lt;0,F309*'2024-25 PSES Compliance'!$G$13,0),3)</f>
        <v>0</v>
      </c>
      <c r="H309" s="161">
        <f>ROUND(IF(F309&lt;0,F309*'2024-25 PSES Compliance'!$G$14,0),3)</f>
        <v>0</v>
      </c>
      <c r="I309" s="174">
        <f t="shared" si="53"/>
        <v>0.4332308528882754</v>
      </c>
      <c r="J309" s="174">
        <f t="shared" si="54"/>
        <v>0</v>
      </c>
      <c r="K309" s="161">
        <f>VLOOKUP($A309,'Enroll Data as of January 2025'!$A$3:$M$322,6,FALSE)</f>
        <v>30.225999999999999</v>
      </c>
      <c r="L309" s="161">
        <f>VLOOKUP($A309,'Enroll Data as of January 2025'!$A$3:$M$322,7,FALSE)</f>
        <v>5.1220000000000008</v>
      </c>
      <c r="M309" s="161">
        <f>VLOOKUP($A309,'Enroll Data as of January 2025'!$A$3:$M$322,8,FALSE)</f>
        <v>1.7160000000000002</v>
      </c>
      <c r="N309" s="161">
        <f>VLOOKUP($A309,'Enroll Data as of January 2025'!$A$3:$M$322,9,FALSE)</f>
        <v>14.161</v>
      </c>
      <c r="O309" s="165">
        <f t="shared" si="55"/>
        <v>51.225000000000001</v>
      </c>
      <c r="P309" s="161">
        <f>VLOOKUP($A309,'Enroll Data as of January 2025'!$A$3:$M$322,11,FALSE)</f>
        <v>1.911</v>
      </c>
      <c r="Q309" s="161">
        <f>VLOOKUP($A309,'Enroll Data as of January 2025'!$A$3:$M$322,12,FALSE)</f>
        <v>1.163</v>
      </c>
      <c r="R309" s="165">
        <f t="shared" si="56"/>
        <v>3.0739999999999998</v>
      </c>
      <c r="S309" s="267">
        <f>IFERROR(VLOOKUP($A309,Supp_39,14,FALSE),0)+IFERROR(SUMPRODUCT(VLOOKUP($A309,S275_01,{14,15,16},FALSE)),0)+IFERROR(SUMPRODUCT(VLOOKUP($A309,S275_97,{14,15,16},FALSE)),0)+IFERROR(ROUND(VLOOKUP($A309,S275_21,14,FALSE)*VLOOKUP($A309,'3121% SY'!$C$3:$M$324,11,FALSE),3),0)+IFERROR(ROUND(VLOOKUP($A309,S275_21,15,FALSE)*VLOOKUP($A309,'3121% SY'!$C$3:$M$324,11,FALSE),3),0)+IFERROR(ROUND(VLOOKUP($A309,S275_21,16,FALSE)*VLOOKUP($A309,'3121% SY'!$C$3:$M$324,11,FALSE),3),0)+IFERROR(VLOOKUP($A309,S275_09,6,FALSE),0)</f>
        <v>21.5</v>
      </c>
      <c r="T309" s="267">
        <f>IFERROR(VLOOKUP($A309,Supp_42,14,FALSE),0)+IFERROR(SUMPRODUCT(VLOOKUP($A309,S275_01,{17,18,19},FALSE)),0)+IFERROR(SUMPRODUCT(VLOOKUP($A309,S275_97,{17,18,19},FALSE)),0)+IFERROR(ROUND(VLOOKUP($A309,S275_21,17,FALSE)*VLOOKUP($A309,'3121% SY'!$C$3:$M$324,11,FALSE),3),0)+IFERROR(ROUND(VLOOKUP($A309,S275_21,18,FALSE)*VLOOKUP($A309,'3121% SY'!$C$3:$M$324,11,FALSE),3),0)+IFERROR(ROUND(VLOOKUP($A309,S275_21,19,FALSE)*VLOOKUP($A309,'3121% SY'!$C$3:$M$324,11,FALSE),3),0)+IFERROR(VLOOKUP($A309,S275_09,7,FALSE),0)</f>
        <v>3.5</v>
      </c>
      <c r="U309" s="267">
        <f>IFERROR(VLOOKUP($A309,Supp_43,14,FALSE),0)+IFERROR(SUMPRODUCT(VLOOKUP($A309,S275_01,{20,21,22},FALSE)),0)+IFERROR(SUMPRODUCT(VLOOKUP($A309,S275_97,{20,21,22},FALSE)),0)+IFERROR(ROUND(VLOOKUP($A309,S275_21,20,FALSE)*VLOOKUP($A309,'3121% SY'!$C$3:$M$324,11,FALSE),3),0)+IFERROR(ROUND(VLOOKUP($A309,S275_21,21,FALSE)*VLOOKUP($A309,'3121% SY'!$C$3:$M$324,11,FALSE),3),0)+IFERROR(ROUND(VLOOKUP($A309,S275_21,22,FALSE)*VLOOKUP($A309,'3121% SY'!$C$3:$M$324,11,FALSE),3),0)+IFERROR(VLOOKUP($A309,S275_09,8,FALSE),0)</f>
        <v>1.53</v>
      </c>
      <c r="V309" s="267">
        <f>IFERROR(VLOOKUP($A309,Supp_44,14,FALSE),0)+IFERROR(SUMPRODUCT(VLOOKUP($A309,S275_01,{23,24,25},FALSE)),0)+IFERROR(SUMPRODUCT(VLOOKUP($A309,S275_97,{23,24,25},FALSE)),0)+IFERROR(ROUND(VLOOKUP($A309,S275_21,23,FALSE)*VLOOKUP($A309,'3121% SY'!$C$3:$M$324,11,FALSE),3),0)+IFERROR(ROUND(VLOOKUP($A309,S275_21,24,FALSE)*VLOOKUP($A309,'3121% SY'!$C$3:$M$324,11,FALSE),3),0)+IFERROR(ROUND(VLOOKUP($A309,S275_21,25,FALSE)*VLOOKUP($A309,'3121% SY'!$C$3:$M$324,11,FALSE),3),0)+IFERROR(VLOOKUP($A309,S275_09,9,FALSE),0)</f>
        <v>0</v>
      </c>
      <c r="W309" s="267">
        <f>IFERROR(VLOOKUP($A309,Supp_45,14,FALSE),0)+IFERROR(SUMPRODUCT(VLOOKUP($A309,S275_01,{26,27,28},FALSE)),0)+IFERROR(SUMPRODUCT(VLOOKUP($A309,S275_97,{26,27,28},FALSE)),0)+IFERROR(ROUND(VLOOKUP($A309,S275_21,26,FALSE)*VLOOKUP($A309,'3121% SY'!$C$3:$M$324,11,FALSE),3),0)+IFERROR(ROUND(VLOOKUP($A309,S275_21,27,FALSE)*VLOOKUP($A309,'3121% SY'!$C$3:$M$324,11,FALSE),3),0)+IFERROR(ROUND(VLOOKUP($A309,S275_21,28,FALSE)*VLOOKUP($A309,'3121% SY'!$C$3:$M$324,11,FALSE),3),0)+IFERROR(VLOOKUP($A309,S275_09,10,FALSE),0)</f>
        <v>5.7929999999999993</v>
      </c>
      <c r="X309" s="267">
        <f>IFERROR(VLOOKUP($A309,Supp_46,14,FALSE),0)+IFERROR(SUMPRODUCT(VLOOKUP($A309,S275_01,{29,30,31},FALSE)),0)+IFERROR(SUMPRODUCT(VLOOKUP($A309,S275_97,{29,30,31},FALSE)),0)+IFERROR(ROUND(VLOOKUP($A309,S275_21,29,FALSE)*VLOOKUP($A309,'3121% SY'!$C$3:$M$324,11,FALSE),3),0)+IFERROR(ROUND(VLOOKUP($A309,S275_21,30,FALSE)*VLOOKUP($A309,'3121% SY'!$C$3:$M$324,11,FALSE),3),0)+IFERROR(ROUND(VLOOKUP($A309,S275_21,31,FALSE)*VLOOKUP($A309,'3121% SY'!$C$3:$M$324,11,FALSE),3),0)+IFERROR(VLOOKUP($A309,S275_09,11,FALSE),0)</f>
        <v>7.0910000000000002</v>
      </c>
      <c r="Y309" s="267">
        <f>IFERROR(VLOOKUP($A309,Supp_47,14,FALSE),0)+IFERROR(SUMPRODUCT(VLOOKUP($A309,S275_01,{32,33,34},FALSE)),0)+IFERROR(SUMPRODUCT(VLOOKUP($A309,S275_97,{32,33,34},FALSE)),0)+IFERROR(ROUND(VLOOKUP($A309,S275_21,32,FALSE)*VLOOKUP($A309,'3121% SY'!$C$3:$M$324,11,FALSE),3),0)+IFERROR(ROUND(VLOOKUP($A309,S275_21,33,FALSE)*VLOOKUP($A309,'3121% SY'!$C$3:$M$324,11,FALSE),3),0)+IFERROR(ROUND(VLOOKUP($A309,S275_21,34,FALSE)*VLOOKUP($A309,'3121% SY'!$C$3:$M$324,11,FALSE),3),0)+IFERROR(VLOOKUP($A309,S275_09,12,FALSE),0)</f>
        <v>1.7929999999999999</v>
      </c>
      <c r="Z309" s="267">
        <f>IFERROR(VLOOKUP($A309,Supp_48,14,FALSE),0)+IFERROR(SUMPRODUCT(VLOOKUP($A309,S275_01,{35,36,37},FALSE)),0)+IFERROR(SUMPRODUCT(VLOOKUP($A309,S275_97,{35,36,37},FALSE)),0)+IFERROR(ROUND(VLOOKUP($A309,S275_21,35,FALSE)*VLOOKUP($A309,'3121% SY'!$C$3:$M$324,11,FALSE),3),0)+IFERROR(ROUND(VLOOKUP($A309,S275_21,36,FALSE)*VLOOKUP($A309,'3121% SY'!$C$3:$M$324,11,FALSE),3),0)+IFERROR(ROUND(VLOOKUP($A309,S275_21,37,FALSE)*VLOOKUP($A309,'3121% SY'!$C$3:$M$324,11,FALSE),3),0)+IFERROR(VLOOKUP($A309,S275_09,13,FALSE),0)</f>
        <v>0.222</v>
      </c>
      <c r="AA309" s="267">
        <f>IFERROR(VLOOKUP($A309,Supp_49,14,FALSE),0)+IFERROR(SUMPRODUCT(VLOOKUP($A309,S275_01,{38,39,40},FALSE)),0)+IFERROR(SUMPRODUCT(VLOOKUP($A309,S275_97,{38,39,40},FALSE)),0)+IFERROR(ROUND(VLOOKUP($A309,S275_21,38,FALSE)*VLOOKUP($A309,'3121% SY'!$C$3:$M$324,11,FALSE),3),0)+IFERROR(ROUND(VLOOKUP($A309,S275_21,39,FALSE)*VLOOKUP($A309,'3121% SY'!$C$3:$M$324,11,FALSE),3),0)+IFERROR(ROUND(VLOOKUP($A309,S275_21,40,FALSE)*VLOOKUP($A309,'3121% SY'!$C$3:$M$324,11,FALSE),3),0)+IFERROR(VLOOKUP($A309,S275_09,14,FALSE),0)</f>
        <v>0</v>
      </c>
      <c r="AB309" s="267">
        <f>IFERROR(VLOOKUP($A309,Supp_64,14,FALSE),0)+IFERROR(SUMPRODUCT(VLOOKUP($A309,S275_01,{41,42,43},FALSE)),0)+IFERROR(SUMPRODUCT(VLOOKUP($A309,S275_97,{41,42,43},FALSE)),0)+IFERROR(ROUND(VLOOKUP($A309,S275_21,41,FALSE)*VLOOKUP($A309,'3121% SY'!$C$3:$M$324,11,FALSE),3),0)+IFERROR(ROUND(VLOOKUP($A309,S275_21,42,FALSE)*VLOOKUP($A309,'3121% SY'!$C$3:$M$324,11,FALSE),3),0)+IFERROR(ROUND(VLOOKUP($A309,S275_21,43,FALSE)*VLOOKUP($A309,'3121% SY'!$C$3:$M$324,11,FALSE),3),0)+IFERROR(VLOOKUP($A309,S275_09,15,FALSE),0)</f>
        <v>0</v>
      </c>
      <c r="AC309" s="268">
        <f t="shared" si="57"/>
        <v>41.429000000000002</v>
      </c>
      <c r="AD309" s="267">
        <f>IFERROR(VLOOKUP($A309,Supp_24,14,FALSE),0)+IFERROR(SUMPRODUCT(VLOOKUP($A309,S275_01,{2,3,4},FALSE)),0)+IFERROR(SUMPRODUCT(VLOOKUP($A309,S275_97,{2,3,4},FALSE)),0)+IFERROR(ROUND(VLOOKUP($A309,S275_21,2,FALSE)*VLOOKUP($A309,'3121% SY'!$C$3:$M$324,11,FALSE),3),0)+IFERROR(ROUND(VLOOKUP($A309,S275_21,3,FALSE)*VLOOKUP($A309,'3121% SY'!$C$3:$M$324,11,FALSE),3),0)+IFERROR(ROUND(VLOOKUP($A309,S275_21,4,FALSE)*VLOOKUP($A309,'3121% SY'!$C$3:$M$324,11,FALSE),3),0)+IFERROR(VLOOKUP($A309,S275_09,2,FALSE),0)</f>
        <v>3.9119999999999999</v>
      </c>
      <c r="AE309" s="267">
        <f>IFERROR(VLOOKUP($A309,Supp_25,14,FALSE),0)+IFERROR(SUMPRODUCT(VLOOKUP($A309,S275_01,{5,6,7},FALSE)),0)+IFERROR(SUMPRODUCT(VLOOKUP($A309,S275_97,{5,6,7},FALSE)),0)+IFERROR(ROUND(VLOOKUP($A309,S275_21,5,FALSE)*VLOOKUP($A309,'3121% SY'!$C$3:$M$324,11,FALSE),3),0)+IFERROR(ROUND(VLOOKUP($A309,S275_21,6,FALSE)*VLOOKUP($A309,'3121% SY'!$C$3:$M$324,11,FALSE),3),0)+IFERROR(ROUND(VLOOKUP($A309,S275_21,7,FALSE)*VLOOKUP($A309,'3121% SY'!$C$3:$M$324,11,FALSE),3),0)+IFERROR(VLOOKUP($A309,S275_09,3,FALSE),0)</f>
        <v>29.358999999999998</v>
      </c>
      <c r="AF309" s="267">
        <f>IFERROR(VLOOKUP($A309,Supp_26,14,FALSE),0)+IFERROR(SUMPRODUCT(VLOOKUP($A309,S275_01,{8,9,10},FALSE)),0)+IFERROR(SUMPRODUCT(VLOOKUP($A309,S275_97,{8,9,10},FALSE)),0)+IFERROR(ROUND(VLOOKUP($A309,S275_21,8,FALSE)*VLOOKUP($A309,'3121% SY'!$C$3:$M$324,11,FALSE),3),0)+IFERROR(ROUND(VLOOKUP($A309,S275_21,9,FALSE)*VLOOKUP($A309,'3121% SY'!$C$3:$M$324,11,FALSE),3),0)+IFERROR(ROUND(VLOOKUP($A309,S275_21,10,FALSE)*VLOOKUP($A309,'3121% SY'!$C$3:$M$324,11,FALSE),3),0)+IFERROR(VLOOKUP($A309,S275_09,4,FALSE),0)</f>
        <v>9.4299999999999979</v>
      </c>
      <c r="AG309" s="267">
        <f>IFERROR(VLOOKUP($A309,Supp_35,14,FALSE),0)+IFERROR(SUMPRODUCT(VLOOKUP($A309,S275_01,{11,12,13},FALSE)),0)+IFERROR(SUMPRODUCT(VLOOKUP($A309,S275_97,{11,12,13},FALSE)),0)+IFERROR(ROUND(VLOOKUP($A309,S275_21,11,FALSE)*VLOOKUP($A309,'3121% SY'!$C$3:$M$324,11,FALSE),3),0)+IFERROR(ROUND(VLOOKUP($A309,S275_21,12,FALSE)*VLOOKUP($A309,'3121% SY'!$C$3:$M$324,11,FALSE),3),0)+IFERROR(ROUND(VLOOKUP($A309,S275_21,13,FALSE)*VLOOKUP($A309,'3121% SY'!$C$3:$M$324,11,FALSE),3),0)+IFERROR(VLOOKUP($A309,S275_09,5,FALSE),0)</f>
        <v>11.497999999999999</v>
      </c>
      <c r="AH309" s="165">
        <f t="shared" si="58"/>
        <v>54.198999999999998</v>
      </c>
      <c r="AI309" s="161">
        <f>IFERROR(VLOOKUP(A309,'Supp Staff Data'!A:ER,148,FALSE),0)+AB309</f>
        <v>0</v>
      </c>
      <c r="AJ309" s="174">
        <v>1</v>
      </c>
      <c r="AK309" s="25">
        <f>VLOOKUP(A309,'Enroll Data as of January 2025'!$A$3:$T$323,20,FALSE)-F309</f>
        <v>0</v>
      </c>
    </row>
    <row r="310" spans="1:37" x14ac:dyDescent="0.25">
      <c r="A310" s="171" t="s">
        <v>194</v>
      </c>
      <c r="B310" t="s">
        <v>489</v>
      </c>
      <c r="C310" s="173" t="s">
        <v>1077</v>
      </c>
      <c r="D310" s="259">
        <f t="shared" si="50"/>
        <v>101.96899999999999</v>
      </c>
      <c r="E310" s="259">
        <f t="shared" si="51"/>
        <v>147.904</v>
      </c>
      <c r="F310" s="262">
        <f t="shared" si="59"/>
        <v>45.935000000000002</v>
      </c>
      <c r="G310" s="161">
        <f>ROUND(IF(F310&lt;0,F310*'2024-25 PSES Compliance'!$G$13,0),3)</f>
        <v>0</v>
      </c>
      <c r="H310" s="161">
        <f>ROUND(IF(F310&lt;0,F310*'2024-25 PSES Compliance'!$G$14,0),3)</f>
        <v>0</v>
      </c>
      <c r="I310" s="174">
        <f t="shared" si="53"/>
        <v>0.53359463773799221</v>
      </c>
      <c r="J310" s="174">
        <f t="shared" si="54"/>
        <v>7.0275313717005627E-2</v>
      </c>
      <c r="K310" s="161">
        <f>VLOOKUP($A310,'Enroll Data as of January 2025'!$A$3:$M$322,6,FALSE)</f>
        <v>56.670999999999992</v>
      </c>
      <c r="L310" s="161">
        <f>VLOOKUP($A310,'Enroll Data as of January 2025'!$A$3:$M$322,7,FALSE)</f>
        <v>9.7320000000000011</v>
      </c>
      <c r="M310" s="161">
        <f>VLOOKUP($A310,'Enroll Data as of January 2025'!$A$3:$M$322,8,FALSE)</f>
        <v>3.2610000000000001</v>
      </c>
      <c r="N310" s="161">
        <f>VLOOKUP($A310,'Enroll Data as of January 2025'!$A$3:$M$322,9,FALSE)</f>
        <v>26.488</v>
      </c>
      <c r="O310" s="165">
        <f t="shared" si="55"/>
        <v>96.151999999999987</v>
      </c>
      <c r="P310" s="161">
        <f>VLOOKUP($A310,'Enroll Data as of January 2025'!$A$3:$M$322,11,FALSE)</f>
        <v>3.5939999999999999</v>
      </c>
      <c r="Q310" s="161">
        <f>VLOOKUP($A310,'Enroll Data as of January 2025'!$A$3:$M$322,12,FALSE)</f>
        <v>2.2229999999999999</v>
      </c>
      <c r="R310" s="165">
        <f t="shared" si="56"/>
        <v>5.8170000000000002</v>
      </c>
      <c r="S310" s="267">
        <f>IFERROR(VLOOKUP($A310,Supp_39,14,FALSE),0)+IFERROR(SUMPRODUCT(VLOOKUP($A310,S275_01,{14,15,16},FALSE)),0)+IFERROR(SUMPRODUCT(VLOOKUP($A310,S275_97,{14,15,16},FALSE)),0)+IFERROR(ROUND(VLOOKUP($A310,S275_21,14,FALSE)*VLOOKUP($A310,'3121% SY'!$C$3:$M$324,11,FALSE),3),0)+IFERROR(ROUND(VLOOKUP($A310,S275_21,15,FALSE)*VLOOKUP($A310,'3121% SY'!$C$3:$M$324,11,FALSE),3),0)+IFERROR(ROUND(VLOOKUP($A310,S275_21,16,FALSE)*VLOOKUP($A310,'3121% SY'!$C$3:$M$324,11,FALSE),3),0)+IFERROR(VLOOKUP($A310,S275_09,6,FALSE),0)</f>
        <v>27.161999999999999</v>
      </c>
      <c r="T310" s="267">
        <f>IFERROR(VLOOKUP($A310,Supp_42,14,FALSE),0)+IFERROR(SUMPRODUCT(VLOOKUP($A310,S275_01,{17,18,19},FALSE)),0)+IFERROR(SUMPRODUCT(VLOOKUP($A310,S275_97,{17,18,19},FALSE)),0)+IFERROR(ROUND(VLOOKUP($A310,S275_21,17,FALSE)*VLOOKUP($A310,'3121% SY'!$C$3:$M$324,11,FALSE),3),0)+IFERROR(ROUND(VLOOKUP($A310,S275_21,18,FALSE)*VLOOKUP($A310,'3121% SY'!$C$3:$M$324,11,FALSE),3),0)+IFERROR(ROUND(VLOOKUP($A310,S275_21,19,FALSE)*VLOOKUP($A310,'3121% SY'!$C$3:$M$324,11,FALSE),3),0)+IFERROR(VLOOKUP($A310,S275_09,7,FALSE),0)</f>
        <v>6.9550000000000001</v>
      </c>
      <c r="U310" s="267">
        <f>IFERROR(VLOOKUP($A310,Supp_43,14,FALSE),0)+IFERROR(SUMPRODUCT(VLOOKUP($A310,S275_01,{20,21,22},FALSE)),0)+IFERROR(SUMPRODUCT(VLOOKUP($A310,S275_97,{20,21,22},FALSE)),0)+IFERROR(ROUND(VLOOKUP($A310,S275_21,20,FALSE)*VLOOKUP($A310,'3121% SY'!$C$3:$M$324,11,FALSE),3),0)+IFERROR(ROUND(VLOOKUP($A310,S275_21,21,FALSE)*VLOOKUP($A310,'3121% SY'!$C$3:$M$324,11,FALSE),3),0)+IFERROR(ROUND(VLOOKUP($A310,S275_21,22,FALSE)*VLOOKUP($A310,'3121% SY'!$C$3:$M$324,11,FALSE),3),0)+IFERROR(VLOOKUP($A310,S275_09,8,FALSE),0)</f>
        <v>14.872999999999999</v>
      </c>
      <c r="V310" s="267">
        <f>IFERROR(VLOOKUP($A310,Supp_44,14,FALSE),0)+IFERROR(SUMPRODUCT(VLOOKUP($A310,S275_01,{23,24,25},FALSE)),0)+IFERROR(SUMPRODUCT(VLOOKUP($A310,S275_97,{23,24,25},FALSE)),0)+IFERROR(ROUND(VLOOKUP($A310,S275_21,23,FALSE)*VLOOKUP($A310,'3121% SY'!$C$3:$M$324,11,FALSE),3),0)+IFERROR(ROUND(VLOOKUP($A310,S275_21,24,FALSE)*VLOOKUP($A310,'3121% SY'!$C$3:$M$324,11,FALSE),3),0)+IFERROR(ROUND(VLOOKUP($A310,S275_21,25,FALSE)*VLOOKUP($A310,'3121% SY'!$C$3:$M$324,11,FALSE),3),0)+IFERROR(VLOOKUP($A310,S275_09,9,FALSE),0)</f>
        <v>2.4820000000000002</v>
      </c>
      <c r="W310" s="267">
        <f>IFERROR(VLOOKUP($A310,Supp_45,14,FALSE),0)+IFERROR(SUMPRODUCT(VLOOKUP($A310,S275_01,{26,27,28},FALSE)),0)+IFERROR(SUMPRODUCT(VLOOKUP($A310,S275_97,{26,27,28},FALSE)),0)+IFERROR(ROUND(VLOOKUP($A310,S275_21,26,FALSE)*VLOOKUP($A310,'3121% SY'!$C$3:$M$324,11,FALSE),3),0)+IFERROR(ROUND(VLOOKUP($A310,S275_21,27,FALSE)*VLOOKUP($A310,'3121% SY'!$C$3:$M$324,11,FALSE),3),0)+IFERROR(ROUND(VLOOKUP($A310,S275_21,28,FALSE)*VLOOKUP($A310,'3121% SY'!$C$3:$M$324,11,FALSE),3),0)+IFERROR(VLOOKUP($A310,S275_09,10,FALSE),0)</f>
        <v>2.4079999999999999</v>
      </c>
      <c r="X310" s="267">
        <f>IFERROR(VLOOKUP($A310,Supp_46,14,FALSE),0)+IFERROR(SUMPRODUCT(VLOOKUP($A310,S275_01,{29,30,31},FALSE)),0)+IFERROR(SUMPRODUCT(VLOOKUP($A310,S275_97,{29,30,31},FALSE)),0)+IFERROR(ROUND(VLOOKUP($A310,S275_21,29,FALSE)*VLOOKUP($A310,'3121% SY'!$C$3:$M$324,11,FALSE),3),0)+IFERROR(ROUND(VLOOKUP($A310,S275_21,30,FALSE)*VLOOKUP($A310,'3121% SY'!$C$3:$M$324,11,FALSE),3),0)+IFERROR(ROUND(VLOOKUP($A310,S275_21,31,FALSE)*VLOOKUP($A310,'3121% SY'!$C$3:$M$324,11,FALSE),3),0)+IFERROR(VLOOKUP($A310,S275_09,11,FALSE),0)</f>
        <v>17.624000000000002</v>
      </c>
      <c r="Y310" s="267">
        <f>IFERROR(VLOOKUP($A310,Supp_47,14,FALSE),0)+IFERROR(SUMPRODUCT(VLOOKUP($A310,S275_01,{32,33,34},FALSE)),0)+IFERROR(SUMPRODUCT(VLOOKUP($A310,S275_97,{32,33,34},FALSE)),0)+IFERROR(ROUND(VLOOKUP($A310,S275_21,32,FALSE)*VLOOKUP($A310,'3121% SY'!$C$3:$M$324,11,FALSE),3),0)+IFERROR(ROUND(VLOOKUP($A310,S275_21,33,FALSE)*VLOOKUP($A310,'3121% SY'!$C$3:$M$324,11,FALSE),3),0)+IFERROR(ROUND(VLOOKUP($A310,S275_21,34,FALSE)*VLOOKUP($A310,'3121% SY'!$C$3:$M$324,11,FALSE),3),0)+IFERROR(VLOOKUP($A310,S275_09,12,FALSE),0)</f>
        <v>1.712</v>
      </c>
      <c r="Z310" s="267">
        <f>IFERROR(VLOOKUP($A310,Supp_48,14,FALSE),0)+IFERROR(SUMPRODUCT(VLOOKUP($A310,S275_01,{35,36,37},FALSE)),0)+IFERROR(SUMPRODUCT(VLOOKUP($A310,S275_97,{35,36,37},FALSE)),0)+IFERROR(ROUND(VLOOKUP($A310,S275_21,35,FALSE)*VLOOKUP($A310,'3121% SY'!$C$3:$M$324,11,FALSE),3),0)+IFERROR(ROUND(VLOOKUP($A310,S275_21,36,FALSE)*VLOOKUP($A310,'3121% SY'!$C$3:$M$324,11,FALSE),3),0)+IFERROR(ROUND(VLOOKUP($A310,S275_21,37,FALSE)*VLOOKUP($A310,'3121% SY'!$C$3:$M$324,11,FALSE),3),0)+IFERROR(VLOOKUP($A310,S275_09,13,FALSE),0)</f>
        <v>0.95100000000000007</v>
      </c>
      <c r="AA310" s="267">
        <f>IFERROR(VLOOKUP($A310,Supp_49,14,FALSE),0)+IFERROR(SUMPRODUCT(VLOOKUP($A310,S275_01,{38,39,40},FALSE)),0)+IFERROR(SUMPRODUCT(VLOOKUP($A310,S275_97,{38,39,40},FALSE)),0)+IFERROR(ROUND(VLOOKUP($A310,S275_21,38,FALSE)*VLOOKUP($A310,'3121% SY'!$C$3:$M$324,11,FALSE),3),0)+IFERROR(ROUND(VLOOKUP($A310,S275_21,39,FALSE)*VLOOKUP($A310,'3121% SY'!$C$3:$M$324,11,FALSE),3),0)+IFERROR(ROUND(VLOOKUP($A310,S275_21,40,FALSE)*VLOOKUP($A310,'3121% SY'!$C$3:$M$324,11,FALSE),3),0)+IFERROR(VLOOKUP($A310,S275_09,14,FALSE),0)</f>
        <v>0</v>
      </c>
      <c r="AB310" s="267">
        <f>IFERROR(VLOOKUP($A310,Supp_64,14,FALSE),0)+IFERROR(SUMPRODUCT(VLOOKUP($A310,S275_01,{41,42,43},FALSE)),0)+IFERROR(SUMPRODUCT(VLOOKUP($A310,S275_97,{41,42,43},FALSE)),0)+IFERROR(ROUND(VLOOKUP($A310,S275_21,41,FALSE)*VLOOKUP($A310,'3121% SY'!$C$3:$M$324,11,FALSE),3),0)+IFERROR(ROUND(VLOOKUP($A310,S275_21,42,FALSE)*VLOOKUP($A310,'3121% SY'!$C$3:$M$324,11,FALSE),3),0)+IFERROR(ROUND(VLOOKUP($A310,S275_21,43,FALSE)*VLOOKUP($A310,'3121% SY'!$C$3:$M$324,11,FALSE),3),0)+IFERROR(VLOOKUP($A310,S275_09,15,FALSE),0)</f>
        <v>10.394</v>
      </c>
      <c r="AC310" s="268">
        <f t="shared" si="57"/>
        <v>84.560999999999993</v>
      </c>
      <c r="AD310" s="267">
        <f>IFERROR(VLOOKUP($A310,Supp_24,14,FALSE),0)+IFERROR(SUMPRODUCT(VLOOKUP($A310,S275_01,{2,3,4},FALSE)),0)+IFERROR(SUMPRODUCT(VLOOKUP($A310,S275_97,{2,3,4},FALSE)),0)+IFERROR(ROUND(VLOOKUP($A310,S275_21,2,FALSE)*VLOOKUP($A310,'3121% SY'!$C$3:$M$324,11,FALSE),3),0)+IFERROR(ROUND(VLOOKUP($A310,S275_21,3,FALSE)*VLOOKUP($A310,'3121% SY'!$C$3:$M$324,11,FALSE),3),0)+IFERROR(ROUND(VLOOKUP($A310,S275_21,4,FALSE)*VLOOKUP($A310,'3121% SY'!$C$3:$M$324,11,FALSE),3),0)+IFERROR(VLOOKUP($A310,S275_09,2,FALSE),0)</f>
        <v>0.317</v>
      </c>
      <c r="AE310" s="267">
        <f>IFERROR(VLOOKUP($A310,Supp_25,14,FALSE),0)+IFERROR(SUMPRODUCT(VLOOKUP($A310,S275_01,{5,6,7},FALSE)),0)+IFERROR(SUMPRODUCT(VLOOKUP($A310,S275_97,{5,6,7},FALSE)),0)+IFERROR(ROUND(VLOOKUP($A310,S275_21,5,FALSE)*VLOOKUP($A310,'3121% SY'!$C$3:$M$324,11,FALSE),3),0)+IFERROR(ROUND(VLOOKUP($A310,S275_21,6,FALSE)*VLOOKUP($A310,'3121% SY'!$C$3:$M$324,11,FALSE),3),0)+IFERROR(ROUND(VLOOKUP($A310,S275_21,7,FALSE)*VLOOKUP($A310,'3121% SY'!$C$3:$M$324,11,FALSE),3),0)+IFERROR(VLOOKUP($A310,S275_09,3,FALSE),0)</f>
        <v>27.305</v>
      </c>
      <c r="AF310" s="267">
        <f>IFERROR(VLOOKUP($A310,Supp_26,14,FALSE),0)+IFERROR(SUMPRODUCT(VLOOKUP($A310,S275_01,{8,9,10},FALSE)),0)+IFERROR(SUMPRODUCT(VLOOKUP($A310,S275_97,{8,9,10},FALSE)),0)+IFERROR(ROUND(VLOOKUP($A310,S275_21,8,FALSE)*VLOOKUP($A310,'3121% SY'!$C$3:$M$324,11,FALSE),3),0)+IFERROR(ROUND(VLOOKUP($A310,S275_21,9,FALSE)*VLOOKUP($A310,'3121% SY'!$C$3:$M$324,11,FALSE),3),0)+IFERROR(ROUND(VLOOKUP($A310,S275_21,10,FALSE)*VLOOKUP($A310,'3121% SY'!$C$3:$M$324,11,FALSE),3),0)+IFERROR(VLOOKUP($A310,S275_09,4,FALSE),0)</f>
        <v>23.559000000000001</v>
      </c>
      <c r="AG310" s="267">
        <f>IFERROR(VLOOKUP($A310,Supp_35,14,FALSE),0)+IFERROR(SUMPRODUCT(VLOOKUP($A310,S275_01,{11,12,13},FALSE)),0)+IFERROR(SUMPRODUCT(VLOOKUP($A310,S275_97,{11,12,13},FALSE)),0)+IFERROR(ROUND(VLOOKUP($A310,S275_21,11,FALSE)*VLOOKUP($A310,'3121% SY'!$C$3:$M$324,11,FALSE),3),0)+IFERROR(ROUND(VLOOKUP($A310,S275_21,12,FALSE)*VLOOKUP($A310,'3121% SY'!$C$3:$M$324,11,FALSE),3),0)+IFERROR(ROUND(VLOOKUP($A310,S275_21,13,FALSE)*VLOOKUP($A310,'3121% SY'!$C$3:$M$324,11,FALSE),3),0)+IFERROR(VLOOKUP($A310,S275_09,5,FALSE),0)</f>
        <v>12.162000000000001</v>
      </c>
      <c r="AH310" s="165">
        <f t="shared" si="58"/>
        <v>63.342999999999996</v>
      </c>
      <c r="AI310" s="161">
        <f>IFERROR(VLOOKUP(A310,'Supp Staff Data'!A:ER,148,FALSE),0)+AB310</f>
        <v>10.394</v>
      </c>
      <c r="AJ310" s="174">
        <v>0.93330000000000002</v>
      </c>
      <c r="AK310" s="25">
        <f>VLOOKUP(A310,'Enroll Data as of January 2025'!$A$3:$T$323,20,FALSE)-F310</f>
        <v>0</v>
      </c>
    </row>
    <row r="311" spans="1:37" x14ac:dyDescent="0.25">
      <c r="A311" s="171" t="s">
        <v>232</v>
      </c>
      <c r="B311" t="s">
        <v>528</v>
      </c>
      <c r="C311" s="173" t="s">
        <v>1077</v>
      </c>
      <c r="D311" s="259">
        <f t="shared" si="50"/>
        <v>75.114000000000004</v>
      </c>
      <c r="E311" s="259">
        <f t="shared" si="51"/>
        <v>117.87100000000001</v>
      </c>
      <c r="F311" s="262">
        <f t="shared" si="59"/>
        <v>42.756999999999998</v>
      </c>
      <c r="G311" s="161">
        <f>ROUND(IF(F311&lt;0,F311*'2024-25 PSES Compliance'!$G$13,0),3)</f>
        <v>0</v>
      </c>
      <c r="H311" s="161">
        <f>ROUND(IF(F311&lt;0,F311*'2024-25 PSES Compliance'!$G$14,0),3)</f>
        <v>0</v>
      </c>
      <c r="I311" s="174">
        <f t="shared" si="53"/>
        <v>0.62117908561054036</v>
      </c>
      <c r="J311" s="174">
        <f t="shared" si="54"/>
        <v>0</v>
      </c>
      <c r="K311" s="161">
        <f>VLOOKUP($A311,'Enroll Data as of January 2025'!$A$3:$M$322,6,FALSE)</f>
        <v>42.747999999999998</v>
      </c>
      <c r="L311" s="161">
        <f>VLOOKUP($A311,'Enroll Data as of January 2025'!$A$3:$M$322,7,FALSE)</f>
        <v>6.8010000000000002</v>
      </c>
      <c r="M311" s="161">
        <f>VLOOKUP($A311,'Enroll Data as of January 2025'!$A$3:$M$322,8,FALSE)</f>
        <v>2.29</v>
      </c>
      <c r="N311" s="161">
        <f>VLOOKUP($A311,'Enroll Data as of January 2025'!$A$3:$M$322,9,FALSE)</f>
        <v>19.122</v>
      </c>
      <c r="O311" s="165">
        <f t="shared" si="55"/>
        <v>70.960999999999999</v>
      </c>
      <c r="P311" s="161">
        <f>VLOOKUP($A311,'Enroll Data as of January 2025'!$A$3:$M$322,11,FALSE)</f>
        <v>2.6379999999999999</v>
      </c>
      <c r="Q311" s="161">
        <f>VLOOKUP($A311,'Enroll Data as of January 2025'!$A$3:$M$322,12,FALSE)</f>
        <v>1.5149999999999999</v>
      </c>
      <c r="R311" s="165">
        <f t="shared" si="56"/>
        <v>4.1529999999999996</v>
      </c>
      <c r="S311" s="267">
        <f>IFERROR(VLOOKUP($A311,Supp_39,14,FALSE),0)+IFERROR(SUMPRODUCT(VLOOKUP($A311,S275_01,{14,15,16},FALSE)),0)+IFERROR(SUMPRODUCT(VLOOKUP($A311,S275_97,{14,15,16},FALSE)),0)+IFERROR(ROUND(VLOOKUP($A311,S275_21,14,FALSE)*VLOOKUP($A311,'3121% SY'!$C$3:$M$324,11,FALSE),3),0)+IFERROR(ROUND(VLOOKUP($A311,S275_21,15,FALSE)*VLOOKUP($A311,'3121% SY'!$C$3:$M$324,11,FALSE),3),0)+IFERROR(ROUND(VLOOKUP($A311,S275_21,16,FALSE)*VLOOKUP($A311,'3121% SY'!$C$3:$M$324,11,FALSE),3),0)+IFERROR(VLOOKUP($A311,S275_09,6,FALSE),0)</f>
        <v>30.933</v>
      </c>
      <c r="T311" s="267">
        <f>IFERROR(VLOOKUP($A311,Supp_42,14,FALSE),0)+IFERROR(SUMPRODUCT(VLOOKUP($A311,S275_01,{17,18,19},FALSE)),0)+IFERROR(SUMPRODUCT(VLOOKUP($A311,S275_97,{17,18,19},FALSE)),0)+IFERROR(ROUND(VLOOKUP($A311,S275_21,17,FALSE)*VLOOKUP($A311,'3121% SY'!$C$3:$M$324,11,FALSE),3),0)+IFERROR(ROUND(VLOOKUP($A311,S275_21,18,FALSE)*VLOOKUP($A311,'3121% SY'!$C$3:$M$324,11,FALSE),3),0)+IFERROR(ROUND(VLOOKUP($A311,S275_21,19,FALSE)*VLOOKUP($A311,'3121% SY'!$C$3:$M$324,11,FALSE),3),0)+IFERROR(VLOOKUP($A311,S275_09,7,FALSE),0)</f>
        <v>5.5939999999999994</v>
      </c>
      <c r="U311" s="267">
        <f>IFERROR(VLOOKUP($A311,Supp_43,14,FALSE),0)+IFERROR(SUMPRODUCT(VLOOKUP($A311,S275_01,{20,21,22},FALSE)),0)+IFERROR(SUMPRODUCT(VLOOKUP($A311,S275_97,{20,21,22},FALSE)),0)+IFERROR(ROUND(VLOOKUP($A311,S275_21,20,FALSE)*VLOOKUP($A311,'3121% SY'!$C$3:$M$324,11,FALSE),3),0)+IFERROR(ROUND(VLOOKUP($A311,S275_21,21,FALSE)*VLOOKUP($A311,'3121% SY'!$C$3:$M$324,11,FALSE),3),0)+IFERROR(ROUND(VLOOKUP($A311,S275_21,22,FALSE)*VLOOKUP($A311,'3121% SY'!$C$3:$M$324,11,FALSE),3),0)+IFERROR(VLOOKUP($A311,S275_09,8,FALSE),0)</f>
        <v>4.399</v>
      </c>
      <c r="V311" s="267">
        <f>IFERROR(VLOOKUP($A311,Supp_44,14,FALSE),0)+IFERROR(SUMPRODUCT(VLOOKUP($A311,S275_01,{23,24,25},FALSE)),0)+IFERROR(SUMPRODUCT(VLOOKUP($A311,S275_97,{23,24,25},FALSE)),0)+IFERROR(ROUND(VLOOKUP($A311,S275_21,23,FALSE)*VLOOKUP($A311,'3121% SY'!$C$3:$M$324,11,FALSE),3),0)+IFERROR(ROUND(VLOOKUP($A311,S275_21,24,FALSE)*VLOOKUP($A311,'3121% SY'!$C$3:$M$324,11,FALSE),3),0)+IFERROR(ROUND(VLOOKUP($A311,S275_21,25,FALSE)*VLOOKUP($A311,'3121% SY'!$C$3:$M$324,11,FALSE),3),0)+IFERROR(VLOOKUP($A311,S275_09,9,FALSE),0)</f>
        <v>0</v>
      </c>
      <c r="W311" s="267">
        <f>IFERROR(VLOOKUP($A311,Supp_45,14,FALSE),0)+IFERROR(SUMPRODUCT(VLOOKUP($A311,S275_01,{26,27,28},FALSE)),0)+IFERROR(SUMPRODUCT(VLOOKUP($A311,S275_97,{26,27,28},FALSE)),0)+IFERROR(ROUND(VLOOKUP($A311,S275_21,26,FALSE)*VLOOKUP($A311,'3121% SY'!$C$3:$M$324,11,FALSE),3),0)+IFERROR(ROUND(VLOOKUP($A311,S275_21,27,FALSE)*VLOOKUP($A311,'3121% SY'!$C$3:$M$324,11,FALSE),3),0)+IFERROR(ROUND(VLOOKUP($A311,S275_21,28,FALSE)*VLOOKUP($A311,'3121% SY'!$C$3:$M$324,11,FALSE),3),0)+IFERROR(VLOOKUP($A311,S275_09,10,FALSE),0)</f>
        <v>8.0990000000000002</v>
      </c>
      <c r="X311" s="267">
        <f>IFERROR(VLOOKUP($A311,Supp_46,14,FALSE),0)+IFERROR(SUMPRODUCT(VLOOKUP($A311,S275_01,{29,30,31},FALSE)),0)+IFERROR(SUMPRODUCT(VLOOKUP($A311,S275_97,{29,30,31},FALSE)),0)+IFERROR(ROUND(VLOOKUP($A311,S275_21,29,FALSE)*VLOOKUP($A311,'3121% SY'!$C$3:$M$324,11,FALSE),3),0)+IFERROR(ROUND(VLOOKUP($A311,S275_21,30,FALSE)*VLOOKUP($A311,'3121% SY'!$C$3:$M$324,11,FALSE),3),0)+IFERROR(ROUND(VLOOKUP($A311,S275_21,31,FALSE)*VLOOKUP($A311,'3121% SY'!$C$3:$M$324,11,FALSE),3),0)+IFERROR(VLOOKUP($A311,S275_09,11,FALSE),0)</f>
        <v>15.715999999999999</v>
      </c>
      <c r="Y311" s="267">
        <f>IFERROR(VLOOKUP($A311,Supp_47,14,FALSE),0)+IFERROR(SUMPRODUCT(VLOOKUP($A311,S275_01,{32,33,34},FALSE)),0)+IFERROR(SUMPRODUCT(VLOOKUP($A311,S275_97,{32,33,34},FALSE)),0)+IFERROR(ROUND(VLOOKUP($A311,S275_21,32,FALSE)*VLOOKUP($A311,'3121% SY'!$C$3:$M$324,11,FALSE),3),0)+IFERROR(ROUND(VLOOKUP($A311,S275_21,33,FALSE)*VLOOKUP($A311,'3121% SY'!$C$3:$M$324,11,FALSE),3),0)+IFERROR(ROUND(VLOOKUP($A311,S275_21,34,FALSE)*VLOOKUP($A311,'3121% SY'!$C$3:$M$324,11,FALSE),3),0)+IFERROR(VLOOKUP($A311,S275_09,12,FALSE),0)</f>
        <v>6.6619999999999999</v>
      </c>
      <c r="Z311" s="267">
        <f>IFERROR(VLOOKUP($A311,Supp_48,14,FALSE),0)+IFERROR(SUMPRODUCT(VLOOKUP($A311,S275_01,{35,36,37},FALSE)),0)+IFERROR(SUMPRODUCT(VLOOKUP($A311,S275_97,{35,36,37},FALSE)),0)+IFERROR(ROUND(VLOOKUP($A311,S275_21,35,FALSE)*VLOOKUP($A311,'3121% SY'!$C$3:$M$324,11,FALSE),3),0)+IFERROR(ROUND(VLOOKUP($A311,S275_21,36,FALSE)*VLOOKUP($A311,'3121% SY'!$C$3:$M$324,11,FALSE),3),0)+IFERROR(ROUND(VLOOKUP($A311,S275_21,37,FALSE)*VLOOKUP($A311,'3121% SY'!$C$3:$M$324,11,FALSE),3),0)+IFERROR(VLOOKUP($A311,S275_09,13,FALSE),0)</f>
        <v>1.8160000000000001</v>
      </c>
      <c r="AA311" s="267">
        <f>IFERROR(VLOOKUP($A311,Supp_49,14,FALSE),0)+IFERROR(SUMPRODUCT(VLOOKUP($A311,S275_01,{38,39,40},FALSE)),0)+IFERROR(SUMPRODUCT(VLOOKUP($A311,S275_97,{38,39,40},FALSE)),0)+IFERROR(ROUND(VLOOKUP($A311,S275_21,38,FALSE)*VLOOKUP($A311,'3121% SY'!$C$3:$M$324,11,FALSE),3),0)+IFERROR(ROUND(VLOOKUP($A311,S275_21,39,FALSE)*VLOOKUP($A311,'3121% SY'!$C$3:$M$324,11,FALSE),3),0)+IFERROR(ROUND(VLOOKUP($A311,S275_21,40,FALSE)*VLOOKUP($A311,'3121% SY'!$C$3:$M$324,11,FALSE),3),0)+IFERROR(VLOOKUP($A311,S275_09,14,FALSE),0)</f>
        <v>0</v>
      </c>
      <c r="AB311" s="267">
        <f>IFERROR(VLOOKUP($A311,Supp_64,14,FALSE),0)+IFERROR(SUMPRODUCT(VLOOKUP($A311,S275_01,{41,42,43},FALSE)),0)+IFERROR(SUMPRODUCT(VLOOKUP($A311,S275_97,{41,42,43},FALSE)),0)+IFERROR(ROUND(VLOOKUP($A311,S275_21,41,FALSE)*VLOOKUP($A311,'3121% SY'!$C$3:$M$324,11,FALSE),3),0)+IFERROR(ROUND(VLOOKUP($A311,S275_21,42,FALSE)*VLOOKUP($A311,'3121% SY'!$C$3:$M$324,11,FALSE),3),0)+IFERROR(ROUND(VLOOKUP($A311,S275_21,43,FALSE)*VLOOKUP($A311,'3121% SY'!$C$3:$M$324,11,FALSE),3),0)+IFERROR(VLOOKUP($A311,S275_09,15,FALSE),0)</f>
        <v>0</v>
      </c>
      <c r="AC311" s="268">
        <f t="shared" si="57"/>
        <v>73.219000000000008</v>
      </c>
      <c r="AD311" s="267">
        <f>IFERROR(VLOOKUP($A311,Supp_24,14,FALSE),0)+IFERROR(SUMPRODUCT(VLOOKUP($A311,S275_01,{2,3,4},FALSE)),0)+IFERROR(SUMPRODUCT(VLOOKUP($A311,S275_97,{2,3,4},FALSE)),0)+IFERROR(ROUND(VLOOKUP($A311,S275_21,2,FALSE)*VLOOKUP($A311,'3121% SY'!$C$3:$M$324,11,FALSE),3),0)+IFERROR(ROUND(VLOOKUP($A311,S275_21,3,FALSE)*VLOOKUP($A311,'3121% SY'!$C$3:$M$324,11,FALSE),3),0)+IFERROR(ROUND(VLOOKUP($A311,S275_21,4,FALSE)*VLOOKUP($A311,'3121% SY'!$C$3:$M$324,11,FALSE),3),0)+IFERROR(VLOOKUP($A311,S275_09,2,FALSE),0)</f>
        <v>0</v>
      </c>
      <c r="AE311" s="267">
        <f>IFERROR(VLOOKUP($A311,Supp_25,14,FALSE),0)+IFERROR(SUMPRODUCT(VLOOKUP($A311,S275_01,{5,6,7},FALSE)),0)+IFERROR(SUMPRODUCT(VLOOKUP($A311,S275_97,{5,6,7},FALSE)),0)+IFERROR(ROUND(VLOOKUP($A311,S275_21,5,FALSE)*VLOOKUP($A311,'3121% SY'!$C$3:$M$324,11,FALSE),3),0)+IFERROR(ROUND(VLOOKUP($A311,S275_21,6,FALSE)*VLOOKUP($A311,'3121% SY'!$C$3:$M$324,11,FALSE),3),0)+IFERROR(ROUND(VLOOKUP($A311,S275_21,7,FALSE)*VLOOKUP($A311,'3121% SY'!$C$3:$M$324,11,FALSE),3),0)+IFERROR(VLOOKUP($A311,S275_09,3,FALSE),0)</f>
        <v>35.451000000000001</v>
      </c>
      <c r="AF311" s="267">
        <f>IFERROR(VLOOKUP($A311,Supp_26,14,FALSE),0)+IFERROR(SUMPRODUCT(VLOOKUP($A311,S275_01,{8,9,10},FALSE)),0)+IFERROR(SUMPRODUCT(VLOOKUP($A311,S275_97,{8,9,10},FALSE)),0)+IFERROR(ROUND(VLOOKUP($A311,S275_21,8,FALSE)*VLOOKUP($A311,'3121% SY'!$C$3:$M$324,11,FALSE),3),0)+IFERROR(ROUND(VLOOKUP($A311,S275_21,9,FALSE)*VLOOKUP($A311,'3121% SY'!$C$3:$M$324,11,FALSE),3),0)+IFERROR(ROUND(VLOOKUP($A311,S275_21,10,FALSE)*VLOOKUP($A311,'3121% SY'!$C$3:$M$324,11,FALSE),3),0)+IFERROR(VLOOKUP($A311,S275_09,4,FALSE),0)</f>
        <v>6.2770000000000001</v>
      </c>
      <c r="AG311" s="267">
        <f>IFERROR(VLOOKUP($A311,Supp_35,14,FALSE),0)+IFERROR(SUMPRODUCT(VLOOKUP($A311,S275_01,{11,12,13},FALSE)),0)+IFERROR(SUMPRODUCT(VLOOKUP($A311,S275_97,{11,12,13},FALSE)),0)+IFERROR(ROUND(VLOOKUP($A311,S275_21,11,FALSE)*VLOOKUP($A311,'3121% SY'!$C$3:$M$324,11,FALSE),3),0)+IFERROR(ROUND(VLOOKUP($A311,S275_21,12,FALSE)*VLOOKUP($A311,'3121% SY'!$C$3:$M$324,11,FALSE),3),0)+IFERROR(ROUND(VLOOKUP($A311,S275_21,13,FALSE)*VLOOKUP($A311,'3121% SY'!$C$3:$M$324,11,FALSE),3),0)+IFERROR(VLOOKUP($A311,S275_09,5,FALSE),0)</f>
        <v>2.9239999999999999</v>
      </c>
      <c r="AH311" s="165">
        <f t="shared" si="58"/>
        <v>44.652000000000001</v>
      </c>
      <c r="AI311" s="161">
        <f>IFERROR(VLOOKUP(A311,'Supp Staff Data'!A:ER,148,FALSE),0)+AB311</f>
        <v>0</v>
      </c>
      <c r="AJ311" s="174">
        <v>1</v>
      </c>
      <c r="AK311" s="25">
        <f>VLOOKUP(A311,'Enroll Data as of January 2025'!$A$3:$T$323,20,FALSE)-F311</f>
        <v>0</v>
      </c>
    </row>
    <row r="312" spans="1:37" x14ac:dyDescent="0.25">
      <c r="A312" s="171" t="s">
        <v>107</v>
      </c>
      <c r="B312" t="s">
        <v>403</v>
      </c>
      <c r="C312" s="173" t="s">
        <v>1077</v>
      </c>
      <c r="D312" s="259">
        <f t="shared" si="50"/>
        <v>92.504999999999995</v>
      </c>
      <c r="E312" s="259">
        <f t="shared" si="51"/>
        <v>129.57400000000001</v>
      </c>
      <c r="F312" s="262">
        <f t="shared" si="59"/>
        <v>37.069000000000003</v>
      </c>
      <c r="G312" s="161">
        <f>ROUND(IF(F312&lt;0,F312*'2024-25 PSES Compliance'!$G$13,0),3)</f>
        <v>0</v>
      </c>
      <c r="H312" s="161">
        <f>ROUND(IF(F312&lt;0,F312*'2024-25 PSES Compliance'!$G$14,0),3)</f>
        <v>0</v>
      </c>
      <c r="I312" s="174">
        <f t="shared" si="53"/>
        <v>0</v>
      </c>
      <c r="J312" s="174">
        <f t="shared" si="54"/>
        <v>0</v>
      </c>
      <c r="K312" s="161">
        <f>VLOOKUP($A312,'Enroll Data as of January 2025'!$A$3:$M$322,6,FALSE)</f>
        <v>52.441999999999993</v>
      </c>
      <c r="L312" s="161">
        <f>VLOOKUP($A312,'Enroll Data as of January 2025'!$A$3:$M$322,7,FALSE)</f>
        <v>8.4540000000000006</v>
      </c>
      <c r="M312" s="161">
        <f>VLOOKUP($A312,'Enroll Data as of January 2025'!$A$3:$M$322,8,FALSE)</f>
        <v>2.8450000000000002</v>
      </c>
      <c r="N312" s="161">
        <f>VLOOKUP($A312,'Enroll Data as of January 2025'!$A$3:$M$322,9,FALSE)</f>
        <v>23.621000000000002</v>
      </c>
      <c r="O312" s="165">
        <f t="shared" si="55"/>
        <v>87.361999999999995</v>
      </c>
      <c r="P312" s="161">
        <f>VLOOKUP($A312,'Enroll Data as of January 2025'!$A$3:$M$322,11,FALSE)</f>
        <v>3.2509999999999994</v>
      </c>
      <c r="Q312" s="161">
        <f>VLOOKUP($A312,'Enroll Data as of January 2025'!$A$3:$M$322,12,FALSE)</f>
        <v>1.8919999999999999</v>
      </c>
      <c r="R312" s="165">
        <f t="shared" si="56"/>
        <v>5.1429999999999989</v>
      </c>
      <c r="S312" s="267">
        <f>IFERROR(VLOOKUP($A312,Supp_39,14,FALSE),0)+IFERROR(SUMPRODUCT(VLOOKUP($A312,S275_01,{14,15,16},FALSE)),0)+IFERROR(SUMPRODUCT(VLOOKUP($A312,S275_97,{14,15,16},FALSE)),0)+IFERROR(ROUND(VLOOKUP($A312,S275_21,14,FALSE)*VLOOKUP($A312,'3121% SY'!$C$3:$M$324,11,FALSE),3),0)+IFERROR(ROUND(VLOOKUP($A312,S275_21,15,FALSE)*VLOOKUP($A312,'3121% SY'!$C$3:$M$324,11,FALSE),3),0)+IFERROR(ROUND(VLOOKUP($A312,S275_21,16,FALSE)*VLOOKUP($A312,'3121% SY'!$C$3:$M$324,11,FALSE),3),0)+IFERROR(VLOOKUP($A312,S275_09,6,FALSE),0)</f>
        <v>40.728999999999999</v>
      </c>
      <c r="T312" s="267">
        <f>IFERROR(VLOOKUP($A312,Supp_42,14,FALSE),0)+IFERROR(SUMPRODUCT(VLOOKUP($A312,S275_01,{17,18,19},FALSE)),0)+IFERROR(SUMPRODUCT(VLOOKUP($A312,S275_97,{17,18,19},FALSE)),0)+IFERROR(ROUND(VLOOKUP($A312,S275_21,17,FALSE)*VLOOKUP($A312,'3121% SY'!$C$3:$M$324,11,FALSE),3),0)+IFERROR(ROUND(VLOOKUP($A312,S275_21,18,FALSE)*VLOOKUP($A312,'3121% SY'!$C$3:$M$324,11,FALSE),3),0)+IFERROR(ROUND(VLOOKUP($A312,S275_21,19,FALSE)*VLOOKUP($A312,'3121% SY'!$C$3:$M$324,11,FALSE),3),0)+IFERROR(VLOOKUP($A312,S275_09,7,FALSE),0)</f>
        <v>8.1039999999999992</v>
      </c>
      <c r="U312" s="267">
        <f>IFERROR(VLOOKUP($A312,Supp_43,14,FALSE),0)+IFERROR(SUMPRODUCT(VLOOKUP($A312,S275_01,{20,21,22},FALSE)),0)+IFERROR(SUMPRODUCT(VLOOKUP($A312,S275_97,{20,21,22},FALSE)),0)+IFERROR(ROUND(VLOOKUP($A312,S275_21,20,FALSE)*VLOOKUP($A312,'3121% SY'!$C$3:$M$324,11,FALSE),3),0)+IFERROR(ROUND(VLOOKUP($A312,S275_21,21,FALSE)*VLOOKUP($A312,'3121% SY'!$C$3:$M$324,11,FALSE),3),0)+IFERROR(ROUND(VLOOKUP($A312,S275_21,22,FALSE)*VLOOKUP($A312,'3121% SY'!$C$3:$M$324,11,FALSE),3),0)+IFERROR(VLOOKUP($A312,S275_09,8,FALSE),0)</f>
        <v>6.0250000000000004</v>
      </c>
      <c r="V312" s="267">
        <f>IFERROR(VLOOKUP($A312,Supp_44,14,FALSE),0)+IFERROR(SUMPRODUCT(VLOOKUP($A312,S275_01,{23,24,25},FALSE)),0)+IFERROR(SUMPRODUCT(VLOOKUP($A312,S275_97,{23,24,25},FALSE)),0)+IFERROR(ROUND(VLOOKUP($A312,S275_21,23,FALSE)*VLOOKUP($A312,'3121% SY'!$C$3:$M$324,11,FALSE),3),0)+IFERROR(ROUND(VLOOKUP($A312,S275_21,24,FALSE)*VLOOKUP($A312,'3121% SY'!$C$3:$M$324,11,FALSE),3),0)+IFERROR(ROUND(VLOOKUP($A312,S275_21,25,FALSE)*VLOOKUP($A312,'3121% SY'!$C$3:$M$324,11,FALSE),3),0)+IFERROR(VLOOKUP($A312,S275_09,9,FALSE),0)</f>
        <v>0.5</v>
      </c>
      <c r="W312" s="267">
        <f>IFERROR(VLOOKUP($A312,Supp_45,14,FALSE),0)+IFERROR(SUMPRODUCT(VLOOKUP($A312,S275_01,{26,27,28},FALSE)),0)+IFERROR(SUMPRODUCT(VLOOKUP($A312,S275_97,{26,27,28},FALSE)),0)+IFERROR(ROUND(VLOOKUP($A312,S275_21,26,FALSE)*VLOOKUP($A312,'3121% SY'!$C$3:$M$324,11,FALSE),3),0)+IFERROR(ROUND(VLOOKUP($A312,S275_21,27,FALSE)*VLOOKUP($A312,'3121% SY'!$C$3:$M$324,11,FALSE),3),0)+IFERROR(ROUND(VLOOKUP($A312,S275_21,28,FALSE)*VLOOKUP($A312,'3121% SY'!$C$3:$M$324,11,FALSE),3),0)+IFERROR(VLOOKUP($A312,S275_09,10,FALSE),0)</f>
        <v>8.254999999999999</v>
      </c>
      <c r="X312" s="267">
        <f>IFERROR(VLOOKUP($A312,Supp_46,14,FALSE),0)+IFERROR(SUMPRODUCT(VLOOKUP($A312,S275_01,{29,30,31},FALSE)),0)+IFERROR(SUMPRODUCT(VLOOKUP($A312,S275_97,{29,30,31},FALSE)),0)+IFERROR(ROUND(VLOOKUP($A312,S275_21,29,FALSE)*VLOOKUP($A312,'3121% SY'!$C$3:$M$324,11,FALSE),3),0)+IFERROR(ROUND(VLOOKUP($A312,S275_21,30,FALSE)*VLOOKUP($A312,'3121% SY'!$C$3:$M$324,11,FALSE),3),0)+IFERROR(ROUND(VLOOKUP($A312,S275_21,31,FALSE)*VLOOKUP($A312,'3121% SY'!$C$3:$M$324,11,FALSE),3),0)+IFERROR(VLOOKUP($A312,S275_09,11,FALSE),0)</f>
        <v>16.946999999999999</v>
      </c>
      <c r="Y312" s="267">
        <f>IFERROR(VLOOKUP($A312,Supp_47,14,FALSE),0)+IFERROR(SUMPRODUCT(VLOOKUP($A312,S275_01,{32,33,34},FALSE)),0)+IFERROR(SUMPRODUCT(VLOOKUP($A312,S275_97,{32,33,34},FALSE)),0)+IFERROR(ROUND(VLOOKUP($A312,S275_21,32,FALSE)*VLOOKUP($A312,'3121% SY'!$C$3:$M$324,11,FALSE),3),0)+IFERROR(ROUND(VLOOKUP($A312,S275_21,33,FALSE)*VLOOKUP($A312,'3121% SY'!$C$3:$M$324,11,FALSE),3),0)+IFERROR(ROUND(VLOOKUP($A312,S275_21,34,FALSE)*VLOOKUP($A312,'3121% SY'!$C$3:$M$324,11,FALSE),3),0)+IFERROR(VLOOKUP($A312,S275_09,12,FALSE),0)</f>
        <v>3.4169999999999998</v>
      </c>
      <c r="Z312" s="267">
        <f>IFERROR(VLOOKUP($A312,Supp_48,14,FALSE),0)+IFERROR(SUMPRODUCT(VLOOKUP($A312,S275_01,{35,36,37},FALSE)),0)+IFERROR(SUMPRODUCT(VLOOKUP($A312,S275_97,{35,36,37},FALSE)),0)+IFERROR(ROUND(VLOOKUP($A312,S275_21,35,FALSE)*VLOOKUP($A312,'3121% SY'!$C$3:$M$324,11,FALSE),3),0)+IFERROR(ROUND(VLOOKUP($A312,S275_21,36,FALSE)*VLOOKUP($A312,'3121% SY'!$C$3:$M$324,11,FALSE),3),0)+IFERROR(ROUND(VLOOKUP($A312,S275_21,37,FALSE)*VLOOKUP($A312,'3121% SY'!$C$3:$M$324,11,FALSE),3),0)+IFERROR(VLOOKUP($A312,S275_09,13,FALSE),0)</f>
        <v>0.74399999999999999</v>
      </c>
      <c r="AA312" s="267">
        <f>IFERROR(VLOOKUP($A312,Supp_49,14,FALSE),0)+IFERROR(SUMPRODUCT(VLOOKUP($A312,S275_01,{38,39,40},FALSE)),0)+IFERROR(SUMPRODUCT(VLOOKUP($A312,S275_97,{38,39,40},FALSE)),0)+IFERROR(ROUND(VLOOKUP($A312,S275_21,38,FALSE)*VLOOKUP($A312,'3121% SY'!$C$3:$M$324,11,FALSE),3),0)+IFERROR(ROUND(VLOOKUP($A312,S275_21,39,FALSE)*VLOOKUP($A312,'3121% SY'!$C$3:$M$324,11,FALSE),3),0)+IFERROR(ROUND(VLOOKUP($A312,S275_21,40,FALSE)*VLOOKUP($A312,'3121% SY'!$C$3:$M$324,11,FALSE),3),0)+IFERROR(VLOOKUP($A312,S275_09,14,FALSE),0)</f>
        <v>0.99199999999999999</v>
      </c>
      <c r="AB312" s="267">
        <f>IFERROR(VLOOKUP($A312,Supp_64,14,FALSE),0)+IFERROR(SUMPRODUCT(VLOOKUP($A312,S275_01,{41,42,43},FALSE)),0)+IFERROR(SUMPRODUCT(VLOOKUP($A312,S275_97,{41,42,43},FALSE)),0)+IFERROR(ROUND(VLOOKUP($A312,S275_21,41,FALSE)*VLOOKUP($A312,'3121% SY'!$C$3:$M$324,11,FALSE),3),0)+IFERROR(ROUND(VLOOKUP($A312,S275_21,42,FALSE)*VLOOKUP($A312,'3121% SY'!$C$3:$M$324,11,FALSE),3),0)+IFERROR(ROUND(VLOOKUP($A312,S275_21,43,FALSE)*VLOOKUP($A312,'3121% SY'!$C$3:$M$324,11,FALSE),3),0)+IFERROR(VLOOKUP($A312,S275_09,15,FALSE),0)</f>
        <v>0</v>
      </c>
      <c r="AC312" s="268">
        <f t="shared" si="57"/>
        <v>85.713000000000008</v>
      </c>
      <c r="AD312" s="267">
        <f>IFERROR(VLOOKUP($A312,Supp_24,14,FALSE),0)+IFERROR(SUMPRODUCT(VLOOKUP($A312,S275_01,{2,3,4},FALSE)),0)+IFERROR(SUMPRODUCT(VLOOKUP($A312,S275_97,{2,3,4},FALSE)),0)+IFERROR(ROUND(VLOOKUP($A312,S275_21,2,FALSE)*VLOOKUP($A312,'3121% SY'!$C$3:$M$324,11,FALSE),3),0)+IFERROR(ROUND(VLOOKUP($A312,S275_21,3,FALSE)*VLOOKUP($A312,'3121% SY'!$C$3:$M$324,11,FALSE),3),0)+IFERROR(ROUND(VLOOKUP($A312,S275_21,4,FALSE)*VLOOKUP($A312,'3121% SY'!$C$3:$M$324,11,FALSE),3),0)+IFERROR(VLOOKUP($A312,S275_09,2,FALSE),0)</f>
        <v>0</v>
      </c>
      <c r="AE312" s="267">
        <f>IFERROR(VLOOKUP($A312,Supp_25,14,FALSE),0)+IFERROR(SUMPRODUCT(VLOOKUP($A312,S275_01,{5,6,7},FALSE)),0)+IFERROR(SUMPRODUCT(VLOOKUP($A312,S275_97,{5,6,7},FALSE)),0)+IFERROR(ROUND(VLOOKUP($A312,S275_21,5,FALSE)*VLOOKUP($A312,'3121% SY'!$C$3:$M$324,11,FALSE),3),0)+IFERROR(ROUND(VLOOKUP($A312,S275_21,6,FALSE)*VLOOKUP($A312,'3121% SY'!$C$3:$M$324,11,FALSE),3),0)+IFERROR(ROUND(VLOOKUP($A312,S275_21,7,FALSE)*VLOOKUP($A312,'3121% SY'!$C$3:$M$324,11,FALSE),3),0)+IFERROR(VLOOKUP($A312,S275_09,3,FALSE),0)</f>
        <v>16.510000000000002</v>
      </c>
      <c r="AF312" s="267">
        <f>IFERROR(VLOOKUP($A312,Supp_26,14,FALSE),0)+IFERROR(SUMPRODUCT(VLOOKUP($A312,S275_01,{8,9,10},FALSE)),0)+IFERROR(SUMPRODUCT(VLOOKUP($A312,S275_97,{8,9,10},FALSE)),0)+IFERROR(ROUND(VLOOKUP($A312,S275_21,8,FALSE)*VLOOKUP($A312,'3121% SY'!$C$3:$M$324,11,FALSE),3),0)+IFERROR(ROUND(VLOOKUP($A312,S275_21,9,FALSE)*VLOOKUP($A312,'3121% SY'!$C$3:$M$324,11,FALSE),3),0)+IFERROR(ROUND(VLOOKUP($A312,S275_21,10,FALSE)*VLOOKUP($A312,'3121% SY'!$C$3:$M$324,11,FALSE),3),0)+IFERROR(VLOOKUP($A312,S275_09,4,FALSE),0)</f>
        <v>16.898999999999997</v>
      </c>
      <c r="AG312" s="267">
        <f>IFERROR(VLOOKUP($A312,Supp_35,14,FALSE),0)+IFERROR(SUMPRODUCT(VLOOKUP($A312,S275_01,{11,12,13},FALSE)),0)+IFERROR(SUMPRODUCT(VLOOKUP($A312,S275_97,{11,12,13},FALSE)),0)+IFERROR(ROUND(VLOOKUP($A312,S275_21,11,FALSE)*VLOOKUP($A312,'3121% SY'!$C$3:$M$324,11,FALSE),3),0)+IFERROR(ROUND(VLOOKUP($A312,S275_21,12,FALSE)*VLOOKUP($A312,'3121% SY'!$C$3:$M$324,11,FALSE),3),0)+IFERROR(ROUND(VLOOKUP($A312,S275_21,13,FALSE)*VLOOKUP($A312,'3121% SY'!$C$3:$M$324,11,FALSE),3),0)+IFERROR(VLOOKUP($A312,S275_09,5,FALSE),0)</f>
        <v>10.452</v>
      </c>
      <c r="AH312" s="165">
        <f t="shared" si="58"/>
        <v>43.860999999999997</v>
      </c>
      <c r="AI312" s="161">
        <f>IFERROR(VLOOKUP(A312,'Supp Staff Data'!A:ER,148,FALSE),0)+AB312</f>
        <v>0</v>
      </c>
      <c r="AJ312" s="174">
        <v>0</v>
      </c>
      <c r="AK312" s="25">
        <f>VLOOKUP(A312,'Enroll Data as of January 2025'!$A$3:$T$323,20,FALSE)-F312</f>
        <v>0</v>
      </c>
    </row>
    <row r="313" spans="1:37" x14ac:dyDescent="0.25">
      <c r="A313" s="171" t="s">
        <v>37</v>
      </c>
      <c r="B313" t="s">
        <v>333</v>
      </c>
      <c r="C313" s="173" t="s">
        <v>1077</v>
      </c>
      <c r="D313" s="259">
        <f t="shared" si="50"/>
        <v>107.73099999999999</v>
      </c>
      <c r="E313" s="259">
        <f t="shared" si="51"/>
        <v>150.07</v>
      </c>
      <c r="F313" s="262">
        <f t="shared" si="59"/>
        <v>42.338999999999999</v>
      </c>
      <c r="G313" s="161">
        <f>ROUND(IF(F313&lt;0,F313*'2024-25 PSES Compliance'!$G$13,0),3)</f>
        <v>0</v>
      </c>
      <c r="H313" s="161">
        <f>ROUND(IF(F313&lt;0,F313*'2024-25 PSES Compliance'!$G$14,0),3)</f>
        <v>0</v>
      </c>
      <c r="I313" s="174">
        <f t="shared" si="53"/>
        <v>0</v>
      </c>
      <c r="J313" s="174">
        <f t="shared" si="54"/>
        <v>0</v>
      </c>
      <c r="K313" s="161">
        <f>VLOOKUP($A313,'Enroll Data as of January 2025'!$A$3:$M$322,6,FALSE)</f>
        <v>60.97</v>
      </c>
      <c r="L313" s="161">
        <f>VLOOKUP($A313,'Enroll Data as of January 2025'!$A$3:$M$322,7,FALSE)</f>
        <v>9.7550000000000008</v>
      </c>
      <c r="M313" s="161">
        <f>VLOOKUP($A313,'Enroll Data as of January 2025'!$A$3:$M$322,8,FALSE)</f>
        <v>3.2729999999999997</v>
      </c>
      <c r="N313" s="161">
        <f>VLOOKUP($A313,'Enroll Data as of January 2025'!$A$3:$M$322,9,FALSE)</f>
        <v>27.78</v>
      </c>
      <c r="O313" s="165">
        <f t="shared" si="55"/>
        <v>101.77799999999999</v>
      </c>
      <c r="P313" s="161">
        <f>VLOOKUP($A313,'Enroll Data as of January 2025'!$A$3:$M$322,11,FALSE)</f>
        <v>3.7809999999999997</v>
      </c>
      <c r="Q313" s="161">
        <f>VLOOKUP($A313,'Enroll Data as of January 2025'!$A$3:$M$322,12,FALSE)</f>
        <v>2.1720000000000002</v>
      </c>
      <c r="R313" s="165">
        <f t="shared" si="56"/>
        <v>5.9529999999999994</v>
      </c>
      <c r="S313" s="267">
        <f>IFERROR(VLOOKUP($A313,Supp_39,14,FALSE),0)+IFERROR(SUMPRODUCT(VLOOKUP($A313,S275_01,{14,15,16},FALSE)),0)+IFERROR(SUMPRODUCT(VLOOKUP($A313,S275_97,{14,15,16},FALSE)),0)+IFERROR(ROUND(VLOOKUP($A313,S275_21,14,FALSE)*VLOOKUP($A313,'3121% SY'!$C$3:$M$324,11,FALSE),3),0)+IFERROR(ROUND(VLOOKUP($A313,S275_21,15,FALSE)*VLOOKUP($A313,'3121% SY'!$C$3:$M$324,11,FALSE),3),0)+IFERROR(ROUND(VLOOKUP($A313,S275_21,16,FALSE)*VLOOKUP($A313,'3121% SY'!$C$3:$M$324,11,FALSE),3),0)+IFERROR(VLOOKUP($A313,S275_09,6,FALSE),0)</f>
        <v>41.278000000000006</v>
      </c>
      <c r="T313" s="267">
        <f>IFERROR(VLOOKUP($A313,Supp_42,14,FALSE),0)+IFERROR(SUMPRODUCT(VLOOKUP($A313,S275_01,{17,18,19},FALSE)),0)+IFERROR(SUMPRODUCT(VLOOKUP($A313,S275_97,{17,18,19},FALSE)),0)+IFERROR(ROUND(VLOOKUP($A313,S275_21,17,FALSE)*VLOOKUP($A313,'3121% SY'!$C$3:$M$324,11,FALSE),3),0)+IFERROR(ROUND(VLOOKUP($A313,S275_21,18,FALSE)*VLOOKUP($A313,'3121% SY'!$C$3:$M$324,11,FALSE),3),0)+IFERROR(ROUND(VLOOKUP($A313,S275_21,19,FALSE)*VLOOKUP($A313,'3121% SY'!$C$3:$M$324,11,FALSE),3),0)+IFERROR(VLOOKUP($A313,S275_09,7,FALSE),0)</f>
        <v>9.7539999999999996</v>
      </c>
      <c r="U313" s="267">
        <f>IFERROR(VLOOKUP($A313,Supp_43,14,FALSE),0)+IFERROR(SUMPRODUCT(VLOOKUP($A313,S275_01,{20,21,22},FALSE)),0)+IFERROR(SUMPRODUCT(VLOOKUP($A313,S275_97,{20,21,22},FALSE)),0)+IFERROR(ROUND(VLOOKUP($A313,S275_21,20,FALSE)*VLOOKUP($A313,'3121% SY'!$C$3:$M$324,11,FALSE),3),0)+IFERROR(ROUND(VLOOKUP($A313,S275_21,21,FALSE)*VLOOKUP($A313,'3121% SY'!$C$3:$M$324,11,FALSE),3),0)+IFERROR(ROUND(VLOOKUP($A313,S275_21,22,FALSE)*VLOOKUP($A313,'3121% SY'!$C$3:$M$324,11,FALSE),3),0)+IFERROR(VLOOKUP($A313,S275_09,8,FALSE),0)</f>
        <v>7.95</v>
      </c>
      <c r="V313" s="267">
        <f>IFERROR(VLOOKUP($A313,Supp_44,14,FALSE),0)+IFERROR(SUMPRODUCT(VLOOKUP($A313,S275_01,{23,24,25},FALSE)),0)+IFERROR(SUMPRODUCT(VLOOKUP($A313,S275_97,{23,24,25},FALSE)),0)+IFERROR(ROUND(VLOOKUP($A313,S275_21,23,FALSE)*VLOOKUP($A313,'3121% SY'!$C$3:$M$324,11,FALSE),3),0)+IFERROR(ROUND(VLOOKUP($A313,S275_21,24,FALSE)*VLOOKUP($A313,'3121% SY'!$C$3:$M$324,11,FALSE),3),0)+IFERROR(ROUND(VLOOKUP($A313,S275_21,25,FALSE)*VLOOKUP($A313,'3121% SY'!$C$3:$M$324,11,FALSE),3),0)+IFERROR(VLOOKUP($A313,S275_09,9,FALSE),0)</f>
        <v>1.3340000000000001</v>
      </c>
      <c r="W313" s="267">
        <f>IFERROR(VLOOKUP($A313,Supp_45,14,FALSE),0)+IFERROR(SUMPRODUCT(VLOOKUP($A313,S275_01,{26,27,28},FALSE)),0)+IFERROR(SUMPRODUCT(VLOOKUP($A313,S275_97,{26,27,28},FALSE)),0)+IFERROR(ROUND(VLOOKUP($A313,S275_21,26,FALSE)*VLOOKUP($A313,'3121% SY'!$C$3:$M$324,11,FALSE),3),0)+IFERROR(ROUND(VLOOKUP($A313,S275_21,27,FALSE)*VLOOKUP($A313,'3121% SY'!$C$3:$M$324,11,FALSE),3),0)+IFERROR(ROUND(VLOOKUP($A313,S275_21,28,FALSE)*VLOOKUP($A313,'3121% SY'!$C$3:$M$324,11,FALSE),3),0)+IFERROR(VLOOKUP($A313,S275_09,10,FALSE),0)</f>
        <v>9.1630000000000003</v>
      </c>
      <c r="X313" s="267">
        <f>IFERROR(VLOOKUP($A313,Supp_46,14,FALSE),0)+IFERROR(SUMPRODUCT(VLOOKUP($A313,S275_01,{29,30,31},FALSE)),0)+IFERROR(SUMPRODUCT(VLOOKUP($A313,S275_97,{29,30,31},FALSE)),0)+IFERROR(ROUND(VLOOKUP($A313,S275_21,29,FALSE)*VLOOKUP($A313,'3121% SY'!$C$3:$M$324,11,FALSE),3),0)+IFERROR(ROUND(VLOOKUP($A313,S275_21,30,FALSE)*VLOOKUP($A313,'3121% SY'!$C$3:$M$324,11,FALSE),3),0)+IFERROR(ROUND(VLOOKUP($A313,S275_21,31,FALSE)*VLOOKUP($A313,'3121% SY'!$C$3:$M$324,11,FALSE),3),0)+IFERROR(VLOOKUP($A313,S275_09,11,FALSE),0)</f>
        <v>17.141999999999999</v>
      </c>
      <c r="Y313" s="267">
        <f>IFERROR(VLOOKUP($A313,Supp_47,14,FALSE),0)+IFERROR(SUMPRODUCT(VLOOKUP($A313,S275_01,{32,33,34},FALSE)),0)+IFERROR(SUMPRODUCT(VLOOKUP($A313,S275_97,{32,33,34},FALSE)),0)+IFERROR(ROUND(VLOOKUP($A313,S275_21,32,FALSE)*VLOOKUP($A313,'3121% SY'!$C$3:$M$324,11,FALSE),3),0)+IFERROR(ROUND(VLOOKUP($A313,S275_21,33,FALSE)*VLOOKUP($A313,'3121% SY'!$C$3:$M$324,11,FALSE),3),0)+IFERROR(ROUND(VLOOKUP($A313,S275_21,34,FALSE)*VLOOKUP($A313,'3121% SY'!$C$3:$M$324,11,FALSE),3),0)+IFERROR(VLOOKUP($A313,S275_09,12,FALSE),0)</f>
        <v>1.9039999999999999</v>
      </c>
      <c r="Z313" s="267">
        <f>IFERROR(VLOOKUP($A313,Supp_48,14,FALSE),0)+IFERROR(SUMPRODUCT(VLOOKUP($A313,S275_01,{35,36,37},FALSE)),0)+IFERROR(SUMPRODUCT(VLOOKUP($A313,S275_97,{35,36,37},FALSE)),0)+IFERROR(ROUND(VLOOKUP($A313,S275_21,35,FALSE)*VLOOKUP($A313,'3121% SY'!$C$3:$M$324,11,FALSE),3),0)+IFERROR(ROUND(VLOOKUP($A313,S275_21,36,FALSE)*VLOOKUP($A313,'3121% SY'!$C$3:$M$324,11,FALSE),3),0)+IFERROR(ROUND(VLOOKUP($A313,S275_21,37,FALSE)*VLOOKUP($A313,'3121% SY'!$C$3:$M$324,11,FALSE),3),0)+IFERROR(VLOOKUP($A313,S275_09,13,FALSE),0)</f>
        <v>1.1420000000000001</v>
      </c>
      <c r="AA313" s="267">
        <f>IFERROR(VLOOKUP($A313,Supp_49,14,FALSE),0)+IFERROR(SUMPRODUCT(VLOOKUP($A313,S275_01,{38,39,40},FALSE)),0)+IFERROR(SUMPRODUCT(VLOOKUP($A313,S275_97,{38,39,40},FALSE)),0)+IFERROR(ROUND(VLOOKUP($A313,S275_21,38,FALSE)*VLOOKUP($A313,'3121% SY'!$C$3:$M$324,11,FALSE),3),0)+IFERROR(ROUND(VLOOKUP($A313,S275_21,39,FALSE)*VLOOKUP($A313,'3121% SY'!$C$3:$M$324,11,FALSE),3),0)+IFERROR(ROUND(VLOOKUP($A313,S275_21,40,FALSE)*VLOOKUP($A313,'3121% SY'!$C$3:$M$324,11,FALSE),3),0)+IFERROR(VLOOKUP($A313,S275_09,14,FALSE),0)</f>
        <v>0.64600000000000002</v>
      </c>
      <c r="AB313" s="267">
        <f>IFERROR(VLOOKUP($A313,Supp_64,14,FALSE),0)+IFERROR(SUMPRODUCT(VLOOKUP($A313,S275_01,{41,42,43},FALSE)),0)+IFERROR(SUMPRODUCT(VLOOKUP($A313,S275_97,{41,42,43},FALSE)),0)+IFERROR(ROUND(VLOOKUP($A313,S275_21,41,FALSE)*VLOOKUP($A313,'3121% SY'!$C$3:$M$324,11,FALSE),3),0)+IFERROR(ROUND(VLOOKUP($A313,S275_21,42,FALSE)*VLOOKUP($A313,'3121% SY'!$C$3:$M$324,11,FALSE),3),0)+IFERROR(ROUND(VLOOKUP($A313,S275_21,43,FALSE)*VLOOKUP($A313,'3121% SY'!$C$3:$M$324,11,FALSE),3),0)+IFERROR(VLOOKUP($A313,S275_09,15,FALSE),0)</f>
        <v>0</v>
      </c>
      <c r="AC313" s="268">
        <f t="shared" si="57"/>
        <v>90.313000000000002</v>
      </c>
      <c r="AD313" s="267">
        <f>IFERROR(VLOOKUP($A313,Supp_24,14,FALSE),0)+IFERROR(SUMPRODUCT(VLOOKUP($A313,S275_01,{2,3,4},FALSE)),0)+IFERROR(SUMPRODUCT(VLOOKUP($A313,S275_97,{2,3,4},FALSE)),0)+IFERROR(ROUND(VLOOKUP($A313,S275_21,2,FALSE)*VLOOKUP($A313,'3121% SY'!$C$3:$M$324,11,FALSE),3),0)+IFERROR(ROUND(VLOOKUP($A313,S275_21,3,FALSE)*VLOOKUP($A313,'3121% SY'!$C$3:$M$324,11,FALSE),3),0)+IFERROR(ROUND(VLOOKUP($A313,S275_21,4,FALSE)*VLOOKUP($A313,'3121% SY'!$C$3:$M$324,11,FALSE),3),0)+IFERROR(VLOOKUP($A313,S275_09,2,FALSE),0)</f>
        <v>0</v>
      </c>
      <c r="AE313" s="267">
        <f>IFERROR(VLOOKUP($A313,Supp_25,14,FALSE),0)+IFERROR(SUMPRODUCT(VLOOKUP($A313,S275_01,{5,6,7},FALSE)),0)+IFERROR(SUMPRODUCT(VLOOKUP($A313,S275_97,{5,6,7},FALSE)),0)+IFERROR(ROUND(VLOOKUP($A313,S275_21,5,FALSE)*VLOOKUP($A313,'3121% SY'!$C$3:$M$324,11,FALSE),3),0)+IFERROR(ROUND(VLOOKUP($A313,S275_21,6,FALSE)*VLOOKUP($A313,'3121% SY'!$C$3:$M$324,11,FALSE),3),0)+IFERROR(ROUND(VLOOKUP($A313,S275_21,7,FALSE)*VLOOKUP($A313,'3121% SY'!$C$3:$M$324,11,FALSE),3),0)+IFERROR(VLOOKUP($A313,S275_09,3,FALSE),0)</f>
        <v>36.774000000000001</v>
      </c>
      <c r="AF313" s="267">
        <f>IFERROR(VLOOKUP($A313,Supp_26,14,FALSE),0)+IFERROR(SUMPRODUCT(VLOOKUP($A313,S275_01,{8,9,10},FALSE)),0)+IFERROR(SUMPRODUCT(VLOOKUP($A313,S275_97,{8,9,10},FALSE)),0)+IFERROR(ROUND(VLOOKUP($A313,S275_21,8,FALSE)*VLOOKUP($A313,'3121% SY'!$C$3:$M$324,11,FALSE),3),0)+IFERROR(ROUND(VLOOKUP($A313,S275_21,9,FALSE)*VLOOKUP($A313,'3121% SY'!$C$3:$M$324,11,FALSE),3),0)+IFERROR(ROUND(VLOOKUP($A313,S275_21,10,FALSE)*VLOOKUP($A313,'3121% SY'!$C$3:$M$324,11,FALSE),3),0)+IFERROR(VLOOKUP($A313,S275_09,4,FALSE),0)</f>
        <v>7.1070000000000002</v>
      </c>
      <c r="AG313" s="267">
        <f>IFERROR(VLOOKUP($A313,Supp_35,14,FALSE),0)+IFERROR(SUMPRODUCT(VLOOKUP($A313,S275_01,{11,12,13},FALSE)),0)+IFERROR(SUMPRODUCT(VLOOKUP($A313,S275_97,{11,12,13},FALSE)),0)+IFERROR(ROUND(VLOOKUP($A313,S275_21,11,FALSE)*VLOOKUP($A313,'3121% SY'!$C$3:$M$324,11,FALSE),3),0)+IFERROR(ROUND(VLOOKUP($A313,S275_21,12,FALSE)*VLOOKUP($A313,'3121% SY'!$C$3:$M$324,11,FALSE),3),0)+IFERROR(ROUND(VLOOKUP($A313,S275_21,13,FALSE)*VLOOKUP($A313,'3121% SY'!$C$3:$M$324,11,FALSE),3),0)+IFERROR(VLOOKUP($A313,S275_09,5,FALSE),0)</f>
        <v>15.875999999999999</v>
      </c>
      <c r="AH313" s="165">
        <f t="shared" si="58"/>
        <v>59.756999999999998</v>
      </c>
      <c r="AI313" s="161">
        <f>IFERROR(VLOOKUP(A313,'Supp Staff Data'!A:ER,148,FALSE),0)+AB313</f>
        <v>0</v>
      </c>
      <c r="AJ313" s="174">
        <v>0</v>
      </c>
      <c r="AK313" s="25">
        <f>VLOOKUP(A313,'Enroll Data as of January 2025'!$A$3:$T$323,20,FALSE)-F313</f>
        <v>0</v>
      </c>
    </row>
    <row r="314" spans="1:37" x14ac:dyDescent="0.25">
      <c r="A314" s="171" t="s">
        <v>1</v>
      </c>
      <c r="B314" t="s">
        <v>522</v>
      </c>
      <c r="C314" s="173" t="s">
        <v>1077</v>
      </c>
      <c r="D314" s="259">
        <f t="shared" si="50"/>
        <v>146.79</v>
      </c>
      <c r="E314" s="259">
        <f t="shared" si="51"/>
        <v>180.327</v>
      </c>
      <c r="F314" s="262">
        <f t="shared" si="59"/>
        <v>33.536999999999999</v>
      </c>
      <c r="G314" s="161">
        <f>ROUND(IF(F314&lt;0,F314*'2024-25 PSES Compliance'!$G$13,0),3)</f>
        <v>0</v>
      </c>
      <c r="H314" s="161">
        <f>ROUND(IF(F314&lt;0,F314*'2024-25 PSES Compliance'!$G$14,0),3)</f>
        <v>0</v>
      </c>
      <c r="I314" s="174">
        <f t="shared" si="53"/>
        <v>0.59873244051084973</v>
      </c>
      <c r="J314" s="174">
        <f t="shared" si="54"/>
        <v>0</v>
      </c>
      <c r="K314" s="161">
        <f>VLOOKUP($A314,'Enroll Data as of January 2025'!$A$3:$M$322,6,FALSE)</f>
        <v>82.50500000000001</v>
      </c>
      <c r="L314" s="161">
        <f>VLOOKUP($A314,'Enroll Data as of January 2025'!$A$3:$M$322,7,FALSE)</f>
        <v>13.619</v>
      </c>
      <c r="M314" s="161">
        <f>VLOOKUP($A314,'Enroll Data as of January 2025'!$A$3:$M$322,8,FALSE)</f>
        <v>4.5709999999999997</v>
      </c>
      <c r="N314" s="161">
        <f>VLOOKUP($A314,'Enroll Data as of January 2025'!$A$3:$M$322,9,FALSE)</f>
        <v>37.863</v>
      </c>
      <c r="O314" s="165">
        <f t="shared" si="55"/>
        <v>138.55799999999999</v>
      </c>
      <c r="P314" s="161">
        <f>VLOOKUP($A314,'Enroll Data as of January 2025'!$A$3:$M$322,11,FALSE)</f>
        <v>5.1630000000000003</v>
      </c>
      <c r="Q314" s="161">
        <f>VLOOKUP($A314,'Enroll Data as of January 2025'!$A$3:$M$322,12,FALSE)</f>
        <v>3.069</v>
      </c>
      <c r="R314" s="165">
        <f t="shared" si="56"/>
        <v>8.2319999999999993</v>
      </c>
      <c r="S314" s="267">
        <f>IFERROR(VLOOKUP($A314,Supp_39,14,FALSE),0)+IFERROR(SUMPRODUCT(VLOOKUP($A314,S275_01,{14,15,16},FALSE)),0)+IFERROR(SUMPRODUCT(VLOOKUP($A314,S275_97,{14,15,16},FALSE)),0)+IFERROR(ROUND(VLOOKUP($A314,S275_21,14,FALSE)*VLOOKUP($A314,'3121% SY'!$C$3:$M$324,11,FALSE),3),0)+IFERROR(ROUND(VLOOKUP($A314,S275_21,15,FALSE)*VLOOKUP($A314,'3121% SY'!$C$3:$M$324,11,FALSE),3),0)+IFERROR(ROUND(VLOOKUP($A314,S275_21,16,FALSE)*VLOOKUP($A314,'3121% SY'!$C$3:$M$324,11,FALSE),3),0)+IFERROR(VLOOKUP($A314,S275_09,6,FALSE),0)</f>
        <v>64.896000000000001</v>
      </c>
      <c r="T314" s="267">
        <f>IFERROR(VLOOKUP($A314,Supp_42,14,FALSE),0)+IFERROR(SUMPRODUCT(VLOOKUP($A314,S275_01,{17,18,19},FALSE)),0)+IFERROR(SUMPRODUCT(VLOOKUP($A314,S275_97,{17,18,19},FALSE)),0)+IFERROR(ROUND(VLOOKUP($A314,S275_21,17,FALSE)*VLOOKUP($A314,'3121% SY'!$C$3:$M$324,11,FALSE),3),0)+IFERROR(ROUND(VLOOKUP($A314,S275_21,18,FALSE)*VLOOKUP($A314,'3121% SY'!$C$3:$M$324,11,FALSE),3),0)+IFERROR(ROUND(VLOOKUP($A314,S275_21,19,FALSE)*VLOOKUP($A314,'3121% SY'!$C$3:$M$324,11,FALSE),3),0)+IFERROR(VLOOKUP($A314,S275_09,7,FALSE),0)</f>
        <v>18.526999999999997</v>
      </c>
      <c r="U314" s="267">
        <f>IFERROR(VLOOKUP($A314,Supp_43,14,FALSE),0)+IFERROR(SUMPRODUCT(VLOOKUP($A314,S275_01,{20,21,22},FALSE)),0)+IFERROR(SUMPRODUCT(VLOOKUP($A314,S275_97,{20,21,22},FALSE)),0)+IFERROR(ROUND(VLOOKUP($A314,S275_21,20,FALSE)*VLOOKUP($A314,'3121% SY'!$C$3:$M$324,11,FALSE),3),0)+IFERROR(ROUND(VLOOKUP($A314,S275_21,21,FALSE)*VLOOKUP($A314,'3121% SY'!$C$3:$M$324,11,FALSE),3),0)+IFERROR(ROUND(VLOOKUP($A314,S275_21,22,FALSE)*VLOOKUP($A314,'3121% SY'!$C$3:$M$324,11,FALSE),3),0)+IFERROR(VLOOKUP($A314,S275_09,8,FALSE),0)</f>
        <v>3.4079999999999995</v>
      </c>
      <c r="V314" s="267">
        <f>IFERROR(VLOOKUP($A314,Supp_44,14,FALSE),0)+IFERROR(SUMPRODUCT(VLOOKUP($A314,S275_01,{23,24,25},FALSE)),0)+IFERROR(SUMPRODUCT(VLOOKUP($A314,S275_97,{23,24,25},FALSE)),0)+IFERROR(ROUND(VLOOKUP($A314,S275_21,23,FALSE)*VLOOKUP($A314,'3121% SY'!$C$3:$M$324,11,FALSE),3),0)+IFERROR(ROUND(VLOOKUP($A314,S275_21,24,FALSE)*VLOOKUP($A314,'3121% SY'!$C$3:$M$324,11,FALSE),3),0)+IFERROR(ROUND(VLOOKUP($A314,S275_21,25,FALSE)*VLOOKUP($A314,'3121% SY'!$C$3:$M$324,11,FALSE),3),0)+IFERROR(VLOOKUP($A314,S275_09,9,FALSE),0)</f>
        <v>0.33799999999999997</v>
      </c>
      <c r="W314" s="267">
        <f>IFERROR(VLOOKUP($A314,Supp_45,14,FALSE),0)+IFERROR(SUMPRODUCT(VLOOKUP($A314,S275_01,{26,27,28},FALSE)),0)+IFERROR(SUMPRODUCT(VLOOKUP($A314,S275_97,{26,27,28},FALSE)),0)+IFERROR(ROUND(VLOOKUP($A314,S275_21,26,FALSE)*VLOOKUP($A314,'3121% SY'!$C$3:$M$324,11,FALSE),3),0)+IFERROR(ROUND(VLOOKUP($A314,S275_21,27,FALSE)*VLOOKUP($A314,'3121% SY'!$C$3:$M$324,11,FALSE),3),0)+IFERROR(ROUND(VLOOKUP($A314,S275_21,28,FALSE)*VLOOKUP($A314,'3121% SY'!$C$3:$M$324,11,FALSE),3),0)+IFERROR(VLOOKUP($A314,S275_09,10,FALSE),0)</f>
        <v>12.287000000000001</v>
      </c>
      <c r="X314" s="267">
        <f>IFERROR(VLOOKUP($A314,Supp_46,14,FALSE),0)+IFERROR(SUMPRODUCT(VLOOKUP($A314,S275_01,{29,30,31},FALSE)),0)+IFERROR(SUMPRODUCT(VLOOKUP($A314,S275_97,{29,30,31},FALSE)),0)+IFERROR(ROUND(VLOOKUP($A314,S275_21,29,FALSE)*VLOOKUP($A314,'3121% SY'!$C$3:$M$324,11,FALSE),3),0)+IFERROR(ROUND(VLOOKUP($A314,S275_21,30,FALSE)*VLOOKUP($A314,'3121% SY'!$C$3:$M$324,11,FALSE),3),0)+IFERROR(ROUND(VLOOKUP($A314,S275_21,31,FALSE)*VLOOKUP($A314,'3121% SY'!$C$3:$M$324,11,FALSE),3),0)+IFERROR(VLOOKUP($A314,S275_09,11,FALSE),0)</f>
        <v>16.280999999999999</v>
      </c>
      <c r="Y314" s="267">
        <f>IFERROR(VLOOKUP($A314,Supp_47,14,FALSE),0)+IFERROR(SUMPRODUCT(VLOOKUP($A314,S275_01,{32,33,34},FALSE)),0)+IFERROR(SUMPRODUCT(VLOOKUP($A314,S275_97,{32,33,34},FALSE)),0)+IFERROR(ROUND(VLOOKUP($A314,S275_21,32,FALSE)*VLOOKUP($A314,'3121% SY'!$C$3:$M$324,11,FALSE),3),0)+IFERROR(ROUND(VLOOKUP($A314,S275_21,33,FALSE)*VLOOKUP($A314,'3121% SY'!$C$3:$M$324,11,FALSE),3),0)+IFERROR(ROUND(VLOOKUP($A314,S275_21,34,FALSE)*VLOOKUP($A314,'3121% SY'!$C$3:$M$324,11,FALSE),3),0)+IFERROR(VLOOKUP($A314,S275_09,12,FALSE),0)</f>
        <v>2.04</v>
      </c>
      <c r="Z314" s="267">
        <f>IFERROR(VLOOKUP($A314,Supp_48,14,FALSE),0)+IFERROR(SUMPRODUCT(VLOOKUP($A314,S275_01,{35,36,37},FALSE)),0)+IFERROR(SUMPRODUCT(VLOOKUP($A314,S275_97,{35,36,37},FALSE)),0)+IFERROR(ROUND(VLOOKUP($A314,S275_21,35,FALSE)*VLOOKUP($A314,'3121% SY'!$C$3:$M$324,11,FALSE),3),0)+IFERROR(ROUND(VLOOKUP($A314,S275_21,36,FALSE)*VLOOKUP($A314,'3121% SY'!$C$3:$M$324,11,FALSE),3),0)+IFERROR(ROUND(VLOOKUP($A314,S275_21,37,FALSE)*VLOOKUP($A314,'3121% SY'!$C$3:$M$324,11,FALSE),3),0)+IFERROR(VLOOKUP($A314,S275_09,13,FALSE),0)</f>
        <v>1.762</v>
      </c>
      <c r="AA314" s="267">
        <f>IFERROR(VLOOKUP($A314,Supp_49,14,FALSE),0)+IFERROR(SUMPRODUCT(VLOOKUP($A314,S275_01,{38,39,40},FALSE)),0)+IFERROR(SUMPRODUCT(VLOOKUP($A314,S275_97,{38,39,40},FALSE)),0)+IFERROR(ROUND(VLOOKUP($A314,S275_21,38,FALSE)*VLOOKUP($A314,'3121% SY'!$C$3:$M$324,11,FALSE),3),0)+IFERROR(ROUND(VLOOKUP($A314,S275_21,39,FALSE)*VLOOKUP($A314,'3121% SY'!$C$3:$M$324,11,FALSE),3),0)+IFERROR(ROUND(VLOOKUP($A314,S275_21,40,FALSE)*VLOOKUP($A314,'3121% SY'!$C$3:$M$324,11,FALSE),3),0)+IFERROR(VLOOKUP($A314,S275_09,14,FALSE),0)</f>
        <v>0</v>
      </c>
      <c r="AB314" s="267">
        <f>IFERROR(VLOOKUP($A314,Supp_64,14,FALSE),0)+IFERROR(SUMPRODUCT(VLOOKUP($A314,S275_01,{41,42,43},FALSE)),0)+IFERROR(SUMPRODUCT(VLOOKUP($A314,S275_97,{41,42,43},FALSE)),0)+IFERROR(ROUND(VLOOKUP($A314,S275_21,41,FALSE)*VLOOKUP($A314,'3121% SY'!$C$3:$M$324,11,FALSE),3),0)+IFERROR(ROUND(VLOOKUP($A314,S275_21,42,FALSE)*VLOOKUP($A314,'3121% SY'!$C$3:$M$324,11,FALSE),3),0)+IFERROR(ROUND(VLOOKUP($A314,S275_21,43,FALSE)*VLOOKUP($A314,'3121% SY'!$C$3:$M$324,11,FALSE),3),0)+IFERROR(VLOOKUP($A314,S275_09,15,FALSE),0)</f>
        <v>0</v>
      </c>
      <c r="AC314" s="268">
        <f t="shared" si="57"/>
        <v>119.539</v>
      </c>
      <c r="AD314" s="267">
        <f>IFERROR(VLOOKUP($A314,Supp_24,14,FALSE),0)+IFERROR(SUMPRODUCT(VLOOKUP($A314,S275_01,{2,3,4},FALSE)),0)+IFERROR(SUMPRODUCT(VLOOKUP($A314,S275_97,{2,3,4},FALSE)),0)+IFERROR(ROUND(VLOOKUP($A314,S275_21,2,FALSE)*VLOOKUP($A314,'3121% SY'!$C$3:$M$324,11,FALSE),3),0)+IFERROR(ROUND(VLOOKUP($A314,S275_21,3,FALSE)*VLOOKUP($A314,'3121% SY'!$C$3:$M$324,11,FALSE),3),0)+IFERROR(ROUND(VLOOKUP($A314,S275_21,4,FALSE)*VLOOKUP($A314,'3121% SY'!$C$3:$M$324,11,FALSE),3),0)+IFERROR(VLOOKUP($A314,S275_09,2,FALSE),0)</f>
        <v>0.73099999999999998</v>
      </c>
      <c r="AE314" s="267">
        <f>IFERROR(VLOOKUP($A314,Supp_25,14,FALSE),0)+IFERROR(SUMPRODUCT(VLOOKUP($A314,S275_01,{5,6,7},FALSE)),0)+IFERROR(SUMPRODUCT(VLOOKUP($A314,S275_97,{5,6,7},FALSE)),0)+IFERROR(ROUND(VLOOKUP($A314,S275_21,5,FALSE)*VLOOKUP($A314,'3121% SY'!$C$3:$M$324,11,FALSE),3),0)+IFERROR(ROUND(VLOOKUP($A314,S275_21,6,FALSE)*VLOOKUP($A314,'3121% SY'!$C$3:$M$324,11,FALSE),3),0)+IFERROR(ROUND(VLOOKUP($A314,S275_21,7,FALSE)*VLOOKUP($A314,'3121% SY'!$C$3:$M$324,11,FALSE),3),0)+IFERROR(VLOOKUP($A314,S275_09,3,FALSE),0)</f>
        <v>24.501999999999999</v>
      </c>
      <c r="AF314" s="267">
        <f>IFERROR(VLOOKUP($A314,Supp_26,14,FALSE),0)+IFERROR(SUMPRODUCT(VLOOKUP($A314,S275_01,{8,9,10},FALSE)),0)+IFERROR(SUMPRODUCT(VLOOKUP($A314,S275_97,{8,9,10},FALSE)),0)+IFERROR(ROUND(VLOOKUP($A314,S275_21,8,FALSE)*VLOOKUP($A314,'3121% SY'!$C$3:$M$324,11,FALSE),3),0)+IFERROR(ROUND(VLOOKUP($A314,S275_21,9,FALSE)*VLOOKUP($A314,'3121% SY'!$C$3:$M$324,11,FALSE),3),0)+IFERROR(ROUND(VLOOKUP($A314,S275_21,10,FALSE)*VLOOKUP($A314,'3121% SY'!$C$3:$M$324,11,FALSE),3),0)+IFERROR(VLOOKUP($A314,S275_09,4,FALSE),0)</f>
        <v>22.482000000000003</v>
      </c>
      <c r="AG314" s="267">
        <f>IFERROR(VLOOKUP($A314,Supp_35,14,FALSE),0)+IFERROR(SUMPRODUCT(VLOOKUP($A314,S275_01,{11,12,13},FALSE)),0)+IFERROR(SUMPRODUCT(VLOOKUP($A314,S275_97,{11,12,13},FALSE)),0)+IFERROR(ROUND(VLOOKUP($A314,S275_21,11,FALSE)*VLOOKUP($A314,'3121% SY'!$C$3:$M$324,11,FALSE),3),0)+IFERROR(ROUND(VLOOKUP($A314,S275_21,12,FALSE)*VLOOKUP($A314,'3121% SY'!$C$3:$M$324,11,FALSE),3),0)+IFERROR(ROUND(VLOOKUP($A314,S275_21,13,FALSE)*VLOOKUP($A314,'3121% SY'!$C$3:$M$324,11,FALSE),3),0)+IFERROR(VLOOKUP($A314,S275_09,5,FALSE),0)</f>
        <v>13.073</v>
      </c>
      <c r="AH314" s="165">
        <f t="shared" si="58"/>
        <v>60.788000000000004</v>
      </c>
      <c r="AI314" s="161">
        <f>IFERROR(VLOOKUP(A314,'Supp Staff Data'!A:ER,148,FALSE),0)+AB314</f>
        <v>0</v>
      </c>
      <c r="AJ314" s="174">
        <v>0.9032</v>
      </c>
      <c r="AK314" s="25">
        <f>VLOOKUP(A314,'Enroll Data as of January 2025'!$A$3:$T$323,20,FALSE)-F314</f>
        <v>0</v>
      </c>
    </row>
    <row r="315" spans="1:37" x14ac:dyDescent="0.25">
      <c r="A315" s="171" t="s">
        <v>213</v>
      </c>
      <c r="B315" t="s">
        <v>508</v>
      </c>
      <c r="C315" s="173" t="s">
        <v>1077</v>
      </c>
      <c r="D315" s="259">
        <f t="shared" si="50"/>
        <v>101.755</v>
      </c>
      <c r="E315" s="259">
        <f t="shared" si="51"/>
        <v>142.32300000000001</v>
      </c>
      <c r="F315" s="262">
        <f t="shared" si="59"/>
        <v>40.567999999999998</v>
      </c>
      <c r="G315" s="161">
        <f>ROUND(IF(F315&lt;0,F315*'2024-25 PSES Compliance'!$G$13,0),3)</f>
        <v>0</v>
      </c>
      <c r="H315" s="161">
        <f>ROUND(IF(F315&lt;0,F315*'2024-25 PSES Compliance'!$G$14,0),3)</f>
        <v>0</v>
      </c>
      <c r="I315" s="174">
        <f t="shared" si="53"/>
        <v>0.49954680550578617</v>
      </c>
      <c r="J315" s="174">
        <f t="shared" si="54"/>
        <v>0</v>
      </c>
      <c r="K315" s="161">
        <f>VLOOKUP($A315,'Enroll Data as of January 2025'!$A$3:$M$322,6,FALSE)</f>
        <v>56.164000000000001</v>
      </c>
      <c r="L315" s="161">
        <f>VLOOKUP($A315,'Enroll Data as of January 2025'!$A$3:$M$322,7,FALSE)</f>
        <v>9.9169999999999998</v>
      </c>
      <c r="M315" s="161">
        <f>VLOOKUP($A315,'Enroll Data as of January 2025'!$A$3:$M$322,8,FALSE)</f>
        <v>3.3239999999999998</v>
      </c>
      <c r="N315" s="161">
        <f>VLOOKUP($A315,'Enroll Data as of January 2025'!$A$3:$M$322,9,FALSE)</f>
        <v>26.47</v>
      </c>
      <c r="O315" s="165">
        <f t="shared" si="55"/>
        <v>95.875</v>
      </c>
      <c r="P315" s="161">
        <f>VLOOKUP($A315,'Enroll Data as of January 2025'!$A$3:$M$322,11,FALSE)</f>
        <v>3.5919999999999996</v>
      </c>
      <c r="Q315" s="161">
        <f>VLOOKUP($A315,'Enroll Data as of January 2025'!$A$3:$M$322,12,FALSE)</f>
        <v>2.2879999999999998</v>
      </c>
      <c r="R315" s="165">
        <f t="shared" si="56"/>
        <v>5.879999999999999</v>
      </c>
      <c r="S315" s="267">
        <f>IFERROR(VLOOKUP($A315,Supp_39,14,FALSE),0)+IFERROR(SUMPRODUCT(VLOOKUP($A315,S275_01,{14,15,16},FALSE)),0)+IFERROR(SUMPRODUCT(VLOOKUP($A315,S275_97,{14,15,16},FALSE)),0)+IFERROR(ROUND(VLOOKUP($A315,S275_21,14,FALSE)*VLOOKUP($A315,'3121% SY'!$C$3:$M$324,11,FALSE),3),0)+IFERROR(ROUND(VLOOKUP($A315,S275_21,15,FALSE)*VLOOKUP($A315,'3121% SY'!$C$3:$M$324,11,FALSE),3),0)+IFERROR(ROUND(VLOOKUP($A315,S275_21,16,FALSE)*VLOOKUP($A315,'3121% SY'!$C$3:$M$324,11,FALSE),3),0)+IFERROR(VLOOKUP($A315,S275_09,6,FALSE),0)</f>
        <v>35.545999999999999</v>
      </c>
      <c r="T315" s="267">
        <f>IFERROR(VLOOKUP($A315,Supp_42,14,FALSE),0)+IFERROR(SUMPRODUCT(VLOOKUP($A315,S275_01,{17,18,19},FALSE)),0)+IFERROR(SUMPRODUCT(VLOOKUP($A315,S275_97,{17,18,19},FALSE)),0)+IFERROR(ROUND(VLOOKUP($A315,S275_21,17,FALSE)*VLOOKUP($A315,'3121% SY'!$C$3:$M$324,11,FALSE),3),0)+IFERROR(ROUND(VLOOKUP($A315,S275_21,18,FALSE)*VLOOKUP($A315,'3121% SY'!$C$3:$M$324,11,FALSE),3),0)+IFERROR(ROUND(VLOOKUP($A315,S275_21,19,FALSE)*VLOOKUP($A315,'3121% SY'!$C$3:$M$324,11,FALSE),3),0)+IFERROR(VLOOKUP($A315,S275_09,7,FALSE),0)</f>
        <v>12.88</v>
      </c>
      <c r="U315" s="267">
        <f>IFERROR(VLOOKUP($A315,Supp_43,14,FALSE),0)+IFERROR(SUMPRODUCT(VLOOKUP($A315,S275_01,{20,21,22},FALSE)),0)+IFERROR(SUMPRODUCT(VLOOKUP($A315,S275_97,{20,21,22},FALSE)),0)+IFERROR(ROUND(VLOOKUP($A315,S275_21,20,FALSE)*VLOOKUP($A315,'3121% SY'!$C$3:$M$324,11,FALSE),3),0)+IFERROR(ROUND(VLOOKUP($A315,S275_21,21,FALSE)*VLOOKUP($A315,'3121% SY'!$C$3:$M$324,11,FALSE),3),0)+IFERROR(ROUND(VLOOKUP($A315,S275_21,22,FALSE)*VLOOKUP($A315,'3121% SY'!$C$3:$M$324,11,FALSE),3),0)+IFERROR(VLOOKUP($A315,S275_09,8,FALSE),0)</f>
        <v>5.0100000000000007</v>
      </c>
      <c r="V315" s="267">
        <f>IFERROR(VLOOKUP($A315,Supp_44,14,FALSE),0)+IFERROR(SUMPRODUCT(VLOOKUP($A315,S275_01,{23,24,25},FALSE)),0)+IFERROR(SUMPRODUCT(VLOOKUP($A315,S275_97,{23,24,25},FALSE)),0)+IFERROR(ROUND(VLOOKUP($A315,S275_21,23,FALSE)*VLOOKUP($A315,'3121% SY'!$C$3:$M$324,11,FALSE),3),0)+IFERROR(ROUND(VLOOKUP($A315,S275_21,24,FALSE)*VLOOKUP($A315,'3121% SY'!$C$3:$M$324,11,FALSE),3),0)+IFERROR(ROUND(VLOOKUP($A315,S275_21,25,FALSE)*VLOOKUP($A315,'3121% SY'!$C$3:$M$324,11,FALSE),3),0)+IFERROR(VLOOKUP($A315,S275_09,9,FALSE),0)</f>
        <v>1.369</v>
      </c>
      <c r="W315" s="267">
        <f>IFERROR(VLOOKUP($A315,Supp_45,14,FALSE),0)+IFERROR(SUMPRODUCT(VLOOKUP($A315,S275_01,{26,27,28},FALSE)),0)+IFERROR(SUMPRODUCT(VLOOKUP($A315,S275_97,{26,27,28},FALSE)),0)+IFERROR(ROUND(VLOOKUP($A315,S275_21,26,FALSE)*VLOOKUP($A315,'3121% SY'!$C$3:$M$324,11,FALSE),3),0)+IFERROR(ROUND(VLOOKUP($A315,S275_21,27,FALSE)*VLOOKUP($A315,'3121% SY'!$C$3:$M$324,11,FALSE),3),0)+IFERROR(ROUND(VLOOKUP($A315,S275_21,28,FALSE)*VLOOKUP($A315,'3121% SY'!$C$3:$M$324,11,FALSE),3),0)+IFERROR(VLOOKUP($A315,S275_09,10,FALSE),0)</f>
        <v>9.8520000000000003</v>
      </c>
      <c r="X315" s="267">
        <f>IFERROR(VLOOKUP($A315,Supp_46,14,FALSE),0)+IFERROR(SUMPRODUCT(VLOOKUP($A315,S275_01,{29,30,31},FALSE)),0)+IFERROR(SUMPRODUCT(VLOOKUP($A315,S275_97,{29,30,31},FALSE)),0)+IFERROR(ROUND(VLOOKUP($A315,S275_21,29,FALSE)*VLOOKUP($A315,'3121% SY'!$C$3:$M$324,11,FALSE),3),0)+IFERROR(ROUND(VLOOKUP($A315,S275_21,30,FALSE)*VLOOKUP($A315,'3121% SY'!$C$3:$M$324,11,FALSE),3),0)+IFERROR(ROUND(VLOOKUP($A315,S275_21,31,FALSE)*VLOOKUP($A315,'3121% SY'!$C$3:$M$324,11,FALSE),3),0)+IFERROR(VLOOKUP($A315,S275_09,11,FALSE),0)</f>
        <v>3.6379999999999999</v>
      </c>
      <c r="Y315" s="267">
        <f>IFERROR(VLOOKUP($A315,Supp_47,14,FALSE),0)+IFERROR(SUMPRODUCT(VLOOKUP($A315,S275_01,{32,33,34},FALSE)),0)+IFERROR(SUMPRODUCT(VLOOKUP($A315,S275_97,{32,33,34},FALSE)),0)+IFERROR(ROUND(VLOOKUP($A315,S275_21,32,FALSE)*VLOOKUP($A315,'3121% SY'!$C$3:$M$324,11,FALSE),3),0)+IFERROR(ROUND(VLOOKUP($A315,S275_21,33,FALSE)*VLOOKUP($A315,'3121% SY'!$C$3:$M$324,11,FALSE),3),0)+IFERROR(ROUND(VLOOKUP($A315,S275_21,34,FALSE)*VLOOKUP($A315,'3121% SY'!$C$3:$M$324,11,FALSE),3),0)+IFERROR(VLOOKUP($A315,S275_09,12,FALSE),0)</f>
        <v>0</v>
      </c>
      <c r="Z315" s="267">
        <f>IFERROR(VLOOKUP($A315,Supp_48,14,FALSE),0)+IFERROR(SUMPRODUCT(VLOOKUP($A315,S275_01,{35,36,37},FALSE)),0)+IFERROR(SUMPRODUCT(VLOOKUP($A315,S275_97,{35,36,37},FALSE)),0)+IFERROR(ROUND(VLOOKUP($A315,S275_21,35,FALSE)*VLOOKUP($A315,'3121% SY'!$C$3:$M$324,11,FALSE),3),0)+IFERROR(ROUND(VLOOKUP($A315,S275_21,36,FALSE)*VLOOKUP($A315,'3121% SY'!$C$3:$M$324,11,FALSE),3),0)+IFERROR(ROUND(VLOOKUP($A315,S275_21,37,FALSE)*VLOOKUP($A315,'3121% SY'!$C$3:$M$324,11,FALSE),3),0)+IFERROR(VLOOKUP($A315,S275_09,13,FALSE),0)</f>
        <v>2.206</v>
      </c>
      <c r="AA315" s="267">
        <f>IFERROR(VLOOKUP($A315,Supp_49,14,FALSE),0)+IFERROR(SUMPRODUCT(VLOOKUP($A315,S275_01,{38,39,40},FALSE)),0)+IFERROR(SUMPRODUCT(VLOOKUP($A315,S275_97,{38,39,40},FALSE)),0)+IFERROR(ROUND(VLOOKUP($A315,S275_21,38,FALSE)*VLOOKUP($A315,'3121% SY'!$C$3:$M$324,11,FALSE),3),0)+IFERROR(ROUND(VLOOKUP($A315,S275_21,39,FALSE)*VLOOKUP($A315,'3121% SY'!$C$3:$M$324,11,FALSE),3),0)+IFERROR(ROUND(VLOOKUP($A315,S275_21,40,FALSE)*VLOOKUP($A315,'3121% SY'!$C$3:$M$324,11,FALSE),3),0)+IFERROR(VLOOKUP($A315,S275_09,14,FALSE),0)</f>
        <v>0.59599999999999997</v>
      </c>
      <c r="AB315" s="267">
        <f>IFERROR(VLOOKUP($A315,Supp_64,14,FALSE),0)+IFERROR(SUMPRODUCT(VLOOKUP($A315,S275_01,{41,42,43},FALSE)),0)+IFERROR(SUMPRODUCT(VLOOKUP($A315,S275_97,{41,42,43},FALSE)),0)+IFERROR(ROUND(VLOOKUP($A315,S275_21,41,FALSE)*VLOOKUP($A315,'3121% SY'!$C$3:$M$324,11,FALSE),3),0)+IFERROR(ROUND(VLOOKUP($A315,S275_21,42,FALSE)*VLOOKUP($A315,'3121% SY'!$C$3:$M$324,11,FALSE),3),0)+IFERROR(ROUND(VLOOKUP($A315,S275_21,43,FALSE)*VLOOKUP($A315,'3121% SY'!$C$3:$M$324,11,FALSE),3),0)+IFERROR(VLOOKUP($A315,S275_09,15,FALSE),0)</f>
        <v>0</v>
      </c>
      <c r="AC315" s="268">
        <f t="shared" si="57"/>
        <v>71.097000000000008</v>
      </c>
      <c r="AD315" s="267">
        <f>IFERROR(VLOOKUP($A315,Supp_24,14,FALSE),0)+IFERROR(SUMPRODUCT(VLOOKUP($A315,S275_01,{2,3,4},FALSE)),0)+IFERROR(SUMPRODUCT(VLOOKUP($A315,S275_97,{2,3,4},FALSE)),0)+IFERROR(ROUND(VLOOKUP($A315,S275_21,2,FALSE)*VLOOKUP($A315,'3121% SY'!$C$3:$M$324,11,FALSE),3),0)+IFERROR(ROUND(VLOOKUP($A315,S275_21,3,FALSE)*VLOOKUP($A315,'3121% SY'!$C$3:$M$324,11,FALSE),3),0)+IFERROR(ROUND(VLOOKUP($A315,S275_21,4,FALSE)*VLOOKUP($A315,'3121% SY'!$C$3:$M$324,11,FALSE),3),0)+IFERROR(VLOOKUP($A315,S275_09,2,FALSE),0)</f>
        <v>0.64300000000000002</v>
      </c>
      <c r="AE315" s="267">
        <f>IFERROR(VLOOKUP($A315,Supp_25,14,FALSE),0)+IFERROR(SUMPRODUCT(VLOOKUP($A315,S275_01,{5,6,7},FALSE)),0)+IFERROR(SUMPRODUCT(VLOOKUP($A315,S275_97,{5,6,7},FALSE)),0)+IFERROR(ROUND(VLOOKUP($A315,S275_21,5,FALSE)*VLOOKUP($A315,'3121% SY'!$C$3:$M$324,11,FALSE),3),0)+IFERROR(ROUND(VLOOKUP($A315,S275_21,6,FALSE)*VLOOKUP($A315,'3121% SY'!$C$3:$M$324,11,FALSE),3),0)+IFERROR(ROUND(VLOOKUP($A315,S275_21,7,FALSE)*VLOOKUP($A315,'3121% SY'!$C$3:$M$324,11,FALSE),3),0)+IFERROR(VLOOKUP($A315,S275_09,3,FALSE),0)</f>
        <v>33.870000000000005</v>
      </c>
      <c r="AF315" s="267">
        <f>IFERROR(VLOOKUP($A315,Supp_26,14,FALSE),0)+IFERROR(SUMPRODUCT(VLOOKUP($A315,S275_01,{8,9,10},FALSE)),0)+IFERROR(SUMPRODUCT(VLOOKUP($A315,S275_97,{8,9,10},FALSE)),0)+IFERROR(ROUND(VLOOKUP($A315,S275_21,8,FALSE)*VLOOKUP($A315,'3121% SY'!$C$3:$M$324,11,FALSE),3),0)+IFERROR(ROUND(VLOOKUP($A315,S275_21,9,FALSE)*VLOOKUP($A315,'3121% SY'!$C$3:$M$324,11,FALSE),3),0)+IFERROR(ROUND(VLOOKUP($A315,S275_21,10,FALSE)*VLOOKUP($A315,'3121% SY'!$C$3:$M$324,11,FALSE),3),0)+IFERROR(VLOOKUP($A315,S275_09,4,FALSE),0)</f>
        <v>27.523</v>
      </c>
      <c r="AG315" s="267">
        <f>IFERROR(VLOOKUP($A315,Supp_35,14,FALSE),0)+IFERROR(SUMPRODUCT(VLOOKUP($A315,S275_01,{11,12,13},FALSE)),0)+IFERROR(SUMPRODUCT(VLOOKUP($A315,S275_97,{11,12,13},FALSE)),0)+IFERROR(ROUND(VLOOKUP($A315,S275_21,11,FALSE)*VLOOKUP($A315,'3121% SY'!$C$3:$M$324,11,FALSE),3),0)+IFERROR(ROUND(VLOOKUP($A315,S275_21,12,FALSE)*VLOOKUP($A315,'3121% SY'!$C$3:$M$324,11,FALSE),3),0)+IFERROR(ROUND(VLOOKUP($A315,S275_21,13,FALSE)*VLOOKUP($A315,'3121% SY'!$C$3:$M$324,11,FALSE),3),0)+IFERROR(VLOOKUP($A315,S275_09,5,FALSE),0)</f>
        <v>9.19</v>
      </c>
      <c r="AH315" s="165">
        <f t="shared" si="58"/>
        <v>71.225999999999999</v>
      </c>
      <c r="AI315" s="161">
        <f>IFERROR(VLOOKUP(A315,'Supp Staff Data'!A:ER,148,FALSE),0)+AB315</f>
        <v>0</v>
      </c>
      <c r="AJ315" s="174">
        <v>1</v>
      </c>
      <c r="AK315" s="25">
        <f>VLOOKUP(A315,'Enroll Data as of January 2025'!$A$3:$T$323,20,FALSE)-F315</f>
        <v>0</v>
      </c>
    </row>
    <row r="316" spans="1:37" x14ac:dyDescent="0.25">
      <c r="A316" s="171" t="s">
        <v>60</v>
      </c>
      <c r="B316" t="s">
        <v>356</v>
      </c>
      <c r="C316" s="173" t="s">
        <v>1077</v>
      </c>
      <c r="D316" s="259">
        <f t="shared" si="50"/>
        <v>96.015000000000001</v>
      </c>
      <c r="E316" s="259">
        <f t="shared" si="51"/>
        <v>128.797</v>
      </c>
      <c r="F316" s="262">
        <f t="shared" si="59"/>
        <v>32.781999999999996</v>
      </c>
      <c r="G316" s="161">
        <f>ROUND(IF(F316&lt;0,F316*'2024-25 PSES Compliance'!$G$13,0),3)</f>
        <v>0</v>
      </c>
      <c r="H316" s="161">
        <f>ROUND(IF(F316&lt;0,F316*'2024-25 PSES Compliance'!$G$14,0),3)</f>
        <v>0</v>
      </c>
      <c r="I316" s="174">
        <f t="shared" si="53"/>
        <v>0.28904399947203741</v>
      </c>
      <c r="J316" s="174">
        <f t="shared" si="54"/>
        <v>0</v>
      </c>
      <c r="K316" s="161">
        <f>VLOOKUP($A316,'Enroll Data as of January 2025'!$A$3:$M$322,6,FALSE)</f>
        <v>54.144000000000005</v>
      </c>
      <c r="L316" s="161">
        <f>VLOOKUP($A316,'Enroll Data as of January 2025'!$A$3:$M$322,7,FALSE)</f>
        <v>8.7919999999999998</v>
      </c>
      <c r="M316" s="161">
        <f>VLOOKUP($A316,'Enroll Data as of January 2025'!$A$3:$M$322,8,FALSE)</f>
        <v>2.9489999999999998</v>
      </c>
      <c r="N316" s="161">
        <f>VLOOKUP($A316,'Enroll Data as of January 2025'!$A$3:$M$322,9,FALSE)</f>
        <v>24.789000000000001</v>
      </c>
      <c r="O316" s="165">
        <f t="shared" si="55"/>
        <v>90.674000000000007</v>
      </c>
      <c r="P316" s="161">
        <f>VLOOKUP($A316,'Enroll Data as of January 2025'!$A$3:$M$322,11,FALSE)</f>
        <v>3.3730000000000002</v>
      </c>
      <c r="Q316" s="161">
        <f>VLOOKUP($A316,'Enroll Data as of January 2025'!$A$3:$M$322,12,FALSE)</f>
        <v>1.968</v>
      </c>
      <c r="R316" s="165">
        <f t="shared" si="56"/>
        <v>5.3410000000000002</v>
      </c>
      <c r="S316" s="267">
        <f>IFERROR(VLOOKUP($A316,Supp_39,14,FALSE),0)+IFERROR(SUMPRODUCT(VLOOKUP($A316,S275_01,{14,15,16},FALSE)),0)+IFERROR(SUMPRODUCT(VLOOKUP($A316,S275_97,{14,15,16},FALSE)),0)+IFERROR(ROUND(VLOOKUP($A316,S275_21,14,FALSE)*VLOOKUP($A316,'3121% SY'!$C$3:$M$324,11,FALSE),3),0)+IFERROR(ROUND(VLOOKUP($A316,S275_21,15,FALSE)*VLOOKUP($A316,'3121% SY'!$C$3:$M$324,11,FALSE),3),0)+IFERROR(ROUND(VLOOKUP($A316,S275_21,16,FALSE)*VLOOKUP($A316,'3121% SY'!$C$3:$M$324,11,FALSE),3),0)+IFERROR(VLOOKUP($A316,S275_09,6,FALSE),0)</f>
        <v>33.653999999999996</v>
      </c>
      <c r="T316" s="267">
        <f>IFERROR(VLOOKUP($A316,Supp_42,14,FALSE),0)+IFERROR(SUMPRODUCT(VLOOKUP($A316,S275_01,{17,18,19},FALSE)),0)+IFERROR(SUMPRODUCT(VLOOKUP($A316,S275_97,{17,18,19},FALSE)),0)+IFERROR(ROUND(VLOOKUP($A316,S275_21,17,FALSE)*VLOOKUP($A316,'3121% SY'!$C$3:$M$324,11,FALSE),3),0)+IFERROR(ROUND(VLOOKUP($A316,S275_21,18,FALSE)*VLOOKUP($A316,'3121% SY'!$C$3:$M$324,11,FALSE),3),0)+IFERROR(ROUND(VLOOKUP($A316,S275_21,19,FALSE)*VLOOKUP($A316,'3121% SY'!$C$3:$M$324,11,FALSE),3),0)+IFERROR(VLOOKUP($A316,S275_09,7,FALSE),0)</f>
        <v>9.2199999999999989</v>
      </c>
      <c r="U316" s="267">
        <f>IFERROR(VLOOKUP($A316,Supp_43,14,FALSE),0)+IFERROR(SUMPRODUCT(VLOOKUP($A316,S275_01,{20,21,22},FALSE)),0)+IFERROR(SUMPRODUCT(VLOOKUP($A316,S275_97,{20,21,22},FALSE)),0)+IFERROR(ROUND(VLOOKUP($A316,S275_21,20,FALSE)*VLOOKUP($A316,'3121% SY'!$C$3:$M$324,11,FALSE),3),0)+IFERROR(ROUND(VLOOKUP($A316,S275_21,21,FALSE)*VLOOKUP($A316,'3121% SY'!$C$3:$M$324,11,FALSE),3),0)+IFERROR(ROUND(VLOOKUP($A316,S275_21,22,FALSE)*VLOOKUP($A316,'3121% SY'!$C$3:$M$324,11,FALSE),3),0)+IFERROR(VLOOKUP($A316,S275_09,8,FALSE),0)</f>
        <v>1.8260000000000001</v>
      </c>
      <c r="V316" s="267">
        <f>IFERROR(VLOOKUP($A316,Supp_44,14,FALSE),0)+IFERROR(SUMPRODUCT(VLOOKUP($A316,S275_01,{23,24,25},FALSE)),0)+IFERROR(SUMPRODUCT(VLOOKUP($A316,S275_97,{23,24,25},FALSE)),0)+IFERROR(ROUND(VLOOKUP($A316,S275_21,23,FALSE)*VLOOKUP($A316,'3121% SY'!$C$3:$M$324,11,FALSE),3),0)+IFERROR(ROUND(VLOOKUP($A316,S275_21,24,FALSE)*VLOOKUP($A316,'3121% SY'!$C$3:$M$324,11,FALSE),3),0)+IFERROR(ROUND(VLOOKUP($A316,S275_21,25,FALSE)*VLOOKUP($A316,'3121% SY'!$C$3:$M$324,11,FALSE),3),0)+IFERROR(VLOOKUP($A316,S275_09,9,FALSE),0)</f>
        <v>0</v>
      </c>
      <c r="W316" s="267">
        <f>IFERROR(VLOOKUP($A316,Supp_45,14,FALSE),0)+IFERROR(SUMPRODUCT(VLOOKUP($A316,S275_01,{26,27,28},FALSE)),0)+IFERROR(SUMPRODUCT(VLOOKUP($A316,S275_97,{26,27,28},FALSE)),0)+IFERROR(ROUND(VLOOKUP($A316,S275_21,26,FALSE)*VLOOKUP($A316,'3121% SY'!$C$3:$M$324,11,FALSE),3),0)+IFERROR(ROUND(VLOOKUP($A316,S275_21,27,FALSE)*VLOOKUP($A316,'3121% SY'!$C$3:$M$324,11,FALSE),3),0)+IFERROR(ROUND(VLOOKUP($A316,S275_21,28,FALSE)*VLOOKUP($A316,'3121% SY'!$C$3:$M$324,11,FALSE),3),0)+IFERROR(VLOOKUP($A316,S275_09,10,FALSE),0)</f>
        <v>3.859</v>
      </c>
      <c r="X316" s="267">
        <f>IFERROR(VLOOKUP($A316,Supp_46,14,FALSE),0)+IFERROR(SUMPRODUCT(VLOOKUP($A316,S275_01,{29,30,31},FALSE)),0)+IFERROR(SUMPRODUCT(VLOOKUP($A316,S275_97,{29,30,31},FALSE)),0)+IFERROR(ROUND(VLOOKUP($A316,S275_21,29,FALSE)*VLOOKUP($A316,'3121% SY'!$C$3:$M$324,11,FALSE),3),0)+IFERROR(ROUND(VLOOKUP($A316,S275_21,30,FALSE)*VLOOKUP($A316,'3121% SY'!$C$3:$M$324,11,FALSE),3),0)+IFERROR(ROUND(VLOOKUP($A316,S275_21,31,FALSE)*VLOOKUP($A316,'3121% SY'!$C$3:$M$324,11,FALSE),3),0)+IFERROR(VLOOKUP($A316,S275_09,11,FALSE),0)</f>
        <v>25.416</v>
      </c>
      <c r="Y316" s="267">
        <f>IFERROR(VLOOKUP($A316,Supp_47,14,FALSE),0)+IFERROR(SUMPRODUCT(VLOOKUP($A316,S275_01,{32,33,34},FALSE)),0)+IFERROR(SUMPRODUCT(VLOOKUP($A316,S275_97,{32,33,34},FALSE)),0)+IFERROR(ROUND(VLOOKUP($A316,S275_21,32,FALSE)*VLOOKUP($A316,'3121% SY'!$C$3:$M$324,11,FALSE),3),0)+IFERROR(ROUND(VLOOKUP($A316,S275_21,33,FALSE)*VLOOKUP($A316,'3121% SY'!$C$3:$M$324,11,FALSE),3),0)+IFERROR(ROUND(VLOOKUP($A316,S275_21,34,FALSE)*VLOOKUP($A316,'3121% SY'!$C$3:$M$324,11,FALSE),3),0)+IFERROR(VLOOKUP($A316,S275_09,12,FALSE),0)</f>
        <v>0.20599999999999999</v>
      </c>
      <c r="Z316" s="267">
        <f>IFERROR(VLOOKUP($A316,Supp_48,14,FALSE),0)+IFERROR(SUMPRODUCT(VLOOKUP($A316,S275_01,{35,36,37},FALSE)),0)+IFERROR(SUMPRODUCT(VLOOKUP($A316,S275_97,{35,36,37},FALSE)),0)+IFERROR(ROUND(VLOOKUP($A316,S275_21,35,FALSE)*VLOOKUP($A316,'3121% SY'!$C$3:$M$324,11,FALSE),3),0)+IFERROR(ROUND(VLOOKUP($A316,S275_21,36,FALSE)*VLOOKUP($A316,'3121% SY'!$C$3:$M$324,11,FALSE),3),0)+IFERROR(ROUND(VLOOKUP($A316,S275_21,37,FALSE)*VLOOKUP($A316,'3121% SY'!$C$3:$M$324,11,FALSE),3),0)+IFERROR(VLOOKUP($A316,S275_09,13,FALSE),0)</f>
        <v>0.27500000000000002</v>
      </c>
      <c r="AA316" s="267">
        <f>IFERROR(VLOOKUP($A316,Supp_49,14,FALSE),0)+IFERROR(SUMPRODUCT(VLOOKUP($A316,S275_01,{38,39,40},FALSE)),0)+IFERROR(SUMPRODUCT(VLOOKUP($A316,S275_97,{38,39,40},FALSE)),0)+IFERROR(ROUND(VLOOKUP($A316,S275_21,38,FALSE)*VLOOKUP($A316,'3121% SY'!$C$3:$M$324,11,FALSE),3),0)+IFERROR(ROUND(VLOOKUP($A316,S275_21,39,FALSE)*VLOOKUP($A316,'3121% SY'!$C$3:$M$324,11,FALSE),3),0)+IFERROR(ROUND(VLOOKUP($A316,S275_21,40,FALSE)*VLOOKUP($A316,'3121% SY'!$C$3:$M$324,11,FALSE),3),0)+IFERROR(VLOOKUP($A316,S275_09,14,FALSE),0)</f>
        <v>0</v>
      </c>
      <c r="AB316" s="267">
        <f>IFERROR(VLOOKUP($A316,Supp_64,14,FALSE),0)+IFERROR(SUMPRODUCT(VLOOKUP($A316,S275_01,{41,42,43},FALSE)),0)+IFERROR(SUMPRODUCT(VLOOKUP($A316,S275_97,{41,42,43},FALSE)),0)+IFERROR(ROUND(VLOOKUP($A316,S275_21,41,FALSE)*VLOOKUP($A316,'3121% SY'!$C$3:$M$324,11,FALSE),3),0)+IFERROR(ROUND(VLOOKUP($A316,S275_21,42,FALSE)*VLOOKUP($A316,'3121% SY'!$C$3:$M$324,11,FALSE),3),0)+IFERROR(ROUND(VLOOKUP($A316,S275_21,43,FALSE)*VLOOKUP($A316,'3121% SY'!$C$3:$M$324,11,FALSE),3),0)+IFERROR(VLOOKUP($A316,S275_09,15,FALSE),0)</f>
        <v>0</v>
      </c>
      <c r="AC316" s="268">
        <f t="shared" si="57"/>
        <v>74.456000000000003</v>
      </c>
      <c r="AD316" s="267">
        <f>IFERROR(VLOOKUP($A316,Supp_24,14,FALSE),0)+IFERROR(SUMPRODUCT(VLOOKUP($A316,S275_01,{2,3,4},FALSE)),0)+IFERROR(SUMPRODUCT(VLOOKUP($A316,S275_97,{2,3,4},FALSE)),0)+IFERROR(ROUND(VLOOKUP($A316,S275_21,2,FALSE)*VLOOKUP($A316,'3121% SY'!$C$3:$M$324,11,FALSE),3),0)+IFERROR(ROUND(VLOOKUP($A316,S275_21,3,FALSE)*VLOOKUP($A316,'3121% SY'!$C$3:$M$324,11,FALSE),3),0)+IFERROR(ROUND(VLOOKUP($A316,S275_21,4,FALSE)*VLOOKUP($A316,'3121% SY'!$C$3:$M$324,11,FALSE),3),0)+IFERROR(VLOOKUP($A316,S275_09,2,FALSE),0)</f>
        <v>2.4820000000000002</v>
      </c>
      <c r="AE316" s="267">
        <f>IFERROR(VLOOKUP($A316,Supp_25,14,FALSE),0)+IFERROR(SUMPRODUCT(VLOOKUP($A316,S275_01,{5,6,7},FALSE)),0)+IFERROR(SUMPRODUCT(VLOOKUP($A316,S275_97,{5,6,7},FALSE)),0)+IFERROR(ROUND(VLOOKUP($A316,S275_21,5,FALSE)*VLOOKUP($A316,'3121% SY'!$C$3:$M$324,11,FALSE),3),0)+IFERROR(ROUND(VLOOKUP($A316,S275_21,6,FALSE)*VLOOKUP($A316,'3121% SY'!$C$3:$M$324,11,FALSE),3),0)+IFERROR(ROUND(VLOOKUP($A316,S275_21,7,FALSE)*VLOOKUP($A316,'3121% SY'!$C$3:$M$324,11,FALSE),3),0)+IFERROR(VLOOKUP($A316,S275_09,3,FALSE),0)</f>
        <v>47.78</v>
      </c>
      <c r="AF316" s="267">
        <f>IFERROR(VLOOKUP($A316,Supp_26,14,FALSE),0)+IFERROR(SUMPRODUCT(VLOOKUP($A316,S275_01,{8,9,10},FALSE)),0)+IFERROR(SUMPRODUCT(VLOOKUP($A316,S275_97,{8,9,10},FALSE)),0)+IFERROR(ROUND(VLOOKUP($A316,S275_21,8,FALSE)*VLOOKUP($A316,'3121% SY'!$C$3:$M$324,11,FALSE),3),0)+IFERROR(ROUND(VLOOKUP($A316,S275_21,9,FALSE)*VLOOKUP($A316,'3121% SY'!$C$3:$M$324,11,FALSE),3),0)+IFERROR(ROUND(VLOOKUP($A316,S275_21,10,FALSE)*VLOOKUP($A316,'3121% SY'!$C$3:$M$324,11,FALSE),3),0)+IFERROR(VLOOKUP($A316,S275_09,4,FALSE),0)</f>
        <v>4.0789999999999997</v>
      </c>
      <c r="AG316" s="267">
        <f>IFERROR(VLOOKUP($A316,Supp_35,14,FALSE),0)+IFERROR(SUMPRODUCT(VLOOKUP($A316,S275_01,{11,12,13},FALSE)),0)+IFERROR(SUMPRODUCT(VLOOKUP($A316,S275_97,{11,12,13},FALSE)),0)+IFERROR(ROUND(VLOOKUP($A316,S275_21,11,FALSE)*VLOOKUP($A316,'3121% SY'!$C$3:$M$324,11,FALSE),3),0)+IFERROR(ROUND(VLOOKUP($A316,S275_21,12,FALSE)*VLOOKUP($A316,'3121% SY'!$C$3:$M$324,11,FALSE),3),0)+IFERROR(ROUND(VLOOKUP($A316,S275_21,13,FALSE)*VLOOKUP($A316,'3121% SY'!$C$3:$M$324,11,FALSE),3),0)+IFERROR(VLOOKUP($A316,S275_09,5,FALSE),0)</f>
        <v>0</v>
      </c>
      <c r="AH316" s="165">
        <f t="shared" si="58"/>
        <v>54.341000000000001</v>
      </c>
      <c r="AI316" s="161">
        <f>IFERROR(VLOOKUP(A316,'Supp Staff Data'!A:ER,148,FALSE),0)+AB316</f>
        <v>0</v>
      </c>
      <c r="AJ316" s="174">
        <v>0.5</v>
      </c>
      <c r="AK316" s="25">
        <f>VLOOKUP(A316,'Enroll Data as of January 2025'!$A$3:$T$323,20,FALSE)-F316</f>
        <v>0</v>
      </c>
    </row>
    <row r="317" spans="1:37" x14ac:dyDescent="0.25">
      <c r="A317" s="171" t="s">
        <v>184</v>
      </c>
      <c r="B317" t="s">
        <v>480</v>
      </c>
      <c r="C317" s="173" t="s">
        <v>1077</v>
      </c>
      <c r="D317" s="259">
        <f t="shared" si="50"/>
        <v>119.27500000000001</v>
      </c>
      <c r="E317" s="259">
        <f t="shared" si="51"/>
        <v>164.85400000000001</v>
      </c>
      <c r="F317" s="262">
        <f t="shared" si="59"/>
        <v>45.579000000000001</v>
      </c>
      <c r="G317" s="161">
        <f>ROUND(IF(F317&lt;0,F317*'2024-25 PSES Compliance'!$G$13,0),3)</f>
        <v>0</v>
      </c>
      <c r="H317" s="161">
        <f>ROUND(IF(F317&lt;0,F317*'2024-25 PSES Compliance'!$G$14,0),3)</f>
        <v>0</v>
      </c>
      <c r="I317" s="174">
        <f t="shared" si="53"/>
        <v>0.51321192327756682</v>
      </c>
      <c r="J317" s="174">
        <f t="shared" si="54"/>
        <v>0</v>
      </c>
      <c r="K317" s="161">
        <f>VLOOKUP($A317,'Enroll Data as of January 2025'!$A$3:$M$322,6,FALSE)</f>
        <v>67.349000000000004</v>
      </c>
      <c r="L317" s="161">
        <f>VLOOKUP($A317,'Enroll Data as of January 2025'!$A$3:$M$322,7,FALSE)</f>
        <v>10.943000000000001</v>
      </c>
      <c r="M317" s="161">
        <f>VLOOKUP($A317,'Enroll Data as of January 2025'!$A$3:$M$322,8,FALSE)</f>
        <v>3.6759999999999997</v>
      </c>
      <c r="N317" s="161">
        <f>VLOOKUP($A317,'Enroll Data as of January 2025'!$A$3:$M$322,9,FALSE)</f>
        <v>30.660999999999998</v>
      </c>
      <c r="O317" s="165">
        <f t="shared" si="55"/>
        <v>112.629</v>
      </c>
      <c r="P317" s="161">
        <f>VLOOKUP($A317,'Enroll Data as of January 2025'!$A$3:$M$322,11,FALSE)</f>
        <v>4.1930000000000005</v>
      </c>
      <c r="Q317" s="161">
        <f>VLOOKUP($A317,'Enroll Data as of January 2025'!$A$3:$M$322,12,FALSE)</f>
        <v>2.4529999999999998</v>
      </c>
      <c r="R317" s="165">
        <f t="shared" si="56"/>
        <v>6.6460000000000008</v>
      </c>
      <c r="S317" s="267">
        <f>IFERROR(VLOOKUP($A317,Supp_39,14,FALSE),0)+IFERROR(SUMPRODUCT(VLOOKUP($A317,S275_01,{14,15,16},FALSE)),0)+IFERROR(SUMPRODUCT(VLOOKUP($A317,S275_97,{14,15,16},FALSE)),0)+IFERROR(ROUND(VLOOKUP($A317,S275_21,14,FALSE)*VLOOKUP($A317,'3121% SY'!$C$3:$M$324,11,FALSE),3),0)+IFERROR(ROUND(VLOOKUP($A317,S275_21,15,FALSE)*VLOOKUP($A317,'3121% SY'!$C$3:$M$324,11,FALSE),3),0)+IFERROR(ROUND(VLOOKUP($A317,S275_21,16,FALSE)*VLOOKUP($A317,'3121% SY'!$C$3:$M$324,11,FALSE),3),0)+IFERROR(VLOOKUP($A317,S275_09,6,FALSE),0)</f>
        <v>44.055999999999997</v>
      </c>
      <c r="T317" s="267">
        <f>IFERROR(VLOOKUP($A317,Supp_42,14,FALSE),0)+IFERROR(SUMPRODUCT(VLOOKUP($A317,S275_01,{17,18,19},FALSE)),0)+IFERROR(SUMPRODUCT(VLOOKUP($A317,S275_97,{17,18,19},FALSE)),0)+IFERROR(ROUND(VLOOKUP($A317,S275_21,17,FALSE)*VLOOKUP($A317,'3121% SY'!$C$3:$M$324,11,FALSE),3),0)+IFERROR(ROUND(VLOOKUP($A317,S275_21,18,FALSE)*VLOOKUP($A317,'3121% SY'!$C$3:$M$324,11,FALSE),3),0)+IFERROR(ROUND(VLOOKUP($A317,S275_21,19,FALSE)*VLOOKUP($A317,'3121% SY'!$C$3:$M$324,11,FALSE),3),0)+IFERROR(VLOOKUP($A317,S275_09,7,FALSE),0)</f>
        <v>8.4559999999999995</v>
      </c>
      <c r="U317" s="267">
        <f>IFERROR(VLOOKUP($A317,Supp_43,14,FALSE),0)+IFERROR(SUMPRODUCT(VLOOKUP($A317,S275_01,{20,21,22},FALSE)),0)+IFERROR(SUMPRODUCT(VLOOKUP($A317,S275_97,{20,21,22},FALSE)),0)+IFERROR(ROUND(VLOOKUP($A317,S275_21,20,FALSE)*VLOOKUP($A317,'3121% SY'!$C$3:$M$324,11,FALSE),3),0)+IFERROR(ROUND(VLOOKUP($A317,S275_21,21,FALSE)*VLOOKUP($A317,'3121% SY'!$C$3:$M$324,11,FALSE),3),0)+IFERROR(ROUND(VLOOKUP($A317,S275_21,22,FALSE)*VLOOKUP($A317,'3121% SY'!$C$3:$M$324,11,FALSE),3),0)+IFERROR(VLOOKUP($A317,S275_09,8,FALSE),0)</f>
        <v>3.4050000000000002</v>
      </c>
      <c r="V317" s="267">
        <f>IFERROR(VLOOKUP($A317,Supp_44,14,FALSE),0)+IFERROR(SUMPRODUCT(VLOOKUP($A317,S275_01,{23,24,25},FALSE)),0)+IFERROR(SUMPRODUCT(VLOOKUP($A317,S275_97,{23,24,25},FALSE)),0)+IFERROR(ROUND(VLOOKUP($A317,S275_21,23,FALSE)*VLOOKUP($A317,'3121% SY'!$C$3:$M$324,11,FALSE),3),0)+IFERROR(ROUND(VLOOKUP($A317,S275_21,24,FALSE)*VLOOKUP($A317,'3121% SY'!$C$3:$M$324,11,FALSE),3),0)+IFERROR(ROUND(VLOOKUP($A317,S275_21,25,FALSE)*VLOOKUP($A317,'3121% SY'!$C$3:$M$324,11,FALSE),3),0)+IFERROR(VLOOKUP($A317,S275_09,9,FALSE),0)</f>
        <v>0.504</v>
      </c>
      <c r="W317" s="267">
        <f>IFERROR(VLOOKUP($A317,Supp_45,14,FALSE),0)+IFERROR(SUMPRODUCT(VLOOKUP($A317,S275_01,{26,27,28},FALSE)),0)+IFERROR(SUMPRODUCT(VLOOKUP($A317,S275_97,{26,27,28},FALSE)),0)+IFERROR(ROUND(VLOOKUP($A317,S275_21,26,FALSE)*VLOOKUP($A317,'3121% SY'!$C$3:$M$324,11,FALSE),3),0)+IFERROR(ROUND(VLOOKUP($A317,S275_21,27,FALSE)*VLOOKUP($A317,'3121% SY'!$C$3:$M$324,11,FALSE),3),0)+IFERROR(ROUND(VLOOKUP($A317,S275_21,28,FALSE)*VLOOKUP($A317,'3121% SY'!$C$3:$M$324,11,FALSE),3),0)+IFERROR(VLOOKUP($A317,S275_09,10,FALSE),0)</f>
        <v>8.6650000000000009</v>
      </c>
      <c r="X317" s="267">
        <f>IFERROR(VLOOKUP($A317,Supp_46,14,FALSE),0)+IFERROR(SUMPRODUCT(VLOOKUP($A317,S275_01,{29,30,31},FALSE)),0)+IFERROR(SUMPRODUCT(VLOOKUP($A317,S275_97,{29,30,31},FALSE)),0)+IFERROR(ROUND(VLOOKUP($A317,S275_21,29,FALSE)*VLOOKUP($A317,'3121% SY'!$C$3:$M$324,11,FALSE),3),0)+IFERROR(ROUND(VLOOKUP($A317,S275_21,30,FALSE)*VLOOKUP($A317,'3121% SY'!$C$3:$M$324,11,FALSE),3),0)+IFERROR(ROUND(VLOOKUP($A317,S275_21,31,FALSE)*VLOOKUP($A317,'3121% SY'!$C$3:$M$324,11,FALSE),3),0)+IFERROR(VLOOKUP($A317,S275_09,11,FALSE),0)</f>
        <v>21.410999999999998</v>
      </c>
      <c r="Y317" s="267">
        <f>IFERROR(VLOOKUP($A317,Supp_47,14,FALSE),0)+IFERROR(SUMPRODUCT(VLOOKUP($A317,S275_01,{32,33,34},FALSE)),0)+IFERROR(SUMPRODUCT(VLOOKUP($A317,S275_97,{32,33,34},FALSE)),0)+IFERROR(ROUND(VLOOKUP($A317,S275_21,32,FALSE)*VLOOKUP($A317,'3121% SY'!$C$3:$M$324,11,FALSE),3),0)+IFERROR(ROUND(VLOOKUP($A317,S275_21,33,FALSE)*VLOOKUP($A317,'3121% SY'!$C$3:$M$324,11,FALSE),3),0)+IFERROR(ROUND(VLOOKUP($A317,S275_21,34,FALSE)*VLOOKUP($A317,'3121% SY'!$C$3:$M$324,11,FALSE),3),0)+IFERROR(VLOOKUP($A317,S275_09,12,FALSE),0)</f>
        <v>2.4470000000000001</v>
      </c>
      <c r="Z317" s="267">
        <f>IFERROR(VLOOKUP($A317,Supp_48,14,FALSE),0)+IFERROR(SUMPRODUCT(VLOOKUP($A317,S275_01,{35,36,37},FALSE)),0)+IFERROR(SUMPRODUCT(VLOOKUP($A317,S275_97,{35,36,37},FALSE)),0)+IFERROR(ROUND(VLOOKUP($A317,S275_21,35,FALSE)*VLOOKUP($A317,'3121% SY'!$C$3:$M$324,11,FALSE),3),0)+IFERROR(ROUND(VLOOKUP($A317,S275_21,36,FALSE)*VLOOKUP($A317,'3121% SY'!$C$3:$M$324,11,FALSE),3),0)+IFERROR(ROUND(VLOOKUP($A317,S275_21,37,FALSE)*VLOOKUP($A317,'3121% SY'!$C$3:$M$324,11,FALSE),3),0)+IFERROR(VLOOKUP($A317,S275_09,13,FALSE),0)</f>
        <v>0.91199999999999992</v>
      </c>
      <c r="AA317" s="267">
        <f>IFERROR(VLOOKUP($A317,Supp_49,14,FALSE),0)+IFERROR(SUMPRODUCT(VLOOKUP($A317,S275_01,{38,39,40},FALSE)),0)+IFERROR(SUMPRODUCT(VLOOKUP($A317,S275_97,{38,39,40},FALSE)),0)+IFERROR(ROUND(VLOOKUP($A317,S275_21,38,FALSE)*VLOOKUP($A317,'3121% SY'!$C$3:$M$324,11,FALSE),3),0)+IFERROR(ROUND(VLOOKUP($A317,S275_21,39,FALSE)*VLOOKUP($A317,'3121% SY'!$C$3:$M$324,11,FALSE),3),0)+IFERROR(ROUND(VLOOKUP($A317,S275_21,40,FALSE)*VLOOKUP($A317,'3121% SY'!$C$3:$M$324,11,FALSE),3),0)+IFERROR(VLOOKUP($A317,S275_09,14,FALSE),0)</f>
        <v>1.5199999999999998</v>
      </c>
      <c r="AB317" s="267">
        <f>IFERROR(VLOOKUP($A317,Supp_64,14,FALSE),0)+IFERROR(SUMPRODUCT(VLOOKUP($A317,S275_01,{41,42,43},FALSE)),0)+IFERROR(SUMPRODUCT(VLOOKUP($A317,S275_97,{41,42,43},FALSE)),0)+IFERROR(ROUND(VLOOKUP($A317,S275_21,41,FALSE)*VLOOKUP($A317,'3121% SY'!$C$3:$M$324,11,FALSE),3),0)+IFERROR(ROUND(VLOOKUP($A317,S275_21,42,FALSE)*VLOOKUP($A317,'3121% SY'!$C$3:$M$324,11,FALSE),3),0)+IFERROR(ROUND(VLOOKUP($A317,S275_21,43,FALSE)*VLOOKUP($A317,'3121% SY'!$C$3:$M$324,11,FALSE),3),0)+IFERROR(VLOOKUP($A317,S275_09,15,FALSE),0)</f>
        <v>0</v>
      </c>
      <c r="AC317" s="268">
        <f t="shared" si="57"/>
        <v>91.376000000000005</v>
      </c>
      <c r="AD317" s="267">
        <f>IFERROR(VLOOKUP($A317,Supp_24,14,FALSE),0)+IFERROR(SUMPRODUCT(VLOOKUP($A317,S275_01,{2,3,4},FALSE)),0)+IFERROR(SUMPRODUCT(VLOOKUP($A317,S275_97,{2,3,4},FALSE)),0)+IFERROR(ROUND(VLOOKUP($A317,S275_21,2,FALSE)*VLOOKUP($A317,'3121% SY'!$C$3:$M$324,11,FALSE),3),0)+IFERROR(ROUND(VLOOKUP($A317,S275_21,3,FALSE)*VLOOKUP($A317,'3121% SY'!$C$3:$M$324,11,FALSE),3),0)+IFERROR(ROUND(VLOOKUP($A317,S275_21,4,FALSE)*VLOOKUP($A317,'3121% SY'!$C$3:$M$324,11,FALSE),3),0)+IFERROR(VLOOKUP($A317,S275_09,2,FALSE),0)</f>
        <v>0.97099999999999997</v>
      </c>
      <c r="AE317" s="267">
        <f>IFERROR(VLOOKUP($A317,Supp_25,14,FALSE),0)+IFERROR(SUMPRODUCT(VLOOKUP($A317,S275_01,{5,6,7},FALSE)),0)+IFERROR(SUMPRODUCT(VLOOKUP($A317,S275_97,{5,6,7},FALSE)),0)+IFERROR(ROUND(VLOOKUP($A317,S275_21,5,FALSE)*VLOOKUP($A317,'3121% SY'!$C$3:$M$324,11,FALSE),3),0)+IFERROR(ROUND(VLOOKUP($A317,S275_21,6,FALSE)*VLOOKUP($A317,'3121% SY'!$C$3:$M$324,11,FALSE),3),0)+IFERROR(ROUND(VLOOKUP($A317,S275_21,7,FALSE)*VLOOKUP($A317,'3121% SY'!$C$3:$M$324,11,FALSE),3),0)+IFERROR(VLOOKUP($A317,S275_09,3,FALSE),0)</f>
        <v>49.295000000000002</v>
      </c>
      <c r="AF317" s="267">
        <f>IFERROR(VLOOKUP($A317,Supp_26,14,FALSE),0)+IFERROR(SUMPRODUCT(VLOOKUP($A317,S275_01,{8,9,10},FALSE)),0)+IFERROR(SUMPRODUCT(VLOOKUP($A317,S275_97,{8,9,10},FALSE)),0)+IFERROR(ROUND(VLOOKUP($A317,S275_21,8,FALSE)*VLOOKUP($A317,'3121% SY'!$C$3:$M$324,11,FALSE),3),0)+IFERROR(ROUND(VLOOKUP($A317,S275_21,9,FALSE)*VLOOKUP($A317,'3121% SY'!$C$3:$M$324,11,FALSE),3),0)+IFERROR(ROUND(VLOOKUP($A317,S275_21,10,FALSE)*VLOOKUP($A317,'3121% SY'!$C$3:$M$324,11,FALSE),3),0)+IFERROR(VLOOKUP($A317,S275_09,4,FALSE),0)</f>
        <v>12.374000000000001</v>
      </c>
      <c r="AG317" s="267">
        <f>IFERROR(VLOOKUP($A317,Supp_35,14,FALSE),0)+IFERROR(SUMPRODUCT(VLOOKUP($A317,S275_01,{11,12,13},FALSE)),0)+IFERROR(SUMPRODUCT(VLOOKUP($A317,S275_97,{11,12,13},FALSE)),0)+IFERROR(ROUND(VLOOKUP($A317,S275_21,11,FALSE)*VLOOKUP($A317,'3121% SY'!$C$3:$M$324,11,FALSE),3),0)+IFERROR(ROUND(VLOOKUP($A317,S275_21,12,FALSE)*VLOOKUP($A317,'3121% SY'!$C$3:$M$324,11,FALSE),3),0)+IFERROR(ROUND(VLOOKUP($A317,S275_21,13,FALSE)*VLOOKUP($A317,'3121% SY'!$C$3:$M$324,11,FALSE),3),0)+IFERROR(VLOOKUP($A317,S275_09,5,FALSE),0)</f>
        <v>10.838000000000001</v>
      </c>
      <c r="AH317" s="165">
        <f t="shared" si="58"/>
        <v>73.478000000000009</v>
      </c>
      <c r="AI317" s="161">
        <f>IFERROR(VLOOKUP(A317,'Supp Staff Data'!A:ER,148,FALSE),0)+AB317</f>
        <v>0</v>
      </c>
      <c r="AJ317" s="174">
        <v>0.92589999999999995</v>
      </c>
      <c r="AK317" s="25">
        <f>VLOOKUP(A317,'Enroll Data as of January 2025'!$A$3:$T$323,20,FALSE)-F317</f>
        <v>0</v>
      </c>
    </row>
    <row r="318" spans="1:37" x14ac:dyDescent="0.25">
      <c r="A318" s="171" t="s">
        <v>185</v>
      </c>
      <c r="B318" t="s">
        <v>481</v>
      </c>
      <c r="C318" s="173" t="s">
        <v>1077</v>
      </c>
      <c r="D318" s="259">
        <f t="shared" si="50"/>
        <v>143.30699999999999</v>
      </c>
      <c r="E318" s="259">
        <f t="shared" si="51"/>
        <v>190.22299999999996</v>
      </c>
      <c r="F318" s="262">
        <f t="shared" si="59"/>
        <v>46.915999999999997</v>
      </c>
      <c r="G318" s="161">
        <f>ROUND(IF(F318&lt;0,F318*'2024-25 PSES Compliance'!$G$13,0),3)</f>
        <v>0</v>
      </c>
      <c r="H318" s="161">
        <f>ROUND(IF(F318&lt;0,F318*'2024-25 PSES Compliance'!$G$14,0),3)</f>
        <v>0</v>
      </c>
      <c r="I318" s="174">
        <f t="shared" si="53"/>
        <v>0.76793027131314306</v>
      </c>
      <c r="J318" s="174">
        <f t="shared" si="54"/>
        <v>0</v>
      </c>
      <c r="K318" s="161">
        <f>VLOOKUP($A318,'Enroll Data as of January 2025'!$A$3:$M$322,6,FALSE)</f>
        <v>80.576999999999998</v>
      </c>
      <c r="L318" s="161">
        <f>VLOOKUP($A318,'Enroll Data as of January 2025'!$A$3:$M$322,7,FALSE)</f>
        <v>13.353999999999999</v>
      </c>
      <c r="M318" s="161">
        <f>VLOOKUP($A318,'Enroll Data as of January 2025'!$A$3:$M$322,8,FALSE)</f>
        <v>4.4870000000000001</v>
      </c>
      <c r="N318" s="161">
        <f>VLOOKUP($A318,'Enroll Data as of January 2025'!$A$3:$M$322,9,FALSE)</f>
        <v>36.827999999999996</v>
      </c>
      <c r="O318" s="165">
        <f t="shared" si="55"/>
        <v>135.24599999999998</v>
      </c>
      <c r="P318" s="161">
        <f>VLOOKUP($A318,'Enroll Data as of January 2025'!$A$3:$M$322,11,FALSE)</f>
        <v>5.0439999999999996</v>
      </c>
      <c r="Q318" s="161">
        <f>VLOOKUP($A318,'Enroll Data as of January 2025'!$A$3:$M$322,12,FALSE)</f>
        <v>3.0169999999999999</v>
      </c>
      <c r="R318" s="165">
        <f t="shared" si="56"/>
        <v>8.0609999999999999</v>
      </c>
      <c r="S318" s="267">
        <f>IFERROR(VLOOKUP($A318,Supp_39,14,FALSE),0)+IFERROR(SUMPRODUCT(VLOOKUP($A318,S275_01,{14,15,16},FALSE)),0)+IFERROR(SUMPRODUCT(VLOOKUP($A318,S275_97,{14,15,16},FALSE)),0)+IFERROR(ROUND(VLOOKUP($A318,S275_21,14,FALSE)*VLOOKUP($A318,'3121% SY'!$C$3:$M$324,11,FALSE),3),0)+IFERROR(ROUND(VLOOKUP($A318,S275_21,15,FALSE)*VLOOKUP($A318,'3121% SY'!$C$3:$M$324,11,FALSE),3),0)+IFERROR(ROUND(VLOOKUP($A318,S275_21,16,FALSE)*VLOOKUP($A318,'3121% SY'!$C$3:$M$324,11,FALSE),3),0)+IFERROR(VLOOKUP($A318,S275_09,6,FALSE),0)</f>
        <v>68.74199999999999</v>
      </c>
      <c r="T318" s="267">
        <f>IFERROR(VLOOKUP($A318,Supp_42,14,FALSE),0)+IFERROR(SUMPRODUCT(VLOOKUP($A318,S275_01,{17,18,19},FALSE)),0)+IFERROR(SUMPRODUCT(VLOOKUP($A318,S275_97,{17,18,19},FALSE)),0)+IFERROR(ROUND(VLOOKUP($A318,S275_21,17,FALSE)*VLOOKUP($A318,'3121% SY'!$C$3:$M$324,11,FALSE),3),0)+IFERROR(ROUND(VLOOKUP($A318,S275_21,18,FALSE)*VLOOKUP($A318,'3121% SY'!$C$3:$M$324,11,FALSE),3),0)+IFERROR(ROUND(VLOOKUP($A318,S275_21,19,FALSE)*VLOOKUP($A318,'3121% SY'!$C$3:$M$324,11,FALSE),3),0)+IFERROR(VLOOKUP($A318,S275_09,7,FALSE),0)</f>
        <v>13.438000000000001</v>
      </c>
      <c r="U318" s="267">
        <f>IFERROR(VLOOKUP($A318,Supp_43,14,FALSE),0)+IFERROR(SUMPRODUCT(VLOOKUP($A318,S275_01,{20,21,22},FALSE)),0)+IFERROR(SUMPRODUCT(VLOOKUP($A318,S275_97,{20,21,22},FALSE)),0)+IFERROR(ROUND(VLOOKUP($A318,S275_21,20,FALSE)*VLOOKUP($A318,'3121% SY'!$C$3:$M$324,11,FALSE),3),0)+IFERROR(ROUND(VLOOKUP($A318,S275_21,21,FALSE)*VLOOKUP($A318,'3121% SY'!$C$3:$M$324,11,FALSE),3),0)+IFERROR(ROUND(VLOOKUP($A318,S275_21,22,FALSE)*VLOOKUP($A318,'3121% SY'!$C$3:$M$324,11,FALSE),3),0)+IFERROR(VLOOKUP($A318,S275_09,8,FALSE),0)</f>
        <v>9.2849999999999984</v>
      </c>
      <c r="V318" s="267">
        <f>IFERROR(VLOOKUP($A318,Supp_44,14,FALSE),0)+IFERROR(SUMPRODUCT(VLOOKUP($A318,S275_01,{23,24,25},FALSE)),0)+IFERROR(SUMPRODUCT(VLOOKUP($A318,S275_97,{23,24,25},FALSE)),0)+IFERROR(ROUND(VLOOKUP($A318,S275_21,23,FALSE)*VLOOKUP($A318,'3121% SY'!$C$3:$M$324,11,FALSE),3),0)+IFERROR(ROUND(VLOOKUP($A318,S275_21,24,FALSE)*VLOOKUP($A318,'3121% SY'!$C$3:$M$324,11,FALSE),3),0)+IFERROR(ROUND(VLOOKUP($A318,S275_21,25,FALSE)*VLOOKUP($A318,'3121% SY'!$C$3:$M$324,11,FALSE),3),0)+IFERROR(VLOOKUP($A318,S275_09,9,FALSE),0)</f>
        <v>0</v>
      </c>
      <c r="W318" s="267">
        <f>IFERROR(VLOOKUP($A318,Supp_45,14,FALSE),0)+IFERROR(SUMPRODUCT(VLOOKUP($A318,S275_01,{26,27,28},FALSE)),0)+IFERROR(SUMPRODUCT(VLOOKUP($A318,S275_97,{26,27,28},FALSE)),0)+IFERROR(ROUND(VLOOKUP($A318,S275_21,26,FALSE)*VLOOKUP($A318,'3121% SY'!$C$3:$M$324,11,FALSE),3),0)+IFERROR(ROUND(VLOOKUP($A318,S275_21,27,FALSE)*VLOOKUP($A318,'3121% SY'!$C$3:$M$324,11,FALSE),3),0)+IFERROR(ROUND(VLOOKUP($A318,S275_21,28,FALSE)*VLOOKUP($A318,'3121% SY'!$C$3:$M$324,11,FALSE),3),0)+IFERROR(VLOOKUP($A318,S275_09,10,FALSE),0)</f>
        <v>14.321</v>
      </c>
      <c r="X318" s="267">
        <f>IFERROR(VLOOKUP($A318,Supp_46,14,FALSE),0)+IFERROR(SUMPRODUCT(VLOOKUP($A318,S275_01,{29,30,31},FALSE)),0)+IFERROR(SUMPRODUCT(VLOOKUP($A318,S275_97,{29,30,31},FALSE)),0)+IFERROR(ROUND(VLOOKUP($A318,S275_21,29,FALSE)*VLOOKUP($A318,'3121% SY'!$C$3:$M$324,11,FALSE),3),0)+IFERROR(ROUND(VLOOKUP($A318,S275_21,30,FALSE)*VLOOKUP($A318,'3121% SY'!$C$3:$M$324,11,FALSE),3),0)+IFERROR(ROUND(VLOOKUP($A318,S275_21,31,FALSE)*VLOOKUP($A318,'3121% SY'!$C$3:$M$324,11,FALSE),3),0)+IFERROR(VLOOKUP($A318,S275_09,11,FALSE),0)</f>
        <v>31.535999999999998</v>
      </c>
      <c r="Y318" s="267">
        <f>IFERROR(VLOOKUP($A318,Supp_47,14,FALSE),0)+IFERROR(SUMPRODUCT(VLOOKUP($A318,S275_01,{32,33,34},FALSE)),0)+IFERROR(SUMPRODUCT(VLOOKUP($A318,S275_97,{32,33,34},FALSE)),0)+IFERROR(ROUND(VLOOKUP($A318,S275_21,32,FALSE)*VLOOKUP($A318,'3121% SY'!$C$3:$M$324,11,FALSE),3),0)+IFERROR(ROUND(VLOOKUP($A318,S275_21,33,FALSE)*VLOOKUP($A318,'3121% SY'!$C$3:$M$324,11,FALSE),3),0)+IFERROR(ROUND(VLOOKUP($A318,S275_21,34,FALSE)*VLOOKUP($A318,'3121% SY'!$C$3:$M$324,11,FALSE),3),0)+IFERROR(VLOOKUP($A318,S275_09,12,FALSE),0)</f>
        <v>3.9249999999999998</v>
      </c>
      <c r="Z318" s="267">
        <f>IFERROR(VLOOKUP($A318,Supp_48,14,FALSE),0)+IFERROR(SUMPRODUCT(VLOOKUP($A318,S275_01,{35,36,37},FALSE)),0)+IFERROR(SUMPRODUCT(VLOOKUP($A318,S275_97,{35,36,37},FALSE)),0)+IFERROR(ROUND(VLOOKUP($A318,S275_21,35,FALSE)*VLOOKUP($A318,'3121% SY'!$C$3:$M$324,11,FALSE),3),0)+IFERROR(ROUND(VLOOKUP($A318,S275_21,36,FALSE)*VLOOKUP($A318,'3121% SY'!$C$3:$M$324,11,FALSE),3),0)+IFERROR(ROUND(VLOOKUP($A318,S275_21,37,FALSE)*VLOOKUP($A318,'3121% SY'!$C$3:$M$324,11,FALSE),3),0)+IFERROR(VLOOKUP($A318,S275_09,13,FALSE),0)</f>
        <v>3.7199999999999998</v>
      </c>
      <c r="AA318" s="267">
        <f>IFERROR(VLOOKUP($A318,Supp_49,14,FALSE),0)+IFERROR(SUMPRODUCT(VLOOKUP($A318,S275_01,{38,39,40},FALSE)),0)+IFERROR(SUMPRODUCT(VLOOKUP($A318,S275_97,{38,39,40},FALSE)),0)+IFERROR(ROUND(VLOOKUP($A318,S275_21,38,FALSE)*VLOOKUP($A318,'3121% SY'!$C$3:$M$324,11,FALSE),3),0)+IFERROR(ROUND(VLOOKUP($A318,S275_21,39,FALSE)*VLOOKUP($A318,'3121% SY'!$C$3:$M$324,11,FALSE),3),0)+IFERROR(ROUND(VLOOKUP($A318,S275_21,40,FALSE)*VLOOKUP($A318,'3121% SY'!$C$3:$M$324,11,FALSE),3),0)+IFERROR(VLOOKUP($A318,S275_09,14,FALSE),0)</f>
        <v>1.111</v>
      </c>
      <c r="AB318" s="267">
        <f>IFERROR(VLOOKUP($A318,Supp_64,14,FALSE),0)+IFERROR(SUMPRODUCT(VLOOKUP($A318,S275_01,{41,42,43},FALSE)),0)+IFERROR(SUMPRODUCT(VLOOKUP($A318,S275_97,{41,42,43},FALSE)),0)+IFERROR(ROUND(VLOOKUP($A318,S275_21,41,FALSE)*VLOOKUP($A318,'3121% SY'!$C$3:$M$324,11,FALSE),3),0)+IFERROR(ROUND(VLOOKUP($A318,S275_21,42,FALSE)*VLOOKUP($A318,'3121% SY'!$C$3:$M$324,11,FALSE),3),0)+IFERROR(ROUND(VLOOKUP($A318,S275_21,43,FALSE)*VLOOKUP($A318,'3121% SY'!$C$3:$M$324,11,FALSE),3),0)+IFERROR(VLOOKUP($A318,S275_09,15,FALSE),0)</f>
        <v>0</v>
      </c>
      <c r="AC318" s="268">
        <f t="shared" si="57"/>
        <v>146.07799999999997</v>
      </c>
      <c r="AD318" s="267">
        <f>IFERROR(VLOOKUP($A318,Supp_24,14,FALSE),0)+IFERROR(SUMPRODUCT(VLOOKUP($A318,S275_01,{2,3,4},FALSE)),0)+IFERROR(SUMPRODUCT(VLOOKUP($A318,S275_97,{2,3,4},FALSE)),0)+IFERROR(ROUND(VLOOKUP($A318,S275_21,2,FALSE)*VLOOKUP($A318,'3121% SY'!$C$3:$M$324,11,FALSE),3),0)+IFERROR(ROUND(VLOOKUP($A318,S275_21,3,FALSE)*VLOOKUP($A318,'3121% SY'!$C$3:$M$324,11,FALSE),3),0)+IFERROR(ROUND(VLOOKUP($A318,S275_21,4,FALSE)*VLOOKUP($A318,'3121% SY'!$C$3:$M$324,11,FALSE),3),0)+IFERROR(VLOOKUP($A318,S275_09,2,FALSE),0)</f>
        <v>0</v>
      </c>
      <c r="AE318" s="267">
        <f>IFERROR(VLOOKUP($A318,Supp_25,14,FALSE),0)+IFERROR(SUMPRODUCT(VLOOKUP($A318,S275_01,{5,6,7},FALSE)),0)+IFERROR(SUMPRODUCT(VLOOKUP($A318,S275_97,{5,6,7},FALSE)),0)+IFERROR(ROUND(VLOOKUP($A318,S275_21,5,FALSE)*VLOOKUP($A318,'3121% SY'!$C$3:$M$324,11,FALSE),3),0)+IFERROR(ROUND(VLOOKUP($A318,S275_21,6,FALSE)*VLOOKUP($A318,'3121% SY'!$C$3:$M$324,11,FALSE),3),0)+IFERROR(ROUND(VLOOKUP($A318,S275_21,7,FALSE)*VLOOKUP($A318,'3121% SY'!$C$3:$M$324,11,FALSE),3),0)+IFERROR(VLOOKUP($A318,S275_09,3,FALSE),0)</f>
        <v>26.385999999999999</v>
      </c>
      <c r="AF318" s="267">
        <f>IFERROR(VLOOKUP($A318,Supp_26,14,FALSE),0)+IFERROR(SUMPRODUCT(VLOOKUP($A318,S275_01,{8,9,10},FALSE)),0)+IFERROR(SUMPRODUCT(VLOOKUP($A318,S275_97,{8,9,10},FALSE)),0)+IFERROR(ROUND(VLOOKUP($A318,S275_21,8,FALSE)*VLOOKUP($A318,'3121% SY'!$C$3:$M$324,11,FALSE),3),0)+IFERROR(ROUND(VLOOKUP($A318,S275_21,9,FALSE)*VLOOKUP($A318,'3121% SY'!$C$3:$M$324,11,FALSE),3),0)+IFERROR(ROUND(VLOOKUP($A318,S275_21,10,FALSE)*VLOOKUP($A318,'3121% SY'!$C$3:$M$324,11,FALSE),3),0)+IFERROR(VLOOKUP($A318,S275_09,4,FALSE),0)</f>
        <v>17.759</v>
      </c>
      <c r="AG318" s="267">
        <f>IFERROR(VLOOKUP($A318,Supp_35,14,FALSE),0)+IFERROR(SUMPRODUCT(VLOOKUP($A318,S275_01,{11,12,13},FALSE)),0)+IFERROR(SUMPRODUCT(VLOOKUP($A318,S275_97,{11,12,13},FALSE)),0)+IFERROR(ROUND(VLOOKUP($A318,S275_21,11,FALSE)*VLOOKUP($A318,'3121% SY'!$C$3:$M$324,11,FALSE),3),0)+IFERROR(ROUND(VLOOKUP($A318,S275_21,12,FALSE)*VLOOKUP($A318,'3121% SY'!$C$3:$M$324,11,FALSE),3),0)+IFERROR(ROUND(VLOOKUP($A318,S275_21,13,FALSE)*VLOOKUP($A318,'3121% SY'!$C$3:$M$324,11,FALSE),3),0)+IFERROR(VLOOKUP($A318,S275_09,5,FALSE),0)</f>
        <v>0</v>
      </c>
      <c r="AH318" s="165">
        <f t="shared" si="58"/>
        <v>44.144999999999996</v>
      </c>
      <c r="AI318" s="161">
        <f>IFERROR(VLOOKUP(A318,'Supp Staff Data'!A:ER,148,FALSE),0)+AB318</f>
        <v>0</v>
      </c>
      <c r="AJ318" s="174">
        <v>1</v>
      </c>
      <c r="AK318" s="25">
        <f>VLOOKUP(A318,'Enroll Data as of January 2025'!$A$3:$T$323,20,FALSE)-F318</f>
        <v>0</v>
      </c>
    </row>
    <row r="319" spans="1:37" x14ac:dyDescent="0.25">
      <c r="A319" s="171" t="s">
        <v>97</v>
      </c>
      <c r="B319" t="s">
        <v>393</v>
      </c>
      <c r="C319" s="173" t="s">
        <v>1077</v>
      </c>
      <c r="D319" s="259">
        <f t="shared" si="50"/>
        <v>111.236</v>
      </c>
      <c r="E319" s="259">
        <f t="shared" si="51"/>
        <v>156.74599999999998</v>
      </c>
      <c r="F319" s="262">
        <f t="shared" si="59"/>
        <v>45.51</v>
      </c>
      <c r="G319" s="161">
        <f>ROUND(IF(F319&lt;0,F319*'2024-25 PSES Compliance'!$G$13,0),3)</f>
        <v>0</v>
      </c>
      <c r="H319" s="161">
        <f>ROUND(IF(F319&lt;0,F319*'2024-25 PSES Compliance'!$G$14,0),3)</f>
        <v>0</v>
      </c>
      <c r="I319" s="174">
        <f t="shared" si="53"/>
        <v>0.53686218468094882</v>
      </c>
      <c r="J319" s="174">
        <f t="shared" si="54"/>
        <v>1.1375090911410818E-2</v>
      </c>
      <c r="K319" s="161">
        <f>VLOOKUP($A319,'Enroll Data as of January 2025'!$A$3:$M$322,6,FALSE)</f>
        <v>62.695999999999998</v>
      </c>
      <c r="L319" s="161">
        <f>VLOOKUP($A319,'Enroll Data as of January 2025'!$A$3:$M$322,7,FALSE)</f>
        <v>10.198</v>
      </c>
      <c r="M319" s="161">
        <f>VLOOKUP($A319,'Enroll Data as of January 2025'!$A$3:$M$322,8,FALSE)</f>
        <v>3.4209999999999998</v>
      </c>
      <c r="N319" s="161">
        <f>VLOOKUP($A319,'Enroll Data as of January 2025'!$A$3:$M$322,9,FALSE)</f>
        <v>28.728000000000002</v>
      </c>
      <c r="O319" s="165">
        <f t="shared" si="55"/>
        <v>105.04300000000001</v>
      </c>
      <c r="P319" s="161">
        <f>VLOOKUP($A319,'Enroll Data as of January 2025'!$A$3:$M$322,11,FALSE)</f>
        <v>3.9089999999999998</v>
      </c>
      <c r="Q319" s="161">
        <f>VLOOKUP($A319,'Enroll Data as of January 2025'!$A$3:$M$322,12,FALSE)</f>
        <v>2.2839999999999998</v>
      </c>
      <c r="R319" s="165">
        <f t="shared" si="56"/>
        <v>6.1929999999999996</v>
      </c>
      <c r="S319" s="267">
        <f>IFERROR(VLOOKUP($A319,Supp_39,14,FALSE),0)+IFERROR(SUMPRODUCT(VLOOKUP($A319,S275_01,{14,15,16},FALSE)),0)+IFERROR(SUMPRODUCT(VLOOKUP($A319,S275_97,{14,15,16},FALSE)),0)+IFERROR(ROUND(VLOOKUP($A319,S275_21,14,FALSE)*VLOOKUP($A319,'3121% SY'!$C$3:$M$324,11,FALSE),3),0)+IFERROR(ROUND(VLOOKUP($A319,S275_21,15,FALSE)*VLOOKUP($A319,'3121% SY'!$C$3:$M$324,11,FALSE),3),0)+IFERROR(ROUND(VLOOKUP($A319,S275_21,16,FALSE)*VLOOKUP($A319,'3121% SY'!$C$3:$M$324,11,FALSE),3),0)+IFERROR(VLOOKUP($A319,S275_09,6,FALSE),0)</f>
        <v>31.143999999999998</v>
      </c>
      <c r="T319" s="267">
        <f>IFERROR(VLOOKUP($A319,Supp_42,14,FALSE),0)+IFERROR(SUMPRODUCT(VLOOKUP($A319,S275_01,{17,18,19},FALSE)),0)+IFERROR(SUMPRODUCT(VLOOKUP($A319,S275_97,{17,18,19},FALSE)),0)+IFERROR(ROUND(VLOOKUP($A319,S275_21,17,FALSE)*VLOOKUP($A319,'3121% SY'!$C$3:$M$324,11,FALSE),3),0)+IFERROR(ROUND(VLOOKUP($A319,S275_21,18,FALSE)*VLOOKUP($A319,'3121% SY'!$C$3:$M$324,11,FALSE),3),0)+IFERROR(ROUND(VLOOKUP($A319,S275_21,19,FALSE)*VLOOKUP($A319,'3121% SY'!$C$3:$M$324,11,FALSE),3),0)+IFERROR(VLOOKUP($A319,S275_09,7,FALSE),0)</f>
        <v>4.9960000000000004</v>
      </c>
      <c r="U319" s="267">
        <f>IFERROR(VLOOKUP($A319,Supp_43,14,FALSE),0)+IFERROR(SUMPRODUCT(VLOOKUP($A319,S275_01,{20,21,22},FALSE)),0)+IFERROR(SUMPRODUCT(VLOOKUP($A319,S275_97,{20,21,22},FALSE)),0)+IFERROR(ROUND(VLOOKUP($A319,S275_21,20,FALSE)*VLOOKUP($A319,'3121% SY'!$C$3:$M$324,11,FALSE),3),0)+IFERROR(ROUND(VLOOKUP($A319,S275_21,21,FALSE)*VLOOKUP($A319,'3121% SY'!$C$3:$M$324,11,FALSE),3),0)+IFERROR(ROUND(VLOOKUP($A319,S275_21,22,FALSE)*VLOOKUP($A319,'3121% SY'!$C$3:$M$324,11,FALSE),3),0)+IFERROR(VLOOKUP($A319,S275_09,8,FALSE),0)</f>
        <v>6.4530000000000003</v>
      </c>
      <c r="V319" s="267">
        <f>IFERROR(VLOOKUP($A319,Supp_44,14,FALSE),0)+IFERROR(SUMPRODUCT(VLOOKUP($A319,S275_01,{23,24,25},FALSE)),0)+IFERROR(SUMPRODUCT(VLOOKUP($A319,S275_97,{23,24,25},FALSE)),0)+IFERROR(ROUND(VLOOKUP($A319,S275_21,23,FALSE)*VLOOKUP($A319,'3121% SY'!$C$3:$M$324,11,FALSE),3),0)+IFERROR(ROUND(VLOOKUP($A319,S275_21,24,FALSE)*VLOOKUP($A319,'3121% SY'!$C$3:$M$324,11,FALSE),3),0)+IFERROR(ROUND(VLOOKUP($A319,S275_21,25,FALSE)*VLOOKUP($A319,'3121% SY'!$C$3:$M$324,11,FALSE),3),0)+IFERROR(VLOOKUP($A319,S275_09,9,FALSE),0)</f>
        <v>0.67</v>
      </c>
      <c r="W319" s="267">
        <f>IFERROR(VLOOKUP($A319,Supp_45,14,FALSE),0)+IFERROR(SUMPRODUCT(VLOOKUP($A319,S275_01,{26,27,28},FALSE)),0)+IFERROR(SUMPRODUCT(VLOOKUP($A319,S275_97,{26,27,28},FALSE)),0)+IFERROR(ROUND(VLOOKUP($A319,S275_21,26,FALSE)*VLOOKUP($A319,'3121% SY'!$C$3:$M$324,11,FALSE),3),0)+IFERROR(ROUND(VLOOKUP($A319,S275_21,27,FALSE)*VLOOKUP($A319,'3121% SY'!$C$3:$M$324,11,FALSE),3),0)+IFERROR(ROUND(VLOOKUP($A319,S275_21,28,FALSE)*VLOOKUP($A319,'3121% SY'!$C$3:$M$324,11,FALSE),3),0)+IFERROR(VLOOKUP($A319,S275_09,10,FALSE),0)</f>
        <v>11.202</v>
      </c>
      <c r="X319" s="267">
        <f>IFERROR(VLOOKUP($A319,Supp_46,14,FALSE),0)+IFERROR(SUMPRODUCT(VLOOKUP($A319,S275_01,{29,30,31},FALSE)),0)+IFERROR(SUMPRODUCT(VLOOKUP($A319,S275_97,{29,30,31},FALSE)),0)+IFERROR(ROUND(VLOOKUP($A319,S275_21,29,FALSE)*VLOOKUP($A319,'3121% SY'!$C$3:$M$324,11,FALSE),3),0)+IFERROR(ROUND(VLOOKUP($A319,S275_21,30,FALSE)*VLOOKUP($A319,'3121% SY'!$C$3:$M$324,11,FALSE),3),0)+IFERROR(ROUND(VLOOKUP($A319,S275_21,31,FALSE)*VLOOKUP($A319,'3121% SY'!$C$3:$M$324,11,FALSE),3),0)+IFERROR(VLOOKUP($A319,S275_09,11,FALSE),0)</f>
        <v>23.721999999999998</v>
      </c>
      <c r="Y319" s="267">
        <f>IFERROR(VLOOKUP($A319,Supp_47,14,FALSE),0)+IFERROR(SUMPRODUCT(VLOOKUP($A319,S275_01,{32,33,34},FALSE)),0)+IFERROR(SUMPRODUCT(VLOOKUP($A319,S275_97,{32,33,34},FALSE)),0)+IFERROR(ROUND(VLOOKUP($A319,S275_21,32,FALSE)*VLOOKUP($A319,'3121% SY'!$C$3:$M$324,11,FALSE),3),0)+IFERROR(ROUND(VLOOKUP($A319,S275_21,33,FALSE)*VLOOKUP($A319,'3121% SY'!$C$3:$M$324,11,FALSE),3),0)+IFERROR(ROUND(VLOOKUP($A319,S275_21,34,FALSE)*VLOOKUP($A319,'3121% SY'!$C$3:$M$324,11,FALSE),3),0)+IFERROR(VLOOKUP($A319,S275_09,12,FALSE),0)</f>
        <v>2.6949999999999998</v>
      </c>
      <c r="Z319" s="267">
        <f>IFERROR(VLOOKUP($A319,Supp_48,14,FALSE),0)+IFERROR(SUMPRODUCT(VLOOKUP($A319,S275_01,{35,36,37},FALSE)),0)+IFERROR(SUMPRODUCT(VLOOKUP($A319,S275_97,{35,36,37},FALSE)),0)+IFERROR(ROUND(VLOOKUP($A319,S275_21,35,FALSE)*VLOOKUP($A319,'3121% SY'!$C$3:$M$324,11,FALSE),3),0)+IFERROR(ROUND(VLOOKUP($A319,S275_21,36,FALSE)*VLOOKUP($A319,'3121% SY'!$C$3:$M$324,11,FALSE),3),0)+IFERROR(ROUND(VLOOKUP($A319,S275_21,37,FALSE)*VLOOKUP($A319,'3121% SY'!$C$3:$M$324,11,FALSE),3),0)+IFERROR(VLOOKUP($A319,S275_09,13,FALSE),0)</f>
        <v>1.4860000000000002</v>
      </c>
      <c r="AA319" s="267">
        <f>IFERROR(VLOOKUP($A319,Supp_49,14,FALSE),0)+IFERROR(SUMPRODUCT(VLOOKUP($A319,S275_01,{38,39,40},FALSE)),0)+IFERROR(SUMPRODUCT(VLOOKUP($A319,S275_97,{38,39,40},FALSE)),0)+IFERROR(ROUND(VLOOKUP($A319,S275_21,38,FALSE)*VLOOKUP($A319,'3121% SY'!$C$3:$M$324,11,FALSE),3),0)+IFERROR(ROUND(VLOOKUP($A319,S275_21,39,FALSE)*VLOOKUP($A319,'3121% SY'!$C$3:$M$324,11,FALSE),3),0)+IFERROR(ROUND(VLOOKUP($A319,S275_21,40,FALSE)*VLOOKUP($A319,'3121% SY'!$C$3:$M$324,11,FALSE),3),0)+IFERROR(VLOOKUP($A319,S275_09,14,FALSE),0)</f>
        <v>0</v>
      </c>
      <c r="AB319" s="267">
        <f>IFERROR(VLOOKUP($A319,Supp_64,14,FALSE),0)+IFERROR(SUMPRODUCT(VLOOKUP($A319,S275_01,{41,42,43},FALSE)),0)+IFERROR(SUMPRODUCT(VLOOKUP($A319,S275_97,{41,42,43},FALSE)),0)+IFERROR(ROUND(VLOOKUP($A319,S275_21,41,FALSE)*VLOOKUP($A319,'3121% SY'!$C$3:$M$324,11,FALSE),3),0)+IFERROR(ROUND(VLOOKUP($A319,S275_21,42,FALSE)*VLOOKUP($A319,'3121% SY'!$C$3:$M$324,11,FALSE),3),0)+IFERROR(ROUND(VLOOKUP($A319,S275_21,43,FALSE)*VLOOKUP($A319,'3121% SY'!$C$3:$M$324,11,FALSE),3),0)+IFERROR(VLOOKUP($A319,S275_09,15,FALSE),0)</f>
        <v>1.7829999999999999</v>
      </c>
      <c r="AC319" s="268">
        <f t="shared" si="57"/>
        <v>84.150999999999996</v>
      </c>
      <c r="AD319" s="267">
        <f>IFERROR(VLOOKUP($A319,Supp_24,14,FALSE),0)+IFERROR(SUMPRODUCT(VLOOKUP($A319,S275_01,{2,3,4},FALSE)),0)+IFERROR(SUMPRODUCT(VLOOKUP($A319,S275_97,{2,3,4},FALSE)),0)+IFERROR(ROUND(VLOOKUP($A319,S275_21,2,FALSE)*VLOOKUP($A319,'3121% SY'!$C$3:$M$324,11,FALSE),3),0)+IFERROR(ROUND(VLOOKUP($A319,S275_21,3,FALSE)*VLOOKUP($A319,'3121% SY'!$C$3:$M$324,11,FALSE),3),0)+IFERROR(ROUND(VLOOKUP($A319,S275_21,4,FALSE)*VLOOKUP($A319,'3121% SY'!$C$3:$M$324,11,FALSE),3),0)+IFERROR(VLOOKUP($A319,S275_09,2,FALSE),0)</f>
        <v>4</v>
      </c>
      <c r="AE319" s="267">
        <f>IFERROR(VLOOKUP($A319,Supp_25,14,FALSE),0)+IFERROR(SUMPRODUCT(VLOOKUP($A319,S275_01,{5,6,7},FALSE)),0)+IFERROR(SUMPRODUCT(VLOOKUP($A319,S275_97,{5,6,7},FALSE)),0)+IFERROR(ROUND(VLOOKUP($A319,S275_21,5,FALSE)*VLOOKUP($A319,'3121% SY'!$C$3:$M$324,11,FALSE),3),0)+IFERROR(ROUND(VLOOKUP($A319,S275_21,6,FALSE)*VLOOKUP($A319,'3121% SY'!$C$3:$M$324,11,FALSE),3),0)+IFERROR(ROUND(VLOOKUP($A319,S275_21,7,FALSE)*VLOOKUP($A319,'3121% SY'!$C$3:$M$324,11,FALSE),3),0)+IFERROR(VLOOKUP($A319,S275_09,3,FALSE),0)</f>
        <v>40.029000000000003</v>
      </c>
      <c r="AF319" s="267">
        <f>IFERROR(VLOOKUP($A319,Supp_26,14,FALSE),0)+IFERROR(SUMPRODUCT(VLOOKUP($A319,S275_01,{8,9,10},FALSE)),0)+IFERROR(SUMPRODUCT(VLOOKUP($A319,S275_97,{8,9,10},FALSE)),0)+IFERROR(ROUND(VLOOKUP($A319,S275_21,8,FALSE)*VLOOKUP($A319,'3121% SY'!$C$3:$M$324,11,FALSE),3),0)+IFERROR(ROUND(VLOOKUP($A319,S275_21,9,FALSE)*VLOOKUP($A319,'3121% SY'!$C$3:$M$324,11,FALSE),3),0)+IFERROR(ROUND(VLOOKUP($A319,S275_21,10,FALSE)*VLOOKUP($A319,'3121% SY'!$C$3:$M$324,11,FALSE),3),0)+IFERROR(VLOOKUP($A319,S275_09,4,FALSE),0)</f>
        <v>17.158999999999999</v>
      </c>
      <c r="AG319" s="267">
        <f>IFERROR(VLOOKUP($A319,Supp_35,14,FALSE),0)+IFERROR(SUMPRODUCT(VLOOKUP($A319,S275_01,{11,12,13},FALSE)),0)+IFERROR(SUMPRODUCT(VLOOKUP($A319,S275_97,{11,12,13},FALSE)),0)+IFERROR(ROUND(VLOOKUP($A319,S275_21,11,FALSE)*VLOOKUP($A319,'3121% SY'!$C$3:$M$324,11,FALSE),3),0)+IFERROR(ROUND(VLOOKUP($A319,S275_21,12,FALSE)*VLOOKUP($A319,'3121% SY'!$C$3:$M$324,11,FALSE),3),0)+IFERROR(ROUND(VLOOKUP($A319,S275_21,13,FALSE)*VLOOKUP($A319,'3121% SY'!$C$3:$M$324,11,FALSE),3),0)+IFERROR(VLOOKUP($A319,S275_09,5,FALSE),0)</f>
        <v>11.407</v>
      </c>
      <c r="AH319" s="165">
        <f t="shared" si="58"/>
        <v>72.594999999999999</v>
      </c>
      <c r="AI319" s="161">
        <f>IFERROR(VLOOKUP(A319,'Supp Staff Data'!A:ER,148,FALSE),0)+AB319</f>
        <v>1.7829999999999999</v>
      </c>
      <c r="AJ319" s="174">
        <v>1</v>
      </c>
      <c r="AK319" s="25">
        <f>VLOOKUP(A319,'Enroll Data as of January 2025'!$A$3:$T$323,20,FALSE)-F319</f>
        <v>0</v>
      </c>
    </row>
    <row r="320" spans="1:37" x14ac:dyDescent="0.25">
      <c r="A320" s="171" t="s">
        <v>102</v>
      </c>
      <c r="B320" t="s">
        <v>398</v>
      </c>
      <c r="C320" s="173" t="s">
        <v>1077</v>
      </c>
      <c r="D320" s="259">
        <f t="shared" si="50"/>
        <v>69.760000000000005</v>
      </c>
      <c r="E320" s="259">
        <f t="shared" si="51"/>
        <v>125.47999999999999</v>
      </c>
      <c r="F320" s="262">
        <f t="shared" si="59"/>
        <v>55.72</v>
      </c>
      <c r="G320" s="161">
        <f>ROUND(IF(F320&lt;0,F320*'2024-25 PSES Compliance'!$G$13,0),3)</f>
        <v>0</v>
      </c>
      <c r="H320" s="161">
        <f>ROUND(IF(F320&lt;0,F320*'2024-25 PSES Compliance'!$G$14,0),3)</f>
        <v>0</v>
      </c>
      <c r="I320" s="174">
        <f t="shared" si="53"/>
        <v>0.55921262352566137</v>
      </c>
      <c r="J320" s="174">
        <f t="shared" si="54"/>
        <v>0</v>
      </c>
      <c r="K320" s="161">
        <f>VLOOKUP($A320,'Enroll Data as of January 2025'!$A$3:$M$322,6,FALSE)</f>
        <v>38.279000000000003</v>
      </c>
      <c r="L320" s="161">
        <f>VLOOKUP($A320,'Enroll Data as of January 2025'!$A$3:$M$322,7,FALSE)</f>
        <v>6.8719999999999999</v>
      </c>
      <c r="M320" s="161">
        <f>VLOOKUP($A320,'Enroll Data as of January 2025'!$A$3:$M$322,8,FALSE)</f>
        <v>2.302</v>
      </c>
      <c r="N320" s="161">
        <f>VLOOKUP($A320,'Enroll Data as of January 2025'!$A$3:$M$322,9,FALSE)</f>
        <v>18.25</v>
      </c>
      <c r="O320" s="165">
        <f t="shared" si="55"/>
        <v>65.703000000000003</v>
      </c>
      <c r="P320" s="161">
        <f>VLOOKUP($A320,'Enroll Data as of January 2025'!$A$3:$M$322,11,FALSE)</f>
        <v>2.464</v>
      </c>
      <c r="Q320" s="161">
        <f>VLOOKUP($A320,'Enroll Data as of January 2025'!$A$3:$M$322,12,FALSE)</f>
        <v>1.593</v>
      </c>
      <c r="R320" s="165">
        <f t="shared" si="56"/>
        <v>4.0570000000000004</v>
      </c>
      <c r="S320" s="267">
        <f>IFERROR(VLOOKUP($A320,Supp_39,14,FALSE),0)+IFERROR(SUMPRODUCT(VLOOKUP($A320,S275_01,{14,15,16},FALSE)),0)+IFERROR(SUMPRODUCT(VLOOKUP($A320,S275_97,{14,15,16},FALSE)),0)+IFERROR(ROUND(VLOOKUP($A320,S275_21,14,FALSE)*VLOOKUP($A320,'3121% SY'!$C$3:$M$324,11,FALSE),3),0)+IFERROR(ROUND(VLOOKUP($A320,S275_21,15,FALSE)*VLOOKUP($A320,'3121% SY'!$C$3:$M$324,11,FALSE),3),0)+IFERROR(ROUND(VLOOKUP($A320,S275_21,16,FALSE)*VLOOKUP($A320,'3121% SY'!$C$3:$M$324,11,FALSE),3),0)+IFERROR(VLOOKUP($A320,S275_09,6,FALSE),0)</f>
        <v>31.65</v>
      </c>
      <c r="T320" s="267">
        <f>IFERROR(VLOOKUP($A320,Supp_42,14,FALSE),0)+IFERROR(SUMPRODUCT(VLOOKUP($A320,S275_01,{17,18,19},FALSE)),0)+IFERROR(SUMPRODUCT(VLOOKUP($A320,S275_97,{17,18,19},FALSE)),0)+IFERROR(ROUND(VLOOKUP($A320,S275_21,17,FALSE)*VLOOKUP($A320,'3121% SY'!$C$3:$M$324,11,FALSE),3),0)+IFERROR(ROUND(VLOOKUP($A320,S275_21,18,FALSE)*VLOOKUP($A320,'3121% SY'!$C$3:$M$324,11,FALSE),3),0)+IFERROR(ROUND(VLOOKUP($A320,S275_21,19,FALSE)*VLOOKUP($A320,'3121% SY'!$C$3:$M$324,11,FALSE),3),0)+IFERROR(VLOOKUP($A320,S275_09,7,FALSE),0)</f>
        <v>5.6449999999999996</v>
      </c>
      <c r="U320" s="267">
        <f>IFERROR(VLOOKUP($A320,Supp_43,14,FALSE),0)+IFERROR(SUMPRODUCT(VLOOKUP($A320,S275_01,{20,21,22},FALSE)),0)+IFERROR(SUMPRODUCT(VLOOKUP($A320,S275_97,{20,21,22},FALSE)),0)+IFERROR(ROUND(VLOOKUP($A320,S275_21,20,FALSE)*VLOOKUP($A320,'3121% SY'!$C$3:$M$324,11,FALSE),3),0)+IFERROR(ROUND(VLOOKUP($A320,S275_21,21,FALSE)*VLOOKUP($A320,'3121% SY'!$C$3:$M$324,11,FALSE),3),0)+IFERROR(ROUND(VLOOKUP($A320,S275_21,22,FALSE)*VLOOKUP($A320,'3121% SY'!$C$3:$M$324,11,FALSE),3),0)+IFERROR(VLOOKUP($A320,S275_09,8,FALSE),0)</f>
        <v>5.2509999999999994</v>
      </c>
      <c r="V320" s="267">
        <f>IFERROR(VLOOKUP($A320,Supp_44,14,FALSE),0)+IFERROR(SUMPRODUCT(VLOOKUP($A320,S275_01,{23,24,25},FALSE)),0)+IFERROR(SUMPRODUCT(VLOOKUP($A320,S275_97,{23,24,25},FALSE)),0)+IFERROR(ROUND(VLOOKUP($A320,S275_21,23,FALSE)*VLOOKUP($A320,'3121% SY'!$C$3:$M$324,11,FALSE),3),0)+IFERROR(ROUND(VLOOKUP($A320,S275_21,24,FALSE)*VLOOKUP($A320,'3121% SY'!$C$3:$M$324,11,FALSE),3),0)+IFERROR(ROUND(VLOOKUP($A320,S275_21,25,FALSE)*VLOOKUP($A320,'3121% SY'!$C$3:$M$324,11,FALSE),3),0)+IFERROR(VLOOKUP($A320,S275_09,9,FALSE),0)</f>
        <v>0.4</v>
      </c>
      <c r="W320" s="267">
        <f>IFERROR(VLOOKUP($A320,Supp_45,14,FALSE),0)+IFERROR(SUMPRODUCT(VLOOKUP($A320,S275_01,{26,27,28},FALSE)),0)+IFERROR(SUMPRODUCT(VLOOKUP($A320,S275_97,{26,27,28},FALSE)),0)+IFERROR(ROUND(VLOOKUP($A320,S275_21,26,FALSE)*VLOOKUP($A320,'3121% SY'!$C$3:$M$324,11,FALSE),3),0)+IFERROR(ROUND(VLOOKUP($A320,S275_21,27,FALSE)*VLOOKUP($A320,'3121% SY'!$C$3:$M$324,11,FALSE),3),0)+IFERROR(ROUND(VLOOKUP($A320,S275_21,28,FALSE)*VLOOKUP($A320,'3121% SY'!$C$3:$M$324,11,FALSE),3),0)+IFERROR(VLOOKUP($A320,S275_09,10,FALSE),0)</f>
        <v>7.3459999999999992</v>
      </c>
      <c r="X320" s="267">
        <f>IFERROR(VLOOKUP($A320,Supp_46,14,FALSE),0)+IFERROR(SUMPRODUCT(VLOOKUP($A320,S275_01,{29,30,31},FALSE)),0)+IFERROR(SUMPRODUCT(VLOOKUP($A320,S275_97,{29,30,31},FALSE)),0)+IFERROR(ROUND(VLOOKUP($A320,S275_21,29,FALSE)*VLOOKUP($A320,'3121% SY'!$C$3:$M$324,11,FALSE),3),0)+IFERROR(ROUND(VLOOKUP($A320,S275_21,30,FALSE)*VLOOKUP($A320,'3121% SY'!$C$3:$M$324,11,FALSE),3),0)+IFERROR(ROUND(VLOOKUP($A320,S275_21,31,FALSE)*VLOOKUP($A320,'3121% SY'!$C$3:$M$324,11,FALSE),3),0)+IFERROR(VLOOKUP($A320,S275_09,11,FALSE),0)</f>
        <v>15.14</v>
      </c>
      <c r="Y320" s="267">
        <f>IFERROR(VLOOKUP($A320,Supp_47,14,FALSE),0)+IFERROR(SUMPRODUCT(VLOOKUP($A320,S275_01,{32,33,34},FALSE)),0)+IFERROR(SUMPRODUCT(VLOOKUP($A320,S275_97,{32,33,34},FALSE)),0)+IFERROR(ROUND(VLOOKUP($A320,S275_21,32,FALSE)*VLOOKUP($A320,'3121% SY'!$C$3:$M$324,11,FALSE),3),0)+IFERROR(ROUND(VLOOKUP($A320,S275_21,33,FALSE)*VLOOKUP($A320,'3121% SY'!$C$3:$M$324,11,FALSE),3),0)+IFERROR(ROUND(VLOOKUP($A320,S275_21,34,FALSE)*VLOOKUP($A320,'3121% SY'!$C$3:$M$324,11,FALSE),3),0)+IFERROR(VLOOKUP($A320,S275_09,12,FALSE),0)</f>
        <v>3.2</v>
      </c>
      <c r="Z320" s="267">
        <f>IFERROR(VLOOKUP($A320,Supp_48,14,FALSE),0)+IFERROR(SUMPRODUCT(VLOOKUP($A320,S275_01,{35,36,37},FALSE)),0)+IFERROR(SUMPRODUCT(VLOOKUP($A320,S275_97,{35,36,37},FALSE)),0)+IFERROR(ROUND(VLOOKUP($A320,S275_21,35,FALSE)*VLOOKUP($A320,'3121% SY'!$C$3:$M$324,11,FALSE),3),0)+IFERROR(ROUND(VLOOKUP($A320,S275_21,36,FALSE)*VLOOKUP($A320,'3121% SY'!$C$3:$M$324,11,FALSE),3),0)+IFERROR(ROUND(VLOOKUP($A320,S275_21,37,FALSE)*VLOOKUP($A320,'3121% SY'!$C$3:$M$324,11,FALSE),3),0)+IFERROR(VLOOKUP($A320,S275_09,13,FALSE),0)</f>
        <v>1.538</v>
      </c>
      <c r="AA320" s="267">
        <f>IFERROR(VLOOKUP($A320,Supp_49,14,FALSE),0)+IFERROR(SUMPRODUCT(VLOOKUP($A320,S275_01,{38,39,40},FALSE)),0)+IFERROR(SUMPRODUCT(VLOOKUP($A320,S275_97,{38,39,40},FALSE)),0)+IFERROR(ROUND(VLOOKUP($A320,S275_21,38,FALSE)*VLOOKUP($A320,'3121% SY'!$C$3:$M$324,11,FALSE),3),0)+IFERROR(ROUND(VLOOKUP($A320,S275_21,39,FALSE)*VLOOKUP($A320,'3121% SY'!$C$3:$M$324,11,FALSE),3),0)+IFERROR(ROUND(VLOOKUP($A320,S275_21,40,FALSE)*VLOOKUP($A320,'3121% SY'!$C$3:$M$324,11,FALSE),3),0)+IFERROR(VLOOKUP($A320,S275_09,14,FALSE),0)</f>
        <v>0</v>
      </c>
      <c r="AB320" s="267">
        <f>IFERROR(VLOOKUP($A320,Supp_64,14,FALSE),0)+IFERROR(SUMPRODUCT(VLOOKUP($A320,S275_01,{41,42,43},FALSE)),0)+IFERROR(SUMPRODUCT(VLOOKUP($A320,S275_97,{41,42,43},FALSE)),0)+IFERROR(ROUND(VLOOKUP($A320,S275_21,41,FALSE)*VLOOKUP($A320,'3121% SY'!$C$3:$M$324,11,FALSE),3),0)+IFERROR(ROUND(VLOOKUP($A320,S275_21,42,FALSE)*VLOOKUP($A320,'3121% SY'!$C$3:$M$324,11,FALSE),3),0)+IFERROR(ROUND(VLOOKUP($A320,S275_21,43,FALSE)*VLOOKUP($A320,'3121% SY'!$C$3:$M$324,11,FALSE),3),0)+IFERROR(VLOOKUP($A320,S275_09,15,FALSE),0)</f>
        <v>0</v>
      </c>
      <c r="AC320" s="268">
        <f t="shared" si="57"/>
        <v>70.169999999999987</v>
      </c>
      <c r="AD320" s="267">
        <f>IFERROR(VLOOKUP($A320,Supp_24,14,FALSE),0)+IFERROR(SUMPRODUCT(VLOOKUP($A320,S275_01,{2,3,4},FALSE)),0)+IFERROR(SUMPRODUCT(VLOOKUP($A320,S275_97,{2,3,4},FALSE)),0)+IFERROR(ROUND(VLOOKUP($A320,S275_21,2,FALSE)*VLOOKUP($A320,'3121% SY'!$C$3:$M$324,11,FALSE),3),0)+IFERROR(ROUND(VLOOKUP($A320,S275_21,3,FALSE)*VLOOKUP($A320,'3121% SY'!$C$3:$M$324,11,FALSE),3),0)+IFERROR(ROUND(VLOOKUP($A320,S275_21,4,FALSE)*VLOOKUP($A320,'3121% SY'!$C$3:$M$324,11,FALSE),3),0)+IFERROR(VLOOKUP($A320,S275_09,2,FALSE),0)</f>
        <v>0</v>
      </c>
      <c r="AE320" s="267">
        <f>IFERROR(VLOOKUP($A320,Supp_25,14,FALSE),0)+IFERROR(SUMPRODUCT(VLOOKUP($A320,S275_01,{5,6,7},FALSE)),0)+IFERROR(SUMPRODUCT(VLOOKUP($A320,S275_97,{5,6,7},FALSE)),0)+IFERROR(ROUND(VLOOKUP($A320,S275_21,5,FALSE)*VLOOKUP($A320,'3121% SY'!$C$3:$M$324,11,FALSE),3),0)+IFERROR(ROUND(VLOOKUP($A320,S275_21,6,FALSE)*VLOOKUP($A320,'3121% SY'!$C$3:$M$324,11,FALSE),3),0)+IFERROR(ROUND(VLOOKUP($A320,S275_21,7,FALSE)*VLOOKUP($A320,'3121% SY'!$C$3:$M$324,11,FALSE),3),0)+IFERROR(VLOOKUP($A320,S275_09,3,FALSE),0)</f>
        <v>24.948999999999998</v>
      </c>
      <c r="AF320" s="267">
        <f>IFERROR(VLOOKUP($A320,Supp_26,14,FALSE),0)+IFERROR(SUMPRODUCT(VLOOKUP($A320,S275_01,{8,9,10},FALSE)),0)+IFERROR(SUMPRODUCT(VLOOKUP($A320,S275_97,{8,9,10},FALSE)),0)+IFERROR(ROUND(VLOOKUP($A320,S275_21,8,FALSE)*VLOOKUP($A320,'3121% SY'!$C$3:$M$324,11,FALSE),3),0)+IFERROR(ROUND(VLOOKUP($A320,S275_21,9,FALSE)*VLOOKUP($A320,'3121% SY'!$C$3:$M$324,11,FALSE),3),0)+IFERROR(ROUND(VLOOKUP($A320,S275_21,10,FALSE)*VLOOKUP($A320,'3121% SY'!$C$3:$M$324,11,FALSE),3),0)+IFERROR(VLOOKUP($A320,S275_09,4,FALSE),0)</f>
        <v>22.154999999999998</v>
      </c>
      <c r="AG320" s="267">
        <f>IFERROR(VLOOKUP($A320,Supp_35,14,FALSE),0)+IFERROR(SUMPRODUCT(VLOOKUP($A320,S275_01,{11,12,13},FALSE)),0)+IFERROR(SUMPRODUCT(VLOOKUP($A320,S275_97,{11,12,13},FALSE)),0)+IFERROR(ROUND(VLOOKUP($A320,S275_21,11,FALSE)*VLOOKUP($A320,'3121% SY'!$C$3:$M$324,11,FALSE),3),0)+IFERROR(ROUND(VLOOKUP($A320,S275_21,12,FALSE)*VLOOKUP($A320,'3121% SY'!$C$3:$M$324,11,FALSE),3),0)+IFERROR(ROUND(VLOOKUP($A320,S275_21,13,FALSE)*VLOOKUP($A320,'3121% SY'!$C$3:$M$324,11,FALSE),3),0)+IFERROR(VLOOKUP($A320,S275_09,5,FALSE),0)</f>
        <v>8.2059999999999995</v>
      </c>
      <c r="AH320" s="165">
        <f t="shared" si="58"/>
        <v>55.31</v>
      </c>
      <c r="AI320" s="161">
        <f>IFERROR(VLOOKUP(A320,'Supp Staff Data'!A:ER,148,FALSE),0)+AB320</f>
        <v>0</v>
      </c>
      <c r="AJ320" s="174">
        <v>1</v>
      </c>
      <c r="AK320" s="25">
        <f>VLOOKUP(A320,'Enroll Data as of January 2025'!$A$3:$T$323,20,FALSE)-F320</f>
        <v>0</v>
      </c>
    </row>
    <row r="321" spans="1:37" x14ac:dyDescent="0.25">
      <c r="A321" s="171" t="s">
        <v>100</v>
      </c>
      <c r="B321" t="s">
        <v>396</v>
      </c>
      <c r="C321" s="173" t="s">
        <v>1077</v>
      </c>
      <c r="D321" s="259">
        <f t="shared" si="50"/>
        <v>90.048000000000002</v>
      </c>
      <c r="E321" s="259">
        <f t="shared" si="51"/>
        <v>148.38999999999999</v>
      </c>
      <c r="F321" s="262">
        <f t="shared" si="59"/>
        <v>58.341999999999999</v>
      </c>
      <c r="G321" s="161">
        <f>ROUND(IF(F321&lt;0,F321*'2024-25 PSES Compliance'!$G$13,0),3)</f>
        <v>0</v>
      </c>
      <c r="H321" s="161">
        <f>ROUND(IF(F321&lt;0,F321*'2024-25 PSES Compliance'!$G$14,0),3)</f>
        <v>0</v>
      </c>
      <c r="I321" s="174">
        <f t="shared" si="53"/>
        <v>0.75375699171103172</v>
      </c>
      <c r="J321" s="174">
        <f t="shared" si="54"/>
        <v>0</v>
      </c>
      <c r="K321" s="161">
        <f>VLOOKUP($A321,'Enroll Data as of January 2025'!$A$3:$M$322,6,FALSE)</f>
        <v>51.110999999999997</v>
      </c>
      <c r="L321" s="161">
        <f>VLOOKUP($A321,'Enroll Data as of January 2025'!$A$3:$M$322,7,FALSE)</f>
        <v>8.197000000000001</v>
      </c>
      <c r="M321" s="161">
        <f>VLOOKUP($A321,'Enroll Data as of January 2025'!$A$3:$M$322,8,FALSE)</f>
        <v>2.758</v>
      </c>
      <c r="N321" s="161">
        <f>VLOOKUP($A321,'Enroll Data as of January 2025'!$A$3:$M$322,9,FALSE)</f>
        <v>22.988</v>
      </c>
      <c r="O321" s="165">
        <f t="shared" si="55"/>
        <v>85.054000000000002</v>
      </c>
      <c r="P321" s="161">
        <f>VLOOKUP($A321,'Enroll Data as of January 2025'!$A$3:$M$322,11,FALSE)</f>
        <v>3.1639999999999997</v>
      </c>
      <c r="Q321" s="161">
        <f>VLOOKUP($A321,'Enroll Data as of January 2025'!$A$3:$M$322,12,FALSE)</f>
        <v>1.83</v>
      </c>
      <c r="R321" s="165">
        <f t="shared" si="56"/>
        <v>4.9939999999999998</v>
      </c>
      <c r="S321" s="267">
        <f>IFERROR(VLOOKUP($A321,Supp_39,14,FALSE),0)+IFERROR(SUMPRODUCT(VLOOKUP($A321,S275_01,{14,15,16},FALSE)),0)+IFERROR(SUMPRODUCT(VLOOKUP($A321,S275_97,{14,15,16},FALSE)),0)+IFERROR(ROUND(VLOOKUP($A321,S275_21,14,FALSE)*VLOOKUP($A321,'3121% SY'!$C$3:$M$324,11,FALSE),3),0)+IFERROR(ROUND(VLOOKUP($A321,S275_21,15,FALSE)*VLOOKUP($A321,'3121% SY'!$C$3:$M$324,11,FALSE),3),0)+IFERROR(ROUND(VLOOKUP($A321,S275_21,16,FALSE)*VLOOKUP($A321,'3121% SY'!$C$3:$M$324,11,FALSE),3),0)+IFERROR(VLOOKUP($A321,S275_09,6,FALSE),0)</f>
        <v>49.948</v>
      </c>
      <c r="T321" s="267">
        <f>IFERROR(VLOOKUP($A321,Supp_42,14,FALSE),0)+IFERROR(SUMPRODUCT(VLOOKUP($A321,S275_01,{17,18,19},FALSE)),0)+IFERROR(SUMPRODUCT(VLOOKUP($A321,S275_97,{17,18,19},FALSE)),0)+IFERROR(ROUND(VLOOKUP($A321,S275_21,17,FALSE)*VLOOKUP($A321,'3121% SY'!$C$3:$M$324,11,FALSE),3),0)+IFERROR(ROUND(VLOOKUP($A321,S275_21,18,FALSE)*VLOOKUP($A321,'3121% SY'!$C$3:$M$324,11,FALSE),3),0)+IFERROR(ROUND(VLOOKUP($A321,S275_21,19,FALSE)*VLOOKUP($A321,'3121% SY'!$C$3:$M$324,11,FALSE),3),0)+IFERROR(VLOOKUP($A321,S275_09,7,FALSE),0)</f>
        <v>12.813000000000001</v>
      </c>
      <c r="U321" s="267">
        <f>IFERROR(VLOOKUP($A321,Supp_43,14,FALSE),0)+IFERROR(SUMPRODUCT(VLOOKUP($A321,S275_01,{20,21,22},FALSE)),0)+IFERROR(SUMPRODUCT(VLOOKUP($A321,S275_97,{20,21,22},FALSE)),0)+IFERROR(ROUND(VLOOKUP($A321,S275_21,20,FALSE)*VLOOKUP($A321,'3121% SY'!$C$3:$M$324,11,FALSE),3),0)+IFERROR(ROUND(VLOOKUP($A321,S275_21,21,FALSE)*VLOOKUP($A321,'3121% SY'!$C$3:$M$324,11,FALSE),3),0)+IFERROR(ROUND(VLOOKUP($A321,S275_21,22,FALSE)*VLOOKUP($A321,'3121% SY'!$C$3:$M$324,11,FALSE),3),0)+IFERROR(VLOOKUP($A321,S275_09,8,FALSE),0)</f>
        <v>11.244999999999999</v>
      </c>
      <c r="V321" s="267">
        <f>IFERROR(VLOOKUP($A321,Supp_44,14,FALSE),0)+IFERROR(SUMPRODUCT(VLOOKUP($A321,S275_01,{23,24,25},FALSE)),0)+IFERROR(SUMPRODUCT(VLOOKUP($A321,S275_97,{23,24,25},FALSE)),0)+IFERROR(ROUND(VLOOKUP($A321,S275_21,23,FALSE)*VLOOKUP($A321,'3121% SY'!$C$3:$M$324,11,FALSE),3),0)+IFERROR(ROUND(VLOOKUP($A321,S275_21,24,FALSE)*VLOOKUP($A321,'3121% SY'!$C$3:$M$324,11,FALSE),3),0)+IFERROR(ROUND(VLOOKUP($A321,S275_21,25,FALSE)*VLOOKUP($A321,'3121% SY'!$C$3:$M$324,11,FALSE),3),0)+IFERROR(VLOOKUP($A321,S275_09,9,FALSE),0)</f>
        <v>1.484</v>
      </c>
      <c r="W321" s="267">
        <f>IFERROR(VLOOKUP($A321,Supp_45,14,FALSE),0)+IFERROR(SUMPRODUCT(VLOOKUP($A321,S275_01,{26,27,28},FALSE)),0)+IFERROR(SUMPRODUCT(VLOOKUP($A321,S275_97,{26,27,28},FALSE)),0)+IFERROR(ROUND(VLOOKUP($A321,S275_21,26,FALSE)*VLOOKUP($A321,'3121% SY'!$C$3:$M$324,11,FALSE),3),0)+IFERROR(ROUND(VLOOKUP($A321,S275_21,27,FALSE)*VLOOKUP($A321,'3121% SY'!$C$3:$M$324,11,FALSE),3),0)+IFERROR(ROUND(VLOOKUP($A321,S275_21,28,FALSE)*VLOOKUP($A321,'3121% SY'!$C$3:$M$324,11,FALSE),3),0)+IFERROR(VLOOKUP($A321,S275_09,10,FALSE),0)</f>
        <v>11.194000000000001</v>
      </c>
      <c r="X321" s="267">
        <f>IFERROR(VLOOKUP($A321,Supp_46,14,FALSE),0)+IFERROR(SUMPRODUCT(VLOOKUP($A321,S275_01,{29,30,31},FALSE)),0)+IFERROR(SUMPRODUCT(VLOOKUP($A321,S275_97,{29,30,31},FALSE)),0)+IFERROR(ROUND(VLOOKUP($A321,S275_21,29,FALSE)*VLOOKUP($A321,'3121% SY'!$C$3:$M$324,11,FALSE),3),0)+IFERROR(ROUND(VLOOKUP($A321,S275_21,30,FALSE)*VLOOKUP($A321,'3121% SY'!$C$3:$M$324,11,FALSE),3),0)+IFERROR(ROUND(VLOOKUP($A321,S275_21,31,FALSE)*VLOOKUP($A321,'3121% SY'!$C$3:$M$324,11,FALSE),3),0)+IFERROR(VLOOKUP($A321,S275_09,11,FALSE),0)</f>
        <v>22.753</v>
      </c>
      <c r="Y321" s="267">
        <f>IFERROR(VLOOKUP($A321,Supp_47,14,FALSE),0)+IFERROR(SUMPRODUCT(VLOOKUP($A321,S275_01,{32,33,34},FALSE)),0)+IFERROR(SUMPRODUCT(VLOOKUP($A321,S275_97,{32,33,34},FALSE)),0)+IFERROR(ROUND(VLOOKUP($A321,S275_21,32,FALSE)*VLOOKUP($A321,'3121% SY'!$C$3:$M$324,11,FALSE),3),0)+IFERROR(ROUND(VLOOKUP($A321,S275_21,33,FALSE)*VLOOKUP($A321,'3121% SY'!$C$3:$M$324,11,FALSE),3),0)+IFERROR(ROUND(VLOOKUP($A321,S275_21,34,FALSE)*VLOOKUP($A321,'3121% SY'!$C$3:$M$324,11,FALSE),3),0)+IFERROR(VLOOKUP($A321,S275_09,12,FALSE),0)</f>
        <v>0.90600000000000003</v>
      </c>
      <c r="Z321" s="267">
        <f>IFERROR(VLOOKUP($A321,Supp_48,14,FALSE),0)+IFERROR(SUMPRODUCT(VLOOKUP($A321,S275_01,{35,36,37},FALSE)),0)+IFERROR(SUMPRODUCT(VLOOKUP($A321,S275_97,{35,36,37},FALSE)),0)+IFERROR(ROUND(VLOOKUP($A321,S275_21,35,FALSE)*VLOOKUP($A321,'3121% SY'!$C$3:$M$324,11,FALSE),3),0)+IFERROR(ROUND(VLOOKUP($A321,S275_21,36,FALSE)*VLOOKUP($A321,'3121% SY'!$C$3:$M$324,11,FALSE),3),0)+IFERROR(ROUND(VLOOKUP($A321,S275_21,37,FALSE)*VLOOKUP($A321,'3121% SY'!$C$3:$M$324,11,FALSE),3),0)+IFERROR(VLOOKUP($A321,S275_09,13,FALSE),0)</f>
        <v>0.60599999999999998</v>
      </c>
      <c r="AA321" s="267">
        <f>IFERROR(VLOOKUP($A321,Supp_49,14,FALSE),0)+IFERROR(SUMPRODUCT(VLOOKUP($A321,S275_01,{38,39,40},FALSE)),0)+IFERROR(SUMPRODUCT(VLOOKUP($A321,S275_97,{38,39,40},FALSE)),0)+IFERROR(ROUND(VLOOKUP($A321,S275_21,38,FALSE)*VLOOKUP($A321,'3121% SY'!$C$3:$M$324,11,FALSE),3),0)+IFERROR(ROUND(VLOOKUP($A321,S275_21,39,FALSE)*VLOOKUP($A321,'3121% SY'!$C$3:$M$324,11,FALSE),3),0)+IFERROR(ROUND(VLOOKUP($A321,S275_21,40,FALSE)*VLOOKUP($A321,'3121% SY'!$C$3:$M$324,11,FALSE),3),0)+IFERROR(VLOOKUP($A321,S275_09,14,FALSE),0)</f>
        <v>0.90100000000000002</v>
      </c>
      <c r="AB321" s="267">
        <f>IFERROR(VLOOKUP($A321,Supp_64,14,FALSE),0)+IFERROR(SUMPRODUCT(VLOOKUP($A321,S275_01,{41,42,43},FALSE)),0)+IFERROR(SUMPRODUCT(VLOOKUP($A321,S275_97,{41,42,43},FALSE)),0)+IFERROR(ROUND(VLOOKUP($A321,S275_21,41,FALSE)*VLOOKUP($A321,'3121% SY'!$C$3:$M$324,11,FALSE),3),0)+IFERROR(ROUND(VLOOKUP($A321,S275_21,42,FALSE)*VLOOKUP($A321,'3121% SY'!$C$3:$M$324,11,FALSE),3),0)+IFERROR(ROUND(VLOOKUP($A321,S275_21,43,FALSE)*VLOOKUP($A321,'3121% SY'!$C$3:$M$324,11,FALSE),3),0)+IFERROR(VLOOKUP($A321,S275_09,15,FALSE),0)</f>
        <v>0</v>
      </c>
      <c r="AC321" s="268">
        <f t="shared" si="57"/>
        <v>111.85</v>
      </c>
      <c r="AD321" s="267">
        <f>IFERROR(VLOOKUP($A321,Supp_24,14,FALSE),0)+IFERROR(SUMPRODUCT(VLOOKUP($A321,S275_01,{2,3,4},FALSE)),0)+IFERROR(SUMPRODUCT(VLOOKUP($A321,S275_97,{2,3,4},FALSE)),0)+IFERROR(ROUND(VLOOKUP($A321,S275_21,2,FALSE)*VLOOKUP($A321,'3121% SY'!$C$3:$M$324,11,FALSE),3),0)+IFERROR(ROUND(VLOOKUP($A321,S275_21,3,FALSE)*VLOOKUP($A321,'3121% SY'!$C$3:$M$324,11,FALSE),3),0)+IFERROR(ROUND(VLOOKUP($A321,S275_21,4,FALSE)*VLOOKUP($A321,'3121% SY'!$C$3:$M$324,11,FALSE),3),0)+IFERROR(VLOOKUP($A321,S275_09,2,FALSE),0)</f>
        <v>1</v>
      </c>
      <c r="AE321" s="267">
        <f>IFERROR(VLOOKUP($A321,Supp_25,14,FALSE),0)+IFERROR(SUMPRODUCT(VLOOKUP($A321,S275_01,{5,6,7},FALSE)),0)+IFERROR(SUMPRODUCT(VLOOKUP($A321,S275_97,{5,6,7},FALSE)),0)+IFERROR(ROUND(VLOOKUP($A321,S275_21,5,FALSE)*VLOOKUP($A321,'3121% SY'!$C$3:$M$324,11,FALSE),3),0)+IFERROR(ROUND(VLOOKUP($A321,S275_21,6,FALSE)*VLOOKUP($A321,'3121% SY'!$C$3:$M$324,11,FALSE),3),0)+IFERROR(ROUND(VLOOKUP($A321,S275_21,7,FALSE)*VLOOKUP($A321,'3121% SY'!$C$3:$M$324,11,FALSE),3),0)+IFERROR(VLOOKUP($A321,S275_09,3,FALSE),0)</f>
        <v>32.567999999999998</v>
      </c>
      <c r="AF321" s="267">
        <f>IFERROR(VLOOKUP($A321,Supp_26,14,FALSE),0)+IFERROR(SUMPRODUCT(VLOOKUP($A321,S275_01,{8,9,10},FALSE)),0)+IFERROR(SUMPRODUCT(VLOOKUP($A321,S275_97,{8,9,10},FALSE)),0)+IFERROR(ROUND(VLOOKUP($A321,S275_21,8,FALSE)*VLOOKUP($A321,'3121% SY'!$C$3:$M$324,11,FALSE),3),0)+IFERROR(ROUND(VLOOKUP($A321,S275_21,9,FALSE)*VLOOKUP($A321,'3121% SY'!$C$3:$M$324,11,FALSE),3),0)+IFERROR(ROUND(VLOOKUP($A321,S275_21,10,FALSE)*VLOOKUP($A321,'3121% SY'!$C$3:$M$324,11,FALSE),3),0)+IFERROR(VLOOKUP($A321,S275_09,4,FALSE),0)</f>
        <v>2.972</v>
      </c>
      <c r="AG321" s="267">
        <f>IFERROR(VLOOKUP($A321,Supp_35,14,FALSE),0)+IFERROR(SUMPRODUCT(VLOOKUP($A321,S275_01,{11,12,13},FALSE)),0)+IFERROR(SUMPRODUCT(VLOOKUP($A321,S275_97,{11,12,13},FALSE)),0)+IFERROR(ROUND(VLOOKUP($A321,S275_21,11,FALSE)*VLOOKUP($A321,'3121% SY'!$C$3:$M$324,11,FALSE),3),0)+IFERROR(ROUND(VLOOKUP($A321,S275_21,12,FALSE)*VLOOKUP($A321,'3121% SY'!$C$3:$M$324,11,FALSE),3),0)+IFERROR(ROUND(VLOOKUP($A321,S275_21,13,FALSE)*VLOOKUP($A321,'3121% SY'!$C$3:$M$324,11,FALSE),3),0)+IFERROR(VLOOKUP($A321,S275_09,5,FALSE),0)</f>
        <v>0</v>
      </c>
      <c r="AH321" s="165">
        <f t="shared" si="58"/>
        <v>36.54</v>
      </c>
      <c r="AI321" s="161">
        <f>IFERROR(VLOOKUP(A321,'Supp Staff Data'!A:ER,148,FALSE),0)+AB321</f>
        <v>0</v>
      </c>
      <c r="AJ321" s="174">
        <v>1</v>
      </c>
      <c r="AK321" s="25">
        <f>VLOOKUP(A321,'Enroll Data as of January 2025'!$A$3:$T$323,20,FALSE)-F321</f>
        <v>0</v>
      </c>
    </row>
    <row r="322" spans="1:37" x14ac:dyDescent="0.25">
      <c r="A322" s="171" t="s">
        <v>253</v>
      </c>
      <c r="B322" t="s">
        <v>549</v>
      </c>
      <c r="C322" s="173" t="s">
        <v>1077</v>
      </c>
      <c r="D322" s="259">
        <f t="shared" si="50"/>
        <v>76.300999999999988</v>
      </c>
      <c r="E322" s="259">
        <f t="shared" si="51"/>
        <v>116.00399999999999</v>
      </c>
      <c r="F322" s="262">
        <f t="shared" si="59"/>
        <v>39.703000000000003</v>
      </c>
      <c r="G322" s="161">
        <f>ROUND(IF(F322&lt;0,F322*'2024-25 PSES Compliance'!$G$13,0),3)</f>
        <v>0</v>
      </c>
      <c r="H322" s="161">
        <f>ROUND(IF(F322&lt;0,F322*'2024-25 PSES Compliance'!$G$14,0),3)</f>
        <v>0</v>
      </c>
      <c r="I322" s="174">
        <f t="shared" si="53"/>
        <v>0.46745370849281059</v>
      </c>
      <c r="J322" s="174">
        <f t="shared" si="54"/>
        <v>0</v>
      </c>
      <c r="K322" s="161">
        <f>VLOOKUP($A322,'Enroll Data as of January 2025'!$A$3:$M$322,6,FALSE)</f>
        <v>42.858999999999995</v>
      </c>
      <c r="L322" s="161">
        <f>VLOOKUP($A322,'Enroll Data as of January 2025'!$A$3:$M$322,7,FALSE)</f>
        <v>7.109</v>
      </c>
      <c r="M322" s="161">
        <f>VLOOKUP($A322,'Enroll Data as of January 2025'!$A$3:$M$322,8,FALSE)</f>
        <v>2.3870000000000005</v>
      </c>
      <c r="N322" s="161">
        <f>VLOOKUP($A322,'Enroll Data as of January 2025'!$A$3:$M$322,9,FALSE)</f>
        <v>19.655000000000001</v>
      </c>
      <c r="O322" s="165">
        <f t="shared" si="55"/>
        <v>72.009999999999991</v>
      </c>
      <c r="P322" s="161">
        <f>VLOOKUP($A322,'Enroll Data as of January 2025'!$A$3:$M$322,11,FALSE)</f>
        <v>2.6850000000000001</v>
      </c>
      <c r="Q322" s="161">
        <f>VLOOKUP($A322,'Enroll Data as of January 2025'!$A$3:$M$322,12,FALSE)</f>
        <v>1.6060000000000001</v>
      </c>
      <c r="R322" s="165">
        <f t="shared" si="56"/>
        <v>4.2910000000000004</v>
      </c>
      <c r="S322" s="267">
        <f>IFERROR(VLOOKUP($A322,Supp_39,14,FALSE),0)+IFERROR(SUMPRODUCT(VLOOKUP($A322,S275_01,{14,15,16},FALSE)),0)+IFERROR(SUMPRODUCT(VLOOKUP($A322,S275_97,{14,15,16},FALSE)),0)+IFERROR(ROUND(VLOOKUP($A322,S275_21,14,FALSE)*VLOOKUP($A322,'3121% SY'!$C$3:$M$324,11,FALSE),3),0)+IFERROR(ROUND(VLOOKUP($A322,S275_21,15,FALSE)*VLOOKUP($A322,'3121% SY'!$C$3:$M$324,11,FALSE),3),0)+IFERROR(ROUND(VLOOKUP($A322,S275_21,16,FALSE)*VLOOKUP($A322,'3121% SY'!$C$3:$M$324,11,FALSE),3),0)+IFERROR(VLOOKUP($A322,S275_09,6,FALSE),0)</f>
        <v>28.132999999999999</v>
      </c>
      <c r="T322" s="267">
        <f>IFERROR(VLOOKUP($A322,Supp_42,14,FALSE),0)+IFERROR(SUMPRODUCT(VLOOKUP($A322,S275_01,{17,18,19},FALSE)),0)+IFERROR(SUMPRODUCT(VLOOKUP($A322,S275_97,{17,18,19},FALSE)),0)+IFERROR(ROUND(VLOOKUP($A322,S275_21,17,FALSE)*VLOOKUP($A322,'3121% SY'!$C$3:$M$324,11,FALSE),3),0)+IFERROR(ROUND(VLOOKUP($A322,S275_21,18,FALSE)*VLOOKUP($A322,'3121% SY'!$C$3:$M$324,11,FALSE),3),0)+IFERROR(ROUND(VLOOKUP($A322,S275_21,19,FALSE)*VLOOKUP($A322,'3121% SY'!$C$3:$M$324,11,FALSE),3),0)+IFERROR(VLOOKUP($A322,S275_09,7,FALSE),0)</f>
        <v>5.4020000000000001</v>
      </c>
      <c r="U322" s="267">
        <f>IFERROR(VLOOKUP($A322,Supp_43,14,FALSE),0)+IFERROR(SUMPRODUCT(VLOOKUP($A322,S275_01,{20,21,22},FALSE)),0)+IFERROR(SUMPRODUCT(VLOOKUP($A322,S275_97,{20,21,22},FALSE)),0)+IFERROR(ROUND(VLOOKUP($A322,S275_21,20,FALSE)*VLOOKUP($A322,'3121% SY'!$C$3:$M$324,11,FALSE),3),0)+IFERROR(ROUND(VLOOKUP($A322,S275_21,21,FALSE)*VLOOKUP($A322,'3121% SY'!$C$3:$M$324,11,FALSE),3),0)+IFERROR(ROUND(VLOOKUP($A322,S275_21,22,FALSE)*VLOOKUP($A322,'3121% SY'!$C$3:$M$324,11,FALSE),3),0)+IFERROR(VLOOKUP($A322,S275_09,8,FALSE),0)</f>
        <v>2.8540000000000001</v>
      </c>
      <c r="V322" s="267">
        <f>IFERROR(VLOOKUP($A322,Supp_44,14,FALSE),0)+IFERROR(SUMPRODUCT(VLOOKUP($A322,S275_01,{23,24,25},FALSE)),0)+IFERROR(SUMPRODUCT(VLOOKUP($A322,S275_97,{23,24,25},FALSE)),0)+IFERROR(ROUND(VLOOKUP($A322,S275_21,23,FALSE)*VLOOKUP($A322,'3121% SY'!$C$3:$M$324,11,FALSE),3),0)+IFERROR(ROUND(VLOOKUP($A322,S275_21,24,FALSE)*VLOOKUP($A322,'3121% SY'!$C$3:$M$324,11,FALSE),3),0)+IFERROR(ROUND(VLOOKUP($A322,S275_21,25,FALSE)*VLOOKUP($A322,'3121% SY'!$C$3:$M$324,11,FALSE),3),0)+IFERROR(VLOOKUP($A322,S275_09,9,FALSE),0)</f>
        <v>0</v>
      </c>
      <c r="W322" s="267">
        <f>IFERROR(VLOOKUP($A322,Supp_45,14,FALSE),0)+IFERROR(SUMPRODUCT(VLOOKUP($A322,S275_01,{26,27,28},FALSE)),0)+IFERROR(SUMPRODUCT(VLOOKUP($A322,S275_97,{26,27,28},FALSE)),0)+IFERROR(ROUND(VLOOKUP($A322,S275_21,26,FALSE)*VLOOKUP($A322,'3121% SY'!$C$3:$M$324,11,FALSE),3),0)+IFERROR(ROUND(VLOOKUP($A322,S275_21,27,FALSE)*VLOOKUP($A322,'3121% SY'!$C$3:$M$324,11,FALSE),3),0)+IFERROR(ROUND(VLOOKUP($A322,S275_21,28,FALSE)*VLOOKUP($A322,'3121% SY'!$C$3:$M$324,11,FALSE),3),0)+IFERROR(VLOOKUP($A322,S275_09,10,FALSE),0)</f>
        <v>8.5809999999999995</v>
      </c>
      <c r="X322" s="267">
        <f>IFERROR(VLOOKUP($A322,Supp_46,14,FALSE),0)+IFERROR(SUMPRODUCT(VLOOKUP($A322,S275_01,{29,30,31},FALSE)),0)+IFERROR(SUMPRODUCT(VLOOKUP($A322,S275_97,{29,30,31},FALSE)),0)+IFERROR(ROUND(VLOOKUP($A322,S275_21,29,FALSE)*VLOOKUP($A322,'3121% SY'!$C$3:$M$324,11,FALSE),3),0)+IFERROR(ROUND(VLOOKUP($A322,S275_21,30,FALSE)*VLOOKUP($A322,'3121% SY'!$C$3:$M$324,11,FALSE),3),0)+IFERROR(ROUND(VLOOKUP($A322,S275_21,31,FALSE)*VLOOKUP($A322,'3121% SY'!$C$3:$M$324,11,FALSE),3),0)+IFERROR(VLOOKUP($A322,S275_09,11,FALSE),0)</f>
        <v>22.641000000000002</v>
      </c>
      <c r="Y322" s="267">
        <f>IFERROR(VLOOKUP($A322,Supp_47,14,FALSE),0)+IFERROR(SUMPRODUCT(VLOOKUP($A322,S275_01,{32,33,34},FALSE)),0)+IFERROR(SUMPRODUCT(VLOOKUP($A322,S275_97,{32,33,34},FALSE)),0)+IFERROR(ROUND(VLOOKUP($A322,S275_21,32,FALSE)*VLOOKUP($A322,'3121% SY'!$C$3:$M$324,11,FALSE),3),0)+IFERROR(ROUND(VLOOKUP($A322,S275_21,33,FALSE)*VLOOKUP($A322,'3121% SY'!$C$3:$M$324,11,FALSE),3),0)+IFERROR(ROUND(VLOOKUP($A322,S275_21,34,FALSE)*VLOOKUP($A322,'3121% SY'!$C$3:$M$324,11,FALSE),3),0)+IFERROR(VLOOKUP($A322,S275_09,12,FALSE),0)</f>
        <v>3.472</v>
      </c>
      <c r="Z322" s="267">
        <f>IFERROR(VLOOKUP($A322,Supp_48,14,FALSE),0)+IFERROR(SUMPRODUCT(VLOOKUP($A322,S275_01,{35,36,37},FALSE)),0)+IFERROR(SUMPRODUCT(VLOOKUP($A322,S275_97,{35,36,37},FALSE)),0)+IFERROR(ROUND(VLOOKUP($A322,S275_21,35,FALSE)*VLOOKUP($A322,'3121% SY'!$C$3:$M$324,11,FALSE),3),0)+IFERROR(ROUND(VLOOKUP($A322,S275_21,36,FALSE)*VLOOKUP($A322,'3121% SY'!$C$3:$M$324,11,FALSE),3),0)+IFERROR(ROUND(VLOOKUP($A322,S275_21,37,FALSE)*VLOOKUP($A322,'3121% SY'!$C$3:$M$324,11,FALSE),3),0)+IFERROR(VLOOKUP($A322,S275_09,13,FALSE),0)</f>
        <v>1.2190000000000001</v>
      </c>
      <c r="AA322" s="267">
        <f>IFERROR(VLOOKUP($A322,Supp_49,14,FALSE),0)+IFERROR(SUMPRODUCT(VLOOKUP($A322,S275_01,{38,39,40},FALSE)),0)+IFERROR(SUMPRODUCT(VLOOKUP($A322,S275_97,{38,39,40},FALSE)),0)+IFERROR(ROUND(VLOOKUP($A322,S275_21,38,FALSE)*VLOOKUP($A322,'3121% SY'!$C$3:$M$324,11,FALSE),3),0)+IFERROR(ROUND(VLOOKUP($A322,S275_21,39,FALSE)*VLOOKUP($A322,'3121% SY'!$C$3:$M$324,11,FALSE),3),0)+IFERROR(ROUND(VLOOKUP($A322,S275_21,40,FALSE)*VLOOKUP($A322,'3121% SY'!$C$3:$M$324,11,FALSE),3),0)+IFERROR(VLOOKUP($A322,S275_09,14,FALSE),0)</f>
        <v>0</v>
      </c>
      <c r="AB322" s="267">
        <f>IFERROR(VLOOKUP($A322,Supp_64,14,FALSE),0)+IFERROR(SUMPRODUCT(VLOOKUP($A322,S275_01,{41,42,43},FALSE)),0)+IFERROR(SUMPRODUCT(VLOOKUP($A322,S275_97,{41,42,43},FALSE)),0)+IFERROR(ROUND(VLOOKUP($A322,S275_21,41,FALSE)*VLOOKUP($A322,'3121% SY'!$C$3:$M$324,11,FALSE),3),0)+IFERROR(ROUND(VLOOKUP($A322,S275_21,42,FALSE)*VLOOKUP($A322,'3121% SY'!$C$3:$M$324,11,FALSE),3),0)+IFERROR(ROUND(VLOOKUP($A322,S275_21,43,FALSE)*VLOOKUP($A322,'3121% SY'!$C$3:$M$324,11,FALSE),3),0)+IFERROR(VLOOKUP($A322,S275_09,15,FALSE),0)</f>
        <v>0</v>
      </c>
      <c r="AC322" s="268">
        <f t="shared" si="57"/>
        <v>72.301999999999992</v>
      </c>
      <c r="AD322" s="267">
        <f>IFERROR(VLOOKUP($A322,Supp_24,14,FALSE),0)+IFERROR(SUMPRODUCT(VLOOKUP($A322,S275_01,{2,3,4},FALSE)),0)+IFERROR(SUMPRODUCT(VLOOKUP($A322,S275_97,{2,3,4},FALSE)),0)+IFERROR(ROUND(VLOOKUP($A322,S275_21,2,FALSE)*VLOOKUP($A322,'3121% SY'!$C$3:$M$324,11,FALSE),3),0)+IFERROR(ROUND(VLOOKUP($A322,S275_21,3,FALSE)*VLOOKUP($A322,'3121% SY'!$C$3:$M$324,11,FALSE),3),0)+IFERROR(ROUND(VLOOKUP($A322,S275_21,4,FALSE)*VLOOKUP($A322,'3121% SY'!$C$3:$M$324,11,FALSE),3),0)+IFERROR(VLOOKUP($A322,S275_09,2,FALSE),0)</f>
        <v>0</v>
      </c>
      <c r="AE322" s="267">
        <f>IFERROR(VLOOKUP($A322,Supp_25,14,FALSE),0)+IFERROR(SUMPRODUCT(VLOOKUP($A322,S275_01,{5,6,7},FALSE)),0)+IFERROR(SUMPRODUCT(VLOOKUP($A322,S275_97,{5,6,7},FALSE)),0)+IFERROR(ROUND(VLOOKUP($A322,S275_21,5,FALSE)*VLOOKUP($A322,'3121% SY'!$C$3:$M$324,11,FALSE),3),0)+IFERROR(ROUND(VLOOKUP($A322,S275_21,6,FALSE)*VLOOKUP($A322,'3121% SY'!$C$3:$M$324,11,FALSE),3),0)+IFERROR(ROUND(VLOOKUP($A322,S275_21,7,FALSE)*VLOOKUP($A322,'3121% SY'!$C$3:$M$324,11,FALSE),3),0)+IFERROR(VLOOKUP($A322,S275_09,3,FALSE),0)</f>
        <v>25.739000000000001</v>
      </c>
      <c r="AF322" s="267">
        <f>IFERROR(VLOOKUP($A322,Supp_26,14,FALSE),0)+IFERROR(SUMPRODUCT(VLOOKUP($A322,S275_01,{8,9,10},FALSE)),0)+IFERROR(SUMPRODUCT(VLOOKUP($A322,S275_97,{8,9,10},FALSE)),0)+IFERROR(ROUND(VLOOKUP($A322,S275_21,8,FALSE)*VLOOKUP($A322,'3121% SY'!$C$3:$M$324,11,FALSE),3),0)+IFERROR(ROUND(VLOOKUP($A322,S275_21,9,FALSE)*VLOOKUP($A322,'3121% SY'!$C$3:$M$324,11,FALSE),3),0)+IFERROR(ROUND(VLOOKUP($A322,S275_21,10,FALSE)*VLOOKUP($A322,'3121% SY'!$C$3:$M$324,11,FALSE),3),0)+IFERROR(VLOOKUP($A322,S275_09,4,FALSE),0)</f>
        <v>15.417999999999999</v>
      </c>
      <c r="AG322" s="267">
        <f>IFERROR(VLOOKUP($A322,Supp_35,14,FALSE),0)+IFERROR(SUMPRODUCT(VLOOKUP($A322,S275_01,{11,12,13},FALSE)),0)+IFERROR(SUMPRODUCT(VLOOKUP($A322,S275_97,{11,12,13},FALSE)),0)+IFERROR(ROUND(VLOOKUP($A322,S275_21,11,FALSE)*VLOOKUP($A322,'3121% SY'!$C$3:$M$324,11,FALSE),3),0)+IFERROR(ROUND(VLOOKUP($A322,S275_21,12,FALSE)*VLOOKUP($A322,'3121% SY'!$C$3:$M$324,11,FALSE),3),0)+IFERROR(ROUND(VLOOKUP($A322,S275_21,13,FALSE)*VLOOKUP($A322,'3121% SY'!$C$3:$M$324,11,FALSE),3),0)+IFERROR(VLOOKUP($A322,S275_09,5,FALSE),0)</f>
        <v>2.5449999999999999</v>
      </c>
      <c r="AH322" s="165">
        <f t="shared" si="58"/>
        <v>43.701999999999998</v>
      </c>
      <c r="AI322" s="161">
        <f>IFERROR(VLOOKUP(A322,'Supp Staff Data'!A:ER,148,FALSE),0)+AB322</f>
        <v>0</v>
      </c>
      <c r="AJ322" s="174">
        <v>0.75</v>
      </c>
      <c r="AK322" s="25">
        <f>VLOOKUP(A322,'Enroll Data as of January 2025'!$A$3:$T$323,20,FALSE)-F322</f>
        <v>0</v>
      </c>
    </row>
    <row r="323" spans="1:37" x14ac:dyDescent="0.25">
      <c r="A323" s="171" t="s">
        <v>113</v>
      </c>
      <c r="B323" t="s">
        <v>409</v>
      </c>
      <c r="C323" s="173" t="s">
        <v>1077</v>
      </c>
      <c r="D323" s="259">
        <f t="shared" si="50"/>
        <v>128.32300000000001</v>
      </c>
      <c r="E323" s="259">
        <f t="shared" si="51"/>
        <v>202.00399999999999</v>
      </c>
      <c r="F323" s="262">
        <f t="shared" si="59"/>
        <v>73.680999999999997</v>
      </c>
      <c r="G323" s="161">
        <f>ROUND(IF(F323&lt;0,F323*'2024-25 PSES Compliance'!$G$13,0),3)</f>
        <v>0</v>
      </c>
      <c r="H323" s="161">
        <f>ROUND(IF(F323&lt;0,F323*'2024-25 PSES Compliance'!$G$14,0),3)</f>
        <v>0</v>
      </c>
      <c r="I323" s="174">
        <f t="shared" si="53"/>
        <v>0.5128314290806123</v>
      </c>
      <c r="J323" s="174">
        <f t="shared" si="54"/>
        <v>0</v>
      </c>
      <c r="K323" s="161">
        <f>VLOOKUP($A323,'Enroll Data as of January 2025'!$A$3:$M$322,6,FALSE)</f>
        <v>71.550000000000011</v>
      </c>
      <c r="L323" s="161">
        <f>VLOOKUP($A323,'Enroll Data as of January 2025'!$A$3:$M$322,7,FALSE)</f>
        <v>12.096</v>
      </c>
      <c r="M323" s="161">
        <f>VLOOKUP($A323,'Enroll Data as of January 2025'!$A$3:$M$322,8,FALSE)</f>
        <v>4.0530000000000008</v>
      </c>
      <c r="N323" s="161">
        <f>VLOOKUP($A323,'Enroll Data as of January 2025'!$A$3:$M$322,9,FALSE)</f>
        <v>33.360999999999997</v>
      </c>
      <c r="O323" s="165">
        <f t="shared" si="55"/>
        <v>121.06</v>
      </c>
      <c r="P323" s="161">
        <f>VLOOKUP($A323,'Enroll Data as of January 2025'!$A$3:$M$322,11,FALSE)</f>
        <v>4.516</v>
      </c>
      <c r="Q323" s="161">
        <f>VLOOKUP($A323,'Enroll Data as of January 2025'!$A$3:$M$322,12,FALSE)</f>
        <v>2.7469999999999999</v>
      </c>
      <c r="R323" s="165">
        <f t="shared" si="56"/>
        <v>7.2629999999999999</v>
      </c>
      <c r="S323" s="267">
        <f>IFERROR(VLOOKUP($A323,Supp_39,14,FALSE),0)+IFERROR(SUMPRODUCT(VLOOKUP($A323,S275_01,{14,15,16},FALSE)),0)+IFERROR(SUMPRODUCT(VLOOKUP($A323,S275_97,{14,15,16},FALSE)),0)+IFERROR(ROUND(VLOOKUP($A323,S275_21,14,FALSE)*VLOOKUP($A323,'3121% SY'!$C$3:$M$324,11,FALSE),3),0)+IFERROR(ROUND(VLOOKUP($A323,S275_21,15,FALSE)*VLOOKUP($A323,'3121% SY'!$C$3:$M$324,11,FALSE),3),0)+IFERROR(ROUND(VLOOKUP($A323,S275_21,16,FALSE)*VLOOKUP($A323,'3121% SY'!$C$3:$M$324,11,FALSE),3),0)+IFERROR(VLOOKUP($A323,S275_09,6,FALSE),0)</f>
        <v>32.394999999999996</v>
      </c>
      <c r="T323" s="267">
        <f>IFERROR(VLOOKUP($A323,Supp_42,14,FALSE),0)+IFERROR(SUMPRODUCT(VLOOKUP($A323,S275_01,{17,18,19},FALSE)),0)+IFERROR(SUMPRODUCT(VLOOKUP($A323,S275_97,{17,18,19},FALSE)),0)+IFERROR(ROUND(VLOOKUP($A323,S275_21,17,FALSE)*VLOOKUP($A323,'3121% SY'!$C$3:$M$324,11,FALSE),3),0)+IFERROR(ROUND(VLOOKUP($A323,S275_21,18,FALSE)*VLOOKUP($A323,'3121% SY'!$C$3:$M$324,11,FALSE),3),0)+IFERROR(ROUND(VLOOKUP($A323,S275_21,19,FALSE)*VLOOKUP($A323,'3121% SY'!$C$3:$M$324,11,FALSE),3),0)+IFERROR(VLOOKUP($A323,S275_09,7,FALSE),0)</f>
        <v>20</v>
      </c>
      <c r="U323" s="267">
        <f>IFERROR(VLOOKUP($A323,Supp_43,14,FALSE),0)+IFERROR(SUMPRODUCT(VLOOKUP($A323,S275_01,{20,21,22},FALSE)),0)+IFERROR(SUMPRODUCT(VLOOKUP($A323,S275_97,{20,21,22},FALSE)),0)+IFERROR(ROUND(VLOOKUP($A323,S275_21,20,FALSE)*VLOOKUP($A323,'3121% SY'!$C$3:$M$324,11,FALSE),3),0)+IFERROR(ROUND(VLOOKUP($A323,S275_21,21,FALSE)*VLOOKUP($A323,'3121% SY'!$C$3:$M$324,11,FALSE),3),0)+IFERROR(ROUND(VLOOKUP($A323,S275_21,22,FALSE)*VLOOKUP($A323,'3121% SY'!$C$3:$M$324,11,FALSE),3),0)+IFERROR(VLOOKUP($A323,S275_09,8,FALSE),0)</f>
        <v>5</v>
      </c>
      <c r="V323" s="267">
        <f>IFERROR(VLOOKUP($A323,Supp_44,14,FALSE),0)+IFERROR(SUMPRODUCT(VLOOKUP($A323,S275_01,{23,24,25},FALSE)),0)+IFERROR(SUMPRODUCT(VLOOKUP($A323,S275_97,{23,24,25},FALSE)),0)+IFERROR(ROUND(VLOOKUP($A323,S275_21,23,FALSE)*VLOOKUP($A323,'3121% SY'!$C$3:$M$324,11,FALSE),3),0)+IFERROR(ROUND(VLOOKUP($A323,S275_21,24,FALSE)*VLOOKUP($A323,'3121% SY'!$C$3:$M$324,11,FALSE),3),0)+IFERROR(ROUND(VLOOKUP($A323,S275_21,25,FALSE)*VLOOKUP($A323,'3121% SY'!$C$3:$M$324,11,FALSE),3),0)+IFERROR(VLOOKUP($A323,S275_09,9,FALSE),0)</f>
        <v>0</v>
      </c>
      <c r="W323" s="267">
        <f>IFERROR(VLOOKUP($A323,Supp_45,14,FALSE),0)+IFERROR(SUMPRODUCT(VLOOKUP($A323,S275_01,{26,27,28},FALSE)),0)+IFERROR(SUMPRODUCT(VLOOKUP($A323,S275_97,{26,27,28},FALSE)),0)+IFERROR(ROUND(VLOOKUP($A323,S275_21,26,FALSE)*VLOOKUP($A323,'3121% SY'!$C$3:$M$324,11,FALSE),3),0)+IFERROR(ROUND(VLOOKUP($A323,S275_21,27,FALSE)*VLOOKUP($A323,'3121% SY'!$C$3:$M$324,11,FALSE),3),0)+IFERROR(ROUND(VLOOKUP($A323,S275_21,28,FALSE)*VLOOKUP($A323,'3121% SY'!$C$3:$M$324,11,FALSE),3),0)+IFERROR(VLOOKUP($A323,S275_09,10,FALSE),0)</f>
        <v>14.006</v>
      </c>
      <c r="X323" s="267">
        <f>IFERROR(VLOOKUP($A323,Supp_46,14,FALSE),0)+IFERROR(SUMPRODUCT(VLOOKUP($A323,S275_01,{29,30,31},FALSE)),0)+IFERROR(SUMPRODUCT(VLOOKUP($A323,S275_97,{29,30,31},FALSE)),0)+IFERROR(ROUND(VLOOKUP($A323,S275_21,29,FALSE)*VLOOKUP($A323,'3121% SY'!$C$3:$M$324,11,FALSE),3),0)+IFERROR(ROUND(VLOOKUP($A323,S275_21,30,FALSE)*VLOOKUP($A323,'3121% SY'!$C$3:$M$324,11,FALSE),3),0)+IFERROR(ROUND(VLOOKUP($A323,S275_21,31,FALSE)*VLOOKUP($A323,'3121% SY'!$C$3:$M$324,11,FALSE),3),0)+IFERROR(VLOOKUP($A323,S275_09,11,FALSE),0)</f>
        <v>29.488</v>
      </c>
      <c r="Y323" s="267">
        <f>IFERROR(VLOOKUP($A323,Supp_47,14,FALSE),0)+IFERROR(SUMPRODUCT(VLOOKUP($A323,S275_01,{32,33,34},FALSE)),0)+IFERROR(SUMPRODUCT(VLOOKUP($A323,S275_97,{32,33,34},FALSE)),0)+IFERROR(ROUND(VLOOKUP($A323,S275_21,32,FALSE)*VLOOKUP($A323,'3121% SY'!$C$3:$M$324,11,FALSE),3),0)+IFERROR(ROUND(VLOOKUP($A323,S275_21,33,FALSE)*VLOOKUP($A323,'3121% SY'!$C$3:$M$324,11,FALSE),3),0)+IFERROR(ROUND(VLOOKUP($A323,S275_21,34,FALSE)*VLOOKUP($A323,'3121% SY'!$C$3:$M$324,11,FALSE),3),0)+IFERROR(VLOOKUP($A323,S275_09,12,FALSE),0)</f>
        <v>0</v>
      </c>
      <c r="Z323" s="267">
        <f>IFERROR(VLOOKUP($A323,Supp_48,14,FALSE),0)+IFERROR(SUMPRODUCT(VLOOKUP($A323,S275_01,{35,36,37},FALSE)),0)+IFERROR(SUMPRODUCT(VLOOKUP($A323,S275_97,{35,36,37},FALSE)),0)+IFERROR(ROUND(VLOOKUP($A323,S275_21,35,FALSE)*VLOOKUP($A323,'3121% SY'!$C$3:$M$324,11,FALSE),3),0)+IFERROR(ROUND(VLOOKUP($A323,S275_21,36,FALSE)*VLOOKUP($A323,'3121% SY'!$C$3:$M$324,11,FALSE),3),0)+IFERROR(ROUND(VLOOKUP($A323,S275_21,37,FALSE)*VLOOKUP($A323,'3121% SY'!$C$3:$M$324,11,FALSE),3),0)+IFERROR(VLOOKUP($A323,S275_09,13,FALSE),0)</f>
        <v>1.4710000000000001</v>
      </c>
      <c r="AA323" s="267">
        <f>IFERROR(VLOOKUP($A323,Supp_49,14,FALSE),0)+IFERROR(SUMPRODUCT(VLOOKUP($A323,S275_01,{38,39,40},FALSE)),0)+IFERROR(SUMPRODUCT(VLOOKUP($A323,S275_97,{38,39,40},FALSE)),0)+IFERROR(ROUND(VLOOKUP($A323,S275_21,38,FALSE)*VLOOKUP($A323,'3121% SY'!$C$3:$M$324,11,FALSE),3),0)+IFERROR(ROUND(VLOOKUP($A323,S275_21,39,FALSE)*VLOOKUP($A323,'3121% SY'!$C$3:$M$324,11,FALSE),3),0)+IFERROR(ROUND(VLOOKUP($A323,S275_21,40,FALSE)*VLOOKUP($A323,'3121% SY'!$C$3:$M$324,11,FALSE),3),0)+IFERROR(VLOOKUP($A323,S275_09,14,FALSE),0)</f>
        <v>1.234</v>
      </c>
      <c r="AB323" s="267">
        <f>IFERROR(VLOOKUP($A323,Supp_64,14,FALSE),0)+IFERROR(SUMPRODUCT(VLOOKUP($A323,S275_01,{41,42,43},FALSE)),0)+IFERROR(SUMPRODUCT(VLOOKUP($A323,S275_97,{41,42,43},FALSE)),0)+IFERROR(ROUND(VLOOKUP($A323,S275_21,41,FALSE)*VLOOKUP($A323,'3121% SY'!$C$3:$M$324,11,FALSE),3),0)+IFERROR(ROUND(VLOOKUP($A323,S275_21,42,FALSE)*VLOOKUP($A323,'3121% SY'!$C$3:$M$324,11,FALSE),3),0)+IFERROR(ROUND(VLOOKUP($A323,S275_21,43,FALSE)*VLOOKUP($A323,'3121% SY'!$C$3:$M$324,11,FALSE),3),0)+IFERROR(VLOOKUP($A323,S275_09,15,FALSE),0)</f>
        <v>0</v>
      </c>
      <c r="AC323" s="268">
        <f t="shared" si="57"/>
        <v>103.59399999999999</v>
      </c>
      <c r="AD323" s="267">
        <f>IFERROR(VLOOKUP($A323,Supp_24,14,FALSE),0)+IFERROR(SUMPRODUCT(VLOOKUP($A323,S275_01,{2,3,4},FALSE)),0)+IFERROR(SUMPRODUCT(VLOOKUP($A323,S275_97,{2,3,4},FALSE)),0)+IFERROR(ROUND(VLOOKUP($A323,S275_21,2,FALSE)*VLOOKUP($A323,'3121% SY'!$C$3:$M$324,11,FALSE),3),0)+IFERROR(ROUND(VLOOKUP($A323,S275_21,3,FALSE)*VLOOKUP($A323,'3121% SY'!$C$3:$M$324,11,FALSE),3),0)+IFERROR(ROUND(VLOOKUP($A323,S275_21,4,FALSE)*VLOOKUP($A323,'3121% SY'!$C$3:$M$324,11,FALSE),3),0)+IFERROR(VLOOKUP($A323,S275_09,2,FALSE),0)</f>
        <v>0</v>
      </c>
      <c r="AE323" s="267">
        <f>IFERROR(VLOOKUP($A323,Supp_25,14,FALSE),0)+IFERROR(SUMPRODUCT(VLOOKUP($A323,S275_01,{5,6,7},FALSE)),0)+IFERROR(SUMPRODUCT(VLOOKUP($A323,S275_97,{5,6,7},FALSE)),0)+IFERROR(ROUND(VLOOKUP($A323,S275_21,5,FALSE)*VLOOKUP($A323,'3121% SY'!$C$3:$M$324,11,FALSE),3),0)+IFERROR(ROUND(VLOOKUP($A323,S275_21,6,FALSE)*VLOOKUP($A323,'3121% SY'!$C$3:$M$324,11,FALSE),3),0)+IFERROR(ROUND(VLOOKUP($A323,S275_21,7,FALSE)*VLOOKUP($A323,'3121% SY'!$C$3:$M$324,11,FALSE),3),0)+IFERROR(VLOOKUP($A323,S275_09,3,FALSE),0)</f>
        <v>54.67</v>
      </c>
      <c r="AF323" s="267">
        <f>IFERROR(VLOOKUP($A323,Supp_26,14,FALSE),0)+IFERROR(SUMPRODUCT(VLOOKUP($A323,S275_01,{8,9,10},FALSE)),0)+IFERROR(SUMPRODUCT(VLOOKUP($A323,S275_97,{8,9,10},FALSE)),0)+IFERROR(ROUND(VLOOKUP($A323,S275_21,8,FALSE)*VLOOKUP($A323,'3121% SY'!$C$3:$M$324,11,FALSE),3),0)+IFERROR(ROUND(VLOOKUP($A323,S275_21,9,FALSE)*VLOOKUP($A323,'3121% SY'!$C$3:$M$324,11,FALSE),3),0)+IFERROR(ROUND(VLOOKUP($A323,S275_21,10,FALSE)*VLOOKUP($A323,'3121% SY'!$C$3:$M$324,11,FALSE),3),0)+IFERROR(VLOOKUP($A323,S275_09,4,FALSE),0)</f>
        <v>27.814999999999994</v>
      </c>
      <c r="AG323" s="267">
        <f>IFERROR(VLOOKUP($A323,Supp_35,14,FALSE),0)+IFERROR(SUMPRODUCT(VLOOKUP($A323,S275_01,{11,12,13},FALSE)),0)+IFERROR(SUMPRODUCT(VLOOKUP($A323,S275_97,{11,12,13},FALSE)),0)+IFERROR(ROUND(VLOOKUP($A323,S275_21,11,FALSE)*VLOOKUP($A323,'3121% SY'!$C$3:$M$324,11,FALSE),3),0)+IFERROR(ROUND(VLOOKUP($A323,S275_21,12,FALSE)*VLOOKUP($A323,'3121% SY'!$C$3:$M$324,11,FALSE),3),0)+IFERROR(ROUND(VLOOKUP($A323,S275_21,13,FALSE)*VLOOKUP($A323,'3121% SY'!$C$3:$M$324,11,FALSE),3),0)+IFERROR(VLOOKUP($A323,S275_09,5,FALSE),0)</f>
        <v>15.925000000000001</v>
      </c>
      <c r="AH323" s="165">
        <f t="shared" si="58"/>
        <v>98.41</v>
      </c>
      <c r="AI323" s="161">
        <f>IFERROR(VLOOKUP(A323,'Supp Staff Data'!A:ER,148,FALSE),0)+AB323</f>
        <v>0</v>
      </c>
      <c r="AJ323" s="174">
        <v>1</v>
      </c>
      <c r="AK323" s="25">
        <f>VLOOKUP(A323,'Enroll Data as of January 2025'!$A$3:$T$323,20,FALSE)-F323</f>
        <v>0</v>
      </c>
    </row>
    <row r="324" spans="1:37" x14ac:dyDescent="0.25">
      <c r="A324" s="171" t="s">
        <v>112</v>
      </c>
      <c r="B324" t="s">
        <v>408</v>
      </c>
      <c r="C324" s="173" t="s">
        <v>1077</v>
      </c>
      <c r="D324" s="259">
        <f t="shared" si="50"/>
        <v>162.29099999999997</v>
      </c>
      <c r="E324" s="259">
        <f t="shared" si="51"/>
        <v>243.03199999999998</v>
      </c>
      <c r="F324" s="262">
        <f t="shared" si="59"/>
        <v>80.741</v>
      </c>
      <c r="G324" s="161">
        <f>ROUND(IF(F324&lt;0,F324*'2024-25 PSES Compliance'!$G$13,0),3)</f>
        <v>0</v>
      </c>
      <c r="H324" s="161">
        <f>ROUND(IF(F324&lt;0,F324*'2024-25 PSES Compliance'!$G$14,0),3)</f>
        <v>0</v>
      </c>
      <c r="I324" s="174">
        <f t="shared" si="53"/>
        <v>0.44115088506863298</v>
      </c>
      <c r="J324" s="174">
        <f t="shared" si="54"/>
        <v>0</v>
      </c>
      <c r="K324" s="161">
        <f>VLOOKUP($A324,'Enroll Data as of January 2025'!$A$3:$M$322,6,FALSE)</f>
        <v>91.771999999999991</v>
      </c>
      <c r="L324" s="161">
        <f>VLOOKUP($A324,'Enroll Data as of January 2025'!$A$3:$M$322,7,FALSE)</f>
        <v>14.734</v>
      </c>
      <c r="M324" s="161">
        <f>VLOOKUP($A324,'Enroll Data as of January 2025'!$A$3:$M$322,8,FALSE)</f>
        <v>4.944</v>
      </c>
      <c r="N324" s="161">
        <f>VLOOKUP($A324,'Enroll Data as of January 2025'!$A$3:$M$322,9,FALSE)</f>
        <v>41.858999999999995</v>
      </c>
      <c r="O324" s="165">
        <f t="shared" si="55"/>
        <v>153.30899999999997</v>
      </c>
      <c r="P324" s="161">
        <f>VLOOKUP($A324,'Enroll Data as of January 2025'!$A$3:$M$322,11,FALSE)</f>
        <v>5.6980000000000004</v>
      </c>
      <c r="Q324" s="161">
        <f>VLOOKUP($A324,'Enroll Data as of January 2025'!$A$3:$M$322,12,FALSE)</f>
        <v>3.2839999999999998</v>
      </c>
      <c r="R324" s="165">
        <f t="shared" si="56"/>
        <v>8.9819999999999993</v>
      </c>
      <c r="S324" s="267">
        <f>IFERROR(VLOOKUP($A324,Supp_39,14,FALSE),0)+IFERROR(SUMPRODUCT(VLOOKUP($A324,S275_01,{14,15,16},FALSE)),0)+IFERROR(SUMPRODUCT(VLOOKUP($A324,S275_97,{14,15,16},FALSE)),0)+IFERROR(ROUND(VLOOKUP($A324,S275_21,14,FALSE)*VLOOKUP($A324,'3121% SY'!$C$3:$M$324,11,FALSE),3),0)+IFERROR(ROUND(VLOOKUP($A324,S275_21,15,FALSE)*VLOOKUP($A324,'3121% SY'!$C$3:$M$324,11,FALSE),3),0)+IFERROR(ROUND(VLOOKUP($A324,S275_21,16,FALSE)*VLOOKUP($A324,'3121% SY'!$C$3:$M$324,11,FALSE),3),0)+IFERROR(VLOOKUP($A324,S275_09,6,FALSE),0)</f>
        <v>59.465999999999994</v>
      </c>
      <c r="T324" s="267">
        <f>IFERROR(VLOOKUP($A324,Supp_42,14,FALSE),0)+IFERROR(SUMPRODUCT(VLOOKUP($A324,S275_01,{17,18,19},FALSE)),0)+IFERROR(SUMPRODUCT(VLOOKUP($A324,S275_97,{17,18,19},FALSE)),0)+IFERROR(ROUND(VLOOKUP($A324,S275_21,17,FALSE)*VLOOKUP($A324,'3121% SY'!$C$3:$M$324,11,FALSE),3),0)+IFERROR(ROUND(VLOOKUP($A324,S275_21,18,FALSE)*VLOOKUP($A324,'3121% SY'!$C$3:$M$324,11,FALSE),3),0)+IFERROR(ROUND(VLOOKUP($A324,S275_21,19,FALSE)*VLOOKUP($A324,'3121% SY'!$C$3:$M$324,11,FALSE),3),0)+IFERROR(VLOOKUP($A324,S275_09,7,FALSE),0)</f>
        <v>20.983000000000001</v>
      </c>
      <c r="U324" s="267">
        <f>IFERROR(VLOOKUP($A324,Supp_43,14,FALSE),0)+IFERROR(SUMPRODUCT(VLOOKUP($A324,S275_01,{20,21,22},FALSE)),0)+IFERROR(SUMPRODUCT(VLOOKUP($A324,S275_97,{20,21,22},FALSE)),0)+IFERROR(ROUND(VLOOKUP($A324,S275_21,20,FALSE)*VLOOKUP($A324,'3121% SY'!$C$3:$M$324,11,FALSE),3),0)+IFERROR(ROUND(VLOOKUP($A324,S275_21,21,FALSE)*VLOOKUP($A324,'3121% SY'!$C$3:$M$324,11,FALSE),3),0)+IFERROR(ROUND(VLOOKUP($A324,S275_21,22,FALSE)*VLOOKUP($A324,'3121% SY'!$C$3:$M$324,11,FALSE),3),0)+IFERROR(VLOOKUP($A324,S275_09,8,FALSE),0)</f>
        <v>5.1470000000000002</v>
      </c>
      <c r="V324" s="267">
        <f>IFERROR(VLOOKUP($A324,Supp_44,14,FALSE),0)+IFERROR(SUMPRODUCT(VLOOKUP($A324,S275_01,{23,24,25},FALSE)),0)+IFERROR(SUMPRODUCT(VLOOKUP($A324,S275_97,{23,24,25},FALSE)),0)+IFERROR(ROUND(VLOOKUP($A324,S275_21,23,FALSE)*VLOOKUP($A324,'3121% SY'!$C$3:$M$324,11,FALSE),3),0)+IFERROR(ROUND(VLOOKUP($A324,S275_21,24,FALSE)*VLOOKUP($A324,'3121% SY'!$C$3:$M$324,11,FALSE),3),0)+IFERROR(ROUND(VLOOKUP($A324,S275_21,25,FALSE)*VLOOKUP($A324,'3121% SY'!$C$3:$M$324,11,FALSE),3),0)+IFERROR(VLOOKUP($A324,S275_09,9,FALSE),0)</f>
        <v>0</v>
      </c>
      <c r="W324" s="267">
        <f>IFERROR(VLOOKUP($A324,Supp_45,14,FALSE),0)+IFERROR(SUMPRODUCT(VLOOKUP($A324,S275_01,{26,27,28},FALSE)),0)+IFERROR(SUMPRODUCT(VLOOKUP($A324,S275_97,{26,27,28},FALSE)),0)+IFERROR(ROUND(VLOOKUP($A324,S275_21,26,FALSE)*VLOOKUP($A324,'3121% SY'!$C$3:$M$324,11,FALSE),3),0)+IFERROR(ROUND(VLOOKUP($A324,S275_21,27,FALSE)*VLOOKUP($A324,'3121% SY'!$C$3:$M$324,11,FALSE),3),0)+IFERROR(ROUND(VLOOKUP($A324,S275_21,28,FALSE)*VLOOKUP($A324,'3121% SY'!$C$3:$M$324,11,FALSE),3),0)+IFERROR(VLOOKUP($A324,S275_09,10,FALSE),0)</f>
        <v>31.380999999999997</v>
      </c>
      <c r="X324" s="267">
        <f>IFERROR(VLOOKUP($A324,Supp_46,14,FALSE),0)+IFERROR(SUMPRODUCT(VLOOKUP($A324,S275_01,{29,30,31},FALSE)),0)+IFERROR(SUMPRODUCT(VLOOKUP($A324,S275_97,{29,30,31},FALSE)),0)+IFERROR(ROUND(VLOOKUP($A324,S275_21,29,FALSE)*VLOOKUP($A324,'3121% SY'!$C$3:$M$324,11,FALSE),3),0)+IFERROR(ROUND(VLOOKUP($A324,S275_21,30,FALSE)*VLOOKUP($A324,'3121% SY'!$C$3:$M$324,11,FALSE),3),0)+IFERROR(ROUND(VLOOKUP($A324,S275_21,31,FALSE)*VLOOKUP($A324,'3121% SY'!$C$3:$M$324,11,FALSE),3),0)+IFERROR(VLOOKUP($A324,S275_09,11,FALSE),0)</f>
        <v>7.05</v>
      </c>
      <c r="Y324" s="267">
        <f>IFERROR(VLOOKUP($A324,Supp_47,14,FALSE),0)+IFERROR(SUMPRODUCT(VLOOKUP($A324,S275_01,{32,33,34},FALSE)),0)+IFERROR(SUMPRODUCT(VLOOKUP($A324,S275_97,{32,33,34},FALSE)),0)+IFERROR(ROUND(VLOOKUP($A324,S275_21,32,FALSE)*VLOOKUP($A324,'3121% SY'!$C$3:$M$324,11,FALSE),3),0)+IFERROR(ROUND(VLOOKUP($A324,S275_21,33,FALSE)*VLOOKUP($A324,'3121% SY'!$C$3:$M$324,11,FALSE),3),0)+IFERROR(ROUND(VLOOKUP($A324,S275_21,34,FALSE)*VLOOKUP($A324,'3121% SY'!$C$3:$M$324,11,FALSE),3),0)+IFERROR(VLOOKUP($A324,S275_09,12,FALSE),0)</f>
        <v>0</v>
      </c>
      <c r="Z324" s="267">
        <f>IFERROR(VLOOKUP($A324,Supp_48,14,FALSE),0)+IFERROR(SUMPRODUCT(VLOOKUP($A324,S275_01,{35,36,37},FALSE)),0)+IFERROR(SUMPRODUCT(VLOOKUP($A324,S275_97,{35,36,37},FALSE)),0)+IFERROR(ROUND(VLOOKUP($A324,S275_21,35,FALSE)*VLOOKUP($A324,'3121% SY'!$C$3:$M$324,11,FALSE),3),0)+IFERROR(ROUND(VLOOKUP($A324,S275_21,36,FALSE)*VLOOKUP($A324,'3121% SY'!$C$3:$M$324,11,FALSE),3),0)+IFERROR(ROUND(VLOOKUP($A324,S275_21,37,FALSE)*VLOOKUP($A324,'3121% SY'!$C$3:$M$324,11,FALSE),3),0)+IFERROR(VLOOKUP($A324,S275_09,13,FALSE),0)</f>
        <v>1.0620000000000001</v>
      </c>
      <c r="AA324" s="267">
        <f>IFERROR(VLOOKUP($A324,Supp_49,14,FALSE),0)+IFERROR(SUMPRODUCT(VLOOKUP($A324,S275_01,{38,39,40},FALSE)),0)+IFERROR(SUMPRODUCT(VLOOKUP($A324,S275_97,{38,39,40},FALSE)),0)+IFERROR(ROUND(VLOOKUP($A324,S275_21,38,FALSE)*VLOOKUP($A324,'3121% SY'!$C$3:$M$324,11,FALSE),3),0)+IFERROR(ROUND(VLOOKUP($A324,S275_21,39,FALSE)*VLOOKUP($A324,'3121% SY'!$C$3:$M$324,11,FALSE),3),0)+IFERROR(ROUND(VLOOKUP($A324,S275_21,40,FALSE)*VLOOKUP($A324,'3121% SY'!$C$3:$M$324,11,FALSE),3),0)+IFERROR(VLOOKUP($A324,S275_09,14,FALSE),0)</f>
        <v>0</v>
      </c>
      <c r="AB324" s="267">
        <f>IFERROR(VLOOKUP($A324,Supp_64,14,FALSE),0)+IFERROR(SUMPRODUCT(VLOOKUP($A324,S275_01,{41,42,43},FALSE)),0)+IFERROR(SUMPRODUCT(VLOOKUP($A324,S275_97,{41,42,43},FALSE)),0)+IFERROR(ROUND(VLOOKUP($A324,S275_21,41,FALSE)*VLOOKUP($A324,'3121% SY'!$C$3:$M$324,11,FALSE),3),0)+IFERROR(ROUND(VLOOKUP($A324,S275_21,42,FALSE)*VLOOKUP($A324,'3121% SY'!$C$3:$M$324,11,FALSE),3),0)+IFERROR(ROUND(VLOOKUP($A324,S275_21,43,FALSE)*VLOOKUP($A324,'3121% SY'!$C$3:$M$324,11,FALSE),3),0)+IFERROR(VLOOKUP($A324,S275_09,15,FALSE),0)</f>
        <v>0</v>
      </c>
      <c r="AC324" s="268">
        <f t="shared" si="57"/>
        <v>125.089</v>
      </c>
      <c r="AD324" s="267">
        <f>IFERROR(VLOOKUP($A324,Supp_24,14,FALSE),0)+IFERROR(SUMPRODUCT(VLOOKUP($A324,S275_01,{2,3,4},FALSE)),0)+IFERROR(SUMPRODUCT(VLOOKUP($A324,S275_97,{2,3,4},FALSE)),0)+IFERROR(ROUND(VLOOKUP($A324,S275_21,2,FALSE)*VLOOKUP($A324,'3121% SY'!$C$3:$M$324,11,FALSE),3),0)+IFERROR(ROUND(VLOOKUP($A324,S275_21,3,FALSE)*VLOOKUP($A324,'3121% SY'!$C$3:$M$324,11,FALSE),3),0)+IFERROR(ROUND(VLOOKUP($A324,S275_21,4,FALSE)*VLOOKUP($A324,'3121% SY'!$C$3:$M$324,11,FALSE),3),0)+IFERROR(VLOOKUP($A324,S275_09,2,FALSE),0)</f>
        <v>4.1109999999999998</v>
      </c>
      <c r="AE324" s="267">
        <f>IFERROR(VLOOKUP($A324,Supp_25,14,FALSE),0)+IFERROR(SUMPRODUCT(VLOOKUP($A324,S275_01,{5,6,7},FALSE)),0)+IFERROR(SUMPRODUCT(VLOOKUP($A324,S275_97,{5,6,7},FALSE)),0)+IFERROR(ROUND(VLOOKUP($A324,S275_21,5,FALSE)*VLOOKUP($A324,'3121% SY'!$C$3:$M$324,11,FALSE),3),0)+IFERROR(ROUND(VLOOKUP($A324,S275_21,6,FALSE)*VLOOKUP($A324,'3121% SY'!$C$3:$M$324,11,FALSE),3),0)+IFERROR(ROUND(VLOOKUP($A324,S275_21,7,FALSE)*VLOOKUP($A324,'3121% SY'!$C$3:$M$324,11,FALSE),3),0)+IFERROR(VLOOKUP($A324,S275_09,3,FALSE),0)</f>
        <v>66.320999999999998</v>
      </c>
      <c r="AF324" s="267">
        <f>IFERROR(VLOOKUP($A324,Supp_26,14,FALSE),0)+IFERROR(SUMPRODUCT(VLOOKUP($A324,S275_01,{8,9,10},FALSE)),0)+IFERROR(SUMPRODUCT(VLOOKUP($A324,S275_97,{8,9,10},FALSE)),0)+IFERROR(ROUND(VLOOKUP($A324,S275_21,8,FALSE)*VLOOKUP($A324,'3121% SY'!$C$3:$M$324,11,FALSE),3),0)+IFERROR(ROUND(VLOOKUP($A324,S275_21,9,FALSE)*VLOOKUP($A324,'3121% SY'!$C$3:$M$324,11,FALSE),3),0)+IFERROR(ROUND(VLOOKUP($A324,S275_21,10,FALSE)*VLOOKUP($A324,'3121% SY'!$C$3:$M$324,11,FALSE),3),0)+IFERROR(VLOOKUP($A324,S275_09,4,FALSE),0)</f>
        <v>47.510999999999996</v>
      </c>
      <c r="AG324" s="267">
        <f>IFERROR(VLOOKUP($A324,Supp_35,14,FALSE),0)+IFERROR(SUMPRODUCT(VLOOKUP($A324,S275_01,{11,12,13},FALSE)),0)+IFERROR(SUMPRODUCT(VLOOKUP($A324,S275_97,{11,12,13},FALSE)),0)+IFERROR(ROUND(VLOOKUP($A324,S275_21,11,FALSE)*VLOOKUP($A324,'3121% SY'!$C$3:$M$324,11,FALSE),3),0)+IFERROR(ROUND(VLOOKUP($A324,S275_21,12,FALSE)*VLOOKUP($A324,'3121% SY'!$C$3:$M$324,11,FALSE),3),0)+IFERROR(ROUND(VLOOKUP($A324,S275_21,13,FALSE)*VLOOKUP($A324,'3121% SY'!$C$3:$M$324,11,FALSE),3),0)+IFERROR(VLOOKUP($A324,S275_09,5,FALSE),0)</f>
        <v>0</v>
      </c>
      <c r="AH324" s="165">
        <f t="shared" si="58"/>
        <v>117.943</v>
      </c>
      <c r="AI324" s="161">
        <f>IFERROR(VLOOKUP(A324,'Supp Staff Data'!A:ER,148,FALSE),0)+AB324</f>
        <v>0</v>
      </c>
      <c r="AJ324" s="174">
        <v>0.85709999999999997</v>
      </c>
      <c r="AK324" s="25">
        <f>VLOOKUP(A324,'Enroll Data as of January 2025'!$A$3:$T$323,20,FALSE)-F324</f>
        <v>0</v>
      </c>
    </row>
    <row r="325" spans="1:37" x14ac:dyDescent="0.25">
      <c r="A325" s="171" t="s">
        <v>32</v>
      </c>
      <c r="B325" t="s">
        <v>328</v>
      </c>
      <c r="C325" s="173" t="s">
        <v>1077</v>
      </c>
      <c r="D325" s="259">
        <f t="shared" si="50"/>
        <v>106.741</v>
      </c>
      <c r="E325" s="259">
        <f t="shared" si="51"/>
        <v>204.29399999999998</v>
      </c>
      <c r="F325" s="262">
        <f t="shared" si="59"/>
        <v>97.552999999999997</v>
      </c>
      <c r="G325" s="161">
        <f>ROUND(IF(F325&lt;0,F325*'2024-25 PSES Compliance'!$G$13,0),3)</f>
        <v>0</v>
      </c>
      <c r="H325" s="161">
        <f>ROUND(IF(F325&lt;0,F325*'2024-25 PSES Compliance'!$G$14,0),3)</f>
        <v>0</v>
      </c>
      <c r="I325" s="174">
        <f t="shared" si="53"/>
        <v>0.5318216540867573</v>
      </c>
      <c r="J325" s="174">
        <f t="shared" si="54"/>
        <v>0</v>
      </c>
      <c r="K325" s="161">
        <f>VLOOKUP($A325,'Enroll Data as of January 2025'!$A$3:$M$322,6,FALSE)</f>
        <v>59.72</v>
      </c>
      <c r="L325" s="161">
        <f>VLOOKUP($A325,'Enroll Data as of January 2025'!$A$3:$M$322,7,FALSE)</f>
        <v>10.029</v>
      </c>
      <c r="M325" s="161">
        <f>VLOOKUP($A325,'Enroll Data as of January 2025'!$A$3:$M$322,8,FALSE)</f>
        <v>3.3650000000000002</v>
      </c>
      <c r="N325" s="161">
        <f>VLOOKUP($A325,'Enroll Data as of January 2025'!$A$3:$M$322,9,FALSE)</f>
        <v>27.596</v>
      </c>
      <c r="O325" s="165">
        <f t="shared" ref="O325" si="60">SUM(K325:N325)</f>
        <v>100.71</v>
      </c>
      <c r="P325" s="161">
        <f>VLOOKUP($A325,'Enroll Data as of January 2025'!$A$3:$M$322,11,FALSE)</f>
        <v>3.7569999999999997</v>
      </c>
      <c r="Q325" s="161">
        <f>VLOOKUP($A325,'Enroll Data as of January 2025'!$A$3:$M$322,12,FALSE)</f>
        <v>2.274</v>
      </c>
      <c r="R325" s="165">
        <f t="shared" ref="R325" si="61">SUM(P325:Q325)</f>
        <v>6.0309999999999997</v>
      </c>
      <c r="S325" s="267">
        <f>IFERROR(VLOOKUP($A325,Supp_39,14,FALSE),0)+IFERROR(SUMPRODUCT(VLOOKUP($A325,S275_01,{14,15,16},FALSE)),0)+IFERROR(SUMPRODUCT(VLOOKUP($A325,S275_97,{14,15,16},FALSE)),0)+IFERROR(ROUND(VLOOKUP($A325,S275_21,14,FALSE)*VLOOKUP($A325,'3121% SY'!$C$3:$M$324,11,FALSE),3),0)+IFERROR(ROUND(VLOOKUP($A325,S275_21,15,FALSE)*VLOOKUP($A325,'3121% SY'!$C$3:$M$324,11,FALSE),3),0)+IFERROR(ROUND(VLOOKUP($A325,S275_21,16,FALSE)*VLOOKUP($A325,'3121% SY'!$C$3:$M$324,11,FALSE),3),0)+IFERROR(VLOOKUP($A325,S275_09,6,FALSE),0)</f>
        <v>53.325000000000003</v>
      </c>
      <c r="T325" s="267">
        <f>IFERROR(VLOOKUP($A325,Supp_42,14,FALSE),0)+IFERROR(SUMPRODUCT(VLOOKUP($A325,S275_01,{17,18,19},FALSE)),0)+IFERROR(SUMPRODUCT(VLOOKUP($A325,S275_97,{17,18,19},FALSE)),0)+IFERROR(ROUND(VLOOKUP($A325,S275_21,17,FALSE)*VLOOKUP($A325,'3121% SY'!$C$3:$M$324,11,FALSE),3),0)+IFERROR(ROUND(VLOOKUP($A325,S275_21,18,FALSE)*VLOOKUP($A325,'3121% SY'!$C$3:$M$324,11,FALSE),3),0)+IFERROR(ROUND(VLOOKUP($A325,S275_21,19,FALSE)*VLOOKUP($A325,'3121% SY'!$C$3:$M$324,11,FALSE),3),0)+IFERROR(VLOOKUP($A325,S275_09,7,FALSE),0)</f>
        <v>12.244</v>
      </c>
      <c r="U325" s="267">
        <f>IFERROR(VLOOKUP($A325,Supp_43,14,FALSE),0)+IFERROR(SUMPRODUCT(VLOOKUP($A325,S275_01,{20,21,22},FALSE)),0)+IFERROR(SUMPRODUCT(VLOOKUP($A325,S275_97,{20,21,22},FALSE)),0)+IFERROR(ROUND(VLOOKUP($A325,S275_21,20,FALSE)*VLOOKUP($A325,'3121% SY'!$C$3:$M$324,11,FALSE),3),0)+IFERROR(ROUND(VLOOKUP($A325,S275_21,21,FALSE)*VLOOKUP($A325,'3121% SY'!$C$3:$M$324,11,FALSE),3),0)+IFERROR(ROUND(VLOOKUP($A325,S275_21,22,FALSE)*VLOOKUP($A325,'3121% SY'!$C$3:$M$324,11,FALSE),3),0)+IFERROR(VLOOKUP($A325,S275_09,8,FALSE),0)</f>
        <v>5.4359999999999999</v>
      </c>
      <c r="V325" s="267">
        <f>IFERROR(VLOOKUP($A325,Supp_44,14,FALSE),0)+IFERROR(SUMPRODUCT(VLOOKUP($A325,S275_01,{23,24,25},FALSE)),0)+IFERROR(SUMPRODUCT(VLOOKUP($A325,S275_97,{23,24,25},FALSE)),0)+IFERROR(ROUND(VLOOKUP($A325,S275_21,23,FALSE)*VLOOKUP($A325,'3121% SY'!$C$3:$M$324,11,FALSE),3),0)+IFERROR(ROUND(VLOOKUP($A325,S275_21,24,FALSE)*VLOOKUP($A325,'3121% SY'!$C$3:$M$324,11,FALSE),3),0)+IFERROR(ROUND(VLOOKUP($A325,S275_21,25,FALSE)*VLOOKUP($A325,'3121% SY'!$C$3:$M$324,11,FALSE),3),0)+IFERROR(VLOOKUP($A325,S275_09,9,FALSE),0)</f>
        <v>0</v>
      </c>
      <c r="W325" s="267">
        <f>IFERROR(VLOOKUP($A325,Supp_45,14,FALSE),0)+IFERROR(SUMPRODUCT(VLOOKUP($A325,S275_01,{26,27,28},FALSE)),0)+IFERROR(SUMPRODUCT(VLOOKUP($A325,S275_97,{26,27,28},FALSE)),0)+IFERROR(ROUND(VLOOKUP($A325,S275_21,26,FALSE)*VLOOKUP($A325,'3121% SY'!$C$3:$M$324,11,FALSE),3),0)+IFERROR(ROUND(VLOOKUP($A325,S275_21,27,FALSE)*VLOOKUP($A325,'3121% SY'!$C$3:$M$324,11,FALSE),3),0)+IFERROR(ROUND(VLOOKUP($A325,S275_21,28,FALSE)*VLOOKUP($A325,'3121% SY'!$C$3:$M$324,11,FALSE),3),0)+IFERROR(VLOOKUP($A325,S275_09,10,FALSE),0)</f>
        <v>13.047000000000001</v>
      </c>
      <c r="X325" s="267">
        <f>IFERROR(VLOOKUP($A325,Supp_46,14,FALSE),0)+IFERROR(SUMPRODUCT(VLOOKUP($A325,S275_01,{29,30,31},FALSE)),0)+IFERROR(SUMPRODUCT(VLOOKUP($A325,S275_97,{29,30,31},FALSE)),0)+IFERROR(ROUND(VLOOKUP($A325,S275_21,29,FALSE)*VLOOKUP($A325,'3121% SY'!$C$3:$M$324,11,FALSE),3),0)+IFERROR(ROUND(VLOOKUP($A325,S275_21,30,FALSE)*VLOOKUP($A325,'3121% SY'!$C$3:$M$324,11,FALSE),3),0)+IFERROR(ROUND(VLOOKUP($A325,S275_21,31,FALSE)*VLOOKUP($A325,'3121% SY'!$C$3:$M$324,11,FALSE),3),0)+IFERROR(VLOOKUP($A325,S275_09,11,FALSE),0)</f>
        <v>21.278000000000002</v>
      </c>
      <c r="Y325" s="267">
        <f>IFERROR(VLOOKUP($A325,Supp_47,14,FALSE),0)+IFERROR(SUMPRODUCT(VLOOKUP($A325,S275_01,{32,33,34},FALSE)),0)+IFERROR(SUMPRODUCT(VLOOKUP($A325,S275_97,{32,33,34},FALSE)),0)+IFERROR(ROUND(VLOOKUP($A325,S275_21,32,FALSE)*VLOOKUP($A325,'3121% SY'!$C$3:$M$324,11,FALSE),3),0)+IFERROR(ROUND(VLOOKUP($A325,S275_21,33,FALSE)*VLOOKUP($A325,'3121% SY'!$C$3:$M$324,11,FALSE),3),0)+IFERROR(ROUND(VLOOKUP($A325,S275_21,34,FALSE)*VLOOKUP($A325,'3121% SY'!$C$3:$M$324,11,FALSE),3),0)+IFERROR(VLOOKUP($A325,S275_09,12,FALSE),0)</f>
        <v>3.8069999999999995</v>
      </c>
      <c r="Z325" s="267">
        <f>IFERROR(VLOOKUP($A325,Supp_48,14,FALSE),0)+IFERROR(SUMPRODUCT(VLOOKUP($A325,S275_01,{35,36,37},FALSE)),0)+IFERROR(SUMPRODUCT(VLOOKUP($A325,S275_97,{35,36,37},FALSE)),0)+IFERROR(ROUND(VLOOKUP($A325,S275_21,35,FALSE)*VLOOKUP($A325,'3121% SY'!$C$3:$M$324,11,FALSE),3),0)+IFERROR(ROUND(VLOOKUP($A325,S275_21,36,FALSE)*VLOOKUP($A325,'3121% SY'!$C$3:$M$324,11,FALSE),3),0)+IFERROR(ROUND(VLOOKUP($A325,S275_21,37,FALSE)*VLOOKUP($A325,'3121% SY'!$C$3:$M$324,11,FALSE),3),0)+IFERROR(VLOOKUP($A325,S275_09,13,FALSE),0)</f>
        <v>0.94200000000000006</v>
      </c>
      <c r="AA325" s="267">
        <f>IFERROR(VLOOKUP($A325,Supp_49,14,FALSE),0)+IFERROR(SUMPRODUCT(VLOOKUP($A325,S275_01,{38,39,40},FALSE)),0)+IFERROR(SUMPRODUCT(VLOOKUP($A325,S275_97,{38,39,40},FALSE)),0)+IFERROR(ROUND(VLOOKUP($A325,S275_21,38,FALSE)*VLOOKUP($A325,'3121% SY'!$C$3:$M$324,11,FALSE),3),0)+IFERROR(ROUND(VLOOKUP($A325,S275_21,39,FALSE)*VLOOKUP($A325,'3121% SY'!$C$3:$M$324,11,FALSE),3),0)+IFERROR(ROUND(VLOOKUP($A325,S275_21,40,FALSE)*VLOOKUP($A325,'3121% SY'!$C$3:$M$324,11,FALSE),3),0)+IFERROR(VLOOKUP($A325,S275_09,14,FALSE),0)</f>
        <v>0</v>
      </c>
      <c r="AB325" s="267">
        <f>IFERROR(VLOOKUP($A325,Supp_64,14,FALSE),0)+IFERROR(SUMPRODUCT(VLOOKUP($A325,S275_01,{41,42,43},FALSE)),0)+IFERROR(SUMPRODUCT(VLOOKUP($A325,S275_97,{41,42,43},FALSE)),0)+IFERROR(ROUND(VLOOKUP($A325,S275_21,41,FALSE)*VLOOKUP($A325,'3121% SY'!$C$3:$M$324,11,FALSE),3),0)+IFERROR(ROUND(VLOOKUP($A325,S275_21,42,FALSE)*VLOOKUP($A325,'3121% SY'!$C$3:$M$324,11,FALSE),3),0)+IFERROR(ROUND(VLOOKUP($A325,S275_21,43,FALSE)*VLOOKUP($A325,'3121% SY'!$C$3:$M$324,11,FALSE),3),0)+IFERROR(VLOOKUP($A325,S275_09,15,FALSE),0)</f>
        <v>0</v>
      </c>
      <c r="AC325" s="268">
        <f t="shared" ref="AC325" si="62">SUM(S325:AB325)</f>
        <v>110.07899999999999</v>
      </c>
      <c r="AD325" s="267">
        <f>IFERROR(VLOOKUP($A325,Supp_24,14,FALSE),0)+IFERROR(SUMPRODUCT(VLOOKUP($A325,S275_01,{2,3,4},FALSE)),0)+IFERROR(SUMPRODUCT(VLOOKUP($A325,S275_97,{2,3,4},FALSE)),0)+IFERROR(ROUND(VLOOKUP($A325,S275_21,2,FALSE)*VLOOKUP($A325,'3121% SY'!$C$3:$M$324,11,FALSE),3),0)+IFERROR(ROUND(VLOOKUP($A325,S275_21,3,FALSE)*VLOOKUP($A325,'3121% SY'!$C$3:$M$324,11,FALSE),3),0)+IFERROR(ROUND(VLOOKUP($A325,S275_21,4,FALSE)*VLOOKUP($A325,'3121% SY'!$C$3:$M$324,11,FALSE),3),0)+IFERROR(VLOOKUP($A325,S275_09,2,FALSE),0)</f>
        <v>23.869</v>
      </c>
      <c r="AE325" s="267">
        <f>IFERROR(VLOOKUP($A325,Supp_25,14,FALSE),0)+IFERROR(SUMPRODUCT(VLOOKUP($A325,S275_01,{5,6,7},FALSE)),0)+IFERROR(SUMPRODUCT(VLOOKUP($A325,S275_97,{5,6,7},FALSE)),0)+IFERROR(ROUND(VLOOKUP($A325,S275_21,5,FALSE)*VLOOKUP($A325,'3121% SY'!$C$3:$M$324,11,FALSE),3),0)+IFERROR(ROUND(VLOOKUP($A325,S275_21,6,FALSE)*VLOOKUP($A325,'3121% SY'!$C$3:$M$324,11,FALSE),3),0)+IFERROR(ROUND(VLOOKUP($A325,S275_21,7,FALSE)*VLOOKUP($A325,'3121% SY'!$C$3:$M$324,11,FALSE),3),0)+IFERROR(VLOOKUP($A325,S275_09,3,FALSE),0)</f>
        <v>54.585000000000001</v>
      </c>
      <c r="AF325" s="267">
        <f>IFERROR(VLOOKUP($A325,Supp_26,14,FALSE),0)+IFERROR(SUMPRODUCT(VLOOKUP($A325,S275_01,{8,9,10},FALSE)),0)+IFERROR(SUMPRODUCT(VLOOKUP($A325,S275_97,{8,9,10},FALSE)),0)+IFERROR(ROUND(VLOOKUP($A325,S275_21,8,FALSE)*VLOOKUP($A325,'3121% SY'!$C$3:$M$324,11,FALSE),3),0)+IFERROR(ROUND(VLOOKUP($A325,S275_21,9,FALSE)*VLOOKUP($A325,'3121% SY'!$C$3:$M$324,11,FALSE),3),0)+IFERROR(ROUND(VLOOKUP($A325,S275_21,10,FALSE)*VLOOKUP($A325,'3121% SY'!$C$3:$M$324,11,FALSE),3),0)+IFERROR(VLOOKUP($A325,S275_09,4,FALSE),0)</f>
        <v>1.0569999999999999</v>
      </c>
      <c r="AG325" s="267">
        <f>IFERROR(VLOOKUP($A325,Supp_35,14,FALSE),0)+IFERROR(SUMPRODUCT(VLOOKUP($A325,S275_01,{11,12,13},FALSE)),0)+IFERROR(SUMPRODUCT(VLOOKUP($A325,S275_97,{11,12,13},FALSE)),0)+IFERROR(ROUND(VLOOKUP($A325,S275_21,11,FALSE)*VLOOKUP($A325,'3121% SY'!$C$3:$M$324,11,FALSE),3),0)+IFERROR(ROUND(VLOOKUP($A325,S275_21,12,FALSE)*VLOOKUP($A325,'3121% SY'!$C$3:$M$324,11,FALSE),3),0)+IFERROR(ROUND(VLOOKUP($A325,S275_21,13,FALSE)*VLOOKUP($A325,'3121% SY'!$C$3:$M$324,11,FALSE),3),0)+IFERROR(VLOOKUP($A325,S275_09,5,FALSE),0)</f>
        <v>14.703999999999999</v>
      </c>
      <c r="AH325" s="165">
        <f t="shared" ref="AH325" si="63">SUM(AD325:AG325)</f>
        <v>94.215000000000003</v>
      </c>
      <c r="AI325" s="161">
        <f>IFERROR(VLOOKUP(A325,'Supp Staff Data'!A:ER,148,FALSE),0)+AB325</f>
        <v>0</v>
      </c>
      <c r="AJ325" s="174">
        <v>0.98699999999999999</v>
      </c>
      <c r="AK325" s="25">
        <f>VLOOKUP(A325,'Enroll Data as of January 2025'!$A$3:$T$323,20,FALSE)-F325</f>
        <v>0</v>
      </c>
    </row>
    <row r="326" spans="1:37" x14ac:dyDescent="0.25">
      <c r="W326" s="161">
        <f>IFERROR(VLOOKUP($A65,Supp_45,14,FALSE),0)</f>
        <v>0</v>
      </c>
    </row>
    <row r="327" spans="1:37" x14ac:dyDescent="0.25">
      <c r="W327" s="161">
        <f>+IFERROR(SUMPRODUCT(VLOOKUP($A65,S275_01,{26,27,28},FALSE)),0)</f>
        <v>0</v>
      </c>
    </row>
    <row r="328" spans="1:37" x14ac:dyDescent="0.25">
      <c r="W328" s="161">
        <f>+IFERROR(SUMPRODUCT(VLOOKUP($A65,S275_97,{26,27,28},FALSE)),0)</f>
        <v>0</v>
      </c>
    </row>
    <row r="329" spans="1:37" x14ac:dyDescent="0.25">
      <c r="W329" s="161">
        <f>+IFERROR(ROUND(VLOOKUP($A65,S275_21,26,FALSE)*VLOOKUP($A65,'3121% SY'!$C$3:$M$324,11,FALSE),3),0)</f>
        <v>0</v>
      </c>
    </row>
    <row r="330" spans="1:37" x14ac:dyDescent="0.25">
      <c r="W330" s="161">
        <f>+IFERROR(ROUND(VLOOKUP($A65,S275_21,27,FALSE)*VLOOKUP($A65,'3121% SY'!$C$3:$M$324,11,FALSE),3),0)</f>
        <v>0</v>
      </c>
    </row>
    <row r="331" spans="1:37" x14ac:dyDescent="0.25">
      <c r="W331" s="161">
        <f>+IFERROR(ROUND(VLOOKUP($A65,S275_21,28,FALSE)*VLOOKUP($A65,'3121% SY'!$C$3:$M$324,11,FALSE),3),0)</f>
        <v>0</v>
      </c>
    </row>
    <row r="332" spans="1:37" x14ac:dyDescent="0.25">
      <c r="W332" s="161">
        <f>+IFERROR(VLOOKUP($A65,S275_09,10,FALSE),0)</f>
        <v>0</v>
      </c>
    </row>
  </sheetData>
  <autoFilter ref="A5:AK332" xr:uid="{00000000-0001-0000-1400-000000000000}">
    <sortState xmlns:xlrd2="http://schemas.microsoft.com/office/spreadsheetml/2017/richdata2" ref="A6:AK332">
      <sortCondition ref="F5:F332"/>
    </sortState>
  </autoFilter>
  <pageMargins left="0.7" right="0.7" top="0.75" bottom="0.75" header="0.3" footer="0.3"/>
  <pageSetup orientation="portrait" horizontalDpi="1200" verticalDpi="12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5B36C-8393-4BAE-BDA6-B54AA7806A52}">
  <dimension ref="A1:AB5137"/>
  <sheetViews>
    <sheetView workbookViewId="0">
      <selection activeCell="I12" sqref="I12"/>
    </sheetView>
  </sheetViews>
  <sheetFormatPr defaultRowHeight="15" x14ac:dyDescent="0.25"/>
  <cols>
    <col min="5" max="5" width="54.28515625" bestFit="1" customWidth="1"/>
    <col min="6" max="6" width="20.7109375" bestFit="1" customWidth="1"/>
    <col min="7" max="7" width="17.85546875" bestFit="1" customWidth="1"/>
    <col min="8" max="8" width="14.85546875" bestFit="1" customWidth="1"/>
    <col min="9" max="9" width="10.140625" bestFit="1" customWidth="1"/>
    <col min="10" max="10" width="11.5703125" style="25" bestFit="1" customWidth="1"/>
    <col min="11" max="11" width="14.85546875" bestFit="1" customWidth="1"/>
    <col min="12" max="12" width="16.28515625" bestFit="1" customWidth="1"/>
    <col min="13" max="13" width="10.5703125" bestFit="1" customWidth="1"/>
    <col min="14" max="14" width="5.28515625" bestFit="1" customWidth="1"/>
    <col min="15" max="15" width="11.5703125" bestFit="1" customWidth="1"/>
    <col min="16" max="16" width="5.28515625" bestFit="1" customWidth="1"/>
    <col min="17" max="17" width="10.5703125" bestFit="1" customWidth="1"/>
    <col min="18" max="18" width="5.28515625" bestFit="1" customWidth="1"/>
    <col min="19" max="19" width="11.5703125" bestFit="1" customWidth="1"/>
    <col min="20" max="20" width="5.28515625" bestFit="1" customWidth="1"/>
    <col min="21" max="21" width="11.5703125" bestFit="1" customWidth="1"/>
    <col min="22" max="22" width="10.5703125" bestFit="1" customWidth="1"/>
    <col min="23" max="23" width="5.28515625" bestFit="1" customWidth="1"/>
    <col min="24" max="24" width="11.5703125" bestFit="1" customWidth="1"/>
    <col min="25" max="25" width="10.5703125" bestFit="1" customWidth="1"/>
    <col min="26" max="26" width="5.140625" bestFit="1" customWidth="1"/>
    <col min="27" max="27" width="9.5703125" bestFit="1" customWidth="1"/>
    <col min="28" max="28" width="13.28515625" bestFit="1" customWidth="1"/>
  </cols>
  <sheetData>
    <row r="1" spans="1:28" x14ac:dyDescent="0.25">
      <c r="A1" t="s">
        <v>1188</v>
      </c>
      <c r="B1" s="233" t="s">
        <v>600</v>
      </c>
      <c r="C1" t="s">
        <v>1189</v>
      </c>
      <c r="D1" t="s">
        <v>1190</v>
      </c>
      <c r="E1" t="s">
        <v>1191</v>
      </c>
      <c r="F1" s="25">
        <f>SUM(D:D)</f>
        <v>1078824.6999999995</v>
      </c>
      <c r="G1" t="s">
        <v>1192</v>
      </c>
      <c r="H1" s="234">
        <f>SUM(H5:H16)-SUM(H17:H20)</f>
        <v>908349.02000000025</v>
      </c>
      <c r="I1" s="235"/>
      <c r="K1" s="237">
        <v>1</v>
      </c>
      <c r="L1" s="237">
        <f>K1+1</f>
        <v>2</v>
      </c>
      <c r="M1" s="237">
        <f t="shared" ref="M1:AB1" si="0">L1+1</f>
        <v>3</v>
      </c>
      <c r="N1" s="237">
        <f t="shared" si="0"/>
        <v>4</v>
      </c>
      <c r="O1" s="237">
        <f t="shared" si="0"/>
        <v>5</v>
      </c>
      <c r="P1" s="237">
        <f t="shared" si="0"/>
        <v>6</v>
      </c>
      <c r="Q1" s="237">
        <f t="shared" si="0"/>
        <v>7</v>
      </c>
      <c r="R1" s="237">
        <f t="shared" si="0"/>
        <v>8</v>
      </c>
      <c r="S1" s="237">
        <f t="shared" si="0"/>
        <v>9</v>
      </c>
      <c r="T1" s="237">
        <f t="shared" si="0"/>
        <v>10</v>
      </c>
      <c r="U1" s="237">
        <f t="shared" si="0"/>
        <v>11</v>
      </c>
      <c r="V1" s="237">
        <f t="shared" si="0"/>
        <v>12</v>
      </c>
      <c r="W1" s="237">
        <f t="shared" si="0"/>
        <v>13</v>
      </c>
      <c r="X1" s="237">
        <f t="shared" si="0"/>
        <v>14</v>
      </c>
      <c r="Y1" s="237">
        <f t="shared" si="0"/>
        <v>15</v>
      </c>
      <c r="Z1" s="237">
        <f t="shared" si="0"/>
        <v>16</v>
      </c>
      <c r="AA1" s="237">
        <f t="shared" si="0"/>
        <v>17</v>
      </c>
      <c r="AB1" s="237">
        <f t="shared" si="0"/>
        <v>18</v>
      </c>
    </row>
    <row r="2" spans="1:28" ht="18.75" x14ac:dyDescent="0.3">
      <c r="A2">
        <v>14005</v>
      </c>
      <c r="B2" t="str">
        <f>TEXT(A2,"00000")</f>
        <v>14005</v>
      </c>
      <c r="C2" t="s">
        <v>1193</v>
      </c>
      <c r="D2">
        <v>0</v>
      </c>
      <c r="E2" t="s">
        <v>371</v>
      </c>
      <c r="F2" s="24"/>
      <c r="G2" s="91" t="s">
        <v>1191</v>
      </c>
      <c r="H2" t="s">
        <v>1064</v>
      </c>
      <c r="J2" s="272"/>
      <c r="K2" s="238" t="s">
        <v>1248</v>
      </c>
      <c r="S2" s="23">
        <f>SUM(L326:S326)</f>
        <v>542958.22000000009</v>
      </c>
      <c r="T2" s="23"/>
      <c r="U2" s="23"/>
      <c r="V2" s="23">
        <f>SUM(T326:U326)-V326</f>
        <v>141906.96000000014</v>
      </c>
      <c r="AA2" s="23">
        <f>SUM(W326:X326)-SUM(Y326:AA326)</f>
        <v>223483.83999999971</v>
      </c>
      <c r="AB2" s="23">
        <f>SUM(S2,V2,AA2)</f>
        <v>908349.0199999999</v>
      </c>
    </row>
    <row r="3" spans="1:28" x14ac:dyDescent="0.25">
      <c r="A3">
        <v>14005</v>
      </c>
      <c r="B3" t="str">
        <f t="shared" ref="B3:B66" si="1">TEXT(A3,"00000")</f>
        <v>14005</v>
      </c>
      <c r="C3" t="s">
        <v>1194</v>
      </c>
      <c r="D3">
        <v>610.94000000000005</v>
      </c>
      <c r="E3" t="s">
        <v>371</v>
      </c>
      <c r="K3" s="91" t="s">
        <v>1196</v>
      </c>
      <c r="L3" s="91" t="s">
        <v>751</v>
      </c>
    </row>
    <row r="4" spans="1:28" x14ac:dyDescent="0.25">
      <c r="A4">
        <v>14005</v>
      </c>
      <c r="B4" t="str">
        <f t="shared" si="1"/>
        <v>14005</v>
      </c>
      <c r="C4" t="s">
        <v>1195</v>
      </c>
      <c r="D4">
        <v>0</v>
      </c>
      <c r="E4" t="s">
        <v>371</v>
      </c>
      <c r="G4" s="91" t="s">
        <v>752</v>
      </c>
      <c r="H4" t="s">
        <v>1196</v>
      </c>
      <c r="K4" s="91" t="s">
        <v>752</v>
      </c>
      <c r="L4" s="236" t="s">
        <v>1216</v>
      </c>
      <c r="M4" s="236" t="s">
        <v>1198</v>
      </c>
      <c r="N4" s="236" t="s">
        <v>1193</v>
      </c>
      <c r="O4" s="236" t="s">
        <v>1194</v>
      </c>
      <c r="P4" s="236" t="s">
        <v>1195</v>
      </c>
      <c r="Q4" s="236" t="s">
        <v>1197</v>
      </c>
      <c r="R4" s="236" t="s">
        <v>1202</v>
      </c>
      <c r="S4" s="236" t="s">
        <v>1206</v>
      </c>
      <c r="T4" s="233" t="s">
        <v>1199</v>
      </c>
      <c r="U4" s="233" t="s">
        <v>1203</v>
      </c>
      <c r="V4" s="233" t="s">
        <v>1207</v>
      </c>
      <c r="W4" s="163" t="s">
        <v>1200</v>
      </c>
      <c r="X4" s="163" t="s">
        <v>1204</v>
      </c>
      <c r="Y4" s="163" t="s">
        <v>1208</v>
      </c>
      <c r="Z4" s="163" t="s">
        <v>1210</v>
      </c>
      <c r="AA4" s="163" t="s">
        <v>1212</v>
      </c>
      <c r="AB4" t="s">
        <v>753</v>
      </c>
    </row>
    <row r="5" spans="1:28" x14ac:dyDescent="0.25">
      <c r="A5">
        <v>14005</v>
      </c>
      <c r="B5" t="str">
        <f t="shared" si="1"/>
        <v>14005</v>
      </c>
      <c r="C5" t="s">
        <v>1197</v>
      </c>
      <c r="D5">
        <v>206.05</v>
      </c>
      <c r="E5" t="s">
        <v>371</v>
      </c>
      <c r="F5" s="284" t="s">
        <v>1217</v>
      </c>
      <c r="G5" s="88" t="s">
        <v>1216</v>
      </c>
      <c r="H5" s="235">
        <v>6814.4100000000044</v>
      </c>
      <c r="J5" s="286">
        <v>5210.28</v>
      </c>
      <c r="K5" s="88" t="s">
        <v>7</v>
      </c>
      <c r="L5" s="23">
        <v>0</v>
      </c>
      <c r="M5" s="23">
        <v>3</v>
      </c>
      <c r="N5" s="23">
        <v>0</v>
      </c>
      <c r="O5" s="23">
        <v>11.4</v>
      </c>
      <c r="P5" s="23">
        <v>0</v>
      </c>
      <c r="Q5" s="23">
        <v>2</v>
      </c>
      <c r="R5" s="23">
        <v>0</v>
      </c>
      <c r="S5" s="23">
        <v>10.4</v>
      </c>
      <c r="T5" s="23">
        <v>0</v>
      </c>
      <c r="U5" s="23">
        <v>9.43</v>
      </c>
      <c r="V5" s="23">
        <v>0.3</v>
      </c>
      <c r="W5" s="23">
        <v>0</v>
      </c>
      <c r="X5" s="23">
        <v>20.84</v>
      </c>
      <c r="Y5" s="23">
        <v>3.38</v>
      </c>
      <c r="Z5" s="23">
        <v>0</v>
      </c>
      <c r="AA5" s="23">
        <v>0</v>
      </c>
      <c r="AB5" s="23">
        <v>60.749999999999993</v>
      </c>
    </row>
    <row r="6" spans="1:28" x14ac:dyDescent="0.25">
      <c r="A6">
        <v>14005</v>
      </c>
      <c r="B6" t="str">
        <f t="shared" si="1"/>
        <v>14005</v>
      </c>
      <c r="C6" t="s">
        <v>1202</v>
      </c>
      <c r="D6">
        <v>0</v>
      </c>
      <c r="E6" t="s">
        <v>371</v>
      </c>
      <c r="F6" s="284" t="s">
        <v>1201</v>
      </c>
      <c r="G6" s="88" t="s">
        <v>1198</v>
      </c>
      <c r="H6" s="235">
        <v>69848.319999999963</v>
      </c>
      <c r="J6" s="286">
        <v>71101.539999999994</v>
      </c>
      <c r="K6" s="88" t="s">
        <v>8</v>
      </c>
      <c r="L6" s="23">
        <v>0</v>
      </c>
      <c r="M6" s="23">
        <v>0</v>
      </c>
      <c r="N6" s="23">
        <v>0</v>
      </c>
      <c r="O6" s="23">
        <v>10</v>
      </c>
      <c r="P6" s="23">
        <v>0</v>
      </c>
      <c r="Q6" s="23">
        <v>0</v>
      </c>
      <c r="R6" s="23">
        <v>0</v>
      </c>
      <c r="S6" s="23">
        <v>4</v>
      </c>
      <c r="T6" s="23">
        <v>0</v>
      </c>
      <c r="U6" s="23">
        <v>0</v>
      </c>
      <c r="V6" s="23">
        <v>0</v>
      </c>
      <c r="W6" s="23">
        <v>0</v>
      </c>
      <c r="X6" s="23">
        <v>0</v>
      </c>
      <c r="Y6" s="23">
        <v>0</v>
      </c>
      <c r="Z6" s="23">
        <v>0</v>
      </c>
      <c r="AA6" s="23">
        <v>0</v>
      </c>
      <c r="AB6" s="23">
        <v>14</v>
      </c>
    </row>
    <row r="7" spans="1:28" x14ac:dyDescent="0.25">
      <c r="A7">
        <v>14005</v>
      </c>
      <c r="B7" t="str">
        <f t="shared" si="1"/>
        <v>14005</v>
      </c>
      <c r="C7" t="s">
        <v>1206</v>
      </c>
      <c r="D7">
        <v>440.99</v>
      </c>
      <c r="E7" t="s">
        <v>371</v>
      </c>
      <c r="F7" s="284" t="s">
        <v>1205</v>
      </c>
      <c r="G7" s="88" t="s">
        <v>1193</v>
      </c>
      <c r="H7" s="235">
        <v>0</v>
      </c>
      <c r="J7" s="286"/>
      <c r="K7" s="88" t="s">
        <v>9</v>
      </c>
      <c r="L7" s="23">
        <v>64.67</v>
      </c>
      <c r="M7" s="23">
        <v>331.12</v>
      </c>
      <c r="N7" s="23">
        <v>0</v>
      </c>
      <c r="O7" s="23">
        <v>959.78</v>
      </c>
      <c r="P7" s="23">
        <v>0</v>
      </c>
      <c r="Q7" s="23">
        <v>300.60000000000002</v>
      </c>
      <c r="R7" s="23">
        <v>0</v>
      </c>
      <c r="S7" s="23">
        <v>699</v>
      </c>
      <c r="T7" s="23">
        <v>0</v>
      </c>
      <c r="U7" s="23">
        <v>704.87</v>
      </c>
      <c r="V7" s="23">
        <v>28.41</v>
      </c>
      <c r="W7" s="23">
        <v>0</v>
      </c>
      <c r="X7" s="23">
        <v>1311.44</v>
      </c>
      <c r="Y7" s="23">
        <v>272.88</v>
      </c>
      <c r="Z7" s="23">
        <v>0</v>
      </c>
      <c r="AA7" s="23">
        <v>0</v>
      </c>
      <c r="AB7" s="23">
        <v>4672.7699999999995</v>
      </c>
    </row>
    <row r="8" spans="1:28" x14ac:dyDescent="0.25">
      <c r="A8">
        <v>14005</v>
      </c>
      <c r="B8" t="str">
        <f t="shared" si="1"/>
        <v>14005</v>
      </c>
      <c r="C8" t="s">
        <v>1199</v>
      </c>
      <c r="D8">
        <v>0</v>
      </c>
      <c r="E8" t="s">
        <v>371</v>
      </c>
      <c r="F8" s="284" t="s">
        <v>1209</v>
      </c>
      <c r="G8" s="88" t="s">
        <v>1194</v>
      </c>
      <c r="H8" s="235">
        <v>230829.46000000014</v>
      </c>
      <c r="J8" s="286">
        <v>232283.69</v>
      </c>
      <c r="K8" s="88" t="s">
        <v>10</v>
      </c>
      <c r="L8" s="23">
        <v>2.4</v>
      </c>
      <c r="M8" s="23">
        <v>9.6</v>
      </c>
      <c r="N8" s="23">
        <v>0</v>
      </c>
      <c r="O8" s="23">
        <v>37.799999999999997</v>
      </c>
      <c r="P8" s="23">
        <v>0</v>
      </c>
      <c r="Q8" s="23">
        <v>15.6</v>
      </c>
      <c r="R8" s="23">
        <v>0</v>
      </c>
      <c r="S8" s="23">
        <v>24.98</v>
      </c>
      <c r="T8" s="23">
        <v>0</v>
      </c>
      <c r="U8" s="23">
        <v>34.96</v>
      </c>
      <c r="V8" s="23">
        <v>5.16</v>
      </c>
      <c r="W8" s="23">
        <v>0</v>
      </c>
      <c r="X8" s="23">
        <v>46.8</v>
      </c>
      <c r="Y8" s="23">
        <v>14.63</v>
      </c>
      <c r="Z8" s="23">
        <v>0</v>
      </c>
      <c r="AA8" s="23">
        <v>0</v>
      </c>
      <c r="AB8" s="23">
        <v>191.93</v>
      </c>
    </row>
    <row r="9" spans="1:28" x14ac:dyDescent="0.25">
      <c r="A9">
        <v>14005</v>
      </c>
      <c r="B9" t="str">
        <f t="shared" si="1"/>
        <v>14005</v>
      </c>
      <c r="C9" t="s">
        <v>1203</v>
      </c>
      <c r="D9">
        <v>450.45</v>
      </c>
      <c r="E9" t="s">
        <v>371</v>
      </c>
      <c r="F9" s="285" t="s">
        <v>1211</v>
      </c>
      <c r="G9" s="88" t="s">
        <v>1195</v>
      </c>
      <c r="H9" s="235">
        <v>0</v>
      </c>
      <c r="J9" s="286"/>
      <c r="K9" s="88" t="s">
        <v>11</v>
      </c>
      <c r="L9" s="23">
        <v>11.6</v>
      </c>
      <c r="M9" s="23">
        <v>26.2</v>
      </c>
      <c r="N9" s="23">
        <v>0</v>
      </c>
      <c r="O9" s="23">
        <v>75.599999999999994</v>
      </c>
      <c r="P9" s="23">
        <v>0</v>
      </c>
      <c r="Q9" s="23">
        <v>19.8</v>
      </c>
      <c r="R9" s="23">
        <v>0</v>
      </c>
      <c r="S9" s="23">
        <v>57.8</v>
      </c>
      <c r="T9" s="23">
        <v>0</v>
      </c>
      <c r="U9" s="23">
        <v>56.63</v>
      </c>
      <c r="V9" s="23">
        <v>9.82</v>
      </c>
      <c r="W9" s="23">
        <v>0</v>
      </c>
      <c r="X9" s="23">
        <v>114.82</v>
      </c>
      <c r="Y9" s="23">
        <v>33.06</v>
      </c>
      <c r="Z9" s="23">
        <v>0</v>
      </c>
      <c r="AA9" s="23">
        <v>0</v>
      </c>
      <c r="AB9" s="23">
        <v>405.33</v>
      </c>
    </row>
    <row r="10" spans="1:28" x14ac:dyDescent="0.25">
      <c r="A10">
        <v>14005</v>
      </c>
      <c r="B10" t="str">
        <f t="shared" si="1"/>
        <v>14005</v>
      </c>
      <c r="C10" t="s">
        <v>1200</v>
      </c>
      <c r="D10">
        <v>0</v>
      </c>
      <c r="E10" t="s">
        <v>371</v>
      </c>
      <c r="F10" s="285" t="s">
        <v>1213</v>
      </c>
      <c r="G10" s="88" t="s">
        <v>1197</v>
      </c>
      <c r="H10" s="235">
        <v>76992.35000000002</v>
      </c>
      <c r="J10" s="286">
        <v>78814.539999999994</v>
      </c>
      <c r="K10" s="88" t="s">
        <v>12</v>
      </c>
      <c r="L10" s="23">
        <v>53.6</v>
      </c>
      <c r="M10" s="23">
        <v>147.82</v>
      </c>
      <c r="N10" s="23">
        <v>0</v>
      </c>
      <c r="O10" s="23">
        <v>451.31</v>
      </c>
      <c r="P10" s="23">
        <v>0</v>
      </c>
      <c r="Q10" s="23">
        <v>207.48</v>
      </c>
      <c r="R10" s="23">
        <v>0</v>
      </c>
      <c r="S10" s="23">
        <v>352.78</v>
      </c>
      <c r="T10" s="23">
        <v>0</v>
      </c>
      <c r="U10" s="23">
        <v>346.08</v>
      </c>
      <c r="V10" s="23">
        <v>23.8</v>
      </c>
      <c r="W10" s="23">
        <v>0</v>
      </c>
      <c r="X10" s="23">
        <v>628.70000000000005</v>
      </c>
      <c r="Y10" s="23">
        <v>124.68</v>
      </c>
      <c r="Z10" s="23">
        <v>0</v>
      </c>
      <c r="AA10" s="23">
        <v>0</v>
      </c>
      <c r="AB10" s="23">
        <v>2336.2499999999995</v>
      </c>
    </row>
    <row r="11" spans="1:28" x14ac:dyDescent="0.25">
      <c r="A11">
        <v>14005</v>
      </c>
      <c r="B11" t="str">
        <f t="shared" si="1"/>
        <v>14005</v>
      </c>
      <c r="C11" t="s">
        <v>1204</v>
      </c>
      <c r="D11">
        <v>980.53</v>
      </c>
      <c r="E11" t="s">
        <v>371</v>
      </c>
      <c r="F11" s="285" t="s">
        <v>1214</v>
      </c>
      <c r="G11" s="88" t="s">
        <v>1202</v>
      </c>
      <c r="H11" s="235">
        <v>0</v>
      </c>
      <c r="J11" s="286"/>
      <c r="K11" s="88" t="s">
        <v>13</v>
      </c>
      <c r="L11" s="23">
        <v>33.729999999999997</v>
      </c>
      <c r="M11" s="23">
        <v>38.94</v>
      </c>
      <c r="N11" s="23">
        <v>0</v>
      </c>
      <c r="O11" s="23">
        <v>141.6</v>
      </c>
      <c r="P11" s="23">
        <v>0</v>
      </c>
      <c r="Q11" s="23">
        <v>48.78</v>
      </c>
      <c r="R11" s="23">
        <v>0</v>
      </c>
      <c r="S11" s="23">
        <v>114.2</v>
      </c>
      <c r="T11" s="23">
        <v>0</v>
      </c>
      <c r="U11" s="23">
        <v>90.34</v>
      </c>
      <c r="V11" s="23">
        <v>3.35</v>
      </c>
      <c r="W11" s="23">
        <v>0</v>
      </c>
      <c r="X11" s="23">
        <v>168.68</v>
      </c>
      <c r="Y11" s="23">
        <v>47.81</v>
      </c>
      <c r="Z11" s="23">
        <v>0</v>
      </c>
      <c r="AA11" s="23">
        <v>0</v>
      </c>
      <c r="AB11" s="23">
        <v>687.42999999999984</v>
      </c>
    </row>
    <row r="12" spans="1:28" x14ac:dyDescent="0.25">
      <c r="A12">
        <v>14005</v>
      </c>
      <c r="B12" t="str">
        <f t="shared" si="1"/>
        <v>14005</v>
      </c>
      <c r="C12" t="s">
        <v>1207</v>
      </c>
      <c r="D12">
        <v>117.21</v>
      </c>
      <c r="E12" t="s">
        <v>371</v>
      </c>
      <c r="F12" s="285" t="s">
        <v>1215</v>
      </c>
      <c r="G12" s="88" t="s">
        <v>1206</v>
      </c>
      <c r="H12" s="235">
        <v>158473.68000000002</v>
      </c>
      <c r="I12" s="235">
        <f>SUM(H5:H12)</f>
        <v>542958.2200000002</v>
      </c>
      <c r="J12" s="286">
        <v>157211.31</v>
      </c>
      <c r="K12" s="88" t="s">
        <v>14</v>
      </c>
      <c r="L12" s="23">
        <v>28.8</v>
      </c>
      <c r="M12" s="23">
        <v>1201.6600000000001</v>
      </c>
      <c r="N12" s="23">
        <v>0</v>
      </c>
      <c r="O12" s="23">
        <v>3965.24</v>
      </c>
      <c r="P12" s="23">
        <v>0</v>
      </c>
      <c r="Q12" s="23">
        <v>1386.97</v>
      </c>
      <c r="R12" s="23">
        <v>0</v>
      </c>
      <c r="S12" s="23">
        <v>2715.55</v>
      </c>
      <c r="T12" s="23">
        <v>0</v>
      </c>
      <c r="U12" s="23">
        <v>2805.78</v>
      </c>
      <c r="V12" s="23">
        <v>131.22</v>
      </c>
      <c r="W12" s="23">
        <v>0</v>
      </c>
      <c r="X12" s="23">
        <v>5625.67</v>
      </c>
      <c r="Y12" s="23">
        <v>978.7</v>
      </c>
      <c r="Z12" s="23">
        <v>0</v>
      </c>
      <c r="AA12" s="23">
        <v>531.32000000000005</v>
      </c>
      <c r="AB12" s="23">
        <v>19370.91</v>
      </c>
    </row>
    <row r="13" spans="1:28" x14ac:dyDescent="0.25">
      <c r="A13">
        <v>14005</v>
      </c>
      <c r="B13" t="str">
        <f t="shared" si="1"/>
        <v>14005</v>
      </c>
      <c r="C13" t="s">
        <v>1208</v>
      </c>
      <c r="D13">
        <v>268.73</v>
      </c>
      <c r="E13" t="s">
        <v>371</v>
      </c>
      <c r="F13" s="22" t="s">
        <v>1218</v>
      </c>
      <c r="G13" s="88" t="s">
        <v>1199</v>
      </c>
      <c r="H13" s="235">
        <v>0</v>
      </c>
      <c r="J13" s="286"/>
      <c r="K13" s="88" t="s">
        <v>15</v>
      </c>
      <c r="L13" s="23">
        <v>0</v>
      </c>
      <c r="M13" s="23">
        <v>14</v>
      </c>
      <c r="N13" s="23">
        <v>0</v>
      </c>
      <c r="O13" s="23">
        <v>46</v>
      </c>
      <c r="P13" s="23">
        <v>0</v>
      </c>
      <c r="Q13" s="23">
        <v>12</v>
      </c>
      <c r="R13" s="23">
        <v>0</v>
      </c>
      <c r="S13" s="23">
        <v>34</v>
      </c>
      <c r="T13" s="23">
        <v>0</v>
      </c>
      <c r="U13" s="23">
        <v>30.4</v>
      </c>
      <c r="V13" s="23">
        <v>12.97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149.37</v>
      </c>
    </row>
    <row r="14" spans="1:28" x14ac:dyDescent="0.25">
      <c r="A14">
        <v>14005</v>
      </c>
      <c r="B14" t="str">
        <f t="shared" si="1"/>
        <v>14005</v>
      </c>
      <c r="C14" t="s">
        <v>1210</v>
      </c>
      <c r="D14">
        <v>0</v>
      </c>
      <c r="E14" t="s">
        <v>371</v>
      </c>
      <c r="F14" s="22" t="s">
        <v>1219</v>
      </c>
      <c r="G14" s="88" t="s">
        <v>1203</v>
      </c>
      <c r="H14" s="235">
        <v>156172.61000000013</v>
      </c>
      <c r="I14" s="235">
        <f>H14-H17</f>
        <v>141906.96000000014</v>
      </c>
      <c r="J14" s="286">
        <v>155555.97</v>
      </c>
      <c r="K14" s="88" t="s">
        <v>16</v>
      </c>
      <c r="L14" s="23">
        <v>11.8</v>
      </c>
      <c r="M14" s="23">
        <v>77.599999999999994</v>
      </c>
      <c r="N14" s="23">
        <v>0</v>
      </c>
      <c r="O14" s="23">
        <v>302.60000000000002</v>
      </c>
      <c r="P14" s="23">
        <v>0</v>
      </c>
      <c r="Q14" s="23">
        <v>96</v>
      </c>
      <c r="R14" s="23">
        <v>0</v>
      </c>
      <c r="S14" s="23">
        <v>204.4</v>
      </c>
      <c r="T14" s="23">
        <v>0</v>
      </c>
      <c r="U14" s="23">
        <v>226.19</v>
      </c>
      <c r="V14" s="23">
        <v>14.14</v>
      </c>
      <c r="W14" s="23">
        <v>0</v>
      </c>
      <c r="X14" s="23">
        <v>368.17</v>
      </c>
      <c r="Y14" s="23">
        <v>78.92</v>
      </c>
      <c r="Z14" s="23">
        <v>0</v>
      </c>
      <c r="AA14" s="23">
        <v>0</v>
      </c>
      <c r="AB14" s="23">
        <v>1379.82</v>
      </c>
    </row>
    <row r="15" spans="1:28" x14ac:dyDescent="0.25">
      <c r="A15">
        <v>14005</v>
      </c>
      <c r="B15" t="str">
        <f t="shared" si="1"/>
        <v>14005</v>
      </c>
      <c r="C15" t="s">
        <v>1212</v>
      </c>
      <c r="D15">
        <v>47.12</v>
      </c>
      <c r="E15" t="s">
        <v>371</v>
      </c>
      <c r="F15" s="22" t="s">
        <v>1220</v>
      </c>
      <c r="G15" s="88" t="s">
        <v>1200</v>
      </c>
      <c r="H15" s="235">
        <v>0</v>
      </c>
      <c r="J15" s="286"/>
      <c r="K15" s="88" t="s">
        <v>17</v>
      </c>
      <c r="L15" s="23">
        <v>0</v>
      </c>
      <c r="M15" s="23">
        <v>52.21</v>
      </c>
      <c r="N15" s="23">
        <v>0</v>
      </c>
      <c r="O15" s="23">
        <v>177.01</v>
      </c>
      <c r="P15" s="23">
        <v>0</v>
      </c>
      <c r="Q15" s="23">
        <v>56</v>
      </c>
      <c r="R15" s="23">
        <v>0</v>
      </c>
      <c r="S15" s="23">
        <v>137.19999999999999</v>
      </c>
      <c r="T15" s="23">
        <v>0</v>
      </c>
      <c r="U15" s="23">
        <v>133.47999999999999</v>
      </c>
      <c r="V15" s="23">
        <v>5.43</v>
      </c>
      <c r="W15" s="23">
        <v>0</v>
      </c>
      <c r="X15" s="23">
        <v>276.63</v>
      </c>
      <c r="Y15" s="23">
        <v>75.44</v>
      </c>
      <c r="Z15" s="23">
        <v>0</v>
      </c>
      <c r="AA15" s="23">
        <v>0</v>
      </c>
      <c r="AB15" s="23">
        <v>913.39999999999986</v>
      </c>
    </row>
    <row r="16" spans="1:28" x14ac:dyDescent="0.25">
      <c r="A16">
        <v>14005</v>
      </c>
      <c r="B16" t="str">
        <f t="shared" si="1"/>
        <v>14005</v>
      </c>
      <c r="C16" t="s">
        <v>1216</v>
      </c>
      <c r="D16">
        <v>1.8</v>
      </c>
      <c r="E16" t="s">
        <v>371</v>
      </c>
      <c r="F16" s="22" t="s">
        <v>1221</v>
      </c>
      <c r="G16" s="88" t="s">
        <v>1204</v>
      </c>
      <c r="H16" s="235">
        <v>294456.02999999991</v>
      </c>
      <c r="I16" s="235">
        <f>H16-SUM(H18:H20)</f>
        <v>223483.83999999991</v>
      </c>
      <c r="J16" s="286">
        <v>292752.2</v>
      </c>
      <c r="K16" s="88" t="s">
        <v>18</v>
      </c>
      <c r="L16" s="23">
        <v>52.8</v>
      </c>
      <c r="M16" s="23">
        <v>168.11</v>
      </c>
      <c r="N16" s="23">
        <v>0</v>
      </c>
      <c r="O16" s="23">
        <v>482.38</v>
      </c>
      <c r="P16" s="23">
        <v>0</v>
      </c>
      <c r="Q16" s="23">
        <v>177.33</v>
      </c>
      <c r="R16" s="23">
        <v>0</v>
      </c>
      <c r="S16" s="23">
        <v>318.25</v>
      </c>
      <c r="T16" s="23">
        <v>0</v>
      </c>
      <c r="U16" s="23">
        <v>370.84</v>
      </c>
      <c r="V16" s="23">
        <v>17.68</v>
      </c>
      <c r="W16" s="23">
        <v>0</v>
      </c>
      <c r="X16" s="23">
        <v>755.29</v>
      </c>
      <c r="Y16" s="23">
        <v>213.25</v>
      </c>
      <c r="Z16" s="23">
        <v>0</v>
      </c>
      <c r="AA16" s="23">
        <v>0</v>
      </c>
      <c r="AB16" s="23">
        <v>2555.9299999999998</v>
      </c>
    </row>
    <row r="17" spans="1:28" x14ac:dyDescent="0.25">
      <c r="A17">
        <v>14005</v>
      </c>
      <c r="B17" t="str">
        <f t="shared" si="1"/>
        <v>14005</v>
      </c>
      <c r="C17" t="s">
        <v>1198</v>
      </c>
      <c r="D17">
        <v>179.52</v>
      </c>
      <c r="E17" t="s">
        <v>371</v>
      </c>
      <c r="F17" s="22" t="s">
        <v>1222</v>
      </c>
      <c r="G17" s="88" t="s">
        <v>1207</v>
      </c>
      <c r="H17" s="235">
        <v>14265.649999999992</v>
      </c>
      <c r="J17" s="286">
        <v>12946.46</v>
      </c>
      <c r="K17" s="88" t="s">
        <v>19</v>
      </c>
      <c r="L17" s="23">
        <v>0</v>
      </c>
      <c r="M17" s="23">
        <v>830</v>
      </c>
      <c r="N17" s="23">
        <v>0</v>
      </c>
      <c r="O17" s="23">
        <v>2815.57</v>
      </c>
      <c r="P17" s="23">
        <v>0</v>
      </c>
      <c r="Q17" s="23">
        <v>939.74</v>
      </c>
      <c r="R17" s="23">
        <v>0</v>
      </c>
      <c r="S17" s="23">
        <v>1971.89</v>
      </c>
      <c r="T17" s="23">
        <v>0</v>
      </c>
      <c r="U17" s="23">
        <v>2027.86</v>
      </c>
      <c r="V17" s="23">
        <v>141.58000000000001</v>
      </c>
      <c r="W17" s="23">
        <v>0</v>
      </c>
      <c r="X17" s="23">
        <v>3762.73</v>
      </c>
      <c r="Y17" s="23">
        <v>830.01</v>
      </c>
      <c r="Z17" s="23">
        <v>0</v>
      </c>
      <c r="AA17" s="23">
        <v>0</v>
      </c>
      <c r="AB17" s="23">
        <v>13319.380000000001</v>
      </c>
    </row>
    <row r="18" spans="1:28" x14ac:dyDescent="0.25">
      <c r="A18">
        <v>21226</v>
      </c>
      <c r="B18" t="str">
        <f t="shared" si="1"/>
        <v>21226</v>
      </c>
      <c r="C18" t="s">
        <v>1193</v>
      </c>
      <c r="D18">
        <v>0</v>
      </c>
      <c r="E18" t="s">
        <v>438</v>
      </c>
      <c r="F18" s="22" t="s">
        <v>1223</v>
      </c>
      <c r="G18" s="88" t="s">
        <v>1208</v>
      </c>
      <c r="H18" s="235">
        <v>64792.119999999995</v>
      </c>
      <c r="J18" s="286">
        <v>61442.16</v>
      </c>
      <c r="K18" s="88" t="s">
        <v>20</v>
      </c>
      <c r="L18" s="23">
        <v>18.61</v>
      </c>
      <c r="M18" s="23">
        <v>36.4</v>
      </c>
      <c r="N18" s="23">
        <v>0</v>
      </c>
      <c r="O18" s="23">
        <v>129.34</v>
      </c>
      <c r="P18" s="23">
        <v>0</v>
      </c>
      <c r="Q18" s="23">
        <v>46.6</v>
      </c>
      <c r="R18" s="23">
        <v>0</v>
      </c>
      <c r="S18" s="23">
        <v>91.98</v>
      </c>
      <c r="T18" s="23">
        <v>0</v>
      </c>
      <c r="U18" s="23">
        <v>89.2</v>
      </c>
      <c r="V18" s="23">
        <v>5.42</v>
      </c>
      <c r="W18" s="23">
        <v>0</v>
      </c>
      <c r="X18" s="23">
        <v>214.32</v>
      </c>
      <c r="Y18" s="23">
        <v>54.15</v>
      </c>
      <c r="Z18" s="23">
        <v>0</v>
      </c>
      <c r="AA18" s="23">
        <v>0</v>
      </c>
      <c r="AB18" s="23">
        <v>686.02</v>
      </c>
    </row>
    <row r="19" spans="1:28" x14ac:dyDescent="0.25">
      <c r="A19">
        <v>21226</v>
      </c>
      <c r="B19" t="str">
        <f t="shared" si="1"/>
        <v>21226</v>
      </c>
      <c r="C19" t="s">
        <v>1194</v>
      </c>
      <c r="D19">
        <v>124.86</v>
      </c>
      <c r="E19" t="s">
        <v>438</v>
      </c>
      <c r="F19" s="22" t="s">
        <v>1224</v>
      </c>
      <c r="G19" s="88" t="s">
        <v>1210</v>
      </c>
      <c r="H19" s="235">
        <v>0</v>
      </c>
      <c r="J19" s="286"/>
      <c r="K19" s="88" t="s">
        <v>21</v>
      </c>
      <c r="L19" s="23">
        <v>0</v>
      </c>
      <c r="M19" s="23">
        <v>0.39</v>
      </c>
      <c r="N19" s="23">
        <v>0</v>
      </c>
      <c r="O19" s="23">
        <v>5</v>
      </c>
      <c r="P19" s="23">
        <v>0</v>
      </c>
      <c r="Q19" s="23">
        <v>1</v>
      </c>
      <c r="R19" s="23">
        <v>0</v>
      </c>
      <c r="S19" s="23">
        <v>1</v>
      </c>
      <c r="T19" s="23">
        <v>0</v>
      </c>
      <c r="U19" s="23">
        <v>4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11.39</v>
      </c>
    </row>
    <row r="20" spans="1:28" x14ac:dyDescent="0.25">
      <c r="A20">
        <v>21226</v>
      </c>
      <c r="B20" t="str">
        <f t="shared" si="1"/>
        <v>21226</v>
      </c>
      <c r="C20" t="s">
        <v>1195</v>
      </c>
      <c r="D20">
        <v>0</v>
      </c>
      <c r="E20" t="s">
        <v>438</v>
      </c>
      <c r="F20" s="22" t="s">
        <v>1225</v>
      </c>
      <c r="G20" s="88" t="s">
        <v>1212</v>
      </c>
      <c r="H20" s="235">
        <v>6180.07</v>
      </c>
      <c r="J20" s="286">
        <v>5573.13</v>
      </c>
      <c r="K20" s="88" t="s">
        <v>22</v>
      </c>
      <c r="L20" s="23">
        <v>0</v>
      </c>
      <c r="M20" s="23">
        <v>32.6</v>
      </c>
      <c r="N20" s="23">
        <v>0</v>
      </c>
      <c r="O20" s="23">
        <v>108.2</v>
      </c>
      <c r="P20" s="23">
        <v>0</v>
      </c>
      <c r="Q20" s="23">
        <v>35</v>
      </c>
      <c r="R20" s="23">
        <v>0</v>
      </c>
      <c r="S20" s="23">
        <v>76.599999999999994</v>
      </c>
      <c r="T20" s="23">
        <v>0</v>
      </c>
      <c r="U20" s="23">
        <v>53.55</v>
      </c>
      <c r="V20" s="23">
        <v>13.73</v>
      </c>
      <c r="W20" s="23">
        <v>0</v>
      </c>
      <c r="X20" s="23">
        <v>92.44</v>
      </c>
      <c r="Y20" s="23">
        <v>15.69</v>
      </c>
      <c r="Z20" s="23">
        <v>0</v>
      </c>
      <c r="AA20" s="23">
        <v>0</v>
      </c>
      <c r="AB20" s="23">
        <v>427.81</v>
      </c>
    </row>
    <row r="21" spans="1:28" x14ac:dyDescent="0.25">
      <c r="A21">
        <v>21226</v>
      </c>
      <c r="B21" t="str">
        <f t="shared" si="1"/>
        <v>21226</v>
      </c>
      <c r="C21" t="s">
        <v>1197</v>
      </c>
      <c r="D21">
        <v>39.43</v>
      </c>
      <c r="E21" t="s">
        <v>438</v>
      </c>
      <c r="G21" s="88" t="s">
        <v>753</v>
      </c>
      <c r="H21" s="235">
        <v>1078824.7000000004</v>
      </c>
      <c r="K21" s="88" t="s">
        <v>23</v>
      </c>
      <c r="L21" s="23">
        <v>0</v>
      </c>
      <c r="M21" s="23">
        <v>75.02</v>
      </c>
      <c r="N21" s="23">
        <v>0</v>
      </c>
      <c r="O21" s="23">
        <v>235.24</v>
      </c>
      <c r="P21" s="23">
        <v>0</v>
      </c>
      <c r="Q21" s="23">
        <v>73.599999999999994</v>
      </c>
      <c r="R21" s="23">
        <v>0</v>
      </c>
      <c r="S21" s="23">
        <v>178.49</v>
      </c>
      <c r="T21" s="23">
        <v>0</v>
      </c>
      <c r="U21" s="23">
        <v>189.55</v>
      </c>
      <c r="V21" s="23">
        <v>12.61</v>
      </c>
      <c r="W21" s="23">
        <v>0</v>
      </c>
      <c r="X21" s="23">
        <v>439.61</v>
      </c>
      <c r="Y21" s="23">
        <v>148.6</v>
      </c>
      <c r="Z21" s="23">
        <v>0</v>
      </c>
      <c r="AA21" s="23">
        <v>0</v>
      </c>
      <c r="AB21" s="23">
        <v>1352.72</v>
      </c>
    </row>
    <row r="22" spans="1:28" x14ac:dyDescent="0.25">
      <c r="A22">
        <v>21226</v>
      </c>
      <c r="B22" t="str">
        <f t="shared" si="1"/>
        <v>21226</v>
      </c>
      <c r="C22" t="s">
        <v>1202</v>
      </c>
      <c r="D22">
        <v>0</v>
      </c>
      <c r="E22" t="s">
        <v>438</v>
      </c>
      <c r="K22" s="88" t="s">
        <v>24</v>
      </c>
      <c r="L22" s="23">
        <v>0</v>
      </c>
      <c r="M22" s="23">
        <v>113.8</v>
      </c>
      <c r="N22" s="23">
        <v>0</v>
      </c>
      <c r="O22" s="23">
        <v>354.01</v>
      </c>
      <c r="P22" s="23">
        <v>0</v>
      </c>
      <c r="Q22" s="23">
        <v>117.6</v>
      </c>
      <c r="R22" s="23">
        <v>0</v>
      </c>
      <c r="S22" s="23">
        <v>231.8</v>
      </c>
      <c r="T22" s="23">
        <v>0</v>
      </c>
      <c r="U22" s="23">
        <v>259.48</v>
      </c>
      <c r="V22" s="23">
        <v>49.38</v>
      </c>
      <c r="W22" s="23">
        <v>0</v>
      </c>
      <c r="X22" s="23">
        <v>504.71</v>
      </c>
      <c r="Y22" s="23">
        <v>137.61000000000001</v>
      </c>
      <c r="Z22" s="23">
        <v>0</v>
      </c>
      <c r="AA22" s="23">
        <v>0</v>
      </c>
      <c r="AB22" s="23">
        <v>1768.3900000000003</v>
      </c>
    </row>
    <row r="23" spans="1:28" x14ac:dyDescent="0.25">
      <c r="A23">
        <v>21226</v>
      </c>
      <c r="B23" t="str">
        <f t="shared" si="1"/>
        <v>21226</v>
      </c>
      <c r="C23" t="s">
        <v>1206</v>
      </c>
      <c r="D23">
        <v>89.6</v>
      </c>
      <c r="E23" t="s">
        <v>438</v>
      </c>
      <c r="K23" s="88" t="s">
        <v>25</v>
      </c>
      <c r="L23" s="23">
        <v>16.5</v>
      </c>
      <c r="M23" s="23">
        <v>79.900000000000006</v>
      </c>
      <c r="N23" s="23">
        <v>0</v>
      </c>
      <c r="O23" s="23">
        <v>247</v>
      </c>
      <c r="P23" s="23">
        <v>0</v>
      </c>
      <c r="Q23" s="23">
        <v>87.4</v>
      </c>
      <c r="R23" s="23">
        <v>0</v>
      </c>
      <c r="S23" s="23">
        <v>166.4</v>
      </c>
      <c r="T23" s="23">
        <v>0</v>
      </c>
      <c r="U23" s="23">
        <v>179.96</v>
      </c>
      <c r="V23" s="23">
        <v>58.17</v>
      </c>
      <c r="W23" s="23">
        <v>0</v>
      </c>
      <c r="X23" s="23">
        <v>358.74</v>
      </c>
      <c r="Y23" s="23">
        <v>131.22999999999999</v>
      </c>
      <c r="Z23" s="23">
        <v>0</v>
      </c>
      <c r="AA23" s="23">
        <v>0</v>
      </c>
      <c r="AB23" s="23">
        <v>1325.3</v>
      </c>
    </row>
    <row r="24" spans="1:28" x14ac:dyDescent="0.25">
      <c r="A24">
        <v>21226</v>
      </c>
      <c r="B24" t="str">
        <f t="shared" si="1"/>
        <v>21226</v>
      </c>
      <c r="C24" t="s">
        <v>1199</v>
      </c>
      <c r="D24">
        <v>0</v>
      </c>
      <c r="E24" t="s">
        <v>438</v>
      </c>
      <c r="K24" s="88" t="s">
        <v>26</v>
      </c>
      <c r="L24" s="23">
        <v>60</v>
      </c>
      <c r="M24" s="23">
        <v>419.4</v>
      </c>
      <c r="N24" s="23">
        <v>0</v>
      </c>
      <c r="O24" s="23">
        <v>1374.71</v>
      </c>
      <c r="P24" s="23">
        <v>0</v>
      </c>
      <c r="Q24" s="23">
        <v>457.03</v>
      </c>
      <c r="R24" s="23">
        <v>0</v>
      </c>
      <c r="S24" s="23">
        <v>931.3</v>
      </c>
      <c r="T24" s="23">
        <v>0</v>
      </c>
      <c r="U24" s="23">
        <v>989.2</v>
      </c>
      <c r="V24" s="23">
        <v>293.13</v>
      </c>
      <c r="W24" s="23">
        <v>0</v>
      </c>
      <c r="X24" s="23">
        <v>2000.02</v>
      </c>
      <c r="Y24" s="23">
        <v>677.28</v>
      </c>
      <c r="Z24" s="23">
        <v>0</v>
      </c>
      <c r="AA24" s="23">
        <v>193.33</v>
      </c>
      <c r="AB24" s="23">
        <v>7395.4000000000005</v>
      </c>
    </row>
    <row r="25" spans="1:28" x14ac:dyDescent="0.25">
      <c r="A25">
        <v>21226</v>
      </c>
      <c r="B25" t="str">
        <f t="shared" si="1"/>
        <v>21226</v>
      </c>
      <c r="C25" t="s">
        <v>1203</v>
      </c>
      <c r="D25">
        <v>95.66</v>
      </c>
      <c r="E25" t="s">
        <v>438</v>
      </c>
      <c r="K25" s="88" t="s">
        <v>667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36</v>
      </c>
      <c r="T25" s="23">
        <v>0</v>
      </c>
      <c r="U25" s="23">
        <v>128.4</v>
      </c>
      <c r="V25" s="23">
        <v>0</v>
      </c>
      <c r="W25" s="23">
        <v>0</v>
      </c>
      <c r="X25" s="23">
        <v>67</v>
      </c>
      <c r="Y25" s="23">
        <v>0</v>
      </c>
      <c r="Z25" s="23">
        <v>0</v>
      </c>
      <c r="AA25" s="23">
        <v>0</v>
      </c>
      <c r="AB25" s="23">
        <v>231.4</v>
      </c>
    </row>
    <row r="26" spans="1:28" x14ac:dyDescent="0.25">
      <c r="A26">
        <v>21226</v>
      </c>
      <c r="B26" t="str">
        <f t="shared" si="1"/>
        <v>21226</v>
      </c>
      <c r="C26" t="s">
        <v>1200</v>
      </c>
      <c r="D26">
        <v>0</v>
      </c>
      <c r="E26" t="s">
        <v>438</v>
      </c>
      <c r="K26" s="88" t="s">
        <v>27</v>
      </c>
      <c r="L26" s="23">
        <v>28</v>
      </c>
      <c r="M26" s="23">
        <v>198.18</v>
      </c>
      <c r="N26" s="23">
        <v>0</v>
      </c>
      <c r="O26" s="23">
        <v>721.46</v>
      </c>
      <c r="P26" s="23">
        <v>0</v>
      </c>
      <c r="Q26" s="23">
        <v>247.64</v>
      </c>
      <c r="R26" s="23">
        <v>0</v>
      </c>
      <c r="S26" s="23">
        <v>481.91</v>
      </c>
      <c r="T26" s="23">
        <v>0</v>
      </c>
      <c r="U26" s="23">
        <v>458.68</v>
      </c>
      <c r="V26" s="23">
        <v>72.900000000000006</v>
      </c>
      <c r="W26" s="23">
        <v>0</v>
      </c>
      <c r="X26" s="23">
        <v>920.74</v>
      </c>
      <c r="Y26" s="23">
        <v>242.24</v>
      </c>
      <c r="Z26" s="23">
        <v>0</v>
      </c>
      <c r="AA26" s="23">
        <v>0</v>
      </c>
      <c r="AB26" s="23">
        <v>3371.75</v>
      </c>
    </row>
    <row r="27" spans="1:28" x14ac:dyDescent="0.25">
      <c r="A27">
        <v>21226</v>
      </c>
      <c r="B27" t="str">
        <f t="shared" si="1"/>
        <v>21226</v>
      </c>
      <c r="C27" t="s">
        <v>1204</v>
      </c>
      <c r="D27">
        <v>217.91</v>
      </c>
      <c r="E27" t="s">
        <v>438</v>
      </c>
      <c r="K27" s="88" t="s">
        <v>28</v>
      </c>
      <c r="L27" s="23">
        <v>0</v>
      </c>
      <c r="M27" s="23">
        <v>13</v>
      </c>
      <c r="N27" s="23">
        <v>0</v>
      </c>
      <c r="O27" s="23">
        <v>53.6</v>
      </c>
      <c r="P27" s="23">
        <v>0</v>
      </c>
      <c r="Q27" s="23">
        <v>15.4</v>
      </c>
      <c r="R27" s="23">
        <v>0</v>
      </c>
      <c r="S27" s="23">
        <v>38.200000000000003</v>
      </c>
      <c r="T27" s="23">
        <v>0</v>
      </c>
      <c r="U27" s="23">
        <v>42.82</v>
      </c>
      <c r="V27" s="23">
        <v>0</v>
      </c>
      <c r="W27" s="23">
        <v>0</v>
      </c>
      <c r="X27" s="23">
        <v>48.2</v>
      </c>
      <c r="Y27" s="23">
        <v>2.38</v>
      </c>
      <c r="Z27" s="23">
        <v>0</v>
      </c>
      <c r="AA27" s="23">
        <v>0</v>
      </c>
      <c r="AB27" s="23">
        <v>213.60000000000002</v>
      </c>
    </row>
    <row r="28" spans="1:28" x14ac:dyDescent="0.25">
      <c r="A28">
        <v>21226</v>
      </c>
      <c r="B28" t="str">
        <f t="shared" si="1"/>
        <v>21226</v>
      </c>
      <c r="C28" t="s">
        <v>1207</v>
      </c>
      <c r="D28">
        <v>8.6999999999999993</v>
      </c>
      <c r="E28" t="s">
        <v>438</v>
      </c>
      <c r="K28" s="88" t="s">
        <v>29</v>
      </c>
      <c r="L28" s="23">
        <v>0</v>
      </c>
      <c r="M28" s="23">
        <v>139.80000000000001</v>
      </c>
      <c r="N28" s="23">
        <v>0</v>
      </c>
      <c r="O28" s="23">
        <v>527.82000000000005</v>
      </c>
      <c r="P28" s="23">
        <v>0</v>
      </c>
      <c r="Q28" s="23">
        <v>167.6</v>
      </c>
      <c r="R28" s="23">
        <v>0</v>
      </c>
      <c r="S28" s="23">
        <v>334.56</v>
      </c>
      <c r="T28" s="23">
        <v>0</v>
      </c>
      <c r="U28" s="23">
        <v>372.52</v>
      </c>
      <c r="V28" s="23">
        <v>68.41</v>
      </c>
      <c r="W28" s="23">
        <v>0</v>
      </c>
      <c r="X28" s="23">
        <v>729.67</v>
      </c>
      <c r="Y28" s="23">
        <v>246.26</v>
      </c>
      <c r="Z28" s="23">
        <v>0</v>
      </c>
      <c r="AA28" s="23">
        <v>0</v>
      </c>
      <c r="AB28" s="23">
        <v>2586.6400000000003</v>
      </c>
    </row>
    <row r="29" spans="1:28" x14ac:dyDescent="0.25">
      <c r="A29">
        <v>21226</v>
      </c>
      <c r="B29" t="str">
        <f t="shared" si="1"/>
        <v>21226</v>
      </c>
      <c r="C29" t="s">
        <v>1208</v>
      </c>
      <c r="D29">
        <v>65.849999999999994</v>
      </c>
      <c r="E29" t="s">
        <v>438</v>
      </c>
      <c r="K29" s="88" t="s">
        <v>30</v>
      </c>
      <c r="L29" s="23">
        <v>0</v>
      </c>
      <c r="M29" s="23">
        <v>30.4</v>
      </c>
      <c r="N29" s="23">
        <v>0</v>
      </c>
      <c r="O29" s="23">
        <v>97.2</v>
      </c>
      <c r="P29" s="23">
        <v>0</v>
      </c>
      <c r="Q29" s="23">
        <v>49.8</v>
      </c>
      <c r="R29" s="23">
        <v>0</v>
      </c>
      <c r="S29" s="23">
        <v>76</v>
      </c>
      <c r="T29" s="23">
        <v>0</v>
      </c>
      <c r="U29" s="23">
        <v>80.040000000000006</v>
      </c>
      <c r="V29" s="23">
        <v>0</v>
      </c>
      <c r="W29" s="23">
        <v>0</v>
      </c>
      <c r="X29" s="23">
        <v>131.30000000000001</v>
      </c>
      <c r="Y29" s="23">
        <v>13.18</v>
      </c>
      <c r="Z29" s="23">
        <v>0</v>
      </c>
      <c r="AA29" s="23">
        <v>0</v>
      </c>
      <c r="AB29" s="23">
        <v>477.92</v>
      </c>
    </row>
    <row r="30" spans="1:28" x14ac:dyDescent="0.25">
      <c r="A30">
        <v>21226</v>
      </c>
      <c r="B30" t="str">
        <f t="shared" si="1"/>
        <v>21226</v>
      </c>
      <c r="C30" t="s">
        <v>1210</v>
      </c>
      <c r="D30">
        <v>0</v>
      </c>
      <c r="E30" t="s">
        <v>438</v>
      </c>
      <c r="K30" s="88" t="s">
        <v>31</v>
      </c>
      <c r="L30" s="23">
        <v>16</v>
      </c>
      <c r="M30" s="23">
        <v>78.91</v>
      </c>
      <c r="N30" s="23">
        <v>0</v>
      </c>
      <c r="O30" s="23">
        <v>208.31</v>
      </c>
      <c r="P30" s="23">
        <v>0</v>
      </c>
      <c r="Q30" s="23">
        <v>63.52</v>
      </c>
      <c r="R30" s="23">
        <v>0</v>
      </c>
      <c r="S30" s="23">
        <v>120.14</v>
      </c>
      <c r="T30" s="23">
        <v>0</v>
      </c>
      <c r="U30" s="23">
        <v>116.2</v>
      </c>
      <c r="V30" s="23">
        <v>11.87</v>
      </c>
      <c r="W30" s="23">
        <v>0</v>
      </c>
      <c r="X30" s="23">
        <v>213.66</v>
      </c>
      <c r="Y30" s="23">
        <v>26.58</v>
      </c>
      <c r="Z30" s="23">
        <v>0</v>
      </c>
      <c r="AA30" s="23">
        <v>0</v>
      </c>
      <c r="AB30" s="23">
        <v>855.19</v>
      </c>
    </row>
    <row r="31" spans="1:28" x14ac:dyDescent="0.25">
      <c r="A31">
        <v>21226</v>
      </c>
      <c r="B31" t="str">
        <f t="shared" si="1"/>
        <v>21226</v>
      </c>
      <c r="C31" t="s">
        <v>1212</v>
      </c>
      <c r="D31">
        <v>0</v>
      </c>
      <c r="E31" t="s">
        <v>438</v>
      </c>
      <c r="K31" s="88" t="s">
        <v>613</v>
      </c>
      <c r="L31" s="23">
        <v>0</v>
      </c>
      <c r="M31" s="23">
        <v>9</v>
      </c>
      <c r="N31" s="23">
        <v>0</v>
      </c>
      <c r="O31" s="23">
        <v>24.2</v>
      </c>
      <c r="P31" s="23">
        <v>0</v>
      </c>
      <c r="Q31" s="23">
        <v>7.8</v>
      </c>
      <c r="R31" s="23">
        <v>0</v>
      </c>
      <c r="S31" s="23">
        <v>17.8</v>
      </c>
      <c r="T31" s="23">
        <v>0</v>
      </c>
      <c r="U31" s="23">
        <v>14.6</v>
      </c>
      <c r="V31" s="23">
        <v>0</v>
      </c>
      <c r="W31" s="23">
        <v>0</v>
      </c>
      <c r="X31" s="23">
        <v>37.18</v>
      </c>
      <c r="Y31" s="23">
        <v>0</v>
      </c>
      <c r="Z31" s="23">
        <v>0</v>
      </c>
      <c r="AA31" s="23">
        <v>0</v>
      </c>
      <c r="AB31" s="23">
        <v>110.57999999999998</v>
      </c>
    </row>
    <row r="32" spans="1:28" x14ac:dyDescent="0.25">
      <c r="A32">
        <v>21226</v>
      </c>
      <c r="B32" t="str">
        <f t="shared" si="1"/>
        <v>21226</v>
      </c>
      <c r="C32" t="s">
        <v>1216</v>
      </c>
      <c r="D32">
        <v>0</v>
      </c>
      <c r="E32" t="s">
        <v>438</v>
      </c>
      <c r="K32" s="88" t="s">
        <v>32</v>
      </c>
      <c r="L32" s="23">
        <v>228.75</v>
      </c>
      <c r="M32" s="23">
        <v>1427.17</v>
      </c>
      <c r="N32" s="23">
        <v>0</v>
      </c>
      <c r="O32" s="23">
        <v>4585.93</v>
      </c>
      <c r="P32" s="23">
        <v>0</v>
      </c>
      <c r="Q32" s="23">
        <v>1573.49</v>
      </c>
      <c r="R32" s="23">
        <v>0</v>
      </c>
      <c r="S32" s="23">
        <v>3211.46</v>
      </c>
      <c r="T32" s="23">
        <v>0</v>
      </c>
      <c r="U32" s="23">
        <v>3087.66</v>
      </c>
      <c r="V32" s="23">
        <v>329.69</v>
      </c>
      <c r="W32" s="23">
        <v>0</v>
      </c>
      <c r="X32" s="23">
        <v>5924.58</v>
      </c>
      <c r="Y32" s="23">
        <v>1701.22</v>
      </c>
      <c r="Z32" s="23">
        <v>0</v>
      </c>
      <c r="AA32" s="23">
        <v>0</v>
      </c>
      <c r="AB32" s="23">
        <v>22069.95</v>
      </c>
    </row>
    <row r="33" spans="1:28" x14ac:dyDescent="0.25">
      <c r="A33">
        <v>21226</v>
      </c>
      <c r="B33" t="str">
        <f t="shared" si="1"/>
        <v>21226</v>
      </c>
      <c r="C33" t="s">
        <v>1198</v>
      </c>
      <c r="D33">
        <v>38.200000000000003</v>
      </c>
      <c r="E33" t="s">
        <v>438</v>
      </c>
      <c r="K33" s="88" t="s">
        <v>33</v>
      </c>
      <c r="L33" s="23">
        <v>68.8</v>
      </c>
      <c r="M33" s="23">
        <v>133</v>
      </c>
      <c r="N33" s="23">
        <v>0</v>
      </c>
      <c r="O33" s="23">
        <v>423.09</v>
      </c>
      <c r="P33" s="23">
        <v>0</v>
      </c>
      <c r="Q33" s="23">
        <v>155.66</v>
      </c>
      <c r="R33" s="23">
        <v>0</v>
      </c>
      <c r="S33" s="23">
        <v>296</v>
      </c>
      <c r="T33" s="23">
        <v>0</v>
      </c>
      <c r="U33" s="23">
        <v>321.42</v>
      </c>
      <c r="V33" s="23">
        <v>10.69</v>
      </c>
      <c r="W33" s="23">
        <v>0</v>
      </c>
      <c r="X33" s="23">
        <v>588.01</v>
      </c>
      <c r="Y33" s="23">
        <v>78.849999999999994</v>
      </c>
      <c r="Z33" s="23">
        <v>0</v>
      </c>
      <c r="AA33" s="23">
        <v>0</v>
      </c>
      <c r="AB33" s="23">
        <v>2075.52</v>
      </c>
    </row>
    <row r="34" spans="1:28" x14ac:dyDescent="0.25">
      <c r="A34">
        <v>22017</v>
      </c>
      <c r="B34" t="str">
        <f t="shared" si="1"/>
        <v>22017</v>
      </c>
      <c r="C34" t="s">
        <v>1193</v>
      </c>
      <c r="D34">
        <v>0</v>
      </c>
      <c r="E34" t="s">
        <v>449</v>
      </c>
      <c r="K34" s="88" t="s">
        <v>34</v>
      </c>
      <c r="L34" s="23">
        <v>0</v>
      </c>
      <c r="M34" s="23">
        <v>125.89</v>
      </c>
      <c r="N34" s="23">
        <v>0</v>
      </c>
      <c r="O34" s="23">
        <v>385.07</v>
      </c>
      <c r="P34" s="23">
        <v>0</v>
      </c>
      <c r="Q34" s="23">
        <v>131.13999999999999</v>
      </c>
      <c r="R34" s="23">
        <v>0</v>
      </c>
      <c r="S34" s="23">
        <v>284.45999999999998</v>
      </c>
      <c r="T34" s="23">
        <v>0</v>
      </c>
      <c r="U34" s="23">
        <v>277.8</v>
      </c>
      <c r="V34" s="23">
        <v>6.02</v>
      </c>
      <c r="W34" s="23">
        <v>0</v>
      </c>
      <c r="X34" s="23">
        <v>503.81</v>
      </c>
      <c r="Y34" s="23">
        <v>115.18</v>
      </c>
      <c r="Z34" s="23">
        <v>0</v>
      </c>
      <c r="AA34" s="23">
        <v>0</v>
      </c>
      <c r="AB34" s="23">
        <v>1829.37</v>
      </c>
    </row>
    <row r="35" spans="1:28" x14ac:dyDescent="0.25">
      <c r="A35">
        <v>22017</v>
      </c>
      <c r="B35" t="str">
        <f t="shared" si="1"/>
        <v>22017</v>
      </c>
      <c r="C35" t="s">
        <v>1194</v>
      </c>
      <c r="D35">
        <v>24.8</v>
      </c>
      <c r="E35" t="s">
        <v>449</v>
      </c>
      <c r="K35" s="88" t="s">
        <v>35</v>
      </c>
      <c r="L35" s="23">
        <v>0</v>
      </c>
      <c r="M35" s="23">
        <v>14</v>
      </c>
      <c r="N35" s="23">
        <v>0</v>
      </c>
      <c r="O35" s="23">
        <v>59.2</v>
      </c>
      <c r="P35" s="23">
        <v>0</v>
      </c>
      <c r="Q35" s="23">
        <v>21</v>
      </c>
      <c r="R35" s="23">
        <v>0</v>
      </c>
      <c r="S35" s="23">
        <v>36.020000000000003</v>
      </c>
      <c r="T35" s="23">
        <v>0</v>
      </c>
      <c r="U35" s="23">
        <v>33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163.22</v>
      </c>
    </row>
    <row r="36" spans="1:28" x14ac:dyDescent="0.25">
      <c r="A36">
        <v>22017</v>
      </c>
      <c r="B36" t="str">
        <f t="shared" si="1"/>
        <v>22017</v>
      </c>
      <c r="C36" t="s">
        <v>1195</v>
      </c>
      <c r="D36">
        <v>0</v>
      </c>
      <c r="E36" t="s">
        <v>449</v>
      </c>
      <c r="K36" s="88" t="s">
        <v>36</v>
      </c>
      <c r="L36" s="23">
        <v>79.56</v>
      </c>
      <c r="M36" s="23">
        <v>175.6</v>
      </c>
      <c r="N36" s="23">
        <v>0</v>
      </c>
      <c r="O36" s="23">
        <v>532.38</v>
      </c>
      <c r="P36" s="23">
        <v>0</v>
      </c>
      <c r="Q36" s="23">
        <v>186.03</v>
      </c>
      <c r="R36" s="23">
        <v>0</v>
      </c>
      <c r="S36" s="23">
        <v>371.57</v>
      </c>
      <c r="T36" s="23">
        <v>0</v>
      </c>
      <c r="U36" s="23">
        <v>389.54</v>
      </c>
      <c r="V36" s="23">
        <v>37.71</v>
      </c>
      <c r="W36" s="23">
        <v>0</v>
      </c>
      <c r="X36" s="23">
        <v>796.53</v>
      </c>
      <c r="Y36" s="23">
        <v>192.94</v>
      </c>
      <c r="Z36" s="23">
        <v>0</v>
      </c>
      <c r="AA36" s="23">
        <v>0</v>
      </c>
      <c r="AB36" s="23">
        <v>2761.86</v>
      </c>
    </row>
    <row r="37" spans="1:28" x14ac:dyDescent="0.25">
      <c r="A37">
        <v>22017</v>
      </c>
      <c r="B37" t="str">
        <f t="shared" si="1"/>
        <v>22017</v>
      </c>
      <c r="C37" t="s">
        <v>1197</v>
      </c>
      <c r="D37">
        <v>8</v>
      </c>
      <c r="E37" t="s">
        <v>449</v>
      </c>
      <c r="K37" s="88" t="s">
        <v>37</v>
      </c>
      <c r="L37" s="23">
        <v>66.52</v>
      </c>
      <c r="M37" s="23">
        <v>1368.24</v>
      </c>
      <c r="N37" s="23">
        <v>0</v>
      </c>
      <c r="O37" s="23">
        <v>4420.05</v>
      </c>
      <c r="P37" s="23">
        <v>0</v>
      </c>
      <c r="Q37" s="23">
        <v>1533.9</v>
      </c>
      <c r="R37" s="23">
        <v>0</v>
      </c>
      <c r="S37" s="23">
        <v>3140</v>
      </c>
      <c r="T37" s="23">
        <v>0</v>
      </c>
      <c r="U37" s="23">
        <v>3182.14</v>
      </c>
      <c r="V37" s="23">
        <v>179.45</v>
      </c>
      <c r="W37" s="23">
        <v>0</v>
      </c>
      <c r="X37" s="23">
        <v>7353.75</v>
      </c>
      <c r="Y37" s="23">
        <v>2044.69</v>
      </c>
      <c r="Z37" s="23">
        <v>0</v>
      </c>
      <c r="AA37" s="23">
        <v>786.87</v>
      </c>
      <c r="AB37" s="23">
        <v>24075.61</v>
      </c>
    </row>
    <row r="38" spans="1:28" x14ac:dyDescent="0.25">
      <c r="A38">
        <v>22017</v>
      </c>
      <c r="B38" t="str">
        <f t="shared" si="1"/>
        <v>22017</v>
      </c>
      <c r="C38" t="s">
        <v>1202</v>
      </c>
      <c r="D38">
        <v>0</v>
      </c>
      <c r="E38" t="s">
        <v>449</v>
      </c>
      <c r="K38" s="88" t="s">
        <v>38</v>
      </c>
      <c r="L38" s="23">
        <v>14.4</v>
      </c>
      <c r="M38" s="23">
        <v>384.56</v>
      </c>
      <c r="N38" s="23">
        <v>0</v>
      </c>
      <c r="O38" s="23">
        <v>1314.66</v>
      </c>
      <c r="P38" s="23">
        <v>0</v>
      </c>
      <c r="Q38" s="23">
        <v>550.77</v>
      </c>
      <c r="R38" s="23">
        <v>0</v>
      </c>
      <c r="S38" s="23">
        <v>1097.28</v>
      </c>
      <c r="T38" s="23">
        <v>0</v>
      </c>
      <c r="U38" s="23">
        <v>1144.22</v>
      </c>
      <c r="V38" s="23">
        <v>24.82</v>
      </c>
      <c r="W38" s="23">
        <v>0</v>
      </c>
      <c r="X38" s="23">
        <v>2196.0500000000002</v>
      </c>
      <c r="Y38" s="23">
        <v>407.9</v>
      </c>
      <c r="Z38" s="23">
        <v>0</v>
      </c>
      <c r="AA38" s="23">
        <v>0</v>
      </c>
      <c r="AB38" s="23">
        <v>7134.66</v>
      </c>
    </row>
    <row r="39" spans="1:28" x14ac:dyDescent="0.25">
      <c r="A39">
        <v>22017</v>
      </c>
      <c r="B39" t="str">
        <f t="shared" si="1"/>
        <v>22017</v>
      </c>
      <c r="C39" t="s">
        <v>1206</v>
      </c>
      <c r="D39">
        <v>27.05</v>
      </c>
      <c r="E39" t="s">
        <v>449</v>
      </c>
      <c r="K39" s="88" t="s">
        <v>39</v>
      </c>
      <c r="L39" s="23">
        <v>112.84</v>
      </c>
      <c r="M39" s="23">
        <v>751.74</v>
      </c>
      <c r="N39" s="23">
        <v>0</v>
      </c>
      <c r="O39" s="23">
        <v>2386.91</v>
      </c>
      <c r="P39" s="23">
        <v>0</v>
      </c>
      <c r="Q39" s="23">
        <v>801.43</v>
      </c>
      <c r="R39" s="23">
        <v>0</v>
      </c>
      <c r="S39" s="23">
        <v>1588.19</v>
      </c>
      <c r="T39" s="23">
        <v>0</v>
      </c>
      <c r="U39" s="23">
        <v>1604.8</v>
      </c>
      <c r="V39" s="23">
        <v>59.2</v>
      </c>
      <c r="W39" s="23">
        <v>0</v>
      </c>
      <c r="X39" s="23">
        <v>3014.03</v>
      </c>
      <c r="Y39" s="23">
        <v>1023.36</v>
      </c>
      <c r="Z39" s="23">
        <v>0</v>
      </c>
      <c r="AA39" s="23">
        <v>0</v>
      </c>
      <c r="AB39" s="23">
        <v>11342.5</v>
      </c>
    </row>
    <row r="40" spans="1:28" x14ac:dyDescent="0.25">
      <c r="A40">
        <v>22017</v>
      </c>
      <c r="B40" t="str">
        <f t="shared" si="1"/>
        <v>22017</v>
      </c>
      <c r="C40" t="s">
        <v>1199</v>
      </c>
      <c r="D40">
        <v>0</v>
      </c>
      <c r="E40" t="s">
        <v>449</v>
      </c>
      <c r="K40" s="88" t="s">
        <v>40</v>
      </c>
      <c r="L40" s="23">
        <v>0</v>
      </c>
      <c r="M40" s="23">
        <v>247.98</v>
      </c>
      <c r="N40" s="23">
        <v>0</v>
      </c>
      <c r="O40" s="23">
        <v>879.12</v>
      </c>
      <c r="P40" s="23">
        <v>0</v>
      </c>
      <c r="Q40" s="23">
        <v>333.23</v>
      </c>
      <c r="R40" s="23">
        <v>0</v>
      </c>
      <c r="S40" s="23">
        <v>613.29999999999995</v>
      </c>
      <c r="T40" s="23">
        <v>0</v>
      </c>
      <c r="U40" s="23">
        <v>667.31</v>
      </c>
      <c r="V40" s="23">
        <v>71.400000000000006</v>
      </c>
      <c r="W40" s="23">
        <v>0</v>
      </c>
      <c r="X40" s="23">
        <v>1132.52</v>
      </c>
      <c r="Y40" s="23">
        <v>222.65</v>
      </c>
      <c r="Z40" s="23">
        <v>0</v>
      </c>
      <c r="AA40" s="23">
        <v>0</v>
      </c>
      <c r="AB40" s="23">
        <v>4167.51</v>
      </c>
    </row>
    <row r="41" spans="1:28" x14ac:dyDescent="0.25">
      <c r="A41">
        <v>22017</v>
      </c>
      <c r="B41" t="str">
        <f t="shared" si="1"/>
        <v>22017</v>
      </c>
      <c r="C41" t="s">
        <v>1203</v>
      </c>
      <c r="D41">
        <v>15</v>
      </c>
      <c r="E41" t="s">
        <v>449</v>
      </c>
      <c r="K41" s="88" t="s">
        <v>1228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</row>
    <row r="42" spans="1:28" x14ac:dyDescent="0.25">
      <c r="A42">
        <v>22017</v>
      </c>
      <c r="B42" t="str">
        <f t="shared" si="1"/>
        <v>22017</v>
      </c>
      <c r="C42" t="s">
        <v>1200</v>
      </c>
      <c r="D42">
        <v>0</v>
      </c>
      <c r="E42" t="s">
        <v>449</v>
      </c>
      <c r="K42" s="88" t="s">
        <v>1106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55.38</v>
      </c>
      <c r="Y42" s="23">
        <v>8.31</v>
      </c>
      <c r="Z42" s="23">
        <v>0</v>
      </c>
      <c r="AA42" s="23">
        <v>0</v>
      </c>
      <c r="AB42" s="23">
        <v>63.690000000000005</v>
      </c>
    </row>
    <row r="43" spans="1:28" x14ac:dyDescent="0.25">
      <c r="A43">
        <v>22017</v>
      </c>
      <c r="B43" t="str">
        <f t="shared" si="1"/>
        <v>22017</v>
      </c>
      <c r="C43" t="s">
        <v>1204</v>
      </c>
      <c r="D43">
        <v>24.56</v>
      </c>
      <c r="E43" t="s">
        <v>449</v>
      </c>
      <c r="K43" s="88" t="s">
        <v>41</v>
      </c>
      <c r="L43" s="23">
        <v>0</v>
      </c>
      <c r="M43" s="23">
        <v>19.399999999999999</v>
      </c>
      <c r="N43" s="23">
        <v>0</v>
      </c>
      <c r="O43" s="23">
        <v>89.8</v>
      </c>
      <c r="P43" s="23">
        <v>0</v>
      </c>
      <c r="Q43" s="23">
        <v>28.4</v>
      </c>
      <c r="R43" s="23">
        <v>0</v>
      </c>
      <c r="S43" s="23">
        <v>63</v>
      </c>
      <c r="T43" s="23">
        <v>0</v>
      </c>
      <c r="U43" s="23">
        <v>57.3</v>
      </c>
      <c r="V43" s="23">
        <v>4.03</v>
      </c>
      <c r="W43" s="23">
        <v>0</v>
      </c>
      <c r="X43" s="23">
        <v>74.400000000000006</v>
      </c>
      <c r="Y43" s="23">
        <v>26.05</v>
      </c>
      <c r="Z43" s="23">
        <v>0</v>
      </c>
      <c r="AA43" s="23">
        <v>0</v>
      </c>
      <c r="AB43" s="23">
        <v>362.37999999999994</v>
      </c>
    </row>
    <row r="44" spans="1:28" x14ac:dyDescent="0.25">
      <c r="A44">
        <v>22017</v>
      </c>
      <c r="B44" t="str">
        <f t="shared" si="1"/>
        <v>22017</v>
      </c>
      <c r="C44" t="s">
        <v>1207</v>
      </c>
      <c r="D44">
        <v>0</v>
      </c>
      <c r="E44" t="s">
        <v>449</v>
      </c>
      <c r="K44" s="88" t="s">
        <v>42</v>
      </c>
      <c r="L44" s="23">
        <v>3.2</v>
      </c>
      <c r="M44" s="23">
        <v>1</v>
      </c>
      <c r="N44" s="23">
        <v>0</v>
      </c>
      <c r="O44" s="23">
        <v>8</v>
      </c>
      <c r="P44" s="23">
        <v>0</v>
      </c>
      <c r="Q44" s="23">
        <v>3</v>
      </c>
      <c r="R44" s="23">
        <v>0</v>
      </c>
      <c r="S44" s="23">
        <v>5</v>
      </c>
      <c r="T44" s="23">
        <v>0</v>
      </c>
      <c r="U44" s="23">
        <v>2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22.2</v>
      </c>
    </row>
    <row r="45" spans="1:28" x14ac:dyDescent="0.25">
      <c r="A45">
        <v>22017</v>
      </c>
      <c r="B45" t="str">
        <f t="shared" si="1"/>
        <v>22017</v>
      </c>
      <c r="C45" t="s">
        <v>1208</v>
      </c>
      <c r="D45">
        <v>5.57</v>
      </c>
      <c r="E45" t="s">
        <v>449</v>
      </c>
      <c r="K45" s="88" t="s">
        <v>43</v>
      </c>
      <c r="L45" s="23">
        <v>128.22999999999999</v>
      </c>
      <c r="M45" s="23">
        <v>424.74</v>
      </c>
      <c r="N45" s="23">
        <v>0</v>
      </c>
      <c r="O45" s="23">
        <v>1396.01</v>
      </c>
      <c r="P45" s="23">
        <v>0</v>
      </c>
      <c r="Q45" s="23">
        <v>462.94</v>
      </c>
      <c r="R45" s="23">
        <v>0</v>
      </c>
      <c r="S45" s="23">
        <v>949.07</v>
      </c>
      <c r="T45" s="23">
        <v>0</v>
      </c>
      <c r="U45" s="23">
        <v>909.18</v>
      </c>
      <c r="V45" s="23">
        <v>44.1</v>
      </c>
      <c r="W45" s="23">
        <v>0</v>
      </c>
      <c r="X45" s="23">
        <v>1754.41</v>
      </c>
      <c r="Y45" s="23">
        <v>353.2</v>
      </c>
      <c r="Z45" s="23">
        <v>0</v>
      </c>
      <c r="AA45" s="23">
        <v>0</v>
      </c>
      <c r="AB45" s="23">
        <v>6421.88</v>
      </c>
    </row>
    <row r="46" spans="1:28" x14ac:dyDescent="0.25">
      <c r="A46">
        <v>22017</v>
      </c>
      <c r="B46" t="str">
        <f t="shared" si="1"/>
        <v>22017</v>
      </c>
      <c r="C46" t="s">
        <v>1210</v>
      </c>
      <c r="D46">
        <v>0</v>
      </c>
      <c r="E46" t="s">
        <v>449</v>
      </c>
      <c r="K46" s="88" t="s">
        <v>44</v>
      </c>
      <c r="L46" s="23">
        <v>0</v>
      </c>
      <c r="M46" s="23">
        <v>41.4</v>
      </c>
      <c r="N46" s="23">
        <v>0</v>
      </c>
      <c r="O46" s="23">
        <v>165.14</v>
      </c>
      <c r="P46" s="23">
        <v>0</v>
      </c>
      <c r="Q46" s="23">
        <v>53.2</v>
      </c>
      <c r="R46" s="23">
        <v>0</v>
      </c>
      <c r="S46" s="23">
        <v>105.2</v>
      </c>
      <c r="T46" s="23">
        <v>0</v>
      </c>
      <c r="U46" s="23">
        <v>115.4</v>
      </c>
      <c r="V46" s="23">
        <v>8.09</v>
      </c>
      <c r="W46" s="23">
        <v>0</v>
      </c>
      <c r="X46" s="23">
        <v>146.34</v>
      </c>
      <c r="Y46" s="23">
        <v>31.05</v>
      </c>
      <c r="Z46" s="23">
        <v>0</v>
      </c>
      <c r="AA46" s="23">
        <v>0</v>
      </c>
      <c r="AB46" s="23">
        <v>665.81999999999994</v>
      </c>
    </row>
    <row r="47" spans="1:28" x14ac:dyDescent="0.25">
      <c r="A47">
        <v>22017</v>
      </c>
      <c r="B47" t="str">
        <f t="shared" si="1"/>
        <v>22017</v>
      </c>
      <c r="C47" t="s">
        <v>1212</v>
      </c>
      <c r="D47">
        <v>0</v>
      </c>
      <c r="E47" t="s">
        <v>449</v>
      </c>
      <c r="K47" s="88" t="s">
        <v>45</v>
      </c>
      <c r="L47" s="23">
        <v>0</v>
      </c>
      <c r="M47" s="23">
        <v>92.5</v>
      </c>
      <c r="N47" s="23">
        <v>0</v>
      </c>
      <c r="O47" s="23">
        <v>346.4</v>
      </c>
      <c r="P47" s="23">
        <v>0</v>
      </c>
      <c r="Q47" s="23">
        <v>119</v>
      </c>
      <c r="R47" s="23">
        <v>0</v>
      </c>
      <c r="S47" s="23">
        <v>206.74</v>
      </c>
      <c r="T47" s="23">
        <v>0</v>
      </c>
      <c r="U47" s="23">
        <v>216.77</v>
      </c>
      <c r="V47" s="23">
        <v>10.66</v>
      </c>
      <c r="W47" s="23">
        <v>0</v>
      </c>
      <c r="X47" s="23">
        <v>380.06</v>
      </c>
      <c r="Y47" s="23">
        <v>102.15</v>
      </c>
      <c r="Z47" s="23">
        <v>0</v>
      </c>
      <c r="AA47" s="23">
        <v>0</v>
      </c>
      <c r="AB47" s="23">
        <v>1474.28</v>
      </c>
    </row>
    <row r="48" spans="1:28" x14ac:dyDescent="0.25">
      <c r="A48">
        <v>22017</v>
      </c>
      <c r="B48" t="str">
        <f t="shared" si="1"/>
        <v>22017</v>
      </c>
      <c r="C48" t="s">
        <v>1216</v>
      </c>
      <c r="D48">
        <v>0</v>
      </c>
      <c r="E48" t="s">
        <v>449</v>
      </c>
      <c r="K48" s="88" t="s">
        <v>46</v>
      </c>
      <c r="L48" s="23">
        <v>36</v>
      </c>
      <c r="M48" s="23">
        <v>68.599999999999994</v>
      </c>
      <c r="N48" s="23">
        <v>0</v>
      </c>
      <c r="O48" s="23">
        <v>252.6</v>
      </c>
      <c r="P48" s="23">
        <v>0</v>
      </c>
      <c r="Q48" s="23">
        <v>73.28</v>
      </c>
      <c r="R48" s="23">
        <v>0</v>
      </c>
      <c r="S48" s="23">
        <v>190.76</v>
      </c>
      <c r="T48" s="23">
        <v>0</v>
      </c>
      <c r="U48" s="23">
        <v>175.29</v>
      </c>
      <c r="V48" s="23">
        <v>5.09</v>
      </c>
      <c r="W48" s="23">
        <v>0</v>
      </c>
      <c r="X48" s="23">
        <v>264.64</v>
      </c>
      <c r="Y48" s="23">
        <v>30.92</v>
      </c>
      <c r="Z48" s="23">
        <v>0</v>
      </c>
      <c r="AA48" s="23">
        <v>0</v>
      </c>
      <c r="AB48" s="23">
        <v>1097.18</v>
      </c>
    </row>
    <row r="49" spans="1:28" x14ac:dyDescent="0.25">
      <c r="A49">
        <v>22017</v>
      </c>
      <c r="B49" t="str">
        <f t="shared" si="1"/>
        <v>22017</v>
      </c>
      <c r="C49" t="s">
        <v>1198</v>
      </c>
      <c r="D49">
        <v>5</v>
      </c>
      <c r="E49" t="s">
        <v>449</v>
      </c>
      <c r="K49" s="88" t="s">
        <v>47</v>
      </c>
      <c r="L49" s="23">
        <v>0</v>
      </c>
      <c r="M49" s="23">
        <v>176.56</v>
      </c>
      <c r="N49" s="23">
        <v>0</v>
      </c>
      <c r="O49" s="23">
        <v>516.61</v>
      </c>
      <c r="P49" s="23">
        <v>0</v>
      </c>
      <c r="Q49" s="23">
        <v>165.45</v>
      </c>
      <c r="R49" s="23">
        <v>0</v>
      </c>
      <c r="S49" s="23">
        <v>385.17</v>
      </c>
      <c r="T49" s="23">
        <v>0</v>
      </c>
      <c r="U49" s="23">
        <v>352.95</v>
      </c>
      <c r="V49" s="23">
        <v>0</v>
      </c>
      <c r="W49" s="23">
        <v>0</v>
      </c>
      <c r="X49" s="23">
        <v>572.21</v>
      </c>
      <c r="Y49" s="23">
        <v>66.12</v>
      </c>
      <c r="Z49" s="23">
        <v>0</v>
      </c>
      <c r="AA49" s="23">
        <v>0</v>
      </c>
      <c r="AB49" s="23">
        <v>2235.0700000000002</v>
      </c>
    </row>
    <row r="50" spans="1:28" x14ac:dyDescent="0.25">
      <c r="A50">
        <v>29103</v>
      </c>
      <c r="B50" t="str">
        <f t="shared" si="1"/>
        <v>29103</v>
      </c>
      <c r="C50" t="s">
        <v>1193</v>
      </c>
      <c r="D50">
        <v>0</v>
      </c>
      <c r="E50" t="s">
        <v>500</v>
      </c>
      <c r="K50" s="88" t="s">
        <v>48</v>
      </c>
      <c r="L50" s="23">
        <v>155.19</v>
      </c>
      <c r="M50" s="23">
        <v>304.61</v>
      </c>
      <c r="N50" s="23">
        <v>0</v>
      </c>
      <c r="O50" s="23">
        <v>1070.8499999999999</v>
      </c>
      <c r="P50" s="23">
        <v>0</v>
      </c>
      <c r="Q50" s="23">
        <v>362.39</v>
      </c>
      <c r="R50" s="23">
        <v>0</v>
      </c>
      <c r="S50" s="23">
        <v>727.41</v>
      </c>
      <c r="T50" s="23">
        <v>0</v>
      </c>
      <c r="U50" s="23">
        <v>712.33</v>
      </c>
      <c r="V50" s="23">
        <v>68.36</v>
      </c>
      <c r="W50" s="23">
        <v>0</v>
      </c>
      <c r="X50" s="23">
        <v>1388.93</v>
      </c>
      <c r="Y50" s="23">
        <v>430.54</v>
      </c>
      <c r="Z50" s="23">
        <v>0</v>
      </c>
      <c r="AA50" s="23">
        <v>0</v>
      </c>
      <c r="AB50" s="23">
        <v>5220.6099999999997</v>
      </c>
    </row>
    <row r="51" spans="1:28" x14ac:dyDescent="0.25">
      <c r="A51">
        <v>29103</v>
      </c>
      <c r="B51" t="str">
        <f t="shared" si="1"/>
        <v>29103</v>
      </c>
      <c r="C51" t="s">
        <v>1194</v>
      </c>
      <c r="D51">
        <v>572.04</v>
      </c>
      <c r="E51" t="s">
        <v>500</v>
      </c>
      <c r="K51" s="88" t="s">
        <v>49</v>
      </c>
      <c r="L51" s="23">
        <v>0</v>
      </c>
      <c r="M51" s="23">
        <v>15</v>
      </c>
      <c r="N51" s="23">
        <v>0</v>
      </c>
      <c r="O51" s="23">
        <v>42</v>
      </c>
      <c r="P51" s="23">
        <v>0</v>
      </c>
      <c r="Q51" s="23">
        <v>8</v>
      </c>
      <c r="R51" s="23">
        <v>0</v>
      </c>
      <c r="S51" s="23">
        <v>28</v>
      </c>
      <c r="T51" s="23">
        <v>0</v>
      </c>
      <c r="U51" s="23">
        <v>15.2</v>
      </c>
      <c r="V51" s="23">
        <v>3.04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111.24000000000001</v>
      </c>
    </row>
    <row r="52" spans="1:28" x14ac:dyDescent="0.25">
      <c r="A52">
        <v>29103</v>
      </c>
      <c r="B52" t="str">
        <f t="shared" si="1"/>
        <v>29103</v>
      </c>
      <c r="C52" t="s">
        <v>1195</v>
      </c>
      <c r="D52">
        <v>0</v>
      </c>
      <c r="E52" t="s">
        <v>500</v>
      </c>
      <c r="K52" s="88" t="s">
        <v>50</v>
      </c>
      <c r="L52" s="23">
        <v>25.07</v>
      </c>
      <c r="M52" s="23">
        <v>51</v>
      </c>
      <c r="N52" s="23">
        <v>0</v>
      </c>
      <c r="O52" s="23">
        <v>154</v>
      </c>
      <c r="P52" s="23">
        <v>0</v>
      </c>
      <c r="Q52" s="23">
        <v>51.8</v>
      </c>
      <c r="R52" s="23">
        <v>0</v>
      </c>
      <c r="S52" s="23">
        <v>104.2</v>
      </c>
      <c r="T52" s="23">
        <v>0</v>
      </c>
      <c r="U52" s="23">
        <v>100.2</v>
      </c>
      <c r="V52" s="23">
        <v>5.65</v>
      </c>
      <c r="W52" s="23">
        <v>0</v>
      </c>
      <c r="X52" s="23">
        <v>234.87</v>
      </c>
      <c r="Y52" s="23">
        <v>31.56</v>
      </c>
      <c r="Z52" s="23">
        <v>0</v>
      </c>
      <c r="AA52" s="23">
        <v>0</v>
      </c>
      <c r="AB52" s="23">
        <v>758.34999999999991</v>
      </c>
    </row>
    <row r="53" spans="1:28" x14ac:dyDescent="0.25">
      <c r="A53">
        <v>29103</v>
      </c>
      <c r="B53" t="str">
        <f t="shared" si="1"/>
        <v>29103</v>
      </c>
      <c r="C53" t="s">
        <v>1197</v>
      </c>
      <c r="D53">
        <v>195.12</v>
      </c>
      <c r="E53" t="s">
        <v>500</v>
      </c>
      <c r="K53" s="88" t="s">
        <v>51</v>
      </c>
      <c r="L53" s="23">
        <v>1</v>
      </c>
      <c r="M53" s="23">
        <v>5</v>
      </c>
      <c r="N53" s="23">
        <v>0</v>
      </c>
      <c r="O53" s="23">
        <v>11</v>
      </c>
      <c r="P53" s="23">
        <v>0</v>
      </c>
      <c r="Q53" s="23">
        <v>5.6</v>
      </c>
      <c r="R53" s="23">
        <v>0</v>
      </c>
      <c r="S53" s="23">
        <v>9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31.6</v>
      </c>
    </row>
    <row r="54" spans="1:28" x14ac:dyDescent="0.25">
      <c r="A54">
        <v>29103</v>
      </c>
      <c r="B54" t="str">
        <f t="shared" si="1"/>
        <v>29103</v>
      </c>
      <c r="C54" t="s">
        <v>1202</v>
      </c>
      <c r="D54">
        <v>0</v>
      </c>
      <c r="E54" t="s">
        <v>500</v>
      </c>
      <c r="K54" s="88" t="s">
        <v>52</v>
      </c>
      <c r="L54" s="23">
        <v>70.2</v>
      </c>
      <c r="M54" s="23">
        <v>356.01</v>
      </c>
      <c r="N54" s="23">
        <v>0</v>
      </c>
      <c r="O54" s="23">
        <v>1243.8699999999999</v>
      </c>
      <c r="P54" s="23">
        <v>0</v>
      </c>
      <c r="Q54" s="23">
        <v>406</v>
      </c>
      <c r="R54" s="23">
        <v>0</v>
      </c>
      <c r="S54" s="23">
        <v>875.8</v>
      </c>
      <c r="T54" s="23">
        <v>0</v>
      </c>
      <c r="U54" s="23">
        <v>900.38</v>
      </c>
      <c r="V54" s="23">
        <v>131.65</v>
      </c>
      <c r="W54" s="23">
        <v>0</v>
      </c>
      <c r="X54" s="23">
        <v>1627.08</v>
      </c>
      <c r="Y54" s="23">
        <v>404.37</v>
      </c>
      <c r="Z54" s="23">
        <v>0</v>
      </c>
      <c r="AA54" s="23">
        <v>0</v>
      </c>
      <c r="AB54" s="23">
        <v>6015.36</v>
      </c>
    </row>
    <row r="55" spans="1:28" x14ac:dyDescent="0.25">
      <c r="A55">
        <v>29103</v>
      </c>
      <c r="B55" t="str">
        <f t="shared" si="1"/>
        <v>29103</v>
      </c>
      <c r="C55" t="s">
        <v>1206</v>
      </c>
      <c r="D55">
        <v>408.48</v>
      </c>
      <c r="E55" t="s">
        <v>500</v>
      </c>
      <c r="K55" s="88" t="s">
        <v>53</v>
      </c>
      <c r="L55" s="23">
        <v>0</v>
      </c>
      <c r="M55" s="23">
        <v>6</v>
      </c>
      <c r="N55" s="23">
        <v>0</v>
      </c>
      <c r="O55" s="23">
        <v>25.2</v>
      </c>
      <c r="P55" s="23">
        <v>0</v>
      </c>
      <c r="Q55" s="23">
        <v>8</v>
      </c>
      <c r="R55" s="23">
        <v>0</v>
      </c>
      <c r="S55" s="23">
        <v>15</v>
      </c>
      <c r="T55" s="23">
        <v>0</v>
      </c>
      <c r="U55" s="23">
        <v>19.600000000000001</v>
      </c>
      <c r="V55" s="23">
        <v>1.7</v>
      </c>
      <c r="W55" s="23">
        <v>0</v>
      </c>
      <c r="X55" s="23">
        <v>23.08</v>
      </c>
      <c r="Y55" s="23">
        <v>4.67</v>
      </c>
      <c r="Z55" s="23">
        <v>0</v>
      </c>
      <c r="AA55" s="23">
        <v>0</v>
      </c>
      <c r="AB55" s="23">
        <v>103.25000000000001</v>
      </c>
    </row>
    <row r="56" spans="1:28" x14ac:dyDescent="0.25">
      <c r="A56">
        <v>29103</v>
      </c>
      <c r="B56" t="str">
        <f t="shared" si="1"/>
        <v>29103</v>
      </c>
      <c r="C56" t="s">
        <v>1199</v>
      </c>
      <c r="D56">
        <v>0</v>
      </c>
      <c r="E56" t="s">
        <v>500</v>
      </c>
      <c r="K56" s="88" t="s">
        <v>54</v>
      </c>
      <c r="L56" s="23">
        <v>17.899999999999999</v>
      </c>
      <c r="M56" s="23">
        <v>17</v>
      </c>
      <c r="N56" s="23">
        <v>0</v>
      </c>
      <c r="O56" s="23">
        <v>63.8</v>
      </c>
      <c r="P56" s="23">
        <v>0</v>
      </c>
      <c r="Q56" s="23">
        <v>10.4</v>
      </c>
      <c r="R56" s="23">
        <v>0</v>
      </c>
      <c r="S56" s="23">
        <v>32</v>
      </c>
      <c r="T56" s="23">
        <v>0</v>
      </c>
      <c r="U56" s="23">
        <v>43.6</v>
      </c>
      <c r="V56" s="23">
        <v>10.220000000000001</v>
      </c>
      <c r="W56" s="23">
        <v>0</v>
      </c>
      <c r="X56" s="23">
        <v>68.45</v>
      </c>
      <c r="Y56" s="23">
        <v>20.61</v>
      </c>
      <c r="Z56" s="23">
        <v>0</v>
      </c>
      <c r="AA56" s="23">
        <v>0</v>
      </c>
      <c r="AB56" s="23">
        <v>283.98</v>
      </c>
    </row>
    <row r="57" spans="1:28" x14ac:dyDescent="0.25">
      <c r="A57">
        <v>29103</v>
      </c>
      <c r="B57" t="str">
        <f t="shared" si="1"/>
        <v>29103</v>
      </c>
      <c r="C57" t="s">
        <v>1203</v>
      </c>
      <c r="D57">
        <v>408.48</v>
      </c>
      <c r="E57" t="s">
        <v>500</v>
      </c>
      <c r="K57" s="88" t="s">
        <v>55</v>
      </c>
      <c r="L57" s="23">
        <v>0</v>
      </c>
      <c r="M57" s="23">
        <v>5</v>
      </c>
      <c r="N57" s="23">
        <v>0</v>
      </c>
      <c r="O57" s="23">
        <v>17</v>
      </c>
      <c r="P57" s="23">
        <v>0</v>
      </c>
      <c r="Q57" s="23">
        <v>5.8</v>
      </c>
      <c r="R57" s="23">
        <v>0</v>
      </c>
      <c r="S57" s="23">
        <v>10.4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38.200000000000003</v>
      </c>
    </row>
    <row r="58" spans="1:28" x14ac:dyDescent="0.25">
      <c r="A58">
        <v>29103</v>
      </c>
      <c r="B58" t="str">
        <f t="shared" si="1"/>
        <v>29103</v>
      </c>
      <c r="C58" t="s">
        <v>1200</v>
      </c>
      <c r="D58">
        <v>0</v>
      </c>
      <c r="E58" t="s">
        <v>500</v>
      </c>
      <c r="K58" s="88" t="s">
        <v>56</v>
      </c>
      <c r="L58" s="23">
        <v>0</v>
      </c>
      <c r="M58" s="23">
        <v>14.2</v>
      </c>
      <c r="N58" s="23">
        <v>0</v>
      </c>
      <c r="O58" s="23">
        <v>43.6</v>
      </c>
      <c r="P58" s="23">
        <v>0</v>
      </c>
      <c r="Q58" s="23">
        <v>9.6</v>
      </c>
      <c r="R58" s="23">
        <v>0</v>
      </c>
      <c r="S58" s="23">
        <v>27.8</v>
      </c>
      <c r="T58" s="23">
        <v>0</v>
      </c>
      <c r="U58" s="23">
        <v>30.4</v>
      </c>
      <c r="V58" s="23">
        <v>0</v>
      </c>
      <c r="W58" s="23">
        <v>0</v>
      </c>
      <c r="X58" s="23">
        <v>64.650000000000006</v>
      </c>
      <c r="Y58" s="23">
        <v>5.7</v>
      </c>
      <c r="Z58" s="23">
        <v>0</v>
      </c>
      <c r="AA58" s="23">
        <v>0</v>
      </c>
      <c r="AB58" s="23">
        <v>195.95</v>
      </c>
    </row>
    <row r="59" spans="1:28" x14ac:dyDescent="0.25">
      <c r="A59">
        <v>29103</v>
      </c>
      <c r="B59" t="str">
        <f t="shared" si="1"/>
        <v>29103</v>
      </c>
      <c r="C59" t="s">
        <v>1204</v>
      </c>
      <c r="D59">
        <v>693.52</v>
      </c>
      <c r="E59" t="s">
        <v>500</v>
      </c>
      <c r="K59" s="88" t="s">
        <v>57</v>
      </c>
      <c r="L59" s="23">
        <v>0</v>
      </c>
      <c r="M59" s="23">
        <v>3</v>
      </c>
      <c r="N59" s="23">
        <v>0</v>
      </c>
      <c r="O59" s="23">
        <v>16.600000000000001</v>
      </c>
      <c r="P59" s="23">
        <v>0</v>
      </c>
      <c r="Q59" s="23">
        <v>5</v>
      </c>
      <c r="R59" s="23">
        <v>0</v>
      </c>
      <c r="S59" s="23">
        <v>10</v>
      </c>
      <c r="T59" s="23">
        <v>0</v>
      </c>
      <c r="U59" s="23">
        <v>7.8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42.4</v>
      </c>
    </row>
    <row r="60" spans="1:28" x14ac:dyDescent="0.25">
      <c r="A60">
        <v>29103</v>
      </c>
      <c r="B60" t="str">
        <f t="shared" si="1"/>
        <v>29103</v>
      </c>
      <c r="C60" t="s">
        <v>1207</v>
      </c>
      <c r="D60">
        <v>26.55</v>
      </c>
      <c r="E60" t="s">
        <v>500</v>
      </c>
      <c r="K60" s="88" t="s">
        <v>58</v>
      </c>
      <c r="L60" s="23">
        <v>0</v>
      </c>
      <c r="M60" s="23">
        <v>12.6</v>
      </c>
      <c r="N60" s="23">
        <v>0</v>
      </c>
      <c r="O60" s="23">
        <v>39.6</v>
      </c>
      <c r="P60" s="23">
        <v>0</v>
      </c>
      <c r="Q60" s="23">
        <v>13</v>
      </c>
      <c r="R60" s="23">
        <v>0</v>
      </c>
      <c r="S60" s="23">
        <v>28</v>
      </c>
      <c r="T60" s="23">
        <v>0</v>
      </c>
      <c r="U60" s="23">
        <v>32.4</v>
      </c>
      <c r="V60" s="23">
        <v>2.94</v>
      </c>
      <c r="W60" s="23">
        <v>0</v>
      </c>
      <c r="X60" s="23">
        <v>51.05</v>
      </c>
      <c r="Y60" s="23">
        <v>6.14</v>
      </c>
      <c r="Z60" s="23">
        <v>0</v>
      </c>
      <c r="AA60" s="23">
        <v>0</v>
      </c>
      <c r="AB60" s="23">
        <v>185.72999999999996</v>
      </c>
    </row>
    <row r="61" spans="1:28" x14ac:dyDescent="0.25">
      <c r="A61">
        <v>29103</v>
      </c>
      <c r="B61" t="str">
        <f t="shared" si="1"/>
        <v>29103</v>
      </c>
      <c r="C61" t="s">
        <v>1208</v>
      </c>
      <c r="D61">
        <v>100.41</v>
      </c>
      <c r="E61" t="s">
        <v>500</v>
      </c>
      <c r="K61" s="88" t="s">
        <v>59</v>
      </c>
      <c r="L61" s="23">
        <v>0</v>
      </c>
      <c r="M61" s="23">
        <v>17.600000000000001</v>
      </c>
      <c r="N61" s="23">
        <v>0</v>
      </c>
      <c r="O61" s="23">
        <v>75.010000000000005</v>
      </c>
      <c r="P61" s="23">
        <v>0</v>
      </c>
      <c r="Q61" s="23">
        <v>26.42</v>
      </c>
      <c r="R61" s="23">
        <v>0</v>
      </c>
      <c r="S61" s="23">
        <v>51.76</v>
      </c>
      <c r="T61" s="23">
        <v>0</v>
      </c>
      <c r="U61" s="23">
        <v>60.56</v>
      </c>
      <c r="V61" s="23">
        <v>0</v>
      </c>
      <c r="W61" s="23">
        <v>0</v>
      </c>
      <c r="X61" s="23">
        <v>87.8</v>
      </c>
      <c r="Y61" s="23">
        <v>9.6</v>
      </c>
      <c r="Z61" s="23">
        <v>0</v>
      </c>
      <c r="AA61" s="23">
        <v>0</v>
      </c>
      <c r="AB61" s="23">
        <v>328.75000000000006</v>
      </c>
    </row>
    <row r="62" spans="1:28" x14ac:dyDescent="0.25">
      <c r="A62">
        <v>29103</v>
      </c>
      <c r="B62" t="str">
        <f t="shared" si="1"/>
        <v>29103</v>
      </c>
      <c r="C62" t="s">
        <v>1210</v>
      </c>
      <c r="D62">
        <v>0</v>
      </c>
      <c r="E62" t="s">
        <v>500</v>
      </c>
      <c r="K62" s="88" t="s">
        <v>60</v>
      </c>
      <c r="L62" s="23">
        <v>84.2</v>
      </c>
      <c r="M62" s="23">
        <v>1219.9000000000001</v>
      </c>
      <c r="N62" s="23">
        <v>0</v>
      </c>
      <c r="O62" s="23">
        <v>4107.9799999999996</v>
      </c>
      <c r="P62" s="23">
        <v>0</v>
      </c>
      <c r="Q62" s="23">
        <v>1326.22</v>
      </c>
      <c r="R62" s="23">
        <v>0</v>
      </c>
      <c r="S62" s="23">
        <v>2805.11</v>
      </c>
      <c r="T62" s="23">
        <v>0</v>
      </c>
      <c r="U62" s="23">
        <v>2864.28</v>
      </c>
      <c r="V62" s="23">
        <v>232.53</v>
      </c>
      <c r="W62" s="23">
        <v>0</v>
      </c>
      <c r="X62" s="23">
        <v>5144.91</v>
      </c>
      <c r="Y62" s="23">
        <v>1196.71</v>
      </c>
      <c r="Z62" s="23">
        <v>0</v>
      </c>
      <c r="AA62" s="23">
        <v>0</v>
      </c>
      <c r="AB62" s="23">
        <v>18981.84</v>
      </c>
    </row>
    <row r="63" spans="1:28" x14ac:dyDescent="0.25">
      <c r="A63">
        <v>29103</v>
      </c>
      <c r="B63" t="str">
        <f t="shared" si="1"/>
        <v>29103</v>
      </c>
      <c r="C63" t="s">
        <v>1212</v>
      </c>
      <c r="D63">
        <v>0</v>
      </c>
      <c r="E63" t="s">
        <v>500</v>
      </c>
      <c r="K63" s="88" t="s">
        <v>61</v>
      </c>
      <c r="L63" s="23">
        <v>14.8</v>
      </c>
      <c r="M63" s="23">
        <v>164.02</v>
      </c>
      <c r="N63" s="23">
        <v>0</v>
      </c>
      <c r="O63" s="23">
        <v>413.87</v>
      </c>
      <c r="P63" s="23">
        <v>0</v>
      </c>
      <c r="Q63" s="23">
        <v>132.19999999999999</v>
      </c>
      <c r="R63" s="23">
        <v>0</v>
      </c>
      <c r="S63" s="23">
        <v>314.45999999999998</v>
      </c>
      <c r="T63" s="23">
        <v>0</v>
      </c>
      <c r="U63" s="23">
        <v>323.22000000000003</v>
      </c>
      <c r="V63" s="23">
        <v>22.82</v>
      </c>
      <c r="W63" s="23">
        <v>0</v>
      </c>
      <c r="X63" s="23">
        <v>586.1</v>
      </c>
      <c r="Y63" s="23">
        <v>123.18</v>
      </c>
      <c r="Z63" s="23">
        <v>0</v>
      </c>
      <c r="AA63" s="23">
        <v>0</v>
      </c>
      <c r="AB63" s="23">
        <v>2094.67</v>
      </c>
    </row>
    <row r="64" spans="1:28" x14ac:dyDescent="0.25">
      <c r="A64">
        <v>29103</v>
      </c>
      <c r="B64" t="str">
        <f t="shared" si="1"/>
        <v>29103</v>
      </c>
      <c r="C64" t="s">
        <v>1216</v>
      </c>
      <c r="D64">
        <v>0</v>
      </c>
      <c r="E64" t="s">
        <v>500</v>
      </c>
      <c r="K64" s="88" t="s">
        <v>62</v>
      </c>
      <c r="L64" s="23">
        <v>0</v>
      </c>
      <c r="M64" s="23">
        <v>4</v>
      </c>
      <c r="N64" s="23">
        <v>0</v>
      </c>
      <c r="O64" s="23">
        <v>4</v>
      </c>
      <c r="P64" s="23">
        <v>0</v>
      </c>
      <c r="Q64" s="23">
        <v>4</v>
      </c>
      <c r="R64" s="23">
        <v>0</v>
      </c>
      <c r="S64" s="23">
        <v>1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13</v>
      </c>
    </row>
    <row r="65" spans="1:28" x14ac:dyDescent="0.25">
      <c r="A65">
        <v>29103</v>
      </c>
      <c r="B65" t="str">
        <f t="shared" si="1"/>
        <v>29103</v>
      </c>
      <c r="C65" t="s">
        <v>1198</v>
      </c>
      <c r="D65">
        <v>160.01</v>
      </c>
      <c r="E65" t="s">
        <v>500</v>
      </c>
      <c r="K65" s="88" t="s">
        <v>63</v>
      </c>
      <c r="L65" s="23">
        <v>0</v>
      </c>
      <c r="M65" s="23">
        <v>4</v>
      </c>
      <c r="N65" s="23">
        <v>0</v>
      </c>
      <c r="O65" s="23">
        <v>13.4</v>
      </c>
      <c r="P65" s="23">
        <v>0</v>
      </c>
      <c r="Q65" s="23">
        <v>1</v>
      </c>
      <c r="R65" s="23">
        <v>0</v>
      </c>
      <c r="S65" s="23">
        <v>16</v>
      </c>
      <c r="T65" s="23">
        <v>0</v>
      </c>
      <c r="U65" s="23">
        <v>7</v>
      </c>
      <c r="V65" s="23">
        <v>0.93</v>
      </c>
      <c r="W65" s="23">
        <v>0</v>
      </c>
      <c r="X65" s="23">
        <v>12.8</v>
      </c>
      <c r="Y65" s="23">
        <v>4.03</v>
      </c>
      <c r="Z65" s="23">
        <v>0</v>
      </c>
      <c r="AA65" s="23">
        <v>0</v>
      </c>
      <c r="AB65" s="23">
        <v>59.16</v>
      </c>
    </row>
    <row r="66" spans="1:28" x14ac:dyDescent="0.25">
      <c r="A66">
        <v>31016</v>
      </c>
      <c r="B66" t="str">
        <f t="shared" si="1"/>
        <v>31016</v>
      </c>
      <c r="C66" t="s">
        <v>1193</v>
      </c>
      <c r="D66">
        <v>0</v>
      </c>
      <c r="E66" t="s">
        <v>512</v>
      </c>
      <c r="K66" s="88" t="s">
        <v>64</v>
      </c>
      <c r="L66" s="23">
        <v>20</v>
      </c>
      <c r="M66" s="23">
        <v>24.4</v>
      </c>
      <c r="N66" s="23">
        <v>0</v>
      </c>
      <c r="O66" s="23">
        <v>84.8</v>
      </c>
      <c r="P66" s="23">
        <v>0</v>
      </c>
      <c r="Q66" s="23">
        <v>29.6</v>
      </c>
      <c r="R66" s="23">
        <v>0</v>
      </c>
      <c r="S66" s="23">
        <v>42.07</v>
      </c>
      <c r="T66" s="23">
        <v>0</v>
      </c>
      <c r="U66" s="23">
        <v>55.76</v>
      </c>
      <c r="V66" s="23">
        <v>13.75</v>
      </c>
      <c r="W66" s="23">
        <v>0</v>
      </c>
      <c r="X66" s="23">
        <v>80.489999999999995</v>
      </c>
      <c r="Y66" s="23">
        <v>33.24</v>
      </c>
      <c r="Z66" s="23">
        <v>0</v>
      </c>
      <c r="AA66" s="23">
        <v>0</v>
      </c>
      <c r="AB66" s="23">
        <v>384.11</v>
      </c>
    </row>
    <row r="67" spans="1:28" x14ac:dyDescent="0.25">
      <c r="A67">
        <v>31016</v>
      </c>
      <c r="B67" t="str">
        <f t="shared" ref="B67:B130" si="2">TEXT(A67,"00000")</f>
        <v>31016</v>
      </c>
      <c r="C67" t="s">
        <v>1194</v>
      </c>
      <c r="D67">
        <v>1138.6199999999999</v>
      </c>
      <c r="E67" t="s">
        <v>512</v>
      </c>
      <c r="K67" s="88" t="s">
        <v>65</v>
      </c>
      <c r="L67" s="23">
        <v>37</v>
      </c>
      <c r="M67" s="23">
        <v>162.19999999999999</v>
      </c>
      <c r="N67" s="23">
        <v>0</v>
      </c>
      <c r="O67" s="23">
        <v>469.6</v>
      </c>
      <c r="P67" s="23">
        <v>0</v>
      </c>
      <c r="Q67" s="23">
        <v>165.8</v>
      </c>
      <c r="R67" s="23">
        <v>0</v>
      </c>
      <c r="S67" s="23">
        <v>311.2</v>
      </c>
      <c r="T67" s="23">
        <v>0</v>
      </c>
      <c r="U67" s="23">
        <v>394.4</v>
      </c>
      <c r="V67" s="23">
        <v>59.55</v>
      </c>
      <c r="W67" s="23">
        <v>0</v>
      </c>
      <c r="X67" s="23">
        <v>697.26</v>
      </c>
      <c r="Y67" s="23">
        <v>194.31</v>
      </c>
      <c r="Z67" s="23">
        <v>0</v>
      </c>
      <c r="AA67" s="23">
        <v>0</v>
      </c>
      <c r="AB67" s="23">
        <v>2491.3199999999997</v>
      </c>
    </row>
    <row r="68" spans="1:28" x14ac:dyDescent="0.25">
      <c r="A68">
        <v>31016</v>
      </c>
      <c r="B68" t="str">
        <f t="shared" si="2"/>
        <v>31016</v>
      </c>
      <c r="C68" t="s">
        <v>1195</v>
      </c>
      <c r="D68">
        <v>0</v>
      </c>
      <c r="E68" t="s">
        <v>512</v>
      </c>
      <c r="K68" s="88" t="s">
        <v>66</v>
      </c>
      <c r="L68" s="23">
        <v>38.200000000000003</v>
      </c>
      <c r="M68" s="23">
        <v>215.02</v>
      </c>
      <c r="N68" s="23">
        <v>0</v>
      </c>
      <c r="O68" s="23">
        <v>677.27</v>
      </c>
      <c r="P68" s="23">
        <v>0</v>
      </c>
      <c r="Q68" s="23">
        <v>237.65</v>
      </c>
      <c r="R68" s="23">
        <v>0</v>
      </c>
      <c r="S68" s="23">
        <v>450.45</v>
      </c>
      <c r="T68" s="23">
        <v>0</v>
      </c>
      <c r="U68" s="23">
        <v>516.04</v>
      </c>
      <c r="V68" s="23">
        <v>49.25</v>
      </c>
      <c r="W68" s="23">
        <v>0</v>
      </c>
      <c r="X68" s="23">
        <v>885.54</v>
      </c>
      <c r="Y68" s="23">
        <v>274.08</v>
      </c>
      <c r="Z68" s="23">
        <v>0</v>
      </c>
      <c r="AA68" s="23">
        <v>0</v>
      </c>
      <c r="AB68" s="23">
        <v>3343.5</v>
      </c>
    </row>
    <row r="69" spans="1:28" x14ac:dyDescent="0.25">
      <c r="A69">
        <v>31016</v>
      </c>
      <c r="B69" t="str">
        <f t="shared" si="2"/>
        <v>31016</v>
      </c>
      <c r="C69" t="s">
        <v>1197</v>
      </c>
      <c r="D69">
        <v>391.2</v>
      </c>
      <c r="E69" t="s">
        <v>512</v>
      </c>
      <c r="K69" s="88" t="s">
        <v>67</v>
      </c>
      <c r="L69" s="23">
        <v>0</v>
      </c>
      <c r="M69" s="23">
        <v>61.8</v>
      </c>
      <c r="N69" s="23">
        <v>0</v>
      </c>
      <c r="O69" s="23">
        <v>194.85</v>
      </c>
      <c r="P69" s="23">
        <v>0</v>
      </c>
      <c r="Q69" s="23">
        <v>63.4</v>
      </c>
      <c r="R69" s="23">
        <v>0</v>
      </c>
      <c r="S69" s="23">
        <v>133.75</v>
      </c>
      <c r="T69" s="23">
        <v>0</v>
      </c>
      <c r="U69" s="23">
        <v>159</v>
      </c>
      <c r="V69" s="23">
        <v>9.36</v>
      </c>
      <c r="W69" s="23">
        <v>0</v>
      </c>
      <c r="X69" s="23">
        <v>251.79</v>
      </c>
      <c r="Y69" s="23">
        <v>54.87</v>
      </c>
      <c r="Z69" s="23">
        <v>0</v>
      </c>
      <c r="AA69" s="23">
        <v>0</v>
      </c>
      <c r="AB69" s="23">
        <v>928.81999999999994</v>
      </c>
    </row>
    <row r="70" spans="1:28" x14ac:dyDescent="0.25">
      <c r="A70">
        <v>31016</v>
      </c>
      <c r="B70" t="str">
        <f t="shared" si="2"/>
        <v>31016</v>
      </c>
      <c r="C70" t="s">
        <v>1202</v>
      </c>
      <c r="D70">
        <v>0</v>
      </c>
      <c r="E70" t="s">
        <v>512</v>
      </c>
      <c r="K70" s="88" t="s">
        <v>68</v>
      </c>
      <c r="L70" s="23">
        <v>0</v>
      </c>
      <c r="M70" s="23">
        <v>11.27</v>
      </c>
      <c r="N70" s="23">
        <v>0</v>
      </c>
      <c r="O70" s="23">
        <v>33.799999999999997</v>
      </c>
      <c r="P70" s="23">
        <v>0</v>
      </c>
      <c r="Q70" s="23">
        <v>8</v>
      </c>
      <c r="R70" s="23">
        <v>0</v>
      </c>
      <c r="S70" s="23">
        <v>30.6</v>
      </c>
      <c r="T70" s="23">
        <v>0</v>
      </c>
      <c r="U70" s="23">
        <v>34.799999999999997</v>
      </c>
      <c r="V70" s="23">
        <v>0</v>
      </c>
      <c r="W70" s="23">
        <v>0</v>
      </c>
      <c r="X70" s="23">
        <v>74.48</v>
      </c>
      <c r="Y70" s="23">
        <v>18.93</v>
      </c>
      <c r="Z70" s="23">
        <v>0</v>
      </c>
      <c r="AA70" s="23">
        <v>0</v>
      </c>
      <c r="AB70" s="23">
        <v>211.88</v>
      </c>
    </row>
    <row r="71" spans="1:28" x14ac:dyDescent="0.25">
      <c r="A71">
        <v>31016</v>
      </c>
      <c r="B71" t="str">
        <f t="shared" si="2"/>
        <v>31016</v>
      </c>
      <c r="C71" t="s">
        <v>1206</v>
      </c>
      <c r="D71">
        <v>856.43</v>
      </c>
      <c r="E71" t="s">
        <v>512</v>
      </c>
      <c r="K71" s="88" t="s">
        <v>69</v>
      </c>
      <c r="L71" s="23">
        <v>34.4</v>
      </c>
      <c r="M71" s="23">
        <v>34.6</v>
      </c>
      <c r="N71" s="23">
        <v>0</v>
      </c>
      <c r="O71" s="23">
        <v>122.9</v>
      </c>
      <c r="P71" s="23">
        <v>0</v>
      </c>
      <c r="Q71" s="23">
        <v>35</v>
      </c>
      <c r="R71" s="23">
        <v>0</v>
      </c>
      <c r="S71" s="23">
        <v>79.63</v>
      </c>
      <c r="T71" s="23">
        <v>0</v>
      </c>
      <c r="U71" s="23">
        <v>82.99</v>
      </c>
      <c r="V71" s="23">
        <v>2.35</v>
      </c>
      <c r="W71" s="23">
        <v>0</v>
      </c>
      <c r="X71" s="23">
        <v>116.79</v>
      </c>
      <c r="Y71" s="23">
        <v>33.54</v>
      </c>
      <c r="Z71" s="23">
        <v>0</v>
      </c>
      <c r="AA71" s="23">
        <v>0</v>
      </c>
      <c r="AB71" s="23">
        <v>542.20000000000005</v>
      </c>
    </row>
    <row r="72" spans="1:28" x14ac:dyDescent="0.25">
      <c r="A72">
        <v>31016</v>
      </c>
      <c r="B72" t="str">
        <f t="shared" si="2"/>
        <v>31016</v>
      </c>
      <c r="C72" t="s">
        <v>1199</v>
      </c>
      <c r="D72">
        <v>0</v>
      </c>
      <c r="E72" t="s">
        <v>512</v>
      </c>
      <c r="K72" s="88" t="s">
        <v>70</v>
      </c>
      <c r="L72" s="23">
        <v>39.200000000000003</v>
      </c>
      <c r="M72" s="23">
        <v>110.2</v>
      </c>
      <c r="N72" s="23">
        <v>0</v>
      </c>
      <c r="O72" s="23">
        <v>337.05</v>
      </c>
      <c r="P72" s="23">
        <v>0</v>
      </c>
      <c r="Q72" s="23">
        <v>130.63</v>
      </c>
      <c r="R72" s="23">
        <v>0</v>
      </c>
      <c r="S72" s="23">
        <v>248.68</v>
      </c>
      <c r="T72" s="23">
        <v>0</v>
      </c>
      <c r="U72" s="23">
        <v>281.60000000000002</v>
      </c>
      <c r="V72" s="23">
        <v>18.5</v>
      </c>
      <c r="W72" s="23">
        <v>0</v>
      </c>
      <c r="X72" s="23">
        <v>542.95000000000005</v>
      </c>
      <c r="Y72" s="23">
        <v>124.5</v>
      </c>
      <c r="Z72" s="23">
        <v>0</v>
      </c>
      <c r="AA72" s="23">
        <v>0</v>
      </c>
      <c r="AB72" s="23">
        <v>1833.3100000000002</v>
      </c>
    </row>
    <row r="73" spans="1:28" x14ac:dyDescent="0.25">
      <c r="A73">
        <v>31016</v>
      </c>
      <c r="B73" t="str">
        <f t="shared" si="2"/>
        <v>31016</v>
      </c>
      <c r="C73" t="s">
        <v>1203</v>
      </c>
      <c r="D73">
        <v>801.14</v>
      </c>
      <c r="E73" t="s">
        <v>512</v>
      </c>
      <c r="K73" s="88" t="s">
        <v>71</v>
      </c>
      <c r="L73" s="23">
        <v>0</v>
      </c>
      <c r="M73" s="23">
        <v>566.12</v>
      </c>
      <c r="N73" s="23">
        <v>0</v>
      </c>
      <c r="O73" s="23">
        <v>1910.07</v>
      </c>
      <c r="P73" s="23">
        <v>0</v>
      </c>
      <c r="Q73" s="23">
        <v>595.83000000000004</v>
      </c>
      <c r="R73" s="23">
        <v>0</v>
      </c>
      <c r="S73" s="23">
        <v>1273.9000000000001</v>
      </c>
      <c r="T73" s="23">
        <v>0</v>
      </c>
      <c r="U73" s="23">
        <v>1231.02</v>
      </c>
      <c r="V73" s="23">
        <v>39.92</v>
      </c>
      <c r="W73" s="23">
        <v>0</v>
      </c>
      <c r="X73" s="23">
        <v>2203.39</v>
      </c>
      <c r="Y73" s="23">
        <v>530.16</v>
      </c>
      <c r="Z73" s="23">
        <v>0</v>
      </c>
      <c r="AA73" s="23">
        <v>285</v>
      </c>
      <c r="AB73" s="23">
        <v>8635.41</v>
      </c>
    </row>
    <row r="74" spans="1:28" x14ac:dyDescent="0.25">
      <c r="A74">
        <v>31016</v>
      </c>
      <c r="B74" t="str">
        <f t="shared" si="2"/>
        <v>31016</v>
      </c>
      <c r="C74" t="s">
        <v>1200</v>
      </c>
      <c r="D74">
        <v>0</v>
      </c>
      <c r="E74" t="s">
        <v>512</v>
      </c>
      <c r="K74" s="88" t="s">
        <v>72</v>
      </c>
      <c r="L74" s="23">
        <v>0</v>
      </c>
      <c r="M74" s="23">
        <v>192.55</v>
      </c>
      <c r="N74" s="23">
        <v>0</v>
      </c>
      <c r="O74" s="23">
        <v>546.4</v>
      </c>
      <c r="P74" s="23">
        <v>0</v>
      </c>
      <c r="Q74" s="23">
        <v>207.2</v>
      </c>
      <c r="R74" s="23">
        <v>0</v>
      </c>
      <c r="S74" s="23">
        <v>417.09</v>
      </c>
      <c r="T74" s="23">
        <v>0</v>
      </c>
      <c r="U74" s="23">
        <v>449.69</v>
      </c>
      <c r="V74" s="23">
        <v>52.39</v>
      </c>
      <c r="W74" s="23">
        <v>0</v>
      </c>
      <c r="X74" s="23">
        <v>778.76</v>
      </c>
      <c r="Y74" s="23">
        <v>223.66</v>
      </c>
      <c r="Z74" s="23">
        <v>0</v>
      </c>
      <c r="AA74" s="23">
        <v>0</v>
      </c>
      <c r="AB74" s="23">
        <v>2867.74</v>
      </c>
    </row>
    <row r="75" spans="1:28" x14ac:dyDescent="0.25">
      <c r="A75">
        <v>31016</v>
      </c>
      <c r="B75" t="str">
        <f t="shared" si="2"/>
        <v>31016</v>
      </c>
      <c r="C75" t="s">
        <v>1204</v>
      </c>
      <c r="D75">
        <v>1665.85</v>
      </c>
      <c r="E75" t="s">
        <v>512</v>
      </c>
      <c r="K75" s="88" t="s">
        <v>73</v>
      </c>
      <c r="L75" s="23">
        <v>0</v>
      </c>
      <c r="M75" s="23">
        <v>8.36</v>
      </c>
      <c r="N75" s="23">
        <v>0</v>
      </c>
      <c r="O75" s="23">
        <v>26.2</v>
      </c>
      <c r="P75" s="23">
        <v>0</v>
      </c>
      <c r="Q75" s="23">
        <v>7.8</v>
      </c>
      <c r="R75" s="23">
        <v>0</v>
      </c>
      <c r="S75" s="23">
        <v>18.600000000000001</v>
      </c>
      <c r="T75" s="23">
        <v>0</v>
      </c>
      <c r="U75" s="23">
        <v>18.600000000000001</v>
      </c>
      <c r="V75" s="23">
        <v>4.72</v>
      </c>
      <c r="W75" s="23">
        <v>0</v>
      </c>
      <c r="X75" s="23">
        <v>37.94</v>
      </c>
      <c r="Y75" s="23">
        <v>7.68</v>
      </c>
      <c r="Z75" s="23">
        <v>0</v>
      </c>
      <c r="AA75" s="23">
        <v>0</v>
      </c>
      <c r="AB75" s="23">
        <v>129.9</v>
      </c>
    </row>
    <row r="76" spans="1:28" x14ac:dyDescent="0.25">
      <c r="A76">
        <v>31016</v>
      </c>
      <c r="B76" t="str">
        <f t="shared" si="2"/>
        <v>31016</v>
      </c>
      <c r="C76" t="s">
        <v>1207</v>
      </c>
      <c r="D76">
        <v>36.33</v>
      </c>
      <c r="E76" t="s">
        <v>512</v>
      </c>
      <c r="K76" s="88" t="s">
        <v>74</v>
      </c>
      <c r="L76" s="23">
        <v>0</v>
      </c>
      <c r="M76" s="23">
        <v>36.29</v>
      </c>
      <c r="N76" s="23">
        <v>0</v>
      </c>
      <c r="O76" s="23">
        <v>156.63</v>
      </c>
      <c r="P76" s="23">
        <v>0</v>
      </c>
      <c r="Q76" s="23">
        <v>43.2</v>
      </c>
      <c r="R76" s="23">
        <v>0</v>
      </c>
      <c r="S76" s="23">
        <v>94.13</v>
      </c>
      <c r="T76" s="23">
        <v>0</v>
      </c>
      <c r="U76" s="23">
        <v>95.3</v>
      </c>
      <c r="V76" s="23">
        <v>7.85</v>
      </c>
      <c r="W76" s="23">
        <v>0</v>
      </c>
      <c r="X76" s="23">
        <v>194.28</v>
      </c>
      <c r="Y76" s="23">
        <v>32.869999999999997</v>
      </c>
      <c r="Z76" s="23">
        <v>0</v>
      </c>
      <c r="AA76" s="23">
        <v>0</v>
      </c>
      <c r="AB76" s="23">
        <v>660.55000000000007</v>
      </c>
    </row>
    <row r="77" spans="1:28" x14ac:dyDescent="0.25">
      <c r="A77">
        <v>31016</v>
      </c>
      <c r="B77" t="str">
        <f t="shared" si="2"/>
        <v>31016</v>
      </c>
      <c r="C77" t="s">
        <v>1208</v>
      </c>
      <c r="D77">
        <v>390.19</v>
      </c>
      <c r="E77" t="s">
        <v>512</v>
      </c>
      <c r="K77" s="88" t="s">
        <v>75</v>
      </c>
      <c r="L77" s="23">
        <v>1.8</v>
      </c>
      <c r="M77" s="23">
        <v>179.52</v>
      </c>
      <c r="N77" s="23">
        <v>0</v>
      </c>
      <c r="O77" s="23">
        <v>610.94000000000005</v>
      </c>
      <c r="P77" s="23">
        <v>0</v>
      </c>
      <c r="Q77" s="23">
        <v>206.05</v>
      </c>
      <c r="R77" s="23">
        <v>0</v>
      </c>
      <c r="S77" s="23">
        <v>440.99</v>
      </c>
      <c r="T77" s="23">
        <v>0</v>
      </c>
      <c r="U77" s="23">
        <v>450.45</v>
      </c>
      <c r="V77" s="23">
        <v>117.21</v>
      </c>
      <c r="W77" s="23">
        <v>0</v>
      </c>
      <c r="X77" s="23">
        <v>980.53</v>
      </c>
      <c r="Y77" s="23">
        <v>268.73</v>
      </c>
      <c r="Z77" s="23">
        <v>0</v>
      </c>
      <c r="AA77" s="23">
        <v>47.12</v>
      </c>
      <c r="AB77" s="23">
        <v>3303.34</v>
      </c>
    </row>
    <row r="78" spans="1:28" x14ac:dyDescent="0.25">
      <c r="A78">
        <v>31016</v>
      </c>
      <c r="B78" t="str">
        <f t="shared" si="2"/>
        <v>31016</v>
      </c>
      <c r="C78" t="s">
        <v>1210</v>
      </c>
      <c r="D78">
        <v>0</v>
      </c>
      <c r="E78" t="s">
        <v>512</v>
      </c>
      <c r="K78" s="88" t="s">
        <v>76</v>
      </c>
      <c r="L78" s="23">
        <v>12.8</v>
      </c>
      <c r="M78" s="23">
        <v>87.4</v>
      </c>
      <c r="N78" s="23">
        <v>0</v>
      </c>
      <c r="O78" s="23">
        <v>321.8</v>
      </c>
      <c r="P78" s="23">
        <v>0</v>
      </c>
      <c r="Q78" s="23">
        <v>113.6</v>
      </c>
      <c r="R78" s="23">
        <v>0</v>
      </c>
      <c r="S78" s="23">
        <v>240.43</v>
      </c>
      <c r="T78" s="23">
        <v>0</v>
      </c>
      <c r="U78" s="23">
        <v>239.96</v>
      </c>
      <c r="V78" s="23">
        <v>24.67</v>
      </c>
      <c r="W78" s="23">
        <v>0</v>
      </c>
      <c r="X78" s="23">
        <v>401.11</v>
      </c>
      <c r="Y78" s="23">
        <v>107.36</v>
      </c>
      <c r="Z78" s="23">
        <v>0</v>
      </c>
      <c r="AA78" s="23">
        <v>0</v>
      </c>
      <c r="AB78" s="23">
        <v>1549.1299999999999</v>
      </c>
    </row>
    <row r="79" spans="1:28" x14ac:dyDescent="0.25">
      <c r="A79">
        <v>31016</v>
      </c>
      <c r="B79" t="str">
        <f t="shared" si="2"/>
        <v>31016</v>
      </c>
      <c r="C79" t="s">
        <v>1212</v>
      </c>
      <c r="D79">
        <v>0</v>
      </c>
      <c r="E79" t="s">
        <v>512</v>
      </c>
      <c r="K79" s="88" t="s">
        <v>77</v>
      </c>
      <c r="L79" s="23">
        <v>19</v>
      </c>
      <c r="M79" s="23">
        <v>44.2</v>
      </c>
      <c r="N79" s="23">
        <v>0</v>
      </c>
      <c r="O79" s="23">
        <v>133.05000000000001</v>
      </c>
      <c r="P79" s="23">
        <v>0</v>
      </c>
      <c r="Q79" s="23">
        <v>42</v>
      </c>
      <c r="R79" s="23">
        <v>0</v>
      </c>
      <c r="S79" s="23">
        <v>92.2</v>
      </c>
      <c r="T79" s="23">
        <v>0</v>
      </c>
      <c r="U79" s="23">
        <v>93.57</v>
      </c>
      <c r="V79" s="23">
        <v>9.5399999999999991</v>
      </c>
      <c r="W79" s="23">
        <v>0</v>
      </c>
      <c r="X79" s="23">
        <v>164.83</v>
      </c>
      <c r="Y79" s="23">
        <v>25.23</v>
      </c>
      <c r="Z79" s="23">
        <v>0</v>
      </c>
      <c r="AA79" s="23">
        <v>0</v>
      </c>
      <c r="AB79" s="23">
        <v>623.62</v>
      </c>
    </row>
    <row r="80" spans="1:28" x14ac:dyDescent="0.25">
      <c r="A80">
        <v>31016</v>
      </c>
      <c r="B80" t="str">
        <f t="shared" si="2"/>
        <v>31016</v>
      </c>
      <c r="C80" t="s">
        <v>1216</v>
      </c>
      <c r="D80">
        <v>0</v>
      </c>
      <c r="E80" t="s">
        <v>512</v>
      </c>
      <c r="K80" s="88" t="s">
        <v>78</v>
      </c>
      <c r="L80" s="23">
        <v>0</v>
      </c>
      <c r="M80" s="23">
        <v>34.799999999999997</v>
      </c>
      <c r="N80" s="23">
        <v>0</v>
      </c>
      <c r="O80" s="23">
        <v>109.8</v>
      </c>
      <c r="P80" s="23">
        <v>0</v>
      </c>
      <c r="Q80" s="23">
        <v>32</v>
      </c>
      <c r="R80" s="23">
        <v>0</v>
      </c>
      <c r="S80" s="23">
        <v>67.599999999999994</v>
      </c>
      <c r="T80" s="23">
        <v>0</v>
      </c>
      <c r="U80" s="23">
        <v>66.52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310.71999999999997</v>
      </c>
    </row>
    <row r="81" spans="1:28" x14ac:dyDescent="0.25">
      <c r="A81">
        <v>31016</v>
      </c>
      <c r="B81" t="str">
        <f t="shared" si="2"/>
        <v>31016</v>
      </c>
      <c r="C81" t="s">
        <v>1198</v>
      </c>
      <c r="D81">
        <v>339.08</v>
      </c>
      <c r="E81" t="s">
        <v>512</v>
      </c>
      <c r="K81" s="88" t="s">
        <v>79</v>
      </c>
      <c r="L81" s="23">
        <v>46.63</v>
      </c>
      <c r="M81" s="23">
        <v>93.2</v>
      </c>
      <c r="N81" s="23">
        <v>0</v>
      </c>
      <c r="O81" s="23">
        <v>301.60000000000002</v>
      </c>
      <c r="P81" s="23">
        <v>0</v>
      </c>
      <c r="Q81" s="23">
        <v>97.78</v>
      </c>
      <c r="R81" s="23">
        <v>0</v>
      </c>
      <c r="S81" s="23">
        <v>183.58</v>
      </c>
      <c r="T81" s="23">
        <v>0</v>
      </c>
      <c r="U81" s="23">
        <v>240.22</v>
      </c>
      <c r="V81" s="23">
        <v>28.4</v>
      </c>
      <c r="W81" s="23">
        <v>0</v>
      </c>
      <c r="X81" s="23">
        <v>392.86</v>
      </c>
      <c r="Y81" s="23">
        <v>135</v>
      </c>
      <c r="Z81" s="23">
        <v>0</v>
      </c>
      <c r="AA81" s="23">
        <v>0</v>
      </c>
      <c r="AB81" s="23">
        <v>1519.27</v>
      </c>
    </row>
    <row r="82" spans="1:28" x14ac:dyDescent="0.25">
      <c r="A82" s="34" t="s">
        <v>13</v>
      </c>
      <c r="B82" t="str">
        <f t="shared" si="2"/>
        <v>02420</v>
      </c>
      <c r="C82" t="s">
        <v>1193</v>
      </c>
      <c r="D82">
        <v>0</v>
      </c>
      <c r="E82" t="s">
        <v>310</v>
      </c>
      <c r="K82" s="88" t="s">
        <v>80</v>
      </c>
      <c r="L82" s="23">
        <v>12.6</v>
      </c>
      <c r="M82" s="23">
        <v>98.6</v>
      </c>
      <c r="N82" s="23">
        <v>0</v>
      </c>
      <c r="O82" s="23">
        <v>344.63</v>
      </c>
      <c r="P82" s="23">
        <v>0</v>
      </c>
      <c r="Q82" s="23">
        <v>93.7</v>
      </c>
      <c r="R82" s="23">
        <v>0</v>
      </c>
      <c r="S82" s="23">
        <v>195.91</v>
      </c>
      <c r="T82" s="23">
        <v>0</v>
      </c>
      <c r="U82" s="23">
        <v>224.33</v>
      </c>
      <c r="V82" s="23">
        <v>69.06</v>
      </c>
      <c r="W82" s="23">
        <v>0</v>
      </c>
      <c r="X82" s="23">
        <v>494.99</v>
      </c>
      <c r="Y82" s="23">
        <v>337.05</v>
      </c>
      <c r="Z82" s="23">
        <v>0</v>
      </c>
      <c r="AA82" s="23">
        <v>0</v>
      </c>
      <c r="AB82" s="23">
        <v>1870.87</v>
      </c>
    </row>
    <row r="83" spans="1:28" x14ac:dyDescent="0.25">
      <c r="A83" s="34" t="s">
        <v>13</v>
      </c>
      <c r="B83" t="str">
        <f t="shared" si="2"/>
        <v>02420</v>
      </c>
      <c r="C83" t="s">
        <v>1194</v>
      </c>
      <c r="D83">
        <v>141.6</v>
      </c>
      <c r="E83" t="s">
        <v>310</v>
      </c>
      <c r="K83" s="88" t="s">
        <v>81</v>
      </c>
      <c r="L83" s="23">
        <v>0</v>
      </c>
      <c r="M83" s="23">
        <v>11</v>
      </c>
      <c r="N83" s="23">
        <v>0</v>
      </c>
      <c r="O83" s="23">
        <v>44</v>
      </c>
      <c r="P83" s="23">
        <v>0</v>
      </c>
      <c r="Q83" s="23">
        <v>14</v>
      </c>
      <c r="R83" s="23">
        <v>0</v>
      </c>
      <c r="S83" s="23">
        <v>21.2</v>
      </c>
      <c r="T83" s="23">
        <v>0</v>
      </c>
      <c r="U83" s="23">
        <v>36.200000000000003</v>
      </c>
      <c r="V83" s="23">
        <v>0</v>
      </c>
      <c r="W83" s="23">
        <v>0</v>
      </c>
      <c r="X83" s="23">
        <v>60.1</v>
      </c>
      <c r="Y83" s="23">
        <v>4.28</v>
      </c>
      <c r="Z83" s="23">
        <v>0</v>
      </c>
      <c r="AA83" s="23">
        <v>0</v>
      </c>
      <c r="AB83" s="23">
        <v>190.78</v>
      </c>
    </row>
    <row r="84" spans="1:28" x14ac:dyDescent="0.25">
      <c r="A84" s="34" t="s">
        <v>13</v>
      </c>
      <c r="B84" t="str">
        <f t="shared" si="2"/>
        <v>02420</v>
      </c>
      <c r="C84" t="s">
        <v>1195</v>
      </c>
      <c r="D84">
        <v>0</v>
      </c>
      <c r="E84" t="s">
        <v>310</v>
      </c>
      <c r="K84" s="88" t="s">
        <v>82</v>
      </c>
      <c r="L84" s="23">
        <v>0</v>
      </c>
      <c r="M84" s="23">
        <v>13</v>
      </c>
      <c r="N84" s="23">
        <v>0</v>
      </c>
      <c r="O84" s="23">
        <v>36.200000000000003</v>
      </c>
      <c r="P84" s="23">
        <v>0</v>
      </c>
      <c r="Q84" s="23">
        <v>15.65</v>
      </c>
      <c r="R84" s="23">
        <v>0</v>
      </c>
      <c r="S84" s="23">
        <v>37.6</v>
      </c>
      <c r="T84" s="23">
        <v>0</v>
      </c>
      <c r="U84" s="23">
        <v>33.200000000000003</v>
      </c>
      <c r="V84" s="23">
        <v>0</v>
      </c>
      <c r="W84" s="23">
        <v>0</v>
      </c>
      <c r="X84" s="23">
        <v>61.15</v>
      </c>
      <c r="Y84" s="23">
        <v>12.14</v>
      </c>
      <c r="Z84" s="23">
        <v>0</v>
      </c>
      <c r="AA84" s="23">
        <v>0</v>
      </c>
      <c r="AB84" s="23">
        <v>208.94000000000005</v>
      </c>
    </row>
    <row r="85" spans="1:28" x14ac:dyDescent="0.25">
      <c r="A85" s="34" t="s">
        <v>13</v>
      </c>
      <c r="B85" t="str">
        <f t="shared" si="2"/>
        <v>02420</v>
      </c>
      <c r="C85" t="s">
        <v>1197</v>
      </c>
      <c r="D85">
        <v>48.78</v>
      </c>
      <c r="E85" t="s">
        <v>310</v>
      </c>
      <c r="K85" s="88" t="s">
        <v>83</v>
      </c>
      <c r="L85" s="23">
        <v>14.3</v>
      </c>
      <c r="M85" s="23">
        <v>20</v>
      </c>
      <c r="N85" s="23">
        <v>0</v>
      </c>
      <c r="O85" s="23">
        <v>73.400000000000006</v>
      </c>
      <c r="P85" s="23">
        <v>0</v>
      </c>
      <c r="Q85" s="23">
        <v>26.7</v>
      </c>
      <c r="R85" s="23">
        <v>0</v>
      </c>
      <c r="S85" s="23">
        <v>50.4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184.8</v>
      </c>
    </row>
    <row r="86" spans="1:28" x14ac:dyDescent="0.25">
      <c r="A86" s="34" t="s">
        <v>13</v>
      </c>
      <c r="B86" t="str">
        <f t="shared" si="2"/>
        <v>02420</v>
      </c>
      <c r="C86" t="s">
        <v>1202</v>
      </c>
      <c r="D86">
        <v>0</v>
      </c>
      <c r="E86" t="s">
        <v>310</v>
      </c>
      <c r="K86" s="88" t="s">
        <v>84</v>
      </c>
      <c r="L86" s="23">
        <v>0</v>
      </c>
      <c r="M86" s="23">
        <v>9</v>
      </c>
      <c r="N86" s="23">
        <v>0</v>
      </c>
      <c r="O86" s="23">
        <v>25.6</v>
      </c>
      <c r="P86" s="23">
        <v>0</v>
      </c>
      <c r="Q86" s="23">
        <v>15</v>
      </c>
      <c r="R86" s="23">
        <v>0</v>
      </c>
      <c r="S86" s="23">
        <v>12.6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62.2</v>
      </c>
    </row>
    <row r="87" spans="1:28" x14ac:dyDescent="0.25">
      <c r="A87" s="34" t="s">
        <v>13</v>
      </c>
      <c r="B87" t="str">
        <f t="shared" si="2"/>
        <v>02420</v>
      </c>
      <c r="C87" t="s">
        <v>1206</v>
      </c>
      <c r="D87">
        <v>114.2</v>
      </c>
      <c r="E87" t="s">
        <v>310</v>
      </c>
      <c r="K87" s="88" t="s">
        <v>85</v>
      </c>
      <c r="L87" s="23">
        <v>8.9</v>
      </c>
      <c r="M87" s="23">
        <v>14</v>
      </c>
      <c r="N87" s="23">
        <v>0</v>
      </c>
      <c r="O87" s="23">
        <v>36</v>
      </c>
      <c r="P87" s="23">
        <v>0</v>
      </c>
      <c r="Q87" s="23">
        <v>11.8</v>
      </c>
      <c r="R87" s="23">
        <v>0</v>
      </c>
      <c r="S87" s="23">
        <v>28.6</v>
      </c>
      <c r="T87" s="23">
        <v>0</v>
      </c>
      <c r="U87" s="23">
        <v>29</v>
      </c>
      <c r="V87" s="23">
        <v>4.0599999999999996</v>
      </c>
      <c r="W87" s="23">
        <v>0</v>
      </c>
      <c r="X87" s="23">
        <v>43.4</v>
      </c>
      <c r="Y87" s="23">
        <v>11.76</v>
      </c>
      <c r="Z87" s="23">
        <v>0</v>
      </c>
      <c r="AA87" s="23">
        <v>0</v>
      </c>
      <c r="AB87" s="23">
        <v>187.52</v>
      </c>
    </row>
    <row r="88" spans="1:28" x14ac:dyDescent="0.25">
      <c r="A88" s="34" t="s">
        <v>13</v>
      </c>
      <c r="B88" t="str">
        <f t="shared" si="2"/>
        <v>02420</v>
      </c>
      <c r="C88" t="s">
        <v>1199</v>
      </c>
      <c r="D88">
        <v>0</v>
      </c>
      <c r="E88" t="s">
        <v>310</v>
      </c>
      <c r="K88" s="88" t="s">
        <v>86</v>
      </c>
      <c r="L88" s="23">
        <v>0</v>
      </c>
      <c r="M88" s="23">
        <v>28.8</v>
      </c>
      <c r="N88" s="23">
        <v>0</v>
      </c>
      <c r="O88" s="23">
        <v>118.2</v>
      </c>
      <c r="P88" s="23">
        <v>0</v>
      </c>
      <c r="Q88" s="23">
        <v>50.6</v>
      </c>
      <c r="R88" s="23">
        <v>0</v>
      </c>
      <c r="S88" s="23">
        <v>108.66</v>
      </c>
      <c r="T88" s="23">
        <v>0</v>
      </c>
      <c r="U88" s="23">
        <v>96.39</v>
      </c>
      <c r="V88" s="23">
        <v>10.08</v>
      </c>
      <c r="W88" s="23">
        <v>0</v>
      </c>
      <c r="X88" s="23">
        <v>147.78</v>
      </c>
      <c r="Y88" s="23">
        <v>35.67</v>
      </c>
      <c r="Z88" s="23">
        <v>0</v>
      </c>
      <c r="AA88" s="23">
        <v>0</v>
      </c>
      <c r="AB88" s="23">
        <v>596.17999999999995</v>
      </c>
    </row>
    <row r="89" spans="1:28" x14ac:dyDescent="0.25">
      <c r="A89" s="34" t="s">
        <v>13</v>
      </c>
      <c r="B89" t="str">
        <f t="shared" si="2"/>
        <v>02420</v>
      </c>
      <c r="C89" t="s">
        <v>1203</v>
      </c>
      <c r="D89">
        <v>90.34</v>
      </c>
      <c r="E89" t="s">
        <v>310</v>
      </c>
      <c r="K89" s="88" t="s">
        <v>87</v>
      </c>
      <c r="L89" s="23">
        <v>19.8</v>
      </c>
      <c r="M89" s="23">
        <v>22.2</v>
      </c>
      <c r="N89" s="23">
        <v>0</v>
      </c>
      <c r="O89" s="23">
        <v>73.599999999999994</v>
      </c>
      <c r="P89" s="23">
        <v>0</v>
      </c>
      <c r="Q89" s="23">
        <v>20</v>
      </c>
      <c r="R89" s="23">
        <v>0</v>
      </c>
      <c r="S89" s="23">
        <v>39</v>
      </c>
      <c r="T89" s="23">
        <v>0</v>
      </c>
      <c r="U89" s="23">
        <v>46.8</v>
      </c>
      <c r="V89" s="23">
        <v>1.63</v>
      </c>
      <c r="W89" s="23">
        <v>0</v>
      </c>
      <c r="X89" s="23">
        <v>66.010000000000005</v>
      </c>
      <c r="Y89" s="23">
        <v>19.510000000000002</v>
      </c>
      <c r="Z89" s="23">
        <v>0</v>
      </c>
      <c r="AA89" s="23">
        <v>0</v>
      </c>
      <c r="AB89" s="23">
        <v>308.54999999999995</v>
      </c>
    </row>
    <row r="90" spans="1:28" x14ac:dyDescent="0.25">
      <c r="A90" s="34" t="s">
        <v>13</v>
      </c>
      <c r="B90" t="str">
        <f t="shared" si="2"/>
        <v>02420</v>
      </c>
      <c r="C90" t="s">
        <v>1200</v>
      </c>
      <c r="D90">
        <v>0</v>
      </c>
      <c r="E90" t="s">
        <v>310</v>
      </c>
      <c r="K90" s="88" t="s">
        <v>88</v>
      </c>
      <c r="L90" s="23">
        <v>44.8</v>
      </c>
      <c r="M90" s="23">
        <v>377.5</v>
      </c>
      <c r="N90" s="23">
        <v>0</v>
      </c>
      <c r="O90" s="23">
        <v>1239.08</v>
      </c>
      <c r="P90" s="23">
        <v>0</v>
      </c>
      <c r="Q90" s="23">
        <v>400.44</v>
      </c>
      <c r="R90" s="23">
        <v>0</v>
      </c>
      <c r="S90" s="23">
        <v>768.2</v>
      </c>
      <c r="T90" s="23">
        <v>0</v>
      </c>
      <c r="U90" s="23">
        <v>711.67</v>
      </c>
      <c r="V90" s="23">
        <v>42.03</v>
      </c>
      <c r="W90" s="23">
        <v>0</v>
      </c>
      <c r="X90" s="23">
        <v>1460.75</v>
      </c>
      <c r="Y90" s="23">
        <v>401.85</v>
      </c>
      <c r="Z90" s="23">
        <v>0</v>
      </c>
      <c r="AA90" s="23">
        <v>0</v>
      </c>
      <c r="AB90" s="23">
        <v>5446.32</v>
      </c>
    </row>
    <row r="91" spans="1:28" x14ac:dyDescent="0.25">
      <c r="A91" s="34" t="s">
        <v>13</v>
      </c>
      <c r="B91" t="str">
        <f t="shared" si="2"/>
        <v>02420</v>
      </c>
      <c r="C91" t="s">
        <v>1204</v>
      </c>
      <c r="D91">
        <v>168.68</v>
      </c>
      <c r="E91" t="s">
        <v>310</v>
      </c>
      <c r="K91" s="88" t="s">
        <v>89</v>
      </c>
      <c r="L91" s="23">
        <v>16.399999999999999</v>
      </c>
      <c r="M91" s="23">
        <v>59.8</v>
      </c>
      <c r="N91" s="23">
        <v>0</v>
      </c>
      <c r="O91" s="23">
        <v>218.2</v>
      </c>
      <c r="P91" s="23">
        <v>0</v>
      </c>
      <c r="Q91" s="23">
        <v>95.4</v>
      </c>
      <c r="R91" s="23">
        <v>0</v>
      </c>
      <c r="S91" s="23">
        <v>159.19999999999999</v>
      </c>
      <c r="T91" s="23">
        <v>0</v>
      </c>
      <c r="U91" s="23">
        <v>162.1</v>
      </c>
      <c r="V91" s="23">
        <v>3.99</v>
      </c>
      <c r="W91" s="23">
        <v>0</v>
      </c>
      <c r="X91" s="23">
        <v>252.91</v>
      </c>
      <c r="Y91" s="23">
        <v>26.79</v>
      </c>
      <c r="Z91" s="23">
        <v>0</v>
      </c>
      <c r="AA91" s="23">
        <v>0</v>
      </c>
      <c r="AB91" s="23">
        <v>994.79</v>
      </c>
    </row>
    <row r="92" spans="1:28" x14ac:dyDescent="0.25">
      <c r="A92" s="34" t="s">
        <v>13</v>
      </c>
      <c r="B92" t="str">
        <f t="shared" si="2"/>
        <v>02420</v>
      </c>
      <c r="C92" t="s">
        <v>1207</v>
      </c>
      <c r="D92">
        <v>3.35</v>
      </c>
      <c r="E92" t="s">
        <v>310</v>
      </c>
      <c r="K92" s="88" t="s">
        <v>90</v>
      </c>
      <c r="L92" s="23">
        <v>14.77</v>
      </c>
      <c r="M92" s="23">
        <v>62.75</v>
      </c>
      <c r="N92" s="23">
        <v>0</v>
      </c>
      <c r="O92" s="23">
        <v>212.44</v>
      </c>
      <c r="P92" s="23">
        <v>0</v>
      </c>
      <c r="Q92" s="23">
        <v>70.819999999999993</v>
      </c>
      <c r="R92" s="23">
        <v>0</v>
      </c>
      <c r="S92" s="23">
        <v>179.49</v>
      </c>
      <c r="T92" s="23">
        <v>0</v>
      </c>
      <c r="U92" s="23">
        <v>167.57</v>
      </c>
      <c r="V92" s="23">
        <v>0</v>
      </c>
      <c r="W92" s="23">
        <v>0</v>
      </c>
      <c r="X92" s="23">
        <v>371.27</v>
      </c>
      <c r="Y92" s="23">
        <v>60.83</v>
      </c>
      <c r="Z92" s="23">
        <v>0</v>
      </c>
      <c r="AA92" s="23">
        <v>0</v>
      </c>
      <c r="AB92" s="23">
        <v>1139.9399999999998</v>
      </c>
    </row>
    <row r="93" spans="1:28" x14ac:dyDescent="0.25">
      <c r="A93" s="34" t="s">
        <v>13</v>
      </c>
      <c r="B93" t="str">
        <f t="shared" si="2"/>
        <v>02420</v>
      </c>
      <c r="C93" t="s">
        <v>1208</v>
      </c>
      <c r="D93">
        <v>47.81</v>
      </c>
      <c r="E93" t="s">
        <v>310</v>
      </c>
      <c r="K93" s="88" t="s">
        <v>91</v>
      </c>
      <c r="L93" s="23">
        <v>0</v>
      </c>
      <c r="M93" s="23">
        <v>2</v>
      </c>
      <c r="N93" s="23">
        <v>0</v>
      </c>
      <c r="O93" s="23">
        <v>15</v>
      </c>
      <c r="P93" s="23">
        <v>0</v>
      </c>
      <c r="Q93" s="23">
        <v>6</v>
      </c>
      <c r="R93" s="23">
        <v>0</v>
      </c>
      <c r="S93" s="23">
        <v>12</v>
      </c>
      <c r="T93" s="23">
        <v>0</v>
      </c>
      <c r="U93" s="23">
        <v>2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37</v>
      </c>
    </row>
    <row r="94" spans="1:28" x14ac:dyDescent="0.25">
      <c r="A94" s="34" t="s">
        <v>13</v>
      </c>
      <c r="B94" t="str">
        <f t="shared" si="2"/>
        <v>02420</v>
      </c>
      <c r="C94" t="s">
        <v>1210</v>
      </c>
      <c r="D94">
        <v>0</v>
      </c>
      <c r="E94" t="s">
        <v>310</v>
      </c>
      <c r="K94" s="88" t="s">
        <v>92</v>
      </c>
      <c r="L94" s="23">
        <v>7</v>
      </c>
      <c r="M94" s="23">
        <v>6</v>
      </c>
      <c r="N94" s="23">
        <v>0</v>
      </c>
      <c r="O94" s="23">
        <v>15.6</v>
      </c>
      <c r="P94" s="23">
        <v>0</v>
      </c>
      <c r="Q94" s="23">
        <v>11</v>
      </c>
      <c r="R94" s="23">
        <v>0</v>
      </c>
      <c r="S94" s="23">
        <v>9.4</v>
      </c>
      <c r="T94" s="23">
        <v>0</v>
      </c>
      <c r="U94" s="23">
        <v>23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72</v>
      </c>
    </row>
    <row r="95" spans="1:28" x14ac:dyDescent="0.25">
      <c r="A95" s="34" t="s">
        <v>13</v>
      </c>
      <c r="B95" t="str">
        <f t="shared" si="2"/>
        <v>02420</v>
      </c>
      <c r="C95" t="s">
        <v>1212</v>
      </c>
      <c r="D95">
        <v>0</v>
      </c>
      <c r="E95" t="s">
        <v>310</v>
      </c>
      <c r="K95" s="88" t="s">
        <v>93</v>
      </c>
      <c r="L95" s="23">
        <v>0</v>
      </c>
      <c r="M95" s="23">
        <v>11</v>
      </c>
      <c r="N95" s="23">
        <v>0</v>
      </c>
      <c r="O95" s="23">
        <v>31.2</v>
      </c>
      <c r="P95" s="23">
        <v>0</v>
      </c>
      <c r="Q95" s="23">
        <v>12</v>
      </c>
      <c r="R95" s="23">
        <v>0</v>
      </c>
      <c r="S95" s="23">
        <v>21.2</v>
      </c>
      <c r="T95" s="23">
        <v>0</v>
      </c>
      <c r="U95" s="23">
        <v>29</v>
      </c>
      <c r="V95" s="23">
        <v>9.68</v>
      </c>
      <c r="W95" s="23">
        <v>0</v>
      </c>
      <c r="X95" s="23">
        <v>89.91</v>
      </c>
      <c r="Y95" s="23">
        <v>10.71</v>
      </c>
      <c r="Z95" s="23">
        <v>0</v>
      </c>
      <c r="AA95" s="23">
        <v>0</v>
      </c>
      <c r="AB95" s="23">
        <v>214.70000000000002</v>
      </c>
    </row>
    <row r="96" spans="1:28" x14ac:dyDescent="0.25">
      <c r="A96" s="34" t="s">
        <v>13</v>
      </c>
      <c r="B96" t="str">
        <f t="shared" si="2"/>
        <v>02420</v>
      </c>
      <c r="C96" t="s">
        <v>1216</v>
      </c>
      <c r="D96">
        <v>33.729999999999997</v>
      </c>
      <c r="E96" t="s">
        <v>310</v>
      </c>
      <c r="K96" s="88" t="s">
        <v>94</v>
      </c>
      <c r="L96" s="23">
        <v>29.8</v>
      </c>
      <c r="M96" s="23">
        <v>52.6</v>
      </c>
      <c r="N96" s="23">
        <v>0</v>
      </c>
      <c r="O96" s="23">
        <v>156.19999999999999</v>
      </c>
      <c r="P96" s="23">
        <v>0</v>
      </c>
      <c r="Q96" s="23">
        <v>46</v>
      </c>
      <c r="R96" s="23">
        <v>0</v>
      </c>
      <c r="S96" s="23">
        <v>98.4</v>
      </c>
      <c r="T96" s="23">
        <v>0</v>
      </c>
      <c r="U96" s="23">
        <v>102.27</v>
      </c>
      <c r="V96" s="23">
        <v>0</v>
      </c>
      <c r="W96" s="23">
        <v>0</v>
      </c>
      <c r="X96" s="23">
        <v>133.62</v>
      </c>
      <c r="Y96" s="23">
        <v>21.31</v>
      </c>
      <c r="Z96" s="23">
        <v>0</v>
      </c>
      <c r="AA96" s="23">
        <v>0</v>
      </c>
      <c r="AB96" s="23">
        <v>640.19999999999993</v>
      </c>
    </row>
    <row r="97" spans="1:28" x14ac:dyDescent="0.25">
      <c r="A97" s="34" t="s">
        <v>13</v>
      </c>
      <c r="B97" t="str">
        <f t="shared" si="2"/>
        <v>02420</v>
      </c>
      <c r="C97" t="s">
        <v>1198</v>
      </c>
      <c r="D97">
        <v>38.94</v>
      </c>
      <c r="E97" t="s">
        <v>310</v>
      </c>
      <c r="K97" s="88" t="s">
        <v>95</v>
      </c>
      <c r="L97" s="23">
        <v>33</v>
      </c>
      <c r="M97" s="23">
        <v>70.2</v>
      </c>
      <c r="N97" s="23">
        <v>0</v>
      </c>
      <c r="O97" s="23">
        <v>244.01</v>
      </c>
      <c r="P97" s="23">
        <v>0</v>
      </c>
      <c r="Q97" s="23">
        <v>80</v>
      </c>
      <c r="R97" s="23">
        <v>0</v>
      </c>
      <c r="S97" s="23">
        <v>163.49</v>
      </c>
      <c r="T97" s="23">
        <v>0</v>
      </c>
      <c r="U97" s="23">
        <v>141.69</v>
      </c>
      <c r="V97" s="23">
        <v>8.26</v>
      </c>
      <c r="W97" s="23">
        <v>0</v>
      </c>
      <c r="X97" s="23">
        <v>337.81</v>
      </c>
      <c r="Y97" s="23">
        <v>61.12</v>
      </c>
      <c r="Z97" s="23">
        <v>0</v>
      </c>
      <c r="AA97" s="23">
        <v>0</v>
      </c>
      <c r="AB97" s="23">
        <v>1139.58</v>
      </c>
    </row>
    <row r="98" spans="1:28" x14ac:dyDescent="0.25">
      <c r="A98">
        <v>17408</v>
      </c>
      <c r="B98" t="str">
        <f t="shared" si="2"/>
        <v>17408</v>
      </c>
      <c r="C98" t="s">
        <v>1193</v>
      </c>
      <c r="D98">
        <v>0</v>
      </c>
      <c r="E98" t="s">
        <v>403</v>
      </c>
      <c r="K98" s="88" t="s">
        <v>96</v>
      </c>
      <c r="L98" s="23">
        <v>0</v>
      </c>
      <c r="M98" s="23">
        <v>3746.96</v>
      </c>
      <c r="N98" s="23">
        <v>0</v>
      </c>
      <c r="O98" s="23">
        <v>11619.57</v>
      </c>
      <c r="P98" s="23">
        <v>0</v>
      </c>
      <c r="Q98" s="23">
        <v>3706.08</v>
      </c>
      <c r="R98" s="23">
        <v>0</v>
      </c>
      <c r="S98" s="23">
        <v>7556.97</v>
      </c>
      <c r="T98" s="23">
        <v>0</v>
      </c>
      <c r="U98" s="23">
        <v>7010.47</v>
      </c>
      <c r="V98" s="23">
        <v>391.09</v>
      </c>
      <c r="W98" s="23">
        <v>0</v>
      </c>
      <c r="X98" s="23">
        <v>14006.17</v>
      </c>
      <c r="Y98" s="23">
        <v>1900.4</v>
      </c>
      <c r="Z98" s="23">
        <v>0</v>
      </c>
      <c r="AA98" s="23">
        <v>147.5</v>
      </c>
      <c r="AB98" s="23">
        <v>50085.21</v>
      </c>
    </row>
    <row r="99" spans="1:28" x14ac:dyDescent="0.25">
      <c r="A99">
        <v>17408</v>
      </c>
      <c r="B99" t="str">
        <f t="shared" si="2"/>
        <v>17408</v>
      </c>
      <c r="C99" t="s">
        <v>1194</v>
      </c>
      <c r="D99">
        <v>3884.37</v>
      </c>
      <c r="E99" t="s">
        <v>403</v>
      </c>
      <c r="K99" s="88" t="s">
        <v>97</v>
      </c>
      <c r="L99" s="23">
        <v>108.4</v>
      </c>
      <c r="M99" s="23">
        <v>1474.11</v>
      </c>
      <c r="N99" s="23">
        <v>0</v>
      </c>
      <c r="O99" s="23">
        <v>4842.3500000000004</v>
      </c>
      <c r="P99" s="23">
        <v>0</v>
      </c>
      <c r="Q99" s="23">
        <v>1483.96</v>
      </c>
      <c r="R99" s="23">
        <v>0</v>
      </c>
      <c r="S99" s="23">
        <v>3167.27</v>
      </c>
      <c r="T99" s="23">
        <v>0</v>
      </c>
      <c r="U99" s="23">
        <v>3166.64</v>
      </c>
      <c r="V99" s="23">
        <v>115.9</v>
      </c>
      <c r="W99" s="23">
        <v>0</v>
      </c>
      <c r="X99" s="23">
        <v>5796.47</v>
      </c>
      <c r="Y99" s="23">
        <v>1239.33</v>
      </c>
      <c r="Z99" s="23">
        <v>0</v>
      </c>
      <c r="AA99" s="23">
        <v>0</v>
      </c>
      <c r="AB99" s="23">
        <v>21394.43</v>
      </c>
    </row>
    <row r="100" spans="1:28" x14ac:dyDescent="0.25">
      <c r="A100">
        <v>17408</v>
      </c>
      <c r="B100" t="str">
        <f t="shared" si="2"/>
        <v>17408</v>
      </c>
      <c r="C100" t="s">
        <v>1195</v>
      </c>
      <c r="D100">
        <v>0</v>
      </c>
      <c r="E100" t="s">
        <v>403</v>
      </c>
      <c r="K100" s="88" t="s">
        <v>98</v>
      </c>
      <c r="L100" s="23">
        <v>40</v>
      </c>
      <c r="M100" s="23">
        <v>338.65</v>
      </c>
      <c r="N100" s="23">
        <v>0</v>
      </c>
      <c r="O100" s="23">
        <v>983.78</v>
      </c>
      <c r="P100" s="23">
        <v>0</v>
      </c>
      <c r="Q100" s="23">
        <v>317.13</v>
      </c>
      <c r="R100" s="23">
        <v>0</v>
      </c>
      <c r="S100" s="23">
        <v>703.65</v>
      </c>
      <c r="T100" s="23">
        <v>0</v>
      </c>
      <c r="U100" s="23">
        <v>672.19</v>
      </c>
      <c r="V100" s="23">
        <v>150.91</v>
      </c>
      <c r="W100" s="23">
        <v>0</v>
      </c>
      <c r="X100" s="23">
        <v>1172.31</v>
      </c>
      <c r="Y100" s="23">
        <v>455.88</v>
      </c>
      <c r="Z100" s="23">
        <v>0</v>
      </c>
      <c r="AA100" s="23">
        <v>0</v>
      </c>
      <c r="AB100" s="23">
        <v>4834.5</v>
      </c>
    </row>
    <row r="101" spans="1:28" x14ac:dyDescent="0.25">
      <c r="A101">
        <v>17408</v>
      </c>
      <c r="B101" t="str">
        <f t="shared" si="2"/>
        <v>17408</v>
      </c>
      <c r="C101" t="s">
        <v>1197</v>
      </c>
      <c r="D101">
        <v>1295.75</v>
      </c>
      <c r="E101" t="s">
        <v>403</v>
      </c>
      <c r="K101" s="88" t="s">
        <v>99</v>
      </c>
      <c r="L101" s="23">
        <v>0</v>
      </c>
      <c r="M101" s="23">
        <v>217.61</v>
      </c>
      <c r="N101" s="23">
        <v>0</v>
      </c>
      <c r="O101" s="23">
        <v>781.11</v>
      </c>
      <c r="P101" s="23">
        <v>0</v>
      </c>
      <c r="Q101" s="23">
        <v>293.37</v>
      </c>
      <c r="R101" s="23">
        <v>0</v>
      </c>
      <c r="S101" s="23">
        <v>557.42999999999995</v>
      </c>
      <c r="T101" s="23">
        <v>0</v>
      </c>
      <c r="U101" s="23">
        <v>666.52</v>
      </c>
      <c r="V101" s="23">
        <v>16.579999999999998</v>
      </c>
      <c r="W101" s="23">
        <v>0</v>
      </c>
      <c r="X101" s="23">
        <v>1367.11</v>
      </c>
      <c r="Y101" s="23">
        <v>313.70999999999998</v>
      </c>
      <c r="Z101" s="23">
        <v>0</v>
      </c>
      <c r="AA101" s="23">
        <v>0</v>
      </c>
      <c r="AB101" s="23">
        <v>4213.4399999999996</v>
      </c>
    </row>
    <row r="102" spans="1:28" x14ac:dyDescent="0.25">
      <c r="A102">
        <v>17408</v>
      </c>
      <c r="B102" t="str">
        <f t="shared" si="2"/>
        <v>17408</v>
      </c>
      <c r="C102" t="s">
        <v>1202</v>
      </c>
      <c r="D102">
        <v>0</v>
      </c>
      <c r="E102" t="s">
        <v>403</v>
      </c>
      <c r="K102" s="88" t="s">
        <v>100</v>
      </c>
      <c r="L102" s="23">
        <v>25.6</v>
      </c>
      <c r="M102" s="23">
        <v>1206.71</v>
      </c>
      <c r="N102" s="23">
        <v>0</v>
      </c>
      <c r="O102" s="23">
        <v>3949.99</v>
      </c>
      <c r="P102" s="23">
        <v>0</v>
      </c>
      <c r="Q102" s="23">
        <v>1276.5999999999999</v>
      </c>
      <c r="R102" s="23">
        <v>0</v>
      </c>
      <c r="S102" s="23">
        <v>2415.44</v>
      </c>
      <c r="T102" s="23">
        <v>0</v>
      </c>
      <c r="U102" s="23">
        <v>2248.73</v>
      </c>
      <c r="V102" s="23">
        <v>78.239999999999995</v>
      </c>
      <c r="W102" s="23">
        <v>0</v>
      </c>
      <c r="X102" s="23">
        <v>5271.03</v>
      </c>
      <c r="Y102" s="23">
        <v>713.26</v>
      </c>
      <c r="Z102" s="23">
        <v>0</v>
      </c>
      <c r="AA102" s="23">
        <v>518.63</v>
      </c>
      <c r="AB102" s="23">
        <v>17704.23</v>
      </c>
    </row>
    <row r="103" spans="1:28" x14ac:dyDescent="0.25">
      <c r="A103">
        <v>17408</v>
      </c>
      <c r="B103" t="str">
        <f t="shared" si="2"/>
        <v>17408</v>
      </c>
      <c r="C103" t="s">
        <v>1206</v>
      </c>
      <c r="D103">
        <v>2622.04</v>
      </c>
      <c r="E103" t="s">
        <v>403</v>
      </c>
      <c r="K103" s="88" t="s">
        <v>101</v>
      </c>
      <c r="L103" s="23">
        <v>0</v>
      </c>
      <c r="M103" s="23">
        <v>70.64</v>
      </c>
      <c r="N103" s="23">
        <v>0</v>
      </c>
      <c r="O103" s="23">
        <v>203.32</v>
      </c>
      <c r="P103" s="23">
        <v>0</v>
      </c>
      <c r="Q103" s="23">
        <v>78.94</v>
      </c>
      <c r="R103" s="23">
        <v>0</v>
      </c>
      <c r="S103" s="23">
        <v>209.18</v>
      </c>
      <c r="T103" s="23">
        <v>0</v>
      </c>
      <c r="U103" s="23">
        <v>247.84</v>
      </c>
      <c r="V103" s="23">
        <v>51.05</v>
      </c>
      <c r="W103" s="23">
        <v>0</v>
      </c>
      <c r="X103" s="23">
        <v>473.87</v>
      </c>
      <c r="Y103" s="23">
        <v>90.05</v>
      </c>
      <c r="Z103" s="23">
        <v>0</v>
      </c>
      <c r="AA103" s="23">
        <v>0</v>
      </c>
      <c r="AB103" s="23">
        <v>1424.8899999999999</v>
      </c>
    </row>
    <row r="104" spans="1:28" x14ac:dyDescent="0.25">
      <c r="A104">
        <v>17408</v>
      </c>
      <c r="B104" t="str">
        <f t="shared" si="2"/>
        <v>17408</v>
      </c>
      <c r="C104" t="s">
        <v>1199</v>
      </c>
      <c r="D104">
        <v>0</v>
      </c>
      <c r="E104" t="s">
        <v>403</v>
      </c>
      <c r="K104" s="88" t="s">
        <v>102</v>
      </c>
      <c r="L104" s="23">
        <v>256.8</v>
      </c>
      <c r="M104" s="23">
        <v>1004.53</v>
      </c>
      <c r="N104" s="23">
        <v>0</v>
      </c>
      <c r="O104" s="23">
        <v>3206.15</v>
      </c>
      <c r="P104" s="23">
        <v>0</v>
      </c>
      <c r="Q104" s="23">
        <v>1054</v>
      </c>
      <c r="R104" s="23">
        <v>0</v>
      </c>
      <c r="S104" s="23">
        <v>2203.6999999999998</v>
      </c>
      <c r="T104" s="23">
        <v>0</v>
      </c>
      <c r="U104" s="23">
        <v>2039.66</v>
      </c>
      <c r="V104" s="23">
        <v>227.56</v>
      </c>
      <c r="W104" s="23">
        <v>0</v>
      </c>
      <c r="X104" s="23">
        <v>3792.14</v>
      </c>
      <c r="Y104" s="23">
        <v>1442.07</v>
      </c>
      <c r="Z104" s="23">
        <v>0</v>
      </c>
      <c r="AA104" s="23">
        <v>0</v>
      </c>
      <c r="AB104" s="23">
        <v>15226.609999999999</v>
      </c>
    </row>
    <row r="105" spans="1:28" x14ac:dyDescent="0.25">
      <c r="A105">
        <v>17408</v>
      </c>
      <c r="B105" t="str">
        <f t="shared" si="2"/>
        <v>17408</v>
      </c>
      <c r="C105" t="s">
        <v>1203</v>
      </c>
      <c r="D105">
        <v>2428.54</v>
      </c>
      <c r="E105" t="s">
        <v>403</v>
      </c>
      <c r="K105" s="88" t="s">
        <v>103</v>
      </c>
      <c r="L105" s="23">
        <v>0</v>
      </c>
      <c r="M105" s="23">
        <v>3.2</v>
      </c>
      <c r="N105" s="23">
        <v>0</v>
      </c>
      <c r="O105" s="23">
        <v>8.8000000000000007</v>
      </c>
      <c r="P105" s="23">
        <v>0</v>
      </c>
      <c r="Q105" s="23">
        <v>2</v>
      </c>
      <c r="R105" s="23">
        <v>0</v>
      </c>
      <c r="S105" s="23">
        <v>6</v>
      </c>
      <c r="T105" s="23">
        <v>0</v>
      </c>
      <c r="U105" s="23">
        <v>9.8000000000000007</v>
      </c>
      <c r="V105" s="23">
        <v>0</v>
      </c>
      <c r="W105" s="23">
        <v>0</v>
      </c>
      <c r="X105" s="23">
        <v>11.56</v>
      </c>
      <c r="Y105" s="23">
        <v>1.56</v>
      </c>
      <c r="Z105" s="23">
        <v>0</v>
      </c>
      <c r="AA105" s="23">
        <v>0</v>
      </c>
      <c r="AB105" s="23">
        <v>42.92</v>
      </c>
    </row>
    <row r="106" spans="1:28" x14ac:dyDescent="0.25">
      <c r="A106">
        <v>17408</v>
      </c>
      <c r="B106" t="str">
        <f t="shared" si="2"/>
        <v>17408</v>
      </c>
      <c r="C106" t="s">
        <v>1200</v>
      </c>
      <c r="D106">
        <v>0</v>
      </c>
      <c r="E106" t="s">
        <v>403</v>
      </c>
      <c r="K106" s="88" t="s">
        <v>104</v>
      </c>
      <c r="L106" s="23">
        <v>0</v>
      </c>
      <c r="M106" s="23">
        <v>1177.6600000000001</v>
      </c>
      <c r="N106" s="23">
        <v>0</v>
      </c>
      <c r="O106" s="23">
        <v>3898.24</v>
      </c>
      <c r="P106" s="23">
        <v>0</v>
      </c>
      <c r="Q106" s="23">
        <v>1400.01</v>
      </c>
      <c r="R106" s="23">
        <v>0</v>
      </c>
      <c r="S106" s="23">
        <v>2827.96</v>
      </c>
      <c r="T106" s="23">
        <v>0</v>
      </c>
      <c r="U106" s="23">
        <v>3002.68</v>
      </c>
      <c r="V106" s="23">
        <v>214.31</v>
      </c>
      <c r="W106" s="23">
        <v>0</v>
      </c>
      <c r="X106" s="23">
        <v>6394.97</v>
      </c>
      <c r="Y106" s="23">
        <v>829.28</v>
      </c>
      <c r="Z106" s="23">
        <v>0</v>
      </c>
      <c r="AA106" s="23">
        <v>0</v>
      </c>
      <c r="AB106" s="23">
        <v>19745.109999999997</v>
      </c>
    </row>
    <row r="107" spans="1:28" x14ac:dyDescent="0.25">
      <c r="A107">
        <v>17408</v>
      </c>
      <c r="B107" t="str">
        <f t="shared" si="2"/>
        <v>17408</v>
      </c>
      <c r="C107" t="s">
        <v>1204</v>
      </c>
      <c r="D107">
        <v>4924.88</v>
      </c>
      <c r="E107" t="s">
        <v>403</v>
      </c>
      <c r="K107" s="88" t="s">
        <v>105</v>
      </c>
      <c r="L107" s="23">
        <v>0</v>
      </c>
      <c r="M107" s="23">
        <v>189.8</v>
      </c>
      <c r="N107" s="23">
        <v>0</v>
      </c>
      <c r="O107" s="23">
        <v>609.6</v>
      </c>
      <c r="P107" s="23">
        <v>0</v>
      </c>
      <c r="Q107" s="23">
        <v>186.6</v>
      </c>
      <c r="R107" s="23">
        <v>0</v>
      </c>
      <c r="S107" s="23">
        <v>436.82</v>
      </c>
      <c r="T107" s="23">
        <v>0</v>
      </c>
      <c r="U107" s="23">
        <v>416.44</v>
      </c>
      <c r="V107" s="23">
        <v>13.77</v>
      </c>
      <c r="W107" s="23">
        <v>0</v>
      </c>
      <c r="X107" s="23">
        <v>779.04</v>
      </c>
      <c r="Y107" s="23">
        <v>165.51</v>
      </c>
      <c r="Z107" s="23">
        <v>0</v>
      </c>
      <c r="AA107" s="23">
        <v>0</v>
      </c>
      <c r="AB107" s="23">
        <v>2797.58</v>
      </c>
    </row>
    <row r="108" spans="1:28" x14ac:dyDescent="0.25">
      <c r="A108">
        <v>17408</v>
      </c>
      <c r="B108" t="str">
        <f t="shared" si="2"/>
        <v>17408</v>
      </c>
      <c r="C108" t="s">
        <v>1207</v>
      </c>
      <c r="D108">
        <v>219.85</v>
      </c>
      <c r="E108" t="s">
        <v>403</v>
      </c>
      <c r="K108" s="88" t="s">
        <v>106</v>
      </c>
      <c r="L108" s="23">
        <v>0</v>
      </c>
      <c r="M108" s="23">
        <v>181.52</v>
      </c>
      <c r="N108" s="23">
        <v>0</v>
      </c>
      <c r="O108" s="23">
        <v>656.58</v>
      </c>
      <c r="P108" s="23">
        <v>0</v>
      </c>
      <c r="Q108" s="23">
        <v>220.64</v>
      </c>
      <c r="R108" s="23">
        <v>0</v>
      </c>
      <c r="S108" s="23">
        <v>457.64</v>
      </c>
      <c r="T108" s="23">
        <v>0</v>
      </c>
      <c r="U108" s="23">
        <v>406.59</v>
      </c>
      <c r="V108" s="23">
        <v>21.01</v>
      </c>
      <c r="W108" s="23">
        <v>0</v>
      </c>
      <c r="X108" s="23">
        <v>751.2</v>
      </c>
      <c r="Y108" s="23">
        <v>162.37</v>
      </c>
      <c r="Z108" s="23">
        <v>0</v>
      </c>
      <c r="AA108" s="23">
        <v>0</v>
      </c>
      <c r="AB108" s="23">
        <v>2857.55</v>
      </c>
    </row>
    <row r="109" spans="1:28" x14ac:dyDescent="0.25">
      <c r="A109">
        <v>17408</v>
      </c>
      <c r="B109" t="str">
        <f t="shared" si="2"/>
        <v>17408</v>
      </c>
      <c r="C109" t="s">
        <v>1208</v>
      </c>
      <c r="D109">
        <v>798.59</v>
      </c>
      <c r="E109" t="s">
        <v>403</v>
      </c>
      <c r="K109" s="88" t="s">
        <v>107</v>
      </c>
      <c r="L109" s="23">
        <v>150.80000000000001</v>
      </c>
      <c r="M109" s="23">
        <v>1218.76</v>
      </c>
      <c r="N109" s="23">
        <v>0</v>
      </c>
      <c r="O109" s="23">
        <v>3884.37</v>
      </c>
      <c r="P109" s="23">
        <v>0</v>
      </c>
      <c r="Q109" s="23">
        <v>1295.75</v>
      </c>
      <c r="R109" s="23">
        <v>0</v>
      </c>
      <c r="S109" s="23">
        <v>2622.04</v>
      </c>
      <c r="T109" s="23">
        <v>0</v>
      </c>
      <c r="U109" s="23">
        <v>2428.54</v>
      </c>
      <c r="V109" s="23">
        <v>219.85</v>
      </c>
      <c r="W109" s="23">
        <v>0</v>
      </c>
      <c r="X109" s="23">
        <v>4924.88</v>
      </c>
      <c r="Y109" s="23">
        <v>798.59</v>
      </c>
      <c r="Z109" s="23">
        <v>0</v>
      </c>
      <c r="AA109" s="23">
        <v>0</v>
      </c>
      <c r="AB109" s="23">
        <v>17543.580000000002</v>
      </c>
    </row>
    <row r="110" spans="1:28" x14ac:dyDescent="0.25">
      <c r="A110">
        <v>17408</v>
      </c>
      <c r="B110" t="str">
        <f t="shared" si="2"/>
        <v>17408</v>
      </c>
      <c r="C110" t="s">
        <v>1210</v>
      </c>
      <c r="D110">
        <v>0</v>
      </c>
      <c r="E110" t="s">
        <v>403</v>
      </c>
      <c r="K110" s="88" t="s">
        <v>108</v>
      </c>
      <c r="L110" s="23">
        <v>0</v>
      </c>
      <c r="M110" s="23">
        <v>508.2</v>
      </c>
      <c r="N110" s="23">
        <v>0</v>
      </c>
      <c r="O110" s="23">
        <v>1990.52</v>
      </c>
      <c r="P110" s="23">
        <v>0</v>
      </c>
      <c r="Q110" s="23">
        <v>716.82</v>
      </c>
      <c r="R110" s="23">
        <v>0</v>
      </c>
      <c r="S110" s="23">
        <v>1425.54</v>
      </c>
      <c r="T110" s="23">
        <v>0</v>
      </c>
      <c r="U110" s="23">
        <v>1462.41</v>
      </c>
      <c r="V110" s="23">
        <v>38.25</v>
      </c>
      <c r="W110" s="23">
        <v>0</v>
      </c>
      <c r="X110" s="23">
        <v>2497.0100000000002</v>
      </c>
      <c r="Y110" s="23">
        <v>513.20000000000005</v>
      </c>
      <c r="Z110" s="23">
        <v>0</v>
      </c>
      <c r="AA110" s="23">
        <v>0</v>
      </c>
      <c r="AB110" s="23">
        <v>9151.9500000000007</v>
      </c>
    </row>
    <row r="111" spans="1:28" x14ac:dyDescent="0.25">
      <c r="A111">
        <v>17408</v>
      </c>
      <c r="B111" t="str">
        <f t="shared" si="2"/>
        <v>17408</v>
      </c>
      <c r="C111" t="s">
        <v>1212</v>
      </c>
      <c r="D111">
        <v>0</v>
      </c>
      <c r="E111" t="s">
        <v>403</v>
      </c>
      <c r="K111" s="88" t="s">
        <v>109</v>
      </c>
      <c r="L111" s="23">
        <v>14</v>
      </c>
      <c r="M111" s="23">
        <v>445.18</v>
      </c>
      <c r="N111" s="23">
        <v>0</v>
      </c>
      <c r="O111" s="23">
        <v>1545.87</v>
      </c>
      <c r="P111" s="23">
        <v>0</v>
      </c>
      <c r="Q111" s="23">
        <v>478.6</v>
      </c>
      <c r="R111" s="23">
        <v>0</v>
      </c>
      <c r="S111" s="23">
        <v>1094.3499999999999</v>
      </c>
      <c r="T111" s="23">
        <v>0</v>
      </c>
      <c r="U111" s="23">
        <v>1040.1099999999999</v>
      </c>
      <c r="V111" s="23">
        <v>47.48</v>
      </c>
      <c r="W111" s="23">
        <v>0</v>
      </c>
      <c r="X111" s="23">
        <v>2009.13</v>
      </c>
      <c r="Y111" s="23">
        <v>452.6</v>
      </c>
      <c r="Z111" s="23">
        <v>0</v>
      </c>
      <c r="AA111" s="23">
        <v>0</v>
      </c>
      <c r="AB111" s="23">
        <v>7127.32</v>
      </c>
    </row>
    <row r="112" spans="1:28" x14ac:dyDescent="0.25">
      <c r="A112">
        <v>17408</v>
      </c>
      <c r="B112" t="str">
        <f t="shared" si="2"/>
        <v>17408</v>
      </c>
      <c r="C112" t="s">
        <v>1216</v>
      </c>
      <c r="D112">
        <v>150.80000000000001</v>
      </c>
      <c r="E112" t="s">
        <v>403</v>
      </c>
      <c r="K112" s="88" t="s">
        <v>110</v>
      </c>
      <c r="L112" s="23">
        <v>72.92</v>
      </c>
      <c r="M112" s="23">
        <v>1125.81</v>
      </c>
      <c r="N112" s="23">
        <v>0</v>
      </c>
      <c r="O112" s="23">
        <v>3930.62</v>
      </c>
      <c r="P112" s="23">
        <v>0</v>
      </c>
      <c r="Q112" s="23">
        <v>1359.42</v>
      </c>
      <c r="R112" s="23">
        <v>0</v>
      </c>
      <c r="S112" s="23">
        <v>2859.21</v>
      </c>
      <c r="T112" s="23">
        <v>0</v>
      </c>
      <c r="U112" s="23">
        <v>3035.95</v>
      </c>
      <c r="V112" s="23">
        <v>50.13</v>
      </c>
      <c r="W112" s="23">
        <v>0</v>
      </c>
      <c r="X112" s="23">
        <v>5620.36</v>
      </c>
      <c r="Y112" s="23">
        <v>1035.81</v>
      </c>
      <c r="Z112" s="23">
        <v>0</v>
      </c>
      <c r="AA112" s="23">
        <v>0</v>
      </c>
      <c r="AB112" s="23">
        <v>19090.23</v>
      </c>
    </row>
    <row r="113" spans="1:28" x14ac:dyDescent="0.25">
      <c r="A113">
        <v>17408</v>
      </c>
      <c r="B113" t="str">
        <f t="shared" si="2"/>
        <v>17408</v>
      </c>
      <c r="C113" t="s">
        <v>1198</v>
      </c>
      <c r="D113">
        <v>1218.76</v>
      </c>
      <c r="E113" t="s">
        <v>403</v>
      </c>
      <c r="K113" s="88" t="s">
        <v>111</v>
      </c>
      <c r="L113" s="23">
        <v>0</v>
      </c>
      <c r="M113" s="23">
        <v>618.74</v>
      </c>
      <c r="N113" s="23">
        <v>0</v>
      </c>
      <c r="O113" s="23">
        <v>1954.65</v>
      </c>
      <c r="P113" s="23">
        <v>0</v>
      </c>
      <c r="Q113" s="23">
        <v>661.02</v>
      </c>
      <c r="R113" s="23">
        <v>0</v>
      </c>
      <c r="S113" s="23">
        <v>1375.94</v>
      </c>
      <c r="T113" s="23">
        <v>0</v>
      </c>
      <c r="U113" s="23">
        <v>1416.63</v>
      </c>
      <c r="V113" s="23">
        <v>25.37</v>
      </c>
      <c r="W113" s="23">
        <v>0</v>
      </c>
      <c r="X113" s="23">
        <v>2845.24</v>
      </c>
      <c r="Y113" s="23">
        <v>450.59</v>
      </c>
      <c r="Z113" s="23">
        <v>0</v>
      </c>
      <c r="AA113" s="23">
        <v>0</v>
      </c>
      <c r="AB113" s="23">
        <v>9348.18</v>
      </c>
    </row>
    <row r="114" spans="1:28" x14ac:dyDescent="0.25">
      <c r="A114">
        <v>18303</v>
      </c>
      <c r="B114" t="str">
        <f t="shared" si="2"/>
        <v>18303</v>
      </c>
      <c r="C114" t="s">
        <v>1193</v>
      </c>
      <c r="D114">
        <v>0</v>
      </c>
      <c r="E114" t="s">
        <v>413</v>
      </c>
      <c r="K114" s="88" t="s">
        <v>112</v>
      </c>
      <c r="L114" s="23">
        <v>0</v>
      </c>
      <c r="M114" s="23">
        <v>1888</v>
      </c>
      <c r="N114" s="23">
        <v>0</v>
      </c>
      <c r="O114" s="23">
        <v>6772.48</v>
      </c>
      <c r="P114" s="23">
        <v>0</v>
      </c>
      <c r="Q114" s="23">
        <v>2395.89</v>
      </c>
      <c r="R114" s="23">
        <v>0</v>
      </c>
      <c r="S114" s="23">
        <v>4867.3</v>
      </c>
      <c r="T114" s="23">
        <v>0</v>
      </c>
      <c r="U114" s="23">
        <v>4834.2</v>
      </c>
      <c r="V114" s="23">
        <v>331.49</v>
      </c>
      <c r="W114" s="23">
        <v>0</v>
      </c>
      <c r="X114" s="23">
        <v>9089.01</v>
      </c>
      <c r="Y114" s="23">
        <v>1896.58</v>
      </c>
      <c r="Z114" s="23">
        <v>0</v>
      </c>
      <c r="AA114" s="23">
        <v>409.68</v>
      </c>
      <c r="AB114" s="23">
        <v>32484.630000000005</v>
      </c>
    </row>
    <row r="115" spans="1:28" x14ac:dyDescent="0.25">
      <c r="A115">
        <v>18303</v>
      </c>
      <c r="B115" t="str">
        <f t="shared" si="2"/>
        <v>18303</v>
      </c>
      <c r="C115" t="s">
        <v>1194</v>
      </c>
      <c r="D115">
        <v>679.84</v>
      </c>
      <c r="E115" t="s">
        <v>413</v>
      </c>
      <c r="K115" s="88" t="s">
        <v>113</v>
      </c>
      <c r="L115" s="23">
        <v>0</v>
      </c>
      <c r="M115" s="23">
        <v>1810.78</v>
      </c>
      <c r="N115" s="23">
        <v>0</v>
      </c>
      <c r="O115" s="23">
        <v>5711.18</v>
      </c>
      <c r="P115" s="23">
        <v>0</v>
      </c>
      <c r="Q115" s="23">
        <v>1945.65</v>
      </c>
      <c r="R115" s="23">
        <v>0</v>
      </c>
      <c r="S115" s="23">
        <v>3849.69</v>
      </c>
      <c r="T115" s="23">
        <v>0</v>
      </c>
      <c r="U115" s="23">
        <v>3855.74</v>
      </c>
      <c r="V115" s="23">
        <v>332.25</v>
      </c>
      <c r="W115" s="23">
        <v>0</v>
      </c>
      <c r="X115" s="23">
        <v>6569.75</v>
      </c>
      <c r="Y115" s="23">
        <v>1733.78</v>
      </c>
      <c r="Z115" s="23">
        <v>0</v>
      </c>
      <c r="AA115" s="23">
        <v>0</v>
      </c>
      <c r="AB115" s="23">
        <v>25808.82</v>
      </c>
    </row>
    <row r="116" spans="1:28" x14ac:dyDescent="0.25">
      <c r="A116">
        <v>18303</v>
      </c>
      <c r="B116" t="str">
        <f t="shared" si="2"/>
        <v>18303</v>
      </c>
      <c r="C116" t="s">
        <v>1195</v>
      </c>
      <c r="D116">
        <v>0</v>
      </c>
      <c r="E116" t="s">
        <v>413</v>
      </c>
      <c r="K116" s="88" t="s">
        <v>114</v>
      </c>
      <c r="L116" s="23">
        <v>0</v>
      </c>
      <c r="M116" s="23">
        <v>1434.02</v>
      </c>
      <c r="N116" s="23">
        <v>0</v>
      </c>
      <c r="O116" s="23">
        <v>4749.3100000000004</v>
      </c>
      <c r="P116" s="23">
        <v>0</v>
      </c>
      <c r="Q116" s="23">
        <v>1629.47</v>
      </c>
      <c r="R116" s="23">
        <v>0</v>
      </c>
      <c r="S116" s="23">
        <v>3435.17</v>
      </c>
      <c r="T116" s="23">
        <v>0</v>
      </c>
      <c r="U116" s="23">
        <v>3426.31</v>
      </c>
      <c r="V116" s="23">
        <v>197.9</v>
      </c>
      <c r="W116" s="23">
        <v>0</v>
      </c>
      <c r="X116" s="23">
        <v>6515.5</v>
      </c>
      <c r="Y116" s="23">
        <v>1077.5999999999999</v>
      </c>
      <c r="Z116" s="23">
        <v>0</v>
      </c>
      <c r="AA116" s="23">
        <v>0</v>
      </c>
      <c r="AB116" s="23">
        <v>22465.279999999999</v>
      </c>
    </row>
    <row r="117" spans="1:28" x14ac:dyDescent="0.25">
      <c r="A117">
        <v>18303</v>
      </c>
      <c r="B117" t="str">
        <f t="shared" si="2"/>
        <v>18303</v>
      </c>
      <c r="C117" t="s">
        <v>1197</v>
      </c>
      <c r="D117">
        <v>237.41</v>
      </c>
      <c r="E117" t="s">
        <v>413</v>
      </c>
      <c r="K117" s="88" t="s">
        <v>619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207.18</v>
      </c>
      <c r="Y117" s="23">
        <v>0</v>
      </c>
      <c r="Z117" s="23">
        <v>0</v>
      </c>
      <c r="AA117" s="23">
        <v>0</v>
      </c>
      <c r="AB117" s="23">
        <v>207.18</v>
      </c>
    </row>
    <row r="118" spans="1:28" x14ac:dyDescent="0.25">
      <c r="A118">
        <v>18303</v>
      </c>
      <c r="B118" t="str">
        <f t="shared" si="2"/>
        <v>18303</v>
      </c>
      <c r="C118" t="s">
        <v>1202</v>
      </c>
      <c r="D118">
        <v>0</v>
      </c>
      <c r="E118" t="s">
        <v>413</v>
      </c>
      <c r="K118" s="88" t="s">
        <v>115</v>
      </c>
      <c r="L118" s="23">
        <v>0</v>
      </c>
      <c r="M118" s="23">
        <v>15.32</v>
      </c>
      <c r="N118" s="23">
        <v>0</v>
      </c>
      <c r="O118" s="23">
        <v>98.8</v>
      </c>
      <c r="P118" s="23">
        <v>0</v>
      </c>
      <c r="Q118" s="23">
        <v>34.4</v>
      </c>
      <c r="R118" s="23">
        <v>0</v>
      </c>
      <c r="S118" s="23">
        <v>71.62</v>
      </c>
      <c r="T118" s="23">
        <v>0</v>
      </c>
      <c r="U118" s="23">
        <v>84.2</v>
      </c>
      <c r="V118" s="23">
        <v>0</v>
      </c>
      <c r="W118" s="23">
        <v>0</v>
      </c>
      <c r="X118" s="23">
        <v>159.76</v>
      </c>
      <c r="Y118" s="23">
        <v>23.22</v>
      </c>
      <c r="Z118" s="23">
        <v>0</v>
      </c>
      <c r="AA118" s="23">
        <v>0</v>
      </c>
      <c r="AB118" s="23">
        <v>487.32000000000005</v>
      </c>
    </row>
    <row r="119" spans="1:28" x14ac:dyDescent="0.25">
      <c r="A119">
        <v>18303</v>
      </c>
      <c r="B119" t="str">
        <f t="shared" si="2"/>
        <v>18303</v>
      </c>
      <c r="C119" t="s">
        <v>1206</v>
      </c>
      <c r="D119">
        <v>503.31</v>
      </c>
      <c r="E119" t="s">
        <v>413</v>
      </c>
      <c r="K119" s="88" t="s">
        <v>621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107.8</v>
      </c>
      <c r="T119" s="23">
        <v>0</v>
      </c>
      <c r="U119" s="23">
        <v>194.2</v>
      </c>
      <c r="V119" s="23">
        <v>0</v>
      </c>
      <c r="W119" s="23">
        <v>0</v>
      </c>
      <c r="X119" s="23">
        <v>235.28</v>
      </c>
      <c r="Y119" s="23">
        <v>0</v>
      </c>
      <c r="Z119" s="23">
        <v>0</v>
      </c>
      <c r="AA119" s="23">
        <v>0</v>
      </c>
      <c r="AB119" s="23">
        <v>537.28</v>
      </c>
    </row>
    <row r="120" spans="1:28" x14ac:dyDescent="0.25">
      <c r="A120">
        <v>18303</v>
      </c>
      <c r="B120" t="str">
        <f t="shared" si="2"/>
        <v>18303</v>
      </c>
      <c r="C120" t="s">
        <v>1199</v>
      </c>
      <c r="D120">
        <v>0</v>
      </c>
      <c r="E120" t="s">
        <v>413</v>
      </c>
      <c r="K120" s="88" t="s">
        <v>623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180.4</v>
      </c>
      <c r="T120" s="23">
        <v>0</v>
      </c>
      <c r="U120" s="23">
        <v>179.6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360</v>
      </c>
    </row>
    <row r="121" spans="1:28" x14ac:dyDescent="0.25">
      <c r="A121">
        <v>18303</v>
      </c>
      <c r="B121" t="str">
        <f t="shared" si="2"/>
        <v>18303</v>
      </c>
      <c r="C121" t="s">
        <v>1203</v>
      </c>
      <c r="D121">
        <v>519.5</v>
      </c>
      <c r="E121" t="s">
        <v>413</v>
      </c>
      <c r="K121" s="88" t="s">
        <v>625</v>
      </c>
      <c r="L121" s="23">
        <v>0</v>
      </c>
      <c r="M121" s="23">
        <v>10.8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26.4</v>
      </c>
      <c r="T121" s="23">
        <v>0</v>
      </c>
      <c r="U121" s="23">
        <v>43</v>
      </c>
      <c r="V121" s="23">
        <v>0</v>
      </c>
      <c r="W121" s="23">
        <v>0</v>
      </c>
      <c r="X121" s="23">
        <v>39.799999999999997</v>
      </c>
      <c r="Y121" s="23">
        <v>4.42</v>
      </c>
      <c r="Z121" s="23">
        <v>0</v>
      </c>
      <c r="AA121" s="23">
        <v>0</v>
      </c>
      <c r="AB121" s="23">
        <v>124.42</v>
      </c>
    </row>
    <row r="122" spans="1:28" x14ac:dyDescent="0.25">
      <c r="A122">
        <v>18303</v>
      </c>
      <c r="B122" t="str">
        <f t="shared" si="2"/>
        <v>18303</v>
      </c>
      <c r="C122" t="s">
        <v>1200</v>
      </c>
      <c r="D122">
        <v>0</v>
      </c>
      <c r="E122" t="s">
        <v>413</v>
      </c>
      <c r="K122" s="88" t="s">
        <v>631</v>
      </c>
      <c r="L122" s="23">
        <v>0</v>
      </c>
      <c r="M122" s="23">
        <v>93</v>
      </c>
      <c r="N122" s="23">
        <v>0</v>
      </c>
      <c r="O122" s="23">
        <v>271.2</v>
      </c>
      <c r="P122" s="23">
        <v>0</v>
      </c>
      <c r="Q122" s="23">
        <v>83.2</v>
      </c>
      <c r="R122" s="23">
        <v>0</v>
      </c>
      <c r="S122" s="23">
        <v>51.2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498.59999999999997</v>
      </c>
    </row>
    <row r="123" spans="1:28" x14ac:dyDescent="0.25">
      <c r="A123">
        <v>18303</v>
      </c>
      <c r="B123" t="str">
        <f t="shared" si="2"/>
        <v>18303</v>
      </c>
      <c r="C123" t="s">
        <v>1204</v>
      </c>
      <c r="D123">
        <v>1214.08</v>
      </c>
      <c r="E123" t="s">
        <v>413</v>
      </c>
      <c r="K123" s="88" t="s">
        <v>654</v>
      </c>
      <c r="L123" s="23">
        <v>0</v>
      </c>
      <c r="M123" s="23">
        <v>85</v>
      </c>
      <c r="N123" s="23">
        <v>0</v>
      </c>
      <c r="O123" s="23">
        <v>221.4</v>
      </c>
      <c r="P123" s="23">
        <v>0</v>
      </c>
      <c r="Q123" s="23">
        <v>53.2</v>
      </c>
      <c r="R123" s="23">
        <v>0</v>
      </c>
      <c r="S123" s="23">
        <v>29.4</v>
      </c>
      <c r="T123" s="23">
        <v>0</v>
      </c>
      <c r="U123" s="23">
        <v>0</v>
      </c>
      <c r="V123" s="23">
        <v>0</v>
      </c>
      <c r="W123" s="23">
        <v>0</v>
      </c>
      <c r="X123" s="23">
        <v>0</v>
      </c>
      <c r="Y123" s="23">
        <v>0</v>
      </c>
      <c r="Z123" s="23">
        <v>0</v>
      </c>
      <c r="AA123" s="23">
        <v>0</v>
      </c>
      <c r="AB123" s="23">
        <v>388.99999999999994</v>
      </c>
    </row>
    <row r="124" spans="1:28" x14ac:dyDescent="0.25">
      <c r="A124">
        <v>18303</v>
      </c>
      <c r="B124" t="str">
        <f t="shared" si="2"/>
        <v>18303</v>
      </c>
      <c r="C124" t="s">
        <v>1207</v>
      </c>
      <c r="D124">
        <v>52.59</v>
      </c>
      <c r="E124" t="s">
        <v>413</v>
      </c>
      <c r="K124" s="88" t="s">
        <v>674</v>
      </c>
      <c r="L124" s="23">
        <v>0</v>
      </c>
      <c r="M124" s="23">
        <v>0</v>
      </c>
      <c r="N124" s="23">
        <v>0</v>
      </c>
      <c r="O124" s="23">
        <v>0</v>
      </c>
      <c r="P124" s="23">
        <v>0</v>
      </c>
      <c r="Q124" s="23">
        <v>0</v>
      </c>
      <c r="R124" s="23">
        <v>0</v>
      </c>
      <c r="S124" s="23">
        <v>0</v>
      </c>
      <c r="T124" s="23">
        <v>0</v>
      </c>
      <c r="U124" s="23">
        <v>0</v>
      </c>
      <c r="V124" s="23">
        <v>0</v>
      </c>
      <c r="W124" s="23">
        <v>0</v>
      </c>
      <c r="X124" s="23">
        <v>127.72</v>
      </c>
      <c r="Y124" s="23">
        <v>0</v>
      </c>
      <c r="Z124" s="23">
        <v>0</v>
      </c>
      <c r="AA124" s="23">
        <v>0</v>
      </c>
      <c r="AB124" s="23">
        <v>127.72</v>
      </c>
    </row>
    <row r="125" spans="1:28" x14ac:dyDescent="0.25">
      <c r="A125">
        <v>18303</v>
      </c>
      <c r="B125" t="str">
        <f t="shared" si="2"/>
        <v>18303</v>
      </c>
      <c r="C125" t="s">
        <v>1208</v>
      </c>
      <c r="D125">
        <v>308.43</v>
      </c>
      <c r="E125" t="s">
        <v>413</v>
      </c>
      <c r="K125" s="88" t="s">
        <v>1111</v>
      </c>
      <c r="L125" s="23">
        <v>0</v>
      </c>
      <c r="M125" s="23">
        <v>80</v>
      </c>
      <c r="N125" s="23">
        <v>0</v>
      </c>
      <c r="O125" s="23">
        <v>128.19999999999999</v>
      </c>
      <c r="P125" s="23">
        <v>0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3">
        <v>208.2</v>
      </c>
    </row>
    <row r="126" spans="1:28" x14ac:dyDescent="0.25">
      <c r="A126">
        <v>18303</v>
      </c>
      <c r="B126" t="str">
        <f t="shared" si="2"/>
        <v>18303</v>
      </c>
      <c r="C126" t="s">
        <v>1210</v>
      </c>
      <c r="D126">
        <v>0</v>
      </c>
      <c r="E126" t="s">
        <v>413</v>
      </c>
      <c r="K126" s="88" t="s">
        <v>116</v>
      </c>
      <c r="L126" s="23">
        <v>0</v>
      </c>
      <c r="M126" s="23">
        <v>323.47000000000003</v>
      </c>
      <c r="N126" s="23">
        <v>0</v>
      </c>
      <c r="O126" s="23">
        <v>1067.74</v>
      </c>
      <c r="P126" s="23">
        <v>0</v>
      </c>
      <c r="Q126" s="23">
        <v>316.61</v>
      </c>
      <c r="R126" s="23">
        <v>0</v>
      </c>
      <c r="S126" s="23">
        <v>631.03</v>
      </c>
      <c r="T126" s="23">
        <v>0</v>
      </c>
      <c r="U126" s="23">
        <v>530.62</v>
      </c>
      <c r="V126" s="23">
        <v>95.86</v>
      </c>
      <c r="W126" s="23">
        <v>0</v>
      </c>
      <c r="X126" s="23">
        <v>1270.3699999999999</v>
      </c>
      <c r="Y126" s="23">
        <v>313.86</v>
      </c>
      <c r="Z126" s="23">
        <v>0</v>
      </c>
      <c r="AA126" s="23">
        <v>279.75</v>
      </c>
      <c r="AB126" s="23">
        <v>4829.3100000000004</v>
      </c>
    </row>
    <row r="127" spans="1:28" x14ac:dyDescent="0.25">
      <c r="A127">
        <v>18303</v>
      </c>
      <c r="B127" t="str">
        <f t="shared" si="2"/>
        <v>18303</v>
      </c>
      <c r="C127" t="s">
        <v>1212</v>
      </c>
      <c r="D127">
        <v>0</v>
      </c>
      <c r="E127" t="s">
        <v>413</v>
      </c>
      <c r="K127" s="88" t="s">
        <v>117</v>
      </c>
      <c r="L127" s="23">
        <v>0</v>
      </c>
      <c r="M127" s="23">
        <v>179.46</v>
      </c>
      <c r="N127" s="23">
        <v>0</v>
      </c>
      <c r="O127" s="23">
        <v>679.84</v>
      </c>
      <c r="P127" s="23">
        <v>0</v>
      </c>
      <c r="Q127" s="23">
        <v>237.41</v>
      </c>
      <c r="R127" s="23">
        <v>0</v>
      </c>
      <c r="S127" s="23">
        <v>503.31</v>
      </c>
      <c r="T127" s="23">
        <v>0</v>
      </c>
      <c r="U127" s="23">
        <v>519.5</v>
      </c>
      <c r="V127" s="23">
        <v>52.59</v>
      </c>
      <c r="W127" s="23">
        <v>0</v>
      </c>
      <c r="X127" s="23">
        <v>1214.08</v>
      </c>
      <c r="Y127" s="23">
        <v>308.43</v>
      </c>
      <c r="Z127" s="23">
        <v>0</v>
      </c>
      <c r="AA127" s="23">
        <v>0</v>
      </c>
      <c r="AB127" s="23">
        <v>3694.62</v>
      </c>
    </row>
    <row r="128" spans="1:28" x14ac:dyDescent="0.25">
      <c r="A128">
        <v>18303</v>
      </c>
      <c r="B128" t="str">
        <f t="shared" si="2"/>
        <v>18303</v>
      </c>
      <c r="C128" t="s">
        <v>1216</v>
      </c>
      <c r="D128">
        <v>0</v>
      </c>
      <c r="E128" t="s">
        <v>413</v>
      </c>
      <c r="K128" s="88" t="s">
        <v>118</v>
      </c>
      <c r="L128" s="23">
        <v>0</v>
      </c>
      <c r="M128" s="23">
        <v>337.55</v>
      </c>
      <c r="N128" s="23">
        <v>0</v>
      </c>
      <c r="O128" s="23">
        <v>1141.68</v>
      </c>
      <c r="P128" s="23">
        <v>0</v>
      </c>
      <c r="Q128" s="23">
        <v>380.23</v>
      </c>
      <c r="R128" s="23">
        <v>0</v>
      </c>
      <c r="S128" s="23">
        <v>789.76</v>
      </c>
      <c r="T128" s="23">
        <v>0</v>
      </c>
      <c r="U128" s="23">
        <v>808.86</v>
      </c>
      <c r="V128" s="23">
        <v>85.38</v>
      </c>
      <c r="W128" s="23">
        <v>0</v>
      </c>
      <c r="X128" s="23">
        <v>1524.08</v>
      </c>
      <c r="Y128" s="23">
        <v>315.60000000000002</v>
      </c>
      <c r="Z128" s="23">
        <v>0</v>
      </c>
      <c r="AA128" s="23">
        <v>0</v>
      </c>
      <c r="AB128" s="23">
        <v>5383.1400000000012</v>
      </c>
    </row>
    <row r="129" spans="1:28" x14ac:dyDescent="0.25">
      <c r="A129">
        <v>18303</v>
      </c>
      <c r="B129" t="str">
        <f t="shared" si="2"/>
        <v>18303</v>
      </c>
      <c r="C129" t="s">
        <v>1198</v>
      </c>
      <c r="D129">
        <v>179.46</v>
      </c>
      <c r="E129" t="s">
        <v>413</v>
      </c>
      <c r="K129" s="88" t="s">
        <v>119</v>
      </c>
      <c r="L129" s="23">
        <v>0</v>
      </c>
      <c r="M129" s="23">
        <v>711.4</v>
      </c>
      <c r="N129" s="23">
        <v>0</v>
      </c>
      <c r="O129" s="23">
        <v>2412</v>
      </c>
      <c r="P129" s="23">
        <v>0</v>
      </c>
      <c r="Q129" s="23">
        <v>770.6</v>
      </c>
      <c r="R129" s="23">
        <v>0</v>
      </c>
      <c r="S129" s="23">
        <v>1657.84</v>
      </c>
      <c r="T129" s="23">
        <v>0</v>
      </c>
      <c r="U129" s="23">
        <v>1626.01</v>
      </c>
      <c r="V129" s="23">
        <v>114.04</v>
      </c>
      <c r="W129" s="23">
        <v>0</v>
      </c>
      <c r="X129" s="23">
        <v>2799.84</v>
      </c>
      <c r="Y129" s="23">
        <v>636.01</v>
      </c>
      <c r="Z129" s="23">
        <v>0</v>
      </c>
      <c r="AA129" s="23">
        <v>0</v>
      </c>
      <c r="AB129" s="23">
        <v>10727.74</v>
      </c>
    </row>
    <row r="130" spans="1:28" x14ac:dyDescent="0.25">
      <c r="A130" s="34" t="s">
        <v>39</v>
      </c>
      <c r="B130" t="str">
        <f t="shared" si="2"/>
        <v>06119</v>
      </c>
      <c r="C130" t="s">
        <v>1193</v>
      </c>
      <c r="D130">
        <v>0</v>
      </c>
      <c r="E130" t="s">
        <v>335</v>
      </c>
      <c r="K130" s="88" t="s">
        <v>120</v>
      </c>
      <c r="L130" s="23">
        <v>0</v>
      </c>
      <c r="M130" s="23">
        <v>629.34</v>
      </c>
      <c r="N130" s="23">
        <v>0</v>
      </c>
      <c r="O130" s="23">
        <v>2152.23</v>
      </c>
      <c r="P130" s="23">
        <v>0</v>
      </c>
      <c r="Q130" s="23">
        <v>729.71</v>
      </c>
      <c r="R130" s="23">
        <v>0</v>
      </c>
      <c r="S130" s="23">
        <v>1407.15</v>
      </c>
      <c r="T130" s="23">
        <v>0</v>
      </c>
      <c r="U130" s="23">
        <v>1353.6</v>
      </c>
      <c r="V130" s="23">
        <v>335.02</v>
      </c>
      <c r="W130" s="23">
        <v>0</v>
      </c>
      <c r="X130" s="23">
        <v>2139.94</v>
      </c>
      <c r="Y130" s="23">
        <v>684.64</v>
      </c>
      <c r="Z130" s="23">
        <v>0</v>
      </c>
      <c r="AA130" s="23">
        <v>0</v>
      </c>
      <c r="AB130" s="23">
        <v>9431.630000000001</v>
      </c>
    </row>
    <row r="131" spans="1:28" x14ac:dyDescent="0.25">
      <c r="A131" s="34" t="s">
        <v>39</v>
      </c>
      <c r="B131" t="str">
        <f t="shared" ref="B131:B194" si="3">TEXT(A131,"00000")</f>
        <v>06119</v>
      </c>
      <c r="C131" t="s">
        <v>1194</v>
      </c>
      <c r="D131">
        <v>2386.91</v>
      </c>
      <c r="E131" t="s">
        <v>335</v>
      </c>
      <c r="K131" s="88" t="s">
        <v>652</v>
      </c>
      <c r="L131" s="23">
        <v>0</v>
      </c>
      <c r="M131" s="23">
        <v>58</v>
      </c>
      <c r="N131" s="23">
        <v>0</v>
      </c>
      <c r="O131" s="23">
        <v>162.19999999999999</v>
      </c>
      <c r="P131" s="23">
        <v>0</v>
      </c>
      <c r="Q131" s="23">
        <v>59.6</v>
      </c>
      <c r="R131" s="23">
        <v>0</v>
      </c>
      <c r="S131" s="23">
        <v>112.4</v>
      </c>
      <c r="T131" s="23">
        <v>0</v>
      </c>
      <c r="U131" s="23">
        <v>93.4</v>
      </c>
      <c r="V131" s="23">
        <v>0</v>
      </c>
      <c r="W131" s="23">
        <v>0</v>
      </c>
      <c r="X131" s="23">
        <v>22.3</v>
      </c>
      <c r="Y131" s="23">
        <v>0</v>
      </c>
      <c r="Z131" s="23">
        <v>0</v>
      </c>
      <c r="AA131" s="23">
        <v>0</v>
      </c>
      <c r="AB131" s="23">
        <v>507.90000000000003</v>
      </c>
    </row>
    <row r="132" spans="1:28" x14ac:dyDescent="0.25">
      <c r="A132" s="34" t="s">
        <v>39</v>
      </c>
      <c r="B132" t="str">
        <f t="shared" si="3"/>
        <v>06119</v>
      </c>
      <c r="C132" t="s">
        <v>1195</v>
      </c>
      <c r="D132">
        <v>0</v>
      </c>
      <c r="E132" t="s">
        <v>335</v>
      </c>
      <c r="K132" s="88" t="s">
        <v>121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0</v>
      </c>
      <c r="R132" s="23">
        <v>0</v>
      </c>
      <c r="S132" s="23">
        <v>11.6</v>
      </c>
      <c r="T132" s="23">
        <v>0</v>
      </c>
      <c r="U132" s="23">
        <v>22</v>
      </c>
      <c r="V132" s="23">
        <v>0.67</v>
      </c>
      <c r="W132" s="23">
        <v>0</v>
      </c>
      <c r="X132" s="23">
        <v>42.92</v>
      </c>
      <c r="Y132" s="23">
        <v>5.99</v>
      </c>
      <c r="Z132" s="23">
        <v>0</v>
      </c>
      <c r="AA132" s="23">
        <v>0</v>
      </c>
      <c r="AB132" s="23">
        <v>83.179999999999993</v>
      </c>
    </row>
    <row r="133" spans="1:28" x14ac:dyDescent="0.25">
      <c r="A133" s="34" t="s">
        <v>39</v>
      </c>
      <c r="B133" t="str">
        <f t="shared" si="3"/>
        <v>06119</v>
      </c>
      <c r="C133" t="s">
        <v>1197</v>
      </c>
      <c r="D133">
        <v>801.43</v>
      </c>
      <c r="E133" t="s">
        <v>335</v>
      </c>
      <c r="K133" s="88" t="s">
        <v>122</v>
      </c>
      <c r="L133" s="23">
        <v>0</v>
      </c>
      <c r="M133" s="23">
        <v>8</v>
      </c>
      <c r="N133" s="23">
        <v>0</v>
      </c>
      <c r="O133" s="23">
        <v>23.4</v>
      </c>
      <c r="P133" s="23">
        <v>0</v>
      </c>
      <c r="Q133" s="23">
        <v>9.8000000000000007</v>
      </c>
      <c r="R133" s="23">
        <v>0</v>
      </c>
      <c r="S133" s="23">
        <v>5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46.2</v>
      </c>
    </row>
    <row r="134" spans="1:28" x14ac:dyDescent="0.25">
      <c r="A134" s="34" t="s">
        <v>39</v>
      </c>
      <c r="B134" t="str">
        <f t="shared" si="3"/>
        <v>06119</v>
      </c>
      <c r="C134" t="s">
        <v>1202</v>
      </c>
      <c r="D134">
        <v>0</v>
      </c>
      <c r="E134" t="s">
        <v>335</v>
      </c>
      <c r="K134" s="88" t="s">
        <v>123</v>
      </c>
      <c r="L134" s="23">
        <v>0</v>
      </c>
      <c r="M134" s="23">
        <v>2</v>
      </c>
      <c r="N134" s="23">
        <v>0</v>
      </c>
      <c r="O134" s="23">
        <v>17.2</v>
      </c>
      <c r="P134" s="23">
        <v>0</v>
      </c>
      <c r="Q134" s="23">
        <v>6</v>
      </c>
      <c r="R134" s="23">
        <v>0</v>
      </c>
      <c r="S134" s="23">
        <v>13.6</v>
      </c>
      <c r="T134" s="23">
        <v>0</v>
      </c>
      <c r="U134" s="23">
        <v>12</v>
      </c>
      <c r="V134" s="23">
        <v>0</v>
      </c>
      <c r="W134" s="23">
        <v>0</v>
      </c>
      <c r="X134" s="23">
        <v>33.53</v>
      </c>
      <c r="Y134" s="23">
        <v>0</v>
      </c>
      <c r="Z134" s="23">
        <v>0</v>
      </c>
      <c r="AA134" s="23">
        <v>0</v>
      </c>
      <c r="AB134" s="23">
        <v>84.33</v>
      </c>
    </row>
    <row r="135" spans="1:28" x14ac:dyDescent="0.25">
      <c r="A135" s="34" t="s">
        <v>39</v>
      </c>
      <c r="B135" t="str">
        <f t="shared" si="3"/>
        <v>06119</v>
      </c>
      <c r="C135" t="s">
        <v>1206</v>
      </c>
      <c r="D135">
        <v>1588.19</v>
      </c>
      <c r="E135" t="s">
        <v>335</v>
      </c>
      <c r="K135" s="88" t="s">
        <v>124</v>
      </c>
      <c r="L135" s="23">
        <v>16.8</v>
      </c>
      <c r="M135" s="23">
        <v>18</v>
      </c>
      <c r="N135" s="23">
        <v>0</v>
      </c>
      <c r="O135" s="23">
        <v>64.83</v>
      </c>
      <c r="P135" s="23">
        <v>0</v>
      </c>
      <c r="Q135" s="23">
        <v>22</v>
      </c>
      <c r="R135" s="23">
        <v>0</v>
      </c>
      <c r="S135" s="23">
        <v>46.2</v>
      </c>
      <c r="T135" s="23">
        <v>0</v>
      </c>
      <c r="U135" s="23">
        <v>37.54</v>
      </c>
      <c r="V135" s="23">
        <v>9.8800000000000008</v>
      </c>
      <c r="W135" s="23">
        <v>0</v>
      </c>
      <c r="X135" s="23">
        <v>41.29</v>
      </c>
      <c r="Y135" s="23">
        <v>17.75</v>
      </c>
      <c r="Z135" s="23">
        <v>0</v>
      </c>
      <c r="AA135" s="23">
        <v>0</v>
      </c>
      <c r="AB135" s="23">
        <v>274.28999999999996</v>
      </c>
    </row>
    <row r="136" spans="1:28" x14ac:dyDescent="0.25">
      <c r="A136" s="34" t="s">
        <v>39</v>
      </c>
      <c r="B136" t="str">
        <f t="shared" si="3"/>
        <v>06119</v>
      </c>
      <c r="C136" t="s">
        <v>1199</v>
      </c>
      <c r="D136">
        <v>0</v>
      </c>
      <c r="E136" t="s">
        <v>335</v>
      </c>
      <c r="K136" s="88" t="s">
        <v>125</v>
      </c>
      <c r="L136" s="23">
        <v>35.200000000000003</v>
      </c>
      <c r="M136" s="23">
        <v>216.51</v>
      </c>
      <c r="N136" s="23">
        <v>0</v>
      </c>
      <c r="O136" s="23">
        <v>702.06</v>
      </c>
      <c r="P136" s="23">
        <v>0</v>
      </c>
      <c r="Q136" s="23">
        <v>254.83</v>
      </c>
      <c r="R136" s="23">
        <v>0</v>
      </c>
      <c r="S136" s="23">
        <v>478.6</v>
      </c>
      <c r="T136" s="23">
        <v>0</v>
      </c>
      <c r="U136" s="23">
        <v>512.99</v>
      </c>
      <c r="V136" s="23">
        <v>24.77</v>
      </c>
      <c r="W136" s="23">
        <v>0</v>
      </c>
      <c r="X136" s="23">
        <v>844.36</v>
      </c>
      <c r="Y136" s="23">
        <v>190.43</v>
      </c>
      <c r="Z136" s="23">
        <v>0</v>
      </c>
      <c r="AA136" s="23">
        <v>0</v>
      </c>
      <c r="AB136" s="23">
        <v>3259.7499999999995</v>
      </c>
    </row>
    <row r="137" spans="1:28" x14ac:dyDescent="0.25">
      <c r="A137" s="34" t="s">
        <v>39</v>
      </c>
      <c r="B137" t="str">
        <f t="shared" si="3"/>
        <v>06119</v>
      </c>
      <c r="C137" t="s">
        <v>1203</v>
      </c>
      <c r="D137">
        <v>1604.8</v>
      </c>
      <c r="E137" t="s">
        <v>335</v>
      </c>
      <c r="K137" s="88" t="s">
        <v>126</v>
      </c>
      <c r="L137" s="23">
        <v>18</v>
      </c>
      <c r="M137" s="23">
        <v>44</v>
      </c>
      <c r="N137" s="23">
        <v>0</v>
      </c>
      <c r="O137" s="23">
        <v>108</v>
      </c>
      <c r="P137" s="23">
        <v>0</v>
      </c>
      <c r="Q137" s="23">
        <v>48</v>
      </c>
      <c r="R137" s="23">
        <v>0</v>
      </c>
      <c r="S137" s="23">
        <v>72</v>
      </c>
      <c r="T137" s="23">
        <v>0</v>
      </c>
      <c r="U137" s="23">
        <v>91.69</v>
      </c>
      <c r="V137" s="23">
        <v>16.84</v>
      </c>
      <c r="W137" s="23">
        <v>0</v>
      </c>
      <c r="X137" s="23">
        <v>167.03</v>
      </c>
      <c r="Y137" s="23">
        <v>35.57</v>
      </c>
      <c r="Z137" s="23">
        <v>0</v>
      </c>
      <c r="AA137" s="23">
        <v>0</v>
      </c>
      <c r="AB137" s="23">
        <v>601.13</v>
      </c>
    </row>
    <row r="138" spans="1:28" x14ac:dyDescent="0.25">
      <c r="A138" s="34" t="s">
        <v>39</v>
      </c>
      <c r="B138" t="str">
        <f t="shared" si="3"/>
        <v>06119</v>
      </c>
      <c r="C138" t="s">
        <v>1200</v>
      </c>
      <c r="D138">
        <v>0</v>
      </c>
      <c r="E138" t="s">
        <v>335</v>
      </c>
      <c r="K138" s="88" t="s">
        <v>127</v>
      </c>
      <c r="L138" s="23">
        <v>48</v>
      </c>
      <c r="M138" s="23">
        <v>74.47</v>
      </c>
      <c r="N138" s="23">
        <v>0</v>
      </c>
      <c r="O138" s="23">
        <v>216.88</v>
      </c>
      <c r="P138" s="23">
        <v>0</v>
      </c>
      <c r="Q138" s="23">
        <v>60.65</v>
      </c>
      <c r="R138" s="23">
        <v>0</v>
      </c>
      <c r="S138" s="23">
        <v>109.12</v>
      </c>
      <c r="T138" s="23">
        <v>0</v>
      </c>
      <c r="U138" s="23">
        <v>144.62</v>
      </c>
      <c r="V138" s="23">
        <v>9.57</v>
      </c>
      <c r="W138" s="23">
        <v>0</v>
      </c>
      <c r="X138" s="23">
        <v>276.42</v>
      </c>
      <c r="Y138" s="23">
        <v>74.34</v>
      </c>
      <c r="Z138" s="23">
        <v>0</v>
      </c>
      <c r="AA138" s="23">
        <v>0</v>
      </c>
      <c r="AB138" s="23">
        <v>1014.07</v>
      </c>
    </row>
    <row r="139" spans="1:28" x14ac:dyDescent="0.25">
      <c r="A139" s="34" t="s">
        <v>39</v>
      </c>
      <c r="B139" t="str">
        <f t="shared" si="3"/>
        <v>06119</v>
      </c>
      <c r="C139" t="s">
        <v>1204</v>
      </c>
      <c r="D139">
        <v>3014.03</v>
      </c>
      <c r="E139" t="s">
        <v>335</v>
      </c>
      <c r="K139" s="88" t="s">
        <v>128</v>
      </c>
      <c r="L139" s="23">
        <v>0</v>
      </c>
      <c r="M139" s="23">
        <v>2.8</v>
      </c>
      <c r="N139" s="23">
        <v>0</v>
      </c>
      <c r="O139" s="23">
        <v>25.2</v>
      </c>
      <c r="P139" s="23">
        <v>0</v>
      </c>
      <c r="Q139" s="23">
        <v>9</v>
      </c>
      <c r="R139" s="23">
        <v>0</v>
      </c>
      <c r="S139" s="23">
        <v>15.2</v>
      </c>
      <c r="T139" s="23">
        <v>0</v>
      </c>
      <c r="U139" s="23">
        <v>10</v>
      </c>
      <c r="V139" s="23">
        <v>1.4</v>
      </c>
      <c r="W139" s="23">
        <v>0</v>
      </c>
      <c r="X139" s="23">
        <v>26.98</v>
      </c>
      <c r="Y139" s="23">
        <v>7.74</v>
      </c>
      <c r="Z139" s="23">
        <v>0</v>
      </c>
      <c r="AA139" s="23">
        <v>0</v>
      </c>
      <c r="AB139" s="23">
        <v>98.32</v>
      </c>
    </row>
    <row r="140" spans="1:28" x14ac:dyDescent="0.25">
      <c r="A140" s="34" t="s">
        <v>39</v>
      </c>
      <c r="B140" t="str">
        <f t="shared" si="3"/>
        <v>06119</v>
      </c>
      <c r="C140" t="s">
        <v>1207</v>
      </c>
      <c r="D140">
        <v>59.2</v>
      </c>
      <c r="E140" t="s">
        <v>335</v>
      </c>
      <c r="K140" s="88" t="s">
        <v>129</v>
      </c>
      <c r="L140" s="23">
        <v>0</v>
      </c>
      <c r="M140" s="23">
        <v>8.6</v>
      </c>
      <c r="N140" s="23">
        <v>0</v>
      </c>
      <c r="O140" s="23">
        <v>27.2</v>
      </c>
      <c r="P140" s="23">
        <v>0</v>
      </c>
      <c r="Q140" s="23">
        <v>3</v>
      </c>
      <c r="R140" s="23">
        <v>0</v>
      </c>
      <c r="S140" s="23">
        <v>17</v>
      </c>
      <c r="T140" s="23">
        <v>0</v>
      </c>
      <c r="U140" s="23">
        <v>20.8</v>
      </c>
      <c r="V140" s="23">
        <v>0</v>
      </c>
      <c r="W140" s="23">
        <v>0</v>
      </c>
      <c r="X140" s="23">
        <v>15.32</v>
      </c>
      <c r="Y140" s="23">
        <v>0</v>
      </c>
      <c r="Z140" s="23">
        <v>0</v>
      </c>
      <c r="AA140" s="23">
        <v>0</v>
      </c>
      <c r="AB140" s="23">
        <v>91.919999999999987</v>
      </c>
    </row>
    <row r="141" spans="1:28" x14ac:dyDescent="0.25">
      <c r="A141" s="34" t="s">
        <v>39</v>
      </c>
      <c r="B141" t="str">
        <f t="shared" si="3"/>
        <v>06119</v>
      </c>
      <c r="C141" t="s">
        <v>1208</v>
      </c>
      <c r="D141">
        <v>1023.36</v>
      </c>
      <c r="E141" t="s">
        <v>335</v>
      </c>
      <c r="K141" s="88" t="s">
        <v>130</v>
      </c>
      <c r="L141" s="23">
        <v>0</v>
      </c>
      <c r="M141" s="23">
        <v>10</v>
      </c>
      <c r="N141" s="23">
        <v>0</v>
      </c>
      <c r="O141" s="23">
        <v>33.200000000000003</v>
      </c>
      <c r="P141" s="23">
        <v>0</v>
      </c>
      <c r="Q141" s="23">
        <v>12</v>
      </c>
      <c r="R141" s="23">
        <v>0</v>
      </c>
      <c r="S141" s="23">
        <v>19</v>
      </c>
      <c r="T141" s="23">
        <v>0</v>
      </c>
      <c r="U141" s="23">
        <v>16.600000000000001</v>
      </c>
      <c r="V141" s="23">
        <v>0</v>
      </c>
      <c r="W141" s="23">
        <v>0</v>
      </c>
      <c r="X141" s="23">
        <v>0</v>
      </c>
      <c r="Y141" s="23">
        <v>0</v>
      </c>
      <c r="Z141" s="23">
        <v>0</v>
      </c>
      <c r="AA141" s="23">
        <v>0</v>
      </c>
      <c r="AB141" s="23">
        <v>90.800000000000011</v>
      </c>
    </row>
    <row r="142" spans="1:28" x14ac:dyDescent="0.25">
      <c r="A142" s="34" t="s">
        <v>39</v>
      </c>
      <c r="B142" t="str">
        <f t="shared" si="3"/>
        <v>06119</v>
      </c>
      <c r="C142" t="s">
        <v>1210</v>
      </c>
      <c r="D142">
        <v>0</v>
      </c>
      <c r="E142" t="s">
        <v>335</v>
      </c>
      <c r="K142" s="88" t="s">
        <v>131</v>
      </c>
      <c r="L142" s="23">
        <v>0</v>
      </c>
      <c r="M142" s="23">
        <v>14.2</v>
      </c>
      <c r="N142" s="23">
        <v>0</v>
      </c>
      <c r="O142" s="23">
        <v>56.4</v>
      </c>
      <c r="P142" s="23">
        <v>0</v>
      </c>
      <c r="Q142" s="23">
        <v>8.8000000000000007</v>
      </c>
      <c r="R142" s="23">
        <v>0</v>
      </c>
      <c r="S142" s="23">
        <v>28.6</v>
      </c>
      <c r="T142" s="23">
        <v>0</v>
      </c>
      <c r="U142" s="23">
        <v>28</v>
      </c>
      <c r="V142" s="23">
        <v>0</v>
      </c>
      <c r="W142" s="23">
        <v>0</v>
      </c>
      <c r="X142" s="23">
        <v>68.2</v>
      </c>
      <c r="Y142" s="23">
        <v>0.38</v>
      </c>
      <c r="Z142" s="23">
        <v>0</v>
      </c>
      <c r="AA142" s="23">
        <v>0</v>
      </c>
      <c r="AB142" s="23">
        <v>204.57999999999998</v>
      </c>
    </row>
    <row r="143" spans="1:28" x14ac:dyDescent="0.25">
      <c r="A143" s="34" t="s">
        <v>39</v>
      </c>
      <c r="B143" t="str">
        <f t="shared" si="3"/>
        <v>06119</v>
      </c>
      <c r="C143" t="s">
        <v>1212</v>
      </c>
      <c r="D143">
        <v>0</v>
      </c>
      <c r="E143" t="s">
        <v>335</v>
      </c>
      <c r="K143" s="88" t="s">
        <v>132</v>
      </c>
      <c r="L143" s="23">
        <v>0</v>
      </c>
      <c r="M143" s="23">
        <v>5.6</v>
      </c>
      <c r="N143" s="23">
        <v>0</v>
      </c>
      <c r="O143" s="23">
        <v>13.2</v>
      </c>
      <c r="P143" s="23">
        <v>0</v>
      </c>
      <c r="Q143" s="23">
        <v>2.6</v>
      </c>
      <c r="R143" s="23">
        <v>0</v>
      </c>
      <c r="S143" s="23">
        <v>8</v>
      </c>
      <c r="T143" s="23">
        <v>0</v>
      </c>
      <c r="U143" s="23">
        <v>4</v>
      </c>
      <c r="V143" s="23">
        <v>0</v>
      </c>
      <c r="W143" s="23">
        <v>0</v>
      </c>
      <c r="X143" s="23">
        <v>22</v>
      </c>
      <c r="Y143" s="23">
        <v>0</v>
      </c>
      <c r="Z143" s="23">
        <v>0</v>
      </c>
      <c r="AA143" s="23">
        <v>0</v>
      </c>
      <c r="AB143" s="23">
        <v>55.4</v>
      </c>
    </row>
    <row r="144" spans="1:28" x14ac:dyDescent="0.25">
      <c r="A144" s="34" t="s">
        <v>39</v>
      </c>
      <c r="B144" t="str">
        <f t="shared" si="3"/>
        <v>06119</v>
      </c>
      <c r="C144" t="s">
        <v>1216</v>
      </c>
      <c r="D144">
        <v>112.84</v>
      </c>
      <c r="E144" t="s">
        <v>335</v>
      </c>
      <c r="K144" s="88" t="s">
        <v>133</v>
      </c>
      <c r="L144" s="23">
        <v>0</v>
      </c>
      <c r="M144" s="23">
        <v>0</v>
      </c>
      <c r="N144" s="23">
        <v>0</v>
      </c>
      <c r="O144" s="23">
        <v>19.600000000000001</v>
      </c>
      <c r="P144" s="23">
        <v>0</v>
      </c>
      <c r="Q144" s="23">
        <v>5</v>
      </c>
      <c r="R144" s="23">
        <v>0</v>
      </c>
      <c r="S144" s="23">
        <v>15.2</v>
      </c>
      <c r="T144" s="23">
        <v>0</v>
      </c>
      <c r="U144" s="23">
        <v>13</v>
      </c>
      <c r="V144" s="23">
        <v>0</v>
      </c>
      <c r="W144" s="23">
        <v>0</v>
      </c>
      <c r="X144" s="23">
        <v>18.7</v>
      </c>
      <c r="Y144" s="23">
        <v>0</v>
      </c>
      <c r="Z144" s="23">
        <v>0</v>
      </c>
      <c r="AA144" s="23">
        <v>0</v>
      </c>
      <c r="AB144" s="23">
        <v>71.5</v>
      </c>
    </row>
    <row r="145" spans="1:28" x14ac:dyDescent="0.25">
      <c r="A145" s="34" t="s">
        <v>39</v>
      </c>
      <c r="B145" t="str">
        <f t="shared" si="3"/>
        <v>06119</v>
      </c>
      <c r="C145" t="s">
        <v>1198</v>
      </c>
      <c r="D145">
        <v>751.74</v>
      </c>
      <c r="E145" t="s">
        <v>335</v>
      </c>
      <c r="K145" s="88" t="s">
        <v>134</v>
      </c>
      <c r="L145" s="23">
        <v>0</v>
      </c>
      <c r="M145" s="23">
        <v>6</v>
      </c>
      <c r="N145" s="23">
        <v>0</v>
      </c>
      <c r="O145" s="23">
        <v>10</v>
      </c>
      <c r="P145" s="23">
        <v>0</v>
      </c>
      <c r="Q145" s="23">
        <v>2</v>
      </c>
      <c r="R145" s="23">
        <v>0</v>
      </c>
      <c r="S145" s="23">
        <v>7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25</v>
      </c>
    </row>
    <row r="146" spans="1:28" x14ac:dyDescent="0.25">
      <c r="A146">
        <v>17405</v>
      </c>
      <c r="B146" t="str">
        <f t="shared" si="3"/>
        <v>17405</v>
      </c>
      <c r="C146" t="s">
        <v>1193</v>
      </c>
      <c r="D146">
        <v>0</v>
      </c>
      <c r="E146" t="s">
        <v>400</v>
      </c>
      <c r="K146" s="88" t="s">
        <v>135</v>
      </c>
      <c r="L146" s="23">
        <v>0</v>
      </c>
      <c r="M146" s="23">
        <v>48.2</v>
      </c>
      <c r="N146" s="23">
        <v>0</v>
      </c>
      <c r="O146" s="23">
        <v>187.6</v>
      </c>
      <c r="P146" s="23">
        <v>0</v>
      </c>
      <c r="Q146" s="23">
        <v>65.400000000000006</v>
      </c>
      <c r="R146" s="23">
        <v>0</v>
      </c>
      <c r="S146" s="23">
        <v>109.41</v>
      </c>
      <c r="T146" s="23">
        <v>0</v>
      </c>
      <c r="U146" s="23">
        <v>144.87</v>
      </c>
      <c r="V146" s="23">
        <v>14.41</v>
      </c>
      <c r="W146" s="23">
        <v>0</v>
      </c>
      <c r="X146" s="23">
        <v>304.73</v>
      </c>
      <c r="Y146" s="23">
        <v>89.08</v>
      </c>
      <c r="Z146" s="23">
        <v>0</v>
      </c>
      <c r="AA146" s="23">
        <v>0</v>
      </c>
      <c r="AB146" s="23">
        <v>963.7</v>
      </c>
    </row>
    <row r="147" spans="1:28" x14ac:dyDescent="0.25">
      <c r="A147">
        <v>17405</v>
      </c>
      <c r="B147" t="str">
        <f t="shared" si="3"/>
        <v>17405</v>
      </c>
      <c r="C147" t="s">
        <v>1194</v>
      </c>
      <c r="D147">
        <v>3898.24</v>
      </c>
      <c r="E147" t="s">
        <v>400</v>
      </c>
      <c r="K147" s="88" t="s">
        <v>136</v>
      </c>
      <c r="L147" s="23">
        <v>0</v>
      </c>
      <c r="M147" s="23">
        <v>66.2</v>
      </c>
      <c r="N147" s="23">
        <v>0</v>
      </c>
      <c r="O147" s="23">
        <v>228.82</v>
      </c>
      <c r="P147" s="23">
        <v>0</v>
      </c>
      <c r="Q147" s="23">
        <v>54.36</v>
      </c>
      <c r="R147" s="23">
        <v>0</v>
      </c>
      <c r="S147" s="23">
        <v>163.4</v>
      </c>
      <c r="T147" s="23">
        <v>0</v>
      </c>
      <c r="U147" s="23">
        <v>166.78</v>
      </c>
      <c r="V147" s="23">
        <v>0</v>
      </c>
      <c r="W147" s="23">
        <v>0</v>
      </c>
      <c r="X147" s="23">
        <v>346.91</v>
      </c>
      <c r="Y147" s="23">
        <v>67.63</v>
      </c>
      <c r="Z147" s="23">
        <v>0</v>
      </c>
      <c r="AA147" s="23">
        <v>0</v>
      </c>
      <c r="AB147" s="23">
        <v>1094.0999999999999</v>
      </c>
    </row>
    <row r="148" spans="1:28" x14ac:dyDescent="0.25">
      <c r="A148">
        <v>17405</v>
      </c>
      <c r="B148" t="str">
        <f t="shared" si="3"/>
        <v>17405</v>
      </c>
      <c r="C148" t="s">
        <v>1195</v>
      </c>
      <c r="D148">
        <v>0</v>
      </c>
      <c r="E148" t="s">
        <v>400</v>
      </c>
      <c r="K148" s="88" t="s">
        <v>137</v>
      </c>
      <c r="L148" s="23">
        <v>9</v>
      </c>
      <c r="M148" s="23">
        <v>12</v>
      </c>
      <c r="N148" s="23">
        <v>0</v>
      </c>
      <c r="O148" s="23">
        <v>43.6</v>
      </c>
      <c r="P148" s="23">
        <v>0</v>
      </c>
      <c r="Q148" s="23">
        <v>9.6</v>
      </c>
      <c r="R148" s="23">
        <v>0</v>
      </c>
      <c r="S148" s="23">
        <v>34</v>
      </c>
      <c r="T148" s="23">
        <v>0</v>
      </c>
      <c r="U148" s="23">
        <v>40.6</v>
      </c>
      <c r="V148" s="23">
        <v>0</v>
      </c>
      <c r="W148" s="23">
        <v>0</v>
      </c>
      <c r="X148" s="23">
        <v>40.32</v>
      </c>
      <c r="Y148" s="23">
        <v>0</v>
      </c>
      <c r="Z148" s="23">
        <v>0</v>
      </c>
      <c r="AA148" s="23">
        <v>0</v>
      </c>
      <c r="AB148" s="23">
        <v>189.11999999999998</v>
      </c>
    </row>
    <row r="149" spans="1:28" x14ac:dyDescent="0.25">
      <c r="A149">
        <v>17405</v>
      </c>
      <c r="B149" t="str">
        <f t="shared" si="3"/>
        <v>17405</v>
      </c>
      <c r="C149" t="s">
        <v>1197</v>
      </c>
      <c r="D149">
        <v>1400.01</v>
      </c>
      <c r="E149" t="s">
        <v>400</v>
      </c>
      <c r="K149" s="88" t="s">
        <v>138</v>
      </c>
      <c r="L149" s="23">
        <v>0</v>
      </c>
      <c r="M149" s="23">
        <v>52.4</v>
      </c>
      <c r="N149" s="23">
        <v>0</v>
      </c>
      <c r="O149" s="23">
        <v>167</v>
      </c>
      <c r="P149" s="23">
        <v>0</v>
      </c>
      <c r="Q149" s="23">
        <v>55.2</v>
      </c>
      <c r="R149" s="23">
        <v>0</v>
      </c>
      <c r="S149" s="23">
        <v>122</v>
      </c>
      <c r="T149" s="23">
        <v>0</v>
      </c>
      <c r="U149" s="23">
        <v>132.56</v>
      </c>
      <c r="V149" s="23">
        <v>41.33</v>
      </c>
      <c r="W149" s="23">
        <v>0</v>
      </c>
      <c r="X149" s="23">
        <v>234.75</v>
      </c>
      <c r="Y149" s="23">
        <v>125.24</v>
      </c>
      <c r="Z149" s="23">
        <v>0</v>
      </c>
      <c r="AA149" s="23">
        <v>0</v>
      </c>
      <c r="AB149" s="23">
        <v>930.48000000000013</v>
      </c>
    </row>
    <row r="150" spans="1:28" x14ac:dyDescent="0.25">
      <c r="A150">
        <v>17405</v>
      </c>
      <c r="B150" t="str">
        <f t="shared" si="3"/>
        <v>17405</v>
      </c>
      <c r="C150" t="s">
        <v>1202</v>
      </c>
      <c r="D150">
        <v>0</v>
      </c>
      <c r="E150" t="s">
        <v>400</v>
      </c>
      <c r="K150" s="88" t="s">
        <v>139</v>
      </c>
      <c r="L150" s="23">
        <v>3</v>
      </c>
      <c r="M150" s="23">
        <v>7</v>
      </c>
      <c r="N150" s="23">
        <v>0</v>
      </c>
      <c r="O150" s="23">
        <v>23.8</v>
      </c>
      <c r="P150" s="23">
        <v>0</v>
      </c>
      <c r="Q150" s="23">
        <v>8</v>
      </c>
      <c r="R150" s="23">
        <v>0</v>
      </c>
      <c r="S150" s="23">
        <v>11.4</v>
      </c>
      <c r="T150" s="23">
        <v>0</v>
      </c>
      <c r="U150" s="23">
        <v>0</v>
      </c>
      <c r="V150" s="23">
        <v>0</v>
      </c>
      <c r="W150" s="23">
        <v>0</v>
      </c>
      <c r="X150" s="23">
        <v>0</v>
      </c>
      <c r="Y150" s="23">
        <v>0</v>
      </c>
      <c r="Z150" s="23">
        <v>0</v>
      </c>
      <c r="AA150" s="23">
        <v>0</v>
      </c>
      <c r="AB150" s="23">
        <v>53.199999999999996</v>
      </c>
    </row>
    <row r="151" spans="1:28" x14ac:dyDescent="0.25">
      <c r="A151">
        <v>17405</v>
      </c>
      <c r="B151" t="str">
        <f t="shared" si="3"/>
        <v>17405</v>
      </c>
      <c r="C151" t="s">
        <v>1206</v>
      </c>
      <c r="D151">
        <v>2827.96</v>
      </c>
      <c r="E151" t="s">
        <v>400</v>
      </c>
      <c r="K151" s="88" t="s">
        <v>140</v>
      </c>
      <c r="L151" s="23">
        <v>27</v>
      </c>
      <c r="M151" s="23">
        <v>32.200000000000003</v>
      </c>
      <c r="N151" s="23">
        <v>0</v>
      </c>
      <c r="O151" s="23">
        <v>143.80000000000001</v>
      </c>
      <c r="P151" s="23">
        <v>0</v>
      </c>
      <c r="Q151" s="23">
        <v>45</v>
      </c>
      <c r="R151" s="23">
        <v>0</v>
      </c>
      <c r="S151" s="23">
        <v>99</v>
      </c>
      <c r="T151" s="23">
        <v>0</v>
      </c>
      <c r="U151" s="23">
        <v>97</v>
      </c>
      <c r="V151" s="23">
        <v>16.18</v>
      </c>
      <c r="W151" s="23">
        <v>0</v>
      </c>
      <c r="X151" s="23">
        <v>167.21</v>
      </c>
      <c r="Y151" s="23">
        <v>39.5</v>
      </c>
      <c r="Z151" s="23">
        <v>0</v>
      </c>
      <c r="AA151" s="23">
        <v>0</v>
      </c>
      <c r="AB151" s="23">
        <v>666.89</v>
      </c>
    </row>
    <row r="152" spans="1:28" x14ac:dyDescent="0.25">
      <c r="A152">
        <v>17405</v>
      </c>
      <c r="B152" t="str">
        <f t="shared" si="3"/>
        <v>17405</v>
      </c>
      <c r="C152" t="s">
        <v>1199</v>
      </c>
      <c r="D152">
        <v>0</v>
      </c>
      <c r="E152" t="s">
        <v>400</v>
      </c>
      <c r="K152" s="88" t="s">
        <v>141</v>
      </c>
      <c r="L152" s="23">
        <v>20</v>
      </c>
      <c r="M152" s="23">
        <v>30</v>
      </c>
      <c r="N152" s="23">
        <v>0</v>
      </c>
      <c r="O152" s="23">
        <v>89.7</v>
      </c>
      <c r="P152" s="23">
        <v>0</v>
      </c>
      <c r="Q152" s="23">
        <v>33.4</v>
      </c>
      <c r="R152" s="23">
        <v>0</v>
      </c>
      <c r="S152" s="23">
        <v>63.8</v>
      </c>
      <c r="T152" s="23">
        <v>0</v>
      </c>
      <c r="U152" s="23">
        <v>56.43</v>
      </c>
      <c r="V152" s="23">
        <v>42.37</v>
      </c>
      <c r="W152" s="23">
        <v>0</v>
      </c>
      <c r="X152" s="23">
        <v>124.72</v>
      </c>
      <c r="Y152" s="23">
        <v>98.81</v>
      </c>
      <c r="Z152" s="23">
        <v>0</v>
      </c>
      <c r="AA152" s="23">
        <v>0</v>
      </c>
      <c r="AB152" s="23">
        <v>559.23</v>
      </c>
    </row>
    <row r="153" spans="1:28" x14ac:dyDescent="0.25">
      <c r="A153">
        <v>17405</v>
      </c>
      <c r="B153" t="str">
        <f t="shared" si="3"/>
        <v>17405</v>
      </c>
      <c r="C153" t="s">
        <v>1203</v>
      </c>
      <c r="D153">
        <v>3002.68</v>
      </c>
      <c r="E153" t="s">
        <v>400</v>
      </c>
      <c r="K153" s="88" t="s">
        <v>142</v>
      </c>
      <c r="L153" s="23">
        <v>0</v>
      </c>
      <c r="M153" s="23">
        <v>38.200000000000003</v>
      </c>
      <c r="N153" s="23">
        <v>0</v>
      </c>
      <c r="O153" s="23">
        <v>124.86</v>
      </c>
      <c r="P153" s="23">
        <v>0</v>
      </c>
      <c r="Q153" s="23">
        <v>39.43</v>
      </c>
      <c r="R153" s="23">
        <v>0</v>
      </c>
      <c r="S153" s="23">
        <v>89.6</v>
      </c>
      <c r="T153" s="23">
        <v>0</v>
      </c>
      <c r="U153" s="23">
        <v>95.66</v>
      </c>
      <c r="V153" s="23">
        <v>8.6999999999999993</v>
      </c>
      <c r="W153" s="23">
        <v>0</v>
      </c>
      <c r="X153" s="23">
        <v>217.91</v>
      </c>
      <c r="Y153" s="23">
        <v>65.849999999999994</v>
      </c>
      <c r="Z153" s="23">
        <v>0</v>
      </c>
      <c r="AA153" s="23">
        <v>0</v>
      </c>
      <c r="AB153" s="23">
        <v>680.21</v>
      </c>
    </row>
    <row r="154" spans="1:28" x14ac:dyDescent="0.25">
      <c r="A154">
        <v>17405</v>
      </c>
      <c r="B154" t="str">
        <f t="shared" si="3"/>
        <v>17405</v>
      </c>
      <c r="C154" t="s">
        <v>1200</v>
      </c>
      <c r="D154">
        <v>0</v>
      </c>
      <c r="E154" t="s">
        <v>400</v>
      </c>
      <c r="K154" s="88" t="s">
        <v>143</v>
      </c>
      <c r="L154" s="23">
        <v>34.6</v>
      </c>
      <c r="M154" s="23">
        <v>69</v>
      </c>
      <c r="N154" s="23">
        <v>0</v>
      </c>
      <c r="O154" s="23">
        <v>169.8</v>
      </c>
      <c r="P154" s="23">
        <v>0</v>
      </c>
      <c r="Q154" s="23">
        <v>58</v>
      </c>
      <c r="R154" s="23">
        <v>0</v>
      </c>
      <c r="S154" s="23">
        <v>104.2</v>
      </c>
      <c r="T154" s="23">
        <v>0</v>
      </c>
      <c r="U154" s="23">
        <v>109.33</v>
      </c>
      <c r="V154" s="23">
        <v>7.88</v>
      </c>
      <c r="W154" s="23">
        <v>0</v>
      </c>
      <c r="X154" s="23">
        <v>185.15</v>
      </c>
      <c r="Y154" s="23">
        <v>57.36</v>
      </c>
      <c r="Z154" s="23">
        <v>0</v>
      </c>
      <c r="AA154" s="23">
        <v>0</v>
      </c>
      <c r="AB154" s="23">
        <v>795.31999999999994</v>
      </c>
    </row>
    <row r="155" spans="1:28" x14ac:dyDescent="0.25">
      <c r="A155">
        <v>17405</v>
      </c>
      <c r="B155" t="str">
        <f t="shared" si="3"/>
        <v>17405</v>
      </c>
      <c r="C155" t="s">
        <v>1204</v>
      </c>
      <c r="D155">
        <v>6394.97</v>
      </c>
      <c r="E155" t="s">
        <v>400</v>
      </c>
      <c r="K155" s="88" t="s">
        <v>144</v>
      </c>
      <c r="L155" s="23">
        <v>3.2</v>
      </c>
      <c r="M155" s="23">
        <v>9.6</v>
      </c>
      <c r="N155" s="23">
        <v>0</v>
      </c>
      <c r="O155" s="23">
        <v>27.44</v>
      </c>
      <c r="P155" s="23">
        <v>0</v>
      </c>
      <c r="Q155" s="23">
        <v>6</v>
      </c>
      <c r="R155" s="23">
        <v>0</v>
      </c>
      <c r="S155" s="23">
        <v>16</v>
      </c>
      <c r="T155" s="23">
        <v>0</v>
      </c>
      <c r="U155" s="23">
        <v>12.28</v>
      </c>
      <c r="V155" s="23">
        <v>1.34</v>
      </c>
      <c r="W155" s="23">
        <v>0</v>
      </c>
      <c r="X155" s="23">
        <v>0</v>
      </c>
      <c r="Y155" s="23">
        <v>0</v>
      </c>
      <c r="Z155" s="23">
        <v>0</v>
      </c>
      <c r="AA155" s="23">
        <v>0</v>
      </c>
      <c r="AB155" s="23">
        <v>75.86</v>
      </c>
    </row>
    <row r="156" spans="1:28" x14ac:dyDescent="0.25">
      <c r="A156">
        <v>17405</v>
      </c>
      <c r="B156" t="str">
        <f t="shared" si="3"/>
        <v>17405</v>
      </c>
      <c r="C156" t="s">
        <v>1207</v>
      </c>
      <c r="D156">
        <v>214.31</v>
      </c>
      <c r="E156" t="s">
        <v>400</v>
      </c>
      <c r="K156" s="88" t="s">
        <v>145</v>
      </c>
      <c r="L156" s="23">
        <v>0</v>
      </c>
      <c r="M156" s="23">
        <v>84.4</v>
      </c>
      <c r="N156" s="23">
        <v>0</v>
      </c>
      <c r="O156" s="23">
        <v>219.4</v>
      </c>
      <c r="P156" s="23">
        <v>0</v>
      </c>
      <c r="Q156" s="23">
        <v>65.2</v>
      </c>
      <c r="R156" s="23">
        <v>0</v>
      </c>
      <c r="S156" s="23">
        <v>136</v>
      </c>
      <c r="T156" s="23">
        <v>0</v>
      </c>
      <c r="U156" s="23">
        <v>119.6</v>
      </c>
      <c r="V156" s="23">
        <v>27.97</v>
      </c>
      <c r="W156" s="23">
        <v>0</v>
      </c>
      <c r="X156" s="23">
        <v>217.35</v>
      </c>
      <c r="Y156" s="23">
        <v>64.69</v>
      </c>
      <c r="Z156" s="23">
        <v>0</v>
      </c>
      <c r="AA156" s="23">
        <v>0</v>
      </c>
      <c r="AB156" s="23">
        <v>934.61000000000013</v>
      </c>
    </row>
    <row r="157" spans="1:28" x14ac:dyDescent="0.25">
      <c r="A157">
        <v>17405</v>
      </c>
      <c r="B157" t="str">
        <f t="shared" si="3"/>
        <v>17405</v>
      </c>
      <c r="C157" t="s">
        <v>1208</v>
      </c>
      <c r="D157">
        <v>829.28</v>
      </c>
      <c r="E157" t="s">
        <v>400</v>
      </c>
      <c r="K157" s="88" t="s">
        <v>146</v>
      </c>
      <c r="L157" s="23">
        <v>18</v>
      </c>
      <c r="M157" s="23">
        <v>70.7</v>
      </c>
      <c r="N157" s="23">
        <v>0</v>
      </c>
      <c r="O157" s="23">
        <v>185.1</v>
      </c>
      <c r="P157" s="23">
        <v>0</v>
      </c>
      <c r="Q157" s="23">
        <v>59.2</v>
      </c>
      <c r="R157" s="23">
        <v>0</v>
      </c>
      <c r="S157" s="23">
        <v>127.96</v>
      </c>
      <c r="T157" s="23">
        <v>0</v>
      </c>
      <c r="U157" s="23">
        <v>132.38</v>
      </c>
      <c r="V157" s="23">
        <v>17.25</v>
      </c>
      <c r="W157" s="23">
        <v>0</v>
      </c>
      <c r="X157" s="23">
        <v>235.52</v>
      </c>
      <c r="Y157" s="23">
        <v>95.83</v>
      </c>
      <c r="Z157" s="23">
        <v>0</v>
      </c>
      <c r="AA157" s="23">
        <v>0</v>
      </c>
      <c r="AB157" s="23">
        <v>941.93999999999994</v>
      </c>
    </row>
    <row r="158" spans="1:28" x14ac:dyDescent="0.25">
      <c r="A158">
        <v>17405</v>
      </c>
      <c r="B158" t="str">
        <f t="shared" si="3"/>
        <v>17405</v>
      </c>
      <c r="C158" t="s">
        <v>1210</v>
      </c>
      <c r="D158">
        <v>0</v>
      </c>
      <c r="E158" t="s">
        <v>400</v>
      </c>
      <c r="K158" s="88" t="s">
        <v>147</v>
      </c>
      <c r="L158" s="23">
        <v>18.399999999999999</v>
      </c>
      <c r="M158" s="23">
        <v>20</v>
      </c>
      <c r="N158" s="23">
        <v>0</v>
      </c>
      <c r="O158" s="23">
        <v>50.8</v>
      </c>
      <c r="P158" s="23">
        <v>0</v>
      </c>
      <c r="Q158" s="23">
        <v>23.4</v>
      </c>
      <c r="R158" s="23">
        <v>0</v>
      </c>
      <c r="S158" s="23">
        <v>53.8</v>
      </c>
      <c r="T158" s="23">
        <v>0</v>
      </c>
      <c r="U158" s="23">
        <v>42.13</v>
      </c>
      <c r="V158" s="23">
        <v>0</v>
      </c>
      <c r="W158" s="23">
        <v>0</v>
      </c>
      <c r="X158" s="23">
        <v>70.78</v>
      </c>
      <c r="Y158" s="23">
        <v>12.43</v>
      </c>
      <c r="Z158" s="23">
        <v>0</v>
      </c>
      <c r="AA158" s="23">
        <v>0</v>
      </c>
      <c r="AB158" s="23">
        <v>291.73999999999995</v>
      </c>
    </row>
    <row r="159" spans="1:28" x14ac:dyDescent="0.25">
      <c r="A159">
        <v>17405</v>
      </c>
      <c r="B159" t="str">
        <f t="shared" si="3"/>
        <v>17405</v>
      </c>
      <c r="C159" t="s">
        <v>1212</v>
      </c>
      <c r="D159">
        <v>0</v>
      </c>
      <c r="E159" t="s">
        <v>400</v>
      </c>
      <c r="K159" s="88" t="s">
        <v>148</v>
      </c>
      <c r="L159" s="23">
        <v>0</v>
      </c>
      <c r="M159" s="23">
        <v>186.14</v>
      </c>
      <c r="N159" s="23">
        <v>0</v>
      </c>
      <c r="O159" s="23">
        <v>634.6</v>
      </c>
      <c r="P159" s="23">
        <v>0</v>
      </c>
      <c r="Q159" s="23">
        <v>203.52</v>
      </c>
      <c r="R159" s="23">
        <v>0</v>
      </c>
      <c r="S159" s="23">
        <v>453.34</v>
      </c>
      <c r="T159" s="23">
        <v>0</v>
      </c>
      <c r="U159" s="23">
        <v>466.36</v>
      </c>
      <c r="V159" s="23">
        <v>0</v>
      </c>
      <c r="W159" s="23">
        <v>0</v>
      </c>
      <c r="X159" s="23">
        <v>888.16</v>
      </c>
      <c r="Y159" s="23">
        <v>228.96</v>
      </c>
      <c r="Z159" s="23">
        <v>0</v>
      </c>
      <c r="AA159" s="23">
        <v>0</v>
      </c>
      <c r="AB159" s="23">
        <v>3061.08</v>
      </c>
    </row>
    <row r="160" spans="1:28" x14ac:dyDescent="0.25">
      <c r="A160">
        <v>17405</v>
      </c>
      <c r="B160" t="str">
        <f t="shared" si="3"/>
        <v>17405</v>
      </c>
      <c r="C160" t="s">
        <v>1216</v>
      </c>
      <c r="D160">
        <v>0</v>
      </c>
      <c r="E160" t="s">
        <v>400</v>
      </c>
      <c r="K160" s="88" t="s">
        <v>149</v>
      </c>
      <c r="L160" s="23">
        <v>0</v>
      </c>
      <c r="M160" s="23">
        <v>26.75</v>
      </c>
      <c r="N160" s="23">
        <v>0</v>
      </c>
      <c r="O160" s="23">
        <v>89.07</v>
      </c>
      <c r="P160" s="23">
        <v>0</v>
      </c>
      <c r="Q160" s="23">
        <v>24</v>
      </c>
      <c r="R160" s="23">
        <v>0</v>
      </c>
      <c r="S160" s="23">
        <v>64.52</v>
      </c>
      <c r="T160" s="23">
        <v>0</v>
      </c>
      <c r="U160" s="23">
        <v>54.2</v>
      </c>
      <c r="V160" s="23">
        <v>6.39</v>
      </c>
      <c r="W160" s="23">
        <v>0</v>
      </c>
      <c r="X160" s="23">
        <v>59.16</v>
      </c>
      <c r="Y160" s="23">
        <v>14.52</v>
      </c>
      <c r="Z160" s="23">
        <v>0</v>
      </c>
      <c r="AA160" s="23">
        <v>0</v>
      </c>
      <c r="AB160" s="23">
        <v>338.6099999999999</v>
      </c>
    </row>
    <row r="161" spans="1:28" x14ac:dyDescent="0.25">
      <c r="A161">
        <v>17405</v>
      </c>
      <c r="B161" t="str">
        <f t="shared" si="3"/>
        <v>17405</v>
      </c>
      <c r="C161" t="s">
        <v>1198</v>
      </c>
      <c r="D161">
        <v>1177.6600000000001</v>
      </c>
      <c r="E161" t="s">
        <v>400</v>
      </c>
      <c r="K161" s="88" t="s">
        <v>150</v>
      </c>
      <c r="L161" s="23">
        <v>0</v>
      </c>
      <c r="M161" s="23">
        <v>215.6</v>
      </c>
      <c r="N161" s="23">
        <v>0</v>
      </c>
      <c r="O161" s="23">
        <v>770.8</v>
      </c>
      <c r="P161" s="23">
        <v>0</v>
      </c>
      <c r="Q161" s="23">
        <v>240.8</v>
      </c>
      <c r="R161" s="23">
        <v>0</v>
      </c>
      <c r="S161" s="23">
        <v>503.63</v>
      </c>
      <c r="T161" s="23">
        <v>0</v>
      </c>
      <c r="U161" s="23">
        <v>472.49</v>
      </c>
      <c r="V161" s="23">
        <v>96.51</v>
      </c>
      <c r="W161" s="23">
        <v>0</v>
      </c>
      <c r="X161" s="23">
        <v>829.11</v>
      </c>
      <c r="Y161" s="23">
        <v>282.98</v>
      </c>
      <c r="Z161" s="23">
        <v>0</v>
      </c>
      <c r="AA161" s="23">
        <v>0</v>
      </c>
      <c r="AB161" s="23">
        <v>3411.92</v>
      </c>
    </row>
    <row r="162" spans="1:28" x14ac:dyDescent="0.25">
      <c r="A162">
        <v>37501</v>
      </c>
      <c r="B162" t="str">
        <f t="shared" si="3"/>
        <v>37501</v>
      </c>
      <c r="C162" t="s">
        <v>1193</v>
      </c>
      <c r="D162">
        <v>0</v>
      </c>
      <c r="E162" t="s">
        <v>564</v>
      </c>
      <c r="K162" s="88" t="s">
        <v>151</v>
      </c>
      <c r="L162" s="23">
        <v>0</v>
      </c>
      <c r="M162" s="23">
        <v>5.2</v>
      </c>
      <c r="N162" s="23">
        <v>0</v>
      </c>
      <c r="O162" s="23">
        <v>16.2</v>
      </c>
      <c r="P162" s="23">
        <v>0</v>
      </c>
      <c r="Q162" s="23">
        <v>4.5999999999999996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21</v>
      </c>
      <c r="Y162" s="23">
        <v>3.31</v>
      </c>
      <c r="Z162" s="23">
        <v>0</v>
      </c>
      <c r="AA162" s="23">
        <v>0</v>
      </c>
      <c r="AB162" s="23">
        <v>50.31</v>
      </c>
    </row>
    <row r="163" spans="1:28" x14ac:dyDescent="0.25">
      <c r="A163">
        <v>37501</v>
      </c>
      <c r="B163" t="str">
        <f t="shared" si="3"/>
        <v>37501</v>
      </c>
      <c r="C163" t="s">
        <v>1194</v>
      </c>
      <c r="D163">
        <v>2313.12</v>
      </c>
      <c r="E163" t="s">
        <v>564</v>
      </c>
      <c r="K163" s="88" t="s">
        <v>152</v>
      </c>
      <c r="L163" s="23">
        <v>16</v>
      </c>
      <c r="M163" s="23">
        <v>37.799999999999997</v>
      </c>
      <c r="N163" s="23">
        <v>0</v>
      </c>
      <c r="O163" s="23">
        <v>126.97</v>
      </c>
      <c r="P163" s="23">
        <v>0</v>
      </c>
      <c r="Q163" s="23">
        <v>45.6</v>
      </c>
      <c r="R163" s="23">
        <v>0</v>
      </c>
      <c r="S163" s="23">
        <v>115.86</v>
      </c>
      <c r="T163" s="23">
        <v>0</v>
      </c>
      <c r="U163" s="23">
        <v>120.26</v>
      </c>
      <c r="V163" s="23">
        <v>13.68</v>
      </c>
      <c r="W163" s="23">
        <v>0</v>
      </c>
      <c r="X163" s="23">
        <v>176.06</v>
      </c>
      <c r="Y163" s="23">
        <v>32.36</v>
      </c>
      <c r="Z163" s="23">
        <v>0</v>
      </c>
      <c r="AA163" s="23">
        <v>0</v>
      </c>
      <c r="AB163" s="23">
        <v>684.59</v>
      </c>
    </row>
    <row r="164" spans="1:28" x14ac:dyDescent="0.25">
      <c r="A164">
        <v>37501</v>
      </c>
      <c r="B164" t="str">
        <f t="shared" si="3"/>
        <v>37501</v>
      </c>
      <c r="C164" t="s">
        <v>1195</v>
      </c>
      <c r="D164">
        <v>0</v>
      </c>
      <c r="E164" t="s">
        <v>564</v>
      </c>
      <c r="K164" s="88" t="s">
        <v>153</v>
      </c>
      <c r="L164" s="23">
        <v>0</v>
      </c>
      <c r="M164" s="23">
        <v>5</v>
      </c>
      <c r="N164" s="23">
        <v>0</v>
      </c>
      <c r="O164" s="23">
        <v>24.8</v>
      </c>
      <c r="P164" s="23">
        <v>0</v>
      </c>
      <c r="Q164" s="23">
        <v>8</v>
      </c>
      <c r="R164" s="23">
        <v>0</v>
      </c>
      <c r="S164" s="23">
        <v>27.05</v>
      </c>
      <c r="T164" s="23">
        <v>0</v>
      </c>
      <c r="U164" s="23">
        <v>15</v>
      </c>
      <c r="V164" s="23">
        <v>0</v>
      </c>
      <c r="W164" s="23">
        <v>0</v>
      </c>
      <c r="X164" s="23">
        <v>24.56</v>
      </c>
      <c r="Y164" s="23">
        <v>5.57</v>
      </c>
      <c r="Z164" s="23">
        <v>0</v>
      </c>
      <c r="AA164" s="23">
        <v>0</v>
      </c>
      <c r="AB164" s="23">
        <v>109.97999999999999</v>
      </c>
    </row>
    <row r="165" spans="1:28" x14ac:dyDescent="0.25">
      <c r="A165">
        <v>37501</v>
      </c>
      <c r="B165" t="str">
        <f t="shared" si="3"/>
        <v>37501</v>
      </c>
      <c r="C165" t="s">
        <v>1197</v>
      </c>
      <c r="D165">
        <v>795.18</v>
      </c>
      <c r="E165" t="s">
        <v>564</v>
      </c>
      <c r="K165" s="88" t="s">
        <v>154</v>
      </c>
      <c r="L165" s="23">
        <v>0</v>
      </c>
      <c r="M165" s="23">
        <v>7</v>
      </c>
      <c r="N165" s="23">
        <v>0</v>
      </c>
      <c r="O165" s="23">
        <v>20.399999999999999</v>
      </c>
      <c r="P165" s="23">
        <v>0</v>
      </c>
      <c r="Q165" s="23">
        <v>6.8</v>
      </c>
      <c r="R165" s="23">
        <v>0</v>
      </c>
      <c r="S165" s="23">
        <v>4.8</v>
      </c>
      <c r="T165" s="23">
        <v>0</v>
      </c>
      <c r="U165" s="23">
        <v>12.12</v>
      </c>
      <c r="V165" s="23">
        <v>0.95</v>
      </c>
      <c r="W165" s="23">
        <v>0</v>
      </c>
      <c r="X165" s="23">
        <v>20.149999999999999</v>
      </c>
      <c r="Y165" s="23">
        <v>3.45</v>
      </c>
      <c r="Z165" s="23">
        <v>0</v>
      </c>
      <c r="AA165" s="23">
        <v>0</v>
      </c>
      <c r="AB165" s="23">
        <v>75.67</v>
      </c>
    </row>
    <row r="166" spans="1:28" x14ac:dyDescent="0.25">
      <c r="A166">
        <v>37501</v>
      </c>
      <c r="B166" t="str">
        <f t="shared" si="3"/>
        <v>37501</v>
      </c>
      <c r="C166" t="s">
        <v>1202</v>
      </c>
      <c r="D166">
        <v>0</v>
      </c>
      <c r="E166" t="s">
        <v>564</v>
      </c>
      <c r="K166" s="88" t="s">
        <v>155</v>
      </c>
      <c r="L166" s="23">
        <v>9.6</v>
      </c>
      <c r="M166" s="23">
        <v>13.71</v>
      </c>
      <c r="N166" s="23">
        <v>0</v>
      </c>
      <c r="O166" s="23">
        <v>49.2</v>
      </c>
      <c r="P166" s="23">
        <v>0</v>
      </c>
      <c r="Q166" s="23">
        <v>10.6</v>
      </c>
      <c r="R166" s="23">
        <v>0</v>
      </c>
      <c r="S166" s="23">
        <v>35</v>
      </c>
      <c r="T166" s="23">
        <v>0</v>
      </c>
      <c r="U166" s="23">
        <v>32.4</v>
      </c>
      <c r="V166" s="23">
        <v>1.79</v>
      </c>
      <c r="W166" s="23">
        <v>0</v>
      </c>
      <c r="X166" s="23">
        <v>63.74</v>
      </c>
      <c r="Y166" s="23">
        <v>12.22</v>
      </c>
      <c r="Z166" s="23">
        <v>0</v>
      </c>
      <c r="AA166" s="23">
        <v>0</v>
      </c>
      <c r="AB166" s="23">
        <v>228.26</v>
      </c>
    </row>
    <row r="167" spans="1:28" x14ac:dyDescent="0.25">
      <c r="A167">
        <v>37501</v>
      </c>
      <c r="B167" t="str">
        <f t="shared" si="3"/>
        <v>37501</v>
      </c>
      <c r="C167" t="s">
        <v>1206</v>
      </c>
      <c r="D167">
        <v>1544.22</v>
      </c>
      <c r="E167" t="s">
        <v>564</v>
      </c>
      <c r="K167" s="88" t="s">
        <v>156</v>
      </c>
      <c r="L167" s="23">
        <v>15</v>
      </c>
      <c r="M167" s="23">
        <v>15.4</v>
      </c>
      <c r="N167" s="23">
        <v>0</v>
      </c>
      <c r="O167" s="23">
        <v>46.8</v>
      </c>
      <c r="P167" s="23">
        <v>0</v>
      </c>
      <c r="Q167" s="23">
        <v>10.4</v>
      </c>
      <c r="R167" s="23">
        <v>0</v>
      </c>
      <c r="S167" s="23">
        <v>29.6</v>
      </c>
      <c r="T167" s="23">
        <v>0</v>
      </c>
      <c r="U167" s="23">
        <v>36.79</v>
      </c>
      <c r="V167" s="23">
        <v>2.44</v>
      </c>
      <c r="W167" s="23">
        <v>0</v>
      </c>
      <c r="X167" s="23">
        <v>66.73</v>
      </c>
      <c r="Y167" s="23">
        <v>14.4</v>
      </c>
      <c r="Z167" s="23">
        <v>0</v>
      </c>
      <c r="AA167" s="23">
        <v>0</v>
      </c>
      <c r="AB167" s="23">
        <v>237.55999999999997</v>
      </c>
    </row>
    <row r="168" spans="1:28" x14ac:dyDescent="0.25">
      <c r="A168">
        <v>37501</v>
      </c>
      <c r="B168" t="str">
        <f t="shared" si="3"/>
        <v>37501</v>
      </c>
      <c r="C168" t="s">
        <v>1199</v>
      </c>
      <c r="D168">
        <v>0</v>
      </c>
      <c r="E168" t="s">
        <v>564</v>
      </c>
      <c r="K168" s="88" t="s">
        <v>157</v>
      </c>
      <c r="L168" s="23">
        <v>0</v>
      </c>
      <c r="M168" s="23">
        <v>8</v>
      </c>
      <c r="N168" s="23">
        <v>0</v>
      </c>
      <c r="O168" s="23">
        <v>30.2</v>
      </c>
      <c r="P168" s="23">
        <v>0</v>
      </c>
      <c r="Q168" s="23">
        <v>11.4</v>
      </c>
      <c r="R168" s="23">
        <v>0</v>
      </c>
      <c r="S168" s="23">
        <v>22.4</v>
      </c>
      <c r="T168" s="23">
        <v>0</v>
      </c>
      <c r="U168" s="23">
        <v>17.399999999999999</v>
      </c>
      <c r="V168" s="23">
        <v>1.05</v>
      </c>
      <c r="W168" s="23">
        <v>0</v>
      </c>
      <c r="X168" s="23">
        <v>23.02</v>
      </c>
      <c r="Y168" s="23">
        <v>3.84</v>
      </c>
      <c r="Z168" s="23">
        <v>0</v>
      </c>
      <c r="AA168" s="23">
        <v>0</v>
      </c>
      <c r="AB168" s="23">
        <v>117.31</v>
      </c>
    </row>
    <row r="169" spans="1:28" x14ac:dyDescent="0.25">
      <c r="A169">
        <v>37501</v>
      </c>
      <c r="B169" t="str">
        <f t="shared" si="3"/>
        <v>37501</v>
      </c>
      <c r="C169" t="s">
        <v>1203</v>
      </c>
      <c r="D169">
        <v>1586.27</v>
      </c>
      <c r="E169" t="s">
        <v>564</v>
      </c>
      <c r="K169" s="88" t="s">
        <v>158</v>
      </c>
      <c r="L169" s="23">
        <v>18.2</v>
      </c>
      <c r="M169" s="23">
        <v>40.799999999999997</v>
      </c>
      <c r="N169" s="23">
        <v>0</v>
      </c>
      <c r="O169" s="23">
        <v>159.13</v>
      </c>
      <c r="P169" s="23">
        <v>0</v>
      </c>
      <c r="Q169" s="23">
        <v>56.8</v>
      </c>
      <c r="R169" s="23">
        <v>0</v>
      </c>
      <c r="S169" s="23">
        <v>106</v>
      </c>
      <c r="T169" s="23">
        <v>0</v>
      </c>
      <c r="U169" s="23">
        <v>87.6</v>
      </c>
      <c r="V169" s="23">
        <v>13.56</v>
      </c>
      <c r="W169" s="23">
        <v>0</v>
      </c>
      <c r="X169" s="23">
        <v>167.22</v>
      </c>
      <c r="Y169" s="23">
        <v>49.03</v>
      </c>
      <c r="Z169" s="23">
        <v>0</v>
      </c>
      <c r="AA169" s="23">
        <v>0</v>
      </c>
      <c r="AB169" s="23">
        <v>698.33999999999992</v>
      </c>
    </row>
    <row r="170" spans="1:28" x14ac:dyDescent="0.25">
      <c r="A170">
        <v>37501</v>
      </c>
      <c r="B170" t="str">
        <f t="shared" si="3"/>
        <v>37501</v>
      </c>
      <c r="C170" t="s">
        <v>1200</v>
      </c>
      <c r="D170">
        <v>0</v>
      </c>
      <c r="E170" t="s">
        <v>564</v>
      </c>
      <c r="K170" s="88" t="s">
        <v>159</v>
      </c>
      <c r="L170" s="23">
        <v>0</v>
      </c>
      <c r="M170" s="23">
        <v>19.2</v>
      </c>
      <c r="N170" s="23">
        <v>0</v>
      </c>
      <c r="O170" s="23">
        <v>79.8</v>
      </c>
      <c r="P170" s="23">
        <v>0</v>
      </c>
      <c r="Q170" s="23">
        <v>40</v>
      </c>
      <c r="R170" s="23">
        <v>0</v>
      </c>
      <c r="S170" s="23">
        <v>50.6</v>
      </c>
      <c r="T170" s="23">
        <v>0</v>
      </c>
      <c r="U170" s="23">
        <v>19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3">
        <v>208.6</v>
      </c>
    </row>
    <row r="171" spans="1:28" x14ac:dyDescent="0.25">
      <c r="A171">
        <v>37501</v>
      </c>
      <c r="B171" t="str">
        <f t="shared" si="3"/>
        <v>37501</v>
      </c>
      <c r="C171" t="s">
        <v>1204</v>
      </c>
      <c r="D171">
        <v>3203.97</v>
      </c>
      <c r="E171" t="s">
        <v>564</v>
      </c>
      <c r="K171" s="88" t="s">
        <v>160</v>
      </c>
      <c r="L171" s="23">
        <v>16</v>
      </c>
      <c r="M171" s="23">
        <v>16.670000000000002</v>
      </c>
      <c r="N171" s="23">
        <v>0</v>
      </c>
      <c r="O171" s="23">
        <v>66.209999999999994</v>
      </c>
      <c r="P171" s="23">
        <v>0</v>
      </c>
      <c r="Q171" s="23">
        <v>23.6</v>
      </c>
      <c r="R171" s="23">
        <v>0</v>
      </c>
      <c r="S171" s="23">
        <v>55</v>
      </c>
      <c r="T171" s="23">
        <v>0</v>
      </c>
      <c r="U171" s="23">
        <v>46.4</v>
      </c>
      <c r="V171" s="23">
        <v>0.4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224.28</v>
      </c>
    </row>
    <row r="172" spans="1:28" x14ac:dyDescent="0.25">
      <c r="A172">
        <v>37501</v>
      </c>
      <c r="B172" t="str">
        <f t="shared" si="3"/>
        <v>37501</v>
      </c>
      <c r="C172" t="s">
        <v>1207</v>
      </c>
      <c r="D172">
        <v>195.16</v>
      </c>
      <c r="E172" t="s">
        <v>564</v>
      </c>
      <c r="K172" s="88" t="s">
        <v>161</v>
      </c>
      <c r="L172" s="23">
        <v>0</v>
      </c>
      <c r="M172" s="23">
        <v>266.58999999999997</v>
      </c>
      <c r="N172" s="23">
        <v>0</v>
      </c>
      <c r="O172" s="23">
        <v>914.22</v>
      </c>
      <c r="P172" s="23">
        <v>0</v>
      </c>
      <c r="Q172" s="23">
        <v>267.77999999999997</v>
      </c>
      <c r="R172" s="23">
        <v>0</v>
      </c>
      <c r="S172" s="23">
        <v>596.34</v>
      </c>
      <c r="T172" s="23">
        <v>0</v>
      </c>
      <c r="U172" s="23">
        <v>528.79</v>
      </c>
      <c r="V172" s="23">
        <v>137.94</v>
      </c>
      <c r="W172" s="23">
        <v>0</v>
      </c>
      <c r="X172" s="23">
        <v>1453.01</v>
      </c>
      <c r="Y172" s="23">
        <v>687.36</v>
      </c>
      <c r="Z172" s="23">
        <v>0</v>
      </c>
      <c r="AA172" s="23">
        <v>0</v>
      </c>
      <c r="AB172" s="23">
        <v>4852.03</v>
      </c>
    </row>
    <row r="173" spans="1:28" x14ac:dyDescent="0.25">
      <c r="A173">
        <v>37501</v>
      </c>
      <c r="B173" t="str">
        <f t="shared" si="3"/>
        <v>37501</v>
      </c>
      <c r="C173" t="s">
        <v>1208</v>
      </c>
      <c r="D173">
        <v>861.89</v>
      </c>
      <c r="E173" t="s">
        <v>564</v>
      </c>
      <c r="K173" s="88" t="s">
        <v>162</v>
      </c>
      <c r="L173" s="23">
        <v>0</v>
      </c>
      <c r="M173" s="23">
        <v>12.6</v>
      </c>
      <c r="N173" s="23">
        <v>0</v>
      </c>
      <c r="O173" s="23">
        <v>35.200000000000003</v>
      </c>
      <c r="P173" s="23">
        <v>0</v>
      </c>
      <c r="Q173" s="23">
        <v>18.399999999999999</v>
      </c>
      <c r="R173" s="23">
        <v>0</v>
      </c>
      <c r="S173" s="23">
        <v>30.6</v>
      </c>
      <c r="T173" s="23">
        <v>0</v>
      </c>
      <c r="U173" s="23">
        <v>35.799999999999997</v>
      </c>
      <c r="V173" s="23">
        <v>7.23</v>
      </c>
      <c r="W173" s="23">
        <v>0</v>
      </c>
      <c r="X173" s="23">
        <v>40.85</v>
      </c>
      <c r="Y173" s="23">
        <v>13.77</v>
      </c>
      <c r="Z173" s="23">
        <v>0</v>
      </c>
      <c r="AA173" s="23">
        <v>0</v>
      </c>
      <c r="AB173" s="23">
        <v>194.45000000000002</v>
      </c>
    </row>
    <row r="174" spans="1:28" x14ac:dyDescent="0.25">
      <c r="A174">
        <v>37501</v>
      </c>
      <c r="B174" t="str">
        <f t="shared" si="3"/>
        <v>37501</v>
      </c>
      <c r="C174" t="s">
        <v>1210</v>
      </c>
      <c r="D174">
        <v>0</v>
      </c>
      <c r="E174" t="s">
        <v>564</v>
      </c>
      <c r="K174" s="88" t="s">
        <v>163</v>
      </c>
      <c r="L174" s="23">
        <v>0</v>
      </c>
      <c r="M174" s="23">
        <v>72.709999999999994</v>
      </c>
      <c r="N174" s="23">
        <v>0</v>
      </c>
      <c r="O174" s="23">
        <v>234.28</v>
      </c>
      <c r="P174" s="23">
        <v>0</v>
      </c>
      <c r="Q174" s="23">
        <v>75.400000000000006</v>
      </c>
      <c r="R174" s="23">
        <v>0</v>
      </c>
      <c r="S174" s="23">
        <v>164.93</v>
      </c>
      <c r="T174" s="23">
        <v>0</v>
      </c>
      <c r="U174" s="23">
        <v>165.24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712.56</v>
      </c>
    </row>
    <row r="175" spans="1:28" x14ac:dyDescent="0.25">
      <c r="A175">
        <v>37501</v>
      </c>
      <c r="B175" t="str">
        <f t="shared" si="3"/>
        <v>37501</v>
      </c>
      <c r="C175" t="s">
        <v>1212</v>
      </c>
      <c r="D175">
        <v>0</v>
      </c>
      <c r="E175" t="s">
        <v>564</v>
      </c>
      <c r="K175" s="88" t="s">
        <v>164</v>
      </c>
      <c r="L175" s="23">
        <v>34</v>
      </c>
      <c r="M175" s="23">
        <v>131.96</v>
      </c>
      <c r="N175" s="23">
        <v>0</v>
      </c>
      <c r="O175" s="23">
        <v>495</v>
      </c>
      <c r="P175" s="23">
        <v>0</v>
      </c>
      <c r="Q175" s="23">
        <v>159</v>
      </c>
      <c r="R175" s="23">
        <v>0</v>
      </c>
      <c r="S175" s="23">
        <v>316.77</v>
      </c>
      <c r="T175" s="23">
        <v>0</v>
      </c>
      <c r="U175" s="23">
        <v>323</v>
      </c>
      <c r="V175" s="23">
        <v>67.25</v>
      </c>
      <c r="W175" s="23">
        <v>0</v>
      </c>
      <c r="X175" s="23">
        <v>657.91</v>
      </c>
      <c r="Y175" s="23">
        <v>209.82</v>
      </c>
      <c r="Z175" s="23">
        <v>0</v>
      </c>
      <c r="AA175" s="23">
        <v>0</v>
      </c>
      <c r="AB175" s="23">
        <v>2394.71</v>
      </c>
    </row>
    <row r="176" spans="1:28" x14ac:dyDescent="0.25">
      <c r="A176">
        <v>37501</v>
      </c>
      <c r="B176" t="str">
        <f t="shared" si="3"/>
        <v>37501</v>
      </c>
      <c r="C176" t="s">
        <v>1216</v>
      </c>
      <c r="D176">
        <v>236.63</v>
      </c>
      <c r="E176" t="s">
        <v>564</v>
      </c>
      <c r="K176" s="88" t="s">
        <v>165</v>
      </c>
      <c r="L176" s="23">
        <v>13.6</v>
      </c>
      <c r="M176" s="23">
        <v>33.799999999999997</v>
      </c>
      <c r="N176" s="23">
        <v>0</v>
      </c>
      <c r="O176" s="23">
        <v>112.8</v>
      </c>
      <c r="P176" s="23">
        <v>0</v>
      </c>
      <c r="Q176" s="23">
        <v>39.6</v>
      </c>
      <c r="R176" s="23">
        <v>0</v>
      </c>
      <c r="S176" s="23">
        <v>65.400000000000006</v>
      </c>
      <c r="T176" s="23">
        <v>0</v>
      </c>
      <c r="U176" s="23">
        <v>59.6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324.8</v>
      </c>
    </row>
    <row r="177" spans="1:28" x14ac:dyDescent="0.25">
      <c r="A177">
        <v>37501</v>
      </c>
      <c r="B177" t="str">
        <f t="shared" si="3"/>
        <v>37501</v>
      </c>
      <c r="C177" t="s">
        <v>1198</v>
      </c>
      <c r="D177">
        <v>619.77</v>
      </c>
      <c r="E177" t="s">
        <v>564</v>
      </c>
      <c r="K177" s="88" t="s">
        <v>166</v>
      </c>
      <c r="L177" s="23">
        <v>5.6</v>
      </c>
      <c r="M177" s="23">
        <v>19</v>
      </c>
      <c r="N177" s="23">
        <v>0</v>
      </c>
      <c r="O177" s="23">
        <v>41.2</v>
      </c>
      <c r="P177" s="23">
        <v>0</v>
      </c>
      <c r="Q177" s="23">
        <v>14</v>
      </c>
      <c r="R177" s="23">
        <v>0</v>
      </c>
      <c r="S177" s="23">
        <v>28</v>
      </c>
      <c r="T177" s="23">
        <v>0</v>
      </c>
      <c r="U177" s="23">
        <v>24.2</v>
      </c>
      <c r="V177" s="23">
        <v>9.4600000000000009</v>
      </c>
      <c r="W177" s="23">
        <v>0</v>
      </c>
      <c r="X177" s="23">
        <v>12.2</v>
      </c>
      <c r="Y177" s="23">
        <v>2.31</v>
      </c>
      <c r="Z177" s="23">
        <v>0</v>
      </c>
      <c r="AA177" s="23">
        <v>0</v>
      </c>
      <c r="AB177" s="23">
        <v>155.97</v>
      </c>
    </row>
    <row r="178" spans="1:28" x14ac:dyDescent="0.25">
      <c r="A178" s="34" t="s">
        <v>8</v>
      </c>
      <c r="B178" t="str">
        <f t="shared" si="3"/>
        <v>01122</v>
      </c>
      <c r="C178" t="s">
        <v>1193</v>
      </c>
      <c r="D178">
        <v>0</v>
      </c>
      <c r="E178" t="s">
        <v>305</v>
      </c>
      <c r="K178" s="88" t="s">
        <v>167</v>
      </c>
      <c r="L178" s="23">
        <v>0</v>
      </c>
      <c r="M178" s="23">
        <v>90.22</v>
      </c>
      <c r="N178" s="23">
        <v>0</v>
      </c>
      <c r="O178" s="23">
        <v>355.7</v>
      </c>
      <c r="P178" s="23">
        <v>0</v>
      </c>
      <c r="Q178" s="23">
        <v>109.8</v>
      </c>
      <c r="R178" s="23">
        <v>0</v>
      </c>
      <c r="S178" s="23">
        <v>196.88</v>
      </c>
      <c r="T178" s="23">
        <v>0</v>
      </c>
      <c r="U178" s="23">
        <v>210.01</v>
      </c>
      <c r="V178" s="23">
        <v>30.33</v>
      </c>
      <c r="W178" s="23">
        <v>0</v>
      </c>
      <c r="X178" s="23">
        <v>397.87</v>
      </c>
      <c r="Y178" s="23">
        <v>131.62</v>
      </c>
      <c r="Z178" s="23">
        <v>0</v>
      </c>
      <c r="AA178" s="23">
        <v>0</v>
      </c>
      <c r="AB178" s="23">
        <v>1522.4299999999998</v>
      </c>
    </row>
    <row r="179" spans="1:28" x14ac:dyDescent="0.25">
      <c r="A179" s="34" t="s">
        <v>8</v>
      </c>
      <c r="B179" t="str">
        <f t="shared" si="3"/>
        <v>01122</v>
      </c>
      <c r="C179" t="s">
        <v>1194</v>
      </c>
      <c r="D179">
        <v>10</v>
      </c>
      <c r="E179" t="s">
        <v>305</v>
      </c>
      <c r="K179" s="88" t="s">
        <v>168</v>
      </c>
      <c r="L179" s="23">
        <v>16</v>
      </c>
      <c r="M179" s="23">
        <v>54.8</v>
      </c>
      <c r="N179" s="23">
        <v>0</v>
      </c>
      <c r="O179" s="23">
        <v>196</v>
      </c>
      <c r="P179" s="23">
        <v>0</v>
      </c>
      <c r="Q179" s="23">
        <v>73.8</v>
      </c>
      <c r="R179" s="23">
        <v>0</v>
      </c>
      <c r="S179" s="23">
        <v>145.27000000000001</v>
      </c>
      <c r="T179" s="23">
        <v>0</v>
      </c>
      <c r="U179" s="23">
        <v>157.06</v>
      </c>
      <c r="V179" s="23">
        <v>19.5</v>
      </c>
      <c r="W179" s="23">
        <v>0</v>
      </c>
      <c r="X179" s="23">
        <v>297.22000000000003</v>
      </c>
      <c r="Y179" s="23">
        <v>84.09</v>
      </c>
      <c r="Z179" s="23">
        <v>0</v>
      </c>
      <c r="AA179" s="23">
        <v>0</v>
      </c>
      <c r="AB179" s="23">
        <v>1043.74</v>
      </c>
    </row>
    <row r="180" spans="1:28" x14ac:dyDescent="0.25">
      <c r="A180" s="34" t="s">
        <v>8</v>
      </c>
      <c r="B180" t="str">
        <f t="shared" si="3"/>
        <v>01122</v>
      </c>
      <c r="C180" t="s">
        <v>1195</v>
      </c>
      <c r="D180">
        <v>0</v>
      </c>
      <c r="E180" t="s">
        <v>305</v>
      </c>
      <c r="K180" s="88" t="s">
        <v>169</v>
      </c>
      <c r="L180" s="23">
        <v>31.4</v>
      </c>
      <c r="M180" s="23">
        <v>67.400000000000006</v>
      </c>
      <c r="N180" s="23">
        <v>0</v>
      </c>
      <c r="O180" s="23">
        <v>192.63</v>
      </c>
      <c r="P180" s="23">
        <v>0</v>
      </c>
      <c r="Q180" s="23">
        <v>59.2</v>
      </c>
      <c r="R180" s="23">
        <v>0</v>
      </c>
      <c r="S180" s="23">
        <v>123.61</v>
      </c>
      <c r="T180" s="23">
        <v>0</v>
      </c>
      <c r="U180" s="23">
        <v>153.61000000000001</v>
      </c>
      <c r="V180" s="23">
        <v>16</v>
      </c>
      <c r="W180" s="23">
        <v>0</v>
      </c>
      <c r="X180" s="23">
        <v>292.33999999999997</v>
      </c>
      <c r="Y180" s="23">
        <v>74.459999999999994</v>
      </c>
      <c r="Z180" s="23">
        <v>0</v>
      </c>
      <c r="AA180" s="23">
        <v>0</v>
      </c>
      <c r="AB180" s="23">
        <v>1010.6500000000001</v>
      </c>
    </row>
    <row r="181" spans="1:28" x14ac:dyDescent="0.25">
      <c r="A181" s="34" t="s">
        <v>8</v>
      </c>
      <c r="B181" t="str">
        <f t="shared" si="3"/>
        <v>01122</v>
      </c>
      <c r="C181" t="s">
        <v>1197</v>
      </c>
      <c r="D181">
        <v>0</v>
      </c>
      <c r="E181" t="s">
        <v>305</v>
      </c>
      <c r="K181" s="88" t="s">
        <v>170</v>
      </c>
      <c r="L181" s="23">
        <v>4</v>
      </c>
      <c r="M181" s="23">
        <v>15.8</v>
      </c>
      <c r="N181" s="23">
        <v>0</v>
      </c>
      <c r="O181" s="23">
        <v>56</v>
      </c>
      <c r="P181" s="23">
        <v>0</v>
      </c>
      <c r="Q181" s="23">
        <v>12</v>
      </c>
      <c r="R181" s="23">
        <v>0</v>
      </c>
      <c r="S181" s="23">
        <v>29.6</v>
      </c>
      <c r="T181" s="23">
        <v>0</v>
      </c>
      <c r="U181" s="23">
        <v>40.6</v>
      </c>
      <c r="V181" s="23">
        <v>3.98</v>
      </c>
      <c r="W181" s="23">
        <v>0</v>
      </c>
      <c r="X181" s="23">
        <v>66.91</v>
      </c>
      <c r="Y181" s="23">
        <v>19.059999999999999</v>
      </c>
      <c r="Z181" s="23">
        <v>0</v>
      </c>
      <c r="AA181" s="23">
        <v>0</v>
      </c>
      <c r="AB181" s="23">
        <v>247.95</v>
      </c>
    </row>
    <row r="182" spans="1:28" x14ac:dyDescent="0.25">
      <c r="A182" s="34" t="s">
        <v>8</v>
      </c>
      <c r="B182" t="str">
        <f t="shared" si="3"/>
        <v>01122</v>
      </c>
      <c r="C182" t="s">
        <v>1202</v>
      </c>
      <c r="D182">
        <v>0</v>
      </c>
      <c r="E182" t="s">
        <v>305</v>
      </c>
      <c r="K182" s="88" t="s">
        <v>171</v>
      </c>
      <c r="L182" s="23">
        <v>0</v>
      </c>
      <c r="M182" s="23">
        <v>51.2</v>
      </c>
      <c r="N182" s="23">
        <v>0</v>
      </c>
      <c r="O182" s="23">
        <v>161.80000000000001</v>
      </c>
      <c r="P182" s="23">
        <v>0</v>
      </c>
      <c r="Q182" s="23">
        <v>65.8</v>
      </c>
      <c r="R182" s="23">
        <v>0</v>
      </c>
      <c r="S182" s="23">
        <v>122.03</v>
      </c>
      <c r="T182" s="23">
        <v>0</v>
      </c>
      <c r="U182" s="23">
        <v>118.14</v>
      </c>
      <c r="V182" s="23">
        <v>11.04</v>
      </c>
      <c r="W182" s="23">
        <v>0</v>
      </c>
      <c r="X182" s="23">
        <v>203.12</v>
      </c>
      <c r="Y182" s="23">
        <v>43.67</v>
      </c>
      <c r="Z182" s="23">
        <v>0</v>
      </c>
      <c r="AA182" s="23">
        <v>0</v>
      </c>
      <c r="AB182" s="23">
        <v>776.8</v>
      </c>
    </row>
    <row r="183" spans="1:28" x14ac:dyDescent="0.25">
      <c r="A183" s="34" t="s">
        <v>8</v>
      </c>
      <c r="B183" t="str">
        <f t="shared" si="3"/>
        <v>01122</v>
      </c>
      <c r="C183" t="s">
        <v>1206</v>
      </c>
      <c r="D183">
        <v>4</v>
      </c>
      <c r="E183" t="s">
        <v>305</v>
      </c>
      <c r="K183" s="88" t="s">
        <v>172</v>
      </c>
      <c r="L183" s="23">
        <v>0</v>
      </c>
      <c r="M183" s="23">
        <v>69.040000000000006</v>
      </c>
      <c r="N183" s="23">
        <v>0</v>
      </c>
      <c r="O183" s="23">
        <v>214.48</v>
      </c>
      <c r="P183" s="23">
        <v>0</v>
      </c>
      <c r="Q183" s="23">
        <v>73</v>
      </c>
      <c r="R183" s="23">
        <v>0</v>
      </c>
      <c r="S183" s="23">
        <v>162.28</v>
      </c>
      <c r="T183" s="23">
        <v>0</v>
      </c>
      <c r="U183" s="23">
        <v>139.66</v>
      </c>
      <c r="V183" s="23">
        <v>8.19</v>
      </c>
      <c r="W183" s="23">
        <v>0</v>
      </c>
      <c r="X183" s="23">
        <v>272.13</v>
      </c>
      <c r="Y183" s="23">
        <v>43.49</v>
      </c>
      <c r="Z183" s="23">
        <v>0</v>
      </c>
      <c r="AA183" s="23">
        <v>0</v>
      </c>
      <c r="AB183" s="23">
        <v>982.27</v>
      </c>
    </row>
    <row r="184" spans="1:28" x14ac:dyDescent="0.25">
      <c r="A184" s="34" t="s">
        <v>8</v>
      </c>
      <c r="B184" t="str">
        <f t="shared" si="3"/>
        <v>01122</v>
      </c>
      <c r="C184" t="s">
        <v>1199</v>
      </c>
      <c r="D184">
        <v>0</v>
      </c>
      <c r="E184" t="s">
        <v>305</v>
      </c>
      <c r="K184" s="88" t="s">
        <v>173</v>
      </c>
      <c r="L184" s="23">
        <v>0</v>
      </c>
      <c r="M184" s="23">
        <v>44.6</v>
      </c>
      <c r="N184" s="23">
        <v>0</v>
      </c>
      <c r="O184" s="23">
        <v>112.14</v>
      </c>
      <c r="P184" s="23">
        <v>0</v>
      </c>
      <c r="Q184" s="23">
        <v>36.67</v>
      </c>
      <c r="R184" s="23">
        <v>0</v>
      </c>
      <c r="S184" s="23">
        <v>73.760000000000005</v>
      </c>
      <c r="T184" s="23">
        <v>0</v>
      </c>
      <c r="U184" s="23">
        <v>78.23</v>
      </c>
      <c r="V184" s="23">
        <v>5.86</v>
      </c>
      <c r="W184" s="23">
        <v>0</v>
      </c>
      <c r="X184" s="23">
        <v>139.62</v>
      </c>
      <c r="Y184" s="23">
        <v>30.48</v>
      </c>
      <c r="Z184" s="23">
        <v>0</v>
      </c>
      <c r="AA184" s="23">
        <v>0</v>
      </c>
      <c r="AB184" s="23">
        <v>521.36</v>
      </c>
    </row>
    <row r="185" spans="1:28" x14ac:dyDescent="0.25">
      <c r="A185" s="34" t="s">
        <v>8</v>
      </c>
      <c r="B185" t="str">
        <f t="shared" si="3"/>
        <v>01122</v>
      </c>
      <c r="C185" t="s">
        <v>1203</v>
      </c>
      <c r="D185">
        <v>0</v>
      </c>
      <c r="E185" t="s">
        <v>305</v>
      </c>
      <c r="K185" s="88" t="s">
        <v>1247</v>
      </c>
      <c r="L185" s="23">
        <v>0</v>
      </c>
      <c r="M185" s="23">
        <v>13.2</v>
      </c>
      <c r="N185" s="23">
        <v>0</v>
      </c>
      <c r="O185" s="23">
        <v>58</v>
      </c>
      <c r="P185" s="23">
        <v>0</v>
      </c>
      <c r="Q185" s="23">
        <v>13.2</v>
      </c>
      <c r="R185" s="23">
        <v>0</v>
      </c>
      <c r="S185" s="23">
        <v>26.41</v>
      </c>
      <c r="T185" s="23">
        <v>0</v>
      </c>
      <c r="U185" s="23">
        <v>27</v>
      </c>
      <c r="V185" s="23">
        <v>0</v>
      </c>
      <c r="W185" s="23">
        <v>0</v>
      </c>
      <c r="X185" s="23">
        <v>8</v>
      </c>
      <c r="Y185" s="23">
        <v>0</v>
      </c>
      <c r="Z185" s="23">
        <v>0</v>
      </c>
      <c r="AA185" s="23">
        <v>0</v>
      </c>
      <c r="AB185" s="23">
        <v>145.81</v>
      </c>
    </row>
    <row r="186" spans="1:28" x14ac:dyDescent="0.25">
      <c r="A186" s="34" t="s">
        <v>8</v>
      </c>
      <c r="B186" t="str">
        <f t="shared" si="3"/>
        <v>01122</v>
      </c>
      <c r="C186" t="s">
        <v>1200</v>
      </c>
      <c r="D186">
        <v>0</v>
      </c>
      <c r="E186" t="s">
        <v>305</v>
      </c>
      <c r="K186" s="88" t="s">
        <v>174</v>
      </c>
      <c r="L186" s="23">
        <v>17.399999999999999</v>
      </c>
      <c r="M186" s="23">
        <v>51.8</v>
      </c>
      <c r="N186" s="23">
        <v>0</v>
      </c>
      <c r="O186" s="23">
        <v>184.85</v>
      </c>
      <c r="P186" s="23">
        <v>0</v>
      </c>
      <c r="Q186" s="23">
        <v>79.77</v>
      </c>
      <c r="R186" s="23">
        <v>0</v>
      </c>
      <c r="S186" s="23">
        <v>122.91</v>
      </c>
      <c r="T186" s="23">
        <v>0</v>
      </c>
      <c r="U186" s="23">
        <v>145.02000000000001</v>
      </c>
      <c r="V186" s="23">
        <v>0</v>
      </c>
      <c r="W186" s="23">
        <v>0</v>
      </c>
      <c r="X186" s="23">
        <v>298.24</v>
      </c>
      <c r="Y186" s="23">
        <v>109.8</v>
      </c>
      <c r="Z186" s="23">
        <v>0</v>
      </c>
      <c r="AA186" s="23">
        <v>0</v>
      </c>
      <c r="AB186" s="23">
        <v>1009.79</v>
      </c>
    </row>
    <row r="187" spans="1:28" x14ac:dyDescent="0.25">
      <c r="A187" s="34" t="s">
        <v>8</v>
      </c>
      <c r="B187" t="str">
        <f t="shared" si="3"/>
        <v>01122</v>
      </c>
      <c r="C187" t="s">
        <v>1204</v>
      </c>
      <c r="D187">
        <v>0</v>
      </c>
      <c r="E187" t="s">
        <v>305</v>
      </c>
      <c r="K187" s="88" t="s">
        <v>175</v>
      </c>
      <c r="L187" s="23">
        <v>26</v>
      </c>
      <c r="M187" s="23">
        <v>21.2</v>
      </c>
      <c r="N187" s="23">
        <v>0</v>
      </c>
      <c r="O187" s="23">
        <v>90</v>
      </c>
      <c r="P187" s="23">
        <v>0</v>
      </c>
      <c r="Q187" s="23">
        <v>41.6</v>
      </c>
      <c r="R187" s="23">
        <v>0</v>
      </c>
      <c r="S187" s="23">
        <v>62.4</v>
      </c>
      <c r="T187" s="23">
        <v>0</v>
      </c>
      <c r="U187" s="23">
        <v>67.8</v>
      </c>
      <c r="V187" s="23">
        <v>0</v>
      </c>
      <c r="W187" s="23">
        <v>0</v>
      </c>
      <c r="X187" s="23">
        <v>160.88</v>
      </c>
      <c r="Y187" s="23">
        <v>35.200000000000003</v>
      </c>
      <c r="Z187" s="23">
        <v>0</v>
      </c>
      <c r="AA187" s="23">
        <v>0</v>
      </c>
      <c r="AB187" s="23">
        <v>505.08</v>
      </c>
    </row>
    <row r="188" spans="1:28" x14ac:dyDescent="0.25">
      <c r="A188" s="34" t="s">
        <v>8</v>
      </c>
      <c r="B188" t="str">
        <f t="shared" si="3"/>
        <v>01122</v>
      </c>
      <c r="C188" t="s">
        <v>1207</v>
      </c>
      <c r="D188">
        <v>0</v>
      </c>
      <c r="E188" t="s">
        <v>305</v>
      </c>
      <c r="K188" s="88" t="s">
        <v>176</v>
      </c>
      <c r="L188" s="23">
        <v>9.8000000000000007</v>
      </c>
      <c r="M188" s="23">
        <v>32</v>
      </c>
      <c r="N188" s="23">
        <v>0</v>
      </c>
      <c r="O188" s="23">
        <v>126.2</v>
      </c>
      <c r="P188" s="23">
        <v>0</v>
      </c>
      <c r="Q188" s="23">
        <v>39</v>
      </c>
      <c r="R188" s="23">
        <v>0</v>
      </c>
      <c r="S188" s="23">
        <v>82.2</v>
      </c>
      <c r="T188" s="23">
        <v>0</v>
      </c>
      <c r="U188" s="23">
        <v>82.38</v>
      </c>
      <c r="V188" s="23">
        <v>5.98</v>
      </c>
      <c r="W188" s="23">
        <v>0</v>
      </c>
      <c r="X188" s="23">
        <v>147.69</v>
      </c>
      <c r="Y188" s="23">
        <v>37.86</v>
      </c>
      <c r="Z188" s="23">
        <v>0</v>
      </c>
      <c r="AA188" s="23">
        <v>0</v>
      </c>
      <c r="AB188" s="23">
        <v>563.11</v>
      </c>
    </row>
    <row r="189" spans="1:28" x14ac:dyDescent="0.25">
      <c r="A189" s="34" t="s">
        <v>8</v>
      </c>
      <c r="B189" t="str">
        <f t="shared" si="3"/>
        <v>01122</v>
      </c>
      <c r="C189" t="s">
        <v>1208</v>
      </c>
      <c r="D189">
        <v>0</v>
      </c>
      <c r="E189" t="s">
        <v>305</v>
      </c>
      <c r="K189" s="88" t="s">
        <v>177</v>
      </c>
      <c r="L189" s="23">
        <v>0</v>
      </c>
      <c r="M189" s="23">
        <v>19.399999999999999</v>
      </c>
      <c r="N189" s="23">
        <v>0</v>
      </c>
      <c r="O189" s="23">
        <v>63.4</v>
      </c>
      <c r="P189" s="23">
        <v>0</v>
      </c>
      <c r="Q189" s="23">
        <v>22.6</v>
      </c>
      <c r="R189" s="23">
        <v>0</v>
      </c>
      <c r="S189" s="23">
        <v>45.2</v>
      </c>
      <c r="T189" s="23">
        <v>0</v>
      </c>
      <c r="U189" s="23">
        <v>53.68</v>
      </c>
      <c r="V189" s="23">
        <v>7.78</v>
      </c>
      <c r="W189" s="23">
        <v>0</v>
      </c>
      <c r="X189" s="23">
        <v>101.33</v>
      </c>
      <c r="Y189" s="23">
        <v>13.7</v>
      </c>
      <c r="Z189" s="23">
        <v>0</v>
      </c>
      <c r="AA189" s="23">
        <v>0</v>
      </c>
      <c r="AB189" s="23">
        <v>327.09000000000003</v>
      </c>
    </row>
    <row r="190" spans="1:28" x14ac:dyDescent="0.25">
      <c r="A190" s="34" t="s">
        <v>8</v>
      </c>
      <c r="B190" t="str">
        <f t="shared" si="3"/>
        <v>01122</v>
      </c>
      <c r="C190" t="s">
        <v>1210</v>
      </c>
      <c r="D190">
        <v>0</v>
      </c>
      <c r="E190" t="s">
        <v>305</v>
      </c>
      <c r="K190" s="88" t="s">
        <v>178</v>
      </c>
      <c r="L190" s="23">
        <v>0</v>
      </c>
      <c r="M190" s="23">
        <v>17.2</v>
      </c>
      <c r="N190" s="23">
        <v>0</v>
      </c>
      <c r="O190" s="23">
        <v>72.599999999999994</v>
      </c>
      <c r="P190" s="23">
        <v>0</v>
      </c>
      <c r="Q190" s="23">
        <v>29.2</v>
      </c>
      <c r="R190" s="23">
        <v>0</v>
      </c>
      <c r="S190" s="23">
        <v>51</v>
      </c>
      <c r="T190" s="23">
        <v>0</v>
      </c>
      <c r="U190" s="23">
        <v>54.6</v>
      </c>
      <c r="V190" s="23">
        <v>6.9</v>
      </c>
      <c r="W190" s="23">
        <v>0</v>
      </c>
      <c r="X190" s="23">
        <v>95.18</v>
      </c>
      <c r="Y190" s="23">
        <v>25.91</v>
      </c>
      <c r="Z190" s="23">
        <v>0</v>
      </c>
      <c r="AA190" s="23">
        <v>0</v>
      </c>
      <c r="AB190" s="23">
        <v>352.59000000000003</v>
      </c>
    </row>
    <row r="191" spans="1:28" x14ac:dyDescent="0.25">
      <c r="A191" s="34" t="s">
        <v>8</v>
      </c>
      <c r="B191" t="str">
        <f t="shared" si="3"/>
        <v>01122</v>
      </c>
      <c r="C191" t="s">
        <v>1212</v>
      </c>
      <c r="D191">
        <v>0</v>
      </c>
      <c r="E191" t="s">
        <v>305</v>
      </c>
      <c r="K191" s="88" t="s">
        <v>179</v>
      </c>
      <c r="L191" s="23">
        <v>1.8</v>
      </c>
      <c r="M191" s="23">
        <v>1</v>
      </c>
      <c r="N191" s="23">
        <v>0</v>
      </c>
      <c r="O191" s="23">
        <v>10.11</v>
      </c>
      <c r="P191" s="23">
        <v>0</v>
      </c>
      <c r="Q191" s="23">
        <v>6</v>
      </c>
      <c r="R191" s="23">
        <v>0</v>
      </c>
      <c r="S191" s="23">
        <v>15.6</v>
      </c>
      <c r="T191" s="23">
        <v>0</v>
      </c>
      <c r="U191" s="23">
        <v>4.99</v>
      </c>
      <c r="V191" s="23">
        <v>0</v>
      </c>
      <c r="W191" s="23">
        <v>0</v>
      </c>
      <c r="X191" s="23">
        <v>9.9499999999999993</v>
      </c>
      <c r="Y191" s="23">
        <v>0</v>
      </c>
      <c r="Z191" s="23">
        <v>0</v>
      </c>
      <c r="AA191" s="23">
        <v>0</v>
      </c>
      <c r="AB191" s="23">
        <v>49.45</v>
      </c>
    </row>
    <row r="192" spans="1:28" x14ac:dyDescent="0.25">
      <c r="A192" s="34" t="s">
        <v>8</v>
      </c>
      <c r="B192" t="str">
        <f t="shared" si="3"/>
        <v>01122</v>
      </c>
      <c r="C192" t="s">
        <v>1216</v>
      </c>
      <c r="D192">
        <v>0</v>
      </c>
      <c r="E192" t="s">
        <v>305</v>
      </c>
      <c r="K192" s="88" t="s">
        <v>180</v>
      </c>
      <c r="L192" s="23">
        <v>0</v>
      </c>
      <c r="M192" s="23">
        <v>72.63</v>
      </c>
      <c r="N192" s="23">
        <v>0</v>
      </c>
      <c r="O192" s="23">
        <v>220.84</v>
      </c>
      <c r="P192" s="23">
        <v>0</v>
      </c>
      <c r="Q192" s="23">
        <v>79.209999999999994</v>
      </c>
      <c r="R192" s="23">
        <v>0</v>
      </c>
      <c r="S192" s="23">
        <v>140.05000000000001</v>
      </c>
      <c r="T192" s="23">
        <v>0</v>
      </c>
      <c r="U192" s="23">
        <v>141.25</v>
      </c>
      <c r="V192" s="23">
        <v>29.11</v>
      </c>
      <c r="W192" s="23">
        <v>0</v>
      </c>
      <c r="X192" s="23">
        <v>286.63</v>
      </c>
      <c r="Y192" s="23">
        <v>98.88</v>
      </c>
      <c r="Z192" s="23">
        <v>0</v>
      </c>
      <c r="AA192" s="23">
        <v>0</v>
      </c>
      <c r="AB192" s="23">
        <v>1068.5999999999999</v>
      </c>
    </row>
    <row r="193" spans="1:28" x14ac:dyDescent="0.25">
      <c r="A193" s="34" t="s">
        <v>8</v>
      </c>
      <c r="B193" t="str">
        <f t="shared" si="3"/>
        <v>01122</v>
      </c>
      <c r="C193" t="s">
        <v>1198</v>
      </c>
      <c r="D193">
        <v>0</v>
      </c>
      <c r="E193" t="s">
        <v>305</v>
      </c>
      <c r="K193" s="88" t="s">
        <v>181</v>
      </c>
      <c r="L193" s="23">
        <v>12.9</v>
      </c>
      <c r="M193" s="23">
        <v>12.58</v>
      </c>
      <c r="N193" s="23">
        <v>0</v>
      </c>
      <c r="O193" s="23">
        <v>53.29</v>
      </c>
      <c r="P193" s="23">
        <v>0</v>
      </c>
      <c r="Q193" s="23">
        <v>18.38</v>
      </c>
      <c r="R193" s="23">
        <v>0</v>
      </c>
      <c r="S193" s="23">
        <v>55.6</v>
      </c>
      <c r="T193" s="23">
        <v>0</v>
      </c>
      <c r="U193" s="23">
        <v>39.799999999999997</v>
      </c>
      <c r="V193" s="23">
        <v>0</v>
      </c>
      <c r="W193" s="23">
        <v>0</v>
      </c>
      <c r="X193" s="23">
        <v>77.66</v>
      </c>
      <c r="Y193" s="23">
        <v>11.25</v>
      </c>
      <c r="Z193" s="23">
        <v>0</v>
      </c>
      <c r="AA193" s="23">
        <v>0</v>
      </c>
      <c r="AB193" s="23">
        <v>281.46000000000004</v>
      </c>
    </row>
    <row r="194" spans="1:28" x14ac:dyDescent="0.25">
      <c r="A194">
        <v>27403</v>
      </c>
      <c r="B194" t="str">
        <f t="shared" si="3"/>
        <v>27403</v>
      </c>
      <c r="C194" t="s">
        <v>1193</v>
      </c>
      <c r="D194">
        <v>0</v>
      </c>
      <c r="E194" t="s">
        <v>489</v>
      </c>
      <c r="K194" s="88" t="s">
        <v>182</v>
      </c>
      <c r="L194" s="23">
        <v>9.6</v>
      </c>
      <c r="M194" s="23">
        <v>17.399999999999999</v>
      </c>
      <c r="N194" s="23">
        <v>0</v>
      </c>
      <c r="O194" s="23">
        <v>60.4</v>
      </c>
      <c r="P194" s="23">
        <v>0</v>
      </c>
      <c r="Q194" s="23">
        <v>17.2</v>
      </c>
      <c r="R194" s="23">
        <v>0</v>
      </c>
      <c r="S194" s="23">
        <v>35.799999999999997</v>
      </c>
      <c r="T194" s="23">
        <v>0</v>
      </c>
      <c r="U194" s="23">
        <v>34.799999999999997</v>
      </c>
      <c r="V194" s="23">
        <v>4.8099999999999996</v>
      </c>
      <c r="W194" s="23">
        <v>0</v>
      </c>
      <c r="X194" s="23">
        <v>71.42</v>
      </c>
      <c r="Y194" s="23">
        <v>18.28</v>
      </c>
      <c r="Z194" s="23">
        <v>0</v>
      </c>
      <c r="AA194" s="23">
        <v>0</v>
      </c>
      <c r="AB194" s="23">
        <v>269.71000000000004</v>
      </c>
    </row>
    <row r="195" spans="1:28" x14ac:dyDescent="0.25">
      <c r="A195">
        <v>27403</v>
      </c>
      <c r="B195" t="str">
        <f t="shared" ref="B195:B258" si="4">TEXT(A195,"00000")</f>
        <v>27403</v>
      </c>
      <c r="C195" t="s">
        <v>1194</v>
      </c>
      <c r="D195">
        <v>4624.91</v>
      </c>
      <c r="E195" t="s">
        <v>489</v>
      </c>
      <c r="K195" s="88" t="s">
        <v>183</v>
      </c>
      <c r="L195" s="23">
        <v>24.33</v>
      </c>
      <c r="M195" s="23">
        <v>172.45</v>
      </c>
      <c r="N195" s="23">
        <v>0</v>
      </c>
      <c r="O195" s="23">
        <v>630.1</v>
      </c>
      <c r="P195" s="23">
        <v>0</v>
      </c>
      <c r="Q195" s="23">
        <v>223.59</v>
      </c>
      <c r="R195" s="23">
        <v>0</v>
      </c>
      <c r="S195" s="23">
        <v>475.37</v>
      </c>
      <c r="T195" s="23">
        <v>0</v>
      </c>
      <c r="U195" s="23">
        <v>493.34</v>
      </c>
      <c r="V195" s="23">
        <v>15.44</v>
      </c>
      <c r="W195" s="23">
        <v>0</v>
      </c>
      <c r="X195" s="23">
        <v>782.02</v>
      </c>
      <c r="Y195" s="23">
        <v>230.08</v>
      </c>
      <c r="Z195" s="23">
        <v>0</v>
      </c>
      <c r="AA195" s="23">
        <v>0</v>
      </c>
      <c r="AB195" s="23">
        <v>3046.7200000000003</v>
      </c>
    </row>
    <row r="196" spans="1:28" x14ac:dyDescent="0.25">
      <c r="A196">
        <v>27403</v>
      </c>
      <c r="B196" t="str">
        <f t="shared" si="4"/>
        <v>27403</v>
      </c>
      <c r="C196" t="s">
        <v>1195</v>
      </c>
      <c r="D196">
        <v>0</v>
      </c>
      <c r="E196" t="s">
        <v>489</v>
      </c>
      <c r="K196" s="88" t="s">
        <v>184</v>
      </c>
      <c r="L196" s="23">
        <v>152.6</v>
      </c>
      <c r="M196" s="23">
        <v>1481.88</v>
      </c>
      <c r="N196" s="23">
        <v>0</v>
      </c>
      <c r="O196" s="23">
        <v>5076.5600000000004</v>
      </c>
      <c r="P196" s="23">
        <v>0</v>
      </c>
      <c r="Q196" s="23">
        <v>1647.71</v>
      </c>
      <c r="R196" s="23">
        <v>0</v>
      </c>
      <c r="S196" s="23">
        <v>3532.95</v>
      </c>
      <c r="T196" s="23">
        <v>0</v>
      </c>
      <c r="U196" s="23">
        <v>3496.04</v>
      </c>
      <c r="V196" s="23">
        <v>417.52</v>
      </c>
      <c r="W196" s="23">
        <v>0</v>
      </c>
      <c r="X196" s="23">
        <v>6371.06</v>
      </c>
      <c r="Y196" s="23">
        <v>1317.02</v>
      </c>
      <c r="Z196" s="23">
        <v>0</v>
      </c>
      <c r="AA196" s="23">
        <v>0</v>
      </c>
      <c r="AB196" s="23">
        <v>23493.340000000004</v>
      </c>
    </row>
    <row r="197" spans="1:28" x14ac:dyDescent="0.25">
      <c r="A197">
        <v>27403</v>
      </c>
      <c r="B197" t="str">
        <f t="shared" si="4"/>
        <v>27403</v>
      </c>
      <c r="C197" t="s">
        <v>1197</v>
      </c>
      <c r="D197">
        <v>1546.05</v>
      </c>
      <c r="E197" t="s">
        <v>489</v>
      </c>
      <c r="K197" s="88" t="s">
        <v>185</v>
      </c>
      <c r="L197" s="23">
        <v>621.13</v>
      </c>
      <c r="M197" s="23">
        <v>1819.89</v>
      </c>
      <c r="N197" s="23">
        <v>0</v>
      </c>
      <c r="O197" s="23">
        <v>6134.54</v>
      </c>
      <c r="P197" s="23">
        <v>0</v>
      </c>
      <c r="Q197" s="23">
        <v>1988.66</v>
      </c>
      <c r="R197" s="23">
        <v>0</v>
      </c>
      <c r="S197" s="23">
        <v>4062.05</v>
      </c>
      <c r="T197" s="23">
        <v>0</v>
      </c>
      <c r="U197" s="23">
        <v>3806.29</v>
      </c>
      <c r="V197" s="23">
        <v>296.05</v>
      </c>
      <c r="W197" s="23">
        <v>0</v>
      </c>
      <c r="X197" s="23">
        <v>7555.69</v>
      </c>
      <c r="Y197" s="23">
        <v>1568.73</v>
      </c>
      <c r="Z197" s="23">
        <v>0</v>
      </c>
      <c r="AA197" s="23">
        <v>0</v>
      </c>
      <c r="AB197" s="23">
        <v>27853.03</v>
      </c>
    </row>
    <row r="198" spans="1:28" x14ac:dyDescent="0.25">
      <c r="A198">
        <v>27403</v>
      </c>
      <c r="B198" t="str">
        <f t="shared" si="4"/>
        <v>27403</v>
      </c>
      <c r="C198" t="s">
        <v>1202</v>
      </c>
      <c r="D198">
        <v>0</v>
      </c>
      <c r="E198" t="s">
        <v>489</v>
      </c>
      <c r="K198" s="88" t="s">
        <v>186</v>
      </c>
      <c r="L198" s="23">
        <v>0</v>
      </c>
      <c r="M198" s="23">
        <v>17.8</v>
      </c>
      <c r="N198" s="23">
        <v>0</v>
      </c>
      <c r="O198" s="23">
        <v>49</v>
      </c>
      <c r="P198" s="23">
        <v>0</v>
      </c>
      <c r="Q198" s="23">
        <v>24</v>
      </c>
      <c r="R198" s="23">
        <v>0</v>
      </c>
      <c r="S198" s="23">
        <v>47</v>
      </c>
      <c r="T198" s="23">
        <v>0</v>
      </c>
      <c r="U198" s="23">
        <v>39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176.8</v>
      </c>
    </row>
    <row r="199" spans="1:28" x14ac:dyDescent="0.25">
      <c r="A199">
        <v>27403</v>
      </c>
      <c r="B199" t="str">
        <f t="shared" si="4"/>
        <v>27403</v>
      </c>
      <c r="C199" t="s">
        <v>1206</v>
      </c>
      <c r="D199">
        <v>3157.83</v>
      </c>
      <c r="E199" t="s">
        <v>489</v>
      </c>
      <c r="K199" s="88" t="s">
        <v>187</v>
      </c>
      <c r="L199" s="23">
        <v>29.4</v>
      </c>
      <c r="M199" s="23">
        <v>371.89</v>
      </c>
      <c r="N199" s="23">
        <v>0</v>
      </c>
      <c r="O199" s="23">
        <v>1216.17</v>
      </c>
      <c r="P199" s="23">
        <v>0</v>
      </c>
      <c r="Q199" s="23">
        <v>403.6</v>
      </c>
      <c r="R199" s="23">
        <v>0</v>
      </c>
      <c r="S199" s="23">
        <v>867.54</v>
      </c>
      <c r="T199" s="23">
        <v>0</v>
      </c>
      <c r="U199" s="23">
        <v>954.75</v>
      </c>
      <c r="V199" s="23">
        <v>0</v>
      </c>
      <c r="W199" s="23">
        <v>0</v>
      </c>
      <c r="X199" s="23">
        <v>1509.72</v>
      </c>
      <c r="Y199" s="23">
        <v>302.69</v>
      </c>
      <c r="Z199" s="23">
        <v>0</v>
      </c>
      <c r="AA199" s="23">
        <v>0</v>
      </c>
      <c r="AB199" s="23">
        <v>5655.7599999999993</v>
      </c>
    </row>
    <row r="200" spans="1:28" x14ac:dyDescent="0.25">
      <c r="A200">
        <v>27403</v>
      </c>
      <c r="B200" t="str">
        <f t="shared" si="4"/>
        <v>27403</v>
      </c>
      <c r="C200" t="s">
        <v>1199</v>
      </c>
      <c r="D200">
        <v>0</v>
      </c>
      <c r="E200" t="s">
        <v>489</v>
      </c>
      <c r="K200" s="88" t="s">
        <v>188</v>
      </c>
      <c r="L200" s="23">
        <v>0</v>
      </c>
      <c r="M200" s="23">
        <v>695.4</v>
      </c>
      <c r="N200" s="23">
        <v>0</v>
      </c>
      <c r="O200" s="23">
        <v>2238.44</v>
      </c>
      <c r="P200" s="23">
        <v>0</v>
      </c>
      <c r="Q200" s="23">
        <v>752.87</v>
      </c>
      <c r="R200" s="23">
        <v>0</v>
      </c>
      <c r="S200" s="23">
        <v>1606.6</v>
      </c>
      <c r="T200" s="23">
        <v>0</v>
      </c>
      <c r="U200" s="23">
        <v>1570.36</v>
      </c>
      <c r="V200" s="23">
        <v>123.39</v>
      </c>
      <c r="W200" s="23">
        <v>0</v>
      </c>
      <c r="X200" s="23">
        <v>3062.23</v>
      </c>
      <c r="Y200" s="23">
        <v>638.67999999999995</v>
      </c>
      <c r="Z200" s="23">
        <v>0</v>
      </c>
      <c r="AA200" s="23">
        <v>0</v>
      </c>
      <c r="AB200" s="23">
        <v>10687.97</v>
      </c>
    </row>
    <row r="201" spans="1:28" x14ac:dyDescent="0.25">
      <c r="A201">
        <v>27403</v>
      </c>
      <c r="B201" t="str">
        <f t="shared" si="4"/>
        <v>27403</v>
      </c>
      <c r="C201" t="s">
        <v>1203</v>
      </c>
      <c r="D201">
        <v>2934.55</v>
      </c>
      <c r="E201" t="s">
        <v>489</v>
      </c>
      <c r="K201" s="88" t="s">
        <v>189</v>
      </c>
      <c r="L201" s="23">
        <v>16.399999999999999</v>
      </c>
      <c r="M201" s="23">
        <v>117</v>
      </c>
      <c r="N201" s="23">
        <v>0</v>
      </c>
      <c r="O201" s="23">
        <v>461.5</v>
      </c>
      <c r="P201" s="23">
        <v>0</v>
      </c>
      <c r="Q201" s="23">
        <v>140.76</v>
      </c>
      <c r="R201" s="23">
        <v>0</v>
      </c>
      <c r="S201" s="23">
        <v>341.87</v>
      </c>
      <c r="T201" s="23">
        <v>0</v>
      </c>
      <c r="U201" s="23">
        <v>344.14</v>
      </c>
      <c r="V201" s="23">
        <v>87.35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1509.02</v>
      </c>
    </row>
    <row r="202" spans="1:28" x14ac:dyDescent="0.25">
      <c r="A202">
        <v>27403</v>
      </c>
      <c r="B202" t="str">
        <f t="shared" si="4"/>
        <v>27403</v>
      </c>
      <c r="C202" t="s">
        <v>1200</v>
      </c>
      <c r="D202">
        <v>0</v>
      </c>
      <c r="E202" t="s">
        <v>489</v>
      </c>
      <c r="K202" s="88" t="s">
        <v>190</v>
      </c>
      <c r="L202" s="23">
        <v>0</v>
      </c>
      <c r="M202" s="23">
        <v>178.09</v>
      </c>
      <c r="N202" s="23">
        <v>0</v>
      </c>
      <c r="O202" s="23">
        <v>639.67999999999995</v>
      </c>
      <c r="P202" s="23">
        <v>0</v>
      </c>
      <c r="Q202" s="23">
        <v>194.84</v>
      </c>
      <c r="R202" s="23">
        <v>0</v>
      </c>
      <c r="S202" s="23">
        <v>448.48</v>
      </c>
      <c r="T202" s="23">
        <v>0</v>
      </c>
      <c r="U202" s="23">
        <v>433.35</v>
      </c>
      <c r="V202" s="23">
        <v>97.14</v>
      </c>
      <c r="W202" s="23">
        <v>0</v>
      </c>
      <c r="X202" s="23">
        <v>840.66</v>
      </c>
      <c r="Y202" s="23">
        <v>275.98</v>
      </c>
      <c r="Z202" s="23">
        <v>0</v>
      </c>
      <c r="AA202" s="23">
        <v>0</v>
      </c>
      <c r="AB202" s="23">
        <v>3108.2200000000003</v>
      </c>
    </row>
    <row r="203" spans="1:28" x14ac:dyDescent="0.25">
      <c r="A203">
        <v>27403</v>
      </c>
      <c r="B203" t="str">
        <f t="shared" si="4"/>
        <v>27403</v>
      </c>
      <c r="C203" t="s">
        <v>1204</v>
      </c>
      <c r="D203">
        <v>5270.89</v>
      </c>
      <c r="E203" t="s">
        <v>489</v>
      </c>
      <c r="K203" s="88" t="s">
        <v>191</v>
      </c>
      <c r="L203" s="23">
        <v>0</v>
      </c>
      <c r="M203" s="23">
        <v>1066.0999999999999</v>
      </c>
      <c r="N203" s="23">
        <v>0</v>
      </c>
      <c r="O203" s="23">
        <v>3076.14</v>
      </c>
      <c r="P203" s="23">
        <v>0</v>
      </c>
      <c r="Q203" s="23">
        <v>1013.84</v>
      </c>
      <c r="R203" s="23">
        <v>0</v>
      </c>
      <c r="S203" s="23">
        <v>1821.88</v>
      </c>
      <c r="T203" s="23">
        <v>0</v>
      </c>
      <c r="U203" s="23">
        <v>1609.2</v>
      </c>
      <c r="V203" s="23">
        <v>379.34</v>
      </c>
      <c r="W203" s="23">
        <v>0</v>
      </c>
      <c r="X203" s="23">
        <v>2495.61</v>
      </c>
      <c r="Y203" s="23">
        <v>605.62</v>
      </c>
      <c r="Z203" s="23">
        <v>0</v>
      </c>
      <c r="AA203" s="23">
        <v>0</v>
      </c>
      <c r="AB203" s="23">
        <v>12067.730000000001</v>
      </c>
    </row>
    <row r="204" spans="1:28" x14ac:dyDescent="0.25">
      <c r="A204">
        <v>27403</v>
      </c>
      <c r="B204" t="str">
        <f t="shared" si="4"/>
        <v>27403</v>
      </c>
      <c r="C204" t="s">
        <v>1207</v>
      </c>
      <c r="D204">
        <v>264.19</v>
      </c>
      <c r="E204" t="s">
        <v>489</v>
      </c>
      <c r="K204" s="88" t="s">
        <v>192</v>
      </c>
      <c r="L204" s="23">
        <v>78.52</v>
      </c>
      <c r="M204" s="23">
        <v>549.77</v>
      </c>
      <c r="N204" s="23">
        <v>0</v>
      </c>
      <c r="O204" s="23">
        <v>1876.57</v>
      </c>
      <c r="P204" s="23">
        <v>0</v>
      </c>
      <c r="Q204" s="23">
        <v>650.08000000000004</v>
      </c>
      <c r="R204" s="23">
        <v>0</v>
      </c>
      <c r="S204" s="23">
        <v>1444.07</v>
      </c>
      <c r="T204" s="23">
        <v>0</v>
      </c>
      <c r="U204" s="23">
        <v>1407.29</v>
      </c>
      <c r="V204" s="23">
        <v>110.74</v>
      </c>
      <c r="W204" s="23">
        <v>0</v>
      </c>
      <c r="X204" s="23">
        <v>2420.5300000000002</v>
      </c>
      <c r="Y204" s="23">
        <v>472.41</v>
      </c>
      <c r="Z204" s="23">
        <v>0</v>
      </c>
      <c r="AA204" s="23">
        <v>0</v>
      </c>
      <c r="AB204" s="23">
        <v>9009.98</v>
      </c>
    </row>
    <row r="205" spans="1:28" x14ac:dyDescent="0.25">
      <c r="A205">
        <v>27403</v>
      </c>
      <c r="B205" t="str">
        <f t="shared" si="4"/>
        <v>27403</v>
      </c>
      <c r="C205" t="s">
        <v>1208</v>
      </c>
      <c r="D205">
        <v>1044.28</v>
      </c>
      <c r="E205" t="s">
        <v>489</v>
      </c>
      <c r="K205" s="88" t="s">
        <v>193</v>
      </c>
      <c r="L205" s="23">
        <v>0</v>
      </c>
      <c r="M205" s="23">
        <v>470.4</v>
      </c>
      <c r="N205" s="23">
        <v>0</v>
      </c>
      <c r="O205" s="23">
        <v>1639.8</v>
      </c>
      <c r="P205" s="23">
        <v>0</v>
      </c>
      <c r="Q205" s="23">
        <v>557.6</v>
      </c>
      <c r="R205" s="23">
        <v>0</v>
      </c>
      <c r="S205" s="23">
        <v>1123.0999999999999</v>
      </c>
      <c r="T205" s="23">
        <v>0</v>
      </c>
      <c r="U205" s="23">
        <v>1037.77</v>
      </c>
      <c r="V205" s="23">
        <v>110.26</v>
      </c>
      <c r="W205" s="23">
        <v>0</v>
      </c>
      <c r="X205" s="23">
        <v>1982.23</v>
      </c>
      <c r="Y205" s="23">
        <v>414.17</v>
      </c>
      <c r="Z205" s="23">
        <v>0</v>
      </c>
      <c r="AA205" s="23">
        <v>0</v>
      </c>
      <c r="AB205" s="23">
        <v>7335.33</v>
      </c>
    </row>
    <row r="206" spans="1:28" x14ac:dyDescent="0.25">
      <c r="A206">
        <v>27403</v>
      </c>
      <c r="B206" t="str">
        <f t="shared" si="4"/>
        <v>27403</v>
      </c>
      <c r="C206" t="s">
        <v>1210</v>
      </c>
      <c r="D206">
        <v>0</v>
      </c>
      <c r="E206" t="s">
        <v>489</v>
      </c>
      <c r="K206" s="88" t="s">
        <v>194</v>
      </c>
      <c r="L206" s="23">
        <v>112</v>
      </c>
      <c r="M206" s="23">
        <v>1338.05</v>
      </c>
      <c r="N206" s="23">
        <v>0</v>
      </c>
      <c r="O206" s="23">
        <v>4624.91</v>
      </c>
      <c r="P206" s="23">
        <v>0</v>
      </c>
      <c r="Q206" s="23">
        <v>1546.05</v>
      </c>
      <c r="R206" s="23">
        <v>0</v>
      </c>
      <c r="S206" s="23">
        <v>3157.83</v>
      </c>
      <c r="T206" s="23">
        <v>0</v>
      </c>
      <c r="U206" s="23">
        <v>2934.55</v>
      </c>
      <c r="V206" s="23">
        <v>264.19</v>
      </c>
      <c r="W206" s="23">
        <v>0</v>
      </c>
      <c r="X206" s="23">
        <v>5270.89</v>
      </c>
      <c r="Y206" s="23">
        <v>1044.28</v>
      </c>
      <c r="Z206" s="23">
        <v>0</v>
      </c>
      <c r="AA206" s="23">
        <v>414.95</v>
      </c>
      <c r="AB206" s="23">
        <v>20707.7</v>
      </c>
    </row>
    <row r="207" spans="1:28" x14ac:dyDescent="0.25">
      <c r="A207">
        <v>27403</v>
      </c>
      <c r="B207" t="str">
        <f t="shared" si="4"/>
        <v>27403</v>
      </c>
      <c r="C207" t="s">
        <v>1212</v>
      </c>
      <c r="D207">
        <v>414.95</v>
      </c>
      <c r="E207" t="s">
        <v>489</v>
      </c>
      <c r="K207" s="88" t="s">
        <v>195</v>
      </c>
      <c r="L207" s="23">
        <v>47.4</v>
      </c>
      <c r="M207" s="23">
        <v>115.4</v>
      </c>
      <c r="N207" s="23">
        <v>0</v>
      </c>
      <c r="O207" s="23">
        <v>462.41</v>
      </c>
      <c r="P207" s="23">
        <v>0</v>
      </c>
      <c r="Q207" s="23">
        <v>141.6</v>
      </c>
      <c r="R207" s="23">
        <v>0</v>
      </c>
      <c r="S207" s="23">
        <v>305.02</v>
      </c>
      <c r="T207" s="23">
        <v>0</v>
      </c>
      <c r="U207" s="23">
        <v>293.89</v>
      </c>
      <c r="V207" s="23">
        <v>61.98</v>
      </c>
      <c r="W207" s="23">
        <v>0</v>
      </c>
      <c r="X207" s="23">
        <v>522.04999999999995</v>
      </c>
      <c r="Y207" s="23">
        <v>131.96</v>
      </c>
      <c r="Z207" s="23">
        <v>0</v>
      </c>
      <c r="AA207" s="23">
        <v>0</v>
      </c>
      <c r="AB207" s="23">
        <v>2081.7099999999996</v>
      </c>
    </row>
    <row r="208" spans="1:28" x14ac:dyDescent="0.25">
      <c r="A208">
        <v>27403</v>
      </c>
      <c r="B208" t="str">
        <f t="shared" si="4"/>
        <v>27403</v>
      </c>
      <c r="C208" t="s">
        <v>1216</v>
      </c>
      <c r="D208">
        <v>112</v>
      </c>
      <c r="E208" t="s">
        <v>489</v>
      </c>
      <c r="K208" s="88" t="s">
        <v>196</v>
      </c>
      <c r="L208" s="23">
        <v>39.200000000000003</v>
      </c>
      <c r="M208" s="23">
        <v>283.27999999999997</v>
      </c>
      <c r="N208" s="23">
        <v>0</v>
      </c>
      <c r="O208" s="23">
        <v>960.99</v>
      </c>
      <c r="P208" s="23">
        <v>0</v>
      </c>
      <c r="Q208" s="23">
        <v>352.78</v>
      </c>
      <c r="R208" s="23">
        <v>0</v>
      </c>
      <c r="S208" s="23">
        <v>677.72</v>
      </c>
      <c r="T208" s="23">
        <v>0</v>
      </c>
      <c r="U208" s="23">
        <v>643.32000000000005</v>
      </c>
      <c r="V208" s="23">
        <v>30.26</v>
      </c>
      <c r="W208" s="23">
        <v>0</v>
      </c>
      <c r="X208" s="23">
        <v>1191.04</v>
      </c>
      <c r="Y208" s="23">
        <v>309.82</v>
      </c>
      <c r="Z208" s="23">
        <v>0</v>
      </c>
      <c r="AA208" s="23">
        <v>0</v>
      </c>
      <c r="AB208" s="23">
        <v>4488.41</v>
      </c>
    </row>
    <row r="209" spans="1:28" x14ac:dyDescent="0.25">
      <c r="A209">
        <v>27403</v>
      </c>
      <c r="B209" t="str">
        <f t="shared" si="4"/>
        <v>27403</v>
      </c>
      <c r="C209" t="s">
        <v>1198</v>
      </c>
      <c r="D209">
        <v>1338.05</v>
      </c>
      <c r="E209" t="s">
        <v>489</v>
      </c>
      <c r="K209" s="88" t="s">
        <v>197</v>
      </c>
      <c r="L209" s="23">
        <v>0</v>
      </c>
      <c r="M209" s="23">
        <v>289.82</v>
      </c>
      <c r="N209" s="23">
        <v>0</v>
      </c>
      <c r="O209" s="23">
        <v>882.6</v>
      </c>
      <c r="P209" s="23">
        <v>0</v>
      </c>
      <c r="Q209" s="23">
        <v>304.60000000000002</v>
      </c>
      <c r="R209" s="23">
        <v>0</v>
      </c>
      <c r="S209" s="23">
        <v>611.65</v>
      </c>
      <c r="T209" s="23">
        <v>0</v>
      </c>
      <c r="U209" s="23">
        <v>634.42999999999995</v>
      </c>
      <c r="V209" s="23">
        <v>65.8</v>
      </c>
      <c r="W209" s="23">
        <v>0</v>
      </c>
      <c r="X209" s="23">
        <v>1065.02</v>
      </c>
      <c r="Y209" s="23">
        <v>320.72000000000003</v>
      </c>
      <c r="Z209" s="23">
        <v>0</v>
      </c>
      <c r="AA209" s="23">
        <v>0</v>
      </c>
      <c r="AB209" s="23">
        <v>4174.6400000000003</v>
      </c>
    </row>
    <row r="210" spans="1:28" x14ac:dyDescent="0.25">
      <c r="A210">
        <v>20203</v>
      </c>
      <c r="B210" t="str">
        <f t="shared" si="4"/>
        <v>20203</v>
      </c>
      <c r="C210" t="s">
        <v>1193</v>
      </c>
      <c r="D210">
        <v>0</v>
      </c>
      <c r="E210" t="s">
        <v>425</v>
      </c>
      <c r="K210" s="88" t="s">
        <v>632</v>
      </c>
      <c r="L210" s="23">
        <v>17.8</v>
      </c>
      <c r="M210" s="23">
        <v>41.2</v>
      </c>
      <c r="N210" s="23">
        <v>0</v>
      </c>
      <c r="O210" s="23">
        <v>159.19999999999999</v>
      </c>
      <c r="P210" s="23">
        <v>0</v>
      </c>
      <c r="Q210" s="23">
        <v>41.2</v>
      </c>
      <c r="R210" s="23">
        <v>0</v>
      </c>
      <c r="S210" s="23">
        <v>92</v>
      </c>
      <c r="T210" s="23">
        <v>0</v>
      </c>
      <c r="U210" s="23">
        <v>103.7</v>
      </c>
      <c r="V210" s="23">
        <v>8.5299999999999994</v>
      </c>
      <c r="W210" s="23">
        <v>0</v>
      </c>
      <c r="X210" s="23">
        <v>184.57</v>
      </c>
      <c r="Y210" s="23">
        <v>41.88</v>
      </c>
      <c r="Z210" s="23">
        <v>0</v>
      </c>
      <c r="AA210" s="23">
        <v>0</v>
      </c>
      <c r="AB210" s="23">
        <v>690.07999999999993</v>
      </c>
    </row>
    <row r="211" spans="1:28" x14ac:dyDescent="0.25">
      <c r="A211">
        <v>20203</v>
      </c>
      <c r="B211" t="str">
        <f t="shared" si="4"/>
        <v>20203</v>
      </c>
      <c r="C211" t="s">
        <v>1194</v>
      </c>
      <c r="D211">
        <v>27.2</v>
      </c>
      <c r="E211" t="s">
        <v>425</v>
      </c>
      <c r="K211" s="88" t="s">
        <v>666</v>
      </c>
      <c r="L211" s="23">
        <v>0</v>
      </c>
      <c r="M211" s="23">
        <v>45</v>
      </c>
      <c r="N211" s="23">
        <v>0</v>
      </c>
      <c r="O211" s="23">
        <v>147.80000000000001</v>
      </c>
      <c r="P211" s="23">
        <v>0</v>
      </c>
      <c r="Q211" s="23">
        <v>38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230.8</v>
      </c>
    </row>
    <row r="212" spans="1:28" x14ac:dyDescent="0.25">
      <c r="A212">
        <v>20203</v>
      </c>
      <c r="B212" t="str">
        <f t="shared" si="4"/>
        <v>20203</v>
      </c>
      <c r="C212" t="s">
        <v>1195</v>
      </c>
      <c r="D212">
        <v>0</v>
      </c>
      <c r="E212" t="s">
        <v>425</v>
      </c>
      <c r="K212" s="88" t="s">
        <v>626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107.4</v>
      </c>
      <c r="Y212" s="23">
        <v>0</v>
      </c>
      <c r="Z212" s="23">
        <v>0</v>
      </c>
      <c r="AA212" s="23">
        <v>0</v>
      </c>
      <c r="AB212" s="23">
        <v>107.4</v>
      </c>
    </row>
    <row r="213" spans="1:28" x14ac:dyDescent="0.25">
      <c r="A213">
        <v>20203</v>
      </c>
      <c r="B213" t="str">
        <f t="shared" si="4"/>
        <v>20203</v>
      </c>
      <c r="C213" t="s">
        <v>1197</v>
      </c>
      <c r="D213">
        <v>3</v>
      </c>
      <c r="E213" t="s">
        <v>425</v>
      </c>
      <c r="K213" s="88" t="s">
        <v>198</v>
      </c>
      <c r="L213" s="23">
        <v>1.76</v>
      </c>
      <c r="M213" s="23">
        <v>2.4</v>
      </c>
      <c r="N213" s="23">
        <v>0</v>
      </c>
      <c r="O213" s="23">
        <v>3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7.16</v>
      </c>
    </row>
    <row r="214" spans="1:28" x14ac:dyDescent="0.25">
      <c r="A214">
        <v>20203</v>
      </c>
      <c r="B214" t="str">
        <f t="shared" si="4"/>
        <v>20203</v>
      </c>
      <c r="C214" t="s">
        <v>1202</v>
      </c>
      <c r="D214">
        <v>0</v>
      </c>
      <c r="E214" t="s">
        <v>425</v>
      </c>
      <c r="K214" s="88" t="s">
        <v>199</v>
      </c>
      <c r="L214" s="23">
        <v>0</v>
      </c>
      <c r="M214" s="23">
        <v>17.23</v>
      </c>
      <c r="N214" s="23">
        <v>0</v>
      </c>
      <c r="O214" s="23">
        <v>105</v>
      </c>
      <c r="P214" s="23">
        <v>0</v>
      </c>
      <c r="Q214" s="23">
        <v>27.88</v>
      </c>
      <c r="R214" s="23">
        <v>0</v>
      </c>
      <c r="S214" s="23">
        <v>63.34</v>
      </c>
      <c r="T214" s="23">
        <v>0</v>
      </c>
      <c r="U214" s="23">
        <v>70.510000000000005</v>
      </c>
      <c r="V214" s="23">
        <v>0</v>
      </c>
      <c r="W214" s="23">
        <v>0</v>
      </c>
      <c r="X214" s="23">
        <v>165.83</v>
      </c>
      <c r="Y214" s="23">
        <v>13.53</v>
      </c>
      <c r="Z214" s="23">
        <v>0</v>
      </c>
      <c r="AA214" s="23">
        <v>0</v>
      </c>
      <c r="AB214" s="23">
        <v>463.32000000000005</v>
      </c>
    </row>
    <row r="215" spans="1:28" x14ac:dyDescent="0.25">
      <c r="A215">
        <v>20203</v>
      </c>
      <c r="B215" t="str">
        <f t="shared" si="4"/>
        <v>20203</v>
      </c>
      <c r="C215" t="s">
        <v>1206</v>
      </c>
      <c r="D215">
        <v>17</v>
      </c>
      <c r="E215" t="s">
        <v>425</v>
      </c>
      <c r="K215" s="88" t="s">
        <v>200</v>
      </c>
      <c r="L215" s="23">
        <v>0</v>
      </c>
      <c r="M215" s="23">
        <v>13</v>
      </c>
      <c r="N215" s="23">
        <v>0</v>
      </c>
      <c r="O215" s="23">
        <v>29.71</v>
      </c>
      <c r="P215" s="23">
        <v>0</v>
      </c>
      <c r="Q215" s="23">
        <v>11.6</v>
      </c>
      <c r="R215" s="23">
        <v>0</v>
      </c>
      <c r="S215" s="23">
        <v>36.200000000000003</v>
      </c>
      <c r="T215" s="23">
        <v>0</v>
      </c>
      <c r="U215" s="23">
        <v>28.16</v>
      </c>
      <c r="V215" s="23">
        <v>0</v>
      </c>
      <c r="W215" s="23">
        <v>0</v>
      </c>
      <c r="X215" s="23">
        <v>70.260000000000005</v>
      </c>
      <c r="Y215" s="23">
        <v>4.22</v>
      </c>
      <c r="Z215" s="23">
        <v>0</v>
      </c>
      <c r="AA215" s="23">
        <v>0</v>
      </c>
      <c r="AB215" s="23">
        <v>193.15</v>
      </c>
    </row>
    <row r="216" spans="1:28" x14ac:dyDescent="0.25">
      <c r="A216">
        <v>20203</v>
      </c>
      <c r="B216" t="str">
        <f t="shared" si="4"/>
        <v>20203</v>
      </c>
      <c r="C216" t="s">
        <v>1199</v>
      </c>
      <c r="D216">
        <v>0</v>
      </c>
      <c r="E216" t="s">
        <v>425</v>
      </c>
      <c r="K216" s="88" t="s">
        <v>201</v>
      </c>
      <c r="L216" s="23">
        <v>17</v>
      </c>
      <c r="M216" s="23">
        <v>58.8</v>
      </c>
      <c r="N216" s="23">
        <v>0</v>
      </c>
      <c r="O216" s="23">
        <v>145.19999999999999</v>
      </c>
      <c r="P216" s="23">
        <v>0</v>
      </c>
      <c r="Q216" s="23">
        <v>60.15</v>
      </c>
      <c r="R216" s="23">
        <v>0</v>
      </c>
      <c r="S216" s="23">
        <v>107.88</v>
      </c>
      <c r="T216" s="23">
        <v>0</v>
      </c>
      <c r="U216" s="23">
        <v>98.93</v>
      </c>
      <c r="V216" s="23">
        <v>0</v>
      </c>
      <c r="W216" s="23">
        <v>0</v>
      </c>
      <c r="X216" s="23">
        <v>255.8</v>
      </c>
      <c r="Y216" s="23">
        <v>28.4</v>
      </c>
      <c r="Z216" s="23">
        <v>0</v>
      </c>
      <c r="AA216" s="23">
        <v>0</v>
      </c>
      <c r="AB216" s="23">
        <v>772.16</v>
      </c>
    </row>
    <row r="217" spans="1:28" x14ac:dyDescent="0.25">
      <c r="A217">
        <v>20203</v>
      </c>
      <c r="B217" t="str">
        <f t="shared" si="4"/>
        <v>20203</v>
      </c>
      <c r="C217" t="s">
        <v>1203</v>
      </c>
      <c r="D217">
        <v>20.8</v>
      </c>
      <c r="E217" t="s">
        <v>425</v>
      </c>
      <c r="K217" s="88" t="s">
        <v>202</v>
      </c>
      <c r="L217" s="23">
        <v>29</v>
      </c>
      <c r="M217" s="23">
        <v>39.200000000000003</v>
      </c>
      <c r="N217" s="23">
        <v>0</v>
      </c>
      <c r="O217" s="23">
        <v>130.6</v>
      </c>
      <c r="P217" s="23">
        <v>0</v>
      </c>
      <c r="Q217" s="23">
        <v>37.619999999999997</v>
      </c>
      <c r="R217" s="23">
        <v>0</v>
      </c>
      <c r="S217" s="23">
        <v>70.8</v>
      </c>
      <c r="T217" s="23">
        <v>0</v>
      </c>
      <c r="U217" s="23">
        <v>78.400000000000006</v>
      </c>
      <c r="V217" s="23">
        <v>2.66</v>
      </c>
      <c r="W217" s="23">
        <v>0</v>
      </c>
      <c r="X217" s="23">
        <v>122.94</v>
      </c>
      <c r="Y217" s="23">
        <v>28.83</v>
      </c>
      <c r="Z217" s="23">
        <v>0</v>
      </c>
      <c r="AA217" s="23">
        <v>0</v>
      </c>
      <c r="AB217" s="23">
        <v>540.05000000000007</v>
      </c>
    </row>
    <row r="218" spans="1:28" x14ac:dyDescent="0.25">
      <c r="A218">
        <v>20203</v>
      </c>
      <c r="B218" t="str">
        <f t="shared" si="4"/>
        <v>20203</v>
      </c>
      <c r="C218" t="s">
        <v>1200</v>
      </c>
      <c r="D218">
        <v>0</v>
      </c>
      <c r="E218" t="s">
        <v>425</v>
      </c>
      <c r="K218" s="88" t="s">
        <v>203</v>
      </c>
      <c r="L218" s="23">
        <v>25.47</v>
      </c>
      <c r="M218" s="23">
        <v>213.09</v>
      </c>
      <c r="N218" s="23">
        <v>0</v>
      </c>
      <c r="O218" s="23">
        <v>706.58</v>
      </c>
      <c r="P218" s="23">
        <v>0</v>
      </c>
      <c r="Q218" s="23">
        <v>229</v>
      </c>
      <c r="R218" s="23">
        <v>0</v>
      </c>
      <c r="S218" s="23">
        <v>488.81</v>
      </c>
      <c r="T218" s="23">
        <v>0</v>
      </c>
      <c r="U218" s="23">
        <v>512</v>
      </c>
      <c r="V218" s="23">
        <v>64.849999999999994</v>
      </c>
      <c r="W218" s="23">
        <v>0</v>
      </c>
      <c r="X218" s="23">
        <v>939.53</v>
      </c>
      <c r="Y218" s="23">
        <v>287.64</v>
      </c>
      <c r="Z218" s="23">
        <v>0</v>
      </c>
      <c r="AA218" s="23">
        <v>0</v>
      </c>
      <c r="AB218" s="23">
        <v>3466.97</v>
      </c>
    </row>
    <row r="219" spans="1:28" x14ac:dyDescent="0.25">
      <c r="A219">
        <v>20203</v>
      </c>
      <c r="B219" t="str">
        <f t="shared" si="4"/>
        <v>20203</v>
      </c>
      <c r="C219" t="s">
        <v>1204</v>
      </c>
      <c r="D219">
        <v>15.32</v>
      </c>
      <c r="E219" t="s">
        <v>425</v>
      </c>
      <c r="K219" s="88" t="s">
        <v>204</v>
      </c>
      <c r="L219" s="23">
        <v>93.9</v>
      </c>
      <c r="M219" s="23">
        <v>291.61</v>
      </c>
      <c r="N219" s="23">
        <v>0</v>
      </c>
      <c r="O219" s="23">
        <v>962.24</v>
      </c>
      <c r="P219" s="23">
        <v>0</v>
      </c>
      <c r="Q219" s="23">
        <v>341.96</v>
      </c>
      <c r="R219" s="23">
        <v>0</v>
      </c>
      <c r="S219" s="23">
        <v>676.44</v>
      </c>
      <c r="T219" s="23">
        <v>0</v>
      </c>
      <c r="U219" s="23">
        <v>669.06</v>
      </c>
      <c r="V219" s="23">
        <v>42.05</v>
      </c>
      <c r="W219" s="23">
        <v>0</v>
      </c>
      <c r="X219" s="23">
        <v>1231.3399999999999</v>
      </c>
      <c r="Y219" s="23">
        <v>367.64</v>
      </c>
      <c r="Z219" s="23">
        <v>0</v>
      </c>
      <c r="AA219" s="23">
        <v>0</v>
      </c>
      <c r="AB219" s="23">
        <v>4676.2400000000007</v>
      </c>
    </row>
    <row r="220" spans="1:28" x14ac:dyDescent="0.25">
      <c r="A220">
        <v>20203</v>
      </c>
      <c r="B220" t="str">
        <f t="shared" si="4"/>
        <v>20203</v>
      </c>
      <c r="C220" t="s">
        <v>1207</v>
      </c>
      <c r="D220">
        <v>0</v>
      </c>
      <c r="E220" t="s">
        <v>425</v>
      </c>
      <c r="K220" s="88" t="s">
        <v>205</v>
      </c>
      <c r="L220" s="23">
        <v>0</v>
      </c>
      <c r="M220" s="23">
        <v>160.01</v>
      </c>
      <c r="N220" s="23">
        <v>0</v>
      </c>
      <c r="O220" s="23">
        <v>572.04</v>
      </c>
      <c r="P220" s="23">
        <v>0</v>
      </c>
      <c r="Q220" s="23">
        <v>195.12</v>
      </c>
      <c r="R220" s="23">
        <v>0</v>
      </c>
      <c r="S220" s="23">
        <v>408.48</v>
      </c>
      <c r="T220" s="23">
        <v>0</v>
      </c>
      <c r="U220" s="23">
        <v>408.48</v>
      </c>
      <c r="V220" s="23">
        <v>26.55</v>
      </c>
      <c r="W220" s="23">
        <v>0</v>
      </c>
      <c r="X220" s="23">
        <v>693.52</v>
      </c>
      <c r="Y220" s="23">
        <v>100.41</v>
      </c>
      <c r="Z220" s="23">
        <v>0</v>
      </c>
      <c r="AA220" s="23">
        <v>0</v>
      </c>
      <c r="AB220" s="23">
        <v>2564.6099999999997</v>
      </c>
    </row>
    <row r="221" spans="1:28" x14ac:dyDescent="0.25">
      <c r="A221">
        <v>20203</v>
      </c>
      <c r="B221" t="str">
        <f t="shared" si="4"/>
        <v>20203</v>
      </c>
      <c r="C221" t="s">
        <v>1208</v>
      </c>
      <c r="D221">
        <v>0</v>
      </c>
      <c r="E221" t="s">
        <v>425</v>
      </c>
      <c r="K221" s="88" t="s">
        <v>206</v>
      </c>
      <c r="L221" s="23">
        <v>0</v>
      </c>
      <c r="M221" s="23">
        <v>29.8</v>
      </c>
      <c r="N221" s="23">
        <v>0</v>
      </c>
      <c r="O221" s="23">
        <v>87.8</v>
      </c>
      <c r="P221" s="23">
        <v>0</v>
      </c>
      <c r="Q221" s="23">
        <v>30.6</v>
      </c>
      <c r="R221" s="23">
        <v>0</v>
      </c>
      <c r="S221" s="23">
        <v>79.2</v>
      </c>
      <c r="T221" s="23">
        <v>0</v>
      </c>
      <c r="U221" s="23">
        <v>76.88</v>
      </c>
      <c r="V221" s="23">
        <v>5.54</v>
      </c>
      <c r="W221" s="23">
        <v>0</v>
      </c>
      <c r="X221" s="23">
        <v>147.09</v>
      </c>
      <c r="Y221" s="23">
        <v>15.71</v>
      </c>
      <c r="Z221" s="23">
        <v>0</v>
      </c>
      <c r="AA221" s="23">
        <v>0</v>
      </c>
      <c r="AB221" s="23">
        <v>472.61999999999995</v>
      </c>
    </row>
    <row r="222" spans="1:28" x14ac:dyDescent="0.25">
      <c r="A222">
        <v>20203</v>
      </c>
      <c r="B222" t="str">
        <f t="shared" si="4"/>
        <v>20203</v>
      </c>
      <c r="C222" t="s">
        <v>1210</v>
      </c>
      <c r="D222">
        <v>0</v>
      </c>
      <c r="E222" t="s">
        <v>425</v>
      </c>
      <c r="K222" s="88" t="s">
        <v>207</v>
      </c>
      <c r="L222" s="23">
        <v>0</v>
      </c>
      <c r="M222" s="23">
        <v>43.2</v>
      </c>
      <c r="N222" s="23">
        <v>0</v>
      </c>
      <c r="O222" s="23">
        <v>144.38</v>
      </c>
      <c r="P222" s="23">
        <v>0</v>
      </c>
      <c r="Q222" s="23">
        <v>44.4</v>
      </c>
      <c r="R222" s="23">
        <v>0</v>
      </c>
      <c r="S222" s="23">
        <v>105.6</v>
      </c>
      <c r="T222" s="23">
        <v>0</v>
      </c>
      <c r="U222" s="23">
        <v>82.6</v>
      </c>
      <c r="V222" s="23">
        <v>0</v>
      </c>
      <c r="W222" s="23">
        <v>0</v>
      </c>
      <c r="X222" s="23">
        <v>0</v>
      </c>
      <c r="Y222" s="23">
        <v>0</v>
      </c>
      <c r="Z222" s="23">
        <v>0</v>
      </c>
      <c r="AA222" s="23">
        <v>0</v>
      </c>
      <c r="AB222" s="23">
        <v>420.17999999999995</v>
      </c>
    </row>
    <row r="223" spans="1:28" x14ac:dyDescent="0.25">
      <c r="A223">
        <v>20203</v>
      </c>
      <c r="B223" t="str">
        <f t="shared" si="4"/>
        <v>20203</v>
      </c>
      <c r="C223" t="s">
        <v>1212</v>
      </c>
      <c r="D223">
        <v>0</v>
      </c>
      <c r="E223" t="s">
        <v>425</v>
      </c>
      <c r="K223" s="88" t="s">
        <v>208</v>
      </c>
      <c r="L223" s="23">
        <v>93.8</v>
      </c>
      <c r="M223" s="23">
        <v>402.25</v>
      </c>
      <c r="N223" s="23">
        <v>0</v>
      </c>
      <c r="O223" s="23">
        <v>1276.8900000000001</v>
      </c>
      <c r="P223" s="23">
        <v>0</v>
      </c>
      <c r="Q223" s="23">
        <v>419.9</v>
      </c>
      <c r="R223" s="23">
        <v>0</v>
      </c>
      <c r="S223" s="23">
        <v>844.09</v>
      </c>
      <c r="T223" s="23">
        <v>0</v>
      </c>
      <c r="U223" s="23">
        <v>828.47</v>
      </c>
      <c r="V223" s="23">
        <v>41.02</v>
      </c>
      <c r="W223" s="23">
        <v>0</v>
      </c>
      <c r="X223" s="23">
        <v>2049.2399999999998</v>
      </c>
      <c r="Y223" s="23">
        <v>472.65</v>
      </c>
      <c r="Z223" s="23">
        <v>0</v>
      </c>
      <c r="AA223" s="23">
        <v>324.06</v>
      </c>
      <c r="AB223" s="23">
        <v>6752.37</v>
      </c>
    </row>
    <row r="224" spans="1:28" x14ac:dyDescent="0.25">
      <c r="A224">
        <v>20203</v>
      </c>
      <c r="B224" t="str">
        <f t="shared" si="4"/>
        <v>20203</v>
      </c>
      <c r="C224" t="s">
        <v>1216</v>
      </c>
      <c r="D224">
        <v>0</v>
      </c>
      <c r="E224" t="s">
        <v>425</v>
      </c>
      <c r="K224" s="88" t="s">
        <v>209</v>
      </c>
      <c r="L224" s="23">
        <v>7.8</v>
      </c>
      <c r="M224" s="23">
        <v>12.8</v>
      </c>
      <c r="N224" s="23">
        <v>0</v>
      </c>
      <c r="O224" s="23">
        <v>36.799999999999997</v>
      </c>
      <c r="P224" s="23">
        <v>0</v>
      </c>
      <c r="Q224" s="23">
        <v>15.8</v>
      </c>
      <c r="R224" s="23">
        <v>0</v>
      </c>
      <c r="S224" s="23">
        <v>18.2</v>
      </c>
      <c r="T224" s="23">
        <v>0</v>
      </c>
      <c r="U224" s="23">
        <v>16.600000000000001</v>
      </c>
      <c r="V224" s="23">
        <v>0</v>
      </c>
      <c r="W224" s="23">
        <v>0</v>
      </c>
      <c r="X224" s="23">
        <v>0</v>
      </c>
      <c r="Y224" s="23">
        <v>0</v>
      </c>
      <c r="Z224" s="23">
        <v>0</v>
      </c>
      <c r="AA224" s="23">
        <v>0</v>
      </c>
      <c r="AB224" s="23">
        <v>108</v>
      </c>
    </row>
    <row r="225" spans="1:28" x14ac:dyDescent="0.25">
      <c r="A225">
        <v>20203</v>
      </c>
      <c r="B225" t="str">
        <f t="shared" si="4"/>
        <v>20203</v>
      </c>
      <c r="C225" t="s">
        <v>1198</v>
      </c>
      <c r="D225">
        <v>8.6</v>
      </c>
      <c r="E225" t="s">
        <v>425</v>
      </c>
      <c r="K225" s="88" t="s">
        <v>210</v>
      </c>
      <c r="L225" s="23">
        <v>0</v>
      </c>
      <c r="M225" s="23">
        <v>10.8</v>
      </c>
      <c r="N225" s="23">
        <v>0</v>
      </c>
      <c r="O225" s="23">
        <v>24</v>
      </c>
      <c r="P225" s="23">
        <v>0</v>
      </c>
      <c r="Q225" s="23">
        <v>9.8000000000000007</v>
      </c>
      <c r="R225" s="23">
        <v>0</v>
      </c>
      <c r="S225" s="23">
        <v>14</v>
      </c>
      <c r="T225" s="23">
        <v>0</v>
      </c>
      <c r="U225" s="23">
        <v>13</v>
      </c>
      <c r="V225" s="23">
        <v>0</v>
      </c>
      <c r="W225" s="23">
        <v>0</v>
      </c>
      <c r="X225" s="23">
        <v>0</v>
      </c>
      <c r="Y225" s="23">
        <v>0</v>
      </c>
      <c r="Z225" s="23">
        <v>0</v>
      </c>
      <c r="AA225" s="23">
        <v>0</v>
      </c>
      <c r="AB225" s="23">
        <v>71.599999999999994</v>
      </c>
    </row>
    <row r="226" spans="1:28" x14ac:dyDescent="0.25">
      <c r="A226">
        <v>37503</v>
      </c>
      <c r="B226" t="str">
        <f t="shared" si="4"/>
        <v>37503</v>
      </c>
      <c r="C226" t="s">
        <v>1193</v>
      </c>
      <c r="D226">
        <v>0</v>
      </c>
      <c r="E226" t="s">
        <v>566</v>
      </c>
      <c r="K226" s="88" t="s">
        <v>211</v>
      </c>
      <c r="L226" s="23">
        <v>0</v>
      </c>
      <c r="M226" s="23">
        <v>5</v>
      </c>
      <c r="N226" s="23">
        <v>0</v>
      </c>
      <c r="O226" s="23">
        <v>14</v>
      </c>
      <c r="P226" s="23">
        <v>0</v>
      </c>
      <c r="Q226" s="23">
        <v>2.6</v>
      </c>
      <c r="R226" s="23">
        <v>0</v>
      </c>
      <c r="S226" s="23">
        <v>9.8000000000000007</v>
      </c>
      <c r="T226" s="23">
        <v>0</v>
      </c>
      <c r="U226" s="23">
        <v>10</v>
      </c>
      <c r="V226" s="23">
        <v>0</v>
      </c>
      <c r="W226" s="23">
        <v>0</v>
      </c>
      <c r="X226" s="23">
        <v>19.87</v>
      </c>
      <c r="Y226" s="23">
        <v>0</v>
      </c>
      <c r="Z226" s="23">
        <v>0</v>
      </c>
      <c r="AA226" s="23">
        <v>0</v>
      </c>
      <c r="AB226" s="23">
        <v>61.27000000000001</v>
      </c>
    </row>
    <row r="227" spans="1:28" x14ac:dyDescent="0.25">
      <c r="A227">
        <v>37503</v>
      </c>
      <c r="B227" t="str">
        <f t="shared" si="4"/>
        <v>37503</v>
      </c>
      <c r="C227" t="s">
        <v>1194</v>
      </c>
      <c r="D227">
        <v>400.03</v>
      </c>
      <c r="E227" t="s">
        <v>566</v>
      </c>
      <c r="K227" s="88" t="s">
        <v>212</v>
      </c>
      <c r="L227" s="23">
        <v>28.6</v>
      </c>
      <c r="M227" s="23">
        <v>34.44</v>
      </c>
      <c r="N227" s="23">
        <v>0</v>
      </c>
      <c r="O227" s="23">
        <v>134.43</v>
      </c>
      <c r="P227" s="23">
        <v>0</v>
      </c>
      <c r="Q227" s="23">
        <v>49.8</v>
      </c>
      <c r="R227" s="23">
        <v>0</v>
      </c>
      <c r="S227" s="23">
        <v>110</v>
      </c>
      <c r="T227" s="23">
        <v>0</v>
      </c>
      <c r="U227" s="23">
        <v>118.6</v>
      </c>
      <c r="V227" s="23">
        <v>15.49</v>
      </c>
      <c r="W227" s="23">
        <v>0</v>
      </c>
      <c r="X227" s="23">
        <v>250.4</v>
      </c>
      <c r="Y227" s="23">
        <v>29.89</v>
      </c>
      <c r="Z227" s="23">
        <v>0</v>
      </c>
      <c r="AA227" s="23">
        <v>0</v>
      </c>
      <c r="AB227" s="23">
        <v>771.65</v>
      </c>
    </row>
    <row r="228" spans="1:28" x14ac:dyDescent="0.25">
      <c r="A228">
        <v>37503</v>
      </c>
      <c r="B228" t="str">
        <f t="shared" si="4"/>
        <v>37503</v>
      </c>
      <c r="C228" t="s">
        <v>1195</v>
      </c>
      <c r="D228">
        <v>0</v>
      </c>
      <c r="E228" t="s">
        <v>566</v>
      </c>
      <c r="K228" s="88" t="s">
        <v>213</v>
      </c>
      <c r="L228" s="23">
        <v>0</v>
      </c>
      <c r="M228" s="23">
        <v>1479.96</v>
      </c>
      <c r="N228" s="23">
        <v>0</v>
      </c>
      <c r="O228" s="23">
        <v>4860.6400000000003</v>
      </c>
      <c r="P228" s="23">
        <v>0</v>
      </c>
      <c r="Q228" s="23">
        <v>1574.17</v>
      </c>
      <c r="R228" s="23">
        <v>0</v>
      </c>
      <c r="S228" s="23">
        <v>3178.62</v>
      </c>
      <c r="T228" s="23">
        <v>0</v>
      </c>
      <c r="U228" s="23">
        <v>3017.19</v>
      </c>
      <c r="V228" s="23">
        <v>477.07</v>
      </c>
      <c r="W228" s="23">
        <v>0</v>
      </c>
      <c r="X228" s="23">
        <v>4872.3599999999997</v>
      </c>
      <c r="Y228" s="23">
        <v>1213.03</v>
      </c>
      <c r="Z228" s="23">
        <v>0</v>
      </c>
      <c r="AA228" s="23">
        <v>0</v>
      </c>
      <c r="AB228" s="23">
        <v>20673.039999999997</v>
      </c>
    </row>
    <row r="229" spans="1:28" x14ac:dyDescent="0.25">
      <c r="A229">
        <v>37503</v>
      </c>
      <c r="B229" t="str">
        <f t="shared" si="4"/>
        <v>37503</v>
      </c>
      <c r="C229" t="s">
        <v>1197</v>
      </c>
      <c r="D229">
        <v>165</v>
      </c>
      <c r="E229" t="s">
        <v>566</v>
      </c>
      <c r="K229" s="88" t="s">
        <v>214</v>
      </c>
      <c r="L229" s="23">
        <v>0</v>
      </c>
      <c r="M229" s="23">
        <v>767.71</v>
      </c>
      <c r="N229" s="23">
        <v>0</v>
      </c>
      <c r="O229" s="23">
        <v>2319.81</v>
      </c>
      <c r="P229" s="23">
        <v>0</v>
      </c>
      <c r="Q229" s="23">
        <v>743.95</v>
      </c>
      <c r="R229" s="23">
        <v>0</v>
      </c>
      <c r="S229" s="23">
        <v>1496.34</v>
      </c>
      <c r="T229" s="23">
        <v>0</v>
      </c>
      <c r="U229" s="23">
        <v>1520.18</v>
      </c>
      <c r="V229" s="23">
        <v>125.64</v>
      </c>
      <c r="W229" s="23">
        <v>0</v>
      </c>
      <c r="X229" s="23">
        <v>2611.2399999999998</v>
      </c>
      <c r="Y229" s="23">
        <v>458.32</v>
      </c>
      <c r="Z229" s="23">
        <v>0</v>
      </c>
      <c r="AA229" s="23">
        <v>0</v>
      </c>
      <c r="AB229" s="23">
        <v>10043.19</v>
      </c>
    </row>
    <row r="230" spans="1:28" x14ac:dyDescent="0.25">
      <c r="A230">
        <v>37503</v>
      </c>
      <c r="B230" t="str">
        <f t="shared" si="4"/>
        <v>37503</v>
      </c>
      <c r="C230" t="s">
        <v>1202</v>
      </c>
      <c r="D230">
        <v>0</v>
      </c>
      <c r="E230" t="s">
        <v>566</v>
      </c>
      <c r="K230" s="88" t="s">
        <v>215</v>
      </c>
      <c r="L230" s="23">
        <v>0</v>
      </c>
      <c r="M230" s="23">
        <v>990.76</v>
      </c>
      <c r="N230" s="23">
        <v>0</v>
      </c>
      <c r="O230" s="23">
        <v>3437.96</v>
      </c>
      <c r="P230" s="23">
        <v>0</v>
      </c>
      <c r="Q230" s="23">
        <v>1121.0999999999999</v>
      </c>
      <c r="R230" s="23">
        <v>0</v>
      </c>
      <c r="S230" s="23">
        <v>2308.4899999999998</v>
      </c>
      <c r="T230" s="23">
        <v>0</v>
      </c>
      <c r="U230" s="23">
        <v>2198.87</v>
      </c>
      <c r="V230" s="23">
        <v>181.17</v>
      </c>
      <c r="W230" s="23">
        <v>0</v>
      </c>
      <c r="X230" s="23">
        <v>4624.57</v>
      </c>
      <c r="Y230" s="23">
        <v>537.47</v>
      </c>
      <c r="Z230" s="23">
        <v>0</v>
      </c>
      <c r="AA230" s="23">
        <v>563.52</v>
      </c>
      <c r="AB230" s="23">
        <v>15963.91</v>
      </c>
    </row>
    <row r="231" spans="1:28" x14ac:dyDescent="0.25">
      <c r="A231">
        <v>37503</v>
      </c>
      <c r="B231" t="str">
        <f t="shared" si="4"/>
        <v>37503</v>
      </c>
      <c r="C231" t="s">
        <v>1206</v>
      </c>
      <c r="D231">
        <v>307.77</v>
      </c>
      <c r="E231" t="s">
        <v>566</v>
      </c>
      <c r="K231" s="88" t="s">
        <v>216</v>
      </c>
      <c r="L231" s="23">
        <v>0</v>
      </c>
      <c r="M231" s="23">
        <v>1437.97</v>
      </c>
      <c r="N231" s="23">
        <v>0</v>
      </c>
      <c r="O231" s="23">
        <v>4490.38</v>
      </c>
      <c r="P231" s="23">
        <v>0</v>
      </c>
      <c r="Q231" s="23">
        <v>1425.29</v>
      </c>
      <c r="R231" s="23">
        <v>0</v>
      </c>
      <c r="S231" s="23">
        <v>2934.2</v>
      </c>
      <c r="T231" s="23">
        <v>0</v>
      </c>
      <c r="U231" s="23">
        <v>2795.84</v>
      </c>
      <c r="V231" s="23">
        <v>98.16</v>
      </c>
      <c r="W231" s="23">
        <v>0</v>
      </c>
      <c r="X231" s="23">
        <v>5367.29</v>
      </c>
      <c r="Y231" s="23">
        <v>980.84</v>
      </c>
      <c r="Z231" s="23">
        <v>0</v>
      </c>
      <c r="AA231" s="23">
        <v>0</v>
      </c>
      <c r="AB231" s="23">
        <v>19529.97</v>
      </c>
    </row>
    <row r="232" spans="1:28" x14ac:dyDescent="0.25">
      <c r="A232">
        <v>37503</v>
      </c>
      <c r="B232" t="str">
        <f t="shared" si="4"/>
        <v>37503</v>
      </c>
      <c r="C232" t="s">
        <v>1199</v>
      </c>
      <c r="D232">
        <v>0</v>
      </c>
      <c r="E232" t="s">
        <v>566</v>
      </c>
      <c r="K232" s="88" t="s">
        <v>217</v>
      </c>
      <c r="L232" s="23">
        <v>0</v>
      </c>
      <c r="M232" s="23">
        <v>339.08</v>
      </c>
      <c r="N232" s="23">
        <v>0</v>
      </c>
      <c r="O232" s="23">
        <v>1138.6199999999999</v>
      </c>
      <c r="P232" s="23">
        <v>0</v>
      </c>
      <c r="Q232" s="23">
        <v>391.2</v>
      </c>
      <c r="R232" s="23">
        <v>0</v>
      </c>
      <c r="S232" s="23">
        <v>856.43</v>
      </c>
      <c r="T232" s="23">
        <v>0</v>
      </c>
      <c r="U232" s="23">
        <v>801.14</v>
      </c>
      <c r="V232" s="23">
        <v>36.33</v>
      </c>
      <c r="W232" s="23">
        <v>0</v>
      </c>
      <c r="X232" s="23">
        <v>1665.85</v>
      </c>
      <c r="Y232" s="23">
        <v>390.19</v>
      </c>
      <c r="Z232" s="23">
        <v>0</v>
      </c>
      <c r="AA232" s="23">
        <v>0</v>
      </c>
      <c r="AB232" s="23">
        <v>5618.8399999999992</v>
      </c>
    </row>
    <row r="233" spans="1:28" x14ac:dyDescent="0.25">
      <c r="A233">
        <v>37503</v>
      </c>
      <c r="B233" t="str">
        <f t="shared" si="4"/>
        <v>37503</v>
      </c>
      <c r="C233" t="s">
        <v>1203</v>
      </c>
      <c r="D233">
        <v>299.69</v>
      </c>
      <c r="E233" t="s">
        <v>566</v>
      </c>
      <c r="K233" s="88" t="s">
        <v>218</v>
      </c>
      <c r="L233" s="23">
        <v>0</v>
      </c>
      <c r="M233" s="23">
        <v>664.6</v>
      </c>
      <c r="N233" s="23">
        <v>0</v>
      </c>
      <c r="O233" s="23">
        <v>2157.67</v>
      </c>
      <c r="P233" s="23">
        <v>0</v>
      </c>
      <c r="Q233" s="23">
        <v>734.97</v>
      </c>
      <c r="R233" s="23">
        <v>0</v>
      </c>
      <c r="S233" s="23">
        <v>1425.39</v>
      </c>
      <c r="T233" s="23">
        <v>0</v>
      </c>
      <c r="U233" s="23">
        <v>1378.04</v>
      </c>
      <c r="V233" s="23">
        <v>189.26</v>
      </c>
      <c r="W233" s="23">
        <v>0</v>
      </c>
      <c r="X233" s="23">
        <v>2577.85</v>
      </c>
      <c r="Y233" s="23">
        <v>628.66999999999996</v>
      </c>
      <c r="Z233" s="23">
        <v>0</v>
      </c>
      <c r="AA233" s="23">
        <v>0</v>
      </c>
      <c r="AB233" s="23">
        <v>9756.4500000000007</v>
      </c>
    </row>
    <row r="234" spans="1:28" x14ac:dyDescent="0.25">
      <c r="A234">
        <v>37503</v>
      </c>
      <c r="B234" t="str">
        <f t="shared" si="4"/>
        <v>37503</v>
      </c>
      <c r="C234" t="s">
        <v>1200</v>
      </c>
      <c r="D234">
        <v>0</v>
      </c>
      <c r="E234" t="s">
        <v>566</v>
      </c>
      <c r="K234" s="88" t="s">
        <v>219</v>
      </c>
      <c r="L234" s="23">
        <v>0</v>
      </c>
      <c r="M234" s="23">
        <v>4.3</v>
      </c>
      <c r="N234" s="23">
        <v>0</v>
      </c>
      <c r="O234" s="23">
        <v>14.8</v>
      </c>
      <c r="P234" s="23">
        <v>0</v>
      </c>
      <c r="Q234" s="23">
        <v>5</v>
      </c>
      <c r="R234" s="23">
        <v>0</v>
      </c>
      <c r="S234" s="23">
        <v>7.08</v>
      </c>
      <c r="T234" s="23">
        <v>0</v>
      </c>
      <c r="U234" s="23">
        <v>3</v>
      </c>
      <c r="V234" s="23">
        <v>0</v>
      </c>
      <c r="W234" s="23">
        <v>0</v>
      </c>
      <c r="X234" s="23">
        <v>0</v>
      </c>
      <c r="Y234" s="23">
        <v>0</v>
      </c>
      <c r="Z234" s="23">
        <v>0</v>
      </c>
      <c r="AA234" s="23">
        <v>0</v>
      </c>
      <c r="AB234" s="23">
        <v>34.18</v>
      </c>
    </row>
    <row r="235" spans="1:28" x14ac:dyDescent="0.25">
      <c r="A235">
        <v>37503</v>
      </c>
      <c r="B235" t="str">
        <f t="shared" si="4"/>
        <v>37503</v>
      </c>
      <c r="C235" t="s">
        <v>1204</v>
      </c>
      <c r="D235">
        <v>482.11</v>
      </c>
      <c r="E235" t="s">
        <v>566</v>
      </c>
      <c r="K235" s="88" t="s">
        <v>220</v>
      </c>
      <c r="L235" s="23">
        <v>49.6</v>
      </c>
      <c r="M235" s="23">
        <v>334</v>
      </c>
      <c r="N235" s="23">
        <v>0</v>
      </c>
      <c r="O235" s="23">
        <v>1097.43</v>
      </c>
      <c r="P235" s="23">
        <v>0</v>
      </c>
      <c r="Q235" s="23">
        <v>335.81</v>
      </c>
      <c r="R235" s="23">
        <v>0</v>
      </c>
      <c r="S235" s="23">
        <v>764.79</v>
      </c>
      <c r="T235" s="23">
        <v>0</v>
      </c>
      <c r="U235" s="23">
        <v>681.26</v>
      </c>
      <c r="V235" s="23">
        <v>75.55</v>
      </c>
      <c r="W235" s="23">
        <v>0</v>
      </c>
      <c r="X235" s="23">
        <v>1320.29</v>
      </c>
      <c r="Y235" s="23">
        <v>362.88</v>
      </c>
      <c r="Z235" s="23">
        <v>0</v>
      </c>
      <c r="AA235" s="23">
        <v>0</v>
      </c>
      <c r="AB235" s="23">
        <v>5021.6100000000006</v>
      </c>
    </row>
    <row r="236" spans="1:28" x14ac:dyDescent="0.25">
      <c r="A236">
        <v>37503</v>
      </c>
      <c r="B236" t="str">
        <f t="shared" si="4"/>
        <v>37503</v>
      </c>
      <c r="C236" t="s">
        <v>1207</v>
      </c>
      <c r="D236">
        <v>6.38</v>
      </c>
      <c r="E236" t="s">
        <v>566</v>
      </c>
      <c r="K236" s="88" t="s">
        <v>221</v>
      </c>
      <c r="L236" s="23">
        <v>59</v>
      </c>
      <c r="M236" s="23">
        <v>636.14</v>
      </c>
      <c r="N236" s="23">
        <v>0</v>
      </c>
      <c r="O236" s="23">
        <v>2042.77</v>
      </c>
      <c r="P236" s="23">
        <v>0</v>
      </c>
      <c r="Q236" s="23">
        <v>699.92</v>
      </c>
      <c r="R236" s="23">
        <v>0</v>
      </c>
      <c r="S236" s="23">
        <v>1382.79</v>
      </c>
      <c r="T236" s="23">
        <v>0</v>
      </c>
      <c r="U236" s="23">
        <v>1371.43</v>
      </c>
      <c r="V236" s="23">
        <v>120.41</v>
      </c>
      <c r="W236" s="23">
        <v>0</v>
      </c>
      <c r="X236" s="23">
        <v>2882.93</v>
      </c>
      <c r="Y236" s="23">
        <v>445.02</v>
      </c>
      <c r="Z236" s="23">
        <v>0</v>
      </c>
      <c r="AA236" s="23">
        <v>0</v>
      </c>
      <c r="AB236" s="23">
        <v>9640.41</v>
      </c>
    </row>
    <row r="237" spans="1:28" x14ac:dyDescent="0.25">
      <c r="A237">
        <v>37503</v>
      </c>
      <c r="B237" t="str">
        <f t="shared" si="4"/>
        <v>37503</v>
      </c>
      <c r="C237" t="s">
        <v>1208</v>
      </c>
      <c r="D237">
        <v>95.48</v>
      </c>
      <c r="E237" t="s">
        <v>566</v>
      </c>
      <c r="K237" s="88" t="s">
        <v>222</v>
      </c>
      <c r="L237" s="23">
        <v>0</v>
      </c>
      <c r="M237" s="23">
        <v>176.99</v>
      </c>
      <c r="N237" s="23">
        <v>0</v>
      </c>
      <c r="O237" s="23">
        <v>601.76</v>
      </c>
      <c r="P237" s="23">
        <v>0</v>
      </c>
      <c r="Q237" s="23">
        <v>179.25</v>
      </c>
      <c r="R237" s="23">
        <v>0</v>
      </c>
      <c r="S237" s="23">
        <v>443.12</v>
      </c>
      <c r="T237" s="23">
        <v>0</v>
      </c>
      <c r="U237" s="23">
        <v>416.7</v>
      </c>
      <c r="V237" s="23">
        <v>24.7</v>
      </c>
      <c r="W237" s="23">
        <v>0</v>
      </c>
      <c r="X237" s="23">
        <v>725.23</v>
      </c>
      <c r="Y237" s="23">
        <v>148.44999999999999</v>
      </c>
      <c r="Z237" s="23">
        <v>0</v>
      </c>
      <c r="AA237" s="23">
        <v>0</v>
      </c>
      <c r="AB237" s="23">
        <v>2716.2</v>
      </c>
    </row>
    <row r="238" spans="1:28" x14ac:dyDescent="0.25">
      <c r="A238">
        <v>37503</v>
      </c>
      <c r="B238" t="str">
        <f t="shared" si="4"/>
        <v>37503</v>
      </c>
      <c r="C238" t="s">
        <v>1210</v>
      </c>
      <c r="D238">
        <v>0</v>
      </c>
      <c r="E238" t="s">
        <v>566</v>
      </c>
      <c r="K238" s="88" t="s">
        <v>223</v>
      </c>
      <c r="L238" s="23">
        <v>54.2</v>
      </c>
      <c r="M238" s="23">
        <v>160.80000000000001</v>
      </c>
      <c r="N238" s="23">
        <v>0</v>
      </c>
      <c r="O238" s="23">
        <v>492.56</v>
      </c>
      <c r="P238" s="23">
        <v>0</v>
      </c>
      <c r="Q238" s="23">
        <v>163.6</v>
      </c>
      <c r="R238" s="23">
        <v>0</v>
      </c>
      <c r="S238" s="23">
        <v>336.8</v>
      </c>
      <c r="T238" s="23">
        <v>0</v>
      </c>
      <c r="U238" s="23">
        <v>315</v>
      </c>
      <c r="V238" s="23">
        <v>23.63</v>
      </c>
      <c r="W238" s="23">
        <v>0</v>
      </c>
      <c r="X238" s="23">
        <v>505.44</v>
      </c>
      <c r="Y238" s="23">
        <v>167.87</v>
      </c>
      <c r="Z238" s="23">
        <v>0</v>
      </c>
      <c r="AA238" s="23">
        <v>0</v>
      </c>
      <c r="AB238" s="23">
        <v>2219.9</v>
      </c>
    </row>
    <row r="239" spans="1:28" x14ac:dyDescent="0.25">
      <c r="A239">
        <v>37503</v>
      </c>
      <c r="B239" t="str">
        <f t="shared" si="4"/>
        <v>37503</v>
      </c>
      <c r="C239" t="s">
        <v>1212</v>
      </c>
      <c r="D239">
        <v>0</v>
      </c>
      <c r="E239" t="s">
        <v>566</v>
      </c>
      <c r="K239" s="88" t="s">
        <v>224</v>
      </c>
      <c r="L239" s="23">
        <v>10</v>
      </c>
      <c r="M239" s="23">
        <v>34</v>
      </c>
      <c r="N239" s="23">
        <v>0</v>
      </c>
      <c r="O239" s="23">
        <v>114.6</v>
      </c>
      <c r="P239" s="23">
        <v>0</v>
      </c>
      <c r="Q239" s="23">
        <v>28</v>
      </c>
      <c r="R239" s="23">
        <v>0</v>
      </c>
      <c r="S239" s="23">
        <v>76.599999999999994</v>
      </c>
      <c r="T239" s="23">
        <v>0</v>
      </c>
      <c r="U239" s="23">
        <v>59.8</v>
      </c>
      <c r="V239" s="23">
        <v>0</v>
      </c>
      <c r="W239" s="23">
        <v>0</v>
      </c>
      <c r="X239" s="23">
        <v>101.03</v>
      </c>
      <c r="Y239" s="23">
        <v>15.29</v>
      </c>
      <c r="Z239" s="23">
        <v>0</v>
      </c>
      <c r="AA239" s="23">
        <v>0</v>
      </c>
      <c r="AB239" s="23">
        <v>439.32</v>
      </c>
    </row>
    <row r="240" spans="1:28" x14ac:dyDescent="0.25">
      <c r="A240">
        <v>37503</v>
      </c>
      <c r="B240" t="str">
        <f t="shared" si="4"/>
        <v>37503</v>
      </c>
      <c r="C240" t="s">
        <v>1216</v>
      </c>
      <c r="D240">
        <v>49.1</v>
      </c>
      <c r="E240" t="s">
        <v>566</v>
      </c>
      <c r="K240" s="88" t="s">
        <v>225</v>
      </c>
      <c r="L240" s="23">
        <v>0</v>
      </c>
      <c r="M240" s="23">
        <v>141.30000000000001</v>
      </c>
      <c r="N240" s="23">
        <v>0</v>
      </c>
      <c r="O240" s="23">
        <v>507.89</v>
      </c>
      <c r="P240" s="23">
        <v>0</v>
      </c>
      <c r="Q240" s="23">
        <v>147.41</v>
      </c>
      <c r="R240" s="23">
        <v>0</v>
      </c>
      <c r="S240" s="23">
        <v>336.02</v>
      </c>
      <c r="T240" s="23">
        <v>0</v>
      </c>
      <c r="U240" s="23">
        <v>278.54000000000002</v>
      </c>
      <c r="V240" s="23">
        <v>30.2</v>
      </c>
      <c r="W240" s="23">
        <v>0</v>
      </c>
      <c r="X240" s="23">
        <v>560.24</v>
      </c>
      <c r="Y240" s="23">
        <v>93.62</v>
      </c>
      <c r="Z240" s="23">
        <v>0</v>
      </c>
      <c r="AA240" s="23">
        <v>0</v>
      </c>
      <c r="AB240" s="23">
        <v>2095.2199999999998</v>
      </c>
    </row>
    <row r="241" spans="1:28" x14ac:dyDescent="0.25">
      <c r="A241">
        <v>37503</v>
      </c>
      <c r="B241" t="str">
        <f t="shared" si="4"/>
        <v>37503</v>
      </c>
      <c r="C241" t="s">
        <v>1198</v>
      </c>
      <c r="D241">
        <v>120.25</v>
      </c>
      <c r="E241" t="s">
        <v>566</v>
      </c>
      <c r="K241" s="88" t="s">
        <v>226</v>
      </c>
      <c r="L241" s="23">
        <v>28.4</v>
      </c>
      <c r="M241" s="23">
        <v>326.39999999999998</v>
      </c>
      <c r="N241" s="23">
        <v>0</v>
      </c>
      <c r="O241" s="23">
        <v>1019.65</v>
      </c>
      <c r="P241" s="23">
        <v>0</v>
      </c>
      <c r="Q241" s="23">
        <v>339.53</v>
      </c>
      <c r="R241" s="23">
        <v>0</v>
      </c>
      <c r="S241" s="23">
        <v>723.91</v>
      </c>
      <c r="T241" s="23">
        <v>0</v>
      </c>
      <c r="U241" s="23">
        <v>701.11</v>
      </c>
      <c r="V241" s="23">
        <v>79.14</v>
      </c>
      <c r="W241" s="23">
        <v>0</v>
      </c>
      <c r="X241" s="23">
        <v>1322.68</v>
      </c>
      <c r="Y241" s="23">
        <v>380.23</v>
      </c>
      <c r="Z241" s="23">
        <v>0</v>
      </c>
      <c r="AA241" s="23">
        <v>0</v>
      </c>
      <c r="AB241" s="23">
        <v>4921.0499999999993</v>
      </c>
    </row>
    <row r="242" spans="1:28" x14ac:dyDescent="0.25">
      <c r="A242">
        <v>21234</v>
      </c>
      <c r="B242" t="str">
        <f t="shared" si="4"/>
        <v>21234</v>
      </c>
      <c r="C242" t="s">
        <v>1193</v>
      </c>
      <c r="D242">
        <v>0</v>
      </c>
      <c r="E242" t="s">
        <v>440</v>
      </c>
      <c r="K242" s="88" t="s">
        <v>1</v>
      </c>
      <c r="L242" s="23">
        <v>119.5</v>
      </c>
      <c r="M242" s="23">
        <v>1962.32</v>
      </c>
      <c r="N242" s="23">
        <v>0</v>
      </c>
      <c r="O242" s="23">
        <v>6401.95</v>
      </c>
      <c r="P242" s="23">
        <v>0</v>
      </c>
      <c r="Q242" s="23">
        <v>2049.2199999999998</v>
      </c>
      <c r="R242" s="23">
        <v>0</v>
      </c>
      <c r="S242" s="23">
        <v>4348.6400000000003</v>
      </c>
      <c r="T242" s="23">
        <v>0</v>
      </c>
      <c r="U242" s="23">
        <v>4079.63</v>
      </c>
      <c r="V242" s="23">
        <v>252.18</v>
      </c>
      <c r="W242" s="23">
        <v>0</v>
      </c>
      <c r="X242" s="23">
        <v>7607.46</v>
      </c>
      <c r="Y242" s="23">
        <v>1142.71</v>
      </c>
      <c r="Z242" s="23">
        <v>0</v>
      </c>
      <c r="AA242" s="23">
        <v>471.07</v>
      </c>
      <c r="AB242" s="23">
        <v>28434.68</v>
      </c>
    </row>
    <row r="243" spans="1:28" x14ac:dyDescent="0.25">
      <c r="A243">
        <v>21234</v>
      </c>
      <c r="B243" t="str">
        <f t="shared" si="4"/>
        <v>21234</v>
      </c>
      <c r="C243" t="s">
        <v>1194</v>
      </c>
      <c r="D243">
        <v>27.44</v>
      </c>
      <c r="E243" t="s">
        <v>440</v>
      </c>
      <c r="K243" s="88" t="s">
        <v>227</v>
      </c>
      <c r="L243" s="23">
        <v>0</v>
      </c>
      <c r="M243" s="23">
        <v>13</v>
      </c>
      <c r="N243" s="23">
        <v>0</v>
      </c>
      <c r="O243" s="23">
        <v>31</v>
      </c>
      <c r="P243" s="23">
        <v>0</v>
      </c>
      <c r="Q243" s="23">
        <v>11</v>
      </c>
      <c r="R243" s="23">
        <v>0</v>
      </c>
      <c r="S243" s="23">
        <v>17.399999999999999</v>
      </c>
      <c r="T243" s="23">
        <v>0</v>
      </c>
      <c r="U243" s="23">
        <v>5</v>
      </c>
      <c r="V243" s="23">
        <v>0</v>
      </c>
      <c r="W243" s="23">
        <v>0</v>
      </c>
      <c r="X243" s="23">
        <v>0</v>
      </c>
      <c r="Y243" s="23">
        <v>0</v>
      </c>
      <c r="Z243" s="23">
        <v>0</v>
      </c>
      <c r="AA243" s="23">
        <v>0</v>
      </c>
      <c r="AB243" s="23">
        <v>77.400000000000006</v>
      </c>
    </row>
    <row r="244" spans="1:28" x14ac:dyDescent="0.25">
      <c r="A244">
        <v>21234</v>
      </c>
      <c r="B244" t="str">
        <f t="shared" si="4"/>
        <v>21234</v>
      </c>
      <c r="C244" t="s">
        <v>1195</v>
      </c>
      <c r="D244">
        <v>0</v>
      </c>
      <c r="E244" t="s">
        <v>440</v>
      </c>
      <c r="K244" s="88" t="s">
        <v>228</v>
      </c>
      <c r="L244" s="23">
        <v>0</v>
      </c>
      <c r="M244" s="23">
        <v>4</v>
      </c>
      <c r="N244" s="23">
        <v>0</v>
      </c>
      <c r="O244" s="23">
        <v>20</v>
      </c>
      <c r="P244" s="23">
        <v>0</v>
      </c>
      <c r="Q244" s="23">
        <v>9</v>
      </c>
      <c r="R244" s="23">
        <v>0</v>
      </c>
      <c r="S244" s="23">
        <v>11.2</v>
      </c>
      <c r="T244" s="23">
        <v>0</v>
      </c>
      <c r="U244" s="23">
        <v>0</v>
      </c>
      <c r="V244" s="23">
        <v>0</v>
      </c>
      <c r="W244" s="23">
        <v>0</v>
      </c>
      <c r="X244" s="23">
        <v>0</v>
      </c>
      <c r="Y244" s="23">
        <v>0</v>
      </c>
      <c r="Z244" s="23">
        <v>0</v>
      </c>
      <c r="AA244" s="23">
        <v>0</v>
      </c>
      <c r="AB244" s="23">
        <v>44.2</v>
      </c>
    </row>
    <row r="245" spans="1:28" x14ac:dyDescent="0.25">
      <c r="A245">
        <v>21234</v>
      </c>
      <c r="B245" t="str">
        <f t="shared" si="4"/>
        <v>21234</v>
      </c>
      <c r="C245" t="s">
        <v>1197</v>
      </c>
      <c r="D245">
        <v>6</v>
      </c>
      <c r="E245" t="s">
        <v>440</v>
      </c>
      <c r="K245" s="88" t="s">
        <v>229</v>
      </c>
      <c r="L245" s="23">
        <v>44.6</v>
      </c>
      <c r="M245" s="23">
        <v>58.8</v>
      </c>
      <c r="N245" s="23">
        <v>0</v>
      </c>
      <c r="O245" s="23">
        <v>270</v>
      </c>
      <c r="P245" s="23">
        <v>0</v>
      </c>
      <c r="Q245" s="23">
        <v>106.4</v>
      </c>
      <c r="R245" s="23">
        <v>0</v>
      </c>
      <c r="S245" s="23">
        <v>186.54</v>
      </c>
      <c r="T245" s="23">
        <v>0</v>
      </c>
      <c r="U245" s="23">
        <v>201.5</v>
      </c>
      <c r="V245" s="23">
        <v>6.71</v>
      </c>
      <c r="W245" s="23">
        <v>0</v>
      </c>
      <c r="X245" s="23">
        <v>410.13</v>
      </c>
      <c r="Y245" s="23">
        <v>103.54</v>
      </c>
      <c r="Z245" s="23">
        <v>0</v>
      </c>
      <c r="AA245" s="23">
        <v>0</v>
      </c>
      <c r="AB245" s="23">
        <v>1388.2199999999998</v>
      </c>
    </row>
    <row r="246" spans="1:28" x14ac:dyDescent="0.25">
      <c r="A246">
        <v>21234</v>
      </c>
      <c r="B246" t="str">
        <f t="shared" si="4"/>
        <v>21234</v>
      </c>
      <c r="C246" t="s">
        <v>1202</v>
      </c>
      <c r="D246">
        <v>0</v>
      </c>
      <c r="E246" t="s">
        <v>440</v>
      </c>
      <c r="K246" s="88" t="s">
        <v>230</v>
      </c>
      <c r="L246" s="23">
        <v>21.2</v>
      </c>
      <c r="M246" s="23">
        <v>161.91</v>
      </c>
      <c r="N246" s="23">
        <v>0</v>
      </c>
      <c r="O246" s="23">
        <v>430.11</v>
      </c>
      <c r="P246" s="23">
        <v>0</v>
      </c>
      <c r="Q246" s="23">
        <v>118.8</v>
      </c>
      <c r="R246" s="23">
        <v>0</v>
      </c>
      <c r="S246" s="23">
        <v>258</v>
      </c>
      <c r="T246" s="23">
        <v>0</v>
      </c>
      <c r="U246" s="23">
        <v>238.11</v>
      </c>
      <c r="V246" s="23">
        <v>0</v>
      </c>
      <c r="W246" s="23">
        <v>0</v>
      </c>
      <c r="X246" s="23">
        <v>427.99</v>
      </c>
      <c r="Y246" s="23">
        <v>116.45</v>
      </c>
      <c r="Z246" s="23">
        <v>0</v>
      </c>
      <c r="AA246" s="23">
        <v>0</v>
      </c>
      <c r="AB246" s="23">
        <v>1772.5700000000002</v>
      </c>
    </row>
    <row r="247" spans="1:28" x14ac:dyDescent="0.25">
      <c r="A247">
        <v>21234</v>
      </c>
      <c r="B247" t="str">
        <f t="shared" si="4"/>
        <v>21234</v>
      </c>
      <c r="C247" t="s">
        <v>1206</v>
      </c>
      <c r="D247">
        <v>16</v>
      </c>
      <c r="E247" t="s">
        <v>440</v>
      </c>
      <c r="K247" s="88" t="s">
        <v>231</v>
      </c>
      <c r="L247" s="23">
        <v>136.6</v>
      </c>
      <c r="M247" s="23">
        <v>582</v>
      </c>
      <c r="N247" s="23">
        <v>0</v>
      </c>
      <c r="O247" s="23">
        <v>1950.4</v>
      </c>
      <c r="P247" s="23">
        <v>0</v>
      </c>
      <c r="Q247" s="23">
        <v>737.2</v>
      </c>
      <c r="R247" s="23">
        <v>0</v>
      </c>
      <c r="S247" s="23">
        <v>1500.35</v>
      </c>
      <c r="T247" s="23">
        <v>0</v>
      </c>
      <c r="U247" s="23">
        <v>1503.15</v>
      </c>
      <c r="V247" s="23">
        <v>334.76</v>
      </c>
      <c r="W247" s="23">
        <v>0</v>
      </c>
      <c r="X247" s="23">
        <v>2818.47</v>
      </c>
      <c r="Y247" s="23">
        <v>501.44</v>
      </c>
      <c r="Z247" s="23">
        <v>0</v>
      </c>
      <c r="AA247" s="23">
        <v>0</v>
      </c>
      <c r="AB247" s="23">
        <v>10064.369999999999</v>
      </c>
    </row>
    <row r="248" spans="1:28" x14ac:dyDescent="0.25">
      <c r="A248">
        <v>21234</v>
      </c>
      <c r="B248" t="str">
        <f t="shared" si="4"/>
        <v>21234</v>
      </c>
      <c r="C248" t="s">
        <v>1199</v>
      </c>
      <c r="D248">
        <v>0</v>
      </c>
      <c r="E248" t="s">
        <v>440</v>
      </c>
      <c r="K248" s="88" t="s">
        <v>232</v>
      </c>
      <c r="L248" s="23">
        <v>0</v>
      </c>
      <c r="M248" s="23">
        <v>891.46</v>
      </c>
      <c r="N248" s="23">
        <v>0</v>
      </c>
      <c r="O248" s="23">
        <v>3152.63</v>
      </c>
      <c r="P248" s="23">
        <v>0</v>
      </c>
      <c r="Q248" s="23">
        <v>1033.5899999999999</v>
      </c>
      <c r="R248" s="23">
        <v>0</v>
      </c>
      <c r="S248" s="23">
        <v>2266.56</v>
      </c>
      <c r="T248" s="23">
        <v>0</v>
      </c>
      <c r="U248" s="23">
        <v>2148.91</v>
      </c>
      <c r="V248" s="23">
        <v>376.65</v>
      </c>
      <c r="W248" s="23">
        <v>0</v>
      </c>
      <c r="X248" s="23">
        <v>4204.3999999999996</v>
      </c>
      <c r="Y248" s="23">
        <v>706.67</v>
      </c>
      <c r="Z248" s="23">
        <v>0</v>
      </c>
      <c r="AA248" s="23">
        <v>47.4</v>
      </c>
      <c r="AB248" s="23">
        <v>14828.269999999999</v>
      </c>
    </row>
    <row r="249" spans="1:28" x14ac:dyDescent="0.25">
      <c r="A249">
        <v>21234</v>
      </c>
      <c r="B249" t="str">
        <f t="shared" si="4"/>
        <v>21234</v>
      </c>
      <c r="C249" t="s">
        <v>1203</v>
      </c>
      <c r="D249">
        <v>12.28</v>
      </c>
      <c r="E249" t="s">
        <v>440</v>
      </c>
      <c r="K249" s="88" t="s">
        <v>233</v>
      </c>
      <c r="L249" s="23">
        <v>44</v>
      </c>
      <c r="M249" s="23">
        <v>41.8</v>
      </c>
      <c r="N249" s="23">
        <v>0</v>
      </c>
      <c r="O249" s="23">
        <v>187.6</v>
      </c>
      <c r="P249" s="23">
        <v>0</v>
      </c>
      <c r="Q249" s="23">
        <v>56.6</v>
      </c>
      <c r="R249" s="23">
        <v>0</v>
      </c>
      <c r="S249" s="23">
        <v>124.2</v>
      </c>
      <c r="T249" s="23">
        <v>0</v>
      </c>
      <c r="U249" s="23">
        <v>130.71</v>
      </c>
      <c r="V249" s="23">
        <v>28.07</v>
      </c>
      <c r="W249" s="23">
        <v>0</v>
      </c>
      <c r="X249" s="23">
        <v>265.79000000000002</v>
      </c>
      <c r="Y249" s="23">
        <v>106.18</v>
      </c>
      <c r="Z249" s="23">
        <v>0</v>
      </c>
      <c r="AA249" s="23">
        <v>0</v>
      </c>
      <c r="AB249" s="23">
        <v>984.95</v>
      </c>
    </row>
    <row r="250" spans="1:28" x14ac:dyDescent="0.25">
      <c r="A250">
        <v>21234</v>
      </c>
      <c r="B250" t="str">
        <f t="shared" si="4"/>
        <v>21234</v>
      </c>
      <c r="C250" t="s">
        <v>1200</v>
      </c>
      <c r="D250">
        <v>0</v>
      </c>
      <c r="E250" t="s">
        <v>440</v>
      </c>
      <c r="K250" s="88" t="s">
        <v>234</v>
      </c>
      <c r="L250" s="23">
        <v>0</v>
      </c>
      <c r="M250" s="23">
        <v>389.78</v>
      </c>
      <c r="N250" s="23">
        <v>0</v>
      </c>
      <c r="O250" s="23">
        <v>1180.4100000000001</v>
      </c>
      <c r="P250" s="23">
        <v>0</v>
      </c>
      <c r="Q250" s="23">
        <v>436.23</v>
      </c>
      <c r="R250" s="23">
        <v>0</v>
      </c>
      <c r="S250" s="23">
        <v>840.52</v>
      </c>
      <c r="T250" s="23">
        <v>0</v>
      </c>
      <c r="U250" s="23">
        <v>825.47</v>
      </c>
      <c r="V250" s="23">
        <v>111.06</v>
      </c>
      <c r="W250" s="23">
        <v>0</v>
      </c>
      <c r="X250" s="23">
        <v>1280.3800000000001</v>
      </c>
      <c r="Y250" s="23">
        <v>274.23</v>
      </c>
      <c r="Z250" s="23">
        <v>0</v>
      </c>
      <c r="AA250" s="23">
        <v>0</v>
      </c>
      <c r="AB250" s="23">
        <v>5338.08</v>
      </c>
    </row>
    <row r="251" spans="1:28" x14ac:dyDescent="0.25">
      <c r="A251">
        <v>21234</v>
      </c>
      <c r="B251" t="str">
        <f t="shared" si="4"/>
        <v>21234</v>
      </c>
      <c r="C251" t="s">
        <v>1204</v>
      </c>
      <c r="D251">
        <v>0</v>
      </c>
      <c r="E251" t="s">
        <v>440</v>
      </c>
      <c r="K251" s="88" t="s">
        <v>235</v>
      </c>
      <c r="L251" s="23">
        <v>0</v>
      </c>
      <c r="M251" s="23">
        <v>246.81</v>
      </c>
      <c r="N251" s="23">
        <v>0</v>
      </c>
      <c r="O251" s="23">
        <v>775.48</v>
      </c>
      <c r="P251" s="23">
        <v>0</v>
      </c>
      <c r="Q251" s="23">
        <v>229.41</v>
      </c>
      <c r="R251" s="23">
        <v>0</v>
      </c>
      <c r="S251" s="23">
        <v>502</v>
      </c>
      <c r="T251" s="23">
        <v>0</v>
      </c>
      <c r="U251" s="23">
        <v>483.76</v>
      </c>
      <c r="V251" s="23">
        <v>51.62</v>
      </c>
      <c r="W251" s="23">
        <v>0</v>
      </c>
      <c r="X251" s="23">
        <v>835.41</v>
      </c>
      <c r="Y251" s="23">
        <v>195.08</v>
      </c>
      <c r="Z251" s="23">
        <v>0</v>
      </c>
      <c r="AA251" s="23">
        <v>0</v>
      </c>
      <c r="AB251" s="23">
        <v>3319.5699999999997</v>
      </c>
    </row>
    <row r="252" spans="1:28" x14ac:dyDescent="0.25">
      <c r="A252">
        <v>21234</v>
      </c>
      <c r="B252" t="str">
        <f t="shared" si="4"/>
        <v>21234</v>
      </c>
      <c r="C252" t="s">
        <v>1207</v>
      </c>
      <c r="D252">
        <v>1.34</v>
      </c>
      <c r="E252" t="s">
        <v>440</v>
      </c>
      <c r="K252" s="88" t="s">
        <v>236</v>
      </c>
      <c r="L252" s="23">
        <v>20</v>
      </c>
      <c r="M252" s="23">
        <v>36.94</v>
      </c>
      <c r="N252" s="23">
        <v>0</v>
      </c>
      <c r="O252" s="23">
        <v>144.62</v>
      </c>
      <c r="P252" s="23">
        <v>0</v>
      </c>
      <c r="Q252" s="23">
        <v>47.2</v>
      </c>
      <c r="R252" s="23">
        <v>0</v>
      </c>
      <c r="S252" s="23">
        <v>93.4</v>
      </c>
      <c r="T252" s="23">
        <v>0</v>
      </c>
      <c r="U252" s="23">
        <v>93</v>
      </c>
      <c r="V252" s="23">
        <v>0</v>
      </c>
      <c r="W252" s="23">
        <v>0</v>
      </c>
      <c r="X252" s="23">
        <v>142.83000000000001</v>
      </c>
      <c r="Y252" s="23">
        <v>26.11</v>
      </c>
      <c r="Z252" s="23">
        <v>0</v>
      </c>
      <c r="AA252" s="23">
        <v>0</v>
      </c>
      <c r="AB252" s="23">
        <v>604.1</v>
      </c>
    </row>
    <row r="253" spans="1:28" x14ac:dyDescent="0.25">
      <c r="A253">
        <v>21234</v>
      </c>
      <c r="B253" t="str">
        <f t="shared" si="4"/>
        <v>21234</v>
      </c>
      <c r="C253" t="s">
        <v>1208</v>
      </c>
      <c r="D253">
        <v>0</v>
      </c>
      <c r="E253" t="s">
        <v>440</v>
      </c>
      <c r="K253" s="88" t="s">
        <v>237</v>
      </c>
      <c r="L253" s="23">
        <v>0</v>
      </c>
      <c r="M253" s="23">
        <v>197.26</v>
      </c>
      <c r="N253" s="23">
        <v>0</v>
      </c>
      <c r="O253" s="23">
        <v>627.73</v>
      </c>
      <c r="P253" s="23">
        <v>0</v>
      </c>
      <c r="Q253" s="23">
        <v>207.3</v>
      </c>
      <c r="R253" s="23">
        <v>0</v>
      </c>
      <c r="S253" s="23">
        <v>391.21</v>
      </c>
      <c r="T253" s="23">
        <v>0</v>
      </c>
      <c r="U253" s="23">
        <v>353.14</v>
      </c>
      <c r="V253" s="23">
        <v>99.54</v>
      </c>
      <c r="W253" s="23">
        <v>0</v>
      </c>
      <c r="X253" s="23">
        <v>768.77</v>
      </c>
      <c r="Y253" s="23">
        <v>152.47999999999999</v>
      </c>
      <c r="Z253" s="23">
        <v>0</v>
      </c>
      <c r="AA253" s="23">
        <v>0</v>
      </c>
      <c r="AB253" s="23">
        <v>2797.43</v>
      </c>
    </row>
    <row r="254" spans="1:28" x14ac:dyDescent="0.25">
      <c r="A254">
        <v>21234</v>
      </c>
      <c r="B254" t="str">
        <f t="shared" si="4"/>
        <v>21234</v>
      </c>
      <c r="C254" t="s">
        <v>1210</v>
      </c>
      <c r="D254">
        <v>0</v>
      </c>
      <c r="E254" t="s">
        <v>440</v>
      </c>
      <c r="K254" s="88" t="s">
        <v>238</v>
      </c>
      <c r="L254" s="23">
        <v>0</v>
      </c>
      <c r="M254" s="23">
        <v>122.2</v>
      </c>
      <c r="N254" s="23">
        <v>0</v>
      </c>
      <c r="O254" s="23">
        <v>438.2</v>
      </c>
      <c r="P254" s="23">
        <v>0</v>
      </c>
      <c r="Q254" s="23">
        <v>142.6</v>
      </c>
      <c r="R254" s="23">
        <v>0</v>
      </c>
      <c r="S254" s="23">
        <v>311.72000000000003</v>
      </c>
      <c r="T254" s="23">
        <v>0</v>
      </c>
      <c r="U254" s="23">
        <v>345.69</v>
      </c>
      <c r="V254" s="23">
        <v>0</v>
      </c>
      <c r="W254" s="23">
        <v>0</v>
      </c>
      <c r="X254" s="23">
        <v>548.57000000000005</v>
      </c>
      <c r="Y254" s="23">
        <v>119.81</v>
      </c>
      <c r="Z254" s="23">
        <v>0</v>
      </c>
      <c r="AA254" s="23">
        <v>0</v>
      </c>
      <c r="AB254" s="23">
        <v>2028.79</v>
      </c>
    </row>
    <row r="255" spans="1:28" x14ac:dyDescent="0.25">
      <c r="A255">
        <v>21234</v>
      </c>
      <c r="B255" t="str">
        <f t="shared" si="4"/>
        <v>21234</v>
      </c>
      <c r="C255" t="s">
        <v>1212</v>
      </c>
      <c r="D255">
        <v>0</v>
      </c>
      <c r="E255" t="s">
        <v>440</v>
      </c>
      <c r="K255" s="88" t="s">
        <v>239</v>
      </c>
      <c r="L255" s="23">
        <v>0</v>
      </c>
      <c r="M255" s="23">
        <v>86.23</v>
      </c>
      <c r="N255" s="23">
        <v>0</v>
      </c>
      <c r="O255" s="23">
        <v>321.58</v>
      </c>
      <c r="P255" s="23">
        <v>0</v>
      </c>
      <c r="Q255" s="23">
        <v>109.51</v>
      </c>
      <c r="R255" s="23">
        <v>0</v>
      </c>
      <c r="S255" s="23">
        <v>195.16</v>
      </c>
      <c r="T255" s="23">
        <v>0</v>
      </c>
      <c r="U255" s="23">
        <v>229.16</v>
      </c>
      <c r="V255" s="23">
        <v>56.19</v>
      </c>
      <c r="W255" s="23">
        <v>0</v>
      </c>
      <c r="X255" s="23">
        <v>355.73</v>
      </c>
      <c r="Y255" s="23">
        <v>99.99</v>
      </c>
      <c r="Z255" s="23">
        <v>0</v>
      </c>
      <c r="AA255" s="23">
        <v>0</v>
      </c>
      <c r="AB255" s="23">
        <v>1453.55</v>
      </c>
    </row>
    <row r="256" spans="1:28" x14ac:dyDescent="0.25">
      <c r="A256">
        <v>21234</v>
      </c>
      <c r="B256" t="str">
        <f t="shared" si="4"/>
        <v>21234</v>
      </c>
      <c r="C256" t="s">
        <v>1216</v>
      </c>
      <c r="D256">
        <v>3.2</v>
      </c>
      <c r="E256" t="s">
        <v>440</v>
      </c>
      <c r="K256" s="88" t="s">
        <v>615</v>
      </c>
      <c r="L256" s="23">
        <v>0</v>
      </c>
      <c r="M256" s="23">
        <v>74.2</v>
      </c>
      <c r="N256" s="23">
        <v>0</v>
      </c>
      <c r="O256" s="23">
        <v>256</v>
      </c>
      <c r="P256" s="23">
        <v>0</v>
      </c>
      <c r="Q256" s="23">
        <v>93.8</v>
      </c>
      <c r="R256" s="23">
        <v>0</v>
      </c>
      <c r="S256" s="23">
        <v>181.7</v>
      </c>
      <c r="T256" s="23">
        <v>0</v>
      </c>
      <c r="U256" s="23">
        <v>140</v>
      </c>
      <c r="V256" s="23">
        <v>0</v>
      </c>
      <c r="W256" s="23">
        <v>0</v>
      </c>
      <c r="X256" s="23">
        <v>74.599999999999994</v>
      </c>
      <c r="Y256" s="23">
        <v>0</v>
      </c>
      <c r="Z256" s="23">
        <v>0</v>
      </c>
      <c r="AA256" s="23">
        <v>0</v>
      </c>
      <c r="AB256" s="23">
        <v>820.30000000000007</v>
      </c>
    </row>
    <row r="257" spans="1:28" x14ac:dyDescent="0.25">
      <c r="A257">
        <v>21234</v>
      </c>
      <c r="B257" t="str">
        <f t="shared" si="4"/>
        <v>21234</v>
      </c>
      <c r="C257" t="s">
        <v>1198</v>
      </c>
      <c r="D257">
        <v>9.6</v>
      </c>
      <c r="E257" t="s">
        <v>440</v>
      </c>
      <c r="K257" s="88" t="s">
        <v>655</v>
      </c>
      <c r="L257" s="23">
        <v>0</v>
      </c>
      <c r="M257" s="23">
        <v>0</v>
      </c>
      <c r="N257" s="23">
        <v>0</v>
      </c>
      <c r="O257" s="23">
        <v>0</v>
      </c>
      <c r="P257" s="23">
        <v>0</v>
      </c>
      <c r="Q257" s="23">
        <v>0</v>
      </c>
      <c r="R257" s="23">
        <v>0</v>
      </c>
      <c r="S257" s="23">
        <v>0</v>
      </c>
      <c r="T257" s="23">
        <v>0</v>
      </c>
      <c r="U257" s="23">
        <v>0</v>
      </c>
      <c r="V257" s="23">
        <v>0</v>
      </c>
      <c r="W257" s="23">
        <v>0</v>
      </c>
      <c r="X257" s="23">
        <v>28.73</v>
      </c>
      <c r="Y257" s="23">
        <v>0</v>
      </c>
      <c r="Z257" s="23">
        <v>0</v>
      </c>
      <c r="AA257" s="23">
        <v>0</v>
      </c>
      <c r="AB257" s="23">
        <v>28.73</v>
      </c>
    </row>
    <row r="258" spans="1:28" x14ac:dyDescent="0.25">
      <c r="A258">
        <v>18100</v>
      </c>
      <c r="B258" t="str">
        <f t="shared" si="4"/>
        <v>18100</v>
      </c>
      <c r="C258" t="s">
        <v>1193</v>
      </c>
      <c r="D258">
        <v>0</v>
      </c>
      <c r="E258" t="s">
        <v>412</v>
      </c>
      <c r="K258" s="88" t="s">
        <v>628</v>
      </c>
      <c r="L258" s="23">
        <v>0</v>
      </c>
      <c r="M258" s="23">
        <v>0</v>
      </c>
      <c r="N258" s="23">
        <v>0</v>
      </c>
      <c r="O258" s="23">
        <v>0</v>
      </c>
      <c r="P258" s="23">
        <v>0</v>
      </c>
      <c r="Q258" s="23">
        <v>0</v>
      </c>
      <c r="R258" s="23">
        <v>0</v>
      </c>
      <c r="S258" s="23">
        <v>0</v>
      </c>
      <c r="T258" s="23">
        <v>0</v>
      </c>
      <c r="U258" s="23">
        <v>0</v>
      </c>
      <c r="V258" s="23">
        <v>0</v>
      </c>
      <c r="W258" s="23">
        <v>0</v>
      </c>
      <c r="X258" s="23">
        <v>226.95</v>
      </c>
      <c r="Y258" s="23">
        <v>17.96</v>
      </c>
      <c r="Z258" s="23">
        <v>0</v>
      </c>
      <c r="AA258" s="23">
        <v>0</v>
      </c>
      <c r="AB258" s="23">
        <v>244.91</v>
      </c>
    </row>
    <row r="259" spans="1:28" x14ac:dyDescent="0.25">
      <c r="A259">
        <v>18100</v>
      </c>
      <c r="B259" t="str">
        <f t="shared" ref="B259:B322" si="5">TEXT(A259,"00000")</f>
        <v>18100</v>
      </c>
      <c r="C259" t="s">
        <v>1194</v>
      </c>
      <c r="D259">
        <v>1067.74</v>
      </c>
      <c r="E259" t="s">
        <v>412</v>
      </c>
      <c r="K259" s="88" t="s">
        <v>240</v>
      </c>
      <c r="L259" s="23">
        <v>0</v>
      </c>
      <c r="M259" s="23">
        <v>5</v>
      </c>
      <c r="N259" s="23">
        <v>0</v>
      </c>
      <c r="O259" s="23">
        <v>12.4</v>
      </c>
      <c r="P259" s="23">
        <v>0</v>
      </c>
      <c r="Q259" s="23">
        <v>8</v>
      </c>
      <c r="R259" s="23">
        <v>0</v>
      </c>
      <c r="S259" s="23">
        <v>8.8000000000000007</v>
      </c>
      <c r="T259" s="23">
        <v>0</v>
      </c>
      <c r="U259" s="23">
        <v>6.2</v>
      </c>
      <c r="V259" s="23">
        <v>0</v>
      </c>
      <c r="W259" s="23">
        <v>0</v>
      </c>
      <c r="X259" s="23">
        <v>0</v>
      </c>
      <c r="Y259" s="23">
        <v>0</v>
      </c>
      <c r="Z259" s="23">
        <v>0</v>
      </c>
      <c r="AA259" s="23">
        <v>0</v>
      </c>
      <c r="AB259" s="23">
        <v>40.400000000000006</v>
      </c>
    </row>
    <row r="260" spans="1:28" x14ac:dyDescent="0.25">
      <c r="A260">
        <v>18100</v>
      </c>
      <c r="B260" t="str">
        <f t="shared" si="5"/>
        <v>18100</v>
      </c>
      <c r="C260" t="s">
        <v>1195</v>
      </c>
      <c r="D260">
        <v>0</v>
      </c>
      <c r="E260" t="s">
        <v>412</v>
      </c>
      <c r="K260" s="88" t="s">
        <v>241</v>
      </c>
      <c r="L260" s="23">
        <v>13.4</v>
      </c>
      <c r="M260" s="23">
        <v>28.44</v>
      </c>
      <c r="N260" s="23">
        <v>0</v>
      </c>
      <c r="O260" s="23">
        <v>139.4</v>
      </c>
      <c r="P260" s="23">
        <v>0</v>
      </c>
      <c r="Q260" s="23">
        <v>34</v>
      </c>
      <c r="R260" s="23">
        <v>0</v>
      </c>
      <c r="S260" s="23">
        <v>111.87</v>
      </c>
      <c r="T260" s="23">
        <v>0</v>
      </c>
      <c r="U260" s="23">
        <v>97.43</v>
      </c>
      <c r="V260" s="23">
        <v>12.19</v>
      </c>
      <c r="W260" s="23">
        <v>0</v>
      </c>
      <c r="X260" s="23">
        <v>200.27</v>
      </c>
      <c r="Y260" s="23">
        <v>45.41</v>
      </c>
      <c r="Z260" s="23">
        <v>0</v>
      </c>
      <c r="AA260" s="23">
        <v>0</v>
      </c>
      <c r="AB260" s="23">
        <v>682.41</v>
      </c>
    </row>
    <row r="261" spans="1:28" x14ac:dyDescent="0.25">
      <c r="A261">
        <v>18100</v>
      </c>
      <c r="B261" t="str">
        <f t="shared" si="5"/>
        <v>18100</v>
      </c>
      <c r="C261" t="s">
        <v>1197</v>
      </c>
      <c r="D261">
        <v>316.61</v>
      </c>
      <c r="E261" t="s">
        <v>412</v>
      </c>
      <c r="K261" s="88" t="s">
        <v>242</v>
      </c>
      <c r="L261" s="23">
        <v>0</v>
      </c>
      <c r="M261" s="23">
        <v>18.600000000000001</v>
      </c>
      <c r="N261" s="23">
        <v>0</v>
      </c>
      <c r="O261" s="23">
        <v>65.2</v>
      </c>
      <c r="P261" s="23">
        <v>0</v>
      </c>
      <c r="Q261" s="23">
        <v>31.4</v>
      </c>
      <c r="R261" s="23">
        <v>0</v>
      </c>
      <c r="S261" s="23">
        <v>48.2</v>
      </c>
      <c r="T261" s="23">
        <v>0</v>
      </c>
      <c r="U261" s="23">
        <v>56.6</v>
      </c>
      <c r="V261" s="23">
        <v>0</v>
      </c>
      <c r="W261" s="23">
        <v>0</v>
      </c>
      <c r="X261" s="23">
        <v>101.58</v>
      </c>
      <c r="Y261" s="23">
        <v>13.98</v>
      </c>
      <c r="Z261" s="23">
        <v>0</v>
      </c>
      <c r="AA261" s="23">
        <v>0</v>
      </c>
      <c r="AB261" s="23">
        <v>335.56000000000006</v>
      </c>
    </row>
    <row r="262" spans="1:28" x14ac:dyDescent="0.25">
      <c r="A262">
        <v>18100</v>
      </c>
      <c r="B262" t="str">
        <f t="shared" si="5"/>
        <v>18100</v>
      </c>
      <c r="C262" t="s">
        <v>1202</v>
      </c>
      <c r="D262">
        <v>0</v>
      </c>
      <c r="E262" t="s">
        <v>412</v>
      </c>
      <c r="K262" s="88" t="s">
        <v>243</v>
      </c>
      <c r="L262" s="23">
        <v>14</v>
      </c>
      <c r="M262" s="23">
        <v>16.600000000000001</v>
      </c>
      <c r="N262" s="23">
        <v>0</v>
      </c>
      <c r="O262" s="23">
        <v>66.400000000000006</v>
      </c>
      <c r="P262" s="23">
        <v>0</v>
      </c>
      <c r="Q262" s="23">
        <v>17</v>
      </c>
      <c r="R262" s="23">
        <v>0</v>
      </c>
      <c r="S262" s="23">
        <v>35.4</v>
      </c>
      <c r="T262" s="23">
        <v>0</v>
      </c>
      <c r="U262" s="23">
        <v>27.31</v>
      </c>
      <c r="V262" s="23">
        <v>0</v>
      </c>
      <c r="W262" s="23">
        <v>0</v>
      </c>
      <c r="X262" s="23">
        <v>21.66</v>
      </c>
      <c r="Y262" s="23">
        <v>0</v>
      </c>
      <c r="Z262" s="23">
        <v>0</v>
      </c>
      <c r="AA262" s="23">
        <v>0</v>
      </c>
      <c r="AB262" s="23">
        <v>198.37</v>
      </c>
    </row>
    <row r="263" spans="1:28" x14ac:dyDescent="0.25">
      <c r="A263">
        <v>18100</v>
      </c>
      <c r="B263" t="str">
        <f t="shared" si="5"/>
        <v>18100</v>
      </c>
      <c r="C263" t="s">
        <v>1206</v>
      </c>
      <c r="D263">
        <v>631.03</v>
      </c>
      <c r="E263" t="s">
        <v>412</v>
      </c>
      <c r="K263" s="88" t="s">
        <v>244</v>
      </c>
      <c r="L263" s="23">
        <v>72</v>
      </c>
      <c r="M263" s="23">
        <v>105.4</v>
      </c>
      <c r="N263" s="23">
        <v>0</v>
      </c>
      <c r="O263" s="23">
        <v>355.28</v>
      </c>
      <c r="P263" s="23">
        <v>0</v>
      </c>
      <c r="Q263" s="23">
        <v>114.8</v>
      </c>
      <c r="R263" s="23">
        <v>0</v>
      </c>
      <c r="S263" s="23">
        <v>243.78</v>
      </c>
      <c r="T263" s="23">
        <v>0</v>
      </c>
      <c r="U263" s="23">
        <v>264.82</v>
      </c>
      <c r="V263" s="23">
        <v>29.18</v>
      </c>
      <c r="W263" s="23">
        <v>0</v>
      </c>
      <c r="X263" s="23">
        <v>485.72</v>
      </c>
      <c r="Y263" s="23">
        <v>111.74</v>
      </c>
      <c r="Z263" s="23">
        <v>0</v>
      </c>
      <c r="AA263" s="23">
        <v>13.34</v>
      </c>
      <c r="AB263" s="23">
        <v>1796.06</v>
      </c>
    </row>
    <row r="264" spans="1:28" x14ac:dyDescent="0.25">
      <c r="A264">
        <v>18100</v>
      </c>
      <c r="B264" t="str">
        <f t="shared" si="5"/>
        <v>18100</v>
      </c>
      <c r="C264" t="s">
        <v>1199</v>
      </c>
      <c r="D264">
        <v>0</v>
      </c>
      <c r="E264" t="s">
        <v>412</v>
      </c>
      <c r="K264" s="88" t="s">
        <v>245</v>
      </c>
      <c r="L264" s="23">
        <v>0</v>
      </c>
      <c r="M264" s="23">
        <v>15</v>
      </c>
      <c r="N264" s="23">
        <v>0</v>
      </c>
      <c r="O264" s="23">
        <v>45.4</v>
      </c>
      <c r="P264" s="23">
        <v>0</v>
      </c>
      <c r="Q264" s="23">
        <v>12.2</v>
      </c>
      <c r="R264" s="23">
        <v>0</v>
      </c>
      <c r="S264" s="23">
        <v>27.4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100</v>
      </c>
    </row>
    <row r="265" spans="1:28" x14ac:dyDescent="0.25">
      <c r="A265">
        <v>18100</v>
      </c>
      <c r="B265" t="str">
        <f t="shared" si="5"/>
        <v>18100</v>
      </c>
      <c r="C265" t="s">
        <v>1203</v>
      </c>
      <c r="D265">
        <v>530.62</v>
      </c>
      <c r="E265" t="s">
        <v>412</v>
      </c>
      <c r="K265" s="88" t="s">
        <v>246</v>
      </c>
      <c r="L265" s="23">
        <v>0</v>
      </c>
      <c r="M265" s="23">
        <v>11.6</v>
      </c>
      <c r="N265" s="23">
        <v>0</v>
      </c>
      <c r="O265" s="23">
        <v>30</v>
      </c>
      <c r="P265" s="23">
        <v>0</v>
      </c>
      <c r="Q265" s="23">
        <v>11.4</v>
      </c>
      <c r="R265" s="23">
        <v>0</v>
      </c>
      <c r="S265" s="23">
        <v>27.6</v>
      </c>
      <c r="T265" s="23">
        <v>0</v>
      </c>
      <c r="U265" s="23">
        <v>15.7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96.3</v>
      </c>
    </row>
    <row r="266" spans="1:28" x14ac:dyDescent="0.25">
      <c r="A266">
        <v>18100</v>
      </c>
      <c r="B266" t="str">
        <f t="shared" si="5"/>
        <v>18100</v>
      </c>
      <c r="C266" t="s">
        <v>1200</v>
      </c>
      <c r="D266">
        <v>0</v>
      </c>
      <c r="E266" t="s">
        <v>412</v>
      </c>
      <c r="K266" s="88" t="s">
        <v>247</v>
      </c>
      <c r="L266" s="23">
        <v>0</v>
      </c>
      <c r="M266" s="23">
        <v>5.6</v>
      </c>
      <c r="N266" s="23">
        <v>0</v>
      </c>
      <c r="O266" s="23">
        <v>15.8</v>
      </c>
      <c r="P266" s="23">
        <v>0</v>
      </c>
      <c r="Q266" s="23">
        <v>6</v>
      </c>
      <c r="R266" s="23">
        <v>0</v>
      </c>
      <c r="S266" s="23">
        <v>12.8</v>
      </c>
      <c r="T266" s="23">
        <v>0</v>
      </c>
      <c r="U266" s="23">
        <v>0</v>
      </c>
      <c r="V266" s="23">
        <v>0</v>
      </c>
      <c r="W266" s="23">
        <v>0</v>
      </c>
      <c r="X266" s="23">
        <v>0</v>
      </c>
      <c r="Y266" s="23">
        <v>0</v>
      </c>
      <c r="Z266" s="23">
        <v>0</v>
      </c>
      <c r="AA266" s="23">
        <v>0</v>
      </c>
      <c r="AB266" s="23">
        <v>40.200000000000003</v>
      </c>
    </row>
    <row r="267" spans="1:28" x14ac:dyDescent="0.25">
      <c r="A267">
        <v>18100</v>
      </c>
      <c r="B267" t="str">
        <f t="shared" si="5"/>
        <v>18100</v>
      </c>
      <c r="C267" t="s">
        <v>1204</v>
      </c>
      <c r="D267">
        <v>1270.3699999999999</v>
      </c>
      <c r="E267" t="s">
        <v>412</v>
      </c>
      <c r="K267" s="88" t="s">
        <v>248</v>
      </c>
      <c r="L267" s="23">
        <v>8.4</v>
      </c>
      <c r="M267" s="23">
        <v>6.4</v>
      </c>
      <c r="N267" s="23">
        <v>0</v>
      </c>
      <c r="O267" s="23">
        <v>18.600000000000001</v>
      </c>
      <c r="P267" s="23">
        <v>0</v>
      </c>
      <c r="Q267" s="23">
        <v>9.16</v>
      </c>
      <c r="R267" s="23">
        <v>0</v>
      </c>
      <c r="S267" s="23">
        <v>15.96</v>
      </c>
      <c r="T267" s="23">
        <v>0</v>
      </c>
      <c r="U267" s="23">
        <v>19.2</v>
      </c>
      <c r="V267" s="23">
        <v>0.99</v>
      </c>
      <c r="W267" s="23">
        <v>0</v>
      </c>
      <c r="X267" s="23">
        <v>31.71</v>
      </c>
      <c r="Y267" s="23">
        <v>7.03</v>
      </c>
      <c r="Z267" s="23">
        <v>0</v>
      </c>
      <c r="AA267" s="23">
        <v>0</v>
      </c>
      <c r="AB267" s="23">
        <v>117.44999999999999</v>
      </c>
    </row>
    <row r="268" spans="1:28" x14ac:dyDescent="0.25">
      <c r="A268">
        <v>18100</v>
      </c>
      <c r="B268" t="str">
        <f t="shared" si="5"/>
        <v>18100</v>
      </c>
      <c r="C268" t="s">
        <v>1207</v>
      </c>
      <c r="D268">
        <v>95.86</v>
      </c>
      <c r="E268" t="s">
        <v>412</v>
      </c>
      <c r="K268" s="88" t="s">
        <v>249</v>
      </c>
      <c r="L268" s="23">
        <v>0</v>
      </c>
      <c r="M268" s="23">
        <v>23.6</v>
      </c>
      <c r="N268" s="23">
        <v>0</v>
      </c>
      <c r="O268" s="23">
        <v>103.2</v>
      </c>
      <c r="P268" s="23">
        <v>0</v>
      </c>
      <c r="Q268" s="23">
        <v>32.6</v>
      </c>
      <c r="R268" s="23">
        <v>0</v>
      </c>
      <c r="S268" s="23">
        <v>81.900000000000006</v>
      </c>
      <c r="T268" s="23">
        <v>0</v>
      </c>
      <c r="U268" s="23">
        <v>70.599999999999994</v>
      </c>
      <c r="V268" s="23">
        <v>0</v>
      </c>
      <c r="W268" s="23">
        <v>0</v>
      </c>
      <c r="X268" s="23">
        <v>142.35</v>
      </c>
      <c r="Y268" s="23">
        <v>24.14</v>
      </c>
      <c r="Z268" s="23">
        <v>0</v>
      </c>
      <c r="AA268" s="23">
        <v>0</v>
      </c>
      <c r="AB268" s="23">
        <v>478.39</v>
      </c>
    </row>
    <row r="269" spans="1:28" x14ac:dyDescent="0.25">
      <c r="A269">
        <v>18100</v>
      </c>
      <c r="B269" t="str">
        <f t="shared" si="5"/>
        <v>18100</v>
      </c>
      <c r="C269" t="s">
        <v>1208</v>
      </c>
      <c r="D269">
        <v>313.86</v>
      </c>
      <c r="E269" t="s">
        <v>412</v>
      </c>
      <c r="K269" s="88" t="s">
        <v>250</v>
      </c>
      <c r="L269" s="23">
        <v>0</v>
      </c>
      <c r="M269" s="23">
        <v>7.4</v>
      </c>
      <c r="N269" s="23">
        <v>0</v>
      </c>
      <c r="O269" s="23">
        <v>32.799999999999997</v>
      </c>
      <c r="P269" s="23">
        <v>0</v>
      </c>
      <c r="Q269" s="23">
        <v>14.4</v>
      </c>
      <c r="R269" s="23">
        <v>0</v>
      </c>
      <c r="S269" s="23">
        <v>27.2</v>
      </c>
      <c r="T269" s="23">
        <v>0</v>
      </c>
      <c r="U269" s="23">
        <v>24.6</v>
      </c>
      <c r="V269" s="23">
        <v>0</v>
      </c>
      <c r="W269" s="23">
        <v>0</v>
      </c>
      <c r="X269" s="23">
        <v>55.04</v>
      </c>
      <c r="Y269" s="23">
        <v>5.88</v>
      </c>
      <c r="Z269" s="23">
        <v>0</v>
      </c>
      <c r="AA269" s="23">
        <v>0</v>
      </c>
      <c r="AB269" s="23">
        <v>167.32</v>
      </c>
    </row>
    <row r="270" spans="1:28" x14ac:dyDescent="0.25">
      <c r="A270">
        <v>18100</v>
      </c>
      <c r="B270" t="str">
        <f t="shared" si="5"/>
        <v>18100</v>
      </c>
      <c r="C270" t="s">
        <v>1210</v>
      </c>
      <c r="D270">
        <v>0</v>
      </c>
      <c r="E270" t="s">
        <v>412</v>
      </c>
      <c r="K270" s="88" t="s">
        <v>251</v>
      </c>
      <c r="L270" s="23">
        <v>17.8</v>
      </c>
      <c r="M270" s="23">
        <v>31.64</v>
      </c>
      <c r="N270" s="23">
        <v>0</v>
      </c>
      <c r="O270" s="23">
        <v>139.34</v>
      </c>
      <c r="P270" s="23">
        <v>0</v>
      </c>
      <c r="Q270" s="23">
        <v>52.1</v>
      </c>
      <c r="R270" s="23">
        <v>0</v>
      </c>
      <c r="S270" s="23">
        <v>107.5</v>
      </c>
      <c r="T270" s="23">
        <v>0</v>
      </c>
      <c r="U270" s="23">
        <v>97.64</v>
      </c>
      <c r="V270" s="23">
        <v>0</v>
      </c>
      <c r="W270" s="23">
        <v>0</v>
      </c>
      <c r="X270" s="23">
        <v>204.73</v>
      </c>
      <c r="Y270" s="23">
        <v>55.28</v>
      </c>
      <c r="Z270" s="23">
        <v>0</v>
      </c>
      <c r="AA270" s="23">
        <v>0</v>
      </c>
      <c r="AB270" s="23">
        <v>706.03</v>
      </c>
    </row>
    <row r="271" spans="1:28" x14ac:dyDescent="0.25">
      <c r="A271">
        <v>18100</v>
      </c>
      <c r="B271" t="str">
        <f t="shared" si="5"/>
        <v>18100</v>
      </c>
      <c r="C271" t="s">
        <v>1212</v>
      </c>
      <c r="D271">
        <v>279.75</v>
      </c>
      <c r="E271" t="s">
        <v>412</v>
      </c>
      <c r="K271" s="88" t="s">
        <v>252</v>
      </c>
      <c r="L271" s="23">
        <v>33.799999999999997</v>
      </c>
      <c r="M271" s="23">
        <v>378.9</v>
      </c>
      <c r="N271" s="23">
        <v>0</v>
      </c>
      <c r="O271" s="23">
        <v>1272.3699999999999</v>
      </c>
      <c r="P271" s="23">
        <v>0</v>
      </c>
      <c r="Q271" s="23">
        <v>431.34</v>
      </c>
      <c r="R271" s="23">
        <v>0</v>
      </c>
      <c r="S271" s="23">
        <v>865.95</v>
      </c>
      <c r="T271" s="23">
        <v>0</v>
      </c>
      <c r="U271" s="23">
        <v>810.15</v>
      </c>
      <c r="V271" s="23">
        <v>0</v>
      </c>
      <c r="W271" s="23">
        <v>0</v>
      </c>
      <c r="X271" s="23">
        <v>1540.3</v>
      </c>
      <c r="Y271" s="23">
        <v>400.89</v>
      </c>
      <c r="Z271" s="23">
        <v>0</v>
      </c>
      <c r="AA271" s="23">
        <v>0</v>
      </c>
      <c r="AB271" s="23">
        <v>5733.7</v>
      </c>
    </row>
    <row r="272" spans="1:28" x14ac:dyDescent="0.25">
      <c r="A272">
        <v>18100</v>
      </c>
      <c r="B272" t="str">
        <f t="shared" si="5"/>
        <v>18100</v>
      </c>
      <c r="C272" t="s">
        <v>1216</v>
      </c>
      <c r="D272">
        <v>0</v>
      </c>
      <c r="E272" t="s">
        <v>412</v>
      </c>
      <c r="K272" s="88" t="s">
        <v>253</v>
      </c>
      <c r="L272" s="23">
        <v>83.8</v>
      </c>
      <c r="M272" s="23">
        <v>1026.4000000000001</v>
      </c>
      <c r="N272" s="23">
        <v>0</v>
      </c>
      <c r="O272" s="23">
        <v>3329.13</v>
      </c>
      <c r="P272" s="23">
        <v>0</v>
      </c>
      <c r="Q272" s="23">
        <v>1102.19</v>
      </c>
      <c r="R272" s="23">
        <v>0</v>
      </c>
      <c r="S272" s="23">
        <v>2244.04</v>
      </c>
      <c r="T272" s="23">
        <v>0</v>
      </c>
      <c r="U272" s="23">
        <v>2129.5100000000002</v>
      </c>
      <c r="V272" s="23">
        <v>199.16</v>
      </c>
      <c r="W272" s="23">
        <v>0</v>
      </c>
      <c r="X272" s="23">
        <v>3972.2</v>
      </c>
      <c r="Y272" s="23">
        <v>840.24</v>
      </c>
      <c r="Z272" s="23">
        <v>0</v>
      </c>
      <c r="AA272" s="23">
        <v>0</v>
      </c>
      <c r="AB272" s="23">
        <v>14926.67</v>
      </c>
    </row>
    <row r="273" spans="1:28" x14ac:dyDescent="0.25">
      <c r="A273">
        <v>18100</v>
      </c>
      <c r="B273" t="str">
        <f t="shared" si="5"/>
        <v>18100</v>
      </c>
      <c r="C273" t="s">
        <v>1198</v>
      </c>
      <c r="D273">
        <v>323.47000000000003</v>
      </c>
      <c r="E273" t="s">
        <v>412</v>
      </c>
      <c r="K273" s="88" t="s">
        <v>254</v>
      </c>
      <c r="L273" s="23">
        <v>5.6</v>
      </c>
      <c r="M273" s="23">
        <v>417.56</v>
      </c>
      <c r="N273" s="23">
        <v>0</v>
      </c>
      <c r="O273" s="23">
        <v>1363.09</v>
      </c>
      <c r="P273" s="23">
        <v>0</v>
      </c>
      <c r="Q273" s="23">
        <v>441.62</v>
      </c>
      <c r="R273" s="23">
        <v>0</v>
      </c>
      <c r="S273" s="23">
        <v>931.8</v>
      </c>
      <c r="T273" s="23">
        <v>0</v>
      </c>
      <c r="U273" s="23">
        <v>961.13</v>
      </c>
      <c r="V273" s="23">
        <v>183.59</v>
      </c>
      <c r="W273" s="23">
        <v>0</v>
      </c>
      <c r="X273" s="23">
        <v>2112.98</v>
      </c>
      <c r="Y273" s="23">
        <v>407.65</v>
      </c>
      <c r="Z273" s="23">
        <v>0</v>
      </c>
      <c r="AA273" s="23">
        <v>518.85</v>
      </c>
      <c r="AB273" s="23">
        <v>7343.8700000000008</v>
      </c>
    </row>
    <row r="274" spans="1:28" x14ac:dyDescent="0.25">
      <c r="A274">
        <v>24111</v>
      </c>
      <c r="B274" t="str">
        <f t="shared" si="5"/>
        <v>24111</v>
      </c>
      <c r="C274" t="s">
        <v>1193</v>
      </c>
      <c r="D274">
        <v>0</v>
      </c>
      <c r="E274" t="s">
        <v>465</v>
      </c>
      <c r="K274" s="88" t="s">
        <v>255</v>
      </c>
      <c r="L274" s="23">
        <v>31.6</v>
      </c>
      <c r="M274" s="23">
        <v>513.59</v>
      </c>
      <c r="N274" s="23">
        <v>0</v>
      </c>
      <c r="O274" s="23">
        <v>1818.9</v>
      </c>
      <c r="P274" s="23">
        <v>0</v>
      </c>
      <c r="Q274" s="23">
        <v>631.36</v>
      </c>
      <c r="R274" s="23">
        <v>0</v>
      </c>
      <c r="S274" s="23">
        <v>1340.52</v>
      </c>
      <c r="T274" s="23">
        <v>0</v>
      </c>
      <c r="U274" s="23">
        <v>1398.84</v>
      </c>
      <c r="V274" s="23">
        <v>136.01</v>
      </c>
      <c r="W274" s="23">
        <v>0</v>
      </c>
      <c r="X274" s="23">
        <v>2749.25</v>
      </c>
      <c r="Y274" s="23">
        <v>574.76</v>
      </c>
      <c r="Z274" s="23">
        <v>0</v>
      </c>
      <c r="AA274" s="23">
        <v>0</v>
      </c>
      <c r="AB274" s="23">
        <v>9194.83</v>
      </c>
    </row>
    <row r="275" spans="1:28" x14ac:dyDescent="0.25">
      <c r="A275">
        <v>24111</v>
      </c>
      <c r="B275" t="str">
        <f t="shared" si="5"/>
        <v>24111</v>
      </c>
      <c r="C275" t="s">
        <v>1194</v>
      </c>
      <c r="D275">
        <v>192.63</v>
      </c>
      <c r="E275" t="s">
        <v>465</v>
      </c>
      <c r="K275" s="88" t="s">
        <v>256</v>
      </c>
      <c r="L275" s="23">
        <v>0</v>
      </c>
      <c r="M275" s="23">
        <v>71.599999999999994</v>
      </c>
      <c r="N275" s="23">
        <v>0</v>
      </c>
      <c r="O275" s="23">
        <v>220.03</v>
      </c>
      <c r="P275" s="23">
        <v>0</v>
      </c>
      <c r="Q275" s="23">
        <v>76</v>
      </c>
      <c r="R275" s="23">
        <v>0</v>
      </c>
      <c r="S275" s="23">
        <v>148.72</v>
      </c>
      <c r="T275" s="23">
        <v>0</v>
      </c>
      <c r="U275" s="23">
        <v>170.7</v>
      </c>
      <c r="V275" s="23">
        <v>13.28</v>
      </c>
      <c r="W275" s="23">
        <v>0</v>
      </c>
      <c r="X275" s="23">
        <v>261.98</v>
      </c>
      <c r="Y275" s="23">
        <v>80.099999999999994</v>
      </c>
      <c r="Z275" s="23">
        <v>0</v>
      </c>
      <c r="AA275" s="23">
        <v>0</v>
      </c>
      <c r="AB275" s="23">
        <v>1042.4099999999999</v>
      </c>
    </row>
    <row r="276" spans="1:28" x14ac:dyDescent="0.25">
      <c r="A276">
        <v>24111</v>
      </c>
      <c r="B276" t="str">
        <f t="shared" si="5"/>
        <v>24111</v>
      </c>
      <c r="C276" t="s">
        <v>1195</v>
      </c>
      <c r="D276">
        <v>0</v>
      </c>
      <c r="E276" t="s">
        <v>465</v>
      </c>
      <c r="K276" s="88" t="s">
        <v>257</v>
      </c>
      <c r="L276" s="23">
        <v>24.8</v>
      </c>
      <c r="M276" s="23">
        <v>61.9</v>
      </c>
      <c r="N276" s="23">
        <v>0</v>
      </c>
      <c r="O276" s="23">
        <v>172.25</v>
      </c>
      <c r="P276" s="23">
        <v>0</v>
      </c>
      <c r="Q276" s="23">
        <v>59.47</v>
      </c>
      <c r="R276" s="23">
        <v>0</v>
      </c>
      <c r="S276" s="23">
        <v>137.4</v>
      </c>
      <c r="T276" s="23">
        <v>0</v>
      </c>
      <c r="U276" s="23">
        <v>121.29</v>
      </c>
      <c r="V276" s="23">
        <v>0</v>
      </c>
      <c r="W276" s="23">
        <v>0</v>
      </c>
      <c r="X276" s="23">
        <v>0</v>
      </c>
      <c r="Y276" s="23">
        <v>0</v>
      </c>
      <c r="Z276" s="23">
        <v>0</v>
      </c>
      <c r="AA276" s="23">
        <v>0</v>
      </c>
      <c r="AB276" s="23">
        <v>577.1099999999999</v>
      </c>
    </row>
    <row r="277" spans="1:28" x14ac:dyDescent="0.25">
      <c r="A277">
        <v>24111</v>
      </c>
      <c r="B277" t="str">
        <f t="shared" si="5"/>
        <v>24111</v>
      </c>
      <c r="C277" t="s">
        <v>1197</v>
      </c>
      <c r="D277">
        <v>59.2</v>
      </c>
      <c r="E277" t="s">
        <v>465</v>
      </c>
      <c r="K277" s="88" t="s">
        <v>258</v>
      </c>
      <c r="L277" s="23">
        <v>34.200000000000003</v>
      </c>
      <c r="M277" s="23">
        <v>127.52</v>
      </c>
      <c r="N277" s="23">
        <v>0</v>
      </c>
      <c r="O277" s="23">
        <v>472.4</v>
      </c>
      <c r="P277" s="23">
        <v>0</v>
      </c>
      <c r="Q277" s="23">
        <v>179.8</v>
      </c>
      <c r="R277" s="23">
        <v>0</v>
      </c>
      <c r="S277" s="23">
        <v>339.74</v>
      </c>
      <c r="T277" s="23">
        <v>0</v>
      </c>
      <c r="U277" s="23">
        <v>340.93</v>
      </c>
      <c r="V277" s="23">
        <v>0</v>
      </c>
      <c r="W277" s="23">
        <v>0</v>
      </c>
      <c r="X277" s="23">
        <v>520</v>
      </c>
      <c r="Y277" s="23">
        <v>135.15</v>
      </c>
      <c r="Z277" s="23">
        <v>0</v>
      </c>
      <c r="AA277" s="23">
        <v>0</v>
      </c>
      <c r="AB277" s="23">
        <v>2149.7400000000002</v>
      </c>
    </row>
    <row r="278" spans="1:28" x14ac:dyDescent="0.25">
      <c r="A278">
        <v>24111</v>
      </c>
      <c r="B278" t="str">
        <f t="shared" si="5"/>
        <v>24111</v>
      </c>
      <c r="C278" t="s">
        <v>1202</v>
      </c>
      <c r="D278">
        <v>0</v>
      </c>
      <c r="E278" t="s">
        <v>465</v>
      </c>
      <c r="K278" s="88" t="s">
        <v>259</v>
      </c>
      <c r="L278" s="23">
        <v>14.4</v>
      </c>
      <c r="M278" s="23">
        <v>89.4</v>
      </c>
      <c r="N278" s="23">
        <v>0</v>
      </c>
      <c r="O278" s="23">
        <v>292.41000000000003</v>
      </c>
      <c r="P278" s="23">
        <v>0</v>
      </c>
      <c r="Q278" s="23">
        <v>84.8</v>
      </c>
      <c r="R278" s="23">
        <v>0</v>
      </c>
      <c r="S278" s="23">
        <v>189.02</v>
      </c>
      <c r="T278" s="23">
        <v>0</v>
      </c>
      <c r="U278" s="23">
        <v>208.8</v>
      </c>
      <c r="V278" s="23">
        <v>28.67</v>
      </c>
      <c r="W278" s="23">
        <v>0</v>
      </c>
      <c r="X278" s="23">
        <v>342.22</v>
      </c>
      <c r="Y278" s="23">
        <v>89.4</v>
      </c>
      <c r="Z278" s="23">
        <v>0</v>
      </c>
      <c r="AA278" s="23">
        <v>0</v>
      </c>
      <c r="AB278" s="23">
        <v>1339.1200000000003</v>
      </c>
    </row>
    <row r="279" spans="1:28" x14ac:dyDescent="0.25">
      <c r="A279">
        <v>24111</v>
      </c>
      <c r="B279" t="str">
        <f t="shared" si="5"/>
        <v>24111</v>
      </c>
      <c r="C279" t="s">
        <v>1206</v>
      </c>
      <c r="D279">
        <v>123.61</v>
      </c>
      <c r="E279" t="s">
        <v>465</v>
      </c>
      <c r="K279" s="88" t="s">
        <v>617</v>
      </c>
      <c r="L279" s="23">
        <v>0</v>
      </c>
      <c r="M279" s="23">
        <v>14.6</v>
      </c>
      <c r="N279" s="23">
        <v>0</v>
      </c>
      <c r="O279" s="23">
        <v>51.2</v>
      </c>
      <c r="P279" s="23">
        <v>0</v>
      </c>
      <c r="Q279" s="23">
        <v>16.600000000000001</v>
      </c>
      <c r="R279" s="23">
        <v>0</v>
      </c>
      <c r="S279" s="23">
        <v>25.8</v>
      </c>
      <c r="T279" s="23">
        <v>0</v>
      </c>
      <c r="U279" s="23">
        <v>24.2</v>
      </c>
      <c r="V279" s="23">
        <v>0</v>
      </c>
      <c r="W279" s="23">
        <v>0</v>
      </c>
      <c r="X279" s="23">
        <v>0</v>
      </c>
      <c r="Y279" s="23">
        <v>0</v>
      </c>
      <c r="Z279" s="23">
        <v>0</v>
      </c>
      <c r="AA279" s="23">
        <v>0</v>
      </c>
      <c r="AB279" s="23">
        <v>132.4</v>
      </c>
    </row>
    <row r="280" spans="1:28" x14ac:dyDescent="0.25">
      <c r="A280">
        <v>24111</v>
      </c>
      <c r="B280" t="str">
        <f t="shared" si="5"/>
        <v>24111</v>
      </c>
      <c r="C280" t="s">
        <v>1199</v>
      </c>
      <c r="D280">
        <v>0</v>
      </c>
      <c r="E280" t="s">
        <v>465</v>
      </c>
      <c r="K280" s="88" t="s">
        <v>260</v>
      </c>
      <c r="L280" s="23">
        <v>0</v>
      </c>
      <c r="M280" s="23">
        <v>21.8</v>
      </c>
      <c r="N280" s="23">
        <v>0</v>
      </c>
      <c r="O280" s="23">
        <v>89.04</v>
      </c>
      <c r="P280" s="23">
        <v>0</v>
      </c>
      <c r="Q280" s="23">
        <v>24.8</v>
      </c>
      <c r="R280" s="23">
        <v>0</v>
      </c>
      <c r="S280" s="23">
        <v>77.2</v>
      </c>
      <c r="T280" s="23">
        <v>0</v>
      </c>
      <c r="U280" s="23">
        <v>54.99</v>
      </c>
      <c r="V280" s="23">
        <v>2.16</v>
      </c>
      <c r="W280" s="23">
        <v>0</v>
      </c>
      <c r="X280" s="23">
        <v>108.54</v>
      </c>
      <c r="Y280" s="23">
        <v>25.13</v>
      </c>
      <c r="Z280" s="23">
        <v>0</v>
      </c>
      <c r="AA280" s="23">
        <v>0</v>
      </c>
      <c r="AB280" s="23">
        <v>403.66000000000008</v>
      </c>
    </row>
    <row r="281" spans="1:28" x14ac:dyDescent="0.25">
      <c r="A281">
        <v>24111</v>
      </c>
      <c r="B281" t="str">
        <f t="shared" si="5"/>
        <v>24111</v>
      </c>
      <c r="C281" t="s">
        <v>1203</v>
      </c>
      <c r="D281">
        <v>153.61000000000001</v>
      </c>
      <c r="E281" t="s">
        <v>465</v>
      </c>
      <c r="K281" s="88" t="s">
        <v>261</v>
      </c>
      <c r="L281" s="23">
        <v>0</v>
      </c>
      <c r="M281" s="23">
        <v>0.6</v>
      </c>
      <c r="N281" s="23">
        <v>0</v>
      </c>
      <c r="O281" s="23">
        <v>10</v>
      </c>
      <c r="P281" s="23">
        <v>0</v>
      </c>
      <c r="Q281" s="23">
        <v>3</v>
      </c>
      <c r="R281" s="23">
        <v>0</v>
      </c>
      <c r="S281" s="23">
        <v>1</v>
      </c>
      <c r="T281" s="23">
        <v>0</v>
      </c>
      <c r="U281" s="23">
        <v>0</v>
      </c>
      <c r="V281" s="23">
        <v>0</v>
      </c>
      <c r="W281" s="23">
        <v>0</v>
      </c>
      <c r="X281" s="23">
        <v>0</v>
      </c>
      <c r="Y281" s="23">
        <v>0</v>
      </c>
      <c r="Z281" s="23">
        <v>0</v>
      </c>
      <c r="AA281" s="23">
        <v>0</v>
      </c>
      <c r="AB281" s="23">
        <v>14.6</v>
      </c>
    </row>
    <row r="282" spans="1:28" x14ac:dyDescent="0.25">
      <c r="A282">
        <v>24111</v>
      </c>
      <c r="B282" t="str">
        <f t="shared" si="5"/>
        <v>24111</v>
      </c>
      <c r="C282" t="s">
        <v>1200</v>
      </c>
      <c r="D282">
        <v>0</v>
      </c>
      <c r="E282" t="s">
        <v>465</v>
      </c>
      <c r="K282" s="88" t="s">
        <v>262</v>
      </c>
      <c r="L282" s="23">
        <v>85.83</v>
      </c>
      <c r="M282" s="23">
        <v>305.33999999999997</v>
      </c>
      <c r="N282" s="23">
        <v>0</v>
      </c>
      <c r="O282" s="23">
        <v>1031.8599999999999</v>
      </c>
      <c r="P282" s="23">
        <v>0</v>
      </c>
      <c r="Q282" s="23">
        <v>353.91</v>
      </c>
      <c r="R282" s="23">
        <v>0</v>
      </c>
      <c r="S282" s="23">
        <v>782.51</v>
      </c>
      <c r="T282" s="23">
        <v>0</v>
      </c>
      <c r="U282" s="23">
        <v>739.71</v>
      </c>
      <c r="V282" s="23">
        <v>55.57</v>
      </c>
      <c r="W282" s="23">
        <v>0</v>
      </c>
      <c r="X282" s="23">
        <v>1427.23</v>
      </c>
      <c r="Y282" s="23">
        <v>262.7</v>
      </c>
      <c r="Z282" s="23">
        <v>0</v>
      </c>
      <c r="AA282" s="23">
        <v>115.6</v>
      </c>
      <c r="AB282" s="23">
        <v>5160.26</v>
      </c>
    </row>
    <row r="283" spans="1:28" x14ac:dyDescent="0.25">
      <c r="A283">
        <v>24111</v>
      </c>
      <c r="B283" t="str">
        <f t="shared" si="5"/>
        <v>24111</v>
      </c>
      <c r="C283" t="s">
        <v>1204</v>
      </c>
      <c r="D283">
        <v>292.33999999999997</v>
      </c>
      <c r="E283" t="s">
        <v>465</v>
      </c>
      <c r="K283" s="88" t="s">
        <v>263</v>
      </c>
      <c r="L283" s="23">
        <v>15.6</v>
      </c>
      <c r="M283" s="23">
        <v>97.8</v>
      </c>
      <c r="N283" s="23">
        <v>0</v>
      </c>
      <c r="O283" s="23">
        <v>300.67</v>
      </c>
      <c r="P283" s="23">
        <v>0</v>
      </c>
      <c r="Q283" s="23">
        <v>116.01</v>
      </c>
      <c r="R283" s="23">
        <v>0</v>
      </c>
      <c r="S283" s="23">
        <v>235.02</v>
      </c>
      <c r="T283" s="23">
        <v>0</v>
      </c>
      <c r="U283" s="23">
        <v>230.4</v>
      </c>
      <c r="V283" s="23">
        <v>13.94</v>
      </c>
      <c r="W283" s="23">
        <v>0</v>
      </c>
      <c r="X283" s="23">
        <v>427.78</v>
      </c>
      <c r="Y283" s="23">
        <v>145.22</v>
      </c>
      <c r="Z283" s="23">
        <v>0</v>
      </c>
      <c r="AA283" s="23">
        <v>0</v>
      </c>
      <c r="AB283" s="23">
        <v>1582.44</v>
      </c>
    </row>
    <row r="284" spans="1:28" x14ac:dyDescent="0.25">
      <c r="A284">
        <v>24111</v>
      </c>
      <c r="B284" t="str">
        <f t="shared" si="5"/>
        <v>24111</v>
      </c>
      <c r="C284" t="s">
        <v>1207</v>
      </c>
      <c r="D284">
        <v>16</v>
      </c>
      <c r="E284" t="s">
        <v>465</v>
      </c>
      <c r="K284" s="88" t="s">
        <v>264</v>
      </c>
      <c r="L284" s="23">
        <v>17.2</v>
      </c>
      <c r="M284" s="23">
        <v>13.63</v>
      </c>
      <c r="N284" s="23">
        <v>0</v>
      </c>
      <c r="O284" s="23">
        <v>44.41</v>
      </c>
      <c r="P284" s="23">
        <v>0</v>
      </c>
      <c r="Q284" s="23">
        <v>17.600000000000001</v>
      </c>
      <c r="R284" s="23">
        <v>0</v>
      </c>
      <c r="S284" s="23">
        <v>28.91</v>
      </c>
      <c r="T284" s="23">
        <v>0</v>
      </c>
      <c r="U284" s="23">
        <v>31.06</v>
      </c>
      <c r="V284" s="23">
        <v>2.1800000000000002</v>
      </c>
      <c r="W284" s="23">
        <v>0</v>
      </c>
      <c r="X284" s="23">
        <v>45.32</v>
      </c>
      <c r="Y284" s="23">
        <v>15.17</v>
      </c>
      <c r="Z284" s="23">
        <v>0</v>
      </c>
      <c r="AA284" s="23">
        <v>0</v>
      </c>
      <c r="AB284" s="23">
        <v>215.48</v>
      </c>
    </row>
    <row r="285" spans="1:28" x14ac:dyDescent="0.25">
      <c r="A285">
        <v>24111</v>
      </c>
      <c r="B285" t="str">
        <f t="shared" si="5"/>
        <v>24111</v>
      </c>
      <c r="C285" t="s">
        <v>1208</v>
      </c>
      <c r="D285">
        <v>74.459999999999994</v>
      </c>
      <c r="E285" t="s">
        <v>465</v>
      </c>
      <c r="K285" s="88" t="s">
        <v>265</v>
      </c>
      <c r="L285" s="23">
        <v>16.2</v>
      </c>
      <c r="M285" s="23">
        <v>43.4</v>
      </c>
      <c r="N285" s="23">
        <v>0</v>
      </c>
      <c r="O285" s="23">
        <v>202.4</v>
      </c>
      <c r="P285" s="23">
        <v>0</v>
      </c>
      <c r="Q285" s="23">
        <v>51.8</v>
      </c>
      <c r="R285" s="23">
        <v>0</v>
      </c>
      <c r="S285" s="23">
        <v>112.62</v>
      </c>
      <c r="T285" s="23">
        <v>0</v>
      </c>
      <c r="U285" s="23">
        <v>118.2</v>
      </c>
      <c r="V285" s="23">
        <v>0</v>
      </c>
      <c r="W285" s="23">
        <v>0</v>
      </c>
      <c r="X285" s="23">
        <v>201.06</v>
      </c>
      <c r="Y285" s="23">
        <v>59.23</v>
      </c>
      <c r="Z285" s="23">
        <v>0</v>
      </c>
      <c r="AA285" s="23">
        <v>0</v>
      </c>
      <c r="AB285" s="23">
        <v>804.91000000000008</v>
      </c>
    </row>
    <row r="286" spans="1:28" x14ac:dyDescent="0.25">
      <c r="A286">
        <v>24111</v>
      </c>
      <c r="B286" t="str">
        <f t="shared" si="5"/>
        <v>24111</v>
      </c>
      <c r="C286" t="s">
        <v>1210</v>
      </c>
      <c r="D286">
        <v>0</v>
      </c>
      <c r="E286" t="s">
        <v>465</v>
      </c>
      <c r="K286" s="88" t="s">
        <v>266</v>
      </c>
      <c r="L286" s="23">
        <v>0</v>
      </c>
      <c r="M286" s="23">
        <v>17.2</v>
      </c>
      <c r="N286" s="23">
        <v>0</v>
      </c>
      <c r="O286" s="23">
        <v>64.94</v>
      </c>
      <c r="P286" s="23">
        <v>0</v>
      </c>
      <c r="Q286" s="23">
        <v>20</v>
      </c>
      <c r="R286" s="23">
        <v>0</v>
      </c>
      <c r="S286" s="23">
        <v>42.22</v>
      </c>
      <c r="T286" s="23">
        <v>0</v>
      </c>
      <c r="U286" s="23">
        <v>47.94</v>
      </c>
      <c r="V286" s="23">
        <v>3.28</v>
      </c>
      <c r="W286" s="23">
        <v>0</v>
      </c>
      <c r="X286" s="23">
        <v>82.11</v>
      </c>
      <c r="Y286" s="23">
        <v>13.17</v>
      </c>
      <c r="Z286" s="23">
        <v>0</v>
      </c>
      <c r="AA286" s="23">
        <v>0</v>
      </c>
      <c r="AB286" s="23">
        <v>290.86</v>
      </c>
    </row>
    <row r="287" spans="1:28" x14ac:dyDescent="0.25">
      <c r="A287">
        <v>24111</v>
      </c>
      <c r="B287" t="str">
        <f t="shared" si="5"/>
        <v>24111</v>
      </c>
      <c r="C287" t="s">
        <v>1212</v>
      </c>
      <c r="D287">
        <v>0</v>
      </c>
      <c r="E287" t="s">
        <v>465</v>
      </c>
      <c r="K287" s="88" t="s">
        <v>267</v>
      </c>
      <c r="L287" s="23">
        <v>16.399999999999999</v>
      </c>
      <c r="M287" s="23">
        <v>16</v>
      </c>
      <c r="N287" s="23">
        <v>0</v>
      </c>
      <c r="O287" s="23">
        <v>59</v>
      </c>
      <c r="P287" s="23">
        <v>0</v>
      </c>
      <c r="Q287" s="23">
        <v>23.8</v>
      </c>
      <c r="R287" s="23">
        <v>0</v>
      </c>
      <c r="S287" s="23">
        <v>39.799999999999997</v>
      </c>
      <c r="T287" s="23">
        <v>0</v>
      </c>
      <c r="U287" s="23">
        <v>38.6</v>
      </c>
      <c r="V287" s="23">
        <v>0</v>
      </c>
      <c r="W287" s="23">
        <v>0</v>
      </c>
      <c r="X287" s="23">
        <v>67.540000000000006</v>
      </c>
      <c r="Y287" s="23">
        <v>17.82</v>
      </c>
      <c r="Z287" s="23">
        <v>0</v>
      </c>
      <c r="AA287" s="23">
        <v>0</v>
      </c>
      <c r="AB287" s="23">
        <v>278.95999999999998</v>
      </c>
    </row>
    <row r="288" spans="1:28" x14ac:dyDescent="0.25">
      <c r="A288">
        <v>24111</v>
      </c>
      <c r="B288" t="str">
        <f t="shared" si="5"/>
        <v>24111</v>
      </c>
      <c r="C288" t="s">
        <v>1216</v>
      </c>
      <c r="D288">
        <v>31.4</v>
      </c>
      <c r="E288" t="s">
        <v>465</v>
      </c>
      <c r="K288" s="88" t="s">
        <v>268</v>
      </c>
      <c r="L288" s="23">
        <v>236.63</v>
      </c>
      <c r="M288" s="23">
        <v>619.77</v>
      </c>
      <c r="N288" s="23">
        <v>0</v>
      </c>
      <c r="O288" s="23">
        <v>2313.12</v>
      </c>
      <c r="P288" s="23">
        <v>0</v>
      </c>
      <c r="Q288" s="23">
        <v>795.18</v>
      </c>
      <c r="R288" s="23">
        <v>0</v>
      </c>
      <c r="S288" s="23">
        <v>1544.22</v>
      </c>
      <c r="T288" s="23">
        <v>0</v>
      </c>
      <c r="U288" s="23">
        <v>1586.27</v>
      </c>
      <c r="V288" s="23">
        <v>195.16</v>
      </c>
      <c r="W288" s="23">
        <v>0</v>
      </c>
      <c r="X288" s="23">
        <v>3203.97</v>
      </c>
      <c r="Y288" s="23">
        <v>861.89</v>
      </c>
      <c r="Z288" s="23">
        <v>0</v>
      </c>
      <c r="AA288" s="23">
        <v>0</v>
      </c>
      <c r="AB288" s="23">
        <v>11356.21</v>
      </c>
    </row>
    <row r="289" spans="1:28" x14ac:dyDescent="0.25">
      <c r="A289">
        <v>24111</v>
      </c>
      <c r="B289" t="str">
        <f t="shared" si="5"/>
        <v>24111</v>
      </c>
      <c r="C289" t="s">
        <v>1198</v>
      </c>
      <c r="D289">
        <v>67.400000000000006</v>
      </c>
      <c r="E289" t="s">
        <v>465</v>
      </c>
      <c r="K289" s="88" t="s">
        <v>269</v>
      </c>
      <c r="L289" s="23">
        <v>101</v>
      </c>
      <c r="M289" s="23">
        <v>319.64</v>
      </c>
      <c r="N289" s="23">
        <v>0</v>
      </c>
      <c r="O289" s="23">
        <v>1022.44</v>
      </c>
      <c r="P289" s="23">
        <v>0</v>
      </c>
      <c r="Q289" s="23">
        <v>350.02</v>
      </c>
      <c r="R289" s="23">
        <v>0</v>
      </c>
      <c r="S289" s="23">
        <v>712.53</v>
      </c>
      <c r="T289" s="23">
        <v>0</v>
      </c>
      <c r="U289" s="23">
        <v>625.04</v>
      </c>
      <c r="V289" s="23">
        <v>17.59</v>
      </c>
      <c r="W289" s="23">
        <v>0</v>
      </c>
      <c r="X289" s="23">
        <v>1225.57</v>
      </c>
      <c r="Y289" s="23">
        <v>383.37</v>
      </c>
      <c r="Z289" s="23">
        <v>0</v>
      </c>
      <c r="AA289" s="23">
        <v>0</v>
      </c>
      <c r="AB289" s="23">
        <v>4757.2</v>
      </c>
    </row>
    <row r="290" spans="1:28" x14ac:dyDescent="0.25">
      <c r="A290" s="34" t="s">
        <v>50</v>
      </c>
      <c r="B290" t="str">
        <f t="shared" si="5"/>
        <v>09075</v>
      </c>
      <c r="C290" t="s">
        <v>1193</v>
      </c>
      <c r="D290">
        <v>0</v>
      </c>
      <c r="E290" t="s">
        <v>346</v>
      </c>
      <c r="K290" s="88" t="s">
        <v>270</v>
      </c>
      <c r="L290" s="23">
        <v>49.1</v>
      </c>
      <c r="M290" s="23">
        <v>120.25</v>
      </c>
      <c r="N290" s="23">
        <v>0</v>
      </c>
      <c r="O290" s="23">
        <v>400.03</v>
      </c>
      <c r="P290" s="23">
        <v>0</v>
      </c>
      <c r="Q290" s="23">
        <v>165</v>
      </c>
      <c r="R290" s="23">
        <v>0</v>
      </c>
      <c r="S290" s="23">
        <v>307.77</v>
      </c>
      <c r="T290" s="23">
        <v>0</v>
      </c>
      <c r="U290" s="23">
        <v>299.69</v>
      </c>
      <c r="V290" s="23">
        <v>6.38</v>
      </c>
      <c r="W290" s="23">
        <v>0</v>
      </c>
      <c r="X290" s="23">
        <v>482.11</v>
      </c>
      <c r="Y290" s="23">
        <v>95.48</v>
      </c>
      <c r="Z290" s="23">
        <v>0</v>
      </c>
      <c r="AA290" s="23">
        <v>0</v>
      </c>
      <c r="AB290" s="23">
        <v>1925.8100000000004</v>
      </c>
    </row>
    <row r="291" spans="1:28" x14ac:dyDescent="0.25">
      <c r="A291" s="34" t="s">
        <v>50</v>
      </c>
      <c r="B291" t="str">
        <f t="shared" si="5"/>
        <v>09075</v>
      </c>
      <c r="C291" t="s">
        <v>1194</v>
      </c>
      <c r="D291">
        <v>154</v>
      </c>
      <c r="E291" t="s">
        <v>346</v>
      </c>
      <c r="K291" s="88" t="s">
        <v>271</v>
      </c>
      <c r="L291" s="23">
        <v>76</v>
      </c>
      <c r="M291" s="23">
        <v>200</v>
      </c>
      <c r="N291" s="23">
        <v>0</v>
      </c>
      <c r="O291" s="23">
        <v>701.5</v>
      </c>
      <c r="P291" s="23">
        <v>0</v>
      </c>
      <c r="Q291" s="23">
        <v>216.26</v>
      </c>
      <c r="R291" s="23">
        <v>0</v>
      </c>
      <c r="S291" s="23">
        <v>463.71</v>
      </c>
      <c r="T291" s="23">
        <v>0</v>
      </c>
      <c r="U291" s="23">
        <v>475.79</v>
      </c>
      <c r="V291" s="23">
        <v>18.190000000000001</v>
      </c>
      <c r="W291" s="23">
        <v>0</v>
      </c>
      <c r="X291" s="23">
        <v>860.13</v>
      </c>
      <c r="Y291" s="23">
        <v>169.56</v>
      </c>
      <c r="Z291" s="23">
        <v>0</v>
      </c>
      <c r="AA291" s="23">
        <v>0</v>
      </c>
      <c r="AB291" s="23">
        <v>3181.1400000000003</v>
      </c>
    </row>
    <row r="292" spans="1:28" x14ac:dyDescent="0.25">
      <c r="A292" s="34" t="s">
        <v>50</v>
      </c>
      <c r="B292" t="str">
        <f t="shared" si="5"/>
        <v>09075</v>
      </c>
      <c r="C292" t="s">
        <v>1195</v>
      </c>
      <c r="D292">
        <v>0</v>
      </c>
      <c r="E292" t="s">
        <v>346</v>
      </c>
      <c r="K292" s="88" t="s">
        <v>272</v>
      </c>
      <c r="L292" s="23">
        <v>42.4</v>
      </c>
      <c r="M292" s="23">
        <v>105.8</v>
      </c>
      <c r="N292" s="23">
        <v>0</v>
      </c>
      <c r="O292" s="23">
        <v>380.47</v>
      </c>
      <c r="P292" s="23">
        <v>0</v>
      </c>
      <c r="Q292" s="23">
        <v>115.65</v>
      </c>
      <c r="R292" s="23">
        <v>0</v>
      </c>
      <c r="S292" s="23">
        <v>229.4</v>
      </c>
      <c r="T292" s="23">
        <v>0</v>
      </c>
      <c r="U292" s="23">
        <v>239.05</v>
      </c>
      <c r="V292" s="23">
        <v>0</v>
      </c>
      <c r="W292" s="23">
        <v>0</v>
      </c>
      <c r="X292" s="23">
        <v>463.44</v>
      </c>
      <c r="Y292" s="23">
        <v>69.59</v>
      </c>
      <c r="Z292" s="23">
        <v>0</v>
      </c>
      <c r="AA292" s="23">
        <v>0</v>
      </c>
      <c r="AB292" s="23">
        <v>1645.8</v>
      </c>
    </row>
    <row r="293" spans="1:28" x14ac:dyDescent="0.25">
      <c r="A293" s="34" t="s">
        <v>50</v>
      </c>
      <c r="B293" t="str">
        <f t="shared" si="5"/>
        <v>09075</v>
      </c>
      <c r="C293" t="s">
        <v>1197</v>
      </c>
      <c r="D293">
        <v>51.8</v>
      </c>
      <c r="E293" t="s">
        <v>346</v>
      </c>
      <c r="K293" s="88" t="s">
        <v>273</v>
      </c>
      <c r="L293" s="23">
        <v>59.2</v>
      </c>
      <c r="M293" s="23">
        <v>149.85</v>
      </c>
      <c r="N293" s="23">
        <v>0</v>
      </c>
      <c r="O293" s="23">
        <v>448.29</v>
      </c>
      <c r="P293" s="23">
        <v>0</v>
      </c>
      <c r="Q293" s="23">
        <v>154.88999999999999</v>
      </c>
      <c r="R293" s="23">
        <v>0</v>
      </c>
      <c r="S293" s="23">
        <v>323.63</v>
      </c>
      <c r="T293" s="23">
        <v>0</v>
      </c>
      <c r="U293" s="23">
        <v>317.70999999999998</v>
      </c>
      <c r="V293" s="23">
        <v>14.13</v>
      </c>
      <c r="W293" s="23">
        <v>0</v>
      </c>
      <c r="X293" s="23">
        <v>497.3</v>
      </c>
      <c r="Y293" s="23">
        <v>130.32</v>
      </c>
      <c r="Z293" s="23">
        <v>0</v>
      </c>
      <c r="AA293" s="23">
        <v>0</v>
      </c>
      <c r="AB293" s="23">
        <v>2095.3200000000002</v>
      </c>
    </row>
    <row r="294" spans="1:28" x14ac:dyDescent="0.25">
      <c r="A294" s="34" t="s">
        <v>50</v>
      </c>
      <c r="B294" t="str">
        <f t="shared" si="5"/>
        <v>09075</v>
      </c>
      <c r="C294" t="s">
        <v>1202</v>
      </c>
      <c r="D294">
        <v>0</v>
      </c>
      <c r="E294" t="s">
        <v>346</v>
      </c>
      <c r="K294" s="88" t="s">
        <v>274</v>
      </c>
      <c r="L294" s="23">
        <v>0</v>
      </c>
      <c r="M294" s="23">
        <v>98</v>
      </c>
      <c r="N294" s="23">
        <v>0</v>
      </c>
      <c r="O294" s="23">
        <v>327.67</v>
      </c>
      <c r="P294" s="23">
        <v>0</v>
      </c>
      <c r="Q294" s="23">
        <v>110.15</v>
      </c>
      <c r="R294" s="23">
        <v>0</v>
      </c>
      <c r="S294" s="23">
        <v>242</v>
      </c>
      <c r="T294" s="23">
        <v>0</v>
      </c>
      <c r="U294" s="23">
        <v>247.08</v>
      </c>
      <c r="V294" s="23">
        <v>4.5999999999999996</v>
      </c>
      <c r="W294" s="23">
        <v>0</v>
      </c>
      <c r="X294" s="23">
        <v>451.69</v>
      </c>
      <c r="Y294" s="23">
        <v>85.16</v>
      </c>
      <c r="Z294" s="23">
        <v>0</v>
      </c>
      <c r="AA294" s="23">
        <v>0</v>
      </c>
      <c r="AB294" s="23">
        <v>1566.3500000000001</v>
      </c>
    </row>
    <row r="295" spans="1:28" x14ac:dyDescent="0.25">
      <c r="A295" s="34" t="s">
        <v>50</v>
      </c>
      <c r="B295" t="str">
        <f t="shared" si="5"/>
        <v>09075</v>
      </c>
      <c r="C295" t="s">
        <v>1206</v>
      </c>
      <c r="D295">
        <v>104.2</v>
      </c>
      <c r="E295" t="s">
        <v>346</v>
      </c>
      <c r="K295" s="88" t="s">
        <v>672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95.67</v>
      </c>
      <c r="Y295" s="23">
        <v>0</v>
      </c>
      <c r="Z295" s="23">
        <v>0</v>
      </c>
      <c r="AA295" s="23">
        <v>0</v>
      </c>
      <c r="AB295" s="23">
        <v>95.67</v>
      </c>
    </row>
    <row r="296" spans="1:28" x14ac:dyDescent="0.25">
      <c r="A296" s="34" t="s">
        <v>50</v>
      </c>
      <c r="B296" t="str">
        <f t="shared" si="5"/>
        <v>09075</v>
      </c>
      <c r="C296" t="s">
        <v>1199</v>
      </c>
      <c r="D296">
        <v>0</v>
      </c>
      <c r="E296" t="s">
        <v>346</v>
      </c>
      <c r="K296" s="88" t="s">
        <v>275</v>
      </c>
      <c r="L296" s="23">
        <v>0</v>
      </c>
      <c r="M296" s="23">
        <v>20.6</v>
      </c>
      <c r="N296" s="23">
        <v>0</v>
      </c>
      <c r="O296" s="23">
        <v>95</v>
      </c>
      <c r="P296" s="23">
        <v>0</v>
      </c>
      <c r="Q296" s="23">
        <v>27.8</v>
      </c>
      <c r="R296" s="23">
        <v>0</v>
      </c>
      <c r="S296" s="23">
        <v>72.400000000000006</v>
      </c>
      <c r="T296" s="23">
        <v>0</v>
      </c>
      <c r="U296" s="23">
        <v>67.2</v>
      </c>
      <c r="V296" s="23">
        <v>0</v>
      </c>
      <c r="W296" s="23">
        <v>0</v>
      </c>
      <c r="X296" s="23">
        <v>132.44999999999999</v>
      </c>
      <c r="Y296" s="23">
        <v>6.77</v>
      </c>
      <c r="Z296" s="23">
        <v>0</v>
      </c>
      <c r="AA296" s="23">
        <v>0</v>
      </c>
      <c r="AB296" s="23">
        <v>422.21999999999997</v>
      </c>
    </row>
    <row r="297" spans="1:28" x14ac:dyDescent="0.25">
      <c r="A297" s="34" t="s">
        <v>50</v>
      </c>
      <c r="B297" t="str">
        <f t="shared" si="5"/>
        <v>09075</v>
      </c>
      <c r="C297" t="s">
        <v>1203</v>
      </c>
      <c r="D297">
        <v>100.2</v>
      </c>
      <c r="E297" t="s">
        <v>346</v>
      </c>
      <c r="K297" s="88" t="s">
        <v>276</v>
      </c>
      <c r="L297" s="23">
        <v>2.58</v>
      </c>
      <c r="M297" s="23">
        <v>6</v>
      </c>
      <c r="N297" s="23">
        <v>0</v>
      </c>
      <c r="O297" s="23">
        <v>12</v>
      </c>
      <c r="P297" s="23">
        <v>0</v>
      </c>
      <c r="Q297" s="23">
        <v>7</v>
      </c>
      <c r="R297" s="23">
        <v>0</v>
      </c>
      <c r="S297" s="23">
        <v>11.4</v>
      </c>
      <c r="T297" s="23">
        <v>0</v>
      </c>
      <c r="U297" s="23">
        <v>8.4</v>
      </c>
      <c r="V297" s="23">
        <v>1.1299999999999999</v>
      </c>
      <c r="W297" s="23">
        <v>0</v>
      </c>
      <c r="X297" s="23">
        <v>28.08</v>
      </c>
      <c r="Y297" s="23">
        <v>6.71</v>
      </c>
      <c r="Z297" s="23">
        <v>0</v>
      </c>
      <c r="AA297" s="23">
        <v>0</v>
      </c>
      <c r="AB297" s="23">
        <v>83.3</v>
      </c>
    </row>
    <row r="298" spans="1:28" x14ac:dyDescent="0.25">
      <c r="A298" s="34" t="s">
        <v>50</v>
      </c>
      <c r="B298" t="str">
        <f t="shared" si="5"/>
        <v>09075</v>
      </c>
      <c r="C298" t="s">
        <v>1200</v>
      </c>
      <c r="D298">
        <v>0</v>
      </c>
      <c r="E298" t="s">
        <v>346</v>
      </c>
      <c r="K298" s="88" t="s">
        <v>277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17.399999999999999</v>
      </c>
      <c r="T298" s="23">
        <v>0</v>
      </c>
      <c r="U298" s="23">
        <v>11.7</v>
      </c>
      <c r="V298" s="23">
        <v>0</v>
      </c>
      <c r="W298" s="23">
        <v>0</v>
      </c>
      <c r="X298" s="23">
        <v>0</v>
      </c>
      <c r="Y298" s="23">
        <v>0</v>
      </c>
      <c r="Z298" s="23">
        <v>0</v>
      </c>
      <c r="AA298" s="23">
        <v>0</v>
      </c>
      <c r="AB298" s="23">
        <v>29.099999999999998</v>
      </c>
    </row>
    <row r="299" spans="1:28" x14ac:dyDescent="0.25">
      <c r="A299" s="34" t="s">
        <v>50</v>
      </c>
      <c r="B299" t="str">
        <f t="shared" si="5"/>
        <v>09075</v>
      </c>
      <c r="C299" t="s">
        <v>1204</v>
      </c>
      <c r="D299">
        <v>234.87</v>
      </c>
      <c r="E299" t="s">
        <v>346</v>
      </c>
      <c r="K299" s="88" t="s">
        <v>278</v>
      </c>
      <c r="L299" s="23">
        <v>12.4</v>
      </c>
      <c r="M299" s="23">
        <v>10.6</v>
      </c>
      <c r="N299" s="23">
        <v>0</v>
      </c>
      <c r="O299" s="23">
        <v>31.59</v>
      </c>
      <c r="P299" s="23">
        <v>0</v>
      </c>
      <c r="Q299" s="23">
        <v>15.26</v>
      </c>
      <c r="R299" s="23">
        <v>0</v>
      </c>
      <c r="S299" s="23">
        <v>27.8</v>
      </c>
      <c r="T299" s="23">
        <v>0</v>
      </c>
      <c r="U299" s="23">
        <v>41.14</v>
      </c>
      <c r="V299" s="23">
        <v>6.9</v>
      </c>
      <c r="W299" s="23">
        <v>0</v>
      </c>
      <c r="X299" s="23">
        <v>47.48</v>
      </c>
      <c r="Y299" s="23">
        <v>22.41</v>
      </c>
      <c r="Z299" s="23">
        <v>0</v>
      </c>
      <c r="AA299" s="23">
        <v>0</v>
      </c>
      <c r="AB299" s="23">
        <v>215.58</v>
      </c>
    </row>
    <row r="300" spans="1:28" x14ac:dyDescent="0.25">
      <c r="A300" s="34" t="s">
        <v>50</v>
      </c>
      <c r="B300" t="str">
        <f t="shared" si="5"/>
        <v>09075</v>
      </c>
      <c r="C300" t="s">
        <v>1207</v>
      </c>
      <c r="D300">
        <v>5.65</v>
      </c>
      <c r="E300" t="s">
        <v>346</v>
      </c>
      <c r="K300" s="88" t="s">
        <v>279</v>
      </c>
      <c r="L300" s="23">
        <v>0</v>
      </c>
      <c r="M300" s="23">
        <v>176.41</v>
      </c>
      <c r="N300" s="23">
        <v>0</v>
      </c>
      <c r="O300" s="23">
        <v>644.22</v>
      </c>
      <c r="P300" s="23">
        <v>0</v>
      </c>
      <c r="Q300" s="23">
        <v>205.8</v>
      </c>
      <c r="R300" s="23">
        <v>0</v>
      </c>
      <c r="S300" s="23">
        <v>396.68</v>
      </c>
      <c r="T300" s="23">
        <v>0</v>
      </c>
      <c r="U300" s="23">
        <v>424.44</v>
      </c>
      <c r="V300" s="23">
        <v>40.090000000000003</v>
      </c>
      <c r="W300" s="23">
        <v>0</v>
      </c>
      <c r="X300" s="23">
        <v>758.19</v>
      </c>
      <c r="Y300" s="23">
        <v>134.63999999999999</v>
      </c>
      <c r="Z300" s="23">
        <v>0</v>
      </c>
      <c r="AA300" s="23">
        <v>0</v>
      </c>
      <c r="AB300" s="23">
        <v>2780.47</v>
      </c>
    </row>
    <row r="301" spans="1:28" x14ac:dyDescent="0.25">
      <c r="A301" s="34" t="s">
        <v>50</v>
      </c>
      <c r="B301" t="str">
        <f t="shared" si="5"/>
        <v>09075</v>
      </c>
      <c r="C301" t="s">
        <v>1208</v>
      </c>
      <c r="D301">
        <v>31.56</v>
      </c>
      <c r="E301" t="s">
        <v>346</v>
      </c>
      <c r="K301" s="88" t="s">
        <v>280</v>
      </c>
      <c r="L301" s="23">
        <v>15.8</v>
      </c>
      <c r="M301" s="23">
        <v>40</v>
      </c>
      <c r="N301" s="23">
        <v>0</v>
      </c>
      <c r="O301" s="23">
        <v>105.8</v>
      </c>
      <c r="P301" s="23">
        <v>0</v>
      </c>
      <c r="Q301" s="23">
        <v>38.4</v>
      </c>
      <c r="R301" s="23">
        <v>0</v>
      </c>
      <c r="S301" s="23">
        <v>68.2</v>
      </c>
      <c r="T301" s="23">
        <v>0</v>
      </c>
      <c r="U301" s="23">
        <v>91.6</v>
      </c>
      <c r="V301" s="23">
        <v>9.73</v>
      </c>
      <c r="W301" s="23">
        <v>0</v>
      </c>
      <c r="X301" s="23">
        <v>168.35</v>
      </c>
      <c r="Y301" s="23">
        <v>42.67</v>
      </c>
      <c r="Z301" s="23">
        <v>0</v>
      </c>
      <c r="AA301" s="23">
        <v>0</v>
      </c>
      <c r="AB301" s="23">
        <v>580.54999999999995</v>
      </c>
    </row>
    <row r="302" spans="1:28" x14ac:dyDescent="0.25">
      <c r="A302" s="34" t="s">
        <v>50</v>
      </c>
      <c r="B302" t="str">
        <f t="shared" si="5"/>
        <v>09075</v>
      </c>
      <c r="C302" t="s">
        <v>1210</v>
      </c>
      <c r="D302">
        <v>0</v>
      </c>
      <c r="E302" t="s">
        <v>346</v>
      </c>
      <c r="K302" s="88" t="s">
        <v>281</v>
      </c>
      <c r="L302" s="23">
        <v>8.0399999999999991</v>
      </c>
      <c r="M302" s="23">
        <v>14</v>
      </c>
      <c r="N302" s="23">
        <v>0</v>
      </c>
      <c r="O302" s="23">
        <v>36.200000000000003</v>
      </c>
      <c r="P302" s="23">
        <v>0</v>
      </c>
      <c r="Q302" s="23">
        <v>12.2</v>
      </c>
      <c r="R302" s="23">
        <v>0</v>
      </c>
      <c r="S302" s="23">
        <v>33.6</v>
      </c>
      <c r="T302" s="23">
        <v>0</v>
      </c>
      <c r="U302" s="23">
        <v>18.399999999999999</v>
      </c>
      <c r="V302" s="23">
        <v>0</v>
      </c>
      <c r="W302" s="23">
        <v>0</v>
      </c>
      <c r="X302" s="23">
        <v>52.07</v>
      </c>
      <c r="Y302" s="23">
        <v>9.9</v>
      </c>
      <c r="Z302" s="23">
        <v>0</v>
      </c>
      <c r="AA302" s="23">
        <v>0</v>
      </c>
      <c r="AB302" s="23">
        <v>184.41</v>
      </c>
    </row>
    <row r="303" spans="1:28" x14ac:dyDescent="0.25">
      <c r="A303" s="34" t="s">
        <v>50</v>
      </c>
      <c r="B303" t="str">
        <f t="shared" si="5"/>
        <v>09075</v>
      </c>
      <c r="C303" t="s">
        <v>1212</v>
      </c>
      <c r="D303">
        <v>0</v>
      </c>
      <c r="E303" t="s">
        <v>346</v>
      </c>
      <c r="K303" s="88" t="s">
        <v>282</v>
      </c>
      <c r="L303" s="23">
        <v>0</v>
      </c>
      <c r="M303" s="23">
        <v>6</v>
      </c>
      <c r="N303" s="23">
        <v>0</v>
      </c>
      <c r="O303" s="23">
        <v>22</v>
      </c>
      <c r="P303" s="23">
        <v>0</v>
      </c>
      <c r="Q303" s="23">
        <v>8</v>
      </c>
      <c r="R303" s="23">
        <v>0</v>
      </c>
      <c r="S303" s="23">
        <v>22.68</v>
      </c>
      <c r="T303" s="23">
        <v>0</v>
      </c>
      <c r="U303" s="23">
        <v>14.8</v>
      </c>
      <c r="V303" s="23">
        <v>0</v>
      </c>
      <c r="W303" s="23">
        <v>0</v>
      </c>
      <c r="X303" s="23">
        <v>40.29</v>
      </c>
      <c r="Y303" s="23">
        <v>8.34</v>
      </c>
      <c r="Z303" s="23">
        <v>0</v>
      </c>
      <c r="AA303" s="23">
        <v>0</v>
      </c>
      <c r="AB303" s="23">
        <v>122.11000000000001</v>
      </c>
    </row>
    <row r="304" spans="1:28" x14ac:dyDescent="0.25">
      <c r="A304" s="34" t="s">
        <v>50</v>
      </c>
      <c r="B304" t="str">
        <f t="shared" si="5"/>
        <v>09075</v>
      </c>
      <c r="C304" t="s">
        <v>1216</v>
      </c>
      <c r="D304">
        <v>25.07</v>
      </c>
      <c r="E304" t="s">
        <v>346</v>
      </c>
      <c r="K304" s="88" t="s">
        <v>283</v>
      </c>
      <c r="L304" s="23">
        <v>5.6</v>
      </c>
      <c r="M304" s="23">
        <v>4</v>
      </c>
      <c r="N304" s="23">
        <v>0</v>
      </c>
      <c r="O304" s="23">
        <v>8.1999999999999993</v>
      </c>
      <c r="P304" s="23">
        <v>0</v>
      </c>
      <c r="Q304" s="23">
        <v>3</v>
      </c>
      <c r="R304" s="23">
        <v>0</v>
      </c>
      <c r="S304" s="23">
        <v>5.6</v>
      </c>
      <c r="T304" s="23">
        <v>0</v>
      </c>
      <c r="U304" s="23">
        <v>3.8</v>
      </c>
      <c r="V304" s="23">
        <v>0</v>
      </c>
      <c r="W304" s="23">
        <v>0</v>
      </c>
      <c r="X304" s="23">
        <v>0</v>
      </c>
      <c r="Y304" s="23">
        <v>0</v>
      </c>
      <c r="Z304" s="23">
        <v>0</v>
      </c>
      <c r="AA304" s="23">
        <v>0</v>
      </c>
      <c r="AB304" s="23">
        <v>30.2</v>
      </c>
    </row>
    <row r="305" spans="1:28" x14ac:dyDescent="0.25">
      <c r="A305" s="34" t="s">
        <v>50</v>
      </c>
      <c r="B305" t="str">
        <f t="shared" si="5"/>
        <v>09075</v>
      </c>
      <c r="C305" t="s">
        <v>1198</v>
      </c>
      <c r="D305">
        <v>51</v>
      </c>
      <c r="E305" t="s">
        <v>346</v>
      </c>
      <c r="K305" s="88" t="s">
        <v>284</v>
      </c>
      <c r="L305" s="23">
        <v>12</v>
      </c>
      <c r="M305" s="23">
        <v>15</v>
      </c>
      <c r="N305" s="23">
        <v>0</v>
      </c>
      <c r="O305" s="23">
        <v>36</v>
      </c>
      <c r="P305" s="23">
        <v>0</v>
      </c>
      <c r="Q305" s="23">
        <v>11</v>
      </c>
      <c r="R305" s="23">
        <v>0</v>
      </c>
      <c r="S305" s="23">
        <v>26</v>
      </c>
      <c r="T305" s="23">
        <v>0</v>
      </c>
      <c r="U305" s="23">
        <v>22.6</v>
      </c>
      <c r="V305" s="23">
        <v>1.08</v>
      </c>
      <c r="W305" s="23">
        <v>0</v>
      </c>
      <c r="X305" s="23">
        <v>28.3</v>
      </c>
      <c r="Y305" s="23">
        <v>4.92</v>
      </c>
      <c r="Z305" s="23">
        <v>0</v>
      </c>
      <c r="AA305" s="23">
        <v>0</v>
      </c>
      <c r="AB305" s="23">
        <v>156.89999999999998</v>
      </c>
    </row>
    <row r="306" spans="1:28" x14ac:dyDescent="0.25">
      <c r="A306">
        <v>16046</v>
      </c>
      <c r="B306" t="str">
        <f t="shared" si="5"/>
        <v>16046</v>
      </c>
      <c r="C306" t="s">
        <v>1193</v>
      </c>
      <c r="D306">
        <v>0</v>
      </c>
      <c r="E306" t="s">
        <v>388</v>
      </c>
      <c r="K306" s="88" t="s">
        <v>285</v>
      </c>
      <c r="L306" s="23">
        <v>0</v>
      </c>
      <c r="M306" s="23">
        <v>6</v>
      </c>
      <c r="N306" s="23">
        <v>0</v>
      </c>
      <c r="O306" s="23">
        <v>17</v>
      </c>
      <c r="P306" s="23">
        <v>0</v>
      </c>
      <c r="Q306" s="23">
        <v>7.2</v>
      </c>
      <c r="R306" s="23">
        <v>0</v>
      </c>
      <c r="S306" s="23">
        <v>10.199999999999999</v>
      </c>
      <c r="T306" s="23">
        <v>0</v>
      </c>
      <c r="U306" s="23">
        <v>11</v>
      </c>
      <c r="V306" s="23">
        <v>0</v>
      </c>
      <c r="W306" s="23">
        <v>0</v>
      </c>
      <c r="X306" s="23">
        <v>19.2</v>
      </c>
      <c r="Y306" s="23">
        <v>0</v>
      </c>
      <c r="Z306" s="23">
        <v>0</v>
      </c>
      <c r="AA306" s="23">
        <v>0</v>
      </c>
      <c r="AB306" s="23">
        <v>70.599999999999994</v>
      </c>
    </row>
    <row r="307" spans="1:28" x14ac:dyDescent="0.25">
      <c r="A307">
        <v>16046</v>
      </c>
      <c r="B307" t="str">
        <f t="shared" si="5"/>
        <v>16046</v>
      </c>
      <c r="C307" t="s">
        <v>1194</v>
      </c>
      <c r="D307">
        <v>15.6</v>
      </c>
      <c r="E307" t="s">
        <v>388</v>
      </c>
      <c r="K307" s="88" t="s">
        <v>286</v>
      </c>
      <c r="L307" s="23">
        <v>9.3000000000000007</v>
      </c>
      <c r="M307" s="23">
        <v>6</v>
      </c>
      <c r="N307" s="23">
        <v>0</v>
      </c>
      <c r="O307" s="23">
        <v>32.4</v>
      </c>
      <c r="P307" s="23">
        <v>0</v>
      </c>
      <c r="Q307" s="23">
        <v>11.4</v>
      </c>
      <c r="R307" s="23">
        <v>0</v>
      </c>
      <c r="S307" s="23">
        <v>23.37</v>
      </c>
      <c r="T307" s="23">
        <v>0</v>
      </c>
      <c r="U307" s="23">
        <v>25.45</v>
      </c>
      <c r="V307" s="23">
        <v>2.35</v>
      </c>
      <c r="W307" s="23">
        <v>0</v>
      </c>
      <c r="X307" s="23">
        <v>37.06</v>
      </c>
      <c r="Y307" s="23">
        <v>5.89</v>
      </c>
      <c r="Z307" s="23">
        <v>0</v>
      </c>
      <c r="AA307" s="23">
        <v>0</v>
      </c>
      <c r="AB307" s="23">
        <v>153.21999999999997</v>
      </c>
    </row>
    <row r="308" spans="1:28" x14ac:dyDescent="0.25">
      <c r="A308">
        <v>16046</v>
      </c>
      <c r="B308" t="str">
        <f t="shared" si="5"/>
        <v>16046</v>
      </c>
      <c r="C308" t="s">
        <v>1195</v>
      </c>
      <c r="D308">
        <v>0</v>
      </c>
      <c r="E308" t="s">
        <v>388</v>
      </c>
      <c r="K308" s="88" t="s">
        <v>287</v>
      </c>
      <c r="L308" s="23">
        <v>7</v>
      </c>
      <c r="M308" s="23">
        <v>14.4</v>
      </c>
      <c r="N308" s="23">
        <v>0</v>
      </c>
      <c r="O308" s="23">
        <v>41.6</v>
      </c>
      <c r="P308" s="23">
        <v>0</v>
      </c>
      <c r="Q308" s="23">
        <v>7</v>
      </c>
      <c r="R308" s="23">
        <v>0</v>
      </c>
      <c r="S308" s="23">
        <v>17</v>
      </c>
      <c r="T308" s="23">
        <v>0</v>
      </c>
      <c r="U308" s="23">
        <v>22.6</v>
      </c>
      <c r="V308" s="23">
        <v>0</v>
      </c>
      <c r="W308" s="23">
        <v>0</v>
      </c>
      <c r="X308" s="23">
        <v>38.96</v>
      </c>
      <c r="Y308" s="23">
        <v>10.11</v>
      </c>
      <c r="Z308" s="23">
        <v>0</v>
      </c>
      <c r="AA308" s="23">
        <v>0</v>
      </c>
      <c r="AB308" s="23">
        <v>158.67000000000002</v>
      </c>
    </row>
    <row r="309" spans="1:28" x14ac:dyDescent="0.25">
      <c r="A309">
        <v>16046</v>
      </c>
      <c r="B309" t="str">
        <f t="shared" si="5"/>
        <v>16046</v>
      </c>
      <c r="C309" t="s">
        <v>1197</v>
      </c>
      <c r="D309">
        <v>11</v>
      </c>
      <c r="E309" t="s">
        <v>388</v>
      </c>
      <c r="K309" s="88" t="s">
        <v>288</v>
      </c>
      <c r="L309" s="23">
        <v>7.03</v>
      </c>
      <c r="M309" s="23">
        <v>6.83</v>
      </c>
      <c r="N309" s="23">
        <v>0</v>
      </c>
      <c r="O309" s="23">
        <v>28.2</v>
      </c>
      <c r="P309" s="23">
        <v>0</v>
      </c>
      <c r="Q309" s="23">
        <v>11.2</v>
      </c>
      <c r="R309" s="23">
        <v>0</v>
      </c>
      <c r="S309" s="23">
        <v>23.2</v>
      </c>
      <c r="T309" s="23">
        <v>0</v>
      </c>
      <c r="U309" s="23">
        <v>23.12</v>
      </c>
      <c r="V309" s="23">
        <v>4.4000000000000004</v>
      </c>
      <c r="W309" s="23">
        <v>0</v>
      </c>
      <c r="X309" s="23">
        <v>42.95</v>
      </c>
      <c r="Y309" s="23">
        <v>13.93</v>
      </c>
      <c r="Z309" s="23">
        <v>0</v>
      </c>
      <c r="AA309" s="23">
        <v>0</v>
      </c>
      <c r="AB309" s="23">
        <v>160.86000000000001</v>
      </c>
    </row>
    <row r="310" spans="1:28" x14ac:dyDescent="0.25">
      <c r="A310">
        <v>16046</v>
      </c>
      <c r="B310" t="str">
        <f t="shared" si="5"/>
        <v>16046</v>
      </c>
      <c r="C310" t="s">
        <v>1202</v>
      </c>
      <c r="D310">
        <v>0</v>
      </c>
      <c r="E310" t="s">
        <v>388</v>
      </c>
      <c r="K310" s="88" t="s">
        <v>289</v>
      </c>
      <c r="L310" s="23">
        <v>16.600000000000001</v>
      </c>
      <c r="M310" s="23">
        <v>48.8</v>
      </c>
      <c r="N310" s="23">
        <v>0</v>
      </c>
      <c r="O310" s="23">
        <v>172.2</v>
      </c>
      <c r="P310" s="23">
        <v>0</v>
      </c>
      <c r="Q310" s="23">
        <v>54.6</v>
      </c>
      <c r="R310" s="23">
        <v>0</v>
      </c>
      <c r="S310" s="23">
        <v>135</v>
      </c>
      <c r="T310" s="23">
        <v>0</v>
      </c>
      <c r="U310" s="23">
        <v>115.2</v>
      </c>
      <c r="V310" s="23">
        <v>0</v>
      </c>
      <c r="W310" s="23">
        <v>0</v>
      </c>
      <c r="X310" s="23">
        <v>0</v>
      </c>
      <c r="Y310" s="23">
        <v>0</v>
      </c>
      <c r="Z310" s="23">
        <v>0</v>
      </c>
      <c r="AA310" s="23">
        <v>0</v>
      </c>
      <c r="AB310" s="23">
        <v>542.4</v>
      </c>
    </row>
    <row r="311" spans="1:28" x14ac:dyDescent="0.25">
      <c r="A311">
        <v>16046</v>
      </c>
      <c r="B311" t="str">
        <f t="shared" si="5"/>
        <v>16046</v>
      </c>
      <c r="C311" t="s">
        <v>1206</v>
      </c>
      <c r="D311">
        <v>9.4</v>
      </c>
      <c r="E311" t="s">
        <v>388</v>
      </c>
      <c r="K311" s="88" t="s">
        <v>290</v>
      </c>
      <c r="L311" s="23">
        <v>31.8</v>
      </c>
      <c r="M311" s="23">
        <v>81.2</v>
      </c>
      <c r="N311" s="23">
        <v>0</v>
      </c>
      <c r="O311" s="23">
        <v>276.23</v>
      </c>
      <c r="P311" s="23">
        <v>0</v>
      </c>
      <c r="Q311" s="23">
        <v>97.43</v>
      </c>
      <c r="R311" s="23">
        <v>0</v>
      </c>
      <c r="S311" s="23">
        <v>202.82</v>
      </c>
      <c r="T311" s="23">
        <v>0</v>
      </c>
      <c r="U311" s="23">
        <v>208.14</v>
      </c>
      <c r="V311" s="23">
        <v>64.27</v>
      </c>
      <c r="W311" s="23">
        <v>0</v>
      </c>
      <c r="X311" s="23">
        <v>340.8</v>
      </c>
      <c r="Y311" s="23">
        <v>109.55</v>
      </c>
      <c r="Z311" s="23">
        <v>0</v>
      </c>
      <c r="AA311" s="23">
        <v>0</v>
      </c>
      <c r="AB311" s="23">
        <v>1412.24</v>
      </c>
    </row>
    <row r="312" spans="1:28" x14ac:dyDescent="0.25">
      <c r="A312">
        <v>16046</v>
      </c>
      <c r="B312" t="str">
        <f t="shared" si="5"/>
        <v>16046</v>
      </c>
      <c r="C312" t="s">
        <v>1199</v>
      </c>
      <c r="D312">
        <v>0</v>
      </c>
      <c r="E312" t="s">
        <v>388</v>
      </c>
      <c r="K312" s="88" t="s">
        <v>291</v>
      </c>
      <c r="L312" s="23">
        <v>0</v>
      </c>
      <c r="M312" s="23">
        <v>994.81</v>
      </c>
      <c r="N312" s="23">
        <v>0</v>
      </c>
      <c r="O312" s="23">
        <v>3178.23</v>
      </c>
      <c r="P312" s="23">
        <v>0</v>
      </c>
      <c r="Q312" s="23">
        <v>1084.82</v>
      </c>
      <c r="R312" s="23">
        <v>0</v>
      </c>
      <c r="S312" s="23">
        <v>2188.88</v>
      </c>
      <c r="T312" s="23">
        <v>0</v>
      </c>
      <c r="U312" s="23">
        <v>2162.94</v>
      </c>
      <c r="V312" s="23">
        <v>509.67</v>
      </c>
      <c r="W312" s="23">
        <v>0</v>
      </c>
      <c r="X312" s="23">
        <v>4924.8900000000003</v>
      </c>
      <c r="Y312" s="23">
        <v>1000.62</v>
      </c>
      <c r="Z312" s="23">
        <v>0</v>
      </c>
      <c r="AA312" s="23">
        <v>512.08000000000004</v>
      </c>
      <c r="AB312" s="23">
        <v>16556.940000000002</v>
      </c>
    </row>
    <row r="313" spans="1:28" x14ac:dyDescent="0.25">
      <c r="A313">
        <v>16046</v>
      </c>
      <c r="B313" t="str">
        <f t="shared" si="5"/>
        <v>16046</v>
      </c>
      <c r="C313" t="s">
        <v>1203</v>
      </c>
      <c r="D313">
        <v>23</v>
      </c>
      <c r="E313" t="s">
        <v>388</v>
      </c>
      <c r="K313" s="88" t="s">
        <v>292</v>
      </c>
      <c r="L313" s="23">
        <v>78.400000000000006</v>
      </c>
      <c r="M313" s="23">
        <v>194.6</v>
      </c>
      <c r="N313" s="23">
        <v>0</v>
      </c>
      <c r="O313" s="23">
        <v>699.48</v>
      </c>
      <c r="P313" s="23">
        <v>0</v>
      </c>
      <c r="Q313" s="23">
        <v>253.21</v>
      </c>
      <c r="R313" s="23">
        <v>0</v>
      </c>
      <c r="S313" s="23">
        <v>521.79999999999995</v>
      </c>
      <c r="T313" s="23">
        <v>0</v>
      </c>
      <c r="U313" s="23">
        <v>541.20000000000005</v>
      </c>
      <c r="V313" s="23">
        <v>16.05</v>
      </c>
      <c r="W313" s="23">
        <v>0</v>
      </c>
      <c r="X313" s="23">
        <v>949.37</v>
      </c>
      <c r="Y313" s="23">
        <v>173.89</v>
      </c>
      <c r="Z313" s="23">
        <v>0</v>
      </c>
      <c r="AA313" s="23">
        <v>0</v>
      </c>
      <c r="AB313" s="23">
        <v>3428</v>
      </c>
    </row>
    <row r="314" spans="1:28" x14ac:dyDescent="0.25">
      <c r="A314">
        <v>16046</v>
      </c>
      <c r="B314" t="str">
        <f t="shared" si="5"/>
        <v>16046</v>
      </c>
      <c r="C314" t="s">
        <v>1200</v>
      </c>
      <c r="D314">
        <v>0</v>
      </c>
      <c r="E314" t="s">
        <v>388</v>
      </c>
      <c r="K314" s="88" t="s">
        <v>293</v>
      </c>
      <c r="L314" s="23">
        <v>18</v>
      </c>
      <c r="M314" s="23">
        <v>224.21</v>
      </c>
      <c r="N314" s="23">
        <v>0</v>
      </c>
      <c r="O314" s="23">
        <v>757.5</v>
      </c>
      <c r="P314" s="23">
        <v>0</v>
      </c>
      <c r="Q314" s="23">
        <v>255.2</v>
      </c>
      <c r="R314" s="23">
        <v>0</v>
      </c>
      <c r="S314" s="23">
        <v>556.85</v>
      </c>
      <c r="T314" s="23">
        <v>0</v>
      </c>
      <c r="U314" s="23">
        <v>589.55999999999995</v>
      </c>
      <c r="V314" s="23">
        <v>191.68</v>
      </c>
      <c r="W314" s="23">
        <v>0</v>
      </c>
      <c r="X314" s="23">
        <v>1100.72</v>
      </c>
      <c r="Y314" s="23">
        <v>442.88</v>
      </c>
      <c r="Z314" s="23">
        <v>0</v>
      </c>
      <c r="AA314" s="23">
        <v>0</v>
      </c>
      <c r="AB314" s="23">
        <v>4136.6000000000004</v>
      </c>
    </row>
    <row r="315" spans="1:28" x14ac:dyDescent="0.25">
      <c r="A315">
        <v>16046</v>
      </c>
      <c r="B315" t="str">
        <f t="shared" si="5"/>
        <v>16046</v>
      </c>
      <c r="C315" t="s">
        <v>1204</v>
      </c>
      <c r="D315">
        <v>0</v>
      </c>
      <c r="E315" t="s">
        <v>388</v>
      </c>
      <c r="K315" s="88" t="s">
        <v>294</v>
      </c>
      <c r="L315" s="23">
        <v>26.4</v>
      </c>
      <c r="M315" s="23">
        <v>60.8</v>
      </c>
      <c r="N315" s="23">
        <v>0</v>
      </c>
      <c r="O315" s="23">
        <v>135.19999999999999</v>
      </c>
      <c r="P315" s="23">
        <v>0</v>
      </c>
      <c r="Q315" s="23">
        <v>42</v>
      </c>
      <c r="R315" s="23">
        <v>0</v>
      </c>
      <c r="S315" s="23">
        <v>93.4</v>
      </c>
      <c r="T315" s="23">
        <v>0</v>
      </c>
      <c r="U315" s="23">
        <v>107</v>
      </c>
      <c r="V315" s="23">
        <v>6.84</v>
      </c>
      <c r="W315" s="23">
        <v>0</v>
      </c>
      <c r="X315" s="23">
        <v>212.54</v>
      </c>
      <c r="Y315" s="23">
        <v>41.36</v>
      </c>
      <c r="Z315" s="23">
        <v>0</v>
      </c>
      <c r="AA315" s="23">
        <v>0</v>
      </c>
      <c r="AB315" s="23">
        <v>725.54</v>
      </c>
    </row>
    <row r="316" spans="1:28" x14ac:dyDescent="0.25">
      <c r="A316">
        <v>16046</v>
      </c>
      <c r="B316" t="str">
        <f t="shared" si="5"/>
        <v>16046</v>
      </c>
      <c r="C316" t="s">
        <v>1207</v>
      </c>
      <c r="D316">
        <v>0</v>
      </c>
      <c r="E316" t="s">
        <v>388</v>
      </c>
      <c r="K316" s="88" t="s">
        <v>295</v>
      </c>
      <c r="L316" s="23">
        <v>98.2</v>
      </c>
      <c r="M316" s="23">
        <v>195.81</v>
      </c>
      <c r="N316" s="23">
        <v>0</v>
      </c>
      <c r="O316" s="23">
        <v>744</v>
      </c>
      <c r="P316" s="23">
        <v>0</v>
      </c>
      <c r="Q316" s="23">
        <v>257</v>
      </c>
      <c r="R316" s="23">
        <v>0</v>
      </c>
      <c r="S316" s="23">
        <v>505.8</v>
      </c>
      <c r="T316" s="23">
        <v>0</v>
      </c>
      <c r="U316" s="23">
        <v>553.14</v>
      </c>
      <c r="V316" s="23">
        <v>42.48</v>
      </c>
      <c r="W316" s="23">
        <v>0</v>
      </c>
      <c r="X316" s="23">
        <v>1081.5999999999999</v>
      </c>
      <c r="Y316" s="23">
        <v>326.89</v>
      </c>
      <c r="Z316" s="23">
        <v>0</v>
      </c>
      <c r="AA316" s="23">
        <v>0</v>
      </c>
      <c r="AB316" s="23">
        <v>3804.9199999999996</v>
      </c>
    </row>
    <row r="317" spans="1:28" x14ac:dyDescent="0.25">
      <c r="A317">
        <v>16046</v>
      </c>
      <c r="B317" t="str">
        <f t="shared" si="5"/>
        <v>16046</v>
      </c>
      <c r="C317" t="s">
        <v>1208</v>
      </c>
      <c r="D317">
        <v>0</v>
      </c>
      <c r="E317" t="s">
        <v>388</v>
      </c>
      <c r="K317" s="88" t="s">
        <v>296</v>
      </c>
      <c r="L317" s="23">
        <v>27.2</v>
      </c>
      <c r="M317" s="23">
        <v>385.97</v>
      </c>
      <c r="N317" s="23">
        <v>0</v>
      </c>
      <c r="O317" s="23">
        <v>1267.4000000000001</v>
      </c>
      <c r="P317" s="23">
        <v>0</v>
      </c>
      <c r="Q317" s="23">
        <v>432.6</v>
      </c>
      <c r="R317" s="23">
        <v>0</v>
      </c>
      <c r="S317" s="23">
        <v>901.8</v>
      </c>
      <c r="T317" s="23">
        <v>0</v>
      </c>
      <c r="U317" s="23">
        <v>918.28</v>
      </c>
      <c r="V317" s="23">
        <v>44.23</v>
      </c>
      <c r="W317" s="23">
        <v>0</v>
      </c>
      <c r="X317" s="23">
        <v>1858.86</v>
      </c>
      <c r="Y317" s="23">
        <v>332.33</v>
      </c>
      <c r="Z317" s="23">
        <v>0</v>
      </c>
      <c r="AA317" s="23">
        <v>0</v>
      </c>
      <c r="AB317" s="23">
        <v>6168.67</v>
      </c>
    </row>
    <row r="318" spans="1:28" x14ac:dyDescent="0.25">
      <c r="A318">
        <v>16046</v>
      </c>
      <c r="B318" t="str">
        <f t="shared" si="5"/>
        <v>16046</v>
      </c>
      <c r="C318" t="s">
        <v>1210</v>
      </c>
      <c r="D318">
        <v>0</v>
      </c>
      <c r="E318" t="s">
        <v>388</v>
      </c>
      <c r="K318" s="88" t="s">
        <v>297</v>
      </c>
      <c r="L318" s="23">
        <v>0</v>
      </c>
      <c r="M318" s="23">
        <v>222.4</v>
      </c>
      <c r="N318" s="23">
        <v>0</v>
      </c>
      <c r="O318" s="23">
        <v>736.2</v>
      </c>
      <c r="P318" s="23">
        <v>0</v>
      </c>
      <c r="Q318" s="23">
        <v>228.4</v>
      </c>
      <c r="R318" s="23">
        <v>0</v>
      </c>
      <c r="S318" s="23">
        <v>509.8</v>
      </c>
      <c r="T318" s="23">
        <v>0</v>
      </c>
      <c r="U318" s="23">
        <v>504.74</v>
      </c>
      <c r="V318" s="23">
        <v>169.22</v>
      </c>
      <c r="W318" s="23">
        <v>0</v>
      </c>
      <c r="X318" s="23">
        <v>977.23</v>
      </c>
      <c r="Y318" s="23">
        <v>533.76</v>
      </c>
      <c r="Z318" s="23">
        <v>0</v>
      </c>
      <c r="AA318" s="23">
        <v>0</v>
      </c>
      <c r="AB318" s="23">
        <v>3881.75</v>
      </c>
    </row>
    <row r="319" spans="1:28" x14ac:dyDescent="0.25">
      <c r="A319">
        <v>16046</v>
      </c>
      <c r="B319" t="str">
        <f t="shared" si="5"/>
        <v>16046</v>
      </c>
      <c r="C319" t="s">
        <v>1212</v>
      </c>
      <c r="D319">
        <v>0</v>
      </c>
      <c r="E319" t="s">
        <v>388</v>
      </c>
      <c r="K319" s="88" t="s">
        <v>298</v>
      </c>
      <c r="L319" s="23">
        <v>52.1</v>
      </c>
      <c r="M319" s="23">
        <v>46.4</v>
      </c>
      <c r="N319" s="23">
        <v>0</v>
      </c>
      <c r="O319" s="23">
        <v>222.6</v>
      </c>
      <c r="P319" s="23">
        <v>0</v>
      </c>
      <c r="Q319" s="23">
        <v>64.2</v>
      </c>
      <c r="R319" s="23">
        <v>0</v>
      </c>
      <c r="S319" s="23">
        <v>143.6</v>
      </c>
      <c r="T319" s="23">
        <v>0</v>
      </c>
      <c r="U319" s="23">
        <v>161.80000000000001</v>
      </c>
      <c r="V319" s="23">
        <v>0</v>
      </c>
      <c r="W319" s="23">
        <v>0</v>
      </c>
      <c r="X319" s="23">
        <v>332.47</v>
      </c>
      <c r="Y319" s="23">
        <v>46.21</v>
      </c>
      <c r="Z319" s="23">
        <v>0</v>
      </c>
      <c r="AA319" s="23">
        <v>0</v>
      </c>
      <c r="AB319" s="23">
        <v>1069.3800000000001</v>
      </c>
    </row>
    <row r="320" spans="1:28" x14ac:dyDescent="0.25">
      <c r="A320">
        <v>16046</v>
      </c>
      <c r="B320" t="str">
        <f t="shared" si="5"/>
        <v>16046</v>
      </c>
      <c r="C320" t="s">
        <v>1216</v>
      </c>
      <c r="D320">
        <v>7</v>
      </c>
      <c r="E320" t="s">
        <v>388</v>
      </c>
      <c r="K320" s="88" t="s">
        <v>299</v>
      </c>
      <c r="L320" s="23">
        <v>0</v>
      </c>
      <c r="M320" s="23">
        <v>86.8</v>
      </c>
      <c r="N320" s="23">
        <v>0</v>
      </c>
      <c r="O320" s="23">
        <v>328.4</v>
      </c>
      <c r="P320" s="23">
        <v>0</v>
      </c>
      <c r="Q320" s="23">
        <v>105.6</v>
      </c>
      <c r="R320" s="23">
        <v>0</v>
      </c>
      <c r="S320" s="23">
        <v>202.6</v>
      </c>
      <c r="T320" s="23">
        <v>0</v>
      </c>
      <c r="U320" s="23">
        <v>219.6</v>
      </c>
      <c r="V320" s="23">
        <v>32.33</v>
      </c>
      <c r="W320" s="23">
        <v>0</v>
      </c>
      <c r="X320" s="23">
        <v>400.19</v>
      </c>
      <c r="Y320" s="23">
        <v>159.77000000000001</v>
      </c>
      <c r="Z320" s="23">
        <v>0</v>
      </c>
      <c r="AA320" s="23">
        <v>0</v>
      </c>
      <c r="AB320" s="23">
        <v>1535.29</v>
      </c>
    </row>
    <row r="321" spans="1:28" x14ac:dyDescent="0.25">
      <c r="A321">
        <v>16046</v>
      </c>
      <c r="B321" t="str">
        <f t="shared" si="5"/>
        <v>16046</v>
      </c>
      <c r="C321" t="s">
        <v>1198</v>
      </c>
      <c r="D321">
        <v>6</v>
      </c>
      <c r="E321" t="s">
        <v>388</v>
      </c>
      <c r="K321" s="88" t="s">
        <v>300</v>
      </c>
      <c r="L321" s="23">
        <v>36</v>
      </c>
      <c r="M321" s="23">
        <v>85.7</v>
      </c>
      <c r="N321" s="23">
        <v>0</v>
      </c>
      <c r="O321" s="23">
        <v>274.44</v>
      </c>
      <c r="P321" s="23">
        <v>0</v>
      </c>
      <c r="Q321" s="23">
        <v>83.94</v>
      </c>
      <c r="R321" s="23">
        <v>0</v>
      </c>
      <c r="S321" s="23">
        <v>185.4</v>
      </c>
      <c r="T321" s="23">
        <v>0</v>
      </c>
      <c r="U321" s="23">
        <v>203.39</v>
      </c>
      <c r="V321" s="23">
        <v>0</v>
      </c>
      <c r="W321" s="23">
        <v>0</v>
      </c>
      <c r="X321" s="23">
        <v>435.14</v>
      </c>
      <c r="Y321" s="23">
        <v>76.040000000000006</v>
      </c>
      <c r="Z321" s="23">
        <v>0</v>
      </c>
      <c r="AA321" s="23">
        <v>0</v>
      </c>
      <c r="AB321" s="23">
        <v>1380.05</v>
      </c>
    </row>
    <row r="322" spans="1:28" x14ac:dyDescent="0.25">
      <c r="A322">
        <v>29100</v>
      </c>
      <c r="B322" t="str">
        <f t="shared" si="5"/>
        <v>29100</v>
      </c>
      <c r="C322" t="s">
        <v>1193</v>
      </c>
      <c r="D322">
        <v>0</v>
      </c>
      <c r="E322" t="s">
        <v>498</v>
      </c>
      <c r="K322" s="88" t="s">
        <v>301</v>
      </c>
      <c r="L322" s="23">
        <v>91.6</v>
      </c>
      <c r="M322" s="23">
        <v>220</v>
      </c>
      <c r="N322" s="23">
        <v>0</v>
      </c>
      <c r="O322" s="23">
        <v>676.2</v>
      </c>
      <c r="P322" s="23">
        <v>0</v>
      </c>
      <c r="Q322" s="23">
        <v>208.6</v>
      </c>
      <c r="R322" s="23">
        <v>0</v>
      </c>
      <c r="S322" s="23">
        <v>505.2</v>
      </c>
      <c r="T322" s="23">
        <v>0</v>
      </c>
      <c r="U322" s="23">
        <v>462</v>
      </c>
      <c r="V322" s="23">
        <v>58.61</v>
      </c>
      <c r="W322" s="23">
        <v>0</v>
      </c>
      <c r="X322" s="23">
        <v>883.32</v>
      </c>
      <c r="Y322" s="23">
        <v>249.4</v>
      </c>
      <c r="Z322" s="23">
        <v>0</v>
      </c>
      <c r="AA322" s="23">
        <v>0</v>
      </c>
      <c r="AB322" s="23">
        <v>3354.9300000000007</v>
      </c>
    </row>
    <row r="323" spans="1:28" x14ac:dyDescent="0.25">
      <c r="A323">
        <v>29100</v>
      </c>
      <c r="B323" t="str">
        <f t="shared" ref="B323:B386" si="6">TEXT(A323,"00000")</f>
        <v>29100</v>
      </c>
      <c r="C323" t="s">
        <v>1194</v>
      </c>
      <c r="D323">
        <v>706.58</v>
      </c>
      <c r="E323" t="s">
        <v>498</v>
      </c>
      <c r="K323" s="88" t="s">
        <v>302</v>
      </c>
      <c r="L323" s="23">
        <v>33.6</v>
      </c>
      <c r="M323" s="23">
        <v>338.72</v>
      </c>
      <c r="N323" s="23">
        <v>0</v>
      </c>
      <c r="O323" s="23">
        <v>1156.76</v>
      </c>
      <c r="P323" s="23">
        <v>0</v>
      </c>
      <c r="Q323" s="23">
        <v>385.31</v>
      </c>
      <c r="R323" s="23">
        <v>0</v>
      </c>
      <c r="S323" s="23">
        <v>832.93</v>
      </c>
      <c r="T323" s="23">
        <v>0</v>
      </c>
      <c r="U323" s="23">
        <v>833.42</v>
      </c>
      <c r="V323" s="23">
        <v>292.91000000000003</v>
      </c>
      <c r="W323" s="23">
        <v>0</v>
      </c>
      <c r="X323" s="23">
        <v>1415.12</v>
      </c>
      <c r="Y323" s="23">
        <v>406.42</v>
      </c>
      <c r="Z323" s="23">
        <v>0</v>
      </c>
      <c r="AA323" s="23">
        <v>0</v>
      </c>
      <c r="AB323" s="23">
        <v>5695.19</v>
      </c>
    </row>
    <row r="324" spans="1:28" x14ac:dyDescent="0.25">
      <c r="A324">
        <v>29100</v>
      </c>
      <c r="B324" t="str">
        <f t="shared" si="6"/>
        <v>29100</v>
      </c>
      <c r="C324" t="s">
        <v>1195</v>
      </c>
      <c r="D324">
        <v>0</v>
      </c>
      <c r="E324" t="s">
        <v>498</v>
      </c>
      <c r="K324" s="88" t="s">
        <v>303</v>
      </c>
      <c r="L324" s="23">
        <v>0</v>
      </c>
      <c r="M324" s="23">
        <v>62.2</v>
      </c>
      <c r="N324" s="23">
        <v>0</v>
      </c>
      <c r="O324" s="23">
        <v>176.4</v>
      </c>
      <c r="P324" s="23">
        <v>0</v>
      </c>
      <c r="Q324" s="23">
        <v>61</v>
      </c>
      <c r="R324" s="23">
        <v>0</v>
      </c>
      <c r="S324" s="23">
        <v>138.4</v>
      </c>
      <c r="T324" s="23">
        <v>0</v>
      </c>
      <c r="U324" s="23">
        <v>136</v>
      </c>
      <c r="V324" s="23">
        <v>0</v>
      </c>
      <c r="W324" s="23">
        <v>0</v>
      </c>
      <c r="X324" s="23">
        <v>244.43</v>
      </c>
      <c r="Y324" s="23">
        <v>68.3</v>
      </c>
      <c r="Z324" s="23">
        <v>0</v>
      </c>
      <c r="AA324" s="23">
        <v>0</v>
      </c>
      <c r="AB324" s="23">
        <v>886.73</v>
      </c>
    </row>
    <row r="325" spans="1:28" x14ac:dyDescent="0.25">
      <c r="A325">
        <v>29100</v>
      </c>
      <c r="B325" t="str">
        <f t="shared" si="6"/>
        <v>29100</v>
      </c>
      <c r="C325" t="s">
        <v>1197</v>
      </c>
      <c r="D325">
        <v>229</v>
      </c>
      <c r="E325" t="s">
        <v>498</v>
      </c>
      <c r="K325" s="88" t="s">
        <v>633</v>
      </c>
      <c r="L325" s="23">
        <v>0</v>
      </c>
      <c r="M325" s="23">
        <v>0</v>
      </c>
      <c r="N325" s="23">
        <v>0</v>
      </c>
      <c r="O325" s="23">
        <v>0</v>
      </c>
      <c r="P325" s="23">
        <v>0</v>
      </c>
      <c r="Q325" s="23">
        <v>0</v>
      </c>
      <c r="R325" s="23">
        <v>0</v>
      </c>
      <c r="S325" s="23">
        <v>0</v>
      </c>
      <c r="T325" s="23">
        <v>0</v>
      </c>
      <c r="U325" s="23">
        <v>11.8</v>
      </c>
      <c r="V325" s="23">
        <v>0</v>
      </c>
      <c r="W325" s="23">
        <v>0</v>
      </c>
      <c r="X325" s="23">
        <v>120</v>
      </c>
      <c r="Y325" s="23">
        <v>0</v>
      </c>
      <c r="Z325" s="23">
        <v>0</v>
      </c>
      <c r="AA325" s="23">
        <v>0</v>
      </c>
      <c r="AB325" s="23">
        <v>131.80000000000001</v>
      </c>
    </row>
    <row r="326" spans="1:28" x14ac:dyDescent="0.25">
      <c r="A326">
        <v>29100</v>
      </c>
      <c r="B326" t="str">
        <f t="shared" si="6"/>
        <v>29100</v>
      </c>
      <c r="C326" t="s">
        <v>1202</v>
      </c>
      <c r="D326">
        <v>0</v>
      </c>
      <c r="E326" t="s">
        <v>498</v>
      </c>
      <c r="K326" s="88" t="s">
        <v>753</v>
      </c>
      <c r="L326" s="23">
        <v>6814.4100000000017</v>
      </c>
      <c r="M326" s="23">
        <v>69848.320000000022</v>
      </c>
      <c r="N326" s="23">
        <v>0</v>
      </c>
      <c r="O326" s="23">
        <v>230829.46000000014</v>
      </c>
      <c r="P326" s="23">
        <v>0</v>
      </c>
      <c r="Q326" s="23">
        <v>76992.349999999991</v>
      </c>
      <c r="R326" s="23">
        <v>0</v>
      </c>
      <c r="S326" s="23">
        <v>158473.67999999991</v>
      </c>
      <c r="T326" s="23">
        <v>0</v>
      </c>
      <c r="U326" s="23">
        <v>156172.61000000013</v>
      </c>
      <c r="V326" s="23">
        <v>14265.649999999996</v>
      </c>
      <c r="W326" s="23">
        <v>0</v>
      </c>
      <c r="X326" s="23">
        <v>294456.02999999968</v>
      </c>
      <c r="Y326" s="23">
        <v>64792.119999999981</v>
      </c>
      <c r="Z326" s="23">
        <v>0</v>
      </c>
      <c r="AA326" s="23">
        <v>6180.07</v>
      </c>
      <c r="AB326" s="23">
        <v>1078824.6999999995</v>
      </c>
    </row>
    <row r="327" spans="1:28" x14ac:dyDescent="0.25">
      <c r="A327">
        <v>29100</v>
      </c>
      <c r="B327" t="str">
        <f t="shared" si="6"/>
        <v>29100</v>
      </c>
      <c r="C327" t="s">
        <v>1206</v>
      </c>
      <c r="D327">
        <v>488.81</v>
      </c>
      <c r="E327" t="s">
        <v>498</v>
      </c>
    </row>
    <row r="328" spans="1:28" x14ac:dyDescent="0.25">
      <c r="A328">
        <v>29100</v>
      </c>
      <c r="B328" t="str">
        <f t="shared" si="6"/>
        <v>29100</v>
      </c>
      <c r="C328" t="s">
        <v>1199</v>
      </c>
      <c r="D328">
        <v>0</v>
      </c>
      <c r="E328" t="s">
        <v>498</v>
      </c>
    </row>
    <row r="329" spans="1:28" x14ac:dyDescent="0.25">
      <c r="A329">
        <v>29100</v>
      </c>
      <c r="B329" t="str">
        <f t="shared" si="6"/>
        <v>29100</v>
      </c>
      <c r="C329" t="s">
        <v>1203</v>
      </c>
      <c r="D329">
        <v>512</v>
      </c>
      <c r="E329" t="s">
        <v>498</v>
      </c>
    </row>
    <row r="330" spans="1:28" x14ac:dyDescent="0.25">
      <c r="A330">
        <v>29100</v>
      </c>
      <c r="B330" t="str">
        <f t="shared" si="6"/>
        <v>29100</v>
      </c>
      <c r="C330" t="s">
        <v>1200</v>
      </c>
      <c r="D330">
        <v>0</v>
      </c>
      <c r="E330" t="s">
        <v>498</v>
      </c>
    </row>
    <row r="331" spans="1:28" x14ac:dyDescent="0.25">
      <c r="A331">
        <v>29100</v>
      </c>
      <c r="B331" t="str">
        <f t="shared" si="6"/>
        <v>29100</v>
      </c>
      <c r="C331" t="s">
        <v>1204</v>
      </c>
      <c r="D331">
        <v>939.53</v>
      </c>
      <c r="E331" t="s">
        <v>498</v>
      </c>
    </row>
    <row r="332" spans="1:28" x14ac:dyDescent="0.25">
      <c r="A332">
        <v>29100</v>
      </c>
      <c r="B332" t="str">
        <f t="shared" si="6"/>
        <v>29100</v>
      </c>
      <c r="C332" t="s">
        <v>1207</v>
      </c>
      <c r="D332">
        <v>64.849999999999994</v>
      </c>
      <c r="E332" t="s">
        <v>498</v>
      </c>
    </row>
    <row r="333" spans="1:28" x14ac:dyDescent="0.25">
      <c r="A333">
        <v>29100</v>
      </c>
      <c r="B333" t="str">
        <f t="shared" si="6"/>
        <v>29100</v>
      </c>
      <c r="C333" t="s">
        <v>1208</v>
      </c>
      <c r="D333">
        <v>287.64</v>
      </c>
      <c r="E333" t="s">
        <v>498</v>
      </c>
    </row>
    <row r="334" spans="1:28" x14ac:dyDescent="0.25">
      <c r="A334">
        <v>29100</v>
      </c>
      <c r="B334" t="str">
        <f t="shared" si="6"/>
        <v>29100</v>
      </c>
      <c r="C334" t="s">
        <v>1210</v>
      </c>
      <c r="D334">
        <v>0</v>
      </c>
      <c r="E334" t="s">
        <v>498</v>
      </c>
    </row>
    <row r="335" spans="1:28" x14ac:dyDescent="0.25">
      <c r="A335">
        <v>29100</v>
      </c>
      <c r="B335" t="str">
        <f t="shared" si="6"/>
        <v>29100</v>
      </c>
      <c r="C335" t="s">
        <v>1212</v>
      </c>
      <c r="D335">
        <v>0</v>
      </c>
      <c r="E335" t="s">
        <v>498</v>
      </c>
    </row>
    <row r="336" spans="1:28" x14ac:dyDescent="0.25">
      <c r="A336">
        <v>29100</v>
      </c>
      <c r="B336" t="str">
        <f t="shared" si="6"/>
        <v>29100</v>
      </c>
      <c r="C336" t="s">
        <v>1216</v>
      </c>
      <c r="D336">
        <v>25.47</v>
      </c>
      <c r="E336" t="s">
        <v>498</v>
      </c>
    </row>
    <row r="337" spans="1:5" x14ac:dyDescent="0.25">
      <c r="A337">
        <v>29100</v>
      </c>
      <c r="B337" t="str">
        <f t="shared" si="6"/>
        <v>29100</v>
      </c>
      <c r="C337" t="s">
        <v>1198</v>
      </c>
      <c r="D337">
        <v>213.09</v>
      </c>
      <c r="E337" t="s">
        <v>498</v>
      </c>
    </row>
    <row r="338" spans="1:5" x14ac:dyDescent="0.25">
      <c r="A338" s="34" t="s">
        <v>38</v>
      </c>
      <c r="B338" t="str">
        <f t="shared" si="6"/>
        <v>06117</v>
      </c>
      <c r="C338" t="s">
        <v>1193</v>
      </c>
      <c r="D338">
        <v>0</v>
      </c>
      <c r="E338" t="s">
        <v>334</v>
      </c>
    </row>
    <row r="339" spans="1:5" x14ac:dyDescent="0.25">
      <c r="A339" s="34" t="s">
        <v>38</v>
      </c>
      <c r="B339" t="str">
        <f t="shared" si="6"/>
        <v>06117</v>
      </c>
      <c r="C339" t="s">
        <v>1194</v>
      </c>
      <c r="D339">
        <v>1314.66</v>
      </c>
      <c r="E339" t="s">
        <v>334</v>
      </c>
    </row>
    <row r="340" spans="1:5" x14ac:dyDescent="0.25">
      <c r="A340" s="34" t="s">
        <v>38</v>
      </c>
      <c r="B340" t="str">
        <f t="shared" si="6"/>
        <v>06117</v>
      </c>
      <c r="C340" t="s">
        <v>1195</v>
      </c>
      <c r="D340">
        <v>0</v>
      </c>
      <c r="E340" t="s">
        <v>334</v>
      </c>
    </row>
    <row r="341" spans="1:5" x14ac:dyDescent="0.25">
      <c r="A341" s="34" t="s">
        <v>38</v>
      </c>
      <c r="B341" t="str">
        <f t="shared" si="6"/>
        <v>06117</v>
      </c>
      <c r="C341" t="s">
        <v>1197</v>
      </c>
      <c r="D341">
        <v>550.77</v>
      </c>
      <c r="E341" t="s">
        <v>334</v>
      </c>
    </row>
    <row r="342" spans="1:5" x14ac:dyDescent="0.25">
      <c r="A342" s="34" t="s">
        <v>38</v>
      </c>
      <c r="B342" t="str">
        <f t="shared" si="6"/>
        <v>06117</v>
      </c>
      <c r="C342" t="s">
        <v>1202</v>
      </c>
      <c r="D342">
        <v>0</v>
      </c>
      <c r="E342" t="s">
        <v>334</v>
      </c>
    </row>
    <row r="343" spans="1:5" x14ac:dyDescent="0.25">
      <c r="A343" s="34" t="s">
        <v>38</v>
      </c>
      <c r="B343" t="str">
        <f t="shared" si="6"/>
        <v>06117</v>
      </c>
      <c r="C343" t="s">
        <v>1206</v>
      </c>
      <c r="D343">
        <v>1097.28</v>
      </c>
      <c r="E343" t="s">
        <v>334</v>
      </c>
    </row>
    <row r="344" spans="1:5" x14ac:dyDescent="0.25">
      <c r="A344" s="34" t="s">
        <v>38</v>
      </c>
      <c r="B344" t="str">
        <f t="shared" si="6"/>
        <v>06117</v>
      </c>
      <c r="C344" t="s">
        <v>1199</v>
      </c>
      <c r="D344">
        <v>0</v>
      </c>
      <c r="E344" t="s">
        <v>334</v>
      </c>
    </row>
    <row r="345" spans="1:5" x14ac:dyDescent="0.25">
      <c r="A345" s="34" t="s">
        <v>38</v>
      </c>
      <c r="B345" t="str">
        <f t="shared" si="6"/>
        <v>06117</v>
      </c>
      <c r="C345" t="s">
        <v>1203</v>
      </c>
      <c r="D345">
        <v>1144.22</v>
      </c>
      <c r="E345" t="s">
        <v>334</v>
      </c>
    </row>
    <row r="346" spans="1:5" x14ac:dyDescent="0.25">
      <c r="A346" s="34" t="s">
        <v>38</v>
      </c>
      <c r="B346" t="str">
        <f t="shared" si="6"/>
        <v>06117</v>
      </c>
      <c r="C346" t="s">
        <v>1200</v>
      </c>
      <c r="D346">
        <v>0</v>
      </c>
      <c r="E346" t="s">
        <v>334</v>
      </c>
    </row>
    <row r="347" spans="1:5" x14ac:dyDescent="0.25">
      <c r="A347" s="34" t="s">
        <v>38</v>
      </c>
      <c r="B347" t="str">
        <f t="shared" si="6"/>
        <v>06117</v>
      </c>
      <c r="C347" t="s">
        <v>1204</v>
      </c>
      <c r="D347">
        <v>2196.0500000000002</v>
      </c>
      <c r="E347" t="s">
        <v>334</v>
      </c>
    </row>
    <row r="348" spans="1:5" x14ac:dyDescent="0.25">
      <c r="A348" s="34" t="s">
        <v>38</v>
      </c>
      <c r="B348" t="str">
        <f t="shared" si="6"/>
        <v>06117</v>
      </c>
      <c r="C348" t="s">
        <v>1207</v>
      </c>
      <c r="D348">
        <v>24.82</v>
      </c>
      <c r="E348" t="s">
        <v>334</v>
      </c>
    </row>
    <row r="349" spans="1:5" x14ac:dyDescent="0.25">
      <c r="A349" s="34" t="s">
        <v>38</v>
      </c>
      <c r="B349" t="str">
        <f t="shared" si="6"/>
        <v>06117</v>
      </c>
      <c r="C349" t="s">
        <v>1208</v>
      </c>
      <c r="D349">
        <v>407.9</v>
      </c>
      <c r="E349" t="s">
        <v>334</v>
      </c>
    </row>
    <row r="350" spans="1:5" x14ac:dyDescent="0.25">
      <c r="A350" s="34" t="s">
        <v>38</v>
      </c>
      <c r="B350" t="str">
        <f t="shared" si="6"/>
        <v>06117</v>
      </c>
      <c r="C350" t="s">
        <v>1210</v>
      </c>
      <c r="D350">
        <v>0</v>
      </c>
      <c r="E350" t="s">
        <v>334</v>
      </c>
    </row>
    <row r="351" spans="1:5" x14ac:dyDescent="0.25">
      <c r="A351" s="34" t="s">
        <v>38</v>
      </c>
      <c r="B351" t="str">
        <f t="shared" si="6"/>
        <v>06117</v>
      </c>
      <c r="C351" t="s">
        <v>1212</v>
      </c>
      <c r="D351">
        <v>0</v>
      </c>
      <c r="E351" t="s">
        <v>334</v>
      </c>
    </row>
    <row r="352" spans="1:5" x14ac:dyDescent="0.25">
      <c r="A352" s="34" t="s">
        <v>38</v>
      </c>
      <c r="B352" t="str">
        <f t="shared" si="6"/>
        <v>06117</v>
      </c>
      <c r="C352" t="s">
        <v>1216</v>
      </c>
      <c r="D352">
        <v>14.4</v>
      </c>
      <c r="E352" t="s">
        <v>334</v>
      </c>
    </row>
    <row r="353" spans="1:5" x14ac:dyDescent="0.25">
      <c r="A353" s="34" t="s">
        <v>38</v>
      </c>
      <c r="B353" t="str">
        <f t="shared" si="6"/>
        <v>06117</v>
      </c>
      <c r="C353" t="s">
        <v>1198</v>
      </c>
      <c r="D353">
        <v>384.56</v>
      </c>
      <c r="E353" t="s">
        <v>334</v>
      </c>
    </row>
    <row r="354" spans="1:5" x14ac:dyDescent="0.25">
      <c r="A354" s="34" t="s">
        <v>30</v>
      </c>
      <c r="B354" t="str">
        <f t="shared" si="6"/>
        <v>05401</v>
      </c>
      <c r="C354" t="s">
        <v>1193</v>
      </c>
      <c r="D354">
        <v>0</v>
      </c>
      <c r="E354" t="s">
        <v>326</v>
      </c>
    </row>
    <row r="355" spans="1:5" x14ac:dyDescent="0.25">
      <c r="A355" s="34" t="s">
        <v>30</v>
      </c>
      <c r="B355" t="str">
        <f t="shared" si="6"/>
        <v>05401</v>
      </c>
      <c r="C355" t="s">
        <v>1194</v>
      </c>
      <c r="D355">
        <v>97.2</v>
      </c>
      <c r="E355" t="s">
        <v>326</v>
      </c>
    </row>
    <row r="356" spans="1:5" x14ac:dyDescent="0.25">
      <c r="A356" s="34" t="s">
        <v>30</v>
      </c>
      <c r="B356" t="str">
        <f t="shared" si="6"/>
        <v>05401</v>
      </c>
      <c r="C356" t="s">
        <v>1195</v>
      </c>
      <c r="D356">
        <v>0</v>
      </c>
      <c r="E356" t="s">
        <v>326</v>
      </c>
    </row>
    <row r="357" spans="1:5" x14ac:dyDescent="0.25">
      <c r="A357" s="34" t="s">
        <v>30</v>
      </c>
      <c r="B357" t="str">
        <f t="shared" si="6"/>
        <v>05401</v>
      </c>
      <c r="C357" t="s">
        <v>1197</v>
      </c>
      <c r="D357">
        <v>49.8</v>
      </c>
      <c r="E357" t="s">
        <v>326</v>
      </c>
    </row>
    <row r="358" spans="1:5" x14ac:dyDescent="0.25">
      <c r="A358" s="34" t="s">
        <v>30</v>
      </c>
      <c r="B358" t="str">
        <f t="shared" si="6"/>
        <v>05401</v>
      </c>
      <c r="C358" t="s">
        <v>1202</v>
      </c>
      <c r="D358">
        <v>0</v>
      </c>
      <c r="E358" t="s">
        <v>326</v>
      </c>
    </row>
    <row r="359" spans="1:5" x14ac:dyDescent="0.25">
      <c r="A359" s="34" t="s">
        <v>30</v>
      </c>
      <c r="B359" t="str">
        <f t="shared" si="6"/>
        <v>05401</v>
      </c>
      <c r="C359" t="s">
        <v>1206</v>
      </c>
      <c r="D359">
        <v>76</v>
      </c>
      <c r="E359" t="s">
        <v>326</v>
      </c>
    </row>
    <row r="360" spans="1:5" x14ac:dyDescent="0.25">
      <c r="A360" s="34" t="s">
        <v>30</v>
      </c>
      <c r="B360" t="str">
        <f t="shared" si="6"/>
        <v>05401</v>
      </c>
      <c r="C360" t="s">
        <v>1199</v>
      </c>
      <c r="D360">
        <v>0</v>
      </c>
      <c r="E360" t="s">
        <v>326</v>
      </c>
    </row>
    <row r="361" spans="1:5" x14ac:dyDescent="0.25">
      <c r="A361" s="34" t="s">
        <v>30</v>
      </c>
      <c r="B361" t="str">
        <f t="shared" si="6"/>
        <v>05401</v>
      </c>
      <c r="C361" t="s">
        <v>1203</v>
      </c>
      <c r="D361">
        <v>80.040000000000006</v>
      </c>
      <c r="E361" t="s">
        <v>326</v>
      </c>
    </row>
    <row r="362" spans="1:5" x14ac:dyDescent="0.25">
      <c r="A362" s="34" t="s">
        <v>30</v>
      </c>
      <c r="B362" t="str">
        <f t="shared" si="6"/>
        <v>05401</v>
      </c>
      <c r="C362" t="s">
        <v>1200</v>
      </c>
      <c r="D362">
        <v>0</v>
      </c>
      <c r="E362" t="s">
        <v>326</v>
      </c>
    </row>
    <row r="363" spans="1:5" x14ac:dyDescent="0.25">
      <c r="A363" s="34" t="s">
        <v>30</v>
      </c>
      <c r="B363" t="str">
        <f t="shared" si="6"/>
        <v>05401</v>
      </c>
      <c r="C363" t="s">
        <v>1204</v>
      </c>
      <c r="D363">
        <v>131.30000000000001</v>
      </c>
      <c r="E363" t="s">
        <v>326</v>
      </c>
    </row>
    <row r="364" spans="1:5" x14ac:dyDescent="0.25">
      <c r="A364" s="34" t="s">
        <v>30</v>
      </c>
      <c r="B364" t="str">
        <f t="shared" si="6"/>
        <v>05401</v>
      </c>
      <c r="C364" t="s">
        <v>1207</v>
      </c>
      <c r="D364">
        <v>0</v>
      </c>
      <c r="E364" t="s">
        <v>326</v>
      </c>
    </row>
    <row r="365" spans="1:5" x14ac:dyDescent="0.25">
      <c r="A365" s="34" t="s">
        <v>30</v>
      </c>
      <c r="B365" t="str">
        <f t="shared" si="6"/>
        <v>05401</v>
      </c>
      <c r="C365" t="s">
        <v>1208</v>
      </c>
      <c r="D365">
        <v>13.18</v>
      </c>
      <c r="E365" t="s">
        <v>326</v>
      </c>
    </row>
    <row r="366" spans="1:5" x14ac:dyDescent="0.25">
      <c r="A366" s="34" t="s">
        <v>30</v>
      </c>
      <c r="B366" t="str">
        <f t="shared" si="6"/>
        <v>05401</v>
      </c>
      <c r="C366" t="s">
        <v>1210</v>
      </c>
      <c r="D366">
        <v>0</v>
      </c>
      <c r="E366" t="s">
        <v>326</v>
      </c>
    </row>
    <row r="367" spans="1:5" x14ac:dyDescent="0.25">
      <c r="A367" s="34" t="s">
        <v>30</v>
      </c>
      <c r="B367" t="str">
        <f t="shared" si="6"/>
        <v>05401</v>
      </c>
      <c r="C367" t="s">
        <v>1212</v>
      </c>
      <c r="D367">
        <v>0</v>
      </c>
      <c r="E367" t="s">
        <v>326</v>
      </c>
    </row>
    <row r="368" spans="1:5" x14ac:dyDescent="0.25">
      <c r="A368" s="34" t="s">
        <v>30</v>
      </c>
      <c r="B368" t="str">
        <f t="shared" si="6"/>
        <v>05401</v>
      </c>
      <c r="C368" t="s">
        <v>1216</v>
      </c>
      <c r="D368">
        <v>0</v>
      </c>
      <c r="E368" t="s">
        <v>326</v>
      </c>
    </row>
    <row r="369" spans="1:5" x14ac:dyDescent="0.25">
      <c r="A369" s="34" t="s">
        <v>30</v>
      </c>
      <c r="B369" t="str">
        <f t="shared" si="6"/>
        <v>05401</v>
      </c>
      <c r="C369" t="s">
        <v>1198</v>
      </c>
      <c r="D369">
        <v>30.4</v>
      </c>
      <c r="E369" t="s">
        <v>326</v>
      </c>
    </row>
    <row r="370" spans="1:5" x14ac:dyDescent="0.25">
      <c r="A370">
        <v>27019</v>
      </c>
      <c r="B370" t="str">
        <f t="shared" si="6"/>
        <v>27019</v>
      </c>
      <c r="C370" t="s">
        <v>1193</v>
      </c>
      <c r="D370">
        <v>0</v>
      </c>
      <c r="E370" t="s">
        <v>482</v>
      </c>
    </row>
    <row r="371" spans="1:5" x14ac:dyDescent="0.25">
      <c r="A371">
        <v>27019</v>
      </c>
      <c r="B371" t="str">
        <f t="shared" si="6"/>
        <v>27019</v>
      </c>
      <c r="C371" t="s">
        <v>1194</v>
      </c>
      <c r="D371">
        <v>49</v>
      </c>
      <c r="E371" t="s">
        <v>482</v>
      </c>
    </row>
    <row r="372" spans="1:5" x14ac:dyDescent="0.25">
      <c r="A372">
        <v>27019</v>
      </c>
      <c r="B372" t="str">
        <f t="shared" si="6"/>
        <v>27019</v>
      </c>
      <c r="C372" t="s">
        <v>1195</v>
      </c>
      <c r="D372">
        <v>0</v>
      </c>
      <c r="E372" t="s">
        <v>482</v>
      </c>
    </row>
    <row r="373" spans="1:5" x14ac:dyDescent="0.25">
      <c r="A373">
        <v>27019</v>
      </c>
      <c r="B373" t="str">
        <f t="shared" si="6"/>
        <v>27019</v>
      </c>
      <c r="C373" t="s">
        <v>1197</v>
      </c>
      <c r="D373">
        <v>24</v>
      </c>
      <c r="E373" t="s">
        <v>482</v>
      </c>
    </row>
    <row r="374" spans="1:5" x14ac:dyDescent="0.25">
      <c r="A374">
        <v>27019</v>
      </c>
      <c r="B374" t="str">
        <f t="shared" si="6"/>
        <v>27019</v>
      </c>
      <c r="C374" t="s">
        <v>1202</v>
      </c>
      <c r="D374">
        <v>0</v>
      </c>
      <c r="E374" t="s">
        <v>482</v>
      </c>
    </row>
    <row r="375" spans="1:5" x14ac:dyDescent="0.25">
      <c r="A375">
        <v>27019</v>
      </c>
      <c r="B375" t="str">
        <f t="shared" si="6"/>
        <v>27019</v>
      </c>
      <c r="C375" t="s">
        <v>1206</v>
      </c>
      <c r="D375">
        <v>47</v>
      </c>
      <c r="E375" t="s">
        <v>482</v>
      </c>
    </row>
    <row r="376" spans="1:5" x14ac:dyDescent="0.25">
      <c r="A376">
        <v>27019</v>
      </c>
      <c r="B376" t="str">
        <f t="shared" si="6"/>
        <v>27019</v>
      </c>
      <c r="C376" t="s">
        <v>1199</v>
      </c>
      <c r="D376">
        <v>0</v>
      </c>
      <c r="E376" t="s">
        <v>482</v>
      </c>
    </row>
    <row r="377" spans="1:5" x14ac:dyDescent="0.25">
      <c r="A377">
        <v>27019</v>
      </c>
      <c r="B377" t="str">
        <f t="shared" si="6"/>
        <v>27019</v>
      </c>
      <c r="C377" t="s">
        <v>1203</v>
      </c>
      <c r="D377">
        <v>39</v>
      </c>
      <c r="E377" t="s">
        <v>482</v>
      </c>
    </row>
    <row r="378" spans="1:5" x14ac:dyDescent="0.25">
      <c r="A378">
        <v>27019</v>
      </c>
      <c r="B378" t="str">
        <f t="shared" si="6"/>
        <v>27019</v>
      </c>
      <c r="C378" t="s">
        <v>1200</v>
      </c>
      <c r="D378">
        <v>0</v>
      </c>
      <c r="E378" t="s">
        <v>482</v>
      </c>
    </row>
    <row r="379" spans="1:5" x14ac:dyDescent="0.25">
      <c r="A379">
        <v>27019</v>
      </c>
      <c r="B379" t="str">
        <f t="shared" si="6"/>
        <v>27019</v>
      </c>
      <c r="C379" t="s">
        <v>1204</v>
      </c>
      <c r="D379">
        <v>0</v>
      </c>
      <c r="E379" t="s">
        <v>482</v>
      </c>
    </row>
    <row r="380" spans="1:5" x14ac:dyDescent="0.25">
      <c r="A380">
        <v>27019</v>
      </c>
      <c r="B380" t="str">
        <f t="shared" si="6"/>
        <v>27019</v>
      </c>
      <c r="C380" t="s">
        <v>1207</v>
      </c>
      <c r="D380">
        <v>0</v>
      </c>
      <c r="E380" t="s">
        <v>482</v>
      </c>
    </row>
    <row r="381" spans="1:5" x14ac:dyDescent="0.25">
      <c r="A381">
        <v>27019</v>
      </c>
      <c r="B381" t="str">
        <f t="shared" si="6"/>
        <v>27019</v>
      </c>
      <c r="C381" t="s">
        <v>1208</v>
      </c>
      <c r="D381">
        <v>0</v>
      </c>
      <c r="E381" t="s">
        <v>482</v>
      </c>
    </row>
    <row r="382" spans="1:5" x14ac:dyDescent="0.25">
      <c r="A382">
        <v>27019</v>
      </c>
      <c r="B382" t="str">
        <f t="shared" si="6"/>
        <v>27019</v>
      </c>
      <c r="C382" t="s">
        <v>1210</v>
      </c>
      <c r="D382">
        <v>0</v>
      </c>
      <c r="E382" t="s">
        <v>482</v>
      </c>
    </row>
    <row r="383" spans="1:5" x14ac:dyDescent="0.25">
      <c r="A383">
        <v>27019</v>
      </c>
      <c r="B383" t="str">
        <f t="shared" si="6"/>
        <v>27019</v>
      </c>
      <c r="C383" t="s">
        <v>1212</v>
      </c>
      <c r="D383">
        <v>0</v>
      </c>
      <c r="E383" t="s">
        <v>482</v>
      </c>
    </row>
    <row r="384" spans="1:5" x14ac:dyDescent="0.25">
      <c r="A384">
        <v>27019</v>
      </c>
      <c r="B384" t="str">
        <f t="shared" si="6"/>
        <v>27019</v>
      </c>
      <c r="C384" t="s">
        <v>1216</v>
      </c>
      <c r="D384">
        <v>0</v>
      </c>
      <c r="E384" t="s">
        <v>482</v>
      </c>
    </row>
    <row r="385" spans="1:5" x14ac:dyDescent="0.25">
      <c r="A385">
        <v>27019</v>
      </c>
      <c r="B385" t="str">
        <f t="shared" si="6"/>
        <v>27019</v>
      </c>
      <c r="C385" t="s">
        <v>1198</v>
      </c>
      <c r="D385">
        <v>17.8</v>
      </c>
      <c r="E385" t="s">
        <v>482</v>
      </c>
    </row>
    <row r="386" spans="1:5" x14ac:dyDescent="0.25">
      <c r="A386" s="34" t="s">
        <v>25</v>
      </c>
      <c r="B386" t="str">
        <f t="shared" si="6"/>
        <v>04228</v>
      </c>
      <c r="C386" t="s">
        <v>1193</v>
      </c>
      <c r="D386">
        <v>0</v>
      </c>
      <c r="E386" t="s">
        <v>321</v>
      </c>
    </row>
    <row r="387" spans="1:5" x14ac:dyDescent="0.25">
      <c r="A387" s="34" t="s">
        <v>25</v>
      </c>
      <c r="B387" t="str">
        <f t="shared" ref="B387:B450" si="7">TEXT(A387,"00000")</f>
        <v>04228</v>
      </c>
      <c r="C387" t="s">
        <v>1194</v>
      </c>
      <c r="D387">
        <v>247</v>
      </c>
      <c r="E387" t="s">
        <v>321</v>
      </c>
    </row>
    <row r="388" spans="1:5" x14ac:dyDescent="0.25">
      <c r="A388" s="34" t="s">
        <v>25</v>
      </c>
      <c r="B388" t="str">
        <f t="shared" si="7"/>
        <v>04228</v>
      </c>
      <c r="C388" t="s">
        <v>1195</v>
      </c>
      <c r="D388">
        <v>0</v>
      </c>
      <c r="E388" t="s">
        <v>321</v>
      </c>
    </row>
    <row r="389" spans="1:5" x14ac:dyDescent="0.25">
      <c r="A389" s="34" t="s">
        <v>25</v>
      </c>
      <c r="B389" t="str">
        <f t="shared" si="7"/>
        <v>04228</v>
      </c>
      <c r="C389" t="s">
        <v>1197</v>
      </c>
      <c r="D389">
        <v>87.4</v>
      </c>
      <c r="E389" t="s">
        <v>321</v>
      </c>
    </row>
    <row r="390" spans="1:5" x14ac:dyDescent="0.25">
      <c r="A390" s="34" t="s">
        <v>25</v>
      </c>
      <c r="B390" t="str">
        <f t="shared" si="7"/>
        <v>04228</v>
      </c>
      <c r="C390" t="s">
        <v>1202</v>
      </c>
      <c r="D390">
        <v>0</v>
      </c>
      <c r="E390" t="s">
        <v>321</v>
      </c>
    </row>
    <row r="391" spans="1:5" x14ac:dyDescent="0.25">
      <c r="A391" s="34" t="s">
        <v>25</v>
      </c>
      <c r="B391" t="str">
        <f t="shared" si="7"/>
        <v>04228</v>
      </c>
      <c r="C391" t="s">
        <v>1206</v>
      </c>
      <c r="D391">
        <v>166.4</v>
      </c>
      <c r="E391" t="s">
        <v>321</v>
      </c>
    </row>
    <row r="392" spans="1:5" x14ac:dyDescent="0.25">
      <c r="A392" s="34" t="s">
        <v>25</v>
      </c>
      <c r="B392" t="str">
        <f t="shared" si="7"/>
        <v>04228</v>
      </c>
      <c r="C392" t="s">
        <v>1199</v>
      </c>
      <c r="D392">
        <v>0</v>
      </c>
      <c r="E392" t="s">
        <v>321</v>
      </c>
    </row>
    <row r="393" spans="1:5" x14ac:dyDescent="0.25">
      <c r="A393" s="34" t="s">
        <v>25</v>
      </c>
      <c r="B393" t="str">
        <f t="shared" si="7"/>
        <v>04228</v>
      </c>
      <c r="C393" t="s">
        <v>1203</v>
      </c>
      <c r="D393">
        <v>179.96</v>
      </c>
      <c r="E393" t="s">
        <v>321</v>
      </c>
    </row>
    <row r="394" spans="1:5" x14ac:dyDescent="0.25">
      <c r="A394" s="34" t="s">
        <v>25</v>
      </c>
      <c r="B394" t="str">
        <f t="shared" si="7"/>
        <v>04228</v>
      </c>
      <c r="C394" t="s">
        <v>1200</v>
      </c>
      <c r="D394">
        <v>0</v>
      </c>
      <c r="E394" t="s">
        <v>321</v>
      </c>
    </row>
    <row r="395" spans="1:5" x14ac:dyDescent="0.25">
      <c r="A395" s="34" t="s">
        <v>25</v>
      </c>
      <c r="B395" t="str">
        <f t="shared" si="7"/>
        <v>04228</v>
      </c>
      <c r="C395" t="s">
        <v>1204</v>
      </c>
      <c r="D395">
        <v>358.74</v>
      </c>
      <c r="E395" t="s">
        <v>321</v>
      </c>
    </row>
    <row r="396" spans="1:5" x14ac:dyDescent="0.25">
      <c r="A396" s="34" t="s">
        <v>25</v>
      </c>
      <c r="B396" t="str">
        <f t="shared" si="7"/>
        <v>04228</v>
      </c>
      <c r="C396" t="s">
        <v>1207</v>
      </c>
      <c r="D396">
        <v>58.17</v>
      </c>
      <c r="E396" t="s">
        <v>321</v>
      </c>
    </row>
    <row r="397" spans="1:5" x14ac:dyDescent="0.25">
      <c r="A397" s="34" t="s">
        <v>25</v>
      </c>
      <c r="B397" t="str">
        <f t="shared" si="7"/>
        <v>04228</v>
      </c>
      <c r="C397" t="s">
        <v>1208</v>
      </c>
      <c r="D397">
        <v>131.22999999999999</v>
      </c>
      <c r="E397" t="s">
        <v>321</v>
      </c>
    </row>
    <row r="398" spans="1:5" x14ac:dyDescent="0.25">
      <c r="A398" s="34" t="s">
        <v>25</v>
      </c>
      <c r="B398" t="str">
        <f t="shared" si="7"/>
        <v>04228</v>
      </c>
      <c r="C398" t="s">
        <v>1210</v>
      </c>
      <c r="D398">
        <v>0</v>
      </c>
      <c r="E398" t="s">
        <v>321</v>
      </c>
    </row>
    <row r="399" spans="1:5" x14ac:dyDescent="0.25">
      <c r="A399" s="34" t="s">
        <v>25</v>
      </c>
      <c r="B399" t="str">
        <f t="shared" si="7"/>
        <v>04228</v>
      </c>
      <c r="C399" t="s">
        <v>1212</v>
      </c>
      <c r="D399">
        <v>0</v>
      </c>
      <c r="E399" t="s">
        <v>321</v>
      </c>
    </row>
    <row r="400" spans="1:5" x14ac:dyDescent="0.25">
      <c r="A400" s="34" t="s">
        <v>25</v>
      </c>
      <c r="B400" t="str">
        <f t="shared" si="7"/>
        <v>04228</v>
      </c>
      <c r="C400" t="s">
        <v>1216</v>
      </c>
      <c r="D400">
        <v>16.5</v>
      </c>
      <c r="E400" t="s">
        <v>321</v>
      </c>
    </row>
    <row r="401" spans="1:5" x14ac:dyDescent="0.25">
      <c r="A401" s="34" t="s">
        <v>25</v>
      </c>
      <c r="B401" t="str">
        <f t="shared" si="7"/>
        <v>04228</v>
      </c>
      <c r="C401" t="s">
        <v>1198</v>
      </c>
      <c r="D401">
        <v>79.900000000000006</v>
      </c>
      <c r="E401" t="s">
        <v>321</v>
      </c>
    </row>
    <row r="402" spans="1:5" x14ac:dyDescent="0.25">
      <c r="A402" s="34" t="s">
        <v>24</v>
      </c>
      <c r="B402" t="str">
        <f t="shared" si="7"/>
        <v>04222</v>
      </c>
      <c r="C402" t="s">
        <v>1193</v>
      </c>
      <c r="D402">
        <v>0</v>
      </c>
      <c r="E402" t="s">
        <v>1226</v>
      </c>
    </row>
    <row r="403" spans="1:5" x14ac:dyDescent="0.25">
      <c r="A403" s="34" t="s">
        <v>24</v>
      </c>
      <c r="B403" t="str">
        <f t="shared" si="7"/>
        <v>04222</v>
      </c>
      <c r="C403" t="s">
        <v>1194</v>
      </c>
      <c r="D403">
        <v>354.01</v>
      </c>
      <c r="E403" t="s">
        <v>1226</v>
      </c>
    </row>
    <row r="404" spans="1:5" x14ac:dyDescent="0.25">
      <c r="A404" s="34" t="s">
        <v>24</v>
      </c>
      <c r="B404" t="str">
        <f t="shared" si="7"/>
        <v>04222</v>
      </c>
      <c r="C404" t="s">
        <v>1195</v>
      </c>
      <c r="D404">
        <v>0</v>
      </c>
      <c r="E404" t="s">
        <v>1226</v>
      </c>
    </row>
    <row r="405" spans="1:5" x14ac:dyDescent="0.25">
      <c r="A405" s="34" t="s">
        <v>24</v>
      </c>
      <c r="B405" t="str">
        <f t="shared" si="7"/>
        <v>04222</v>
      </c>
      <c r="C405" t="s">
        <v>1197</v>
      </c>
      <c r="D405">
        <v>117.6</v>
      </c>
      <c r="E405" t="s">
        <v>1226</v>
      </c>
    </row>
    <row r="406" spans="1:5" x14ac:dyDescent="0.25">
      <c r="A406" s="34" t="s">
        <v>24</v>
      </c>
      <c r="B406" t="str">
        <f t="shared" si="7"/>
        <v>04222</v>
      </c>
      <c r="C406" t="s">
        <v>1202</v>
      </c>
      <c r="D406">
        <v>0</v>
      </c>
      <c r="E406" t="s">
        <v>1226</v>
      </c>
    </row>
    <row r="407" spans="1:5" x14ac:dyDescent="0.25">
      <c r="A407" s="34" t="s">
        <v>24</v>
      </c>
      <c r="B407" t="str">
        <f t="shared" si="7"/>
        <v>04222</v>
      </c>
      <c r="C407" t="s">
        <v>1206</v>
      </c>
      <c r="D407">
        <v>231.8</v>
      </c>
      <c r="E407" t="s">
        <v>1226</v>
      </c>
    </row>
    <row r="408" spans="1:5" x14ac:dyDescent="0.25">
      <c r="A408" s="34" t="s">
        <v>24</v>
      </c>
      <c r="B408" t="str">
        <f t="shared" si="7"/>
        <v>04222</v>
      </c>
      <c r="C408" t="s">
        <v>1199</v>
      </c>
      <c r="D408">
        <v>0</v>
      </c>
      <c r="E408" t="s">
        <v>1226</v>
      </c>
    </row>
    <row r="409" spans="1:5" x14ac:dyDescent="0.25">
      <c r="A409" s="34" t="s">
        <v>24</v>
      </c>
      <c r="B409" t="str">
        <f t="shared" si="7"/>
        <v>04222</v>
      </c>
      <c r="C409" t="s">
        <v>1203</v>
      </c>
      <c r="D409">
        <v>259.48</v>
      </c>
      <c r="E409" t="s">
        <v>1226</v>
      </c>
    </row>
    <row r="410" spans="1:5" x14ac:dyDescent="0.25">
      <c r="A410" s="34" t="s">
        <v>24</v>
      </c>
      <c r="B410" t="str">
        <f t="shared" si="7"/>
        <v>04222</v>
      </c>
      <c r="C410" t="s">
        <v>1200</v>
      </c>
      <c r="D410">
        <v>0</v>
      </c>
      <c r="E410" t="s">
        <v>1226</v>
      </c>
    </row>
    <row r="411" spans="1:5" x14ac:dyDescent="0.25">
      <c r="A411" s="34" t="s">
        <v>24</v>
      </c>
      <c r="B411" t="str">
        <f t="shared" si="7"/>
        <v>04222</v>
      </c>
      <c r="C411" t="s">
        <v>1204</v>
      </c>
      <c r="D411">
        <v>504.71</v>
      </c>
      <c r="E411" t="s">
        <v>1226</v>
      </c>
    </row>
    <row r="412" spans="1:5" x14ac:dyDescent="0.25">
      <c r="A412" s="34" t="s">
        <v>24</v>
      </c>
      <c r="B412" t="str">
        <f t="shared" si="7"/>
        <v>04222</v>
      </c>
      <c r="C412" t="s">
        <v>1207</v>
      </c>
      <c r="D412">
        <v>49.38</v>
      </c>
      <c r="E412" t="s">
        <v>1226</v>
      </c>
    </row>
    <row r="413" spans="1:5" x14ac:dyDescent="0.25">
      <c r="A413" s="34" t="s">
        <v>24</v>
      </c>
      <c r="B413" t="str">
        <f t="shared" si="7"/>
        <v>04222</v>
      </c>
      <c r="C413" t="s">
        <v>1208</v>
      </c>
      <c r="D413">
        <v>137.61000000000001</v>
      </c>
      <c r="E413" t="s">
        <v>1226</v>
      </c>
    </row>
    <row r="414" spans="1:5" x14ac:dyDescent="0.25">
      <c r="A414" s="34" t="s">
        <v>24</v>
      </c>
      <c r="B414" t="str">
        <f t="shared" si="7"/>
        <v>04222</v>
      </c>
      <c r="C414" t="s">
        <v>1210</v>
      </c>
      <c r="D414">
        <v>0</v>
      </c>
      <c r="E414" t="s">
        <v>1226</v>
      </c>
    </row>
    <row r="415" spans="1:5" x14ac:dyDescent="0.25">
      <c r="A415" s="34" t="s">
        <v>24</v>
      </c>
      <c r="B415" t="str">
        <f t="shared" si="7"/>
        <v>04222</v>
      </c>
      <c r="C415" t="s">
        <v>1212</v>
      </c>
      <c r="D415">
        <v>0</v>
      </c>
      <c r="E415" t="s">
        <v>1226</v>
      </c>
    </row>
    <row r="416" spans="1:5" x14ac:dyDescent="0.25">
      <c r="A416" s="34" t="s">
        <v>24</v>
      </c>
      <c r="B416" t="str">
        <f t="shared" si="7"/>
        <v>04222</v>
      </c>
      <c r="C416" t="s">
        <v>1216</v>
      </c>
      <c r="D416">
        <v>0</v>
      </c>
      <c r="E416" t="s">
        <v>1226</v>
      </c>
    </row>
    <row r="417" spans="1:5" x14ac:dyDescent="0.25">
      <c r="A417" s="34" t="s">
        <v>24</v>
      </c>
      <c r="B417" t="str">
        <f t="shared" si="7"/>
        <v>04222</v>
      </c>
      <c r="C417" t="s">
        <v>1198</v>
      </c>
      <c r="D417">
        <v>113.8</v>
      </c>
      <c r="E417" t="s">
        <v>1226</v>
      </c>
    </row>
    <row r="418" spans="1:5" x14ac:dyDescent="0.25">
      <c r="A418" s="34" t="s">
        <v>45</v>
      </c>
      <c r="B418" t="str">
        <f t="shared" si="7"/>
        <v>08401</v>
      </c>
      <c r="C418" t="s">
        <v>1193</v>
      </c>
      <c r="D418">
        <v>0</v>
      </c>
      <c r="E418" t="s">
        <v>341</v>
      </c>
    </row>
    <row r="419" spans="1:5" x14ac:dyDescent="0.25">
      <c r="A419" s="34" t="s">
        <v>45</v>
      </c>
      <c r="B419" t="str">
        <f t="shared" si="7"/>
        <v>08401</v>
      </c>
      <c r="C419" t="s">
        <v>1194</v>
      </c>
      <c r="D419">
        <v>346.4</v>
      </c>
      <c r="E419" t="s">
        <v>341</v>
      </c>
    </row>
    <row r="420" spans="1:5" x14ac:dyDescent="0.25">
      <c r="A420" s="34" t="s">
        <v>45</v>
      </c>
      <c r="B420" t="str">
        <f t="shared" si="7"/>
        <v>08401</v>
      </c>
      <c r="C420" t="s">
        <v>1195</v>
      </c>
      <c r="D420">
        <v>0</v>
      </c>
      <c r="E420" t="s">
        <v>341</v>
      </c>
    </row>
    <row r="421" spans="1:5" x14ac:dyDescent="0.25">
      <c r="A421" s="34" t="s">
        <v>45</v>
      </c>
      <c r="B421" t="str">
        <f t="shared" si="7"/>
        <v>08401</v>
      </c>
      <c r="C421" t="s">
        <v>1197</v>
      </c>
      <c r="D421">
        <v>119</v>
      </c>
      <c r="E421" t="s">
        <v>341</v>
      </c>
    </row>
    <row r="422" spans="1:5" x14ac:dyDescent="0.25">
      <c r="A422" s="34" t="s">
        <v>45</v>
      </c>
      <c r="B422" t="str">
        <f t="shared" si="7"/>
        <v>08401</v>
      </c>
      <c r="C422" t="s">
        <v>1202</v>
      </c>
      <c r="D422">
        <v>0</v>
      </c>
      <c r="E422" t="s">
        <v>341</v>
      </c>
    </row>
    <row r="423" spans="1:5" x14ac:dyDescent="0.25">
      <c r="A423" s="34" t="s">
        <v>45</v>
      </c>
      <c r="B423" t="str">
        <f t="shared" si="7"/>
        <v>08401</v>
      </c>
      <c r="C423" t="s">
        <v>1206</v>
      </c>
      <c r="D423">
        <v>206.74</v>
      </c>
      <c r="E423" t="s">
        <v>341</v>
      </c>
    </row>
    <row r="424" spans="1:5" x14ac:dyDescent="0.25">
      <c r="A424" s="34" t="s">
        <v>45</v>
      </c>
      <c r="B424" t="str">
        <f t="shared" si="7"/>
        <v>08401</v>
      </c>
      <c r="C424" t="s">
        <v>1199</v>
      </c>
      <c r="D424">
        <v>0</v>
      </c>
      <c r="E424" t="s">
        <v>341</v>
      </c>
    </row>
    <row r="425" spans="1:5" x14ac:dyDescent="0.25">
      <c r="A425" s="34" t="s">
        <v>45</v>
      </c>
      <c r="B425" t="str">
        <f t="shared" si="7"/>
        <v>08401</v>
      </c>
      <c r="C425" t="s">
        <v>1203</v>
      </c>
      <c r="D425">
        <v>216.77</v>
      </c>
      <c r="E425" t="s">
        <v>341</v>
      </c>
    </row>
    <row r="426" spans="1:5" x14ac:dyDescent="0.25">
      <c r="A426" s="34" t="s">
        <v>45</v>
      </c>
      <c r="B426" t="str">
        <f t="shared" si="7"/>
        <v>08401</v>
      </c>
      <c r="C426" t="s">
        <v>1200</v>
      </c>
      <c r="D426">
        <v>0</v>
      </c>
      <c r="E426" t="s">
        <v>341</v>
      </c>
    </row>
    <row r="427" spans="1:5" x14ac:dyDescent="0.25">
      <c r="A427" s="34" t="s">
        <v>45</v>
      </c>
      <c r="B427" t="str">
        <f t="shared" si="7"/>
        <v>08401</v>
      </c>
      <c r="C427" t="s">
        <v>1204</v>
      </c>
      <c r="D427">
        <v>380.06</v>
      </c>
      <c r="E427" t="s">
        <v>341</v>
      </c>
    </row>
    <row r="428" spans="1:5" x14ac:dyDescent="0.25">
      <c r="A428" s="34" t="s">
        <v>45</v>
      </c>
      <c r="B428" t="str">
        <f t="shared" si="7"/>
        <v>08401</v>
      </c>
      <c r="C428" t="s">
        <v>1207</v>
      </c>
      <c r="D428">
        <v>10.66</v>
      </c>
      <c r="E428" t="s">
        <v>341</v>
      </c>
    </row>
    <row r="429" spans="1:5" x14ac:dyDescent="0.25">
      <c r="A429" s="34" t="s">
        <v>45</v>
      </c>
      <c r="B429" t="str">
        <f t="shared" si="7"/>
        <v>08401</v>
      </c>
      <c r="C429" t="s">
        <v>1208</v>
      </c>
      <c r="D429">
        <v>102.15</v>
      </c>
      <c r="E429" t="s">
        <v>341</v>
      </c>
    </row>
    <row r="430" spans="1:5" x14ac:dyDescent="0.25">
      <c r="A430" s="34" t="s">
        <v>45</v>
      </c>
      <c r="B430" t="str">
        <f t="shared" si="7"/>
        <v>08401</v>
      </c>
      <c r="C430" t="s">
        <v>1210</v>
      </c>
      <c r="D430">
        <v>0</v>
      </c>
      <c r="E430" t="s">
        <v>341</v>
      </c>
    </row>
    <row r="431" spans="1:5" x14ac:dyDescent="0.25">
      <c r="A431" s="34" t="s">
        <v>45</v>
      </c>
      <c r="B431" t="str">
        <f t="shared" si="7"/>
        <v>08401</v>
      </c>
      <c r="C431" t="s">
        <v>1212</v>
      </c>
      <c r="D431">
        <v>0</v>
      </c>
      <c r="E431" t="s">
        <v>341</v>
      </c>
    </row>
    <row r="432" spans="1:5" x14ac:dyDescent="0.25">
      <c r="A432" s="34" t="s">
        <v>45</v>
      </c>
      <c r="B432" t="str">
        <f t="shared" si="7"/>
        <v>08401</v>
      </c>
      <c r="C432" t="s">
        <v>1216</v>
      </c>
      <c r="D432">
        <v>0</v>
      </c>
      <c r="E432" t="s">
        <v>341</v>
      </c>
    </row>
    <row r="433" spans="1:5" x14ac:dyDescent="0.25">
      <c r="A433" s="34" t="s">
        <v>45</v>
      </c>
      <c r="B433" t="str">
        <f t="shared" si="7"/>
        <v>08401</v>
      </c>
      <c r="C433" t="s">
        <v>1198</v>
      </c>
      <c r="D433">
        <v>92.5</v>
      </c>
      <c r="E433" t="s">
        <v>341</v>
      </c>
    </row>
    <row r="434" spans="1:5" x14ac:dyDescent="0.25">
      <c r="A434">
        <v>18901</v>
      </c>
      <c r="B434" t="str">
        <f t="shared" si="7"/>
        <v>18901</v>
      </c>
      <c r="C434" t="s">
        <v>1193</v>
      </c>
      <c r="D434">
        <v>0</v>
      </c>
      <c r="E434" t="s">
        <v>653</v>
      </c>
    </row>
    <row r="435" spans="1:5" x14ac:dyDescent="0.25">
      <c r="A435">
        <v>18901</v>
      </c>
      <c r="B435" t="str">
        <f t="shared" si="7"/>
        <v>18901</v>
      </c>
      <c r="C435" t="s">
        <v>1194</v>
      </c>
      <c r="D435">
        <v>162.19999999999999</v>
      </c>
      <c r="E435" t="s">
        <v>653</v>
      </c>
    </row>
    <row r="436" spans="1:5" x14ac:dyDescent="0.25">
      <c r="A436">
        <v>18901</v>
      </c>
      <c r="B436" t="str">
        <f t="shared" si="7"/>
        <v>18901</v>
      </c>
      <c r="C436" t="s">
        <v>1195</v>
      </c>
      <c r="D436">
        <v>0</v>
      </c>
      <c r="E436" t="s">
        <v>653</v>
      </c>
    </row>
    <row r="437" spans="1:5" x14ac:dyDescent="0.25">
      <c r="A437">
        <v>18901</v>
      </c>
      <c r="B437" t="str">
        <f t="shared" si="7"/>
        <v>18901</v>
      </c>
      <c r="C437" t="s">
        <v>1197</v>
      </c>
      <c r="D437">
        <v>59.6</v>
      </c>
      <c r="E437" t="s">
        <v>653</v>
      </c>
    </row>
    <row r="438" spans="1:5" x14ac:dyDescent="0.25">
      <c r="A438">
        <v>18901</v>
      </c>
      <c r="B438" t="str">
        <f t="shared" si="7"/>
        <v>18901</v>
      </c>
      <c r="C438" t="s">
        <v>1202</v>
      </c>
      <c r="D438">
        <v>0</v>
      </c>
      <c r="E438" t="s">
        <v>653</v>
      </c>
    </row>
    <row r="439" spans="1:5" x14ac:dyDescent="0.25">
      <c r="A439">
        <v>18901</v>
      </c>
      <c r="B439" t="str">
        <f t="shared" si="7"/>
        <v>18901</v>
      </c>
      <c r="C439" t="s">
        <v>1206</v>
      </c>
      <c r="D439">
        <v>112.4</v>
      </c>
      <c r="E439" t="s">
        <v>653</v>
      </c>
    </row>
    <row r="440" spans="1:5" x14ac:dyDescent="0.25">
      <c r="A440">
        <v>18901</v>
      </c>
      <c r="B440" t="str">
        <f t="shared" si="7"/>
        <v>18901</v>
      </c>
      <c r="C440" t="s">
        <v>1199</v>
      </c>
      <c r="D440">
        <v>0</v>
      </c>
      <c r="E440" t="s">
        <v>653</v>
      </c>
    </row>
    <row r="441" spans="1:5" x14ac:dyDescent="0.25">
      <c r="A441">
        <v>18901</v>
      </c>
      <c r="B441" t="str">
        <f t="shared" si="7"/>
        <v>18901</v>
      </c>
      <c r="C441" t="s">
        <v>1203</v>
      </c>
      <c r="D441">
        <v>93.4</v>
      </c>
      <c r="E441" t="s">
        <v>653</v>
      </c>
    </row>
    <row r="442" spans="1:5" x14ac:dyDescent="0.25">
      <c r="A442">
        <v>18901</v>
      </c>
      <c r="B442" t="str">
        <f t="shared" si="7"/>
        <v>18901</v>
      </c>
      <c r="C442" t="s">
        <v>1200</v>
      </c>
      <c r="D442">
        <v>0</v>
      </c>
      <c r="E442" t="s">
        <v>653</v>
      </c>
    </row>
    <row r="443" spans="1:5" x14ac:dyDescent="0.25">
      <c r="A443">
        <v>18901</v>
      </c>
      <c r="B443" t="str">
        <f t="shared" si="7"/>
        <v>18901</v>
      </c>
      <c r="C443" t="s">
        <v>1204</v>
      </c>
      <c r="D443">
        <v>22.3</v>
      </c>
      <c r="E443" t="s">
        <v>653</v>
      </c>
    </row>
    <row r="444" spans="1:5" x14ac:dyDescent="0.25">
      <c r="A444">
        <v>18901</v>
      </c>
      <c r="B444" t="str">
        <f t="shared" si="7"/>
        <v>18901</v>
      </c>
      <c r="C444" t="s">
        <v>1207</v>
      </c>
      <c r="D444">
        <v>0</v>
      </c>
      <c r="E444" t="s">
        <v>653</v>
      </c>
    </row>
    <row r="445" spans="1:5" x14ac:dyDescent="0.25">
      <c r="A445">
        <v>18901</v>
      </c>
      <c r="B445" t="str">
        <f t="shared" si="7"/>
        <v>18901</v>
      </c>
      <c r="C445" t="s">
        <v>1208</v>
      </c>
      <c r="D445">
        <v>0</v>
      </c>
      <c r="E445" t="s">
        <v>653</v>
      </c>
    </row>
    <row r="446" spans="1:5" x14ac:dyDescent="0.25">
      <c r="A446">
        <v>18901</v>
      </c>
      <c r="B446" t="str">
        <f t="shared" si="7"/>
        <v>18901</v>
      </c>
      <c r="C446" t="s">
        <v>1210</v>
      </c>
      <c r="D446">
        <v>0</v>
      </c>
      <c r="E446" t="s">
        <v>653</v>
      </c>
    </row>
    <row r="447" spans="1:5" x14ac:dyDescent="0.25">
      <c r="A447">
        <v>18901</v>
      </c>
      <c r="B447" t="str">
        <f t="shared" si="7"/>
        <v>18901</v>
      </c>
      <c r="C447" t="s">
        <v>1212</v>
      </c>
      <c r="D447">
        <v>0</v>
      </c>
      <c r="E447" t="s">
        <v>653</v>
      </c>
    </row>
    <row r="448" spans="1:5" x14ac:dyDescent="0.25">
      <c r="A448">
        <v>18901</v>
      </c>
      <c r="B448" t="str">
        <f t="shared" si="7"/>
        <v>18901</v>
      </c>
      <c r="C448" t="s">
        <v>1216</v>
      </c>
      <c r="D448">
        <v>0</v>
      </c>
      <c r="E448" t="s">
        <v>653</v>
      </c>
    </row>
    <row r="449" spans="1:5" x14ac:dyDescent="0.25">
      <c r="A449">
        <v>18901</v>
      </c>
      <c r="B449" t="str">
        <f t="shared" si="7"/>
        <v>18901</v>
      </c>
      <c r="C449" t="s">
        <v>1198</v>
      </c>
      <c r="D449">
        <v>58</v>
      </c>
      <c r="E449" t="s">
        <v>653</v>
      </c>
    </row>
    <row r="450" spans="1:5" x14ac:dyDescent="0.25">
      <c r="A450">
        <v>20215</v>
      </c>
      <c r="B450" t="str">
        <f t="shared" si="7"/>
        <v>20215</v>
      </c>
      <c r="C450" t="s">
        <v>1193</v>
      </c>
      <c r="D450">
        <v>0</v>
      </c>
      <c r="E450" t="s">
        <v>426</v>
      </c>
    </row>
    <row r="451" spans="1:5" x14ac:dyDescent="0.25">
      <c r="A451">
        <v>20215</v>
      </c>
      <c r="B451" t="str">
        <f t="shared" ref="B451:B514" si="8">TEXT(A451,"00000")</f>
        <v>20215</v>
      </c>
      <c r="C451" t="s">
        <v>1194</v>
      </c>
      <c r="D451">
        <v>33.200000000000003</v>
      </c>
      <c r="E451" t="s">
        <v>426</v>
      </c>
    </row>
    <row r="452" spans="1:5" x14ac:dyDescent="0.25">
      <c r="A452">
        <v>20215</v>
      </c>
      <c r="B452" t="str">
        <f t="shared" si="8"/>
        <v>20215</v>
      </c>
      <c r="C452" t="s">
        <v>1195</v>
      </c>
      <c r="D452">
        <v>0</v>
      </c>
      <c r="E452" t="s">
        <v>426</v>
      </c>
    </row>
    <row r="453" spans="1:5" x14ac:dyDescent="0.25">
      <c r="A453">
        <v>20215</v>
      </c>
      <c r="B453" t="str">
        <f t="shared" si="8"/>
        <v>20215</v>
      </c>
      <c r="C453" t="s">
        <v>1197</v>
      </c>
      <c r="D453">
        <v>12</v>
      </c>
      <c r="E453" t="s">
        <v>426</v>
      </c>
    </row>
    <row r="454" spans="1:5" x14ac:dyDescent="0.25">
      <c r="A454">
        <v>20215</v>
      </c>
      <c r="B454" t="str">
        <f t="shared" si="8"/>
        <v>20215</v>
      </c>
      <c r="C454" t="s">
        <v>1202</v>
      </c>
      <c r="D454">
        <v>0</v>
      </c>
      <c r="E454" t="s">
        <v>426</v>
      </c>
    </row>
    <row r="455" spans="1:5" x14ac:dyDescent="0.25">
      <c r="A455">
        <v>20215</v>
      </c>
      <c r="B455" t="str">
        <f t="shared" si="8"/>
        <v>20215</v>
      </c>
      <c r="C455" t="s">
        <v>1206</v>
      </c>
      <c r="D455">
        <v>19</v>
      </c>
      <c r="E455" t="s">
        <v>426</v>
      </c>
    </row>
    <row r="456" spans="1:5" x14ac:dyDescent="0.25">
      <c r="A456">
        <v>20215</v>
      </c>
      <c r="B456" t="str">
        <f t="shared" si="8"/>
        <v>20215</v>
      </c>
      <c r="C456" t="s">
        <v>1199</v>
      </c>
      <c r="D456">
        <v>0</v>
      </c>
      <c r="E456" t="s">
        <v>426</v>
      </c>
    </row>
    <row r="457" spans="1:5" x14ac:dyDescent="0.25">
      <c r="A457">
        <v>20215</v>
      </c>
      <c r="B457" t="str">
        <f t="shared" si="8"/>
        <v>20215</v>
      </c>
      <c r="C457" t="s">
        <v>1203</v>
      </c>
      <c r="D457">
        <v>16.600000000000001</v>
      </c>
      <c r="E457" t="s">
        <v>426</v>
      </c>
    </row>
    <row r="458" spans="1:5" x14ac:dyDescent="0.25">
      <c r="A458">
        <v>20215</v>
      </c>
      <c r="B458" t="str">
        <f t="shared" si="8"/>
        <v>20215</v>
      </c>
      <c r="C458" t="s">
        <v>1200</v>
      </c>
      <c r="D458">
        <v>0</v>
      </c>
      <c r="E458" t="s">
        <v>426</v>
      </c>
    </row>
    <row r="459" spans="1:5" x14ac:dyDescent="0.25">
      <c r="A459">
        <v>20215</v>
      </c>
      <c r="B459" t="str">
        <f t="shared" si="8"/>
        <v>20215</v>
      </c>
      <c r="C459" t="s">
        <v>1204</v>
      </c>
      <c r="D459">
        <v>0</v>
      </c>
      <c r="E459" t="s">
        <v>426</v>
      </c>
    </row>
    <row r="460" spans="1:5" x14ac:dyDescent="0.25">
      <c r="A460">
        <v>20215</v>
      </c>
      <c r="B460" t="str">
        <f t="shared" si="8"/>
        <v>20215</v>
      </c>
      <c r="C460" t="s">
        <v>1207</v>
      </c>
      <c r="D460">
        <v>0</v>
      </c>
      <c r="E460" t="s">
        <v>426</v>
      </c>
    </row>
    <row r="461" spans="1:5" x14ac:dyDescent="0.25">
      <c r="A461">
        <v>20215</v>
      </c>
      <c r="B461" t="str">
        <f t="shared" si="8"/>
        <v>20215</v>
      </c>
      <c r="C461" t="s">
        <v>1208</v>
      </c>
      <c r="D461">
        <v>0</v>
      </c>
      <c r="E461" t="s">
        <v>426</v>
      </c>
    </row>
    <row r="462" spans="1:5" x14ac:dyDescent="0.25">
      <c r="A462">
        <v>20215</v>
      </c>
      <c r="B462" t="str">
        <f t="shared" si="8"/>
        <v>20215</v>
      </c>
      <c r="C462" t="s">
        <v>1210</v>
      </c>
      <c r="D462">
        <v>0</v>
      </c>
      <c r="E462" t="s">
        <v>426</v>
      </c>
    </row>
    <row r="463" spans="1:5" x14ac:dyDescent="0.25">
      <c r="A463">
        <v>20215</v>
      </c>
      <c r="B463" t="str">
        <f t="shared" si="8"/>
        <v>20215</v>
      </c>
      <c r="C463" t="s">
        <v>1212</v>
      </c>
      <c r="D463">
        <v>0</v>
      </c>
      <c r="E463" t="s">
        <v>426</v>
      </c>
    </row>
    <row r="464" spans="1:5" x14ac:dyDescent="0.25">
      <c r="A464">
        <v>20215</v>
      </c>
      <c r="B464" t="str">
        <f t="shared" si="8"/>
        <v>20215</v>
      </c>
      <c r="C464" t="s">
        <v>1216</v>
      </c>
      <c r="D464">
        <v>0</v>
      </c>
      <c r="E464" t="s">
        <v>426</v>
      </c>
    </row>
    <row r="465" spans="1:5" x14ac:dyDescent="0.25">
      <c r="A465">
        <v>20215</v>
      </c>
      <c r="B465" t="str">
        <f t="shared" si="8"/>
        <v>20215</v>
      </c>
      <c r="C465" t="s">
        <v>1198</v>
      </c>
      <c r="D465">
        <v>10</v>
      </c>
      <c r="E465" t="s">
        <v>426</v>
      </c>
    </row>
    <row r="466" spans="1:5" x14ac:dyDescent="0.25">
      <c r="A466">
        <v>18401</v>
      </c>
      <c r="B466" t="str">
        <f t="shared" si="8"/>
        <v>18401</v>
      </c>
      <c r="C466" t="s">
        <v>1193</v>
      </c>
      <c r="D466">
        <v>0</v>
      </c>
      <c r="E466" t="s">
        <v>415</v>
      </c>
    </row>
    <row r="467" spans="1:5" x14ac:dyDescent="0.25">
      <c r="A467">
        <v>18401</v>
      </c>
      <c r="B467" t="str">
        <f t="shared" si="8"/>
        <v>18401</v>
      </c>
      <c r="C467" t="s">
        <v>1194</v>
      </c>
      <c r="D467">
        <v>2412</v>
      </c>
      <c r="E467" t="s">
        <v>415</v>
      </c>
    </row>
    <row r="468" spans="1:5" x14ac:dyDescent="0.25">
      <c r="A468">
        <v>18401</v>
      </c>
      <c r="B468" t="str">
        <f t="shared" si="8"/>
        <v>18401</v>
      </c>
      <c r="C468" t="s">
        <v>1195</v>
      </c>
      <c r="D468">
        <v>0</v>
      </c>
      <c r="E468" t="s">
        <v>415</v>
      </c>
    </row>
    <row r="469" spans="1:5" x14ac:dyDescent="0.25">
      <c r="A469">
        <v>18401</v>
      </c>
      <c r="B469" t="str">
        <f t="shared" si="8"/>
        <v>18401</v>
      </c>
      <c r="C469" t="s">
        <v>1197</v>
      </c>
      <c r="D469">
        <v>770.6</v>
      </c>
      <c r="E469" t="s">
        <v>415</v>
      </c>
    </row>
    <row r="470" spans="1:5" x14ac:dyDescent="0.25">
      <c r="A470">
        <v>18401</v>
      </c>
      <c r="B470" t="str">
        <f t="shared" si="8"/>
        <v>18401</v>
      </c>
      <c r="C470" t="s">
        <v>1202</v>
      </c>
      <c r="D470">
        <v>0</v>
      </c>
      <c r="E470" t="s">
        <v>415</v>
      </c>
    </row>
    <row r="471" spans="1:5" x14ac:dyDescent="0.25">
      <c r="A471">
        <v>18401</v>
      </c>
      <c r="B471" t="str">
        <f t="shared" si="8"/>
        <v>18401</v>
      </c>
      <c r="C471" t="s">
        <v>1206</v>
      </c>
      <c r="D471">
        <v>1657.84</v>
      </c>
      <c r="E471" t="s">
        <v>415</v>
      </c>
    </row>
    <row r="472" spans="1:5" x14ac:dyDescent="0.25">
      <c r="A472">
        <v>18401</v>
      </c>
      <c r="B472" t="str">
        <f t="shared" si="8"/>
        <v>18401</v>
      </c>
      <c r="C472" t="s">
        <v>1199</v>
      </c>
      <c r="D472">
        <v>0</v>
      </c>
      <c r="E472" t="s">
        <v>415</v>
      </c>
    </row>
    <row r="473" spans="1:5" x14ac:dyDescent="0.25">
      <c r="A473">
        <v>18401</v>
      </c>
      <c r="B473" t="str">
        <f t="shared" si="8"/>
        <v>18401</v>
      </c>
      <c r="C473" t="s">
        <v>1203</v>
      </c>
      <c r="D473">
        <v>1626.01</v>
      </c>
      <c r="E473" t="s">
        <v>415</v>
      </c>
    </row>
    <row r="474" spans="1:5" x14ac:dyDescent="0.25">
      <c r="A474">
        <v>18401</v>
      </c>
      <c r="B474" t="str">
        <f t="shared" si="8"/>
        <v>18401</v>
      </c>
      <c r="C474" t="s">
        <v>1200</v>
      </c>
      <c r="D474">
        <v>0</v>
      </c>
      <c r="E474" t="s">
        <v>415</v>
      </c>
    </row>
    <row r="475" spans="1:5" x14ac:dyDescent="0.25">
      <c r="A475">
        <v>18401</v>
      </c>
      <c r="B475" t="str">
        <f t="shared" si="8"/>
        <v>18401</v>
      </c>
      <c r="C475" t="s">
        <v>1204</v>
      </c>
      <c r="D475">
        <v>2799.84</v>
      </c>
      <c r="E475" t="s">
        <v>415</v>
      </c>
    </row>
    <row r="476" spans="1:5" x14ac:dyDescent="0.25">
      <c r="A476">
        <v>18401</v>
      </c>
      <c r="B476" t="str">
        <f t="shared" si="8"/>
        <v>18401</v>
      </c>
      <c r="C476" t="s">
        <v>1207</v>
      </c>
      <c r="D476">
        <v>114.04</v>
      </c>
      <c r="E476" t="s">
        <v>415</v>
      </c>
    </row>
    <row r="477" spans="1:5" x14ac:dyDescent="0.25">
      <c r="A477">
        <v>18401</v>
      </c>
      <c r="B477" t="str">
        <f t="shared" si="8"/>
        <v>18401</v>
      </c>
      <c r="C477" t="s">
        <v>1208</v>
      </c>
      <c r="D477">
        <v>636.01</v>
      </c>
      <c r="E477" t="s">
        <v>415</v>
      </c>
    </row>
    <row r="478" spans="1:5" x14ac:dyDescent="0.25">
      <c r="A478">
        <v>18401</v>
      </c>
      <c r="B478" t="str">
        <f t="shared" si="8"/>
        <v>18401</v>
      </c>
      <c r="C478" t="s">
        <v>1210</v>
      </c>
      <c r="D478">
        <v>0</v>
      </c>
      <c r="E478" t="s">
        <v>415</v>
      </c>
    </row>
    <row r="479" spans="1:5" x14ac:dyDescent="0.25">
      <c r="A479">
        <v>18401</v>
      </c>
      <c r="B479" t="str">
        <f t="shared" si="8"/>
        <v>18401</v>
      </c>
      <c r="C479" t="s">
        <v>1212</v>
      </c>
      <c r="D479">
        <v>0</v>
      </c>
      <c r="E479" t="s">
        <v>415</v>
      </c>
    </row>
    <row r="480" spans="1:5" x14ac:dyDescent="0.25">
      <c r="A480">
        <v>18401</v>
      </c>
      <c r="B480" t="str">
        <f t="shared" si="8"/>
        <v>18401</v>
      </c>
      <c r="C480" t="s">
        <v>1216</v>
      </c>
      <c r="D480">
        <v>0</v>
      </c>
      <c r="E480" t="s">
        <v>415</v>
      </c>
    </row>
    <row r="481" spans="1:5" x14ac:dyDescent="0.25">
      <c r="A481">
        <v>18401</v>
      </c>
      <c r="B481" t="str">
        <f t="shared" si="8"/>
        <v>18401</v>
      </c>
      <c r="C481" t="s">
        <v>1198</v>
      </c>
      <c r="D481">
        <v>711.4</v>
      </c>
      <c r="E481" t="s">
        <v>415</v>
      </c>
    </row>
    <row r="482" spans="1:5" x14ac:dyDescent="0.25">
      <c r="A482">
        <v>32356</v>
      </c>
      <c r="B482" t="str">
        <f t="shared" si="8"/>
        <v>32356</v>
      </c>
      <c r="C482" t="s">
        <v>1193</v>
      </c>
      <c r="D482">
        <v>0</v>
      </c>
      <c r="E482" t="s">
        <v>528</v>
      </c>
    </row>
    <row r="483" spans="1:5" x14ac:dyDescent="0.25">
      <c r="A483">
        <v>32356</v>
      </c>
      <c r="B483" t="str">
        <f t="shared" si="8"/>
        <v>32356</v>
      </c>
      <c r="C483" t="s">
        <v>1194</v>
      </c>
      <c r="D483">
        <v>3152.63</v>
      </c>
      <c r="E483" t="s">
        <v>528</v>
      </c>
    </row>
    <row r="484" spans="1:5" x14ac:dyDescent="0.25">
      <c r="A484">
        <v>32356</v>
      </c>
      <c r="B484" t="str">
        <f t="shared" si="8"/>
        <v>32356</v>
      </c>
      <c r="C484" t="s">
        <v>1195</v>
      </c>
      <c r="D484">
        <v>0</v>
      </c>
      <c r="E484" t="s">
        <v>528</v>
      </c>
    </row>
    <row r="485" spans="1:5" x14ac:dyDescent="0.25">
      <c r="A485">
        <v>32356</v>
      </c>
      <c r="B485" t="str">
        <f t="shared" si="8"/>
        <v>32356</v>
      </c>
      <c r="C485" t="s">
        <v>1197</v>
      </c>
      <c r="D485">
        <v>1033.5899999999999</v>
      </c>
      <c r="E485" t="s">
        <v>528</v>
      </c>
    </row>
    <row r="486" spans="1:5" x14ac:dyDescent="0.25">
      <c r="A486">
        <v>32356</v>
      </c>
      <c r="B486" t="str">
        <f t="shared" si="8"/>
        <v>32356</v>
      </c>
      <c r="C486" t="s">
        <v>1202</v>
      </c>
      <c r="D486">
        <v>0</v>
      </c>
      <c r="E486" t="s">
        <v>528</v>
      </c>
    </row>
    <row r="487" spans="1:5" x14ac:dyDescent="0.25">
      <c r="A487">
        <v>32356</v>
      </c>
      <c r="B487" t="str">
        <f t="shared" si="8"/>
        <v>32356</v>
      </c>
      <c r="C487" t="s">
        <v>1206</v>
      </c>
      <c r="D487">
        <v>2266.56</v>
      </c>
      <c r="E487" t="s">
        <v>528</v>
      </c>
    </row>
    <row r="488" spans="1:5" x14ac:dyDescent="0.25">
      <c r="A488">
        <v>32356</v>
      </c>
      <c r="B488" t="str">
        <f t="shared" si="8"/>
        <v>32356</v>
      </c>
      <c r="C488" t="s">
        <v>1199</v>
      </c>
      <c r="D488">
        <v>0</v>
      </c>
      <c r="E488" t="s">
        <v>528</v>
      </c>
    </row>
    <row r="489" spans="1:5" x14ac:dyDescent="0.25">
      <c r="A489">
        <v>32356</v>
      </c>
      <c r="B489" t="str">
        <f t="shared" si="8"/>
        <v>32356</v>
      </c>
      <c r="C489" t="s">
        <v>1203</v>
      </c>
      <c r="D489">
        <v>2148.91</v>
      </c>
      <c r="E489" t="s">
        <v>528</v>
      </c>
    </row>
    <row r="490" spans="1:5" x14ac:dyDescent="0.25">
      <c r="A490">
        <v>32356</v>
      </c>
      <c r="B490" t="str">
        <f t="shared" si="8"/>
        <v>32356</v>
      </c>
      <c r="C490" t="s">
        <v>1200</v>
      </c>
      <c r="D490">
        <v>0</v>
      </c>
      <c r="E490" t="s">
        <v>528</v>
      </c>
    </row>
    <row r="491" spans="1:5" x14ac:dyDescent="0.25">
      <c r="A491">
        <v>32356</v>
      </c>
      <c r="B491" t="str">
        <f t="shared" si="8"/>
        <v>32356</v>
      </c>
      <c r="C491" t="s">
        <v>1204</v>
      </c>
      <c r="D491">
        <v>4204.3999999999996</v>
      </c>
      <c r="E491" t="s">
        <v>528</v>
      </c>
    </row>
    <row r="492" spans="1:5" x14ac:dyDescent="0.25">
      <c r="A492">
        <v>32356</v>
      </c>
      <c r="B492" t="str">
        <f t="shared" si="8"/>
        <v>32356</v>
      </c>
      <c r="C492" t="s">
        <v>1207</v>
      </c>
      <c r="D492">
        <v>376.65</v>
      </c>
      <c r="E492" t="s">
        <v>528</v>
      </c>
    </row>
    <row r="493" spans="1:5" x14ac:dyDescent="0.25">
      <c r="A493">
        <v>32356</v>
      </c>
      <c r="B493" t="str">
        <f t="shared" si="8"/>
        <v>32356</v>
      </c>
      <c r="C493" t="s">
        <v>1208</v>
      </c>
      <c r="D493">
        <v>706.67</v>
      </c>
      <c r="E493" t="s">
        <v>528</v>
      </c>
    </row>
    <row r="494" spans="1:5" x14ac:dyDescent="0.25">
      <c r="A494">
        <v>32356</v>
      </c>
      <c r="B494" t="str">
        <f t="shared" si="8"/>
        <v>32356</v>
      </c>
      <c r="C494" t="s">
        <v>1210</v>
      </c>
      <c r="D494">
        <v>0</v>
      </c>
      <c r="E494" t="s">
        <v>528</v>
      </c>
    </row>
    <row r="495" spans="1:5" x14ac:dyDescent="0.25">
      <c r="A495">
        <v>32356</v>
      </c>
      <c r="B495" t="str">
        <f t="shared" si="8"/>
        <v>32356</v>
      </c>
      <c r="C495" t="s">
        <v>1212</v>
      </c>
      <c r="D495">
        <v>47.4</v>
      </c>
      <c r="E495" t="s">
        <v>528</v>
      </c>
    </row>
    <row r="496" spans="1:5" x14ac:dyDescent="0.25">
      <c r="A496">
        <v>32356</v>
      </c>
      <c r="B496" t="str">
        <f t="shared" si="8"/>
        <v>32356</v>
      </c>
      <c r="C496" t="s">
        <v>1216</v>
      </c>
      <c r="D496">
        <v>0</v>
      </c>
      <c r="E496" t="s">
        <v>528</v>
      </c>
    </row>
    <row r="497" spans="1:5" x14ac:dyDescent="0.25">
      <c r="A497">
        <v>32356</v>
      </c>
      <c r="B497" t="str">
        <f t="shared" si="8"/>
        <v>32356</v>
      </c>
      <c r="C497" t="s">
        <v>1198</v>
      </c>
      <c r="D497">
        <v>891.46</v>
      </c>
      <c r="E497" t="s">
        <v>528</v>
      </c>
    </row>
    <row r="498" spans="1:5" x14ac:dyDescent="0.25">
      <c r="A498">
        <v>21401</v>
      </c>
      <c r="B498" t="str">
        <f t="shared" si="8"/>
        <v>21401</v>
      </c>
      <c r="C498" t="s">
        <v>1193</v>
      </c>
      <c r="D498">
        <v>0</v>
      </c>
      <c r="E498" t="s">
        <v>446</v>
      </c>
    </row>
    <row r="499" spans="1:5" x14ac:dyDescent="0.25">
      <c r="A499">
        <v>21401</v>
      </c>
      <c r="B499" t="str">
        <f t="shared" si="8"/>
        <v>21401</v>
      </c>
      <c r="C499" t="s">
        <v>1194</v>
      </c>
      <c r="D499">
        <v>770.8</v>
      </c>
      <c r="E499" t="s">
        <v>446</v>
      </c>
    </row>
    <row r="500" spans="1:5" x14ac:dyDescent="0.25">
      <c r="A500">
        <v>21401</v>
      </c>
      <c r="B500" t="str">
        <f t="shared" si="8"/>
        <v>21401</v>
      </c>
      <c r="C500" t="s">
        <v>1195</v>
      </c>
      <c r="D500">
        <v>0</v>
      </c>
      <c r="E500" t="s">
        <v>446</v>
      </c>
    </row>
    <row r="501" spans="1:5" x14ac:dyDescent="0.25">
      <c r="A501">
        <v>21401</v>
      </c>
      <c r="B501" t="str">
        <f t="shared" si="8"/>
        <v>21401</v>
      </c>
      <c r="C501" t="s">
        <v>1197</v>
      </c>
      <c r="D501">
        <v>240.8</v>
      </c>
      <c r="E501" t="s">
        <v>446</v>
      </c>
    </row>
    <row r="502" spans="1:5" x14ac:dyDescent="0.25">
      <c r="A502">
        <v>21401</v>
      </c>
      <c r="B502" t="str">
        <f t="shared" si="8"/>
        <v>21401</v>
      </c>
      <c r="C502" t="s">
        <v>1202</v>
      </c>
      <c r="D502">
        <v>0</v>
      </c>
      <c r="E502" t="s">
        <v>446</v>
      </c>
    </row>
    <row r="503" spans="1:5" x14ac:dyDescent="0.25">
      <c r="A503">
        <v>21401</v>
      </c>
      <c r="B503" t="str">
        <f t="shared" si="8"/>
        <v>21401</v>
      </c>
      <c r="C503" t="s">
        <v>1206</v>
      </c>
      <c r="D503">
        <v>503.63</v>
      </c>
      <c r="E503" t="s">
        <v>446</v>
      </c>
    </row>
    <row r="504" spans="1:5" x14ac:dyDescent="0.25">
      <c r="A504">
        <v>21401</v>
      </c>
      <c r="B504" t="str">
        <f t="shared" si="8"/>
        <v>21401</v>
      </c>
      <c r="C504" t="s">
        <v>1199</v>
      </c>
      <c r="D504">
        <v>0</v>
      </c>
      <c r="E504" t="s">
        <v>446</v>
      </c>
    </row>
    <row r="505" spans="1:5" x14ac:dyDescent="0.25">
      <c r="A505">
        <v>21401</v>
      </c>
      <c r="B505" t="str">
        <f t="shared" si="8"/>
        <v>21401</v>
      </c>
      <c r="C505" t="s">
        <v>1203</v>
      </c>
      <c r="D505">
        <v>472.49</v>
      </c>
      <c r="E505" t="s">
        <v>446</v>
      </c>
    </row>
    <row r="506" spans="1:5" x14ac:dyDescent="0.25">
      <c r="A506">
        <v>21401</v>
      </c>
      <c r="B506" t="str">
        <f t="shared" si="8"/>
        <v>21401</v>
      </c>
      <c r="C506" t="s">
        <v>1200</v>
      </c>
      <c r="D506">
        <v>0</v>
      </c>
      <c r="E506" t="s">
        <v>446</v>
      </c>
    </row>
    <row r="507" spans="1:5" x14ac:dyDescent="0.25">
      <c r="A507">
        <v>21401</v>
      </c>
      <c r="B507" t="str">
        <f t="shared" si="8"/>
        <v>21401</v>
      </c>
      <c r="C507" t="s">
        <v>1204</v>
      </c>
      <c r="D507">
        <v>829.11</v>
      </c>
      <c r="E507" t="s">
        <v>446</v>
      </c>
    </row>
    <row r="508" spans="1:5" x14ac:dyDescent="0.25">
      <c r="A508">
        <v>21401</v>
      </c>
      <c r="B508" t="str">
        <f t="shared" si="8"/>
        <v>21401</v>
      </c>
      <c r="C508" t="s">
        <v>1207</v>
      </c>
      <c r="D508">
        <v>96.51</v>
      </c>
      <c r="E508" t="s">
        <v>446</v>
      </c>
    </row>
    <row r="509" spans="1:5" x14ac:dyDescent="0.25">
      <c r="A509">
        <v>21401</v>
      </c>
      <c r="B509" t="str">
        <f t="shared" si="8"/>
        <v>21401</v>
      </c>
      <c r="C509" t="s">
        <v>1208</v>
      </c>
      <c r="D509">
        <v>282.98</v>
      </c>
      <c r="E509" t="s">
        <v>446</v>
      </c>
    </row>
    <row r="510" spans="1:5" x14ac:dyDescent="0.25">
      <c r="A510">
        <v>21401</v>
      </c>
      <c r="B510" t="str">
        <f t="shared" si="8"/>
        <v>21401</v>
      </c>
      <c r="C510" t="s">
        <v>1210</v>
      </c>
      <c r="D510">
        <v>0</v>
      </c>
      <c r="E510" t="s">
        <v>446</v>
      </c>
    </row>
    <row r="511" spans="1:5" x14ac:dyDescent="0.25">
      <c r="A511">
        <v>21401</v>
      </c>
      <c r="B511" t="str">
        <f t="shared" si="8"/>
        <v>21401</v>
      </c>
      <c r="C511" t="s">
        <v>1212</v>
      </c>
      <c r="D511">
        <v>0</v>
      </c>
      <c r="E511" t="s">
        <v>446</v>
      </c>
    </row>
    <row r="512" spans="1:5" x14ac:dyDescent="0.25">
      <c r="A512">
        <v>21401</v>
      </c>
      <c r="B512" t="str">
        <f t="shared" si="8"/>
        <v>21401</v>
      </c>
      <c r="C512" t="s">
        <v>1216</v>
      </c>
      <c r="D512">
        <v>0</v>
      </c>
      <c r="E512" t="s">
        <v>446</v>
      </c>
    </row>
    <row r="513" spans="1:5" x14ac:dyDescent="0.25">
      <c r="A513">
        <v>21401</v>
      </c>
      <c r="B513" t="str">
        <f t="shared" si="8"/>
        <v>21401</v>
      </c>
      <c r="C513" t="s">
        <v>1198</v>
      </c>
      <c r="D513">
        <v>215.6</v>
      </c>
      <c r="E513" t="s">
        <v>446</v>
      </c>
    </row>
    <row r="514" spans="1:5" x14ac:dyDescent="0.25">
      <c r="A514">
        <v>21302</v>
      </c>
      <c r="B514" t="str">
        <f t="shared" si="8"/>
        <v>21302</v>
      </c>
      <c r="C514" t="s">
        <v>1193</v>
      </c>
      <c r="D514">
        <v>0</v>
      </c>
      <c r="E514" t="s">
        <v>444</v>
      </c>
    </row>
    <row r="515" spans="1:5" x14ac:dyDescent="0.25">
      <c r="A515">
        <v>21302</v>
      </c>
      <c r="B515" t="str">
        <f t="shared" ref="B515:B578" si="9">TEXT(A515,"00000")</f>
        <v>21302</v>
      </c>
      <c r="C515" t="s">
        <v>1194</v>
      </c>
      <c r="D515">
        <v>634.6</v>
      </c>
      <c r="E515" t="s">
        <v>444</v>
      </c>
    </row>
    <row r="516" spans="1:5" x14ac:dyDescent="0.25">
      <c r="A516">
        <v>21302</v>
      </c>
      <c r="B516" t="str">
        <f t="shared" si="9"/>
        <v>21302</v>
      </c>
      <c r="C516" t="s">
        <v>1195</v>
      </c>
      <c r="D516">
        <v>0</v>
      </c>
      <c r="E516" t="s">
        <v>444</v>
      </c>
    </row>
    <row r="517" spans="1:5" x14ac:dyDescent="0.25">
      <c r="A517">
        <v>21302</v>
      </c>
      <c r="B517" t="str">
        <f t="shared" si="9"/>
        <v>21302</v>
      </c>
      <c r="C517" t="s">
        <v>1197</v>
      </c>
      <c r="D517">
        <v>203.52</v>
      </c>
      <c r="E517" t="s">
        <v>444</v>
      </c>
    </row>
    <row r="518" spans="1:5" x14ac:dyDescent="0.25">
      <c r="A518">
        <v>21302</v>
      </c>
      <c r="B518" t="str">
        <f t="shared" si="9"/>
        <v>21302</v>
      </c>
      <c r="C518" t="s">
        <v>1202</v>
      </c>
      <c r="D518">
        <v>0</v>
      </c>
      <c r="E518" t="s">
        <v>444</v>
      </c>
    </row>
    <row r="519" spans="1:5" x14ac:dyDescent="0.25">
      <c r="A519">
        <v>21302</v>
      </c>
      <c r="B519" t="str">
        <f t="shared" si="9"/>
        <v>21302</v>
      </c>
      <c r="C519" t="s">
        <v>1206</v>
      </c>
      <c r="D519">
        <v>453.34</v>
      </c>
      <c r="E519" t="s">
        <v>444</v>
      </c>
    </row>
    <row r="520" spans="1:5" x14ac:dyDescent="0.25">
      <c r="A520">
        <v>21302</v>
      </c>
      <c r="B520" t="str">
        <f t="shared" si="9"/>
        <v>21302</v>
      </c>
      <c r="C520" t="s">
        <v>1199</v>
      </c>
      <c r="D520">
        <v>0</v>
      </c>
      <c r="E520" t="s">
        <v>444</v>
      </c>
    </row>
    <row r="521" spans="1:5" x14ac:dyDescent="0.25">
      <c r="A521">
        <v>21302</v>
      </c>
      <c r="B521" t="str">
        <f t="shared" si="9"/>
        <v>21302</v>
      </c>
      <c r="C521" t="s">
        <v>1203</v>
      </c>
      <c r="D521">
        <v>466.36</v>
      </c>
      <c r="E521" t="s">
        <v>444</v>
      </c>
    </row>
    <row r="522" spans="1:5" x14ac:dyDescent="0.25">
      <c r="A522">
        <v>21302</v>
      </c>
      <c r="B522" t="str">
        <f t="shared" si="9"/>
        <v>21302</v>
      </c>
      <c r="C522" t="s">
        <v>1200</v>
      </c>
      <c r="D522">
        <v>0</v>
      </c>
      <c r="E522" t="s">
        <v>444</v>
      </c>
    </row>
    <row r="523" spans="1:5" x14ac:dyDescent="0.25">
      <c r="A523">
        <v>21302</v>
      </c>
      <c r="B523" t="str">
        <f t="shared" si="9"/>
        <v>21302</v>
      </c>
      <c r="C523" t="s">
        <v>1204</v>
      </c>
      <c r="D523">
        <v>888.16</v>
      </c>
      <c r="E523" t="s">
        <v>444</v>
      </c>
    </row>
    <row r="524" spans="1:5" x14ac:dyDescent="0.25">
      <c r="A524">
        <v>21302</v>
      </c>
      <c r="B524" t="str">
        <f t="shared" si="9"/>
        <v>21302</v>
      </c>
      <c r="C524" t="s">
        <v>1207</v>
      </c>
      <c r="D524">
        <v>0</v>
      </c>
      <c r="E524" t="s">
        <v>444</v>
      </c>
    </row>
    <row r="525" spans="1:5" x14ac:dyDescent="0.25">
      <c r="A525">
        <v>21302</v>
      </c>
      <c r="B525" t="str">
        <f t="shared" si="9"/>
        <v>21302</v>
      </c>
      <c r="C525" t="s">
        <v>1208</v>
      </c>
      <c r="D525">
        <v>228.96</v>
      </c>
      <c r="E525" t="s">
        <v>444</v>
      </c>
    </row>
    <row r="526" spans="1:5" x14ac:dyDescent="0.25">
      <c r="A526">
        <v>21302</v>
      </c>
      <c r="B526" t="str">
        <f t="shared" si="9"/>
        <v>21302</v>
      </c>
      <c r="C526" t="s">
        <v>1210</v>
      </c>
      <c r="D526">
        <v>0</v>
      </c>
      <c r="E526" t="s">
        <v>444</v>
      </c>
    </row>
    <row r="527" spans="1:5" x14ac:dyDescent="0.25">
      <c r="A527">
        <v>21302</v>
      </c>
      <c r="B527" t="str">
        <f t="shared" si="9"/>
        <v>21302</v>
      </c>
      <c r="C527" t="s">
        <v>1212</v>
      </c>
      <c r="D527">
        <v>0</v>
      </c>
      <c r="E527" t="s">
        <v>444</v>
      </c>
    </row>
    <row r="528" spans="1:5" x14ac:dyDescent="0.25">
      <c r="A528">
        <v>21302</v>
      </c>
      <c r="B528" t="str">
        <f t="shared" si="9"/>
        <v>21302</v>
      </c>
      <c r="C528" t="s">
        <v>1216</v>
      </c>
      <c r="D528">
        <v>0</v>
      </c>
      <c r="E528" t="s">
        <v>444</v>
      </c>
    </row>
    <row r="529" spans="1:5" x14ac:dyDescent="0.25">
      <c r="A529">
        <v>21302</v>
      </c>
      <c r="B529" t="str">
        <f t="shared" si="9"/>
        <v>21302</v>
      </c>
      <c r="C529" t="s">
        <v>1198</v>
      </c>
      <c r="D529">
        <v>186.14</v>
      </c>
      <c r="E529" t="s">
        <v>444</v>
      </c>
    </row>
    <row r="530" spans="1:5" x14ac:dyDescent="0.25">
      <c r="A530">
        <v>32360</v>
      </c>
      <c r="B530" t="str">
        <f t="shared" si="9"/>
        <v>32360</v>
      </c>
      <c r="C530" t="s">
        <v>1193</v>
      </c>
      <c r="D530">
        <v>0</v>
      </c>
      <c r="E530" t="s">
        <v>530</v>
      </c>
    </row>
    <row r="531" spans="1:5" x14ac:dyDescent="0.25">
      <c r="A531">
        <v>32360</v>
      </c>
      <c r="B531" t="str">
        <f t="shared" si="9"/>
        <v>32360</v>
      </c>
      <c r="C531" t="s">
        <v>1194</v>
      </c>
      <c r="D531">
        <v>1180.4100000000001</v>
      </c>
      <c r="E531" t="s">
        <v>530</v>
      </c>
    </row>
    <row r="532" spans="1:5" x14ac:dyDescent="0.25">
      <c r="A532">
        <v>32360</v>
      </c>
      <c r="B532" t="str">
        <f t="shared" si="9"/>
        <v>32360</v>
      </c>
      <c r="C532" t="s">
        <v>1195</v>
      </c>
      <c r="D532">
        <v>0</v>
      </c>
      <c r="E532" t="s">
        <v>530</v>
      </c>
    </row>
    <row r="533" spans="1:5" x14ac:dyDescent="0.25">
      <c r="A533">
        <v>32360</v>
      </c>
      <c r="B533" t="str">
        <f t="shared" si="9"/>
        <v>32360</v>
      </c>
      <c r="C533" t="s">
        <v>1197</v>
      </c>
      <c r="D533">
        <v>436.23</v>
      </c>
      <c r="E533" t="s">
        <v>530</v>
      </c>
    </row>
    <row r="534" spans="1:5" x14ac:dyDescent="0.25">
      <c r="A534">
        <v>32360</v>
      </c>
      <c r="B534" t="str">
        <f t="shared" si="9"/>
        <v>32360</v>
      </c>
      <c r="C534" t="s">
        <v>1202</v>
      </c>
      <c r="D534">
        <v>0</v>
      </c>
      <c r="E534" t="s">
        <v>530</v>
      </c>
    </row>
    <row r="535" spans="1:5" x14ac:dyDescent="0.25">
      <c r="A535">
        <v>32360</v>
      </c>
      <c r="B535" t="str">
        <f t="shared" si="9"/>
        <v>32360</v>
      </c>
      <c r="C535" t="s">
        <v>1206</v>
      </c>
      <c r="D535">
        <v>840.52</v>
      </c>
      <c r="E535" t="s">
        <v>530</v>
      </c>
    </row>
    <row r="536" spans="1:5" x14ac:dyDescent="0.25">
      <c r="A536">
        <v>32360</v>
      </c>
      <c r="B536" t="str">
        <f t="shared" si="9"/>
        <v>32360</v>
      </c>
      <c r="C536" t="s">
        <v>1199</v>
      </c>
      <c r="D536">
        <v>0</v>
      </c>
      <c r="E536" t="s">
        <v>530</v>
      </c>
    </row>
    <row r="537" spans="1:5" x14ac:dyDescent="0.25">
      <c r="A537">
        <v>32360</v>
      </c>
      <c r="B537" t="str">
        <f t="shared" si="9"/>
        <v>32360</v>
      </c>
      <c r="C537" t="s">
        <v>1203</v>
      </c>
      <c r="D537">
        <v>825.47</v>
      </c>
      <c r="E537" t="s">
        <v>530</v>
      </c>
    </row>
    <row r="538" spans="1:5" x14ac:dyDescent="0.25">
      <c r="A538">
        <v>32360</v>
      </c>
      <c r="B538" t="str">
        <f t="shared" si="9"/>
        <v>32360</v>
      </c>
      <c r="C538" t="s">
        <v>1200</v>
      </c>
      <c r="D538">
        <v>0</v>
      </c>
      <c r="E538" t="s">
        <v>530</v>
      </c>
    </row>
    <row r="539" spans="1:5" x14ac:dyDescent="0.25">
      <c r="A539">
        <v>32360</v>
      </c>
      <c r="B539" t="str">
        <f t="shared" si="9"/>
        <v>32360</v>
      </c>
      <c r="C539" t="s">
        <v>1204</v>
      </c>
      <c r="D539">
        <v>1280.3800000000001</v>
      </c>
      <c r="E539" t="s">
        <v>530</v>
      </c>
    </row>
    <row r="540" spans="1:5" x14ac:dyDescent="0.25">
      <c r="A540">
        <v>32360</v>
      </c>
      <c r="B540" t="str">
        <f t="shared" si="9"/>
        <v>32360</v>
      </c>
      <c r="C540" t="s">
        <v>1207</v>
      </c>
      <c r="D540">
        <v>111.06</v>
      </c>
      <c r="E540" t="s">
        <v>530</v>
      </c>
    </row>
    <row r="541" spans="1:5" x14ac:dyDescent="0.25">
      <c r="A541">
        <v>32360</v>
      </c>
      <c r="B541" t="str">
        <f t="shared" si="9"/>
        <v>32360</v>
      </c>
      <c r="C541" t="s">
        <v>1208</v>
      </c>
      <c r="D541">
        <v>274.23</v>
      </c>
      <c r="E541" t="s">
        <v>530</v>
      </c>
    </row>
    <row r="542" spans="1:5" x14ac:dyDescent="0.25">
      <c r="A542">
        <v>32360</v>
      </c>
      <c r="B542" t="str">
        <f t="shared" si="9"/>
        <v>32360</v>
      </c>
      <c r="C542" t="s">
        <v>1210</v>
      </c>
      <c r="D542">
        <v>0</v>
      </c>
      <c r="E542" t="s">
        <v>530</v>
      </c>
    </row>
    <row r="543" spans="1:5" x14ac:dyDescent="0.25">
      <c r="A543">
        <v>32360</v>
      </c>
      <c r="B543" t="str">
        <f t="shared" si="9"/>
        <v>32360</v>
      </c>
      <c r="C543" t="s">
        <v>1212</v>
      </c>
      <c r="D543">
        <v>0</v>
      </c>
      <c r="E543" t="s">
        <v>530</v>
      </c>
    </row>
    <row r="544" spans="1:5" x14ac:dyDescent="0.25">
      <c r="A544">
        <v>32360</v>
      </c>
      <c r="B544" t="str">
        <f t="shared" si="9"/>
        <v>32360</v>
      </c>
      <c r="C544" t="s">
        <v>1216</v>
      </c>
      <c r="D544">
        <v>0</v>
      </c>
      <c r="E544" t="s">
        <v>530</v>
      </c>
    </row>
    <row r="545" spans="1:5" x14ac:dyDescent="0.25">
      <c r="A545">
        <v>32360</v>
      </c>
      <c r="B545" t="str">
        <f t="shared" si="9"/>
        <v>32360</v>
      </c>
      <c r="C545" t="s">
        <v>1198</v>
      </c>
      <c r="D545">
        <v>389.78</v>
      </c>
      <c r="E545" t="s">
        <v>530</v>
      </c>
    </row>
    <row r="546" spans="1:5" x14ac:dyDescent="0.25">
      <c r="A546">
        <v>33036</v>
      </c>
      <c r="B546" t="str">
        <f t="shared" si="9"/>
        <v>33036</v>
      </c>
      <c r="C546" t="s">
        <v>1193</v>
      </c>
      <c r="D546">
        <v>0</v>
      </c>
      <c r="E546" t="s">
        <v>537</v>
      </c>
    </row>
    <row r="547" spans="1:5" x14ac:dyDescent="0.25">
      <c r="A547">
        <v>33036</v>
      </c>
      <c r="B547" t="str">
        <f t="shared" si="9"/>
        <v>33036</v>
      </c>
      <c r="C547" t="s">
        <v>1194</v>
      </c>
      <c r="D547">
        <v>139.4</v>
      </c>
      <c r="E547" t="s">
        <v>537</v>
      </c>
    </row>
    <row r="548" spans="1:5" x14ac:dyDescent="0.25">
      <c r="A548">
        <v>33036</v>
      </c>
      <c r="B548" t="str">
        <f t="shared" si="9"/>
        <v>33036</v>
      </c>
      <c r="C548" t="s">
        <v>1195</v>
      </c>
      <c r="D548">
        <v>0</v>
      </c>
      <c r="E548" t="s">
        <v>537</v>
      </c>
    </row>
    <row r="549" spans="1:5" x14ac:dyDescent="0.25">
      <c r="A549">
        <v>33036</v>
      </c>
      <c r="B549" t="str">
        <f t="shared" si="9"/>
        <v>33036</v>
      </c>
      <c r="C549" t="s">
        <v>1197</v>
      </c>
      <c r="D549">
        <v>34</v>
      </c>
      <c r="E549" t="s">
        <v>537</v>
      </c>
    </row>
    <row r="550" spans="1:5" x14ac:dyDescent="0.25">
      <c r="A550">
        <v>33036</v>
      </c>
      <c r="B550" t="str">
        <f t="shared" si="9"/>
        <v>33036</v>
      </c>
      <c r="C550" t="s">
        <v>1202</v>
      </c>
      <c r="D550">
        <v>0</v>
      </c>
      <c r="E550" t="s">
        <v>537</v>
      </c>
    </row>
    <row r="551" spans="1:5" x14ac:dyDescent="0.25">
      <c r="A551">
        <v>33036</v>
      </c>
      <c r="B551" t="str">
        <f t="shared" si="9"/>
        <v>33036</v>
      </c>
      <c r="C551" t="s">
        <v>1206</v>
      </c>
      <c r="D551">
        <v>111.87</v>
      </c>
      <c r="E551" t="s">
        <v>537</v>
      </c>
    </row>
    <row r="552" spans="1:5" x14ac:dyDescent="0.25">
      <c r="A552">
        <v>33036</v>
      </c>
      <c r="B552" t="str">
        <f t="shared" si="9"/>
        <v>33036</v>
      </c>
      <c r="C552" t="s">
        <v>1199</v>
      </c>
      <c r="D552">
        <v>0</v>
      </c>
      <c r="E552" t="s">
        <v>537</v>
      </c>
    </row>
    <row r="553" spans="1:5" x14ac:dyDescent="0.25">
      <c r="A553">
        <v>33036</v>
      </c>
      <c r="B553" t="str">
        <f t="shared" si="9"/>
        <v>33036</v>
      </c>
      <c r="C553" t="s">
        <v>1203</v>
      </c>
      <c r="D553">
        <v>97.43</v>
      </c>
      <c r="E553" t="s">
        <v>537</v>
      </c>
    </row>
    <row r="554" spans="1:5" x14ac:dyDescent="0.25">
      <c r="A554">
        <v>33036</v>
      </c>
      <c r="B554" t="str">
        <f t="shared" si="9"/>
        <v>33036</v>
      </c>
      <c r="C554" t="s">
        <v>1200</v>
      </c>
      <c r="D554">
        <v>0</v>
      </c>
      <c r="E554" t="s">
        <v>537</v>
      </c>
    </row>
    <row r="555" spans="1:5" x14ac:dyDescent="0.25">
      <c r="A555">
        <v>33036</v>
      </c>
      <c r="B555" t="str">
        <f t="shared" si="9"/>
        <v>33036</v>
      </c>
      <c r="C555" t="s">
        <v>1204</v>
      </c>
      <c r="D555">
        <v>200.27</v>
      </c>
      <c r="E555" t="s">
        <v>537</v>
      </c>
    </row>
    <row r="556" spans="1:5" x14ac:dyDescent="0.25">
      <c r="A556">
        <v>33036</v>
      </c>
      <c r="B556" t="str">
        <f t="shared" si="9"/>
        <v>33036</v>
      </c>
      <c r="C556" t="s">
        <v>1207</v>
      </c>
      <c r="D556">
        <v>12.19</v>
      </c>
      <c r="E556" t="s">
        <v>537</v>
      </c>
    </row>
    <row r="557" spans="1:5" x14ac:dyDescent="0.25">
      <c r="A557">
        <v>33036</v>
      </c>
      <c r="B557" t="str">
        <f t="shared" si="9"/>
        <v>33036</v>
      </c>
      <c r="C557" t="s">
        <v>1208</v>
      </c>
      <c r="D557">
        <v>45.41</v>
      </c>
      <c r="E557" t="s">
        <v>537</v>
      </c>
    </row>
    <row r="558" spans="1:5" x14ac:dyDescent="0.25">
      <c r="A558">
        <v>33036</v>
      </c>
      <c r="B558" t="str">
        <f t="shared" si="9"/>
        <v>33036</v>
      </c>
      <c r="C558" t="s">
        <v>1210</v>
      </c>
      <c r="D558">
        <v>0</v>
      </c>
      <c r="E558" t="s">
        <v>537</v>
      </c>
    </row>
    <row r="559" spans="1:5" x14ac:dyDescent="0.25">
      <c r="A559">
        <v>33036</v>
      </c>
      <c r="B559" t="str">
        <f t="shared" si="9"/>
        <v>33036</v>
      </c>
      <c r="C559" t="s">
        <v>1212</v>
      </c>
      <c r="D559">
        <v>0</v>
      </c>
      <c r="E559" t="s">
        <v>537</v>
      </c>
    </row>
    <row r="560" spans="1:5" x14ac:dyDescent="0.25">
      <c r="A560">
        <v>33036</v>
      </c>
      <c r="B560" t="str">
        <f t="shared" si="9"/>
        <v>33036</v>
      </c>
      <c r="C560" t="s">
        <v>1216</v>
      </c>
      <c r="D560">
        <v>13.4</v>
      </c>
      <c r="E560" t="s">
        <v>537</v>
      </c>
    </row>
    <row r="561" spans="1:5" x14ac:dyDescent="0.25">
      <c r="A561">
        <v>33036</v>
      </c>
      <c r="B561" t="str">
        <f t="shared" si="9"/>
        <v>33036</v>
      </c>
      <c r="C561" t="s">
        <v>1198</v>
      </c>
      <c r="D561">
        <v>28.44</v>
      </c>
      <c r="E561" t="s">
        <v>537</v>
      </c>
    </row>
    <row r="562" spans="1:5" x14ac:dyDescent="0.25">
      <c r="A562">
        <v>27901</v>
      </c>
      <c r="B562" t="str">
        <f t="shared" si="9"/>
        <v>27901</v>
      </c>
      <c r="C562" t="s">
        <v>1193</v>
      </c>
      <c r="D562">
        <v>0</v>
      </c>
      <c r="E562" t="s">
        <v>1227</v>
      </c>
    </row>
    <row r="563" spans="1:5" x14ac:dyDescent="0.25">
      <c r="A563">
        <v>27901</v>
      </c>
      <c r="B563" t="str">
        <f t="shared" si="9"/>
        <v>27901</v>
      </c>
      <c r="C563" t="s">
        <v>1194</v>
      </c>
      <c r="D563">
        <v>159.19999999999999</v>
      </c>
      <c r="E563" t="s">
        <v>1227</v>
      </c>
    </row>
    <row r="564" spans="1:5" x14ac:dyDescent="0.25">
      <c r="A564">
        <v>27901</v>
      </c>
      <c r="B564" t="str">
        <f t="shared" si="9"/>
        <v>27901</v>
      </c>
      <c r="C564" t="s">
        <v>1195</v>
      </c>
      <c r="D564">
        <v>0</v>
      </c>
      <c r="E564" t="s">
        <v>1227</v>
      </c>
    </row>
    <row r="565" spans="1:5" x14ac:dyDescent="0.25">
      <c r="A565">
        <v>27901</v>
      </c>
      <c r="B565" t="str">
        <f t="shared" si="9"/>
        <v>27901</v>
      </c>
      <c r="C565" t="s">
        <v>1197</v>
      </c>
      <c r="D565">
        <v>41.2</v>
      </c>
      <c r="E565" t="s">
        <v>1227</v>
      </c>
    </row>
    <row r="566" spans="1:5" x14ac:dyDescent="0.25">
      <c r="A566">
        <v>27901</v>
      </c>
      <c r="B566" t="str">
        <f t="shared" si="9"/>
        <v>27901</v>
      </c>
      <c r="C566" t="s">
        <v>1202</v>
      </c>
      <c r="D566">
        <v>0</v>
      </c>
      <c r="E566" t="s">
        <v>1227</v>
      </c>
    </row>
    <row r="567" spans="1:5" x14ac:dyDescent="0.25">
      <c r="A567">
        <v>27901</v>
      </c>
      <c r="B567" t="str">
        <f t="shared" si="9"/>
        <v>27901</v>
      </c>
      <c r="C567" t="s">
        <v>1206</v>
      </c>
      <c r="D567">
        <v>92</v>
      </c>
      <c r="E567" t="s">
        <v>1227</v>
      </c>
    </row>
    <row r="568" spans="1:5" x14ac:dyDescent="0.25">
      <c r="A568">
        <v>27901</v>
      </c>
      <c r="B568" t="str">
        <f t="shared" si="9"/>
        <v>27901</v>
      </c>
      <c r="C568" t="s">
        <v>1199</v>
      </c>
      <c r="D568">
        <v>0</v>
      </c>
      <c r="E568" t="s">
        <v>1227</v>
      </c>
    </row>
    <row r="569" spans="1:5" x14ac:dyDescent="0.25">
      <c r="A569">
        <v>27901</v>
      </c>
      <c r="B569" t="str">
        <f t="shared" si="9"/>
        <v>27901</v>
      </c>
      <c r="C569" t="s">
        <v>1203</v>
      </c>
      <c r="D569">
        <v>103.7</v>
      </c>
      <c r="E569" t="s">
        <v>1227</v>
      </c>
    </row>
    <row r="570" spans="1:5" x14ac:dyDescent="0.25">
      <c r="A570">
        <v>27901</v>
      </c>
      <c r="B570" t="str">
        <f t="shared" si="9"/>
        <v>27901</v>
      </c>
      <c r="C570" t="s">
        <v>1200</v>
      </c>
      <c r="D570">
        <v>0</v>
      </c>
      <c r="E570" t="s">
        <v>1227</v>
      </c>
    </row>
    <row r="571" spans="1:5" x14ac:dyDescent="0.25">
      <c r="A571">
        <v>27901</v>
      </c>
      <c r="B571" t="str">
        <f t="shared" si="9"/>
        <v>27901</v>
      </c>
      <c r="C571" t="s">
        <v>1204</v>
      </c>
      <c r="D571">
        <v>184.57</v>
      </c>
      <c r="E571" t="s">
        <v>1227</v>
      </c>
    </row>
    <row r="572" spans="1:5" x14ac:dyDescent="0.25">
      <c r="A572">
        <v>27901</v>
      </c>
      <c r="B572" t="str">
        <f t="shared" si="9"/>
        <v>27901</v>
      </c>
      <c r="C572" t="s">
        <v>1207</v>
      </c>
      <c r="D572">
        <v>8.5299999999999994</v>
      </c>
      <c r="E572" t="s">
        <v>1227</v>
      </c>
    </row>
    <row r="573" spans="1:5" x14ac:dyDescent="0.25">
      <c r="A573">
        <v>27901</v>
      </c>
      <c r="B573" t="str">
        <f t="shared" si="9"/>
        <v>27901</v>
      </c>
      <c r="C573" t="s">
        <v>1208</v>
      </c>
      <c r="D573">
        <v>41.88</v>
      </c>
      <c r="E573" t="s">
        <v>1227</v>
      </c>
    </row>
    <row r="574" spans="1:5" x14ac:dyDescent="0.25">
      <c r="A574">
        <v>27901</v>
      </c>
      <c r="B574" t="str">
        <f t="shared" si="9"/>
        <v>27901</v>
      </c>
      <c r="C574" t="s">
        <v>1210</v>
      </c>
      <c r="D574">
        <v>0</v>
      </c>
      <c r="E574" t="s">
        <v>1227</v>
      </c>
    </row>
    <row r="575" spans="1:5" x14ac:dyDescent="0.25">
      <c r="A575">
        <v>27901</v>
      </c>
      <c r="B575" t="str">
        <f t="shared" si="9"/>
        <v>27901</v>
      </c>
      <c r="C575" t="s">
        <v>1212</v>
      </c>
      <c r="D575">
        <v>0</v>
      </c>
      <c r="E575" t="s">
        <v>1227</v>
      </c>
    </row>
    <row r="576" spans="1:5" x14ac:dyDescent="0.25">
      <c r="A576">
        <v>27901</v>
      </c>
      <c r="B576" t="str">
        <f t="shared" si="9"/>
        <v>27901</v>
      </c>
      <c r="C576" t="s">
        <v>1216</v>
      </c>
      <c r="D576">
        <v>17.8</v>
      </c>
      <c r="E576" t="s">
        <v>1227</v>
      </c>
    </row>
    <row r="577" spans="1:5" x14ac:dyDescent="0.25">
      <c r="A577">
        <v>27901</v>
      </c>
      <c r="B577" t="str">
        <f t="shared" si="9"/>
        <v>27901</v>
      </c>
      <c r="C577" t="s">
        <v>1198</v>
      </c>
      <c r="D577">
        <v>41.2</v>
      </c>
      <c r="E577" t="s">
        <v>1227</v>
      </c>
    </row>
    <row r="578" spans="1:5" x14ac:dyDescent="0.25">
      <c r="A578">
        <v>16049</v>
      </c>
      <c r="B578" t="str">
        <f t="shared" si="9"/>
        <v>16049</v>
      </c>
      <c r="C578" t="s">
        <v>1193</v>
      </c>
      <c r="D578">
        <v>0</v>
      </c>
      <c r="E578" t="s">
        <v>390</v>
      </c>
    </row>
    <row r="579" spans="1:5" x14ac:dyDescent="0.25">
      <c r="A579">
        <v>16049</v>
      </c>
      <c r="B579" t="str">
        <f t="shared" ref="B579:B642" si="10">TEXT(A579,"00000")</f>
        <v>16049</v>
      </c>
      <c r="C579" t="s">
        <v>1194</v>
      </c>
      <c r="D579">
        <v>156.19999999999999</v>
      </c>
      <c r="E579" t="s">
        <v>390</v>
      </c>
    </row>
    <row r="580" spans="1:5" x14ac:dyDescent="0.25">
      <c r="A580">
        <v>16049</v>
      </c>
      <c r="B580" t="str">
        <f t="shared" si="10"/>
        <v>16049</v>
      </c>
      <c r="C580" t="s">
        <v>1195</v>
      </c>
      <c r="D580">
        <v>0</v>
      </c>
      <c r="E580" t="s">
        <v>390</v>
      </c>
    </row>
    <row r="581" spans="1:5" x14ac:dyDescent="0.25">
      <c r="A581">
        <v>16049</v>
      </c>
      <c r="B581" t="str">
        <f t="shared" si="10"/>
        <v>16049</v>
      </c>
      <c r="C581" t="s">
        <v>1197</v>
      </c>
      <c r="D581">
        <v>46</v>
      </c>
      <c r="E581" t="s">
        <v>390</v>
      </c>
    </row>
    <row r="582" spans="1:5" x14ac:dyDescent="0.25">
      <c r="A582">
        <v>16049</v>
      </c>
      <c r="B582" t="str">
        <f t="shared" si="10"/>
        <v>16049</v>
      </c>
      <c r="C582" t="s">
        <v>1202</v>
      </c>
      <c r="D582">
        <v>0</v>
      </c>
      <c r="E582" t="s">
        <v>390</v>
      </c>
    </row>
    <row r="583" spans="1:5" x14ac:dyDescent="0.25">
      <c r="A583">
        <v>16049</v>
      </c>
      <c r="B583" t="str">
        <f t="shared" si="10"/>
        <v>16049</v>
      </c>
      <c r="C583" t="s">
        <v>1206</v>
      </c>
      <c r="D583">
        <v>98.4</v>
      </c>
      <c r="E583" t="s">
        <v>390</v>
      </c>
    </row>
    <row r="584" spans="1:5" x14ac:dyDescent="0.25">
      <c r="A584">
        <v>16049</v>
      </c>
      <c r="B584" t="str">
        <f t="shared" si="10"/>
        <v>16049</v>
      </c>
      <c r="C584" t="s">
        <v>1199</v>
      </c>
      <c r="D584">
        <v>0</v>
      </c>
      <c r="E584" t="s">
        <v>390</v>
      </c>
    </row>
    <row r="585" spans="1:5" x14ac:dyDescent="0.25">
      <c r="A585">
        <v>16049</v>
      </c>
      <c r="B585" t="str">
        <f t="shared" si="10"/>
        <v>16049</v>
      </c>
      <c r="C585" t="s">
        <v>1203</v>
      </c>
      <c r="D585">
        <v>102.27</v>
      </c>
      <c r="E585" t="s">
        <v>390</v>
      </c>
    </row>
    <row r="586" spans="1:5" x14ac:dyDescent="0.25">
      <c r="A586">
        <v>16049</v>
      </c>
      <c r="B586" t="str">
        <f t="shared" si="10"/>
        <v>16049</v>
      </c>
      <c r="C586" t="s">
        <v>1200</v>
      </c>
      <c r="D586">
        <v>0</v>
      </c>
      <c r="E586" t="s">
        <v>390</v>
      </c>
    </row>
    <row r="587" spans="1:5" x14ac:dyDescent="0.25">
      <c r="A587">
        <v>16049</v>
      </c>
      <c r="B587" t="str">
        <f t="shared" si="10"/>
        <v>16049</v>
      </c>
      <c r="C587" t="s">
        <v>1204</v>
      </c>
      <c r="D587">
        <v>133.62</v>
      </c>
      <c r="E587" t="s">
        <v>390</v>
      </c>
    </row>
    <row r="588" spans="1:5" x14ac:dyDescent="0.25">
      <c r="A588">
        <v>16049</v>
      </c>
      <c r="B588" t="str">
        <f t="shared" si="10"/>
        <v>16049</v>
      </c>
      <c r="C588" t="s">
        <v>1207</v>
      </c>
      <c r="D588">
        <v>0</v>
      </c>
      <c r="E588" t="s">
        <v>390</v>
      </c>
    </row>
    <row r="589" spans="1:5" x14ac:dyDescent="0.25">
      <c r="A589">
        <v>16049</v>
      </c>
      <c r="B589" t="str">
        <f t="shared" si="10"/>
        <v>16049</v>
      </c>
      <c r="C589" t="s">
        <v>1208</v>
      </c>
      <c r="D589">
        <v>21.31</v>
      </c>
      <c r="E589" t="s">
        <v>390</v>
      </c>
    </row>
    <row r="590" spans="1:5" x14ac:dyDescent="0.25">
      <c r="A590">
        <v>16049</v>
      </c>
      <c r="B590" t="str">
        <f t="shared" si="10"/>
        <v>16049</v>
      </c>
      <c r="C590" t="s">
        <v>1210</v>
      </c>
      <c r="D590">
        <v>0</v>
      </c>
      <c r="E590" t="s">
        <v>390</v>
      </c>
    </row>
    <row r="591" spans="1:5" x14ac:dyDescent="0.25">
      <c r="A591">
        <v>16049</v>
      </c>
      <c r="B591" t="str">
        <f t="shared" si="10"/>
        <v>16049</v>
      </c>
      <c r="C591" t="s">
        <v>1212</v>
      </c>
      <c r="D591">
        <v>0</v>
      </c>
      <c r="E591" t="s">
        <v>390</v>
      </c>
    </row>
    <row r="592" spans="1:5" x14ac:dyDescent="0.25">
      <c r="A592">
        <v>16049</v>
      </c>
      <c r="B592" t="str">
        <f t="shared" si="10"/>
        <v>16049</v>
      </c>
      <c r="C592" t="s">
        <v>1216</v>
      </c>
      <c r="D592">
        <v>29.8</v>
      </c>
      <c r="E592" t="s">
        <v>390</v>
      </c>
    </row>
    <row r="593" spans="1:5" x14ac:dyDescent="0.25">
      <c r="A593">
        <v>16049</v>
      </c>
      <c r="B593" t="str">
        <f t="shared" si="10"/>
        <v>16049</v>
      </c>
      <c r="C593" t="s">
        <v>1198</v>
      </c>
      <c r="D593">
        <v>52.6</v>
      </c>
      <c r="E593" t="s">
        <v>390</v>
      </c>
    </row>
    <row r="594" spans="1:5" x14ac:dyDescent="0.25">
      <c r="A594" s="34" t="s">
        <v>12</v>
      </c>
      <c r="B594" t="str">
        <f t="shared" si="10"/>
        <v>02250</v>
      </c>
      <c r="C594" t="s">
        <v>1193</v>
      </c>
      <c r="D594">
        <v>0</v>
      </c>
      <c r="E594" t="s">
        <v>309</v>
      </c>
    </row>
    <row r="595" spans="1:5" x14ac:dyDescent="0.25">
      <c r="A595" s="34" t="s">
        <v>12</v>
      </c>
      <c r="B595" t="str">
        <f t="shared" si="10"/>
        <v>02250</v>
      </c>
      <c r="C595" t="s">
        <v>1194</v>
      </c>
      <c r="D595">
        <v>451.31</v>
      </c>
      <c r="E595" t="s">
        <v>309</v>
      </c>
    </row>
    <row r="596" spans="1:5" x14ac:dyDescent="0.25">
      <c r="A596" s="34" t="s">
        <v>12</v>
      </c>
      <c r="B596" t="str">
        <f t="shared" si="10"/>
        <v>02250</v>
      </c>
      <c r="C596" t="s">
        <v>1195</v>
      </c>
      <c r="D596">
        <v>0</v>
      </c>
      <c r="E596" t="s">
        <v>309</v>
      </c>
    </row>
    <row r="597" spans="1:5" x14ac:dyDescent="0.25">
      <c r="A597" s="34" t="s">
        <v>12</v>
      </c>
      <c r="B597" t="str">
        <f t="shared" si="10"/>
        <v>02250</v>
      </c>
      <c r="C597" t="s">
        <v>1197</v>
      </c>
      <c r="D597">
        <v>207.48</v>
      </c>
      <c r="E597" t="s">
        <v>309</v>
      </c>
    </row>
    <row r="598" spans="1:5" x14ac:dyDescent="0.25">
      <c r="A598" s="34" t="s">
        <v>12</v>
      </c>
      <c r="B598" t="str">
        <f t="shared" si="10"/>
        <v>02250</v>
      </c>
      <c r="C598" t="s">
        <v>1202</v>
      </c>
      <c r="D598">
        <v>0</v>
      </c>
      <c r="E598" t="s">
        <v>309</v>
      </c>
    </row>
    <row r="599" spans="1:5" x14ac:dyDescent="0.25">
      <c r="A599" s="34" t="s">
        <v>12</v>
      </c>
      <c r="B599" t="str">
        <f t="shared" si="10"/>
        <v>02250</v>
      </c>
      <c r="C599" t="s">
        <v>1206</v>
      </c>
      <c r="D599">
        <v>352.78</v>
      </c>
      <c r="E599" t="s">
        <v>309</v>
      </c>
    </row>
    <row r="600" spans="1:5" x14ac:dyDescent="0.25">
      <c r="A600" s="34" t="s">
        <v>12</v>
      </c>
      <c r="B600" t="str">
        <f t="shared" si="10"/>
        <v>02250</v>
      </c>
      <c r="C600" t="s">
        <v>1199</v>
      </c>
      <c r="D600">
        <v>0</v>
      </c>
      <c r="E600" t="s">
        <v>309</v>
      </c>
    </row>
    <row r="601" spans="1:5" x14ac:dyDescent="0.25">
      <c r="A601" s="34" t="s">
        <v>12</v>
      </c>
      <c r="B601" t="str">
        <f t="shared" si="10"/>
        <v>02250</v>
      </c>
      <c r="C601" t="s">
        <v>1203</v>
      </c>
      <c r="D601">
        <v>346.08</v>
      </c>
      <c r="E601" t="s">
        <v>309</v>
      </c>
    </row>
    <row r="602" spans="1:5" x14ac:dyDescent="0.25">
      <c r="A602" s="34" t="s">
        <v>12</v>
      </c>
      <c r="B602" t="str">
        <f t="shared" si="10"/>
        <v>02250</v>
      </c>
      <c r="C602" t="s">
        <v>1200</v>
      </c>
      <c r="D602">
        <v>0</v>
      </c>
      <c r="E602" t="s">
        <v>309</v>
      </c>
    </row>
    <row r="603" spans="1:5" x14ac:dyDescent="0.25">
      <c r="A603" s="34" t="s">
        <v>12</v>
      </c>
      <c r="B603" t="str">
        <f t="shared" si="10"/>
        <v>02250</v>
      </c>
      <c r="C603" t="s">
        <v>1204</v>
      </c>
      <c r="D603">
        <v>628.70000000000005</v>
      </c>
      <c r="E603" t="s">
        <v>309</v>
      </c>
    </row>
    <row r="604" spans="1:5" x14ac:dyDescent="0.25">
      <c r="A604" s="34" t="s">
        <v>12</v>
      </c>
      <c r="B604" t="str">
        <f t="shared" si="10"/>
        <v>02250</v>
      </c>
      <c r="C604" t="s">
        <v>1207</v>
      </c>
      <c r="D604">
        <v>23.8</v>
      </c>
      <c r="E604" t="s">
        <v>309</v>
      </c>
    </row>
    <row r="605" spans="1:5" x14ac:dyDescent="0.25">
      <c r="A605" s="34" t="s">
        <v>12</v>
      </c>
      <c r="B605" t="str">
        <f t="shared" si="10"/>
        <v>02250</v>
      </c>
      <c r="C605" t="s">
        <v>1208</v>
      </c>
      <c r="D605">
        <v>124.68</v>
      </c>
      <c r="E605" t="s">
        <v>309</v>
      </c>
    </row>
    <row r="606" spans="1:5" x14ac:dyDescent="0.25">
      <c r="A606" s="34" t="s">
        <v>12</v>
      </c>
      <c r="B606" t="str">
        <f t="shared" si="10"/>
        <v>02250</v>
      </c>
      <c r="C606" t="s">
        <v>1210</v>
      </c>
      <c r="D606">
        <v>0</v>
      </c>
      <c r="E606" t="s">
        <v>309</v>
      </c>
    </row>
    <row r="607" spans="1:5" x14ac:dyDescent="0.25">
      <c r="A607" s="34" t="s">
        <v>12</v>
      </c>
      <c r="B607" t="str">
        <f t="shared" si="10"/>
        <v>02250</v>
      </c>
      <c r="C607" t="s">
        <v>1212</v>
      </c>
      <c r="D607">
        <v>0</v>
      </c>
      <c r="E607" t="s">
        <v>309</v>
      </c>
    </row>
    <row r="608" spans="1:5" x14ac:dyDescent="0.25">
      <c r="A608" s="34" t="s">
        <v>12</v>
      </c>
      <c r="B608" t="str">
        <f t="shared" si="10"/>
        <v>02250</v>
      </c>
      <c r="C608" t="s">
        <v>1216</v>
      </c>
      <c r="D608">
        <v>53.6</v>
      </c>
      <c r="E608" t="s">
        <v>309</v>
      </c>
    </row>
    <row r="609" spans="1:5" x14ac:dyDescent="0.25">
      <c r="A609" s="34" t="s">
        <v>12</v>
      </c>
      <c r="B609" t="str">
        <f t="shared" si="10"/>
        <v>02250</v>
      </c>
      <c r="C609" t="s">
        <v>1198</v>
      </c>
      <c r="D609">
        <v>147.82</v>
      </c>
      <c r="E609" t="s">
        <v>309</v>
      </c>
    </row>
    <row r="610" spans="1:5" x14ac:dyDescent="0.25">
      <c r="A610">
        <v>19404</v>
      </c>
      <c r="B610" t="str">
        <f t="shared" si="10"/>
        <v>19404</v>
      </c>
      <c r="C610" t="s">
        <v>1193</v>
      </c>
      <c r="D610">
        <v>0</v>
      </c>
      <c r="E610" t="s">
        <v>423</v>
      </c>
    </row>
    <row r="611" spans="1:5" x14ac:dyDescent="0.25">
      <c r="A611">
        <v>19404</v>
      </c>
      <c r="B611" t="str">
        <f t="shared" si="10"/>
        <v>19404</v>
      </c>
      <c r="C611" t="s">
        <v>1194</v>
      </c>
      <c r="D611">
        <v>216.88</v>
      </c>
      <c r="E611" t="s">
        <v>423</v>
      </c>
    </row>
    <row r="612" spans="1:5" x14ac:dyDescent="0.25">
      <c r="A612">
        <v>19404</v>
      </c>
      <c r="B612" t="str">
        <f t="shared" si="10"/>
        <v>19404</v>
      </c>
      <c r="C612" t="s">
        <v>1195</v>
      </c>
      <c r="D612">
        <v>0</v>
      </c>
      <c r="E612" t="s">
        <v>423</v>
      </c>
    </row>
    <row r="613" spans="1:5" x14ac:dyDescent="0.25">
      <c r="A613">
        <v>19404</v>
      </c>
      <c r="B613" t="str">
        <f t="shared" si="10"/>
        <v>19404</v>
      </c>
      <c r="C613" t="s">
        <v>1197</v>
      </c>
      <c r="D613">
        <v>60.65</v>
      </c>
      <c r="E613" t="s">
        <v>423</v>
      </c>
    </row>
    <row r="614" spans="1:5" x14ac:dyDescent="0.25">
      <c r="A614">
        <v>19404</v>
      </c>
      <c r="B614" t="str">
        <f t="shared" si="10"/>
        <v>19404</v>
      </c>
      <c r="C614" t="s">
        <v>1202</v>
      </c>
      <c r="D614">
        <v>0</v>
      </c>
      <c r="E614" t="s">
        <v>423</v>
      </c>
    </row>
    <row r="615" spans="1:5" x14ac:dyDescent="0.25">
      <c r="A615">
        <v>19404</v>
      </c>
      <c r="B615" t="str">
        <f t="shared" si="10"/>
        <v>19404</v>
      </c>
      <c r="C615" t="s">
        <v>1206</v>
      </c>
      <c r="D615">
        <v>109.12</v>
      </c>
      <c r="E615" t="s">
        <v>423</v>
      </c>
    </row>
    <row r="616" spans="1:5" x14ac:dyDescent="0.25">
      <c r="A616">
        <v>19404</v>
      </c>
      <c r="B616" t="str">
        <f t="shared" si="10"/>
        <v>19404</v>
      </c>
      <c r="C616" t="s">
        <v>1199</v>
      </c>
      <c r="D616">
        <v>0</v>
      </c>
      <c r="E616" t="s">
        <v>423</v>
      </c>
    </row>
    <row r="617" spans="1:5" x14ac:dyDescent="0.25">
      <c r="A617">
        <v>19404</v>
      </c>
      <c r="B617" t="str">
        <f t="shared" si="10"/>
        <v>19404</v>
      </c>
      <c r="C617" t="s">
        <v>1203</v>
      </c>
      <c r="D617">
        <v>144.62</v>
      </c>
      <c r="E617" t="s">
        <v>423</v>
      </c>
    </row>
    <row r="618" spans="1:5" x14ac:dyDescent="0.25">
      <c r="A618">
        <v>19404</v>
      </c>
      <c r="B618" t="str">
        <f t="shared" si="10"/>
        <v>19404</v>
      </c>
      <c r="C618" t="s">
        <v>1200</v>
      </c>
      <c r="D618">
        <v>0</v>
      </c>
      <c r="E618" t="s">
        <v>423</v>
      </c>
    </row>
    <row r="619" spans="1:5" x14ac:dyDescent="0.25">
      <c r="A619">
        <v>19404</v>
      </c>
      <c r="B619" t="str">
        <f t="shared" si="10"/>
        <v>19404</v>
      </c>
      <c r="C619" t="s">
        <v>1204</v>
      </c>
      <c r="D619">
        <v>276.42</v>
      </c>
      <c r="E619" t="s">
        <v>423</v>
      </c>
    </row>
    <row r="620" spans="1:5" x14ac:dyDescent="0.25">
      <c r="A620">
        <v>19404</v>
      </c>
      <c r="B620" t="str">
        <f t="shared" si="10"/>
        <v>19404</v>
      </c>
      <c r="C620" t="s">
        <v>1207</v>
      </c>
      <c r="D620">
        <v>9.57</v>
      </c>
      <c r="E620" t="s">
        <v>423</v>
      </c>
    </row>
    <row r="621" spans="1:5" x14ac:dyDescent="0.25">
      <c r="A621">
        <v>19404</v>
      </c>
      <c r="B621" t="str">
        <f t="shared" si="10"/>
        <v>19404</v>
      </c>
      <c r="C621" t="s">
        <v>1208</v>
      </c>
      <c r="D621">
        <v>74.34</v>
      </c>
      <c r="E621" t="s">
        <v>423</v>
      </c>
    </row>
    <row r="622" spans="1:5" x14ac:dyDescent="0.25">
      <c r="A622">
        <v>19404</v>
      </c>
      <c r="B622" t="str">
        <f t="shared" si="10"/>
        <v>19404</v>
      </c>
      <c r="C622" t="s">
        <v>1210</v>
      </c>
      <c r="D622">
        <v>0</v>
      </c>
      <c r="E622" t="s">
        <v>423</v>
      </c>
    </row>
    <row r="623" spans="1:5" x14ac:dyDescent="0.25">
      <c r="A623">
        <v>19404</v>
      </c>
      <c r="B623" t="str">
        <f t="shared" si="10"/>
        <v>19404</v>
      </c>
      <c r="C623" t="s">
        <v>1212</v>
      </c>
      <c r="D623">
        <v>0</v>
      </c>
      <c r="E623" t="s">
        <v>423</v>
      </c>
    </row>
    <row r="624" spans="1:5" x14ac:dyDescent="0.25">
      <c r="A624">
        <v>19404</v>
      </c>
      <c r="B624" t="str">
        <f t="shared" si="10"/>
        <v>19404</v>
      </c>
      <c r="C624" t="s">
        <v>1216</v>
      </c>
      <c r="D624">
        <v>48</v>
      </c>
      <c r="E624" t="s">
        <v>423</v>
      </c>
    </row>
    <row r="625" spans="1:5" x14ac:dyDescent="0.25">
      <c r="A625">
        <v>19404</v>
      </c>
      <c r="B625" t="str">
        <f t="shared" si="10"/>
        <v>19404</v>
      </c>
      <c r="C625" t="s">
        <v>1198</v>
      </c>
      <c r="D625">
        <v>74.47</v>
      </c>
      <c r="E625" t="s">
        <v>423</v>
      </c>
    </row>
    <row r="626" spans="1:5" x14ac:dyDescent="0.25">
      <c r="A626">
        <v>27400</v>
      </c>
      <c r="B626" t="str">
        <f t="shared" si="10"/>
        <v>27400</v>
      </c>
      <c r="C626" t="s">
        <v>1193</v>
      </c>
      <c r="D626">
        <v>0</v>
      </c>
      <c r="E626" t="s">
        <v>486</v>
      </c>
    </row>
    <row r="627" spans="1:5" x14ac:dyDescent="0.25">
      <c r="A627">
        <v>27400</v>
      </c>
      <c r="B627" t="str">
        <f t="shared" si="10"/>
        <v>27400</v>
      </c>
      <c r="C627" t="s">
        <v>1194</v>
      </c>
      <c r="D627">
        <v>3076.14</v>
      </c>
      <c r="E627" t="s">
        <v>486</v>
      </c>
    </row>
    <row r="628" spans="1:5" x14ac:dyDescent="0.25">
      <c r="A628">
        <v>27400</v>
      </c>
      <c r="B628" t="str">
        <f t="shared" si="10"/>
        <v>27400</v>
      </c>
      <c r="C628" t="s">
        <v>1195</v>
      </c>
      <c r="D628">
        <v>0</v>
      </c>
      <c r="E628" t="s">
        <v>486</v>
      </c>
    </row>
    <row r="629" spans="1:5" x14ac:dyDescent="0.25">
      <c r="A629">
        <v>27400</v>
      </c>
      <c r="B629" t="str">
        <f t="shared" si="10"/>
        <v>27400</v>
      </c>
      <c r="C629" t="s">
        <v>1197</v>
      </c>
      <c r="D629">
        <v>1013.84</v>
      </c>
      <c r="E629" t="s">
        <v>486</v>
      </c>
    </row>
    <row r="630" spans="1:5" x14ac:dyDescent="0.25">
      <c r="A630">
        <v>27400</v>
      </c>
      <c r="B630" t="str">
        <f t="shared" si="10"/>
        <v>27400</v>
      </c>
      <c r="C630" t="s">
        <v>1202</v>
      </c>
      <c r="D630">
        <v>0</v>
      </c>
      <c r="E630" t="s">
        <v>486</v>
      </c>
    </row>
    <row r="631" spans="1:5" x14ac:dyDescent="0.25">
      <c r="A631">
        <v>27400</v>
      </c>
      <c r="B631" t="str">
        <f t="shared" si="10"/>
        <v>27400</v>
      </c>
      <c r="C631" t="s">
        <v>1206</v>
      </c>
      <c r="D631">
        <v>1821.88</v>
      </c>
      <c r="E631" t="s">
        <v>486</v>
      </c>
    </row>
    <row r="632" spans="1:5" x14ac:dyDescent="0.25">
      <c r="A632">
        <v>27400</v>
      </c>
      <c r="B632" t="str">
        <f t="shared" si="10"/>
        <v>27400</v>
      </c>
      <c r="C632" t="s">
        <v>1199</v>
      </c>
      <c r="D632">
        <v>0</v>
      </c>
      <c r="E632" t="s">
        <v>486</v>
      </c>
    </row>
    <row r="633" spans="1:5" x14ac:dyDescent="0.25">
      <c r="A633">
        <v>27400</v>
      </c>
      <c r="B633" t="str">
        <f t="shared" si="10"/>
        <v>27400</v>
      </c>
      <c r="C633" t="s">
        <v>1203</v>
      </c>
      <c r="D633">
        <v>1609.2</v>
      </c>
      <c r="E633" t="s">
        <v>486</v>
      </c>
    </row>
    <row r="634" spans="1:5" x14ac:dyDescent="0.25">
      <c r="A634">
        <v>27400</v>
      </c>
      <c r="B634" t="str">
        <f t="shared" si="10"/>
        <v>27400</v>
      </c>
      <c r="C634" t="s">
        <v>1200</v>
      </c>
      <c r="D634">
        <v>0</v>
      </c>
      <c r="E634" t="s">
        <v>486</v>
      </c>
    </row>
    <row r="635" spans="1:5" x14ac:dyDescent="0.25">
      <c r="A635">
        <v>27400</v>
      </c>
      <c r="B635" t="str">
        <f t="shared" si="10"/>
        <v>27400</v>
      </c>
      <c r="C635" t="s">
        <v>1204</v>
      </c>
      <c r="D635">
        <v>2495.61</v>
      </c>
      <c r="E635" t="s">
        <v>486</v>
      </c>
    </row>
    <row r="636" spans="1:5" x14ac:dyDescent="0.25">
      <c r="A636">
        <v>27400</v>
      </c>
      <c r="B636" t="str">
        <f t="shared" si="10"/>
        <v>27400</v>
      </c>
      <c r="C636" t="s">
        <v>1207</v>
      </c>
      <c r="D636">
        <v>379.34</v>
      </c>
      <c r="E636" t="s">
        <v>486</v>
      </c>
    </row>
    <row r="637" spans="1:5" x14ac:dyDescent="0.25">
      <c r="A637">
        <v>27400</v>
      </c>
      <c r="B637" t="str">
        <f t="shared" si="10"/>
        <v>27400</v>
      </c>
      <c r="C637" t="s">
        <v>1208</v>
      </c>
      <c r="D637">
        <v>605.62</v>
      </c>
      <c r="E637" t="s">
        <v>486</v>
      </c>
    </row>
    <row r="638" spans="1:5" x14ac:dyDescent="0.25">
      <c r="A638">
        <v>27400</v>
      </c>
      <c r="B638" t="str">
        <f t="shared" si="10"/>
        <v>27400</v>
      </c>
      <c r="C638" t="s">
        <v>1210</v>
      </c>
      <c r="D638">
        <v>0</v>
      </c>
      <c r="E638" t="s">
        <v>486</v>
      </c>
    </row>
    <row r="639" spans="1:5" x14ac:dyDescent="0.25">
      <c r="A639">
        <v>27400</v>
      </c>
      <c r="B639" t="str">
        <f t="shared" si="10"/>
        <v>27400</v>
      </c>
      <c r="C639" t="s">
        <v>1212</v>
      </c>
      <c r="D639">
        <v>0</v>
      </c>
      <c r="E639" t="s">
        <v>486</v>
      </c>
    </row>
    <row r="640" spans="1:5" x14ac:dyDescent="0.25">
      <c r="A640">
        <v>27400</v>
      </c>
      <c r="B640" t="str">
        <f t="shared" si="10"/>
        <v>27400</v>
      </c>
      <c r="C640" t="s">
        <v>1216</v>
      </c>
      <c r="D640">
        <v>0</v>
      </c>
      <c r="E640" t="s">
        <v>486</v>
      </c>
    </row>
    <row r="641" spans="1:5" x14ac:dyDescent="0.25">
      <c r="A641">
        <v>27400</v>
      </c>
      <c r="B641" t="str">
        <f t="shared" si="10"/>
        <v>27400</v>
      </c>
      <c r="C641" t="s">
        <v>1198</v>
      </c>
      <c r="D641">
        <v>1066.0999999999999</v>
      </c>
      <c r="E641" t="s">
        <v>486</v>
      </c>
    </row>
    <row r="642" spans="1:5" x14ac:dyDescent="0.25">
      <c r="A642">
        <v>38300</v>
      </c>
      <c r="B642" t="str">
        <f t="shared" si="10"/>
        <v>38300</v>
      </c>
      <c r="C642" t="s">
        <v>1193</v>
      </c>
      <c r="D642">
        <v>0</v>
      </c>
      <c r="E642" t="s">
        <v>576</v>
      </c>
    </row>
    <row r="643" spans="1:5" x14ac:dyDescent="0.25">
      <c r="A643">
        <v>38300</v>
      </c>
      <c r="B643" t="str">
        <f t="shared" ref="B643:B706" si="11">TEXT(A643,"00000")</f>
        <v>38300</v>
      </c>
      <c r="C643" t="s">
        <v>1194</v>
      </c>
      <c r="D643">
        <v>105.8</v>
      </c>
      <c r="E643" t="s">
        <v>576</v>
      </c>
    </row>
    <row r="644" spans="1:5" x14ac:dyDescent="0.25">
      <c r="A644">
        <v>38300</v>
      </c>
      <c r="B644" t="str">
        <f t="shared" si="11"/>
        <v>38300</v>
      </c>
      <c r="C644" t="s">
        <v>1195</v>
      </c>
      <c r="D644">
        <v>0</v>
      </c>
      <c r="E644" t="s">
        <v>576</v>
      </c>
    </row>
    <row r="645" spans="1:5" x14ac:dyDescent="0.25">
      <c r="A645">
        <v>38300</v>
      </c>
      <c r="B645" t="str">
        <f t="shared" si="11"/>
        <v>38300</v>
      </c>
      <c r="C645" t="s">
        <v>1197</v>
      </c>
      <c r="D645">
        <v>38.4</v>
      </c>
      <c r="E645" t="s">
        <v>576</v>
      </c>
    </row>
    <row r="646" spans="1:5" x14ac:dyDescent="0.25">
      <c r="A646">
        <v>38300</v>
      </c>
      <c r="B646" t="str">
        <f t="shared" si="11"/>
        <v>38300</v>
      </c>
      <c r="C646" t="s">
        <v>1202</v>
      </c>
      <c r="D646">
        <v>0</v>
      </c>
      <c r="E646" t="s">
        <v>576</v>
      </c>
    </row>
    <row r="647" spans="1:5" x14ac:dyDescent="0.25">
      <c r="A647">
        <v>38300</v>
      </c>
      <c r="B647" t="str">
        <f t="shared" si="11"/>
        <v>38300</v>
      </c>
      <c r="C647" t="s">
        <v>1206</v>
      </c>
      <c r="D647">
        <v>68.2</v>
      </c>
      <c r="E647" t="s">
        <v>576</v>
      </c>
    </row>
    <row r="648" spans="1:5" x14ac:dyDescent="0.25">
      <c r="A648">
        <v>38300</v>
      </c>
      <c r="B648" t="str">
        <f t="shared" si="11"/>
        <v>38300</v>
      </c>
      <c r="C648" t="s">
        <v>1199</v>
      </c>
      <c r="D648">
        <v>0</v>
      </c>
      <c r="E648" t="s">
        <v>576</v>
      </c>
    </row>
    <row r="649" spans="1:5" x14ac:dyDescent="0.25">
      <c r="A649">
        <v>38300</v>
      </c>
      <c r="B649" t="str">
        <f t="shared" si="11"/>
        <v>38300</v>
      </c>
      <c r="C649" t="s">
        <v>1203</v>
      </c>
      <c r="D649">
        <v>91.6</v>
      </c>
      <c r="E649" t="s">
        <v>576</v>
      </c>
    </row>
    <row r="650" spans="1:5" x14ac:dyDescent="0.25">
      <c r="A650">
        <v>38300</v>
      </c>
      <c r="B650" t="str">
        <f t="shared" si="11"/>
        <v>38300</v>
      </c>
      <c r="C650" t="s">
        <v>1200</v>
      </c>
      <c r="D650">
        <v>0</v>
      </c>
      <c r="E650" t="s">
        <v>576</v>
      </c>
    </row>
    <row r="651" spans="1:5" x14ac:dyDescent="0.25">
      <c r="A651">
        <v>38300</v>
      </c>
      <c r="B651" t="str">
        <f t="shared" si="11"/>
        <v>38300</v>
      </c>
      <c r="C651" t="s">
        <v>1204</v>
      </c>
      <c r="D651">
        <v>168.35</v>
      </c>
      <c r="E651" t="s">
        <v>576</v>
      </c>
    </row>
    <row r="652" spans="1:5" x14ac:dyDescent="0.25">
      <c r="A652">
        <v>38300</v>
      </c>
      <c r="B652" t="str">
        <f t="shared" si="11"/>
        <v>38300</v>
      </c>
      <c r="C652" t="s">
        <v>1207</v>
      </c>
      <c r="D652">
        <v>9.73</v>
      </c>
      <c r="E652" t="s">
        <v>576</v>
      </c>
    </row>
    <row r="653" spans="1:5" x14ac:dyDescent="0.25">
      <c r="A653">
        <v>38300</v>
      </c>
      <c r="B653" t="str">
        <f t="shared" si="11"/>
        <v>38300</v>
      </c>
      <c r="C653" t="s">
        <v>1208</v>
      </c>
      <c r="D653">
        <v>42.67</v>
      </c>
      <c r="E653" t="s">
        <v>576</v>
      </c>
    </row>
    <row r="654" spans="1:5" x14ac:dyDescent="0.25">
      <c r="A654">
        <v>38300</v>
      </c>
      <c r="B654" t="str">
        <f t="shared" si="11"/>
        <v>38300</v>
      </c>
      <c r="C654" t="s">
        <v>1210</v>
      </c>
      <c r="D654">
        <v>0</v>
      </c>
      <c r="E654" t="s">
        <v>576</v>
      </c>
    </row>
    <row r="655" spans="1:5" x14ac:dyDescent="0.25">
      <c r="A655">
        <v>38300</v>
      </c>
      <c r="B655" t="str">
        <f t="shared" si="11"/>
        <v>38300</v>
      </c>
      <c r="C655" t="s">
        <v>1212</v>
      </c>
      <c r="D655">
        <v>0</v>
      </c>
      <c r="E655" t="s">
        <v>576</v>
      </c>
    </row>
    <row r="656" spans="1:5" x14ac:dyDescent="0.25">
      <c r="A656">
        <v>38300</v>
      </c>
      <c r="B656" t="str">
        <f t="shared" si="11"/>
        <v>38300</v>
      </c>
      <c r="C656" t="s">
        <v>1216</v>
      </c>
      <c r="D656">
        <v>15.8</v>
      </c>
      <c r="E656" t="s">
        <v>576</v>
      </c>
    </row>
    <row r="657" spans="1:5" x14ac:dyDescent="0.25">
      <c r="A657">
        <v>38300</v>
      </c>
      <c r="B657" t="str">
        <f t="shared" si="11"/>
        <v>38300</v>
      </c>
      <c r="C657" t="s">
        <v>1198</v>
      </c>
      <c r="D657">
        <v>40</v>
      </c>
      <c r="E657" t="s">
        <v>576</v>
      </c>
    </row>
    <row r="658" spans="1:5" x14ac:dyDescent="0.25">
      <c r="A658">
        <v>36250</v>
      </c>
      <c r="B658" t="str">
        <f t="shared" si="11"/>
        <v>36250</v>
      </c>
      <c r="C658" t="s">
        <v>1193</v>
      </c>
      <c r="D658">
        <v>0</v>
      </c>
      <c r="E658" t="s">
        <v>559</v>
      </c>
    </row>
    <row r="659" spans="1:5" x14ac:dyDescent="0.25">
      <c r="A659">
        <v>36250</v>
      </c>
      <c r="B659" t="str">
        <f t="shared" si="11"/>
        <v>36250</v>
      </c>
      <c r="C659" t="s">
        <v>1194</v>
      </c>
      <c r="D659">
        <v>300.67</v>
      </c>
      <c r="E659" t="s">
        <v>559</v>
      </c>
    </row>
    <row r="660" spans="1:5" x14ac:dyDescent="0.25">
      <c r="A660">
        <v>36250</v>
      </c>
      <c r="B660" t="str">
        <f t="shared" si="11"/>
        <v>36250</v>
      </c>
      <c r="C660" t="s">
        <v>1195</v>
      </c>
      <c r="D660">
        <v>0</v>
      </c>
      <c r="E660" t="s">
        <v>559</v>
      </c>
    </row>
    <row r="661" spans="1:5" x14ac:dyDescent="0.25">
      <c r="A661">
        <v>36250</v>
      </c>
      <c r="B661" t="str">
        <f t="shared" si="11"/>
        <v>36250</v>
      </c>
      <c r="C661" t="s">
        <v>1197</v>
      </c>
      <c r="D661">
        <v>116.01</v>
      </c>
      <c r="E661" t="s">
        <v>559</v>
      </c>
    </row>
    <row r="662" spans="1:5" x14ac:dyDescent="0.25">
      <c r="A662">
        <v>36250</v>
      </c>
      <c r="B662" t="str">
        <f t="shared" si="11"/>
        <v>36250</v>
      </c>
      <c r="C662" t="s">
        <v>1202</v>
      </c>
      <c r="D662">
        <v>0</v>
      </c>
      <c r="E662" t="s">
        <v>559</v>
      </c>
    </row>
    <row r="663" spans="1:5" x14ac:dyDescent="0.25">
      <c r="A663">
        <v>36250</v>
      </c>
      <c r="B663" t="str">
        <f t="shared" si="11"/>
        <v>36250</v>
      </c>
      <c r="C663" t="s">
        <v>1206</v>
      </c>
      <c r="D663">
        <v>235.02</v>
      </c>
      <c r="E663" t="s">
        <v>559</v>
      </c>
    </row>
    <row r="664" spans="1:5" x14ac:dyDescent="0.25">
      <c r="A664">
        <v>36250</v>
      </c>
      <c r="B664" t="str">
        <f t="shared" si="11"/>
        <v>36250</v>
      </c>
      <c r="C664" t="s">
        <v>1199</v>
      </c>
      <c r="D664">
        <v>0</v>
      </c>
      <c r="E664" t="s">
        <v>559</v>
      </c>
    </row>
    <row r="665" spans="1:5" x14ac:dyDescent="0.25">
      <c r="A665">
        <v>36250</v>
      </c>
      <c r="B665" t="str">
        <f t="shared" si="11"/>
        <v>36250</v>
      </c>
      <c r="C665" t="s">
        <v>1203</v>
      </c>
      <c r="D665">
        <v>230.4</v>
      </c>
      <c r="E665" t="s">
        <v>559</v>
      </c>
    </row>
    <row r="666" spans="1:5" x14ac:dyDescent="0.25">
      <c r="A666">
        <v>36250</v>
      </c>
      <c r="B666" t="str">
        <f t="shared" si="11"/>
        <v>36250</v>
      </c>
      <c r="C666" t="s">
        <v>1200</v>
      </c>
      <c r="D666">
        <v>0</v>
      </c>
      <c r="E666" t="s">
        <v>559</v>
      </c>
    </row>
    <row r="667" spans="1:5" x14ac:dyDescent="0.25">
      <c r="A667">
        <v>36250</v>
      </c>
      <c r="B667" t="str">
        <f t="shared" si="11"/>
        <v>36250</v>
      </c>
      <c r="C667" t="s">
        <v>1204</v>
      </c>
      <c r="D667">
        <v>427.78</v>
      </c>
      <c r="E667" t="s">
        <v>559</v>
      </c>
    </row>
    <row r="668" spans="1:5" x14ac:dyDescent="0.25">
      <c r="A668">
        <v>36250</v>
      </c>
      <c r="B668" t="str">
        <f t="shared" si="11"/>
        <v>36250</v>
      </c>
      <c r="C668" t="s">
        <v>1207</v>
      </c>
      <c r="D668">
        <v>13.94</v>
      </c>
      <c r="E668" t="s">
        <v>559</v>
      </c>
    </row>
    <row r="669" spans="1:5" x14ac:dyDescent="0.25">
      <c r="A669">
        <v>36250</v>
      </c>
      <c r="B669" t="str">
        <f t="shared" si="11"/>
        <v>36250</v>
      </c>
      <c r="C669" t="s">
        <v>1208</v>
      </c>
      <c r="D669">
        <v>145.22</v>
      </c>
      <c r="E669" t="s">
        <v>559</v>
      </c>
    </row>
    <row r="670" spans="1:5" x14ac:dyDescent="0.25">
      <c r="A670">
        <v>36250</v>
      </c>
      <c r="B670" t="str">
        <f t="shared" si="11"/>
        <v>36250</v>
      </c>
      <c r="C670" t="s">
        <v>1210</v>
      </c>
      <c r="D670">
        <v>0</v>
      </c>
      <c r="E670" t="s">
        <v>559</v>
      </c>
    </row>
    <row r="671" spans="1:5" x14ac:dyDescent="0.25">
      <c r="A671">
        <v>36250</v>
      </c>
      <c r="B671" t="str">
        <f t="shared" si="11"/>
        <v>36250</v>
      </c>
      <c r="C671" t="s">
        <v>1212</v>
      </c>
      <c r="D671">
        <v>0</v>
      </c>
      <c r="E671" t="s">
        <v>559</v>
      </c>
    </row>
    <row r="672" spans="1:5" x14ac:dyDescent="0.25">
      <c r="A672">
        <v>36250</v>
      </c>
      <c r="B672" t="str">
        <f t="shared" si="11"/>
        <v>36250</v>
      </c>
      <c r="C672" t="s">
        <v>1216</v>
      </c>
      <c r="D672">
        <v>15.6</v>
      </c>
      <c r="E672" t="s">
        <v>559</v>
      </c>
    </row>
    <row r="673" spans="1:5" x14ac:dyDescent="0.25">
      <c r="A673">
        <v>36250</v>
      </c>
      <c r="B673" t="str">
        <f t="shared" si="11"/>
        <v>36250</v>
      </c>
      <c r="C673" t="s">
        <v>1198</v>
      </c>
      <c r="D673">
        <v>97.8</v>
      </c>
      <c r="E673" t="s">
        <v>559</v>
      </c>
    </row>
    <row r="674" spans="1:5" x14ac:dyDescent="0.25">
      <c r="A674">
        <v>38306</v>
      </c>
      <c r="B674" t="str">
        <f t="shared" si="11"/>
        <v>38306</v>
      </c>
      <c r="C674" t="s">
        <v>1193</v>
      </c>
      <c r="D674">
        <v>0</v>
      </c>
      <c r="E674" t="s">
        <v>580</v>
      </c>
    </row>
    <row r="675" spans="1:5" x14ac:dyDescent="0.25">
      <c r="A675">
        <v>38306</v>
      </c>
      <c r="B675" t="str">
        <f t="shared" si="11"/>
        <v>38306</v>
      </c>
      <c r="C675" t="s">
        <v>1194</v>
      </c>
      <c r="D675">
        <v>36</v>
      </c>
      <c r="E675" t="s">
        <v>580</v>
      </c>
    </row>
    <row r="676" spans="1:5" x14ac:dyDescent="0.25">
      <c r="A676">
        <v>38306</v>
      </c>
      <c r="B676" t="str">
        <f t="shared" si="11"/>
        <v>38306</v>
      </c>
      <c r="C676" t="s">
        <v>1195</v>
      </c>
      <c r="D676">
        <v>0</v>
      </c>
      <c r="E676" t="s">
        <v>580</v>
      </c>
    </row>
    <row r="677" spans="1:5" x14ac:dyDescent="0.25">
      <c r="A677">
        <v>38306</v>
      </c>
      <c r="B677" t="str">
        <f t="shared" si="11"/>
        <v>38306</v>
      </c>
      <c r="C677" t="s">
        <v>1197</v>
      </c>
      <c r="D677">
        <v>11</v>
      </c>
      <c r="E677" t="s">
        <v>580</v>
      </c>
    </row>
    <row r="678" spans="1:5" x14ac:dyDescent="0.25">
      <c r="A678">
        <v>38306</v>
      </c>
      <c r="B678" t="str">
        <f t="shared" si="11"/>
        <v>38306</v>
      </c>
      <c r="C678" t="s">
        <v>1202</v>
      </c>
      <c r="D678">
        <v>0</v>
      </c>
      <c r="E678" t="s">
        <v>580</v>
      </c>
    </row>
    <row r="679" spans="1:5" x14ac:dyDescent="0.25">
      <c r="A679">
        <v>38306</v>
      </c>
      <c r="B679" t="str">
        <f t="shared" si="11"/>
        <v>38306</v>
      </c>
      <c r="C679" t="s">
        <v>1206</v>
      </c>
      <c r="D679">
        <v>26</v>
      </c>
      <c r="E679" t="s">
        <v>580</v>
      </c>
    </row>
    <row r="680" spans="1:5" x14ac:dyDescent="0.25">
      <c r="A680">
        <v>38306</v>
      </c>
      <c r="B680" t="str">
        <f t="shared" si="11"/>
        <v>38306</v>
      </c>
      <c r="C680" t="s">
        <v>1199</v>
      </c>
      <c r="D680">
        <v>0</v>
      </c>
      <c r="E680" t="s">
        <v>580</v>
      </c>
    </row>
    <row r="681" spans="1:5" x14ac:dyDescent="0.25">
      <c r="A681">
        <v>38306</v>
      </c>
      <c r="B681" t="str">
        <f t="shared" si="11"/>
        <v>38306</v>
      </c>
      <c r="C681" t="s">
        <v>1203</v>
      </c>
      <c r="D681">
        <v>22.6</v>
      </c>
      <c r="E681" t="s">
        <v>580</v>
      </c>
    </row>
    <row r="682" spans="1:5" x14ac:dyDescent="0.25">
      <c r="A682">
        <v>38306</v>
      </c>
      <c r="B682" t="str">
        <f t="shared" si="11"/>
        <v>38306</v>
      </c>
      <c r="C682" t="s">
        <v>1200</v>
      </c>
      <c r="D682">
        <v>0</v>
      </c>
      <c r="E682" t="s">
        <v>580</v>
      </c>
    </row>
    <row r="683" spans="1:5" x14ac:dyDescent="0.25">
      <c r="A683">
        <v>38306</v>
      </c>
      <c r="B683" t="str">
        <f t="shared" si="11"/>
        <v>38306</v>
      </c>
      <c r="C683" t="s">
        <v>1204</v>
      </c>
      <c r="D683">
        <v>28.3</v>
      </c>
      <c r="E683" t="s">
        <v>580</v>
      </c>
    </row>
    <row r="684" spans="1:5" x14ac:dyDescent="0.25">
      <c r="A684">
        <v>38306</v>
      </c>
      <c r="B684" t="str">
        <f t="shared" si="11"/>
        <v>38306</v>
      </c>
      <c r="C684" t="s">
        <v>1207</v>
      </c>
      <c r="D684">
        <v>1.08</v>
      </c>
      <c r="E684" t="s">
        <v>580</v>
      </c>
    </row>
    <row r="685" spans="1:5" x14ac:dyDescent="0.25">
      <c r="A685">
        <v>38306</v>
      </c>
      <c r="B685" t="str">
        <f t="shared" si="11"/>
        <v>38306</v>
      </c>
      <c r="C685" t="s">
        <v>1208</v>
      </c>
      <c r="D685">
        <v>4.92</v>
      </c>
      <c r="E685" t="s">
        <v>580</v>
      </c>
    </row>
    <row r="686" spans="1:5" x14ac:dyDescent="0.25">
      <c r="A686">
        <v>38306</v>
      </c>
      <c r="B686" t="str">
        <f t="shared" si="11"/>
        <v>38306</v>
      </c>
      <c r="C686" t="s">
        <v>1210</v>
      </c>
      <c r="D686">
        <v>0</v>
      </c>
      <c r="E686" t="s">
        <v>580</v>
      </c>
    </row>
    <row r="687" spans="1:5" x14ac:dyDescent="0.25">
      <c r="A687">
        <v>38306</v>
      </c>
      <c r="B687" t="str">
        <f t="shared" si="11"/>
        <v>38306</v>
      </c>
      <c r="C687" t="s">
        <v>1212</v>
      </c>
      <c r="D687">
        <v>0</v>
      </c>
      <c r="E687" t="s">
        <v>580</v>
      </c>
    </row>
    <row r="688" spans="1:5" x14ac:dyDescent="0.25">
      <c r="A688">
        <v>38306</v>
      </c>
      <c r="B688" t="str">
        <f t="shared" si="11"/>
        <v>38306</v>
      </c>
      <c r="C688" t="s">
        <v>1216</v>
      </c>
      <c r="D688">
        <v>12</v>
      </c>
      <c r="E688" t="s">
        <v>580</v>
      </c>
    </row>
    <row r="689" spans="1:5" x14ac:dyDescent="0.25">
      <c r="A689">
        <v>38306</v>
      </c>
      <c r="B689" t="str">
        <f t="shared" si="11"/>
        <v>38306</v>
      </c>
      <c r="C689" t="s">
        <v>1198</v>
      </c>
      <c r="D689">
        <v>15</v>
      </c>
      <c r="E689" t="s">
        <v>580</v>
      </c>
    </row>
    <row r="690" spans="1:5" x14ac:dyDescent="0.25">
      <c r="A690">
        <v>33206</v>
      </c>
      <c r="B690" t="str">
        <f t="shared" si="11"/>
        <v>33206</v>
      </c>
      <c r="C690" t="s">
        <v>1193</v>
      </c>
      <c r="D690">
        <v>0</v>
      </c>
      <c r="E690" t="s">
        <v>544</v>
      </c>
    </row>
    <row r="691" spans="1:5" x14ac:dyDescent="0.25">
      <c r="A691">
        <v>33206</v>
      </c>
      <c r="B691" t="str">
        <f t="shared" si="11"/>
        <v>33206</v>
      </c>
      <c r="C691" t="s">
        <v>1194</v>
      </c>
      <c r="D691">
        <v>18.600000000000001</v>
      </c>
      <c r="E691" t="s">
        <v>544</v>
      </c>
    </row>
    <row r="692" spans="1:5" x14ac:dyDescent="0.25">
      <c r="A692">
        <v>33206</v>
      </c>
      <c r="B692" t="str">
        <f t="shared" si="11"/>
        <v>33206</v>
      </c>
      <c r="C692" t="s">
        <v>1195</v>
      </c>
      <c r="D692">
        <v>0</v>
      </c>
      <c r="E692" t="s">
        <v>544</v>
      </c>
    </row>
    <row r="693" spans="1:5" x14ac:dyDescent="0.25">
      <c r="A693">
        <v>33206</v>
      </c>
      <c r="B693" t="str">
        <f t="shared" si="11"/>
        <v>33206</v>
      </c>
      <c r="C693" t="s">
        <v>1197</v>
      </c>
      <c r="D693">
        <v>9.16</v>
      </c>
      <c r="E693" t="s">
        <v>544</v>
      </c>
    </row>
    <row r="694" spans="1:5" x14ac:dyDescent="0.25">
      <c r="A694">
        <v>33206</v>
      </c>
      <c r="B694" t="str">
        <f t="shared" si="11"/>
        <v>33206</v>
      </c>
      <c r="C694" t="s">
        <v>1202</v>
      </c>
      <c r="D694">
        <v>0</v>
      </c>
      <c r="E694" t="s">
        <v>544</v>
      </c>
    </row>
    <row r="695" spans="1:5" x14ac:dyDescent="0.25">
      <c r="A695">
        <v>33206</v>
      </c>
      <c r="B695" t="str">
        <f t="shared" si="11"/>
        <v>33206</v>
      </c>
      <c r="C695" t="s">
        <v>1206</v>
      </c>
      <c r="D695">
        <v>15.96</v>
      </c>
      <c r="E695" t="s">
        <v>544</v>
      </c>
    </row>
    <row r="696" spans="1:5" x14ac:dyDescent="0.25">
      <c r="A696">
        <v>33206</v>
      </c>
      <c r="B696" t="str">
        <f t="shared" si="11"/>
        <v>33206</v>
      </c>
      <c r="C696" t="s">
        <v>1199</v>
      </c>
      <c r="D696">
        <v>0</v>
      </c>
      <c r="E696" t="s">
        <v>544</v>
      </c>
    </row>
    <row r="697" spans="1:5" x14ac:dyDescent="0.25">
      <c r="A697">
        <v>33206</v>
      </c>
      <c r="B697" t="str">
        <f t="shared" si="11"/>
        <v>33206</v>
      </c>
      <c r="C697" t="s">
        <v>1203</v>
      </c>
      <c r="D697">
        <v>19.2</v>
      </c>
      <c r="E697" t="s">
        <v>544</v>
      </c>
    </row>
    <row r="698" spans="1:5" x14ac:dyDescent="0.25">
      <c r="A698">
        <v>33206</v>
      </c>
      <c r="B698" t="str">
        <f t="shared" si="11"/>
        <v>33206</v>
      </c>
      <c r="C698" t="s">
        <v>1200</v>
      </c>
      <c r="D698">
        <v>0</v>
      </c>
      <c r="E698" t="s">
        <v>544</v>
      </c>
    </row>
    <row r="699" spans="1:5" x14ac:dyDescent="0.25">
      <c r="A699">
        <v>33206</v>
      </c>
      <c r="B699" t="str">
        <f t="shared" si="11"/>
        <v>33206</v>
      </c>
      <c r="C699" t="s">
        <v>1204</v>
      </c>
      <c r="D699">
        <v>31.71</v>
      </c>
      <c r="E699" t="s">
        <v>544</v>
      </c>
    </row>
    <row r="700" spans="1:5" x14ac:dyDescent="0.25">
      <c r="A700">
        <v>33206</v>
      </c>
      <c r="B700" t="str">
        <f t="shared" si="11"/>
        <v>33206</v>
      </c>
      <c r="C700" t="s">
        <v>1207</v>
      </c>
      <c r="D700">
        <v>0.99</v>
      </c>
      <c r="E700" t="s">
        <v>544</v>
      </c>
    </row>
    <row r="701" spans="1:5" x14ac:dyDescent="0.25">
      <c r="A701">
        <v>33206</v>
      </c>
      <c r="B701" t="str">
        <f t="shared" si="11"/>
        <v>33206</v>
      </c>
      <c r="C701" t="s">
        <v>1208</v>
      </c>
      <c r="D701">
        <v>7.03</v>
      </c>
      <c r="E701" t="s">
        <v>544</v>
      </c>
    </row>
    <row r="702" spans="1:5" x14ac:dyDescent="0.25">
      <c r="A702">
        <v>33206</v>
      </c>
      <c r="B702" t="str">
        <f t="shared" si="11"/>
        <v>33206</v>
      </c>
      <c r="C702" t="s">
        <v>1210</v>
      </c>
      <c r="D702">
        <v>0</v>
      </c>
      <c r="E702" t="s">
        <v>544</v>
      </c>
    </row>
    <row r="703" spans="1:5" x14ac:dyDescent="0.25">
      <c r="A703">
        <v>33206</v>
      </c>
      <c r="B703" t="str">
        <f t="shared" si="11"/>
        <v>33206</v>
      </c>
      <c r="C703" t="s">
        <v>1212</v>
      </c>
      <c r="D703">
        <v>0</v>
      </c>
      <c r="E703" t="s">
        <v>544</v>
      </c>
    </row>
    <row r="704" spans="1:5" x14ac:dyDescent="0.25">
      <c r="A704">
        <v>33206</v>
      </c>
      <c r="B704" t="str">
        <f t="shared" si="11"/>
        <v>33206</v>
      </c>
      <c r="C704" t="s">
        <v>1216</v>
      </c>
      <c r="D704">
        <v>8.4</v>
      </c>
      <c r="E704" t="s">
        <v>544</v>
      </c>
    </row>
    <row r="705" spans="1:5" x14ac:dyDescent="0.25">
      <c r="A705">
        <v>33206</v>
      </c>
      <c r="B705" t="str">
        <f t="shared" si="11"/>
        <v>33206</v>
      </c>
      <c r="C705" t="s">
        <v>1198</v>
      </c>
      <c r="D705">
        <v>6.4</v>
      </c>
      <c r="E705" t="s">
        <v>544</v>
      </c>
    </row>
    <row r="706" spans="1:5" x14ac:dyDescent="0.25">
      <c r="A706">
        <v>36400</v>
      </c>
      <c r="B706" t="str">
        <f t="shared" si="11"/>
        <v>36400</v>
      </c>
      <c r="C706" t="s">
        <v>1193</v>
      </c>
      <c r="D706">
        <v>0</v>
      </c>
      <c r="E706" t="s">
        <v>561</v>
      </c>
    </row>
    <row r="707" spans="1:5" x14ac:dyDescent="0.25">
      <c r="A707">
        <v>36400</v>
      </c>
      <c r="B707" t="str">
        <f t="shared" ref="B707:B770" si="12">TEXT(A707,"00000")</f>
        <v>36400</v>
      </c>
      <c r="C707" t="s">
        <v>1194</v>
      </c>
      <c r="D707">
        <v>202.4</v>
      </c>
      <c r="E707" t="s">
        <v>561</v>
      </c>
    </row>
    <row r="708" spans="1:5" x14ac:dyDescent="0.25">
      <c r="A708">
        <v>36400</v>
      </c>
      <c r="B708" t="str">
        <f t="shared" si="12"/>
        <v>36400</v>
      </c>
      <c r="C708" t="s">
        <v>1195</v>
      </c>
      <c r="D708">
        <v>0</v>
      </c>
      <c r="E708" t="s">
        <v>561</v>
      </c>
    </row>
    <row r="709" spans="1:5" x14ac:dyDescent="0.25">
      <c r="A709">
        <v>36400</v>
      </c>
      <c r="B709" t="str">
        <f t="shared" si="12"/>
        <v>36400</v>
      </c>
      <c r="C709" t="s">
        <v>1197</v>
      </c>
      <c r="D709">
        <v>51.8</v>
      </c>
      <c r="E709" t="s">
        <v>561</v>
      </c>
    </row>
    <row r="710" spans="1:5" x14ac:dyDescent="0.25">
      <c r="A710">
        <v>36400</v>
      </c>
      <c r="B710" t="str">
        <f t="shared" si="12"/>
        <v>36400</v>
      </c>
      <c r="C710" t="s">
        <v>1202</v>
      </c>
      <c r="D710">
        <v>0</v>
      </c>
      <c r="E710" t="s">
        <v>561</v>
      </c>
    </row>
    <row r="711" spans="1:5" x14ac:dyDescent="0.25">
      <c r="A711">
        <v>36400</v>
      </c>
      <c r="B711" t="str">
        <f t="shared" si="12"/>
        <v>36400</v>
      </c>
      <c r="C711" t="s">
        <v>1206</v>
      </c>
      <c r="D711">
        <v>112.62</v>
      </c>
      <c r="E711" t="s">
        <v>561</v>
      </c>
    </row>
    <row r="712" spans="1:5" x14ac:dyDescent="0.25">
      <c r="A712">
        <v>36400</v>
      </c>
      <c r="B712" t="str">
        <f t="shared" si="12"/>
        <v>36400</v>
      </c>
      <c r="C712" t="s">
        <v>1199</v>
      </c>
      <c r="D712">
        <v>0</v>
      </c>
      <c r="E712" t="s">
        <v>561</v>
      </c>
    </row>
    <row r="713" spans="1:5" x14ac:dyDescent="0.25">
      <c r="A713">
        <v>36400</v>
      </c>
      <c r="B713" t="str">
        <f t="shared" si="12"/>
        <v>36400</v>
      </c>
      <c r="C713" t="s">
        <v>1203</v>
      </c>
      <c r="D713">
        <v>118.2</v>
      </c>
      <c r="E713" t="s">
        <v>561</v>
      </c>
    </row>
    <row r="714" spans="1:5" x14ac:dyDescent="0.25">
      <c r="A714">
        <v>36400</v>
      </c>
      <c r="B714" t="str">
        <f t="shared" si="12"/>
        <v>36400</v>
      </c>
      <c r="C714" t="s">
        <v>1200</v>
      </c>
      <c r="D714">
        <v>0</v>
      </c>
      <c r="E714" t="s">
        <v>561</v>
      </c>
    </row>
    <row r="715" spans="1:5" x14ac:dyDescent="0.25">
      <c r="A715">
        <v>36400</v>
      </c>
      <c r="B715" t="str">
        <f t="shared" si="12"/>
        <v>36400</v>
      </c>
      <c r="C715" t="s">
        <v>1204</v>
      </c>
      <c r="D715">
        <v>201.06</v>
      </c>
      <c r="E715" t="s">
        <v>561</v>
      </c>
    </row>
    <row r="716" spans="1:5" x14ac:dyDescent="0.25">
      <c r="A716">
        <v>36400</v>
      </c>
      <c r="B716" t="str">
        <f t="shared" si="12"/>
        <v>36400</v>
      </c>
      <c r="C716" t="s">
        <v>1207</v>
      </c>
      <c r="D716">
        <v>0</v>
      </c>
      <c r="E716" t="s">
        <v>561</v>
      </c>
    </row>
    <row r="717" spans="1:5" x14ac:dyDescent="0.25">
      <c r="A717">
        <v>36400</v>
      </c>
      <c r="B717" t="str">
        <f t="shared" si="12"/>
        <v>36400</v>
      </c>
      <c r="C717" t="s">
        <v>1208</v>
      </c>
      <c r="D717">
        <v>59.23</v>
      </c>
      <c r="E717" t="s">
        <v>561</v>
      </c>
    </row>
    <row r="718" spans="1:5" x14ac:dyDescent="0.25">
      <c r="A718">
        <v>36400</v>
      </c>
      <c r="B718" t="str">
        <f t="shared" si="12"/>
        <v>36400</v>
      </c>
      <c r="C718" t="s">
        <v>1210</v>
      </c>
      <c r="D718">
        <v>0</v>
      </c>
      <c r="E718" t="s">
        <v>561</v>
      </c>
    </row>
    <row r="719" spans="1:5" x14ac:dyDescent="0.25">
      <c r="A719">
        <v>36400</v>
      </c>
      <c r="B719" t="str">
        <f t="shared" si="12"/>
        <v>36400</v>
      </c>
      <c r="C719" t="s">
        <v>1212</v>
      </c>
      <c r="D719">
        <v>0</v>
      </c>
      <c r="E719" t="s">
        <v>561</v>
      </c>
    </row>
    <row r="720" spans="1:5" x14ac:dyDescent="0.25">
      <c r="A720">
        <v>36400</v>
      </c>
      <c r="B720" t="str">
        <f t="shared" si="12"/>
        <v>36400</v>
      </c>
      <c r="C720" t="s">
        <v>1216</v>
      </c>
      <c r="D720">
        <v>16.2</v>
      </c>
      <c r="E720" t="s">
        <v>561</v>
      </c>
    </row>
    <row r="721" spans="1:5" x14ac:dyDescent="0.25">
      <c r="A721">
        <v>36400</v>
      </c>
      <c r="B721" t="str">
        <f t="shared" si="12"/>
        <v>36400</v>
      </c>
      <c r="C721" t="s">
        <v>1198</v>
      </c>
      <c r="D721">
        <v>43.4</v>
      </c>
      <c r="E721" t="s">
        <v>561</v>
      </c>
    </row>
    <row r="722" spans="1:5" x14ac:dyDescent="0.25">
      <c r="A722">
        <v>33115</v>
      </c>
      <c r="B722" t="str">
        <f t="shared" si="12"/>
        <v>33115</v>
      </c>
      <c r="C722" t="s">
        <v>1193</v>
      </c>
      <c r="D722">
        <v>0</v>
      </c>
      <c r="E722" t="s">
        <v>540</v>
      </c>
    </row>
    <row r="723" spans="1:5" x14ac:dyDescent="0.25">
      <c r="A723">
        <v>33115</v>
      </c>
      <c r="B723" t="str">
        <f t="shared" si="12"/>
        <v>33115</v>
      </c>
      <c r="C723" t="s">
        <v>1194</v>
      </c>
      <c r="D723">
        <v>355.28</v>
      </c>
      <c r="E723" t="s">
        <v>540</v>
      </c>
    </row>
    <row r="724" spans="1:5" x14ac:dyDescent="0.25">
      <c r="A724">
        <v>33115</v>
      </c>
      <c r="B724" t="str">
        <f t="shared" si="12"/>
        <v>33115</v>
      </c>
      <c r="C724" t="s">
        <v>1195</v>
      </c>
      <c r="D724">
        <v>0</v>
      </c>
      <c r="E724" t="s">
        <v>540</v>
      </c>
    </row>
    <row r="725" spans="1:5" x14ac:dyDescent="0.25">
      <c r="A725">
        <v>33115</v>
      </c>
      <c r="B725" t="str">
        <f t="shared" si="12"/>
        <v>33115</v>
      </c>
      <c r="C725" t="s">
        <v>1197</v>
      </c>
      <c r="D725">
        <v>114.8</v>
      </c>
      <c r="E725" t="s">
        <v>540</v>
      </c>
    </row>
    <row r="726" spans="1:5" x14ac:dyDescent="0.25">
      <c r="A726">
        <v>33115</v>
      </c>
      <c r="B726" t="str">
        <f t="shared" si="12"/>
        <v>33115</v>
      </c>
      <c r="C726" t="s">
        <v>1202</v>
      </c>
      <c r="D726">
        <v>0</v>
      </c>
      <c r="E726" t="s">
        <v>540</v>
      </c>
    </row>
    <row r="727" spans="1:5" x14ac:dyDescent="0.25">
      <c r="A727">
        <v>33115</v>
      </c>
      <c r="B727" t="str">
        <f t="shared" si="12"/>
        <v>33115</v>
      </c>
      <c r="C727" t="s">
        <v>1206</v>
      </c>
      <c r="D727">
        <v>243.78</v>
      </c>
      <c r="E727" t="s">
        <v>540</v>
      </c>
    </row>
    <row r="728" spans="1:5" x14ac:dyDescent="0.25">
      <c r="A728">
        <v>33115</v>
      </c>
      <c r="B728" t="str">
        <f t="shared" si="12"/>
        <v>33115</v>
      </c>
      <c r="C728" t="s">
        <v>1199</v>
      </c>
      <c r="D728">
        <v>0</v>
      </c>
      <c r="E728" t="s">
        <v>540</v>
      </c>
    </row>
    <row r="729" spans="1:5" x14ac:dyDescent="0.25">
      <c r="A729">
        <v>33115</v>
      </c>
      <c r="B729" t="str">
        <f t="shared" si="12"/>
        <v>33115</v>
      </c>
      <c r="C729" t="s">
        <v>1203</v>
      </c>
      <c r="D729">
        <v>264.82</v>
      </c>
      <c r="E729" t="s">
        <v>540</v>
      </c>
    </row>
    <row r="730" spans="1:5" x14ac:dyDescent="0.25">
      <c r="A730">
        <v>33115</v>
      </c>
      <c r="B730" t="str">
        <f t="shared" si="12"/>
        <v>33115</v>
      </c>
      <c r="C730" t="s">
        <v>1200</v>
      </c>
      <c r="D730">
        <v>0</v>
      </c>
      <c r="E730" t="s">
        <v>540</v>
      </c>
    </row>
    <row r="731" spans="1:5" x14ac:dyDescent="0.25">
      <c r="A731">
        <v>33115</v>
      </c>
      <c r="B731" t="str">
        <f t="shared" si="12"/>
        <v>33115</v>
      </c>
      <c r="C731" t="s">
        <v>1204</v>
      </c>
      <c r="D731">
        <v>485.72</v>
      </c>
      <c r="E731" t="s">
        <v>540</v>
      </c>
    </row>
    <row r="732" spans="1:5" x14ac:dyDescent="0.25">
      <c r="A732">
        <v>33115</v>
      </c>
      <c r="B732" t="str">
        <f t="shared" si="12"/>
        <v>33115</v>
      </c>
      <c r="C732" t="s">
        <v>1207</v>
      </c>
      <c r="D732">
        <v>29.18</v>
      </c>
      <c r="E732" t="s">
        <v>540</v>
      </c>
    </row>
    <row r="733" spans="1:5" x14ac:dyDescent="0.25">
      <c r="A733">
        <v>33115</v>
      </c>
      <c r="B733" t="str">
        <f t="shared" si="12"/>
        <v>33115</v>
      </c>
      <c r="C733" t="s">
        <v>1208</v>
      </c>
      <c r="D733">
        <v>111.74</v>
      </c>
      <c r="E733" t="s">
        <v>540</v>
      </c>
    </row>
    <row r="734" spans="1:5" x14ac:dyDescent="0.25">
      <c r="A734">
        <v>33115</v>
      </c>
      <c r="B734" t="str">
        <f t="shared" si="12"/>
        <v>33115</v>
      </c>
      <c r="C734" t="s">
        <v>1210</v>
      </c>
      <c r="D734">
        <v>0</v>
      </c>
      <c r="E734" t="s">
        <v>540</v>
      </c>
    </row>
    <row r="735" spans="1:5" x14ac:dyDescent="0.25">
      <c r="A735">
        <v>33115</v>
      </c>
      <c r="B735" t="str">
        <f t="shared" si="12"/>
        <v>33115</v>
      </c>
      <c r="C735" t="s">
        <v>1212</v>
      </c>
      <c r="D735">
        <v>13.34</v>
      </c>
      <c r="E735" t="s">
        <v>540</v>
      </c>
    </row>
    <row r="736" spans="1:5" x14ac:dyDescent="0.25">
      <c r="A736">
        <v>33115</v>
      </c>
      <c r="B736" t="str">
        <f t="shared" si="12"/>
        <v>33115</v>
      </c>
      <c r="C736" t="s">
        <v>1216</v>
      </c>
      <c r="D736">
        <v>72</v>
      </c>
      <c r="E736" t="s">
        <v>540</v>
      </c>
    </row>
    <row r="737" spans="1:5" x14ac:dyDescent="0.25">
      <c r="A737">
        <v>33115</v>
      </c>
      <c r="B737" t="str">
        <f t="shared" si="12"/>
        <v>33115</v>
      </c>
      <c r="C737" t="s">
        <v>1198</v>
      </c>
      <c r="D737">
        <v>105.4</v>
      </c>
      <c r="E737" t="s">
        <v>540</v>
      </c>
    </row>
    <row r="738" spans="1:5" x14ac:dyDescent="0.25">
      <c r="A738">
        <v>29011</v>
      </c>
      <c r="B738" t="str">
        <f t="shared" si="12"/>
        <v>29011</v>
      </c>
      <c r="C738" t="s">
        <v>1193</v>
      </c>
      <c r="D738">
        <v>0</v>
      </c>
      <c r="E738" t="s">
        <v>497</v>
      </c>
    </row>
    <row r="739" spans="1:5" x14ac:dyDescent="0.25">
      <c r="A739">
        <v>29011</v>
      </c>
      <c r="B739" t="str">
        <f t="shared" si="12"/>
        <v>29011</v>
      </c>
      <c r="C739" t="s">
        <v>1194</v>
      </c>
      <c r="D739">
        <v>130.6</v>
      </c>
      <c r="E739" t="s">
        <v>497</v>
      </c>
    </row>
    <row r="740" spans="1:5" x14ac:dyDescent="0.25">
      <c r="A740">
        <v>29011</v>
      </c>
      <c r="B740" t="str">
        <f t="shared" si="12"/>
        <v>29011</v>
      </c>
      <c r="C740" t="s">
        <v>1195</v>
      </c>
      <c r="D740">
        <v>0</v>
      </c>
      <c r="E740" t="s">
        <v>497</v>
      </c>
    </row>
    <row r="741" spans="1:5" x14ac:dyDescent="0.25">
      <c r="A741">
        <v>29011</v>
      </c>
      <c r="B741" t="str">
        <f t="shared" si="12"/>
        <v>29011</v>
      </c>
      <c r="C741" t="s">
        <v>1197</v>
      </c>
      <c r="D741">
        <v>37.619999999999997</v>
      </c>
      <c r="E741" t="s">
        <v>497</v>
      </c>
    </row>
    <row r="742" spans="1:5" x14ac:dyDescent="0.25">
      <c r="A742">
        <v>29011</v>
      </c>
      <c r="B742" t="str">
        <f t="shared" si="12"/>
        <v>29011</v>
      </c>
      <c r="C742" t="s">
        <v>1202</v>
      </c>
      <c r="D742">
        <v>0</v>
      </c>
      <c r="E742" t="s">
        <v>497</v>
      </c>
    </row>
    <row r="743" spans="1:5" x14ac:dyDescent="0.25">
      <c r="A743">
        <v>29011</v>
      </c>
      <c r="B743" t="str">
        <f t="shared" si="12"/>
        <v>29011</v>
      </c>
      <c r="C743" t="s">
        <v>1206</v>
      </c>
      <c r="D743">
        <v>70.8</v>
      </c>
      <c r="E743" t="s">
        <v>497</v>
      </c>
    </row>
    <row r="744" spans="1:5" x14ac:dyDescent="0.25">
      <c r="A744">
        <v>29011</v>
      </c>
      <c r="B744" t="str">
        <f t="shared" si="12"/>
        <v>29011</v>
      </c>
      <c r="C744" t="s">
        <v>1199</v>
      </c>
      <c r="D744">
        <v>0</v>
      </c>
      <c r="E744" t="s">
        <v>497</v>
      </c>
    </row>
    <row r="745" spans="1:5" x14ac:dyDescent="0.25">
      <c r="A745">
        <v>29011</v>
      </c>
      <c r="B745" t="str">
        <f t="shared" si="12"/>
        <v>29011</v>
      </c>
      <c r="C745" t="s">
        <v>1203</v>
      </c>
      <c r="D745">
        <v>78.400000000000006</v>
      </c>
      <c r="E745" t="s">
        <v>497</v>
      </c>
    </row>
    <row r="746" spans="1:5" x14ac:dyDescent="0.25">
      <c r="A746">
        <v>29011</v>
      </c>
      <c r="B746" t="str">
        <f t="shared" si="12"/>
        <v>29011</v>
      </c>
      <c r="C746" t="s">
        <v>1200</v>
      </c>
      <c r="D746">
        <v>0</v>
      </c>
      <c r="E746" t="s">
        <v>497</v>
      </c>
    </row>
    <row r="747" spans="1:5" x14ac:dyDescent="0.25">
      <c r="A747">
        <v>29011</v>
      </c>
      <c r="B747" t="str">
        <f t="shared" si="12"/>
        <v>29011</v>
      </c>
      <c r="C747" t="s">
        <v>1204</v>
      </c>
      <c r="D747">
        <v>122.94</v>
      </c>
      <c r="E747" t="s">
        <v>497</v>
      </c>
    </row>
    <row r="748" spans="1:5" x14ac:dyDescent="0.25">
      <c r="A748">
        <v>29011</v>
      </c>
      <c r="B748" t="str">
        <f t="shared" si="12"/>
        <v>29011</v>
      </c>
      <c r="C748" t="s">
        <v>1207</v>
      </c>
      <c r="D748">
        <v>2.66</v>
      </c>
      <c r="E748" t="s">
        <v>497</v>
      </c>
    </row>
    <row r="749" spans="1:5" x14ac:dyDescent="0.25">
      <c r="A749">
        <v>29011</v>
      </c>
      <c r="B749" t="str">
        <f t="shared" si="12"/>
        <v>29011</v>
      </c>
      <c r="C749" t="s">
        <v>1208</v>
      </c>
      <c r="D749">
        <v>28.83</v>
      </c>
      <c r="E749" t="s">
        <v>497</v>
      </c>
    </row>
    <row r="750" spans="1:5" x14ac:dyDescent="0.25">
      <c r="A750">
        <v>29011</v>
      </c>
      <c r="B750" t="str">
        <f t="shared" si="12"/>
        <v>29011</v>
      </c>
      <c r="C750" t="s">
        <v>1210</v>
      </c>
      <c r="D750">
        <v>0</v>
      </c>
      <c r="E750" t="s">
        <v>497</v>
      </c>
    </row>
    <row r="751" spans="1:5" x14ac:dyDescent="0.25">
      <c r="A751">
        <v>29011</v>
      </c>
      <c r="B751" t="str">
        <f t="shared" si="12"/>
        <v>29011</v>
      </c>
      <c r="C751" t="s">
        <v>1212</v>
      </c>
      <c r="D751">
        <v>0</v>
      </c>
      <c r="E751" t="s">
        <v>497</v>
      </c>
    </row>
    <row r="752" spans="1:5" x14ac:dyDescent="0.25">
      <c r="A752">
        <v>29011</v>
      </c>
      <c r="B752" t="str">
        <f t="shared" si="12"/>
        <v>29011</v>
      </c>
      <c r="C752" t="s">
        <v>1216</v>
      </c>
      <c r="D752">
        <v>29</v>
      </c>
      <c r="E752" t="s">
        <v>497</v>
      </c>
    </row>
    <row r="753" spans="1:5" x14ac:dyDescent="0.25">
      <c r="A753">
        <v>29011</v>
      </c>
      <c r="B753" t="str">
        <f t="shared" si="12"/>
        <v>29011</v>
      </c>
      <c r="C753" t="s">
        <v>1198</v>
      </c>
      <c r="D753">
        <v>39.200000000000003</v>
      </c>
      <c r="E753" t="s">
        <v>497</v>
      </c>
    </row>
    <row r="754" spans="1:5" x14ac:dyDescent="0.25">
      <c r="A754">
        <v>29317</v>
      </c>
      <c r="B754" t="str">
        <f t="shared" si="12"/>
        <v>29317</v>
      </c>
      <c r="C754" t="s">
        <v>1193</v>
      </c>
      <c r="D754">
        <v>0</v>
      </c>
      <c r="E754" t="s">
        <v>502</v>
      </c>
    </row>
    <row r="755" spans="1:5" x14ac:dyDescent="0.25">
      <c r="A755">
        <v>29317</v>
      </c>
      <c r="B755" t="str">
        <f t="shared" si="12"/>
        <v>29317</v>
      </c>
      <c r="C755" t="s">
        <v>1194</v>
      </c>
      <c r="D755">
        <v>144.38</v>
      </c>
      <c r="E755" t="s">
        <v>502</v>
      </c>
    </row>
    <row r="756" spans="1:5" x14ac:dyDescent="0.25">
      <c r="A756">
        <v>29317</v>
      </c>
      <c r="B756" t="str">
        <f t="shared" si="12"/>
        <v>29317</v>
      </c>
      <c r="C756" t="s">
        <v>1195</v>
      </c>
      <c r="D756">
        <v>0</v>
      </c>
      <c r="E756" t="s">
        <v>502</v>
      </c>
    </row>
    <row r="757" spans="1:5" x14ac:dyDescent="0.25">
      <c r="A757">
        <v>29317</v>
      </c>
      <c r="B757" t="str">
        <f t="shared" si="12"/>
        <v>29317</v>
      </c>
      <c r="C757" t="s">
        <v>1197</v>
      </c>
      <c r="D757">
        <v>44.4</v>
      </c>
      <c r="E757" t="s">
        <v>502</v>
      </c>
    </row>
    <row r="758" spans="1:5" x14ac:dyDescent="0.25">
      <c r="A758">
        <v>29317</v>
      </c>
      <c r="B758" t="str">
        <f t="shared" si="12"/>
        <v>29317</v>
      </c>
      <c r="C758" t="s">
        <v>1202</v>
      </c>
      <c r="D758">
        <v>0</v>
      </c>
      <c r="E758" t="s">
        <v>502</v>
      </c>
    </row>
    <row r="759" spans="1:5" x14ac:dyDescent="0.25">
      <c r="A759">
        <v>29317</v>
      </c>
      <c r="B759" t="str">
        <f t="shared" si="12"/>
        <v>29317</v>
      </c>
      <c r="C759" t="s">
        <v>1206</v>
      </c>
      <c r="D759">
        <v>105.6</v>
      </c>
      <c r="E759" t="s">
        <v>502</v>
      </c>
    </row>
    <row r="760" spans="1:5" x14ac:dyDescent="0.25">
      <c r="A760">
        <v>29317</v>
      </c>
      <c r="B760" t="str">
        <f t="shared" si="12"/>
        <v>29317</v>
      </c>
      <c r="C760" t="s">
        <v>1199</v>
      </c>
      <c r="D760">
        <v>0</v>
      </c>
      <c r="E760" t="s">
        <v>502</v>
      </c>
    </row>
    <row r="761" spans="1:5" x14ac:dyDescent="0.25">
      <c r="A761">
        <v>29317</v>
      </c>
      <c r="B761" t="str">
        <f t="shared" si="12"/>
        <v>29317</v>
      </c>
      <c r="C761" t="s">
        <v>1203</v>
      </c>
      <c r="D761">
        <v>82.6</v>
      </c>
      <c r="E761" t="s">
        <v>502</v>
      </c>
    </row>
    <row r="762" spans="1:5" x14ac:dyDescent="0.25">
      <c r="A762">
        <v>29317</v>
      </c>
      <c r="B762" t="str">
        <f t="shared" si="12"/>
        <v>29317</v>
      </c>
      <c r="C762" t="s">
        <v>1200</v>
      </c>
      <c r="D762">
        <v>0</v>
      </c>
      <c r="E762" t="s">
        <v>502</v>
      </c>
    </row>
    <row r="763" spans="1:5" x14ac:dyDescent="0.25">
      <c r="A763">
        <v>29317</v>
      </c>
      <c r="B763" t="str">
        <f t="shared" si="12"/>
        <v>29317</v>
      </c>
      <c r="C763" t="s">
        <v>1204</v>
      </c>
      <c r="D763">
        <v>0</v>
      </c>
      <c r="E763" t="s">
        <v>502</v>
      </c>
    </row>
    <row r="764" spans="1:5" x14ac:dyDescent="0.25">
      <c r="A764">
        <v>29317</v>
      </c>
      <c r="B764" t="str">
        <f t="shared" si="12"/>
        <v>29317</v>
      </c>
      <c r="C764" t="s">
        <v>1207</v>
      </c>
      <c r="D764">
        <v>0</v>
      </c>
      <c r="E764" t="s">
        <v>502</v>
      </c>
    </row>
    <row r="765" spans="1:5" x14ac:dyDescent="0.25">
      <c r="A765">
        <v>29317</v>
      </c>
      <c r="B765" t="str">
        <f t="shared" si="12"/>
        <v>29317</v>
      </c>
      <c r="C765" t="s">
        <v>1208</v>
      </c>
      <c r="D765">
        <v>0</v>
      </c>
      <c r="E765" t="s">
        <v>502</v>
      </c>
    </row>
    <row r="766" spans="1:5" x14ac:dyDescent="0.25">
      <c r="A766">
        <v>29317</v>
      </c>
      <c r="B766" t="str">
        <f t="shared" si="12"/>
        <v>29317</v>
      </c>
      <c r="C766" t="s">
        <v>1210</v>
      </c>
      <c r="D766">
        <v>0</v>
      </c>
      <c r="E766" t="s">
        <v>502</v>
      </c>
    </row>
    <row r="767" spans="1:5" x14ac:dyDescent="0.25">
      <c r="A767">
        <v>29317</v>
      </c>
      <c r="B767" t="str">
        <f t="shared" si="12"/>
        <v>29317</v>
      </c>
      <c r="C767" t="s">
        <v>1212</v>
      </c>
      <c r="D767">
        <v>0</v>
      </c>
      <c r="E767" t="s">
        <v>502</v>
      </c>
    </row>
    <row r="768" spans="1:5" x14ac:dyDescent="0.25">
      <c r="A768">
        <v>29317</v>
      </c>
      <c r="B768" t="str">
        <f t="shared" si="12"/>
        <v>29317</v>
      </c>
      <c r="C768" t="s">
        <v>1216</v>
      </c>
      <c r="D768">
        <v>0</v>
      </c>
      <c r="E768" t="s">
        <v>502</v>
      </c>
    </row>
    <row r="769" spans="1:5" x14ac:dyDescent="0.25">
      <c r="A769">
        <v>29317</v>
      </c>
      <c r="B769" t="str">
        <f t="shared" si="12"/>
        <v>29317</v>
      </c>
      <c r="C769" t="s">
        <v>1198</v>
      </c>
      <c r="D769">
        <v>43.2</v>
      </c>
      <c r="E769" t="s">
        <v>502</v>
      </c>
    </row>
    <row r="770" spans="1:5" x14ac:dyDescent="0.25">
      <c r="A770">
        <v>14099</v>
      </c>
      <c r="B770" t="str">
        <f t="shared" si="12"/>
        <v>14099</v>
      </c>
      <c r="C770" t="s">
        <v>1193</v>
      </c>
      <c r="D770">
        <v>0</v>
      </c>
      <c r="E770" t="s">
        <v>379</v>
      </c>
    </row>
    <row r="771" spans="1:5" x14ac:dyDescent="0.25">
      <c r="A771">
        <v>14099</v>
      </c>
      <c r="B771" t="str">
        <f t="shared" ref="B771:B834" si="13">TEXT(A771,"00000")</f>
        <v>14099</v>
      </c>
      <c r="C771" t="s">
        <v>1194</v>
      </c>
      <c r="D771">
        <v>73.400000000000006</v>
      </c>
      <c r="E771" t="s">
        <v>379</v>
      </c>
    </row>
    <row r="772" spans="1:5" x14ac:dyDescent="0.25">
      <c r="A772">
        <v>14099</v>
      </c>
      <c r="B772" t="str">
        <f t="shared" si="13"/>
        <v>14099</v>
      </c>
      <c r="C772" t="s">
        <v>1195</v>
      </c>
      <c r="D772">
        <v>0</v>
      </c>
      <c r="E772" t="s">
        <v>379</v>
      </c>
    </row>
    <row r="773" spans="1:5" x14ac:dyDescent="0.25">
      <c r="A773">
        <v>14099</v>
      </c>
      <c r="B773" t="str">
        <f t="shared" si="13"/>
        <v>14099</v>
      </c>
      <c r="C773" t="s">
        <v>1197</v>
      </c>
      <c r="D773">
        <v>26.7</v>
      </c>
      <c r="E773" t="s">
        <v>379</v>
      </c>
    </row>
    <row r="774" spans="1:5" x14ac:dyDescent="0.25">
      <c r="A774">
        <v>14099</v>
      </c>
      <c r="B774" t="str">
        <f t="shared" si="13"/>
        <v>14099</v>
      </c>
      <c r="C774" t="s">
        <v>1202</v>
      </c>
      <c r="D774">
        <v>0</v>
      </c>
      <c r="E774" t="s">
        <v>379</v>
      </c>
    </row>
    <row r="775" spans="1:5" x14ac:dyDescent="0.25">
      <c r="A775">
        <v>14099</v>
      </c>
      <c r="B775" t="str">
        <f t="shared" si="13"/>
        <v>14099</v>
      </c>
      <c r="C775" t="s">
        <v>1206</v>
      </c>
      <c r="D775">
        <v>50.4</v>
      </c>
      <c r="E775" t="s">
        <v>379</v>
      </c>
    </row>
    <row r="776" spans="1:5" x14ac:dyDescent="0.25">
      <c r="A776">
        <v>14099</v>
      </c>
      <c r="B776" t="str">
        <f t="shared" si="13"/>
        <v>14099</v>
      </c>
      <c r="C776" t="s">
        <v>1199</v>
      </c>
      <c r="D776">
        <v>0</v>
      </c>
      <c r="E776" t="s">
        <v>379</v>
      </c>
    </row>
    <row r="777" spans="1:5" x14ac:dyDescent="0.25">
      <c r="A777">
        <v>14099</v>
      </c>
      <c r="B777" t="str">
        <f t="shared" si="13"/>
        <v>14099</v>
      </c>
      <c r="C777" t="s">
        <v>1203</v>
      </c>
      <c r="D777">
        <v>0</v>
      </c>
      <c r="E777" t="s">
        <v>379</v>
      </c>
    </row>
    <row r="778" spans="1:5" x14ac:dyDescent="0.25">
      <c r="A778">
        <v>14099</v>
      </c>
      <c r="B778" t="str">
        <f t="shared" si="13"/>
        <v>14099</v>
      </c>
      <c r="C778" t="s">
        <v>1200</v>
      </c>
      <c r="D778">
        <v>0</v>
      </c>
      <c r="E778" t="s">
        <v>379</v>
      </c>
    </row>
    <row r="779" spans="1:5" x14ac:dyDescent="0.25">
      <c r="A779">
        <v>14099</v>
      </c>
      <c r="B779" t="str">
        <f t="shared" si="13"/>
        <v>14099</v>
      </c>
      <c r="C779" t="s">
        <v>1204</v>
      </c>
      <c r="D779">
        <v>0</v>
      </c>
      <c r="E779" t="s">
        <v>379</v>
      </c>
    </row>
    <row r="780" spans="1:5" x14ac:dyDescent="0.25">
      <c r="A780">
        <v>14099</v>
      </c>
      <c r="B780" t="str">
        <f t="shared" si="13"/>
        <v>14099</v>
      </c>
      <c r="C780" t="s">
        <v>1207</v>
      </c>
      <c r="D780">
        <v>0</v>
      </c>
      <c r="E780" t="s">
        <v>379</v>
      </c>
    </row>
    <row r="781" spans="1:5" x14ac:dyDescent="0.25">
      <c r="A781">
        <v>14099</v>
      </c>
      <c r="B781" t="str">
        <f t="shared" si="13"/>
        <v>14099</v>
      </c>
      <c r="C781" t="s">
        <v>1208</v>
      </c>
      <c r="D781">
        <v>0</v>
      </c>
      <c r="E781" t="s">
        <v>379</v>
      </c>
    </row>
    <row r="782" spans="1:5" x14ac:dyDescent="0.25">
      <c r="A782">
        <v>14099</v>
      </c>
      <c r="B782" t="str">
        <f t="shared" si="13"/>
        <v>14099</v>
      </c>
      <c r="C782" t="s">
        <v>1210</v>
      </c>
      <c r="D782">
        <v>0</v>
      </c>
      <c r="E782" t="s">
        <v>379</v>
      </c>
    </row>
    <row r="783" spans="1:5" x14ac:dyDescent="0.25">
      <c r="A783">
        <v>14099</v>
      </c>
      <c r="B783" t="str">
        <f t="shared" si="13"/>
        <v>14099</v>
      </c>
      <c r="C783" t="s">
        <v>1212</v>
      </c>
      <c r="D783">
        <v>0</v>
      </c>
      <c r="E783" t="s">
        <v>379</v>
      </c>
    </row>
    <row r="784" spans="1:5" x14ac:dyDescent="0.25">
      <c r="A784">
        <v>14099</v>
      </c>
      <c r="B784" t="str">
        <f t="shared" si="13"/>
        <v>14099</v>
      </c>
      <c r="C784" t="s">
        <v>1216</v>
      </c>
      <c r="D784">
        <v>14.3</v>
      </c>
      <c r="E784" t="s">
        <v>379</v>
      </c>
    </row>
    <row r="785" spans="1:5" x14ac:dyDescent="0.25">
      <c r="A785">
        <v>14099</v>
      </c>
      <c r="B785" t="str">
        <f t="shared" si="13"/>
        <v>14099</v>
      </c>
      <c r="C785" t="s">
        <v>1198</v>
      </c>
      <c r="D785">
        <v>20</v>
      </c>
      <c r="E785" t="s">
        <v>379</v>
      </c>
    </row>
    <row r="786" spans="1:5" x14ac:dyDescent="0.25">
      <c r="A786">
        <v>13151</v>
      </c>
      <c r="B786" t="str">
        <f t="shared" si="13"/>
        <v>13151</v>
      </c>
      <c r="C786" t="s">
        <v>1193</v>
      </c>
      <c r="D786">
        <v>0</v>
      </c>
      <c r="E786" t="s">
        <v>364</v>
      </c>
    </row>
    <row r="787" spans="1:5" x14ac:dyDescent="0.25">
      <c r="A787">
        <v>13151</v>
      </c>
      <c r="B787" t="str">
        <f t="shared" si="13"/>
        <v>13151</v>
      </c>
      <c r="C787" t="s">
        <v>1194</v>
      </c>
      <c r="D787">
        <v>33.799999999999997</v>
      </c>
      <c r="E787" t="s">
        <v>364</v>
      </c>
    </row>
    <row r="788" spans="1:5" x14ac:dyDescent="0.25">
      <c r="A788">
        <v>13151</v>
      </c>
      <c r="B788" t="str">
        <f t="shared" si="13"/>
        <v>13151</v>
      </c>
      <c r="C788" t="s">
        <v>1195</v>
      </c>
      <c r="D788">
        <v>0</v>
      </c>
      <c r="E788" t="s">
        <v>364</v>
      </c>
    </row>
    <row r="789" spans="1:5" x14ac:dyDescent="0.25">
      <c r="A789">
        <v>13151</v>
      </c>
      <c r="B789" t="str">
        <f t="shared" si="13"/>
        <v>13151</v>
      </c>
      <c r="C789" t="s">
        <v>1197</v>
      </c>
      <c r="D789">
        <v>8</v>
      </c>
      <c r="E789" t="s">
        <v>364</v>
      </c>
    </row>
    <row r="790" spans="1:5" x14ac:dyDescent="0.25">
      <c r="A790">
        <v>13151</v>
      </c>
      <c r="B790" t="str">
        <f t="shared" si="13"/>
        <v>13151</v>
      </c>
      <c r="C790" t="s">
        <v>1202</v>
      </c>
      <c r="D790">
        <v>0</v>
      </c>
      <c r="E790" t="s">
        <v>364</v>
      </c>
    </row>
    <row r="791" spans="1:5" x14ac:dyDescent="0.25">
      <c r="A791">
        <v>13151</v>
      </c>
      <c r="B791" t="str">
        <f t="shared" si="13"/>
        <v>13151</v>
      </c>
      <c r="C791" t="s">
        <v>1206</v>
      </c>
      <c r="D791">
        <v>30.6</v>
      </c>
      <c r="E791" t="s">
        <v>364</v>
      </c>
    </row>
    <row r="792" spans="1:5" x14ac:dyDescent="0.25">
      <c r="A792">
        <v>13151</v>
      </c>
      <c r="B792" t="str">
        <f t="shared" si="13"/>
        <v>13151</v>
      </c>
      <c r="C792" t="s">
        <v>1199</v>
      </c>
      <c r="D792">
        <v>0</v>
      </c>
      <c r="E792" t="s">
        <v>364</v>
      </c>
    </row>
    <row r="793" spans="1:5" x14ac:dyDescent="0.25">
      <c r="A793">
        <v>13151</v>
      </c>
      <c r="B793" t="str">
        <f t="shared" si="13"/>
        <v>13151</v>
      </c>
      <c r="C793" t="s">
        <v>1203</v>
      </c>
      <c r="D793">
        <v>34.799999999999997</v>
      </c>
      <c r="E793" t="s">
        <v>364</v>
      </c>
    </row>
    <row r="794" spans="1:5" x14ac:dyDescent="0.25">
      <c r="A794">
        <v>13151</v>
      </c>
      <c r="B794" t="str">
        <f t="shared" si="13"/>
        <v>13151</v>
      </c>
      <c r="C794" t="s">
        <v>1200</v>
      </c>
      <c r="D794">
        <v>0</v>
      </c>
      <c r="E794" t="s">
        <v>364</v>
      </c>
    </row>
    <row r="795" spans="1:5" x14ac:dyDescent="0.25">
      <c r="A795">
        <v>13151</v>
      </c>
      <c r="B795" t="str">
        <f t="shared" si="13"/>
        <v>13151</v>
      </c>
      <c r="C795" t="s">
        <v>1204</v>
      </c>
      <c r="D795">
        <v>74.48</v>
      </c>
      <c r="E795" t="s">
        <v>364</v>
      </c>
    </row>
    <row r="796" spans="1:5" x14ac:dyDescent="0.25">
      <c r="A796">
        <v>13151</v>
      </c>
      <c r="B796" t="str">
        <f t="shared" si="13"/>
        <v>13151</v>
      </c>
      <c r="C796" t="s">
        <v>1207</v>
      </c>
      <c r="D796">
        <v>0</v>
      </c>
      <c r="E796" t="s">
        <v>364</v>
      </c>
    </row>
    <row r="797" spans="1:5" x14ac:dyDescent="0.25">
      <c r="A797">
        <v>13151</v>
      </c>
      <c r="B797" t="str">
        <f t="shared" si="13"/>
        <v>13151</v>
      </c>
      <c r="C797" t="s">
        <v>1208</v>
      </c>
      <c r="D797">
        <v>18.93</v>
      </c>
      <c r="E797" t="s">
        <v>364</v>
      </c>
    </row>
    <row r="798" spans="1:5" x14ac:dyDescent="0.25">
      <c r="A798">
        <v>13151</v>
      </c>
      <c r="B798" t="str">
        <f t="shared" si="13"/>
        <v>13151</v>
      </c>
      <c r="C798" t="s">
        <v>1210</v>
      </c>
      <c r="D798">
        <v>0</v>
      </c>
      <c r="E798" t="s">
        <v>364</v>
      </c>
    </row>
    <row r="799" spans="1:5" x14ac:dyDescent="0.25">
      <c r="A799">
        <v>13151</v>
      </c>
      <c r="B799" t="str">
        <f t="shared" si="13"/>
        <v>13151</v>
      </c>
      <c r="C799" t="s">
        <v>1212</v>
      </c>
      <c r="D799">
        <v>0</v>
      </c>
      <c r="E799" t="s">
        <v>364</v>
      </c>
    </row>
    <row r="800" spans="1:5" x14ac:dyDescent="0.25">
      <c r="A800">
        <v>13151</v>
      </c>
      <c r="B800" t="str">
        <f t="shared" si="13"/>
        <v>13151</v>
      </c>
      <c r="C800" t="s">
        <v>1216</v>
      </c>
      <c r="D800">
        <v>0</v>
      </c>
      <c r="E800" t="s">
        <v>364</v>
      </c>
    </row>
    <row r="801" spans="1:5" x14ac:dyDescent="0.25">
      <c r="A801">
        <v>13151</v>
      </c>
      <c r="B801" t="str">
        <f t="shared" si="13"/>
        <v>13151</v>
      </c>
      <c r="C801" t="s">
        <v>1198</v>
      </c>
      <c r="D801">
        <v>11.27</v>
      </c>
      <c r="E801" t="s">
        <v>364</v>
      </c>
    </row>
    <row r="802" spans="1:5" x14ac:dyDescent="0.25">
      <c r="A802">
        <v>15204</v>
      </c>
      <c r="B802" t="str">
        <f t="shared" si="13"/>
        <v>15204</v>
      </c>
      <c r="C802" t="s">
        <v>1193</v>
      </c>
      <c r="D802">
        <v>0</v>
      </c>
      <c r="E802" t="s">
        <v>385</v>
      </c>
    </row>
    <row r="803" spans="1:5" x14ac:dyDescent="0.25">
      <c r="A803">
        <v>15204</v>
      </c>
      <c r="B803" t="str">
        <f t="shared" si="13"/>
        <v>15204</v>
      </c>
      <c r="C803" t="s">
        <v>1194</v>
      </c>
      <c r="D803">
        <v>218.2</v>
      </c>
      <c r="E803" t="s">
        <v>385</v>
      </c>
    </row>
    <row r="804" spans="1:5" x14ac:dyDescent="0.25">
      <c r="A804">
        <v>15204</v>
      </c>
      <c r="B804" t="str">
        <f t="shared" si="13"/>
        <v>15204</v>
      </c>
      <c r="C804" t="s">
        <v>1195</v>
      </c>
      <c r="D804">
        <v>0</v>
      </c>
      <c r="E804" t="s">
        <v>385</v>
      </c>
    </row>
    <row r="805" spans="1:5" x14ac:dyDescent="0.25">
      <c r="A805">
        <v>15204</v>
      </c>
      <c r="B805" t="str">
        <f t="shared" si="13"/>
        <v>15204</v>
      </c>
      <c r="C805" t="s">
        <v>1197</v>
      </c>
      <c r="D805">
        <v>95.4</v>
      </c>
      <c r="E805" t="s">
        <v>385</v>
      </c>
    </row>
    <row r="806" spans="1:5" x14ac:dyDescent="0.25">
      <c r="A806">
        <v>15204</v>
      </c>
      <c r="B806" t="str">
        <f t="shared" si="13"/>
        <v>15204</v>
      </c>
      <c r="C806" t="s">
        <v>1202</v>
      </c>
      <c r="D806">
        <v>0</v>
      </c>
      <c r="E806" t="s">
        <v>385</v>
      </c>
    </row>
    <row r="807" spans="1:5" x14ac:dyDescent="0.25">
      <c r="A807">
        <v>15204</v>
      </c>
      <c r="B807" t="str">
        <f t="shared" si="13"/>
        <v>15204</v>
      </c>
      <c r="C807" t="s">
        <v>1206</v>
      </c>
      <c r="D807">
        <v>159.19999999999999</v>
      </c>
      <c r="E807" t="s">
        <v>385</v>
      </c>
    </row>
    <row r="808" spans="1:5" x14ac:dyDescent="0.25">
      <c r="A808">
        <v>15204</v>
      </c>
      <c r="B808" t="str">
        <f t="shared" si="13"/>
        <v>15204</v>
      </c>
      <c r="C808" t="s">
        <v>1199</v>
      </c>
      <c r="D808">
        <v>0</v>
      </c>
      <c r="E808" t="s">
        <v>385</v>
      </c>
    </row>
    <row r="809" spans="1:5" x14ac:dyDescent="0.25">
      <c r="A809">
        <v>15204</v>
      </c>
      <c r="B809" t="str">
        <f t="shared" si="13"/>
        <v>15204</v>
      </c>
      <c r="C809" t="s">
        <v>1203</v>
      </c>
      <c r="D809">
        <v>162.1</v>
      </c>
      <c r="E809" t="s">
        <v>385</v>
      </c>
    </row>
    <row r="810" spans="1:5" x14ac:dyDescent="0.25">
      <c r="A810">
        <v>15204</v>
      </c>
      <c r="B810" t="str">
        <f t="shared" si="13"/>
        <v>15204</v>
      </c>
      <c r="C810" t="s">
        <v>1200</v>
      </c>
      <c r="D810">
        <v>0</v>
      </c>
      <c r="E810" t="s">
        <v>385</v>
      </c>
    </row>
    <row r="811" spans="1:5" x14ac:dyDescent="0.25">
      <c r="A811">
        <v>15204</v>
      </c>
      <c r="B811" t="str">
        <f t="shared" si="13"/>
        <v>15204</v>
      </c>
      <c r="C811" t="s">
        <v>1204</v>
      </c>
      <c r="D811">
        <v>252.91</v>
      </c>
      <c r="E811" t="s">
        <v>385</v>
      </c>
    </row>
    <row r="812" spans="1:5" x14ac:dyDescent="0.25">
      <c r="A812">
        <v>15204</v>
      </c>
      <c r="B812" t="str">
        <f t="shared" si="13"/>
        <v>15204</v>
      </c>
      <c r="C812" t="s">
        <v>1207</v>
      </c>
      <c r="D812">
        <v>3.99</v>
      </c>
      <c r="E812" t="s">
        <v>385</v>
      </c>
    </row>
    <row r="813" spans="1:5" x14ac:dyDescent="0.25">
      <c r="A813">
        <v>15204</v>
      </c>
      <c r="B813" t="str">
        <f t="shared" si="13"/>
        <v>15204</v>
      </c>
      <c r="C813" t="s">
        <v>1208</v>
      </c>
      <c r="D813">
        <v>26.79</v>
      </c>
      <c r="E813" t="s">
        <v>385</v>
      </c>
    </row>
    <row r="814" spans="1:5" x14ac:dyDescent="0.25">
      <c r="A814">
        <v>15204</v>
      </c>
      <c r="B814" t="str">
        <f t="shared" si="13"/>
        <v>15204</v>
      </c>
      <c r="C814" t="s">
        <v>1210</v>
      </c>
      <c r="D814">
        <v>0</v>
      </c>
      <c r="E814" t="s">
        <v>385</v>
      </c>
    </row>
    <row r="815" spans="1:5" x14ac:dyDescent="0.25">
      <c r="A815">
        <v>15204</v>
      </c>
      <c r="B815" t="str">
        <f t="shared" si="13"/>
        <v>15204</v>
      </c>
      <c r="C815" t="s">
        <v>1212</v>
      </c>
      <c r="D815">
        <v>0</v>
      </c>
      <c r="E815" t="s">
        <v>385</v>
      </c>
    </row>
    <row r="816" spans="1:5" x14ac:dyDescent="0.25">
      <c r="A816">
        <v>15204</v>
      </c>
      <c r="B816" t="str">
        <f t="shared" si="13"/>
        <v>15204</v>
      </c>
      <c r="C816" t="s">
        <v>1216</v>
      </c>
      <c r="D816">
        <v>16.399999999999999</v>
      </c>
      <c r="E816" t="s">
        <v>385</v>
      </c>
    </row>
    <row r="817" spans="1:5" x14ac:dyDescent="0.25">
      <c r="A817">
        <v>15204</v>
      </c>
      <c r="B817" t="str">
        <f t="shared" si="13"/>
        <v>15204</v>
      </c>
      <c r="C817" t="s">
        <v>1198</v>
      </c>
      <c r="D817">
        <v>59.8</v>
      </c>
      <c r="E817" t="s">
        <v>385</v>
      </c>
    </row>
    <row r="818" spans="1:5" x14ac:dyDescent="0.25">
      <c r="A818" s="34" t="s">
        <v>28</v>
      </c>
      <c r="B818" t="str">
        <f t="shared" si="13"/>
        <v>05313</v>
      </c>
      <c r="C818" t="s">
        <v>1193</v>
      </c>
      <c r="D818">
        <v>0</v>
      </c>
      <c r="E818" t="s">
        <v>324</v>
      </c>
    </row>
    <row r="819" spans="1:5" x14ac:dyDescent="0.25">
      <c r="A819" s="34" t="s">
        <v>28</v>
      </c>
      <c r="B819" t="str">
        <f t="shared" si="13"/>
        <v>05313</v>
      </c>
      <c r="C819" t="s">
        <v>1194</v>
      </c>
      <c r="D819">
        <v>53.6</v>
      </c>
      <c r="E819" t="s">
        <v>324</v>
      </c>
    </row>
    <row r="820" spans="1:5" x14ac:dyDescent="0.25">
      <c r="A820" s="34" t="s">
        <v>28</v>
      </c>
      <c r="B820" t="str">
        <f t="shared" si="13"/>
        <v>05313</v>
      </c>
      <c r="C820" t="s">
        <v>1195</v>
      </c>
      <c r="D820">
        <v>0</v>
      </c>
      <c r="E820" t="s">
        <v>324</v>
      </c>
    </row>
    <row r="821" spans="1:5" x14ac:dyDescent="0.25">
      <c r="A821" s="34" t="s">
        <v>28</v>
      </c>
      <c r="B821" t="str">
        <f t="shared" si="13"/>
        <v>05313</v>
      </c>
      <c r="C821" t="s">
        <v>1197</v>
      </c>
      <c r="D821">
        <v>15.4</v>
      </c>
      <c r="E821" t="s">
        <v>324</v>
      </c>
    </row>
    <row r="822" spans="1:5" x14ac:dyDescent="0.25">
      <c r="A822" s="34" t="s">
        <v>28</v>
      </c>
      <c r="B822" t="str">
        <f t="shared" si="13"/>
        <v>05313</v>
      </c>
      <c r="C822" t="s">
        <v>1202</v>
      </c>
      <c r="D822">
        <v>0</v>
      </c>
      <c r="E822" t="s">
        <v>324</v>
      </c>
    </row>
    <row r="823" spans="1:5" x14ac:dyDescent="0.25">
      <c r="A823" s="34" t="s">
        <v>28</v>
      </c>
      <c r="B823" t="str">
        <f t="shared" si="13"/>
        <v>05313</v>
      </c>
      <c r="C823" t="s">
        <v>1206</v>
      </c>
      <c r="D823">
        <v>38.200000000000003</v>
      </c>
      <c r="E823" t="s">
        <v>324</v>
      </c>
    </row>
    <row r="824" spans="1:5" x14ac:dyDescent="0.25">
      <c r="A824" s="34" t="s">
        <v>28</v>
      </c>
      <c r="B824" t="str">
        <f t="shared" si="13"/>
        <v>05313</v>
      </c>
      <c r="C824" t="s">
        <v>1199</v>
      </c>
      <c r="D824">
        <v>0</v>
      </c>
      <c r="E824" t="s">
        <v>324</v>
      </c>
    </row>
    <row r="825" spans="1:5" x14ac:dyDescent="0.25">
      <c r="A825" s="34" t="s">
        <v>28</v>
      </c>
      <c r="B825" t="str">
        <f t="shared" si="13"/>
        <v>05313</v>
      </c>
      <c r="C825" t="s">
        <v>1203</v>
      </c>
      <c r="D825">
        <v>42.82</v>
      </c>
      <c r="E825" t="s">
        <v>324</v>
      </c>
    </row>
    <row r="826" spans="1:5" x14ac:dyDescent="0.25">
      <c r="A826" s="34" t="s">
        <v>28</v>
      </c>
      <c r="B826" t="str">
        <f t="shared" si="13"/>
        <v>05313</v>
      </c>
      <c r="C826" t="s">
        <v>1200</v>
      </c>
      <c r="D826">
        <v>0</v>
      </c>
      <c r="E826" t="s">
        <v>324</v>
      </c>
    </row>
    <row r="827" spans="1:5" x14ac:dyDescent="0.25">
      <c r="A827" s="34" t="s">
        <v>28</v>
      </c>
      <c r="B827" t="str">
        <f t="shared" si="13"/>
        <v>05313</v>
      </c>
      <c r="C827" t="s">
        <v>1204</v>
      </c>
      <c r="D827">
        <v>48.2</v>
      </c>
      <c r="E827" t="s">
        <v>324</v>
      </c>
    </row>
    <row r="828" spans="1:5" x14ac:dyDescent="0.25">
      <c r="A828" s="34" t="s">
        <v>28</v>
      </c>
      <c r="B828" t="str">
        <f t="shared" si="13"/>
        <v>05313</v>
      </c>
      <c r="C828" t="s">
        <v>1207</v>
      </c>
      <c r="D828">
        <v>0</v>
      </c>
      <c r="E828" t="s">
        <v>324</v>
      </c>
    </row>
    <row r="829" spans="1:5" x14ac:dyDescent="0.25">
      <c r="A829" s="34" t="s">
        <v>28</v>
      </c>
      <c r="B829" t="str">
        <f t="shared" si="13"/>
        <v>05313</v>
      </c>
      <c r="C829" t="s">
        <v>1208</v>
      </c>
      <c r="D829">
        <v>2.38</v>
      </c>
      <c r="E829" t="s">
        <v>324</v>
      </c>
    </row>
    <row r="830" spans="1:5" x14ac:dyDescent="0.25">
      <c r="A830" s="34" t="s">
        <v>28</v>
      </c>
      <c r="B830" t="str">
        <f t="shared" si="13"/>
        <v>05313</v>
      </c>
      <c r="C830" t="s">
        <v>1210</v>
      </c>
      <c r="D830">
        <v>0</v>
      </c>
      <c r="E830" t="s">
        <v>324</v>
      </c>
    </row>
    <row r="831" spans="1:5" x14ac:dyDescent="0.25">
      <c r="A831" s="34" t="s">
        <v>28</v>
      </c>
      <c r="B831" t="str">
        <f t="shared" si="13"/>
        <v>05313</v>
      </c>
      <c r="C831" t="s">
        <v>1212</v>
      </c>
      <c r="D831">
        <v>0</v>
      </c>
      <c r="E831" t="s">
        <v>324</v>
      </c>
    </row>
    <row r="832" spans="1:5" x14ac:dyDescent="0.25">
      <c r="A832" s="34" t="s">
        <v>28</v>
      </c>
      <c r="B832" t="str">
        <f t="shared" si="13"/>
        <v>05313</v>
      </c>
      <c r="C832" t="s">
        <v>1216</v>
      </c>
      <c r="D832">
        <v>0</v>
      </c>
      <c r="E832" t="s">
        <v>324</v>
      </c>
    </row>
    <row r="833" spans="1:5" x14ac:dyDescent="0.25">
      <c r="A833" s="34" t="s">
        <v>28</v>
      </c>
      <c r="B833" t="str">
        <f t="shared" si="13"/>
        <v>05313</v>
      </c>
      <c r="C833" t="s">
        <v>1198</v>
      </c>
      <c r="D833">
        <v>13</v>
      </c>
      <c r="E833" t="s">
        <v>324</v>
      </c>
    </row>
    <row r="834" spans="1:5" x14ac:dyDescent="0.25">
      <c r="A834">
        <v>22073</v>
      </c>
      <c r="B834" t="str">
        <f t="shared" si="13"/>
        <v>22073</v>
      </c>
      <c r="C834" t="s">
        <v>1193</v>
      </c>
      <c r="D834">
        <v>0</v>
      </c>
      <c r="E834" t="s">
        <v>450</v>
      </c>
    </row>
    <row r="835" spans="1:5" x14ac:dyDescent="0.25">
      <c r="A835">
        <v>22073</v>
      </c>
      <c r="B835" t="str">
        <f t="shared" ref="B835:B898" si="14">TEXT(A835,"00000")</f>
        <v>22073</v>
      </c>
      <c r="C835" t="s">
        <v>1194</v>
      </c>
      <c r="D835">
        <v>20.399999999999999</v>
      </c>
      <c r="E835" t="s">
        <v>450</v>
      </c>
    </row>
    <row r="836" spans="1:5" x14ac:dyDescent="0.25">
      <c r="A836">
        <v>22073</v>
      </c>
      <c r="B836" t="str">
        <f t="shared" si="14"/>
        <v>22073</v>
      </c>
      <c r="C836" t="s">
        <v>1195</v>
      </c>
      <c r="D836">
        <v>0</v>
      </c>
      <c r="E836" t="s">
        <v>450</v>
      </c>
    </row>
    <row r="837" spans="1:5" x14ac:dyDescent="0.25">
      <c r="A837">
        <v>22073</v>
      </c>
      <c r="B837" t="str">
        <f t="shared" si="14"/>
        <v>22073</v>
      </c>
      <c r="C837" t="s">
        <v>1197</v>
      </c>
      <c r="D837">
        <v>6.8</v>
      </c>
      <c r="E837" t="s">
        <v>450</v>
      </c>
    </row>
    <row r="838" spans="1:5" x14ac:dyDescent="0.25">
      <c r="A838">
        <v>22073</v>
      </c>
      <c r="B838" t="str">
        <f t="shared" si="14"/>
        <v>22073</v>
      </c>
      <c r="C838" t="s">
        <v>1202</v>
      </c>
      <c r="D838">
        <v>0</v>
      </c>
      <c r="E838" t="s">
        <v>450</v>
      </c>
    </row>
    <row r="839" spans="1:5" x14ac:dyDescent="0.25">
      <c r="A839">
        <v>22073</v>
      </c>
      <c r="B839" t="str">
        <f t="shared" si="14"/>
        <v>22073</v>
      </c>
      <c r="C839" t="s">
        <v>1206</v>
      </c>
      <c r="D839">
        <v>4.8</v>
      </c>
      <c r="E839" t="s">
        <v>450</v>
      </c>
    </row>
    <row r="840" spans="1:5" x14ac:dyDescent="0.25">
      <c r="A840">
        <v>22073</v>
      </c>
      <c r="B840" t="str">
        <f t="shared" si="14"/>
        <v>22073</v>
      </c>
      <c r="C840" t="s">
        <v>1199</v>
      </c>
      <c r="D840">
        <v>0</v>
      </c>
      <c r="E840" t="s">
        <v>450</v>
      </c>
    </row>
    <row r="841" spans="1:5" x14ac:dyDescent="0.25">
      <c r="A841">
        <v>22073</v>
      </c>
      <c r="B841" t="str">
        <f t="shared" si="14"/>
        <v>22073</v>
      </c>
      <c r="C841" t="s">
        <v>1203</v>
      </c>
      <c r="D841">
        <v>12.12</v>
      </c>
      <c r="E841" t="s">
        <v>450</v>
      </c>
    </row>
    <row r="842" spans="1:5" x14ac:dyDescent="0.25">
      <c r="A842">
        <v>22073</v>
      </c>
      <c r="B842" t="str">
        <f t="shared" si="14"/>
        <v>22073</v>
      </c>
      <c r="C842" t="s">
        <v>1200</v>
      </c>
      <c r="D842">
        <v>0</v>
      </c>
      <c r="E842" t="s">
        <v>450</v>
      </c>
    </row>
    <row r="843" spans="1:5" x14ac:dyDescent="0.25">
      <c r="A843">
        <v>22073</v>
      </c>
      <c r="B843" t="str">
        <f t="shared" si="14"/>
        <v>22073</v>
      </c>
      <c r="C843" t="s">
        <v>1204</v>
      </c>
      <c r="D843">
        <v>20.149999999999999</v>
      </c>
      <c r="E843" t="s">
        <v>450</v>
      </c>
    </row>
    <row r="844" spans="1:5" x14ac:dyDescent="0.25">
      <c r="A844">
        <v>22073</v>
      </c>
      <c r="B844" t="str">
        <f t="shared" si="14"/>
        <v>22073</v>
      </c>
      <c r="C844" t="s">
        <v>1207</v>
      </c>
      <c r="D844">
        <v>0.95</v>
      </c>
      <c r="E844" t="s">
        <v>450</v>
      </c>
    </row>
    <row r="845" spans="1:5" x14ac:dyDescent="0.25">
      <c r="A845">
        <v>22073</v>
      </c>
      <c r="B845" t="str">
        <f t="shared" si="14"/>
        <v>22073</v>
      </c>
      <c r="C845" t="s">
        <v>1208</v>
      </c>
      <c r="D845">
        <v>3.45</v>
      </c>
      <c r="E845" t="s">
        <v>450</v>
      </c>
    </row>
    <row r="846" spans="1:5" x14ac:dyDescent="0.25">
      <c r="A846">
        <v>22073</v>
      </c>
      <c r="B846" t="str">
        <f t="shared" si="14"/>
        <v>22073</v>
      </c>
      <c r="C846" t="s">
        <v>1210</v>
      </c>
      <c r="D846">
        <v>0</v>
      </c>
      <c r="E846" t="s">
        <v>450</v>
      </c>
    </row>
    <row r="847" spans="1:5" x14ac:dyDescent="0.25">
      <c r="A847">
        <v>22073</v>
      </c>
      <c r="B847" t="str">
        <f t="shared" si="14"/>
        <v>22073</v>
      </c>
      <c r="C847" t="s">
        <v>1212</v>
      </c>
      <c r="D847">
        <v>0</v>
      </c>
      <c r="E847" t="s">
        <v>450</v>
      </c>
    </row>
    <row r="848" spans="1:5" x14ac:dyDescent="0.25">
      <c r="A848">
        <v>22073</v>
      </c>
      <c r="B848" t="str">
        <f t="shared" si="14"/>
        <v>22073</v>
      </c>
      <c r="C848" t="s">
        <v>1216</v>
      </c>
      <c r="D848">
        <v>0</v>
      </c>
      <c r="E848" t="s">
        <v>450</v>
      </c>
    </row>
    <row r="849" spans="1:5" x14ac:dyDescent="0.25">
      <c r="A849">
        <v>22073</v>
      </c>
      <c r="B849" t="str">
        <f t="shared" si="14"/>
        <v>22073</v>
      </c>
      <c r="C849" t="s">
        <v>1198</v>
      </c>
      <c r="D849">
        <v>7</v>
      </c>
      <c r="E849" t="s">
        <v>450</v>
      </c>
    </row>
    <row r="850" spans="1:5" x14ac:dyDescent="0.25">
      <c r="A850">
        <v>10050</v>
      </c>
      <c r="B850" t="str">
        <f t="shared" si="14"/>
        <v>10050</v>
      </c>
      <c r="C850" t="s">
        <v>1193</v>
      </c>
      <c r="D850">
        <v>0</v>
      </c>
      <c r="E850" t="s">
        <v>352</v>
      </c>
    </row>
    <row r="851" spans="1:5" x14ac:dyDescent="0.25">
      <c r="A851">
        <v>10050</v>
      </c>
      <c r="B851" t="str">
        <f t="shared" si="14"/>
        <v>10050</v>
      </c>
      <c r="C851" t="s">
        <v>1194</v>
      </c>
      <c r="D851">
        <v>43.6</v>
      </c>
      <c r="E851" t="s">
        <v>352</v>
      </c>
    </row>
    <row r="852" spans="1:5" x14ac:dyDescent="0.25">
      <c r="A852">
        <v>10050</v>
      </c>
      <c r="B852" t="str">
        <f t="shared" si="14"/>
        <v>10050</v>
      </c>
      <c r="C852" t="s">
        <v>1195</v>
      </c>
      <c r="D852">
        <v>0</v>
      </c>
      <c r="E852" t="s">
        <v>352</v>
      </c>
    </row>
    <row r="853" spans="1:5" x14ac:dyDescent="0.25">
      <c r="A853">
        <v>10050</v>
      </c>
      <c r="B853" t="str">
        <f t="shared" si="14"/>
        <v>10050</v>
      </c>
      <c r="C853" t="s">
        <v>1197</v>
      </c>
      <c r="D853">
        <v>9.6</v>
      </c>
      <c r="E853" t="s">
        <v>352</v>
      </c>
    </row>
    <row r="854" spans="1:5" x14ac:dyDescent="0.25">
      <c r="A854">
        <v>10050</v>
      </c>
      <c r="B854" t="str">
        <f t="shared" si="14"/>
        <v>10050</v>
      </c>
      <c r="C854" t="s">
        <v>1202</v>
      </c>
      <c r="D854">
        <v>0</v>
      </c>
      <c r="E854" t="s">
        <v>352</v>
      </c>
    </row>
    <row r="855" spans="1:5" x14ac:dyDescent="0.25">
      <c r="A855">
        <v>10050</v>
      </c>
      <c r="B855" t="str">
        <f t="shared" si="14"/>
        <v>10050</v>
      </c>
      <c r="C855" t="s">
        <v>1206</v>
      </c>
      <c r="D855">
        <v>27.8</v>
      </c>
      <c r="E855" t="s">
        <v>352</v>
      </c>
    </row>
    <row r="856" spans="1:5" x14ac:dyDescent="0.25">
      <c r="A856">
        <v>10050</v>
      </c>
      <c r="B856" t="str">
        <f t="shared" si="14"/>
        <v>10050</v>
      </c>
      <c r="C856" t="s">
        <v>1199</v>
      </c>
      <c r="D856">
        <v>0</v>
      </c>
      <c r="E856" t="s">
        <v>352</v>
      </c>
    </row>
    <row r="857" spans="1:5" x14ac:dyDescent="0.25">
      <c r="A857">
        <v>10050</v>
      </c>
      <c r="B857" t="str">
        <f t="shared" si="14"/>
        <v>10050</v>
      </c>
      <c r="C857" t="s">
        <v>1203</v>
      </c>
      <c r="D857">
        <v>30.4</v>
      </c>
      <c r="E857" t="s">
        <v>352</v>
      </c>
    </row>
    <row r="858" spans="1:5" x14ac:dyDescent="0.25">
      <c r="A858">
        <v>10050</v>
      </c>
      <c r="B858" t="str">
        <f t="shared" si="14"/>
        <v>10050</v>
      </c>
      <c r="C858" t="s">
        <v>1200</v>
      </c>
      <c r="D858">
        <v>0</v>
      </c>
      <c r="E858" t="s">
        <v>352</v>
      </c>
    </row>
    <row r="859" spans="1:5" x14ac:dyDescent="0.25">
      <c r="A859">
        <v>10050</v>
      </c>
      <c r="B859" t="str">
        <f t="shared" si="14"/>
        <v>10050</v>
      </c>
      <c r="C859" t="s">
        <v>1204</v>
      </c>
      <c r="D859">
        <v>64.650000000000006</v>
      </c>
      <c r="E859" t="s">
        <v>352</v>
      </c>
    </row>
    <row r="860" spans="1:5" x14ac:dyDescent="0.25">
      <c r="A860">
        <v>10050</v>
      </c>
      <c r="B860" t="str">
        <f t="shared" si="14"/>
        <v>10050</v>
      </c>
      <c r="C860" t="s">
        <v>1207</v>
      </c>
      <c r="D860">
        <v>0</v>
      </c>
      <c r="E860" t="s">
        <v>352</v>
      </c>
    </row>
    <row r="861" spans="1:5" x14ac:dyDescent="0.25">
      <c r="A861">
        <v>10050</v>
      </c>
      <c r="B861" t="str">
        <f t="shared" si="14"/>
        <v>10050</v>
      </c>
      <c r="C861" t="s">
        <v>1208</v>
      </c>
      <c r="D861">
        <v>5.7</v>
      </c>
      <c r="E861" t="s">
        <v>352</v>
      </c>
    </row>
    <row r="862" spans="1:5" x14ac:dyDescent="0.25">
      <c r="A862">
        <v>10050</v>
      </c>
      <c r="B862" t="str">
        <f t="shared" si="14"/>
        <v>10050</v>
      </c>
      <c r="C862" t="s">
        <v>1210</v>
      </c>
      <c r="D862">
        <v>0</v>
      </c>
      <c r="E862" t="s">
        <v>352</v>
      </c>
    </row>
    <row r="863" spans="1:5" x14ac:dyDescent="0.25">
      <c r="A863">
        <v>10050</v>
      </c>
      <c r="B863" t="str">
        <f t="shared" si="14"/>
        <v>10050</v>
      </c>
      <c r="C863" t="s">
        <v>1212</v>
      </c>
      <c r="D863">
        <v>0</v>
      </c>
      <c r="E863" t="s">
        <v>352</v>
      </c>
    </row>
    <row r="864" spans="1:5" x14ac:dyDescent="0.25">
      <c r="A864">
        <v>10050</v>
      </c>
      <c r="B864" t="str">
        <f t="shared" si="14"/>
        <v>10050</v>
      </c>
      <c r="C864" t="s">
        <v>1216</v>
      </c>
      <c r="D864">
        <v>0</v>
      </c>
      <c r="E864" t="s">
        <v>352</v>
      </c>
    </row>
    <row r="865" spans="1:5" x14ac:dyDescent="0.25">
      <c r="A865">
        <v>10050</v>
      </c>
      <c r="B865" t="str">
        <f t="shared" si="14"/>
        <v>10050</v>
      </c>
      <c r="C865" t="s">
        <v>1198</v>
      </c>
      <c r="D865">
        <v>14.2</v>
      </c>
      <c r="E865" t="s">
        <v>352</v>
      </c>
    </row>
    <row r="866" spans="1:5" x14ac:dyDescent="0.25">
      <c r="A866">
        <v>26059</v>
      </c>
      <c r="B866" t="str">
        <f t="shared" si="14"/>
        <v>26059</v>
      </c>
      <c r="C866" t="s">
        <v>1193</v>
      </c>
      <c r="D866">
        <v>0</v>
      </c>
      <c r="E866" t="s">
        <v>477</v>
      </c>
    </row>
    <row r="867" spans="1:5" x14ac:dyDescent="0.25">
      <c r="A867">
        <v>26059</v>
      </c>
      <c r="B867" t="str">
        <f t="shared" si="14"/>
        <v>26059</v>
      </c>
      <c r="C867" t="s">
        <v>1194</v>
      </c>
      <c r="D867">
        <v>53.29</v>
      </c>
      <c r="E867" t="s">
        <v>477</v>
      </c>
    </row>
    <row r="868" spans="1:5" x14ac:dyDescent="0.25">
      <c r="A868">
        <v>26059</v>
      </c>
      <c r="B868" t="str">
        <f t="shared" si="14"/>
        <v>26059</v>
      </c>
      <c r="C868" t="s">
        <v>1195</v>
      </c>
      <c r="D868">
        <v>0</v>
      </c>
      <c r="E868" t="s">
        <v>477</v>
      </c>
    </row>
    <row r="869" spans="1:5" x14ac:dyDescent="0.25">
      <c r="A869">
        <v>26059</v>
      </c>
      <c r="B869" t="str">
        <f t="shared" si="14"/>
        <v>26059</v>
      </c>
      <c r="C869" t="s">
        <v>1197</v>
      </c>
      <c r="D869">
        <v>18.38</v>
      </c>
      <c r="E869" t="s">
        <v>477</v>
      </c>
    </row>
    <row r="870" spans="1:5" x14ac:dyDescent="0.25">
      <c r="A870">
        <v>26059</v>
      </c>
      <c r="B870" t="str">
        <f t="shared" si="14"/>
        <v>26059</v>
      </c>
      <c r="C870" t="s">
        <v>1202</v>
      </c>
      <c r="D870">
        <v>0</v>
      </c>
      <c r="E870" t="s">
        <v>477</v>
      </c>
    </row>
    <row r="871" spans="1:5" x14ac:dyDescent="0.25">
      <c r="A871">
        <v>26059</v>
      </c>
      <c r="B871" t="str">
        <f t="shared" si="14"/>
        <v>26059</v>
      </c>
      <c r="C871" t="s">
        <v>1206</v>
      </c>
      <c r="D871">
        <v>55.6</v>
      </c>
      <c r="E871" t="s">
        <v>477</v>
      </c>
    </row>
    <row r="872" spans="1:5" x14ac:dyDescent="0.25">
      <c r="A872">
        <v>26059</v>
      </c>
      <c r="B872" t="str">
        <f t="shared" si="14"/>
        <v>26059</v>
      </c>
      <c r="C872" t="s">
        <v>1199</v>
      </c>
      <c r="D872">
        <v>0</v>
      </c>
      <c r="E872" t="s">
        <v>477</v>
      </c>
    </row>
    <row r="873" spans="1:5" x14ac:dyDescent="0.25">
      <c r="A873">
        <v>26059</v>
      </c>
      <c r="B873" t="str">
        <f t="shared" si="14"/>
        <v>26059</v>
      </c>
      <c r="C873" t="s">
        <v>1203</v>
      </c>
      <c r="D873">
        <v>39.799999999999997</v>
      </c>
      <c r="E873" t="s">
        <v>477</v>
      </c>
    </row>
    <row r="874" spans="1:5" x14ac:dyDescent="0.25">
      <c r="A874">
        <v>26059</v>
      </c>
      <c r="B874" t="str">
        <f t="shared" si="14"/>
        <v>26059</v>
      </c>
      <c r="C874" t="s">
        <v>1200</v>
      </c>
      <c r="D874">
        <v>0</v>
      </c>
      <c r="E874" t="s">
        <v>477</v>
      </c>
    </row>
    <row r="875" spans="1:5" x14ac:dyDescent="0.25">
      <c r="A875">
        <v>26059</v>
      </c>
      <c r="B875" t="str">
        <f t="shared" si="14"/>
        <v>26059</v>
      </c>
      <c r="C875" t="s">
        <v>1204</v>
      </c>
      <c r="D875">
        <v>77.66</v>
      </c>
      <c r="E875" t="s">
        <v>477</v>
      </c>
    </row>
    <row r="876" spans="1:5" x14ac:dyDescent="0.25">
      <c r="A876">
        <v>26059</v>
      </c>
      <c r="B876" t="str">
        <f t="shared" si="14"/>
        <v>26059</v>
      </c>
      <c r="C876" t="s">
        <v>1207</v>
      </c>
      <c r="D876">
        <v>0</v>
      </c>
      <c r="E876" t="s">
        <v>477</v>
      </c>
    </row>
    <row r="877" spans="1:5" x14ac:dyDescent="0.25">
      <c r="A877">
        <v>26059</v>
      </c>
      <c r="B877" t="str">
        <f t="shared" si="14"/>
        <v>26059</v>
      </c>
      <c r="C877" t="s">
        <v>1208</v>
      </c>
      <c r="D877">
        <v>11.25</v>
      </c>
      <c r="E877" t="s">
        <v>477</v>
      </c>
    </row>
    <row r="878" spans="1:5" x14ac:dyDescent="0.25">
      <c r="A878">
        <v>26059</v>
      </c>
      <c r="B878" t="str">
        <f t="shared" si="14"/>
        <v>26059</v>
      </c>
      <c r="C878" t="s">
        <v>1210</v>
      </c>
      <c r="D878">
        <v>0</v>
      </c>
      <c r="E878" t="s">
        <v>477</v>
      </c>
    </row>
    <row r="879" spans="1:5" x14ac:dyDescent="0.25">
      <c r="A879">
        <v>26059</v>
      </c>
      <c r="B879" t="str">
        <f t="shared" si="14"/>
        <v>26059</v>
      </c>
      <c r="C879" t="s">
        <v>1212</v>
      </c>
      <c r="D879">
        <v>0</v>
      </c>
      <c r="E879" t="s">
        <v>477</v>
      </c>
    </row>
    <row r="880" spans="1:5" x14ac:dyDescent="0.25">
      <c r="A880">
        <v>26059</v>
      </c>
      <c r="B880" t="str">
        <f t="shared" si="14"/>
        <v>26059</v>
      </c>
      <c r="C880" t="s">
        <v>1216</v>
      </c>
      <c r="D880">
        <v>12.9</v>
      </c>
      <c r="E880" t="s">
        <v>477</v>
      </c>
    </row>
    <row r="881" spans="1:5" x14ac:dyDescent="0.25">
      <c r="A881">
        <v>26059</v>
      </c>
      <c r="B881" t="str">
        <f t="shared" si="14"/>
        <v>26059</v>
      </c>
      <c r="C881" t="s">
        <v>1198</v>
      </c>
      <c r="D881">
        <v>12.58</v>
      </c>
      <c r="E881" t="s">
        <v>477</v>
      </c>
    </row>
    <row r="882" spans="1:5" x14ac:dyDescent="0.25">
      <c r="A882">
        <v>19007</v>
      </c>
      <c r="B882" t="str">
        <f t="shared" si="14"/>
        <v>19007</v>
      </c>
      <c r="C882" t="s">
        <v>1193</v>
      </c>
      <c r="D882">
        <v>0</v>
      </c>
      <c r="E882" t="s">
        <v>418</v>
      </c>
    </row>
    <row r="883" spans="1:5" x14ac:dyDescent="0.25">
      <c r="A883">
        <v>19007</v>
      </c>
      <c r="B883" t="str">
        <f t="shared" si="14"/>
        <v>19007</v>
      </c>
      <c r="C883" t="s">
        <v>1194</v>
      </c>
      <c r="D883">
        <v>23.4</v>
      </c>
      <c r="E883" t="s">
        <v>418</v>
      </c>
    </row>
    <row r="884" spans="1:5" x14ac:dyDescent="0.25">
      <c r="A884">
        <v>19007</v>
      </c>
      <c r="B884" t="str">
        <f t="shared" si="14"/>
        <v>19007</v>
      </c>
      <c r="C884" t="s">
        <v>1195</v>
      </c>
      <c r="D884">
        <v>0</v>
      </c>
      <c r="E884" t="s">
        <v>418</v>
      </c>
    </row>
    <row r="885" spans="1:5" x14ac:dyDescent="0.25">
      <c r="A885">
        <v>19007</v>
      </c>
      <c r="B885" t="str">
        <f t="shared" si="14"/>
        <v>19007</v>
      </c>
      <c r="C885" t="s">
        <v>1197</v>
      </c>
      <c r="D885">
        <v>9.8000000000000007</v>
      </c>
      <c r="E885" t="s">
        <v>418</v>
      </c>
    </row>
    <row r="886" spans="1:5" x14ac:dyDescent="0.25">
      <c r="A886">
        <v>19007</v>
      </c>
      <c r="B886" t="str">
        <f t="shared" si="14"/>
        <v>19007</v>
      </c>
      <c r="C886" t="s">
        <v>1202</v>
      </c>
      <c r="D886">
        <v>0</v>
      </c>
      <c r="E886" t="s">
        <v>418</v>
      </c>
    </row>
    <row r="887" spans="1:5" x14ac:dyDescent="0.25">
      <c r="A887">
        <v>19007</v>
      </c>
      <c r="B887" t="str">
        <f t="shared" si="14"/>
        <v>19007</v>
      </c>
      <c r="C887" t="s">
        <v>1206</v>
      </c>
      <c r="D887">
        <v>5</v>
      </c>
      <c r="E887" t="s">
        <v>418</v>
      </c>
    </row>
    <row r="888" spans="1:5" x14ac:dyDescent="0.25">
      <c r="A888">
        <v>19007</v>
      </c>
      <c r="B888" t="str">
        <f t="shared" si="14"/>
        <v>19007</v>
      </c>
      <c r="C888" t="s">
        <v>1199</v>
      </c>
      <c r="D888">
        <v>0</v>
      </c>
      <c r="E888" t="s">
        <v>418</v>
      </c>
    </row>
    <row r="889" spans="1:5" x14ac:dyDescent="0.25">
      <c r="A889">
        <v>19007</v>
      </c>
      <c r="B889" t="str">
        <f t="shared" si="14"/>
        <v>19007</v>
      </c>
      <c r="C889" t="s">
        <v>1203</v>
      </c>
      <c r="D889">
        <v>0</v>
      </c>
      <c r="E889" t="s">
        <v>418</v>
      </c>
    </row>
    <row r="890" spans="1:5" x14ac:dyDescent="0.25">
      <c r="A890">
        <v>19007</v>
      </c>
      <c r="B890" t="str">
        <f t="shared" si="14"/>
        <v>19007</v>
      </c>
      <c r="C890" t="s">
        <v>1200</v>
      </c>
      <c r="D890">
        <v>0</v>
      </c>
      <c r="E890" t="s">
        <v>418</v>
      </c>
    </row>
    <row r="891" spans="1:5" x14ac:dyDescent="0.25">
      <c r="A891">
        <v>19007</v>
      </c>
      <c r="B891" t="str">
        <f t="shared" si="14"/>
        <v>19007</v>
      </c>
      <c r="C891" t="s">
        <v>1204</v>
      </c>
      <c r="D891">
        <v>0</v>
      </c>
      <c r="E891" t="s">
        <v>418</v>
      </c>
    </row>
    <row r="892" spans="1:5" x14ac:dyDescent="0.25">
      <c r="A892">
        <v>19007</v>
      </c>
      <c r="B892" t="str">
        <f t="shared" si="14"/>
        <v>19007</v>
      </c>
      <c r="C892" t="s">
        <v>1207</v>
      </c>
      <c r="D892">
        <v>0</v>
      </c>
      <c r="E892" t="s">
        <v>418</v>
      </c>
    </row>
    <row r="893" spans="1:5" x14ac:dyDescent="0.25">
      <c r="A893">
        <v>19007</v>
      </c>
      <c r="B893" t="str">
        <f t="shared" si="14"/>
        <v>19007</v>
      </c>
      <c r="C893" t="s">
        <v>1208</v>
      </c>
      <c r="D893">
        <v>0</v>
      </c>
      <c r="E893" t="s">
        <v>418</v>
      </c>
    </row>
    <row r="894" spans="1:5" x14ac:dyDescent="0.25">
      <c r="A894">
        <v>19007</v>
      </c>
      <c r="B894" t="str">
        <f t="shared" si="14"/>
        <v>19007</v>
      </c>
      <c r="C894" t="s">
        <v>1210</v>
      </c>
      <c r="D894">
        <v>0</v>
      </c>
      <c r="E894" t="s">
        <v>418</v>
      </c>
    </row>
    <row r="895" spans="1:5" x14ac:dyDescent="0.25">
      <c r="A895">
        <v>19007</v>
      </c>
      <c r="B895" t="str">
        <f t="shared" si="14"/>
        <v>19007</v>
      </c>
      <c r="C895" t="s">
        <v>1212</v>
      </c>
      <c r="D895">
        <v>0</v>
      </c>
      <c r="E895" t="s">
        <v>418</v>
      </c>
    </row>
    <row r="896" spans="1:5" x14ac:dyDescent="0.25">
      <c r="A896">
        <v>19007</v>
      </c>
      <c r="B896" t="str">
        <f t="shared" si="14"/>
        <v>19007</v>
      </c>
      <c r="C896" t="s">
        <v>1216</v>
      </c>
      <c r="D896">
        <v>0</v>
      </c>
      <c r="E896" t="s">
        <v>418</v>
      </c>
    </row>
    <row r="897" spans="1:5" x14ac:dyDescent="0.25">
      <c r="A897">
        <v>19007</v>
      </c>
      <c r="B897" t="str">
        <f t="shared" si="14"/>
        <v>19007</v>
      </c>
      <c r="C897" t="s">
        <v>1198</v>
      </c>
      <c r="D897">
        <v>8</v>
      </c>
      <c r="E897" t="s">
        <v>418</v>
      </c>
    </row>
    <row r="898" spans="1:5" x14ac:dyDescent="0.25">
      <c r="A898">
        <v>31330</v>
      </c>
      <c r="B898" t="str">
        <f t="shared" si="14"/>
        <v>31330</v>
      </c>
      <c r="C898" t="s">
        <v>1193</v>
      </c>
      <c r="D898">
        <v>0</v>
      </c>
      <c r="E898" t="s">
        <v>519</v>
      </c>
    </row>
    <row r="899" spans="1:5" x14ac:dyDescent="0.25">
      <c r="A899">
        <v>31330</v>
      </c>
      <c r="B899" t="str">
        <f t="shared" ref="B899:B962" si="15">TEXT(A899,"00000")</f>
        <v>31330</v>
      </c>
      <c r="C899" t="s">
        <v>1194</v>
      </c>
      <c r="D899">
        <v>114.6</v>
      </c>
      <c r="E899" t="s">
        <v>519</v>
      </c>
    </row>
    <row r="900" spans="1:5" x14ac:dyDescent="0.25">
      <c r="A900">
        <v>31330</v>
      </c>
      <c r="B900" t="str">
        <f t="shared" si="15"/>
        <v>31330</v>
      </c>
      <c r="C900" t="s">
        <v>1195</v>
      </c>
      <c r="D900">
        <v>0</v>
      </c>
      <c r="E900" t="s">
        <v>519</v>
      </c>
    </row>
    <row r="901" spans="1:5" x14ac:dyDescent="0.25">
      <c r="A901">
        <v>31330</v>
      </c>
      <c r="B901" t="str">
        <f t="shared" si="15"/>
        <v>31330</v>
      </c>
      <c r="C901" t="s">
        <v>1197</v>
      </c>
      <c r="D901">
        <v>28</v>
      </c>
      <c r="E901" t="s">
        <v>519</v>
      </c>
    </row>
    <row r="902" spans="1:5" x14ac:dyDescent="0.25">
      <c r="A902">
        <v>31330</v>
      </c>
      <c r="B902" t="str">
        <f t="shared" si="15"/>
        <v>31330</v>
      </c>
      <c r="C902" t="s">
        <v>1202</v>
      </c>
      <c r="D902">
        <v>0</v>
      </c>
      <c r="E902" t="s">
        <v>519</v>
      </c>
    </row>
    <row r="903" spans="1:5" x14ac:dyDescent="0.25">
      <c r="A903">
        <v>31330</v>
      </c>
      <c r="B903" t="str">
        <f t="shared" si="15"/>
        <v>31330</v>
      </c>
      <c r="C903" t="s">
        <v>1206</v>
      </c>
      <c r="D903">
        <v>76.599999999999994</v>
      </c>
      <c r="E903" t="s">
        <v>519</v>
      </c>
    </row>
    <row r="904" spans="1:5" x14ac:dyDescent="0.25">
      <c r="A904">
        <v>31330</v>
      </c>
      <c r="B904" t="str">
        <f t="shared" si="15"/>
        <v>31330</v>
      </c>
      <c r="C904" t="s">
        <v>1199</v>
      </c>
      <c r="D904">
        <v>0</v>
      </c>
      <c r="E904" t="s">
        <v>519</v>
      </c>
    </row>
    <row r="905" spans="1:5" x14ac:dyDescent="0.25">
      <c r="A905">
        <v>31330</v>
      </c>
      <c r="B905" t="str">
        <f t="shared" si="15"/>
        <v>31330</v>
      </c>
      <c r="C905" t="s">
        <v>1203</v>
      </c>
      <c r="D905">
        <v>59.8</v>
      </c>
      <c r="E905" t="s">
        <v>519</v>
      </c>
    </row>
    <row r="906" spans="1:5" x14ac:dyDescent="0.25">
      <c r="A906">
        <v>31330</v>
      </c>
      <c r="B906" t="str">
        <f t="shared" si="15"/>
        <v>31330</v>
      </c>
      <c r="C906" t="s">
        <v>1200</v>
      </c>
      <c r="D906">
        <v>0</v>
      </c>
      <c r="E906" t="s">
        <v>519</v>
      </c>
    </row>
    <row r="907" spans="1:5" x14ac:dyDescent="0.25">
      <c r="A907">
        <v>31330</v>
      </c>
      <c r="B907" t="str">
        <f t="shared" si="15"/>
        <v>31330</v>
      </c>
      <c r="C907" t="s">
        <v>1204</v>
      </c>
      <c r="D907">
        <v>101.03</v>
      </c>
      <c r="E907" t="s">
        <v>519</v>
      </c>
    </row>
    <row r="908" spans="1:5" x14ac:dyDescent="0.25">
      <c r="A908">
        <v>31330</v>
      </c>
      <c r="B908" t="str">
        <f t="shared" si="15"/>
        <v>31330</v>
      </c>
      <c r="C908" t="s">
        <v>1207</v>
      </c>
      <c r="D908">
        <v>0</v>
      </c>
      <c r="E908" t="s">
        <v>519</v>
      </c>
    </row>
    <row r="909" spans="1:5" x14ac:dyDescent="0.25">
      <c r="A909">
        <v>31330</v>
      </c>
      <c r="B909" t="str">
        <f t="shared" si="15"/>
        <v>31330</v>
      </c>
      <c r="C909" t="s">
        <v>1208</v>
      </c>
      <c r="D909">
        <v>15.29</v>
      </c>
      <c r="E909" t="s">
        <v>519</v>
      </c>
    </row>
    <row r="910" spans="1:5" x14ac:dyDescent="0.25">
      <c r="A910">
        <v>31330</v>
      </c>
      <c r="B910" t="str">
        <f t="shared" si="15"/>
        <v>31330</v>
      </c>
      <c r="C910" t="s">
        <v>1210</v>
      </c>
      <c r="D910">
        <v>0</v>
      </c>
      <c r="E910" t="s">
        <v>519</v>
      </c>
    </row>
    <row r="911" spans="1:5" x14ac:dyDescent="0.25">
      <c r="A911">
        <v>31330</v>
      </c>
      <c r="B911" t="str">
        <f t="shared" si="15"/>
        <v>31330</v>
      </c>
      <c r="C911" t="s">
        <v>1212</v>
      </c>
      <c r="D911">
        <v>0</v>
      </c>
      <c r="E911" t="s">
        <v>519</v>
      </c>
    </row>
    <row r="912" spans="1:5" x14ac:dyDescent="0.25">
      <c r="A912">
        <v>31330</v>
      </c>
      <c r="B912" t="str">
        <f t="shared" si="15"/>
        <v>31330</v>
      </c>
      <c r="C912" t="s">
        <v>1216</v>
      </c>
      <c r="D912">
        <v>10</v>
      </c>
      <c r="E912" t="s">
        <v>519</v>
      </c>
    </row>
    <row r="913" spans="1:5" x14ac:dyDescent="0.25">
      <c r="A913">
        <v>31330</v>
      </c>
      <c r="B913" t="str">
        <f t="shared" si="15"/>
        <v>31330</v>
      </c>
      <c r="C913" t="s">
        <v>1198</v>
      </c>
      <c r="D913">
        <v>34</v>
      </c>
      <c r="E913" t="s">
        <v>519</v>
      </c>
    </row>
    <row r="914" spans="1:5" x14ac:dyDescent="0.25">
      <c r="A914">
        <v>22207</v>
      </c>
      <c r="B914" t="str">
        <f t="shared" si="15"/>
        <v>22207</v>
      </c>
      <c r="C914" t="s">
        <v>1193</v>
      </c>
      <c r="D914">
        <v>0</v>
      </c>
      <c r="E914" t="s">
        <v>454</v>
      </c>
    </row>
    <row r="915" spans="1:5" x14ac:dyDescent="0.25">
      <c r="A915">
        <v>22207</v>
      </c>
      <c r="B915" t="str">
        <f t="shared" si="15"/>
        <v>22207</v>
      </c>
      <c r="C915" t="s">
        <v>1194</v>
      </c>
      <c r="D915">
        <v>159.13</v>
      </c>
      <c r="E915" t="s">
        <v>454</v>
      </c>
    </row>
    <row r="916" spans="1:5" x14ac:dyDescent="0.25">
      <c r="A916">
        <v>22207</v>
      </c>
      <c r="B916" t="str">
        <f t="shared" si="15"/>
        <v>22207</v>
      </c>
      <c r="C916" t="s">
        <v>1195</v>
      </c>
      <c r="D916">
        <v>0</v>
      </c>
      <c r="E916" t="s">
        <v>454</v>
      </c>
    </row>
    <row r="917" spans="1:5" x14ac:dyDescent="0.25">
      <c r="A917">
        <v>22207</v>
      </c>
      <c r="B917" t="str">
        <f t="shared" si="15"/>
        <v>22207</v>
      </c>
      <c r="C917" t="s">
        <v>1197</v>
      </c>
      <c r="D917">
        <v>56.8</v>
      </c>
      <c r="E917" t="s">
        <v>454</v>
      </c>
    </row>
    <row r="918" spans="1:5" x14ac:dyDescent="0.25">
      <c r="A918">
        <v>22207</v>
      </c>
      <c r="B918" t="str">
        <f t="shared" si="15"/>
        <v>22207</v>
      </c>
      <c r="C918" t="s">
        <v>1202</v>
      </c>
      <c r="D918">
        <v>0</v>
      </c>
      <c r="E918" t="s">
        <v>454</v>
      </c>
    </row>
    <row r="919" spans="1:5" x14ac:dyDescent="0.25">
      <c r="A919">
        <v>22207</v>
      </c>
      <c r="B919" t="str">
        <f t="shared" si="15"/>
        <v>22207</v>
      </c>
      <c r="C919" t="s">
        <v>1206</v>
      </c>
      <c r="D919">
        <v>106</v>
      </c>
      <c r="E919" t="s">
        <v>454</v>
      </c>
    </row>
    <row r="920" spans="1:5" x14ac:dyDescent="0.25">
      <c r="A920">
        <v>22207</v>
      </c>
      <c r="B920" t="str">
        <f t="shared" si="15"/>
        <v>22207</v>
      </c>
      <c r="C920" t="s">
        <v>1199</v>
      </c>
      <c r="D920">
        <v>0</v>
      </c>
      <c r="E920" t="s">
        <v>454</v>
      </c>
    </row>
    <row r="921" spans="1:5" x14ac:dyDescent="0.25">
      <c r="A921">
        <v>22207</v>
      </c>
      <c r="B921" t="str">
        <f t="shared" si="15"/>
        <v>22207</v>
      </c>
      <c r="C921" t="s">
        <v>1203</v>
      </c>
      <c r="D921">
        <v>87.6</v>
      </c>
      <c r="E921" t="s">
        <v>454</v>
      </c>
    </row>
    <row r="922" spans="1:5" x14ac:dyDescent="0.25">
      <c r="A922">
        <v>22207</v>
      </c>
      <c r="B922" t="str">
        <f t="shared" si="15"/>
        <v>22207</v>
      </c>
      <c r="C922" t="s">
        <v>1200</v>
      </c>
      <c r="D922">
        <v>0</v>
      </c>
      <c r="E922" t="s">
        <v>454</v>
      </c>
    </row>
    <row r="923" spans="1:5" x14ac:dyDescent="0.25">
      <c r="A923">
        <v>22207</v>
      </c>
      <c r="B923" t="str">
        <f t="shared" si="15"/>
        <v>22207</v>
      </c>
      <c r="C923" t="s">
        <v>1204</v>
      </c>
      <c r="D923">
        <v>167.22</v>
      </c>
      <c r="E923" t="s">
        <v>454</v>
      </c>
    </row>
    <row r="924" spans="1:5" x14ac:dyDescent="0.25">
      <c r="A924">
        <v>22207</v>
      </c>
      <c r="B924" t="str">
        <f t="shared" si="15"/>
        <v>22207</v>
      </c>
      <c r="C924" t="s">
        <v>1207</v>
      </c>
      <c r="D924">
        <v>13.56</v>
      </c>
      <c r="E924" t="s">
        <v>454</v>
      </c>
    </row>
    <row r="925" spans="1:5" x14ac:dyDescent="0.25">
      <c r="A925">
        <v>22207</v>
      </c>
      <c r="B925" t="str">
        <f t="shared" si="15"/>
        <v>22207</v>
      </c>
      <c r="C925" t="s">
        <v>1208</v>
      </c>
      <c r="D925">
        <v>49.03</v>
      </c>
      <c r="E925" t="s">
        <v>454</v>
      </c>
    </row>
    <row r="926" spans="1:5" x14ac:dyDescent="0.25">
      <c r="A926">
        <v>22207</v>
      </c>
      <c r="B926" t="str">
        <f t="shared" si="15"/>
        <v>22207</v>
      </c>
      <c r="C926" t="s">
        <v>1210</v>
      </c>
      <c r="D926">
        <v>0</v>
      </c>
      <c r="E926" t="s">
        <v>454</v>
      </c>
    </row>
    <row r="927" spans="1:5" x14ac:dyDescent="0.25">
      <c r="A927">
        <v>22207</v>
      </c>
      <c r="B927" t="str">
        <f t="shared" si="15"/>
        <v>22207</v>
      </c>
      <c r="C927" t="s">
        <v>1212</v>
      </c>
      <c r="D927">
        <v>0</v>
      </c>
      <c r="E927" t="s">
        <v>454</v>
      </c>
    </row>
    <row r="928" spans="1:5" x14ac:dyDescent="0.25">
      <c r="A928">
        <v>22207</v>
      </c>
      <c r="B928" t="str">
        <f t="shared" si="15"/>
        <v>22207</v>
      </c>
      <c r="C928" t="s">
        <v>1216</v>
      </c>
      <c r="D928">
        <v>18.2</v>
      </c>
      <c r="E928" t="s">
        <v>454</v>
      </c>
    </row>
    <row r="929" spans="1:5" x14ac:dyDescent="0.25">
      <c r="A929">
        <v>22207</v>
      </c>
      <c r="B929" t="str">
        <f t="shared" si="15"/>
        <v>22207</v>
      </c>
      <c r="C929" t="s">
        <v>1198</v>
      </c>
      <c r="D929">
        <v>40.799999999999997</v>
      </c>
      <c r="E929" t="s">
        <v>454</v>
      </c>
    </row>
    <row r="930" spans="1:5" x14ac:dyDescent="0.25">
      <c r="A930" s="34" t="s">
        <v>41</v>
      </c>
      <c r="B930" t="str">
        <f t="shared" si="15"/>
        <v>07002</v>
      </c>
      <c r="C930" t="s">
        <v>1193</v>
      </c>
      <c r="D930">
        <v>0</v>
      </c>
      <c r="E930" t="s">
        <v>337</v>
      </c>
    </row>
    <row r="931" spans="1:5" x14ac:dyDescent="0.25">
      <c r="A931" s="34" t="s">
        <v>41</v>
      </c>
      <c r="B931" t="str">
        <f t="shared" si="15"/>
        <v>07002</v>
      </c>
      <c r="C931" t="s">
        <v>1194</v>
      </c>
      <c r="D931">
        <v>89.8</v>
      </c>
      <c r="E931" t="s">
        <v>337</v>
      </c>
    </row>
    <row r="932" spans="1:5" x14ac:dyDescent="0.25">
      <c r="A932" s="34" t="s">
        <v>41</v>
      </c>
      <c r="B932" t="str">
        <f t="shared" si="15"/>
        <v>07002</v>
      </c>
      <c r="C932" t="s">
        <v>1195</v>
      </c>
      <c r="D932">
        <v>0</v>
      </c>
      <c r="E932" t="s">
        <v>337</v>
      </c>
    </row>
    <row r="933" spans="1:5" x14ac:dyDescent="0.25">
      <c r="A933" s="34" t="s">
        <v>41</v>
      </c>
      <c r="B933" t="str">
        <f t="shared" si="15"/>
        <v>07002</v>
      </c>
      <c r="C933" t="s">
        <v>1197</v>
      </c>
      <c r="D933">
        <v>28.4</v>
      </c>
      <c r="E933" t="s">
        <v>337</v>
      </c>
    </row>
    <row r="934" spans="1:5" x14ac:dyDescent="0.25">
      <c r="A934" s="34" t="s">
        <v>41</v>
      </c>
      <c r="B934" t="str">
        <f t="shared" si="15"/>
        <v>07002</v>
      </c>
      <c r="C934" t="s">
        <v>1202</v>
      </c>
      <c r="D934">
        <v>0</v>
      </c>
      <c r="E934" t="s">
        <v>337</v>
      </c>
    </row>
    <row r="935" spans="1:5" x14ac:dyDescent="0.25">
      <c r="A935" s="34" t="s">
        <v>41</v>
      </c>
      <c r="B935" t="str">
        <f t="shared" si="15"/>
        <v>07002</v>
      </c>
      <c r="C935" t="s">
        <v>1206</v>
      </c>
      <c r="D935">
        <v>63</v>
      </c>
      <c r="E935" t="s">
        <v>337</v>
      </c>
    </row>
    <row r="936" spans="1:5" x14ac:dyDescent="0.25">
      <c r="A936" s="34" t="s">
        <v>41</v>
      </c>
      <c r="B936" t="str">
        <f t="shared" si="15"/>
        <v>07002</v>
      </c>
      <c r="C936" t="s">
        <v>1199</v>
      </c>
      <c r="D936">
        <v>0</v>
      </c>
      <c r="E936" t="s">
        <v>337</v>
      </c>
    </row>
    <row r="937" spans="1:5" x14ac:dyDescent="0.25">
      <c r="A937" s="34" t="s">
        <v>41</v>
      </c>
      <c r="B937" t="str">
        <f t="shared" si="15"/>
        <v>07002</v>
      </c>
      <c r="C937" t="s">
        <v>1203</v>
      </c>
      <c r="D937">
        <v>57.3</v>
      </c>
      <c r="E937" t="s">
        <v>337</v>
      </c>
    </row>
    <row r="938" spans="1:5" x14ac:dyDescent="0.25">
      <c r="A938" s="34" t="s">
        <v>41</v>
      </c>
      <c r="B938" t="str">
        <f t="shared" si="15"/>
        <v>07002</v>
      </c>
      <c r="C938" t="s">
        <v>1200</v>
      </c>
      <c r="D938">
        <v>0</v>
      </c>
      <c r="E938" t="s">
        <v>337</v>
      </c>
    </row>
    <row r="939" spans="1:5" x14ac:dyDescent="0.25">
      <c r="A939" s="34" t="s">
        <v>41</v>
      </c>
      <c r="B939" t="str">
        <f t="shared" si="15"/>
        <v>07002</v>
      </c>
      <c r="C939" t="s">
        <v>1204</v>
      </c>
      <c r="D939">
        <v>74.400000000000006</v>
      </c>
      <c r="E939" t="s">
        <v>337</v>
      </c>
    </row>
    <row r="940" spans="1:5" x14ac:dyDescent="0.25">
      <c r="A940" s="34" t="s">
        <v>41</v>
      </c>
      <c r="B940" t="str">
        <f t="shared" si="15"/>
        <v>07002</v>
      </c>
      <c r="C940" t="s">
        <v>1207</v>
      </c>
      <c r="D940">
        <v>4.03</v>
      </c>
      <c r="E940" t="s">
        <v>337</v>
      </c>
    </row>
    <row r="941" spans="1:5" x14ac:dyDescent="0.25">
      <c r="A941" s="34" t="s">
        <v>41</v>
      </c>
      <c r="B941" t="str">
        <f t="shared" si="15"/>
        <v>07002</v>
      </c>
      <c r="C941" t="s">
        <v>1208</v>
      </c>
      <c r="D941">
        <v>26.05</v>
      </c>
      <c r="E941" t="s">
        <v>337</v>
      </c>
    </row>
    <row r="942" spans="1:5" x14ac:dyDescent="0.25">
      <c r="A942" s="34" t="s">
        <v>41</v>
      </c>
      <c r="B942" t="str">
        <f t="shared" si="15"/>
        <v>07002</v>
      </c>
      <c r="C942" t="s">
        <v>1210</v>
      </c>
      <c r="D942">
        <v>0</v>
      </c>
      <c r="E942" t="s">
        <v>337</v>
      </c>
    </row>
    <row r="943" spans="1:5" x14ac:dyDescent="0.25">
      <c r="A943" s="34" t="s">
        <v>41</v>
      </c>
      <c r="B943" t="str">
        <f t="shared" si="15"/>
        <v>07002</v>
      </c>
      <c r="C943" t="s">
        <v>1212</v>
      </c>
      <c r="D943">
        <v>0</v>
      </c>
      <c r="E943" t="s">
        <v>337</v>
      </c>
    </row>
    <row r="944" spans="1:5" x14ac:dyDescent="0.25">
      <c r="A944" s="34" t="s">
        <v>41</v>
      </c>
      <c r="B944" t="str">
        <f t="shared" si="15"/>
        <v>07002</v>
      </c>
      <c r="C944" t="s">
        <v>1216</v>
      </c>
      <c r="D944">
        <v>0</v>
      </c>
      <c r="E944" t="s">
        <v>337</v>
      </c>
    </row>
    <row r="945" spans="1:5" x14ac:dyDescent="0.25">
      <c r="A945" s="34" t="s">
        <v>41</v>
      </c>
      <c r="B945" t="str">
        <f t="shared" si="15"/>
        <v>07002</v>
      </c>
      <c r="C945" t="s">
        <v>1198</v>
      </c>
      <c r="D945">
        <v>19.399999999999999</v>
      </c>
      <c r="E945" t="s">
        <v>337</v>
      </c>
    </row>
    <row r="946" spans="1:5" x14ac:dyDescent="0.25">
      <c r="A946">
        <v>32414</v>
      </c>
      <c r="B946" t="str">
        <f t="shared" si="15"/>
        <v>32414</v>
      </c>
      <c r="C946" t="s">
        <v>1193</v>
      </c>
      <c r="D946">
        <v>0</v>
      </c>
      <c r="E946" t="s">
        <v>534</v>
      </c>
    </row>
    <row r="947" spans="1:5" x14ac:dyDescent="0.25">
      <c r="A947">
        <v>32414</v>
      </c>
      <c r="B947" t="str">
        <f t="shared" si="15"/>
        <v>32414</v>
      </c>
      <c r="C947" t="s">
        <v>1194</v>
      </c>
      <c r="D947">
        <v>438.2</v>
      </c>
      <c r="E947" t="s">
        <v>534</v>
      </c>
    </row>
    <row r="948" spans="1:5" x14ac:dyDescent="0.25">
      <c r="A948">
        <v>32414</v>
      </c>
      <c r="B948" t="str">
        <f t="shared" si="15"/>
        <v>32414</v>
      </c>
      <c r="C948" t="s">
        <v>1195</v>
      </c>
      <c r="D948">
        <v>0</v>
      </c>
      <c r="E948" t="s">
        <v>534</v>
      </c>
    </row>
    <row r="949" spans="1:5" x14ac:dyDescent="0.25">
      <c r="A949">
        <v>32414</v>
      </c>
      <c r="B949" t="str">
        <f t="shared" si="15"/>
        <v>32414</v>
      </c>
      <c r="C949" t="s">
        <v>1197</v>
      </c>
      <c r="D949">
        <v>142.6</v>
      </c>
      <c r="E949" t="s">
        <v>534</v>
      </c>
    </row>
    <row r="950" spans="1:5" x14ac:dyDescent="0.25">
      <c r="A950">
        <v>32414</v>
      </c>
      <c r="B950" t="str">
        <f t="shared" si="15"/>
        <v>32414</v>
      </c>
      <c r="C950" t="s">
        <v>1202</v>
      </c>
      <c r="D950">
        <v>0</v>
      </c>
      <c r="E950" t="s">
        <v>534</v>
      </c>
    </row>
    <row r="951" spans="1:5" x14ac:dyDescent="0.25">
      <c r="A951">
        <v>32414</v>
      </c>
      <c r="B951" t="str">
        <f t="shared" si="15"/>
        <v>32414</v>
      </c>
      <c r="C951" t="s">
        <v>1206</v>
      </c>
      <c r="D951">
        <v>311.72000000000003</v>
      </c>
      <c r="E951" t="s">
        <v>534</v>
      </c>
    </row>
    <row r="952" spans="1:5" x14ac:dyDescent="0.25">
      <c r="A952">
        <v>32414</v>
      </c>
      <c r="B952" t="str">
        <f t="shared" si="15"/>
        <v>32414</v>
      </c>
      <c r="C952" t="s">
        <v>1199</v>
      </c>
      <c r="D952">
        <v>0</v>
      </c>
      <c r="E952" t="s">
        <v>534</v>
      </c>
    </row>
    <row r="953" spans="1:5" x14ac:dyDescent="0.25">
      <c r="A953">
        <v>32414</v>
      </c>
      <c r="B953" t="str">
        <f t="shared" si="15"/>
        <v>32414</v>
      </c>
      <c r="C953" t="s">
        <v>1203</v>
      </c>
      <c r="D953">
        <v>345.69</v>
      </c>
      <c r="E953" t="s">
        <v>534</v>
      </c>
    </row>
    <row r="954" spans="1:5" x14ac:dyDescent="0.25">
      <c r="A954">
        <v>32414</v>
      </c>
      <c r="B954" t="str">
        <f t="shared" si="15"/>
        <v>32414</v>
      </c>
      <c r="C954" t="s">
        <v>1200</v>
      </c>
      <c r="D954">
        <v>0</v>
      </c>
      <c r="E954" t="s">
        <v>534</v>
      </c>
    </row>
    <row r="955" spans="1:5" x14ac:dyDescent="0.25">
      <c r="A955">
        <v>32414</v>
      </c>
      <c r="B955" t="str">
        <f t="shared" si="15"/>
        <v>32414</v>
      </c>
      <c r="C955" t="s">
        <v>1204</v>
      </c>
      <c r="D955">
        <v>548.57000000000005</v>
      </c>
      <c r="E955" t="s">
        <v>534</v>
      </c>
    </row>
    <row r="956" spans="1:5" x14ac:dyDescent="0.25">
      <c r="A956">
        <v>32414</v>
      </c>
      <c r="B956" t="str">
        <f t="shared" si="15"/>
        <v>32414</v>
      </c>
      <c r="C956" t="s">
        <v>1207</v>
      </c>
      <c r="D956">
        <v>0</v>
      </c>
      <c r="E956" t="s">
        <v>534</v>
      </c>
    </row>
    <row r="957" spans="1:5" x14ac:dyDescent="0.25">
      <c r="A957">
        <v>32414</v>
      </c>
      <c r="B957" t="str">
        <f t="shared" si="15"/>
        <v>32414</v>
      </c>
      <c r="C957" t="s">
        <v>1208</v>
      </c>
      <c r="D957">
        <v>119.81</v>
      </c>
      <c r="E957" t="s">
        <v>534</v>
      </c>
    </row>
    <row r="958" spans="1:5" x14ac:dyDescent="0.25">
      <c r="A958">
        <v>32414</v>
      </c>
      <c r="B958" t="str">
        <f t="shared" si="15"/>
        <v>32414</v>
      </c>
      <c r="C958" t="s">
        <v>1210</v>
      </c>
      <c r="D958">
        <v>0</v>
      </c>
      <c r="E958" t="s">
        <v>534</v>
      </c>
    </row>
    <row r="959" spans="1:5" x14ac:dyDescent="0.25">
      <c r="A959">
        <v>32414</v>
      </c>
      <c r="B959" t="str">
        <f t="shared" si="15"/>
        <v>32414</v>
      </c>
      <c r="C959" t="s">
        <v>1212</v>
      </c>
      <c r="D959">
        <v>0</v>
      </c>
      <c r="E959" t="s">
        <v>534</v>
      </c>
    </row>
    <row r="960" spans="1:5" x14ac:dyDescent="0.25">
      <c r="A960">
        <v>32414</v>
      </c>
      <c r="B960" t="str">
        <f t="shared" si="15"/>
        <v>32414</v>
      </c>
      <c r="C960" t="s">
        <v>1216</v>
      </c>
      <c r="D960">
        <v>0</v>
      </c>
      <c r="E960" t="s">
        <v>534</v>
      </c>
    </row>
    <row r="961" spans="1:5" x14ac:dyDescent="0.25">
      <c r="A961">
        <v>32414</v>
      </c>
      <c r="B961" t="str">
        <f t="shared" si="15"/>
        <v>32414</v>
      </c>
      <c r="C961" t="s">
        <v>1198</v>
      </c>
      <c r="D961">
        <v>122.2</v>
      </c>
      <c r="E961" t="s">
        <v>534</v>
      </c>
    </row>
    <row r="962" spans="1:5" x14ac:dyDescent="0.25">
      <c r="A962">
        <v>27343</v>
      </c>
      <c r="B962" t="str">
        <f t="shared" si="15"/>
        <v>27343</v>
      </c>
      <c r="C962" t="s">
        <v>1193</v>
      </c>
      <c r="D962">
        <v>0</v>
      </c>
      <c r="E962" t="s">
        <v>484</v>
      </c>
    </row>
    <row r="963" spans="1:5" x14ac:dyDescent="0.25">
      <c r="A963">
        <v>27343</v>
      </c>
      <c r="B963" t="str">
        <f t="shared" ref="B963:B1026" si="16">TEXT(A963,"00000")</f>
        <v>27343</v>
      </c>
      <c r="C963" t="s">
        <v>1194</v>
      </c>
      <c r="D963">
        <v>461.5</v>
      </c>
      <c r="E963" t="s">
        <v>484</v>
      </c>
    </row>
    <row r="964" spans="1:5" x14ac:dyDescent="0.25">
      <c r="A964">
        <v>27343</v>
      </c>
      <c r="B964" t="str">
        <f t="shared" si="16"/>
        <v>27343</v>
      </c>
      <c r="C964" t="s">
        <v>1195</v>
      </c>
      <c r="D964">
        <v>0</v>
      </c>
      <c r="E964" t="s">
        <v>484</v>
      </c>
    </row>
    <row r="965" spans="1:5" x14ac:dyDescent="0.25">
      <c r="A965">
        <v>27343</v>
      </c>
      <c r="B965" t="str">
        <f t="shared" si="16"/>
        <v>27343</v>
      </c>
      <c r="C965" t="s">
        <v>1197</v>
      </c>
      <c r="D965">
        <v>140.76</v>
      </c>
      <c r="E965" t="s">
        <v>484</v>
      </c>
    </row>
    <row r="966" spans="1:5" x14ac:dyDescent="0.25">
      <c r="A966">
        <v>27343</v>
      </c>
      <c r="B966" t="str">
        <f t="shared" si="16"/>
        <v>27343</v>
      </c>
      <c r="C966" t="s">
        <v>1202</v>
      </c>
      <c r="D966">
        <v>0</v>
      </c>
      <c r="E966" t="s">
        <v>484</v>
      </c>
    </row>
    <row r="967" spans="1:5" x14ac:dyDescent="0.25">
      <c r="A967">
        <v>27343</v>
      </c>
      <c r="B967" t="str">
        <f t="shared" si="16"/>
        <v>27343</v>
      </c>
      <c r="C967" t="s">
        <v>1206</v>
      </c>
      <c r="D967">
        <v>341.87</v>
      </c>
      <c r="E967" t="s">
        <v>484</v>
      </c>
    </row>
    <row r="968" spans="1:5" x14ac:dyDescent="0.25">
      <c r="A968">
        <v>27343</v>
      </c>
      <c r="B968" t="str">
        <f t="shared" si="16"/>
        <v>27343</v>
      </c>
      <c r="C968" t="s">
        <v>1199</v>
      </c>
      <c r="D968">
        <v>0</v>
      </c>
      <c r="E968" t="s">
        <v>484</v>
      </c>
    </row>
    <row r="969" spans="1:5" x14ac:dyDescent="0.25">
      <c r="A969">
        <v>27343</v>
      </c>
      <c r="B969" t="str">
        <f t="shared" si="16"/>
        <v>27343</v>
      </c>
      <c r="C969" t="s">
        <v>1203</v>
      </c>
      <c r="D969">
        <v>344.14</v>
      </c>
      <c r="E969" t="s">
        <v>484</v>
      </c>
    </row>
    <row r="970" spans="1:5" x14ac:dyDescent="0.25">
      <c r="A970">
        <v>27343</v>
      </c>
      <c r="B970" t="str">
        <f t="shared" si="16"/>
        <v>27343</v>
      </c>
      <c r="C970" t="s">
        <v>1200</v>
      </c>
      <c r="D970">
        <v>0</v>
      </c>
      <c r="E970" t="s">
        <v>484</v>
      </c>
    </row>
    <row r="971" spans="1:5" x14ac:dyDescent="0.25">
      <c r="A971">
        <v>27343</v>
      </c>
      <c r="B971" t="str">
        <f t="shared" si="16"/>
        <v>27343</v>
      </c>
      <c r="C971" t="s">
        <v>1204</v>
      </c>
      <c r="D971">
        <v>0</v>
      </c>
      <c r="E971" t="s">
        <v>484</v>
      </c>
    </row>
    <row r="972" spans="1:5" x14ac:dyDescent="0.25">
      <c r="A972">
        <v>27343</v>
      </c>
      <c r="B972" t="str">
        <f t="shared" si="16"/>
        <v>27343</v>
      </c>
      <c r="C972" t="s">
        <v>1207</v>
      </c>
      <c r="D972">
        <v>87.35</v>
      </c>
      <c r="E972" t="s">
        <v>484</v>
      </c>
    </row>
    <row r="973" spans="1:5" x14ac:dyDescent="0.25">
      <c r="A973">
        <v>27343</v>
      </c>
      <c r="B973" t="str">
        <f t="shared" si="16"/>
        <v>27343</v>
      </c>
      <c r="C973" t="s">
        <v>1208</v>
      </c>
      <c r="D973">
        <v>0</v>
      </c>
      <c r="E973" t="s">
        <v>484</v>
      </c>
    </row>
    <row r="974" spans="1:5" x14ac:dyDescent="0.25">
      <c r="A974">
        <v>27343</v>
      </c>
      <c r="B974" t="str">
        <f t="shared" si="16"/>
        <v>27343</v>
      </c>
      <c r="C974" t="s">
        <v>1210</v>
      </c>
      <c r="D974">
        <v>0</v>
      </c>
      <c r="E974" t="s">
        <v>484</v>
      </c>
    </row>
    <row r="975" spans="1:5" x14ac:dyDescent="0.25">
      <c r="A975">
        <v>27343</v>
      </c>
      <c r="B975" t="str">
        <f t="shared" si="16"/>
        <v>27343</v>
      </c>
      <c r="C975" t="s">
        <v>1212</v>
      </c>
      <c r="D975">
        <v>0</v>
      </c>
      <c r="E975" t="s">
        <v>484</v>
      </c>
    </row>
    <row r="976" spans="1:5" x14ac:dyDescent="0.25">
      <c r="A976">
        <v>27343</v>
      </c>
      <c r="B976" t="str">
        <f t="shared" si="16"/>
        <v>27343</v>
      </c>
      <c r="C976" t="s">
        <v>1216</v>
      </c>
      <c r="D976">
        <v>16.399999999999999</v>
      </c>
      <c r="E976" t="s">
        <v>484</v>
      </c>
    </row>
    <row r="977" spans="1:5" x14ac:dyDescent="0.25">
      <c r="A977">
        <v>27343</v>
      </c>
      <c r="B977" t="str">
        <f t="shared" si="16"/>
        <v>27343</v>
      </c>
      <c r="C977" t="s">
        <v>1198</v>
      </c>
      <c r="D977">
        <v>117</v>
      </c>
      <c r="E977" t="s">
        <v>484</v>
      </c>
    </row>
    <row r="978" spans="1:5" x14ac:dyDescent="0.25">
      <c r="A978">
        <v>36101</v>
      </c>
      <c r="B978" t="str">
        <f t="shared" si="16"/>
        <v>36101</v>
      </c>
      <c r="C978" t="s">
        <v>1193</v>
      </c>
      <c r="D978">
        <v>0</v>
      </c>
      <c r="E978" t="s">
        <v>557</v>
      </c>
    </row>
    <row r="979" spans="1:5" x14ac:dyDescent="0.25">
      <c r="A979">
        <v>36101</v>
      </c>
      <c r="B979" t="str">
        <f t="shared" si="16"/>
        <v>36101</v>
      </c>
      <c r="C979" t="s">
        <v>1194</v>
      </c>
      <c r="D979">
        <v>10</v>
      </c>
      <c r="E979" t="s">
        <v>557</v>
      </c>
    </row>
    <row r="980" spans="1:5" x14ac:dyDescent="0.25">
      <c r="A980">
        <v>36101</v>
      </c>
      <c r="B980" t="str">
        <f t="shared" si="16"/>
        <v>36101</v>
      </c>
      <c r="C980" t="s">
        <v>1195</v>
      </c>
      <c r="D980">
        <v>0</v>
      </c>
      <c r="E980" t="s">
        <v>557</v>
      </c>
    </row>
    <row r="981" spans="1:5" x14ac:dyDescent="0.25">
      <c r="A981">
        <v>36101</v>
      </c>
      <c r="B981" t="str">
        <f t="shared" si="16"/>
        <v>36101</v>
      </c>
      <c r="C981" t="s">
        <v>1197</v>
      </c>
      <c r="D981">
        <v>3</v>
      </c>
      <c r="E981" t="s">
        <v>557</v>
      </c>
    </row>
    <row r="982" spans="1:5" x14ac:dyDescent="0.25">
      <c r="A982">
        <v>36101</v>
      </c>
      <c r="B982" t="str">
        <f t="shared" si="16"/>
        <v>36101</v>
      </c>
      <c r="C982" t="s">
        <v>1202</v>
      </c>
      <c r="D982">
        <v>0</v>
      </c>
      <c r="E982" t="s">
        <v>557</v>
      </c>
    </row>
    <row r="983" spans="1:5" x14ac:dyDescent="0.25">
      <c r="A983">
        <v>36101</v>
      </c>
      <c r="B983" t="str">
        <f t="shared" si="16"/>
        <v>36101</v>
      </c>
      <c r="C983" t="s">
        <v>1206</v>
      </c>
      <c r="D983">
        <v>1</v>
      </c>
      <c r="E983" t="s">
        <v>557</v>
      </c>
    </row>
    <row r="984" spans="1:5" x14ac:dyDescent="0.25">
      <c r="A984">
        <v>36101</v>
      </c>
      <c r="B984" t="str">
        <f t="shared" si="16"/>
        <v>36101</v>
      </c>
      <c r="C984" t="s">
        <v>1199</v>
      </c>
      <c r="D984">
        <v>0</v>
      </c>
      <c r="E984" t="s">
        <v>557</v>
      </c>
    </row>
    <row r="985" spans="1:5" x14ac:dyDescent="0.25">
      <c r="A985">
        <v>36101</v>
      </c>
      <c r="B985" t="str">
        <f t="shared" si="16"/>
        <v>36101</v>
      </c>
      <c r="C985" t="s">
        <v>1203</v>
      </c>
      <c r="D985">
        <v>0</v>
      </c>
      <c r="E985" t="s">
        <v>557</v>
      </c>
    </row>
    <row r="986" spans="1:5" x14ac:dyDescent="0.25">
      <c r="A986">
        <v>36101</v>
      </c>
      <c r="B986" t="str">
        <f t="shared" si="16"/>
        <v>36101</v>
      </c>
      <c r="C986" t="s">
        <v>1200</v>
      </c>
      <c r="D986">
        <v>0</v>
      </c>
      <c r="E986" t="s">
        <v>557</v>
      </c>
    </row>
    <row r="987" spans="1:5" x14ac:dyDescent="0.25">
      <c r="A987">
        <v>36101</v>
      </c>
      <c r="B987" t="str">
        <f t="shared" si="16"/>
        <v>36101</v>
      </c>
      <c r="C987" t="s">
        <v>1204</v>
      </c>
      <c r="D987">
        <v>0</v>
      </c>
      <c r="E987" t="s">
        <v>557</v>
      </c>
    </row>
    <row r="988" spans="1:5" x14ac:dyDescent="0.25">
      <c r="A988">
        <v>36101</v>
      </c>
      <c r="B988" t="str">
        <f t="shared" si="16"/>
        <v>36101</v>
      </c>
      <c r="C988" t="s">
        <v>1207</v>
      </c>
      <c r="D988">
        <v>0</v>
      </c>
      <c r="E988" t="s">
        <v>557</v>
      </c>
    </row>
    <row r="989" spans="1:5" x14ac:dyDescent="0.25">
      <c r="A989">
        <v>36101</v>
      </c>
      <c r="B989" t="str">
        <f t="shared" si="16"/>
        <v>36101</v>
      </c>
      <c r="C989" t="s">
        <v>1208</v>
      </c>
      <c r="D989">
        <v>0</v>
      </c>
      <c r="E989" t="s">
        <v>557</v>
      </c>
    </row>
    <row r="990" spans="1:5" x14ac:dyDescent="0.25">
      <c r="A990">
        <v>36101</v>
      </c>
      <c r="B990" t="str">
        <f t="shared" si="16"/>
        <v>36101</v>
      </c>
      <c r="C990" t="s">
        <v>1210</v>
      </c>
      <c r="D990">
        <v>0</v>
      </c>
      <c r="E990" t="s">
        <v>557</v>
      </c>
    </row>
    <row r="991" spans="1:5" x14ac:dyDescent="0.25">
      <c r="A991">
        <v>36101</v>
      </c>
      <c r="B991" t="str">
        <f t="shared" si="16"/>
        <v>36101</v>
      </c>
      <c r="C991" t="s">
        <v>1212</v>
      </c>
      <c r="D991">
        <v>0</v>
      </c>
      <c r="E991" t="s">
        <v>557</v>
      </c>
    </row>
    <row r="992" spans="1:5" x14ac:dyDescent="0.25">
      <c r="A992">
        <v>36101</v>
      </c>
      <c r="B992" t="str">
        <f t="shared" si="16"/>
        <v>36101</v>
      </c>
      <c r="C992" t="s">
        <v>1216</v>
      </c>
      <c r="D992">
        <v>0</v>
      </c>
      <c r="E992" t="s">
        <v>557</v>
      </c>
    </row>
    <row r="993" spans="1:5" x14ac:dyDescent="0.25">
      <c r="A993">
        <v>36101</v>
      </c>
      <c r="B993" t="str">
        <f t="shared" si="16"/>
        <v>36101</v>
      </c>
      <c r="C993" t="s">
        <v>1198</v>
      </c>
      <c r="D993">
        <v>0.6</v>
      </c>
      <c r="E993" t="s">
        <v>557</v>
      </c>
    </row>
    <row r="994" spans="1:5" x14ac:dyDescent="0.25">
      <c r="A994">
        <v>32361</v>
      </c>
      <c r="B994" t="str">
        <f t="shared" si="16"/>
        <v>32361</v>
      </c>
      <c r="C994" t="s">
        <v>1193</v>
      </c>
      <c r="D994">
        <v>0</v>
      </c>
      <c r="E994" t="s">
        <v>531</v>
      </c>
    </row>
    <row r="995" spans="1:5" x14ac:dyDescent="0.25">
      <c r="A995">
        <v>32361</v>
      </c>
      <c r="B995" t="str">
        <f t="shared" si="16"/>
        <v>32361</v>
      </c>
      <c r="C995" t="s">
        <v>1194</v>
      </c>
      <c r="D995">
        <v>775.48</v>
      </c>
      <c r="E995" t="s">
        <v>531</v>
      </c>
    </row>
    <row r="996" spans="1:5" x14ac:dyDescent="0.25">
      <c r="A996">
        <v>32361</v>
      </c>
      <c r="B996" t="str">
        <f t="shared" si="16"/>
        <v>32361</v>
      </c>
      <c r="C996" t="s">
        <v>1195</v>
      </c>
      <c r="D996">
        <v>0</v>
      </c>
      <c r="E996" t="s">
        <v>531</v>
      </c>
    </row>
    <row r="997" spans="1:5" x14ac:dyDescent="0.25">
      <c r="A997">
        <v>32361</v>
      </c>
      <c r="B997" t="str">
        <f t="shared" si="16"/>
        <v>32361</v>
      </c>
      <c r="C997" t="s">
        <v>1197</v>
      </c>
      <c r="D997">
        <v>229.41</v>
      </c>
      <c r="E997" t="s">
        <v>531</v>
      </c>
    </row>
    <row r="998" spans="1:5" x14ac:dyDescent="0.25">
      <c r="A998">
        <v>32361</v>
      </c>
      <c r="B998" t="str">
        <f t="shared" si="16"/>
        <v>32361</v>
      </c>
      <c r="C998" t="s">
        <v>1202</v>
      </c>
      <c r="D998">
        <v>0</v>
      </c>
      <c r="E998" t="s">
        <v>531</v>
      </c>
    </row>
    <row r="999" spans="1:5" x14ac:dyDescent="0.25">
      <c r="A999">
        <v>32361</v>
      </c>
      <c r="B999" t="str">
        <f t="shared" si="16"/>
        <v>32361</v>
      </c>
      <c r="C999" t="s">
        <v>1206</v>
      </c>
      <c r="D999">
        <v>502</v>
      </c>
      <c r="E999" t="s">
        <v>531</v>
      </c>
    </row>
    <row r="1000" spans="1:5" x14ac:dyDescent="0.25">
      <c r="A1000">
        <v>32361</v>
      </c>
      <c r="B1000" t="str">
        <f t="shared" si="16"/>
        <v>32361</v>
      </c>
      <c r="C1000" t="s">
        <v>1199</v>
      </c>
      <c r="D1000">
        <v>0</v>
      </c>
      <c r="E1000" t="s">
        <v>531</v>
      </c>
    </row>
    <row r="1001" spans="1:5" x14ac:dyDescent="0.25">
      <c r="A1001">
        <v>32361</v>
      </c>
      <c r="B1001" t="str">
        <f t="shared" si="16"/>
        <v>32361</v>
      </c>
      <c r="C1001" t="s">
        <v>1203</v>
      </c>
      <c r="D1001">
        <v>483.76</v>
      </c>
      <c r="E1001" t="s">
        <v>531</v>
      </c>
    </row>
    <row r="1002" spans="1:5" x14ac:dyDescent="0.25">
      <c r="A1002">
        <v>32361</v>
      </c>
      <c r="B1002" t="str">
        <f t="shared" si="16"/>
        <v>32361</v>
      </c>
      <c r="C1002" t="s">
        <v>1200</v>
      </c>
      <c r="D1002">
        <v>0</v>
      </c>
      <c r="E1002" t="s">
        <v>531</v>
      </c>
    </row>
    <row r="1003" spans="1:5" x14ac:dyDescent="0.25">
      <c r="A1003">
        <v>32361</v>
      </c>
      <c r="B1003" t="str">
        <f t="shared" si="16"/>
        <v>32361</v>
      </c>
      <c r="C1003" t="s">
        <v>1204</v>
      </c>
      <c r="D1003">
        <v>835.41</v>
      </c>
      <c r="E1003" t="s">
        <v>531</v>
      </c>
    </row>
    <row r="1004" spans="1:5" x14ac:dyDescent="0.25">
      <c r="A1004">
        <v>32361</v>
      </c>
      <c r="B1004" t="str">
        <f t="shared" si="16"/>
        <v>32361</v>
      </c>
      <c r="C1004" t="s">
        <v>1207</v>
      </c>
      <c r="D1004">
        <v>51.62</v>
      </c>
      <c r="E1004" t="s">
        <v>531</v>
      </c>
    </row>
    <row r="1005" spans="1:5" x14ac:dyDescent="0.25">
      <c r="A1005">
        <v>32361</v>
      </c>
      <c r="B1005" t="str">
        <f t="shared" si="16"/>
        <v>32361</v>
      </c>
      <c r="C1005" t="s">
        <v>1208</v>
      </c>
      <c r="D1005">
        <v>195.08</v>
      </c>
      <c r="E1005" t="s">
        <v>531</v>
      </c>
    </row>
    <row r="1006" spans="1:5" x14ac:dyDescent="0.25">
      <c r="A1006">
        <v>32361</v>
      </c>
      <c r="B1006" t="str">
        <f t="shared" si="16"/>
        <v>32361</v>
      </c>
      <c r="C1006" t="s">
        <v>1210</v>
      </c>
      <c r="D1006">
        <v>0</v>
      </c>
      <c r="E1006" t="s">
        <v>531</v>
      </c>
    </row>
    <row r="1007" spans="1:5" x14ac:dyDescent="0.25">
      <c r="A1007">
        <v>32361</v>
      </c>
      <c r="B1007" t="str">
        <f t="shared" si="16"/>
        <v>32361</v>
      </c>
      <c r="C1007" t="s">
        <v>1212</v>
      </c>
      <c r="D1007">
        <v>0</v>
      </c>
      <c r="E1007" t="s">
        <v>531</v>
      </c>
    </row>
    <row r="1008" spans="1:5" x14ac:dyDescent="0.25">
      <c r="A1008">
        <v>32361</v>
      </c>
      <c r="B1008" t="str">
        <f t="shared" si="16"/>
        <v>32361</v>
      </c>
      <c r="C1008" t="s">
        <v>1216</v>
      </c>
      <c r="D1008">
        <v>0</v>
      </c>
      <c r="E1008" t="s">
        <v>531</v>
      </c>
    </row>
    <row r="1009" spans="1:5" x14ac:dyDescent="0.25">
      <c r="A1009">
        <v>32361</v>
      </c>
      <c r="B1009" t="str">
        <f t="shared" si="16"/>
        <v>32361</v>
      </c>
      <c r="C1009" t="s">
        <v>1198</v>
      </c>
      <c r="D1009">
        <v>246.81</v>
      </c>
      <c r="E1009" t="s">
        <v>531</v>
      </c>
    </row>
    <row r="1010" spans="1:5" x14ac:dyDescent="0.25">
      <c r="A1010">
        <v>39090</v>
      </c>
      <c r="B1010" t="str">
        <f t="shared" si="16"/>
        <v>39090</v>
      </c>
      <c r="C1010" t="s">
        <v>1193</v>
      </c>
      <c r="D1010">
        <v>0</v>
      </c>
      <c r="E1010" t="s">
        <v>588</v>
      </c>
    </row>
    <row r="1011" spans="1:5" x14ac:dyDescent="0.25">
      <c r="A1011">
        <v>39090</v>
      </c>
      <c r="B1011" t="str">
        <f t="shared" si="16"/>
        <v>39090</v>
      </c>
      <c r="C1011" t="s">
        <v>1194</v>
      </c>
      <c r="D1011">
        <v>699.48</v>
      </c>
      <c r="E1011" t="s">
        <v>588</v>
      </c>
    </row>
    <row r="1012" spans="1:5" x14ac:dyDescent="0.25">
      <c r="A1012">
        <v>39090</v>
      </c>
      <c r="B1012" t="str">
        <f t="shared" si="16"/>
        <v>39090</v>
      </c>
      <c r="C1012" t="s">
        <v>1195</v>
      </c>
      <c r="D1012">
        <v>0</v>
      </c>
      <c r="E1012" t="s">
        <v>588</v>
      </c>
    </row>
    <row r="1013" spans="1:5" x14ac:dyDescent="0.25">
      <c r="A1013">
        <v>39090</v>
      </c>
      <c r="B1013" t="str">
        <f t="shared" si="16"/>
        <v>39090</v>
      </c>
      <c r="C1013" t="s">
        <v>1197</v>
      </c>
      <c r="D1013">
        <v>253.21</v>
      </c>
      <c r="E1013" t="s">
        <v>588</v>
      </c>
    </row>
    <row r="1014" spans="1:5" x14ac:dyDescent="0.25">
      <c r="A1014">
        <v>39090</v>
      </c>
      <c r="B1014" t="str">
        <f t="shared" si="16"/>
        <v>39090</v>
      </c>
      <c r="C1014" t="s">
        <v>1202</v>
      </c>
      <c r="D1014">
        <v>0</v>
      </c>
      <c r="E1014" t="s">
        <v>588</v>
      </c>
    </row>
    <row r="1015" spans="1:5" x14ac:dyDescent="0.25">
      <c r="A1015">
        <v>39090</v>
      </c>
      <c r="B1015" t="str">
        <f t="shared" si="16"/>
        <v>39090</v>
      </c>
      <c r="C1015" t="s">
        <v>1206</v>
      </c>
      <c r="D1015">
        <v>521.79999999999995</v>
      </c>
      <c r="E1015" t="s">
        <v>588</v>
      </c>
    </row>
    <row r="1016" spans="1:5" x14ac:dyDescent="0.25">
      <c r="A1016">
        <v>39090</v>
      </c>
      <c r="B1016" t="str">
        <f t="shared" si="16"/>
        <v>39090</v>
      </c>
      <c r="C1016" t="s">
        <v>1199</v>
      </c>
      <c r="D1016">
        <v>0</v>
      </c>
      <c r="E1016" t="s">
        <v>588</v>
      </c>
    </row>
    <row r="1017" spans="1:5" x14ac:dyDescent="0.25">
      <c r="A1017">
        <v>39090</v>
      </c>
      <c r="B1017" t="str">
        <f t="shared" si="16"/>
        <v>39090</v>
      </c>
      <c r="C1017" t="s">
        <v>1203</v>
      </c>
      <c r="D1017">
        <v>541.20000000000005</v>
      </c>
      <c r="E1017" t="s">
        <v>588</v>
      </c>
    </row>
    <row r="1018" spans="1:5" x14ac:dyDescent="0.25">
      <c r="A1018">
        <v>39090</v>
      </c>
      <c r="B1018" t="str">
        <f t="shared" si="16"/>
        <v>39090</v>
      </c>
      <c r="C1018" t="s">
        <v>1200</v>
      </c>
      <c r="D1018">
        <v>0</v>
      </c>
      <c r="E1018" t="s">
        <v>588</v>
      </c>
    </row>
    <row r="1019" spans="1:5" x14ac:dyDescent="0.25">
      <c r="A1019">
        <v>39090</v>
      </c>
      <c r="B1019" t="str">
        <f t="shared" si="16"/>
        <v>39090</v>
      </c>
      <c r="C1019" t="s">
        <v>1204</v>
      </c>
      <c r="D1019">
        <v>949.37</v>
      </c>
      <c r="E1019" t="s">
        <v>588</v>
      </c>
    </row>
    <row r="1020" spans="1:5" x14ac:dyDescent="0.25">
      <c r="A1020">
        <v>39090</v>
      </c>
      <c r="B1020" t="str">
        <f t="shared" si="16"/>
        <v>39090</v>
      </c>
      <c r="C1020" t="s">
        <v>1207</v>
      </c>
      <c r="D1020">
        <v>16.05</v>
      </c>
      <c r="E1020" t="s">
        <v>588</v>
      </c>
    </row>
    <row r="1021" spans="1:5" x14ac:dyDescent="0.25">
      <c r="A1021">
        <v>39090</v>
      </c>
      <c r="B1021" t="str">
        <f t="shared" si="16"/>
        <v>39090</v>
      </c>
      <c r="C1021" t="s">
        <v>1208</v>
      </c>
      <c r="D1021">
        <v>173.89</v>
      </c>
      <c r="E1021" t="s">
        <v>588</v>
      </c>
    </row>
    <row r="1022" spans="1:5" x14ac:dyDescent="0.25">
      <c r="A1022">
        <v>39090</v>
      </c>
      <c r="B1022" t="str">
        <f t="shared" si="16"/>
        <v>39090</v>
      </c>
      <c r="C1022" t="s">
        <v>1210</v>
      </c>
      <c r="D1022">
        <v>0</v>
      </c>
      <c r="E1022" t="s">
        <v>588</v>
      </c>
    </row>
    <row r="1023" spans="1:5" x14ac:dyDescent="0.25">
      <c r="A1023">
        <v>39090</v>
      </c>
      <c r="B1023" t="str">
        <f t="shared" si="16"/>
        <v>39090</v>
      </c>
      <c r="C1023" t="s">
        <v>1212</v>
      </c>
      <c r="D1023">
        <v>0</v>
      </c>
      <c r="E1023" t="s">
        <v>588</v>
      </c>
    </row>
    <row r="1024" spans="1:5" x14ac:dyDescent="0.25">
      <c r="A1024">
        <v>39090</v>
      </c>
      <c r="B1024" t="str">
        <f t="shared" si="16"/>
        <v>39090</v>
      </c>
      <c r="C1024" t="s">
        <v>1216</v>
      </c>
      <c r="D1024">
        <v>78.400000000000006</v>
      </c>
      <c r="E1024" t="s">
        <v>588</v>
      </c>
    </row>
    <row r="1025" spans="1:5" x14ac:dyDescent="0.25">
      <c r="A1025">
        <v>39090</v>
      </c>
      <c r="B1025" t="str">
        <f t="shared" si="16"/>
        <v>39090</v>
      </c>
      <c r="C1025" t="s">
        <v>1198</v>
      </c>
      <c r="D1025">
        <v>194.6</v>
      </c>
      <c r="E1025" t="s">
        <v>588</v>
      </c>
    </row>
    <row r="1026" spans="1:5" x14ac:dyDescent="0.25">
      <c r="A1026" s="34" t="s">
        <v>52</v>
      </c>
      <c r="B1026" t="str">
        <f t="shared" si="16"/>
        <v>09206</v>
      </c>
      <c r="C1026" t="s">
        <v>1193</v>
      </c>
      <c r="D1026">
        <v>0</v>
      </c>
      <c r="E1026" t="s">
        <v>348</v>
      </c>
    </row>
    <row r="1027" spans="1:5" x14ac:dyDescent="0.25">
      <c r="A1027" s="34" t="s">
        <v>52</v>
      </c>
      <c r="B1027" t="str">
        <f t="shared" ref="B1027:B1090" si="17">TEXT(A1027,"00000")</f>
        <v>09206</v>
      </c>
      <c r="C1027" t="s">
        <v>1194</v>
      </c>
      <c r="D1027">
        <v>1243.8699999999999</v>
      </c>
      <c r="E1027" t="s">
        <v>348</v>
      </c>
    </row>
    <row r="1028" spans="1:5" x14ac:dyDescent="0.25">
      <c r="A1028" s="34" t="s">
        <v>52</v>
      </c>
      <c r="B1028" t="str">
        <f t="shared" si="17"/>
        <v>09206</v>
      </c>
      <c r="C1028" t="s">
        <v>1195</v>
      </c>
      <c r="D1028">
        <v>0</v>
      </c>
      <c r="E1028" t="s">
        <v>348</v>
      </c>
    </row>
    <row r="1029" spans="1:5" x14ac:dyDescent="0.25">
      <c r="A1029" s="34" t="s">
        <v>52</v>
      </c>
      <c r="B1029" t="str">
        <f t="shared" si="17"/>
        <v>09206</v>
      </c>
      <c r="C1029" t="s">
        <v>1197</v>
      </c>
      <c r="D1029">
        <v>406</v>
      </c>
      <c r="E1029" t="s">
        <v>348</v>
      </c>
    </row>
    <row r="1030" spans="1:5" x14ac:dyDescent="0.25">
      <c r="A1030" s="34" t="s">
        <v>52</v>
      </c>
      <c r="B1030" t="str">
        <f t="shared" si="17"/>
        <v>09206</v>
      </c>
      <c r="C1030" t="s">
        <v>1202</v>
      </c>
      <c r="D1030">
        <v>0</v>
      </c>
      <c r="E1030" t="s">
        <v>348</v>
      </c>
    </row>
    <row r="1031" spans="1:5" x14ac:dyDescent="0.25">
      <c r="A1031" s="34" t="s">
        <v>52</v>
      </c>
      <c r="B1031" t="str">
        <f t="shared" si="17"/>
        <v>09206</v>
      </c>
      <c r="C1031" t="s">
        <v>1206</v>
      </c>
      <c r="D1031">
        <v>875.8</v>
      </c>
      <c r="E1031" t="s">
        <v>348</v>
      </c>
    </row>
    <row r="1032" spans="1:5" x14ac:dyDescent="0.25">
      <c r="A1032" s="34" t="s">
        <v>52</v>
      </c>
      <c r="B1032" t="str">
        <f t="shared" si="17"/>
        <v>09206</v>
      </c>
      <c r="C1032" t="s">
        <v>1199</v>
      </c>
      <c r="D1032">
        <v>0</v>
      </c>
      <c r="E1032" t="s">
        <v>348</v>
      </c>
    </row>
    <row r="1033" spans="1:5" x14ac:dyDescent="0.25">
      <c r="A1033" s="34" t="s">
        <v>52</v>
      </c>
      <c r="B1033" t="str">
        <f t="shared" si="17"/>
        <v>09206</v>
      </c>
      <c r="C1033" t="s">
        <v>1203</v>
      </c>
      <c r="D1033">
        <v>900.38</v>
      </c>
      <c r="E1033" t="s">
        <v>348</v>
      </c>
    </row>
    <row r="1034" spans="1:5" x14ac:dyDescent="0.25">
      <c r="A1034" s="34" t="s">
        <v>52</v>
      </c>
      <c r="B1034" t="str">
        <f t="shared" si="17"/>
        <v>09206</v>
      </c>
      <c r="C1034" t="s">
        <v>1200</v>
      </c>
      <c r="D1034">
        <v>0</v>
      </c>
      <c r="E1034" t="s">
        <v>348</v>
      </c>
    </row>
    <row r="1035" spans="1:5" x14ac:dyDescent="0.25">
      <c r="A1035" s="34" t="s">
        <v>52</v>
      </c>
      <c r="B1035" t="str">
        <f t="shared" si="17"/>
        <v>09206</v>
      </c>
      <c r="C1035" t="s">
        <v>1204</v>
      </c>
      <c r="D1035">
        <v>1627.08</v>
      </c>
      <c r="E1035" t="s">
        <v>348</v>
      </c>
    </row>
    <row r="1036" spans="1:5" x14ac:dyDescent="0.25">
      <c r="A1036" s="34" t="s">
        <v>52</v>
      </c>
      <c r="B1036" t="str">
        <f t="shared" si="17"/>
        <v>09206</v>
      </c>
      <c r="C1036" t="s">
        <v>1207</v>
      </c>
      <c r="D1036">
        <v>131.65</v>
      </c>
      <c r="E1036" t="s">
        <v>348</v>
      </c>
    </row>
    <row r="1037" spans="1:5" x14ac:dyDescent="0.25">
      <c r="A1037" s="34" t="s">
        <v>52</v>
      </c>
      <c r="B1037" t="str">
        <f t="shared" si="17"/>
        <v>09206</v>
      </c>
      <c r="C1037" t="s">
        <v>1208</v>
      </c>
      <c r="D1037">
        <v>404.37</v>
      </c>
      <c r="E1037" t="s">
        <v>348</v>
      </c>
    </row>
    <row r="1038" spans="1:5" x14ac:dyDescent="0.25">
      <c r="A1038" s="34" t="s">
        <v>52</v>
      </c>
      <c r="B1038" t="str">
        <f t="shared" si="17"/>
        <v>09206</v>
      </c>
      <c r="C1038" t="s">
        <v>1210</v>
      </c>
      <c r="D1038">
        <v>0</v>
      </c>
      <c r="E1038" t="s">
        <v>348</v>
      </c>
    </row>
    <row r="1039" spans="1:5" x14ac:dyDescent="0.25">
      <c r="A1039" s="34" t="s">
        <v>52</v>
      </c>
      <c r="B1039" t="str">
        <f t="shared" si="17"/>
        <v>09206</v>
      </c>
      <c r="C1039" t="s">
        <v>1212</v>
      </c>
      <c r="D1039">
        <v>0</v>
      </c>
      <c r="E1039" t="s">
        <v>348</v>
      </c>
    </row>
    <row r="1040" spans="1:5" x14ac:dyDescent="0.25">
      <c r="A1040" s="34" t="s">
        <v>52</v>
      </c>
      <c r="B1040" t="str">
        <f t="shared" si="17"/>
        <v>09206</v>
      </c>
      <c r="C1040" t="s">
        <v>1216</v>
      </c>
      <c r="D1040">
        <v>70.2</v>
      </c>
      <c r="E1040" t="s">
        <v>348</v>
      </c>
    </row>
    <row r="1041" spans="1:5" x14ac:dyDescent="0.25">
      <c r="A1041" s="34" t="s">
        <v>52</v>
      </c>
      <c r="B1041" t="str">
        <f t="shared" si="17"/>
        <v>09206</v>
      </c>
      <c r="C1041" t="s">
        <v>1198</v>
      </c>
      <c r="D1041">
        <v>356.01</v>
      </c>
      <c r="E1041" t="s">
        <v>348</v>
      </c>
    </row>
    <row r="1042" spans="1:5" x14ac:dyDescent="0.25">
      <c r="A1042">
        <v>19028</v>
      </c>
      <c r="B1042" t="str">
        <f t="shared" si="17"/>
        <v>19028</v>
      </c>
      <c r="C1042" t="s">
        <v>1193</v>
      </c>
      <c r="D1042">
        <v>0</v>
      </c>
      <c r="E1042" t="s">
        <v>419</v>
      </c>
    </row>
    <row r="1043" spans="1:5" x14ac:dyDescent="0.25">
      <c r="A1043">
        <v>19028</v>
      </c>
      <c r="B1043" t="str">
        <f t="shared" si="17"/>
        <v>19028</v>
      </c>
      <c r="C1043" t="s">
        <v>1194</v>
      </c>
      <c r="D1043">
        <v>17.2</v>
      </c>
      <c r="E1043" t="s">
        <v>419</v>
      </c>
    </row>
    <row r="1044" spans="1:5" x14ac:dyDescent="0.25">
      <c r="A1044">
        <v>19028</v>
      </c>
      <c r="B1044" t="str">
        <f t="shared" si="17"/>
        <v>19028</v>
      </c>
      <c r="C1044" t="s">
        <v>1195</v>
      </c>
      <c r="D1044">
        <v>0</v>
      </c>
      <c r="E1044" t="s">
        <v>419</v>
      </c>
    </row>
    <row r="1045" spans="1:5" x14ac:dyDescent="0.25">
      <c r="A1045">
        <v>19028</v>
      </c>
      <c r="B1045" t="str">
        <f t="shared" si="17"/>
        <v>19028</v>
      </c>
      <c r="C1045" t="s">
        <v>1197</v>
      </c>
      <c r="D1045">
        <v>6</v>
      </c>
      <c r="E1045" t="s">
        <v>419</v>
      </c>
    </row>
    <row r="1046" spans="1:5" x14ac:dyDescent="0.25">
      <c r="A1046">
        <v>19028</v>
      </c>
      <c r="B1046" t="str">
        <f t="shared" si="17"/>
        <v>19028</v>
      </c>
      <c r="C1046" t="s">
        <v>1202</v>
      </c>
      <c r="D1046">
        <v>0</v>
      </c>
      <c r="E1046" t="s">
        <v>419</v>
      </c>
    </row>
    <row r="1047" spans="1:5" x14ac:dyDescent="0.25">
      <c r="A1047">
        <v>19028</v>
      </c>
      <c r="B1047" t="str">
        <f t="shared" si="17"/>
        <v>19028</v>
      </c>
      <c r="C1047" t="s">
        <v>1206</v>
      </c>
      <c r="D1047">
        <v>13.6</v>
      </c>
      <c r="E1047" t="s">
        <v>419</v>
      </c>
    </row>
    <row r="1048" spans="1:5" x14ac:dyDescent="0.25">
      <c r="A1048">
        <v>19028</v>
      </c>
      <c r="B1048" t="str">
        <f t="shared" si="17"/>
        <v>19028</v>
      </c>
      <c r="C1048" t="s">
        <v>1199</v>
      </c>
      <c r="D1048">
        <v>0</v>
      </c>
      <c r="E1048" t="s">
        <v>419</v>
      </c>
    </row>
    <row r="1049" spans="1:5" x14ac:dyDescent="0.25">
      <c r="A1049">
        <v>19028</v>
      </c>
      <c r="B1049" t="str">
        <f t="shared" si="17"/>
        <v>19028</v>
      </c>
      <c r="C1049" t="s">
        <v>1203</v>
      </c>
      <c r="D1049">
        <v>12</v>
      </c>
      <c r="E1049" t="s">
        <v>419</v>
      </c>
    </row>
    <row r="1050" spans="1:5" x14ac:dyDescent="0.25">
      <c r="A1050">
        <v>19028</v>
      </c>
      <c r="B1050" t="str">
        <f t="shared" si="17"/>
        <v>19028</v>
      </c>
      <c r="C1050" t="s">
        <v>1200</v>
      </c>
      <c r="D1050">
        <v>0</v>
      </c>
      <c r="E1050" t="s">
        <v>419</v>
      </c>
    </row>
    <row r="1051" spans="1:5" x14ac:dyDescent="0.25">
      <c r="A1051">
        <v>19028</v>
      </c>
      <c r="B1051" t="str">
        <f t="shared" si="17"/>
        <v>19028</v>
      </c>
      <c r="C1051" t="s">
        <v>1204</v>
      </c>
      <c r="D1051">
        <v>33.53</v>
      </c>
      <c r="E1051" t="s">
        <v>419</v>
      </c>
    </row>
    <row r="1052" spans="1:5" x14ac:dyDescent="0.25">
      <c r="A1052">
        <v>19028</v>
      </c>
      <c r="B1052" t="str">
        <f t="shared" si="17"/>
        <v>19028</v>
      </c>
      <c r="C1052" t="s">
        <v>1207</v>
      </c>
      <c r="D1052">
        <v>0</v>
      </c>
      <c r="E1052" t="s">
        <v>419</v>
      </c>
    </row>
    <row r="1053" spans="1:5" x14ac:dyDescent="0.25">
      <c r="A1053">
        <v>19028</v>
      </c>
      <c r="B1053" t="str">
        <f t="shared" si="17"/>
        <v>19028</v>
      </c>
      <c r="C1053" t="s">
        <v>1208</v>
      </c>
      <c r="D1053">
        <v>0</v>
      </c>
      <c r="E1053" t="s">
        <v>419</v>
      </c>
    </row>
    <row r="1054" spans="1:5" x14ac:dyDescent="0.25">
      <c r="A1054">
        <v>19028</v>
      </c>
      <c r="B1054" t="str">
        <f t="shared" si="17"/>
        <v>19028</v>
      </c>
      <c r="C1054" t="s">
        <v>1210</v>
      </c>
      <c r="D1054">
        <v>0</v>
      </c>
      <c r="E1054" t="s">
        <v>419</v>
      </c>
    </row>
    <row r="1055" spans="1:5" x14ac:dyDescent="0.25">
      <c r="A1055">
        <v>19028</v>
      </c>
      <c r="B1055" t="str">
        <f t="shared" si="17"/>
        <v>19028</v>
      </c>
      <c r="C1055" t="s">
        <v>1212</v>
      </c>
      <c r="D1055">
        <v>0</v>
      </c>
      <c r="E1055" t="s">
        <v>419</v>
      </c>
    </row>
    <row r="1056" spans="1:5" x14ac:dyDescent="0.25">
      <c r="A1056">
        <v>19028</v>
      </c>
      <c r="B1056" t="str">
        <f t="shared" si="17"/>
        <v>19028</v>
      </c>
      <c r="C1056" t="s">
        <v>1216</v>
      </c>
      <c r="D1056">
        <v>0</v>
      </c>
      <c r="E1056" t="s">
        <v>419</v>
      </c>
    </row>
    <row r="1057" spans="1:5" x14ac:dyDescent="0.25">
      <c r="A1057">
        <v>19028</v>
      </c>
      <c r="B1057" t="str">
        <f t="shared" si="17"/>
        <v>19028</v>
      </c>
      <c r="C1057" t="s">
        <v>1198</v>
      </c>
      <c r="D1057">
        <v>2</v>
      </c>
      <c r="E1057" t="s">
        <v>419</v>
      </c>
    </row>
    <row r="1058" spans="1:5" x14ac:dyDescent="0.25">
      <c r="A1058">
        <v>27404</v>
      </c>
      <c r="B1058" t="str">
        <f t="shared" si="17"/>
        <v>27404</v>
      </c>
      <c r="C1058" t="s">
        <v>1193</v>
      </c>
      <c r="D1058">
        <v>0</v>
      </c>
      <c r="E1058" t="s">
        <v>490</v>
      </c>
    </row>
    <row r="1059" spans="1:5" x14ac:dyDescent="0.25">
      <c r="A1059">
        <v>27404</v>
      </c>
      <c r="B1059" t="str">
        <f t="shared" si="17"/>
        <v>27404</v>
      </c>
      <c r="C1059" t="s">
        <v>1194</v>
      </c>
      <c r="D1059">
        <v>462.41</v>
      </c>
      <c r="E1059" t="s">
        <v>490</v>
      </c>
    </row>
    <row r="1060" spans="1:5" x14ac:dyDescent="0.25">
      <c r="A1060">
        <v>27404</v>
      </c>
      <c r="B1060" t="str">
        <f t="shared" si="17"/>
        <v>27404</v>
      </c>
      <c r="C1060" t="s">
        <v>1195</v>
      </c>
      <c r="D1060">
        <v>0</v>
      </c>
      <c r="E1060" t="s">
        <v>490</v>
      </c>
    </row>
    <row r="1061" spans="1:5" x14ac:dyDescent="0.25">
      <c r="A1061">
        <v>27404</v>
      </c>
      <c r="B1061" t="str">
        <f t="shared" si="17"/>
        <v>27404</v>
      </c>
      <c r="C1061" t="s">
        <v>1197</v>
      </c>
      <c r="D1061">
        <v>141.6</v>
      </c>
      <c r="E1061" t="s">
        <v>490</v>
      </c>
    </row>
    <row r="1062" spans="1:5" x14ac:dyDescent="0.25">
      <c r="A1062">
        <v>27404</v>
      </c>
      <c r="B1062" t="str">
        <f t="shared" si="17"/>
        <v>27404</v>
      </c>
      <c r="C1062" t="s">
        <v>1202</v>
      </c>
      <c r="D1062">
        <v>0</v>
      </c>
      <c r="E1062" t="s">
        <v>490</v>
      </c>
    </row>
    <row r="1063" spans="1:5" x14ac:dyDescent="0.25">
      <c r="A1063">
        <v>27404</v>
      </c>
      <c r="B1063" t="str">
        <f t="shared" si="17"/>
        <v>27404</v>
      </c>
      <c r="C1063" t="s">
        <v>1206</v>
      </c>
      <c r="D1063">
        <v>305.02</v>
      </c>
      <c r="E1063" t="s">
        <v>490</v>
      </c>
    </row>
    <row r="1064" spans="1:5" x14ac:dyDescent="0.25">
      <c r="A1064">
        <v>27404</v>
      </c>
      <c r="B1064" t="str">
        <f t="shared" si="17"/>
        <v>27404</v>
      </c>
      <c r="C1064" t="s">
        <v>1199</v>
      </c>
      <c r="D1064">
        <v>0</v>
      </c>
      <c r="E1064" t="s">
        <v>490</v>
      </c>
    </row>
    <row r="1065" spans="1:5" x14ac:dyDescent="0.25">
      <c r="A1065">
        <v>27404</v>
      </c>
      <c r="B1065" t="str">
        <f t="shared" si="17"/>
        <v>27404</v>
      </c>
      <c r="C1065" t="s">
        <v>1203</v>
      </c>
      <c r="D1065">
        <v>293.89</v>
      </c>
      <c r="E1065" t="s">
        <v>490</v>
      </c>
    </row>
    <row r="1066" spans="1:5" x14ac:dyDescent="0.25">
      <c r="A1066">
        <v>27404</v>
      </c>
      <c r="B1066" t="str">
        <f t="shared" si="17"/>
        <v>27404</v>
      </c>
      <c r="C1066" t="s">
        <v>1200</v>
      </c>
      <c r="D1066">
        <v>0</v>
      </c>
      <c r="E1066" t="s">
        <v>490</v>
      </c>
    </row>
    <row r="1067" spans="1:5" x14ac:dyDescent="0.25">
      <c r="A1067">
        <v>27404</v>
      </c>
      <c r="B1067" t="str">
        <f t="shared" si="17"/>
        <v>27404</v>
      </c>
      <c r="C1067" t="s">
        <v>1204</v>
      </c>
      <c r="D1067">
        <v>522.04999999999995</v>
      </c>
      <c r="E1067" t="s">
        <v>490</v>
      </c>
    </row>
    <row r="1068" spans="1:5" x14ac:dyDescent="0.25">
      <c r="A1068">
        <v>27404</v>
      </c>
      <c r="B1068" t="str">
        <f t="shared" si="17"/>
        <v>27404</v>
      </c>
      <c r="C1068" t="s">
        <v>1207</v>
      </c>
      <c r="D1068">
        <v>61.98</v>
      </c>
      <c r="E1068" t="s">
        <v>490</v>
      </c>
    </row>
    <row r="1069" spans="1:5" x14ac:dyDescent="0.25">
      <c r="A1069">
        <v>27404</v>
      </c>
      <c r="B1069" t="str">
        <f t="shared" si="17"/>
        <v>27404</v>
      </c>
      <c r="C1069" t="s">
        <v>1208</v>
      </c>
      <c r="D1069">
        <v>131.96</v>
      </c>
      <c r="E1069" t="s">
        <v>490</v>
      </c>
    </row>
    <row r="1070" spans="1:5" x14ac:dyDescent="0.25">
      <c r="A1070">
        <v>27404</v>
      </c>
      <c r="B1070" t="str">
        <f t="shared" si="17"/>
        <v>27404</v>
      </c>
      <c r="C1070" t="s">
        <v>1210</v>
      </c>
      <c r="D1070">
        <v>0</v>
      </c>
      <c r="E1070" t="s">
        <v>490</v>
      </c>
    </row>
    <row r="1071" spans="1:5" x14ac:dyDescent="0.25">
      <c r="A1071">
        <v>27404</v>
      </c>
      <c r="B1071" t="str">
        <f t="shared" si="17"/>
        <v>27404</v>
      </c>
      <c r="C1071" t="s">
        <v>1212</v>
      </c>
      <c r="D1071">
        <v>0</v>
      </c>
      <c r="E1071" t="s">
        <v>490</v>
      </c>
    </row>
    <row r="1072" spans="1:5" x14ac:dyDescent="0.25">
      <c r="A1072">
        <v>27404</v>
      </c>
      <c r="B1072" t="str">
        <f t="shared" si="17"/>
        <v>27404</v>
      </c>
      <c r="C1072" t="s">
        <v>1216</v>
      </c>
      <c r="D1072">
        <v>47.4</v>
      </c>
      <c r="E1072" t="s">
        <v>490</v>
      </c>
    </row>
    <row r="1073" spans="1:5" x14ac:dyDescent="0.25">
      <c r="A1073">
        <v>27404</v>
      </c>
      <c r="B1073" t="str">
        <f t="shared" si="17"/>
        <v>27404</v>
      </c>
      <c r="C1073" t="s">
        <v>1198</v>
      </c>
      <c r="D1073">
        <v>115.4</v>
      </c>
      <c r="E1073" t="s">
        <v>490</v>
      </c>
    </row>
    <row r="1074" spans="1:5" x14ac:dyDescent="0.25">
      <c r="A1074">
        <v>31015</v>
      </c>
      <c r="B1074" t="str">
        <f t="shared" si="17"/>
        <v>31015</v>
      </c>
      <c r="C1074" t="s">
        <v>1193</v>
      </c>
      <c r="D1074">
        <v>0</v>
      </c>
      <c r="E1074" t="s">
        <v>511</v>
      </c>
    </row>
    <row r="1075" spans="1:5" x14ac:dyDescent="0.25">
      <c r="A1075">
        <v>31015</v>
      </c>
      <c r="B1075" t="str">
        <f t="shared" si="17"/>
        <v>31015</v>
      </c>
      <c r="C1075" t="s">
        <v>1194</v>
      </c>
      <c r="D1075">
        <v>4490.38</v>
      </c>
      <c r="E1075" t="s">
        <v>511</v>
      </c>
    </row>
    <row r="1076" spans="1:5" x14ac:dyDescent="0.25">
      <c r="A1076">
        <v>31015</v>
      </c>
      <c r="B1076" t="str">
        <f t="shared" si="17"/>
        <v>31015</v>
      </c>
      <c r="C1076" t="s">
        <v>1195</v>
      </c>
      <c r="D1076">
        <v>0</v>
      </c>
      <c r="E1076" t="s">
        <v>511</v>
      </c>
    </row>
    <row r="1077" spans="1:5" x14ac:dyDescent="0.25">
      <c r="A1077">
        <v>31015</v>
      </c>
      <c r="B1077" t="str">
        <f t="shared" si="17"/>
        <v>31015</v>
      </c>
      <c r="C1077" t="s">
        <v>1197</v>
      </c>
      <c r="D1077">
        <v>1425.29</v>
      </c>
      <c r="E1077" t="s">
        <v>511</v>
      </c>
    </row>
    <row r="1078" spans="1:5" x14ac:dyDescent="0.25">
      <c r="A1078">
        <v>31015</v>
      </c>
      <c r="B1078" t="str">
        <f t="shared" si="17"/>
        <v>31015</v>
      </c>
      <c r="C1078" t="s">
        <v>1202</v>
      </c>
      <c r="D1078">
        <v>0</v>
      </c>
      <c r="E1078" t="s">
        <v>511</v>
      </c>
    </row>
    <row r="1079" spans="1:5" x14ac:dyDescent="0.25">
      <c r="A1079">
        <v>31015</v>
      </c>
      <c r="B1079" t="str">
        <f t="shared" si="17"/>
        <v>31015</v>
      </c>
      <c r="C1079" t="s">
        <v>1206</v>
      </c>
      <c r="D1079">
        <v>2934.2</v>
      </c>
      <c r="E1079" t="s">
        <v>511</v>
      </c>
    </row>
    <row r="1080" spans="1:5" x14ac:dyDescent="0.25">
      <c r="A1080">
        <v>31015</v>
      </c>
      <c r="B1080" t="str">
        <f t="shared" si="17"/>
        <v>31015</v>
      </c>
      <c r="C1080" t="s">
        <v>1199</v>
      </c>
      <c r="D1080">
        <v>0</v>
      </c>
      <c r="E1080" t="s">
        <v>511</v>
      </c>
    </row>
    <row r="1081" spans="1:5" x14ac:dyDescent="0.25">
      <c r="A1081">
        <v>31015</v>
      </c>
      <c r="B1081" t="str">
        <f t="shared" si="17"/>
        <v>31015</v>
      </c>
      <c r="C1081" t="s">
        <v>1203</v>
      </c>
      <c r="D1081">
        <v>2795.84</v>
      </c>
      <c r="E1081" t="s">
        <v>511</v>
      </c>
    </row>
    <row r="1082" spans="1:5" x14ac:dyDescent="0.25">
      <c r="A1082">
        <v>31015</v>
      </c>
      <c r="B1082" t="str">
        <f t="shared" si="17"/>
        <v>31015</v>
      </c>
      <c r="C1082" t="s">
        <v>1200</v>
      </c>
      <c r="D1082">
        <v>0</v>
      </c>
      <c r="E1082" t="s">
        <v>511</v>
      </c>
    </row>
    <row r="1083" spans="1:5" x14ac:dyDescent="0.25">
      <c r="A1083">
        <v>31015</v>
      </c>
      <c r="B1083" t="str">
        <f t="shared" si="17"/>
        <v>31015</v>
      </c>
      <c r="C1083" t="s">
        <v>1204</v>
      </c>
      <c r="D1083">
        <v>5367.29</v>
      </c>
      <c r="E1083" t="s">
        <v>511</v>
      </c>
    </row>
    <row r="1084" spans="1:5" x14ac:dyDescent="0.25">
      <c r="A1084">
        <v>31015</v>
      </c>
      <c r="B1084" t="str">
        <f t="shared" si="17"/>
        <v>31015</v>
      </c>
      <c r="C1084" t="s">
        <v>1207</v>
      </c>
      <c r="D1084">
        <v>98.16</v>
      </c>
      <c r="E1084" t="s">
        <v>511</v>
      </c>
    </row>
    <row r="1085" spans="1:5" x14ac:dyDescent="0.25">
      <c r="A1085">
        <v>31015</v>
      </c>
      <c r="B1085" t="str">
        <f t="shared" si="17"/>
        <v>31015</v>
      </c>
      <c r="C1085" t="s">
        <v>1208</v>
      </c>
      <c r="D1085">
        <v>980.84</v>
      </c>
      <c r="E1085" t="s">
        <v>511</v>
      </c>
    </row>
    <row r="1086" spans="1:5" x14ac:dyDescent="0.25">
      <c r="A1086">
        <v>31015</v>
      </c>
      <c r="B1086" t="str">
        <f t="shared" si="17"/>
        <v>31015</v>
      </c>
      <c r="C1086" t="s">
        <v>1210</v>
      </c>
      <c r="D1086">
        <v>0</v>
      </c>
      <c r="E1086" t="s">
        <v>511</v>
      </c>
    </row>
    <row r="1087" spans="1:5" x14ac:dyDescent="0.25">
      <c r="A1087">
        <v>31015</v>
      </c>
      <c r="B1087" t="str">
        <f t="shared" si="17"/>
        <v>31015</v>
      </c>
      <c r="C1087" t="s">
        <v>1212</v>
      </c>
      <c r="D1087">
        <v>0</v>
      </c>
      <c r="E1087" t="s">
        <v>511</v>
      </c>
    </row>
    <row r="1088" spans="1:5" x14ac:dyDescent="0.25">
      <c r="A1088">
        <v>31015</v>
      </c>
      <c r="B1088" t="str">
        <f t="shared" si="17"/>
        <v>31015</v>
      </c>
      <c r="C1088" t="s">
        <v>1216</v>
      </c>
      <c r="D1088">
        <v>0</v>
      </c>
      <c r="E1088" t="s">
        <v>511</v>
      </c>
    </row>
    <row r="1089" spans="1:5" x14ac:dyDescent="0.25">
      <c r="A1089">
        <v>31015</v>
      </c>
      <c r="B1089" t="str">
        <f t="shared" si="17"/>
        <v>31015</v>
      </c>
      <c r="C1089" t="s">
        <v>1198</v>
      </c>
      <c r="D1089">
        <v>1437.97</v>
      </c>
      <c r="E1089" t="s">
        <v>511</v>
      </c>
    </row>
    <row r="1090" spans="1:5" x14ac:dyDescent="0.25">
      <c r="A1090">
        <v>19401</v>
      </c>
      <c r="B1090" t="str">
        <f t="shared" si="17"/>
        <v>19401</v>
      </c>
      <c r="C1090" t="s">
        <v>1193</v>
      </c>
      <c r="D1090">
        <v>0</v>
      </c>
      <c r="E1090" t="s">
        <v>421</v>
      </c>
    </row>
    <row r="1091" spans="1:5" x14ac:dyDescent="0.25">
      <c r="A1091">
        <v>19401</v>
      </c>
      <c r="B1091" t="str">
        <f t="shared" ref="B1091:B1154" si="18">TEXT(A1091,"00000")</f>
        <v>19401</v>
      </c>
      <c r="C1091" t="s">
        <v>1194</v>
      </c>
      <c r="D1091">
        <v>702.06</v>
      </c>
      <c r="E1091" t="s">
        <v>421</v>
      </c>
    </row>
    <row r="1092" spans="1:5" x14ac:dyDescent="0.25">
      <c r="A1092">
        <v>19401</v>
      </c>
      <c r="B1092" t="str">
        <f t="shared" si="18"/>
        <v>19401</v>
      </c>
      <c r="C1092" t="s">
        <v>1195</v>
      </c>
      <c r="D1092">
        <v>0</v>
      </c>
      <c r="E1092" t="s">
        <v>421</v>
      </c>
    </row>
    <row r="1093" spans="1:5" x14ac:dyDescent="0.25">
      <c r="A1093">
        <v>19401</v>
      </c>
      <c r="B1093" t="str">
        <f t="shared" si="18"/>
        <v>19401</v>
      </c>
      <c r="C1093" t="s">
        <v>1197</v>
      </c>
      <c r="D1093">
        <v>254.83</v>
      </c>
      <c r="E1093" t="s">
        <v>421</v>
      </c>
    </row>
    <row r="1094" spans="1:5" x14ac:dyDescent="0.25">
      <c r="A1094">
        <v>19401</v>
      </c>
      <c r="B1094" t="str">
        <f t="shared" si="18"/>
        <v>19401</v>
      </c>
      <c r="C1094" t="s">
        <v>1202</v>
      </c>
      <c r="D1094">
        <v>0</v>
      </c>
      <c r="E1094" t="s">
        <v>421</v>
      </c>
    </row>
    <row r="1095" spans="1:5" x14ac:dyDescent="0.25">
      <c r="A1095">
        <v>19401</v>
      </c>
      <c r="B1095" t="str">
        <f t="shared" si="18"/>
        <v>19401</v>
      </c>
      <c r="C1095" t="s">
        <v>1206</v>
      </c>
      <c r="D1095">
        <v>478.6</v>
      </c>
      <c r="E1095" t="s">
        <v>421</v>
      </c>
    </row>
    <row r="1096" spans="1:5" x14ac:dyDescent="0.25">
      <c r="A1096">
        <v>19401</v>
      </c>
      <c r="B1096" t="str">
        <f t="shared" si="18"/>
        <v>19401</v>
      </c>
      <c r="C1096" t="s">
        <v>1199</v>
      </c>
      <c r="D1096">
        <v>0</v>
      </c>
      <c r="E1096" t="s">
        <v>421</v>
      </c>
    </row>
    <row r="1097" spans="1:5" x14ac:dyDescent="0.25">
      <c r="A1097">
        <v>19401</v>
      </c>
      <c r="B1097" t="str">
        <f t="shared" si="18"/>
        <v>19401</v>
      </c>
      <c r="C1097" t="s">
        <v>1203</v>
      </c>
      <c r="D1097">
        <v>512.99</v>
      </c>
      <c r="E1097" t="s">
        <v>421</v>
      </c>
    </row>
    <row r="1098" spans="1:5" x14ac:dyDescent="0.25">
      <c r="A1098">
        <v>19401</v>
      </c>
      <c r="B1098" t="str">
        <f t="shared" si="18"/>
        <v>19401</v>
      </c>
      <c r="C1098" t="s">
        <v>1200</v>
      </c>
      <c r="D1098">
        <v>0</v>
      </c>
      <c r="E1098" t="s">
        <v>421</v>
      </c>
    </row>
    <row r="1099" spans="1:5" x14ac:dyDescent="0.25">
      <c r="A1099">
        <v>19401</v>
      </c>
      <c r="B1099" t="str">
        <f t="shared" si="18"/>
        <v>19401</v>
      </c>
      <c r="C1099" t="s">
        <v>1204</v>
      </c>
      <c r="D1099">
        <v>844.36</v>
      </c>
      <c r="E1099" t="s">
        <v>421</v>
      </c>
    </row>
    <row r="1100" spans="1:5" x14ac:dyDescent="0.25">
      <c r="A1100">
        <v>19401</v>
      </c>
      <c r="B1100" t="str">
        <f t="shared" si="18"/>
        <v>19401</v>
      </c>
      <c r="C1100" t="s">
        <v>1207</v>
      </c>
      <c r="D1100">
        <v>24.77</v>
      </c>
      <c r="E1100" t="s">
        <v>421</v>
      </c>
    </row>
    <row r="1101" spans="1:5" x14ac:dyDescent="0.25">
      <c r="A1101">
        <v>19401</v>
      </c>
      <c r="B1101" t="str">
        <f t="shared" si="18"/>
        <v>19401</v>
      </c>
      <c r="C1101" t="s">
        <v>1208</v>
      </c>
      <c r="D1101">
        <v>190.43</v>
      </c>
      <c r="E1101" t="s">
        <v>421</v>
      </c>
    </row>
    <row r="1102" spans="1:5" x14ac:dyDescent="0.25">
      <c r="A1102">
        <v>19401</v>
      </c>
      <c r="B1102" t="str">
        <f t="shared" si="18"/>
        <v>19401</v>
      </c>
      <c r="C1102" t="s">
        <v>1210</v>
      </c>
      <c r="D1102">
        <v>0</v>
      </c>
      <c r="E1102" t="s">
        <v>421</v>
      </c>
    </row>
    <row r="1103" spans="1:5" x14ac:dyDescent="0.25">
      <c r="A1103">
        <v>19401</v>
      </c>
      <c r="B1103" t="str">
        <f t="shared" si="18"/>
        <v>19401</v>
      </c>
      <c r="C1103" t="s">
        <v>1212</v>
      </c>
      <c r="D1103">
        <v>0</v>
      </c>
      <c r="E1103" t="s">
        <v>421</v>
      </c>
    </row>
    <row r="1104" spans="1:5" x14ac:dyDescent="0.25">
      <c r="A1104">
        <v>19401</v>
      </c>
      <c r="B1104" t="str">
        <f t="shared" si="18"/>
        <v>19401</v>
      </c>
      <c r="C1104" t="s">
        <v>1216</v>
      </c>
      <c r="D1104">
        <v>35.200000000000003</v>
      </c>
      <c r="E1104" t="s">
        <v>421</v>
      </c>
    </row>
    <row r="1105" spans="1:5" x14ac:dyDescent="0.25">
      <c r="A1105">
        <v>19401</v>
      </c>
      <c r="B1105" t="str">
        <f t="shared" si="18"/>
        <v>19401</v>
      </c>
      <c r="C1105" t="s">
        <v>1198</v>
      </c>
      <c r="D1105">
        <v>216.51</v>
      </c>
      <c r="E1105" t="s">
        <v>421</v>
      </c>
    </row>
    <row r="1106" spans="1:5" x14ac:dyDescent="0.25">
      <c r="A1106">
        <v>14068</v>
      </c>
      <c r="B1106" t="str">
        <f t="shared" si="18"/>
        <v>14068</v>
      </c>
      <c r="C1106" t="s">
        <v>1193</v>
      </c>
      <c r="D1106">
        <v>0</v>
      </c>
      <c r="E1106" t="s">
        <v>376</v>
      </c>
    </row>
    <row r="1107" spans="1:5" x14ac:dyDescent="0.25">
      <c r="A1107">
        <v>14068</v>
      </c>
      <c r="B1107" t="str">
        <f t="shared" si="18"/>
        <v>14068</v>
      </c>
      <c r="C1107" t="s">
        <v>1194</v>
      </c>
      <c r="D1107">
        <v>344.63</v>
      </c>
      <c r="E1107" t="s">
        <v>376</v>
      </c>
    </row>
    <row r="1108" spans="1:5" x14ac:dyDescent="0.25">
      <c r="A1108">
        <v>14068</v>
      </c>
      <c r="B1108" t="str">
        <f t="shared" si="18"/>
        <v>14068</v>
      </c>
      <c r="C1108" t="s">
        <v>1195</v>
      </c>
      <c r="D1108">
        <v>0</v>
      </c>
      <c r="E1108" t="s">
        <v>376</v>
      </c>
    </row>
    <row r="1109" spans="1:5" x14ac:dyDescent="0.25">
      <c r="A1109">
        <v>14068</v>
      </c>
      <c r="B1109" t="str">
        <f t="shared" si="18"/>
        <v>14068</v>
      </c>
      <c r="C1109" t="s">
        <v>1197</v>
      </c>
      <c r="D1109">
        <v>93.7</v>
      </c>
      <c r="E1109" t="s">
        <v>376</v>
      </c>
    </row>
    <row r="1110" spans="1:5" x14ac:dyDescent="0.25">
      <c r="A1110">
        <v>14068</v>
      </c>
      <c r="B1110" t="str">
        <f t="shared" si="18"/>
        <v>14068</v>
      </c>
      <c r="C1110" t="s">
        <v>1202</v>
      </c>
      <c r="D1110">
        <v>0</v>
      </c>
      <c r="E1110" t="s">
        <v>376</v>
      </c>
    </row>
    <row r="1111" spans="1:5" x14ac:dyDescent="0.25">
      <c r="A1111">
        <v>14068</v>
      </c>
      <c r="B1111" t="str">
        <f t="shared" si="18"/>
        <v>14068</v>
      </c>
      <c r="C1111" t="s">
        <v>1206</v>
      </c>
      <c r="D1111">
        <v>195.91</v>
      </c>
      <c r="E1111" t="s">
        <v>376</v>
      </c>
    </row>
    <row r="1112" spans="1:5" x14ac:dyDescent="0.25">
      <c r="A1112">
        <v>14068</v>
      </c>
      <c r="B1112" t="str">
        <f t="shared" si="18"/>
        <v>14068</v>
      </c>
      <c r="C1112" t="s">
        <v>1199</v>
      </c>
      <c r="D1112">
        <v>0</v>
      </c>
      <c r="E1112" t="s">
        <v>376</v>
      </c>
    </row>
    <row r="1113" spans="1:5" x14ac:dyDescent="0.25">
      <c r="A1113">
        <v>14068</v>
      </c>
      <c r="B1113" t="str">
        <f t="shared" si="18"/>
        <v>14068</v>
      </c>
      <c r="C1113" t="s">
        <v>1203</v>
      </c>
      <c r="D1113">
        <v>224.33</v>
      </c>
      <c r="E1113" t="s">
        <v>376</v>
      </c>
    </row>
    <row r="1114" spans="1:5" x14ac:dyDescent="0.25">
      <c r="A1114">
        <v>14068</v>
      </c>
      <c r="B1114" t="str">
        <f t="shared" si="18"/>
        <v>14068</v>
      </c>
      <c r="C1114" t="s">
        <v>1200</v>
      </c>
      <c r="D1114">
        <v>0</v>
      </c>
      <c r="E1114" t="s">
        <v>376</v>
      </c>
    </row>
    <row r="1115" spans="1:5" x14ac:dyDescent="0.25">
      <c r="A1115">
        <v>14068</v>
      </c>
      <c r="B1115" t="str">
        <f t="shared" si="18"/>
        <v>14068</v>
      </c>
      <c r="C1115" t="s">
        <v>1204</v>
      </c>
      <c r="D1115">
        <v>494.99</v>
      </c>
      <c r="E1115" t="s">
        <v>376</v>
      </c>
    </row>
    <row r="1116" spans="1:5" x14ac:dyDescent="0.25">
      <c r="A1116">
        <v>14068</v>
      </c>
      <c r="B1116" t="str">
        <f t="shared" si="18"/>
        <v>14068</v>
      </c>
      <c r="C1116" t="s">
        <v>1207</v>
      </c>
      <c r="D1116">
        <v>69.06</v>
      </c>
      <c r="E1116" t="s">
        <v>376</v>
      </c>
    </row>
    <row r="1117" spans="1:5" x14ac:dyDescent="0.25">
      <c r="A1117">
        <v>14068</v>
      </c>
      <c r="B1117" t="str">
        <f t="shared" si="18"/>
        <v>14068</v>
      </c>
      <c r="C1117" t="s">
        <v>1208</v>
      </c>
      <c r="D1117">
        <v>337.05</v>
      </c>
      <c r="E1117" t="s">
        <v>376</v>
      </c>
    </row>
    <row r="1118" spans="1:5" x14ac:dyDescent="0.25">
      <c r="A1118">
        <v>14068</v>
      </c>
      <c r="B1118" t="str">
        <f t="shared" si="18"/>
        <v>14068</v>
      </c>
      <c r="C1118" t="s">
        <v>1210</v>
      </c>
      <c r="D1118">
        <v>0</v>
      </c>
      <c r="E1118" t="s">
        <v>376</v>
      </c>
    </row>
    <row r="1119" spans="1:5" x14ac:dyDescent="0.25">
      <c r="A1119">
        <v>14068</v>
      </c>
      <c r="B1119" t="str">
        <f t="shared" si="18"/>
        <v>14068</v>
      </c>
      <c r="C1119" t="s">
        <v>1212</v>
      </c>
      <c r="D1119">
        <v>0</v>
      </c>
      <c r="E1119" t="s">
        <v>376</v>
      </c>
    </row>
    <row r="1120" spans="1:5" x14ac:dyDescent="0.25">
      <c r="A1120">
        <v>14068</v>
      </c>
      <c r="B1120" t="str">
        <f t="shared" si="18"/>
        <v>14068</v>
      </c>
      <c r="C1120" t="s">
        <v>1216</v>
      </c>
      <c r="D1120">
        <v>12.6</v>
      </c>
      <c r="E1120" t="s">
        <v>376</v>
      </c>
    </row>
    <row r="1121" spans="1:5" x14ac:dyDescent="0.25">
      <c r="A1121">
        <v>14068</v>
      </c>
      <c r="B1121" t="str">
        <f t="shared" si="18"/>
        <v>14068</v>
      </c>
      <c r="C1121" t="s">
        <v>1198</v>
      </c>
      <c r="D1121">
        <v>98.6</v>
      </c>
      <c r="E1121" t="s">
        <v>376</v>
      </c>
    </row>
    <row r="1122" spans="1:5" x14ac:dyDescent="0.25">
      <c r="A1122">
        <v>38308</v>
      </c>
      <c r="B1122" t="str">
        <f t="shared" si="18"/>
        <v>38308</v>
      </c>
      <c r="C1122" t="s">
        <v>1193</v>
      </c>
      <c r="D1122">
        <v>0</v>
      </c>
      <c r="E1122" t="s">
        <v>581</v>
      </c>
    </row>
    <row r="1123" spans="1:5" x14ac:dyDescent="0.25">
      <c r="A1123">
        <v>38308</v>
      </c>
      <c r="B1123" t="str">
        <f t="shared" si="18"/>
        <v>38308</v>
      </c>
      <c r="C1123" t="s">
        <v>1194</v>
      </c>
      <c r="D1123">
        <v>17</v>
      </c>
      <c r="E1123" t="s">
        <v>581</v>
      </c>
    </row>
    <row r="1124" spans="1:5" x14ac:dyDescent="0.25">
      <c r="A1124">
        <v>38308</v>
      </c>
      <c r="B1124" t="str">
        <f t="shared" si="18"/>
        <v>38308</v>
      </c>
      <c r="C1124" t="s">
        <v>1195</v>
      </c>
      <c r="D1124">
        <v>0</v>
      </c>
      <c r="E1124" t="s">
        <v>581</v>
      </c>
    </row>
    <row r="1125" spans="1:5" x14ac:dyDescent="0.25">
      <c r="A1125">
        <v>38308</v>
      </c>
      <c r="B1125" t="str">
        <f t="shared" si="18"/>
        <v>38308</v>
      </c>
      <c r="C1125" t="s">
        <v>1197</v>
      </c>
      <c r="D1125">
        <v>7.2</v>
      </c>
      <c r="E1125" t="s">
        <v>581</v>
      </c>
    </row>
    <row r="1126" spans="1:5" x14ac:dyDescent="0.25">
      <c r="A1126">
        <v>38308</v>
      </c>
      <c r="B1126" t="str">
        <f t="shared" si="18"/>
        <v>38308</v>
      </c>
      <c r="C1126" t="s">
        <v>1202</v>
      </c>
      <c r="D1126">
        <v>0</v>
      </c>
      <c r="E1126" t="s">
        <v>581</v>
      </c>
    </row>
    <row r="1127" spans="1:5" x14ac:dyDescent="0.25">
      <c r="A1127">
        <v>38308</v>
      </c>
      <c r="B1127" t="str">
        <f t="shared" si="18"/>
        <v>38308</v>
      </c>
      <c r="C1127" t="s">
        <v>1206</v>
      </c>
      <c r="D1127">
        <v>10.199999999999999</v>
      </c>
      <c r="E1127" t="s">
        <v>581</v>
      </c>
    </row>
    <row r="1128" spans="1:5" x14ac:dyDescent="0.25">
      <c r="A1128">
        <v>38308</v>
      </c>
      <c r="B1128" t="str">
        <f t="shared" si="18"/>
        <v>38308</v>
      </c>
      <c r="C1128" t="s">
        <v>1199</v>
      </c>
      <c r="D1128">
        <v>0</v>
      </c>
      <c r="E1128" t="s">
        <v>581</v>
      </c>
    </row>
    <row r="1129" spans="1:5" x14ac:dyDescent="0.25">
      <c r="A1129">
        <v>38308</v>
      </c>
      <c r="B1129" t="str">
        <f t="shared" si="18"/>
        <v>38308</v>
      </c>
      <c r="C1129" t="s">
        <v>1203</v>
      </c>
      <c r="D1129">
        <v>11</v>
      </c>
      <c r="E1129" t="s">
        <v>581</v>
      </c>
    </row>
    <row r="1130" spans="1:5" x14ac:dyDescent="0.25">
      <c r="A1130">
        <v>38308</v>
      </c>
      <c r="B1130" t="str">
        <f t="shared" si="18"/>
        <v>38308</v>
      </c>
      <c r="C1130" t="s">
        <v>1200</v>
      </c>
      <c r="D1130">
        <v>0</v>
      </c>
      <c r="E1130" t="s">
        <v>581</v>
      </c>
    </row>
    <row r="1131" spans="1:5" x14ac:dyDescent="0.25">
      <c r="A1131">
        <v>38308</v>
      </c>
      <c r="B1131" t="str">
        <f t="shared" si="18"/>
        <v>38308</v>
      </c>
      <c r="C1131" t="s">
        <v>1204</v>
      </c>
      <c r="D1131">
        <v>19.2</v>
      </c>
      <c r="E1131" t="s">
        <v>581</v>
      </c>
    </row>
    <row r="1132" spans="1:5" x14ac:dyDescent="0.25">
      <c r="A1132">
        <v>38308</v>
      </c>
      <c r="B1132" t="str">
        <f t="shared" si="18"/>
        <v>38308</v>
      </c>
      <c r="C1132" t="s">
        <v>1207</v>
      </c>
      <c r="D1132">
        <v>0</v>
      </c>
      <c r="E1132" t="s">
        <v>581</v>
      </c>
    </row>
    <row r="1133" spans="1:5" x14ac:dyDescent="0.25">
      <c r="A1133">
        <v>38308</v>
      </c>
      <c r="B1133" t="str">
        <f t="shared" si="18"/>
        <v>38308</v>
      </c>
      <c r="C1133" t="s">
        <v>1208</v>
      </c>
      <c r="D1133">
        <v>0</v>
      </c>
      <c r="E1133" t="s">
        <v>581</v>
      </c>
    </row>
    <row r="1134" spans="1:5" x14ac:dyDescent="0.25">
      <c r="A1134">
        <v>38308</v>
      </c>
      <c r="B1134" t="str">
        <f t="shared" si="18"/>
        <v>38308</v>
      </c>
      <c r="C1134" t="s">
        <v>1210</v>
      </c>
      <c r="D1134">
        <v>0</v>
      </c>
      <c r="E1134" t="s">
        <v>581</v>
      </c>
    </row>
    <row r="1135" spans="1:5" x14ac:dyDescent="0.25">
      <c r="A1135">
        <v>38308</v>
      </c>
      <c r="B1135" t="str">
        <f t="shared" si="18"/>
        <v>38308</v>
      </c>
      <c r="C1135" t="s">
        <v>1212</v>
      </c>
      <c r="D1135">
        <v>0</v>
      </c>
      <c r="E1135" t="s">
        <v>581</v>
      </c>
    </row>
    <row r="1136" spans="1:5" x14ac:dyDescent="0.25">
      <c r="A1136">
        <v>38308</v>
      </c>
      <c r="B1136" t="str">
        <f t="shared" si="18"/>
        <v>38308</v>
      </c>
      <c r="C1136" t="s">
        <v>1216</v>
      </c>
      <c r="D1136">
        <v>0</v>
      </c>
      <c r="E1136" t="s">
        <v>581</v>
      </c>
    </row>
    <row r="1137" spans="1:5" x14ac:dyDescent="0.25">
      <c r="A1137">
        <v>38308</v>
      </c>
      <c r="B1137" t="str">
        <f t="shared" si="18"/>
        <v>38308</v>
      </c>
      <c r="C1137" t="s">
        <v>1198</v>
      </c>
      <c r="D1137">
        <v>6</v>
      </c>
      <c r="E1137" t="s">
        <v>581</v>
      </c>
    </row>
    <row r="1138" spans="1:5" x14ac:dyDescent="0.25">
      <c r="A1138" s="34" t="s">
        <v>22</v>
      </c>
      <c r="B1138" t="str">
        <f t="shared" si="18"/>
        <v>04127</v>
      </c>
      <c r="C1138" t="s">
        <v>1193</v>
      </c>
      <c r="D1138">
        <v>0</v>
      </c>
      <c r="E1138" t="s">
        <v>319</v>
      </c>
    </row>
    <row r="1139" spans="1:5" x14ac:dyDescent="0.25">
      <c r="A1139" s="34" t="s">
        <v>22</v>
      </c>
      <c r="B1139" t="str">
        <f t="shared" si="18"/>
        <v>04127</v>
      </c>
      <c r="C1139" t="s">
        <v>1194</v>
      </c>
      <c r="D1139">
        <v>108.2</v>
      </c>
      <c r="E1139" t="s">
        <v>319</v>
      </c>
    </row>
    <row r="1140" spans="1:5" x14ac:dyDescent="0.25">
      <c r="A1140" s="34" t="s">
        <v>22</v>
      </c>
      <c r="B1140" t="str">
        <f t="shared" si="18"/>
        <v>04127</v>
      </c>
      <c r="C1140" t="s">
        <v>1195</v>
      </c>
      <c r="D1140">
        <v>0</v>
      </c>
      <c r="E1140" t="s">
        <v>319</v>
      </c>
    </row>
    <row r="1141" spans="1:5" x14ac:dyDescent="0.25">
      <c r="A1141" s="34" t="s">
        <v>22</v>
      </c>
      <c r="B1141" t="str">
        <f t="shared" si="18"/>
        <v>04127</v>
      </c>
      <c r="C1141" t="s">
        <v>1197</v>
      </c>
      <c r="D1141">
        <v>35</v>
      </c>
      <c r="E1141" t="s">
        <v>319</v>
      </c>
    </row>
    <row r="1142" spans="1:5" x14ac:dyDescent="0.25">
      <c r="A1142" s="34" t="s">
        <v>22</v>
      </c>
      <c r="B1142" t="str">
        <f t="shared" si="18"/>
        <v>04127</v>
      </c>
      <c r="C1142" t="s">
        <v>1202</v>
      </c>
      <c r="D1142">
        <v>0</v>
      </c>
      <c r="E1142" t="s">
        <v>319</v>
      </c>
    </row>
    <row r="1143" spans="1:5" x14ac:dyDescent="0.25">
      <c r="A1143" s="34" t="s">
        <v>22</v>
      </c>
      <c r="B1143" t="str">
        <f t="shared" si="18"/>
        <v>04127</v>
      </c>
      <c r="C1143" t="s">
        <v>1206</v>
      </c>
      <c r="D1143">
        <v>76.599999999999994</v>
      </c>
      <c r="E1143" t="s">
        <v>319</v>
      </c>
    </row>
    <row r="1144" spans="1:5" x14ac:dyDescent="0.25">
      <c r="A1144" s="34" t="s">
        <v>22</v>
      </c>
      <c r="B1144" t="str">
        <f t="shared" si="18"/>
        <v>04127</v>
      </c>
      <c r="C1144" t="s">
        <v>1199</v>
      </c>
      <c r="D1144">
        <v>0</v>
      </c>
      <c r="E1144" t="s">
        <v>319</v>
      </c>
    </row>
    <row r="1145" spans="1:5" x14ac:dyDescent="0.25">
      <c r="A1145" s="34" t="s">
        <v>22</v>
      </c>
      <c r="B1145" t="str">
        <f t="shared" si="18"/>
        <v>04127</v>
      </c>
      <c r="C1145" t="s">
        <v>1203</v>
      </c>
      <c r="D1145">
        <v>53.55</v>
      </c>
      <c r="E1145" t="s">
        <v>319</v>
      </c>
    </row>
    <row r="1146" spans="1:5" x14ac:dyDescent="0.25">
      <c r="A1146" s="34" t="s">
        <v>22</v>
      </c>
      <c r="B1146" t="str">
        <f t="shared" si="18"/>
        <v>04127</v>
      </c>
      <c r="C1146" t="s">
        <v>1200</v>
      </c>
      <c r="D1146">
        <v>0</v>
      </c>
      <c r="E1146" t="s">
        <v>319</v>
      </c>
    </row>
    <row r="1147" spans="1:5" x14ac:dyDescent="0.25">
      <c r="A1147" s="34" t="s">
        <v>22</v>
      </c>
      <c r="B1147" t="str">
        <f t="shared" si="18"/>
        <v>04127</v>
      </c>
      <c r="C1147" t="s">
        <v>1204</v>
      </c>
      <c r="D1147">
        <v>92.44</v>
      </c>
      <c r="E1147" t="s">
        <v>319</v>
      </c>
    </row>
    <row r="1148" spans="1:5" x14ac:dyDescent="0.25">
      <c r="A1148" s="34" t="s">
        <v>22</v>
      </c>
      <c r="B1148" t="str">
        <f t="shared" si="18"/>
        <v>04127</v>
      </c>
      <c r="C1148" t="s">
        <v>1207</v>
      </c>
      <c r="D1148">
        <v>13.73</v>
      </c>
      <c r="E1148" t="s">
        <v>319</v>
      </c>
    </row>
    <row r="1149" spans="1:5" x14ac:dyDescent="0.25">
      <c r="A1149" s="34" t="s">
        <v>22</v>
      </c>
      <c r="B1149" t="str">
        <f t="shared" si="18"/>
        <v>04127</v>
      </c>
      <c r="C1149" t="s">
        <v>1208</v>
      </c>
      <c r="D1149">
        <v>15.69</v>
      </c>
      <c r="E1149" t="s">
        <v>319</v>
      </c>
    </row>
    <row r="1150" spans="1:5" x14ac:dyDescent="0.25">
      <c r="A1150" s="34" t="s">
        <v>22</v>
      </c>
      <c r="B1150" t="str">
        <f t="shared" si="18"/>
        <v>04127</v>
      </c>
      <c r="C1150" t="s">
        <v>1210</v>
      </c>
      <c r="D1150">
        <v>0</v>
      </c>
      <c r="E1150" t="s">
        <v>319</v>
      </c>
    </row>
    <row r="1151" spans="1:5" x14ac:dyDescent="0.25">
      <c r="A1151" s="34" t="s">
        <v>22</v>
      </c>
      <c r="B1151" t="str">
        <f t="shared" si="18"/>
        <v>04127</v>
      </c>
      <c r="C1151" t="s">
        <v>1212</v>
      </c>
      <c r="D1151">
        <v>0</v>
      </c>
      <c r="E1151" t="s">
        <v>319</v>
      </c>
    </row>
    <row r="1152" spans="1:5" x14ac:dyDescent="0.25">
      <c r="A1152" s="34" t="s">
        <v>22</v>
      </c>
      <c r="B1152" t="str">
        <f t="shared" si="18"/>
        <v>04127</v>
      </c>
      <c r="C1152" t="s">
        <v>1216</v>
      </c>
      <c r="D1152">
        <v>0</v>
      </c>
      <c r="E1152" t="s">
        <v>319</v>
      </c>
    </row>
    <row r="1153" spans="1:5" x14ac:dyDescent="0.25">
      <c r="A1153" s="34" t="s">
        <v>22</v>
      </c>
      <c r="B1153" t="str">
        <f t="shared" si="18"/>
        <v>04127</v>
      </c>
      <c r="C1153" t="s">
        <v>1198</v>
      </c>
      <c r="D1153">
        <v>32.6</v>
      </c>
      <c r="E1153" t="s">
        <v>319</v>
      </c>
    </row>
    <row r="1154" spans="1:5" x14ac:dyDescent="0.25">
      <c r="A1154">
        <v>17216</v>
      </c>
      <c r="B1154" t="str">
        <f t="shared" si="18"/>
        <v>17216</v>
      </c>
      <c r="C1154" t="s">
        <v>1193</v>
      </c>
      <c r="D1154">
        <v>0</v>
      </c>
      <c r="E1154" t="s">
        <v>394</v>
      </c>
    </row>
    <row r="1155" spans="1:5" x14ac:dyDescent="0.25">
      <c r="A1155">
        <v>17216</v>
      </c>
      <c r="B1155" t="str">
        <f t="shared" ref="B1155:B1218" si="19">TEXT(A1155,"00000")</f>
        <v>17216</v>
      </c>
      <c r="C1155" t="s">
        <v>1194</v>
      </c>
      <c r="D1155">
        <v>983.78</v>
      </c>
      <c r="E1155" t="s">
        <v>394</v>
      </c>
    </row>
    <row r="1156" spans="1:5" x14ac:dyDescent="0.25">
      <c r="A1156">
        <v>17216</v>
      </c>
      <c r="B1156" t="str">
        <f t="shared" si="19"/>
        <v>17216</v>
      </c>
      <c r="C1156" t="s">
        <v>1195</v>
      </c>
      <c r="D1156">
        <v>0</v>
      </c>
      <c r="E1156" t="s">
        <v>394</v>
      </c>
    </row>
    <row r="1157" spans="1:5" x14ac:dyDescent="0.25">
      <c r="A1157">
        <v>17216</v>
      </c>
      <c r="B1157" t="str">
        <f t="shared" si="19"/>
        <v>17216</v>
      </c>
      <c r="C1157" t="s">
        <v>1197</v>
      </c>
      <c r="D1157">
        <v>317.13</v>
      </c>
      <c r="E1157" t="s">
        <v>394</v>
      </c>
    </row>
    <row r="1158" spans="1:5" x14ac:dyDescent="0.25">
      <c r="A1158">
        <v>17216</v>
      </c>
      <c r="B1158" t="str">
        <f t="shared" si="19"/>
        <v>17216</v>
      </c>
      <c r="C1158" t="s">
        <v>1202</v>
      </c>
      <c r="D1158">
        <v>0</v>
      </c>
      <c r="E1158" t="s">
        <v>394</v>
      </c>
    </row>
    <row r="1159" spans="1:5" x14ac:dyDescent="0.25">
      <c r="A1159">
        <v>17216</v>
      </c>
      <c r="B1159" t="str">
        <f t="shared" si="19"/>
        <v>17216</v>
      </c>
      <c r="C1159" t="s">
        <v>1206</v>
      </c>
      <c r="D1159">
        <v>703.65</v>
      </c>
      <c r="E1159" t="s">
        <v>394</v>
      </c>
    </row>
    <row r="1160" spans="1:5" x14ac:dyDescent="0.25">
      <c r="A1160">
        <v>17216</v>
      </c>
      <c r="B1160" t="str">
        <f t="shared" si="19"/>
        <v>17216</v>
      </c>
      <c r="C1160" t="s">
        <v>1199</v>
      </c>
      <c r="D1160">
        <v>0</v>
      </c>
      <c r="E1160" t="s">
        <v>394</v>
      </c>
    </row>
    <row r="1161" spans="1:5" x14ac:dyDescent="0.25">
      <c r="A1161">
        <v>17216</v>
      </c>
      <c r="B1161" t="str">
        <f t="shared" si="19"/>
        <v>17216</v>
      </c>
      <c r="C1161" t="s">
        <v>1203</v>
      </c>
      <c r="D1161">
        <v>672.19</v>
      </c>
      <c r="E1161" t="s">
        <v>394</v>
      </c>
    </row>
    <row r="1162" spans="1:5" x14ac:dyDescent="0.25">
      <c r="A1162">
        <v>17216</v>
      </c>
      <c r="B1162" t="str">
        <f t="shared" si="19"/>
        <v>17216</v>
      </c>
      <c r="C1162" t="s">
        <v>1200</v>
      </c>
      <c r="D1162">
        <v>0</v>
      </c>
      <c r="E1162" t="s">
        <v>394</v>
      </c>
    </row>
    <row r="1163" spans="1:5" x14ac:dyDescent="0.25">
      <c r="A1163">
        <v>17216</v>
      </c>
      <c r="B1163" t="str">
        <f t="shared" si="19"/>
        <v>17216</v>
      </c>
      <c r="C1163" t="s">
        <v>1204</v>
      </c>
      <c r="D1163">
        <v>1172.31</v>
      </c>
      <c r="E1163" t="s">
        <v>394</v>
      </c>
    </row>
    <row r="1164" spans="1:5" x14ac:dyDescent="0.25">
      <c r="A1164">
        <v>17216</v>
      </c>
      <c r="B1164" t="str">
        <f t="shared" si="19"/>
        <v>17216</v>
      </c>
      <c r="C1164" t="s">
        <v>1207</v>
      </c>
      <c r="D1164">
        <v>150.91</v>
      </c>
      <c r="E1164" t="s">
        <v>394</v>
      </c>
    </row>
    <row r="1165" spans="1:5" x14ac:dyDescent="0.25">
      <c r="A1165">
        <v>17216</v>
      </c>
      <c r="B1165" t="str">
        <f t="shared" si="19"/>
        <v>17216</v>
      </c>
      <c r="C1165" t="s">
        <v>1208</v>
      </c>
      <c r="D1165">
        <v>455.88</v>
      </c>
      <c r="E1165" t="s">
        <v>394</v>
      </c>
    </row>
    <row r="1166" spans="1:5" x14ac:dyDescent="0.25">
      <c r="A1166">
        <v>17216</v>
      </c>
      <c r="B1166" t="str">
        <f t="shared" si="19"/>
        <v>17216</v>
      </c>
      <c r="C1166" t="s">
        <v>1210</v>
      </c>
      <c r="D1166">
        <v>0</v>
      </c>
      <c r="E1166" t="s">
        <v>394</v>
      </c>
    </row>
    <row r="1167" spans="1:5" x14ac:dyDescent="0.25">
      <c r="A1167">
        <v>17216</v>
      </c>
      <c r="B1167" t="str">
        <f t="shared" si="19"/>
        <v>17216</v>
      </c>
      <c r="C1167" t="s">
        <v>1212</v>
      </c>
      <c r="D1167">
        <v>0</v>
      </c>
      <c r="E1167" t="s">
        <v>394</v>
      </c>
    </row>
    <row r="1168" spans="1:5" x14ac:dyDescent="0.25">
      <c r="A1168">
        <v>17216</v>
      </c>
      <c r="B1168" t="str">
        <f t="shared" si="19"/>
        <v>17216</v>
      </c>
      <c r="C1168" t="s">
        <v>1216</v>
      </c>
      <c r="D1168">
        <v>40</v>
      </c>
      <c r="E1168" t="s">
        <v>394</v>
      </c>
    </row>
    <row r="1169" spans="1:5" x14ac:dyDescent="0.25">
      <c r="A1169">
        <v>17216</v>
      </c>
      <c r="B1169" t="str">
        <f t="shared" si="19"/>
        <v>17216</v>
      </c>
      <c r="C1169" t="s">
        <v>1198</v>
      </c>
      <c r="D1169">
        <v>338.65</v>
      </c>
      <c r="E1169" t="s">
        <v>394</v>
      </c>
    </row>
    <row r="1170" spans="1:5" x14ac:dyDescent="0.25">
      <c r="A1170">
        <v>13165</v>
      </c>
      <c r="B1170" t="str">
        <f t="shared" si="19"/>
        <v>13165</v>
      </c>
      <c r="C1170" t="s">
        <v>1193</v>
      </c>
      <c r="D1170">
        <v>0</v>
      </c>
      <c r="E1170" t="s">
        <v>368</v>
      </c>
    </row>
    <row r="1171" spans="1:5" x14ac:dyDescent="0.25">
      <c r="A1171">
        <v>13165</v>
      </c>
      <c r="B1171" t="str">
        <f t="shared" si="19"/>
        <v>13165</v>
      </c>
      <c r="C1171" t="s">
        <v>1194</v>
      </c>
      <c r="D1171">
        <v>546.4</v>
      </c>
      <c r="E1171" t="s">
        <v>368</v>
      </c>
    </row>
    <row r="1172" spans="1:5" x14ac:dyDescent="0.25">
      <c r="A1172">
        <v>13165</v>
      </c>
      <c r="B1172" t="str">
        <f t="shared" si="19"/>
        <v>13165</v>
      </c>
      <c r="C1172" t="s">
        <v>1195</v>
      </c>
      <c r="D1172">
        <v>0</v>
      </c>
      <c r="E1172" t="s">
        <v>368</v>
      </c>
    </row>
    <row r="1173" spans="1:5" x14ac:dyDescent="0.25">
      <c r="A1173">
        <v>13165</v>
      </c>
      <c r="B1173" t="str">
        <f t="shared" si="19"/>
        <v>13165</v>
      </c>
      <c r="C1173" t="s">
        <v>1197</v>
      </c>
      <c r="D1173">
        <v>207.2</v>
      </c>
      <c r="E1173" t="s">
        <v>368</v>
      </c>
    </row>
    <row r="1174" spans="1:5" x14ac:dyDescent="0.25">
      <c r="A1174">
        <v>13165</v>
      </c>
      <c r="B1174" t="str">
        <f t="shared" si="19"/>
        <v>13165</v>
      </c>
      <c r="C1174" t="s">
        <v>1202</v>
      </c>
      <c r="D1174">
        <v>0</v>
      </c>
      <c r="E1174" t="s">
        <v>368</v>
      </c>
    </row>
    <row r="1175" spans="1:5" x14ac:dyDescent="0.25">
      <c r="A1175">
        <v>13165</v>
      </c>
      <c r="B1175" t="str">
        <f t="shared" si="19"/>
        <v>13165</v>
      </c>
      <c r="C1175" t="s">
        <v>1206</v>
      </c>
      <c r="D1175">
        <v>417.09</v>
      </c>
      <c r="E1175" t="s">
        <v>368</v>
      </c>
    </row>
    <row r="1176" spans="1:5" x14ac:dyDescent="0.25">
      <c r="A1176">
        <v>13165</v>
      </c>
      <c r="B1176" t="str">
        <f t="shared" si="19"/>
        <v>13165</v>
      </c>
      <c r="C1176" t="s">
        <v>1199</v>
      </c>
      <c r="D1176">
        <v>0</v>
      </c>
      <c r="E1176" t="s">
        <v>368</v>
      </c>
    </row>
    <row r="1177" spans="1:5" x14ac:dyDescent="0.25">
      <c r="A1177">
        <v>13165</v>
      </c>
      <c r="B1177" t="str">
        <f t="shared" si="19"/>
        <v>13165</v>
      </c>
      <c r="C1177" t="s">
        <v>1203</v>
      </c>
      <c r="D1177">
        <v>449.69</v>
      </c>
      <c r="E1177" t="s">
        <v>368</v>
      </c>
    </row>
    <row r="1178" spans="1:5" x14ac:dyDescent="0.25">
      <c r="A1178">
        <v>13165</v>
      </c>
      <c r="B1178" t="str">
        <f t="shared" si="19"/>
        <v>13165</v>
      </c>
      <c r="C1178" t="s">
        <v>1200</v>
      </c>
      <c r="D1178">
        <v>0</v>
      </c>
      <c r="E1178" t="s">
        <v>368</v>
      </c>
    </row>
    <row r="1179" spans="1:5" x14ac:dyDescent="0.25">
      <c r="A1179">
        <v>13165</v>
      </c>
      <c r="B1179" t="str">
        <f t="shared" si="19"/>
        <v>13165</v>
      </c>
      <c r="C1179" t="s">
        <v>1204</v>
      </c>
      <c r="D1179">
        <v>778.76</v>
      </c>
      <c r="E1179" t="s">
        <v>368</v>
      </c>
    </row>
    <row r="1180" spans="1:5" x14ac:dyDescent="0.25">
      <c r="A1180">
        <v>13165</v>
      </c>
      <c r="B1180" t="str">
        <f t="shared" si="19"/>
        <v>13165</v>
      </c>
      <c r="C1180" t="s">
        <v>1207</v>
      </c>
      <c r="D1180">
        <v>52.39</v>
      </c>
      <c r="E1180" t="s">
        <v>368</v>
      </c>
    </row>
    <row r="1181" spans="1:5" x14ac:dyDescent="0.25">
      <c r="A1181">
        <v>13165</v>
      </c>
      <c r="B1181" t="str">
        <f t="shared" si="19"/>
        <v>13165</v>
      </c>
      <c r="C1181" t="s">
        <v>1208</v>
      </c>
      <c r="D1181">
        <v>223.66</v>
      </c>
      <c r="E1181" t="s">
        <v>368</v>
      </c>
    </row>
    <row r="1182" spans="1:5" x14ac:dyDescent="0.25">
      <c r="A1182">
        <v>13165</v>
      </c>
      <c r="B1182" t="str">
        <f t="shared" si="19"/>
        <v>13165</v>
      </c>
      <c r="C1182" t="s">
        <v>1210</v>
      </c>
      <c r="D1182">
        <v>0</v>
      </c>
      <c r="E1182" t="s">
        <v>368</v>
      </c>
    </row>
    <row r="1183" spans="1:5" x14ac:dyDescent="0.25">
      <c r="A1183">
        <v>13165</v>
      </c>
      <c r="B1183" t="str">
        <f t="shared" si="19"/>
        <v>13165</v>
      </c>
      <c r="C1183" t="s">
        <v>1212</v>
      </c>
      <c r="D1183">
        <v>0</v>
      </c>
      <c r="E1183" t="s">
        <v>368</v>
      </c>
    </row>
    <row r="1184" spans="1:5" x14ac:dyDescent="0.25">
      <c r="A1184">
        <v>13165</v>
      </c>
      <c r="B1184" t="str">
        <f t="shared" si="19"/>
        <v>13165</v>
      </c>
      <c r="C1184" t="s">
        <v>1216</v>
      </c>
      <c r="D1184">
        <v>0</v>
      </c>
      <c r="E1184" t="s">
        <v>368</v>
      </c>
    </row>
    <row r="1185" spans="1:5" x14ac:dyDescent="0.25">
      <c r="A1185">
        <v>13165</v>
      </c>
      <c r="B1185" t="str">
        <f t="shared" si="19"/>
        <v>13165</v>
      </c>
      <c r="C1185" t="s">
        <v>1198</v>
      </c>
      <c r="D1185">
        <v>192.55</v>
      </c>
      <c r="E1185" t="s">
        <v>368</v>
      </c>
    </row>
    <row r="1186" spans="1:5" x14ac:dyDescent="0.25">
      <c r="A1186" s="34" t="s">
        <v>1228</v>
      </c>
      <c r="B1186" t="str">
        <f t="shared" si="19"/>
        <v>06701</v>
      </c>
      <c r="C1186" t="s">
        <v>1193</v>
      </c>
      <c r="D1186">
        <v>0</v>
      </c>
      <c r="E1186" t="s">
        <v>1229</v>
      </c>
    </row>
    <row r="1187" spans="1:5" x14ac:dyDescent="0.25">
      <c r="A1187" s="34" t="s">
        <v>1228</v>
      </c>
      <c r="B1187" t="str">
        <f t="shared" si="19"/>
        <v>06701</v>
      </c>
      <c r="C1187" t="s">
        <v>1194</v>
      </c>
      <c r="D1187">
        <v>0</v>
      </c>
      <c r="E1187" t="s">
        <v>1229</v>
      </c>
    </row>
    <row r="1188" spans="1:5" x14ac:dyDescent="0.25">
      <c r="A1188" s="34" t="s">
        <v>1228</v>
      </c>
      <c r="B1188" t="str">
        <f t="shared" si="19"/>
        <v>06701</v>
      </c>
      <c r="C1188" t="s">
        <v>1195</v>
      </c>
      <c r="D1188">
        <v>0</v>
      </c>
      <c r="E1188" t="s">
        <v>1229</v>
      </c>
    </row>
    <row r="1189" spans="1:5" x14ac:dyDescent="0.25">
      <c r="A1189" s="34" t="s">
        <v>1228</v>
      </c>
      <c r="B1189" t="str">
        <f t="shared" si="19"/>
        <v>06701</v>
      </c>
      <c r="C1189" t="s">
        <v>1197</v>
      </c>
      <c r="D1189">
        <v>0</v>
      </c>
      <c r="E1189" t="s">
        <v>1229</v>
      </c>
    </row>
    <row r="1190" spans="1:5" x14ac:dyDescent="0.25">
      <c r="A1190" s="34" t="s">
        <v>1228</v>
      </c>
      <c r="B1190" t="str">
        <f t="shared" si="19"/>
        <v>06701</v>
      </c>
      <c r="C1190" t="s">
        <v>1202</v>
      </c>
      <c r="D1190">
        <v>0</v>
      </c>
      <c r="E1190" t="s">
        <v>1229</v>
      </c>
    </row>
    <row r="1191" spans="1:5" x14ac:dyDescent="0.25">
      <c r="A1191" s="34" t="s">
        <v>1228</v>
      </c>
      <c r="B1191" t="str">
        <f t="shared" si="19"/>
        <v>06701</v>
      </c>
      <c r="C1191" t="s">
        <v>1206</v>
      </c>
      <c r="D1191">
        <v>0</v>
      </c>
      <c r="E1191" t="s">
        <v>1229</v>
      </c>
    </row>
    <row r="1192" spans="1:5" x14ac:dyDescent="0.25">
      <c r="A1192" s="34" t="s">
        <v>1228</v>
      </c>
      <c r="B1192" t="str">
        <f t="shared" si="19"/>
        <v>06701</v>
      </c>
      <c r="C1192" t="s">
        <v>1199</v>
      </c>
      <c r="D1192">
        <v>0</v>
      </c>
      <c r="E1192" t="s">
        <v>1229</v>
      </c>
    </row>
    <row r="1193" spans="1:5" x14ac:dyDescent="0.25">
      <c r="A1193" s="34" t="s">
        <v>1228</v>
      </c>
      <c r="B1193" t="str">
        <f t="shared" si="19"/>
        <v>06701</v>
      </c>
      <c r="C1193" t="s">
        <v>1203</v>
      </c>
      <c r="D1193">
        <v>0</v>
      </c>
      <c r="E1193" t="s">
        <v>1229</v>
      </c>
    </row>
    <row r="1194" spans="1:5" x14ac:dyDescent="0.25">
      <c r="A1194" s="34" t="s">
        <v>1228</v>
      </c>
      <c r="B1194" t="str">
        <f t="shared" si="19"/>
        <v>06701</v>
      </c>
      <c r="C1194" t="s">
        <v>1200</v>
      </c>
      <c r="D1194">
        <v>0</v>
      </c>
      <c r="E1194" t="s">
        <v>1229</v>
      </c>
    </row>
    <row r="1195" spans="1:5" x14ac:dyDescent="0.25">
      <c r="A1195" s="34" t="s">
        <v>1228</v>
      </c>
      <c r="B1195" t="str">
        <f t="shared" si="19"/>
        <v>06701</v>
      </c>
      <c r="C1195" t="s">
        <v>1204</v>
      </c>
      <c r="D1195">
        <v>0</v>
      </c>
      <c r="E1195" t="s">
        <v>1229</v>
      </c>
    </row>
    <row r="1196" spans="1:5" x14ac:dyDescent="0.25">
      <c r="A1196" s="34" t="s">
        <v>1228</v>
      </c>
      <c r="B1196" t="str">
        <f t="shared" si="19"/>
        <v>06701</v>
      </c>
      <c r="C1196" t="s">
        <v>1207</v>
      </c>
      <c r="D1196">
        <v>0</v>
      </c>
      <c r="E1196" t="s">
        <v>1229</v>
      </c>
    </row>
    <row r="1197" spans="1:5" x14ac:dyDescent="0.25">
      <c r="A1197" s="34" t="s">
        <v>1228</v>
      </c>
      <c r="B1197" t="str">
        <f t="shared" si="19"/>
        <v>06701</v>
      </c>
      <c r="C1197" t="s">
        <v>1208</v>
      </c>
      <c r="D1197">
        <v>0</v>
      </c>
      <c r="E1197" t="s">
        <v>1229</v>
      </c>
    </row>
    <row r="1198" spans="1:5" x14ac:dyDescent="0.25">
      <c r="A1198" s="34" t="s">
        <v>1228</v>
      </c>
      <c r="B1198" t="str">
        <f t="shared" si="19"/>
        <v>06701</v>
      </c>
      <c r="C1198" t="s">
        <v>1210</v>
      </c>
      <c r="D1198">
        <v>0</v>
      </c>
      <c r="E1198" t="s">
        <v>1229</v>
      </c>
    </row>
    <row r="1199" spans="1:5" x14ac:dyDescent="0.25">
      <c r="A1199" s="34" t="s">
        <v>1228</v>
      </c>
      <c r="B1199" t="str">
        <f t="shared" si="19"/>
        <v>06701</v>
      </c>
      <c r="C1199" t="s">
        <v>1212</v>
      </c>
      <c r="D1199">
        <v>0</v>
      </c>
      <c r="E1199" t="s">
        <v>1229</v>
      </c>
    </row>
    <row r="1200" spans="1:5" x14ac:dyDescent="0.25">
      <c r="A1200" s="34" t="s">
        <v>1228</v>
      </c>
      <c r="B1200" t="str">
        <f t="shared" si="19"/>
        <v>06701</v>
      </c>
      <c r="C1200" t="s">
        <v>1216</v>
      </c>
      <c r="D1200">
        <v>0</v>
      </c>
      <c r="E1200" t="s">
        <v>1229</v>
      </c>
    </row>
    <row r="1201" spans="1:5" x14ac:dyDescent="0.25">
      <c r="A1201" s="34" t="s">
        <v>1228</v>
      </c>
      <c r="B1201" t="str">
        <f t="shared" si="19"/>
        <v>06701</v>
      </c>
      <c r="C1201" t="s">
        <v>1198</v>
      </c>
      <c r="D1201">
        <v>0</v>
      </c>
      <c r="E1201" t="s">
        <v>1229</v>
      </c>
    </row>
    <row r="1202" spans="1:5" x14ac:dyDescent="0.25">
      <c r="A1202">
        <v>21036</v>
      </c>
      <c r="B1202" t="str">
        <f t="shared" si="19"/>
        <v>21036</v>
      </c>
      <c r="C1202" t="s">
        <v>1193</v>
      </c>
      <c r="D1202">
        <v>0</v>
      </c>
      <c r="E1202" t="s">
        <v>435</v>
      </c>
    </row>
    <row r="1203" spans="1:5" x14ac:dyDescent="0.25">
      <c r="A1203">
        <v>21036</v>
      </c>
      <c r="B1203" t="str">
        <f t="shared" si="19"/>
        <v>21036</v>
      </c>
      <c r="C1203" t="s">
        <v>1194</v>
      </c>
      <c r="D1203">
        <v>23.8</v>
      </c>
      <c r="E1203" t="s">
        <v>435</v>
      </c>
    </row>
    <row r="1204" spans="1:5" x14ac:dyDescent="0.25">
      <c r="A1204">
        <v>21036</v>
      </c>
      <c r="B1204" t="str">
        <f t="shared" si="19"/>
        <v>21036</v>
      </c>
      <c r="C1204" t="s">
        <v>1195</v>
      </c>
      <c r="D1204">
        <v>0</v>
      </c>
      <c r="E1204" t="s">
        <v>435</v>
      </c>
    </row>
    <row r="1205" spans="1:5" x14ac:dyDescent="0.25">
      <c r="A1205">
        <v>21036</v>
      </c>
      <c r="B1205" t="str">
        <f t="shared" si="19"/>
        <v>21036</v>
      </c>
      <c r="C1205" t="s">
        <v>1197</v>
      </c>
      <c r="D1205">
        <v>8</v>
      </c>
      <c r="E1205" t="s">
        <v>435</v>
      </c>
    </row>
    <row r="1206" spans="1:5" x14ac:dyDescent="0.25">
      <c r="A1206">
        <v>21036</v>
      </c>
      <c r="B1206" t="str">
        <f t="shared" si="19"/>
        <v>21036</v>
      </c>
      <c r="C1206" t="s">
        <v>1202</v>
      </c>
      <c r="D1206">
        <v>0</v>
      </c>
      <c r="E1206" t="s">
        <v>435</v>
      </c>
    </row>
    <row r="1207" spans="1:5" x14ac:dyDescent="0.25">
      <c r="A1207">
        <v>21036</v>
      </c>
      <c r="B1207" t="str">
        <f t="shared" si="19"/>
        <v>21036</v>
      </c>
      <c r="C1207" t="s">
        <v>1206</v>
      </c>
      <c r="D1207">
        <v>11.4</v>
      </c>
      <c r="E1207" t="s">
        <v>435</v>
      </c>
    </row>
    <row r="1208" spans="1:5" x14ac:dyDescent="0.25">
      <c r="A1208">
        <v>21036</v>
      </c>
      <c r="B1208" t="str">
        <f t="shared" si="19"/>
        <v>21036</v>
      </c>
      <c r="C1208" t="s">
        <v>1199</v>
      </c>
      <c r="D1208">
        <v>0</v>
      </c>
      <c r="E1208" t="s">
        <v>435</v>
      </c>
    </row>
    <row r="1209" spans="1:5" x14ac:dyDescent="0.25">
      <c r="A1209">
        <v>21036</v>
      </c>
      <c r="B1209" t="str">
        <f t="shared" si="19"/>
        <v>21036</v>
      </c>
      <c r="C1209" t="s">
        <v>1203</v>
      </c>
      <c r="D1209">
        <v>0</v>
      </c>
      <c r="E1209" t="s">
        <v>435</v>
      </c>
    </row>
    <row r="1210" spans="1:5" x14ac:dyDescent="0.25">
      <c r="A1210">
        <v>21036</v>
      </c>
      <c r="B1210" t="str">
        <f t="shared" si="19"/>
        <v>21036</v>
      </c>
      <c r="C1210" t="s">
        <v>1200</v>
      </c>
      <c r="D1210">
        <v>0</v>
      </c>
      <c r="E1210" t="s">
        <v>435</v>
      </c>
    </row>
    <row r="1211" spans="1:5" x14ac:dyDescent="0.25">
      <c r="A1211">
        <v>21036</v>
      </c>
      <c r="B1211" t="str">
        <f t="shared" si="19"/>
        <v>21036</v>
      </c>
      <c r="C1211" t="s">
        <v>1204</v>
      </c>
      <c r="D1211">
        <v>0</v>
      </c>
      <c r="E1211" t="s">
        <v>435</v>
      </c>
    </row>
    <row r="1212" spans="1:5" x14ac:dyDescent="0.25">
      <c r="A1212">
        <v>21036</v>
      </c>
      <c r="B1212" t="str">
        <f t="shared" si="19"/>
        <v>21036</v>
      </c>
      <c r="C1212" t="s">
        <v>1207</v>
      </c>
      <c r="D1212">
        <v>0</v>
      </c>
      <c r="E1212" t="s">
        <v>435</v>
      </c>
    </row>
    <row r="1213" spans="1:5" x14ac:dyDescent="0.25">
      <c r="A1213">
        <v>21036</v>
      </c>
      <c r="B1213" t="str">
        <f t="shared" si="19"/>
        <v>21036</v>
      </c>
      <c r="C1213" t="s">
        <v>1208</v>
      </c>
      <c r="D1213">
        <v>0</v>
      </c>
      <c r="E1213" t="s">
        <v>435</v>
      </c>
    </row>
    <row r="1214" spans="1:5" x14ac:dyDescent="0.25">
      <c r="A1214">
        <v>21036</v>
      </c>
      <c r="B1214" t="str">
        <f t="shared" si="19"/>
        <v>21036</v>
      </c>
      <c r="C1214" t="s">
        <v>1210</v>
      </c>
      <c r="D1214">
        <v>0</v>
      </c>
      <c r="E1214" t="s">
        <v>435</v>
      </c>
    </row>
    <row r="1215" spans="1:5" x14ac:dyDescent="0.25">
      <c r="A1215">
        <v>21036</v>
      </c>
      <c r="B1215" t="str">
        <f t="shared" si="19"/>
        <v>21036</v>
      </c>
      <c r="C1215" t="s">
        <v>1212</v>
      </c>
      <c r="D1215">
        <v>0</v>
      </c>
      <c r="E1215" t="s">
        <v>435</v>
      </c>
    </row>
    <row r="1216" spans="1:5" x14ac:dyDescent="0.25">
      <c r="A1216">
        <v>21036</v>
      </c>
      <c r="B1216" t="str">
        <f t="shared" si="19"/>
        <v>21036</v>
      </c>
      <c r="C1216" t="s">
        <v>1216</v>
      </c>
      <c r="D1216">
        <v>3</v>
      </c>
      <c r="E1216" t="s">
        <v>435</v>
      </c>
    </row>
    <row r="1217" spans="1:5" x14ac:dyDescent="0.25">
      <c r="A1217">
        <v>21036</v>
      </c>
      <c r="B1217" t="str">
        <f t="shared" si="19"/>
        <v>21036</v>
      </c>
      <c r="C1217" t="s">
        <v>1198</v>
      </c>
      <c r="D1217">
        <v>7</v>
      </c>
      <c r="E1217" t="s">
        <v>435</v>
      </c>
    </row>
    <row r="1218" spans="1:5" x14ac:dyDescent="0.25">
      <c r="A1218">
        <v>31002</v>
      </c>
      <c r="B1218" t="str">
        <f t="shared" si="19"/>
        <v>31002</v>
      </c>
      <c r="C1218" t="s">
        <v>1193</v>
      </c>
      <c r="D1218">
        <v>0</v>
      </c>
      <c r="E1218" t="s">
        <v>508</v>
      </c>
    </row>
    <row r="1219" spans="1:5" x14ac:dyDescent="0.25">
      <c r="A1219">
        <v>31002</v>
      </c>
      <c r="B1219" t="str">
        <f t="shared" ref="B1219:B1282" si="20">TEXT(A1219,"00000")</f>
        <v>31002</v>
      </c>
      <c r="C1219" t="s">
        <v>1194</v>
      </c>
      <c r="D1219">
        <v>4860.6400000000003</v>
      </c>
      <c r="E1219" t="s">
        <v>508</v>
      </c>
    </row>
    <row r="1220" spans="1:5" x14ac:dyDescent="0.25">
      <c r="A1220">
        <v>31002</v>
      </c>
      <c r="B1220" t="str">
        <f t="shared" si="20"/>
        <v>31002</v>
      </c>
      <c r="C1220" t="s">
        <v>1195</v>
      </c>
      <c r="D1220">
        <v>0</v>
      </c>
      <c r="E1220" t="s">
        <v>508</v>
      </c>
    </row>
    <row r="1221" spans="1:5" x14ac:dyDescent="0.25">
      <c r="A1221">
        <v>31002</v>
      </c>
      <c r="B1221" t="str">
        <f t="shared" si="20"/>
        <v>31002</v>
      </c>
      <c r="C1221" t="s">
        <v>1197</v>
      </c>
      <c r="D1221">
        <v>1574.17</v>
      </c>
      <c r="E1221" t="s">
        <v>508</v>
      </c>
    </row>
    <row r="1222" spans="1:5" x14ac:dyDescent="0.25">
      <c r="A1222">
        <v>31002</v>
      </c>
      <c r="B1222" t="str">
        <f t="shared" si="20"/>
        <v>31002</v>
      </c>
      <c r="C1222" t="s">
        <v>1202</v>
      </c>
      <c r="D1222">
        <v>0</v>
      </c>
      <c r="E1222" t="s">
        <v>508</v>
      </c>
    </row>
    <row r="1223" spans="1:5" x14ac:dyDescent="0.25">
      <c r="A1223">
        <v>31002</v>
      </c>
      <c r="B1223" t="str">
        <f t="shared" si="20"/>
        <v>31002</v>
      </c>
      <c r="C1223" t="s">
        <v>1206</v>
      </c>
      <c r="D1223">
        <v>3178.62</v>
      </c>
      <c r="E1223" t="s">
        <v>508</v>
      </c>
    </row>
    <row r="1224" spans="1:5" x14ac:dyDescent="0.25">
      <c r="A1224">
        <v>31002</v>
      </c>
      <c r="B1224" t="str">
        <f t="shared" si="20"/>
        <v>31002</v>
      </c>
      <c r="C1224" t="s">
        <v>1199</v>
      </c>
      <c r="D1224">
        <v>0</v>
      </c>
      <c r="E1224" t="s">
        <v>508</v>
      </c>
    </row>
    <row r="1225" spans="1:5" x14ac:dyDescent="0.25">
      <c r="A1225">
        <v>31002</v>
      </c>
      <c r="B1225" t="str">
        <f t="shared" si="20"/>
        <v>31002</v>
      </c>
      <c r="C1225" t="s">
        <v>1203</v>
      </c>
      <c r="D1225">
        <v>3017.19</v>
      </c>
      <c r="E1225" t="s">
        <v>508</v>
      </c>
    </row>
    <row r="1226" spans="1:5" x14ac:dyDescent="0.25">
      <c r="A1226">
        <v>31002</v>
      </c>
      <c r="B1226" t="str">
        <f t="shared" si="20"/>
        <v>31002</v>
      </c>
      <c r="C1226" t="s">
        <v>1200</v>
      </c>
      <c r="D1226">
        <v>0</v>
      </c>
      <c r="E1226" t="s">
        <v>508</v>
      </c>
    </row>
    <row r="1227" spans="1:5" x14ac:dyDescent="0.25">
      <c r="A1227">
        <v>31002</v>
      </c>
      <c r="B1227" t="str">
        <f t="shared" si="20"/>
        <v>31002</v>
      </c>
      <c r="C1227" t="s">
        <v>1204</v>
      </c>
      <c r="D1227">
        <v>4872.3599999999997</v>
      </c>
      <c r="E1227" t="s">
        <v>508</v>
      </c>
    </row>
    <row r="1228" spans="1:5" x14ac:dyDescent="0.25">
      <c r="A1228">
        <v>31002</v>
      </c>
      <c r="B1228" t="str">
        <f t="shared" si="20"/>
        <v>31002</v>
      </c>
      <c r="C1228" t="s">
        <v>1207</v>
      </c>
      <c r="D1228">
        <v>477.07</v>
      </c>
      <c r="E1228" t="s">
        <v>508</v>
      </c>
    </row>
    <row r="1229" spans="1:5" x14ac:dyDescent="0.25">
      <c r="A1229">
        <v>31002</v>
      </c>
      <c r="B1229" t="str">
        <f t="shared" si="20"/>
        <v>31002</v>
      </c>
      <c r="C1229" t="s">
        <v>1208</v>
      </c>
      <c r="D1229">
        <v>1213.03</v>
      </c>
      <c r="E1229" t="s">
        <v>508</v>
      </c>
    </row>
    <row r="1230" spans="1:5" x14ac:dyDescent="0.25">
      <c r="A1230">
        <v>31002</v>
      </c>
      <c r="B1230" t="str">
        <f t="shared" si="20"/>
        <v>31002</v>
      </c>
      <c r="C1230" t="s">
        <v>1210</v>
      </c>
      <c r="D1230">
        <v>0</v>
      </c>
      <c r="E1230" t="s">
        <v>508</v>
      </c>
    </row>
    <row r="1231" spans="1:5" x14ac:dyDescent="0.25">
      <c r="A1231">
        <v>31002</v>
      </c>
      <c r="B1231" t="str">
        <f t="shared" si="20"/>
        <v>31002</v>
      </c>
      <c r="C1231" t="s">
        <v>1212</v>
      </c>
      <c r="D1231">
        <v>0</v>
      </c>
      <c r="E1231" t="s">
        <v>508</v>
      </c>
    </row>
    <row r="1232" spans="1:5" x14ac:dyDescent="0.25">
      <c r="A1232">
        <v>31002</v>
      </c>
      <c r="B1232" t="str">
        <f t="shared" si="20"/>
        <v>31002</v>
      </c>
      <c r="C1232" t="s">
        <v>1216</v>
      </c>
      <c r="D1232">
        <v>0</v>
      </c>
      <c r="E1232" t="s">
        <v>508</v>
      </c>
    </row>
    <row r="1233" spans="1:5" x14ac:dyDescent="0.25">
      <c r="A1233">
        <v>31002</v>
      </c>
      <c r="B1233" t="str">
        <f t="shared" si="20"/>
        <v>31002</v>
      </c>
      <c r="C1233" t="s">
        <v>1198</v>
      </c>
      <c r="D1233">
        <v>1479.96</v>
      </c>
      <c r="E1233" t="s">
        <v>508</v>
      </c>
    </row>
    <row r="1234" spans="1:5" x14ac:dyDescent="0.25">
      <c r="A1234" s="34" t="s">
        <v>37</v>
      </c>
      <c r="B1234" t="str">
        <f t="shared" si="20"/>
        <v>06114</v>
      </c>
      <c r="C1234" t="s">
        <v>1193</v>
      </c>
      <c r="D1234">
        <v>0</v>
      </c>
      <c r="E1234" t="s">
        <v>333</v>
      </c>
    </row>
    <row r="1235" spans="1:5" x14ac:dyDescent="0.25">
      <c r="A1235" s="34" t="s">
        <v>37</v>
      </c>
      <c r="B1235" t="str">
        <f t="shared" si="20"/>
        <v>06114</v>
      </c>
      <c r="C1235" t="s">
        <v>1194</v>
      </c>
      <c r="D1235">
        <v>4420.05</v>
      </c>
      <c r="E1235" t="s">
        <v>333</v>
      </c>
    </row>
    <row r="1236" spans="1:5" x14ac:dyDescent="0.25">
      <c r="A1236" s="34" t="s">
        <v>37</v>
      </c>
      <c r="B1236" t="str">
        <f t="shared" si="20"/>
        <v>06114</v>
      </c>
      <c r="C1236" t="s">
        <v>1195</v>
      </c>
      <c r="D1236">
        <v>0</v>
      </c>
      <c r="E1236" t="s">
        <v>333</v>
      </c>
    </row>
    <row r="1237" spans="1:5" x14ac:dyDescent="0.25">
      <c r="A1237" s="34" t="s">
        <v>37</v>
      </c>
      <c r="B1237" t="str">
        <f t="shared" si="20"/>
        <v>06114</v>
      </c>
      <c r="C1237" t="s">
        <v>1197</v>
      </c>
      <c r="D1237">
        <v>1533.9</v>
      </c>
      <c r="E1237" t="s">
        <v>333</v>
      </c>
    </row>
    <row r="1238" spans="1:5" x14ac:dyDescent="0.25">
      <c r="A1238" s="34" t="s">
        <v>37</v>
      </c>
      <c r="B1238" t="str">
        <f t="shared" si="20"/>
        <v>06114</v>
      </c>
      <c r="C1238" t="s">
        <v>1202</v>
      </c>
      <c r="D1238">
        <v>0</v>
      </c>
      <c r="E1238" t="s">
        <v>333</v>
      </c>
    </row>
    <row r="1239" spans="1:5" x14ac:dyDescent="0.25">
      <c r="A1239" s="34" t="s">
        <v>37</v>
      </c>
      <c r="B1239" t="str">
        <f t="shared" si="20"/>
        <v>06114</v>
      </c>
      <c r="C1239" t="s">
        <v>1206</v>
      </c>
      <c r="D1239">
        <v>3140</v>
      </c>
      <c r="E1239" t="s">
        <v>333</v>
      </c>
    </row>
    <row r="1240" spans="1:5" x14ac:dyDescent="0.25">
      <c r="A1240" s="34" t="s">
        <v>37</v>
      </c>
      <c r="B1240" t="str">
        <f t="shared" si="20"/>
        <v>06114</v>
      </c>
      <c r="C1240" t="s">
        <v>1199</v>
      </c>
      <c r="D1240">
        <v>0</v>
      </c>
      <c r="E1240" t="s">
        <v>333</v>
      </c>
    </row>
    <row r="1241" spans="1:5" x14ac:dyDescent="0.25">
      <c r="A1241" s="34" t="s">
        <v>37</v>
      </c>
      <c r="B1241" t="str">
        <f t="shared" si="20"/>
        <v>06114</v>
      </c>
      <c r="C1241" t="s">
        <v>1203</v>
      </c>
      <c r="D1241">
        <v>3182.14</v>
      </c>
      <c r="E1241" t="s">
        <v>333</v>
      </c>
    </row>
    <row r="1242" spans="1:5" x14ac:dyDescent="0.25">
      <c r="A1242" s="34" t="s">
        <v>37</v>
      </c>
      <c r="B1242" t="str">
        <f t="shared" si="20"/>
        <v>06114</v>
      </c>
      <c r="C1242" t="s">
        <v>1200</v>
      </c>
      <c r="D1242">
        <v>0</v>
      </c>
      <c r="E1242" t="s">
        <v>333</v>
      </c>
    </row>
    <row r="1243" spans="1:5" x14ac:dyDescent="0.25">
      <c r="A1243" s="34" t="s">
        <v>37</v>
      </c>
      <c r="B1243" t="str">
        <f t="shared" si="20"/>
        <v>06114</v>
      </c>
      <c r="C1243" t="s">
        <v>1204</v>
      </c>
      <c r="D1243">
        <v>7353.75</v>
      </c>
      <c r="E1243" t="s">
        <v>333</v>
      </c>
    </row>
    <row r="1244" spans="1:5" x14ac:dyDescent="0.25">
      <c r="A1244" s="34" t="s">
        <v>37</v>
      </c>
      <c r="B1244" t="str">
        <f t="shared" si="20"/>
        <v>06114</v>
      </c>
      <c r="C1244" t="s">
        <v>1207</v>
      </c>
      <c r="D1244">
        <v>179.45</v>
      </c>
      <c r="E1244" t="s">
        <v>333</v>
      </c>
    </row>
    <row r="1245" spans="1:5" x14ac:dyDescent="0.25">
      <c r="A1245" s="34" t="s">
        <v>37</v>
      </c>
      <c r="B1245" t="str">
        <f t="shared" si="20"/>
        <v>06114</v>
      </c>
      <c r="C1245" t="s">
        <v>1208</v>
      </c>
      <c r="D1245">
        <v>2044.69</v>
      </c>
      <c r="E1245" t="s">
        <v>333</v>
      </c>
    </row>
    <row r="1246" spans="1:5" x14ac:dyDescent="0.25">
      <c r="A1246" s="34" t="s">
        <v>37</v>
      </c>
      <c r="B1246" t="str">
        <f t="shared" si="20"/>
        <v>06114</v>
      </c>
      <c r="C1246" t="s">
        <v>1210</v>
      </c>
      <c r="D1246">
        <v>0</v>
      </c>
      <c r="E1246" t="s">
        <v>333</v>
      </c>
    </row>
    <row r="1247" spans="1:5" x14ac:dyDescent="0.25">
      <c r="A1247" s="34" t="s">
        <v>37</v>
      </c>
      <c r="B1247" t="str">
        <f t="shared" si="20"/>
        <v>06114</v>
      </c>
      <c r="C1247" t="s">
        <v>1212</v>
      </c>
      <c r="D1247">
        <v>786.87</v>
      </c>
      <c r="E1247" t="s">
        <v>333</v>
      </c>
    </row>
    <row r="1248" spans="1:5" x14ac:dyDescent="0.25">
      <c r="A1248" s="34" t="s">
        <v>37</v>
      </c>
      <c r="B1248" t="str">
        <f t="shared" si="20"/>
        <v>06114</v>
      </c>
      <c r="C1248" t="s">
        <v>1216</v>
      </c>
      <c r="D1248">
        <v>66.52</v>
      </c>
      <c r="E1248" t="s">
        <v>333</v>
      </c>
    </row>
    <row r="1249" spans="1:5" x14ac:dyDescent="0.25">
      <c r="A1249" s="34" t="s">
        <v>37</v>
      </c>
      <c r="B1249" t="str">
        <f t="shared" si="20"/>
        <v>06114</v>
      </c>
      <c r="C1249" t="s">
        <v>1198</v>
      </c>
      <c r="D1249">
        <v>1368.24</v>
      </c>
      <c r="E1249" t="s">
        <v>333</v>
      </c>
    </row>
    <row r="1250" spans="1:5" x14ac:dyDescent="0.25">
      <c r="A1250">
        <v>33205</v>
      </c>
      <c r="B1250" t="str">
        <f t="shared" si="20"/>
        <v>33205</v>
      </c>
      <c r="C1250" t="s">
        <v>1193</v>
      </c>
      <c r="D1250">
        <v>0</v>
      </c>
      <c r="E1250" t="s">
        <v>543</v>
      </c>
    </row>
    <row r="1251" spans="1:5" x14ac:dyDescent="0.25">
      <c r="A1251">
        <v>33205</v>
      </c>
      <c r="B1251" t="str">
        <f t="shared" si="20"/>
        <v>33205</v>
      </c>
      <c r="C1251" t="s">
        <v>1194</v>
      </c>
      <c r="D1251">
        <v>15.8</v>
      </c>
      <c r="E1251" t="s">
        <v>543</v>
      </c>
    </row>
    <row r="1252" spans="1:5" x14ac:dyDescent="0.25">
      <c r="A1252">
        <v>33205</v>
      </c>
      <c r="B1252" t="str">
        <f t="shared" si="20"/>
        <v>33205</v>
      </c>
      <c r="C1252" t="s">
        <v>1195</v>
      </c>
      <c r="D1252">
        <v>0</v>
      </c>
      <c r="E1252" t="s">
        <v>543</v>
      </c>
    </row>
    <row r="1253" spans="1:5" x14ac:dyDescent="0.25">
      <c r="A1253">
        <v>33205</v>
      </c>
      <c r="B1253" t="str">
        <f t="shared" si="20"/>
        <v>33205</v>
      </c>
      <c r="C1253" t="s">
        <v>1197</v>
      </c>
      <c r="D1253">
        <v>6</v>
      </c>
      <c r="E1253" t="s">
        <v>543</v>
      </c>
    </row>
    <row r="1254" spans="1:5" x14ac:dyDescent="0.25">
      <c r="A1254">
        <v>33205</v>
      </c>
      <c r="B1254" t="str">
        <f t="shared" si="20"/>
        <v>33205</v>
      </c>
      <c r="C1254" t="s">
        <v>1202</v>
      </c>
      <c r="D1254">
        <v>0</v>
      </c>
      <c r="E1254" t="s">
        <v>543</v>
      </c>
    </row>
    <row r="1255" spans="1:5" x14ac:dyDescent="0.25">
      <c r="A1255">
        <v>33205</v>
      </c>
      <c r="B1255" t="str">
        <f t="shared" si="20"/>
        <v>33205</v>
      </c>
      <c r="C1255" t="s">
        <v>1206</v>
      </c>
      <c r="D1255">
        <v>12.8</v>
      </c>
      <c r="E1255" t="s">
        <v>543</v>
      </c>
    </row>
    <row r="1256" spans="1:5" x14ac:dyDescent="0.25">
      <c r="A1256">
        <v>33205</v>
      </c>
      <c r="B1256" t="str">
        <f t="shared" si="20"/>
        <v>33205</v>
      </c>
      <c r="C1256" t="s">
        <v>1199</v>
      </c>
      <c r="D1256">
        <v>0</v>
      </c>
      <c r="E1256" t="s">
        <v>543</v>
      </c>
    </row>
    <row r="1257" spans="1:5" x14ac:dyDescent="0.25">
      <c r="A1257">
        <v>33205</v>
      </c>
      <c r="B1257" t="str">
        <f t="shared" si="20"/>
        <v>33205</v>
      </c>
      <c r="C1257" t="s">
        <v>1203</v>
      </c>
      <c r="D1257">
        <v>0</v>
      </c>
      <c r="E1257" t="s">
        <v>543</v>
      </c>
    </row>
    <row r="1258" spans="1:5" x14ac:dyDescent="0.25">
      <c r="A1258">
        <v>33205</v>
      </c>
      <c r="B1258" t="str">
        <f t="shared" si="20"/>
        <v>33205</v>
      </c>
      <c r="C1258" t="s">
        <v>1200</v>
      </c>
      <c r="D1258">
        <v>0</v>
      </c>
      <c r="E1258" t="s">
        <v>543</v>
      </c>
    </row>
    <row r="1259" spans="1:5" x14ac:dyDescent="0.25">
      <c r="A1259">
        <v>33205</v>
      </c>
      <c r="B1259" t="str">
        <f t="shared" si="20"/>
        <v>33205</v>
      </c>
      <c r="C1259" t="s">
        <v>1204</v>
      </c>
      <c r="D1259">
        <v>0</v>
      </c>
      <c r="E1259" t="s">
        <v>543</v>
      </c>
    </row>
    <row r="1260" spans="1:5" x14ac:dyDescent="0.25">
      <c r="A1260">
        <v>33205</v>
      </c>
      <c r="B1260" t="str">
        <f t="shared" si="20"/>
        <v>33205</v>
      </c>
      <c r="C1260" t="s">
        <v>1207</v>
      </c>
      <c r="D1260">
        <v>0</v>
      </c>
      <c r="E1260" t="s">
        <v>543</v>
      </c>
    </row>
    <row r="1261" spans="1:5" x14ac:dyDescent="0.25">
      <c r="A1261">
        <v>33205</v>
      </c>
      <c r="B1261" t="str">
        <f t="shared" si="20"/>
        <v>33205</v>
      </c>
      <c r="C1261" t="s">
        <v>1208</v>
      </c>
      <c r="D1261">
        <v>0</v>
      </c>
      <c r="E1261" t="s">
        <v>543</v>
      </c>
    </row>
    <row r="1262" spans="1:5" x14ac:dyDescent="0.25">
      <c r="A1262">
        <v>33205</v>
      </c>
      <c r="B1262" t="str">
        <f t="shared" si="20"/>
        <v>33205</v>
      </c>
      <c r="C1262" t="s">
        <v>1210</v>
      </c>
      <c r="D1262">
        <v>0</v>
      </c>
      <c r="E1262" t="s">
        <v>543</v>
      </c>
    </row>
    <row r="1263" spans="1:5" x14ac:dyDescent="0.25">
      <c r="A1263">
        <v>33205</v>
      </c>
      <c r="B1263" t="str">
        <f t="shared" si="20"/>
        <v>33205</v>
      </c>
      <c r="C1263" t="s">
        <v>1212</v>
      </c>
      <c r="D1263">
        <v>0</v>
      </c>
      <c r="E1263" t="s">
        <v>543</v>
      </c>
    </row>
    <row r="1264" spans="1:5" x14ac:dyDescent="0.25">
      <c r="A1264">
        <v>33205</v>
      </c>
      <c r="B1264" t="str">
        <f t="shared" si="20"/>
        <v>33205</v>
      </c>
      <c r="C1264" t="s">
        <v>1216</v>
      </c>
      <c r="D1264">
        <v>0</v>
      </c>
      <c r="E1264" t="s">
        <v>543</v>
      </c>
    </row>
    <row r="1265" spans="1:5" x14ac:dyDescent="0.25">
      <c r="A1265">
        <v>33205</v>
      </c>
      <c r="B1265" t="str">
        <f t="shared" si="20"/>
        <v>33205</v>
      </c>
      <c r="C1265" t="s">
        <v>1198</v>
      </c>
      <c r="D1265">
        <v>5.6</v>
      </c>
      <c r="E1265" t="s">
        <v>543</v>
      </c>
    </row>
    <row r="1266" spans="1:5" x14ac:dyDescent="0.25">
      <c r="A1266">
        <v>17210</v>
      </c>
      <c r="B1266" t="str">
        <f t="shared" si="20"/>
        <v>17210</v>
      </c>
      <c r="C1266" t="s">
        <v>1193</v>
      </c>
      <c r="D1266">
        <v>0</v>
      </c>
      <c r="E1266" t="s">
        <v>393</v>
      </c>
    </row>
    <row r="1267" spans="1:5" x14ac:dyDescent="0.25">
      <c r="A1267">
        <v>17210</v>
      </c>
      <c r="B1267" t="str">
        <f t="shared" si="20"/>
        <v>17210</v>
      </c>
      <c r="C1267" t="s">
        <v>1194</v>
      </c>
      <c r="D1267">
        <v>4842.3500000000004</v>
      </c>
      <c r="E1267" t="s">
        <v>393</v>
      </c>
    </row>
    <row r="1268" spans="1:5" x14ac:dyDescent="0.25">
      <c r="A1268">
        <v>17210</v>
      </c>
      <c r="B1268" t="str">
        <f t="shared" si="20"/>
        <v>17210</v>
      </c>
      <c r="C1268" t="s">
        <v>1195</v>
      </c>
      <c r="D1268">
        <v>0</v>
      </c>
      <c r="E1268" t="s">
        <v>393</v>
      </c>
    </row>
    <row r="1269" spans="1:5" x14ac:dyDescent="0.25">
      <c r="A1269">
        <v>17210</v>
      </c>
      <c r="B1269" t="str">
        <f t="shared" si="20"/>
        <v>17210</v>
      </c>
      <c r="C1269" t="s">
        <v>1197</v>
      </c>
      <c r="D1269">
        <v>1483.96</v>
      </c>
      <c r="E1269" t="s">
        <v>393</v>
      </c>
    </row>
    <row r="1270" spans="1:5" x14ac:dyDescent="0.25">
      <c r="A1270">
        <v>17210</v>
      </c>
      <c r="B1270" t="str">
        <f t="shared" si="20"/>
        <v>17210</v>
      </c>
      <c r="C1270" t="s">
        <v>1202</v>
      </c>
      <c r="D1270">
        <v>0</v>
      </c>
      <c r="E1270" t="s">
        <v>393</v>
      </c>
    </row>
    <row r="1271" spans="1:5" x14ac:dyDescent="0.25">
      <c r="A1271">
        <v>17210</v>
      </c>
      <c r="B1271" t="str">
        <f t="shared" si="20"/>
        <v>17210</v>
      </c>
      <c r="C1271" t="s">
        <v>1206</v>
      </c>
      <c r="D1271">
        <v>3167.27</v>
      </c>
      <c r="E1271" t="s">
        <v>393</v>
      </c>
    </row>
    <row r="1272" spans="1:5" x14ac:dyDescent="0.25">
      <c r="A1272">
        <v>17210</v>
      </c>
      <c r="B1272" t="str">
        <f t="shared" si="20"/>
        <v>17210</v>
      </c>
      <c r="C1272" t="s">
        <v>1199</v>
      </c>
      <c r="D1272">
        <v>0</v>
      </c>
      <c r="E1272" t="s">
        <v>393</v>
      </c>
    </row>
    <row r="1273" spans="1:5" x14ac:dyDescent="0.25">
      <c r="A1273">
        <v>17210</v>
      </c>
      <c r="B1273" t="str">
        <f t="shared" si="20"/>
        <v>17210</v>
      </c>
      <c r="C1273" t="s">
        <v>1203</v>
      </c>
      <c r="D1273">
        <v>3166.64</v>
      </c>
      <c r="E1273" t="s">
        <v>393</v>
      </c>
    </row>
    <row r="1274" spans="1:5" x14ac:dyDescent="0.25">
      <c r="A1274">
        <v>17210</v>
      </c>
      <c r="B1274" t="str">
        <f t="shared" si="20"/>
        <v>17210</v>
      </c>
      <c r="C1274" t="s">
        <v>1200</v>
      </c>
      <c r="D1274">
        <v>0</v>
      </c>
      <c r="E1274" t="s">
        <v>393</v>
      </c>
    </row>
    <row r="1275" spans="1:5" x14ac:dyDescent="0.25">
      <c r="A1275">
        <v>17210</v>
      </c>
      <c r="B1275" t="str">
        <f t="shared" si="20"/>
        <v>17210</v>
      </c>
      <c r="C1275" t="s">
        <v>1204</v>
      </c>
      <c r="D1275">
        <v>5796.47</v>
      </c>
      <c r="E1275" t="s">
        <v>393</v>
      </c>
    </row>
    <row r="1276" spans="1:5" x14ac:dyDescent="0.25">
      <c r="A1276">
        <v>17210</v>
      </c>
      <c r="B1276" t="str">
        <f t="shared" si="20"/>
        <v>17210</v>
      </c>
      <c r="C1276" t="s">
        <v>1207</v>
      </c>
      <c r="D1276">
        <v>115.9</v>
      </c>
      <c r="E1276" t="s">
        <v>393</v>
      </c>
    </row>
    <row r="1277" spans="1:5" x14ac:dyDescent="0.25">
      <c r="A1277">
        <v>17210</v>
      </c>
      <c r="B1277" t="str">
        <f t="shared" si="20"/>
        <v>17210</v>
      </c>
      <c r="C1277" t="s">
        <v>1208</v>
      </c>
      <c r="D1277">
        <v>1239.33</v>
      </c>
      <c r="E1277" t="s">
        <v>393</v>
      </c>
    </row>
    <row r="1278" spans="1:5" x14ac:dyDescent="0.25">
      <c r="A1278">
        <v>17210</v>
      </c>
      <c r="B1278" t="str">
        <f t="shared" si="20"/>
        <v>17210</v>
      </c>
      <c r="C1278" t="s">
        <v>1210</v>
      </c>
      <c r="D1278">
        <v>0</v>
      </c>
      <c r="E1278" t="s">
        <v>393</v>
      </c>
    </row>
    <row r="1279" spans="1:5" x14ac:dyDescent="0.25">
      <c r="A1279">
        <v>17210</v>
      </c>
      <c r="B1279" t="str">
        <f t="shared" si="20"/>
        <v>17210</v>
      </c>
      <c r="C1279" t="s">
        <v>1212</v>
      </c>
      <c r="D1279">
        <v>0</v>
      </c>
      <c r="E1279" t="s">
        <v>393</v>
      </c>
    </row>
    <row r="1280" spans="1:5" x14ac:dyDescent="0.25">
      <c r="A1280">
        <v>17210</v>
      </c>
      <c r="B1280" t="str">
        <f t="shared" si="20"/>
        <v>17210</v>
      </c>
      <c r="C1280" t="s">
        <v>1216</v>
      </c>
      <c r="D1280">
        <v>108.4</v>
      </c>
      <c r="E1280" t="s">
        <v>393</v>
      </c>
    </row>
    <row r="1281" spans="1:5" x14ac:dyDescent="0.25">
      <c r="A1281">
        <v>17210</v>
      </c>
      <c r="B1281" t="str">
        <f t="shared" si="20"/>
        <v>17210</v>
      </c>
      <c r="C1281" t="s">
        <v>1198</v>
      </c>
      <c r="D1281">
        <v>1474.11</v>
      </c>
      <c r="E1281" t="s">
        <v>393</v>
      </c>
    </row>
    <row r="1282" spans="1:5" x14ac:dyDescent="0.25">
      <c r="A1282">
        <v>37502</v>
      </c>
      <c r="B1282" t="str">
        <f t="shared" si="20"/>
        <v>37502</v>
      </c>
      <c r="C1282" t="s">
        <v>1193</v>
      </c>
      <c r="D1282">
        <v>0</v>
      </c>
      <c r="E1282" t="s">
        <v>565</v>
      </c>
    </row>
    <row r="1283" spans="1:5" x14ac:dyDescent="0.25">
      <c r="A1283">
        <v>37502</v>
      </c>
      <c r="B1283" t="str">
        <f t="shared" ref="B1283:B1346" si="21">TEXT(A1283,"00000")</f>
        <v>37502</v>
      </c>
      <c r="C1283" t="s">
        <v>1194</v>
      </c>
      <c r="D1283">
        <v>1022.44</v>
      </c>
      <c r="E1283" t="s">
        <v>565</v>
      </c>
    </row>
    <row r="1284" spans="1:5" x14ac:dyDescent="0.25">
      <c r="A1284">
        <v>37502</v>
      </c>
      <c r="B1284" t="str">
        <f t="shared" si="21"/>
        <v>37502</v>
      </c>
      <c r="C1284" t="s">
        <v>1195</v>
      </c>
      <c r="D1284">
        <v>0</v>
      </c>
      <c r="E1284" t="s">
        <v>565</v>
      </c>
    </row>
    <row r="1285" spans="1:5" x14ac:dyDescent="0.25">
      <c r="A1285">
        <v>37502</v>
      </c>
      <c r="B1285" t="str">
        <f t="shared" si="21"/>
        <v>37502</v>
      </c>
      <c r="C1285" t="s">
        <v>1197</v>
      </c>
      <c r="D1285">
        <v>350.02</v>
      </c>
      <c r="E1285" t="s">
        <v>565</v>
      </c>
    </row>
    <row r="1286" spans="1:5" x14ac:dyDescent="0.25">
      <c r="A1286">
        <v>37502</v>
      </c>
      <c r="B1286" t="str">
        <f t="shared" si="21"/>
        <v>37502</v>
      </c>
      <c r="C1286" t="s">
        <v>1202</v>
      </c>
      <c r="D1286">
        <v>0</v>
      </c>
      <c r="E1286" t="s">
        <v>565</v>
      </c>
    </row>
    <row r="1287" spans="1:5" x14ac:dyDescent="0.25">
      <c r="A1287">
        <v>37502</v>
      </c>
      <c r="B1287" t="str">
        <f t="shared" si="21"/>
        <v>37502</v>
      </c>
      <c r="C1287" t="s">
        <v>1206</v>
      </c>
      <c r="D1287">
        <v>712.53</v>
      </c>
      <c r="E1287" t="s">
        <v>565</v>
      </c>
    </row>
    <row r="1288" spans="1:5" x14ac:dyDescent="0.25">
      <c r="A1288">
        <v>37502</v>
      </c>
      <c r="B1288" t="str">
        <f t="shared" si="21"/>
        <v>37502</v>
      </c>
      <c r="C1288" t="s">
        <v>1199</v>
      </c>
      <c r="D1288">
        <v>0</v>
      </c>
      <c r="E1288" t="s">
        <v>565</v>
      </c>
    </row>
    <row r="1289" spans="1:5" x14ac:dyDescent="0.25">
      <c r="A1289">
        <v>37502</v>
      </c>
      <c r="B1289" t="str">
        <f t="shared" si="21"/>
        <v>37502</v>
      </c>
      <c r="C1289" t="s">
        <v>1203</v>
      </c>
      <c r="D1289">
        <v>625.04</v>
      </c>
      <c r="E1289" t="s">
        <v>565</v>
      </c>
    </row>
    <row r="1290" spans="1:5" x14ac:dyDescent="0.25">
      <c r="A1290">
        <v>37502</v>
      </c>
      <c r="B1290" t="str">
        <f t="shared" si="21"/>
        <v>37502</v>
      </c>
      <c r="C1290" t="s">
        <v>1200</v>
      </c>
      <c r="D1290">
        <v>0</v>
      </c>
      <c r="E1290" t="s">
        <v>565</v>
      </c>
    </row>
    <row r="1291" spans="1:5" x14ac:dyDescent="0.25">
      <c r="A1291">
        <v>37502</v>
      </c>
      <c r="B1291" t="str">
        <f t="shared" si="21"/>
        <v>37502</v>
      </c>
      <c r="C1291" t="s">
        <v>1204</v>
      </c>
      <c r="D1291">
        <v>1225.57</v>
      </c>
      <c r="E1291" t="s">
        <v>565</v>
      </c>
    </row>
    <row r="1292" spans="1:5" x14ac:dyDescent="0.25">
      <c r="A1292">
        <v>37502</v>
      </c>
      <c r="B1292" t="str">
        <f t="shared" si="21"/>
        <v>37502</v>
      </c>
      <c r="C1292" t="s">
        <v>1207</v>
      </c>
      <c r="D1292">
        <v>17.59</v>
      </c>
      <c r="E1292" t="s">
        <v>565</v>
      </c>
    </row>
    <row r="1293" spans="1:5" x14ac:dyDescent="0.25">
      <c r="A1293">
        <v>37502</v>
      </c>
      <c r="B1293" t="str">
        <f t="shared" si="21"/>
        <v>37502</v>
      </c>
      <c r="C1293" t="s">
        <v>1208</v>
      </c>
      <c r="D1293">
        <v>383.37</v>
      </c>
      <c r="E1293" t="s">
        <v>565</v>
      </c>
    </row>
    <row r="1294" spans="1:5" x14ac:dyDescent="0.25">
      <c r="A1294">
        <v>37502</v>
      </c>
      <c r="B1294" t="str">
        <f t="shared" si="21"/>
        <v>37502</v>
      </c>
      <c r="C1294" t="s">
        <v>1210</v>
      </c>
      <c r="D1294">
        <v>0</v>
      </c>
      <c r="E1294" t="s">
        <v>565</v>
      </c>
    </row>
    <row r="1295" spans="1:5" x14ac:dyDescent="0.25">
      <c r="A1295">
        <v>37502</v>
      </c>
      <c r="B1295" t="str">
        <f t="shared" si="21"/>
        <v>37502</v>
      </c>
      <c r="C1295" t="s">
        <v>1212</v>
      </c>
      <c r="D1295">
        <v>0</v>
      </c>
      <c r="E1295" t="s">
        <v>565</v>
      </c>
    </row>
    <row r="1296" spans="1:5" x14ac:dyDescent="0.25">
      <c r="A1296">
        <v>37502</v>
      </c>
      <c r="B1296" t="str">
        <f t="shared" si="21"/>
        <v>37502</v>
      </c>
      <c r="C1296" t="s">
        <v>1216</v>
      </c>
      <c r="D1296">
        <v>101</v>
      </c>
      <c r="E1296" t="s">
        <v>565</v>
      </c>
    </row>
    <row r="1297" spans="1:5" x14ac:dyDescent="0.25">
      <c r="A1297">
        <v>37502</v>
      </c>
      <c r="B1297" t="str">
        <f t="shared" si="21"/>
        <v>37502</v>
      </c>
      <c r="C1297" t="s">
        <v>1198</v>
      </c>
      <c r="D1297">
        <v>319.64</v>
      </c>
      <c r="E1297" t="s">
        <v>565</v>
      </c>
    </row>
    <row r="1298" spans="1:5" x14ac:dyDescent="0.25">
      <c r="A1298">
        <v>27417</v>
      </c>
      <c r="B1298" t="str">
        <f t="shared" si="21"/>
        <v>27417</v>
      </c>
      <c r="C1298" t="s">
        <v>1193</v>
      </c>
      <c r="D1298">
        <v>0</v>
      </c>
      <c r="E1298" t="s">
        <v>492</v>
      </c>
    </row>
    <row r="1299" spans="1:5" x14ac:dyDescent="0.25">
      <c r="A1299">
        <v>27417</v>
      </c>
      <c r="B1299" t="str">
        <f t="shared" si="21"/>
        <v>27417</v>
      </c>
      <c r="C1299" t="s">
        <v>1194</v>
      </c>
      <c r="D1299">
        <v>882.6</v>
      </c>
      <c r="E1299" t="s">
        <v>492</v>
      </c>
    </row>
    <row r="1300" spans="1:5" x14ac:dyDescent="0.25">
      <c r="A1300">
        <v>27417</v>
      </c>
      <c r="B1300" t="str">
        <f t="shared" si="21"/>
        <v>27417</v>
      </c>
      <c r="C1300" t="s">
        <v>1195</v>
      </c>
      <c r="D1300">
        <v>0</v>
      </c>
      <c r="E1300" t="s">
        <v>492</v>
      </c>
    </row>
    <row r="1301" spans="1:5" x14ac:dyDescent="0.25">
      <c r="A1301">
        <v>27417</v>
      </c>
      <c r="B1301" t="str">
        <f t="shared" si="21"/>
        <v>27417</v>
      </c>
      <c r="C1301" t="s">
        <v>1197</v>
      </c>
      <c r="D1301">
        <v>304.60000000000002</v>
      </c>
      <c r="E1301" t="s">
        <v>492</v>
      </c>
    </row>
    <row r="1302" spans="1:5" x14ac:dyDescent="0.25">
      <c r="A1302">
        <v>27417</v>
      </c>
      <c r="B1302" t="str">
        <f t="shared" si="21"/>
        <v>27417</v>
      </c>
      <c r="C1302" t="s">
        <v>1202</v>
      </c>
      <c r="D1302">
        <v>0</v>
      </c>
      <c r="E1302" t="s">
        <v>492</v>
      </c>
    </row>
    <row r="1303" spans="1:5" x14ac:dyDescent="0.25">
      <c r="A1303">
        <v>27417</v>
      </c>
      <c r="B1303" t="str">
        <f t="shared" si="21"/>
        <v>27417</v>
      </c>
      <c r="C1303" t="s">
        <v>1206</v>
      </c>
      <c r="D1303">
        <v>611.65</v>
      </c>
      <c r="E1303" t="s">
        <v>492</v>
      </c>
    </row>
    <row r="1304" spans="1:5" x14ac:dyDescent="0.25">
      <c r="A1304">
        <v>27417</v>
      </c>
      <c r="B1304" t="str">
        <f t="shared" si="21"/>
        <v>27417</v>
      </c>
      <c r="C1304" t="s">
        <v>1199</v>
      </c>
      <c r="D1304">
        <v>0</v>
      </c>
      <c r="E1304" t="s">
        <v>492</v>
      </c>
    </row>
    <row r="1305" spans="1:5" x14ac:dyDescent="0.25">
      <c r="A1305">
        <v>27417</v>
      </c>
      <c r="B1305" t="str">
        <f t="shared" si="21"/>
        <v>27417</v>
      </c>
      <c r="C1305" t="s">
        <v>1203</v>
      </c>
      <c r="D1305">
        <v>634.42999999999995</v>
      </c>
      <c r="E1305" t="s">
        <v>492</v>
      </c>
    </row>
    <row r="1306" spans="1:5" x14ac:dyDescent="0.25">
      <c r="A1306">
        <v>27417</v>
      </c>
      <c r="B1306" t="str">
        <f t="shared" si="21"/>
        <v>27417</v>
      </c>
      <c r="C1306" t="s">
        <v>1200</v>
      </c>
      <c r="D1306">
        <v>0</v>
      </c>
      <c r="E1306" t="s">
        <v>492</v>
      </c>
    </row>
    <row r="1307" spans="1:5" x14ac:dyDescent="0.25">
      <c r="A1307">
        <v>27417</v>
      </c>
      <c r="B1307" t="str">
        <f t="shared" si="21"/>
        <v>27417</v>
      </c>
      <c r="C1307" t="s">
        <v>1204</v>
      </c>
      <c r="D1307">
        <v>1065.02</v>
      </c>
      <c r="E1307" t="s">
        <v>492</v>
      </c>
    </row>
    <row r="1308" spans="1:5" x14ac:dyDescent="0.25">
      <c r="A1308">
        <v>27417</v>
      </c>
      <c r="B1308" t="str">
        <f t="shared" si="21"/>
        <v>27417</v>
      </c>
      <c r="C1308" t="s">
        <v>1207</v>
      </c>
      <c r="D1308">
        <v>65.8</v>
      </c>
      <c r="E1308" t="s">
        <v>492</v>
      </c>
    </row>
    <row r="1309" spans="1:5" x14ac:dyDescent="0.25">
      <c r="A1309">
        <v>27417</v>
      </c>
      <c r="B1309" t="str">
        <f t="shared" si="21"/>
        <v>27417</v>
      </c>
      <c r="C1309" t="s">
        <v>1208</v>
      </c>
      <c r="D1309">
        <v>320.72000000000003</v>
      </c>
      <c r="E1309" t="s">
        <v>492</v>
      </c>
    </row>
    <row r="1310" spans="1:5" x14ac:dyDescent="0.25">
      <c r="A1310">
        <v>27417</v>
      </c>
      <c r="B1310" t="str">
        <f t="shared" si="21"/>
        <v>27417</v>
      </c>
      <c r="C1310" t="s">
        <v>1210</v>
      </c>
      <c r="D1310">
        <v>0</v>
      </c>
      <c r="E1310" t="s">
        <v>492</v>
      </c>
    </row>
    <row r="1311" spans="1:5" x14ac:dyDescent="0.25">
      <c r="A1311">
        <v>27417</v>
      </c>
      <c r="B1311" t="str">
        <f t="shared" si="21"/>
        <v>27417</v>
      </c>
      <c r="C1311" t="s">
        <v>1212</v>
      </c>
      <c r="D1311">
        <v>0</v>
      </c>
      <c r="E1311" t="s">
        <v>492</v>
      </c>
    </row>
    <row r="1312" spans="1:5" x14ac:dyDescent="0.25">
      <c r="A1312">
        <v>27417</v>
      </c>
      <c r="B1312" t="str">
        <f t="shared" si="21"/>
        <v>27417</v>
      </c>
      <c r="C1312" t="s">
        <v>1216</v>
      </c>
      <c r="D1312">
        <v>0</v>
      </c>
      <c r="E1312" t="s">
        <v>492</v>
      </c>
    </row>
    <row r="1313" spans="1:5" x14ac:dyDescent="0.25">
      <c r="A1313">
        <v>27417</v>
      </c>
      <c r="B1313" t="str">
        <f t="shared" si="21"/>
        <v>27417</v>
      </c>
      <c r="C1313" t="s">
        <v>1198</v>
      </c>
      <c r="D1313">
        <v>289.82</v>
      </c>
      <c r="E1313" t="s">
        <v>492</v>
      </c>
    </row>
    <row r="1314" spans="1:5" x14ac:dyDescent="0.25">
      <c r="A1314" s="34" t="s">
        <v>17</v>
      </c>
      <c r="B1314" t="str">
        <f t="shared" si="21"/>
        <v>03053</v>
      </c>
      <c r="C1314" t="s">
        <v>1193</v>
      </c>
      <c r="D1314">
        <v>0</v>
      </c>
      <c r="E1314" t="s">
        <v>314</v>
      </c>
    </row>
    <row r="1315" spans="1:5" x14ac:dyDescent="0.25">
      <c r="A1315" s="34" t="s">
        <v>17</v>
      </c>
      <c r="B1315" t="str">
        <f t="shared" si="21"/>
        <v>03053</v>
      </c>
      <c r="C1315" t="s">
        <v>1194</v>
      </c>
      <c r="D1315">
        <v>177.01</v>
      </c>
      <c r="E1315" t="s">
        <v>314</v>
      </c>
    </row>
    <row r="1316" spans="1:5" x14ac:dyDescent="0.25">
      <c r="A1316" s="34" t="s">
        <v>17</v>
      </c>
      <c r="B1316" t="str">
        <f t="shared" si="21"/>
        <v>03053</v>
      </c>
      <c r="C1316" t="s">
        <v>1195</v>
      </c>
      <c r="D1316">
        <v>0</v>
      </c>
      <c r="E1316" t="s">
        <v>314</v>
      </c>
    </row>
    <row r="1317" spans="1:5" x14ac:dyDescent="0.25">
      <c r="A1317" s="34" t="s">
        <v>17</v>
      </c>
      <c r="B1317" t="str">
        <f t="shared" si="21"/>
        <v>03053</v>
      </c>
      <c r="C1317" t="s">
        <v>1197</v>
      </c>
      <c r="D1317">
        <v>56</v>
      </c>
      <c r="E1317" t="s">
        <v>314</v>
      </c>
    </row>
    <row r="1318" spans="1:5" x14ac:dyDescent="0.25">
      <c r="A1318" s="34" t="s">
        <v>17</v>
      </c>
      <c r="B1318" t="str">
        <f t="shared" si="21"/>
        <v>03053</v>
      </c>
      <c r="C1318" t="s">
        <v>1202</v>
      </c>
      <c r="D1318">
        <v>0</v>
      </c>
      <c r="E1318" t="s">
        <v>314</v>
      </c>
    </row>
    <row r="1319" spans="1:5" x14ac:dyDescent="0.25">
      <c r="A1319" s="34" t="s">
        <v>17</v>
      </c>
      <c r="B1319" t="str">
        <f t="shared" si="21"/>
        <v>03053</v>
      </c>
      <c r="C1319" t="s">
        <v>1206</v>
      </c>
      <c r="D1319">
        <v>137.19999999999999</v>
      </c>
      <c r="E1319" t="s">
        <v>314</v>
      </c>
    </row>
    <row r="1320" spans="1:5" x14ac:dyDescent="0.25">
      <c r="A1320" s="34" t="s">
        <v>17</v>
      </c>
      <c r="B1320" t="str">
        <f t="shared" si="21"/>
        <v>03053</v>
      </c>
      <c r="C1320" t="s">
        <v>1199</v>
      </c>
      <c r="D1320">
        <v>0</v>
      </c>
      <c r="E1320" t="s">
        <v>314</v>
      </c>
    </row>
    <row r="1321" spans="1:5" x14ac:dyDescent="0.25">
      <c r="A1321" s="34" t="s">
        <v>17</v>
      </c>
      <c r="B1321" t="str">
        <f t="shared" si="21"/>
        <v>03053</v>
      </c>
      <c r="C1321" t="s">
        <v>1203</v>
      </c>
      <c r="D1321">
        <v>133.47999999999999</v>
      </c>
      <c r="E1321" t="s">
        <v>314</v>
      </c>
    </row>
    <row r="1322" spans="1:5" x14ac:dyDescent="0.25">
      <c r="A1322" s="34" t="s">
        <v>17</v>
      </c>
      <c r="B1322" t="str">
        <f t="shared" si="21"/>
        <v>03053</v>
      </c>
      <c r="C1322" t="s">
        <v>1200</v>
      </c>
      <c r="D1322">
        <v>0</v>
      </c>
      <c r="E1322" t="s">
        <v>314</v>
      </c>
    </row>
    <row r="1323" spans="1:5" x14ac:dyDescent="0.25">
      <c r="A1323" s="34" t="s">
        <v>17</v>
      </c>
      <c r="B1323" t="str">
        <f t="shared" si="21"/>
        <v>03053</v>
      </c>
      <c r="C1323" t="s">
        <v>1204</v>
      </c>
      <c r="D1323">
        <v>276.63</v>
      </c>
      <c r="E1323" t="s">
        <v>314</v>
      </c>
    </row>
    <row r="1324" spans="1:5" x14ac:dyDescent="0.25">
      <c r="A1324" s="34" t="s">
        <v>17</v>
      </c>
      <c r="B1324" t="str">
        <f t="shared" si="21"/>
        <v>03053</v>
      </c>
      <c r="C1324" t="s">
        <v>1207</v>
      </c>
      <c r="D1324">
        <v>5.43</v>
      </c>
      <c r="E1324" t="s">
        <v>314</v>
      </c>
    </row>
    <row r="1325" spans="1:5" x14ac:dyDescent="0.25">
      <c r="A1325" s="34" t="s">
        <v>17</v>
      </c>
      <c r="B1325" t="str">
        <f t="shared" si="21"/>
        <v>03053</v>
      </c>
      <c r="C1325" t="s">
        <v>1208</v>
      </c>
      <c r="D1325">
        <v>75.44</v>
      </c>
      <c r="E1325" t="s">
        <v>314</v>
      </c>
    </row>
    <row r="1326" spans="1:5" x14ac:dyDescent="0.25">
      <c r="A1326" s="34" t="s">
        <v>17</v>
      </c>
      <c r="B1326" t="str">
        <f t="shared" si="21"/>
        <v>03053</v>
      </c>
      <c r="C1326" t="s">
        <v>1210</v>
      </c>
      <c r="D1326">
        <v>0</v>
      </c>
      <c r="E1326" t="s">
        <v>314</v>
      </c>
    </row>
    <row r="1327" spans="1:5" x14ac:dyDescent="0.25">
      <c r="A1327" s="34" t="s">
        <v>17</v>
      </c>
      <c r="B1327" t="str">
        <f t="shared" si="21"/>
        <v>03053</v>
      </c>
      <c r="C1327" t="s">
        <v>1212</v>
      </c>
      <c r="D1327">
        <v>0</v>
      </c>
      <c r="E1327" t="s">
        <v>314</v>
      </c>
    </row>
    <row r="1328" spans="1:5" x14ac:dyDescent="0.25">
      <c r="A1328" s="34" t="s">
        <v>17</v>
      </c>
      <c r="B1328" t="str">
        <f t="shared" si="21"/>
        <v>03053</v>
      </c>
      <c r="C1328" t="s">
        <v>1216</v>
      </c>
      <c r="D1328">
        <v>0</v>
      </c>
      <c r="E1328" t="s">
        <v>314</v>
      </c>
    </row>
    <row r="1329" spans="1:5" x14ac:dyDescent="0.25">
      <c r="A1329" s="34" t="s">
        <v>17</v>
      </c>
      <c r="B1329" t="str">
        <f t="shared" si="21"/>
        <v>03053</v>
      </c>
      <c r="C1329" t="s">
        <v>1198</v>
      </c>
      <c r="D1329">
        <v>52.21</v>
      </c>
      <c r="E1329" t="s">
        <v>314</v>
      </c>
    </row>
    <row r="1330" spans="1:5" x14ac:dyDescent="0.25">
      <c r="A1330">
        <v>27402</v>
      </c>
      <c r="B1330" t="str">
        <f t="shared" si="21"/>
        <v>27402</v>
      </c>
      <c r="C1330" t="s">
        <v>1193</v>
      </c>
      <c r="D1330">
        <v>0</v>
      </c>
      <c r="E1330" t="s">
        <v>488</v>
      </c>
    </row>
    <row r="1331" spans="1:5" x14ac:dyDescent="0.25">
      <c r="A1331">
        <v>27402</v>
      </c>
      <c r="B1331" t="str">
        <f t="shared" si="21"/>
        <v>27402</v>
      </c>
      <c r="C1331" t="s">
        <v>1194</v>
      </c>
      <c r="D1331">
        <v>1639.8</v>
      </c>
      <c r="E1331" t="s">
        <v>488</v>
      </c>
    </row>
    <row r="1332" spans="1:5" x14ac:dyDescent="0.25">
      <c r="A1332">
        <v>27402</v>
      </c>
      <c r="B1332" t="str">
        <f t="shared" si="21"/>
        <v>27402</v>
      </c>
      <c r="C1332" t="s">
        <v>1195</v>
      </c>
      <c r="D1332">
        <v>0</v>
      </c>
      <c r="E1332" t="s">
        <v>488</v>
      </c>
    </row>
    <row r="1333" spans="1:5" x14ac:dyDescent="0.25">
      <c r="A1333">
        <v>27402</v>
      </c>
      <c r="B1333" t="str">
        <f t="shared" si="21"/>
        <v>27402</v>
      </c>
      <c r="C1333" t="s">
        <v>1197</v>
      </c>
      <c r="D1333">
        <v>557.6</v>
      </c>
      <c r="E1333" t="s">
        <v>488</v>
      </c>
    </row>
    <row r="1334" spans="1:5" x14ac:dyDescent="0.25">
      <c r="A1334">
        <v>27402</v>
      </c>
      <c r="B1334" t="str">
        <f t="shared" si="21"/>
        <v>27402</v>
      </c>
      <c r="C1334" t="s">
        <v>1202</v>
      </c>
      <c r="D1334">
        <v>0</v>
      </c>
      <c r="E1334" t="s">
        <v>488</v>
      </c>
    </row>
    <row r="1335" spans="1:5" x14ac:dyDescent="0.25">
      <c r="A1335">
        <v>27402</v>
      </c>
      <c r="B1335" t="str">
        <f t="shared" si="21"/>
        <v>27402</v>
      </c>
      <c r="C1335" t="s">
        <v>1206</v>
      </c>
      <c r="D1335">
        <v>1123.0999999999999</v>
      </c>
      <c r="E1335" t="s">
        <v>488</v>
      </c>
    </row>
    <row r="1336" spans="1:5" x14ac:dyDescent="0.25">
      <c r="A1336">
        <v>27402</v>
      </c>
      <c r="B1336" t="str">
        <f t="shared" si="21"/>
        <v>27402</v>
      </c>
      <c r="C1336" t="s">
        <v>1199</v>
      </c>
      <c r="D1336">
        <v>0</v>
      </c>
      <c r="E1336" t="s">
        <v>488</v>
      </c>
    </row>
    <row r="1337" spans="1:5" x14ac:dyDescent="0.25">
      <c r="A1337">
        <v>27402</v>
      </c>
      <c r="B1337" t="str">
        <f t="shared" si="21"/>
        <v>27402</v>
      </c>
      <c r="C1337" t="s">
        <v>1203</v>
      </c>
      <c r="D1337">
        <v>1037.77</v>
      </c>
      <c r="E1337" t="s">
        <v>488</v>
      </c>
    </row>
    <row r="1338" spans="1:5" x14ac:dyDescent="0.25">
      <c r="A1338">
        <v>27402</v>
      </c>
      <c r="B1338" t="str">
        <f t="shared" si="21"/>
        <v>27402</v>
      </c>
      <c r="C1338" t="s">
        <v>1200</v>
      </c>
      <c r="D1338">
        <v>0</v>
      </c>
      <c r="E1338" t="s">
        <v>488</v>
      </c>
    </row>
    <row r="1339" spans="1:5" x14ac:dyDescent="0.25">
      <c r="A1339">
        <v>27402</v>
      </c>
      <c r="B1339" t="str">
        <f t="shared" si="21"/>
        <v>27402</v>
      </c>
      <c r="C1339" t="s">
        <v>1204</v>
      </c>
      <c r="D1339">
        <v>1982.23</v>
      </c>
      <c r="E1339" t="s">
        <v>488</v>
      </c>
    </row>
    <row r="1340" spans="1:5" x14ac:dyDescent="0.25">
      <c r="A1340">
        <v>27402</v>
      </c>
      <c r="B1340" t="str">
        <f t="shared" si="21"/>
        <v>27402</v>
      </c>
      <c r="C1340" t="s">
        <v>1207</v>
      </c>
      <c r="D1340">
        <v>110.26</v>
      </c>
      <c r="E1340" t="s">
        <v>488</v>
      </c>
    </row>
    <row r="1341" spans="1:5" x14ac:dyDescent="0.25">
      <c r="A1341">
        <v>27402</v>
      </c>
      <c r="B1341" t="str">
        <f t="shared" si="21"/>
        <v>27402</v>
      </c>
      <c r="C1341" t="s">
        <v>1208</v>
      </c>
      <c r="D1341">
        <v>414.17</v>
      </c>
      <c r="E1341" t="s">
        <v>488</v>
      </c>
    </row>
    <row r="1342" spans="1:5" x14ac:dyDescent="0.25">
      <c r="A1342">
        <v>27402</v>
      </c>
      <c r="B1342" t="str">
        <f t="shared" si="21"/>
        <v>27402</v>
      </c>
      <c r="C1342" t="s">
        <v>1210</v>
      </c>
      <c r="D1342">
        <v>0</v>
      </c>
      <c r="E1342" t="s">
        <v>488</v>
      </c>
    </row>
    <row r="1343" spans="1:5" x14ac:dyDescent="0.25">
      <c r="A1343">
        <v>27402</v>
      </c>
      <c r="B1343" t="str">
        <f t="shared" si="21"/>
        <v>27402</v>
      </c>
      <c r="C1343" t="s">
        <v>1212</v>
      </c>
      <c r="D1343">
        <v>0</v>
      </c>
      <c r="E1343" t="s">
        <v>488</v>
      </c>
    </row>
    <row r="1344" spans="1:5" x14ac:dyDescent="0.25">
      <c r="A1344">
        <v>27402</v>
      </c>
      <c r="B1344" t="str">
        <f t="shared" si="21"/>
        <v>27402</v>
      </c>
      <c r="C1344" t="s">
        <v>1216</v>
      </c>
      <c r="D1344">
        <v>0</v>
      </c>
      <c r="E1344" t="s">
        <v>488</v>
      </c>
    </row>
    <row r="1345" spans="1:5" x14ac:dyDescent="0.25">
      <c r="A1345">
        <v>27402</v>
      </c>
      <c r="B1345" t="str">
        <f t="shared" si="21"/>
        <v>27402</v>
      </c>
      <c r="C1345" t="s">
        <v>1198</v>
      </c>
      <c r="D1345">
        <v>470.4</v>
      </c>
      <c r="E1345" t="s">
        <v>488</v>
      </c>
    </row>
    <row r="1346" spans="1:5" x14ac:dyDescent="0.25">
      <c r="A1346">
        <v>32358</v>
      </c>
      <c r="B1346" t="str">
        <f t="shared" si="21"/>
        <v>32358</v>
      </c>
      <c r="C1346" t="s">
        <v>1193</v>
      </c>
      <c r="D1346">
        <v>0</v>
      </c>
      <c r="E1346" t="s">
        <v>529</v>
      </c>
    </row>
    <row r="1347" spans="1:5" x14ac:dyDescent="0.25">
      <c r="A1347">
        <v>32358</v>
      </c>
      <c r="B1347" t="str">
        <f t="shared" ref="B1347:B1410" si="22">TEXT(A1347,"00000")</f>
        <v>32358</v>
      </c>
      <c r="C1347" t="s">
        <v>1194</v>
      </c>
      <c r="D1347">
        <v>187.6</v>
      </c>
      <c r="E1347" t="s">
        <v>529</v>
      </c>
    </row>
    <row r="1348" spans="1:5" x14ac:dyDescent="0.25">
      <c r="A1348">
        <v>32358</v>
      </c>
      <c r="B1348" t="str">
        <f t="shared" si="22"/>
        <v>32358</v>
      </c>
      <c r="C1348" t="s">
        <v>1195</v>
      </c>
      <c r="D1348">
        <v>0</v>
      </c>
      <c r="E1348" t="s">
        <v>529</v>
      </c>
    </row>
    <row r="1349" spans="1:5" x14ac:dyDescent="0.25">
      <c r="A1349">
        <v>32358</v>
      </c>
      <c r="B1349" t="str">
        <f t="shared" si="22"/>
        <v>32358</v>
      </c>
      <c r="C1349" t="s">
        <v>1197</v>
      </c>
      <c r="D1349">
        <v>56.6</v>
      </c>
      <c r="E1349" t="s">
        <v>529</v>
      </c>
    </row>
    <row r="1350" spans="1:5" x14ac:dyDescent="0.25">
      <c r="A1350">
        <v>32358</v>
      </c>
      <c r="B1350" t="str">
        <f t="shared" si="22"/>
        <v>32358</v>
      </c>
      <c r="C1350" t="s">
        <v>1202</v>
      </c>
      <c r="D1350">
        <v>0</v>
      </c>
      <c r="E1350" t="s">
        <v>529</v>
      </c>
    </row>
    <row r="1351" spans="1:5" x14ac:dyDescent="0.25">
      <c r="A1351">
        <v>32358</v>
      </c>
      <c r="B1351" t="str">
        <f t="shared" si="22"/>
        <v>32358</v>
      </c>
      <c r="C1351" t="s">
        <v>1206</v>
      </c>
      <c r="D1351">
        <v>124.2</v>
      </c>
      <c r="E1351" t="s">
        <v>529</v>
      </c>
    </row>
    <row r="1352" spans="1:5" x14ac:dyDescent="0.25">
      <c r="A1352">
        <v>32358</v>
      </c>
      <c r="B1352" t="str">
        <f t="shared" si="22"/>
        <v>32358</v>
      </c>
      <c r="C1352" t="s">
        <v>1199</v>
      </c>
      <c r="D1352">
        <v>0</v>
      </c>
      <c r="E1352" t="s">
        <v>529</v>
      </c>
    </row>
    <row r="1353" spans="1:5" x14ac:dyDescent="0.25">
      <c r="A1353">
        <v>32358</v>
      </c>
      <c r="B1353" t="str">
        <f t="shared" si="22"/>
        <v>32358</v>
      </c>
      <c r="C1353" t="s">
        <v>1203</v>
      </c>
      <c r="D1353">
        <v>130.71</v>
      </c>
      <c r="E1353" t="s">
        <v>529</v>
      </c>
    </row>
    <row r="1354" spans="1:5" x14ac:dyDescent="0.25">
      <c r="A1354">
        <v>32358</v>
      </c>
      <c r="B1354" t="str">
        <f t="shared" si="22"/>
        <v>32358</v>
      </c>
      <c r="C1354" t="s">
        <v>1200</v>
      </c>
      <c r="D1354">
        <v>0</v>
      </c>
      <c r="E1354" t="s">
        <v>529</v>
      </c>
    </row>
    <row r="1355" spans="1:5" x14ac:dyDescent="0.25">
      <c r="A1355">
        <v>32358</v>
      </c>
      <c r="B1355" t="str">
        <f t="shared" si="22"/>
        <v>32358</v>
      </c>
      <c r="C1355" t="s">
        <v>1204</v>
      </c>
      <c r="D1355">
        <v>265.79000000000002</v>
      </c>
      <c r="E1355" t="s">
        <v>529</v>
      </c>
    </row>
    <row r="1356" spans="1:5" x14ac:dyDescent="0.25">
      <c r="A1356">
        <v>32358</v>
      </c>
      <c r="B1356" t="str">
        <f t="shared" si="22"/>
        <v>32358</v>
      </c>
      <c r="C1356" t="s">
        <v>1207</v>
      </c>
      <c r="D1356">
        <v>28.07</v>
      </c>
      <c r="E1356" t="s">
        <v>529</v>
      </c>
    </row>
    <row r="1357" spans="1:5" x14ac:dyDescent="0.25">
      <c r="A1357">
        <v>32358</v>
      </c>
      <c r="B1357" t="str">
        <f t="shared" si="22"/>
        <v>32358</v>
      </c>
      <c r="C1357" t="s">
        <v>1208</v>
      </c>
      <c r="D1357">
        <v>106.18</v>
      </c>
      <c r="E1357" t="s">
        <v>529</v>
      </c>
    </row>
    <row r="1358" spans="1:5" x14ac:dyDescent="0.25">
      <c r="A1358">
        <v>32358</v>
      </c>
      <c r="B1358" t="str">
        <f t="shared" si="22"/>
        <v>32358</v>
      </c>
      <c r="C1358" t="s">
        <v>1210</v>
      </c>
      <c r="D1358">
        <v>0</v>
      </c>
      <c r="E1358" t="s">
        <v>529</v>
      </c>
    </row>
    <row r="1359" spans="1:5" x14ac:dyDescent="0.25">
      <c r="A1359">
        <v>32358</v>
      </c>
      <c r="B1359" t="str">
        <f t="shared" si="22"/>
        <v>32358</v>
      </c>
      <c r="C1359" t="s">
        <v>1212</v>
      </c>
      <c r="D1359">
        <v>0</v>
      </c>
      <c r="E1359" t="s">
        <v>529</v>
      </c>
    </row>
    <row r="1360" spans="1:5" x14ac:dyDescent="0.25">
      <c r="A1360">
        <v>32358</v>
      </c>
      <c r="B1360" t="str">
        <f t="shared" si="22"/>
        <v>32358</v>
      </c>
      <c r="C1360" t="s">
        <v>1216</v>
      </c>
      <c r="D1360">
        <v>44</v>
      </c>
      <c r="E1360" t="s">
        <v>529</v>
      </c>
    </row>
    <row r="1361" spans="1:5" x14ac:dyDescent="0.25">
      <c r="A1361">
        <v>32358</v>
      </c>
      <c r="B1361" t="str">
        <f t="shared" si="22"/>
        <v>32358</v>
      </c>
      <c r="C1361" t="s">
        <v>1198</v>
      </c>
      <c r="D1361">
        <v>41.8</v>
      </c>
      <c r="E1361" t="s">
        <v>529</v>
      </c>
    </row>
    <row r="1362" spans="1:5" x14ac:dyDescent="0.25">
      <c r="A1362">
        <v>38302</v>
      </c>
      <c r="B1362" t="str">
        <f t="shared" si="22"/>
        <v>38302</v>
      </c>
      <c r="C1362" t="s">
        <v>1193</v>
      </c>
      <c r="D1362">
        <v>0</v>
      </c>
      <c r="E1362" t="s">
        <v>578</v>
      </c>
    </row>
    <row r="1363" spans="1:5" x14ac:dyDescent="0.25">
      <c r="A1363">
        <v>38302</v>
      </c>
      <c r="B1363" t="str">
        <f t="shared" si="22"/>
        <v>38302</v>
      </c>
      <c r="C1363" t="s">
        <v>1194</v>
      </c>
      <c r="D1363">
        <v>22</v>
      </c>
      <c r="E1363" t="s">
        <v>578</v>
      </c>
    </row>
    <row r="1364" spans="1:5" x14ac:dyDescent="0.25">
      <c r="A1364">
        <v>38302</v>
      </c>
      <c r="B1364" t="str">
        <f t="shared" si="22"/>
        <v>38302</v>
      </c>
      <c r="C1364" t="s">
        <v>1195</v>
      </c>
      <c r="D1364">
        <v>0</v>
      </c>
      <c r="E1364" t="s">
        <v>578</v>
      </c>
    </row>
    <row r="1365" spans="1:5" x14ac:dyDescent="0.25">
      <c r="A1365">
        <v>38302</v>
      </c>
      <c r="B1365" t="str">
        <f t="shared" si="22"/>
        <v>38302</v>
      </c>
      <c r="C1365" t="s">
        <v>1197</v>
      </c>
      <c r="D1365">
        <v>8</v>
      </c>
      <c r="E1365" t="s">
        <v>578</v>
      </c>
    </row>
    <row r="1366" spans="1:5" x14ac:dyDescent="0.25">
      <c r="A1366">
        <v>38302</v>
      </c>
      <c r="B1366" t="str">
        <f t="shared" si="22"/>
        <v>38302</v>
      </c>
      <c r="C1366" t="s">
        <v>1202</v>
      </c>
      <c r="D1366">
        <v>0</v>
      </c>
      <c r="E1366" t="s">
        <v>578</v>
      </c>
    </row>
    <row r="1367" spans="1:5" x14ac:dyDescent="0.25">
      <c r="A1367">
        <v>38302</v>
      </c>
      <c r="B1367" t="str">
        <f t="shared" si="22"/>
        <v>38302</v>
      </c>
      <c r="C1367" t="s">
        <v>1206</v>
      </c>
      <c r="D1367">
        <v>22.68</v>
      </c>
      <c r="E1367" t="s">
        <v>578</v>
      </c>
    </row>
    <row r="1368" spans="1:5" x14ac:dyDescent="0.25">
      <c r="A1368">
        <v>38302</v>
      </c>
      <c r="B1368" t="str">
        <f t="shared" si="22"/>
        <v>38302</v>
      </c>
      <c r="C1368" t="s">
        <v>1199</v>
      </c>
      <c r="D1368">
        <v>0</v>
      </c>
      <c r="E1368" t="s">
        <v>578</v>
      </c>
    </row>
    <row r="1369" spans="1:5" x14ac:dyDescent="0.25">
      <c r="A1369">
        <v>38302</v>
      </c>
      <c r="B1369" t="str">
        <f t="shared" si="22"/>
        <v>38302</v>
      </c>
      <c r="C1369" t="s">
        <v>1203</v>
      </c>
      <c r="D1369">
        <v>14.8</v>
      </c>
      <c r="E1369" t="s">
        <v>578</v>
      </c>
    </row>
    <row r="1370" spans="1:5" x14ac:dyDescent="0.25">
      <c r="A1370">
        <v>38302</v>
      </c>
      <c r="B1370" t="str">
        <f t="shared" si="22"/>
        <v>38302</v>
      </c>
      <c r="C1370" t="s">
        <v>1200</v>
      </c>
      <c r="D1370">
        <v>0</v>
      </c>
      <c r="E1370" t="s">
        <v>578</v>
      </c>
    </row>
    <row r="1371" spans="1:5" x14ac:dyDescent="0.25">
      <c r="A1371">
        <v>38302</v>
      </c>
      <c r="B1371" t="str">
        <f t="shared" si="22"/>
        <v>38302</v>
      </c>
      <c r="C1371" t="s">
        <v>1204</v>
      </c>
      <c r="D1371">
        <v>40.29</v>
      </c>
      <c r="E1371" t="s">
        <v>578</v>
      </c>
    </row>
    <row r="1372" spans="1:5" x14ac:dyDescent="0.25">
      <c r="A1372">
        <v>38302</v>
      </c>
      <c r="B1372" t="str">
        <f t="shared" si="22"/>
        <v>38302</v>
      </c>
      <c r="C1372" t="s">
        <v>1207</v>
      </c>
      <c r="D1372">
        <v>0</v>
      </c>
      <c r="E1372" t="s">
        <v>578</v>
      </c>
    </row>
    <row r="1373" spans="1:5" x14ac:dyDescent="0.25">
      <c r="A1373">
        <v>38302</v>
      </c>
      <c r="B1373" t="str">
        <f t="shared" si="22"/>
        <v>38302</v>
      </c>
      <c r="C1373" t="s">
        <v>1208</v>
      </c>
      <c r="D1373">
        <v>8.34</v>
      </c>
      <c r="E1373" t="s">
        <v>578</v>
      </c>
    </row>
    <row r="1374" spans="1:5" x14ac:dyDescent="0.25">
      <c r="A1374">
        <v>38302</v>
      </c>
      <c r="B1374" t="str">
        <f t="shared" si="22"/>
        <v>38302</v>
      </c>
      <c r="C1374" t="s">
        <v>1210</v>
      </c>
      <c r="D1374">
        <v>0</v>
      </c>
      <c r="E1374" t="s">
        <v>578</v>
      </c>
    </row>
    <row r="1375" spans="1:5" x14ac:dyDescent="0.25">
      <c r="A1375">
        <v>38302</v>
      </c>
      <c r="B1375" t="str">
        <f t="shared" si="22"/>
        <v>38302</v>
      </c>
      <c r="C1375" t="s">
        <v>1212</v>
      </c>
      <c r="D1375">
        <v>0</v>
      </c>
      <c r="E1375" t="s">
        <v>578</v>
      </c>
    </row>
    <row r="1376" spans="1:5" x14ac:dyDescent="0.25">
      <c r="A1376">
        <v>38302</v>
      </c>
      <c r="B1376" t="str">
        <f t="shared" si="22"/>
        <v>38302</v>
      </c>
      <c r="C1376" t="s">
        <v>1216</v>
      </c>
      <c r="D1376">
        <v>0</v>
      </c>
      <c r="E1376" t="s">
        <v>578</v>
      </c>
    </row>
    <row r="1377" spans="1:5" x14ac:dyDescent="0.25">
      <c r="A1377">
        <v>38302</v>
      </c>
      <c r="B1377" t="str">
        <f t="shared" si="22"/>
        <v>38302</v>
      </c>
      <c r="C1377" t="s">
        <v>1198</v>
      </c>
      <c r="D1377">
        <v>6</v>
      </c>
      <c r="E1377" t="s">
        <v>578</v>
      </c>
    </row>
    <row r="1378" spans="1:5" x14ac:dyDescent="0.25">
      <c r="A1378">
        <v>20401</v>
      </c>
      <c r="B1378" t="str">
        <f t="shared" si="22"/>
        <v>20401</v>
      </c>
      <c r="C1378" t="s">
        <v>1193</v>
      </c>
      <c r="D1378">
        <v>0</v>
      </c>
      <c r="E1378" t="s">
        <v>428</v>
      </c>
    </row>
    <row r="1379" spans="1:5" x14ac:dyDescent="0.25">
      <c r="A1379">
        <v>20401</v>
      </c>
      <c r="B1379" t="str">
        <f t="shared" si="22"/>
        <v>20401</v>
      </c>
      <c r="C1379" t="s">
        <v>1194</v>
      </c>
      <c r="D1379">
        <v>13.2</v>
      </c>
      <c r="E1379" t="s">
        <v>428</v>
      </c>
    </row>
    <row r="1380" spans="1:5" x14ac:dyDescent="0.25">
      <c r="A1380">
        <v>20401</v>
      </c>
      <c r="B1380" t="str">
        <f t="shared" si="22"/>
        <v>20401</v>
      </c>
      <c r="C1380" t="s">
        <v>1195</v>
      </c>
      <c r="D1380">
        <v>0</v>
      </c>
      <c r="E1380" t="s">
        <v>428</v>
      </c>
    </row>
    <row r="1381" spans="1:5" x14ac:dyDescent="0.25">
      <c r="A1381">
        <v>20401</v>
      </c>
      <c r="B1381" t="str">
        <f t="shared" si="22"/>
        <v>20401</v>
      </c>
      <c r="C1381" t="s">
        <v>1197</v>
      </c>
      <c r="D1381">
        <v>2.6</v>
      </c>
      <c r="E1381" t="s">
        <v>428</v>
      </c>
    </row>
    <row r="1382" spans="1:5" x14ac:dyDescent="0.25">
      <c r="A1382">
        <v>20401</v>
      </c>
      <c r="B1382" t="str">
        <f t="shared" si="22"/>
        <v>20401</v>
      </c>
      <c r="C1382" t="s">
        <v>1202</v>
      </c>
      <c r="D1382">
        <v>0</v>
      </c>
      <c r="E1382" t="s">
        <v>428</v>
      </c>
    </row>
    <row r="1383" spans="1:5" x14ac:dyDescent="0.25">
      <c r="A1383">
        <v>20401</v>
      </c>
      <c r="B1383" t="str">
        <f t="shared" si="22"/>
        <v>20401</v>
      </c>
      <c r="C1383" t="s">
        <v>1206</v>
      </c>
      <c r="D1383">
        <v>8</v>
      </c>
      <c r="E1383" t="s">
        <v>428</v>
      </c>
    </row>
    <row r="1384" spans="1:5" x14ac:dyDescent="0.25">
      <c r="A1384">
        <v>20401</v>
      </c>
      <c r="B1384" t="str">
        <f t="shared" si="22"/>
        <v>20401</v>
      </c>
      <c r="C1384" t="s">
        <v>1199</v>
      </c>
      <c r="D1384">
        <v>0</v>
      </c>
      <c r="E1384" t="s">
        <v>428</v>
      </c>
    </row>
    <row r="1385" spans="1:5" x14ac:dyDescent="0.25">
      <c r="A1385">
        <v>20401</v>
      </c>
      <c r="B1385" t="str">
        <f t="shared" si="22"/>
        <v>20401</v>
      </c>
      <c r="C1385" t="s">
        <v>1203</v>
      </c>
      <c r="D1385">
        <v>4</v>
      </c>
      <c r="E1385" t="s">
        <v>428</v>
      </c>
    </row>
    <row r="1386" spans="1:5" x14ac:dyDescent="0.25">
      <c r="A1386">
        <v>20401</v>
      </c>
      <c r="B1386" t="str">
        <f t="shared" si="22"/>
        <v>20401</v>
      </c>
      <c r="C1386" t="s">
        <v>1200</v>
      </c>
      <c r="D1386">
        <v>0</v>
      </c>
      <c r="E1386" t="s">
        <v>428</v>
      </c>
    </row>
    <row r="1387" spans="1:5" x14ac:dyDescent="0.25">
      <c r="A1387">
        <v>20401</v>
      </c>
      <c r="B1387" t="str">
        <f t="shared" si="22"/>
        <v>20401</v>
      </c>
      <c r="C1387" t="s">
        <v>1204</v>
      </c>
      <c r="D1387">
        <v>22</v>
      </c>
      <c r="E1387" t="s">
        <v>428</v>
      </c>
    </row>
    <row r="1388" spans="1:5" x14ac:dyDescent="0.25">
      <c r="A1388">
        <v>20401</v>
      </c>
      <c r="B1388" t="str">
        <f t="shared" si="22"/>
        <v>20401</v>
      </c>
      <c r="C1388" t="s">
        <v>1207</v>
      </c>
      <c r="D1388">
        <v>0</v>
      </c>
      <c r="E1388" t="s">
        <v>428</v>
      </c>
    </row>
    <row r="1389" spans="1:5" x14ac:dyDescent="0.25">
      <c r="A1389">
        <v>20401</v>
      </c>
      <c r="B1389" t="str">
        <f t="shared" si="22"/>
        <v>20401</v>
      </c>
      <c r="C1389" t="s">
        <v>1208</v>
      </c>
      <c r="D1389">
        <v>0</v>
      </c>
      <c r="E1389" t="s">
        <v>428</v>
      </c>
    </row>
    <row r="1390" spans="1:5" x14ac:dyDescent="0.25">
      <c r="A1390">
        <v>20401</v>
      </c>
      <c r="B1390" t="str">
        <f t="shared" si="22"/>
        <v>20401</v>
      </c>
      <c r="C1390" t="s">
        <v>1210</v>
      </c>
      <c r="D1390">
        <v>0</v>
      </c>
      <c r="E1390" t="s">
        <v>428</v>
      </c>
    </row>
    <row r="1391" spans="1:5" x14ac:dyDescent="0.25">
      <c r="A1391">
        <v>20401</v>
      </c>
      <c r="B1391" t="str">
        <f t="shared" si="22"/>
        <v>20401</v>
      </c>
      <c r="C1391" t="s">
        <v>1212</v>
      </c>
      <c r="D1391">
        <v>0</v>
      </c>
      <c r="E1391" t="s">
        <v>428</v>
      </c>
    </row>
    <row r="1392" spans="1:5" x14ac:dyDescent="0.25">
      <c r="A1392">
        <v>20401</v>
      </c>
      <c r="B1392" t="str">
        <f t="shared" si="22"/>
        <v>20401</v>
      </c>
      <c r="C1392" t="s">
        <v>1216</v>
      </c>
      <c r="D1392">
        <v>0</v>
      </c>
      <c r="E1392" t="s">
        <v>428</v>
      </c>
    </row>
    <row r="1393" spans="1:5" x14ac:dyDescent="0.25">
      <c r="A1393">
        <v>20401</v>
      </c>
      <c r="B1393" t="str">
        <f t="shared" si="22"/>
        <v>20401</v>
      </c>
      <c r="C1393" t="s">
        <v>1198</v>
      </c>
      <c r="D1393">
        <v>5.6</v>
      </c>
      <c r="E1393" t="s">
        <v>428</v>
      </c>
    </row>
    <row r="1394" spans="1:5" x14ac:dyDescent="0.25">
      <c r="A1394">
        <v>20404</v>
      </c>
      <c r="B1394" t="str">
        <f t="shared" si="22"/>
        <v>20404</v>
      </c>
      <c r="C1394" t="s">
        <v>1193</v>
      </c>
      <c r="D1394">
        <v>0</v>
      </c>
      <c r="E1394" t="s">
        <v>431</v>
      </c>
    </row>
    <row r="1395" spans="1:5" x14ac:dyDescent="0.25">
      <c r="A1395">
        <v>20404</v>
      </c>
      <c r="B1395" t="str">
        <f t="shared" si="22"/>
        <v>20404</v>
      </c>
      <c r="C1395" t="s">
        <v>1194</v>
      </c>
      <c r="D1395">
        <v>187.6</v>
      </c>
      <c r="E1395" t="s">
        <v>431</v>
      </c>
    </row>
    <row r="1396" spans="1:5" x14ac:dyDescent="0.25">
      <c r="A1396">
        <v>20404</v>
      </c>
      <c r="B1396" t="str">
        <f t="shared" si="22"/>
        <v>20404</v>
      </c>
      <c r="C1396" t="s">
        <v>1195</v>
      </c>
      <c r="D1396">
        <v>0</v>
      </c>
      <c r="E1396" t="s">
        <v>431</v>
      </c>
    </row>
    <row r="1397" spans="1:5" x14ac:dyDescent="0.25">
      <c r="A1397">
        <v>20404</v>
      </c>
      <c r="B1397" t="str">
        <f t="shared" si="22"/>
        <v>20404</v>
      </c>
      <c r="C1397" t="s">
        <v>1197</v>
      </c>
      <c r="D1397">
        <v>65.400000000000006</v>
      </c>
      <c r="E1397" t="s">
        <v>431</v>
      </c>
    </row>
    <row r="1398" spans="1:5" x14ac:dyDescent="0.25">
      <c r="A1398">
        <v>20404</v>
      </c>
      <c r="B1398" t="str">
        <f t="shared" si="22"/>
        <v>20404</v>
      </c>
      <c r="C1398" t="s">
        <v>1202</v>
      </c>
      <c r="D1398">
        <v>0</v>
      </c>
      <c r="E1398" t="s">
        <v>431</v>
      </c>
    </row>
    <row r="1399" spans="1:5" x14ac:dyDescent="0.25">
      <c r="A1399">
        <v>20404</v>
      </c>
      <c r="B1399" t="str">
        <f t="shared" si="22"/>
        <v>20404</v>
      </c>
      <c r="C1399" t="s">
        <v>1206</v>
      </c>
      <c r="D1399">
        <v>109.41</v>
      </c>
      <c r="E1399" t="s">
        <v>431</v>
      </c>
    </row>
    <row r="1400" spans="1:5" x14ac:dyDescent="0.25">
      <c r="A1400">
        <v>20404</v>
      </c>
      <c r="B1400" t="str">
        <f t="shared" si="22"/>
        <v>20404</v>
      </c>
      <c r="C1400" t="s">
        <v>1199</v>
      </c>
      <c r="D1400">
        <v>0</v>
      </c>
      <c r="E1400" t="s">
        <v>431</v>
      </c>
    </row>
    <row r="1401" spans="1:5" x14ac:dyDescent="0.25">
      <c r="A1401">
        <v>20404</v>
      </c>
      <c r="B1401" t="str">
        <f t="shared" si="22"/>
        <v>20404</v>
      </c>
      <c r="C1401" t="s">
        <v>1203</v>
      </c>
      <c r="D1401">
        <v>144.87</v>
      </c>
      <c r="E1401" t="s">
        <v>431</v>
      </c>
    </row>
    <row r="1402" spans="1:5" x14ac:dyDescent="0.25">
      <c r="A1402">
        <v>20404</v>
      </c>
      <c r="B1402" t="str">
        <f t="shared" si="22"/>
        <v>20404</v>
      </c>
      <c r="C1402" t="s">
        <v>1200</v>
      </c>
      <c r="D1402">
        <v>0</v>
      </c>
      <c r="E1402" t="s">
        <v>431</v>
      </c>
    </row>
    <row r="1403" spans="1:5" x14ac:dyDescent="0.25">
      <c r="A1403">
        <v>20404</v>
      </c>
      <c r="B1403" t="str">
        <f t="shared" si="22"/>
        <v>20404</v>
      </c>
      <c r="C1403" t="s">
        <v>1204</v>
      </c>
      <c r="D1403">
        <v>304.73</v>
      </c>
      <c r="E1403" t="s">
        <v>431</v>
      </c>
    </row>
    <row r="1404" spans="1:5" x14ac:dyDescent="0.25">
      <c r="A1404">
        <v>20404</v>
      </c>
      <c r="B1404" t="str">
        <f t="shared" si="22"/>
        <v>20404</v>
      </c>
      <c r="C1404" t="s">
        <v>1207</v>
      </c>
      <c r="D1404">
        <v>14.41</v>
      </c>
      <c r="E1404" t="s">
        <v>431</v>
      </c>
    </row>
    <row r="1405" spans="1:5" x14ac:dyDescent="0.25">
      <c r="A1405">
        <v>20404</v>
      </c>
      <c r="B1405" t="str">
        <f t="shared" si="22"/>
        <v>20404</v>
      </c>
      <c r="C1405" t="s">
        <v>1208</v>
      </c>
      <c r="D1405">
        <v>89.08</v>
      </c>
      <c r="E1405" t="s">
        <v>431</v>
      </c>
    </row>
    <row r="1406" spans="1:5" x14ac:dyDescent="0.25">
      <c r="A1406">
        <v>20404</v>
      </c>
      <c r="B1406" t="str">
        <f t="shared" si="22"/>
        <v>20404</v>
      </c>
      <c r="C1406" t="s">
        <v>1210</v>
      </c>
      <c r="D1406">
        <v>0</v>
      </c>
      <c r="E1406" t="s">
        <v>431</v>
      </c>
    </row>
    <row r="1407" spans="1:5" x14ac:dyDescent="0.25">
      <c r="A1407">
        <v>20404</v>
      </c>
      <c r="B1407" t="str">
        <f t="shared" si="22"/>
        <v>20404</v>
      </c>
      <c r="C1407" t="s">
        <v>1212</v>
      </c>
      <c r="D1407">
        <v>0</v>
      </c>
      <c r="E1407" t="s">
        <v>431</v>
      </c>
    </row>
    <row r="1408" spans="1:5" x14ac:dyDescent="0.25">
      <c r="A1408">
        <v>20404</v>
      </c>
      <c r="B1408" t="str">
        <f t="shared" si="22"/>
        <v>20404</v>
      </c>
      <c r="C1408" t="s">
        <v>1216</v>
      </c>
      <c r="D1408">
        <v>0</v>
      </c>
      <c r="E1408" t="s">
        <v>431</v>
      </c>
    </row>
    <row r="1409" spans="1:5" x14ac:dyDescent="0.25">
      <c r="A1409">
        <v>20404</v>
      </c>
      <c r="B1409" t="str">
        <f t="shared" si="22"/>
        <v>20404</v>
      </c>
      <c r="C1409" t="s">
        <v>1198</v>
      </c>
      <c r="D1409">
        <v>48.2</v>
      </c>
      <c r="E1409" t="s">
        <v>431</v>
      </c>
    </row>
    <row r="1410" spans="1:5" x14ac:dyDescent="0.25">
      <c r="A1410">
        <v>13301</v>
      </c>
      <c r="B1410" t="str">
        <f t="shared" si="22"/>
        <v>13301</v>
      </c>
      <c r="C1410" t="s">
        <v>1193</v>
      </c>
      <c r="D1410">
        <v>0</v>
      </c>
      <c r="E1410" t="s">
        <v>370</v>
      </c>
    </row>
    <row r="1411" spans="1:5" x14ac:dyDescent="0.25">
      <c r="A1411">
        <v>13301</v>
      </c>
      <c r="B1411" t="str">
        <f t="shared" ref="B1411:B1474" si="23">TEXT(A1411,"00000")</f>
        <v>13301</v>
      </c>
      <c r="C1411" t="s">
        <v>1194</v>
      </c>
      <c r="D1411">
        <v>156.63</v>
      </c>
      <c r="E1411" t="s">
        <v>370</v>
      </c>
    </row>
    <row r="1412" spans="1:5" x14ac:dyDescent="0.25">
      <c r="A1412">
        <v>13301</v>
      </c>
      <c r="B1412" t="str">
        <f t="shared" si="23"/>
        <v>13301</v>
      </c>
      <c r="C1412" t="s">
        <v>1195</v>
      </c>
      <c r="D1412">
        <v>0</v>
      </c>
      <c r="E1412" t="s">
        <v>370</v>
      </c>
    </row>
    <row r="1413" spans="1:5" x14ac:dyDescent="0.25">
      <c r="A1413">
        <v>13301</v>
      </c>
      <c r="B1413" t="str">
        <f t="shared" si="23"/>
        <v>13301</v>
      </c>
      <c r="C1413" t="s">
        <v>1197</v>
      </c>
      <c r="D1413">
        <v>43.2</v>
      </c>
      <c r="E1413" t="s">
        <v>370</v>
      </c>
    </row>
    <row r="1414" spans="1:5" x14ac:dyDescent="0.25">
      <c r="A1414">
        <v>13301</v>
      </c>
      <c r="B1414" t="str">
        <f t="shared" si="23"/>
        <v>13301</v>
      </c>
      <c r="C1414" t="s">
        <v>1202</v>
      </c>
      <c r="D1414">
        <v>0</v>
      </c>
      <c r="E1414" t="s">
        <v>370</v>
      </c>
    </row>
    <row r="1415" spans="1:5" x14ac:dyDescent="0.25">
      <c r="A1415">
        <v>13301</v>
      </c>
      <c r="B1415" t="str">
        <f t="shared" si="23"/>
        <v>13301</v>
      </c>
      <c r="C1415" t="s">
        <v>1206</v>
      </c>
      <c r="D1415">
        <v>94.13</v>
      </c>
      <c r="E1415" t="s">
        <v>370</v>
      </c>
    </row>
    <row r="1416" spans="1:5" x14ac:dyDescent="0.25">
      <c r="A1416">
        <v>13301</v>
      </c>
      <c r="B1416" t="str">
        <f t="shared" si="23"/>
        <v>13301</v>
      </c>
      <c r="C1416" t="s">
        <v>1199</v>
      </c>
      <c r="D1416">
        <v>0</v>
      </c>
      <c r="E1416" t="s">
        <v>370</v>
      </c>
    </row>
    <row r="1417" spans="1:5" x14ac:dyDescent="0.25">
      <c r="A1417">
        <v>13301</v>
      </c>
      <c r="B1417" t="str">
        <f t="shared" si="23"/>
        <v>13301</v>
      </c>
      <c r="C1417" t="s">
        <v>1203</v>
      </c>
      <c r="D1417">
        <v>95.3</v>
      </c>
      <c r="E1417" t="s">
        <v>370</v>
      </c>
    </row>
    <row r="1418" spans="1:5" x14ac:dyDescent="0.25">
      <c r="A1418">
        <v>13301</v>
      </c>
      <c r="B1418" t="str">
        <f t="shared" si="23"/>
        <v>13301</v>
      </c>
      <c r="C1418" t="s">
        <v>1200</v>
      </c>
      <c r="D1418">
        <v>0</v>
      </c>
      <c r="E1418" t="s">
        <v>370</v>
      </c>
    </row>
    <row r="1419" spans="1:5" x14ac:dyDescent="0.25">
      <c r="A1419">
        <v>13301</v>
      </c>
      <c r="B1419" t="str">
        <f t="shared" si="23"/>
        <v>13301</v>
      </c>
      <c r="C1419" t="s">
        <v>1204</v>
      </c>
      <c r="D1419">
        <v>194.28</v>
      </c>
      <c r="E1419" t="s">
        <v>370</v>
      </c>
    </row>
    <row r="1420" spans="1:5" x14ac:dyDescent="0.25">
      <c r="A1420">
        <v>13301</v>
      </c>
      <c r="B1420" t="str">
        <f t="shared" si="23"/>
        <v>13301</v>
      </c>
      <c r="C1420" t="s">
        <v>1207</v>
      </c>
      <c r="D1420">
        <v>7.85</v>
      </c>
      <c r="E1420" t="s">
        <v>370</v>
      </c>
    </row>
    <row r="1421" spans="1:5" x14ac:dyDescent="0.25">
      <c r="A1421">
        <v>13301</v>
      </c>
      <c r="B1421" t="str">
        <f t="shared" si="23"/>
        <v>13301</v>
      </c>
      <c r="C1421" t="s">
        <v>1208</v>
      </c>
      <c r="D1421">
        <v>32.869999999999997</v>
      </c>
      <c r="E1421" t="s">
        <v>370</v>
      </c>
    </row>
    <row r="1422" spans="1:5" x14ac:dyDescent="0.25">
      <c r="A1422">
        <v>13301</v>
      </c>
      <c r="B1422" t="str">
        <f t="shared" si="23"/>
        <v>13301</v>
      </c>
      <c r="C1422" t="s">
        <v>1210</v>
      </c>
      <c r="D1422">
        <v>0</v>
      </c>
      <c r="E1422" t="s">
        <v>370</v>
      </c>
    </row>
    <row r="1423" spans="1:5" x14ac:dyDescent="0.25">
      <c r="A1423">
        <v>13301</v>
      </c>
      <c r="B1423" t="str">
        <f t="shared" si="23"/>
        <v>13301</v>
      </c>
      <c r="C1423" t="s">
        <v>1212</v>
      </c>
      <c r="D1423">
        <v>0</v>
      </c>
      <c r="E1423" t="s">
        <v>370</v>
      </c>
    </row>
    <row r="1424" spans="1:5" x14ac:dyDescent="0.25">
      <c r="A1424">
        <v>13301</v>
      </c>
      <c r="B1424" t="str">
        <f t="shared" si="23"/>
        <v>13301</v>
      </c>
      <c r="C1424" t="s">
        <v>1216</v>
      </c>
      <c r="D1424">
        <v>0</v>
      </c>
      <c r="E1424" t="s">
        <v>370</v>
      </c>
    </row>
    <row r="1425" spans="1:5" x14ac:dyDescent="0.25">
      <c r="A1425">
        <v>13301</v>
      </c>
      <c r="B1425" t="str">
        <f t="shared" si="23"/>
        <v>13301</v>
      </c>
      <c r="C1425" t="s">
        <v>1198</v>
      </c>
      <c r="D1425">
        <v>36.29</v>
      </c>
      <c r="E1425" t="s">
        <v>370</v>
      </c>
    </row>
    <row r="1426" spans="1:5" x14ac:dyDescent="0.25">
      <c r="A1426">
        <v>39200</v>
      </c>
      <c r="B1426" t="str">
        <f t="shared" si="23"/>
        <v>39200</v>
      </c>
      <c r="C1426" t="s">
        <v>1193</v>
      </c>
      <c r="D1426">
        <v>0</v>
      </c>
      <c r="E1426" t="s">
        <v>591</v>
      </c>
    </row>
    <row r="1427" spans="1:5" x14ac:dyDescent="0.25">
      <c r="A1427">
        <v>39200</v>
      </c>
      <c r="B1427" t="str">
        <f t="shared" si="23"/>
        <v>39200</v>
      </c>
      <c r="C1427" t="s">
        <v>1194</v>
      </c>
      <c r="D1427">
        <v>744</v>
      </c>
      <c r="E1427" t="s">
        <v>591</v>
      </c>
    </row>
    <row r="1428" spans="1:5" x14ac:dyDescent="0.25">
      <c r="A1428">
        <v>39200</v>
      </c>
      <c r="B1428" t="str">
        <f t="shared" si="23"/>
        <v>39200</v>
      </c>
      <c r="C1428" t="s">
        <v>1195</v>
      </c>
      <c r="D1428">
        <v>0</v>
      </c>
      <c r="E1428" t="s">
        <v>591</v>
      </c>
    </row>
    <row r="1429" spans="1:5" x14ac:dyDescent="0.25">
      <c r="A1429">
        <v>39200</v>
      </c>
      <c r="B1429" t="str">
        <f t="shared" si="23"/>
        <v>39200</v>
      </c>
      <c r="C1429" t="s">
        <v>1197</v>
      </c>
      <c r="D1429">
        <v>257</v>
      </c>
      <c r="E1429" t="s">
        <v>591</v>
      </c>
    </row>
    <row r="1430" spans="1:5" x14ac:dyDescent="0.25">
      <c r="A1430">
        <v>39200</v>
      </c>
      <c r="B1430" t="str">
        <f t="shared" si="23"/>
        <v>39200</v>
      </c>
      <c r="C1430" t="s">
        <v>1202</v>
      </c>
      <c r="D1430">
        <v>0</v>
      </c>
      <c r="E1430" t="s">
        <v>591</v>
      </c>
    </row>
    <row r="1431" spans="1:5" x14ac:dyDescent="0.25">
      <c r="A1431">
        <v>39200</v>
      </c>
      <c r="B1431" t="str">
        <f t="shared" si="23"/>
        <v>39200</v>
      </c>
      <c r="C1431" t="s">
        <v>1206</v>
      </c>
      <c r="D1431">
        <v>505.8</v>
      </c>
      <c r="E1431" t="s">
        <v>591</v>
      </c>
    </row>
    <row r="1432" spans="1:5" x14ac:dyDescent="0.25">
      <c r="A1432">
        <v>39200</v>
      </c>
      <c r="B1432" t="str">
        <f t="shared" si="23"/>
        <v>39200</v>
      </c>
      <c r="C1432" t="s">
        <v>1199</v>
      </c>
      <c r="D1432">
        <v>0</v>
      </c>
      <c r="E1432" t="s">
        <v>591</v>
      </c>
    </row>
    <row r="1433" spans="1:5" x14ac:dyDescent="0.25">
      <c r="A1433">
        <v>39200</v>
      </c>
      <c r="B1433" t="str">
        <f t="shared" si="23"/>
        <v>39200</v>
      </c>
      <c r="C1433" t="s">
        <v>1203</v>
      </c>
      <c r="D1433">
        <v>553.14</v>
      </c>
      <c r="E1433" t="s">
        <v>591</v>
      </c>
    </row>
    <row r="1434" spans="1:5" x14ac:dyDescent="0.25">
      <c r="A1434">
        <v>39200</v>
      </c>
      <c r="B1434" t="str">
        <f t="shared" si="23"/>
        <v>39200</v>
      </c>
      <c r="C1434" t="s">
        <v>1200</v>
      </c>
      <c r="D1434">
        <v>0</v>
      </c>
      <c r="E1434" t="s">
        <v>591</v>
      </c>
    </row>
    <row r="1435" spans="1:5" x14ac:dyDescent="0.25">
      <c r="A1435">
        <v>39200</v>
      </c>
      <c r="B1435" t="str">
        <f t="shared" si="23"/>
        <v>39200</v>
      </c>
      <c r="C1435" t="s">
        <v>1204</v>
      </c>
      <c r="D1435">
        <v>1081.5999999999999</v>
      </c>
      <c r="E1435" t="s">
        <v>591</v>
      </c>
    </row>
    <row r="1436" spans="1:5" x14ac:dyDescent="0.25">
      <c r="A1436">
        <v>39200</v>
      </c>
      <c r="B1436" t="str">
        <f t="shared" si="23"/>
        <v>39200</v>
      </c>
      <c r="C1436" t="s">
        <v>1207</v>
      </c>
      <c r="D1436">
        <v>42.48</v>
      </c>
      <c r="E1436" t="s">
        <v>591</v>
      </c>
    </row>
    <row r="1437" spans="1:5" x14ac:dyDescent="0.25">
      <c r="A1437">
        <v>39200</v>
      </c>
      <c r="B1437" t="str">
        <f t="shared" si="23"/>
        <v>39200</v>
      </c>
      <c r="C1437" t="s">
        <v>1208</v>
      </c>
      <c r="D1437">
        <v>326.89</v>
      </c>
      <c r="E1437" t="s">
        <v>591</v>
      </c>
    </row>
    <row r="1438" spans="1:5" x14ac:dyDescent="0.25">
      <c r="A1438">
        <v>39200</v>
      </c>
      <c r="B1438" t="str">
        <f t="shared" si="23"/>
        <v>39200</v>
      </c>
      <c r="C1438" t="s">
        <v>1210</v>
      </c>
      <c r="D1438">
        <v>0</v>
      </c>
      <c r="E1438" t="s">
        <v>591</v>
      </c>
    </row>
    <row r="1439" spans="1:5" x14ac:dyDescent="0.25">
      <c r="A1439">
        <v>39200</v>
      </c>
      <c r="B1439" t="str">
        <f t="shared" si="23"/>
        <v>39200</v>
      </c>
      <c r="C1439" t="s">
        <v>1212</v>
      </c>
      <c r="D1439">
        <v>0</v>
      </c>
      <c r="E1439" t="s">
        <v>591</v>
      </c>
    </row>
    <row r="1440" spans="1:5" x14ac:dyDescent="0.25">
      <c r="A1440">
        <v>39200</v>
      </c>
      <c r="B1440" t="str">
        <f t="shared" si="23"/>
        <v>39200</v>
      </c>
      <c r="C1440" t="s">
        <v>1216</v>
      </c>
      <c r="D1440">
        <v>98.2</v>
      </c>
      <c r="E1440" t="s">
        <v>591</v>
      </c>
    </row>
    <row r="1441" spans="1:5" x14ac:dyDescent="0.25">
      <c r="A1441">
        <v>39200</v>
      </c>
      <c r="B1441" t="str">
        <f t="shared" si="23"/>
        <v>39200</v>
      </c>
      <c r="C1441" t="s">
        <v>1198</v>
      </c>
      <c r="D1441">
        <v>195.81</v>
      </c>
      <c r="E1441" t="s">
        <v>591</v>
      </c>
    </row>
    <row r="1442" spans="1:5" x14ac:dyDescent="0.25">
      <c r="A1442">
        <v>39204</v>
      </c>
      <c r="B1442" t="str">
        <f t="shared" si="23"/>
        <v>39204</v>
      </c>
      <c r="C1442" t="s">
        <v>1193</v>
      </c>
      <c r="D1442">
        <v>0</v>
      </c>
      <c r="E1442" t="s">
        <v>595</v>
      </c>
    </row>
    <row r="1443" spans="1:5" x14ac:dyDescent="0.25">
      <c r="A1443">
        <v>39204</v>
      </c>
      <c r="B1443" t="str">
        <f t="shared" si="23"/>
        <v>39204</v>
      </c>
      <c r="C1443" t="s">
        <v>1194</v>
      </c>
      <c r="D1443">
        <v>328.4</v>
      </c>
      <c r="E1443" t="s">
        <v>595</v>
      </c>
    </row>
    <row r="1444" spans="1:5" x14ac:dyDescent="0.25">
      <c r="A1444">
        <v>39204</v>
      </c>
      <c r="B1444" t="str">
        <f t="shared" si="23"/>
        <v>39204</v>
      </c>
      <c r="C1444" t="s">
        <v>1195</v>
      </c>
      <c r="D1444">
        <v>0</v>
      </c>
      <c r="E1444" t="s">
        <v>595</v>
      </c>
    </row>
    <row r="1445" spans="1:5" x14ac:dyDescent="0.25">
      <c r="A1445">
        <v>39204</v>
      </c>
      <c r="B1445" t="str">
        <f t="shared" si="23"/>
        <v>39204</v>
      </c>
      <c r="C1445" t="s">
        <v>1197</v>
      </c>
      <c r="D1445">
        <v>105.6</v>
      </c>
      <c r="E1445" t="s">
        <v>595</v>
      </c>
    </row>
    <row r="1446" spans="1:5" x14ac:dyDescent="0.25">
      <c r="A1446">
        <v>39204</v>
      </c>
      <c r="B1446" t="str">
        <f t="shared" si="23"/>
        <v>39204</v>
      </c>
      <c r="C1446" t="s">
        <v>1202</v>
      </c>
      <c r="D1446">
        <v>0</v>
      </c>
      <c r="E1446" t="s">
        <v>595</v>
      </c>
    </row>
    <row r="1447" spans="1:5" x14ac:dyDescent="0.25">
      <c r="A1447">
        <v>39204</v>
      </c>
      <c r="B1447" t="str">
        <f t="shared" si="23"/>
        <v>39204</v>
      </c>
      <c r="C1447" t="s">
        <v>1206</v>
      </c>
      <c r="D1447">
        <v>202.6</v>
      </c>
      <c r="E1447" t="s">
        <v>595</v>
      </c>
    </row>
    <row r="1448" spans="1:5" x14ac:dyDescent="0.25">
      <c r="A1448">
        <v>39204</v>
      </c>
      <c r="B1448" t="str">
        <f t="shared" si="23"/>
        <v>39204</v>
      </c>
      <c r="C1448" t="s">
        <v>1199</v>
      </c>
      <c r="D1448">
        <v>0</v>
      </c>
      <c r="E1448" t="s">
        <v>595</v>
      </c>
    </row>
    <row r="1449" spans="1:5" x14ac:dyDescent="0.25">
      <c r="A1449">
        <v>39204</v>
      </c>
      <c r="B1449" t="str">
        <f t="shared" si="23"/>
        <v>39204</v>
      </c>
      <c r="C1449" t="s">
        <v>1203</v>
      </c>
      <c r="D1449">
        <v>219.6</v>
      </c>
      <c r="E1449" t="s">
        <v>595</v>
      </c>
    </row>
    <row r="1450" spans="1:5" x14ac:dyDescent="0.25">
      <c r="A1450">
        <v>39204</v>
      </c>
      <c r="B1450" t="str">
        <f t="shared" si="23"/>
        <v>39204</v>
      </c>
      <c r="C1450" t="s">
        <v>1200</v>
      </c>
      <c r="D1450">
        <v>0</v>
      </c>
      <c r="E1450" t="s">
        <v>595</v>
      </c>
    </row>
    <row r="1451" spans="1:5" x14ac:dyDescent="0.25">
      <c r="A1451">
        <v>39204</v>
      </c>
      <c r="B1451" t="str">
        <f t="shared" si="23"/>
        <v>39204</v>
      </c>
      <c r="C1451" t="s">
        <v>1204</v>
      </c>
      <c r="D1451">
        <v>400.19</v>
      </c>
      <c r="E1451" t="s">
        <v>595</v>
      </c>
    </row>
    <row r="1452" spans="1:5" x14ac:dyDescent="0.25">
      <c r="A1452">
        <v>39204</v>
      </c>
      <c r="B1452" t="str">
        <f t="shared" si="23"/>
        <v>39204</v>
      </c>
      <c r="C1452" t="s">
        <v>1207</v>
      </c>
      <c r="D1452">
        <v>32.33</v>
      </c>
      <c r="E1452" t="s">
        <v>595</v>
      </c>
    </row>
    <row r="1453" spans="1:5" x14ac:dyDescent="0.25">
      <c r="A1453">
        <v>39204</v>
      </c>
      <c r="B1453" t="str">
        <f t="shared" si="23"/>
        <v>39204</v>
      </c>
      <c r="C1453" t="s">
        <v>1208</v>
      </c>
      <c r="D1453">
        <v>159.77000000000001</v>
      </c>
      <c r="E1453" t="s">
        <v>595</v>
      </c>
    </row>
    <row r="1454" spans="1:5" x14ac:dyDescent="0.25">
      <c r="A1454">
        <v>39204</v>
      </c>
      <c r="B1454" t="str">
        <f t="shared" si="23"/>
        <v>39204</v>
      </c>
      <c r="C1454" t="s">
        <v>1210</v>
      </c>
      <c r="D1454">
        <v>0</v>
      </c>
      <c r="E1454" t="s">
        <v>595</v>
      </c>
    </row>
    <row r="1455" spans="1:5" x14ac:dyDescent="0.25">
      <c r="A1455">
        <v>39204</v>
      </c>
      <c r="B1455" t="str">
        <f t="shared" si="23"/>
        <v>39204</v>
      </c>
      <c r="C1455" t="s">
        <v>1212</v>
      </c>
      <c r="D1455">
        <v>0</v>
      </c>
      <c r="E1455" t="s">
        <v>595</v>
      </c>
    </row>
    <row r="1456" spans="1:5" x14ac:dyDescent="0.25">
      <c r="A1456">
        <v>39204</v>
      </c>
      <c r="B1456" t="str">
        <f t="shared" si="23"/>
        <v>39204</v>
      </c>
      <c r="C1456" t="s">
        <v>1216</v>
      </c>
      <c r="D1456">
        <v>0</v>
      </c>
      <c r="E1456" t="s">
        <v>595</v>
      </c>
    </row>
    <row r="1457" spans="1:5" x14ac:dyDescent="0.25">
      <c r="A1457">
        <v>39204</v>
      </c>
      <c r="B1457" t="str">
        <f t="shared" si="23"/>
        <v>39204</v>
      </c>
      <c r="C1457" t="s">
        <v>1198</v>
      </c>
      <c r="D1457">
        <v>86.8</v>
      </c>
      <c r="E1457" t="s">
        <v>595</v>
      </c>
    </row>
    <row r="1458" spans="1:5" x14ac:dyDescent="0.25">
      <c r="A1458">
        <v>31332</v>
      </c>
      <c r="B1458" t="str">
        <f t="shared" si="23"/>
        <v>31332</v>
      </c>
      <c r="C1458" t="s">
        <v>1193</v>
      </c>
      <c r="D1458">
        <v>0</v>
      </c>
      <c r="E1458" t="s">
        <v>520</v>
      </c>
    </row>
    <row r="1459" spans="1:5" x14ac:dyDescent="0.25">
      <c r="A1459">
        <v>31332</v>
      </c>
      <c r="B1459" t="str">
        <f t="shared" si="23"/>
        <v>31332</v>
      </c>
      <c r="C1459" t="s">
        <v>1194</v>
      </c>
      <c r="D1459">
        <v>507.89</v>
      </c>
      <c r="E1459" t="s">
        <v>520</v>
      </c>
    </row>
    <row r="1460" spans="1:5" x14ac:dyDescent="0.25">
      <c r="A1460">
        <v>31332</v>
      </c>
      <c r="B1460" t="str">
        <f t="shared" si="23"/>
        <v>31332</v>
      </c>
      <c r="C1460" t="s">
        <v>1195</v>
      </c>
      <c r="D1460">
        <v>0</v>
      </c>
      <c r="E1460" t="s">
        <v>520</v>
      </c>
    </row>
    <row r="1461" spans="1:5" x14ac:dyDescent="0.25">
      <c r="A1461">
        <v>31332</v>
      </c>
      <c r="B1461" t="str">
        <f t="shared" si="23"/>
        <v>31332</v>
      </c>
      <c r="C1461" t="s">
        <v>1197</v>
      </c>
      <c r="D1461">
        <v>147.41</v>
      </c>
      <c r="E1461" t="s">
        <v>520</v>
      </c>
    </row>
    <row r="1462" spans="1:5" x14ac:dyDescent="0.25">
      <c r="A1462">
        <v>31332</v>
      </c>
      <c r="B1462" t="str">
        <f t="shared" si="23"/>
        <v>31332</v>
      </c>
      <c r="C1462" t="s">
        <v>1202</v>
      </c>
      <c r="D1462">
        <v>0</v>
      </c>
      <c r="E1462" t="s">
        <v>520</v>
      </c>
    </row>
    <row r="1463" spans="1:5" x14ac:dyDescent="0.25">
      <c r="A1463">
        <v>31332</v>
      </c>
      <c r="B1463" t="str">
        <f t="shared" si="23"/>
        <v>31332</v>
      </c>
      <c r="C1463" t="s">
        <v>1206</v>
      </c>
      <c r="D1463">
        <v>336.02</v>
      </c>
      <c r="E1463" t="s">
        <v>520</v>
      </c>
    </row>
    <row r="1464" spans="1:5" x14ac:dyDescent="0.25">
      <c r="A1464">
        <v>31332</v>
      </c>
      <c r="B1464" t="str">
        <f t="shared" si="23"/>
        <v>31332</v>
      </c>
      <c r="C1464" t="s">
        <v>1199</v>
      </c>
      <c r="D1464">
        <v>0</v>
      </c>
      <c r="E1464" t="s">
        <v>520</v>
      </c>
    </row>
    <row r="1465" spans="1:5" x14ac:dyDescent="0.25">
      <c r="A1465">
        <v>31332</v>
      </c>
      <c r="B1465" t="str">
        <f t="shared" si="23"/>
        <v>31332</v>
      </c>
      <c r="C1465" t="s">
        <v>1203</v>
      </c>
      <c r="D1465">
        <v>278.54000000000002</v>
      </c>
      <c r="E1465" t="s">
        <v>520</v>
      </c>
    </row>
    <row r="1466" spans="1:5" x14ac:dyDescent="0.25">
      <c r="A1466">
        <v>31332</v>
      </c>
      <c r="B1466" t="str">
        <f t="shared" si="23"/>
        <v>31332</v>
      </c>
      <c r="C1466" t="s">
        <v>1200</v>
      </c>
      <c r="D1466">
        <v>0</v>
      </c>
      <c r="E1466" t="s">
        <v>520</v>
      </c>
    </row>
    <row r="1467" spans="1:5" x14ac:dyDescent="0.25">
      <c r="A1467">
        <v>31332</v>
      </c>
      <c r="B1467" t="str">
        <f t="shared" si="23"/>
        <v>31332</v>
      </c>
      <c r="C1467" t="s">
        <v>1204</v>
      </c>
      <c r="D1467">
        <v>560.24</v>
      </c>
      <c r="E1467" t="s">
        <v>520</v>
      </c>
    </row>
    <row r="1468" spans="1:5" x14ac:dyDescent="0.25">
      <c r="A1468">
        <v>31332</v>
      </c>
      <c r="B1468" t="str">
        <f t="shared" si="23"/>
        <v>31332</v>
      </c>
      <c r="C1468" t="s">
        <v>1207</v>
      </c>
      <c r="D1468">
        <v>30.2</v>
      </c>
      <c r="E1468" t="s">
        <v>520</v>
      </c>
    </row>
    <row r="1469" spans="1:5" x14ac:dyDescent="0.25">
      <c r="A1469">
        <v>31332</v>
      </c>
      <c r="B1469" t="str">
        <f t="shared" si="23"/>
        <v>31332</v>
      </c>
      <c r="C1469" t="s">
        <v>1208</v>
      </c>
      <c r="D1469">
        <v>93.62</v>
      </c>
      <c r="E1469" t="s">
        <v>520</v>
      </c>
    </row>
    <row r="1470" spans="1:5" x14ac:dyDescent="0.25">
      <c r="A1470">
        <v>31332</v>
      </c>
      <c r="B1470" t="str">
        <f t="shared" si="23"/>
        <v>31332</v>
      </c>
      <c r="C1470" t="s">
        <v>1210</v>
      </c>
      <c r="D1470">
        <v>0</v>
      </c>
      <c r="E1470" t="s">
        <v>520</v>
      </c>
    </row>
    <row r="1471" spans="1:5" x14ac:dyDescent="0.25">
      <c r="A1471">
        <v>31332</v>
      </c>
      <c r="B1471" t="str">
        <f t="shared" si="23"/>
        <v>31332</v>
      </c>
      <c r="C1471" t="s">
        <v>1212</v>
      </c>
      <c r="D1471">
        <v>0</v>
      </c>
      <c r="E1471" t="s">
        <v>520</v>
      </c>
    </row>
    <row r="1472" spans="1:5" x14ac:dyDescent="0.25">
      <c r="A1472">
        <v>31332</v>
      </c>
      <c r="B1472" t="str">
        <f t="shared" si="23"/>
        <v>31332</v>
      </c>
      <c r="C1472" t="s">
        <v>1216</v>
      </c>
      <c r="D1472">
        <v>0</v>
      </c>
      <c r="E1472" t="s">
        <v>520</v>
      </c>
    </row>
    <row r="1473" spans="1:5" x14ac:dyDescent="0.25">
      <c r="A1473">
        <v>31332</v>
      </c>
      <c r="B1473" t="str">
        <f t="shared" si="23"/>
        <v>31332</v>
      </c>
      <c r="C1473" t="s">
        <v>1198</v>
      </c>
      <c r="D1473">
        <v>141.30000000000001</v>
      </c>
      <c r="E1473" t="s">
        <v>520</v>
      </c>
    </row>
    <row r="1474" spans="1:5" x14ac:dyDescent="0.25">
      <c r="A1474">
        <v>23054</v>
      </c>
      <c r="B1474" t="str">
        <f t="shared" si="23"/>
        <v>23054</v>
      </c>
      <c r="C1474" t="s">
        <v>1193</v>
      </c>
      <c r="D1474">
        <v>0</v>
      </c>
      <c r="E1474" t="s">
        <v>456</v>
      </c>
    </row>
    <row r="1475" spans="1:5" x14ac:dyDescent="0.25">
      <c r="A1475">
        <v>23054</v>
      </c>
      <c r="B1475" t="str">
        <f t="shared" ref="B1475:B1538" si="24">TEXT(A1475,"00000")</f>
        <v>23054</v>
      </c>
      <c r="C1475" t="s">
        <v>1194</v>
      </c>
      <c r="D1475">
        <v>66.209999999999994</v>
      </c>
      <c r="E1475" t="s">
        <v>456</v>
      </c>
    </row>
    <row r="1476" spans="1:5" x14ac:dyDescent="0.25">
      <c r="A1476">
        <v>23054</v>
      </c>
      <c r="B1476" t="str">
        <f t="shared" si="24"/>
        <v>23054</v>
      </c>
      <c r="C1476" t="s">
        <v>1195</v>
      </c>
      <c r="D1476">
        <v>0</v>
      </c>
      <c r="E1476" t="s">
        <v>456</v>
      </c>
    </row>
    <row r="1477" spans="1:5" x14ac:dyDescent="0.25">
      <c r="A1477">
        <v>23054</v>
      </c>
      <c r="B1477" t="str">
        <f t="shared" si="24"/>
        <v>23054</v>
      </c>
      <c r="C1477" t="s">
        <v>1197</v>
      </c>
      <c r="D1477">
        <v>23.6</v>
      </c>
      <c r="E1477" t="s">
        <v>456</v>
      </c>
    </row>
    <row r="1478" spans="1:5" x14ac:dyDescent="0.25">
      <c r="A1478">
        <v>23054</v>
      </c>
      <c r="B1478" t="str">
        <f t="shared" si="24"/>
        <v>23054</v>
      </c>
      <c r="C1478" t="s">
        <v>1202</v>
      </c>
      <c r="D1478">
        <v>0</v>
      </c>
      <c r="E1478" t="s">
        <v>456</v>
      </c>
    </row>
    <row r="1479" spans="1:5" x14ac:dyDescent="0.25">
      <c r="A1479">
        <v>23054</v>
      </c>
      <c r="B1479" t="str">
        <f t="shared" si="24"/>
        <v>23054</v>
      </c>
      <c r="C1479" t="s">
        <v>1206</v>
      </c>
      <c r="D1479">
        <v>55</v>
      </c>
      <c r="E1479" t="s">
        <v>456</v>
      </c>
    </row>
    <row r="1480" spans="1:5" x14ac:dyDescent="0.25">
      <c r="A1480">
        <v>23054</v>
      </c>
      <c r="B1480" t="str">
        <f t="shared" si="24"/>
        <v>23054</v>
      </c>
      <c r="C1480" t="s">
        <v>1199</v>
      </c>
      <c r="D1480">
        <v>0</v>
      </c>
      <c r="E1480" t="s">
        <v>456</v>
      </c>
    </row>
    <row r="1481" spans="1:5" x14ac:dyDescent="0.25">
      <c r="A1481">
        <v>23054</v>
      </c>
      <c r="B1481" t="str">
        <f t="shared" si="24"/>
        <v>23054</v>
      </c>
      <c r="C1481" t="s">
        <v>1203</v>
      </c>
      <c r="D1481">
        <v>46.4</v>
      </c>
      <c r="E1481" t="s">
        <v>456</v>
      </c>
    </row>
    <row r="1482" spans="1:5" x14ac:dyDescent="0.25">
      <c r="A1482">
        <v>23054</v>
      </c>
      <c r="B1482" t="str">
        <f t="shared" si="24"/>
        <v>23054</v>
      </c>
      <c r="C1482" t="s">
        <v>1200</v>
      </c>
      <c r="D1482">
        <v>0</v>
      </c>
      <c r="E1482" t="s">
        <v>456</v>
      </c>
    </row>
    <row r="1483" spans="1:5" x14ac:dyDescent="0.25">
      <c r="A1483">
        <v>23054</v>
      </c>
      <c r="B1483" t="str">
        <f t="shared" si="24"/>
        <v>23054</v>
      </c>
      <c r="C1483" t="s">
        <v>1204</v>
      </c>
      <c r="D1483">
        <v>0</v>
      </c>
      <c r="E1483" t="s">
        <v>456</v>
      </c>
    </row>
    <row r="1484" spans="1:5" x14ac:dyDescent="0.25">
      <c r="A1484">
        <v>23054</v>
      </c>
      <c r="B1484" t="str">
        <f t="shared" si="24"/>
        <v>23054</v>
      </c>
      <c r="C1484" t="s">
        <v>1207</v>
      </c>
      <c r="D1484">
        <v>0.4</v>
      </c>
      <c r="E1484" t="s">
        <v>456</v>
      </c>
    </row>
    <row r="1485" spans="1:5" x14ac:dyDescent="0.25">
      <c r="A1485">
        <v>23054</v>
      </c>
      <c r="B1485" t="str">
        <f t="shared" si="24"/>
        <v>23054</v>
      </c>
      <c r="C1485" t="s">
        <v>1208</v>
      </c>
      <c r="D1485">
        <v>0</v>
      </c>
      <c r="E1485" t="s">
        <v>456</v>
      </c>
    </row>
    <row r="1486" spans="1:5" x14ac:dyDescent="0.25">
      <c r="A1486">
        <v>23054</v>
      </c>
      <c r="B1486" t="str">
        <f t="shared" si="24"/>
        <v>23054</v>
      </c>
      <c r="C1486" t="s">
        <v>1210</v>
      </c>
      <c r="D1486">
        <v>0</v>
      </c>
      <c r="E1486" t="s">
        <v>456</v>
      </c>
    </row>
    <row r="1487" spans="1:5" x14ac:dyDescent="0.25">
      <c r="A1487">
        <v>23054</v>
      </c>
      <c r="B1487" t="str">
        <f t="shared" si="24"/>
        <v>23054</v>
      </c>
      <c r="C1487" t="s">
        <v>1212</v>
      </c>
      <c r="D1487">
        <v>0</v>
      </c>
      <c r="E1487" t="s">
        <v>456</v>
      </c>
    </row>
    <row r="1488" spans="1:5" x14ac:dyDescent="0.25">
      <c r="A1488">
        <v>23054</v>
      </c>
      <c r="B1488" t="str">
        <f t="shared" si="24"/>
        <v>23054</v>
      </c>
      <c r="C1488" t="s">
        <v>1216</v>
      </c>
      <c r="D1488">
        <v>16</v>
      </c>
      <c r="E1488" t="s">
        <v>456</v>
      </c>
    </row>
    <row r="1489" spans="1:5" x14ac:dyDescent="0.25">
      <c r="A1489">
        <v>23054</v>
      </c>
      <c r="B1489" t="str">
        <f t="shared" si="24"/>
        <v>23054</v>
      </c>
      <c r="C1489" t="s">
        <v>1198</v>
      </c>
      <c r="D1489">
        <v>16.670000000000002</v>
      </c>
      <c r="E1489" t="s">
        <v>456</v>
      </c>
    </row>
    <row r="1490" spans="1:5" x14ac:dyDescent="0.25">
      <c r="A1490">
        <v>32312</v>
      </c>
      <c r="B1490" t="str">
        <f t="shared" si="24"/>
        <v>32312</v>
      </c>
      <c r="C1490" t="s">
        <v>1193</v>
      </c>
      <c r="D1490">
        <v>0</v>
      </c>
      <c r="E1490" t="s">
        <v>524</v>
      </c>
    </row>
    <row r="1491" spans="1:5" x14ac:dyDescent="0.25">
      <c r="A1491">
        <v>32312</v>
      </c>
      <c r="B1491" t="str">
        <f t="shared" si="24"/>
        <v>32312</v>
      </c>
      <c r="C1491" t="s">
        <v>1194</v>
      </c>
      <c r="D1491">
        <v>20</v>
      </c>
      <c r="E1491" t="s">
        <v>524</v>
      </c>
    </row>
    <row r="1492" spans="1:5" x14ac:dyDescent="0.25">
      <c r="A1492">
        <v>32312</v>
      </c>
      <c r="B1492" t="str">
        <f t="shared" si="24"/>
        <v>32312</v>
      </c>
      <c r="C1492" t="s">
        <v>1195</v>
      </c>
      <c r="D1492">
        <v>0</v>
      </c>
      <c r="E1492" t="s">
        <v>524</v>
      </c>
    </row>
    <row r="1493" spans="1:5" x14ac:dyDescent="0.25">
      <c r="A1493">
        <v>32312</v>
      </c>
      <c r="B1493" t="str">
        <f t="shared" si="24"/>
        <v>32312</v>
      </c>
      <c r="C1493" t="s">
        <v>1197</v>
      </c>
      <c r="D1493">
        <v>9</v>
      </c>
      <c r="E1493" t="s">
        <v>524</v>
      </c>
    </row>
    <row r="1494" spans="1:5" x14ac:dyDescent="0.25">
      <c r="A1494">
        <v>32312</v>
      </c>
      <c r="B1494" t="str">
        <f t="shared" si="24"/>
        <v>32312</v>
      </c>
      <c r="C1494" t="s">
        <v>1202</v>
      </c>
      <c r="D1494">
        <v>0</v>
      </c>
      <c r="E1494" t="s">
        <v>524</v>
      </c>
    </row>
    <row r="1495" spans="1:5" x14ac:dyDescent="0.25">
      <c r="A1495">
        <v>32312</v>
      </c>
      <c r="B1495" t="str">
        <f t="shared" si="24"/>
        <v>32312</v>
      </c>
      <c r="C1495" t="s">
        <v>1206</v>
      </c>
      <c r="D1495">
        <v>11.2</v>
      </c>
      <c r="E1495" t="s">
        <v>524</v>
      </c>
    </row>
    <row r="1496" spans="1:5" x14ac:dyDescent="0.25">
      <c r="A1496">
        <v>32312</v>
      </c>
      <c r="B1496" t="str">
        <f t="shared" si="24"/>
        <v>32312</v>
      </c>
      <c r="C1496" t="s">
        <v>1199</v>
      </c>
      <c r="D1496">
        <v>0</v>
      </c>
      <c r="E1496" t="s">
        <v>524</v>
      </c>
    </row>
    <row r="1497" spans="1:5" x14ac:dyDescent="0.25">
      <c r="A1497">
        <v>32312</v>
      </c>
      <c r="B1497" t="str">
        <f t="shared" si="24"/>
        <v>32312</v>
      </c>
      <c r="C1497" t="s">
        <v>1203</v>
      </c>
      <c r="D1497">
        <v>0</v>
      </c>
      <c r="E1497" t="s">
        <v>524</v>
      </c>
    </row>
    <row r="1498" spans="1:5" x14ac:dyDescent="0.25">
      <c r="A1498">
        <v>32312</v>
      </c>
      <c r="B1498" t="str">
        <f t="shared" si="24"/>
        <v>32312</v>
      </c>
      <c r="C1498" t="s">
        <v>1200</v>
      </c>
      <c r="D1498">
        <v>0</v>
      </c>
      <c r="E1498" t="s">
        <v>524</v>
      </c>
    </row>
    <row r="1499" spans="1:5" x14ac:dyDescent="0.25">
      <c r="A1499">
        <v>32312</v>
      </c>
      <c r="B1499" t="str">
        <f t="shared" si="24"/>
        <v>32312</v>
      </c>
      <c r="C1499" t="s">
        <v>1204</v>
      </c>
      <c r="D1499">
        <v>0</v>
      </c>
      <c r="E1499" t="s">
        <v>524</v>
      </c>
    </row>
    <row r="1500" spans="1:5" x14ac:dyDescent="0.25">
      <c r="A1500">
        <v>32312</v>
      </c>
      <c r="B1500" t="str">
        <f t="shared" si="24"/>
        <v>32312</v>
      </c>
      <c r="C1500" t="s">
        <v>1207</v>
      </c>
      <c r="D1500">
        <v>0</v>
      </c>
      <c r="E1500" t="s">
        <v>524</v>
      </c>
    </row>
    <row r="1501" spans="1:5" x14ac:dyDescent="0.25">
      <c r="A1501">
        <v>32312</v>
      </c>
      <c r="B1501" t="str">
        <f t="shared" si="24"/>
        <v>32312</v>
      </c>
      <c r="C1501" t="s">
        <v>1208</v>
      </c>
      <c r="D1501">
        <v>0</v>
      </c>
      <c r="E1501" t="s">
        <v>524</v>
      </c>
    </row>
    <row r="1502" spans="1:5" x14ac:dyDescent="0.25">
      <c r="A1502">
        <v>32312</v>
      </c>
      <c r="B1502" t="str">
        <f t="shared" si="24"/>
        <v>32312</v>
      </c>
      <c r="C1502" t="s">
        <v>1210</v>
      </c>
      <c r="D1502">
        <v>0</v>
      </c>
      <c r="E1502" t="s">
        <v>524</v>
      </c>
    </row>
    <row r="1503" spans="1:5" x14ac:dyDescent="0.25">
      <c r="A1503">
        <v>32312</v>
      </c>
      <c r="B1503" t="str">
        <f t="shared" si="24"/>
        <v>32312</v>
      </c>
      <c r="C1503" t="s">
        <v>1212</v>
      </c>
      <c r="D1503">
        <v>0</v>
      </c>
      <c r="E1503" t="s">
        <v>524</v>
      </c>
    </row>
    <row r="1504" spans="1:5" x14ac:dyDescent="0.25">
      <c r="A1504">
        <v>32312</v>
      </c>
      <c r="B1504" t="str">
        <f t="shared" si="24"/>
        <v>32312</v>
      </c>
      <c r="C1504" t="s">
        <v>1216</v>
      </c>
      <c r="D1504">
        <v>0</v>
      </c>
      <c r="E1504" t="s">
        <v>524</v>
      </c>
    </row>
    <row r="1505" spans="1:5" x14ac:dyDescent="0.25">
      <c r="A1505">
        <v>32312</v>
      </c>
      <c r="B1505" t="str">
        <f t="shared" si="24"/>
        <v>32312</v>
      </c>
      <c r="C1505" t="s">
        <v>1198</v>
      </c>
      <c r="D1505">
        <v>4</v>
      </c>
      <c r="E1505" t="s">
        <v>524</v>
      </c>
    </row>
    <row r="1506" spans="1:5" x14ac:dyDescent="0.25">
      <c r="A1506" s="34" t="s">
        <v>35</v>
      </c>
      <c r="B1506" t="str">
        <f t="shared" si="24"/>
        <v>06103</v>
      </c>
      <c r="C1506" t="s">
        <v>1193</v>
      </c>
      <c r="D1506">
        <v>0</v>
      </c>
      <c r="E1506" t="s">
        <v>331</v>
      </c>
    </row>
    <row r="1507" spans="1:5" x14ac:dyDescent="0.25">
      <c r="A1507" s="34" t="s">
        <v>35</v>
      </c>
      <c r="B1507" t="str">
        <f t="shared" si="24"/>
        <v>06103</v>
      </c>
      <c r="C1507" t="s">
        <v>1194</v>
      </c>
      <c r="D1507">
        <v>59.2</v>
      </c>
      <c r="E1507" t="s">
        <v>331</v>
      </c>
    </row>
    <row r="1508" spans="1:5" x14ac:dyDescent="0.25">
      <c r="A1508" s="34" t="s">
        <v>35</v>
      </c>
      <c r="B1508" t="str">
        <f t="shared" si="24"/>
        <v>06103</v>
      </c>
      <c r="C1508" t="s">
        <v>1195</v>
      </c>
      <c r="D1508">
        <v>0</v>
      </c>
      <c r="E1508" t="s">
        <v>331</v>
      </c>
    </row>
    <row r="1509" spans="1:5" x14ac:dyDescent="0.25">
      <c r="A1509" s="34" t="s">
        <v>35</v>
      </c>
      <c r="B1509" t="str">
        <f t="shared" si="24"/>
        <v>06103</v>
      </c>
      <c r="C1509" t="s">
        <v>1197</v>
      </c>
      <c r="D1509">
        <v>21</v>
      </c>
      <c r="E1509" t="s">
        <v>331</v>
      </c>
    </row>
    <row r="1510" spans="1:5" x14ac:dyDescent="0.25">
      <c r="A1510" s="34" t="s">
        <v>35</v>
      </c>
      <c r="B1510" t="str">
        <f t="shared" si="24"/>
        <v>06103</v>
      </c>
      <c r="C1510" t="s">
        <v>1202</v>
      </c>
      <c r="D1510">
        <v>0</v>
      </c>
      <c r="E1510" t="s">
        <v>331</v>
      </c>
    </row>
    <row r="1511" spans="1:5" x14ac:dyDescent="0.25">
      <c r="A1511" s="34" t="s">
        <v>35</v>
      </c>
      <c r="B1511" t="str">
        <f t="shared" si="24"/>
        <v>06103</v>
      </c>
      <c r="C1511" t="s">
        <v>1206</v>
      </c>
      <c r="D1511">
        <v>36.020000000000003</v>
      </c>
      <c r="E1511" t="s">
        <v>331</v>
      </c>
    </row>
    <row r="1512" spans="1:5" x14ac:dyDescent="0.25">
      <c r="A1512" s="34" t="s">
        <v>35</v>
      </c>
      <c r="B1512" t="str">
        <f t="shared" si="24"/>
        <v>06103</v>
      </c>
      <c r="C1512" t="s">
        <v>1199</v>
      </c>
      <c r="D1512">
        <v>0</v>
      </c>
      <c r="E1512" t="s">
        <v>331</v>
      </c>
    </row>
    <row r="1513" spans="1:5" x14ac:dyDescent="0.25">
      <c r="A1513" s="34" t="s">
        <v>35</v>
      </c>
      <c r="B1513" t="str">
        <f t="shared" si="24"/>
        <v>06103</v>
      </c>
      <c r="C1513" t="s">
        <v>1203</v>
      </c>
      <c r="D1513">
        <v>33</v>
      </c>
      <c r="E1513" t="s">
        <v>331</v>
      </c>
    </row>
    <row r="1514" spans="1:5" x14ac:dyDescent="0.25">
      <c r="A1514" s="34" t="s">
        <v>35</v>
      </c>
      <c r="B1514" t="str">
        <f t="shared" si="24"/>
        <v>06103</v>
      </c>
      <c r="C1514" t="s">
        <v>1200</v>
      </c>
      <c r="D1514">
        <v>0</v>
      </c>
      <c r="E1514" t="s">
        <v>331</v>
      </c>
    </row>
    <row r="1515" spans="1:5" x14ac:dyDescent="0.25">
      <c r="A1515" s="34" t="s">
        <v>35</v>
      </c>
      <c r="B1515" t="str">
        <f t="shared" si="24"/>
        <v>06103</v>
      </c>
      <c r="C1515" t="s">
        <v>1204</v>
      </c>
      <c r="D1515">
        <v>0</v>
      </c>
      <c r="E1515" t="s">
        <v>331</v>
      </c>
    </row>
    <row r="1516" spans="1:5" x14ac:dyDescent="0.25">
      <c r="A1516" s="34" t="s">
        <v>35</v>
      </c>
      <c r="B1516" t="str">
        <f t="shared" si="24"/>
        <v>06103</v>
      </c>
      <c r="C1516" t="s">
        <v>1207</v>
      </c>
      <c r="D1516">
        <v>0</v>
      </c>
      <c r="E1516" t="s">
        <v>331</v>
      </c>
    </row>
    <row r="1517" spans="1:5" x14ac:dyDescent="0.25">
      <c r="A1517" s="34" t="s">
        <v>35</v>
      </c>
      <c r="B1517" t="str">
        <f t="shared" si="24"/>
        <v>06103</v>
      </c>
      <c r="C1517" t="s">
        <v>1208</v>
      </c>
      <c r="D1517">
        <v>0</v>
      </c>
      <c r="E1517" t="s">
        <v>331</v>
      </c>
    </row>
    <row r="1518" spans="1:5" x14ac:dyDescent="0.25">
      <c r="A1518" s="34" t="s">
        <v>35</v>
      </c>
      <c r="B1518" t="str">
        <f t="shared" si="24"/>
        <v>06103</v>
      </c>
      <c r="C1518" t="s">
        <v>1210</v>
      </c>
      <c r="D1518">
        <v>0</v>
      </c>
      <c r="E1518" t="s">
        <v>331</v>
      </c>
    </row>
    <row r="1519" spans="1:5" x14ac:dyDescent="0.25">
      <c r="A1519" s="34" t="s">
        <v>35</v>
      </c>
      <c r="B1519" t="str">
        <f t="shared" si="24"/>
        <v>06103</v>
      </c>
      <c r="C1519" t="s">
        <v>1212</v>
      </c>
      <c r="D1519">
        <v>0</v>
      </c>
      <c r="E1519" t="s">
        <v>331</v>
      </c>
    </row>
    <row r="1520" spans="1:5" x14ac:dyDescent="0.25">
      <c r="A1520" s="34" t="s">
        <v>35</v>
      </c>
      <c r="B1520" t="str">
        <f t="shared" si="24"/>
        <v>06103</v>
      </c>
      <c r="C1520" t="s">
        <v>1216</v>
      </c>
      <c r="D1520">
        <v>0</v>
      </c>
      <c r="E1520" t="s">
        <v>331</v>
      </c>
    </row>
    <row r="1521" spans="1:5" x14ac:dyDescent="0.25">
      <c r="A1521" s="34" t="s">
        <v>35</v>
      </c>
      <c r="B1521" t="str">
        <f t="shared" si="24"/>
        <v>06103</v>
      </c>
      <c r="C1521" t="s">
        <v>1198</v>
      </c>
      <c r="D1521">
        <v>14</v>
      </c>
      <c r="E1521" t="s">
        <v>331</v>
      </c>
    </row>
    <row r="1522" spans="1:5" x14ac:dyDescent="0.25">
      <c r="A1522">
        <v>34324</v>
      </c>
      <c r="B1522" t="str">
        <f t="shared" si="24"/>
        <v>34324</v>
      </c>
      <c r="C1522" t="s">
        <v>1193</v>
      </c>
      <c r="D1522">
        <v>0</v>
      </c>
      <c r="E1522" t="s">
        <v>553</v>
      </c>
    </row>
    <row r="1523" spans="1:5" x14ac:dyDescent="0.25">
      <c r="A1523">
        <v>34324</v>
      </c>
      <c r="B1523" t="str">
        <f t="shared" si="24"/>
        <v>34324</v>
      </c>
      <c r="C1523" t="s">
        <v>1194</v>
      </c>
      <c r="D1523">
        <v>172.25</v>
      </c>
      <c r="E1523" t="s">
        <v>553</v>
      </c>
    </row>
    <row r="1524" spans="1:5" x14ac:dyDescent="0.25">
      <c r="A1524">
        <v>34324</v>
      </c>
      <c r="B1524" t="str">
        <f t="shared" si="24"/>
        <v>34324</v>
      </c>
      <c r="C1524" t="s">
        <v>1195</v>
      </c>
      <c r="D1524">
        <v>0</v>
      </c>
      <c r="E1524" t="s">
        <v>553</v>
      </c>
    </row>
    <row r="1525" spans="1:5" x14ac:dyDescent="0.25">
      <c r="A1525">
        <v>34324</v>
      </c>
      <c r="B1525" t="str">
        <f t="shared" si="24"/>
        <v>34324</v>
      </c>
      <c r="C1525" t="s">
        <v>1197</v>
      </c>
      <c r="D1525">
        <v>59.47</v>
      </c>
      <c r="E1525" t="s">
        <v>553</v>
      </c>
    </row>
    <row r="1526" spans="1:5" x14ac:dyDescent="0.25">
      <c r="A1526">
        <v>34324</v>
      </c>
      <c r="B1526" t="str">
        <f t="shared" si="24"/>
        <v>34324</v>
      </c>
      <c r="C1526" t="s">
        <v>1202</v>
      </c>
      <c r="D1526">
        <v>0</v>
      </c>
      <c r="E1526" t="s">
        <v>553</v>
      </c>
    </row>
    <row r="1527" spans="1:5" x14ac:dyDescent="0.25">
      <c r="A1527">
        <v>34324</v>
      </c>
      <c r="B1527" t="str">
        <f t="shared" si="24"/>
        <v>34324</v>
      </c>
      <c r="C1527" t="s">
        <v>1206</v>
      </c>
      <c r="D1527">
        <v>137.4</v>
      </c>
      <c r="E1527" t="s">
        <v>553</v>
      </c>
    </row>
    <row r="1528" spans="1:5" x14ac:dyDescent="0.25">
      <c r="A1528">
        <v>34324</v>
      </c>
      <c r="B1528" t="str">
        <f t="shared" si="24"/>
        <v>34324</v>
      </c>
      <c r="C1528" t="s">
        <v>1199</v>
      </c>
      <c r="D1528">
        <v>0</v>
      </c>
      <c r="E1528" t="s">
        <v>553</v>
      </c>
    </row>
    <row r="1529" spans="1:5" x14ac:dyDescent="0.25">
      <c r="A1529">
        <v>34324</v>
      </c>
      <c r="B1529" t="str">
        <f t="shared" si="24"/>
        <v>34324</v>
      </c>
      <c r="C1529" t="s">
        <v>1203</v>
      </c>
      <c r="D1529">
        <v>121.29</v>
      </c>
      <c r="E1529" t="s">
        <v>553</v>
      </c>
    </row>
    <row r="1530" spans="1:5" x14ac:dyDescent="0.25">
      <c r="A1530">
        <v>34324</v>
      </c>
      <c r="B1530" t="str">
        <f t="shared" si="24"/>
        <v>34324</v>
      </c>
      <c r="C1530" t="s">
        <v>1200</v>
      </c>
      <c r="D1530">
        <v>0</v>
      </c>
      <c r="E1530" t="s">
        <v>553</v>
      </c>
    </row>
    <row r="1531" spans="1:5" x14ac:dyDescent="0.25">
      <c r="A1531">
        <v>34324</v>
      </c>
      <c r="B1531" t="str">
        <f t="shared" si="24"/>
        <v>34324</v>
      </c>
      <c r="C1531" t="s">
        <v>1204</v>
      </c>
      <c r="D1531">
        <v>0</v>
      </c>
      <c r="E1531" t="s">
        <v>553</v>
      </c>
    </row>
    <row r="1532" spans="1:5" x14ac:dyDescent="0.25">
      <c r="A1532">
        <v>34324</v>
      </c>
      <c r="B1532" t="str">
        <f t="shared" si="24"/>
        <v>34324</v>
      </c>
      <c r="C1532" t="s">
        <v>1207</v>
      </c>
      <c r="D1532">
        <v>0</v>
      </c>
      <c r="E1532" t="s">
        <v>553</v>
      </c>
    </row>
    <row r="1533" spans="1:5" x14ac:dyDescent="0.25">
      <c r="A1533">
        <v>34324</v>
      </c>
      <c r="B1533" t="str">
        <f t="shared" si="24"/>
        <v>34324</v>
      </c>
      <c r="C1533" t="s">
        <v>1208</v>
      </c>
      <c r="D1533">
        <v>0</v>
      </c>
      <c r="E1533" t="s">
        <v>553</v>
      </c>
    </row>
    <row r="1534" spans="1:5" x14ac:dyDescent="0.25">
      <c r="A1534">
        <v>34324</v>
      </c>
      <c r="B1534" t="str">
        <f t="shared" si="24"/>
        <v>34324</v>
      </c>
      <c r="C1534" t="s">
        <v>1210</v>
      </c>
      <c r="D1534">
        <v>0</v>
      </c>
      <c r="E1534" t="s">
        <v>553</v>
      </c>
    </row>
    <row r="1535" spans="1:5" x14ac:dyDescent="0.25">
      <c r="A1535">
        <v>34324</v>
      </c>
      <c r="B1535" t="str">
        <f t="shared" si="24"/>
        <v>34324</v>
      </c>
      <c r="C1535" t="s">
        <v>1212</v>
      </c>
      <c r="D1535">
        <v>0</v>
      </c>
      <c r="E1535" t="s">
        <v>553</v>
      </c>
    </row>
    <row r="1536" spans="1:5" x14ac:dyDescent="0.25">
      <c r="A1536">
        <v>34324</v>
      </c>
      <c r="B1536" t="str">
        <f t="shared" si="24"/>
        <v>34324</v>
      </c>
      <c r="C1536" t="s">
        <v>1216</v>
      </c>
      <c r="D1536">
        <v>24.8</v>
      </c>
      <c r="E1536" t="s">
        <v>553</v>
      </c>
    </row>
    <row r="1537" spans="1:5" x14ac:dyDescent="0.25">
      <c r="A1537">
        <v>34324</v>
      </c>
      <c r="B1537" t="str">
        <f t="shared" si="24"/>
        <v>34324</v>
      </c>
      <c r="C1537" t="s">
        <v>1198</v>
      </c>
      <c r="D1537">
        <v>61.9</v>
      </c>
      <c r="E1537" t="s">
        <v>553</v>
      </c>
    </row>
    <row r="1538" spans="1:5" x14ac:dyDescent="0.25">
      <c r="A1538">
        <v>22204</v>
      </c>
      <c r="B1538" t="str">
        <f t="shared" si="24"/>
        <v>22204</v>
      </c>
      <c r="C1538" t="s">
        <v>1193</v>
      </c>
      <c r="D1538">
        <v>0</v>
      </c>
      <c r="E1538" t="s">
        <v>453</v>
      </c>
    </row>
    <row r="1539" spans="1:5" x14ac:dyDescent="0.25">
      <c r="A1539">
        <v>22204</v>
      </c>
      <c r="B1539" t="str">
        <f t="shared" ref="B1539:B1602" si="25">TEXT(A1539,"00000")</f>
        <v>22204</v>
      </c>
      <c r="C1539" t="s">
        <v>1194</v>
      </c>
      <c r="D1539">
        <v>30.2</v>
      </c>
      <c r="E1539" t="s">
        <v>453</v>
      </c>
    </row>
    <row r="1540" spans="1:5" x14ac:dyDescent="0.25">
      <c r="A1540">
        <v>22204</v>
      </c>
      <c r="B1540" t="str">
        <f t="shared" si="25"/>
        <v>22204</v>
      </c>
      <c r="C1540" t="s">
        <v>1195</v>
      </c>
      <c r="D1540">
        <v>0</v>
      </c>
      <c r="E1540" t="s">
        <v>453</v>
      </c>
    </row>
    <row r="1541" spans="1:5" x14ac:dyDescent="0.25">
      <c r="A1541">
        <v>22204</v>
      </c>
      <c r="B1541" t="str">
        <f t="shared" si="25"/>
        <v>22204</v>
      </c>
      <c r="C1541" t="s">
        <v>1197</v>
      </c>
      <c r="D1541">
        <v>11.4</v>
      </c>
      <c r="E1541" t="s">
        <v>453</v>
      </c>
    </row>
    <row r="1542" spans="1:5" x14ac:dyDescent="0.25">
      <c r="A1542">
        <v>22204</v>
      </c>
      <c r="B1542" t="str">
        <f t="shared" si="25"/>
        <v>22204</v>
      </c>
      <c r="C1542" t="s">
        <v>1202</v>
      </c>
      <c r="D1542">
        <v>0</v>
      </c>
      <c r="E1542" t="s">
        <v>453</v>
      </c>
    </row>
    <row r="1543" spans="1:5" x14ac:dyDescent="0.25">
      <c r="A1543">
        <v>22204</v>
      </c>
      <c r="B1543" t="str">
        <f t="shared" si="25"/>
        <v>22204</v>
      </c>
      <c r="C1543" t="s">
        <v>1206</v>
      </c>
      <c r="D1543">
        <v>22.4</v>
      </c>
      <c r="E1543" t="s">
        <v>453</v>
      </c>
    </row>
    <row r="1544" spans="1:5" x14ac:dyDescent="0.25">
      <c r="A1544">
        <v>22204</v>
      </c>
      <c r="B1544" t="str">
        <f t="shared" si="25"/>
        <v>22204</v>
      </c>
      <c r="C1544" t="s">
        <v>1199</v>
      </c>
      <c r="D1544">
        <v>0</v>
      </c>
      <c r="E1544" t="s">
        <v>453</v>
      </c>
    </row>
    <row r="1545" spans="1:5" x14ac:dyDescent="0.25">
      <c r="A1545">
        <v>22204</v>
      </c>
      <c r="B1545" t="str">
        <f t="shared" si="25"/>
        <v>22204</v>
      </c>
      <c r="C1545" t="s">
        <v>1203</v>
      </c>
      <c r="D1545">
        <v>17.399999999999999</v>
      </c>
      <c r="E1545" t="s">
        <v>453</v>
      </c>
    </row>
    <row r="1546" spans="1:5" x14ac:dyDescent="0.25">
      <c r="A1546">
        <v>22204</v>
      </c>
      <c r="B1546" t="str">
        <f t="shared" si="25"/>
        <v>22204</v>
      </c>
      <c r="C1546" t="s">
        <v>1200</v>
      </c>
      <c r="D1546">
        <v>0</v>
      </c>
      <c r="E1546" t="s">
        <v>453</v>
      </c>
    </row>
    <row r="1547" spans="1:5" x14ac:dyDescent="0.25">
      <c r="A1547">
        <v>22204</v>
      </c>
      <c r="B1547" t="str">
        <f t="shared" si="25"/>
        <v>22204</v>
      </c>
      <c r="C1547" t="s">
        <v>1204</v>
      </c>
      <c r="D1547">
        <v>23.02</v>
      </c>
      <c r="E1547" t="s">
        <v>453</v>
      </c>
    </row>
    <row r="1548" spans="1:5" x14ac:dyDescent="0.25">
      <c r="A1548">
        <v>22204</v>
      </c>
      <c r="B1548" t="str">
        <f t="shared" si="25"/>
        <v>22204</v>
      </c>
      <c r="C1548" t="s">
        <v>1207</v>
      </c>
      <c r="D1548">
        <v>1.05</v>
      </c>
      <c r="E1548" t="s">
        <v>453</v>
      </c>
    </row>
    <row r="1549" spans="1:5" x14ac:dyDescent="0.25">
      <c r="A1549">
        <v>22204</v>
      </c>
      <c r="B1549" t="str">
        <f t="shared" si="25"/>
        <v>22204</v>
      </c>
      <c r="C1549" t="s">
        <v>1208</v>
      </c>
      <c r="D1549">
        <v>3.84</v>
      </c>
      <c r="E1549" t="s">
        <v>453</v>
      </c>
    </row>
    <row r="1550" spans="1:5" x14ac:dyDescent="0.25">
      <c r="A1550">
        <v>22204</v>
      </c>
      <c r="B1550" t="str">
        <f t="shared" si="25"/>
        <v>22204</v>
      </c>
      <c r="C1550" t="s">
        <v>1210</v>
      </c>
      <c r="D1550">
        <v>0</v>
      </c>
      <c r="E1550" t="s">
        <v>453</v>
      </c>
    </row>
    <row r="1551" spans="1:5" x14ac:dyDescent="0.25">
      <c r="A1551">
        <v>22204</v>
      </c>
      <c r="B1551" t="str">
        <f t="shared" si="25"/>
        <v>22204</v>
      </c>
      <c r="C1551" t="s">
        <v>1212</v>
      </c>
      <c r="D1551">
        <v>0</v>
      </c>
      <c r="E1551" t="s">
        <v>453</v>
      </c>
    </row>
    <row r="1552" spans="1:5" x14ac:dyDescent="0.25">
      <c r="A1552">
        <v>22204</v>
      </c>
      <c r="B1552" t="str">
        <f t="shared" si="25"/>
        <v>22204</v>
      </c>
      <c r="C1552" t="s">
        <v>1216</v>
      </c>
      <c r="D1552">
        <v>0</v>
      </c>
      <c r="E1552" t="s">
        <v>453</v>
      </c>
    </row>
    <row r="1553" spans="1:5" x14ac:dyDescent="0.25">
      <c r="A1553">
        <v>22204</v>
      </c>
      <c r="B1553" t="str">
        <f t="shared" si="25"/>
        <v>22204</v>
      </c>
      <c r="C1553" t="s">
        <v>1198</v>
      </c>
      <c r="D1553">
        <v>8</v>
      </c>
      <c r="E1553" t="s">
        <v>453</v>
      </c>
    </row>
    <row r="1554" spans="1:5" x14ac:dyDescent="0.25">
      <c r="A1554">
        <v>39203</v>
      </c>
      <c r="B1554" t="str">
        <f t="shared" si="25"/>
        <v>39203</v>
      </c>
      <c r="C1554" t="s">
        <v>1193</v>
      </c>
      <c r="D1554">
        <v>0</v>
      </c>
      <c r="E1554" t="s">
        <v>594</v>
      </c>
    </row>
    <row r="1555" spans="1:5" x14ac:dyDescent="0.25">
      <c r="A1555">
        <v>39203</v>
      </c>
      <c r="B1555" t="str">
        <f t="shared" si="25"/>
        <v>39203</v>
      </c>
      <c r="C1555" t="s">
        <v>1194</v>
      </c>
      <c r="D1555">
        <v>222.6</v>
      </c>
      <c r="E1555" t="s">
        <v>594</v>
      </c>
    </row>
    <row r="1556" spans="1:5" x14ac:dyDescent="0.25">
      <c r="A1556">
        <v>39203</v>
      </c>
      <c r="B1556" t="str">
        <f t="shared" si="25"/>
        <v>39203</v>
      </c>
      <c r="C1556" t="s">
        <v>1195</v>
      </c>
      <c r="D1556">
        <v>0</v>
      </c>
      <c r="E1556" t="s">
        <v>594</v>
      </c>
    </row>
    <row r="1557" spans="1:5" x14ac:dyDescent="0.25">
      <c r="A1557">
        <v>39203</v>
      </c>
      <c r="B1557" t="str">
        <f t="shared" si="25"/>
        <v>39203</v>
      </c>
      <c r="C1557" t="s">
        <v>1197</v>
      </c>
      <c r="D1557">
        <v>64.2</v>
      </c>
      <c r="E1557" t="s">
        <v>594</v>
      </c>
    </row>
    <row r="1558" spans="1:5" x14ac:dyDescent="0.25">
      <c r="A1558">
        <v>39203</v>
      </c>
      <c r="B1558" t="str">
        <f t="shared" si="25"/>
        <v>39203</v>
      </c>
      <c r="C1558" t="s">
        <v>1202</v>
      </c>
      <c r="D1558">
        <v>0</v>
      </c>
      <c r="E1558" t="s">
        <v>594</v>
      </c>
    </row>
    <row r="1559" spans="1:5" x14ac:dyDescent="0.25">
      <c r="A1559">
        <v>39203</v>
      </c>
      <c r="B1559" t="str">
        <f t="shared" si="25"/>
        <v>39203</v>
      </c>
      <c r="C1559" t="s">
        <v>1206</v>
      </c>
      <c r="D1559">
        <v>143.6</v>
      </c>
      <c r="E1559" t="s">
        <v>594</v>
      </c>
    </row>
    <row r="1560" spans="1:5" x14ac:dyDescent="0.25">
      <c r="A1560">
        <v>39203</v>
      </c>
      <c r="B1560" t="str">
        <f t="shared" si="25"/>
        <v>39203</v>
      </c>
      <c r="C1560" t="s">
        <v>1199</v>
      </c>
      <c r="D1560">
        <v>0</v>
      </c>
      <c r="E1560" t="s">
        <v>594</v>
      </c>
    </row>
    <row r="1561" spans="1:5" x14ac:dyDescent="0.25">
      <c r="A1561">
        <v>39203</v>
      </c>
      <c r="B1561" t="str">
        <f t="shared" si="25"/>
        <v>39203</v>
      </c>
      <c r="C1561" t="s">
        <v>1203</v>
      </c>
      <c r="D1561">
        <v>161.80000000000001</v>
      </c>
      <c r="E1561" t="s">
        <v>594</v>
      </c>
    </row>
    <row r="1562" spans="1:5" x14ac:dyDescent="0.25">
      <c r="A1562">
        <v>39203</v>
      </c>
      <c r="B1562" t="str">
        <f t="shared" si="25"/>
        <v>39203</v>
      </c>
      <c r="C1562" t="s">
        <v>1200</v>
      </c>
      <c r="D1562">
        <v>0</v>
      </c>
      <c r="E1562" t="s">
        <v>594</v>
      </c>
    </row>
    <row r="1563" spans="1:5" x14ac:dyDescent="0.25">
      <c r="A1563">
        <v>39203</v>
      </c>
      <c r="B1563" t="str">
        <f t="shared" si="25"/>
        <v>39203</v>
      </c>
      <c r="C1563" t="s">
        <v>1204</v>
      </c>
      <c r="D1563">
        <v>332.47</v>
      </c>
      <c r="E1563" t="s">
        <v>594</v>
      </c>
    </row>
    <row r="1564" spans="1:5" x14ac:dyDescent="0.25">
      <c r="A1564">
        <v>39203</v>
      </c>
      <c r="B1564" t="str">
        <f t="shared" si="25"/>
        <v>39203</v>
      </c>
      <c r="C1564" t="s">
        <v>1207</v>
      </c>
      <c r="D1564">
        <v>0</v>
      </c>
      <c r="E1564" t="s">
        <v>594</v>
      </c>
    </row>
    <row r="1565" spans="1:5" x14ac:dyDescent="0.25">
      <c r="A1565">
        <v>39203</v>
      </c>
      <c r="B1565" t="str">
        <f t="shared" si="25"/>
        <v>39203</v>
      </c>
      <c r="C1565" t="s">
        <v>1208</v>
      </c>
      <c r="D1565">
        <v>46.21</v>
      </c>
      <c r="E1565" t="s">
        <v>594</v>
      </c>
    </row>
    <row r="1566" spans="1:5" x14ac:dyDescent="0.25">
      <c r="A1566">
        <v>39203</v>
      </c>
      <c r="B1566" t="str">
        <f t="shared" si="25"/>
        <v>39203</v>
      </c>
      <c r="C1566" t="s">
        <v>1210</v>
      </c>
      <c r="D1566">
        <v>0</v>
      </c>
      <c r="E1566" t="s">
        <v>594</v>
      </c>
    </row>
    <row r="1567" spans="1:5" x14ac:dyDescent="0.25">
      <c r="A1567">
        <v>39203</v>
      </c>
      <c r="B1567" t="str">
        <f t="shared" si="25"/>
        <v>39203</v>
      </c>
      <c r="C1567" t="s">
        <v>1212</v>
      </c>
      <c r="D1567">
        <v>0</v>
      </c>
      <c r="E1567" t="s">
        <v>594</v>
      </c>
    </row>
    <row r="1568" spans="1:5" x14ac:dyDescent="0.25">
      <c r="A1568">
        <v>39203</v>
      </c>
      <c r="B1568" t="str">
        <f t="shared" si="25"/>
        <v>39203</v>
      </c>
      <c r="C1568" t="s">
        <v>1216</v>
      </c>
      <c r="D1568">
        <v>52.1</v>
      </c>
      <c r="E1568" t="s">
        <v>594</v>
      </c>
    </row>
    <row r="1569" spans="1:5" x14ac:dyDescent="0.25">
      <c r="A1569">
        <v>39203</v>
      </c>
      <c r="B1569" t="str">
        <f t="shared" si="25"/>
        <v>39203</v>
      </c>
      <c r="C1569" t="s">
        <v>1198</v>
      </c>
      <c r="D1569">
        <v>46.4</v>
      </c>
      <c r="E1569" t="s">
        <v>594</v>
      </c>
    </row>
    <row r="1570" spans="1:5" x14ac:dyDescent="0.25">
      <c r="A1570">
        <v>17401</v>
      </c>
      <c r="B1570" t="str">
        <f t="shared" si="25"/>
        <v>17401</v>
      </c>
      <c r="C1570" t="s">
        <v>1193</v>
      </c>
      <c r="D1570">
        <v>0</v>
      </c>
      <c r="E1570" t="s">
        <v>396</v>
      </c>
    </row>
    <row r="1571" spans="1:5" x14ac:dyDescent="0.25">
      <c r="A1571">
        <v>17401</v>
      </c>
      <c r="B1571" t="str">
        <f t="shared" si="25"/>
        <v>17401</v>
      </c>
      <c r="C1571" t="s">
        <v>1194</v>
      </c>
      <c r="D1571">
        <v>3949.99</v>
      </c>
      <c r="E1571" t="s">
        <v>396</v>
      </c>
    </row>
    <row r="1572" spans="1:5" x14ac:dyDescent="0.25">
      <c r="A1572">
        <v>17401</v>
      </c>
      <c r="B1572" t="str">
        <f t="shared" si="25"/>
        <v>17401</v>
      </c>
      <c r="C1572" t="s">
        <v>1195</v>
      </c>
      <c r="D1572">
        <v>0</v>
      </c>
      <c r="E1572" t="s">
        <v>396</v>
      </c>
    </row>
    <row r="1573" spans="1:5" x14ac:dyDescent="0.25">
      <c r="A1573">
        <v>17401</v>
      </c>
      <c r="B1573" t="str">
        <f t="shared" si="25"/>
        <v>17401</v>
      </c>
      <c r="C1573" t="s">
        <v>1197</v>
      </c>
      <c r="D1573">
        <v>1276.5999999999999</v>
      </c>
      <c r="E1573" t="s">
        <v>396</v>
      </c>
    </row>
    <row r="1574" spans="1:5" x14ac:dyDescent="0.25">
      <c r="A1574">
        <v>17401</v>
      </c>
      <c r="B1574" t="str">
        <f t="shared" si="25"/>
        <v>17401</v>
      </c>
      <c r="C1574" t="s">
        <v>1202</v>
      </c>
      <c r="D1574">
        <v>0</v>
      </c>
      <c r="E1574" t="s">
        <v>396</v>
      </c>
    </row>
    <row r="1575" spans="1:5" x14ac:dyDescent="0.25">
      <c r="A1575">
        <v>17401</v>
      </c>
      <c r="B1575" t="str">
        <f t="shared" si="25"/>
        <v>17401</v>
      </c>
      <c r="C1575" t="s">
        <v>1206</v>
      </c>
      <c r="D1575">
        <v>2415.44</v>
      </c>
      <c r="E1575" t="s">
        <v>396</v>
      </c>
    </row>
    <row r="1576" spans="1:5" x14ac:dyDescent="0.25">
      <c r="A1576">
        <v>17401</v>
      </c>
      <c r="B1576" t="str">
        <f t="shared" si="25"/>
        <v>17401</v>
      </c>
      <c r="C1576" t="s">
        <v>1199</v>
      </c>
      <c r="D1576">
        <v>0</v>
      </c>
      <c r="E1576" t="s">
        <v>396</v>
      </c>
    </row>
    <row r="1577" spans="1:5" x14ac:dyDescent="0.25">
      <c r="A1577">
        <v>17401</v>
      </c>
      <c r="B1577" t="str">
        <f t="shared" si="25"/>
        <v>17401</v>
      </c>
      <c r="C1577" t="s">
        <v>1203</v>
      </c>
      <c r="D1577">
        <v>2248.73</v>
      </c>
      <c r="E1577" t="s">
        <v>396</v>
      </c>
    </row>
    <row r="1578" spans="1:5" x14ac:dyDescent="0.25">
      <c r="A1578">
        <v>17401</v>
      </c>
      <c r="B1578" t="str">
        <f t="shared" si="25"/>
        <v>17401</v>
      </c>
      <c r="C1578" t="s">
        <v>1200</v>
      </c>
      <c r="D1578">
        <v>0</v>
      </c>
      <c r="E1578" t="s">
        <v>396</v>
      </c>
    </row>
    <row r="1579" spans="1:5" x14ac:dyDescent="0.25">
      <c r="A1579">
        <v>17401</v>
      </c>
      <c r="B1579" t="str">
        <f t="shared" si="25"/>
        <v>17401</v>
      </c>
      <c r="C1579" t="s">
        <v>1204</v>
      </c>
      <c r="D1579">
        <v>5271.03</v>
      </c>
      <c r="E1579" t="s">
        <v>396</v>
      </c>
    </row>
    <row r="1580" spans="1:5" x14ac:dyDescent="0.25">
      <c r="A1580">
        <v>17401</v>
      </c>
      <c r="B1580" t="str">
        <f t="shared" si="25"/>
        <v>17401</v>
      </c>
      <c r="C1580" t="s">
        <v>1207</v>
      </c>
      <c r="D1580">
        <v>78.239999999999995</v>
      </c>
      <c r="E1580" t="s">
        <v>396</v>
      </c>
    </row>
    <row r="1581" spans="1:5" x14ac:dyDescent="0.25">
      <c r="A1581">
        <v>17401</v>
      </c>
      <c r="B1581" t="str">
        <f t="shared" si="25"/>
        <v>17401</v>
      </c>
      <c r="C1581" t="s">
        <v>1208</v>
      </c>
      <c r="D1581">
        <v>713.26</v>
      </c>
      <c r="E1581" t="s">
        <v>396</v>
      </c>
    </row>
    <row r="1582" spans="1:5" x14ac:dyDescent="0.25">
      <c r="A1582">
        <v>17401</v>
      </c>
      <c r="B1582" t="str">
        <f t="shared" si="25"/>
        <v>17401</v>
      </c>
      <c r="C1582" t="s">
        <v>1210</v>
      </c>
      <c r="D1582">
        <v>0</v>
      </c>
      <c r="E1582" t="s">
        <v>396</v>
      </c>
    </row>
    <row r="1583" spans="1:5" x14ac:dyDescent="0.25">
      <c r="A1583">
        <v>17401</v>
      </c>
      <c r="B1583" t="str">
        <f t="shared" si="25"/>
        <v>17401</v>
      </c>
      <c r="C1583" t="s">
        <v>1212</v>
      </c>
      <c r="D1583">
        <v>518.63</v>
      </c>
      <c r="E1583" t="s">
        <v>396</v>
      </c>
    </row>
    <row r="1584" spans="1:5" x14ac:dyDescent="0.25">
      <c r="A1584">
        <v>17401</v>
      </c>
      <c r="B1584" t="str">
        <f t="shared" si="25"/>
        <v>17401</v>
      </c>
      <c r="C1584" t="s">
        <v>1216</v>
      </c>
      <c r="D1584">
        <v>25.6</v>
      </c>
      <c r="E1584" t="s">
        <v>396</v>
      </c>
    </row>
    <row r="1585" spans="1:5" x14ac:dyDescent="0.25">
      <c r="A1585">
        <v>17401</v>
      </c>
      <c r="B1585" t="str">
        <f t="shared" si="25"/>
        <v>17401</v>
      </c>
      <c r="C1585" t="s">
        <v>1198</v>
      </c>
      <c r="D1585">
        <v>1206.71</v>
      </c>
      <c r="E1585" t="s">
        <v>396</v>
      </c>
    </row>
    <row r="1586" spans="1:5" x14ac:dyDescent="0.25">
      <c r="A1586" s="34" t="s">
        <v>33</v>
      </c>
      <c r="B1586" t="str">
        <f t="shared" si="25"/>
        <v>06098</v>
      </c>
      <c r="C1586" t="s">
        <v>1193</v>
      </c>
      <c r="D1586">
        <v>0</v>
      </c>
      <c r="E1586" t="s">
        <v>329</v>
      </c>
    </row>
    <row r="1587" spans="1:5" x14ac:dyDescent="0.25">
      <c r="A1587" s="34" t="s">
        <v>33</v>
      </c>
      <c r="B1587" t="str">
        <f t="shared" si="25"/>
        <v>06098</v>
      </c>
      <c r="C1587" t="s">
        <v>1194</v>
      </c>
      <c r="D1587">
        <v>423.09</v>
      </c>
      <c r="E1587" t="s">
        <v>329</v>
      </c>
    </row>
    <row r="1588" spans="1:5" x14ac:dyDescent="0.25">
      <c r="A1588" s="34" t="s">
        <v>33</v>
      </c>
      <c r="B1588" t="str">
        <f t="shared" si="25"/>
        <v>06098</v>
      </c>
      <c r="C1588" t="s">
        <v>1195</v>
      </c>
      <c r="D1588">
        <v>0</v>
      </c>
      <c r="E1588" t="s">
        <v>329</v>
      </c>
    </row>
    <row r="1589" spans="1:5" x14ac:dyDescent="0.25">
      <c r="A1589" s="34" t="s">
        <v>33</v>
      </c>
      <c r="B1589" t="str">
        <f t="shared" si="25"/>
        <v>06098</v>
      </c>
      <c r="C1589" t="s">
        <v>1197</v>
      </c>
      <c r="D1589">
        <v>155.66</v>
      </c>
      <c r="E1589" t="s">
        <v>329</v>
      </c>
    </row>
    <row r="1590" spans="1:5" x14ac:dyDescent="0.25">
      <c r="A1590" s="34" t="s">
        <v>33</v>
      </c>
      <c r="B1590" t="str">
        <f t="shared" si="25"/>
        <v>06098</v>
      </c>
      <c r="C1590" t="s">
        <v>1202</v>
      </c>
      <c r="D1590">
        <v>0</v>
      </c>
      <c r="E1590" t="s">
        <v>329</v>
      </c>
    </row>
    <row r="1591" spans="1:5" x14ac:dyDescent="0.25">
      <c r="A1591" s="34" t="s">
        <v>33</v>
      </c>
      <c r="B1591" t="str">
        <f t="shared" si="25"/>
        <v>06098</v>
      </c>
      <c r="C1591" t="s">
        <v>1206</v>
      </c>
      <c r="D1591">
        <v>296</v>
      </c>
      <c r="E1591" t="s">
        <v>329</v>
      </c>
    </row>
    <row r="1592" spans="1:5" x14ac:dyDescent="0.25">
      <c r="A1592" s="34" t="s">
        <v>33</v>
      </c>
      <c r="B1592" t="str">
        <f t="shared" si="25"/>
        <v>06098</v>
      </c>
      <c r="C1592" t="s">
        <v>1199</v>
      </c>
      <c r="D1592">
        <v>0</v>
      </c>
      <c r="E1592" t="s">
        <v>329</v>
      </c>
    </row>
    <row r="1593" spans="1:5" x14ac:dyDescent="0.25">
      <c r="A1593" s="34" t="s">
        <v>33</v>
      </c>
      <c r="B1593" t="str">
        <f t="shared" si="25"/>
        <v>06098</v>
      </c>
      <c r="C1593" t="s">
        <v>1203</v>
      </c>
      <c r="D1593">
        <v>321.42</v>
      </c>
      <c r="E1593" t="s">
        <v>329</v>
      </c>
    </row>
    <row r="1594" spans="1:5" x14ac:dyDescent="0.25">
      <c r="A1594" s="34" t="s">
        <v>33</v>
      </c>
      <c r="B1594" t="str">
        <f t="shared" si="25"/>
        <v>06098</v>
      </c>
      <c r="C1594" t="s">
        <v>1200</v>
      </c>
      <c r="D1594">
        <v>0</v>
      </c>
      <c r="E1594" t="s">
        <v>329</v>
      </c>
    </row>
    <row r="1595" spans="1:5" x14ac:dyDescent="0.25">
      <c r="A1595" s="34" t="s">
        <v>33</v>
      </c>
      <c r="B1595" t="str">
        <f t="shared" si="25"/>
        <v>06098</v>
      </c>
      <c r="C1595" t="s">
        <v>1204</v>
      </c>
      <c r="D1595">
        <v>588.01</v>
      </c>
      <c r="E1595" t="s">
        <v>329</v>
      </c>
    </row>
    <row r="1596" spans="1:5" x14ac:dyDescent="0.25">
      <c r="A1596" s="34" t="s">
        <v>33</v>
      </c>
      <c r="B1596" t="str">
        <f t="shared" si="25"/>
        <v>06098</v>
      </c>
      <c r="C1596" t="s">
        <v>1207</v>
      </c>
      <c r="D1596">
        <v>10.69</v>
      </c>
      <c r="E1596" t="s">
        <v>329</v>
      </c>
    </row>
    <row r="1597" spans="1:5" x14ac:dyDescent="0.25">
      <c r="A1597" s="34" t="s">
        <v>33</v>
      </c>
      <c r="B1597" t="str">
        <f t="shared" si="25"/>
        <v>06098</v>
      </c>
      <c r="C1597" t="s">
        <v>1208</v>
      </c>
      <c r="D1597">
        <v>78.849999999999994</v>
      </c>
      <c r="E1597" t="s">
        <v>329</v>
      </c>
    </row>
    <row r="1598" spans="1:5" x14ac:dyDescent="0.25">
      <c r="A1598" s="34" t="s">
        <v>33</v>
      </c>
      <c r="B1598" t="str">
        <f t="shared" si="25"/>
        <v>06098</v>
      </c>
      <c r="C1598" t="s">
        <v>1210</v>
      </c>
      <c r="D1598">
        <v>0</v>
      </c>
      <c r="E1598" t="s">
        <v>329</v>
      </c>
    </row>
    <row r="1599" spans="1:5" x14ac:dyDescent="0.25">
      <c r="A1599" s="34" t="s">
        <v>33</v>
      </c>
      <c r="B1599" t="str">
        <f t="shared" si="25"/>
        <v>06098</v>
      </c>
      <c r="C1599" t="s">
        <v>1212</v>
      </c>
      <c r="D1599">
        <v>0</v>
      </c>
      <c r="E1599" t="s">
        <v>329</v>
      </c>
    </row>
    <row r="1600" spans="1:5" x14ac:dyDescent="0.25">
      <c r="A1600" s="34" t="s">
        <v>33</v>
      </c>
      <c r="B1600" t="str">
        <f t="shared" si="25"/>
        <v>06098</v>
      </c>
      <c r="C1600" t="s">
        <v>1216</v>
      </c>
      <c r="D1600">
        <v>68.8</v>
      </c>
      <c r="E1600" t="s">
        <v>329</v>
      </c>
    </row>
    <row r="1601" spans="1:5" x14ac:dyDescent="0.25">
      <c r="A1601" s="34" t="s">
        <v>33</v>
      </c>
      <c r="B1601" t="str">
        <f t="shared" si="25"/>
        <v>06098</v>
      </c>
      <c r="C1601" t="s">
        <v>1198</v>
      </c>
      <c r="D1601">
        <v>133</v>
      </c>
      <c r="E1601" t="s">
        <v>329</v>
      </c>
    </row>
    <row r="1602" spans="1:5" x14ac:dyDescent="0.25">
      <c r="A1602">
        <v>23404</v>
      </c>
      <c r="B1602" t="str">
        <f t="shared" si="25"/>
        <v>23404</v>
      </c>
      <c r="C1602" t="s">
        <v>1193</v>
      </c>
      <c r="D1602">
        <v>0</v>
      </c>
      <c r="E1602" t="s">
        <v>461</v>
      </c>
    </row>
    <row r="1603" spans="1:5" x14ac:dyDescent="0.25">
      <c r="A1603">
        <v>23404</v>
      </c>
      <c r="B1603" t="str">
        <f t="shared" ref="B1603:B1666" si="26">TEXT(A1603,"00000")</f>
        <v>23404</v>
      </c>
      <c r="C1603" t="s">
        <v>1194</v>
      </c>
      <c r="D1603">
        <v>112.8</v>
      </c>
      <c r="E1603" t="s">
        <v>461</v>
      </c>
    </row>
    <row r="1604" spans="1:5" x14ac:dyDescent="0.25">
      <c r="A1604">
        <v>23404</v>
      </c>
      <c r="B1604" t="str">
        <f t="shared" si="26"/>
        <v>23404</v>
      </c>
      <c r="C1604" t="s">
        <v>1195</v>
      </c>
      <c r="D1604">
        <v>0</v>
      </c>
      <c r="E1604" t="s">
        <v>461</v>
      </c>
    </row>
    <row r="1605" spans="1:5" x14ac:dyDescent="0.25">
      <c r="A1605">
        <v>23404</v>
      </c>
      <c r="B1605" t="str">
        <f t="shared" si="26"/>
        <v>23404</v>
      </c>
      <c r="C1605" t="s">
        <v>1197</v>
      </c>
      <c r="D1605">
        <v>39.6</v>
      </c>
      <c r="E1605" t="s">
        <v>461</v>
      </c>
    </row>
    <row r="1606" spans="1:5" x14ac:dyDescent="0.25">
      <c r="A1606">
        <v>23404</v>
      </c>
      <c r="B1606" t="str">
        <f t="shared" si="26"/>
        <v>23404</v>
      </c>
      <c r="C1606" t="s">
        <v>1202</v>
      </c>
      <c r="D1606">
        <v>0</v>
      </c>
      <c r="E1606" t="s">
        <v>461</v>
      </c>
    </row>
    <row r="1607" spans="1:5" x14ac:dyDescent="0.25">
      <c r="A1607">
        <v>23404</v>
      </c>
      <c r="B1607" t="str">
        <f t="shared" si="26"/>
        <v>23404</v>
      </c>
      <c r="C1607" t="s">
        <v>1206</v>
      </c>
      <c r="D1607">
        <v>65.400000000000006</v>
      </c>
      <c r="E1607" t="s">
        <v>461</v>
      </c>
    </row>
    <row r="1608" spans="1:5" x14ac:dyDescent="0.25">
      <c r="A1608">
        <v>23404</v>
      </c>
      <c r="B1608" t="str">
        <f t="shared" si="26"/>
        <v>23404</v>
      </c>
      <c r="C1608" t="s">
        <v>1199</v>
      </c>
      <c r="D1608">
        <v>0</v>
      </c>
      <c r="E1608" t="s">
        <v>461</v>
      </c>
    </row>
    <row r="1609" spans="1:5" x14ac:dyDescent="0.25">
      <c r="A1609">
        <v>23404</v>
      </c>
      <c r="B1609" t="str">
        <f t="shared" si="26"/>
        <v>23404</v>
      </c>
      <c r="C1609" t="s">
        <v>1203</v>
      </c>
      <c r="D1609">
        <v>59.6</v>
      </c>
      <c r="E1609" t="s">
        <v>461</v>
      </c>
    </row>
    <row r="1610" spans="1:5" x14ac:dyDescent="0.25">
      <c r="A1610">
        <v>23404</v>
      </c>
      <c r="B1610" t="str">
        <f t="shared" si="26"/>
        <v>23404</v>
      </c>
      <c r="C1610" t="s">
        <v>1200</v>
      </c>
      <c r="D1610">
        <v>0</v>
      </c>
      <c r="E1610" t="s">
        <v>461</v>
      </c>
    </row>
    <row r="1611" spans="1:5" x14ac:dyDescent="0.25">
      <c r="A1611">
        <v>23404</v>
      </c>
      <c r="B1611" t="str">
        <f t="shared" si="26"/>
        <v>23404</v>
      </c>
      <c r="C1611" t="s">
        <v>1204</v>
      </c>
      <c r="D1611">
        <v>0</v>
      </c>
      <c r="E1611" t="s">
        <v>461</v>
      </c>
    </row>
    <row r="1612" spans="1:5" x14ac:dyDescent="0.25">
      <c r="A1612">
        <v>23404</v>
      </c>
      <c r="B1612" t="str">
        <f t="shared" si="26"/>
        <v>23404</v>
      </c>
      <c r="C1612" t="s">
        <v>1207</v>
      </c>
      <c r="D1612">
        <v>0</v>
      </c>
      <c r="E1612" t="s">
        <v>461</v>
      </c>
    </row>
    <row r="1613" spans="1:5" x14ac:dyDescent="0.25">
      <c r="A1613">
        <v>23404</v>
      </c>
      <c r="B1613" t="str">
        <f t="shared" si="26"/>
        <v>23404</v>
      </c>
      <c r="C1613" t="s">
        <v>1208</v>
      </c>
      <c r="D1613">
        <v>0</v>
      </c>
      <c r="E1613" t="s">
        <v>461</v>
      </c>
    </row>
    <row r="1614" spans="1:5" x14ac:dyDescent="0.25">
      <c r="A1614">
        <v>23404</v>
      </c>
      <c r="B1614" t="str">
        <f t="shared" si="26"/>
        <v>23404</v>
      </c>
      <c r="C1614" t="s">
        <v>1210</v>
      </c>
      <c r="D1614">
        <v>0</v>
      </c>
      <c r="E1614" t="s">
        <v>461</v>
      </c>
    </row>
    <row r="1615" spans="1:5" x14ac:dyDescent="0.25">
      <c r="A1615">
        <v>23404</v>
      </c>
      <c r="B1615" t="str">
        <f t="shared" si="26"/>
        <v>23404</v>
      </c>
      <c r="C1615" t="s">
        <v>1212</v>
      </c>
      <c r="D1615">
        <v>0</v>
      </c>
      <c r="E1615" t="s">
        <v>461</v>
      </c>
    </row>
    <row r="1616" spans="1:5" x14ac:dyDescent="0.25">
      <c r="A1616">
        <v>23404</v>
      </c>
      <c r="B1616" t="str">
        <f t="shared" si="26"/>
        <v>23404</v>
      </c>
      <c r="C1616" t="s">
        <v>1216</v>
      </c>
      <c r="D1616">
        <v>13.6</v>
      </c>
      <c r="E1616" t="s">
        <v>461</v>
      </c>
    </row>
    <row r="1617" spans="1:5" x14ac:dyDescent="0.25">
      <c r="A1617">
        <v>23404</v>
      </c>
      <c r="B1617" t="str">
        <f t="shared" si="26"/>
        <v>23404</v>
      </c>
      <c r="C1617" t="s">
        <v>1198</v>
      </c>
      <c r="D1617">
        <v>33.799999999999997</v>
      </c>
      <c r="E1617" t="s">
        <v>461</v>
      </c>
    </row>
    <row r="1618" spans="1:5" x14ac:dyDescent="0.25">
      <c r="A1618">
        <v>14028</v>
      </c>
      <c r="B1618" t="str">
        <f t="shared" si="26"/>
        <v>14028</v>
      </c>
      <c r="C1618" t="s">
        <v>1193</v>
      </c>
      <c r="D1618">
        <v>0</v>
      </c>
      <c r="E1618" t="s">
        <v>372</v>
      </c>
    </row>
    <row r="1619" spans="1:5" x14ac:dyDescent="0.25">
      <c r="A1619">
        <v>14028</v>
      </c>
      <c r="B1619" t="str">
        <f t="shared" si="26"/>
        <v>14028</v>
      </c>
      <c r="C1619" t="s">
        <v>1194</v>
      </c>
      <c r="D1619">
        <v>321.8</v>
      </c>
      <c r="E1619" t="s">
        <v>372</v>
      </c>
    </row>
    <row r="1620" spans="1:5" x14ac:dyDescent="0.25">
      <c r="A1620">
        <v>14028</v>
      </c>
      <c r="B1620" t="str">
        <f t="shared" si="26"/>
        <v>14028</v>
      </c>
      <c r="C1620" t="s">
        <v>1195</v>
      </c>
      <c r="D1620">
        <v>0</v>
      </c>
      <c r="E1620" t="s">
        <v>372</v>
      </c>
    </row>
    <row r="1621" spans="1:5" x14ac:dyDescent="0.25">
      <c r="A1621">
        <v>14028</v>
      </c>
      <c r="B1621" t="str">
        <f t="shared" si="26"/>
        <v>14028</v>
      </c>
      <c r="C1621" t="s">
        <v>1197</v>
      </c>
      <c r="D1621">
        <v>113.6</v>
      </c>
      <c r="E1621" t="s">
        <v>372</v>
      </c>
    </row>
    <row r="1622" spans="1:5" x14ac:dyDescent="0.25">
      <c r="A1622">
        <v>14028</v>
      </c>
      <c r="B1622" t="str">
        <f t="shared" si="26"/>
        <v>14028</v>
      </c>
      <c r="C1622" t="s">
        <v>1202</v>
      </c>
      <c r="D1622">
        <v>0</v>
      </c>
      <c r="E1622" t="s">
        <v>372</v>
      </c>
    </row>
    <row r="1623" spans="1:5" x14ac:dyDescent="0.25">
      <c r="A1623">
        <v>14028</v>
      </c>
      <c r="B1623" t="str">
        <f t="shared" si="26"/>
        <v>14028</v>
      </c>
      <c r="C1623" t="s">
        <v>1206</v>
      </c>
      <c r="D1623">
        <v>240.43</v>
      </c>
      <c r="E1623" t="s">
        <v>372</v>
      </c>
    </row>
    <row r="1624" spans="1:5" x14ac:dyDescent="0.25">
      <c r="A1624">
        <v>14028</v>
      </c>
      <c r="B1624" t="str">
        <f t="shared" si="26"/>
        <v>14028</v>
      </c>
      <c r="C1624" t="s">
        <v>1199</v>
      </c>
      <c r="D1624">
        <v>0</v>
      </c>
      <c r="E1624" t="s">
        <v>372</v>
      </c>
    </row>
    <row r="1625" spans="1:5" x14ac:dyDescent="0.25">
      <c r="A1625">
        <v>14028</v>
      </c>
      <c r="B1625" t="str">
        <f t="shared" si="26"/>
        <v>14028</v>
      </c>
      <c r="C1625" t="s">
        <v>1203</v>
      </c>
      <c r="D1625">
        <v>239.96</v>
      </c>
      <c r="E1625" t="s">
        <v>372</v>
      </c>
    </row>
    <row r="1626" spans="1:5" x14ac:dyDescent="0.25">
      <c r="A1626">
        <v>14028</v>
      </c>
      <c r="B1626" t="str">
        <f t="shared" si="26"/>
        <v>14028</v>
      </c>
      <c r="C1626" t="s">
        <v>1200</v>
      </c>
      <c r="D1626">
        <v>0</v>
      </c>
      <c r="E1626" t="s">
        <v>372</v>
      </c>
    </row>
    <row r="1627" spans="1:5" x14ac:dyDescent="0.25">
      <c r="A1627">
        <v>14028</v>
      </c>
      <c r="B1627" t="str">
        <f t="shared" si="26"/>
        <v>14028</v>
      </c>
      <c r="C1627" t="s">
        <v>1204</v>
      </c>
      <c r="D1627">
        <v>401.11</v>
      </c>
      <c r="E1627" t="s">
        <v>372</v>
      </c>
    </row>
    <row r="1628" spans="1:5" x14ac:dyDescent="0.25">
      <c r="A1628">
        <v>14028</v>
      </c>
      <c r="B1628" t="str">
        <f t="shared" si="26"/>
        <v>14028</v>
      </c>
      <c r="C1628" t="s">
        <v>1207</v>
      </c>
      <c r="D1628">
        <v>24.67</v>
      </c>
      <c r="E1628" t="s">
        <v>372</v>
      </c>
    </row>
    <row r="1629" spans="1:5" x14ac:dyDescent="0.25">
      <c r="A1629">
        <v>14028</v>
      </c>
      <c r="B1629" t="str">
        <f t="shared" si="26"/>
        <v>14028</v>
      </c>
      <c r="C1629" t="s">
        <v>1208</v>
      </c>
      <c r="D1629">
        <v>107.36</v>
      </c>
      <c r="E1629" t="s">
        <v>372</v>
      </c>
    </row>
    <row r="1630" spans="1:5" x14ac:dyDescent="0.25">
      <c r="A1630">
        <v>14028</v>
      </c>
      <c r="B1630" t="str">
        <f t="shared" si="26"/>
        <v>14028</v>
      </c>
      <c r="C1630" t="s">
        <v>1210</v>
      </c>
      <c r="D1630">
        <v>0</v>
      </c>
      <c r="E1630" t="s">
        <v>372</v>
      </c>
    </row>
    <row r="1631" spans="1:5" x14ac:dyDescent="0.25">
      <c r="A1631">
        <v>14028</v>
      </c>
      <c r="B1631" t="str">
        <f t="shared" si="26"/>
        <v>14028</v>
      </c>
      <c r="C1631" t="s">
        <v>1212</v>
      </c>
      <c r="D1631">
        <v>0</v>
      </c>
      <c r="E1631" t="s">
        <v>372</v>
      </c>
    </row>
    <row r="1632" spans="1:5" x14ac:dyDescent="0.25">
      <c r="A1632">
        <v>14028</v>
      </c>
      <c r="B1632" t="str">
        <f t="shared" si="26"/>
        <v>14028</v>
      </c>
      <c r="C1632" t="s">
        <v>1216</v>
      </c>
      <c r="D1632">
        <v>12.8</v>
      </c>
      <c r="E1632" t="s">
        <v>372</v>
      </c>
    </row>
    <row r="1633" spans="1:5" x14ac:dyDescent="0.25">
      <c r="A1633">
        <v>14028</v>
      </c>
      <c r="B1633" t="str">
        <f t="shared" si="26"/>
        <v>14028</v>
      </c>
      <c r="C1633" t="s">
        <v>1198</v>
      </c>
      <c r="D1633">
        <v>87.4</v>
      </c>
      <c r="E1633" t="s">
        <v>372</v>
      </c>
    </row>
    <row r="1634" spans="1:5" x14ac:dyDescent="0.25">
      <c r="A1634">
        <v>17919</v>
      </c>
      <c r="B1634" t="str">
        <f t="shared" si="26"/>
        <v>17919</v>
      </c>
      <c r="C1634" t="s">
        <v>1193</v>
      </c>
      <c r="D1634">
        <v>0</v>
      </c>
      <c r="E1634" t="s">
        <v>1112</v>
      </c>
    </row>
    <row r="1635" spans="1:5" x14ac:dyDescent="0.25">
      <c r="A1635">
        <v>17919</v>
      </c>
      <c r="B1635" t="str">
        <f t="shared" si="26"/>
        <v>17919</v>
      </c>
      <c r="C1635" t="s">
        <v>1194</v>
      </c>
      <c r="D1635">
        <v>128.19999999999999</v>
      </c>
      <c r="E1635" t="s">
        <v>1112</v>
      </c>
    </row>
    <row r="1636" spans="1:5" x14ac:dyDescent="0.25">
      <c r="A1636">
        <v>17919</v>
      </c>
      <c r="B1636" t="str">
        <f t="shared" si="26"/>
        <v>17919</v>
      </c>
      <c r="C1636" t="s">
        <v>1195</v>
      </c>
      <c r="D1636">
        <v>0</v>
      </c>
      <c r="E1636" t="s">
        <v>1112</v>
      </c>
    </row>
    <row r="1637" spans="1:5" x14ac:dyDescent="0.25">
      <c r="A1637">
        <v>17919</v>
      </c>
      <c r="B1637" t="str">
        <f t="shared" si="26"/>
        <v>17919</v>
      </c>
      <c r="C1637" t="s">
        <v>1197</v>
      </c>
      <c r="D1637">
        <v>0</v>
      </c>
      <c r="E1637" t="s">
        <v>1112</v>
      </c>
    </row>
    <row r="1638" spans="1:5" x14ac:dyDescent="0.25">
      <c r="A1638">
        <v>17919</v>
      </c>
      <c r="B1638" t="str">
        <f t="shared" si="26"/>
        <v>17919</v>
      </c>
      <c r="C1638" t="s">
        <v>1202</v>
      </c>
      <c r="D1638">
        <v>0</v>
      </c>
      <c r="E1638" t="s">
        <v>1112</v>
      </c>
    </row>
    <row r="1639" spans="1:5" x14ac:dyDescent="0.25">
      <c r="A1639">
        <v>17919</v>
      </c>
      <c r="B1639" t="str">
        <f t="shared" si="26"/>
        <v>17919</v>
      </c>
      <c r="C1639" t="s">
        <v>1206</v>
      </c>
      <c r="D1639">
        <v>0</v>
      </c>
      <c r="E1639" t="s">
        <v>1112</v>
      </c>
    </row>
    <row r="1640" spans="1:5" x14ac:dyDescent="0.25">
      <c r="A1640">
        <v>17919</v>
      </c>
      <c r="B1640" t="str">
        <f t="shared" si="26"/>
        <v>17919</v>
      </c>
      <c r="C1640" t="s">
        <v>1199</v>
      </c>
      <c r="D1640">
        <v>0</v>
      </c>
      <c r="E1640" t="s">
        <v>1112</v>
      </c>
    </row>
    <row r="1641" spans="1:5" x14ac:dyDescent="0.25">
      <c r="A1641">
        <v>17919</v>
      </c>
      <c r="B1641" t="str">
        <f t="shared" si="26"/>
        <v>17919</v>
      </c>
      <c r="C1641" t="s">
        <v>1203</v>
      </c>
      <c r="D1641">
        <v>0</v>
      </c>
      <c r="E1641" t="s">
        <v>1112</v>
      </c>
    </row>
    <row r="1642" spans="1:5" x14ac:dyDescent="0.25">
      <c r="A1642">
        <v>17919</v>
      </c>
      <c r="B1642" t="str">
        <f t="shared" si="26"/>
        <v>17919</v>
      </c>
      <c r="C1642" t="s">
        <v>1200</v>
      </c>
      <c r="D1642">
        <v>0</v>
      </c>
      <c r="E1642" t="s">
        <v>1112</v>
      </c>
    </row>
    <row r="1643" spans="1:5" x14ac:dyDescent="0.25">
      <c r="A1643">
        <v>17919</v>
      </c>
      <c r="B1643" t="str">
        <f t="shared" si="26"/>
        <v>17919</v>
      </c>
      <c r="C1643" t="s">
        <v>1204</v>
      </c>
      <c r="D1643">
        <v>0</v>
      </c>
      <c r="E1643" t="s">
        <v>1112</v>
      </c>
    </row>
    <row r="1644" spans="1:5" x14ac:dyDescent="0.25">
      <c r="A1644">
        <v>17919</v>
      </c>
      <c r="B1644" t="str">
        <f t="shared" si="26"/>
        <v>17919</v>
      </c>
      <c r="C1644" t="s">
        <v>1207</v>
      </c>
      <c r="D1644">
        <v>0</v>
      </c>
      <c r="E1644" t="s">
        <v>1112</v>
      </c>
    </row>
    <row r="1645" spans="1:5" x14ac:dyDescent="0.25">
      <c r="A1645">
        <v>17919</v>
      </c>
      <c r="B1645" t="str">
        <f t="shared" si="26"/>
        <v>17919</v>
      </c>
      <c r="C1645" t="s">
        <v>1208</v>
      </c>
      <c r="D1645">
        <v>0</v>
      </c>
      <c r="E1645" t="s">
        <v>1112</v>
      </c>
    </row>
    <row r="1646" spans="1:5" x14ac:dyDescent="0.25">
      <c r="A1646">
        <v>17919</v>
      </c>
      <c r="B1646" t="str">
        <f t="shared" si="26"/>
        <v>17919</v>
      </c>
      <c r="C1646" t="s">
        <v>1210</v>
      </c>
      <c r="D1646">
        <v>0</v>
      </c>
      <c r="E1646" t="s">
        <v>1112</v>
      </c>
    </row>
    <row r="1647" spans="1:5" x14ac:dyDescent="0.25">
      <c r="A1647">
        <v>17919</v>
      </c>
      <c r="B1647" t="str">
        <f t="shared" si="26"/>
        <v>17919</v>
      </c>
      <c r="C1647" t="s">
        <v>1212</v>
      </c>
      <c r="D1647">
        <v>0</v>
      </c>
      <c r="E1647" t="s">
        <v>1112</v>
      </c>
    </row>
    <row r="1648" spans="1:5" x14ac:dyDescent="0.25">
      <c r="A1648">
        <v>17919</v>
      </c>
      <c r="B1648" t="str">
        <f t="shared" si="26"/>
        <v>17919</v>
      </c>
      <c r="C1648" t="s">
        <v>1216</v>
      </c>
      <c r="D1648">
        <v>0</v>
      </c>
      <c r="E1648" t="s">
        <v>1112</v>
      </c>
    </row>
    <row r="1649" spans="1:5" x14ac:dyDescent="0.25">
      <c r="A1649">
        <v>17919</v>
      </c>
      <c r="B1649" t="str">
        <f t="shared" si="26"/>
        <v>17919</v>
      </c>
      <c r="C1649" t="s">
        <v>1198</v>
      </c>
      <c r="D1649">
        <v>80</v>
      </c>
      <c r="E1649" t="s">
        <v>1112</v>
      </c>
    </row>
    <row r="1650" spans="1:5" x14ac:dyDescent="0.25">
      <c r="A1650">
        <v>27902</v>
      </c>
      <c r="B1650" t="str">
        <f t="shared" si="26"/>
        <v>27902</v>
      </c>
      <c r="C1650" t="s">
        <v>1193</v>
      </c>
      <c r="D1650">
        <v>0</v>
      </c>
      <c r="E1650" t="s">
        <v>1110</v>
      </c>
    </row>
    <row r="1651" spans="1:5" x14ac:dyDescent="0.25">
      <c r="A1651">
        <v>27902</v>
      </c>
      <c r="B1651" t="str">
        <f t="shared" si="26"/>
        <v>27902</v>
      </c>
      <c r="C1651" t="s">
        <v>1194</v>
      </c>
      <c r="D1651">
        <v>147.80000000000001</v>
      </c>
      <c r="E1651" t="s">
        <v>1110</v>
      </c>
    </row>
    <row r="1652" spans="1:5" x14ac:dyDescent="0.25">
      <c r="A1652">
        <v>27902</v>
      </c>
      <c r="B1652" t="str">
        <f t="shared" si="26"/>
        <v>27902</v>
      </c>
      <c r="C1652" t="s">
        <v>1195</v>
      </c>
      <c r="D1652">
        <v>0</v>
      </c>
      <c r="E1652" t="s">
        <v>1110</v>
      </c>
    </row>
    <row r="1653" spans="1:5" x14ac:dyDescent="0.25">
      <c r="A1653">
        <v>27902</v>
      </c>
      <c r="B1653" t="str">
        <f t="shared" si="26"/>
        <v>27902</v>
      </c>
      <c r="C1653" t="s">
        <v>1197</v>
      </c>
      <c r="D1653">
        <v>38</v>
      </c>
      <c r="E1653" t="s">
        <v>1110</v>
      </c>
    </row>
    <row r="1654" spans="1:5" x14ac:dyDescent="0.25">
      <c r="A1654">
        <v>27902</v>
      </c>
      <c r="B1654" t="str">
        <f t="shared" si="26"/>
        <v>27902</v>
      </c>
      <c r="C1654" t="s">
        <v>1202</v>
      </c>
      <c r="D1654">
        <v>0</v>
      </c>
      <c r="E1654" t="s">
        <v>1110</v>
      </c>
    </row>
    <row r="1655" spans="1:5" x14ac:dyDescent="0.25">
      <c r="A1655">
        <v>27902</v>
      </c>
      <c r="B1655" t="str">
        <f t="shared" si="26"/>
        <v>27902</v>
      </c>
      <c r="C1655" t="s">
        <v>1206</v>
      </c>
      <c r="D1655">
        <v>0</v>
      </c>
      <c r="E1655" t="s">
        <v>1110</v>
      </c>
    </row>
    <row r="1656" spans="1:5" x14ac:dyDescent="0.25">
      <c r="A1656">
        <v>27902</v>
      </c>
      <c r="B1656" t="str">
        <f t="shared" si="26"/>
        <v>27902</v>
      </c>
      <c r="C1656" t="s">
        <v>1199</v>
      </c>
      <c r="D1656">
        <v>0</v>
      </c>
      <c r="E1656" t="s">
        <v>1110</v>
      </c>
    </row>
    <row r="1657" spans="1:5" x14ac:dyDescent="0.25">
      <c r="A1657">
        <v>27902</v>
      </c>
      <c r="B1657" t="str">
        <f t="shared" si="26"/>
        <v>27902</v>
      </c>
      <c r="C1657" t="s">
        <v>1203</v>
      </c>
      <c r="D1657">
        <v>0</v>
      </c>
      <c r="E1657" t="s">
        <v>1110</v>
      </c>
    </row>
    <row r="1658" spans="1:5" x14ac:dyDescent="0.25">
      <c r="A1658">
        <v>27902</v>
      </c>
      <c r="B1658" t="str">
        <f t="shared" si="26"/>
        <v>27902</v>
      </c>
      <c r="C1658" t="s">
        <v>1200</v>
      </c>
      <c r="D1658">
        <v>0</v>
      </c>
      <c r="E1658" t="s">
        <v>1110</v>
      </c>
    </row>
    <row r="1659" spans="1:5" x14ac:dyDescent="0.25">
      <c r="A1659">
        <v>27902</v>
      </c>
      <c r="B1659" t="str">
        <f t="shared" si="26"/>
        <v>27902</v>
      </c>
      <c r="C1659" t="s">
        <v>1204</v>
      </c>
      <c r="D1659">
        <v>0</v>
      </c>
      <c r="E1659" t="s">
        <v>1110</v>
      </c>
    </row>
    <row r="1660" spans="1:5" x14ac:dyDescent="0.25">
      <c r="A1660">
        <v>27902</v>
      </c>
      <c r="B1660" t="str">
        <f t="shared" si="26"/>
        <v>27902</v>
      </c>
      <c r="C1660" t="s">
        <v>1207</v>
      </c>
      <c r="D1660">
        <v>0</v>
      </c>
      <c r="E1660" t="s">
        <v>1110</v>
      </c>
    </row>
    <row r="1661" spans="1:5" x14ac:dyDescent="0.25">
      <c r="A1661">
        <v>27902</v>
      </c>
      <c r="B1661" t="str">
        <f t="shared" si="26"/>
        <v>27902</v>
      </c>
      <c r="C1661" t="s">
        <v>1208</v>
      </c>
      <c r="D1661">
        <v>0</v>
      </c>
      <c r="E1661" t="s">
        <v>1110</v>
      </c>
    </row>
    <row r="1662" spans="1:5" x14ac:dyDescent="0.25">
      <c r="A1662">
        <v>27902</v>
      </c>
      <c r="B1662" t="str">
        <f t="shared" si="26"/>
        <v>27902</v>
      </c>
      <c r="C1662" t="s">
        <v>1210</v>
      </c>
      <c r="D1662">
        <v>0</v>
      </c>
      <c r="E1662" t="s">
        <v>1110</v>
      </c>
    </row>
    <row r="1663" spans="1:5" x14ac:dyDescent="0.25">
      <c r="A1663">
        <v>27902</v>
      </c>
      <c r="B1663" t="str">
        <f t="shared" si="26"/>
        <v>27902</v>
      </c>
      <c r="C1663" t="s">
        <v>1212</v>
      </c>
      <c r="D1663">
        <v>0</v>
      </c>
      <c r="E1663" t="s">
        <v>1110</v>
      </c>
    </row>
    <row r="1664" spans="1:5" x14ac:dyDescent="0.25">
      <c r="A1664">
        <v>27902</v>
      </c>
      <c r="B1664" t="str">
        <f t="shared" si="26"/>
        <v>27902</v>
      </c>
      <c r="C1664" t="s">
        <v>1216</v>
      </c>
      <c r="D1664">
        <v>0</v>
      </c>
      <c r="E1664" t="s">
        <v>1110</v>
      </c>
    </row>
    <row r="1665" spans="1:5" x14ac:dyDescent="0.25">
      <c r="A1665">
        <v>27902</v>
      </c>
      <c r="B1665" t="str">
        <f t="shared" si="26"/>
        <v>27902</v>
      </c>
      <c r="C1665" t="s">
        <v>1198</v>
      </c>
      <c r="D1665">
        <v>45</v>
      </c>
      <c r="E1665" t="s">
        <v>1110</v>
      </c>
    </row>
    <row r="1666" spans="1:5" x14ac:dyDescent="0.25">
      <c r="A1666">
        <v>17911</v>
      </c>
      <c r="B1666" t="str">
        <f t="shared" si="26"/>
        <v>17911</v>
      </c>
      <c r="C1666" t="s">
        <v>1193</v>
      </c>
      <c r="D1666">
        <v>0</v>
      </c>
      <c r="E1666" t="s">
        <v>1108</v>
      </c>
    </row>
    <row r="1667" spans="1:5" x14ac:dyDescent="0.25">
      <c r="A1667">
        <v>17911</v>
      </c>
      <c r="B1667" t="str">
        <f t="shared" ref="B1667:B1730" si="27">TEXT(A1667,"00000")</f>
        <v>17911</v>
      </c>
      <c r="C1667" t="s">
        <v>1194</v>
      </c>
      <c r="D1667">
        <v>271.2</v>
      </c>
      <c r="E1667" t="s">
        <v>1108</v>
      </c>
    </row>
    <row r="1668" spans="1:5" x14ac:dyDescent="0.25">
      <c r="A1668">
        <v>17911</v>
      </c>
      <c r="B1668" t="str">
        <f t="shared" si="27"/>
        <v>17911</v>
      </c>
      <c r="C1668" t="s">
        <v>1195</v>
      </c>
      <c r="D1668">
        <v>0</v>
      </c>
      <c r="E1668" t="s">
        <v>1108</v>
      </c>
    </row>
    <row r="1669" spans="1:5" x14ac:dyDescent="0.25">
      <c r="A1669">
        <v>17911</v>
      </c>
      <c r="B1669" t="str">
        <f t="shared" si="27"/>
        <v>17911</v>
      </c>
      <c r="C1669" t="s">
        <v>1197</v>
      </c>
      <c r="D1669">
        <v>83.2</v>
      </c>
      <c r="E1669" t="s">
        <v>1108</v>
      </c>
    </row>
    <row r="1670" spans="1:5" x14ac:dyDescent="0.25">
      <c r="A1670">
        <v>17911</v>
      </c>
      <c r="B1670" t="str">
        <f t="shared" si="27"/>
        <v>17911</v>
      </c>
      <c r="C1670" t="s">
        <v>1202</v>
      </c>
      <c r="D1670">
        <v>0</v>
      </c>
      <c r="E1670" t="s">
        <v>1108</v>
      </c>
    </row>
    <row r="1671" spans="1:5" x14ac:dyDescent="0.25">
      <c r="A1671">
        <v>17911</v>
      </c>
      <c r="B1671" t="str">
        <f t="shared" si="27"/>
        <v>17911</v>
      </c>
      <c r="C1671" t="s">
        <v>1206</v>
      </c>
      <c r="D1671">
        <v>51.2</v>
      </c>
      <c r="E1671" t="s">
        <v>1108</v>
      </c>
    </row>
    <row r="1672" spans="1:5" x14ac:dyDescent="0.25">
      <c r="A1672">
        <v>17911</v>
      </c>
      <c r="B1672" t="str">
        <f t="shared" si="27"/>
        <v>17911</v>
      </c>
      <c r="C1672" t="s">
        <v>1199</v>
      </c>
      <c r="D1672">
        <v>0</v>
      </c>
      <c r="E1672" t="s">
        <v>1108</v>
      </c>
    </row>
    <row r="1673" spans="1:5" x14ac:dyDescent="0.25">
      <c r="A1673">
        <v>17911</v>
      </c>
      <c r="B1673" t="str">
        <f t="shared" si="27"/>
        <v>17911</v>
      </c>
      <c r="C1673" t="s">
        <v>1203</v>
      </c>
      <c r="D1673">
        <v>0</v>
      </c>
      <c r="E1673" t="s">
        <v>1108</v>
      </c>
    </row>
    <row r="1674" spans="1:5" x14ac:dyDescent="0.25">
      <c r="A1674">
        <v>17911</v>
      </c>
      <c r="B1674" t="str">
        <f t="shared" si="27"/>
        <v>17911</v>
      </c>
      <c r="C1674" t="s">
        <v>1200</v>
      </c>
      <c r="D1674">
        <v>0</v>
      </c>
      <c r="E1674" t="s">
        <v>1108</v>
      </c>
    </row>
    <row r="1675" spans="1:5" x14ac:dyDescent="0.25">
      <c r="A1675">
        <v>17911</v>
      </c>
      <c r="B1675" t="str">
        <f t="shared" si="27"/>
        <v>17911</v>
      </c>
      <c r="C1675" t="s">
        <v>1204</v>
      </c>
      <c r="D1675">
        <v>0</v>
      </c>
      <c r="E1675" t="s">
        <v>1108</v>
      </c>
    </row>
    <row r="1676" spans="1:5" x14ac:dyDescent="0.25">
      <c r="A1676">
        <v>17911</v>
      </c>
      <c r="B1676" t="str">
        <f t="shared" si="27"/>
        <v>17911</v>
      </c>
      <c r="C1676" t="s">
        <v>1207</v>
      </c>
      <c r="D1676">
        <v>0</v>
      </c>
      <c r="E1676" t="s">
        <v>1108</v>
      </c>
    </row>
    <row r="1677" spans="1:5" x14ac:dyDescent="0.25">
      <c r="A1677">
        <v>17911</v>
      </c>
      <c r="B1677" t="str">
        <f t="shared" si="27"/>
        <v>17911</v>
      </c>
      <c r="C1677" t="s">
        <v>1208</v>
      </c>
      <c r="D1677">
        <v>0</v>
      </c>
      <c r="E1677" t="s">
        <v>1108</v>
      </c>
    </row>
    <row r="1678" spans="1:5" x14ac:dyDescent="0.25">
      <c r="A1678">
        <v>17911</v>
      </c>
      <c r="B1678" t="str">
        <f t="shared" si="27"/>
        <v>17911</v>
      </c>
      <c r="C1678" t="s">
        <v>1210</v>
      </c>
      <c r="D1678">
        <v>0</v>
      </c>
      <c r="E1678" t="s">
        <v>1108</v>
      </c>
    </row>
    <row r="1679" spans="1:5" x14ac:dyDescent="0.25">
      <c r="A1679">
        <v>17911</v>
      </c>
      <c r="B1679" t="str">
        <f t="shared" si="27"/>
        <v>17911</v>
      </c>
      <c r="C1679" t="s">
        <v>1212</v>
      </c>
      <c r="D1679">
        <v>0</v>
      </c>
      <c r="E1679" t="s">
        <v>1108</v>
      </c>
    </row>
    <row r="1680" spans="1:5" x14ac:dyDescent="0.25">
      <c r="A1680">
        <v>17911</v>
      </c>
      <c r="B1680" t="str">
        <f t="shared" si="27"/>
        <v>17911</v>
      </c>
      <c r="C1680" t="s">
        <v>1216</v>
      </c>
      <c r="D1680">
        <v>0</v>
      </c>
      <c r="E1680" t="s">
        <v>1108</v>
      </c>
    </row>
    <row r="1681" spans="1:5" x14ac:dyDescent="0.25">
      <c r="A1681">
        <v>17911</v>
      </c>
      <c r="B1681" t="str">
        <f t="shared" si="27"/>
        <v>17911</v>
      </c>
      <c r="C1681" t="s">
        <v>1198</v>
      </c>
      <c r="D1681">
        <v>93</v>
      </c>
      <c r="E1681" t="s">
        <v>1108</v>
      </c>
    </row>
    <row r="1682" spans="1:5" x14ac:dyDescent="0.25">
      <c r="A1682">
        <v>17916</v>
      </c>
      <c r="B1682" t="str">
        <f t="shared" si="27"/>
        <v>17916</v>
      </c>
      <c r="C1682" t="s">
        <v>1193</v>
      </c>
      <c r="D1682">
        <v>0</v>
      </c>
      <c r="E1682" t="s">
        <v>1109</v>
      </c>
    </row>
    <row r="1683" spans="1:5" x14ac:dyDescent="0.25">
      <c r="A1683">
        <v>17916</v>
      </c>
      <c r="B1683" t="str">
        <f t="shared" si="27"/>
        <v>17916</v>
      </c>
      <c r="C1683" t="s">
        <v>1194</v>
      </c>
      <c r="D1683">
        <v>221.4</v>
      </c>
      <c r="E1683" t="s">
        <v>1109</v>
      </c>
    </row>
    <row r="1684" spans="1:5" x14ac:dyDescent="0.25">
      <c r="A1684">
        <v>17916</v>
      </c>
      <c r="B1684" t="str">
        <f t="shared" si="27"/>
        <v>17916</v>
      </c>
      <c r="C1684" t="s">
        <v>1195</v>
      </c>
      <c r="D1684">
        <v>0</v>
      </c>
      <c r="E1684" t="s">
        <v>1109</v>
      </c>
    </row>
    <row r="1685" spans="1:5" x14ac:dyDescent="0.25">
      <c r="A1685">
        <v>17916</v>
      </c>
      <c r="B1685" t="str">
        <f t="shared" si="27"/>
        <v>17916</v>
      </c>
      <c r="C1685" t="s">
        <v>1197</v>
      </c>
      <c r="D1685">
        <v>53.2</v>
      </c>
      <c r="E1685" t="s">
        <v>1109</v>
      </c>
    </row>
    <row r="1686" spans="1:5" x14ac:dyDescent="0.25">
      <c r="A1686">
        <v>17916</v>
      </c>
      <c r="B1686" t="str">
        <f t="shared" si="27"/>
        <v>17916</v>
      </c>
      <c r="C1686" t="s">
        <v>1202</v>
      </c>
      <c r="D1686">
        <v>0</v>
      </c>
      <c r="E1686" t="s">
        <v>1109</v>
      </c>
    </row>
    <row r="1687" spans="1:5" x14ac:dyDescent="0.25">
      <c r="A1687">
        <v>17916</v>
      </c>
      <c r="B1687" t="str">
        <f t="shared" si="27"/>
        <v>17916</v>
      </c>
      <c r="C1687" t="s">
        <v>1206</v>
      </c>
      <c r="D1687">
        <v>29.4</v>
      </c>
      <c r="E1687" t="s">
        <v>1109</v>
      </c>
    </row>
    <row r="1688" spans="1:5" x14ac:dyDescent="0.25">
      <c r="A1688">
        <v>17916</v>
      </c>
      <c r="B1688" t="str">
        <f t="shared" si="27"/>
        <v>17916</v>
      </c>
      <c r="C1688" t="s">
        <v>1199</v>
      </c>
      <c r="D1688">
        <v>0</v>
      </c>
      <c r="E1688" t="s">
        <v>1109</v>
      </c>
    </row>
    <row r="1689" spans="1:5" x14ac:dyDescent="0.25">
      <c r="A1689">
        <v>17916</v>
      </c>
      <c r="B1689" t="str">
        <f t="shared" si="27"/>
        <v>17916</v>
      </c>
      <c r="C1689" t="s">
        <v>1203</v>
      </c>
      <c r="D1689">
        <v>0</v>
      </c>
      <c r="E1689" t="s">
        <v>1109</v>
      </c>
    </row>
    <row r="1690" spans="1:5" x14ac:dyDescent="0.25">
      <c r="A1690">
        <v>17916</v>
      </c>
      <c r="B1690" t="str">
        <f t="shared" si="27"/>
        <v>17916</v>
      </c>
      <c r="C1690" t="s">
        <v>1200</v>
      </c>
      <c r="D1690">
        <v>0</v>
      </c>
      <c r="E1690" t="s">
        <v>1109</v>
      </c>
    </row>
    <row r="1691" spans="1:5" x14ac:dyDescent="0.25">
      <c r="A1691">
        <v>17916</v>
      </c>
      <c r="B1691" t="str">
        <f t="shared" si="27"/>
        <v>17916</v>
      </c>
      <c r="C1691" t="s">
        <v>1204</v>
      </c>
      <c r="D1691">
        <v>0</v>
      </c>
      <c r="E1691" t="s">
        <v>1109</v>
      </c>
    </row>
    <row r="1692" spans="1:5" x14ac:dyDescent="0.25">
      <c r="A1692">
        <v>17916</v>
      </c>
      <c r="B1692" t="str">
        <f t="shared" si="27"/>
        <v>17916</v>
      </c>
      <c r="C1692" t="s">
        <v>1207</v>
      </c>
      <c r="D1692">
        <v>0</v>
      </c>
      <c r="E1692" t="s">
        <v>1109</v>
      </c>
    </row>
    <row r="1693" spans="1:5" x14ac:dyDescent="0.25">
      <c r="A1693">
        <v>17916</v>
      </c>
      <c r="B1693" t="str">
        <f t="shared" si="27"/>
        <v>17916</v>
      </c>
      <c r="C1693" t="s">
        <v>1208</v>
      </c>
      <c r="D1693">
        <v>0</v>
      </c>
      <c r="E1693" t="s">
        <v>1109</v>
      </c>
    </row>
    <row r="1694" spans="1:5" x14ac:dyDescent="0.25">
      <c r="A1694">
        <v>17916</v>
      </c>
      <c r="B1694" t="str">
        <f t="shared" si="27"/>
        <v>17916</v>
      </c>
      <c r="C1694" t="s">
        <v>1210</v>
      </c>
      <c r="D1694">
        <v>0</v>
      </c>
      <c r="E1694" t="s">
        <v>1109</v>
      </c>
    </row>
    <row r="1695" spans="1:5" x14ac:dyDescent="0.25">
      <c r="A1695">
        <v>17916</v>
      </c>
      <c r="B1695" t="str">
        <f t="shared" si="27"/>
        <v>17916</v>
      </c>
      <c r="C1695" t="s">
        <v>1212</v>
      </c>
      <c r="D1695">
        <v>0</v>
      </c>
      <c r="E1695" t="s">
        <v>1109</v>
      </c>
    </row>
    <row r="1696" spans="1:5" x14ac:dyDescent="0.25">
      <c r="A1696">
        <v>17916</v>
      </c>
      <c r="B1696" t="str">
        <f t="shared" si="27"/>
        <v>17916</v>
      </c>
      <c r="C1696" t="s">
        <v>1216</v>
      </c>
      <c r="D1696">
        <v>0</v>
      </c>
      <c r="E1696" t="s">
        <v>1109</v>
      </c>
    </row>
    <row r="1697" spans="1:5" x14ac:dyDescent="0.25">
      <c r="A1697">
        <v>17916</v>
      </c>
      <c r="B1697" t="str">
        <f t="shared" si="27"/>
        <v>17916</v>
      </c>
      <c r="C1697" t="s">
        <v>1198</v>
      </c>
      <c r="D1697">
        <v>85</v>
      </c>
      <c r="E1697" t="s">
        <v>1109</v>
      </c>
    </row>
    <row r="1698" spans="1:5" x14ac:dyDescent="0.25">
      <c r="A1698">
        <v>10070</v>
      </c>
      <c r="B1698" t="str">
        <f t="shared" si="27"/>
        <v>10070</v>
      </c>
      <c r="C1698" t="s">
        <v>1193</v>
      </c>
      <c r="D1698">
        <v>0</v>
      </c>
      <c r="E1698" t="s">
        <v>354</v>
      </c>
    </row>
    <row r="1699" spans="1:5" x14ac:dyDescent="0.25">
      <c r="A1699">
        <v>10070</v>
      </c>
      <c r="B1699" t="str">
        <f t="shared" si="27"/>
        <v>10070</v>
      </c>
      <c r="C1699" t="s">
        <v>1194</v>
      </c>
      <c r="D1699">
        <v>39.6</v>
      </c>
      <c r="E1699" t="s">
        <v>354</v>
      </c>
    </row>
    <row r="1700" spans="1:5" x14ac:dyDescent="0.25">
      <c r="A1700">
        <v>10070</v>
      </c>
      <c r="B1700" t="str">
        <f t="shared" si="27"/>
        <v>10070</v>
      </c>
      <c r="C1700" t="s">
        <v>1195</v>
      </c>
      <c r="D1700">
        <v>0</v>
      </c>
      <c r="E1700" t="s">
        <v>354</v>
      </c>
    </row>
    <row r="1701" spans="1:5" x14ac:dyDescent="0.25">
      <c r="A1701">
        <v>10070</v>
      </c>
      <c r="B1701" t="str">
        <f t="shared" si="27"/>
        <v>10070</v>
      </c>
      <c r="C1701" t="s">
        <v>1197</v>
      </c>
      <c r="D1701">
        <v>13</v>
      </c>
      <c r="E1701" t="s">
        <v>354</v>
      </c>
    </row>
    <row r="1702" spans="1:5" x14ac:dyDescent="0.25">
      <c r="A1702">
        <v>10070</v>
      </c>
      <c r="B1702" t="str">
        <f t="shared" si="27"/>
        <v>10070</v>
      </c>
      <c r="C1702" t="s">
        <v>1202</v>
      </c>
      <c r="D1702">
        <v>0</v>
      </c>
      <c r="E1702" t="s">
        <v>354</v>
      </c>
    </row>
    <row r="1703" spans="1:5" x14ac:dyDescent="0.25">
      <c r="A1703">
        <v>10070</v>
      </c>
      <c r="B1703" t="str">
        <f t="shared" si="27"/>
        <v>10070</v>
      </c>
      <c r="C1703" t="s">
        <v>1206</v>
      </c>
      <c r="D1703">
        <v>28</v>
      </c>
      <c r="E1703" t="s">
        <v>354</v>
      </c>
    </row>
    <row r="1704" spans="1:5" x14ac:dyDescent="0.25">
      <c r="A1704">
        <v>10070</v>
      </c>
      <c r="B1704" t="str">
        <f t="shared" si="27"/>
        <v>10070</v>
      </c>
      <c r="C1704" t="s">
        <v>1199</v>
      </c>
      <c r="D1704">
        <v>0</v>
      </c>
      <c r="E1704" t="s">
        <v>354</v>
      </c>
    </row>
    <row r="1705" spans="1:5" x14ac:dyDescent="0.25">
      <c r="A1705">
        <v>10070</v>
      </c>
      <c r="B1705" t="str">
        <f t="shared" si="27"/>
        <v>10070</v>
      </c>
      <c r="C1705" t="s">
        <v>1203</v>
      </c>
      <c r="D1705">
        <v>32.4</v>
      </c>
      <c r="E1705" t="s">
        <v>354</v>
      </c>
    </row>
    <row r="1706" spans="1:5" x14ac:dyDescent="0.25">
      <c r="A1706">
        <v>10070</v>
      </c>
      <c r="B1706" t="str">
        <f t="shared" si="27"/>
        <v>10070</v>
      </c>
      <c r="C1706" t="s">
        <v>1200</v>
      </c>
      <c r="D1706">
        <v>0</v>
      </c>
      <c r="E1706" t="s">
        <v>354</v>
      </c>
    </row>
    <row r="1707" spans="1:5" x14ac:dyDescent="0.25">
      <c r="A1707">
        <v>10070</v>
      </c>
      <c r="B1707" t="str">
        <f t="shared" si="27"/>
        <v>10070</v>
      </c>
      <c r="C1707" t="s">
        <v>1204</v>
      </c>
      <c r="D1707">
        <v>51.05</v>
      </c>
      <c r="E1707" t="s">
        <v>354</v>
      </c>
    </row>
    <row r="1708" spans="1:5" x14ac:dyDescent="0.25">
      <c r="A1708">
        <v>10070</v>
      </c>
      <c r="B1708" t="str">
        <f t="shared" si="27"/>
        <v>10070</v>
      </c>
      <c r="C1708" t="s">
        <v>1207</v>
      </c>
      <c r="D1708">
        <v>2.94</v>
      </c>
      <c r="E1708" t="s">
        <v>354</v>
      </c>
    </row>
    <row r="1709" spans="1:5" x14ac:dyDescent="0.25">
      <c r="A1709">
        <v>10070</v>
      </c>
      <c r="B1709" t="str">
        <f t="shared" si="27"/>
        <v>10070</v>
      </c>
      <c r="C1709" t="s">
        <v>1208</v>
      </c>
      <c r="D1709">
        <v>6.14</v>
      </c>
      <c r="E1709" t="s">
        <v>354</v>
      </c>
    </row>
    <row r="1710" spans="1:5" x14ac:dyDescent="0.25">
      <c r="A1710">
        <v>10070</v>
      </c>
      <c r="B1710" t="str">
        <f t="shared" si="27"/>
        <v>10070</v>
      </c>
      <c r="C1710" t="s">
        <v>1210</v>
      </c>
      <c r="D1710">
        <v>0</v>
      </c>
      <c r="E1710" t="s">
        <v>354</v>
      </c>
    </row>
    <row r="1711" spans="1:5" x14ac:dyDescent="0.25">
      <c r="A1711">
        <v>10070</v>
      </c>
      <c r="B1711" t="str">
        <f t="shared" si="27"/>
        <v>10070</v>
      </c>
      <c r="C1711" t="s">
        <v>1212</v>
      </c>
      <c r="D1711">
        <v>0</v>
      </c>
      <c r="E1711" t="s">
        <v>354</v>
      </c>
    </row>
    <row r="1712" spans="1:5" x14ac:dyDescent="0.25">
      <c r="A1712">
        <v>10070</v>
      </c>
      <c r="B1712" t="str">
        <f t="shared" si="27"/>
        <v>10070</v>
      </c>
      <c r="C1712" t="s">
        <v>1216</v>
      </c>
      <c r="D1712">
        <v>0</v>
      </c>
      <c r="E1712" t="s">
        <v>354</v>
      </c>
    </row>
    <row r="1713" spans="1:5" x14ac:dyDescent="0.25">
      <c r="A1713">
        <v>10070</v>
      </c>
      <c r="B1713" t="str">
        <f t="shared" si="27"/>
        <v>10070</v>
      </c>
      <c r="C1713" t="s">
        <v>1198</v>
      </c>
      <c r="D1713">
        <v>12.6</v>
      </c>
      <c r="E1713" t="s">
        <v>354</v>
      </c>
    </row>
    <row r="1714" spans="1:5" x14ac:dyDescent="0.25">
      <c r="A1714">
        <v>31063</v>
      </c>
      <c r="B1714" t="str">
        <f t="shared" si="27"/>
        <v>31063</v>
      </c>
      <c r="C1714" t="s">
        <v>1193</v>
      </c>
      <c r="D1714">
        <v>0</v>
      </c>
      <c r="E1714" t="s">
        <v>514</v>
      </c>
    </row>
    <row r="1715" spans="1:5" x14ac:dyDescent="0.25">
      <c r="A1715">
        <v>31063</v>
      </c>
      <c r="B1715" t="str">
        <f t="shared" si="27"/>
        <v>31063</v>
      </c>
      <c r="C1715" t="s">
        <v>1194</v>
      </c>
      <c r="D1715">
        <v>14.8</v>
      </c>
      <c r="E1715" t="s">
        <v>514</v>
      </c>
    </row>
    <row r="1716" spans="1:5" x14ac:dyDescent="0.25">
      <c r="A1716">
        <v>31063</v>
      </c>
      <c r="B1716" t="str">
        <f t="shared" si="27"/>
        <v>31063</v>
      </c>
      <c r="C1716" t="s">
        <v>1195</v>
      </c>
      <c r="D1716">
        <v>0</v>
      </c>
      <c r="E1716" t="s">
        <v>514</v>
      </c>
    </row>
    <row r="1717" spans="1:5" x14ac:dyDescent="0.25">
      <c r="A1717">
        <v>31063</v>
      </c>
      <c r="B1717" t="str">
        <f t="shared" si="27"/>
        <v>31063</v>
      </c>
      <c r="C1717" t="s">
        <v>1197</v>
      </c>
      <c r="D1717">
        <v>5</v>
      </c>
      <c r="E1717" t="s">
        <v>514</v>
      </c>
    </row>
    <row r="1718" spans="1:5" x14ac:dyDescent="0.25">
      <c r="A1718">
        <v>31063</v>
      </c>
      <c r="B1718" t="str">
        <f t="shared" si="27"/>
        <v>31063</v>
      </c>
      <c r="C1718" t="s">
        <v>1202</v>
      </c>
      <c r="D1718">
        <v>0</v>
      </c>
      <c r="E1718" t="s">
        <v>514</v>
      </c>
    </row>
    <row r="1719" spans="1:5" x14ac:dyDescent="0.25">
      <c r="A1719">
        <v>31063</v>
      </c>
      <c r="B1719" t="str">
        <f t="shared" si="27"/>
        <v>31063</v>
      </c>
      <c r="C1719" t="s">
        <v>1206</v>
      </c>
      <c r="D1719">
        <v>7.08</v>
      </c>
      <c r="E1719" t="s">
        <v>514</v>
      </c>
    </row>
    <row r="1720" spans="1:5" x14ac:dyDescent="0.25">
      <c r="A1720">
        <v>31063</v>
      </c>
      <c r="B1720" t="str">
        <f t="shared" si="27"/>
        <v>31063</v>
      </c>
      <c r="C1720" t="s">
        <v>1199</v>
      </c>
      <c r="D1720">
        <v>0</v>
      </c>
      <c r="E1720" t="s">
        <v>514</v>
      </c>
    </row>
    <row r="1721" spans="1:5" x14ac:dyDescent="0.25">
      <c r="A1721">
        <v>31063</v>
      </c>
      <c r="B1721" t="str">
        <f t="shared" si="27"/>
        <v>31063</v>
      </c>
      <c r="C1721" t="s">
        <v>1203</v>
      </c>
      <c r="D1721">
        <v>3</v>
      </c>
      <c r="E1721" t="s">
        <v>514</v>
      </c>
    </row>
    <row r="1722" spans="1:5" x14ac:dyDescent="0.25">
      <c r="A1722">
        <v>31063</v>
      </c>
      <c r="B1722" t="str">
        <f t="shared" si="27"/>
        <v>31063</v>
      </c>
      <c r="C1722" t="s">
        <v>1200</v>
      </c>
      <c r="D1722">
        <v>0</v>
      </c>
      <c r="E1722" t="s">
        <v>514</v>
      </c>
    </row>
    <row r="1723" spans="1:5" x14ac:dyDescent="0.25">
      <c r="A1723">
        <v>31063</v>
      </c>
      <c r="B1723" t="str">
        <f t="shared" si="27"/>
        <v>31063</v>
      </c>
      <c r="C1723" t="s">
        <v>1204</v>
      </c>
      <c r="D1723">
        <v>0</v>
      </c>
      <c r="E1723" t="s">
        <v>514</v>
      </c>
    </row>
    <row r="1724" spans="1:5" x14ac:dyDescent="0.25">
      <c r="A1724">
        <v>31063</v>
      </c>
      <c r="B1724" t="str">
        <f t="shared" si="27"/>
        <v>31063</v>
      </c>
      <c r="C1724" t="s">
        <v>1207</v>
      </c>
      <c r="D1724">
        <v>0</v>
      </c>
      <c r="E1724" t="s">
        <v>514</v>
      </c>
    </row>
    <row r="1725" spans="1:5" x14ac:dyDescent="0.25">
      <c r="A1725">
        <v>31063</v>
      </c>
      <c r="B1725" t="str">
        <f t="shared" si="27"/>
        <v>31063</v>
      </c>
      <c r="C1725" t="s">
        <v>1208</v>
      </c>
      <c r="D1725">
        <v>0</v>
      </c>
      <c r="E1725" t="s">
        <v>514</v>
      </c>
    </row>
    <row r="1726" spans="1:5" x14ac:dyDescent="0.25">
      <c r="A1726">
        <v>31063</v>
      </c>
      <c r="B1726" t="str">
        <f t="shared" si="27"/>
        <v>31063</v>
      </c>
      <c r="C1726" t="s">
        <v>1210</v>
      </c>
      <c r="D1726">
        <v>0</v>
      </c>
      <c r="E1726" t="s">
        <v>514</v>
      </c>
    </row>
    <row r="1727" spans="1:5" x14ac:dyDescent="0.25">
      <c r="A1727">
        <v>31063</v>
      </c>
      <c r="B1727" t="str">
        <f t="shared" si="27"/>
        <v>31063</v>
      </c>
      <c r="C1727" t="s">
        <v>1212</v>
      </c>
      <c r="D1727">
        <v>0</v>
      </c>
      <c r="E1727" t="s">
        <v>514</v>
      </c>
    </row>
    <row r="1728" spans="1:5" x14ac:dyDescent="0.25">
      <c r="A1728">
        <v>31063</v>
      </c>
      <c r="B1728" t="str">
        <f t="shared" si="27"/>
        <v>31063</v>
      </c>
      <c r="C1728" t="s">
        <v>1216</v>
      </c>
      <c r="D1728">
        <v>0</v>
      </c>
      <c r="E1728" t="s">
        <v>514</v>
      </c>
    </row>
    <row r="1729" spans="1:5" x14ac:dyDescent="0.25">
      <c r="A1729">
        <v>31063</v>
      </c>
      <c r="B1729" t="str">
        <f t="shared" si="27"/>
        <v>31063</v>
      </c>
      <c r="C1729" t="s">
        <v>1198</v>
      </c>
      <c r="D1729">
        <v>4.3</v>
      </c>
      <c r="E1729" t="s">
        <v>514</v>
      </c>
    </row>
    <row r="1730" spans="1:5" x14ac:dyDescent="0.25">
      <c r="A1730">
        <v>32907</v>
      </c>
      <c r="B1730" t="str">
        <f t="shared" si="27"/>
        <v>32907</v>
      </c>
      <c r="C1730" t="s">
        <v>1193</v>
      </c>
      <c r="D1730">
        <v>0</v>
      </c>
      <c r="E1730" t="s">
        <v>1636</v>
      </c>
    </row>
    <row r="1731" spans="1:5" x14ac:dyDescent="0.25">
      <c r="A1731">
        <v>32907</v>
      </c>
      <c r="B1731" t="str">
        <f t="shared" ref="B1731:B1794" si="28">TEXT(A1731,"00000")</f>
        <v>32907</v>
      </c>
      <c r="C1731" t="s">
        <v>1194</v>
      </c>
      <c r="D1731">
        <v>0</v>
      </c>
      <c r="E1731" t="s">
        <v>1636</v>
      </c>
    </row>
    <row r="1732" spans="1:5" x14ac:dyDescent="0.25">
      <c r="A1732">
        <v>32907</v>
      </c>
      <c r="B1732" t="str">
        <f t="shared" si="28"/>
        <v>32907</v>
      </c>
      <c r="C1732" t="s">
        <v>1195</v>
      </c>
      <c r="D1732">
        <v>0</v>
      </c>
      <c r="E1732" t="s">
        <v>1636</v>
      </c>
    </row>
    <row r="1733" spans="1:5" x14ac:dyDescent="0.25">
      <c r="A1733">
        <v>32907</v>
      </c>
      <c r="B1733" t="str">
        <f t="shared" si="28"/>
        <v>32907</v>
      </c>
      <c r="C1733" t="s">
        <v>1197</v>
      </c>
      <c r="D1733">
        <v>0</v>
      </c>
      <c r="E1733" t="s">
        <v>1636</v>
      </c>
    </row>
    <row r="1734" spans="1:5" x14ac:dyDescent="0.25">
      <c r="A1734">
        <v>32907</v>
      </c>
      <c r="B1734" t="str">
        <f t="shared" si="28"/>
        <v>32907</v>
      </c>
      <c r="C1734" t="s">
        <v>1202</v>
      </c>
      <c r="D1734">
        <v>0</v>
      </c>
      <c r="E1734" t="s">
        <v>1636</v>
      </c>
    </row>
    <row r="1735" spans="1:5" x14ac:dyDescent="0.25">
      <c r="A1735">
        <v>32907</v>
      </c>
      <c r="B1735" t="str">
        <f t="shared" si="28"/>
        <v>32907</v>
      </c>
      <c r="C1735" t="s">
        <v>1206</v>
      </c>
      <c r="D1735">
        <v>0</v>
      </c>
      <c r="E1735" t="s">
        <v>1636</v>
      </c>
    </row>
    <row r="1736" spans="1:5" x14ac:dyDescent="0.25">
      <c r="A1736">
        <v>32907</v>
      </c>
      <c r="B1736" t="str">
        <f t="shared" si="28"/>
        <v>32907</v>
      </c>
      <c r="C1736" t="s">
        <v>1199</v>
      </c>
      <c r="D1736">
        <v>0</v>
      </c>
      <c r="E1736" t="s">
        <v>1636</v>
      </c>
    </row>
    <row r="1737" spans="1:5" x14ac:dyDescent="0.25">
      <c r="A1737">
        <v>32907</v>
      </c>
      <c r="B1737" t="str">
        <f t="shared" si="28"/>
        <v>32907</v>
      </c>
      <c r="C1737" t="s">
        <v>1203</v>
      </c>
      <c r="D1737">
        <v>0</v>
      </c>
      <c r="E1737" t="s">
        <v>1636</v>
      </c>
    </row>
    <row r="1738" spans="1:5" x14ac:dyDescent="0.25">
      <c r="A1738">
        <v>32907</v>
      </c>
      <c r="B1738" t="str">
        <f t="shared" si="28"/>
        <v>32907</v>
      </c>
      <c r="C1738" t="s">
        <v>1200</v>
      </c>
      <c r="D1738">
        <v>0</v>
      </c>
      <c r="E1738" t="s">
        <v>1636</v>
      </c>
    </row>
    <row r="1739" spans="1:5" x14ac:dyDescent="0.25">
      <c r="A1739">
        <v>32907</v>
      </c>
      <c r="B1739" t="str">
        <f t="shared" si="28"/>
        <v>32907</v>
      </c>
      <c r="C1739" t="s">
        <v>1204</v>
      </c>
      <c r="D1739">
        <v>226.95</v>
      </c>
      <c r="E1739" t="s">
        <v>1636</v>
      </c>
    </row>
    <row r="1740" spans="1:5" x14ac:dyDescent="0.25">
      <c r="A1740">
        <v>32907</v>
      </c>
      <c r="B1740" t="str">
        <f t="shared" si="28"/>
        <v>32907</v>
      </c>
      <c r="C1740" t="s">
        <v>1207</v>
      </c>
      <c r="D1740">
        <v>0</v>
      </c>
      <c r="E1740" t="s">
        <v>1636</v>
      </c>
    </row>
    <row r="1741" spans="1:5" x14ac:dyDescent="0.25">
      <c r="A1741">
        <v>32907</v>
      </c>
      <c r="B1741" t="str">
        <f t="shared" si="28"/>
        <v>32907</v>
      </c>
      <c r="C1741" t="s">
        <v>1208</v>
      </c>
      <c r="D1741">
        <v>17.96</v>
      </c>
      <c r="E1741" t="s">
        <v>1636</v>
      </c>
    </row>
    <row r="1742" spans="1:5" x14ac:dyDescent="0.25">
      <c r="A1742">
        <v>32907</v>
      </c>
      <c r="B1742" t="str">
        <f t="shared" si="28"/>
        <v>32907</v>
      </c>
      <c r="C1742" t="s">
        <v>1210</v>
      </c>
      <c r="D1742">
        <v>0</v>
      </c>
      <c r="E1742" t="s">
        <v>1636</v>
      </c>
    </row>
    <row r="1743" spans="1:5" x14ac:dyDescent="0.25">
      <c r="A1743">
        <v>32907</v>
      </c>
      <c r="B1743" t="str">
        <f t="shared" si="28"/>
        <v>32907</v>
      </c>
      <c r="C1743" t="s">
        <v>1212</v>
      </c>
      <c r="D1743">
        <v>0</v>
      </c>
      <c r="E1743" t="s">
        <v>1636</v>
      </c>
    </row>
    <row r="1744" spans="1:5" x14ac:dyDescent="0.25">
      <c r="A1744">
        <v>32907</v>
      </c>
      <c r="B1744" t="str">
        <f t="shared" si="28"/>
        <v>32907</v>
      </c>
      <c r="C1744" t="s">
        <v>1216</v>
      </c>
      <c r="D1744">
        <v>0</v>
      </c>
      <c r="E1744" t="s">
        <v>1636</v>
      </c>
    </row>
    <row r="1745" spans="1:5" x14ac:dyDescent="0.25">
      <c r="A1745">
        <v>32907</v>
      </c>
      <c r="B1745" t="str">
        <f t="shared" si="28"/>
        <v>32907</v>
      </c>
      <c r="C1745" t="s">
        <v>1198</v>
      </c>
      <c r="D1745">
        <v>0</v>
      </c>
      <c r="E1745" t="s">
        <v>1636</v>
      </c>
    </row>
    <row r="1746" spans="1:5" x14ac:dyDescent="0.25">
      <c r="A1746">
        <v>17411</v>
      </c>
      <c r="B1746" t="str">
        <f t="shared" si="28"/>
        <v>17411</v>
      </c>
      <c r="C1746" t="s">
        <v>1193</v>
      </c>
      <c r="D1746">
        <v>0</v>
      </c>
      <c r="E1746" t="s">
        <v>406</v>
      </c>
    </row>
    <row r="1747" spans="1:5" x14ac:dyDescent="0.25">
      <c r="A1747">
        <v>17411</v>
      </c>
      <c r="B1747" t="str">
        <f t="shared" si="28"/>
        <v>17411</v>
      </c>
      <c r="C1747" t="s">
        <v>1194</v>
      </c>
      <c r="D1747">
        <v>3930.62</v>
      </c>
      <c r="E1747" t="s">
        <v>406</v>
      </c>
    </row>
    <row r="1748" spans="1:5" x14ac:dyDescent="0.25">
      <c r="A1748">
        <v>17411</v>
      </c>
      <c r="B1748" t="str">
        <f t="shared" si="28"/>
        <v>17411</v>
      </c>
      <c r="C1748" t="s">
        <v>1195</v>
      </c>
      <c r="D1748">
        <v>0</v>
      </c>
      <c r="E1748" t="s">
        <v>406</v>
      </c>
    </row>
    <row r="1749" spans="1:5" x14ac:dyDescent="0.25">
      <c r="A1749">
        <v>17411</v>
      </c>
      <c r="B1749" t="str">
        <f t="shared" si="28"/>
        <v>17411</v>
      </c>
      <c r="C1749" t="s">
        <v>1197</v>
      </c>
      <c r="D1749">
        <v>1359.42</v>
      </c>
      <c r="E1749" t="s">
        <v>406</v>
      </c>
    </row>
    <row r="1750" spans="1:5" x14ac:dyDescent="0.25">
      <c r="A1750">
        <v>17411</v>
      </c>
      <c r="B1750" t="str">
        <f t="shared" si="28"/>
        <v>17411</v>
      </c>
      <c r="C1750" t="s">
        <v>1202</v>
      </c>
      <c r="D1750">
        <v>0</v>
      </c>
      <c r="E1750" t="s">
        <v>406</v>
      </c>
    </row>
    <row r="1751" spans="1:5" x14ac:dyDescent="0.25">
      <c r="A1751">
        <v>17411</v>
      </c>
      <c r="B1751" t="str">
        <f t="shared" si="28"/>
        <v>17411</v>
      </c>
      <c r="C1751" t="s">
        <v>1206</v>
      </c>
      <c r="D1751">
        <v>2859.21</v>
      </c>
      <c r="E1751" t="s">
        <v>406</v>
      </c>
    </row>
    <row r="1752" spans="1:5" x14ac:dyDescent="0.25">
      <c r="A1752">
        <v>17411</v>
      </c>
      <c r="B1752" t="str">
        <f t="shared" si="28"/>
        <v>17411</v>
      </c>
      <c r="C1752" t="s">
        <v>1199</v>
      </c>
      <c r="D1752">
        <v>0</v>
      </c>
      <c r="E1752" t="s">
        <v>406</v>
      </c>
    </row>
    <row r="1753" spans="1:5" x14ac:dyDescent="0.25">
      <c r="A1753">
        <v>17411</v>
      </c>
      <c r="B1753" t="str">
        <f t="shared" si="28"/>
        <v>17411</v>
      </c>
      <c r="C1753" t="s">
        <v>1203</v>
      </c>
      <c r="D1753">
        <v>3035.95</v>
      </c>
      <c r="E1753" t="s">
        <v>406</v>
      </c>
    </row>
    <row r="1754" spans="1:5" x14ac:dyDescent="0.25">
      <c r="A1754">
        <v>17411</v>
      </c>
      <c r="B1754" t="str">
        <f t="shared" si="28"/>
        <v>17411</v>
      </c>
      <c r="C1754" t="s">
        <v>1200</v>
      </c>
      <c r="D1754">
        <v>0</v>
      </c>
      <c r="E1754" t="s">
        <v>406</v>
      </c>
    </row>
    <row r="1755" spans="1:5" x14ac:dyDescent="0.25">
      <c r="A1755">
        <v>17411</v>
      </c>
      <c r="B1755" t="str">
        <f t="shared" si="28"/>
        <v>17411</v>
      </c>
      <c r="C1755" t="s">
        <v>1204</v>
      </c>
      <c r="D1755">
        <v>5620.36</v>
      </c>
      <c r="E1755" t="s">
        <v>406</v>
      </c>
    </row>
    <row r="1756" spans="1:5" x14ac:dyDescent="0.25">
      <c r="A1756">
        <v>17411</v>
      </c>
      <c r="B1756" t="str">
        <f t="shared" si="28"/>
        <v>17411</v>
      </c>
      <c r="C1756" t="s">
        <v>1207</v>
      </c>
      <c r="D1756">
        <v>50.13</v>
      </c>
      <c r="E1756" t="s">
        <v>406</v>
      </c>
    </row>
    <row r="1757" spans="1:5" x14ac:dyDescent="0.25">
      <c r="A1757">
        <v>17411</v>
      </c>
      <c r="B1757" t="str">
        <f t="shared" si="28"/>
        <v>17411</v>
      </c>
      <c r="C1757" t="s">
        <v>1208</v>
      </c>
      <c r="D1757">
        <v>1035.81</v>
      </c>
      <c r="E1757" t="s">
        <v>406</v>
      </c>
    </row>
    <row r="1758" spans="1:5" x14ac:dyDescent="0.25">
      <c r="A1758">
        <v>17411</v>
      </c>
      <c r="B1758" t="str">
        <f t="shared" si="28"/>
        <v>17411</v>
      </c>
      <c r="C1758" t="s">
        <v>1210</v>
      </c>
      <c r="D1758">
        <v>0</v>
      </c>
      <c r="E1758" t="s">
        <v>406</v>
      </c>
    </row>
    <row r="1759" spans="1:5" x14ac:dyDescent="0.25">
      <c r="A1759">
        <v>17411</v>
      </c>
      <c r="B1759" t="str">
        <f t="shared" si="28"/>
        <v>17411</v>
      </c>
      <c r="C1759" t="s">
        <v>1212</v>
      </c>
      <c r="D1759">
        <v>0</v>
      </c>
      <c r="E1759" t="s">
        <v>406</v>
      </c>
    </row>
    <row r="1760" spans="1:5" x14ac:dyDescent="0.25">
      <c r="A1760">
        <v>17411</v>
      </c>
      <c r="B1760" t="str">
        <f t="shared" si="28"/>
        <v>17411</v>
      </c>
      <c r="C1760" t="s">
        <v>1216</v>
      </c>
      <c r="D1760">
        <v>72.92</v>
      </c>
      <c r="E1760" t="s">
        <v>406</v>
      </c>
    </row>
    <row r="1761" spans="1:5" x14ac:dyDescent="0.25">
      <c r="A1761">
        <v>17411</v>
      </c>
      <c r="B1761" t="str">
        <f t="shared" si="28"/>
        <v>17411</v>
      </c>
      <c r="C1761" t="s">
        <v>1198</v>
      </c>
      <c r="D1761">
        <v>1125.81</v>
      </c>
      <c r="E1761" t="s">
        <v>406</v>
      </c>
    </row>
    <row r="1762" spans="1:5" x14ac:dyDescent="0.25">
      <c r="A1762" s="34">
        <v>11056</v>
      </c>
      <c r="B1762" t="str">
        <f t="shared" si="28"/>
        <v>11056</v>
      </c>
      <c r="C1762" t="s">
        <v>1193</v>
      </c>
      <c r="D1762">
        <v>0</v>
      </c>
      <c r="E1762" t="s">
        <v>359</v>
      </c>
    </row>
    <row r="1763" spans="1:5" x14ac:dyDescent="0.25">
      <c r="A1763" s="34">
        <v>11056</v>
      </c>
      <c r="B1763" t="str">
        <f t="shared" si="28"/>
        <v>11056</v>
      </c>
      <c r="C1763" t="s">
        <v>1194</v>
      </c>
      <c r="D1763">
        <v>13.4</v>
      </c>
      <c r="E1763" t="s">
        <v>359</v>
      </c>
    </row>
    <row r="1764" spans="1:5" x14ac:dyDescent="0.25">
      <c r="A1764" s="34">
        <v>11056</v>
      </c>
      <c r="B1764" t="str">
        <f t="shared" si="28"/>
        <v>11056</v>
      </c>
      <c r="C1764" t="s">
        <v>1195</v>
      </c>
      <c r="D1764">
        <v>0</v>
      </c>
      <c r="E1764" t="s">
        <v>359</v>
      </c>
    </row>
    <row r="1765" spans="1:5" x14ac:dyDescent="0.25">
      <c r="A1765" s="34">
        <v>11056</v>
      </c>
      <c r="B1765" t="str">
        <f t="shared" si="28"/>
        <v>11056</v>
      </c>
      <c r="C1765" t="s">
        <v>1197</v>
      </c>
      <c r="D1765">
        <v>1</v>
      </c>
      <c r="E1765" t="s">
        <v>359</v>
      </c>
    </row>
    <row r="1766" spans="1:5" x14ac:dyDescent="0.25">
      <c r="A1766" s="34">
        <v>11056</v>
      </c>
      <c r="B1766" t="str">
        <f t="shared" si="28"/>
        <v>11056</v>
      </c>
      <c r="C1766" t="s">
        <v>1202</v>
      </c>
      <c r="D1766">
        <v>0</v>
      </c>
      <c r="E1766" t="s">
        <v>359</v>
      </c>
    </row>
    <row r="1767" spans="1:5" x14ac:dyDescent="0.25">
      <c r="A1767" s="34">
        <v>11056</v>
      </c>
      <c r="B1767" t="str">
        <f t="shared" si="28"/>
        <v>11056</v>
      </c>
      <c r="C1767" t="s">
        <v>1206</v>
      </c>
      <c r="D1767">
        <v>16</v>
      </c>
      <c r="E1767" t="s">
        <v>359</v>
      </c>
    </row>
    <row r="1768" spans="1:5" x14ac:dyDescent="0.25">
      <c r="A1768" s="34">
        <v>11056</v>
      </c>
      <c r="B1768" t="str">
        <f t="shared" si="28"/>
        <v>11056</v>
      </c>
      <c r="C1768" t="s">
        <v>1199</v>
      </c>
      <c r="D1768">
        <v>0</v>
      </c>
      <c r="E1768" t="s">
        <v>359</v>
      </c>
    </row>
    <row r="1769" spans="1:5" x14ac:dyDescent="0.25">
      <c r="A1769" s="34">
        <v>11056</v>
      </c>
      <c r="B1769" t="str">
        <f t="shared" si="28"/>
        <v>11056</v>
      </c>
      <c r="C1769" t="s">
        <v>1203</v>
      </c>
      <c r="D1769">
        <v>7</v>
      </c>
      <c r="E1769" t="s">
        <v>359</v>
      </c>
    </row>
    <row r="1770" spans="1:5" x14ac:dyDescent="0.25">
      <c r="A1770" s="34">
        <v>11056</v>
      </c>
      <c r="B1770" t="str">
        <f t="shared" si="28"/>
        <v>11056</v>
      </c>
      <c r="C1770" t="s">
        <v>1200</v>
      </c>
      <c r="D1770">
        <v>0</v>
      </c>
      <c r="E1770" t="s">
        <v>359</v>
      </c>
    </row>
    <row r="1771" spans="1:5" x14ac:dyDescent="0.25">
      <c r="A1771" s="34">
        <v>11056</v>
      </c>
      <c r="B1771" t="str">
        <f t="shared" si="28"/>
        <v>11056</v>
      </c>
      <c r="C1771" t="s">
        <v>1204</v>
      </c>
      <c r="D1771">
        <v>12.8</v>
      </c>
      <c r="E1771" t="s">
        <v>359</v>
      </c>
    </row>
    <row r="1772" spans="1:5" x14ac:dyDescent="0.25">
      <c r="A1772" s="34">
        <v>11056</v>
      </c>
      <c r="B1772" t="str">
        <f t="shared" si="28"/>
        <v>11056</v>
      </c>
      <c r="C1772" t="s">
        <v>1207</v>
      </c>
      <c r="D1772">
        <v>0.93</v>
      </c>
      <c r="E1772" t="s">
        <v>359</v>
      </c>
    </row>
    <row r="1773" spans="1:5" x14ac:dyDescent="0.25">
      <c r="A1773" s="34">
        <v>11056</v>
      </c>
      <c r="B1773" t="str">
        <f t="shared" si="28"/>
        <v>11056</v>
      </c>
      <c r="C1773" t="s">
        <v>1208</v>
      </c>
      <c r="D1773">
        <v>4.03</v>
      </c>
      <c r="E1773" t="s">
        <v>359</v>
      </c>
    </row>
    <row r="1774" spans="1:5" x14ac:dyDescent="0.25">
      <c r="A1774" s="34">
        <v>11056</v>
      </c>
      <c r="B1774" t="str">
        <f t="shared" si="28"/>
        <v>11056</v>
      </c>
      <c r="C1774" t="s">
        <v>1210</v>
      </c>
      <c r="D1774">
        <v>0</v>
      </c>
      <c r="E1774" t="s">
        <v>359</v>
      </c>
    </row>
    <row r="1775" spans="1:5" x14ac:dyDescent="0.25">
      <c r="A1775" s="34">
        <v>11056</v>
      </c>
      <c r="B1775" t="str">
        <f t="shared" si="28"/>
        <v>11056</v>
      </c>
      <c r="C1775" t="s">
        <v>1212</v>
      </c>
      <c r="D1775">
        <v>0</v>
      </c>
      <c r="E1775" t="s">
        <v>359</v>
      </c>
    </row>
    <row r="1776" spans="1:5" x14ac:dyDescent="0.25">
      <c r="A1776" s="34">
        <v>11056</v>
      </c>
      <c r="B1776" t="str">
        <f t="shared" si="28"/>
        <v>11056</v>
      </c>
      <c r="C1776" t="s">
        <v>1216</v>
      </c>
      <c r="D1776">
        <v>0</v>
      </c>
      <c r="E1776" t="s">
        <v>359</v>
      </c>
    </row>
    <row r="1777" spans="1:5" x14ac:dyDescent="0.25">
      <c r="A1777" s="34">
        <v>11056</v>
      </c>
      <c r="B1777" t="str">
        <f t="shared" si="28"/>
        <v>11056</v>
      </c>
      <c r="C1777" t="s">
        <v>1198</v>
      </c>
      <c r="D1777">
        <v>4</v>
      </c>
      <c r="E1777" t="s">
        <v>359</v>
      </c>
    </row>
    <row r="1778" spans="1:5" x14ac:dyDescent="0.25">
      <c r="A1778" t="s">
        <v>46</v>
      </c>
      <c r="B1778" t="str">
        <f t="shared" si="28"/>
        <v>08402</v>
      </c>
      <c r="C1778" t="s">
        <v>1193</v>
      </c>
      <c r="D1778">
        <v>0</v>
      </c>
      <c r="E1778" t="s">
        <v>342</v>
      </c>
    </row>
    <row r="1779" spans="1:5" x14ac:dyDescent="0.25">
      <c r="A1779" t="s">
        <v>46</v>
      </c>
      <c r="B1779" t="str">
        <f t="shared" si="28"/>
        <v>08402</v>
      </c>
      <c r="C1779" t="s">
        <v>1194</v>
      </c>
      <c r="D1779">
        <v>252.6</v>
      </c>
      <c r="E1779" t="s">
        <v>342</v>
      </c>
    </row>
    <row r="1780" spans="1:5" x14ac:dyDescent="0.25">
      <c r="A1780" t="s">
        <v>46</v>
      </c>
      <c r="B1780" t="str">
        <f t="shared" si="28"/>
        <v>08402</v>
      </c>
      <c r="C1780" t="s">
        <v>1195</v>
      </c>
      <c r="D1780">
        <v>0</v>
      </c>
      <c r="E1780" t="s">
        <v>342</v>
      </c>
    </row>
    <row r="1781" spans="1:5" x14ac:dyDescent="0.25">
      <c r="A1781" t="s">
        <v>46</v>
      </c>
      <c r="B1781" t="str">
        <f t="shared" si="28"/>
        <v>08402</v>
      </c>
      <c r="C1781" t="s">
        <v>1197</v>
      </c>
      <c r="D1781">
        <v>73.28</v>
      </c>
      <c r="E1781" t="s">
        <v>342</v>
      </c>
    </row>
    <row r="1782" spans="1:5" x14ac:dyDescent="0.25">
      <c r="A1782" t="s">
        <v>46</v>
      </c>
      <c r="B1782" t="str">
        <f t="shared" si="28"/>
        <v>08402</v>
      </c>
      <c r="C1782" t="s">
        <v>1202</v>
      </c>
      <c r="D1782">
        <v>0</v>
      </c>
      <c r="E1782" t="s">
        <v>342</v>
      </c>
    </row>
    <row r="1783" spans="1:5" x14ac:dyDescent="0.25">
      <c r="A1783" t="s">
        <v>46</v>
      </c>
      <c r="B1783" t="str">
        <f t="shared" si="28"/>
        <v>08402</v>
      </c>
      <c r="C1783" t="s">
        <v>1206</v>
      </c>
      <c r="D1783">
        <v>190.76</v>
      </c>
      <c r="E1783" t="s">
        <v>342</v>
      </c>
    </row>
    <row r="1784" spans="1:5" x14ac:dyDescent="0.25">
      <c r="A1784" t="s">
        <v>46</v>
      </c>
      <c r="B1784" t="str">
        <f t="shared" si="28"/>
        <v>08402</v>
      </c>
      <c r="C1784" t="s">
        <v>1199</v>
      </c>
      <c r="D1784">
        <v>0</v>
      </c>
      <c r="E1784" t="s">
        <v>342</v>
      </c>
    </row>
    <row r="1785" spans="1:5" x14ac:dyDescent="0.25">
      <c r="A1785" t="s">
        <v>46</v>
      </c>
      <c r="B1785" t="str">
        <f t="shared" si="28"/>
        <v>08402</v>
      </c>
      <c r="C1785" t="s">
        <v>1203</v>
      </c>
      <c r="D1785">
        <v>175.29</v>
      </c>
      <c r="E1785" t="s">
        <v>342</v>
      </c>
    </row>
    <row r="1786" spans="1:5" x14ac:dyDescent="0.25">
      <c r="A1786" t="s">
        <v>46</v>
      </c>
      <c r="B1786" t="str">
        <f t="shared" si="28"/>
        <v>08402</v>
      </c>
      <c r="C1786" t="s">
        <v>1200</v>
      </c>
      <c r="D1786">
        <v>0</v>
      </c>
      <c r="E1786" t="s">
        <v>342</v>
      </c>
    </row>
    <row r="1787" spans="1:5" x14ac:dyDescent="0.25">
      <c r="A1787" t="s">
        <v>46</v>
      </c>
      <c r="B1787" t="str">
        <f t="shared" si="28"/>
        <v>08402</v>
      </c>
      <c r="C1787" t="s">
        <v>1204</v>
      </c>
      <c r="D1787">
        <v>264.64</v>
      </c>
      <c r="E1787" t="s">
        <v>342</v>
      </c>
    </row>
    <row r="1788" spans="1:5" x14ac:dyDescent="0.25">
      <c r="A1788" t="s">
        <v>46</v>
      </c>
      <c r="B1788" t="str">
        <f t="shared" si="28"/>
        <v>08402</v>
      </c>
      <c r="C1788" t="s">
        <v>1207</v>
      </c>
      <c r="D1788">
        <v>5.09</v>
      </c>
      <c r="E1788" t="s">
        <v>342</v>
      </c>
    </row>
    <row r="1789" spans="1:5" x14ac:dyDescent="0.25">
      <c r="A1789" t="s">
        <v>46</v>
      </c>
      <c r="B1789" t="str">
        <f t="shared" si="28"/>
        <v>08402</v>
      </c>
      <c r="C1789" t="s">
        <v>1208</v>
      </c>
      <c r="D1789">
        <v>30.92</v>
      </c>
      <c r="E1789" t="s">
        <v>342</v>
      </c>
    </row>
    <row r="1790" spans="1:5" x14ac:dyDescent="0.25">
      <c r="A1790" t="s">
        <v>46</v>
      </c>
      <c r="B1790" t="str">
        <f t="shared" si="28"/>
        <v>08402</v>
      </c>
      <c r="C1790" t="s">
        <v>1210</v>
      </c>
      <c r="D1790">
        <v>0</v>
      </c>
      <c r="E1790" t="s">
        <v>342</v>
      </c>
    </row>
    <row r="1791" spans="1:5" x14ac:dyDescent="0.25">
      <c r="A1791" t="s">
        <v>46</v>
      </c>
      <c r="B1791" t="str">
        <f t="shared" si="28"/>
        <v>08402</v>
      </c>
      <c r="C1791" t="s">
        <v>1212</v>
      </c>
      <c r="D1791">
        <v>0</v>
      </c>
      <c r="E1791" t="s">
        <v>342</v>
      </c>
    </row>
    <row r="1792" spans="1:5" x14ac:dyDescent="0.25">
      <c r="A1792" t="s">
        <v>46</v>
      </c>
      <c r="B1792" t="str">
        <f t="shared" si="28"/>
        <v>08402</v>
      </c>
      <c r="C1792" t="s">
        <v>1216</v>
      </c>
      <c r="D1792">
        <v>36</v>
      </c>
      <c r="E1792" t="s">
        <v>342</v>
      </c>
    </row>
    <row r="1793" spans="1:5" x14ac:dyDescent="0.25">
      <c r="A1793" t="s">
        <v>46</v>
      </c>
      <c r="B1793" t="str">
        <f t="shared" si="28"/>
        <v>08402</v>
      </c>
      <c r="C1793" t="s">
        <v>1198</v>
      </c>
      <c r="D1793">
        <v>68.599999999999994</v>
      </c>
      <c r="E1793" t="s">
        <v>342</v>
      </c>
    </row>
    <row r="1794" spans="1:5" x14ac:dyDescent="0.25">
      <c r="A1794" s="34">
        <v>10003</v>
      </c>
      <c r="B1794" t="str">
        <f t="shared" si="28"/>
        <v>10003</v>
      </c>
      <c r="C1794" t="s">
        <v>1193</v>
      </c>
      <c r="D1794">
        <v>0</v>
      </c>
      <c r="E1794" t="s">
        <v>351</v>
      </c>
    </row>
    <row r="1795" spans="1:5" x14ac:dyDescent="0.25">
      <c r="A1795" s="34">
        <v>10003</v>
      </c>
      <c r="B1795" t="str">
        <f t="shared" ref="B1795:B1858" si="29">TEXT(A1795,"00000")</f>
        <v>10003</v>
      </c>
      <c r="C1795" t="s">
        <v>1194</v>
      </c>
      <c r="D1795">
        <v>17</v>
      </c>
      <c r="E1795" t="s">
        <v>351</v>
      </c>
    </row>
    <row r="1796" spans="1:5" x14ac:dyDescent="0.25">
      <c r="A1796" s="34">
        <v>10003</v>
      </c>
      <c r="B1796" t="str">
        <f t="shared" si="29"/>
        <v>10003</v>
      </c>
      <c r="C1796" t="s">
        <v>1195</v>
      </c>
      <c r="D1796">
        <v>0</v>
      </c>
      <c r="E1796" t="s">
        <v>351</v>
      </c>
    </row>
    <row r="1797" spans="1:5" x14ac:dyDescent="0.25">
      <c r="A1797" s="34">
        <v>10003</v>
      </c>
      <c r="B1797" t="str">
        <f t="shared" si="29"/>
        <v>10003</v>
      </c>
      <c r="C1797" t="s">
        <v>1197</v>
      </c>
      <c r="D1797">
        <v>5.8</v>
      </c>
      <c r="E1797" t="s">
        <v>351</v>
      </c>
    </row>
    <row r="1798" spans="1:5" x14ac:dyDescent="0.25">
      <c r="A1798" s="34">
        <v>10003</v>
      </c>
      <c r="B1798" t="str">
        <f t="shared" si="29"/>
        <v>10003</v>
      </c>
      <c r="C1798" t="s">
        <v>1202</v>
      </c>
      <c r="D1798">
        <v>0</v>
      </c>
      <c r="E1798" t="s">
        <v>351</v>
      </c>
    </row>
    <row r="1799" spans="1:5" x14ac:dyDescent="0.25">
      <c r="A1799" s="34">
        <v>10003</v>
      </c>
      <c r="B1799" t="str">
        <f t="shared" si="29"/>
        <v>10003</v>
      </c>
      <c r="C1799" t="s">
        <v>1206</v>
      </c>
      <c r="D1799">
        <v>10.4</v>
      </c>
      <c r="E1799" t="s">
        <v>351</v>
      </c>
    </row>
    <row r="1800" spans="1:5" x14ac:dyDescent="0.25">
      <c r="A1800" s="34">
        <v>10003</v>
      </c>
      <c r="B1800" t="str">
        <f t="shared" si="29"/>
        <v>10003</v>
      </c>
      <c r="C1800" t="s">
        <v>1199</v>
      </c>
      <c r="D1800">
        <v>0</v>
      </c>
      <c r="E1800" t="s">
        <v>351</v>
      </c>
    </row>
    <row r="1801" spans="1:5" x14ac:dyDescent="0.25">
      <c r="A1801" s="34">
        <v>10003</v>
      </c>
      <c r="B1801" t="str">
        <f t="shared" si="29"/>
        <v>10003</v>
      </c>
      <c r="C1801" t="s">
        <v>1203</v>
      </c>
      <c r="D1801">
        <v>0</v>
      </c>
      <c r="E1801" t="s">
        <v>351</v>
      </c>
    </row>
    <row r="1802" spans="1:5" x14ac:dyDescent="0.25">
      <c r="A1802" s="34">
        <v>10003</v>
      </c>
      <c r="B1802" t="str">
        <f t="shared" si="29"/>
        <v>10003</v>
      </c>
      <c r="C1802" t="s">
        <v>1200</v>
      </c>
      <c r="D1802">
        <v>0</v>
      </c>
      <c r="E1802" t="s">
        <v>351</v>
      </c>
    </row>
    <row r="1803" spans="1:5" x14ac:dyDescent="0.25">
      <c r="A1803" s="34">
        <v>10003</v>
      </c>
      <c r="B1803" t="str">
        <f t="shared" si="29"/>
        <v>10003</v>
      </c>
      <c r="C1803" t="s">
        <v>1204</v>
      </c>
      <c r="D1803">
        <v>0</v>
      </c>
      <c r="E1803" t="s">
        <v>351</v>
      </c>
    </row>
    <row r="1804" spans="1:5" x14ac:dyDescent="0.25">
      <c r="A1804" s="34">
        <v>10003</v>
      </c>
      <c r="B1804" t="str">
        <f t="shared" si="29"/>
        <v>10003</v>
      </c>
      <c r="C1804" t="s">
        <v>1207</v>
      </c>
      <c r="D1804">
        <v>0</v>
      </c>
      <c r="E1804" t="s">
        <v>351</v>
      </c>
    </row>
    <row r="1805" spans="1:5" x14ac:dyDescent="0.25">
      <c r="A1805" s="34">
        <v>10003</v>
      </c>
      <c r="B1805" t="str">
        <f t="shared" si="29"/>
        <v>10003</v>
      </c>
      <c r="C1805" t="s">
        <v>1208</v>
      </c>
      <c r="D1805">
        <v>0</v>
      </c>
      <c r="E1805" t="s">
        <v>351</v>
      </c>
    </row>
    <row r="1806" spans="1:5" x14ac:dyDescent="0.25">
      <c r="A1806" s="34">
        <v>10003</v>
      </c>
      <c r="B1806" t="str">
        <f t="shared" si="29"/>
        <v>10003</v>
      </c>
      <c r="C1806" t="s">
        <v>1210</v>
      </c>
      <c r="D1806">
        <v>0</v>
      </c>
      <c r="E1806" t="s">
        <v>351</v>
      </c>
    </row>
    <row r="1807" spans="1:5" x14ac:dyDescent="0.25">
      <c r="A1807" s="34">
        <v>10003</v>
      </c>
      <c r="B1807" t="str">
        <f t="shared" si="29"/>
        <v>10003</v>
      </c>
      <c r="C1807" t="s">
        <v>1212</v>
      </c>
      <c r="D1807">
        <v>0</v>
      </c>
      <c r="E1807" t="s">
        <v>351</v>
      </c>
    </row>
    <row r="1808" spans="1:5" x14ac:dyDescent="0.25">
      <c r="A1808" s="34">
        <v>10003</v>
      </c>
      <c r="B1808" t="str">
        <f t="shared" si="29"/>
        <v>10003</v>
      </c>
      <c r="C1808" t="s">
        <v>1216</v>
      </c>
      <c r="D1808">
        <v>0</v>
      </c>
      <c r="E1808" t="s">
        <v>351</v>
      </c>
    </row>
    <row r="1809" spans="1:5" x14ac:dyDescent="0.25">
      <c r="A1809" s="34">
        <v>10003</v>
      </c>
      <c r="B1809" t="str">
        <f t="shared" si="29"/>
        <v>10003</v>
      </c>
      <c r="C1809" t="s">
        <v>1198</v>
      </c>
      <c r="D1809">
        <v>5</v>
      </c>
      <c r="E1809" t="s">
        <v>351</v>
      </c>
    </row>
    <row r="1810" spans="1:5" x14ac:dyDescent="0.25">
      <c r="A1810" s="34" t="s">
        <v>48</v>
      </c>
      <c r="B1810" t="str">
        <f t="shared" si="29"/>
        <v>08458</v>
      </c>
      <c r="C1810" t="s">
        <v>1193</v>
      </c>
      <c r="D1810">
        <v>0</v>
      </c>
      <c r="E1810" t="s">
        <v>344</v>
      </c>
    </row>
    <row r="1811" spans="1:5" x14ac:dyDescent="0.25">
      <c r="A1811" s="34" t="s">
        <v>48</v>
      </c>
      <c r="B1811" t="str">
        <f t="shared" si="29"/>
        <v>08458</v>
      </c>
      <c r="C1811" t="s">
        <v>1194</v>
      </c>
      <c r="D1811">
        <v>1070.8499999999999</v>
      </c>
      <c r="E1811" t="s">
        <v>344</v>
      </c>
    </row>
    <row r="1812" spans="1:5" x14ac:dyDescent="0.25">
      <c r="A1812" s="34" t="s">
        <v>48</v>
      </c>
      <c r="B1812" t="str">
        <f t="shared" si="29"/>
        <v>08458</v>
      </c>
      <c r="C1812" t="s">
        <v>1195</v>
      </c>
      <c r="D1812">
        <v>0</v>
      </c>
      <c r="E1812" t="s">
        <v>344</v>
      </c>
    </row>
    <row r="1813" spans="1:5" x14ac:dyDescent="0.25">
      <c r="A1813" s="34" t="s">
        <v>48</v>
      </c>
      <c r="B1813" t="str">
        <f t="shared" si="29"/>
        <v>08458</v>
      </c>
      <c r="C1813" t="s">
        <v>1197</v>
      </c>
      <c r="D1813">
        <v>362.39</v>
      </c>
      <c r="E1813" t="s">
        <v>344</v>
      </c>
    </row>
    <row r="1814" spans="1:5" x14ac:dyDescent="0.25">
      <c r="A1814" s="34" t="s">
        <v>48</v>
      </c>
      <c r="B1814" t="str">
        <f t="shared" si="29"/>
        <v>08458</v>
      </c>
      <c r="C1814" t="s">
        <v>1202</v>
      </c>
      <c r="D1814">
        <v>0</v>
      </c>
      <c r="E1814" t="s">
        <v>344</v>
      </c>
    </row>
    <row r="1815" spans="1:5" x14ac:dyDescent="0.25">
      <c r="A1815" s="34" t="s">
        <v>48</v>
      </c>
      <c r="B1815" t="str">
        <f t="shared" si="29"/>
        <v>08458</v>
      </c>
      <c r="C1815" t="s">
        <v>1206</v>
      </c>
      <c r="D1815">
        <v>727.41</v>
      </c>
      <c r="E1815" t="s">
        <v>344</v>
      </c>
    </row>
    <row r="1816" spans="1:5" x14ac:dyDescent="0.25">
      <c r="A1816" s="34" t="s">
        <v>48</v>
      </c>
      <c r="B1816" t="str">
        <f t="shared" si="29"/>
        <v>08458</v>
      </c>
      <c r="C1816" t="s">
        <v>1199</v>
      </c>
      <c r="D1816">
        <v>0</v>
      </c>
      <c r="E1816" t="s">
        <v>344</v>
      </c>
    </row>
    <row r="1817" spans="1:5" x14ac:dyDescent="0.25">
      <c r="A1817" s="34" t="s">
        <v>48</v>
      </c>
      <c r="B1817" t="str">
        <f t="shared" si="29"/>
        <v>08458</v>
      </c>
      <c r="C1817" t="s">
        <v>1203</v>
      </c>
      <c r="D1817">
        <v>712.33</v>
      </c>
      <c r="E1817" t="s">
        <v>344</v>
      </c>
    </row>
    <row r="1818" spans="1:5" x14ac:dyDescent="0.25">
      <c r="A1818" s="34" t="s">
        <v>48</v>
      </c>
      <c r="B1818" t="str">
        <f t="shared" si="29"/>
        <v>08458</v>
      </c>
      <c r="C1818" t="s">
        <v>1200</v>
      </c>
      <c r="D1818">
        <v>0</v>
      </c>
      <c r="E1818" t="s">
        <v>344</v>
      </c>
    </row>
    <row r="1819" spans="1:5" x14ac:dyDescent="0.25">
      <c r="A1819" s="34" t="s">
        <v>48</v>
      </c>
      <c r="B1819" t="str">
        <f t="shared" si="29"/>
        <v>08458</v>
      </c>
      <c r="C1819" t="s">
        <v>1204</v>
      </c>
      <c r="D1819">
        <v>1388.93</v>
      </c>
      <c r="E1819" t="s">
        <v>344</v>
      </c>
    </row>
    <row r="1820" spans="1:5" x14ac:dyDescent="0.25">
      <c r="A1820" s="34" t="s">
        <v>48</v>
      </c>
      <c r="B1820" t="str">
        <f t="shared" si="29"/>
        <v>08458</v>
      </c>
      <c r="C1820" t="s">
        <v>1207</v>
      </c>
      <c r="D1820">
        <v>68.36</v>
      </c>
      <c r="E1820" t="s">
        <v>344</v>
      </c>
    </row>
    <row r="1821" spans="1:5" x14ac:dyDescent="0.25">
      <c r="A1821" s="34" t="s">
        <v>48</v>
      </c>
      <c r="B1821" t="str">
        <f t="shared" si="29"/>
        <v>08458</v>
      </c>
      <c r="C1821" t="s">
        <v>1208</v>
      </c>
      <c r="D1821">
        <v>430.54</v>
      </c>
      <c r="E1821" t="s">
        <v>344</v>
      </c>
    </row>
    <row r="1822" spans="1:5" x14ac:dyDescent="0.25">
      <c r="A1822" s="34" t="s">
        <v>48</v>
      </c>
      <c r="B1822" t="str">
        <f t="shared" si="29"/>
        <v>08458</v>
      </c>
      <c r="C1822" t="s">
        <v>1210</v>
      </c>
      <c r="D1822">
        <v>0</v>
      </c>
      <c r="E1822" t="s">
        <v>344</v>
      </c>
    </row>
    <row r="1823" spans="1:5" x14ac:dyDescent="0.25">
      <c r="A1823" s="34" t="s">
        <v>48</v>
      </c>
      <c r="B1823" t="str">
        <f t="shared" si="29"/>
        <v>08458</v>
      </c>
      <c r="C1823" t="s">
        <v>1212</v>
      </c>
      <c r="D1823">
        <v>0</v>
      </c>
      <c r="E1823" t="s">
        <v>344</v>
      </c>
    </row>
    <row r="1824" spans="1:5" x14ac:dyDescent="0.25">
      <c r="A1824" s="34" t="s">
        <v>48</v>
      </c>
      <c r="B1824" t="str">
        <f t="shared" si="29"/>
        <v>08458</v>
      </c>
      <c r="C1824" t="s">
        <v>1216</v>
      </c>
      <c r="D1824">
        <v>155.19</v>
      </c>
      <c r="E1824" t="s">
        <v>344</v>
      </c>
    </row>
    <row r="1825" spans="1:5" x14ac:dyDescent="0.25">
      <c r="A1825" s="34" t="s">
        <v>48</v>
      </c>
      <c r="B1825" t="str">
        <f t="shared" si="29"/>
        <v>08458</v>
      </c>
      <c r="C1825" t="s">
        <v>1198</v>
      </c>
      <c r="D1825">
        <v>304.61</v>
      </c>
      <c r="E1825" t="s">
        <v>344</v>
      </c>
    </row>
    <row r="1826" spans="1:5" x14ac:dyDescent="0.25">
      <c r="A1826" t="s">
        <v>14</v>
      </c>
      <c r="B1826" t="str">
        <f t="shared" si="29"/>
        <v>03017</v>
      </c>
      <c r="C1826" t="s">
        <v>1193</v>
      </c>
      <c r="D1826">
        <v>0</v>
      </c>
      <c r="E1826" t="s">
        <v>311</v>
      </c>
    </row>
    <row r="1827" spans="1:5" x14ac:dyDescent="0.25">
      <c r="A1827" t="s">
        <v>14</v>
      </c>
      <c r="B1827" t="str">
        <f t="shared" si="29"/>
        <v>03017</v>
      </c>
      <c r="C1827" t="s">
        <v>1194</v>
      </c>
      <c r="D1827">
        <v>3965.24</v>
      </c>
      <c r="E1827" t="s">
        <v>311</v>
      </c>
    </row>
    <row r="1828" spans="1:5" x14ac:dyDescent="0.25">
      <c r="A1828" t="s">
        <v>14</v>
      </c>
      <c r="B1828" t="str">
        <f t="shared" si="29"/>
        <v>03017</v>
      </c>
      <c r="C1828" t="s">
        <v>1195</v>
      </c>
      <c r="D1828">
        <v>0</v>
      </c>
      <c r="E1828" t="s">
        <v>311</v>
      </c>
    </row>
    <row r="1829" spans="1:5" x14ac:dyDescent="0.25">
      <c r="A1829" t="s">
        <v>14</v>
      </c>
      <c r="B1829" t="str">
        <f t="shared" si="29"/>
        <v>03017</v>
      </c>
      <c r="C1829" t="s">
        <v>1197</v>
      </c>
      <c r="D1829">
        <v>1386.97</v>
      </c>
      <c r="E1829" t="s">
        <v>311</v>
      </c>
    </row>
    <row r="1830" spans="1:5" x14ac:dyDescent="0.25">
      <c r="A1830" t="s">
        <v>14</v>
      </c>
      <c r="B1830" t="str">
        <f t="shared" si="29"/>
        <v>03017</v>
      </c>
      <c r="C1830" t="s">
        <v>1202</v>
      </c>
      <c r="D1830">
        <v>0</v>
      </c>
      <c r="E1830" t="s">
        <v>311</v>
      </c>
    </row>
    <row r="1831" spans="1:5" x14ac:dyDescent="0.25">
      <c r="A1831" t="s">
        <v>14</v>
      </c>
      <c r="B1831" t="str">
        <f t="shared" si="29"/>
        <v>03017</v>
      </c>
      <c r="C1831" t="s">
        <v>1206</v>
      </c>
      <c r="D1831">
        <v>2715.55</v>
      </c>
      <c r="E1831" t="s">
        <v>311</v>
      </c>
    </row>
    <row r="1832" spans="1:5" x14ac:dyDescent="0.25">
      <c r="A1832" t="s">
        <v>14</v>
      </c>
      <c r="B1832" t="str">
        <f t="shared" si="29"/>
        <v>03017</v>
      </c>
      <c r="C1832" t="s">
        <v>1199</v>
      </c>
      <c r="D1832">
        <v>0</v>
      </c>
      <c r="E1832" t="s">
        <v>311</v>
      </c>
    </row>
    <row r="1833" spans="1:5" x14ac:dyDescent="0.25">
      <c r="A1833" t="s">
        <v>14</v>
      </c>
      <c r="B1833" t="str">
        <f t="shared" si="29"/>
        <v>03017</v>
      </c>
      <c r="C1833" t="s">
        <v>1203</v>
      </c>
      <c r="D1833">
        <v>2805.78</v>
      </c>
      <c r="E1833" t="s">
        <v>311</v>
      </c>
    </row>
    <row r="1834" spans="1:5" x14ac:dyDescent="0.25">
      <c r="A1834" t="s">
        <v>14</v>
      </c>
      <c r="B1834" t="str">
        <f t="shared" si="29"/>
        <v>03017</v>
      </c>
      <c r="C1834" t="s">
        <v>1200</v>
      </c>
      <c r="D1834">
        <v>0</v>
      </c>
      <c r="E1834" t="s">
        <v>311</v>
      </c>
    </row>
    <row r="1835" spans="1:5" x14ac:dyDescent="0.25">
      <c r="A1835" t="s">
        <v>14</v>
      </c>
      <c r="B1835" t="str">
        <f t="shared" si="29"/>
        <v>03017</v>
      </c>
      <c r="C1835" t="s">
        <v>1204</v>
      </c>
      <c r="D1835">
        <v>5625.67</v>
      </c>
      <c r="E1835" t="s">
        <v>311</v>
      </c>
    </row>
    <row r="1836" spans="1:5" x14ac:dyDescent="0.25">
      <c r="A1836" t="s">
        <v>14</v>
      </c>
      <c r="B1836" t="str">
        <f t="shared" si="29"/>
        <v>03017</v>
      </c>
      <c r="C1836" t="s">
        <v>1207</v>
      </c>
      <c r="D1836">
        <v>131.22</v>
      </c>
      <c r="E1836" t="s">
        <v>311</v>
      </c>
    </row>
    <row r="1837" spans="1:5" x14ac:dyDescent="0.25">
      <c r="A1837" t="s">
        <v>14</v>
      </c>
      <c r="B1837" t="str">
        <f t="shared" si="29"/>
        <v>03017</v>
      </c>
      <c r="C1837" t="s">
        <v>1208</v>
      </c>
      <c r="D1837">
        <v>978.7</v>
      </c>
      <c r="E1837" t="s">
        <v>311</v>
      </c>
    </row>
    <row r="1838" spans="1:5" x14ac:dyDescent="0.25">
      <c r="A1838" t="s">
        <v>14</v>
      </c>
      <c r="B1838" t="str">
        <f t="shared" si="29"/>
        <v>03017</v>
      </c>
      <c r="C1838" t="s">
        <v>1210</v>
      </c>
      <c r="D1838">
        <v>0</v>
      </c>
      <c r="E1838" t="s">
        <v>311</v>
      </c>
    </row>
    <row r="1839" spans="1:5" x14ac:dyDescent="0.25">
      <c r="A1839" t="s">
        <v>14</v>
      </c>
      <c r="B1839" t="str">
        <f t="shared" si="29"/>
        <v>03017</v>
      </c>
      <c r="C1839" t="s">
        <v>1212</v>
      </c>
      <c r="D1839">
        <v>531.32000000000005</v>
      </c>
      <c r="E1839" t="s">
        <v>311</v>
      </c>
    </row>
    <row r="1840" spans="1:5" x14ac:dyDescent="0.25">
      <c r="A1840" t="s">
        <v>14</v>
      </c>
      <c r="B1840" t="str">
        <f t="shared" si="29"/>
        <v>03017</v>
      </c>
      <c r="C1840" t="s">
        <v>1216</v>
      </c>
      <c r="D1840">
        <v>28.8</v>
      </c>
      <c r="E1840" t="s">
        <v>311</v>
      </c>
    </row>
    <row r="1841" spans="1:5" x14ac:dyDescent="0.25">
      <c r="A1841" t="s">
        <v>14</v>
      </c>
      <c r="B1841" t="str">
        <f t="shared" si="29"/>
        <v>03017</v>
      </c>
      <c r="C1841" t="s">
        <v>1198</v>
      </c>
      <c r="D1841">
        <v>1201.6600000000001</v>
      </c>
      <c r="E1841" t="s">
        <v>311</v>
      </c>
    </row>
    <row r="1842" spans="1:5" x14ac:dyDescent="0.25">
      <c r="A1842">
        <v>17415</v>
      </c>
      <c r="B1842" t="str">
        <f t="shared" si="29"/>
        <v>17415</v>
      </c>
      <c r="C1842" t="s">
        <v>1193</v>
      </c>
      <c r="D1842">
        <v>0</v>
      </c>
      <c r="E1842" t="s">
        <v>409</v>
      </c>
    </row>
    <row r="1843" spans="1:5" x14ac:dyDescent="0.25">
      <c r="A1843">
        <v>17415</v>
      </c>
      <c r="B1843" t="str">
        <f t="shared" si="29"/>
        <v>17415</v>
      </c>
      <c r="C1843" t="s">
        <v>1194</v>
      </c>
      <c r="D1843">
        <v>5711.18</v>
      </c>
      <c r="E1843" t="s">
        <v>409</v>
      </c>
    </row>
    <row r="1844" spans="1:5" x14ac:dyDescent="0.25">
      <c r="A1844">
        <v>17415</v>
      </c>
      <c r="B1844" t="str">
        <f t="shared" si="29"/>
        <v>17415</v>
      </c>
      <c r="C1844" t="s">
        <v>1195</v>
      </c>
      <c r="D1844">
        <v>0</v>
      </c>
      <c r="E1844" t="s">
        <v>409</v>
      </c>
    </row>
    <row r="1845" spans="1:5" x14ac:dyDescent="0.25">
      <c r="A1845">
        <v>17415</v>
      </c>
      <c r="B1845" t="str">
        <f t="shared" si="29"/>
        <v>17415</v>
      </c>
      <c r="C1845" t="s">
        <v>1197</v>
      </c>
      <c r="D1845">
        <v>1945.65</v>
      </c>
      <c r="E1845" t="s">
        <v>409</v>
      </c>
    </row>
    <row r="1846" spans="1:5" x14ac:dyDescent="0.25">
      <c r="A1846">
        <v>17415</v>
      </c>
      <c r="B1846" t="str">
        <f t="shared" si="29"/>
        <v>17415</v>
      </c>
      <c r="C1846" t="s">
        <v>1202</v>
      </c>
      <c r="D1846">
        <v>0</v>
      </c>
      <c r="E1846" t="s">
        <v>409</v>
      </c>
    </row>
    <row r="1847" spans="1:5" x14ac:dyDescent="0.25">
      <c r="A1847">
        <v>17415</v>
      </c>
      <c r="B1847" t="str">
        <f t="shared" si="29"/>
        <v>17415</v>
      </c>
      <c r="C1847" t="s">
        <v>1206</v>
      </c>
      <c r="D1847">
        <v>3849.69</v>
      </c>
      <c r="E1847" t="s">
        <v>409</v>
      </c>
    </row>
    <row r="1848" spans="1:5" x14ac:dyDescent="0.25">
      <c r="A1848">
        <v>17415</v>
      </c>
      <c r="B1848" t="str">
        <f t="shared" si="29"/>
        <v>17415</v>
      </c>
      <c r="C1848" t="s">
        <v>1199</v>
      </c>
      <c r="D1848">
        <v>0</v>
      </c>
      <c r="E1848" t="s">
        <v>409</v>
      </c>
    </row>
    <row r="1849" spans="1:5" x14ac:dyDescent="0.25">
      <c r="A1849">
        <v>17415</v>
      </c>
      <c r="B1849" t="str">
        <f t="shared" si="29"/>
        <v>17415</v>
      </c>
      <c r="C1849" t="s">
        <v>1203</v>
      </c>
      <c r="D1849">
        <v>3855.74</v>
      </c>
      <c r="E1849" t="s">
        <v>409</v>
      </c>
    </row>
    <row r="1850" spans="1:5" x14ac:dyDescent="0.25">
      <c r="A1850">
        <v>17415</v>
      </c>
      <c r="B1850" t="str">
        <f t="shared" si="29"/>
        <v>17415</v>
      </c>
      <c r="C1850" t="s">
        <v>1200</v>
      </c>
      <c r="D1850">
        <v>0</v>
      </c>
      <c r="E1850" t="s">
        <v>409</v>
      </c>
    </row>
    <row r="1851" spans="1:5" x14ac:dyDescent="0.25">
      <c r="A1851">
        <v>17415</v>
      </c>
      <c r="B1851" t="str">
        <f t="shared" si="29"/>
        <v>17415</v>
      </c>
      <c r="C1851" t="s">
        <v>1204</v>
      </c>
      <c r="D1851">
        <v>6569.75</v>
      </c>
      <c r="E1851" t="s">
        <v>409</v>
      </c>
    </row>
    <row r="1852" spans="1:5" x14ac:dyDescent="0.25">
      <c r="A1852">
        <v>17415</v>
      </c>
      <c r="B1852" t="str">
        <f t="shared" si="29"/>
        <v>17415</v>
      </c>
      <c r="C1852" t="s">
        <v>1207</v>
      </c>
      <c r="D1852">
        <v>332.25</v>
      </c>
      <c r="E1852" t="s">
        <v>409</v>
      </c>
    </row>
    <row r="1853" spans="1:5" x14ac:dyDescent="0.25">
      <c r="A1853">
        <v>17415</v>
      </c>
      <c r="B1853" t="str">
        <f t="shared" si="29"/>
        <v>17415</v>
      </c>
      <c r="C1853" t="s">
        <v>1208</v>
      </c>
      <c r="D1853">
        <v>1733.78</v>
      </c>
      <c r="E1853" t="s">
        <v>409</v>
      </c>
    </row>
    <row r="1854" spans="1:5" x14ac:dyDescent="0.25">
      <c r="A1854">
        <v>17415</v>
      </c>
      <c r="B1854" t="str">
        <f t="shared" si="29"/>
        <v>17415</v>
      </c>
      <c r="C1854" t="s">
        <v>1210</v>
      </c>
      <c r="D1854">
        <v>0</v>
      </c>
      <c r="E1854" t="s">
        <v>409</v>
      </c>
    </row>
    <row r="1855" spans="1:5" x14ac:dyDescent="0.25">
      <c r="A1855">
        <v>17415</v>
      </c>
      <c r="B1855" t="str">
        <f t="shared" si="29"/>
        <v>17415</v>
      </c>
      <c r="C1855" t="s">
        <v>1212</v>
      </c>
      <c r="D1855">
        <v>0</v>
      </c>
      <c r="E1855" t="s">
        <v>409</v>
      </c>
    </row>
    <row r="1856" spans="1:5" x14ac:dyDescent="0.25">
      <c r="A1856">
        <v>17415</v>
      </c>
      <c r="B1856" t="str">
        <f t="shared" si="29"/>
        <v>17415</v>
      </c>
      <c r="C1856" t="s">
        <v>1216</v>
      </c>
      <c r="D1856">
        <v>0</v>
      </c>
      <c r="E1856" t="s">
        <v>409</v>
      </c>
    </row>
    <row r="1857" spans="1:5" x14ac:dyDescent="0.25">
      <c r="A1857">
        <v>17415</v>
      </c>
      <c r="B1857" t="str">
        <f t="shared" si="29"/>
        <v>17415</v>
      </c>
      <c r="C1857" t="s">
        <v>1198</v>
      </c>
      <c r="D1857">
        <v>1810.78</v>
      </c>
      <c r="E1857" t="s">
        <v>409</v>
      </c>
    </row>
    <row r="1858" spans="1:5" x14ac:dyDescent="0.25">
      <c r="A1858" s="34">
        <v>33212</v>
      </c>
      <c r="B1858" t="str">
        <f t="shared" si="29"/>
        <v>33212</v>
      </c>
      <c r="C1858" t="s">
        <v>1193</v>
      </c>
      <c r="D1858">
        <v>0</v>
      </c>
      <c r="E1858" t="s">
        <v>547</v>
      </c>
    </row>
    <row r="1859" spans="1:5" x14ac:dyDescent="0.25">
      <c r="A1859" s="34">
        <v>33212</v>
      </c>
      <c r="B1859" t="str">
        <f t="shared" ref="B1859:B1922" si="30">TEXT(A1859,"00000")</f>
        <v>33212</v>
      </c>
      <c r="C1859" t="s">
        <v>1194</v>
      </c>
      <c r="D1859">
        <v>139.34</v>
      </c>
      <c r="E1859" t="s">
        <v>547</v>
      </c>
    </row>
    <row r="1860" spans="1:5" x14ac:dyDescent="0.25">
      <c r="A1860" s="34">
        <v>33212</v>
      </c>
      <c r="B1860" t="str">
        <f t="shared" si="30"/>
        <v>33212</v>
      </c>
      <c r="C1860" t="s">
        <v>1195</v>
      </c>
      <c r="D1860">
        <v>0</v>
      </c>
      <c r="E1860" t="s">
        <v>547</v>
      </c>
    </row>
    <row r="1861" spans="1:5" x14ac:dyDescent="0.25">
      <c r="A1861" s="34">
        <v>33212</v>
      </c>
      <c r="B1861" t="str">
        <f t="shared" si="30"/>
        <v>33212</v>
      </c>
      <c r="C1861" t="s">
        <v>1197</v>
      </c>
      <c r="D1861">
        <v>52.1</v>
      </c>
      <c r="E1861" t="s">
        <v>547</v>
      </c>
    </row>
    <row r="1862" spans="1:5" x14ac:dyDescent="0.25">
      <c r="A1862" s="34">
        <v>33212</v>
      </c>
      <c r="B1862" t="str">
        <f t="shared" si="30"/>
        <v>33212</v>
      </c>
      <c r="C1862" t="s">
        <v>1202</v>
      </c>
      <c r="D1862">
        <v>0</v>
      </c>
      <c r="E1862" t="s">
        <v>547</v>
      </c>
    </row>
    <row r="1863" spans="1:5" x14ac:dyDescent="0.25">
      <c r="A1863" s="34">
        <v>33212</v>
      </c>
      <c r="B1863" t="str">
        <f t="shared" si="30"/>
        <v>33212</v>
      </c>
      <c r="C1863" t="s">
        <v>1206</v>
      </c>
      <c r="D1863">
        <v>107.5</v>
      </c>
      <c r="E1863" t="s">
        <v>547</v>
      </c>
    </row>
    <row r="1864" spans="1:5" x14ac:dyDescent="0.25">
      <c r="A1864" s="34">
        <v>33212</v>
      </c>
      <c r="B1864" t="str">
        <f t="shared" si="30"/>
        <v>33212</v>
      </c>
      <c r="C1864" t="s">
        <v>1199</v>
      </c>
      <c r="D1864">
        <v>0</v>
      </c>
      <c r="E1864" t="s">
        <v>547</v>
      </c>
    </row>
    <row r="1865" spans="1:5" x14ac:dyDescent="0.25">
      <c r="A1865" s="34">
        <v>33212</v>
      </c>
      <c r="B1865" t="str">
        <f t="shared" si="30"/>
        <v>33212</v>
      </c>
      <c r="C1865" t="s">
        <v>1203</v>
      </c>
      <c r="D1865">
        <v>97.64</v>
      </c>
      <c r="E1865" t="s">
        <v>547</v>
      </c>
    </row>
    <row r="1866" spans="1:5" x14ac:dyDescent="0.25">
      <c r="A1866" s="34">
        <v>33212</v>
      </c>
      <c r="B1866" t="str">
        <f t="shared" si="30"/>
        <v>33212</v>
      </c>
      <c r="C1866" t="s">
        <v>1200</v>
      </c>
      <c r="D1866">
        <v>0</v>
      </c>
      <c r="E1866" t="s">
        <v>547</v>
      </c>
    </row>
    <row r="1867" spans="1:5" x14ac:dyDescent="0.25">
      <c r="A1867" s="34">
        <v>33212</v>
      </c>
      <c r="B1867" t="str">
        <f t="shared" si="30"/>
        <v>33212</v>
      </c>
      <c r="C1867" t="s">
        <v>1204</v>
      </c>
      <c r="D1867">
        <v>204.73</v>
      </c>
      <c r="E1867" t="s">
        <v>547</v>
      </c>
    </row>
    <row r="1868" spans="1:5" x14ac:dyDescent="0.25">
      <c r="A1868" s="34">
        <v>33212</v>
      </c>
      <c r="B1868" t="str">
        <f t="shared" si="30"/>
        <v>33212</v>
      </c>
      <c r="C1868" t="s">
        <v>1207</v>
      </c>
      <c r="D1868">
        <v>0</v>
      </c>
      <c r="E1868" t="s">
        <v>547</v>
      </c>
    </row>
    <row r="1869" spans="1:5" x14ac:dyDescent="0.25">
      <c r="A1869" s="34">
        <v>33212</v>
      </c>
      <c r="B1869" t="str">
        <f t="shared" si="30"/>
        <v>33212</v>
      </c>
      <c r="C1869" t="s">
        <v>1208</v>
      </c>
      <c r="D1869">
        <v>55.28</v>
      </c>
      <c r="E1869" t="s">
        <v>547</v>
      </c>
    </row>
    <row r="1870" spans="1:5" x14ac:dyDescent="0.25">
      <c r="A1870" s="34">
        <v>33212</v>
      </c>
      <c r="B1870" t="str">
        <f t="shared" si="30"/>
        <v>33212</v>
      </c>
      <c r="C1870" t="s">
        <v>1210</v>
      </c>
      <c r="D1870">
        <v>0</v>
      </c>
      <c r="E1870" t="s">
        <v>547</v>
      </c>
    </row>
    <row r="1871" spans="1:5" x14ac:dyDescent="0.25">
      <c r="A1871" s="34">
        <v>33212</v>
      </c>
      <c r="B1871" t="str">
        <f t="shared" si="30"/>
        <v>33212</v>
      </c>
      <c r="C1871" t="s">
        <v>1212</v>
      </c>
      <c r="D1871">
        <v>0</v>
      </c>
      <c r="E1871" t="s">
        <v>547</v>
      </c>
    </row>
    <row r="1872" spans="1:5" x14ac:dyDescent="0.25">
      <c r="A1872" s="34">
        <v>33212</v>
      </c>
      <c r="B1872" t="str">
        <f t="shared" si="30"/>
        <v>33212</v>
      </c>
      <c r="C1872" t="s">
        <v>1216</v>
      </c>
      <c r="D1872">
        <v>17.8</v>
      </c>
      <c r="E1872" t="s">
        <v>547</v>
      </c>
    </row>
    <row r="1873" spans="1:5" x14ac:dyDescent="0.25">
      <c r="A1873" s="34">
        <v>33212</v>
      </c>
      <c r="B1873" t="str">
        <f t="shared" si="30"/>
        <v>33212</v>
      </c>
      <c r="C1873" t="s">
        <v>1198</v>
      </c>
      <c r="D1873">
        <v>31.64</v>
      </c>
      <c r="E1873" t="s">
        <v>547</v>
      </c>
    </row>
    <row r="1874" spans="1:5" x14ac:dyDescent="0.25">
      <c r="A1874" t="s">
        <v>16</v>
      </c>
      <c r="B1874" t="str">
        <f t="shared" si="30"/>
        <v>03052</v>
      </c>
      <c r="C1874" t="s">
        <v>1193</v>
      </c>
      <c r="D1874">
        <v>0</v>
      </c>
      <c r="E1874" t="s">
        <v>313</v>
      </c>
    </row>
    <row r="1875" spans="1:5" x14ac:dyDescent="0.25">
      <c r="A1875" t="s">
        <v>16</v>
      </c>
      <c r="B1875" t="str">
        <f t="shared" si="30"/>
        <v>03052</v>
      </c>
      <c r="C1875" t="s">
        <v>1194</v>
      </c>
      <c r="D1875">
        <v>302.60000000000002</v>
      </c>
      <c r="E1875" t="s">
        <v>313</v>
      </c>
    </row>
    <row r="1876" spans="1:5" x14ac:dyDescent="0.25">
      <c r="A1876" t="s">
        <v>16</v>
      </c>
      <c r="B1876" t="str">
        <f t="shared" si="30"/>
        <v>03052</v>
      </c>
      <c r="C1876" t="s">
        <v>1195</v>
      </c>
      <c r="D1876">
        <v>0</v>
      </c>
      <c r="E1876" t="s">
        <v>313</v>
      </c>
    </row>
    <row r="1877" spans="1:5" x14ac:dyDescent="0.25">
      <c r="A1877" t="s">
        <v>16</v>
      </c>
      <c r="B1877" t="str">
        <f t="shared" si="30"/>
        <v>03052</v>
      </c>
      <c r="C1877" t="s">
        <v>1197</v>
      </c>
      <c r="D1877">
        <v>96</v>
      </c>
      <c r="E1877" t="s">
        <v>313</v>
      </c>
    </row>
    <row r="1878" spans="1:5" x14ac:dyDescent="0.25">
      <c r="A1878" t="s">
        <v>16</v>
      </c>
      <c r="B1878" t="str">
        <f t="shared" si="30"/>
        <v>03052</v>
      </c>
      <c r="C1878" t="s">
        <v>1202</v>
      </c>
      <c r="D1878">
        <v>0</v>
      </c>
      <c r="E1878" t="s">
        <v>313</v>
      </c>
    </row>
    <row r="1879" spans="1:5" x14ac:dyDescent="0.25">
      <c r="A1879" t="s">
        <v>16</v>
      </c>
      <c r="B1879" t="str">
        <f t="shared" si="30"/>
        <v>03052</v>
      </c>
      <c r="C1879" t="s">
        <v>1206</v>
      </c>
      <c r="D1879">
        <v>204.4</v>
      </c>
      <c r="E1879" t="s">
        <v>313</v>
      </c>
    </row>
    <row r="1880" spans="1:5" x14ac:dyDescent="0.25">
      <c r="A1880" t="s">
        <v>16</v>
      </c>
      <c r="B1880" t="str">
        <f t="shared" si="30"/>
        <v>03052</v>
      </c>
      <c r="C1880" t="s">
        <v>1199</v>
      </c>
      <c r="D1880">
        <v>0</v>
      </c>
      <c r="E1880" t="s">
        <v>313</v>
      </c>
    </row>
    <row r="1881" spans="1:5" x14ac:dyDescent="0.25">
      <c r="A1881" t="s">
        <v>16</v>
      </c>
      <c r="B1881" t="str">
        <f t="shared" si="30"/>
        <v>03052</v>
      </c>
      <c r="C1881" t="s">
        <v>1203</v>
      </c>
      <c r="D1881">
        <v>226.19</v>
      </c>
      <c r="E1881" t="s">
        <v>313</v>
      </c>
    </row>
    <row r="1882" spans="1:5" x14ac:dyDescent="0.25">
      <c r="A1882" t="s">
        <v>16</v>
      </c>
      <c r="B1882" t="str">
        <f t="shared" si="30"/>
        <v>03052</v>
      </c>
      <c r="C1882" t="s">
        <v>1200</v>
      </c>
      <c r="D1882">
        <v>0</v>
      </c>
      <c r="E1882" t="s">
        <v>313</v>
      </c>
    </row>
    <row r="1883" spans="1:5" x14ac:dyDescent="0.25">
      <c r="A1883" t="s">
        <v>16</v>
      </c>
      <c r="B1883" t="str">
        <f t="shared" si="30"/>
        <v>03052</v>
      </c>
      <c r="C1883" t="s">
        <v>1204</v>
      </c>
      <c r="D1883">
        <v>368.17</v>
      </c>
      <c r="E1883" t="s">
        <v>313</v>
      </c>
    </row>
    <row r="1884" spans="1:5" x14ac:dyDescent="0.25">
      <c r="A1884" t="s">
        <v>16</v>
      </c>
      <c r="B1884" t="str">
        <f t="shared" si="30"/>
        <v>03052</v>
      </c>
      <c r="C1884" t="s">
        <v>1207</v>
      </c>
      <c r="D1884">
        <v>14.14</v>
      </c>
      <c r="E1884" t="s">
        <v>313</v>
      </c>
    </row>
    <row r="1885" spans="1:5" x14ac:dyDescent="0.25">
      <c r="A1885" t="s">
        <v>16</v>
      </c>
      <c r="B1885" t="str">
        <f t="shared" si="30"/>
        <v>03052</v>
      </c>
      <c r="C1885" t="s">
        <v>1208</v>
      </c>
      <c r="D1885">
        <v>78.92</v>
      </c>
      <c r="E1885" t="s">
        <v>313</v>
      </c>
    </row>
    <row r="1886" spans="1:5" x14ac:dyDescent="0.25">
      <c r="A1886" t="s">
        <v>16</v>
      </c>
      <c r="B1886" t="str">
        <f t="shared" si="30"/>
        <v>03052</v>
      </c>
      <c r="C1886" t="s">
        <v>1210</v>
      </c>
      <c r="D1886">
        <v>0</v>
      </c>
      <c r="E1886" t="s">
        <v>313</v>
      </c>
    </row>
    <row r="1887" spans="1:5" x14ac:dyDescent="0.25">
      <c r="A1887" t="s">
        <v>16</v>
      </c>
      <c r="B1887" t="str">
        <f t="shared" si="30"/>
        <v>03052</v>
      </c>
      <c r="C1887" t="s">
        <v>1212</v>
      </c>
      <c r="D1887">
        <v>0</v>
      </c>
      <c r="E1887" t="s">
        <v>313</v>
      </c>
    </row>
    <row r="1888" spans="1:5" x14ac:dyDescent="0.25">
      <c r="A1888" t="s">
        <v>16</v>
      </c>
      <c r="B1888" t="str">
        <f t="shared" si="30"/>
        <v>03052</v>
      </c>
      <c r="C1888" t="s">
        <v>1216</v>
      </c>
      <c r="D1888">
        <v>11.8</v>
      </c>
      <c r="E1888" t="s">
        <v>313</v>
      </c>
    </row>
    <row r="1889" spans="1:5" x14ac:dyDescent="0.25">
      <c r="A1889" t="s">
        <v>16</v>
      </c>
      <c r="B1889" t="str">
        <f t="shared" si="30"/>
        <v>03052</v>
      </c>
      <c r="C1889" t="s">
        <v>1198</v>
      </c>
      <c r="D1889">
        <v>77.599999999999994</v>
      </c>
      <c r="E1889" t="s">
        <v>313</v>
      </c>
    </row>
    <row r="1890" spans="1:5" x14ac:dyDescent="0.25">
      <c r="A1890">
        <v>19403</v>
      </c>
      <c r="B1890" t="str">
        <f t="shared" si="30"/>
        <v>19403</v>
      </c>
      <c r="C1890" t="s">
        <v>1193</v>
      </c>
      <c r="D1890">
        <v>0</v>
      </c>
      <c r="E1890" t="s">
        <v>422</v>
      </c>
    </row>
    <row r="1891" spans="1:5" x14ac:dyDescent="0.25">
      <c r="A1891">
        <v>19403</v>
      </c>
      <c r="B1891" t="str">
        <f t="shared" si="30"/>
        <v>19403</v>
      </c>
      <c r="C1891" t="s">
        <v>1194</v>
      </c>
      <c r="D1891">
        <v>108</v>
      </c>
      <c r="E1891" t="s">
        <v>422</v>
      </c>
    </row>
    <row r="1892" spans="1:5" x14ac:dyDescent="0.25">
      <c r="A1892">
        <v>19403</v>
      </c>
      <c r="B1892" t="str">
        <f t="shared" si="30"/>
        <v>19403</v>
      </c>
      <c r="C1892" t="s">
        <v>1195</v>
      </c>
      <c r="D1892">
        <v>0</v>
      </c>
      <c r="E1892" t="s">
        <v>422</v>
      </c>
    </row>
    <row r="1893" spans="1:5" x14ac:dyDescent="0.25">
      <c r="A1893">
        <v>19403</v>
      </c>
      <c r="B1893" t="str">
        <f t="shared" si="30"/>
        <v>19403</v>
      </c>
      <c r="C1893" t="s">
        <v>1197</v>
      </c>
      <c r="D1893">
        <v>48</v>
      </c>
      <c r="E1893" t="s">
        <v>422</v>
      </c>
    </row>
    <row r="1894" spans="1:5" x14ac:dyDescent="0.25">
      <c r="A1894">
        <v>19403</v>
      </c>
      <c r="B1894" t="str">
        <f t="shared" si="30"/>
        <v>19403</v>
      </c>
      <c r="C1894" t="s">
        <v>1202</v>
      </c>
      <c r="D1894">
        <v>0</v>
      </c>
      <c r="E1894" t="s">
        <v>422</v>
      </c>
    </row>
    <row r="1895" spans="1:5" x14ac:dyDescent="0.25">
      <c r="A1895">
        <v>19403</v>
      </c>
      <c r="B1895" t="str">
        <f t="shared" si="30"/>
        <v>19403</v>
      </c>
      <c r="C1895" t="s">
        <v>1206</v>
      </c>
      <c r="D1895">
        <v>72</v>
      </c>
      <c r="E1895" t="s">
        <v>422</v>
      </c>
    </row>
    <row r="1896" spans="1:5" x14ac:dyDescent="0.25">
      <c r="A1896">
        <v>19403</v>
      </c>
      <c r="B1896" t="str">
        <f t="shared" si="30"/>
        <v>19403</v>
      </c>
      <c r="C1896" t="s">
        <v>1199</v>
      </c>
      <c r="D1896">
        <v>0</v>
      </c>
      <c r="E1896" t="s">
        <v>422</v>
      </c>
    </row>
    <row r="1897" spans="1:5" x14ac:dyDescent="0.25">
      <c r="A1897">
        <v>19403</v>
      </c>
      <c r="B1897" t="str">
        <f t="shared" si="30"/>
        <v>19403</v>
      </c>
      <c r="C1897" t="s">
        <v>1203</v>
      </c>
      <c r="D1897">
        <v>91.69</v>
      </c>
      <c r="E1897" t="s">
        <v>422</v>
      </c>
    </row>
    <row r="1898" spans="1:5" x14ac:dyDescent="0.25">
      <c r="A1898">
        <v>19403</v>
      </c>
      <c r="B1898" t="str">
        <f t="shared" si="30"/>
        <v>19403</v>
      </c>
      <c r="C1898" t="s">
        <v>1200</v>
      </c>
      <c r="D1898">
        <v>0</v>
      </c>
      <c r="E1898" t="s">
        <v>422</v>
      </c>
    </row>
    <row r="1899" spans="1:5" x14ac:dyDescent="0.25">
      <c r="A1899">
        <v>19403</v>
      </c>
      <c r="B1899" t="str">
        <f t="shared" si="30"/>
        <v>19403</v>
      </c>
      <c r="C1899" t="s">
        <v>1204</v>
      </c>
      <c r="D1899">
        <v>167.03</v>
      </c>
      <c r="E1899" t="s">
        <v>422</v>
      </c>
    </row>
    <row r="1900" spans="1:5" x14ac:dyDescent="0.25">
      <c r="A1900">
        <v>19403</v>
      </c>
      <c r="B1900" t="str">
        <f t="shared" si="30"/>
        <v>19403</v>
      </c>
      <c r="C1900" t="s">
        <v>1207</v>
      </c>
      <c r="D1900">
        <v>16.84</v>
      </c>
      <c r="E1900" t="s">
        <v>422</v>
      </c>
    </row>
    <row r="1901" spans="1:5" x14ac:dyDescent="0.25">
      <c r="A1901">
        <v>19403</v>
      </c>
      <c r="B1901" t="str">
        <f t="shared" si="30"/>
        <v>19403</v>
      </c>
      <c r="C1901" t="s">
        <v>1208</v>
      </c>
      <c r="D1901">
        <v>35.57</v>
      </c>
      <c r="E1901" t="s">
        <v>422</v>
      </c>
    </row>
    <row r="1902" spans="1:5" x14ac:dyDescent="0.25">
      <c r="A1902">
        <v>19403</v>
      </c>
      <c r="B1902" t="str">
        <f t="shared" si="30"/>
        <v>19403</v>
      </c>
      <c r="C1902" t="s">
        <v>1210</v>
      </c>
      <c r="D1902">
        <v>0</v>
      </c>
      <c r="E1902" t="s">
        <v>422</v>
      </c>
    </row>
    <row r="1903" spans="1:5" x14ac:dyDescent="0.25">
      <c r="A1903">
        <v>19403</v>
      </c>
      <c r="B1903" t="str">
        <f t="shared" si="30"/>
        <v>19403</v>
      </c>
      <c r="C1903" t="s">
        <v>1212</v>
      </c>
      <c r="D1903">
        <v>0</v>
      </c>
      <c r="E1903" t="s">
        <v>422</v>
      </c>
    </row>
    <row r="1904" spans="1:5" x14ac:dyDescent="0.25">
      <c r="A1904">
        <v>19403</v>
      </c>
      <c r="B1904" t="str">
        <f t="shared" si="30"/>
        <v>19403</v>
      </c>
      <c r="C1904" t="s">
        <v>1216</v>
      </c>
      <c r="D1904">
        <v>18</v>
      </c>
      <c r="E1904" t="s">
        <v>422</v>
      </c>
    </row>
    <row r="1905" spans="1:5" x14ac:dyDescent="0.25">
      <c r="A1905">
        <v>19403</v>
      </c>
      <c r="B1905" t="str">
        <f t="shared" si="30"/>
        <v>19403</v>
      </c>
      <c r="C1905" t="s">
        <v>1198</v>
      </c>
      <c r="D1905">
        <v>44</v>
      </c>
      <c r="E1905" t="s">
        <v>422</v>
      </c>
    </row>
    <row r="1906" spans="1:5" x14ac:dyDescent="0.25">
      <c r="A1906" s="34">
        <v>20402</v>
      </c>
      <c r="B1906" t="str">
        <f t="shared" si="30"/>
        <v>20402</v>
      </c>
      <c r="C1906" t="s">
        <v>1193</v>
      </c>
      <c r="D1906">
        <v>0</v>
      </c>
      <c r="E1906" t="s">
        <v>429</v>
      </c>
    </row>
    <row r="1907" spans="1:5" x14ac:dyDescent="0.25">
      <c r="A1907" s="34">
        <v>20402</v>
      </c>
      <c r="B1907" t="str">
        <f t="shared" si="30"/>
        <v>20402</v>
      </c>
      <c r="C1907" t="s">
        <v>1194</v>
      </c>
      <c r="D1907">
        <v>19.600000000000001</v>
      </c>
      <c r="E1907" t="s">
        <v>429</v>
      </c>
    </row>
    <row r="1908" spans="1:5" x14ac:dyDescent="0.25">
      <c r="A1908" s="34">
        <v>20402</v>
      </c>
      <c r="B1908" t="str">
        <f t="shared" si="30"/>
        <v>20402</v>
      </c>
      <c r="C1908" t="s">
        <v>1195</v>
      </c>
      <c r="D1908">
        <v>0</v>
      </c>
      <c r="E1908" t="s">
        <v>429</v>
      </c>
    </row>
    <row r="1909" spans="1:5" x14ac:dyDescent="0.25">
      <c r="A1909" s="34">
        <v>20402</v>
      </c>
      <c r="B1909" t="str">
        <f t="shared" si="30"/>
        <v>20402</v>
      </c>
      <c r="C1909" t="s">
        <v>1197</v>
      </c>
      <c r="D1909">
        <v>5</v>
      </c>
      <c r="E1909" t="s">
        <v>429</v>
      </c>
    </row>
    <row r="1910" spans="1:5" x14ac:dyDescent="0.25">
      <c r="A1910" s="34">
        <v>20402</v>
      </c>
      <c r="B1910" t="str">
        <f t="shared" si="30"/>
        <v>20402</v>
      </c>
      <c r="C1910" t="s">
        <v>1202</v>
      </c>
      <c r="D1910">
        <v>0</v>
      </c>
      <c r="E1910" t="s">
        <v>429</v>
      </c>
    </row>
    <row r="1911" spans="1:5" x14ac:dyDescent="0.25">
      <c r="A1911" s="34">
        <v>20402</v>
      </c>
      <c r="B1911" t="str">
        <f t="shared" si="30"/>
        <v>20402</v>
      </c>
      <c r="C1911" t="s">
        <v>1206</v>
      </c>
      <c r="D1911">
        <v>15.2</v>
      </c>
      <c r="E1911" t="s">
        <v>429</v>
      </c>
    </row>
    <row r="1912" spans="1:5" x14ac:dyDescent="0.25">
      <c r="A1912" s="34">
        <v>20402</v>
      </c>
      <c r="B1912" t="str">
        <f t="shared" si="30"/>
        <v>20402</v>
      </c>
      <c r="C1912" t="s">
        <v>1199</v>
      </c>
      <c r="D1912">
        <v>0</v>
      </c>
      <c r="E1912" t="s">
        <v>429</v>
      </c>
    </row>
    <row r="1913" spans="1:5" x14ac:dyDescent="0.25">
      <c r="A1913" s="34">
        <v>20402</v>
      </c>
      <c r="B1913" t="str">
        <f t="shared" si="30"/>
        <v>20402</v>
      </c>
      <c r="C1913" t="s">
        <v>1203</v>
      </c>
      <c r="D1913">
        <v>13</v>
      </c>
      <c r="E1913" t="s">
        <v>429</v>
      </c>
    </row>
    <row r="1914" spans="1:5" x14ac:dyDescent="0.25">
      <c r="A1914" s="34">
        <v>20402</v>
      </c>
      <c r="B1914" t="str">
        <f t="shared" si="30"/>
        <v>20402</v>
      </c>
      <c r="C1914" t="s">
        <v>1200</v>
      </c>
      <c r="D1914">
        <v>0</v>
      </c>
      <c r="E1914" t="s">
        <v>429</v>
      </c>
    </row>
    <row r="1915" spans="1:5" x14ac:dyDescent="0.25">
      <c r="A1915" s="34">
        <v>20402</v>
      </c>
      <c r="B1915" t="str">
        <f t="shared" si="30"/>
        <v>20402</v>
      </c>
      <c r="C1915" t="s">
        <v>1204</v>
      </c>
      <c r="D1915">
        <v>18.7</v>
      </c>
      <c r="E1915" t="s">
        <v>429</v>
      </c>
    </row>
    <row r="1916" spans="1:5" x14ac:dyDescent="0.25">
      <c r="A1916" s="34">
        <v>20402</v>
      </c>
      <c r="B1916" t="str">
        <f t="shared" si="30"/>
        <v>20402</v>
      </c>
      <c r="C1916" t="s">
        <v>1207</v>
      </c>
      <c r="D1916">
        <v>0</v>
      </c>
      <c r="E1916" t="s">
        <v>429</v>
      </c>
    </row>
    <row r="1917" spans="1:5" x14ac:dyDescent="0.25">
      <c r="A1917" s="34">
        <v>20402</v>
      </c>
      <c r="B1917" t="str">
        <f t="shared" si="30"/>
        <v>20402</v>
      </c>
      <c r="C1917" t="s">
        <v>1208</v>
      </c>
      <c r="D1917">
        <v>0</v>
      </c>
      <c r="E1917" t="s">
        <v>429</v>
      </c>
    </row>
    <row r="1918" spans="1:5" x14ac:dyDescent="0.25">
      <c r="A1918" s="34">
        <v>20402</v>
      </c>
      <c r="B1918" t="str">
        <f t="shared" si="30"/>
        <v>20402</v>
      </c>
      <c r="C1918" t="s">
        <v>1210</v>
      </c>
      <c r="D1918">
        <v>0</v>
      </c>
      <c r="E1918" t="s">
        <v>429</v>
      </c>
    </row>
    <row r="1919" spans="1:5" x14ac:dyDescent="0.25">
      <c r="A1919" s="34">
        <v>20402</v>
      </c>
      <c r="B1919" t="str">
        <f t="shared" si="30"/>
        <v>20402</v>
      </c>
      <c r="C1919" t="s">
        <v>1212</v>
      </c>
      <c r="D1919">
        <v>0</v>
      </c>
      <c r="E1919" t="s">
        <v>429</v>
      </c>
    </row>
    <row r="1920" spans="1:5" x14ac:dyDescent="0.25">
      <c r="A1920" s="34">
        <v>20402</v>
      </c>
      <c r="B1920" t="str">
        <f t="shared" si="30"/>
        <v>20402</v>
      </c>
      <c r="C1920" t="s">
        <v>1216</v>
      </c>
      <c r="D1920">
        <v>0</v>
      </c>
      <c r="E1920" t="s">
        <v>429</v>
      </c>
    </row>
    <row r="1921" spans="1:5" x14ac:dyDescent="0.25">
      <c r="A1921" s="34">
        <v>20402</v>
      </c>
      <c r="B1921" t="str">
        <f t="shared" si="30"/>
        <v>20402</v>
      </c>
      <c r="C1921" t="s">
        <v>1198</v>
      </c>
      <c r="D1921">
        <v>0</v>
      </c>
      <c r="E1921" t="s">
        <v>429</v>
      </c>
    </row>
    <row r="1922" spans="1:5" x14ac:dyDescent="0.25">
      <c r="A1922" t="s">
        <v>34</v>
      </c>
      <c r="B1922" t="str">
        <f t="shared" si="30"/>
        <v>06101</v>
      </c>
      <c r="C1922" t="s">
        <v>1193</v>
      </c>
      <c r="D1922">
        <v>0</v>
      </c>
      <c r="E1922" t="s">
        <v>330</v>
      </c>
    </row>
    <row r="1923" spans="1:5" x14ac:dyDescent="0.25">
      <c r="A1923" t="s">
        <v>34</v>
      </c>
      <c r="B1923" t="str">
        <f t="shared" ref="B1923:B1986" si="31">TEXT(A1923,"00000")</f>
        <v>06101</v>
      </c>
      <c r="C1923" t="s">
        <v>1194</v>
      </c>
      <c r="D1923">
        <v>385.07</v>
      </c>
      <c r="E1923" t="s">
        <v>330</v>
      </c>
    </row>
    <row r="1924" spans="1:5" x14ac:dyDescent="0.25">
      <c r="A1924" t="s">
        <v>34</v>
      </c>
      <c r="B1924" t="str">
        <f t="shared" si="31"/>
        <v>06101</v>
      </c>
      <c r="C1924" t="s">
        <v>1195</v>
      </c>
      <c r="D1924">
        <v>0</v>
      </c>
      <c r="E1924" t="s">
        <v>330</v>
      </c>
    </row>
    <row r="1925" spans="1:5" x14ac:dyDescent="0.25">
      <c r="A1925" t="s">
        <v>34</v>
      </c>
      <c r="B1925" t="str">
        <f t="shared" si="31"/>
        <v>06101</v>
      </c>
      <c r="C1925" t="s">
        <v>1197</v>
      </c>
      <c r="D1925">
        <v>131.13999999999999</v>
      </c>
      <c r="E1925" t="s">
        <v>330</v>
      </c>
    </row>
    <row r="1926" spans="1:5" x14ac:dyDescent="0.25">
      <c r="A1926" t="s">
        <v>34</v>
      </c>
      <c r="B1926" t="str">
        <f t="shared" si="31"/>
        <v>06101</v>
      </c>
      <c r="C1926" t="s">
        <v>1202</v>
      </c>
      <c r="D1926">
        <v>0</v>
      </c>
      <c r="E1926" t="s">
        <v>330</v>
      </c>
    </row>
    <row r="1927" spans="1:5" x14ac:dyDescent="0.25">
      <c r="A1927" t="s">
        <v>34</v>
      </c>
      <c r="B1927" t="str">
        <f t="shared" si="31"/>
        <v>06101</v>
      </c>
      <c r="C1927" t="s">
        <v>1206</v>
      </c>
      <c r="D1927">
        <v>284.45999999999998</v>
      </c>
      <c r="E1927" t="s">
        <v>330</v>
      </c>
    </row>
    <row r="1928" spans="1:5" x14ac:dyDescent="0.25">
      <c r="A1928" t="s">
        <v>34</v>
      </c>
      <c r="B1928" t="str">
        <f t="shared" si="31"/>
        <v>06101</v>
      </c>
      <c r="C1928" t="s">
        <v>1199</v>
      </c>
      <c r="D1928">
        <v>0</v>
      </c>
      <c r="E1928" t="s">
        <v>330</v>
      </c>
    </row>
    <row r="1929" spans="1:5" x14ac:dyDescent="0.25">
      <c r="A1929" t="s">
        <v>34</v>
      </c>
      <c r="B1929" t="str">
        <f t="shared" si="31"/>
        <v>06101</v>
      </c>
      <c r="C1929" t="s">
        <v>1203</v>
      </c>
      <c r="D1929">
        <v>277.8</v>
      </c>
      <c r="E1929" t="s">
        <v>330</v>
      </c>
    </row>
    <row r="1930" spans="1:5" x14ac:dyDescent="0.25">
      <c r="A1930" t="s">
        <v>34</v>
      </c>
      <c r="B1930" t="str">
        <f t="shared" si="31"/>
        <v>06101</v>
      </c>
      <c r="C1930" t="s">
        <v>1200</v>
      </c>
      <c r="D1930">
        <v>0</v>
      </c>
      <c r="E1930" t="s">
        <v>330</v>
      </c>
    </row>
    <row r="1931" spans="1:5" x14ac:dyDescent="0.25">
      <c r="A1931" t="s">
        <v>34</v>
      </c>
      <c r="B1931" t="str">
        <f t="shared" si="31"/>
        <v>06101</v>
      </c>
      <c r="C1931" t="s">
        <v>1204</v>
      </c>
      <c r="D1931">
        <v>503.81</v>
      </c>
      <c r="E1931" t="s">
        <v>330</v>
      </c>
    </row>
    <row r="1932" spans="1:5" x14ac:dyDescent="0.25">
      <c r="A1932" t="s">
        <v>34</v>
      </c>
      <c r="B1932" t="str">
        <f t="shared" si="31"/>
        <v>06101</v>
      </c>
      <c r="C1932" t="s">
        <v>1207</v>
      </c>
      <c r="D1932">
        <v>6.02</v>
      </c>
      <c r="E1932" t="s">
        <v>330</v>
      </c>
    </row>
    <row r="1933" spans="1:5" x14ac:dyDescent="0.25">
      <c r="A1933" t="s">
        <v>34</v>
      </c>
      <c r="B1933" t="str">
        <f t="shared" si="31"/>
        <v>06101</v>
      </c>
      <c r="C1933" t="s">
        <v>1208</v>
      </c>
      <c r="D1933">
        <v>115.18</v>
      </c>
      <c r="E1933" t="s">
        <v>330</v>
      </c>
    </row>
    <row r="1934" spans="1:5" x14ac:dyDescent="0.25">
      <c r="A1934" t="s">
        <v>34</v>
      </c>
      <c r="B1934" t="str">
        <f t="shared" si="31"/>
        <v>06101</v>
      </c>
      <c r="C1934" t="s">
        <v>1210</v>
      </c>
      <c r="D1934">
        <v>0</v>
      </c>
      <c r="E1934" t="s">
        <v>330</v>
      </c>
    </row>
    <row r="1935" spans="1:5" x14ac:dyDescent="0.25">
      <c r="A1935" t="s">
        <v>34</v>
      </c>
      <c r="B1935" t="str">
        <f t="shared" si="31"/>
        <v>06101</v>
      </c>
      <c r="C1935" t="s">
        <v>1212</v>
      </c>
      <c r="D1935">
        <v>0</v>
      </c>
      <c r="E1935" t="s">
        <v>330</v>
      </c>
    </row>
    <row r="1936" spans="1:5" x14ac:dyDescent="0.25">
      <c r="A1936" t="s">
        <v>34</v>
      </c>
      <c r="B1936" t="str">
        <f t="shared" si="31"/>
        <v>06101</v>
      </c>
      <c r="C1936" t="s">
        <v>1216</v>
      </c>
      <c r="D1936">
        <v>0</v>
      </c>
      <c r="E1936" t="s">
        <v>330</v>
      </c>
    </row>
    <row r="1937" spans="1:5" x14ac:dyDescent="0.25">
      <c r="A1937" t="s">
        <v>34</v>
      </c>
      <c r="B1937" t="str">
        <f t="shared" si="31"/>
        <v>06101</v>
      </c>
      <c r="C1937" t="s">
        <v>1198</v>
      </c>
      <c r="D1937">
        <v>125.89</v>
      </c>
      <c r="E1937" t="s">
        <v>330</v>
      </c>
    </row>
    <row r="1938" spans="1:5" x14ac:dyDescent="0.25">
      <c r="A1938">
        <v>29311</v>
      </c>
      <c r="B1938" t="str">
        <f t="shared" si="31"/>
        <v>29311</v>
      </c>
      <c r="C1938" t="s">
        <v>1193</v>
      </c>
      <c r="D1938">
        <v>0</v>
      </c>
      <c r="E1938" t="s">
        <v>501</v>
      </c>
    </row>
    <row r="1939" spans="1:5" x14ac:dyDescent="0.25">
      <c r="A1939">
        <v>29311</v>
      </c>
      <c r="B1939" t="str">
        <f t="shared" si="31"/>
        <v>29311</v>
      </c>
      <c r="C1939" t="s">
        <v>1194</v>
      </c>
      <c r="D1939">
        <v>87.8</v>
      </c>
      <c r="E1939" t="s">
        <v>501</v>
      </c>
    </row>
    <row r="1940" spans="1:5" x14ac:dyDescent="0.25">
      <c r="A1940">
        <v>29311</v>
      </c>
      <c r="B1940" t="str">
        <f t="shared" si="31"/>
        <v>29311</v>
      </c>
      <c r="C1940" t="s">
        <v>1195</v>
      </c>
      <c r="D1940">
        <v>0</v>
      </c>
      <c r="E1940" t="s">
        <v>501</v>
      </c>
    </row>
    <row r="1941" spans="1:5" x14ac:dyDescent="0.25">
      <c r="A1941">
        <v>29311</v>
      </c>
      <c r="B1941" t="str">
        <f t="shared" si="31"/>
        <v>29311</v>
      </c>
      <c r="C1941" t="s">
        <v>1197</v>
      </c>
      <c r="D1941">
        <v>30.6</v>
      </c>
      <c r="E1941" t="s">
        <v>501</v>
      </c>
    </row>
    <row r="1942" spans="1:5" x14ac:dyDescent="0.25">
      <c r="A1942">
        <v>29311</v>
      </c>
      <c r="B1942" t="str">
        <f t="shared" si="31"/>
        <v>29311</v>
      </c>
      <c r="C1942" t="s">
        <v>1202</v>
      </c>
      <c r="D1942">
        <v>0</v>
      </c>
      <c r="E1942" t="s">
        <v>501</v>
      </c>
    </row>
    <row r="1943" spans="1:5" x14ac:dyDescent="0.25">
      <c r="A1943">
        <v>29311</v>
      </c>
      <c r="B1943" t="str">
        <f t="shared" si="31"/>
        <v>29311</v>
      </c>
      <c r="C1943" t="s">
        <v>1206</v>
      </c>
      <c r="D1943">
        <v>79.2</v>
      </c>
      <c r="E1943" t="s">
        <v>501</v>
      </c>
    </row>
    <row r="1944" spans="1:5" x14ac:dyDescent="0.25">
      <c r="A1944">
        <v>29311</v>
      </c>
      <c r="B1944" t="str">
        <f t="shared" si="31"/>
        <v>29311</v>
      </c>
      <c r="C1944" t="s">
        <v>1199</v>
      </c>
      <c r="D1944">
        <v>0</v>
      </c>
      <c r="E1944" t="s">
        <v>501</v>
      </c>
    </row>
    <row r="1945" spans="1:5" x14ac:dyDescent="0.25">
      <c r="A1945">
        <v>29311</v>
      </c>
      <c r="B1945" t="str">
        <f t="shared" si="31"/>
        <v>29311</v>
      </c>
      <c r="C1945" t="s">
        <v>1203</v>
      </c>
      <c r="D1945">
        <v>76.88</v>
      </c>
      <c r="E1945" t="s">
        <v>501</v>
      </c>
    </row>
    <row r="1946" spans="1:5" x14ac:dyDescent="0.25">
      <c r="A1946">
        <v>29311</v>
      </c>
      <c r="B1946" t="str">
        <f t="shared" si="31"/>
        <v>29311</v>
      </c>
      <c r="C1946" t="s">
        <v>1200</v>
      </c>
      <c r="D1946">
        <v>0</v>
      </c>
      <c r="E1946" t="s">
        <v>501</v>
      </c>
    </row>
    <row r="1947" spans="1:5" x14ac:dyDescent="0.25">
      <c r="A1947">
        <v>29311</v>
      </c>
      <c r="B1947" t="str">
        <f t="shared" si="31"/>
        <v>29311</v>
      </c>
      <c r="C1947" t="s">
        <v>1204</v>
      </c>
      <c r="D1947">
        <v>147.09</v>
      </c>
      <c r="E1947" t="s">
        <v>501</v>
      </c>
    </row>
    <row r="1948" spans="1:5" x14ac:dyDescent="0.25">
      <c r="A1948">
        <v>29311</v>
      </c>
      <c r="B1948" t="str">
        <f t="shared" si="31"/>
        <v>29311</v>
      </c>
      <c r="C1948" t="s">
        <v>1207</v>
      </c>
      <c r="D1948">
        <v>5.54</v>
      </c>
      <c r="E1948" t="s">
        <v>501</v>
      </c>
    </row>
    <row r="1949" spans="1:5" x14ac:dyDescent="0.25">
      <c r="A1949">
        <v>29311</v>
      </c>
      <c r="B1949" t="str">
        <f t="shared" si="31"/>
        <v>29311</v>
      </c>
      <c r="C1949" t="s">
        <v>1208</v>
      </c>
      <c r="D1949">
        <v>15.71</v>
      </c>
      <c r="E1949" t="s">
        <v>501</v>
      </c>
    </row>
    <row r="1950" spans="1:5" x14ac:dyDescent="0.25">
      <c r="A1950">
        <v>29311</v>
      </c>
      <c r="B1950" t="str">
        <f t="shared" si="31"/>
        <v>29311</v>
      </c>
      <c r="C1950" t="s">
        <v>1210</v>
      </c>
      <c r="D1950">
        <v>0</v>
      </c>
      <c r="E1950" t="s">
        <v>501</v>
      </c>
    </row>
    <row r="1951" spans="1:5" x14ac:dyDescent="0.25">
      <c r="A1951">
        <v>29311</v>
      </c>
      <c r="B1951" t="str">
        <f t="shared" si="31"/>
        <v>29311</v>
      </c>
      <c r="C1951" t="s">
        <v>1212</v>
      </c>
      <c r="D1951">
        <v>0</v>
      </c>
      <c r="E1951" t="s">
        <v>501</v>
      </c>
    </row>
    <row r="1952" spans="1:5" x14ac:dyDescent="0.25">
      <c r="A1952">
        <v>29311</v>
      </c>
      <c r="B1952" t="str">
        <f t="shared" si="31"/>
        <v>29311</v>
      </c>
      <c r="C1952" t="s">
        <v>1216</v>
      </c>
      <c r="D1952">
        <v>0</v>
      </c>
      <c r="E1952" t="s">
        <v>501</v>
      </c>
    </row>
    <row r="1953" spans="1:5" x14ac:dyDescent="0.25">
      <c r="A1953">
        <v>29311</v>
      </c>
      <c r="B1953" t="str">
        <f t="shared" si="31"/>
        <v>29311</v>
      </c>
      <c r="C1953" t="s">
        <v>1198</v>
      </c>
      <c r="D1953">
        <v>29.8</v>
      </c>
      <c r="E1953" t="s">
        <v>501</v>
      </c>
    </row>
    <row r="1954" spans="1:5" x14ac:dyDescent="0.25">
      <c r="A1954" s="34">
        <v>38126</v>
      </c>
      <c r="B1954" t="str">
        <f t="shared" si="31"/>
        <v>38126</v>
      </c>
      <c r="C1954" t="s">
        <v>1193</v>
      </c>
      <c r="D1954">
        <v>0</v>
      </c>
      <c r="E1954" t="s">
        <v>572</v>
      </c>
    </row>
    <row r="1955" spans="1:5" x14ac:dyDescent="0.25">
      <c r="A1955" s="34">
        <v>38126</v>
      </c>
      <c r="B1955" t="str">
        <f t="shared" si="31"/>
        <v>38126</v>
      </c>
      <c r="C1955" t="s">
        <v>1194</v>
      </c>
      <c r="D1955">
        <v>12</v>
      </c>
      <c r="E1955" t="s">
        <v>572</v>
      </c>
    </row>
    <row r="1956" spans="1:5" x14ac:dyDescent="0.25">
      <c r="A1956" s="34">
        <v>38126</v>
      </c>
      <c r="B1956" t="str">
        <f t="shared" si="31"/>
        <v>38126</v>
      </c>
      <c r="C1956" t="s">
        <v>1195</v>
      </c>
      <c r="D1956">
        <v>0</v>
      </c>
      <c r="E1956" t="s">
        <v>572</v>
      </c>
    </row>
    <row r="1957" spans="1:5" x14ac:dyDescent="0.25">
      <c r="A1957" s="34">
        <v>38126</v>
      </c>
      <c r="B1957" t="str">
        <f t="shared" si="31"/>
        <v>38126</v>
      </c>
      <c r="C1957" t="s">
        <v>1197</v>
      </c>
      <c r="D1957">
        <v>7</v>
      </c>
      <c r="E1957" t="s">
        <v>572</v>
      </c>
    </row>
    <row r="1958" spans="1:5" x14ac:dyDescent="0.25">
      <c r="A1958" s="34">
        <v>38126</v>
      </c>
      <c r="B1958" t="str">
        <f t="shared" si="31"/>
        <v>38126</v>
      </c>
      <c r="C1958" t="s">
        <v>1202</v>
      </c>
      <c r="D1958">
        <v>0</v>
      </c>
      <c r="E1958" t="s">
        <v>572</v>
      </c>
    </row>
    <row r="1959" spans="1:5" x14ac:dyDescent="0.25">
      <c r="A1959" s="34">
        <v>38126</v>
      </c>
      <c r="B1959" t="str">
        <f t="shared" si="31"/>
        <v>38126</v>
      </c>
      <c r="C1959" t="s">
        <v>1206</v>
      </c>
      <c r="D1959">
        <v>11.4</v>
      </c>
      <c r="E1959" t="s">
        <v>572</v>
      </c>
    </row>
    <row r="1960" spans="1:5" x14ac:dyDescent="0.25">
      <c r="A1960" s="34">
        <v>38126</v>
      </c>
      <c r="B1960" t="str">
        <f t="shared" si="31"/>
        <v>38126</v>
      </c>
      <c r="C1960" t="s">
        <v>1199</v>
      </c>
      <c r="D1960">
        <v>0</v>
      </c>
      <c r="E1960" t="s">
        <v>572</v>
      </c>
    </row>
    <row r="1961" spans="1:5" x14ac:dyDescent="0.25">
      <c r="A1961" s="34">
        <v>38126</v>
      </c>
      <c r="B1961" t="str">
        <f t="shared" si="31"/>
        <v>38126</v>
      </c>
      <c r="C1961" t="s">
        <v>1203</v>
      </c>
      <c r="D1961">
        <v>8.4</v>
      </c>
      <c r="E1961" t="s">
        <v>572</v>
      </c>
    </row>
    <row r="1962" spans="1:5" x14ac:dyDescent="0.25">
      <c r="A1962" s="34">
        <v>38126</v>
      </c>
      <c r="B1962" t="str">
        <f t="shared" si="31"/>
        <v>38126</v>
      </c>
      <c r="C1962" t="s">
        <v>1200</v>
      </c>
      <c r="D1962">
        <v>0</v>
      </c>
      <c r="E1962" t="s">
        <v>572</v>
      </c>
    </row>
    <row r="1963" spans="1:5" x14ac:dyDescent="0.25">
      <c r="A1963" s="34">
        <v>38126</v>
      </c>
      <c r="B1963" t="str">
        <f t="shared" si="31"/>
        <v>38126</v>
      </c>
      <c r="C1963" t="s">
        <v>1204</v>
      </c>
      <c r="D1963">
        <v>28.08</v>
      </c>
      <c r="E1963" t="s">
        <v>572</v>
      </c>
    </row>
    <row r="1964" spans="1:5" x14ac:dyDescent="0.25">
      <c r="A1964" s="34">
        <v>38126</v>
      </c>
      <c r="B1964" t="str">
        <f t="shared" si="31"/>
        <v>38126</v>
      </c>
      <c r="C1964" t="s">
        <v>1207</v>
      </c>
      <c r="D1964">
        <v>1.1299999999999999</v>
      </c>
      <c r="E1964" t="s">
        <v>572</v>
      </c>
    </row>
    <row r="1965" spans="1:5" x14ac:dyDescent="0.25">
      <c r="A1965" s="34">
        <v>38126</v>
      </c>
      <c r="B1965" t="str">
        <f t="shared" si="31"/>
        <v>38126</v>
      </c>
      <c r="C1965" t="s">
        <v>1208</v>
      </c>
      <c r="D1965">
        <v>6.71</v>
      </c>
      <c r="E1965" t="s">
        <v>572</v>
      </c>
    </row>
    <row r="1966" spans="1:5" x14ac:dyDescent="0.25">
      <c r="A1966" s="34">
        <v>38126</v>
      </c>
      <c r="B1966" t="str">
        <f t="shared" si="31"/>
        <v>38126</v>
      </c>
      <c r="C1966" t="s">
        <v>1210</v>
      </c>
      <c r="D1966">
        <v>0</v>
      </c>
      <c r="E1966" t="s">
        <v>572</v>
      </c>
    </row>
    <row r="1967" spans="1:5" x14ac:dyDescent="0.25">
      <c r="A1967" s="34">
        <v>38126</v>
      </c>
      <c r="B1967" t="str">
        <f t="shared" si="31"/>
        <v>38126</v>
      </c>
      <c r="C1967" t="s">
        <v>1212</v>
      </c>
      <c r="D1967">
        <v>0</v>
      </c>
      <c r="E1967" t="s">
        <v>572</v>
      </c>
    </row>
    <row r="1968" spans="1:5" x14ac:dyDescent="0.25">
      <c r="A1968" s="34">
        <v>38126</v>
      </c>
      <c r="B1968" t="str">
        <f t="shared" si="31"/>
        <v>38126</v>
      </c>
      <c r="C1968" t="s">
        <v>1216</v>
      </c>
      <c r="D1968">
        <v>2.58</v>
      </c>
      <c r="E1968" t="s">
        <v>572</v>
      </c>
    </row>
    <row r="1969" spans="1:5" x14ac:dyDescent="0.25">
      <c r="A1969" s="34">
        <v>38126</v>
      </c>
      <c r="B1969" t="str">
        <f t="shared" si="31"/>
        <v>38126</v>
      </c>
      <c r="C1969" t="s">
        <v>1198</v>
      </c>
      <c r="D1969">
        <v>6</v>
      </c>
      <c r="E1969" t="s">
        <v>572</v>
      </c>
    </row>
    <row r="1970" spans="1:5" x14ac:dyDescent="0.25">
      <c r="A1970" t="s">
        <v>23</v>
      </c>
      <c r="B1970" t="str">
        <f t="shared" si="31"/>
        <v>04129</v>
      </c>
      <c r="C1970" t="s">
        <v>1193</v>
      </c>
      <c r="D1970">
        <v>0</v>
      </c>
      <c r="E1970" t="s">
        <v>320</v>
      </c>
    </row>
    <row r="1971" spans="1:5" x14ac:dyDescent="0.25">
      <c r="A1971" t="s">
        <v>23</v>
      </c>
      <c r="B1971" t="str">
        <f t="shared" si="31"/>
        <v>04129</v>
      </c>
      <c r="C1971" t="s">
        <v>1194</v>
      </c>
      <c r="D1971">
        <v>235.24</v>
      </c>
      <c r="E1971" t="s">
        <v>320</v>
      </c>
    </row>
    <row r="1972" spans="1:5" x14ac:dyDescent="0.25">
      <c r="A1972" t="s">
        <v>23</v>
      </c>
      <c r="B1972" t="str">
        <f t="shared" si="31"/>
        <v>04129</v>
      </c>
      <c r="C1972" t="s">
        <v>1195</v>
      </c>
      <c r="D1972">
        <v>0</v>
      </c>
      <c r="E1972" t="s">
        <v>320</v>
      </c>
    </row>
    <row r="1973" spans="1:5" x14ac:dyDescent="0.25">
      <c r="A1973" t="s">
        <v>23</v>
      </c>
      <c r="B1973" t="str">
        <f t="shared" si="31"/>
        <v>04129</v>
      </c>
      <c r="C1973" t="s">
        <v>1197</v>
      </c>
      <c r="D1973">
        <v>73.599999999999994</v>
      </c>
      <c r="E1973" t="s">
        <v>320</v>
      </c>
    </row>
    <row r="1974" spans="1:5" x14ac:dyDescent="0.25">
      <c r="A1974" t="s">
        <v>23</v>
      </c>
      <c r="B1974" t="str">
        <f t="shared" si="31"/>
        <v>04129</v>
      </c>
      <c r="C1974" t="s">
        <v>1202</v>
      </c>
      <c r="D1974">
        <v>0</v>
      </c>
      <c r="E1974" t="s">
        <v>320</v>
      </c>
    </row>
    <row r="1975" spans="1:5" x14ac:dyDescent="0.25">
      <c r="A1975" t="s">
        <v>23</v>
      </c>
      <c r="B1975" t="str">
        <f t="shared" si="31"/>
        <v>04129</v>
      </c>
      <c r="C1975" t="s">
        <v>1206</v>
      </c>
      <c r="D1975">
        <v>178.49</v>
      </c>
      <c r="E1975" t="s">
        <v>320</v>
      </c>
    </row>
    <row r="1976" spans="1:5" x14ac:dyDescent="0.25">
      <c r="A1976" t="s">
        <v>23</v>
      </c>
      <c r="B1976" t="str">
        <f t="shared" si="31"/>
        <v>04129</v>
      </c>
      <c r="C1976" t="s">
        <v>1199</v>
      </c>
      <c r="D1976">
        <v>0</v>
      </c>
      <c r="E1976" t="s">
        <v>320</v>
      </c>
    </row>
    <row r="1977" spans="1:5" x14ac:dyDescent="0.25">
      <c r="A1977" t="s">
        <v>23</v>
      </c>
      <c r="B1977" t="str">
        <f t="shared" si="31"/>
        <v>04129</v>
      </c>
      <c r="C1977" t="s">
        <v>1203</v>
      </c>
      <c r="D1977">
        <v>189.55</v>
      </c>
      <c r="E1977" t="s">
        <v>320</v>
      </c>
    </row>
    <row r="1978" spans="1:5" x14ac:dyDescent="0.25">
      <c r="A1978" t="s">
        <v>23</v>
      </c>
      <c r="B1978" t="str">
        <f t="shared" si="31"/>
        <v>04129</v>
      </c>
      <c r="C1978" t="s">
        <v>1200</v>
      </c>
      <c r="D1978">
        <v>0</v>
      </c>
      <c r="E1978" t="s">
        <v>320</v>
      </c>
    </row>
    <row r="1979" spans="1:5" x14ac:dyDescent="0.25">
      <c r="A1979" t="s">
        <v>23</v>
      </c>
      <c r="B1979" t="str">
        <f t="shared" si="31"/>
        <v>04129</v>
      </c>
      <c r="C1979" t="s">
        <v>1204</v>
      </c>
      <c r="D1979">
        <v>439.61</v>
      </c>
      <c r="E1979" t="s">
        <v>320</v>
      </c>
    </row>
    <row r="1980" spans="1:5" x14ac:dyDescent="0.25">
      <c r="A1980" t="s">
        <v>23</v>
      </c>
      <c r="B1980" t="str">
        <f t="shared" si="31"/>
        <v>04129</v>
      </c>
      <c r="C1980" t="s">
        <v>1207</v>
      </c>
      <c r="D1980">
        <v>12.61</v>
      </c>
      <c r="E1980" t="s">
        <v>320</v>
      </c>
    </row>
    <row r="1981" spans="1:5" x14ac:dyDescent="0.25">
      <c r="A1981" t="s">
        <v>23</v>
      </c>
      <c r="B1981" t="str">
        <f t="shared" si="31"/>
        <v>04129</v>
      </c>
      <c r="C1981" t="s">
        <v>1208</v>
      </c>
      <c r="D1981">
        <v>148.6</v>
      </c>
      <c r="E1981" t="s">
        <v>320</v>
      </c>
    </row>
    <row r="1982" spans="1:5" x14ac:dyDescent="0.25">
      <c r="A1982" t="s">
        <v>23</v>
      </c>
      <c r="B1982" t="str">
        <f t="shared" si="31"/>
        <v>04129</v>
      </c>
      <c r="C1982" t="s">
        <v>1210</v>
      </c>
      <c r="D1982">
        <v>0</v>
      </c>
      <c r="E1982" t="s">
        <v>320</v>
      </c>
    </row>
    <row r="1983" spans="1:5" x14ac:dyDescent="0.25">
      <c r="A1983" t="s">
        <v>23</v>
      </c>
      <c r="B1983" t="str">
        <f t="shared" si="31"/>
        <v>04129</v>
      </c>
      <c r="C1983" t="s">
        <v>1212</v>
      </c>
      <c r="D1983">
        <v>0</v>
      </c>
      <c r="E1983" t="s">
        <v>320</v>
      </c>
    </row>
    <row r="1984" spans="1:5" x14ac:dyDescent="0.25">
      <c r="A1984" t="s">
        <v>23</v>
      </c>
      <c r="B1984" t="str">
        <f t="shared" si="31"/>
        <v>04129</v>
      </c>
      <c r="C1984" t="s">
        <v>1216</v>
      </c>
      <c r="D1984">
        <v>0</v>
      </c>
      <c r="E1984" t="s">
        <v>320</v>
      </c>
    </row>
    <row r="1985" spans="1:5" x14ac:dyDescent="0.25">
      <c r="A1985" t="s">
        <v>23</v>
      </c>
      <c r="B1985" t="str">
        <f t="shared" si="31"/>
        <v>04129</v>
      </c>
      <c r="C1985" t="s">
        <v>1198</v>
      </c>
      <c r="D1985">
        <v>75.02</v>
      </c>
      <c r="E1985" t="s">
        <v>320</v>
      </c>
    </row>
    <row r="1986" spans="1:5" x14ac:dyDescent="0.25">
      <c r="A1986">
        <v>14097</v>
      </c>
      <c r="B1986" t="str">
        <f t="shared" si="31"/>
        <v>14097</v>
      </c>
      <c r="C1986" t="s">
        <v>1193</v>
      </c>
      <c r="D1986">
        <v>0</v>
      </c>
      <c r="E1986" t="s">
        <v>378</v>
      </c>
    </row>
    <row r="1987" spans="1:5" x14ac:dyDescent="0.25">
      <c r="A1987">
        <v>14097</v>
      </c>
      <c r="B1987" t="str">
        <f t="shared" ref="B1987:B2050" si="32">TEXT(A1987,"00000")</f>
        <v>14097</v>
      </c>
      <c r="C1987" t="s">
        <v>1194</v>
      </c>
      <c r="D1987">
        <v>36.200000000000003</v>
      </c>
      <c r="E1987" t="s">
        <v>378</v>
      </c>
    </row>
    <row r="1988" spans="1:5" x14ac:dyDescent="0.25">
      <c r="A1988">
        <v>14097</v>
      </c>
      <c r="B1988" t="str">
        <f t="shared" si="32"/>
        <v>14097</v>
      </c>
      <c r="C1988" t="s">
        <v>1195</v>
      </c>
      <c r="D1988">
        <v>0</v>
      </c>
      <c r="E1988" t="s">
        <v>378</v>
      </c>
    </row>
    <row r="1989" spans="1:5" x14ac:dyDescent="0.25">
      <c r="A1989">
        <v>14097</v>
      </c>
      <c r="B1989" t="str">
        <f t="shared" si="32"/>
        <v>14097</v>
      </c>
      <c r="C1989" t="s">
        <v>1197</v>
      </c>
      <c r="D1989">
        <v>15.65</v>
      </c>
      <c r="E1989" t="s">
        <v>378</v>
      </c>
    </row>
    <row r="1990" spans="1:5" x14ac:dyDescent="0.25">
      <c r="A1990">
        <v>14097</v>
      </c>
      <c r="B1990" t="str">
        <f t="shared" si="32"/>
        <v>14097</v>
      </c>
      <c r="C1990" t="s">
        <v>1202</v>
      </c>
      <c r="D1990">
        <v>0</v>
      </c>
      <c r="E1990" t="s">
        <v>378</v>
      </c>
    </row>
    <row r="1991" spans="1:5" x14ac:dyDescent="0.25">
      <c r="A1991">
        <v>14097</v>
      </c>
      <c r="B1991" t="str">
        <f t="shared" si="32"/>
        <v>14097</v>
      </c>
      <c r="C1991" t="s">
        <v>1206</v>
      </c>
      <c r="D1991">
        <v>37.6</v>
      </c>
      <c r="E1991" t="s">
        <v>378</v>
      </c>
    </row>
    <row r="1992" spans="1:5" x14ac:dyDescent="0.25">
      <c r="A1992">
        <v>14097</v>
      </c>
      <c r="B1992" t="str">
        <f t="shared" si="32"/>
        <v>14097</v>
      </c>
      <c r="C1992" t="s">
        <v>1199</v>
      </c>
      <c r="D1992">
        <v>0</v>
      </c>
      <c r="E1992" t="s">
        <v>378</v>
      </c>
    </row>
    <row r="1993" spans="1:5" x14ac:dyDescent="0.25">
      <c r="A1993">
        <v>14097</v>
      </c>
      <c r="B1993" t="str">
        <f t="shared" si="32"/>
        <v>14097</v>
      </c>
      <c r="C1993" t="s">
        <v>1203</v>
      </c>
      <c r="D1993">
        <v>33.200000000000003</v>
      </c>
      <c r="E1993" t="s">
        <v>378</v>
      </c>
    </row>
    <row r="1994" spans="1:5" x14ac:dyDescent="0.25">
      <c r="A1994">
        <v>14097</v>
      </c>
      <c r="B1994" t="str">
        <f t="shared" si="32"/>
        <v>14097</v>
      </c>
      <c r="C1994" t="s">
        <v>1200</v>
      </c>
      <c r="D1994">
        <v>0</v>
      </c>
      <c r="E1994" t="s">
        <v>378</v>
      </c>
    </row>
    <row r="1995" spans="1:5" x14ac:dyDescent="0.25">
      <c r="A1995">
        <v>14097</v>
      </c>
      <c r="B1995" t="str">
        <f t="shared" si="32"/>
        <v>14097</v>
      </c>
      <c r="C1995" t="s">
        <v>1204</v>
      </c>
      <c r="D1995">
        <v>61.15</v>
      </c>
      <c r="E1995" t="s">
        <v>378</v>
      </c>
    </row>
    <row r="1996" spans="1:5" x14ac:dyDescent="0.25">
      <c r="A1996">
        <v>14097</v>
      </c>
      <c r="B1996" t="str">
        <f t="shared" si="32"/>
        <v>14097</v>
      </c>
      <c r="C1996" t="s">
        <v>1207</v>
      </c>
      <c r="D1996">
        <v>0</v>
      </c>
      <c r="E1996" t="s">
        <v>378</v>
      </c>
    </row>
    <row r="1997" spans="1:5" x14ac:dyDescent="0.25">
      <c r="A1997">
        <v>14097</v>
      </c>
      <c r="B1997" t="str">
        <f t="shared" si="32"/>
        <v>14097</v>
      </c>
      <c r="C1997" t="s">
        <v>1208</v>
      </c>
      <c r="D1997">
        <v>12.14</v>
      </c>
      <c r="E1997" t="s">
        <v>378</v>
      </c>
    </row>
    <row r="1998" spans="1:5" x14ac:dyDescent="0.25">
      <c r="A1998">
        <v>14097</v>
      </c>
      <c r="B1998" t="str">
        <f t="shared" si="32"/>
        <v>14097</v>
      </c>
      <c r="C1998" t="s">
        <v>1210</v>
      </c>
      <c r="D1998">
        <v>0</v>
      </c>
      <c r="E1998" t="s">
        <v>378</v>
      </c>
    </row>
    <row r="1999" spans="1:5" x14ac:dyDescent="0.25">
      <c r="A1999">
        <v>14097</v>
      </c>
      <c r="B1999" t="str">
        <f t="shared" si="32"/>
        <v>14097</v>
      </c>
      <c r="C1999" t="s">
        <v>1212</v>
      </c>
      <c r="D1999">
        <v>0</v>
      </c>
      <c r="E1999" t="s">
        <v>378</v>
      </c>
    </row>
    <row r="2000" spans="1:5" x14ac:dyDescent="0.25">
      <c r="A2000">
        <v>14097</v>
      </c>
      <c r="B2000" t="str">
        <f t="shared" si="32"/>
        <v>14097</v>
      </c>
      <c r="C2000" t="s">
        <v>1216</v>
      </c>
      <c r="D2000">
        <v>0</v>
      </c>
      <c r="E2000" t="s">
        <v>378</v>
      </c>
    </row>
    <row r="2001" spans="1:5" x14ac:dyDescent="0.25">
      <c r="A2001">
        <v>14097</v>
      </c>
      <c r="B2001" t="str">
        <f t="shared" si="32"/>
        <v>14097</v>
      </c>
      <c r="C2001" t="s">
        <v>1198</v>
      </c>
      <c r="D2001">
        <v>13</v>
      </c>
      <c r="E2001" t="s">
        <v>378</v>
      </c>
    </row>
    <row r="2002" spans="1:5" x14ac:dyDescent="0.25">
      <c r="A2002">
        <v>31004</v>
      </c>
      <c r="B2002" t="str">
        <f t="shared" si="32"/>
        <v>31004</v>
      </c>
      <c r="C2002" t="s">
        <v>1193</v>
      </c>
      <c r="D2002">
        <v>0</v>
      </c>
      <c r="E2002" t="s">
        <v>509</v>
      </c>
    </row>
    <row r="2003" spans="1:5" x14ac:dyDescent="0.25">
      <c r="A2003">
        <v>31004</v>
      </c>
      <c r="B2003" t="str">
        <f t="shared" si="32"/>
        <v>31004</v>
      </c>
      <c r="C2003" t="s">
        <v>1194</v>
      </c>
      <c r="D2003">
        <v>2319.81</v>
      </c>
      <c r="E2003" t="s">
        <v>509</v>
      </c>
    </row>
    <row r="2004" spans="1:5" x14ac:dyDescent="0.25">
      <c r="A2004">
        <v>31004</v>
      </c>
      <c r="B2004" t="str">
        <f t="shared" si="32"/>
        <v>31004</v>
      </c>
      <c r="C2004" t="s">
        <v>1195</v>
      </c>
      <c r="D2004">
        <v>0</v>
      </c>
      <c r="E2004" t="s">
        <v>509</v>
      </c>
    </row>
    <row r="2005" spans="1:5" x14ac:dyDescent="0.25">
      <c r="A2005">
        <v>31004</v>
      </c>
      <c r="B2005" t="str">
        <f t="shared" si="32"/>
        <v>31004</v>
      </c>
      <c r="C2005" t="s">
        <v>1197</v>
      </c>
      <c r="D2005">
        <v>743.95</v>
      </c>
      <c r="E2005" t="s">
        <v>509</v>
      </c>
    </row>
    <row r="2006" spans="1:5" x14ac:dyDescent="0.25">
      <c r="A2006">
        <v>31004</v>
      </c>
      <c r="B2006" t="str">
        <f t="shared" si="32"/>
        <v>31004</v>
      </c>
      <c r="C2006" t="s">
        <v>1202</v>
      </c>
      <c r="D2006">
        <v>0</v>
      </c>
      <c r="E2006" t="s">
        <v>509</v>
      </c>
    </row>
    <row r="2007" spans="1:5" x14ac:dyDescent="0.25">
      <c r="A2007">
        <v>31004</v>
      </c>
      <c r="B2007" t="str">
        <f t="shared" si="32"/>
        <v>31004</v>
      </c>
      <c r="C2007" t="s">
        <v>1206</v>
      </c>
      <c r="D2007">
        <v>1496.34</v>
      </c>
      <c r="E2007" t="s">
        <v>509</v>
      </c>
    </row>
    <row r="2008" spans="1:5" x14ac:dyDescent="0.25">
      <c r="A2008">
        <v>31004</v>
      </c>
      <c r="B2008" t="str">
        <f t="shared" si="32"/>
        <v>31004</v>
      </c>
      <c r="C2008" t="s">
        <v>1199</v>
      </c>
      <c r="D2008">
        <v>0</v>
      </c>
      <c r="E2008" t="s">
        <v>509</v>
      </c>
    </row>
    <row r="2009" spans="1:5" x14ac:dyDescent="0.25">
      <c r="A2009">
        <v>31004</v>
      </c>
      <c r="B2009" t="str">
        <f t="shared" si="32"/>
        <v>31004</v>
      </c>
      <c r="C2009" t="s">
        <v>1203</v>
      </c>
      <c r="D2009">
        <v>1520.18</v>
      </c>
      <c r="E2009" t="s">
        <v>509</v>
      </c>
    </row>
    <row r="2010" spans="1:5" x14ac:dyDescent="0.25">
      <c r="A2010">
        <v>31004</v>
      </c>
      <c r="B2010" t="str">
        <f t="shared" si="32"/>
        <v>31004</v>
      </c>
      <c r="C2010" t="s">
        <v>1200</v>
      </c>
      <c r="D2010">
        <v>0</v>
      </c>
      <c r="E2010" t="s">
        <v>509</v>
      </c>
    </row>
    <row r="2011" spans="1:5" x14ac:dyDescent="0.25">
      <c r="A2011">
        <v>31004</v>
      </c>
      <c r="B2011" t="str">
        <f t="shared" si="32"/>
        <v>31004</v>
      </c>
      <c r="C2011" t="s">
        <v>1204</v>
      </c>
      <c r="D2011">
        <v>2611.2399999999998</v>
      </c>
      <c r="E2011" t="s">
        <v>509</v>
      </c>
    </row>
    <row r="2012" spans="1:5" x14ac:dyDescent="0.25">
      <c r="A2012">
        <v>31004</v>
      </c>
      <c r="B2012" t="str">
        <f t="shared" si="32"/>
        <v>31004</v>
      </c>
      <c r="C2012" t="s">
        <v>1207</v>
      </c>
      <c r="D2012">
        <v>125.64</v>
      </c>
      <c r="E2012" t="s">
        <v>509</v>
      </c>
    </row>
    <row r="2013" spans="1:5" x14ac:dyDescent="0.25">
      <c r="A2013">
        <v>31004</v>
      </c>
      <c r="B2013" t="str">
        <f t="shared" si="32"/>
        <v>31004</v>
      </c>
      <c r="C2013" t="s">
        <v>1208</v>
      </c>
      <c r="D2013">
        <v>458.32</v>
      </c>
      <c r="E2013" t="s">
        <v>509</v>
      </c>
    </row>
    <row r="2014" spans="1:5" x14ac:dyDescent="0.25">
      <c r="A2014">
        <v>31004</v>
      </c>
      <c r="B2014" t="str">
        <f t="shared" si="32"/>
        <v>31004</v>
      </c>
      <c r="C2014" t="s">
        <v>1210</v>
      </c>
      <c r="D2014">
        <v>0</v>
      </c>
      <c r="E2014" t="s">
        <v>509</v>
      </c>
    </row>
    <row r="2015" spans="1:5" x14ac:dyDescent="0.25">
      <c r="A2015">
        <v>31004</v>
      </c>
      <c r="B2015" t="str">
        <f t="shared" si="32"/>
        <v>31004</v>
      </c>
      <c r="C2015" t="s">
        <v>1212</v>
      </c>
      <c r="D2015">
        <v>0</v>
      </c>
      <c r="E2015" t="s">
        <v>509</v>
      </c>
    </row>
    <row r="2016" spans="1:5" x14ac:dyDescent="0.25">
      <c r="A2016">
        <v>31004</v>
      </c>
      <c r="B2016" t="str">
        <f t="shared" si="32"/>
        <v>31004</v>
      </c>
      <c r="C2016" t="s">
        <v>1216</v>
      </c>
      <c r="D2016">
        <v>0</v>
      </c>
      <c r="E2016" t="s">
        <v>509</v>
      </c>
    </row>
    <row r="2017" spans="1:5" x14ac:dyDescent="0.25">
      <c r="A2017">
        <v>31004</v>
      </c>
      <c r="B2017" t="str">
        <f t="shared" si="32"/>
        <v>31004</v>
      </c>
      <c r="C2017" t="s">
        <v>1198</v>
      </c>
      <c r="D2017">
        <v>767.71</v>
      </c>
      <c r="E2017" t="s">
        <v>509</v>
      </c>
    </row>
    <row r="2018" spans="1:5" x14ac:dyDescent="0.25">
      <c r="A2018">
        <v>17414</v>
      </c>
      <c r="B2018" t="str">
        <f t="shared" si="32"/>
        <v>17414</v>
      </c>
      <c r="C2018" t="s">
        <v>1193</v>
      </c>
      <c r="D2018">
        <v>0</v>
      </c>
      <c r="E2018" t="s">
        <v>408</v>
      </c>
    </row>
    <row r="2019" spans="1:5" x14ac:dyDescent="0.25">
      <c r="A2019">
        <v>17414</v>
      </c>
      <c r="B2019" t="str">
        <f t="shared" si="32"/>
        <v>17414</v>
      </c>
      <c r="C2019" t="s">
        <v>1194</v>
      </c>
      <c r="D2019">
        <v>6772.48</v>
      </c>
      <c r="E2019" t="s">
        <v>408</v>
      </c>
    </row>
    <row r="2020" spans="1:5" x14ac:dyDescent="0.25">
      <c r="A2020">
        <v>17414</v>
      </c>
      <c r="B2020" t="str">
        <f t="shared" si="32"/>
        <v>17414</v>
      </c>
      <c r="C2020" t="s">
        <v>1195</v>
      </c>
      <c r="D2020">
        <v>0</v>
      </c>
      <c r="E2020" t="s">
        <v>408</v>
      </c>
    </row>
    <row r="2021" spans="1:5" x14ac:dyDescent="0.25">
      <c r="A2021">
        <v>17414</v>
      </c>
      <c r="B2021" t="str">
        <f t="shared" si="32"/>
        <v>17414</v>
      </c>
      <c r="C2021" t="s">
        <v>1197</v>
      </c>
      <c r="D2021">
        <v>2395.89</v>
      </c>
      <c r="E2021" t="s">
        <v>408</v>
      </c>
    </row>
    <row r="2022" spans="1:5" x14ac:dyDescent="0.25">
      <c r="A2022">
        <v>17414</v>
      </c>
      <c r="B2022" t="str">
        <f t="shared" si="32"/>
        <v>17414</v>
      </c>
      <c r="C2022" t="s">
        <v>1202</v>
      </c>
      <c r="D2022">
        <v>0</v>
      </c>
      <c r="E2022" t="s">
        <v>408</v>
      </c>
    </row>
    <row r="2023" spans="1:5" x14ac:dyDescent="0.25">
      <c r="A2023">
        <v>17414</v>
      </c>
      <c r="B2023" t="str">
        <f t="shared" si="32"/>
        <v>17414</v>
      </c>
      <c r="C2023" t="s">
        <v>1206</v>
      </c>
      <c r="D2023">
        <v>4867.3</v>
      </c>
      <c r="E2023" t="s">
        <v>408</v>
      </c>
    </row>
    <row r="2024" spans="1:5" x14ac:dyDescent="0.25">
      <c r="A2024">
        <v>17414</v>
      </c>
      <c r="B2024" t="str">
        <f t="shared" si="32"/>
        <v>17414</v>
      </c>
      <c r="C2024" t="s">
        <v>1199</v>
      </c>
      <c r="D2024">
        <v>0</v>
      </c>
      <c r="E2024" t="s">
        <v>408</v>
      </c>
    </row>
    <row r="2025" spans="1:5" x14ac:dyDescent="0.25">
      <c r="A2025">
        <v>17414</v>
      </c>
      <c r="B2025" t="str">
        <f t="shared" si="32"/>
        <v>17414</v>
      </c>
      <c r="C2025" t="s">
        <v>1203</v>
      </c>
      <c r="D2025">
        <v>4834.2</v>
      </c>
      <c r="E2025" t="s">
        <v>408</v>
      </c>
    </row>
    <row r="2026" spans="1:5" x14ac:dyDescent="0.25">
      <c r="A2026">
        <v>17414</v>
      </c>
      <c r="B2026" t="str">
        <f t="shared" si="32"/>
        <v>17414</v>
      </c>
      <c r="C2026" t="s">
        <v>1200</v>
      </c>
      <c r="D2026">
        <v>0</v>
      </c>
      <c r="E2026" t="s">
        <v>408</v>
      </c>
    </row>
    <row r="2027" spans="1:5" x14ac:dyDescent="0.25">
      <c r="A2027">
        <v>17414</v>
      </c>
      <c r="B2027" t="str">
        <f t="shared" si="32"/>
        <v>17414</v>
      </c>
      <c r="C2027" t="s">
        <v>1204</v>
      </c>
      <c r="D2027">
        <v>9089.01</v>
      </c>
      <c r="E2027" t="s">
        <v>408</v>
      </c>
    </row>
    <row r="2028" spans="1:5" x14ac:dyDescent="0.25">
      <c r="A2028">
        <v>17414</v>
      </c>
      <c r="B2028" t="str">
        <f t="shared" si="32"/>
        <v>17414</v>
      </c>
      <c r="C2028" t="s">
        <v>1207</v>
      </c>
      <c r="D2028">
        <v>331.49</v>
      </c>
      <c r="E2028" t="s">
        <v>408</v>
      </c>
    </row>
    <row r="2029" spans="1:5" x14ac:dyDescent="0.25">
      <c r="A2029">
        <v>17414</v>
      </c>
      <c r="B2029" t="str">
        <f t="shared" si="32"/>
        <v>17414</v>
      </c>
      <c r="C2029" t="s">
        <v>1208</v>
      </c>
      <c r="D2029">
        <v>1896.58</v>
      </c>
      <c r="E2029" t="s">
        <v>408</v>
      </c>
    </row>
    <row r="2030" spans="1:5" x14ac:dyDescent="0.25">
      <c r="A2030">
        <v>17414</v>
      </c>
      <c r="B2030" t="str">
        <f t="shared" si="32"/>
        <v>17414</v>
      </c>
      <c r="C2030" t="s">
        <v>1210</v>
      </c>
      <c r="D2030">
        <v>0</v>
      </c>
      <c r="E2030" t="s">
        <v>408</v>
      </c>
    </row>
    <row r="2031" spans="1:5" x14ac:dyDescent="0.25">
      <c r="A2031">
        <v>17414</v>
      </c>
      <c r="B2031" t="str">
        <f t="shared" si="32"/>
        <v>17414</v>
      </c>
      <c r="C2031" t="s">
        <v>1212</v>
      </c>
      <c r="D2031">
        <v>409.68</v>
      </c>
      <c r="E2031" t="s">
        <v>408</v>
      </c>
    </row>
    <row r="2032" spans="1:5" x14ac:dyDescent="0.25">
      <c r="A2032">
        <v>17414</v>
      </c>
      <c r="B2032" t="str">
        <f t="shared" si="32"/>
        <v>17414</v>
      </c>
      <c r="C2032" t="s">
        <v>1216</v>
      </c>
      <c r="D2032">
        <v>0</v>
      </c>
      <c r="E2032" t="s">
        <v>408</v>
      </c>
    </row>
    <row r="2033" spans="1:5" x14ac:dyDescent="0.25">
      <c r="A2033">
        <v>17414</v>
      </c>
      <c r="B2033" t="str">
        <f t="shared" si="32"/>
        <v>17414</v>
      </c>
      <c r="C2033" t="s">
        <v>1198</v>
      </c>
      <c r="D2033">
        <v>1888</v>
      </c>
      <c r="E2033" t="s">
        <v>408</v>
      </c>
    </row>
    <row r="2034" spans="1:5" x14ac:dyDescent="0.25">
      <c r="A2034">
        <v>31306</v>
      </c>
      <c r="B2034" t="str">
        <f t="shared" si="32"/>
        <v>31306</v>
      </c>
      <c r="C2034" t="s">
        <v>1193</v>
      </c>
      <c r="D2034">
        <v>0</v>
      </c>
      <c r="E2034" t="s">
        <v>517</v>
      </c>
    </row>
    <row r="2035" spans="1:5" x14ac:dyDescent="0.25">
      <c r="A2035">
        <v>31306</v>
      </c>
      <c r="B2035" t="str">
        <f t="shared" si="32"/>
        <v>31306</v>
      </c>
      <c r="C2035" t="s">
        <v>1194</v>
      </c>
      <c r="D2035">
        <v>601.76</v>
      </c>
      <c r="E2035" t="s">
        <v>517</v>
      </c>
    </row>
    <row r="2036" spans="1:5" x14ac:dyDescent="0.25">
      <c r="A2036">
        <v>31306</v>
      </c>
      <c r="B2036" t="str">
        <f t="shared" si="32"/>
        <v>31306</v>
      </c>
      <c r="C2036" t="s">
        <v>1195</v>
      </c>
      <c r="D2036">
        <v>0</v>
      </c>
      <c r="E2036" t="s">
        <v>517</v>
      </c>
    </row>
    <row r="2037" spans="1:5" x14ac:dyDescent="0.25">
      <c r="A2037">
        <v>31306</v>
      </c>
      <c r="B2037" t="str">
        <f t="shared" si="32"/>
        <v>31306</v>
      </c>
      <c r="C2037" t="s">
        <v>1197</v>
      </c>
      <c r="D2037">
        <v>179.25</v>
      </c>
      <c r="E2037" t="s">
        <v>517</v>
      </c>
    </row>
    <row r="2038" spans="1:5" x14ac:dyDescent="0.25">
      <c r="A2038">
        <v>31306</v>
      </c>
      <c r="B2038" t="str">
        <f t="shared" si="32"/>
        <v>31306</v>
      </c>
      <c r="C2038" t="s">
        <v>1202</v>
      </c>
      <c r="D2038">
        <v>0</v>
      </c>
      <c r="E2038" t="s">
        <v>517</v>
      </c>
    </row>
    <row r="2039" spans="1:5" x14ac:dyDescent="0.25">
      <c r="A2039">
        <v>31306</v>
      </c>
      <c r="B2039" t="str">
        <f t="shared" si="32"/>
        <v>31306</v>
      </c>
      <c r="C2039" t="s">
        <v>1206</v>
      </c>
      <c r="D2039">
        <v>443.12</v>
      </c>
      <c r="E2039" t="s">
        <v>517</v>
      </c>
    </row>
    <row r="2040" spans="1:5" x14ac:dyDescent="0.25">
      <c r="A2040">
        <v>31306</v>
      </c>
      <c r="B2040" t="str">
        <f t="shared" si="32"/>
        <v>31306</v>
      </c>
      <c r="C2040" t="s">
        <v>1199</v>
      </c>
      <c r="D2040">
        <v>0</v>
      </c>
      <c r="E2040" t="s">
        <v>517</v>
      </c>
    </row>
    <row r="2041" spans="1:5" x14ac:dyDescent="0.25">
      <c r="A2041">
        <v>31306</v>
      </c>
      <c r="B2041" t="str">
        <f t="shared" si="32"/>
        <v>31306</v>
      </c>
      <c r="C2041" t="s">
        <v>1203</v>
      </c>
      <c r="D2041">
        <v>416.7</v>
      </c>
      <c r="E2041" t="s">
        <v>517</v>
      </c>
    </row>
    <row r="2042" spans="1:5" x14ac:dyDescent="0.25">
      <c r="A2042">
        <v>31306</v>
      </c>
      <c r="B2042" t="str">
        <f t="shared" si="32"/>
        <v>31306</v>
      </c>
      <c r="C2042" t="s">
        <v>1200</v>
      </c>
      <c r="D2042">
        <v>0</v>
      </c>
      <c r="E2042" t="s">
        <v>517</v>
      </c>
    </row>
    <row r="2043" spans="1:5" x14ac:dyDescent="0.25">
      <c r="A2043">
        <v>31306</v>
      </c>
      <c r="B2043" t="str">
        <f t="shared" si="32"/>
        <v>31306</v>
      </c>
      <c r="C2043" t="s">
        <v>1204</v>
      </c>
      <c r="D2043">
        <v>725.23</v>
      </c>
      <c r="E2043" t="s">
        <v>517</v>
      </c>
    </row>
    <row r="2044" spans="1:5" x14ac:dyDescent="0.25">
      <c r="A2044">
        <v>31306</v>
      </c>
      <c r="B2044" t="str">
        <f t="shared" si="32"/>
        <v>31306</v>
      </c>
      <c r="C2044" t="s">
        <v>1207</v>
      </c>
      <c r="D2044">
        <v>24.7</v>
      </c>
      <c r="E2044" t="s">
        <v>517</v>
      </c>
    </row>
    <row r="2045" spans="1:5" x14ac:dyDescent="0.25">
      <c r="A2045">
        <v>31306</v>
      </c>
      <c r="B2045" t="str">
        <f t="shared" si="32"/>
        <v>31306</v>
      </c>
      <c r="C2045" t="s">
        <v>1208</v>
      </c>
      <c r="D2045">
        <v>148.44999999999999</v>
      </c>
      <c r="E2045" t="s">
        <v>517</v>
      </c>
    </row>
    <row r="2046" spans="1:5" x14ac:dyDescent="0.25">
      <c r="A2046">
        <v>31306</v>
      </c>
      <c r="B2046" t="str">
        <f t="shared" si="32"/>
        <v>31306</v>
      </c>
      <c r="C2046" t="s">
        <v>1210</v>
      </c>
      <c r="D2046">
        <v>0</v>
      </c>
      <c r="E2046" t="s">
        <v>517</v>
      </c>
    </row>
    <row r="2047" spans="1:5" x14ac:dyDescent="0.25">
      <c r="A2047">
        <v>31306</v>
      </c>
      <c r="B2047" t="str">
        <f t="shared" si="32"/>
        <v>31306</v>
      </c>
      <c r="C2047" t="s">
        <v>1212</v>
      </c>
      <c r="D2047">
        <v>0</v>
      </c>
      <c r="E2047" t="s">
        <v>517</v>
      </c>
    </row>
    <row r="2048" spans="1:5" x14ac:dyDescent="0.25">
      <c r="A2048">
        <v>31306</v>
      </c>
      <c r="B2048" t="str">
        <f t="shared" si="32"/>
        <v>31306</v>
      </c>
      <c r="C2048" t="s">
        <v>1216</v>
      </c>
      <c r="D2048">
        <v>0</v>
      </c>
      <c r="E2048" t="s">
        <v>517</v>
      </c>
    </row>
    <row r="2049" spans="1:5" x14ac:dyDescent="0.25">
      <c r="A2049">
        <v>31306</v>
      </c>
      <c r="B2049" t="str">
        <f t="shared" si="32"/>
        <v>31306</v>
      </c>
      <c r="C2049" t="s">
        <v>1198</v>
      </c>
      <c r="D2049">
        <v>176.99</v>
      </c>
      <c r="E2049" t="s">
        <v>517</v>
      </c>
    </row>
    <row r="2050" spans="1:5" x14ac:dyDescent="0.25">
      <c r="A2050">
        <v>38264</v>
      </c>
      <c r="B2050" t="str">
        <f t="shared" si="32"/>
        <v>38264</v>
      </c>
      <c r="C2050" t="s">
        <v>1193</v>
      </c>
      <c r="D2050">
        <v>0</v>
      </c>
      <c r="E2050" t="s">
        <v>573</v>
      </c>
    </row>
    <row r="2051" spans="1:5" x14ac:dyDescent="0.25">
      <c r="A2051">
        <v>38264</v>
      </c>
      <c r="B2051" t="str">
        <f t="shared" ref="B2051:B2114" si="33">TEXT(A2051,"00000")</f>
        <v>38264</v>
      </c>
      <c r="C2051" t="s">
        <v>1194</v>
      </c>
      <c r="D2051">
        <v>0</v>
      </c>
      <c r="E2051" t="s">
        <v>573</v>
      </c>
    </row>
    <row r="2052" spans="1:5" x14ac:dyDescent="0.25">
      <c r="A2052">
        <v>38264</v>
      </c>
      <c r="B2052" t="str">
        <f t="shared" si="33"/>
        <v>38264</v>
      </c>
      <c r="C2052" t="s">
        <v>1195</v>
      </c>
      <c r="D2052">
        <v>0</v>
      </c>
      <c r="E2052" t="s">
        <v>573</v>
      </c>
    </row>
    <row r="2053" spans="1:5" x14ac:dyDescent="0.25">
      <c r="A2053">
        <v>38264</v>
      </c>
      <c r="B2053" t="str">
        <f t="shared" si="33"/>
        <v>38264</v>
      </c>
      <c r="C2053" t="s">
        <v>1197</v>
      </c>
      <c r="D2053">
        <v>0</v>
      </c>
      <c r="E2053" t="s">
        <v>573</v>
      </c>
    </row>
    <row r="2054" spans="1:5" x14ac:dyDescent="0.25">
      <c r="A2054">
        <v>38264</v>
      </c>
      <c r="B2054" t="str">
        <f t="shared" si="33"/>
        <v>38264</v>
      </c>
      <c r="C2054" t="s">
        <v>1202</v>
      </c>
      <c r="D2054">
        <v>0</v>
      </c>
      <c r="E2054" t="s">
        <v>573</v>
      </c>
    </row>
    <row r="2055" spans="1:5" x14ac:dyDescent="0.25">
      <c r="A2055">
        <v>38264</v>
      </c>
      <c r="B2055" t="str">
        <f t="shared" si="33"/>
        <v>38264</v>
      </c>
      <c r="C2055" t="s">
        <v>1206</v>
      </c>
      <c r="D2055">
        <v>17.399999999999999</v>
      </c>
      <c r="E2055" t="s">
        <v>573</v>
      </c>
    </row>
    <row r="2056" spans="1:5" x14ac:dyDescent="0.25">
      <c r="A2056">
        <v>38264</v>
      </c>
      <c r="B2056" t="str">
        <f t="shared" si="33"/>
        <v>38264</v>
      </c>
      <c r="C2056" t="s">
        <v>1199</v>
      </c>
      <c r="D2056">
        <v>0</v>
      </c>
      <c r="E2056" t="s">
        <v>573</v>
      </c>
    </row>
    <row r="2057" spans="1:5" x14ac:dyDescent="0.25">
      <c r="A2057">
        <v>38264</v>
      </c>
      <c r="B2057" t="str">
        <f t="shared" si="33"/>
        <v>38264</v>
      </c>
      <c r="C2057" t="s">
        <v>1203</v>
      </c>
      <c r="D2057">
        <v>11.7</v>
      </c>
      <c r="E2057" t="s">
        <v>573</v>
      </c>
    </row>
    <row r="2058" spans="1:5" x14ac:dyDescent="0.25">
      <c r="A2058">
        <v>38264</v>
      </c>
      <c r="B2058" t="str">
        <f t="shared" si="33"/>
        <v>38264</v>
      </c>
      <c r="C2058" t="s">
        <v>1200</v>
      </c>
      <c r="D2058">
        <v>0</v>
      </c>
      <c r="E2058" t="s">
        <v>573</v>
      </c>
    </row>
    <row r="2059" spans="1:5" x14ac:dyDescent="0.25">
      <c r="A2059">
        <v>38264</v>
      </c>
      <c r="B2059" t="str">
        <f t="shared" si="33"/>
        <v>38264</v>
      </c>
      <c r="C2059" t="s">
        <v>1204</v>
      </c>
      <c r="D2059">
        <v>0</v>
      </c>
      <c r="E2059" t="s">
        <v>573</v>
      </c>
    </row>
    <row r="2060" spans="1:5" x14ac:dyDescent="0.25">
      <c r="A2060">
        <v>38264</v>
      </c>
      <c r="B2060" t="str">
        <f t="shared" si="33"/>
        <v>38264</v>
      </c>
      <c r="C2060" t="s">
        <v>1207</v>
      </c>
      <c r="D2060">
        <v>0</v>
      </c>
      <c r="E2060" t="s">
        <v>573</v>
      </c>
    </row>
    <row r="2061" spans="1:5" x14ac:dyDescent="0.25">
      <c r="A2061">
        <v>38264</v>
      </c>
      <c r="B2061" t="str">
        <f t="shared" si="33"/>
        <v>38264</v>
      </c>
      <c r="C2061" t="s">
        <v>1208</v>
      </c>
      <c r="D2061">
        <v>0</v>
      </c>
      <c r="E2061" t="s">
        <v>573</v>
      </c>
    </row>
    <row r="2062" spans="1:5" x14ac:dyDescent="0.25">
      <c r="A2062">
        <v>38264</v>
      </c>
      <c r="B2062" t="str">
        <f t="shared" si="33"/>
        <v>38264</v>
      </c>
      <c r="C2062" t="s">
        <v>1210</v>
      </c>
      <c r="D2062">
        <v>0</v>
      </c>
      <c r="E2062" t="s">
        <v>573</v>
      </c>
    </row>
    <row r="2063" spans="1:5" x14ac:dyDescent="0.25">
      <c r="A2063">
        <v>38264</v>
      </c>
      <c r="B2063" t="str">
        <f t="shared" si="33"/>
        <v>38264</v>
      </c>
      <c r="C2063" t="s">
        <v>1212</v>
      </c>
      <c r="D2063">
        <v>0</v>
      </c>
      <c r="E2063" t="s">
        <v>573</v>
      </c>
    </row>
    <row r="2064" spans="1:5" x14ac:dyDescent="0.25">
      <c r="A2064">
        <v>38264</v>
      </c>
      <c r="B2064" t="str">
        <f t="shared" si="33"/>
        <v>38264</v>
      </c>
      <c r="C2064" t="s">
        <v>1216</v>
      </c>
      <c r="D2064">
        <v>0</v>
      </c>
      <c r="E2064" t="s">
        <v>573</v>
      </c>
    </row>
    <row r="2065" spans="1:5" x14ac:dyDescent="0.25">
      <c r="A2065">
        <v>38264</v>
      </c>
      <c r="B2065" t="str">
        <f t="shared" si="33"/>
        <v>38264</v>
      </c>
      <c r="C2065" t="s">
        <v>1198</v>
      </c>
      <c r="D2065">
        <v>0</v>
      </c>
      <c r="E2065" t="s">
        <v>573</v>
      </c>
    </row>
    <row r="2066" spans="1:5" x14ac:dyDescent="0.25">
      <c r="A2066" s="34">
        <v>32362</v>
      </c>
      <c r="B2066" t="str">
        <f t="shared" si="33"/>
        <v>32362</v>
      </c>
      <c r="C2066" t="s">
        <v>1193</v>
      </c>
      <c r="D2066">
        <v>0</v>
      </c>
      <c r="E2066" t="s">
        <v>532</v>
      </c>
    </row>
    <row r="2067" spans="1:5" x14ac:dyDescent="0.25">
      <c r="A2067" s="34">
        <v>32362</v>
      </c>
      <c r="B2067" t="str">
        <f t="shared" si="33"/>
        <v>32362</v>
      </c>
      <c r="C2067" t="s">
        <v>1194</v>
      </c>
      <c r="D2067">
        <v>144.62</v>
      </c>
      <c r="E2067" t="s">
        <v>532</v>
      </c>
    </row>
    <row r="2068" spans="1:5" x14ac:dyDescent="0.25">
      <c r="A2068" s="34">
        <v>32362</v>
      </c>
      <c r="B2068" t="str">
        <f t="shared" si="33"/>
        <v>32362</v>
      </c>
      <c r="C2068" t="s">
        <v>1195</v>
      </c>
      <c r="D2068">
        <v>0</v>
      </c>
      <c r="E2068" t="s">
        <v>532</v>
      </c>
    </row>
    <row r="2069" spans="1:5" x14ac:dyDescent="0.25">
      <c r="A2069" s="34">
        <v>32362</v>
      </c>
      <c r="B2069" t="str">
        <f t="shared" si="33"/>
        <v>32362</v>
      </c>
      <c r="C2069" t="s">
        <v>1197</v>
      </c>
      <c r="D2069">
        <v>47.2</v>
      </c>
      <c r="E2069" t="s">
        <v>532</v>
      </c>
    </row>
    <row r="2070" spans="1:5" x14ac:dyDescent="0.25">
      <c r="A2070" s="34">
        <v>32362</v>
      </c>
      <c r="B2070" t="str">
        <f t="shared" si="33"/>
        <v>32362</v>
      </c>
      <c r="C2070" t="s">
        <v>1202</v>
      </c>
      <c r="D2070">
        <v>0</v>
      </c>
      <c r="E2070" t="s">
        <v>532</v>
      </c>
    </row>
    <row r="2071" spans="1:5" x14ac:dyDescent="0.25">
      <c r="A2071" s="34">
        <v>32362</v>
      </c>
      <c r="B2071" t="str">
        <f t="shared" si="33"/>
        <v>32362</v>
      </c>
      <c r="C2071" t="s">
        <v>1206</v>
      </c>
      <c r="D2071">
        <v>93.4</v>
      </c>
      <c r="E2071" t="s">
        <v>532</v>
      </c>
    </row>
    <row r="2072" spans="1:5" x14ac:dyDescent="0.25">
      <c r="A2072" s="34">
        <v>32362</v>
      </c>
      <c r="B2072" t="str">
        <f t="shared" si="33"/>
        <v>32362</v>
      </c>
      <c r="C2072" t="s">
        <v>1199</v>
      </c>
      <c r="D2072">
        <v>0</v>
      </c>
      <c r="E2072" t="s">
        <v>532</v>
      </c>
    </row>
    <row r="2073" spans="1:5" x14ac:dyDescent="0.25">
      <c r="A2073" s="34">
        <v>32362</v>
      </c>
      <c r="B2073" t="str">
        <f t="shared" si="33"/>
        <v>32362</v>
      </c>
      <c r="C2073" t="s">
        <v>1203</v>
      </c>
      <c r="D2073">
        <v>93</v>
      </c>
      <c r="E2073" t="s">
        <v>532</v>
      </c>
    </row>
    <row r="2074" spans="1:5" x14ac:dyDescent="0.25">
      <c r="A2074" s="34">
        <v>32362</v>
      </c>
      <c r="B2074" t="str">
        <f t="shared" si="33"/>
        <v>32362</v>
      </c>
      <c r="C2074" t="s">
        <v>1200</v>
      </c>
      <c r="D2074">
        <v>0</v>
      </c>
      <c r="E2074" t="s">
        <v>532</v>
      </c>
    </row>
    <row r="2075" spans="1:5" x14ac:dyDescent="0.25">
      <c r="A2075" s="34">
        <v>32362</v>
      </c>
      <c r="B2075" t="str">
        <f t="shared" si="33"/>
        <v>32362</v>
      </c>
      <c r="C2075" t="s">
        <v>1204</v>
      </c>
      <c r="D2075">
        <v>142.83000000000001</v>
      </c>
      <c r="E2075" t="s">
        <v>532</v>
      </c>
    </row>
    <row r="2076" spans="1:5" x14ac:dyDescent="0.25">
      <c r="A2076" s="34">
        <v>32362</v>
      </c>
      <c r="B2076" t="str">
        <f t="shared" si="33"/>
        <v>32362</v>
      </c>
      <c r="C2076" t="s">
        <v>1207</v>
      </c>
      <c r="D2076">
        <v>0</v>
      </c>
      <c r="E2076" t="s">
        <v>532</v>
      </c>
    </row>
    <row r="2077" spans="1:5" x14ac:dyDescent="0.25">
      <c r="A2077" s="34">
        <v>32362</v>
      </c>
      <c r="B2077" t="str">
        <f t="shared" si="33"/>
        <v>32362</v>
      </c>
      <c r="C2077" t="s">
        <v>1208</v>
      </c>
      <c r="D2077">
        <v>26.11</v>
      </c>
      <c r="E2077" t="s">
        <v>532</v>
      </c>
    </row>
    <row r="2078" spans="1:5" x14ac:dyDescent="0.25">
      <c r="A2078" s="34">
        <v>32362</v>
      </c>
      <c r="B2078" t="str">
        <f t="shared" si="33"/>
        <v>32362</v>
      </c>
      <c r="C2078" t="s">
        <v>1210</v>
      </c>
      <c r="D2078">
        <v>0</v>
      </c>
      <c r="E2078" t="s">
        <v>532</v>
      </c>
    </row>
    <row r="2079" spans="1:5" x14ac:dyDescent="0.25">
      <c r="A2079" s="34">
        <v>32362</v>
      </c>
      <c r="B2079" t="str">
        <f t="shared" si="33"/>
        <v>32362</v>
      </c>
      <c r="C2079" t="s">
        <v>1212</v>
      </c>
      <c r="D2079">
        <v>0</v>
      </c>
      <c r="E2079" t="s">
        <v>532</v>
      </c>
    </row>
    <row r="2080" spans="1:5" x14ac:dyDescent="0.25">
      <c r="A2080" s="34">
        <v>32362</v>
      </c>
      <c r="B2080" t="str">
        <f t="shared" si="33"/>
        <v>32362</v>
      </c>
      <c r="C2080" t="s">
        <v>1216</v>
      </c>
      <c r="D2080">
        <v>20</v>
      </c>
      <c r="E2080" t="s">
        <v>532</v>
      </c>
    </row>
    <row r="2081" spans="1:5" x14ac:dyDescent="0.25">
      <c r="A2081" s="34">
        <v>32362</v>
      </c>
      <c r="B2081" t="str">
        <f t="shared" si="33"/>
        <v>32362</v>
      </c>
      <c r="C2081" t="s">
        <v>1198</v>
      </c>
      <c r="D2081">
        <v>36.94</v>
      </c>
      <c r="E2081" t="s">
        <v>532</v>
      </c>
    </row>
    <row r="2082" spans="1:5" x14ac:dyDescent="0.25">
      <c r="A2082" s="34" t="s">
        <v>10</v>
      </c>
      <c r="B2082" t="str">
        <f t="shared" si="33"/>
        <v>01158</v>
      </c>
      <c r="C2082" t="s">
        <v>1193</v>
      </c>
      <c r="D2082">
        <v>0</v>
      </c>
      <c r="E2082" t="s">
        <v>307</v>
      </c>
    </row>
    <row r="2083" spans="1:5" x14ac:dyDescent="0.25">
      <c r="A2083" s="34" t="s">
        <v>10</v>
      </c>
      <c r="B2083" t="str">
        <f t="shared" si="33"/>
        <v>01158</v>
      </c>
      <c r="C2083" t="s">
        <v>1194</v>
      </c>
      <c r="D2083">
        <v>37.799999999999997</v>
      </c>
      <c r="E2083" t="s">
        <v>307</v>
      </c>
    </row>
    <row r="2084" spans="1:5" x14ac:dyDescent="0.25">
      <c r="A2084" s="34" t="s">
        <v>10</v>
      </c>
      <c r="B2084" t="str">
        <f t="shared" si="33"/>
        <v>01158</v>
      </c>
      <c r="C2084" t="s">
        <v>1195</v>
      </c>
      <c r="D2084">
        <v>0</v>
      </c>
      <c r="E2084" t="s">
        <v>307</v>
      </c>
    </row>
    <row r="2085" spans="1:5" x14ac:dyDescent="0.25">
      <c r="A2085" s="34" t="s">
        <v>10</v>
      </c>
      <c r="B2085" t="str">
        <f t="shared" si="33"/>
        <v>01158</v>
      </c>
      <c r="C2085" t="s">
        <v>1197</v>
      </c>
      <c r="D2085">
        <v>15.6</v>
      </c>
      <c r="E2085" t="s">
        <v>307</v>
      </c>
    </row>
    <row r="2086" spans="1:5" x14ac:dyDescent="0.25">
      <c r="A2086" s="34" t="s">
        <v>10</v>
      </c>
      <c r="B2086" t="str">
        <f t="shared" si="33"/>
        <v>01158</v>
      </c>
      <c r="C2086" t="s">
        <v>1202</v>
      </c>
      <c r="D2086">
        <v>0</v>
      </c>
      <c r="E2086" t="s">
        <v>307</v>
      </c>
    </row>
    <row r="2087" spans="1:5" x14ac:dyDescent="0.25">
      <c r="A2087" s="34" t="s">
        <v>10</v>
      </c>
      <c r="B2087" t="str">
        <f t="shared" si="33"/>
        <v>01158</v>
      </c>
      <c r="C2087" t="s">
        <v>1206</v>
      </c>
      <c r="D2087">
        <v>24.98</v>
      </c>
      <c r="E2087" t="s">
        <v>307</v>
      </c>
    </row>
    <row r="2088" spans="1:5" x14ac:dyDescent="0.25">
      <c r="A2088" s="34" t="s">
        <v>10</v>
      </c>
      <c r="B2088" t="str">
        <f t="shared" si="33"/>
        <v>01158</v>
      </c>
      <c r="C2088" t="s">
        <v>1199</v>
      </c>
      <c r="D2088">
        <v>0</v>
      </c>
      <c r="E2088" t="s">
        <v>307</v>
      </c>
    </row>
    <row r="2089" spans="1:5" x14ac:dyDescent="0.25">
      <c r="A2089" s="34" t="s">
        <v>10</v>
      </c>
      <c r="B2089" t="str">
        <f t="shared" si="33"/>
        <v>01158</v>
      </c>
      <c r="C2089" t="s">
        <v>1203</v>
      </c>
      <c r="D2089">
        <v>34.96</v>
      </c>
      <c r="E2089" t="s">
        <v>307</v>
      </c>
    </row>
    <row r="2090" spans="1:5" x14ac:dyDescent="0.25">
      <c r="A2090" s="34" t="s">
        <v>10</v>
      </c>
      <c r="B2090" t="str">
        <f t="shared" si="33"/>
        <v>01158</v>
      </c>
      <c r="C2090" t="s">
        <v>1200</v>
      </c>
      <c r="D2090">
        <v>0</v>
      </c>
      <c r="E2090" t="s">
        <v>307</v>
      </c>
    </row>
    <row r="2091" spans="1:5" x14ac:dyDescent="0.25">
      <c r="A2091" s="34" t="s">
        <v>10</v>
      </c>
      <c r="B2091" t="str">
        <f t="shared" si="33"/>
        <v>01158</v>
      </c>
      <c r="C2091" t="s">
        <v>1204</v>
      </c>
      <c r="D2091">
        <v>46.8</v>
      </c>
      <c r="E2091" t="s">
        <v>307</v>
      </c>
    </row>
    <row r="2092" spans="1:5" x14ac:dyDescent="0.25">
      <c r="A2092" s="34" t="s">
        <v>10</v>
      </c>
      <c r="B2092" t="str">
        <f t="shared" si="33"/>
        <v>01158</v>
      </c>
      <c r="C2092" t="s">
        <v>1207</v>
      </c>
      <c r="D2092">
        <v>5.16</v>
      </c>
      <c r="E2092" t="s">
        <v>307</v>
      </c>
    </row>
    <row r="2093" spans="1:5" x14ac:dyDescent="0.25">
      <c r="A2093" s="34" t="s">
        <v>10</v>
      </c>
      <c r="B2093" t="str">
        <f t="shared" si="33"/>
        <v>01158</v>
      </c>
      <c r="C2093" t="s">
        <v>1208</v>
      </c>
      <c r="D2093">
        <v>14.63</v>
      </c>
      <c r="E2093" t="s">
        <v>307</v>
      </c>
    </row>
    <row r="2094" spans="1:5" x14ac:dyDescent="0.25">
      <c r="A2094" s="34" t="s">
        <v>10</v>
      </c>
      <c r="B2094" t="str">
        <f t="shared" si="33"/>
        <v>01158</v>
      </c>
      <c r="C2094" t="s">
        <v>1210</v>
      </c>
      <c r="D2094">
        <v>0</v>
      </c>
      <c r="E2094" t="s">
        <v>307</v>
      </c>
    </row>
    <row r="2095" spans="1:5" x14ac:dyDescent="0.25">
      <c r="A2095" s="34" t="s">
        <v>10</v>
      </c>
      <c r="B2095" t="str">
        <f t="shared" si="33"/>
        <v>01158</v>
      </c>
      <c r="C2095" t="s">
        <v>1212</v>
      </c>
      <c r="D2095">
        <v>0</v>
      </c>
      <c r="E2095" t="s">
        <v>307</v>
      </c>
    </row>
    <row r="2096" spans="1:5" x14ac:dyDescent="0.25">
      <c r="A2096" s="34" t="s">
        <v>10</v>
      </c>
      <c r="B2096" t="str">
        <f t="shared" si="33"/>
        <v>01158</v>
      </c>
      <c r="C2096" t="s">
        <v>1216</v>
      </c>
      <c r="D2096">
        <v>2.4</v>
      </c>
      <c r="E2096" t="s">
        <v>307</v>
      </c>
    </row>
    <row r="2097" spans="1:5" x14ac:dyDescent="0.25">
      <c r="A2097" s="34" t="s">
        <v>10</v>
      </c>
      <c r="B2097" t="str">
        <f t="shared" si="33"/>
        <v>01158</v>
      </c>
      <c r="C2097" t="s">
        <v>1198</v>
      </c>
      <c r="D2097">
        <v>9.6</v>
      </c>
      <c r="E2097" t="s">
        <v>307</v>
      </c>
    </row>
    <row r="2098" spans="1:5" x14ac:dyDescent="0.25">
      <c r="A2098" t="s">
        <v>43</v>
      </c>
      <c r="B2098" t="str">
        <f t="shared" si="33"/>
        <v>08122</v>
      </c>
      <c r="C2098" t="s">
        <v>1193</v>
      </c>
      <c r="D2098">
        <v>0</v>
      </c>
      <c r="E2098" t="s">
        <v>339</v>
      </c>
    </row>
    <row r="2099" spans="1:5" x14ac:dyDescent="0.25">
      <c r="A2099" t="s">
        <v>43</v>
      </c>
      <c r="B2099" t="str">
        <f t="shared" si="33"/>
        <v>08122</v>
      </c>
      <c r="C2099" t="s">
        <v>1194</v>
      </c>
      <c r="D2099">
        <v>1396.01</v>
      </c>
      <c r="E2099" t="s">
        <v>339</v>
      </c>
    </row>
    <row r="2100" spans="1:5" x14ac:dyDescent="0.25">
      <c r="A2100" t="s">
        <v>43</v>
      </c>
      <c r="B2100" t="str">
        <f t="shared" si="33"/>
        <v>08122</v>
      </c>
      <c r="C2100" t="s">
        <v>1195</v>
      </c>
      <c r="D2100">
        <v>0</v>
      </c>
      <c r="E2100" t="s">
        <v>339</v>
      </c>
    </row>
    <row r="2101" spans="1:5" x14ac:dyDescent="0.25">
      <c r="A2101" t="s">
        <v>43</v>
      </c>
      <c r="B2101" t="str">
        <f t="shared" si="33"/>
        <v>08122</v>
      </c>
      <c r="C2101" t="s">
        <v>1197</v>
      </c>
      <c r="D2101">
        <v>462.94</v>
      </c>
      <c r="E2101" t="s">
        <v>339</v>
      </c>
    </row>
    <row r="2102" spans="1:5" x14ac:dyDescent="0.25">
      <c r="A2102" t="s">
        <v>43</v>
      </c>
      <c r="B2102" t="str">
        <f t="shared" si="33"/>
        <v>08122</v>
      </c>
      <c r="C2102" t="s">
        <v>1202</v>
      </c>
      <c r="D2102">
        <v>0</v>
      </c>
      <c r="E2102" t="s">
        <v>339</v>
      </c>
    </row>
    <row r="2103" spans="1:5" x14ac:dyDescent="0.25">
      <c r="A2103" t="s">
        <v>43</v>
      </c>
      <c r="B2103" t="str">
        <f t="shared" si="33"/>
        <v>08122</v>
      </c>
      <c r="C2103" t="s">
        <v>1206</v>
      </c>
      <c r="D2103">
        <v>949.07</v>
      </c>
      <c r="E2103" t="s">
        <v>339</v>
      </c>
    </row>
    <row r="2104" spans="1:5" x14ac:dyDescent="0.25">
      <c r="A2104" t="s">
        <v>43</v>
      </c>
      <c r="B2104" t="str">
        <f t="shared" si="33"/>
        <v>08122</v>
      </c>
      <c r="C2104" t="s">
        <v>1199</v>
      </c>
      <c r="D2104">
        <v>0</v>
      </c>
      <c r="E2104" t="s">
        <v>339</v>
      </c>
    </row>
    <row r="2105" spans="1:5" x14ac:dyDescent="0.25">
      <c r="A2105" t="s">
        <v>43</v>
      </c>
      <c r="B2105" t="str">
        <f t="shared" si="33"/>
        <v>08122</v>
      </c>
      <c r="C2105" t="s">
        <v>1203</v>
      </c>
      <c r="D2105">
        <v>909.18</v>
      </c>
      <c r="E2105" t="s">
        <v>339</v>
      </c>
    </row>
    <row r="2106" spans="1:5" x14ac:dyDescent="0.25">
      <c r="A2106" t="s">
        <v>43</v>
      </c>
      <c r="B2106" t="str">
        <f t="shared" si="33"/>
        <v>08122</v>
      </c>
      <c r="C2106" t="s">
        <v>1200</v>
      </c>
      <c r="D2106">
        <v>0</v>
      </c>
      <c r="E2106" t="s">
        <v>339</v>
      </c>
    </row>
    <row r="2107" spans="1:5" x14ac:dyDescent="0.25">
      <c r="A2107" t="s">
        <v>43</v>
      </c>
      <c r="B2107" t="str">
        <f t="shared" si="33"/>
        <v>08122</v>
      </c>
      <c r="C2107" t="s">
        <v>1204</v>
      </c>
      <c r="D2107">
        <v>1754.41</v>
      </c>
      <c r="E2107" t="s">
        <v>339</v>
      </c>
    </row>
    <row r="2108" spans="1:5" x14ac:dyDescent="0.25">
      <c r="A2108" t="s">
        <v>43</v>
      </c>
      <c r="B2108" t="str">
        <f t="shared" si="33"/>
        <v>08122</v>
      </c>
      <c r="C2108" t="s">
        <v>1207</v>
      </c>
      <c r="D2108">
        <v>44.1</v>
      </c>
      <c r="E2108" t="s">
        <v>339</v>
      </c>
    </row>
    <row r="2109" spans="1:5" x14ac:dyDescent="0.25">
      <c r="A2109" t="s">
        <v>43</v>
      </c>
      <c r="B2109" t="str">
        <f t="shared" si="33"/>
        <v>08122</v>
      </c>
      <c r="C2109" t="s">
        <v>1208</v>
      </c>
      <c r="D2109">
        <v>353.2</v>
      </c>
      <c r="E2109" t="s">
        <v>339</v>
      </c>
    </row>
    <row r="2110" spans="1:5" x14ac:dyDescent="0.25">
      <c r="A2110" t="s">
        <v>43</v>
      </c>
      <c r="B2110" t="str">
        <f t="shared" si="33"/>
        <v>08122</v>
      </c>
      <c r="C2110" t="s">
        <v>1210</v>
      </c>
      <c r="D2110">
        <v>0</v>
      </c>
      <c r="E2110" t="s">
        <v>339</v>
      </c>
    </row>
    <row r="2111" spans="1:5" x14ac:dyDescent="0.25">
      <c r="A2111" t="s">
        <v>43</v>
      </c>
      <c r="B2111" t="str">
        <f t="shared" si="33"/>
        <v>08122</v>
      </c>
      <c r="C2111" t="s">
        <v>1212</v>
      </c>
      <c r="D2111">
        <v>0</v>
      </c>
      <c r="E2111" t="s">
        <v>339</v>
      </c>
    </row>
    <row r="2112" spans="1:5" x14ac:dyDescent="0.25">
      <c r="A2112" t="s">
        <v>43</v>
      </c>
      <c r="B2112" t="str">
        <f t="shared" si="33"/>
        <v>08122</v>
      </c>
      <c r="C2112" t="s">
        <v>1216</v>
      </c>
      <c r="D2112">
        <v>128.22999999999999</v>
      </c>
      <c r="E2112" t="s">
        <v>339</v>
      </c>
    </row>
    <row r="2113" spans="1:5" x14ac:dyDescent="0.25">
      <c r="A2113" t="s">
        <v>43</v>
      </c>
      <c r="B2113" t="str">
        <f t="shared" si="33"/>
        <v>08122</v>
      </c>
      <c r="C2113" t="s">
        <v>1198</v>
      </c>
      <c r="D2113">
        <v>424.74</v>
      </c>
      <c r="E2113" t="s">
        <v>339</v>
      </c>
    </row>
    <row r="2114" spans="1:5" x14ac:dyDescent="0.25">
      <c r="A2114">
        <v>33183</v>
      </c>
      <c r="B2114" t="str">
        <f t="shared" si="33"/>
        <v>33183</v>
      </c>
      <c r="C2114" t="s">
        <v>1193</v>
      </c>
      <c r="D2114">
        <v>0</v>
      </c>
      <c r="E2114" t="s">
        <v>541</v>
      </c>
    </row>
    <row r="2115" spans="1:5" x14ac:dyDescent="0.25">
      <c r="A2115">
        <v>33183</v>
      </c>
      <c r="B2115" t="str">
        <f t="shared" ref="B2115:B2178" si="34">TEXT(A2115,"00000")</f>
        <v>33183</v>
      </c>
      <c r="C2115" t="s">
        <v>1194</v>
      </c>
      <c r="D2115">
        <v>45.4</v>
      </c>
      <c r="E2115" t="s">
        <v>541</v>
      </c>
    </row>
    <row r="2116" spans="1:5" x14ac:dyDescent="0.25">
      <c r="A2116">
        <v>33183</v>
      </c>
      <c r="B2116" t="str">
        <f t="shared" si="34"/>
        <v>33183</v>
      </c>
      <c r="C2116" t="s">
        <v>1195</v>
      </c>
      <c r="D2116">
        <v>0</v>
      </c>
      <c r="E2116" t="s">
        <v>541</v>
      </c>
    </row>
    <row r="2117" spans="1:5" x14ac:dyDescent="0.25">
      <c r="A2117">
        <v>33183</v>
      </c>
      <c r="B2117" t="str">
        <f t="shared" si="34"/>
        <v>33183</v>
      </c>
      <c r="C2117" t="s">
        <v>1197</v>
      </c>
      <c r="D2117">
        <v>12.2</v>
      </c>
      <c r="E2117" t="s">
        <v>541</v>
      </c>
    </row>
    <row r="2118" spans="1:5" x14ac:dyDescent="0.25">
      <c r="A2118">
        <v>33183</v>
      </c>
      <c r="B2118" t="str">
        <f t="shared" si="34"/>
        <v>33183</v>
      </c>
      <c r="C2118" t="s">
        <v>1202</v>
      </c>
      <c r="D2118">
        <v>0</v>
      </c>
      <c r="E2118" t="s">
        <v>541</v>
      </c>
    </row>
    <row r="2119" spans="1:5" x14ac:dyDescent="0.25">
      <c r="A2119">
        <v>33183</v>
      </c>
      <c r="B2119" t="str">
        <f t="shared" si="34"/>
        <v>33183</v>
      </c>
      <c r="C2119" t="s">
        <v>1206</v>
      </c>
      <c r="D2119">
        <v>27.4</v>
      </c>
      <c r="E2119" t="s">
        <v>541</v>
      </c>
    </row>
    <row r="2120" spans="1:5" x14ac:dyDescent="0.25">
      <c r="A2120">
        <v>33183</v>
      </c>
      <c r="B2120" t="str">
        <f t="shared" si="34"/>
        <v>33183</v>
      </c>
      <c r="C2120" t="s">
        <v>1199</v>
      </c>
      <c r="D2120">
        <v>0</v>
      </c>
      <c r="E2120" t="s">
        <v>541</v>
      </c>
    </row>
    <row r="2121" spans="1:5" x14ac:dyDescent="0.25">
      <c r="A2121">
        <v>33183</v>
      </c>
      <c r="B2121" t="str">
        <f t="shared" si="34"/>
        <v>33183</v>
      </c>
      <c r="C2121" t="s">
        <v>1203</v>
      </c>
      <c r="D2121">
        <v>0</v>
      </c>
      <c r="E2121" t="s">
        <v>541</v>
      </c>
    </row>
    <row r="2122" spans="1:5" x14ac:dyDescent="0.25">
      <c r="A2122">
        <v>33183</v>
      </c>
      <c r="B2122" t="str">
        <f t="shared" si="34"/>
        <v>33183</v>
      </c>
      <c r="C2122" t="s">
        <v>1200</v>
      </c>
      <c r="D2122">
        <v>0</v>
      </c>
      <c r="E2122" t="s">
        <v>541</v>
      </c>
    </row>
    <row r="2123" spans="1:5" x14ac:dyDescent="0.25">
      <c r="A2123">
        <v>33183</v>
      </c>
      <c r="B2123" t="str">
        <f t="shared" si="34"/>
        <v>33183</v>
      </c>
      <c r="C2123" t="s">
        <v>1204</v>
      </c>
      <c r="D2123">
        <v>0</v>
      </c>
      <c r="E2123" t="s">
        <v>541</v>
      </c>
    </row>
    <row r="2124" spans="1:5" x14ac:dyDescent="0.25">
      <c r="A2124">
        <v>33183</v>
      </c>
      <c r="B2124" t="str">
        <f t="shared" si="34"/>
        <v>33183</v>
      </c>
      <c r="C2124" t="s">
        <v>1207</v>
      </c>
      <c r="D2124">
        <v>0</v>
      </c>
      <c r="E2124" t="s">
        <v>541</v>
      </c>
    </row>
    <row r="2125" spans="1:5" x14ac:dyDescent="0.25">
      <c r="A2125">
        <v>33183</v>
      </c>
      <c r="B2125" t="str">
        <f t="shared" si="34"/>
        <v>33183</v>
      </c>
      <c r="C2125" t="s">
        <v>1208</v>
      </c>
      <c r="D2125">
        <v>0</v>
      </c>
      <c r="E2125" t="s">
        <v>541</v>
      </c>
    </row>
    <row r="2126" spans="1:5" x14ac:dyDescent="0.25">
      <c r="A2126">
        <v>33183</v>
      </c>
      <c r="B2126" t="str">
        <f t="shared" si="34"/>
        <v>33183</v>
      </c>
      <c r="C2126" t="s">
        <v>1210</v>
      </c>
      <c r="D2126">
        <v>0</v>
      </c>
      <c r="E2126" t="s">
        <v>541</v>
      </c>
    </row>
    <row r="2127" spans="1:5" x14ac:dyDescent="0.25">
      <c r="A2127">
        <v>33183</v>
      </c>
      <c r="B2127" t="str">
        <f t="shared" si="34"/>
        <v>33183</v>
      </c>
      <c r="C2127" t="s">
        <v>1212</v>
      </c>
      <c r="D2127">
        <v>0</v>
      </c>
      <c r="E2127" t="s">
        <v>541</v>
      </c>
    </row>
    <row r="2128" spans="1:5" x14ac:dyDescent="0.25">
      <c r="A2128">
        <v>33183</v>
      </c>
      <c r="B2128" t="str">
        <f t="shared" si="34"/>
        <v>33183</v>
      </c>
      <c r="C2128" t="s">
        <v>1216</v>
      </c>
      <c r="D2128">
        <v>0</v>
      </c>
      <c r="E2128" t="s">
        <v>541</v>
      </c>
    </row>
    <row r="2129" spans="1:5" x14ac:dyDescent="0.25">
      <c r="A2129">
        <v>33183</v>
      </c>
      <c r="B2129" t="str">
        <f t="shared" si="34"/>
        <v>33183</v>
      </c>
      <c r="C2129" t="s">
        <v>1198</v>
      </c>
      <c r="D2129">
        <v>15</v>
      </c>
      <c r="E2129" t="s">
        <v>541</v>
      </c>
    </row>
    <row r="2130" spans="1:5" x14ac:dyDescent="0.25">
      <c r="A2130">
        <v>28144</v>
      </c>
      <c r="B2130" t="str">
        <f t="shared" si="34"/>
        <v>28144</v>
      </c>
      <c r="C2130" t="s">
        <v>1193</v>
      </c>
      <c r="D2130">
        <v>0</v>
      </c>
      <c r="E2130" t="s">
        <v>495</v>
      </c>
    </row>
    <row r="2131" spans="1:5" x14ac:dyDescent="0.25">
      <c r="A2131">
        <v>28144</v>
      </c>
      <c r="B2131" t="str">
        <f t="shared" si="34"/>
        <v>28144</v>
      </c>
      <c r="C2131" t="s">
        <v>1194</v>
      </c>
      <c r="D2131">
        <v>29.71</v>
      </c>
      <c r="E2131" t="s">
        <v>495</v>
      </c>
    </row>
    <row r="2132" spans="1:5" x14ac:dyDescent="0.25">
      <c r="A2132">
        <v>28144</v>
      </c>
      <c r="B2132" t="str">
        <f t="shared" si="34"/>
        <v>28144</v>
      </c>
      <c r="C2132" t="s">
        <v>1195</v>
      </c>
      <c r="D2132">
        <v>0</v>
      </c>
      <c r="E2132" t="s">
        <v>495</v>
      </c>
    </row>
    <row r="2133" spans="1:5" x14ac:dyDescent="0.25">
      <c r="A2133">
        <v>28144</v>
      </c>
      <c r="B2133" t="str">
        <f t="shared" si="34"/>
        <v>28144</v>
      </c>
      <c r="C2133" t="s">
        <v>1197</v>
      </c>
      <c r="D2133">
        <v>11.6</v>
      </c>
      <c r="E2133" t="s">
        <v>495</v>
      </c>
    </row>
    <row r="2134" spans="1:5" x14ac:dyDescent="0.25">
      <c r="A2134">
        <v>28144</v>
      </c>
      <c r="B2134" t="str">
        <f t="shared" si="34"/>
        <v>28144</v>
      </c>
      <c r="C2134" t="s">
        <v>1202</v>
      </c>
      <c r="D2134">
        <v>0</v>
      </c>
      <c r="E2134" t="s">
        <v>495</v>
      </c>
    </row>
    <row r="2135" spans="1:5" x14ac:dyDescent="0.25">
      <c r="A2135">
        <v>28144</v>
      </c>
      <c r="B2135" t="str">
        <f t="shared" si="34"/>
        <v>28144</v>
      </c>
      <c r="C2135" t="s">
        <v>1206</v>
      </c>
      <c r="D2135">
        <v>36.200000000000003</v>
      </c>
      <c r="E2135" t="s">
        <v>495</v>
      </c>
    </row>
    <row r="2136" spans="1:5" x14ac:dyDescent="0.25">
      <c r="A2136">
        <v>28144</v>
      </c>
      <c r="B2136" t="str">
        <f t="shared" si="34"/>
        <v>28144</v>
      </c>
      <c r="C2136" t="s">
        <v>1199</v>
      </c>
      <c r="D2136">
        <v>0</v>
      </c>
      <c r="E2136" t="s">
        <v>495</v>
      </c>
    </row>
    <row r="2137" spans="1:5" x14ac:dyDescent="0.25">
      <c r="A2137">
        <v>28144</v>
      </c>
      <c r="B2137" t="str">
        <f t="shared" si="34"/>
        <v>28144</v>
      </c>
      <c r="C2137" t="s">
        <v>1203</v>
      </c>
      <c r="D2137">
        <v>28.16</v>
      </c>
      <c r="E2137" t="s">
        <v>495</v>
      </c>
    </row>
    <row r="2138" spans="1:5" x14ac:dyDescent="0.25">
      <c r="A2138">
        <v>28144</v>
      </c>
      <c r="B2138" t="str">
        <f t="shared" si="34"/>
        <v>28144</v>
      </c>
      <c r="C2138" t="s">
        <v>1200</v>
      </c>
      <c r="D2138">
        <v>0</v>
      </c>
      <c r="E2138" t="s">
        <v>495</v>
      </c>
    </row>
    <row r="2139" spans="1:5" x14ac:dyDescent="0.25">
      <c r="A2139">
        <v>28144</v>
      </c>
      <c r="B2139" t="str">
        <f t="shared" si="34"/>
        <v>28144</v>
      </c>
      <c r="C2139" t="s">
        <v>1204</v>
      </c>
      <c r="D2139">
        <v>70.260000000000005</v>
      </c>
      <c r="E2139" t="s">
        <v>495</v>
      </c>
    </row>
    <row r="2140" spans="1:5" x14ac:dyDescent="0.25">
      <c r="A2140">
        <v>28144</v>
      </c>
      <c r="B2140" t="str">
        <f t="shared" si="34"/>
        <v>28144</v>
      </c>
      <c r="C2140" t="s">
        <v>1207</v>
      </c>
      <c r="D2140">
        <v>0</v>
      </c>
      <c r="E2140" t="s">
        <v>495</v>
      </c>
    </row>
    <row r="2141" spans="1:5" x14ac:dyDescent="0.25">
      <c r="A2141">
        <v>28144</v>
      </c>
      <c r="B2141" t="str">
        <f t="shared" si="34"/>
        <v>28144</v>
      </c>
      <c r="C2141" t="s">
        <v>1208</v>
      </c>
      <c r="D2141">
        <v>4.22</v>
      </c>
      <c r="E2141" t="s">
        <v>495</v>
      </c>
    </row>
    <row r="2142" spans="1:5" x14ac:dyDescent="0.25">
      <c r="A2142">
        <v>28144</v>
      </c>
      <c r="B2142" t="str">
        <f t="shared" si="34"/>
        <v>28144</v>
      </c>
      <c r="C2142" t="s">
        <v>1210</v>
      </c>
      <c r="D2142">
        <v>0</v>
      </c>
      <c r="E2142" t="s">
        <v>495</v>
      </c>
    </row>
    <row r="2143" spans="1:5" x14ac:dyDescent="0.25">
      <c r="A2143">
        <v>28144</v>
      </c>
      <c r="B2143" t="str">
        <f t="shared" si="34"/>
        <v>28144</v>
      </c>
      <c r="C2143" t="s">
        <v>1212</v>
      </c>
      <c r="D2143">
        <v>0</v>
      </c>
      <c r="E2143" t="s">
        <v>495</v>
      </c>
    </row>
    <row r="2144" spans="1:5" x14ac:dyDescent="0.25">
      <c r="A2144">
        <v>28144</v>
      </c>
      <c r="B2144" t="str">
        <f t="shared" si="34"/>
        <v>28144</v>
      </c>
      <c r="C2144" t="s">
        <v>1216</v>
      </c>
      <c r="D2144">
        <v>0</v>
      </c>
      <c r="E2144" t="s">
        <v>495</v>
      </c>
    </row>
    <row r="2145" spans="1:5" x14ac:dyDescent="0.25">
      <c r="A2145">
        <v>28144</v>
      </c>
      <c r="B2145" t="str">
        <f t="shared" si="34"/>
        <v>28144</v>
      </c>
      <c r="C2145" t="s">
        <v>1198</v>
      </c>
      <c r="D2145">
        <v>13</v>
      </c>
      <c r="E2145" t="s">
        <v>495</v>
      </c>
    </row>
    <row r="2146" spans="1:5" x14ac:dyDescent="0.25">
      <c r="A2146">
        <v>32903</v>
      </c>
      <c r="B2146" t="str">
        <f t="shared" si="34"/>
        <v>32903</v>
      </c>
      <c r="C2146" t="s">
        <v>1193</v>
      </c>
      <c r="D2146">
        <v>0</v>
      </c>
      <c r="E2146" t="s">
        <v>1230</v>
      </c>
    </row>
    <row r="2147" spans="1:5" x14ac:dyDescent="0.25">
      <c r="A2147">
        <v>32903</v>
      </c>
      <c r="B2147" t="str">
        <f t="shared" si="34"/>
        <v>32903</v>
      </c>
      <c r="C2147" t="s">
        <v>1194</v>
      </c>
      <c r="D2147">
        <v>0</v>
      </c>
      <c r="E2147" t="s">
        <v>1230</v>
      </c>
    </row>
    <row r="2148" spans="1:5" x14ac:dyDescent="0.25">
      <c r="A2148">
        <v>32903</v>
      </c>
      <c r="B2148" t="str">
        <f t="shared" si="34"/>
        <v>32903</v>
      </c>
      <c r="C2148" t="s">
        <v>1195</v>
      </c>
      <c r="D2148">
        <v>0</v>
      </c>
      <c r="E2148" t="s">
        <v>1230</v>
      </c>
    </row>
    <row r="2149" spans="1:5" x14ac:dyDescent="0.25">
      <c r="A2149">
        <v>32903</v>
      </c>
      <c r="B2149" t="str">
        <f t="shared" si="34"/>
        <v>32903</v>
      </c>
      <c r="C2149" t="s">
        <v>1197</v>
      </c>
      <c r="D2149">
        <v>0</v>
      </c>
      <c r="E2149" t="s">
        <v>1230</v>
      </c>
    </row>
    <row r="2150" spans="1:5" x14ac:dyDescent="0.25">
      <c r="A2150">
        <v>32903</v>
      </c>
      <c r="B2150" t="str">
        <f t="shared" si="34"/>
        <v>32903</v>
      </c>
      <c r="C2150" t="s">
        <v>1202</v>
      </c>
      <c r="D2150">
        <v>0</v>
      </c>
      <c r="E2150" t="s">
        <v>1230</v>
      </c>
    </row>
    <row r="2151" spans="1:5" x14ac:dyDescent="0.25">
      <c r="A2151">
        <v>32903</v>
      </c>
      <c r="B2151" t="str">
        <f t="shared" si="34"/>
        <v>32903</v>
      </c>
      <c r="C2151" t="s">
        <v>1206</v>
      </c>
      <c r="D2151">
        <v>0</v>
      </c>
      <c r="E2151" t="s">
        <v>1230</v>
      </c>
    </row>
    <row r="2152" spans="1:5" x14ac:dyDescent="0.25">
      <c r="A2152">
        <v>32903</v>
      </c>
      <c r="B2152" t="str">
        <f t="shared" si="34"/>
        <v>32903</v>
      </c>
      <c r="C2152" t="s">
        <v>1199</v>
      </c>
      <c r="D2152">
        <v>0</v>
      </c>
      <c r="E2152" t="s">
        <v>1230</v>
      </c>
    </row>
    <row r="2153" spans="1:5" x14ac:dyDescent="0.25">
      <c r="A2153">
        <v>32903</v>
      </c>
      <c r="B2153" t="str">
        <f t="shared" si="34"/>
        <v>32903</v>
      </c>
      <c r="C2153" t="s">
        <v>1203</v>
      </c>
      <c r="D2153">
        <v>0</v>
      </c>
      <c r="E2153" t="s">
        <v>1230</v>
      </c>
    </row>
    <row r="2154" spans="1:5" x14ac:dyDescent="0.25">
      <c r="A2154">
        <v>32903</v>
      </c>
      <c r="B2154" t="str">
        <f t="shared" si="34"/>
        <v>32903</v>
      </c>
      <c r="C2154" t="s">
        <v>1200</v>
      </c>
      <c r="D2154">
        <v>0</v>
      </c>
      <c r="E2154" t="s">
        <v>1230</v>
      </c>
    </row>
    <row r="2155" spans="1:5" x14ac:dyDescent="0.25">
      <c r="A2155">
        <v>32903</v>
      </c>
      <c r="B2155" t="str">
        <f t="shared" si="34"/>
        <v>32903</v>
      </c>
      <c r="C2155" t="s">
        <v>1204</v>
      </c>
      <c r="D2155">
        <v>28.73</v>
      </c>
      <c r="E2155" t="s">
        <v>1230</v>
      </c>
    </row>
    <row r="2156" spans="1:5" x14ac:dyDescent="0.25">
      <c r="A2156">
        <v>32903</v>
      </c>
      <c r="B2156" t="str">
        <f t="shared" si="34"/>
        <v>32903</v>
      </c>
      <c r="C2156" t="s">
        <v>1207</v>
      </c>
      <c r="D2156">
        <v>0</v>
      </c>
      <c r="E2156" t="s">
        <v>1230</v>
      </c>
    </row>
    <row r="2157" spans="1:5" x14ac:dyDescent="0.25">
      <c r="A2157">
        <v>32903</v>
      </c>
      <c r="B2157" t="str">
        <f t="shared" si="34"/>
        <v>32903</v>
      </c>
      <c r="C2157" t="s">
        <v>1208</v>
      </c>
      <c r="D2157">
        <v>0</v>
      </c>
      <c r="E2157" t="s">
        <v>1230</v>
      </c>
    </row>
    <row r="2158" spans="1:5" x14ac:dyDescent="0.25">
      <c r="A2158">
        <v>32903</v>
      </c>
      <c r="B2158" t="str">
        <f t="shared" si="34"/>
        <v>32903</v>
      </c>
      <c r="C2158" t="s">
        <v>1210</v>
      </c>
      <c r="D2158">
        <v>0</v>
      </c>
      <c r="E2158" t="s">
        <v>1230</v>
      </c>
    </row>
    <row r="2159" spans="1:5" x14ac:dyDescent="0.25">
      <c r="A2159">
        <v>32903</v>
      </c>
      <c r="B2159" t="str">
        <f t="shared" si="34"/>
        <v>32903</v>
      </c>
      <c r="C2159" t="s">
        <v>1212</v>
      </c>
      <c r="D2159">
        <v>0</v>
      </c>
      <c r="E2159" t="s">
        <v>1230</v>
      </c>
    </row>
    <row r="2160" spans="1:5" x14ac:dyDescent="0.25">
      <c r="A2160">
        <v>32903</v>
      </c>
      <c r="B2160" t="str">
        <f t="shared" si="34"/>
        <v>32903</v>
      </c>
      <c r="C2160" t="s">
        <v>1216</v>
      </c>
      <c r="D2160">
        <v>0</v>
      </c>
      <c r="E2160" t="s">
        <v>1230</v>
      </c>
    </row>
    <row r="2161" spans="1:5" x14ac:dyDescent="0.25">
      <c r="A2161">
        <v>32903</v>
      </c>
      <c r="B2161" t="str">
        <f t="shared" si="34"/>
        <v>32903</v>
      </c>
      <c r="C2161" t="s">
        <v>1198</v>
      </c>
      <c r="D2161">
        <v>0</v>
      </c>
      <c r="E2161" t="s">
        <v>1230</v>
      </c>
    </row>
    <row r="2162" spans="1:5" x14ac:dyDescent="0.25">
      <c r="A2162">
        <v>37903</v>
      </c>
      <c r="B2162" t="str">
        <f t="shared" si="34"/>
        <v>37903</v>
      </c>
      <c r="C2162" t="s">
        <v>1193</v>
      </c>
      <c r="D2162">
        <v>0</v>
      </c>
      <c r="E2162" t="s">
        <v>571</v>
      </c>
    </row>
    <row r="2163" spans="1:5" x14ac:dyDescent="0.25">
      <c r="A2163">
        <v>37903</v>
      </c>
      <c r="B2163" t="str">
        <f t="shared" si="34"/>
        <v>37903</v>
      </c>
      <c r="C2163" t="s">
        <v>1194</v>
      </c>
      <c r="D2163">
        <v>95</v>
      </c>
      <c r="E2163" t="s">
        <v>571</v>
      </c>
    </row>
    <row r="2164" spans="1:5" x14ac:dyDescent="0.25">
      <c r="A2164">
        <v>37903</v>
      </c>
      <c r="B2164" t="str">
        <f t="shared" si="34"/>
        <v>37903</v>
      </c>
      <c r="C2164" t="s">
        <v>1195</v>
      </c>
      <c r="D2164">
        <v>0</v>
      </c>
      <c r="E2164" t="s">
        <v>571</v>
      </c>
    </row>
    <row r="2165" spans="1:5" x14ac:dyDescent="0.25">
      <c r="A2165">
        <v>37903</v>
      </c>
      <c r="B2165" t="str">
        <f t="shared" si="34"/>
        <v>37903</v>
      </c>
      <c r="C2165" t="s">
        <v>1197</v>
      </c>
      <c r="D2165">
        <v>27.8</v>
      </c>
      <c r="E2165" t="s">
        <v>571</v>
      </c>
    </row>
    <row r="2166" spans="1:5" x14ac:dyDescent="0.25">
      <c r="A2166">
        <v>37903</v>
      </c>
      <c r="B2166" t="str">
        <f t="shared" si="34"/>
        <v>37903</v>
      </c>
      <c r="C2166" t="s">
        <v>1202</v>
      </c>
      <c r="D2166">
        <v>0</v>
      </c>
      <c r="E2166" t="s">
        <v>571</v>
      </c>
    </row>
    <row r="2167" spans="1:5" x14ac:dyDescent="0.25">
      <c r="A2167">
        <v>37903</v>
      </c>
      <c r="B2167" t="str">
        <f t="shared" si="34"/>
        <v>37903</v>
      </c>
      <c r="C2167" t="s">
        <v>1206</v>
      </c>
      <c r="D2167">
        <v>72.400000000000006</v>
      </c>
      <c r="E2167" t="s">
        <v>571</v>
      </c>
    </row>
    <row r="2168" spans="1:5" x14ac:dyDescent="0.25">
      <c r="A2168">
        <v>37903</v>
      </c>
      <c r="B2168" t="str">
        <f t="shared" si="34"/>
        <v>37903</v>
      </c>
      <c r="C2168" t="s">
        <v>1199</v>
      </c>
      <c r="D2168">
        <v>0</v>
      </c>
      <c r="E2168" t="s">
        <v>571</v>
      </c>
    </row>
    <row r="2169" spans="1:5" x14ac:dyDescent="0.25">
      <c r="A2169">
        <v>37903</v>
      </c>
      <c r="B2169" t="str">
        <f t="shared" si="34"/>
        <v>37903</v>
      </c>
      <c r="C2169" t="s">
        <v>1203</v>
      </c>
      <c r="D2169">
        <v>67.2</v>
      </c>
      <c r="E2169" t="s">
        <v>571</v>
      </c>
    </row>
    <row r="2170" spans="1:5" x14ac:dyDescent="0.25">
      <c r="A2170">
        <v>37903</v>
      </c>
      <c r="B2170" t="str">
        <f t="shared" si="34"/>
        <v>37903</v>
      </c>
      <c r="C2170" t="s">
        <v>1200</v>
      </c>
      <c r="D2170">
        <v>0</v>
      </c>
      <c r="E2170" t="s">
        <v>571</v>
      </c>
    </row>
    <row r="2171" spans="1:5" x14ac:dyDescent="0.25">
      <c r="A2171">
        <v>37903</v>
      </c>
      <c r="B2171" t="str">
        <f t="shared" si="34"/>
        <v>37903</v>
      </c>
      <c r="C2171" t="s">
        <v>1204</v>
      </c>
      <c r="D2171">
        <v>132.44999999999999</v>
      </c>
      <c r="E2171" t="s">
        <v>571</v>
      </c>
    </row>
    <row r="2172" spans="1:5" x14ac:dyDescent="0.25">
      <c r="A2172">
        <v>37903</v>
      </c>
      <c r="B2172" t="str">
        <f t="shared" si="34"/>
        <v>37903</v>
      </c>
      <c r="C2172" t="s">
        <v>1207</v>
      </c>
      <c r="D2172">
        <v>0</v>
      </c>
      <c r="E2172" t="s">
        <v>571</v>
      </c>
    </row>
    <row r="2173" spans="1:5" x14ac:dyDescent="0.25">
      <c r="A2173">
        <v>37903</v>
      </c>
      <c r="B2173" t="str">
        <f t="shared" si="34"/>
        <v>37903</v>
      </c>
      <c r="C2173" t="s">
        <v>1208</v>
      </c>
      <c r="D2173">
        <v>6.77</v>
      </c>
      <c r="E2173" t="s">
        <v>571</v>
      </c>
    </row>
    <row r="2174" spans="1:5" x14ac:dyDescent="0.25">
      <c r="A2174">
        <v>37903</v>
      </c>
      <c r="B2174" t="str">
        <f t="shared" si="34"/>
        <v>37903</v>
      </c>
      <c r="C2174" t="s">
        <v>1210</v>
      </c>
      <c r="D2174">
        <v>0</v>
      </c>
      <c r="E2174" t="s">
        <v>571</v>
      </c>
    </row>
    <row r="2175" spans="1:5" x14ac:dyDescent="0.25">
      <c r="A2175">
        <v>37903</v>
      </c>
      <c r="B2175" t="str">
        <f t="shared" si="34"/>
        <v>37903</v>
      </c>
      <c r="C2175" t="s">
        <v>1212</v>
      </c>
      <c r="D2175">
        <v>0</v>
      </c>
      <c r="E2175" t="s">
        <v>571</v>
      </c>
    </row>
    <row r="2176" spans="1:5" x14ac:dyDescent="0.25">
      <c r="A2176">
        <v>37903</v>
      </c>
      <c r="B2176" t="str">
        <f t="shared" si="34"/>
        <v>37903</v>
      </c>
      <c r="C2176" t="s">
        <v>1216</v>
      </c>
      <c r="D2176">
        <v>0</v>
      </c>
      <c r="E2176" t="s">
        <v>571</v>
      </c>
    </row>
    <row r="2177" spans="1:5" x14ac:dyDescent="0.25">
      <c r="A2177">
        <v>37903</v>
      </c>
      <c r="B2177" t="str">
        <f t="shared" si="34"/>
        <v>37903</v>
      </c>
      <c r="C2177" t="s">
        <v>1198</v>
      </c>
      <c r="D2177">
        <v>20.6</v>
      </c>
      <c r="E2177" t="s">
        <v>571</v>
      </c>
    </row>
    <row r="2178" spans="1:5" x14ac:dyDescent="0.25">
      <c r="A2178">
        <v>20406</v>
      </c>
      <c r="B2178" t="str">
        <f t="shared" si="34"/>
        <v>20406</v>
      </c>
      <c r="C2178" t="s">
        <v>1193</v>
      </c>
      <c r="D2178">
        <v>0</v>
      </c>
      <c r="E2178" t="s">
        <v>433</v>
      </c>
    </row>
    <row r="2179" spans="1:5" x14ac:dyDescent="0.25">
      <c r="A2179">
        <v>20406</v>
      </c>
      <c r="B2179" t="str">
        <f t="shared" ref="B2179:B2242" si="35">TEXT(A2179,"00000")</f>
        <v>20406</v>
      </c>
      <c r="C2179" t="s">
        <v>1194</v>
      </c>
      <c r="D2179">
        <v>43.6</v>
      </c>
      <c r="E2179" t="s">
        <v>433</v>
      </c>
    </row>
    <row r="2180" spans="1:5" x14ac:dyDescent="0.25">
      <c r="A2180">
        <v>20406</v>
      </c>
      <c r="B2180" t="str">
        <f t="shared" si="35"/>
        <v>20406</v>
      </c>
      <c r="C2180" t="s">
        <v>1195</v>
      </c>
      <c r="D2180">
        <v>0</v>
      </c>
      <c r="E2180" t="s">
        <v>433</v>
      </c>
    </row>
    <row r="2181" spans="1:5" x14ac:dyDescent="0.25">
      <c r="A2181">
        <v>20406</v>
      </c>
      <c r="B2181" t="str">
        <f t="shared" si="35"/>
        <v>20406</v>
      </c>
      <c r="C2181" t="s">
        <v>1197</v>
      </c>
      <c r="D2181">
        <v>9.6</v>
      </c>
      <c r="E2181" t="s">
        <v>433</v>
      </c>
    </row>
    <row r="2182" spans="1:5" x14ac:dyDescent="0.25">
      <c r="A2182">
        <v>20406</v>
      </c>
      <c r="B2182" t="str">
        <f t="shared" si="35"/>
        <v>20406</v>
      </c>
      <c r="C2182" t="s">
        <v>1202</v>
      </c>
      <c r="D2182">
        <v>0</v>
      </c>
      <c r="E2182" t="s">
        <v>433</v>
      </c>
    </row>
    <row r="2183" spans="1:5" x14ac:dyDescent="0.25">
      <c r="A2183">
        <v>20406</v>
      </c>
      <c r="B2183" t="str">
        <f t="shared" si="35"/>
        <v>20406</v>
      </c>
      <c r="C2183" t="s">
        <v>1206</v>
      </c>
      <c r="D2183">
        <v>34</v>
      </c>
      <c r="E2183" t="s">
        <v>433</v>
      </c>
    </row>
    <row r="2184" spans="1:5" x14ac:dyDescent="0.25">
      <c r="A2184">
        <v>20406</v>
      </c>
      <c r="B2184" t="str">
        <f t="shared" si="35"/>
        <v>20406</v>
      </c>
      <c r="C2184" t="s">
        <v>1199</v>
      </c>
      <c r="D2184">
        <v>0</v>
      </c>
      <c r="E2184" t="s">
        <v>433</v>
      </c>
    </row>
    <row r="2185" spans="1:5" x14ac:dyDescent="0.25">
      <c r="A2185">
        <v>20406</v>
      </c>
      <c r="B2185" t="str">
        <f t="shared" si="35"/>
        <v>20406</v>
      </c>
      <c r="C2185" t="s">
        <v>1203</v>
      </c>
      <c r="D2185">
        <v>40.6</v>
      </c>
      <c r="E2185" t="s">
        <v>433</v>
      </c>
    </row>
    <row r="2186" spans="1:5" x14ac:dyDescent="0.25">
      <c r="A2186">
        <v>20406</v>
      </c>
      <c r="B2186" t="str">
        <f t="shared" si="35"/>
        <v>20406</v>
      </c>
      <c r="C2186" t="s">
        <v>1200</v>
      </c>
      <c r="D2186">
        <v>0</v>
      </c>
      <c r="E2186" t="s">
        <v>433</v>
      </c>
    </row>
    <row r="2187" spans="1:5" x14ac:dyDescent="0.25">
      <c r="A2187">
        <v>20406</v>
      </c>
      <c r="B2187" t="str">
        <f t="shared" si="35"/>
        <v>20406</v>
      </c>
      <c r="C2187" t="s">
        <v>1204</v>
      </c>
      <c r="D2187">
        <v>40.32</v>
      </c>
      <c r="E2187" t="s">
        <v>433</v>
      </c>
    </row>
    <row r="2188" spans="1:5" x14ac:dyDescent="0.25">
      <c r="A2188">
        <v>20406</v>
      </c>
      <c r="B2188" t="str">
        <f t="shared" si="35"/>
        <v>20406</v>
      </c>
      <c r="C2188" t="s">
        <v>1207</v>
      </c>
      <c r="D2188">
        <v>0</v>
      </c>
      <c r="E2188" t="s">
        <v>433</v>
      </c>
    </row>
    <row r="2189" spans="1:5" x14ac:dyDescent="0.25">
      <c r="A2189">
        <v>20406</v>
      </c>
      <c r="B2189" t="str">
        <f t="shared" si="35"/>
        <v>20406</v>
      </c>
      <c r="C2189" t="s">
        <v>1208</v>
      </c>
      <c r="D2189">
        <v>0</v>
      </c>
      <c r="E2189" t="s">
        <v>433</v>
      </c>
    </row>
    <row r="2190" spans="1:5" x14ac:dyDescent="0.25">
      <c r="A2190">
        <v>20406</v>
      </c>
      <c r="B2190" t="str">
        <f t="shared" si="35"/>
        <v>20406</v>
      </c>
      <c r="C2190" t="s">
        <v>1210</v>
      </c>
      <c r="D2190">
        <v>0</v>
      </c>
      <c r="E2190" t="s">
        <v>433</v>
      </c>
    </row>
    <row r="2191" spans="1:5" x14ac:dyDescent="0.25">
      <c r="A2191">
        <v>20406</v>
      </c>
      <c r="B2191" t="str">
        <f t="shared" si="35"/>
        <v>20406</v>
      </c>
      <c r="C2191" t="s">
        <v>1212</v>
      </c>
      <c r="D2191">
        <v>0</v>
      </c>
      <c r="E2191" t="s">
        <v>433</v>
      </c>
    </row>
    <row r="2192" spans="1:5" x14ac:dyDescent="0.25">
      <c r="A2192">
        <v>20406</v>
      </c>
      <c r="B2192" t="str">
        <f t="shared" si="35"/>
        <v>20406</v>
      </c>
      <c r="C2192" t="s">
        <v>1216</v>
      </c>
      <c r="D2192">
        <v>9</v>
      </c>
      <c r="E2192" t="s">
        <v>433</v>
      </c>
    </row>
    <row r="2193" spans="1:5" x14ac:dyDescent="0.25">
      <c r="A2193">
        <v>20406</v>
      </c>
      <c r="B2193" t="str">
        <f t="shared" si="35"/>
        <v>20406</v>
      </c>
      <c r="C2193" t="s">
        <v>1198</v>
      </c>
      <c r="D2193">
        <v>12</v>
      </c>
      <c r="E2193" t="s">
        <v>433</v>
      </c>
    </row>
    <row r="2194" spans="1:5" x14ac:dyDescent="0.25">
      <c r="A2194">
        <v>37504</v>
      </c>
      <c r="B2194" t="str">
        <f t="shared" si="35"/>
        <v>37504</v>
      </c>
      <c r="C2194" t="s">
        <v>1193</v>
      </c>
      <c r="D2194">
        <v>0</v>
      </c>
      <c r="E2194" t="s">
        <v>567</v>
      </c>
    </row>
    <row r="2195" spans="1:5" x14ac:dyDescent="0.25">
      <c r="A2195">
        <v>37504</v>
      </c>
      <c r="B2195" t="str">
        <f t="shared" si="35"/>
        <v>37504</v>
      </c>
      <c r="C2195" t="s">
        <v>1194</v>
      </c>
      <c r="D2195">
        <v>701.5</v>
      </c>
      <c r="E2195" t="s">
        <v>567</v>
      </c>
    </row>
    <row r="2196" spans="1:5" x14ac:dyDescent="0.25">
      <c r="A2196">
        <v>37504</v>
      </c>
      <c r="B2196" t="str">
        <f t="shared" si="35"/>
        <v>37504</v>
      </c>
      <c r="C2196" t="s">
        <v>1195</v>
      </c>
      <c r="D2196">
        <v>0</v>
      </c>
      <c r="E2196" t="s">
        <v>567</v>
      </c>
    </row>
    <row r="2197" spans="1:5" x14ac:dyDescent="0.25">
      <c r="A2197">
        <v>37504</v>
      </c>
      <c r="B2197" t="str">
        <f t="shared" si="35"/>
        <v>37504</v>
      </c>
      <c r="C2197" t="s">
        <v>1197</v>
      </c>
      <c r="D2197">
        <v>216.26</v>
      </c>
      <c r="E2197" t="s">
        <v>567</v>
      </c>
    </row>
    <row r="2198" spans="1:5" x14ac:dyDescent="0.25">
      <c r="A2198">
        <v>37504</v>
      </c>
      <c r="B2198" t="str">
        <f t="shared" si="35"/>
        <v>37504</v>
      </c>
      <c r="C2198" t="s">
        <v>1202</v>
      </c>
      <c r="D2198">
        <v>0</v>
      </c>
      <c r="E2198" t="s">
        <v>567</v>
      </c>
    </row>
    <row r="2199" spans="1:5" x14ac:dyDescent="0.25">
      <c r="A2199">
        <v>37504</v>
      </c>
      <c r="B2199" t="str">
        <f t="shared" si="35"/>
        <v>37504</v>
      </c>
      <c r="C2199" t="s">
        <v>1206</v>
      </c>
      <c r="D2199">
        <v>463.71</v>
      </c>
      <c r="E2199" t="s">
        <v>567</v>
      </c>
    </row>
    <row r="2200" spans="1:5" x14ac:dyDescent="0.25">
      <c r="A2200">
        <v>37504</v>
      </c>
      <c r="B2200" t="str">
        <f t="shared" si="35"/>
        <v>37504</v>
      </c>
      <c r="C2200" t="s">
        <v>1199</v>
      </c>
      <c r="D2200">
        <v>0</v>
      </c>
      <c r="E2200" t="s">
        <v>567</v>
      </c>
    </row>
    <row r="2201" spans="1:5" x14ac:dyDescent="0.25">
      <c r="A2201">
        <v>37504</v>
      </c>
      <c r="B2201" t="str">
        <f t="shared" si="35"/>
        <v>37504</v>
      </c>
      <c r="C2201" t="s">
        <v>1203</v>
      </c>
      <c r="D2201">
        <v>475.79</v>
      </c>
      <c r="E2201" t="s">
        <v>567</v>
      </c>
    </row>
    <row r="2202" spans="1:5" x14ac:dyDescent="0.25">
      <c r="A2202">
        <v>37504</v>
      </c>
      <c r="B2202" t="str">
        <f t="shared" si="35"/>
        <v>37504</v>
      </c>
      <c r="C2202" t="s">
        <v>1200</v>
      </c>
      <c r="D2202">
        <v>0</v>
      </c>
      <c r="E2202" t="s">
        <v>567</v>
      </c>
    </row>
    <row r="2203" spans="1:5" x14ac:dyDescent="0.25">
      <c r="A2203">
        <v>37504</v>
      </c>
      <c r="B2203" t="str">
        <f t="shared" si="35"/>
        <v>37504</v>
      </c>
      <c r="C2203" t="s">
        <v>1204</v>
      </c>
      <c r="D2203">
        <v>860.13</v>
      </c>
      <c r="E2203" t="s">
        <v>567</v>
      </c>
    </row>
    <row r="2204" spans="1:5" x14ac:dyDescent="0.25">
      <c r="A2204">
        <v>37504</v>
      </c>
      <c r="B2204" t="str">
        <f t="shared" si="35"/>
        <v>37504</v>
      </c>
      <c r="C2204" t="s">
        <v>1207</v>
      </c>
      <c r="D2204">
        <v>18.190000000000001</v>
      </c>
      <c r="E2204" t="s">
        <v>567</v>
      </c>
    </row>
    <row r="2205" spans="1:5" x14ac:dyDescent="0.25">
      <c r="A2205">
        <v>37504</v>
      </c>
      <c r="B2205" t="str">
        <f t="shared" si="35"/>
        <v>37504</v>
      </c>
      <c r="C2205" t="s">
        <v>1208</v>
      </c>
      <c r="D2205">
        <v>169.56</v>
      </c>
      <c r="E2205" t="s">
        <v>567</v>
      </c>
    </row>
    <row r="2206" spans="1:5" x14ac:dyDescent="0.25">
      <c r="A2206">
        <v>37504</v>
      </c>
      <c r="B2206" t="str">
        <f t="shared" si="35"/>
        <v>37504</v>
      </c>
      <c r="C2206" t="s">
        <v>1210</v>
      </c>
      <c r="D2206">
        <v>0</v>
      </c>
      <c r="E2206" t="s">
        <v>567</v>
      </c>
    </row>
    <row r="2207" spans="1:5" x14ac:dyDescent="0.25">
      <c r="A2207">
        <v>37504</v>
      </c>
      <c r="B2207" t="str">
        <f t="shared" si="35"/>
        <v>37504</v>
      </c>
      <c r="C2207" t="s">
        <v>1212</v>
      </c>
      <c r="D2207">
        <v>0</v>
      </c>
      <c r="E2207" t="s">
        <v>567</v>
      </c>
    </row>
    <row r="2208" spans="1:5" x14ac:dyDescent="0.25">
      <c r="A2208">
        <v>37504</v>
      </c>
      <c r="B2208" t="str">
        <f t="shared" si="35"/>
        <v>37504</v>
      </c>
      <c r="C2208" t="s">
        <v>1216</v>
      </c>
      <c r="D2208">
        <v>76</v>
      </c>
      <c r="E2208" t="s">
        <v>567</v>
      </c>
    </row>
    <row r="2209" spans="1:5" x14ac:dyDescent="0.25">
      <c r="A2209">
        <v>37504</v>
      </c>
      <c r="B2209" t="str">
        <f t="shared" si="35"/>
        <v>37504</v>
      </c>
      <c r="C2209" t="s">
        <v>1198</v>
      </c>
      <c r="D2209">
        <v>200</v>
      </c>
      <c r="E2209" t="s">
        <v>567</v>
      </c>
    </row>
    <row r="2210" spans="1:5" x14ac:dyDescent="0.25">
      <c r="A2210" s="34">
        <v>39120</v>
      </c>
      <c r="B2210" t="str">
        <f t="shared" si="35"/>
        <v>39120</v>
      </c>
      <c r="C2210" t="s">
        <v>1193</v>
      </c>
      <c r="D2210">
        <v>0</v>
      </c>
      <c r="E2210" t="s">
        <v>590</v>
      </c>
    </row>
    <row r="2211" spans="1:5" x14ac:dyDescent="0.25">
      <c r="A2211" s="34">
        <v>39120</v>
      </c>
      <c r="B2211" t="str">
        <f t="shared" si="35"/>
        <v>39120</v>
      </c>
      <c r="C2211" t="s">
        <v>1194</v>
      </c>
      <c r="D2211">
        <v>135.19999999999999</v>
      </c>
      <c r="E2211" t="s">
        <v>590</v>
      </c>
    </row>
    <row r="2212" spans="1:5" x14ac:dyDescent="0.25">
      <c r="A2212" s="34">
        <v>39120</v>
      </c>
      <c r="B2212" t="str">
        <f t="shared" si="35"/>
        <v>39120</v>
      </c>
      <c r="C2212" t="s">
        <v>1195</v>
      </c>
      <c r="D2212">
        <v>0</v>
      </c>
      <c r="E2212" t="s">
        <v>590</v>
      </c>
    </row>
    <row r="2213" spans="1:5" x14ac:dyDescent="0.25">
      <c r="A2213" s="34">
        <v>39120</v>
      </c>
      <c r="B2213" t="str">
        <f t="shared" si="35"/>
        <v>39120</v>
      </c>
      <c r="C2213" t="s">
        <v>1197</v>
      </c>
      <c r="D2213">
        <v>42</v>
      </c>
      <c r="E2213" t="s">
        <v>590</v>
      </c>
    </row>
    <row r="2214" spans="1:5" x14ac:dyDescent="0.25">
      <c r="A2214" s="34">
        <v>39120</v>
      </c>
      <c r="B2214" t="str">
        <f t="shared" si="35"/>
        <v>39120</v>
      </c>
      <c r="C2214" t="s">
        <v>1202</v>
      </c>
      <c r="D2214">
        <v>0</v>
      </c>
      <c r="E2214" t="s">
        <v>590</v>
      </c>
    </row>
    <row r="2215" spans="1:5" x14ac:dyDescent="0.25">
      <c r="A2215" s="34">
        <v>39120</v>
      </c>
      <c r="B2215" t="str">
        <f t="shared" si="35"/>
        <v>39120</v>
      </c>
      <c r="C2215" t="s">
        <v>1206</v>
      </c>
      <c r="D2215">
        <v>93.4</v>
      </c>
      <c r="E2215" t="s">
        <v>590</v>
      </c>
    </row>
    <row r="2216" spans="1:5" x14ac:dyDescent="0.25">
      <c r="A2216" s="34">
        <v>39120</v>
      </c>
      <c r="B2216" t="str">
        <f t="shared" si="35"/>
        <v>39120</v>
      </c>
      <c r="C2216" t="s">
        <v>1199</v>
      </c>
      <c r="D2216">
        <v>0</v>
      </c>
      <c r="E2216" t="s">
        <v>590</v>
      </c>
    </row>
    <row r="2217" spans="1:5" x14ac:dyDescent="0.25">
      <c r="A2217" s="34">
        <v>39120</v>
      </c>
      <c r="B2217" t="str">
        <f t="shared" si="35"/>
        <v>39120</v>
      </c>
      <c r="C2217" t="s">
        <v>1203</v>
      </c>
      <c r="D2217">
        <v>107</v>
      </c>
      <c r="E2217" t="s">
        <v>590</v>
      </c>
    </row>
    <row r="2218" spans="1:5" x14ac:dyDescent="0.25">
      <c r="A2218" s="34">
        <v>39120</v>
      </c>
      <c r="B2218" t="str">
        <f t="shared" si="35"/>
        <v>39120</v>
      </c>
      <c r="C2218" t="s">
        <v>1200</v>
      </c>
      <c r="D2218">
        <v>0</v>
      </c>
      <c r="E2218" t="s">
        <v>590</v>
      </c>
    </row>
    <row r="2219" spans="1:5" x14ac:dyDescent="0.25">
      <c r="A2219" s="34">
        <v>39120</v>
      </c>
      <c r="B2219" t="str">
        <f t="shared" si="35"/>
        <v>39120</v>
      </c>
      <c r="C2219" t="s">
        <v>1204</v>
      </c>
      <c r="D2219">
        <v>212.54</v>
      </c>
      <c r="E2219" t="s">
        <v>590</v>
      </c>
    </row>
    <row r="2220" spans="1:5" x14ac:dyDescent="0.25">
      <c r="A2220" s="34">
        <v>39120</v>
      </c>
      <c r="B2220" t="str">
        <f t="shared" si="35"/>
        <v>39120</v>
      </c>
      <c r="C2220" t="s">
        <v>1207</v>
      </c>
      <c r="D2220">
        <v>6.84</v>
      </c>
      <c r="E2220" t="s">
        <v>590</v>
      </c>
    </row>
    <row r="2221" spans="1:5" x14ac:dyDescent="0.25">
      <c r="A2221" s="34">
        <v>39120</v>
      </c>
      <c r="B2221" t="str">
        <f t="shared" si="35"/>
        <v>39120</v>
      </c>
      <c r="C2221" t="s">
        <v>1208</v>
      </c>
      <c r="D2221">
        <v>41.36</v>
      </c>
      <c r="E2221" t="s">
        <v>590</v>
      </c>
    </row>
    <row r="2222" spans="1:5" x14ac:dyDescent="0.25">
      <c r="A2222" s="34">
        <v>39120</v>
      </c>
      <c r="B2222" t="str">
        <f t="shared" si="35"/>
        <v>39120</v>
      </c>
      <c r="C2222" t="s">
        <v>1210</v>
      </c>
      <c r="D2222">
        <v>0</v>
      </c>
      <c r="E2222" t="s">
        <v>590</v>
      </c>
    </row>
    <row r="2223" spans="1:5" x14ac:dyDescent="0.25">
      <c r="A2223" s="34">
        <v>39120</v>
      </c>
      <c r="B2223" t="str">
        <f t="shared" si="35"/>
        <v>39120</v>
      </c>
      <c r="C2223" t="s">
        <v>1212</v>
      </c>
      <c r="D2223">
        <v>0</v>
      </c>
      <c r="E2223" t="s">
        <v>590</v>
      </c>
    </row>
    <row r="2224" spans="1:5" x14ac:dyDescent="0.25">
      <c r="A2224" s="34">
        <v>39120</v>
      </c>
      <c r="B2224" t="str">
        <f t="shared" si="35"/>
        <v>39120</v>
      </c>
      <c r="C2224" t="s">
        <v>1216</v>
      </c>
      <c r="D2224">
        <v>26.4</v>
      </c>
      <c r="E2224" t="s">
        <v>590</v>
      </c>
    </row>
    <row r="2225" spans="1:5" x14ac:dyDescent="0.25">
      <c r="A2225" s="34">
        <v>39120</v>
      </c>
      <c r="B2225" t="str">
        <f t="shared" si="35"/>
        <v>39120</v>
      </c>
      <c r="C2225" t="s">
        <v>1198</v>
      </c>
      <c r="D2225">
        <v>60.8</v>
      </c>
      <c r="E2225" t="s">
        <v>590</v>
      </c>
    </row>
    <row r="2226" spans="1:5" x14ac:dyDescent="0.25">
      <c r="A2226" s="34" t="s">
        <v>53</v>
      </c>
      <c r="B2226" t="str">
        <f t="shared" si="35"/>
        <v>09207</v>
      </c>
      <c r="C2226" t="s">
        <v>1193</v>
      </c>
      <c r="D2226">
        <v>0</v>
      </c>
      <c r="E2226" t="s">
        <v>349</v>
      </c>
    </row>
    <row r="2227" spans="1:5" x14ac:dyDescent="0.25">
      <c r="A2227" s="34" t="s">
        <v>53</v>
      </c>
      <c r="B2227" t="str">
        <f t="shared" si="35"/>
        <v>09207</v>
      </c>
      <c r="C2227" t="s">
        <v>1194</v>
      </c>
      <c r="D2227">
        <v>25.2</v>
      </c>
      <c r="E2227" t="s">
        <v>349</v>
      </c>
    </row>
    <row r="2228" spans="1:5" x14ac:dyDescent="0.25">
      <c r="A2228" s="34" t="s">
        <v>53</v>
      </c>
      <c r="B2228" t="str">
        <f t="shared" si="35"/>
        <v>09207</v>
      </c>
      <c r="C2228" t="s">
        <v>1195</v>
      </c>
      <c r="D2228">
        <v>0</v>
      </c>
      <c r="E2228" t="s">
        <v>349</v>
      </c>
    </row>
    <row r="2229" spans="1:5" x14ac:dyDescent="0.25">
      <c r="A2229" s="34" t="s">
        <v>53</v>
      </c>
      <c r="B2229" t="str">
        <f t="shared" si="35"/>
        <v>09207</v>
      </c>
      <c r="C2229" t="s">
        <v>1197</v>
      </c>
      <c r="D2229">
        <v>8</v>
      </c>
      <c r="E2229" t="s">
        <v>349</v>
      </c>
    </row>
    <row r="2230" spans="1:5" x14ac:dyDescent="0.25">
      <c r="A2230" s="34" t="s">
        <v>53</v>
      </c>
      <c r="B2230" t="str">
        <f t="shared" si="35"/>
        <v>09207</v>
      </c>
      <c r="C2230" t="s">
        <v>1202</v>
      </c>
      <c r="D2230">
        <v>0</v>
      </c>
      <c r="E2230" t="s">
        <v>349</v>
      </c>
    </row>
    <row r="2231" spans="1:5" x14ac:dyDescent="0.25">
      <c r="A2231" s="34" t="s">
        <v>53</v>
      </c>
      <c r="B2231" t="str">
        <f t="shared" si="35"/>
        <v>09207</v>
      </c>
      <c r="C2231" t="s">
        <v>1206</v>
      </c>
      <c r="D2231">
        <v>15</v>
      </c>
      <c r="E2231" t="s">
        <v>349</v>
      </c>
    </row>
    <row r="2232" spans="1:5" x14ac:dyDescent="0.25">
      <c r="A2232" s="34" t="s">
        <v>53</v>
      </c>
      <c r="B2232" t="str">
        <f t="shared" si="35"/>
        <v>09207</v>
      </c>
      <c r="C2232" t="s">
        <v>1199</v>
      </c>
      <c r="D2232">
        <v>0</v>
      </c>
      <c r="E2232" t="s">
        <v>349</v>
      </c>
    </row>
    <row r="2233" spans="1:5" x14ac:dyDescent="0.25">
      <c r="A2233" s="34" t="s">
        <v>53</v>
      </c>
      <c r="B2233" t="str">
        <f t="shared" si="35"/>
        <v>09207</v>
      </c>
      <c r="C2233" t="s">
        <v>1203</v>
      </c>
      <c r="D2233">
        <v>19.600000000000001</v>
      </c>
      <c r="E2233" t="s">
        <v>349</v>
      </c>
    </row>
    <row r="2234" spans="1:5" x14ac:dyDescent="0.25">
      <c r="A2234" s="34" t="s">
        <v>53</v>
      </c>
      <c r="B2234" t="str">
        <f t="shared" si="35"/>
        <v>09207</v>
      </c>
      <c r="C2234" t="s">
        <v>1200</v>
      </c>
      <c r="D2234">
        <v>0</v>
      </c>
      <c r="E2234" t="s">
        <v>349</v>
      </c>
    </row>
    <row r="2235" spans="1:5" x14ac:dyDescent="0.25">
      <c r="A2235" s="34" t="s">
        <v>53</v>
      </c>
      <c r="B2235" t="str">
        <f t="shared" si="35"/>
        <v>09207</v>
      </c>
      <c r="C2235" t="s">
        <v>1204</v>
      </c>
      <c r="D2235">
        <v>23.08</v>
      </c>
      <c r="E2235" t="s">
        <v>349</v>
      </c>
    </row>
    <row r="2236" spans="1:5" x14ac:dyDescent="0.25">
      <c r="A2236" s="34" t="s">
        <v>53</v>
      </c>
      <c r="B2236" t="str">
        <f t="shared" si="35"/>
        <v>09207</v>
      </c>
      <c r="C2236" t="s">
        <v>1207</v>
      </c>
      <c r="D2236">
        <v>1.7</v>
      </c>
      <c r="E2236" t="s">
        <v>349</v>
      </c>
    </row>
    <row r="2237" spans="1:5" x14ac:dyDescent="0.25">
      <c r="A2237" s="34" t="s">
        <v>53</v>
      </c>
      <c r="B2237" t="str">
        <f t="shared" si="35"/>
        <v>09207</v>
      </c>
      <c r="C2237" t="s">
        <v>1208</v>
      </c>
      <c r="D2237">
        <v>4.67</v>
      </c>
      <c r="E2237" t="s">
        <v>349</v>
      </c>
    </row>
    <row r="2238" spans="1:5" x14ac:dyDescent="0.25">
      <c r="A2238" s="34" t="s">
        <v>53</v>
      </c>
      <c r="B2238" t="str">
        <f t="shared" si="35"/>
        <v>09207</v>
      </c>
      <c r="C2238" t="s">
        <v>1210</v>
      </c>
      <c r="D2238">
        <v>0</v>
      </c>
      <c r="E2238" t="s">
        <v>349</v>
      </c>
    </row>
    <row r="2239" spans="1:5" x14ac:dyDescent="0.25">
      <c r="A2239" s="34" t="s">
        <v>53</v>
      </c>
      <c r="B2239" t="str">
        <f t="shared" si="35"/>
        <v>09207</v>
      </c>
      <c r="C2239" t="s">
        <v>1212</v>
      </c>
      <c r="D2239">
        <v>0</v>
      </c>
      <c r="E2239" t="s">
        <v>349</v>
      </c>
    </row>
    <row r="2240" spans="1:5" x14ac:dyDescent="0.25">
      <c r="A2240" s="34" t="s">
        <v>53</v>
      </c>
      <c r="B2240" t="str">
        <f t="shared" si="35"/>
        <v>09207</v>
      </c>
      <c r="C2240" t="s">
        <v>1216</v>
      </c>
      <c r="D2240">
        <v>0</v>
      </c>
      <c r="E2240" t="s">
        <v>349</v>
      </c>
    </row>
    <row r="2241" spans="1:5" x14ac:dyDescent="0.25">
      <c r="A2241" s="34" t="s">
        <v>53</v>
      </c>
      <c r="B2241" t="str">
        <f t="shared" si="35"/>
        <v>09207</v>
      </c>
      <c r="C2241" t="s">
        <v>1198</v>
      </c>
      <c r="D2241">
        <v>6</v>
      </c>
      <c r="E2241" t="s">
        <v>349</v>
      </c>
    </row>
    <row r="2242" spans="1:5" x14ac:dyDescent="0.25">
      <c r="A2242" t="s">
        <v>20</v>
      </c>
      <c r="B2242" t="str">
        <f t="shared" si="35"/>
        <v>04019</v>
      </c>
      <c r="C2242" t="s">
        <v>1193</v>
      </c>
      <c r="D2242">
        <v>0</v>
      </c>
      <c r="E2242" t="s">
        <v>317</v>
      </c>
    </row>
    <row r="2243" spans="1:5" x14ac:dyDescent="0.25">
      <c r="A2243" t="s">
        <v>20</v>
      </c>
      <c r="B2243" t="str">
        <f t="shared" ref="B2243:B2306" si="36">TEXT(A2243,"00000")</f>
        <v>04019</v>
      </c>
      <c r="C2243" t="s">
        <v>1194</v>
      </c>
      <c r="D2243">
        <v>129.34</v>
      </c>
      <c r="E2243" t="s">
        <v>317</v>
      </c>
    </row>
    <row r="2244" spans="1:5" x14ac:dyDescent="0.25">
      <c r="A2244" t="s">
        <v>20</v>
      </c>
      <c r="B2244" t="str">
        <f t="shared" si="36"/>
        <v>04019</v>
      </c>
      <c r="C2244" t="s">
        <v>1195</v>
      </c>
      <c r="D2244">
        <v>0</v>
      </c>
      <c r="E2244" t="s">
        <v>317</v>
      </c>
    </row>
    <row r="2245" spans="1:5" x14ac:dyDescent="0.25">
      <c r="A2245" t="s">
        <v>20</v>
      </c>
      <c r="B2245" t="str">
        <f t="shared" si="36"/>
        <v>04019</v>
      </c>
      <c r="C2245" t="s">
        <v>1197</v>
      </c>
      <c r="D2245">
        <v>46.6</v>
      </c>
      <c r="E2245" t="s">
        <v>317</v>
      </c>
    </row>
    <row r="2246" spans="1:5" x14ac:dyDescent="0.25">
      <c r="A2246" t="s">
        <v>20</v>
      </c>
      <c r="B2246" t="str">
        <f t="shared" si="36"/>
        <v>04019</v>
      </c>
      <c r="C2246" t="s">
        <v>1202</v>
      </c>
      <c r="D2246">
        <v>0</v>
      </c>
      <c r="E2246" t="s">
        <v>317</v>
      </c>
    </row>
    <row r="2247" spans="1:5" x14ac:dyDescent="0.25">
      <c r="A2247" t="s">
        <v>20</v>
      </c>
      <c r="B2247" t="str">
        <f t="shared" si="36"/>
        <v>04019</v>
      </c>
      <c r="C2247" t="s">
        <v>1206</v>
      </c>
      <c r="D2247">
        <v>91.98</v>
      </c>
      <c r="E2247" t="s">
        <v>317</v>
      </c>
    </row>
    <row r="2248" spans="1:5" x14ac:dyDescent="0.25">
      <c r="A2248" t="s">
        <v>20</v>
      </c>
      <c r="B2248" t="str">
        <f t="shared" si="36"/>
        <v>04019</v>
      </c>
      <c r="C2248" t="s">
        <v>1199</v>
      </c>
      <c r="D2248">
        <v>0</v>
      </c>
      <c r="E2248" t="s">
        <v>317</v>
      </c>
    </row>
    <row r="2249" spans="1:5" x14ac:dyDescent="0.25">
      <c r="A2249" t="s">
        <v>20</v>
      </c>
      <c r="B2249" t="str">
        <f t="shared" si="36"/>
        <v>04019</v>
      </c>
      <c r="C2249" t="s">
        <v>1203</v>
      </c>
      <c r="D2249">
        <v>89.2</v>
      </c>
      <c r="E2249" t="s">
        <v>317</v>
      </c>
    </row>
    <row r="2250" spans="1:5" x14ac:dyDescent="0.25">
      <c r="A2250" t="s">
        <v>20</v>
      </c>
      <c r="B2250" t="str">
        <f t="shared" si="36"/>
        <v>04019</v>
      </c>
      <c r="C2250" t="s">
        <v>1200</v>
      </c>
      <c r="D2250">
        <v>0</v>
      </c>
      <c r="E2250" t="s">
        <v>317</v>
      </c>
    </row>
    <row r="2251" spans="1:5" x14ac:dyDescent="0.25">
      <c r="A2251" t="s">
        <v>20</v>
      </c>
      <c r="B2251" t="str">
        <f t="shared" si="36"/>
        <v>04019</v>
      </c>
      <c r="C2251" t="s">
        <v>1204</v>
      </c>
      <c r="D2251">
        <v>214.32</v>
      </c>
      <c r="E2251" t="s">
        <v>317</v>
      </c>
    </row>
    <row r="2252" spans="1:5" x14ac:dyDescent="0.25">
      <c r="A2252" t="s">
        <v>20</v>
      </c>
      <c r="B2252" t="str">
        <f t="shared" si="36"/>
        <v>04019</v>
      </c>
      <c r="C2252" t="s">
        <v>1207</v>
      </c>
      <c r="D2252">
        <v>5.42</v>
      </c>
      <c r="E2252" t="s">
        <v>317</v>
      </c>
    </row>
    <row r="2253" spans="1:5" x14ac:dyDescent="0.25">
      <c r="A2253" t="s">
        <v>20</v>
      </c>
      <c r="B2253" t="str">
        <f t="shared" si="36"/>
        <v>04019</v>
      </c>
      <c r="C2253" t="s">
        <v>1208</v>
      </c>
      <c r="D2253">
        <v>54.15</v>
      </c>
      <c r="E2253" t="s">
        <v>317</v>
      </c>
    </row>
    <row r="2254" spans="1:5" x14ac:dyDescent="0.25">
      <c r="A2254" t="s">
        <v>20</v>
      </c>
      <c r="B2254" t="str">
        <f t="shared" si="36"/>
        <v>04019</v>
      </c>
      <c r="C2254" t="s">
        <v>1210</v>
      </c>
      <c r="D2254">
        <v>0</v>
      </c>
      <c r="E2254" t="s">
        <v>317</v>
      </c>
    </row>
    <row r="2255" spans="1:5" x14ac:dyDescent="0.25">
      <c r="A2255" t="s">
        <v>20</v>
      </c>
      <c r="B2255" t="str">
        <f t="shared" si="36"/>
        <v>04019</v>
      </c>
      <c r="C2255" t="s">
        <v>1212</v>
      </c>
      <c r="D2255">
        <v>0</v>
      </c>
      <c r="E2255" t="s">
        <v>317</v>
      </c>
    </row>
    <row r="2256" spans="1:5" x14ac:dyDescent="0.25">
      <c r="A2256" t="s">
        <v>20</v>
      </c>
      <c r="B2256" t="str">
        <f t="shared" si="36"/>
        <v>04019</v>
      </c>
      <c r="C2256" t="s">
        <v>1216</v>
      </c>
      <c r="D2256">
        <v>18.61</v>
      </c>
      <c r="E2256" t="s">
        <v>317</v>
      </c>
    </row>
    <row r="2257" spans="1:5" x14ac:dyDescent="0.25">
      <c r="A2257" t="s">
        <v>20</v>
      </c>
      <c r="B2257" t="str">
        <f t="shared" si="36"/>
        <v>04019</v>
      </c>
      <c r="C2257" t="s">
        <v>1198</v>
      </c>
      <c r="D2257">
        <v>36.4</v>
      </c>
      <c r="E2257" t="s">
        <v>317</v>
      </c>
    </row>
    <row r="2258" spans="1:5" x14ac:dyDescent="0.25">
      <c r="A2258">
        <v>23311</v>
      </c>
      <c r="B2258" t="str">
        <f t="shared" si="36"/>
        <v>23311</v>
      </c>
      <c r="C2258" t="s">
        <v>1193</v>
      </c>
      <c r="D2258">
        <v>0</v>
      </c>
      <c r="E2258" t="s">
        <v>458</v>
      </c>
    </row>
    <row r="2259" spans="1:5" x14ac:dyDescent="0.25">
      <c r="A2259">
        <v>23311</v>
      </c>
      <c r="B2259" t="str">
        <f t="shared" si="36"/>
        <v>23311</v>
      </c>
      <c r="C2259" t="s">
        <v>1194</v>
      </c>
      <c r="D2259">
        <v>35.200000000000003</v>
      </c>
      <c r="E2259" t="s">
        <v>458</v>
      </c>
    </row>
    <row r="2260" spans="1:5" x14ac:dyDescent="0.25">
      <c r="A2260">
        <v>23311</v>
      </c>
      <c r="B2260" t="str">
        <f t="shared" si="36"/>
        <v>23311</v>
      </c>
      <c r="C2260" t="s">
        <v>1195</v>
      </c>
      <c r="D2260">
        <v>0</v>
      </c>
      <c r="E2260" t="s">
        <v>458</v>
      </c>
    </row>
    <row r="2261" spans="1:5" x14ac:dyDescent="0.25">
      <c r="A2261">
        <v>23311</v>
      </c>
      <c r="B2261" t="str">
        <f t="shared" si="36"/>
        <v>23311</v>
      </c>
      <c r="C2261" t="s">
        <v>1197</v>
      </c>
      <c r="D2261">
        <v>18.399999999999999</v>
      </c>
      <c r="E2261" t="s">
        <v>458</v>
      </c>
    </row>
    <row r="2262" spans="1:5" x14ac:dyDescent="0.25">
      <c r="A2262">
        <v>23311</v>
      </c>
      <c r="B2262" t="str">
        <f t="shared" si="36"/>
        <v>23311</v>
      </c>
      <c r="C2262" t="s">
        <v>1202</v>
      </c>
      <c r="D2262">
        <v>0</v>
      </c>
      <c r="E2262" t="s">
        <v>458</v>
      </c>
    </row>
    <row r="2263" spans="1:5" x14ac:dyDescent="0.25">
      <c r="A2263">
        <v>23311</v>
      </c>
      <c r="B2263" t="str">
        <f t="shared" si="36"/>
        <v>23311</v>
      </c>
      <c r="C2263" t="s">
        <v>1206</v>
      </c>
      <c r="D2263">
        <v>30.6</v>
      </c>
      <c r="E2263" t="s">
        <v>458</v>
      </c>
    </row>
    <row r="2264" spans="1:5" x14ac:dyDescent="0.25">
      <c r="A2264">
        <v>23311</v>
      </c>
      <c r="B2264" t="str">
        <f t="shared" si="36"/>
        <v>23311</v>
      </c>
      <c r="C2264" t="s">
        <v>1199</v>
      </c>
      <c r="D2264">
        <v>0</v>
      </c>
      <c r="E2264" t="s">
        <v>458</v>
      </c>
    </row>
    <row r="2265" spans="1:5" x14ac:dyDescent="0.25">
      <c r="A2265">
        <v>23311</v>
      </c>
      <c r="B2265" t="str">
        <f t="shared" si="36"/>
        <v>23311</v>
      </c>
      <c r="C2265" t="s">
        <v>1203</v>
      </c>
      <c r="D2265">
        <v>35.799999999999997</v>
      </c>
      <c r="E2265" t="s">
        <v>458</v>
      </c>
    </row>
    <row r="2266" spans="1:5" x14ac:dyDescent="0.25">
      <c r="A2266">
        <v>23311</v>
      </c>
      <c r="B2266" t="str">
        <f t="shared" si="36"/>
        <v>23311</v>
      </c>
      <c r="C2266" t="s">
        <v>1200</v>
      </c>
      <c r="D2266">
        <v>0</v>
      </c>
      <c r="E2266" t="s">
        <v>458</v>
      </c>
    </row>
    <row r="2267" spans="1:5" x14ac:dyDescent="0.25">
      <c r="A2267">
        <v>23311</v>
      </c>
      <c r="B2267" t="str">
        <f t="shared" si="36"/>
        <v>23311</v>
      </c>
      <c r="C2267" t="s">
        <v>1204</v>
      </c>
      <c r="D2267">
        <v>40.85</v>
      </c>
      <c r="E2267" t="s">
        <v>458</v>
      </c>
    </row>
    <row r="2268" spans="1:5" x14ac:dyDescent="0.25">
      <c r="A2268">
        <v>23311</v>
      </c>
      <c r="B2268" t="str">
        <f t="shared" si="36"/>
        <v>23311</v>
      </c>
      <c r="C2268" t="s">
        <v>1207</v>
      </c>
      <c r="D2268">
        <v>7.23</v>
      </c>
      <c r="E2268" t="s">
        <v>458</v>
      </c>
    </row>
    <row r="2269" spans="1:5" x14ac:dyDescent="0.25">
      <c r="A2269">
        <v>23311</v>
      </c>
      <c r="B2269" t="str">
        <f t="shared" si="36"/>
        <v>23311</v>
      </c>
      <c r="C2269" t="s">
        <v>1208</v>
      </c>
      <c r="D2269">
        <v>13.77</v>
      </c>
      <c r="E2269" t="s">
        <v>458</v>
      </c>
    </row>
    <row r="2270" spans="1:5" x14ac:dyDescent="0.25">
      <c r="A2270">
        <v>23311</v>
      </c>
      <c r="B2270" t="str">
        <f t="shared" si="36"/>
        <v>23311</v>
      </c>
      <c r="C2270" t="s">
        <v>1210</v>
      </c>
      <c r="D2270">
        <v>0</v>
      </c>
      <c r="E2270" t="s">
        <v>458</v>
      </c>
    </row>
    <row r="2271" spans="1:5" x14ac:dyDescent="0.25">
      <c r="A2271">
        <v>23311</v>
      </c>
      <c r="B2271" t="str">
        <f t="shared" si="36"/>
        <v>23311</v>
      </c>
      <c r="C2271" t="s">
        <v>1212</v>
      </c>
      <c r="D2271">
        <v>0</v>
      </c>
      <c r="E2271" t="s">
        <v>458</v>
      </c>
    </row>
    <row r="2272" spans="1:5" x14ac:dyDescent="0.25">
      <c r="A2272">
        <v>23311</v>
      </c>
      <c r="B2272" t="str">
        <f t="shared" si="36"/>
        <v>23311</v>
      </c>
      <c r="C2272" t="s">
        <v>1216</v>
      </c>
      <c r="D2272">
        <v>0</v>
      </c>
      <c r="E2272" t="s">
        <v>458</v>
      </c>
    </row>
    <row r="2273" spans="1:5" x14ac:dyDescent="0.25">
      <c r="A2273">
        <v>23311</v>
      </c>
      <c r="B2273" t="str">
        <f t="shared" si="36"/>
        <v>23311</v>
      </c>
      <c r="C2273" t="s">
        <v>1198</v>
      </c>
      <c r="D2273">
        <v>12.6</v>
      </c>
      <c r="E2273" t="s">
        <v>458</v>
      </c>
    </row>
    <row r="2274" spans="1:5" x14ac:dyDescent="0.25">
      <c r="A2274">
        <v>33207</v>
      </c>
      <c r="B2274" t="str">
        <f t="shared" si="36"/>
        <v>33207</v>
      </c>
      <c r="C2274" t="s">
        <v>1193</v>
      </c>
      <c r="D2274">
        <v>0</v>
      </c>
      <c r="E2274" t="s">
        <v>545</v>
      </c>
    </row>
    <row r="2275" spans="1:5" x14ac:dyDescent="0.25">
      <c r="A2275">
        <v>33207</v>
      </c>
      <c r="B2275" t="str">
        <f t="shared" si="36"/>
        <v>33207</v>
      </c>
      <c r="C2275" t="s">
        <v>1194</v>
      </c>
      <c r="D2275">
        <v>103.2</v>
      </c>
      <c r="E2275" t="s">
        <v>545</v>
      </c>
    </row>
    <row r="2276" spans="1:5" x14ac:dyDescent="0.25">
      <c r="A2276">
        <v>33207</v>
      </c>
      <c r="B2276" t="str">
        <f t="shared" si="36"/>
        <v>33207</v>
      </c>
      <c r="C2276" t="s">
        <v>1195</v>
      </c>
      <c r="D2276">
        <v>0</v>
      </c>
      <c r="E2276" t="s">
        <v>545</v>
      </c>
    </row>
    <row r="2277" spans="1:5" x14ac:dyDescent="0.25">
      <c r="A2277">
        <v>33207</v>
      </c>
      <c r="B2277" t="str">
        <f t="shared" si="36"/>
        <v>33207</v>
      </c>
      <c r="C2277" t="s">
        <v>1197</v>
      </c>
      <c r="D2277">
        <v>32.6</v>
      </c>
      <c r="E2277" t="s">
        <v>545</v>
      </c>
    </row>
    <row r="2278" spans="1:5" x14ac:dyDescent="0.25">
      <c r="A2278">
        <v>33207</v>
      </c>
      <c r="B2278" t="str">
        <f t="shared" si="36"/>
        <v>33207</v>
      </c>
      <c r="C2278" t="s">
        <v>1202</v>
      </c>
      <c r="D2278">
        <v>0</v>
      </c>
      <c r="E2278" t="s">
        <v>545</v>
      </c>
    </row>
    <row r="2279" spans="1:5" x14ac:dyDescent="0.25">
      <c r="A2279">
        <v>33207</v>
      </c>
      <c r="B2279" t="str">
        <f t="shared" si="36"/>
        <v>33207</v>
      </c>
      <c r="C2279" t="s">
        <v>1206</v>
      </c>
      <c r="D2279">
        <v>81.900000000000006</v>
      </c>
      <c r="E2279" t="s">
        <v>545</v>
      </c>
    </row>
    <row r="2280" spans="1:5" x14ac:dyDescent="0.25">
      <c r="A2280">
        <v>33207</v>
      </c>
      <c r="B2280" t="str">
        <f t="shared" si="36"/>
        <v>33207</v>
      </c>
      <c r="C2280" t="s">
        <v>1199</v>
      </c>
      <c r="D2280">
        <v>0</v>
      </c>
      <c r="E2280" t="s">
        <v>545</v>
      </c>
    </row>
    <row r="2281" spans="1:5" x14ac:dyDescent="0.25">
      <c r="A2281">
        <v>33207</v>
      </c>
      <c r="B2281" t="str">
        <f t="shared" si="36"/>
        <v>33207</v>
      </c>
      <c r="C2281" t="s">
        <v>1203</v>
      </c>
      <c r="D2281">
        <v>70.599999999999994</v>
      </c>
      <c r="E2281" t="s">
        <v>545</v>
      </c>
    </row>
    <row r="2282" spans="1:5" x14ac:dyDescent="0.25">
      <c r="A2282">
        <v>33207</v>
      </c>
      <c r="B2282" t="str">
        <f t="shared" si="36"/>
        <v>33207</v>
      </c>
      <c r="C2282" t="s">
        <v>1200</v>
      </c>
      <c r="D2282">
        <v>0</v>
      </c>
      <c r="E2282" t="s">
        <v>545</v>
      </c>
    </row>
    <row r="2283" spans="1:5" x14ac:dyDescent="0.25">
      <c r="A2283">
        <v>33207</v>
      </c>
      <c r="B2283" t="str">
        <f t="shared" si="36"/>
        <v>33207</v>
      </c>
      <c r="C2283" t="s">
        <v>1204</v>
      </c>
      <c r="D2283">
        <v>142.35</v>
      </c>
      <c r="E2283" t="s">
        <v>545</v>
      </c>
    </row>
    <row r="2284" spans="1:5" x14ac:dyDescent="0.25">
      <c r="A2284">
        <v>33207</v>
      </c>
      <c r="B2284" t="str">
        <f t="shared" si="36"/>
        <v>33207</v>
      </c>
      <c r="C2284" t="s">
        <v>1207</v>
      </c>
      <c r="D2284">
        <v>0</v>
      </c>
      <c r="E2284" t="s">
        <v>545</v>
      </c>
    </row>
    <row r="2285" spans="1:5" x14ac:dyDescent="0.25">
      <c r="A2285">
        <v>33207</v>
      </c>
      <c r="B2285" t="str">
        <f t="shared" si="36"/>
        <v>33207</v>
      </c>
      <c r="C2285" t="s">
        <v>1208</v>
      </c>
      <c r="D2285">
        <v>24.14</v>
      </c>
      <c r="E2285" t="s">
        <v>545</v>
      </c>
    </row>
    <row r="2286" spans="1:5" x14ac:dyDescent="0.25">
      <c r="A2286">
        <v>33207</v>
      </c>
      <c r="B2286" t="str">
        <f t="shared" si="36"/>
        <v>33207</v>
      </c>
      <c r="C2286" t="s">
        <v>1210</v>
      </c>
      <c r="D2286">
        <v>0</v>
      </c>
      <c r="E2286" t="s">
        <v>545</v>
      </c>
    </row>
    <row r="2287" spans="1:5" x14ac:dyDescent="0.25">
      <c r="A2287">
        <v>33207</v>
      </c>
      <c r="B2287" t="str">
        <f t="shared" si="36"/>
        <v>33207</v>
      </c>
      <c r="C2287" t="s">
        <v>1212</v>
      </c>
      <c r="D2287">
        <v>0</v>
      </c>
      <c r="E2287" t="s">
        <v>545</v>
      </c>
    </row>
    <row r="2288" spans="1:5" x14ac:dyDescent="0.25">
      <c r="A2288">
        <v>33207</v>
      </c>
      <c r="B2288" t="str">
        <f t="shared" si="36"/>
        <v>33207</v>
      </c>
      <c r="C2288" t="s">
        <v>1216</v>
      </c>
      <c r="D2288">
        <v>0</v>
      </c>
      <c r="E2288" t="s">
        <v>545</v>
      </c>
    </row>
    <row r="2289" spans="1:5" x14ac:dyDescent="0.25">
      <c r="A2289">
        <v>33207</v>
      </c>
      <c r="B2289" t="str">
        <f t="shared" si="36"/>
        <v>33207</v>
      </c>
      <c r="C2289" t="s">
        <v>1198</v>
      </c>
      <c r="D2289">
        <v>23.6</v>
      </c>
      <c r="E2289" t="s">
        <v>545</v>
      </c>
    </row>
    <row r="2290" spans="1:5" x14ac:dyDescent="0.25">
      <c r="A2290">
        <v>31025</v>
      </c>
      <c r="B2290" t="str">
        <f t="shared" si="36"/>
        <v>31025</v>
      </c>
      <c r="C2290" t="s">
        <v>1193</v>
      </c>
      <c r="D2290">
        <v>0</v>
      </c>
      <c r="E2290" t="s">
        <v>513</v>
      </c>
    </row>
    <row r="2291" spans="1:5" x14ac:dyDescent="0.25">
      <c r="A2291">
        <v>31025</v>
      </c>
      <c r="B2291" t="str">
        <f t="shared" si="36"/>
        <v>31025</v>
      </c>
      <c r="C2291" t="s">
        <v>1194</v>
      </c>
      <c r="D2291">
        <v>2157.67</v>
      </c>
      <c r="E2291" t="s">
        <v>513</v>
      </c>
    </row>
    <row r="2292" spans="1:5" x14ac:dyDescent="0.25">
      <c r="A2292">
        <v>31025</v>
      </c>
      <c r="B2292" t="str">
        <f t="shared" si="36"/>
        <v>31025</v>
      </c>
      <c r="C2292" t="s">
        <v>1195</v>
      </c>
      <c r="D2292">
        <v>0</v>
      </c>
      <c r="E2292" t="s">
        <v>513</v>
      </c>
    </row>
    <row r="2293" spans="1:5" x14ac:dyDescent="0.25">
      <c r="A2293">
        <v>31025</v>
      </c>
      <c r="B2293" t="str">
        <f t="shared" si="36"/>
        <v>31025</v>
      </c>
      <c r="C2293" t="s">
        <v>1197</v>
      </c>
      <c r="D2293">
        <v>734.97</v>
      </c>
      <c r="E2293" t="s">
        <v>513</v>
      </c>
    </row>
    <row r="2294" spans="1:5" x14ac:dyDescent="0.25">
      <c r="A2294">
        <v>31025</v>
      </c>
      <c r="B2294" t="str">
        <f t="shared" si="36"/>
        <v>31025</v>
      </c>
      <c r="C2294" t="s">
        <v>1202</v>
      </c>
      <c r="D2294">
        <v>0</v>
      </c>
      <c r="E2294" t="s">
        <v>513</v>
      </c>
    </row>
    <row r="2295" spans="1:5" x14ac:dyDescent="0.25">
      <c r="A2295">
        <v>31025</v>
      </c>
      <c r="B2295" t="str">
        <f t="shared" si="36"/>
        <v>31025</v>
      </c>
      <c r="C2295" t="s">
        <v>1206</v>
      </c>
      <c r="D2295">
        <v>1425.39</v>
      </c>
      <c r="E2295" t="s">
        <v>513</v>
      </c>
    </row>
    <row r="2296" spans="1:5" x14ac:dyDescent="0.25">
      <c r="A2296">
        <v>31025</v>
      </c>
      <c r="B2296" t="str">
        <f t="shared" si="36"/>
        <v>31025</v>
      </c>
      <c r="C2296" t="s">
        <v>1199</v>
      </c>
      <c r="D2296">
        <v>0</v>
      </c>
      <c r="E2296" t="s">
        <v>513</v>
      </c>
    </row>
    <row r="2297" spans="1:5" x14ac:dyDescent="0.25">
      <c r="A2297">
        <v>31025</v>
      </c>
      <c r="B2297" t="str">
        <f t="shared" si="36"/>
        <v>31025</v>
      </c>
      <c r="C2297" t="s">
        <v>1203</v>
      </c>
      <c r="D2297">
        <v>1378.04</v>
      </c>
      <c r="E2297" t="s">
        <v>513</v>
      </c>
    </row>
    <row r="2298" spans="1:5" x14ac:dyDescent="0.25">
      <c r="A2298">
        <v>31025</v>
      </c>
      <c r="B2298" t="str">
        <f t="shared" si="36"/>
        <v>31025</v>
      </c>
      <c r="C2298" t="s">
        <v>1200</v>
      </c>
      <c r="D2298">
        <v>0</v>
      </c>
      <c r="E2298" t="s">
        <v>513</v>
      </c>
    </row>
    <row r="2299" spans="1:5" x14ac:dyDescent="0.25">
      <c r="A2299">
        <v>31025</v>
      </c>
      <c r="B2299" t="str">
        <f t="shared" si="36"/>
        <v>31025</v>
      </c>
      <c r="C2299" t="s">
        <v>1204</v>
      </c>
      <c r="D2299">
        <v>2577.85</v>
      </c>
      <c r="E2299" t="s">
        <v>513</v>
      </c>
    </row>
    <row r="2300" spans="1:5" x14ac:dyDescent="0.25">
      <c r="A2300">
        <v>31025</v>
      </c>
      <c r="B2300" t="str">
        <f t="shared" si="36"/>
        <v>31025</v>
      </c>
      <c r="C2300" t="s">
        <v>1207</v>
      </c>
      <c r="D2300">
        <v>189.26</v>
      </c>
      <c r="E2300" t="s">
        <v>513</v>
      </c>
    </row>
    <row r="2301" spans="1:5" x14ac:dyDescent="0.25">
      <c r="A2301">
        <v>31025</v>
      </c>
      <c r="B2301" t="str">
        <f t="shared" si="36"/>
        <v>31025</v>
      </c>
      <c r="C2301" t="s">
        <v>1208</v>
      </c>
      <c r="D2301">
        <v>628.66999999999996</v>
      </c>
      <c r="E2301" t="s">
        <v>513</v>
      </c>
    </row>
    <row r="2302" spans="1:5" x14ac:dyDescent="0.25">
      <c r="A2302">
        <v>31025</v>
      </c>
      <c r="B2302" t="str">
        <f t="shared" si="36"/>
        <v>31025</v>
      </c>
      <c r="C2302" t="s">
        <v>1210</v>
      </c>
      <c r="D2302">
        <v>0</v>
      </c>
      <c r="E2302" t="s">
        <v>513</v>
      </c>
    </row>
    <row r="2303" spans="1:5" x14ac:dyDescent="0.25">
      <c r="A2303">
        <v>31025</v>
      </c>
      <c r="B2303" t="str">
        <f t="shared" si="36"/>
        <v>31025</v>
      </c>
      <c r="C2303" t="s">
        <v>1212</v>
      </c>
      <c r="D2303">
        <v>0</v>
      </c>
      <c r="E2303" t="s">
        <v>513</v>
      </c>
    </row>
    <row r="2304" spans="1:5" x14ac:dyDescent="0.25">
      <c r="A2304">
        <v>31025</v>
      </c>
      <c r="B2304" t="str">
        <f t="shared" si="36"/>
        <v>31025</v>
      </c>
      <c r="C2304" t="s">
        <v>1216</v>
      </c>
      <c r="D2304">
        <v>0</v>
      </c>
      <c r="E2304" t="s">
        <v>513</v>
      </c>
    </row>
    <row r="2305" spans="1:5" x14ac:dyDescent="0.25">
      <c r="A2305">
        <v>31025</v>
      </c>
      <c r="B2305" t="str">
        <f t="shared" si="36"/>
        <v>31025</v>
      </c>
      <c r="C2305" t="s">
        <v>1198</v>
      </c>
      <c r="D2305">
        <v>664.6</v>
      </c>
      <c r="E2305" t="s">
        <v>513</v>
      </c>
    </row>
    <row r="2306" spans="1:5" x14ac:dyDescent="0.25">
      <c r="A2306">
        <v>14065</v>
      </c>
      <c r="B2306" t="str">
        <f t="shared" si="36"/>
        <v>14065</v>
      </c>
      <c r="C2306" t="s">
        <v>1193</v>
      </c>
      <c r="D2306">
        <v>0</v>
      </c>
      <c r="E2306" t="s">
        <v>374</v>
      </c>
    </row>
    <row r="2307" spans="1:5" x14ac:dyDescent="0.25">
      <c r="A2307">
        <v>14065</v>
      </c>
      <c r="B2307" t="str">
        <f t="shared" ref="B2307:B2370" si="37">TEXT(A2307,"00000")</f>
        <v>14065</v>
      </c>
      <c r="C2307" t="s">
        <v>1194</v>
      </c>
      <c r="D2307">
        <v>109.8</v>
      </c>
      <c r="E2307" t="s">
        <v>374</v>
      </c>
    </row>
    <row r="2308" spans="1:5" x14ac:dyDescent="0.25">
      <c r="A2308">
        <v>14065</v>
      </c>
      <c r="B2308" t="str">
        <f t="shared" si="37"/>
        <v>14065</v>
      </c>
      <c r="C2308" t="s">
        <v>1195</v>
      </c>
      <c r="D2308">
        <v>0</v>
      </c>
      <c r="E2308" t="s">
        <v>374</v>
      </c>
    </row>
    <row r="2309" spans="1:5" x14ac:dyDescent="0.25">
      <c r="A2309">
        <v>14065</v>
      </c>
      <c r="B2309" t="str">
        <f t="shared" si="37"/>
        <v>14065</v>
      </c>
      <c r="C2309" t="s">
        <v>1197</v>
      </c>
      <c r="D2309">
        <v>32</v>
      </c>
      <c r="E2309" t="s">
        <v>374</v>
      </c>
    </row>
    <row r="2310" spans="1:5" x14ac:dyDescent="0.25">
      <c r="A2310">
        <v>14065</v>
      </c>
      <c r="B2310" t="str">
        <f t="shared" si="37"/>
        <v>14065</v>
      </c>
      <c r="C2310" t="s">
        <v>1202</v>
      </c>
      <c r="D2310">
        <v>0</v>
      </c>
      <c r="E2310" t="s">
        <v>374</v>
      </c>
    </row>
    <row r="2311" spans="1:5" x14ac:dyDescent="0.25">
      <c r="A2311">
        <v>14065</v>
      </c>
      <c r="B2311" t="str">
        <f t="shared" si="37"/>
        <v>14065</v>
      </c>
      <c r="C2311" t="s">
        <v>1206</v>
      </c>
      <c r="D2311">
        <v>67.599999999999994</v>
      </c>
      <c r="E2311" t="s">
        <v>374</v>
      </c>
    </row>
    <row r="2312" spans="1:5" x14ac:dyDescent="0.25">
      <c r="A2312">
        <v>14065</v>
      </c>
      <c r="B2312" t="str">
        <f t="shared" si="37"/>
        <v>14065</v>
      </c>
      <c r="C2312" t="s">
        <v>1199</v>
      </c>
      <c r="D2312">
        <v>0</v>
      </c>
      <c r="E2312" t="s">
        <v>374</v>
      </c>
    </row>
    <row r="2313" spans="1:5" x14ac:dyDescent="0.25">
      <c r="A2313">
        <v>14065</v>
      </c>
      <c r="B2313" t="str">
        <f t="shared" si="37"/>
        <v>14065</v>
      </c>
      <c r="C2313" t="s">
        <v>1203</v>
      </c>
      <c r="D2313">
        <v>66.52</v>
      </c>
      <c r="E2313" t="s">
        <v>374</v>
      </c>
    </row>
    <row r="2314" spans="1:5" x14ac:dyDescent="0.25">
      <c r="A2314">
        <v>14065</v>
      </c>
      <c r="B2314" t="str">
        <f t="shared" si="37"/>
        <v>14065</v>
      </c>
      <c r="C2314" t="s">
        <v>1200</v>
      </c>
      <c r="D2314">
        <v>0</v>
      </c>
      <c r="E2314" t="s">
        <v>374</v>
      </c>
    </row>
    <row r="2315" spans="1:5" x14ac:dyDescent="0.25">
      <c r="A2315">
        <v>14065</v>
      </c>
      <c r="B2315" t="str">
        <f t="shared" si="37"/>
        <v>14065</v>
      </c>
      <c r="C2315" t="s">
        <v>1204</v>
      </c>
      <c r="D2315">
        <v>0</v>
      </c>
      <c r="E2315" t="s">
        <v>374</v>
      </c>
    </row>
    <row r="2316" spans="1:5" x14ac:dyDescent="0.25">
      <c r="A2316">
        <v>14065</v>
      </c>
      <c r="B2316" t="str">
        <f t="shared" si="37"/>
        <v>14065</v>
      </c>
      <c r="C2316" t="s">
        <v>1207</v>
      </c>
      <c r="D2316">
        <v>0</v>
      </c>
      <c r="E2316" t="s">
        <v>374</v>
      </c>
    </row>
    <row r="2317" spans="1:5" x14ac:dyDescent="0.25">
      <c r="A2317">
        <v>14065</v>
      </c>
      <c r="B2317" t="str">
        <f t="shared" si="37"/>
        <v>14065</v>
      </c>
      <c r="C2317" t="s">
        <v>1208</v>
      </c>
      <c r="D2317">
        <v>0</v>
      </c>
      <c r="E2317" t="s">
        <v>374</v>
      </c>
    </row>
    <row r="2318" spans="1:5" x14ac:dyDescent="0.25">
      <c r="A2318">
        <v>14065</v>
      </c>
      <c r="B2318" t="str">
        <f t="shared" si="37"/>
        <v>14065</v>
      </c>
      <c r="C2318" t="s">
        <v>1210</v>
      </c>
      <c r="D2318">
        <v>0</v>
      </c>
      <c r="E2318" t="s">
        <v>374</v>
      </c>
    </row>
    <row r="2319" spans="1:5" x14ac:dyDescent="0.25">
      <c r="A2319">
        <v>14065</v>
      </c>
      <c r="B2319" t="str">
        <f t="shared" si="37"/>
        <v>14065</v>
      </c>
      <c r="C2319" t="s">
        <v>1212</v>
      </c>
      <c r="D2319">
        <v>0</v>
      </c>
      <c r="E2319" t="s">
        <v>374</v>
      </c>
    </row>
    <row r="2320" spans="1:5" x14ac:dyDescent="0.25">
      <c r="A2320">
        <v>14065</v>
      </c>
      <c r="B2320" t="str">
        <f t="shared" si="37"/>
        <v>14065</v>
      </c>
      <c r="C2320" t="s">
        <v>1216</v>
      </c>
      <c r="D2320">
        <v>0</v>
      </c>
      <c r="E2320" t="s">
        <v>374</v>
      </c>
    </row>
    <row r="2321" spans="1:5" x14ac:dyDescent="0.25">
      <c r="A2321">
        <v>14065</v>
      </c>
      <c r="B2321" t="str">
        <f t="shared" si="37"/>
        <v>14065</v>
      </c>
      <c r="C2321" t="s">
        <v>1198</v>
      </c>
      <c r="D2321">
        <v>34.799999999999997</v>
      </c>
      <c r="E2321" t="s">
        <v>374</v>
      </c>
    </row>
    <row r="2322" spans="1:5" x14ac:dyDescent="0.25">
      <c r="A2322">
        <v>32354</v>
      </c>
      <c r="B2322" t="str">
        <f t="shared" si="37"/>
        <v>32354</v>
      </c>
      <c r="C2322" t="s">
        <v>1193</v>
      </c>
      <c r="D2322">
        <v>0</v>
      </c>
      <c r="E2322" t="s">
        <v>527</v>
      </c>
    </row>
    <row r="2323" spans="1:5" x14ac:dyDescent="0.25">
      <c r="A2323">
        <v>32354</v>
      </c>
      <c r="B2323" t="str">
        <f t="shared" si="37"/>
        <v>32354</v>
      </c>
      <c r="C2323" t="s">
        <v>1194</v>
      </c>
      <c r="D2323">
        <v>1950.4</v>
      </c>
      <c r="E2323" t="s">
        <v>527</v>
      </c>
    </row>
    <row r="2324" spans="1:5" x14ac:dyDescent="0.25">
      <c r="A2324">
        <v>32354</v>
      </c>
      <c r="B2324" t="str">
        <f t="shared" si="37"/>
        <v>32354</v>
      </c>
      <c r="C2324" t="s">
        <v>1195</v>
      </c>
      <c r="D2324">
        <v>0</v>
      </c>
      <c r="E2324" t="s">
        <v>527</v>
      </c>
    </row>
    <row r="2325" spans="1:5" x14ac:dyDescent="0.25">
      <c r="A2325">
        <v>32354</v>
      </c>
      <c r="B2325" t="str">
        <f t="shared" si="37"/>
        <v>32354</v>
      </c>
      <c r="C2325" t="s">
        <v>1197</v>
      </c>
      <c r="D2325">
        <v>737.2</v>
      </c>
      <c r="E2325" t="s">
        <v>527</v>
      </c>
    </row>
    <row r="2326" spans="1:5" x14ac:dyDescent="0.25">
      <c r="A2326">
        <v>32354</v>
      </c>
      <c r="B2326" t="str">
        <f t="shared" si="37"/>
        <v>32354</v>
      </c>
      <c r="C2326" t="s">
        <v>1202</v>
      </c>
      <c r="D2326">
        <v>0</v>
      </c>
      <c r="E2326" t="s">
        <v>527</v>
      </c>
    </row>
    <row r="2327" spans="1:5" x14ac:dyDescent="0.25">
      <c r="A2327">
        <v>32354</v>
      </c>
      <c r="B2327" t="str">
        <f t="shared" si="37"/>
        <v>32354</v>
      </c>
      <c r="C2327" t="s">
        <v>1206</v>
      </c>
      <c r="D2327">
        <v>1500.35</v>
      </c>
      <c r="E2327" t="s">
        <v>527</v>
      </c>
    </row>
    <row r="2328" spans="1:5" x14ac:dyDescent="0.25">
      <c r="A2328">
        <v>32354</v>
      </c>
      <c r="B2328" t="str">
        <f t="shared" si="37"/>
        <v>32354</v>
      </c>
      <c r="C2328" t="s">
        <v>1199</v>
      </c>
      <c r="D2328">
        <v>0</v>
      </c>
      <c r="E2328" t="s">
        <v>527</v>
      </c>
    </row>
    <row r="2329" spans="1:5" x14ac:dyDescent="0.25">
      <c r="A2329">
        <v>32354</v>
      </c>
      <c r="B2329" t="str">
        <f t="shared" si="37"/>
        <v>32354</v>
      </c>
      <c r="C2329" t="s">
        <v>1203</v>
      </c>
      <c r="D2329">
        <v>1503.15</v>
      </c>
      <c r="E2329" t="s">
        <v>527</v>
      </c>
    </row>
    <row r="2330" spans="1:5" x14ac:dyDescent="0.25">
      <c r="A2330">
        <v>32354</v>
      </c>
      <c r="B2330" t="str">
        <f t="shared" si="37"/>
        <v>32354</v>
      </c>
      <c r="C2330" t="s">
        <v>1200</v>
      </c>
      <c r="D2330">
        <v>0</v>
      </c>
      <c r="E2330" t="s">
        <v>527</v>
      </c>
    </row>
    <row r="2331" spans="1:5" x14ac:dyDescent="0.25">
      <c r="A2331">
        <v>32354</v>
      </c>
      <c r="B2331" t="str">
        <f t="shared" si="37"/>
        <v>32354</v>
      </c>
      <c r="C2331" t="s">
        <v>1204</v>
      </c>
      <c r="D2331">
        <v>2818.47</v>
      </c>
      <c r="E2331" t="s">
        <v>527</v>
      </c>
    </row>
    <row r="2332" spans="1:5" x14ac:dyDescent="0.25">
      <c r="A2332">
        <v>32354</v>
      </c>
      <c r="B2332" t="str">
        <f t="shared" si="37"/>
        <v>32354</v>
      </c>
      <c r="C2332" t="s">
        <v>1207</v>
      </c>
      <c r="D2332">
        <v>334.76</v>
      </c>
      <c r="E2332" t="s">
        <v>527</v>
      </c>
    </row>
    <row r="2333" spans="1:5" x14ac:dyDescent="0.25">
      <c r="A2333">
        <v>32354</v>
      </c>
      <c r="B2333" t="str">
        <f t="shared" si="37"/>
        <v>32354</v>
      </c>
      <c r="C2333" t="s">
        <v>1208</v>
      </c>
      <c r="D2333">
        <v>501.44</v>
      </c>
      <c r="E2333" t="s">
        <v>527</v>
      </c>
    </row>
    <row r="2334" spans="1:5" x14ac:dyDescent="0.25">
      <c r="A2334">
        <v>32354</v>
      </c>
      <c r="B2334" t="str">
        <f t="shared" si="37"/>
        <v>32354</v>
      </c>
      <c r="C2334" t="s">
        <v>1210</v>
      </c>
      <c r="D2334">
        <v>0</v>
      </c>
      <c r="E2334" t="s">
        <v>527</v>
      </c>
    </row>
    <row r="2335" spans="1:5" x14ac:dyDescent="0.25">
      <c r="A2335">
        <v>32354</v>
      </c>
      <c r="B2335" t="str">
        <f t="shared" si="37"/>
        <v>32354</v>
      </c>
      <c r="C2335" t="s">
        <v>1212</v>
      </c>
      <c r="D2335">
        <v>0</v>
      </c>
      <c r="E2335" t="s">
        <v>527</v>
      </c>
    </row>
    <row r="2336" spans="1:5" x14ac:dyDescent="0.25">
      <c r="A2336">
        <v>32354</v>
      </c>
      <c r="B2336" t="str">
        <f t="shared" si="37"/>
        <v>32354</v>
      </c>
      <c r="C2336" t="s">
        <v>1216</v>
      </c>
      <c r="D2336">
        <v>136.6</v>
      </c>
      <c r="E2336" t="s">
        <v>527</v>
      </c>
    </row>
    <row r="2337" spans="1:5" x14ac:dyDescent="0.25">
      <c r="A2337">
        <v>32354</v>
      </c>
      <c r="B2337" t="str">
        <f t="shared" si="37"/>
        <v>32354</v>
      </c>
      <c r="C2337" t="s">
        <v>1198</v>
      </c>
      <c r="D2337">
        <v>582</v>
      </c>
      <c r="E2337" t="s">
        <v>527</v>
      </c>
    </row>
    <row r="2338" spans="1:5" x14ac:dyDescent="0.25">
      <c r="A2338">
        <v>32326</v>
      </c>
      <c r="B2338" t="str">
        <f t="shared" si="37"/>
        <v>32326</v>
      </c>
      <c r="C2338" t="s">
        <v>1193</v>
      </c>
      <c r="D2338">
        <v>0</v>
      </c>
      <c r="E2338" t="s">
        <v>526</v>
      </c>
    </row>
    <row r="2339" spans="1:5" x14ac:dyDescent="0.25">
      <c r="A2339">
        <v>32326</v>
      </c>
      <c r="B2339" t="str">
        <f t="shared" si="37"/>
        <v>32326</v>
      </c>
      <c r="C2339" t="s">
        <v>1194</v>
      </c>
      <c r="D2339">
        <v>430.11</v>
      </c>
      <c r="E2339" t="s">
        <v>526</v>
      </c>
    </row>
    <row r="2340" spans="1:5" x14ac:dyDescent="0.25">
      <c r="A2340">
        <v>32326</v>
      </c>
      <c r="B2340" t="str">
        <f t="shared" si="37"/>
        <v>32326</v>
      </c>
      <c r="C2340" t="s">
        <v>1195</v>
      </c>
      <c r="D2340">
        <v>0</v>
      </c>
      <c r="E2340" t="s">
        <v>526</v>
      </c>
    </row>
    <row r="2341" spans="1:5" x14ac:dyDescent="0.25">
      <c r="A2341">
        <v>32326</v>
      </c>
      <c r="B2341" t="str">
        <f t="shared" si="37"/>
        <v>32326</v>
      </c>
      <c r="C2341" t="s">
        <v>1197</v>
      </c>
      <c r="D2341">
        <v>118.8</v>
      </c>
      <c r="E2341" t="s">
        <v>526</v>
      </c>
    </row>
    <row r="2342" spans="1:5" x14ac:dyDescent="0.25">
      <c r="A2342">
        <v>32326</v>
      </c>
      <c r="B2342" t="str">
        <f t="shared" si="37"/>
        <v>32326</v>
      </c>
      <c r="C2342" t="s">
        <v>1202</v>
      </c>
      <c r="D2342">
        <v>0</v>
      </c>
      <c r="E2342" t="s">
        <v>526</v>
      </c>
    </row>
    <row r="2343" spans="1:5" x14ac:dyDescent="0.25">
      <c r="A2343">
        <v>32326</v>
      </c>
      <c r="B2343" t="str">
        <f t="shared" si="37"/>
        <v>32326</v>
      </c>
      <c r="C2343" t="s">
        <v>1206</v>
      </c>
      <c r="D2343">
        <v>258</v>
      </c>
      <c r="E2343" t="s">
        <v>526</v>
      </c>
    </row>
    <row r="2344" spans="1:5" x14ac:dyDescent="0.25">
      <c r="A2344">
        <v>32326</v>
      </c>
      <c r="B2344" t="str">
        <f t="shared" si="37"/>
        <v>32326</v>
      </c>
      <c r="C2344" t="s">
        <v>1199</v>
      </c>
      <c r="D2344">
        <v>0</v>
      </c>
      <c r="E2344" t="s">
        <v>526</v>
      </c>
    </row>
    <row r="2345" spans="1:5" x14ac:dyDescent="0.25">
      <c r="A2345">
        <v>32326</v>
      </c>
      <c r="B2345" t="str">
        <f t="shared" si="37"/>
        <v>32326</v>
      </c>
      <c r="C2345" t="s">
        <v>1203</v>
      </c>
      <c r="D2345">
        <v>238.11</v>
      </c>
      <c r="E2345" t="s">
        <v>526</v>
      </c>
    </row>
    <row r="2346" spans="1:5" x14ac:dyDescent="0.25">
      <c r="A2346">
        <v>32326</v>
      </c>
      <c r="B2346" t="str">
        <f t="shared" si="37"/>
        <v>32326</v>
      </c>
      <c r="C2346" t="s">
        <v>1200</v>
      </c>
      <c r="D2346">
        <v>0</v>
      </c>
      <c r="E2346" t="s">
        <v>526</v>
      </c>
    </row>
    <row r="2347" spans="1:5" x14ac:dyDescent="0.25">
      <c r="A2347">
        <v>32326</v>
      </c>
      <c r="B2347" t="str">
        <f t="shared" si="37"/>
        <v>32326</v>
      </c>
      <c r="C2347" t="s">
        <v>1204</v>
      </c>
      <c r="D2347">
        <v>427.99</v>
      </c>
      <c r="E2347" t="s">
        <v>526</v>
      </c>
    </row>
    <row r="2348" spans="1:5" x14ac:dyDescent="0.25">
      <c r="A2348">
        <v>32326</v>
      </c>
      <c r="B2348" t="str">
        <f t="shared" si="37"/>
        <v>32326</v>
      </c>
      <c r="C2348" t="s">
        <v>1207</v>
      </c>
      <c r="D2348">
        <v>0</v>
      </c>
      <c r="E2348" t="s">
        <v>526</v>
      </c>
    </row>
    <row r="2349" spans="1:5" x14ac:dyDescent="0.25">
      <c r="A2349">
        <v>32326</v>
      </c>
      <c r="B2349" t="str">
        <f t="shared" si="37"/>
        <v>32326</v>
      </c>
      <c r="C2349" t="s">
        <v>1208</v>
      </c>
      <c r="D2349">
        <v>116.45</v>
      </c>
      <c r="E2349" t="s">
        <v>526</v>
      </c>
    </row>
    <row r="2350" spans="1:5" x14ac:dyDescent="0.25">
      <c r="A2350">
        <v>32326</v>
      </c>
      <c r="B2350" t="str">
        <f t="shared" si="37"/>
        <v>32326</v>
      </c>
      <c r="C2350" t="s">
        <v>1210</v>
      </c>
      <c r="D2350">
        <v>0</v>
      </c>
      <c r="E2350" t="s">
        <v>526</v>
      </c>
    </row>
    <row r="2351" spans="1:5" x14ac:dyDescent="0.25">
      <c r="A2351">
        <v>32326</v>
      </c>
      <c r="B2351" t="str">
        <f t="shared" si="37"/>
        <v>32326</v>
      </c>
      <c r="C2351" t="s">
        <v>1212</v>
      </c>
      <c r="D2351">
        <v>0</v>
      </c>
      <c r="E2351" t="s">
        <v>526</v>
      </c>
    </row>
    <row r="2352" spans="1:5" x14ac:dyDescent="0.25">
      <c r="A2352">
        <v>32326</v>
      </c>
      <c r="B2352" t="str">
        <f t="shared" si="37"/>
        <v>32326</v>
      </c>
      <c r="C2352" t="s">
        <v>1216</v>
      </c>
      <c r="D2352">
        <v>21.2</v>
      </c>
      <c r="E2352" t="s">
        <v>526</v>
      </c>
    </row>
    <row r="2353" spans="1:5" x14ac:dyDescent="0.25">
      <c r="A2353">
        <v>32326</v>
      </c>
      <c r="B2353" t="str">
        <f t="shared" si="37"/>
        <v>32326</v>
      </c>
      <c r="C2353" t="s">
        <v>1198</v>
      </c>
      <c r="D2353">
        <v>161.91</v>
      </c>
      <c r="E2353" t="s">
        <v>526</v>
      </c>
    </row>
    <row r="2354" spans="1:5" x14ac:dyDescent="0.25">
      <c r="A2354">
        <v>17400</v>
      </c>
      <c r="B2354" t="str">
        <f t="shared" si="37"/>
        <v>17400</v>
      </c>
      <c r="C2354" t="s">
        <v>1193</v>
      </c>
      <c r="D2354">
        <v>0</v>
      </c>
      <c r="E2354" t="s">
        <v>395</v>
      </c>
    </row>
    <row r="2355" spans="1:5" x14ac:dyDescent="0.25">
      <c r="A2355">
        <v>17400</v>
      </c>
      <c r="B2355" t="str">
        <f t="shared" si="37"/>
        <v>17400</v>
      </c>
      <c r="C2355" t="s">
        <v>1194</v>
      </c>
      <c r="D2355">
        <v>781.11</v>
      </c>
      <c r="E2355" t="s">
        <v>395</v>
      </c>
    </row>
    <row r="2356" spans="1:5" x14ac:dyDescent="0.25">
      <c r="A2356">
        <v>17400</v>
      </c>
      <c r="B2356" t="str">
        <f t="shared" si="37"/>
        <v>17400</v>
      </c>
      <c r="C2356" t="s">
        <v>1195</v>
      </c>
      <c r="D2356">
        <v>0</v>
      </c>
      <c r="E2356" t="s">
        <v>395</v>
      </c>
    </row>
    <row r="2357" spans="1:5" x14ac:dyDescent="0.25">
      <c r="A2357">
        <v>17400</v>
      </c>
      <c r="B2357" t="str">
        <f t="shared" si="37"/>
        <v>17400</v>
      </c>
      <c r="C2357" t="s">
        <v>1197</v>
      </c>
      <c r="D2357">
        <v>293.37</v>
      </c>
      <c r="E2357" t="s">
        <v>395</v>
      </c>
    </row>
    <row r="2358" spans="1:5" x14ac:dyDescent="0.25">
      <c r="A2358">
        <v>17400</v>
      </c>
      <c r="B2358" t="str">
        <f t="shared" si="37"/>
        <v>17400</v>
      </c>
      <c r="C2358" t="s">
        <v>1202</v>
      </c>
      <c r="D2358">
        <v>0</v>
      </c>
      <c r="E2358" t="s">
        <v>395</v>
      </c>
    </row>
    <row r="2359" spans="1:5" x14ac:dyDescent="0.25">
      <c r="A2359">
        <v>17400</v>
      </c>
      <c r="B2359" t="str">
        <f t="shared" si="37"/>
        <v>17400</v>
      </c>
      <c r="C2359" t="s">
        <v>1206</v>
      </c>
      <c r="D2359">
        <v>557.42999999999995</v>
      </c>
      <c r="E2359" t="s">
        <v>395</v>
      </c>
    </row>
    <row r="2360" spans="1:5" x14ac:dyDescent="0.25">
      <c r="A2360">
        <v>17400</v>
      </c>
      <c r="B2360" t="str">
        <f t="shared" si="37"/>
        <v>17400</v>
      </c>
      <c r="C2360" t="s">
        <v>1199</v>
      </c>
      <c r="D2360">
        <v>0</v>
      </c>
      <c r="E2360" t="s">
        <v>395</v>
      </c>
    </row>
    <row r="2361" spans="1:5" x14ac:dyDescent="0.25">
      <c r="A2361">
        <v>17400</v>
      </c>
      <c r="B2361" t="str">
        <f t="shared" si="37"/>
        <v>17400</v>
      </c>
      <c r="C2361" t="s">
        <v>1203</v>
      </c>
      <c r="D2361">
        <v>666.52</v>
      </c>
      <c r="E2361" t="s">
        <v>395</v>
      </c>
    </row>
    <row r="2362" spans="1:5" x14ac:dyDescent="0.25">
      <c r="A2362">
        <v>17400</v>
      </c>
      <c r="B2362" t="str">
        <f t="shared" si="37"/>
        <v>17400</v>
      </c>
      <c r="C2362" t="s">
        <v>1200</v>
      </c>
      <c r="D2362">
        <v>0</v>
      </c>
      <c r="E2362" t="s">
        <v>395</v>
      </c>
    </row>
    <row r="2363" spans="1:5" x14ac:dyDescent="0.25">
      <c r="A2363">
        <v>17400</v>
      </c>
      <c r="B2363" t="str">
        <f t="shared" si="37"/>
        <v>17400</v>
      </c>
      <c r="C2363" t="s">
        <v>1204</v>
      </c>
      <c r="D2363">
        <v>1367.11</v>
      </c>
      <c r="E2363" t="s">
        <v>395</v>
      </c>
    </row>
    <row r="2364" spans="1:5" x14ac:dyDescent="0.25">
      <c r="A2364">
        <v>17400</v>
      </c>
      <c r="B2364" t="str">
        <f t="shared" si="37"/>
        <v>17400</v>
      </c>
      <c r="C2364" t="s">
        <v>1207</v>
      </c>
      <c r="D2364">
        <v>16.579999999999998</v>
      </c>
      <c r="E2364" t="s">
        <v>395</v>
      </c>
    </row>
    <row r="2365" spans="1:5" x14ac:dyDescent="0.25">
      <c r="A2365">
        <v>17400</v>
      </c>
      <c r="B2365" t="str">
        <f t="shared" si="37"/>
        <v>17400</v>
      </c>
      <c r="C2365" t="s">
        <v>1208</v>
      </c>
      <c r="D2365">
        <v>313.70999999999998</v>
      </c>
      <c r="E2365" t="s">
        <v>395</v>
      </c>
    </row>
    <row r="2366" spans="1:5" x14ac:dyDescent="0.25">
      <c r="A2366">
        <v>17400</v>
      </c>
      <c r="B2366" t="str">
        <f t="shared" si="37"/>
        <v>17400</v>
      </c>
      <c r="C2366" t="s">
        <v>1210</v>
      </c>
      <c r="D2366">
        <v>0</v>
      </c>
      <c r="E2366" t="s">
        <v>395</v>
      </c>
    </row>
    <row r="2367" spans="1:5" x14ac:dyDescent="0.25">
      <c r="A2367">
        <v>17400</v>
      </c>
      <c r="B2367" t="str">
        <f t="shared" si="37"/>
        <v>17400</v>
      </c>
      <c r="C2367" t="s">
        <v>1212</v>
      </c>
      <c r="D2367">
        <v>0</v>
      </c>
      <c r="E2367" t="s">
        <v>395</v>
      </c>
    </row>
    <row r="2368" spans="1:5" x14ac:dyDescent="0.25">
      <c r="A2368">
        <v>17400</v>
      </c>
      <c r="B2368" t="str">
        <f t="shared" si="37"/>
        <v>17400</v>
      </c>
      <c r="C2368" t="s">
        <v>1216</v>
      </c>
      <c r="D2368">
        <v>0</v>
      </c>
      <c r="E2368" t="s">
        <v>395</v>
      </c>
    </row>
    <row r="2369" spans="1:5" x14ac:dyDescent="0.25">
      <c r="A2369">
        <v>17400</v>
      </c>
      <c r="B2369" t="str">
        <f t="shared" si="37"/>
        <v>17400</v>
      </c>
      <c r="C2369" t="s">
        <v>1198</v>
      </c>
      <c r="D2369">
        <v>217.61</v>
      </c>
      <c r="E2369" t="s">
        <v>395</v>
      </c>
    </row>
    <row r="2370" spans="1:5" x14ac:dyDescent="0.25">
      <c r="A2370">
        <v>37505</v>
      </c>
      <c r="B2370" t="str">
        <f t="shared" si="37"/>
        <v>37505</v>
      </c>
      <c r="C2370" t="s">
        <v>1193</v>
      </c>
      <c r="D2370">
        <v>0</v>
      </c>
      <c r="E2370" t="s">
        <v>568</v>
      </c>
    </row>
    <row r="2371" spans="1:5" x14ac:dyDescent="0.25">
      <c r="A2371">
        <v>37505</v>
      </c>
      <c r="B2371" t="str">
        <f t="shared" ref="B2371:B2434" si="38">TEXT(A2371,"00000")</f>
        <v>37505</v>
      </c>
      <c r="C2371" t="s">
        <v>1194</v>
      </c>
      <c r="D2371">
        <v>380.47</v>
      </c>
      <c r="E2371" t="s">
        <v>568</v>
      </c>
    </row>
    <row r="2372" spans="1:5" x14ac:dyDescent="0.25">
      <c r="A2372">
        <v>37505</v>
      </c>
      <c r="B2372" t="str">
        <f t="shared" si="38"/>
        <v>37505</v>
      </c>
      <c r="C2372" t="s">
        <v>1195</v>
      </c>
      <c r="D2372">
        <v>0</v>
      </c>
      <c r="E2372" t="s">
        <v>568</v>
      </c>
    </row>
    <row r="2373" spans="1:5" x14ac:dyDescent="0.25">
      <c r="A2373">
        <v>37505</v>
      </c>
      <c r="B2373" t="str">
        <f t="shared" si="38"/>
        <v>37505</v>
      </c>
      <c r="C2373" t="s">
        <v>1197</v>
      </c>
      <c r="D2373">
        <v>115.65</v>
      </c>
      <c r="E2373" t="s">
        <v>568</v>
      </c>
    </row>
    <row r="2374" spans="1:5" x14ac:dyDescent="0.25">
      <c r="A2374">
        <v>37505</v>
      </c>
      <c r="B2374" t="str">
        <f t="shared" si="38"/>
        <v>37505</v>
      </c>
      <c r="C2374" t="s">
        <v>1202</v>
      </c>
      <c r="D2374">
        <v>0</v>
      </c>
      <c r="E2374" t="s">
        <v>568</v>
      </c>
    </row>
    <row r="2375" spans="1:5" x14ac:dyDescent="0.25">
      <c r="A2375">
        <v>37505</v>
      </c>
      <c r="B2375" t="str">
        <f t="shared" si="38"/>
        <v>37505</v>
      </c>
      <c r="C2375" t="s">
        <v>1206</v>
      </c>
      <c r="D2375">
        <v>229.4</v>
      </c>
      <c r="E2375" t="s">
        <v>568</v>
      </c>
    </row>
    <row r="2376" spans="1:5" x14ac:dyDescent="0.25">
      <c r="A2376">
        <v>37505</v>
      </c>
      <c r="B2376" t="str">
        <f t="shared" si="38"/>
        <v>37505</v>
      </c>
      <c r="C2376" t="s">
        <v>1199</v>
      </c>
      <c r="D2376">
        <v>0</v>
      </c>
      <c r="E2376" t="s">
        <v>568</v>
      </c>
    </row>
    <row r="2377" spans="1:5" x14ac:dyDescent="0.25">
      <c r="A2377">
        <v>37505</v>
      </c>
      <c r="B2377" t="str">
        <f t="shared" si="38"/>
        <v>37505</v>
      </c>
      <c r="C2377" t="s">
        <v>1203</v>
      </c>
      <c r="D2377">
        <v>239.05</v>
      </c>
      <c r="E2377" t="s">
        <v>568</v>
      </c>
    </row>
    <row r="2378" spans="1:5" x14ac:dyDescent="0.25">
      <c r="A2378">
        <v>37505</v>
      </c>
      <c r="B2378" t="str">
        <f t="shared" si="38"/>
        <v>37505</v>
      </c>
      <c r="C2378" t="s">
        <v>1200</v>
      </c>
      <c r="D2378">
        <v>0</v>
      </c>
      <c r="E2378" t="s">
        <v>568</v>
      </c>
    </row>
    <row r="2379" spans="1:5" x14ac:dyDescent="0.25">
      <c r="A2379">
        <v>37505</v>
      </c>
      <c r="B2379" t="str">
        <f t="shared" si="38"/>
        <v>37505</v>
      </c>
      <c r="C2379" t="s">
        <v>1204</v>
      </c>
      <c r="D2379">
        <v>463.44</v>
      </c>
      <c r="E2379" t="s">
        <v>568</v>
      </c>
    </row>
    <row r="2380" spans="1:5" x14ac:dyDescent="0.25">
      <c r="A2380">
        <v>37505</v>
      </c>
      <c r="B2380" t="str">
        <f t="shared" si="38"/>
        <v>37505</v>
      </c>
      <c r="C2380" t="s">
        <v>1207</v>
      </c>
      <c r="D2380">
        <v>0</v>
      </c>
      <c r="E2380" t="s">
        <v>568</v>
      </c>
    </row>
    <row r="2381" spans="1:5" x14ac:dyDescent="0.25">
      <c r="A2381">
        <v>37505</v>
      </c>
      <c r="B2381" t="str">
        <f t="shared" si="38"/>
        <v>37505</v>
      </c>
      <c r="C2381" t="s">
        <v>1208</v>
      </c>
      <c r="D2381">
        <v>69.59</v>
      </c>
      <c r="E2381" t="s">
        <v>568</v>
      </c>
    </row>
    <row r="2382" spans="1:5" x14ac:dyDescent="0.25">
      <c r="A2382">
        <v>37505</v>
      </c>
      <c r="B2382" t="str">
        <f t="shared" si="38"/>
        <v>37505</v>
      </c>
      <c r="C2382" t="s">
        <v>1210</v>
      </c>
      <c r="D2382">
        <v>0</v>
      </c>
      <c r="E2382" t="s">
        <v>568</v>
      </c>
    </row>
    <row r="2383" spans="1:5" x14ac:dyDescent="0.25">
      <c r="A2383">
        <v>37505</v>
      </c>
      <c r="B2383" t="str">
        <f t="shared" si="38"/>
        <v>37505</v>
      </c>
      <c r="C2383" t="s">
        <v>1212</v>
      </c>
      <c r="D2383">
        <v>0</v>
      </c>
      <c r="E2383" t="s">
        <v>568</v>
      </c>
    </row>
    <row r="2384" spans="1:5" x14ac:dyDescent="0.25">
      <c r="A2384">
        <v>37505</v>
      </c>
      <c r="B2384" t="str">
        <f t="shared" si="38"/>
        <v>37505</v>
      </c>
      <c r="C2384" t="s">
        <v>1216</v>
      </c>
      <c r="D2384">
        <v>42.4</v>
      </c>
      <c r="E2384" t="s">
        <v>568</v>
      </c>
    </row>
    <row r="2385" spans="1:5" x14ac:dyDescent="0.25">
      <c r="A2385">
        <v>37505</v>
      </c>
      <c r="B2385" t="str">
        <f t="shared" si="38"/>
        <v>37505</v>
      </c>
      <c r="C2385" t="s">
        <v>1198</v>
      </c>
      <c r="D2385">
        <v>105.8</v>
      </c>
      <c r="E2385" t="s">
        <v>568</v>
      </c>
    </row>
    <row r="2386" spans="1:5" x14ac:dyDescent="0.25">
      <c r="A2386">
        <v>24350</v>
      </c>
      <c r="B2386" t="str">
        <f t="shared" si="38"/>
        <v>24350</v>
      </c>
      <c r="C2386" t="s">
        <v>1193</v>
      </c>
      <c r="D2386">
        <v>0</v>
      </c>
      <c r="E2386" t="s">
        <v>467</v>
      </c>
    </row>
    <row r="2387" spans="1:5" x14ac:dyDescent="0.25">
      <c r="A2387">
        <v>24350</v>
      </c>
      <c r="B2387" t="str">
        <f t="shared" si="38"/>
        <v>24350</v>
      </c>
      <c r="C2387" t="s">
        <v>1194</v>
      </c>
      <c r="D2387">
        <v>161.80000000000001</v>
      </c>
      <c r="E2387" t="s">
        <v>467</v>
      </c>
    </row>
    <row r="2388" spans="1:5" x14ac:dyDescent="0.25">
      <c r="A2388">
        <v>24350</v>
      </c>
      <c r="B2388" t="str">
        <f t="shared" si="38"/>
        <v>24350</v>
      </c>
      <c r="C2388" t="s">
        <v>1195</v>
      </c>
      <c r="D2388">
        <v>0</v>
      </c>
      <c r="E2388" t="s">
        <v>467</v>
      </c>
    </row>
    <row r="2389" spans="1:5" x14ac:dyDescent="0.25">
      <c r="A2389">
        <v>24350</v>
      </c>
      <c r="B2389" t="str">
        <f t="shared" si="38"/>
        <v>24350</v>
      </c>
      <c r="C2389" t="s">
        <v>1197</v>
      </c>
      <c r="D2389">
        <v>65.8</v>
      </c>
      <c r="E2389" t="s">
        <v>467</v>
      </c>
    </row>
    <row r="2390" spans="1:5" x14ac:dyDescent="0.25">
      <c r="A2390">
        <v>24350</v>
      </c>
      <c r="B2390" t="str">
        <f t="shared" si="38"/>
        <v>24350</v>
      </c>
      <c r="C2390" t="s">
        <v>1202</v>
      </c>
      <c r="D2390">
        <v>0</v>
      </c>
      <c r="E2390" t="s">
        <v>467</v>
      </c>
    </row>
    <row r="2391" spans="1:5" x14ac:dyDescent="0.25">
      <c r="A2391">
        <v>24350</v>
      </c>
      <c r="B2391" t="str">
        <f t="shared" si="38"/>
        <v>24350</v>
      </c>
      <c r="C2391" t="s">
        <v>1206</v>
      </c>
      <c r="D2391">
        <v>122.03</v>
      </c>
      <c r="E2391" t="s">
        <v>467</v>
      </c>
    </row>
    <row r="2392" spans="1:5" x14ac:dyDescent="0.25">
      <c r="A2392">
        <v>24350</v>
      </c>
      <c r="B2392" t="str">
        <f t="shared" si="38"/>
        <v>24350</v>
      </c>
      <c r="C2392" t="s">
        <v>1199</v>
      </c>
      <c r="D2392">
        <v>0</v>
      </c>
      <c r="E2392" t="s">
        <v>467</v>
      </c>
    </row>
    <row r="2393" spans="1:5" x14ac:dyDescent="0.25">
      <c r="A2393">
        <v>24350</v>
      </c>
      <c r="B2393" t="str">
        <f t="shared" si="38"/>
        <v>24350</v>
      </c>
      <c r="C2393" t="s">
        <v>1203</v>
      </c>
      <c r="D2393">
        <v>118.14</v>
      </c>
      <c r="E2393" t="s">
        <v>467</v>
      </c>
    </row>
    <row r="2394" spans="1:5" x14ac:dyDescent="0.25">
      <c r="A2394">
        <v>24350</v>
      </c>
      <c r="B2394" t="str">
        <f t="shared" si="38"/>
        <v>24350</v>
      </c>
      <c r="C2394" t="s">
        <v>1200</v>
      </c>
      <c r="D2394">
        <v>0</v>
      </c>
      <c r="E2394" t="s">
        <v>467</v>
      </c>
    </row>
    <row r="2395" spans="1:5" x14ac:dyDescent="0.25">
      <c r="A2395">
        <v>24350</v>
      </c>
      <c r="B2395" t="str">
        <f t="shared" si="38"/>
        <v>24350</v>
      </c>
      <c r="C2395" t="s">
        <v>1204</v>
      </c>
      <c r="D2395">
        <v>203.12</v>
      </c>
      <c r="E2395" t="s">
        <v>467</v>
      </c>
    </row>
    <row r="2396" spans="1:5" x14ac:dyDescent="0.25">
      <c r="A2396">
        <v>24350</v>
      </c>
      <c r="B2396" t="str">
        <f t="shared" si="38"/>
        <v>24350</v>
      </c>
      <c r="C2396" t="s">
        <v>1207</v>
      </c>
      <c r="D2396">
        <v>11.04</v>
      </c>
      <c r="E2396" t="s">
        <v>467</v>
      </c>
    </row>
    <row r="2397" spans="1:5" x14ac:dyDescent="0.25">
      <c r="A2397">
        <v>24350</v>
      </c>
      <c r="B2397" t="str">
        <f t="shared" si="38"/>
        <v>24350</v>
      </c>
      <c r="C2397" t="s">
        <v>1208</v>
      </c>
      <c r="D2397">
        <v>43.67</v>
      </c>
      <c r="E2397" t="s">
        <v>467</v>
      </c>
    </row>
    <row r="2398" spans="1:5" x14ac:dyDescent="0.25">
      <c r="A2398">
        <v>24350</v>
      </c>
      <c r="B2398" t="str">
        <f t="shared" si="38"/>
        <v>24350</v>
      </c>
      <c r="C2398" t="s">
        <v>1210</v>
      </c>
      <c r="D2398">
        <v>0</v>
      </c>
      <c r="E2398" t="s">
        <v>467</v>
      </c>
    </row>
    <row r="2399" spans="1:5" x14ac:dyDescent="0.25">
      <c r="A2399">
        <v>24350</v>
      </c>
      <c r="B2399" t="str">
        <f t="shared" si="38"/>
        <v>24350</v>
      </c>
      <c r="C2399" t="s">
        <v>1212</v>
      </c>
      <c r="D2399">
        <v>0</v>
      </c>
      <c r="E2399" t="s">
        <v>467</v>
      </c>
    </row>
    <row r="2400" spans="1:5" x14ac:dyDescent="0.25">
      <c r="A2400">
        <v>24350</v>
      </c>
      <c r="B2400" t="str">
        <f t="shared" si="38"/>
        <v>24350</v>
      </c>
      <c r="C2400" t="s">
        <v>1216</v>
      </c>
      <c r="D2400">
        <v>0</v>
      </c>
      <c r="E2400" t="s">
        <v>467</v>
      </c>
    </row>
    <row r="2401" spans="1:5" x14ac:dyDescent="0.25">
      <c r="A2401">
        <v>24350</v>
      </c>
      <c r="B2401" t="str">
        <f t="shared" si="38"/>
        <v>24350</v>
      </c>
      <c r="C2401" t="s">
        <v>1198</v>
      </c>
      <c r="D2401">
        <v>51.2</v>
      </c>
      <c r="E2401" t="s">
        <v>467</v>
      </c>
    </row>
    <row r="2402" spans="1:5" x14ac:dyDescent="0.25">
      <c r="A2402">
        <v>30031</v>
      </c>
      <c r="B2402" t="str">
        <f t="shared" si="38"/>
        <v>30031</v>
      </c>
      <c r="C2402" t="s">
        <v>1193</v>
      </c>
      <c r="D2402">
        <v>0</v>
      </c>
      <c r="E2402" t="s">
        <v>506</v>
      </c>
    </row>
    <row r="2403" spans="1:5" x14ac:dyDescent="0.25">
      <c r="A2403">
        <v>30031</v>
      </c>
      <c r="B2403" t="str">
        <f t="shared" si="38"/>
        <v>30031</v>
      </c>
      <c r="C2403" t="s">
        <v>1194</v>
      </c>
      <c r="D2403">
        <v>14</v>
      </c>
      <c r="E2403" t="s">
        <v>506</v>
      </c>
    </row>
    <row r="2404" spans="1:5" x14ac:dyDescent="0.25">
      <c r="A2404">
        <v>30031</v>
      </c>
      <c r="B2404" t="str">
        <f t="shared" si="38"/>
        <v>30031</v>
      </c>
      <c r="C2404" t="s">
        <v>1195</v>
      </c>
      <c r="D2404">
        <v>0</v>
      </c>
      <c r="E2404" t="s">
        <v>506</v>
      </c>
    </row>
    <row r="2405" spans="1:5" x14ac:dyDescent="0.25">
      <c r="A2405">
        <v>30031</v>
      </c>
      <c r="B2405" t="str">
        <f t="shared" si="38"/>
        <v>30031</v>
      </c>
      <c r="C2405" t="s">
        <v>1197</v>
      </c>
      <c r="D2405">
        <v>2.6</v>
      </c>
      <c r="E2405" t="s">
        <v>506</v>
      </c>
    </row>
    <row r="2406" spans="1:5" x14ac:dyDescent="0.25">
      <c r="A2406">
        <v>30031</v>
      </c>
      <c r="B2406" t="str">
        <f t="shared" si="38"/>
        <v>30031</v>
      </c>
      <c r="C2406" t="s">
        <v>1202</v>
      </c>
      <c r="D2406">
        <v>0</v>
      </c>
      <c r="E2406" t="s">
        <v>506</v>
      </c>
    </row>
    <row r="2407" spans="1:5" x14ac:dyDescent="0.25">
      <c r="A2407">
        <v>30031</v>
      </c>
      <c r="B2407" t="str">
        <f t="shared" si="38"/>
        <v>30031</v>
      </c>
      <c r="C2407" t="s">
        <v>1206</v>
      </c>
      <c r="D2407">
        <v>9.8000000000000007</v>
      </c>
      <c r="E2407" t="s">
        <v>506</v>
      </c>
    </row>
    <row r="2408" spans="1:5" x14ac:dyDescent="0.25">
      <c r="A2408">
        <v>30031</v>
      </c>
      <c r="B2408" t="str">
        <f t="shared" si="38"/>
        <v>30031</v>
      </c>
      <c r="C2408" t="s">
        <v>1199</v>
      </c>
      <c r="D2408">
        <v>0</v>
      </c>
      <c r="E2408" t="s">
        <v>506</v>
      </c>
    </row>
    <row r="2409" spans="1:5" x14ac:dyDescent="0.25">
      <c r="A2409">
        <v>30031</v>
      </c>
      <c r="B2409" t="str">
        <f t="shared" si="38"/>
        <v>30031</v>
      </c>
      <c r="C2409" t="s">
        <v>1203</v>
      </c>
      <c r="D2409">
        <v>10</v>
      </c>
      <c r="E2409" t="s">
        <v>506</v>
      </c>
    </row>
    <row r="2410" spans="1:5" x14ac:dyDescent="0.25">
      <c r="A2410">
        <v>30031</v>
      </c>
      <c r="B2410" t="str">
        <f t="shared" si="38"/>
        <v>30031</v>
      </c>
      <c r="C2410" t="s">
        <v>1200</v>
      </c>
      <c r="D2410">
        <v>0</v>
      </c>
      <c r="E2410" t="s">
        <v>506</v>
      </c>
    </row>
    <row r="2411" spans="1:5" x14ac:dyDescent="0.25">
      <c r="A2411">
        <v>30031</v>
      </c>
      <c r="B2411" t="str">
        <f t="shared" si="38"/>
        <v>30031</v>
      </c>
      <c r="C2411" t="s">
        <v>1204</v>
      </c>
      <c r="D2411">
        <v>19.87</v>
      </c>
      <c r="E2411" t="s">
        <v>506</v>
      </c>
    </row>
    <row r="2412" spans="1:5" x14ac:dyDescent="0.25">
      <c r="A2412">
        <v>30031</v>
      </c>
      <c r="B2412" t="str">
        <f t="shared" si="38"/>
        <v>30031</v>
      </c>
      <c r="C2412" t="s">
        <v>1207</v>
      </c>
      <c r="D2412">
        <v>0</v>
      </c>
      <c r="E2412" t="s">
        <v>506</v>
      </c>
    </row>
    <row r="2413" spans="1:5" x14ac:dyDescent="0.25">
      <c r="A2413">
        <v>30031</v>
      </c>
      <c r="B2413" t="str">
        <f t="shared" si="38"/>
        <v>30031</v>
      </c>
      <c r="C2413" t="s">
        <v>1208</v>
      </c>
      <c r="D2413">
        <v>0</v>
      </c>
      <c r="E2413" t="s">
        <v>506</v>
      </c>
    </row>
    <row r="2414" spans="1:5" x14ac:dyDescent="0.25">
      <c r="A2414">
        <v>30031</v>
      </c>
      <c r="B2414" t="str">
        <f t="shared" si="38"/>
        <v>30031</v>
      </c>
      <c r="C2414" t="s">
        <v>1210</v>
      </c>
      <c r="D2414">
        <v>0</v>
      </c>
      <c r="E2414" t="s">
        <v>506</v>
      </c>
    </row>
    <row r="2415" spans="1:5" x14ac:dyDescent="0.25">
      <c r="A2415">
        <v>30031</v>
      </c>
      <c r="B2415" t="str">
        <f t="shared" si="38"/>
        <v>30031</v>
      </c>
      <c r="C2415" t="s">
        <v>1212</v>
      </c>
      <c r="D2415">
        <v>0</v>
      </c>
      <c r="E2415" t="s">
        <v>506</v>
      </c>
    </row>
    <row r="2416" spans="1:5" x14ac:dyDescent="0.25">
      <c r="A2416">
        <v>30031</v>
      </c>
      <c r="B2416" t="str">
        <f t="shared" si="38"/>
        <v>30031</v>
      </c>
      <c r="C2416" t="s">
        <v>1216</v>
      </c>
      <c r="D2416">
        <v>0</v>
      </c>
      <c r="E2416" t="s">
        <v>506</v>
      </c>
    </row>
    <row r="2417" spans="1:5" x14ac:dyDescent="0.25">
      <c r="A2417">
        <v>30031</v>
      </c>
      <c r="B2417" t="str">
        <f t="shared" si="38"/>
        <v>30031</v>
      </c>
      <c r="C2417" t="s">
        <v>1198</v>
      </c>
      <c r="D2417">
        <v>5</v>
      </c>
      <c r="E2417" t="s">
        <v>506</v>
      </c>
    </row>
    <row r="2418" spans="1:5" x14ac:dyDescent="0.25">
      <c r="A2418">
        <v>31103</v>
      </c>
      <c r="B2418" t="str">
        <f t="shared" si="38"/>
        <v>31103</v>
      </c>
      <c r="C2418" t="s">
        <v>1193</v>
      </c>
      <c r="D2418">
        <v>0</v>
      </c>
      <c r="E2418" t="s">
        <v>515</v>
      </c>
    </row>
    <row r="2419" spans="1:5" x14ac:dyDescent="0.25">
      <c r="A2419">
        <v>31103</v>
      </c>
      <c r="B2419" t="str">
        <f t="shared" si="38"/>
        <v>31103</v>
      </c>
      <c r="C2419" t="s">
        <v>1194</v>
      </c>
      <c r="D2419">
        <v>1097.43</v>
      </c>
      <c r="E2419" t="s">
        <v>515</v>
      </c>
    </row>
    <row r="2420" spans="1:5" x14ac:dyDescent="0.25">
      <c r="A2420">
        <v>31103</v>
      </c>
      <c r="B2420" t="str">
        <f t="shared" si="38"/>
        <v>31103</v>
      </c>
      <c r="C2420" t="s">
        <v>1195</v>
      </c>
      <c r="D2420">
        <v>0</v>
      </c>
      <c r="E2420" t="s">
        <v>515</v>
      </c>
    </row>
    <row r="2421" spans="1:5" x14ac:dyDescent="0.25">
      <c r="A2421">
        <v>31103</v>
      </c>
      <c r="B2421" t="str">
        <f t="shared" si="38"/>
        <v>31103</v>
      </c>
      <c r="C2421" t="s">
        <v>1197</v>
      </c>
      <c r="D2421">
        <v>335.81</v>
      </c>
      <c r="E2421" t="s">
        <v>515</v>
      </c>
    </row>
    <row r="2422" spans="1:5" x14ac:dyDescent="0.25">
      <c r="A2422">
        <v>31103</v>
      </c>
      <c r="B2422" t="str">
        <f t="shared" si="38"/>
        <v>31103</v>
      </c>
      <c r="C2422" t="s">
        <v>1202</v>
      </c>
      <c r="D2422">
        <v>0</v>
      </c>
      <c r="E2422" t="s">
        <v>515</v>
      </c>
    </row>
    <row r="2423" spans="1:5" x14ac:dyDescent="0.25">
      <c r="A2423">
        <v>31103</v>
      </c>
      <c r="B2423" t="str">
        <f t="shared" si="38"/>
        <v>31103</v>
      </c>
      <c r="C2423" t="s">
        <v>1206</v>
      </c>
      <c r="D2423">
        <v>764.79</v>
      </c>
      <c r="E2423" t="s">
        <v>515</v>
      </c>
    </row>
    <row r="2424" spans="1:5" x14ac:dyDescent="0.25">
      <c r="A2424">
        <v>31103</v>
      </c>
      <c r="B2424" t="str">
        <f t="shared" si="38"/>
        <v>31103</v>
      </c>
      <c r="C2424" t="s">
        <v>1199</v>
      </c>
      <c r="D2424">
        <v>0</v>
      </c>
      <c r="E2424" t="s">
        <v>515</v>
      </c>
    </row>
    <row r="2425" spans="1:5" x14ac:dyDescent="0.25">
      <c r="A2425">
        <v>31103</v>
      </c>
      <c r="B2425" t="str">
        <f t="shared" si="38"/>
        <v>31103</v>
      </c>
      <c r="C2425" t="s">
        <v>1203</v>
      </c>
      <c r="D2425">
        <v>681.26</v>
      </c>
      <c r="E2425" t="s">
        <v>515</v>
      </c>
    </row>
    <row r="2426" spans="1:5" x14ac:dyDescent="0.25">
      <c r="A2426">
        <v>31103</v>
      </c>
      <c r="B2426" t="str">
        <f t="shared" si="38"/>
        <v>31103</v>
      </c>
      <c r="C2426" t="s">
        <v>1200</v>
      </c>
      <c r="D2426">
        <v>0</v>
      </c>
      <c r="E2426" t="s">
        <v>515</v>
      </c>
    </row>
    <row r="2427" spans="1:5" x14ac:dyDescent="0.25">
      <c r="A2427">
        <v>31103</v>
      </c>
      <c r="B2427" t="str">
        <f t="shared" si="38"/>
        <v>31103</v>
      </c>
      <c r="C2427" t="s">
        <v>1204</v>
      </c>
      <c r="D2427">
        <v>1320.29</v>
      </c>
      <c r="E2427" t="s">
        <v>515</v>
      </c>
    </row>
    <row r="2428" spans="1:5" x14ac:dyDescent="0.25">
      <c r="A2428">
        <v>31103</v>
      </c>
      <c r="B2428" t="str">
        <f t="shared" si="38"/>
        <v>31103</v>
      </c>
      <c r="C2428" t="s">
        <v>1207</v>
      </c>
      <c r="D2428">
        <v>75.55</v>
      </c>
      <c r="E2428" t="s">
        <v>515</v>
      </c>
    </row>
    <row r="2429" spans="1:5" x14ac:dyDescent="0.25">
      <c r="A2429">
        <v>31103</v>
      </c>
      <c r="B2429" t="str">
        <f t="shared" si="38"/>
        <v>31103</v>
      </c>
      <c r="C2429" t="s">
        <v>1208</v>
      </c>
      <c r="D2429">
        <v>362.88</v>
      </c>
      <c r="E2429" t="s">
        <v>515</v>
      </c>
    </row>
    <row r="2430" spans="1:5" x14ac:dyDescent="0.25">
      <c r="A2430">
        <v>31103</v>
      </c>
      <c r="B2430" t="str">
        <f t="shared" si="38"/>
        <v>31103</v>
      </c>
      <c r="C2430" t="s">
        <v>1210</v>
      </c>
      <c r="D2430">
        <v>0</v>
      </c>
      <c r="E2430" t="s">
        <v>515</v>
      </c>
    </row>
    <row r="2431" spans="1:5" x14ac:dyDescent="0.25">
      <c r="A2431">
        <v>31103</v>
      </c>
      <c r="B2431" t="str">
        <f t="shared" si="38"/>
        <v>31103</v>
      </c>
      <c r="C2431" t="s">
        <v>1212</v>
      </c>
      <c r="D2431">
        <v>0</v>
      </c>
      <c r="E2431" t="s">
        <v>515</v>
      </c>
    </row>
    <row r="2432" spans="1:5" x14ac:dyDescent="0.25">
      <c r="A2432">
        <v>31103</v>
      </c>
      <c r="B2432" t="str">
        <f t="shared" si="38"/>
        <v>31103</v>
      </c>
      <c r="C2432" t="s">
        <v>1216</v>
      </c>
      <c r="D2432">
        <v>49.6</v>
      </c>
      <c r="E2432" t="s">
        <v>515</v>
      </c>
    </row>
    <row r="2433" spans="1:5" x14ac:dyDescent="0.25">
      <c r="A2433">
        <v>31103</v>
      </c>
      <c r="B2433" t="str">
        <f t="shared" si="38"/>
        <v>31103</v>
      </c>
      <c r="C2433" t="s">
        <v>1198</v>
      </c>
      <c r="D2433">
        <v>334</v>
      </c>
      <c r="E2433" t="s">
        <v>515</v>
      </c>
    </row>
    <row r="2434" spans="1:5" x14ac:dyDescent="0.25">
      <c r="A2434">
        <v>14066</v>
      </c>
      <c r="B2434" t="str">
        <f t="shared" si="38"/>
        <v>14066</v>
      </c>
      <c r="C2434" t="s">
        <v>1193</v>
      </c>
      <c r="D2434">
        <v>0</v>
      </c>
      <c r="E2434" t="s">
        <v>375</v>
      </c>
    </row>
    <row r="2435" spans="1:5" x14ac:dyDescent="0.25">
      <c r="A2435">
        <v>14066</v>
      </c>
      <c r="B2435" t="str">
        <f t="shared" ref="B2435:B2498" si="39">TEXT(A2435,"00000")</f>
        <v>14066</v>
      </c>
      <c r="C2435" t="s">
        <v>1194</v>
      </c>
      <c r="D2435">
        <v>301.60000000000002</v>
      </c>
      <c r="E2435" t="s">
        <v>375</v>
      </c>
    </row>
    <row r="2436" spans="1:5" x14ac:dyDescent="0.25">
      <c r="A2436">
        <v>14066</v>
      </c>
      <c r="B2436" t="str">
        <f t="shared" si="39"/>
        <v>14066</v>
      </c>
      <c r="C2436" t="s">
        <v>1195</v>
      </c>
      <c r="D2436">
        <v>0</v>
      </c>
      <c r="E2436" t="s">
        <v>375</v>
      </c>
    </row>
    <row r="2437" spans="1:5" x14ac:dyDescent="0.25">
      <c r="A2437">
        <v>14066</v>
      </c>
      <c r="B2437" t="str">
        <f t="shared" si="39"/>
        <v>14066</v>
      </c>
      <c r="C2437" t="s">
        <v>1197</v>
      </c>
      <c r="D2437">
        <v>97.78</v>
      </c>
      <c r="E2437" t="s">
        <v>375</v>
      </c>
    </row>
    <row r="2438" spans="1:5" x14ac:dyDescent="0.25">
      <c r="A2438">
        <v>14066</v>
      </c>
      <c r="B2438" t="str">
        <f t="shared" si="39"/>
        <v>14066</v>
      </c>
      <c r="C2438" t="s">
        <v>1202</v>
      </c>
      <c r="D2438">
        <v>0</v>
      </c>
      <c r="E2438" t="s">
        <v>375</v>
      </c>
    </row>
    <row r="2439" spans="1:5" x14ac:dyDescent="0.25">
      <c r="A2439">
        <v>14066</v>
      </c>
      <c r="B2439" t="str">
        <f t="shared" si="39"/>
        <v>14066</v>
      </c>
      <c r="C2439" t="s">
        <v>1206</v>
      </c>
      <c r="D2439">
        <v>183.58</v>
      </c>
      <c r="E2439" t="s">
        <v>375</v>
      </c>
    </row>
    <row r="2440" spans="1:5" x14ac:dyDescent="0.25">
      <c r="A2440">
        <v>14066</v>
      </c>
      <c r="B2440" t="str">
        <f t="shared" si="39"/>
        <v>14066</v>
      </c>
      <c r="C2440" t="s">
        <v>1199</v>
      </c>
      <c r="D2440">
        <v>0</v>
      </c>
      <c r="E2440" t="s">
        <v>375</v>
      </c>
    </row>
    <row r="2441" spans="1:5" x14ac:dyDescent="0.25">
      <c r="A2441">
        <v>14066</v>
      </c>
      <c r="B2441" t="str">
        <f t="shared" si="39"/>
        <v>14066</v>
      </c>
      <c r="C2441" t="s">
        <v>1203</v>
      </c>
      <c r="D2441">
        <v>240.22</v>
      </c>
      <c r="E2441" t="s">
        <v>375</v>
      </c>
    </row>
    <row r="2442" spans="1:5" x14ac:dyDescent="0.25">
      <c r="A2442">
        <v>14066</v>
      </c>
      <c r="B2442" t="str">
        <f t="shared" si="39"/>
        <v>14066</v>
      </c>
      <c r="C2442" t="s">
        <v>1200</v>
      </c>
      <c r="D2442">
        <v>0</v>
      </c>
      <c r="E2442" t="s">
        <v>375</v>
      </c>
    </row>
    <row r="2443" spans="1:5" x14ac:dyDescent="0.25">
      <c r="A2443">
        <v>14066</v>
      </c>
      <c r="B2443" t="str">
        <f t="shared" si="39"/>
        <v>14066</v>
      </c>
      <c r="C2443" t="s">
        <v>1204</v>
      </c>
      <c r="D2443">
        <v>392.86</v>
      </c>
      <c r="E2443" t="s">
        <v>375</v>
      </c>
    </row>
    <row r="2444" spans="1:5" x14ac:dyDescent="0.25">
      <c r="A2444">
        <v>14066</v>
      </c>
      <c r="B2444" t="str">
        <f t="shared" si="39"/>
        <v>14066</v>
      </c>
      <c r="C2444" t="s">
        <v>1207</v>
      </c>
      <c r="D2444">
        <v>28.4</v>
      </c>
      <c r="E2444" t="s">
        <v>375</v>
      </c>
    </row>
    <row r="2445" spans="1:5" x14ac:dyDescent="0.25">
      <c r="A2445">
        <v>14066</v>
      </c>
      <c r="B2445" t="str">
        <f t="shared" si="39"/>
        <v>14066</v>
      </c>
      <c r="C2445" t="s">
        <v>1208</v>
      </c>
      <c r="D2445">
        <v>135</v>
      </c>
      <c r="E2445" t="s">
        <v>375</v>
      </c>
    </row>
    <row r="2446" spans="1:5" x14ac:dyDescent="0.25">
      <c r="A2446">
        <v>14066</v>
      </c>
      <c r="B2446" t="str">
        <f t="shared" si="39"/>
        <v>14066</v>
      </c>
      <c r="C2446" t="s">
        <v>1210</v>
      </c>
      <c r="D2446">
        <v>0</v>
      </c>
      <c r="E2446" t="s">
        <v>375</v>
      </c>
    </row>
    <row r="2447" spans="1:5" x14ac:dyDescent="0.25">
      <c r="A2447">
        <v>14066</v>
      </c>
      <c r="B2447" t="str">
        <f t="shared" si="39"/>
        <v>14066</v>
      </c>
      <c r="C2447" t="s">
        <v>1212</v>
      </c>
      <c r="D2447">
        <v>0</v>
      </c>
      <c r="E2447" t="s">
        <v>375</v>
      </c>
    </row>
    <row r="2448" spans="1:5" x14ac:dyDescent="0.25">
      <c r="A2448">
        <v>14066</v>
      </c>
      <c r="B2448" t="str">
        <f t="shared" si="39"/>
        <v>14066</v>
      </c>
      <c r="C2448" t="s">
        <v>1216</v>
      </c>
      <c r="D2448">
        <v>46.63</v>
      </c>
      <c r="E2448" t="s">
        <v>375</v>
      </c>
    </row>
    <row r="2449" spans="1:5" x14ac:dyDescent="0.25">
      <c r="A2449">
        <v>14066</v>
      </c>
      <c r="B2449" t="str">
        <f t="shared" si="39"/>
        <v>14066</v>
      </c>
      <c r="C2449" t="s">
        <v>1198</v>
      </c>
      <c r="D2449">
        <v>93.2</v>
      </c>
      <c r="E2449" t="s">
        <v>375</v>
      </c>
    </row>
    <row r="2450" spans="1:5" x14ac:dyDescent="0.25">
      <c r="A2450">
        <v>21214</v>
      </c>
      <c r="B2450" t="str">
        <f t="shared" si="39"/>
        <v>21214</v>
      </c>
      <c r="C2450" t="s">
        <v>1193</v>
      </c>
      <c r="D2450">
        <v>0</v>
      </c>
      <c r="E2450" t="s">
        <v>437</v>
      </c>
    </row>
    <row r="2451" spans="1:5" x14ac:dyDescent="0.25">
      <c r="A2451">
        <v>21214</v>
      </c>
      <c r="B2451" t="str">
        <f t="shared" si="39"/>
        <v>21214</v>
      </c>
      <c r="C2451" t="s">
        <v>1194</v>
      </c>
      <c r="D2451">
        <v>89.7</v>
      </c>
      <c r="E2451" t="s">
        <v>437</v>
      </c>
    </row>
    <row r="2452" spans="1:5" x14ac:dyDescent="0.25">
      <c r="A2452">
        <v>21214</v>
      </c>
      <c r="B2452" t="str">
        <f t="shared" si="39"/>
        <v>21214</v>
      </c>
      <c r="C2452" t="s">
        <v>1195</v>
      </c>
      <c r="D2452">
        <v>0</v>
      </c>
      <c r="E2452" t="s">
        <v>437</v>
      </c>
    </row>
    <row r="2453" spans="1:5" x14ac:dyDescent="0.25">
      <c r="A2453">
        <v>21214</v>
      </c>
      <c r="B2453" t="str">
        <f t="shared" si="39"/>
        <v>21214</v>
      </c>
      <c r="C2453" t="s">
        <v>1197</v>
      </c>
      <c r="D2453">
        <v>33.4</v>
      </c>
      <c r="E2453" t="s">
        <v>437</v>
      </c>
    </row>
    <row r="2454" spans="1:5" x14ac:dyDescent="0.25">
      <c r="A2454">
        <v>21214</v>
      </c>
      <c r="B2454" t="str">
        <f t="shared" si="39"/>
        <v>21214</v>
      </c>
      <c r="C2454" t="s">
        <v>1202</v>
      </c>
      <c r="D2454">
        <v>0</v>
      </c>
      <c r="E2454" t="s">
        <v>437</v>
      </c>
    </row>
    <row r="2455" spans="1:5" x14ac:dyDescent="0.25">
      <c r="A2455">
        <v>21214</v>
      </c>
      <c r="B2455" t="str">
        <f t="shared" si="39"/>
        <v>21214</v>
      </c>
      <c r="C2455" t="s">
        <v>1206</v>
      </c>
      <c r="D2455">
        <v>63.8</v>
      </c>
      <c r="E2455" t="s">
        <v>437</v>
      </c>
    </row>
    <row r="2456" spans="1:5" x14ac:dyDescent="0.25">
      <c r="A2456">
        <v>21214</v>
      </c>
      <c r="B2456" t="str">
        <f t="shared" si="39"/>
        <v>21214</v>
      </c>
      <c r="C2456" t="s">
        <v>1199</v>
      </c>
      <c r="D2456">
        <v>0</v>
      </c>
      <c r="E2456" t="s">
        <v>437</v>
      </c>
    </row>
    <row r="2457" spans="1:5" x14ac:dyDescent="0.25">
      <c r="A2457">
        <v>21214</v>
      </c>
      <c r="B2457" t="str">
        <f t="shared" si="39"/>
        <v>21214</v>
      </c>
      <c r="C2457" t="s">
        <v>1203</v>
      </c>
      <c r="D2457">
        <v>56.43</v>
      </c>
      <c r="E2457" t="s">
        <v>437</v>
      </c>
    </row>
    <row r="2458" spans="1:5" x14ac:dyDescent="0.25">
      <c r="A2458">
        <v>21214</v>
      </c>
      <c r="B2458" t="str">
        <f t="shared" si="39"/>
        <v>21214</v>
      </c>
      <c r="C2458" t="s">
        <v>1200</v>
      </c>
      <c r="D2458">
        <v>0</v>
      </c>
      <c r="E2458" t="s">
        <v>437</v>
      </c>
    </row>
    <row r="2459" spans="1:5" x14ac:dyDescent="0.25">
      <c r="A2459">
        <v>21214</v>
      </c>
      <c r="B2459" t="str">
        <f t="shared" si="39"/>
        <v>21214</v>
      </c>
      <c r="C2459" t="s">
        <v>1204</v>
      </c>
      <c r="D2459">
        <v>124.72</v>
      </c>
      <c r="E2459" t="s">
        <v>437</v>
      </c>
    </row>
    <row r="2460" spans="1:5" x14ac:dyDescent="0.25">
      <c r="A2460">
        <v>21214</v>
      </c>
      <c r="B2460" t="str">
        <f t="shared" si="39"/>
        <v>21214</v>
      </c>
      <c r="C2460" t="s">
        <v>1207</v>
      </c>
      <c r="D2460">
        <v>42.37</v>
      </c>
      <c r="E2460" t="s">
        <v>437</v>
      </c>
    </row>
    <row r="2461" spans="1:5" x14ac:dyDescent="0.25">
      <c r="A2461">
        <v>21214</v>
      </c>
      <c r="B2461" t="str">
        <f t="shared" si="39"/>
        <v>21214</v>
      </c>
      <c r="C2461" t="s">
        <v>1208</v>
      </c>
      <c r="D2461">
        <v>98.81</v>
      </c>
      <c r="E2461" t="s">
        <v>437</v>
      </c>
    </row>
    <row r="2462" spans="1:5" x14ac:dyDescent="0.25">
      <c r="A2462">
        <v>21214</v>
      </c>
      <c r="B2462" t="str">
        <f t="shared" si="39"/>
        <v>21214</v>
      </c>
      <c r="C2462" t="s">
        <v>1210</v>
      </c>
      <c r="D2462">
        <v>0</v>
      </c>
      <c r="E2462" t="s">
        <v>437</v>
      </c>
    </row>
    <row r="2463" spans="1:5" x14ac:dyDescent="0.25">
      <c r="A2463">
        <v>21214</v>
      </c>
      <c r="B2463" t="str">
        <f t="shared" si="39"/>
        <v>21214</v>
      </c>
      <c r="C2463" t="s">
        <v>1212</v>
      </c>
      <c r="D2463">
        <v>0</v>
      </c>
      <c r="E2463" t="s">
        <v>437</v>
      </c>
    </row>
    <row r="2464" spans="1:5" x14ac:dyDescent="0.25">
      <c r="A2464">
        <v>21214</v>
      </c>
      <c r="B2464" t="str">
        <f t="shared" si="39"/>
        <v>21214</v>
      </c>
      <c r="C2464" t="s">
        <v>1216</v>
      </c>
      <c r="D2464">
        <v>20</v>
      </c>
      <c r="E2464" t="s">
        <v>437</v>
      </c>
    </row>
    <row r="2465" spans="1:5" x14ac:dyDescent="0.25">
      <c r="A2465">
        <v>21214</v>
      </c>
      <c r="B2465" t="str">
        <f t="shared" si="39"/>
        <v>21214</v>
      </c>
      <c r="C2465" t="s">
        <v>1198</v>
      </c>
      <c r="D2465">
        <v>30</v>
      </c>
      <c r="E2465" t="s">
        <v>437</v>
      </c>
    </row>
    <row r="2466" spans="1:5" x14ac:dyDescent="0.25">
      <c r="A2466">
        <v>13161</v>
      </c>
      <c r="B2466" t="str">
        <f t="shared" si="39"/>
        <v>13161</v>
      </c>
      <c r="C2466" t="s">
        <v>1193</v>
      </c>
      <c r="D2466">
        <v>0</v>
      </c>
      <c r="E2466" t="s">
        <v>367</v>
      </c>
    </row>
    <row r="2467" spans="1:5" x14ac:dyDescent="0.25">
      <c r="A2467">
        <v>13161</v>
      </c>
      <c r="B2467" t="str">
        <f t="shared" si="39"/>
        <v>13161</v>
      </c>
      <c r="C2467" t="s">
        <v>1194</v>
      </c>
      <c r="D2467">
        <v>1910.07</v>
      </c>
      <c r="E2467" t="s">
        <v>367</v>
      </c>
    </row>
    <row r="2468" spans="1:5" x14ac:dyDescent="0.25">
      <c r="A2468">
        <v>13161</v>
      </c>
      <c r="B2468" t="str">
        <f t="shared" si="39"/>
        <v>13161</v>
      </c>
      <c r="C2468" t="s">
        <v>1195</v>
      </c>
      <c r="D2468">
        <v>0</v>
      </c>
      <c r="E2468" t="s">
        <v>367</v>
      </c>
    </row>
    <row r="2469" spans="1:5" x14ac:dyDescent="0.25">
      <c r="A2469">
        <v>13161</v>
      </c>
      <c r="B2469" t="str">
        <f t="shared" si="39"/>
        <v>13161</v>
      </c>
      <c r="C2469" t="s">
        <v>1197</v>
      </c>
      <c r="D2469">
        <v>595.83000000000004</v>
      </c>
      <c r="E2469" t="s">
        <v>367</v>
      </c>
    </row>
    <row r="2470" spans="1:5" x14ac:dyDescent="0.25">
      <c r="A2470">
        <v>13161</v>
      </c>
      <c r="B2470" t="str">
        <f t="shared" si="39"/>
        <v>13161</v>
      </c>
      <c r="C2470" t="s">
        <v>1202</v>
      </c>
      <c r="D2470">
        <v>0</v>
      </c>
      <c r="E2470" t="s">
        <v>367</v>
      </c>
    </row>
    <row r="2471" spans="1:5" x14ac:dyDescent="0.25">
      <c r="A2471">
        <v>13161</v>
      </c>
      <c r="B2471" t="str">
        <f t="shared" si="39"/>
        <v>13161</v>
      </c>
      <c r="C2471" t="s">
        <v>1206</v>
      </c>
      <c r="D2471">
        <v>1273.9000000000001</v>
      </c>
      <c r="E2471" t="s">
        <v>367</v>
      </c>
    </row>
    <row r="2472" spans="1:5" x14ac:dyDescent="0.25">
      <c r="A2472">
        <v>13161</v>
      </c>
      <c r="B2472" t="str">
        <f t="shared" si="39"/>
        <v>13161</v>
      </c>
      <c r="C2472" t="s">
        <v>1199</v>
      </c>
      <c r="D2472">
        <v>0</v>
      </c>
      <c r="E2472" t="s">
        <v>367</v>
      </c>
    </row>
    <row r="2473" spans="1:5" x14ac:dyDescent="0.25">
      <c r="A2473">
        <v>13161</v>
      </c>
      <c r="B2473" t="str">
        <f t="shared" si="39"/>
        <v>13161</v>
      </c>
      <c r="C2473" t="s">
        <v>1203</v>
      </c>
      <c r="D2473">
        <v>1231.02</v>
      </c>
      <c r="E2473" t="s">
        <v>367</v>
      </c>
    </row>
    <row r="2474" spans="1:5" x14ac:dyDescent="0.25">
      <c r="A2474">
        <v>13161</v>
      </c>
      <c r="B2474" t="str">
        <f t="shared" si="39"/>
        <v>13161</v>
      </c>
      <c r="C2474" t="s">
        <v>1200</v>
      </c>
      <c r="D2474">
        <v>0</v>
      </c>
      <c r="E2474" t="s">
        <v>367</v>
      </c>
    </row>
    <row r="2475" spans="1:5" x14ac:dyDescent="0.25">
      <c r="A2475">
        <v>13161</v>
      </c>
      <c r="B2475" t="str">
        <f t="shared" si="39"/>
        <v>13161</v>
      </c>
      <c r="C2475" t="s">
        <v>1204</v>
      </c>
      <c r="D2475">
        <v>2203.39</v>
      </c>
      <c r="E2475" t="s">
        <v>367</v>
      </c>
    </row>
    <row r="2476" spans="1:5" x14ac:dyDescent="0.25">
      <c r="A2476">
        <v>13161</v>
      </c>
      <c r="B2476" t="str">
        <f t="shared" si="39"/>
        <v>13161</v>
      </c>
      <c r="C2476" t="s">
        <v>1207</v>
      </c>
      <c r="D2476">
        <v>39.92</v>
      </c>
      <c r="E2476" t="s">
        <v>367</v>
      </c>
    </row>
    <row r="2477" spans="1:5" x14ac:dyDescent="0.25">
      <c r="A2477">
        <v>13161</v>
      </c>
      <c r="B2477" t="str">
        <f t="shared" si="39"/>
        <v>13161</v>
      </c>
      <c r="C2477" t="s">
        <v>1208</v>
      </c>
      <c r="D2477">
        <v>530.16</v>
      </c>
      <c r="E2477" t="s">
        <v>367</v>
      </c>
    </row>
    <row r="2478" spans="1:5" x14ac:dyDescent="0.25">
      <c r="A2478">
        <v>13161</v>
      </c>
      <c r="B2478" t="str">
        <f t="shared" si="39"/>
        <v>13161</v>
      </c>
      <c r="C2478" t="s">
        <v>1210</v>
      </c>
      <c r="D2478">
        <v>0</v>
      </c>
      <c r="E2478" t="s">
        <v>367</v>
      </c>
    </row>
    <row r="2479" spans="1:5" x14ac:dyDescent="0.25">
      <c r="A2479">
        <v>13161</v>
      </c>
      <c r="B2479" t="str">
        <f t="shared" si="39"/>
        <v>13161</v>
      </c>
      <c r="C2479" t="s">
        <v>1212</v>
      </c>
      <c r="D2479">
        <v>285</v>
      </c>
      <c r="E2479" t="s">
        <v>367</v>
      </c>
    </row>
    <row r="2480" spans="1:5" x14ac:dyDescent="0.25">
      <c r="A2480">
        <v>13161</v>
      </c>
      <c r="B2480" t="str">
        <f t="shared" si="39"/>
        <v>13161</v>
      </c>
      <c r="C2480" t="s">
        <v>1216</v>
      </c>
      <c r="D2480">
        <v>0</v>
      </c>
      <c r="E2480" t="s">
        <v>367</v>
      </c>
    </row>
    <row r="2481" spans="1:5" x14ac:dyDescent="0.25">
      <c r="A2481">
        <v>13161</v>
      </c>
      <c r="B2481" t="str">
        <f t="shared" si="39"/>
        <v>13161</v>
      </c>
      <c r="C2481" t="s">
        <v>1198</v>
      </c>
      <c r="D2481">
        <v>566.12</v>
      </c>
      <c r="E2481" t="s">
        <v>367</v>
      </c>
    </row>
    <row r="2482" spans="1:5" x14ac:dyDescent="0.25">
      <c r="A2482">
        <v>21206</v>
      </c>
      <c r="B2482" t="str">
        <f t="shared" si="39"/>
        <v>21206</v>
      </c>
      <c r="C2482" t="s">
        <v>1193</v>
      </c>
      <c r="D2482">
        <v>0</v>
      </c>
      <c r="E2482" t="s">
        <v>436</v>
      </c>
    </row>
    <row r="2483" spans="1:5" x14ac:dyDescent="0.25">
      <c r="A2483">
        <v>21206</v>
      </c>
      <c r="B2483" t="str">
        <f t="shared" si="39"/>
        <v>21206</v>
      </c>
      <c r="C2483" t="s">
        <v>1194</v>
      </c>
      <c r="D2483">
        <v>143.80000000000001</v>
      </c>
      <c r="E2483" t="s">
        <v>436</v>
      </c>
    </row>
    <row r="2484" spans="1:5" x14ac:dyDescent="0.25">
      <c r="A2484">
        <v>21206</v>
      </c>
      <c r="B2484" t="str">
        <f t="shared" si="39"/>
        <v>21206</v>
      </c>
      <c r="C2484" t="s">
        <v>1195</v>
      </c>
      <c r="D2484">
        <v>0</v>
      </c>
      <c r="E2484" t="s">
        <v>436</v>
      </c>
    </row>
    <row r="2485" spans="1:5" x14ac:dyDescent="0.25">
      <c r="A2485">
        <v>21206</v>
      </c>
      <c r="B2485" t="str">
        <f t="shared" si="39"/>
        <v>21206</v>
      </c>
      <c r="C2485" t="s">
        <v>1197</v>
      </c>
      <c r="D2485">
        <v>45</v>
      </c>
      <c r="E2485" t="s">
        <v>436</v>
      </c>
    </row>
    <row r="2486" spans="1:5" x14ac:dyDescent="0.25">
      <c r="A2486">
        <v>21206</v>
      </c>
      <c r="B2486" t="str">
        <f t="shared" si="39"/>
        <v>21206</v>
      </c>
      <c r="C2486" t="s">
        <v>1202</v>
      </c>
      <c r="D2486">
        <v>0</v>
      </c>
      <c r="E2486" t="s">
        <v>436</v>
      </c>
    </row>
    <row r="2487" spans="1:5" x14ac:dyDescent="0.25">
      <c r="A2487">
        <v>21206</v>
      </c>
      <c r="B2487" t="str">
        <f t="shared" si="39"/>
        <v>21206</v>
      </c>
      <c r="C2487" t="s">
        <v>1206</v>
      </c>
      <c r="D2487">
        <v>99</v>
      </c>
      <c r="E2487" t="s">
        <v>436</v>
      </c>
    </row>
    <row r="2488" spans="1:5" x14ac:dyDescent="0.25">
      <c r="A2488">
        <v>21206</v>
      </c>
      <c r="B2488" t="str">
        <f t="shared" si="39"/>
        <v>21206</v>
      </c>
      <c r="C2488" t="s">
        <v>1199</v>
      </c>
      <c r="D2488">
        <v>0</v>
      </c>
      <c r="E2488" t="s">
        <v>436</v>
      </c>
    </row>
    <row r="2489" spans="1:5" x14ac:dyDescent="0.25">
      <c r="A2489">
        <v>21206</v>
      </c>
      <c r="B2489" t="str">
        <f t="shared" si="39"/>
        <v>21206</v>
      </c>
      <c r="C2489" t="s">
        <v>1203</v>
      </c>
      <c r="D2489">
        <v>97</v>
      </c>
      <c r="E2489" t="s">
        <v>436</v>
      </c>
    </row>
    <row r="2490" spans="1:5" x14ac:dyDescent="0.25">
      <c r="A2490">
        <v>21206</v>
      </c>
      <c r="B2490" t="str">
        <f t="shared" si="39"/>
        <v>21206</v>
      </c>
      <c r="C2490" t="s">
        <v>1200</v>
      </c>
      <c r="D2490">
        <v>0</v>
      </c>
      <c r="E2490" t="s">
        <v>436</v>
      </c>
    </row>
    <row r="2491" spans="1:5" x14ac:dyDescent="0.25">
      <c r="A2491">
        <v>21206</v>
      </c>
      <c r="B2491" t="str">
        <f t="shared" si="39"/>
        <v>21206</v>
      </c>
      <c r="C2491" t="s">
        <v>1204</v>
      </c>
      <c r="D2491">
        <v>167.21</v>
      </c>
      <c r="E2491" t="s">
        <v>436</v>
      </c>
    </row>
    <row r="2492" spans="1:5" x14ac:dyDescent="0.25">
      <c r="A2492">
        <v>21206</v>
      </c>
      <c r="B2492" t="str">
        <f t="shared" si="39"/>
        <v>21206</v>
      </c>
      <c r="C2492" t="s">
        <v>1207</v>
      </c>
      <c r="D2492">
        <v>16.18</v>
      </c>
      <c r="E2492" t="s">
        <v>436</v>
      </c>
    </row>
    <row r="2493" spans="1:5" x14ac:dyDescent="0.25">
      <c r="A2493">
        <v>21206</v>
      </c>
      <c r="B2493" t="str">
        <f t="shared" si="39"/>
        <v>21206</v>
      </c>
      <c r="C2493" t="s">
        <v>1208</v>
      </c>
      <c r="D2493">
        <v>39.5</v>
      </c>
      <c r="E2493" t="s">
        <v>436</v>
      </c>
    </row>
    <row r="2494" spans="1:5" x14ac:dyDescent="0.25">
      <c r="A2494">
        <v>21206</v>
      </c>
      <c r="B2494" t="str">
        <f t="shared" si="39"/>
        <v>21206</v>
      </c>
      <c r="C2494" t="s">
        <v>1210</v>
      </c>
      <c r="D2494">
        <v>0</v>
      </c>
      <c r="E2494" t="s">
        <v>436</v>
      </c>
    </row>
    <row r="2495" spans="1:5" x14ac:dyDescent="0.25">
      <c r="A2495">
        <v>21206</v>
      </c>
      <c r="B2495" t="str">
        <f t="shared" si="39"/>
        <v>21206</v>
      </c>
      <c r="C2495" t="s">
        <v>1212</v>
      </c>
      <c r="D2495">
        <v>0</v>
      </c>
      <c r="E2495" t="s">
        <v>436</v>
      </c>
    </row>
    <row r="2496" spans="1:5" x14ac:dyDescent="0.25">
      <c r="A2496">
        <v>21206</v>
      </c>
      <c r="B2496" t="str">
        <f t="shared" si="39"/>
        <v>21206</v>
      </c>
      <c r="C2496" t="s">
        <v>1216</v>
      </c>
      <c r="D2496">
        <v>27</v>
      </c>
      <c r="E2496" t="s">
        <v>436</v>
      </c>
    </row>
    <row r="2497" spans="1:5" x14ac:dyDescent="0.25">
      <c r="A2497">
        <v>21206</v>
      </c>
      <c r="B2497" t="str">
        <f t="shared" si="39"/>
        <v>21206</v>
      </c>
      <c r="C2497" t="s">
        <v>1198</v>
      </c>
      <c r="D2497">
        <v>32.200000000000003</v>
      </c>
      <c r="E2497" t="s">
        <v>436</v>
      </c>
    </row>
    <row r="2498" spans="1:5" x14ac:dyDescent="0.25">
      <c r="A2498">
        <v>39209</v>
      </c>
      <c r="B2498" t="str">
        <f t="shared" si="39"/>
        <v>39209</v>
      </c>
      <c r="C2498" t="s">
        <v>1193</v>
      </c>
      <c r="D2498">
        <v>0</v>
      </c>
      <c r="E2498" t="s">
        <v>599</v>
      </c>
    </row>
    <row r="2499" spans="1:5" x14ac:dyDescent="0.25">
      <c r="A2499">
        <v>39209</v>
      </c>
      <c r="B2499" t="str">
        <f t="shared" ref="B2499:B2562" si="40">TEXT(A2499,"00000")</f>
        <v>39209</v>
      </c>
      <c r="C2499" t="s">
        <v>1194</v>
      </c>
      <c r="D2499">
        <v>176.4</v>
      </c>
      <c r="E2499" t="s">
        <v>599</v>
      </c>
    </row>
    <row r="2500" spans="1:5" x14ac:dyDescent="0.25">
      <c r="A2500">
        <v>39209</v>
      </c>
      <c r="B2500" t="str">
        <f t="shared" si="40"/>
        <v>39209</v>
      </c>
      <c r="C2500" t="s">
        <v>1195</v>
      </c>
      <c r="D2500">
        <v>0</v>
      </c>
      <c r="E2500" t="s">
        <v>599</v>
      </c>
    </row>
    <row r="2501" spans="1:5" x14ac:dyDescent="0.25">
      <c r="A2501">
        <v>39209</v>
      </c>
      <c r="B2501" t="str">
        <f t="shared" si="40"/>
        <v>39209</v>
      </c>
      <c r="C2501" t="s">
        <v>1197</v>
      </c>
      <c r="D2501">
        <v>61</v>
      </c>
      <c r="E2501" t="s">
        <v>599</v>
      </c>
    </row>
    <row r="2502" spans="1:5" x14ac:dyDescent="0.25">
      <c r="A2502">
        <v>39209</v>
      </c>
      <c r="B2502" t="str">
        <f t="shared" si="40"/>
        <v>39209</v>
      </c>
      <c r="C2502" t="s">
        <v>1202</v>
      </c>
      <c r="D2502">
        <v>0</v>
      </c>
      <c r="E2502" t="s">
        <v>599</v>
      </c>
    </row>
    <row r="2503" spans="1:5" x14ac:dyDescent="0.25">
      <c r="A2503">
        <v>39209</v>
      </c>
      <c r="B2503" t="str">
        <f t="shared" si="40"/>
        <v>39209</v>
      </c>
      <c r="C2503" t="s">
        <v>1206</v>
      </c>
      <c r="D2503">
        <v>138.4</v>
      </c>
      <c r="E2503" t="s">
        <v>599</v>
      </c>
    </row>
    <row r="2504" spans="1:5" x14ac:dyDescent="0.25">
      <c r="A2504">
        <v>39209</v>
      </c>
      <c r="B2504" t="str">
        <f t="shared" si="40"/>
        <v>39209</v>
      </c>
      <c r="C2504" t="s">
        <v>1199</v>
      </c>
      <c r="D2504">
        <v>0</v>
      </c>
      <c r="E2504" t="s">
        <v>599</v>
      </c>
    </row>
    <row r="2505" spans="1:5" x14ac:dyDescent="0.25">
      <c r="A2505">
        <v>39209</v>
      </c>
      <c r="B2505" t="str">
        <f t="shared" si="40"/>
        <v>39209</v>
      </c>
      <c r="C2505" t="s">
        <v>1203</v>
      </c>
      <c r="D2505">
        <v>136</v>
      </c>
      <c r="E2505" t="s">
        <v>599</v>
      </c>
    </row>
    <row r="2506" spans="1:5" x14ac:dyDescent="0.25">
      <c r="A2506">
        <v>39209</v>
      </c>
      <c r="B2506" t="str">
        <f t="shared" si="40"/>
        <v>39209</v>
      </c>
      <c r="C2506" t="s">
        <v>1200</v>
      </c>
      <c r="D2506">
        <v>0</v>
      </c>
      <c r="E2506" t="s">
        <v>599</v>
      </c>
    </row>
    <row r="2507" spans="1:5" x14ac:dyDescent="0.25">
      <c r="A2507">
        <v>39209</v>
      </c>
      <c r="B2507" t="str">
        <f t="shared" si="40"/>
        <v>39209</v>
      </c>
      <c r="C2507" t="s">
        <v>1204</v>
      </c>
      <c r="D2507">
        <v>244.43</v>
      </c>
      <c r="E2507" t="s">
        <v>599</v>
      </c>
    </row>
    <row r="2508" spans="1:5" x14ac:dyDescent="0.25">
      <c r="A2508">
        <v>39209</v>
      </c>
      <c r="B2508" t="str">
        <f t="shared" si="40"/>
        <v>39209</v>
      </c>
      <c r="C2508" t="s">
        <v>1207</v>
      </c>
      <c r="D2508">
        <v>0</v>
      </c>
      <c r="E2508" t="s">
        <v>599</v>
      </c>
    </row>
    <row r="2509" spans="1:5" x14ac:dyDescent="0.25">
      <c r="A2509">
        <v>39209</v>
      </c>
      <c r="B2509" t="str">
        <f t="shared" si="40"/>
        <v>39209</v>
      </c>
      <c r="C2509" t="s">
        <v>1208</v>
      </c>
      <c r="D2509">
        <v>68.3</v>
      </c>
      <c r="E2509" t="s">
        <v>599</v>
      </c>
    </row>
    <row r="2510" spans="1:5" x14ac:dyDescent="0.25">
      <c r="A2510">
        <v>39209</v>
      </c>
      <c r="B2510" t="str">
        <f t="shared" si="40"/>
        <v>39209</v>
      </c>
      <c r="C2510" t="s">
        <v>1210</v>
      </c>
      <c r="D2510">
        <v>0</v>
      </c>
      <c r="E2510" t="s">
        <v>599</v>
      </c>
    </row>
    <row r="2511" spans="1:5" x14ac:dyDescent="0.25">
      <c r="A2511">
        <v>39209</v>
      </c>
      <c r="B2511" t="str">
        <f t="shared" si="40"/>
        <v>39209</v>
      </c>
      <c r="C2511" t="s">
        <v>1212</v>
      </c>
      <c r="D2511">
        <v>0</v>
      </c>
      <c r="E2511" t="s">
        <v>599</v>
      </c>
    </row>
    <row r="2512" spans="1:5" x14ac:dyDescent="0.25">
      <c r="A2512">
        <v>39209</v>
      </c>
      <c r="B2512" t="str">
        <f t="shared" si="40"/>
        <v>39209</v>
      </c>
      <c r="C2512" t="s">
        <v>1216</v>
      </c>
      <c r="D2512">
        <v>0</v>
      </c>
      <c r="E2512" t="s">
        <v>599</v>
      </c>
    </row>
    <row r="2513" spans="1:5" x14ac:dyDescent="0.25">
      <c r="A2513">
        <v>39209</v>
      </c>
      <c r="B2513" t="str">
        <f t="shared" si="40"/>
        <v>39209</v>
      </c>
      <c r="C2513" t="s">
        <v>1198</v>
      </c>
      <c r="D2513">
        <v>62.2</v>
      </c>
      <c r="E2513" t="s">
        <v>599</v>
      </c>
    </row>
    <row r="2514" spans="1:5" x14ac:dyDescent="0.25">
      <c r="A2514">
        <v>37507</v>
      </c>
      <c r="B2514" t="str">
        <f t="shared" si="40"/>
        <v>37507</v>
      </c>
      <c r="C2514" t="s">
        <v>1193</v>
      </c>
      <c r="D2514">
        <v>0</v>
      </c>
      <c r="E2514" t="s">
        <v>570</v>
      </c>
    </row>
    <row r="2515" spans="1:5" x14ac:dyDescent="0.25">
      <c r="A2515">
        <v>37507</v>
      </c>
      <c r="B2515" t="str">
        <f t="shared" si="40"/>
        <v>37507</v>
      </c>
      <c r="C2515" t="s">
        <v>1194</v>
      </c>
      <c r="D2515">
        <v>327.67</v>
      </c>
      <c r="E2515" t="s">
        <v>570</v>
      </c>
    </row>
    <row r="2516" spans="1:5" x14ac:dyDescent="0.25">
      <c r="A2516">
        <v>37507</v>
      </c>
      <c r="B2516" t="str">
        <f t="shared" si="40"/>
        <v>37507</v>
      </c>
      <c r="C2516" t="s">
        <v>1195</v>
      </c>
      <c r="D2516">
        <v>0</v>
      </c>
      <c r="E2516" t="s">
        <v>570</v>
      </c>
    </row>
    <row r="2517" spans="1:5" x14ac:dyDescent="0.25">
      <c r="A2517">
        <v>37507</v>
      </c>
      <c r="B2517" t="str">
        <f t="shared" si="40"/>
        <v>37507</v>
      </c>
      <c r="C2517" t="s">
        <v>1197</v>
      </c>
      <c r="D2517">
        <v>110.15</v>
      </c>
      <c r="E2517" t="s">
        <v>570</v>
      </c>
    </row>
    <row r="2518" spans="1:5" x14ac:dyDescent="0.25">
      <c r="A2518">
        <v>37507</v>
      </c>
      <c r="B2518" t="str">
        <f t="shared" si="40"/>
        <v>37507</v>
      </c>
      <c r="C2518" t="s">
        <v>1202</v>
      </c>
      <c r="D2518">
        <v>0</v>
      </c>
      <c r="E2518" t="s">
        <v>570</v>
      </c>
    </row>
    <row r="2519" spans="1:5" x14ac:dyDescent="0.25">
      <c r="A2519">
        <v>37507</v>
      </c>
      <c r="B2519" t="str">
        <f t="shared" si="40"/>
        <v>37507</v>
      </c>
      <c r="C2519" t="s">
        <v>1206</v>
      </c>
      <c r="D2519">
        <v>242</v>
      </c>
      <c r="E2519" t="s">
        <v>570</v>
      </c>
    </row>
    <row r="2520" spans="1:5" x14ac:dyDescent="0.25">
      <c r="A2520">
        <v>37507</v>
      </c>
      <c r="B2520" t="str">
        <f t="shared" si="40"/>
        <v>37507</v>
      </c>
      <c r="C2520" t="s">
        <v>1199</v>
      </c>
      <c r="D2520">
        <v>0</v>
      </c>
      <c r="E2520" t="s">
        <v>570</v>
      </c>
    </row>
    <row r="2521" spans="1:5" x14ac:dyDescent="0.25">
      <c r="A2521">
        <v>37507</v>
      </c>
      <c r="B2521" t="str">
        <f t="shared" si="40"/>
        <v>37507</v>
      </c>
      <c r="C2521" t="s">
        <v>1203</v>
      </c>
      <c r="D2521">
        <v>247.08</v>
      </c>
      <c r="E2521" t="s">
        <v>570</v>
      </c>
    </row>
    <row r="2522" spans="1:5" x14ac:dyDescent="0.25">
      <c r="A2522">
        <v>37507</v>
      </c>
      <c r="B2522" t="str">
        <f t="shared" si="40"/>
        <v>37507</v>
      </c>
      <c r="C2522" t="s">
        <v>1200</v>
      </c>
      <c r="D2522">
        <v>0</v>
      </c>
      <c r="E2522" t="s">
        <v>570</v>
      </c>
    </row>
    <row r="2523" spans="1:5" x14ac:dyDescent="0.25">
      <c r="A2523">
        <v>37507</v>
      </c>
      <c r="B2523" t="str">
        <f t="shared" si="40"/>
        <v>37507</v>
      </c>
      <c r="C2523" t="s">
        <v>1204</v>
      </c>
      <c r="D2523">
        <v>451.69</v>
      </c>
      <c r="E2523" t="s">
        <v>570</v>
      </c>
    </row>
    <row r="2524" spans="1:5" x14ac:dyDescent="0.25">
      <c r="A2524">
        <v>37507</v>
      </c>
      <c r="B2524" t="str">
        <f t="shared" si="40"/>
        <v>37507</v>
      </c>
      <c r="C2524" t="s">
        <v>1207</v>
      </c>
      <c r="D2524">
        <v>4.5999999999999996</v>
      </c>
      <c r="E2524" t="s">
        <v>570</v>
      </c>
    </row>
    <row r="2525" spans="1:5" x14ac:dyDescent="0.25">
      <c r="A2525">
        <v>37507</v>
      </c>
      <c r="B2525" t="str">
        <f t="shared" si="40"/>
        <v>37507</v>
      </c>
      <c r="C2525" t="s">
        <v>1208</v>
      </c>
      <c r="D2525">
        <v>85.16</v>
      </c>
      <c r="E2525" t="s">
        <v>570</v>
      </c>
    </row>
    <row r="2526" spans="1:5" x14ac:dyDescent="0.25">
      <c r="A2526">
        <v>37507</v>
      </c>
      <c r="B2526" t="str">
        <f t="shared" si="40"/>
        <v>37507</v>
      </c>
      <c r="C2526" t="s">
        <v>1210</v>
      </c>
      <c r="D2526">
        <v>0</v>
      </c>
      <c r="E2526" t="s">
        <v>570</v>
      </c>
    </row>
    <row r="2527" spans="1:5" x14ac:dyDescent="0.25">
      <c r="A2527">
        <v>37507</v>
      </c>
      <c r="B2527" t="str">
        <f t="shared" si="40"/>
        <v>37507</v>
      </c>
      <c r="C2527" t="s">
        <v>1212</v>
      </c>
      <c r="D2527">
        <v>0</v>
      </c>
      <c r="E2527" t="s">
        <v>570</v>
      </c>
    </row>
    <row r="2528" spans="1:5" x14ac:dyDescent="0.25">
      <c r="A2528">
        <v>37507</v>
      </c>
      <c r="B2528" t="str">
        <f t="shared" si="40"/>
        <v>37507</v>
      </c>
      <c r="C2528" t="s">
        <v>1216</v>
      </c>
      <c r="D2528">
        <v>0</v>
      </c>
      <c r="E2528" t="s">
        <v>570</v>
      </c>
    </row>
    <row r="2529" spans="1:5" x14ac:dyDescent="0.25">
      <c r="A2529">
        <v>37507</v>
      </c>
      <c r="B2529" t="str">
        <f t="shared" si="40"/>
        <v>37507</v>
      </c>
      <c r="C2529" t="s">
        <v>1198</v>
      </c>
      <c r="D2529">
        <v>98</v>
      </c>
      <c r="E2529" t="s">
        <v>570</v>
      </c>
    </row>
    <row r="2530" spans="1:5" x14ac:dyDescent="0.25">
      <c r="A2530">
        <v>30029</v>
      </c>
      <c r="B2530" t="str">
        <f t="shared" si="40"/>
        <v>30029</v>
      </c>
      <c r="C2530" t="s">
        <v>1193</v>
      </c>
      <c r="D2530">
        <v>0</v>
      </c>
      <c r="E2530" t="s">
        <v>505</v>
      </c>
    </row>
    <row r="2531" spans="1:5" x14ac:dyDescent="0.25">
      <c r="A2531">
        <v>30029</v>
      </c>
      <c r="B2531" t="str">
        <f t="shared" si="40"/>
        <v>30029</v>
      </c>
      <c r="C2531" t="s">
        <v>1194</v>
      </c>
      <c r="D2531">
        <v>24</v>
      </c>
      <c r="E2531" t="s">
        <v>505</v>
      </c>
    </row>
    <row r="2532" spans="1:5" x14ac:dyDescent="0.25">
      <c r="A2532">
        <v>30029</v>
      </c>
      <c r="B2532" t="str">
        <f t="shared" si="40"/>
        <v>30029</v>
      </c>
      <c r="C2532" t="s">
        <v>1195</v>
      </c>
      <c r="D2532">
        <v>0</v>
      </c>
      <c r="E2532" t="s">
        <v>505</v>
      </c>
    </row>
    <row r="2533" spans="1:5" x14ac:dyDescent="0.25">
      <c r="A2533">
        <v>30029</v>
      </c>
      <c r="B2533" t="str">
        <f t="shared" si="40"/>
        <v>30029</v>
      </c>
      <c r="C2533" t="s">
        <v>1197</v>
      </c>
      <c r="D2533">
        <v>9.8000000000000007</v>
      </c>
      <c r="E2533" t="s">
        <v>505</v>
      </c>
    </row>
    <row r="2534" spans="1:5" x14ac:dyDescent="0.25">
      <c r="A2534">
        <v>30029</v>
      </c>
      <c r="B2534" t="str">
        <f t="shared" si="40"/>
        <v>30029</v>
      </c>
      <c r="C2534" t="s">
        <v>1202</v>
      </c>
      <c r="D2534">
        <v>0</v>
      </c>
      <c r="E2534" t="s">
        <v>505</v>
      </c>
    </row>
    <row r="2535" spans="1:5" x14ac:dyDescent="0.25">
      <c r="A2535">
        <v>30029</v>
      </c>
      <c r="B2535" t="str">
        <f t="shared" si="40"/>
        <v>30029</v>
      </c>
      <c r="C2535" t="s">
        <v>1206</v>
      </c>
      <c r="D2535">
        <v>14</v>
      </c>
      <c r="E2535" t="s">
        <v>505</v>
      </c>
    </row>
    <row r="2536" spans="1:5" x14ac:dyDescent="0.25">
      <c r="A2536">
        <v>30029</v>
      </c>
      <c r="B2536" t="str">
        <f t="shared" si="40"/>
        <v>30029</v>
      </c>
      <c r="C2536" t="s">
        <v>1199</v>
      </c>
      <c r="D2536">
        <v>0</v>
      </c>
      <c r="E2536" t="s">
        <v>505</v>
      </c>
    </row>
    <row r="2537" spans="1:5" x14ac:dyDescent="0.25">
      <c r="A2537">
        <v>30029</v>
      </c>
      <c r="B2537" t="str">
        <f t="shared" si="40"/>
        <v>30029</v>
      </c>
      <c r="C2537" t="s">
        <v>1203</v>
      </c>
      <c r="D2537">
        <v>13</v>
      </c>
      <c r="E2537" t="s">
        <v>505</v>
      </c>
    </row>
    <row r="2538" spans="1:5" x14ac:dyDescent="0.25">
      <c r="A2538">
        <v>30029</v>
      </c>
      <c r="B2538" t="str">
        <f t="shared" si="40"/>
        <v>30029</v>
      </c>
      <c r="C2538" t="s">
        <v>1200</v>
      </c>
      <c r="D2538">
        <v>0</v>
      </c>
      <c r="E2538" t="s">
        <v>505</v>
      </c>
    </row>
    <row r="2539" spans="1:5" x14ac:dyDescent="0.25">
      <c r="A2539">
        <v>30029</v>
      </c>
      <c r="B2539" t="str">
        <f t="shared" si="40"/>
        <v>30029</v>
      </c>
      <c r="C2539" t="s">
        <v>1204</v>
      </c>
      <c r="D2539">
        <v>0</v>
      </c>
      <c r="E2539" t="s">
        <v>505</v>
      </c>
    </row>
    <row r="2540" spans="1:5" x14ac:dyDescent="0.25">
      <c r="A2540">
        <v>30029</v>
      </c>
      <c r="B2540" t="str">
        <f t="shared" si="40"/>
        <v>30029</v>
      </c>
      <c r="C2540" t="s">
        <v>1207</v>
      </c>
      <c r="D2540">
        <v>0</v>
      </c>
      <c r="E2540" t="s">
        <v>505</v>
      </c>
    </row>
    <row r="2541" spans="1:5" x14ac:dyDescent="0.25">
      <c r="A2541">
        <v>30029</v>
      </c>
      <c r="B2541" t="str">
        <f t="shared" si="40"/>
        <v>30029</v>
      </c>
      <c r="C2541" t="s">
        <v>1208</v>
      </c>
      <c r="D2541">
        <v>0</v>
      </c>
      <c r="E2541" t="s">
        <v>505</v>
      </c>
    </row>
    <row r="2542" spans="1:5" x14ac:dyDescent="0.25">
      <c r="A2542">
        <v>30029</v>
      </c>
      <c r="B2542" t="str">
        <f t="shared" si="40"/>
        <v>30029</v>
      </c>
      <c r="C2542" t="s">
        <v>1210</v>
      </c>
      <c r="D2542">
        <v>0</v>
      </c>
      <c r="E2542" t="s">
        <v>505</v>
      </c>
    </row>
    <row r="2543" spans="1:5" x14ac:dyDescent="0.25">
      <c r="A2543">
        <v>30029</v>
      </c>
      <c r="B2543" t="str">
        <f t="shared" si="40"/>
        <v>30029</v>
      </c>
      <c r="C2543" t="s">
        <v>1212</v>
      </c>
      <c r="D2543">
        <v>0</v>
      </c>
      <c r="E2543" t="s">
        <v>505</v>
      </c>
    </row>
    <row r="2544" spans="1:5" x14ac:dyDescent="0.25">
      <c r="A2544">
        <v>30029</v>
      </c>
      <c r="B2544" t="str">
        <f t="shared" si="40"/>
        <v>30029</v>
      </c>
      <c r="C2544" t="s">
        <v>1216</v>
      </c>
      <c r="D2544">
        <v>0</v>
      </c>
      <c r="E2544" t="s">
        <v>505</v>
      </c>
    </row>
    <row r="2545" spans="1:5" x14ac:dyDescent="0.25">
      <c r="A2545">
        <v>30029</v>
      </c>
      <c r="B2545" t="str">
        <f t="shared" si="40"/>
        <v>30029</v>
      </c>
      <c r="C2545" t="s">
        <v>1198</v>
      </c>
      <c r="D2545">
        <v>10.8</v>
      </c>
      <c r="E2545" t="s">
        <v>505</v>
      </c>
    </row>
    <row r="2546" spans="1:5" x14ac:dyDescent="0.25">
      <c r="A2546">
        <v>29320</v>
      </c>
      <c r="B2546" t="str">
        <f t="shared" si="40"/>
        <v>29320</v>
      </c>
      <c r="C2546" t="s">
        <v>1193</v>
      </c>
      <c r="D2546">
        <v>0</v>
      </c>
      <c r="E2546" t="s">
        <v>503</v>
      </c>
    </row>
    <row r="2547" spans="1:5" x14ac:dyDescent="0.25">
      <c r="A2547">
        <v>29320</v>
      </c>
      <c r="B2547" t="str">
        <f t="shared" si="40"/>
        <v>29320</v>
      </c>
      <c r="C2547" t="s">
        <v>1194</v>
      </c>
      <c r="D2547">
        <v>1276.8900000000001</v>
      </c>
      <c r="E2547" t="s">
        <v>503</v>
      </c>
    </row>
    <row r="2548" spans="1:5" x14ac:dyDescent="0.25">
      <c r="A2548">
        <v>29320</v>
      </c>
      <c r="B2548" t="str">
        <f t="shared" si="40"/>
        <v>29320</v>
      </c>
      <c r="C2548" t="s">
        <v>1195</v>
      </c>
      <c r="D2548">
        <v>0</v>
      </c>
      <c r="E2548" t="s">
        <v>503</v>
      </c>
    </row>
    <row r="2549" spans="1:5" x14ac:dyDescent="0.25">
      <c r="A2549">
        <v>29320</v>
      </c>
      <c r="B2549" t="str">
        <f t="shared" si="40"/>
        <v>29320</v>
      </c>
      <c r="C2549" t="s">
        <v>1197</v>
      </c>
      <c r="D2549">
        <v>419.9</v>
      </c>
      <c r="E2549" t="s">
        <v>503</v>
      </c>
    </row>
    <row r="2550" spans="1:5" x14ac:dyDescent="0.25">
      <c r="A2550">
        <v>29320</v>
      </c>
      <c r="B2550" t="str">
        <f t="shared" si="40"/>
        <v>29320</v>
      </c>
      <c r="C2550" t="s">
        <v>1202</v>
      </c>
      <c r="D2550">
        <v>0</v>
      </c>
      <c r="E2550" t="s">
        <v>503</v>
      </c>
    </row>
    <row r="2551" spans="1:5" x14ac:dyDescent="0.25">
      <c r="A2551">
        <v>29320</v>
      </c>
      <c r="B2551" t="str">
        <f t="shared" si="40"/>
        <v>29320</v>
      </c>
      <c r="C2551" t="s">
        <v>1206</v>
      </c>
      <c r="D2551">
        <v>844.09</v>
      </c>
      <c r="E2551" t="s">
        <v>503</v>
      </c>
    </row>
    <row r="2552" spans="1:5" x14ac:dyDescent="0.25">
      <c r="A2552">
        <v>29320</v>
      </c>
      <c r="B2552" t="str">
        <f t="shared" si="40"/>
        <v>29320</v>
      </c>
      <c r="C2552" t="s">
        <v>1199</v>
      </c>
      <c r="D2552">
        <v>0</v>
      </c>
      <c r="E2552" t="s">
        <v>503</v>
      </c>
    </row>
    <row r="2553" spans="1:5" x14ac:dyDescent="0.25">
      <c r="A2553">
        <v>29320</v>
      </c>
      <c r="B2553" t="str">
        <f t="shared" si="40"/>
        <v>29320</v>
      </c>
      <c r="C2553" t="s">
        <v>1203</v>
      </c>
      <c r="D2553">
        <v>828.47</v>
      </c>
      <c r="E2553" t="s">
        <v>503</v>
      </c>
    </row>
    <row r="2554" spans="1:5" x14ac:dyDescent="0.25">
      <c r="A2554">
        <v>29320</v>
      </c>
      <c r="B2554" t="str">
        <f t="shared" si="40"/>
        <v>29320</v>
      </c>
      <c r="C2554" t="s">
        <v>1200</v>
      </c>
      <c r="D2554">
        <v>0</v>
      </c>
      <c r="E2554" t="s">
        <v>503</v>
      </c>
    </row>
    <row r="2555" spans="1:5" x14ac:dyDescent="0.25">
      <c r="A2555">
        <v>29320</v>
      </c>
      <c r="B2555" t="str">
        <f t="shared" si="40"/>
        <v>29320</v>
      </c>
      <c r="C2555" t="s">
        <v>1204</v>
      </c>
      <c r="D2555">
        <v>2049.2399999999998</v>
      </c>
      <c r="E2555" t="s">
        <v>503</v>
      </c>
    </row>
    <row r="2556" spans="1:5" x14ac:dyDescent="0.25">
      <c r="A2556">
        <v>29320</v>
      </c>
      <c r="B2556" t="str">
        <f t="shared" si="40"/>
        <v>29320</v>
      </c>
      <c r="C2556" t="s">
        <v>1207</v>
      </c>
      <c r="D2556">
        <v>41.02</v>
      </c>
      <c r="E2556" t="s">
        <v>503</v>
      </c>
    </row>
    <row r="2557" spans="1:5" x14ac:dyDescent="0.25">
      <c r="A2557">
        <v>29320</v>
      </c>
      <c r="B2557" t="str">
        <f t="shared" si="40"/>
        <v>29320</v>
      </c>
      <c r="C2557" t="s">
        <v>1208</v>
      </c>
      <c r="D2557">
        <v>472.65</v>
      </c>
      <c r="E2557" t="s">
        <v>503</v>
      </c>
    </row>
    <row r="2558" spans="1:5" x14ac:dyDescent="0.25">
      <c r="A2558">
        <v>29320</v>
      </c>
      <c r="B2558" t="str">
        <f t="shared" si="40"/>
        <v>29320</v>
      </c>
      <c r="C2558" t="s">
        <v>1210</v>
      </c>
      <c r="D2558">
        <v>0</v>
      </c>
      <c r="E2558" t="s">
        <v>503</v>
      </c>
    </row>
    <row r="2559" spans="1:5" x14ac:dyDescent="0.25">
      <c r="A2559">
        <v>29320</v>
      </c>
      <c r="B2559" t="str">
        <f t="shared" si="40"/>
        <v>29320</v>
      </c>
      <c r="C2559" t="s">
        <v>1212</v>
      </c>
      <c r="D2559">
        <v>324.06</v>
      </c>
      <c r="E2559" t="s">
        <v>503</v>
      </c>
    </row>
    <row r="2560" spans="1:5" x14ac:dyDescent="0.25">
      <c r="A2560">
        <v>29320</v>
      </c>
      <c r="B2560" t="str">
        <f t="shared" si="40"/>
        <v>29320</v>
      </c>
      <c r="C2560" t="s">
        <v>1216</v>
      </c>
      <c r="D2560">
        <v>93.8</v>
      </c>
      <c r="E2560" t="s">
        <v>503</v>
      </c>
    </row>
    <row r="2561" spans="1:5" x14ac:dyDescent="0.25">
      <c r="A2561">
        <v>29320</v>
      </c>
      <c r="B2561" t="str">
        <f t="shared" si="40"/>
        <v>29320</v>
      </c>
      <c r="C2561" t="s">
        <v>1198</v>
      </c>
      <c r="D2561">
        <v>402.25</v>
      </c>
      <c r="E2561" t="s">
        <v>503</v>
      </c>
    </row>
    <row r="2562" spans="1:5" x14ac:dyDescent="0.25">
      <c r="A2562">
        <v>17903</v>
      </c>
      <c r="B2562" t="str">
        <f t="shared" si="40"/>
        <v>17903</v>
      </c>
      <c r="C2562" t="s">
        <v>1193</v>
      </c>
      <c r="D2562">
        <v>0</v>
      </c>
      <c r="E2562" t="s">
        <v>411</v>
      </c>
    </row>
    <row r="2563" spans="1:5" x14ac:dyDescent="0.25">
      <c r="A2563">
        <v>17903</v>
      </c>
      <c r="B2563" t="str">
        <f t="shared" ref="B2563:B2626" si="41">TEXT(A2563,"00000")</f>
        <v>17903</v>
      </c>
      <c r="C2563" t="s">
        <v>1194</v>
      </c>
      <c r="D2563">
        <v>98.8</v>
      </c>
      <c r="E2563" t="s">
        <v>411</v>
      </c>
    </row>
    <row r="2564" spans="1:5" x14ac:dyDescent="0.25">
      <c r="A2564">
        <v>17903</v>
      </c>
      <c r="B2564" t="str">
        <f t="shared" si="41"/>
        <v>17903</v>
      </c>
      <c r="C2564" t="s">
        <v>1195</v>
      </c>
      <c r="D2564">
        <v>0</v>
      </c>
      <c r="E2564" t="s">
        <v>411</v>
      </c>
    </row>
    <row r="2565" spans="1:5" x14ac:dyDescent="0.25">
      <c r="A2565">
        <v>17903</v>
      </c>
      <c r="B2565" t="str">
        <f t="shared" si="41"/>
        <v>17903</v>
      </c>
      <c r="C2565" t="s">
        <v>1197</v>
      </c>
      <c r="D2565">
        <v>34.4</v>
      </c>
      <c r="E2565" t="s">
        <v>411</v>
      </c>
    </row>
    <row r="2566" spans="1:5" x14ac:dyDescent="0.25">
      <c r="A2566">
        <v>17903</v>
      </c>
      <c r="B2566" t="str">
        <f t="shared" si="41"/>
        <v>17903</v>
      </c>
      <c r="C2566" t="s">
        <v>1202</v>
      </c>
      <c r="D2566">
        <v>0</v>
      </c>
      <c r="E2566" t="s">
        <v>411</v>
      </c>
    </row>
    <row r="2567" spans="1:5" x14ac:dyDescent="0.25">
      <c r="A2567">
        <v>17903</v>
      </c>
      <c r="B2567" t="str">
        <f t="shared" si="41"/>
        <v>17903</v>
      </c>
      <c r="C2567" t="s">
        <v>1206</v>
      </c>
      <c r="D2567">
        <v>71.62</v>
      </c>
      <c r="E2567" t="s">
        <v>411</v>
      </c>
    </row>
    <row r="2568" spans="1:5" x14ac:dyDescent="0.25">
      <c r="A2568">
        <v>17903</v>
      </c>
      <c r="B2568" t="str">
        <f t="shared" si="41"/>
        <v>17903</v>
      </c>
      <c r="C2568" t="s">
        <v>1199</v>
      </c>
      <c r="D2568">
        <v>0</v>
      </c>
      <c r="E2568" t="s">
        <v>411</v>
      </c>
    </row>
    <row r="2569" spans="1:5" x14ac:dyDescent="0.25">
      <c r="A2569">
        <v>17903</v>
      </c>
      <c r="B2569" t="str">
        <f t="shared" si="41"/>
        <v>17903</v>
      </c>
      <c r="C2569" t="s">
        <v>1203</v>
      </c>
      <c r="D2569">
        <v>84.2</v>
      </c>
      <c r="E2569" t="s">
        <v>411</v>
      </c>
    </row>
    <row r="2570" spans="1:5" x14ac:dyDescent="0.25">
      <c r="A2570">
        <v>17903</v>
      </c>
      <c r="B2570" t="str">
        <f t="shared" si="41"/>
        <v>17903</v>
      </c>
      <c r="C2570" t="s">
        <v>1200</v>
      </c>
      <c r="D2570">
        <v>0</v>
      </c>
      <c r="E2570" t="s">
        <v>411</v>
      </c>
    </row>
    <row r="2571" spans="1:5" x14ac:dyDescent="0.25">
      <c r="A2571">
        <v>17903</v>
      </c>
      <c r="B2571" t="str">
        <f t="shared" si="41"/>
        <v>17903</v>
      </c>
      <c r="C2571" t="s">
        <v>1204</v>
      </c>
      <c r="D2571">
        <v>159.76</v>
      </c>
      <c r="E2571" t="s">
        <v>411</v>
      </c>
    </row>
    <row r="2572" spans="1:5" x14ac:dyDescent="0.25">
      <c r="A2572">
        <v>17903</v>
      </c>
      <c r="B2572" t="str">
        <f t="shared" si="41"/>
        <v>17903</v>
      </c>
      <c r="C2572" t="s">
        <v>1207</v>
      </c>
      <c r="D2572">
        <v>0</v>
      </c>
      <c r="E2572" t="s">
        <v>411</v>
      </c>
    </row>
    <row r="2573" spans="1:5" x14ac:dyDescent="0.25">
      <c r="A2573">
        <v>17903</v>
      </c>
      <c r="B2573" t="str">
        <f t="shared" si="41"/>
        <v>17903</v>
      </c>
      <c r="C2573" t="s">
        <v>1208</v>
      </c>
      <c r="D2573">
        <v>23.22</v>
      </c>
      <c r="E2573" t="s">
        <v>411</v>
      </c>
    </row>
    <row r="2574" spans="1:5" x14ac:dyDescent="0.25">
      <c r="A2574">
        <v>17903</v>
      </c>
      <c r="B2574" t="str">
        <f t="shared" si="41"/>
        <v>17903</v>
      </c>
      <c r="C2574" t="s">
        <v>1210</v>
      </c>
      <c r="D2574">
        <v>0</v>
      </c>
      <c r="E2574" t="s">
        <v>411</v>
      </c>
    </row>
    <row r="2575" spans="1:5" x14ac:dyDescent="0.25">
      <c r="A2575">
        <v>17903</v>
      </c>
      <c r="B2575" t="str">
        <f t="shared" si="41"/>
        <v>17903</v>
      </c>
      <c r="C2575" t="s">
        <v>1212</v>
      </c>
      <c r="D2575">
        <v>0</v>
      </c>
      <c r="E2575" t="s">
        <v>411</v>
      </c>
    </row>
    <row r="2576" spans="1:5" x14ac:dyDescent="0.25">
      <c r="A2576">
        <v>17903</v>
      </c>
      <c r="B2576" t="str">
        <f t="shared" si="41"/>
        <v>17903</v>
      </c>
      <c r="C2576" t="s">
        <v>1216</v>
      </c>
      <c r="D2576">
        <v>0</v>
      </c>
      <c r="E2576" t="s">
        <v>411</v>
      </c>
    </row>
    <row r="2577" spans="1:5" x14ac:dyDescent="0.25">
      <c r="A2577">
        <v>17903</v>
      </c>
      <c r="B2577" t="str">
        <f t="shared" si="41"/>
        <v>17903</v>
      </c>
      <c r="C2577" t="s">
        <v>1198</v>
      </c>
      <c r="D2577">
        <v>15.32</v>
      </c>
      <c r="E2577" t="s">
        <v>411</v>
      </c>
    </row>
    <row r="2578" spans="1:5" x14ac:dyDescent="0.25">
      <c r="A2578">
        <v>31006</v>
      </c>
      <c r="B2578" t="str">
        <f t="shared" si="41"/>
        <v>31006</v>
      </c>
      <c r="C2578" t="s">
        <v>1193</v>
      </c>
      <c r="D2578">
        <v>0</v>
      </c>
      <c r="E2578" t="s">
        <v>510</v>
      </c>
    </row>
    <row r="2579" spans="1:5" x14ac:dyDescent="0.25">
      <c r="A2579">
        <v>31006</v>
      </c>
      <c r="B2579" t="str">
        <f t="shared" si="41"/>
        <v>31006</v>
      </c>
      <c r="C2579" t="s">
        <v>1194</v>
      </c>
      <c r="D2579">
        <v>3437.96</v>
      </c>
      <c r="E2579" t="s">
        <v>510</v>
      </c>
    </row>
    <row r="2580" spans="1:5" x14ac:dyDescent="0.25">
      <c r="A2580">
        <v>31006</v>
      </c>
      <c r="B2580" t="str">
        <f t="shared" si="41"/>
        <v>31006</v>
      </c>
      <c r="C2580" t="s">
        <v>1195</v>
      </c>
      <c r="D2580">
        <v>0</v>
      </c>
      <c r="E2580" t="s">
        <v>510</v>
      </c>
    </row>
    <row r="2581" spans="1:5" x14ac:dyDescent="0.25">
      <c r="A2581">
        <v>31006</v>
      </c>
      <c r="B2581" t="str">
        <f t="shared" si="41"/>
        <v>31006</v>
      </c>
      <c r="C2581" t="s">
        <v>1197</v>
      </c>
      <c r="D2581">
        <v>1121.0999999999999</v>
      </c>
      <c r="E2581" t="s">
        <v>510</v>
      </c>
    </row>
    <row r="2582" spans="1:5" x14ac:dyDescent="0.25">
      <c r="A2582">
        <v>31006</v>
      </c>
      <c r="B2582" t="str">
        <f t="shared" si="41"/>
        <v>31006</v>
      </c>
      <c r="C2582" t="s">
        <v>1202</v>
      </c>
      <c r="D2582">
        <v>0</v>
      </c>
      <c r="E2582" t="s">
        <v>510</v>
      </c>
    </row>
    <row r="2583" spans="1:5" x14ac:dyDescent="0.25">
      <c r="A2583">
        <v>31006</v>
      </c>
      <c r="B2583" t="str">
        <f t="shared" si="41"/>
        <v>31006</v>
      </c>
      <c r="C2583" t="s">
        <v>1206</v>
      </c>
      <c r="D2583">
        <v>2308.4899999999998</v>
      </c>
      <c r="E2583" t="s">
        <v>510</v>
      </c>
    </row>
    <row r="2584" spans="1:5" x14ac:dyDescent="0.25">
      <c r="A2584">
        <v>31006</v>
      </c>
      <c r="B2584" t="str">
        <f t="shared" si="41"/>
        <v>31006</v>
      </c>
      <c r="C2584" t="s">
        <v>1199</v>
      </c>
      <c r="D2584">
        <v>0</v>
      </c>
      <c r="E2584" t="s">
        <v>510</v>
      </c>
    </row>
    <row r="2585" spans="1:5" x14ac:dyDescent="0.25">
      <c r="A2585">
        <v>31006</v>
      </c>
      <c r="B2585" t="str">
        <f t="shared" si="41"/>
        <v>31006</v>
      </c>
      <c r="C2585" t="s">
        <v>1203</v>
      </c>
      <c r="D2585">
        <v>2198.87</v>
      </c>
      <c r="E2585" t="s">
        <v>510</v>
      </c>
    </row>
    <row r="2586" spans="1:5" x14ac:dyDescent="0.25">
      <c r="A2586">
        <v>31006</v>
      </c>
      <c r="B2586" t="str">
        <f t="shared" si="41"/>
        <v>31006</v>
      </c>
      <c r="C2586" t="s">
        <v>1200</v>
      </c>
      <c r="D2586">
        <v>0</v>
      </c>
      <c r="E2586" t="s">
        <v>510</v>
      </c>
    </row>
    <row r="2587" spans="1:5" x14ac:dyDescent="0.25">
      <c r="A2587">
        <v>31006</v>
      </c>
      <c r="B2587" t="str">
        <f t="shared" si="41"/>
        <v>31006</v>
      </c>
      <c r="C2587" t="s">
        <v>1204</v>
      </c>
      <c r="D2587">
        <v>4624.57</v>
      </c>
      <c r="E2587" t="s">
        <v>510</v>
      </c>
    </row>
    <row r="2588" spans="1:5" x14ac:dyDescent="0.25">
      <c r="A2588">
        <v>31006</v>
      </c>
      <c r="B2588" t="str">
        <f t="shared" si="41"/>
        <v>31006</v>
      </c>
      <c r="C2588" t="s">
        <v>1207</v>
      </c>
      <c r="D2588">
        <v>181.17</v>
      </c>
      <c r="E2588" t="s">
        <v>510</v>
      </c>
    </row>
    <row r="2589" spans="1:5" x14ac:dyDescent="0.25">
      <c r="A2589">
        <v>31006</v>
      </c>
      <c r="B2589" t="str">
        <f t="shared" si="41"/>
        <v>31006</v>
      </c>
      <c r="C2589" t="s">
        <v>1208</v>
      </c>
      <c r="D2589">
        <v>537.47</v>
      </c>
      <c r="E2589" t="s">
        <v>510</v>
      </c>
    </row>
    <row r="2590" spans="1:5" x14ac:dyDescent="0.25">
      <c r="A2590">
        <v>31006</v>
      </c>
      <c r="B2590" t="str">
        <f t="shared" si="41"/>
        <v>31006</v>
      </c>
      <c r="C2590" t="s">
        <v>1210</v>
      </c>
      <c r="D2590">
        <v>0</v>
      </c>
      <c r="E2590" t="s">
        <v>510</v>
      </c>
    </row>
    <row r="2591" spans="1:5" x14ac:dyDescent="0.25">
      <c r="A2591">
        <v>31006</v>
      </c>
      <c r="B2591" t="str">
        <f t="shared" si="41"/>
        <v>31006</v>
      </c>
      <c r="C2591" t="s">
        <v>1212</v>
      </c>
      <c r="D2591">
        <v>563.52</v>
      </c>
      <c r="E2591" t="s">
        <v>510</v>
      </c>
    </row>
    <row r="2592" spans="1:5" x14ac:dyDescent="0.25">
      <c r="A2592">
        <v>31006</v>
      </c>
      <c r="B2592" t="str">
        <f t="shared" si="41"/>
        <v>31006</v>
      </c>
      <c r="C2592" t="s">
        <v>1216</v>
      </c>
      <c r="D2592">
        <v>0</v>
      </c>
      <c r="E2592" t="s">
        <v>510</v>
      </c>
    </row>
    <row r="2593" spans="1:5" x14ac:dyDescent="0.25">
      <c r="A2593">
        <v>31006</v>
      </c>
      <c r="B2593" t="str">
        <f t="shared" si="41"/>
        <v>31006</v>
      </c>
      <c r="C2593" t="s">
        <v>1198</v>
      </c>
      <c r="D2593">
        <v>990.76</v>
      </c>
      <c r="E2593" t="s">
        <v>510</v>
      </c>
    </row>
    <row r="2594" spans="1:5" x14ac:dyDescent="0.25">
      <c r="A2594">
        <v>39003</v>
      </c>
      <c r="B2594" t="str">
        <f t="shared" si="41"/>
        <v>39003</v>
      </c>
      <c r="C2594" t="s">
        <v>1193</v>
      </c>
      <c r="D2594">
        <v>0</v>
      </c>
      <c r="E2594" t="s">
        <v>586</v>
      </c>
    </row>
    <row r="2595" spans="1:5" x14ac:dyDescent="0.25">
      <c r="A2595">
        <v>39003</v>
      </c>
      <c r="B2595" t="str">
        <f t="shared" si="41"/>
        <v>39003</v>
      </c>
      <c r="C2595" t="s">
        <v>1194</v>
      </c>
      <c r="D2595">
        <v>276.23</v>
      </c>
      <c r="E2595" t="s">
        <v>586</v>
      </c>
    </row>
    <row r="2596" spans="1:5" x14ac:dyDescent="0.25">
      <c r="A2596">
        <v>39003</v>
      </c>
      <c r="B2596" t="str">
        <f t="shared" si="41"/>
        <v>39003</v>
      </c>
      <c r="C2596" t="s">
        <v>1195</v>
      </c>
      <c r="D2596">
        <v>0</v>
      </c>
      <c r="E2596" t="s">
        <v>586</v>
      </c>
    </row>
    <row r="2597" spans="1:5" x14ac:dyDescent="0.25">
      <c r="A2597">
        <v>39003</v>
      </c>
      <c r="B2597" t="str">
        <f t="shared" si="41"/>
        <v>39003</v>
      </c>
      <c r="C2597" t="s">
        <v>1197</v>
      </c>
      <c r="D2597">
        <v>97.43</v>
      </c>
      <c r="E2597" t="s">
        <v>586</v>
      </c>
    </row>
    <row r="2598" spans="1:5" x14ac:dyDescent="0.25">
      <c r="A2598">
        <v>39003</v>
      </c>
      <c r="B2598" t="str">
        <f t="shared" si="41"/>
        <v>39003</v>
      </c>
      <c r="C2598" t="s">
        <v>1202</v>
      </c>
      <c r="D2598">
        <v>0</v>
      </c>
      <c r="E2598" t="s">
        <v>586</v>
      </c>
    </row>
    <row r="2599" spans="1:5" x14ac:dyDescent="0.25">
      <c r="A2599">
        <v>39003</v>
      </c>
      <c r="B2599" t="str">
        <f t="shared" si="41"/>
        <v>39003</v>
      </c>
      <c r="C2599" t="s">
        <v>1206</v>
      </c>
      <c r="D2599">
        <v>202.82</v>
      </c>
      <c r="E2599" t="s">
        <v>586</v>
      </c>
    </row>
    <row r="2600" spans="1:5" x14ac:dyDescent="0.25">
      <c r="A2600">
        <v>39003</v>
      </c>
      <c r="B2600" t="str">
        <f t="shared" si="41"/>
        <v>39003</v>
      </c>
      <c r="C2600" t="s">
        <v>1199</v>
      </c>
      <c r="D2600">
        <v>0</v>
      </c>
      <c r="E2600" t="s">
        <v>586</v>
      </c>
    </row>
    <row r="2601" spans="1:5" x14ac:dyDescent="0.25">
      <c r="A2601">
        <v>39003</v>
      </c>
      <c r="B2601" t="str">
        <f t="shared" si="41"/>
        <v>39003</v>
      </c>
      <c r="C2601" t="s">
        <v>1203</v>
      </c>
      <c r="D2601">
        <v>208.14</v>
      </c>
      <c r="E2601" t="s">
        <v>586</v>
      </c>
    </row>
    <row r="2602" spans="1:5" x14ac:dyDescent="0.25">
      <c r="A2602">
        <v>39003</v>
      </c>
      <c r="B2602" t="str">
        <f t="shared" si="41"/>
        <v>39003</v>
      </c>
      <c r="C2602" t="s">
        <v>1200</v>
      </c>
      <c r="D2602">
        <v>0</v>
      </c>
      <c r="E2602" t="s">
        <v>586</v>
      </c>
    </row>
    <row r="2603" spans="1:5" x14ac:dyDescent="0.25">
      <c r="A2603">
        <v>39003</v>
      </c>
      <c r="B2603" t="str">
        <f t="shared" si="41"/>
        <v>39003</v>
      </c>
      <c r="C2603" t="s">
        <v>1204</v>
      </c>
      <c r="D2603">
        <v>340.8</v>
      </c>
      <c r="E2603" t="s">
        <v>586</v>
      </c>
    </row>
    <row r="2604" spans="1:5" x14ac:dyDescent="0.25">
      <c r="A2604">
        <v>39003</v>
      </c>
      <c r="B2604" t="str">
        <f t="shared" si="41"/>
        <v>39003</v>
      </c>
      <c r="C2604" t="s">
        <v>1207</v>
      </c>
      <c r="D2604">
        <v>64.27</v>
      </c>
      <c r="E2604" t="s">
        <v>586</v>
      </c>
    </row>
    <row r="2605" spans="1:5" x14ac:dyDescent="0.25">
      <c r="A2605">
        <v>39003</v>
      </c>
      <c r="B2605" t="str">
        <f t="shared" si="41"/>
        <v>39003</v>
      </c>
      <c r="C2605" t="s">
        <v>1208</v>
      </c>
      <c r="D2605">
        <v>109.55</v>
      </c>
      <c r="E2605" t="s">
        <v>586</v>
      </c>
    </row>
    <row r="2606" spans="1:5" x14ac:dyDescent="0.25">
      <c r="A2606">
        <v>39003</v>
      </c>
      <c r="B2606" t="str">
        <f t="shared" si="41"/>
        <v>39003</v>
      </c>
      <c r="C2606" t="s">
        <v>1210</v>
      </c>
      <c r="D2606">
        <v>0</v>
      </c>
      <c r="E2606" t="s">
        <v>586</v>
      </c>
    </row>
    <row r="2607" spans="1:5" x14ac:dyDescent="0.25">
      <c r="A2607">
        <v>39003</v>
      </c>
      <c r="B2607" t="str">
        <f t="shared" si="41"/>
        <v>39003</v>
      </c>
      <c r="C2607" t="s">
        <v>1212</v>
      </c>
      <c r="D2607">
        <v>0</v>
      </c>
      <c r="E2607" t="s">
        <v>586</v>
      </c>
    </row>
    <row r="2608" spans="1:5" x14ac:dyDescent="0.25">
      <c r="A2608">
        <v>39003</v>
      </c>
      <c r="B2608" t="str">
        <f t="shared" si="41"/>
        <v>39003</v>
      </c>
      <c r="C2608" t="s">
        <v>1216</v>
      </c>
      <c r="D2608">
        <v>31.8</v>
      </c>
      <c r="E2608" t="s">
        <v>586</v>
      </c>
    </row>
    <row r="2609" spans="1:5" x14ac:dyDescent="0.25">
      <c r="A2609">
        <v>39003</v>
      </c>
      <c r="B2609" t="str">
        <f t="shared" si="41"/>
        <v>39003</v>
      </c>
      <c r="C2609" t="s">
        <v>1198</v>
      </c>
      <c r="D2609">
        <v>81.2</v>
      </c>
      <c r="E2609" t="s">
        <v>586</v>
      </c>
    </row>
    <row r="2610" spans="1:5" x14ac:dyDescent="0.25">
      <c r="A2610">
        <v>21014</v>
      </c>
      <c r="B2610" t="str">
        <f t="shared" si="41"/>
        <v>21014</v>
      </c>
      <c r="C2610" t="s">
        <v>1193</v>
      </c>
      <c r="D2610">
        <v>0</v>
      </c>
      <c r="E2610" t="s">
        <v>434</v>
      </c>
    </row>
    <row r="2611" spans="1:5" x14ac:dyDescent="0.25">
      <c r="A2611">
        <v>21014</v>
      </c>
      <c r="B2611" t="str">
        <f t="shared" si="41"/>
        <v>21014</v>
      </c>
      <c r="C2611" t="s">
        <v>1194</v>
      </c>
      <c r="D2611">
        <v>167</v>
      </c>
      <c r="E2611" t="s">
        <v>434</v>
      </c>
    </row>
    <row r="2612" spans="1:5" x14ac:dyDescent="0.25">
      <c r="A2612">
        <v>21014</v>
      </c>
      <c r="B2612" t="str">
        <f t="shared" si="41"/>
        <v>21014</v>
      </c>
      <c r="C2612" t="s">
        <v>1195</v>
      </c>
      <c r="D2612">
        <v>0</v>
      </c>
      <c r="E2612" t="s">
        <v>434</v>
      </c>
    </row>
    <row r="2613" spans="1:5" x14ac:dyDescent="0.25">
      <c r="A2613">
        <v>21014</v>
      </c>
      <c r="B2613" t="str">
        <f t="shared" si="41"/>
        <v>21014</v>
      </c>
      <c r="C2613" t="s">
        <v>1197</v>
      </c>
      <c r="D2613">
        <v>55.2</v>
      </c>
      <c r="E2613" t="s">
        <v>434</v>
      </c>
    </row>
    <row r="2614" spans="1:5" x14ac:dyDescent="0.25">
      <c r="A2614">
        <v>21014</v>
      </c>
      <c r="B2614" t="str">
        <f t="shared" si="41"/>
        <v>21014</v>
      </c>
      <c r="C2614" t="s">
        <v>1202</v>
      </c>
      <c r="D2614">
        <v>0</v>
      </c>
      <c r="E2614" t="s">
        <v>434</v>
      </c>
    </row>
    <row r="2615" spans="1:5" x14ac:dyDescent="0.25">
      <c r="A2615">
        <v>21014</v>
      </c>
      <c r="B2615" t="str">
        <f t="shared" si="41"/>
        <v>21014</v>
      </c>
      <c r="C2615" t="s">
        <v>1206</v>
      </c>
      <c r="D2615">
        <v>122</v>
      </c>
      <c r="E2615" t="s">
        <v>434</v>
      </c>
    </row>
    <row r="2616" spans="1:5" x14ac:dyDescent="0.25">
      <c r="A2616">
        <v>21014</v>
      </c>
      <c r="B2616" t="str">
        <f t="shared" si="41"/>
        <v>21014</v>
      </c>
      <c r="C2616" t="s">
        <v>1199</v>
      </c>
      <c r="D2616">
        <v>0</v>
      </c>
      <c r="E2616" t="s">
        <v>434</v>
      </c>
    </row>
    <row r="2617" spans="1:5" x14ac:dyDescent="0.25">
      <c r="A2617">
        <v>21014</v>
      </c>
      <c r="B2617" t="str">
        <f t="shared" si="41"/>
        <v>21014</v>
      </c>
      <c r="C2617" t="s">
        <v>1203</v>
      </c>
      <c r="D2617">
        <v>132.56</v>
      </c>
      <c r="E2617" t="s">
        <v>434</v>
      </c>
    </row>
    <row r="2618" spans="1:5" x14ac:dyDescent="0.25">
      <c r="A2618">
        <v>21014</v>
      </c>
      <c r="B2618" t="str">
        <f t="shared" si="41"/>
        <v>21014</v>
      </c>
      <c r="C2618" t="s">
        <v>1200</v>
      </c>
      <c r="D2618">
        <v>0</v>
      </c>
      <c r="E2618" t="s">
        <v>434</v>
      </c>
    </row>
    <row r="2619" spans="1:5" x14ac:dyDescent="0.25">
      <c r="A2619">
        <v>21014</v>
      </c>
      <c r="B2619" t="str">
        <f t="shared" si="41"/>
        <v>21014</v>
      </c>
      <c r="C2619" t="s">
        <v>1204</v>
      </c>
      <c r="D2619">
        <v>234.75</v>
      </c>
      <c r="E2619" t="s">
        <v>434</v>
      </c>
    </row>
    <row r="2620" spans="1:5" x14ac:dyDescent="0.25">
      <c r="A2620">
        <v>21014</v>
      </c>
      <c r="B2620" t="str">
        <f t="shared" si="41"/>
        <v>21014</v>
      </c>
      <c r="C2620" t="s">
        <v>1207</v>
      </c>
      <c r="D2620">
        <v>41.33</v>
      </c>
      <c r="E2620" t="s">
        <v>434</v>
      </c>
    </row>
    <row r="2621" spans="1:5" x14ac:dyDescent="0.25">
      <c r="A2621">
        <v>21014</v>
      </c>
      <c r="B2621" t="str">
        <f t="shared" si="41"/>
        <v>21014</v>
      </c>
      <c r="C2621" t="s">
        <v>1208</v>
      </c>
      <c r="D2621">
        <v>125.24</v>
      </c>
      <c r="E2621" t="s">
        <v>434</v>
      </c>
    </row>
    <row r="2622" spans="1:5" x14ac:dyDescent="0.25">
      <c r="A2622">
        <v>21014</v>
      </c>
      <c r="B2622" t="str">
        <f t="shared" si="41"/>
        <v>21014</v>
      </c>
      <c r="C2622" t="s">
        <v>1210</v>
      </c>
      <c r="D2622">
        <v>0</v>
      </c>
      <c r="E2622" t="s">
        <v>434</v>
      </c>
    </row>
    <row r="2623" spans="1:5" x14ac:dyDescent="0.25">
      <c r="A2623">
        <v>21014</v>
      </c>
      <c r="B2623" t="str">
        <f t="shared" si="41"/>
        <v>21014</v>
      </c>
      <c r="C2623" t="s">
        <v>1212</v>
      </c>
      <c r="D2623">
        <v>0</v>
      </c>
      <c r="E2623" t="s">
        <v>434</v>
      </c>
    </row>
    <row r="2624" spans="1:5" x14ac:dyDescent="0.25">
      <c r="A2624">
        <v>21014</v>
      </c>
      <c r="B2624" t="str">
        <f t="shared" si="41"/>
        <v>21014</v>
      </c>
      <c r="C2624" t="s">
        <v>1216</v>
      </c>
      <c r="D2624">
        <v>0</v>
      </c>
      <c r="E2624" t="s">
        <v>434</v>
      </c>
    </row>
    <row r="2625" spans="1:5" x14ac:dyDescent="0.25">
      <c r="A2625">
        <v>21014</v>
      </c>
      <c r="B2625" t="str">
        <f t="shared" si="41"/>
        <v>21014</v>
      </c>
      <c r="C2625" t="s">
        <v>1198</v>
      </c>
      <c r="D2625">
        <v>52.4</v>
      </c>
      <c r="E2625" t="s">
        <v>434</v>
      </c>
    </row>
    <row r="2626" spans="1:5" x14ac:dyDescent="0.25">
      <c r="A2626">
        <v>25155</v>
      </c>
      <c r="B2626" t="str">
        <f t="shared" si="41"/>
        <v>25155</v>
      </c>
      <c r="C2626" t="s">
        <v>1193</v>
      </c>
      <c r="D2626">
        <v>0</v>
      </c>
      <c r="E2626" t="s">
        <v>473</v>
      </c>
    </row>
    <row r="2627" spans="1:5" x14ac:dyDescent="0.25">
      <c r="A2627">
        <v>25155</v>
      </c>
      <c r="B2627" t="str">
        <f t="shared" ref="B2627:B2690" si="42">TEXT(A2627,"00000")</f>
        <v>25155</v>
      </c>
      <c r="C2627" t="s">
        <v>1194</v>
      </c>
      <c r="D2627">
        <v>63.4</v>
      </c>
      <c r="E2627" t="s">
        <v>473</v>
      </c>
    </row>
    <row r="2628" spans="1:5" x14ac:dyDescent="0.25">
      <c r="A2628">
        <v>25155</v>
      </c>
      <c r="B2628" t="str">
        <f t="shared" si="42"/>
        <v>25155</v>
      </c>
      <c r="C2628" t="s">
        <v>1195</v>
      </c>
      <c r="D2628">
        <v>0</v>
      </c>
      <c r="E2628" t="s">
        <v>473</v>
      </c>
    </row>
    <row r="2629" spans="1:5" x14ac:dyDescent="0.25">
      <c r="A2629">
        <v>25155</v>
      </c>
      <c r="B2629" t="str">
        <f t="shared" si="42"/>
        <v>25155</v>
      </c>
      <c r="C2629" t="s">
        <v>1197</v>
      </c>
      <c r="D2629">
        <v>22.6</v>
      </c>
      <c r="E2629" t="s">
        <v>473</v>
      </c>
    </row>
    <row r="2630" spans="1:5" x14ac:dyDescent="0.25">
      <c r="A2630">
        <v>25155</v>
      </c>
      <c r="B2630" t="str">
        <f t="shared" si="42"/>
        <v>25155</v>
      </c>
      <c r="C2630" t="s">
        <v>1202</v>
      </c>
      <c r="D2630">
        <v>0</v>
      </c>
      <c r="E2630" t="s">
        <v>473</v>
      </c>
    </row>
    <row r="2631" spans="1:5" x14ac:dyDescent="0.25">
      <c r="A2631">
        <v>25155</v>
      </c>
      <c r="B2631" t="str">
        <f t="shared" si="42"/>
        <v>25155</v>
      </c>
      <c r="C2631" t="s">
        <v>1206</v>
      </c>
      <c r="D2631">
        <v>45.2</v>
      </c>
      <c r="E2631" t="s">
        <v>473</v>
      </c>
    </row>
    <row r="2632" spans="1:5" x14ac:dyDescent="0.25">
      <c r="A2632">
        <v>25155</v>
      </c>
      <c r="B2632" t="str">
        <f t="shared" si="42"/>
        <v>25155</v>
      </c>
      <c r="C2632" t="s">
        <v>1199</v>
      </c>
      <c r="D2632">
        <v>0</v>
      </c>
      <c r="E2632" t="s">
        <v>473</v>
      </c>
    </row>
    <row r="2633" spans="1:5" x14ac:dyDescent="0.25">
      <c r="A2633">
        <v>25155</v>
      </c>
      <c r="B2633" t="str">
        <f t="shared" si="42"/>
        <v>25155</v>
      </c>
      <c r="C2633" t="s">
        <v>1203</v>
      </c>
      <c r="D2633">
        <v>53.68</v>
      </c>
      <c r="E2633" t="s">
        <v>473</v>
      </c>
    </row>
    <row r="2634" spans="1:5" x14ac:dyDescent="0.25">
      <c r="A2634">
        <v>25155</v>
      </c>
      <c r="B2634" t="str">
        <f t="shared" si="42"/>
        <v>25155</v>
      </c>
      <c r="C2634" t="s">
        <v>1200</v>
      </c>
      <c r="D2634">
        <v>0</v>
      </c>
      <c r="E2634" t="s">
        <v>473</v>
      </c>
    </row>
    <row r="2635" spans="1:5" x14ac:dyDescent="0.25">
      <c r="A2635">
        <v>25155</v>
      </c>
      <c r="B2635" t="str">
        <f t="shared" si="42"/>
        <v>25155</v>
      </c>
      <c r="C2635" t="s">
        <v>1204</v>
      </c>
      <c r="D2635">
        <v>101.33</v>
      </c>
      <c r="E2635" t="s">
        <v>473</v>
      </c>
    </row>
    <row r="2636" spans="1:5" x14ac:dyDescent="0.25">
      <c r="A2636">
        <v>25155</v>
      </c>
      <c r="B2636" t="str">
        <f t="shared" si="42"/>
        <v>25155</v>
      </c>
      <c r="C2636" t="s">
        <v>1207</v>
      </c>
      <c r="D2636">
        <v>7.78</v>
      </c>
      <c r="E2636" t="s">
        <v>473</v>
      </c>
    </row>
    <row r="2637" spans="1:5" x14ac:dyDescent="0.25">
      <c r="A2637">
        <v>25155</v>
      </c>
      <c r="B2637" t="str">
        <f t="shared" si="42"/>
        <v>25155</v>
      </c>
      <c r="C2637" t="s">
        <v>1208</v>
      </c>
      <c r="D2637">
        <v>13.7</v>
      </c>
      <c r="E2637" t="s">
        <v>473</v>
      </c>
    </row>
    <row r="2638" spans="1:5" x14ac:dyDescent="0.25">
      <c r="A2638">
        <v>25155</v>
      </c>
      <c r="B2638" t="str">
        <f t="shared" si="42"/>
        <v>25155</v>
      </c>
      <c r="C2638" t="s">
        <v>1210</v>
      </c>
      <c r="D2638">
        <v>0</v>
      </c>
      <c r="E2638" t="s">
        <v>473</v>
      </c>
    </row>
    <row r="2639" spans="1:5" x14ac:dyDescent="0.25">
      <c r="A2639">
        <v>25155</v>
      </c>
      <c r="B2639" t="str">
        <f t="shared" si="42"/>
        <v>25155</v>
      </c>
      <c r="C2639" t="s">
        <v>1212</v>
      </c>
      <c r="D2639">
        <v>0</v>
      </c>
      <c r="E2639" t="s">
        <v>473</v>
      </c>
    </row>
    <row r="2640" spans="1:5" x14ac:dyDescent="0.25">
      <c r="A2640">
        <v>25155</v>
      </c>
      <c r="B2640" t="str">
        <f t="shared" si="42"/>
        <v>25155</v>
      </c>
      <c r="C2640" t="s">
        <v>1216</v>
      </c>
      <c r="D2640">
        <v>0</v>
      </c>
      <c r="E2640" t="s">
        <v>473</v>
      </c>
    </row>
    <row r="2641" spans="1:5" x14ac:dyDescent="0.25">
      <c r="A2641">
        <v>25155</v>
      </c>
      <c r="B2641" t="str">
        <f t="shared" si="42"/>
        <v>25155</v>
      </c>
      <c r="C2641" t="s">
        <v>1198</v>
      </c>
      <c r="D2641">
        <v>19.399999999999999</v>
      </c>
      <c r="E2641" t="s">
        <v>473</v>
      </c>
    </row>
    <row r="2642" spans="1:5" x14ac:dyDescent="0.25">
      <c r="A2642">
        <v>24014</v>
      </c>
      <c r="B2642" t="str">
        <f t="shared" si="42"/>
        <v>24014</v>
      </c>
      <c r="C2642" t="s">
        <v>1193</v>
      </c>
      <c r="D2642">
        <v>0</v>
      </c>
      <c r="E2642" t="s">
        <v>1231</v>
      </c>
    </row>
    <row r="2643" spans="1:5" x14ac:dyDescent="0.25">
      <c r="A2643">
        <v>24014</v>
      </c>
      <c r="B2643" t="str">
        <f t="shared" si="42"/>
        <v>24014</v>
      </c>
      <c r="C2643" t="s">
        <v>1194</v>
      </c>
      <c r="D2643">
        <v>41.2</v>
      </c>
      <c r="E2643" t="s">
        <v>1231</v>
      </c>
    </row>
    <row r="2644" spans="1:5" x14ac:dyDescent="0.25">
      <c r="A2644">
        <v>24014</v>
      </c>
      <c r="B2644" t="str">
        <f t="shared" si="42"/>
        <v>24014</v>
      </c>
      <c r="C2644" t="s">
        <v>1195</v>
      </c>
      <c r="D2644">
        <v>0</v>
      </c>
      <c r="E2644" t="s">
        <v>1231</v>
      </c>
    </row>
    <row r="2645" spans="1:5" x14ac:dyDescent="0.25">
      <c r="A2645">
        <v>24014</v>
      </c>
      <c r="B2645" t="str">
        <f t="shared" si="42"/>
        <v>24014</v>
      </c>
      <c r="C2645" t="s">
        <v>1197</v>
      </c>
      <c r="D2645">
        <v>14</v>
      </c>
      <c r="E2645" t="s">
        <v>1231</v>
      </c>
    </row>
    <row r="2646" spans="1:5" x14ac:dyDescent="0.25">
      <c r="A2646">
        <v>24014</v>
      </c>
      <c r="B2646" t="str">
        <f t="shared" si="42"/>
        <v>24014</v>
      </c>
      <c r="C2646" t="s">
        <v>1202</v>
      </c>
      <c r="D2646">
        <v>0</v>
      </c>
      <c r="E2646" t="s">
        <v>1231</v>
      </c>
    </row>
    <row r="2647" spans="1:5" x14ac:dyDescent="0.25">
      <c r="A2647">
        <v>24014</v>
      </c>
      <c r="B2647" t="str">
        <f t="shared" si="42"/>
        <v>24014</v>
      </c>
      <c r="C2647" t="s">
        <v>1206</v>
      </c>
      <c r="D2647">
        <v>28</v>
      </c>
      <c r="E2647" t="s">
        <v>1231</v>
      </c>
    </row>
    <row r="2648" spans="1:5" x14ac:dyDescent="0.25">
      <c r="A2648">
        <v>24014</v>
      </c>
      <c r="B2648" t="str">
        <f t="shared" si="42"/>
        <v>24014</v>
      </c>
      <c r="C2648" t="s">
        <v>1199</v>
      </c>
      <c r="D2648">
        <v>0</v>
      </c>
      <c r="E2648" t="s">
        <v>1231</v>
      </c>
    </row>
    <row r="2649" spans="1:5" x14ac:dyDescent="0.25">
      <c r="A2649">
        <v>24014</v>
      </c>
      <c r="B2649" t="str">
        <f t="shared" si="42"/>
        <v>24014</v>
      </c>
      <c r="C2649" t="s">
        <v>1203</v>
      </c>
      <c r="D2649">
        <v>24.2</v>
      </c>
      <c r="E2649" t="s">
        <v>1231</v>
      </c>
    </row>
    <row r="2650" spans="1:5" x14ac:dyDescent="0.25">
      <c r="A2650">
        <v>24014</v>
      </c>
      <c r="B2650" t="str">
        <f t="shared" si="42"/>
        <v>24014</v>
      </c>
      <c r="C2650" t="s">
        <v>1200</v>
      </c>
      <c r="D2650">
        <v>0</v>
      </c>
      <c r="E2650" t="s">
        <v>1231</v>
      </c>
    </row>
    <row r="2651" spans="1:5" x14ac:dyDescent="0.25">
      <c r="A2651">
        <v>24014</v>
      </c>
      <c r="B2651" t="str">
        <f t="shared" si="42"/>
        <v>24014</v>
      </c>
      <c r="C2651" t="s">
        <v>1204</v>
      </c>
      <c r="D2651">
        <v>12.2</v>
      </c>
      <c r="E2651" t="s">
        <v>1231</v>
      </c>
    </row>
    <row r="2652" spans="1:5" x14ac:dyDescent="0.25">
      <c r="A2652">
        <v>24014</v>
      </c>
      <c r="B2652" t="str">
        <f t="shared" si="42"/>
        <v>24014</v>
      </c>
      <c r="C2652" t="s">
        <v>1207</v>
      </c>
      <c r="D2652">
        <v>9.4600000000000009</v>
      </c>
      <c r="E2652" t="s">
        <v>1231</v>
      </c>
    </row>
    <row r="2653" spans="1:5" x14ac:dyDescent="0.25">
      <c r="A2653">
        <v>24014</v>
      </c>
      <c r="B2653" t="str">
        <f t="shared" si="42"/>
        <v>24014</v>
      </c>
      <c r="C2653" t="s">
        <v>1208</v>
      </c>
      <c r="D2653">
        <v>2.31</v>
      </c>
      <c r="E2653" t="s">
        <v>1231</v>
      </c>
    </row>
    <row r="2654" spans="1:5" x14ac:dyDescent="0.25">
      <c r="A2654">
        <v>24014</v>
      </c>
      <c r="B2654" t="str">
        <f t="shared" si="42"/>
        <v>24014</v>
      </c>
      <c r="C2654" t="s">
        <v>1210</v>
      </c>
      <c r="D2654">
        <v>0</v>
      </c>
      <c r="E2654" t="s">
        <v>1231</v>
      </c>
    </row>
    <row r="2655" spans="1:5" x14ac:dyDescent="0.25">
      <c r="A2655">
        <v>24014</v>
      </c>
      <c r="B2655" t="str">
        <f t="shared" si="42"/>
        <v>24014</v>
      </c>
      <c r="C2655" t="s">
        <v>1212</v>
      </c>
      <c r="D2655">
        <v>0</v>
      </c>
      <c r="E2655" t="s">
        <v>1231</v>
      </c>
    </row>
    <row r="2656" spans="1:5" x14ac:dyDescent="0.25">
      <c r="A2656">
        <v>24014</v>
      </c>
      <c r="B2656" t="str">
        <f t="shared" si="42"/>
        <v>24014</v>
      </c>
      <c r="C2656" t="s">
        <v>1216</v>
      </c>
      <c r="D2656">
        <v>5.6</v>
      </c>
      <c r="E2656" t="s">
        <v>1231</v>
      </c>
    </row>
    <row r="2657" spans="1:5" x14ac:dyDescent="0.25">
      <c r="A2657">
        <v>24014</v>
      </c>
      <c r="B2657" t="str">
        <f t="shared" si="42"/>
        <v>24014</v>
      </c>
      <c r="C2657" t="s">
        <v>1198</v>
      </c>
      <c r="D2657">
        <v>19</v>
      </c>
      <c r="E2657" t="s">
        <v>1231</v>
      </c>
    </row>
    <row r="2658" spans="1:5" x14ac:dyDescent="0.25">
      <c r="A2658">
        <v>26056</v>
      </c>
      <c r="B2658" t="str">
        <f t="shared" si="42"/>
        <v>26056</v>
      </c>
      <c r="C2658" t="s">
        <v>1193</v>
      </c>
      <c r="D2658">
        <v>0</v>
      </c>
      <c r="E2658" t="s">
        <v>476</v>
      </c>
    </row>
    <row r="2659" spans="1:5" x14ac:dyDescent="0.25">
      <c r="A2659">
        <v>26056</v>
      </c>
      <c r="B2659" t="str">
        <f t="shared" si="42"/>
        <v>26056</v>
      </c>
      <c r="C2659" t="s">
        <v>1194</v>
      </c>
      <c r="D2659">
        <v>220.84</v>
      </c>
      <c r="E2659" t="s">
        <v>476</v>
      </c>
    </row>
    <row r="2660" spans="1:5" x14ac:dyDescent="0.25">
      <c r="A2660">
        <v>26056</v>
      </c>
      <c r="B2660" t="str">
        <f t="shared" si="42"/>
        <v>26056</v>
      </c>
      <c r="C2660" t="s">
        <v>1195</v>
      </c>
      <c r="D2660">
        <v>0</v>
      </c>
      <c r="E2660" t="s">
        <v>476</v>
      </c>
    </row>
    <row r="2661" spans="1:5" x14ac:dyDescent="0.25">
      <c r="A2661">
        <v>26056</v>
      </c>
      <c r="B2661" t="str">
        <f t="shared" si="42"/>
        <v>26056</v>
      </c>
      <c r="C2661" t="s">
        <v>1197</v>
      </c>
      <c r="D2661">
        <v>79.209999999999994</v>
      </c>
      <c r="E2661" t="s">
        <v>476</v>
      </c>
    </row>
    <row r="2662" spans="1:5" x14ac:dyDescent="0.25">
      <c r="A2662">
        <v>26056</v>
      </c>
      <c r="B2662" t="str">
        <f t="shared" si="42"/>
        <v>26056</v>
      </c>
      <c r="C2662" t="s">
        <v>1202</v>
      </c>
      <c r="D2662">
        <v>0</v>
      </c>
      <c r="E2662" t="s">
        <v>476</v>
      </c>
    </row>
    <row r="2663" spans="1:5" x14ac:dyDescent="0.25">
      <c r="A2663">
        <v>26056</v>
      </c>
      <c r="B2663" t="str">
        <f t="shared" si="42"/>
        <v>26056</v>
      </c>
      <c r="C2663" t="s">
        <v>1206</v>
      </c>
      <c r="D2663">
        <v>140.05000000000001</v>
      </c>
      <c r="E2663" t="s">
        <v>476</v>
      </c>
    </row>
    <row r="2664" spans="1:5" x14ac:dyDescent="0.25">
      <c r="A2664">
        <v>26056</v>
      </c>
      <c r="B2664" t="str">
        <f t="shared" si="42"/>
        <v>26056</v>
      </c>
      <c r="C2664" t="s">
        <v>1199</v>
      </c>
      <c r="D2664">
        <v>0</v>
      </c>
      <c r="E2664" t="s">
        <v>476</v>
      </c>
    </row>
    <row r="2665" spans="1:5" x14ac:dyDescent="0.25">
      <c r="A2665">
        <v>26056</v>
      </c>
      <c r="B2665" t="str">
        <f t="shared" si="42"/>
        <v>26056</v>
      </c>
      <c r="C2665" t="s">
        <v>1203</v>
      </c>
      <c r="D2665">
        <v>141.25</v>
      </c>
      <c r="E2665" t="s">
        <v>476</v>
      </c>
    </row>
    <row r="2666" spans="1:5" x14ac:dyDescent="0.25">
      <c r="A2666">
        <v>26056</v>
      </c>
      <c r="B2666" t="str">
        <f t="shared" si="42"/>
        <v>26056</v>
      </c>
      <c r="C2666" t="s">
        <v>1200</v>
      </c>
      <c r="D2666">
        <v>0</v>
      </c>
      <c r="E2666" t="s">
        <v>476</v>
      </c>
    </row>
    <row r="2667" spans="1:5" x14ac:dyDescent="0.25">
      <c r="A2667">
        <v>26056</v>
      </c>
      <c r="B2667" t="str">
        <f t="shared" si="42"/>
        <v>26056</v>
      </c>
      <c r="C2667" t="s">
        <v>1204</v>
      </c>
      <c r="D2667">
        <v>286.63</v>
      </c>
      <c r="E2667" t="s">
        <v>476</v>
      </c>
    </row>
    <row r="2668" spans="1:5" x14ac:dyDescent="0.25">
      <c r="A2668">
        <v>26056</v>
      </c>
      <c r="B2668" t="str">
        <f t="shared" si="42"/>
        <v>26056</v>
      </c>
      <c r="C2668" t="s">
        <v>1207</v>
      </c>
      <c r="D2668">
        <v>29.11</v>
      </c>
      <c r="E2668" t="s">
        <v>476</v>
      </c>
    </row>
    <row r="2669" spans="1:5" x14ac:dyDescent="0.25">
      <c r="A2669">
        <v>26056</v>
      </c>
      <c r="B2669" t="str">
        <f t="shared" si="42"/>
        <v>26056</v>
      </c>
      <c r="C2669" t="s">
        <v>1208</v>
      </c>
      <c r="D2669">
        <v>98.88</v>
      </c>
      <c r="E2669" t="s">
        <v>476</v>
      </c>
    </row>
    <row r="2670" spans="1:5" x14ac:dyDescent="0.25">
      <c r="A2670">
        <v>26056</v>
      </c>
      <c r="B2670" t="str">
        <f t="shared" si="42"/>
        <v>26056</v>
      </c>
      <c r="C2670" t="s">
        <v>1210</v>
      </c>
      <c r="D2670">
        <v>0</v>
      </c>
      <c r="E2670" t="s">
        <v>476</v>
      </c>
    </row>
    <row r="2671" spans="1:5" x14ac:dyDescent="0.25">
      <c r="A2671">
        <v>26056</v>
      </c>
      <c r="B2671" t="str">
        <f t="shared" si="42"/>
        <v>26056</v>
      </c>
      <c r="C2671" t="s">
        <v>1212</v>
      </c>
      <c r="D2671">
        <v>0</v>
      </c>
      <c r="E2671" t="s">
        <v>476</v>
      </c>
    </row>
    <row r="2672" spans="1:5" x14ac:dyDescent="0.25">
      <c r="A2672">
        <v>26056</v>
      </c>
      <c r="B2672" t="str">
        <f t="shared" si="42"/>
        <v>26056</v>
      </c>
      <c r="C2672" t="s">
        <v>1216</v>
      </c>
      <c r="D2672">
        <v>0</v>
      </c>
      <c r="E2672" t="s">
        <v>476</v>
      </c>
    </row>
    <row r="2673" spans="1:5" x14ac:dyDescent="0.25">
      <c r="A2673">
        <v>26056</v>
      </c>
      <c r="B2673" t="str">
        <f t="shared" si="42"/>
        <v>26056</v>
      </c>
      <c r="C2673" t="s">
        <v>1198</v>
      </c>
      <c r="D2673">
        <v>72.63</v>
      </c>
      <c r="E2673" t="s">
        <v>476</v>
      </c>
    </row>
    <row r="2674" spans="1:5" x14ac:dyDescent="0.25">
      <c r="A2674">
        <v>32325</v>
      </c>
      <c r="B2674" t="str">
        <f t="shared" si="42"/>
        <v>32325</v>
      </c>
      <c r="C2674" t="s">
        <v>1193</v>
      </c>
      <c r="D2674">
        <v>0</v>
      </c>
      <c r="E2674" t="s">
        <v>525</v>
      </c>
    </row>
    <row r="2675" spans="1:5" x14ac:dyDescent="0.25">
      <c r="A2675">
        <v>32325</v>
      </c>
      <c r="B2675" t="str">
        <f t="shared" si="42"/>
        <v>32325</v>
      </c>
      <c r="C2675" t="s">
        <v>1194</v>
      </c>
      <c r="D2675">
        <v>270</v>
      </c>
      <c r="E2675" t="s">
        <v>525</v>
      </c>
    </row>
    <row r="2676" spans="1:5" x14ac:dyDescent="0.25">
      <c r="A2676">
        <v>32325</v>
      </c>
      <c r="B2676" t="str">
        <f t="shared" si="42"/>
        <v>32325</v>
      </c>
      <c r="C2676" t="s">
        <v>1195</v>
      </c>
      <c r="D2676">
        <v>0</v>
      </c>
      <c r="E2676" t="s">
        <v>525</v>
      </c>
    </row>
    <row r="2677" spans="1:5" x14ac:dyDescent="0.25">
      <c r="A2677">
        <v>32325</v>
      </c>
      <c r="B2677" t="str">
        <f t="shared" si="42"/>
        <v>32325</v>
      </c>
      <c r="C2677" t="s">
        <v>1197</v>
      </c>
      <c r="D2677">
        <v>106.4</v>
      </c>
      <c r="E2677" t="s">
        <v>525</v>
      </c>
    </row>
    <row r="2678" spans="1:5" x14ac:dyDescent="0.25">
      <c r="A2678">
        <v>32325</v>
      </c>
      <c r="B2678" t="str">
        <f t="shared" si="42"/>
        <v>32325</v>
      </c>
      <c r="C2678" t="s">
        <v>1202</v>
      </c>
      <c r="D2678">
        <v>0</v>
      </c>
      <c r="E2678" t="s">
        <v>525</v>
      </c>
    </row>
    <row r="2679" spans="1:5" x14ac:dyDescent="0.25">
      <c r="A2679">
        <v>32325</v>
      </c>
      <c r="B2679" t="str">
        <f t="shared" si="42"/>
        <v>32325</v>
      </c>
      <c r="C2679" t="s">
        <v>1206</v>
      </c>
      <c r="D2679">
        <v>186.54</v>
      </c>
      <c r="E2679" t="s">
        <v>525</v>
      </c>
    </row>
    <row r="2680" spans="1:5" x14ac:dyDescent="0.25">
      <c r="A2680">
        <v>32325</v>
      </c>
      <c r="B2680" t="str">
        <f t="shared" si="42"/>
        <v>32325</v>
      </c>
      <c r="C2680" t="s">
        <v>1199</v>
      </c>
      <c r="D2680">
        <v>0</v>
      </c>
      <c r="E2680" t="s">
        <v>525</v>
      </c>
    </row>
    <row r="2681" spans="1:5" x14ac:dyDescent="0.25">
      <c r="A2681">
        <v>32325</v>
      </c>
      <c r="B2681" t="str">
        <f t="shared" si="42"/>
        <v>32325</v>
      </c>
      <c r="C2681" t="s">
        <v>1203</v>
      </c>
      <c r="D2681">
        <v>201.5</v>
      </c>
      <c r="E2681" t="s">
        <v>525</v>
      </c>
    </row>
    <row r="2682" spans="1:5" x14ac:dyDescent="0.25">
      <c r="A2682">
        <v>32325</v>
      </c>
      <c r="B2682" t="str">
        <f t="shared" si="42"/>
        <v>32325</v>
      </c>
      <c r="C2682" t="s">
        <v>1200</v>
      </c>
      <c r="D2682">
        <v>0</v>
      </c>
      <c r="E2682" t="s">
        <v>525</v>
      </c>
    </row>
    <row r="2683" spans="1:5" x14ac:dyDescent="0.25">
      <c r="A2683">
        <v>32325</v>
      </c>
      <c r="B2683" t="str">
        <f t="shared" si="42"/>
        <v>32325</v>
      </c>
      <c r="C2683" t="s">
        <v>1204</v>
      </c>
      <c r="D2683">
        <v>410.13</v>
      </c>
      <c r="E2683" t="s">
        <v>525</v>
      </c>
    </row>
    <row r="2684" spans="1:5" x14ac:dyDescent="0.25">
      <c r="A2684">
        <v>32325</v>
      </c>
      <c r="B2684" t="str">
        <f t="shared" si="42"/>
        <v>32325</v>
      </c>
      <c r="C2684" t="s">
        <v>1207</v>
      </c>
      <c r="D2684">
        <v>6.71</v>
      </c>
      <c r="E2684" t="s">
        <v>525</v>
      </c>
    </row>
    <row r="2685" spans="1:5" x14ac:dyDescent="0.25">
      <c r="A2685">
        <v>32325</v>
      </c>
      <c r="B2685" t="str">
        <f t="shared" si="42"/>
        <v>32325</v>
      </c>
      <c r="C2685" t="s">
        <v>1208</v>
      </c>
      <c r="D2685">
        <v>103.54</v>
      </c>
      <c r="E2685" t="s">
        <v>525</v>
      </c>
    </row>
    <row r="2686" spans="1:5" x14ac:dyDescent="0.25">
      <c r="A2686">
        <v>32325</v>
      </c>
      <c r="B2686" t="str">
        <f t="shared" si="42"/>
        <v>32325</v>
      </c>
      <c r="C2686" t="s">
        <v>1210</v>
      </c>
      <c r="D2686">
        <v>0</v>
      </c>
      <c r="E2686" t="s">
        <v>525</v>
      </c>
    </row>
    <row r="2687" spans="1:5" x14ac:dyDescent="0.25">
      <c r="A2687">
        <v>32325</v>
      </c>
      <c r="B2687" t="str">
        <f t="shared" si="42"/>
        <v>32325</v>
      </c>
      <c r="C2687" t="s">
        <v>1212</v>
      </c>
      <c r="D2687">
        <v>0</v>
      </c>
      <c r="E2687" t="s">
        <v>525</v>
      </c>
    </row>
    <row r="2688" spans="1:5" x14ac:dyDescent="0.25">
      <c r="A2688">
        <v>32325</v>
      </c>
      <c r="B2688" t="str">
        <f t="shared" si="42"/>
        <v>32325</v>
      </c>
      <c r="C2688" t="s">
        <v>1216</v>
      </c>
      <c r="D2688">
        <v>44.6</v>
      </c>
      <c r="E2688" t="s">
        <v>525</v>
      </c>
    </row>
    <row r="2689" spans="1:5" x14ac:dyDescent="0.25">
      <c r="A2689">
        <v>32325</v>
      </c>
      <c r="B2689" t="str">
        <f t="shared" si="42"/>
        <v>32325</v>
      </c>
      <c r="C2689" t="s">
        <v>1198</v>
      </c>
      <c r="D2689">
        <v>58.8</v>
      </c>
      <c r="E2689" t="s">
        <v>525</v>
      </c>
    </row>
    <row r="2690" spans="1:5" x14ac:dyDescent="0.25">
      <c r="A2690">
        <v>37506</v>
      </c>
      <c r="B2690" t="str">
        <f t="shared" si="42"/>
        <v>37506</v>
      </c>
      <c r="C2690" t="s">
        <v>1193</v>
      </c>
      <c r="D2690">
        <v>0</v>
      </c>
      <c r="E2690" t="s">
        <v>569</v>
      </c>
    </row>
    <row r="2691" spans="1:5" x14ac:dyDescent="0.25">
      <c r="A2691">
        <v>37506</v>
      </c>
      <c r="B2691" t="str">
        <f t="shared" ref="B2691:B2754" si="43">TEXT(A2691,"00000")</f>
        <v>37506</v>
      </c>
      <c r="C2691" t="s">
        <v>1194</v>
      </c>
      <c r="D2691">
        <v>448.29</v>
      </c>
      <c r="E2691" t="s">
        <v>569</v>
      </c>
    </row>
    <row r="2692" spans="1:5" x14ac:dyDescent="0.25">
      <c r="A2692">
        <v>37506</v>
      </c>
      <c r="B2692" t="str">
        <f t="shared" si="43"/>
        <v>37506</v>
      </c>
      <c r="C2692" t="s">
        <v>1195</v>
      </c>
      <c r="D2692">
        <v>0</v>
      </c>
      <c r="E2692" t="s">
        <v>569</v>
      </c>
    </row>
    <row r="2693" spans="1:5" x14ac:dyDescent="0.25">
      <c r="A2693">
        <v>37506</v>
      </c>
      <c r="B2693" t="str">
        <f t="shared" si="43"/>
        <v>37506</v>
      </c>
      <c r="C2693" t="s">
        <v>1197</v>
      </c>
      <c r="D2693">
        <v>154.88999999999999</v>
      </c>
      <c r="E2693" t="s">
        <v>569</v>
      </c>
    </row>
    <row r="2694" spans="1:5" x14ac:dyDescent="0.25">
      <c r="A2694">
        <v>37506</v>
      </c>
      <c r="B2694" t="str">
        <f t="shared" si="43"/>
        <v>37506</v>
      </c>
      <c r="C2694" t="s">
        <v>1202</v>
      </c>
      <c r="D2694">
        <v>0</v>
      </c>
      <c r="E2694" t="s">
        <v>569</v>
      </c>
    </row>
    <row r="2695" spans="1:5" x14ac:dyDescent="0.25">
      <c r="A2695">
        <v>37506</v>
      </c>
      <c r="B2695" t="str">
        <f t="shared" si="43"/>
        <v>37506</v>
      </c>
      <c r="C2695" t="s">
        <v>1206</v>
      </c>
      <c r="D2695">
        <v>323.63</v>
      </c>
      <c r="E2695" t="s">
        <v>569</v>
      </c>
    </row>
    <row r="2696" spans="1:5" x14ac:dyDescent="0.25">
      <c r="A2696">
        <v>37506</v>
      </c>
      <c r="B2696" t="str">
        <f t="shared" si="43"/>
        <v>37506</v>
      </c>
      <c r="C2696" t="s">
        <v>1199</v>
      </c>
      <c r="D2696">
        <v>0</v>
      </c>
      <c r="E2696" t="s">
        <v>569</v>
      </c>
    </row>
    <row r="2697" spans="1:5" x14ac:dyDescent="0.25">
      <c r="A2697">
        <v>37506</v>
      </c>
      <c r="B2697" t="str">
        <f t="shared" si="43"/>
        <v>37506</v>
      </c>
      <c r="C2697" t="s">
        <v>1203</v>
      </c>
      <c r="D2697">
        <v>317.70999999999998</v>
      </c>
      <c r="E2697" t="s">
        <v>569</v>
      </c>
    </row>
    <row r="2698" spans="1:5" x14ac:dyDescent="0.25">
      <c r="A2698">
        <v>37506</v>
      </c>
      <c r="B2698" t="str">
        <f t="shared" si="43"/>
        <v>37506</v>
      </c>
      <c r="C2698" t="s">
        <v>1200</v>
      </c>
      <c r="D2698">
        <v>0</v>
      </c>
      <c r="E2698" t="s">
        <v>569</v>
      </c>
    </row>
    <row r="2699" spans="1:5" x14ac:dyDescent="0.25">
      <c r="A2699">
        <v>37506</v>
      </c>
      <c r="B2699" t="str">
        <f t="shared" si="43"/>
        <v>37506</v>
      </c>
      <c r="C2699" t="s">
        <v>1204</v>
      </c>
      <c r="D2699">
        <v>497.3</v>
      </c>
      <c r="E2699" t="s">
        <v>569</v>
      </c>
    </row>
    <row r="2700" spans="1:5" x14ac:dyDescent="0.25">
      <c r="A2700">
        <v>37506</v>
      </c>
      <c r="B2700" t="str">
        <f t="shared" si="43"/>
        <v>37506</v>
      </c>
      <c r="C2700" t="s">
        <v>1207</v>
      </c>
      <c r="D2700">
        <v>14.13</v>
      </c>
      <c r="E2700" t="s">
        <v>569</v>
      </c>
    </row>
    <row r="2701" spans="1:5" x14ac:dyDescent="0.25">
      <c r="A2701">
        <v>37506</v>
      </c>
      <c r="B2701" t="str">
        <f t="shared" si="43"/>
        <v>37506</v>
      </c>
      <c r="C2701" t="s">
        <v>1208</v>
      </c>
      <c r="D2701">
        <v>130.32</v>
      </c>
      <c r="E2701" t="s">
        <v>569</v>
      </c>
    </row>
    <row r="2702" spans="1:5" x14ac:dyDescent="0.25">
      <c r="A2702">
        <v>37506</v>
      </c>
      <c r="B2702" t="str">
        <f t="shared" si="43"/>
        <v>37506</v>
      </c>
      <c r="C2702" t="s">
        <v>1210</v>
      </c>
      <c r="D2702">
        <v>0</v>
      </c>
      <c r="E2702" t="s">
        <v>569</v>
      </c>
    </row>
    <row r="2703" spans="1:5" x14ac:dyDescent="0.25">
      <c r="A2703">
        <v>37506</v>
      </c>
      <c r="B2703" t="str">
        <f t="shared" si="43"/>
        <v>37506</v>
      </c>
      <c r="C2703" t="s">
        <v>1212</v>
      </c>
      <c r="D2703">
        <v>0</v>
      </c>
      <c r="E2703" t="s">
        <v>569</v>
      </c>
    </row>
    <row r="2704" spans="1:5" x14ac:dyDescent="0.25">
      <c r="A2704">
        <v>37506</v>
      </c>
      <c r="B2704" t="str">
        <f t="shared" si="43"/>
        <v>37506</v>
      </c>
      <c r="C2704" t="s">
        <v>1216</v>
      </c>
      <c r="D2704">
        <v>59.2</v>
      </c>
      <c r="E2704" t="s">
        <v>569</v>
      </c>
    </row>
    <row r="2705" spans="1:5" x14ac:dyDescent="0.25">
      <c r="A2705">
        <v>37506</v>
      </c>
      <c r="B2705" t="str">
        <f t="shared" si="43"/>
        <v>37506</v>
      </c>
      <c r="C2705" t="s">
        <v>1198</v>
      </c>
      <c r="D2705">
        <v>149.85</v>
      </c>
      <c r="E2705" t="s">
        <v>569</v>
      </c>
    </row>
    <row r="2706" spans="1:5" x14ac:dyDescent="0.25">
      <c r="A2706">
        <v>14064</v>
      </c>
      <c r="B2706" t="str">
        <f t="shared" si="43"/>
        <v>14064</v>
      </c>
      <c r="C2706" t="s">
        <v>1193</v>
      </c>
      <c r="D2706">
        <v>0</v>
      </c>
      <c r="E2706" t="s">
        <v>373</v>
      </c>
    </row>
    <row r="2707" spans="1:5" x14ac:dyDescent="0.25">
      <c r="A2707">
        <v>14064</v>
      </c>
      <c r="B2707" t="str">
        <f t="shared" si="43"/>
        <v>14064</v>
      </c>
      <c r="C2707" t="s">
        <v>1194</v>
      </c>
      <c r="D2707">
        <v>133.05000000000001</v>
      </c>
      <c r="E2707" t="s">
        <v>373</v>
      </c>
    </row>
    <row r="2708" spans="1:5" x14ac:dyDescent="0.25">
      <c r="A2708">
        <v>14064</v>
      </c>
      <c r="B2708" t="str">
        <f t="shared" si="43"/>
        <v>14064</v>
      </c>
      <c r="C2708" t="s">
        <v>1195</v>
      </c>
      <c r="D2708">
        <v>0</v>
      </c>
      <c r="E2708" t="s">
        <v>373</v>
      </c>
    </row>
    <row r="2709" spans="1:5" x14ac:dyDescent="0.25">
      <c r="A2709">
        <v>14064</v>
      </c>
      <c r="B2709" t="str">
        <f t="shared" si="43"/>
        <v>14064</v>
      </c>
      <c r="C2709" t="s">
        <v>1197</v>
      </c>
      <c r="D2709">
        <v>42</v>
      </c>
      <c r="E2709" t="s">
        <v>373</v>
      </c>
    </row>
    <row r="2710" spans="1:5" x14ac:dyDescent="0.25">
      <c r="A2710">
        <v>14064</v>
      </c>
      <c r="B2710" t="str">
        <f t="shared" si="43"/>
        <v>14064</v>
      </c>
      <c r="C2710" t="s">
        <v>1202</v>
      </c>
      <c r="D2710">
        <v>0</v>
      </c>
      <c r="E2710" t="s">
        <v>373</v>
      </c>
    </row>
    <row r="2711" spans="1:5" x14ac:dyDescent="0.25">
      <c r="A2711">
        <v>14064</v>
      </c>
      <c r="B2711" t="str">
        <f t="shared" si="43"/>
        <v>14064</v>
      </c>
      <c r="C2711" t="s">
        <v>1206</v>
      </c>
      <c r="D2711">
        <v>92.2</v>
      </c>
      <c r="E2711" t="s">
        <v>373</v>
      </c>
    </row>
    <row r="2712" spans="1:5" x14ac:dyDescent="0.25">
      <c r="A2712">
        <v>14064</v>
      </c>
      <c r="B2712" t="str">
        <f t="shared" si="43"/>
        <v>14064</v>
      </c>
      <c r="C2712" t="s">
        <v>1199</v>
      </c>
      <c r="D2712">
        <v>0</v>
      </c>
      <c r="E2712" t="s">
        <v>373</v>
      </c>
    </row>
    <row r="2713" spans="1:5" x14ac:dyDescent="0.25">
      <c r="A2713">
        <v>14064</v>
      </c>
      <c r="B2713" t="str">
        <f t="shared" si="43"/>
        <v>14064</v>
      </c>
      <c r="C2713" t="s">
        <v>1203</v>
      </c>
      <c r="D2713">
        <v>93.57</v>
      </c>
      <c r="E2713" t="s">
        <v>373</v>
      </c>
    </row>
    <row r="2714" spans="1:5" x14ac:dyDescent="0.25">
      <c r="A2714">
        <v>14064</v>
      </c>
      <c r="B2714" t="str">
        <f t="shared" si="43"/>
        <v>14064</v>
      </c>
      <c r="C2714" t="s">
        <v>1200</v>
      </c>
      <c r="D2714">
        <v>0</v>
      </c>
      <c r="E2714" t="s">
        <v>373</v>
      </c>
    </row>
    <row r="2715" spans="1:5" x14ac:dyDescent="0.25">
      <c r="A2715">
        <v>14064</v>
      </c>
      <c r="B2715" t="str">
        <f t="shared" si="43"/>
        <v>14064</v>
      </c>
      <c r="C2715" t="s">
        <v>1204</v>
      </c>
      <c r="D2715">
        <v>164.83</v>
      </c>
      <c r="E2715" t="s">
        <v>373</v>
      </c>
    </row>
    <row r="2716" spans="1:5" x14ac:dyDescent="0.25">
      <c r="A2716">
        <v>14064</v>
      </c>
      <c r="B2716" t="str">
        <f t="shared" si="43"/>
        <v>14064</v>
      </c>
      <c r="C2716" t="s">
        <v>1207</v>
      </c>
      <c r="D2716">
        <v>9.5399999999999991</v>
      </c>
      <c r="E2716" t="s">
        <v>373</v>
      </c>
    </row>
    <row r="2717" spans="1:5" x14ac:dyDescent="0.25">
      <c r="A2717">
        <v>14064</v>
      </c>
      <c r="B2717" t="str">
        <f t="shared" si="43"/>
        <v>14064</v>
      </c>
      <c r="C2717" t="s">
        <v>1208</v>
      </c>
      <c r="D2717">
        <v>25.23</v>
      </c>
      <c r="E2717" t="s">
        <v>373</v>
      </c>
    </row>
    <row r="2718" spans="1:5" x14ac:dyDescent="0.25">
      <c r="A2718">
        <v>14064</v>
      </c>
      <c r="B2718" t="str">
        <f t="shared" si="43"/>
        <v>14064</v>
      </c>
      <c r="C2718" t="s">
        <v>1210</v>
      </c>
      <c r="D2718">
        <v>0</v>
      </c>
      <c r="E2718" t="s">
        <v>373</v>
      </c>
    </row>
    <row r="2719" spans="1:5" x14ac:dyDescent="0.25">
      <c r="A2719">
        <v>14064</v>
      </c>
      <c r="B2719" t="str">
        <f t="shared" si="43"/>
        <v>14064</v>
      </c>
      <c r="C2719" t="s">
        <v>1212</v>
      </c>
      <c r="D2719">
        <v>0</v>
      </c>
      <c r="E2719" t="s">
        <v>373</v>
      </c>
    </row>
    <row r="2720" spans="1:5" x14ac:dyDescent="0.25">
      <c r="A2720">
        <v>14064</v>
      </c>
      <c r="B2720" t="str">
        <f t="shared" si="43"/>
        <v>14064</v>
      </c>
      <c r="C2720" t="s">
        <v>1216</v>
      </c>
      <c r="D2720">
        <v>19</v>
      </c>
      <c r="E2720" t="s">
        <v>373</v>
      </c>
    </row>
    <row r="2721" spans="1:5" x14ac:dyDescent="0.25">
      <c r="A2721">
        <v>14064</v>
      </c>
      <c r="B2721" t="str">
        <f t="shared" si="43"/>
        <v>14064</v>
      </c>
      <c r="C2721" t="s">
        <v>1198</v>
      </c>
      <c r="D2721">
        <v>44.2</v>
      </c>
      <c r="E2721" t="s">
        <v>373</v>
      </c>
    </row>
    <row r="2722" spans="1:5" x14ac:dyDescent="0.25">
      <c r="A2722">
        <v>11051</v>
      </c>
      <c r="B2722" t="str">
        <f t="shared" si="43"/>
        <v>11051</v>
      </c>
      <c r="C2722" t="s">
        <v>1193</v>
      </c>
      <c r="D2722">
        <v>0</v>
      </c>
      <c r="E2722" t="s">
        <v>357</v>
      </c>
    </row>
    <row r="2723" spans="1:5" x14ac:dyDescent="0.25">
      <c r="A2723">
        <v>11051</v>
      </c>
      <c r="B2723" t="str">
        <f t="shared" si="43"/>
        <v>11051</v>
      </c>
      <c r="C2723" t="s">
        <v>1194</v>
      </c>
      <c r="D2723">
        <v>413.87</v>
      </c>
      <c r="E2723" t="s">
        <v>357</v>
      </c>
    </row>
    <row r="2724" spans="1:5" x14ac:dyDescent="0.25">
      <c r="A2724">
        <v>11051</v>
      </c>
      <c r="B2724" t="str">
        <f t="shared" si="43"/>
        <v>11051</v>
      </c>
      <c r="C2724" t="s">
        <v>1195</v>
      </c>
      <c r="D2724">
        <v>0</v>
      </c>
      <c r="E2724" t="s">
        <v>357</v>
      </c>
    </row>
    <row r="2725" spans="1:5" x14ac:dyDescent="0.25">
      <c r="A2725">
        <v>11051</v>
      </c>
      <c r="B2725" t="str">
        <f t="shared" si="43"/>
        <v>11051</v>
      </c>
      <c r="C2725" t="s">
        <v>1197</v>
      </c>
      <c r="D2725">
        <v>132.19999999999999</v>
      </c>
      <c r="E2725" t="s">
        <v>357</v>
      </c>
    </row>
    <row r="2726" spans="1:5" x14ac:dyDescent="0.25">
      <c r="A2726">
        <v>11051</v>
      </c>
      <c r="B2726" t="str">
        <f t="shared" si="43"/>
        <v>11051</v>
      </c>
      <c r="C2726" t="s">
        <v>1202</v>
      </c>
      <c r="D2726">
        <v>0</v>
      </c>
      <c r="E2726" t="s">
        <v>357</v>
      </c>
    </row>
    <row r="2727" spans="1:5" x14ac:dyDescent="0.25">
      <c r="A2727">
        <v>11051</v>
      </c>
      <c r="B2727" t="str">
        <f t="shared" si="43"/>
        <v>11051</v>
      </c>
      <c r="C2727" t="s">
        <v>1206</v>
      </c>
      <c r="D2727">
        <v>314.45999999999998</v>
      </c>
      <c r="E2727" t="s">
        <v>357</v>
      </c>
    </row>
    <row r="2728" spans="1:5" x14ac:dyDescent="0.25">
      <c r="A2728">
        <v>11051</v>
      </c>
      <c r="B2728" t="str">
        <f t="shared" si="43"/>
        <v>11051</v>
      </c>
      <c r="C2728" t="s">
        <v>1199</v>
      </c>
      <c r="D2728">
        <v>0</v>
      </c>
      <c r="E2728" t="s">
        <v>357</v>
      </c>
    </row>
    <row r="2729" spans="1:5" x14ac:dyDescent="0.25">
      <c r="A2729">
        <v>11051</v>
      </c>
      <c r="B2729" t="str">
        <f t="shared" si="43"/>
        <v>11051</v>
      </c>
      <c r="C2729" t="s">
        <v>1203</v>
      </c>
      <c r="D2729">
        <v>323.22000000000003</v>
      </c>
      <c r="E2729" t="s">
        <v>357</v>
      </c>
    </row>
    <row r="2730" spans="1:5" x14ac:dyDescent="0.25">
      <c r="A2730">
        <v>11051</v>
      </c>
      <c r="B2730" t="str">
        <f t="shared" si="43"/>
        <v>11051</v>
      </c>
      <c r="C2730" t="s">
        <v>1200</v>
      </c>
      <c r="D2730">
        <v>0</v>
      </c>
      <c r="E2730" t="s">
        <v>357</v>
      </c>
    </row>
    <row r="2731" spans="1:5" x14ac:dyDescent="0.25">
      <c r="A2731">
        <v>11051</v>
      </c>
      <c r="B2731" t="str">
        <f t="shared" si="43"/>
        <v>11051</v>
      </c>
      <c r="C2731" t="s">
        <v>1204</v>
      </c>
      <c r="D2731">
        <v>586.1</v>
      </c>
      <c r="E2731" t="s">
        <v>357</v>
      </c>
    </row>
    <row r="2732" spans="1:5" x14ac:dyDescent="0.25">
      <c r="A2732">
        <v>11051</v>
      </c>
      <c r="B2732" t="str">
        <f t="shared" si="43"/>
        <v>11051</v>
      </c>
      <c r="C2732" t="s">
        <v>1207</v>
      </c>
      <c r="D2732">
        <v>22.82</v>
      </c>
      <c r="E2732" t="s">
        <v>357</v>
      </c>
    </row>
    <row r="2733" spans="1:5" x14ac:dyDescent="0.25">
      <c r="A2733">
        <v>11051</v>
      </c>
      <c r="B2733" t="str">
        <f t="shared" si="43"/>
        <v>11051</v>
      </c>
      <c r="C2733" t="s">
        <v>1208</v>
      </c>
      <c r="D2733">
        <v>123.18</v>
      </c>
      <c r="E2733" t="s">
        <v>357</v>
      </c>
    </row>
    <row r="2734" spans="1:5" x14ac:dyDescent="0.25">
      <c r="A2734">
        <v>11051</v>
      </c>
      <c r="B2734" t="str">
        <f t="shared" si="43"/>
        <v>11051</v>
      </c>
      <c r="C2734" t="s">
        <v>1210</v>
      </c>
      <c r="D2734">
        <v>0</v>
      </c>
      <c r="E2734" t="s">
        <v>357</v>
      </c>
    </row>
    <row r="2735" spans="1:5" x14ac:dyDescent="0.25">
      <c r="A2735">
        <v>11051</v>
      </c>
      <c r="B2735" t="str">
        <f t="shared" si="43"/>
        <v>11051</v>
      </c>
      <c r="C2735" t="s">
        <v>1212</v>
      </c>
      <c r="D2735">
        <v>0</v>
      </c>
      <c r="E2735" t="s">
        <v>357</v>
      </c>
    </row>
    <row r="2736" spans="1:5" x14ac:dyDescent="0.25">
      <c r="A2736">
        <v>11051</v>
      </c>
      <c r="B2736" t="str">
        <f t="shared" si="43"/>
        <v>11051</v>
      </c>
      <c r="C2736" t="s">
        <v>1216</v>
      </c>
      <c r="D2736">
        <v>14.8</v>
      </c>
      <c r="E2736" t="s">
        <v>357</v>
      </c>
    </row>
    <row r="2737" spans="1:5" x14ac:dyDescent="0.25">
      <c r="A2737">
        <v>11051</v>
      </c>
      <c r="B2737" t="str">
        <f t="shared" si="43"/>
        <v>11051</v>
      </c>
      <c r="C2737" t="s">
        <v>1198</v>
      </c>
      <c r="D2737">
        <v>164.02</v>
      </c>
      <c r="E2737" t="s">
        <v>357</v>
      </c>
    </row>
    <row r="2738" spans="1:5" x14ac:dyDescent="0.25">
      <c r="A2738">
        <v>18400</v>
      </c>
      <c r="B2738" t="str">
        <f t="shared" si="43"/>
        <v>18400</v>
      </c>
      <c r="C2738" t="s">
        <v>1193</v>
      </c>
      <c r="D2738">
        <v>0</v>
      </c>
      <c r="E2738" t="s">
        <v>414</v>
      </c>
    </row>
    <row r="2739" spans="1:5" x14ac:dyDescent="0.25">
      <c r="A2739">
        <v>18400</v>
      </c>
      <c r="B2739" t="str">
        <f t="shared" si="43"/>
        <v>18400</v>
      </c>
      <c r="C2739" t="s">
        <v>1194</v>
      </c>
      <c r="D2739">
        <v>1141.68</v>
      </c>
      <c r="E2739" t="s">
        <v>414</v>
      </c>
    </row>
    <row r="2740" spans="1:5" x14ac:dyDescent="0.25">
      <c r="A2740">
        <v>18400</v>
      </c>
      <c r="B2740" t="str">
        <f t="shared" si="43"/>
        <v>18400</v>
      </c>
      <c r="C2740" t="s">
        <v>1195</v>
      </c>
      <c r="D2740">
        <v>0</v>
      </c>
      <c r="E2740" t="s">
        <v>414</v>
      </c>
    </row>
    <row r="2741" spans="1:5" x14ac:dyDescent="0.25">
      <c r="A2741">
        <v>18400</v>
      </c>
      <c r="B2741" t="str">
        <f t="shared" si="43"/>
        <v>18400</v>
      </c>
      <c r="C2741" t="s">
        <v>1197</v>
      </c>
      <c r="D2741">
        <v>380.23</v>
      </c>
      <c r="E2741" t="s">
        <v>414</v>
      </c>
    </row>
    <row r="2742" spans="1:5" x14ac:dyDescent="0.25">
      <c r="A2742">
        <v>18400</v>
      </c>
      <c r="B2742" t="str">
        <f t="shared" si="43"/>
        <v>18400</v>
      </c>
      <c r="C2742" t="s">
        <v>1202</v>
      </c>
      <c r="D2742">
        <v>0</v>
      </c>
      <c r="E2742" t="s">
        <v>414</v>
      </c>
    </row>
    <row r="2743" spans="1:5" x14ac:dyDescent="0.25">
      <c r="A2743">
        <v>18400</v>
      </c>
      <c r="B2743" t="str">
        <f t="shared" si="43"/>
        <v>18400</v>
      </c>
      <c r="C2743" t="s">
        <v>1206</v>
      </c>
      <c r="D2743">
        <v>789.76</v>
      </c>
      <c r="E2743" t="s">
        <v>414</v>
      </c>
    </row>
    <row r="2744" spans="1:5" x14ac:dyDescent="0.25">
      <c r="A2744">
        <v>18400</v>
      </c>
      <c r="B2744" t="str">
        <f t="shared" si="43"/>
        <v>18400</v>
      </c>
      <c r="C2744" t="s">
        <v>1199</v>
      </c>
      <c r="D2744">
        <v>0</v>
      </c>
      <c r="E2744" t="s">
        <v>414</v>
      </c>
    </row>
    <row r="2745" spans="1:5" x14ac:dyDescent="0.25">
      <c r="A2745">
        <v>18400</v>
      </c>
      <c r="B2745" t="str">
        <f t="shared" si="43"/>
        <v>18400</v>
      </c>
      <c r="C2745" t="s">
        <v>1203</v>
      </c>
      <c r="D2745">
        <v>808.86</v>
      </c>
      <c r="E2745" t="s">
        <v>414</v>
      </c>
    </row>
    <row r="2746" spans="1:5" x14ac:dyDescent="0.25">
      <c r="A2746">
        <v>18400</v>
      </c>
      <c r="B2746" t="str">
        <f t="shared" si="43"/>
        <v>18400</v>
      </c>
      <c r="C2746" t="s">
        <v>1200</v>
      </c>
      <c r="D2746">
        <v>0</v>
      </c>
      <c r="E2746" t="s">
        <v>414</v>
      </c>
    </row>
    <row r="2747" spans="1:5" x14ac:dyDescent="0.25">
      <c r="A2747">
        <v>18400</v>
      </c>
      <c r="B2747" t="str">
        <f t="shared" si="43"/>
        <v>18400</v>
      </c>
      <c r="C2747" t="s">
        <v>1204</v>
      </c>
      <c r="D2747">
        <v>1524.08</v>
      </c>
      <c r="E2747" t="s">
        <v>414</v>
      </c>
    </row>
    <row r="2748" spans="1:5" x14ac:dyDescent="0.25">
      <c r="A2748">
        <v>18400</v>
      </c>
      <c r="B2748" t="str">
        <f t="shared" si="43"/>
        <v>18400</v>
      </c>
      <c r="C2748" t="s">
        <v>1207</v>
      </c>
      <c r="D2748">
        <v>85.38</v>
      </c>
      <c r="E2748" t="s">
        <v>414</v>
      </c>
    </row>
    <row r="2749" spans="1:5" x14ac:dyDescent="0.25">
      <c r="A2749">
        <v>18400</v>
      </c>
      <c r="B2749" t="str">
        <f t="shared" si="43"/>
        <v>18400</v>
      </c>
      <c r="C2749" t="s">
        <v>1208</v>
      </c>
      <c r="D2749">
        <v>315.60000000000002</v>
      </c>
      <c r="E2749" t="s">
        <v>414</v>
      </c>
    </row>
    <row r="2750" spans="1:5" x14ac:dyDescent="0.25">
      <c r="A2750">
        <v>18400</v>
      </c>
      <c r="B2750" t="str">
        <f t="shared" si="43"/>
        <v>18400</v>
      </c>
      <c r="C2750" t="s">
        <v>1210</v>
      </c>
      <c r="D2750">
        <v>0</v>
      </c>
      <c r="E2750" t="s">
        <v>414</v>
      </c>
    </row>
    <row r="2751" spans="1:5" x14ac:dyDescent="0.25">
      <c r="A2751">
        <v>18400</v>
      </c>
      <c r="B2751" t="str">
        <f t="shared" si="43"/>
        <v>18400</v>
      </c>
      <c r="C2751" t="s">
        <v>1212</v>
      </c>
      <c r="D2751">
        <v>0</v>
      </c>
      <c r="E2751" t="s">
        <v>414</v>
      </c>
    </row>
    <row r="2752" spans="1:5" x14ac:dyDescent="0.25">
      <c r="A2752">
        <v>18400</v>
      </c>
      <c r="B2752" t="str">
        <f t="shared" si="43"/>
        <v>18400</v>
      </c>
      <c r="C2752" t="s">
        <v>1216</v>
      </c>
      <c r="D2752">
        <v>0</v>
      </c>
      <c r="E2752" t="s">
        <v>414</v>
      </c>
    </row>
    <row r="2753" spans="1:5" x14ac:dyDescent="0.25">
      <c r="A2753">
        <v>18400</v>
      </c>
      <c r="B2753" t="str">
        <f t="shared" si="43"/>
        <v>18400</v>
      </c>
      <c r="C2753" t="s">
        <v>1198</v>
      </c>
      <c r="D2753">
        <v>337.55</v>
      </c>
      <c r="E2753" t="s">
        <v>414</v>
      </c>
    </row>
    <row r="2754" spans="1:5" x14ac:dyDescent="0.25">
      <c r="A2754">
        <v>23403</v>
      </c>
      <c r="B2754" t="str">
        <f t="shared" si="43"/>
        <v>23403</v>
      </c>
      <c r="C2754" t="s">
        <v>1193</v>
      </c>
      <c r="D2754">
        <v>0</v>
      </c>
      <c r="E2754" t="s">
        <v>460</v>
      </c>
    </row>
    <row r="2755" spans="1:5" x14ac:dyDescent="0.25">
      <c r="A2755">
        <v>23403</v>
      </c>
      <c r="B2755" t="str">
        <f t="shared" ref="B2755:B2818" si="44">TEXT(A2755,"00000")</f>
        <v>23403</v>
      </c>
      <c r="C2755" t="s">
        <v>1194</v>
      </c>
      <c r="D2755">
        <v>495</v>
      </c>
      <c r="E2755" t="s">
        <v>460</v>
      </c>
    </row>
    <row r="2756" spans="1:5" x14ac:dyDescent="0.25">
      <c r="A2756">
        <v>23403</v>
      </c>
      <c r="B2756" t="str">
        <f t="shared" si="44"/>
        <v>23403</v>
      </c>
      <c r="C2756" t="s">
        <v>1195</v>
      </c>
      <c r="D2756">
        <v>0</v>
      </c>
      <c r="E2756" t="s">
        <v>460</v>
      </c>
    </row>
    <row r="2757" spans="1:5" x14ac:dyDescent="0.25">
      <c r="A2757">
        <v>23403</v>
      </c>
      <c r="B2757" t="str">
        <f t="shared" si="44"/>
        <v>23403</v>
      </c>
      <c r="C2757" t="s">
        <v>1197</v>
      </c>
      <c r="D2757">
        <v>159</v>
      </c>
      <c r="E2757" t="s">
        <v>460</v>
      </c>
    </row>
    <row r="2758" spans="1:5" x14ac:dyDescent="0.25">
      <c r="A2758">
        <v>23403</v>
      </c>
      <c r="B2758" t="str">
        <f t="shared" si="44"/>
        <v>23403</v>
      </c>
      <c r="C2758" t="s">
        <v>1202</v>
      </c>
      <c r="D2758">
        <v>0</v>
      </c>
      <c r="E2758" t="s">
        <v>460</v>
      </c>
    </row>
    <row r="2759" spans="1:5" x14ac:dyDescent="0.25">
      <c r="A2759">
        <v>23403</v>
      </c>
      <c r="B2759" t="str">
        <f t="shared" si="44"/>
        <v>23403</v>
      </c>
      <c r="C2759" t="s">
        <v>1206</v>
      </c>
      <c r="D2759">
        <v>316.77</v>
      </c>
      <c r="E2759" t="s">
        <v>460</v>
      </c>
    </row>
    <row r="2760" spans="1:5" x14ac:dyDescent="0.25">
      <c r="A2760">
        <v>23403</v>
      </c>
      <c r="B2760" t="str">
        <f t="shared" si="44"/>
        <v>23403</v>
      </c>
      <c r="C2760" t="s">
        <v>1199</v>
      </c>
      <c r="D2760">
        <v>0</v>
      </c>
      <c r="E2760" t="s">
        <v>460</v>
      </c>
    </row>
    <row r="2761" spans="1:5" x14ac:dyDescent="0.25">
      <c r="A2761">
        <v>23403</v>
      </c>
      <c r="B2761" t="str">
        <f t="shared" si="44"/>
        <v>23403</v>
      </c>
      <c r="C2761" t="s">
        <v>1203</v>
      </c>
      <c r="D2761">
        <v>323</v>
      </c>
      <c r="E2761" t="s">
        <v>460</v>
      </c>
    </row>
    <row r="2762" spans="1:5" x14ac:dyDescent="0.25">
      <c r="A2762">
        <v>23403</v>
      </c>
      <c r="B2762" t="str">
        <f t="shared" si="44"/>
        <v>23403</v>
      </c>
      <c r="C2762" t="s">
        <v>1200</v>
      </c>
      <c r="D2762">
        <v>0</v>
      </c>
      <c r="E2762" t="s">
        <v>460</v>
      </c>
    </row>
    <row r="2763" spans="1:5" x14ac:dyDescent="0.25">
      <c r="A2763">
        <v>23403</v>
      </c>
      <c r="B2763" t="str">
        <f t="shared" si="44"/>
        <v>23403</v>
      </c>
      <c r="C2763" t="s">
        <v>1204</v>
      </c>
      <c r="D2763">
        <v>657.91</v>
      </c>
      <c r="E2763" t="s">
        <v>460</v>
      </c>
    </row>
    <row r="2764" spans="1:5" x14ac:dyDescent="0.25">
      <c r="A2764">
        <v>23403</v>
      </c>
      <c r="B2764" t="str">
        <f t="shared" si="44"/>
        <v>23403</v>
      </c>
      <c r="C2764" t="s">
        <v>1207</v>
      </c>
      <c r="D2764">
        <v>67.25</v>
      </c>
      <c r="E2764" t="s">
        <v>460</v>
      </c>
    </row>
    <row r="2765" spans="1:5" x14ac:dyDescent="0.25">
      <c r="A2765">
        <v>23403</v>
      </c>
      <c r="B2765" t="str">
        <f t="shared" si="44"/>
        <v>23403</v>
      </c>
      <c r="C2765" t="s">
        <v>1208</v>
      </c>
      <c r="D2765">
        <v>209.82</v>
      </c>
      <c r="E2765" t="s">
        <v>460</v>
      </c>
    </row>
    <row r="2766" spans="1:5" x14ac:dyDescent="0.25">
      <c r="A2766">
        <v>23403</v>
      </c>
      <c r="B2766" t="str">
        <f t="shared" si="44"/>
        <v>23403</v>
      </c>
      <c r="C2766" t="s">
        <v>1210</v>
      </c>
      <c r="D2766">
        <v>0</v>
      </c>
      <c r="E2766" t="s">
        <v>460</v>
      </c>
    </row>
    <row r="2767" spans="1:5" x14ac:dyDescent="0.25">
      <c r="A2767">
        <v>23403</v>
      </c>
      <c r="B2767" t="str">
        <f t="shared" si="44"/>
        <v>23403</v>
      </c>
      <c r="C2767" t="s">
        <v>1212</v>
      </c>
      <c r="D2767">
        <v>0</v>
      </c>
      <c r="E2767" t="s">
        <v>460</v>
      </c>
    </row>
    <row r="2768" spans="1:5" x14ac:dyDescent="0.25">
      <c r="A2768">
        <v>23403</v>
      </c>
      <c r="B2768" t="str">
        <f t="shared" si="44"/>
        <v>23403</v>
      </c>
      <c r="C2768" t="s">
        <v>1216</v>
      </c>
      <c r="D2768">
        <v>34</v>
      </c>
      <c r="E2768" t="s">
        <v>460</v>
      </c>
    </row>
    <row r="2769" spans="1:5" x14ac:dyDescent="0.25">
      <c r="A2769">
        <v>23403</v>
      </c>
      <c r="B2769" t="str">
        <f t="shared" si="44"/>
        <v>23403</v>
      </c>
      <c r="C2769" t="s">
        <v>1198</v>
      </c>
      <c r="D2769">
        <v>131.96</v>
      </c>
      <c r="E2769" t="s">
        <v>460</v>
      </c>
    </row>
    <row r="2770" spans="1:5" x14ac:dyDescent="0.25">
      <c r="A2770">
        <v>25200</v>
      </c>
      <c r="B2770" t="str">
        <f t="shared" si="44"/>
        <v>25200</v>
      </c>
      <c r="C2770" t="s">
        <v>1193</v>
      </c>
      <c r="D2770">
        <v>0</v>
      </c>
      <c r="E2770" t="s">
        <v>475</v>
      </c>
    </row>
    <row r="2771" spans="1:5" x14ac:dyDescent="0.25">
      <c r="A2771">
        <v>25200</v>
      </c>
      <c r="B2771" t="str">
        <f t="shared" si="44"/>
        <v>25200</v>
      </c>
      <c r="C2771" t="s">
        <v>1194</v>
      </c>
      <c r="D2771">
        <v>10.11</v>
      </c>
      <c r="E2771" t="s">
        <v>475</v>
      </c>
    </row>
    <row r="2772" spans="1:5" x14ac:dyDescent="0.25">
      <c r="A2772">
        <v>25200</v>
      </c>
      <c r="B2772" t="str">
        <f t="shared" si="44"/>
        <v>25200</v>
      </c>
      <c r="C2772" t="s">
        <v>1195</v>
      </c>
      <c r="D2772">
        <v>0</v>
      </c>
      <c r="E2772" t="s">
        <v>475</v>
      </c>
    </row>
    <row r="2773" spans="1:5" x14ac:dyDescent="0.25">
      <c r="A2773">
        <v>25200</v>
      </c>
      <c r="B2773" t="str">
        <f t="shared" si="44"/>
        <v>25200</v>
      </c>
      <c r="C2773" t="s">
        <v>1197</v>
      </c>
      <c r="D2773">
        <v>6</v>
      </c>
      <c r="E2773" t="s">
        <v>475</v>
      </c>
    </row>
    <row r="2774" spans="1:5" x14ac:dyDescent="0.25">
      <c r="A2774">
        <v>25200</v>
      </c>
      <c r="B2774" t="str">
        <f t="shared" si="44"/>
        <v>25200</v>
      </c>
      <c r="C2774" t="s">
        <v>1202</v>
      </c>
      <c r="D2774">
        <v>0</v>
      </c>
      <c r="E2774" t="s">
        <v>475</v>
      </c>
    </row>
    <row r="2775" spans="1:5" x14ac:dyDescent="0.25">
      <c r="A2775">
        <v>25200</v>
      </c>
      <c r="B2775" t="str">
        <f t="shared" si="44"/>
        <v>25200</v>
      </c>
      <c r="C2775" t="s">
        <v>1206</v>
      </c>
      <c r="D2775">
        <v>15.6</v>
      </c>
      <c r="E2775" t="s">
        <v>475</v>
      </c>
    </row>
    <row r="2776" spans="1:5" x14ac:dyDescent="0.25">
      <c r="A2776">
        <v>25200</v>
      </c>
      <c r="B2776" t="str">
        <f t="shared" si="44"/>
        <v>25200</v>
      </c>
      <c r="C2776" t="s">
        <v>1199</v>
      </c>
      <c r="D2776">
        <v>0</v>
      </c>
      <c r="E2776" t="s">
        <v>475</v>
      </c>
    </row>
    <row r="2777" spans="1:5" x14ac:dyDescent="0.25">
      <c r="A2777">
        <v>25200</v>
      </c>
      <c r="B2777" t="str">
        <f t="shared" si="44"/>
        <v>25200</v>
      </c>
      <c r="C2777" t="s">
        <v>1203</v>
      </c>
      <c r="D2777">
        <v>4.99</v>
      </c>
      <c r="E2777" t="s">
        <v>475</v>
      </c>
    </row>
    <row r="2778" spans="1:5" x14ac:dyDescent="0.25">
      <c r="A2778">
        <v>25200</v>
      </c>
      <c r="B2778" t="str">
        <f t="shared" si="44"/>
        <v>25200</v>
      </c>
      <c r="C2778" t="s">
        <v>1200</v>
      </c>
      <c r="D2778">
        <v>0</v>
      </c>
      <c r="E2778" t="s">
        <v>475</v>
      </c>
    </row>
    <row r="2779" spans="1:5" x14ac:dyDescent="0.25">
      <c r="A2779">
        <v>25200</v>
      </c>
      <c r="B2779" t="str">
        <f t="shared" si="44"/>
        <v>25200</v>
      </c>
      <c r="C2779" t="s">
        <v>1204</v>
      </c>
      <c r="D2779">
        <v>9.9499999999999993</v>
      </c>
      <c r="E2779" t="s">
        <v>475</v>
      </c>
    </row>
    <row r="2780" spans="1:5" x14ac:dyDescent="0.25">
      <c r="A2780">
        <v>25200</v>
      </c>
      <c r="B2780" t="str">
        <f t="shared" si="44"/>
        <v>25200</v>
      </c>
      <c r="C2780" t="s">
        <v>1207</v>
      </c>
      <c r="D2780">
        <v>0</v>
      </c>
      <c r="E2780" t="s">
        <v>475</v>
      </c>
    </row>
    <row r="2781" spans="1:5" x14ac:dyDescent="0.25">
      <c r="A2781">
        <v>25200</v>
      </c>
      <c r="B2781" t="str">
        <f t="shared" si="44"/>
        <v>25200</v>
      </c>
      <c r="C2781" t="s">
        <v>1208</v>
      </c>
      <c r="D2781">
        <v>0</v>
      </c>
      <c r="E2781" t="s">
        <v>475</v>
      </c>
    </row>
    <row r="2782" spans="1:5" x14ac:dyDescent="0.25">
      <c r="A2782">
        <v>25200</v>
      </c>
      <c r="B2782" t="str">
        <f t="shared" si="44"/>
        <v>25200</v>
      </c>
      <c r="C2782" t="s">
        <v>1210</v>
      </c>
      <c r="D2782">
        <v>0</v>
      </c>
      <c r="E2782" t="s">
        <v>475</v>
      </c>
    </row>
    <row r="2783" spans="1:5" x14ac:dyDescent="0.25">
      <c r="A2783">
        <v>25200</v>
      </c>
      <c r="B2783" t="str">
        <f t="shared" si="44"/>
        <v>25200</v>
      </c>
      <c r="C2783" t="s">
        <v>1212</v>
      </c>
      <c r="D2783">
        <v>0</v>
      </c>
      <c r="E2783" t="s">
        <v>475</v>
      </c>
    </row>
    <row r="2784" spans="1:5" x14ac:dyDescent="0.25">
      <c r="A2784">
        <v>25200</v>
      </c>
      <c r="B2784" t="str">
        <f t="shared" si="44"/>
        <v>25200</v>
      </c>
      <c r="C2784" t="s">
        <v>1216</v>
      </c>
      <c r="D2784">
        <v>1.8</v>
      </c>
      <c r="E2784" t="s">
        <v>475</v>
      </c>
    </row>
    <row r="2785" spans="1:5" x14ac:dyDescent="0.25">
      <c r="A2785">
        <v>25200</v>
      </c>
      <c r="B2785" t="str">
        <f t="shared" si="44"/>
        <v>25200</v>
      </c>
      <c r="C2785" t="s">
        <v>1198</v>
      </c>
      <c r="D2785">
        <v>1</v>
      </c>
      <c r="E2785" t="s">
        <v>475</v>
      </c>
    </row>
    <row r="2786" spans="1:5" x14ac:dyDescent="0.25">
      <c r="A2786">
        <v>34003</v>
      </c>
      <c r="B2786" t="str">
        <f t="shared" si="44"/>
        <v>34003</v>
      </c>
      <c r="C2786" t="s">
        <v>1193</v>
      </c>
      <c r="D2786">
        <v>0</v>
      </c>
      <c r="E2786" t="s">
        <v>549</v>
      </c>
    </row>
    <row r="2787" spans="1:5" x14ac:dyDescent="0.25">
      <c r="A2787">
        <v>34003</v>
      </c>
      <c r="B2787" t="str">
        <f t="shared" si="44"/>
        <v>34003</v>
      </c>
      <c r="C2787" t="s">
        <v>1194</v>
      </c>
      <c r="D2787">
        <v>3329.13</v>
      </c>
      <c r="E2787" t="s">
        <v>549</v>
      </c>
    </row>
    <row r="2788" spans="1:5" x14ac:dyDescent="0.25">
      <c r="A2788">
        <v>34003</v>
      </c>
      <c r="B2788" t="str">
        <f t="shared" si="44"/>
        <v>34003</v>
      </c>
      <c r="C2788" t="s">
        <v>1195</v>
      </c>
      <c r="D2788">
        <v>0</v>
      </c>
      <c r="E2788" t="s">
        <v>549</v>
      </c>
    </row>
    <row r="2789" spans="1:5" x14ac:dyDescent="0.25">
      <c r="A2789">
        <v>34003</v>
      </c>
      <c r="B2789" t="str">
        <f t="shared" si="44"/>
        <v>34003</v>
      </c>
      <c r="C2789" t="s">
        <v>1197</v>
      </c>
      <c r="D2789">
        <v>1102.19</v>
      </c>
      <c r="E2789" t="s">
        <v>549</v>
      </c>
    </row>
    <row r="2790" spans="1:5" x14ac:dyDescent="0.25">
      <c r="A2790">
        <v>34003</v>
      </c>
      <c r="B2790" t="str">
        <f t="shared" si="44"/>
        <v>34003</v>
      </c>
      <c r="C2790" t="s">
        <v>1202</v>
      </c>
      <c r="D2790">
        <v>0</v>
      </c>
      <c r="E2790" t="s">
        <v>549</v>
      </c>
    </row>
    <row r="2791" spans="1:5" x14ac:dyDescent="0.25">
      <c r="A2791">
        <v>34003</v>
      </c>
      <c r="B2791" t="str">
        <f t="shared" si="44"/>
        <v>34003</v>
      </c>
      <c r="C2791" t="s">
        <v>1206</v>
      </c>
      <c r="D2791">
        <v>2244.04</v>
      </c>
      <c r="E2791" t="s">
        <v>549</v>
      </c>
    </row>
    <row r="2792" spans="1:5" x14ac:dyDescent="0.25">
      <c r="A2792">
        <v>34003</v>
      </c>
      <c r="B2792" t="str">
        <f t="shared" si="44"/>
        <v>34003</v>
      </c>
      <c r="C2792" t="s">
        <v>1199</v>
      </c>
      <c r="D2792">
        <v>0</v>
      </c>
      <c r="E2792" t="s">
        <v>549</v>
      </c>
    </row>
    <row r="2793" spans="1:5" x14ac:dyDescent="0.25">
      <c r="A2793">
        <v>34003</v>
      </c>
      <c r="B2793" t="str">
        <f t="shared" si="44"/>
        <v>34003</v>
      </c>
      <c r="C2793" t="s">
        <v>1203</v>
      </c>
      <c r="D2793">
        <v>2129.5100000000002</v>
      </c>
      <c r="E2793" t="s">
        <v>549</v>
      </c>
    </row>
    <row r="2794" spans="1:5" x14ac:dyDescent="0.25">
      <c r="A2794">
        <v>34003</v>
      </c>
      <c r="B2794" t="str">
        <f t="shared" si="44"/>
        <v>34003</v>
      </c>
      <c r="C2794" t="s">
        <v>1200</v>
      </c>
      <c r="D2794">
        <v>0</v>
      </c>
      <c r="E2794" t="s">
        <v>549</v>
      </c>
    </row>
    <row r="2795" spans="1:5" x14ac:dyDescent="0.25">
      <c r="A2795">
        <v>34003</v>
      </c>
      <c r="B2795" t="str">
        <f t="shared" si="44"/>
        <v>34003</v>
      </c>
      <c r="C2795" t="s">
        <v>1204</v>
      </c>
      <c r="D2795">
        <v>3972.2</v>
      </c>
      <c r="E2795" t="s">
        <v>549</v>
      </c>
    </row>
    <row r="2796" spans="1:5" x14ac:dyDescent="0.25">
      <c r="A2796">
        <v>34003</v>
      </c>
      <c r="B2796" t="str">
        <f t="shared" si="44"/>
        <v>34003</v>
      </c>
      <c r="C2796" t="s">
        <v>1207</v>
      </c>
      <c r="D2796">
        <v>199.16</v>
      </c>
      <c r="E2796" t="s">
        <v>549</v>
      </c>
    </row>
    <row r="2797" spans="1:5" x14ac:dyDescent="0.25">
      <c r="A2797">
        <v>34003</v>
      </c>
      <c r="B2797" t="str">
        <f t="shared" si="44"/>
        <v>34003</v>
      </c>
      <c r="C2797" t="s">
        <v>1208</v>
      </c>
      <c r="D2797">
        <v>840.24</v>
      </c>
      <c r="E2797" t="s">
        <v>549</v>
      </c>
    </row>
    <row r="2798" spans="1:5" x14ac:dyDescent="0.25">
      <c r="A2798">
        <v>34003</v>
      </c>
      <c r="B2798" t="str">
        <f t="shared" si="44"/>
        <v>34003</v>
      </c>
      <c r="C2798" t="s">
        <v>1210</v>
      </c>
      <c r="D2798">
        <v>0</v>
      </c>
      <c r="E2798" t="s">
        <v>549</v>
      </c>
    </row>
    <row r="2799" spans="1:5" x14ac:dyDescent="0.25">
      <c r="A2799">
        <v>34003</v>
      </c>
      <c r="B2799" t="str">
        <f t="shared" si="44"/>
        <v>34003</v>
      </c>
      <c r="C2799" t="s">
        <v>1212</v>
      </c>
      <c r="D2799">
        <v>0</v>
      </c>
      <c r="E2799" t="s">
        <v>549</v>
      </c>
    </row>
    <row r="2800" spans="1:5" x14ac:dyDescent="0.25">
      <c r="A2800">
        <v>34003</v>
      </c>
      <c r="B2800" t="str">
        <f t="shared" si="44"/>
        <v>34003</v>
      </c>
      <c r="C2800" t="s">
        <v>1216</v>
      </c>
      <c r="D2800">
        <v>83.8</v>
      </c>
      <c r="E2800" t="s">
        <v>549</v>
      </c>
    </row>
    <row r="2801" spans="1:5" x14ac:dyDescent="0.25">
      <c r="A2801">
        <v>34003</v>
      </c>
      <c r="B2801" t="str">
        <f t="shared" si="44"/>
        <v>34003</v>
      </c>
      <c r="C2801" t="s">
        <v>1198</v>
      </c>
      <c r="D2801">
        <v>1026.4000000000001</v>
      </c>
      <c r="E2801" t="s">
        <v>549</v>
      </c>
    </row>
    <row r="2802" spans="1:5" x14ac:dyDescent="0.25">
      <c r="A2802">
        <v>33211</v>
      </c>
      <c r="B2802" t="str">
        <f t="shared" si="44"/>
        <v>33211</v>
      </c>
      <c r="C2802" t="s">
        <v>1193</v>
      </c>
      <c r="D2802">
        <v>0</v>
      </c>
      <c r="E2802" t="s">
        <v>546</v>
      </c>
    </row>
    <row r="2803" spans="1:5" x14ac:dyDescent="0.25">
      <c r="A2803">
        <v>33211</v>
      </c>
      <c r="B2803" t="str">
        <f t="shared" si="44"/>
        <v>33211</v>
      </c>
      <c r="C2803" t="s">
        <v>1194</v>
      </c>
      <c r="D2803">
        <v>32.799999999999997</v>
      </c>
      <c r="E2803" t="s">
        <v>546</v>
      </c>
    </row>
    <row r="2804" spans="1:5" x14ac:dyDescent="0.25">
      <c r="A2804">
        <v>33211</v>
      </c>
      <c r="B2804" t="str">
        <f t="shared" si="44"/>
        <v>33211</v>
      </c>
      <c r="C2804" t="s">
        <v>1195</v>
      </c>
      <c r="D2804">
        <v>0</v>
      </c>
      <c r="E2804" t="s">
        <v>546</v>
      </c>
    </row>
    <row r="2805" spans="1:5" x14ac:dyDescent="0.25">
      <c r="A2805">
        <v>33211</v>
      </c>
      <c r="B2805" t="str">
        <f t="shared" si="44"/>
        <v>33211</v>
      </c>
      <c r="C2805" t="s">
        <v>1197</v>
      </c>
      <c r="D2805">
        <v>14.4</v>
      </c>
      <c r="E2805" t="s">
        <v>546</v>
      </c>
    </row>
    <row r="2806" spans="1:5" x14ac:dyDescent="0.25">
      <c r="A2806">
        <v>33211</v>
      </c>
      <c r="B2806" t="str">
        <f t="shared" si="44"/>
        <v>33211</v>
      </c>
      <c r="C2806" t="s">
        <v>1202</v>
      </c>
      <c r="D2806">
        <v>0</v>
      </c>
      <c r="E2806" t="s">
        <v>546</v>
      </c>
    </row>
    <row r="2807" spans="1:5" x14ac:dyDescent="0.25">
      <c r="A2807">
        <v>33211</v>
      </c>
      <c r="B2807" t="str">
        <f t="shared" si="44"/>
        <v>33211</v>
      </c>
      <c r="C2807" t="s">
        <v>1206</v>
      </c>
      <c r="D2807">
        <v>27.2</v>
      </c>
      <c r="E2807" t="s">
        <v>546</v>
      </c>
    </row>
    <row r="2808" spans="1:5" x14ac:dyDescent="0.25">
      <c r="A2808">
        <v>33211</v>
      </c>
      <c r="B2808" t="str">
        <f t="shared" si="44"/>
        <v>33211</v>
      </c>
      <c r="C2808" t="s">
        <v>1199</v>
      </c>
      <c r="D2808">
        <v>0</v>
      </c>
      <c r="E2808" t="s">
        <v>546</v>
      </c>
    </row>
    <row r="2809" spans="1:5" x14ac:dyDescent="0.25">
      <c r="A2809">
        <v>33211</v>
      </c>
      <c r="B2809" t="str">
        <f t="shared" si="44"/>
        <v>33211</v>
      </c>
      <c r="C2809" t="s">
        <v>1203</v>
      </c>
      <c r="D2809">
        <v>24.6</v>
      </c>
      <c r="E2809" t="s">
        <v>546</v>
      </c>
    </row>
    <row r="2810" spans="1:5" x14ac:dyDescent="0.25">
      <c r="A2810">
        <v>33211</v>
      </c>
      <c r="B2810" t="str">
        <f t="shared" si="44"/>
        <v>33211</v>
      </c>
      <c r="C2810" t="s">
        <v>1200</v>
      </c>
      <c r="D2810">
        <v>0</v>
      </c>
      <c r="E2810" t="s">
        <v>546</v>
      </c>
    </row>
    <row r="2811" spans="1:5" x14ac:dyDescent="0.25">
      <c r="A2811">
        <v>33211</v>
      </c>
      <c r="B2811" t="str">
        <f t="shared" si="44"/>
        <v>33211</v>
      </c>
      <c r="C2811" t="s">
        <v>1204</v>
      </c>
      <c r="D2811">
        <v>55.04</v>
      </c>
      <c r="E2811" t="s">
        <v>546</v>
      </c>
    </row>
    <row r="2812" spans="1:5" x14ac:dyDescent="0.25">
      <c r="A2812">
        <v>33211</v>
      </c>
      <c r="B2812" t="str">
        <f t="shared" si="44"/>
        <v>33211</v>
      </c>
      <c r="C2812" t="s">
        <v>1207</v>
      </c>
      <c r="D2812">
        <v>0</v>
      </c>
      <c r="E2812" t="s">
        <v>546</v>
      </c>
    </row>
    <row r="2813" spans="1:5" x14ac:dyDescent="0.25">
      <c r="A2813">
        <v>33211</v>
      </c>
      <c r="B2813" t="str">
        <f t="shared" si="44"/>
        <v>33211</v>
      </c>
      <c r="C2813" t="s">
        <v>1208</v>
      </c>
      <c r="D2813">
        <v>5.88</v>
      </c>
      <c r="E2813" t="s">
        <v>546</v>
      </c>
    </row>
    <row r="2814" spans="1:5" x14ac:dyDescent="0.25">
      <c r="A2814">
        <v>33211</v>
      </c>
      <c r="B2814" t="str">
        <f t="shared" si="44"/>
        <v>33211</v>
      </c>
      <c r="C2814" t="s">
        <v>1210</v>
      </c>
      <c r="D2814">
        <v>0</v>
      </c>
      <c r="E2814" t="s">
        <v>546</v>
      </c>
    </row>
    <row r="2815" spans="1:5" x14ac:dyDescent="0.25">
      <c r="A2815">
        <v>33211</v>
      </c>
      <c r="B2815" t="str">
        <f t="shared" si="44"/>
        <v>33211</v>
      </c>
      <c r="C2815" t="s">
        <v>1212</v>
      </c>
      <c r="D2815">
        <v>0</v>
      </c>
      <c r="E2815" t="s">
        <v>546</v>
      </c>
    </row>
    <row r="2816" spans="1:5" x14ac:dyDescent="0.25">
      <c r="A2816">
        <v>33211</v>
      </c>
      <c r="B2816" t="str">
        <f t="shared" si="44"/>
        <v>33211</v>
      </c>
      <c r="C2816" t="s">
        <v>1216</v>
      </c>
      <c r="D2816">
        <v>0</v>
      </c>
      <c r="E2816" t="s">
        <v>546</v>
      </c>
    </row>
    <row r="2817" spans="1:5" x14ac:dyDescent="0.25">
      <c r="A2817">
        <v>33211</v>
      </c>
      <c r="B2817" t="str">
        <f t="shared" si="44"/>
        <v>33211</v>
      </c>
      <c r="C2817" t="s">
        <v>1198</v>
      </c>
      <c r="D2817">
        <v>7.4</v>
      </c>
      <c r="E2817" t="s">
        <v>546</v>
      </c>
    </row>
    <row r="2818" spans="1:5" x14ac:dyDescent="0.25">
      <c r="A2818">
        <v>17417</v>
      </c>
      <c r="B2818" t="str">
        <f t="shared" si="44"/>
        <v>17417</v>
      </c>
      <c r="C2818" t="s">
        <v>1193</v>
      </c>
      <c r="D2818">
        <v>0</v>
      </c>
      <c r="E2818" t="s">
        <v>410</v>
      </c>
    </row>
    <row r="2819" spans="1:5" x14ac:dyDescent="0.25">
      <c r="A2819">
        <v>17417</v>
      </c>
      <c r="B2819" t="str">
        <f t="shared" ref="B2819:B2882" si="45">TEXT(A2819,"00000")</f>
        <v>17417</v>
      </c>
      <c r="C2819" t="s">
        <v>1194</v>
      </c>
      <c r="D2819">
        <v>4749.3100000000004</v>
      </c>
      <c r="E2819" t="s">
        <v>410</v>
      </c>
    </row>
    <row r="2820" spans="1:5" x14ac:dyDescent="0.25">
      <c r="A2820">
        <v>17417</v>
      </c>
      <c r="B2820" t="str">
        <f t="shared" si="45"/>
        <v>17417</v>
      </c>
      <c r="C2820" t="s">
        <v>1195</v>
      </c>
      <c r="D2820">
        <v>0</v>
      </c>
      <c r="E2820" t="s">
        <v>410</v>
      </c>
    </row>
    <row r="2821" spans="1:5" x14ac:dyDescent="0.25">
      <c r="A2821">
        <v>17417</v>
      </c>
      <c r="B2821" t="str">
        <f t="shared" si="45"/>
        <v>17417</v>
      </c>
      <c r="C2821" t="s">
        <v>1197</v>
      </c>
      <c r="D2821">
        <v>1629.47</v>
      </c>
      <c r="E2821" t="s">
        <v>410</v>
      </c>
    </row>
    <row r="2822" spans="1:5" x14ac:dyDescent="0.25">
      <c r="A2822">
        <v>17417</v>
      </c>
      <c r="B2822" t="str">
        <f t="shared" si="45"/>
        <v>17417</v>
      </c>
      <c r="C2822" t="s">
        <v>1202</v>
      </c>
      <c r="D2822">
        <v>0</v>
      </c>
      <c r="E2822" t="s">
        <v>410</v>
      </c>
    </row>
    <row r="2823" spans="1:5" x14ac:dyDescent="0.25">
      <c r="A2823">
        <v>17417</v>
      </c>
      <c r="B2823" t="str">
        <f t="shared" si="45"/>
        <v>17417</v>
      </c>
      <c r="C2823" t="s">
        <v>1206</v>
      </c>
      <c r="D2823">
        <v>3435.17</v>
      </c>
      <c r="E2823" t="s">
        <v>410</v>
      </c>
    </row>
    <row r="2824" spans="1:5" x14ac:dyDescent="0.25">
      <c r="A2824">
        <v>17417</v>
      </c>
      <c r="B2824" t="str">
        <f t="shared" si="45"/>
        <v>17417</v>
      </c>
      <c r="C2824" t="s">
        <v>1199</v>
      </c>
      <c r="D2824">
        <v>0</v>
      </c>
      <c r="E2824" t="s">
        <v>410</v>
      </c>
    </row>
    <row r="2825" spans="1:5" x14ac:dyDescent="0.25">
      <c r="A2825">
        <v>17417</v>
      </c>
      <c r="B2825" t="str">
        <f t="shared" si="45"/>
        <v>17417</v>
      </c>
      <c r="C2825" t="s">
        <v>1203</v>
      </c>
      <c r="D2825">
        <v>3426.31</v>
      </c>
      <c r="E2825" t="s">
        <v>410</v>
      </c>
    </row>
    <row r="2826" spans="1:5" x14ac:dyDescent="0.25">
      <c r="A2826">
        <v>17417</v>
      </c>
      <c r="B2826" t="str">
        <f t="shared" si="45"/>
        <v>17417</v>
      </c>
      <c r="C2826" t="s">
        <v>1200</v>
      </c>
      <c r="D2826">
        <v>0</v>
      </c>
      <c r="E2826" t="s">
        <v>410</v>
      </c>
    </row>
    <row r="2827" spans="1:5" x14ac:dyDescent="0.25">
      <c r="A2827">
        <v>17417</v>
      </c>
      <c r="B2827" t="str">
        <f t="shared" si="45"/>
        <v>17417</v>
      </c>
      <c r="C2827" t="s">
        <v>1204</v>
      </c>
      <c r="D2827">
        <v>6515.5</v>
      </c>
      <c r="E2827" t="s">
        <v>410</v>
      </c>
    </row>
    <row r="2828" spans="1:5" x14ac:dyDescent="0.25">
      <c r="A2828">
        <v>17417</v>
      </c>
      <c r="B2828" t="str">
        <f t="shared" si="45"/>
        <v>17417</v>
      </c>
      <c r="C2828" t="s">
        <v>1207</v>
      </c>
      <c r="D2828">
        <v>197.9</v>
      </c>
      <c r="E2828" t="s">
        <v>410</v>
      </c>
    </row>
    <row r="2829" spans="1:5" x14ac:dyDescent="0.25">
      <c r="A2829">
        <v>17417</v>
      </c>
      <c r="B2829" t="str">
        <f t="shared" si="45"/>
        <v>17417</v>
      </c>
      <c r="C2829" t="s">
        <v>1208</v>
      </c>
      <c r="D2829">
        <v>1077.5999999999999</v>
      </c>
      <c r="E2829" t="s">
        <v>410</v>
      </c>
    </row>
    <row r="2830" spans="1:5" x14ac:dyDescent="0.25">
      <c r="A2830">
        <v>17417</v>
      </c>
      <c r="B2830" t="str">
        <f t="shared" si="45"/>
        <v>17417</v>
      </c>
      <c r="C2830" t="s">
        <v>1210</v>
      </c>
      <c r="D2830">
        <v>0</v>
      </c>
      <c r="E2830" t="s">
        <v>410</v>
      </c>
    </row>
    <row r="2831" spans="1:5" x14ac:dyDescent="0.25">
      <c r="A2831">
        <v>17417</v>
      </c>
      <c r="B2831" t="str">
        <f t="shared" si="45"/>
        <v>17417</v>
      </c>
      <c r="C2831" t="s">
        <v>1212</v>
      </c>
      <c r="D2831">
        <v>0</v>
      </c>
      <c r="E2831" t="s">
        <v>410</v>
      </c>
    </row>
    <row r="2832" spans="1:5" x14ac:dyDescent="0.25">
      <c r="A2832">
        <v>17417</v>
      </c>
      <c r="B2832" t="str">
        <f t="shared" si="45"/>
        <v>17417</v>
      </c>
      <c r="C2832" t="s">
        <v>1216</v>
      </c>
      <c r="D2832">
        <v>0</v>
      </c>
      <c r="E2832" t="s">
        <v>410</v>
      </c>
    </row>
    <row r="2833" spans="1:5" x14ac:dyDescent="0.25">
      <c r="A2833">
        <v>17417</v>
      </c>
      <c r="B2833" t="str">
        <f t="shared" si="45"/>
        <v>17417</v>
      </c>
      <c r="C2833" t="s">
        <v>1198</v>
      </c>
      <c r="D2833">
        <v>1434.02</v>
      </c>
      <c r="E2833" t="s">
        <v>410</v>
      </c>
    </row>
    <row r="2834" spans="1:5" x14ac:dyDescent="0.25">
      <c r="A2834">
        <v>15201</v>
      </c>
      <c r="B2834" t="str">
        <f t="shared" si="45"/>
        <v>15201</v>
      </c>
      <c r="C2834" t="s">
        <v>1193</v>
      </c>
      <c r="D2834">
        <v>0</v>
      </c>
      <c r="E2834" t="s">
        <v>384</v>
      </c>
    </row>
    <row r="2835" spans="1:5" x14ac:dyDescent="0.25">
      <c r="A2835">
        <v>15201</v>
      </c>
      <c r="B2835" t="str">
        <f t="shared" si="45"/>
        <v>15201</v>
      </c>
      <c r="C2835" t="s">
        <v>1194</v>
      </c>
      <c r="D2835">
        <v>1239.08</v>
      </c>
      <c r="E2835" t="s">
        <v>384</v>
      </c>
    </row>
    <row r="2836" spans="1:5" x14ac:dyDescent="0.25">
      <c r="A2836">
        <v>15201</v>
      </c>
      <c r="B2836" t="str">
        <f t="shared" si="45"/>
        <v>15201</v>
      </c>
      <c r="C2836" t="s">
        <v>1195</v>
      </c>
      <c r="D2836">
        <v>0</v>
      </c>
      <c r="E2836" t="s">
        <v>384</v>
      </c>
    </row>
    <row r="2837" spans="1:5" x14ac:dyDescent="0.25">
      <c r="A2837">
        <v>15201</v>
      </c>
      <c r="B2837" t="str">
        <f t="shared" si="45"/>
        <v>15201</v>
      </c>
      <c r="C2837" t="s">
        <v>1197</v>
      </c>
      <c r="D2837">
        <v>400.44</v>
      </c>
      <c r="E2837" t="s">
        <v>384</v>
      </c>
    </row>
    <row r="2838" spans="1:5" x14ac:dyDescent="0.25">
      <c r="A2838">
        <v>15201</v>
      </c>
      <c r="B2838" t="str">
        <f t="shared" si="45"/>
        <v>15201</v>
      </c>
      <c r="C2838" t="s">
        <v>1202</v>
      </c>
      <c r="D2838">
        <v>0</v>
      </c>
      <c r="E2838" t="s">
        <v>384</v>
      </c>
    </row>
    <row r="2839" spans="1:5" x14ac:dyDescent="0.25">
      <c r="A2839">
        <v>15201</v>
      </c>
      <c r="B2839" t="str">
        <f t="shared" si="45"/>
        <v>15201</v>
      </c>
      <c r="C2839" t="s">
        <v>1206</v>
      </c>
      <c r="D2839">
        <v>768.2</v>
      </c>
      <c r="E2839" t="s">
        <v>384</v>
      </c>
    </row>
    <row r="2840" spans="1:5" x14ac:dyDescent="0.25">
      <c r="A2840">
        <v>15201</v>
      </c>
      <c r="B2840" t="str">
        <f t="shared" si="45"/>
        <v>15201</v>
      </c>
      <c r="C2840" t="s">
        <v>1199</v>
      </c>
      <c r="D2840">
        <v>0</v>
      </c>
      <c r="E2840" t="s">
        <v>384</v>
      </c>
    </row>
    <row r="2841" spans="1:5" x14ac:dyDescent="0.25">
      <c r="A2841">
        <v>15201</v>
      </c>
      <c r="B2841" t="str">
        <f t="shared" si="45"/>
        <v>15201</v>
      </c>
      <c r="C2841" t="s">
        <v>1203</v>
      </c>
      <c r="D2841">
        <v>711.67</v>
      </c>
      <c r="E2841" t="s">
        <v>384</v>
      </c>
    </row>
    <row r="2842" spans="1:5" x14ac:dyDescent="0.25">
      <c r="A2842">
        <v>15201</v>
      </c>
      <c r="B2842" t="str">
        <f t="shared" si="45"/>
        <v>15201</v>
      </c>
      <c r="C2842" t="s">
        <v>1200</v>
      </c>
      <c r="D2842">
        <v>0</v>
      </c>
      <c r="E2842" t="s">
        <v>384</v>
      </c>
    </row>
    <row r="2843" spans="1:5" x14ac:dyDescent="0.25">
      <c r="A2843">
        <v>15201</v>
      </c>
      <c r="B2843" t="str">
        <f t="shared" si="45"/>
        <v>15201</v>
      </c>
      <c r="C2843" t="s">
        <v>1204</v>
      </c>
      <c r="D2843">
        <v>1460.75</v>
      </c>
      <c r="E2843" t="s">
        <v>384</v>
      </c>
    </row>
    <row r="2844" spans="1:5" x14ac:dyDescent="0.25">
      <c r="A2844">
        <v>15201</v>
      </c>
      <c r="B2844" t="str">
        <f t="shared" si="45"/>
        <v>15201</v>
      </c>
      <c r="C2844" t="s">
        <v>1207</v>
      </c>
      <c r="D2844">
        <v>42.03</v>
      </c>
      <c r="E2844" t="s">
        <v>384</v>
      </c>
    </row>
    <row r="2845" spans="1:5" x14ac:dyDescent="0.25">
      <c r="A2845">
        <v>15201</v>
      </c>
      <c r="B2845" t="str">
        <f t="shared" si="45"/>
        <v>15201</v>
      </c>
      <c r="C2845" t="s">
        <v>1208</v>
      </c>
      <c r="D2845">
        <v>401.85</v>
      </c>
      <c r="E2845" t="s">
        <v>384</v>
      </c>
    </row>
    <row r="2846" spans="1:5" x14ac:dyDescent="0.25">
      <c r="A2846">
        <v>15201</v>
      </c>
      <c r="B2846" t="str">
        <f t="shared" si="45"/>
        <v>15201</v>
      </c>
      <c r="C2846" t="s">
        <v>1210</v>
      </c>
      <c r="D2846">
        <v>0</v>
      </c>
      <c r="E2846" t="s">
        <v>384</v>
      </c>
    </row>
    <row r="2847" spans="1:5" x14ac:dyDescent="0.25">
      <c r="A2847">
        <v>15201</v>
      </c>
      <c r="B2847" t="str">
        <f t="shared" si="45"/>
        <v>15201</v>
      </c>
      <c r="C2847" t="s">
        <v>1212</v>
      </c>
      <c r="D2847">
        <v>0</v>
      </c>
      <c r="E2847" t="s">
        <v>384</v>
      </c>
    </row>
    <row r="2848" spans="1:5" x14ac:dyDescent="0.25">
      <c r="A2848">
        <v>15201</v>
      </c>
      <c r="B2848" t="str">
        <f t="shared" si="45"/>
        <v>15201</v>
      </c>
      <c r="C2848" t="s">
        <v>1216</v>
      </c>
      <c r="D2848">
        <v>44.8</v>
      </c>
      <c r="E2848" t="s">
        <v>384</v>
      </c>
    </row>
    <row r="2849" spans="1:5" x14ac:dyDescent="0.25">
      <c r="A2849">
        <v>15201</v>
      </c>
      <c r="B2849" t="str">
        <f t="shared" si="45"/>
        <v>15201</v>
      </c>
      <c r="C2849" t="s">
        <v>1198</v>
      </c>
      <c r="D2849">
        <v>377.5</v>
      </c>
      <c r="E2849" t="s">
        <v>384</v>
      </c>
    </row>
    <row r="2850" spans="1:5" x14ac:dyDescent="0.25">
      <c r="A2850">
        <v>38324</v>
      </c>
      <c r="B2850" t="str">
        <f t="shared" si="45"/>
        <v>38324</v>
      </c>
      <c r="C2850" t="s">
        <v>1193</v>
      </c>
      <c r="D2850">
        <v>0</v>
      </c>
      <c r="E2850" t="s">
        <v>584</v>
      </c>
    </row>
    <row r="2851" spans="1:5" x14ac:dyDescent="0.25">
      <c r="A2851">
        <v>38324</v>
      </c>
      <c r="B2851" t="str">
        <f t="shared" si="45"/>
        <v>38324</v>
      </c>
      <c r="C2851" t="s">
        <v>1194</v>
      </c>
      <c r="D2851">
        <v>28.2</v>
      </c>
      <c r="E2851" t="s">
        <v>584</v>
      </c>
    </row>
    <row r="2852" spans="1:5" x14ac:dyDescent="0.25">
      <c r="A2852">
        <v>38324</v>
      </c>
      <c r="B2852" t="str">
        <f t="shared" si="45"/>
        <v>38324</v>
      </c>
      <c r="C2852" t="s">
        <v>1195</v>
      </c>
      <c r="D2852">
        <v>0</v>
      </c>
      <c r="E2852" t="s">
        <v>584</v>
      </c>
    </row>
    <row r="2853" spans="1:5" x14ac:dyDescent="0.25">
      <c r="A2853">
        <v>38324</v>
      </c>
      <c r="B2853" t="str">
        <f t="shared" si="45"/>
        <v>38324</v>
      </c>
      <c r="C2853" t="s">
        <v>1197</v>
      </c>
      <c r="D2853">
        <v>11.2</v>
      </c>
      <c r="E2853" t="s">
        <v>584</v>
      </c>
    </row>
    <row r="2854" spans="1:5" x14ac:dyDescent="0.25">
      <c r="A2854">
        <v>38324</v>
      </c>
      <c r="B2854" t="str">
        <f t="shared" si="45"/>
        <v>38324</v>
      </c>
      <c r="C2854" t="s">
        <v>1202</v>
      </c>
      <c r="D2854">
        <v>0</v>
      </c>
      <c r="E2854" t="s">
        <v>584</v>
      </c>
    </row>
    <row r="2855" spans="1:5" x14ac:dyDescent="0.25">
      <c r="A2855">
        <v>38324</v>
      </c>
      <c r="B2855" t="str">
        <f t="shared" si="45"/>
        <v>38324</v>
      </c>
      <c r="C2855" t="s">
        <v>1206</v>
      </c>
      <c r="D2855">
        <v>23.2</v>
      </c>
      <c r="E2855" t="s">
        <v>584</v>
      </c>
    </row>
    <row r="2856" spans="1:5" x14ac:dyDescent="0.25">
      <c r="A2856">
        <v>38324</v>
      </c>
      <c r="B2856" t="str">
        <f t="shared" si="45"/>
        <v>38324</v>
      </c>
      <c r="C2856" t="s">
        <v>1199</v>
      </c>
      <c r="D2856">
        <v>0</v>
      </c>
      <c r="E2856" t="s">
        <v>584</v>
      </c>
    </row>
    <row r="2857" spans="1:5" x14ac:dyDescent="0.25">
      <c r="A2857">
        <v>38324</v>
      </c>
      <c r="B2857" t="str">
        <f t="shared" si="45"/>
        <v>38324</v>
      </c>
      <c r="C2857" t="s">
        <v>1203</v>
      </c>
      <c r="D2857">
        <v>23.12</v>
      </c>
      <c r="E2857" t="s">
        <v>584</v>
      </c>
    </row>
    <row r="2858" spans="1:5" x14ac:dyDescent="0.25">
      <c r="A2858">
        <v>38324</v>
      </c>
      <c r="B2858" t="str">
        <f t="shared" si="45"/>
        <v>38324</v>
      </c>
      <c r="C2858" t="s">
        <v>1200</v>
      </c>
      <c r="D2858">
        <v>0</v>
      </c>
      <c r="E2858" t="s">
        <v>584</v>
      </c>
    </row>
    <row r="2859" spans="1:5" x14ac:dyDescent="0.25">
      <c r="A2859">
        <v>38324</v>
      </c>
      <c r="B2859" t="str">
        <f t="shared" si="45"/>
        <v>38324</v>
      </c>
      <c r="C2859" t="s">
        <v>1204</v>
      </c>
      <c r="D2859">
        <v>42.95</v>
      </c>
      <c r="E2859" t="s">
        <v>584</v>
      </c>
    </row>
    <row r="2860" spans="1:5" x14ac:dyDescent="0.25">
      <c r="A2860">
        <v>38324</v>
      </c>
      <c r="B2860" t="str">
        <f t="shared" si="45"/>
        <v>38324</v>
      </c>
      <c r="C2860" t="s">
        <v>1207</v>
      </c>
      <c r="D2860">
        <v>4.4000000000000004</v>
      </c>
      <c r="E2860" t="s">
        <v>584</v>
      </c>
    </row>
    <row r="2861" spans="1:5" x14ac:dyDescent="0.25">
      <c r="A2861">
        <v>38324</v>
      </c>
      <c r="B2861" t="str">
        <f t="shared" si="45"/>
        <v>38324</v>
      </c>
      <c r="C2861" t="s">
        <v>1208</v>
      </c>
      <c r="D2861">
        <v>13.93</v>
      </c>
      <c r="E2861" t="s">
        <v>584</v>
      </c>
    </row>
    <row r="2862" spans="1:5" x14ac:dyDescent="0.25">
      <c r="A2862">
        <v>38324</v>
      </c>
      <c r="B2862" t="str">
        <f t="shared" si="45"/>
        <v>38324</v>
      </c>
      <c r="C2862" t="s">
        <v>1210</v>
      </c>
      <c r="D2862">
        <v>0</v>
      </c>
      <c r="E2862" t="s">
        <v>584</v>
      </c>
    </row>
    <row r="2863" spans="1:5" x14ac:dyDescent="0.25">
      <c r="A2863">
        <v>38324</v>
      </c>
      <c r="B2863" t="str">
        <f t="shared" si="45"/>
        <v>38324</v>
      </c>
      <c r="C2863" t="s">
        <v>1212</v>
      </c>
      <c r="D2863">
        <v>0</v>
      </c>
      <c r="E2863" t="s">
        <v>584</v>
      </c>
    </row>
    <row r="2864" spans="1:5" x14ac:dyDescent="0.25">
      <c r="A2864">
        <v>38324</v>
      </c>
      <c r="B2864" t="str">
        <f t="shared" si="45"/>
        <v>38324</v>
      </c>
      <c r="C2864" t="s">
        <v>1216</v>
      </c>
      <c r="D2864">
        <v>7.03</v>
      </c>
      <c r="E2864" t="s">
        <v>584</v>
      </c>
    </row>
    <row r="2865" spans="1:5" x14ac:dyDescent="0.25">
      <c r="A2865">
        <v>38324</v>
      </c>
      <c r="B2865" t="str">
        <f t="shared" si="45"/>
        <v>38324</v>
      </c>
      <c r="C2865" t="s">
        <v>1198</v>
      </c>
      <c r="D2865">
        <v>6.83</v>
      </c>
      <c r="E2865" t="s">
        <v>584</v>
      </c>
    </row>
    <row r="2866" spans="1:5" x14ac:dyDescent="0.25">
      <c r="A2866">
        <v>14400</v>
      </c>
      <c r="B2866" t="str">
        <f t="shared" si="45"/>
        <v>14400</v>
      </c>
      <c r="C2866" t="s">
        <v>1193</v>
      </c>
      <c r="D2866">
        <v>0</v>
      </c>
      <c r="E2866" t="s">
        <v>383</v>
      </c>
    </row>
    <row r="2867" spans="1:5" x14ac:dyDescent="0.25">
      <c r="A2867">
        <v>14400</v>
      </c>
      <c r="B2867" t="str">
        <f t="shared" si="45"/>
        <v>14400</v>
      </c>
      <c r="C2867" t="s">
        <v>1194</v>
      </c>
      <c r="D2867">
        <v>73.599999999999994</v>
      </c>
      <c r="E2867" t="s">
        <v>383</v>
      </c>
    </row>
    <row r="2868" spans="1:5" x14ac:dyDescent="0.25">
      <c r="A2868">
        <v>14400</v>
      </c>
      <c r="B2868" t="str">
        <f t="shared" si="45"/>
        <v>14400</v>
      </c>
      <c r="C2868" t="s">
        <v>1195</v>
      </c>
      <c r="D2868">
        <v>0</v>
      </c>
      <c r="E2868" t="s">
        <v>383</v>
      </c>
    </row>
    <row r="2869" spans="1:5" x14ac:dyDescent="0.25">
      <c r="A2869">
        <v>14400</v>
      </c>
      <c r="B2869" t="str">
        <f t="shared" si="45"/>
        <v>14400</v>
      </c>
      <c r="C2869" t="s">
        <v>1197</v>
      </c>
      <c r="D2869">
        <v>20</v>
      </c>
      <c r="E2869" t="s">
        <v>383</v>
      </c>
    </row>
    <row r="2870" spans="1:5" x14ac:dyDescent="0.25">
      <c r="A2870">
        <v>14400</v>
      </c>
      <c r="B2870" t="str">
        <f t="shared" si="45"/>
        <v>14400</v>
      </c>
      <c r="C2870" t="s">
        <v>1202</v>
      </c>
      <c r="D2870">
        <v>0</v>
      </c>
      <c r="E2870" t="s">
        <v>383</v>
      </c>
    </row>
    <row r="2871" spans="1:5" x14ac:dyDescent="0.25">
      <c r="A2871">
        <v>14400</v>
      </c>
      <c r="B2871" t="str">
        <f t="shared" si="45"/>
        <v>14400</v>
      </c>
      <c r="C2871" t="s">
        <v>1206</v>
      </c>
      <c r="D2871">
        <v>39</v>
      </c>
      <c r="E2871" t="s">
        <v>383</v>
      </c>
    </row>
    <row r="2872" spans="1:5" x14ac:dyDescent="0.25">
      <c r="A2872">
        <v>14400</v>
      </c>
      <c r="B2872" t="str">
        <f t="shared" si="45"/>
        <v>14400</v>
      </c>
      <c r="C2872" t="s">
        <v>1199</v>
      </c>
      <c r="D2872">
        <v>0</v>
      </c>
      <c r="E2872" t="s">
        <v>383</v>
      </c>
    </row>
    <row r="2873" spans="1:5" x14ac:dyDescent="0.25">
      <c r="A2873">
        <v>14400</v>
      </c>
      <c r="B2873" t="str">
        <f t="shared" si="45"/>
        <v>14400</v>
      </c>
      <c r="C2873" t="s">
        <v>1203</v>
      </c>
      <c r="D2873">
        <v>46.8</v>
      </c>
      <c r="E2873" t="s">
        <v>383</v>
      </c>
    </row>
    <row r="2874" spans="1:5" x14ac:dyDescent="0.25">
      <c r="A2874">
        <v>14400</v>
      </c>
      <c r="B2874" t="str">
        <f t="shared" si="45"/>
        <v>14400</v>
      </c>
      <c r="C2874" t="s">
        <v>1200</v>
      </c>
      <c r="D2874">
        <v>0</v>
      </c>
      <c r="E2874" t="s">
        <v>383</v>
      </c>
    </row>
    <row r="2875" spans="1:5" x14ac:dyDescent="0.25">
      <c r="A2875">
        <v>14400</v>
      </c>
      <c r="B2875" t="str">
        <f t="shared" si="45"/>
        <v>14400</v>
      </c>
      <c r="C2875" t="s">
        <v>1204</v>
      </c>
      <c r="D2875">
        <v>66.010000000000005</v>
      </c>
      <c r="E2875" t="s">
        <v>383</v>
      </c>
    </row>
    <row r="2876" spans="1:5" x14ac:dyDescent="0.25">
      <c r="A2876">
        <v>14400</v>
      </c>
      <c r="B2876" t="str">
        <f t="shared" si="45"/>
        <v>14400</v>
      </c>
      <c r="C2876" t="s">
        <v>1207</v>
      </c>
      <c r="D2876">
        <v>1.63</v>
      </c>
      <c r="E2876" t="s">
        <v>383</v>
      </c>
    </row>
    <row r="2877" spans="1:5" x14ac:dyDescent="0.25">
      <c r="A2877">
        <v>14400</v>
      </c>
      <c r="B2877" t="str">
        <f t="shared" si="45"/>
        <v>14400</v>
      </c>
      <c r="C2877" t="s">
        <v>1208</v>
      </c>
      <c r="D2877">
        <v>19.510000000000002</v>
      </c>
      <c r="E2877" t="s">
        <v>383</v>
      </c>
    </row>
    <row r="2878" spans="1:5" x14ac:dyDescent="0.25">
      <c r="A2878">
        <v>14400</v>
      </c>
      <c r="B2878" t="str">
        <f t="shared" si="45"/>
        <v>14400</v>
      </c>
      <c r="C2878" t="s">
        <v>1210</v>
      </c>
      <c r="D2878">
        <v>0</v>
      </c>
      <c r="E2878" t="s">
        <v>383</v>
      </c>
    </row>
    <row r="2879" spans="1:5" x14ac:dyDescent="0.25">
      <c r="A2879">
        <v>14400</v>
      </c>
      <c r="B2879" t="str">
        <f t="shared" si="45"/>
        <v>14400</v>
      </c>
      <c r="C2879" t="s">
        <v>1212</v>
      </c>
      <c r="D2879">
        <v>0</v>
      </c>
      <c r="E2879" t="s">
        <v>383</v>
      </c>
    </row>
    <row r="2880" spans="1:5" x14ac:dyDescent="0.25">
      <c r="A2880">
        <v>14400</v>
      </c>
      <c r="B2880" t="str">
        <f t="shared" si="45"/>
        <v>14400</v>
      </c>
      <c r="C2880" t="s">
        <v>1216</v>
      </c>
      <c r="D2880">
        <v>19.8</v>
      </c>
      <c r="E2880" t="s">
        <v>383</v>
      </c>
    </row>
    <row r="2881" spans="1:5" x14ac:dyDescent="0.25">
      <c r="A2881">
        <v>14400</v>
      </c>
      <c r="B2881" t="str">
        <f t="shared" si="45"/>
        <v>14400</v>
      </c>
      <c r="C2881" t="s">
        <v>1198</v>
      </c>
      <c r="D2881">
        <v>22.2</v>
      </c>
      <c r="E2881" t="s">
        <v>383</v>
      </c>
    </row>
    <row r="2882" spans="1:5" x14ac:dyDescent="0.25">
      <c r="A2882">
        <v>25101</v>
      </c>
      <c r="B2882" t="str">
        <f t="shared" si="45"/>
        <v>25101</v>
      </c>
      <c r="C2882" t="s">
        <v>1193</v>
      </c>
      <c r="D2882">
        <v>0</v>
      </c>
      <c r="E2882" t="s">
        <v>470</v>
      </c>
    </row>
    <row r="2883" spans="1:5" x14ac:dyDescent="0.25">
      <c r="A2883">
        <v>25101</v>
      </c>
      <c r="B2883" t="str">
        <f t="shared" ref="B2883:B2946" si="46">TEXT(A2883,"00000")</f>
        <v>25101</v>
      </c>
      <c r="C2883" t="s">
        <v>1194</v>
      </c>
      <c r="D2883">
        <v>184.85</v>
      </c>
      <c r="E2883" t="s">
        <v>470</v>
      </c>
    </row>
    <row r="2884" spans="1:5" x14ac:dyDescent="0.25">
      <c r="A2884">
        <v>25101</v>
      </c>
      <c r="B2884" t="str">
        <f t="shared" si="46"/>
        <v>25101</v>
      </c>
      <c r="C2884" t="s">
        <v>1195</v>
      </c>
      <c r="D2884">
        <v>0</v>
      </c>
      <c r="E2884" t="s">
        <v>470</v>
      </c>
    </row>
    <row r="2885" spans="1:5" x14ac:dyDescent="0.25">
      <c r="A2885">
        <v>25101</v>
      </c>
      <c r="B2885" t="str">
        <f t="shared" si="46"/>
        <v>25101</v>
      </c>
      <c r="C2885" t="s">
        <v>1197</v>
      </c>
      <c r="D2885">
        <v>79.77</v>
      </c>
      <c r="E2885" t="s">
        <v>470</v>
      </c>
    </row>
    <row r="2886" spans="1:5" x14ac:dyDescent="0.25">
      <c r="A2886">
        <v>25101</v>
      </c>
      <c r="B2886" t="str">
        <f t="shared" si="46"/>
        <v>25101</v>
      </c>
      <c r="C2886" t="s">
        <v>1202</v>
      </c>
      <c r="D2886">
        <v>0</v>
      </c>
      <c r="E2886" t="s">
        <v>470</v>
      </c>
    </row>
    <row r="2887" spans="1:5" x14ac:dyDescent="0.25">
      <c r="A2887">
        <v>25101</v>
      </c>
      <c r="B2887" t="str">
        <f t="shared" si="46"/>
        <v>25101</v>
      </c>
      <c r="C2887" t="s">
        <v>1206</v>
      </c>
      <c r="D2887">
        <v>122.91</v>
      </c>
      <c r="E2887" t="s">
        <v>470</v>
      </c>
    </row>
    <row r="2888" spans="1:5" x14ac:dyDescent="0.25">
      <c r="A2888">
        <v>25101</v>
      </c>
      <c r="B2888" t="str">
        <f t="shared" si="46"/>
        <v>25101</v>
      </c>
      <c r="C2888" t="s">
        <v>1199</v>
      </c>
      <c r="D2888">
        <v>0</v>
      </c>
      <c r="E2888" t="s">
        <v>470</v>
      </c>
    </row>
    <row r="2889" spans="1:5" x14ac:dyDescent="0.25">
      <c r="A2889">
        <v>25101</v>
      </c>
      <c r="B2889" t="str">
        <f t="shared" si="46"/>
        <v>25101</v>
      </c>
      <c r="C2889" t="s">
        <v>1203</v>
      </c>
      <c r="D2889">
        <v>145.02000000000001</v>
      </c>
      <c r="E2889" t="s">
        <v>470</v>
      </c>
    </row>
    <row r="2890" spans="1:5" x14ac:dyDescent="0.25">
      <c r="A2890">
        <v>25101</v>
      </c>
      <c r="B2890" t="str">
        <f t="shared" si="46"/>
        <v>25101</v>
      </c>
      <c r="C2890" t="s">
        <v>1200</v>
      </c>
      <c r="D2890">
        <v>0</v>
      </c>
      <c r="E2890" t="s">
        <v>470</v>
      </c>
    </row>
    <row r="2891" spans="1:5" x14ac:dyDescent="0.25">
      <c r="A2891">
        <v>25101</v>
      </c>
      <c r="B2891" t="str">
        <f t="shared" si="46"/>
        <v>25101</v>
      </c>
      <c r="C2891" t="s">
        <v>1204</v>
      </c>
      <c r="D2891">
        <v>298.24</v>
      </c>
      <c r="E2891" t="s">
        <v>470</v>
      </c>
    </row>
    <row r="2892" spans="1:5" x14ac:dyDescent="0.25">
      <c r="A2892">
        <v>25101</v>
      </c>
      <c r="B2892" t="str">
        <f t="shared" si="46"/>
        <v>25101</v>
      </c>
      <c r="C2892" t="s">
        <v>1207</v>
      </c>
      <c r="D2892">
        <v>0</v>
      </c>
      <c r="E2892" t="s">
        <v>470</v>
      </c>
    </row>
    <row r="2893" spans="1:5" x14ac:dyDescent="0.25">
      <c r="A2893">
        <v>25101</v>
      </c>
      <c r="B2893" t="str">
        <f t="shared" si="46"/>
        <v>25101</v>
      </c>
      <c r="C2893" t="s">
        <v>1208</v>
      </c>
      <c r="D2893">
        <v>109.8</v>
      </c>
      <c r="E2893" t="s">
        <v>470</v>
      </c>
    </row>
    <row r="2894" spans="1:5" x14ac:dyDescent="0.25">
      <c r="A2894">
        <v>25101</v>
      </c>
      <c r="B2894" t="str">
        <f t="shared" si="46"/>
        <v>25101</v>
      </c>
      <c r="C2894" t="s">
        <v>1210</v>
      </c>
      <c r="D2894">
        <v>0</v>
      </c>
      <c r="E2894" t="s">
        <v>470</v>
      </c>
    </row>
    <row r="2895" spans="1:5" x14ac:dyDescent="0.25">
      <c r="A2895">
        <v>25101</v>
      </c>
      <c r="B2895" t="str">
        <f t="shared" si="46"/>
        <v>25101</v>
      </c>
      <c r="C2895" t="s">
        <v>1212</v>
      </c>
      <c r="D2895">
        <v>0</v>
      </c>
      <c r="E2895" t="s">
        <v>470</v>
      </c>
    </row>
    <row r="2896" spans="1:5" x14ac:dyDescent="0.25">
      <c r="A2896">
        <v>25101</v>
      </c>
      <c r="B2896" t="str">
        <f t="shared" si="46"/>
        <v>25101</v>
      </c>
      <c r="C2896" t="s">
        <v>1216</v>
      </c>
      <c r="D2896">
        <v>17.399999999999999</v>
      </c>
      <c r="E2896" t="s">
        <v>470</v>
      </c>
    </row>
    <row r="2897" spans="1:5" x14ac:dyDescent="0.25">
      <c r="A2897">
        <v>25101</v>
      </c>
      <c r="B2897" t="str">
        <f t="shared" si="46"/>
        <v>25101</v>
      </c>
      <c r="C2897" t="s">
        <v>1198</v>
      </c>
      <c r="D2897">
        <v>51.8</v>
      </c>
      <c r="E2897" t="s">
        <v>470</v>
      </c>
    </row>
    <row r="2898" spans="1:5" x14ac:dyDescent="0.25">
      <c r="A2898">
        <v>14172</v>
      </c>
      <c r="B2898" t="str">
        <f t="shared" si="46"/>
        <v>14172</v>
      </c>
      <c r="C2898" t="s">
        <v>1193</v>
      </c>
      <c r="D2898">
        <v>0</v>
      </c>
      <c r="E2898" t="s">
        <v>382</v>
      </c>
    </row>
    <row r="2899" spans="1:5" x14ac:dyDescent="0.25">
      <c r="A2899">
        <v>14172</v>
      </c>
      <c r="B2899" t="str">
        <f t="shared" si="46"/>
        <v>14172</v>
      </c>
      <c r="C2899" t="s">
        <v>1194</v>
      </c>
      <c r="D2899">
        <v>118.2</v>
      </c>
      <c r="E2899" t="s">
        <v>382</v>
      </c>
    </row>
    <row r="2900" spans="1:5" x14ac:dyDescent="0.25">
      <c r="A2900">
        <v>14172</v>
      </c>
      <c r="B2900" t="str">
        <f t="shared" si="46"/>
        <v>14172</v>
      </c>
      <c r="C2900" t="s">
        <v>1195</v>
      </c>
      <c r="D2900">
        <v>0</v>
      </c>
      <c r="E2900" t="s">
        <v>382</v>
      </c>
    </row>
    <row r="2901" spans="1:5" x14ac:dyDescent="0.25">
      <c r="A2901">
        <v>14172</v>
      </c>
      <c r="B2901" t="str">
        <f t="shared" si="46"/>
        <v>14172</v>
      </c>
      <c r="C2901" t="s">
        <v>1197</v>
      </c>
      <c r="D2901">
        <v>50.6</v>
      </c>
      <c r="E2901" t="s">
        <v>382</v>
      </c>
    </row>
    <row r="2902" spans="1:5" x14ac:dyDescent="0.25">
      <c r="A2902">
        <v>14172</v>
      </c>
      <c r="B2902" t="str">
        <f t="shared" si="46"/>
        <v>14172</v>
      </c>
      <c r="C2902" t="s">
        <v>1202</v>
      </c>
      <c r="D2902">
        <v>0</v>
      </c>
      <c r="E2902" t="s">
        <v>382</v>
      </c>
    </row>
    <row r="2903" spans="1:5" x14ac:dyDescent="0.25">
      <c r="A2903">
        <v>14172</v>
      </c>
      <c r="B2903" t="str">
        <f t="shared" si="46"/>
        <v>14172</v>
      </c>
      <c r="C2903" t="s">
        <v>1206</v>
      </c>
      <c r="D2903">
        <v>108.66</v>
      </c>
      <c r="E2903" t="s">
        <v>382</v>
      </c>
    </row>
    <row r="2904" spans="1:5" x14ac:dyDescent="0.25">
      <c r="A2904">
        <v>14172</v>
      </c>
      <c r="B2904" t="str">
        <f t="shared" si="46"/>
        <v>14172</v>
      </c>
      <c r="C2904" t="s">
        <v>1199</v>
      </c>
      <c r="D2904">
        <v>0</v>
      </c>
      <c r="E2904" t="s">
        <v>382</v>
      </c>
    </row>
    <row r="2905" spans="1:5" x14ac:dyDescent="0.25">
      <c r="A2905">
        <v>14172</v>
      </c>
      <c r="B2905" t="str">
        <f t="shared" si="46"/>
        <v>14172</v>
      </c>
      <c r="C2905" t="s">
        <v>1203</v>
      </c>
      <c r="D2905">
        <v>96.39</v>
      </c>
      <c r="E2905" t="s">
        <v>382</v>
      </c>
    </row>
    <row r="2906" spans="1:5" x14ac:dyDescent="0.25">
      <c r="A2906">
        <v>14172</v>
      </c>
      <c r="B2906" t="str">
        <f t="shared" si="46"/>
        <v>14172</v>
      </c>
      <c r="C2906" t="s">
        <v>1200</v>
      </c>
      <c r="D2906">
        <v>0</v>
      </c>
      <c r="E2906" t="s">
        <v>382</v>
      </c>
    </row>
    <row r="2907" spans="1:5" x14ac:dyDescent="0.25">
      <c r="A2907">
        <v>14172</v>
      </c>
      <c r="B2907" t="str">
        <f t="shared" si="46"/>
        <v>14172</v>
      </c>
      <c r="C2907" t="s">
        <v>1204</v>
      </c>
      <c r="D2907">
        <v>147.78</v>
      </c>
      <c r="E2907" t="s">
        <v>382</v>
      </c>
    </row>
    <row r="2908" spans="1:5" x14ac:dyDescent="0.25">
      <c r="A2908">
        <v>14172</v>
      </c>
      <c r="B2908" t="str">
        <f t="shared" si="46"/>
        <v>14172</v>
      </c>
      <c r="C2908" t="s">
        <v>1207</v>
      </c>
      <c r="D2908">
        <v>10.08</v>
      </c>
      <c r="E2908" t="s">
        <v>382</v>
      </c>
    </row>
    <row r="2909" spans="1:5" x14ac:dyDescent="0.25">
      <c r="A2909">
        <v>14172</v>
      </c>
      <c r="B2909" t="str">
        <f t="shared" si="46"/>
        <v>14172</v>
      </c>
      <c r="C2909" t="s">
        <v>1208</v>
      </c>
      <c r="D2909">
        <v>35.67</v>
      </c>
      <c r="E2909" t="s">
        <v>382</v>
      </c>
    </row>
    <row r="2910" spans="1:5" x14ac:dyDescent="0.25">
      <c r="A2910">
        <v>14172</v>
      </c>
      <c r="B2910" t="str">
        <f t="shared" si="46"/>
        <v>14172</v>
      </c>
      <c r="C2910" t="s">
        <v>1210</v>
      </c>
      <c r="D2910">
        <v>0</v>
      </c>
      <c r="E2910" t="s">
        <v>382</v>
      </c>
    </row>
    <row r="2911" spans="1:5" x14ac:dyDescent="0.25">
      <c r="A2911">
        <v>14172</v>
      </c>
      <c r="B2911" t="str">
        <f t="shared" si="46"/>
        <v>14172</v>
      </c>
      <c r="C2911" t="s">
        <v>1212</v>
      </c>
      <c r="D2911">
        <v>0</v>
      </c>
      <c r="E2911" t="s">
        <v>382</v>
      </c>
    </row>
    <row r="2912" spans="1:5" x14ac:dyDescent="0.25">
      <c r="A2912">
        <v>14172</v>
      </c>
      <c r="B2912" t="str">
        <f t="shared" si="46"/>
        <v>14172</v>
      </c>
      <c r="C2912" t="s">
        <v>1216</v>
      </c>
      <c r="D2912">
        <v>0</v>
      </c>
      <c r="E2912" t="s">
        <v>382</v>
      </c>
    </row>
    <row r="2913" spans="1:5" x14ac:dyDescent="0.25">
      <c r="A2913">
        <v>14172</v>
      </c>
      <c r="B2913" t="str">
        <f t="shared" si="46"/>
        <v>14172</v>
      </c>
      <c r="C2913" t="s">
        <v>1198</v>
      </c>
      <c r="D2913">
        <v>28.8</v>
      </c>
      <c r="E2913" t="s">
        <v>382</v>
      </c>
    </row>
    <row r="2914" spans="1:5" x14ac:dyDescent="0.25">
      <c r="A2914">
        <v>22105</v>
      </c>
      <c r="B2914" t="str">
        <f t="shared" si="46"/>
        <v>22105</v>
      </c>
      <c r="C2914" t="s">
        <v>1193</v>
      </c>
      <c r="D2914">
        <v>0</v>
      </c>
      <c r="E2914" t="s">
        <v>451</v>
      </c>
    </row>
    <row r="2915" spans="1:5" x14ac:dyDescent="0.25">
      <c r="A2915">
        <v>22105</v>
      </c>
      <c r="B2915" t="str">
        <f t="shared" si="46"/>
        <v>22105</v>
      </c>
      <c r="C2915" t="s">
        <v>1194</v>
      </c>
      <c r="D2915">
        <v>49.2</v>
      </c>
      <c r="E2915" t="s">
        <v>451</v>
      </c>
    </row>
    <row r="2916" spans="1:5" x14ac:dyDescent="0.25">
      <c r="A2916">
        <v>22105</v>
      </c>
      <c r="B2916" t="str">
        <f t="shared" si="46"/>
        <v>22105</v>
      </c>
      <c r="C2916" t="s">
        <v>1195</v>
      </c>
      <c r="D2916">
        <v>0</v>
      </c>
      <c r="E2916" t="s">
        <v>451</v>
      </c>
    </row>
    <row r="2917" spans="1:5" x14ac:dyDescent="0.25">
      <c r="A2917">
        <v>22105</v>
      </c>
      <c r="B2917" t="str">
        <f t="shared" si="46"/>
        <v>22105</v>
      </c>
      <c r="C2917" t="s">
        <v>1197</v>
      </c>
      <c r="D2917">
        <v>10.6</v>
      </c>
      <c r="E2917" t="s">
        <v>451</v>
      </c>
    </row>
    <row r="2918" spans="1:5" x14ac:dyDescent="0.25">
      <c r="A2918">
        <v>22105</v>
      </c>
      <c r="B2918" t="str">
        <f t="shared" si="46"/>
        <v>22105</v>
      </c>
      <c r="C2918" t="s">
        <v>1202</v>
      </c>
      <c r="D2918">
        <v>0</v>
      </c>
      <c r="E2918" t="s">
        <v>451</v>
      </c>
    </row>
    <row r="2919" spans="1:5" x14ac:dyDescent="0.25">
      <c r="A2919">
        <v>22105</v>
      </c>
      <c r="B2919" t="str">
        <f t="shared" si="46"/>
        <v>22105</v>
      </c>
      <c r="C2919" t="s">
        <v>1206</v>
      </c>
      <c r="D2919">
        <v>35</v>
      </c>
      <c r="E2919" t="s">
        <v>451</v>
      </c>
    </row>
    <row r="2920" spans="1:5" x14ac:dyDescent="0.25">
      <c r="A2920">
        <v>22105</v>
      </c>
      <c r="B2920" t="str">
        <f t="shared" si="46"/>
        <v>22105</v>
      </c>
      <c r="C2920" t="s">
        <v>1199</v>
      </c>
      <c r="D2920">
        <v>0</v>
      </c>
      <c r="E2920" t="s">
        <v>451</v>
      </c>
    </row>
    <row r="2921" spans="1:5" x14ac:dyDescent="0.25">
      <c r="A2921">
        <v>22105</v>
      </c>
      <c r="B2921" t="str">
        <f t="shared" si="46"/>
        <v>22105</v>
      </c>
      <c r="C2921" t="s">
        <v>1203</v>
      </c>
      <c r="D2921">
        <v>32.4</v>
      </c>
      <c r="E2921" t="s">
        <v>451</v>
      </c>
    </row>
    <row r="2922" spans="1:5" x14ac:dyDescent="0.25">
      <c r="A2922">
        <v>22105</v>
      </c>
      <c r="B2922" t="str">
        <f t="shared" si="46"/>
        <v>22105</v>
      </c>
      <c r="C2922" t="s">
        <v>1200</v>
      </c>
      <c r="D2922">
        <v>0</v>
      </c>
      <c r="E2922" t="s">
        <v>451</v>
      </c>
    </row>
    <row r="2923" spans="1:5" x14ac:dyDescent="0.25">
      <c r="A2923">
        <v>22105</v>
      </c>
      <c r="B2923" t="str">
        <f t="shared" si="46"/>
        <v>22105</v>
      </c>
      <c r="C2923" t="s">
        <v>1204</v>
      </c>
      <c r="D2923">
        <v>63.74</v>
      </c>
      <c r="E2923" t="s">
        <v>451</v>
      </c>
    </row>
    <row r="2924" spans="1:5" x14ac:dyDescent="0.25">
      <c r="A2924">
        <v>22105</v>
      </c>
      <c r="B2924" t="str">
        <f t="shared" si="46"/>
        <v>22105</v>
      </c>
      <c r="C2924" t="s">
        <v>1207</v>
      </c>
      <c r="D2924">
        <v>1.79</v>
      </c>
      <c r="E2924" t="s">
        <v>451</v>
      </c>
    </row>
    <row r="2925" spans="1:5" x14ac:dyDescent="0.25">
      <c r="A2925">
        <v>22105</v>
      </c>
      <c r="B2925" t="str">
        <f t="shared" si="46"/>
        <v>22105</v>
      </c>
      <c r="C2925" t="s">
        <v>1208</v>
      </c>
      <c r="D2925">
        <v>12.22</v>
      </c>
      <c r="E2925" t="s">
        <v>451</v>
      </c>
    </row>
    <row r="2926" spans="1:5" x14ac:dyDescent="0.25">
      <c r="A2926">
        <v>22105</v>
      </c>
      <c r="B2926" t="str">
        <f t="shared" si="46"/>
        <v>22105</v>
      </c>
      <c r="C2926" t="s">
        <v>1210</v>
      </c>
      <c r="D2926">
        <v>0</v>
      </c>
      <c r="E2926" t="s">
        <v>451</v>
      </c>
    </row>
    <row r="2927" spans="1:5" x14ac:dyDescent="0.25">
      <c r="A2927">
        <v>22105</v>
      </c>
      <c r="B2927" t="str">
        <f t="shared" si="46"/>
        <v>22105</v>
      </c>
      <c r="C2927" t="s">
        <v>1212</v>
      </c>
      <c r="D2927">
        <v>0</v>
      </c>
      <c r="E2927" t="s">
        <v>451</v>
      </c>
    </row>
    <row r="2928" spans="1:5" x14ac:dyDescent="0.25">
      <c r="A2928">
        <v>22105</v>
      </c>
      <c r="B2928" t="str">
        <f t="shared" si="46"/>
        <v>22105</v>
      </c>
      <c r="C2928" t="s">
        <v>1216</v>
      </c>
      <c r="D2928">
        <v>9.6</v>
      </c>
      <c r="E2928" t="s">
        <v>451</v>
      </c>
    </row>
    <row r="2929" spans="1:5" x14ac:dyDescent="0.25">
      <c r="A2929">
        <v>22105</v>
      </c>
      <c r="B2929" t="str">
        <f t="shared" si="46"/>
        <v>22105</v>
      </c>
      <c r="C2929" t="s">
        <v>1198</v>
      </c>
      <c r="D2929">
        <v>13.71</v>
      </c>
      <c r="E2929" t="s">
        <v>451</v>
      </c>
    </row>
    <row r="2930" spans="1:5" x14ac:dyDescent="0.25">
      <c r="A2930">
        <v>24105</v>
      </c>
      <c r="B2930" t="str">
        <f t="shared" si="46"/>
        <v>24105</v>
      </c>
      <c r="C2930" t="s">
        <v>1193</v>
      </c>
      <c r="D2930">
        <v>0</v>
      </c>
      <c r="E2930" t="s">
        <v>464</v>
      </c>
    </row>
    <row r="2931" spans="1:5" x14ac:dyDescent="0.25">
      <c r="A2931">
        <v>24105</v>
      </c>
      <c r="B2931" t="str">
        <f t="shared" si="46"/>
        <v>24105</v>
      </c>
      <c r="C2931" t="s">
        <v>1194</v>
      </c>
      <c r="D2931">
        <v>196</v>
      </c>
      <c r="E2931" t="s">
        <v>464</v>
      </c>
    </row>
    <row r="2932" spans="1:5" x14ac:dyDescent="0.25">
      <c r="A2932">
        <v>24105</v>
      </c>
      <c r="B2932" t="str">
        <f t="shared" si="46"/>
        <v>24105</v>
      </c>
      <c r="C2932" t="s">
        <v>1195</v>
      </c>
      <c r="D2932">
        <v>0</v>
      </c>
      <c r="E2932" t="s">
        <v>464</v>
      </c>
    </row>
    <row r="2933" spans="1:5" x14ac:dyDescent="0.25">
      <c r="A2933">
        <v>24105</v>
      </c>
      <c r="B2933" t="str">
        <f t="shared" si="46"/>
        <v>24105</v>
      </c>
      <c r="C2933" t="s">
        <v>1197</v>
      </c>
      <c r="D2933">
        <v>73.8</v>
      </c>
      <c r="E2933" t="s">
        <v>464</v>
      </c>
    </row>
    <row r="2934" spans="1:5" x14ac:dyDescent="0.25">
      <c r="A2934">
        <v>24105</v>
      </c>
      <c r="B2934" t="str">
        <f t="shared" si="46"/>
        <v>24105</v>
      </c>
      <c r="C2934" t="s">
        <v>1202</v>
      </c>
      <c r="D2934">
        <v>0</v>
      </c>
      <c r="E2934" t="s">
        <v>464</v>
      </c>
    </row>
    <row r="2935" spans="1:5" x14ac:dyDescent="0.25">
      <c r="A2935">
        <v>24105</v>
      </c>
      <c r="B2935" t="str">
        <f t="shared" si="46"/>
        <v>24105</v>
      </c>
      <c r="C2935" t="s">
        <v>1206</v>
      </c>
      <c r="D2935">
        <v>145.27000000000001</v>
      </c>
      <c r="E2935" t="s">
        <v>464</v>
      </c>
    </row>
    <row r="2936" spans="1:5" x14ac:dyDescent="0.25">
      <c r="A2936">
        <v>24105</v>
      </c>
      <c r="B2936" t="str">
        <f t="shared" si="46"/>
        <v>24105</v>
      </c>
      <c r="C2936" t="s">
        <v>1199</v>
      </c>
      <c r="D2936">
        <v>0</v>
      </c>
      <c r="E2936" t="s">
        <v>464</v>
      </c>
    </row>
    <row r="2937" spans="1:5" x14ac:dyDescent="0.25">
      <c r="A2937">
        <v>24105</v>
      </c>
      <c r="B2937" t="str">
        <f t="shared" si="46"/>
        <v>24105</v>
      </c>
      <c r="C2937" t="s">
        <v>1203</v>
      </c>
      <c r="D2937">
        <v>157.06</v>
      </c>
      <c r="E2937" t="s">
        <v>464</v>
      </c>
    </row>
    <row r="2938" spans="1:5" x14ac:dyDescent="0.25">
      <c r="A2938">
        <v>24105</v>
      </c>
      <c r="B2938" t="str">
        <f t="shared" si="46"/>
        <v>24105</v>
      </c>
      <c r="C2938" t="s">
        <v>1200</v>
      </c>
      <c r="D2938">
        <v>0</v>
      </c>
      <c r="E2938" t="s">
        <v>464</v>
      </c>
    </row>
    <row r="2939" spans="1:5" x14ac:dyDescent="0.25">
      <c r="A2939">
        <v>24105</v>
      </c>
      <c r="B2939" t="str">
        <f t="shared" si="46"/>
        <v>24105</v>
      </c>
      <c r="C2939" t="s">
        <v>1204</v>
      </c>
      <c r="D2939">
        <v>297.22000000000003</v>
      </c>
      <c r="E2939" t="s">
        <v>464</v>
      </c>
    </row>
    <row r="2940" spans="1:5" x14ac:dyDescent="0.25">
      <c r="A2940">
        <v>24105</v>
      </c>
      <c r="B2940" t="str">
        <f t="shared" si="46"/>
        <v>24105</v>
      </c>
      <c r="C2940" t="s">
        <v>1207</v>
      </c>
      <c r="D2940">
        <v>19.5</v>
      </c>
      <c r="E2940" t="s">
        <v>464</v>
      </c>
    </row>
    <row r="2941" spans="1:5" x14ac:dyDescent="0.25">
      <c r="A2941">
        <v>24105</v>
      </c>
      <c r="B2941" t="str">
        <f t="shared" si="46"/>
        <v>24105</v>
      </c>
      <c r="C2941" t="s">
        <v>1208</v>
      </c>
      <c r="D2941">
        <v>84.09</v>
      </c>
      <c r="E2941" t="s">
        <v>464</v>
      </c>
    </row>
    <row r="2942" spans="1:5" x14ac:dyDescent="0.25">
      <c r="A2942">
        <v>24105</v>
      </c>
      <c r="B2942" t="str">
        <f t="shared" si="46"/>
        <v>24105</v>
      </c>
      <c r="C2942" t="s">
        <v>1210</v>
      </c>
      <c r="D2942">
        <v>0</v>
      </c>
      <c r="E2942" t="s">
        <v>464</v>
      </c>
    </row>
    <row r="2943" spans="1:5" x14ac:dyDescent="0.25">
      <c r="A2943">
        <v>24105</v>
      </c>
      <c r="B2943" t="str">
        <f t="shared" si="46"/>
        <v>24105</v>
      </c>
      <c r="C2943" t="s">
        <v>1212</v>
      </c>
      <c r="D2943">
        <v>0</v>
      </c>
      <c r="E2943" t="s">
        <v>464</v>
      </c>
    </row>
    <row r="2944" spans="1:5" x14ac:dyDescent="0.25">
      <c r="A2944">
        <v>24105</v>
      </c>
      <c r="B2944" t="str">
        <f t="shared" si="46"/>
        <v>24105</v>
      </c>
      <c r="C2944" t="s">
        <v>1216</v>
      </c>
      <c r="D2944">
        <v>16</v>
      </c>
      <c r="E2944" t="s">
        <v>464</v>
      </c>
    </row>
    <row r="2945" spans="1:5" x14ac:dyDescent="0.25">
      <c r="A2945">
        <v>24105</v>
      </c>
      <c r="B2945" t="str">
        <f t="shared" si="46"/>
        <v>24105</v>
      </c>
      <c r="C2945" t="s">
        <v>1198</v>
      </c>
      <c r="D2945">
        <v>54.8</v>
      </c>
      <c r="E2945" t="s">
        <v>464</v>
      </c>
    </row>
    <row r="2946" spans="1:5" x14ac:dyDescent="0.25">
      <c r="A2946">
        <v>34111</v>
      </c>
      <c r="B2946" t="str">
        <f t="shared" si="46"/>
        <v>34111</v>
      </c>
      <c r="C2946" t="s">
        <v>1193</v>
      </c>
      <c r="D2946">
        <v>0</v>
      </c>
      <c r="E2946" t="s">
        <v>551</v>
      </c>
    </row>
    <row r="2947" spans="1:5" x14ac:dyDescent="0.25">
      <c r="A2947">
        <v>34111</v>
      </c>
      <c r="B2947" t="str">
        <f t="shared" ref="B2947:B3010" si="47">TEXT(A2947,"00000")</f>
        <v>34111</v>
      </c>
      <c r="C2947" t="s">
        <v>1194</v>
      </c>
      <c r="D2947">
        <v>1818.9</v>
      </c>
      <c r="E2947" t="s">
        <v>551</v>
      </c>
    </row>
    <row r="2948" spans="1:5" x14ac:dyDescent="0.25">
      <c r="A2948">
        <v>34111</v>
      </c>
      <c r="B2948" t="str">
        <f t="shared" si="47"/>
        <v>34111</v>
      </c>
      <c r="C2948" t="s">
        <v>1195</v>
      </c>
      <c r="D2948">
        <v>0</v>
      </c>
      <c r="E2948" t="s">
        <v>551</v>
      </c>
    </row>
    <row r="2949" spans="1:5" x14ac:dyDescent="0.25">
      <c r="A2949">
        <v>34111</v>
      </c>
      <c r="B2949" t="str">
        <f t="shared" si="47"/>
        <v>34111</v>
      </c>
      <c r="C2949" t="s">
        <v>1197</v>
      </c>
      <c r="D2949">
        <v>631.36</v>
      </c>
      <c r="E2949" t="s">
        <v>551</v>
      </c>
    </row>
    <row r="2950" spans="1:5" x14ac:dyDescent="0.25">
      <c r="A2950">
        <v>34111</v>
      </c>
      <c r="B2950" t="str">
        <f t="shared" si="47"/>
        <v>34111</v>
      </c>
      <c r="C2950" t="s">
        <v>1202</v>
      </c>
      <c r="D2950">
        <v>0</v>
      </c>
      <c r="E2950" t="s">
        <v>551</v>
      </c>
    </row>
    <row r="2951" spans="1:5" x14ac:dyDescent="0.25">
      <c r="A2951">
        <v>34111</v>
      </c>
      <c r="B2951" t="str">
        <f t="shared" si="47"/>
        <v>34111</v>
      </c>
      <c r="C2951" t="s">
        <v>1206</v>
      </c>
      <c r="D2951">
        <v>1340.52</v>
      </c>
      <c r="E2951" t="s">
        <v>551</v>
      </c>
    </row>
    <row r="2952" spans="1:5" x14ac:dyDescent="0.25">
      <c r="A2952">
        <v>34111</v>
      </c>
      <c r="B2952" t="str">
        <f t="shared" si="47"/>
        <v>34111</v>
      </c>
      <c r="C2952" t="s">
        <v>1199</v>
      </c>
      <c r="D2952">
        <v>0</v>
      </c>
      <c r="E2952" t="s">
        <v>551</v>
      </c>
    </row>
    <row r="2953" spans="1:5" x14ac:dyDescent="0.25">
      <c r="A2953">
        <v>34111</v>
      </c>
      <c r="B2953" t="str">
        <f t="shared" si="47"/>
        <v>34111</v>
      </c>
      <c r="C2953" t="s">
        <v>1203</v>
      </c>
      <c r="D2953">
        <v>1398.84</v>
      </c>
      <c r="E2953" t="s">
        <v>551</v>
      </c>
    </row>
    <row r="2954" spans="1:5" x14ac:dyDescent="0.25">
      <c r="A2954">
        <v>34111</v>
      </c>
      <c r="B2954" t="str">
        <f t="shared" si="47"/>
        <v>34111</v>
      </c>
      <c r="C2954" t="s">
        <v>1200</v>
      </c>
      <c r="D2954">
        <v>0</v>
      </c>
      <c r="E2954" t="s">
        <v>551</v>
      </c>
    </row>
    <row r="2955" spans="1:5" x14ac:dyDescent="0.25">
      <c r="A2955">
        <v>34111</v>
      </c>
      <c r="B2955" t="str">
        <f t="shared" si="47"/>
        <v>34111</v>
      </c>
      <c r="C2955" t="s">
        <v>1204</v>
      </c>
      <c r="D2955">
        <v>2749.25</v>
      </c>
      <c r="E2955" t="s">
        <v>551</v>
      </c>
    </row>
    <row r="2956" spans="1:5" x14ac:dyDescent="0.25">
      <c r="A2956">
        <v>34111</v>
      </c>
      <c r="B2956" t="str">
        <f t="shared" si="47"/>
        <v>34111</v>
      </c>
      <c r="C2956" t="s">
        <v>1207</v>
      </c>
      <c r="D2956">
        <v>136.01</v>
      </c>
      <c r="E2956" t="s">
        <v>551</v>
      </c>
    </row>
    <row r="2957" spans="1:5" x14ac:dyDescent="0.25">
      <c r="A2957">
        <v>34111</v>
      </c>
      <c r="B2957" t="str">
        <f t="shared" si="47"/>
        <v>34111</v>
      </c>
      <c r="C2957" t="s">
        <v>1208</v>
      </c>
      <c r="D2957">
        <v>574.76</v>
      </c>
      <c r="E2957" t="s">
        <v>551</v>
      </c>
    </row>
    <row r="2958" spans="1:5" x14ac:dyDescent="0.25">
      <c r="A2958">
        <v>34111</v>
      </c>
      <c r="B2958" t="str">
        <f t="shared" si="47"/>
        <v>34111</v>
      </c>
      <c r="C2958" t="s">
        <v>1210</v>
      </c>
      <c r="D2958">
        <v>0</v>
      </c>
      <c r="E2958" t="s">
        <v>551</v>
      </c>
    </row>
    <row r="2959" spans="1:5" x14ac:dyDescent="0.25">
      <c r="A2959">
        <v>34111</v>
      </c>
      <c r="B2959" t="str">
        <f t="shared" si="47"/>
        <v>34111</v>
      </c>
      <c r="C2959" t="s">
        <v>1212</v>
      </c>
      <c r="D2959">
        <v>0</v>
      </c>
      <c r="E2959" t="s">
        <v>551</v>
      </c>
    </row>
    <row r="2960" spans="1:5" x14ac:dyDescent="0.25">
      <c r="A2960">
        <v>34111</v>
      </c>
      <c r="B2960" t="str">
        <f t="shared" si="47"/>
        <v>34111</v>
      </c>
      <c r="C2960" t="s">
        <v>1216</v>
      </c>
      <c r="D2960">
        <v>31.6</v>
      </c>
      <c r="E2960" t="s">
        <v>551</v>
      </c>
    </row>
    <row r="2961" spans="1:5" x14ac:dyDescent="0.25">
      <c r="A2961">
        <v>34111</v>
      </c>
      <c r="B2961" t="str">
        <f t="shared" si="47"/>
        <v>34111</v>
      </c>
      <c r="C2961" t="s">
        <v>1198</v>
      </c>
      <c r="D2961">
        <v>513.59</v>
      </c>
      <c r="E2961" t="s">
        <v>551</v>
      </c>
    </row>
    <row r="2962" spans="1:5" x14ac:dyDescent="0.25">
      <c r="A2962">
        <v>24019</v>
      </c>
      <c r="B2962" t="str">
        <f t="shared" si="47"/>
        <v>24019</v>
      </c>
      <c r="C2962" t="s">
        <v>1193</v>
      </c>
      <c r="D2962">
        <v>0</v>
      </c>
      <c r="E2962" t="s">
        <v>463</v>
      </c>
    </row>
    <row r="2963" spans="1:5" x14ac:dyDescent="0.25">
      <c r="A2963">
        <v>24019</v>
      </c>
      <c r="B2963" t="str">
        <f t="shared" si="47"/>
        <v>24019</v>
      </c>
      <c r="C2963" t="s">
        <v>1194</v>
      </c>
      <c r="D2963">
        <v>355.7</v>
      </c>
      <c r="E2963" t="s">
        <v>463</v>
      </c>
    </row>
    <row r="2964" spans="1:5" x14ac:dyDescent="0.25">
      <c r="A2964">
        <v>24019</v>
      </c>
      <c r="B2964" t="str">
        <f t="shared" si="47"/>
        <v>24019</v>
      </c>
      <c r="C2964" t="s">
        <v>1195</v>
      </c>
      <c r="D2964">
        <v>0</v>
      </c>
      <c r="E2964" t="s">
        <v>463</v>
      </c>
    </row>
    <row r="2965" spans="1:5" x14ac:dyDescent="0.25">
      <c r="A2965">
        <v>24019</v>
      </c>
      <c r="B2965" t="str">
        <f t="shared" si="47"/>
        <v>24019</v>
      </c>
      <c r="C2965" t="s">
        <v>1197</v>
      </c>
      <c r="D2965">
        <v>109.8</v>
      </c>
      <c r="E2965" t="s">
        <v>463</v>
      </c>
    </row>
    <row r="2966" spans="1:5" x14ac:dyDescent="0.25">
      <c r="A2966">
        <v>24019</v>
      </c>
      <c r="B2966" t="str">
        <f t="shared" si="47"/>
        <v>24019</v>
      </c>
      <c r="C2966" t="s">
        <v>1202</v>
      </c>
      <c r="D2966">
        <v>0</v>
      </c>
      <c r="E2966" t="s">
        <v>463</v>
      </c>
    </row>
    <row r="2967" spans="1:5" x14ac:dyDescent="0.25">
      <c r="A2967">
        <v>24019</v>
      </c>
      <c r="B2967" t="str">
        <f t="shared" si="47"/>
        <v>24019</v>
      </c>
      <c r="C2967" t="s">
        <v>1206</v>
      </c>
      <c r="D2967">
        <v>196.88</v>
      </c>
      <c r="E2967" t="s">
        <v>463</v>
      </c>
    </row>
    <row r="2968" spans="1:5" x14ac:dyDescent="0.25">
      <c r="A2968">
        <v>24019</v>
      </c>
      <c r="B2968" t="str">
        <f t="shared" si="47"/>
        <v>24019</v>
      </c>
      <c r="C2968" t="s">
        <v>1199</v>
      </c>
      <c r="D2968">
        <v>0</v>
      </c>
      <c r="E2968" t="s">
        <v>463</v>
      </c>
    </row>
    <row r="2969" spans="1:5" x14ac:dyDescent="0.25">
      <c r="A2969">
        <v>24019</v>
      </c>
      <c r="B2969" t="str">
        <f t="shared" si="47"/>
        <v>24019</v>
      </c>
      <c r="C2969" t="s">
        <v>1203</v>
      </c>
      <c r="D2969">
        <v>210.01</v>
      </c>
      <c r="E2969" t="s">
        <v>463</v>
      </c>
    </row>
    <row r="2970" spans="1:5" x14ac:dyDescent="0.25">
      <c r="A2970">
        <v>24019</v>
      </c>
      <c r="B2970" t="str">
        <f t="shared" si="47"/>
        <v>24019</v>
      </c>
      <c r="C2970" t="s">
        <v>1200</v>
      </c>
      <c r="D2970">
        <v>0</v>
      </c>
      <c r="E2970" t="s">
        <v>463</v>
      </c>
    </row>
    <row r="2971" spans="1:5" x14ac:dyDescent="0.25">
      <c r="A2971">
        <v>24019</v>
      </c>
      <c r="B2971" t="str">
        <f t="shared" si="47"/>
        <v>24019</v>
      </c>
      <c r="C2971" t="s">
        <v>1204</v>
      </c>
      <c r="D2971">
        <v>397.87</v>
      </c>
      <c r="E2971" t="s">
        <v>463</v>
      </c>
    </row>
    <row r="2972" spans="1:5" x14ac:dyDescent="0.25">
      <c r="A2972">
        <v>24019</v>
      </c>
      <c r="B2972" t="str">
        <f t="shared" si="47"/>
        <v>24019</v>
      </c>
      <c r="C2972" t="s">
        <v>1207</v>
      </c>
      <c r="D2972">
        <v>30.33</v>
      </c>
      <c r="E2972" t="s">
        <v>463</v>
      </c>
    </row>
    <row r="2973" spans="1:5" x14ac:dyDescent="0.25">
      <c r="A2973">
        <v>24019</v>
      </c>
      <c r="B2973" t="str">
        <f t="shared" si="47"/>
        <v>24019</v>
      </c>
      <c r="C2973" t="s">
        <v>1208</v>
      </c>
      <c r="D2973">
        <v>131.62</v>
      </c>
      <c r="E2973" t="s">
        <v>463</v>
      </c>
    </row>
    <row r="2974" spans="1:5" x14ac:dyDescent="0.25">
      <c r="A2974">
        <v>24019</v>
      </c>
      <c r="B2974" t="str">
        <f t="shared" si="47"/>
        <v>24019</v>
      </c>
      <c r="C2974" t="s">
        <v>1210</v>
      </c>
      <c r="D2974">
        <v>0</v>
      </c>
      <c r="E2974" t="s">
        <v>463</v>
      </c>
    </row>
    <row r="2975" spans="1:5" x14ac:dyDescent="0.25">
      <c r="A2975">
        <v>24019</v>
      </c>
      <c r="B2975" t="str">
        <f t="shared" si="47"/>
        <v>24019</v>
      </c>
      <c r="C2975" t="s">
        <v>1212</v>
      </c>
      <c r="D2975">
        <v>0</v>
      </c>
      <c r="E2975" t="s">
        <v>463</v>
      </c>
    </row>
    <row r="2976" spans="1:5" x14ac:dyDescent="0.25">
      <c r="A2976">
        <v>24019</v>
      </c>
      <c r="B2976" t="str">
        <f t="shared" si="47"/>
        <v>24019</v>
      </c>
      <c r="C2976" t="s">
        <v>1216</v>
      </c>
      <c r="D2976">
        <v>0</v>
      </c>
      <c r="E2976" t="s">
        <v>463</v>
      </c>
    </row>
    <row r="2977" spans="1:5" x14ac:dyDescent="0.25">
      <c r="A2977">
        <v>24019</v>
      </c>
      <c r="B2977" t="str">
        <f t="shared" si="47"/>
        <v>24019</v>
      </c>
      <c r="C2977" t="s">
        <v>1198</v>
      </c>
      <c r="D2977">
        <v>90.22</v>
      </c>
      <c r="E2977" t="s">
        <v>463</v>
      </c>
    </row>
    <row r="2978" spans="1:5" x14ac:dyDescent="0.25">
      <c r="A2978">
        <v>21300</v>
      </c>
      <c r="B2978" t="str">
        <f t="shared" si="47"/>
        <v>21300</v>
      </c>
      <c r="C2978" t="s">
        <v>1193</v>
      </c>
      <c r="D2978">
        <v>0</v>
      </c>
      <c r="E2978" t="s">
        <v>442</v>
      </c>
    </row>
    <row r="2979" spans="1:5" x14ac:dyDescent="0.25">
      <c r="A2979">
        <v>21300</v>
      </c>
      <c r="B2979" t="str">
        <f t="shared" si="47"/>
        <v>21300</v>
      </c>
      <c r="C2979" t="s">
        <v>1194</v>
      </c>
      <c r="D2979">
        <v>185.1</v>
      </c>
      <c r="E2979" t="s">
        <v>442</v>
      </c>
    </row>
    <row r="2980" spans="1:5" x14ac:dyDescent="0.25">
      <c r="A2980">
        <v>21300</v>
      </c>
      <c r="B2980" t="str">
        <f t="shared" si="47"/>
        <v>21300</v>
      </c>
      <c r="C2980" t="s">
        <v>1195</v>
      </c>
      <c r="D2980">
        <v>0</v>
      </c>
      <c r="E2980" t="s">
        <v>442</v>
      </c>
    </row>
    <row r="2981" spans="1:5" x14ac:dyDescent="0.25">
      <c r="A2981">
        <v>21300</v>
      </c>
      <c r="B2981" t="str">
        <f t="shared" si="47"/>
        <v>21300</v>
      </c>
      <c r="C2981" t="s">
        <v>1197</v>
      </c>
      <c r="D2981">
        <v>59.2</v>
      </c>
      <c r="E2981" t="s">
        <v>442</v>
      </c>
    </row>
    <row r="2982" spans="1:5" x14ac:dyDescent="0.25">
      <c r="A2982">
        <v>21300</v>
      </c>
      <c r="B2982" t="str">
        <f t="shared" si="47"/>
        <v>21300</v>
      </c>
      <c r="C2982" t="s">
        <v>1202</v>
      </c>
      <c r="D2982">
        <v>0</v>
      </c>
      <c r="E2982" t="s">
        <v>442</v>
      </c>
    </row>
    <row r="2983" spans="1:5" x14ac:dyDescent="0.25">
      <c r="A2983">
        <v>21300</v>
      </c>
      <c r="B2983" t="str">
        <f t="shared" si="47"/>
        <v>21300</v>
      </c>
      <c r="C2983" t="s">
        <v>1206</v>
      </c>
      <c r="D2983">
        <v>127.96</v>
      </c>
      <c r="E2983" t="s">
        <v>442</v>
      </c>
    </row>
    <row r="2984" spans="1:5" x14ac:dyDescent="0.25">
      <c r="A2984">
        <v>21300</v>
      </c>
      <c r="B2984" t="str">
        <f t="shared" si="47"/>
        <v>21300</v>
      </c>
      <c r="C2984" t="s">
        <v>1199</v>
      </c>
      <c r="D2984">
        <v>0</v>
      </c>
      <c r="E2984" t="s">
        <v>442</v>
      </c>
    </row>
    <row r="2985" spans="1:5" x14ac:dyDescent="0.25">
      <c r="A2985">
        <v>21300</v>
      </c>
      <c r="B2985" t="str">
        <f t="shared" si="47"/>
        <v>21300</v>
      </c>
      <c r="C2985" t="s">
        <v>1203</v>
      </c>
      <c r="D2985">
        <v>132.38</v>
      </c>
      <c r="E2985" t="s">
        <v>442</v>
      </c>
    </row>
    <row r="2986" spans="1:5" x14ac:dyDescent="0.25">
      <c r="A2986">
        <v>21300</v>
      </c>
      <c r="B2986" t="str">
        <f t="shared" si="47"/>
        <v>21300</v>
      </c>
      <c r="C2986" t="s">
        <v>1200</v>
      </c>
      <c r="D2986">
        <v>0</v>
      </c>
      <c r="E2986" t="s">
        <v>442</v>
      </c>
    </row>
    <row r="2987" spans="1:5" x14ac:dyDescent="0.25">
      <c r="A2987">
        <v>21300</v>
      </c>
      <c r="B2987" t="str">
        <f t="shared" si="47"/>
        <v>21300</v>
      </c>
      <c r="C2987" t="s">
        <v>1204</v>
      </c>
      <c r="D2987">
        <v>235.52</v>
      </c>
      <c r="E2987" t="s">
        <v>442</v>
      </c>
    </row>
    <row r="2988" spans="1:5" x14ac:dyDescent="0.25">
      <c r="A2988">
        <v>21300</v>
      </c>
      <c r="B2988" t="str">
        <f t="shared" si="47"/>
        <v>21300</v>
      </c>
      <c r="C2988" t="s">
        <v>1207</v>
      </c>
      <c r="D2988">
        <v>17.25</v>
      </c>
      <c r="E2988" t="s">
        <v>442</v>
      </c>
    </row>
    <row r="2989" spans="1:5" x14ac:dyDescent="0.25">
      <c r="A2989">
        <v>21300</v>
      </c>
      <c r="B2989" t="str">
        <f t="shared" si="47"/>
        <v>21300</v>
      </c>
      <c r="C2989" t="s">
        <v>1208</v>
      </c>
      <c r="D2989">
        <v>95.83</v>
      </c>
      <c r="E2989" t="s">
        <v>442</v>
      </c>
    </row>
    <row r="2990" spans="1:5" x14ac:dyDescent="0.25">
      <c r="A2990">
        <v>21300</v>
      </c>
      <c r="B2990" t="str">
        <f t="shared" si="47"/>
        <v>21300</v>
      </c>
      <c r="C2990" t="s">
        <v>1210</v>
      </c>
      <c r="D2990">
        <v>0</v>
      </c>
      <c r="E2990" t="s">
        <v>442</v>
      </c>
    </row>
    <row r="2991" spans="1:5" x14ac:dyDescent="0.25">
      <c r="A2991">
        <v>21300</v>
      </c>
      <c r="B2991" t="str">
        <f t="shared" si="47"/>
        <v>21300</v>
      </c>
      <c r="C2991" t="s">
        <v>1212</v>
      </c>
      <c r="D2991">
        <v>0</v>
      </c>
      <c r="E2991" t="s">
        <v>442</v>
      </c>
    </row>
    <row r="2992" spans="1:5" x14ac:dyDescent="0.25">
      <c r="A2992">
        <v>21300</v>
      </c>
      <c r="B2992" t="str">
        <f t="shared" si="47"/>
        <v>21300</v>
      </c>
      <c r="C2992" t="s">
        <v>1216</v>
      </c>
      <c r="D2992">
        <v>18</v>
      </c>
      <c r="E2992" t="s">
        <v>442</v>
      </c>
    </row>
    <row r="2993" spans="1:5" x14ac:dyDescent="0.25">
      <c r="A2993">
        <v>21300</v>
      </c>
      <c r="B2993" t="str">
        <f t="shared" si="47"/>
        <v>21300</v>
      </c>
      <c r="C2993" t="s">
        <v>1198</v>
      </c>
      <c r="D2993">
        <v>70.7</v>
      </c>
      <c r="E2993" t="s">
        <v>442</v>
      </c>
    </row>
    <row r="2994" spans="1:5" x14ac:dyDescent="0.25">
      <c r="A2994">
        <v>33030</v>
      </c>
      <c r="B2994" t="str">
        <f t="shared" si="47"/>
        <v>33030</v>
      </c>
      <c r="C2994" t="s">
        <v>1193</v>
      </c>
      <c r="D2994">
        <v>0</v>
      </c>
      <c r="E2994" t="s">
        <v>536</v>
      </c>
    </row>
    <row r="2995" spans="1:5" x14ac:dyDescent="0.25">
      <c r="A2995">
        <v>33030</v>
      </c>
      <c r="B2995" t="str">
        <f t="shared" si="47"/>
        <v>33030</v>
      </c>
      <c r="C2995" t="s">
        <v>1194</v>
      </c>
      <c r="D2995">
        <v>12.4</v>
      </c>
      <c r="E2995" t="s">
        <v>536</v>
      </c>
    </row>
    <row r="2996" spans="1:5" x14ac:dyDescent="0.25">
      <c r="A2996">
        <v>33030</v>
      </c>
      <c r="B2996" t="str">
        <f t="shared" si="47"/>
        <v>33030</v>
      </c>
      <c r="C2996" t="s">
        <v>1195</v>
      </c>
      <c r="D2996">
        <v>0</v>
      </c>
      <c r="E2996" t="s">
        <v>536</v>
      </c>
    </row>
    <row r="2997" spans="1:5" x14ac:dyDescent="0.25">
      <c r="A2997">
        <v>33030</v>
      </c>
      <c r="B2997" t="str">
        <f t="shared" si="47"/>
        <v>33030</v>
      </c>
      <c r="C2997" t="s">
        <v>1197</v>
      </c>
      <c r="D2997">
        <v>8</v>
      </c>
      <c r="E2997" t="s">
        <v>536</v>
      </c>
    </row>
    <row r="2998" spans="1:5" x14ac:dyDescent="0.25">
      <c r="A2998">
        <v>33030</v>
      </c>
      <c r="B2998" t="str">
        <f t="shared" si="47"/>
        <v>33030</v>
      </c>
      <c r="C2998" t="s">
        <v>1202</v>
      </c>
      <c r="D2998">
        <v>0</v>
      </c>
      <c r="E2998" t="s">
        <v>536</v>
      </c>
    </row>
    <row r="2999" spans="1:5" x14ac:dyDescent="0.25">
      <c r="A2999">
        <v>33030</v>
      </c>
      <c r="B2999" t="str">
        <f t="shared" si="47"/>
        <v>33030</v>
      </c>
      <c r="C2999" t="s">
        <v>1206</v>
      </c>
      <c r="D2999">
        <v>8.8000000000000007</v>
      </c>
      <c r="E2999" t="s">
        <v>536</v>
      </c>
    </row>
    <row r="3000" spans="1:5" x14ac:dyDescent="0.25">
      <c r="A3000">
        <v>33030</v>
      </c>
      <c r="B3000" t="str">
        <f t="shared" si="47"/>
        <v>33030</v>
      </c>
      <c r="C3000" t="s">
        <v>1199</v>
      </c>
      <c r="D3000">
        <v>0</v>
      </c>
      <c r="E3000" t="s">
        <v>536</v>
      </c>
    </row>
    <row r="3001" spans="1:5" x14ac:dyDescent="0.25">
      <c r="A3001">
        <v>33030</v>
      </c>
      <c r="B3001" t="str">
        <f t="shared" si="47"/>
        <v>33030</v>
      </c>
      <c r="C3001" t="s">
        <v>1203</v>
      </c>
      <c r="D3001">
        <v>6.2</v>
      </c>
      <c r="E3001" t="s">
        <v>536</v>
      </c>
    </row>
    <row r="3002" spans="1:5" x14ac:dyDescent="0.25">
      <c r="A3002">
        <v>33030</v>
      </c>
      <c r="B3002" t="str">
        <f t="shared" si="47"/>
        <v>33030</v>
      </c>
      <c r="C3002" t="s">
        <v>1200</v>
      </c>
      <c r="D3002">
        <v>0</v>
      </c>
      <c r="E3002" t="s">
        <v>536</v>
      </c>
    </row>
    <row r="3003" spans="1:5" x14ac:dyDescent="0.25">
      <c r="A3003">
        <v>33030</v>
      </c>
      <c r="B3003" t="str">
        <f t="shared" si="47"/>
        <v>33030</v>
      </c>
      <c r="C3003" t="s">
        <v>1204</v>
      </c>
      <c r="D3003">
        <v>0</v>
      </c>
      <c r="E3003" t="s">
        <v>536</v>
      </c>
    </row>
    <row r="3004" spans="1:5" x14ac:dyDescent="0.25">
      <c r="A3004">
        <v>33030</v>
      </c>
      <c r="B3004" t="str">
        <f t="shared" si="47"/>
        <v>33030</v>
      </c>
      <c r="C3004" t="s">
        <v>1207</v>
      </c>
      <c r="D3004">
        <v>0</v>
      </c>
      <c r="E3004" t="s">
        <v>536</v>
      </c>
    </row>
    <row r="3005" spans="1:5" x14ac:dyDescent="0.25">
      <c r="A3005">
        <v>33030</v>
      </c>
      <c r="B3005" t="str">
        <f t="shared" si="47"/>
        <v>33030</v>
      </c>
      <c r="C3005" t="s">
        <v>1208</v>
      </c>
      <c r="D3005">
        <v>0</v>
      </c>
      <c r="E3005" t="s">
        <v>536</v>
      </c>
    </row>
    <row r="3006" spans="1:5" x14ac:dyDescent="0.25">
      <c r="A3006">
        <v>33030</v>
      </c>
      <c r="B3006" t="str">
        <f t="shared" si="47"/>
        <v>33030</v>
      </c>
      <c r="C3006" t="s">
        <v>1210</v>
      </c>
      <c r="D3006">
        <v>0</v>
      </c>
      <c r="E3006" t="s">
        <v>536</v>
      </c>
    </row>
    <row r="3007" spans="1:5" x14ac:dyDescent="0.25">
      <c r="A3007">
        <v>33030</v>
      </c>
      <c r="B3007" t="str">
        <f t="shared" si="47"/>
        <v>33030</v>
      </c>
      <c r="C3007" t="s">
        <v>1212</v>
      </c>
      <c r="D3007">
        <v>0</v>
      </c>
      <c r="E3007" t="s">
        <v>536</v>
      </c>
    </row>
    <row r="3008" spans="1:5" x14ac:dyDescent="0.25">
      <c r="A3008">
        <v>33030</v>
      </c>
      <c r="B3008" t="str">
        <f t="shared" si="47"/>
        <v>33030</v>
      </c>
      <c r="C3008" t="s">
        <v>1216</v>
      </c>
      <c r="D3008">
        <v>0</v>
      </c>
      <c r="E3008" t="s">
        <v>536</v>
      </c>
    </row>
    <row r="3009" spans="1:5" x14ac:dyDescent="0.25">
      <c r="A3009">
        <v>33030</v>
      </c>
      <c r="B3009" t="str">
        <f t="shared" si="47"/>
        <v>33030</v>
      </c>
      <c r="C3009" t="s">
        <v>1198</v>
      </c>
      <c r="D3009">
        <v>5</v>
      </c>
      <c r="E3009" t="s">
        <v>536</v>
      </c>
    </row>
    <row r="3010" spans="1:5" x14ac:dyDescent="0.25">
      <c r="A3010">
        <v>28137</v>
      </c>
      <c r="B3010" t="str">
        <f t="shared" si="47"/>
        <v>28137</v>
      </c>
      <c r="C3010" t="s">
        <v>1193</v>
      </c>
      <c r="D3010">
        <v>0</v>
      </c>
      <c r="E3010" t="s">
        <v>494</v>
      </c>
    </row>
    <row r="3011" spans="1:5" x14ac:dyDescent="0.25">
      <c r="A3011">
        <v>28137</v>
      </c>
      <c r="B3011" t="str">
        <f t="shared" ref="B3011:B3074" si="48">TEXT(A3011,"00000")</f>
        <v>28137</v>
      </c>
      <c r="C3011" t="s">
        <v>1194</v>
      </c>
      <c r="D3011">
        <v>105</v>
      </c>
      <c r="E3011" t="s">
        <v>494</v>
      </c>
    </row>
    <row r="3012" spans="1:5" x14ac:dyDescent="0.25">
      <c r="A3012">
        <v>28137</v>
      </c>
      <c r="B3012" t="str">
        <f t="shared" si="48"/>
        <v>28137</v>
      </c>
      <c r="C3012" t="s">
        <v>1195</v>
      </c>
      <c r="D3012">
        <v>0</v>
      </c>
      <c r="E3012" t="s">
        <v>494</v>
      </c>
    </row>
    <row r="3013" spans="1:5" x14ac:dyDescent="0.25">
      <c r="A3013">
        <v>28137</v>
      </c>
      <c r="B3013" t="str">
        <f t="shared" si="48"/>
        <v>28137</v>
      </c>
      <c r="C3013" t="s">
        <v>1197</v>
      </c>
      <c r="D3013">
        <v>27.88</v>
      </c>
      <c r="E3013" t="s">
        <v>494</v>
      </c>
    </row>
    <row r="3014" spans="1:5" x14ac:dyDescent="0.25">
      <c r="A3014">
        <v>28137</v>
      </c>
      <c r="B3014" t="str">
        <f t="shared" si="48"/>
        <v>28137</v>
      </c>
      <c r="C3014" t="s">
        <v>1202</v>
      </c>
      <c r="D3014">
        <v>0</v>
      </c>
      <c r="E3014" t="s">
        <v>494</v>
      </c>
    </row>
    <row r="3015" spans="1:5" x14ac:dyDescent="0.25">
      <c r="A3015">
        <v>28137</v>
      </c>
      <c r="B3015" t="str">
        <f t="shared" si="48"/>
        <v>28137</v>
      </c>
      <c r="C3015" t="s">
        <v>1206</v>
      </c>
      <c r="D3015">
        <v>63.34</v>
      </c>
      <c r="E3015" t="s">
        <v>494</v>
      </c>
    </row>
    <row r="3016" spans="1:5" x14ac:dyDescent="0.25">
      <c r="A3016">
        <v>28137</v>
      </c>
      <c r="B3016" t="str">
        <f t="shared" si="48"/>
        <v>28137</v>
      </c>
      <c r="C3016" t="s">
        <v>1199</v>
      </c>
      <c r="D3016">
        <v>0</v>
      </c>
      <c r="E3016" t="s">
        <v>494</v>
      </c>
    </row>
    <row r="3017" spans="1:5" x14ac:dyDescent="0.25">
      <c r="A3017">
        <v>28137</v>
      </c>
      <c r="B3017" t="str">
        <f t="shared" si="48"/>
        <v>28137</v>
      </c>
      <c r="C3017" t="s">
        <v>1203</v>
      </c>
      <c r="D3017">
        <v>70.510000000000005</v>
      </c>
      <c r="E3017" t="s">
        <v>494</v>
      </c>
    </row>
    <row r="3018" spans="1:5" x14ac:dyDescent="0.25">
      <c r="A3018">
        <v>28137</v>
      </c>
      <c r="B3018" t="str">
        <f t="shared" si="48"/>
        <v>28137</v>
      </c>
      <c r="C3018" t="s">
        <v>1200</v>
      </c>
      <c r="D3018">
        <v>0</v>
      </c>
      <c r="E3018" t="s">
        <v>494</v>
      </c>
    </row>
    <row r="3019" spans="1:5" x14ac:dyDescent="0.25">
      <c r="A3019">
        <v>28137</v>
      </c>
      <c r="B3019" t="str">
        <f t="shared" si="48"/>
        <v>28137</v>
      </c>
      <c r="C3019" t="s">
        <v>1204</v>
      </c>
      <c r="D3019">
        <v>165.83</v>
      </c>
      <c r="E3019" t="s">
        <v>494</v>
      </c>
    </row>
    <row r="3020" spans="1:5" x14ac:dyDescent="0.25">
      <c r="A3020">
        <v>28137</v>
      </c>
      <c r="B3020" t="str">
        <f t="shared" si="48"/>
        <v>28137</v>
      </c>
      <c r="C3020" t="s">
        <v>1207</v>
      </c>
      <c r="D3020">
        <v>0</v>
      </c>
      <c r="E3020" t="s">
        <v>494</v>
      </c>
    </row>
    <row r="3021" spans="1:5" x14ac:dyDescent="0.25">
      <c r="A3021">
        <v>28137</v>
      </c>
      <c r="B3021" t="str">
        <f t="shared" si="48"/>
        <v>28137</v>
      </c>
      <c r="C3021" t="s">
        <v>1208</v>
      </c>
      <c r="D3021">
        <v>13.53</v>
      </c>
      <c r="E3021" t="s">
        <v>494</v>
      </c>
    </row>
    <row r="3022" spans="1:5" x14ac:dyDescent="0.25">
      <c r="A3022">
        <v>28137</v>
      </c>
      <c r="B3022" t="str">
        <f t="shared" si="48"/>
        <v>28137</v>
      </c>
      <c r="C3022" t="s">
        <v>1210</v>
      </c>
      <c r="D3022">
        <v>0</v>
      </c>
      <c r="E3022" t="s">
        <v>494</v>
      </c>
    </row>
    <row r="3023" spans="1:5" x14ac:dyDescent="0.25">
      <c r="A3023">
        <v>28137</v>
      </c>
      <c r="B3023" t="str">
        <f t="shared" si="48"/>
        <v>28137</v>
      </c>
      <c r="C3023" t="s">
        <v>1212</v>
      </c>
      <c r="D3023">
        <v>0</v>
      </c>
      <c r="E3023" t="s">
        <v>494</v>
      </c>
    </row>
    <row r="3024" spans="1:5" x14ac:dyDescent="0.25">
      <c r="A3024">
        <v>28137</v>
      </c>
      <c r="B3024" t="str">
        <f t="shared" si="48"/>
        <v>28137</v>
      </c>
      <c r="C3024" t="s">
        <v>1216</v>
      </c>
      <c r="D3024">
        <v>0</v>
      </c>
      <c r="E3024" t="s">
        <v>494</v>
      </c>
    </row>
    <row r="3025" spans="1:5" x14ac:dyDescent="0.25">
      <c r="A3025">
        <v>28137</v>
      </c>
      <c r="B3025" t="str">
        <f t="shared" si="48"/>
        <v>28137</v>
      </c>
      <c r="C3025" t="s">
        <v>1198</v>
      </c>
      <c r="D3025">
        <v>17.23</v>
      </c>
      <c r="E3025" t="s">
        <v>494</v>
      </c>
    </row>
    <row r="3026" spans="1:5" x14ac:dyDescent="0.25">
      <c r="A3026">
        <v>32123</v>
      </c>
      <c r="B3026" t="str">
        <f t="shared" si="48"/>
        <v>32123</v>
      </c>
      <c r="C3026" t="s">
        <v>1193</v>
      </c>
      <c r="D3026">
        <v>0</v>
      </c>
      <c r="E3026" t="s">
        <v>523</v>
      </c>
    </row>
    <row r="3027" spans="1:5" x14ac:dyDescent="0.25">
      <c r="A3027">
        <v>32123</v>
      </c>
      <c r="B3027" t="str">
        <f t="shared" si="48"/>
        <v>32123</v>
      </c>
      <c r="C3027" t="s">
        <v>1194</v>
      </c>
      <c r="D3027">
        <v>31</v>
      </c>
      <c r="E3027" t="s">
        <v>523</v>
      </c>
    </row>
    <row r="3028" spans="1:5" x14ac:dyDescent="0.25">
      <c r="A3028">
        <v>32123</v>
      </c>
      <c r="B3028" t="str">
        <f t="shared" si="48"/>
        <v>32123</v>
      </c>
      <c r="C3028" t="s">
        <v>1195</v>
      </c>
      <c r="D3028">
        <v>0</v>
      </c>
      <c r="E3028" t="s">
        <v>523</v>
      </c>
    </row>
    <row r="3029" spans="1:5" x14ac:dyDescent="0.25">
      <c r="A3029">
        <v>32123</v>
      </c>
      <c r="B3029" t="str">
        <f t="shared" si="48"/>
        <v>32123</v>
      </c>
      <c r="C3029" t="s">
        <v>1197</v>
      </c>
      <c r="D3029">
        <v>11</v>
      </c>
      <c r="E3029" t="s">
        <v>523</v>
      </c>
    </row>
    <row r="3030" spans="1:5" x14ac:dyDescent="0.25">
      <c r="A3030">
        <v>32123</v>
      </c>
      <c r="B3030" t="str">
        <f t="shared" si="48"/>
        <v>32123</v>
      </c>
      <c r="C3030" t="s">
        <v>1202</v>
      </c>
      <c r="D3030">
        <v>0</v>
      </c>
      <c r="E3030" t="s">
        <v>523</v>
      </c>
    </row>
    <row r="3031" spans="1:5" x14ac:dyDescent="0.25">
      <c r="A3031">
        <v>32123</v>
      </c>
      <c r="B3031" t="str">
        <f t="shared" si="48"/>
        <v>32123</v>
      </c>
      <c r="C3031" t="s">
        <v>1206</v>
      </c>
      <c r="D3031">
        <v>17.399999999999999</v>
      </c>
      <c r="E3031" t="s">
        <v>523</v>
      </c>
    </row>
    <row r="3032" spans="1:5" x14ac:dyDescent="0.25">
      <c r="A3032">
        <v>32123</v>
      </c>
      <c r="B3032" t="str">
        <f t="shared" si="48"/>
        <v>32123</v>
      </c>
      <c r="C3032" t="s">
        <v>1199</v>
      </c>
      <c r="D3032">
        <v>0</v>
      </c>
      <c r="E3032" t="s">
        <v>523</v>
      </c>
    </row>
    <row r="3033" spans="1:5" x14ac:dyDescent="0.25">
      <c r="A3033">
        <v>32123</v>
      </c>
      <c r="B3033" t="str">
        <f t="shared" si="48"/>
        <v>32123</v>
      </c>
      <c r="C3033" t="s">
        <v>1203</v>
      </c>
      <c r="D3033">
        <v>5</v>
      </c>
      <c r="E3033" t="s">
        <v>523</v>
      </c>
    </row>
    <row r="3034" spans="1:5" x14ac:dyDescent="0.25">
      <c r="A3034">
        <v>32123</v>
      </c>
      <c r="B3034" t="str">
        <f t="shared" si="48"/>
        <v>32123</v>
      </c>
      <c r="C3034" t="s">
        <v>1200</v>
      </c>
      <c r="D3034">
        <v>0</v>
      </c>
      <c r="E3034" t="s">
        <v>523</v>
      </c>
    </row>
    <row r="3035" spans="1:5" x14ac:dyDescent="0.25">
      <c r="A3035">
        <v>32123</v>
      </c>
      <c r="B3035" t="str">
        <f t="shared" si="48"/>
        <v>32123</v>
      </c>
      <c r="C3035" t="s">
        <v>1204</v>
      </c>
      <c r="D3035">
        <v>0</v>
      </c>
      <c r="E3035" t="s">
        <v>523</v>
      </c>
    </row>
    <row r="3036" spans="1:5" x14ac:dyDescent="0.25">
      <c r="A3036">
        <v>32123</v>
      </c>
      <c r="B3036" t="str">
        <f t="shared" si="48"/>
        <v>32123</v>
      </c>
      <c r="C3036" t="s">
        <v>1207</v>
      </c>
      <c r="D3036">
        <v>0</v>
      </c>
      <c r="E3036" t="s">
        <v>523</v>
      </c>
    </row>
    <row r="3037" spans="1:5" x14ac:dyDescent="0.25">
      <c r="A3037">
        <v>32123</v>
      </c>
      <c r="B3037" t="str">
        <f t="shared" si="48"/>
        <v>32123</v>
      </c>
      <c r="C3037" t="s">
        <v>1208</v>
      </c>
      <c r="D3037">
        <v>0</v>
      </c>
      <c r="E3037" t="s">
        <v>523</v>
      </c>
    </row>
    <row r="3038" spans="1:5" x14ac:dyDescent="0.25">
      <c r="A3038">
        <v>32123</v>
      </c>
      <c r="B3038" t="str">
        <f t="shared" si="48"/>
        <v>32123</v>
      </c>
      <c r="C3038" t="s">
        <v>1210</v>
      </c>
      <c r="D3038">
        <v>0</v>
      </c>
      <c r="E3038" t="s">
        <v>523</v>
      </c>
    </row>
    <row r="3039" spans="1:5" x14ac:dyDescent="0.25">
      <c r="A3039">
        <v>32123</v>
      </c>
      <c r="B3039" t="str">
        <f t="shared" si="48"/>
        <v>32123</v>
      </c>
      <c r="C3039" t="s">
        <v>1212</v>
      </c>
      <c r="D3039">
        <v>0</v>
      </c>
      <c r="E3039" t="s">
        <v>523</v>
      </c>
    </row>
    <row r="3040" spans="1:5" x14ac:dyDescent="0.25">
      <c r="A3040">
        <v>32123</v>
      </c>
      <c r="B3040" t="str">
        <f t="shared" si="48"/>
        <v>32123</v>
      </c>
      <c r="C3040" t="s">
        <v>1216</v>
      </c>
      <c r="D3040">
        <v>0</v>
      </c>
      <c r="E3040" t="s">
        <v>523</v>
      </c>
    </row>
    <row r="3041" spans="1:5" x14ac:dyDescent="0.25">
      <c r="A3041">
        <v>32123</v>
      </c>
      <c r="B3041" t="str">
        <f t="shared" si="48"/>
        <v>32123</v>
      </c>
      <c r="C3041" t="s">
        <v>1198</v>
      </c>
      <c r="D3041">
        <v>13</v>
      </c>
      <c r="E3041" t="s">
        <v>523</v>
      </c>
    </row>
    <row r="3042" spans="1:5" x14ac:dyDescent="0.25">
      <c r="A3042" s="34">
        <v>10065</v>
      </c>
      <c r="B3042" t="str">
        <f t="shared" si="48"/>
        <v>10065</v>
      </c>
      <c r="C3042" t="s">
        <v>1193</v>
      </c>
      <c r="D3042">
        <v>0</v>
      </c>
      <c r="E3042" t="s">
        <v>353</v>
      </c>
    </row>
    <row r="3043" spans="1:5" x14ac:dyDescent="0.25">
      <c r="A3043" s="34">
        <v>10065</v>
      </c>
      <c r="B3043" t="str">
        <f t="shared" si="48"/>
        <v>10065</v>
      </c>
      <c r="C3043" t="s">
        <v>1194</v>
      </c>
      <c r="D3043">
        <v>16.600000000000001</v>
      </c>
      <c r="E3043" t="s">
        <v>353</v>
      </c>
    </row>
    <row r="3044" spans="1:5" x14ac:dyDescent="0.25">
      <c r="A3044" s="34">
        <v>10065</v>
      </c>
      <c r="B3044" t="str">
        <f t="shared" si="48"/>
        <v>10065</v>
      </c>
      <c r="C3044" t="s">
        <v>1195</v>
      </c>
      <c r="D3044">
        <v>0</v>
      </c>
      <c r="E3044" t="s">
        <v>353</v>
      </c>
    </row>
    <row r="3045" spans="1:5" x14ac:dyDescent="0.25">
      <c r="A3045" s="34">
        <v>10065</v>
      </c>
      <c r="B3045" t="str">
        <f t="shared" si="48"/>
        <v>10065</v>
      </c>
      <c r="C3045" t="s">
        <v>1197</v>
      </c>
      <c r="D3045">
        <v>5</v>
      </c>
      <c r="E3045" t="s">
        <v>353</v>
      </c>
    </row>
    <row r="3046" spans="1:5" x14ac:dyDescent="0.25">
      <c r="A3046" s="34">
        <v>10065</v>
      </c>
      <c r="B3046" t="str">
        <f t="shared" si="48"/>
        <v>10065</v>
      </c>
      <c r="C3046" t="s">
        <v>1202</v>
      </c>
      <c r="D3046">
        <v>0</v>
      </c>
      <c r="E3046" t="s">
        <v>353</v>
      </c>
    </row>
    <row r="3047" spans="1:5" x14ac:dyDescent="0.25">
      <c r="A3047" s="34">
        <v>10065</v>
      </c>
      <c r="B3047" t="str">
        <f t="shared" si="48"/>
        <v>10065</v>
      </c>
      <c r="C3047" t="s">
        <v>1206</v>
      </c>
      <c r="D3047">
        <v>10</v>
      </c>
      <c r="E3047" t="s">
        <v>353</v>
      </c>
    </row>
    <row r="3048" spans="1:5" x14ac:dyDescent="0.25">
      <c r="A3048" s="34">
        <v>10065</v>
      </c>
      <c r="B3048" t="str">
        <f t="shared" si="48"/>
        <v>10065</v>
      </c>
      <c r="C3048" t="s">
        <v>1199</v>
      </c>
      <c r="D3048">
        <v>0</v>
      </c>
      <c r="E3048" t="s">
        <v>353</v>
      </c>
    </row>
    <row r="3049" spans="1:5" x14ac:dyDescent="0.25">
      <c r="A3049" s="34">
        <v>10065</v>
      </c>
      <c r="B3049" t="str">
        <f t="shared" si="48"/>
        <v>10065</v>
      </c>
      <c r="C3049" t="s">
        <v>1203</v>
      </c>
      <c r="D3049">
        <v>7.8</v>
      </c>
      <c r="E3049" t="s">
        <v>353</v>
      </c>
    </row>
    <row r="3050" spans="1:5" x14ac:dyDescent="0.25">
      <c r="A3050" s="34">
        <v>10065</v>
      </c>
      <c r="B3050" t="str">
        <f t="shared" si="48"/>
        <v>10065</v>
      </c>
      <c r="C3050" t="s">
        <v>1200</v>
      </c>
      <c r="D3050">
        <v>0</v>
      </c>
      <c r="E3050" t="s">
        <v>353</v>
      </c>
    </row>
    <row r="3051" spans="1:5" x14ac:dyDescent="0.25">
      <c r="A3051" s="34">
        <v>10065</v>
      </c>
      <c r="B3051" t="str">
        <f t="shared" si="48"/>
        <v>10065</v>
      </c>
      <c r="C3051" t="s">
        <v>1204</v>
      </c>
      <c r="D3051">
        <v>0</v>
      </c>
      <c r="E3051" t="s">
        <v>353</v>
      </c>
    </row>
    <row r="3052" spans="1:5" x14ac:dyDescent="0.25">
      <c r="A3052" s="34">
        <v>10065</v>
      </c>
      <c r="B3052" t="str">
        <f t="shared" si="48"/>
        <v>10065</v>
      </c>
      <c r="C3052" t="s">
        <v>1207</v>
      </c>
      <c r="D3052">
        <v>0</v>
      </c>
      <c r="E3052" t="s">
        <v>353</v>
      </c>
    </row>
    <row r="3053" spans="1:5" x14ac:dyDescent="0.25">
      <c r="A3053" s="34">
        <v>10065</v>
      </c>
      <c r="B3053" t="str">
        <f t="shared" si="48"/>
        <v>10065</v>
      </c>
      <c r="C3053" t="s">
        <v>1208</v>
      </c>
      <c r="D3053">
        <v>0</v>
      </c>
      <c r="E3053" t="s">
        <v>353</v>
      </c>
    </row>
    <row r="3054" spans="1:5" x14ac:dyDescent="0.25">
      <c r="A3054" s="34">
        <v>10065</v>
      </c>
      <c r="B3054" t="str">
        <f t="shared" si="48"/>
        <v>10065</v>
      </c>
      <c r="C3054" t="s">
        <v>1210</v>
      </c>
      <c r="D3054">
        <v>0</v>
      </c>
      <c r="E3054" t="s">
        <v>353</v>
      </c>
    </row>
    <row r="3055" spans="1:5" x14ac:dyDescent="0.25">
      <c r="A3055" s="34">
        <v>10065</v>
      </c>
      <c r="B3055" t="str">
        <f t="shared" si="48"/>
        <v>10065</v>
      </c>
      <c r="C3055" t="s">
        <v>1212</v>
      </c>
      <c r="D3055">
        <v>0</v>
      </c>
      <c r="E3055" t="s">
        <v>353</v>
      </c>
    </row>
    <row r="3056" spans="1:5" x14ac:dyDescent="0.25">
      <c r="A3056" s="34">
        <v>10065</v>
      </c>
      <c r="B3056" t="str">
        <f t="shared" si="48"/>
        <v>10065</v>
      </c>
      <c r="C3056" t="s">
        <v>1216</v>
      </c>
      <c r="D3056">
        <v>0</v>
      </c>
      <c r="E3056" t="s">
        <v>353</v>
      </c>
    </row>
    <row r="3057" spans="1:5" x14ac:dyDescent="0.25">
      <c r="A3057" s="34">
        <v>10065</v>
      </c>
      <c r="B3057" t="str">
        <f t="shared" si="48"/>
        <v>10065</v>
      </c>
      <c r="C3057" t="s">
        <v>1198</v>
      </c>
      <c r="D3057">
        <v>3</v>
      </c>
      <c r="E3057" t="s">
        <v>353</v>
      </c>
    </row>
    <row r="3058" spans="1:5" x14ac:dyDescent="0.25">
      <c r="A3058" t="s">
        <v>49</v>
      </c>
      <c r="B3058" t="str">
        <f t="shared" si="48"/>
        <v>09013</v>
      </c>
      <c r="C3058" t="s">
        <v>1193</v>
      </c>
      <c r="D3058">
        <v>0</v>
      </c>
      <c r="E3058" t="s">
        <v>345</v>
      </c>
    </row>
    <row r="3059" spans="1:5" x14ac:dyDescent="0.25">
      <c r="A3059" t="s">
        <v>49</v>
      </c>
      <c r="B3059" t="str">
        <f t="shared" si="48"/>
        <v>09013</v>
      </c>
      <c r="C3059" t="s">
        <v>1194</v>
      </c>
      <c r="D3059">
        <v>42</v>
      </c>
      <c r="E3059" t="s">
        <v>345</v>
      </c>
    </row>
    <row r="3060" spans="1:5" x14ac:dyDescent="0.25">
      <c r="A3060" t="s">
        <v>49</v>
      </c>
      <c r="B3060" t="str">
        <f t="shared" si="48"/>
        <v>09013</v>
      </c>
      <c r="C3060" t="s">
        <v>1195</v>
      </c>
      <c r="D3060">
        <v>0</v>
      </c>
      <c r="E3060" t="s">
        <v>345</v>
      </c>
    </row>
    <row r="3061" spans="1:5" x14ac:dyDescent="0.25">
      <c r="A3061" t="s">
        <v>49</v>
      </c>
      <c r="B3061" t="str">
        <f t="shared" si="48"/>
        <v>09013</v>
      </c>
      <c r="C3061" t="s">
        <v>1197</v>
      </c>
      <c r="D3061">
        <v>8</v>
      </c>
      <c r="E3061" t="s">
        <v>345</v>
      </c>
    </row>
    <row r="3062" spans="1:5" x14ac:dyDescent="0.25">
      <c r="A3062" t="s">
        <v>49</v>
      </c>
      <c r="B3062" t="str">
        <f t="shared" si="48"/>
        <v>09013</v>
      </c>
      <c r="C3062" t="s">
        <v>1202</v>
      </c>
      <c r="D3062">
        <v>0</v>
      </c>
      <c r="E3062" t="s">
        <v>345</v>
      </c>
    </row>
    <row r="3063" spans="1:5" x14ac:dyDescent="0.25">
      <c r="A3063" t="s">
        <v>49</v>
      </c>
      <c r="B3063" t="str">
        <f t="shared" si="48"/>
        <v>09013</v>
      </c>
      <c r="C3063" t="s">
        <v>1206</v>
      </c>
      <c r="D3063">
        <v>28</v>
      </c>
      <c r="E3063" t="s">
        <v>345</v>
      </c>
    </row>
    <row r="3064" spans="1:5" x14ac:dyDescent="0.25">
      <c r="A3064" t="s">
        <v>49</v>
      </c>
      <c r="B3064" t="str">
        <f t="shared" si="48"/>
        <v>09013</v>
      </c>
      <c r="C3064" t="s">
        <v>1199</v>
      </c>
      <c r="D3064">
        <v>0</v>
      </c>
      <c r="E3064" t="s">
        <v>345</v>
      </c>
    </row>
    <row r="3065" spans="1:5" x14ac:dyDescent="0.25">
      <c r="A3065" t="s">
        <v>49</v>
      </c>
      <c r="B3065" t="str">
        <f t="shared" si="48"/>
        <v>09013</v>
      </c>
      <c r="C3065" t="s">
        <v>1203</v>
      </c>
      <c r="D3065">
        <v>15.2</v>
      </c>
      <c r="E3065" t="s">
        <v>345</v>
      </c>
    </row>
    <row r="3066" spans="1:5" x14ac:dyDescent="0.25">
      <c r="A3066" t="s">
        <v>49</v>
      </c>
      <c r="B3066" t="str">
        <f t="shared" si="48"/>
        <v>09013</v>
      </c>
      <c r="C3066" t="s">
        <v>1200</v>
      </c>
      <c r="D3066">
        <v>0</v>
      </c>
      <c r="E3066" t="s">
        <v>345</v>
      </c>
    </row>
    <row r="3067" spans="1:5" x14ac:dyDescent="0.25">
      <c r="A3067" t="s">
        <v>49</v>
      </c>
      <c r="B3067" t="str">
        <f t="shared" si="48"/>
        <v>09013</v>
      </c>
      <c r="C3067" t="s">
        <v>1204</v>
      </c>
      <c r="D3067">
        <v>0</v>
      </c>
      <c r="E3067" t="s">
        <v>345</v>
      </c>
    </row>
    <row r="3068" spans="1:5" x14ac:dyDescent="0.25">
      <c r="A3068" t="s">
        <v>49</v>
      </c>
      <c r="B3068" t="str">
        <f t="shared" si="48"/>
        <v>09013</v>
      </c>
      <c r="C3068" t="s">
        <v>1207</v>
      </c>
      <c r="D3068">
        <v>3.04</v>
      </c>
      <c r="E3068" t="s">
        <v>345</v>
      </c>
    </row>
    <row r="3069" spans="1:5" x14ac:dyDescent="0.25">
      <c r="A3069" t="s">
        <v>49</v>
      </c>
      <c r="B3069" t="str">
        <f t="shared" si="48"/>
        <v>09013</v>
      </c>
      <c r="C3069" t="s">
        <v>1208</v>
      </c>
      <c r="D3069">
        <v>0</v>
      </c>
      <c r="E3069" t="s">
        <v>345</v>
      </c>
    </row>
    <row r="3070" spans="1:5" x14ac:dyDescent="0.25">
      <c r="A3070" t="s">
        <v>49</v>
      </c>
      <c r="B3070" t="str">
        <f t="shared" si="48"/>
        <v>09013</v>
      </c>
      <c r="C3070" t="s">
        <v>1210</v>
      </c>
      <c r="D3070">
        <v>0</v>
      </c>
      <c r="E3070" t="s">
        <v>345</v>
      </c>
    </row>
    <row r="3071" spans="1:5" x14ac:dyDescent="0.25">
      <c r="A3071" t="s">
        <v>49</v>
      </c>
      <c r="B3071" t="str">
        <f t="shared" si="48"/>
        <v>09013</v>
      </c>
      <c r="C3071" t="s">
        <v>1212</v>
      </c>
      <c r="D3071">
        <v>0</v>
      </c>
      <c r="E3071" t="s">
        <v>345</v>
      </c>
    </row>
    <row r="3072" spans="1:5" x14ac:dyDescent="0.25">
      <c r="A3072" t="s">
        <v>49</v>
      </c>
      <c r="B3072" t="str">
        <f t="shared" si="48"/>
        <v>09013</v>
      </c>
      <c r="C3072" t="s">
        <v>1216</v>
      </c>
      <c r="D3072">
        <v>0</v>
      </c>
      <c r="E3072" t="s">
        <v>345</v>
      </c>
    </row>
    <row r="3073" spans="1:5" x14ac:dyDescent="0.25">
      <c r="A3073" t="s">
        <v>49</v>
      </c>
      <c r="B3073" t="str">
        <f t="shared" si="48"/>
        <v>09013</v>
      </c>
      <c r="C3073" t="s">
        <v>1198</v>
      </c>
      <c r="D3073">
        <v>15</v>
      </c>
      <c r="E3073" t="s">
        <v>345</v>
      </c>
    </row>
    <row r="3074" spans="1:5" x14ac:dyDescent="0.25">
      <c r="A3074">
        <v>24410</v>
      </c>
      <c r="B3074" t="str">
        <f t="shared" si="48"/>
        <v>24410</v>
      </c>
      <c r="C3074" t="s">
        <v>1193</v>
      </c>
      <c r="D3074">
        <v>0</v>
      </c>
      <c r="E3074" t="s">
        <v>469</v>
      </c>
    </row>
    <row r="3075" spans="1:5" x14ac:dyDescent="0.25">
      <c r="A3075">
        <v>24410</v>
      </c>
      <c r="B3075" t="str">
        <f t="shared" ref="B3075:B3138" si="49">TEXT(A3075,"00000")</f>
        <v>24410</v>
      </c>
      <c r="C3075" t="s">
        <v>1194</v>
      </c>
      <c r="D3075">
        <v>112.14</v>
      </c>
      <c r="E3075" t="s">
        <v>469</v>
      </c>
    </row>
    <row r="3076" spans="1:5" x14ac:dyDescent="0.25">
      <c r="A3076">
        <v>24410</v>
      </c>
      <c r="B3076" t="str">
        <f t="shared" si="49"/>
        <v>24410</v>
      </c>
      <c r="C3076" t="s">
        <v>1195</v>
      </c>
      <c r="D3076">
        <v>0</v>
      </c>
      <c r="E3076" t="s">
        <v>469</v>
      </c>
    </row>
    <row r="3077" spans="1:5" x14ac:dyDescent="0.25">
      <c r="A3077">
        <v>24410</v>
      </c>
      <c r="B3077" t="str">
        <f t="shared" si="49"/>
        <v>24410</v>
      </c>
      <c r="C3077" t="s">
        <v>1197</v>
      </c>
      <c r="D3077">
        <v>36.67</v>
      </c>
      <c r="E3077" t="s">
        <v>469</v>
      </c>
    </row>
    <row r="3078" spans="1:5" x14ac:dyDescent="0.25">
      <c r="A3078">
        <v>24410</v>
      </c>
      <c r="B3078" t="str">
        <f t="shared" si="49"/>
        <v>24410</v>
      </c>
      <c r="C3078" t="s">
        <v>1202</v>
      </c>
      <c r="D3078">
        <v>0</v>
      </c>
      <c r="E3078" t="s">
        <v>469</v>
      </c>
    </row>
    <row r="3079" spans="1:5" x14ac:dyDescent="0.25">
      <c r="A3079">
        <v>24410</v>
      </c>
      <c r="B3079" t="str">
        <f t="shared" si="49"/>
        <v>24410</v>
      </c>
      <c r="C3079" t="s">
        <v>1206</v>
      </c>
      <c r="D3079">
        <v>73.760000000000005</v>
      </c>
      <c r="E3079" t="s">
        <v>469</v>
      </c>
    </row>
    <row r="3080" spans="1:5" x14ac:dyDescent="0.25">
      <c r="A3080">
        <v>24410</v>
      </c>
      <c r="B3080" t="str">
        <f t="shared" si="49"/>
        <v>24410</v>
      </c>
      <c r="C3080" t="s">
        <v>1199</v>
      </c>
      <c r="D3080">
        <v>0</v>
      </c>
      <c r="E3080" t="s">
        <v>469</v>
      </c>
    </row>
    <row r="3081" spans="1:5" x14ac:dyDescent="0.25">
      <c r="A3081">
        <v>24410</v>
      </c>
      <c r="B3081" t="str">
        <f t="shared" si="49"/>
        <v>24410</v>
      </c>
      <c r="C3081" t="s">
        <v>1203</v>
      </c>
      <c r="D3081">
        <v>78.23</v>
      </c>
      <c r="E3081" t="s">
        <v>469</v>
      </c>
    </row>
    <row r="3082" spans="1:5" x14ac:dyDescent="0.25">
      <c r="A3082">
        <v>24410</v>
      </c>
      <c r="B3082" t="str">
        <f t="shared" si="49"/>
        <v>24410</v>
      </c>
      <c r="C3082" t="s">
        <v>1200</v>
      </c>
      <c r="D3082">
        <v>0</v>
      </c>
      <c r="E3082" t="s">
        <v>469</v>
      </c>
    </row>
    <row r="3083" spans="1:5" x14ac:dyDescent="0.25">
      <c r="A3083">
        <v>24410</v>
      </c>
      <c r="B3083" t="str">
        <f t="shared" si="49"/>
        <v>24410</v>
      </c>
      <c r="C3083" t="s">
        <v>1204</v>
      </c>
      <c r="D3083">
        <v>139.62</v>
      </c>
      <c r="E3083" t="s">
        <v>469</v>
      </c>
    </row>
    <row r="3084" spans="1:5" x14ac:dyDescent="0.25">
      <c r="A3084">
        <v>24410</v>
      </c>
      <c r="B3084" t="str">
        <f t="shared" si="49"/>
        <v>24410</v>
      </c>
      <c r="C3084" t="s">
        <v>1207</v>
      </c>
      <c r="D3084">
        <v>5.86</v>
      </c>
      <c r="E3084" t="s">
        <v>469</v>
      </c>
    </row>
    <row r="3085" spans="1:5" x14ac:dyDescent="0.25">
      <c r="A3085">
        <v>24410</v>
      </c>
      <c r="B3085" t="str">
        <f t="shared" si="49"/>
        <v>24410</v>
      </c>
      <c r="C3085" t="s">
        <v>1208</v>
      </c>
      <c r="D3085">
        <v>30.48</v>
      </c>
      <c r="E3085" t="s">
        <v>469</v>
      </c>
    </row>
    <row r="3086" spans="1:5" x14ac:dyDescent="0.25">
      <c r="A3086">
        <v>24410</v>
      </c>
      <c r="B3086" t="str">
        <f t="shared" si="49"/>
        <v>24410</v>
      </c>
      <c r="C3086" t="s">
        <v>1210</v>
      </c>
      <c r="D3086">
        <v>0</v>
      </c>
      <c r="E3086" t="s">
        <v>469</v>
      </c>
    </row>
    <row r="3087" spans="1:5" x14ac:dyDescent="0.25">
      <c r="A3087">
        <v>24410</v>
      </c>
      <c r="B3087" t="str">
        <f t="shared" si="49"/>
        <v>24410</v>
      </c>
      <c r="C3087" t="s">
        <v>1212</v>
      </c>
      <c r="D3087">
        <v>0</v>
      </c>
      <c r="E3087" t="s">
        <v>469</v>
      </c>
    </row>
    <row r="3088" spans="1:5" x14ac:dyDescent="0.25">
      <c r="A3088">
        <v>24410</v>
      </c>
      <c r="B3088" t="str">
        <f t="shared" si="49"/>
        <v>24410</v>
      </c>
      <c r="C3088" t="s">
        <v>1216</v>
      </c>
      <c r="D3088">
        <v>0</v>
      </c>
      <c r="E3088" t="s">
        <v>469</v>
      </c>
    </row>
    <row r="3089" spans="1:5" x14ac:dyDescent="0.25">
      <c r="A3089">
        <v>24410</v>
      </c>
      <c r="B3089" t="str">
        <f t="shared" si="49"/>
        <v>24410</v>
      </c>
      <c r="C3089" t="s">
        <v>1198</v>
      </c>
      <c r="D3089">
        <v>44.6</v>
      </c>
      <c r="E3089" t="s">
        <v>469</v>
      </c>
    </row>
    <row r="3090" spans="1:5" x14ac:dyDescent="0.25">
      <c r="A3090" s="34">
        <v>27344</v>
      </c>
      <c r="B3090" t="str">
        <f t="shared" si="49"/>
        <v>27344</v>
      </c>
      <c r="C3090" t="s">
        <v>1193</v>
      </c>
      <c r="D3090">
        <v>0</v>
      </c>
      <c r="E3090" t="s">
        <v>485</v>
      </c>
    </row>
    <row r="3091" spans="1:5" x14ac:dyDescent="0.25">
      <c r="A3091" s="34">
        <v>27344</v>
      </c>
      <c r="B3091" t="str">
        <f t="shared" si="49"/>
        <v>27344</v>
      </c>
      <c r="C3091" t="s">
        <v>1194</v>
      </c>
      <c r="D3091">
        <v>639.67999999999995</v>
      </c>
      <c r="E3091" t="s">
        <v>485</v>
      </c>
    </row>
    <row r="3092" spans="1:5" x14ac:dyDescent="0.25">
      <c r="A3092" s="34">
        <v>27344</v>
      </c>
      <c r="B3092" t="str">
        <f t="shared" si="49"/>
        <v>27344</v>
      </c>
      <c r="C3092" t="s">
        <v>1195</v>
      </c>
      <c r="D3092">
        <v>0</v>
      </c>
      <c r="E3092" t="s">
        <v>485</v>
      </c>
    </row>
    <row r="3093" spans="1:5" x14ac:dyDescent="0.25">
      <c r="A3093" s="34">
        <v>27344</v>
      </c>
      <c r="B3093" t="str">
        <f t="shared" si="49"/>
        <v>27344</v>
      </c>
      <c r="C3093" t="s">
        <v>1197</v>
      </c>
      <c r="D3093">
        <v>194.84</v>
      </c>
      <c r="E3093" t="s">
        <v>485</v>
      </c>
    </row>
    <row r="3094" spans="1:5" x14ac:dyDescent="0.25">
      <c r="A3094" s="34">
        <v>27344</v>
      </c>
      <c r="B3094" t="str">
        <f t="shared" si="49"/>
        <v>27344</v>
      </c>
      <c r="C3094" t="s">
        <v>1202</v>
      </c>
      <c r="D3094">
        <v>0</v>
      </c>
      <c r="E3094" t="s">
        <v>485</v>
      </c>
    </row>
    <row r="3095" spans="1:5" x14ac:dyDescent="0.25">
      <c r="A3095" s="34">
        <v>27344</v>
      </c>
      <c r="B3095" t="str">
        <f t="shared" si="49"/>
        <v>27344</v>
      </c>
      <c r="C3095" t="s">
        <v>1206</v>
      </c>
      <c r="D3095">
        <v>448.48</v>
      </c>
      <c r="E3095" t="s">
        <v>485</v>
      </c>
    </row>
    <row r="3096" spans="1:5" x14ac:dyDescent="0.25">
      <c r="A3096" s="34">
        <v>27344</v>
      </c>
      <c r="B3096" t="str">
        <f t="shared" si="49"/>
        <v>27344</v>
      </c>
      <c r="C3096" t="s">
        <v>1199</v>
      </c>
      <c r="D3096">
        <v>0</v>
      </c>
      <c r="E3096" t="s">
        <v>485</v>
      </c>
    </row>
    <row r="3097" spans="1:5" x14ac:dyDescent="0.25">
      <c r="A3097" s="34">
        <v>27344</v>
      </c>
      <c r="B3097" t="str">
        <f t="shared" si="49"/>
        <v>27344</v>
      </c>
      <c r="C3097" t="s">
        <v>1203</v>
      </c>
      <c r="D3097">
        <v>433.35</v>
      </c>
      <c r="E3097" t="s">
        <v>485</v>
      </c>
    </row>
    <row r="3098" spans="1:5" x14ac:dyDescent="0.25">
      <c r="A3098" s="34">
        <v>27344</v>
      </c>
      <c r="B3098" t="str">
        <f t="shared" si="49"/>
        <v>27344</v>
      </c>
      <c r="C3098" t="s">
        <v>1200</v>
      </c>
      <c r="D3098">
        <v>0</v>
      </c>
      <c r="E3098" t="s">
        <v>485</v>
      </c>
    </row>
    <row r="3099" spans="1:5" x14ac:dyDescent="0.25">
      <c r="A3099" s="34">
        <v>27344</v>
      </c>
      <c r="B3099" t="str">
        <f t="shared" si="49"/>
        <v>27344</v>
      </c>
      <c r="C3099" t="s">
        <v>1204</v>
      </c>
      <c r="D3099">
        <v>840.66</v>
      </c>
      <c r="E3099" t="s">
        <v>485</v>
      </c>
    </row>
    <row r="3100" spans="1:5" x14ac:dyDescent="0.25">
      <c r="A3100" s="34">
        <v>27344</v>
      </c>
      <c r="B3100" t="str">
        <f t="shared" si="49"/>
        <v>27344</v>
      </c>
      <c r="C3100" t="s">
        <v>1207</v>
      </c>
      <c r="D3100">
        <v>97.14</v>
      </c>
      <c r="E3100" t="s">
        <v>485</v>
      </c>
    </row>
    <row r="3101" spans="1:5" x14ac:dyDescent="0.25">
      <c r="A3101" s="34">
        <v>27344</v>
      </c>
      <c r="B3101" t="str">
        <f t="shared" si="49"/>
        <v>27344</v>
      </c>
      <c r="C3101" t="s">
        <v>1208</v>
      </c>
      <c r="D3101">
        <v>275.98</v>
      </c>
      <c r="E3101" t="s">
        <v>485</v>
      </c>
    </row>
    <row r="3102" spans="1:5" x14ac:dyDescent="0.25">
      <c r="A3102" s="34">
        <v>27344</v>
      </c>
      <c r="B3102" t="str">
        <f t="shared" si="49"/>
        <v>27344</v>
      </c>
      <c r="C3102" t="s">
        <v>1210</v>
      </c>
      <c r="D3102">
        <v>0</v>
      </c>
      <c r="E3102" t="s">
        <v>485</v>
      </c>
    </row>
    <row r="3103" spans="1:5" x14ac:dyDescent="0.25">
      <c r="A3103" s="34">
        <v>27344</v>
      </c>
      <c r="B3103" t="str">
        <f t="shared" si="49"/>
        <v>27344</v>
      </c>
      <c r="C3103" t="s">
        <v>1212</v>
      </c>
      <c r="D3103">
        <v>0</v>
      </c>
      <c r="E3103" t="s">
        <v>485</v>
      </c>
    </row>
    <row r="3104" spans="1:5" x14ac:dyDescent="0.25">
      <c r="A3104" s="34">
        <v>27344</v>
      </c>
      <c r="B3104" t="str">
        <f t="shared" si="49"/>
        <v>27344</v>
      </c>
      <c r="C3104" t="s">
        <v>1216</v>
      </c>
      <c r="D3104">
        <v>0</v>
      </c>
      <c r="E3104" t="s">
        <v>485</v>
      </c>
    </row>
    <row r="3105" spans="1:5" x14ac:dyDescent="0.25">
      <c r="A3105" s="34">
        <v>27344</v>
      </c>
      <c r="B3105" t="str">
        <f t="shared" si="49"/>
        <v>27344</v>
      </c>
      <c r="C3105" t="s">
        <v>1198</v>
      </c>
      <c r="D3105">
        <v>178.09</v>
      </c>
      <c r="E3105" t="s">
        <v>485</v>
      </c>
    </row>
    <row r="3106" spans="1:5" x14ac:dyDescent="0.25">
      <c r="A3106" s="34" t="s">
        <v>9</v>
      </c>
      <c r="B3106" t="str">
        <f t="shared" si="49"/>
        <v>01147</v>
      </c>
      <c r="C3106" t="s">
        <v>1193</v>
      </c>
      <c r="D3106">
        <v>0</v>
      </c>
      <c r="E3106" t="s">
        <v>306</v>
      </c>
    </row>
    <row r="3107" spans="1:5" x14ac:dyDescent="0.25">
      <c r="A3107" s="34" t="s">
        <v>9</v>
      </c>
      <c r="B3107" t="str">
        <f t="shared" si="49"/>
        <v>01147</v>
      </c>
      <c r="C3107" t="s">
        <v>1194</v>
      </c>
      <c r="D3107">
        <v>959.78</v>
      </c>
      <c r="E3107" t="s">
        <v>306</v>
      </c>
    </row>
    <row r="3108" spans="1:5" x14ac:dyDescent="0.25">
      <c r="A3108" s="34" t="s">
        <v>9</v>
      </c>
      <c r="B3108" t="str">
        <f t="shared" si="49"/>
        <v>01147</v>
      </c>
      <c r="C3108" t="s">
        <v>1195</v>
      </c>
      <c r="D3108">
        <v>0</v>
      </c>
      <c r="E3108" t="s">
        <v>306</v>
      </c>
    </row>
    <row r="3109" spans="1:5" x14ac:dyDescent="0.25">
      <c r="A3109" s="34" t="s">
        <v>9</v>
      </c>
      <c r="B3109" t="str">
        <f t="shared" si="49"/>
        <v>01147</v>
      </c>
      <c r="C3109" t="s">
        <v>1197</v>
      </c>
      <c r="D3109">
        <v>300.60000000000002</v>
      </c>
      <c r="E3109" t="s">
        <v>306</v>
      </c>
    </row>
    <row r="3110" spans="1:5" x14ac:dyDescent="0.25">
      <c r="A3110" s="34" t="s">
        <v>9</v>
      </c>
      <c r="B3110" t="str">
        <f t="shared" si="49"/>
        <v>01147</v>
      </c>
      <c r="C3110" t="s">
        <v>1202</v>
      </c>
      <c r="D3110">
        <v>0</v>
      </c>
      <c r="E3110" t="s">
        <v>306</v>
      </c>
    </row>
    <row r="3111" spans="1:5" x14ac:dyDescent="0.25">
      <c r="A3111" s="34" t="s">
        <v>9</v>
      </c>
      <c r="B3111" t="str">
        <f t="shared" si="49"/>
        <v>01147</v>
      </c>
      <c r="C3111" t="s">
        <v>1206</v>
      </c>
      <c r="D3111">
        <v>699</v>
      </c>
      <c r="E3111" t="s">
        <v>306</v>
      </c>
    </row>
    <row r="3112" spans="1:5" x14ac:dyDescent="0.25">
      <c r="A3112" s="34" t="s">
        <v>9</v>
      </c>
      <c r="B3112" t="str">
        <f t="shared" si="49"/>
        <v>01147</v>
      </c>
      <c r="C3112" t="s">
        <v>1199</v>
      </c>
      <c r="D3112">
        <v>0</v>
      </c>
      <c r="E3112" t="s">
        <v>306</v>
      </c>
    </row>
    <row r="3113" spans="1:5" x14ac:dyDescent="0.25">
      <c r="A3113" s="34" t="s">
        <v>9</v>
      </c>
      <c r="B3113" t="str">
        <f t="shared" si="49"/>
        <v>01147</v>
      </c>
      <c r="C3113" t="s">
        <v>1203</v>
      </c>
      <c r="D3113">
        <v>704.87</v>
      </c>
      <c r="E3113" t="s">
        <v>306</v>
      </c>
    </row>
    <row r="3114" spans="1:5" x14ac:dyDescent="0.25">
      <c r="A3114" s="34" t="s">
        <v>9</v>
      </c>
      <c r="B3114" t="str">
        <f t="shared" si="49"/>
        <v>01147</v>
      </c>
      <c r="C3114" t="s">
        <v>1200</v>
      </c>
      <c r="D3114">
        <v>0</v>
      </c>
      <c r="E3114" t="s">
        <v>306</v>
      </c>
    </row>
    <row r="3115" spans="1:5" x14ac:dyDescent="0.25">
      <c r="A3115" s="34" t="s">
        <v>9</v>
      </c>
      <c r="B3115" t="str">
        <f t="shared" si="49"/>
        <v>01147</v>
      </c>
      <c r="C3115" t="s">
        <v>1204</v>
      </c>
      <c r="D3115">
        <v>1311.44</v>
      </c>
      <c r="E3115" t="s">
        <v>306</v>
      </c>
    </row>
    <row r="3116" spans="1:5" x14ac:dyDescent="0.25">
      <c r="A3116" s="34" t="s">
        <v>9</v>
      </c>
      <c r="B3116" t="str">
        <f t="shared" si="49"/>
        <v>01147</v>
      </c>
      <c r="C3116" t="s">
        <v>1207</v>
      </c>
      <c r="D3116">
        <v>28.41</v>
      </c>
      <c r="E3116" t="s">
        <v>306</v>
      </c>
    </row>
    <row r="3117" spans="1:5" x14ac:dyDescent="0.25">
      <c r="A3117" s="34" t="s">
        <v>9</v>
      </c>
      <c r="B3117" t="str">
        <f t="shared" si="49"/>
        <v>01147</v>
      </c>
      <c r="C3117" t="s">
        <v>1208</v>
      </c>
      <c r="D3117">
        <v>272.88</v>
      </c>
      <c r="E3117" t="s">
        <v>306</v>
      </c>
    </row>
    <row r="3118" spans="1:5" x14ac:dyDescent="0.25">
      <c r="A3118" s="34" t="s">
        <v>9</v>
      </c>
      <c r="B3118" t="str">
        <f t="shared" si="49"/>
        <v>01147</v>
      </c>
      <c r="C3118" t="s">
        <v>1210</v>
      </c>
      <c r="D3118">
        <v>0</v>
      </c>
      <c r="E3118" t="s">
        <v>306</v>
      </c>
    </row>
    <row r="3119" spans="1:5" x14ac:dyDescent="0.25">
      <c r="A3119" s="34" t="s">
        <v>9</v>
      </c>
      <c r="B3119" t="str">
        <f t="shared" si="49"/>
        <v>01147</v>
      </c>
      <c r="C3119" t="s">
        <v>1212</v>
      </c>
      <c r="D3119">
        <v>0</v>
      </c>
      <c r="E3119" t="s">
        <v>306</v>
      </c>
    </row>
    <row r="3120" spans="1:5" x14ac:dyDescent="0.25">
      <c r="A3120" s="34" t="s">
        <v>9</v>
      </c>
      <c r="B3120" t="str">
        <f t="shared" si="49"/>
        <v>01147</v>
      </c>
      <c r="C3120" t="s">
        <v>1216</v>
      </c>
      <c r="D3120">
        <v>64.67</v>
      </c>
      <c r="E3120" t="s">
        <v>306</v>
      </c>
    </row>
    <row r="3121" spans="1:5" x14ac:dyDescent="0.25">
      <c r="A3121" s="34" t="s">
        <v>9</v>
      </c>
      <c r="B3121" t="str">
        <f t="shared" si="49"/>
        <v>01147</v>
      </c>
      <c r="C3121" t="s">
        <v>1198</v>
      </c>
      <c r="D3121">
        <v>331.12</v>
      </c>
      <c r="E3121" t="s">
        <v>306</v>
      </c>
    </row>
    <row r="3122" spans="1:5" x14ac:dyDescent="0.25">
      <c r="A3122" t="s">
        <v>51</v>
      </c>
      <c r="B3122" t="str">
        <f t="shared" si="49"/>
        <v>09102</v>
      </c>
      <c r="C3122" t="s">
        <v>1193</v>
      </c>
      <c r="D3122">
        <v>0</v>
      </c>
      <c r="E3122" t="s">
        <v>347</v>
      </c>
    </row>
    <row r="3123" spans="1:5" x14ac:dyDescent="0.25">
      <c r="A3123" t="s">
        <v>51</v>
      </c>
      <c r="B3123" t="str">
        <f t="shared" si="49"/>
        <v>09102</v>
      </c>
      <c r="C3123" t="s">
        <v>1194</v>
      </c>
      <c r="D3123">
        <v>11</v>
      </c>
      <c r="E3123" t="s">
        <v>347</v>
      </c>
    </row>
    <row r="3124" spans="1:5" x14ac:dyDescent="0.25">
      <c r="A3124" t="s">
        <v>51</v>
      </c>
      <c r="B3124" t="str">
        <f t="shared" si="49"/>
        <v>09102</v>
      </c>
      <c r="C3124" t="s">
        <v>1195</v>
      </c>
      <c r="D3124">
        <v>0</v>
      </c>
      <c r="E3124" t="s">
        <v>347</v>
      </c>
    </row>
    <row r="3125" spans="1:5" x14ac:dyDescent="0.25">
      <c r="A3125" t="s">
        <v>51</v>
      </c>
      <c r="B3125" t="str">
        <f t="shared" si="49"/>
        <v>09102</v>
      </c>
      <c r="C3125" t="s">
        <v>1197</v>
      </c>
      <c r="D3125">
        <v>5.6</v>
      </c>
      <c r="E3125" t="s">
        <v>347</v>
      </c>
    </row>
    <row r="3126" spans="1:5" x14ac:dyDescent="0.25">
      <c r="A3126" t="s">
        <v>51</v>
      </c>
      <c r="B3126" t="str">
        <f t="shared" si="49"/>
        <v>09102</v>
      </c>
      <c r="C3126" t="s">
        <v>1202</v>
      </c>
      <c r="D3126">
        <v>0</v>
      </c>
      <c r="E3126" t="s">
        <v>347</v>
      </c>
    </row>
    <row r="3127" spans="1:5" x14ac:dyDescent="0.25">
      <c r="A3127" t="s">
        <v>51</v>
      </c>
      <c r="B3127" t="str">
        <f t="shared" si="49"/>
        <v>09102</v>
      </c>
      <c r="C3127" t="s">
        <v>1206</v>
      </c>
      <c r="D3127">
        <v>9</v>
      </c>
      <c r="E3127" t="s">
        <v>347</v>
      </c>
    </row>
    <row r="3128" spans="1:5" x14ac:dyDescent="0.25">
      <c r="A3128" t="s">
        <v>51</v>
      </c>
      <c r="B3128" t="str">
        <f t="shared" si="49"/>
        <v>09102</v>
      </c>
      <c r="C3128" t="s">
        <v>1199</v>
      </c>
      <c r="D3128">
        <v>0</v>
      </c>
      <c r="E3128" t="s">
        <v>347</v>
      </c>
    </row>
    <row r="3129" spans="1:5" x14ac:dyDescent="0.25">
      <c r="A3129" t="s">
        <v>51</v>
      </c>
      <c r="B3129" t="str">
        <f t="shared" si="49"/>
        <v>09102</v>
      </c>
      <c r="C3129" t="s">
        <v>1203</v>
      </c>
      <c r="D3129">
        <v>0</v>
      </c>
      <c r="E3129" t="s">
        <v>347</v>
      </c>
    </row>
    <row r="3130" spans="1:5" x14ac:dyDescent="0.25">
      <c r="A3130" t="s">
        <v>51</v>
      </c>
      <c r="B3130" t="str">
        <f t="shared" si="49"/>
        <v>09102</v>
      </c>
      <c r="C3130" t="s">
        <v>1200</v>
      </c>
      <c r="D3130">
        <v>0</v>
      </c>
      <c r="E3130" t="s">
        <v>347</v>
      </c>
    </row>
    <row r="3131" spans="1:5" x14ac:dyDescent="0.25">
      <c r="A3131" t="s">
        <v>51</v>
      </c>
      <c r="B3131" t="str">
        <f t="shared" si="49"/>
        <v>09102</v>
      </c>
      <c r="C3131" t="s">
        <v>1204</v>
      </c>
      <c r="D3131">
        <v>0</v>
      </c>
      <c r="E3131" t="s">
        <v>347</v>
      </c>
    </row>
    <row r="3132" spans="1:5" x14ac:dyDescent="0.25">
      <c r="A3132" t="s">
        <v>51</v>
      </c>
      <c r="B3132" t="str">
        <f t="shared" si="49"/>
        <v>09102</v>
      </c>
      <c r="C3132" t="s">
        <v>1207</v>
      </c>
      <c r="D3132">
        <v>0</v>
      </c>
      <c r="E3132" t="s">
        <v>347</v>
      </c>
    </row>
    <row r="3133" spans="1:5" x14ac:dyDescent="0.25">
      <c r="A3133" t="s">
        <v>51</v>
      </c>
      <c r="B3133" t="str">
        <f t="shared" si="49"/>
        <v>09102</v>
      </c>
      <c r="C3133" t="s">
        <v>1208</v>
      </c>
      <c r="D3133">
        <v>0</v>
      </c>
      <c r="E3133" t="s">
        <v>347</v>
      </c>
    </row>
    <row r="3134" spans="1:5" x14ac:dyDescent="0.25">
      <c r="A3134" t="s">
        <v>51</v>
      </c>
      <c r="B3134" t="str">
        <f t="shared" si="49"/>
        <v>09102</v>
      </c>
      <c r="C3134" t="s">
        <v>1210</v>
      </c>
      <c r="D3134">
        <v>0</v>
      </c>
      <c r="E3134" t="s">
        <v>347</v>
      </c>
    </row>
    <row r="3135" spans="1:5" x14ac:dyDescent="0.25">
      <c r="A3135" t="s">
        <v>51</v>
      </c>
      <c r="B3135" t="str">
        <f t="shared" si="49"/>
        <v>09102</v>
      </c>
      <c r="C3135" t="s">
        <v>1212</v>
      </c>
      <c r="D3135">
        <v>0</v>
      </c>
      <c r="E3135" t="s">
        <v>347</v>
      </c>
    </row>
    <row r="3136" spans="1:5" x14ac:dyDescent="0.25">
      <c r="A3136" t="s">
        <v>51</v>
      </c>
      <c r="B3136" t="str">
        <f t="shared" si="49"/>
        <v>09102</v>
      </c>
      <c r="C3136" t="s">
        <v>1216</v>
      </c>
      <c r="D3136">
        <v>1</v>
      </c>
      <c r="E3136" t="s">
        <v>347</v>
      </c>
    </row>
    <row r="3137" spans="1:5" x14ac:dyDescent="0.25">
      <c r="A3137" t="s">
        <v>51</v>
      </c>
      <c r="B3137" t="str">
        <f t="shared" si="49"/>
        <v>09102</v>
      </c>
      <c r="C3137" t="s">
        <v>1198</v>
      </c>
      <c r="D3137">
        <v>5</v>
      </c>
      <c r="E3137" t="s">
        <v>347</v>
      </c>
    </row>
    <row r="3138" spans="1:5" x14ac:dyDescent="0.25">
      <c r="A3138">
        <v>38301</v>
      </c>
      <c r="B3138" t="str">
        <f t="shared" si="49"/>
        <v>38301</v>
      </c>
      <c r="C3138" t="s">
        <v>1193</v>
      </c>
      <c r="D3138">
        <v>0</v>
      </c>
      <c r="E3138" t="s">
        <v>577</v>
      </c>
    </row>
    <row r="3139" spans="1:5" x14ac:dyDescent="0.25">
      <c r="A3139">
        <v>38301</v>
      </c>
      <c r="B3139" t="str">
        <f t="shared" ref="B3139:B3202" si="50">TEXT(A3139,"00000")</f>
        <v>38301</v>
      </c>
      <c r="C3139" t="s">
        <v>1194</v>
      </c>
      <c r="D3139">
        <v>36.200000000000003</v>
      </c>
      <c r="E3139" t="s">
        <v>577</v>
      </c>
    </row>
    <row r="3140" spans="1:5" x14ac:dyDescent="0.25">
      <c r="A3140">
        <v>38301</v>
      </c>
      <c r="B3140" t="str">
        <f t="shared" si="50"/>
        <v>38301</v>
      </c>
      <c r="C3140" t="s">
        <v>1195</v>
      </c>
      <c r="D3140">
        <v>0</v>
      </c>
      <c r="E3140" t="s">
        <v>577</v>
      </c>
    </row>
    <row r="3141" spans="1:5" x14ac:dyDescent="0.25">
      <c r="A3141">
        <v>38301</v>
      </c>
      <c r="B3141" t="str">
        <f t="shared" si="50"/>
        <v>38301</v>
      </c>
      <c r="C3141" t="s">
        <v>1197</v>
      </c>
      <c r="D3141">
        <v>12.2</v>
      </c>
      <c r="E3141" t="s">
        <v>577</v>
      </c>
    </row>
    <row r="3142" spans="1:5" x14ac:dyDescent="0.25">
      <c r="A3142">
        <v>38301</v>
      </c>
      <c r="B3142" t="str">
        <f t="shared" si="50"/>
        <v>38301</v>
      </c>
      <c r="C3142" t="s">
        <v>1202</v>
      </c>
      <c r="D3142">
        <v>0</v>
      </c>
      <c r="E3142" t="s">
        <v>577</v>
      </c>
    </row>
    <row r="3143" spans="1:5" x14ac:dyDescent="0.25">
      <c r="A3143">
        <v>38301</v>
      </c>
      <c r="B3143" t="str">
        <f t="shared" si="50"/>
        <v>38301</v>
      </c>
      <c r="C3143" t="s">
        <v>1206</v>
      </c>
      <c r="D3143">
        <v>33.6</v>
      </c>
      <c r="E3143" t="s">
        <v>577</v>
      </c>
    </row>
    <row r="3144" spans="1:5" x14ac:dyDescent="0.25">
      <c r="A3144">
        <v>38301</v>
      </c>
      <c r="B3144" t="str">
        <f t="shared" si="50"/>
        <v>38301</v>
      </c>
      <c r="C3144" t="s">
        <v>1199</v>
      </c>
      <c r="D3144">
        <v>0</v>
      </c>
      <c r="E3144" t="s">
        <v>577</v>
      </c>
    </row>
    <row r="3145" spans="1:5" x14ac:dyDescent="0.25">
      <c r="A3145">
        <v>38301</v>
      </c>
      <c r="B3145" t="str">
        <f t="shared" si="50"/>
        <v>38301</v>
      </c>
      <c r="C3145" t="s">
        <v>1203</v>
      </c>
      <c r="D3145">
        <v>18.399999999999999</v>
      </c>
      <c r="E3145" t="s">
        <v>577</v>
      </c>
    </row>
    <row r="3146" spans="1:5" x14ac:dyDescent="0.25">
      <c r="A3146">
        <v>38301</v>
      </c>
      <c r="B3146" t="str">
        <f t="shared" si="50"/>
        <v>38301</v>
      </c>
      <c r="C3146" t="s">
        <v>1200</v>
      </c>
      <c r="D3146">
        <v>0</v>
      </c>
      <c r="E3146" t="s">
        <v>577</v>
      </c>
    </row>
    <row r="3147" spans="1:5" x14ac:dyDescent="0.25">
      <c r="A3147">
        <v>38301</v>
      </c>
      <c r="B3147" t="str">
        <f t="shared" si="50"/>
        <v>38301</v>
      </c>
      <c r="C3147" t="s">
        <v>1204</v>
      </c>
      <c r="D3147">
        <v>52.07</v>
      </c>
      <c r="E3147" t="s">
        <v>577</v>
      </c>
    </row>
    <row r="3148" spans="1:5" x14ac:dyDescent="0.25">
      <c r="A3148">
        <v>38301</v>
      </c>
      <c r="B3148" t="str">
        <f t="shared" si="50"/>
        <v>38301</v>
      </c>
      <c r="C3148" t="s">
        <v>1207</v>
      </c>
      <c r="D3148">
        <v>0</v>
      </c>
      <c r="E3148" t="s">
        <v>577</v>
      </c>
    </row>
    <row r="3149" spans="1:5" x14ac:dyDescent="0.25">
      <c r="A3149">
        <v>38301</v>
      </c>
      <c r="B3149" t="str">
        <f t="shared" si="50"/>
        <v>38301</v>
      </c>
      <c r="C3149" t="s">
        <v>1208</v>
      </c>
      <c r="D3149">
        <v>9.9</v>
      </c>
      <c r="E3149" t="s">
        <v>577</v>
      </c>
    </row>
    <row r="3150" spans="1:5" x14ac:dyDescent="0.25">
      <c r="A3150">
        <v>38301</v>
      </c>
      <c r="B3150" t="str">
        <f t="shared" si="50"/>
        <v>38301</v>
      </c>
      <c r="C3150" t="s">
        <v>1210</v>
      </c>
      <c r="D3150">
        <v>0</v>
      </c>
      <c r="E3150" t="s">
        <v>577</v>
      </c>
    </row>
    <row r="3151" spans="1:5" x14ac:dyDescent="0.25">
      <c r="A3151">
        <v>38301</v>
      </c>
      <c r="B3151" t="str">
        <f t="shared" si="50"/>
        <v>38301</v>
      </c>
      <c r="C3151" t="s">
        <v>1212</v>
      </c>
      <c r="D3151">
        <v>0</v>
      </c>
      <c r="E3151" t="s">
        <v>577</v>
      </c>
    </row>
    <row r="3152" spans="1:5" x14ac:dyDescent="0.25">
      <c r="A3152">
        <v>38301</v>
      </c>
      <c r="B3152" t="str">
        <f t="shared" si="50"/>
        <v>38301</v>
      </c>
      <c r="C3152" t="s">
        <v>1216</v>
      </c>
      <c r="D3152">
        <v>8.0399999999999991</v>
      </c>
      <c r="E3152" t="s">
        <v>577</v>
      </c>
    </row>
    <row r="3153" spans="1:5" x14ac:dyDescent="0.25">
      <c r="A3153">
        <v>38301</v>
      </c>
      <c r="B3153" t="str">
        <f t="shared" si="50"/>
        <v>38301</v>
      </c>
      <c r="C3153" t="s">
        <v>1198</v>
      </c>
      <c r="D3153">
        <v>14</v>
      </c>
      <c r="E3153" t="s">
        <v>577</v>
      </c>
    </row>
    <row r="3154" spans="1:5" x14ac:dyDescent="0.25">
      <c r="A3154">
        <v>24915</v>
      </c>
      <c r="B3154" t="str">
        <f t="shared" si="50"/>
        <v>24915</v>
      </c>
      <c r="C3154" t="s">
        <v>1193</v>
      </c>
      <c r="D3154">
        <v>0</v>
      </c>
      <c r="E3154" t="s">
        <v>1232</v>
      </c>
    </row>
    <row r="3155" spans="1:5" x14ac:dyDescent="0.25">
      <c r="A3155">
        <v>24915</v>
      </c>
      <c r="B3155" t="str">
        <f t="shared" si="50"/>
        <v>24915</v>
      </c>
      <c r="C3155" t="s">
        <v>1194</v>
      </c>
      <c r="D3155">
        <v>58</v>
      </c>
      <c r="E3155" t="s">
        <v>1232</v>
      </c>
    </row>
    <row r="3156" spans="1:5" x14ac:dyDescent="0.25">
      <c r="A3156">
        <v>24915</v>
      </c>
      <c r="B3156" t="str">
        <f t="shared" si="50"/>
        <v>24915</v>
      </c>
      <c r="C3156" t="s">
        <v>1195</v>
      </c>
      <c r="D3156">
        <v>0</v>
      </c>
      <c r="E3156" t="s">
        <v>1232</v>
      </c>
    </row>
    <row r="3157" spans="1:5" x14ac:dyDescent="0.25">
      <c r="A3157">
        <v>24915</v>
      </c>
      <c r="B3157" t="str">
        <f t="shared" si="50"/>
        <v>24915</v>
      </c>
      <c r="C3157" t="s">
        <v>1197</v>
      </c>
      <c r="D3157">
        <v>13.2</v>
      </c>
      <c r="E3157" t="s">
        <v>1232</v>
      </c>
    </row>
    <row r="3158" spans="1:5" x14ac:dyDescent="0.25">
      <c r="A3158">
        <v>24915</v>
      </c>
      <c r="B3158" t="str">
        <f t="shared" si="50"/>
        <v>24915</v>
      </c>
      <c r="C3158" t="s">
        <v>1202</v>
      </c>
      <c r="D3158">
        <v>0</v>
      </c>
      <c r="E3158" t="s">
        <v>1232</v>
      </c>
    </row>
    <row r="3159" spans="1:5" x14ac:dyDescent="0.25">
      <c r="A3159">
        <v>24915</v>
      </c>
      <c r="B3159" t="str">
        <f t="shared" si="50"/>
        <v>24915</v>
      </c>
      <c r="C3159" t="s">
        <v>1206</v>
      </c>
      <c r="D3159">
        <v>26.41</v>
      </c>
      <c r="E3159" t="s">
        <v>1232</v>
      </c>
    </row>
    <row r="3160" spans="1:5" x14ac:dyDescent="0.25">
      <c r="A3160">
        <v>24915</v>
      </c>
      <c r="B3160" t="str">
        <f t="shared" si="50"/>
        <v>24915</v>
      </c>
      <c r="C3160" t="s">
        <v>1199</v>
      </c>
      <c r="D3160">
        <v>0</v>
      </c>
      <c r="E3160" t="s">
        <v>1232</v>
      </c>
    </row>
    <row r="3161" spans="1:5" x14ac:dyDescent="0.25">
      <c r="A3161">
        <v>24915</v>
      </c>
      <c r="B3161" t="str">
        <f t="shared" si="50"/>
        <v>24915</v>
      </c>
      <c r="C3161" t="s">
        <v>1203</v>
      </c>
      <c r="D3161">
        <v>27</v>
      </c>
      <c r="E3161" t="s">
        <v>1232</v>
      </c>
    </row>
    <row r="3162" spans="1:5" x14ac:dyDescent="0.25">
      <c r="A3162">
        <v>24915</v>
      </c>
      <c r="B3162" t="str">
        <f t="shared" si="50"/>
        <v>24915</v>
      </c>
      <c r="C3162" t="s">
        <v>1200</v>
      </c>
      <c r="D3162">
        <v>0</v>
      </c>
      <c r="E3162" t="s">
        <v>1232</v>
      </c>
    </row>
    <row r="3163" spans="1:5" x14ac:dyDescent="0.25">
      <c r="A3163">
        <v>24915</v>
      </c>
      <c r="B3163" t="str">
        <f t="shared" si="50"/>
        <v>24915</v>
      </c>
      <c r="C3163" t="s">
        <v>1204</v>
      </c>
      <c r="D3163">
        <v>8</v>
      </c>
      <c r="E3163" t="s">
        <v>1232</v>
      </c>
    </row>
    <row r="3164" spans="1:5" x14ac:dyDescent="0.25">
      <c r="A3164">
        <v>24915</v>
      </c>
      <c r="B3164" t="str">
        <f t="shared" si="50"/>
        <v>24915</v>
      </c>
      <c r="C3164" t="s">
        <v>1207</v>
      </c>
      <c r="D3164">
        <v>0</v>
      </c>
      <c r="E3164" t="s">
        <v>1232</v>
      </c>
    </row>
    <row r="3165" spans="1:5" x14ac:dyDescent="0.25">
      <c r="A3165">
        <v>24915</v>
      </c>
      <c r="B3165" t="str">
        <f t="shared" si="50"/>
        <v>24915</v>
      </c>
      <c r="C3165" t="s">
        <v>1208</v>
      </c>
      <c r="D3165">
        <v>0</v>
      </c>
      <c r="E3165" t="s">
        <v>1232</v>
      </c>
    </row>
    <row r="3166" spans="1:5" x14ac:dyDescent="0.25">
      <c r="A3166">
        <v>24915</v>
      </c>
      <c r="B3166" t="str">
        <f t="shared" si="50"/>
        <v>24915</v>
      </c>
      <c r="C3166" t="s">
        <v>1210</v>
      </c>
      <c r="D3166">
        <v>0</v>
      </c>
      <c r="E3166" t="s">
        <v>1232</v>
      </c>
    </row>
    <row r="3167" spans="1:5" x14ac:dyDescent="0.25">
      <c r="A3167">
        <v>24915</v>
      </c>
      <c r="B3167" t="str">
        <f t="shared" si="50"/>
        <v>24915</v>
      </c>
      <c r="C3167" t="s">
        <v>1212</v>
      </c>
      <c r="D3167">
        <v>0</v>
      </c>
      <c r="E3167" t="s">
        <v>1232</v>
      </c>
    </row>
    <row r="3168" spans="1:5" x14ac:dyDescent="0.25">
      <c r="A3168">
        <v>24915</v>
      </c>
      <c r="B3168" t="str">
        <f t="shared" si="50"/>
        <v>24915</v>
      </c>
      <c r="C3168" t="s">
        <v>1216</v>
      </c>
      <c r="D3168">
        <v>0</v>
      </c>
      <c r="E3168" t="s">
        <v>1232</v>
      </c>
    </row>
    <row r="3169" spans="1:5" x14ac:dyDescent="0.25">
      <c r="A3169">
        <v>24915</v>
      </c>
      <c r="B3169" t="str">
        <f t="shared" si="50"/>
        <v>24915</v>
      </c>
      <c r="C3169" t="s">
        <v>1198</v>
      </c>
      <c r="D3169">
        <v>13.2</v>
      </c>
      <c r="E3169" t="s">
        <v>1232</v>
      </c>
    </row>
    <row r="3170" spans="1:5" x14ac:dyDescent="0.25">
      <c r="A3170">
        <v>11001</v>
      </c>
      <c r="B3170" t="str">
        <f t="shared" si="50"/>
        <v>11001</v>
      </c>
      <c r="C3170" t="s">
        <v>1193</v>
      </c>
      <c r="D3170">
        <v>0</v>
      </c>
      <c r="E3170" t="s">
        <v>356</v>
      </c>
    </row>
    <row r="3171" spans="1:5" x14ac:dyDescent="0.25">
      <c r="A3171">
        <v>11001</v>
      </c>
      <c r="B3171" t="str">
        <f t="shared" si="50"/>
        <v>11001</v>
      </c>
      <c r="C3171" t="s">
        <v>1194</v>
      </c>
      <c r="D3171">
        <v>4107.9799999999996</v>
      </c>
      <c r="E3171" t="s">
        <v>356</v>
      </c>
    </row>
    <row r="3172" spans="1:5" x14ac:dyDescent="0.25">
      <c r="A3172">
        <v>11001</v>
      </c>
      <c r="B3172" t="str">
        <f t="shared" si="50"/>
        <v>11001</v>
      </c>
      <c r="C3172" t="s">
        <v>1195</v>
      </c>
      <c r="D3172">
        <v>0</v>
      </c>
      <c r="E3172" t="s">
        <v>356</v>
      </c>
    </row>
    <row r="3173" spans="1:5" x14ac:dyDescent="0.25">
      <c r="A3173">
        <v>11001</v>
      </c>
      <c r="B3173" t="str">
        <f t="shared" si="50"/>
        <v>11001</v>
      </c>
      <c r="C3173" t="s">
        <v>1197</v>
      </c>
      <c r="D3173">
        <v>1326.22</v>
      </c>
      <c r="E3173" t="s">
        <v>356</v>
      </c>
    </row>
    <row r="3174" spans="1:5" x14ac:dyDescent="0.25">
      <c r="A3174">
        <v>11001</v>
      </c>
      <c r="B3174" t="str">
        <f t="shared" si="50"/>
        <v>11001</v>
      </c>
      <c r="C3174" t="s">
        <v>1202</v>
      </c>
      <c r="D3174">
        <v>0</v>
      </c>
      <c r="E3174" t="s">
        <v>356</v>
      </c>
    </row>
    <row r="3175" spans="1:5" x14ac:dyDescent="0.25">
      <c r="A3175">
        <v>11001</v>
      </c>
      <c r="B3175" t="str">
        <f t="shared" si="50"/>
        <v>11001</v>
      </c>
      <c r="C3175" t="s">
        <v>1206</v>
      </c>
      <c r="D3175">
        <v>2805.11</v>
      </c>
      <c r="E3175" t="s">
        <v>356</v>
      </c>
    </row>
    <row r="3176" spans="1:5" x14ac:dyDescent="0.25">
      <c r="A3176">
        <v>11001</v>
      </c>
      <c r="B3176" t="str">
        <f t="shared" si="50"/>
        <v>11001</v>
      </c>
      <c r="C3176" t="s">
        <v>1199</v>
      </c>
      <c r="D3176">
        <v>0</v>
      </c>
      <c r="E3176" t="s">
        <v>356</v>
      </c>
    </row>
    <row r="3177" spans="1:5" x14ac:dyDescent="0.25">
      <c r="A3177">
        <v>11001</v>
      </c>
      <c r="B3177" t="str">
        <f t="shared" si="50"/>
        <v>11001</v>
      </c>
      <c r="C3177" t="s">
        <v>1203</v>
      </c>
      <c r="D3177">
        <v>2864.28</v>
      </c>
      <c r="E3177" t="s">
        <v>356</v>
      </c>
    </row>
    <row r="3178" spans="1:5" x14ac:dyDescent="0.25">
      <c r="A3178">
        <v>11001</v>
      </c>
      <c r="B3178" t="str">
        <f t="shared" si="50"/>
        <v>11001</v>
      </c>
      <c r="C3178" t="s">
        <v>1200</v>
      </c>
      <c r="D3178">
        <v>0</v>
      </c>
      <c r="E3178" t="s">
        <v>356</v>
      </c>
    </row>
    <row r="3179" spans="1:5" x14ac:dyDescent="0.25">
      <c r="A3179">
        <v>11001</v>
      </c>
      <c r="B3179" t="str">
        <f t="shared" si="50"/>
        <v>11001</v>
      </c>
      <c r="C3179" t="s">
        <v>1204</v>
      </c>
      <c r="D3179">
        <v>5144.91</v>
      </c>
      <c r="E3179" t="s">
        <v>356</v>
      </c>
    </row>
    <row r="3180" spans="1:5" x14ac:dyDescent="0.25">
      <c r="A3180">
        <v>11001</v>
      </c>
      <c r="B3180" t="str">
        <f t="shared" si="50"/>
        <v>11001</v>
      </c>
      <c r="C3180" t="s">
        <v>1207</v>
      </c>
      <c r="D3180">
        <v>232.53</v>
      </c>
      <c r="E3180" t="s">
        <v>356</v>
      </c>
    </row>
    <row r="3181" spans="1:5" x14ac:dyDescent="0.25">
      <c r="A3181">
        <v>11001</v>
      </c>
      <c r="B3181" t="str">
        <f t="shared" si="50"/>
        <v>11001</v>
      </c>
      <c r="C3181" t="s">
        <v>1208</v>
      </c>
      <c r="D3181">
        <v>1196.71</v>
      </c>
      <c r="E3181" t="s">
        <v>356</v>
      </c>
    </row>
    <row r="3182" spans="1:5" x14ac:dyDescent="0.25">
      <c r="A3182">
        <v>11001</v>
      </c>
      <c r="B3182" t="str">
        <f t="shared" si="50"/>
        <v>11001</v>
      </c>
      <c r="C3182" t="s">
        <v>1210</v>
      </c>
      <c r="D3182">
        <v>0</v>
      </c>
      <c r="E3182" t="s">
        <v>356</v>
      </c>
    </row>
    <row r="3183" spans="1:5" x14ac:dyDescent="0.25">
      <c r="A3183">
        <v>11001</v>
      </c>
      <c r="B3183" t="str">
        <f t="shared" si="50"/>
        <v>11001</v>
      </c>
      <c r="C3183" t="s">
        <v>1212</v>
      </c>
      <c r="D3183">
        <v>0</v>
      </c>
      <c r="E3183" t="s">
        <v>356</v>
      </c>
    </row>
    <row r="3184" spans="1:5" x14ac:dyDescent="0.25">
      <c r="A3184">
        <v>11001</v>
      </c>
      <c r="B3184" t="str">
        <f t="shared" si="50"/>
        <v>11001</v>
      </c>
      <c r="C3184" t="s">
        <v>1216</v>
      </c>
      <c r="D3184">
        <v>84.2</v>
      </c>
      <c r="E3184" t="s">
        <v>356</v>
      </c>
    </row>
    <row r="3185" spans="1:5" x14ac:dyDescent="0.25">
      <c r="A3185">
        <v>11001</v>
      </c>
      <c r="B3185" t="str">
        <f t="shared" si="50"/>
        <v>11001</v>
      </c>
      <c r="C3185" t="s">
        <v>1198</v>
      </c>
      <c r="D3185">
        <v>1219.9000000000001</v>
      </c>
      <c r="E3185" t="s">
        <v>356</v>
      </c>
    </row>
    <row r="3186" spans="1:5" x14ac:dyDescent="0.25">
      <c r="A3186" s="34">
        <v>24122</v>
      </c>
      <c r="B3186" t="str">
        <f t="shared" si="50"/>
        <v>24122</v>
      </c>
      <c r="C3186" t="s">
        <v>1193</v>
      </c>
      <c r="D3186">
        <v>0</v>
      </c>
      <c r="E3186" t="s">
        <v>466</v>
      </c>
    </row>
    <row r="3187" spans="1:5" x14ac:dyDescent="0.25">
      <c r="A3187" s="34">
        <v>24122</v>
      </c>
      <c r="B3187" t="str">
        <f t="shared" si="50"/>
        <v>24122</v>
      </c>
      <c r="C3187" t="s">
        <v>1194</v>
      </c>
      <c r="D3187">
        <v>56</v>
      </c>
      <c r="E3187" t="s">
        <v>466</v>
      </c>
    </row>
    <row r="3188" spans="1:5" x14ac:dyDescent="0.25">
      <c r="A3188" s="34">
        <v>24122</v>
      </c>
      <c r="B3188" t="str">
        <f t="shared" si="50"/>
        <v>24122</v>
      </c>
      <c r="C3188" t="s">
        <v>1195</v>
      </c>
      <c r="D3188">
        <v>0</v>
      </c>
      <c r="E3188" t="s">
        <v>466</v>
      </c>
    </row>
    <row r="3189" spans="1:5" x14ac:dyDescent="0.25">
      <c r="A3189" s="34">
        <v>24122</v>
      </c>
      <c r="B3189" t="str">
        <f t="shared" si="50"/>
        <v>24122</v>
      </c>
      <c r="C3189" t="s">
        <v>1197</v>
      </c>
      <c r="D3189">
        <v>12</v>
      </c>
      <c r="E3189" t="s">
        <v>466</v>
      </c>
    </row>
    <row r="3190" spans="1:5" x14ac:dyDescent="0.25">
      <c r="A3190" s="34">
        <v>24122</v>
      </c>
      <c r="B3190" t="str">
        <f t="shared" si="50"/>
        <v>24122</v>
      </c>
      <c r="C3190" t="s">
        <v>1202</v>
      </c>
      <c r="D3190">
        <v>0</v>
      </c>
      <c r="E3190" t="s">
        <v>466</v>
      </c>
    </row>
    <row r="3191" spans="1:5" x14ac:dyDescent="0.25">
      <c r="A3191" s="34">
        <v>24122</v>
      </c>
      <c r="B3191" t="str">
        <f t="shared" si="50"/>
        <v>24122</v>
      </c>
      <c r="C3191" t="s">
        <v>1206</v>
      </c>
      <c r="D3191">
        <v>29.6</v>
      </c>
      <c r="E3191" t="s">
        <v>466</v>
      </c>
    </row>
    <row r="3192" spans="1:5" x14ac:dyDescent="0.25">
      <c r="A3192" s="34">
        <v>24122</v>
      </c>
      <c r="B3192" t="str">
        <f t="shared" si="50"/>
        <v>24122</v>
      </c>
      <c r="C3192" t="s">
        <v>1199</v>
      </c>
      <c r="D3192">
        <v>0</v>
      </c>
      <c r="E3192" t="s">
        <v>466</v>
      </c>
    </row>
    <row r="3193" spans="1:5" x14ac:dyDescent="0.25">
      <c r="A3193" s="34">
        <v>24122</v>
      </c>
      <c r="B3193" t="str">
        <f t="shared" si="50"/>
        <v>24122</v>
      </c>
      <c r="C3193" t="s">
        <v>1203</v>
      </c>
      <c r="D3193">
        <v>40.6</v>
      </c>
      <c r="E3193" t="s">
        <v>466</v>
      </c>
    </row>
    <row r="3194" spans="1:5" x14ac:dyDescent="0.25">
      <c r="A3194" s="34">
        <v>24122</v>
      </c>
      <c r="B3194" t="str">
        <f t="shared" si="50"/>
        <v>24122</v>
      </c>
      <c r="C3194" t="s">
        <v>1200</v>
      </c>
      <c r="D3194">
        <v>0</v>
      </c>
      <c r="E3194" t="s">
        <v>466</v>
      </c>
    </row>
    <row r="3195" spans="1:5" x14ac:dyDescent="0.25">
      <c r="A3195" s="34">
        <v>24122</v>
      </c>
      <c r="B3195" t="str">
        <f t="shared" si="50"/>
        <v>24122</v>
      </c>
      <c r="C3195" t="s">
        <v>1204</v>
      </c>
      <c r="D3195">
        <v>66.91</v>
      </c>
      <c r="E3195" t="s">
        <v>466</v>
      </c>
    </row>
    <row r="3196" spans="1:5" x14ac:dyDescent="0.25">
      <c r="A3196" s="34">
        <v>24122</v>
      </c>
      <c r="B3196" t="str">
        <f t="shared" si="50"/>
        <v>24122</v>
      </c>
      <c r="C3196" t="s">
        <v>1207</v>
      </c>
      <c r="D3196">
        <v>3.98</v>
      </c>
      <c r="E3196" t="s">
        <v>466</v>
      </c>
    </row>
    <row r="3197" spans="1:5" x14ac:dyDescent="0.25">
      <c r="A3197" s="34">
        <v>24122</v>
      </c>
      <c r="B3197" t="str">
        <f t="shared" si="50"/>
        <v>24122</v>
      </c>
      <c r="C3197" t="s">
        <v>1208</v>
      </c>
      <c r="D3197">
        <v>19.059999999999999</v>
      </c>
      <c r="E3197" t="s">
        <v>466</v>
      </c>
    </row>
    <row r="3198" spans="1:5" x14ac:dyDescent="0.25">
      <c r="A3198" s="34">
        <v>24122</v>
      </c>
      <c r="B3198" t="str">
        <f t="shared" si="50"/>
        <v>24122</v>
      </c>
      <c r="C3198" t="s">
        <v>1210</v>
      </c>
      <c r="D3198">
        <v>0</v>
      </c>
      <c r="E3198" t="s">
        <v>466</v>
      </c>
    </row>
    <row r="3199" spans="1:5" x14ac:dyDescent="0.25">
      <c r="A3199" s="34">
        <v>24122</v>
      </c>
      <c r="B3199" t="str">
        <f t="shared" si="50"/>
        <v>24122</v>
      </c>
      <c r="C3199" t="s">
        <v>1212</v>
      </c>
      <c r="D3199">
        <v>0</v>
      </c>
      <c r="E3199" t="s">
        <v>466</v>
      </c>
    </row>
    <row r="3200" spans="1:5" x14ac:dyDescent="0.25">
      <c r="A3200" s="34">
        <v>24122</v>
      </c>
      <c r="B3200" t="str">
        <f t="shared" si="50"/>
        <v>24122</v>
      </c>
      <c r="C3200" t="s">
        <v>1216</v>
      </c>
      <c r="D3200">
        <v>4</v>
      </c>
      <c r="E3200" t="s">
        <v>466</v>
      </c>
    </row>
    <row r="3201" spans="1:5" x14ac:dyDescent="0.25">
      <c r="A3201" s="34">
        <v>24122</v>
      </c>
      <c r="B3201" t="str">
        <f t="shared" si="50"/>
        <v>24122</v>
      </c>
      <c r="C3201" t="s">
        <v>1198</v>
      </c>
      <c r="D3201">
        <v>15.8</v>
      </c>
      <c r="E3201" t="s">
        <v>466</v>
      </c>
    </row>
    <row r="3202" spans="1:5" x14ac:dyDescent="0.25">
      <c r="A3202" t="s">
        <v>15</v>
      </c>
      <c r="B3202" t="str">
        <f t="shared" si="50"/>
        <v>03050</v>
      </c>
      <c r="C3202" t="s">
        <v>1193</v>
      </c>
      <c r="D3202">
        <v>0</v>
      </c>
      <c r="E3202" t="s">
        <v>312</v>
      </c>
    </row>
    <row r="3203" spans="1:5" x14ac:dyDescent="0.25">
      <c r="A3203" t="s">
        <v>15</v>
      </c>
      <c r="B3203" t="str">
        <f t="shared" ref="B3203:B3266" si="51">TEXT(A3203,"00000")</f>
        <v>03050</v>
      </c>
      <c r="C3203" t="s">
        <v>1194</v>
      </c>
      <c r="D3203">
        <v>46</v>
      </c>
      <c r="E3203" t="s">
        <v>312</v>
      </c>
    </row>
    <row r="3204" spans="1:5" x14ac:dyDescent="0.25">
      <c r="A3204" t="s">
        <v>15</v>
      </c>
      <c r="B3204" t="str">
        <f t="shared" si="51"/>
        <v>03050</v>
      </c>
      <c r="C3204" t="s">
        <v>1195</v>
      </c>
      <c r="D3204">
        <v>0</v>
      </c>
      <c r="E3204" t="s">
        <v>312</v>
      </c>
    </row>
    <row r="3205" spans="1:5" x14ac:dyDescent="0.25">
      <c r="A3205" t="s">
        <v>15</v>
      </c>
      <c r="B3205" t="str">
        <f t="shared" si="51"/>
        <v>03050</v>
      </c>
      <c r="C3205" t="s">
        <v>1197</v>
      </c>
      <c r="D3205">
        <v>12</v>
      </c>
      <c r="E3205" t="s">
        <v>312</v>
      </c>
    </row>
    <row r="3206" spans="1:5" x14ac:dyDescent="0.25">
      <c r="A3206" t="s">
        <v>15</v>
      </c>
      <c r="B3206" t="str">
        <f t="shared" si="51"/>
        <v>03050</v>
      </c>
      <c r="C3206" t="s">
        <v>1202</v>
      </c>
      <c r="D3206">
        <v>0</v>
      </c>
      <c r="E3206" t="s">
        <v>312</v>
      </c>
    </row>
    <row r="3207" spans="1:5" x14ac:dyDescent="0.25">
      <c r="A3207" t="s">
        <v>15</v>
      </c>
      <c r="B3207" t="str">
        <f t="shared" si="51"/>
        <v>03050</v>
      </c>
      <c r="C3207" t="s">
        <v>1206</v>
      </c>
      <c r="D3207">
        <v>34</v>
      </c>
      <c r="E3207" t="s">
        <v>312</v>
      </c>
    </row>
    <row r="3208" spans="1:5" x14ac:dyDescent="0.25">
      <c r="A3208" t="s">
        <v>15</v>
      </c>
      <c r="B3208" t="str">
        <f t="shared" si="51"/>
        <v>03050</v>
      </c>
      <c r="C3208" t="s">
        <v>1199</v>
      </c>
      <c r="D3208">
        <v>0</v>
      </c>
      <c r="E3208" t="s">
        <v>312</v>
      </c>
    </row>
    <row r="3209" spans="1:5" x14ac:dyDescent="0.25">
      <c r="A3209" t="s">
        <v>15</v>
      </c>
      <c r="B3209" t="str">
        <f t="shared" si="51"/>
        <v>03050</v>
      </c>
      <c r="C3209" t="s">
        <v>1203</v>
      </c>
      <c r="D3209">
        <v>30.4</v>
      </c>
      <c r="E3209" t="s">
        <v>312</v>
      </c>
    </row>
    <row r="3210" spans="1:5" x14ac:dyDescent="0.25">
      <c r="A3210" t="s">
        <v>15</v>
      </c>
      <c r="B3210" t="str">
        <f t="shared" si="51"/>
        <v>03050</v>
      </c>
      <c r="C3210" t="s">
        <v>1200</v>
      </c>
      <c r="D3210">
        <v>0</v>
      </c>
      <c r="E3210" t="s">
        <v>312</v>
      </c>
    </row>
    <row r="3211" spans="1:5" x14ac:dyDescent="0.25">
      <c r="A3211" t="s">
        <v>15</v>
      </c>
      <c r="B3211" t="str">
        <f t="shared" si="51"/>
        <v>03050</v>
      </c>
      <c r="C3211" t="s">
        <v>1204</v>
      </c>
      <c r="D3211">
        <v>0</v>
      </c>
      <c r="E3211" t="s">
        <v>312</v>
      </c>
    </row>
    <row r="3212" spans="1:5" x14ac:dyDescent="0.25">
      <c r="A3212" t="s">
        <v>15</v>
      </c>
      <c r="B3212" t="str">
        <f t="shared" si="51"/>
        <v>03050</v>
      </c>
      <c r="C3212" t="s">
        <v>1207</v>
      </c>
      <c r="D3212">
        <v>12.97</v>
      </c>
      <c r="E3212" t="s">
        <v>312</v>
      </c>
    </row>
    <row r="3213" spans="1:5" x14ac:dyDescent="0.25">
      <c r="A3213" t="s">
        <v>15</v>
      </c>
      <c r="B3213" t="str">
        <f t="shared" si="51"/>
        <v>03050</v>
      </c>
      <c r="C3213" t="s">
        <v>1208</v>
      </c>
      <c r="D3213">
        <v>0</v>
      </c>
      <c r="E3213" t="s">
        <v>312</v>
      </c>
    </row>
    <row r="3214" spans="1:5" x14ac:dyDescent="0.25">
      <c r="A3214" t="s">
        <v>15</v>
      </c>
      <c r="B3214" t="str">
        <f t="shared" si="51"/>
        <v>03050</v>
      </c>
      <c r="C3214" t="s">
        <v>1210</v>
      </c>
      <c r="D3214">
        <v>0</v>
      </c>
      <c r="E3214" t="s">
        <v>312</v>
      </c>
    </row>
    <row r="3215" spans="1:5" x14ac:dyDescent="0.25">
      <c r="A3215" t="s">
        <v>15</v>
      </c>
      <c r="B3215" t="str">
        <f t="shared" si="51"/>
        <v>03050</v>
      </c>
      <c r="C3215" t="s">
        <v>1212</v>
      </c>
      <c r="D3215">
        <v>0</v>
      </c>
      <c r="E3215" t="s">
        <v>312</v>
      </c>
    </row>
    <row r="3216" spans="1:5" x14ac:dyDescent="0.25">
      <c r="A3216" t="s">
        <v>15</v>
      </c>
      <c r="B3216" t="str">
        <f t="shared" si="51"/>
        <v>03050</v>
      </c>
      <c r="C3216" t="s">
        <v>1216</v>
      </c>
      <c r="D3216">
        <v>0</v>
      </c>
      <c r="E3216" t="s">
        <v>312</v>
      </c>
    </row>
    <row r="3217" spans="1:5" x14ac:dyDescent="0.25">
      <c r="A3217" t="s">
        <v>15</v>
      </c>
      <c r="B3217" t="str">
        <f t="shared" si="51"/>
        <v>03050</v>
      </c>
      <c r="C3217" t="s">
        <v>1198</v>
      </c>
      <c r="D3217">
        <v>14</v>
      </c>
      <c r="E3217" t="s">
        <v>312</v>
      </c>
    </row>
    <row r="3218" spans="1:5" x14ac:dyDescent="0.25">
      <c r="A3218">
        <v>21301</v>
      </c>
      <c r="B3218" t="str">
        <f t="shared" si="51"/>
        <v>21301</v>
      </c>
      <c r="C3218" t="s">
        <v>1193</v>
      </c>
      <c r="D3218">
        <v>0</v>
      </c>
      <c r="E3218" t="s">
        <v>443</v>
      </c>
    </row>
    <row r="3219" spans="1:5" x14ac:dyDescent="0.25">
      <c r="A3219">
        <v>21301</v>
      </c>
      <c r="B3219" t="str">
        <f t="shared" si="51"/>
        <v>21301</v>
      </c>
      <c r="C3219" t="s">
        <v>1194</v>
      </c>
      <c r="D3219">
        <v>50.8</v>
      </c>
      <c r="E3219" t="s">
        <v>443</v>
      </c>
    </row>
    <row r="3220" spans="1:5" x14ac:dyDescent="0.25">
      <c r="A3220">
        <v>21301</v>
      </c>
      <c r="B3220" t="str">
        <f t="shared" si="51"/>
        <v>21301</v>
      </c>
      <c r="C3220" t="s">
        <v>1195</v>
      </c>
      <c r="D3220">
        <v>0</v>
      </c>
      <c r="E3220" t="s">
        <v>443</v>
      </c>
    </row>
    <row r="3221" spans="1:5" x14ac:dyDescent="0.25">
      <c r="A3221">
        <v>21301</v>
      </c>
      <c r="B3221" t="str">
        <f t="shared" si="51"/>
        <v>21301</v>
      </c>
      <c r="C3221" t="s">
        <v>1197</v>
      </c>
      <c r="D3221">
        <v>23.4</v>
      </c>
      <c r="E3221" t="s">
        <v>443</v>
      </c>
    </row>
    <row r="3222" spans="1:5" x14ac:dyDescent="0.25">
      <c r="A3222">
        <v>21301</v>
      </c>
      <c r="B3222" t="str">
        <f t="shared" si="51"/>
        <v>21301</v>
      </c>
      <c r="C3222" t="s">
        <v>1202</v>
      </c>
      <c r="D3222">
        <v>0</v>
      </c>
      <c r="E3222" t="s">
        <v>443</v>
      </c>
    </row>
    <row r="3223" spans="1:5" x14ac:dyDescent="0.25">
      <c r="A3223">
        <v>21301</v>
      </c>
      <c r="B3223" t="str">
        <f t="shared" si="51"/>
        <v>21301</v>
      </c>
      <c r="C3223" t="s">
        <v>1206</v>
      </c>
      <c r="D3223">
        <v>53.8</v>
      </c>
      <c r="E3223" t="s">
        <v>443</v>
      </c>
    </row>
    <row r="3224" spans="1:5" x14ac:dyDescent="0.25">
      <c r="A3224">
        <v>21301</v>
      </c>
      <c r="B3224" t="str">
        <f t="shared" si="51"/>
        <v>21301</v>
      </c>
      <c r="C3224" t="s">
        <v>1199</v>
      </c>
      <c r="D3224">
        <v>0</v>
      </c>
      <c r="E3224" t="s">
        <v>443</v>
      </c>
    </row>
    <row r="3225" spans="1:5" x14ac:dyDescent="0.25">
      <c r="A3225">
        <v>21301</v>
      </c>
      <c r="B3225" t="str">
        <f t="shared" si="51"/>
        <v>21301</v>
      </c>
      <c r="C3225" t="s">
        <v>1203</v>
      </c>
      <c r="D3225">
        <v>42.13</v>
      </c>
      <c r="E3225" t="s">
        <v>443</v>
      </c>
    </row>
    <row r="3226" spans="1:5" x14ac:dyDescent="0.25">
      <c r="A3226">
        <v>21301</v>
      </c>
      <c r="B3226" t="str">
        <f t="shared" si="51"/>
        <v>21301</v>
      </c>
      <c r="C3226" t="s">
        <v>1200</v>
      </c>
      <c r="D3226">
        <v>0</v>
      </c>
      <c r="E3226" t="s">
        <v>443</v>
      </c>
    </row>
    <row r="3227" spans="1:5" x14ac:dyDescent="0.25">
      <c r="A3227">
        <v>21301</v>
      </c>
      <c r="B3227" t="str">
        <f t="shared" si="51"/>
        <v>21301</v>
      </c>
      <c r="C3227" t="s">
        <v>1204</v>
      </c>
      <c r="D3227">
        <v>70.78</v>
      </c>
      <c r="E3227" t="s">
        <v>443</v>
      </c>
    </row>
    <row r="3228" spans="1:5" x14ac:dyDescent="0.25">
      <c r="A3228">
        <v>21301</v>
      </c>
      <c r="B3228" t="str">
        <f t="shared" si="51"/>
        <v>21301</v>
      </c>
      <c r="C3228" t="s">
        <v>1207</v>
      </c>
      <c r="D3228">
        <v>0</v>
      </c>
      <c r="E3228" t="s">
        <v>443</v>
      </c>
    </row>
    <row r="3229" spans="1:5" x14ac:dyDescent="0.25">
      <c r="A3229">
        <v>21301</v>
      </c>
      <c r="B3229" t="str">
        <f t="shared" si="51"/>
        <v>21301</v>
      </c>
      <c r="C3229" t="s">
        <v>1208</v>
      </c>
      <c r="D3229">
        <v>12.43</v>
      </c>
      <c r="E3229" t="s">
        <v>443</v>
      </c>
    </row>
    <row r="3230" spans="1:5" x14ac:dyDescent="0.25">
      <c r="A3230">
        <v>21301</v>
      </c>
      <c r="B3230" t="str">
        <f t="shared" si="51"/>
        <v>21301</v>
      </c>
      <c r="C3230" t="s">
        <v>1210</v>
      </c>
      <c r="D3230">
        <v>0</v>
      </c>
      <c r="E3230" t="s">
        <v>443</v>
      </c>
    </row>
    <row r="3231" spans="1:5" x14ac:dyDescent="0.25">
      <c r="A3231">
        <v>21301</v>
      </c>
      <c r="B3231" t="str">
        <f t="shared" si="51"/>
        <v>21301</v>
      </c>
      <c r="C3231" t="s">
        <v>1212</v>
      </c>
      <c r="D3231">
        <v>0</v>
      </c>
      <c r="E3231" t="s">
        <v>443</v>
      </c>
    </row>
    <row r="3232" spans="1:5" x14ac:dyDescent="0.25">
      <c r="A3232">
        <v>21301</v>
      </c>
      <c r="B3232" t="str">
        <f t="shared" si="51"/>
        <v>21301</v>
      </c>
      <c r="C3232" t="s">
        <v>1216</v>
      </c>
      <c r="D3232">
        <v>18.399999999999999</v>
      </c>
      <c r="E3232" t="s">
        <v>443</v>
      </c>
    </row>
    <row r="3233" spans="1:5" x14ac:dyDescent="0.25">
      <c r="A3233">
        <v>21301</v>
      </c>
      <c r="B3233" t="str">
        <f t="shared" si="51"/>
        <v>21301</v>
      </c>
      <c r="C3233" t="s">
        <v>1198</v>
      </c>
      <c r="D3233">
        <v>20</v>
      </c>
      <c r="E3233" t="s">
        <v>443</v>
      </c>
    </row>
    <row r="3234" spans="1:5" x14ac:dyDescent="0.25">
      <c r="A3234" s="34">
        <v>27401</v>
      </c>
      <c r="B3234" t="str">
        <f t="shared" si="51"/>
        <v>27401</v>
      </c>
      <c r="C3234" t="s">
        <v>1193</v>
      </c>
      <c r="D3234">
        <v>0</v>
      </c>
      <c r="E3234" t="s">
        <v>487</v>
      </c>
    </row>
    <row r="3235" spans="1:5" x14ac:dyDescent="0.25">
      <c r="A3235" s="34">
        <v>27401</v>
      </c>
      <c r="B3235" t="str">
        <f t="shared" si="51"/>
        <v>27401</v>
      </c>
      <c r="C3235" t="s">
        <v>1194</v>
      </c>
      <c r="D3235">
        <v>1876.57</v>
      </c>
      <c r="E3235" t="s">
        <v>487</v>
      </c>
    </row>
    <row r="3236" spans="1:5" x14ac:dyDescent="0.25">
      <c r="A3236" s="34">
        <v>27401</v>
      </c>
      <c r="B3236" t="str">
        <f t="shared" si="51"/>
        <v>27401</v>
      </c>
      <c r="C3236" t="s">
        <v>1195</v>
      </c>
      <c r="D3236">
        <v>0</v>
      </c>
      <c r="E3236" t="s">
        <v>487</v>
      </c>
    </row>
    <row r="3237" spans="1:5" x14ac:dyDescent="0.25">
      <c r="A3237" s="34">
        <v>27401</v>
      </c>
      <c r="B3237" t="str">
        <f t="shared" si="51"/>
        <v>27401</v>
      </c>
      <c r="C3237" t="s">
        <v>1197</v>
      </c>
      <c r="D3237">
        <v>650.08000000000004</v>
      </c>
      <c r="E3237" t="s">
        <v>487</v>
      </c>
    </row>
    <row r="3238" spans="1:5" x14ac:dyDescent="0.25">
      <c r="A3238" s="34">
        <v>27401</v>
      </c>
      <c r="B3238" t="str">
        <f t="shared" si="51"/>
        <v>27401</v>
      </c>
      <c r="C3238" t="s">
        <v>1202</v>
      </c>
      <c r="D3238">
        <v>0</v>
      </c>
      <c r="E3238" t="s">
        <v>487</v>
      </c>
    </row>
    <row r="3239" spans="1:5" x14ac:dyDescent="0.25">
      <c r="A3239" s="34">
        <v>27401</v>
      </c>
      <c r="B3239" t="str">
        <f t="shared" si="51"/>
        <v>27401</v>
      </c>
      <c r="C3239" t="s">
        <v>1206</v>
      </c>
      <c r="D3239">
        <v>1444.07</v>
      </c>
      <c r="E3239" t="s">
        <v>487</v>
      </c>
    </row>
    <row r="3240" spans="1:5" x14ac:dyDescent="0.25">
      <c r="A3240" s="34">
        <v>27401</v>
      </c>
      <c r="B3240" t="str">
        <f t="shared" si="51"/>
        <v>27401</v>
      </c>
      <c r="C3240" t="s">
        <v>1199</v>
      </c>
      <c r="D3240">
        <v>0</v>
      </c>
      <c r="E3240" t="s">
        <v>487</v>
      </c>
    </row>
    <row r="3241" spans="1:5" x14ac:dyDescent="0.25">
      <c r="A3241" s="34">
        <v>27401</v>
      </c>
      <c r="B3241" t="str">
        <f t="shared" si="51"/>
        <v>27401</v>
      </c>
      <c r="C3241" t="s">
        <v>1203</v>
      </c>
      <c r="D3241">
        <v>1407.29</v>
      </c>
      <c r="E3241" t="s">
        <v>487</v>
      </c>
    </row>
    <row r="3242" spans="1:5" x14ac:dyDescent="0.25">
      <c r="A3242" s="34">
        <v>27401</v>
      </c>
      <c r="B3242" t="str">
        <f t="shared" si="51"/>
        <v>27401</v>
      </c>
      <c r="C3242" t="s">
        <v>1200</v>
      </c>
      <c r="D3242">
        <v>0</v>
      </c>
      <c r="E3242" t="s">
        <v>487</v>
      </c>
    </row>
    <row r="3243" spans="1:5" x14ac:dyDescent="0.25">
      <c r="A3243" s="34">
        <v>27401</v>
      </c>
      <c r="B3243" t="str">
        <f t="shared" si="51"/>
        <v>27401</v>
      </c>
      <c r="C3243" t="s">
        <v>1204</v>
      </c>
      <c r="D3243">
        <v>2420.5300000000002</v>
      </c>
      <c r="E3243" t="s">
        <v>487</v>
      </c>
    </row>
    <row r="3244" spans="1:5" x14ac:dyDescent="0.25">
      <c r="A3244" s="34">
        <v>27401</v>
      </c>
      <c r="B3244" t="str">
        <f t="shared" si="51"/>
        <v>27401</v>
      </c>
      <c r="C3244" t="s">
        <v>1207</v>
      </c>
      <c r="D3244">
        <v>110.74</v>
      </c>
      <c r="E3244" t="s">
        <v>487</v>
      </c>
    </row>
    <row r="3245" spans="1:5" x14ac:dyDescent="0.25">
      <c r="A3245" s="34">
        <v>27401</v>
      </c>
      <c r="B3245" t="str">
        <f t="shared" si="51"/>
        <v>27401</v>
      </c>
      <c r="C3245" t="s">
        <v>1208</v>
      </c>
      <c r="D3245">
        <v>472.41</v>
      </c>
      <c r="E3245" t="s">
        <v>487</v>
      </c>
    </row>
    <row r="3246" spans="1:5" x14ac:dyDescent="0.25">
      <c r="A3246" s="34">
        <v>27401</v>
      </c>
      <c r="B3246" t="str">
        <f t="shared" si="51"/>
        <v>27401</v>
      </c>
      <c r="C3246" t="s">
        <v>1210</v>
      </c>
      <c r="D3246">
        <v>0</v>
      </c>
      <c r="E3246" t="s">
        <v>487</v>
      </c>
    </row>
    <row r="3247" spans="1:5" x14ac:dyDescent="0.25">
      <c r="A3247" s="34">
        <v>27401</v>
      </c>
      <c r="B3247" t="str">
        <f t="shared" si="51"/>
        <v>27401</v>
      </c>
      <c r="C3247" t="s">
        <v>1212</v>
      </c>
      <c r="D3247">
        <v>0</v>
      </c>
      <c r="E3247" t="s">
        <v>487</v>
      </c>
    </row>
    <row r="3248" spans="1:5" x14ac:dyDescent="0.25">
      <c r="A3248" s="34">
        <v>27401</v>
      </c>
      <c r="B3248" t="str">
        <f t="shared" si="51"/>
        <v>27401</v>
      </c>
      <c r="C3248" t="s">
        <v>1216</v>
      </c>
      <c r="D3248">
        <v>78.52</v>
      </c>
      <c r="E3248" t="s">
        <v>487</v>
      </c>
    </row>
    <row r="3249" spans="1:5" x14ac:dyDescent="0.25">
      <c r="A3249" s="34">
        <v>27401</v>
      </c>
      <c r="B3249" t="str">
        <f t="shared" si="51"/>
        <v>27401</v>
      </c>
      <c r="C3249" t="s">
        <v>1198</v>
      </c>
      <c r="D3249">
        <v>549.77</v>
      </c>
      <c r="E3249" t="s">
        <v>487</v>
      </c>
    </row>
    <row r="3250" spans="1:5" x14ac:dyDescent="0.25">
      <c r="A3250" t="s">
        <v>667</v>
      </c>
      <c r="B3250" t="str">
        <f t="shared" si="51"/>
        <v>04901</v>
      </c>
      <c r="C3250" t="s">
        <v>1193</v>
      </c>
      <c r="D3250">
        <v>0</v>
      </c>
      <c r="E3250" t="s">
        <v>1233</v>
      </c>
    </row>
    <row r="3251" spans="1:5" x14ac:dyDescent="0.25">
      <c r="A3251" t="s">
        <v>667</v>
      </c>
      <c r="B3251" t="str">
        <f t="shared" si="51"/>
        <v>04901</v>
      </c>
      <c r="C3251" t="s">
        <v>1194</v>
      </c>
      <c r="D3251">
        <v>0</v>
      </c>
      <c r="E3251" t="s">
        <v>1233</v>
      </c>
    </row>
    <row r="3252" spans="1:5" x14ac:dyDescent="0.25">
      <c r="A3252" t="s">
        <v>667</v>
      </c>
      <c r="B3252" t="str">
        <f t="shared" si="51"/>
        <v>04901</v>
      </c>
      <c r="C3252" t="s">
        <v>1195</v>
      </c>
      <c r="D3252">
        <v>0</v>
      </c>
      <c r="E3252" t="s">
        <v>1233</v>
      </c>
    </row>
    <row r="3253" spans="1:5" x14ac:dyDescent="0.25">
      <c r="A3253" t="s">
        <v>667</v>
      </c>
      <c r="B3253" t="str">
        <f t="shared" si="51"/>
        <v>04901</v>
      </c>
      <c r="C3253" t="s">
        <v>1197</v>
      </c>
      <c r="D3253">
        <v>0</v>
      </c>
      <c r="E3253" t="s">
        <v>1233</v>
      </c>
    </row>
    <row r="3254" spans="1:5" x14ac:dyDescent="0.25">
      <c r="A3254" t="s">
        <v>667</v>
      </c>
      <c r="B3254" t="str">
        <f t="shared" si="51"/>
        <v>04901</v>
      </c>
      <c r="C3254" t="s">
        <v>1202</v>
      </c>
      <c r="D3254">
        <v>0</v>
      </c>
      <c r="E3254" t="s">
        <v>1233</v>
      </c>
    </row>
    <row r="3255" spans="1:5" x14ac:dyDescent="0.25">
      <c r="A3255" t="s">
        <v>667</v>
      </c>
      <c r="B3255" t="str">
        <f t="shared" si="51"/>
        <v>04901</v>
      </c>
      <c r="C3255" t="s">
        <v>1206</v>
      </c>
      <c r="D3255">
        <v>36</v>
      </c>
      <c r="E3255" t="s">
        <v>1233</v>
      </c>
    </row>
    <row r="3256" spans="1:5" x14ac:dyDescent="0.25">
      <c r="A3256" t="s">
        <v>667</v>
      </c>
      <c r="B3256" t="str">
        <f t="shared" si="51"/>
        <v>04901</v>
      </c>
      <c r="C3256" t="s">
        <v>1199</v>
      </c>
      <c r="D3256">
        <v>0</v>
      </c>
      <c r="E3256" t="s">
        <v>1233</v>
      </c>
    </row>
    <row r="3257" spans="1:5" x14ac:dyDescent="0.25">
      <c r="A3257" t="s">
        <v>667</v>
      </c>
      <c r="B3257" t="str">
        <f t="shared" si="51"/>
        <v>04901</v>
      </c>
      <c r="C3257" t="s">
        <v>1203</v>
      </c>
      <c r="D3257">
        <v>128.4</v>
      </c>
      <c r="E3257" t="s">
        <v>1233</v>
      </c>
    </row>
    <row r="3258" spans="1:5" x14ac:dyDescent="0.25">
      <c r="A3258" t="s">
        <v>667</v>
      </c>
      <c r="B3258" t="str">
        <f t="shared" si="51"/>
        <v>04901</v>
      </c>
      <c r="C3258" t="s">
        <v>1200</v>
      </c>
      <c r="D3258">
        <v>0</v>
      </c>
      <c r="E3258" t="s">
        <v>1233</v>
      </c>
    </row>
    <row r="3259" spans="1:5" x14ac:dyDescent="0.25">
      <c r="A3259" t="s">
        <v>667</v>
      </c>
      <c r="B3259" t="str">
        <f t="shared" si="51"/>
        <v>04901</v>
      </c>
      <c r="C3259" t="s">
        <v>1204</v>
      </c>
      <c r="D3259">
        <v>67</v>
      </c>
      <c r="E3259" t="s">
        <v>1233</v>
      </c>
    </row>
    <row r="3260" spans="1:5" x14ac:dyDescent="0.25">
      <c r="A3260" t="s">
        <v>667</v>
      </c>
      <c r="B3260" t="str">
        <f t="shared" si="51"/>
        <v>04901</v>
      </c>
      <c r="C3260" t="s">
        <v>1207</v>
      </c>
      <c r="D3260">
        <v>0</v>
      </c>
      <c r="E3260" t="s">
        <v>1233</v>
      </c>
    </row>
    <row r="3261" spans="1:5" x14ac:dyDescent="0.25">
      <c r="A3261" t="s">
        <v>667</v>
      </c>
      <c r="B3261" t="str">
        <f t="shared" si="51"/>
        <v>04901</v>
      </c>
      <c r="C3261" t="s">
        <v>1208</v>
      </c>
      <c r="D3261">
        <v>0</v>
      </c>
      <c r="E3261" t="s">
        <v>1233</v>
      </c>
    </row>
    <row r="3262" spans="1:5" x14ac:dyDescent="0.25">
      <c r="A3262" t="s">
        <v>667</v>
      </c>
      <c r="B3262" t="str">
        <f t="shared" si="51"/>
        <v>04901</v>
      </c>
      <c r="C3262" t="s">
        <v>1210</v>
      </c>
      <c r="D3262">
        <v>0</v>
      </c>
      <c r="E3262" t="s">
        <v>1233</v>
      </c>
    </row>
    <row r="3263" spans="1:5" x14ac:dyDescent="0.25">
      <c r="A3263" t="s">
        <v>667</v>
      </c>
      <c r="B3263" t="str">
        <f t="shared" si="51"/>
        <v>04901</v>
      </c>
      <c r="C3263" t="s">
        <v>1212</v>
      </c>
      <c r="D3263">
        <v>0</v>
      </c>
      <c r="E3263" t="s">
        <v>1233</v>
      </c>
    </row>
    <row r="3264" spans="1:5" x14ac:dyDescent="0.25">
      <c r="A3264" t="s">
        <v>667</v>
      </c>
      <c r="B3264" t="str">
        <f t="shared" si="51"/>
        <v>04901</v>
      </c>
      <c r="C3264" t="s">
        <v>1216</v>
      </c>
      <c r="D3264">
        <v>0</v>
      </c>
      <c r="E3264" t="s">
        <v>1233</v>
      </c>
    </row>
    <row r="3265" spans="1:5" x14ac:dyDescent="0.25">
      <c r="A3265" t="s">
        <v>667</v>
      </c>
      <c r="B3265" t="str">
        <f t="shared" si="51"/>
        <v>04901</v>
      </c>
      <c r="C3265" t="s">
        <v>1198</v>
      </c>
      <c r="D3265">
        <v>0</v>
      </c>
      <c r="E3265" t="s">
        <v>1233</v>
      </c>
    </row>
    <row r="3266" spans="1:5" x14ac:dyDescent="0.25">
      <c r="A3266">
        <v>23402</v>
      </c>
      <c r="B3266" t="str">
        <f t="shared" si="51"/>
        <v>23402</v>
      </c>
      <c r="C3266" t="s">
        <v>1193</v>
      </c>
      <c r="D3266">
        <v>0</v>
      </c>
      <c r="E3266" t="s">
        <v>459</v>
      </c>
    </row>
    <row r="3267" spans="1:5" x14ac:dyDescent="0.25">
      <c r="A3267">
        <v>23402</v>
      </c>
      <c r="B3267" t="str">
        <f t="shared" ref="B3267:B3330" si="52">TEXT(A3267,"00000")</f>
        <v>23402</v>
      </c>
      <c r="C3267" t="s">
        <v>1194</v>
      </c>
      <c r="D3267">
        <v>234.28</v>
      </c>
      <c r="E3267" t="s">
        <v>459</v>
      </c>
    </row>
    <row r="3268" spans="1:5" x14ac:dyDescent="0.25">
      <c r="A3268">
        <v>23402</v>
      </c>
      <c r="B3268" t="str">
        <f t="shared" si="52"/>
        <v>23402</v>
      </c>
      <c r="C3268" t="s">
        <v>1195</v>
      </c>
      <c r="D3268">
        <v>0</v>
      </c>
      <c r="E3268" t="s">
        <v>459</v>
      </c>
    </row>
    <row r="3269" spans="1:5" x14ac:dyDescent="0.25">
      <c r="A3269">
        <v>23402</v>
      </c>
      <c r="B3269" t="str">
        <f t="shared" si="52"/>
        <v>23402</v>
      </c>
      <c r="C3269" t="s">
        <v>1197</v>
      </c>
      <c r="D3269">
        <v>75.400000000000006</v>
      </c>
      <c r="E3269" t="s">
        <v>459</v>
      </c>
    </row>
    <row r="3270" spans="1:5" x14ac:dyDescent="0.25">
      <c r="A3270">
        <v>23402</v>
      </c>
      <c r="B3270" t="str">
        <f t="shared" si="52"/>
        <v>23402</v>
      </c>
      <c r="C3270" t="s">
        <v>1202</v>
      </c>
      <c r="D3270">
        <v>0</v>
      </c>
      <c r="E3270" t="s">
        <v>459</v>
      </c>
    </row>
    <row r="3271" spans="1:5" x14ac:dyDescent="0.25">
      <c r="A3271">
        <v>23402</v>
      </c>
      <c r="B3271" t="str">
        <f t="shared" si="52"/>
        <v>23402</v>
      </c>
      <c r="C3271" t="s">
        <v>1206</v>
      </c>
      <c r="D3271">
        <v>164.93</v>
      </c>
      <c r="E3271" t="s">
        <v>459</v>
      </c>
    </row>
    <row r="3272" spans="1:5" x14ac:dyDescent="0.25">
      <c r="A3272">
        <v>23402</v>
      </c>
      <c r="B3272" t="str">
        <f t="shared" si="52"/>
        <v>23402</v>
      </c>
      <c r="C3272" t="s">
        <v>1199</v>
      </c>
      <c r="D3272">
        <v>0</v>
      </c>
      <c r="E3272" t="s">
        <v>459</v>
      </c>
    </row>
    <row r="3273" spans="1:5" x14ac:dyDescent="0.25">
      <c r="A3273">
        <v>23402</v>
      </c>
      <c r="B3273" t="str">
        <f t="shared" si="52"/>
        <v>23402</v>
      </c>
      <c r="C3273" t="s">
        <v>1203</v>
      </c>
      <c r="D3273">
        <v>165.24</v>
      </c>
      <c r="E3273" t="s">
        <v>459</v>
      </c>
    </row>
    <row r="3274" spans="1:5" x14ac:dyDescent="0.25">
      <c r="A3274">
        <v>23402</v>
      </c>
      <c r="B3274" t="str">
        <f t="shared" si="52"/>
        <v>23402</v>
      </c>
      <c r="C3274" t="s">
        <v>1200</v>
      </c>
      <c r="D3274">
        <v>0</v>
      </c>
      <c r="E3274" t="s">
        <v>459</v>
      </c>
    </row>
    <row r="3275" spans="1:5" x14ac:dyDescent="0.25">
      <c r="A3275">
        <v>23402</v>
      </c>
      <c r="B3275" t="str">
        <f t="shared" si="52"/>
        <v>23402</v>
      </c>
      <c r="C3275" t="s">
        <v>1204</v>
      </c>
      <c r="D3275">
        <v>0</v>
      </c>
      <c r="E3275" t="s">
        <v>459</v>
      </c>
    </row>
    <row r="3276" spans="1:5" x14ac:dyDescent="0.25">
      <c r="A3276">
        <v>23402</v>
      </c>
      <c r="B3276" t="str">
        <f t="shared" si="52"/>
        <v>23402</v>
      </c>
      <c r="C3276" t="s">
        <v>1207</v>
      </c>
      <c r="D3276">
        <v>0</v>
      </c>
      <c r="E3276" t="s">
        <v>459</v>
      </c>
    </row>
    <row r="3277" spans="1:5" x14ac:dyDescent="0.25">
      <c r="A3277">
        <v>23402</v>
      </c>
      <c r="B3277" t="str">
        <f t="shared" si="52"/>
        <v>23402</v>
      </c>
      <c r="C3277" t="s">
        <v>1208</v>
      </c>
      <c r="D3277">
        <v>0</v>
      </c>
      <c r="E3277" t="s">
        <v>459</v>
      </c>
    </row>
    <row r="3278" spans="1:5" x14ac:dyDescent="0.25">
      <c r="A3278">
        <v>23402</v>
      </c>
      <c r="B3278" t="str">
        <f t="shared" si="52"/>
        <v>23402</v>
      </c>
      <c r="C3278" t="s">
        <v>1210</v>
      </c>
      <c r="D3278">
        <v>0</v>
      </c>
      <c r="E3278" t="s">
        <v>459</v>
      </c>
    </row>
    <row r="3279" spans="1:5" x14ac:dyDescent="0.25">
      <c r="A3279">
        <v>23402</v>
      </c>
      <c r="B3279" t="str">
        <f t="shared" si="52"/>
        <v>23402</v>
      </c>
      <c r="C3279" t="s">
        <v>1212</v>
      </c>
      <c r="D3279">
        <v>0</v>
      </c>
      <c r="E3279" t="s">
        <v>459</v>
      </c>
    </row>
    <row r="3280" spans="1:5" x14ac:dyDescent="0.25">
      <c r="A3280">
        <v>23402</v>
      </c>
      <c r="B3280" t="str">
        <f t="shared" si="52"/>
        <v>23402</v>
      </c>
      <c r="C3280" t="s">
        <v>1216</v>
      </c>
      <c r="D3280">
        <v>0</v>
      </c>
      <c r="E3280" t="s">
        <v>459</v>
      </c>
    </row>
    <row r="3281" spans="1:5" x14ac:dyDescent="0.25">
      <c r="A3281">
        <v>23402</v>
      </c>
      <c r="B3281" t="str">
        <f t="shared" si="52"/>
        <v>23402</v>
      </c>
      <c r="C3281" t="s">
        <v>1198</v>
      </c>
      <c r="D3281">
        <v>72.709999999999994</v>
      </c>
      <c r="E3281" t="s">
        <v>459</v>
      </c>
    </row>
    <row r="3282" spans="1:5" x14ac:dyDescent="0.25">
      <c r="A3282" s="34">
        <v>12110</v>
      </c>
      <c r="B3282" t="str">
        <f t="shared" si="52"/>
        <v>12110</v>
      </c>
      <c r="C3282" t="s">
        <v>1193</v>
      </c>
      <c r="D3282">
        <v>0</v>
      </c>
      <c r="E3282" t="s">
        <v>360</v>
      </c>
    </row>
    <row r="3283" spans="1:5" x14ac:dyDescent="0.25">
      <c r="A3283" s="34">
        <v>12110</v>
      </c>
      <c r="B3283" t="str">
        <f t="shared" si="52"/>
        <v>12110</v>
      </c>
      <c r="C3283" t="s">
        <v>1194</v>
      </c>
      <c r="D3283">
        <v>84.8</v>
      </c>
      <c r="E3283" t="s">
        <v>360</v>
      </c>
    </row>
    <row r="3284" spans="1:5" x14ac:dyDescent="0.25">
      <c r="A3284" s="34">
        <v>12110</v>
      </c>
      <c r="B3284" t="str">
        <f t="shared" si="52"/>
        <v>12110</v>
      </c>
      <c r="C3284" t="s">
        <v>1195</v>
      </c>
      <c r="D3284">
        <v>0</v>
      </c>
      <c r="E3284" t="s">
        <v>360</v>
      </c>
    </row>
    <row r="3285" spans="1:5" x14ac:dyDescent="0.25">
      <c r="A3285" s="34">
        <v>12110</v>
      </c>
      <c r="B3285" t="str">
        <f t="shared" si="52"/>
        <v>12110</v>
      </c>
      <c r="C3285" t="s">
        <v>1197</v>
      </c>
      <c r="D3285">
        <v>29.6</v>
      </c>
      <c r="E3285" t="s">
        <v>360</v>
      </c>
    </row>
    <row r="3286" spans="1:5" x14ac:dyDescent="0.25">
      <c r="A3286" s="34">
        <v>12110</v>
      </c>
      <c r="B3286" t="str">
        <f t="shared" si="52"/>
        <v>12110</v>
      </c>
      <c r="C3286" t="s">
        <v>1202</v>
      </c>
      <c r="D3286">
        <v>0</v>
      </c>
      <c r="E3286" t="s">
        <v>360</v>
      </c>
    </row>
    <row r="3287" spans="1:5" x14ac:dyDescent="0.25">
      <c r="A3287" s="34">
        <v>12110</v>
      </c>
      <c r="B3287" t="str">
        <f t="shared" si="52"/>
        <v>12110</v>
      </c>
      <c r="C3287" t="s">
        <v>1206</v>
      </c>
      <c r="D3287">
        <v>42.07</v>
      </c>
      <c r="E3287" t="s">
        <v>360</v>
      </c>
    </row>
    <row r="3288" spans="1:5" x14ac:dyDescent="0.25">
      <c r="A3288" s="34">
        <v>12110</v>
      </c>
      <c r="B3288" t="str">
        <f t="shared" si="52"/>
        <v>12110</v>
      </c>
      <c r="C3288" t="s">
        <v>1199</v>
      </c>
      <c r="D3288">
        <v>0</v>
      </c>
      <c r="E3288" t="s">
        <v>360</v>
      </c>
    </row>
    <row r="3289" spans="1:5" x14ac:dyDescent="0.25">
      <c r="A3289" s="34">
        <v>12110</v>
      </c>
      <c r="B3289" t="str">
        <f t="shared" si="52"/>
        <v>12110</v>
      </c>
      <c r="C3289" t="s">
        <v>1203</v>
      </c>
      <c r="D3289">
        <v>55.76</v>
      </c>
      <c r="E3289" t="s">
        <v>360</v>
      </c>
    </row>
    <row r="3290" spans="1:5" x14ac:dyDescent="0.25">
      <c r="A3290" s="34">
        <v>12110</v>
      </c>
      <c r="B3290" t="str">
        <f t="shared" si="52"/>
        <v>12110</v>
      </c>
      <c r="C3290" t="s">
        <v>1200</v>
      </c>
      <c r="D3290">
        <v>0</v>
      </c>
      <c r="E3290" t="s">
        <v>360</v>
      </c>
    </row>
    <row r="3291" spans="1:5" x14ac:dyDescent="0.25">
      <c r="A3291" s="34">
        <v>12110</v>
      </c>
      <c r="B3291" t="str">
        <f t="shared" si="52"/>
        <v>12110</v>
      </c>
      <c r="C3291" t="s">
        <v>1204</v>
      </c>
      <c r="D3291">
        <v>80.489999999999995</v>
      </c>
      <c r="E3291" t="s">
        <v>360</v>
      </c>
    </row>
    <row r="3292" spans="1:5" x14ac:dyDescent="0.25">
      <c r="A3292" s="34">
        <v>12110</v>
      </c>
      <c r="B3292" t="str">
        <f t="shared" si="52"/>
        <v>12110</v>
      </c>
      <c r="C3292" t="s">
        <v>1207</v>
      </c>
      <c r="D3292">
        <v>13.75</v>
      </c>
      <c r="E3292" t="s">
        <v>360</v>
      </c>
    </row>
    <row r="3293" spans="1:5" x14ac:dyDescent="0.25">
      <c r="A3293" s="34">
        <v>12110</v>
      </c>
      <c r="B3293" t="str">
        <f t="shared" si="52"/>
        <v>12110</v>
      </c>
      <c r="C3293" t="s">
        <v>1208</v>
      </c>
      <c r="D3293">
        <v>33.24</v>
      </c>
      <c r="E3293" t="s">
        <v>360</v>
      </c>
    </row>
    <row r="3294" spans="1:5" x14ac:dyDescent="0.25">
      <c r="A3294" s="34">
        <v>12110</v>
      </c>
      <c r="B3294" t="str">
        <f t="shared" si="52"/>
        <v>12110</v>
      </c>
      <c r="C3294" t="s">
        <v>1210</v>
      </c>
      <c r="D3294">
        <v>0</v>
      </c>
      <c r="E3294" t="s">
        <v>360</v>
      </c>
    </row>
    <row r="3295" spans="1:5" x14ac:dyDescent="0.25">
      <c r="A3295" s="34">
        <v>12110</v>
      </c>
      <c r="B3295" t="str">
        <f t="shared" si="52"/>
        <v>12110</v>
      </c>
      <c r="C3295" t="s">
        <v>1212</v>
      </c>
      <c r="D3295">
        <v>0</v>
      </c>
      <c r="E3295" t="s">
        <v>360</v>
      </c>
    </row>
    <row r="3296" spans="1:5" x14ac:dyDescent="0.25">
      <c r="A3296" s="34">
        <v>12110</v>
      </c>
      <c r="B3296" t="str">
        <f t="shared" si="52"/>
        <v>12110</v>
      </c>
      <c r="C3296" t="s">
        <v>1216</v>
      </c>
      <c r="D3296">
        <v>20</v>
      </c>
      <c r="E3296" t="s">
        <v>360</v>
      </c>
    </row>
    <row r="3297" spans="1:5" x14ac:dyDescent="0.25">
      <c r="A3297" s="34">
        <v>12110</v>
      </c>
      <c r="B3297" t="str">
        <f t="shared" si="52"/>
        <v>12110</v>
      </c>
      <c r="C3297" t="s">
        <v>1198</v>
      </c>
      <c r="D3297">
        <v>24.4</v>
      </c>
      <c r="E3297" t="s">
        <v>360</v>
      </c>
    </row>
    <row r="3298" spans="1:5" x14ac:dyDescent="0.25">
      <c r="A3298" t="s">
        <v>27</v>
      </c>
      <c r="B3298" t="str">
        <f t="shared" si="52"/>
        <v>05121</v>
      </c>
      <c r="C3298" t="s">
        <v>1193</v>
      </c>
      <c r="D3298">
        <v>0</v>
      </c>
      <c r="E3298" t="s">
        <v>323</v>
      </c>
    </row>
    <row r="3299" spans="1:5" x14ac:dyDescent="0.25">
      <c r="A3299" t="s">
        <v>27</v>
      </c>
      <c r="B3299" t="str">
        <f t="shared" si="52"/>
        <v>05121</v>
      </c>
      <c r="C3299" t="s">
        <v>1194</v>
      </c>
      <c r="D3299">
        <v>721.46</v>
      </c>
      <c r="E3299" t="s">
        <v>323</v>
      </c>
    </row>
    <row r="3300" spans="1:5" x14ac:dyDescent="0.25">
      <c r="A3300" t="s">
        <v>27</v>
      </c>
      <c r="B3300" t="str">
        <f t="shared" si="52"/>
        <v>05121</v>
      </c>
      <c r="C3300" t="s">
        <v>1195</v>
      </c>
      <c r="D3300">
        <v>0</v>
      </c>
      <c r="E3300" t="s">
        <v>323</v>
      </c>
    </row>
    <row r="3301" spans="1:5" x14ac:dyDescent="0.25">
      <c r="A3301" t="s">
        <v>27</v>
      </c>
      <c r="B3301" t="str">
        <f t="shared" si="52"/>
        <v>05121</v>
      </c>
      <c r="C3301" t="s">
        <v>1197</v>
      </c>
      <c r="D3301">
        <v>247.64</v>
      </c>
      <c r="E3301" t="s">
        <v>323</v>
      </c>
    </row>
    <row r="3302" spans="1:5" x14ac:dyDescent="0.25">
      <c r="A3302" t="s">
        <v>27</v>
      </c>
      <c r="B3302" t="str">
        <f t="shared" si="52"/>
        <v>05121</v>
      </c>
      <c r="C3302" t="s">
        <v>1202</v>
      </c>
      <c r="D3302">
        <v>0</v>
      </c>
      <c r="E3302" t="s">
        <v>323</v>
      </c>
    </row>
    <row r="3303" spans="1:5" x14ac:dyDescent="0.25">
      <c r="A3303" t="s">
        <v>27</v>
      </c>
      <c r="B3303" t="str">
        <f t="shared" si="52"/>
        <v>05121</v>
      </c>
      <c r="C3303" t="s">
        <v>1206</v>
      </c>
      <c r="D3303">
        <v>481.91</v>
      </c>
      <c r="E3303" t="s">
        <v>323</v>
      </c>
    </row>
    <row r="3304" spans="1:5" x14ac:dyDescent="0.25">
      <c r="A3304" t="s">
        <v>27</v>
      </c>
      <c r="B3304" t="str">
        <f t="shared" si="52"/>
        <v>05121</v>
      </c>
      <c r="C3304" t="s">
        <v>1199</v>
      </c>
      <c r="D3304">
        <v>0</v>
      </c>
      <c r="E3304" t="s">
        <v>323</v>
      </c>
    </row>
    <row r="3305" spans="1:5" x14ac:dyDescent="0.25">
      <c r="A3305" t="s">
        <v>27</v>
      </c>
      <c r="B3305" t="str">
        <f t="shared" si="52"/>
        <v>05121</v>
      </c>
      <c r="C3305" t="s">
        <v>1203</v>
      </c>
      <c r="D3305">
        <v>458.68</v>
      </c>
      <c r="E3305" t="s">
        <v>323</v>
      </c>
    </row>
    <row r="3306" spans="1:5" x14ac:dyDescent="0.25">
      <c r="A3306" t="s">
        <v>27</v>
      </c>
      <c r="B3306" t="str">
        <f t="shared" si="52"/>
        <v>05121</v>
      </c>
      <c r="C3306" t="s">
        <v>1200</v>
      </c>
      <c r="D3306">
        <v>0</v>
      </c>
      <c r="E3306" t="s">
        <v>323</v>
      </c>
    </row>
    <row r="3307" spans="1:5" x14ac:dyDescent="0.25">
      <c r="A3307" t="s">
        <v>27</v>
      </c>
      <c r="B3307" t="str">
        <f t="shared" si="52"/>
        <v>05121</v>
      </c>
      <c r="C3307" t="s">
        <v>1204</v>
      </c>
      <c r="D3307">
        <v>920.74</v>
      </c>
      <c r="E3307" t="s">
        <v>323</v>
      </c>
    </row>
    <row r="3308" spans="1:5" x14ac:dyDescent="0.25">
      <c r="A3308" t="s">
        <v>27</v>
      </c>
      <c r="B3308" t="str">
        <f t="shared" si="52"/>
        <v>05121</v>
      </c>
      <c r="C3308" t="s">
        <v>1207</v>
      </c>
      <c r="D3308">
        <v>72.900000000000006</v>
      </c>
      <c r="E3308" t="s">
        <v>323</v>
      </c>
    </row>
    <row r="3309" spans="1:5" x14ac:dyDescent="0.25">
      <c r="A3309" t="s">
        <v>27</v>
      </c>
      <c r="B3309" t="str">
        <f t="shared" si="52"/>
        <v>05121</v>
      </c>
      <c r="C3309" t="s">
        <v>1208</v>
      </c>
      <c r="D3309">
        <v>242.24</v>
      </c>
      <c r="E3309" t="s">
        <v>323</v>
      </c>
    </row>
    <row r="3310" spans="1:5" x14ac:dyDescent="0.25">
      <c r="A3310" t="s">
        <v>27</v>
      </c>
      <c r="B3310" t="str">
        <f t="shared" si="52"/>
        <v>05121</v>
      </c>
      <c r="C3310" t="s">
        <v>1210</v>
      </c>
      <c r="D3310">
        <v>0</v>
      </c>
      <c r="E3310" t="s">
        <v>323</v>
      </c>
    </row>
    <row r="3311" spans="1:5" x14ac:dyDescent="0.25">
      <c r="A3311" t="s">
        <v>27</v>
      </c>
      <c r="B3311" t="str">
        <f t="shared" si="52"/>
        <v>05121</v>
      </c>
      <c r="C3311" t="s">
        <v>1212</v>
      </c>
      <c r="D3311">
        <v>0</v>
      </c>
      <c r="E3311" t="s">
        <v>323</v>
      </c>
    </row>
    <row r="3312" spans="1:5" x14ac:dyDescent="0.25">
      <c r="A3312" t="s">
        <v>27</v>
      </c>
      <c r="B3312" t="str">
        <f t="shared" si="52"/>
        <v>05121</v>
      </c>
      <c r="C3312" t="s">
        <v>1216</v>
      </c>
      <c r="D3312">
        <v>28</v>
      </c>
      <c r="E3312" t="s">
        <v>323</v>
      </c>
    </row>
    <row r="3313" spans="1:5" x14ac:dyDescent="0.25">
      <c r="A3313" t="s">
        <v>27</v>
      </c>
      <c r="B3313" t="str">
        <f t="shared" si="52"/>
        <v>05121</v>
      </c>
      <c r="C3313" t="s">
        <v>1198</v>
      </c>
      <c r="D3313">
        <v>198.18</v>
      </c>
      <c r="E3313" t="s">
        <v>323</v>
      </c>
    </row>
    <row r="3314" spans="1:5" x14ac:dyDescent="0.25">
      <c r="A3314">
        <v>16050</v>
      </c>
      <c r="B3314" t="str">
        <f t="shared" si="52"/>
        <v>16050</v>
      </c>
      <c r="C3314" t="s">
        <v>1193</v>
      </c>
      <c r="D3314">
        <v>0</v>
      </c>
      <c r="E3314" t="s">
        <v>391</v>
      </c>
    </row>
    <row r="3315" spans="1:5" x14ac:dyDescent="0.25">
      <c r="A3315">
        <v>16050</v>
      </c>
      <c r="B3315" t="str">
        <f t="shared" si="52"/>
        <v>16050</v>
      </c>
      <c r="C3315" t="s">
        <v>1194</v>
      </c>
      <c r="D3315">
        <v>244.01</v>
      </c>
      <c r="E3315" t="s">
        <v>391</v>
      </c>
    </row>
    <row r="3316" spans="1:5" x14ac:dyDescent="0.25">
      <c r="A3316">
        <v>16050</v>
      </c>
      <c r="B3316" t="str">
        <f t="shared" si="52"/>
        <v>16050</v>
      </c>
      <c r="C3316" t="s">
        <v>1195</v>
      </c>
      <c r="D3316">
        <v>0</v>
      </c>
      <c r="E3316" t="s">
        <v>391</v>
      </c>
    </row>
    <row r="3317" spans="1:5" x14ac:dyDescent="0.25">
      <c r="A3317">
        <v>16050</v>
      </c>
      <c r="B3317" t="str">
        <f t="shared" si="52"/>
        <v>16050</v>
      </c>
      <c r="C3317" t="s">
        <v>1197</v>
      </c>
      <c r="D3317">
        <v>80</v>
      </c>
      <c r="E3317" t="s">
        <v>391</v>
      </c>
    </row>
    <row r="3318" spans="1:5" x14ac:dyDescent="0.25">
      <c r="A3318">
        <v>16050</v>
      </c>
      <c r="B3318" t="str">
        <f t="shared" si="52"/>
        <v>16050</v>
      </c>
      <c r="C3318" t="s">
        <v>1202</v>
      </c>
      <c r="D3318">
        <v>0</v>
      </c>
      <c r="E3318" t="s">
        <v>391</v>
      </c>
    </row>
    <row r="3319" spans="1:5" x14ac:dyDescent="0.25">
      <c r="A3319">
        <v>16050</v>
      </c>
      <c r="B3319" t="str">
        <f t="shared" si="52"/>
        <v>16050</v>
      </c>
      <c r="C3319" t="s">
        <v>1206</v>
      </c>
      <c r="D3319">
        <v>163.49</v>
      </c>
      <c r="E3319" t="s">
        <v>391</v>
      </c>
    </row>
    <row r="3320" spans="1:5" x14ac:dyDescent="0.25">
      <c r="A3320">
        <v>16050</v>
      </c>
      <c r="B3320" t="str">
        <f t="shared" si="52"/>
        <v>16050</v>
      </c>
      <c r="C3320" t="s">
        <v>1199</v>
      </c>
      <c r="D3320">
        <v>0</v>
      </c>
      <c r="E3320" t="s">
        <v>391</v>
      </c>
    </row>
    <row r="3321" spans="1:5" x14ac:dyDescent="0.25">
      <c r="A3321">
        <v>16050</v>
      </c>
      <c r="B3321" t="str">
        <f t="shared" si="52"/>
        <v>16050</v>
      </c>
      <c r="C3321" t="s">
        <v>1203</v>
      </c>
      <c r="D3321">
        <v>141.69</v>
      </c>
      <c r="E3321" t="s">
        <v>391</v>
      </c>
    </row>
    <row r="3322" spans="1:5" x14ac:dyDescent="0.25">
      <c r="A3322">
        <v>16050</v>
      </c>
      <c r="B3322" t="str">
        <f t="shared" si="52"/>
        <v>16050</v>
      </c>
      <c r="C3322" t="s">
        <v>1200</v>
      </c>
      <c r="D3322">
        <v>0</v>
      </c>
      <c r="E3322" t="s">
        <v>391</v>
      </c>
    </row>
    <row r="3323" spans="1:5" x14ac:dyDescent="0.25">
      <c r="A3323">
        <v>16050</v>
      </c>
      <c r="B3323" t="str">
        <f t="shared" si="52"/>
        <v>16050</v>
      </c>
      <c r="C3323" t="s">
        <v>1204</v>
      </c>
      <c r="D3323">
        <v>337.81</v>
      </c>
      <c r="E3323" t="s">
        <v>391</v>
      </c>
    </row>
    <row r="3324" spans="1:5" x14ac:dyDescent="0.25">
      <c r="A3324">
        <v>16050</v>
      </c>
      <c r="B3324" t="str">
        <f t="shared" si="52"/>
        <v>16050</v>
      </c>
      <c r="C3324" t="s">
        <v>1207</v>
      </c>
      <c r="D3324">
        <v>8.26</v>
      </c>
      <c r="E3324" t="s">
        <v>391</v>
      </c>
    </row>
    <row r="3325" spans="1:5" x14ac:dyDescent="0.25">
      <c r="A3325">
        <v>16050</v>
      </c>
      <c r="B3325" t="str">
        <f t="shared" si="52"/>
        <v>16050</v>
      </c>
      <c r="C3325" t="s">
        <v>1208</v>
      </c>
      <c r="D3325">
        <v>61.12</v>
      </c>
      <c r="E3325" t="s">
        <v>391</v>
      </c>
    </row>
    <row r="3326" spans="1:5" x14ac:dyDescent="0.25">
      <c r="A3326">
        <v>16050</v>
      </c>
      <c r="B3326" t="str">
        <f t="shared" si="52"/>
        <v>16050</v>
      </c>
      <c r="C3326" t="s">
        <v>1210</v>
      </c>
      <c r="D3326">
        <v>0</v>
      </c>
      <c r="E3326" t="s">
        <v>391</v>
      </c>
    </row>
    <row r="3327" spans="1:5" x14ac:dyDescent="0.25">
      <c r="A3327">
        <v>16050</v>
      </c>
      <c r="B3327" t="str">
        <f t="shared" si="52"/>
        <v>16050</v>
      </c>
      <c r="C3327" t="s">
        <v>1212</v>
      </c>
      <c r="D3327">
        <v>0</v>
      </c>
      <c r="E3327" t="s">
        <v>391</v>
      </c>
    </row>
    <row r="3328" spans="1:5" x14ac:dyDescent="0.25">
      <c r="A3328">
        <v>16050</v>
      </c>
      <c r="B3328" t="str">
        <f t="shared" si="52"/>
        <v>16050</v>
      </c>
      <c r="C3328" t="s">
        <v>1216</v>
      </c>
      <c r="D3328">
        <v>33</v>
      </c>
      <c r="E3328" t="s">
        <v>391</v>
      </c>
    </row>
    <row r="3329" spans="1:5" x14ac:dyDescent="0.25">
      <c r="A3329">
        <v>16050</v>
      </c>
      <c r="B3329" t="str">
        <f t="shared" si="52"/>
        <v>16050</v>
      </c>
      <c r="C3329" t="s">
        <v>1198</v>
      </c>
      <c r="D3329">
        <v>70.2</v>
      </c>
      <c r="E3329" t="s">
        <v>391</v>
      </c>
    </row>
    <row r="3330" spans="1:5" x14ac:dyDescent="0.25">
      <c r="A3330">
        <v>36402</v>
      </c>
      <c r="B3330" t="str">
        <f t="shared" si="52"/>
        <v>36402</v>
      </c>
      <c r="C3330" t="s">
        <v>1193</v>
      </c>
      <c r="D3330">
        <v>0</v>
      </c>
      <c r="E3330" t="s">
        <v>563</v>
      </c>
    </row>
    <row r="3331" spans="1:5" x14ac:dyDescent="0.25">
      <c r="A3331">
        <v>36402</v>
      </c>
      <c r="B3331" t="str">
        <f t="shared" ref="B3331:B3394" si="53">TEXT(A3331,"00000")</f>
        <v>36402</v>
      </c>
      <c r="C3331" t="s">
        <v>1194</v>
      </c>
      <c r="D3331">
        <v>59</v>
      </c>
      <c r="E3331" t="s">
        <v>563</v>
      </c>
    </row>
    <row r="3332" spans="1:5" x14ac:dyDescent="0.25">
      <c r="A3332">
        <v>36402</v>
      </c>
      <c r="B3332" t="str">
        <f t="shared" si="53"/>
        <v>36402</v>
      </c>
      <c r="C3332" t="s">
        <v>1195</v>
      </c>
      <c r="D3332">
        <v>0</v>
      </c>
      <c r="E3332" t="s">
        <v>563</v>
      </c>
    </row>
    <row r="3333" spans="1:5" x14ac:dyDescent="0.25">
      <c r="A3333">
        <v>36402</v>
      </c>
      <c r="B3333" t="str">
        <f t="shared" si="53"/>
        <v>36402</v>
      </c>
      <c r="C3333" t="s">
        <v>1197</v>
      </c>
      <c r="D3333">
        <v>23.8</v>
      </c>
      <c r="E3333" t="s">
        <v>563</v>
      </c>
    </row>
    <row r="3334" spans="1:5" x14ac:dyDescent="0.25">
      <c r="A3334">
        <v>36402</v>
      </c>
      <c r="B3334" t="str">
        <f t="shared" si="53"/>
        <v>36402</v>
      </c>
      <c r="C3334" t="s">
        <v>1202</v>
      </c>
      <c r="D3334">
        <v>0</v>
      </c>
      <c r="E3334" t="s">
        <v>563</v>
      </c>
    </row>
    <row r="3335" spans="1:5" x14ac:dyDescent="0.25">
      <c r="A3335">
        <v>36402</v>
      </c>
      <c r="B3335" t="str">
        <f t="shared" si="53"/>
        <v>36402</v>
      </c>
      <c r="C3335" t="s">
        <v>1206</v>
      </c>
      <c r="D3335">
        <v>39.799999999999997</v>
      </c>
      <c r="E3335" t="s">
        <v>563</v>
      </c>
    </row>
    <row r="3336" spans="1:5" x14ac:dyDescent="0.25">
      <c r="A3336">
        <v>36402</v>
      </c>
      <c r="B3336" t="str">
        <f t="shared" si="53"/>
        <v>36402</v>
      </c>
      <c r="C3336" t="s">
        <v>1199</v>
      </c>
      <c r="D3336">
        <v>0</v>
      </c>
      <c r="E3336" t="s">
        <v>563</v>
      </c>
    </row>
    <row r="3337" spans="1:5" x14ac:dyDescent="0.25">
      <c r="A3337">
        <v>36402</v>
      </c>
      <c r="B3337" t="str">
        <f t="shared" si="53"/>
        <v>36402</v>
      </c>
      <c r="C3337" t="s">
        <v>1203</v>
      </c>
      <c r="D3337">
        <v>38.6</v>
      </c>
      <c r="E3337" t="s">
        <v>563</v>
      </c>
    </row>
    <row r="3338" spans="1:5" x14ac:dyDescent="0.25">
      <c r="A3338">
        <v>36402</v>
      </c>
      <c r="B3338" t="str">
        <f t="shared" si="53"/>
        <v>36402</v>
      </c>
      <c r="C3338" t="s">
        <v>1200</v>
      </c>
      <c r="D3338">
        <v>0</v>
      </c>
      <c r="E3338" t="s">
        <v>563</v>
      </c>
    </row>
    <row r="3339" spans="1:5" x14ac:dyDescent="0.25">
      <c r="A3339">
        <v>36402</v>
      </c>
      <c r="B3339" t="str">
        <f t="shared" si="53"/>
        <v>36402</v>
      </c>
      <c r="C3339" t="s">
        <v>1204</v>
      </c>
      <c r="D3339">
        <v>67.540000000000006</v>
      </c>
      <c r="E3339" t="s">
        <v>563</v>
      </c>
    </row>
    <row r="3340" spans="1:5" x14ac:dyDescent="0.25">
      <c r="A3340">
        <v>36402</v>
      </c>
      <c r="B3340" t="str">
        <f t="shared" si="53"/>
        <v>36402</v>
      </c>
      <c r="C3340" t="s">
        <v>1207</v>
      </c>
      <c r="D3340">
        <v>0</v>
      </c>
      <c r="E3340" t="s">
        <v>563</v>
      </c>
    </row>
    <row r="3341" spans="1:5" x14ac:dyDescent="0.25">
      <c r="A3341">
        <v>36402</v>
      </c>
      <c r="B3341" t="str">
        <f t="shared" si="53"/>
        <v>36402</v>
      </c>
      <c r="C3341" t="s">
        <v>1208</v>
      </c>
      <c r="D3341">
        <v>17.82</v>
      </c>
      <c r="E3341" t="s">
        <v>563</v>
      </c>
    </row>
    <row r="3342" spans="1:5" x14ac:dyDescent="0.25">
      <c r="A3342">
        <v>36402</v>
      </c>
      <c r="B3342" t="str">
        <f t="shared" si="53"/>
        <v>36402</v>
      </c>
      <c r="C3342" t="s">
        <v>1210</v>
      </c>
      <c r="D3342">
        <v>0</v>
      </c>
      <c r="E3342" t="s">
        <v>563</v>
      </c>
    </row>
    <row r="3343" spans="1:5" x14ac:dyDescent="0.25">
      <c r="A3343">
        <v>36402</v>
      </c>
      <c r="B3343" t="str">
        <f t="shared" si="53"/>
        <v>36402</v>
      </c>
      <c r="C3343" t="s">
        <v>1212</v>
      </c>
      <c r="D3343">
        <v>0</v>
      </c>
      <c r="E3343" t="s">
        <v>563</v>
      </c>
    </row>
    <row r="3344" spans="1:5" x14ac:dyDescent="0.25">
      <c r="A3344">
        <v>36402</v>
      </c>
      <c r="B3344" t="str">
        <f t="shared" si="53"/>
        <v>36402</v>
      </c>
      <c r="C3344" t="s">
        <v>1216</v>
      </c>
      <c r="D3344">
        <v>16.399999999999999</v>
      </c>
      <c r="E3344" t="s">
        <v>563</v>
      </c>
    </row>
    <row r="3345" spans="1:5" x14ac:dyDescent="0.25">
      <c r="A3345">
        <v>36402</v>
      </c>
      <c r="B3345" t="str">
        <f t="shared" si="53"/>
        <v>36402</v>
      </c>
      <c r="C3345" t="s">
        <v>1198</v>
      </c>
      <c r="D3345">
        <v>16</v>
      </c>
      <c r="E3345" t="s">
        <v>563</v>
      </c>
    </row>
    <row r="3346" spans="1:5" x14ac:dyDescent="0.25">
      <c r="A3346" s="34" t="s">
        <v>18</v>
      </c>
      <c r="B3346" t="str">
        <f t="shared" si="53"/>
        <v>03116</v>
      </c>
      <c r="C3346" t="s">
        <v>1193</v>
      </c>
      <c r="D3346">
        <v>0</v>
      </c>
      <c r="E3346" t="s">
        <v>315</v>
      </c>
    </row>
    <row r="3347" spans="1:5" x14ac:dyDescent="0.25">
      <c r="A3347" s="34" t="s">
        <v>18</v>
      </c>
      <c r="B3347" t="str">
        <f t="shared" si="53"/>
        <v>03116</v>
      </c>
      <c r="C3347" t="s">
        <v>1194</v>
      </c>
      <c r="D3347">
        <v>482.38</v>
      </c>
      <c r="E3347" t="s">
        <v>315</v>
      </c>
    </row>
    <row r="3348" spans="1:5" x14ac:dyDescent="0.25">
      <c r="A3348" s="34" t="s">
        <v>18</v>
      </c>
      <c r="B3348" t="str">
        <f t="shared" si="53"/>
        <v>03116</v>
      </c>
      <c r="C3348" t="s">
        <v>1195</v>
      </c>
      <c r="D3348">
        <v>0</v>
      </c>
      <c r="E3348" t="s">
        <v>315</v>
      </c>
    </row>
    <row r="3349" spans="1:5" x14ac:dyDescent="0.25">
      <c r="A3349" s="34" t="s">
        <v>18</v>
      </c>
      <c r="B3349" t="str">
        <f t="shared" si="53"/>
        <v>03116</v>
      </c>
      <c r="C3349" t="s">
        <v>1197</v>
      </c>
      <c r="D3349">
        <v>177.33</v>
      </c>
      <c r="E3349" t="s">
        <v>315</v>
      </c>
    </row>
    <row r="3350" spans="1:5" x14ac:dyDescent="0.25">
      <c r="A3350" s="34" t="s">
        <v>18</v>
      </c>
      <c r="B3350" t="str">
        <f t="shared" si="53"/>
        <v>03116</v>
      </c>
      <c r="C3350" t="s">
        <v>1202</v>
      </c>
      <c r="D3350">
        <v>0</v>
      </c>
      <c r="E3350" t="s">
        <v>315</v>
      </c>
    </row>
    <row r="3351" spans="1:5" x14ac:dyDescent="0.25">
      <c r="A3351" s="34" t="s">
        <v>18</v>
      </c>
      <c r="B3351" t="str">
        <f t="shared" si="53"/>
        <v>03116</v>
      </c>
      <c r="C3351" t="s">
        <v>1206</v>
      </c>
      <c r="D3351">
        <v>318.25</v>
      </c>
      <c r="E3351" t="s">
        <v>315</v>
      </c>
    </row>
    <row r="3352" spans="1:5" x14ac:dyDescent="0.25">
      <c r="A3352" s="34" t="s">
        <v>18</v>
      </c>
      <c r="B3352" t="str">
        <f t="shared" si="53"/>
        <v>03116</v>
      </c>
      <c r="C3352" t="s">
        <v>1199</v>
      </c>
      <c r="D3352">
        <v>0</v>
      </c>
      <c r="E3352" t="s">
        <v>315</v>
      </c>
    </row>
    <row r="3353" spans="1:5" x14ac:dyDescent="0.25">
      <c r="A3353" s="34" t="s">
        <v>18</v>
      </c>
      <c r="B3353" t="str">
        <f t="shared" si="53"/>
        <v>03116</v>
      </c>
      <c r="C3353" t="s">
        <v>1203</v>
      </c>
      <c r="D3353">
        <v>370.84</v>
      </c>
      <c r="E3353" t="s">
        <v>315</v>
      </c>
    </row>
    <row r="3354" spans="1:5" x14ac:dyDescent="0.25">
      <c r="A3354" s="34" t="s">
        <v>18</v>
      </c>
      <c r="B3354" t="str">
        <f t="shared" si="53"/>
        <v>03116</v>
      </c>
      <c r="C3354" t="s">
        <v>1200</v>
      </c>
      <c r="D3354">
        <v>0</v>
      </c>
      <c r="E3354" t="s">
        <v>315</v>
      </c>
    </row>
    <row r="3355" spans="1:5" x14ac:dyDescent="0.25">
      <c r="A3355" s="34" t="s">
        <v>18</v>
      </c>
      <c r="B3355" t="str">
        <f t="shared" si="53"/>
        <v>03116</v>
      </c>
      <c r="C3355" t="s">
        <v>1204</v>
      </c>
      <c r="D3355">
        <v>755.29</v>
      </c>
      <c r="E3355" t="s">
        <v>315</v>
      </c>
    </row>
    <row r="3356" spans="1:5" x14ac:dyDescent="0.25">
      <c r="A3356" s="34" t="s">
        <v>18</v>
      </c>
      <c r="B3356" t="str">
        <f t="shared" si="53"/>
        <v>03116</v>
      </c>
      <c r="C3356" t="s">
        <v>1207</v>
      </c>
      <c r="D3356">
        <v>17.68</v>
      </c>
      <c r="E3356" t="s">
        <v>315</v>
      </c>
    </row>
    <row r="3357" spans="1:5" x14ac:dyDescent="0.25">
      <c r="A3357" s="34" t="s">
        <v>18</v>
      </c>
      <c r="B3357" t="str">
        <f t="shared" si="53"/>
        <v>03116</v>
      </c>
      <c r="C3357" t="s">
        <v>1208</v>
      </c>
      <c r="D3357">
        <v>213.25</v>
      </c>
      <c r="E3357" t="s">
        <v>315</v>
      </c>
    </row>
    <row r="3358" spans="1:5" x14ac:dyDescent="0.25">
      <c r="A3358" s="34" t="s">
        <v>18</v>
      </c>
      <c r="B3358" t="str">
        <f t="shared" si="53"/>
        <v>03116</v>
      </c>
      <c r="C3358" t="s">
        <v>1210</v>
      </c>
      <c r="D3358">
        <v>0</v>
      </c>
      <c r="E3358" t="s">
        <v>315</v>
      </c>
    </row>
    <row r="3359" spans="1:5" x14ac:dyDescent="0.25">
      <c r="A3359" s="34" t="s">
        <v>18</v>
      </c>
      <c r="B3359" t="str">
        <f t="shared" si="53"/>
        <v>03116</v>
      </c>
      <c r="C3359" t="s">
        <v>1212</v>
      </c>
      <c r="D3359">
        <v>0</v>
      </c>
      <c r="E3359" t="s">
        <v>315</v>
      </c>
    </row>
    <row r="3360" spans="1:5" x14ac:dyDescent="0.25">
      <c r="A3360" s="34" t="s">
        <v>18</v>
      </c>
      <c r="B3360" t="str">
        <f t="shared" si="53"/>
        <v>03116</v>
      </c>
      <c r="C3360" t="s">
        <v>1216</v>
      </c>
      <c r="D3360">
        <v>52.8</v>
      </c>
      <c r="E3360" t="s">
        <v>315</v>
      </c>
    </row>
    <row r="3361" spans="1:5" x14ac:dyDescent="0.25">
      <c r="A3361" s="34" t="s">
        <v>18</v>
      </c>
      <c r="B3361" t="str">
        <f t="shared" si="53"/>
        <v>03116</v>
      </c>
      <c r="C3361" t="s">
        <v>1198</v>
      </c>
      <c r="D3361">
        <v>168.11</v>
      </c>
      <c r="E3361" t="s">
        <v>315</v>
      </c>
    </row>
    <row r="3362" spans="1:5" x14ac:dyDescent="0.25">
      <c r="A3362">
        <v>38267</v>
      </c>
      <c r="B3362" t="str">
        <f t="shared" si="53"/>
        <v>38267</v>
      </c>
      <c r="C3362" t="s">
        <v>1193</v>
      </c>
      <c r="D3362">
        <v>0</v>
      </c>
      <c r="E3362" t="s">
        <v>575</v>
      </c>
    </row>
    <row r="3363" spans="1:5" x14ac:dyDescent="0.25">
      <c r="A3363">
        <v>38267</v>
      </c>
      <c r="B3363" t="str">
        <f t="shared" si="53"/>
        <v>38267</v>
      </c>
      <c r="C3363" t="s">
        <v>1194</v>
      </c>
      <c r="D3363">
        <v>644.22</v>
      </c>
      <c r="E3363" t="s">
        <v>575</v>
      </c>
    </row>
    <row r="3364" spans="1:5" x14ac:dyDescent="0.25">
      <c r="A3364">
        <v>38267</v>
      </c>
      <c r="B3364" t="str">
        <f t="shared" si="53"/>
        <v>38267</v>
      </c>
      <c r="C3364" t="s">
        <v>1195</v>
      </c>
      <c r="D3364">
        <v>0</v>
      </c>
      <c r="E3364" t="s">
        <v>575</v>
      </c>
    </row>
    <row r="3365" spans="1:5" x14ac:dyDescent="0.25">
      <c r="A3365">
        <v>38267</v>
      </c>
      <c r="B3365" t="str">
        <f t="shared" si="53"/>
        <v>38267</v>
      </c>
      <c r="C3365" t="s">
        <v>1197</v>
      </c>
      <c r="D3365">
        <v>205.8</v>
      </c>
      <c r="E3365" t="s">
        <v>575</v>
      </c>
    </row>
    <row r="3366" spans="1:5" x14ac:dyDescent="0.25">
      <c r="A3366">
        <v>38267</v>
      </c>
      <c r="B3366" t="str">
        <f t="shared" si="53"/>
        <v>38267</v>
      </c>
      <c r="C3366" t="s">
        <v>1202</v>
      </c>
      <c r="D3366">
        <v>0</v>
      </c>
      <c r="E3366" t="s">
        <v>575</v>
      </c>
    </row>
    <row r="3367" spans="1:5" x14ac:dyDescent="0.25">
      <c r="A3367">
        <v>38267</v>
      </c>
      <c r="B3367" t="str">
        <f t="shared" si="53"/>
        <v>38267</v>
      </c>
      <c r="C3367" t="s">
        <v>1206</v>
      </c>
      <c r="D3367">
        <v>396.68</v>
      </c>
      <c r="E3367" t="s">
        <v>575</v>
      </c>
    </row>
    <row r="3368" spans="1:5" x14ac:dyDescent="0.25">
      <c r="A3368">
        <v>38267</v>
      </c>
      <c r="B3368" t="str">
        <f t="shared" si="53"/>
        <v>38267</v>
      </c>
      <c r="C3368" t="s">
        <v>1199</v>
      </c>
      <c r="D3368">
        <v>0</v>
      </c>
      <c r="E3368" t="s">
        <v>575</v>
      </c>
    </row>
    <row r="3369" spans="1:5" x14ac:dyDescent="0.25">
      <c r="A3369">
        <v>38267</v>
      </c>
      <c r="B3369" t="str">
        <f t="shared" si="53"/>
        <v>38267</v>
      </c>
      <c r="C3369" t="s">
        <v>1203</v>
      </c>
      <c r="D3369">
        <v>424.44</v>
      </c>
      <c r="E3369" t="s">
        <v>575</v>
      </c>
    </row>
    <row r="3370" spans="1:5" x14ac:dyDescent="0.25">
      <c r="A3370">
        <v>38267</v>
      </c>
      <c r="B3370" t="str">
        <f t="shared" si="53"/>
        <v>38267</v>
      </c>
      <c r="C3370" t="s">
        <v>1200</v>
      </c>
      <c r="D3370">
        <v>0</v>
      </c>
      <c r="E3370" t="s">
        <v>575</v>
      </c>
    </row>
    <row r="3371" spans="1:5" x14ac:dyDescent="0.25">
      <c r="A3371">
        <v>38267</v>
      </c>
      <c r="B3371" t="str">
        <f t="shared" si="53"/>
        <v>38267</v>
      </c>
      <c r="C3371" t="s">
        <v>1204</v>
      </c>
      <c r="D3371">
        <v>758.19</v>
      </c>
      <c r="E3371" t="s">
        <v>575</v>
      </c>
    </row>
    <row r="3372" spans="1:5" x14ac:dyDescent="0.25">
      <c r="A3372">
        <v>38267</v>
      </c>
      <c r="B3372" t="str">
        <f t="shared" si="53"/>
        <v>38267</v>
      </c>
      <c r="C3372" t="s">
        <v>1207</v>
      </c>
      <c r="D3372">
        <v>40.090000000000003</v>
      </c>
      <c r="E3372" t="s">
        <v>575</v>
      </c>
    </row>
    <row r="3373" spans="1:5" x14ac:dyDescent="0.25">
      <c r="A3373">
        <v>38267</v>
      </c>
      <c r="B3373" t="str">
        <f t="shared" si="53"/>
        <v>38267</v>
      </c>
      <c r="C3373" t="s">
        <v>1208</v>
      </c>
      <c r="D3373">
        <v>134.63999999999999</v>
      </c>
      <c r="E3373" t="s">
        <v>575</v>
      </c>
    </row>
    <row r="3374" spans="1:5" x14ac:dyDescent="0.25">
      <c r="A3374">
        <v>38267</v>
      </c>
      <c r="B3374" t="str">
        <f t="shared" si="53"/>
        <v>38267</v>
      </c>
      <c r="C3374" t="s">
        <v>1210</v>
      </c>
      <c r="D3374">
        <v>0</v>
      </c>
      <c r="E3374" t="s">
        <v>575</v>
      </c>
    </row>
    <row r="3375" spans="1:5" x14ac:dyDescent="0.25">
      <c r="A3375">
        <v>38267</v>
      </c>
      <c r="B3375" t="str">
        <f t="shared" si="53"/>
        <v>38267</v>
      </c>
      <c r="C3375" t="s">
        <v>1212</v>
      </c>
      <c r="D3375">
        <v>0</v>
      </c>
      <c r="E3375" t="s">
        <v>575</v>
      </c>
    </row>
    <row r="3376" spans="1:5" x14ac:dyDescent="0.25">
      <c r="A3376">
        <v>38267</v>
      </c>
      <c r="B3376" t="str">
        <f t="shared" si="53"/>
        <v>38267</v>
      </c>
      <c r="C3376" t="s">
        <v>1216</v>
      </c>
      <c r="D3376">
        <v>0</v>
      </c>
      <c r="E3376" t="s">
        <v>575</v>
      </c>
    </row>
    <row r="3377" spans="1:5" x14ac:dyDescent="0.25">
      <c r="A3377">
        <v>38267</v>
      </c>
      <c r="B3377" t="str">
        <f t="shared" si="53"/>
        <v>38267</v>
      </c>
      <c r="C3377" t="s">
        <v>1198</v>
      </c>
      <c r="D3377">
        <v>176.41</v>
      </c>
      <c r="E3377" t="s">
        <v>575</v>
      </c>
    </row>
    <row r="3378" spans="1:5" x14ac:dyDescent="0.25">
      <c r="A3378">
        <v>27003</v>
      </c>
      <c r="B3378" t="str">
        <f t="shared" si="53"/>
        <v>27003</v>
      </c>
      <c r="C3378" t="s">
        <v>1193</v>
      </c>
      <c r="D3378">
        <v>0</v>
      </c>
      <c r="E3378" t="s">
        <v>480</v>
      </c>
    </row>
    <row r="3379" spans="1:5" x14ac:dyDescent="0.25">
      <c r="A3379">
        <v>27003</v>
      </c>
      <c r="B3379" t="str">
        <f t="shared" si="53"/>
        <v>27003</v>
      </c>
      <c r="C3379" t="s">
        <v>1194</v>
      </c>
      <c r="D3379">
        <v>5076.5600000000004</v>
      </c>
      <c r="E3379" t="s">
        <v>480</v>
      </c>
    </row>
    <row r="3380" spans="1:5" x14ac:dyDescent="0.25">
      <c r="A3380">
        <v>27003</v>
      </c>
      <c r="B3380" t="str">
        <f t="shared" si="53"/>
        <v>27003</v>
      </c>
      <c r="C3380" t="s">
        <v>1195</v>
      </c>
      <c r="D3380">
        <v>0</v>
      </c>
      <c r="E3380" t="s">
        <v>480</v>
      </c>
    </row>
    <row r="3381" spans="1:5" x14ac:dyDescent="0.25">
      <c r="A3381">
        <v>27003</v>
      </c>
      <c r="B3381" t="str">
        <f t="shared" si="53"/>
        <v>27003</v>
      </c>
      <c r="C3381" t="s">
        <v>1197</v>
      </c>
      <c r="D3381">
        <v>1647.71</v>
      </c>
      <c r="E3381" t="s">
        <v>480</v>
      </c>
    </row>
    <row r="3382" spans="1:5" x14ac:dyDescent="0.25">
      <c r="A3382">
        <v>27003</v>
      </c>
      <c r="B3382" t="str">
        <f t="shared" si="53"/>
        <v>27003</v>
      </c>
      <c r="C3382" t="s">
        <v>1202</v>
      </c>
      <c r="D3382">
        <v>0</v>
      </c>
      <c r="E3382" t="s">
        <v>480</v>
      </c>
    </row>
    <row r="3383" spans="1:5" x14ac:dyDescent="0.25">
      <c r="A3383">
        <v>27003</v>
      </c>
      <c r="B3383" t="str">
        <f t="shared" si="53"/>
        <v>27003</v>
      </c>
      <c r="C3383" t="s">
        <v>1206</v>
      </c>
      <c r="D3383">
        <v>3532.95</v>
      </c>
      <c r="E3383" t="s">
        <v>480</v>
      </c>
    </row>
    <row r="3384" spans="1:5" x14ac:dyDescent="0.25">
      <c r="A3384">
        <v>27003</v>
      </c>
      <c r="B3384" t="str">
        <f t="shared" si="53"/>
        <v>27003</v>
      </c>
      <c r="C3384" t="s">
        <v>1199</v>
      </c>
      <c r="D3384">
        <v>0</v>
      </c>
      <c r="E3384" t="s">
        <v>480</v>
      </c>
    </row>
    <row r="3385" spans="1:5" x14ac:dyDescent="0.25">
      <c r="A3385">
        <v>27003</v>
      </c>
      <c r="B3385" t="str">
        <f t="shared" si="53"/>
        <v>27003</v>
      </c>
      <c r="C3385" t="s">
        <v>1203</v>
      </c>
      <c r="D3385">
        <v>3496.04</v>
      </c>
      <c r="E3385" t="s">
        <v>480</v>
      </c>
    </row>
    <row r="3386" spans="1:5" x14ac:dyDescent="0.25">
      <c r="A3386">
        <v>27003</v>
      </c>
      <c r="B3386" t="str">
        <f t="shared" si="53"/>
        <v>27003</v>
      </c>
      <c r="C3386" t="s">
        <v>1200</v>
      </c>
      <c r="D3386">
        <v>0</v>
      </c>
      <c r="E3386" t="s">
        <v>480</v>
      </c>
    </row>
    <row r="3387" spans="1:5" x14ac:dyDescent="0.25">
      <c r="A3387">
        <v>27003</v>
      </c>
      <c r="B3387" t="str">
        <f t="shared" si="53"/>
        <v>27003</v>
      </c>
      <c r="C3387" t="s">
        <v>1204</v>
      </c>
      <c r="D3387">
        <v>6371.06</v>
      </c>
      <c r="E3387" t="s">
        <v>480</v>
      </c>
    </row>
    <row r="3388" spans="1:5" x14ac:dyDescent="0.25">
      <c r="A3388">
        <v>27003</v>
      </c>
      <c r="B3388" t="str">
        <f t="shared" si="53"/>
        <v>27003</v>
      </c>
      <c r="C3388" t="s">
        <v>1207</v>
      </c>
      <c r="D3388">
        <v>417.52</v>
      </c>
      <c r="E3388" t="s">
        <v>480</v>
      </c>
    </row>
    <row r="3389" spans="1:5" x14ac:dyDescent="0.25">
      <c r="A3389">
        <v>27003</v>
      </c>
      <c r="B3389" t="str">
        <f t="shared" si="53"/>
        <v>27003</v>
      </c>
      <c r="C3389" t="s">
        <v>1208</v>
      </c>
      <c r="D3389">
        <v>1317.02</v>
      </c>
      <c r="E3389" t="s">
        <v>480</v>
      </c>
    </row>
    <row r="3390" spans="1:5" x14ac:dyDescent="0.25">
      <c r="A3390">
        <v>27003</v>
      </c>
      <c r="B3390" t="str">
        <f t="shared" si="53"/>
        <v>27003</v>
      </c>
      <c r="C3390" t="s">
        <v>1210</v>
      </c>
      <c r="D3390">
        <v>0</v>
      </c>
      <c r="E3390" t="s">
        <v>480</v>
      </c>
    </row>
    <row r="3391" spans="1:5" x14ac:dyDescent="0.25">
      <c r="A3391">
        <v>27003</v>
      </c>
      <c r="B3391" t="str">
        <f t="shared" si="53"/>
        <v>27003</v>
      </c>
      <c r="C3391" t="s">
        <v>1212</v>
      </c>
      <c r="D3391">
        <v>0</v>
      </c>
      <c r="E3391" t="s">
        <v>480</v>
      </c>
    </row>
    <row r="3392" spans="1:5" x14ac:dyDescent="0.25">
      <c r="A3392">
        <v>27003</v>
      </c>
      <c r="B3392" t="str">
        <f t="shared" si="53"/>
        <v>27003</v>
      </c>
      <c r="C3392" t="s">
        <v>1216</v>
      </c>
      <c r="D3392">
        <v>152.6</v>
      </c>
      <c r="E3392" t="s">
        <v>480</v>
      </c>
    </row>
    <row r="3393" spans="1:5" x14ac:dyDescent="0.25">
      <c r="A3393">
        <v>27003</v>
      </c>
      <c r="B3393" t="str">
        <f t="shared" si="53"/>
        <v>27003</v>
      </c>
      <c r="C3393" t="s">
        <v>1198</v>
      </c>
      <c r="D3393">
        <v>1481.88</v>
      </c>
      <c r="E3393" t="s">
        <v>480</v>
      </c>
    </row>
    <row r="3394" spans="1:5" x14ac:dyDescent="0.25">
      <c r="A3394">
        <v>16020</v>
      </c>
      <c r="B3394" t="str">
        <f t="shared" si="53"/>
        <v>16020</v>
      </c>
      <c r="C3394" t="s">
        <v>1193</v>
      </c>
      <c r="D3394">
        <v>0</v>
      </c>
      <c r="E3394" t="s">
        <v>387</v>
      </c>
    </row>
    <row r="3395" spans="1:5" x14ac:dyDescent="0.25">
      <c r="A3395">
        <v>16020</v>
      </c>
      <c r="B3395" t="str">
        <f t="shared" ref="B3395:B3458" si="54">TEXT(A3395,"00000")</f>
        <v>16020</v>
      </c>
      <c r="C3395" t="s">
        <v>1194</v>
      </c>
      <c r="D3395">
        <v>15</v>
      </c>
      <c r="E3395" t="s">
        <v>387</v>
      </c>
    </row>
    <row r="3396" spans="1:5" x14ac:dyDescent="0.25">
      <c r="A3396">
        <v>16020</v>
      </c>
      <c r="B3396" t="str">
        <f t="shared" si="54"/>
        <v>16020</v>
      </c>
      <c r="C3396" t="s">
        <v>1195</v>
      </c>
      <c r="D3396">
        <v>0</v>
      </c>
      <c r="E3396" t="s">
        <v>387</v>
      </c>
    </row>
    <row r="3397" spans="1:5" x14ac:dyDescent="0.25">
      <c r="A3397">
        <v>16020</v>
      </c>
      <c r="B3397" t="str">
        <f t="shared" si="54"/>
        <v>16020</v>
      </c>
      <c r="C3397" t="s">
        <v>1197</v>
      </c>
      <c r="D3397">
        <v>6</v>
      </c>
      <c r="E3397" t="s">
        <v>387</v>
      </c>
    </row>
    <row r="3398" spans="1:5" x14ac:dyDescent="0.25">
      <c r="A3398">
        <v>16020</v>
      </c>
      <c r="B3398" t="str">
        <f t="shared" si="54"/>
        <v>16020</v>
      </c>
      <c r="C3398" t="s">
        <v>1202</v>
      </c>
      <c r="D3398">
        <v>0</v>
      </c>
      <c r="E3398" t="s">
        <v>387</v>
      </c>
    </row>
    <row r="3399" spans="1:5" x14ac:dyDescent="0.25">
      <c r="A3399">
        <v>16020</v>
      </c>
      <c r="B3399" t="str">
        <f t="shared" si="54"/>
        <v>16020</v>
      </c>
      <c r="C3399" t="s">
        <v>1206</v>
      </c>
      <c r="D3399">
        <v>12</v>
      </c>
      <c r="E3399" t="s">
        <v>387</v>
      </c>
    </row>
    <row r="3400" spans="1:5" x14ac:dyDescent="0.25">
      <c r="A3400">
        <v>16020</v>
      </c>
      <c r="B3400" t="str">
        <f t="shared" si="54"/>
        <v>16020</v>
      </c>
      <c r="C3400" t="s">
        <v>1199</v>
      </c>
      <c r="D3400">
        <v>0</v>
      </c>
      <c r="E3400" t="s">
        <v>387</v>
      </c>
    </row>
    <row r="3401" spans="1:5" x14ac:dyDescent="0.25">
      <c r="A3401">
        <v>16020</v>
      </c>
      <c r="B3401" t="str">
        <f t="shared" si="54"/>
        <v>16020</v>
      </c>
      <c r="C3401" t="s">
        <v>1203</v>
      </c>
      <c r="D3401">
        <v>2</v>
      </c>
      <c r="E3401" t="s">
        <v>387</v>
      </c>
    </row>
    <row r="3402" spans="1:5" x14ac:dyDescent="0.25">
      <c r="A3402">
        <v>16020</v>
      </c>
      <c r="B3402" t="str">
        <f t="shared" si="54"/>
        <v>16020</v>
      </c>
      <c r="C3402" t="s">
        <v>1200</v>
      </c>
      <c r="D3402">
        <v>0</v>
      </c>
      <c r="E3402" t="s">
        <v>387</v>
      </c>
    </row>
    <row r="3403" spans="1:5" x14ac:dyDescent="0.25">
      <c r="A3403">
        <v>16020</v>
      </c>
      <c r="B3403" t="str">
        <f t="shared" si="54"/>
        <v>16020</v>
      </c>
      <c r="C3403" t="s">
        <v>1204</v>
      </c>
      <c r="D3403">
        <v>0</v>
      </c>
      <c r="E3403" t="s">
        <v>387</v>
      </c>
    </row>
    <row r="3404" spans="1:5" x14ac:dyDescent="0.25">
      <c r="A3404">
        <v>16020</v>
      </c>
      <c r="B3404" t="str">
        <f t="shared" si="54"/>
        <v>16020</v>
      </c>
      <c r="C3404" t="s">
        <v>1207</v>
      </c>
      <c r="D3404">
        <v>0</v>
      </c>
      <c r="E3404" t="s">
        <v>387</v>
      </c>
    </row>
    <row r="3405" spans="1:5" x14ac:dyDescent="0.25">
      <c r="A3405">
        <v>16020</v>
      </c>
      <c r="B3405" t="str">
        <f t="shared" si="54"/>
        <v>16020</v>
      </c>
      <c r="C3405" t="s">
        <v>1208</v>
      </c>
      <c r="D3405">
        <v>0</v>
      </c>
      <c r="E3405" t="s">
        <v>387</v>
      </c>
    </row>
    <row r="3406" spans="1:5" x14ac:dyDescent="0.25">
      <c r="A3406">
        <v>16020</v>
      </c>
      <c r="B3406" t="str">
        <f t="shared" si="54"/>
        <v>16020</v>
      </c>
      <c r="C3406" t="s">
        <v>1210</v>
      </c>
      <c r="D3406">
        <v>0</v>
      </c>
      <c r="E3406" t="s">
        <v>387</v>
      </c>
    </row>
    <row r="3407" spans="1:5" x14ac:dyDescent="0.25">
      <c r="A3407">
        <v>16020</v>
      </c>
      <c r="B3407" t="str">
        <f t="shared" si="54"/>
        <v>16020</v>
      </c>
      <c r="C3407" t="s">
        <v>1212</v>
      </c>
      <c r="D3407">
        <v>0</v>
      </c>
      <c r="E3407" t="s">
        <v>387</v>
      </c>
    </row>
    <row r="3408" spans="1:5" x14ac:dyDescent="0.25">
      <c r="A3408">
        <v>16020</v>
      </c>
      <c r="B3408" t="str">
        <f t="shared" si="54"/>
        <v>16020</v>
      </c>
      <c r="C3408" t="s">
        <v>1216</v>
      </c>
      <c r="D3408">
        <v>0</v>
      </c>
      <c r="E3408" t="s">
        <v>387</v>
      </c>
    </row>
    <row r="3409" spans="1:5" x14ac:dyDescent="0.25">
      <c r="A3409">
        <v>16020</v>
      </c>
      <c r="B3409" t="str">
        <f t="shared" si="54"/>
        <v>16020</v>
      </c>
      <c r="C3409" t="s">
        <v>1198</v>
      </c>
      <c r="D3409">
        <v>2</v>
      </c>
      <c r="E3409" t="s">
        <v>387</v>
      </c>
    </row>
    <row r="3410" spans="1:5" x14ac:dyDescent="0.25">
      <c r="A3410">
        <v>16048</v>
      </c>
      <c r="B3410" t="str">
        <f t="shared" si="54"/>
        <v>16048</v>
      </c>
      <c r="C3410" t="s">
        <v>1193</v>
      </c>
      <c r="D3410">
        <v>0</v>
      </c>
      <c r="E3410" t="s">
        <v>389</v>
      </c>
    </row>
    <row r="3411" spans="1:5" x14ac:dyDescent="0.25">
      <c r="A3411">
        <v>16048</v>
      </c>
      <c r="B3411" t="str">
        <f t="shared" si="54"/>
        <v>16048</v>
      </c>
      <c r="C3411" t="s">
        <v>1194</v>
      </c>
      <c r="D3411">
        <v>31.2</v>
      </c>
      <c r="E3411" t="s">
        <v>389</v>
      </c>
    </row>
    <row r="3412" spans="1:5" x14ac:dyDescent="0.25">
      <c r="A3412">
        <v>16048</v>
      </c>
      <c r="B3412" t="str">
        <f t="shared" si="54"/>
        <v>16048</v>
      </c>
      <c r="C3412" t="s">
        <v>1195</v>
      </c>
      <c r="D3412">
        <v>0</v>
      </c>
      <c r="E3412" t="s">
        <v>389</v>
      </c>
    </row>
    <row r="3413" spans="1:5" x14ac:dyDescent="0.25">
      <c r="A3413">
        <v>16048</v>
      </c>
      <c r="B3413" t="str">
        <f t="shared" si="54"/>
        <v>16048</v>
      </c>
      <c r="C3413" t="s">
        <v>1197</v>
      </c>
      <c r="D3413">
        <v>12</v>
      </c>
      <c r="E3413" t="s">
        <v>389</v>
      </c>
    </row>
    <row r="3414" spans="1:5" x14ac:dyDescent="0.25">
      <c r="A3414">
        <v>16048</v>
      </c>
      <c r="B3414" t="str">
        <f t="shared" si="54"/>
        <v>16048</v>
      </c>
      <c r="C3414" t="s">
        <v>1202</v>
      </c>
      <c r="D3414">
        <v>0</v>
      </c>
      <c r="E3414" t="s">
        <v>389</v>
      </c>
    </row>
    <row r="3415" spans="1:5" x14ac:dyDescent="0.25">
      <c r="A3415">
        <v>16048</v>
      </c>
      <c r="B3415" t="str">
        <f t="shared" si="54"/>
        <v>16048</v>
      </c>
      <c r="C3415" t="s">
        <v>1206</v>
      </c>
      <c r="D3415">
        <v>21.2</v>
      </c>
      <c r="E3415" t="s">
        <v>389</v>
      </c>
    </row>
    <row r="3416" spans="1:5" x14ac:dyDescent="0.25">
      <c r="A3416">
        <v>16048</v>
      </c>
      <c r="B3416" t="str">
        <f t="shared" si="54"/>
        <v>16048</v>
      </c>
      <c r="C3416" t="s">
        <v>1199</v>
      </c>
      <c r="D3416">
        <v>0</v>
      </c>
      <c r="E3416" t="s">
        <v>389</v>
      </c>
    </row>
    <row r="3417" spans="1:5" x14ac:dyDescent="0.25">
      <c r="A3417">
        <v>16048</v>
      </c>
      <c r="B3417" t="str">
        <f t="shared" si="54"/>
        <v>16048</v>
      </c>
      <c r="C3417" t="s">
        <v>1203</v>
      </c>
      <c r="D3417">
        <v>29</v>
      </c>
      <c r="E3417" t="s">
        <v>389</v>
      </c>
    </row>
    <row r="3418" spans="1:5" x14ac:dyDescent="0.25">
      <c r="A3418">
        <v>16048</v>
      </c>
      <c r="B3418" t="str">
        <f t="shared" si="54"/>
        <v>16048</v>
      </c>
      <c r="C3418" t="s">
        <v>1200</v>
      </c>
      <c r="D3418">
        <v>0</v>
      </c>
      <c r="E3418" t="s">
        <v>389</v>
      </c>
    </row>
    <row r="3419" spans="1:5" x14ac:dyDescent="0.25">
      <c r="A3419">
        <v>16048</v>
      </c>
      <c r="B3419" t="str">
        <f t="shared" si="54"/>
        <v>16048</v>
      </c>
      <c r="C3419" t="s">
        <v>1204</v>
      </c>
      <c r="D3419">
        <v>89.91</v>
      </c>
      <c r="E3419" t="s">
        <v>389</v>
      </c>
    </row>
    <row r="3420" spans="1:5" x14ac:dyDescent="0.25">
      <c r="A3420">
        <v>16048</v>
      </c>
      <c r="B3420" t="str">
        <f t="shared" si="54"/>
        <v>16048</v>
      </c>
      <c r="C3420" t="s">
        <v>1207</v>
      </c>
      <c r="D3420">
        <v>9.68</v>
      </c>
      <c r="E3420" t="s">
        <v>389</v>
      </c>
    </row>
    <row r="3421" spans="1:5" x14ac:dyDescent="0.25">
      <c r="A3421">
        <v>16048</v>
      </c>
      <c r="B3421" t="str">
        <f t="shared" si="54"/>
        <v>16048</v>
      </c>
      <c r="C3421" t="s">
        <v>1208</v>
      </c>
      <c r="D3421">
        <v>10.71</v>
      </c>
      <c r="E3421" t="s">
        <v>389</v>
      </c>
    </row>
    <row r="3422" spans="1:5" x14ac:dyDescent="0.25">
      <c r="A3422">
        <v>16048</v>
      </c>
      <c r="B3422" t="str">
        <f t="shared" si="54"/>
        <v>16048</v>
      </c>
      <c r="C3422" t="s">
        <v>1210</v>
      </c>
      <c r="D3422">
        <v>0</v>
      </c>
      <c r="E3422" t="s">
        <v>389</v>
      </c>
    </row>
    <row r="3423" spans="1:5" x14ac:dyDescent="0.25">
      <c r="A3423">
        <v>16048</v>
      </c>
      <c r="B3423" t="str">
        <f t="shared" si="54"/>
        <v>16048</v>
      </c>
      <c r="C3423" t="s">
        <v>1212</v>
      </c>
      <c r="D3423">
        <v>0</v>
      </c>
      <c r="E3423" t="s">
        <v>389</v>
      </c>
    </row>
    <row r="3424" spans="1:5" x14ac:dyDescent="0.25">
      <c r="A3424">
        <v>16048</v>
      </c>
      <c r="B3424" t="str">
        <f t="shared" si="54"/>
        <v>16048</v>
      </c>
      <c r="C3424" t="s">
        <v>1216</v>
      </c>
      <c r="D3424">
        <v>0</v>
      </c>
      <c r="E3424" t="s">
        <v>389</v>
      </c>
    </row>
    <row r="3425" spans="1:5" x14ac:dyDescent="0.25">
      <c r="A3425">
        <v>16048</v>
      </c>
      <c r="B3425" t="str">
        <f t="shared" si="54"/>
        <v>16048</v>
      </c>
      <c r="C3425" t="s">
        <v>1198</v>
      </c>
      <c r="D3425">
        <v>11</v>
      </c>
      <c r="E3425" t="s">
        <v>389</v>
      </c>
    </row>
    <row r="3426" spans="1:5" x14ac:dyDescent="0.25">
      <c r="A3426" t="s">
        <v>613</v>
      </c>
      <c r="B3426" t="str">
        <f t="shared" si="54"/>
        <v>05903</v>
      </c>
      <c r="C3426" t="s">
        <v>1193</v>
      </c>
      <c r="D3426">
        <v>0</v>
      </c>
      <c r="E3426" t="s">
        <v>1235</v>
      </c>
    </row>
    <row r="3427" spans="1:5" x14ac:dyDescent="0.25">
      <c r="A3427" t="s">
        <v>613</v>
      </c>
      <c r="B3427" t="str">
        <f t="shared" si="54"/>
        <v>05903</v>
      </c>
      <c r="C3427" t="s">
        <v>1194</v>
      </c>
      <c r="D3427">
        <v>24.2</v>
      </c>
      <c r="E3427" t="s">
        <v>1235</v>
      </c>
    </row>
    <row r="3428" spans="1:5" x14ac:dyDescent="0.25">
      <c r="A3428" t="s">
        <v>613</v>
      </c>
      <c r="B3428" t="str">
        <f t="shared" si="54"/>
        <v>05903</v>
      </c>
      <c r="C3428" t="s">
        <v>1195</v>
      </c>
      <c r="D3428">
        <v>0</v>
      </c>
      <c r="E3428" t="s">
        <v>1235</v>
      </c>
    </row>
    <row r="3429" spans="1:5" x14ac:dyDescent="0.25">
      <c r="A3429" t="s">
        <v>613</v>
      </c>
      <c r="B3429" t="str">
        <f t="shared" si="54"/>
        <v>05903</v>
      </c>
      <c r="C3429" t="s">
        <v>1197</v>
      </c>
      <c r="D3429">
        <v>7.8</v>
      </c>
      <c r="E3429" t="s">
        <v>1235</v>
      </c>
    </row>
    <row r="3430" spans="1:5" x14ac:dyDescent="0.25">
      <c r="A3430" t="s">
        <v>613</v>
      </c>
      <c r="B3430" t="str">
        <f t="shared" si="54"/>
        <v>05903</v>
      </c>
      <c r="C3430" t="s">
        <v>1202</v>
      </c>
      <c r="D3430">
        <v>0</v>
      </c>
      <c r="E3430" t="s">
        <v>1235</v>
      </c>
    </row>
    <row r="3431" spans="1:5" x14ac:dyDescent="0.25">
      <c r="A3431" t="s">
        <v>613</v>
      </c>
      <c r="B3431" t="str">
        <f t="shared" si="54"/>
        <v>05903</v>
      </c>
      <c r="C3431" t="s">
        <v>1206</v>
      </c>
      <c r="D3431">
        <v>17.8</v>
      </c>
      <c r="E3431" t="s">
        <v>1235</v>
      </c>
    </row>
    <row r="3432" spans="1:5" x14ac:dyDescent="0.25">
      <c r="A3432" t="s">
        <v>613</v>
      </c>
      <c r="B3432" t="str">
        <f t="shared" si="54"/>
        <v>05903</v>
      </c>
      <c r="C3432" t="s">
        <v>1199</v>
      </c>
      <c r="D3432">
        <v>0</v>
      </c>
      <c r="E3432" t="s">
        <v>1235</v>
      </c>
    </row>
    <row r="3433" spans="1:5" x14ac:dyDescent="0.25">
      <c r="A3433" t="s">
        <v>613</v>
      </c>
      <c r="B3433" t="str">
        <f t="shared" si="54"/>
        <v>05903</v>
      </c>
      <c r="C3433" t="s">
        <v>1203</v>
      </c>
      <c r="D3433">
        <v>14.6</v>
      </c>
      <c r="E3433" t="s">
        <v>1235</v>
      </c>
    </row>
    <row r="3434" spans="1:5" x14ac:dyDescent="0.25">
      <c r="A3434" t="s">
        <v>613</v>
      </c>
      <c r="B3434" t="str">
        <f t="shared" si="54"/>
        <v>05903</v>
      </c>
      <c r="C3434" t="s">
        <v>1200</v>
      </c>
      <c r="D3434">
        <v>0</v>
      </c>
      <c r="E3434" t="s">
        <v>1235</v>
      </c>
    </row>
    <row r="3435" spans="1:5" x14ac:dyDescent="0.25">
      <c r="A3435" t="s">
        <v>613</v>
      </c>
      <c r="B3435" t="str">
        <f t="shared" si="54"/>
        <v>05903</v>
      </c>
      <c r="C3435" t="s">
        <v>1204</v>
      </c>
      <c r="D3435">
        <v>37.18</v>
      </c>
      <c r="E3435" t="s">
        <v>1235</v>
      </c>
    </row>
    <row r="3436" spans="1:5" x14ac:dyDescent="0.25">
      <c r="A3436" t="s">
        <v>613</v>
      </c>
      <c r="B3436" t="str">
        <f t="shared" si="54"/>
        <v>05903</v>
      </c>
      <c r="C3436" t="s">
        <v>1207</v>
      </c>
      <c r="D3436">
        <v>0</v>
      </c>
      <c r="E3436" t="s">
        <v>1235</v>
      </c>
    </row>
    <row r="3437" spans="1:5" x14ac:dyDescent="0.25">
      <c r="A3437" t="s">
        <v>613</v>
      </c>
      <c r="B3437" t="str">
        <f t="shared" si="54"/>
        <v>05903</v>
      </c>
      <c r="C3437" t="s">
        <v>1208</v>
      </c>
      <c r="D3437">
        <v>0</v>
      </c>
      <c r="E3437" t="s">
        <v>1235</v>
      </c>
    </row>
    <row r="3438" spans="1:5" x14ac:dyDescent="0.25">
      <c r="A3438" t="s">
        <v>613</v>
      </c>
      <c r="B3438" t="str">
        <f t="shared" si="54"/>
        <v>05903</v>
      </c>
      <c r="C3438" t="s">
        <v>1210</v>
      </c>
      <c r="D3438">
        <v>0</v>
      </c>
      <c r="E3438" t="s">
        <v>1235</v>
      </c>
    </row>
    <row r="3439" spans="1:5" x14ac:dyDescent="0.25">
      <c r="A3439" t="s">
        <v>613</v>
      </c>
      <c r="B3439" t="str">
        <f t="shared" si="54"/>
        <v>05903</v>
      </c>
      <c r="C3439" t="s">
        <v>1212</v>
      </c>
      <c r="D3439">
        <v>0</v>
      </c>
      <c r="E3439" t="s">
        <v>1235</v>
      </c>
    </row>
    <row r="3440" spans="1:5" x14ac:dyDescent="0.25">
      <c r="A3440" t="s">
        <v>613</v>
      </c>
      <c r="B3440" t="str">
        <f t="shared" si="54"/>
        <v>05903</v>
      </c>
      <c r="C3440" t="s">
        <v>1216</v>
      </c>
      <c r="D3440">
        <v>0</v>
      </c>
      <c r="E3440" t="s">
        <v>1235</v>
      </c>
    </row>
    <row r="3441" spans="1:5" x14ac:dyDescent="0.25">
      <c r="A3441" t="s">
        <v>613</v>
      </c>
      <c r="B3441" t="str">
        <f t="shared" si="54"/>
        <v>05903</v>
      </c>
      <c r="C3441" t="s">
        <v>1198</v>
      </c>
      <c r="D3441">
        <v>9</v>
      </c>
      <c r="E3441" t="s">
        <v>1235</v>
      </c>
    </row>
    <row r="3442" spans="1:5" x14ac:dyDescent="0.25">
      <c r="A3442" s="34" t="s">
        <v>31</v>
      </c>
      <c r="B3442" t="str">
        <f t="shared" si="54"/>
        <v>05402</v>
      </c>
      <c r="C3442" t="s">
        <v>1193</v>
      </c>
      <c r="D3442">
        <v>0</v>
      </c>
      <c r="E3442" t="s">
        <v>327</v>
      </c>
    </row>
    <row r="3443" spans="1:5" x14ac:dyDescent="0.25">
      <c r="A3443" s="34" t="s">
        <v>31</v>
      </c>
      <c r="B3443" t="str">
        <f t="shared" si="54"/>
        <v>05402</v>
      </c>
      <c r="C3443" t="s">
        <v>1194</v>
      </c>
      <c r="D3443">
        <v>208.31</v>
      </c>
      <c r="E3443" t="s">
        <v>327</v>
      </c>
    </row>
    <row r="3444" spans="1:5" x14ac:dyDescent="0.25">
      <c r="A3444" s="34" t="s">
        <v>31</v>
      </c>
      <c r="B3444" t="str">
        <f t="shared" si="54"/>
        <v>05402</v>
      </c>
      <c r="C3444" t="s">
        <v>1195</v>
      </c>
      <c r="D3444">
        <v>0</v>
      </c>
      <c r="E3444" t="s">
        <v>327</v>
      </c>
    </row>
    <row r="3445" spans="1:5" x14ac:dyDescent="0.25">
      <c r="A3445" s="34" t="s">
        <v>31</v>
      </c>
      <c r="B3445" t="str">
        <f t="shared" si="54"/>
        <v>05402</v>
      </c>
      <c r="C3445" t="s">
        <v>1197</v>
      </c>
      <c r="D3445">
        <v>63.52</v>
      </c>
      <c r="E3445" t="s">
        <v>327</v>
      </c>
    </row>
    <row r="3446" spans="1:5" x14ac:dyDescent="0.25">
      <c r="A3446" s="34" t="s">
        <v>31</v>
      </c>
      <c r="B3446" t="str">
        <f t="shared" si="54"/>
        <v>05402</v>
      </c>
      <c r="C3446" t="s">
        <v>1202</v>
      </c>
      <c r="D3446">
        <v>0</v>
      </c>
      <c r="E3446" t="s">
        <v>327</v>
      </c>
    </row>
    <row r="3447" spans="1:5" x14ac:dyDescent="0.25">
      <c r="A3447" s="34" t="s">
        <v>31</v>
      </c>
      <c r="B3447" t="str">
        <f t="shared" si="54"/>
        <v>05402</v>
      </c>
      <c r="C3447" t="s">
        <v>1206</v>
      </c>
      <c r="D3447">
        <v>120.14</v>
      </c>
      <c r="E3447" t="s">
        <v>327</v>
      </c>
    </row>
    <row r="3448" spans="1:5" x14ac:dyDescent="0.25">
      <c r="A3448" s="34" t="s">
        <v>31</v>
      </c>
      <c r="B3448" t="str">
        <f t="shared" si="54"/>
        <v>05402</v>
      </c>
      <c r="C3448" t="s">
        <v>1199</v>
      </c>
      <c r="D3448">
        <v>0</v>
      </c>
      <c r="E3448" t="s">
        <v>327</v>
      </c>
    </row>
    <row r="3449" spans="1:5" x14ac:dyDescent="0.25">
      <c r="A3449" s="34" t="s">
        <v>31</v>
      </c>
      <c r="B3449" t="str">
        <f t="shared" si="54"/>
        <v>05402</v>
      </c>
      <c r="C3449" t="s">
        <v>1203</v>
      </c>
      <c r="D3449">
        <v>116.2</v>
      </c>
      <c r="E3449" t="s">
        <v>327</v>
      </c>
    </row>
    <row r="3450" spans="1:5" x14ac:dyDescent="0.25">
      <c r="A3450" s="34" t="s">
        <v>31</v>
      </c>
      <c r="B3450" t="str">
        <f t="shared" si="54"/>
        <v>05402</v>
      </c>
      <c r="C3450" t="s">
        <v>1200</v>
      </c>
      <c r="D3450">
        <v>0</v>
      </c>
      <c r="E3450" t="s">
        <v>327</v>
      </c>
    </row>
    <row r="3451" spans="1:5" x14ac:dyDescent="0.25">
      <c r="A3451" s="34" t="s">
        <v>31</v>
      </c>
      <c r="B3451" t="str">
        <f t="shared" si="54"/>
        <v>05402</v>
      </c>
      <c r="C3451" t="s">
        <v>1204</v>
      </c>
      <c r="D3451">
        <v>213.66</v>
      </c>
      <c r="E3451" t="s">
        <v>327</v>
      </c>
    </row>
    <row r="3452" spans="1:5" x14ac:dyDescent="0.25">
      <c r="A3452" s="34" t="s">
        <v>31</v>
      </c>
      <c r="B3452" t="str">
        <f t="shared" si="54"/>
        <v>05402</v>
      </c>
      <c r="C3452" t="s">
        <v>1207</v>
      </c>
      <c r="D3452">
        <v>11.87</v>
      </c>
      <c r="E3452" t="s">
        <v>327</v>
      </c>
    </row>
    <row r="3453" spans="1:5" x14ac:dyDescent="0.25">
      <c r="A3453" s="34" t="s">
        <v>31</v>
      </c>
      <c r="B3453" t="str">
        <f t="shared" si="54"/>
        <v>05402</v>
      </c>
      <c r="C3453" t="s">
        <v>1208</v>
      </c>
      <c r="D3453">
        <v>26.58</v>
      </c>
      <c r="E3453" t="s">
        <v>327</v>
      </c>
    </row>
    <row r="3454" spans="1:5" x14ac:dyDescent="0.25">
      <c r="A3454" s="34" t="s">
        <v>31</v>
      </c>
      <c r="B3454" t="str">
        <f t="shared" si="54"/>
        <v>05402</v>
      </c>
      <c r="C3454" t="s">
        <v>1210</v>
      </c>
      <c r="D3454">
        <v>0</v>
      </c>
      <c r="E3454" t="s">
        <v>327</v>
      </c>
    </row>
    <row r="3455" spans="1:5" x14ac:dyDescent="0.25">
      <c r="A3455" s="34" t="s">
        <v>31</v>
      </c>
      <c r="B3455" t="str">
        <f t="shared" si="54"/>
        <v>05402</v>
      </c>
      <c r="C3455" t="s">
        <v>1212</v>
      </c>
      <c r="D3455">
        <v>0</v>
      </c>
      <c r="E3455" t="s">
        <v>327</v>
      </c>
    </row>
    <row r="3456" spans="1:5" x14ac:dyDescent="0.25">
      <c r="A3456" s="34" t="s">
        <v>31</v>
      </c>
      <c r="B3456" t="str">
        <f t="shared" si="54"/>
        <v>05402</v>
      </c>
      <c r="C3456" t="s">
        <v>1216</v>
      </c>
      <c r="D3456">
        <v>16</v>
      </c>
      <c r="E3456" t="s">
        <v>327</v>
      </c>
    </row>
    <row r="3457" spans="1:5" x14ac:dyDescent="0.25">
      <c r="A3457" s="34" t="s">
        <v>31</v>
      </c>
      <c r="B3457" t="str">
        <f t="shared" si="54"/>
        <v>05402</v>
      </c>
      <c r="C3457" t="s">
        <v>1198</v>
      </c>
      <c r="D3457">
        <v>78.91</v>
      </c>
      <c r="E3457" t="s">
        <v>327</v>
      </c>
    </row>
    <row r="3458" spans="1:5" x14ac:dyDescent="0.25">
      <c r="A3458" s="34">
        <v>13144</v>
      </c>
      <c r="B3458" t="str">
        <f t="shared" si="54"/>
        <v>13144</v>
      </c>
      <c r="C3458" t="s">
        <v>1193</v>
      </c>
      <c r="D3458">
        <v>0</v>
      </c>
      <c r="E3458" t="s">
        <v>362</v>
      </c>
    </row>
    <row r="3459" spans="1:5" x14ac:dyDescent="0.25">
      <c r="A3459" s="34">
        <v>13144</v>
      </c>
      <c r="B3459" t="str">
        <f t="shared" ref="B3459:B3522" si="55">TEXT(A3459,"00000")</f>
        <v>13144</v>
      </c>
      <c r="C3459" t="s">
        <v>1194</v>
      </c>
      <c r="D3459">
        <v>677.27</v>
      </c>
      <c r="E3459" t="s">
        <v>362</v>
      </c>
    </row>
    <row r="3460" spans="1:5" x14ac:dyDescent="0.25">
      <c r="A3460" s="34">
        <v>13144</v>
      </c>
      <c r="B3460" t="str">
        <f t="shared" si="55"/>
        <v>13144</v>
      </c>
      <c r="C3460" t="s">
        <v>1195</v>
      </c>
      <c r="D3460">
        <v>0</v>
      </c>
      <c r="E3460" t="s">
        <v>362</v>
      </c>
    </row>
    <row r="3461" spans="1:5" x14ac:dyDescent="0.25">
      <c r="A3461" s="34">
        <v>13144</v>
      </c>
      <c r="B3461" t="str">
        <f t="shared" si="55"/>
        <v>13144</v>
      </c>
      <c r="C3461" t="s">
        <v>1197</v>
      </c>
      <c r="D3461">
        <v>237.65</v>
      </c>
      <c r="E3461" t="s">
        <v>362</v>
      </c>
    </row>
    <row r="3462" spans="1:5" x14ac:dyDescent="0.25">
      <c r="A3462" s="34">
        <v>13144</v>
      </c>
      <c r="B3462" t="str">
        <f t="shared" si="55"/>
        <v>13144</v>
      </c>
      <c r="C3462" t="s">
        <v>1202</v>
      </c>
      <c r="D3462">
        <v>0</v>
      </c>
      <c r="E3462" t="s">
        <v>362</v>
      </c>
    </row>
    <row r="3463" spans="1:5" x14ac:dyDescent="0.25">
      <c r="A3463" s="34">
        <v>13144</v>
      </c>
      <c r="B3463" t="str">
        <f t="shared" si="55"/>
        <v>13144</v>
      </c>
      <c r="C3463" t="s">
        <v>1206</v>
      </c>
      <c r="D3463">
        <v>450.45</v>
      </c>
      <c r="E3463" t="s">
        <v>362</v>
      </c>
    </row>
    <row r="3464" spans="1:5" x14ac:dyDescent="0.25">
      <c r="A3464" s="34">
        <v>13144</v>
      </c>
      <c r="B3464" t="str">
        <f t="shared" si="55"/>
        <v>13144</v>
      </c>
      <c r="C3464" t="s">
        <v>1199</v>
      </c>
      <c r="D3464">
        <v>0</v>
      </c>
      <c r="E3464" t="s">
        <v>362</v>
      </c>
    </row>
    <row r="3465" spans="1:5" x14ac:dyDescent="0.25">
      <c r="A3465" s="34">
        <v>13144</v>
      </c>
      <c r="B3465" t="str">
        <f t="shared" si="55"/>
        <v>13144</v>
      </c>
      <c r="C3465" t="s">
        <v>1203</v>
      </c>
      <c r="D3465">
        <v>516.04</v>
      </c>
      <c r="E3465" t="s">
        <v>362</v>
      </c>
    </row>
    <row r="3466" spans="1:5" x14ac:dyDescent="0.25">
      <c r="A3466" s="34">
        <v>13144</v>
      </c>
      <c r="B3466" t="str">
        <f t="shared" si="55"/>
        <v>13144</v>
      </c>
      <c r="C3466" t="s">
        <v>1200</v>
      </c>
      <c r="D3466">
        <v>0</v>
      </c>
      <c r="E3466" t="s">
        <v>362</v>
      </c>
    </row>
    <row r="3467" spans="1:5" x14ac:dyDescent="0.25">
      <c r="A3467" s="34">
        <v>13144</v>
      </c>
      <c r="B3467" t="str">
        <f t="shared" si="55"/>
        <v>13144</v>
      </c>
      <c r="C3467" t="s">
        <v>1204</v>
      </c>
      <c r="D3467">
        <v>885.54</v>
      </c>
      <c r="E3467" t="s">
        <v>362</v>
      </c>
    </row>
    <row r="3468" spans="1:5" x14ac:dyDescent="0.25">
      <c r="A3468" s="34">
        <v>13144</v>
      </c>
      <c r="B3468" t="str">
        <f t="shared" si="55"/>
        <v>13144</v>
      </c>
      <c r="C3468" t="s">
        <v>1207</v>
      </c>
      <c r="D3468">
        <v>49.25</v>
      </c>
      <c r="E3468" t="s">
        <v>362</v>
      </c>
    </row>
    <row r="3469" spans="1:5" x14ac:dyDescent="0.25">
      <c r="A3469" s="34">
        <v>13144</v>
      </c>
      <c r="B3469" t="str">
        <f t="shared" si="55"/>
        <v>13144</v>
      </c>
      <c r="C3469" t="s">
        <v>1208</v>
      </c>
      <c r="D3469">
        <v>274.08</v>
      </c>
      <c r="E3469" t="s">
        <v>362</v>
      </c>
    </row>
    <row r="3470" spans="1:5" x14ac:dyDescent="0.25">
      <c r="A3470" s="34">
        <v>13144</v>
      </c>
      <c r="B3470" t="str">
        <f t="shared" si="55"/>
        <v>13144</v>
      </c>
      <c r="C3470" t="s">
        <v>1210</v>
      </c>
      <c r="D3470">
        <v>0</v>
      </c>
      <c r="E3470" t="s">
        <v>362</v>
      </c>
    </row>
    <row r="3471" spans="1:5" x14ac:dyDescent="0.25">
      <c r="A3471" s="34">
        <v>13144</v>
      </c>
      <c r="B3471" t="str">
        <f t="shared" si="55"/>
        <v>13144</v>
      </c>
      <c r="C3471" t="s">
        <v>1212</v>
      </c>
      <c r="D3471">
        <v>0</v>
      </c>
      <c r="E3471" t="s">
        <v>362</v>
      </c>
    </row>
    <row r="3472" spans="1:5" x14ac:dyDescent="0.25">
      <c r="A3472" s="34">
        <v>13144</v>
      </c>
      <c r="B3472" t="str">
        <f t="shared" si="55"/>
        <v>13144</v>
      </c>
      <c r="C3472" t="s">
        <v>1216</v>
      </c>
      <c r="D3472">
        <v>38.200000000000003</v>
      </c>
      <c r="E3472" t="s">
        <v>362</v>
      </c>
    </row>
    <row r="3473" spans="1:5" x14ac:dyDescent="0.25">
      <c r="A3473" s="34">
        <v>13144</v>
      </c>
      <c r="B3473" t="str">
        <f t="shared" si="55"/>
        <v>13144</v>
      </c>
      <c r="C3473" t="s">
        <v>1198</v>
      </c>
      <c r="D3473">
        <v>215.02</v>
      </c>
      <c r="E3473" t="s">
        <v>362</v>
      </c>
    </row>
    <row r="3474" spans="1:5" x14ac:dyDescent="0.25">
      <c r="A3474">
        <v>17908</v>
      </c>
      <c r="B3474" t="str">
        <f t="shared" si="55"/>
        <v>17908</v>
      </c>
      <c r="C3474" t="s">
        <v>1193</v>
      </c>
      <c r="D3474">
        <v>0</v>
      </c>
      <c r="E3474" t="s">
        <v>1236</v>
      </c>
    </row>
    <row r="3475" spans="1:5" x14ac:dyDescent="0.25">
      <c r="A3475">
        <v>17908</v>
      </c>
      <c r="B3475" t="str">
        <f t="shared" si="55"/>
        <v>17908</v>
      </c>
      <c r="C3475" t="s">
        <v>1194</v>
      </c>
      <c r="D3475">
        <v>0</v>
      </c>
      <c r="E3475" t="s">
        <v>1236</v>
      </c>
    </row>
    <row r="3476" spans="1:5" x14ac:dyDescent="0.25">
      <c r="A3476">
        <v>17908</v>
      </c>
      <c r="B3476" t="str">
        <f t="shared" si="55"/>
        <v>17908</v>
      </c>
      <c r="C3476" t="s">
        <v>1195</v>
      </c>
      <c r="D3476">
        <v>0</v>
      </c>
      <c r="E3476" t="s">
        <v>1236</v>
      </c>
    </row>
    <row r="3477" spans="1:5" x14ac:dyDescent="0.25">
      <c r="A3477">
        <v>17908</v>
      </c>
      <c r="B3477" t="str">
        <f t="shared" si="55"/>
        <v>17908</v>
      </c>
      <c r="C3477" t="s">
        <v>1197</v>
      </c>
      <c r="D3477">
        <v>0</v>
      </c>
      <c r="E3477" t="s">
        <v>1236</v>
      </c>
    </row>
    <row r="3478" spans="1:5" x14ac:dyDescent="0.25">
      <c r="A3478">
        <v>17908</v>
      </c>
      <c r="B3478" t="str">
        <f t="shared" si="55"/>
        <v>17908</v>
      </c>
      <c r="C3478" t="s">
        <v>1202</v>
      </c>
      <c r="D3478">
        <v>0</v>
      </c>
      <c r="E3478" t="s">
        <v>1236</v>
      </c>
    </row>
    <row r="3479" spans="1:5" x14ac:dyDescent="0.25">
      <c r="A3479">
        <v>17908</v>
      </c>
      <c r="B3479" t="str">
        <f t="shared" si="55"/>
        <v>17908</v>
      </c>
      <c r="C3479" t="s">
        <v>1206</v>
      </c>
      <c r="D3479">
        <v>180.4</v>
      </c>
      <c r="E3479" t="s">
        <v>1236</v>
      </c>
    </row>
    <row r="3480" spans="1:5" x14ac:dyDescent="0.25">
      <c r="A3480">
        <v>17908</v>
      </c>
      <c r="B3480" t="str">
        <f t="shared" si="55"/>
        <v>17908</v>
      </c>
      <c r="C3480" t="s">
        <v>1199</v>
      </c>
      <c r="D3480">
        <v>0</v>
      </c>
      <c r="E3480" t="s">
        <v>1236</v>
      </c>
    </row>
    <row r="3481" spans="1:5" x14ac:dyDescent="0.25">
      <c r="A3481">
        <v>17908</v>
      </c>
      <c r="B3481" t="str">
        <f t="shared" si="55"/>
        <v>17908</v>
      </c>
      <c r="C3481" t="s">
        <v>1203</v>
      </c>
      <c r="D3481">
        <v>179.6</v>
      </c>
      <c r="E3481" t="s">
        <v>1236</v>
      </c>
    </row>
    <row r="3482" spans="1:5" x14ac:dyDescent="0.25">
      <c r="A3482">
        <v>17908</v>
      </c>
      <c r="B3482" t="str">
        <f t="shared" si="55"/>
        <v>17908</v>
      </c>
      <c r="C3482" t="s">
        <v>1200</v>
      </c>
      <c r="D3482">
        <v>0</v>
      </c>
      <c r="E3482" t="s">
        <v>1236</v>
      </c>
    </row>
    <row r="3483" spans="1:5" x14ac:dyDescent="0.25">
      <c r="A3483">
        <v>17908</v>
      </c>
      <c r="B3483" t="str">
        <f t="shared" si="55"/>
        <v>17908</v>
      </c>
      <c r="C3483" t="s">
        <v>1204</v>
      </c>
      <c r="D3483">
        <v>0</v>
      </c>
      <c r="E3483" t="s">
        <v>1236</v>
      </c>
    </row>
    <row r="3484" spans="1:5" x14ac:dyDescent="0.25">
      <c r="A3484">
        <v>17908</v>
      </c>
      <c r="B3484" t="str">
        <f t="shared" si="55"/>
        <v>17908</v>
      </c>
      <c r="C3484" t="s">
        <v>1207</v>
      </c>
      <c r="D3484">
        <v>0</v>
      </c>
      <c r="E3484" t="s">
        <v>1236</v>
      </c>
    </row>
    <row r="3485" spans="1:5" x14ac:dyDescent="0.25">
      <c r="A3485">
        <v>17908</v>
      </c>
      <c r="B3485" t="str">
        <f t="shared" si="55"/>
        <v>17908</v>
      </c>
      <c r="C3485" t="s">
        <v>1208</v>
      </c>
      <c r="D3485">
        <v>0</v>
      </c>
      <c r="E3485" t="s">
        <v>1236</v>
      </c>
    </row>
    <row r="3486" spans="1:5" x14ac:dyDescent="0.25">
      <c r="A3486">
        <v>17908</v>
      </c>
      <c r="B3486" t="str">
        <f t="shared" si="55"/>
        <v>17908</v>
      </c>
      <c r="C3486" t="s">
        <v>1210</v>
      </c>
      <c r="D3486">
        <v>0</v>
      </c>
      <c r="E3486" t="s">
        <v>1236</v>
      </c>
    </row>
    <row r="3487" spans="1:5" x14ac:dyDescent="0.25">
      <c r="A3487">
        <v>17908</v>
      </c>
      <c r="B3487" t="str">
        <f t="shared" si="55"/>
        <v>17908</v>
      </c>
      <c r="C3487" t="s">
        <v>1212</v>
      </c>
      <c r="D3487">
        <v>0</v>
      </c>
      <c r="E3487" t="s">
        <v>1236</v>
      </c>
    </row>
    <row r="3488" spans="1:5" x14ac:dyDescent="0.25">
      <c r="A3488">
        <v>17908</v>
      </c>
      <c r="B3488" t="str">
        <f t="shared" si="55"/>
        <v>17908</v>
      </c>
      <c r="C3488" t="s">
        <v>1216</v>
      </c>
      <c r="D3488">
        <v>0</v>
      </c>
      <c r="E3488" t="s">
        <v>1236</v>
      </c>
    </row>
    <row r="3489" spans="1:5" x14ac:dyDescent="0.25">
      <c r="A3489">
        <v>17908</v>
      </c>
      <c r="B3489" t="str">
        <f t="shared" si="55"/>
        <v>17908</v>
      </c>
      <c r="C3489" t="s">
        <v>1198</v>
      </c>
      <c r="D3489">
        <v>0</v>
      </c>
      <c r="E3489" t="s">
        <v>1236</v>
      </c>
    </row>
    <row r="3490" spans="1:5" x14ac:dyDescent="0.25">
      <c r="A3490">
        <v>34307</v>
      </c>
      <c r="B3490" t="str">
        <f t="shared" si="55"/>
        <v>34307</v>
      </c>
      <c r="C3490" t="s">
        <v>1193</v>
      </c>
      <c r="D3490">
        <v>0</v>
      </c>
      <c r="E3490" t="s">
        <v>552</v>
      </c>
    </row>
    <row r="3491" spans="1:5" x14ac:dyDescent="0.25">
      <c r="A3491">
        <v>34307</v>
      </c>
      <c r="B3491" t="str">
        <f t="shared" si="55"/>
        <v>34307</v>
      </c>
      <c r="C3491" t="s">
        <v>1194</v>
      </c>
      <c r="D3491">
        <v>220.03</v>
      </c>
      <c r="E3491" t="s">
        <v>552</v>
      </c>
    </row>
    <row r="3492" spans="1:5" x14ac:dyDescent="0.25">
      <c r="A3492">
        <v>34307</v>
      </c>
      <c r="B3492" t="str">
        <f t="shared" si="55"/>
        <v>34307</v>
      </c>
      <c r="C3492" t="s">
        <v>1195</v>
      </c>
      <c r="D3492">
        <v>0</v>
      </c>
      <c r="E3492" t="s">
        <v>552</v>
      </c>
    </row>
    <row r="3493" spans="1:5" x14ac:dyDescent="0.25">
      <c r="A3493">
        <v>34307</v>
      </c>
      <c r="B3493" t="str">
        <f t="shared" si="55"/>
        <v>34307</v>
      </c>
      <c r="C3493" t="s">
        <v>1197</v>
      </c>
      <c r="D3493">
        <v>76</v>
      </c>
      <c r="E3493" t="s">
        <v>552</v>
      </c>
    </row>
    <row r="3494" spans="1:5" x14ac:dyDescent="0.25">
      <c r="A3494">
        <v>34307</v>
      </c>
      <c r="B3494" t="str">
        <f t="shared" si="55"/>
        <v>34307</v>
      </c>
      <c r="C3494" t="s">
        <v>1202</v>
      </c>
      <c r="D3494">
        <v>0</v>
      </c>
      <c r="E3494" t="s">
        <v>552</v>
      </c>
    </row>
    <row r="3495" spans="1:5" x14ac:dyDescent="0.25">
      <c r="A3495">
        <v>34307</v>
      </c>
      <c r="B3495" t="str">
        <f t="shared" si="55"/>
        <v>34307</v>
      </c>
      <c r="C3495" t="s">
        <v>1206</v>
      </c>
      <c r="D3495">
        <v>148.72</v>
      </c>
      <c r="E3495" t="s">
        <v>552</v>
      </c>
    </row>
    <row r="3496" spans="1:5" x14ac:dyDescent="0.25">
      <c r="A3496">
        <v>34307</v>
      </c>
      <c r="B3496" t="str">
        <f t="shared" si="55"/>
        <v>34307</v>
      </c>
      <c r="C3496" t="s">
        <v>1199</v>
      </c>
      <c r="D3496">
        <v>0</v>
      </c>
      <c r="E3496" t="s">
        <v>552</v>
      </c>
    </row>
    <row r="3497" spans="1:5" x14ac:dyDescent="0.25">
      <c r="A3497">
        <v>34307</v>
      </c>
      <c r="B3497" t="str">
        <f t="shared" si="55"/>
        <v>34307</v>
      </c>
      <c r="C3497" t="s">
        <v>1203</v>
      </c>
      <c r="D3497">
        <v>170.7</v>
      </c>
      <c r="E3497" t="s">
        <v>552</v>
      </c>
    </row>
    <row r="3498" spans="1:5" x14ac:dyDescent="0.25">
      <c r="A3498">
        <v>34307</v>
      </c>
      <c r="B3498" t="str">
        <f t="shared" si="55"/>
        <v>34307</v>
      </c>
      <c r="C3498" t="s">
        <v>1200</v>
      </c>
      <c r="D3498">
        <v>0</v>
      </c>
      <c r="E3498" t="s">
        <v>552</v>
      </c>
    </row>
    <row r="3499" spans="1:5" x14ac:dyDescent="0.25">
      <c r="A3499">
        <v>34307</v>
      </c>
      <c r="B3499" t="str">
        <f t="shared" si="55"/>
        <v>34307</v>
      </c>
      <c r="C3499" t="s">
        <v>1204</v>
      </c>
      <c r="D3499">
        <v>261.98</v>
      </c>
      <c r="E3499" t="s">
        <v>552</v>
      </c>
    </row>
    <row r="3500" spans="1:5" x14ac:dyDescent="0.25">
      <c r="A3500">
        <v>34307</v>
      </c>
      <c r="B3500" t="str">
        <f t="shared" si="55"/>
        <v>34307</v>
      </c>
      <c r="C3500" t="s">
        <v>1207</v>
      </c>
      <c r="D3500">
        <v>13.28</v>
      </c>
      <c r="E3500" t="s">
        <v>552</v>
      </c>
    </row>
    <row r="3501" spans="1:5" x14ac:dyDescent="0.25">
      <c r="A3501">
        <v>34307</v>
      </c>
      <c r="B3501" t="str">
        <f t="shared" si="55"/>
        <v>34307</v>
      </c>
      <c r="C3501" t="s">
        <v>1208</v>
      </c>
      <c r="D3501">
        <v>80.099999999999994</v>
      </c>
      <c r="E3501" t="s">
        <v>552</v>
      </c>
    </row>
    <row r="3502" spans="1:5" x14ac:dyDescent="0.25">
      <c r="A3502">
        <v>34307</v>
      </c>
      <c r="B3502" t="str">
        <f t="shared" si="55"/>
        <v>34307</v>
      </c>
      <c r="C3502" t="s">
        <v>1210</v>
      </c>
      <c r="D3502">
        <v>0</v>
      </c>
      <c r="E3502" t="s">
        <v>552</v>
      </c>
    </row>
    <row r="3503" spans="1:5" x14ac:dyDescent="0.25">
      <c r="A3503">
        <v>34307</v>
      </c>
      <c r="B3503" t="str">
        <f t="shared" si="55"/>
        <v>34307</v>
      </c>
      <c r="C3503" t="s">
        <v>1212</v>
      </c>
      <c r="D3503">
        <v>0</v>
      </c>
      <c r="E3503" t="s">
        <v>552</v>
      </c>
    </row>
    <row r="3504" spans="1:5" x14ac:dyDescent="0.25">
      <c r="A3504">
        <v>34307</v>
      </c>
      <c r="B3504" t="str">
        <f t="shared" si="55"/>
        <v>34307</v>
      </c>
      <c r="C3504" t="s">
        <v>1216</v>
      </c>
      <c r="D3504">
        <v>0</v>
      </c>
      <c r="E3504" t="s">
        <v>552</v>
      </c>
    </row>
    <row r="3505" spans="1:5" x14ac:dyDescent="0.25">
      <c r="A3505">
        <v>34307</v>
      </c>
      <c r="B3505" t="str">
        <f t="shared" si="55"/>
        <v>34307</v>
      </c>
      <c r="C3505" t="s">
        <v>1198</v>
      </c>
      <c r="D3505">
        <v>71.599999999999994</v>
      </c>
      <c r="E3505" t="s">
        <v>552</v>
      </c>
    </row>
    <row r="3506" spans="1:5" x14ac:dyDescent="0.25">
      <c r="A3506">
        <v>17910</v>
      </c>
      <c r="B3506" t="str">
        <f t="shared" si="55"/>
        <v>17910</v>
      </c>
      <c r="C3506" t="s">
        <v>1193</v>
      </c>
      <c r="D3506">
        <v>0</v>
      </c>
      <c r="E3506" t="s">
        <v>1237</v>
      </c>
    </row>
    <row r="3507" spans="1:5" x14ac:dyDescent="0.25">
      <c r="A3507">
        <v>17910</v>
      </c>
      <c r="B3507" t="str">
        <f t="shared" si="55"/>
        <v>17910</v>
      </c>
      <c r="C3507" t="s">
        <v>1194</v>
      </c>
      <c r="D3507">
        <v>0</v>
      </c>
      <c r="E3507" t="s">
        <v>1237</v>
      </c>
    </row>
    <row r="3508" spans="1:5" x14ac:dyDescent="0.25">
      <c r="A3508">
        <v>17910</v>
      </c>
      <c r="B3508" t="str">
        <f t="shared" si="55"/>
        <v>17910</v>
      </c>
      <c r="C3508" t="s">
        <v>1195</v>
      </c>
      <c r="D3508">
        <v>0</v>
      </c>
      <c r="E3508" t="s">
        <v>1237</v>
      </c>
    </row>
    <row r="3509" spans="1:5" x14ac:dyDescent="0.25">
      <c r="A3509">
        <v>17910</v>
      </c>
      <c r="B3509" t="str">
        <f t="shared" si="55"/>
        <v>17910</v>
      </c>
      <c r="C3509" t="s">
        <v>1197</v>
      </c>
      <c r="D3509">
        <v>0</v>
      </c>
      <c r="E3509" t="s">
        <v>1237</v>
      </c>
    </row>
    <row r="3510" spans="1:5" x14ac:dyDescent="0.25">
      <c r="A3510">
        <v>17910</v>
      </c>
      <c r="B3510" t="str">
        <f t="shared" si="55"/>
        <v>17910</v>
      </c>
      <c r="C3510" t="s">
        <v>1202</v>
      </c>
      <c r="D3510">
        <v>0</v>
      </c>
      <c r="E3510" t="s">
        <v>1237</v>
      </c>
    </row>
    <row r="3511" spans="1:5" x14ac:dyDescent="0.25">
      <c r="A3511">
        <v>17910</v>
      </c>
      <c r="B3511" t="str">
        <f t="shared" si="55"/>
        <v>17910</v>
      </c>
      <c r="C3511" t="s">
        <v>1206</v>
      </c>
      <c r="D3511">
        <v>26.4</v>
      </c>
      <c r="E3511" t="s">
        <v>1237</v>
      </c>
    </row>
    <row r="3512" spans="1:5" x14ac:dyDescent="0.25">
      <c r="A3512">
        <v>17910</v>
      </c>
      <c r="B3512" t="str">
        <f t="shared" si="55"/>
        <v>17910</v>
      </c>
      <c r="C3512" t="s">
        <v>1199</v>
      </c>
      <c r="D3512">
        <v>0</v>
      </c>
      <c r="E3512" t="s">
        <v>1237</v>
      </c>
    </row>
    <row r="3513" spans="1:5" x14ac:dyDescent="0.25">
      <c r="A3513">
        <v>17910</v>
      </c>
      <c r="B3513" t="str">
        <f t="shared" si="55"/>
        <v>17910</v>
      </c>
      <c r="C3513" t="s">
        <v>1203</v>
      </c>
      <c r="D3513">
        <v>43</v>
      </c>
      <c r="E3513" t="s">
        <v>1237</v>
      </c>
    </row>
    <row r="3514" spans="1:5" x14ac:dyDescent="0.25">
      <c r="A3514">
        <v>17910</v>
      </c>
      <c r="B3514" t="str">
        <f t="shared" si="55"/>
        <v>17910</v>
      </c>
      <c r="C3514" t="s">
        <v>1200</v>
      </c>
      <c r="D3514">
        <v>0</v>
      </c>
      <c r="E3514" t="s">
        <v>1237</v>
      </c>
    </row>
    <row r="3515" spans="1:5" x14ac:dyDescent="0.25">
      <c r="A3515">
        <v>17910</v>
      </c>
      <c r="B3515" t="str">
        <f t="shared" si="55"/>
        <v>17910</v>
      </c>
      <c r="C3515" t="s">
        <v>1204</v>
      </c>
      <c r="D3515">
        <v>39.799999999999997</v>
      </c>
      <c r="E3515" t="s">
        <v>1237</v>
      </c>
    </row>
    <row r="3516" spans="1:5" x14ac:dyDescent="0.25">
      <c r="A3516">
        <v>17910</v>
      </c>
      <c r="B3516" t="str">
        <f t="shared" si="55"/>
        <v>17910</v>
      </c>
      <c r="C3516" t="s">
        <v>1207</v>
      </c>
      <c r="D3516">
        <v>0</v>
      </c>
      <c r="E3516" t="s">
        <v>1237</v>
      </c>
    </row>
    <row r="3517" spans="1:5" x14ac:dyDescent="0.25">
      <c r="A3517">
        <v>17910</v>
      </c>
      <c r="B3517" t="str">
        <f t="shared" si="55"/>
        <v>17910</v>
      </c>
      <c r="C3517" t="s">
        <v>1208</v>
      </c>
      <c r="D3517">
        <v>4.42</v>
      </c>
      <c r="E3517" t="s">
        <v>1237</v>
      </c>
    </row>
    <row r="3518" spans="1:5" x14ac:dyDescent="0.25">
      <c r="A3518">
        <v>17910</v>
      </c>
      <c r="B3518" t="str">
        <f t="shared" si="55"/>
        <v>17910</v>
      </c>
      <c r="C3518" t="s">
        <v>1210</v>
      </c>
      <c r="D3518">
        <v>0</v>
      </c>
      <c r="E3518" t="s">
        <v>1237</v>
      </c>
    </row>
    <row r="3519" spans="1:5" x14ac:dyDescent="0.25">
      <c r="A3519">
        <v>17910</v>
      </c>
      <c r="B3519" t="str">
        <f t="shared" si="55"/>
        <v>17910</v>
      </c>
      <c r="C3519" t="s">
        <v>1212</v>
      </c>
      <c r="D3519">
        <v>0</v>
      </c>
      <c r="E3519" t="s">
        <v>1237</v>
      </c>
    </row>
    <row r="3520" spans="1:5" x14ac:dyDescent="0.25">
      <c r="A3520">
        <v>17910</v>
      </c>
      <c r="B3520" t="str">
        <f t="shared" si="55"/>
        <v>17910</v>
      </c>
      <c r="C3520" t="s">
        <v>1216</v>
      </c>
      <c r="D3520">
        <v>0</v>
      </c>
      <c r="E3520" t="s">
        <v>1237</v>
      </c>
    </row>
    <row r="3521" spans="1:5" x14ac:dyDescent="0.25">
      <c r="A3521">
        <v>17910</v>
      </c>
      <c r="B3521" t="str">
        <f t="shared" si="55"/>
        <v>17910</v>
      </c>
      <c r="C3521" t="s">
        <v>1198</v>
      </c>
      <c r="D3521">
        <v>10.8</v>
      </c>
      <c r="E3521" t="s">
        <v>1237</v>
      </c>
    </row>
    <row r="3522" spans="1:5" x14ac:dyDescent="0.25">
      <c r="A3522">
        <v>25116</v>
      </c>
      <c r="B3522" t="str">
        <f t="shared" si="55"/>
        <v>25116</v>
      </c>
      <c r="C3522" t="s">
        <v>1193</v>
      </c>
      <c r="D3522">
        <v>0</v>
      </c>
      <c r="E3522" t="s">
        <v>471</v>
      </c>
    </row>
    <row r="3523" spans="1:5" x14ac:dyDescent="0.25">
      <c r="A3523">
        <v>25116</v>
      </c>
      <c r="B3523" t="str">
        <f t="shared" ref="B3523:B3586" si="56">TEXT(A3523,"00000")</f>
        <v>25116</v>
      </c>
      <c r="C3523" t="s">
        <v>1194</v>
      </c>
      <c r="D3523">
        <v>90</v>
      </c>
      <c r="E3523" t="s">
        <v>471</v>
      </c>
    </row>
    <row r="3524" spans="1:5" x14ac:dyDescent="0.25">
      <c r="A3524">
        <v>25116</v>
      </c>
      <c r="B3524" t="str">
        <f t="shared" si="56"/>
        <v>25116</v>
      </c>
      <c r="C3524" t="s">
        <v>1195</v>
      </c>
      <c r="D3524">
        <v>0</v>
      </c>
      <c r="E3524" t="s">
        <v>471</v>
      </c>
    </row>
    <row r="3525" spans="1:5" x14ac:dyDescent="0.25">
      <c r="A3525">
        <v>25116</v>
      </c>
      <c r="B3525" t="str">
        <f t="shared" si="56"/>
        <v>25116</v>
      </c>
      <c r="C3525" t="s">
        <v>1197</v>
      </c>
      <c r="D3525">
        <v>41.6</v>
      </c>
      <c r="E3525" t="s">
        <v>471</v>
      </c>
    </row>
    <row r="3526" spans="1:5" x14ac:dyDescent="0.25">
      <c r="A3526">
        <v>25116</v>
      </c>
      <c r="B3526" t="str">
        <f t="shared" si="56"/>
        <v>25116</v>
      </c>
      <c r="C3526" t="s">
        <v>1202</v>
      </c>
      <c r="D3526">
        <v>0</v>
      </c>
      <c r="E3526" t="s">
        <v>471</v>
      </c>
    </row>
    <row r="3527" spans="1:5" x14ac:dyDescent="0.25">
      <c r="A3527">
        <v>25116</v>
      </c>
      <c r="B3527" t="str">
        <f t="shared" si="56"/>
        <v>25116</v>
      </c>
      <c r="C3527" t="s">
        <v>1206</v>
      </c>
      <c r="D3527">
        <v>62.4</v>
      </c>
      <c r="E3527" t="s">
        <v>471</v>
      </c>
    </row>
    <row r="3528" spans="1:5" x14ac:dyDescent="0.25">
      <c r="A3528">
        <v>25116</v>
      </c>
      <c r="B3528" t="str">
        <f t="shared" si="56"/>
        <v>25116</v>
      </c>
      <c r="C3528" t="s">
        <v>1199</v>
      </c>
      <c r="D3528">
        <v>0</v>
      </c>
      <c r="E3528" t="s">
        <v>471</v>
      </c>
    </row>
    <row r="3529" spans="1:5" x14ac:dyDescent="0.25">
      <c r="A3529">
        <v>25116</v>
      </c>
      <c r="B3529" t="str">
        <f t="shared" si="56"/>
        <v>25116</v>
      </c>
      <c r="C3529" t="s">
        <v>1203</v>
      </c>
      <c r="D3529">
        <v>67.8</v>
      </c>
      <c r="E3529" t="s">
        <v>471</v>
      </c>
    </row>
    <row r="3530" spans="1:5" x14ac:dyDescent="0.25">
      <c r="A3530">
        <v>25116</v>
      </c>
      <c r="B3530" t="str">
        <f t="shared" si="56"/>
        <v>25116</v>
      </c>
      <c r="C3530" t="s">
        <v>1200</v>
      </c>
      <c r="D3530">
        <v>0</v>
      </c>
      <c r="E3530" t="s">
        <v>471</v>
      </c>
    </row>
    <row r="3531" spans="1:5" x14ac:dyDescent="0.25">
      <c r="A3531">
        <v>25116</v>
      </c>
      <c r="B3531" t="str">
        <f t="shared" si="56"/>
        <v>25116</v>
      </c>
      <c r="C3531" t="s">
        <v>1204</v>
      </c>
      <c r="D3531">
        <v>160.88</v>
      </c>
      <c r="E3531" t="s">
        <v>471</v>
      </c>
    </row>
    <row r="3532" spans="1:5" x14ac:dyDescent="0.25">
      <c r="A3532">
        <v>25116</v>
      </c>
      <c r="B3532" t="str">
        <f t="shared" si="56"/>
        <v>25116</v>
      </c>
      <c r="C3532" t="s">
        <v>1207</v>
      </c>
      <c r="D3532">
        <v>0</v>
      </c>
      <c r="E3532" t="s">
        <v>471</v>
      </c>
    </row>
    <row r="3533" spans="1:5" x14ac:dyDescent="0.25">
      <c r="A3533">
        <v>25116</v>
      </c>
      <c r="B3533" t="str">
        <f t="shared" si="56"/>
        <v>25116</v>
      </c>
      <c r="C3533" t="s">
        <v>1208</v>
      </c>
      <c r="D3533">
        <v>35.200000000000003</v>
      </c>
      <c r="E3533" t="s">
        <v>471</v>
      </c>
    </row>
    <row r="3534" spans="1:5" x14ac:dyDescent="0.25">
      <c r="A3534">
        <v>25116</v>
      </c>
      <c r="B3534" t="str">
        <f t="shared" si="56"/>
        <v>25116</v>
      </c>
      <c r="C3534" t="s">
        <v>1210</v>
      </c>
      <c r="D3534">
        <v>0</v>
      </c>
      <c r="E3534" t="s">
        <v>471</v>
      </c>
    </row>
    <row r="3535" spans="1:5" x14ac:dyDescent="0.25">
      <c r="A3535">
        <v>25116</v>
      </c>
      <c r="B3535" t="str">
        <f t="shared" si="56"/>
        <v>25116</v>
      </c>
      <c r="C3535" t="s">
        <v>1212</v>
      </c>
      <c r="D3535">
        <v>0</v>
      </c>
      <c r="E3535" t="s">
        <v>471</v>
      </c>
    </row>
    <row r="3536" spans="1:5" x14ac:dyDescent="0.25">
      <c r="A3536">
        <v>25116</v>
      </c>
      <c r="B3536" t="str">
        <f t="shared" si="56"/>
        <v>25116</v>
      </c>
      <c r="C3536" t="s">
        <v>1216</v>
      </c>
      <c r="D3536">
        <v>26</v>
      </c>
      <c r="E3536" t="s">
        <v>471</v>
      </c>
    </row>
    <row r="3537" spans="1:5" x14ac:dyDescent="0.25">
      <c r="A3537">
        <v>25116</v>
      </c>
      <c r="B3537" t="str">
        <f t="shared" si="56"/>
        <v>25116</v>
      </c>
      <c r="C3537" t="s">
        <v>1198</v>
      </c>
      <c r="D3537">
        <v>21.2</v>
      </c>
      <c r="E3537" t="s">
        <v>471</v>
      </c>
    </row>
    <row r="3538" spans="1:5" x14ac:dyDescent="0.25">
      <c r="A3538">
        <v>22009</v>
      </c>
      <c r="B3538" t="str">
        <f t="shared" si="56"/>
        <v>22009</v>
      </c>
      <c r="C3538" t="s">
        <v>1193</v>
      </c>
      <c r="D3538">
        <v>0</v>
      </c>
      <c r="E3538" t="s">
        <v>448</v>
      </c>
    </row>
    <row r="3539" spans="1:5" x14ac:dyDescent="0.25">
      <c r="A3539">
        <v>22009</v>
      </c>
      <c r="B3539" t="str">
        <f t="shared" si="56"/>
        <v>22009</v>
      </c>
      <c r="C3539" t="s">
        <v>1194</v>
      </c>
      <c r="D3539">
        <v>126.97</v>
      </c>
      <c r="E3539" t="s">
        <v>448</v>
      </c>
    </row>
    <row r="3540" spans="1:5" x14ac:dyDescent="0.25">
      <c r="A3540">
        <v>22009</v>
      </c>
      <c r="B3540" t="str">
        <f t="shared" si="56"/>
        <v>22009</v>
      </c>
      <c r="C3540" t="s">
        <v>1195</v>
      </c>
      <c r="D3540">
        <v>0</v>
      </c>
      <c r="E3540" t="s">
        <v>448</v>
      </c>
    </row>
    <row r="3541" spans="1:5" x14ac:dyDescent="0.25">
      <c r="A3541">
        <v>22009</v>
      </c>
      <c r="B3541" t="str">
        <f t="shared" si="56"/>
        <v>22009</v>
      </c>
      <c r="C3541" t="s">
        <v>1197</v>
      </c>
      <c r="D3541">
        <v>45.6</v>
      </c>
      <c r="E3541" t="s">
        <v>448</v>
      </c>
    </row>
    <row r="3542" spans="1:5" x14ac:dyDescent="0.25">
      <c r="A3542">
        <v>22009</v>
      </c>
      <c r="B3542" t="str">
        <f t="shared" si="56"/>
        <v>22009</v>
      </c>
      <c r="C3542" t="s">
        <v>1202</v>
      </c>
      <c r="D3542">
        <v>0</v>
      </c>
      <c r="E3542" t="s">
        <v>448</v>
      </c>
    </row>
    <row r="3543" spans="1:5" x14ac:dyDescent="0.25">
      <c r="A3543">
        <v>22009</v>
      </c>
      <c r="B3543" t="str">
        <f t="shared" si="56"/>
        <v>22009</v>
      </c>
      <c r="C3543" t="s">
        <v>1206</v>
      </c>
      <c r="D3543">
        <v>115.86</v>
      </c>
      <c r="E3543" t="s">
        <v>448</v>
      </c>
    </row>
    <row r="3544" spans="1:5" x14ac:dyDescent="0.25">
      <c r="A3544">
        <v>22009</v>
      </c>
      <c r="B3544" t="str">
        <f t="shared" si="56"/>
        <v>22009</v>
      </c>
      <c r="C3544" t="s">
        <v>1199</v>
      </c>
      <c r="D3544">
        <v>0</v>
      </c>
      <c r="E3544" t="s">
        <v>448</v>
      </c>
    </row>
    <row r="3545" spans="1:5" x14ac:dyDescent="0.25">
      <c r="A3545">
        <v>22009</v>
      </c>
      <c r="B3545" t="str">
        <f t="shared" si="56"/>
        <v>22009</v>
      </c>
      <c r="C3545" t="s">
        <v>1203</v>
      </c>
      <c r="D3545">
        <v>120.26</v>
      </c>
      <c r="E3545" t="s">
        <v>448</v>
      </c>
    </row>
    <row r="3546" spans="1:5" x14ac:dyDescent="0.25">
      <c r="A3546">
        <v>22009</v>
      </c>
      <c r="B3546" t="str">
        <f t="shared" si="56"/>
        <v>22009</v>
      </c>
      <c r="C3546" t="s">
        <v>1200</v>
      </c>
      <c r="D3546">
        <v>0</v>
      </c>
      <c r="E3546" t="s">
        <v>448</v>
      </c>
    </row>
    <row r="3547" spans="1:5" x14ac:dyDescent="0.25">
      <c r="A3547">
        <v>22009</v>
      </c>
      <c r="B3547" t="str">
        <f t="shared" si="56"/>
        <v>22009</v>
      </c>
      <c r="C3547" t="s">
        <v>1204</v>
      </c>
      <c r="D3547">
        <v>176.06</v>
      </c>
      <c r="E3547" t="s">
        <v>448</v>
      </c>
    </row>
    <row r="3548" spans="1:5" x14ac:dyDescent="0.25">
      <c r="A3548">
        <v>22009</v>
      </c>
      <c r="B3548" t="str">
        <f t="shared" si="56"/>
        <v>22009</v>
      </c>
      <c r="C3548" t="s">
        <v>1207</v>
      </c>
      <c r="D3548">
        <v>13.68</v>
      </c>
      <c r="E3548" t="s">
        <v>448</v>
      </c>
    </row>
    <row r="3549" spans="1:5" x14ac:dyDescent="0.25">
      <c r="A3549">
        <v>22009</v>
      </c>
      <c r="B3549" t="str">
        <f t="shared" si="56"/>
        <v>22009</v>
      </c>
      <c r="C3549" t="s">
        <v>1208</v>
      </c>
      <c r="D3549">
        <v>32.36</v>
      </c>
      <c r="E3549" t="s">
        <v>448</v>
      </c>
    </row>
    <row r="3550" spans="1:5" x14ac:dyDescent="0.25">
      <c r="A3550">
        <v>22009</v>
      </c>
      <c r="B3550" t="str">
        <f t="shared" si="56"/>
        <v>22009</v>
      </c>
      <c r="C3550" t="s">
        <v>1210</v>
      </c>
      <c r="D3550">
        <v>0</v>
      </c>
      <c r="E3550" t="s">
        <v>448</v>
      </c>
    </row>
    <row r="3551" spans="1:5" x14ac:dyDescent="0.25">
      <c r="A3551">
        <v>22009</v>
      </c>
      <c r="B3551" t="str">
        <f t="shared" si="56"/>
        <v>22009</v>
      </c>
      <c r="C3551" t="s">
        <v>1212</v>
      </c>
      <c r="D3551">
        <v>0</v>
      </c>
      <c r="E3551" t="s">
        <v>448</v>
      </c>
    </row>
    <row r="3552" spans="1:5" x14ac:dyDescent="0.25">
      <c r="A3552">
        <v>22009</v>
      </c>
      <c r="B3552" t="str">
        <f t="shared" si="56"/>
        <v>22009</v>
      </c>
      <c r="C3552" t="s">
        <v>1216</v>
      </c>
      <c r="D3552">
        <v>16</v>
      </c>
      <c r="E3552" t="s">
        <v>448</v>
      </c>
    </row>
    <row r="3553" spans="1:5" x14ac:dyDescent="0.25">
      <c r="A3553">
        <v>22009</v>
      </c>
      <c r="B3553" t="str">
        <f t="shared" si="56"/>
        <v>22009</v>
      </c>
      <c r="C3553" t="s">
        <v>1198</v>
      </c>
      <c r="D3553">
        <v>37.799999999999997</v>
      </c>
      <c r="E3553" t="s">
        <v>448</v>
      </c>
    </row>
    <row r="3554" spans="1:5" x14ac:dyDescent="0.25">
      <c r="A3554">
        <v>17403</v>
      </c>
      <c r="B3554" t="str">
        <f t="shared" si="56"/>
        <v>17403</v>
      </c>
      <c r="C3554" t="s">
        <v>1193</v>
      </c>
      <c r="D3554">
        <v>0</v>
      </c>
      <c r="E3554" t="s">
        <v>398</v>
      </c>
    </row>
    <row r="3555" spans="1:5" x14ac:dyDescent="0.25">
      <c r="A3555">
        <v>17403</v>
      </c>
      <c r="B3555" t="str">
        <f t="shared" si="56"/>
        <v>17403</v>
      </c>
      <c r="C3555" t="s">
        <v>1194</v>
      </c>
      <c r="D3555">
        <v>3206.15</v>
      </c>
      <c r="E3555" t="s">
        <v>398</v>
      </c>
    </row>
    <row r="3556" spans="1:5" x14ac:dyDescent="0.25">
      <c r="A3556">
        <v>17403</v>
      </c>
      <c r="B3556" t="str">
        <f t="shared" si="56"/>
        <v>17403</v>
      </c>
      <c r="C3556" t="s">
        <v>1195</v>
      </c>
      <c r="D3556">
        <v>0</v>
      </c>
      <c r="E3556" t="s">
        <v>398</v>
      </c>
    </row>
    <row r="3557" spans="1:5" x14ac:dyDescent="0.25">
      <c r="A3557">
        <v>17403</v>
      </c>
      <c r="B3557" t="str">
        <f t="shared" si="56"/>
        <v>17403</v>
      </c>
      <c r="C3557" t="s">
        <v>1197</v>
      </c>
      <c r="D3557">
        <v>1054</v>
      </c>
      <c r="E3557" t="s">
        <v>398</v>
      </c>
    </row>
    <row r="3558" spans="1:5" x14ac:dyDescent="0.25">
      <c r="A3558">
        <v>17403</v>
      </c>
      <c r="B3558" t="str">
        <f t="shared" si="56"/>
        <v>17403</v>
      </c>
      <c r="C3558" t="s">
        <v>1202</v>
      </c>
      <c r="D3558">
        <v>0</v>
      </c>
      <c r="E3558" t="s">
        <v>398</v>
      </c>
    </row>
    <row r="3559" spans="1:5" x14ac:dyDescent="0.25">
      <c r="A3559">
        <v>17403</v>
      </c>
      <c r="B3559" t="str">
        <f t="shared" si="56"/>
        <v>17403</v>
      </c>
      <c r="C3559" t="s">
        <v>1206</v>
      </c>
      <c r="D3559">
        <v>2203.6999999999998</v>
      </c>
      <c r="E3559" t="s">
        <v>398</v>
      </c>
    </row>
    <row r="3560" spans="1:5" x14ac:dyDescent="0.25">
      <c r="A3560">
        <v>17403</v>
      </c>
      <c r="B3560" t="str">
        <f t="shared" si="56"/>
        <v>17403</v>
      </c>
      <c r="C3560" t="s">
        <v>1199</v>
      </c>
      <c r="D3560">
        <v>0</v>
      </c>
      <c r="E3560" t="s">
        <v>398</v>
      </c>
    </row>
    <row r="3561" spans="1:5" x14ac:dyDescent="0.25">
      <c r="A3561">
        <v>17403</v>
      </c>
      <c r="B3561" t="str">
        <f t="shared" si="56"/>
        <v>17403</v>
      </c>
      <c r="C3561" t="s">
        <v>1203</v>
      </c>
      <c r="D3561">
        <v>2039.66</v>
      </c>
      <c r="E3561" t="s">
        <v>398</v>
      </c>
    </row>
    <row r="3562" spans="1:5" x14ac:dyDescent="0.25">
      <c r="A3562">
        <v>17403</v>
      </c>
      <c r="B3562" t="str">
        <f t="shared" si="56"/>
        <v>17403</v>
      </c>
      <c r="C3562" t="s">
        <v>1200</v>
      </c>
      <c r="D3562">
        <v>0</v>
      </c>
      <c r="E3562" t="s">
        <v>398</v>
      </c>
    </row>
    <row r="3563" spans="1:5" x14ac:dyDescent="0.25">
      <c r="A3563">
        <v>17403</v>
      </c>
      <c r="B3563" t="str">
        <f t="shared" si="56"/>
        <v>17403</v>
      </c>
      <c r="C3563" t="s">
        <v>1204</v>
      </c>
      <c r="D3563">
        <v>3792.14</v>
      </c>
      <c r="E3563" t="s">
        <v>398</v>
      </c>
    </row>
    <row r="3564" spans="1:5" x14ac:dyDescent="0.25">
      <c r="A3564">
        <v>17403</v>
      </c>
      <c r="B3564" t="str">
        <f t="shared" si="56"/>
        <v>17403</v>
      </c>
      <c r="C3564" t="s">
        <v>1207</v>
      </c>
      <c r="D3564">
        <v>227.56</v>
      </c>
      <c r="E3564" t="s">
        <v>398</v>
      </c>
    </row>
    <row r="3565" spans="1:5" x14ac:dyDescent="0.25">
      <c r="A3565">
        <v>17403</v>
      </c>
      <c r="B3565" t="str">
        <f t="shared" si="56"/>
        <v>17403</v>
      </c>
      <c r="C3565" t="s">
        <v>1208</v>
      </c>
      <c r="D3565">
        <v>1442.07</v>
      </c>
      <c r="E3565" t="s">
        <v>398</v>
      </c>
    </row>
    <row r="3566" spans="1:5" x14ac:dyDescent="0.25">
      <c r="A3566">
        <v>17403</v>
      </c>
      <c r="B3566" t="str">
        <f t="shared" si="56"/>
        <v>17403</v>
      </c>
      <c r="C3566" t="s">
        <v>1210</v>
      </c>
      <c r="D3566">
        <v>0</v>
      </c>
      <c r="E3566" t="s">
        <v>398</v>
      </c>
    </row>
    <row r="3567" spans="1:5" x14ac:dyDescent="0.25">
      <c r="A3567">
        <v>17403</v>
      </c>
      <c r="B3567" t="str">
        <f t="shared" si="56"/>
        <v>17403</v>
      </c>
      <c r="C3567" t="s">
        <v>1212</v>
      </c>
      <c r="D3567">
        <v>0</v>
      </c>
      <c r="E3567" t="s">
        <v>398</v>
      </c>
    </row>
    <row r="3568" spans="1:5" x14ac:dyDescent="0.25">
      <c r="A3568">
        <v>17403</v>
      </c>
      <c r="B3568" t="str">
        <f t="shared" si="56"/>
        <v>17403</v>
      </c>
      <c r="C3568" t="s">
        <v>1216</v>
      </c>
      <c r="D3568">
        <v>256.8</v>
      </c>
      <c r="E3568" t="s">
        <v>398</v>
      </c>
    </row>
    <row r="3569" spans="1:5" x14ac:dyDescent="0.25">
      <c r="A3569">
        <v>17403</v>
      </c>
      <c r="B3569" t="str">
        <f t="shared" si="56"/>
        <v>17403</v>
      </c>
      <c r="C3569" t="s">
        <v>1198</v>
      </c>
      <c r="D3569">
        <v>1004.53</v>
      </c>
      <c r="E3569" t="s">
        <v>398</v>
      </c>
    </row>
    <row r="3570" spans="1:5" x14ac:dyDescent="0.25">
      <c r="A3570">
        <v>10309</v>
      </c>
      <c r="B3570" t="str">
        <f t="shared" si="56"/>
        <v>10309</v>
      </c>
      <c r="C3570" t="s">
        <v>1193</v>
      </c>
      <c r="D3570">
        <v>0</v>
      </c>
      <c r="E3570" t="s">
        <v>355</v>
      </c>
    </row>
    <row r="3571" spans="1:5" x14ac:dyDescent="0.25">
      <c r="A3571">
        <v>10309</v>
      </c>
      <c r="B3571" t="str">
        <f t="shared" si="56"/>
        <v>10309</v>
      </c>
      <c r="C3571" t="s">
        <v>1194</v>
      </c>
      <c r="D3571">
        <v>75.010000000000005</v>
      </c>
      <c r="E3571" t="s">
        <v>355</v>
      </c>
    </row>
    <row r="3572" spans="1:5" x14ac:dyDescent="0.25">
      <c r="A3572">
        <v>10309</v>
      </c>
      <c r="B3572" t="str">
        <f t="shared" si="56"/>
        <v>10309</v>
      </c>
      <c r="C3572" t="s">
        <v>1195</v>
      </c>
      <c r="D3572">
        <v>0</v>
      </c>
      <c r="E3572" t="s">
        <v>355</v>
      </c>
    </row>
    <row r="3573" spans="1:5" x14ac:dyDescent="0.25">
      <c r="A3573">
        <v>10309</v>
      </c>
      <c r="B3573" t="str">
        <f t="shared" si="56"/>
        <v>10309</v>
      </c>
      <c r="C3573" t="s">
        <v>1197</v>
      </c>
      <c r="D3573">
        <v>26.42</v>
      </c>
      <c r="E3573" t="s">
        <v>355</v>
      </c>
    </row>
    <row r="3574" spans="1:5" x14ac:dyDescent="0.25">
      <c r="A3574">
        <v>10309</v>
      </c>
      <c r="B3574" t="str">
        <f t="shared" si="56"/>
        <v>10309</v>
      </c>
      <c r="C3574" t="s">
        <v>1202</v>
      </c>
      <c r="D3574">
        <v>0</v>
      </c>
      <c r="E3574" t="s">
        <v>355</v>
      </c>
    </row>
    <row r="3575" spans="1:5" x14ac:dyDescent="0.25">
      <c r="A3575">
        <v>10309</v>
      </c>
      <c r="B3575" t="str">
        <f t="shared" si="56"/>
        <v>10309</v>
      </c>
      <c r="C3575" t="s">
        <v>1206</v>
      </c>
      <c r="D3575">
        <v>51.76</v>
      </c>
      <c r="E3575" t="s">
        <v>355</v>
      </c>
    </row>
    <row r="3576" spans="1:5" x14ac:dyDescent="0.25">
      <c r="A3576">
        <v>10309</v>
      </c>
      <c r="B3576" t="str">
        <f t="shared" si="56"/>
        <v>10309</v>
      </c>
      <c r="C3576" t="s">
        <v>1199</v>
      </c>
      <c r="D3576">
        <v>0</v>
      </c>
      <c r="E3576" t="s">
        <v>355</v>
      </c>
    </row>
    <row r="3577" spans="1:5" x14ac:dyDescent="0.25">
      <c r="A3577">
        <v>10309</v>
      </c>
      <c r="B3577" t="str">
        <f t="shared" si="56"/>
        <v>10309</v>
      </c>
      <c r="C3577" t="s">
        <v>1203</v>
      </c>
      <c r="D3577">
        <v>60.56</v>
      </c>
      <c r="E3577" t="s">
        <v>355</v>
      </c>
    </row>
    <row r="3578" spans="1:5" x14ac:dyDescent="0.25">
      <c r="A3578">
        <v>10309</v>
      </c>
      <c r="B3578" t="str">
        <f t="shared" si="56"/>
        <v>10309</v>
      </c>
      <c r="C3578" t="s">
        <v>1200</v>
      </c>
      <c r="D3578">
        <v>0</v>
      </c>
      <c r="E3578" t="s">
        <v>355</v>
      </c>
    </row>
    <row r="3579" spans="1:5" x14ac:dyDescent="0.25">
      <c r="A3579">
        <v>10309</v>
      </c>
      <c r="B3579" t="str">
        <f t="shared" si="56"/>
        <v>10309</v>
      </c>
      <c r="C3579" t="s">
        <v>1204</v>
      </c>
      <c r="D3579">
        <v>87.8</v>
      </c>
      <c r="E3579" t="s">
        <v>355</v>
      </c>
    </row>
    <row r="3580" spans="1:5" x14ac:dyDescent="0.25">
      <c r="A3580">
        <v>10309</v>
      </c>
      <c r="B3580" t="str">
        <f t="shared" si="56"/>
        <v>10309</v>
      </c>
      <c r="C3580" t="s">
        <v>1207</v>
      </c>
      <c r="D3580">
        <v>0</v>
      </c>
      <c r="E3580" t="s">
        <v>355</v>
      </c>
    </row>
    <row r="3581" spans="1:5" x14ac:dyDescent="0.25">
      <c r="A3581">
        <v>10309</v>
      </c>
      <c r="B3581" t="str">
        <f t="shared" si="56"/>
        <v>10309</v>
      </c>
      <c r="C3581" t="s">
        <v>1208</v>
      </c>
      <c r="D3581">
        <v>9.6</v>
      </c>
      <c r="E3581" t="s">
        <v>355</v>
      </c>
    </row>
    <row r="3582" spans="1:5" x14ac:dyDescent="0.25">
      <c r="A3582">
        <v>10309</v>
      </c>
      <c r="B3582" t="str">
        <f t="shared" si="56"/>
        <v>10309</v>
      </c>
      <c r="C3582" t="s">
        <v>1210</v>
      </c>
      <c r="D3582">
        <v>0</v>
      </c>
      <c r="E3582" t="s">
        <v>355</v>
      </c>
    </row>
    <row r="3583" spans="1:5" x14ac:dyDescent="0.25">
      <c r="A3583">
        <v>10309</v>
      </c>
      <c r="B3583" t="str">
        <f t="shared" si="56"/>
        <v>10309</v>
      </c>
      <c r="C3583" t="s">
        <v>1212</v>
      </c>
      <c r="D3583">
        <v>0</v>
      </c>
      <c r="E3583" t="s">
        <v>355</v>
      </c>
    </row>
    <row r="3584" spans="1:5" x14ac:dyDescent="0.25">
      <c r="A3584">
        <v>10309</v>
      </c>
      <c r="B3584" t="str">
        <f t="shared" si="56"/>
        <v>10309</v>
      </c>
      <c r="C3584" t="s">
        <v>1216</v>
      </c>
      <c r="D3584">
        <v>0</v>
      </c>
      <c r="E3584" t="s">
        <v>355</v>
      </c>
    </row>
    <row r="3585" spans="1:5" x14ac:dyDescent="0.25">
      <c r="A3585">
        <v>10309</v>
      </c>
      <c r="B3585" t="str">
        <f t="shared" si="56"/>
        <v>10309</v>
      </c>
      <c r="C3585" t="s">
        <v>1198</v>
      </c>
      <c r="D3585">
        <v>17.600000000000001</v>
      </c>
      <c r="E3585" t="s">
        <v>355</v>
      </c>
    </row>
    <row r="3586" spans="1:5" x14ac:dyDescent="0.25">
      <c r="A3586" t="s">
        <v>19</v>
      </c>
      <c r="B3586" t="str">
        <f t="shared" si="56"/>
        <v>03400</v>
      </c>
      <c r="C3586" t="s">
        <v>1193</v>
      </c>
      <c r="D3586">
        <v>0</v>
      </c>
      <c r="E3586" t="s">
        <v>316</v>
      </c>
    </row>
    <row r="3587" spans="1:5" x14ac:dyDescent="0.25">
      <c r="A3587" t="s">
        <v>19</v>
      </c>
      <c r="B3587" t="str">
        <f t="shared" ref="B3587:B3650" si="57">TEXT(A3587,"00000")</f>
        <v>03400</v>
      </c>
      <c r="C3587" t="s">
        <v>1194</v>
      </c>
      <c r="D3587">
        <v>2815.57</v>
      </c>
      <c r="E3587" t="s">
        <v>316</v>
      </c>
    </row>
    <row r="3588" spans="1:5" x14ac:dyDescent="0.25">
      <c r="A3588" t="s">
        <v>19</v>
      </c>
      <c r="B3588" t="str">
        <f t="shared" si="57"/>
        <v>03400</v>
      </c>
      <c r="C3588" t="s">
        <v>1195</v>
      </c>
      <c r="D3588">
        <v>0</v>
      </c>
      <c r="E3588" t="s">
        <v>316</v>
      </c>
    </row>
    <row r="3589" spans="1:5" x14ac:dyDescent="0.25">
      <c r="A3589" t="s">
        <v>19</v>
      </c>
      <c r="B3589" t="str">
        <f t="shared" si="57"/>
        <v>03400</v>
      </c>
      <c r="C3589" t="s">
        <v>1197</v>
      </c>
      <c r="D3589">
        <v>939.74</v>
      </c>
      <c r="E3589" t="s">
        <v>316</v>
      </c>
    </row>
    <row r="3590" spans="1:5" x14ac:dyDescent="0.25">
      <c r="A3590" t="s">
        <v>19</v>
      </c>
      <c r="B3590" t="str">
        <f t="shared" si="57"/>
        <v>03400</v>
      </c>
      <c r="C3590" t="s">
        <v>1202</v>
      </c>
      <c r="D3590">
        <v>0</v>
      </c>
      <c r="E3590" t="s">
        <v>316</v>
      </c>
    </row>
    <row r="3591" spans="1:5" x14ac:dyDescent="0.25">
      <c r="A3591" t="s">
        <v>19</v>
      </c>
      <c r="B3591" t="str">
        <f t="shared" si="57"/>
        <v>03400</v>
      </c>
      <c r="C3591" t="s">
        <v>1206</v>
      </c>
      <c r="D3591">
        <v>1971.89</v>
      </c>
      <c r="E3591" t="s">
        <v>316</v>
      </c>
    </row>
    <row r="3592" spans="1:5" x14ac:dyDescent="0.25">
      <c r="A3592" t="s">
        <v>19</v>
      </c>
      <c r="B3592" t="str">
        <f t="shared" si="57"/>
        <v>03400</v>
      </c>
      <c r="C3592" t="s">
        <v>1199</v>
      </c>
      <c r="D3592">
        <v>0</v>
      </c>
      <c r="E3592" t="s">
        <v>316</v>
      </c>
    </row>
    <row r="3593" spans="1:5" x14ac:dyDescent="0.25">
      <c r="A3593" t="s">
        <v>19</v>
      </c>
      <c r="B3593" t="str">
        <f t="shared" si="57"/>
        <v>03400</v>
      </c>
      <c r="C3593" t="s">
        <v>1203</v>
      </c>
      <c r="D3593">
        <v>2027.86</v>
      </c>
      <c r="E3593" t="s">
        <v>316</v>
      </c>
    </row>
    <row r="3594" spans="1:5" x14ac:dyDescent="0.25">
      <c r="A3594" t="s">
        <v>19</v>
      </c>
      <c r="B3594" t="str">
        <f t="shared" si="57"/>
        <v>03400</v>
      </c>
      <c r="C3594" t="s">
        <v>1200</v>
      </c>
      <c r="D3594">
        <v>0</v>
      </c>
      <c r="E3594" t="s">
        <v>316</v>
      </c>
    </row>
    <row r="3595" spans="1:5" x14ac:dyDescent="0.25">
      <c r="A3595" t="s">
        <v>19</v>
      </c>
      <c r="B3595" t="str">
        <f t="shared" si="57"/>
        <v>03400</v>
      </c>
      <c r="C3595" t="s">
        <v>1204</v>
      </c>
      <c r="D3595">
        <v>3762.73</v>
      </c>
      <c r="E3595" t="s">
        <v>316</v>
      </c>
    </row>
    <row r="3596" spans="1:5" x14ac:dyDescent="0.25">
      <c r="A3596" t="s">
        <v>19</v>
      </c>
      <c r="B3596" t="str">
        <f t="shared" si="57"/>
        <v>03400</v>
      </c>
      <c r="C3596" t="s">
        <v>1207</v>
      </c>
      <c r="D3596">
        <v>141.58000000000001</v>
      </c>
      <c r="E3596" t="s">
        <v>316</v>
      </c>
    </row>
    <row r="3597" spans="1:5" x14ac:dyDescent="0.25">
      <c r="A3597" t="s">
        <v>19</v>
      </c>
      <c r="B3597" t="str">
        <f t="shared" si="57"/>
        <v>03400</v>
      </c>
      <c r="C3597" t="s">
        <v>1208</v>
      </c>
      <c r="D3597">
        <v>830.01</v>
      </c>
      <c r="E3597" t="s">
        <v>316</v>
      </c>
    </row>
    <row r="3598" spans="1:5" x14ac:dyDescent="0.25">
      <c r="A3598" t="s">
        <v>19</v>
      </c>
      <c r="B3598" t="str">
        <f t="shared" si="57"/>
        <v>03400</v>
      </c>
      <c r="C3598" t="s">
        <v>1210</v>
      </c>
      <c r="D3598">
        <v>0</v>
      </c>
      <c r="E3598" t="s">
        <v>316</v>
      </c>
    </row>
    <row r="3599" spans="1:5" x14ac:dyDescent="0.25">
      <c r="A3599" t="s">
        <v>19</v>
      </c>
      <c r="B3599" t="str">
        <f t="shared" si="57"/>
        <v>03400</v>
      </c>
      <c r="C3599" t="s">
        <v>1212</v>
      </c>
      <c r="D3599">
        <v>0</v>
      </c>
      <c r="E3599" t="s">
        <v>316</v>
      </c>
    </row>
    <row r="3600" spans="1:5" x14ac:dyDescent="0.25">
      <c r="A3600" t="s">
        <v>19</v>
      </c>
      <c r="B3600" t="str">
        <f t="shared" si="57"/>
        <v>03400</v>
      </c>
      <c r="C3600" t="s">
        <v>1216</v>
      </c>
      <c r="D3600">
        <v>0</v>
      </c>
      <c r="E3600" t="s">
        <v>316</v>
      </c>
    </row>
    <row r="3601" spans="1:5" x14ac:dyDescent="0.25">
      <c r="A3601" t="s">
        <v>19</v>
      </c>
      <c r="B3601" t="str">
        <f t="shared" si="57"/>
        <v>03400</v>
      </c>
      <c r="C3601" t="s">
        <v>1198</v>
      </c>
      <c r="D3601">
        <v>830</v>
      </c>
      <c r="E3601" t="s">
        <v>316</v>
      </c>
    </row>
    <row r="3602" spans="1:5" x14ac:dyDescent="0.25">
      <c r="A3602" s="34" t="s">
        <v>40</v>
      </c>
      <c r="B3602" t="str">
        <f t="shared" si="57"/>
        <v>06122</v>
      </c>
      <c r="C3602" t="s">
        <v>1193</v>
      </c>
      <c r="D3602">
        <v>0</v>
      </c>
      <c r="E3602" t="s">
        <v>336</v>
      </c>
    </row>
    <row r="3603" spans="1:5" x14ac:dyDescent="0.25">
      <c r="A3603" s="34" t="s">
        <v>40</v>
      </c>
      <c r="B3603" t="str">
        <f t="shared" si="57"/>
        <v>06122</v>
      </c>
      <c r="C3603" t="s">
        <v>1194</v>
      </c>
      <c r="D3603">
        <v>879.12</v>
      </c>
      <c r="E3603" t="s">
        <v>336</v>
      </c>
    </row>
    <row r="3604" spans="1:5" x14ac:dyDescent="0.25">
      <c r="A3604" s="34" t="s">
        <v>40</v>
      </c>
      <c r="B3604" t="str">
        <f t="shared" si="57"/>
        <v>06122</v>
      </c>
      <c r="C3604" t="s">
        <v>1195</v>
      </c>
      <c r="D3604">
        <v>0</v>
      </c>
      <c r="E3604" t="s">
        <v>336</v>
      </c>
    </row>
    <row r="3605" spans="1:5" x14ac:dyDescent="0.25">
      <c r="A3605" s="34" t="s">
        <v>40</v>
      </c>
      <c r="B3605" t="str">
        <f t="shared" si="57"/>
        <v>06122</v>
      </c>
      <c r="C3605" t="s">
        <v>1197</v>
      </c>
      <c r="D3605">
        <v>333.23</v>
      </c>
      <c r="E3605" t="s">
        <v>336</v>
      </c>
    </row>
    <row r="3606" spans="1:5" x14ac:dyDescent="0.25">
      <c r="A3606" s="34" t="s">
        <v>40</v>
      </c>
      <c r="B3606" t="str">
        <f t="shared" si="57"/>
        <v>06122</v>
      </c>
      <c r="C3606" t="s">
        <v>1202</v>
      </c>
      <c r="D3606">
        <v>0</v>
      </c>
      <c r="E3606" t="s">
        <v>336</v>
      </c>
    </row>
    <row r="3607" spans="1:5" x14ac:dyDescent="0.25">
      <c r="A3607" s="34" t="s">
        <v>40</v>
      </c>
      <c r="B3607" t="str">
        <f t="shared" si="57"/>
        <v>06122</v>
      </c>
      <c r="C3607" t="s">
        <v>1206</v>
      </c>
      <c r="D3607">
        <v>613.29999999999995</v>
      </c>
      <c r="E3607" t="s">
        <v>336</v>
      </c>
    </row>
    <row r="3608" spans="1:5" x14ac:dyDescent="0.25">
      <c r="A3608" s="34" t="s">
        <v>40</v>
      </c>
      <c r="B3608" t="str">
        <f t="shared" si="57"/>
        <v>06122</v>
      </c>
      <c r="C3608" t="s">
        <v>1199</v>
      </c>
      <c r="D3608">
        <v>0</v>
      </c>
      <c r="E3608" t="s">
        <v>336</v>
      </c>
    </row>
    <row r="3609" spans="1:5" x14ac:dyDescent="0.25">
      <c r="A3609" s="34" t="s">
        <v>40</v>
      </c>
      <c r="B3609" t="str">
        <f t="shared" si="57"/>
        <v>06122</v>
      </c>
      <c r="C3609" t="s">
        <v>1203</v>
      </c>
      <c r="D3609">
        <v>667.31</v>
      </c>
      <c r="E3609" t="s">
        <v>336</v>
      </c>
    </row>
    <row r="3610" spans="1:5" x14ac:dyDescent="0.25">
      <c r="A3610" s="34" t="s">
        <v>40</v>
      </c>
      <c r="B3610" t="str">
        <f t="shared" si="57"/>
        <v>06122</v>
      </c>
      <c r="C3610" t="s">
        <v>1200</v>
      </c>
      <c r="D3610">
        <v>0</v>
      </c>
      <c r="E3610" t="s">
        <v>336</v>
      </c>
    </row>
    <row r="3611" spans="1:5" x14ac:dyDescent="0.25">
      <c r="A3611" s="34" t="s">
        <v>40</v>
      </c>
      <c r="B3611" t="str">
        <f t="shared" si="57"/>
        <v>06122</v>
      </c>
      <c r="C3611" t="s">
        <v>1204</v>
      </c>
      <c r="D3611">
        <v>1132.52</v>
      </c>
      <c r="E3611" t="s">
        <v>336</v>
      </c>
    </row>
    <row r="3612" spans="1:5" x14ac:dyDescent="0.25">
      <c r="A3612" s="34" t="s">
        <v>40</v>
      </c>
      <c r="B3612" t="str">
        <f t="shared" si="57"/>
        <v>06122</v>
      </c>
      <c r="C3612" t="s">
        <v>1207</v>
      </c>
      <c r="D3612">
        <v>71.400000000000006</v>
      </c>
      <c r="E3612" t="s">
        <v>336</v>
      </c>
    </row>
    <row r="3613" spans="1:5" x14ac:dyDescent="0.25">
      <c r="A3613" s="34" t="s">
        <v>40</v>
      </c>
      <c r="B3613" t="str">
        <f t="shared" si="57"/>
        <v>06122</v>
      </c>
      <c r="C3613" t="s">
        <v>1208</v>
      </c>
      <c r="D3613">
        <v>222.65</v>
      </c>
      <c r="E3613" t="s">
        <v>336</v>
      </c>
    </row>
    <row r="3614" spans="1:5" x14ac:dyDescent="0.25">
      <c r="A3614" s="34" t="s">
        <v>40</v>
      </c>
      <c r="B3614" t="str">
        <f t="shared" si="57"/>
        <v>06122</v>
      </c>
      <c r="C3614" t="s">
        <v>1210</v>
      </c>
      <c r="D3614">
        <v>0</v>
      </c>
      <c r="E3614" t="s">
        <v>336</v>
      </c>
    </row>
    <row r="3615" spans="1:5" x14ac:dyDescent="0.25">
      <c r="A3615" s="34" t="s">
        <v>40</v>
      </c>
      <c r="B3615" t="str">
        <f t="shared" si="57"/>
        <v>06122</v>
      </c>
      <c r="C3615" t="s">
        <v>1212</v>
      </c>
      <c r="D3615">
        <v>0</v>
      </c>
      <c r="E3615" t="s">
        <v>336</v>
      </c>
    </row>
    <row r="3616" spans="1:5" x14ac:dyDescent="0.25">
      <c r="A3616" s="34" t="s">
        <v>40</v>
      </c>
      <c r="B3616" t="str">
        <f t="shared" si="57"/>
        <v>06122</v>
      </c>
      <c r="C3616" t="s">
        <v>1216</v>
      </c>
      <c r="D3616">
        <v>0</v>
      </c>
      <c r="E3616" t="s">
        <v>336</v>
      </c>
    </row>
    <row r="3617" spans="1:5" x14ac:dyDescent="0.25">
      <c r="A3617" s="34" t="s">
        <v>40</v>
      </c>
      <c r="B3617" t="str">
        <f t="shared" si="57"/>
        <v>06122</v>
      </c>
      <c r="C3617" t="s">
        <v>1198</v>
      </c>
      <c r="D3617">
        <v>247.98</v>
      </c>
      <c r="E3617" t="s">
        <v>336</v>
      </c>
    </row>
    <row r="3618" spans="1:5" x14ac:dyDescent="0.25">
      <c r="A3618" s="34" t="s">
        <v>11</v>
      </c>
      <c r="B3618" t="str">
        <f t="shared" si="57"/>
        <v>01160</v>
      </c>
      <c r="C3618" t="s">
        <v>1193</v>
      </c>
      <c r="D3618">
        <v>0</v>
      </c>
      <c r="E3618" t="s">
        <v>308</v>
      </c>
    </row>
    <row r="3619" spans="1:5" x14ac:dyDescent="0.25">
      <c r="A3619" s="34" t="s">
        <v>11</v>
      </c>
      <c r="B3619" t="str">
        <f t="shared" si="57"/>
        <v>01160</v>
      </c>
      <c r="C3619" t="s">
        <v>1194</v>
      </c>
      <c r="D3619">
        <v>75.599999999999994</v>
      </c>
      <c r="E3619" t="s">
        <v>308</v>
      </c>
    </row>
    <row r="3620" spans="1:5" x14ac:dyDescent="0.25">
      <c r="A3620" s="34" t="s">
        <v>11</v>
      </c>
      <c r="B3620" t="str">
        <f t="shared" si="57"/>
        <v>01160</v>
      </c>
      <c r="C3620" t="s">
        <v>1195</v>
      </c>
      <c r="D3620">
        <v>0</v>
      </c>
      <c r="E3620" t="s">
        <v>308</v>
      </c>
    </row>
    <row r="3621" spans="1:5" x14ac:dyDescent="0.25">
      <c r="A3621" s="34" t="s">
        <v>11</v>
      </c>
      <c r="B3621" t="str">
        <f t="shared" si="57"/>
        <v>01160</v>
      </c>
      <c r="C3621" t="s">
        <v>1197</v>
      </c>
      <c r="D3621">
        <v>19.8</v>
      </c>
      <c r="E3621" t="s">
        <v>308</v>
      </c>
    </row>
    <row r="3622" spans="1:5" x14ac:dyDescent="0.25">
      <c r="A3622" s="34" t="s">
        <v>11</v>
      </c>
      <c r="B3622" t="str">
        <f t="shared" si="57"/>
        <v>01160</v>
      </c>
      <c r="C3622" t="s">
        <v>1202</v>
      </c>
      <c r="D3622">
        <v>0</v>
      </c>
      <c r="E3622" t="s">
        <v>308</v>
      </c>
    </row>
    <row r="3623" spans="1:5" x14ac:dyDescent="0.25">
      <c r="A3623" s="34" t="s">
        <v>11</v>
      </c>
      <c r="B3623" t="str">
        <f t="shared" si="57"/>
        <v>01160</v>
      </c>
      <c r="C3623" t="s">
        <v>1206</v>
      </c>
      <c r="D3623">
        <v>57.8</v>
      </c>
      <c r="E3623" t="s">
        <v>308</v>
      </c>
    </row>
    <row r="3624" spans="1:5" x14ac:dyDescent="0.25">
      <c r="A3624" s="34" t="s">
        <v>11</v>
      </c>
      <c r="B3624" t="str">
        <f t="shared" si="57"/>
        <v>01160</v>
      </c>
      <c r="C3624" t="s">
        <v>1199</v>
      </c>
      <c r="D3624">
        <v>0</v>
      </c>
      <c r="E3624" t="s">
        <v>308</v>
      </c>
    </row>
    <row r="3625" spans="1:5" x14ac:dyDescent="0.25">
      <c r="A3625" s="34" t="s">
        <v>11</v>
      </c>
      <c r="B3625" t="str">
        <f t="shared" si="57"/>
        <v>01160</v>
      </c>
      <c r="C3625" t="s">
        <v>1203</v>
      </c>
      <c r="D3625">
        <v>56.63</v>
      </c>
      <c r="E3625" t="s">
        <v>308</v>
      </c>
    </row>
    <row r="3626" spans="1:5" x14ac:dyDescent="0.25">
      <c r="A3626" s="34" t="s">
        <v>11</v>
      </c>
      <c r="B3626" t="str">
        <f t="shared" si="57"/>
        <v>01160</v>
      </c>
      <c r="C3626" t="s">
        <v>1200</v>
      </c>
      <c r="D3626">
        <v>0</v>
      </c>
      <c r="E3626" t="s">
        <v>308</v>
      </c>
    </row>
    <row r="3627" spans="1:5" x14ac:dyDescent="0.25">
      <c r="A3627" s="34" t="s">
        <v>11</v>
      </c>
      <c r="B3627" t="str">
        <f t="shared" si="57"/>
        <v>01160</v>
      </c>
      <c r="C3627" t="s">
        <v>1204</v>
      </c>
      <c r="D3627">
        <v>114.82</v>
      </c>
      <c r="E3627" t="s">
        <v>308</v>
      </c>
    </row>
    <row r="3628" spans="1:5" x14ac:dyDescent="0.25">
      <c r="A3628" s="34" t="s">
        <v>11</v>
      </c>
      <c r="B3628" t="str">
        <f t="shared" si="57"/>
        <v>01160</v>
      </c>
      <c r="C3628" t="s">
        <v>1207</v>
      </c>
      <c r="D3628">
        <v>9.82</v>
      </c>
      <c r="E3628" t="s">
        <v>308</v>
      </c>
    </row>
    <row r="3629" spans="1:5" x14ac:dyDescent="0.25">
      <c r="A3629" s="34" t="s">
        <v>11</v>
      </c>
      <c r="B3629" t="str">
        <f t="shared" si="57"/>
        <v>01160</v>
      </c>
      <c r="C3629" t="s">
        <v>1208</v>
      </c>
      <c r="D3629">
        <v>33.06</v>
      </c>
      <c r="E3629" t="s">
        <v>308</v>
      </c>
    </row>
    <row r="3630" spans="1:5" x14ac:dyDescent="0.25">
      <c r="A3630" s="34" t="s">
        <v>11</v>
      </c>
      <c r="B3630" t="str">
        <f t="shared" si="57"/>
        <v>01160</v>
      </c>
      <c r="C3630" t="s">
        <v>1210</v>
      </c>
      <c r="D3630">
        <v>0</v>
      </c>
      <c r="E3630" t="s">
        <v>308</v>
      </c>
    </row>
    <row r="3631" spans="1:5" x14ac:dyDescent="0.25">
      <c r="A3631" s="34" t="s">
        <v>11</v>
      </c>
      <c r="B3631" t="str">
        <f t="shared" si="57"/>
        <v>01160</v>
      </c>
      <c r="C3631" t="s">
        <v>1212</v>
      </c>
      <c r="D3631">
        <v>0</v>
      </c>
      <c r="E3631" t="s">
        <v>308</v>
      </c>
    </row>
    <row r="3632" spans="1:5" x14ac:dyDescent="0.25">
      <c r="A3632" s="34" t="s">
        <v>11</v>
      </c>
      <c r="B3632" t="str">
        <f t="shared" si="57"/>
        <v>01160</v>
      </c>
      <c r="C3632" t="s">
        <v>1216</v>
      </c>
      <c r="D3632">
        <v>11.6</v>
      </c>
      <c r="E3632" t="s">
        <v>308</v>
      </c>
    </row>
    <row r="3633" spans="1:5" x14ac:dyDescent="0.25">
      <c r="A3633" s="34" t="s">
        <v>11</v>
      </c>
      <c r="B3633" t="str">
        <f t="shared" si="57"/>
        <v>01160</v>
      </c>
      <c r="C3633" t="s">
        <v>1198</v>
      </c>
      <c r="D3633">
        <v>26.2</v>
      </c>
      <c r="E3633" t="s">
        <v>308</v>
      </c>
    </row>
    <row r="3634" spans="1:5" x14ac:dyDescent="0.25">
      <c r="A3634" s="34">
        <v>32416</v>
      </c>
      <c r="B3634" t="str">
        <f t="shared" si="57"/>
        <v>32416</v>
      </c>
      <c r="C3634" t="s">
        <v>1193</v>
      </c>
      <c r="D3634">
        <v>0</v>
      </c>
      <c r="E3634" t="s">
        <v>535</v>
      </c>
    </row>
    <row r="3635" spans="1:5" x14ac:dyDescent="0.25">
      <c r="A3635" s="34">
        <v>32416</v>
      </c>
      <c r="B3635" t="str">
        <f t="shared" si="57"/>
        <v>32416</v>
      </c>
      <c r="C3635" t="s">
        <v>1194</v>
      </c>
      <c r="D3635">
        <v>321.58</v>
      </c>
      <c r="E3635" t="s">
        <v>535</v>
      </c>
    </row>
    <row r="3636" spans="1:5" x14ac:dyDescent="0.25">
      <c r="A3636" s="34">
        <v>32416</v>
      </c>
      <c r="B3636" t="str">
        <f t="shared" si="57"/>
        <v>32416</v>
      </c>
      <c r="C3636" t="s">
        <v>1195</v>
      </c>
      <c r="D3636">
        <v>0</v>
      </c>
      <c r="E3636" t="s">
        <v>535</v>
      </c>
    </row>
    <row r="3637" spans="1:5" x14ac:dyDescent="0.25">
      <c r="A3637" s="34">
        <v>32416</v>
      </c>
      <c r="B3637" t="str">
        <f t="shared" si="57"/>
        <v>32416</v>
      </c>
      <c r="C3637" t="s">
        <v>1197</v>
      </c>
      <c r="D3637">
        <v>109.51</v>
      </c>
      <c r="E3637" t="s">
        <v>535</v>
      </c>
    </row>
    <row r="3638" spans="1:5" x14ac:dyDescent="0.25">
      <c r="A3638" s="34">
        <v>32416</v>
      </c>
      <c r="B3638" t="str">
        <f t="shared" si="57"/>
        <v>32416</v>
      </c>
      <c r="C3638" t="s">
        <v>1202</v>
      </c>
      <c r="D3638">
        <v>0</v>
      </c>
      <c r="E3638" t="s">
        <v>535</v>
      </c>
    </row>
    <row r="3639" spans="1:5" x14ac:dyDescent="0.25">
      <c r="A3639" s="34">
        <v>32416</v>
      </c>
      <c r="B3639" t="str">
        <f t="shared" si="57"/>
        <v>32416</v>
      </c>
      <c r="C3639" t="s">
        <v>1206</v>
      </c>
      <c r="D3639">
        <v>195.16</v>
      </c>
      <c r="E3639" t="s">
        <v>535</v>
      </c>
    </row>
    <row r="3640" spans="1:5" x14ac:dyDescent="0.25">
      <c r="A3640" s="34">
        <v>32416</v>
      </c>
      <c r="B3640" t="str">
        <f t="shared" si="57"/>
        <v>32416</v>
      </c>
      <c r="C3640" t="s">
        <v>1199</v>
      </c>
      <c r="D3640">
        <v>0</v>
      </c>
      <c r="E3640" t="s">
        <v>535</v>
      </c>
    </row>
    <row r="3641" spans="1:5" x14ac:dyDescent="0.25">
      <c r="A3641" s="34">
        <v>32416</v>
      </c>
      <c r="B3641" t="str">
        <f t="shared" si="57"/>
        <v>32416</v>
      </c>
      <c r="C3641" t="s">
        <v>1203</v>
      </c>
      <c r="D3641">
        <v>229.16</v>
      </c>
      <c r="E3641" t="s">
        <v>535</v>
      </c>
    </row>
    <row r="3642" spans="1:5" x14ac:dyDescent="0.25">
      <c r="A3642" s="34">
        <v>32416</v>
      </c>
      <c r="B3642" t="str">
        <f t="shared" si="57"/>
        <v>32416</v>
      </c>
      <c r="C3642" t="s">
        <v>1200</v>
      </c>
      <c r="D3642">
        <v>0</v>
      </c>
      <c r="E3642" t="s">
        <v>535</v>
      </c>
    </row>
    <row r="3643" spans="1:5" x14ac:dyDescent="0.25">
      <c r="A3643" s="34">
        <v>32416</v>
      </c>
      <c r="B3643" t="str">
        <f t="shared" si="57"/>
        <v>32416</v>
      </c>
      <c r="C3643" t="s">
        <v>1204</v>
      </c>
      <c r="D3643">
        <v>355.73</v>
      </c>
      <c r="E3643" t="s">
        <v>535</v>
      </c>
    </row>
    <row r="3644" spans="1:5" x14ac:dyDescent="0.25">
      <c r="A3644" s="34">
        <v>32416</v>
      </c>
      <c r="B3644" t="str">
        <f t="shared" si="57"/>
        <v>32416</v>
      </c>
      <c r="C3644" t="s">
        <v>1207</v>
      </c>
      <c r="D3644">
        <v>56.19</v>
      </c>
      <c r="E3644" t="s">
        <v>535</v>
      </c>
    </row>
    <row r="3645" spans="1:5" x14ac:dyDescent="0.25">
      <c r="A3645" s="34">
        <v>32416</v>
      </c>
      <c r="B3645" t="str">
        <f t="shared" si="57"/>
        <v>32416</v>
      </c>
      <c r="C3645" t="s">
        <v>1208</v>
      </c>
      <c r="D3645">
        <v>99.99</v>
      </c>
      <c r="E3645" t="s">
        <v>535</v>
      </c>
    </row>
    <row r="3646" spans="1:5" x14ac:dyDescent="0.25">
      <c r="A3646" s="34">
        <v>32416</v>
      </c>
      <c r="B3646" t="str">
        <f t="shared" si="57"/>
        <v>32416</v>
      </c>
      <c r="C3646" t="s">
        <v>1210</v>
      </c>
      <c r="D3646">
        <v>0</v>
      </c>
      <c r="E3646" t="s">
        <v>535</v>
      </c>
    </row>
    <row r="3647" spans="1:5" x14ac:dyDescent="0.25">
      <c r="A3647" s="34">
        <v>32416</v>
      </c>
      <c r="B3647" t="str">
        <f t="shared" si="57"/>
        <v>32416</v>
      </c>
      <c r="C3647" t="s">
        <v>1212</v>
      </c>
      <c r="D3647">
        <v>0</v>
      </c>
      <c r="E3647" t="s">
        <v>535</v>
      </c>
    </row>
    <row r="3648" spans="1:5" x14ac:dyDescent="0.25">
      <c r="A3648" s="34">
        <v>32416</v>
      </c>
      <c r="B3648" t="str">
        <f t="shared" si="57"/>
        <v>32416</v>
      </c>
      <c r="C3648" t="s">
        <v>1216</v>
      </c>
      <c r="D3648">
        <v>0</v>
      </c>
      <c r="E3648" t="s">
        <v>535</v>
      </c>
    </row>
    <row r="3649" spans="1:5" x14ac:dyDescent="0.25">
      <c r="A3649" s="34">
        <v>32416</v>
      </c>
      <c r="B3649" t="str">
        <f t="shared" si="57"/>
        <v>32416</v>
      </c>
      <c r="C3649" t="s">
        <v>1198</v>
      </c>
      <c r="D3649">
        <v>86.23</v>
      </c>
      <c r="E3649" t="s">
        <v>535</v>
      </c>
    </row>
    <row r="3650" spans="1:5" x14ac:dyDescent="0.25">
      <c r="A3650">
        <v>17407</v>
      </c>
      <c r="B3650" t="str">
        <f t="shared" si="57"/>
        <v>17407</v>
      </c>
      <c r="C3650" t="s">
        <v>1193</v>
      </c>
      <c r="D3650">
        <v>0</v>
      </c>
      <c r="E3650" t="s">
        <v>402</v>
      </c>
    </row>
    <row r="3651" spans="1:5" x14ac:dyDescent="0.25">
      <c r="A3651">
        <v>17407</v>
      </c>
      <c r="B3651" t="str">
        <f t="shared" ref="B3651:B3714" si="58">TEXT(A3651,"00000")</f>
        <v>17407</v>
      </c>
      <c r="C3651" t="s">
        <v>1194</v>
      </c>
      <c r="D3651">
        <v>656.58</v>
      </c>
      <c r="E3651" t="s">
        <v>402</v>
      </c>
    </row>
    <row r="3652" spans="1:5" x14ac:dyDescent="0.25">
      <c r="A3652">
        <v>17407</v>
      </c>
      <c r="B3652" t="str">
        <f t="shared" si="58"/>
        <v>17407</v>
      </c>
      <c r="C3652" t="s">
        <v>1195</v>
      </c>
      <c r="D3652">
        <v>0</v>
      </c>
      <c r="E3652" t="s">
        <v>402</v>
      </c>
    </row>
    <row r="3653" spans="1:5" x14ac:dyDescent="0.25">
      <c r="A3653">
        <v>17407</v>
      </c>
      <c r="B3653" t="str">
        <f t="shared" si="58"/>
        <v>17407</v>
      </c>
      <c r="C3653" t="s">
        <v>1197</v>
      </c>
      <c r="D3653">
        <v>220.64</v>
      </c>
      <c r="E3653" t="s">
        <v>402</v>
      </c>
    </row>
    <row r="3654" spans="1:5" x14ac:dyDescent="0.25">
      <c r="A3654">
        <v>17407</v>
      </c>
      <c r="B3654" t="str">
        <f t="shared" si="58"/>
        <v>17407</v>
      </c>
      <c r="C3654" t="s">
        <v>1202</v>
      </c>
      <c r="D3654">
        <v>0</v>
      </c>
      <c r="E3654" t="s">
        <v>402</v>
      </c>
    </row>
    <row r="3655" spans="1:5" x14ac:dyDescent="0.25">
      <c r="A3655">
        <v>17407</v>
      </c>
      <c r="B3655" t="str">
        <f t="shared" si="58"/>
        <v>17407</v>
      </c>
      <c r="C3655" t="s">
        <v>1206</v>
      </c>
      <c r="D3655">
        <v>457.64</v>
      </c>
      <c r="E3655" t="s">
        <v>402</v>
      </c>
    </row>
    <row r="3656" spans="1:5" x14ac:dyDescent="0.25">
      <c r="A3656">
        <v>17407</v>
      </c>
      <c r="B3656" t="str">
        <f t="shared" si="58"/>
        <v>17407</v>
      </c>
      <c r="C3656" t="s">
        <v>1199</v>
      </c>
      <c r="D3656">
        <v>0</v>
      </c>
      <c r="E3656" t="s">
        <v>402</v>
      </c>
    </row>
    <row r="3657" spans="1:5" x14ac:dyDescent="0.25">
      <c r="A3657">
        <v>17407</v>
      </c>
      <c r="B3657" t="str">
        <f t="shared" si="58"/>
        <v>17407</v>
      </c>
      <c r="C3657" t="s">
        <v>1203</v>
      </c>
      <c r="D3657">
        <v>406.59</v>
      </c>
      <c r="E3657" t="s">
        <v>402</v>
      </c>
    </row>
    <row r="3658" spans="1:5" x14ac:dyDescent="0.25">
      <c r="A3658">
        <v>17407</v>
      </c>
      <c r="B3658" t="str">
        <f t="shared" si="58"/>
        <v>17407</v>
      </c>
      <c r="C3658" t="s">
        <v>1200</v>
      </c>
      <c r="D3658">
        <v>0</v>
      </c>
      <c r="E3658" t="s">
        <v>402</v>
      </c>
    </row>
    <row r="3659" spans="1:5" x14ac:dyDescent="0.25">
      <c r="A3659">
        <v>17407</v>
      </c>
      <c r="B3659" t="str">
        <f t="shared" si="58"/>
        <v>17407</v>
      </c>
      <c r="C3659" t="s">
        <v>1204</v>
      </c>
      <c r="D3659">
        <v>751.2</v>
      </c>
      <c r="E3659" t="s">
        <v>402</v>
      </c>
    </row>
    <row r="3660" spans="1:5" x14ac:dyDescent="0.25">
      <c r="A3660">
        <v>17407</v>
      </c>
      <c r="B3660" t="str">
        <f t="shared" si="58"/>
        <v>17407</v>
      </c>
      <c r="C3660" t="s">
        <v>1207</v>
      </c>
      <c r="D3660">
        <v>21.01</v>
      </c>
      <c r="E3660" t="s">
        <v>402</v>
      </c>
    </row>
    <row r="3661" spans="1:5" x14ac:dyDescent="0.25">
      <c r="A3661">
        <v>17407</v>
      </c>
      <c r="B3661" t="str">
        <f t="shared" si="58"/>
        <v>17407</v>
      </c>
      <c r="C3661" t="s">
        <v>1208</v>
      </c>
      <c r="D3661">
        <v>162.37</v>
      </c>
      <c r="E3661" t="s">
        <v>402</v>
      </c>
    </row>
    <row r="3662" spans="1:5" x14ac:dyDescent="0.25">
      <c r="A3662">
        <v>17407</v>
      </c>
      <c r="B3662" t="str">
        <f t="shared" si="58"/>
        <v>17407</v>
      </c>
      <c r="C3662" t="s">
        <v>1210</v>
      </c>
      <c r="D3662">
        <v>0</v>
      </c>
      <c r="E3662" t="s">
        <v>402</v>
      </c>
    </row>
    <row r="3663" spans="1:5" x14ac:dyDescent="0.25">
      <c r="A3663">
        <v>17407</v>
      </c>
      <c r="B3663" t="str">
        <f t="shared" si="58"/>
        <v>17407</v>
      </c>
      <c r="C3663" t="s">
        <v>1212</v>
      </c>
      <c r="D3663">
        <v>0</v>
      </c>
      <c r="E3663" t="s">
        <v>402</v>
      </c>
    </row>
    <row r="3664" spans="1:5" x14ac:dyDescent="0.25">
      <c r="A3664">
        <v>17407</v>
      </c>
      <c r="B3664" t="str">
        <f t="shared" si="58"/>
        <v>17407</v>
      </c>
      <c r="C3664" t="s">
        <v>1216</v>
      </c>
      <c r="D3664">
        <v>0</v>
      </c>
      <c r="E3664" t="s">
        <v>402</v>
      </c>
    </row>
    <row r="3665" spans="1:5" x14ac:dyDescent="0.25">
      <c r="A3665">
        <v>17407</v>
      </c>
      <c r="B3665" t="str">
        <f t="shared" si="58"/>
        <v>17407</v>
      </c>
      <c r="C3665" t="s">
        <v>1198</v>
      </c>
      <c r="D3665">
        <v>181.52</v>
      </c>
      <c r="E3665" t="s">
        <v>402</v>
      </c>
    </row>
    <row r="3666" spans="1:5" x14ac:dyDescent="0.25">
      <c r="A3666">
        <v>34401</v>
      </c>
      <c r="B3666" t="str">
        <f t="shared" si="58"/>
        <v>34401</v>
      </c>
      <c r="C3666" t="s">
        <v>1193</v>
      </c>
      <c r="D3666">
        <v>0</v>
      </c>
      <c r="E3666" t="s">
        <v>554</v>
      </c>
    </row>
    <row r="3667" spans="1:5" x14ac:dyDescent="0.25">
      <c r="A3667">
        <v>34401</v>
      </c>
      <c r="B3667" t="str">
        <f t="shared" si="58"/>
        <v>34401</v>
      </c>
      <c r="C3667" t="s">
        <v>1194</v>
      </c>
      <c r="D3667">
        <v>472.4</v>
      </c>
      <c r="E3667" t="s">
        <v>554</v>
      </c>
    </row>
    <row r="3668" spans="1:5" x14ac:dyDescent="0.25">
      <c r="A3668">
        <v>34401</v>
      </c>
      <c r="B3668" t="str">
        <f t="shared" si="58"/>
        <v>34401</v>
      </c>
      <c r="C3668" t="s">
        <v>1195</v>
      </c>
      <c r="D3668">
        <v>0</v>
      </c>
      <c r="E3668" t="s">
        <v>554</v>
      </c>
    </row>
    <row r="3669" spans="1:5" x14ac:dyDescent="0.25">
      <c r="A3669">
        <v>34401</v>
      </c>
      <c r="B3669" t="str">
        <f t="shared" si="58"/>
        <v>34401</v>
      </c>
      <c r="C3669" t="s">
        <v>1197</v>
      </c>
      <c r="D3669">
        <v>179.8</v>
      </c>
      <c r="E3669" t="s">
        <v>554</v>
      </c>
    </row>
    <row r="3670" spans="1:5" x14ac:dyDescent="0.25">
      <c r="A3670">
        <v>34401</v>
      </c>
      <c r="B3670" t="str">
        <f t="shared" si="58"/>
        <v>34401</v>
      </c>
      <c r="C3670" t="s">
        <v>1202</v>
      </c>
      <c r="D3670">
        <v>0</v>
      </c>
      <c r="E3670" t="s">
        <v>554</v>
      </c>
    </row>
    <row r="3671" spans="1:5" x14ac:dyDescent="0.25">
      <c r="A3671">
        <v>34401</v>
      </c>
      <c r="B3671" t="str">
        <f t="shared" si="58"/>
        <v>34401</v>
      </c>
      <c r="C3671" t="s">
        <v>1206</v>
      </c>
      <c r="D3671">
        <v>339.74</v>
      </c>
      <c r="E3671" t="s">
        <v>554</v>
      </c>
    </row>
    <row r="3672" spans="1:5" x14ac:dyDescent="0.25">
      <c r="A3672">
        <v>34401</v>
      </c>
      <c r="B3672" t="str">
        <f t="shared" si="58"/>
        <v>34401</v>
      </c>
      <c r="C3672" t="s">
        <v>1199</v>
      </c>
      <c r="D3672">
        <v>0</v>
      </c>
      <c r="E3672" t="s">
        <v>554</v>
      </c>
    </row>
    <row r="3673" spans="1:5" x14ac:dyDescent="0.25">
      <c r="A3673">
        <v>34401</v>
      </c>
      <c r="B3673" t="str">
        <f t="shared" si="58"/>
        <v>34401</v>
      </c>
      <c r="C3673" t="s">
        <v>1203</v>
      </c>
      <c r="D3673">
        <v>340.93</v>
      </c>
      <c r="E3673" t="s">
        <v>554</v>
      </c>
    </row>
    <row r="3674" spans="1:5" x14ac:dyDescent="0.25">
      <c r="A3674">
        <v>34401</v>
      </c>
      <c r="B3674" t="str">
        <f t="shared" si="58"/>
        <v>34401</v>
      </c>
      <c r="C3674" t="s">
        <v>1200</v>
      </c>
      <c r="D3674">
        <v>0</v>
      </c>
      <c r="E3674" t="s">
        <v>554</v>
      </c>
    </row>
    <row r="3675" spans="1:5" x14ac:dyDescent="0.25">
      <c r="A3675">
        <v>34401</v>
      </c>
      <c r="B3675" t="str">
        <f t="shared" si="58"/>
        <v>34401</v>
      </c>
      <c r="C3675" t="s">
        <v>1204</v>
      </c>
      <c r="D3675">
        <v>520</v>
      </c>
      <c r="E3675" t="s">
        <v>554</v>
      </c>
    </row>
    <row r="3676" spans="1:5" x14ac:dyDescent="0.25">
      <c r="A3676">
        <v>34401</v>
      </c>
      <c r="B3676" t="str">
        <f t="shared" si="58"/>
        <v>34401</v>
      </c>
      <c r="C3676" t="s">
        <v>1207</v>
      </c>
      <c r="D3676">
        <v>0</v>
      </c>
      <c r="E3676" t="s">
        <v>554</v>
      </c>
    </row>
    <row r="3677" spans="1:5" x14ac:dyDescent="0.25">
      <c r="A3677">
        <v>34401</v>
      </c>
      <c r="B3677" t="str">
        <f t="shared" si="58"/>
        <v>34401</v>
      </c>
      <c r="C3677" t="s">
        <v>1208</v>
      </c>
      <c r="D3677">
        <v>135.15</v>
      </c>
      <c r="E3677" t="s">
        <v>554</v>
      </c>
    </row>
    <row r="3678" spans="1:5" x14ac:dyDescent="0.25">
      <c r="A3678">
        <v>34401</v>
      </c>
      <c r="B3678" t="str">
        <f t="shared" si="58"/>
        <v>34401</v>
      </c>
      <c r="C3678" t="s">
        <v>1210</v>
      </c>
      <c r="D3678">
        <v>0</v>
      </c>
      <c r="E3678" t="s">
        <v>554</v>
      </c>
    </row>
    <row r="3679" spans="1:5" x14ac:dyDescent="0.25">
      <c r="A3679">
        <v>34401</v>
      </c>
      <c r="B3679" t="str">
        <f t="shared" si="58"/>
        <v>34401</v>
      </c>
      <c r="C3679" t="s">
        <v>1212</v>
      </c>
      <c r="D3679">
        <v>0</v>
      </c>
      <c r="E3679" t="s">
        <v>554</v>
      </c>
    </row>
    <row r="3680" spans="1:5" x14ac:dyDescent="0.25">
      <c r="A3680">
        <v>34401</v>
      </c>
      <c r="B3680" t="str">
        <f t="shared" si="58"/>
        <v>34401</v>
      </c>
      <c r="C3680" t="s">
        <v>1216</v>
      </c>
      <c r="D3680">
        <v>34.200000000000003</v>
      </c>
      <c r="E3680" t="s">
        <v>554</v>
      </c>
    </row>
    <row r="3681" spans="1:5" x14ac:dyDescent="0.25">
      <c r="A3681">
        <v>34401</v>
      </c>
      <c r="B3681" t="str">
        <f t="shared" si="58"/>
        <v>34401</v>
      </c>
      <c r="C3681" t="s">
        <v>1198</v>
      </c>
      <c r="D3681">
        <v>127.52</v>
      </c>
      <c r="E3681" t="s">
        <v>554</v>
      </c>
    </row>
    <row r="3682" spans="1:5" x14ac:dyDescent="0.25">
      <c r="A3682">
        <v>20403</v>
      </c>
      <c r="B3682" t="str">
        <f t="shared" si="58"/>
        <v>20403</v>
      </c>
      <c r="C3682" t="s">
        <v>1193</v>
      </c>
      <c r="D3682">
        <v>0</v>
      </c>
      <c r="E3682" t="s">
        <v>430</v>
      </c>
    </row>
    <row r="3683" spans="1:5" x14ac:dyDescent="0.25">
      <c r="A3683">
        <v>20403</v>
      </c>
      <c r="B3683" t="str">
        <f t="shared" si="58"/>
        <v>20403</v>
      </c>
      <c r="C3683" t="s">
        <v>1194</v>
      </c>
      <c r="D3683">
        <v>10</v>
      </c>
      <c r="E3683" t="s">
        <v>430</v>
      </c>
    </row>
    <row r="3684" spans="1:5" x14ac:dyDescent="0.25">
      <c r="A3684">
        <v>20403</v>
      </c>
      <c r="B3684" t="str">
        <f t="shared" si="58"/>
        <v>20403</v>
      </c>
      <c r="C3684" t="s">
        <v>1195</v>
      </c>
      <c r="D3684">
        <v>0</v>
      </c>
      <c r="E3684" t="s">
        <v>430</v>
      </c>
    </row>
    <row r="3685" spans="1:5" x14ac:dyDescent="0.25">
      <c r="A3685">
        <v>20403</v>
      </c>
      <c r="B3685" t="str">
        <f t="shared" si="58"/>
        <v>20403</v>
      </c>
      <c r="C3685" t="s">
        <v>1197</v>
      </c>
      <c r="D3685">
        <v>2</v>
      </c>
      <c r="E3685" t="s">
        <v>430</v>
      </c>
    </row>
    <row r="3686" spans="1:5" x14ac:dyDescent="0.25">
      <c r="A3686">
        <v>20403</v>
      </c>
      <c r="B3686" t="str">
        <f t="shared" si="58"/>
        <v>20403</v>
      </c>
      <c r="C3686" t="s">
        <v>1202</v>
      </c>
      <c r="D3686">
        <v>0</v>
      </c>
      <c r="E3686" t="s">
        <v>430</v>
      </c>
    </row>
    <row r="3687" spans="1:5" x14ac:dyDescent="0.25">
      <c r="A3687">
        <v>20403</v>
      </c>
      <c r="B3687" t="str">
        <f t="shared" si="58"/>
        <v>20403</v>
      </c>
      <c r="C3687" t="s">
        <v>1206</v>
      </c>
      <c r="D3687">
        <v>7</v>
      </c>
      <c r="E3687" t="s">
        <v>430</v>
      </c>
    </row>
    <row r="3688" spans="1:5" x14ac:dyDescent="0.25">
      <c r="A3688">
        <v>20403</v>
      </c>
      <c r="B3688" t="str">
        <f t="shared" si="58"/>
        <v>20403</v>
      </c>
      <c r="C3688" t="s">
        <v>1199</v>
      </c>
      <c r="D3688">
        <v>0</v>
      </c>
      <c r="E3688" t="s">
        <v>430</v>
      </c>
    </row>
    <row r="3689" spans="1:5" x14ac:dyDescent="0.25">
      <c r="A3689">
        <v>20403</v>
      </c>
      <c r="B3689" t="str">
        <f t="shared" si="58"/>
        <v>20403</v>
      </c>
      <c r="C3689" t="s">
        <v>1203</v>
      </c>
      <c r="D3689">
        <v>0</v>
      </c>
      <c r="E3689" t="s">
        <v>430</v>
      </c>
    </row>
    <row r="3690" spans="1:5" x14ac:dyDescent="0.25">
      <c r="A3690">
        <v>20403</v>
      </c>
      <c r="B3690" t="str">
        <f t="shared" si="58"/>
        <v>20403</v>
      </c>
      <c r="C3690" t="s">
        <v>1200</v>
      </c>
      <c r="D3690">
        <v>0</v>
      </c>
      <c r="E3690" t="s">
        <v>430</v>
      </c>
    </row>
    <row r="3691" spans="1:5" x14ac:dyDescent="0.25">
      <c r="A3691">
        <v>20403</v>
      </c>
      <c r="B3691" t="str">
        <f t="shared" si="58"/>
        <v>20403</v>
      </c>
      <c r="C3691" t="s">
        <v>1204</v>
      </c>
      <c r="D3691">
        <v>0</v>
      </c>
      <c r="E3691" t="s">
        <v>430</v>
      </c>
    </row>
    <row r="3692" spans="1:5" x14ac:dyDescent="0.25">
      <c r="A3692">
        <v>20403</v>
      </c>
      <c r="B3692" t="str">
        <f t="shared" si="58"/>
        <v>20403</v>
      </c>
      <c r="C3692" t="s">
        <v>1207</v>
      </c>
      <c r="D3692">
        <v>0</v>
      </c>
      <c r="E3692" t="s">
        <v>430</v>
      </c>
    </row>
    <row r="3693" spans="1:5" x14ac:dyDescent="0.25">
      <c r="A3693">
        <v>20403</v>
      </c>
      <c r="B3693" t="str">
        <f t="shared" si="58"/>
        <v>20403</v>
      </c>
      <c r="C3693" t="s">
        <v>1208</v>
      </c>
      <c r="D3693">
        <v>0</v>
      </c>
      <c r="E3693" t="s">
        <v>430</v>
      </c>
    </row>
    <row r="3694" spans="1:5" x14ac:dyDescent="0.25">
      <c r="A3694">
        <v>20403</v>
      </c>
      <c r="B3694" t="str">
        <f t="shared" si="58"/>
        <v>20403</v>
      </c>
      <c r="C3694" t="s">
        <v>1210</v>
      </c>
      <c r="D3694">
        <v>0</v>
      </c>
      <c r="E3694" t="s">
        <v>430</v>
      </c>
    </row>
    <row r="3695" spans="1:5" x14ac:dyDescent="0.25">
      <c r="A3695">
        <v>20403</v>
      </c>
      <c r="B3695" t="str">
        <f t="shared" si="58"/>
        <v>20403</v>
      </c>
      <c r="C3695" t="s">
        <v>1212</v>
      </c>
      <c r="D3695">
        <v>0</v>
      </c>
      <c r="E3695" t="s">
        <v>430</v>
      </c>
    </row>
    <row r="3696" spans="1:5" x14ac:dyDescent="0.25">
      <c r="A3696">
        <v>20403</v>
      </c>
      <c r="B3696" t="str">
        <f t="shared" si="58"/>
        <v>20403</v>
      </c>
      <c r="C3696" t="s">
        <v>1216</v>
      </c>
      <c r="D3696">
        <v>0</v>
      </c>
      <c r="E3696" t="s">
        <v>430</v>
      </c>
    </row>
    <row r="3697" spans="1:5" x14ac:dyDescent="0.25">
      <c r="A3697">
        <v>20403</v>
      </c>
      <c r="B3697" t="str">
        <f t="shared" si="58"/>
        <v>20403</v>
      </c>
      <c r="C3697" t="s">
        <v>1198</v>
      </c>
      <c r="D3697">
        <v>6</v>
      </c>
      <c r="E3697" t="s">
        <v>430</v>
      </c>
    </row>
    <row r="3698" spans="1:5" x14ac:dyDescent="0.25">
      <c r="A3698" t="s">
        <v>1106</v>
      </c>
      <c r="B3698" t="str">
        <f t="shared" si="58"/>
        <v>06901</v>
      </c>
      <c r="C3698" t="s">
        <v>1193</v>
      </c>
      <c r="D3698">
        <v>0</v>
      </c>
      <c r="E3698" t="s">
        <v>1238</v>
      </c>
    </row>
    <row r="3699" spans="1:5" x14ac:dyDescent="0.25">
      <c r="A3699" t="s">
        <v>1106</v>
      </c>
      <c r="B3699" t="str">
        <f t="shared" si="58"/>
        <v>06901</v>
      </c>
      <c r="C3699" t="s">
        <v>1194</v>
      </c>
      <c r="D3699">
        <v>0</v>
      </c>
      <c r="E3699" t="s">
        <v>1238</v>
      </c>
    </row>
    <row r="3700" spans="1:5" x14ac:dyDescent="0.25">
      <c r="A3700" t="s">
        <v>1106</v>
      </c>
      <c r="B3700" t="str">
        <f t="shared" si="58"/>
        <v>06901</v>
      </c>
      <c r="C3700" t="s">
        <v>1195</v>
      </c>
      <c r="D3700">
        <v>0</v>
      </c>
      <c r="E3700" t="s">
        <v>1238</v>
      </c>
    </row>
    <row r="3701" spans="1:5" x14ac:dyDescent="0.25">
      <c r="A3701" t="s">
        <v>1106</v>
      </c>
      <c r="B3701" t="str">
        <f t="shared" si="58"/>
        <v>06901</v>
      </c>
      <c r="C3701" t="s">
        <v>1197</v>
      </c>
      <c r="D3701">
        <v>0</v>
      </c>
      <c r="E3701" t="s">
        <v>1238</v>
      </c>
    </row>
    <row r="3702" spans="1:5" x14ac:dyDescent="0.25">
      <c r="A3702" t="s">
        <v>1106</v>
      </c>
      <c r="B3702" t="str">
        <f t="shared" si="58"/>
        <v>06901</v>
      </c>
      <c r="C3702" t="s">
        <v>1202</v>
      </c>
      <c r="D3702">
        <v>0</v>
      </c>
      <c r="E3702" t="s">
        <v>1238</v>
      </c>
    </row>
    <row r="3703" spans="1:5" x14ac:dyDescent="0.25">
      <c r="A3703" t="s">
        <v>1106</v>
      </c>
      <c r="B3703" t="str">
        <f t="shared" si="58"/>
        <v>06901</v>
      </c>
      <c r="C3703" t="s">
        <v>1206</v>
      </c>
      <c r="D3703">
        <v>0</v>
      </c>
      <c r="E3703" t="s">
        <v>1238</v>
      </c>
    </row>
    <row r="3704" spans="1:5" x14ac:dyDescent="0.25">
      <c r="A3704" t="s">
        <v>1106</v>
      </c>
      <c r="B3704" t="str">
        <f t="shared" si="58"/>
        <v>06901</v>
      </c>
      <c r="C3704" t="s">
        <v>1199</v>
      </c>
      <c r="D3704">
        <v>0</v>
      </c>
      <c r="E3704" t="s">
        <v>1238</v>
      </c>
    </row>
    <row r="3705" spans="1:5" x14ac:dyDescent="0.25">
      <c r="A3705" t="s">
        <v>1106</v>
      </c>
      <c r="B3705" t="str">
        <f t="shared" si="58"/>
        <v>06901</v>
      </c>
      <c r="C3705" t="s">
        <v>1203</v>
      </c>
      <c r="D3705">
        <v>0</v>
      </c>
      <c r="E3705" t="s">
        <v>1238</v>
      </c>
    </row>
    <row r="3706" spans="1:5" x14ac:dyDescent="0.25">
      <c r="A3706" t="s">
        <v>1106</v>
      </c>
      <c r="B3706" t="str">
        <f t="shared" si="58"/>
        <v>06901</v>
      </c>
      <c r="C3706" t="s">
        <v>1200</v>
      </c>
      <c r="D3706">
        <v>0</v>
      </c>
      <c r="E3706" t="s">
        <v>1238</v>
      </c>
    </row>
    <row r="3707" spans="1:5" x14ac:dyDescent="0.25">
      <c r="A3707" t="s">
        <v>1106</v>
      </c>
      <c r="B3707" t="str">
        <f t="shared" si="58"/>
        <v>06901</v>
      </c>
      <c r="C3707" t="s">
        <v>1204</v>
      </c>
      <c r="D3707">
        <v>55.38</v>
      </c>
      <c r="E3707" t="s">
        <v>1238</v>
      </c>
    </row>
    <row r="3708" spans="1:5" x14ac:dyDescent="0.25">
      <c r="A3708" t="s">
        <v>1106</v>
      </c>
      <c r="B3708" t="str">
        <f t="shared" si="58"/>
        <v>06901</v>
      </c>
      <c r="C3708" t="s">
        <v>1207</v>
      </c>
      <c r="D3708">
        <v>0</v>
      </c>
      <c r="E3708" t="s">
        <v>1238</v>
      </c>
    </row>
    <row r="3709" spans="1:5" x14ac:dyDescent="0.25">
      <c r="A3709" t="s">
        <v>1106</v>
      </c>
      <c r="B3709" t="str">
        <f t="shared" si="58"/>
        <v>06901</v>
      </c>
      <c r="C3709" t="s">
        <v>1208</v>
      </c>
      <c r="D3709">
        <v>8.31</v>
      </c>
      <c r="E3709" t="s">
        <v>1238</v>
      </c>
    </row>
    <row r="3710" spans="1:5" x14ac:dyDescent="0.25">
      <c r="A3710" t="s">
        <v>1106</v>
      </c>
      <c r="B3710" t="str">
        <f t="shared" si="58"/>
        <v>06901</v>
      </c>
      <c r="C3710" t="s">
        <v>1210</v>
      </c>
      <c r="D3710">
        <v>0</v>
      </c>
      <c r="E3710" t="s">
        <v>1238</v>
      </c>
    </row>
    <row r="3711" spans="1:5" x14ac:dyDescent="0.25">
      <c r="A3711" t="s">
        <v>1106</v>
      </c>
      <c r="B3711" t="str">
        <f t="shared" si="58"/>
        <v>06901</v>
      </c>
      <c r="C3711" t="s">
        <v>1212</v>
      </c>
      <c r="D3711">
        <v>0</v>
      </c>
      <c r="E3711" t="s">
        <v>1238</v>
      </c>
    </row>
    <row r="3712" spans="1:5" x14ac:dyDescent="0.25">
      <c r="A3712" t="s">
        <v>1106</v>
      </c>
      <c r="B3712" t="str">
        <f t="shared" si="58"/>
        <v>06901</v>
      </c>
      <c r="C3712" t="s">
        <v>1216</v>
      </c>
      <c r="D3712">
        <v>0</v>
      </c>
      <c r="E3712" t="s">
        <v>1238</v>
      </c>
    </row>
    <row r="3713" spans="1:5" x14ac:dyDescent="0.25">
      <c r="A3713" t="s">
        <v>1106</v>
      </c>
      <c r="B3713" t="str">
        <f t="shared" si="58"/>
        <v>06901</v>
      </c>
      <c r="C3713" t="s">
        <v>1198</v>
      </c>
      <c r="D3713">
        <v>0</v>
      </c>
      <c r="E3713" t="s">
        <v>1238</v>
      </c>
    </row>
    <row r="3714" spans="1:5" x14ac:dyDescent="0.25">
      <c r="A3714" s="34">
        <v>38320</v>
      </c>
      <c r="B3714" t="str">
        <f t="shared" si="58"/>
        <v>38320</v>
      </c>
      <c r="C3714" t="s">
        <v>1193</v>
      </c>
      <c r="D3714">
        <v>0</v>
      </c>
      <c r="E3714" t="s">
        <v>582</v>
      </c>
    </row>
    <row r="3715" spans="1:5" x14ac:dyDescent="0.25">
      <c r="A3715" s="34">
        <v>38320</v>
      </c>
      <c r="B3715" t="str">
        <f t="shared" ref="B3715:B3778" si="59">TEXT(A3715,"00000")</f>
        <v>38320</v>
      </c>
      <c r="C3715" t="s">
        <v>1194</v>
      </c>
      <c r="D3715">
        <v>32.4</v>
      </c>
      <c r="E3715" t="s">
        <v>582</v>
      </c>
    </row>
    <row r="3716" spans="1:5" x14ac:dyDescent="0.25">
      <c r="A3716" s="34">
        <v>38320</v>
      </c>
      <c r="B3716" t="str">
        <f t="shared" si="59"/>
        <v>38320</v>
      </c>
      <c r="C3716" t="s">
        <v>1195</v>
      </c>
      <c r="D3716">
        <v>0</v>
      </c>
      <c r="E3716" t="s">
        <v>582</v>
      </c>
    </row>
    <row r="3717" spans="1:5" x14ac:dyDescent="0.25">
      <c r="A3717" s="34">
        <v>38320</v>
      </c>
      <c r="B3717" t="str">
        <f t="shared" si="59"/>
        <v>38320</v>
      </c>
      <c r="C3717" t="s">
        <v>1197</v>
      </c>
      <c r="D3717">
        <v>11.4</v>
      </c>
      <c r="E3717" t="s">
        <v>582</v>
      </c>
    </row>
    <row r="3718" spans="1:5" x14ac:dyDescent="0.25">
      <c r="A3718" s="34">
        <v>38320</v>
      </c>
      <c r="B3718" t="str">
        <f t="shared" si="59"/>
        <v>38320</v>
      </c>
      <c r="C3718" t="s">
        <v>1202</v>
      </c>
      <c r="D3718">
        <v>0</v>
      </c>
      <c r="E3718" t="s">
        <v>582</v>
      </c>
    </row>
    <row r="3719" spans="1:5" x14ac:dyDescent="0.25">
      <c r="A3719" s="34">
        <v>38320</v>
      </c>
      <c r="B3719" t="str">
        <f t="shared" si="59"/>
        <v>38320</v>
      </c>
      <c r="C3719" t="s">
        <v>1206</v>
      </c>
      <c r="D3719">
        <v>23.37</v>
      </c>
      <c r="E3719" t="s">
        <v>582</v>
      </c>
    </row>
    <row r="3720" spans="1:5" x14ac:dyDescent="0.25">
      <c r="A3720" s="34">
        <v>38320</v>
      </c>
      <c r="B3720" t="str">
        <f t="shared" si="59"/>
        <v>38320</v>
      </c>
      <c r="C3720" t="s">
        <v>1199</v>
      </c>
      <c r="D3720">
        <v>0</v>
      </c>
      <c r="E3720" t="s">
        <v>582</v>
      </c>
    </row>
    <row r="3721" spans="1:5" x14ac:dyDescent="0.25">
      <c r="A3721" s="34">
        <v>38320</v>
      </c>
      <c r="B3721" t="str">
        <f t="shared" si="59"/>
        <v>38320</v>
      </c>
      <c r="C3721" t="s">
        <v>1203</v>
      </c>
      <c r="D3721">
        <v>25.45</v>
      </c>
      <c r="E3721" t="s">
        <v>582</v>
      </c>
    </row>
    <row r="3722" spans="1:5" x14ac:dyDescent="0.25">
      <c r="A3722" s="34">
        <v>38320</v>
      </c>
      <c r="B3722" t="str">
        <f t="shared" si="59"/>
        <v>38320</v>
      </c>
      <c r="C3722" t="s">
        <v>1200</v>
      </c>
      <c r="D3722">
        <v>0</v>
      </c>
      <c r="E3722" t="s">
        <v>582</v>
      </c>
    </row>
    <row r="3723" spans="1:5" x14ac:dyDescent="0.25">
      <c r="A3723" s="34">
        <v>38320</v>
      </c>
      <c r="B3723" t="str">
        <f t="shared" si="59"/>
        <v>38320</v>
      </c>
      <c r="C3723" t="s">
        <v>1204</v>
      </c>
      <c r="D3723">
        <v>37.06</v>
      </c>
      <c r="E3723" t="s">
        <v>582</v>
      </c>
    </row>
    <row r="3724" spans="1:5" x14ac:dyDescent="0.25">
      <c r="A3724" s="34">
        <v>38320</v>
      </c>
      <c r="B3724" t="str">
        <f t="shared" si="59"/>
        <v>38320</v>
      </c>
      <c r="C3724" t="s">
        <v>1207</v>
      </c>
      <c r="D3724">
        <v>2.35</v>
      </c>
      <c r="E3724" t="s">
        <v>582</v>
      </c>
    </row>
    <row r="3725" spans="1:5" x14ac:dyDescent="0.25">
      <c r="A3725" s="34">
        <v>38320</v>
      </c>
      <c r="B3725" t="str">
        <f t="shared" si="59"/>
        <v>38320</v>
      </c>
      <c r="C3725" t="s">
        <v>1208</v>
      </c>
      <c r="D3725">
        <v>5.89</v>
      </c>
      <c r="E3725" t="s">
        <v>582</v>
      </c>
    </row>
    <row r="3726" spans="1:5" x14ac:dyDescent="0.25">
      <c r="A3726" s="34">
        <v>38320</v>
      </c>
      <c r="B3726" t="str">
        <f t="shared" si="59"/>
        <v>38320</v>
      </c>
      <c r="C3726" t="s">
        <v>1210</v>
      </c>
      <c r="D3726">
        <v>0</v>
      </c>
      <c r="E3726" t="s">
        <v>582</v>
      </c>
    </row>
    <row r="3727" spans="1:5" x14ac:dyDescent="0.25">
      <c r="A3727" s="34">
        <v>38320</v>
      </c>
      <c r="B3727" t="str">
        <f t="shared" si="59"/>
        <v>38320</v>
      </c>
      <c r="C3727" t="s">
        <v>1212</v>
      </c>
      <c r="D3727">
        <v>0</v>
      </c>
      <c r="E3727" t="s">
        <v>582</v>
      </c>
    </row>
    <row r="3728" spans="1:5" x14ac:dyDescent="0.25">
      <c r="A3728" s="34">
        <v>38320</v>
      </c>
      <c r="B3728" t="str">
        <f t="shared" si="59"/>
        <v>38320</v>
      </c>
      <c r="C3728" t="s">
        <v>1216</v>
      </c>
      <c r="D3728">
        <v>9.3000000000000007</v>
      </c>
      <c r="E3728" t="s">
        <v>582</v>
      </c>
    </row>
    <row r="3729" spans="1:5" x14ac:dyDescent="0.25">
      <c r="A3729" s="34">
        <v>38320</v>
      </c>
      <c r="B3729" t="str">
        <f t="shared" si="59"/>
        <v>38320</v>
      </c>
      <c r="C3729" t="s">
        <v>1198</v>
      </c>
      <c r="D3729">
        <v>6</v>
      </c>
      <c r="E3729" t="s">
        <v>582</v>
      </c>
    </row>
    <row r="3730" spans="1:5" x14ac:dyDescent="0.25">
      <c r="A3730">
        <v>13160</v>
      </c>
      <c r="B3730" t="str">
        <f t="shared" si="59"/>
        <v>13160</v>
      </c>
      <c r="C3730" t="s">
        <v>1193</v>
      </c>
      <c r="D3730">
        <v>0</v>
      </c>
      <c r="E3730" t="s">
        <v>366</v>
      </c>
    </row>
    <row r="3731" spans="1:5" x14ac:dyDescent="0.25">
      <c r="A3731">
        <v>13160</v>
      </c>
      <c r="B3731" t="str">
        <f t="shared" si="59"/>
        <v>13160</v>
      </c>
      <c r="C3731" t="s">
        <v>1194</v>
      </c>
      <c r="D3731">
        <v>337.05</v>
      </c>
      <c r="E3731" t="s">
        <v>366</v>
      </c>
    </row>
    <row r="3732" spans="1:5" x14ac:dyDescent="0.25">
      <c r="A3732">
        <v>13160</v>
      </c>
      <c r="B3732" t="str">
        <f t="shared" si="59"/>
        <v>13160</v>
      </c>
      <c r="C3732" t="s">
        <v>1195</v>
      </c>
      <c r="D3732">
        <v>0</v>
      </c>
      <c r="E3732" t="s">
        <v>366</v>
      </c>
    </row>
    <row r="3733" spans="1:5" x14ac:dyDescent="0.25">
      <c r="A3733">
        <v>13160</v>
      </c>
      <c r="B3733" t="str">
        <f t="shared" si="59"/>
        <v>13160</v>
      </c>
      <c r="C3733" t="s">
        <v>1197</v>
      </c>
      <c r="D3733">
        <v>130.63</v>
      </c>
      <c r="E3733" t="s">
        <v>366</v>
      </c>
    </row>
    <row r="3734" spans="1:5" x14ac:dyDescent="0.25">
      <c r="A3734">
        <v>13160</v>
      </c>
      <c r="B3734" t="str">
        <f t="shared" si="59"/>
        <v>13160</v>
      </c>
      <c r="C3734" t="s">
        <v>1202</v>
      </c>
      <c r="D3734">
        <v>0</v>
      </c>
      <c r="E3734" t="s">
        <v>366</v>
      </c>
    </row>
    <row r="3735" spans="1:5" x14ac:dyDescent="0.25">
      <c r="A3735">
        <v>13160</v>
      </c>
      <c r="B3735" t="str">
        <f t="shared" si="59"/>
        <v>13160</v>
      </c>
      <c r="C3735" t="s">
        <v>1206</v>
      </c>
      <c r="D3735">
        <v>248.68</v>
      </c>
      <c r="E3735" t="s">
        <v>366</v>
      </c>
    </row>
    <row r="3736" spans="1:5" x14ac:dyDescent="0.25">
      <c r="A3736">
        <v>13160</v>
      </c>
      <c r="B3736" t="str">
        <f t="shared" si="59"/>
        <v>13160</v>
      </c>
      <c r="C3736" t="s">
        <v>1199</v>
      </c>
      <c r="D3736">
        <v>0</v>
      </c>
      <c r="E3736" t="s">
        <v>366</v>
      </c>
    </row>
    <row r="3737" spans="1:5" x14ac:dyDescent="0.25">
      <c r="A3737">
        <v>13160</v>
      </c>
      <c r="B3737" t="str">
        <f t="shared" si="59"/>
        <v>13160</v>
      </c>
      <c r="C3737" t="s">
        <v>1203</v>
      </c>
      <c r="D3737">
        <v>281.60000000000002</v>
      </c>
      <c r="E3737" t="s">
        <v>366</v>
      </c>
    </row>
    <row r="3738" spans="1:5" x14ac:dyDescent="0.25">
      <c r="A3738">
        <v>13160</v>
      </c>
      <c r="B3738" t="str">
        <f t="shared" si="59"/>
        <v>13160</v>
      </c>
      <c r="C3738" t="s">
        <v>1200</v>
      </c>
      <c r="D3738">
        <v>0</v>
      </c>
      <c r="E3738" t="s">
        <v>366</v>
      </c>
    </row>
    <row r="3739" spans="1:5" x14ac:dyDescent="0.25">
      <c r="A3739">
        <v>13160</v>
      </c>
      <c r="B3739" t="str">
        <f t="shared" si="59"/>
        <v>13160</v>
      </c>
      <c r="C3739" t="s">
        <v>1204</v>
      </c>
      <c r="D3739">
        <v>542.95000000000005</v>
      </c>
      <c r="E3739" t="s">
        <v>366</v>
      </c>
    </row>
    <row r="3740" spans="1:5" x14ac:dyDescent="0.25">
      <c r="A3740">
        <v>13160</v>
      </c>
      <c r="B3740" t="str">
        <f t="shared" si="59"/>
        <v>13160</v>
      </c>
      <c r="C3740" t="s">
        <v>1207</v>
      </c>
      <c r="D3740">
        <v>18.5</v>
      </c>
      <c r="E3740" t="s">
        <v>366</v>
      </c>
    </row>
    <row r="3741" spans="1:5" x14ac:dyDescent="0.25">
      <c r="A3741">
        <v>13160</v>
      </c>
      <c r="B3741" t="str">
        <f t="shared" si="59"/>
        <v>13160</v>
      </c>
      <c r="C3741" t="s">
        <v>1208</v>
      </c>
      <c r="D3741">
        <v>124.5</v>
      </c>
      <c r="E3741" t="s">
        <v>366</v>
      </c>
    </row>
    <row r="3742" spans="1:5" x14ac:dyDescent="0.25">
      <c r="A3742">
        <v>13160</v>
      </c>
      <c r="B3742" t="str">
        <f t="shared" si="59"/>
        <v>13160</v>
      </c>
      <c r="C3742" t="s">
        <v>1210</v>
      </c>
      <c r="D3742">
        <v>0</v>
      </c>
      <c r="E3742" t="s">
        <v>366</v>
      </c>
    </row>
    <row r="3743" spans="1:5" x14ac:dyDescent="0.25">
      <c r="A3743">
        <v>13160</v>
      </c>
      <c r="B3743" t="str">
        <f t="shared" si="59"/>
        <v>13160</v>
      </c>
      <c r="C3743" t="s">
        <v>1212</v>
      </c>
      <c r="D3743">
        <v>0</v>
      </c>
      <c r="E3743" t="s">
        <v>366</v>
      </c>
    </row>
    <row r="3744" spans="1:5" x14ac:dyDescent="0.25">
      <c r="A3744">
        <v>13160</v>
      </c>
      <c r="B3744" t="str">
        <f t="shared" si="59"/>
        <v>13160</v>
      </c>
      <c r="C3744" t="s">
        <v>1216</v>
      </c>
      <c r="D3744">
        <v>39.200000000000003</v>
      </c>
      <c r="E3744" t="s">
        <v>366</v>
      </c>
    </row>
    <row r="3745" spans="1:5" x14ac:dyDescent="0.25">
      <c r="A3745">
        <v>13160</v>
      </c>
      <c r="B3745" t="str">
        <f t="shared" si="59"/>
        <v>13160</v>
      </c>
      <c r="C3745" t="s">
        <v>1198</v>
      </c>
      <c r="D3745">
        <v>110.2</v>
      </c>
      <c r="E3745" t="s">
        <v>366</v>
      </c>
    </row>
    <row r="3746" spans="1:5" x14ac:dyDescent="0.25">
      <c r="A3746">
        <v>28149</v>
      </c>
      <c r="B3746" t="str">
        <f t="shared" si="59"/>
        <v>28149</v>
      </c>
      <c r="C3746" t="s">
        <v>1193</v>
      </c>
      <c r="D3746">
        <v>0</v>
      </c>
      <c r="E3746" t="s">
        <v>496</v>
      </c>
    </row>
    <row r="3747" spans="1:5" x14ac:dyDescent="0.25">
      <c r="A3747">
        <v>28149</v>
      </c>
      <c r="B3747" t="str">
        <f t="shared" si="59"/>
        <v>28149</v>
      </c>
      <c r="C3747" t="s">
        <v>1194</v>
      </c>
      <c r="D3747">
        <v>145.19999999999999</v>
      </c>
      <c r="E3747" t="s">
        <v>496</v>
      </c>
    </row>
    <row r="3748" spans="1:5" x14ac:dyDescent="0.25">
      <c r="A3748">
        <v>28149</v>
      </c>
      <c r="B3748" t="str">
        <f t="shared" si="59"/>
        <v>28149</v>
      </c>
      <c r="C3748" t="s">
        <v>1195</v>
      </c>
      <c r="D3748">
        <v>0</v>
      </c>
      <c r="E3748" t="s">
        <v>496</v>
      </c>
    </row>
    <row r="3749" spans="1:5" x14ac:dyDescent="0.25">
      <c r="A3749">
        <v>28149</v>
      </c>
      <c r="B3749" t="str">
        <f t="shared" si="59"/>
        <v>28149</v>
      </c>
      <c r="C3749" t="s">
        <v>1197</v>
      </c>
      <c r="D3749">
        <v>60.15</v>
      </c>
      <c r="E3749" t="s">
        <v>496</v>
      </c>
    </row>
    <row r="3750" spans="1:5" x14ac:dyDescent="0.25">
      <c r="A3750">
        <v>28149</v>
      </c>
      <c r="B3750" t="str">
        <f t="shared" si="59"/>
        <v>28149</v>
      </c>
      <c r="C3750" t="s">
        <v>1202</v>
      </c>
      <c r="D3750">
        <v>0</v>
      </c>
      <c r="E3750" t="s">
        <v>496</v>
      </c>
    </row>
    <row r="3751" spans="1:5" x14ac:dyDescent="0.25">
      <c r="A3751">
        <v>28149</v>
      </c>
      <c r="B3751" t="str">
        <f t="shared" si="59"/>
        <v>28149</v>
      </c>
      <c r="C3751" t="s">
        <v>1206</v>
      </c>
      <c r="D3751">
        <v>107.88</v>
      </c>
      <c r="E3751" t="s">
        <v>496</v>
      </c>
    </row>
    <row r="3752" spans="1:5" x14ac:dyDescent="0.25">
      <c r="A3752">
        <v>28149</v>
      </c>
      <c r="B3752" t="str">
        <f t="shared" si="59"/>
        <v>28149</v>
      </c>
      <c r="C3752" t="s">
        <v>1199</v>
      </c>
      <c r="D3752">
        <v>0</v>
      </c>
      <c r="E3752" t="s">
        <v>496</v>
      </c>
    </row>
    <row r="3753" spans="1:5" x14ac:dyDescent="0.25">
      <c r="A3753">
        <v>28149</v>
      </c>
      <c r="B3753" t="str">
        <f t="shared" si="59"/>
        <v>28149</v>
      </c>
      <c r="C3753" t="s">
        <v>1203</v>
      </c>
      <c r="D3753">
        <v>98.93</v>
      </c>
      <c r="E3753" t="s">
        <v>496</v>
      </c>
    </row>
    <row r="3754" spans="1:5" x14ac:dyDescent="0.25">
      <c r="A3754">
        <v>28149</v>
      </c>
      <c r="B3754" t="str">
        <f t="shared" si="59"/>
        <v>28149</v>
      </c>
      <c r="C3754" t="s">
        <v>1200</v>
      </c>
      <c r="D3754">
        <v>0</v>
      </c>
      <c r="E3754" t="s">
        <v>496</v>
      </c>
    </row>
    <row r="3755" spans="1:5" x14ac:dyDescent="0.25">
      <c r="A3755">
        <v>28149</v>
      </c>
      <c r="B3755" t="str">
        <f t="shared" si="59"/>
        <v>28149</v>
      </c>
      <c r="C3755" t="s">
        <v>1204</v>
      </c>
      <c r="D3755">
        <v>255.8</v>
      </c>
      <c r="E3755" t="s">
        <v>496</v>
      </c>
    </row>
    <row r="3756" spans="1:5" x14ac:dyDescent="0.25">
      <c r="A3756">
        <v>28149</v>
      </c>
      <c r="B3756" t="str">
        <f t="shared" si="59"/>
        <v>28149</v>
      </c>
      <c r="C3756" t="s">
        <v>1207</v>
      </c>
      <c r="D3756">
        <v>0</v>
      </c>
      <c r="E3756" t="s">
        <v>496</v>
      </c>
    </row>
    <row r="3757" spans="1:5" x14ac:dyDescent="0.25">
      <c r="A3757">
        <v>28149</v>
      </c>
      <c r="B3757" t="str">
        <f t="shared" si="59"/>
        <v>28149</v>
      </c>
      <c r="C3757" t="s">
        <v>1208</v>
      </c>
      <c r="D3757">
        <v>28.4</v>
      </c>
      <c r="E3757" t="s">
        <v>496</v>
      </c>
    </row>
    <row r="3758" spans="1:5" x14ac:dyDescent="0.25">
      <c r="A3758">
        <v>28149</v>
      </c>
      <c r="B3758" t="str">
        <f t="shared" si="59"/>
        <v>28149</v>
      </c>
      <c r="C3758" t="s">
        <v>1210</v>
      </c>
      <c r="D3758">
        <v>0</v>
      </c>
      <c r="E3758" t="s">
        <v>496</v>
      </c>
    </row>
    <row r="3759" spans="1:5" x14ac:dyDescent="0.25">
      <c r="A3759">
        <v>28149</v>
      </c>
      <c r="B3759" t="str">
        <f t="shared" si="59"/>
        <v>28149</v>
      </c>
      <c r="C3759" t="s">
        <v>1212</v>
      </c>
      <c r="D3759">
        <v>0</v>
      </c>
      <c r="E3759" t="s">
        <v>496</v>
      </c>
    </row>
    <row r="3760" spans="1:5" x14ac:dyDescent="0.25">
      <c r="A3760">
        <v>28149</v>
      </c>
      <c r="B3760" t="str">
        <f t="shared" si="59"/>
        <v>28149</v>
      </c>
      <c r="C3760" t="s">
        <v>1216</v>
      </c>
      <c r="D3760">
        <v>17</v>
      </c>
      <c r="E3760" t="s">
        <v>496</v>
      </c>
    </row>
    <row r="3761" spans="1:5" x14ac:dyDescent="0.25">
      <c r="A3761">
        <v>28149</v>
      </c>
      <c r="B3761" t="str">
        <f t="shared" si="59"/>
        <v>28149</v>
      </c>
      <c r="C3761" t="s">
        <v>1198</v>
      </c>
      <c r="D3761">
        <v>58.8</v>
      </c>
      <c r="E3761" t="s">
        <v>496</v>
      </c>
    </row>
    <row r="3762" spans="1:5" x14ac:dyDescent="0.25">
      <c r="A3762">
        <v>14104</v>
      </c>
      <c r="B3762" t="str">
        <f t="shared" si="59"/>
        <v>14104</v>
      </c>
      <c r="C3762" t="s">
        <v>1193</v>
      </c>
      <c r="D3762">
        <v>0</v>
      </c>
      <c r="E3762" t="s">
        <v>380</v>
      </c>
    </row>
    <row r="3763" spans="1:5" x14ac:dyDescent="0.25">
      <c r="A3763">
        <v>14104</v>
      </c>
      <c r="B3763" t="str">
        <f t="shared" si="59"/>
        <v>14104</v>
      </c>
      <c r="C3763" t="s">
        <v>1194</v>
      </c>
      <c r="D3763">
        <v>25.6</v>
      </c>
      <c r="E3763" t="s">
        <v>380</v>
      </c>
    </row>
    <row r="3764" spans="1:5" x14ac:dyDescent="0.25">
      <c r="A3764">
        <v>14104</v>
      </c>
      <c r="B3764" t="str">
        <f t="shared" si="59"/>
        <v>14104</v>
      </c>
      <c r="C3764" t="s">
        <v>1195</v>
      </c>
      <c r="D3764">
        <v>0</v>
      </c>
      <c r="E3764" t="s">
        <v>380</v>
      </c>
    </row>
    <row r="3765" spans="1:5" x14ac:dyDescent="0.25">
      <c r="A3765">
        <v>14104</v>
      </c>
      <c r="B3765" t="str">
        <f t="shared" si="59"/>
        <v>14104</v>
      </c>
      <c r="C3765" t="s">
        <v>1197</v>
      </c>
      <c r="D3765">
        <v>15</v>
      </c>
      <c r="E3765" t="s">
        <v>380</v>
      </c>
    </row>
    <row r="3766" spans="1:5" x14ac:dyDescent="0.25">
      <c r="A3766">
        <v>14104</v>
      </c>
      <c r="B3766" t="str">
        <f t="shared" si="59"/>
        <v>14104</v>
      </c>
      <c r="C3766" t="s">
        <v>1202</v>
      </c>
      <c r="D3766">
        <v>0</v>
      </c>
      <c r="E3766" t="s">
        <v>380</v>
      </c>
    </row>
    <row r="3767" spans="1:5" x14ac:dyDescent="0.25">
      <c r="A3767">
        <v>14104</v>
      </c>
      <c r="B3767" t="str">
        <f t="shared" si="59"/>
        <v>14104</v>
      </c>
      <c r="C3767" t="s">
        <v>1206</v>
      </c>
      <c r="D3767">
        <v>12.6</v>
      </c>
      <c r="E3767" t="s">
        <v>380</v>
      </c>
    </row>
    <row r="3768" spans="1:5" x14ac:dyDescent="0.25">
      <c r="A3768">
        <v>14104</v>
      </c>
      <c r="B3768" t="str">
        <f t="shared" si="59"/>
        <v>14104</v>
      </c>
      <c r="C3768" t="s">
        <v>1199</v>
      </c>
      <c r="D3768">
        <v>0</v>
      </c>
      <c r="E3768" t="s">
        <v>380</v>
      </c>
    </row>
    <row r="3769" spans="1:5" x14ac:dyDescent="0.25">
      <c r="A3769">
        <v>14104</v>
      </c>
      <c r="B3769" t="str">
        <f t="shared" si="59"/>
        <v>14104</v>
      </c>
      <c r="C3769" t="s">
        <v>1203</v>
      </c>
      <c r="D3769">
        <v>0</v>
      </c>
      <c r="E3769" t="s">
        <v>380</v>
      </c>
    </row>
    <row r="3770" spans="1:5" x14ac:dyDescent="0.25">
      <c r="A3770">
        <v>14104</v>
      </c>
      <c r="B3770" t="str">
        <f t="shared" si="59"/>
        <v>14104</v>
      </c>
      <c r="C3770" t="s">
        <v>1200</v>
      </c>
      <c r="D3770">
        <v>0</v>
      </c>
      <c r="E3770" t="s">
        <v>380</v>
      </c>
    </row>
    <row r="3771" spans="1:5" x14ac:dyDescent="0.25">
      <c r="A3771">
        <v>14104</v>
      </c>
      <c r="B3771" t="str">
        <f t="shared" si="59"/>
        <v>14104</v>
      </c>
      <c r="C3771" t="s">
        <v>1204</v>
      </c>
      <c r="D3771">
        <v>0</v>
      </c>
      <c r="E3771" t="s">
        <v>380</v>
      </c>
    </row>
    <row r="3772" spans="1:5" x14ac:dyDescent="0.25">
      <c r="A3772">
        <v>14104</v>
      </c>
      <c r="B3772" t="str">
        <f t="shared" si="59"/>
        <v>14104</v>
      </c>
      <c r="C3772" t="s">
        <v>1207</v>
      </c>
      <c r="D3772">
        <v>0</v>
      </c>
      <c r="E3772" t="s">
        <v>380</v>
      </c>
    </row>
    <row r="3773" spans="1:5" x14ac:dyDescent="0.25">
      <c r="A3773">
        <v>14104</v>
      </c>
      <c r="B3773" t="str">
        <f t="shared" si="59"/>
        <v>14104</v>
      </c>
      <c r="C3773" t="s">
        <v>1208</v>
      </c>
      <c r="D3773">
        <v>0</v>
      </c>
      <c r="E3773" t="s">
        <v>380</v>
      </c>
    </row>
    <row r="3774" spans="1:5" x14ac:dyDescent="0.25">
      <c r="A3774">
        <v>14104</v>
      </c>
      <c r="B3774" t="str">
        <f t="shared" si="59"/>
        <v>14104</v>
      </c>
      <c r="C3774" t="s">
        <v>1210</v>
      </c>
      <c r="D3774">
        <v>0</v>
      </c>
      <c r="E3774" t="s">
        <v>380</v>
      </c>
    </row>
    <row r="3775" spans="1:5" x14ac:dyDescent="0.25">
      <c r="A3775">
        <v>14104</v>
      </c>
      <c r="B3775" t="str">
        <f t="shared" si="59"/>
        <v>14104</v>
      </c>
      <c r="C3775" t="s">
        <v>1212</v>
      </c>
      <c r="D3775">
        <v>0</v>
      </c>
      <c r="E3775" t="s">
        <v>380</v>
      </c>
    </row>
    <row r="3776" spans="1:5" x14ac:dyDescent="0.25">
      <c r="A3776">
        <v>14104</v>
      </c>
      <c r="B3776" t="str">
        <f t="shared" si="59"/>
        <v>14104</v>
      </c>
      <c r="C3776" t="s">
        <v>1216</v>
      </c>
      <c r="D3776">
        <v>0</v>
      </c>
      <c r="E3776" t="s">
        <v>380</v>
      </c>
    </row>
    <row r="3777" spans="1:5" x14ac:dyDescent="0.25">
      <c r="A3777">
        <v>14104</v>
      </c>
      <c r="B3777" t="str">
        <f t="shared" si="59"/>
        <v>14104</v>
      </c>
      <c r="C3777" t="s">
        <v>1198</v>
      </c>
      <c r="D3777">
        <v>9</v>
      </c>
      <c r="E3777" t="s">
        <v>380</v>
      </c>
    </row>
    <row r="3778" spans="1:5" x14ac:dyDescent="0.25">
      <c r="A3778">
        <v>17001</v>
      </c>
      <c r="B3778" t="str">
        <f t="shared" si="59"/>
        <v>17001</v>
      </c>
      <c r="C3778" t="s">
        <v>1193</v>
      </c>
      <c r="D3778">
        <v>0</v>
      </c>
      <c r="E3778" t="s">
        <v>392</v>
      </c>
    </row>
    <row r="3779" spans="1:5" x14ac:dyDescent="0.25">
      <c r="A3779">
        <v>17001</v>
      </c>
      <c r="B3779" t="str">
        <f t="shared" ref="B3779:B3842" si="60">TEXT(A3779,"00000")</f>
        <v>17001</v>
      </c>
      <c r="C3779" t="s">
        <v>1194</v>
      </c>
      <c r="D3779">
        <v>11619.57</v>
      </c>
      <c r="E3779" t="s">
        <v>392</v>
      </c>
    </row>
    <row r="3780" spans="1:5" x14ac:dyDescent="0.25">
      <c r="A3780">
        <v>17001</v>
      </c>
      <c r="B3780" t="str">
        <f t="shared" si="60"/>
        <v>17001</v>
      </c>
      <c r="C3780" t="s">
        <v>1195</v>
      </c>
      <c r="D3780">
        <v>0</v>
      </c>
      <c r="E3780" t="s">
        <v>392</v>
      </c>
    </row>
    <row r="3781" spans="1:5" x14ac:dyDescent="0.25">
      <c r="A3781">
        <v>17001</v>
      </c>
      <c r="B3781" t="str">
        <f t="shared" si="60"/>
        <v>17001</v>
      </c>
      <c r="C3781" t="s">
        <v>1197</v>
      </c>
      <c r="D3781">
        <v>3706.08</v>
      </c>
      <c r="E3781" t="s">
        <v>392</v>
      </c>
    </row>
    <row r="3782" spans="1:5" x14ac:dyDescent="0.25">
      <c r="A3782">
        <v>17001</v>
      </c>
      <c r="B3782" t="str">
        <f t="shared" si="60"/>
        <v>17001</v>
      </c>
      <c r="C3782" t="s">
        <v>1202</v>
      </c>
      <c r="D3782">
        <v>0</v>
      </c>
      <c r="E3782" t="s">
        <v>392</v>
      </c>
    </row>
    <row r="3783" spans="1:5" x14ac:dyDescent="0.25">
      <c r="A3783">
        <v>17001</v>
      </c>
      <c r="B3783" t="str">
        <f t="shared" si="60"/>
        <v>17001</v>
      </c>
      <c r="C3783" t="s">
        <v>1206</v>
      </c>
      <c r="D3783">
        <v>7556.97</v>
      </c>
      <c r="E3783" t="s">
        <v>392</v>
      </c>
    </row>
    <row r="3784" spans="1:5" x14ac:dyDescent="0.25">
      <c r="A3784">
        <v>17001</v>
      </c>
      <c r="B3784" t="str">
        <f t="shared" si="60"/>
        <v>17001</v>
      </c>
      <c r="C3784" t="s">
        <v>1199</v>
      </c>
      <c r="D3784">
        <v>0</v>
      </c>
      <c r="E3784" t="s">
        <v>392</v>
      </c>
    </row>
    <row r="3785" spans="1:5" x14ac:dyDescent="0.25">
      <c r="A3785">
        <v>17001</v>
      </c>
      <c r="B3785" t="str">
        <f t="shared" si="60"/>
        <v>17001</v>
      </c>
      <c r="C3785" t="s">
        <v>1203</v>
      </c>
      <c r="D3785">
        <v>7010.47</v>
      </c>
      <c r="E3785" t="s">
        <v>392</v>
      </c>
    </row>
    <row r="3786" spans="1:5" x14ac:dyDescent="0.25">
      <c r="A3786">
        <v>17001</v>
      </c>
      <c r="B3786" t="str">
        <f t="shared" si="60"/>
        <v>17001</v>
      </c>
      <c r="C3786" t="s">
        <v>1200</v>
      </c>
      <c r="D3786">
        <v>0</v>
      </c>
      <c r="E3786" t="s">
        <v>392</v>
      </c>
    </row>
    <row r="3787" spans="1:5" x14ac:dyDescent="0.25">
      <c r="A3787">
        <v>17001</v>
      </c>
      <c r="B3787" t="str">
        <f t="shared" si="60"/>
        <v>17001</v>
      </c>
      <c r="C3787" t="s">
        <v>1204</v>
      </c>
      <c r="D3787">
        <v>14006.17</v>
      </c>
      <c r="E3787" t="s">
        <v>392</v>
      </c>
    </row>
    <row r="3788" spans="1:5" x14ac:dyDescent="0.25">
      <c r="A3788">
        <v>17001</v>
      </c>
      <c r="B3788" t="str">
        <f t="shared" si="60"/>
        <v>17001</v>
      </c>
      <c r="C3788" t="s">
        <v>1207</v>
      </c>
      <c r="D3788">
        <v>391.09</v>
      </c>
      <c r="E3788" t="s">
        <v>392</v>
      </c>
    </row>
    <row r="3789" spans="1:5" x14ac:dyDescent="0.25">
      <c r="A3789">
        <v>17001</v>
      </c>
      <c r="B3789" t="str">
        <f t="shared" si="60"/>
        <v>17001</v>
      </c>
      <c r="C3789" t="s">
        <v>1208</v>
      </c>
      <c r="D3789">
        <v>1900.4</v>
      </c>
      <c r="E3789" t="s">
        <v>392</v>
      </c>
    </row>
    <row r="3790" spans="1:5" x14ac:dyDescent="0.25">
      <c r="A3790">
        <v>17001</v>
      </c>
      <c r="B3790" t="str">
        <f t="shared" si="60"/>
        <v>17001</v>
      </c>
      <c r="C3790" t="s">
        <v>1210</v>
      </c>
      <c r="D3790">
        <v>0</v>
      </c>
      <c r="E3790" t="s">
        <v>392</v>
      </c>
    </row>
    <row r="3791" spans="1:5" x14ac:dyDescent="0.25">
      <c r="A3791">
        <v>17001</v>
      </c>
      <c r="B3791" t="str">
        <f t="shared" si="60"/>
        <v>17001</v>
      </c>
      <c r="C3791" t="s">
        <v>1212</v>
      </c>
      <c r="D3791">
        <v>147.5</v>
      </c>
      <c r="E3791" t="s">
        <v>392</v>
      </c>
    </row>
    <row r="3792" spans="1:5" x14ac:dyDescent="0.25">
      <c r="A3792">
        <v>17001</v>
      </c>
      <c r="B3792" t="str">
        <f t="shared" si="60"/>
        <v>17001</v>
      </c>
      <c r="C3792" t="s">
        <v>1216</v>
      </c>
      <c r="D3792">
        <v>0</v>
      </c>
      <c r="E3792" t="s">
        <v>392</v>
      </c>
    </row>
    <row r="3793" spans="1:5" x14ac:dyDescent="0.25">
      <c r="A3793">
        <v>17001</v>
      </c>
      <c r="B3793" t="str">
        <f t="shared" si="60"/>
        <v>17001</v>
      </c>
      <c r="C3793" t="s">
        <v>1198</v>
      </c>
      <c r="D3793">
        <v>3746.96</v>
      </c>
      <c r="E3793" t="s">
        <v>392</v>
      </c>
    </row>
    <row r="3794" spans="1:5" x14ac:dyDescent="0.25">
      <c r="A3794">
        <v>29101</v>
      </c>
      <c r="B3794" t="str">
        <f t="shared" si="60"/>
        <v>29101</v>
      </c>
      <c r="C3794" t="s">
        <v>1193</v>
      </c>
      <c r="D3794">
        <v>0</v>
      </c>
      <c r="E3794" t="s">
        <v>499</v>
      </c>
    </row>
    <row r="3795" spans="1:5" x14ac:dyDescent="0.25">
      <c r="A3795">
        <v>29101</v>
      </c>
      <c r="B3795" t="str">
        <f t="shared" si="60"/>
        <v>29101</v>
      </c>
      <c r="C3795" t="s">
        <v>1194</v>
      </c>
      <c r="D3795">
        <v>962.24</v>
      </c>
      <c r="E3795" t="s">
        <v>499</v>
      </c>
    </row>
    <row r="3796" spans="1:5" x14ac:dyDescent="0.25">
      <c r="A3796">
        <v>29101</v>
      </c>
      <c r="B3796" t="str">
        <f t="shared" si="60"/>
        <v>29101</v>
      </c>
      <c r="C3796" t="s">
        <v>1195</v>
      </c>
      <c r="D3796">
        <v>0</v>
      </c>
      <c r="E3796" t="s">
        <v>499</v>
      </c>
    </row>
    <row r="3797" spans="1:5" x14ac:dyDescent="0.25">
      <c r="A3797">
        <v>29101</v>
      </c>
      <c r="B3797" t="str">
        <f t="shared" si="60"/>
        <v>29101</v>
      </c>
      <c r="C3797" t="s">
        <v>1197</v>
      </c>
      <c r="D3797">
        <v>341.96</v>
      </c>
      <c r="E3797" t="s">
        <v>499</v>
      </c>
    </row>
    <row r="3798" spans="1:5" x14ac:dyDescent="0.25">
      <c r="A3798">
        <v>29101</v>
      </c>
      <c r="B3798" t="str">
        <f t="shared" si="60"/>
        <v>29101</v>
      </c>
      <c r="C3798" t="s">
        <v>1202</v>
      </c>
      <c r="D3798">
        <v>0</v>
      </c>
      <c r="E3798" t="s">
        <v>499</v>
      </c>
    </row>
    <row r="3799" spans="1:5" x14ac:dyDescent="0.25">
      <c r="A3799">
        <v>29101</v>
      </c>
      <c r="B3799" t="str">
        <f t="shared" si="60"/>
        <v>29101</v>
      </c>
      <c r="C3799" t="s">
        <v>1206</v>
      </c>
      <c r="D3799">
        <v>676.44</v>
      </c>
      <c r="E3799" t="s">
        <v>499</v>
      </c>
    </row>
    <row r="3800" spans="1:5" x14ac:dyDescent="0.25">
      <c r="A3800">
        <v>29101</v>
      </c>
      <c r="B3800" t="str">
        <f t="shared" si="60"/>
        <v>29101</v>
      </c>
      <c r="C3800" t="s">
        <v>1199</v>
      </c>
      <c r="D3800">
        <v>0</v>
      </c>
      <c r="E3800" t="s">
        <v>499</v>
      </c>
    </row>
    <row r="3801" spans="1:5" x14ac:dyDescent="0.25">
      <c r="A3801">
        <v>29101</v>
      </c>
      <c r="B3801" t="str">
        <f t="shared" si="60"/>
        <v>29101</v>
      </c>
      <c r="C3801" t="s">
        <v>1203</v>
      </c>
      <c r="D3801">
        <v>669.06</v>
      </c>
      <c r="E3801" t="s">
        <v>499</v>
      </c>
    </row>
    <row r="3802" spans="1:5" x14ac:dyDescent="0.25">
      <c r="A3802">
        <v>29101</v>
      </c>
      <c r="B3802" t="str">
        <f t="shared" si="60"/>
        <v>29101</v>
      </c>
      <c r="C3802" t="s">
        <v>1200</v>
      </c>
      <c r="D3802">
        <v>0</v>
      </c>
      <c r="E3802" t="s">
        <v>499</v>
      </c>
    </row>
    <row r="3803" spans="1:5" x14ac:dyDescent="0.25">
      <c r="A3803">
        <v>29101</v>
      </c>
      <c r="B3803" t="str">
        <f t="shared" si="60"/>
        <v>29101</v>
      </c>
      <c r="C3803" t="s">
        <v>1204</v>
      </c>
      <c r="D3803">
        <v>1231.3399999999999</v>
      </c>
      <c r="E3803" t="s">
        <v>499</v>
      </c>
    </row>
    <row r="3804" spans="1:5" x14ac:dyDescent="0.25">
      <c r="A3804">
        <v>29101</v>
      </c>
      <c r="B3804" t="str">
        <f t="shared" si="60"/>
        <v>29101</v>
      </c>
      <c r="C3804" t="s">
        <v>1207</v>
      </c>
      <c r="D3804">
        <v>42.05</v>
      </c>
      <c r="E3804" t="s">
        <v>499</v>
      </c>
    </row>
    <row r="3805" spans="1:5" x14ac:dyDescent="0.25">
      <c r="A3805">
        <v>29101</v>
      </c>
      <c r="B3805" t="str">
        <f t="shared" si="60"/>
        <v>29101</v>
      </c>
      <c r="C3805" t="s">
        <v>1208</v>
      </c>
      <c r="D3805">
        <v>367.64</v>
      </c>
      <c r="E3805" t="s">
        <v>499</v>
      </c>
    </row>
    <row r="3806" spans="1:5" x14ac:dyDescent="0.25">
      <c r="A3806">
        <v>29101</v>
      </c>
      <c r="B3806" t="str">
        <f t="shared" si="60"/>
        <v>29101</v>
      </c>
      <c r="C3806" t="s">
        <v>1210</v>
      </c>
      <c r="D3806">
        <v>0</v>
      </c>
      <c r="E3806" t="s">
        <v>499</v>
      </c>
    </row>
    <row r="3807" spans="1:5" x14ac:dyDescent="0.25">
      <c r="A3807">
        <v>29101</v>
      </c>
      <c r="B3807" t="str">
        <f t="shared" si="60"/>
        <v>29101</v>
      </c>
      <c r="C3807" t="s">
        <v>1212</v>
      </c>
      <c r="D3807">
        <v>0</v>
      </c>
      <c r="E3807" t="s">
        <v>499</v>
      </c>
    </row>
    <row r="3808" spans="1:5" x14ac:dyDescent="0.25">
      <c r="A3808">
        <v>29101</v>
      </c>
      <c r="B3808" t="str">
        <f t="shared" si="60"/>
        <v>29101</v>
      </c>
      <c r="C3808" t="s">
        <v>1216</v>
      </c>
      <c r="D3808">
        <v>93.9</v>
      </c>
      <c r="E3808" t="s">
        <v>499</v>
      </c>
    </row>
    <row r="3809" spans="1:5" x14ac:dyDescent="0.25">
      <c r="A3809">
        <v>29101</v>
      </c>
      <c r="B3809" t="str">
        <f t="shared" si="60"/>
        <v>29101</v>
      </c>
      <c r="C3809" t="s">
        <v>1198</v>
      </c>
      <c r="D3809">
        <v>291.61</v>
      </c>
      <c r="E3809" t="s">
        <v>499</v>
      </c>
    </row>
    <row r="3810" spans="1:5" x14ac:dyDescent="0.25">
      <c r="A3810">
        <v>39119</v>
      </c>
      <c r="B3810" t="str">
        <f t="shared" si="60"/>
        <v>39119</v>
      </c>
      <c r="C3810" t="s">
        <v>1193</v>
      </c>
      <c r="D3810">
        <v>0</v>
      </c>
      <c r="E3810" t="s">
        <v>589</v>
      </c>
    </row>
    <row r="3811" spans="1:5" x14ac:dyDescent="0.25">
      <c r="A3811">
        <v>39119</v>
      </c>
      <c r="B3811" t="str">
        <f t="shared" si="60"/>
        <v>39119</v>
      </c>
      <c r="C3811" t="s">
        <v>1194</v>
      </c>
      <c r="D3811">
        <v>757.5</v>
      </c>
      <c r="E3811" t="s">
        <v>589</v>
      </c>
    </row>
    <row r="3812" spans="1:5" x14ac:dyDescent="0.25">
      <c r="A3812">
        <v>39119</v>
      </c>
      <c r="B3812" t="str">
        <f t="shared" si="60"/>
        <v>39119</v>
      </c>
      <c r="C3812" t="s">
        <v>1195</v>
      </c>
      <c r="D3812">
        <v>0</v>
      </c>
      <c r="E3812" t="s">
        <v>589</v>
      </c>
    </row>
    <row r="3813" spans="1:5" x14ac:dyDescent="0.25">
      <c r="A3813">
        <v>39119</v>
      </c>
      <c r="B3813" t="str">
        <f t="shared" si="60"/>
        <v>39119</v>
      </c>
      <c r="C3813" t="s">
        <v>1197</v>
      </c>
      <c r="D3813">
        <v>255.2</v>
      </c>
      <c r="E3813" t="s">
        <v>589</v>
      </c>
    </row>
    <row r="3814" spans="1:5" x14ac:dyDescent="0.25">
      <c r="A3814">
        <v>39119</v>
      </c>
      <c r="B3814" t="str">
        <f t="shared" si="60"/>
        <v>39119</v>
      </c>
      <c r="C3814" t="s">
        <v>1202</v>
      </c>
      <c r="D3814">
        <v>0</v>
      </c>
      <c r="E3814" t="s">
        <v>589</v>
      </c>
    </row>
    <row r="3815" spans="1:5" x14ac:dyDescent="0.25">
      <c r="A3815">
        <v>39119</v>
      </c>
      <c r="B3815" t="str">
        <f t="shared" si="60"/>
        <v>39119</v>
      </c>
      <c r="C3815" t="s">
        <v>1206</v>
      </c>
      <c r="D3815">
        <v>556.85</v>
      </c>
      <c r="E3815" t="s">
        <v>589</v>
      </c>
    </row>
    <row r="3816" spans="1:5" x14ac:dyDescent="0.25">
      <c r="A3816">
        <v>39119</v>
      </c>
      <c r="B3816" t="str">
        <f t="shared" si="60"/>
        <v>39119</v>
      </c>
      <c r="C3816" t="s">
        <v>1199</v>
      </c>
      <c r="D3816">
        <v>0</v>
      </c>
      <c r="E3816" t="s">
        <v>589</v>
      </c>
    </row>
    <row r="3817" spans="1:5" x14ac:dyDescent="0.25">
      <c r="A3817">
        <v>39119</v>
      </c>
      <c r="B3817" t="str">
        <f t="shared" si="60"/>
        <v>39119</v>
      </c>
      <c r="C3817" t="s">
        <v>1203</v>
      </c>
      <c r="D3817">
        <v>589.55999999999995</v>
      </c>
      <c r="E3817" t="s">
        <v>589</v>
      </c>
    </row>
    <row r="3818" spans="1:5" x14ac:dyDescent="0.25">
      <c r="A3818">
        <v>39119</v>
      </c>
      <c r="B3818" t="str">
        <f t="shared" si="60"/>
        <v>39119</v>
      </c>
      <c r="C3818" t="s">
        <v>1200</v>
      </c>
      <c r="D3818">
        <v>0</v>
      </c>
      <c r="E3818" t="s">
        <v>589</v>
      </c>
    </row>
    <row r="3819" spans="1:5" x14ac:dyDescent="0.25">
      <c r="A3819">
        <v>39119</v>
      </c>
      <c r="B3819" t="str">
        <f t="shared" si="60"/>
        <v>39119</v>
      </c>
      <c r="C3819" t="s">
        <v>1204</v>
      </c>
      <c r="D3819">
        <v>1100.72</v>
      </c>
      <c r="E3819" t="s">
        <v>589</v>
      </c>
    </row>
    <row r="3820" spans="1:5" x14ac:dyDescent="0.25">
      <c r="A3820">
        <v>39119</v>
      </c>
      <c r="B3820" t="str">
        <f t="shared" si="60"/>
        <v>39119</v>
      </c>
      <c r="C3820" t="s">
        <v>1207</v>
      </c>
      <c r="D3820">
        <v>191.68</v>
      </c>
      <c r="E3820" t="s">
        <v>589</v>
      </c>
    </row>
    <row r="3821" spans="1:5" x14ac:dyDescent="0.25">
      <c r="A3821">
        <v>39119</v>
      </c>
      <c r="B3821" t="str">
        <f t="shared" si="60"/>
        <v>39119</v>
      </c>
      <c r="C3821" t="s">
        <v>1208</v>
      </c>
      <c r="D3821">
        <v>442.88</v>
      </c>
      <c r="E3821" t="s">
        <v>589</v>
      </c>
    </row>
    <row r="3822" spans="1:5" x14ac:dyDescent="0.25">
      <c r="A3822">
        <v>39119</v>
      </c>
      <c r="B3822" t="str">
        <f t="shared" si="60"/>
        <v>39119</v>
      </c>
      <c r="C3822" t="s">
        <v>1210</v>
      </c>
      <c r="D3822">
        <v>0</v>
      </c>
      <c r="E3822" t="s">
        <v>589</v>
      </c>
    </row>
    <row r="3823" spans="1:5" x14ac:dyDescent="0.25">
      <c r="A3823">
        <v>39119</v>
      </c>
      <c r="B3823" t="str">
        <f t="shared" si="60"/>
        <v>39119</v>
      </c>
      <c r="C3823" t="s">
        <v>1212</v>
      </c>
      <c r="D3823">
        <v>0</v>
      </c>
      <c r="E3823" t="s">
        <v>589</v>
      </c>
    </row>
    <row r="3824" spans="1:5" x14ac:dyDescent="0.25">
      <c r="A3824">
        <v>39119</v>
      </c>
      <c r="B3824" t="str">
        <f t="shared" si="60"/>
        <v>39119</v>
      </c>
      <c r="C3824" t="s">
        <v>1216</v>
      </c>
      <c r="D3824">
        <v>18</v>
      </c>
      <c r="E3824" t="s">
        <v>589</v>
      </c>
    </row>
    <row r="3825" spans="1:5" x14ac:dyDescent="0.25">
      <c r="A3825">
        <v>39119</v>
      </c>
      <c r="B3825" t="str">
        <f t="shared" si="60"/>
        <v>39119</v>
      </c>
      <c r="C3825" t="s">
        <v>1198</v>
      </c>
      <c r="D3825">
        <v>224.21</v>
      </c>
      <c r="E3825" t="s">
        <v>589</v>
      </c>
    </row>
    <row r="3826" spans="1:5" x14ac:dyDescent="0.25">
      <c r="A3826">
        <v>26070</v>
      </c>
      <c r="B3826" t="str">
        <f t="shared" si="60"/>
        <v>26070</v>
      </c>
      <c r="C3826" t="s">
        <v>1193</v>
      </c>
      <c r="D3826">
        <v>0</v>
      </c>
      <c r="E3826" t="s">
        <v>478</v>
      </c>
    </row>
    <row r="3827" spans="1:5" x14ac:dyDescent="0.25">
      <c r="A3827">
        <v>26070</v>
      </c>
      <c r="B3827" t="str">
        <f t="shared" si="60"/>
        <v>26070</v>
      </c>
      <c r="C3827" t="s">
        <v>1194</v>
      </c>
      <c r="D3827">
        <v>60.4</v>
      </c>
      <c r="E3827" t="s">
        <v>478</v>
      </c>
    </row>
    <row r="3828" spans="1:5" x14ac:dyDescent="0.25">
      <c r="A3828">
        <v>26070</v>
      </c>
      <c r="B3828" t="str">
        <f t="shared" si="60"/>
        <v>26070</v>
      </c>
      <c r="C3828" t="s">
        <v>1195</v>
      </c>
      <c r="D3828">
        <v>0</v>
      </c>
      <c r="E3828" t="s">
        <v>478</v>
      </c>
    </row>
    <row r="3829" spans="1:5" x14ac:dyDescent="0.25">
      <c r="A3829">
        <v>26070</v>
      </c>
      <c r="B3829" t="str">
        <f t="shared" si="60"/>
        <v>26070</v>
      </c>
      <c r="C3829" t="s">
        <v>1197</v>
      </c>
      <c r="D3829">
        <v>17.2</v>
      </c>
      <c r="E3829" t="s">
        <v>478</v>
      </c>
    </row>
    <row r="3830" spans="1:5" x14ac:dyDescent="0.25">
      <c r="A3830">
        <v>26070</v>
      </c>
      <c r="B3830" t="str">
        <f t="shared" si="60"/>
        <v>26070</v>
      </c>
      <c r="C3830" t="s">
        <v>1202</v>
      </c>
      <c r="D3830">
        <v>0</v>
      </c>
      <c r="E3830" t="s">
        <v>478</v>
      </c>
    </row>
    <row r="3831" spans="1:5" x14ac:dyDescent="0.25">
      <c r="A3831">
        <v>26070</v>
      </c>
      <c r="B3831" t="str">
        <f t="shared" si="60"/>
        <v>26070</v>
      </c>
      <c r="C3831" t="s">
        <v>1206</v>
      </c>
      <c r="D3831">
        <v>35.799999999999997</v>
      </c>
      <c r="E3831" t="s">
        <v>478</v>
      </c>
    </row>
    <row r="3832" spans="1:5" x14ac:dyDescent="0.25">
      <c r="A3832">
        <v>26070</v>
      </c>
      <c r="B3832" t="str">
        <f t="shared" si="60"/>
        <v>26070</v>
      </c>
      <c r="C3832" t="s">
        <v>1199</v>
      </c>
      <c r="D3832">
        <v>0</v>
      </c>
      <c r="E3832" t="s">
        <v>478</v>
      </c>
    </row>
    <row r="3833" spans="1:5" x14ac:dyDescent="0.25">
      <c r="A3833">
        <v>26070</v>
      </c>
      <c r="B3833" t="str">
        <f t="shared" si="60"/>
        <v>26070</v>
      </c>
      <c r="C3833" t="s">
        <v>1203</v>
      </c>
      <c r="D3833">
        <v>34.799999999999997</v>
      </c>
      <c r="E3833" t="s">
        <v>478</v>
      </c>
    </row>
    <row r="3834" spans="1:5" x14ac:dyDescent="0.25">
      <c r="A3834">
        <v>26070</v>
      </c>
      <c r="B3834" t="str">
        <f t="shared" si="60"/>
        <v>26070</v>
      </c>
      <c r="C3834" t="s">
        <v>1200</v>
      </c>
      <c r="D3834">
        <v>0</v>
      </c>
      <c r="E3834" t="s">
        <v>478</v>
      </c>
    </row>
    <row r="3835" spans="1:5" x14ac:dyDescent="0.25">
      <c r="A3835">
        <v>26070</v>
      </c>
      <c r="B3835" t="str">
        <f t="shared" si="60"/>
        <v>26070</v>
      </c>
      <c r="C3835" t="s">
        <v>1204</v>
      </c>
      <c r="D3835">
        <v>71.42</v>
      </c>
      <c r="E3835" t="s">
        <v>478</v>
      </c>
    </row>
    <row r="3836" spans="1:5" x14ac:dyDescent="0.25">
      <c r="A3836">
        <v>26070</v>
      </c>
      <c r="B3836" t="str">
        <f t="shared" si="60"/>
        <v>26070</v>
      </c>
      <c r="C3836" t="s">
        <v>1207</v>
      </c>
      <c r="D3836">
        <v>4.8099999999999996</v>
      </c>
      <c r="E3836" t="s">
        <v>478</v>
      </c>
    </row>
    <row r="3837" spans="1:5" x14ac:dyDescent="0.25">
      <c r="A3837">
        <v>26070</v>
      </c>
      <c r="B3837" t="str">
        <f t="shared" si="60"/>
        <v>26070</v>
      </c>
      <c r="C3837" t="s">
        <v>1208</v>
      </c>
      <c r="D3837">
        <v>18.28</v>
      </c>
      <c r="E3837" t="s">
        <v>478</v>
      </c>
    </row>
    <row r="3838" spans="1:5" x14ac:dyDescent="0.25">
      <c r="A3838">
        <v>26070</v>
      </c>
      <c r="B3838" t="str">
        <f t="shared" si="60"/>
        <v>26070</v>
      </c>
      <c r="C3838" t="s">
        <v>1210</v>
      </c>
      <c r="D3838">
        <v>0</v>
      </c>
      <c r="E3838" t="s">
        <v>478</v>
      </c>
    </row>
    <row r="3839" spans="1:5" x14ac:dyDescent="0.25">
      <c r="A3839">
        <v>26070</v>
      </c>
      <c r="B3839" t="str">
        <f t="shared" si="60"/>
        <v>26070</v>
      </c>
      <c r="C3839" t="s">
        <v>1212</v>
      </c>
      <c r="D3839">
        <v>0</v>
      </c>
      <c r="E3839" t="s">
        <v>478</v>
      </c>
    </row>
    <row r="3840" spans="1:5" x14ac:dyDescent="0.25">
      <c r="A3840">
        <v>26070</v>
      </c>
      <c r="B3840" t="str">
        <f t="shared" si="60"/>
        <v>26070</v>
      </c>
      <c r="C3840" t="s">
        <v>1216</v>
      </c>
      <c r="D3840">
        <v>9.6</v>
      </c>
      <c r="E3840" t="s">
        <v>478</v>
      </c>
    </row>
    <row r="3841" spans="1:5" x14ac:dyDescent="0.25">
      <c r="A3841">
        <v>26070</v>
      </c>
      <c r="B3841" t="str">
        <f t="shared" si="60"/>
        <v>26070</v>
      </c>
      <c r="C3841" t="s">
        <v>1198</v>
      </c>
      <c r="D3841">
        <v>17.399999999999999</v>
      </c>
      <c r="E3841" t="s">
        <v>478</v>
      </c>
    </row>
    <row r="3842" spans="1:5" x14ac:dyDescent="0.25">
      <c r="A3842" t="s">
        <v>29</v>
      </c>
      <c r="B3842" t="str">
        <f t="shared" si="60"/>
        <v>05323</v>
      </c>
      <c r="C3842" t="s">
        <v>1193</v>
      </c>
      <c r="D3842">
        <v>0</v>
      </c>
      <c r="E3842" t="s">
        <v>325</v>
      </c>
    </row>
    <row r="3843" spans="1:5" x14ac:dyDescent="0.25">
      <c r="A3843" t="s">
        <v>29</v>
      </c>
      <c r="B3843" t="str">
        <f t="shared" ref="B3843:B3906" si="61">TEXT(A3843,"00000")</f>
        <v>05323</v>
      </c>
      <c r="C3843" t="s">
        <v>1194</v>
      </c>
      <c r="D3843">
        <v>527.82000000000005</v>
      </c>
      <c r="E3843" t="s">
        <v>325</v>
      </c>
    </row>
    <row r="3844" spans="1:5" x14ac:dyDescent="0.25">
      <c r="A3844" t="s">
        <v>29</v>
      </c>
      <c r="B3844" t="str">
        <f t="shared" si="61"/>
        <v>05323</v>
      </c>
      <c r="C3844" t="s">
        <v>1195</v>
      </c>
      <c r="D3844">
        <v>0</v>
      </c>
      <c r="E3844" t="s">
        <v>325</v>
      </c>
    </row>
    <row r="3845" spans="1:5" x14ac:dyDescent="0.25">
      <c r="A3845" t="s">
        <v>29</v>
      </c>
      <c r="B3845" t="str">
        <f t="shared" si="61"/>
        <v>05323</v>
      </c>
      <c r="C3845" t="s">
        <v>1197</v>
      </c>
      <c r="D3845">
        <v>167.6</v>
      </c>
      <c r="E3845" t="s">
        <v>325</v>
      </c>
    </row>
    <row r="3846" spans="1:5" x14ac:dyDescent="0.25">
      <c r="A3846" t="s">
        <v>29</v>
      </c>
      <c r="B3846" t="str">
        <f t="shared" si="61"/>
        <v>05323</v>
      </c>
      <c r="C3846" t="s">
        <v>1202</v>
      </c>
      <c r="D3846">
        <v>0</v>
      </c>
      <c r="E3846" t="s">
        <v>325</v>
      </c>
    </row>
    <row r="3847" spans="1:5" x14ac:dyDescent="0.25">
      <c r="A3847" t="s">
        <v>29</v>
      </c>
      <c r="B3847" t="str">
        <f t="shared" si="61"/>
        <v>05323</v>
      </c>
      <c r="C3847" t="s">
        <v>1206</v>
      </c>
      <c r="D3847">
        <v>334.56</v>
      </c>
      <c r="E3847" t="s">
        <v>325</v>
      </c>
    </row>
    <row r="3848" spans="1:5" x14ac:dyDescent="0.25">
      <c r="A3848" t="s">
        <v>29</v>
      </c>
      <c r="B3848" t="str">
        <f t="shared" si="61"/>
        <v>05323</v>
      </c>
      <c r="C3848" t="s">
        <v>1199</v>
      </c>
      <c r="D3848">
        <v>0</v>
      </c>
      <c r="E3848" t="s">
        <v>325</v>
      </c>
    </row>
    <row r="3849" spans="1:5" x14ac:dyDescent="0.25">
      <c r="A3849" t="s">
        <v>29</v>
      </c>
      <c r="B3849" t="str">
        <f t="shared" si="61"/>
        <v>05323</v>
      </c>
      <c r="C3849" t="s">
        <v>1203</v>
      </c>
      <c r="D3849">
        <v>372.52</v>
      </c>
      <c r="E3849" t="s">
        <v>325</v>
      </c>
    </row>
    <row r="3850" spans="1:5" x14ac:dyDescent="0.25">
      <c r="A3850" t="s">
        <v>29</v>
      </c>
      <c r="B3850" t="str">
        <f t="shared" si="61"/>
        <v>05323</v>
      </c>
      <c r="C3850" t="s">
        <v>1200</v>
      </c>
      <c r="D3850">
        <v>0</v>
      </c>
      <c r="E3850" t="s">
        <v>325</v>
      </c>
    </row>
    <row r="3851" spans="1:5" x14ac:dyDescent="0.25">
      <c r="A3851" t="s">
        <v>29</v>
      </c>
      <c r="B3851" t="str">
        <f t="shared" si="61"/>
        <v>05323</v>
      </c>
      <c r="C3851" t="s">
        <v>1204</v>
      </c>
      <c r="D3851">
        <v>729.67</v>
      </c>
      <c r="E3851" t="s">
        <v>325</v>
      </c>
    </row>
    <row r="3852" spans="1:5" x14ac:dyDescent="0.25">
      <c r="A3852" t="s">
        <v>29</v>
      </c>
      <c r="B3852" t="str">
        <f t="shared" si="61"/>
        <v>05323</v>
      </c>
      <c r="C3852" t="s">
        <v>1207</v>
      </c>
      <c r="D3852">
        <v>68.41</v>
      </c>
      <c r="E3852" t="s">
        <v>325</v>
      </c>
    </row>
    <row r="3853" spans="1:5" x14ac:dyDescent="0.25">
      <c r="A3853" t="s">
        <v>29</v>
      </c>
      <c r="B3853" t="str">
        <f t="shared" si="61"/>
        <v>05323</v>
      </c>
      <c r="C3853" t="s">
        <v>1208</v>
      </c>
      <c r="D3853">
        <v>246.26</v>
      </c>
      <c r="E3853" t="s">
        <v>325</v>
      </c>
    </row>
    <row r="3854" spans="1:5" x14ac:dyDescent="0.25">
      <c r="A3854" t="s">
        <v>29</v>
      </c>
      <c r="B3854" t="str">
        <f t="shared" si="61"/>
        <v>05323</v>
      </c>
      <c r="C3854" t="s">
        <v>1210</v>
      </c>
      <c r="D3854">
        <v>0</v>
      </c>
      <c r="E3854" t="s">
        <v>325</v>
      </c>
    </row>
    <row r="3855" spans="1:5" x14ac:dyDescent="0.25">
      <c r="A3855" t="s">
        <v>29</v>
      </c>
      <c r="B3855" t="str">
        <f t="shared" si="61"/>
        <v>05323</v>
      </c>
      <c r="C3855" t="s">
        <v>1212</v>
      </c>
      <c r="D3855">
        <v>0</v>
      </c>
      <c r="E3855" t="s">
        <v>325</v>
      </c>
    </row>
    <row r="3856" spans="1:5" x14ac:dyDescent="0.25">
      <c r="A3856" t="s">
        <v>29</v>
      </c>
      <c r="B3856" t="str">
        <f t="shared" si="61"/>
        <v>05323</v>
      </c>
      <c r="C3856" t="s">
        <v>1216</v>
      </c>
      <c r="D3856">
        <v>0</v>
      </c>
      <c r="E3856" t="s">
        <v>325</v>
      </c>
    </row>
    <row r="3857" spans="1:5" x14ac:dyDescent="0.25">
      <c r="A3857" t="s">
        <v>29</v>
      </c>
      <c r="B3857" t="str">
        <f t="shared" si="61"/>
        <v>05323</v>
      </c>
      <c r="C3857" t="s">
        <v>1198</v>
      </c>
      <c r="D3857">
        <v>139.80000000000001</v>
      </c>
      <c r="E3857" t="s">
        <v>325</v>
      </c>
    </row>
    <row r="3858" spans="1:5" x14ac:dyDescent="0.25">
      <c r="A3858" s="34">
        <v>28010</v>
      </c>
      <c r="B3858" t="str">
        <f t="shared" si="61"/>
        <v>28010</v>
      </c>
      <c r="C3858" t="s">
        <v>1193</v>
      </c>
      <c r="D3858">
        <v>0</v>
      </c>
      <c r="E3858" t="s">
        <v>493</v>
      </c>
    </row>
    <row r="3859" spans="1:5" x14ac:dyDescent="0.25">
      <c r="A3859" s="34">
        <v>28010</v>
      </c>
      <c r="B3859" t="str">
        <f t="shared" si="61"/>
        <v>28010</v>
      </c>
      <c r="C3859" t="s">
        <v>1194</v>
      </c>
      <c r="D3859">
        <v>3</v>
      </c>
      <c r="E3859" t="s">
        <v>493</v>
      </c>
    </row>
    <row r="3860" spans="1:5" x14ac:dyDescent="0.25">
      <c r="A3860" s="34">
        <v>28010</v>
      </c>
      <c r="B3860" t="str">
        <f t="shared" si="61"/>
        <v>28010</v>
      </c>
      <c r="C3860" t="s">
        <v>1195</v>
      </c>
      <c r="D3860">
        <v>0</v>
      </c>
      <c r="E3860" t="s">
        <v>493</v>
      </c>
    </row>
    <row r="3861" spans="1:5" x14ac:dyDescent="0.25">
      <c r="A3861" s="34">
        <v>28010</v>
      </c>
      <c r="B3861" t="str">
        <f t="shared" si="61"/>
        <v>28010</v>
      </c>
      <c r="C3861" t="s">
        <v>1197</v>
      </c>
      <c r="D3861">
        <v>0</v>
      </c>
      <c r="E3861" t="s">
        <v>493</v>
      </c>
    </row>
    <row r="3862" spans="1:5" x14ac:dyDescent="0.25">
      <c r="A3862" s="34">
        <v>28010</v>
      </c>
      <c r="B3862" t="str">
        <f t="shared" si="61"/>
        <v>28010</v>
      </c>
      <c r="C3862" t="s">
        <v>1202</v>
      </c>
      <c r="D3862">
        <v>0</v>
      </c>
      <c r="E3862" t="s">
        <v>493</v>
      </c>
    </row>
    <row r="3863" spans="1:5" x14ac:dyDescent="0.25">
      <c r="A3863" s="34">
        <v>28010</v>
      </c>
      <c r="B3863" t="str">
        <f t="shared" si="61"/>
        <v>28010</v>
      </c>
      <c r="C3863" t="s">
        <v>1206</v>
      </c>
      <c r="D3863">
        <v>0</v>
      </c>
      <c r="E3863" t="s">
        <v>493</v>
      </c>
    </row>
    <row r="3864" spans="1:5" x14ac:dyDescent="0.25">
      <c r="A3864" s="34">
        <v>28010</v>
      </c>
      <c r="B3864" t="str">
        <f t="shared" si="61"/>
        <v>28010</v>
      </c>
      <c r="C3864" t="s">
        <v>1199</v>
      </c>
      <c r="D3864">
        <v>0</v>
      </c>
      <c r="E3864" t="s">
        <v>493</v>
      </c>
    </row>
    <row r="3865" spans="1:5" x14ac:dyDescent="0.25">
      <c r="A3865" s="34">
        <v>28010</v>
      </c>
      <c r="B3865" t="str">
        <f t="shared" si="61"/>
        <v>28010</v>
      </c>
      <c r="C3865" t="s">
        <v>1203</v>
      </c>
      <c r="D3865">
        <v>0</v>
      </c>
      <c r="E3865" t="s">
        <v>493</v>
      </c>
    </row>
    <row r="3866" spans="1:5" x14ac:dyDescent="0.25">
      <c r="A3866" s="34">
        <v>28010</v>
      </c>
      <c r="B3866" t="str">
        <f t="shared" si="61"/>
        <v>28010</v>
      </c>
      <c r="C3866" t="s">
        <v>1200</v>
      </c>
      <c r="D3866">
        <v>0</v>
      </c>
      <c r="E3866" t="s">
        <v>493</v>
      </c>
    </row>
    <row r="3867" spans="1:5" x14ac:dyDescent="0.25">
      <c r="A3867" s="34">
        <v>28010</v>
      </c>
      <c r="B3867" t="str">
        <f t="shared" si="61"/>
        <v>28010</v>
      </c>
      <c r="C3867" t="s">
        <v>1204</v>
      </c>
      <c r="D3867">
        <v>0</v>
      </c>
      <c r="E3867" t="s">
        <v>493</v>
      </c>
    </row>
    <row r="3868" spans="1:5" x14ac:dyDescent="0.25">
      <c r="A3868" s="34">
        <v>28010</v>
      </c>
      <c r="B3868" t="str">
        <f t="shared" si="61"/>
        <v>28010</v>
      </c>
      <c r="C3868" t="s">
        <v>1207</v>
      </c>
      <c r="D3868">
        <v>0</v>
      </c>
      <c r="E3868" t="s">
        <v>493</v>
      </c>
    </row>
    <row r="3869" spans="1:5" x14ac:dyDescent="0.25">
      <c r="A3869" s="34">
        <v>28010</v>
      </c>
      <c r="B3869" t="str">
        <f t="shared" si="61"/>
        <v>28010</v>
      </c>
      <c r="C3869" t="s">
        <v>1208</v>
      </c>
      <c r="D3869">
        <v>0</v>
      </c>
      <c r="E3869" t="s">
        <v>493</v>
      </c>
    </row>
    <row r="3870" spans="1:5" x14ac:dyDescent="0.25">
      <c r="A3870" s="34">
        <v>28010</v>
      </c>
      <c r="B3870" t="str">
        <f t="shared" si="61"/>
        <v>28010</v>
      </c>
      <c r="C3870" t="s">
        <v>1210</v>
      </c>
      <c r="D3870">
        <v>0</v>
      </c>
      <c r="E3870" t="s">
        <v>493</v>
      </c>
    </row>
    <row r="3871" spans="1:5" x14ac:dyDescent="0.25">
      <c r="A3871" s="34">
        <v>28010</v>
      </c>
      <c r="B3871" t="str">
        <f t="shared" si="61"/>
        <v>28010</v>
      </c>
      <c r="C3871" t="s">
        <v>1212</v>
      </c>
      <c r="D3871">
        <v>0</v>
      </c>
      <c r="E3871" t="s">
        <v>493</v>
      </c>
    </row>
    <row r="3872" spans="1:5" x14ac:dyDescent="0.25">
      <c r="A3872" s="34">
        <v>28010</v>
      </c>
      <c r="B3872" t="str">
        <f t="shared" si="61"/>
        <v>28010</v>
      </c>
      <c r="C3872" t="s">
        <v>1216</v>
      </c>
      <c r="D3872">
        <v>1.76</v>
      </c>
      <c r="E3872" t="s">
        <v>493</v>
      </c>
    </row>
    <row r="3873" spans="1:5" x14ac:dyDescent="0.25">
      <c r="A3873" s="34">
        <v>28010</v>
      </c>
      <c r="B3873" t="str">
        <f t="shared" si="61"/>
        <v>28010</v>
      </c>
      <c r="C3873" t="s">
        <v>1198</v>
      </c>
      <c r="D3873">
        <v>2.4</v>
      </c>
      <c r="E3873" t="s">
        <v>493</v>
      </c>
    </row>
    <row r="3874" spans="1:5" x14ac:dyDescent="0.25">
      <c r="A3874">
        <v>23309</v>
      </c>
      <c r="B3874" t="str">
        <f t="shared" si="61"/>
        <v>23309</v>
      </c>
      <c r="C3874" t="s">
        <v>1193</v>
      </c>
      <c r="D3874">
        <v>0</v>
      </c>
      <c r="E3874" t="s">
        <v>457</v>
      </c>
    </row>
    <row r="3875" spans="1:5" x14ac:dyDescent="0.25">
      <c r="A3875">
        <v>23309</v>
      </c>
      <c r="B3875" t="str">
        <f t="shared" si="61"/>
        <v>23309</v>
      </c>
      <c r="C3875" t="s">
        <v>1194</v>
      </c>
      <c r="D3875">
        <v>914.22</v>
      </c>
      <c r="E3875" t="s">
        <v>457</v>
      </c>
    </row>
    <row r="3876" spans="1:5" x14ac:dyDescent="0.25">
      <c r="A3876">
        <v>23309</v>
      </c>
      <c r="B3876" t="str">
        <f t="shared" si="61"/>
        <v>23309</v>
      </c>
      <c r="C3876" t="s">
        <v>1195</v>
      </c>
      <c r="D3876">
        <v>0</v>
      </c>
      <c r="E3876" t="s">
        <v>457</v>
      </c>
    </row>
    <row r="3877" spans="1:5" x14ac:dyDescent="0.25">
      <c r="A3877">
        <v>23309</v>
      </c>
      <c r="B3877" t="str">
        <f t="shared" si="61"/>
        <v>23309</v>
      </c>
      <c r="C3877" t="s">
        <v>1197</v>
      </c>
      <c r="D3877">
        <v>267.77999999999997</v>
      </c>
      <c r="E3877" t="s">
        <v>457</v>
      </c>
    </row>
    <row r="3878" spans="1:5" x14ac:dyDescent="0.25">
      <c r="A3878">
        <v>23309</v>
      </c>
      <c r="B3878" t="str">
        <f t="shared" si="61"/>
        <v>23309</v>
      </c>
      <c r="C3878" t="s">
        <v>1202</v>
      </c>
      <c r="D3878">
        <v>0</v>
      </c>
      <c r="E3878" t="s">
        <v>457</v>
      </c>
    </row>
    <row r="3879" spans="1:5" x14ac:dyDescent="0.25">
      <c r="A3879">
        <v>23309</v>
      </c>
      <c r="B3879" t="str">
        <f t="shared" si="61"/>
        <v>23309</v>
      </c>
      <c r="C3879" t="s">
        <v>1206</v>
      </c>
      <c r="D3879">
        <v>596.34</v>
      </c>
      <c r="E3879" t="s">
        <v>457</v>
      </c>
    </row>
    <row r="3880" spans="1:5" x14ac:dyDescent="0.25">
      <c r="A3880">
        <v>23309</v>
      </c>
      <c r="B3880" t="str">
        <f t="shared" si="61"/>
        <v>23309</v>
      </c>
      <c r="C3880" t="s">
        <v>1199</v>
      </c>
      <c r="D3880">
        <v>0</v>
      </c>
      <c r="E3880" t="s">
        <v>457</v>
      </c>
    </row>
    <row r="3881" spans="1:5" x14ac:dyDescent="0.25">
      <c r="A3881">
        <v>23309</v>
      </c>
      <c r="B3881" t="str">
        <f t="shared" si="61"/>
        <v>23309</v>
      </c>
      <c r="C3881" t="s">
        <v>1203</v>
      </c>
      <c r="D3881">
        <v>528.79</v>
      </c>
      <c r="E3881" t="s">
        <v>457</v>
      </c>
    </row>
    <row r="3882" spans="1:5" x14ac:dyDescent="0.25">
      <c r="A3882">
        <v>23309</v>
      </c>
      <c r="B3882" t="str">
        <f t="shared" si="61"/>
        <v>23309</v>
      </c>
      <c r="C3882" t="s">
        <v>1200</v>
      </c>
      <c r="D3882">
        <v>0</v>
      </c>
      <c r="E3882" t="s">
        <v>457</v>
      </c>
    </row>
    <row r="3883" spans="1:5" x14ac:dyDescent="0.25">
      <c r="A3883">
        <v>23309</v>
      </c>
      <c r="B3883" t="str">
        <f t="shared" si="61"/>
        <v>23309</v>
      </c>
      <c r="C3883" t="s">
        <v>1204</v>
      </c>
      <c r="D3883">
        <v>1453.01</v>
      </c>
      <c r="E3883" t="s">
        <v>457</v>
      </c>
    </row>
    <row r="3884" spans="1:5" x14ac:dyDescent="0.25">
      <c r="A3884">
        <v>23309</v>
      </c>
      <c r="B3884" t="str">
        <f t="shared" si="61"/>
        <v>23309</v>
      </c>
      <c r="C3884" t="s">
        <v>1207</v>
      </c>
      <c r="D3884">
        <v>137.94</v>
      </c>
      <c r="E3884" t="s">
        <v>457</v>
      </c>
    </row>
    <row r="3885" spans="1:5" x14ac:dyDescent="0.25">
      <c r="A3885">
        <v>23309</v>
      </c>
      <c r="B3885" t="str">
        <f t="shared" si="61"/>
        <v>23309</v>
      </c>
      <c r="C3885" t="s">
        <v>1208</v>
      </c>
      <c r="D3885">
        <v>687.36</v>
      </c>
      <c r="E3885" t="s">
        <v>457</v>
      </c>
    </row>
    <row r="3886" spans="1:5" x14ac:dyDescent="0.25">
      <c r="A3886">
        <v>23309</v>
      </c>
      <c r="B3886" t="str">
        <f t="shared" si="61"/>
        <v>23309</v>
      </c>
      <c r="C3886" t="s">
        <v>1210</v>
      </c>
      <c r="D3886">
        <v>0</v>
      </c>
      <c r="E3886" t="s">
        <v>457</v>
      </c>
    </row>
    <row r="3887" spans="1:5" x14ac:dyDescent="0.25">
      <c r="A3887">
        <v>23309</v>
      </c>
      <c r="B3887" t="str">
        <f t="shared" si="61"/>
        <v>23309</v>
      </c>
      <c r="C3887" t="s">
        <v>1212</v>
      </c>
      <c r="D3887">
        <v>0</v>
      </c>
      <c r="E3887" t="s">
        <v>457</v>
      </c>
    </row>
    <row r="3888" spans="1:5" x14ac:dyDescent="0.25">
      <c r="A3888">
        <v>23309</v>
      </c>
      <c r="B3888" t="str">
        <f t="shared" si="61"/>
        <v>23309</v>
      </c>
      <c r="C3888" t="s">
        <v>1216</v>
      </c>
      <c r="D3888">
        <v>0</v>
      </c>
      <c r="E3888" t="s">
        <v>457</v>
      </c>
    </row>
    <row r="3889" spans="1:5" x14ac:dyDescent="0.25">
      <c r="A3889">
        <v>23309</v>
      </c>
      <c r="B3889" t="str">
        <f t="shared" si="61"/>
        <v>23309</v>
      </c>
      <c r="C3889" t="s">
        <v>1198</v>
      </c>
      <c r="D3889">
        <v>266.58999999999997</v>
      </c>
      <c r="E3889" t="s">
        <v>457</v>
      </c>
    </row>
    <row r="3890" spans="1:5" x14ac:dyDescent="0.25">
      <c r="A3890">
        <v>17412</v>
      </c>
      <c r="B3890" t="str">
        <f t="shared" si="61"/>
        <v>17412</v>
      </c>
      <c r="C3890" t="s">
        <v>1193</v>
      </c>
      <c r="D3890">
        <v>0</v>
      </c>
      <c r="E3890" t="s">
        <v>407</v>
      </c>
    </row>
    <row r="3891" spans="1:5" x14ac:dyDescent="0.25">
      <c r="A3891">
        <v>17412</v>
      </c>
      <c r="B3891" t="str">
        <f t="shared" si="61"/>
        <v>17412</v>
      </c>
      <c r="C3891" t="s">
        <v>1194</v>
      </c>
      <c r="D3891">
        <v>1954.65</v>
      </c>
      <c r="E3891" t="s">
        <v>407</v>
      </c>
    </row>
    <row r="3892" spans="1:5" x14ac:dyDescent="0.25">
      <c r="A3892">
        <v>17412</v>
      </c>
      <c r="B3892" t="str">
        <f t="shared" si="61"/>
        <v>17412</v>
      </c>
      <c r="C3892" t="s">
        <v>1195</v>
      </c>
      <c r="D3892">
        <v>0</v>
      </c>
      <c r="E3892" t="s">
        <v>407</v>
      </c>
    </row>
    <row r="3893" spans="1:5" x14ac:dyDescent="0.25">
      <c r="A3893">
        <v>17412</v>
      </c>
      <c r="B3893" t="str">
        <f t="shared" si="61"/>
        <v>17412</v>
      </c>
      <c r="C3893" t="s">
        <v>1197</v>
      </c>
      <c r="D3893">
        <v>661.02</v>
      </c>
      <c r="E3893" t="s">
        <v>407</v>
      </c>
    </row>
    <row r="3894" spans="1:5" x14ac:dyDescent="0.25">
      <c r="A3894">
        <v>17412</v>
      </c>
      <c r="B3894" t="str">
        <f t="shared" si="61"/>
        <v>17412</v>
      </c>
      <c r="C3894" t="s">
        <v>1202</v>
      </c>
      <c r="D3894">
        <v>0</v>
      </c>
      <c r="E3894" t="s">
        <v>407</v>
      </c>
    </row>
    <row r="3895" spans="1:5" x14ac:dyDescent="0.25">
      <c r="A3895">
        <v>17412</v>
      </c>
      <c r="B3895" t="str">
        <f t="shared" si="61"/>
        <v>17412</v>
      </c>
      <c r="C3895" t="s">
        <v>1206</v>
      </c>
      <c r="D3895">
        <v>1375.94</v>
      </c>
      <c r="E3895" t="s">
        <v>407</v>
      </c>
    </row>
    <row r="3896" spans="1:5" x14ac:dyDescent="0.25">
      <c r="A3896">
        <v>17412</v>
      </c>
      <c r="B3896" t="str">
        <f t="shared" si="61"/>
        <v>17412</v>
      </c>
      <c r="C3896" t="s">
        <v>1199</v>
      </c>
      <c r="D3896">
        <v>0</v>
      </c>
      <c r="E3896" t="s">
        <v>407</v>
      </c>
    </row>
    <row r="3897" spans="1:5" x14ac:dyDescent="0.25">
      <c r="A3897">
        <v>17412</v>
      </c>
      <c r="B3897" t="str">
        <f t="shared" si="61"/>
        <v>17412</v>
      </c>
      <c r="C3897" t="s">
        <v>1203</v>
      </c>
      <c r="D3897">
        <v>1416.63</v>
      </c>
      <c r="E3897" t="s">
        <v>407</v>
      </c>
    </row>
    <row r="3898" spans="1:5" x14ac:dyDescent="0.25">
      <c r="A3898">
        <v>17412</v>
      </c>
      <c r="B3898" t="str">
        <f t="shared" si="61"/>
        <v>17412</v>
      </c>
      <c r="C3898" t="s">
        <v>1200</v>
      </c>
      <c r="D3898">
        <v>0</v>
      </c>
      <c r="E3898" t="s">
        <v>407</v>
      </c>
    </row>
    <row r="3899" spans="1:5" x14ac:dyDescent="0.25">
      <c r="A3899">
        <v>17412</v>
      </c>
      <c r="B3899" t="str">
        <f t="shared" si="61"/>
        <v>17412</v>
      </c>
      <c r="C3899" t="s">
        <v>1204</v>
      </c>
      <c r="D3899">
        <v>2845.24</v>
      </c>
      <c r="E3899" t="s">
        <v>407</v>
      </c>
    </row>
    <row r="3900" spans="1:5" x14ac:dyDescent="0.25">
      <c r="A3900">
        <v>17412</v>
      </c>
      <c r="B3900" t="str">
        <f t="shared" si="61"/>
        <v>17412</v>
      </c>
      <c r="C3900" t="s">
        <v>1207</v>
      </c>
      <c r="D3900">
        <v>25.37</v>
      </c>
      <c r="E3900" t="s">
        <v>407</v>
      </c>
    </row>
    <row r="3901" spans="1:5" x14ac:dyDescent="0.25">
      <c r="A3901">
        <v>17412</v>
      </c>
      <c r="B3901" t="str">
        <f t="shared" si="61"/>
        <v>17412</v>
      </c>
      <c r="C3901" t="s">
        <v>1208</v>
      </c>
      <c r="D3901">
        <v>450.59</v>
      </c>
      <c r="E3901" t="s">
        <v>407</v>
      </c>
    </row>
    <row r="3902" spans="1:5" x14ac:dyDescent="0.25">
      <c r="A3902">
        <v>17412</v>
      </c>
      <c r="B3902" t="str">
        <f t="shared" si="61"/>
        <v>17412</v>
      </c>
      <c r="C3902" t="s">
        <v>1210</v>
      </c>
      <c r="D3902">
        <v>0</v>
      </c>
      <c r="E3902" t="s">
        <v>407</v>
      </c>
    </row>
    <row r="3903" spans="1:5" x14ac:dyDescent="0.25">
      <c r="A3903">
        <v>17412</v>
      </c>
      <c r="B3903" t="str">
        <f t="shared" si="61"/>
        <v>17412</v>
      </c>
      <c r="C3903" t="s">
        <v>1212</v>
      </c>
      <c r="D3903">
        <v>0</v>
      </c>
      <c r="E3903" t="s">
        <v>407</v>
      </c>
    </row>
    <row r="3904" spans="1:5" x14ac:dyDescent="0.25">
      <c r="A3904">
        <v>17412</v>
      </c>
      <c r="B3904" t="str">
        <f t="shared" si="61"/>
        <v>17412</v>
      </c>
      <c r="C3904" t="s">
        <v>1216</v>
      </c>
      <c r="D3904">
        <v>0</v>
      </c>
      <c r="E3904" t="s">
        <v>407</v>
      </c>
    </row>
    <row r="3905" spans="1:5" x14ac:dyDescent="0.25">
      <c r="A3905">
        <v>17412</v>
      </c>
      <c r="B3905" t="str">
        <f t="shared" si="61"/>
        <v>17412</v>
      </c>
      <c r="C3905" t="s">
        <v>1198</v>
      </c>
      <c r="D3905">
        <v>618.74</v>
      </c>
      <c r="E3905" t="s">
        <v>407</v>
      </c>
    </row>
    <row r="3906" spans="1:5" x14ac:dyDescent="0.25">
      <c r="A3906">
        <v>30002</v>
      </c>
      <c r="B3906" t="str">
        <f t="shared" si="61"/>
        <v>30002</v>
      </c>
      <c r="C3906" t="s">
        <v>1193</v>
      </c>
      <c r="D3906">
        <v>0</v>
      </c>
      <c r="E3906" t="s">
        <v>504</v>
      </c>
    </row>
    <row r="3907" spans="1:5" x14ac:dyDescent="0.25">
      <c r="A3907">
        <v>30002</v>
      </c>
      <c r="B3907" t="str">
        <f t="shared" ref="B3907:B3970" si="62">TEXT(A3907,"00000")</f>
        <v>30002</v>
      </c>
      <c r="C3907" t="s">
        <v>1194</v>
      </c>
      <c r="D3907">
        <v>36.799999999999997</v>
      </c>
      <c r="E3907" t="s">
        <v>504</v>
      </c>
    </row>
    <row r="3908" spans="1:5" x14ac:dyDescent="0.25">
      <c r="A3908">
        <v>30002</v>
      </c>
      <c r="B3908" t="str">
        <f t="shared" si="62"/>
        <v>30002</v>
      </c>
      <c r="C3908" t="s">
        <v>1195</v>
      </c>
      <c r="D3908">
        <v>0</v>
      </c>
      <c r="E3908" t="s">
        <v>504</v>
      </c>
    </row>
    <row r="3909" spans="1:5" x14ac:dyDescent="0.25">
      <c r="A3909">
        <v>30002</v>
      </c>
      <c r="B3909" t="str">
        <f t="shared" si="62"/>
        <v>30002</v>
      </c>
      <c r="C3909" t="s">
        <v>1197</v>
      </c>
      <c r="D3909">
        <v>15.8</v>
      </c>
      <c r="E3909" t="s">
        <v>504</v>
      </c>
    </row>
    <row r="3910" spans="1:5" x14ac:dyDescent="0.25">
      <c r="A3910">
        <v>30002</v>
      </c>
      <c r="B3910" t="str">
        <f t="shared" si="62"/>
        <v>30002</v>
      </c>
      <c r="C3910" t="s">
        <v>1202</v>
      </c>
      <c r="D3910">
        <v>0</v>
      </c>
      <c r="E3910" t="s">
        <v>504</v>
      </c>
    </row>
    <row r="3911" spans="1:5" x14ac:dyDescent="0.25">
      <c r="A3911">
        <v>30002</v>
      </c>
      <c r="B3911" t="str">
        <f t="shared" si="62"/>
        <v>30002</v>
      </c>
      <c r="C3911" t="s">
        <v>1206</v>
      </c>
      <c r="D3911">
        <v>18.2</v>
      </c>
      <c r="E3911" t="s">
        <v>504</v>
      </c>
    </row>
    <row r="3912" spans="1:5" x14ac:dyDescent="0.25">
      <c r="A3912">
        <v>30002</v>
      </c>
      <c r="B3912" t="str">
        <f t="shared" si="62"/>
        <v>30002</v>
      </c>
      <c r="C3912" t="s">
        <v>1199</v>
      </c>
      <c r="D3912">
        <v>0</v>
      </c>
      <c r="E3912" t="s">
        <v>504</v>
      </c>
    </row>
    <row r="3913" spans="1:5" x14ac:dyDescent="0.25">
      <c r="A3913">
        <v>30002</v>
      </c>
      <c r="B3913" t="str">
        <f t="shared" si="62"/>
        <v>30002</v>
      </c>
      <c r="C3913" t="s">
        <v>1203</v>
      </c>
      <c r="D3913">
        <v>16.600000000000001</v>
      </c>
      <c r="E3913" t="s">
        <v>504</v>
      </c>
    </row>
    <row r="3914" spans="1:5" x14ac:dyDescent="0.25">
      <c r="A3914">
        <v>30002</v>
      </c>
      <c r="B3914" t="str">
        <f t="shared" si="62"/>
        <v>30002</v>
      </c>
      <c r="C3914" t="s">
        <v>1200</v>
      </c>
      <c r="D3914">
        <v>0</v>
      </c>
      <c r="E3914" t="s">
        <v>504</v>
      </c>
    </row>
    <row r="3915" spans="1:5" x14ac:dyDescent="0.25">
      <c r="A3915">
        <v>30002</v>
      </c>
      <c r="B3915" t="str">
        <f t="shared" si="62"/>
        <v>30002</v>
      </c>
      <c r="C3915" t="s">
        <v>1204</v>
      </c>
      <c r="D3915">
        <v>0</v>
      </c>
      <c r="E3915" t="s">
        <v>504</v>
      </c>
    </row>
    <row r="3916" spans="1:5" x14ac:dyDescent="0.25">
      <c r="A3916">
        <v>30002</v>
      </c>
      <c r="B3916" t="str">
        <f t="shared" si="62"/>
        <v>30002</v>
      </c>
      <c r="C3916" t="s">
        <v>1207</v>
      </c>
      <c r="D3916">
        <v>0</v>
      </c>
      <c r="E3916" t="s">
        <v>504</v>
      </c>
    </row>
    <row r="3917" spans="1:5" x14ac:dyDescent="0.25">
      <c r="A3917">
        <v>30002</v>
      </c>
      <c r="B3917" t="str">
        <f t="shared" si="62"/>
        <v>30002</v>
      </c>
      <c r="C3917" t="s">
        <v>1208</v>
      </c>
      <c r="D3917">
        <v>0</v>
      </c>
      <c r="E3917" t="s">
        <v>504</v>
      </c>
    </row>
    <row r="3918" spans="1:5" x14ac:dyDescent="0.25">
      <c r="A3918">
        <v>30002</v>
      </c>
      <c r="B3918" t="str">
        <f t="shared" si="62"/>
        <v>30002</v>
      </c>
      <c r="C3918" t="s">
        <v>1210</v>
      </c>
      <c r="D3918">
        <v>0</v>
      </c>
      <c r="E3918" t="s">
        <v>504</v>
      </c>
    </row>
    <row r="3919" spans="1:5" x14ac:dyDescent="0.25">
      <c r="A3919">
        <v>30002</v>
      </c>
      <c r="B3919" t="str">
        <f t="shared" si="62"/>
        <v>30002</v>
      </c>
      <c r="C3919" t="s">
        <v>1212</v>
      </c>
      <c r="D3919">
        <v>0</v>
      </c>
      <c r="E3919" t="s">
        <v>504</v>
      </c>
    </row>
    <row r="3920" spans="1:5" x14ac:dyDescent="0.25">
      <c r="A3920">
        <v>30002</v>
      </c>
      <c r="B3920" t="str">
        <f t="shared" si="62"/>
        <v>30002</v>
      </c>
      <c r="C3920" t="s">
        <v>1216</v>
      </c>
      <c r="D3920">
        <v>7.8</v>
      </c>
      <c r="E3920" t="s">
        <v>504</v>
      </c>
    </row>
    <row r="3921" spans="1:5" x14ac:dyDescent="0.25">
      <c r="A3921">
        <v>30002</v>
      </c>
      <c r="B3921" t="str">
        <f t="shared" si="62"/>
        <v>30002</v>
      </c>
      <c r="C3921" t="s">
        <v>1198</v>
      </c>
      <c r="D3921">
        <v>12.8</v>
      </c>
      <c r="E3921" t="s">
        <v>504</v>
      </c>
    </row>
    <row r="3922" spans="1:5" x14ac:dyDescent="0.25">
      <c r="A3922">
        <v>17404</v>
      </c>
      <c r="B3922" t="str">
        <f t="shared" si="62"/>
        <v>17404</v>
      </c>
      <c r="C3922" t="s">
        <v>1193</v>
      </c>
      <c r="D3922">
        <v>0</v>
      </c>
      <c r="E3922" t="s">
        <v>399</v>
      </c>
    </row>
    <row r="3923" spans="1:5" x14ac:dyDescent="0.25">
      <c r="A3923">
        <v>17404</v>
      </c>
      <c r="B3923" t="str">
        <f t="shared" si="62"/>
        <v>17404</v>
      </c>
      <c r="C3923" t="s">
        <v>1194</v>
      </c>
      <c r="D3923">
        <v>8.8000000000000007</v>
      </c>
      <c r="E3923" t="s">
        <v>399</v>
      </c>
    </row>
    <row r="3924" spans="1:5" x14ac:dyDescent="0.25">
      <c r="A3924">
        <v>17404</v>
      </c>
      <c r="B3924" t="str">
        <f t="shared" si="62"/>
        <v>17404</v>
      </c>
      <c r="C3924" t="s">
        <v>1195</v>
      </c>
      <c r="D3924">
        <v>0</v>
      </c>
      <c r="E3924" t="s">
        <v>399</v>
      </c>
    </row>
    <row r="3925" spans="1:5" x14ac:dyDescent="0.25">
      <c r="A3925">
        <v>17404</v>
      </c>
      <c r="B3925" t="str">
        <f t="shared" si="62"/>
        <v>17404</v>
      </c>
      <c r="C3925" t="s">
        <v>1197</v>
      </c>
      <c r="D3925">
        <v>2</v>
      </c>
      <c r="E3925" t="s">
        <v>399</v>
      </c>
    </row>
    <row r="3926" spans="1:5" x14ac:dyDescent="0.25">
      <c r="A3926">
        <v>17404</v>
      </c>
      <c r="B3926" t="str">
        <f t="shared" si="62"/>
        <v>17404</v>
      </c>
      <c r="C3926" t="s">
        <v>1202</v>
      </c>
      <c r="D3926">
        <v>0</v>
      </c>
      <c r="E3926" t="s">
        <v>399</v>
      </c>
    </row>
    <row r="3927" spans="1:5" x14ac:dyDescent="0.25">
      <c r="A3927">
        <v>17404</v>
      </c>
      <c r="B3927" t="str">
        <f t="shared" si="62"/>
        <v>17404</v>
      </c>
      <c r="C3927" t="s">
        <v>1206</v>
      </c>
      <c r="D3927">
        <v>6</v>
      </c>
      <c r="E3927" t="s">
        <v>399</v>
      </c>
    </row>
    <row r="3928" spans="1:5" x14ac:dyDescent="0.25">
      <c r="A3928">
        <v>17404</v>
      </c>
      <c r="B3928" t="str">
        <f t="shared" si="62"/>
        <v>17404</v>
      </c>
      <c r="C3928" t="s">
        <v>1199</v>
      </c>
      <c r="D3928">
        <v>0</v>
      </c>
      <c r="E3928" t="s">
        <v>399</v>
      </c>
    </row>
    <row r="3929" spans="1:5" x14ac:dyDescent="0.25">
      <c r="A3929">
        <v>17404</v>
      </c>
      <c r="B3929" t="str">
        <f t="shared" si="62"/>
        <v>17404</v>
      </c>
      <c r="C3929" t="s">
        <v>1203</v>
      </c>
      <c r="D3929">
        <v>9.8000000000000007</v>
      </c>
      <c r="E3929" t="s">
        <v>399</v>
      </c>
    </row>
    <row r="3930" spans="1:5" x14ac:dyDescent="0.25">
      <c r="A3930">
        <v>17404</v>
      </c>
      <c r="B3930" t="str">
        <f t="shared" si="62"/>
        <v>17404</v>
      </c>
      <c r="C3930" t="s">
        <v>1200</v>
      </c>
      <c r="D3930">
        <v>0</v>
      </c>
      <c r="E3930" t="s">
        <v>399</v>
      </c>
    </row>
    <row r="3931" spans="1:5" x14ac:dyDescent="0.25">
      <c r="A3931">
        <v>17404</v>
      </c>
      <c r="B3931" t="str">
        <f t="shared" si="62"/>
        <v>17404</v>
      </c>
      <c r="C3931" t="s">
        <v>1204</v>
      </c>
      <c r="D3931">
        <v>11.56</v>
      </c>
      <c r="E3931" t="s">
        <v>399</v>
      </c>
    </row>
    <row r="3932" spans="1:5" x14ac:dyDescent="0.25">
      <c r="A3932">
        <v>17404</v>
      </c>
      <c r="B3932" t="str">
        <f t="shared" si="62"/>
        <v>17404</v>
      </c>
      <c r="C3932" t="s">
        <v>1207</v>
      </c>
      <c r="D3932">
        <v>0</v>
      </c>
      <c r="E3932" t="s">
        <v>399</v>
      </c>
    </row>
    <row r="3933" spans="1:5" x14ac:dyDescent="0.25">
      <c r="A3933">
        <v>17404</v>
      </c>
      <c r="B3933" t="str">
        <f t="shared" si="62"/>
        <v>17404</v>
      </c>
      <c r="C3933" t="s">
        <v>1208</v>
      </c>
      <c r="D3933">
        <v>1.56</v>
      </c>
      <c r="E3933" t="s">
        <v>399</v>
      </c>
    </row>
    <row r="3934" spans="1:5" x14ac:dyDescent="0.25">
      <c r="A3934">
        <v>17404</v>
      </c>
      <c r="B3934" t="str">
        <f t="shared" si="62"/>
        <v>17404</v>
      </c>
      <c r="C3934" t="s">
        <v>1210</v>
      </c>
      <c r="D3934">
        <v>0</v>
      </c>
      <c r="E3934" t="s">
        <v>399</v>
      </c>
    </row>
    <row r="3935" spans="1:5" x14ac:dyDescent="0.25">
      <c r="A3935">
        <v>17404</v>
      </c>
      <c r="B3935" t="str">
        <f t="shared" si="62"/>
        <v>17404</v>
      </c>
      <c r="C3935" t="s">
        <v>1212</v>
      </c>
      <c r="D3935">
        <v>0</v>
      </c>
      <c r="E3935" t="s">
        <v>399</v>
      </c>
    </row>
    <row r="3936" spans="1:5" x14ac:dyDescent="0.25">
      <c r="A3936">
        <v>17404</v>
      </c>
      <c r="B3936" t="str">
        <f t="shared" si="62"/>
        <v>17404</v>
      </c>
      <c r="C3936" t="s">
        <v>1216</v>
      </c>
      <c r="D3936">
        <v>0</v>
      </c>
      <c r="E3936" t="s">
        <v>399</v>
      </c>
    </row>
    <row r="3937" spans="1:5" x14ac:dyDescent="0.25">
      <c r="A3937">
        <v>17404</v>
      </c>
      <c r="B3937" t="str">
        <f t="shared" si="62"/>
        <v>17404</v>
      </c>
      <c r="C3937" t="s">
        <v>1198</v>
      </c>
      <c r="D3937">
        <v>3.2</v>
      </c>
      <c r="E3937" t="s">
        <v>399</v>
      </c>
    </row>
    <row r="3938" spans="1:5" x14ac:dyDescent="0.25">
      <c r="A3938">
        <v>31201</v>
      </c>
      <c r="B3938" t="str">
        <f t="shared" si="62"/>
        <v>31201</v>
      </c>
      <c r="C3938" t="s">
        <v>1193</v>
      </c>
      <c r="D3938">
        <v>0</v>
      </c>
      <c r="E3938" t="s">
        <v>516</v>
      </c>
    </row>
    <row r="3939" spans="1:5" x14ac:dyDescent="0.25">
      <c r="A3939">
        <v>31201</v>
      </c>
      <c r="B3939" t="str">
        <f t="shared" si="62"/>
        <v>31201</v>
      </c>
      <c r="C3939" t="s">
        <v>1194</v>
      </c>
      <c r="D3939">
        <v>2042.77</v>
      </c>
      <c r="E3939" t="s">
        <v>516</v>
      </c>
    </row>
    <row r="3940" spans="1:5" x14ac:dyDescent="0.25">
      <c r="A3940">
        <v>31201</v>
      </c>
      <c r="B3940" t="str">
        <f t="shared" si="62"/>
        <v>31201</v>
      </c>
      <c r="C3940" t="s">
        <v>1195</v>
      </c>
      <c r="D3940">
        <v>0</v>
      </c>
      <c r="E3940" t="s">
        <v>516</v>
      </c>
    </row>
    <row r="3941" spans="1:5" x14ac:dyDescent="0.25">
      <c r="A3941">
        <v>31201</v>
      </c>
      <c r="B3941" t="str">
        <f t="shared" si="62"/>
        <v>31201</v>
      </c>
      <c r="C3941" t="s">
        <v>1197</v>
      </c>
      <c r="D3941">
        <v>699.92</v>
      </c>
      <c r="E3941" t="s">
        <v>516</v>
      </c>
    </row>
    <row r="3942" spans="1:5" x14ac:dyDescent="0.25">
      <c r="A3942">
        <v>31201</v>
      </c>
      <c r="B3942" t="str">
        <f t="shared" si="62"/>
        <v>31201</v>
      </c>
      <c r="C3942" t="s">
        <v>1202</v>
      </c>
      <c r="D3942">
        <v>0</v>
      </c>
      <c r="E3942" t="s">
        <v>516</v>
      </c>
    </row>
    <row r="3943" spans="1:5" x14ac:dyDescent="0.25">
      <c r="A3943">
        <v>31201</v>
      </c>
      <c r="B3943" t="str">
        <f t="shared" si="62"/>
        <v>31201</v>
      </c>
      <c r="C3943" t="s">
        <v>1206</v>
      </c>
      <c r="D3943">
        <v>1382.79</v>
      </c>
      <c r="E3943" t="s">
        <v>516</v>
      </c>
    </row>
    <row r="3944" spans="1:5" x14ac:dyDescent="0.25">
      <c r="A3944">
        <v>31201</v>
      </c>
      <c r="B3944" t="str">
        <f t="shared" si="62"/>
        <v>31201</v>
      </c>
      <c r="C3944" t="s">
        <v>1199</v>
      </c>
      <c r="D3944">
        <v>0</v>
      </c>
      <c r="E3944" t="s">
        <v>516</v>
      </c>
    </row>
    <row r="3945" spans="1:5" x14ac:dyDescent="0.25">
      <c r="A3945">
        <v>31201</v>
      </c>
      <c r="B3945" t="str">
        <f t="shared" si="62"/>
        <v>31201</v>
      </c>
      <c r="C3945" t="s">
        <v>1203</v>
      </c>
      <c r="D3945">
        <v>1371.43</v>
      </c>
      <c r="E3945" t="s">
        <v>516</v>
      </c>
    </row>
    <row r="3946" spans="1:5" x14ac:dyDescent="0.25">
      <c r="A3946">
        <v>31201</v>
      </c>
      <c r="B3946" t="str">
        <f t="shared" si="62"/>
        <v>31201</v>
      </c>
      <c r="C3946" t="s">
        <v>1200</v>
      </c>
      <c r="D3946">
        <v>0</v>
      </c>
      <c r="E3946" t="s">
        <v>516</v>
      </c>
    </row>
    <row r="3947" spans="1:5" x14ac:dyDescent="0.25">
      <c r="A3947">
        <v>31201</v>
      </c>
      <c r="B3947" t="str">
        <f t="shared" si="62"/>
        <v>31201</v>
      </c>
      <c r="C3947" t="s">
        <v>1204</v>
      </c>
      <c r="D3947">
        <v>2882.93</v>
      </c>
      <c r="E3947" t="s">
        <v>516</v>
      </c>
    </row>
    <row r="3948" spans="1:5" x14ac:dyDescent="0.25">
      <c r="A3948">
        <v>31201</v>
      </c>
      <c r="B3948" t="str">
        <f t="shared" si="62"/>
        <v>31201</v>
      </c>
      <c r="C3948" t="s">
        <v>1207</v>
      </c>
      <c r="D3948">
        <v>120.41</v>
      </c>
      <c r="E3948" t="s">
        <v>516</v>
      </c>
    </row>
    <row r="3949" spans="1:5" x14ac:dyDescent="0.25">
      <c r="A3949">
        <v>31201</v>
      </c>
      <c r="B3949" t="str">
        <f t="shared" si="62"/>
        <v>31201</v>
      </c>
      <c r="C3949" t="s">
        <v>1208</v>
      </c>
      <c r="D3949">
        <v>445.02</v>
      </c>
      <c r="E3949" t="s">
        <v>516</v>
      </c>
    </row>
    <row r="3950" spans="1:5" x14ac:dyDescent="0.25">
      <c r="A3950">
        <v>31201</v>
      </c>
      <c r="B3950" t="str">
        <f t="shared" si="62"/>
        <v>31201</v>
      </c>
      <c r="C3950" t="s">
        <v>1210</v>
      </c>
      <c r="D3950">
        <v>0</v>
      </c>
      <c r="E3950" t="s">
        <v>516</v>
      </c>
    </row>
    <row r="3951" spans="1:5" x14ac:dyDescent="0.25">
      <c r="A3951">
        <v>31201</v>
      </c>
      <c r="B3951" t="str">
        <f t="shared" si="62"/>
        <v>31201</v>
      </c>
      <c r="C3951" t="s">
        <v>1212</v>
      </c>
      <c r="D3951">
        <v>0</v>
      </c>
      <c r="E3951" t="s">
        <v>516</v>
      </c>
    </row>
    <row r="3952" spans="1:5" x14ac:dyDescent="0.25">
      <c r="A3952">
        <v>31201</v>
      </c>
      <c r="B3952" t="str">
        <f t="shared" si="62"/>
        <v>31201</v>
      </c>
      <c r="C3952" t="s">
        <v>1216</v>
      </c>
      <c r="D3952">
        <v>59</v>
      </c>
      <c r="E3952" t="s">
        <v>516</v>
      </c>
    </row>
    <row r="3953" spans="1:5" x14ac:dyDescent="0.25">
      <c r="A3953">
        <v>31201</v>
      </c>
      <c r="B3953" t="str">
        <f t="shared" si="62"/>
        <v>31201</v>
      </c>
      <c r="C3953" t="s">
        <v>1198</v>
      </c>
      <c r="D3953">
        <v>636.14</v>
      </c>
      <c r="E3953" t="s">
        <v>516</v>
      </c>
    </row>
    <row r="3954" spans="1:5" x14ac:dyDescent="0.25">
      <c r="A3954">
        <v>17410</v>
      </c>
      <c r="B3954" t="str">
        <f t="shared" si="62"/>
        <v>17410</v>
      </c>
      <c r="C3954" t="s">
        <v>1193</v>
      </c>
      <c r="D3954">
        <v>0</v>
      </c>
      <c r="E3954" t="s">
        <v>405</v>
      </c>
    </row>
    <row r="3955" spans="1:5" x14ac:dyDescent="0.25">
      <c r="A3955">
        <v>17410</v>
      </c>
      <c r="B3955" t="str">
        <f t="shared" si="62"/>
        <v>17410</v>
      </c>
      <c r="C3955" t="s">
        <v>1194</v>
      </c>
      <c r="D3955">
        <v>1545.87</v>
      </c>
      <c r="E3955" t="s">
        <v>405</v>
      </c>
    </row>
    <row r="3956" spans="1:5" x14ac:dyDescent="0.25">
      <c r="A3956">
        <v>17410</v>
      </c>
      <c r="B3956" t="str">
        <f t="shared" si="62"/>
        <v>17410</v>
      </c>
      <c r="C3956" t="s">
        <v>1195</v>
      </c>
      <c r="D3956">
        <v>0</v>
      </c>
      <c r="E3956" t="s">
        <v>405</v>
      </c>
    </row>
    <row r="3957" spans="1:5" x14ac:dyDescent="0.25">
      <c r="A3957">
        <v>17410</v>
      </c>
      <c r="B3957" t="str">
        <f t="shared" si="62"/>
        <v>17410</v>
      </c>
      <c r="C3957" t="s">
        <v>1197</v>
      </c>
      <c r="D3957">
        <v>478.6</v>
      </c>
      <c r="E3957" t="s">
        <v>405</v>
      </c>
    </row>
    <row r="3958" spans="1:5" x14ac:dyDescent="0.25">
      <c r="A3958">
        <v>17410</v>
      </c>
      <c r="B3958" t="str">
        <f t="shared" si="62"/>
        <v>17410</v>
      </c>
      <c r="C3958" t="s">
        <v>1202</v>
      </c>
      <c r="D3958">
        <v>0</v>
      </c>
      <c r="E3958" t="s">
        <v>405</v>
      </c>
    </row>
    <row r="3959" spans="1:5" x14ac:dyDescent="0.25">
      <c r="A3959">
        <v>17410</v>
      </c>
      <c r="B3959" t="str">
        <f t="shared" si="62"/>
        <v>17410</v>
      </c>
      <c r="C3959" t="s">
        <v>1206</v>
      </c>
      <c r="D3959">
        <v>1094.3499999999999</v>
      </c>
      <c r="E3959" t="s">
        <v>405</v>
      </c>
    </row>
    <row r="3960" spans="1:5" x14ac:dyDescent="0.25">
      <c r="A3960">
        <v>17410</v>
      </c>
      <c r="B3960" t="str">
        <f t="shared" si="62"/>
        <v>17410</v>
      </c>
      <c r="C3960" t="s">
        <v>1199</v>
      </c>
      <c r="D3960">
        <v>0</v>
      </c>
      <c r="E3960" t="s">
        <v>405</v>
      </c>
    </row>
    <row r="3961" spans="1:5" x14ac:dyDescent="0.25">
      <c r="A3961">
        <v>17410</v>
      </c>
      <c r="B3961" t="str">
        <f t="shared" si="62"/>
        <v>17410</v>
      </c>
      <c r="C3961" t="s">
        <v>1203</v>
      </c>
      <c r="D3961">
        <v>1040.1099999999999</v>
      </c>
      <c r="E3961" t="s">
        <v>405</v>
      </c>
    </row>
    <row r="3962" spans="1:5" x14ac:dyDescent="0.25">
      <c r="A3962">
        <v>17410</v>
      </c>
      <c r="B3962" t="str">
        <f t="shared" si="62"/>
        <v>17410</v>
      </c>
      <c r="C3962" t="s">
        <v>1200</v>
      </c>
      <c r="D3962">
        <v>0</v>
      </c>
      <c r="E3962" t="s">
        <v>405</v>
      </c>
    </row>
    <row r="3963" spans="1:5" x14ac:dyDescent="0.25">
      <c r="A3963">
        <v>17410</v>
      </c>
      <c r="B3963" t="str">
        <f t="shared" si="62"/>
        <v>17410</v>
      </c>
      <c r="C3963" t="s">
        <v>1204</v>
      </c>
      <c r="D3963">
        <v>2009.13</v>
      </c>
      <c r="E3963" t="s">
        <v>405</v>
      </c>
    </row>
    <row r="3964" spans="1:5" x14ac:dyDescent="0.25">
      <c r="A3964">
        <v>17410</v>
      </c>
      <c r="B3964" t="str">
        <f t="shared" si="62"/>
        <v>17410</v>
      </c>
      <c r="C3964" t="s">
        <v>1207</v>
      </c>
      <c r="D3964">
        <v>47.48</v>
      </c>
      <c r="E3964" t="s">
        <v>405</v>
      </c>
    </row>
    <row r="3965" spans="1:5" x14ac:dyDescent="0.25">
      <c r="A3965">
        <v>17410</v>
      </c>
      <c r="B3965" t="str">
        <f t="shared" si="62"/>
        <v>17410</v>
      </c>
      <c r="C3965" t="s">
        <v>1208</v>
      </c>
      <c r="D3965">
        <v>452.6</v>
      </c>
      <c r="E3965" t="s">
        <v>405</v>
      </c>
    </row>
    <row r="3966" spans="1:5" x14ac:dyDescent="0.25">
      <c r="A3966">
        <v>17410</v>
      </c>
      <c r="B3966" t="str">
        <f t="shared" si="62"/>
        <v>17410</v>
      </c>
      <c r="C3966" t="s">
        <v>1210</v>
      </c>
      <c r="D3966">
        <v>0</v>
      </c>
      <c r="E3966" t="s">
        <v>405</v>
      </c>
    </row>
    <row r="3967" spans="1:5" x14ac:dyDescent="0.25">
      <c r="A3967">
        <v>17410</v>
      </c>
      <c r="B3967" t="str">
        <f t="shared" si="62"/>
        <v>17410</v>
      </c>
      <c r="C3967" t="s">
        <v>1212</v>
      </c>
      <c r="D3967">
        <v>0</v>
      </c>
      <c r="E3967" t="s">
        <v>405</v>
      </c>
    </row>
    <row r="3968" spans="1:5" x14ac:dyDescent="0.25">
      <c r="A3968">
        <v>17410</v>
      </c>
      <c r="B3968" t="str">
        <f t="shared" si="62"/>
        <v>17410</v>
      </c>
      <c r="C3968" t="s">
        <v>1216</v>
      </c>
      <c r="D3968">
        <v>14</v>
      </c>
      <c r="E3968" t="s">
        <v>405</v>
      </c>
    </row>
    <row r="3969" spans="1:5" x14ac:dyDescent="0.25">
      <c r="A3969">
        <v>17410</v>
      </c>
      <c r="B3969" t="str">
        <f t="shared" si="62"/>
        <v>17410</v>
      </c>
      <c r="C3969" t="s">
        <v>1198</v>
      </c>
      <c r="D3969">
        <v>445.18</v>
      </c>
      <c r="E3969" t="s">
        <v>405</v>
      </c>
    </row>
    <row r="3970" spans="1:5" x14ac:dyDescent="0.25">
      <c r="A3970">
        <v>13156</v>
      </c>
      <c r="B3970" t="str">
        <f t="shared" si="62"/>
        <v>13156</v>
      </c>
      <c r="C3970" t="s">
        <v>1193</v>
      </c>
      <c r="D3970">
        <v>0</v>
      </c>
      <c r="E3970" t="s">
        <v>365</v>
      </c>
    </row>
    <row r="3971" spans="1:5" x14ac:dyDescent="0.25">
      <c r="A3971">
        <v>13156</v>
      </c>
      <c r="B3971" t="str">
        <f t="shared" ref="B3971:B4034" si="63">TEXT(A3971,"00000")</f>
        <v>13156</v>
      </c>
      <c r="C3971" t="s">
        <v>1194</v>
      </c>
      <c r="D3971">
        <v>122.9</v>
      </c>
      <c r="E3971" t="s">
        <v>365</v>
      </c>
    </row>
    <row r="3972" spans="1:5" x14ac:dyDescent="0.25">
      <c r="A3972">
        <v>13156</v>
      </c>
      <c r="B3972" t="str">
        <f t="shared" si="63"/>
        <v>13156</v>
      </c>
      <c r="C3972" t="s">
        <v>1195</v>
      </c>
      <c r="D3972">
        <v>0</v>
      </c>
      <c r="E3972" t="s">
        <v>365</v>
      </c>
    </row>
    <row r="3973" spans="1:5" x14ac:dyDescent="0.25">
      <c r="A3973">
        <v>13156</v>
      </c>
      <c r="B3973" t="str">
        <f t="shared" si="63"/>
        <v>13156</v>
      </c>
      <c r="C3973" t="s">
        <v>1197</v>
      </c>
      <c r="D3973">
        <v>35</v>
      </c>
      <c r="E3973" t="s">
        <v>365</v>
      </c>
    </row>
    <row r="3974" spans="1:5" x14ac:dyDescent="0.25">
      <c r="A3974">
        <v>13156</v>
      </c>
      <c r="B3974" t="str">
        <f t="shared" si="63"/>
        <v>13156</v>
      </c>
      <c r="C3974" t="s">
        <v>1202</v>
      </c>
      <c r="D3974">
        <v>0</v>
      </c>
      <c r="E3974" t="s">
        <v>365</v>
      </c>
    </row>
    <row r="3975" spans="1:5" x14ac:dyDescent="0.25">
      <c r="A3975">
        <v>13156</v>
      </c>
      <c r="B3975" t="str">
        <f t="shared" si="63"/>
        <v>13156</v>
      </c>
      <c r="C3975" t="s">
        <v>1206</v>
      </c>
      <c r="D3975">
        <v>79.63</v>
      </c>
      <c r="E3975" t="s">
        <v>365</v>
      </c>
    </row>
    <row r="3976" spans="1:5" x14ac:dyDescent="0.25">
      <c r="A3976">
        <v>13156</v>
      </c>
      <c r="B3976" t="str">
        <f t="shared" si="63"/>
        <v>13156</v>
      </c>
      <c r="C3976" t="s">
        <v>1199</v>
      </c>
      <c r="D3976">
        <v>0</v>
      </c>
      <c r="E3976" t="s">
        <v>365</v>
      </c>
    </row>
    <row r="3977" spans="1:5" x14ac:dyDescent="0.25">
      <c r="A3977">
        <v>13156</v>
      </c>
      <c r="B3977" t="str">
        <f t="shared" si="63"/>
        <v>13156</v>
      </c>
      <c r="C3977" t="s">
        <v>1203</v>
      </c>
      <c r="D3977">
        <v>82.99</v>
      </c>
      <c r="E3977" t="s">
        <v>365</v>
      </c>
    </row>
    <row r="3978" spans="1:5" x14ac:dyDescent="0.25">
      <c r="A3978">
        <v>13156</v>
      </c>
      <c r="B3978" t="str">
        <f t="shared" si="63"/>
        <v>13156</v>
      </c>
      <c r="C3978" t="s">
        <v>1200</v>
      </c>
      <c r="D3978">
        <v>0</v>
      </c>
      <c r="E3978" t="s">
        <v>365</v>
      </c>
    </row>
    <row r="3979" spans="1:5" x14ac:dyDescent="0.25">
      <c r="A3979">
        <v>13156</v>
      </c>
      <c r="B3979" t="str">
        <f t="shared" si="63"/>
        <v>13156</v>
      </c>
      <c r="C3979" t="s">
        <v>1204</v>
      </c>
      <c r="D3979">
        <v>116.79</v>
      </c>
      <c r="E3979" t="s">
        <v>365</v>
      </c>
    </row>
    <row r="3980" spans="1:5" x14ac:dyDescent="0.25">
      <c r="A3980">
        <v>13156</v>
      </c>
      <c r="B3980" t="str">
        <f t="shared" si="63"/>
        <v>13156</v>
      </c>
      <c r="C3980" t="s">
        <v>1207</v>
      </c>
      <c r="D3980">
        <v>2.35</v>
      </c>
      <c r="E3980" t="s">
        <v>365</v>
      </c>
    </row>
    <row r="3981" spans="1:5" x14ac:dyDescent="0.25">
      <c r="A3981">
        <v>13156</v>
      </c>
      <c r="B3981" t="str">
        <f t="shared" si="63"/>
        <v>13156</v>
      </c>
      <c r="C3981" t="s">
        <v>1208</v>
      </c>
      <c r="D3981">
        <v>33.54</v>
      </c>
      <c r="E3981" t="s">
        <v>365</v>
      </c>
    </row>
    <row r="3982" spans="1:5" x14ac:dyDescent="0.25">
      <c r="A3982">
        <v>13156</v>
      </c>
      <c r="B3982" t="str">
        <f t="shared" si="63"/>
        <v>13156</v>
      </c>
      <c r="C3982" t="s">
        <v>1210</v>
      </c>
      <c r="D3982">
        <v>0</v>
      </c>
      <c r="E3982" t="s">
        <v>365</v>
      </c>
    </row>
    <row r="3983" spans="1:5" x14ac:dyDescent="0.25">
      <c r="A3983">
        <v>13156</v>
      </c>
      <c r="B3983" t="str">
        <f t="shared" si="63"/>
        <v>13156</v>
      </c>
      <c r="C3983" t="s">
        <v>1212</v>
      </c>
      <c r="D3983">
        <v>0</v>
      </c>
      <c r="E3983" t="s">
        <v>365</v>
      </c>
    </row>
    <row r="3984" spans="1:5" x14ac:dyDescent="0.25">
      <c r="A3984">
        <v>13156</v>
      </c>
      <c r="B3984" t="str">
        <f t="shared" si="63"/>
        <v>13156</v>
      </c>
      <c r="C3984" t="s">
        <v>1216</v>
      </c>
      <c r="D3984">
        <v>34.4</v>
      </c>
      <c r="E3984" t="s">
        <v>365</v>
      </c>
    </row>
    <row r="3985" spans="1:5" x14ac:dyDescent="0.25">
      <c r="A3985">
        <v>13156</v>
      </c>
      <c r="B3985" t="str">
        <f t="shared" si="63"/>
        <v>13156</v>
      </c>
      <c r="C3985" t="s">
        <v>1198</v>
      </c>
      <c r="D3985">
        <v>34.6</v>
      </c>
      <c r="E3985" t="s">
        <v>365</v>
      </c>
    </row>
    <row r="3986" spans="1:5" x14ac:dyDescent="0.25">
      <c r="A3986">
        <v>25118</v>
      </c>
      <c r="B3986" t="str">
        <f t="shared" si="63"/>
        <v>25118</v>
      </c>
      <c r="C3986" t="s">
        <v>1193</v>
      </c>
      <c r="D3986">
        <v>0</v>
      </c>
      <c r="E3986" t="s">
        <v>472</v>
      </c>
    </row>
    <row r="3987" spans="1:5" x14ac:dyDescent="0.25">
      <c r="A3987">
        <v>25118</v>
      </c>
      <c r="B3987" t="str">
        <f t="shared" si="63"/>
        <v>25118</v>
      </c>
      <c r="C3987" t="s">
        <v>1194</v>
      </c>
      <c r="D3987">
        <v>126.2</v>
      </c>
      <c r="E3987" t="s">
        <v>472</v>
      </c>
    </row>
    <row r="3988" spans="1:5" x14ac:dyDescent="0.25">
      <c r="A3988">
        <v>25118</v>
      </c>
      <c r="B3988" t="str">
        <f t="shared" si="63"/>
        <v>25118</v>
      </c>
      <c r="C3988" t="s">
        <v>1195</v>
      </c>
      <c r="D3988">
        <v>0</v>
      </c>
      <c r="E3988" t="s">
        <v>472</v>
      </c>
    </row>
    <row r="3989" spans="1:5" x14ac:dyDescent="0.25">
      <c r="A3989">
        <v>25118</v>
      </c>
      <c r="B3989" t="str">
        <f t="shared" si="63"/>
        <v>25118</v>
      </c>
      <c r="C3989" t="s">
        <v>1197</v>
      </c>
      <c r="D3989">
        <v>39</v>
      </c>
      <c r="E3989" t="s">
        <v>472</v>
      </c>
    </row>
    <row r="3990" spans="1:5" x14ac:dyDescent="0.25">
      <c r="A3990">
        <v>25118</v>
      </c>
      <c r="B3990" t="str">
        <f t="shared" si="63"/>
        <v>25118</v>
      </c>
      <c r="C3990" t="s">
        <v>1202</v>
      </c>
      <c r="D3990">
        <v>0</v>
      </c>
      <c r="E3990" t="s">
        <v>472</v>
      </c>
    </row>
    <row r="3991" spans="1:5" x14ac:dyDescent="0.25">
      <c r="A3991">
        <v>25118</v>
      </c>
      <c r="B3991" t="str">
        <f t="shared" si="63"/>
        <v>25118</v>
      </c>
      <c r="C3991" t="s">
        <v>1206</v>
      </c>
      <c r="D3991">
        <v>82.2</v>
      </c>
      <c r="E3991" t="s">
        <v>472</v>
      </c>
    </row>
    <row r="3992" spans="1:5" x14ac:dyDescent="0.25">
      <c r="A3992">
        <v>25118</v>
      </c>
      <c r="B3992" t="str">
        <f t="shared" si="63"/>
        <v>25118</v>
      </c>
      <c r="C3992" t="s">
        <v>1199</v>
      </c>
      <c r="D3992">
        <v>0</v>
      </c>
      <c r="E3992" t="s">
        <v>472</v>
      </c>
    </row>
    <row r="3993" spans="1:5" x14ac:dyDescent="0.25">
      <c r="A3993">
        <v>25118</v>
      </c>
      <c r="B3993" t="str">
        <f t="shared" si="63"/>
        <v>25118</v>
      </c>
      <c r="C3993" t="s">
        <v>1203</v>
      </c>
      <c r="D3993">
        <v>82.38</v>
      </c>
      <c r="E3993" t="s">
        <v>472</v>
      </c>
    </row>
    <row r="3994" spans="1:5" x14ac:dyDescent="0.25">
      <c r="A3994">
        <v>25118</v>
      </c>
      <c r="B3994" t="str">
        <f t="shared" si="63"/>
        <v>25118</v>
      </c>
      <c r="C3994" t="s">
        <v>1200</v>
      </c>
      <c r="D3994">
        <v>0</v>
      </c>
      <c r="E3994" t="s">
        <v>472</v>
      </c>
    </row>
    <row r="3995" spans="1:5" x14ac:dyDescent="0.25">
      <c r="A3995">
        <v>25118</v>
      </c>
      <c r="B3995" t="str">
        <f t="shared" si="63"/>
        <v>25118</v>
      </c>
      <c r="C3995" t="s">
        <v>1204</v>
      </c>
      <c r="D3995">
        <v>147.69</v>
      </c>
      <c r="E3995" t="s">
        <v>472</v>
      </c>
    </row>
    <row r="3996" spans="1:5" x14ac:dyDescent="0.25">
      <c r="A3996">
        <v>25118</v>
      </c>
      <c r="B3996" t="str">
        <f t="shared" si="63"/>
        <v>25118</v>
      </c>
      <c r="C3996" t="s">
        <v>1207</v>
      </c>
      <c r="D3996">
        <v>5.98</v>
      </c>
      <c r="E3996" t="s">
        <v>472</v>
      </c>
    </row>
    <row r="3997" spans="1:5" x14ac:dyDescent="0.25">
      <c r="A3997">
        <v>25118</v>
      </c>
      <c r="B3997" t="str">
        <f t="shared" si="63"/>
        <v>25118</v>
      </c>
      <c r="C3997" t="s">
        <v>1208</v>
      </c>
      <c r="D3997">
        <v>37.86</v>
      </c>
      <c r="E3997" t="s">
        <v>472</v>
      </c>
    </row>
    <row r="3998" spans="1:5" x14ac:dyDescent="0.25">
      <c r="A3998">
        <v>25118</v>
      </c>
      <c r="B3998" t="str">
        <f t="shared" si="63"/>
        <v>25118</v>
      </c>
      <c r="C3998" t="s">
        <v>1210</v>
      </c>
      <c r="D3998">
        <v>0</v>
      </c>
      <c r="E3998" t="s">
        <v>472</v>
      </c>
    </row>
    <row r="3999" spans="1:5" x14ac:dyDescent="0.25">
      <c r="A3999">
        <v>25118</v>
      </c>
      <c r="B3999" t="str">
        <f t="shared" si="63"/>
        <v>25118</v>
      </c>
      <c r="C3999" t="s">
        <v>1212</v>
      </c>
      <c r="D3999">
        <v>0</v>
      </c>
      <c r="E3999" t="s">
        <v>472</v>
      </c>
    </row>
    <row r="4000" spans="1:5" x14ac:dyDescent="0.25">
      <c r="A4000">
        <v>25118</v>
      </c>
      <c r="B4000" t="str">
        <f t="shared" si="63"/>
        <v>25118</v>
      </c>
      <c r="C4000" t="s">
        <v>1216</v>
      </c>
      <c r="D4000">
        <v>9.8000000000000007</v>
      </c>
      <c r="E4000" t="s">
        <v>472</v>
      </c>
    </row>
    <row r="4001" spans="1:5" x14ac:dyDescent="0.25">
      <c r="A4001">
        <v>25118</v>
      </c>
      <c r="B4001" t="str">
        <f t="shared" si="63"/>
        <v>25118</v>
      </c>
      <c r="C4001" t="s">
        <v>1198</v>
      </c>
      <c r="D4001">
        <v>32</v>
      </c>
      <c r="E4001" t="s">
        <v>472</v>
      </c>
    </row>
    <row r="4002" spans="1:5" x14ac:dyDescent="0.25">
      <c r="A4002">
        <v>18402</v>
      </c>
      <c r="B4002" t="str">
        <f t="shared" si="63"/>
        <v>18402</v>
      </c>
      <c r="C4002" t="s">
        <v>1193</v>
      </c>
      <c r="D4002">
        <v>0</v>
      </c>
      <c r="E4002" t="s">
        <v>416</v>
      </c>
    </row>
    <row r="4003" spans="1:5" x14ac:dyDescent="0.25">
      <c r="A4003">
        <v>18402</v>
      </c>
      <c r="B4003" t="str">
        <f t="shared" si="63"/>
        <v>18402</v>
      </c>
      <c r="C4003" t="s">
        <v>1194</v>
      </c>
      <c r="D4003">
        <v>2152.23</v>
      </c>
      <c r="E4003" t="s">
        <v>416</v>
      </c>
    </row>
    <row r="4004" spans="1:5" x14ac:dyDescent="0.25">
      <c r="A4004">
        <v>18402</v>
      </c>
      <c r="B4004" t="str">
        <f t="shared" si="63"/>
        <v>18402</v>
      </c>
      <c r="C4004" t="s">
        <v>1195</v>
      </c>
      <c r="D4004">
        <v>0</v>
      </c>
      <c r="E4004" t="s">
        <v>416</v>
      </c>
    </row>
    <row r="4005" spans="1:5" x14ac:dyDescent="0.25">
      <c r="A4005">
        <v>18402</v>
      </c>
      <c r="B4005" t="str">
        <f t="shared" si="63"/>
        <v>18402</v>
      </c>
      <c r="C4005" t="s">
        <v>1197</v>
      </c>
      <c r="D4005">
        <v>729.71</v>
      </c>
      <c r="E4005" t="s">
        <v>416</v>
      </c>
    </row>
    <row r="4006" spans="1:5" x14ac:dyDescent="0.25">
      <c r="A4006">
        <v>18402</v>
      </c>
      <c r="B4006" t="str">
        <f t="shared" si="63"/>
        <v>18402</v>
      </c>
      <c r="C4006" t="s">
        <v>1202</v>
      </c>
      <c r="D4006">
        <v>0</v>
      </c>
      <c r="E4006" t="s">
        <v>416</v>
      </c>
    </row>
    <row r="4007" spans="1:5" x14ac:dyDescent="0.25">
      <c r="A4007">
        <v>18402</v>
      </c>
      <c r="B4007" t="str">
        <f t="shared" si="63"/>
        <v>18402</v>
      </c>
      <c r="C4007" t="s">
        <v>1206</v>
      </c>
      <c r="D4007">
        <v>1407.15</v>
      </c>
      <c r="E4007" t="s">
        <v>416</v>
      </c>
    </row>
    <row r="4008" spans="1:5" x14ac:dyDescent="0.25">
      <c r="A4008">
        <v>18402</v>
      </c>
      <c r="B4008" t="str">
        <f t="shared" si="63"/>
        <v>18402</v>
      </c>
      <c r="C4008" t="s">
        <v>1199</v>
      </c>
      <c r="D4008">
        <v>0</v>
      </c>
      <c r="E4008" t="s">
        <v>416</v>
      </c>
    </row>
    <row r="4009" spans="1:5" x14ac:dyDescent="0.25">
      <c r="A4009">
        <v>18402</v>
      </c>
      <c r="B4009" t="str">
        <f t="shared" si="63"/>
        <v>18402</v>
      </c>
      <c r="C4009" t="s">
        <v>1203</v>
      </c>
      <c r="D4009">
        <v>1353.6</v>
      </c>
      <c r="E4009" t="s">
        <v>416</v>
      </c>
    </row>
    <row r="4010" spans="1:5" x14ac:dyDescent="0.25">
      <c r="A4010">
        <v>18402</v>
      </c>
      <c r="B4010" t="str">
        <f t="shared" si="63"/>
        <v>18402</v>
      </c>
      <c r="C4010" t="s">
        <v>1200</v>
      </c>
      <c r="D4010">
        <v>0</v>
      </c>
      <c r="E4010" t="s">
        <v>416</v>
      </c>
    </row>
    <row r="4011" spans="1:5" x14ac:dyDescent="0.25">
      <c r="A4011">
        <v>18402</v>
      </c>
      <c r="B4011" t="str">
        <f t="shared" si="63"/>
        <v>18402</v>
      </c>
      <c r="C4011" t="s">
        <v>1204</v>
      </c>
      <c r="D4011">
        <v>2139.94</v>
      </c>
      <c r="E4011" t="s">
        <v>416</v>
      </c>
    </row>
    <row r="4012" spans="1:5" x14ac:dyDescent="0.25">
      <c r="A4012">
        <v>18402</v>
      </c>
      <c r="B4012" t="str">
        <f t="shared" si="63"/>
        <v>18402</v>
      </c>
      <c r="C4012" t="s">
        <v>1207</v>
      </c>
      <c r="D4012">
        <v>335.02</v>
      </c>
      <c r="E4012" t="s">
        <v>416</v>
      </c>
    </row>
    <row r="4013" spans="1:5" x14ac:dyDescent="0.25">
      <c r="A4013">
        <v>18402</v>
      </c>
      <c r="B4013" t="str">
        <f t="shared" si="63"/>
        <v>18402</v>
      </c>
      <c r="C4013" t="s">
        <v>1208</v>
      </c>
      <c r="D4013">
        <v>684.64</v>
      </c>
      <c r="E4013" t="s">
        <v>416</v>
      </c>
    </row>
    <row r="4014" spans="1:5" x14ac:dyDescent="0.25">
      <c r="A4014">
        <v>18402</v>
      </c>
      <c r="B4014" t="str">
        <f t="shared" si="63"/>
        <v>18402</v>
      </c>
      <c r="C4014" t="s">
        <v>1210</v>
      </c>
      <c r="D4014">
        <v>0</v>
      </c>
      <c r="E4014" t="s">
        <v>416</v>
      </c>
    </row>
    <row r="4015" spans="1:5" x14ac:dyDescent="0.25">
      <c r="A4015">
        <v>18402</v>
      </c>
      <c r="B4015" t="str">
        <f t="shared" si="63"/>
        <v>18402</v>
      </c>
      <c r="C4015" t="s">
        <v>1212</v>
      </c>
      <c r="D4015">
        <v>0</v>
      </c>
      <c r="E4015" t="s">
        <v>416</v>
      </c>
    </row>
    <row r="4016" spans="1:5" x14ac:dyDescent="0.25">
      <c r="A4016">
        <v>18402</v>
      </c>
      <c r="B4016" t="str">
        <f t="shared" si="63"/>
        <v>18402</v>
      </c>
      <c r="C4016" t="s">
        <v>1216</v>
      </c>
      <c r="D4016">
        <v>0</v>
      </c>
      <c r="E4016" t="s">
        <v>416</v>
      </c>
    </row>
    <row r="4017" spans="1:5" x14ac:dyDescent="0.25">
      <c r="A4017">
        <v>18402</v>
      </c>
      <c r="B4017" t="str">
        <f t="shared" si="63"/>
        <v>18402</v>
      </c>
      <c r="C4017" t="s">
        <v>1198</v>
      </c>
      <c r="D4017">
        <v>629.34</v>
      </c>
      <c r="E4017" t="s">
        <v>416</v>
      </c>
    </row>
    <row r="4018" spans="1:5" x14ac:dyDescent="0.25">
      <c r="A4018">
        <v>15206</v>
      </c>
      <c r="B4018" t="str">
        <f t="shared" si="63"/>
        <v>15206</v>
      </c>
      <c r="C4018" t="s">
        <v>1193</v>
      </c>
      <c r="D4018">
        <v>0</v>
      </c>
      <c r="E4018" t="s">
        <v>386</v>
      </c>
    </row>
    <row r="4019" spans="1:5" x14ac:dyDescent="0.25">
      <c r="A4019">
        <v>15206</v>
      </c>
      <c r="B4019" t="str">
        <f t="shared" si="63"/>
        <v>15206</v>
      </c>
      <c r="C4019" t="s">
        <v>1194</v>
      </c>
      <c r="D4019">
        <v>212.44</v>
      </c>
      <c r="E4019" t="s">
        <v>386</v>
      </c>
    </row>
    <row r="4020" spans="1:5" x14ac:dyDescent="0.25">
      <c r="A4020">
        <v>15206</v>
      </c>
      <c r="B4020" t="str">
        <f t="shared" si="63"/>
        <v>15206</v>
      </c>
      <c r="C4020" t="s">
        <v>1195</v>
      </c>
      <c r="D4020">
        <v>0</v>
      </c>
      <c r="E4020" t="s">
        <v>386</v>
      </c>
    </row>
    <row r="4021" spans="1:5" x14ac:dyDescent="0.25">
      <c r="A4021">
        <v>15206</v>
      </c>
      <c r="B4021" t="str">
        <f t="shared" si="63"/>
        <v>15206</v>
      </c>
      <c r="C4021" t="s">
        <v>1197</v>
      </c>
      <c r="D4021">
        <v>70.819999999999993</v>
      </c>
      <c r="E4021" t="s">
        <v>386</v>
      </c>
    </row>
    <row r="4022" spans="1:5" x14ac:dyDescent="0.25">
      <c r="A4022">
        <v>15206</v>
      </c>
      <c r="B4022" t="str">
        <f t="shared" si="63"/>
        <v>15206</v>
      </c>
      <c r="C4022" t="s">
        <v>1202</v>
      </c>
      <c r="D4022">
        <v>0</v>
      </c>
      <c r="E4022" t="s">
        <v>386</v>
      </c>
    </row>
    <row r="4023" spans="1:5" x14ac:dyDescent="0.25">
      <c r="A4023">
        <v>15206</v>
      </c>
      <c r="B4023" t="str">
        <f t="shared" si="63"/>
        <v>15206</v>
      </c>
      <c r="C4023" t="s">
        <v>1206</v>
      </c>
      <c r="D4023">
        <v>179.49</v>
      </c>
      <c r="E4023" t="s">
        <v>386</v>
      </c>
    </row>
    <row r="4024" spans="1:5" x14ac:dyDescent="0.25">
      <c r="A4024">
        <v>15206</v>
      </c>
      <c r="B4024" t="str">
        <f t="shared" si="63"/>
        <v>15206</v>
      </c>
      <c r="C4024" t="s">
        <v>1199</v>
      </c>
      <c r="D4024">
        <v>0</v>
      </c>
      <c r="E4024" t="s">
        <v>386</v>
      </c>
    </row>
    <row r="4025" spans="1:5" x14ac:dyDescent="0.25">
      <c r="A4025">
        <v>15206</v>
      </c>
      <c r="B4025" t="str">
        <f t="shared" si="63"/>
        <v>15206</v>
      </c>
      <c r="C4025" t="s">
        <v>1203</v>
      </c>
      <c r="D4025">
        <v>167.57</v>
      </c>
      <c r="E4025" t="s">
        <v>386</v>
      </c>
    </row>
    <row r="4026" spans="1:5" x14ac:dyDescent="0.25">
      <c r="A4026">
        <v>15206</v>
      </c>
      <c r="B4026" t="str">
        <f t="shared" si="63"/>
        <v>15206</v>
      </c>
      <c r="C4026" t="s">
        <v>1200</v>
      </c>
      <c r="D4026">
        <v>0</v>
      </c>
      <c r="E4026" t="s">
        <v>386</v>
      </c>
    </row>
    <row r="4027" spans="1:5" x14ac:dyDescent="0.25">
      <c r="A4027">
        <v>15206</v>
      </c>
      <c r="B4027" t="str">
        <f t="shared" si="63"/>
        <v>15206</v>
      </c>
      <c r="C4027" t="s">
        <v>1204</v>
      </c>
      <c r="D4027">
        <v>371.27</v>
      </c>
      <c r="E4027" t="s">
        <v>386</v>
      </c>
    </row>
    <row r="4028" spans="1:5" x14ac:dyDescent="0.25">
      <c r="A4028">
        <v>15206</v>
      </c>
      <c r="B4028" t="str">
        <f t="shared" si="63"/>
        <v>15206</v>
      </c>
      <c r="C4028" t="s">
        <v>1207</v>
      </c>
      <c r="D4028">
        <v>0</v>
      </c>
      <c r="E4028" t="s">
        <v>386</v>
      </c>
    </row>
    <row r="4029" spans="1:5" x14ac:dyDescent="0.25">
      <c r="A4029">
        <v>15206</v>
      </c>
      <c r="B4029" t="str">
        <f t="shared" si="63"/>
        <v>15206</v>
      </c>
      <c r="C4029" t="s">
        <v>1208</v>
      </c>
      <c r="D4029">
        <v>60.83</v>
      </c>
      <c r="E4029" t="s">
        <v>386</v>
      </c>
    </row>
    <row r="4030" spans="1:5" x14ac:dyDescent="0.25">
      <c r="A4030">
        <v>15206</v>
      </c>
      <c r="B4030" t="str">
        <f t="shared" si="63"/>
        <v>15206</v>
      </c>
      <c r="C4030" t="s">
        <v>1210</v>
      </c>
      <c r="D4030">
        <v>0</v>
      </c>
      <c r="E4030" t="s">
        <v>386</v>
      </c>
    </row>
    <row r="4031" spans="1:5" x14ac:dyDescent="0.25">
      <c r="A4031">
        <v>15206</v>
      </c>
      <c r="B4031" t="str">
        <f t="shared" si="63"/>
        <v>15206</v>
      </c>
      <c r="C4031" t="s">
        <v>1212</v>
      </c>
      <c r="D4031">
        <v>0</v>
      </c>
      <c r="E4031" t="s">
        <v>386</v>
      </c>
    </row>
    <row r="4032" spans="1:5" x14ac:dyDescent="0.25">
      <c r="A4032">
        <v>15206</v>
      </c>
      <c r="B4032" t="str">
        <f t="shared" si="63"/>
        <v>15206</v>
      </c>
      <c r="C4032" t="s">
        <v>1216</v>
      </c>
      <c r="D4032">
        <v>14.77</v>
      </c>
      <c r="E4032" t="s">
        <v>386</v>
      </c>
    </row>
    <row r="4033" spans="1:5" x14ac:dyDescent="0.25">
      <c r="A4033">
        <v>15206</v>
      </c>
      <c r="B4033" t="str">
        <f t="shared" si="63"/>
        <v>15206</v>
      </c>
      <c r="C4033" t="s">
        <v>1198</v>
      </c>
      <c r="D4033">
        <v>62.75</v>
      </c>
      <c r="E4033" t="s">
        <v>386</v>
      </c>
    </row>
    <row r="4034" spans="1:5" x14ac:dyDescent="0.25">
      <c r="A4034">
        <v>23042</v>
      </c>
      <c r="B4034" t="str">
        <f t="shared" si="63"/>
        <v>23042</v>
      </c>
      <c r="C4034" t="s">
        <v>1193</v>
      </c>
      <c r="D4034">
        <v>0</v>
      </c>
      <c r="E4034" t="s">
        <v>455</v>
      </c>
    </row>
    <row r="4035" spans="1:5" x14ac:dyDescent="0.25">
      <c r="A4035">
        <v>23042</v>
      </c>
      <c r="B4035" t="str">
        <f t="shared" ref="B4035:B4098" si="64">TEXT(A4035,"00000")</f>
        <v>23042</v>
      </c>
      <c r="C4035" t="s">
        <v>1194</v>
      </c>
      <c r="D4035">
        <v>79.8</v>
      </c>
      <c r="E4035" t="s">
        <v>455</v>
      </c>
    </row>
    <row r="4036" spans="1:5" x14ac:dyDescent="0.25">
      <c r="A4036">
        <v>23042</v>
      </c>
      <c r="B4036" t="str">
        <f t="shared" si="64"/>
        <v>23042</v>
      </c>
      <c r="C4036" t="s">
        <v>1195</v>
      </c>
      <c r="D4036">
        <v>0</v>
      </c>
      <c r="E4036" t="s">
        <v>455</v>
      </c>
    </row>
    <row r="4037" spans="1:5" x14ac:dyDescent="0.25">
      <c r="A4037">
        <v>23042</v>
      </c>
      <c r="B4037" t="str">
        <f t="shared" si="64"/>
        <v>23042</v>
      </c>
      <c r="C4037" t="s">
        <v>1197</v>
      </c>
      <c r="D4037">
        <v>40</v>
      </c>
      <c r="E4037" t="s">
        <v>455</v>
      </c>
    </row>
    <row r="4038" spans="1:5" x14ac:dyDescent="0.25">
      <c r="A4038">
        <v>23042</v>
      </c>
      <c r="B4038" t="str">
        <f t="shared" si="64"/>
        <v>23042</v>
      </c>
      <c r="C4038" t="s">
        <v>1202</v>
      </c>
      <c r="D4038">
        <v>0</v>
      </c>
      <c r="E4038" t="s">
        <v>455</v>
      </c>
    </row>
    <row r="4039" spans="1:5" x14ac:dyDescent="0.25">
      <c r="A4039">
        <v>23042</v>
      </c>
      <c r="B4039" t="str">
        <f t="shared" si="64"/>
        <v>23042</v>
      </c>
      <c r="C4039" t="s">
        <v>1206</v>
      </c>
      <c r="D4039">
        <v>50.6</v>
      </c>
      <c r="E4039" t="s">
        <v>455</v>
      </c>
    </row>
    <row r="4040" spans="1:5" x14ac:dyDescent="0.25">
      <c r="A4040">
        <v>23042</v>
      </c>
      <c r="B4040" t="str">
        <f t="shared" si="64"/>
        <v>23042</v>
      </c>
      <c r="C4040" t="s">
        <v>1199</v>
      </c>
      <c r="D4040">
        <v>0</v>
      </c>
      <c r="E4040" t="s">
        <v>455</v>
      </c>
    </row>
    <row r="4041" spans="1:5" x14ac:dyDescent="0.25">
      <c r="A4041">
        <v>23042</v>
      </c>
      <c r="B4041" t="str">
        <f t="shared" si="64"/>
        <v>23042</v>
      </c>
      <c r="C4041" t="s">
        <v>1203</v>
      </c>
      <c r="D4041">
        <v>19</v>
      </c>
      <c r="E4041" t="s">
        <v>455</v>
      </c>
    </row>
    <row r="4042" spans="1:5" x14ac:dyDescent="0.25">
      <c r="A4042">
        <v>23042</v>
      </c>
      <c r="B4042" t="str">
        <f t="shared" si="64"/>
        <v>23042</v>
      </c>
      <c r="C4042" t="s">
        <v>1200</v>
      </c>
      <c r="D4042">
        <v>0</v>
      </c>
      <c r="E4042" t="s">
        <v>455</v>
      </c>
    </row>
    <row r="4043" spans="1:5" x14ac:dyDescent="0.25">
      <c r="A4043">
        <v>23042</v>
      </c>
      <c r="B4043" t="str">
        <f t="shared" si="64"/>
        <v>23042</v>
      </c>
      <c r="C4043" t="s">
        <v>1204</v>
      </c>
      <c r="D4043">
        <v>0</v>
      </c>
      <c r="E4043" t="s">
        <v>455</v>
      </c>
    </row>
    <row r="4044" spans="1:5" x14ac:dyDescent="0.25">
      <c r="A4044">
        <v>23042</v>
      </c>
      <c r="B4044" t="str">
        <f t="shared" si="64"/>
        <v>23042</v>
      </c>
      <c r="C4044" t="s">
        <v>1207</v>
      </c>
      <c r="D4044">
        <v>0</v>
      </c>
      <c r="E4044" t="s">
        <v>455</v>
      </c>
    </row>
    <row r="4045" spans="1:5" x14ac:dyDescent="0.25">
      <c r="A4045">
        <v>23042</v>
      </c>
      <c r="B4045" t="str">
        <f t="shared" si="64"/>
        <v>23042</v>
      </c>
      <c r="C4045" t="s">
        <v>1208</v>
      </c>
      <c r="D4045">
        <v>0</v>
      </c>
      <c r="E4045" t="s">
        <v>455</v>
      </c>
    </row>
    <row r="4046" spans="1:5" x14ac:dyDescent="0.25">
      <c r="A4046">
        <v>23042</v>
      </c>
      <c r="B4046" t="str">
        <f t="shared" si="64"/>
        <v>23042</v>
      </c>
      <c r="C4046" t="s">
        <v>1210</v>
      </c>
      <c r="D4046">
        <v>0</v>
      </c>
      <c r="E4046" t="s">
        <v>455</v>
      </c>
    </row>
    <row r="4047" spans="1:5" x14ac:dyDescent="0.25">
      <c r="A4047">
        <v>23042</v>
      </c>
      <c r="B4047" t="str">
        <f t="shared" si="64"/>
        <v>23042</v>
      </c>
      <c r="C4047" t="s">
        <v>1212</v>
      </c>
      <c r="D4047">
        <v>0</v>
      </c>
      <c r="E4047" t="s">
        <v>455</v>
      </c>
    </row>
    <row r="4048" spans="1:5" x14ac:dyDescent="0.25">
      <c r="A4048">
        <v>23042</v>
      </c>
      <c r="B4048" t="str">
        <f t="shared" si="64"/>
        <v>23042</v>
      </c>
      <c r="C4048" t="s">
        <v>1216</v>
      </c>
      <c r="D4048">
        <v>0</v>
      </c>
      <c r="E4048" t="s">
        <v>455</v>
      </c>
    </row>
    <row r="4049" spans="1:5" x14ac:dyDescent="0.25">
      <c r="A4049">
        <v>23042</v>
      </c>
      <c r="B4049" t="str">
        <f t="shared" si="64"/>
        <v>23042</v>
      </c>
      <c r="C4049" t="s">
        <v>1198</v>
      </c>
      <c r="D4049">
        <v>19.2</v>
      </c>
      <c r="E4049" t="s">
        <v>455</v>
      </c>
    </row>
    <row r="4050" spans="1:5" x14ac:dyDescent="0.25">
      <c r="A4050">
        <v>32901</v>
      </c>
      <c r="B4050" t="str">
        <f t="shared" si="64"/>
        <v>32901</v>
      </c>
      <c r="C4050" t="s">
        <v>1193</v>
      </c>
      <c r="D4050">
        <v>0</v>
      </c>
      <c r="E4050" t="s">
        <v>1239</v>
      </c>
    </row>
    <row r="4051" spans="1:5" x14ac:dyDescent="0.25">
      <c r="A4051">
        <v>32901</v>
      </c>
      <c r="B4051" t="str">
        <f t="shared" si="64"/>
        <v>32901</v>
      </c>
      <c r="C4051" t="s">
        <v>1194</v>
      </c>
      <c r="D4051">
        <v>256</v>
      </c>
      <c r="E4051" t="s">
        <v>1239</v>
      </c>
    </row>
    <row r="4052" spans="1:5" x14ac:dyDescent="0.25">
      <c r="A4052">
        <v>32901</v>
      </c>
      <c r="B4052" t="str">
        <f t="shared" si="64"/>
        <v>32901</v>
      </c>
      <c r="C4052" t="s">
        <v>1195</v>
      </c>
      <c r="D4052">
        <v>0</v>
      </c>
      <c r="E4052" t="s">
        <v>1239</v>
      </c>
    </row>
    <row r="4053" spans="1:5" x14ac:dyDescent="0.25">
      <c r="A4053">
        <v>32901</v>
      </c>
      <c r="B4053" t="str">
        <f t="shared" si="64"/>
        <v>32901</v>
      </c>
      <c r="C4053" t="s">
        <v>1197</v>
      </c>
      <c r="D4053">
        <v>93.8</v>
      </c>
      <c r="E4053" t="s">
        <v>1239</v>
      </c>
    </row>
    <row r="4054" spans="1:5" x14ac:dyDescent="0.25">
      <c r="A4054">
        <v>32901</v>
      </c>
      <c r="B4054" t="str">
        <f t="shared" si="64"/>
        <v>32901</v>
      </c>
      <c r="C4054" t="s">
        <v>1202</v>
      </c>
      <c r="D4054">
        <v>0</v>
      </c>
      <c r="E4054" t="s">
        <v>1239</v>
      </c>
    </row>
    <row r="4055" spans="1:5" x14ac:dyDescent="0.25">
      <c r="A4055">
        <v>32901</v>
      </c>
      <c r="B4055" t="str">
        <f t="shared" si="64"/>
        <v>32901</v>
      </c>
      <c r="C4055" t="s">
        <v>1206</v>
      </c>
      <c r="D4055">
        <v>181.7</v>
      </c>
      <c r="E4055" t="s">
        <v>1239</v>
      </c>
    </row>
    <row r="4056" spans="1:5" x14ac:dyDescent="0.25">
      <c r="A4056">
        <v>32901</v>
      </c>
      <c r="B4056" t="str">
        <f t="shared" si="64"/>
        <v>32901</v>
      </c>
      <c r="C4056" t="s">
        <v>1199</v>
      </c>
      <c r="D4056">
        <v>0</v>
      </c>
      <c r="E4056" t="s">
        <v>1239</v>
      </c>
    </row>
    <row r="4057" spans="1:5" x14ac:dyDescent="0.25">
      <c r="A4057">
        <v>32901</v>
      </c>
      <c r="B4057" t="str">
        <f t="shared" si="64"/>
        <v>32901</v>
      </c>
      <c r="C4057" t="s">
        <v>1203</v>
      </c>
      <c r="D4057">
        <v>140</v>
      </c>
      <c r="E4057" t="s">
        <v>1239</v>
      </c>
    </row>
    <row r="4058" spans="1:5" x14ac:dyDescent="0.25">
      <c r="A4058">
        <v>32901</v>
      </c>
      <c r="B4058" t="str">
        <f t="shared" si="64"/>
        <v>32901</v>
      </c>
      <c r="C4058" t="s">
        <v>1200</v>
      </c>
      <c r="D4058">
        <v>0</v>
      </c>
      <c r="E4058" t="s">
        <v>1239</v>
      </c>
    </row>
    <row r="4059" spans="1:5" x14ac:dyDescent="0.25">
      <c r="A4059">
        <v>32901</v>
      </c>
      <c r="B4059" t="str">
        <f t="shared" si="64"/>
        <v>32901</v>
      </c>
      <c r="C4059" t="s">
        <v>1204</v>
      </c>
      <c r="D4059">
        <v>74.599999999999994</v>
      </c>
      <c r="E4059" t="s">
        <v>1239</v>
      </c>
    </row>
    <row r="4060" spans="1:5" x14ac:dyDescent="0.25">
      <c r="A4060">
        <v>32901</v>
      </c>
      <c r="B4060" t="str">
        <f t="shared" si="64"/>
        <v>32901</v>
      </c>
      <c r="C4060" t="s">
        <v>1207</v>
      </c>
      <c r="D4060">
        <v>0</v>
      </c>
      <c r="E4060" t="s">
        <v>1239</v>
      </c>
    </row>
    <row r="4061" spans="1:5" x14ac:dyDescent="0.25">
      <c r="A4061">
        <v>32901</v>
      </c>
      <c r="B4061" t="str">
        <f t="shared" si="64"/>
        <v>32901</v>
      </c>
      <c r="C4061" t="s">
        <v>1208</v>
      </c>
      <c r="D4061">
        <v>0</v>
      </c>
      <c r="E4061" t="s">
        <v>1239</v>
      </c>
    </row>
    <row r="4062" spans="1:5" x14ac:dyDescent="0.25">
      <c r="A4062">
        <v>32901</v>
      </c>
      <c r="B4062" t="str">
        <f t="shared" si="64"/>
        <v>32901</v>
      </c>
      <c r="C4062" t="s">
        <v>1210</v>
      </c>
      <c r="D4062">
        <v>0</v>
      </c>
      <c r="E4062" t="s">
        <v>1239</v>
      </c>
    </row>
    <row r="4063" spans="1:5" x14ac:dyDescent="0.25">
      <c r="A4063">
        <v>32901</v>
      </c>
      <c r="B4063" t="str">
        <f t="shared" si="64"/>
        <v>32901</v>
      </c>
      <c r="C4063" t="s">
        <v>1212</v>
      </c>
      <c r="D4063">
        <v>0</v>
      </c>
      <c r="E4063" t="s">
        <v>1239</v>
      </c>
    </row>
    <row r="4064" spans="1:5" x14ac:dyDescent="0.25">
      <c r="A4064">
        <v>32901</v>
      </c>
      <c r="B4064" t="str">
        <f t="shared" si="64"/>
        <v>32901</v>
      </c>
      <c r="C4064" t="s">
        <v>1216</v>
      </c>
      <c r="D4064">
        <v>0</v>
      </c>
      <c r="E4064" t="s">
        <v>1239</v>
      </c>
    </row>
    <row r="4065" spans="1:5" x14ac:dyDescent="0.25">
      <c r="A4065">
        <v>32901</v>
      </c>
      <c r="B4065" t="str">
        <f t="shared" si="64"/>
        <v>32901</v>
      </c>
      <c r="C4065" t="s">
        <v>1198</v>
      </c>
      <c r="D4065">
        <v>74.2</v>
      </c>
      <c r="E4065" t="s">
        <v>1239</v>
      </c>
    </row>
    <row r="4066" spans="1:5" x14ac:dyDescent="0.25">
      <c r="A4066">
        <v>32081</v>
      </c>
      <c r="B4066" t="str">
        <f t="shared" si="64"/>
        <v>32081</v>
      </c>
      <c r="C4066" t="s">
        <v>1193</v>
      </c>
      <c r="D4066">
        <v>0</v>
      </c>
      <c r="E4066" t="s">
        <v>522</v>
      </c>
    </row>
    <row r="4067" spans="1:5" x14ac:dyDescent="0.25">
      <c r="A4067">
        <v>32081</v>
      </c>
      <c r="B4067" t="str">
        <f t="shared" si="64"/>
        <v>32081</v>
      </c>
      <c r="C4067" t="s">
        <v>1194</v>
      </c>
      <c r="D4067">
        <v>6401.95</v>
      </c>
      <c r="E4067" t="s">
        <v>522</v>
      </c>
    </row>
    <row r="4068" spans="1:5" x14ac:dyDescent="0.25">
      <c r="A4068">
        <v>32081</v>
      </c>
      <c r="B4068" t="str">
        <f t="shared" si="64"/>
        <v>32081</v>
      </c>
      <c r="C4068" t="s">
        <v>1195</v>
      </c>
      <c r="D4068">
        <v>0</v>
      </c>
      <c r="E4068" t="s">
        <v>522</v>
      </c>
    </row>
    <row r="4069" spans="1:5" x14ac:dyDescent="0.25">
      <c r="A4069">
        <v>32081</v>
      </c>
      <c r="B4069" t="str">
        <f t="shared" si="64"/>
        <v>32081</v>
      </c>
      <c r="C4069" t="s">
        <v>1197</v>
      </c>
      <c r="D4069">
        <v>2049.2199999999998</v>
      </c>
      <c r="E4069" t="s">
        <v>522</v>
      </c>
    </row>
    <row r="4070" spans="1:5" x14ac:dyDescent="0.25">
      <c r="A4070">
        <v>32081</v>
      </c>
      <c r="B4070" t="str">
        <f t="shared" si="64"/>
        <v>32081</v>
      </c>
      <c r="C4070" t="s">
        <v>1202</v>
      </c>
      <c r="D4070">
        <v>0</v>
      </c>
      <c r="E4070" t="s">
        <v>522</v>
      </c>
    </row>
    <row r="4071" spans="1:5" x14ac:dyDescent="0.25">
      <c r="A4071">
        <v>32081</v>
      </c>
      <c r="B4071" t="str">
        <f t="shared" si="64"/>
        <v>32081</v>
      </c>
      <c r="C4071" t="s">
        <v>1206</v>
      </c>
      <c r="D4071">
        <v>4348.6400000000003</v>
      </c>
      <c r="E4071" t="s">
        <v>522</v>
      </c>
    </row>
    <row r="4072" spans="1:5" x14ac:dyDescent="0.25">
      <c r="A4072">
        <v>32081</v>
      </c>
      <c r="B4072" t="str">
        <f t="shared" si="64"/>
        <v>32081</v>
      </c>
      <c r="C4072" t="s">
        <v>1199</v>
      </c>
      <c r="D4072">
        <v>0</v>
      </c>
      <c r="E4072" t="s">
        <v>522</v>
      </c>
    </row>
    <row r="4073" spans="1:5" x14ac:dyDescent="0.25">
      <c r="A4073">
        <v>32081</v>
      </c>
      <c r="B4073" t="str">
        <f t="shared" si="64"/>
        <v>32081</v>
      </c>
      <c r="C4073" t="s">
        <v>1203</v>
      </c>
      <c r="D4073">
        <v>4079.63</v>
      </c>
      <c r="E4073" t="s">
        <v>522</v>
      </c>
    </row>
    <row r="4074" spans="1:5" x14ac:dyDescent="0.25">
      <c r="A4074">
        <v>32081</v>
      </c>
      <c r="B4074" t="str">
        <f t="shared" si="64"/>
        <v>32081</v>
      </c>
      <c r="C4074" t="s">
        <v>1200</v>
      </c>
      <c r="D4074">
        <v>0</v>
      </c>
      <c r="E4074" t="s">
        <v>522</v>
      </c>
    </row>
    <row r="4075" spans="1:5" x14ac:dyDescent="0.25">
      <c r="A4075">
        <v>32081</v>
      </c>
      <c r="B4075" t="str">
        <f t="shared" si="64"/>
        <v>32081</v>
      </c>
      <c r="C4075" t="s">
        <v>1204</v>
      </c>
      <c r="D4075">
        <v>7607.46</v>
      </c>
      <c r="E4075" t="s">
        <v>522</v>
      </c>
    </row>
    <row r="4076" spans="1:5" x14ac:dyDescent="0.25">
      <c r="A4076">
        <v>32081</v>
      </c>
      <c r="B4076" t="str">
        <f t="shared" si="64"/>
        <v>32081</v>
      </c>
      <c r="C4076" t="s">
        <v>1207</v>
      </c>
      <c r="D4076">
        <v>252.18</v>
      </c>
      <c r="E4076" t="s">
        <v>522</v>
      </c>
    </row>
    <row r="4077" spans="1:5" x14ac:dyDescent="0.25">
      <c r="A4077">
        <v>32081</v>
      </c>
      <c r="B4077" t="str">
        <f t="shared" si="64"/>
        <v>32081</v>
      </c>
      <c r="C4077" t="s">
        <v>1208</v>
      </c>
      <c r="D4077">
        <v>1142.71</v>
      </c>
      <c r="E4077" t="s">
        <v>522</v>
      </c>
    </row>
    <row r="4078" spans="1:5" x14ac:dyDescent="0.25">
      <c r="A4078">
        <v>32081</v>
      </c>
      <c r="B4078" t="str">
        <f t="shared" si="64"/>
        <v>32081</v>
      </c>
      <c r="C4078" t="s">
        <v>1210</v>
      </c>
      <c r="D4078">
        <v>0</v>
      </c>
      <c r="E4078" t="s">
        <v>522</v>
      </c>
    </row>
    <row r="4079" spans="1:5" x14ac:dyDescent="0.25">
      <c r="A4079">
        <v>32081</v>
      </c>
      <c r="B4079" t="str">
        <f t="shared" si="64"/>
        <v>32081</v>
      </c>
      <c r="C4079" t="s">
        <v>1212</v>
      </c>
      <c r="D4079">
        <v>471.07</v>
      </c>
      <c r="E4079" t="s">
        <v>522</v>
      </c>
    </row>
    <row r="4080" spans="1:5" x14ac:dyDescent="0.25">
      <c r="A4080">
        <v>32081</v>
      </c>
      <c r="B4080" t="str">
        <f t="shared" si="64"/>
        <v>32081</v>
      </c>
      <c r="C4080" t="s">
        <v>1216</v>
      </c>
      <c r="D4080">
        <v>119.5</v>
      </c>
      <c r="E4080" t="s">
        <v>522</v>
      </c>
    </row>
    <row r="4081" spans="1:5" x14ac:dyDescent="0.25">
      <c r="A4081">
        <v>32081</v>
      </c>
      <c r="B4081" t="str">
        <f t="shared" si="64"/>
        <v>32081</v>
      </c>
      <c r="C4081" t="s">
        <v>1198</v>
      </c>
      <c r="D4081">
        <v>1962.32</v>
      </c>
      <c r="E4081" t="s">
        <v>522</v>
      </c>
    </row>
    <row r="4082" spans="1:5" x14ac:dyDescent="0.25">
      <c r="A4082">
        <v>22008</v>
      </c>
      <c r="B4082" t="str">
        <f t="shared" si="64"/>
        <v>22008</v>
      </c>
      <c r="C4082" t="s">
        <v>1193</v>
      </c>
      <c r="D4082">
        <v>0</v>
      </c>
      <c r="E4082" t="s">
        <v>447</v>
      </c>
    </row>
    <row r="4083" spans="1:5" x14ac:dyDescent="0.25">
      <c r="A4083">
        <v>22008</v>
      </c>
      <c r="B4083" t="str">
        <f t="shared" si="64"/>
        <v>22008</v>
      </c>
      <c r="C4083" t="s">
        <v>1194</v>
      </c>
      <c r="D4083">
        <v>16.2</v>
      </c>
      <c r="E4083" t="s">
        <v>447</v>
      </c>
    </row>
    <row r="4084" spans="1:5" x14ac:dyDescent="0.25">
      <c r="A4084">
        <v>22008</v>
      </c>
      <c r="B4084" t="str">
        <f t="shared" si="64"/>
        <v>22008</v>
      </c>
      <c r="C4084" t="s">
        <v>1195</v>
      </c>
      <c r="D4084">
        <v>0</v>
      </c>
      <c r="E4084" t="s">
        <v>447</v>
      </c>
    </row>
    <row r="4085" spans="1:5" x14ac:dyDescent="0.25">
      <c r="A4085">
        <v>22008</v>
      </c>
      <c r="B4085" t="str">
        <f t="shared" si="64"/>
        <v>22008</v>
      </c>
      <c r="C4085" t="s">
        <v>1197</v>
      </c>
      <c r="D4085">
        <v>4.5999999999999996</v>
      </c>
      <c r="E4085" t="s">
        <v>447</v>
      </c>
    </row>
    <row r="4086" spans="1:5" x14ac:dyDescent="0.25">
      <c r="A4086">
        <v>22008</v>
      </c>
      <c r="B4086" t="str">
        <f t="shared" si="64"/>
        <v>22008</v>
      </c>
      <c r="C4086" t="s">
        <v>1202</v>
      </c>
      <c r="D4086">
        <v>0</v>
      </c>
      <c r="E4086" t="s">
        <v>447</v>
      </c>
    </row>
    <row r="4087" spans="1:5" x14ac:dyDescent="0.25">
      <c r="A4087">
        <v>22008</v>
      </c>
      <c r="B4087" t="str">
        <f t="shared" si="64"/>
        <v>22008</v>
      </c>
      <c r="C4087" t="s">
        <v>1206</v>
      </c>
      <c r="D4087">
        <v>0</v>
      </c>
      <c r="E4087" t="s">
        <v>447</v>
      </c>
    </row>
    <row r="4088" spans="1:5" x14ac:dyDescent="0.25">
      <c r="A4088">
        <v>22008</v>
      </c>
      <c r="B4088" t="str">
        <f t="shared" si="64"/>
        <v>22008</v>
      </c>
      <c r="C4088" t="s">
        <v>1199</v>
      </c>
      <c r="D4088">
        <v>0</v>
      </c>
      <c r="E4088" t="s">
        <v>447</v>
      </c>
    </row>
    <row r="4089" spans="1:5" x14ac:dyDescent="0.25">
      <c r="A4089">
        <v>22008</v>
      </c>
      <c r="B4089" t="str">
        <f t="shared" si="64"/>
        <v>22008</v>
      </c>
      <c r="C4089" t="s">
        <v>1203</v>
      </c>
      <c r="D4089">
        <v>0</v>
      </c>
      <c r="E4089" t="s">
        <v>447</v>
      </c>
    </row>
    <row r="4090" spans="1:5" x14ac:dyDescent="0.25">
      <c r="A4090">
        <v>22008</v>
      </c>
      <c r="B4090" t="str">
        <f t="shared" si="64"/>
        <v>22008</v>
      </c>
      <c r="C4090" t="s">
        <v>1200</v>
      </c>
      <c r="D4090">
        <v>0</v>
      </c>
      <c r="E4090" t="s">
        <v>447</v>
      </c>
    </row>
    <row r="4091" spans="1:5" x14ac:dyDescent="0.25">
      <c r="A4091">
        <v>22008</v>
      </c>
      <c r="B4091" t="str">
        <f t="shared" si="64"/>
        <v>22008</v>
      </c>
      <c r="C4091" t="s">
        <v>1204</v>
      </c>
      <c r="D4091">
        <v>21</v>
      </c>
      <c r="E4091" t="s">
        <v>447</v>
      </c>
    </row>
    <row r="4092" spans="1:5" x14ac:dyDescent="0.25">
      <c r="A4092">
        <v>22008</v>
      </c>
      <c r="B4092" t="str">
        <f t="shared" si="64"/>
        <v>22008</v>
      </c>
      <c r="C4092" t="s">
        <v>1207</v>
      </c>
      <c r="D4092">
        <v>0</v>
      </c>
      <c r="E4092" t="s">
        <v>447</v>
      </c>
    </row>
    <row r="4093" spans="1:5" x14ac:dyDescent="0.25">
      <c r="A4093">
        <v>22008</v>
      </c>
      <c r="B4093" t="str">
        <f t="shared" si="64"/>
        <v>22008</v>
      </c>
      <c r="C4093" t="s">
        <v>1208</v>
      </c>
      <c r="D4093">
        <v>3.31</v>
      </c>
      <c r="E4093" t="s">
        <v>447</v>
      </c>
    </row>
    <row r="4094" spans="1:5" x14ac:dyDescent="0.25">
      <c r="A4094">
        <v>22008</v>
      </c>
      <c r="B4094" t="str">
        <f t="shared" si="64"/>
        <v>22008</v>
      </c>
      <c r="C4094" t="s">
        <v>1210</v>
      </c>
      <c r="D4094">
        <v>0</v>
      </c>
      <c r="E4094" t="s">
        <v>447</v>
      </c>
    </row>
    <row r="4095" spans="1:5" x14ac:dyDescent="0.25">
      <c r="A4095">
        <v>22008</v>
      </c>
      <c r="B4095" t="str">
        <f t="shared" si="64"/>
        <v>22008</v>
      </c>
      <c r="C4095" t="s">
        <v>1212</v>
      </c>
      <c r="D4095">
        <v>0</v>
      </c>
      <c r="E4095" t="s">
        <v>447</v>
      </c>
    </row>
    <row r="4096" spans="1:5" x14ac:dyDescent="0.25">
      <c r="A4096">
        <v>22008</v>
      </c>
      <c r="B4096" t="str">
        <f t="shared" si="64"/>
        <v>22008</v>
      </c>
      <c r="C4096" t="s">
        <v>1216</v>
      </c>
      <c r="D4096">
        <v>0</v>
      </c>
      <c r="E4096" t="s">
        <v>447</v>
      </c>
    </row>
    <row r="4097" spans="1:5" x14ac:dyDescent="0.25">
      <c r="A4097">
        <v>22008</v>
      </c>
      <c r="B4097" t="str">
        <f t="shared" si="64"/>
        <v>22008</v>
      </c>
      <c r="C4097" t="s">
        <v>1198</v>
      </c>
      <c r="D4097">
        <v>5.2</v>
      </c>
      <c r="E4097" t="s">
        <v>447</v>
      </c>
    </row>
    <row r="4098" spans="1:5" x14ac:dyDescent="0.25">
      <c r="A4098">
        <v>38322</v>
      </c>
      <c r="B4098" t="str">
        <f t="shared" si="64"/>
        <v>38322</v>
      </c>
      <c r="C4098" t="s">
        <v>1193</v>
      </c>
      <c r="D4098">
        <v>0</v>
      </c>
      <c r="E4098" t="s">
        <v>583</v>
      </c>
    </row>
    <row r="4099" spans="1:5" x14ac:dyDescent="0.25">
      <c r="A4099">
        <v>38322</v>
      </c>
      <c r="B4099" t="str">
        <f t="shared" ref="B4099:B4162" si="65">TEXT(A4099,"00000")</f>
        <v>38322</v>
      </c>
      <c r="C4099" t="s">
        <v>1194</v>
      </c>
      <c r="D4099">
        <v>41.6</v>
      </c>
      <c r="E4099" t="s">
        <v>583</v>
      </c>
    </row>
    <row r="4100" spans="1:5" x14ac:dyDescent="0.25">
      <c r="A4100">
        <v>38322</v>
      </c>
      <c r="B4100" t="str">
        <f t="shared" si="65"/>
        <v>38322</v>
      </c>
      <c r="C4100" t="s">
        <v>1195</v>
      </c>
      <c r="D4100">
        <v>0</v>
      </c>
      <c r="E4100" t="s">
        <v>583</v>
      </c>
    </row>
    <row r="4101" spans="1:5" x14ac:dyDescent="0.25">
      <c r="A4101">
        <v>38322</v>
      </c>
      <c r="B4101" t="str">
        <f t="shared" si="65"/>
        <v>38322</v>
      </c>
      <c r="C4101" t="s">
        <v>1197</v>
      </c>
      <c r="D4101">
        <v>7</v>
      </c>
      <c r="E4101" t="s">
        <v>583</v>
      </c>
    </row>
    <row r="4102" spans="1:5" x14ac:dyDescent="0.25">
      <c r="A4102">
        <v>38322</v>
      </c>
      <c r="B4102" t="str">
        <f t="shared" si="65"/>
        <v>38322</v>
      </c>
      <c r="C4102" t="s">
        <v>1202</v>
      </c>
      <c r="D4102">
        <v>0</v>
      </c>
      <c r="E4102" t="s">
        <v>583</v>
      </c>
    </row>
    <row r="4103" spans="1:5" x14ac:dyDescent="0.25">
      <c r="A4103">
        <v>38322</v>
      </c>
      <c r="B4103" t="str">
        <f t="shared" si="65"/>
        <v>38322</v>
      </c>
      <c r="C4103" t="s">
        <v>1206</v>
      </c>
      <c r="D4103">
        <v>17</v>
      </c>
      <c r="E4103" t="s">
        <v>583</v>
      </c>
    </row>
    <row r="4104" spans="1:5" x14ac:dyDescent="0.25">
      <c r="A4104">
        <v>38322</v>
      </c>
      <c r="B4104" t="str">
        <f t="shared" si="65"/>
        <v>38322</v>
      </c>
      <c r="C4104" t="s">
        <v>1199</v>
      </c>
      <c r="D4104">
        <v>0</v>
      </c>
      <c r="E4104" t="s">
        <v>583</v>
      </c>
    </row>
    <row r="4105" spans="1:5" x14ac:dyDescent="0.25">
      <c r="A4105">
        <v>38322</v>
      </c>
      <c r="B4105" t="str">
        <f t="shared" si="65"/>
        <v>38322</v>
      </c>
      <c r="C4105" t="s">
        <v>1203</v>
      </c>
      <c r="D4105">
        <v>22.6</v>
      </c>
      <c r="E4105" t="s">
        <v>583</v>
      </c>
    </row>
    <row r="4106" spans="1:5" x14ac:dyDescent="0.25">
      <c r="A4106">
        <v>38322</v>
      </c>
      <c r="B4106" t="str">
        <f t="shared" si="65"/>
        <v>38322</v>
      </c>
      <c r="C4106" t="s">
        <v>1200</v>
      </c>
      <c r="D4106">
        <v>0</v>
      </c>
      <c r="E4106" t="s">
        <v>583</v>
      </c>
    </row>
    <row r="4107" spans="1:5" x14ac:dyDescent="0.25">
      <c r="A4107">
        <v>38322</v>
      </c>
      <c r="B4107" t="str">
        <f t="shared" si="65"/>
        <v>38322</v>
      </c>
      <c r="C4107" t="s">
        <v>1204</v>
      </c>
      <c r="D4107">
        <v>38.96</v>
      </c>
      <c r="E4107" t="s">
        <v>583</v>
      </c>
    </row>
    <row r="4108" spans="1:5" x14ac:dyDescent="0.25">
      <c r="A4108">
        <v>38322</v>
      </c>
      <c r="B4108" t="str">
        <f t="shared" si="65"/>
        <v>38322</v>
      </c>
      <c r="C4108" t="s">
        <v>1207</v>
      </c>
      <c r="D4108">
        <v>0</v>
      </c>
      <c r="E4108" t="s">
        <v>583</v>
      </c>
    </row>
    <row r="4109" spans="1:5" x14ac:dyDescent="0.25">
      <c r="A4109">
        <v>38322</v>
      </c>
      <c r="B4109" t="str">
        <f t="shared" si="65"/>
        <v>38322</v>
      </c>
      <c r="C4109" t="s">
        <v>1208</v>
      </c>
      <c r="D4109">
        <v>10.11</v>
      </c>
      <c r="E4109" t="s">
        <v>583</v>
      </c>
    </row>
    <row r="4110" spans="1:5" x14ac:dyDescent="0.25">
      <c r="A4110">
        <v>38322</v>
      </c>
      <c r="B4110" t="str">
        <f t="shared" si="65"/>
        <v>38322</v>
      </c>
      <c r="C4110" t="s">
        <v>1210</v>
      </c>
      <c r="D4110">
        <v>0</v>
      </c>
      <c r="E4110" t="s">
        <v>583</v>
      </c>
    </row>
    <row r="4111" spans="1:5" x14ac:dyDescent="0.25">
      <c r="A4111">
        <v>38322</v>
      </c>
      <c r="B4111" t="str">
        <f t="shared" si="65"/>
        <v>38322</v>
      </c>
      <c r="C4111" t="s">
        <v>1212</v>
      </c>
      <c r="D4111">
        <v>0</v>
      </c>
      <c r="E4111" t="s">
        <v>583</v>
      </c>
    </row>
    <row r="4112" spans="1:5" x14ac:dyDescent="0.25">
      <c r="A4112">
        <v>38322</v>
      </c>
      <c r="B4112" t="str">
        <f t="shared" si="65"/>
        <v>38322</v>
      </c>
      <c r="C4112" t="s">
        <v>1216</v>
      </c>
      <c r="D4112">
        <v>7</v>
      </c>
      <c r="E4112" t="s">
        <v>583</v>
      </c>
    </row>
    <row r="4113" spans="1:5" x14ac:dyDescent="0.25">
      <c r="A4113">
        <v>38322</v>
      </c>
      <c r="B4113" t="str">
        <f t="shared" si="65"/>
        <v>38322</v>
      </c>
      <c r="C4113" t="s">
        <v>1198</v>
      </c>
      <c r="D4113">
        <v>14.4</v>
      </c>
      <c r="E4113" t="s">
        <v>583</v>
      </c>
    </row>
    <row r="4114" spans="1:5" x14ac:dyDescent="0.25">
      <c r="A4114">
        <v>31401</v>
      </c>
      <c r="B4114" t="str">
        <f t="shared" si="65"/>
        <v>31401</v>
      </c>
      <c r="C4114" t="s">
        <v>1193</v>
      </c>
      <c r="D4114">
        <v>0</v>
      </c>
      <c r="E4114" t="s">
        <v>521</v>
      </c>
    </row>
    <row r="4115" spans="1:5" x14ac:dyDescent="0.25">
      <c r="A4115">
        <v>31401</v>
      </c>
      <c r="B4115" t="str">
        <f t="shared" si="65"/>
        <v>31401</v>
      </c>
      <c r="C4115" t="s">
        <v>1194</v>
      </c>
      <c r="D4115">
        <v>1019.65</v>
      </c>
      <c r="E4115" t="s">
        <v>521</v>
      </c>
    </row>
    <row r="4116" spans="1:5" x14ac:dyDescent="0.25">
      <c r="A4116">
        <v>31401</v>
      </c>
      <c r="B4116" t="str">
        <f t="shared" si="65"/>
        <v>31401</v>
      </c>
      <c r="C4116" t="s">
        <v>1195</v>
      </c>
      <c r="D4116">
        <v>0</v>
      </c>
      <c r="E4116" t="s">
        <v>521</v>
      </c>
    </row>
    <row r="4117" spans="1:5" x14ac:dyDescent="0.25">
      <c r="A4117">
        <v>31401</v>
      </c>
      <c r="B4117" t="str">
        <f t="shared" si="65"/>
        <v>31401</v>
      </c>
      <c r="C4117" t="s">
        <v>1197</v>
      </c>
      <c r="D4117">
        <v>339.53</v>
      </c>
      <c r="E4117" t="s">
        <v>521</v>
      </c>
    </row>
    <row r="4118" spans="1:5" x14ac:dyDescent="0.25">
      <c r="A4118">
        <v>31401</v>
      </c>
      <c r="B4118" t="str">
        <f t="shared" si="65"/>
        <v>31401</v>
      </c>
      <c r="C4118" t="s">
        <v>1202</v>
      </c>
      <c r="D4118">
        <v>0</v>
      </c>
      <c r="E4118" t="s">
        <v>521</v>
      </c>
    </row>
    <row r="4119" spans="1:5" x14ac:dyDescent="0.25">
      <c r="A4119">
        <v>31401</v>
      </c>
      <c r="B4119" t="str">
        <f t="shared" si="65"/>
        <v>31401</v>
      </c>
      <c r="C4119" t="s">
        <v>1206</v>
      </c>
      <c r="D4119">
        <v>723.91</v>
      </c>
      <c r="E4119" t="s">
        <v>521</v>
      </c>
    </row>
    <row r="4120" spans="1:5" x14ac:dyDescent="0.25">
      <c r="A4120">
        <v>31401</v>
      </c>
      <c r="B4120" t="str">
        <f t="shared" si="65"/>
        <v>31401</v>
      </c>
      <c r="C4120" t="s">
        <v>1199</v>
      </c>
      <c r="D4120">
        <v>0</v>
      </c>
      <c r="E4120" t="s">
        <v>521</v>
      </c>
    </row>
    <row r="4121" spans="1:5" x14ac:dyDescent="0.25">
      <c r="A4121">
        <v>31401</v>
      </c>
      <c r="B4121" t="str">
        <f t="shared" si="65"/>
        <v>31401</v>
      </c>
      <c r="C4121" t="s">
        <v>1203</v>
      </c>
      <c r="D4121">
        <v>701.11</v>
      </c>
      <c r="E4121" t="s">
        <v>521</v>
      </c>
    </row>
    <row r="4122" spans="1:5" x14ac:dyDescent="0.25">
      <c r="A4122">
        <v>31401</v>
      </c>
      <c r="B4122" t="str">
        <f t="shared" si="65"/>
        <v>31401</v>
      </c>
      <c r="C4122" t="s">
        <v>1200</v>
      </c>
      <c r="D4122">
        <v>0</v>
      </c>
      <c r="E4122" t="s">
        <v>521</v>
      </c>
    </row>
    <row r="4123" spans="1:5" x14ac:dyDescent="0.25">
      <c r="A4123">
        <v>31401</v>
      </c>
      <c r="B4123" t="str">
        <f t="shared" si="65"/>
        <v>31401</v>
      </c>
      <c r="C4123" t="s">
        <v>1204</v>
      </c>
      <c r="D4123">
        <v>1322.68</v>
      </c>
      <c r="E4123" t="s">
        <v>521</v>
      </c>
    </row>
    <row r="4124" spans="1:5" x14ac:dyDescent="0.25">
      <c r="A4124">
        <v>31401</v>
      </c>
      <c r="B4124" t="str">
        <f t="shared" si="65"/>
        <v>31401</v>
      </c>
      <c r="C4124" t="s">
        <v>1207</v>
      </c>
      <c r="D4124">
        <v>79.14</v>
      </c>
      <c r="E4124" t="s">
        <v>521</v>
      </c>
    </row>
    <row r="4125" spans="1:5" x14ac:dyDescent="0.25">
      <c r="A4125">
        <v>31401</v>
      </c>
      <c r="B4125" t="str">
        <f t="shared" si="65"/>
        <v>31401</v>
      </c>
      <c r="C4125" t="s">
        <v>1208</v>
      </c>
      <c r="D4125">
        <v>380.23</v>
      </c>
      <c r="E4125" t="s">
        <v>521</v>
      </c>
    </row>
    <row r="4126" spans="1:5" x14ac:dyDescent="0.25">
      <c r="A4126">
        <v>31401</v>
      </c>
      <c r="B4126" t="str">
        <f t="shared" si="65"/>
        <v>31401</v>
      </c>
      <c r="C4126" t="s">
        <v>1210</v>
      </c>
      <c r="D4126">
        <v>0</v>
      </c>
      <c r="E4126" t="s">
        <v>521</v>
      </c>
    </row>
    <row r="4127" spans="1:5" x14ac:dyDescent="0.25">
      <c r="A4127">
        <v>31401</v>
      </c>
      <c r="B4127" t="str">
        <f t="shared" si="65"/>
        <v>31401</v>
      </c>
      <c r="C4127" t="s">
        <v>1212</v>
      </c>
      <c r="D4127">
        <v>0</v>
      </c>
      <c r="E4127" t="s">
        <v>521</v>
      </c>
    </row>
    <row r="4128" spans="1:5" x14ac:dyDescent="0.25">
      <c r="A4128">
        <v>31401</v>
      </c>
      <c r="B4128" t="str">
        <f t="shared" si="65"/>
        <v>31401</v>
      </c>
      <c r="C4128" t="s">
        <v>1216</v>
      </c>
      <c r="D4128">
        <v>28.4</v>
      </c>
      <c r="E4128" t="s">
        <v>521</v>
      </c>
    </row>
    <row r="4129" spans="1:5" x14ac:dyDescent="0.25">
      <c r="A4129">
        <v>31401</v>
      </c>
      <c r="B4129" t="str">
        <f t="shared" si="65"/>
        <v>31401</v>
      </c>
      <c r="C4129" t="s">
        <v>1198</v>
      </c>
      <c r="D4129">
        <v>326.39999999999998</v>
      </c>
      <c r="E4129" t="s">
        <v>521</v>
      </c>
    </row>
    <row r="4130" spans="1:5" x14ac:dyDescent="0.25">
      <c r="A4130">
        <v>11054</v>
      </c>
      <c r="B4130" t="str">
        <f t="shared" si="65"/>
        <v>11054</v>
      </c>
      <c r="C4130" t="s">
        <v>1193</v>
      </c>
      <c r="D4130">
        <v>0</v>
      </c>
      <c r="E4130" t="s">
        <v>358</v>
      </c>
    </row>
    <row r="4131" spans="1:5" x14ac:dyDescent="0.25">
      <c r="A4131">
        <v>11054</v>
      </c>
      <c r="B4131" t="str">
        <f t="shared" si="65"/>
        <v>11054</v>
      </c>
      <c r="C4131" t="s">
        <v>1194</v>
      </c>
      <c r="D4131">
        <v>4</v>
      </c>
      <c r="E4131" t="s">
        <v>358</v>
      </c>
    </row>
    <row r="4132" spans="1:5" x14ac:dyDescent="0.25">
      <c r="A4132">
        <v>11054</v>
      </c>
      <c r="B4132" t="str">
        <f t="shared" si="65"/>
        <v>11054</v>
      </c>
      <c r="C4132" t="s">
        <v>1195</v>
      </c>
      <c r="D4132">
        <v>0</v>
      </c>
      <c r="E4132" t="s">
        <v>358</v>
      </c>
    </row>
    <row r="4133" spans="1:5" x14ac:dyDescent="0.25">
      <c r="A4133">
        <v>11054</v>
      </c>
      <c r="B4133" t="str">
        <f t="shared" si="65"/>
        <v>11054</v>
      </c>
      <c r="C4133" t="s">
        <v>1197</v>
      </c>
      <c r="D4133">
        <v>4</v>
      </c>
      <c r="E4133" t="s">
        <v>358</v>
      </c>
    </row>
    <row r="4134" spans="1:5" x14ac:dyDescent="0.25">
      <c r="A4134">
        <v>11054</v>
      </c>
      <c r="B4134" t="str">
        <f t="shared" si="65"/>
        <v>11054</v>
      </c>
      <c r="C4134" t="s">
        <v>1202</v>
      </c>
      <c r="D4134">
        <v>0</v>
      </c>
      <c r="E4134" t="s">
        <v>358</v>
      </c>
    </row>
    <row r="4135" spans="1:5" x14ac:dyDescent="0.25">
      <c r="A4135">
        <v>11054</v>
      </c>
      <c r="B4135" t="str">
        <f t="shared" si="65"/>
        <v>11054</v>
      </c>
      <c r="C4135" t="s">
        <v>1206</v>
      </c>
      <c r="D4135">
        <v>1</v>
      </c>
      <c r="E4135" t="s">
        <v>358</v>
      </c>
    </row>
    <row r="4136" spans="1:5" x14ac:dyDescent="0.25">
      <c r="A4136">
        <v>11054</v>
      </c>
      <c r="B4136" t="str">
        <f t="shared" si="65"/>
        <v>11054</v>
      </c>
      <c r="C4136" t="s">
        <v>1199</v>
      </c>
      <c r="D4136">
        <v>0</v>
      </c>
      <c r="E4136" t="s">
        <v>358</v>
      </c>
    </row>
    <row r="4137" spans="1:5" x14ac:dyDescent="0.25">
      <c r="A4137">
        <v>11054</v>
      </c>
      <c r="B4137" t="str">
        <f t="shared" si="65"/>
        <v>11054</v>
      </c>
      <c r="C4137" t="s">
        <v>1203</v>
      </c>
      <c r="D4137">
        <v>0</v>
      </c>
      <c r="E4137" t="s">
        <v>358</v>
      </c>
    </row>
    <row r="4138" spans="1:5" x14ac:dyDescent="0.25">
      <c r="A4138">
        <v>11054</v>
      </c>
      <c r="B4138" t="str">
        <f t="shared" si="65"/>
        <v>11054</v>
      </c>
      <c r="C4138" t="s">
        <v>1200</v>
      </c>
      <c r="D4138">
        <v>0</v>
      </c>
      <c r="E4138" t="s">
        <v>358</v>
      </c>
    </row>
    <row r="4139" spans="1:5" x14ac:dyDescent="0.25">
      <c r="A4139">
        <v>11054</v>
      </c>
      <c r="B4139" t="str">
        <f t="shared" si="65"/>
        <v>11054</v>
      </c>
      <c r="C4139" t="s">
        <v>1204</v>
      </c>
      <c r="D4139">
        <v>0</v>
      </c>
      <c r="E4139" t="s">
        <v>358</v>
      </c>
    </row>
    <row r="4140" spans="1:5" x14ac:dyDescent="0.25">
      <c r="A4140">
        <v>11054</v>
      </c>
      <c r="B4140" t="str">
        <f t="shared" si="65"/>
        <v>11054</v>
      </c>
      <c r="C4140" t="s">
        <v>1207</v>
      </c>
      <c r="D4140">
        <v>0</v>
      </c>
      <c r="E4140" t="s">
        <v>358</v>
      </c>
    </row>
    <row r="4141" spans="1:5" x14ac:dyDescent="0.25">
      <c r="A4141">
        <v>11054</v>
      </c>
      <c r="B4141" t="str">
        <f t="shared" si="65"/>
        <v>11054</v>
      </c>
      <c r="C4141" t="s">
        <v>1208</v>
      </c>
      <c r="D4141">
        <v>0</v>
      </c>
      <c r="E4141" t="s">
        <v>358</v>
      </c>
    </row>
    <row r="4142" spans="1:5" x14ac:dyDescent="0.25">
      <c r="A4142">
        <v>11054</v>
      </c>
      <c r="B4142" t="str">
        <f t="shared" si="65"/>
        <v>11054</v>
      </c>
      <c r="C4142" t="s">
        <v>1210</v>
      </c>
      <c r="D4142">
        <v>0</v>
      </c>
      <c r="E4142" t="s">
        <v>358</v>
      </c>
    </row>
    <row r="4143" spans="1:5" x14ac:dyDescent="0.25">
      <c r="A4143">
        <v>11054</v>
      </c>
      <c r="B4143" t="str">
        <f t="shared" si="65"/>
        <v>11054</v>
      </c>
      <c r="C4143" t="s">
        <v>1212</v>
      </c>
      <c r="D4143">
        <v>0</v>
      </c>
      <c r="E4143" t="s">
        <v>358</v>
      </c>
    </row>
    <row r="4144" spans="1:5" x14ac:dyDescent="0.25">
      <c r="A4144">
        <v>11054</v>
      </c>
      <c r="B4144" t="str">
        <f t="shared" si="65"/>
        <v>11054</v>
      </c>
      <c r="C4144" t="s">
        <v>1216</v>
      </c>
      <c r="D4144">
        <v>0</v>
      </c>
      <c r="E4144" t="s">
        <v>358</v>
      </c>
    </row>
    <row r="4145" spans="1:5" x14ac:dyDescent="0.25">
      <c r="A4145">
        <v>11054</v>
      </c>
      <c r="B4145" t="str">
        <f t="shared" si="65"/>
        <v>11054</v>
      </c>
      <c r="C4145" t="s">
        <v>1198</v>
      </c>
      <c r="D4145">
        <v>4</v>
      </c>
      <c r="E4145" t="s">
        <v>358</v>
      </c>
    </row>
    <row r="4146" spans="1:5" x14ac:dyDescent="0.25">
      <c r="A4146" t="s">
        <v>42</v>
      </c>
      <c r="B4146" t="str">
        <f t="shared" si="65"/>
        <v>07035</v>
      </c>
      <c r="C4146" t="s">
        <v>1193</v>
      </c>
      <c r="D4146">
        <v>0</v>
      </c>
      <c r="E4146" t="s">
        <v>338</v>
      </c>
    </row>
    <row r="4147" spans="1:5" x14ac:dyDescent="0.25">
      <c r="A4147" t="s">
        <v>42</v>
      </c>
      <c r="B4147" t="str">
        <f t="shared" si="65"/>
        <v>07035</v>
      </c>
      <c r="C4147" t="s">
        <v>1194</v>
      </c>
      <c r="D4147">
        <v>8</v>
      </c>
      <c r="E4147" t="s">
        <v>338</v>
      </c>
    </row>
    <row r="4148" spans="1:5" x14ac:dyDescent="0.25">
      <c r="A4148" t="s">
        <v>42</v>
      </c>
      <c r="B4148" t="str">
        <f t="shared" si="65"/>
        <v>07035</v>
      </c>
      <c r="C4148" t="s">
        <v>1195</v>
      </c>
      <c r="D4148">
        <v>0</v>
      </c>
      <c r="E4148" t="s">
        <v>338</v>
      </c>
    </row>
    <row r="4149" spans="1:5" x14ac:dyDescent="0.25">
      <c r="A4149" t="s">
        <v>42</v>
      </c>
      <c r="B4149" t="str">
        <f t="shared" si="65"/>
        <v>07035</v>
      </c>
      <c r="C4149" t="s">
        <v>1197</v>
      </c>
      <c r="D4149">
        <v>3</v>
      </c>
      <c r="E4149" t="s">
        <v>338</v>
      </c>
    </row>
    <row r="4150" spans="1:5" x14ac:dyDescent="0.25">
      <c r="A4150" t="s">
        <v>42</v>
      </c>
      <c r="B4150" t="str">
        <f t="shared" si="65"/>
        <v>07035</v>
      </c>
      <c r="C4150" t="s">
        <v>1202</v>
      </c>
      <c r="D4150">
        <v>0</v>
      </c>
      <c r="E4150" t="s">
        <v>338</v>
      </c>
    </row>
    <row r="4151" spans="1:5" x14ac:dyDescent="0.25">
      <c r="A4151" t="s">
        <v>42</v>
      </c>
      <c r="B4151" t="str">
        <f t="shared" si="65"/>
        <v>07035</v>
      </c>
      <c r="C4151" t="s">
        <v>1206</v>
      </c>
      <c r="D4151">
        <v>5</v>
      </c>
      <c r="E4151" t="s">
        <v>338</v>
      </c>
    </row>
    <row r="4152" spans="1:5" x14ac:dyDescent="0.25">
      <c r="A4152" t="s">
        <v>42</v>
      </c>
      <c r="B4152" t="str">
        <f t="shared" si="65"/>
        <v>07035</v>
      </c>
      <c r="C4152" t="s">
        <v>1199</v>
      </c>
      <c r="D4152">
        <v>0</v>
      </c>
      <c r="E4152" t="s">
        <v>338</v>
      </c>
    </row>
    <row r="4153" spans="1:5" x14ac:dyDescent="0.25">
      <c r="A4153" t="s">
        <v>42</v>
      </c>
      <c r="B4153" t="str">
        <f t="shared" si="65"/>
        <v>07035</v>
      </c>
      <c r="C4153" t="s">
        <v>1203</v>
      </c>
      <c r="D4153">
        <v>2</v>
      </c>
      <c r="E4153" t="s">
        <v>338</v>
      </c>
    </row>
    <row r="4154" spans="1:5" x14ac:dyDescent="0.25">
      <c r="A4154" t="s">
        <v>42</v>
      </c>
      <c r="B4154" t="str">
        <f t="shared" si="65"/>
        <v>07035</v>
      </c>
      <c r="C4154" t="s">
        <v>1200</v>
      </c>
      <c r="D4154">
        <v>0</v>
      </c>
      <c r="E4154" t="s">
        <v>338</v>
      </c>
    </row>
    <row r="4155" spans="1:5" x14ac:dyDescent="0.25">
      <c r="A4155" t="s">
        <v>42</v>
      </c>
      <c r="B4155" t="str">
        <f t="shared" si="65"/>
        <v>07035</v>
      </c>
      <c r="C4155" t="s">
        <v>1204</v>
      </c>
      <c r="D4155">
        <v>0</v>
      </c>
      <c r="E4155" t="s">
        <v>338</v>
      </c>
    </row>
    <row r="4156" spans="1:5" x14ac:dyDescent="0.25">
      <c r="A4156" t="s">
        <v>42</v>
      </c>
      <c r="B4156" t="str">
        <f t="shared" si="65"/>
        <v>07035</v>
      </c>
      <c r="C4156" t="s">
        <v>1207</v>
      </c>
      <c r="D4156">
        <v>0</v>
      </c>
      <c r="E4156" t="s">
        <v>338</v>
      </c>
    </row>
    <row r="4157" spans="1:5" x14ac:dyDescent="0.25">
      <c r="A4157" t="s">
        <v>42</v>
      </c>
      <c r="B4157" t="str">
        <f t="shared" si="65"/>
        <v>07035</v>
      </c>
      <c r="C4157" t="s">
        <v>1208</v>
      </c>
      <c r="D4157">
        <v>0</v>
      </c>
      <c r="E4157" t="s">
        <v>338</v>
      </c>
    </row>
    <row r="4158" spans="1:5" x14ac:dyDescent="0.25">
      <c r="A4158" t="s">
        <v>42</v>
      </c>
      <c r="B4158" t="str">
        <f t="shared" si="65"/>
        <v>07035</v>
      </c>
      <c r="C4158" t="s">
        <v>1210</v>
      </c>
      <c r="D4158">
        <v>0</v>
      </c>
      <c r="E4158" t="s">
        <v>338</v>
      </c>
    </row>
    <row r="4159" spans="1:5" x14ac:dyDescent="0.25">
      <c r="A4159" t="s">
        <v>42</v>
      </c>
      <c r="B4159" t="str">
        <f t="shared" si="65"/>
        <v>07035</v>
      </c>
      <c r="C4159" t="s">
        <v>1212</v>
      </c>
      <c r="D4159">
        <v>0</v>
      </c>
      <c r="E4159" t="s">
        <v>338</v>
      </c>
    </row>
    <row r="4160" spans="1:5" x14ac:dyDescent="0.25">
      <c r="A4160" t="s">
        <v>42</v>
      </c>
      <c r="B4160" t="str">
        <f t="shared" si="65"/>
        <v>07035</v>
      </c>
      <c r="C4160" t="s">
        <v>1216</v>
      </c>
      <c r="D4160">
        <v>3.2</v>
      </c>
      <c r="E4160" t="s">
        <v>338</v>
      </c>
    </row>
    <row r="4161" spans="1:5" x14ac:dyDescent="0.25">
      <c r="A4161" t="s">
        <v>42</v>
      </c>
      <c r="B4161" t="str">
        <f t="shared" si="65"/>
        <v>07035</v>
      </c>
      <c r="C4161" t="s">
        <v>1198</v>
      </c>
      <c r="D4161">
        <v>1</v>
      </c>
      <c r="E4161" t="s">
        <v>338</v>
      </c>
    </row>
    <row r="4162" spans="1:5" x14ac:dyDescent="0.25">
      <c r="A4162" s="34" t="s">
        <v>21</v>
      </c>
      <c r="B4162" t="str">
        <f t="shared" si="65"/>
        <v>04069</v>
      </c>
      <c r="C4162" t="s">
        <v>1193</v>
      </c>
      <c r="D4162">
        <v>0</v>
      </c>
      <c r="E4162" t="s">
        <v>318</v>
      </c>
    </row>
    <row r="4163" spans="1:5" x14ac:dyDescent="0.25">
      <c r="A4163" s="34" t="s">
        <v>21</v>
      </c>
      <c r="B4163" t="str">
        <f t="shared" ref="B4163:B4226" si="66">TEXT(A4163,"00000")</f>
        <v>04069</v>
      </c>
      <c r="C4163" t="s">
        <v>1194</v>
      </c>
      <c r="D4163">
        <v>5</v>
      </c>
      <c r="E4163" t="s">
        <v>318</v>
      </c>
    </row>
    <row r="4164" spans="1:5" x14ac:dyDescent="0.25">
      <c r="A4164" s="34" t="s">
        <v>21</v>
      </c>
      <c r="B4164" t="str">
        <f t="shared" si="66"/>
        <v>04069</v>
      </c>
      <c r="C4164" t="s">
        <v>1195</v>
      </c>
      <c r="D4164">
        <v>0</v>
      </c>
      <c r="E4164" t="s">
        <v>318</v>
      </c>
    </row>
    <row r="4165" spans="1:5" x14ac:dyDescent="0.25">
      <c r="A4165" s="34" t="s">
        <v>21</v>
      </c>
      <c r="B4165" t="str">
        <f t="shared" si="66"/>
        <v>04069</v>
      </c>
      <c r="C4165" t="s">
        <v>1197</v>
      </c>
      <c r="D4165">
        <v>1</v>
      </c>
      <c r="E4165" t="s">
        <v>318</v>
      </c>
    </row>
    <row r="4166" spans="1:5" x14ac:dyDescent="0.25">
      <c r="A4166" s="34" t="s">
        <v>21</v>
      </c>
      <c r="B4166" t="str">
        <f t="shared" si="66"/>
        <v>04069</v>
      </c>
      <c r="C4166" t="s">
        <v>1202</v>
      </c>
      <c r="D4166">
        <v>0</v>
      </c>
      <c r="E4166" t="s">
        <v>318</v>
      </c>
    </row>
    <row r="4167" spans="1:5" x14ac:dyDescent="0.25">
      <c r="A4167" s="34" t="s">
        <v>21</v>
      </c>
      <c r="B4167" t="str">
        <f t="shared" si="66"/>
        <v>04069</v>
      </c>
      <c r="C4167" t="s">
        <v>1206</v>
      </c>
      <c r="D4167">
        <v>1</v>
      </c>
      <c r="E4167" t="s">
        <v>318</v>
      </c>
    </row>
    <row r="4168" spans="1:5" x14ac:dyDescent="0.25">
      <c r="A4168" s="34" t="s">
        <v>21</v>
      </c>
      <c r="B4168" t="str">
        <f t="shared" si="66"/>
        <v>04069</v>
      </c>
      <c r="C4168" t="s">
        <v>1199</v>
      </c>
      <c r="D4168">
        <v>0</v>
      </c>
      <c r="E4168" t="s">
        <v>318</v>
      </c>
    </row>
    <row r="4169" spans="1:5" x14ac:dyDescent="0.25">
      <c r="A4169" s="34" t="s">
        <v>21</v>
      </c>
      <c r="B4169" t="str">
        <f t="shared" si="66"/>
        <v>04069</v>
      </c>
      <c r="C4169" t="s">
        <v>1203</v>
      </c>
      <c r="D4169">
        <v>4</v>
      </c>
      <c r="E4169" t="s">
        <v>318</v>
      </c>
    </row>
    <row r="4170" spans="1:5" x14ac:dyDescent="0.25">
      <c r="A4170" s="34" t="s">
        <v>21</v>
      </c>
      <c r="B4170" t="str">
        <f t="shared" si="66"/>
        <v>04069</v>
      </c>
      <c r="C4170" t="s">
        <v>1200</v>
      </c>
      <c r="D4170">
        <v>0</v>
      </c>
      <c r="E4170" t="s">
        <v>318</v>
      </c>
    </row>
    <row r="4171" spans="1:5" x14ac:dyDescent="0.25">
      <c r="A4171" s="34" t="s">
        <v>21</v>
      </c>
      <c r="B4171" t="str">
        <f t="shared" si="66"/>
        <v>04069</v>
      </c>
      <c r="C4171" t="s">
        <v>1204</v>
      </c>
      <c r="D4171">
        <v>0</v>
      </c>
      <c r="E4171" t="s">
        <v>318</v>
      </c>
    </row>
    <row r="4172" spans="1:5" x14ac:dyDescent="0.25">
      <c r="A4172" s="34" t="s">
        <v>21</v>
      </c>
      <c r="B4172" t="str">
        <f t="shared" si="66"/>
        <v>04069</v>
      </c>
      <c r="C4172" t="s">
        <v>1207</v>
      </c>
      <c r="D4172">
        <v>0</v>
      </c>
      <c r="E4172" t="s">
        <v>318</v>
      </c>
    </row>
    <row r="4173" spans="1:5" x14ac:dyDescent="0.25">
      <c r="A4173" s="34" t="s">
        <v>21</v>
      </c>
      <c r="B4173" t="str">
        <f t="shared" si="66"/>
        <v>04069</v>
      </c>
      <c r="C4173" t="s">
        <v>1208</v>
      </c>
      <c r="D4173">
        <v>0</v>
      </c>
      <c r="E4173" t="s">
        <v>318</v>
      </c>
    </row>
    <row r="4174" spans="1:5" x14ac:dyDescent="0.25">
      <c r="A4174" s="34" t="s">
        <v>21</v>
      </c>
      <c r="B4174" t="str">
        <f t="shared" si="66"/>
        <v>04069</v>
      </c>
      <c r="C4174" t="s">
        <v>1210</v>
      </c>
      <c r="D4174">
        <v>0</v>
      </c>
      <c r="E4174" t="s">
        <v>318</v>
      </c>
    </row>
    <row r="4175" spans="1:5" x14ac:dyDescent="0.25">
      <c r="A4175" s="34" t="s">
        <v>21</v>
      </c>
      <c r="B4175" t="str">
        <f t="shared" si="66"/>
        <v>04069</v>
      </c>
      <c r="C4175" t="s">
        <v>1212</v>
      </c>
      <c r="D4175">
        <v>0</v>
      </c>
      <c r="E4175" t="s">
        <v>318</v>
      </c>
    </row>
    <row r="4176" spans="1:5" x14ac:dyDescent="0.25">
      <c r="A4176" s="34" t="s">
        <v>21</v>
      </c>
      <c r="B4176" t="str">
        <f t="shared" si="66"/>
        <v>04069</v>
      </c>
      <c r="C4176" t="s">
        <v>1216</v>
      </c>
      <c r="D4176">
        <v>0</v>
      </c>
      <c r="E4176" t="s">
        <v>318</v>
      </c>
    </row>
    <row r="4177" spans="1:5" x14ac:dyDescent="0.25">
      <c r="A4177" s="34" t="s">
        <v>21</v>
      </c>
      <c r="B4177" t="str">
        <f t="shared" si="66"/>
        <v>04069</v>
      </c>
      <c r="C4177" t="s">
        <v>1198</v>
      </c>
      <c r="D4177">
        <v>0.39</v>
      </c>
      <c r="E4177" t="s">
        <v>318</v>
      </c>
    </row>
    <row r="4178" spans="1:5" x14ac:dyDescent="0.25">
      <c r="A4178" s="34">
        <v>27001</v>
      </c>
      <c r="B4178" t="str">
        <f t="shared" si="66"/>
        <v>27001</v>
      </c>
      <c r="C4178" t="s">
        <v>1193</v>
      </c>
      <c r="D4178">
        <v>0</v>
      </c>
      <c r="E4178" t="s">
        <v>479</v>
      </c>
    </row>
    <row r="4179" spans="1:5" x14ac:dyDescent="0.25">
      <c r="A4179" s="34">
        <v>27001</v>
      </c>
      <c r="B4179" t="str">
        <f t="shared" si="66"/>
        <v>27001</v>
      </c>
      <c r="C4179" t="s">
        <v>1194</v>
      </c>
      <c r="D4179">
        <v>630.1</v>
      </c>
      <c r="E4179" t="s">
        <v>479</v>
      </c>
    </row>
    <row r="4180" spans="1:5" x14ac:dyDescent="0.25">
      <c r="A4180" s="34">
        <v>27001</v>
      </c>
      <c r="B4180" t="str">
        <f t="shared" si="66"/>
        <v>27001</v>
      </c>
      <c r="C4180" t="s">
        <v>1195</v>
      </c>
      <c r="D4180">
        <v>0</v>
      </c>
      <c r="E4180" t="s">
        <v>479</v>
      </c>
    </row>
    <row r="4181" spans="1:5" x14ac:dyDescent="0.25">
      <c r="A4181" s="34">
        <v>27001</v>
      </c>
      <c r="B4181" t="str">
        <f t="shared" si="66"/>
        <v>27001</v>
      </c>
      <c r="C4181" t="s">
        <v>1197</v>
      </c>
      <c r="D4181">
        <v>223.59</v>
      </c>
      <c r="E4181" t="s">
        <v>479</v>
      </c>
    </row>
    <row r="4182" spans="1:5" x14ac:dyDescent="0.25">
      <c r="A4182" s="34">
        <v>27001</v>
      </c>
      <c r="B4182" t="str">
        <f t="shared" si="66"/>
        <v>27001</v>
      </c>
      <c r="C4182" t="s">
        <v>1202</v>
      </c>
      <c r="D4182">
        <v>0</v>
      </c>
      <c r="E4182" t="s">
        <v>479</v>
      </c>
    </row>
    <row r="4183" spans="1:5" x14ac:dyDescent="0.25">
      <c r="A4183" s="34">
        <v>27001</v>
      </c>
      <c r="B4183" t="str">
        <f t="shared" si="66"/>
        <v>27001</v>
      </c>
      <c r="C4183" t="s">
        <v>1206</v>
      </c>
      <c r="D4183">
        <v>475.37</v>
      </c>
      <c r="E4183" t="s">
        <v>479</v>
      </c>
    </row>
    <row r="4184" spans="1:5" x14ac:dyDescent="0.25">
      <c r="A4184" s="34">
        <v>27001</v>
      </c>
      <c r="B4184" t="str">
        <f t="shared" si="66"/>
        <v>27001</v>
      </c>
      <c r="C4184" t="s">
        <v>1199</v>
      </c>
      <c r="D4184">
        <v>0</v>
      </c>
      <c r="E4184" t="s">
        <v>479</v>
      </c>
    </row>
    <row r="4185" spans="1:5" x14ac:dyDescent="0.25">
      <c r="A4185" s="34">
        <v>27001</v>
      </c>
      <c r="B4185" t="str">
        <f t="shared" si="66"/>
        <v>27001</v>
      </c>
      <c r="C4185" t="s">
        <v>1203</v>
      </c>
      <c r="D4185">
        <v>493.34</v>
      </c>
      <c r="E4185" t="s">
        <v>479</v>
      </c>
    </row>
    <row r="4186" spans="1:5" x14ac:dyDescent="0.25">
      <c r="A4186" s="34">
        <v>27001</v>
      </c>
      <c r="B4186" t="str">
        <f t="shared" si="66"/>
        <v>27001</v>
      </c>
      <c r="C4186" t="s">
        <v>1200</v>
      </c>
      <c r="D4186">
        <v>0</v>
      </c>
      <c r="E4186" t="s">
        <v>479</v>
      </c>
    </row>
    <row r="4187" spans="1:5" x14ac:dyDescent="0.25">
      <c r="A4187" s="34">
        <v>27001</v>
      </c>
      <c r="B4187" t="str">
        <f t="shared" si="66"/>
        <v>27001</v>
      </c>
      <c r="C4187" t="s">
        <v>1204</v>
      </c>
      <c r="D4187">
        <v>782.02</v>
      </c>
      <c r="E4187" t="s">
        <v>479</v>
      </c>
    </row>
    <row r="4188" spans="1:5" x14ac:dyDescent="0.25">
      <c r="A4188" s="34">
        <v>27001</v>
      </c>
      <c r="B4188" t="str">
        <f t="shared" si="66"/>
        <v>27001</v>
      </c>
      <c r="C4188" t="s">
        <v>1207</v>
      </c>
      <c r="D4188">
        <v>15.44</v>
      </c>
      <c r="E4188" t="s">
        <v>479</v>
      </c>
    </row>
    <row r="4189" spans="1:5" x14ac:dyDescent="0.25">
      <c r="A4189" s="34">
        <v>27001</v>
      </c>
      <c r="B4189" t="str">
        <f t="shared" si="66"/>
        <v>27001</v>
      </c>
      <c r="C4189" t="s">
        <v>1208</v>
      </c>
      <c r="D4189">
        <v>230.08</v>
      </c>
      <c r="E4189" t="s">
        <v>479</v>
      </c>
    </row>
    <row r="4190" spans="1:5" x14ac:dyDescent="0.25">
      <c r="A4190" s="34">
        <v>27001</v>
      </c>
      <c r="B4190" t="str">
        <f t="shared" si="66"/>
        <v>27001</v>
      </c>
      <c r="C4190" t="s">
        <v>1210</v>
      </c>
      <c r="D4190">
        <v>0</v>
      </c>
      <c r="E4190" t="s">
        <v>479</v>
      </c>
    </row>
    <row r="4191" spans="1:5" x14ac:dyDescent="0.25">
      <c r="A4191" s="34">
        <v>27001</v>
      </c>
      <c r="B4191" t="str">
        <f t="shared" si="66"/>
        <v>27001</v>
      </c>
      <c r="C4191" t="s">
        <v>1212</v>
      </c>
      <c r="D4191">
        <v>0</v>
      </c>
      <c r="E4191" t="s">
        <v>479</v>
      </c>
    </row>
    <row r="4192" spans="1:5" x14ac:dyDescent="0.25">
      <c r="A4192" s="34">
        <v>27001</v>
      </c>
      <c r="B4192" t="str">
        <f t="shared" si="66"/>
        <v>27001</v>
      </c>
      <c r="C4192" t="s">
        <v>1216</v>
      </c>
      <c r="D4192">
        <v>24.33</v>
      </c>
      <c r="E4192" t="s">
        <v>479</v>
      </c>
    </row>
    <row r="4193" spans="1:5" x14ac:dyDescent="0.25">
      <c r="A4193" s="34">
        <v>27001</v>
      </c>
      <c r="B4193" t="str">
        <f t="shared" si="66"/>
        <v>27001</v>
      </c>
      <c r="C4193" t="s">
        <v>1198</v>
      </c>
      <c r="D4193">
        <v>172.45</v>
      </c>
      <c r="E4193" t="s">
        <v>479</v>
      </c>
    </row>
    <row r="4194" spans="1:5" x14ac:dyDescent="0.25">
      <c r="A4194">
        <v>38304</v>
      </c>
      <c r="B4194" t="str">
        <f t="shared" si="66"/>
        <v>38304</v>
      </c>
      <c r="C4194" t="s">
        <v>1193</v>
      </c>
      <c r="D4194">
        <v>0</v>
      </c>
      <c r="E4194" t="s">
        <v>579</v>
      </c>
    </row>
    <row r="4195" spans="1:5" x14ac:dyDescent="0.25">
      <c r="A4195">
        <v>38304</v>
      </c>
      <c r="B4195" t="str">
        <f t="shared" si="66"/>
        <v>38304</v>
      </c>
      <c r="C4195" t="s">
        <v>1194</v>
      </c>
      <c r="D4195">
        <v>8.1999999999999993</v>
      </c>
      <c r="E4195" t="s">
        <v>579</v>
      </c>
    </row>
    <row r="4196" spans="1:5" x14ac:dyDescent="0.25">
      <c r="A4196">
        <v>38304</v>
      </c>
      <c r="B4196" t="str">
        <f t="shared" si="66"/>
        <v>38304</v>
      </c>
      <c r="C4196" t="s">
        <v>1195</v>
      </c>
      <c r="D4196">
        <v>0</v>
      </c>
      <c r="E4196" t="s">
        <v>579</v>
      </c>
    </row>
    <row r="4197" spans="1:5" x14ac:dyDescent="0.25">
      <c r="A4197">
        <v>38304</v>
      </c>
      <c r="B4197" t="str">
        <f t="shared" si="66"/>
        <v>38304</v>
      </c>
      <c r="C4197" t="s">
        <v>1197</v>
      </c>
      <c r="D4197">
        <v>3</v>
      </c>
      <c r="E4197" t="s">
        <v>579</v>
      </c>
    </row>
    <row r="4198" spans="1:5" x14ac:dyDescent="0.25">
      <c r="A4198">
        <v>38304</v>
      </c>
      <c r="B4198" t="str">
        <f t="shared" si="66"/>
        <v>38304</v>
      </c>
      <c r="C4198" t="s">
        <v>1202</v>
      </c>
      <c r="D4198">
        <v>0</v>
      </c>
      <c r="E4198" t="s">
        <v>579</v>
      </c>
    </row>
    <row r="4199" spans="1:5" x14ac:dyDescent="0.25">
      <c r="A4199">
        <v>38304</v>
      </c>
      <c r="B4199" t="str">
        <f t="shared" si="66"/>
        <v>38304</v>
      </c>
      <c r="C4199" t="s">
        <v>1206</v>
      </c>
      <c r="D4199">
        <v>5.6</v>
      </c>
      <c r="E4199" t="s">
        <v>579</v>
      </c>
    </row>
    <row r="4200" spans="1:5" x14ac:dyDescent="0.25">
      <c r="A4200">
        <v>38304</v>
      </c>
      <c r="B4200" t="str">
        <f t="shared" si="66"/>
        <v>38304</v>
      </c>
      <c r="C4200" t="s">
        <v>1199</v>
      </c>
      <c r="D4200">
        <v>0</v>
      </c>
      <c r="E4200" t="s">
        <v>579</v>
      </c>
    </row>
    <row r="4201" spans="1:5" x14ac:dyDescent="0.25">
      <c r="A4201">
        <v>38304</v>
      </c>
      <c r="B4201" t="str">
        <f t="shared" si="66"/>
        <v>38304</v>
      </c>
      <c r="C4201" t="s">
        <v>1203</v>
      </c>
      <c r="D4201">
        <v>3.8</v>
      </c>
      <c r="E4201" t="s">
        <v>579</v>
      </c>
    </row>
    <row r="4202" spans="1:5" x14ac:dyDescent="0.25">
      <c r="A4202">
        <v>38304</v>
      </c>
      <c r="B4202" t="str">
        <f t="shared" si="66"/>
        <v>38304</v>
      </c>
      <c r="C4202" t="s">
        <v>1200</v>
      </c>
      <c r="D4202">
        <v>0</v>
      </c>
      <c r="E4202" t="s">
        <v>579</v>
      </c>
    </row>
    <row r="4203" spans="1:5" x14ac:dyDescent="0.25">
      <c r="A4203">
        <v>38304</v>
      </c>
      <c r="B4203" t="str">
        <f t="shared" si="66"/>
        <v>38304</v>
      </c>
      <c r="C4203" t="s">
        <v>1204</v>
      </c>
      <c r="D4203">
        <v>0</v>
      </c>
      <c r="E4203" t="s">
        <v>579</v>
      </c>
    </row>
    <row r="4204" spans="1:5" x14ac:dyDescent="0.25">
      <c r="A4204">
        <v>38304</v>
      </c>
      <c r="B4204" t="str">
        <f t="shared" si="66"/>
        <v>38304</v>
      </c>
      <c r="C4204" t="s">
        <v>1207</v>
      </c>
      <c r="D4204">
        <v>0</v>
      </c>
      <c r="E4204" t="s">
        <v>579</v>
      </c>
    </row>
    <row r="4205" spans="1:5" x14ac:dyDescent="0.25">
      <c r="A4205">
        <v>38304</v>
      </c>
      <c r="B4205" t="str">
        <f t="shared" si="66"/>
        <v>38304</v>
      </c>
      <c r="C4205" t="s">
        <v>1208</v>
      </c>
      <c r="D4205">
        <v>0</v>
      </c>
      <c r="E4205" t="s">
        <v>579</v>
      </c>
    </row>
    <row r="4206" spans="1:5" x14ac:dyDescent="0.25">
      <c r="A4206">
        <v>38304</v>
      </c>
      <c r="B4206" t="str">
        <f t="shared" si="66"/>
        <v>38304</v>
      </c>
      <c r="C4206" t="s">
        <v>1210</v>
      </c>
      <c r="D4206">
        <v>0</v>
      </c>
      <c r="E4206" t="s">
        <v>579</v>
      </c>
    </row>
    <row r="4207" spans="1:5" x14ac:dyDescent="0.25">
      <c r="A4207">
        <v>38304</v>
      </c>
      <c r="B4207" t="str">
        <f t="shared" si="66"/>
        <v>38304</v>
      </c>
      <c r="C4207" t="s">
        <v>1212</v>
      </c>
      <c r="D4207">
        <v>0</v>
      </c>
      <c r="E4207" t="s">
        <v>579</v>
      </c>
    </row>
    <row r="4208" spans="1:5" x14ac:dyDescent="0.25">
      <c r="A4208">
        <v>38304</v>
      </c>
      <c r="B4208" t="str">
        <f t="shared" si="66"/>
        <v>38304</v>
      </c>
      <c r="C4208" t="s">
        <v>1216</v>
      </c>
      <c r="D4208">
        <v>5.6</v>
      </c>
      <c r="E4208" t="s">
        <v>579</v>
      </c>
    </row>
    <row r="4209" spans="1:5" x14ac:dyDescent="0.25">
      <c r="A4209">
        <v>38304</v>
      </c>
      <c r="B4209" t="str">
        <f t="shared" si="66"/>
        <v>38304</v>
      </c>
      <c r="C4209" t="s">
        <v>1198</v>
      </c>
      <c r="D4209">
        <v>4</v>
      </c>
      <c r="E4209" t="s">
        <v>579</v>
      </c>
    </row>
    <row r="4210" spans="1:5" x14ac:dyDescent="0.25">
      <c r="A4210">
        <v>30303</v>
      </c>
      <c r="B4210" t="str">
        <f t="shared" si="66"/>
        <v>30303</v>
      </c>
      <c r="C4210" t="s">
        <v>1193</v>
      </c>
      <c r="D4210">
        <v>0</v>
      </c>
      <c r="E4210" t="s">
        <v>507</v>
      </c>
    </row>
    <row r="4211" spans="1:5" x14ac:dyDescent="0.25">
      <c r="A4211">
        <v>30303</v>
      </c>
      <c r="B4211" t="str">
        <f t="shared" si="66"/>
        <v>30303</v>
      </c>
      <c r="C4211" t="s">
        <v>1194</v>
      </c>
      <c r="D4211">
        <v>134.43</v>
      </c>
      <c r="E4211" t="s">
        <v>507</v>
      </c>
    </row>
    <row r="4212" spans="1:5" x14ac:dyDescent="0.25">
      <c r="A4212">
        <v>30303</v>
      </c>
      <c r="B4212" t="str">
        <f t="shared" si="66"/>
        <v>30303</v>
      </c>
      <c r="C4212" t="s">
        <v>1195</v>
      </c>
      <c r="D4212">
        <v>0</v>
      </c>
      <c r="E4212" t="s">
        <v>507</v>
      </c>
    </row>
    <row r="4213" spans="1:5" x14ac:dyDescent="0.25">
      <c r="A4213">
        <v>30303</v>
      </c>
      <c r="B4213" t="str">
        <f t="shared" si="66"/>
        <v>30303</v>
      </c>
      <c r="C4213" t="s">
        <v>1197</v>
      </c>
      <c r="D4213">
        <v>49.8</v>
      </c>
      <c r="E4213" t="s">
        <v>507</v>
      </c>
    </row>
    <row r="4214" spans="1:5" x14ac:dyDescent="0.25">
      <c r="A4214">
        <v>30303</v>
      </c>
      <c r="B4214" t="str">
        <f t="shared" si="66"/>
        <v>30303</v>
      </c>
      <c r="C4214" t="s">
        <v>1202</v>
      </c>
      <c r="D4214">
        <v>0</v>
      </c>
      <c r="E4214" t="s">
        <v>507</v>
      </c>
    </row>
    <row r="4215" spans="1:5" x14ac:dyDescent="0.25">
      <c r="A4215">
        <v>30303</v>
      </c>
      <c r="B4215" t="str">
        <f t="shared" si="66"/>
        <v>30303</v>
      </c>
      <c r="C4215" t="s">
        <v>1206</v>
      </c>
      <c r="D4215">
        <v>110</v>
      </c>
      <c r="E4215" t="s">
        <v>507</v>
      </c>
    </row>
    <row r="4216" spans="1:5" x14ac:dyDescent="0.25">
      <c r="A4216">
        <v>30303</v>
      </c>
      <c r="B4216" t="str">
        <f t="shared" si="66"/>
        <v>30303</v>
      </c>
      <c r="C4216" t="s">
        <v>1199</v>
      </c>
      <c r="D4216">
        <v>0</v>
      </c>
      <c r="E4216" t="s">
        <v>507</v>
      </c>
    </row>
    <row r="4217" spans="1:5" x14ac:dyDescent="0.25">
      <c r="A4217">
        <v>30303</v>
      </c>
      <c r="B4217" t="str">
        <f t="shared" si="66"/>
        <v>30303</v>
      </c>
      <c r="C4217" t="s">
        <v>1203</v>
      </c>
      <c r="D4217">
        <v>118.6</v>
      </c>
      <c r="E4217" t="s">
        <v>507</v>
      </c>
    </row>
    <row r="4218" spans="1:5" x14ac:dyDescent="0.25">
      <c r="A4218">
        <v>30303</v>
      </c>
      <c r="B4218" t="str">
        <f t="shared" si="66"/>
        <v>30303</v>
      </c>
      <c r="C4218" t="s">
        <v>1200</v>
      </c>
      <c r="D4218">
        <v>0</v>
      </c>
      <c r="E4218" t="s">
        <v>507</v>
      </c>
    </row>
    <row r="4219" spans="1:5" x14ac:dyDescent="0.25">
      <c r="A4219">
        <v>30303</v>
      </c>
      <c r="B4219" t="str">
        <f t="shared" si="66"/>
        <v>30303</v>
      </c>
      <c r="C4219" t="s">
        <v>1204</v>
      </c>
      <c r="D4219">
        <v>250.4</v>
      </c>
      <c r="E4219" t="s">
        <v>507</v>
      </c>
    </row>
    <row r="4220" spans="1:5" x14ac:dyDescent="0.25">
      <c r="A4220">
        <v>30303</v>
      </c>
      <c r="B4220" t="str">
        <f t="shared" si="66"/>
        <v>30303</v>
      </c>
      <c r="C4220" t="s">
        <v>1207</v>
      </c>
      <c r="D4220">
        <v>15.49</v>
      </c>
      <c r="E4220" t="s">
        <v>507</v>
      </c>
    </row>
    <row r="4221" spans="1:5" x14ac:dyDescent="0.25">
      <c r="A4221">
        <v>30303</v>
      </c>
      <c r="B4221" t="str">
        <f t="shared" si="66"/>
        <v>30303</v>
      </c>
      <c r="C4221" t="s">
        <v>1208</v>
      </c>
      <c r="D4221">
        <v>29.89</v>
      </c>
      <c r="E4221" t="s">
        <v>507</v>
      </c>
    </row>
    <row r="4222" spans="1:5" x14ac:dyDescent="0.25">
      <c r="A4222">
        <v>30303</v>
      </c>
      <c r="B4222" t="str">
        <f t="shared" si="66"/>
        <v>30303</v>
      </c>
      <c r="C4222" t="s">
        <v>1210</v>
      </c>
      <c r="D4222">
        <v>0</v>
      </c>
      <c r="E4222" t="s">
        <v>507</v>
      </c>
    </row>
    <row r="4223" spans="1:5" x14ac:dyDescent="0.25">
      <c r="A4223">
        <v>30303</v>
      </c>
      <c r="B4223" t="str">
        <f t="shared" si="66"/>
        <v>30303</v>
      </c>
      <c r="C4223" t="s">
        <v>1212</v>
      </c>
      <c r="D4223">
        <v>0</v>
      </c>
      <c r="E4223" t="s">
        <v>507</v>
      </c>
    </row>
    <row r="4224" spans="1:5" x14ac:dyDescent="0.25">
      <c r="A4224">
        <v>30303</v>
      </c>
      <c r="B4224" t="str">
        <f t="shared" si="66"/>
        <v>30303</v>
      </c>
      <c r="C4224" t="s">
        <v>1216</v>
      </c>
      <c r="D4224">
        <v>28.6</v>
      </c>
      <c r="E4224" t="s">
        <v>507</v>
      </c>
    </row>
    <row r="4225" spans="1:5" x14ac:dyDescent="0.25">
      <c r="A4225">
        <v>30303</v>
      </c>
      <c r="B4225" t="str">
        <f t="shared" si="66"/>
        <v>30303</v>
      </c>
      <c r="C4225" t="s">
        <v>1198</v>
      </c>
      <c r="D4225">
        <v>34.44</v>
      </c>
      <c r="E4225" t="s">
        <v>507</v>
      </c>
    </row>
    <row r="4226" spans="1:5" x14ac:dyDescent="0.25">
      <c r="A4226">
        <v>31311</v>
      </c>
      <c r="B4226" t="str">
        <f t="shared" si="66"/>
        <v>31311</v>
      </c>
      <c r="C4226" t="s">
        <v>1193</v>
      </c>
      <c r="D4226">
        <v>0</v>
      </c>
      <c r="E4226" t="s">
        <v>518</v>
      </c>
    </row>
    <row r="4227" spans="1:5" x14ac:dyDescent="0.25">
      <c r="A4227">
        <v>31311</v>
      </c>
      <c r="B4227" t="str">
        <f t="shared" ref="B4227:B4290" si="67">TEXT(A4227,"00000")</f>
        <v>31311</v>
      </c>
      <c r="C4227" t="s">
        <v>1194</v>
      </c>
      <c r="D4227">
        <v>492.56</v>
      </c>
      <c r="E4227" t="s">
        <v>518</v>
      </c>
    </row>
    <row r="4228" spans="1:5" x14ac:dyDescent="0.25">
      <c r="A4228">
        <v>31311</v>
      </c>
      <c r="B4228" t="str">
        <f t="shared" si="67"/>
        <v>31311</v>
      </c>
      <c r="C4228" t="s">
        <v>1195</v>
      </c>
      <c r="D4228">
        <v>0</v>
      </c>
      <c r="E4228" t="s">
        <v>518</v>
      </c>
    </row>
    <row r="4229" spans="1:5" x14ac:dyDescent="0.25">
      <c r="A4229">
        <v>31311</v>
      </c>
      <c r="B4229" t="str">
        <f t="shared" si="67"/>
        <v>31311</v>
      </c>
      <c r="C4229" t="s">
        <v>1197</v>
      </c>
      <c r="D4229">
        <v>163.6</v>
      </c>
      <c r="E4229" t="s">
        <v>518</v>
      </c>
    </row>
    <row r="4230" spans="1:5" x14ac:dyDescent="0.25">
      <c r="A4230">
        <v>31311</v>
      </c>
      <c r="B4230" t="str">
        <f t="shared" si="67"/>
        <v>31311</v>
      </c>
      <c r="C4230" t="s">
        <v>1202</v>
      </c>
      <c r="D4230">
        <v>0</v>
      </c>
      <c r="E4230" t="s">
        <v>518</v>
      </c>
    </row>
    <row r="4231" spans="1:5" x14ac:dyDescent="0.25">
      <c r="A4231">
        <v>31311</v>
      </c>
      <c r="B4231" t="str">
        <f t="shared" si="67"/>
        <v>31311</v>
      </c>
      <c r="C4231" t="s">
        <v>1206</v>
      </c>
      <c r="D4231">
        <v>336.8</v>
      </c>
      <c r="E4231" t="s">
        <v>518</v>
      </c>
    </row>
    <row r="4232" spans="1:5" x14ac:dyDescent="0.25">
      <c r="A4232">
        <v>31311</v>
      </c>
      <c r="B4232" t="str">
        <f t="shared" si="67"/>
        <v>31311</v>
      </c>
      <c r="C4232" t="s">
        <v>1199</v>
      </c>
      <c r="D4232">
        <v>0</v>
      </c>
      <c r="E4232" t="s">
        <v>518</v>
      </c>
    </row>
    <row r="4233" spans="1:5" x14ac:dyDescent="0.25">
      <c r="A4233">
        <v>31311</v>
      </c>
      <c r="B4233" t="str">
        <f t="shared" si="67"/>
        <v>31311</v>
      </c>
      <c r="C4233" t="s">
        <v>1203</v>
      </c>
      <c r="D4233">
        <v>315</v>
      </c>
      <c r="E4233" t="s">
        <v>518</v>
      </c>
    </row>
    <row r="4234" spans="1:5" x14ac:dyDescent="0.25">
      <c r="A4234">
        <v>31311</v>
      </c>
      <c r="B4234" t="str">
        <f t="shared" si="67"/>
        <v>31311</v>
      </c>
      <c r="C4234" t="s">
        <v>1200</v>
      </c>
      <c r="D4234">
        <v>0</v>
      </c>
      <c r="E4234" t="s">
        <v>518</v>
      </c>
    </row>
    <row r="4235" spans="1:5" x14ac:dyDescent="0.25">
      <c r="A4235">
        <v>31311</v>
      </c>
      <c r="B4235" t="str">
        <f t="shared" si="67"/>
        <v>31311</v>
      </c>
      <c r="C4235" t="s">
        <v>1204</v>
      </c>
      <c r="D4235">
        <v>505.44</v>
      </c>
      <c r="E4235" t="s">
        <v>518</v>
      </c>
    </row>
    <row r="4236" spans="1:5" x14ac:dyDescent="0.25">
      <c r="A4236">
        <v>31311</v>
      </c>
      <c r="B4236" t="str">
        <f t="shared" si="67"/>
        <v>31311</v>
      </c>
      <c r="C4236" t="s">
        <v>1207</v>
      </c>
      <c r="D4236">
        <v>23.63</v>
      </c>
      <c r="E4236" t="s">
        <v>518</v>
      </c>
    </row>
    <row r="4237" spans="1:5" x14ac:dyDescent="0.25">
      <c r="A4237">
        <v>31311</v>
      </c>
      <c r="B4237" t="str">
        <f t="shared" si="67"/>
        <v>31311</v>
      </c>
      <c r="C4237" t="s">
        <v>1208</v>
      </c>
      <c r="D4237">
        <v>167.87</v>
      </c>
      <c r="E4237" t="s">
        <v>518</v>
      </c>
    </row>
    <row r="4238" spans="1:5" x14ac:dyDescent="0.25">
      <c r="A4238">
        <v>31311</v>
      </c>
      <c r="B4238" t="str">
        <f t="shared" si="67"/>
        <v>31311</v>
      </c>
      <c r="C4238" t="s">
        <v>1210</v>
      </c>
      <c r="D4238">
        <v>0</v>
      </c>
      <c r="E4238" t="s">
        <v>518</v>
      </c>
    </row>
    <row r="4239" spans="1:5" x14ac:dyDescent="0.25">
      <c r="A4239">
        <v>31311</v>
      </c>
      <c r="B4239" t="str">
        <f t="shared" si="67"/>
        <v>31311</v>
      </c>
      <c r="C4239" t="s">
        <v>1212</v>
      </c>
      <c r="D4239">
        <v>0</v>
      </c>
      <c r="E4239" t="s">
        <v>518</v>
      </c>
    </row>
    <row r="4240" spans="1:5" x14ac:dyDescent="0.25">
      <c r="A4240">
        <v>31311</v>
      </c>
      <c r="B4240" t="str">
        <f t="shared" si="67"/>
        <v>31311</v>
      </c>
      <c r="C4240" t="s">
        <v>1216</v>
      </c>
      <c r="D4240">
        <v>54.2</v>
      </c>
      <c r="E4240" t="s">
        <v>518</v>
      </c>
    </row>
    <row r="4241" spans="1:5" x14ac:dyDescent="0.25">
      <c r="A4241">
        <v>31311</v>
      </c>
      <c r="B4241" t="str">
        <f t="shared" si="67"/>
        <v>31311</v>
      </c>
      <c r="C4241" t="s">
        <v>1198</v>
      </c>
      <c r="D4241">
        <v>160.80000000000001</v>
      </c>
      <c r="E4241" t="s">
        <v>518</v>
      </c>
    </row>
    <row r="4242" spans="1:5" x14ac:dyDescent="0.25">
      <c r="A4242">
        <v>17905</v>
      </c>
      <c r="B4242" t="str">
        <f t="shared" si="67"/>
        <v>17905</v>
      </c>
      <c r="C4242" t="s">
        <v>1193</v>
      </c>
      <c r="D4242">
        <v>0</v>
      </c>
      <c r="E4242" t="s">
        <v>1240</v>
      </c>
    </row>
    <row r="4243" spans="1:5" x14ac:dyDescent="0.25">
      <c r="A4243">
        <v>17905</v>
      </c>
      <c r="B4243" t="str">
        <f t="shared" si="67"/>
        <v>17905</v>
      </c>
      <c r="C4243" t="s">
        <v>1194</v>
      </c>
      <c r="D4243">
        <v>0</v>
      </c>
      <c r="E4243" t="s">
        <v>1240</v>
      </c>
    </row>
    <row r="4244" spans="1:5" x14ac:dyDescent="0.25">
      <c r="A4244">
        <v>17905</v>
      </c>
      <c r="B4244" t="str">
        <f t="shared" si="67"/>
        <v>17905</v>
      </c>
      <c r="C4244" t="s">
        <v>1195</v>
      </c>
      <c r="D4244">
        <v>0</v>
      </c>
      <c r="E4244" t="s">
        <v>1240</v>
      </c>
    </row>
    <row r="4245" spans="1:5" x14ac:dyDescent="0.25">
      <c r="A4245">
        <v>17905</v>
      </c>
      <c r="B4245" t="str">
        <f t="shared" si="67"/>
        <v>17905</v>
      </c>
      <c r="C4245" t="s">
        <v>1197</v>
      </c>
      <c r="D4245">
        <v>0</v>
      </c>
      <c r="E4245" t="s">
        <v>1240</v>
      </c>
    </row>
    <row r="4246" spans="1:5" x14ac:dyDescent="0.25">
      <c r="A4246">
        <v>17905</v>
      </c>
      <c r="B4246" t="str">
        <f t="shared" si="67"/>
        <v>17905</v>
      </c>
      <c r="C4246" t="s">
        <v>1202</v>
      </c>
      <c r="D4246">
        <v>0</v>
      </c>
      <c r="E4246" t="s">
        <v>1240</v>
      </c>
    </row>
    <row r="4247" spans="1:5" x14ac:dyDescent="0.25">
      <c r="A4247">
        <v>17905</v>
      </c>
      <c r="B4247" t="str">
        <f t="shared" si="67"/>
        <v>17905</v>
      </c>
      <c r="C4247" t="s">
        <v>1206</v>
      </c>
      <c r="D4247">
        <v>107.8</v>
      </c>
      <c r="E4247" t="s">
        <v>1240</v>
      </c>
    </row>
    <row r="4248" spans="1:5" x14ac:dyDescent="0.25">
      <c r="A4248">
        <v>17905</v>
      </c>
      <c r="B4248" t="str">
        <f t="shared" si="67"/>
        <v>17905</v>
      </c>
      <c r="C4248" t="s">
        <v>1199</v>
      </c>
      <c r="D4248">
        <v>0</v>
      </c>
      <c r="E4248" t="s">
        <v>1240</v>
      </c>
    </row>
    <row r="4249" spans="1:5" x14ac:dyDescent="0.25">
      <c r="A4249">
        <v>17905</v>
      </c>
      <c r="B4249" t="str">
        <f t="shared" si="67"/>
        <v>17905</v>
      </c>
      <c r="C4249" t="s">
        <v>1203</v>
      </c>
      <c r="D4249">
        <v>194.2</v>
      </c>
      <c r="E4249" t="s">
        <v>1240</v>
      </c>
    </row>
    <row r="4250" spans="1:5" x14ac:dyDescent="0.25">
      <c r="A4250">
        <v>17905</v>
      </c>
      <c r="B4250" t="str">
        <f t="shared" si="67"/>
        <v>17905</v>
      </c>
      <c r="C4250" t="s">
        <v>1200</v>
      </c>
      <c r="D4250">
        <v>0</v>
      </c>
      <c r="E4250" t="s">
        <v>1240</v>
      </c>
    </row>
    <row r="4251" spans="1:5" x14ac:dyDescent="0.25">
      <c r="A4251">
        <v>17905</v>
      </c>
      <c r="B4251" t="str">
        <f t="shared" si="67"/>
        <v>17905</v>
      </c>
      <c r="C4251" t="s">
        <v>1204</v>
      </c>
      <c r="D4251">
        <v>235.28</v>
      </c>
      <c r="E4251" t="s">
        <v>1240</v>
      </c>
    </row>
    <row r="4252" spans="1:5" x14ac:dyDescent="0.25">
      <c r="A4252">
        <v>17905</v>
      </c>
      <c r="B4252" t="str">
        <f t="shared" si="67"/>
        <v>17905</v>
      </c>
      <c r="C4252" t="s">
        <v>1207</v>
      </c>
      <c r="D4252">
        <v>0</v>
      </c>
      <c r="E4252" t="s">
        <v>1240</v>
      </c>
    </row>
    <row r="4253" spans="1:5" x14ac:dyDescent="0.25">
      <c r="A4253">
        <v>17905</v>
      </c>
      <c r="B4253" t="str">
        <f t="shared" si="67"/>
        <v>17905</v>
      </c>
      <c r="C4253" t="s">
        <v>1208</v>
      </c>
      <c r="D4253">
        <v>0</v>
      </c>
      <c r="E4253" t="s">
        <v>1240</v>
      </c>
    </row>
    <row r="4254" spans="1:5" x14ac:dyDescent="0.25">
      <c r="A4254">
        <v>17905</v>
      </c>
      <c r="B4254" t="str">
        <f t="shared" si="67"/>
        <v>17905</v>
      </c>
      <c r="C4254" t="s">
        <v>1210</v>
      </c>
      <c r="D4254">
        <v>0</v>
      </c>
      <c r="E4254" t="s">
        <v>1240</v>
      </c>
    </row>
    <row r="4255" spans="1:5" x14ac:dyDescent="0.25">
      <c r="A4255">
        <v>17905</v>
      </c>
      <c r="B4255" t="str">
        <f t="shared" si="67"/>
        <v>17905</v>
      </c>
      <c r="C4255" t="s">
        <v>1212</v>
      </c>
      <c r="D4255">
        <v>0</v>
      </c>
      <c r="E4255" t="s">
        <v>1240</v>
      </c>
    </row>
    <row r="4256" spans="1:5" x14ac:dyDescent="0.25">
      <c r="A4256">
        <v>17905</v>
      </c>
      <c r="B4256" t="str">
        <f t="shared" si="67"/>
        <v>17905</v>
      </c>
      <c r="C4256" t="s">
        <v>1216</v>
      </c>
      <c r="D4256">
        <v>0</v>
      </c>
      <c r="E4256" t="s">
        <v>1240</v>
      </c>
    </row>
    <row r="4257" spans="1:5" x14ac:dyDescent="0.25">
      <c r="A4257">
        <v>17905</v>
      </c>
      <c r="B4257" t="str">
        <f t="shared" si="67"/>
        <v>17905</v>
      </c>
      <c r="C4257" t="s">
        <v>1198</v>
      </c>
      <c r="D4257">
        <v>0</v>
      </c>
      <c r="E4257" t="s">
        <v>1240</v>
      </c>
    </row>
    <row r="4258" spans="1:5" x14ac:dyDescent="0.25">
      <c r="A4258">
        <v>27905</v>
      </c>
      <c r="B4258" t="str">
        <f t="shared" si="67"/>
        <v>27905</v>
      </c>
      <c r="C4258" t="s">
        <v>1193</v>
      </c>
      <c r="D4258">
        <v>0</v>
      </c>
      <c r="E4258" t="s">
        <v>1241</v>
      </c>
    </row>
    <row r="4259" spans="1:5" x14ac:dyDescent="0.25">
      <c r="A4259">
        <v>27905</v>
      </c>
      <c r="B4259" t="str">
        <f t="shared" si="67"/>
        <v>27905</v>
      </c>
      <c r="C4259" t="s">
        <v>1194</v>
      </c>
      <c r="D4259">
        <v>0</v>
      </c>
      <c r="E4259" t="s">
        <v>1241</v>
      </c>
    </row>
    <row r="4260" spans="1:5" x14ac:dyDescent="0.25">
      <c r="A4260">
        <v>27905</v>
      </c>
      <c r="B4260" t="str">
        <f t="shared" si="67"/>
        <v>27905</v>
      </c>
      <c r="C4260" t="s">
        <v>1195</v>
      </c>
      <c r="D4260">
        <v>0</v>
      </c>
      <c r="E4260" t="s">
        <v>1241</v>
      </c>
    </row>
    <row r="4261" spans="1:5" x14ac:dyDescent="0.25">
      <c r="A4261">
        <v>27905</v>
      </c>
      <c r="B4261" t="str">
        <f t="shared" si="67"/>
        <v>27905</v>
      </c>
      <c r="C4261" t="s">
        <v>1197</v>
      </c>
      <c r="D4261">
        <v>0</v>
      </c>
      <c r="E4261" t="s">
        <v>1241</v>
      </c>
    </row>
    <row r="4262" spans="1:5" x14ac:dyDescent="0.25">
      <c r="A4262">
        <v>27905</v>
      </c>
      <c r="B4262" t="str">
        <f t="shared" si="67"/>
        <v>27905</v>
      </c>
      <c r="C4262" t="s">
        <v>1202</v>
      </c>
      <c r="D4262">
        <v>0</v>
      </c>
      <c r="E4262" t="s">
        <v>1241</v>
      </c>
    </row>
    <row r="4263" spans="1:5" x14ac:dyDescent="0.25">
      <c r="A4263">
        <v>27905</v>
      </c>
      <c r="B4263" t="str">
        <f t="shared" si="67"/>
        <v>27905</v>
      </c>
      <c r="C4263" t="s">
        <v>1206</v>
      </c>
      <c r="D4263">
        <v>0</v>
      </c>
      <c r="E4263" t="s">
        <v>1241</v>
      </c>
    </row>
    <row r="4264" spans="1:5" x14ac:dyDescent="0.25">
      <c r="A4264">
        <v>27905</v>
      </c>
      <c r="B4264" t="str">
        <f t="shared" si="67"/>
        <v>27905</v>
      </c>
      <c r="C4264" t="s">
        <v>1199</v>
      </c>
      <c r="D4264">
        <v>0</v>
      </c>
      <c r="E4264" t="s">
        <v>1241</v>
      </c>
    </row>
    <row r="4265" spans="1:5" x14ac:dyDescent="0.25">
      <c r="A4265">
        <v>27905</v>
      </c>
      <c r="B4265" t="str">
        <f t="shared" si="67"/>
        <v>27905</v>
      </c>
      <c r="C4265" t="s">
        <v>1203</v>
      </c>
      <c r="D4265">
        <v>0</v>
      </c>
      <c r="E4265" t="s">
        <v>1241</v>
      </c>
    </row>
    <row r="4266" spans="1:5" x14ac:dyDescent="0.25">
      <c r="A4266">
        <v>27905</v>
      </c>
      <c r="B4266" t="str">
        <f t="shared" si="67"/>
        <v>27905</v>
      </c>
      <c r="C4266" t="s">
        <v>1200</v>
      </c>
      <c r="D4266">
        <v>0</v>
      </c>
      <c r="E4266" t="s">
        <v>1241</v>
      </c>
    </row>
    <row r="4267" spans="1:5" x14ac:dyDescent="0.25">
      <c r="A4267">
        <v>27905</v>
      </c>
      <c r="B4267" t="str">
        <f t="shared" si="67"/>
        <v>27905</v>
      </c>
      <c r="C4267" t="s">
        <v>1204</v>
      </c>
      <c r="D4267">
        <v>107.4</v>
      </c>
      <c r="E4267" t="s">
        <v>1241</v>
      </c>
    </row>
    <row r="4268" spans="1:5" x14ac:dyDescent="0.25">
      <c r="A4268">
        <v>27905</v>
      </c>
      <c r="B4268" t="str">
        <f t="shared" si="67"/>
        <v>27905</v>
      </c>
      <c r="C4268" t="s">
        <v>1207</v>
      </c>
      <c r="D4268">
        <v>0</v>
      </c>
      <c r="E4268" t="s">
        <v>1241</v>
      </c>
    </row>
    <row r="4269" spans="1:5" x14ac:dyDescent="0.25">
      <c r="A4269">
        <v>27905</v>
      </c>
      <c r="B4269" t="str">
        <f t="shared" si="67"/>
        <v>27905</v>
      </c>
      <c r="C4269" t="s">
        <v>1208</v>
      </c>
      <c r="D4269">
        <v>0</v>
      </c>
      <c r="E4269" t="s">
        <v>1241</v>
      </c>
    </row>
    <row r="4270" spans="1:5" x14ac:dyDescent="0.25">
      <c r="A4270">
        <v>27905</v>
      </c>
      <c r="B4270" t="str">
        <f t="shared" si="67"/>
        <v>27905</v>
      </c>
      <c r="C4270" t="s">
        <v>1210</v>
      </c>
      <c r="D4270">
        <v>0</v>
      </c>
      <c r="E4270" t="s">
        <v>1241</v>
      </c>
    </row>
    <row r="4271" spans="1:5" x14ac:dyDescent="0.25">
      <c r="A4271">
        <v>27905</v>
      </c>
      <c r="B4271" t="str">
        <f t="shared" si="67"/>
        <v>27905</v>
      </c>
      <c r="C4271" t="s">
        <v>1212</v>
      </c>
      <c r="D4271">
        <v>0</v>
      </c>
      <c r="E4271" t="s">
        <v>1241</v>
      </c>
    </row>
    <row r="4272" spans="1:5" x14ac:dyDescent="0.25">
      <c r="A4272">
        <v>27905</v>
      </c>
      <c r="B4272" t="str">
        <f t="shared" si="67"/>
        <v>27905</v>
      </c>
      <c r="C4272" t="s">
        <v>1216</v>
      </c>
      <c r="D4272">
        <v>0</v>
      </c>
      <c r="E4272" t="s">
        <v>1241</v>
      </c>
    </row>
    <row r="4273" spans="1:5" x14ac:dyDescent="0.25">
      <c r="A4273">
        <v>27905</v>
      </c>
      <c r="B4273" t="str">
        <f t="shared" si="67"/>
        <v>27905</v>
      </c>
      <c r="C4273" t="s">
        <v>1198</v>
      </c>
      <c r="D4273">
        <v>0</v>
      </c>
      <c r="E4273" t="s">
        <v>1241</v>
      </c>
    </row>
    <row r="4274" spans="1:5" x14ac:dyDescent="0.25">
      <c r="A4274">
        <v>17902</v>
      </c>
      <c r="B4274" t="str">
        <f t="shared" si="67"/>
        <v>17902</v>
      </c>
      <c r="C4274" t="s">
        <v>1193</v>
      </c>
      <c r="D4274">
        <v>0</v>
      </c>
      <c r="E4274" t="s">
        <v>1242</v>
      </c>
    </row>
    <row r="4275" spans="1:5" x14ac:dyDescent="0.25">
      <c r="A4275">
        <v>17902</v>
      </c>
      <c r="B4275" t="str">
        <f t="shared" si="67"/>
        <v>17902</v>
      </c>
      <c r="C4275" t="s">
        <v>1194</v>
      </c>
      <c r="D4275">
        <v>0</v>
      </c>
      <c r="E4275" t="s">
        <v>1242</v>
      </c>
    </row>
    <row r="4276" spans="1:5" x14ac:dyDescent="0.25">
      <c r="A4276">
        <v>17902</v>
      </c>
      <c r="B4276" t="str">
        <f t="shared" si="67"/>
        <v>17902</v>
      </c>
      <c r="C4276" t="s">
        <v>1195</v>
      </c>
      <c r="D4276">
        <v>0</v>
      </c>
      <c r="E4276" t="s">
        <v>1242</v>
      </c>
    </row>
    <row r="4277" spans="1:5" x14ac:dyDescent="0.25">
      <c r="A4277">
        <v>17902</v>
      </c>
      <c r="B4277" t="str">
        <f t="shared" si="67"/>
        <v>17902</v>
      </c>
      <c r="C4277" t="s">
        <v>1197</v>
      </c>
      <c r="D4277">
        <v>0</v>
      </c>
      <c r="E4277" t="s">
        <v>1242</v>
      </c>
    </row>
    <row r="4278" spans="1:5" x14ac:dyDescent="0.25">
      <c r="A4278">
        <v>17902</v>
      </c>
      <c r="B4278" t="str">
        <f t="shared" si="67"/>
        <v>17902</v>
      </c>
      <c r="C4278" t="s">
        <v>1202</v>
      </c>
      <c r="D4278">
        <v>0</v>
      </c>
      <c r="E4278" t="s">
        <v>1242</v>
      </c>
    </row>
    <row r="4279" spans="1:5" x14ac:dyDescent="0.25">
      <c r="A4279">
        <v>17902</v>
      </c>
      <c r="B4279" t="str">
        <f t="shared" si="67"/>
        <v>17902</v>
      </c>
      <c r="C4279" t="s">
        <v>1206</v>
      </c>
      <c r="D4279">
        <v>0</v>
      </c>
      <c r="E4279" t="s">
        <v>1242</v>
      </c>
    </row>
    <row r="4280" spans="1:5" x14ac:dyDescent="0.25">
      <c r="A4280">
        <v>17902</v>
      </c>
      <c r="B4280" t="str">
        <f t="shared" si="67"/>
        <v>17902</v>
      </c>
      <c r="C4280" t="s">
        <v>1199</v>
      </c>
      <c r="D4280">
        <v>0</v>
      </c>
      <c r="E4280" t="s">
        <v>1242</v>
      </c>
    </row>
    <row r="4281" spans="1:5" x14ac:dyDescent="0.25">
      <c r="A4281">
        <v>17902</v>
      </c>
      <c r="B4281" t="str">
        <f t="shared" si="67"/>
        <v>17902</v>
      </c>
      <c r="C4281" t="s">
        <v>1203</v>
      </c>
      <c r="D4281">
        <v>0</v>
      </c>
      <c r="E4281" t="s">
        <v>1242</v>
      </c>
    </row>
    <row r="4282" spans="1:5" x14ac:dyDescent="0.25">
      <c r="A4282">
        <v>17902</v>
      </c>
      <c r="B4282" t="str">
        <f t="shared" si="67"/>
        <v>17902</v>
      </c>
      <c r="C4282" t="s">
        <v>1200</v>
      </c>
      <c r="D4282">
        <v>0</v>
      </c>
      <c r="E4282" t="s">
        <v>1242</v>
      </c>
    </row>
    <row r="4283" spans="1:5" x14ac:dyDescent="0.25">
      <c r="A4283">
        <v>17902</v>
      </c>
      <c r="B4283" t="str">
        <f t="shared" si="67"/>
        <v>17902</v>
      </c>
      <c r="C4283" t="s">
        <v>1204</v>
      </c>
      <c r="D4283">
        <v>207.18</v>
      </c>
      <c r="E4283" t="s">
        <v>1242</v>
      </c>
    </row>
    <row r="4284" spans="1:5" x14ac:dyDescent="0.25">
      <c r="A4284">
        <v>17902</v>
      </c>
      <c r="B4284" t="str">
        <f t="shared" si="67"/>
        <v>17902</v>
      </c>
      <c r="C4284" t="s">
        <v>1207</v>
      </c>
      <c r="D4284">
        <v>0</v>
      </c>
      <c r="E4284" t="s">
        <v>1242</v>
      </c>
    </row>
    <row r="4285" spans="1:5" x14ac:dyDescent="0.25">
      <c r="A4285">
        <v>17902</v>
      </c>
      <c r="B4285" t="str">
        <f t="shared" si="67"/>
        <v>17902</v>
      </c>
      <c r="C4285" t="s">
        <v>1208</v>
      </c>
      <c r="D4285">
        <v>0</v>
      </c>
      <c r="E4285" t="s">
        <v>1242</v>
      </c>
    </row>
    <row r="4286" spans="1:5" x14ac:dyDescent="0.25">
      <c r="A4286">
        <v>17902</v>
      </c>
      <c r="B4286" t="str">
        <f t="shared" si="67"/>
        <v>17902</v>
      </c>
      <c r="C4286" t="s">
        <v>1210</v>
      </c>
      <c r="D4286">
        <v>0</v>
      </c>
      <c r="E4286" t="s">
        <v>1242</v>
      </c>
    </row>
    <row r="4287" spans="1:5" x14ac:dyDescent="0.25">
      <c r="A4287">
        <v>17902</v>
      </c>
      <c r="B4287" t="str">
        <f t="shared" si="67"/>
        <v>17902</v>
      </c>
      <c r="C4287" t="s">
        <v>1212</v>
      </c>
      <c r="D4287">
        <v>0</v>
      </c>
      <c r="E4287" t="s">
        <v>1242</v>
      </c>
    </row>
    <row r="4288" spans="1:5" x14ac:dyDescent="0.25">
      <c r="A4288">
        <v>17902</v>
      </c>
      <c r="B4288" t="str">
        <f t="shared" si="67"/>
        <v>17902</v>
      </c>
      <c r="C4288" t="s">
        <v>1216</v>
      </c>
      <c r="D4288">
        <v>0</v>
      </c>
      <c r="E4288" t="s">
        <v>1242</v>
      </c>
    </row>
    <row r="4289" spans="1:5" x14ac:dyDescent="0.25">
      <c r="A4289">
        <v>17902</v>
      </c>
      <c r="B4289" t="str">
        <f t="shared" si="67"/>
        <v>17902</v>
      </c>
      <c r="C4289" t="s">
        <v>1198</v>
      </c>
      <c r="D4289">
        <v>0</v>
      </c>
      <c r="E4289" t="s">
        <v>1242</v>
      </c>
    </row>
    <row r="4290" spans="1:5" x14ac:dyDescent="0.25">
      <c r="A4290">
        <v>33202</v>
      </c>
      <c r="B4290" t="str">
        <f t="shared" si="67"/>
        <v>33202</v>
      </c>
      <c r="C4290" t="s">
        <v>1193</v>
      </c>
      <c r="D4290">
        <v>0</v>
      </c>
      <c r="E4290" t="s">
        <v>542</v>
      </c>
    </row>
    <row r="4291" spans="1:5" x14ac:dyDescent="0.25">
      <c r="A4291">
        <v>33202</v>
      </c>
      <c r="B4291" t="str">
        <f t="shared" ref="B4291:B4354" si="68">TEXT(A4291,"00000")</f>
        <v>33202</v>
      </c>
      <c r="C4291" t="s">
        <v>1194</v>
      </c>
      <c r="D4291">
        <v>30</v>
      </c>
      <c r="E4291" t="s">
        <v>542</v>
      </c>
    </row>
    <row r="4292" spans="1:5" x14ac:dyDescent="0.25">
      <c r="A4292">
        <v>33202</v>
      </c>
      <c r="B4292" t="str">
        <f t="shared" si="68"/>
        <v>33202</v>
      </c>
      <c r="C4292" t="s">
        <v>1195</v>
      </c>
      <c r="D4292">
        <v>0</v>
      </c>
      <c r="E4292" t="s">
        <v>542</v>
      </c>
    </row>
    <row r="4293" spans="1:5" x14ac:dyDescent="0.25">
      <c r="A4293">
        <v>33202</v>
      </c>
      <c r="B4293" t="str">
        <f t="shared" si="68"/>
        <v>33202</v>
      </c>
      <c r="C4293" t="s">
        <v>1197</v>
      </c>
      <c r="D4293">
        <v>11.4</v>
      </c>
      <c r="E4293" t="s">
        <v>542</v>
      </c>
    </row>
    <row r="4294" spans="1:5" x14ac:dyDescent="0.25">
      <c r="A4294">
        <v>33202</v>
      </c>
      <c r="B4294" t="str">
        <f t="shared" si="68"/>
        <v>33202</v>
      </c>
      <c r="C4294" t="s">
        <v>1202</v>
      </c>
      <c r="D4294">
        <v>0</v>
      </c>
      <c r="E4294" t="s">
        <v>542</v>
      </c>
    </row>
    <row r="4295" spans="1:5" x14ac:dyDescent="0.25">
      <c r="A4295">
        <v>33202</v>
      </c>
      <c r="B4295" t="str">
        <f t="shared" si="68"/>
        <v>33202</v>
      </c>
      <c r="C4295" t="s">
        <v>1206</v>
      </c>
      <c r="D4295">
        <v>27.6</v>
      </c>
      <c r="E4295" t="s">
        <v>542</v>
      </c>
    </row>
    <row r="4296" spans="1:5" x14ac:dyDescent="0.25">
      <c r="A4296">
        <v>33202</v>
      </c>
      <c r="B4296" t="str">
        <f t="shared" si="68"/>
        <v>33202</v>
      </c>
      <c r="C4296" t="s">
        <v>1199</v>
      </c>
      <c r="D4296">
        <v>0</v>
      </c>
      <c r="E4296" t="s">
        <v>542</v>
      </c>
    </row>
    <row r="4297" spans="1:5" x14ac:dyDescent="0.25">
      <c r="A4297">
        <v>33202</v>
      </c>
      <c r="B4297" t="str">
        <f t="shared" si="68"/>
        <v>33202</v>
      </c>
      <c r="C4297" t="s">
        <v>1203</v>
      </c>
      <c r="D4297">
        <v>15.7</v>
      </c>
      <c r="E4297" t="s">
        <v>542</v>
      </c>
    </row>
    <row r="4298" spans="1:5" x14ac:dyDescent="0.25">
      <c r="A4298">
        <v>33202</v>
      </c>
      <c r="B4298" t="str">
        <f t="shared" si="68"/>
        <v>33202</v>
      </c>
      <c r="C4298" t="s">
        <v>1200</v>
      </c>
      <c r="D4298">
        <v>0</v>
      </c>
      <c r="E4298" t="s">
        <v>542</v>
      </c>
    </row>
    <row r="4299" spans="1:5" x14ac:dyDescent="0.25">
      <c r="A4299">
        <v>33202</v>
      </c>
      <c r="B4299" t="str">
        <f t="shared" si="68"/>
        <v>33202</v>
      </c>
      <c r="C4299" t="s">
        <v>1204</v>
      </c>
      <c r="D4299">
        <v>0</v>
      </c>
      <c r="E4299" t="s">
        <v>542</v>
      </c>
    </row>
    <row r="4300" spans="1:5" x14ac:dyDescent="0.25">
      <c r="A4300">
        <v>33202</v>
      </c>
      <c r="B4300" t="str">
        <f t="shared" si="68"/>
        <v>33202</v>
      </c>
      <c r="C4300" t="s">
        <v>1207</v>
      </c>
      <c r="D4300">
        <v>0</v>
      </c>
      <c r="E4300" t="s">
        <v>542</v>
      </c>
    </row>
    <row r="4301" spans="1:5" x14ac:dyDescent="0.25">
      <c r="A4301">
        <v>33202</v>
      </c>
      <c r="B4301" t="str">
        <f t="shared" si="68"/>
        <v>33202</v>
      </c>
      <c r="C4301" t="s">
        <v>1208</v>
      </c>
      <c r="D4301">
        <v>0</v>
      </c>
      <c r="E4301" t="s">
        <v>542</v>
      </c>
    </row>
    <row r="4302" spans="1:5" x14ac:dyDescent="0.25">
      <c r="A4302">
        <v>33202</v>
      </c>
      <c r="B4302" t="str">
        <f t="shared" si="68"/>
        <v>33202</v>
      </c>
      <c r="C4302" t="s">
        <v>1210</v>
      </c>
      <c r="D4302">
        <v>0</v>
      </c>
      <c r="E4302" t="s">
        <v>542</v>
      </c>
    </row>
    <row r="4303" spans="1:5" x14ac:dyDescent="0.25">
      <c r="A4303">
        <v>33202</v>
      </c>
      <c r="B4303" t="str">
        <f t="shared" si="68"/>
        <v>33202</v>
      </c>
      <c r="C4303" t="s">
        <v>1212</v>
      </c>
      <c r="D4303">
        <v>0</v>
      </c>
      <c r="E4303" t="s">
        <v>542</v>
      </c>
    </row>
    <row r="4304" spans="1:5" x14ac:dyDescent="0.25">
      <c r="A4304">
        <v>33202</v>
      </c>
      <c r="B4304" t="str">
        <f t="shared" si="68"/>
        <v>33202</v>
      </c>
      <c r="C4304" t="s">
        <v>1216</v>
      </c>
      <c r="D4304">
        <v>0</v>
      </c>
      <c r="E4304" t="s">
        <v>542</v>
      </c>
    </row>
    <row r="4305" spans="1:5" x14ac:dyDescent="0.25">
      <c r="A4305">
        <v>33202</v>
      </c>
      <c r="B4305" t="str">
        <f t="shared" si="68"/>
        <v>33202</v>
      </c>
      <c r="C4305" t="s">
        <v>1198</v>
      </c>
      <c r="D4305">
        <v>11.6</v>
      </c>
      <c r="E4305" t="s">
        <v>542</v>
      </c>
    </row>
    <row r="4306" spans="1:5" x14ac:dyDescent="0.25">
      <c r="A4306">
        <v>27320</v>
      </c>
      <c r="B4306" t="str">
        <f t="shared" si="68"/>
        <v>27320</v>
      </c>
      <c r="C4306" t="s">
        <v>1193</v>
      </c>
      <c r="D4306">
        <v>0</v>
      </c>
      <c r="E4306" t="s">
        <v>1114</v>
      </c>
    </row>
    <row r="4307" spans="1:5" x14ac:dyDescent="0.25">
      <c r="A4307">
        <v>27320</v>
      </c>
      <c r="B4307" t="str">
        <f t="shared" si="68"/>
        <v>27320</v>
      </c>
      <c r="C4307" t="s">
        <v>1194</v>
      </c>
      <c r="D4307">
        <v>2238.44</v>
      </c>
      <c r="E4307" t="s">
        <v>1114</v>
      </c>
    </row>
    <row r="4308" spans="1:5" x14ac:dyDescent="0.25">
      <c r="A4308">
        <v>27320</v>
      </c>
      <c r="B4308" t="str">
        <f t="shared" si="68"/>
        <v>27320</v>
      </c>
      <c r="C4308" t="s">
        <v>1195</v>
      </c>
      <c r="D4308">
        <v>0</v>
      </c>
      <c r="E4308" t="s">
        <v>1114</v>
      </c>
    </row>
    <row r="4309" spans="1:5" x14ac:dyDescent="0.25">
      <c r="A4309">
        <v>27320</v>
      </c>
      <c r="B4309" t="str">
        <f t="shared" si="68"/>
        <v>27320</v>
      </c>
      <c r="C4309" t="s">
        <v>1197</v>
      </c>
      <c r="D4309">
        <v>752.87</v>
      </c>
      <c r="E4309" t="s">
        <v>1114</v>
      </c>
    </row>
    <row r="4310" spans="1:5" x14ac:dyDescent="0.25">
      <c r="A4310">
        <v>27320</v>
      </c>
      <c r="B4310" t="str">
        <f t="shared" si="68"/>
        <v>27320</v>
      </c>
      <c r="C4310" t="s">
        <v>1202</v>
      </c>
      <c r="D4310">
        <v>0</v>
      </c>
      <c r="E4310" t="s">
        <v>1114</v>
      </c>
    </row>
    <row r="4311" spans="1:5" x14ac:dyDescent="0.25">
      <c r="A4311">
        <v>27320</v>
      </c>
      <c r="B4311" t="str">
        <f t="shared" si="68"/>
        <v>27320</v>
      </c>
      <c r="C4311" t="s">
        <v>1206</v>
      </c>
      <c r="D4311">
        <v>1606.6</v>
      </c>
      <c r="E4311" t="s">
        <v>1114</v>
      </c>
    </row>
    <row r="4312" spans="1:5" x14ac:dyDescent="0.25">
      <c r="A4312">
        <v>27320</v>
      </c>
      <c r="B4312" t="str">
        <f t="shared" si="68"/>
        <v>27320</v>
      </c>
      <c r="C4312" t="s">
        <v>1199</v>
      </c>
      <c r="D4312">
        <v>0</v>
      </c>
      <c r="E4312" t="s">
        <v>1114</v>
      </c>
    </row>
    <row r="4313" spans="1:5" x14ac:dyDescent="0.25">
      <c r="A4313">
        <v>27320</v>
      </c>
      <c r="B4313" t="str">
        <f t="shared" si="68"/>
        <v>27320</v>
      </c>
      <c r="C4313" t="s">
        <v>1203</v>
      </c>
      <c r="D4313">
        <v>1570.36</v>
      </c>
      <c r="E4313" t="s">
        <v>1114</v>
      </c>
    </row>
    <row r="4314" spans="1:5" x14ac:dyDescent="0.25">
      <c r="A4314">
        <v>27320</v>
      </c>
      <c r="B4314" t="str">
        <f t="shared" si="68"/>
        <v>27320</v>
      </c>
      <c r="C4314" t="s">
        <v>1200</v>
      </c>
      <c r="D4314">
        <v>0</v>
      </c>
      <c r="E4314" t="s">
        <v>1114</v>
      </c>
    </row>
    <row r="4315" spans="1:5" x14ac:dyDescent="0.25">
      <c r="A4315">
        <v>27320</v>
      </c>
      <c r="B4315" t="str">
        <f t="shared" si="68"/>
        <v>27320</v>
      </c>
      <c r="C4315" t="s">
        <v>1204</v>
      </c>
      <c r="D4315">
        <v>3062.23</v>
      </c>
      <c r="E4315" t="s">
        <v>1114</v>
      </c>
    </row>
    <row r="4316" spans="1:5" x14ac:dyDescent="0.25">
      <c r="A4316">
        <v>27320</v>
      </c>
      <c r="B4316" t="str">
        <f t="shared" si="68"/>
        <v>27320</v>
      </c>
      <c r="C4316" t="s">
        <v>1207</v>
      </c>
      <c r="D4316">
        <v>123.39</v>
      </c>
      <c r="E4316" t="s">
        <v>1114</v>
      </c>
    </row>
    <row r="4317" spans="1:5" x14ac:dyDescent="0.25">
      <c r="A4317">
        <v>27320</v>
      </c>
      <c r="B4317" t="str">
        <f t="shared" si="68"/>
        <v>27320</v>
      </c>
      <c r="C4317" t="s">
        <v>1208</v>
      </c>
      <c r="D4317">
        <v>638.67999999999995</v>
      </c>
      <c r="E4317" t="s">
        <v>1114</v>
      </c>
    </row>
    <row r="4318" spans="1:5" x14ac:dyDescent="0.25">
      <c r="A4318">
        <v>27320</v>
      </c>
      <c r="B4318" t="str">
        <f t="shared" si="68"/>
        <v>27320</v>
      </c>
      <c r="C4318" t="s">
        <v>1210</v>
      </c>
      <c r="D4318">
        <v>0</v>
      </c>
      <c r="E4318" t="s">
        <v>1114</v>
      </c>
    </row>
    <row r="4319" spans="1:5" x14ac:dyDescent="0.25">
      <c r="A4319">
        <v>27320</v>
      </c>
      <c r="B4319" t="str">
        <f t="shared" si="68"/>
        <v>27320</v>
      </c>
      <c r="C4319" t="s">
        <v>1212</v>
      </c>
      <c r="D4319">
        <v>0</v>
      </c>
      <c r="E4319" t="s">
        <v>1114</v>
      </c>
    </row>
    <row r="4320" spans="1:5" x14ac:dyDescent="0.25">
      <c r="A4320">
        <v>27320</v>
      </c>
      <c r="B4320" t="str">
        <f t="shared" si="68"/>
        <v>27320</v>
      </c>
      <c r="C4320" t="s">
        <v>1216</v>
      </c>
      <c r="D4320">
        <v>0</v>
      </c>
      <c r="E4320" t="s">
        <v>1114</v>
      </c>
    </row>
    <row r="4321" spans="1:5" x14ac:dyDescent="0.25">
      <c r="A4321">
        <v>27320</v>
      </c>
      <c r="B4321" t="str">
        <f t="shared" si="68"/>
        <v>27320</v>
      </c>
      <c r="C4321" t="s">
        <v>1198</v>
      </c>
      <c r="D4321">
        <v>695.4</v>
      </c>
      <c r="E4321" t="s">
        <v>1114</v>
      </c>
    </row>
    <row r="4322" spans="1:5" x14ac:dyDescent="0.25">
      <c r="A4322">
        <v>39201</v>
      </c>
      <c r="B4322" t="str">
        <f t="shared" si="68"/>
        <v>39201</v>
      </c>
      <c r="C4322" t="s">
        <v>1193</v>
      </c>
      <c r="D4322">
        <v>0</v>
      </c>
      <c r="E4322" t="s">
        <v>592</v>
      </c>
    </row>
    <row r="4323" spans="1:5" x14ac:dyDescent="0.25">
      <c r="A4323">
        <v>39201</v>
      </c>
      <c r="B4323" t="str">
        <f t="shared" si="68"/>
        <v>39201</v>
      </c>
      <c r="C4323" t="s">
        <v>1194</v>
      </c>
      <c r="D4323">
        <v>1267.4000000000001</v>
      </c>
      <c r="E4323" t="s">
        <v>592</v>
      </c>
    </row>
    <row r="4324" spans="1:5" x14ac:dyDescent="0.25">
      <c r="A4324">
        <v>39201</v>
      </c>
      <c r="B4324" t="str">
        <f t="shared" si="68"/>
        <v>39201</v>
      </c>
      <c r="C4324" t="s">
        <v>1195</v>
      </c>
      <c r="D4324">
        <v>0</v>
      </c>
      <c r="E4324" t="s">
        <v>592</v>
      </c>
    </row>
    <row r="4325" spans="1:5" x14ac:dyDescent="0.25">
      <c r="A4325">
        <v>39201</v>
      </c>
      <c r="B4325" t="str">
        <f t="shared" si="68"/>
        <v>39201</v>
      </c>
      <c r="C4325" t="s">
        <v>1197</v>
      </c>
      <c r="D4325">
        <v>432.6</v>
      </c>
      <c r="E4325" t="s">
        <v>592</v>
      </c>
    </row>
    <row r="4326" spans="1:5" x14ac:dyDescent="0.25">
      <c r="A4326">
        <v>39201</v>
      </c>
      <c r="B4326" t="str">
        <f t="shared" si="68"/>
        <v>39201</v>
      </c>
      <c r="C4326" t="s">
        <v>1202</v>
      </c>
      <c r="D4326">
        <v>0</v>
      </c>
      <c r="E4326" t="s">
        <v>592</v>
      </c>
    </row>
    <row r="4327" spans="1:5" x14ac:dyDescent="0.25">
      <c r="A4327">
        <v>39201</v>
      </c>
      <c r="B4327" t="str">
        <f t="shared" si="68"/>
        <v>39201</v>
      </c>
      <c r="C4327" t="s">
        <v>1206</v>
      </c>
      <c r="D4327">
        <v>901.8</v>
      </c>
      <c r="E4327" t="s">
        <v>592</v>
      </c>
    </row>
    <row r="4328" spans="1:5" x14ac:dyDescent="0.25">
      <c r="A4328">
        <v>39201</v>
      </c>
      <c r="B4328" t="str">
        <f t="shared" si="68"/>
        <v>39201</v>
      </c>
      <c r="C4328" t="s">
        <v>1199</v>
      </c>
      <c r="D4328">
        <v>0</v>
      </c>
      <c r="E4328" t="s">
        <v>592</v>
      </c>
    </row>
    <row r="4329" spans="1:5" x14ac:dyDescent="0.25">
      <c r="A4329">
        <v>39201</v>
      </c>
      <c r="B4329" t="str">
        <f t="shared" si="68"/>
        <v>39201</v>
      </c>
      <c r="C4329" t="s">
        <v>1203</v>
      </c>
      <c r="D4329">
        <v>918.28</v>
      </c>
      <c r="E4329" t="s">
        <v>592</v>
      </c>
    </row>
    <row r="4330" spans="1:5" x14ac:dyDescent="0.25">
      <c r="A4330">
        <v>39201</v>
      </c>
      <c r="B4330" t="str">
        <f t="shared" si="68"/>
        <v>39201</v>
      </c>
      <c r="C4330" t="s">
        <v>1200</v>
      </c>
      <c r="D4330">
        <v>0</v>
      </c>
      <c r="E4330" t="s">
        <v>592</v>
      </c>
    </row>
    <row r="4331" spans="1:5" x14ac:dyDescent="0.25">
      <c r="A4331">
        <v>39201</v>
      </c>
      <c r="B4331" t="str">
        <f t="shared" si="68"/>
        <v>39201</v>
      </c>
      <c r="C4331" t="s">
        <v>1204</v>
      </c>
      <c r="D4331">
        <v>1858.86</v>
      </c>
      <c r="E4331" t="s">
        <v>592</v>
      </c>
    </row>
    <row r="4332" spans="1:5" x14ac:dyDescent="0.25">
      <c r="A4332">
        <v>39201</v>
      </c>
      <c r="B4332" t="str">
        <f t="shared" si="68"/>
        <v>39201</v>
      </c>
      <c r="C4332" t="s">
        <v>1207</v>
      </c>
      <c r="D4332">
        <v>44.23</v>
      </c>
      <c r="E4332" t="s">
        <v>592</v>
      </c>
    </row>
    <row r="4333" spans="1:5" x14ac:dyDescent="0.25">
      <c r="A4333">
        <v>39201</v>
      </c>
      <c r="B4333" t="str">
        <f t="shared" si="68"/>
        <v>39201</v>
      </c>
      <c r="C4333" t="s">
        <v>1208</v>
      </c>
      <c r="D4333">
        <v>332.33</v>
      </c>
      <c r="E4333" t="s">
        <v>592</v>
      </c>
    </row>
    <row r="4334" spans="1:5" x14ac:dyDescent="0.25">
      <c r="A4334">
        <v>39201</v>
      </c>
      <c r="B4334" t="str">
        <f t="shared" si="68"/>
        <v>39201</v>
      </c>
      <c r="C4334" t="s">
        <v>1210</v>
      </c>
      <c r="D4334">
        <v>0</v>
      </c>
      <c r="E4334" t="s">
        <v>592</v>
      </c>
    </row>
    <row r="4335" spans="1:5" x14ac:dyDescent="0.25">
      <c r="A4335">
        <v>39201</v>
      </c>
      <c r="B4335" t="str">
        <f t="shared" si="68"/>
        <v>39201</v>
      </c>
      <c r="C4335" t="s">
        <v>1212</v>
      </c>
      <c r="D4335">
        <v>0</v>
      </c>
      <c r="E4335" t="s">
        <v>592</v>
      </c>
    </row>
    <row r="4336" spans="1:5" x14ac:dyDescent="0.25">
      <c r="A4336">
        <v>39201</v>
      </c>
      <c r="B4336" t="str">
        <f t="shared" si="68"/>
        <v>39201</v>
      </c>
      <c r="C4336" t="s">
        <v>1216</v>
      </c>
      <c r="D4336">
        <v>27.2</v>
      </c>
      <c r="E4336" t="s">
        <v>592</v>
      </c>
    </row>
    <row r="4337" spans="1:5" x14ac:dyDescent="0.25">
      <c r="A4337">
        <v>39201</v>
      </c>
      <c r="B4337" t="str">
        <f t="shared" si="68"/>
        <v>39201</v>
      </c>
      <c r="C4337" t="s">
        <v>1198</v>
      </c>
      <c r="D4337">
        <v>385.97</v>
      </c>
      <c r="E4337" t="s">
        <v>592</v>
      </c>
    </row>
    <row r="4338" spans="1:5" x14ac:dyDescent="0.25">
      <c r="A4338">
        <v>18902</v>
      </c>
      <c r="B4338" t="str">
        <f t="shared" si="68"/>
        <v>18902</v>
      </c>
      <c r="C4338" t="s">
        <v>1193</v>
      </c>
      <c r="D4338">
        <v>0</v>
      </c>
      <c r="E4338" t="s">
        <v>417</v>
      </c>
    </row>
    <row r="4339" spans="1:5" x14ac:dyDescent="0.25">
      <c r="A4339">
        <v>18902</v>
      </c>
      <c r="B4339" t="str">
        <f t="shared" si="68"/>
        <v>18902</v>
      </c>
      <c r="C4339" t="s">
        <v>1194</v>
      </c>
      <c r="D4339">
        <v>0</v>
      </c>
      <c r="E4339" t="s">
        <v>417</v>
      </c>
    </row>
    <row r="4340" spans="1:5" x14ac:dyDescent="0.25">
      <c r="A4340">
        <v>18902</v>
      </c>
      <c r="B4340" t="str">
        <f t="shared" si="68"/>
        <v>18902</v>
      </c>
      <c r="C4340" t="s">
        <v>1195</v>
      </c>
      <c r="D4340">
        <v>0</v>
      </c>
      <c r="E4340" t="s">
        <v>417</v>
      </c>
    </row>
    <row r="4341" spans="1:5" x14ac:dyDescent="0.25">
      <c r="A4341">
        <v>18902</v>
      </c>
      <c r="B4341" t="str">
        <f t="shared" si="68"/>
        <v>18902</v>
      </c>
      <c r="C4341" t="s">
        <v>1197</v>
      </c>
      <c r="D4341">
        <v>0</v>
      </c>
      <c r="E4341" t="s">
        <v>417</v>
      </c>
    </row>
    <row r="4342" spans="1:5" x14ac:dyDescent="0.25">
      <c r="A4342">
        <v>18902</v>
      </c>
      <c r="B4342" t="str">
        <f t="shared" si="68"/>
        <v>18902</v>
      </c>
      <c r="C4342" t="s">
        <v>1202</v>
      </c>
      <c r="D4342">
        <v>0</v>
      </c>
      <c r="E4342" t="s">
        <v>417</v>
      </c>
    </row>
    <row r="4343" spans="1:5" x14ac:dyDescent="0.25">
      <c r="A4343">
        <v>18902</v>
      </c>
      <c r="B4343" t="str">
        <f t="shared" si="68"/>
        <v>18902</v>
      </c>
      <c r="C4343" t="s">
        <v>1206</v>
      </c>
      <c r="D4343">
        <v>11.6</v>
      </c>
      <c r="E4343" t="s">
        <v>417</v>
      </c>
    </row>
    <row r="4344" spans="1:5" x14ac:dyDescent="0.25">
      <c r="A4344">
        <v>18902</v>
      </c>
      <c r="B4344" t="str">
        <f t="shared" si="68"/>
        <v>18902</v>
      </c>
      <c r="C4344" t="s">
        <v>1199</v>
      </c>
      <c r="D4344">
        <v>0</v>
      </c>
      <c r="E4344" t="s">
        <v>417</v>
      </c>
    </row>
    <row r="4345" spans="1:5" x14ac:dyDescent="0.25">
      <c r="A4345">
        <v>18902</v>
      </c>
      <c r="B4345" t="str">
        <f t="shared" si="68"/>
        <v>18902</v>
      </c>
      <c r="C4345" t="s">
        <v>1203</v>
      </c>
      <c r="D4345">
        <v>22</v>
      </c>
      <c r="E4345" t="s">
        <v>417</v>
      </c>
    </row>
    <row r="4346" spans="1:5" x14ac:dyDescent="0.25">
      <c r="A4346">
        <v>18902</v>
      </c>
      <c r="B4346" t="str">
        <f t="shared" si="68"/>
        <v>18902</v>
      </c>
      <c r="C4346" t="s">
        <v>1200</v>
      </c>
      <c r="D4346">
        <v>0</v>
      </c>
      <c r="E4346" t="s">
        <v>417</v>
      </c>
    </row>
    <row r="4347" spans="1:5" x14ac:dyDescent="0.25">
      <c r="A4347">
        <v>18902</v>
      </c>
      <c r="B4347" t="str">
        <f t="shared" si="68"/>
        <v>18902</v>
      </c>
      <c r="C4347" t="s">
        <v>1204</v>
      </c>
      <c r="D4347">
        <v>42.92</v>
      </c>
      <c r="E4347" t="s">
        <v>417</v>
      </c>
    </row>
    <row r="4348" spans="1:5" x14ac:dyDescent="0.25">
      <c r="A4348">
        <v>18902</v>
      </c>
      <c r="B4348" t="str">
        <f t="shared" si="68"/>
        <v>18902</v>
      </c>
      <c r="C4348" t="s">
        <v>1207</v>
      </c>
      <c r="D4348">
        <v>0.67</v>
      </c>
      <c r="E4348" t="s">
        <v>417</v>
      </c>
    </row>
    <row r="4349" spans="1:5" x14ac:dyDescent="0.25">
      <c r="A4349">
        <v>18902</v>
      </c>
      <c r="B4349" t="str">
        <f t="shared" si="68"/>
        <v>18902</v>
      </c>
      <c r="C4349" t="s">
        <v>1208</v>
      </c>
      <c r="D4349">
        <v>5.99</v>
      </c>
      <c r="E4349" t="s">
        <v>417</v>
      </c>
    </row>
    <row r="4350" spans="1:5" x14ac:dyDescent="0.25">
      <c r="A4350">
        <v>18902</v>
      </c>
      <c r="B4350" t="str">
        <f t="shared" si="68"/>
        <v>18902</v>
      </c>
      <c r="C4350" t="s">
        <v>1210</v>
      </c>
      <c r="D4350">
        <v>0</v>
      </c>
      <c r="E4350" t="s">
        <v>417</v>
      </c>
    </row>
    <row r="4351" spans="1:5" x14ac:dyDescent="0.25">
      <c r="A4351">
        <v>18902</v>
      </c>
      <c r="B4351" t="str">
        <f t="shared" si="68"/>
        <v>18902</v>
      </c>
      <c r="C4351" t="s">
        <v>1212</v>
      </c>
      <c r="D4351">
        <v>0</v>
      </c>
      <c r="E4351" t="s">
        <v>417</v>
      </c>
    </row>
    <row r="4352" spans="1:5" x14ac:dyDescent="0.25">
      <c r="A4352">
        <v>18902</v>
      </c>
      <c r="B4352" t="str">
        <f t="shared" si="68"/>
        <v>18902</v>
      </c>
      <c r="C4352" t="s">
        <v>1216</v>
      </c>
      <c r="D4352">
        <v>0</v>
      </c>
      <c r="E4352" t="s">
        <v>417</v>
      </c>
    </row>
    <row r="4353" spans="1:5" x14ac:dyDescent="0.25">
      <c r="A4353">
        <v>18902</v>
      </c>
      <c r="B4353" t="str">
        <f t="shared" si="68"/>
        <v>18902</v>
      </c>
      <c r="C4353" t="s">
        <v>1198</v>
      </c>
      <c r="D4353">
        <v>0</v>
      </c>
      <c r="E4353" t="s">
        <v>417</v>
      </c>
    </row>
    <row r="4354" spans="1:5" x14ac:dyDescent="0.25">
      <c r="A4354">
        <v>27010</v>
      </c>
      <c r="B4354" t="str">
        <f t="shared" si="68"/>
        <v>27010</v>
      </c>
      <c r="C4354" t="s">
        <v>1193</v>
      </c>
      <c r="D4354">
        <v>0</v>
      </c>
      <c r="E4354" t="s">
        <v>481</v>
      </c>
    </row>
    <row r="4355" spans="1:5" x14ac:dyDescent="0.25">
      <c r="A4355">
        <v>27010</v>
      </c>
      <c r="B4355" t="str">
        <f t="shared" ref="B4355:B4418" si="69">TEXT(A4355,"00000")</f>
        <v>27010</v>
      </c>
      <c r="C4355" t="s">
        <v>1194</v>
      </c>
      <c r="D4355">
        <v>6134.54</v>
      </c>
      <c r="E4355" t="s">
        <v>481</v>
      </c>
    </row>
    <row r="4356" spans="1:5" x14ac:dyDescent="0.25">
      <c r="A4356">
        <v>27010</v>
      </c>
      <c r="B4356" t="str">
        <f t="shared" si="69"/>
        <v>27010</v>
      </c>
      <c r="C4356" t="s">
        <v>1195</v>
      </c>
      <c r="D4356">
        <v>0</v>
      </c>
      <c r="E4356" t="s">
        <v>481</v>
      </c>
    </row>
    <row r="4357" spans="1:5" x14ac:dyDescent="0.25">
      <c r="A4357">
        <v>27010</v>
      </c>
      <c r="B4357" t="str">
        <f t="shared" si="69"/>
        <v>27010</v>
      </c>
      <c r="C4357" t="s">
        <v>1197</v>
      </c>
      <c r="D4357">
        <v>1988.66</v>
      </c>
      <c r="E4357" t="s">
        <v>481</v>
      </c>
    </row>
    <row r="4358" spans="1:5" x14ac:dyDescent="0.25">
      <c r="A4358">
        <v>27010</v>
      </c>
      <c r="B4358" t="str">
        <f t="shared" si="69"/>
        <v>27010</v>
      </c>
      <c r="C4358" t="s">
        <v>1202</v>
      </c>
      <c r="D4358">
        <v>0</v>
      </c>
      <c r="E4358" t="s">
        <v>481</v>
      </c>
    </row>
    <row r="4359" spans="1:5" x14ac:dyDescent="0.25">
      <c r="A4359">
        <v>27010</v>
      </c>
      <c r="B4359" t="str">
        <f t="shared" si="69"/>
        <v>27010</v>
      </c>
      <c r="C4359" t="s">
        <v>1206</v>
      </c>
      <c r="D4359">
        <v>4062.05</v>
      </c>
      <c r="E4359" t="s">
        <v>481</v>
      </c>
    </row>
    <row r="4360" spans="1:5" x14ac:dyDescent="0.25">
      <c r="A4360">
        <v>27010</v>
      </c>
      <c r="B4360" t="str">
        <f t="shared" si="69"/>
        <v>27010</v>
      </c>
      <c r="C4360" t="s">
        <v>1199</v>
      </c>
      <c r="D4360">
        <v>0</v>
      </c>
      <c r="E4360" t="s">
        <v>481</v>
      </c>
    </row>
    <row r="4361" spans="1:5" x14ac:dyDescent="0.25">
      <c r="A4361">
        <v>27010</v>
      </c>
      <c r="B4361" t="str">
        <f t="shared" si="69"/>
        <v>27010</v>
      </c>
      <c r="C4361" t="s">
        <v>1203</v>
      </c>
      <c r="D4361">
        <v>3806.29</v>
      </c>
      <c r="E4361" t="s">
        <v>481</v>
      </c>
    </row>
    <row r="4362" spans="1:5" x14ac:dyDescent="0.25">
      <c r="A4362">
        <v>27010</v>
      </c>
      <c r="B4362" t="str">
        <f t="shared" si="69"/>
        <v>27010</v>
      </c>
      <c r="C4362" t="s">
        <v>1200</v>
      </c>
      <c r="D4362">
        <v>0</v>
      </c>
      <c r="E4362" t="s">
        <v>481</v>
      </c>
    </row>
    <row r="4363" spans="1:5" x14ac:dyDescent="0.25">
      <c r="A4363">
        <v>27010</v>
      </c>
      <c r="B4363" t="str">
        <f t="shared" si="69"/>
        <v>27010</v>
      </c>
      <c r="C4363" t="s">
        <v>1204</v>
      </c>
      <c r="D4363">
        <v>7555.69</v>
      </c>
      <c r="E4363" t="s">
        <v>481</v>
      </c>
    </row>
    <row r="4364" spans="1:5" x14ac:dyDescent="0.25">
      <c r="A4364">
        <v>27010</v>
      </c>
      <c r="B4364" t="str">
        <f t="shared" si="69"/>
        <v>27010</v>
      </c>
      <c r="C4364" t="s">
        <v>1207</v>
      </c>
      <c r="D4364">
        <v>296.05</v>
      </c>
      <c r="E4364" t="s">
        <v>481</v>
      </c>
    </row>
    <row r="4365" spans="1:5" x14ac:dyDescent="0.25">
      <c r="A4365">
        <v>27010</v>
      </c>
      <c r="B4365" t="str">
        <f t="shared" si="69"/>
        <v>27010</v>
      </c>
      <c r="C4365" t="s">
        <v>1208</v>
      </c>
      <c r="D4365">
        <v>1568.73</v>
      </c>
      <c r="E4365" t="s">
        <v>481</v>
      </c>
    </row>
    <row r="4366" spans="1:5" x14ac:dyDescent="0.25">
      <c r="A4366">
        <v>27010</v>
      </c>
      <c r="B4366" t="str">
        <f t="shared" si="69"/>
        <v>27010</v>
      </c>
      <c r="C4366" t="s">
        <v>1210</v>
      </c>
      <c r="D4366">
        <v>0</v>
      </c>
      <c r="E4366" t="s">
        <v>481</v>
      </c>
    </row>
    <row r="4367" spans="1:5" x14ac:dyDescent="0.25">
      <c r="A4367">
        <v>27010</v>
      </c>
      <c r="B4367" t="str">
        <f t="shared" si="69"/>
        <v>27010</v>
      </c>
      <c r="C4367" t="s">
        <v>1212</v>
      </c>
      <c r="D4367">
        <v>0</v>
      </c>
      <c r="E4367" t="s">
        <v>481</v>
      </c>
    </row>
    <row r="4368" spans="1:5" x14ac:dyDescent="0.25">
      <c r="A4368">
        <v>27010</v>
      </c>
      <c r="B4368" t="str">
        <f t="shared" si="69"/>
        <v>27010</v>
      </c>
      <c r="C4368" t="s">
        <v>1216</v>
      </c>
      <c r="D4368">
        <v>621.13</v>
      </c>
      <c r="E4368" t="s">
        <v>481</v>
      </c>
    </row>
    <row r="4369" spans="1:5" x14ac:dyDescent="0.25">
      <c r="A4369">
        <v>27010</v>
      </c>
      <c r="B4369" t="str">
        <f t="shared" si="69"/>
        <v>27010</v>
      </c>
      <c r="C4369" t="s">
        <v>1198</v>
      </c>
      <c r="D4369">
        <v>1819.89</v>
      </c>
      <c r="E4369" t="s">
        <v>481</v>
      </c>
    </row>
    <row r="4370" spans="1:5" x14ac:dyDescent="0.25">
      <c r="A4370">
        <v>14077</v>
      </c>
      <c r="B4370" t="str">
        <f t="shared" si="69"/>
        <v>14077</v>
      </c>
      <c r="C4370" t="s">
        <v>1193</v>
      </c>
      <c r="D4370">
        <v>0</v>
      </c>
      <c r="E4370" t="s">
        <v>377</v>
      </c>
    </row>
    <row r="4371" spans="1:5" x14ac:dyDescent="0.25">
      <c r="A4371">
        <v>14077</v>
      </c>
      <c r="B4371" t="str">
        <f t="shared" si="69"/>
        <v>14077</v>
      </c>
      <c r="C4371" t="s">
        <v>1194</v>
      </c>
      <c r="D4371">
        <v>44</v>
      </c>
      <c r="E4371" t="s">
        <v>377</v>
      </c>
    </row>
    <row r="4372" spans="1:5" x14ac:dyDescent="0.25">
      <c r="A4372">
        <v>14077</v>
      </c>
      <c r="B4372" t="str">
        <f t="shared" si="69"/>
        <v>14077</v>
      </c>
      <c r="C4372" t="s">
        <v>1195</v>
      </c>
      <c r="D4372">
        <v>0</v>
      </c>
      <c r="E4372" t="s">
        <v>377</v>
      </c>
    </row>
    <row r="4373" spans="1:5" x14ac:dyDescent="0.25">
      <c r="A4373">
        <v>14077</v>
      </c>
      <c r="B4373" t="str">
        <f t="shared" si="69"/>
        <v>14077</v>
      </c>
      <c r="C4373" t="s">
        <v>1197</v>
      </c>
      <c r="D4373">
        <v>14</v>
      </c>
      <c r="E4373" t="s">
        <v>377</v>
      </c>
    </row>
    <row r="4374" spans="1:5" x14ac:dyDescent="0.25">
      <c r="A4374">
        <v>14077</v>
      </c>
      <c r="B4374" t="str">
        <f t="shared" si="69"/>
        <v>14077</v>
      </c>
      <c r="C4374" t="s">
        <v>1202</v>
      </c>
      <c r="D4374">
        <v>0</v>
      </c>
      <c r="E4374" t="s">
        <v>377</v>
      </c>
    </row>
    <row r="4375" spans="1:5" x14ac:dyDescent="0.25">
      <c r="A4375">
        <v>14077</v>
      </c>
      <c r="B4375" t="str">
        <f t="shared" si="69"/>
        <v>14077</v>
      </c>
      <c r="C4375" t="s">
        <v>1206</v>
      </c>
      <c r="D4375">
        <v>21.2</v>
      </c>
      <c r="E4375" t="s">
        <v>377</v>
      </c>
    </row>
    <row r="4376" spans="1:5" x14ac:dyDescent="0.25">
      <c r="A4376">
        <v>14077</v>
      </c>
      <c r="B4376" t="str">
        <f t="shared" si="69"/>
        <v>14077</v>
      </c>
      <c r="C4376" t="s">
        <v>1199</v>
      </c>
      <c r="D4376">
        <v>0</v>
      </c>
      <c r="E4376" t="s">
        <v>377</v>
      </c>
    </row>
    <row r="4377" spans="1:5" x14ac:dyDescent="0.25">
      <c r="A4377">
        <v>14077</v>
      </c>
      <c r="B4377" t="str">
        <f t="shared" si="69"/>
        <v>14077</v>
      </c>
      <c r="C4377" t="s">
        <v>1203</v>
      </c>
      <c r="D4377">
        <v>36.200000000000003</v>
      </c>
      <c r="E4377" t="s">
        <v>377</v>
      </c>
    </row>
    <row r="4378" spans="1:5" x14ac:dyDescent="0.25">
      <c r="A4378">
        <v>14077</v>
      </c>
      <c r="B4378" t="str">
        <f t="shared" si="69"/>
        <v>14077</v>
      </c>
      <c r="C4378" t="s">
        <v>1200</v>
      </c>
      <c r="D4378">
        <v>0</v>
      </c>
      <c r="E4378" t="s">
        <v>377</v>
      </c>
    </row>
    <row r="4379" spans="1:5" x14ac:dyDescent="0.25">
      <c r="A4379">
        <v>14077</v>
      </c>
      <c r="B4379" t="str">
        <f t="shared" si="69"/>
        <v>14077</v>
      </c>
      <c r="C4379" t="s">
        <v>1204</v>
      </c>
      <c r="D4379">
        <v>60.1</v>
      </c>
      <c r="E4379" t="s">
        <v>377</v>
      </c>
    </row>
    <row r="4380" spans="1:5" x14ac:dyDescent="0.25">
      <c r="A4380">
        <v>14077</v>
      </c>
      <c r="B4380" t="str">
        <f t="shared" si="69"/>
        <v>14077</v>
      </c>
      <c r="C4380" t="s">
        <v>1207</v>
      </c>
      <c r="D4380">
        <v>0</v>
      </c>
      <c r="E4380" t="s">
        <v>377</v>
      </c>
    </row>
    <row r="4381" spans="1:5" x14ac:dyDescent="0.25">
      <c r="A4381">
        <v>14077</v>
      </c>
      <c r="B4381" t="str">
        <f t="shared" si="69"/>
        <v>14077</v>
      </c>
      <c r="C4381" t="s">
        <v>1208</v>
      </c>
      <c r="D4381">
        <v>4.28</v>
      </c>
      <c r="E4381" t="s">
        <v>377</v>
      </c>
    </row>
    <row r="4382" spans="1:5" x14ac:dyDescent="0.25">
      <c r="A4382">
        <v>14077</v>
      </c>
      <c r="B4382" t="str">
        <f t="shared" si="69"/>
        <v>14077</v>
      </c>
      <c r="C4382" t="s">
        <v>1210</v>
      </c>
      <c r="D4382">
        <v>0</v>
      </c>
      <c r="E4382" t="s">
        <v>377</v>
      </c>
    </row>
    <row r="4383" spans="1:5" x14ac:dyDescent="0.25">
      <c r="A4383">
        <v>14077</v>
      </c>
      <c r="B4383" t="str">
        <f t="shared" si="69"/>
        <v>14077</v>
      </c>
      <c r="C4383" t="s">
        <v>1212</v>
      </c>
      <c r="D4383">
        <v>0</v>
      </c>
      <c r="E4383" t="s">
        <v>377</v>
      </c>
    </row>
    <row r="4384" spans="1:5" x14ac:dyDescent="0.25">
      <c r="A4384">
        <v>14077</v>
      </c>
      <c r="B4384" t="str">
        <f t="shared" si="69"/>
        <v>14077</v>
      </c>
      <c r="C4384" t="s">
        <v>1216</v>
      </c>
      <c r="D4384">
        <v>0</v>
      </c>
      <c r="E4384" t="s">
        <v>377</v>
      </c>
    </row>
    <row r="4385" spans="1:5" x14ac:dyDescent="0.25">
      <c r="A4385">
        <v>14077</v>
      </c>
      <c r="B4385" t="str">
        <f t="shared" si="69"/>
        <v>14077</v>
      </c>
      <c r="C4385" t="s">
        <v>1198</v>
      </c>
      <c r="D4385">
        <v>11</v>
      </c>
      <c r="E4385" t="s">
        <v>377</v>
      </c>
    </row>
    <row r="4386" spans="1:5" x14ac:dyDescent="0.25">
      <c r="A4386">
        <v>17409</v>
      </c>
      <c r="B4386" t="str">
        <f t="shared" si="69"/>
        <v>17409</v>
      </c>
      <c r="C4386" t="s">
        <v>1193</v>
      </c>
      <c r="D4386">
        <v>0</v>
      </c>
      <c r="E4386" t="s">
        <v>404</v>
      </c>
    </row>
    <row r="4387" spans="1:5" x14ac:dyDescent="0.25">
      <c r="A4387">
        <v>17409</v>
      </c>
      <c r="B4387" t="str">
        <f t="shared" si="69"/>
        <v>17409</v>
      </c>
      <c r="C4387" t="s">
        <v>1194</v>
      </c>
      <c r="D4387">
        <v>1990.52</v>
      </c>
      <c r="E4387" t="s">
        <v>404</v>
      </c>
    </row>
    <row r="4388" spans="1:5" x14ac:dyDescent="0.25">
      <c r="A4388">
        <v>17409</v>
      </c>
      <c r="B4388" t="str">
        <f t="shared" si="69"/>
        <v>17409</v>
      </c>
      <c r="C4388" t="s">
        <v>1195</v>
      </c>
      <c r="D4388">
        <v>0</v>
      </c>
      <c r="E4388" t="s">
        <v>404</v>
      </c>
    </row>
    <row r="4389" spans="1:5" x14ac:dyDescent="0.25">
      <c r="A4389">
        <v>17409</v>
      </c>
      <c r="B4389" t="str">
        <f t="shared" si="69"/>
        <v>17409</v>
      </c>
      <c r="C4389" t="s">
        <v>1197</v>
      </c>
      <c r="D4389">
        <v>716.82</v>
      </c>
      <c r="E4389" t="s">
        <v>404</v>
      </c>
    </row>
    <row r="4390" spans="1:5" x14ac:dyDescent="0.25">
      <c r="A4390">
        <v>17409</v>
      </c>
      <c r="B4390" t="str">
        <f t="shared" si="69"/>
        <v>17409</v>
      </c>
      <c r="C4390" t="s">
        <v>1202</v>
      </c>
      <c r="D4390">
        <v>0</v>
      </c>
      <c r="E4390" t="s">
        <v>404</v>
      </c>
    </row>
    <row r="4391" spans="1:5" x14ac:dyDescent="0.25">
      <c r="A4391">
        <v>17409</v>
      </c>
      <c r="B4391" t="str">
        <f t="shared" si="69"/>
        <v>17409</v>
      </c>
      <c r="C4391" t="s">
        <v>1206</v>
      </c>
      <c r="D4391">
        <v>1425.54</v>
      </c>
      <c r="E4391" t="s">
        <v>404</v>
      </c>
    </row>
    <row r="4392" spans="1:5" x14ac:dyDescent="0.25">
      <c r="A4392">
        <v>17409</v>
      </c>
      <c r="B4392" t="str">
        <f t="shared" si="69"/>
        <v>17409</v>
      </c>
      <c r="C4392" t="s">
        <v>1199</v>
      </c>
      <c r="D4392">
        <v>0</v>
      </c>
      <c r="E4392" t="s">
        <v>404</v>
      </c>
    </row>
    <row r="4393" spans="1:5" x14ac:dyDescent="0.25">
      <c r="A4393">
        <v>17409</v>
      </c>
      <c r="B4393" t="str">
        <f t="shared" si="69"/>
        <v>17409</v>
      </c>
      <c r="C4393" t="s">
        <v>1203</v>
      </c>
      <c r="D4393">
        <v>1462.41</v>
      </c>
      <c r="E4393" t="s">
        <v>404</v>
      </c>
    </row>
    <row r="4394" spans="1:5" x14ac:dyDescent="0.25">
      <c r="A4394">
        <v>17409</v>
      </c>
      <c r="B4394" t="str">
        <f t="shared" si="69"/>
        <v>17409</v>
      </c>
      <c r="C4394" t="s">
        <v>1200</v>
      </c>
      <c r="D4394">
        <v>0</v>
      </c>
      <c r="E4394" t="s">
        <v>404</v>
      </c>
    </row>
    <row r="4395" spans="1:5" x14ac:dyDescent="0.25">
      <c r="A4395">
        <v>17409</v>
      </c>
      <c r="B4395" t="str">
        <f t="shared" si="69"/>
        <v>17409</v>
      </c>
      <c r="C4395" t="s">
        <v>1204</v>
      </c>
      <c r="D4395">
        <v>2497.0100000000002</v>
      </c>
      <c r="E4395" t="s">
        <v>404</v>
      </c>
    </row>
    <row r="4396" spans="1:5" x14ac:dyDescent="0.25">
      <c r="A4396">
        <v>17409</v>
      </c>
      <c r="B4396" t="str">
        <f t="shared" si="69"/>
        <v>17409</v>
      </c>
      <c r="C4396" t="s">
        <v>1207</v>
      </c>
      <c r="D4396">
        <v>38.25</v>
      </c>
      <c r="E4396" t="s">
        <v>404</v>
      </c>
    </row>
    <row r="4397" spans="1:5" x14ac:dyDescent="0.25">
      <c r="A4397">
        <v>17409</v>
      </c>
      <c r="B4397" t="str">
        <f t="shared" si="69"/>
        <v>17409</v>
      </c>
      <c r="C4397" t="s">
        <v>1208</v>
      </c>
      <c r="D4397">
        <v>513.20000000000005</v>
      </c>
      <c r="E4397" t="s">
        <v>404</v>
      </c>
    </row>
    <row r="4398" spans="1:5" x14ac:dyDescent="0.25">
      <c r="A4398">
        <v>17409</v>
      </c>
      <c r="B4398" t="str">
        <f t="shared" si="69"/>
        <v>17409</v>
      </c>
      <c r="C4398" t="s">
        <v>1210</v>
      </c>
      <c r="D4398">
        <v>0</v>
      </c>
      <c r="E4398" t="s">
        <v>404</v>
      </c>
    </row>
    <row r="4399" spans="1:5" x14ac:dyDescent="0.25">
      <c r="A4399">
        <v>17409</v>
      </c>
      <c r="B4399" t="str">
        <f t="shared" si="69"/>
        <v>17409</v>
      </c>
      <c r="C4399" t="s">
        <v>1212</v>
      </c>
      <c r="D4399">
        <v>0</v>
      </c>
      <c r="E4399" t="s">
        <v>404</v>
      </c>
    </row>
    <row r="4400" spans="1:5" x14ac:dyDescent="0.25">
      <c r="A4400">
        <v>17409</v>
      </c>
      <c r="B4400" t="str">
        <f t="shared" si="69"/>
        <v>17409</v>
      </c>
      <c r="C4400" t="s">
        <v>1216</v>
      </c>
      <c r="D4400">
        <v>0</v>
      </c>
      <c r="E4400" t="s">
        <v>404</v>
      </c>
    </row>
    <row r="4401" spans="1:5" x14ac:dyDescent="0.25">
      <c r="A4401">
        <v>17409</v>
      </c>
      <c r="B4401" t="str">
        <f t="shared" si="69"/>
        <v>17409</v>
      </c>
      <c r="C4401" t="s">
        <v>1198</v>
      </c>
      <c r="D4401">
        <v>508.2</v>
      </c>
      <c r="E4401" t="s">
        <v>404</v>
      </c>
    </row>
    <row r="4402" spans="1:5" x14ac:dyDescent="0.25">
      <c r="A4402">
        <v>38265</v>
      </c>
      <c r="B4402" t="str">
        <f t="shared" si="69"/>
        <v>38265</v>
      </c>
      <c r="C4402" t="s">
        <v>1193</v>
      </c>
      <c r="D4402">
        <v>0</v>
      </c>
      <c r="E4402" t="s">
        <v>574</v>
      </c>
    </row>
    <row r="4403" spans="1:5" x14ac:dyDescent="0.25">
      <c r="A4403">
        <v>38265</v>
      </c>
      <c r="B4403" t="str">
        <f t="shared" si="69"/>
        <v>38265</v>
      </c>
      <c r="C4403" t="s">
        <v>1194</v>
      </c>
      <c r="D4403">
        <v>31.59</v>
      </c>
      <c r="E4403" t="s">
        <v>574</v>
      </c>
    </row>
    <row r="4404" spans="1:5" x14ac:dyDescent="0.25">
      <c r="A4404">
        <v>38265</v>
      </c>
      <c r="B4404" t="str">
        <f t="shared" si="69"/>
        <v>38265</v>
      </c>
      <c r="C4404" t="s">
        <v>1195</v>
      </c>
      <c r="D4404">
        <v>0</v>
      </c>
      <c r="E4404" t="s">
        <v>574</v>
      </c>
    </row>
    <row r="4405" spans="1:5" x14ac:dyDescent="0.25">
      <c r="A4405">
        <v>38265</v>
      </c>
      <c r="B4405" t="str">
        <f t="shared" si="69"/>
        <v>38265</v>
      </c>
      <c r="C4405" t="s">
        <v>1197</v>
      </c>
      <c r="D4405">
        <v>15.26</v>
      </c>
      <c r="E4405" t="s">
        <v>574</v>
      </c>
    </row>
    <row r="4406" spans="1:5" x14ac:dyDescent="0.25">
      <c r="A4406">
        <v>38265</v>
      </c>
      <c r="B4406" t="str">
        <f t="shared" si="69"/>
        <v>38265</v>
      </c>
      <c r="C4406" t="s">
        <v>1202</v>
      </c>
      <c r="D4406">
        <v>0</v>
      </c>
      <c r="E4406" t="s">
        <v>574</v>
      </c>
    </row>
    <row r="4407" spans="1:5" x14ac:dyDescent="0.25">
      <c r="A4407">
        <v>38265</v>
      </c>
      <c r="B4407" t="str">
        <f t="shared" si="69"/>
        <v>38265</v>
      </c>
      <c r="C4407" t="s">
        <v>1206</v>
      </c>
      <c r="D4407">
        <v>27.8</v>
      </c>
      <c r="E4407" t="s">
        <v>574</v>
      </c>
    </row>
    <row r="4408" spans="1:5" x14ac:dyDescent="0.25">
      <c r="A4408">
        <v>38265</v>
      </c>
      <c r="B4408" t="str">
        <f t="shared" si="69"/>
        <v>38265</v>
      </c>
      <c r="C4408" t="s">
        <v>1199</v>
      </c>
      <c r="D4408">
        <v>0</v>
      </c>
      <c r="E4408" t="s">
        <v>574</v>
      </c>
    </row>
    <row r="4409" spans="1:5" x14ac:dyDescent="0.25">
      <c r="A4409">
        <v>38265</v>
      </c>
      <c r="B4409" t="str">
        <f t="shared" si="69"/>
        <v>38265</v>
      </c>
      <c r="C4409" t="s">
        <v>1203</v>
      </c>
      <c r="D4409">
        <v>41.14</v>
      </c>
      <c r="E4409" t="s">
        <v>574</v>
      </c>
    </row>
    <row r="4410" spans="1:5" x14ac:dyDescent="0.25">
      <c r="A4410">
        <v>38265</v>
      </c>
      <c r="B4410" t="str">
        <f t="shared" si="69"/>
        <v>38265</v>
      </c>
      <c r="C4410" t="s">
        <v>1200</v>
      </c>
      <c r="D4410">
        <v>0</v>
      </c>
      <c r="E4410" t="s">
        <v>574</v>
      </c>
    </row>
    <row r="4411" spans="1:5" x14ac:dyDescent="0.25">
      <c r="A4411">
        <v>38265</v>
      </c>
      <c r="B4411" t="str">
        <f t="shared" si="69"/>
        <v>38265</v>
      </c>
      <c r="C4411" t="s">
        <v>1204</v>
      </c>
      <c r="D4411">
        <v>47.48</v>
      </c>
      <c r="E4411" t="s">
        <v>574</v>
      </c>
    </row>
    <row r="4412" spans="1:5" x14ac:dyDescent="0.25">
      <c r="A4412">
        <v>38265</v>
      </c>
      <c r="B4412" t="str">
        <f t="shared" si="69"/>
        <v>38265</v>
      </c>
      <c r="C4412" t="s">
        <v>1207</v>
      </c>
      <c r="D4412">
        <v>6.9</v>
      </c>
      <c r="E4412" t="s">
        <v>574</v>
      </c>
    </row>
    <row r="4413" spans="1:5" x14ac:dyDescent="0.25">
      <c r="A4413">
        <v>38265</v>
      </c>
      <c r="B4413" t="str">
        <f t="shared" si="69"/>
        <v>38265</v>
      </c>
      <c r="C4413" t="s">
        <v>1208</v>
      </c>
      <c r="D4413">
        <v>22.41</v>
      </c>
      <c r="E4413" t="s">
        <v>574</v>
      </c>
    </row>
    <row r="4414" spans="1:5" x14ac:dyDescent="0.25">
      <c r="A4414">
        <v>38265</v>
      </c>
      <c r="B4414" t="str">
        <f t="shared" si="69"/>
        <v>38265</v>
      </c>
      <c r="C4414" t="s">
        <v>1210</v>
      </c>
      <c r="D4414">
        <v>0</v>
      </c>
      <c r="E4414" t="s">
        <v>574</v>
      </c>
    </row>
    <row r="4415" spans="1:5" x14ac:dyDescent="0.25">
      <c r="A4415">
        <v>38265</v>
      </c>
      <c r="B4415" t="str">
        <f t="shared" si="69"/>
        <v>38265</v>
      </c>
      <c r="C4415" t="s">
        <v>1212</v>
      </c>
      <c r="D4415">
        <v>0</v>
      </c>
      <c r="E4415" t="s">
        <v>574</v>
      </c>
    </row>
    <row r="4416" spans="1:5" x14ac:dyDescent="0.25">
      <c r="A4416">
        <v>38265</v>
      </c>
      <c r="B4416" t="str">
        <f t="shared" si="69"/>
        <v>38265</v>
      </c>
      <c r="C4416" t="s">
        <v>1216</v>
      </c>
      <c r="D4416">
        <v>12.4</v>
      </c>
      <c r="E4416" t="s">
        <v>574</v>
      </c>
    </row>
    <row r="4417" spans="1:5" x14ac:dyDescent="0.25">
      <c r="A4417">
        <v>38265</v>
      </c>
      <c r="B4417" t="str">
        <f t="shared" si="69"/>
        <v>38265</v>
      </c>
      <c r="C4417" t="s">
        <v>1198</v>
      </c>
      <c r="D4417">
        <v>10.6</v>
      </c>
      <c r="E4417" t="s">
        <v>574</v>
      </c>
    </row>
    <row r="4418" spans="1:5" x14ac:dyDescent="0.25">
      <c r="A4418">
        <v>34402</v>
      </c>
      <c r="B4418" t="str">
        <f t="shared" si="69"/>
        <v>34402</v>
      </c>
      <c r="C4418" t="s">
        <v>1193</v>
      </c>
      <c r="D4418">
        <v>0</v>
      </c>
      <c r="E4418" t="s">
        <v>555</v>
      </c>
    </row>
    <row r="4419" spans="1:5" x14ac:dyDescent="0.25">
      <c r="A4419">
        <v>34402</v>
      </c>
      <c r="B4419" t="str">
        <f t="shared" ref="B4419:B4482" si="70">TEXT(A4419,"00000")</f>
        <v>34402</v>
      </c>
      <c r="C4419" t="s">
        <v>1194</v>
      </c>
      <c r="D4419">
        <v>292.41000000000003</v>
      </c>
      <c r="E4419" t="s">
        <v>555</v>
      </c>
    </row>
    <row r="4420" spans="1:5" x14ac:dyDescent="0.25">
      <c r="A4420">
        <v>34402</v>
      </c>
      <c r="B4420" t="str">
        <f t="shared" si="70"/>
        <v>34402</v>
      </c>
      <c r="C4420" t="s">
        <v>1195</v>
      </c>
      <c r="D4420">
        <v>0</v>
      </c>
      <c r="E4420" t="s">
        <v>555</v>
      </c>
    </row>
    <row r="4421" spans="1:5" x14ac:dyDescent="0.25">
      <c r="A4421">
        <v>34402</v>
      </c>
      <c r="B4421" t="str">
        <f t="shared" si="70"/>
        <v>34402</v>
      </c>
      <c r="C4421" t="s">
        <v>1197</v>
      </c>
      <c r="D4421">
        <v>84.8</v>
      </c>
      <c r="E4421" t="s">
        <v>555</v>
      </c>
    </row>
    <row r="4422" spans="1:5" x14ac:dyDescent="0.25">
      <c r="A4422">
        <v>34402</v>
      </c>
      <c r="B4422" t="str">
        <f t="shared" si="70"/>
        <v>34402</v>
      </c>
      <c r="C4422" t="s">
        <v>1202</v>
      </c>
      <c r="D4422">
        <v>0</v>
      </c>
      <c r="E4422" t="s">
        <v>555</v>
      </c>
    </row>
    <row r="4423" spans="1:5" x14ac:dyDescent="0.25">
      <c r="A4423">
        <v>34402</v>
      </c>
      <c r="B4423" t="str">
        <f t="shared" si="70"/>
        <v>34402</v>
      </c>
      <c r="C4423" t="s">
        <v>1206</v>
      </c>
      <c r="D4423">
        <v>189.02</v>
      </c>
      <c r="E4423" t="s">
        <v>555</v>
      </c>
    </row>
    <row r="4424" spans="1:5" x14ac:dyDescent="0.25">
      <c r="A4424">
        <v>34402</v>
      </c>
      <c r="B4424" t="str">
        <f t="shared" si="70"/>
        <v>34402</v>
      </c>
      <c r="C4424" t="s">
        <v>1199</v>
      </c>
      <c r="D4424">
        <v>0</v>
      </c>
      <c r="E4424" t="s">
        <v>555</v>
      </c>
    </row>
    <row r="4425" spans="1:5" x14ac:dyDescent="0.25">
      <c r="A4425">
        <v>34402</v>
      </c>
      <c r="B4425" t="str">
        <f t="shared" si="70"/>
        <v>34402</v>
      </c>
      <c r="C4425" t="s">
        <v>1203</v>
      </c>
      <c r="D4425">
        <v>208.8</v>
      </c>
      <c r="E4425" t="s">
        <v>555</v>
      </c>
    </row>
    <row r="4426" spans="1:5" x14ac:dyDescent="0.25">
      <c r="A4426">
        <v>34402</v>
      </c>
      <c r="B4426" t="str">
        <f t="shared" si="70"/>
        <v>34402</v>
      </c>
      <c r="C4426" t="s">
        <v>1200</v>
      </c>
      <c r="D4426">
        <v>0</v>
      </c>
      <c r="E4426" t="s">
        <v>555</v>
      </c>
    </row>
    <row r="4427" spans="1:5" x14ac:dyDescent="0.25">
      <c r="A4427">
        <v>34402</v>
      </c>
      <c r="B4427" t="str">
        <f t="shared" si="70"/>
        <v>34402</v>
      </c>
      <c r="C4427" t="s">
        <v>1204</v>
      </c>
      <c r="D4427">
        <v>342.22</v>
      </c>
      <c r="E4427" t="s">
        <v>555</v>
      </c>
    </row>
    <row r="4428" spans="1:5" x14ac:dyDescent="0.25">
      <c r="A4428">
        <v>34402</v>
      </c>
      <c r="B4428" t="str">
        <f t="shared" si="70"/>
        <v>34402</v>
      </c>
      <c r="C4428" t="s">
        <v>1207</v>
      </c>
      <c r="D4428">
        <v>28.67</v>
      </c>
      <c r="E4428" t="s">
        <v>555</v>
      </c>
    </row>
    <row r="4429" spans="1:5" x14ac:dyDescent="0.25">
      <c r="A4429">
        <v>34402</v>
      </c>
      <c r="B4429" t="str">
        <f t="shared" si="70"/>
        <v>34402</v>
      </c>
      <c r="C4429" t="s">
        <v>1208</v>
      </c>
      <c r="D4429">
        <v>89.4</v>
      </c>
      <c r="E4429" t="s">
        <v>555</v>
      </c>
    </row>
    <row r="4430" spans="1:5" x14ac:dyDescent="0.25">
      <c r="A4430">
        <v>34402</v>
      </c>
      <c r="B4430" t="str">
        <f t="shared" si="70"/>
        <v>34402</v>
      </c>
      <c r="C4430" t="s">
        <v>1210</v>
      </c>
      <c r="D4430">
        <v>0</v>
      </c>
      <c r="E4430" t="s">
        <v>555</v>
      </c>
    </row>
    <row r="4431" spans="1:5" x14ac:dyDescent="0.25">
      <c r="A4431">
        <v>34402</v>
      </c>
      <c r="B4431" t="str">
        <f t="shared" si="70"/>
        <v>34402</v>
      </c>
      <c r="C4431" t="s">
        <v>1212</v>
      </c>
      <c r="D4431">
        <v>0</v>
      </c>
      <c r="E4431" t="s">
        <v>555</v>
      </c>
    </row>
    <row r="4432" spans="1:5" x14ac:dyDescent="0.25">
      <c r="A4432">
        <v>34402</v>
      </c>
      <c r="B4432" t="str">
        <f t="shared" si="70"/>
        <v>34402</v>
      </c>
      <c r="C4432" t="s">
        <v>1216</v>
      </c>
      <c r="D4432">
        <v>14.4</v>
      </c>
      <c r="E4432" t="s">
        <v>555</v>
      </c>
    </row>
    <row r="4433" spans="1:5" x14ac:dyDescent="0.25">
      <c r="A4433">
        <v>34402</v>
      </c>
      <c r="B4433" t="str">
        <f t="shared" si="70"/>
        <v>34402</v>
      </c>
      <c r="C4433" t="s">
        <v>1198</v>
      </c>
      <c r="D4433">
        <v>89.4</v>
      </c>
      <c r="E4433" t="s">
        <v>555</v>
      </c>
    </row>
    <row r="4434" spans="1:5" x14ac:dyDescent="0.25">
      <c r="A4434">
        <v>19400</v>
      </c>
      <c r="B4434" t="str">
        <f t="shared" si="70"/>
        <v>19400</v>
      </c>
      <c r="C4434" t="s">
        <v>1193</v>
      </c>
      <c r="D4434">
        <v>0</v>
      </c>
      <c r="E4434" t="s">
        <v>420</v>
      </c>
    </row>
    <row r="4435" spans="1:5" x14ac:dyDescent="0.25">
      <c r="A4435">
        <v>19400</v>
      </c>
      <c r="B4435" t="str">
        <f t="shared" si="70"/>
        <v>19400</v>
      </c>
      <c r="C4435" t="s">
        <v>1194</v>
      </c>
      <c r="D4435">
        <v>64.83</v>
      </c>
      <c r="E4435" t="s">
        <v>420</v>
      </c>
    </row>
    <row r="4436" spans="1:5" x14ac:dyDescent="0.25">
      <c r="A4436">
        <v>19400</v>
      </c>
      <c r="B4436" t="str">
        <f t="shared" si="70"/>
        <v>19400</v>
      </c>
      <c r="C4436" t="s">
        <v>1195</v>
      </c>
      <c r="D4436">
        <v>0</v>
      </c>
      <c r="E4436" t="s">
        <v>420</v>
      </c>
    </row>
    <row r="4437" spans="1:5" x14ac:dyDescent="0.25">
      <c r="A4437">
        <v>19400</v>
      </c>
      <c r="B4437" t="str">
        <f t="shared" si="70"/>
        <v>19400</v>
      </c>
      <c r="C4437" t="s">
        <v>1197</v>
      </c>
      <c r="D4437">
        <v>22</v>
      </c>
      <c r="E4437" t="s">
        <v>420</v>
      </c>
    </row>
    <row r="4438" spans="1:5" x14ac:dyDescent="0.25">
      <c r="A4438">
        <v>19400</v>
      </c>
      <c r="B4438" t="str">
        <f t="shared" si="70"/>
        <v>19400</v>
      </c>
      <c r="C4438" t="s">
        <v>1202</v>
      </c>
      <c r="D4438">
        <v>0</v>
      </c>
      <c r="E4438" t="s">
        <v>420</v>
      </c>
    </row>
    <row r="4439" spans="1:5" x14ac:dyDescent="0.25">
      <c r="A4439">
        <v>19400</v>
      </c>
      <c r="B4439" t="str">
        <f t="shared" si="70"/>
        <v>19400</v>
      </c>
      <c r="C4439" t="s">
        <v>1206</v>
      </c>
      <c r="D4439">
        <v>46.2</v>
      </c>
      <c r="E4439" t="s">
        <v>420</v>
      </c>
    </row>
    <row r="4440" spans="1:5" x14ac:dyDescent="0.25">
      <c r="A4440">
        <v>19400</v>
      </c>
      <c r="B4440" t="str">
        <f t="shared" si="70"/>
        <v>19400</v>
      </c>
      <c r="C4440" t="s">
        <v>1199</v>
      </c>
      <c r="D4440">
        <v>0</v>
      </c>
      <c r="E4440" t="s">
        <v>420</v>
      </c>
    </row>
    <row r="4441" spans="1:5" x14ac:dyDescent="0.25">
      <c r="A4441">
        <v>19400</v>
      </c>
      <c r="B4441" t="str">
        <f t="shared" si="70"/>
        <v>19400</v>
      </c>
      <c r="C4441" t="s">
        <v>1203</v>
      </c>
      <c r="D4441">
        <v>37.54</v>
      </c>
      <c r="E4441" t="s">
        <v>420</v>
      </c>
    </row>
    <row r="4442" spans="1:5" x14ac:dyDescent="0.25">
      <c r="A4442">
        <v>19400</v>
      </c>
      <c r="B4442" t="str">
        <f t="shared" si="70"/>
        <v>19400</v>
      </c>
      <c r="C4442" t="s">
        <v>1200</v>
      </c>
      <c r="D4442">
        <v>0</v>
      </c>
      <c r="E4442" t="s">
        <v>420</v>
      </c>
    </row>
    <row r="4443" spans="1:5" x14ac:dyDescent="0.25">
      <c r="A4443">
        <v>19400</v>
      </c>
      <c r="B4443" t="str">
        <f t="shared" si="70"/>
        <v>19400</v>
      </c>
      <c r="C4443" t="s">
        <v>1204</v>
      </c>
      <c r="D4443">
        <v>41.29</v>
      </c>
      <c r="E4443" t="s">
        <v>420</v>
      </c>
    </row>
    <row r="4444" spans="1:5" x14ac:dyDescent="0.25">
      <c r="A4444">
        <v>19400</v>
      </c>
      <c r="B4444" t="str">
        <f t="shared" si="70"/>
        <v>19400</v>
      </c>
      <c r="C4444" t="s">
        <v>1207</v>
      </c>
      <c r="D4444">
        <v>9.8800000000000008</v>
      </c>
      <c r="E4444" t="s">
        <v>420</v>
      </c>
    </row>
    <row r="4445" spans="1:5" x14ac:dyDescent="0.25">
      <c r="A4445">
        <v>19400</v>
      </c>
      <c r="B4445" t="str">
        <f t="shared" si="70"/>
        <v>19400</v>
      </c>
      <c r="C4445" t="s">
        <v>1208</v>
      </c>
      <c r="D4445">
        <v>17.75</v>
      </c>
      <c r="E4445" t="s">
        <v>420</v>
      </c>
    </row>
    <row r="4446" spans="1:5" x14ac:dyDescent="0.25">
      <c r="A4446">
        <v>19400</v>
      </c>
      <c r="B4446" t="str">
        <f t="shared" si="70"/>
        <v>19400</v>
      </c>
      <c r="C4446" t="s">
        <v>1210</v>
      </c>
      <c r="D4446">
        <v>0</v>
      </c>
      <c r="E4446" t="s">
        <v>420</v>
      </c>
    </row>
    <row r="4447" spans="1:5" x14ac:dyDescent="0.25">
      <c r="A4447">
        <v>19400</v>
      </c>
      <c r="B4447" t="str">
        <f t="shared" si="70"/>
        <v>19400</v>
      </c>
      <c r="C4447" t="s">
        <v>1212</v>
      </c>
      <c r="D4447">
        <v>0</v>
      </c>
      <c r="E4447" t="s">
        <v>420</v>
      </c>
    </row>
    <row r="4448" spans="1:5" x14ac:dyDescent="0.25">
      <c r="A4448">
        <v>19400</v>
      </c>
      <c r="B4448" t="str">
        <f t="shared" si="70"/>
        <v>19400</v>
      </c>
      <c r="C4448" t="s">
        <v>1216</v>
      </c>
      <c r="D4448">
        <v>16.8</v>
      </c>
      <c r="E4448" t="s">
        <v>420</v>
      </c>
    </row>
    <row r="4449" spans="1:5" x14ac:dyDescent="0.25">
      <c r="A4449">
        <v>19400</v>
      </c>
      <c r="B4449" t="str">
        <f t="shared" si="70"/>
        <v>19400</v>
      </c>
      <c r="C4449" t="s">
        <v>1198</v>
      </c>
      <c r="D4449">
        <v>18</v>
      </c>
      <c r="E4449" t="s">
        <v>420</v>
      </c>
    </row>
    <row r="4450" spans="1:5" x14ac:dyDescent="0.25">
      <c r="A4450">
        <v>21237</v>
      </c>
      <c r="B4450" t="str">
        <f t="shared" si="70"/>
        <v>21237</v>
      </c>
      <c r="C4450" t="s">
        <v>1193</v>
      </c>
      <c r="D4450">
        <v>0</v>
      </c>
      <c r="E4450" t="s">
        <v>441</v>
      </c>
    </row>
    <row r="4451" spans="1:5" x14ac:dyDescent="0.25">
      <c r="A4451">
        <v>21237</v>
      </c>
      <c r="B4451" t="str">
        <f t="shared" si="70"/>
        <v>21237</v>
      </c>
      <c r="C4451" t="s">
        <v>1194</v>
      </c>
      <c r="D4451">
        <v>219.4</v>
      </c>
      <c r="E4451" t="s">
        <v>441</v>
      </c>
    </row>
    <row r="4452" spans="1:5" x14ac:dyDescent="0.25">
      <c r="A4452">
        <v>21237</v>
      </c>
      <c r="B4452" t="str">
        <f t="shared" si="70"/>
        <v>21237</v>
      </c>
      <c r="C4452" t="s">
        <v>1195</v>
      </c>
      <c r="D4452">
        <v>0</v>
      </c>
      <c r="E4452" t="s">
        <v>441</v>
      </c>
    </row>
    <row r="4453" spans="1:5" x14ac:dyDescent="0.25">
      <c r="A4453">
        <v>21237</v>
      </c>
      <c r="B4453" t="str">
        <f t="shared" si="70"/>
        <v>21237</v>
      </c>
      <c r="C4453" t="s">
        <v>1197</v>
      </c>
      <c r="D4453">
        <v>65.2</v>
      </c>
      <c r="E4453" t="s">
        <v>441</v>
      </c>
    </row>
    <row r="4454" spans="1:5" x14ac:dyDescent="0.25">
      <c r="A4454">
        <v>21237</v>
      </c>
      <c r="B4454" t="str">
        <f t="shared" si="70"/>
        <v>21237</v>
      </c>
      <c r="C4454" t="s">
        <v>1202</v>
      </c>
      <c r="D4454">
        <v>0</v>
      </c>
      <c r="E4454" t="s">
        <v>441</v>
      </c>
    </row>
    <row r="4455" spans="1:5" x14ac:dyDescent="0.25">
      <c r="A4455">
        <v>21237</v>
      </c>
      <c r="B4455" t="str">
        <f t="shared" si="70"/>
        <v>21237</v>
      </c>
      <c r="C4455" t="s">
        <v>1206</v>
      </c>
      <c r="D4455">
        <v>136</v>
      </c>
      <c r="E4455" t="s">
        <v>441</v>
      </c>
    </row>
    <row r="4456" spans="1:5" x14ac:dyDescent="0.25">
      <c r="A4456">
        <v>21237</v>
      </c>
      <c r="B4456" t="str">
        <f t="shared" si="70"/>
        <v>21237</v>
      </c>
      <c r="C4456" t="s">
        <v>1199</v>
      </c>
      <c r="D4456">
        <v>0</v>
      </c>
      <c r="E4456" t="s">
        <v>441</v>
      </c>
    </row>
    <row r="4457" spans="1:5" x14ac:dyDescent="0.25">
      <c r="A4457">
        <v>21237</v>
      </c>
      <c r="B4457" t="str">
        <f t="shared" si="70"/>
        <v>21237</v>
      </c>
      <c r="C4457" t="s">
        <v>1203</v>
      </c>
      <c r="D4457">
        <v>119.6</v>
      </c>
      <c r="E4457" t="s">
        <v>441</v>
      </c>
    </row>
    <row r="4458" spans="1:5" x14ac:dyDescent="0.25">
      <c r="A4458">
        <v>21237</v>
      </c>
      <c r="B4458" t="str">
        <f t="shared" si="70"/>
        <v>21237</v>
      </c>
      <c r="C4458" t="s">
        <v>1200</v>
      </c>
      <c r="D4458">
        <v>0</v>
      </c>
      <c r="E4458" t="s">
        <v>441</v>
      </c>
    </row>
    <row r="4459" spans="1:5" x14ac:dyDescent="0.25">
      <c r="A4459">
        <v>21237</v>
      </c>
      <c r="B4459" t="str">
        <f t="shared" si="70"/>
        <v>21237</v>
      </c>
      <c r="C4459" t="s">
        <v>1204</v>
      </c>
      <c r="D4459">
        <v>217.35</v>
      </c>
      <c r="E4459" t="s">
        <v>441</v>
      </c>
    </row>
    <row r="4460" spans="1:5" x14ac:dyDescent="0.25">
      <c r="A4460">
        <v>21237</v>
      </c>
      <c r="B4460" t="str">
        <f t="shared" si="70"/>
        <v>21237</v>
      </c>
      <c r="C4460" t="s">
        <v>1207</v>
      </c>
      <c r="D4460">
        <v>27.97</v>
      </c>
      <c r="E4460" t="s">
        <v>441</v>
      </c>
    </row>
    <row r="4461" spans="1:5" x14ac:dyDescent="0.25">
      <c r="A4461">
        <v>21237</v>
      </c>
      <c r="B4461" t="str">
        <f t="shared" si="70"/>
        <v>21237</v>
      </c>
      <c r="C4461" t="s">
        <v>1208</v>
      </c>
      <c r="D4461">
        <v>64.69</v>
      </c>
      <c r="E4461" t="s">
        <v>441</v>
      </c>
    </row>
    <row r="4462" spans="1:5" x14ac:dyDescent="0.25">
      <c r="A4462">
        <v>21237</v>
      </c>
      <c r="B4462" t="str">
        <f t="shared" si="70"/>
        <v>21237</v>
      </c>
      <c r="C4462" t="s">
        <v>1210</v>
      </c>
      <c r="D4462">
        <v>0</v>
      </c>
      <c r="E4462" t="s">
        <v>441</v>
      </c>
    </row>
    <row r="4463" spans="1:5" x14ac:dyDescent="0.25">
      <c r="A4463">
        <v>21237</v>
      </c>
      <c r="B4463" t="str">
        <f t="shared" si="70"/>
        <v>21237</v>
      </c>
      <c r="C4463" t="s">
        <v>1212</v>
      </c>
      <c r="D4463">
        <v>0</v>
      </c>
      <c r="E4463" t="s">
        <v>441</v>
      </c>
    </row>
    <row r="4464" spans="1:5" x14ac:dyDescent="0.25">
      <c r="A4464">
        <v>21237</v>
      </c>
      <c r="B4464" t="str">
        <f t="shared" si="70"/>
        <v>21237</v>
      </c>
      <c r="C4464" t="s">
        <v>1216</v>
      </c>
      <c r="D4464">
        <v>0</v>
      </c>
      <c r="E4464" t="s">
        <v>441</v>
      </c>
    </row>
    <row r="4465" spans="1:5" x14ac:dyDescent="0.25">
      <c r="A4465">
        <v>21237</v>
      </c>
      <c r="B4465" t="str">
        <f t="shared" si="70"/>
        <v>21237</v>
      </c>
      <c r="C4465" t="s">
        <v>1198</v>
      </c>
      <c r="D4465">
        <v>84.4</v>
      </c>
      <c r="E4465" t="s">
        <v>441</v>
      </c>
    </row>
    <row r="4466" spans="1:5" x14ac:dyDescent="0.25">
      <c r="A4466">
        <v>24404</v>
      </c>
      <c r="B4466" t="str">
        <f t="shared" si="70"/>
        <v>24404</v>
      </c>
      <c r="C4466" t="s">
        <v>1193</v>
      </c>
      <c r="D4466">
        <v>0</v>
      </c>
      <c r="E4466" t="s">
        <v>468</v>
      </c>
    </row>
    <row r="4467" spans="1:5" x14ac:dyDescent="0.25">
      <c r="A4467">
        <v>24404</v>
      </c>
      <c r="B4467" t="str">
        <f t="shared" si="70"/>
        <v>24404</v>
      </c>
      <c r="C4467" t="s">
        <v>1194</v>
      </c>
      <c r="D4467">
        <v>214.48</v>
      </c>
      <c r="E4467" t="s">
        <v>468</v>
      </c>
    </row>
    <row r="4468" spans="1:5" x14ac:dyDescent="0.25">
      <c r="A4468">
        <v>24404</v>
      </c>
      <c r="B4468" t="str">
        <f t="shared" si="70"/>
        <v>24404</v>
      </c>
      <c r="C4468" t="s">
        <v>1195</v>
      </c>
      <c r="D4468">
        <v>0</v>
      </c>
      <c r="E4468" t="s">
        <v>468</v>
      </c>
    </row>
    <row r="4469" spans="1:5" x14ac:dyDescent="0.25">
      <c r="A4469">
        <v>24404</v>
      </c>
      <c r="B4469" t="str">
        <f t="shared" si="70"/>
        <v>24404</v>
      </c>
      <c r="C4469" t="s">
        <v>1197</v>
      </c>
      <c r="D4469">
        <v>73</v>
      </c>
      <c r="E4469" t="s">
        <v>468</v>
      </c>
    </row>
    <row r="4470" spans="1:5" x14ac:dyDescent="0.25">
      <c r="A4470">
        <v>24404</v>
      </c>
      <c r="B4470" t="str">
        <f t="shared" si="70"/>
        <v>24404</v>
      </c>
      <c r="C4470" t="s">
        <v>1202</v>
      </c>
      <c r="D4470">
        <v>0</v>
      </c>
      <c r="E4470" t="s">
        <v>468</v>
      </c>
    </row>
    <row r="4471" spans="1:5" x14ac:dyDescent="0.25">
      <c r="A4471">
        <v>24404</v>
      </c>
      <c r="B4471" t="str">
        <f t="shared" si="70"/>
        <v>24404</v>
      </c>
      <c r="C4471" t="s">
        <v>1206</v>
      </c>
      <c r="D4471">
        <v>162.28</v>
      </c>
      <c r="E4471" t="s">
        <v>468</v>
      </c>
    </row>
    <row r="4472" spans="1:5" x14ac:dyDescent="0.25">
      <c r="A4472">
        <v>24404</v>
      </c>
      <c r="B4472" t="str">
        <f t="shared" si="70"/>
        <v>24404</v>
      </c>
      <c r="C4472" t="s">
        <v>1199</v>
      </c>
      <c r="D4472">
        <v>0</v>
      </c>
      <c r="E4472" t="s">
        <v>468</v>
      </c>
    </row>
    <row r="4473" spans="1:5" x14ac:dyDescent="0.25">
      <c r="A4473">
        <v>24404</v>
      </c>
      <c r="B4473" t="str">
        <f t="shared" si="70"/>
        <v>24404</v>
      </c>
      <c r="C4473" t="s">
        <v>1203</v>
      </c>
      <c r="D4473">
        <v>139.66</v>
      </c>
      <c r="E4473" t="s">
        <v>468</v>
      </c>
    </row>
    <row r="4474" spans="1:5" x14ac:dyDescent="0.25">
      <c r="A4474">
        <v>24404</v>
      </c>
      <c r="B4474" t="str">
        <f t="shared" si="70"/>
        <v>24404</v>
      </c>
      <c r="C4474" t="s">
        <v>1200</v>
      </c>
      <c r="D4474">
        <v>0</v>
      </c>
      <c r="E4474" t="s">
        <v>468</v>
      </c>
    </row>
    <row r="4475" spans="1:5" x14ac:dyDescent="0.25">
      <c r="A4475">
        <v>24404</v>
      </c>
      <c r="B4475" t="str">
        <f t="shared" si="70"/>
        <v>24404</v>
      </c>
      <c r="C4475" t="s">
        <v>1204</v>
      </c>
      <c r="D4475">
        <v>272.13</v>
      </c>
      <c r="E4475" t="s">
        <v>468</v>
      </c>
    </row>
    <row r="4476" spans="1:5" x14ac:dyDescent="0.25">
      <c r="A4476">
        <v>24404</v>
      </c>
      <c r="B4476" t="str">
        <f t="shared" si="70"/>
        <v>24404</v>
      </c>
      <c r="C4476" t="s">
        <v>1207</v>
      </c>
      <c r="D4476">
        <v>8.19</v>
      </c>
      <c r="E4476" t="s">
        <v>468</v>
      </c>
    </row>
    <row r="4477" spans="1:5" x14ac:dyDescent="0.25">
      <c r="A4477">
        <v>24404</v>
      </c>
      <c r="B4477" t="str">
        <f t="shared" si="70"/>
        <v>24404</v>
      </c>
      <c r="C4477" t="s">
        <v>1208</v>
      </c>
      <c r="D4477">
        <v>43.49</v>
      </c>
      <c r="E4477" t="s">
        <v>468</v>
      </c>
    </row>
    <row r="4478" spans="1:5" x14ac:dyDescent="0.25">
      <c r="A4478">
        <v>24404</v>
      </c>
      <c r="B4478" t="str">
        <f t="shared" si="70"/>
        <v>24404</v>
      </c>
      <c r="C4478" t="s">
        <v>1210</v>
      </c>
      <c r="D4478">
        <v>0</v>
      </c>
      <c r="E4478" t="s">
        <v>468</v>
      </c>
    </row>
    <row r="4479" spans="1:5" x14ac:dyDescent="0.25">
      <c r="A4479">
        <v>24404</v>
      </c>
      <c r="B4479" t="str">
        <f t="shared" si="70"/>
        <v>24404</v>
      </c>
      <c r="C4479" t="s">
        <v>1212</v>
      </c>
      <c r="D4479">
        <v>0</v>
      </c>
      <c r="E4479" t="s">
        <v>468</v>
      </c>
    </row>
    <row r="4480" spans="1:5" x14ac:dyDescent="0.25">
      <c r="A4480">
        <v>24404</v>
      </c>
      <c r="B4480" t="str">
        <f t="shared" si="70"/>
        <v>24404</v>
      </c>
      <c r="C4480" t="s">
        <v>1216</v>
      </c>
      <c r="D4480">
        <v>0</v>
      </c>
      <c r="E4480" t="s">
        <v>468</v>
      </c>
    </row>
    <row r="4481" spans="1:5" x14ac:dyDescent="0.25">
      <c r="A4481">
        <v>24404</v>
      </c>
      <c r="B4481" t="str">
        <f t="shared" si="70"/>
        <v>24404</v>
      </c>
      <c r="C4481" t="s">
        <v>1198</v>
      </c>
      <c r="D4481">
        <v>69.040000000000006</v>
      </c>
      <c r="E4481" t="s">
        <v>468</v>
      </c>
    </row>
    <row r="4482" spans="1:5" x14ac:dyDescent="0.25">
      <c r="A4482">
        <v>39202</v>
      </c>
      <c r="B4482" t="str">
        <f t="shared" si="70"/>
        <v>39202</v>
      </c>
      <c r="C4482" t="s">
        <v>1193</v>
      </c>
      <c r="D4482">
        <v>0</v>
      </c>
      <c r="E4482" t="s">
        <v>593</v>
      </c>
    </row>
    <row r="4483" spans="1:5" x14ac:dyDescent="0.25">
      <c r="A4483">
        <v>39202</v>
      </c>
      <c r="B4483" t="str">
        <f t="shared" ref="B4483:B4546" si="71">TEXT(A4483,"00000")</f>
        <v>39202</v>
      </c>
      <c r="C4483" t="s">
        <v>1194</v>
      </c>
      <c r="D4483">
        <v>736.2</v>
      </c>
      <c r="E4483" t="s">
        <v>593</v>
      </c>
    </row>
    <row r="4484" spans="1:5" x14ac:dyDescent="0.25">
      <c r="A4484">
        <v>39202</v>
      </c>
      <c r="B4484" t="str">
        <f t="shared" si="71"/>
        <v>39202</v>
      </c>
      <c r="C4484" t="s">
        <v>1195</v>
      </c>
      <c r="D4484">
        <v>0</v>
      </c>
      <c r="E4484" t="s">
        <v>593</v>
      </c>
    </row>
    <row r="4485" spans="1:5" x14ac:dyDescent="0.25">
      <c r="A4485">
        <v>39202</v>
      </c>
      <c r="B4485" t="str">
        <f t="shared" si="71"/>
        <v>39202</v>
      </c>
      <c r="C4485" t="s">
        <v>1197</v>
      </c>
      <c r="D4485">
        <v>228.4</v>
      </c>
      <c r="E4485" t="s">
        <v>593</v>
      </c>
    </row>
    <row r="4486" spans="1:5" x14ac:dyDescent="0.25">
      <c r="A4486">
        <v>39202</v>
      </c>
      <c r="B4486" t="str">
        <f t="shared" si="71"/>
        <v>39202</v>
      </c>
      <c r="C4486" t="s">
        <v>1202</v>
      </c>
      <c r="D4486">
        <v>0</v>
      </c>
      <c r="E4486" t="s">
        <v>593</v>
      </c>
    </row>
    <row r="4487" spans="1:5" x14ac:dyDescent="0.25">
      <c r="A4487">
        <v>39202</v>
      </c>
      <c r="B4487" t="str">
        <f t="shared" si="71"/>
        <v>39202</v>
      </c>
      <c r="C4487" t="s">
        <v>1206</v>
      </c>
      <c r="D4487">
        <v>509.8</v>
      </c>
      <c r="E4487" t="s">
        <v>593</v>
      </c>
    </row>
    <row r="4488" spans="1:5" x14ac:dyDescent="0.25">
      <c r="A4488">
        <v>39202</v>
      </c>
      <c r="B4488" t="str">
        <f t="shared" si="71"/>
        <v>39202</v>
      </c>
      <c r="C4488" t="s">
        <v>1199</v>
      </c>
      <c r="D4488">
        <v>0</v>
      </c>
      <c r="E4488" t="s">
        <v>593</v>
      </c>
    </row>
    <row r="4489" spans="1:5" x14ac:dyDescent="0.25">
      <c r="A4489">
        <v>39202</v>
      </c>
      <c r="B4489" t="str">
        <f t="shared" si="71"/>
        <v>39202</v>
      </c>
      <c r="C4489" t="s">
        <v>1203</v>
      </c>
      <c r="D4489">
        <v>504.74</v>
      </c>
      <c r="E4489" t="s">
        <v>593</v>
      </c>
    </row>
    <row r="4490" spans="1:5" x14ac:dyDescent="0.25">
      <c r="A4490">
        <v>39202</v>
      </c>
      <c r="B4490" t="str">
        <f t="shared" si="71"/>
        <v>39202</v>
      </c>
      <c r="C4490" t="s">
        <v>1200</v>
      </c>
      <c r="D4490">
        <v>0</v>
      </c>
      <c r="E4490" t="s">
        <v>593</v>
      </c>
    </row>
    <row r="4491" spans="1:5" x14ac:dyDescent="0.25">
      <c r="A4491">
        <v>39202</v>
      </c>
      <c r="B4491" t="str">
        <f t="shared" si="71"/>
        <v>39202</v>
      </c>
      <c r="C4491" t="s">
        <v>1204</v>
      </c>
      <c r="D4491">
        <v>977.23</v>
      </c>
      <c r="E4491" t="s">
        <v>593</v>
      </c>
    </row>
    <row r="4492" spans="1:5" x14ac:dyDescent="0.25">
      <c r="A4492">
        <v>39202</v>
      </c>
      <c r="B4492" t="str">
        <f t="shared" si="71"/>
        <v>39202</v>
      </c>
      <c r="C4492" t="s">
        <v>1207</v>
      </c>
      <c r="D4492">
        <v>169.22</v>
      </c>
      <c r="E4492" t="s">
        <v>593</v>
      </c>
    </row>
    <row r="4493" spans="1:5" x14ac:dyDescent="0.25">
      <c r="A4493">
        <v>39202</v>
      </c>
      <c r="B4493" t="str">
        <f t="shared" si="71"/>
        <v>39202</v>
      </c>
      <c r="C4493" t="s">
        <v>1208</v>
      </c>
      <c r="D4493">
        <v>533.76</v>
      </c>
      <c r="E4493" t="s">
        <v>593</v>
      </c>
    </row>
    <row r="4494" spans="1:5" x14ac:dyDescent="0.25">
      <c r="A4494">
        <v>39202</v>
      </c>
      <c r="B4494" t="str">
        <f t="shared" si="71"/>
        <v>39202</v>
      </c>
      <c r="C4494" t="s">
        <v>1210</v>
      </c>
      <c r="D4494">
        <v>0</v>
      </c>
      <c r="E4494" t="s">
        <v>593</v>
      </c>
    </row>
    <row r="4495" spans="1:5" x14ac:dyDescent="0.25">
      <c r="A4495">
        <v>39202</v>
      </c>
      <c r="B4495" t="str">
        <f t="shared" si="71"/>
        <v>39202</v>
      </c>
      <c r="C4495" t="s">
        <v>1212</v>
      </c>
      <c r="D4495">
        <v>0</v>
      </c>
      <c r="E4495" t="s">
        <v>593</v>
      </c>
    </row>
    <row r="4496" spans="1:5" x14ac:dyDescent="0.25">
      <c r="A4496">
        <v>39202</v>
      </c>
      <c r="B4496" t="str">
        <f t="shared" si="71"/>
        <v>39202</v>
      </c>
      <c r="C4496" t="s">
        <v>1216</v>
      </c>
      <c r="D4496">
        <v>0</v>
      </c>
      <c r="E4496" t="s">
        <v>593</v>
      </c>
    </row>
    <row r="4497" spans="1:5" x14ac:dyDescent="0.25">
      <c r="A4497">
        <v>39202</v>
      </c>
      <c r="B4497" t="str">
        <f t="shared" si="71"/>
        <v>39202</v>
      </c>
      <c r="C4497" t="s">
        <v>1198</v>
      </c>
      <c r="D4497">
        <v>222.4</v>
      </c>
      <c r="E4497" t="s">
        <v>593</v>
      </c>
    </row>
    <row r="4498" spans="1:5" x14ac:dyDescent="0.25">
      <c r="A4498">
        <v>36300</v>
      </c>
      <c r="B4498" t="str">
        <f t="shared" si="71"/>
        <v>36300</v>
      </c>
      <c r="C4498" t="s">
        <v>1193</v>
      </c>
      <c r="D4498">
        <v>0</v>
      </c>
      <c r="E4498" t="s">
        <v>560</v>
      </c>
    </row>
    <row r="4499" spans="1:5" x14ac:dyDescent="0.25">
      <c r="A4499">
        <v>36300</v>
      </c>
      <c r="B4499" t="str">
        <f t="shared" si="71"/>
        <v>36300</v>
      </c>
      <c r="C4499" t="s">
        <v>1194</v>
      </c>
      <c r="D4499">
        <v>44.41</v>
      </c>
      <c r="E4499" t="s">
        <v>560</v>
      </c>
    </row>
    <row r="4500" spans="1:5" x14ac:dyDescent="0.25">
      <c r="A4500">
        <v>36300</v>
      </c>
      <c r="B4500" t="str">
        <f t="shared" si="71"/>
        <v>36300</v>
      </c>
      <c r="C4500" t="s">
        <v>1195</v>
      </c>
      <c r="D4500">
        <v>0</v>
      </c>
      <c r="E4500" t="s">
        <v>560</v>
      </c>
    </row>
    <row r="4501" spans="1:5" x14ac:dyDescent="0.25">
      <c r="A4501">
        <v>36300</v>
      </c>
      <c r="B4501" t="str">
        <f t="shared" si="71"/>
        <v>36300</v>
      </c>
      <c r="C4501" t="s">
        <v>1197</v>
      </c>
      <c r="D4501">
        <v>17.600000000000001</v>
      </c>
      <c r="E4501" t="s">
        <v>560</v>
      </c>
    </row>
    <row r="4502" spans="1:5" x14ac:dyDescent="0.25">
      <c r="A4502">
        <v>36300</v>
      </c>
      <c r="B4502" t="str">
        <f t="shared" si="71"/>
        <v>36300</v>
      </c>
      <c r="C4502" t="s">
        <v>1202</v>
      </c>
      <c r="D4502">
        <v>0</v>
      </c>
      <c r="E4502" t="s">
        <v>560</v>
      </c>
    </row>
    <row r="4503" spans="1:5" x14ac:dyDescent="0.25">
      <c r="A4503">
        <v>36300</v>
      </c>
      <c r="B4503" t="str">
        <f t="shared" si="71"/>
        <v>36300</v>
      </c>
      <c r="C4503" t="s">
        <v>1206</v>
      </c>
      <c r="D4503">
        <v>28.91</v>
      </c>
      <c r="E4503" t="s">
        <v>560</v>
      </c>
    </row>
    <row r="4504" spans="1:5" x14ac:dyDescent="0.25">
      <c r="A4504">
        <v>36300</v>
      </c>
      <c r="B4504" t="str">
        <f t="shared" si="71"/>
        <v>36300</v>
      </c>
      <c r="C4504" t="s">
        <v>1199</v>
      </c>
      <c r="D4504">
        <v>0</v>
      </c>
      <c r="E4504" t="s">
        <v>560</v>
      </c>
    </row>
    <row r="4505" spans="1:5" x14ac:dyDescent="0.25">
      <c r="A4505">
        <v>36300</v>
      </c>
      <c r="B4505" t="str">
        <f t="shared" si="71"/>
        <v>36300</v>
      </c>
      <c r="C4505" t="s">
        <v>1203</v>
      </c>
      <c r="D4505">
        <v>31.06</v>
      </c>
      <c r="E4505" t="s">
        <v>560</v>
      </c>
    </row>
    <row r="4506" spans="1:5" x14ac:dyDescent="0.25">
      <c r="A4506">
        <v>36300</v>
      </c>
      <c r="B4506" t="str">
        <f t="shared" si="71"/>
        <v>36300</v>
      </c>
      <c r="C4506" t="s">
        <v>1200</v>
      </c>
      <c r="D4506">
        <v>0</v>
      </c>
      <c r="E4506" t="s">
        <v>560</v>
      </c>
    </row>
    <row r="4507" spans="1:5" x14ac:dyDescent="0.25">
      <c r="A4507">
        <v>36300</v>
      </c>
      <c r="B4507" t="str">
        <f t="shared" si="71"/>
        <v>36300</v>
      </c>
      <c r="C4507" t="s">
        <v>1204</v>
      </c>
      <c r="D4507">
        <v>45.32</v>
      </c>
      <c r="E4507" t="s">
        <v>560</v>
      </c>
    </row>
    <row r="4508" spans="1:5" x14ac:dyDescent="0.25">
      <c r="A4508">
        <v>36300</v>
      </c>
      <c r="B4508" t="str">
        <f t="shared" si="71"/>
        <v>36300</v>
      </c>
      <c r="C4508" t="s">
        <v>1207</v>
      </c>
      <c r="D4508">
        <v>2.1800000000000002</v>
      </c>
      <c r="E4508" t="s">
        <v>560</v>
      </c>
    </row>
    <row r="4509" spans="1:5" x14ac:dyDescent="0.25">
      <c r="A4509">
        <v>36300</v>
      </c>
      <c r="B4509" t="str">
        <f t="shared" si="71"/>
        <v>36300</v>
      </c>
      <c r="C4509" t="s">
        <v>1208</v>
      </c>
      <c r="D4509">
        <v>15.17</v>
      </c>
      <c r="E4509" t="s">
        <v>560</v>
      </c>
    </row>
    <row r="4510" spans="1:5" x14ac:dyDescent="0.25">
      <c r="A4510">
        <v>36300</v>
      </c>
      <c r="B4510" t="str">
        <f t="shared" si="71"/>
        <v>36300</v>
      </c>
      <c r="C4510" t="s">
        <v>1210</v>
      </c>
      <c r="D4510">
        <v>0</v>
      </c>
      <c r="E4510" t="s">
        <v>560</v>
      </c>
    </row>
    <row r="4511" spans="1:5" x14ac:dyDescent="0.25">
      <c r="A4511">
        <v>36300</v>
      </c>
      <c r="B4511" t="str">
        <f t="shared" si="71"/>
        <v>36300</v>
      </c>
      <c r="C4511" t="s">
        <v>1212</v>
      </c>
      <c r="D4511">
        <v>0</v>
      </c>
      <c r="E4511" t="s">
        <v>560</v>
      </c>
    </row>
    <row r="4512" spans="1:5" x14ac:dyDescent="0.25">
      <c r="A4512">
        <v>36300</v>
      </c>
      <c r="B4512" t="str">
        <f t="shared" si="71"/>
        <v>36300</v>
      </c>
      <c r="C4512" t="s">
        <v>1216</v>
      </c>
      <c r="D4512">
        <v>17.2</v>
      </c>
      <c r="E4512" t="s">
        <v>560</v>
      </c>
    </row>
    <row r="4513" spans="1:5" x14ac:dyDescent="0.25">
      <c r="A4513">
        <v>36300</v>
      </c>
      <c r="B4513" t="str">
        <f t="shared" si="71"/>
        <v>36300</v>
      </c>
      <c r="C4513" t="s">
        <v>1198</v>
      </c>
      <c r="D4513">
        <v>13.63</v>
      </c>
      <c r="E4513" t="s">
        <v>560</v>
      </c>
    </row>
    <row r="4514" spans="1:5" x14ac:dyDescent="0.25">
      <c r="A4514" t="s">
        <v>44</v>
      </c>
      <c r="B4514" t="str">
        <f t="shared" si="71"/>
        <v>08130</v>
      </c>
      <c r="C4514" t="s">
        <v>1193</v>
      </c>
      <c r="D4514">
        <v>0</v>
      </c>
      <c r="E4514" t="s">
        <v>340</v>
      </c>
    </row>
    <row r="4515" spans="1:5" x14ac:dyDescent="0.25">
      <c r="A4515" t="s">
        <v>44</v>
      </c>
      <c r="B4515" t="str">
        <f t="shared" si="71"/>
        <v>08130</v>
      </c>
      <c r="C4515" t="s">
        <v>1194</v>
      </c>
      <c r="D4515">
        <v>165.14</v>
      </c>
      <c r="E4515" t="s">
        <v>340</v>
      </c>
    </row>
    <row r="4516" spans="1:5" x14ac:dyDescent="0.25">
      <c r="A4516" t="s">
        <v>44</v>
      </c>
      <c r="B4516" t="str">
        <f t="shared" si="71"/>
        <v>08130</v>
      </c>
      <c r="C4516" t="s">
        <v>1195</v>
      </c>
      <c r="D4516">
        <v>0</v>
      </c>
      <c r="E4516" t="s">
        <v>340</v>
      </c>
    </row>
    <row r="4517" spans="1:5" x14ac:dyDescent="0.25">
      <c r="A4517" t="s">
        <v>44</v>
      </c>
      <c r="B4517" t="str">
        <f t="shared" si="71"/>
        <v>08130</v>
      </c>
      <c r="C4517" t="s">
        <v>1197</v>
      </c>
      <c r="D4517">
        <v>53.2</v>
      </c>
      <c r="E4517" t="s">
        <v>340</v>
      </c>
    </row>
    <row r="4518" spans="1:5" x14ac:dyDescent="0.25">
      <c r="A4518" t="s">
        <v>44</v>
      </c>
      <c r="B4518" t="str">
        <f t="shared" si="71"/>
        <v>08130</v>
      </c>
      <c r="C4518" t="s">
        <v>1202</v>
      </c>
      <c r="D4518">
        <v>0</v>
      </c>
      <c r="E4518" t="s">
        <v>340</v>
      </c>
    </row>
    <row r="4519" spans="1:5" x14ac:dyDescent="0.25">
      <c r="A4519" t="s">
        <v>44</v>
      </c>
      <c r="B4519" t="str">
        <f t="shared" si="71"/>
        <v>08130</v>
      </c>
      <c r="C4519" t="s">
        <v>1206</v>
      </c>
      <c r="D4519">
        <v>105.2</v>
      </c>
      <c r="E4519" t="s">
        <v>340</v>
      </c>
    </row>
    <row r="4520" spans="1:5" x14ac:dyDescent="0.25">
      <c r="A4520" t="s">
        <v>44</v>
      </c>
      <c r="B4520" t="str">
        <f t="shared" si="71"/>
        <v>08130</v>
      </c>
      <c r="C4520" t="s">
        <v>1199</v>
      </c>
      <c r="D4520">
        <v>0</v>
      </c>
      <c r="E4520" t="s">
        <v>340</v>
      </c>
    </row>
    <row r="4521" spans="1:5" x14ac:dyDescent="0.25">
      <c r="A4521" t="s">
        <v>44</v>
      </c>
      <c r="B4521" t="str">
        <f t="shared" si="71"/>
        <v>08130</v>
      </c>
      <c r="C4521" t="s">
        <v>1203</v>
      </c>
      <c r="D4521">
        <v>115.4</v>
      </c>
      <c r="E4521" t="s">
        <v>340</v>
      </c>
    </row>
    <row r="4522" spans="1:5" x14ac:dyDescent="0.25">
      <c r="A4522" t="s">
        <v>44</v>
      </c>
      <c r="B4522" t="str">
        <f t="shared" si="71"/>
        <v>08130</v>
      </c>
      <c r="C4522" t="s">
        <v>1200</v>
      </c>
      <c r="D4522">
        <v>0</v>
      </c>
      <c r="E4522" t="s">
        <v>340</v>
      </c>
    </row>
    <row r="4523" spans="1:5" x14ac:dyDescent="0.25">
      <c r="A4523" t="s">
        <v>44</v>
      </c>
      <c r="B4523" t="str">
        <f t="shared" si="71"/>
        <v>08130</v>
      </c>
      <c r="C4523" t="s">
        <v>1204</v>
      </c>
      <c r="D4523">
        <v>146.34</v>
      </c>
      <c r="E4523" t="s">
        <v>340</v>
      </c>
    </row>
    <row r="4524" spans="1:5" x14ac:dyDescent="0.25">
      <c r="A4524" t="s">
        <v>44</v>
      </c>
      <c r="B4524" t="str">
        <f t="shared" si="71"/>
        <v>08130</v>
      </c>
      <c r="C4524" t="s">
        <v>1207</v>
      </c>
      <c r="D4524">
        <v>8.09</v>
      </c>
      <c r="E4524" t="s">
        <v>340</v>
      </c>
    </row>
    <row r="4525" spans="1:5" x14ac:dyDescent="0.25">
      <c r="A4525" t="s">
        <v>44</v>
      </c>
      <c r="B4525" t="str">
        <f t="shared" si="71"/>
        <v>08130</v>
      </c>
      <c r="C4525" t="s">
        <v>1208</v>
      </c>
      <c r="D4525">
        <v>31.05</v>
      </c>
      <c r="E4525" t="s">
        <v>340</v>
      </c>
    </row>
    <row r="4526" spans="1:5" x14ac:dyDescent="0.25">
      <c r="A4526" t="s">
        <v>44</v>
      </c>
      <c r="B4526" t="str">
        <f t="shared" si="71"/>
        <v>08130</v>
      </c>
      <c r="C4526" t="s">
        <v>1210</v>
      </c>
      <c r="D4526">
        <v>0</v>
      </c>
      <c r="E4526" t="s">
        <v>340</v>
      </c>
    </row>
    <row r="4527" spans="1:5" x14ac:dyDescent="0.25">
      <c r="A4527" t="s">
        <v>44</v>
      </c>
      <c r="B4527" t="str">
        <f t="shared" si="71"/>
        <v>08130</v>
      </c>
      <c r="C4527" t="s">
        <v>1212</v>
      </c>
      <c r="D4527">
        <v>0</v>
      </c>
      <c r="E4527" t="s">
        <v>340</v>
      </c>
    </row>
    <row r="4528" spans="1:5" x14ac:dyDescent="0.25">
      <c r="A4528" t="s">
        <v>44</v>
      </c>
      <c r="B4528" t="str">
        <f t="shared" si="71"/>
        <v>08130</v>
      </c>
      <c r="C4528" t="s">
        <v>1216</v>
      </c>
      <c r="D4528">
        <v>0</v>
      </c>
      <c r="E4528" t="s">
        <v>340</v>
      </c>
    </row>
    <row r="4529" spans="1:5" x14ac:dyDescent="0.25">
      <c r="A4529" t="s">
        <v>44</v>
      </c>
      <c r="B4529" t="str">
        <f t="shared" si="71"/>
        <v>08130</v>
      </c>
      <c r="C4529" t="s">
        <v>1198</v>
      </c>
      <c r="D4529">
        <v>41.4</v>
      </c>
      <c r="E4529" t="s">
        <v>340</v>
      </c>
    </row>
    <row r="4530" spans="1:5" x14ac:dyDescent="0.25">
      <c r="A4530" s="34">
        <v>20400</v>
      </c>
      <c r="B4530" t="str">
        <f t="shared" si="71"/>
        <v>20400</v>
      </c>
      <c r="C4530" t="s">
        <v>1193</v>
      </c>
      <c r="D4530">
        <v>0</v>
      </c>
      <c r="E4530" t="s">
        <v>427</v>
      </c>
    </row>
    <row r="4531" spans="1:5" x14ac:dyDescent="0.25">
      <c r="A4531" s="34">
        <v>20400</v>
      </c>
      <c r="B4531" t="str">
        <f t="shared" si="71"/>
        <v>20400</v>
      </c>
      <c r="C4531" t="s">
        <v>1194</v>
      </c>
      <c r="D4531">
        <v>56.4</v>
      </c>
      <c r="E4531" t="s">
        <v>427</v>
      </c>
    </row>
    <row r="4532" spans="1:5" x14ac:dyDescent="0.25">
      <c r="A4532" s="34">
        <v>20400</v>
      </c>
      <c r="B4532" t="str">
        <f t="shared" si="71"/>
        <v>20400</v>
      </c>
      <c r="C4532" t="s">
        <v>1195</v>
      </c>
      <c r="D4532">
        <v>0</v>
      </c>
      <c r="E4532" t="s">
        <v>427</v>
      </c>
    </row>
    <row r="4533" spans="1:5" x14ac:dyDescent="0.25">
      <c r="A4533" s="34">
        <v>20400</v>
      </c>
      <c r="B4533" t="str">
        <f t="shared" si="71"/>
        <v>20400</v>
      </c>
      <c r="C4533" t="s">
        <v>1197</v>
      </c>
      <c r="D4533">
        <v>8.8000000000000007</v>
      </c>
      <c r="E4533" t="s">
        <v>427</v>
      </c>
    </row>
    <row r="4534" spans="1:5" x14ac:dyDescent="0.25">
      <c r="A4534" s="34">
        <v>20400</v>
      </c>
      <c r="B4534" t="str">
        <f t="shared" si="71"/>
        <v>20400</v>
      </c>
      <c r="C4534" t="s">
        <v>1202</v>
      </c>
      <c r="D4534">
        <v>0</v>
      </c>
      <c r="E4534" t="s">
        <v>427</v>
      </c>
    </row>
    <row r="4535" spans="1:5" x14ac:dyDescent="0.25">
      <c r="A4535" s="34">
        <v>20400</v>
      </c>
      <c r="B4535" t="str">
        <f t="shared" si="71"/>
        <v>20400</v>
      </c>
      <c r="C4535" t="s">
        <v>1206</v>
      </c>
      <c r="D4535">
        <v>28.6</v>
      </c>
      <c r="E4535" t="s">
        <v>427</v>
      </c>
    </row>
    <row r="4536" spans="1:5" x14ac:dyDescent="0.25">
      <c r="A4536" s="34">
        <v>20400</v>
      </c>
      <c r="B4536" t="str">
        <f t="shared" si="71"/>
        <v>20400</v>
      </c>
      <c r="C4536" t="s">
        <v>1199</v>
      </c>
      <c r="D4536">
        <v>0</v>
      </c>
      <c r="E4536" t="s">
        <v>427</v>
      </c>
    </row>
    <row r="4537" spans="1:5" x14ac:dyDescent="0.25">
      <c r="A4537" s="34">
        <v>20400</v>
      </c>
      <c r="B4537" t="str">
        <f t="shared" si="71"/>
        <v>20400</v>
      </c>
      <c r="C4537" t="s">
        <v>1203</v>
      </c>
      <c r="D4537">
        <v>28</v>
      </c>
      <c r="E4537" t="s">
        <v>427</v>
      </c>
    </row>
    <row r="4538" spans="1:5" x14ac:dyDescent="0.25">
      <c r="A4538" s="34">
        <v>20400</v>
      </c>
      <c r="B4538" t="str">
        <f t="shared" si="71"/>
        <v>20400</v>
      </c>
      <c r="C4538" t="s">
        <v>1200</v>
      </c>
      <c r="D4538">
        <v>0</v>
      </c>
      <c r="E4538" t="s">
        <v>427</v>
      </c>
    </row>
    <row r="4539" spans="1:5" x14ac:dyDescent="0.25">
      <c r="A4539" s="34">
        <v>20400</v>
      </c>
      <c r="B4539" t="str">
        <f t="shared" si="71"/>
        <v>20400</v>
      </c>
      <c r="C4539" t="s">
        <v>1204</v>
      </c>
      <c r="D4539">
        <v>68.2</v>
      </c>
      <c r="E4539" t="s">
        <v>427</v>
      </c>
    </row>
    <row r="4540" spans="1:5" x14ac:dyDescent="0.25">
      <c r="A4540" s="34">
        <v>20400</v>
      </c>
      <c r="B4540" t="str">
        <f t="shared" si="71"/>
        <v>20400</v>
      </c>
      <c r="C4540" t="s">
        <v>1207</v>
      </c>
      <c r="D4540">
        <v>0</v>
      </c>
      <c r="E4540" t="s">
        <v>427</v>
      </c>
    </row>
    <row r="4541" spans="1:5" x14ac:dyDescent="0.25">
      <c r="A4541" s="34">
        <v>20400</v>
      </c>
      <c r="B4541" t="str">
        <f t="shared" si="71"/>
        <v>20400</v>
      </c>
      <c r="C4541" t="s">
        <v>1208</v>
      </c>
      <c r="D4541">
        <v>0.38</v>
      </c>
      <c r="E4541" t="s">
        <v>427</v>
      </c>
    </row>
    <row r="4542" spans="1:5" x14ac:dyDescent="0.25">
      <c r="A4542" s="34">
        <v>20400</v>
      </c>
      <c r="B4542" t="str">
        <f t="shared" si="71"/>
        <v>20400</v>
      </c>
      <c r="C4542" t="s">
        <v>1210</v>
      </c>
      <c r="D4542">
        <v>0</v>
      </c>
      <c r="E4542" t="s">
        <v>427</v>
      </c>
    </row>
    <row r="4543" spans="1:5" x14ac:dyDescent="0.25">
      <c r="A4543" s="34">
        <v>20400</v>
      </c>
      <c r="B4543" t="str">
        <f t="shared" si="71"/>
        <v>20400</v>
      </c>
      <c r="C4543" t="s">
        <v>1212</v>
      </c>
      <c r="D4543">
        <v>0</v>
      </c>
      <c r="E4543" t="s">
        <v>427</v>
      </c>
    </row>
    <row r="4544" spans="1:5" x14ac:dyDescent="0.25">
      <c r="A4544" s="34">
        <v>20400</v>
      </c>
      <c r="B4544" t="str">
        <f t="shared" si="71"/>
        <v>20400</v>
      </c>
      <c r="C4544" t="s">
        <v>1216</v>
      </c>
      <c r="D4544">
        <v>0</v>
      </c>
      <c r="E4544" t="s">
        <v>427</v>
      </c>
    </row>
    <row r="4545" spans="1:5" x14ac:dyDescent="0.25">
      <c r="A4545" s="34">
        <v>20400</v>
      </c>
      <c r="B4545" t="str">
        <f t="shared" si="71"/>
        <v>20400</v>
      </c>
      <c r="C4545" t="s">
        <v>1198</v>
      </c>
      <c r="D4545">
        <v>14.2</v>
      </c>
      <c r="E4545" t="s">
        <v>427</v>
      </c>
    </row>
    <row r="4546" spans="1:5" x14ac:dyDescent="0.25">
      <c r="A4546">
        <v>17406</v>
      </c>
      <c r="B4546" t="str">
        <f t="shared" si="71"/>
        <v>17406</v>
      </c>
      <c r="C4546" t="s">
        <v>1193</v>
      </c>
      <c r="D4546">
        <v>0</v>
      </c>
      <c r="E4546" t="s">
        <v>401</v>
      </c>
    </row>
    <row r="4547" spans="1:5" x14ac:dyDescent="0.25">
      <c r="A4547">
        <v>17406</v>
      </c>
      <c r="B4547" t="str">
        <f t="shared" ref="B4547:B4610" si="72">TEXT(A4547,"00000")</f>
        <v>17406</v>
      </c>
      <c r="C4547" t="s">
        <v>1194</v>
      </c>
      <c r="D4547">
        <v>609.6</v>
      </c>
      <c r="E4547" t="s">
        <v>401</v>
      </c>
    </row>
    <row r="4548" spans="1:5" x14ac:dyDescent="0.25">
      <c r="A4548">
        <v>17406</v>
      </c>
      <c r="B4548" t="str">
        <f t="shared" si="72"/>
        <v>17406</v>
      </c>
      <c r="C4548" t="s">
        <v>1195</v>
      </c>
      <c r="D4548">
        <v>0</v>
      </c>
      <c r="E4548" t="s">
        <v>401</v>
      </c>
    </row>
    <row r="4549" spans="1:5" x14ac:dyDescent="0.25">
      <c r="A4549">
        <v>17406</v>
      </c>
      <c r="B4549" t="str">
        <f t="shared" si="72"/>
        <v>17406</v>
      </c>
      <c r="C4549" t="s">
        <v>1197</v>
      </c>
      <c r="D4549">
        <v>186.6</v>
      </c>
      <c r="E4549" t="s">
        <v>401</v>
      </c>
    </row>
    <row r="4550" spans="1:5" x14ac:dyDescent="0.25">
      <c r="A4550">
        <v>17406</v>
      </c>
      <c r="B4550" t="str">
        <f t="shared" si="72"/>
        <v>17406</v>
      </c>
      <c r="C4550" t="s">
        <v>1202</v>
      </c>
      <c r="D4550">
        <v>0</v>
      </c>
      <c r="E4550" t="s">
        <v>401</v>
      </c>
    </row>
    <row r="4551" spans="1:5" x14ac:dyDescent="0.25">
      <c r="A4551">
        <v>17406</v>
      </c>
      <c r="B4551" t="str">
        <f t="shared" si="72"/>
        <v>17406</v>
      </c>
      <c r="C4551" t="s">
        <v>1206</v>
      </c>
      <c r="D4551">
        <v>436.82</v>
      </c>
      <c r="E4551" t="s">
        <v>401</v>
      </c>
    </row>
    <row r="4552" spans="1:5" x14ac:dyDescent="0.25">
      <c r="A4552">
        <v>17406</v>
      </c>
      <c r="B4552" t="str">
        <f t="shared" si="72"/>
        <v>17406</v>
      </c>
      <c r="C4552" t="s">
        <v>1199</v>
      </c>
      <c r="D4552">
        <v>0</v>
      </c>
      <c r="E4552" t="s">
        <v>401</v>
      </c>
    </row>
    <row r="4553" spans="1:5" x14ac:dyDescent="0.25">
      <c r="A4553">
        <v>17406</v>
      </c>
      <c r="B4553" t="str">
        <f t="shared" si="72"/>
        <v>17406</v>
      </c>
      <c r="C4553" t="s">
        <v>1203</v>
      </c>
      <c r="D4553">
        <v>416.44</v>
      </c>
      <c r="E4553" t="s">
        <v>401</v>
      </c>
    </row>
    <row r="4554" spans="1:5" x14ac:dyDescent="0.25">
      <c r="A4554">
        <v>17406</v>
      </c>
      <c r="B4554" t="str">
        <f t="shared" si="72"/>
        <v>17406</v>
      </c>
      <c r="C4554" t="s">
        <v>1200</v>
      </c>
      <c r="D4554">
        <v>0</v>
      </c>
      <c r="E4554" t="s">
        <v>401</v>
      </c>
    </row>
    <row r="4555" spans="1:5" x14ac:dyDescent="0.25">
      <c r="A4555">
        <v>17406</v>
      </c>
      <c r="B4555" t="str">
        <f t="shared" si="72"/>
        <v>17406</v>
      </c>
      <c r="C4555" t="s">
        <v>1204</v>
      </c>
      <c r="D4555">
        <v>779.04</v>
      </c>
      <c r="E4555" t="s">
        <v>401</v>
      </c>
    </row>
    <row r="4556" spans="1:5" x14ac:dyDescent="0.25">
      <c r="A4556">
        <v>17406</v>
      </c>
      <c r="B4556" t="str">
        <f t="shared" si="72"/>
        <v>17406</v>
      </c>
      <c r="C4556" t="s">
        <v>1207</v>
      </c>
      <c r="D4556">
        <v>13.77</v>
      </c>
      <c r="E4556" t="s">
        <v>401</v>
      </c>
    </row>
    <row r="4557" spans="1:5" x14ac:dyDescent="0.25">
      <c r="A4557">
        <v>17406</v>
      </c>
      <c r="B4557" t="str">
        <f t="shared" si="72"/>
        <v>17406</v>
      </c>
      <c r="C4557" t="s">
        <v>1208</v>
      </c>
      <c r="D4557">
        <v>165.51</v>
      </c>
      <c r="E4557" t="s">
        <v>401</v>
      </c>
    </row>
    <row r="4558" spans="1:5" x14ac:dyDescent="0.25">
      <c r="A4558">
        <v>17406</v>
      </c>
      <c r="B4558" t="str">
        <f t="shared" si="72"/>
        <v>17406</v>
      </c>
      <c r="C4558" t="s">
        <v>1210</v>
      </c>
      <c r="D4558">
        <v>0</v>
      </c>
      <c r="E4558" t="s">
        <v>401</v>
      </c>
    </row>
    <row r="4559" spans="1:5" x14ac:dyDescent="0.25">
      <c r="A4559">
        <v>17406</v>
      </c>
      <c r="B4559" t="str">
        <f t="shared" si="72"/>
        <v>17406</v>
      </c>
      <c r="C4559" t="s">
        <v>1212</v>
      </c>
      <c r="D4559">
        <v>0</v>
      </c>
      <c r="E4559" t="s">
        <v>401</v>
      </c>
    </row>
    <row r="4560" spans="1:5" x14ac:dyDescent="0.25">
      <c r="A4560">
        <v>17406</v>
      </c>
      <c r="B4560" t="str">
        <f t="shared" si="72"/>
        <v>17406</v>
      </c>
      <c r="C4560" t="s">
        <v>1216</v>
      </c>
      <c r="D4560">
        <v>0</v>
      </c>
      <c r="E4560" t="s">
        <v>401</v>
      </c>
    </row>
    <row r="4561" spans="1:5" x14ac:dyDescent="0.25">
      <c r="A4561">
        <v>17406</v>
      </c>
      <c r="B4561" t="str">
        <f t="shared" si="72"/>
        <v>17406</v>
      </c>
      <c r="C4561" t="s">
        <v>1198</v>
      </c>
      <c r="D4561">
        <v>189.8</v>
      </c>
      <c r="E4561" t="s">
        <v>401</v>
      </c>
    </row>
    <row r="4562" spans="1:5" x14ac:dyDescent="0.25">
      <c r="A4562">
        <v>34033</v>
      </c>
      <c r="B4562" t="str">
        <f t="shared" si="72"/>
        <v>34033</v>
      </c>
      <c r="C4562" t="s">
        <v>1193</v>
      </c>
      <c r="D4562">
        <v>0</v>
      </c>
      <c r="E4562" t="s">
        <v>550</v>
      </c>
    </row>
    <row r="4563" spans="1:5" x14ac:dyDescent="0.25">
      <c r="A4563">
        <v>34033</v>
      </c>
      <c r="B4563" t="str">
        <f t="shared" si="72"/>
        <v>34033</v>
      </c>
      <c r="C4563" t="s">
        <v>1194</v>
      </c>
      <c r="D4563">
        <v>1363.09</v>
      </c>
      <c r="E4563" t="s">
        <v>550</v>
      </c>
    </row>
    <row r="4564" spans="1:5" x14ac:dyDescent="0.25">
      <c r="A4564">
        <v>34033</v>
      </c>
      <c r="B4564" t="str">
        <f t="shared" si="72"/>
        <v>34033</v>
      </c>
      <c r="C4564" t="s">
        <v>1195</v>
      </c>
      <c r="D4564">
        <v>0</v>
      </c>
      <c r="E4564" t="s">
        <v>550</v>
      </c>
    </row>
    <row r="4565" spans="1:5" x14ac:dyDescent="0.25">
      <c r="A4565">
        <v>34033</v>
      </c>
      <c r="B4565" t="str">
        <f t="shared" si="72"/>
        <v>34033</v>
      </c>
      <c r="C4565" t="s">
        <v>1197</v>
      </c>
      <c r="D4565">
        <v>441.62</v>
      </c>
      <c r="E4565" t="s">
        <v>550</v>
      </c>
    </row>
    <row r="4566" spans="1:5" x14ac:dyDescent="0.25">
      <c r="A4566">
        <v>34033</v>
      </c>
      <c r="B4566" t="str">
        <f t="shared" si="72"/>
        <v>34033</v>
      </c>
      <c r="C4566" t="s">
        <v>1202</v>
      </c>
      <c r="D4566">
        <v>0</v>
      </c>
      <c r="E4566" t="s">
        <v>550</v>
      </c>
    </row>
    <row r="4567" spans="1:5" x14ac:dyDescent="0.25">
      <c r="A4567">
        <v>34033</v>
      </c>
      <c r="B4567" t="str">
        <f t="shared" si="72"/>
        <v>34033</v>
      </c>
      <c r="C4567" t="s">
        <v>1206</v>
      </c>
      <c r="D4567">
        <v>931.8</v>
      </c>
      <c r="E4567" t="s">
        <v>550</v>
      </c>
    </row>
    <row r="4568" spans="1:5" x14ac:dyDescent="0.25">
      <c r="A4568">
        <v>34033</v>
      </c>
      <c r="B4568" t="str">
        <f t="shared" si="72"/>
        <v>34033</v>
      </c>
      <c r="C4568" t="s">
        <v>1199</v>
      </c>
      <c r="D4568">
        <v>0</v>
      </c>
      <c r="E4568" t="s">
        <v>550</v>
      </c>
    </row>
    <row r="4569" spans="1:5" x14ac:dyDescent="0.25">
      <c r="A4569">
        <v>34033</v>
      </c>
      <c r="B4569" t="str">
        <f t="shared" si="72"/>
        <v>34033</v>
      </c>
      <c r="C4569" t="s">
        <v>1203</v>
      </c>
      <c r="D4569">
        <v>961.13</v>
      </c>
      <c r="E4569" t="s">
        <v>550</v>
      </c>
    </row>
    <row r="4570" spans="1:5" x14ac:dyDescent="0.25">
      <c r="A4570">
        <v>34033</v>
      </c>
      <c r="B4570" t="str">
        <f t="shared" si="72"/>
        <v>34033</v>
      </c>
      <c r="C4570" t="s">
        <v>1200</v>
      </c>
      <c r="D4570">
        <v>0</v>
      </c>
      <c r="E4570" t="s">
        <v>550</v>
      </c>
    </row>
    <row r="4571" spans="1:5" x14ac:dyDescent="0.25">
      <c r="A4571">
        <v>34033</v>
      </c>
      <c r="B4571" t="str">
        <f t="shared" si="72"/>
        <v>34033</v>
      </c>
      <c r="C4571" t="s">
        <v>1204</v>
      </c>
      <c r="D4571">
        <v>2112.98</v>
      </c>
      <c r="E4571" t="s">
        <v>550</v>
      </c>
    </row>
    <row r="4572" spans="1:5" x14ac:dyDescent="0.25">
      <c r="A4572">
        <v>34033</v>
      </c>
      <c r="B4572" t="str">
        <f t="shared" si="72"/>
        <v>34033</v>
      </c>
      <c r="C4572" t="s">
        <v>1207</v>
      </c>
      <c r="D4572">
        <v>183.59</v>
      </c>
      <c r="E4572" t="s">
        <v>550</v>
      </c>
    </row>
    <row r="4573" spans="1:5" x14ac:dyDescent="0.25">
      <c r="A4573">
        <v>34033</v>
      </c>
      <c r="B4573" t="str">
        <f t="shared" si="72"/>
        <v>34033</v>
      </c>
      <c r="C4573" t="s">
        <v>1208</v>
      </c>
      <c r="D4573">
        <v>407.65</v>
      </c>
      <c r="E4573" t="s">
        <v>550</v>
      </c>
    </row>
    <row r="4574" spans="1:5" x14ac:dyDescent="0.25">
      <c r="A4574">
        <v>34033</v>
      </c>
      <c r="B4574" t="str">
        <f t="shared" si="72"/>
        <v>34033</v>
      </c>
      <c r="C4574" t="s">
        <v>1210</v>
      </c>
      <c r="D4574">
        <v>0</v>
      </c>
      <c r="E4574" t="s">
        <v>550</v>
      </c>
    </row>
    <row r="4575" spans="1:5" x14ac:dyDescent="0.25">
      <c r="A4575">
        <v>34033</v>
      </c>
      <c r="B4575" t="str">
        <f t="shared" si="72"/>
        <v>34033</v>
      </c>
      <c r="C4575" t="s">
        <v>1212</v>
      </c>
      <c r="D4575">
        <v>518.85</v>
      </c>
      <c r="E4575" t="s">
        <v>550</v>
      </c>
    </row>
    <row r="4576" spans="1:5" x14ac:dyDescent="0.25">
      <c r="A4576">
        <v>34033</v>
      </c>
      <c r="B4576" t="str">
        <f t="shared" si="72"/>
        <v>34033</v>
      </c>
      <c r="C4576" t="s">
        <v>1216</v>
      </c>
      <c r="D4576">
        <v>5.6</v>
      </c>
      <c r="E4576" t="s">
        <v>550</v>
      </c>
    </row>
    <row r="4577" spans="1:5" x14ac:dyDescent="0.25">
      <c r="A4577">
        <v>34033</v>
      </c>
      <c r="B4577" t="str">
        <f t="shared" si="72"/>
        <v>34033</v>
      </c>
      <c r="C4577" t="s">
        <v>1198</v>
      </c>
      <c r="D4577">
        <v>417.56</v>
      </c>
      <c r="E4577" t="s">
        <v>550</v>
      </c>
    </row>
    <row r="4578" spans="1:5" x14ac:dyDescent="0.25">
      <c r="A4578">
        <v>39002</v>
      </c>
      <c r="B4578" t="str">
        <f t="shared" si="72"/>
        <v>39002</v>
      </c>
      <c r="C4578" t="s">
        <v>1193</v>
      </c>
      <c r="D4578">
        <v>0</v>
      </c>
      <c r="E4578" t="s">
        <v>585</v>
      </c>
    </row>
    <row r="4579" spans="1:5" x14ac:dyDescent="0.25">
      <c r="A4579">
        <v>39002</v>
      </c>
      <c r="B4579" t="str">
        <f t="shared" si="72"/>
        <v>39002</v>
      </c>
      <c r="C4579" t="s">
        <v>1194</v>
      </c>
      <c r="D4579">
        <v>172.2</v>
      </c>
      <c r="E4579" t="s">
        <v>585</v>
      </c>
    </row>
    <row r="4580" spans="1:5" x14ac:dyDescent="0.25">
      <c r="A4580">
        <v>39002</v>
      </c>
      <c r="B4580" t="str">
        <f t="shared" si="72"/>
        <v>39002</v>
      </c>
      <c r="C4580" t="s">
        <v>1195</v>
      </c>
      <c r="D4580">
        <v>0</v>
      </c>
      <c r="E4580" t="s">
        <v>585</v>
      </c>
    </row>
    <row r="4581" spans="1:5" x14ac:dyDescent="0.25">
      <c r="A4581">
        <v>39002</v>
      </c>
      <c r="B4581" t="str">
        <f t="shared" si="72"/>
        <v>39002</v>
      </c>
      <c r="C4581" t="s">
        <v>1197</v>
      </c>
      <c r="D4581">
        <v>54.6</v>
      </c>
      <c r="E4581" t="s">
        <v>585</v>
      </c>
    </row>
    <row r="4582" spans="1:5" x14ac:dyDescent="0.25">
      <c r="A4582">
        <v>39002</v>
      </c>
      <c r="B4582" t="str">
        <f t="shared" si="72"/>
        <v>39002</v>
      </c>
      <c r="C4582" t="s">
        <v>1202</v>
      </c>
      <c r="D4582">
        <v>0</v>
      </c>
      <c r="E4582" t="s">
        <v>585</v>
      </c>
    </row>
    <row r="4583" spans="1:5" x14ac:dyDescent="0.25">
      <c r="A4583">
        <v>39002</v>
      </c>
      <c r="B4583" t="str">
        <f t="shared" si="72"/>
        <v>39002</v>
      </c>
      <c r="C4583" t="s">
        <v>1206</v>
      </c>
      <c r="D4583">
        <v>135</v>
      </c>
      <c r="E4583" t="s">
        <v>585</v>
      </c>
    </row>
    <row r="4584" spans="1:5" x14ac:dyDescent="0.25">
      <c r="A4584">
        <v>39002</v>
      </c>
      <c r="B4584" t="str">
        <f t="shared" si="72"/>
        <v>39002</v>
      </c>
      <c r="C4584" t="s">
        <v>1199</v>
      </c>
      <c r="D4584">
        <v>0</v>
      </c>
      <c r="E4584" t="s">
        <v>585</v>
      </c>
    </row>
    <row r="4585" spans="1:5" x14ac:dyDescent="0.25">
      <c r="A4585">
        <v>39002</v>
      </c>
      <c r="B4585" t="str">
        <f t="shared" si="72"/>
        <v>39002</v>
      </c>
      <c r="C4585" t="s">
        <v>1203</v>
      </c>
      <c r="D4585">
        <v>115.2</v>
      </c>
      <c r="E4585" t="s">
        <v>585</v>
      </c>
    </row>
    <row r="4586" spans="1:5" x14ac:dyDescent="0.25">
      <c r="A4586">
        <v>39002</v>
      </c>
      <c r="B4586" t="str">
        <f t="shared" si="72"/>
        <v>39002</v>
      </c>
      <c r="C4586" t="s">
        <v>1200</v>
      </c>
      <c r="D4586">
        <v>0</v>
      </c>
      <c r="E4586" t="s">
        <v>585</v>
      </c>
    </row>
    <row r="4587" spans="1:5" x14ac:dyDescent="0.25">
      <c r="A4587">
        <v>39002</v>
      </c>
      <c r="B4587" t="str">
        <f t="shared" si="72"/>
        <v>39002</v>
      </c>
      <c r="C4587" t="s">
        <v>1204</v>
      </c>
      <c r="D4587">
        <v>0</v>
      </c>
      <c r="E4587" t="s">
        <v>585</v>
      </c>
    </row>
    <row r="4588" spans="1:5" x14ac:dyDescent="0.25">
      <c r="A4588">
        <v>39002</v>
      </c>
      <c r="B4588" t="str">
        <f t="shared" si="72"/>
        <v>39002</v>
      </c>
      <c r="C4588" t="s">
        <v>1207</v>
      </c>
      <c r="D4588">
        <v>0</v>
      </c>
      <c r="E4588" t="s">
        <v>585</v>
      </c>
    </row>
    <row r="4589" spans="1:5" x14ac:dyDescent="0.25">
      <c r="A4589">
        <v>39002</v>
      </c>
      <c r="B4589" t="str">
        <f t="shared" si="72"/>
        <v>39002</v>
      </c>
      <c r="C4589" t="s">
        <v>1208</v>
      </c>
      <c r="D4589">
        <v>0</v>
      </c>
      <c r="E4589" t="s">
        <v>585</v>
      </c>
    </row>
    <row r="4590" spans="1:5" x14ac:dyDescent="0.25">
      <c r="A4590">
        <v>39002</v>
      </c>
      <c r="B4590" t="str">
        <f t="shared" si="72"/>
        <v>39002</v>
      </c>
      <c r="C4590" t="s">
        <v>1210</v>
      </c>
      <c r="D4590">
        <v>0</v>
      </c>
      <c r="E4590" t="s">
        <v>585</v>
      </c>
    </row>
    <row r="4591" spans="1:5" x14ac:dyDescent="0.25">
      <c r="A4591">
        <v>39002</v>
      </c>
      <c r="B4591" t="str">
        <f t="shared" si="72"/>
        <v>39002</v>
      </c>
      <c r="C4591" t="s">
        <v>1212</v>
      </c>
      <c r="D4591">
        <v>0</v>
      </c>
      <c r="E4591" t="s">
        <v>585</v>
      </c>
    </row>
    <row r="4592" spans="1:5" x14ac:dyDescent="0.25">
      <c r="A4592">
        <v>39002</v>
      </c>
      <c r="B4592" t="str">
        <f t="shared" si="72"/>
        <v>39002</v>
      </c>
      <c r="C4592" t="s">
        <v>1216</v>
      </c>
      <c r="D4592">
        <v>16.600000000000001</v>
      </c>
      <c r="E4592" t="s">
        <v>585</v>
      </c>
    </row>
    <row r="4593" spans="1:5" x14ac:dyDescent="0.25">
      <c r="A4593">
        <v>39002</v>
      </c>
      <c r="B4593" t="str">
        <f t="shared" si="72"/>
        <v>39002</v>
      </c>
      <c r="C4593" t="s">
        <v>1198</v>
      </c>
      <c r="D4593">
        <v>48.8</v>
      </c>
      <c r="E4593" t="s">
        <v>585</v>
      </c>
    </row>
    <row r="4594" spans="1:5" x14ac:dyDescent="0.25">
      <c r="A4594">
        <v>27083</v>
      </c>
      <c r="B4594" t="str">
        <f t="shared" si="72"/>
        <v>27083</v>
      </c>
      <c r="C4594" t="s">
        <v>1193</v>
      </c>
      <c r="D4594">
        <v>0</v>
      </c>
      <c r="E4594" t="s">
        <v>483</v>
      </c>
    </row>
    <row r="4595" spans="1:5" x14ac:dyDescent="0.25">
      <c r="A4595">
        <v>27083</v>
      </c>
      <c r="B4595" t="str">
        <f t="shared" si="72"/>
        <v>27083</v>
      </c>
      <c r="C4595" t="s">
        <v>1194</v>
      </c>
      <c r="D4595">
        <v>1216.17</v>
      </c>
      <c r="E4595" t="s">
        <v>483</v>
      </c>
    </row>
    <row r="4596" spans="1:5" x14ac:dyDescent="0.25">
      <c r="A4596">
        <v>27083</v>
      </c>
      <c r="B4596" t="str">
        <f t="shared" si="72"/>
        <v>27083</v>
      </c>
      <c r="C4596" t="s">
        <v>1195</v>
      </c>
      <c r="D4596">
        <v>0</v>
      </c>
      <c r="E4596" t="s">
        <v>483</v>
      </c>
    </row>
    <row r="4597" spans="1:5" x14ac:dyDescent="0.25">
      <c r="A4597">
        <v>27083</v>
      </c>
      <c r="B4597" t="str">
        <f t="shared" si="72"/>
        <v>27083</v>
      </c>
      <c r="C4597" t="s">
        <v>1197</v>
      </c>
      <c r="D4597">
        <v>403.6</v>
      </c>
      <c r="E4597" t="s">
        <v>483</v>
      </c>
    </row>
    <row r="4598" spans="1:5" x14ac:dyDescent="0.25">
      <c r="A4598">
        <v>27083</v>
      </c>
      <c r="B4598" t="str">
        <f t="shared" si="72"/>
        <v>27083</v>
      </c>
      <c r="C4598" t="s">
        <v>1202</v>
      </c>
      <c r="D4598">
        <v>0</v>
      </c>
      <c r="E4598" t="s">
        <v>483</v>
      </c>
    </row>
    <row r="4599" spans="1:5" x14ac:dyDescent="0.25">
      <c r="A4599">
        <v>27083</v>
      </c>
      <c r="B4599" t="str">
        <f t="shared" si="72"/>
        <v>27083</v>
      </c>
      <c r="C4599" t="s">
        <v>1206</v>
      </c>
      <c r="D4599">
        <v>867.54</v>
      </c>
      <c r="E4599" t="s">
        <v>483</v>
      </c>
    </row>
    <row r="4600" spans="1:5" x14ac:dyDescent="0.25">
      <c r="A4600">
        <v>27083</v>
      </c>
      <c r="B4600" t="str">
        <f t="shared" si="72"/>
        <v>27083</v>
      </c>
      <c r="C4600" t="s">
        <v>1199</v>
      </c>
      <c r="D4600">
        <v>0</v>
      </c>
      <c r="E4600" t="s">
        <v>483</v>
      </c>
    </row>
    <row r="4601" spans="1:5" x14ac:dyDescent="0.25">
      <c r="A4601">
        <v>27083</v>
      </c>
      <c r="B4601" t="str">
        <f t="shared" si="72"/>
        <v>27083</v>
      </c>
      <c r="C4601" t="s">
        <v>1203</v>
      </c>
      <c r="D4601">
        <v>954.75</v>
      </c>
      <c r="E4601" t="s">
        <v>483</v>
      </c>
    </row>
    <row r="4602" spans="1:5" x14ac:dyDescent="0.25">
      <c r="A4602">
        <v>27083</v>
      </c>
      <c r="B4602" t="str">
        <f t="shared" si="72"/>
        <v>27083</v>
      </c>
      <c r="C4602" t="s">
        <v>1200</v>
      </c>
      <c r="D4602">
        <v>0</v>
      </c>
      <c r="E4602" t="s">
        <v>483</v>
      </c>
    </row>
    <row r="4603" spans="1:5" x14ac:dyDescent="0.25">
      <c r="A4603">
        <v>27083</v>
      </c>
      <c r="B4603" t="str">
        <f t="shared" si="72"/>
        <v>27083</v>
      </c>
      <c r="C4603" t="s">
        <v>1204</v>
      </c>
      <c r="D4603">
        <v>1509.72</v>
      </c>
      <c r="E4603" t="s">
        <v>483</v>
      </c>
    </row>
    <row r="4604" spans="1:5" x14ac:dyDescent="0.25">
      <c r="A4604">
        <v>27083</v>
      </c>
      <c r="B4604" t="str">
        <f t="shared" si="72"/>
        <v>27083</v>
      </c>
      <c r="C4604" t="s">
        <v>1207</v>
      </c>
      <c r="D4604">
        <v>0</v>
      </c>
      <c r="E4604" t="s">
        <v>483</v>
      </c>
    </row>
    <row r="4605" spans="1:5" x14ac:dyDescent="0.25">
      <c r="A4605">
        <v>27083</v>
      </c>
      <c r="B4605" t="str">
        <f t="shared" si="72"/>
        <v>27083</v>
      </c>
      <c r="C4605" t="s">
        <v>1208</v>
      </c>
      <c r="D4605">
        <v>302.69</v>
      </c>
      <c r="E4605" t="s">
        <v>483</v>
      </c>
    </row>
    <row r="4606" spans="1:5" x14ac:dyDescent="0.25">
      <c r="A4606">
        <v>27083</v>
      </c>
      <c r="B4606" t="str">
        <f t="shared" si="72"/>
        <v>27083</v>
      </c>
      <c r="C4606" t="s">
        <v>1210</v>
      </c>
      <c r="D4606">
        <v>0</v>
      </c>
      <c r="E4606" t="s">
        <v>483</v>
      </c>
    </row>
    <row r="4607" spans="1:5" x14ac:dyDescent="0.25">
      <c r="A4607">
        <v>27083</v>
      </c>
      <c r="B4607" t="str">
        <f t="shared" si="72"/>
        <v>27083</v>
      </c>
      <c r="C4607" t="s">
        <v>1212</v>
      </c>
      <c r="D4607">
        <v>0</v>
      </c>
      <c r="E4607" t="s">
        <v>483</v>
      </c>
    </row>
    <row r="4608" spans="1:5" x14ac:dyDescent="0.25">
      <c r="A4608">
        <v>27083</v>
      </c>
      <c r="B4608" t="str">
        <f t="shared" si="72"/>
        <v>27083</v>
      </c>
      <c r="C4608" t="s">
        <v>1216</v>
      </c>
      <c r="D4608">
        <v>29.4</v>
      </c>
      <c r="E4608" t="s">
        <v>483</v>
      </c>
    </row>
    <row r="4609" spans="1:5" x14ac:dyDescent="0.25">
      <c r="A4609">
        <v>27083</v>
      </c>
      <c r="B4609" t="str">
        <f t="shared" si="72"/>
        <v>27083</v>
      </c>
      <c r="C4609" t="s">
        <v>1198</v>
      </c>
      <c r="D4609">
        <v>371.89</v>
      </c>
      <c r="E4609" t="s">
        <v>483</v>
      </c>
    </row>
    <row r="4610" spans="1:5" x14ac:dyDescent="0.25">
      <c r="A4610">
        <v>33070</v>
      </c>
      <c r="B4610" t="str">
        <f t="shared" si="72"/>
        <v>33070</v>
      </c>
      <c r="C4610" t="s">
        <v>1193</v>
      </c>
      <c r="D4610">
        <v>0</v>
      </c>
      <c r="E4610" t="s">
        <v>539</v>
      </c>
    </row>
    <row r="4611" spans="1:5" x14ac:dyDescent="0.25">
      <c r="A4611">
        <v>33070</v>
      </c>
      <c r="B4611" t="str">
        <f t="shared" ref="B4611:B4674" si="73">TEXT(A4611,"00000")</f>
        <v>33070</v>
      </c>
      <c r="C4611" t="s">
        <v>1194</v>
      </c>
      <c r="D4611">
        <v>66.400000000000006</v>
      </c>
      <c r="E4611" t="s">
        <v>539</v>
      </c>
    </row>
    <row r="4612" spans="1:5" x14ac:dyDescent="0.25">
      <c r="A4612">
        <v>33070</v>
      </c>
      <c r="B4612" t="str">
        <f t="shared" si="73"/>
        <v>33070</v>
      </c>
      <c r="C4612" t="s">
        <v>1195</v>
      </c>
      <c r="D4612">
        <v>0</v>
      </c>
      <c r="E4612" t="s">
        <v>539</v>
      </c>
    </row>
    <row r="4613" spans="1:5" x14ac:dyDescent="0.25">
      <c r="A4613">
        <v>33070</v>
      </c>
      <c r="B4613" t="str">
        <f t="shared" si="73"/>
        <v>33070</v>
      </c>
      <c r="C4613" t="s">
        <v>1197</v>
      </c>
      <c r="D4613">
        <v>17</v>
      </c>
      <c r="E4613" t="s">
        <v>539</v>
      </c>
    </row>
    <row r="4614" spans="1:5" x14ac:dyDescent="0.25">
      <c r="A4614">
        <v>33070</v>
      </c>
      <c r="B4614" t="str">
        <f t="shared" si="73"/>
        <v>33070</v>
      </c>
      <c r="C4614" t="s">
        <v>1202</v>
      </c>
      <c r="D4614">
        <v>0</v>
      </c>
      <c r="E4614" t="s">
        <v>539</v>
      </c>
    </row>
    <row r="4615" spans="1:5" x14ac:dyDescent="0.25">
      <c r="A4615">
        <v>33070</v>
      </c>
      <c r="B4615" t="str">
        <f t="shared" si="73"/>
        <v>33070</v>
      </c>
      <c r="C4615" t="s">
        <v>1206</v>
      </c>
      <c r="D4615">
        <v>35.4</v>
      </c>
      <c r="E4615" t="s">
        <v>539</v>
      </c>
    </row>
    <row r="4616" spans="1:5" x14ac:dyDescent="0.25">
      <c r="A4616">
        <v>33070</v>
      </c>
      <c r="B4616" t="str">
        <f t="shared" si="73"/>
        <v>33070</v>
      </c>
      <c r="C4616" t="s">
        <v>1199</v>
      </c>
      <c r="D4616">
        <v>0</v>
      </c>
      <c r="E4616" t="s">
        <v>539</v>
      </c>
    </row>
    <row r="4617" spans="1:5" x14ac:dyDescent="0.25">
      <c r="A4617">
        <v>33070</v>
      </c>
      <c r="B4617" t="str">
        <f t="shared" si="73"/>
        <v>33070</v>
      </c>
      <c r="C4617" t="s">
        <v>1203</v>
      </c>
      <c r="D4617">
        <v>27.31</v>
      </c>
      <c r="E4617" t="s">
        <v>539</v>
      </c>
    </row>
    <row r="4618" spans="1:5" x14ac:dyDescent="0.25">
      <c r="A4618">
        <v>33070</v>
      </c>
      <c r="B4618" t="str">
        <f t="shared" si="73"/>
        <v>33070</v>
      </c>
      <c r="C4618" t="s">
        <v>1200</v>
      </c>
      <c r="D4618">
        <v>0</v>
      </c>
      <c r="E4618" t="s">
        <v>539</v>
      </c>
    </row>
    <row r="4619" spans="1:5" x14ac:dyDescent="0.25">
      <c r="A4619">
        <v>33070</v>
      </c>
      <c r="B4619" t="str">
        <f t="shared" si="73"/>
        <v>33070</v>
      </c>
      <c r="C4619" t="s">
        <v>1204</v>
      </c>
      <c r="D4619">
        <v>21.66</v>
      </c>
      <c r="E4619" t="s">
        <v>539</v>
      </c>
    </row>
    <row r="4620" spans="1:5" x14ac:dyDescent="0.25">
      <c r="A4620">
        <v>33070</v>
      </c>
      <c r="B4620" t="str">
        <f t="shared" si="73"/>
        <v>33070</v>
      </c>
      <c r="C4620" t="s">
        <v>1207</v>
      </c>
      <c r="D4620">
        <v>0</v>
      </c>
      <c r="E4620" t="s">
        <v>539</v>
      </c>
    </row>
    <row r="4621" spans="1:5" x14ac:dyDescent="0.25">
      <c r="A4621">
        <v>33070</v>
      </c>
      <c r="B4621" t="str">
        <f t="shared" si="73"/>
        <v>33070</v>
      </c>
      <c r="C4621" t="s">
        <v>1208</v>
      </c>
      <c r="D4621">
        <v>0</v>
      </c>
      <c r="E4621" t="s">
        <v>539</v>
      </c>
    </row>
    <row r="4622" spans="1:5" x14ac:dyDescent="0.25">
      <c r="A4622">
        <v>33070</v>
      </c>
      <c r="B4622" t="str">
        <f t="shared" si="73"/>
        <v>33070</v>
      </c>
      <c r="C4622" t="s">
        <v>1210</v>
      </c>
      <c r="D4622">
        <v>0</v>
      </c>
      <c r="E4622" t="s">
        <v>539</v>
      </c>
    </row>
    <row r="4623" spans="1:5" x14ac:dyDescent="0.25">
      <c r="A4623">
        <v>33070</v>
      </c>
      <c r="B4623" t="str">
        <f t="shared" si="73"/>
        <v>33070</v>
      </c>
      <c r="C4623" t="s">
        <v>1212</v>
      </c>
      <c r="D4623">
        <v>0</v>
      </c>
      <c r="E4623" t="s">
        <v>539</v>
      </c>
    </row>
    <row r="4624" spans="1:5" x14ac:dyDescent="0.25">
      <c r="A4624">
        <v>33070</v>
      </c>
      <c r="B4624" t="str">
        <f t="shared" si="73"/>
        <v>33070</v>
      </c>
      <c r="C4624" t="s">
        <v>1216</v>
      </c>
      <c r="D4624">
        <v>14</v>
      </c>
      <c r="E4624" t="s">
        <v>539</v>
      </c>
    </row>
    <row r="4625" spans="1:5" x14ac:dyDescent="0.25">
      <c r="A4625">
        <v>33070</v>
      </c>
      <c r="B4625" t="str">
        <f t="shared" si="73"/>
        <v>33070</v>
      </c>
      <c r="C4625" t="s">
        <v>1198</v>
      </c>
      <c r="D4625">
        <v>16.600000000000001</v>
      </c>
      <c r="E4625" t="s">
        <v>539</v>
      </c>
    </row>
    <row r="4626" spans="1:5" x14ac:dyDescent="0.25">
      <c r="A4626" t="s">
        <v>32</v>
      </c>
      <c r="B4626" t="str">
        <f t="shared" si="73"/>
        <v>06037</v>
      </c>
      <c r="C4626" t="s">
        <v>1193</v>
      </c>
      <c r="D4626">
        <v>0</v>
      </c>
      <c r="E4626" t="s">
        <v>328</v>
      </c>
    </row>
    <row r="4627" spans="1:5" x14ac:dyDescent="0.25">
      <c r="A4627" t="s">
        <v>32</v>
      </c>
      <c r="B4627" t="str">
        <f t="shared" si="73"/>
        <v>06037</v>
      </c>
      <c r="C4627" t="s">
        <v>1194</v>
      </c>
      <c r="D4627">
        <v>4585.93</v>
      </c>
      <c r="E4627" t="s">
        <v>328</v>
      </c>
    </row>
    <row r="4628" spans="1:5" x14ac:dyDescent="0.25">
      <c r="A4628" t="s">
        <v>32</v>
      </c>
      <c r="B4628" t="str">
        <f t="shared" si="73"/>
        <v>06037</v>
      </c>
      <c r="C4628" t="s">
        <v>1195</v>
      </c>
      <c r="D4628">
        <v>0</v>
      </c>
      <c r="E4628" t="s">
        <v>328</v>
      </c>
    </row>
    <row r="4629" spans="1:5" x14ac:dyDescent="0.25">
      <c r="A4629" t="s">
        <v>32</v>
      </c>
      <c r="B4629" t="str">
        <f t="shared" si="73"/>
        <v>06037</v>
      </c>
      <c r="C4629" t="s">
        <v>1197</v>
      </c>
      <c r="D4629">
        <v>1573.49</v>
      </c>
      <c r="E4629" t="s">
        <v>328</v>
      </c>
    </row>
    <row r="4630" spans="1:5" x14ac:dyDescent="0.25">
      <c r="A4630" t="s">
        <v>32</v>
      </c>
      <c r="B4630" t="str">
        <f t="shared" si="73"/>
        <v>06037</v>
      </c>
      <c r="C4630" t="s">
        <v>1202</v>
      </c>
      <c r="D4630">
        <v>0</v>
      </c>
      <c r="E4630" t="s">
        <v>328</v>
      </c>
    </row>
    <row r="4631" spans="1:5" x14ac:dyDescent="0.25">
      <c r="A4631" t="s">
        <v>32</v>
      </c>
      <c r="B4631" t="str">
        <f t="shared" si="73"/>
        <v>06037</v>
      </c>
      <c r="C4631" t="s">
        <v>1206</v>
      </c>
      <c r="D4631">
        <v>3211.46</v>
      </c>
      <c r="E4631" t="s">
        <v>328</v>
      </c>
    </row>
    <row r="4632" spans="1:5" x14ac:dyDescent="0.25">
      <c r="A4632" t="s">
        <v>32</v>
      </c>
      <c r="B4632" t="str">
        <f t="shared" si="73"/>
        <v>06037</v>
      </c>
      <c r="C4632" t="s">
        <v>1199</v>
      </c>
      <c r="D4632">
        <v>0</v>
      </c>
      <c r="E4632" t="s">
        <v>328</v>
      </c>
    </row>
    <row r="4633" spans="1:5" x14ac:dyDescent="0.25">
      <c r="A4633" t="s">
        <v>32</v>
      </c>
      <c r="B4633" t="str">
        <f t="shared" si="73"/>
        <v>06037</v>
      </c>
      <c r="C4633" t="s">
        <v>1203</v>
      </c>
      <c r="D4633">
        <v>3087.66</v>
      </c>
      <c r="E4633" t="s">
        <v>328</v>
      </c>
    </row>
    <row r="4634" spans="1:5" x14ac:dyDescent="0.25">
      <c r="A4634" t="s">
        <v>32</v>
      </c>
      <c r="B4634" t="str">
        <f t="shared" si="73"/>
        <v>06037</v>
      </c>
      <c r="C4634" t="s">
        <v>1200</v>
      </c>
      <c r="D4634">
        <v>0</v>
      </c>
      <c r="E4634" t="s">
        <v>328</v>
      </c>
    </row>
    <row r="4635" spans="1:5" x14ac:dyDescent="0.25">
      <c r="A4635" t="s">
        <v>32</v>
      </c>
      <c r="B4635" t="str">
        <f t="shared" si="73"/>
        <v>06037</v>
      </c>
      <c r="C4635" t="s">
        <v>1204</v>
      </c>
      <c r="D4635">
        <v>5924.58</v>
      </c>
      <c r="E4635" t="s">
        <v>328</v>
      </c>
    </row>
    <row r="4636" spans="1:5" x14ac:dyDescent="0.25">
      <c r="A4636" t="s">
        <v>32</v>
      </c>
      <c r="B4636" t="str">
        <f t="shared" si="73"/>
        <v>06037</v>
      </c>
      <c r="C4636" t="s">
        <v>1207</v>
      </c>
      <c r="D4636">
        <v>329.69</v>
      </c>
      <c r="E4636" t="s">
        <v>328</v>
      </c>
    </row>
    <row r="4637" spans="1:5" x14ac:dyDescent="0.25">
      <c r="A4637" t="s">
        <v>32</v>
      </c>
      <c r="B4637" t="str">
        <f t="shared" si="73"/>
        <v>06037</v>
      </c>
      <c r="C4637" t="s">
        <v>1208</v>
      </c>
      <c r="D4637">
        <v>1701.22</v>
      </c>
      <c r="E4637" t="s">
        <v>328</v>
      </c>
    </row>
    <row r="4638" spans="1:5" x14ac:dyDescent="0.25">
      <c r="A4638" t="s">
        <v>32</v>
      </c>
      <c r="B4638" t="str">
        <f t="shared" si="73"/>
        <v>06037</v>
      </c>
      <c r="C4638" t="s">
        <v>1210</v>
      </c>
      <c r="D4638">
        <v>0</v>
      </c>
      <c r="E4638" t="s">
        <v>328</v>
      </c>
    </row>
    <row r="4639" spans="1:5" x14ac:dyDescent="0.25">
      <c r="A4639" t="s">
        <v>32</v>
      </c>
      <c r="B4639" t="str">
        <f t="shared" si="73"/>
        <v>06037</v>
      </c>
      <c r="C4639" t="s">
        <v>1212</v>
      </c>
      <c r="D4639">
        <v>0</v>
      </c>
      <c r="E4639" t="s">
        <v>328</v>
      </c>
    </row>
    <row r="4640" spans="1:5" x14ac:dyDescent="0.25">
      <c r="A4640" t="s">
        <v>32</v>
      </c>
      <c r="B4640" t="str">
        <f t="shared" si="73"/>
        <v>06037</v>
      </c>
      <c r="C4640" t="s">
        <v>1216</v>
      </c>
      <c r="D4640">
        <v>228.75</v>
      </c>
      <c r="E4640" t="s">
        <v>328</v>
      </c>
    </row>
    <row r="4641" spans="1:5" x14ac:dyDescent="0.25">
      <c r="A4641" t="s">
        <v>32</v>
      </c>
      <c r="B4641" t="str">
        <f t="shared" si="73"/>
        <v>06037</v>
      </c>
      <c r="C4641" t="s">
        <v>1198</v>
      </c>
      <c r="D4641">
        <v>1427.17</v>
      </c>
      <c r="E4641" t="s">
        <v>328</v>
      </c>
    </row>
    <row r="4642" spans="1:5" x14ac:dyDescent="0.25">
      <c r="A4642" s="34">
        <v>17402</v>
      </c>
      <c r="B4642" t="str">
        <f t="shared" si="73"/>
        <v>17402</v>
      </c>
      <c r="C4642" t="s">
        <v>1193</v>
      </c>
      <c r="D4642">
        <v>0</v>
      </c>
      <c r="E4642" t="s">
        <v>397</v>
      </c>
    </row>
    <row r="4643" spans="1:5" x14ac:dyDescent="0.25">
      <c r="A4643" s="34">
        <v>17402</v>
      </c>
      <c r="B4643" t="str">
        <f t="shared" si="73"/>
        <v>17402</v>
      </c>
      <c r="C4643" t="s">
        <v>1194</v>
      </c>
      <c r="D4643">
        <v>203.32</v>
      </c>
      <c r="E4643" t="s">
        <v>397</v>
      </c>
    </row>
    <row r="4644" spans="1:5" x14ac:dyDescent="0.25">
      <c r="A4644" s="34">
        <v>17402</v>
      </c>
      <c r="B4644" t="str">
        <f t="shared" si="73"/>
        <v>17402</v>
      </c>
      <c r="C4644" t="s">
        <v>1195</v>
      </c>
      <c r="D4644">
        <v>0</v>
      </c>
      <c r="E4644" t="s">
        <v>397</v>
      </c>
    </row>
    <row r="4645" spans="1:5" x14ac:dyDescent="0.25">
      <c r="A4645" s="34">
        <v>17402</v>
      </c>
      <c r="B4645" t="str">
        <f t="shared" si="73"/>
        <v>17402</v>
      </c>
      <c r="C4645" t="s">
        <v>1197</v>
      </c>
      <c r="D4645">
        <v>78.94</v>
      </c>
      <c r="E4645" t="s">
        <v>397</v>
      </c>
    </row>
    <row r="4646" spans="1:5" x14ac:dyDescent="0.25">
      <c r="A4646" s="34">
        <v>17402</v>
      </c>
      <c r="B4646" t="str">
        <f t="shared" si="73"/>
        <v>17402</v>
      </c>
      <c r="C4646" t="s">
        <v>1202</v>
      </c>
      <c r="D4646">
        <v>0</v>
      </c>
      <c r="E4646" t="s">
        <v>397</v>
      </c>
    </row>
    <row r="4647" spans="1:5" x14ac:dyDescent="0.25">
      <c r="A4647" s="34">
        <v>17402</v>
      </c>
      <c r="B4647" t="str">
        <f t="shared" si="73"/>
        <v>17402</v>
      </c>
      <c r="C4647" t="s">
        <v>1206</v>
      </c>
      <c r="D4647">
        <v>209.18</v>
      </c>
      <c r="E4647" t="s">
        <v>397</v>
      </c>
    </row>
    <row r="4648" spans="1:5" x14ac:dyDescent="0.25">
      <c r="A4648" s="34">
        <v>17402</v>
      </c>
      <c r="B4648" t="str">
        <f t="shared" si="73"/>
        <v>17402</v>
      </c>
      <c r="C4648" t="s">
        <v>1199</v>
      </c>
      <c r="D4648">
        <v>0</v>
      </c>
      <c r="E4648" t="s">
        <v>397</v>
      </c>
    </row>
    <row r="4649" spans="1:5" x14ac:dyDescent="0.25">
      <c r="A4649" s="34">
        <v>17402</v>
      </c>
      <c r="B4649" t="str">
        <f t="shared" si="73"/>
        <v>17402</v>
      </c>
      <c r="C4649" t="s">
        <v>1203</v>
      </c>
      <c r="D4649">
        <v>247.84</v>
      </c>
      <c r="E4649" t="s">
        <v>397</v>
      </c>
    </row>
    <row r="4650" spans="1:5" x14ac:dyDescent="0.25">
      <c r="A4650" s="34">
        <v>17402</v>
      </c>
      <c r="B4650" t="str">
        <f t="shared" si="73"/>
        <v>17402</v>
      </c>
      <c r="C4650" t="s">
        <v>1200</v>
      </c>
      <c r="D4650">
        <v>0</v>
      </c>
      <c r="E4650" t="s">
        <v>397</v>
      </c>
    </row>
    <row r="4651" spans="1:5" x14ac:dyDescent="0.25">
      <c r="A4651" s="34">
        <v>17402</v>
      </c>
      <c r="B4651" t="str">
        <f t="shared" si="73"/>
        <v>17402</v>
      </c>
      <c r="C4651" t="s">
        <v>1204</v>
      </c>
      <c r="D4651">
        <v>473.87</v>
      </c>
      <c r="E4651" t="s">
        <v>397</v>
      </c>
    </row>
    <row r="4652" spans="1:5" x14ac:dyDescent="0.25">
      <c r="A4652" s="34">
        <v>17402</v>
      </c>
      <c r="B4652" t="str">
        <f t="shared" si="73"/>
        <v>17402</v>
      </c>
      <c r="C4652" t="s">
        <v>1207</v>
      </c>
      <c r="D4652">
        <v>51.05</v>
      </c>
      <c r="E4652" t="s">
        <v>397</v>
      </c>
    </row>
    <row r="4653" spans="1:5" x14ac:dyDescent="0.25">
      <c r="A4653" s="34">
        <v>17402</v>
      </c>
      <c r="B4653" t="str">
        <f t="shared" si="73"/>
        <v>17402</v>
      </c>
      <c r="C4653" t="s">
        <v>1208</v>
      </c>
      <c r="D4653">
        <v>90.05</v>
      </c>
      <c r="E4653" t="s">
        <v>397</v>
      </c>
    </row>
    <row r="4654" spans="1:5" x14ac:dyDescent="0.25">
      <c r="A4654" s="34">
        <v>17402</v>
      </c>
      <c r="B4654" t="str">
        <f t="shared" si="73"/>
        <v>17402</v>
      </c>
      <c r="C4654" t="s">
        <v>1210</v>
      </c>
      <c r="D4654">
        <v>0</v>
      </c>
      <c r="E4654" t="s">
        <v>397</v>
      </c>
    </row>
    <row r="4655" spans="1:5" x14ac:dyDescent="0.25">
      <c r="A4655" s="34">
        <v>17402</v>
      </c>
      <c r="B4655" t="str">
        <f t="shared" si="73"/>
        <v>17402</v>
      </c>
      <c r="C4655" t="s">
        <v>1212</v>
      </c>
      <c r="D4655">
        <v>0</v>
      </c>
      <c r="E4655" t="s">
        <v>397</v>
      </c>
    </row>
    <row r="4656" spans="1:5" x14ac:dyDescent="0.25">
      <c r="A4656" s="34">
        <v>17402</v>
      </c>
      <c r="B4656" t="str">
        <f t="shared" si="73"/>
        <v>17402</v>
      </c>
      <c r="C4656" t="s">
        <v>1216</v>
      </c>
      <c r="D4656">
        <v>0</v>
      </c>
      <c r="E4656" t="s">
        <v>397</v>
      </c>
    </row>
    <row r="4657" spans="1:5" x14ac:dyDescent="0.25">
      <c r="A4657" s="34">
        <v>17402</v>
      </c>
      <c r="B4657" t="str">
        <f t="shared" si="73"/>
        <v>17402</v>
      </c>
      <c r="C4657" t="s">
        <v>1198</v>
      </c>
      <c r="D4657">
        <v>70.64</v>
      </c>
      <c r="E4657" t="s">
        <v>397</v>
      </c>
    </row>
    <row r="4658" spans="1:5" x14ac:dyDescent="0.25">
      <c r="A4658">
        <v>34901</v>
      </c>
      <c r="B4658" t="str">
        <f t="shared" si="73"/>
        <v>34901</v>
      </c>
      <c r="C4658" t="s">
        <v>1193</v>
      </c>
      <c r="D4658">
        <v>0</v>
      </c>
      <c r="E4658" t="s">
        <v>1243</v>
      </c>
    </row>
    <row r="4659" spans="1:5" x14ac:dyDescent="0.25">
      <c r="A4659">
        <v>34901</v>
      </c>
      <c r="B4659" t="str">
        <f t="shared" si="73"/>
        <v>34901</v>
      </c>
      <c r="C4659" t="s">
        <v>1194</v>
      </c>
      <c r="D4659">
        <v>51.2</v>
      </c>
      <c r="E4659" t="s">
        <v>1243</v>
      </c>
    </row>
    <row r="4660" spans="1:5" x14ac:dyDescent="0.25">
      <c r="A4660">
        <v>34901</v>
      </c>
      <c r="B4660" t="str">
        <f t="shared" si="73"/>
        <v>34901</v>
      </c>
      <c r="C4660" t="s">
        <v>1195</v>
      </c>
      <c r="D4660">
        <v>0</v>
      </c>
      <c r="E4660" t="s">
        <v>1243</v>
      </c>
    </row>
    <row r="4661" spans="1:5" x14ac:dyDescent="0.25">
      <c r="A4661">
        <v>34901</v>
      </c>
      <c r="B4661" t="str">
        <f t="shared" si="73"/>
        <v>34901</v>
      </c>
      <c r="C4661" t="s">
        <v>1197</v>
      </c>
      <c r="D4661">
        <v>16.600000000000001</v>
      </c>
      <c r="E4661" t="s">
        <v>1243</v>
      </c>
    </row>
    <row r="4662" spans="1:5" x14ac:dyDescent="0.25">
      <c r="A4662">
        <v>34901</v>
      </c>
      <c r="B4662" t="str">
        <f t="shared" si="73"/>
        <v>34901</v>
      </c>
      <c r="C4662" t="s">
        <v>1202</v>
      </c>
      <c r="D4662">
        <v>0</v>
      </c>
      <c r="E4662" t="s">
        <v>1243</v>
      </c>
    </row>
    <row r="4663" spans="1:5" x14ac:dyDescent="0.25">
      <c r="A4663">
        <v>34901</v>
      </c>
      <c r="B4663" t="str">
        <f t="shared" si="73"/>
        <v>34901</v>
      </c>
      <c r="C4663" t="s">
        <v>1206</v>
      </c>
      <c r="D4663">
        <v>25.8</v>
      </c>
      <c r="E4663" t="s">
        <v>1243</v>
      </c>
    </row>
    <row r="4664" spans="1:5" x14ac:dyDescent="0.25">
      <c r="A4664">
        <v>34901</v>
      </c>
      <c r="B4664" t="str">
        <f t="shared" si="73"/>
        <v>34901</v>
      </c>
      <c r="C4664" t="s">
        <v>1199</v>
      </c>
      <c r="D4664">
        <v>0</v>
      </c>
      <c r="E4664" t="s">
        <v>1243</v>
      </c>
    </row>
    <row r="4665" spans="1:5" x14ac:dyDescent="0.25">
      <c r="A4665">
        <v>34901</v>
      </c>
      <c r="B4665" t="str">
        <f t="shared" si="73"/>
        <v>34901</v>
      </c>
      <c r="C4665" t="s">
        <v>1203</v>
      </c>
      <c r="D4665">
        <v>24.2</v>
      </c>
      <c r="E4665" t="s">
        <v>1243</v>
      </c>
    </row>
    <row r="4666" spans="1:5" x14ac:dyDescent="0.25">
      <c r="A4666">
        <v>34901</v>
      </c>
      <c r="B4666" t="str">
        <f t="shared" si="73"/>
        <v>34901</v>
      </c>
      <c r="C4666" t="s">
        <v>1200</v>
      </c>
      <c r="D4666">
        <v>0</v>
      </c>
      <c r="E4666" t="s">
        <v>1243</v>
      </c>
    </row>
    <row r="4667" spans="1:5" x14ac:dyDescent="0.25">
      <c r="A4667">
        <v>34901</v>
      </c>
      <c r="B4667" t="str">
        <f t="shared" si="73"/>
        <v>34901</v>
      </c>
      <c r="C4667" t="s">
        <v>1204</v>
      </c>
      <c r="D4667">
        <v>0</v>
      </c>
      <c r="E4667" t="s">
        <v>1243</v>
      </c>
    </row>
    <row r="4668" spans="1:5" x14ac:dyDescent="0.25">
      <c r="A4668">
        <v>34901</v>
      </c>
      <c r="B4668" t="str">
        <f t="shared" si="73"/>
        <v>34901</v>
      </c>
      <c r="C4668" t="s">
        <v>1207</v>
      </c>
      <c r="D4668">
        <v>0</v>
      </c>
      <c r="E4668" t="s">
        <v>1243</v>
      </c>
    </row>
    <row r="4669" spans="1:5" x14ac:dyDescent="0.25">
      <c r="A4669">
        <v>34901</v>
      </c>
      <c r="B4669" t="str">
        <f t="shared" si="73"/>
        <v>34901</v>
      </c>
      <c r="C4669" t="s">
        <v>1208</v>
      </c>
      <c r="D4669">
        <v>0</v>
      </c>
      <c r="E4669" t="s">
        <v>1243</v>
      </c>
    </row>
    <row r="4670" spans="1:5" x14ac:dyDescent="0.25">
      <c r="A4670">
        <v>34901</v>
      </c>
      <c r="B4670" t="str">
        <f t="shared" si="73"/>
        <v>34901</v>
      </c>
      <c r="C4670" t="s">
        <v>1210</v>
      </c>
      <c r="D4670">
        <v>0</v>
      </c>
      <c r="E4670" t="s">
        <v>1243</v>
      </c>
    </row>
    <row r="4671" spans="1:5" x14ac:dyDescent="0.25">
      <c r="A4671">
        <v>34901</v>
      </c>
      <c r="B4671" t="str">
        <f t="shared" si="73"/>
        <v>34901</v>
      </c>
      <c r="C4671" t="s">
        <v>1212</v>
      </c>
      <c r="D4671">
        <v>0</v>
      </c>
      <c r="E4671" t="s">
        <v>1243</v>
      </c>
    </row>
    <row r="4672" spans="1:5" x14ac:dyDescent="0.25">
      <c r="A4672">
        <v>34901</v>
      </c>
      <c r="B4672" t="str">
        <f t="shared" si="73"/>
        <v>34901</v>
      </c>
      <c r="C4672" t="s">
        <v>1216</v>
      </c>
      <c r="D4672">
        <v>0</v>
      </c>
      <c r="E4672" t="s">
        <v>1243</v>
      </c>
    </row>
    <row r="4673" spans="1:5" x14ac:dyDescent="0.25">
      <c r="A4673">
        <v>34901</v>
      </c>
      <c r="B4673" t="str">
        <f t="shared" si="73"/>
        <v>34901</v>
      </c>
      <c r="C4673" t="s">
        <v>1198</v>
      </c>
      <c r="D4673">
        <v>14.6</v>
      </c>
      <c r="E4673" t="s">
        <v>1243</v>
      </c>
    </row>
    <row r="4674" spans="1:5" x14ac:dyDescent="0.25">
      <c r="A4674">
        <v>35200</v>
      </c>
      <c r="B4674" t="str">
        <f t="shared" si="73"/>
        <v>35200</v>
      </c>
      <c r="C4674" t="s">
        <v>1193</v>
      </c>
      <c r="D4674">
        <v>0</v>
      </c>
      <c r="E4674" t="s">
        <v>556</v>
      </c>
    </row>
    <row r="4675" spans="1:5" x14ac:dyDescent="0.25">
      <c r="A4675">
        <v>35200</v>
      </c>
      <c r="B4675" t="str">
        <f t="shared" ref="B4675:B4738" si="74">TEXT(A4675,"00000")</f>
        <v>35200</v>
      </c>
      <c r="C4675" t="s">
        <v>1194</v>
      </c>
      <c r="D4675">
        <v>89.04</v>
      </c>
      <c r="E4675" t="s">
        <v>556</v>
      </c>
    </row>
    <row r="4676" spans="1:5" x14ac:dyDescent="0.25">
      <c r="A4676">
        <v>35200</v>
      </c>
      <c r="B4676" t="str">
        <f t="shared" si="74"/>
        <v>35200</v>
      </c>
      <c r="C4676" t="s">
        <v>1195</v>
      </c>
      <c r="D4676">
        <v>0</v>
      </c>
      <c r="E4676" t="s">
        <v>556</v>
      </c>
    </row>
    <row r="4677" spans="1:5" x14ac:dyDescent="0.25">
      <c r="A4677">
        <v>35200</v>
      </c>
      <c r="B4677" t="str">
        <f t="shared" si="74"/>
        <v>35200</v>
      </c>
      <c r="C4677" t="s">
        <v>1197</v>
      </c>
      <c r="D4677">
        <v>24.8</v>
      </c>
      <c r="E4677" t="s">
        <v>556</v>
      </c>
    </row>
    <row r="4678" spans="1:5" x14ac:dyDescent="0.25">
      <c r="A4678">
        <v>35200</v>
      </c>
      <c r="B4678" t="str">
        <f t="shared" si="74"/>
        <v>35200</v>
      </c>
      <c r="C4678" t="s">
        <v>1202</v>
      </c>
      <c r="D4678">
        <v>0</v>
      </c>
      <c r="E4678" t="s">
        <v>556</v>
      </c>
    </row>
    <row r="4679" spans="1:5" x14ac:dyDescent="0.25">
      <c r="A4679">
        <v>35200</v>
      </c>
      <c r="B4679" t="str">
        <f t="shared" si="74"/>
        <v>35200</v>
      </c>
      <c r="C4679" t="s">
        <v>1206</v>
      </c>
      <c r="D4679">
        <v>77.2</v>
      </c>
      <c r="E4679" t="s">
        <v>556</v>
      </c>
    </row>
    <row r="4680" spans="1:5" x14ac:dyDescent="0.25">
      <c r="A4680">
        <v>35200</v>
      </c>
      <c r="B4680" t="str">
        <f t="shared" si="74"/>
        <v>35200</v>
      </c>
      <c r="C4680" t="s">
        <v>1199</v>
      </c>
      <c r="D4680">
        <v>0</v>
      </c>
      <c r="E4680" t="s">
        <v>556</v>
      </c>
    </row>
    <row r="4681" spans="1:5" x14ac:dyDescent="0.25">
      <c r="A4681">
        <v>35200</v>
      </c>
      <c r="B4681" t="str">
        <f t="shared" si="74"/>
        <v>35200</v>
      </c>
      <c r="C4681" t="s">
        <v>1203</v>
      </c>
      <c r="D4681">
        <v>54.99</v>
      </c>
      <c r="E4681" t="s">
        <v>556</v>
      </c>
    </row>
    <row r="4682" spans="1:5" x14ac:dyDescent="0.25">
      <c r="A4682">
        <v>35200</v>
      </c>
      <c r="B4682" t="str">
        <f t="shared" si="74"/>
        <v>35200</v>
      </c>
      <c r="C4682" t="s">
        <v>1200</v>
      </c>
      <c r="D4682">
        <v>0</v>
      </c>
      <c r="E4682" t="s">
        <v>556</v>
      </c>
    </row>
    <row r="4683" spans="1:5" x14ac:dyDescent="0.25">
      <c r="A4683">
        <v>35200</v>
      </c>
      <c r="B4683" t="str">
        <f t="shared" si="74"/>
        <v>35200</v>
      </c>
      <c r="C4683" t="s">
        <v>1204</v>
      </c>
      <c r="D4683">
        <v>108.54</v>
      </c>
      <c r="E4683" t="s">
        <v>556</v>
      </c>
    </row>
    <row r="4684" spans="1:5" x14ac:dyDescent="0.25">
      <c r="A4684">
        <v>35200</v>
      </c>
      <c r="B4684" t="str">
        <f t="shared" si="74"/>
        <v>35200</v>
      </c>
      <c r="C4684" t="s">
        <v>1207</v>
      </c>
      <c r="D4684">
        <v>2.16</v>
      </c>
      <c r="E4684" t="s">
        <v>556</v>
      </c>
    </row>
    <row r="4685" spans="1:5" x14ac:dyDescent="0.25">
      <c r="A4685">
        <v>35200</v>
      </c>
      <c r="B4685" t="str">
        <f t="shared" si="74"/>
        <v>35200</v>
      </c>
      <c r="C4685" t="s">
        <v>1208</v>
      </c>
      <c r="D4685">
        <v>25.13</v>
      </c>
      <c r="E4685" t="s">
        <v>556</v>
      </c>
    </row>
    <row r="4686" spans="1:5" x14ac:dyDescent="0.25">
      <c r="A4686">
        <v>35200</v>
      </c>
      <c r="B4686" t="str">
        <f t="shared" si="74"/>
        <v>35200</v>
      </c>
      <c r="C4686" t="s">
        <v>1210</v>
      </c>
      <c r="D4686">
        <v>0</v>
      </c>
      <c r="E4686" t="s">
        <v>556</v>
      </c>
    </row>
    <row r="4687" spans="1:5" x14ac:dyDescent="0.25">
      <c r="A4687">
        <v>35200</v>
      </c>
      <c r="B4687" t="str">
        <f t="shared" si="74"/>
        <v>35200</v>
      </c>
      <c r="C4687" t="s">
        <v>1212</v>
      </c>
      <c r="D4687">
        <v>0</v>
      </c>
      <c r="E4687" t="s">
        <v>556</v>
      </c>
    </row>
    <row r="4688" spans="1:5" x14ac:dyDescent="0.25">
      <c r="A4688">
        <v>35200</v>
      </c>
      <c r="B4688" t="str">
        <f t="shared" si="74"/>
        <v>35200</v>
      </c>
      <c r="C4688" t="s">
        <v>1216</v>
      </c>
      <c r="D4688">
        <v>0</v>
      </c>
      <c r="E4688" t="s">
        <v>556</v>
      </c>
    </row>
    <row r="4689" spans="1:5" x14ac:dyDescent="0.25">
      <c r="A4689">
        <v>35200</v>
      </c>
      <c r="B4689" t="str">
        <f t="shared" si="74"/>
        <v>35200</v>
      </c>
      <c r="C4689" t="s">
        <v>1198</v>
      </c>
      <c r="D4689">
        <v>21.8</v>
      </c>
      <c r="E4689" t="s">
        <v>556</v>
      </c>
    </row>
    <row r="4690" spans="1:5" x14ac:dyDescent="0.25">
      <c r="A4690">
        <v>13073</v>
      </c>
      <c r="B4690" t="str">
        <f t="shared" si="74"/>
        <v>13073</v>
      </c>
      <c r="C4690" t="s">
        <v>1193</v>
      </c>
      <c r="D4690">
        <v>0</v>
      </c>
      <c r="E4690" t="s">
        <v>361</v>
      </c>
    </row>
    <row r="4691" spans="1:5" x14ac:dyDescent="0.25">
      <c r="A4691">
        <v>13073</v>
      </c>
      <c r="B4691" t="str">
        <f t="shared" si="74"/>
        <v>13073</v>
      </c>
      <c r="C4691" t="s">
        <v>1194</v>
      </c>
      <c r="D4691">
        <v>469.6</v>
      </c>
      <c r="E4691" t="s">
        <v>361</v>
      </c>
    </row>
    <row r="4692" spans="1:5" x14ac:dyDescent="0.25">
      <c r="A4692">
        <v>13073</v>
      </c>
      <c r="B4692" t="str">
        <f t="shared" si="74"/>
        <v>13073</v>
      </c>
      <c r="C4692" t="s">
        <v>1195</v>
      </c>
      <c r="D4692">
        <v>0</v>
      </c>
      <c r="E4692" t="s">
        <v>361</v>
      </c>
    </row>
    <row r="4693" spans="1:5" x14ac:dyDescent="0.25">
      <c r="A4693">
        <v>13073</v>
      </c>
      <c r="B4693" t="str">
        <f t="shared" si="74"/>
        <v>13073</v>
      </c>
      <c r="C4693" t="s">
        <v>1197</v>
      </c>
      <c r="D4693">
        <v>165.8</v>
      </c>
      <c r="E4693" t="s">
        <v>361</v>
      </c>
    </row>
    <row r="4694" spans="1:5" x14ac:dyDescent="0.25">
      <c r="A4694">
        <v>13073</v>
      </c>
      <c r="B4694" t="str">
        <f t="shared" si="74"/>
        <v>13073</v>
      </c>
      <c r="C4694" t="s">
        <v>1202</v>
      </c>
      <c r="D4694">
        <v>0</v>
      </c>
      <c r="E4694" t="s">
        <v>361</v>
      </c>
    </row>
    <row r="4695" spans="1:5" x14ac:dyDescent="0.25">
      <c r="A4695">
        <v>13073</v>
      </c>
      <c r="B4695" t="str">
        <f t="shared" si="74"/>
        <v>13073</v>
      </c>
      <c r="C4695" t="s">
        <v>1206</v>
      </c>
      <c r="D4695">
        <v>311.2</v>
      </c>
      <c r="E4695" t="s">
        <v>361</v>
      </c>
    </row>
    <row r="4696" spans="1:5" x14ac:dyDescent="0.25">
      <c r="A4696">
        <v>13073</v>
      </c>
      <c r="B4696" t="str">
        <f t="shared" si="74"/>
        <v>13073</v>
      </c>
      <c r="C4696" t="s">
        <v>1199</v>
      </c>
      <c r="D4696">
        <v>0</v>
      </c>
      <c r="E4696" t="s">
        <v>361</v>
      </c>
    </row>
    <row r="4697" spans="1:5" x14ac:dyDescent="0.25">
      <c r="A4697">
        <v>13073</v>
      </c>
      <c r="B4697" t="str">
        <f t="shared" si="74"/>
        <v>13073</v>
      </c>
      <c r="C4697" t="s">
        <v>1203</v>
      </c>
      <c r="D4697">
        <v>394.4</v>
      </c>
      <c r="E4697" t="s">
        <v>361</v>
      </c>
    </row>
    <row r="4698" spans="1:5" x14ac:dyDescent="0.25">
      <c r="A4698">
        <v>13073</v>
      </c>
      <c r="B4698" t="str">
        <f t="shared" si="74"/>
        <v>13073</v>
      </c>
      <c r="C4698" t="s">
        <v>1200</v>
      </c>
      <c r="D4698">
        <v>0</v>
      </c>
      <c r="E4698" t="s">
        <v>361</v>
      </c>
    </row>
    <row r="4699" spans="1:5" x14ac:dyDescent="0.25">
      <c r="A4699">
        <v>13073</v>
      </c>
      <c r="B4699" t="str">
        <f t="shared" si="74"/>
        <v>13073</v>
      </c>
      <c r="C4699" t="s">
        <v>1204</v>
      </c>
      <c r="D4699">
        <v>697.26</v>
      </c>
      <c r="E4699" t="s">
        <v>361</v>
      </c>
    </row>
    <row r="4700" spans="1:5" x14ac:dyDescent="0.25">
      <c r="A4700">
        <v>13073</v>
      </c>
      <c r="B4700" t="str">
        <f t="shared" si="74"/>
        <v>13073</v>
      </c>
      <c r="C4700" t="s">
        <v>1207</v>
      </c>
      <c r="D4700">
        <v>59.55</v>
      </c>
      <c r="E4700" t="s">
        <v>361</v>
      </c>
    </row>
    <row r="4701" spans="1:5" x14ac:dyDescent="0.25">
      <c r="A4701">
        <v>13073</v>
      </c>
      <c r="B4701" t="str">
        <f t="shared" si="74"/>
        <v>13073</v>
      </c>
      <c r="C4701" t="s">
        <v>1208</v>
      </c>
      <c r="D4701">
        <v>194.31</v>
      </c>
      <c r="E4701" t="s">
        <v>361</v>
      </c>
    </row>
    <row r="4702" spans="1:5" x14ac:dyDescent="0.25">
      <c r="A4702">
        <v>13073</v>
      </c>
      <c r="B4702" t="str">
        <f t="shared" si="74"/>
        <v>13073</v>
      </c>
      <c r="C4702" t="s">
        <v>1210</v>
      </c>
      <c r="D4702">
        <v>0</v>
      </c>
      <c r="E4702" t="s">
        <v>361</v>
      </c>
    </row>
    <row r="4703" spans="1:5" x14ac:dyDescent="0.25">
      <c r="A4703">
        <v>13073</v>
      </c>
      <c r="B4703" t="str">
        <f t="shared" si="74"/>
        <v>13073</v>
      </c>
      <c r="C4703" t="s">
        <v>1212</v>
      </c>
      <c r="D4703">
        <v>0</v>
      </c>
      <c r="E4703" t="s">
        <v>361</v>
      </c>
    </row>
    <row r="4704" spans="1:5" x14ac:dyDescent="0.25">
      <c r="A4704">
        <v>13073</v>
      </c>
      <c r="B4704" t="str">
        <f t="shared" si="74"/>
        <v>13073</v>
      </c>
      <c r="C4704" t="s">
        <v>1216</v>
      </c>
      <c r="D4704">
        <v>37</v>
      </c>
      <c r="E4704" t="s">
        <v>361</v>
      </c>
    </row>
    <row r="4705" spans="1:5" x14ac:dyDescent="0.25">
      <c r="A4705">
        <v>13073</v>
      </c>
      <c r="B4705" t="str">
        <f t="shared" si="74"/>
        <v>13073</v>
      </c>
      <c r="C4705" t="s">
        <v>1198</v>
      </c>
      <c r="D4705">
        <v>162.19999999999999</v>
      </c>
      <c r="E4705" t="s">
        <v>361</v>
      </c>
    </row>
    <row r="4706" spans="1:5" x14ac:dyDescent="0.25">
      <c r="A4706">
        <v>36401</v>
      </c>
      <c r="B4706" t="str">
        <f t="shared" si="74"/>
        <v>36401</v>
      </c>
      <c r="C4706" t="s">
        <v>1193</v>
      </c>
      <c r="D4706">
        <v>0</v>
      </c>
      <c r="E4706" t="s">
        <v>562</v>
      </c>
    </row>
    <row r="4707" spans="1:5" x14ac:dyDescent="0.25">
      <c r="A4707">
        <v>36401</v>
      </c>
      <c r="B4707" t="str">
        <f t="shared" si="74"/>
        <v>36401</v>
      </c>
      <c r="C4707" t="s">
        <v>1194</v>
      </c>
      <c r="D4707">
        <v>64.94</v>
      </c>
      <c r="E4707" t="s">
        <v>562</v>
      </c>
    </row>
    <row r="4708" spans="1:5" x14ac:dyDescent="0.25">
      <c r="A4708">
        <v>36401</v>
      </c>
      <c r="B4708" t="str">
        <f t="shared" si="74"/>
        <v>36401</v>
      </c>
      <c r="C4708" t="s">
        <v>1195</v>
      </c>
      <c r="D4708">
        <v>0</v>
      </c>
      <c r="E4708" t="s">
        <v>562</v>
      </c>
    </row>
    <row r="4709" spans="1:5" x14ac:dyDescent="0.25">
      <c r="A4709">
        <v>36401</v>
      </c>
      <c r="B4709" t="str">
        <f t="shared" si="74"/>
        <v>36401</v>
      </c>
      <c r="C4709" t="s">
        <v>1197</v>
      </c>
      <c r="D4709">
        <v>20</v>
      </c>
      <c r="E4709" t="s">
        <v>562</v>
      </c>
    </row>
    <row r="4710" spans="1:5" x14ac:dyDescent="0.25">
      <c r="A4710">
        <v>36401</v>
      </c>
      <c r="B4710" t="str">
        <f t="shared" si="74"/>
        <v>36401</v>
      </c>
      <c r="C4710" t="s">
        <v>1202</v>
      </c>
      <c r="D4710">
        <v>0</v>
      </c>
      <c r="E4710" t="s">
        <v>562</v>
      </c>
    </row>
    <row r="4711" spans="1:5" x14ac:dyDescent="0.25">
      <c r="A4711">
        <v>36401</v>
      </c>
      <c r="B4711" t="str">
        <f t="shared" si="74"/>
        <v>36401</v>
      </c>
      <c r="C4711" t="s">
        <v>1206</v>
      </c>
      <c r="D4711">
        <v>42.22</v>
      </c>
      <c r="E4711" t="s">
        <v>562</v>
      </c>
    </row>
    <row r="4712" spans="1:5" x14ac:dyDescent="0.25">
      <c r="A4712">
        <v>36401</v>
      </c>
      <c r="B4712" t="str">
        <f t="shared" si="74"/>
        <v>36401</v>
      </c>
      <c r="C4712" t="s">
        <v>1199</v>
      </c>
      <c r="D4712">
        <v>0</v>
      </c>
      <c r="E4712" t="s">
        <v>562</v>
      </c>
    </row>
    <row r="4713" spans="1:5" x14ac:dyDescent="0.25">
      <c r="A4713">
        <v>36401</v>
      </c>
      <c r="B4713" t="str">
        <f t="shared" si="74"/>
        <v>36401</v>
      </c>
      <c r="C4713" t="s">
        <v>1203</v>
      </c>
      <c r="D4713">
        <v>47.94</v>
      </c>
      <c r="E4713" t="s">
        <v>562</v>
      </c>
    </row>
    <row r="4714" spans="1:5" x14ac:dyDescent="0.25">
      <c r="A4714">
        <v>36401</v>
      </c>
      <c r="B4714" t="str">
        <f t="shared" si="74"/>
        <v>36401</v>
      </c>
      <c r="C4714" t="s">
        <v>1200</v>
      </c>
      <c r="D4714">
        <v>0</v>
      </c>
      <c r="E4714" t="s">
        <v>562</v>
      </c>
    </row>
    <row r="4715" spans="1:5" x14ac:dyDescent="0.25">
      <c r="A4715">
        <v>36401</v>
      </c>
      <c r="B4715" t="str">
        <f t="shared" si="74"/>
        <v>36401</v>
      </c>
      <c r="C4715" t="s">
        <v>1204</v>
      </c>
      <c r="D4715">
        <v>82.11</v>
      </c>
      <c r="E4715" t="s">
        <v>562</v>
      </c>
    </row>
    <row r="4716" spans="1:5" x14ac:dyDescent="0.25">
      <c r="A4716">
        <v>36401</v>
      </c>
      <c r="B4716" t="str">
        <f t="shared" si="74"/>
        <v>36401</v>
      </c>
      <c r="C4716" t="s">
        <v>1207</v>
      </c>
      <c r="D4716">
        <v>3.28</v>
      </c>
      <c r="E4716" t="s">
        <v>562</v>
      </c>
    </row>
    <row r="4717" spans="1:5" x14ac:dyDescent="0.25">
      <c r="A4717">
        <v>36401</v>
      </c>
      <c r="B4717" t="str">
        <f t="shared" si="74"/>
        <v>36401</v>
      </c>
      <c r="C4717" t="s">
        <v>1208</v>
      </c>
      <c r="D4717">
        <v>13.17</v>
      </c>
      <c r="E4717" t="s">
        <v>562</v>
      </c>
    </row>
    <row r="4718" spans="1:5" x14ac:dyDescent="0.25">
      <c r="A4718">
        <v>36401</v>
      </c>
      <c r="B4718" t="str">
        <f t="shared" si="74"/>
        <v>36401</v>
      </c>
      <c r="C4718" t="s">
        <v>1210</v>
      </c>
      <c r="D4718">
        <v>0</v>
      </c>
      <c r="E4718" t="s">
        <v>562</v>
      </c>
    </row>
    <row r="4719" spans="1:5" x14ac:dyDescent="0.25">
      <c r="A4719">
        <v>36401</v>
      </c>
      <c r="B4719" t="str">
        <f t="shared" si="74"/>
        <v>36401</v>
      </c>
      <c r="C4719" t="s">
        <v>1212</v>
      </c>
      <c r="D4719">
        <v>0</v>
      </c>
      <c r="E4719" t="s">
        <v>562</v>
      </c>
    </row>
    <row r="4720" spans="1:5" x14ac:dyDescent="0.25">
      <c r="A4720">
        <v>36401</v>
      </c>
      <c r="B4720" t="str">
        <f t="shared" si="74"/>
        <v>36401</v>
      </c>
      <c r="C4720" t="s">
        <v>1216</v>
      </c>
      <c r="D4720">
        <v>0</v>
      </c>
      <c r="E4720" t="s">
        <v>562</v>
      </c>
    </row>
    <row r="4721" spans="1:5" x14ac:dyDescent="0.25">
      <c r="A4721">
        <v>36401</v>
      </c>
      <c r="B4721" t="str">
        <f t="shared" si="74"/>
        <v>36401</v>
      </c>
      <c r="C4721" t="s">
        <v>1198</v>
      </c>
      <c r="D4721">
        <v>17.2</v>
      </c>
      <c r="E4721" t="s">
        <v>562</v>
      </c>
    </row>
    <row r="4722" spans="1:5" x14ac:dyDescent="0.25">
      <c r="A4722">
        <v>36140</v>
      </c>
      <c r="B4722" t="str">
        <f t="shared" si="74"/>
        <v>36140</v>
      </c>
      <c r="C4722" t="s">
        <v>1193</v>
      </c>
      <c r="D4722">
        <v>0</v>
      </c>
      <c r="E4722" t="s">
        <v>558</v>
      </c>
    </row>
    <row r="4723" spans="1:5" x14ac:dyDescent="0.25">
      <c r="A4723">
        <v>36140</v>
      </c>
      <c r="B4723" t="str">
        <f t="shared" si="74"/>
        <v>36140</v>
      </c>
      <c r="C4723" t="s">
        <v>1194</v>
      </c>
      <c r="D4723">
        <v>1031.8599999999999</v>
      </c>
      <c r="E4723" t="s">
        <v>558</v>
      </c>
    </row>
    <row r="4724" spans="1:5" x14ac:dyDescent="0.25">
      <c r="A4724">
        <v>36140</v>
      </c>
      <c r="B4724" t="str">
        <f t="shared" si="74"/>
        <v>36140</v>
      </c>
      <c r="C4724" t="s">
        <v>1195</v>
      </c>
      <c r="D4724">
        <v>0</v>
      </c>
      <c r="E4724" t="s">
        <v>558</v>
      </c>
    </row>
    <row r="4725" spans="1:5" x14ac:dyDescent="0.25">
      <c r="A4725">
        <v>36140</v>
      </c>
      <c r="B4725" t="str">
        <f t="shared" si="74"/>
        <v>36140</v>
      </c>
      <c r="C4725" t="s">
        <v>1197</v>
      </c>
      <c r="D4725">
        <v>353.91</v>
      </c>
      <c r="E4725" t="s">
        <v>558</v>
      </c>
    </row>
    <row r="4726" spans="1:5" x14ac:dyDescent="0.25">
      <c r="A4726">
        <v>36140</v>
      </c>
      <c r="B4726" t="str">
        <f t="shared" si="74"/>
        <v>36140</v>
      </c>
      <c r="C4726" t="s">
        <v>1202</v>
      </c>
      <c r="D4726">
        <v>0</v>
      </c>
      <c r="E4726" t="s">
        <v>558</v>
      </c>
    </row>
    <row r="4727" spans="1:5" x14ac:dyDescent="0.25">
      <c r="A4727">
        <v>36140</v>
      </c>
      <c r="B4727" t="str">
        <f t="shared" si="74"/>
        <v>36140</v>
      </c>
      <c r="C4727" t="s">
        <v>1206</v>
      </c>
      <c r="D4727">
        <v>782.51</v>
      </c>
      <c r="E4727" t="s">
        <v>558</v>
      </c>
    </row>
    <row r="4728" spans="1:5" x14ac:dyDescent="0.25">
      <c r="A4728">
        <v>36140</v>
      </c>
      <c r="B4728" t="str">
        <f t="shared" si="74"/>
        <v>36140</v>
      </c>
      <c r="C4728" t="s">
        <v>1199</v>
      </c>
      <c r="D4728">
        <v>0</v>
      </c>
      <c r="E4728" t="s">
        <v>558</v>
      </c>
    </row>
    <row r="4729" spans="1:5" x14ac:dyDescent="0.25">
      <c r="A4729">
        <v>36140</v>
      </c>
      <c r="B4729" t="str">
        <f t="shared" si="74"/>
        <v>36140</v>
      </c>
      <c r="C4729" t="s">
        <v>1203</v>
      </c>
      <c r="D4729">
        <v>739.71</v>
      </c>
      <c r="E4729" t="s">
        <v>558</v>
      </c>
    </row>
    <row r="4730" spans="1:5" x14ac:dyDescent="0.25">
      <c r="A4730">
        <v>36140</v>
      </c>
      <c r="B4730" t="str">
        <f t="shared" si="74"/>
        <v>36140</v>
      </c>
      <c r="C4730" t="s">
        <v>1200</v>
      </c>
      <c r="D4730">
        <v>0</v>
      </c>
      <c r="E4730" t="s">
        <v>558</v>
      </c>
    </row>
    <row r="4731" spans="1:5" x14ac:dyDescent="0.25">
      <c r="A4731">
        <v>36140</v>
      </c>
      <c r="B4731" t="str">
        <f t="shared" si="74"/>
        <v>36140</v>
      </c>
      <c r="C4731" t="s">
        <v>1204</v>
      </c>
      <c r="D4731">
        <v>1427.23</v>
      </c>
      <c r="E4731" t="s">
        <v>558</v>
      </c>
    </row>
    <row r="4732" spans="1:5" x14ac:dyDescent="0.25">
      <c r="A4732">
        <v>36140</v>
      </c>
      <c r="B4732" t="str">
        <f t="shared" si="74"/>
        <v>36140</v>
      </c>
      <c r="C4732" t="s">
        <v>1207</v>
      </c>
      <c r="D4732">
        <v>55.57</v>
      </c>
      <c r="E4732" t="s">
        <v>558</v>
      </c>
    </row>
    <row r="4733" spans="1:5" x14ac:dyDescent="0.25">
      <c r="A4733">
        <v>36140</v>
      </c>
      <c r="B4733" t="str">
        <f t="shared" si="74"/>
        <v>36140</v>
      </c>
      <c r="C4733" t="s">
        <v>1208</v>
      </c>
      <c r="D4733">
        <v>262.7</v>
      </c>
      <c r="E4733" t="s">
        <v>558</v>
      </c>
    </row>
    <row r="4734" spans="1:5" x14ac:dyDescent="0.25">
      <c r="A4734">
        <v>36140</v>
      </c>
      <c r="B4734" t="str">
        <f t="shared" si="74"/>
        <v>36140</v>
      </c>
      <c r="C4734" t="s">
        <v>1210</v>
      </c>
      <c r="D4734">
        <v>0</v>
      </c>
      <c r="E4734" t="s">
        <v>558</v>
      </c>
    </row>
    <row r="4735" spans="1:5" x14ac:dyDescent="0.25">
      <c r="A4735">
        <v>36140</v>
      </c>
      <c r="B4735" t="str">
        <f t="shared" si="74"/>
        <v>36140</v>
      </c>
      <c r="C4735" t="s">
        <v>1212</v>
      </c>
      <c r="D4735">
        <v>115.6</v>
      </c>
      <c r="E4735" t="s">
        <v>558</v>
      </c>
    </row>
    <row r="4736" spans="1:5" x14ac:dyDescent="0.25">
      <c r="A4736">
        <v>36140</v>
      </c>
      <c r="B4736" t="str">
        <f t="shared" si="74"/>
        <v>36140</v>
      </c>
      <c r="C4736" t="s">
        <v>1216</v>
      </c>
      <c r="D4736">
        <v>85.83</v>
      </c>
      <c r="E4736" t="s">
        <v>558</v>
      </c>
    </row>
    <row r="4737" spans="1:5" x14ac:dyDescent="0.25">
      <c r="A4737">
        <v>36140</v>
      </c>
      <c r="B4737" t="str">
        <f t="shared" si="74"/>
        <v>36140</v>
      </c>
      <c r="C4737" t="s">
        <v>1198</v>
      </c>
      <c r="D4737">
        <v>305.33999999999997</v>
      </c>
      <c r="E4737" t="s">
        <v>558</v>
      </c>
    </row>
    <row r="4738" spans="1:5" x14ac:dyDescent="0.25">
      <c r="A4738">
        <v>39207</v>
      </c>
      <c r="B4738" t="str">
        <f t="shared" si="74"/>
        <v>39207</v>
      </c>
      <c r="C4738" t="s">
        <v>1193</v>
      </c>
      <c r="D4738">
        <v>0</v>
      </c>
      <c r="E4738" t="s">
        <v>597</v>
      </c>
    </row>
    <row r="4739" spans="1:5" x14ac:dyDescent="0.25">
      <c r="A4739">
        <v>39207</v>
      </c>
      <c r="B4739" t="str">
        <f t="shared" ref="B4739:B4802" si="75">TEXT(A4739,"00000")</f>
        <v>39207</v>
      </c>
      <c r="C4739" t="s">
        <v>1194</v>
      </c>
      <c r="D4739">
        <v>676.2</v>
      </c>
      <c r="E4739" t="s">
        <v>597</v>
      </c>
    </row>
    <row r="4740" spans="1:5" x14ac:dyDescent="0.25">
      <c r="A4740">
        <v>39207</v>
      </c>
      <c r="B4740" t="str">
        <f t="shared" si="75"/>
        <v>39207</v>
      </c>
      <c r="C4740" t="s">
        <v>1195</v>
      </c>
      <c r="D4740">
        <v>0</v>
      </c>
      <c r="E4740" t="s">
        <v>597</v>
      </c>
    </row>
    <row r="4741" spans="1:5" x14ac:dyDescent="0.25">
      <c r="A4741">
        <v>39207</v>
      </c>
      <c r="B4741" t="str">
        <f t="shared" si="75"/>
        <v>39207</v>
      </c>
      <c r="C4741" t="s">
        <v>1197</v>
      </c>
      <c r="D4741">
        <v>208.6</v>
      </c>
      <c r="E4741" t="s">
        <v>597</v>
      </c>
    </row>
    <row r="4742" spans="1:5" x14ac:dyDescent="0.25">
      <c r="A4742">
        <v>39207</v>
      </c>
      <c r="B4742" t="str">
        <f t="shared" si="75"/>
        <v>39207</v>
      </c>
      <c r="C4742" t="s">
        <v>1202</v>
      </c>
      <c r="D4742">
        <v>0</v>
      </c>
      <c r="E4742" t="s">
        <v>597</v>
      </c>
    </row>
    <row r="4743" spans="1:5" x14ac:dyDescent="0.25">
      <c r="A4743">
        <v>39207</v>
      </c>
      <c r="B4743" t="str">
        <f t="shared" si="75"/>
        <v>39207</v>
      </c>
      <c r="C4743" t="s">
        <v>1206</v>
      </c>
      <c r="D4743">
        <v>505.2</v>
      </c>
      <c r="E4743" t="s">
        <v>597</v>
      </c>
    </row>
    <row r="4744" spans="1:5" x14ac:dyDescent="0.25">
      <c r="A4744">
        <v>39207</v>
      </c>
      <c r="B4744" t="str">
        <f t="shared" si="75"/>
        <v>39207</v>
      </c>
      <c r="C4744" t="s">
        <v>1199</v>
      </c>
      <c r="D4744">
        <v>0</v>
      </c>
      <c r="E4744" t="s">
        <v>597</v>
      </c>
    </row>
    <row r="4745" spans="1:5" x14ac:dyDescent="0.25">
      <c r="A4745">
        <v>39207</v>
      </c>
      <c r="B4745" t="str">
        <f t="shared" si="75"/>
        <v>39207</v>
      </c>
      <c r="C4745" t="s">
        <v>1203</v>
      </c>
      <c r="D4745">
        <v>462</v>
      </c>
      <c r="E4745" t="s">
        <v>597</v>
      </c>
    </row>
    <row r="4746" spans="1:5" x14ac:dyDescent="0.25">
      <c r="A4746">
        <v>39207</v>
      </c>
      <c r="B4746" t="str">
        <f t="shared" si="75"/>
        <v>39207</v>
      </c>
      <c r="C4746" t="s">
        <v>1200</v>
      </c>
      <c r="D4746">
        <v>0</v>
      </c>
      <c r="E4746" t="s">
        <v>597</v>
      </c>
    </row>
    <row r="4747" spans="1:5" x14ac:dyDescent="0.25">
      <c r="A4747">
        <v>39207</v>
      </c>
      <c r="B4747" t="str">
        <f t="shared" si="75"/>
        <v>39207</v>
      </c>
      <c r="C4747" t="s">
        <v>1204</v>
      </c>
      <c r="D4747">
        <v>883.32</v>
      </c>
      <c r="E4747" t="s">
        <v>597</v>
      </c>
    </row>
    <row r="4748" spans="1:5" x14ac:dyDescent="0.25">
      <c r="A4748">
        <v>39207</v>
      </c>
      <c r="B4748" t="str">
        <f t="shared" si="75"/>
        <v>39207</v>
      </c>
      <c r="C4748" t="s">
        <v>1207</v>
      </c>
      <c r="D4748">
        <v>58.61</v>
      </c>
      <c r="E4748" t="s">
        <v>597</v>
      </c>
    </row>
    <row r="4749" spans="1:5" x14ac:dyDescent="0.25">
      <c r="A4749">
        <v>39207</v>
      </c>
      <c r="B4749" t="str">
        <f t="shared" si="75"/>
        <v>39207</v>
      </c>
      <c r="C4749" t="s">
        <v>1208</v>
      </c>
      <c r="D4749">
        <v>249.4</v>
      </c>
      <c r="E4749" t="s">
        <v>597</v>
      </c>
    </row>
    <row r="4750" spans="1:5" x14ac:dyDescent="0.25">
      <c r="A4750">
        <v>39207</v>
      </c>
      <c r="B4750" t="str">
        <f t="shared" si="75"/>
        <v>39207</v>
      </c>
      <c r="C4750" t="s">
        <v>1210</v>
      </c>
      <c r="D4750">
        <v>0</v>
      </c>
      <c r="E4750" t="s">
        <v>597</v>
      </c>
    </row>
    <row r="4751" spans="1:5" x14ac:dyDescent="0.25">
      <c r="A4751">
        <v>39207</v>
      </c>
      <c r="B4751" t="str">
        <f t="shared" si="75"/>
        <v>39207</v>
      </c>
      <c r="C4751" t="s">
        <v>1212</v>
      </c>
      <c r="D4751">
        <v>0</v>
      </c>
      <c r="E4751" t="s">
        <v>597</v>
      </c>
    </row>
    <row r="4752" spans="1:5" x14ac:dyDescent="0.25">
      <c r="A4752">
        <v>39207</v>
      </c>
      <c r="B4752" t="str">
        <f t="shared" si="75"/>
        <v>39207</v>
      </c>
      <c r="C4752" t="s">
        <v>1216</v>
      </c>
      <c r="D4752">
        <v>91.6</v>
      </c>
      <c r="E4752" t="s">
        <v>597</v>
      </c>
    </row>
    <row r="4753" spans="1:5" x14ac:dyDescent="0.25">
      <c r="A4753">
        <v>39207</v>
      </c>
      <c r="B4753" t="str">
        <f t="shared" si="75"/>
        <v>39207</v>
      </c>
      <c r="C4753" t="s">
        <v>1198</v>
      </c>
      <c r="D4753">
        <v>220</v>
      </c>
      <c r="E4753" t="s">
        <v>597</v>
      </c>
    </row>
    <row r="4754" spans="1:5" x14ac:dyDescent="0.25">
      <c r="A4754">
        <v>13146</v>
      </c>
      <c r="B4754" t="str">
        <f t="shared" si="75"/>
        <v>13146</v>
      </c>
      <c r="C4754" t="s">
        <v>1193</v>
      </c>
      <c r="D4754">
        <v>0</v>
      </c>
      <c r="E4754" t="s">
        <v>363</v>
      </c>
    </row>
    <row r="4755" spans="1:5" x14ac:dyDescent="0.25">
      <c r="A4755">
        <v>13146</v>
      </c>
      <c r="B4755" t="str">
        <f t="shared" si="75"/>
        <v>13146</v>
      </c>
      <c r="C4755" t="s">
        <v>1194</v>
      </c>
      <c r="D4755">
        <v>194.85</v>
      </c>
      <c r="E4755" t="s">
        <v>363</v>
      </c>
    </row>
    <row r="4756" spans="1:5" x14ac:dyDescent="0.25">
      <c r="A4756">
        <v>13146</v>
      </c>
      <c r="B4756" t="str">
        <f t="shared" si="75"/>
        <v>13146</v>
      </c>
      <c r="C4756" t="s">
        <v>1195</v>
      </c>
      <c r="D4756">
        <v>0</v>
      </c>
      <c r="E4756" t="s">
        <v>363</v>
      </c>
    </row>
    <row r="4757" spans="1:5" x14ac:dyDescent="0.25">
      <c r="A4757">
        <v>13146</v>
      </c>
      <c r="B4757" t="str">
        <f t="shared" si="75"/>
        <v>13146</v>
      </c>
      <c r="C4757" t="s">
        <v>1197</v>
      </c>
      <c r="D4757">
        <v>63.4</v>
      </c>
      <c r="E4757" t="s">
        <v>363</v>
      </c>
    </row>
    <row r="4758" spans="1:5" x14ac:dyDescent="0.25">
      <c r="A4758">
        <v>13146</v>
      </c>
      <c r="B4758" t="str">
        <f t="shared" si="75"/>
        <v>13146</v>
      </c>
      <c r="C4758" t="s">
        <v>1202</v>
      </c>
      <c r="D4758">
        <v>0</v>
      </c>
      <c r="E4758" t="s">
        <v>363</v>
      </c>
    </row>
    <row r="4759" spans="1:5" x14ac:dyDescent="0.25">
      <c r="A4759">
        <v>13146</v>
      </c>
      <c r="B4759" t="str">
        <f t="shared" si="75"/>
        <v>13146</v>
      </c>
      <c r="C4759" t="s">
        <v>1206</v>
      </c>
      <c r="D4759">
        <v>133.75</v>
      </c>
      <c r="E4759" t="s">
        <v>363</v>
      </c>
    </row>
    <row r="4760" spans="1:5" x14ac:dyDescent="0.25">
      <c r="A4760">
        <v>13146</v>
      </c>
      <c r="B4760" t="str">
        <f t="shared" si="75"/>
        <v>13146</v>
      </c>
      <c r="C4760" t="s">
        <v>1199</v>
      </c>
      <c r="D4760">
        <v>0</v>
      </c>
      <c r="E4760" t="s">
        <v>363</v>
      </c>
    </row>
    <row r="4761" spans="1:5" x14ac:dyDescent="0.25">
      <c r="A4761">
        <v>13146</v>
      </c>
      <c r="B4761" t="str">
        <f t="shared" si="75"/>
        <v>13146</v>
      </c>
      <c r="C4761" t="s">
        <v>1203</v>
      </c>
      <c r="D4761">
        <v>159</v>
      </c>
      <c r="E4761" t="s">
        <v>363</v>
      </c>
    </row>
    <row r="4762" spans="1:5" x14ac:dyDescent="0.25">
      <c r="A4762">
        <v>13146</v>
      </c>
      <c r="B4762" t="str">
        <f t="shared" si="75"/>
        <v>13146</v>
      </c>
      <c r="C4762" t="s">
        <v>1200</v>
      </c>
      <c r="D4762">
        <v>0</v>
      </c>
      <c r="E4762" t="s">
        <v>363</v>
      </c>
    </row>
    <row r="4763" spans="1:5" x14ac:dyDescent="0.25">
      <c r="A4763">
        <v>13146</v>
      </c>
      <c r="B4763" t="str">
        <f t="shared" si="75"/>
        <v>13146</v>
      </c>
      <c r="C4763" t="s">
        <v>1204</v>
      </c>
      <c r="D4763">
        <v>251.79</v>
      </c>
      <c r="E4763" t="s">
        <v>363</v>
      </c>
    </row>
    <row r="4764" spans="1:5" x14ac:dyDescent="0.25">
      <c r="A4764">
        <v>13146</v>
      </c>
      <c r="B4764" t="str">
        <f t="shared" si="75"/>
        <v>13146</v>
      </c>
      <c r="C4764" t="s">
        <v>1207</v>
      </c>
      <c r="D4764">
        <v>9.36</v>
      </c>
      <c r="E4764" t="s">
        <v>363</v>
      </c>
    </row>
    <row r="4765" spans="1:5" x14ac:dyDescent="0.25">
      <c r="A4765">
        <v>13146</v>
      </c>
      <c r="B4765" t="str">
        <f t="shared" si="75"/>
        <v>13146</v>
      </c>
      <c r="C4765" t="s">
        <v>1208</v>
      </c>
      <c r="D4765">
        <v>54.87</v>
      </c>
      <c r="E4765" t="s">
        <v>363</v>
      </c>
    </row>
    <row r="4766" spans="1:5" x14ac:dyDescent="0.25">
      <c r="A4766">
        <v>13146</v>
      </c>
      <c r="B4766" t="str">
        <f t="shared" si="75"/>
        <v>13146</v>
      </c>
      <c r="C4766" t="s">
        <v>1210</v>
      </c>
      <c r="D4766">
        <v>0</v>
      </c>
      <c r="E4766" t="s">
        <v>363</v>
      </c>
    </row>
    <row r="4767" spans="1:5" x14ac:dyDescent="0.25">
      <c r="A4767">
        <v>13146</v>
      </c>
      <c r="B4767" t="str">
        <f t="shared" si="75"/>
        <v>13146</v>
      </c>
      <c r="C4767" t="s">
        <v>1212</v>
      </c>
      <c r="D4767">
        <v>0</v>
      </c>
      <c r="E4767" t="s">
        <v>363</v>
      </c>
    </row>
    <row r="4768" spans="1:5" x14ac:dyDescent="0.25">
      <c r="A4768">
        <v>13146</v>
      </c>
      <c r="B4768" t="str">
        <f t="shared" si="75"/>
        <v>13146</v>
      </c>
      <c r="C4768" t="s">
        <v>1216</v>
      </c>
      <c r="D4768">
        <v>0</v>
      </c>
      <c r="E4768" t="s">
        <v>363</v>
      </c>
    </row>
    <row r="4769" spans="1:5" x14ac:dyDescent="0.25">
      <c r="A4769">
        <v>13146</v>
      </c>
      <c r="B4769" t="str">
        <f t="shared" si="75"/>
        <v>13146</v>
      </c>
      <c r="C4769" t="s">
        <v>1198</v>
      </c>
      <c r="D4769">
        <v>61.8</v>
      </c>
      <c r="E4769" t="s">
        <v>363</v>
      </c>
    </row>
    <row r="4770" spans="1:5" x14ac:dyDescent="0.25">
      <c r="A4770" t="s">
        <v>36</v>
      </c>
      <c r="B4770" t="str">
        <f t="shared" si="75"/>
        <v>06112</v>
      </c>
      <c r="C4770" t="s">
        <v>1193</v>
      </c>
      <c r="D4770">
        <v>0</v>
      </c>
      <c r="E4770" t="s">
        <v>332</v>
      </c>
    </row>
    <row r="4771" spans="1:5" x14ac:dyDescent="0.25">
      <c r="A4771" t="s">
        <v>36</v>
      </c>
      <c r="B4771" t="str">
        <f t="shared" si="75"/>
        <v>06112</v>
      </c>
      <c r="C4771" t="s">
        <v>1194</v>
      </c>
      <c r="D4771">
        <v>532.38</v>
      </c>
      <c r="E4771" t="s">
        <v>332</v>
      </c>
    </row>
    <row r="4772" spans="1:5" x14ac:dyDescent="0.25">
      <c r="A4772" t="s">
        <v>36</v>
      </c>
      <c r="B4772" t="str">
        <f t="shared" si="75"/>
        <v>06112</v>
      </c>
      <c r="C4772" t="s">
        <v>1195</v>
      </c>
      <c r="D4772">
        <v>0</v>
      </c>
      <c r="E4772" t="s">
        <v>332</v>
      </c>
    </row>
    <row r="4773" spans="1:5" x14ac:dyDescent="0.25">
      <c r="A4773" t="s">
        <v>36</v>
      </c>
      <c r="B4773" t="str">
        <f t="shared" si="75"/>
        <v>06112</v>
      </c>
      <c r="C4773" t="s">
        <v>1197</v>
      </c>
      <c r="D4773">
        <v>186.03</v>
      </c>
      <c r="E4773" t="s">
        <v>332</v>
      </c>
    </row>
    <row r="4774" spans="1:5" x14ac:dyDescent="0.25">
      <c r="A4774" t="s">
        <v>36</v>
      </c>
      <c r="B4774" t="str">
        <f t="shared" si="75"/>
        <v>06112</v>
      </c>
      <c r="C4774" t="s">
        <v>1202</v>
      </c>
      <c r="D4774">
        <v>0</v>
      </c>
      <c r="E4774" t="s">
        <v>332</v>
      </c>
    </row>
    <row r="4775" spans="1:5" x14ac:dyDescent="0.25">
      <c r="A4775" t="s">
        <v>36</v>
      </c>
      <c r="B4775" t="str">
        <f t="shared" si="75"/>
        <v>06112</v>
      </c>
      <c r="C4775" t="s">
        <v>1206</v>
      </c>
      <c r="D4775">
        <v>371.57</v>
      </c>
      <c r="E4775" t="s">
        <v>332</v>
      </c>
    </row>
    <row r="4776" spans="1:5" x14ac:dyDescent="0.25">
      <c r="A4776" t="s">
        <v>36</v>
      </c>
      <c r="B4776" t="str">
        <f t="shared" si="75"/>
        <v>06112</v>
      </c>
      <c r="C4776" t="s">
        <v>1199</v>
      </c>
      <c r="D4776">
        <v>0</v>
      </c>
      <c r="E4776" t="s">
        <v>332</v>
      </c>
    </row>
    <row r="4777" spans="1:5" x14ac:dyDescent="0.25">
      <c r="A4777" t="s">
        <v>36</v>
      </c>
      <c r="B4777" t="str">
        <f t="shared" si="75"/>
        <v>06112</v>
      </c>
      <c r="C4777" t="s">
        <v>1203</v>
      </c>
      <c r="D4777">
        <v>389.54</v>
      </c>
      <c r="E4777" t="s">
        <v>332</v>
      </c>
    </row>
    <row r="4778" spans="1:5" x14ac:dyDescent="0.25">
      <c r="A4778" t="s">
        <v>36</v>
      </c>
      <c r="B4778" t="str">
        <f t="shared" si="75"/>
        <v>06112</v>
      </c>
      <c r="C4778" t="s">
        <v>1200</v>
      </c>
      <c r="D4778">
        <v>0</v>
      </c>
      <c r="E4778" t="s">
        <v>332</v>
      </c>
    </row>
    <row r="4779" spans="1:5" x14ac:dyDescent="0.25">
      <c r="A4779" t="s">
        <v>36</v>
      </c>
      <c r="B4779" t="str">
        <f t="shared" si="75"/>
        <v>06112</v>
      </c>
      <c r="C4779" t="s">
        <v>1204</v>
      </c>
      <c r="D4779">
        <v>796.53</v>
      </c>
      <c r="E4779" t="s">
        <v>332</v>
      </c>
    </row>
    <row r="4780" spans="1:5" x14ac:dyDescent="0.25">
      <c r="A4780" t="s">
        <v>36</v>
      </c>
      <c r="B4780" t="str">
        <f t="shared" si="75"/>
        <v>06112</v>
      </c>
      <c r="C4780" t="s">
        <v>1207</v>
      </c>
      <c r="D4780">
        <v>37.71</v>
      </c>
      <c r="E4780" t="s">
        <v>332</v>
      </c>
    </row>
    <row r="4781" spans="1:5" x14ac:dyDescent="0.25">
      <c r="A4781" t="s">
        <v>36</v>
      </c>
      <c r="B4781" t="str">
        <f t="shared" si="75"/>
        <v>06112</v>
      </c>
      <c r="C4781" t="s">
        <v>1208</v>
      </c>
      <c r="D4781">
        <v>192.94</v>
      </c>
      <c r="E4781" t="s">
        <v>332</v>
      </c>
    </row>
    <row r="4782" spans="1:5" x14ac:dyDescent="0.25">
      <c r="A4782" t="s">
        <v>36</v>
      </c>
      <c r="B4782" t="str">
        <f t="shared" si="75"/>
        <v>06112</v>
      </c>
      <c r="C4782" t="s">
        <v>1210</v>
      </c>
      <c r="D4782">
        <v>0</v>
      </c>
      <c r="E4782" t="s">
        <v>332</v>
      </c>
    </row>
    <row r="4783" spans="1:5" x14ac:dyDescent="0.25">
      <c r="A4783" t="s">
        <v>36</v>
      </c>
      <c r="B4783" t="str">
        <f t="shared" si="75"/>
        <v>06112</v>
      </c>
      <c r="C4783" t="s">
        <v>1212</v>
      </c>
      <c r="D4783">
        <v>0</v>
      </c>
      <c r="E4783" t="s">
        <v>332</v>
      </c>
    </row>
    <row r="4784" spans="1:5" x14ac:dyDescent="0.25">
      <c r="A4784" t="s">
        <v>36</v>
      </c>
      <c r="B4784" t="str">
        <f t="shared" si="75"/>
        <v>06112</v>
      </c>
      <c r="C4784" t="s">
        <v>1216</v>
      </c>
      <c r="D4784">
        <v>79.56</v>
      </c>
      <c r="E4784" t="s">
        <v>332</v>
      </c>
    </row>
    <row r="4785" spans="1:5" x14ac:dyDescent="0.25">
      <c r="A4785" t="s">
        <v>36</v>
      </c>
      <c r="B4785" t="str">
        <f t="shared" si="75"/>
        <v>06112</v>
      </c>
      <c r="C4785" t="s">
        <v>1198</v>
      </c>
      <c r="D4785">
        <v>175.6</v>
      </c>
      <c r="E4785" t="s">
        <v>332</v>
      </c>
    </row>
    <row r="4786" spans="1:5" x14ac:dyDescent="0.25">
      <c r="A4786" s="34" t="s">
        <v>7</v>
      </c>
      <c r="B4786" t="str">
        <f t="shared" si="75"/>
        <v>01109</v>
      </c>
      <c r="C4786" t="s">
        <v>1193</v>
      </c>
      <c r="D4786">
        <v>0</v>
      </c>
      <c r="E4786" t="s">
        <v>304</v>
      </c>
    </row>
    <row r="4787" spans="1:5" x14ac:dyDescent="0.25">
      <c r="A4787" s="34" t="s">
        <v>7</v>
      </c>
      <c r="B4787" t="str">
        <f t="shared" si="75"/>
        <v>01109</v>
      </c>
      <c r="C4787" t="s">
        <v>1194</v>
      </c>
      <c r="D4787">
        <v>11.4</v>
      </c>
      <c r="E4787" t="s">
        <v>304</v>
      </c>
    </row>
    <row r="4788" spans="1:5" x14ac:dyDescent="0.25">
      <c r="A4788" s="34" t="s">
        <v>7</v>
      </c>
      <c r="B4788" t="str">
        <f t="shared" si="75"/>
        <v>01109</v>
      </c>
      <c r="C4788" t="s">
        <v>1195</v>
      </c>
      <c r="D4788">
        <v>0</v>
      </c>
      <c r="E4788" t="s">
        <v>304</v>
      </c>
    </row>
    <row r="4789" spans="1:5" x14ac:dyDescent="0.25">
      <c r="A4789" s="34" t="s">
        <v>7</v>
      </c>
      <c r="B4789" t="str">
        <f t="shared" si="75"/>
        <v>01109</v>
      </c>
      <c r="C4789" t="s">
        <v>1197</v>
      </c>
      <c r="D4789">
        <v>2</v>
      </c>
      <c r="E4789" t="s">
        <v>304</v>
      </c>
    </row>
    <row r="4790" spans="1:5" x14ac:dyDescent="0.25">
      <c r="A4790" s="34" t="s">
        <v>7</v>
      </c>
      <c r="B4790" t="str">
        <f t="shared" si="75"/>
        <v>01109</v>
      </c>
      <c r="C4790" t="s">
        <v>1202</v>
      </c>
      <c r="D4790">
        <v>0</v>
      </c>
      <c r="E4790" t="s">
        <v>304</v>
      </c>
    </row>
    <row r="4791" spans="1:5" x14ac:dyDescent="0.25">
      <c r="A4791" s="34" t="s">
        <v>7</v>
      </c>
      <c r="B4791" t="str">
        <f t="shared" si="75"/>
        <v>01109</v>
      </c>
      <c r="C4791" t="s">
        <v>1206</v>
      </c>
      <c r="D4791">
        <v>10.4</v>
      </c>
      <c r="E4791" t="s">
        <v>304</v>
      </c>
    </row>
    <row r="4792" spans="1:5" x14ac:dyDescent="0.25">
      <c r="A4792" s="34" t="s">
        <v>7</v>
      </c>
      <c r="B4792" t="str">
        <f t="shared" si="75"/>
        <v>01109</v>
      </c>
      <c r="C4792" t="s">
        <v>1199</v>
      </c>
      <c r="D4792">
        <v>0</v>
      </c>
      <c r="E4792" t="s">
        <v>304</v>
      </c>
    </row>
    <row r="4793" spans="1:5" x14ac:dyDescent="0.25">
      <c r="A4793" s="34" t="s">
        <v>7</v>
      </c>
      <c r="B4793" t="str">
        <f t="shared" si="75"/>
        <v>01109</v>
      </c>
      <c r="C4793" t="s">
        <v>1203</v>
      </c>
      <c r="D4793">
        <v>9.43</v>
      </c>
      <c r="E4793" t="s">
        <v>304</v>
      </c>
    </row>
    <row r="4794" spans="1:5" x14ac:dyDescent="0.25">
      <c r="A4794" s="34" t="s">
        <v>7</v>
      </c>
      <c r="B4794" t="str">
        <f t="shared" si="75"/>
        <v>01109</v>
      </c>
      <c r="C4794" t="s">
        <v>1200</v>
      </c>
      <c r="D4794">
        <v>0</v>
      </c>
      <c r="E4794" t="s">
        <v>304</v>
      </c>
    </row>
    <row r="4795" spans="1:5" x14ac:dyDescent="0.25">
      <c r="A4795" s="34" t="s">
        <v>7</v>
      </c>
      <c r="B4795" t="str">
        <f t="shared" si="75"/>
        <v>01109</v>
      </c>
      <c r="C4795" t="s">
        <v>1204</v>
      </c>
      <c r="D4795">
        <v>20.84</v>
      </c>
      <c r="E4795" t="s">
        <v>304</v>
      </c>
    </row>
    <row r="4796" spans="1:5" x14ac:dyDescent="0.25">
      <c r="A4796" s="34" t="s">
        <v>7</v>
      </c>
      <c r="B4796" t="str">
        <f t="shared" si="75"/>
        <v>01109</v>
      </c>
      <c r="C4796" t="s">
        <v>1207</v>
      </c>
      <c r="D4796">
        <v>0.3</v>
      </c>
      <c r="E4796" t="s">
        <v>304</v>
      </c>
    </row>
    <row r="4797" spans="1:5" x14ac:dyDescent="0.25">
      <c r="A4797" s="34" t="s">
        <v>7</v>
      </c>
      <c r="B4797" t="str">
        <f t="shared" si="75"/>
        <v>01109</v>
      </c>
      <c r="C4797" t="s">
        <v>1208</v>
      </c>
      <c r="D4797">
        <v>3.38</v>
      </c>
      <c r="E4797" t="s">
        <v>304</v>
      </c>
    </row>
    <row r="4798" spans="1:5" x14ac:dyDescent="0.25">
      <c r="A4798" s="34" t="s">
        <v>7</v>
      </c>
      <c r="B4798" t="str">
        <f t="shared" si="75"/>
        <v>01109</v>
      </c>
      <c r="C4798" t="s">
        <v>1210</v>
      </c>
      <c r="D4798">
        <v>0</v>
      </c>
      <c r="E4798" t="s">
        <v>304</v>
      </c>
    </row>
    <row r="4799" spans="1:5" x14ac:dyDescent="0.25">
      <c r="A4799" s="34" t="s">
        <v>7</v>
      </c>
      <c r="B4799" t="str">
        <f t="shared" si="75"/>
        <v>01109</v>
      </c>
      <c r="C4799" t="s">
        <v>1212</v>
      </c>
      <c r="D4799">
        <v>0</v>
      </c>
      <c r="E4799" t="s">
        <v>304</v>
      </c>
    </row>
    <row r="4800" spans="1:5" x14ac:dyDescent="0.25">
      <c r="A4800" s="34" t="s">
        <v>7</v>
      </c>
      <c r="B4800" t="str">
        <f t="shared" si="75"/>
        <v>01109</v>
      </c>
      <c r="C4800" t="s">
        <v>1216</v>
      </c>
      <c r="D4800">
        <v>0</v>
      </c>
      <c r="E4800" t="s">
        <v>304</v>
      </c>
    </row>
    <row r="4801" spans="1:5" x14ac:dyDescent="0.25">
      <c r="A4801" s="34" t="s">
        <v>7</v>
      </c>
      <c r="B4801" t="str">
        <f t="shared" si="75"/>
        <v>01109</v>
      </c>
      <c r="C4801" t="s">
        <v>1198</v>
      </c>
      <c r="D4801">
        <v>3</v>
      </c>
      <c r="E4801" t="s">
        <v>304</v>
      </c>
    </row>
    <row r="4802" spans="1:5" x14ac:dyDescent="0.25">
      <c r="A4802" s="34" t="s">
        <v>54</v>
      </c>
      <c r="B4802" t="str">
        <f t="shared" si="75"/>
        <v>09209</v>
      </c>
      <c r="C4802" t="s">
        <v>1193</v>
      </c>
      <c r="D4802">
        <v>0</v>
      </c>
      <c r="E4802" t="s">
        <v>350</v>
      </c>
    </row>
    <row r="4803" spans="1:5" x14ac:dyDescent="0.25">
      <c r="A4803" s="34" t="s">
        <v>54</v>
      </c>
      <c r="B4803" t="str">
        <f t="shared" ref="B4803:B4866" si="76">TEXT(A4803,"00000")</f>
        <v>09209</v>
      </c>
      <c r="C4803" t="s">
        <v>1194</v>
      </c>
      <c r="D4803">
        <v>63.8</v>
      </c>
      <c r="E4803" t="s">
        <v>350</v>
      </c>
    </row>
    <row r="4804" spans="1:5" x14ac:dyDescent="0.25">
      <c r="A4804" s="34" t="s">
        <v>54</v>
      </c>
      <c r="B4804" t="str">
        <f t="shared" si="76"/>
        <v>09209</v>
      </c>
      <c r="C4804" t="s">
        <v>1195</v>
      </c>
      <c r="D4804">
        <v>0</v>
      </c>
      <c r="E4804" t="s">
        <v>350</v>
      </c>
    </row>
    <row r="4805" spans="1:5" x14ac:dyDescent="0.25">
      <c r="A4805" s="34" t="s">
        <v>54</v>
      </c>
      <c r="B4805" t="str">
        <f t="shared" si="76"/>
        <v>09209</v>
      </c>
      <c r="C4805" t="s">
        <v>1197</v>
      </c>
      <c r="D4805">
        <v>10.4</v>
      </c>
      <c r="E4805" t="s">
        <v>350</v>
      </c>
    </row>
    <row r="4806" spans="1:5" x14ac:dyDescent="0.25">
      <c r="A4806" s="34" t="s">
        <v>54</v>
      </c>
      <c r="B4806" t="str">
        <f t="shared" si="76"/>
        <v>09209</v>
      </c>
      <c r="C4806" t="s">
        <v>1202</v>
      </c>
      <c r="D4806">
        <v>0</v>
      </c>
      <c r="E4806" t="s">
        <v>350</v>
      </c>
    </row>
    <row r="4807" spans="1:5" x14ac:dyDescent="0.25">
      <c r="A4807" s="34" t="s">
        <v>54</v>
      </c>
      <c r="B4807" t="str">
        <f t="shared" si="76"/>
        <v>09209</v>
      </c>
      <c r="C4807" t="s">
        <v>1206</v>
      </c>
      <c r="D4807">
        <v>32</v>
      </c>
      <c r="E4807" t="s">
        <v>350</v>
      </c>
    </row>
    <row r="4808" spans="1:5" x14ac:dyDescent="0.25">
      <c r="A4808" s="34" t="s">
        <v>54</v>
      </c>
      <c r="B4808" t="str">
        <f t="shared" si="76"/>
        <v>09209</v>
      </c>
      <c r="C4808" t="s">
        <v>1199</v>
      </c>
      <c r="D4808">
        <v>0</v>
      </c>
      <c r="E4808" t="s">
        <v>350</v>
      </c>
    </row>
    <row r="4809" spans="1:5" x14ac:dyDescent="0.25">
      <c r="A4809" s="34" t="s">
        <v>54</v>
      </c>
      <c r="B4809" t="str">
        <f t="shared" si="76"/>
        <v>09209</v>
      </c>
      <c r="C4809" t="s">
        <v>1203</v>
      </c>
      <c r="D4809">
        <v>43.6</v>
      </c>
      <c r="E4809" t="s">
        <v>350</v>
      </c>
    </row>
    <row r="4810" spans="1:5" x14ac:dyDescent="0.25">
      <c r="A4810" s="34" t="s">
        <v>54</v>
      </c>
      <c r="B4810" t="str">
        <f t="shared" si="76"/>
        <v>09209</v>
      </c>
      <c r="C4810" t="s">
        <v>1200</v>
      </c>
      <c r="D4810">
        <v>0</v>
      </c>
      <c r="E4810" t="s">
        <v>350</v>
      </c>
    </row>
    <row r="4811" spans="1:5" x14ac:dyDescent="0.25">
      <c r="A4811" s="34" t="s">
        <v>54</v>
      </c>
      <c r="B4811" t="str">
        <f t="shared" si="76"/>
        <v>09209</v>
      </c>
      <c r="C4811" t="s">
        <v>1204</v>
      </c>
      <c r="D4811">
        <v>68.45</v>
      </c>
      <c r="E4811" t="s">
        <v>350</v>
      </c>
    </row>
    <row r="4812" spans="1:5" x14ac:dyDescent="0.25">
      <c r="A4812" s="34" t="s">
        <v>54</v>
      </c>
      <c r="B4812" t="str">
        <f t="shared" si="76"/>
        <v>09209</v>
      </c>
      <c r="C4812" t="s">
        <v>1207</v>
      </c>
      <c r="D4812">
        <v>10.220000000000001</v>
      </c>
      <c r="E4812" t="s">
        <v>350</v>
      </c>
    </row>
    <row r="4813" spans="1:5" x14ac:dyDescent="0.25">
      <c r="A4813" s="34" t="s">
        <v>54</v>
      </c>
      <c r="B4813" t="str">
        <f t="shared" si="76"/>
        <v>09209</v>
      </c>
      <c r="C4813" t="s">
        <v>1208</v>
      </c>
      <c r="D4813">
        <v>20.61</v>
      </c>
      <c r="E4813" t="s">
        <v>350</v>
      </c>
    </row>
    <row r="4814" spans="1:5" x14ac:dyDescent="0.25">
      <c r="A4814" s="34" t="s">
        <v>54</v>
      </c>
      <c r="B4814" t="str">
        <f t="shared" si="76"/>
        <v>09209</v>
      </c>
      <c r="C4814" t="s">
        <v>1210</v>
      </c>
      <c r="D4814">
        <v>0</v>
      </c>
      <c r="E4814" t="s">
        <v>350</v>
      </c>
    </row>
    <row r="4815" spans="1:5" x14ac:dyDescent="0.25">
      <c r="A4815" s="34" t="s">
        <v>54</v>
      </c>
      <c r="B4815" t="str">
        <f t="shared" si="76"/>
        <v>09209</v>
      </c>
      <c r="C4815" t="s">
        <v>1212</v>
      </c>
      <c r="D4815">
        <v>0</v>
      </c>
      <c r="E4815" t="s">
        <v>350</v>
      </c>
    </row>
    <row r="4816" spans="1:5" x14ac:dyDescent="0.25">
      <c r="A4816" s="34" t="s">
        <v>54</v>
      </c>
      <c r="B4816" t="str">
        <f t="shared" si="76"/>
        <v>09209</v>
      </c>
      <c r="C4816" t="s">
        <v>1216</v>
      </c>
      <c r="D4816">
        <v>17.899999999999999</v>
      </c>
      <c r="E4816" t="s">
        <v>350</v>
      </c>
    </row>
    <row r="4817" spans="1:5" x14ac:dyDescent="0.25">
      <c r="A4817" s="34" t="s">
        <v>54</v>
      </c>
      <c r="B4817" t="str">
        <f t="shared" si="76"/>
        <v>09209</v>
      </c>
      <c r="C4817" t="s">
        <v>1198</v>
      </c>
      <c r="D4817">
        <v>17</v>
      </c>
      <c r="E4817" t="s">
        <v>350</v>
      </c>
    </row>
    <row r="4818" spans="1:5" x14ac:dyDescent="0.25">
      <c r="A4818" s="34">
        <v>33049</v>
      </c>
      <c r="B4818" t="str">
        <f t="shared" si="76"/>
        <v>33049</v>
      </c>
      <c r="C4818" t="s">
        <v>1193</v>
      </c>
      <c r="D4818">
        <v>0</v>
      </c>
      <c r="E4818" t="s">
        <v>538</v>
      </c>
    </row>
    <row r="4819" spans="1:5" x14ac:dyDescent="0.25">
      <c r="A4819" s="34">
        <v>33049</v>
      </c>
      <c r="B4819" t="str">
        <f t="shared" si="76"/>
        <v>33049</v>
      </c>
      <c r="C4819" t="s">
        <v>1194</v>
      </c>
      <c r="D4819">
        <v>65.2</v>
      </c>
      <c r="E4819" t="s">
        <v>538</v>
      </c>
    </row>
    <row r="4820" spans="1:5" x14ac:dyDescent="0.25">
      <c r="A4820" s="34">
        <v>33049</v>
      </c>
      <c r="B4820" t="str">
        <f t="shared" si="76"/>
        <v>33049</v>
      </c>
      <c r="C4820" t="s">
        <v>1195</v>
      </c>
      <c r="D4820">
        <v>0</v>
      </c>
      <c r="E4820" t="s">
        <v>538</v>
      </c>
    </row>
    <row r="4821" spans="1:5" x14ac:dyDescent="0.25">
      <c r="A4821" s="34">
        <v>33049</v>
      </c>
      <c r="B4821" t="str">
        <f t="shared" si="76"/>
        <v>33049</v>
      </c>
      <c r="C4821" t="s">
        <v>1197</v>
      </c>
      <c r="D4821">
        <v>31.4</v>
      </c>
      <c r="E4821" t="s">
        <v>538</v>
      </c>
    </row>
    <row r="4822" spans="1:5" x14ac:dyDescent="0.25">
      <c r="A4822" s="34">
        <v>33049</v>
      </c>
      <c r="B4822" t="str">
        <f t="shared" si="76"/>
        <v>33049</v>
      </c>
      <c r="C4822" t="s">
        <v>1202</v>
      </c>
      <c r="D4822">
        <v>0</v>
      </c>
      <c r="E4822" t="s">
        <v>538</v>
      </c>
    </row>
    <row r="4823" spans="1:5" x14ac:dyDescent="0.25">
      <c r="A4823" s="34">
        <v>33049</v>
      </c>
      <c r="B4823" t="str">
        <f t="shared" si="76"/>
        <v>33049</v>
      </c>
      <c r="C4823" t="s">
        <v>1206</v>
      </c>
      <c r="D4823">
        <v>48.2</v>
      </c>
      <c r="E4823" t="s">
        <v>538</v>
      </c>
    </row>
    <row r="4824" spans="1:5" x14ac:dyDescent="0.25">
      <c r="A4824" s="34">
        <v>33049</v>
      </c>
      <c r="B4824" t="str">
        <f t="shared" si="76"/>
        <v>33049</v>
      </c>
      <c r="C4824" t="s">
        <v>1199</v>
      </c>
      <c r="D4824">
        <v>0</v>
      </c>
      <c r="E4824" t="s">
        <v>538</v>
      </c>
    </row>
    <row r="4825" spans="1:5" x14ac:dyDescent="0.25">
      <c r="A4825" s="34">
        <v>33049</v>
      </c>
      <c r="B4825" t="str">
        <f t="shared" si="76"/>
        <v>33049</v>
      </c>
      <c r="C4825" t="s">
        <v>1203</v>
      </c>
      <c r="D4825">
        <v>56.6</v>
      </c>
      <c r="E4825" t="s">
        <v>538</v>
      </c>
    </row>
    <row r="4826" spans="1:5" x14ac:dyDescent="0.25">
      <c r="A4826" s="34">
        <v>33049</v>
      </c>
      <c r="B4826" t="str">
        <f t="shared" si="76"/>
        <v>33049</v>
      </c>
      <c r="C4826" t="s">
        <v>1200</v>
      </c>
      <c r="D4826">
        <v>0</v>
      </c>
      <c r="E4826" t="s">
        <v>538</v>
      </c>
    </row>
    <row r="4827" spans="1:5" x14ac:dyDescent="0.25">
      <c r="A4827" s="34">
        <v>33049</v>
      </c>
      <c r="B4827" t="str">
        <f t="shared" si="76"/>
        <v>33049</v>
      </c>
      <c r="C4827" t="s">
        <v>1204</v>
      </c>
      <c r="D4827">
        <v>101.58</v>
      </c>
      <c r="E4827" t="s">
        <v>538</v>
      </c>
    </row>
    <row r="4828" spans="1:5" x14ac:dyDescent="0.25">
      <c r="A4828" s="34">
        <v>33049</v>
      </c>
      <c r="B4828" t="str">
        <f t="shared" si="76"/>
        <v>33049</v>
      </c>
      <c r="C4828" t="s">
        <v>1207</v>
      </c>
      <c r="D4828">
        <v>0</v>
      </c>
      <c r="E4828" t="s">
        <v>538</v>
      </c>
    </row>
    <row r="4829" spans="1:5" x14ac:dyDescent="0.25">
      <c r="A4829" s="34">
        <v>33049</v>
      </c>
      <c r="B4829" t="str">
        <f t="shared" si="76"/>
        <v>33049</v>
      </c>
      <c r="C4829" t="s">
        <v>1208</v>
      </c>
      <c r="D4829">
        <v>13.98</v>
      </c>
      <c r="E4829" t="s">
        <v>538</v>
      </c>
    </row>
    <row r="4830" spans="1:5" x14ac:dyDescent="0.25">
      <c r="A4830" s="34">
        <v>33049</v>
      </c>
      <c r="B4830" t="str">
        <f t="shared" si="76"/>
        <v>33049</v>
      </c>
      <c r="C4830" t="s">
        <v>1210</v>
      </c>
      <c r="D4830">
        <v>0</v>
      </c>
      <c r="E4830" t="s">
        <v>538</v>
      </c>
    </row>
    <row r="4831" spans="1:5" x14ac:dyDescent="0.25">
      <c r="A4831" s="34">
        <v>33049</v>
      </c>
      <c r="B4831" t="str">
        <f t="shared" si="76"/>
        <v>33049</v>
      </c>
      <c r="C4831" t="s">
        <v>1212</v>
      </c>
      <c r="D4831">
        <v>0</v>
      </c>
      <c r="E4831" t="s">
        <v>538</v>
      </c>
    </row>
    <row r="4832" spans="1:5" x14ac:dyDescent="0.25">
      <c r="A4832" s="34">
        <v>33049</v>
      </c>
      <c r="B4832" t="str">
        <f t="shared" si="76"/>
        <v>33049</v>
      </c>
      <c r="C4832" t="s">
        <v>1216</v>
      </c>
      <c r="D4832">
        <v>0</v>
      </c>
      <c r="E4832" t="s">
        <v>538</v>
      </c>
    </row>
    <row r="4833" spans="1:5" x14ac:dyDescent="0.25">
      <c r="A4833" s="34">
        <v>33049</v>
      </c>
      <c r="B4833" t="str">
        <f t="shared" si="76"/>
        <v>33049</v>
      </c>
      <c r="C4833" t="s">
        <v>1198</v>
      </c>
      <c r="D4833">
        <v>18.600000000000001</v>
      </c>
      <c r="E4833" t="s">
        <v>538</v>
      </c>
    </row>
    <row r="4834" spans="1:5" x14ac:dyDescent="0.25">
      <c r="A4834" t="s">
        <v>26</v>
      </c>
      <c r="B4834" t="str">
        <f t="shared" si="76"/>
        <v>04246</v>
      </c>
      <c r="C4834" t="s">
        <v>1193</v>
      </c>
      <c r="D4834">
        <v>0</v>
      </c>
      <c r="E4834" t="s">
        <v>322</v>
      </c>
    </row>
    <row r="4835" spans="1:5" x14ac:dyDescent="0.25">
      <c r="A4835" t="s">
        <v>26</v>
      </c>
      <c r="B4835" t="str">
        <f t="shared" si="76"/>
        <v>04246</v>
      </c>
      <c r="C4835" t="s">
        <v>1194</v>
      </c>
      <c r="D4835">
        <v>1374.71</v>
      </c>
      <c r="E4835" t="s">
        <v>322</v>
      </c>
    </row>
    <row r="4836" spans="1:5" x14ac:dyDescent="0.25">
      <c r="A4836" t="s">
        <v>26</v>
      </c>
      <c r="B4836" t="str">
        <f t="shared" si="76"/>
        <v>04246</v>
      </c>
      <c r="C4836" t="s">
        <v>1195</v>
      </c>
      <c r="D4836">
        <v>0</v>
      </c>
      <c r="E4836" t="s">
        <v>322</v>
      </c>
    </row>
    <row r="4837" spans="1:5" x14ac:dyDescent="0.25">
      <c r="A4837" t="s">
        <v>26</v>
      </c>
      <c r="B4837" t="str">
        <f t="shared" si="76"/>
        <v>04246</v>
      </c>
      <c r="C4837" t="s">
        <v>1197</v>
      </c>
      <c r="D4837">
        <v>457.03</v>
      </c>
      <c r="E4837" t="s">
        <v>322</v>
      </c>
    </row>
    <row r="4838" spans="1:5" x14ac:dyDescent="0.25">
      <c r="A4838" t="s">
        <v>26</v>
      </c>
      <c r="B4838" t="str">
        <f t="shared" si="76"/>
        <v>04246</v>
      </c>
      <c r="C4838" t="s">
        <v>1202</v>
      </c>
      <c r="D4838">
        <v>0</v>
      </c>
      <c r="E4838" t="s">
        <v>322</v>
      </c>
    </row>
    <row r="4839" spans="1:5" x14ac:dyDescent="0.25">
      <c r="A4839" t="s">
        <v>26</v>
      </c>
      <c r="B4839" t="str">
        <f t="shared" si="76"/>
        <v>04246</v>
      </c>
      <c r="C4839" t="s">
        <v>1206</v>
      </c>
      <c r="D4839">
        <v>931.3</v>
      </c>
      <c r="E4839" t="s">
        <v>322</v>
      </c>
    </row>
    <row r="4840" spans="1:5" x14ac:dyDescent="0.25">
      <c r="A4840" t="s">
        <v>26</v>
      </c>
      <c r="B4840" t="str">
        <f t="shared" si="76"/>
        <v>04246</v>
      </c>
      <c r="C4840" t="s">
        <v>1199</v>
      </c>
      <c r="D4840">
        <v>0</v>
      </c>
      <c r="E4840" t="s">
        <v>322</v>
      </c>
    </row>
    <row r="4841" spans="1:5" x14ac:dyDescent="0.25">
      <c r="A4841" t="s">
        <v>26</v>
      </c>
      <c r="B4841" t="str">
        <f t="shared" si="76"/>
        <v>04246</v>
      </c>
      <c r="C4841" t="s">
        <v>1203</v>
      </c>
      <c r="D4841">
        <v>989.2</v>
      </c>
      <c r="E4841" t="s">
        <v>322</v>
      </c>
    </row>
    <row r="4842" spans="1:5" x14ac:dyDescent="0.25">
      <c r="A4842" t="s">
        <v>26</v>
      </c>
      <c r="B4842" t="str">
        <f t="shared" si="76"/>
        <v>04246</v>
      </c>
      <c r="C4842" t="s">
        <v>1200</v>
      </c>
      <c r="D4842">
        <v>0</v>
      </c>
      <c r="E4842" t="s">
        <v>322</v>
      </c>
    </row>
    <row r="4843" spans="1:5" x14ac:dyDescent="0.25">
      <c r="A4843" t="s">
        <v>26</v>
      </c>
      <c r="B4843" t="str">
        <f t="shared" si="76"/>
        <v>04246</v>
      </c>
      <c r="C4843" t="s">
        <v>1204</v>
      </c>
      <c r="D4843">
        <v>2000.02</v>
      </c>
      <c r="E4843" t="s">
        <v>322</v>
      </c>
    </row>
    <row r="4844" spans="1:5" x14ac:dyDescent="0.25">
      <c r="A4844" t="s">
        <v>26</v>
      </c>
      <c r="B4844" t="str">
        <f t="shared" si="76"/>
        <v>04246</v>
      </c>
      <c r="C4844" t="s">
        <v>1207</v>
      </c>
      <c r="D4844">
        <v>293.13</v>
      </c>
      <c r="E4844" t="s">
        <v>322</v>
      </c>
    </row>
    <row r="4845" spans="1:5" x14ac:dyDescent="0.25">
      <c r="A4845" t="s">
        <v>26</v>
      </c>
      <c r="B4845" t="str">
        <f t="shared" si="76"/>
        <v>04246</v>
      </c>
      <c r="C4845" t="s">
        <v>1208</v>
      </c>
      <c r="D4845">
        <v>677.28</v>
      </c>
      <c r="E4845" t="s">
        <v>322</v>
      </c>
    </row>
    <row r="4846" spans="1:5" x14ac:dyDescent="0.25">
      <c r="A4846" t="s">
        <v>26</v>
      </c>
      <c r="B4846" t="str">
        <f t="shared" si="76"/>
        <v>04246</v>
      </c>
      <c r="C4846" t="s">
        <v>1210</v>
      </c>
      <c r="D4846">
        <v>0</v>
      </c>
      <c r="E4846" t="s">
        <v>322</v>
      </c>
    </row>
    <row r="4847" spans="1:5" x14ac:dyDescent="0.25">
      <c r="A4847" t="s">
        <v>26</v>
      </c>
      <c r="B4847" t="str">
        <f t="shared" si="76"/>
        <v>04246</v>
      </c>
      <c r="C4847" t="s">
        <v>1212</v>
      </c>
      <c r="D4847">
        <v>193.33</v>
      </c>
      <c r="E4847" t="s">
        <v>322</v>
      </c>
    </row>
    <row r="4848" spans="1:5" x14ac:dyDescent="0.25">
      <c r="A4848" t="s">
        <v>26</v>
      </c>
      <c r="B4848" t="str">
        <f t="shared" si="76"/>
        <v>04246</v>
      </c>
      <c r="C4848" t="s">
        <v>1216</v>
      </c>
      <c r="D4848">
        <v>60</v>
      </c>
      <c r="E4848" t="s">
        <v>322</v>
      </c>
    </row>
    <row r="4849" spans="1:5" x14ac:dyDescent="0.25">
      <c r="A4849" t="s">
        <v>26</v>
      </c>
      <c r="B4849" t="str">
        <f t="shared" si="76"/>
        <v>04246</v>
      </c>
      <c r="C4849" t="s">
        <v>1198</v>
      </c>
      <c r="D4849">
        <v>419.4</v>
      </c>
      <c r="E4849" t="s">
        <v>322</v>
      </c>
    </row>
    <row r="4850" spans="1:5" x14ac:dyDescent="0.25">
      <c r="A4850" s="34">
        <v>32363</v>
      </c>
      <c r="B4850" t="str">
        <f t="shared" si="76"/>
        <v>32363</v>
      </c>
      <c r="C4850" t="s">
        <v>1193</v>
      </c>
      <c r="D4850">
        <v>0</v>
      </c>
      <c r="E4850" t="s">
        <v>533</v>
      </c>
    </row>
    <row r="4851" spans="1:5" x14ac:dyDescent="0.25">
      <c r="A4851" s="34">
        <v>32363</v>
      </c>
      <c r="B4851" t="str">
        <f t="shared" si="76"/>
        <v>32363</v>
      </c>
      <c r="C4851" t="s">
        <v>1194</v>
      </c>
      <c r="D4851">
        <v>627.73</v>
      </c>
      <c r="E4851" t="s">
        <v>533</v>
      </c>
    </row>
    <row r="4852" spans="1:5" x14ac:dyDescent="0.25">
      <c r="A4852" s="34">
        <v>32363</v>
      </c>
      <c r="B4852" t="str">
        <f t="shared" si="76"/>
        <v>32363</v>
      </c>
      <c r="C4852" t="s">
        <v>1195</v>
      </c>
      <c r="D4852">
        <v>0</v>
      </c>
      <c r="E4852" t="s">
        <v>533</v>
      </c>
    </row>
    <row r="4853" spans="1:5" x14ac:dyDescent="0.25">
      <c r="A4853" s="34">
        <v>32363</v>
      </c>
      <c r="B4853" t="str">
        <f t="shared" si="76"/>
        <v>32363</v>
      </c>
      <c r="C4853" t="s">
        <v>1197</v>
      </c>
      <c r="D4853">
        <v>207.3</v>
      </c>
      <c r="E4853" t="s">
        <v>533</v>
      </c>
    </row>
    <row r="4854" spans="1:5" x14ac:dyDescent="0.25">
      <c r="A4854" s="34">
        <v>32363</v>
      </c>
      <c r="B4854" t="str">
        <f t="shared" si="76"/>
        <v>32363</v>
      </c>
      <c r="C4854" t="s">
        <v>1202</v>
      </c>
      <c r="D4854">
        <v>0</v>
      </c>
      <c r="E4854" t="s">
        <v>533</v>
      </c>
    </row>
    <row r="4855" spans="1:5" x14ac:dyDescent="0.25">
      <c r="A4855" s="34">
        <v>32363</v>
      </c>
      <c r="B4855" t="str">
        <f t="shared" si="76"/>
        <v>32363</v>
      </c>
      <c r="C4855" t="s">
        <v>1206</v>
      </c>
      <c r="D4855">
        <v>391.21</v>
      </c>
      <c r="E4855" t="s">
        <v>533</v>
      </c>
    </row>
    <row r="4856" spans="1:5" x14ac:dyDescent="0.25">
      <c r="A4856" s="34">
        <v>32363</v>
      </c>
      <c r="B4856" t="str">
        <f t="shared" si="76"/>
        <v>32363</v>
      </c>
      <c r="C4856" t="s">
        <v>1199</v>
      </c>
      <c r="D4856">
        <v>0</v>
      </c>
      <c r="E4856" t="s">
        <v>533</v>
      </c>
    </row>
    <row r="4857" spans="1:5" x14ac:dyDescent="0.25">
      <c r="A4857" s="34">
        <v>32363</v>
      </c>
      <c r="B4857" t="str">
        <f t="shared" si="76"/>
        <v>32363</v>
      </c>
      <c r="C4857" t="s">
        <v>1203</v>
      </c>
      <c r="D4857">
        <v>353.14</v>
      </c>
      <c r="E4857" t="s">
        <v>533</v>
      </c>
    </row>
    <row r="4858" spans="1:5" x14ac:dyDescent="0.25">
      <c r="A4858" s="34">
        <v>32363</v>
      </c>
      <c r="B4858" t="str">
        <f t="shared" si="76"/>
        <v>32363</v>
      </c>
      <c r="C4858" t="s">
        <v>1200</v>
      </c>
      <c r="D4858">
        <v>0</v>
      </c>
      <c r="E4858" t="s">
        <v>533</v>
      </c>
    </row>
    <row r="4859" spans="1:5" x14ac:dyDescent="0.25">
      <c r="A4859" s="34">
        <v>32363</v>
      </c>
      <c r="B4859" t="str">
        <f t="shared" si="76"/>
        <v>32363</v>
      </c>
      <c r="C4859" t="s">
        <v>1204</v>
      </c>
      <c r="D4859">
        <v>768.77</v>
      </c>
      <c r="E4859" t="s">
        <v>533</v>
      </c>
    </row>
    <row r="4860" spans="1:5" x14ac:dyDescent="0.25">
      <c r="A4860" s="34">
        <v>32363</v>
      </c>
      <c r="B4860" t="str">
        <f t="shared" si="76"/>
        <v>32363</v>
      </c>
      <c r="C4860" t="s">
        <v>1207</v>
      </c>
      <c r="D4860">
        <v>99.54</v>
      </c>
      <c r="E4860" t="s">
        <v>533</v>
      </c>
    </row>
    <row r="4861" spans="1:5" x14ac:dyDescent="0.25">
      <c r="A4861" s="34">
        <v>32363</v>
      </c>
      <c r="B4861" t="str">
        <f t="shared" si="76"/>
        <v>32363</v>
      </c>
      <c r="C4861" t="s">
        <v>1208</v>
      </c>
      <c r="D4861">
        <v>152.47999999999999</v>
      </c>
      <c r="E4861" t="s">
        <v>533</v>
      </c>
    </row>
    <row r="4862" spans="1:5" x14ac:dyDescent="0.25">
      <c r="A4862" s="34">
        <v>32363</v>
      </c>
      <c r="B4862" t="str">
        <f t="shared" si="76"/>
        <v>32363</v>
      </c>
      <c r="C4862" t="s">
        <v>1210</v>
      </c>
      <c r="D4862">
        <v>0</v>
      </c>
      <c r="E4862" t="s">
        <v>533</v>
      </c>
    </row>
    <row r="4863" spans="1:5" x14ac:dyDescent="0.25">
      <c r="A4863" s="34">
        <v>32363</v>
      </c>
      <c r="B4863" t="str">
        <f t="shared" si="76"/>
        <v>32363</v>
      </c>
      <c r="C4863" t="s">
        <v>1212</v>
      </c>
      <c r="D4863">
        <v>0</v>
      </c>
      <c r="E4863" t="s">
        <v>533</v>
      </c>
    </row>
    <row r="4864" spans="1:5" x14ac:dyDescent="0.25">
      <c r="A4864" s="34">
        <v>32363</v>
      </c>
      <c r="B4864" t="str">
        <f t="shared" si="76"/>
        <v>32363</v>
      </c>
      <c r="C4864" t="s">
        <v>1216</v>
      </c>
      <c r="D4864">
        <v>0</v>
      </c>
      <c r="E4864" t="s">
        <v>533</v>
      </c>
    </row>
    <row r="4865" spans="1:5" x14ac:dyDescent="0.25">
      <c r="A4865" s="34">
        <v>32363</v>
      </c>
      <c r="B4865" t="str">
        <f t="shared" si="76"/>
        <v>32363</v>
      </c>
      <c r="C4865" t="s">
        <v>1198</v>
      </c>
      <c r="D4865">
        <v>197.26</v>
      </c>
      <c r="E4865" t="s">
        <v>533</v>
      </c>
    </row>
    <row r="4866" spans="1:5" x14ac:dyDescent="0.25">
      <c r="A4866">
        <v>39208</v>
      </c>
      <c r="B4866" t="str">
        <f t="shared" si="76"/>
        <v>39208</v>
      </c>
      <c r="C4866" t="s">
        <v>1193</v>
      </c>
      <c r="D4866">
        <v>0</v>
      </c>
      <c r="E4866" t="s">
        <v>598</v>
      </c>
    </row>
    <row r="4867" spans="1:5" x14ac:dyDescent="0.25">
      <c r="A4867">
        <v>39208</v>
      </c>
      <c r="B4867" t="str">
        <f t="shared" ref="B4867:B4930" si="77">TEXT(A4867,"00000")</f>
        <v>39208</v>
      </c>
      <c r="C4867" t="s">
        <v>1194</v>
      </c>
      <c r="D4867">
        <v>1156.76</v>
      </c>
      <c r="E4867" t="s">
        <v>598</v>
      </c>
    </row>
    <row r="4868" spans="1:5" x14ac:dyDescent="0.25">
      <c r="A4868">
        <v>39208</v>
      </c>
      <c r="B4868" t="str">
        <f t="shared" si="77"/>
        <v>39208</v>
      </c>
      <c r="C4868" t="s">
        <v>1195</v>
      </c>
      <c r="D4868">
        <v>0</v>
      </c>
      <c r="E4868" t="s">
        <v>598</v>
      </c>
    </row>
    <row r="4869" spans="1:5" x14ac:dyDescent="0.25">
      <c r="A4869">
        <v>39208</v>
      </c>
      <c r="B4869" t="str">
        <f t="shared" si="77"/>
        <v>39208</v>
      </c>
      <c r="C4869" t="s">
        <v>1197</v>
      </c>
      <c r="D4869">
        <v>385.31</v>
      </c>
      <c r="E4869" t="s">
        <v>598</v>
      </c>
    </row>
    <row r="4870" spans="1:5" x14ac:dyDescent="0.25">
      <c r="A4870">
        <v>39208</v>
      </c>
      <c r="B4870" t="str">
        <f t="shared" si="77"/>
        <v>39208</v>
      </c>
      <c r="C4870" t="s">
        <v>1202</v>
      </c>
      <c r="D4870">
        <v>0</v>
      </c>
      <c r="E4870" t="s">
        <v>598</v>
      </c>
    </row>
    <row r="4871" spans="1:5" x14ac:dyDescent="0.25">
      <c r="A4871">
        <v>39208</v>
      </c>
      <c r="B4871" t="str">
        <f t="shared" si="77"/>
        <v>39208</v>
      </c>
      <c r="C4871" t="s">
        <v>1206</v>
      </c>
      <c r="D4871">
        <v>832.93</v>
      </c>
      <c r="E4871" t="s">
        <v>598</v>
      </c>
    </row>
    <row r="4872" spans="1:5" x14ac:dyDescent="0.25">
      <c r="A4872">
        <v>39208</v>
      </c>
      <c r="B4872" t="str">
        <f t="shared" si="77"/>
        <v>39208</v>
      </c>
      <c r="C4872" t="s">
        <v>1199</v>
      </c>
      <c r="D4872">
        <v>0</v>
      </c>
      <c r="E4872" t="s">
        <v>598</v>
      </c>
    </row>
    <row r="4873" spans="1:5" x14ac:dyDescent="0.25">
      <c r="A4873">
        <v>39208</v>
      </c>
      <c r="B4873" t="str">
        <f t="shared" si="77"/>
        <v>39208</v>
      </c>
      <c r="C4873" t="s">
        <v>1203</v>
      </c>
      <c r="D4873">
        <v>833.42</v>
      </c>
      <c r="E4873" t="s">
        <v>598</v>
      </c>
    </row>
    <row r="4874" spans="1:5" x14ac:dyDescent="0.25">
      <c r="A4874">
        <v>39208</v>
      </c>
      <c r="B4874" t="str">
        <f t="shared" si="77"/>
        <v>39208</v>
      </c>
      <c r="C4874" t="s">
        <v>1200</v>
      </c>
      <c r="D4874">
        <v>0</v>
      </c>
      <c r="E4874" t="s">
        <v>598</v>
      </c>
    </row>
    <row r="4875" spans="1:5" x14ac:dyDescent="0.25">
      <c r="A4875">
        <v>39208</v>
      </c>
      <c r="B4875" t="str">
        <f t="shared" si="77"/>
        <v>39208</v>
      </c>
      <c r="C4875" t="s">
        <v>1204</v>
      </c>
      <c r="D4875">
        <v>1415.12</v>
      </c>
      <c r="E4875" t="s">
        <v>598</v>
      </c>
    </row>
    <row r="4876" spans="1:5" x14ac:dyDescent="0.25">
      <c r="A4876">
        <v>39208</v>
      </c>
      <c r="B4876" t="str">
        <f t="shared" si="77"/>
        <v>39208</v>
      </c>
      <c r="C4876" t="s">
        <v>1207</v>
      </c>
      <c r="D4876">
        <v>292.91000000000003</v>
      </c>
      <c r="E4876" t="s">
        <v>598</v>
      </c>
    </row>
    <row r="4877" spans="1:5" x14ac:dyDescent="0.25">
      <c r="A4877">
        <v>39208</v>
      </c>
      <c r="B4877" t="str">
        <f t="shared" si="77"/>
        <v>39208</v>
      </c>
      <c r="C4877" t="s">
        <v>1208</v>
      </c>
      <c r="D4877">
        <v>406.42</v>
      </c>
      <c r="E4877" t="s">
        <v>598</v>
      </c>
    </row>
    <row r="4878" spans="1:5" x14ac:dyDescent="0.25">
      <c r="A4878">
        <v>39208</v>
      </c>
      <c r="B4878" t="str">
        <f t="shared" si="77"/>
        <v>39208</v>
      </c>
      <c r="C4878" t="s">
        <v>1210</v>
      </c>
      <c r="D4878">
        <v>0</v>
      </c>
      <c r="E4878" t="s">
        <v>598</v>
      </c>
    </row>
    <row r="4879" spans="1:5" x14ac:dyDescent="0.25">
      <c r="A4879">
        <v>39208</v>
      </c>
      <c r="B4879" t="str">
        <f t="shared" si="77"/>
        <v>39208</v>
      </c>
      <c r="C4879" t="s">
        <v>1212</v>
      </c>
      <c r="D4879">
        <v>0</v>
      </c>
      <c r="E4879" t="s">
        <v>598</v>
      </c>
    </row>
    <row r="4880" spans="1:5" x14ac:dyDescent="0.25">
      <c r="A4880">
        <v>39208</v>
      </c>
      <c r="B4880" t="str">
        <f t="shared" si="77"/>
        <v>39208</v>
      </c>
      <c r="C4880" t="s">
        <v>1216</v>
      </c>
      <c r="D4880">
        <v>33.6</v>
      </c>
      <c r="E4880" t="s">
        <v>598</v>
      </c>
    </row>
    <row r="4881" spans="1:5" x14ac:dyDescent="0.25">
      <c r="A4881">
        <v>39208</v>
      </c>
      <c r="B4881" t="str">
        <f t="shared" si="77"/>
        <v>39208</v>
      </c>
      <c r="C4881" t="s">
        <v>1198</v>
      </c>
      <c r="D4881">
        <v>338.72</v>
      </c>
      <c r="E4881" t="s">
        <v>598</v>
      </c>
    </row>
    <row r="4882" spans="1:5" x14ac:dyDescent="0.25">
      <c r="A4882">
        <v>37902</v>
      </c>
      <c r="B4882" t="str">
        <f t="shared" si="77"/>
        <v>37902</v>
      </c>
      <c r="C4882" t="s">
        <v>1193</v>
      </c>
      <c r="D4882">
        <v>0</v>
      </c>
      <c r="E4882" t="s">
        <v>1244</v>
      </c>
    </row>
    <row r="4883" spans="1:5" x14ac:dyDescent="0.25">
      <c r="A4883">
        <v>37902</v>
      </c>
      <c r="B4883" t="str">
        <f t="shared" si="77"/>
        <v>37902</v>
      </c>
      <c r="C4883" t="s">
        <v>1194</v>
      </c>
      <c r="D4883">
        <v>0</v>
      </c>
      <c r="E4883" t="s">
        <v>1244</v>
      </c>
    </row>
    <row r="4884" spans="1:5" x14ac:dyDescent="0.25">
      <c r="A4884">
        <v>37902</v>
      </c>
      <c r="B4884" t="str">
        <f t="shared" si="77"/>
        <v>37902</v>
      </c>
      <c r="C4884" t="s">
        <v>1195</v>
      </c>
      <c r="D4884">
        <v>0</v>
      </c>
      <c r="E4884" t="s">
        <v>1244</v>
      </c>
    </row>
    <row r="4885" spans="1:5" x14ac:dyDescent="0.25">
      <c r="A4885">
        <v>37902</v>
      </c>
      <c r="B4885" t="str">
        <f t="shared" si="77"/>
        <v>37902</v>
      </c>
      <c r="C4885" t="s">
        <v>1197</v>
      </c>
      <c r="D4885">
        <v>0</v>
      </c>
      <c r="E4885" t="s">
        <v>1244</v>
      </c>
    </row>
    <row r="4886" spans="1:5" x14ac:dyDescent="0.25">
      <c r="A4886">
        <v>37902</v>
      </c>
      <c r="B4886" t="str">
        <f t="shared" si="77"/>
        <v>37902</v>
      </c>
      <c r="C4886" t="s">
        <v>1202</v>
      </c>
      <c r="D4886">
        <v>0</v>
      </c>
      <c r="E4886" t="s">
        <v>1244</v>
      </c>
    </row>
    <row r="4887" spans="1:5" x14ac:dyDescent="0.25">
      <c r="A4887">
        <v>37902</v>
      </c>
      <c r="B4887" t="str">
        <f t="shared" si="77"/>
        <v>37902</v>
      </c>
      <c r="C4887" t="s">
        <v>1206</v>
      </c>
      <c r="D4887">
        <v>0</v>
      </c>
      <c r="E4887" t="s">
        <v>1244</v>
      </c>
    </row>
    <row r="4888" spans="1:5" x14ac:dyDescent="0.25">
      <c r="A4888">
        <v>37902</v>
      </c>
      <c r="B4888" t="str">
        <f t="shared" si="77"/>
        <v>37902</v>
      </c>
      <c r="C4888" t="s">
        <v>1199</v>
      </c>
      <c r="D4888">
        <v>0</v>
      </c>
      <c r="E4888" t="s">
        <v>1244</v>
      </c>
    </row>
    <row r="4889" spans="1:5" x14ac:dyDescent="0.25">
      <c r="A4889">
        <v>37902</v>
      </c>
      <c r="B4889" t="str">
        <f t="shared" si="77"/>
        <v>37902</v>
      </c>
      <c r="C4889" t="s">
        <v>1203</v>
      </c>
      <c r="D4889">
        <v>0</v>
      </c>
      <c r="E4889" t="s">
        <v>1244</v>
      </c>
    </row>
    <row r="4890" spans="1:5" x14ac:dyDescent="0.25">
      <c r="A4890">
        <v>37902</v>
      </c>
      <c r="B4890" t="str">
        <f t="shared" si="77"/>
        <v>37902</v>
      </c>
      <c r="C4890" t="s">
        <v>1200</v>
      </c>
      <c r="D4890">
        <v>0</v>
      </c>
      <c r="E4890" t="s">
        <v>1244</v>
      </c>
    </row>
    <row r="4891" spans="1:5" x14ac:dyDescent="0.25">
      <c r="A4891">
        <v>37902</v>
      </c>
      <c r="B4891" t="str">
        <f t="shared" si="77"/>
        <v>37902</v>
      </c>
      <c r="C4891" t="s">
        <v>1204</v>
      </c>
      <c r="D4891">
        <v>95.67</v>
      </c>
      <c r="E4891" t="s">
        <v>1244</v>
      </c>
    </row>
    <row r="4892" spans="1:5" x14ac:dyDescent="0.25">
      <c r="A4892">
        <v>37902</v>
      </c>
      <c r="B4892" t="str">
        <f t="shared" si="77"/>
        <v>37902</v>
      </c>
      <c r="C4892" t="s">
        <v>1207</v>
      </c>
      <c r="D4892">
        <v>0</v>
      </c>
      <c r="E4892" t="s">
        <v>1244</v>
      </c>
    </row>
    <row r="4893" spans="1:5" x14ac:dyDescent="0.25">
      <c r="A4893">
        <v>37902</v>
      </c>
      <c r="B4893" t="str">
        <f t="shared" si="77"/>
        <v>37902</v>
      </c>
      <c r="C4893" t="s">
        <v>1208</v>
      </c>
      <c r="D4893">
        <v>0</v>
      </c>
      <c r="E4893" t="s">
        <v>1244</v>
      </c>
    </row>
    <row r="4894" spans="1:5" x14ac:dyDescent="0.25">
      <c r="A4894">
        <v>37902</v>
      </c>
      <c r="B4894" t="str">
        <f t="shared" si="77"/>
        <v>37902</v>
      </c>
      <c r="C4894" t="s">
        <v>1210</v>
      </c>
      <c r="D4894">
        <v>0</v>
      </c>
      <c r="E4894" t="s">
        <v>1244</v>
      </c>
    </row>
    <row r="4895" spans="1:5" x14ac:dyDescent="0.25">
      <c r="A4895">
        <v>37902</v>
      </c>
      <c r="B4895" t="str">
        <f t="shared" si="77"/>
        <v>37902</v>
      </c>
      <c r="C4895" t="s">
        <v>1212</v>
      </c>
      <c r="D4895">
        <v>0</v>
      </c>
      <c r="E4895" t="s">
        <v>1244</v>
      </c>
    </row>
    <row r="4896" spans="1:5" x14ac:dyDescent="0.25">
      <c r="A4896">
        <v>37902</v>
      </c>
      <c r="B4896" t="str">
        <f t="shared" si="77"/>
        <v>37902</v>
      </c>
      <c r="C4896" t="s">
        <v>1216</v>
      </c>
      <c r="D4896">
        <v>0</v>
      </c>
      <c r="E4896" t="s">
        <v>1244</v>
      </c>
    </row>
    <row r="4897" spans="1:5" x14ac:dyDescent="0.25">
      <c r="A4897">
        <v>37902</v>
      </c>
      <c r="B4897" t="str">
        <f t="shared" si="77"/>
        <v>37902</v>
      </c>
      <c r="C4897" t="s">
        <v>1198</v>
      </c>
      <c r="D4897">
        <v>0</v>
      </c>
      <c r="E4897" t="s">
        <v>1244</v>
      </c>
    </row>
    <row r="4898" spans="1:5" x14ac:dyDescent="0.25">
      <c r="A4898">
        <v>21303</v>
      </c>
      <c r="B4898" t="str">
        <f t="shared" si="77"/>
        <v>21303</v>
      </c>
      <c r="C4898" t="s">
        <v>1193</v>
      </c>
      <c r="D4898">
        <v>0</v>
      </c>
      <c r="E4898" t="s">
        <v>445</v>
      </c>
    </row>
    <row r="4899" spans="1:5" x14ac:dyDescent="0.25">
      <c r="A4899">
        <v>21303</v>
      </c>
      <c r="B4899" t="str">
        <f t="shared" si="77"/>
        <v>21303</v>
      </c>
      <c r="C4899" t="s">
        <v>1194</v>
      </c>
      <c r="D4899">
        <v>89.07</v>
      </c>
      <c r="E4899" t="s">
        <v>445</v>
      </c>
    </row>
    <row r="4900" spans="1:5" x14ac:dyDescent="0.25">
      <c r="A4900">
        <v>21303</v>
      </c>
      <c r="B4900" t="str">
        <f t="shared" si="77"/>
        <v>21303</v>
      </c>
      <c r="C4900" t="s">
        <v>1195</v>
      </c>
      <c r="D4900">
        <v>0</v>
      </c>
      <c r="E4900" t="s">
        <v>445</v>
      </c>
    </row>
    <row r="4901" spans="1:5" x14ac:dyDescent="0.25">
      <c r="A4901">
        <v>21303</v>
      </c>
      <c r="B4901" t="str">
        <f t="shared" si="77"/>
        <v>21303</v>
      </c>
      <c r="C4901" t="s">
        <v>1197</v>
      </c>
      <c r="D4901">
        <v>24</v>
      </c>
      <c r="E4901" t="s">
        <v>445</v>
      </c>
    </row>
    <row r="4902" spans="1:5" x14ac:dyDescent="0.25">
      <c r="A4902">
        <v>21303</v>
      </c>
      <c r="B4902" t="str">
        <f t="shared" si="77"/>
        <v>21303</v>
      </c>
      <c r="C4902" t="s">
        <v>1202</v>
      </c>
      <c r="D4902">
        <v>0</v>
      </c>
      <c r="E4902" t="s">
        <v>445</v>
      </c>
    </row>
    <row r="4903" spans="1:5" x14ac:dyDescent="0.25">
      <c r="A4903">
        <v>21303</v>
      </c>
      <c r="B4903" t="str">
        <f t="shared" si="77"/>
        <v>21303</v>
      </c>
      <c r="C4903" t="s">
        <v>1206</v>
      </c>
      <c r="D4903">
        <v>64.52</v>
      </c>
      <c r="E4903" t="s">
        <v>445</v>
      </c>
    </row>
    <row r="4904" spans="1:5" x14ac:dyDescent="0.25">
      <c r="A4904">
        <v>21303</v>
      </c>
      <c r="B4904" t="str">
        <f t="shared" si="77"/>
        <v>21303</v>
      </c>
      <c r="C4904" t="s">
        <v>1199</v>
      </c>
      <c r="D4904">
        <v>0</v>
      </c>
      <c r="E4904" t="s">
        <v>445</v>
      </c>
    </row>
    <row r="4905" spans="1:5" x14ac:dyDescent="0.25">
      <c r="A4905">
        <v>21303</v>
      </c>
      <c r="B4905" t="str">
        <f t="shared" si="77"/>
        <v>21303</v>
      </c>
      <c r="C4905" t="s">
        <v>1203</v>
      </c>
      <c r="D4905">
        <v>54.2</v>
      </c>
      <c r="E4905" t="s">
        <v>445</v>
      </c>
    </row>
    <row r="4906" spans="1:5" x14ac:dyDescent="0.25">
      <c r="A4906">
        <v>21303</v>
      </c>
      <c r="B4906" t="str">
        <f t="shared" si="77"/>
        <v>21303</v>
      </c>
      <c r="C4906" t="s">
        <v>1200</v>
      </c>
      <c r="D4906">
        <v>0</v>
      </c>
      <c r="E4906" t="s">
        <v>445</v>
      </c>
    </row>
    <row r="4907" spans="1:5" x14ac:dyDescent="0.25">
      <c r="A4907">
        <v>21303</v>
      </c>
      <c r="B4907" t="str">
        <f t="shared" si="77"/>
        <v>21303</v>
      </c>
      <c r="C4907" t="s">
        <v>1204</v>
      </c>
      <c r="D4907">
        <v>59.16</v>
      </c>
      <c r="E4907" t="s">
        <v>445</v>
      </c>
    </row>
    <row r="4908" spans="1:5" x14ac:dyDescent="0.25">
      <c r="A4908">
        <v>21303</v>
      </c>
      <c r="B4908" t="str">
        <f t="shared" si="77"/>
        <v>21303</v>
      </c>
      <c r="C4908" t="s">
        <v>1207</v>
      </c>
      <c r="D4908">
        <v>6.39</v>
      </c>
      <c r="E4908" t="s">
        <v>445</v>
      </c>
    </row>
    <row r="4909" spans="1:5" x14ac:dyDescent="0.25">
      <c r="A4909">
        <v>21303</v>
      </c>
      <c r="B4909" t="str">
        <f t="shared" si="77"/>
        <v>21303</v>
      </c>
      <c r="C4909" t="s">
        <v>1208</v>
      </c>
      <c r="D4909">
        <v>14.52</v>
      </c>
      <c r="E4909" t="s">
        <v>445</v>
      </c>
    </row>
    <row r="4910" spans="1:5" x14ac:dyDescent="0.25">
      <c r="A4910">
        <v>21303</v>
      </c>
      <c r="B4910" t="str">
        <f t="shared" si="77"/>
        <v>21303</v>
      </c>
      <c r="C4910" t="s">
        <v>1210</v>
      </c>
      <c r="D4910">
        <v>0</v>
      </c>
      <c r="E4910" t="s">
        <v>445</v>
      </c>
    </row>
    <row r="4911" spans="1:5" x14ac:dyDescent="0.25">
      <c r="A4911">
        <v>21303</v>
      </c>
      <c r="B4911" t="str">
        <f t="shared" si="77"/>
        <v>21303</v>
      </c>
      <c r="C4911" t="s">
        <v>1212</v>
      </c>
      <c r="D4911">
        <v>0</v>
      </c>
      <c r="E4911" t="s">
        <v>445</v>
      </c>
    </row>
    <row r="4912" spans="1:5" x14ac:dyDescent="0.25">
      <c r="A4912">
        <v>21303</v>
      </c>
      <c r="B4912" t="str">
        <f t="shared" si="77"/>
        <v>21303</v>
      </c>
      <c r="C4912" t="s">
        <v>1216</v>
      </c>
      <c r="D4912">
        <v>0</v>
      </c>
      <c r="E4912" t="s">
        <v>445</v>
      </c>
    </row>
    <row r="4913" spans="1:5" x14ac:dyDescent="0.25">
      <c r="A4913">
        <v>21303</v>
      </c>
      <c r="B4913" t="str">
        <f t="shared" si="77"/>
        <v>21303</v>
      </c>
      <c r="C4913" t="s">
        <v>1198</v>
      </c>
      <c r="D4913">
        <v>26.75</v>
      </c>
      <c r="E4913" t="s">
        <v>445</v>
      </c>
    </row>
    <row r="4914" spans="1:5" x14ac:dyDescent="0.25">
      <c r="A4914">
        <v>27416</v>
      </c>
      <c r="B4914" t="str">
        <f t="shared" si="77"/>
        <v>27416</v>
      </c>
      <c r="C4914" t="s">
        <v>1193</v>
      </c>
      <c r="D4914">
        <v>0</v>
      </c>
      <c r="E4914" t="s">
        <v>491</v>
      </c>
    </row>
    <row r="4915" spans="1:5" x14ac:dyDescent="0.25">
      <c r="A4915">
        <v>27416</v>
      </c>
      <c r="B4915" t="str">
        <f t="shared" si="77"/>
        <v>27416</v>
      </c>
      <c r="C4915" t="s">
        <v>1194</v>
      </c>
      <c r="D4915">
        <v>960.99</v>
      </c>
      <c r="E4915" t="s">
        <v>491</v>
      </c>
    </row>
    <row r="4916" spans="1:5" x14ac:dyDescent="0.25">
      <c r="A4916">
        <v>27416</v>
      </c>
      <c r="B4916" t="str">
        <f t="shared" si="77"/>
        <v>27416</v>
      </c>
      <c r="C4916" t="s">
        <v>1195</v>
      </c>
      <c r="D4916">
        <v>0</v>
      </c>
      <c r="E4916" t="s">
        <v>491</v>
      </c>
    </row>
    <row r="4917" spans="1:5" x14ac:dyDescent="0.25">
      <c r="A4917">
        <v>27416</v>
      </c>
      <c r="B4917" t="str">
        <f t="shared" si="77"/>
        <v>27416</v>
      </c>
      <c r="C4917" t="s">
        <v>1197</v>
      </c>
      <c r="D4917">
        <v>352.78</v>
      </c>
      <c r="E4917" t="s">
        <v>491</v>
      </c>
    </row>
    <row r="4918" spans="1:5" x14ac:dyDescent="0.25">
      <c r="A4918">
        <v>27416</v>
      </c>
      <c r="B4918" t="str">
        <f t="shared" si="77"/>
        <v>27416</v>
      </c>
      <c r="C4918" t="s">
        <v>1202</v>
      </c>
      <c r="D4918">
        <v>0</v>
      </c>
      <c r="E4918" t="s">
        <v>491</v>
      </c>
    </row>
    <row r="4919" spans="1:5" x14ac:dyDescent="0.25">
      <c r="A4919">
        <v>27416</v>
      </c>
      <c r="B4919" t="str">
        <f t="shared" si="77"/>
        <v>27416</v>
      </c>
      <c r="C4919" t="s">
        <v>1206</v>
      </c>
      <c r="D4919">
        <v>677.72</v>
      </c>
      <c r="E4919" t="s">
        <v>491</v>
      </c>
    </row>
    <row r="4920" spans="1:5" x14ac:dyDescent="0.25">
      <c r="A4920">
        <v>27416</v>
      </c>
      <c r="B4920" t="str">
        <f t="shared" si="77"/>
        <v>27416</v>
      </c>
      <c r="C4920" t="s">
        <v>1199</v>
      </c>
      <c r="D4920">
        <v>0</v>
      </c>
      <c r="E4920" t="s">
        <v>491</v>
      </c>
    </row>
    <row r="4921" spans="1:5" x14ac:dyDescent="0.25">
      <c r="A4921">
        <v>27416</v>
      </c>
      <c r="B4921" t="str">
        <f t="shared" si="77"/>
        <v>27416</v>
      </c>
      <c r="C4921" t="s">
        <v>1203</v>
      </c>
      <c r="D4921">
        <v>643.32000000000005</v>
      </c>
      <c r="E4921" t="s">
        <v>491</v>
      </c>
    </row>
    <row r="4922" spans="1:5" x14ac:dyDescent="0.25">
      <c r="A4922">
        <v>27416</v>
      </c>
      <c r="B4922" t="str">
        <f t="shared" si="77"/>
        <v>27416</v>
      </c>
      <c r="C4922" t="s">
        <v>1200</v>
      </c>
      <c r="D4922">
        <v>0</v>
      </c>
      <c r="E4922" t="s">
        <v>491</v>
      </c>
    </row>
    <row r="4923" spans="1:5" x14ac:dyDescent="0.25">
      <c r="A4923">
        <v>27416</v>
      </c>
      <c r="B4923" t="str">
        <f t="shared" si="77"/>
        <v>27416</v>
      </c>
      <c r="C4923" t="s">
        <v>1204</v>
      </c>
      <c r="D4923">
        <v>1191.04</v>
      </c>
      <c r="E4923" t="s">
        <v>491</v>
      </c>
    </row>
    <row r="4924" spans="1:5" x14ac:dyDescent="0.25">
      <c r="A4924">
        <v>27416</v>
      </c>
      <c r="B4924" t="str">
        <f t="shared" si="77"/>
        <v>27416</v>
      </c>
      <c r="C4924" t="s">
        <v>1207</v>
      </c>
      <c r="D4924">
        <v>30.26</v>
      </c>
      <c r="E4924" t="s">
        <v>491</v>
      </c>
    </row>
    <row r="4925" spans="1:5" x14ac:dyDescent="0.25">
      <c r="A4925">
        <v>27416</v>
      </c>
      <c r="B4925" t="str">
        <f t="shared" si="77"/>
        <v>27416</v>
      </c>
      <c r="C4925" t="s">
        <v>1208</v>
      </c>
      <c r="D4925">
        <v>309.82</v>
      </c>
      <c r="E4925" t="s">
        <v>491</v>
      </c>
    </row>
    <row r="4926" spans="1:5" x14ac:dyDescent="0.25">
      <c r="A4926">
        <v>27416</v>
      </c>
      <c r="B4926" t="str">
        <f t="shared" si="77"/>
        <v>27416</v>
      </c>
      <c r="C4926" t="s">
        <v>1210</v>
      </c>
      <c r="D4926">
        <v>0</v>
      </c>
      <c r="E4926" t="s">
        <v>491</v>
      </c>
    </row>
    <row r="4927" spans="1:5" x14ac:dyDescent="0.25">
      <c r="A4927">
        <v>27416</v>
      </c>
      <c r="B4927" t="str">
        <f t="shared" si="77"/>
        <v>27416</v>
      </c>
      <c r="C4927" t="s">
        <v>1212</v>
      </c>
      <c r="D4927">
        <v>0</v>
      </c>
      <c r="E4927" t="s">
        <v>491</v>
      </c>
    </row>
    <row r="4928" spans="1:5" x14ac:dyDescent="0.25">
      <c r="A4928">
        <v>27416</v>
      </c>
      <c r="B4928" t="str">
        <f t="shared" si="77"/>
        <v>27416</v>
      </c>
      <c r="C4928" t="s">
        <v>1216</v>
      </c>
      <c r="D4928">
        <v>39.200000000000003</v>
      </c>
      <c r="E4928" t="s">
        <v>491</v>
      </c>
    </row>
    <row r="4929" spans="1:5" x14ac:dyDescent="0.25">
      <c r="A4929">
        <v>27416</v>
      </c>
      <c r="B4929" t="str">
        <f t="shared" si="77"/>
        <v>27416</v>
      </c>
      <c r="C4929" t="s">
        <v>1198</v>
      </c>
      <c r="D4929">
        <v>283.27999999999997</v>
      </c>
      <c r="E4929" t="s">
        <v>491</v>
      </c>
    </row>
    <row r="4930" spans="1:5" x14ac:dyDescent="0.25">
      <c r="A4930">
        <v>20405</v>
      </c>
      <c r="B4930" t="str">
        <f t="shared" si="77"/>
        <v>20405</v>
      </c>
      <c r="C4930" t="s">
        <v>1193</v>
      </c>
      <c r="D4930">
        <v>0</v>
      </c>
      <c r="E4930" t="s">
        <v>432</v>
      </c>
    </row>
    <row r="4931" spans="1:5" x14ac:dyDescent="0.25">
      <c r="A4931">
        <v>20405</v>
      </c>
      <c r="B4931" t="str">
        <f t="shared" ref="B4931:B4994" si="78">TEXT(A4931,"00000")</f>
        <v>20405</v>
      </c>
      <c r="C4931" t="s">
        <v>1194</v>
      </c>
      <c r="D4931">
        <v>228.82</v>
      </c>
      <c r="E4931" t="s">
        <v>432</v>
      </c>
    </row>
    <row r="4932" spans="1:5" x14ac:dyDescent="0.25">
      <c r="A4932">
        <v>20405</v>
      </c>
      <c r="B4932" t="str">
        <f t="shared" si="78"/>
        <v>20405</v>
      </c>
      <c r="C4932" t="s">
        <v>1195</v>
      </c>
      <c r="D4932">
        <v>0</v>
      </c>
      <c r="E4932" t="s">
        <v>432</v>
      </c>
    </row>
    <row r="4933" spans="1:5" x14ac:dyDescent="0.25">
      <c r="A4933">
        <v>20405</v>
      </c>
      <c r="B4933" t="str">
        <f t="shared" si="78"/>
        <v>20405</v>
      </c>
      <c r="C4933" t="s">
        <v>1197</v>
      </c>
      <c r="D4933">
        <v>54.36</v>
      </c>
      <c r="E4933" t="s">
        <v>432</v>
      </c>
    </row>
    <row r="4934" spans="1:5" x14ac:dyDescent="0.25">
      <c r="A4934">
        <v>20405</v>
      </c>
      <c r="B4934" t="str">
        <f t="shared" si="78"/>
        <v>20405</v>
      </c>
      <c r="C4934" t="s">
        <v>1202</v>
      </c>
      <c r="D4934">
        <v>0</v>
      </c>
      <c r="E4934" t="s">
        <v>432</v>
      </c>
    </row>
    <row r="4935" spans="1:5" x14ac:dyDescent="0.25">
      <c r="A4935">
        <v>20405</v>
      </c>
      <c r="B4935" t="str">
        <f t="shared" si="78"/>
        <v>20405</v>
      </c>
      <c r="C4935" t="s">
        <v>1206</v>
      </c>
      <c r="D4935">
        <v>163.4</v>
      </c>
      <c r="E4935" t="s">
        <v>432</v>
      </c>
    </row>
    <row r="4936" spans="1:5" x14ac:dyDescent="0.25">
      <c r="A4936">
        <v>20405</v>
      </c>
      <c r="B4936" t="str">
        <f t="shared" si="78"/>
        <v>20405</v>
      </c>
      <c r="C4936" t="s">
        <v>1199</v>
      </c>
      <c r="D4936">
        <v>0</v>
      </c>
      <c r="E4936" t="s">
        <v>432</v>
      </c>
    </row>
    <row r="4937" spans="1:5" x14ac:dyDescent="0.25">
      <c r="A4937">
        <v>20405</v>
      </c>
      <c r="B4937" t="str">
        <f t="shared" si="78"/>
        <v>20405</v>
      </c>
      <c r="C4937" t="s">
        <v>1203</v>
      </c>
      <c r="D4937">
        <v>166.78</v>
      </c>
      <c r="E4937" t="s">
        <v>432</v>
      </c>
    </row>
    <row r="4938" spans="1:5" x14ac:dyDescent="0.25">
      <c r="A4938">
        <v>20405</v>
      </c>
      <c r="B4938" t="str">
        <f t="shared" si="78"/>
        <v>20405</v>
      </c>
      <c r="C4938" t="s">
        <v>1200</v>
      </c>
      <c r="D4938">
        <v>0</v>
      </c>
      <c r="E4938" t="s">
        <v>432</v>
      </c>
    </row>
    <row r="4939" spans="1:5" x14ac:dyDescent="0.25">
      <c r="A4939">
        <v>20405</v>
      </c>
      <c r="B4939" t="str">
        <f t="shared" si="78"/>
        <v>20405</v>
      </c>
      <c r="C4939" t="s">
        <v>1204</v>
      </c>
      <c r="D4939">
        <v>346.91</v>
      </c>
      <c r="E4939" t="s">
        <v>432</v>
      </c>
    </row>
    <row r="4940" spans="1:5" x14ac:dyDescent="0.25">
      <c r="A4940">
        <v>20405</v>
      </c>
      <c r="B4940" t="str">
        <f t="shared" si="78"/>
        <v>20405</v>
      </c>
      <c r="C4940" t="s">
        <v>1207</v>
      </c>
      <c r="D4940">
        <v>0</v>
      </c>
      <c r="E4940" t="s">
        <v>432</v>
      </c>
    </row>
    <row r="4941" spans="1:5" x14ac:dyDescent="0.25">
      <c r="A4941">
        <v>20405</v>
      </c>
      <c r="B4941" t="str">
        <f t="shared" si="78"/>
        <v>20405</v>
      </c>
      <c r="C4941" t="s">
        <v>1208</v>
      </c>
      <c r="D4941">
        <v>67.63</v>
      </c>
      <c r="E4941" t="s">
        <v>432</v>
      </c>
    </row>
    <row r="4942" spans="1:5" x14ac:dyDescent="0.25">
      <c r="A4942">
        <v>20405</v>
      </c>
      <c r="B4942" t="str">
        <f t="shared" si="78"/>
        <v>20405</v>
      </c>
      <c r="C4942" t="s">
        <v>1210</v>
      </c>
      <c r="D4942">
        <v>0</v>
      </c>
      <c r="E4942" t="s">
        <v>432</v>
      </c>
    </row>
    <row r="4943" spans="1:5" x14ac:dyDescent="0.25">
      <c r="A4943">
        <v>20405</v>
      </c>
      <c r="B4943" t="str">
        <f t="shared" si="78"/>
        <v>20405</v>
      </c>
      <c r="C4943" t="s">
        <v>1212</v>
      </c>
      <c r="D4943">
        <v>0</v>
      </c>
      <c r="E4943" t="s">
        <v>432</v>
      </c>
    </row>
    <row r="4944" spans="1:5" x14ac:dyDescent="0.25">
      <c r="A4944">
        <v>20405</v>
      </c>
      <c r="B4944" t="str">
        <f t="shared" si="78"/>
        <v>20405</v>
      </c>
      <c r="C4944" t="s">
        <v>1216</v>
      </c>
      <c r="D4944">
        <v>0</v>
      </c>
      <c r="E4944" t="s">
        <v>432</v>
      </c>
    </row>
    <row r="4945" spans="1:5" x14ac:dyDescent="0.25">
      <c r="A4945">
        <v>20405</v>
      </c>
      <c r="B4945" t="str">
        <f t="shared" si="78"/>
        <v>20405</v>
      </c>
      <c r="C4945" t="s">
        <v>1198</v>
      </c>
      <c r="D4945">
        <v>66.2</v>
      </c>
      <c r="E4945" t="s">
        <v>432</v>
      </c>
    </row>
    <row r="4946" spans="1:5" x14ac:dyDescent="0.25">
      <c r="A4946">
        <v>17917</v>
      </c>
      <c r="B4946" t="str">
        <f t="shared" si="78"/>
        <v>17917</v>
      </c>
      <c r="C4946" t="s">
        <v>1193</v>
      </c>
      <c r="D4946">
        <v>0</v>
      </c>
      <c r="E4946" t="s">
        <v>1245</v>
      </c>
    </row>
    <row r="4947" spans="1:5" x14ac:dyDescent="0.25">
      <c r="A4947">
        <v>17917</v>
      </c>
      <c r="B4947" t="str">
        <f t="shared" si="78"/>
        <v>17917</v>
      </c>
      <c r="C4947" t="s">
        <v>1194</v>
      </c>
      <c r="D4947">
        <v>0</v>
      </c>
      <c r="E4947" t="s">
        <v>1245</v>
      </c>
    </row>
    <row r="4948" spans="1:5" x14ac:dyDescent="0.25">
      <c r="A4948">
        <v>17917</v>
      </c>
      <c r="B4948" t="str">
        <f t="shared" si="78"/>
        <v>17917</v>
      </c>
      <c r="C4948" t="s">
        <v>1195</v>
      </c>
      <c r="D4948">
        <v>0</v>
      </c>
      <c r="E4948" t="s">
        <v>1245</v>
      </c>
    </row>
    <row r="4949" spans="1:5" x14ac:dyDescent="0.25">
      <c r="A4949">
        <v>17917</v>
      </c>
      <c r="B4949" t="str">
        <f t="shared" si="78"/>
        <v>17917</v>
      </c>
      <c r="C4949" t="s">
        <v>1197</v>
      </c>
      <c r="D4949">
        <v>0</v>
      </c>
      <c r="E4949" t="s">
        <v>1245</v>
      </c>
    </row>
    <row r="4950" spans="1:5" x14ac:dyDescent="0.25">
      <c r="A4950">
        <v>17917</v>
      </c>
      <c r="B4950" t="str">
        <f t="shared" si="78"/>
        <v>17917</v>
      </c>
      <c r="C4950" t="s">
        <v>1202</v>
      </c>
      <c r="D4950">
        <v>0</v>
      </c>
      <c r="E4950" t="s">
        <v>1245</v>
      </c>
    </row>
    <row r="4951" spans="1:5" x14ac:dyDescent="0.25">
      <c r="A4951">
        <v>17917</v>
      </c>
      <c r="B4951" t="str">
        <f t="shared" si="78"/>
        <v>17917</v>
      </c>
      <c r="C4951" t="s">
        <v>1206</v>
      </c>
      <c r="D4951">
        <v>0</v>
      </c>
      <c r="E4951" t="s">
        <v>1245</v>
      </c>
    </row>
    <row r="4952" spans="1:5" x14ac:dyDescent="0.25">
      <c r="A4952">
        <v>17917</v>
      </c>
      <c r="B4952" t="str">
        <f t="shared" si="78"/>
        <v>17917</v>
      </c>
      <c r="C4952" t="s">
        <v>1199</v>
      </c>
      <c r="D4952">
        <v>0</v>
      </c>
      <c r="E4952" t="s">
        <v>1245</v>
      </c>
    </row>
    <row r="4953" spans="1:5" x14ac:dyDescent="0.25">
      <c r="A4953">
        <v>17917</v>
      </c>
      <c r="B4953" t="str">
        <f t="shared" si="78"/>
        <v>17917</v>
      </c>
      <c r="C4953" t="s">
        <v>1203</v>
      </c>
      <c r="D4953">
        <v>0</v>
      </c>
      <c r="E4953" t="s">
        <v>1245</v>
      </c>
    </row>
    <row r="4954" spans="1:5" x14ac:dyDescent="0.25">
      <c r="A4954">
        <v>17917</v>
      </c>
      <c r="B4954" t="str">
        <f t="shared" si="78"/>
        <v>17917</v>
      </c>
      <c r="C4954" t="s">
        <v>1200</v>
      </c>
      <c r="D4954">
        <v>0</v>
      </c>
      <c r="E4954" t="s">
        <v>1245</v>
      </c>
    </row>
    <row r="4955" spans="1:5" x14ac:dyDescent="0.25">
      <c r="A4955">
        <v>17917</v>
      </c>
      <c r="B4955" t="str">
        <f t="shared" si="78"/>
        <v>17917</v>
      </c>
      <c r="C4955" t="s">
        <v>1204</v>
      </c>
      <c r="D4955">
        <v>127.72</v>
      </c>
      <c r="E4955" t="s">
        <v>1245</v>
      </c>
    </row>
    <row r="4956" spans="1:5" x14ac:dyDescent="0.25">
      <c r="A4956">
        <v>17917</v>
      </c>
      <c r="B4956" t="str">
        <f t="shared" si="78"/>
        <v>17917</v>
      </c>
      <c r="C4956" t="s">
        <v>1207</v>
      </c>
      <c r="D4956">
        <v>0</v>
      </c>
      <c r="E4956" t="s">
        <v>1245</v>
      </c>
    </row>
    <row r="4957" spans="1:5" x14ac:dyDescent="0.25">
      <c r="A4957">
        <v>17917</v>
      </c>
      <c r="B4957" t="str">
        <f t="shared" si="78"/>
        <v>17917</v>
      </c>
      <c r="C4957" t="s">
        <v>1208</v>
      </c>
      <c r="D4957">
        <v>0</v>
      </c>
      <c r="E4957" t="s">
        <v>1245</v>
      </c>
    </row>
    <row r="4958" spans="1:5" x14ac:dyDescent="0.25">
      <c r="A4958">
        <v>17917</v>
      </c>
      <c r="B4958" t="str">
        <f t="shared" si="78"/>
        <v>17917</v>
      </c>
      <c r="C4958" t="s">
        <v>1210</v>
      </c>
      <c r="D4958">
        <v>0</v>
      </c>
      <c r="E4958" t="s">
        <v>1245</v>
      </c>
    </row>
    <row r="4959" spans="1:5" x14ac:dyDescent="0.25">
      <c r="A4959">
        <v>17917</v>
      </c>
      <c r="B4959" t="str">
        <f t="shared" si="78"/>
        <v>17917</v>
      </c>
      <c r="C4959" t="s">
        <v>1212</v>
      </c>
      <c r="D4959">
        <v>0</v>
      </c>
      <c r="E4959" t="s">
        <v>1245</v>
      </c>
    </row>
    <row r="4960" spans="1:5" x14ac:dyDescent="0.25">
      <c r="A4960">
        <v>17917</v>
      </c>
      <c r="B4960" t="str">
        <f t="shared" si="78"/>
        <v>17917</v>
      </c>
      <c r="C4960" t="s">
        <v>1216</v>
      </c>
      <c r="D4960">
        <v>0</v>
      </c>
      <c r="E4960" t="s">
        <v>1245</v>
      </c>
    </row>
    <row r="4961" spans="1:5" x14ac:dyDescent="0.25">
      <c r="A4961">
        <v>17917</v>
      </c>
      <c r="B4961" t="str">
        <f t="shared" si="78"/>
        <v>17917</v>
      </c>
      <c r="C4961" t="s">
        <v>1198</v>
      </c>
      <c r="D4961">
        <v>0</v>
      </c>
      <c r="E4961" t="s">
        <v>1245</v>
      </c>
    </row>
    <row r="4962" spans="1:5" x14ac:dyDescent="0.25">
      <c r="A4962">
        <v>22200</v>
      </c>
      <c r="B4962" t="str">
        <f t="shared" si="78"/>
        <v>22200</v>
      </c>
      <c r="C4962" t="s">
        <v>1193</v>
      </c>
      <c r="D4962">
        <v>0</v>
      </c>
      <c r="E4962" t="s">
        <v>452</v>
      </c>
    </row>
    <row r="4963" spans="1:5" x14ac:dyDescent="0.25">
      <c r="A4963">
        <v>22200</v>
      </c>
      <c r="B4963" t="str">
        <f t="shared" si="78"/>
        <v>22200</v>
      </c>
      <c r="C4963" t="s">
        <v>1194</v>
      </c>
      <c r="D4963">
        <v>46.8</v>
      </c>
      <c r="E4963" t="s">
        <v>452</v>
      </c>
    </row>
    <row r="4964" spans="1:5" x14ac:dyDescent="0.25">
      <c r="A4964">
        <v>22200</v>
      </c>
      <c r="B4964" t="str">
        <f t="shared" si="78"/>
        <v>22200</v>
      </c>
      <c r="C4964" t="s">
        <v>1195</v>
      </c>
      <c r="D4964">
        <v>0</v>
      </c>
      <c r="E4964" t="s">
        <v>452</v>
      </c>
    </row>
    <row r="4965" spans="1:5" x14ac:dyDescent="0.25">
      <c r="A4965">
        <v>22200</v>
      </c>
      <c r="B4965" t="str">
        <f t="shared" si="78"/>
        <v>22200</v>
      </c>
      <c r="C4965" t="s">
        <v>1197</v>
      </c>
      <c r="D4965">
        <v>10.4</v>
      </c>
      <c r="E4965" t="s">
        <v>452</v>
      </c>
    </row>
    <row r="4966" spans="1:5" x14ac:dyDescent="0.25">
      <c r="A4966">
        <v>22200</v>
      </c>
      <c r="B4966" t="str">
        <f t="shared" si="78"/>
        <v>22200</v>
      </c>
      <c r="C4966" t="s">
        <v>1202</v>
      </c>
      <c r="D4966">
        <v>0</v>
      </c>
      <c r="E4966" t="s">
        <v>452</v>
      </c>
    </row>
    <row r="4967" spans="1:5" x14ac:dyDescent="0.25">
      <c r="A4967">
        <v>22200</v>
      </c>
      <c r="B4967" t="str">
        <f t="shared" si="78"/>
        <v>22200</v>
      </c>
      <c r="C4967" t="s">
        <v>1206</v>
      </c>
      <c r="D4967">
        <v>29.6</v>
      </c>
      <c r="E4967" t="s">
        <v>452</v>
      </c>
    </row>
    <row r="4968" spans="1:5" x14ac:dyDescent="0.25">
      <c r="A4968">
        <v>22200</v>
      </c>
      <c r="B4968" t="str">
        <f t="shared" si="78"/>
        <v>22200</v>
      </c>
      <c r="C4968" t="s">
        <v>1199</v>
      </c>
      <c r="D4968">
        <v>0</v>
      </c>
      <c r="E4968" t="s">
        <v>452</v>
      </c>
    </row>
    <row r="4969" spans="1:5" x14ac:dyDescent="0.25">
      <c r="A4969">
        <v>22200</v>
      </c>
      <c r="B4969" t="str">
        <f t="shared" si="78"/>
        <v>22200</v>
      </c>
      <c r="C4969" t="s">
        <v>1203</v>
      </c>
      <c r="D4969">
        <v>36.79</v>
      </c>
      <c r="E4969" t="s">
        <v>452</v>
      </c>
    </row>
    <row r="4970" spans="1:5" x14ac:dyDescent="0.25">
      <c r="A4970">
        <v>22200</v>
      </c>
      <c r="B4970" t="str">
        <f t="shared" si="78"/>
        <v>22200</v>
      </c>
      <c r="C4970" t="s">
        <v>1200</v>
      </c>
      <c r="D4970">
        <v>0</v>
      </c>
      <c r="E4970" t="s">
        <v>452</v>
      </c>
    </row>
    <row r="4971" spans="1:5" x14ac:dyDescent="0.25">
      <c r="A4971">
        <v>22200</v>
      </c>
      <c r="B4971" t="str">
        <f t="shared" si="78"/>
        <v>22200</v>
      </c>
      <c r="C4971" t="s">
        <v>1204</v>
      </c>
      <c r="D4971">
        <v>66.73</v>
      </c>
      <c r="E4971" t="s">
        <v>452</v>
      </c>
    </row>
    <row r="4972" spans="1:5" x14ac:dyDescent="0.25">
      <c r="A4972">
        <v>22200</v>
      </c>
      <c r="B4972" t="str">
        <f t="shared" si="78"/>
        <v>22200</v>
      </c>
      <c r="C4972" t="s">
        <v>1207</v>
      </c>
      <c r="D4972">
        <v>2.44</v>
      </c>
      <c r="E4972" t="s">
        <v>452</v>
      </c>
    </row>
    <row r="4973" spans="1:5" x14ac:dyDescent="0.25">
      <c r="A4973">
        <v>22200</v>
      </c>
      <c r="B4973" t="str">
        <f t="shared" si="78"/>
        <v>22200</v>
      </c>
      <c r="C4973" t="s">
        <v>1208</v>
      </c>
      <c r="D4973">
        <v>14.4</v>
      </c>
      <c r="E4973" t="s">
        <v>452</v>
      </c>
    </row>
    <row r="4974" spans="1:5" x14ac:dyDescent="0.25">
      <c r="A4974">
        <v>22200</v>
      </c>
      <c r="B4974" t="str">
        <f t="shared" si="78"/>
        <v>22200</v>
      </c>
      <c r="C4974" t="s">
        <v>1210</v>
      </c>
      <c r="D4974">
        <v>0</v>
      </c>
      <c r="E4974" t="s">
        <v>452</v>
      </c>
    </row>
    <row r="4975" spans="1:5" x14ac:dyDescent="0.25">
      <c r="A4975">
        <v>22200</v>
      </c>
      <c r="B4975" t="str">
        <f t="shared" si="78"/>
        <v>22200</v>
      </c>
      <c r="C4975" t="s">
        <v>1212</v>
      </c>
      <c r="D4975">
        <v>0</v>
      </c>
      <c r="E4975" t="s">
        <v>452</v>
      </c>
    </row>
    <row r="4976" spans="1:5" x14ac:dyDescent="0.25">
      <c r="A4976">
        <v>22200</v>
      </c>
      <c r="B4976" t="str">
        <f t="shared" si="78"/>
        <v>22200</v>
      </c>
      <c r="C4976" t="s">
        <v>1216</v>
      </c>
      <c r="D4976">
        <v>15</v>
      </c>
      <c r="E4976" t="s">
        <v>452</v>
      </c>
    </row>
    <row r="4977" spans="1:5" x14ac:dyDescent="0.25">
      <c r="A4977">
        <v>22200</v>
      </c>
      <c r="B4977" t="str">
        <f t="shared" si="78"/>
        <v>22200</v>
      </c>
      <c r="C4977" t="s">
        <v>1198</v>
      </c>
      <c r="D4977">
        <v>15.4</v>
      </c>
      <c r="E4977" t="s">
        <v>452</v>
      </c>
    </row>
    <row r="4978" spans="1:5" x14ac:dyDescent="0.25">
      <c r="A4978">
        <v>25160</v>
      </c>
      <c r="B4978" t="str">
        <f t="shared" si="78"/>
        <v>25160</v>
      </c>
      <c r="C4978" t="s">
        <v>1193</v>
      </c>
      <c r="D4978">
        <v>0</v>
      </c>
      <c r="E4978" t="s">
        <v>474</v>
      </c>
    </row>
    <row r="4979" spans="1:5" x14ac:dyDescent="0.25">
      <c r="A4979">
        <v>25160</v>
      </c>
      <c r="B4979" t="str">
        <f t="shared" si="78"/>
        <v>25160</v>
      </c>
      <c r="C4979" t="s">
        <v>1194</v>
      </c>
      <c r="D4979">
        <v>72.599999999999994</v>
      </c>
      <c r="E4979" t="s">
        <v>474</v>
      </c>
    </row>
    <row r="4980" spans="1:5" x14ac:dyDescent="0.25">
      <c r="A4980">
        <v>25160</v>
      </c>
      <c r="B4980" t="str">
        <f t="shared" si="78"/>
        <v>25160</v>
      </c>
      <c r="C4980" t="s">
        <v>1195</v>
      </c>
      <c r="D4980">
        <v>0</v>
      </c>
      <c r="E4980" t="s">
        <v>474</v>
      </c>
    </row>
    <row r="4981" spans="1:5" x14ac:dyDescent="0.25">
      <c r="A4981">
        <v>25160</v>
      </c>
      <c r="B4981" t="str">
        <f t="shared" si="78"/>
        <v>25160</v>
      </c>
      <c r="C4981" t="s">
        <v>1197</v>
      </c>
      <c r="D4981">
        <v>29.2</v>
      </c>
      <c r="E4981" t="s">
        <v>474</v>
      </c>
    </row>
    <row r="4982" spans="1:5" x14ac:dyDescent="0.25">
      <c r="A4982">
        <v>25160</v>
      </c>
      <c r="B4982" t="str">
        <f t="shared" si="78"/>
        <v>25160</v>
      </c>
      <c r="C4982" t="s">
        <v>1202</v>
      </c>
      <c r="D4982">
        <v>0</v>
      </c>
      <c r="E4982" t="s">
        <v>474</v>
      </c>
    </row>
    <row r="4983" spans="1:5" x14ac:dyDescent="0.25">
      <c r="A4983">
        <v>25160</v>
      </c>
      <c r="B4983" t="str">
        <f t="shared" si="78"/>
        <v>25160</v>
      </c>
      <c r="C4983" t="s">
        <v>1206</v>
      </c>
      <c r="D4983">
        <v>51</v>
      </c>
      <c r="E4983" t="s">
        <v>474</v>
      </c>
    </row>
    <row r="4984" spans="1:5" x14ac:dyDescent="0.25">
      <c r="A4984">
        <v>25160</v>
      </c>
      <c r="B4984" t="str">
        <f t="shared" si="78"/>
        <v>25160</v>
      </c>
      <c r="C4984" t="s">
        <v>1199</v>
      </c>
      <c r="D4984">
        <v>0</v>
      </c>
      <c r="E4984" t="s">
        <v>474</v>
      </c>
    </row>
    <row r="4985" spans="1:5" x14ac:dyDescent="0.25">
      <c r="A4985">
        <v>25160</v>
      </c>
      <c r="B4985" t="str">
        <f t="shared" si="78"/>
        <v>25160</v>
      </c>
      <c r="C4985" t="s">
        <v>1203</v>
      </c>
      <c r="D4985">
        <v>54.6</v>
      </c>
      <c r="E4985" t="s">
        <v>474</v>
      </c>
    </row>
    <row r="4986" spans="1:5" x14ac:dyDescent="0.25">
      <c r="A4986">
        <v>25160</v>
      </c>
      <c r="B4986" t="str">
        <f t="shared" si="78"/>
        <v>25160</v>
      </c>
      <c r="C4986" t="s">
        <v>1200</v>
      </c>
      <c r="D4986">
        <v>0</v>
      </c>
      <c r="E4986" t="s">
        <v>474</v>
      </c>
    </row>
    <row r="4987" spans="1:5" x14ac:dyDescent="0.25">
      <c r="A4987">
        <v>25160</v>
      </c>
      <c r="B4987" t="str">
        <f t="shared" si="78"/>
        <v>25160</v>
      </c>
      <c r="C4987" t="s">
        <v>1204</v>
      </c>
      <c r="D4987">
        <v>95.18</v>
      </c>
      <c r="E4987" t="s">
        <v>474</v>
      </c>
    </row>
    <row r="4988" spans="1:5" x14ac:dyDescent="0.25">
      <c r="A4988">
        <v>25160</v>
      </c>
      <c r="B4988" t="str">
        <f t="shared" si="78"/>
        <v>25160</v>
      </c>
      <c r="C4988" t="s">
        <v>1207</v>
      </c>
      <c r="D4988">
        <v>6.9</v>
      </c>
      <c r="E4988" t="s">
        <v>474</v>
      </c>
    </row>
    <row r="4989" spans="1:5" x14ac:dyDescent="0.25">
      <c r="A4989">
        <v>25160</v>
      </c>
      <c r="B4989" t="str">
        <f t="shared" si="78"/>
        <v>25160</v>
      </c>
      <c r="C4989" t="s">
        <v>1208</v>
      </c>
      <c r="D4989">
        <v>25.91</v>
      </c>
      <c r="E4989" t="s">
        <v>474</v>
      </c>
    </row>
    <row r="4990" spans="1:5" x14ac:dyDescent="0.25">
      <c r="A4990">
        <v>25160</v>
      </c>
      <c r="B4990" t="str">
        <f t="shared" si="78"/>
        <v>25160</v>
      </c>
      <c r="C4990" t="s">
        <v>1210</v>
      </c>
      <c r="D4990">
        <v>0</v>
      </c>
      <c r="E4990" t="s">
        <v>474</v>
      </c>
    </row>
    <row r="4991" spans="1:5" x14ac:dyDescent="0.25">
      <c r="A4991">
        <v>25160</v>
      </c>
      <c r="B4991" t="str">
        <f t="shared" si="78"/>
        <v>25160</v>
      </c>
      <c r="C4991" t="s">
        <v>1212</v>
      </c>
      <c r="D4991">
        <v>0</v>
      </c>
      <c r="E4991" t="s">
        <v>474</v>
      </c>
    </row>
    <row r="4992" spans="1:5" x14ac:dyDescent="0.25">
      <c r="A4992">
        <v>25160</v>
      </c>
      <c r="B4992" t="str">
        <f t="shared" si="78"/>
        <v>25160</v>
      </c>
      <c r="C4992" t="s">
        <v>1216</v>
      </c>
      <c r="D4992">
        <v>0</v>
      </c>
      <c r="E4992" t="s">
        <v>474</v>
      </c>
    </row>
    <row r="4993" spans="1:5" x14ac:dyDescent="0.25">
      <c r="A4993">
        <v>25160</v>
      </c>
      <c r="B4993" t="str">
        <f t="shared" si="78"/>
        <v>25160</v>
      </c>
      <c r="C4993" t="s">
        <v>1198</v>
      </c>
      <c r="D4993">
        <v>17.2</v>
      </c>
      <c r="E4993" t="s">
        <v>474</v>
      </c>
    </row>
    <row r="4994" spans="1:5" x14ac:dyDescent="0.25">
      <c r="A4994">
        <v>13167</v>
      </c>
      <c r="B4994" t="str">
        <f t="shared" si="78"/>
        <v>13167</v>
      </c>
      <c r="C4994" t="s">
        <v>1193</v>
      </c>
      <c r="D4994">
        <v>0</v>
      </c>
      <c r="E4994" t="s">
        <v>369</v>
      </c>
    </row>
    <row r="4995" spans="1:5" x14ac:dyDescent="0.25">
      <c r="A4995">
        <v>13167</v>
      </c>
      <c r="B4995" t="str">
        <f t="shared" ref="B4995:B5058" si="79">TEXT(A4995,"00000")</f>
        <v>13167</v>
      </c>
      <c r="C4995" t="s">
        <v>1194</v>
      </c>
      <c r="D4995">
        <v>26.2</v>
      </c>
      <c r="E4995" t="s">
        <v>369</v>
      </c>
    </row>
    <row r="4996" spans="1:5" x14ac:dyDescent="0.25">
      <c r="A4996">
        <v>13167</v>
      </c>
      <c r="B4996" t="str">
        <f t="shared" si="79"/>
        <v>13167</v>
      </c>
      <c r="C4996" t="s">
        <v>1195</v>
      </c>
      <c r="D4996">
        <v>0</v>
      </c>
      <c r="E4996" t="s">
        <v>369</v>
      </c>
    </row>
    <row r="4997" spans="1:5" x14ac:dyDescent="0.25">
      <c r="A4997">
        <v>13167</v>
      </c>
      <c r="B4997" t="str">
        <f t="shared" si="79"/>
        <v>13167</v>
      </c>
      <c r="C4997" t="s">
        <v>1197</v>
      </c>
      <c r="D4997">
        <v>7.8</v>
      </c>
      <c r="E4997" t="s">
        <v>369</v>
      </c>
    </row>
    <row r="4998" spans="1:5" x14ac:dyDescent="0.25">
      <c r="A4998">
        <v>13167</v>
      </c>
      <c r="B4998" t="str">
        <f t="shared" si="79"/>
        <v>13167</v>
      </c>
      <c r="C4998" t="s">
        <v>1202</v>
      </c>
      <c r="D4998">
        <v>0</v>
      </c>
      <c r="E4998" t="s">
        <v>369</v>
      </c>
    </row>
    <row r="4999" spans="1:5" x14ac:dyDescent="0.25">
      <c r="A4999">
        <v>13167</v>
      </c>
      <c r="B4999" t="str">
        <f t="shared" si="79"/>
        <v>13167</v>
      </c>
      <c r="C4999" t="s">
        <v>1206</v>
      </c>
      <c r="D4999">
        <v>18.600000000000001</v>
      </c>
      <c r="E4999" t="s">
        <v>369</v>
      </c>
    </row>
    <row r="5000" spans="1:5" x14ac:dyDescent="0.25">
      <c r="A5000">
        <v>13167</v>
      </c>
      <c r="B5000" t="str">
        <f t="shared" si="79"/>
        <v>13167</v>
      </c>
      <c r="C5000" t="s">
        <v>1199</v>
      </c>
      <c r="D5000">
        <v>0</v>
      </c>
      <c r="E5000" t="s">
        <v>369</v>
      </c>
    </row>
    <row r="5001" spans="1:5" x14ac:dyDescent="0.25">
      <c r="A5001">
        <v>13167</v>
      </c>
      <c r="B5001" t="str">
        <f t="shared" si="79"/>
        <v>13167</v>
      </c>
      <c r="C5001" t="s">
        <v>1203</v>
      </c>
      <c r="D5001">
        <v>18.600000000000001</v>
      </c>
      <c r="E5001" t="s">
        <v>369</v>
      </c>
    </row>
    <row r="5002" spans="1:5" x14ac:dyDescent="0.25">
      <c r="A5002">
        <v>13167</v>
      </c>
      <c r="B5002" t="str">
        <f t="shared" si="79"/>
        <v>13167</v>
      </c>
      <c r="C5002" t="s">
        <v>1200</v>
      </c>
      <c r="D5002">
        <v>0</v>
      </c>
      <c r="E5002" t="s">
        <v>369</v>
      </c>
    </row>
    <row r="5003" spans="1:5" x14ac:dyDescent="0.25">
      <c r="A5003">
        <v>13167</v>
      </c>
      <c r="B5003" t="str">
        <f t="shared" si="79"/>
        <v>13167</v>
      </c>
      <c r="C5003" t="s">
        <v>1204</v>
      </c>
      <c r="D5003">
        <v>37.94</v>
      </c>
      <c r="E5003" t="s">
        <v>369</v>
      </c>
    </row>
    <row r="5004" spans="1:5" x14ac:dyDescent="0.25">
      <c r="A5004">
        <v>13167</v>
      </c>
      <c r="B5004" t="str">
        <f t="shared" si="79"/>
        <v>13167</v>
      </c>
      <c r="C5004" t="s">
        <v>1207</v>
      </c>
      <c r="D5004">
        <v>4.72</v>
      </c>
      <c r="E5004" t="s">
        <v>369</v>
      </c>
    </row>
    <row r="5005" spans="1:5" x14ac:dyDescent="0.25">
      <c r="A5005">
        <v>13167</v>
      </c>
      <c r="B5005" t="str">
        <f t="shared" si="79"/>
        <v>13167</v>
      </c>
      <c r="C5005" t="s">
        <v>1208</v>
      </c>
      <c r="D5005">
        <v>7.68</v>
      </c>
      <c r="E5005" t="s">
        <v>369</v>
      </c>
    </row>
    <row r="5006" spans="1:5" x14ac:dyDescent="0.25">
      <c r="A5006">
        <v>13167</v>
      </c>
      <c r="B5006" t="str">
        <f t="shared" si="79"/>
        <v>13167</v>
      </c>
      <c r="C5006" t="s">
        <v>1210</v>
      </c>
      <c r="D5006">
        <v>0</v>
      </c>
      <c r="E5006" t="s">
        <v>369</v>
      </c>
    </row>
    <row r="5007" spans="1:5" x14ac:dyDescent="0.25">
      <c r="A5007">
        <v>13167</v>
      </c>
      <c r="B5007" t="str">
        <f t="shared" si="79"/>
        <v>13167</v>
      </c>
      <c r="C5007" t="s">
        <v>1212</v>
      </c>
      <c r="D5007">
        <v>0</v>
      </c>
      <c r="E5007" t="s">
        <v>369</v>
      </c>
    </row>
    <row r="5008" spans="1:5" x14ac:dyDescent="0.25">
      <c r="A5008">
        <v>13167</v>
      </c>
      <c r="B5008" t="str">
        <f t="shared" si="79"/>
        <v>13167</v>
      </c>
      <c r="C5008" t="s">
        <v>1216</v>
      </c>
      <c r="D5008">
        <v>0</v>
      </c>
      <c r="E5008" t="s">
        <v>369</v>
      </c>
    </row>
    <row r="5009" spans="1:5" x14ac:dyDescent="0.25">
      <c r="A5009">
        <v>13167</v>
      </c>
      <c r="B5009" t="str">
        <f t="shared" si="79"/>
        <v>13167</v>
      </c>
      <c r="C5009" t="s">
        <v>1198</v>
      </c>
      <c r="D5009">
        <v>8.36</v>
      </c>
      <c r="E5009" t="s">
        <v>369</v>
      </c>
    </row>
    <row r="5010" spans="1:5" x14ac:dyDescent="0.25">
      <c r="A5010">
        <v>21232</v>
      </c>
      <c r="B5010" t="str">
        <f t="shared" si="79"/>
        <v>21232</v>
      </c>
      <c r="C5010" t="s">
        <v>1193</v>
      </c>
      <c r="D5010">
        <v>0</v>
      </c>
      <c r="E5010" t="s">
        <v>439</v>
      </c>
    </row>
    <row r="5011" spans="1:5" x14ac:dyDescent="0.25">
      <c r="A5011">
        <v>21232</v>
      </c>
      <c r="B5011" t="str">
        <f t="shared" si="79"/>
        <v>21232</v>
      </c>
      <c r="C5011" t="s">
        <v>1194</v>
      </c>
      <c r="D5011">
        <v>169.8</v>
      </c>
      <c r="E5011" t="s">
        <v>439</v>
      </c>
    </row>
    <row r="5012" spans="1:5" x14ac:dyDescent="0.25">
      <c r="A5012">
        <v>21232</v>
      </c>
      <c r="B5012" t="str">
        <f t="shared" si="79"/>
        <v>21232</v>
      </c>
      <c r="C5012" t="s">
        <v>1195</v>
      </c>
      <c r="D5012">
        <v>0</v>
      </c>
      <c r="E5012" t="s">
        <v>439</v>
      </c>
    </row>
    <row r="5013" spans="1:5" x14ac:dyDescent="0.25">
      <c r="A5013">
        <v>21232</v>
      </c>
      <c r="B5013" t="str">
        <f t="shared" si="79"/>
        <v>21232</v>
      </c>
      <c r="C5013" t="s">
        <v>1197</v>
      </c>
      <c r="D5013">
        <v>58</v>
      </c>
      <c r="E5013" t="s">
        <v>439</v>
      </c>
    </row>
    <row r="5014" spans="1:5" x14ac:dyDescent="0.25">
      <c r="A5014">
        <v>21232</v>
      </c>
      <c r="B5014" t="str">
        <f t="shared" si="79"/>
        <v>21232</v>
      </c>
      <c r="C5014" t="s">
        <v>1202</v>
      </c>
      <c r="D5014">
        <v>0</v>
      </c>
      <c r="E5014" t="s">
        <v>439</v>
      </c>
    </row>
    <row r="5015" spans="1:5" x14ac:dyDescent="0.25">
      <c r="A5015">
        <v>21232</v>
      </c>
      <c r="B5015" t="str">
        <f t="shared" si="79"/>
        <v>21232</v>
      </c>
      <c r="C5015" t="s">
        <v>1206</v>
      </c>
      <c r="D5015">
        <v>104.2</v>
      </c>
      <c r="E5015" t="s">
        <v>439</v>
      </c>
    </row>
    <row r="5016" spans="1:5" x14ac:dyDescent="0.25">
      <c r="A5016">
        <v>21232</v>
      </c>
      <c r="B5016" t="str">
        <f t="shared" si="79"/>
        <v>21232</v>
      </c>
      <c r="C5016" t="s">
        <v>1199</v>
      </c>
      <c r="D5016">
        <v>0</v>
      </c>
      <c r="E5016" t="s">
        <v>439</v>
      </c>
    </row>
    <row r="5017" spans="1:5" x14ac:dyDescent="0.25">
      <c r="A5017">
        <v>21232</v>
      </c>
      <c r="B5017" t="str">
        <f t="shared" si="79"/>
        <v>21232</v>
      </c>
      <c r="C5017" t="s">
        <v>1203</v>
      </c>
      <c r="D5017">
        <v>109.33</v>
      </c>
      <c r="E5017" t="s">
        <v>439</v>
      </c>
    </row>
    <row r="5018" spans="1:5" x14ac:dyDescent="0.25">
      <c r="A5018">
        <v>21232</v>
      </c>
      <c r="B5018" t="str">
        <f t="shared" si="79"/>
        <v>21232</v>
      </c>
      <c r="C5018" t="s">
        <v>1200</v>
      </c>
      <c r="D5018">
        <v>0</v>
      </c>
      <c r="E5018" t="s">
        <v>439</v>
      </c>
    </row>
    <row r="5019" spans="1:5" x14ac:dyDescent="0.25">
      <c r="A5019">
        <v>21232</v>
      </c>
      <c r="B5019" t="str">
        <f t="shared" si="79"/>
        <v>21232</v>
      </c>
      <c r="C5019" t="s">
        <v>1204</v>
      </c>
      <c r="D5019">
        <v>185.15</v>
      </c>
      <c r="E5019" t="s">
        <v>439</v>
      </c>
    </row>
    <row r="5020" spans="1:5" x14ac:dyDescent="0.25">
      <c r="A5020">
        <v>21232</v>
      </c>
      <c r="B5020" t="str">
        <f t="shared" si="79"/>
        <v>21232</v>
      </c>
      <c r="C5020" t="s">
        <v>1207</v>
      </c>
      <c r="D5020">
        <v>7.88</v>
      </c>
      <c r="E5020" t="s">
        <v>439</v>
      </c>
    </row>
    <row r="5021" spans="1:5" x14ac:dyDescent="0.25">
      <c r="A5021">
        <v>21232</v>
      </c>
      <c r="B5021" t="str">
        <f t="shared" si="79"/>
        <v>21232</v>
      </c>
      <c r="C5021" t="s">
        <v>1208</v>
      </c>
      <c r="D5021">
        <v>57.36</v>
      </c>
      <c r="E5021" t="s">
        <v>439</v>
      </c>
    </row>
    <row r="5022" spans="1:5" x14ac:dyDescent="0.25">
      <c r="A5022">
        <v>21232</v>
      </c>
      <c r="B5022" t="str">
        <f t="shared" si="79"/>
        <v>21232</v>
      </c>
      <c r="C5022" t="s">
        <v>1210</v>
      </c>
      <c r="D5022">
        <v>0</v>
      </c>
      <c r="E5022" t="s">
        <v>439</v>
      </c>
    </row>
    <row r="5023" spans="1:5" x14ac:dyDescent="0.25">
      <c r="A5023">
        <v>21232</v>
      </c>
      <c r="B5023" t="str">
        <f t="shared" si="79"/>
        <v>21232</v>
      </c>
      <c r="C5023" t="s">
        <v>1212</v>
      </c>
      <c r="D5023">
        <v>0</v>
      </c>
      <c r="E5023" t="s">
        <v>439</v>
      </c>
    </row>
    <row r="5024" spans="1:5" x14ac:dyDescent="0.25">
      <c r="A5024">
        <v>21232</v>
      </c>
      <c r="B5024" t="str">
        <f t="shared" si="79"/>
        <v>21232</v>
      </c>
      <c r="C5024" t="s">
        <v>1216</v>
      </c>
      <c r="D5024">
        <v>34.6</v>
      </c>
      <c r="E5024" t="s">
        <v>439</v>
      </c>
    </row>
    <row r="5025" spans="1:5" x14ac:dyDescent="0.25">
      <c r="A5025">
        <v>21232</v>
      </c>
      <c r="B5025" t="str">
        <f t="shared" si="79"/>
        <v>21232</v>
      </c>
      <c r="C5025" t="s">
        <v>1198</v>
      </c>
      <c r="D5025">
        <v>69</v>
      </c>
      <c r="E5025" t="s">
        <v>439</v>
      </c>
    </row>
    <row r="5026" spans="1:5" x14ac:dyDescent="0.25">
      <c r="A5026">
        <v>14117</v>
      </c>
      <c r="B5026" t="str">
        <f t="shared" si="79"/>
        <v>14117</v>
      </c>
      <c r="C5026" t="s">
        <v>1193</v>
      </c>
      <c r="D5026">
        <v>0</v>
      </c>
      <c r="E5026" t="s">
        <v>381</v>
      </c>
    </row>
    <row r="5027" spans="1:5" x14ac:dyDescent="0.25">
      <c r="A5027">
        <v>14117</v>
      </c>
      <c r="B5027" t="str">
        <f t="shared" si="79"/>
        <v>14117</v>
      </c>
      <c r="C5027" t="s">
        <v>1194</v>
      </c>
      <c r="D5027">
        <v>36</v>
      </c>
      <c r="E5027" t="s">
        <v>381</v>
      </c>
    </row>
    <row r="5028" spans="1:5" x14ac:dyDescent="0.25">
      <c r="A5028">
        <v>14117</v>
      </c>
      <c r="B5028" t="str">
        <f t="shared" si="79"/>
        <v>14117</v>
      </c>
      <c r="C5028" t="s">
        <v>1195</v>
      </c>
      <c r="D5028">
        <v>0</v>
      </c>
      <c r="E5028" t="s">
        <v>381</v>
      </c>
    </row>
    <row r="5029" spans="1:5" x14ac:dyDescent="0.25">
      <c r="A5029">
        <v>14117</v>
      </c>
      <c r="B5029" t="str">
        <f t="shared" si="79"/>
        <v>14117</v>
      </c>
      <c r="C5029" t="s">
        <v>1197</v>
      </c>
      <c r="D5029">
        <v>11.8</v>
      </c>
      <c r="E5029" t="s">
        <v>381</v>
      </c>
    </row>
    <row r="5030" spans="1:5" x14ac:dyDescent="0.25">
      <c r="A5030">
        <v>14117</v>
      </c>
      <c r="B5030" t="str">
        <f t="shared" si="79"/>
        <v>14117</v>
      </c>
      <c r="C5030" t="s">
        <v>1202</v>
      </c>
      <c r="D5030">
        <v>0</v>
      </c>
      <c r="E5030" t="s">
        <v>381</v>
      </c>
    </row>
    <row r="5031" spans="1:5" x14ac:dyDescent="0.25">
      <c r="A5031">
        <v>14117</v>
      </c>
      <c r="B5031" t="str">
        <f t="shared" si="79"/>
        <v>14117</v>
      </c>
      <c r="C5031" t="s">
        <v>1206</v>
      </c>
      <c r="D5031">
        <v>28.6</v>
      </c>
      <c r="E5031" t="s">
        <v>381</v>
      </c>
    </row>
    <row r="5032" spans="1:5" x14ac:dyDescent="0.25">
      <c r="A5032">
        <v>14117</v>
      </c>
      <c r="B5032" t="str">
        <f t="shared" si="79"/>
        <v>14117</v>
      </c>
      <c r="C5032" t="s">
        <v>1199</v>
      </c>
      <c r="D5032">
        <v>0</v>
      </c>
      <c r="E5032" t="s">
        <v>381</v>
      </c>
    </row>
    <row r="5033" spans="1:5" x14ac:dyDescent="0.25">
      <c r="A5033">
        <v>14117</v>
      </c>
      <c r="B5033" t="str">
        <f t="shared" si="79"/>
        <v>14117</v>
      </c>
      <c r="C5033" t="s">
        <v>1203</v>
      </c>
      <c r="D5033">
        <v>29</v>
      </c>
      <c r="E5033" t="s">
        <v>381</v>
      </c>
    </row>
    <row r="5034" spans="1:5" x14ac:dyDescent="0.25">
      <c r="A5034">
        <v>14117</v>
      </c>
      <c r="B5034" t="str">
        <f t="shared" si="79"/>
        <v>14117</v>
      </c>
      <c r="C5034" t="s">
        <v>1200</v>
      </c>
      <c r="D5034">
        <v>0</v>
      </c>
      <c r="E5034" t="s">
        <v>381</v>
      </c>
    </row>
    <row r="5035" spans="1:5" x14ac:dyDescent="0.25">
      <c r="A5035">
        <v>14117</v>
      </c>
      <c r="B5035" t="str">
        <f t="shared" si="79"/>
        <v>14117</v>
      </c>
      <c r="C5035" t="s">
        <v>1204</v>
      </c>
      <c r="D5035">
        <v>43.4</v>
      </c>
      <c r="E5035" t="s">
        <v>381</v>
      </c>
    </row>
    <row r="5036" spans="1:5" x14ac:dyDescent="0.25">
      <c r="A5036">
        <v>14117</v>
      </c>
      <c r="B5036" t="str">
        <f t="shared" si="79"/>
        <v>14117</v>
      </c>
      <c r="C5036" t="s">
        <v>1207</v>
      </c>
      <c r="D5036">
        <v>4.0599999999999996</v>
      </c>
      <c r="E5036" t="s">
        <v>381</v>
      </c>
    </row>
    <row r="5037" spans="1:5" x14ac:dyDescent="0.25">
      <c r="A5037">
        <v>14117</v>
      </c>
      <c r="B5037" t="str">
        <f t="shared" si="79"/>
        <v>14117</v>
      </c>
      <c r="C5037" t="s">
        <v>1208</v>
      </c>
      <c r="D5037">
        <v>11.76</v>
      </c>
      <c r="E5037" t="s">
        <v>381</v>
      </c>
    </row>
    <row r="5038" spans="1:5" x14ac:dyDescent="0.25">
      <c r="A5038">
        <v>14117</v>
      </c>
      <c r="B5038" t="str">
        <f t="shared" si="79"/>
        <v>14117</v>
      </c>
      <c r="C5038" t="s">
        <v>1210</v>
      </c>
      <c r="D5038">
        <v>0</v>
      </c>
      <c r="E5038" t="s">
        <v>381</v>
      </c>
    </row>
    <row r="5039" spans="1:5" x14ac:dyDescent="0.25">
      <c r="A5039">
        <v>14117</v>
      </c>
      <c r="B5039" t="str">
        <f t="shared" si="79"/>
        <v>14117</v>
      </c>
      <c r="C5039" t="s">
        <v>1212</v>
      </c>
      <c r="D5039">
        <v>0</v>
      </c>
      <c r="E5039" t="s">
        <v>381</v>
      </c>
    </row>
    <row r="5040" spans="1:5" x14ac:dyDescent="0.25">
      <c r="A5040">
        <v>14117</v>
      </c>
      <c r="B5040" t="str">
        <f t="shared" si="79"/>
        <v>14117</v>
      </c>
      <c r="C5040" t="s">
        <v>1216</v>
      </c>
      <c r="D5040">
        <v>8.9</v>
      </c>
      <c r="E5040" t="s">
        <v>381</v>
      </c>
    </row>
    <row r="5041" spans="1:5" x14ac:dyDescent="0.25">
      <c r="A5041">
        <v>14117</v>
      </c>
      <c r="B5041" t="str">
        <f t="shared" si="79"/>
        <v>14117</v>
      </c>
      <c r="C5041" t="s">
        <v>1198</v>
      </c>
      <c r="D5041">
        <v>14</v>
      </c>
      <c r="E5041" t="s">
        <v>381</v>
      </c>
    </row>
    <row r="5042" spans="1:5" x14ac:dyDescent="0.25">
      <c r="A5042">
        <v>20094</v>
      </c>
      <c r="B5042" t="str">
        <f t="shared" si="79"/>
        <v>20094</v>
      </c>
      <c r="C5042" t="s">
        <v>1193</v>
      </c>
      <c r="D5042">
        <v>0</v>
      </c>
      <c r="E5042" t="s">
        <v>424</v>
      </c>
    </row>
    <row r="5043" spans="1:5" x14ac:dyDescent="0.25">
      <c r="A5043">
        <v>20094</v>
      </c>
      <c r="B5043" t="str">
        <f t="shared" si="79"/>
        <v>20094</v>
      </c>
      <c r="C5043" t="s">
        <v>1194</v>
      </c>
      <c r="D5043">
        <v>25.2</v>
      </c>
      <c r="E5043" t="s">
        <v>424</v>
      </c>
    </row>
    <row r="5044" spans="1:5" x14ac:dyDescent="0.25">
      <c r="A5044">
        <v>20094</v>
      </c>
      <c r="B5044" t="str">
        <f t="shared" si="79"/>
        <v>20094</v>
      </c>
      <c r="C5044" t="s">
        <v>1195</v>
      </c>
      <c r="D5044">
        <v>0</v>
      </c>
      <c r="E5044" t="s">
        <v>424</v>
      </c>
    </row>
    <row r="5045" spans="1:5" x14ac:dyDescent="0.25">
      <c r="A5045">
        <v>20094</v>
      </c>
      <c r="B5045" t="str">
        <f t="shared" si="79"/>
        <v>20094</v>
      </c>
      <c r="C5045" t="s">
        <v>1197</v>
      </c>
      <c r="D5045">
        <v>9</v>
      </c>
      <c r="E5045" t="s">
        <v>424</v>
      </c>
    </row>
    <row r="5046" spans="1:5" x14ac:dyDescent="0.25">
      <c r="A5046">
        <v>20094</v>
      </c>
      <c r="B5046" t="str">
        <f t="shared" si="79"/>
        <v>20094</v>
      </c>
      <c r="C5046" t="s">
        <v>1202</v>
      </c>
      <c r="D5046">
        <v>0</v>
      </c>
      <c r="E5046" t="s">
        <v>424</v>
      </c>
    </row>
    <row r="5047" spans="1:5" x14ac:dyDescent="0.25">
      <c r="A5047">
        <v>20094</v>
      </c>
      <c r="B5047" t="str">
        <f t="shared" si="79"/>
        <v>20094</v>
      </c>
      <c r="C5047" t="s">
        <v>1206</v>
      </c>
      <c r="D5047">
        <v>15.2</v>
      </c>
      <c r="E5047" t="s">
        <v>424</v>
      </c>
    </row>
    <row r="5048" spans="1:5" x14ac:dyDescent="0.25">
      <c r="A5048">
        <v>20094</v>
      </c>
      <c r="B5048" t="str">
        <f t="shared" si="79"/>
        <v>20094</v>
      </c>
      <c r="C5048" t="s">
        <v>1199</v>
      </c>
      <c r="D5048">
        <v>0</v>
      </c>
      <c r="E5048" t="s">
        <v>424</v>
      </c>
    </row>
    <row r="5049" spans="1:5" x14ac:dyDescent="0.25">
      <c r="A5049">
        <v>20094</v>
      </c>
      <c r="B5049" t="str">
        <f t="shared" si="79"/>
        <v>20094</v>
      </c>
      <c r="C5049" t="s">
        <v>1203</v>
      </c>
      <c r="D5049">
        <v>10</v>
      </c>
      <c r="E5049" t="s">
        <v>424</v>
      </c>
    </row>
    <row r="5050" spans="1:5" x14ac:dyDescent="0.25">
      <c r="A5050">
        <v>20094</v>
      </c>
      <c r="B5050" t="str">
        <f t="shared" si="79"/>
        <v>20094</v>
      </c>
      <c r="C5050" t="s">
        <v>1200</v>
      </c>
      <c r="D5050">
        <v>0</v>
      </c>
      <c r="E5050" t="s">
        <v>424</v>
      </c>
    </row>
    <row r="5051" spans="1:5" x14ac:dyDescent="0.25">
      <c r="A5051">
        <v>20094</v>
      </c>
      <c r="B5051" t="str">
        <f t="shared" si="79"/>
        <v>20094</v>
      </c>
      <c r="C5051" t="s">
        <v>1204</v>
      </c>
      <c r="D5051">
        <v>26.98</v>
      </c>
      <c r="E5051" t="s">
        <v>424</v>
      </c>
    </row>
    <row r="5052" spans="1:5" x14ac:dyDescent="0.25">
      <c r="A5052">
        <v>20094</v>
      </c>
      <c r="B5052" t="str">
        <f t="shared" si="79"/>
        <v>20094</v>
      </c>
      <c r="C5052" t="s">
        <v>1207</v>
      </c>
      <c r="D5052">
        <v>1.4</v>
      </c>
      <c r="E5052" t="s">
        <v>424</v>
      </c>
    </row>
    <row r="5053" spans="1:5" x14ac:dyDescent="0.25">
      <c r="A5053">
        <v>20094</v>
      </c>
      <c r="B5053" t="str">
        <f t="shared" si="79"/>
        <v>20094</v>
      </c>
      <c r="C5053" t="s">
        <v>1208</v>
      </c>
      <c r="D5053">
        <v>7.74</v>
      </c>
      <c r="E5053" t="s">
        <v>424</v>
      </c>
    </row>
    <row r="5054" spans="1:5" x14ac:dyDescent="0.25">
      <c r="A5054">
        <v>20094</v>
      </c>
      <c r="B5054" t="str">
        <f t="shared" si="79"/>
        <v>20094</v>
      </c>
      <c r="C5054" t="s">
        <v>1210</v>
      </c>
      <c r="D5054">
        <v>0</v>
      </c>
      <c r="E5054" t="s">
        <v>424</v>
      </c>
    </row>
    <row r="5055" spans="1:5" x14ac:dyDescent="0.25">
      <c r="A5055">
        <v>20094</v>
      </c>
      <c r="B5055" t="str">
        <f t="shared" si="79"/>
        <v>20094</v>
      </c>
      <c r="C5055" t="s">
        <v>1212</v>
      </c>
      <c r="D5055">
        <v>0</v>
      </c>
      <c r="E5055" t="s">
        <v>424</v>
      </c>
    </row>
    <row r="5056" spans="1:5" x14ac:dyDescent="0.25">
      <c r="A5056">
        <v>20094</v>
      </c>
      <c r="B5056" t="str">
        <f t="shared" si="79"/>
        <v>20094</v>
      </c>
      <c r="C5056" t="s">
        <v>1216</v>
      </c>
      <c r="D5056">
        <v>0</v>
      </c>
      <c r="E5056" t="s">
        <v>424</v>
      </c>
    </row>
    <row r="5057" spans="1:5" x14ac:dyDescent="0.25">
      <c r="A5057">
        <v>20094</v>
      </c>
      <c r="B5057" t="str">
        <f t="shared" si="79"/>
        <v>20094</v>
      </c>
      <c r="C5057" t="s">
        <v>1198</v>
      </c>
      <c r="D5057">
        <v>2.8</v>
      </c>
      <c r="E5057" t="s">
        <v>424</v>
      </c>
    </row>
    <row r="5058" spans="1:5" x14ac:dyDescent="0.25">
      <c r="A5058" t="s">
        <v>47</v>
      </c>
      <c r="B5058" t="str">
        <f t="shared" si="79"/>
        <v>08404</v>
      </c>
      <c r="C5058" t="s">
        <v>1193</v>
      </c>
      <c r="D5058">
        <v>0</v>
      </c>
      <c r="E5058" t="s">
        <v>343</v>
      </c>
    </row>
    <row r="5059" spans="1:5" x14ac:dyDescent="0.25">
      <c r="A5059" t="s">
        <v>47</v>
      </c>
      <c r="B5059" t="str">
        <f t="shared" ref="B5059:B5122" si="80">TEXT(A5059,"00000")</f>
        <v>08404</v>
      </c>
      <c r="C5059" t="s">
        <v>1194</v>
      </c>
      <c r="D5059">
        <v>516.61</v>
      </c>
      <c r="E5059" t="s">
        <v>343</v>
      </c>
    </row>
    <row r="5060" spans="1:5" x14ac:dyDescent="0.25">
      <c r="A5060" t="s">
        <v>47</v>
      </c>
      <c r="B5060" t="str">
        <f t="shared" si="80"/>
        <v>08404</v>
      </c>
      <c r="C5060" t="s">
        <v>1195</v>
      </c>
      <c r="D5060">
        <v>0</v>
      </c>
      <c r="E5060" t="s">
        <v>343</v>
      </c>
    </row>
    <row r="5061" spans="1:5" x14ac:dyDescent="0.25">
      <c r="A5061" t="s">
        <v>47</v>
      </c>
      <c r="B5061" t="str">
        <f t="shared" si="80"/>
        <v>08404</v>
      </c>
      <c r="C5061" t="s">
        <v>1197</v>
      </c>
      <c r="D5061">
        <v>165.45</v>
      </c>
      <c r="E5061" t="s">
        <v>343</v>
      </c>
    </row>
    <row r="5062" spans="1:5" x14ac:dyDescent="0.25">
      <c r="A5062" t="s">
        <v>47</v>
      </c>
      <c r="B5062" t="str">
        <f t="shared" si="80"/>
        <v>08404</v>
      </c>
      <c r="C5062" t="s">
        <v>1202</v>
      </c>
      <c r="D5062">
        <v>0</v>
      </c>
      <c r="E5062" t="s">
        <v>343</v>
      </c>
    </row>
    <row r="5063" spans="1:5" x14ac:dyDescent="0.25">
      <c r="A5063" t="s">
        <v>47</v>
      </c>
      <c r="B5063" t="str">
        <f t="shared" si="80"/>
        <v>08404</v>
      </c>
      <c r="C5063" t="s">
        <v>1206</v>
      </c>
      <c r="D5063">
        <v>385.17</v>
      </c>
      <c r="E5063" t="s">
        <v>343</v>
      </c>
    </row>
    <row r="5064" spans="1:5" x14ac:dyDescent="0.25">
      <c r="A5064" t="s">
        <v>47</v>
      </c>
      <c r="B5064" t="str">
        <f t="shared" si="80"/>
        <v>08404</v>
      </c>
      <c r="C5064" t="s">
        <v>1199</v>
      </c>
      <c r="D5064">
        <v>0</v>
      </c>
      <c r="E5064" t="s">
        <v>343</v>
      </c>
    </row>
    <row r="5065" spans="1:5" x14ac:dyDescent="0.25">
      <c r="A5065" t="s">
        <v>47</v>
      </c>
      <c r="B5065" t="str">
        <f t="shared" si="80"/>
        <v>08404</v>
      </c>
      <c r="C5065" t="s">
        <v>1203</v>
      </c>
      <c r="D5065">
        <v>352.95</v>
      </c>
      <c r="E5065" t="s">
        <v>343</v>
      </c>
    </row>
    <row r="5066" spans="1:5" x14ac:dyDescent="0.25">
      <c r="A5066" t="s">
        <v>47</v>
      </c>
      <c r="B5066" t="str">
        <f t="shared" si="80"/>
        <v>08404</v>
      </c>
      <c r="C5066" t="s">
        <v>1200</v>
      </c>
      <c r="D5066">
        <v>0</v>
      </c>
      <c r="E5066" t="s">
        <v>343</v>
      </c>
    </row>
    <row r="5067" spans="1:5" x14ac:dyDescent="0.25">
      <c r="A5067" t="s">
        <v>47</v>
      </c>
      <c r="B5067" t="str">
        <f t="shared" si="80"/>
        <v>08404</v>
      </c>
      <c r="C5067" t="s">
        <v>1204</v>
      </c>
      <c r="D5067">
        <v>572.21</v>
      </c>
      <c r="E5067" t="s">
        <v>343</v>
      </c>
    </row>
    <row r="5068" spans="1:5" x14ac:dyDescent="0.25">
      <c r="A5068" t="s">
        <v>47</v>
      </c>
      <c r="B5068" t="str">
        <f t="shared" si="80"/>
        <v>08404</v>
      </c>
      <c r="C5068" t="s">
        <v>1207</v>
      </c>
      <c r="D5068">
        <v>0</v>
      </c>
      <c r="E5068" t="s">
        <v>343</v>
      </c>
    </row>
    <row r="5069" spans="1:5" x14ac:dyDescent="0.25">
      <c r="A5069" t="s">
        <v>47</v>
      </c>
      <c r="B5069" t="str">
        <f t="shared" si="80"/>
        <v>08404</v>
      </c>
      <c r="C5069" t="s">
        <v>1208</v>
      </c>
      <c r="D5069">
        <v>66.12</v>
      </c>
      <c r="E5069" t="s">
        <v>343</v>
      </c>
    </row>
    <row r="5070" spans="1:5" x14ac:dyDescent="0.25">
      <c r="A5070" t="s">
        <v>47</v>
      </c>
      <c r="B5070" t="str">
        <f t="shared" si="80"/>
        <v>08404</v>
      </c>
      <c r="C5070" t="s">
        <v>1210</v>
      </c>
      <c r="D5070">
        <v>0</v>
      </c>
      <c r="E5070" t="s">
        <v>343</v>
      </c>
    </row>
    <row r="5071" spans="1:5" x14ac:dyDescent="0.25">
      <c r="A5071" t="s">
        <v>47</v>
      </c>
      <c r="B5071" t="str">
        <f t="shared" si="80"/>
        <v>08404</v>
      </c>
      <c r="C5071" t="s">
        <v>1212</v>
      </c>
      <c r="D5071">
        <v>0</v>
      </c>
      <c r="E5071" t="s">
        <v>343</v>
      </c>
    </row>
    <row r="5072" spans="1:5" x14ac:dyDescent="0.25">
      <c r="A5072" t="s">
        <v>47</v>
      </c>
      <c r="B5072" t="str">
        <f t="shared" si="80"/>
        <v>08404</v>
      </c>
      <c r="C5072" t="s">
        <v>1216</v>
      </c>
      <c r="D5072">
        <v>0</v>
      </c>
      <c r="E5072" t="s">
        <v>343</v>
      </c>
    </row>
    <row r="5073" spans="1:5" x14ac:dyDescent="0.25">
      <c r="A5073" t="s">
        <v>47</v>
      </c>
      <c r="B5073" t="str">
        <f t="shared" si="80"/>
        <v>08404</v>
      </c>
      <c r="C5073" t="s">
        <v>1198</v>
      </c>
      <c r="D5073">
        <v>176.56</v>
      </c>
      <c r="E5073" t="s">
        <v>343</v>
      </c>
    </row>
    <row r="5074" spans="1:5" x14ac:dyDescent="0.25">
      <c r="A5074" s="34">
        <v>39901</v>
      </c>
      <c r="B5074" t="str">
        <f t="shared" si="80"/>
        <v>39901</v>
      </c>
      <c r="C5074" t="s">
        <v>1193</v>
      </c>
      <c r="D5074">
        <v>0</v>
      </c>
      <c r="E5074" t="s">
        <v>1246</v>
      </c>
    </row>
    <row r="5075" spans="1:5" x14ac:dyDescent="0.25">
      <c r="A5075" s="34">
        <v>39901</v>
      </c>
      <c r="B5075" t="str">
        <f t="shared" si="80"/>
        <v>39901</v>
      </c>
      <c r="C5075" t="s">
        <v>1194</v>
      </c>
      <c r="D5075">
        <v>0</v>
      </c>
      <c r="E5075" t="s">
        <v>1246</v>
      </c>
    </row>
    <row r="5076" spans="1:5" x14ac:dyDescent="0.25">
      <c r="A5076" s="34">
        <v>39901</v>
      </c>
      <c r="B5076" t="str">
        <f t="shared" si="80"/>
        <v>39901</v>
      </c>
      <c r="C5076" t="s">
        <v>1195</v>
      </c>
      <c r="D5076">
        <v>0</v>
      </c>
      <c r="E5076" t="s">
        <v>1246</v>
      </c>
    </row>
    <row r="5077" spans="1:5" x14ac:dyDescent="0.25">
      <c r="A5077" s="34">
        <v>39901</v>
      </c>
      <c r="B5077" t="str">
        <f t="shared" si="80"/>
        <v>39901</v>
      </c>
      <c r="C5077" t="s">
        <v>1197</v>
      </c>
      <c r="D5077">
        <v>0</v>
      </c>
      <c r="E5077" t="s">
        <v>1246</v>
      </c>
    </row>
    <row r="5078" spans="1:5" x14ac:dyDescent="0.25">
      <c r="A5078" s="34">
        <v>39901</v>
      </c>
      <c r="B5078" t="str">
        <f t="shared" si="80"/>
        <v>39901</v>
      </c>
      <c r="C5078" t="s">
        <v>1202</v>
      </c>
      <c r="D5078">
        <v>0</v>
      </c>
      <c r="E5078" t="s">
        <v>1246</v>
      </c>
    </row>
    <row r="5079" spans="1:5" x14ac:dyDescent="0.25">
      <c r="A5079" s="34">
        <v>39901</v>
      </c>
      <c r="B5079" t="str">
        <f t="shared" si="80"/>
        <v>39901</v>
      </c>
      <c r="C5079" t="s">
        <v>1206</v>
      </c>
      <c r="D5079">
        <v>0</v>
      </c>
      <c r="E5079" t="s">
        <v>1246</v>
      </c>
    </row>
    <row r="5080" spans="1:5" x14ac:dyDescent="0.25">
      <c r="A5080" s="34">
        <v>39901</v>
      </c>
      <c r="B5080" t="str">
        <f t="shared" si="80"/>
        <v>39901</v>
      </c>
      <c r="C5080" t="s">
        <v>1199</v>
      </c>
      <c r="D5080">
        <v>0</v>
      </c>
      <c r="E5080" t="s">
        <v>1246</v>
      </c>
    </row>
    <row r="5081" spans="1:5" x14ac:dyDescent="0.25">
      <c r="A5081" s="34">
        <v>39901</v>
      </c>
      <c r="B5081" t="str">
        <f t="shared" si="80"/>
        <v>39901</v>
      </c>
      <c r="C5081" t="s">
        <v>1203</v>
      </c>
      <c r="D5081">
        <v>11.8</v>
      </c>
      <c r="E5081" t="s">
        <v>1246</v>
      </c>
    </row>
    <row r="5082" spans="1:5" x14ac:dyDescent="0.25">
      <c r="A5082" s="34">
        <v>39901</v>
      </c>
      <c r="B5082" t="str">
        <f t="shared" si="80"/>
        <v>39901</v>
      </c>
      <c r="C5082" t="s">
        <v>1200</v>
      </c>
      <c r="D5082">
        <v>0</v>
      </c>
      <c r="E5082" t="s">
        <v>1246</v>
      </c>
    </row>
    <row r="5083" spans="1:5" x14ac:dyDescent="0.25">
      <c r="A5083" s="34">
        <v>39901</v>
      </c>
      <c r="B5083" t="str">
        <f t="shared" si="80"/>
        <v>39901</v>
      </c>
      <c r="C5083" t="s">
        <v>1204</v>
      </c>
      <c r="D5083">
        <v>120</v>
      </c>
      <c r="E5083" t="s">
        <v>1246</v>
      </c>
    </row>
    <row r="5084" spans="1:5" x14ac:dyDescent="0.25">
      <c r="A5084" s="34">
        <v>39901</v>
      </c>
      <c r="B5084" t="str">
        <f t="shared" si="80"/>
        <v>39901</v>
      </c>
      <c r="C5084" t="s">
        <v>1207</v>
      </c>
      <c r="D5084">
        <v>0</v>
      </c>
      <c r="E5084" t="s">
        <v>1246</v>
      </c>
    </row>
    <row r="5085" spans="1:5" x14ac:dyDescent="0.25">
      <c r="A5085" s="34">
        <v>39901</v>
      </c>
      <c r="B5085" t="str">
        <f t="shared" si="80"/>
        <v>39901</v>
      </c>
      <c r="C5085" t="s">
        <v>1208</v>
      </c>
      <c r="D5085">
        <v>0</v>
      </c>
      <c r="E5085" t="s">
        <v>1246</v>
      </c>
    </row>
    <row r="5086" spans="1:5" x14ac:dyDescent="0.25">
      <c r="A5086" s="34">
        <v>39901</v>
      </c>
      <c r="B5086" t="str">
        <f t="shared" si="80"/>
        <v>39901</v>
      </c>
      <c r="C5086" t="s">
        <v>1210</v>
      </c>
      <c r="D5086">
        <v>0</v>
      </c>
      <c r="E5086" t="s">
        <v>1246</v>
      </c>
    </row>
    <row r="5087" spans="1:5" x14ac:dyDescent="0.25">
      <c r="A5087" s="34">
        <v>39901</v>
      </c>
      <c r="B5087" t="str">
        <f t="shared" si="80"/>
        <v>39901</v>
      </c>
      <c r="C5087" t="s">
        <v>1212</v>
      </c>
      <c r="D5087">
        <v>0</v>
      </c>
      <c r="E5087" t="s">
        <v>1246</v>
      </c>
    </row>
    <row r="5088" spans="1:5" x14ac:dyDescent="0.25">
      <c r="A5088" s="34">
        <v>39901</v>
      </c>
      <c r="B5088" t="str">
        <f t="shared" si="80"/>
        <v>39901</v>
      </c>
      <c r="C5088" t="s">
        <v>1216</v>
      </c>
      <c r="D5088">
        <v>0</v>
      </c>
      <c r="E5088" t="s">
        <v>1246</v>
      </c>
    </row>
    <row r="5089" spans="1:5" x14ac:dyDescent="0.25">
      <c r="A5089" s="34">
        <v>39901</v>
      </c>
      <c r="B5089" t="str">
        <f t="shared" si="80"/>
        <v>39901</v>
      </c>
      <c r="C5089" t="s">
        <v>1198</v>
      </c>
      <c r="D5089">
        <v>0</v>
      </c>
      <c r="E5089" t="s">
        <v>1246</v>
      </c>
    </row>
    <row r="5090" spans="1:5" x14ac:dyDescent="0.25">
      <c r="A5090">
        <v>39007</v>
      </c>
      <c r="B5090" t="str">
        <f t="shared" si="80"/>
        <v>39007</v>
      </c>
      <c r="C5090" t="s">
        <v>1193</v>
      </c>
      <c r="D5090">
        <v>0</v>
      </c>
      <c r="E5090" t="s">
        <v>587</v>
      </c>
    </row>
    <row r="5091" spans="1:5" x14ac:dyDescent="0.25">
      <c r="A5091">
        <v>39007</v>
      </c>
      <c r="B5091" t="str">
        <f t="shared" si="80"/>
        <v>39007</v>
      </c>
      <c r="C5091" t="s">
        <v>1194</v>
      </c>
      <c r="D5091">
        <v>3178.23</v>
      </c>
      <c r="E5091" t="s">
        <v>587</v>
      </c>
    </row>
    <row r="5092" spans="1:5" x14ac:dyDescent="0.25">
      <c r="A5092">
        <v>39007</v>
      </c>
      <c r="B5092" t="str">
        <f t="shared" si="80"/>
        <v>39007</v>
      </c>
      <c r="C5092" t="s">
        <v>1195</v>
      </c>
      <c r="D5092">
        <v>0</v>
      </c>
      <c r="E5092" t="s">
        <v>587</v>
      </c>
    </row>
    <row r="5093" spans="1:5" x14ac:dyDescent="0.25">
      <c r="A5093">
        <v>39007</v>
      </c>
      <c r="B5093" t="str">
        <f t="shared" si="80"/>
        <v>39007</v>
      </c>
      <c r="C5093" t="s">
        <v>1197</v>
      </c>
      <c r="D5093">
        <v>1084.82</v>
      </c>
      <c r="E5093" t="s">
        <v>587</v>
      </c>
    </row>
    <row r="5094" spans="1:5" x14ac:dyDescent="0.25">
      <c r="A5094">
        <v>39007</v>
      </c>
      <c r="B5094" t="str">
        <f t="shared" si="80"/>
        <v>39007</v>
      </c>
      <c r="C5094" t="s">
        <v>1202</v>
      </c>
      <c r="D5094">
        <v>0</v>
      </c>
      <c r="E5094" t="s">
        <v>587</v>
      </c>
    </row>
    <row r="5095" spans="1:5" x14ac:dyDescent="0.25">
      <c r="A5095">
        <v>39007</v>
      </c>
      <c r="B5095" t="str">
        <f t="shared" si="80"/>
        <v>39007</v>
      </c>
      <c r="C5095" t="s">
        <v>1206</v>
      </c>
      <c r="D5095">
        <v>2188.88</v>
      </c>
      <c r="E5095" t="s">
        <v>587</v>
      </c>
    </row>
    <row r="5096" spans="1:5" x14ac:dyDescent="0.25">
      <c r="A5096">
        <v>39007</v>
      </c>
      <c r="B5096" t="str">
        <f t="shared" si="80"/>
        <v>39007</v>
      </c>
      <c r="C5096" t="s">
        <v>1199</v>
      </c>
      <c r="D5096">
        <v>0</v>
      </c>
      <c r="E5096" t="s">
        <v>587</v>
      </c>
    </row>
    <row r="5097" spans="1:5" x14ac:dyDescent="0.25">
      <c r="A5097">
        <v>39007</v>
      </c>
      <c r="B5097" t="str">
        <f t="shared" si="80"/>
        <v>39007</v>
      </c>
      <c r="C5097" t="s">
        <v>1203</v>
      </c>
      <c r="D5097">
        <v>2162.94</v>
      </c>
      <c r="E5097" t="s">
        <v>587</v>
      </c>
    </row>
    <row r="5098" spans="1:5" x14ac:dyDescent="0.25">
      <c r="A5098">
        <v>39007</v>
      </c>
      <c r="B5098" t="str">
        <f t="shared" si="80"/>
        <v>39007</v>
      </c>
      <c r="C5098" t="s">
        <v>1200</v>
      </c>
      <c r="D5098">
        <v>0</v>
      </c>
      <c r="E5098" t="s">
        <v>587</v>
      </c>
    </row>
    <row r="5099" spans="1:5" x14ac:dyDescent="0.25">
      <c r="A5099">
        <v>39007</v>
      </c>
      <c r="B5099" t="str">
        <f t="shared" si="80"/>
        <v>39007</v>
      </c>
      <c r="C5099" t="s">
        <v>1204</v>
      </c>
      <c r="D5099">
        <v>4924.8900000000003</v>
      </c>
      <c r="E5099" t="s">
        <v>587</v>
      </c>
    </row>
    <row r="5100" spans="1:5" x14ac:dyDescent="0.25">
      <c r="A5100">
        <v>39007</v>
      </c>
      <c r="B5100" t="str">
        <f t="shared" si="80"/>
        <v>39007</v>
      </c>
      <c r="C5100" t="s">
        <v>1207</v>
      </c>
      <c r="D5100">
        <v>509.67</v>
      </c>
      <c r="E5100" t="s">
        <v>587</v>
      </c>
    </row>
    <row r="5101" spans="1:5" x14ac:dyDescent="0.25">
      <c r="A5101">
        <v>39007</v>
      </c>
      <c r="B5101" t="str">
        <f t="shared" si="80"/>
        <v>39007</v>
      </c>
      <c r="C5101" t="s">
        <v>1208</v>
      </c>
      <c r="D5101">
        <v>1000.62</v>
      </c>
      <c r="E5101" t="s">
        <v>587</v>
      </c>
    </row>
    <row r="5102" spans="1:5" x14ac:dyDescent="0.25">
      <c r="A5102">
        <v>39007</v>
      </c>
      <c r="B5102" t="str">
        <f t="shared" si="80"/>
        <v>39007</v>
      </c>
      <c r="C5102" t="s">
        <v>1210</v>
      </c>
      <c r="D5102">
        <v>0</v>
      </c>
      <c r="E5102" t="s">
        <v>587</v>
      </c>
    </row>
    <row r="5103" spans="1:5" x14ac:dyDescent="0.25">
      <c r="A5103">
        <v>39007</v>
      </c>
      <c r="B5103" t="str">
        <f t="shared" si="80"/>
        <v>39007</v>
      </c>
      <c r="C5103" t="s">
        <v>1212</v>
      </c>
      <c r="D5103">
        <v>512.08000000000004</v>
      </c>
      <c r="E5103" t="s">
        <v>587</v>
      </c>
    </row>
    <row r="5104" spans="1:5" x14ac:dyDescent="0.25">
      <c r="A5104">
        <v>39007</v>
      </c>
      <c r="B5104" t="str">
        <f t="shared" si="80"/>
        <v>39007</v>
      </c>
      <c r="C5104" t="s">
        <v>1216</v>
      </c>
      <c r="D5104">
        <v>0</v>
      </c>
      <c r="E5104" t="s">
        <v>587</v>
      </c>
    </row>
    <row r="5105" spans="1:5" x14ac:dyDescent="0.25">
      <c r="A5105">
        <v>39007</v>
      </c>
      <c r="B5105" t="str">
        <f t="shared" si="80"/>
        <v>39007</v>
      </c>
      <c r="C5105" t="s">
        <v>1198</v>
      </c>
      <c r="D5105">
        <v>994.81</v>
      </c>
      <c r="E5105" t="s">
        <v>587</v>
      </c>
    </row>
    <row r="5106" spans="1:5" x14ac:dyDescent="0.25">
      <c r="A5106">
        <v>34002</v>
      </c>
      <c r="B5106" t="str">
        <f t="shared" si="80"/>
        <v>34002</v>
      </c>
      <c r="C5106" t="s">
        <v>1193</v>
      </c>
      <c r="D5106">
        <v>0</v>
      </c>
      <c r="E5106" t="s">
        <v>548</v>
      </c>
    </row>
    <row r="5107" spans="1:5" x14ac:dyDescent="0.25">
      <c r="A5107">
        <v>34002</v>
      </c>
      <c r="B5107" t="str">
        <f t="shared" si="80"/>
        <v>34002</v>
      </c>
      <c r="C5107" t="s">
        <v>1194</v>
      </c>
      <c r="D5107">
        <v>1272.3699999999999</v>
      </c>
      <c r="E5107" t="s">
        <v>548</v>
      </c>
    </row>
    <row r="5108" spans="1:5" x14ac:dyDescent="0.25">
      <c r="A5108">
        <v>34002</v>
      </c>
      <c r="B5108" t="str">
        <f t="shared" si="80"/>
        <v>34002</v>
      </c>
      <c r="C5108" t="s">
        <v>1195</v>
      </c>
      <c r="D5108">
        <v>0</v>
      </c>
      <c r="E5108" t="s">
        <v>548</v>
      </c>
    </row>
    <row r="5109" spans="1:5" x14ac:dyDescent="0.25">
      <c r="A5109">
        <v>34002</v>
      </c>
      <c r="B5109" t="str">
        <f t="shared" si="80"/>
        <v>34002</v>
      </c>
      <c r="C5109" t="s">
        <v>1197</v>
      </c>
      <c r="D5109">
        <v>431.34</v>
      </c>
      <c r="E5109" t="s">
        <v>548</v>
      </c>
    </row>
    <row r="5110" spans="1:5" x14ac:dyDescent="0.25">
      <c r="A5110">
        <v>34002</v>
      </c>
      <c r="B5110" t="str">
        <f t="shared" si="80"/>
        <v>34002</v>
      </c>
      <c r="C5110" t="s">
        <v>1202</v>
      </c>
      <c r="D5110">
        <v>0</v>
      </c>
      <c r="E5110" t="s">
        <v>548</v>
      </c>
    </row>
    <row r="5111" spans="1:5" x14ac:dyDescent="0.25">
      <c r="A5111">
        <v>34002</v>
      </c>
      <c r="B5111" t="str">
        <f t="shared" si="80"/>
        <v>34002</v>
      </c>
      <c r="C5111" t="s">
        <v>1206</v>
      </c>
      <c r="D5111">
        <v>865.95</v>
      </c>
      <c r="E5111" t="s">
        <v>548</v>
      </c>
    </row>
    <row r="5112" spans="1:5" x14ac:dyDescent="0.25">
      <c r="A5112">
        <v>34002</v>
      </c>
      <c r="B5112" t="str">
        <f t="shared" si="80"/>
        <v>34002</v>
      </c>
      <c r="C5112" t="s">
        <v>1199</v>
      </c>
      <c r="D5112">
        <v>0</v>
      </c>
      <c r="E5112" t="s">
        <v>548</v>
      </c>
    </row>
    <row r="5113" spans="1:5" x14ac:dyDescent="0.25">
      <c r="A5113">
        <v>34002</v>
      </c>
      <c r="B5113" t="str">
        <f t="shared" si="80"/>
        <v>34002</v>
      </c>
      <c r="C5113" t="s">
        <v>1203</v>
      </c>
      <c r="D5113">
        <v>810.15</v>
      </c>
      <c r="E5113" t="s">
        <v>548</v>
      </c>
    </row>
    <row r="5114" spans="1:5" x14ac:dyDescent="0.25">
      <c r="A5114">
        <v>34002</v>
      </c>
      <c r="B5114" t="str">
        <f t="shared" si="80"/>
        <v>34002</v>
      </c>
      <c r="C5114" t="s">
        <v>1200</v>
      </c>
      <c r="D5114">
        <v>0</v>
      </c>
      <c r="E5114" t="s">
        <v>548</v>
      </c>
    </row>
    <row r="5115" spans="1:5" x14ac:dyDescent="0.25">
      <c r="A5115">
        <v>34002</v>
      </c>
      <c r="B5115" t="str">
        <f t="shared" si="80"/>
        <v>34002</v>
      </c>
      <c r="C5115" t="s">
        <v>1204</v>
      </c>
      <c r="D5115">
        <v>1540.3</v>
      </c>
      <c r="E5115" t="s">
        <v>548</v>
      </c>
    </row>
    <row r="5116" spans="1:5" x14ac:dyDescent="0.25">
      <c r="A5116">
        <v>34002</v>
      </c>
      <c r="B5116" t="str">
        <f t="shared" si="80"/>
        <v>34002</v>
      </c>
      <c r="C5116" t="s">
        <v>1207</v>
      </c>
      <c r="D5116">
        <v>0</v>
      </c>
      <c r="E5116" t="s">
        <v>548</v>
      </c>
    </row>
    <row r="5117" spans="1:5" x14ac:dyDescent="0.25">
      <c r="A5117">
        <v>34002</v>
      </c>
      <c r="B5117" t="str">
        <f t="shared" si="80"/>
        <v>34002</v>
      </c>
      <c r="C5117" t="s">
        <v>1208</v>
      </c>
      <c r="D5117">
        <v>400.89</v>
      </c>
      <c r="E5117" t="s">
        <v>548</v>
      </c>
    </row>
    <row r="5118" spans="1:5" x14ac:dyDescent="0.25">
      <c r="A5118">
        <v>34002</v>
      </c>
      <c r="B5118" t="str">
        <f t="shared" si="80"/>
        <v>34002</v>
      </c>
      <c r="C5118" t="s">
        <v>1210</v>
      </c>
      <c r="D5118">
        <v>0</v>
      </c>
      <c r="E5118" t="s">
        <v>548</v>
      </c>
    </row>
    <row r="5119" spans="1:5" x14ac:dyDescent="0.25">
      <c r="A5119">
        <v>34002</v>
      </c>
      <c r="B5119" t="str">
        <f t="shared" si="80"/>
        <v>34002</v>
      </c>
      <c r="C5119" t="s">
        <v>1212</v>
      </c>
      <c r="D5119">
        <v>0</v>
      </c>
      <c r="E5119" t="s">
        <v>548</v>
      </c>
    </row>
    <row r="5120" spans="1:5" x14ac:dyDescent="0.25">
      <c r="A5120">
        <v>34002</v>
      </c>
      <c r="B5120" t="str">
        <f t="shared" si="80"/>
        <v>34002</v>
      </c>
      <c r="C5120" t="s">
        <v>1216</v>
      </c>
      <c r="D5120">
        <v>33.799999999999997</v>
      </c>
      <c r="E5120" t="s">
        <v>548</v>
      </c>
    </row>
    <row r="5121" spans="1:5" x14ac:dyDescent="0.25">
      <c r="A5121">
        <v>34002</v>
      </c>
      <c r="B5121" t="str">
        <f t="shared" si="80"/>
        <v>34002</v>
      </c>
      <c r="C5121" t="s">
        <v>1198</v>
      </c>
      <c r="D5121">
        <v>378.9</v>
      </c>
      <c r="E5121" t="s">
        <v>548</v>
      </c>
    </row>
    <row r="5122" spans="1:5" x14ac:dyDescent="0.25">
      <c r="A5122">
        <v>39205</v>
      </c>
      <c r="B5122" t="str">
        <f t="shared" si="80"/>
        <v>39205</v>
      </c>
      <c r="C5122" t="s">
        <v>1193</v>
      </c>
      <c r="D5122">
        <v>0</v>
      </c>
      <c r="E5122" t="s">
        <v>596</v>
      </c>
    </row>
    <row r="5123" spans="1:5" x14ac:dyDescent="0.25">
      <c r="A5123">
        <v>39205</v>
      </c>
      <c r="B5123" t="str">
        <f t="shared" ref="B5123:B5137" si="81">TEXT(A5123,"00000")</f>
        <v>39205</v>
      </c>
      <c r="C5123" t="s">
        <v>1194</v>
      </c>
      <c r="D5123">
        <v>274.44</v>
      </c>
      <c r="E5123" t="s">
        <v>596</v>
      </c>
    </row>
    <row r="5124" spans="1:5" x14ac:dyDescent="0.25">
      <c r="A5124">
        <v>39205</v>
      </c>
      <c r="B5124" t="str">
        <f t="shared" si="81"/>
        <v>39205</v>
      </c>
      <c r="C5124" t="s">
        <v>1195</v>
      </c>
      <c r="D5124">
        <v>0</v>
      </c>
      <c r="E5124" t="s">
        <v>596</v>
      </c>
    </row>
    <row r="5125" spans="1:5" x14ac:dyDescent="0.25">
      <c r="A5125">
        <v>39205</v>
      </c>
      <c r="B5125" t="str">
        <f t="shared" si="81"/>
        <v>39205</v>
      </c>
      <c r="C5125" t="s">
        <v>1197</v>
      </c>
      <c r="D5125">
        <v>83.94</v>
      </c>
      <c r="E5125" t="s">
        <v>596</v>
      </c>
    </row>
    <row r="5126" spans="1:5" x14ac:dyDescent="0.25">
      <c r="A5126">
        <v>39205</v>
      </c>
      <c r="B5126" t="str">
        <f t="shared" si="81"/>
        <v>39205</v>
      </c>
      <c r="C5126" t="s">
        <v>1202</v>
      </c>
      <c r="D5126">
        <v>0</v>
      </c>
      <c r="E5126" t="s">
        <v>596</v>
      </c>
    </row>
    <row r="5127" spans="1:5" x14ac:dyDescent="0.25">
      <c r="A5127">
        <v>39205</v>
      </c>
      <c r="B5127" t="str">
        <f t="shared" si="81"/>
        <v>39205</v>
      </c>
      <c r="C5127" t="s">
        <v>1206</v>
      </c>
      <c r="D5127">
        <v>185.4</v>
      </c>
      <c r="E5127" t="s">
        <v>596</v>
      </c>
    </row>
    <row r="5128" spans="1:5" x14ac:dyDescent="0.25">
      <c r="A5128">
        <v>39205</v>
      </c>
      <c r="B5128" t="str">
        <f t="shared" si="81"/>
        <v>39205</v>
      </c>
      <c r="C5128" t="s">
        <v>1199</v>
      </c>
      <c r="D5128">
        <v>0</v>
      </c>
      <c r="E5128" t="s">
        <v>596</v>
      </c>
    </row>
    <row r="5129" spans="1:5" x14ac:dyDescent="0.25">
      <c r="A5129">
        <v>39205</v>
      </c>
      <c r="B5129" t="str">
        <f t="shared" si="81"/>
        <v>39205</v>
      </c>
      <c r="C5129" t="s">
        <v>1203</v>
      </c>
      <c r="D5129">
        <v>203.39</v>
      </c>
      <c r="E5129" t="s">
        <v>596</v>
      </c>
    </row>
    <row r="5130" spans="1:5" x14ac:dyDescent="0.25">
      <c r="A5130">
        <v>39205</v>
      </c>
      <c r="B5130" t="str">
        <f t="shared" si="81"/>
        <v>39205</v>
      </c>
      <c r="C5130" t="s">
        <v>1200</v>
      </c>
      <c r="D5130">
        <v>0</v>
      </c>
      <c r="E5130" t="s">
        <v>596</v>
      </c>
    </row>
    <row r="5131" spans="1:5" x14ac:dyDescent="0.25">
      <c r="A5131">
        <v>39205</v>
      </c>
      <c r="B5131" t="str">
        <f t="shared" si="81"/>
        <v>39205</v>
      </c>
      <c r="C5131" t="s">
        <v>1204</v>
      </c>
      <c r="D5131">
        <v>435.14</v>
      </c>
      <c r="E5131" t="s">
        <v>596</v>
      </c>
    </row>
    <row r="5132" spans="1:5" x14ac:dyDescent="0.25">
      <c r="A5132">
        <v>39205</v>
      </c>
      <c r="B5132" t="str">
        <f t="shared" si="81"/>
        <v>39205</v>
      </c>
      <c r="C5132" t="s">
        <v>1207</v>
      </c>
      <c r="D5132">
        <v>0</v>
      </c>
      <c r="E5132" t="s">
        <v>596</v>
      </c>
    </row>
    <row r="5133" spans="1:5" x14ac:dyDescent="0.25">
      <c r="A5133">
        <v>39205</v>
      </c>
      <c r="B5133" t="str">
        <f t="shared" si="81"/>
        <v>39205</v>
      </c>
      <c r="C5133" t="s">
        <v>1208</v>
      </c>
      <c r="D5133">
        <v>76.040000000000006</v>
      </c>
      <c r="E5133" t="s">
        <v>596</v>
      </c>
    </row>
    <row r="5134" spans="1:5" x14ac:dyDescent="0.25">
      <c r="A5134">
        <v>39205</v>
      </c>
      <c r="B5134" t="str">
        <f t="shared" si="81"/>
        <v>39205</v>
      </c>
      <c r="C5134" t="s">
        <v>1210</v>
      </c>
      <c r="D5134">
        <v>0</v>
      </c>
      <c r="E5134" t="s">
        <v>596</v>
      </c>
    </row>
    <row r="5135" spans="1:5" x14ac:dyDescent="0.25">
      <c r="A5135">
        <v>39205</v>
      </c>
      <c r="B5135" t="str">
        <f t="shared" si="81"/>
        <v>39205</v>
      </c>
      <c r="C5135" t="s">
        <v>1212</v>
      </c>
      <c r="D5135">
        <v>0</v>
      </c>
      <c r="E5135" t="s">
        <v>596</v>
      </c>
    </row>
    <row r="5136" spans="1:5" x14ac:dyDescent="0.25">
      <c r="A5136">
        <v>39205</v>
      </c>
      <c r="B5136" t="str">
        <f t="shared" si="81"/>
        <v>39205</v>
      </c>
      <c r="C5136" t="s">
        <v>1216</v>
      </c>
      <c r="D5136">
        <v>36</v>
      </c>
      <c r="E5136" t="s">
        <v>596</v>
      </c>
    </row>
    <row r="5137" spans="1:5" x14ac:dyDescent="0.25">
      <c r="A5137">
        <v>39205</v>
      </c>
      <c r="B5137" t="str">
        <f t="shared" si="81"/>
        <v>39205</v>
      </c>
      <c r="C5137" t="s">
        <v>1198</v>
      </c>
      <c r="D5137">
        <v>85.7</v>
      </c>
      <c r="E5137" t="s">
        <v>596</v>
      </c>
    </row>
  </sheetData>
  <autoFilter ref="A1:E5137" xr:uid="{00000000-0001-0000-0000-000000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57</vt:i4>
      </vt:variant>
    </vt:vector>
  </HeadingPairs>
  <TitlesOfParts>
    <vt:vector size="94" baseType="lpstr">
      <vt:lpstr>Instructions</vt:lpstr>
      <vt:lpstr>2024-25 K3Class Size Compliance</vt:lpstr>
      <vt:lpstr>2024-25 PSES Compliance</vt:lpstr>
      <vt:lpstr>2024-25 Elementary Calculator</vt:lpstr>
      <vt:lpstr>2024-25 Middle Calculator</vt:lpstr>
      <vt:lpstr>2024-25 High Calculator</vt:lpstr>
      <vt:lpstr>K3 District Data as of Jan 2025</vt:lpstr>
      <vt:lpstr>District Summary</vt:lpstr>
      <vt:lpstr>PSES Enroll Snapshot 25-01-17</vt:lpstr>
      <vt:lpstr>Enroll Data as of January 2025</vt:lpstr>
      <vt:lpstr>ApportionmentUpload</vt:lpstr>
      <vt:lpstr>PSES Staff Snapshot 25-01-16</vt:lpstr>
      <vt:lpstr>Elem</vt:lpstr>
      <vt:lpstr>Middle</vt:lpstr>
      <vt:lpstr>High</vt:lpstr>
      <vt:lpstr>S275Staff</vt:lpstr>
      <vt:lpstr>Elem Supp Staff</vt:lpstr>
      <vt:lpstr>Mid Supp Staff</vt:lpstr>
      <vt:lpstr>High Supp Staff</vt:lpstr>
      <vt:lpstr>Supp Staff Data</vt:lpstr>
      <vt:lpstr>Qualifying Staff</vt:lpstr>
      <vt:lpstr>PSES District Calcs</vt:lpstr>
      <vt:lpstr>3121% SY</vt:lpstr>
      <vt:lpstr>Orient &amp; Mob Sp 39</vt:lpstr>
      <vt:lpstr>Counselor 42</vt:lpstr>
      <vt:lpstr>Occup Therapist 43</vt:lpstr>
      <vt:lpstr>Social Worker 44</vt:lpstr>
      <vt:lpstr>Speech Lang Path 45</vt:lpstr>
      <vt:lpstr>Psycologist 46</vt:lpstr>
      <vt:lpstr>Nurses 47</vt:lpstr>
      <vt:lpstr>Pysical Therapist 48</vt:lpstr>
      <vt:lpstr>Behavior Analyst 49</vt:lpstr>
      <vt:lpstr>Contractor ESA 64</vt:lpstr>
      <vt:lpstr>Family Engag 24</vt:lpstr>
      <vt:lpstr>Pupil Mgt 25</vt:lpstr>
      <vt:lpstr>Health Svcs 26</vt:lpstr>
      <vt:lpstr>Pupil Safety 35</vt:lpstr>
      <vt:lpstr>CIS_Base</vt:lpstr>
      <vt:lpstr>CIS_Ben_Base</vt:lpstr>
      <vt:lpstr>CIS_Ben_Inc</vt:lpstr>
      <vt:lpstr>CIS_Inc</vt:lpstr>
      <vt:lpstr>CIS_Ins_Inc</vt:lpstr>
      <vt:lpstr>CLS_Base</vt:lpstr>
      <vt:lpstr>CLS_Ben_Base</vt:lpstr>
      <vt:lpstr>CLS_Ben_Inc</vt:lpstr>
      <vt:lpstr>CLS_Inc</vt:lpstr>
      <vt:lpstr>CLS_Ins_Inc</vt:lpstr>
      <vt:lpstr>Elem_Prog01_Supp</vt:lpstr>
      <vt:lpstr>Elem_Prog09_Supp</vt:lpstr>
      <vt:lpstr>Elem_Prog21_Supp</vt:lpstr>
      <vt:lpstr>Elem_Prog97_Supp</vt:lpstr>
      <vt:lpstr>ElemStaff01</vt:lpstr>
      <vt:lpstr>ElemStaff09</vt:lpstr>
      <vt:lpstr>ElemStaff21</vt:lpstr>
      <vt:lpstr>ElemStaff97</vt:lpstr>
      <vt:lpstr>High_Prog01_Supp</vt:lpstr>
      <vt:lpstr>High_Prog21_Supp</vt:lpstr>
      <vt:lpstr>High_Prog97_Supp</vt:lpstr>
      <vt:lpstr>HighStaff01</vt:lpstr>
      <vt:lpstr>HighStaff21</vt:lpstr>
      <vt:lpstr>HighStaff97</vt:lpstr>
      <vt:lpstr>Ins_Base</vt:lpstr>
      <vt:lpstr>Mid_Prog01_Supp</vt:lpstr>
      <vt:lpstr>Mid_Prog21_Supp</vt:lpstr>
      <vt:lpstr>Mid_Prog97_Supp</vt:lpstr>
      <vt:lpstr>MidStaff01</vt:lpstr>
      <vt:lpstr>MidStaff21</vt:lpstr>
      <vt:lpstr>MidStaff97</vt:lpstr>
      <vt:lpstr>'2024-25 Elementary Calculator'!Print_Area</vt:lpstr>
      <vt:lpstr>'2024-25 High Calculator'!Print_Area</vt:lpstr>
      <vt:lpstr>'2024-25 K3Class Size Compliance'!Print_Area</vt:lpstr>
      <vt:lpstr>'2024-25 Middle Calculator'!Print_Area</vt:lpstr>
      <vt:lpstr>'2024-25 PSES Compliance'!Print_Area</vt:lpstr>
      <vt:lpstr>Instructions!Print_Titles</vt:lpstr>
      <vt:lpstr>PSESEnroll</vt:lpstr>
      <vt:lpstr>S275_01</vt:lpstr>
      <vt:lpstr>S275_09</vt:lpstr>
      <vt:lpstr>S275_21</vt:lpstr>
      <vt:lpstr>S275_97</vt:lpstr>
      <vt:lpstr>Supp_24</vt:lpstr>
      <vt:lpstr>Supp_25</vt:lpstr>
      <vt:lpstr>Supp_26</vt:lpstr>
      <vt:lpstr>Supp_35</vt:lpstr>
      <vt:lpstr>Supp_39</vt:lpstr>
      <vt:lpstr>Supp_42</vt:lpstr>
      <vt:lpstr>Supp_43</vt:lpstr>
      <vt:lpstr>Supp_44</vt:lpstr>
      <vt:lpstr>Supp_45</vt:lpstr>
      <vt:lpstr>Supp_46</vt:lpstr>
      <vt:lpstr>Supp_47</vt:lpstr>
      <vt:lpstr>Supp_48</vt:lpstr>
      <vt:lpstr>Supp_49</vt:lpstr>
      <vt:lpstr>Supp_64</vt:lpstr>
      <vt:lpstr>SuppStaffData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2023-24 Compliance Calculator for Budgeting</dc:title>
  <dc:creator>Melissa Jarmon</dc:creator>
  <cp:lastModifiedBy>Jackie McDonald</cp:lastModifiedBy>
  <cp:lastPrinted>2022-04-04T19:21:27Z</cp:lastPrinted>
  <dcterms:created xsi:type="dcterms:W3CDTF">2015-07-09T14:49:37Z</dcterms:created>
  <dcterms:modified xsi:type="dcterms:W3CDTF">2025-02-05T21:41:36Z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145f431-4c8c-42c6-a5a5-ba6d3bdea585_Enabled">
    <vt:lpwstr>true</vt:lpwstr>
  </property>
  <property fmtid="{D5CDD505-2E9C-101B-9397-08002B2CF9AE}" pid="3" name="MSIP_Label_9145f431-4c8c-42c6-a5a5-ba6d3bdea585_SetDate">
    <vt:lpwstr>2024-06-23T23:21:05Z</vt:lpwstr>
  </property>
  <property fmtid="{D5CDD505-2E9C-101B-9397-08002B2CF9AE}" pid="4" name="MSIP_Label_9145f431-4c8c-42c6-a5a5-ba6d3bdea585_Method">
    <vt:lpwstr>Standard</vt:lpwstr>
  </property>
  <property fmtid="{D5CDD505-2E9C-101B-9397-08002B2CF9AE}" pid="5" name="MSIP_Label_9145f431-4c8c-42c6-a5a5-ba6d3bdea585_Name">
    <vt:lpwstr>defa4170-0d19-0005-0004-bc88714345d2</vt:lpwstr>
  </property>
  <property fmtid="{D5CDD505-2E9C-101B-9397-08002B2CF9AE}" pid="6" name="MSIP_Label_9145f431-4c8c-42c6-a5a5-ba6d3bdea585_SiteId">
    <vt:lpwstr>b2fe5ccf-10a5-46fe-ae45-a0267412af7a</vt:lpwstr>
  </property>
  <property fmtid="{D5CDD505-2E9C-101B-9397-08002B2CF9AE}" pid="7" name="MSIP_Label_9145f431-4c8c-42c6-a5a5-ba6d3bdea585_ActionId">
    <vt:lpwstr>25792994-e618-41d4-a223-8d97d118dfce</vt:lpwstr>
  </property>
  <property fmtid="{D5CDD505-2E9C-101B-9397-08002B2CF9AE}" pid="8" name="MSIP_Label_9145f431-4c8c-42c6-a5a5-ba6d3bdea585_ContentBits">
    <vt:lpwstr>0</vt:lpwstr>
  </property>
</Properties>
</file>